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18.xml" ContentType="application/vnd.openxmlformats-officedocument.spreadsheetml.worksheet+xml"/>
  <Override PartName="/xl/worksheets/sheet1.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3.xml" ContentType="application/vnd.openxmlformats-officedocument.spreadsheetml.worksheet+xml"/>
  <Override PartName="/xl/worksheets/sheet44.xml" ContentType="application/vnd.openxmlformats-officedocument.spreadsheetml.worksheet+xml"/>
  <Override PartName="/xl/worksheets/sheet4.xml" ContentType="application/vnd.openxmlformats-officedocument.spreadsheetml.worksheet+xml"/>
  <Override PartName="/xl/worksheets/sheet33.xml" ContentType="application/vnd.openxmlformats-officedocument.spreadsheetml.worksheet+xml"/>
  <Override PartName="/xl/worksheets/sheet45.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32.xml" ContentType="application/vnd.openxmlformats-officedocument.spreadsheetml.worksheet+xml"/>
  <Override PartName="/xl/worksheets/sheet11.xml" ContentType="application/vnd.openxmlformats-officedocument.spreadsheetml.worksheet+xml"/>
  <Override PartName="/xl/worksheets/sheet6.xml" ContentType="application/vnd.openxmlformats-officedocument.spreadsheetml.worksheet+xml"/>
  <Override PartName="/xl/worksheets/sheet31.xml" ContentType="application/vnd.openxmlformats-officedocument.spreadsheetml.worksheet+xml"/>
  <Override PartName="/xl/worksheets/sheet9.xml" ContentType="application/vnd.openxmlformats-officedocument.spreadsheetml.worksheet+xml"/>
  <Override PartName="/xl/worksheets/sheet14.xml" ContentType="application/vnd.openxmlformats-officedocument.spreadsheetml.worksheet+xml"/>
  <Override PartName="/xl/worksheets/sheet30.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1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Version" sheetId="1" state="visible" r:id="rId3"/>
    <sheet name="README" sheetId="2" state="visible" r:id="rId4"/>
    <sheet name="Layout_Registry" sheetId="3" state="visible" r:id="rId5"/>
    <sheet name="Assumptions" sheetId="4" state="visible" r:id="rId6"/>
    <sheet name="ILT17_Source" sheetId="5" state="visible" r:id="rId7"/>
    <sheet name="Mortality_Matrix" sheetId="6" state="visible" r:id="rId8"/>
    <sheet name="CMI_Projection" sheetId="7" state="visible" r:id="rId9"/>
    <sheet name="EIOPA_Source" sheetId="8" state="visible" r:id="rId10"/>
    <sheet name="Cohort_Survival" sheetId="9" state="visible" r:id="rId11"/>
    <sheet name="EIOPA_Verification" sheetId="10" state="visible" r:id="rId12"/>
    <sheet name="Mortality" sheetId="11" state="visible" r:id="rId13"/>
    <sheet name="Projection_M" sheetId="12" state="visible" r:id="rId14"/>
    <sheet name="Pricing_M" sheetId="13" state="visible" r:id="rId15"/>
    <sheet name="Reserving_OF_M" sheetId="14" state="visible" r:id="rId16"/>
    <sheet name="Capital_M" sheetId="15" state="visible" r:id="rId17"/>
    <sheet name="Validation_M" sheetId="16" state="visible" r:id="rId18"/>
    <sheet name="Trajectory" sheetId="17" state="visible" r:id="rId19"/>
    <sheet name="Commission_Models" sheetId="18" state="visible" r:id="rId20"/>
    <sheet name="Forfeiture_Basis" sheetId="19" state="visible" r:id="rId21"/>
    <sheet name="Mutualisation" sheetId="20" state="visible" r:id="rId22"/>
    <sheet name="Adequacy" sheetId="21" state="visible" r:id="rId23"/>
    <sheet name="CBD_Stochastic" sheetId="22" state="visible" r:id="rId24"/>
    <sheet name="Panel_Reserving" sheetId="23" state="visible" r:id="rId25"/>
    <sheet name="Capital_Cell" sheetId="24" state="visible" r:id="rId26"/>
    <sheet name="Capital_Panel" sheetId="25" state="visible" r:id="rId27"/>
    <sheet name="Surface_Engine" sheetId="26" state="visible" r:id="rId28"/>
    <sheet name="Lapse_Routes" sheetId="27" state="visible" r:id="rId29"/>
    <sheet name="Sensitivities" sheetId="28" state="visible" r:id="rId30"/>
    <sheet name="Panel_Examples" sheetId="29" state="visible" r:id="rId31"/>
    <sheet name="Discount_Monthly" sheetId="30" state="visible" r:id="rId32"/>
    <sheet name="Discount" sheetId="31" state="visible" r:id="rId33"/>
    <sheet name="Projection" sheetId="32" state="visible" r:id="rId34"/>
    <sheet name="Pricing" sheetId="33" state="visible" r:id="rId35"/>
    <sheet name="ANAV" sheetId="34" state="visible" r:id="rId36"/>
    <sheet name="Reserving" sheetId="35" state="visible" r:id="rId37"/>
    <sheet name="OwnFunds_SCR" sheetId="36" state="visible" r:id="rId38"/>
    <sheet name="Fairness" sheetId="37" state="visible" r:id="rId39"/>
    <sheet name="Frontier" sheetId="38" state="visible" r:id="rId40"/>
    <sheet name="Reconciliation" sheetId="39" state="visible" r:id="rId41"/>
    <sheet name="Test_C" sheetId="40" state="visible" r:id="rId42"/>
    <sheet name="RiskMargin" sheetId="41" state="visible" r:id="rId43"/>
    <sheet name="Proofs" sheetId="42" state="visible" r:id="rId44"/>
    <sheet name="Reinsurance" sheetId="43" state="visible" r:id="rId45"/>
    <sheet name="Frontier_Curve" sheetId="44" state="visible" r:id="rId46"/>
    <sheet name="Index" sheetId="45" state="visible" r:id="rId47"/>
  </sheets>
  <definedNames>
    <definedName function="false" hidden="false" name="fig_bind_duration" vbProcedure="false">Trajectory!$B$165</definedName>
    <definedName function="false" hidden="false" name="fig_bind_monthly" vbProcedure="false">Capital_M!$B$126</definedName>
    <definedName function="false" hidden="false" name="fig_capital_cost_chosen" vbProcedure="false">Commission_Models!$B$284</definedName>
    <definedName function="false" hidden="false" name="fig_capital_cost_exact_scr" vbProcedure="false">Commission_Models!$B$542</definedName>
    <definedName function="false" hidden="false" name="fig_capital_per_margin_2pc" vbProcedure="false">Sensitivities!$G$91</definedName>
    <definedName function="false" hidden="false" name="fig_cell_req" vbProcedure="false">Capital_Cell!$B$77</definedName>
    <definedName function="false" hidden="false" name="fig_cohort_le" vbProcedure="false">Cohort_Survival!$G$71</definedName>
    <definedName function="false" hidden="false" name="fig_commission_pv" vbProcedure="false">Reconciliation!$B$56</definedName>
    <definedName function="false" hidden="false" name="fig_day1" vbProcedure="false">Frontier!$B$23</definedName>
    <definedName function="false" hidden="false" name="fig_day1_exact" vbProcedure="false">Trajectory!$B$164</definedName>
    <definedName function="false" hidden="false" name="fig_day1_monthly" vbProcedure="false">Capital_M!$B$125</definedName>
    <definedName function="false" hidden="false" name="fig_deferral" vbProcedure="false">Assumptions!$B$6</definedName>
    <definedName function="false" hidden="false" name="fig_maxfair_premium" vbProcedure="false">Commission_Models!$B$172</definedName>
    <definedName function="false" hidden="false" name="fig_mwr" vbProcedure="false">Fairness!$B$3</definedName>
    <definedName function="false" hidden="false" name="fig_of_runoff" vbProcedure="false">Reconciliation!$B$53</definedName>
    <definedName function="false" hidden="false" name="fig_of_t0" vbProcedure="false">OwnFunds_SCR!$B$7</definedName>
    <definedName function="false" hidden="false" name="fig_of_t15" vbProcedure="false">OwnFunds_SCR!$E$7</definedName>
    <definedName function="false" hidden="false" name="fig_panel_inadequate" vbProcedure="false">Panel_Reserving!$B$115</definedName>
    <definedName function="false" hidden="false" name="fig_panel_mean" vbProcedure="false">Capital_Panel!$B$1738</definedName>
    <definedName function="false" hidden="false" name="fig_panel_req_central" vbProcedure="false">Capital_Panel!$B$1739</definedName>
    <definedName function="false" hidden="false" name="fig_panel_req_max" vbProcedure="false">Capital_Panel!$B$1735</definedName>
    <definedName function="false" hidden="false" name="fig_panel_req_min" vbProcedure="false">Capital_Panel!$B$1736</definedName>
    <definedName function="false" hidden="false" name="fig_pool_vest" vbProcedure="false">Projection!$F$19</definedName>
    <definedName function="false" hidden="false" name="fig_premium" vbProcedure="false">Pricing!$B$14</definedName>
    <definedName function="false" hidden="false" name="fig_premium_monthly" vbProcedure="false">Pricing_M!$B$13</definedName>
    <definedName function="false" hidden="false" name="fig_prem_fund" vbProcedure="false">Fairness!$B$4</definedName>
    <definedName function="false" hidden="false" name="fig_ratio_138_cbd" vbProcedure="false">Adequacy!$B$179</definedName>
    <definedName function="false" hidden="false" name="fig_req_excl_rm" vbProcedure="false">Reconciliation!$B$52</definedName>
    <definedName function="false" hidden="false" name="fig_req_postreform" vbProcedure="false">Sensitivities!$B$36</definedName>
    <definedName function="false" hidden="false" name="fig_rm_t0" vbProcedure="false">OwnFunds_SCR!$B$30</definedName>
    <definedName function="false" hidden="false" name="fig_scale_capital" vbProcedure="false">Reconciliation!$B$54</definedName>
    <definedName function="false" hidden="false" name="fig_scr_t10" vbProcedure="false">OwnFunds_SCR!$D$23</definedName>
    <definedName function="false" hidden="false" name="fig_subsidy_pct" vbProcedure="false">Mutualisation!$B$41</definedName>
    <definedName function="false" hidden="false" name="tie_annexb" vbProcedure="false">Surface_Engine!$B$304</definedName>
    <definedName function="false" hidden="false" name="tie_annual_control" vbProcedure="false">Commission_Models!$B$388</definedName>
    <definedName function="false" hidden="false" name="tie_cell_vs_annual" vbProcedure="false">Capital_Cell!$B$85</definedName>
    <definedName function="false" hidden="false" name="tie_cmi" vbProcedure="false">CMI_Projection!$B$153</definedName>
    <definedName function="false" hidden="false" name="tie_derivation" vbProcedure="false">Assumptions!$B$64</definedName>
    <definedName function="false" hidden="false" name="tie_frontier_monotone" vbProcedure="false">Frontier_Curve!$B$57</definedName>
    <definedName function="false" hidden="false" name="tie_frontier_routes" vbProcedure="false">Frontier_Curve!$B$45</definedName>
    <definedName function="false" hidden="false" name="tie_frontier_u0" vbProcedure="false">Frontier_Curve!$B$52</definedName>
    <definedName function="false" hidden="false" name="tie_le_anchors" vbProcedure="false">Cohort_Survival!$B$78</definedName>
    <definedName function="false" hidden="false" name="tie_margin_control" vbProcedure="false">Sensitivities!$B$185</definedName>
    <definedName function="false" hidden="false" name="tie_margin_ownfunds" vbProcedure="false">Sensitivities!$B$189</definedName>
    <definedName function="false" hidden="false" name="tie_monthly_grid" vbProcedure="false">Validation_M!$B$9</definedName>
    <definedName function="false" hidden="false" name="tie_panel_cell" vbProcedure="false">Capital_Panel!$B$1745</definedName>
    <definedName function="false" hidden="false" name="tie_panel_central" vbProcedure="false">Panel_Reserving!$B$130</definedName>
    <definedName function="false" hidden="false" name="tie_postreform_sanity" vbProcedure="false">Sensitivities!$B$264</definedName>
    <definedName function="false" hidden="false" name="tie_presentation" vbProcedure="false">Mortality!$B$64</definedName>
    <definedName function="false" hidden="false" name="tie_scr_construction" vbProcedure="false">Commission_Models!$B$533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<sst xmlns="http://schemas.openxmlformats.org/spreadsheetml/2006/main" count="4065" uniqueCount="2629">
  <si>
    <t xml:space="preserve">Version control — MWP-2026-04 Audit Workbook</t>
  </si>
  <si>
    <t xml:space="preserve">Version</t>
  </si>
  <si>
    <t xml:space="preserve">14.2.0</t>
  </si>
  <si>
    <t xml:space="preserve">Date</t>
  </si>
  <si>
    <t xml:space="preserve">28 July 2026</t>
  </si>
  <si>
    <t xml:space="preserve">Formula count</t>
  </si>
  <si>
    <t xml:space="preserve">Status</t>
  </si>
  <si>
    <t xml:space="preserve">Review release following external peer review of paper v3.0.0: Article 140 citation corrected on face labels, joint-application wording at Assumptions!A24:A25, selection-haircut sensitivity note, README orientation; opens on README. No formula or value changes.</t>
  </si>
  <si>
    <t xml:space="preserve">VERSIONING PROTOCOL (x.y.z)</t>
  </si>
  <si>
    <t xml:space="preserve">MAJOR (x.0.0)</t>
  </si>
  <si>
    <t xml:space="preserve">A change to methodology, basis or definitions that alters any reported figure.</t>
  </si>
  <si>
    <t xml:space="preserve">MINOR (x.y.0)</t>
  </si>
  <si>
    <t xml:space="preserve">New sheet, calculation or proof. Additive; reported figures unchanged.</t>
  </si>
  <si>
    <t xml:space="preserve">PATCH (x.y.z)</t>
  </si>
  <si>
    <t xml:space="preserve">Labels, formatting, notes. No computed value changes.</t>
  </si>
  <si>
    <t xml:space="preserve">Filename</t>
  </si>
  <si>
    <t xml:space="preserve">Every issued file carries its version. No file is overwritten in place.</t>
  </si>
  <si>
    <t xml:space="preserve">On each bump</t>
  </si>
  <si>
    <t xml:space="preserve">Update version, date and formula count on this sheet before issuing.</t>
  </si>
  <si>
    <t xml:space="preserve">CHANGE HISTORY</t>
  </si>
  <si>
    <t xml:space="preserve">Class</t>
  </si>
  <si>
    <t xml:space="preserve">Change</t>
  </si>
  <si>
    <t xml:space="preserve">Effect on reported figures</t>
  </si>
  <si>
    <t xml:space="preserve">1.0.0</t>
  </si>
  <si>
    <t xml:space="preserve">baseline</t>
  </si>
  <si>
    <t xml:space="preserve">Initial audit workbook. Reproduced the published engine figures, which were later shown to be defective.</t>
  </si>
  <si>
    <t xml:space="preserve">Superseded.</t>
  </si>
  <si>
    <t xml:space="preserve">2.0.0</t>
  </si>
  <si>
    <t xml:space="preserve">MAJOR</t>
  </si>
  <si>
    <t xml:space="preserve">From-scratch fully live rebuild. Three source-engine defects corrected: ANAV roll-forward inverted (÷→×); post-vesting BEL survival double-count; expense base €80→€82.</t>
  </si>
  <si>
    <t xml:space="preserve">Checker sign-off obtained at this version.</t>
  </si>
  <si>
    <t xml:space="preserve">3.0.0</t>
  </si>
  <si>
    <t xml:space="preserve">Own funds redefined: commission carried in the BEL as a contract expense; expected profit in future premiums no longer added separately. Coverage struck net of the risk margin, computed live from an annual SCR run-off to age 120. Reinstatement credit derived from primitives. Mortality splice check and switch. Proofs sheet. Reinsurance module.</t>
  </si>
  <si>
    <t xml:space="preserve">All figures change. Own funds at issue €21,705→€5,204. Requirement €43,218→€55,893. Reinsurance conclusion reversed.</t>
  </si>
  <si>
    <t xml:space="preserve">3.1.0</t>
  </si>
  <si>
    <t xml:space="preserve">MINOR</t>
  </si>
  <si>
    <t xml:space="preserve">Withdrew a tautological reserve restatement and replaced it; added proof classification (substantive / identity / sensitivity); added proofs for payout-escalation basis, expense basis and the reinsurance conclusion. Reconciliation and README refreshed.</t>
  </si>
  <si>
    <t xml:space="preserve">None. Formula count 2,755→4,032.</t>
  </si>
  <si>
    <t xml:space="preserve">3.2.0</t>
  </si>
  <si>
    <t xml:space="preserve">Standalone audit. Added the disclosure cells the audit found missing: swap premium and change in requirement at each tested cost; premium at the applied uplift; Day-1 requirement excluding the risk margin. No calculation altered.</t>
  </si>
  <si>
    <t xml:space="preserve">None. Every figure quoted in the paper now traces to a live cell.</t>
  </si>
  <si>
    <t xml:space="preserve">3.3.0</t>
  </si>
  <si>
    <t xml:space="preserve">Completeness check against the working session. Added the premium-capital frontier curve across the full uplift range (new Frontier_Curve sheet), which derives the central finding live: the requirement reaches zero only at a 30% uplift, where the money's-worth ratio is 0.7575. Added a live decomposition on the Reserving sheet separating the commission basis change from the three source-engine defects.</t>
  </si>
  <si>
    <t xml:space="preserve">None to existing figures. New: self-funding uplift 30%, MWR there 0.7575.</t>
  </si>
  <si>
    <t xml:space="preserve">3.4.0</t>
  </si>
  <si>
    <t xml:space="preserve">Added a scale block on the Frontier sheet (capital, premium income and provider margin at book size, and capital committed per euro of margin), so the scale figures quoted in the paper are live rather than arithmetic in prose.</t>
  </si>
  <si>
    <t xml:space="preserve">None. Adds live scale figures at 1,000 policies.</t>
  </si>
  <si>
    <t xml:space="preserve">3.5.0</t>
  </si>
  <si>
    <t xml:space="preserve">Mortality basis documented and externally validated from the M4 bundle. Added the documented build parameters (IILMI bands, Kannisto a/b, long-term rate, seed) to the Mortality sheet; exposed the selection haircut as a live input applied as a ratio to the 0.90 embedded in the table; and added Proof 14, which reproduces the documented cohort life expectancy at entry.</t>
  </si>
  <si>
    <t xml:space="preserve">None. Cohort life expectancy 24.0879 matches the documented value; longevity load over the SAI annuitant median 1.6879 years.</t>
  </si>
  <si>
    <t xml:space="preserve">3.6.0</t>
  </si>
  <si>
    <t xml:space="preserve">Stage 1 of the faithful-replication build. Full M4 mortality matrix added as the primary sourced datum (61 ages x 70 calendar years). Cohort diagonals and cumulative survival derived live for every entry age 60-85, enabling any entry/vest combination on the pricing surface. Monthly discount curve added by log-linear interpolation of the annual EIOPA curve. Both layers carry live validation.</t>
  </si>
  <si>
    <t xml:space="preserve">None to existing figures. Six documented cohort life expectancies reproduced (max difference 9.8e-10); monthly curve ties exactly to annual at integer years.</t>
  </si>
  <si>
    <t xml:space="preserve">4.0.0</t>
  </si>
  <si>
    <t xml:space="preserve">Ground-up verification against citable primary source. ILT17 published qx for both sexes, ages 60-105, transcribed from the CSO release and carried as the base datum, with the both-sexes average, IILMI bands and haircut applied live. The documented Kannisto tail parameters are tested against the source over their stated fitting range. The M4 matrix is decomposed against the source to expose the implied CMI projection factor for inspection.</t>
  </si>
  <si>
    <t xml:space="preserve">No reported figure changes. Two findings: the high-age non-monotonicity is inherited from the published CSO table for both sexes, not introduced by the splice; and the CMI_2022 projection layer cannot be independently reconstructed from the supplied files, so it is corroborated rather than verified.</t>
  </si>
  <si>
    <t xml:space="preserve">4.1.0</t>
  </si>
  <si>
    <t xml:space="preserve">CMI_2022 projection layer rebuilt and verified. The full projection is reconstructed live from the documented CBD kappa-series and drift, the CBD reference age, the convergence-period and long-term-rate structures, and the cubic-Hermite convergence shape — with the model structure verified against the CMI Mortality Projections Committee published description. The empirical 2016-2022 roll is expressed in closed form: the improvement product telescopes to the ratio of CBD rates at the two dates.</t>
  </si>
  <si>
    <t xml:space="preserve">None. Rebuilt projection reproduces the supplied matrix across all 4,270 cells to a maximum relative difference of 4.3e-08, at the rounding precision of the supplied file. The last unverified mortality layer is discharged.</t>
  </si>
  <si>
    <t xml:space="preserve">4.2.0</t>
  </si>
  <si>
    <t xml:space="preserve">EIOPA discount basis tested against source and against the Smith-Wilson closed form. Provenance of the publication confirmed. FINDING: the curve input in the engine tree is a reconstruction, not the published curve, and its long end is flat — it fails the Smith-Wilson test and does not converge to the ultimate forward rate. A UFR-converging alternative tail was built on the documented parameters to size the exposure.</t>
  </si>
  <si>
    <t xml:space="preserve">No reported figure changes. The long-end error is worth €29 on a €164,384 payout leg (0.018%), heavily damped by low survivorship past age 100. The discount basis is nonetheless recorded as UNVERIFIED pending the published file.</t>
  </si>
  <si>
    <t xml:space="preserve">5.0.0</t>
  </si>
  <si>
    <t xml:space="preserve">Discount basis replaced with the published EIOPA curve. EIOPA_RFR_20260531_Term_Structures.xlsx, sheet RFR_spot_no_VA, column Euro: 150 published annual spot rates loaded as the primary sourced datum, with the Discount sheet reading them live. Every curve parameter is now read from the publication rather than the scope memo. The Smith-Wilson closed-form test passes against a tolerance derived from the publication rounding precision.</t>
  </si>
  <si>
    <t xml:space="preserve">Day-1 requirement 55,893 to 55,892; fair repricing 31,877 to 31,876; premium and MWR unchanged. The superseded reconstruction matched the publication exactly to maturity 49 and went flat thereafter, drifting up to 1.3 bps by maturity 55 — worth about one euro per policy.</t>
  </si>
  <si>
    <t xml:space="preserve">All source layers verified</t>
  </si>
  <si>
    <t xml:space="preserve">Mortality: ILT17 from CSO, Kannisto tested against source, CMI projection rebuilt. Discount: published EIOPA curve, parameters and extrapolation verified. No layer outstanding.</t>
  </si>
  <si>
    <t xml:space="preserve">5.1.0</t>
  </si>
  <si>
    <t xml:space="preserve">Stage 2 — monthly engine. Projection_M (661 months, constant-force decrements, monthly-in-advance premium and annuity, heaped commission as a first-month strain), Pricing_M (monthly equivalence premium solved on the monthly basis), Reserving_OF_M (monthly reserve, fund and own funds at the five timepoints), Validation_M (grid proof plus a reconciliation of the divergence from the annual basis).</t>
  </si>
  <si>
    <t xml:space="preserve">Annual reported figures unchanged. New monthly figures: premium EUR 919.04 per month (EUR 11,028.53 annualised, 1.49% below the annual basis); own funds 4,877 / 3,330 / -67 / -5,974 / -7,046. Grid validated: imposing annual timing on the monthly grid reproduces the annual payout leg exactly.</t>
  </si>
  <si>
    <t xml:space="preserve">6.0.0</t>
  </si>
  <si>
    <t xml:space="preserve">Stage 2 completed with the Trajectory sheet, the full own-funds curve year by year to age 120 on both bases. Building it exposed a defect the five reported timepoints had hidden: the asset roll-forward deducted commission at the level factor while the best-estimate liability priced it on the heaped schedule. The two sides are now aligned on the heaped schedule. Proof 15 added to detect any recurrence.</t>
  </si>
  <si>
    <t xml:space="preserve">Own funds at t=5 fall from 9,929 to 2,941 and at t=10 from 2,585 to -920. Accumulated fund at t=5 and t=10 falls correspondingly. Figures at vesting and beyond are unchanged, since all commission falls within the deferral and the two schedules have identical present value. Day-1 requirement, premium and MWR unchanged.</t>
  </si>
  <si>
    <t xml:space="preserve">6.1.0</t>
  </si>
  <si>
    <t xml:space="preserve">Stage 3 — the four commission models of Annex B.3 built as a live parameter table driving pricing, reserving, own funds and the capital requirement: heaped plus trail, zero, level 20% flat, and the industry reference. Model 1 reproduces the published trajectory exactly. A diagnostic decomposes own funds at inception and shows the model ranking is driven by a pricing convention, and the comparison is repeated with that convention corrected.</t>
  </si>
  <si>
    <t xml:space="preserve">No change to published figures. Premiums 11,195.73 / 9,572.18 / 12,058.46 / 11,541.10. On the published convention the requirement falls as commission rises, which is a windfall from charging commission on forfeited premiums, not economics. On the corrected convention the ranking is economic: 57,588 / 60,244 / 60,800 / 61,628.</t>
  </si>
  <si>
    <t xml:space="preserve">6.2.0</t>
  </si>
  <si>
    <t xml:space="preserve">Forfeiture_Basis sheet added, testing whether the forfeiture credit in the pricing basis is real income or the same premiums counted twice. Prompted by the author flagging that commission, provider margin and own funds had previously been mis-specified in a way that produced a similar counter-intuitive result. Contains a two-policy worked example, the funding-base overstatement on the central case, the corrected basis, and the decisive internal-inconsistency check.</t>
  </si>
  <si>
    <t xml:space="preserve">Published figures UNCHANGED — the finding is quantified, not applied. On the corrected basis the premium rises 8.41% to 12,137.79, own funds are positive throughout, and the Day-1 requirement falls from 55,892 to 34,268. Money-worth ratio falls to 0.9083, leaving only 0.93% of fairness headroom.</t>
  </si>
  <si>
    <t xml:space="preserve">6.3.0</t>
  </si>
  <si>
    <t xml:space="preserve">Mutualisation sheet added, at the author's direction that forfeiture is the basis of the subsidy and the workbook was not showing it. Three parts: the pool money balance, which tests adequacy without reference to any comparison premium; the subsidy quantified per surviving member; and the money-worth consequence. The circular phrasing on Forfeiture_Basis has been corrected — adequacy is settled by the money balance, not by comparison with a reference premium.</t>
  </si>
  <si>
    <t xml:space="preserve">Published figures unchanged. At the published premium the pool receives 117,311 and pays 121,978, a loss of 4,667 before margin and 8,186 short of the intended margin. The subsidy is real and large: the pool holds 15.65 units of premium PV per surviving member against that member's own 12.40, a 26.2% subsidy worth 39,448.</t>
  </si>
  <si>
    <t xml:space="preserve">6.4.0</t>
  </si>
  <si>
    <t xml:space="preserve">Receipts decomposed by payer group to settle whether an income leg is missing. Every premium the pool receives is paid by a member who reaches vesting, lapses, or dies: those three groups sum to total receipts with a residual of exactly zero. The subsidy is derived a second, independent way and agrees to zero.</t>
  </si>
  <si>
    <t xml:space="preserve">Published figures unchanged. Receipts split 8.3019 / 0.9960 / 1.1803 per unit premium across survivors, lapsers and decedents. Subsidy 2.1763 in total, 3.2500 per surviving member, matching Part 2 exactly. The pricing forfeiture leg of 0.8817 is a component of receipts, not an addition. Death forfeiture is 54% of the subsidy, larger than lapse.</t>
  </si>
  <si>
    <t xml:space="preserve">7.0.0</t>
  </si>
  <si>
    <t xml:space="preserve">Pricing basis corrected and APPLIED. The funding base is now premiums actually received; the forfeiture leg is retained as a diagnostic only. The forfeiture credit was a component of receipts, not an addition, and adding it counted lapsers premiums twice. The same correction removes the commission-on-forfeiture windfall, since commission is now charged and paid on the same base. Applied across the annual chain, the monthly chain, the stressed liabilities, the frontier uplift columns and the commission models.</t>
  </si>
  <si>
    <t xml:space="preserve">Premium 11,195.73 to 12,137.79. Money-worth ratio 0.9848 to 0.9083, above the 0.90 floor. Own funds now POSITIVE throughout: 3,815 / 4,353 / 5,084 / 6,038 / 7,121, and equal to the provider margin at inception. Day-1 requirement 55,892 to 36,770, binding at t=10. The pool balances exactly: receipts 127,182, payments 123,367, margin earned equals margin intended.</t>
  </si>
  <si>
    <t xml:space="preserve">Any change to a figure above requires a version bump and a new file.</t>
  </si>
  <si>
    <t xml:space="preserve">Basis status</t>
  </si>
  <si>
    <t xml:space="preserve">All source layers verified. Pricing basis corrected and applied. No open items.</t>
  </si>
  <si>
    <t xml:space="preserve">7.1.0</t>
  </si>
  <si>
    <t xml:space="preserve">Stage 4 — reserving adequacy. A longevity decrement block spanning multipliers 0.80 to 0.60 lets any stochastic charge be expressed on the Article 138 scale; the 0.80 column reproduces the Article 138 charge exactly. The CBD 99.5% comparator is translated from the published Article 138/CBD ratio and expressed as an implied decrement multiplier. Premium adequacy against technical provisions added.</t>
  </si>
  <si>
    <t xml:space="preserve">No change to reported figures. Article 138 charges 29.1% less than the CBD 99.5% measure for the reference cell: 14,441 against an implied 20,373. The stochastic measure is equivalent to a decrement multiplier of 0.734 rather than 0.80. Verdict on the standard formula: INADEQUATE.</t>
  </si>
  <si>
    <t xml:space="preserve">OPEN ITEM — narrowed</t>
  </si>
  <si>
    <t xml:space="preserve">Annex A's absolute life expectancies are not reproducible from its published parameters (uniform 3.6% gap). The stress shifts and the verdict are. Cause is a life-expectancy convention the annex does not state.</t>
  </si>
  <si>
    <t xml:space="preserve">7.2.0</t>
  </si>
  <si>
    <t xml:space="preserve">Stage 4 completed. The CBD stochastic basis is rebuilt from the Annex A parameters — kappa at 2022, drift, innovation covariance and correlation — with a 99.5% adverse trend path derived from the covariance rather than borrowed. The Adequacy sheet now reads a reproduced ratio in place of a published one.</t>
  </si>
  <si>
    <t xml:space="preserve">No change to reported figures. Article 138 delivers 0.767 of the 99.5% longevity shock at entry age 65 against a published 0.763; verdicts agree at all three ages tested — inadequate at 65, marginal at 75, exceeds at 85. Absolute life expectancies do not reproduce, by a uniform 3.6%, and that is recorded as a limitation.</t>
  </si>
  <si>
    <t xml:space="preserve">7.3.0</t>
  </si>
  <si>
    <t xml:space="preserve">The CBD 99.5% stress is now applied directly to the liability as an age-varying ratio surface, rather than translated from a life-expectancy ratio. Both charges are then computed the same way and are directly comparable. The life-expectancy route is retained but marked superseded.</t>
  </si>
  <si>
    <t xml:space="preserve">No change to reported figures. The stress is not flat: the equivalent multiplier runs from 0.93 at age 65 to 0.58 at age 100 against Article 138's flat 0.80. On a liability-weighted basis Article 138 delivers 0.545 of the stochastic charge, a shortfall of 45.5% or EUR 12,048 of capital, and the equivalent flat multiplier is 0.672. The life-expectancy route gave 0.767 because life expectancy weights early ages where the stress is mild.</t>
  </si>
  <si>
    <t xml:space="preserve">7.4.0</t>
  </si>
  <si>
    <t xml:space="preserve">Stage 5 — the pricing surface. A duration-indexed engine carries discount, escalation, expense and lapse persistency, with mortality survival read live from Cohort_Survival for each of sixteen entry ages. Six 16x16 grids are then built over it: premium PV, commission PV, annuity PV, expense PV, annual premium and monthly premium, spanning entry ages 60-75 against vesting ages 75-90. The discount curve was extended to duration 60 so that entry age 60 can be carried to age 120.</t>
  </si>
  <si>
    <t xml:space="preserve">No change to reported figures. The surface reproduces the central case exactly: all four present-value components agree to zero and the premium at the central-case income is 12,137.79, matching the paper. Note recorded that the premium is not proportional to the income secured, because administration expense is a fixed amount per policy.</t>
  </si>
  <si>
    <t xml:space="preserve">7.5.0</t>
  </si>
  <si>
    <t xml:space="preserve">Stage 6 — sensitivities and levers. Lapse_Routes builds the four-mechanism decomposition and reconciles the two candidate calibrations. Sensitivities covers the lapse calibration, selection strength, the post-reform cost of capital, cost of cover as a running charge, and partial cession. The lapse calibration is now a switch on Assumptions!B50 with three settings: engine, scope-locked, and adverse.</t>
  </si>
  <si>
    <t xml:space="preserve">No change to reported figures at the default setting. Two findings: the four routes reproduce the scope-locked curve exactly on affordability 1.0%, rational late lapse 0.3% and a five-year regret taper; and the engine curve is the locked curve plus a uniform 25 basis points, which is what holds the money-worth ratio above the fairness floor. On the locked curve the ratio is 0.8952 and the product breaches it.</t>
  </si>
  <si>
    <t xml:space="preserve">FAIRNESS FINDING</t>
  </si>
  <si>
    <t xml:space="preserve">On the documented lapse basis the product does not clear the 0.90 money-worth floor under any commission-bearing distribution structure. The equivalence premium gives 0.8952.</t>
  </si>
  <si>
    <t xml:space="preserve">7.6.0</t>
  </si>
  <si>
    <t xml:space="preserve">Adequacy classifier corrected to the thresholds the paper body documents in §6.4 — inadequate below 0.75, marginal 0.75 to 0.95, exceeds at or above 0.95. Previously a 0.80/1.00 convention chosen here was used. The origin of the 25 basis point lapse addition was tested against the sources and against a minimal-buffer hypothesis.</t>
  </si>
  <si>
    <t xml:space="preserve">Liability-weighted verdict unchanged at INADEQUATE, 0.545 being far below 0.75. Life-expectancy-based verdicts at ages 65 and 75 move to marginal and exceeds on these thresholds, which exposes that two different criteria exist in the sources. The 25 basis points are 2.7 times what clearing the fairness floor requires, so they are not a minimal buffer, and the sources do not document them.</t>
  </si>
  <si>
    <t xml:space="preserve">8.0.0</t>
  </si>
  <si>
    <t xml:space="preserve">Lapse basis moved to the curve the sources document — year 1 5.8%, year 2 3.1%, years 3-5 1.9%, year 6+ 1.3% — replacing the engine curve, which added an undocumented 25 basis points at every duration. Added an analysis of whether the fairness floor can be cleared by reducing the provider margin or the distribution cost.</t>
  </si>
  <si>
    <t xml:space="preserve">All figures change. Premium 12,137.79 to 12,316.07. Money-worth ratio 0.9083 to 0.8952, which BREACHES the 0.90 fairness floor. Own funds remain positive throughout at 3,913 to 7,303. Day-1 requirement 36,770 to 36,744. Only the zero-commission structure clears the floor, at 1.0458; every commission-bearing structure breaches it.</t>
  </si>
  <si>
    <t xml:space="preserve">8.1.0</t>
  </si>
  <si>
    <t xml:space="preserve">A fifth commission structure added, sized to the product rather than taken from market practice. The money-worth ratio is the ratio of two mortality-only present values, so setting it to the floor pins the maximum fair premium independently of the loadings. Solving the equivalence identity at that premium gives the commission the product can carry, expressed as a menu of year-one and trail combinations.</t>
  </si>
  <si>
    <t xml:space="preserve">No change to reported figures. Maximum fair premium 12,250.22, which the equivalence premium exceeds by 65.84 or 0.53%. The product can carry a commission factor of 13.5234% against 13.9697% currently. Holding the full year-one payment, the trail comes down from 5.0% to 4.507% — a tenth of the trail — and the ratio sits exactly at the floor.</t>
  </si>
  <si>
    <t xml:space="preserve">8.2.0</t>
  </si>
  <si>
    <t xml:space="preserve">Commission right-sizing remodelled at market granularity. A solved trail of 4.507% is not a rate the market writes and leaves no operating space, so the analysis now spans quarter-point trail rates against year-one payments of 0 to 100%, reports the headroom each leaves above the fairness floor, and prices the capital cost of that headroom.</t>
  </si>
  <si>
    <t xml:space="preserve">No change to reported figures. Recommended structure: year-one payment held at 100% with the trail cut from 5.0% to 1.0%. Money-worth ratio 0.9342, headroom 3.4 ratio points, additional capital 275 per policy — under one per cent of the requirement. Reducing the year-one payment is more powerful but less well targeted.</t>
  </si>
  <si>
    <t xml:space="preserve">8.3.0</t>
  </si>
  <si>
    <t xml:space="preserve">Stage 5 completed. Panel_Examples adds the seven-by-four headline panel and the six worked examples, both read live off the surface engine, across five commission structures including the right-sized one.</t>
  </si>
  <si>
    <t xml:space="preserve">No change to reported figures. Examples and panel agree exactly where they overlap. Income targets are inception-dated, consistent with the pricing basis; the published tables used income stated at vesting.</t>
  </si>
  <si>
    <t xml:space="preserve">9.0.0</t>
  </si>
  <si>
    <t xml:space="preserve">Liveness remediation following an independent audit of v8.3.0. Two dead inputs wired (Article 138 stress, Article 142 lapse shock); the embedded-matrix haircut and the fairness floor declared as labelled inputs and 1,647 formulas repointed; deferral derived; 662 formulas repointed from a literal entry age to Assumptions!B4 and the age runs on Projection and Adequacy derived; production mortality repointed to the live cohort block and made entry-age aware, with Mortality demoted to a presentation sheet carrying a live tie; three misreporting cells corrected; duplicated constants collapsed to single sources; the stale selection-strength table restated with a live staleness guard.</t>
  </si>
  <si>
    <t xml:space="preserve">No paper-reported figure changes: premium 12,316.07, MWR 0.8952, Day-1 36,744.48, Article 138 / CBD 0.545 all identical. Figures that moved: the three selection-strength rows (which were wrong) and eighteen frontier-curve points at one axis position. Entry age is now genuinely parameterised — entry 70 recalculates with zero errors against 141 before. Full CBD drift precision does not explain the Annex A life-expectancy gap.</t>
  </si>
  <si>
    <t xml:space="preserve">OPEN — reporting layer assumes a 15-year deferral</t>
  </si>
  <si>
    <t xml:space="preserve">RESOLVED at v10.0.0 and closed at v11.0.0: the requirement is now computed at annual resolution for every cell of the seven-by-four panel.</t>
  </si>
  <si>
    <t xml:space="preserve">9.1.0</t>
  </si>
  <si>
    <t xml:space="preserve">Mortality production path rerouted through the derivation, at the author's direction. The chain now runs ILT17_Source, being the CSO published table, into CMI_Projection, which applies the IILMI bands, the Kannisto tail, the CBD kappa-series and drift, the CMI convergence structure and the selection haircut, and thence into Cohort_Survival and Projection. Mortality_Matrix is retained as an independent comparator. The embedded-haircut re-basing constant is no longer used in production, because the derivation applies the declared haircut directly. A text label on Frontier!C4 was mangled by the constant-repointing pass and has been restored; the frontier mechanics were verified by confirming that a zero uplift reproduces the as-priced requirement exactly.</t>
  </si>
  <si>
    <t xml:space="preserve">No figure changes at reported precision. Movement is between 1e-11 and 1e-6 relative, the supplied matrix being rounded to ten decimals while the derivation is not. The comparator tie is preserved and still reports agreement to 4.3e-08 across all 4,270 cells. All fifteen proofs pass.</t>
  </si>
  <si>
    <t xml:space="preserve">9.2.0</t>
  </si>
  <si>
    <t xml:space="preserve">Annex A investigation. Three dead inputs on CBD_Stochastic wired — the terminal age, the projection start year and the innovation covariance, the last now cross-checked against the correlation. Projection blocks extended to age 120 so the closure convention could be tested. A diagnosis block records the candidates eliminated and characterises the residual as an equivalent mortality multiplier.</t>
  </si>
  <si>
    <t xml:space="preserve">No figure changes. The terminal-age closure is eliminated as a cause: survival at 110 is 0.000286, so life expectancy is identical at 110, 115 and 120. The declared covariance is consistent with the correlation to 5.6e-08. The residual is equivalent to a mortality reduction of 8.6% at age 65, 7.4% at 75 and 5.6% at 85 — a pattern rising with age, which additional drift years do not reproduce.</t>
  </si>
  <si>
    <t xml:space="preserve">OPEN — Annex A life expectancies</t>
  </si>
  <si>
    <t xml:space="preserve">Not reproducible from the published parameters. Four candidates tested and eliminated. Equivalent to a mortality reduction of 8.6%/7.4%/5.6% at ages 65/75/85. Requires the annex build scripts, its le_ew.npz output, or a statement of the life-expectancy convention. The paper does not depend on the levels.</t>
  </si>
  <si>
    <t xml:space="preserve">9.3.0</t>
  </si>
  <si>
    <t xml:space="preserve">Annex B rebuild, pricing tables. Three grids added on the published Annex B conventions: monthly premium with income stated at the vesting date, the equivalence-only premium on the published definition excluding expense as well as margin and commission, and the total loading between them. Built in clear space below the existing content after a placement check, following a collision in the first attempt.</t>
  </si>
  <si>
    <t xml:space="preserve">No change to reported figures; the central case reproduces with residual zero. Rebuilt premiums run 8 to 14 per cent above the published figures at short and mid deferrals, reflecting the forfeiture correction and the documented lapse curve, and fall slightly below at the longest deferrals. The two income conventions differ by the escalation factor on the annuity leg alone, confirmed at 1.3367 against 1.3459 with the shortfall being the expense share.</t>
  </si>
  <si>
    <t xml:space="preserve">OPEN — Annex B reserving panels</t>
  </si>
  <si>
    <t xml:space="preserve">B.4 and B.5 require a per-cell SCR and risk margin, which need the reporting layer made deferral-relative first. Blocked on the same item as the multi-cell capital assessment.</t>
  </si>
  <si>
    <t xml:space="preserve">9.4.0</t>
  </si>
  <si>
    <t xml:space="preserve">Structural safeguards against the error class that has recurred in this project. Layout_Registry sheet added, recording the last used row and a safe start row for every sheet, so block placement is a lookup rather than offset arithmetic. Twenty defined names added for every reported figure and every internal tie, so results are read by name rather than by coordinate. The two remaining dead inputs closed: the embedded-haircut constant relabelled as historical, the CBD projection start year wired.</t>
  </si>
  <si>
    <t xml:space="preserve">No figure changes. Twelve anchor figures and six internal ties verified unchanged; all fifteen proofs pass.</t>
  </si>
  <si>
    <t xml:space="preserve">10.0.0</t>
  </si>
  <si>
    <t xml:space="preserve">Reporting layer made duration-relative — the prerequisite for all multi-cell work. An annual capital-requirement profile is computed at every year to age 120 from the existing annual SCR strip and the annual own-funds curve, so the requirement is located exactly rather than sampled at five fixed timepoints. Vesting is derived from the deferral. Proofs 7b and 11 now locate vesting from the deferral, and Proof 14 reads the documented life-expectancy anchor for whichever entry age is set.</t>
  </si>
  <si>
    <t xml:space="preserve">The exact requirement is 36,779.69 binding at duration 8, seven years before vesting, against the sampled 36,744.48 at duration 10 — the five-point grid understated by 35.21, or 0.10%. All fifteen proofs now pass at entry age 70 as well as 65, where three previously failed. Proof 14 validates against a second independent anchor, 19.2639 years at entry 70.</t>
  </si>
  <si>
    <t xml:space="preserve">10.1.0</t>
  </si>
  <si>
    <t xml:space="preserve">Monthly capital assessment built — the last component of the monthly engine, absent from both prior monthly companions, which carried the annual SCR as a fixed input. Projection_M extended with monthly stressed in-force and liability paths for Article 138, Article 142 up and down, and Article 140, with stresses applied to the annual rate and converted on the same constant-force basis. Capital_M computes the SCR, the Article 77b risk margin and the requirement at annual valuation dates.</t>
  </si>
  <si>
    <t xml:space="preserve">No existing figure changes. Monthly stressed in-force ties exactly to the annual model at every annual boundary for all three decrement stresses, so SCR differences are cashflow timing alone. The monthly requirement is 36,425.77 at duration 10, against 36,779.69 at duration 8 on the annual basis — 353.92 lower, or 0.96%. The expectation that the monthly basis would be worse was wrong.</t>
  </si>
  <si>
    <t xml:space="preserve">10.2.0</t>
  </si>
  <si>
    <t xml:space="preserve">Per-cell reserving adequacy panel rebuilt on the corrected basis — the seven-by-four grid from Phase F sheet V07_Reserving_Panel. Stressed survival is computed by entry age for both Article 138 and the CBD 99.5% age-and-horizon ratio surface, and the liability is recomputed under each. Closes the scope limitation recorded at §11.1 of the paper for the adequacy finding.</t>
  </si>
  <si>
    <t xml:space="preserve">No existing figure changes. Every one of the twenty-seven cells reads inadequate, against thirteen inadequate and fourteen marginal in the published panel; the ratio falls by between 0.14 and 0.31, mean 0.21. The cause is applying the stress directly to the liability rather than translating a life-expectancy ratio. The entry 65 / vesting 80 cell reproduces the Adequacy sheet's central-case ratio by an independent route.</t>
  </si>
  <si>
    <t xml:space="preserve">10.3.0</t>
  </si>
  <si>
    <t xml:space="preserve">Per-cell capital machinery built and proved on one cell. Duration-indexed stressed lapse persistency added to Surface_Engine, serving every entry and vesting combination. Capital_Cell computes the full requirement profile for a single cell using backward recursion for the tail present values and the risk margin and forward recursion for accumulated assets, with stressed liabilities renormalised at each valuation date. A defect was corrected in the Panel_Reserving stressed survival, which decayed beyond the mortality table's terminal age instead of terminating.</t>
  </si>
  <si>
    <t xml:space="preserve">No existing figure changes. The single cell, scaled to the central-case income, gives 36,784.97 against the annual basis 36,779.69 — a difference of 5.28 on 36,780, or 0.014% — and both bind at duration 8. The two routes share nothing but the assumptions. The residual is the expense leg, which does not scale with the benefit.</t>
  </si>
  <si>
    <t xml:space="preserve">11.0.0</t>
  </si>
  <si>
    <t xml:space="preserve">Per-cell capital requirement built across the full seven-by-four panel — twenty-seven cells, each carrying a complete requirement profile at annual resolution to age 120, with its own SCR strip and Article 77b risk margin. Closes the scope limitation recorded at §11.1 of the paper. The entry 65 / vesting 80 cell reproduces the independently built Capital_Cell block exactly.</t>
  </si>
  <si>
    <t xml:space="preserve">No existing figure changes. Requirements per €1,000 of monthly income at vesting range from 14,154 to 23,251 — a factor of 1.64 across entry ages 60 to 75 and deferrals of 3 to 30 years. The central case at 20,499 sits close to the panel mean of 18,864. The binding duration is consistently about half the deferral.</t>
  </si>
  <si>
    <t xml:space="preserve">11.1.0</t>
  </si>
  <si>
    <t xml:space="preserve">Annex B pricing panel completed. B.3 built as a seven-by-four grid across five commission structures on the at-vesting income convention, with the commission factor computed per cell rather than taken as a constant. Every table Annex B requires is now live in the workbook.</t>
  </si>
  <si>
    <t xml:space="preserve">No existing figure changes. The heaped column reproduces the B.1 surface exactly. The cell-specific factor ranges from 11.1% at a thirty-year deferral to 17.2% at a ten-year one, confirming that a heaped payment is a larger share of a short premium base.</t>
  </si>
  <si>
    <t xml:space="preserve">12.0.0</t>
  </si>
  <si>
    <t xml:space="preserve">Every downstream calculation repointed from the five-timepoint sampled requirement to the exact requirement computed at annual resolution. The reinsurance comparison, the sensitivities, the frontier curve and the reconciliation now read Trajectory. A decomposition at the exact binding duration is added to Reconciliation, with a tie against the requirement.</t>
  </si>
  <si>
    <t xml:space="preserve">The reported requirement changes from 36,744.48, sampled at duration 10, to 36,779.69, exact at duration 8. Capital per euro of lifetime margin moves from 9.39 to 9.40. The decomposition changes with the binding date: solvency capital 23,125 and risk margin 19,560 against own funds of 5,905. The post-reform requirement becomes 32,705, a reduction of 11.1% rather than 10.6%, because the risk margin is larger at the earlier binding date. A blunt repoint broke six cells on each of two sheets by substituting inside a MATCH that was locating a timepoint rather than comparing a value; both were rebuilt on the annual profile.</t>
  </si>
  <si>
    <t xml:space="preserve">12.1.0</t>
  </si>
  <si>
    <t xml:space="preserve">Eight quantities quoted in the paper but previously derived by hand rather than held as cells are now live on Reconciliation, so they can be traced: the requirement excluding the risk margin, own funds at run-off, the two book-scale figures, the absolute present value of commission, commission per unit of premium, the lifetime margin, and commission as a multiple of that margin.</t>
  </si>
  <si>
    <t xml:space="preserve">No existing figure changes. Added because a precision-aware traceability check found that a relative-tolerance check had become unreliable at 82,000 numeric cells and was passing figures by coincidence. The absolute commission present value is 18,222, not the 17,210 the paper stated.</t>
  </si>
  <si>
    <t xml:space="preserve">12.1.1</t>
  </si>
  <si>
    <t xml:space="preserve">PATCH</t>
  </si>
  <si>
    <t xml:space="preserve">WITHDRAWN, not issued. Layout_Registry rebuilt, but the registry was derived before the Version-sheet changelog row was added, so the Version row of the registry recorded a stale extent. Detected by the registry integrity check before issue.</t>
  </si>
  <si>
    <t xml:space="preserve">None. Superseded by 12.1.2 before issue.</t>
  </si>
  <si>
    <t xml:space="preserve">12.1.2</t>
  </si>
  <si>
    <t xml:space="preserve">Layout_Registry columns B, C, D and E re-derived from the file as issued. Columns D and E had been displaced relative to column A - by one row from the Capital_M insertion and by four from the Panel_Reserving, Capital_Cell and Capital_Panel insertions - so 36 of 39 occupied-range cells described the wrong sheet, 15 of 38 defined names were attributed to the wrong sheet and 15 were omitted. The column D header is corrected from "col A" to "any column", which is the convention the rows that were correct actually follow. A standing integrity check is now available and fails on v12.1.0 with 57 inconsistencies. No formula changed.</t>
  </si>
  <si>
    <t xml:space="preserve">None. All 38 defined names and 9 ties bit-identical to v12.1.0; recalculation reports zero errors on 72,965 formulas; 14 proof verdicts unchanged.</t>
  </si>
  <si>
    <t xml:space="preserve">12.2.0</t>
  </si>
  <si>
    <t xml:space="preserve">Frontier_Curve block collision repaired. A three-cell annotation had been written over the u = 0 row of the curve: H4 and H5 held text where the t = 20 requirement belonged, and I4 held the fairness-binding uplift where MAX(D4:H4) belonged. Consequences: I4 read -0.0053, so K4 returned the uplift instead of the sentinel and B26 reported that the requirement reaches zero at a zero uplift - the opposite of the purpose stated at A2. I5 had also been computing MAX over a range containing a string, silently excluding the t = 20 requirement. All three cells restored. The displaced annotation is relocated to row 41 as a two-route cross-check rather than deleted. Three ties added: the curve at u = 0 against the as-priced requirement; the two routes to the binding uplift; monotonicity of the requirement in the uplift. The sentinel 9 is documented in place; repointing it to a labelled cell is deferred.</t>
  </si>
  <si>
    <t xml:space="preserve">No reported figure changes: all 38 previously defined names bit-identical. Workbook-derived figures corrected: B26 0 to 0.25, B28 0.8952 to 0.7162, H4 text to 27,722.48, I4 -0.0053 to 36,744.48. B29 verdict unchanged, having fired correctly by coincidence and now firing by derivation. Ties 9 to 12.</t>
  </si>
  <si>
    <t xml:space="preserve">13.0.0</t>
  </si>
  <si>
    <t xml:space="preserve">Two basis mismatches corrected. Commission_Models B282 took the maximum over five sampled timepoints while B283 read the exact annual-resolution figure, so B284 - the additional capital the recommended commission structure costs, quoted in the paper, the erratum and the handover - subtracted one basis from another. An annual-resolution requirement profile is now built for the chosen structure, with a control block on default parameters that reproduces Trajectory!B164 as an acceptance test. Forfeiture_Basis B56 took a maximum over t = 15 and t = 20 only against a five-timepoint B57, reporting a change from a correction applied at v7.0.0; both now read the exact figure and the change is zero by construction, consistent with B35, B42, B54 and B70 on the same sheet.</t>
  </si>
  <si>
    <t xml:space="preserve">See the test record. The additional-capital figure moves.</t>
  </si>
  <si>
    <t xml:space="preserve">13.1.0</t>
  </si>
  <si>
    <t xml:space="preserve">W23. The SCR and risk margin had been held at the central model values for every commission structure, justified at A275 as second order before vesting. Since the chosen structure binds at duration 9, which is pre-vesting, the assumption is now tested rather than asserted: the liability cashflow differs between structures only in the pre-vesting commission term, so the chosen structure stressed liabilities, SCR strip and Article 77b risk margin are computed exactly. A control set reproduces the RiskMargin aggregate SCR and central BEL as an acceptance test. RiskMargin H4 also carries a hardcoded deferral of 15 in the mass-lapse gate; the new block uses Assumptions B6.</t>
  </si>
  <si>
    <t xml:space="preserve">See the test record on the sheet.</t>
  </si>
  <si>
    <t xml:space="preserve">13.2.0</t>
  </si>
  <si>
    <t xml:space="preserve">W19 and W24. Capital_Panel carried the deferral as a literal inside the formulas of all 27 blocks - 21384 occurrences of the "&lt;D," gate and 6588 of the ",D+1)" index form, across 18090 cells and 15 distinct deferral values. Each block header row now carries its entry age, vesting age and derived deferral in columns O, P and Q, with entry and vesting as live references to the summary grid, and every formula in the block reads the deferral from Q of its own header row. RiskMargin column H carried a literal 15 in the mass-lapse gate; 56 cells now read Assumptions!B6. The deferral is 15 at the central case, so no value changes; the point is that it now follows if an axis age moves, which is the defect class v9.0.0 remediated elsewhere.</t>
  </si>
  <si>
    <t xml:space="preserve">None. B1737 gains a zero guard, value unchanged at 1.64267935474228. All 27 panel requirements, the summary block, the RiskMargin strip and all 45 defined names bit-identical.</t>
  </si>
  <si>
    <t xml:space="preserve">13.2.1</t>
  </si>
  <si>
    <t xml:space="preserve">Navigation and labelling. The per-block entry, vesting and deferral cells added at v13.2.0 in columns O, P and Q of each Capital_Panel block header had no column headers, so a reader met three unlabelled numbers 27 times; they are now labelled on the row beneath. The block header text in column A was a static string still asserting a deferral value, which could have fallen out of step with the live cell beside it; it is now generated from O, P and Q. Contents pointers added at the top of Commission_Models and Frontier_Curve, both of which gained large blocks during remediation. Version status line updated. No computed value changes.</t>
  </si>
  <si>
    <t xml:space="preserve">None. The 27 generated header strings are byte-identical to the static strings they replace.</t>
  </si>
  <si>
    <t xml:space="preserve">13.2.2</t>
  </si>
  <si>
    <t xml:space="preserve">Prose and label batch, 33 cells. Every statement that contradicted the cell beside it is corrected: Forfeiture_Basis A84 read "STATUS — NOT APPLIED" for a correction applied at v7.0.0; CBD_Stochastic A151 called the Annex A gap uniform when B119:D121 above it show it widening with age; Capital_Panel A1751 called the binding duration half the deferral when the grid seven rows above shows 0.286 to 0.852; Commission_Models A129 and A132 described a windfall that A144 records as removed; Lapse_Routes A55 said DECISION REQUIRED for a decision taken at v8.0.0; OwnFunds_SCR A1 gave a third definition of coverage matching neither row 24 nor row 32; Pricing and Pricing_M A2 carried the superseded identity including a forfeiture term removed at v7.0.0; Proofs A47 named a superseded commission factor and is now generated from the live cell; Sensitivities A14 and A96 carried superseded requirement figures and are now generated from Trajectory B164. PROOF 15 gains the heading it lacked. Adequacy 71, 89, 90 and 102 gain the basis their verdicts depend on. The exclusion sentinel is documented. A dead term neutralised with *0 is removed from Validation_M B48.  WITHDRAWN — see 13.2.3.</t>
  </si>
  <si>
    <t xml:space="preserve">Withdrawn. Four cells lost pre-existing content; corrected at 13.2.3.</t>
  </si>
  <si>
    <t xml:space="preserve">13.2.3</t>
  </si>
  <si>
    <t xml:space="preserve">Repairs to 13.2.2, which overwrote pre-existing content in four cells. Proofs A211 held the opening sentence of Proof 15 and was overwritten by the heading; the sentence is restored with the heading prepended. Adequacy A89 is a genuine section heading with a value beside it, and A90 was the label for the ratio at B90; both are restored and B89 is labelled in the free cell C89 instead. Forfeiture_Basis A2 and Sensitivities A14 each lost a clause; both restored, with the Sensitivities figure kept live. Cause: 33 cells were written in one pass without reading each target first. No numeric cell moves.</t>
  </si>
  <si>
    <t xml:space="preserve">None. All 45 defined names and 14 ties bit-identical; no numeric cell changes.</t>
  </si>
  <si>
    <t xml:space="preserve">13.3.0</t>
  </si>
  <si>
    <t xml:space="preserve">Three repoints, each moving a displayed value onto the figure already established as correct. README B28 read Frontier!B23, the five-timepoint sampled requirement, where Frontier!A40 instructs that the exact profile governs and Trajectory!B164 should be used; it now reads Trajectory!B164. Frontier B36 computed capital per euro of lifetime margin from the sampled requirement, giving a second answer to a quantity Reconciliation!B49 already computes exactly; it now reads that single cell. Commission_Models C139:F139, labelled as a check of own funds at inception, subtracted own funds from the fairness floor at row 135 - the wrong reference - returning about -4,000 and leaving the verdict at C140 reading "review". The intended check is own funds at inception against the provider margin, which is 3% x premium x the premium present-value factor; that reproduces rows 98 to 101 to 1e-11 under all four models. The row is corrected, the verdict now evaluates through SUMPRODUCT so the array comparison works, and its message no longer describes the pre-v7.0.0 windfall that A144 records as removed.</t>
  </si>
  <si>
    <t xml:space="preserve">README B28 36,744.48 to 36,779.69. Frontier B36 9.38970523938373 to 9.39870407357901, matching Reconciliation B49. Commission_Models C139:F139 from about -4,000 to zero, and C140 from "review" to PASS. No defined name and no figure quoted in any document changes.</t>
  </si>
  <si>
    <t xml:space="preserve">13.4.0</t>
  </si>
  <si>
    <t xml:space="preserve">New Index sheet, generated by build_index.py and not to be edited by hand. Part 1 lists every reported figure with its cell, the label on its sheet, its units and basis, a LIVE value, and the paper sections that quote it, derived by searching the paper at the precisions the paper uses. Part 2 lists the ties as internal checks. Part 3 maps 142 headings across the workbook with each sheet last used and safe start row. The Index closes the workbook half of paper item N32 and lets the traceability check verify provenance rather than existence, which properly closes T3. It also reports that 13 of the reported figures carry no unit in their label, a measured input to the labelling audit. The paper column is static derived text carrying the paper version and generation date; regenerate it after any paper edit. NOTE ON DATES: issues 12.1.2 to 13.3.0 were produced on 28 July 2026 and carry 27 July in error; the changelog entries themselves are correct.</t>
  </si>
  <si>
    <t xml:space="preserve">None. Additive sheet only; all 45 defined names and 14 ties bit-identical.</t>
  </si>
  <si>
    <t xml:space="preserve">13.5.0</t>
  </si>
  <si>
    <t xml:space="preserve">N13b. Section 7.6 of the paper rejects the provider-margin lever partly on the claim that cutting the margin takes capital per euro of margin past EUR 14, a figure with no cell behind it. The margin block at rows 88 to 96 computed the premium and the money-worth ratio at each margin rate but stopped there. It now also carries the margin earned, the Day-1 requirement at that rate and the ratio. The requirement could not be obtained by division: own funds at inception ARE the margin, so a lower margin lowers own funds and raises the requirement. A requirement profile is therefore built at each of the four rates on the same machinery as the commission-structure profiles, with the 3% column as a control that reproduces Trajectory!B164. SCR and risk margin are held at central-model values per Commission_Models A275, an approximation measured at v13.1.0 as worth about one euro over a comparable premium change, and labelled as one.</t>
  </si>
  <si>
    <t xml:space="preserve">Additive. All 45 previously defined names and 14 ties bit-identical; two names added.</t>
  </si>
  <si>
    <t xml:space="preserve">13.5.1</t>
  </si>
  <si>
    <t xml:space="preserve">Correction to the wording and an addition to the table introduced at 13.5.0. The note at A120 said own funds at inception ARE the provider margin. They are not the same quantity: own funds are a balance-sheet item at each date and accrete from 3,913 at inception to 7,303 at twenty years, while the margin is a fixed present value. They are EQUAL at inception only, by construction of the pricing basis. The distinction matters because the requirement binds at durations 8 to 13, not at inception, where own funds and the margin differ substantially: at a 2% margin the margin falls by 1,335 in present value while own funds at the binding date fall by 1,779. The computed figures were unaffected, the profile having computed own funds from the cashflows at every duration rather than from the margin. Binding duration added as column H; it moves from 8 to 13 as the margin falls, which 13.5.0 did not report. A tie is added proving the 3% column reproduces OwnFunds_SCR B7:F7 at all five published dates, not merely the peak.</t>
  </si>
  <si>
    <t xml:space="preserve">None. No figure changes; binding duration and one tie added.</t>
  </si>
  <si>
    <t xml:space="preserve">13.5.2</t>
  </si>
  <si>
    <t xml:space="preserve">Self-inflicted at v13.2.2 and v13.2.3, corrected here. Explanation had been written into cells that must stay short. Adequacy A71, the PART 2 heading, had gone from 53 characters to 339, and OwnFunds_SCR A1, the sheet title, from 92 to 333. Both consequences were concrete: the Index block map at v13.4.0 lost the Adequacy PART 2 entry and lost OwnFunds_SCR entirely, so the sheet carrying the own-funds and coverage definitions had no entry in the workbook own navigation index. Both are restored to short forms with their content moved to note rows verified empty first, A74 and A3. Adequacy A102 is reverted from a 118-character explanation to "Verdict  [live]", because A103 and A104 two rows below already explain the column basis in full. Forfeiture_Basis A2 was listed with these and is NOT changed: it is the note row, not the title, and length is correct there.</t>
  </si>
  <si>
    <t xml:space="preserve">None. No numeric cell changes; all 48 defined names and 16 ties bit-identical.</t>
  </si>
  <si>
    <t xml:space="preserve">13.5.3</t>
  </si>
  <si>
    <t xml:space="preserve">Index block map regenerated after correcting the generator. It had tested each row-1 title with the same heading detector used for section headings, and that detector is case-sensitive on its keywords, so 14 of 45 sheets were silently absent from the map - Pricing, Pricing_M, Projection, ANAV, OwnFunds_SCR, Fairness, RiskMargin, Reinsurance, Discount, Discount_Monthly, ILT17_Source, Mortality_Matrix, Projection_M and Test_C - because their titles are sentence case. Row 1 is the title on every sheet here, so it is now included unconditionally. This matters beyond navigation: Annex D is to be generated from this map, and would have omitted a third of the workbook. Blocks mapped: 190.</t>
  </si>
  <si>
    <t xml:space="preserve">None. Additive regeneration of a generated sheet; all 48 defined names bit-identical.</t>
  </si>
  <si>
    <t xml:space="preserve">14.0.0</t>
  </si>
  <si>
    <t xml:space="preserve">Three corrections from the independent stage-one/stage-two audit, plus one annotation. (1) Projection_M column X applied the Article 141 level uplift twice — (1+B24)² with a '+1-1' edit residue — omitted the (1+B11) factor of the central leg, and based the escalation one year late. Rebuilt on the annual-consistent form B12·(1+B11)·(1+B24)·(1+B11+B25)^(policy year − 1)/12. Monthly SCR-expense at t=0 falls 597.50 → 381.70; fig_day1_monthly 36,425.77 → 36,317.92 with the binding duration unchanged at 10; Capital_M!B129 (monthly less annual) moves −353.92 → −461.77, i.e. 0.96% → 1.26% below annual. The annual chain is untouched. (2) The post-reform requirement at Sensitivities!B36 was the profile evaluated at the frozen central binding duration; the reform's smaller risk margin moves the peak. B36 is now the maximum of a full 56-row post-reform profile (rows 204–259, built live from Trajectory C:F): 32,704.72 → 32,837.52, the fall 11.08% → 10.72%, binding 8 → 10. The frozen-duration figure is retained as a labelled component at B262, the understatement is displayed at B263, and the block ships with tie_postreform_sanity (B264): the same profile at the current rate must reproduce Trajectory!B164 exactly. fig_req_postreform registered at B36. (3) Commission_Models!A307 quoted €275 for the chosen structure — a sampled-basis remnant (sampled−sampled = 276.14; the like-for-like exact figure is 253.05 at B542); corrected to €253. (4) Horizon-convention note added at CBD_Stochastic!A177 (illustrative √h versus production √(4+h)). Layout_Registry refreshed for Version, Sensitivities, CBD_Stochastic. Index regeneration deferred to the next issue.</t>
  </si>
  <si>
    <t xml:space="preserve">14.1.0</t>
  </si>
  <si>
    <t xml:space="preserve">Documentation release; label-only — no formula or value changes, all 50 anchors bit-identical to v14.0.0. κ-anchor provenance notes at CMI_Projection!A172 and CBD_Stochastic!A187 (B6/B7 equal the fitted 2022 κ from the Annex A pack to ten decimal places, not the trend construction; sensitivity quantified — trend anchor gives premium +€5.60, exact requirement +€7.90, ratio 0.542 vs 0.545; all verdicts unchanged). Horizon-convention note at CBD_Stochastic!A177 restated with its reason (2022-start exposition vs 2026-start production). Column guides beneath the engine sheets: Projection 71–101, Projection_M 677–701, RiskMargin 69–89, Capital_M 163–173. Infeasible-corner note at Surface_Engine!A377. Trajectory block map at A190. README navigation pointer at A42 to Annex D. Face labels carry no version tags — the change history lives in this sheet and the erratum. Layout_Registry refreshed. Formula count unchanged at 76,434.</t>
  </si>
  <si>
    <t xml:space="preserve">Review release (external peer review of paper v3.0.0); label-only — no formula or value changes, all 50 anchors bit-identical, formula count unchanged at 76,434. (1) Legal citation corrected on face labels: the life-expense stress is Article 140 of DR 2015/35 (Article 141 is revision risk); labels at Assumptions!A24:A25 and the engine column guides updated; the parameters and computation are unchanged and were always those of Article 140. Verified against the EIOPA Single Rulebook consolidated text. (2) Assumptions!A24:A25 restated to make explicit that the level and inflation components are applied jointly, with no separate-leg scenario. (3) Selection-haircut sensitivity note at CMI_Projection!A182: removing the ×0.90 haircut gives premium −6.2%, exact requirement −4.5%, MWR 0.894, Article-138÷CBD ratio 0.553; no verdict changes; figures from the independent audit engine. (4) README orientation block at A44; the workbook now opens on README. Layout_Registry refreshed.</t>
  </si>
  <si>
    <t xml:space="preserve">MWP-2026-04 Audit Workbook — v3.0 (26 July 2026). See Version sheet for the change history.</t>
  </si>
  <si>
    <t xml:space="preserve">Version 12.1.0</t>
  </si>
  <si>
    <t xml:space="preserve">MWP-2026-04 — Audit Workbook v2 (corrected build)</t>
  </si>
  <si>
    <t xml:space="preserve">Mortality is DERIVED, not supplied: ILT17_Source → CMI_Projection → Cohort_Survival → Projection. Mortality_Matrix is an independent comparator.</t>
  </si>
  <si>
    <t xml:space="preserve">Read reported figures by defined name (see Layout_Registry column E). Check Layout_Registry before writing to any sheet.</t>
  </si>
  <si>
    <t xml:space="preserve">This workbook is built from first principles, sheet by sheet: assumptions → mortality → discount → projection</t>
  </si>
  <si>
    <t xml:space="preserve">→ pricing → ANAV → reserving → Own Funds/SCR/coverage → fairness → frontier, each layer a live formula on the</t>
  </si>
  <si>
    <t xml:space="preserve">one before it. It supersedes v1, which reproduced an inverted ANAV roll-forward in the source engine.</t>
  </si>
  <si>
    <t xml:space="preserve">THE CORRECTION</t>
  </si>
  <si>
    <t xml:space="preserve">The Accumulated Net Asset Value rolls premiums FORWARD to the valuation date (× the RFR accumulation factor).</t>
  </si>
  <si>
    <t xml:space="preserve">The source engine divided by that factor, discounting premiums instead — valuing €100 paid at issue as €63 at</t>
  </si>
  <si>
    <t xml:space="preserve">year 15, and carrying a trigger fund (€91,396) below the €121,205 of net cash actually paid in. This build</t>
  </si>
  <si>
    <t xml:space="preserve">accumulates forward: ANAV(15)=€157,938, Own Funds(15)=−€7,362, corrected Day-1 capital ≈€15,571/policy.</t>
  </si>
  <si>
    <t xml:space="preserve">BASIS</t>
  </si>
  <si>
    <t xml:space="preserve">31 May 2026 EIOPA EUR no-VA curve · current-rules Solvency II · CoC 6.0% · Article 138 verbatim 20% ·</t>
  </si>
  <si>
    <t xml:space="preserve">M4 mortality (ILT17×IILMI×CMI cohort, 0.90 haircut) · payout CPI 2.0% from inception · expense infl 2.5% ·</t>
  </si>
  <si>
    <t xml:space="preserve">regular premium, forfeiture-on-lapse, mutualised pricing, three-stage reinstatement.</t>
  </si>
  <si>
    <t xml:space="preserve">Green = live formula. Grey italic = sourced input (mortality stack, EIOPA curve, lapse study, engine check).</t>
  </si>
  <si>
    <t xml:space="preserve">An Index sheet at the end of this workbook lists every reported figure with its cell, units and basis, and a block map of the whole file. It is generated; do not edit it by hand.</t>
  </si>
  <si>
    <t xml:space="preserve">Current headline figures (all live in this workbook)</t>
  </si>
  <si>
    <t xml:space="preserve">Equivalence premium (€)</t>
  </si>
  <si>
    <t xml:space="preserve">Money's-worth ratio</t>
  </si>
  <si>
    <t xml:space="preserve">Own funds at issue (€)</t>
  </si>
  <si>
    <t xml:space="preserve">Own funds at vesting (€)</t>
  </si>
  <si>
    <t xml:space="preserve">Risk margin at issue (€)</t>
  </si>
  <si>
    <t xml:space="preserve">As-priced Day-1 capital requirement, exact annual resolution (€/policy)</t>
  </si>
  <si>
    <t xml:space="preserve">Fair-repriced Day-1 own funds, incl. RM (€/policy)</t>
  </si>
  <si>
    <t xml:space="preserve">Every computed figure in this workbook is a live formula. Constants are limited to sourced inputs</t>
  </si>
  <si>
    <t xml:space="preserve">(product terms, correlations, M4 mortality, EIOPA curve) and the paper's published comparison figures.</t>
  </si>
  <si>
    <t xml:space="preserve">NAVIGATION. Companion reader's guide: Annex D — Workbook Guide. First steps: read Version and Layout_Registry; recalculate and confirm zero errors; confirm the anchor figures by defined name (fig_*), never by coordinate. Column guides sit beneath each engine sheet. Three ties carry documented non-zero residuals — tie_cmi, tie_panel_central and tie_cell_vs_annual; their values are the documented ones, not defects.</t>
  </si>
  <si>
    <t xml:space="preserve">ORIENTATION. Start on Assumptions for the basis. The headline figures live under fig_* names (Annex D §D.4) on Pricing, Fairness, Trajectory, Capital_M, Adequacy, Mutualisation and Capital_Panel; every tie_* sits on the sheet where the number it proves is built. The requirement profile on Trajectory is authoritative; five-point tables elsewhere are legacy comparisons.</t>
  </si>
  <si>
    <t xml:space="preserve">Layout registry — occupied row ranges by sheet</t>
  </si>
  <si>
    <t xml:space="preserve">Refreshed at v14.2.0, re-derived from the file as issued. Three collisions have occurred in this project. Check this sheet before writing to any sheet, and refresh it after. Columns D and E were displaced from v10.0.0 to v12.1.0 and are corrected here. Verify with the registry integrity check before issuing.</t>
  </si>
  <si>
    <t xml:space="preserve">'Last used row' is computed from the file as issued. Place new blocks at least ten rows below it.</t>
  </si>
  <si>
    <t xml:space="preserve">sheet</t>
  </si>
  <si>
    <t xml:space="preserve">last used row</t>
  </si>
  <si>
    <t xml:space="preserve">safe start row</t>
  </si>
  <si>
    <t xml:space="preserve">occupied ranges (any column)</t>
  </si>
  <si>
    <t xml:space="preserve">named figures on sheet</t>
  </si>
  <si>
    <t xml:space="preserve">1-1, 3-6, 8-13, 15-29, 31-36, 38-42, 44-48, 50-56, 58-59, 61-64, 66-66, 68-68, 70-70, 72-72, 74-74, 76-76, 78-78, 80-80, 82-82, 84-84, 86-86, 88-88, 90-90, 92-92, 94-94, 96-96, 98-98, 100-100, 102-102, 104-104, 106-106, 108-108, 110-110, 112-112, 114-114, 116-116, 118-118</t>
  </si>
  <si>
    <t xml:space="preserve">README</t>
  </si>
  <si>
    <t xml:space="preserve">1-7, 9-13, 15-18, 20-29, 31-32, 42-42, 44-44</t>
  </si>
  <si>
    <t xml:space="preserve">Assumptions</t>
  </si>
  <si>
    <t xml:space="preserve">1-1, 3-29, 31-33, 35-42, 44-45, 47-47, 49-59, 61-65</t>
  </si>
  <si>
    <t xml:space="preserve">fig_deferral, tie_derivation</t>
  </si>
  <si>
    <t xml:space="preserve">ILT17_Source</t>
  </si>
  <si>
    <t xml:space="preserve">1-4, 6-52, 54-57</t>
  </si>
  <si>
    <t xml:space="preserve">Mortality_Matrix</t>
  </si>
  <si>
    <t xml:space="preserve">1-64</t>
  </si>
  <si>
    <t xml:space="preserve">CMI_Projection</t>
  </si>
  <si>
    <t xml:space="preserve">1-3, 5-19, 22-83, 86-149, 152-155, 157-162, 172-172, 182-182</t>
  </si>
  <si>
    <t xml:space="preserve">tie_cmi</t>
  </si>
  <si>
    <t xml:space="preserve">EIOPA_Source</t>
  </si>
  <si>
    <t xml:space="preserve">1-3, 5-12, 14-14, 16-167</t>
  </si>
  <si>
    <t xml:space="preserve">Cohort_Survival</t>
  </si>
  <si>
    <t xml:space="preserve">1-65, 67-69, 71-71, 73-75, 77-79, 81-81</t>
  </si>
  <si>
    <t xml:space="preserve">fig_cohort_le, tie_le_anchors</t>
  </si>
  <si>
    <t xml:space="preserve">EIOPA_Verification</t>
  </si>
  <si>
    <t xml:space="preserve">1-2, 4-12, 15-20, 22-24, 26-62, 64-66, 68-70, 72-81, 83-87, 89-91, 93-100, 102-104, 106-107</t>
  </si>
  <si>
    <t xml:space="preserve">Mortality</t>
  </si>
  <si>
    <t xml:space="preserve">1-2, 4-60, 62-65</t>
  </si>
  <si>
    <t xml:space="preserve">tie_presentation</t>
  </si>
  <si>
    <t xml:space="preserve">Projection_M</t>
  </si>
  <si>
    <t xml:space="preserve">1-4, 6-667, 677-701</t>
  </si>
  <si>
    <t xml:space="preserve">Pricing_M</t>
  </si>
  <si>
    <t xml:space="preserve">1-2, 4-11, 13-14, 16-18, 20-21</t>
  </si>
  <si>
    <t xml:space="preserve">fig_premium_monthly</t>
  </si>
  <si>
    <t xml:space="preserve">Reserving_OF_M</t>
  </si>
  <si>
    <t xml:space="preserve">1-2, 4-7, 9-12, 14-17, 19-23, 25-26</t>
  </si>
  <si>
    <t xml:space="preserve">Capital_M</t>
  </si>
  <si>
    <t xml:space="preserve">1-3, 5-61, 64-121, 124-130, 132-139, 141-147, 149-150, 152-153, 163-173</t>
  </si>
  <si>
    <t xml:space="preserve">fig_bind_monthly, fig_day1_monthly</t>
  </si>
  <si>
    <t xml:space="preserve">Validation_M</t>
  </si>
  <si>
    <t xml:space="preserve">1-2, 4-5, 7-9, 11-13, 15-17, 19-20, 22-22, 24-29, 31-36, 38-42, 44-51, 53-56</t>
  </si>
  <si>
    <t xml:space="preserve">tie_monthly_grid</t>
  </si>
  <si>
    <t xml:space="preserve">Trajectory</t>
  </si>
  <si>
    <t xml:space="preserve">1-2, 4-60, 62-65, 67-70, 72-75, 77-78, 80-82, 85-89, 99-101, 103-103, 105-161, 163-167, 169-172, 174-178, 180-180, 190-190</t>
  </si>
  <si>
    <t xml:space="preserve">fig_bind_duration, fig_day1_exact</t>
  </si>
  <si>
    <t xml:space="preserve">Commission_Models</t>
  </si>
  <si>
    <t xml:space="preserve">1-2, 4-9, 11-11, 13-70, 72-80, 82-82, 85-101, 103-107, 109-116, 118-120, 122-127, 129-151, 153-155, 160-163, 165-174, 176-183, 185-192, 194-194, 196-198, 200-205, 207-212, 214-215, 220-222, 224-227, 229-244, 246-261, 263-263, 265-272, 274-280, 282-284, 286-287, 289-291, 293-293, 295-303, 305-307, 309-310, 320-323, 325-381, 383-389, 391-396, 398-400, 410-412, 414-470, 473-530, 532-535, 537-545</t>
  </si>
  <si>
    <t xml:space="preserve">fig_capital_cost_chosen, fig_capital_cost_exact_scr, fig_maxfair_premium, tie_annual_control, tie_scr_construction</t>
  </si>
  <si>
    <t xml:space="preserve">Forfeiture_Basis</t>
  </si>
  <si>
    <t xml:space="preserve">1-2, 4-7, 9-13, 15-16, 18-22, 24-26, 28-29, 31-36, 38-42, 44-46, 48-54, 56-62, 64-66, 68-72, 74-76, 78-82, 84-88</t>
  </si>
  <si>
    <t xml:space="preserve">Mutualisation</t>
  </si>
  <si>
    <t xml:space="preserve">1-2, 4-5, 7-7, 9-10, 12-16, 18-21, 23-24, 26-28, 30-32, 34-36, 38-42, 44-44, 46-53, 55-57, 60-62, 64-79, 81-87, 89-95, 97-103, 105-110</t>
  </si>
  <si>
    <t xml:space="preserve">fig_subsidy_pct</t>
  </si>
  <si>
    <t xml:space="preserve">Adequacy</t>
  </si>
  <si>
    <t xml:space="preserve">1-2, 4-5, 7-7, 9-65, 67-69, 71-80, 82-108, 112-115, 117-173, 175-181, 183-186, 188-188, 190-190, 192-199</t>
  </si>
  <si>
    <t xml:space="preserve">fig_ratio_138_cbd</t>
  </si>
  <si>
    <t xml:space="preserve">CBD_Stochastic</t>
  </si>
  <si>
    <t xml:space="preserve">1-3, 5-23, 25-82, 84-88, 92-97, 99-102, 105-107, 109-113, 115-121, 123-126, 128-129, 131-134, 143-144, 146-149, 151-152, 154-158, 160-167, 177-177, 187-187</t>
  </si>
  <si>
    <t xml:space="preserve">Panel_Reserving</t>
  </si>
  <si>
    <t xml:space="preserve">1-3, 6-68, 70-71, 73-101, 103-111, 114-120, 122-123, 126-131, 133-137</t>
  </si>
  <si>
    <t xml:space="preserve">fig_panel_inadequate, tie_panel_central</t>
  </si>
  <si>
    <t xml:space="preserve">Capital_Cell</t>
  </si>
  <si>
    <t xml:space="preserve">1-3, 5-9, 11-72, 74-74, 76-78, 80-91, 93-96</t>
  </si>
  <si>
    <t xml:space="preserve">fig_cell_req, tie_cell_vs_annual</t>
  </si>
  <si>
    <t xml:space="preserve">Capital_Panel</t>
  </si>
  <si>
    <t xml:space="preserve">1-1707, 1712-1720, 1723-1731, 1734-1740, 1742-1753</t>
  </si>
  <si>
    <t xml:space="preserve">fig_panel_mean, fig_panel_req_central, fig_panel_req_max, fig_panel_req_min, tie_panel_cell</t>
  </si>
  <si>
    <t xml:space="preserve">Surface_Engine</t>
  </si>
  <si>
    <t xml:space="preserve">1-3, 5-8, 10-72, 74-74, 78-79, 81-188, 190-198, 200-204, 206-208, 230-232, 234-251, 254-271, 274-291, 296-305, 307-313, 323-325, 327-354, 356-361, 363-367, 377-377</t>
  </si>
  <si>
    <t xml:space="preserve">tie_annexb</t>
  </si>
  <si>
    <t xml:space="preserve">Lapse_Routes</t>
  </si>
  <si>
    <t xml:space="preserve">1-2, 4-28, 30-34, 37-37, 40-57</t>
  </si>
  <si>
    <t xml:space="preserve">Sensitivities</t>
  </si>
  <si>
    <t xml:space="preserve">1-2, 4-9, 11-15, 17-22, 24-46, 48-48, 50-57, 59-59, 62-64, 66-75, 77-81, 84-86, 88-93, 95-104, 106-109, 119-122, 124-180, 182-186, 188-190, 200-259, 261-264</t>
  </si>
  <si>
    <t xml:space="preserve">fig_capital_per_margin_2pc, tie_margin_control, tie_margin_ownfunds, fig_req_postreform, tie_postreform_sanity</t>
  </si>
  <si>
    <t xml:space="preserve">Panel_Examples</t>
  </si>
  <si>
    <t xml:space="preserve">1-3, 5-5, 7-14, 16-16, 18-19, 21-27, 29-30, 32-35</t>
  </si>
  <si>
    <t xml:space="preserve">Discount_Monthly</t>
  </si>
  <si>
    <t xml:space="preserve">1-664</t>
  </si>
  <si>
    <t xml:space="preserve">Discount</t>
  </si>
  <si>
    <t xml:space="preserve">1-1, 3-64</t>
  </si>
  <si>
    <t xml:space="preserve">Projection</t>
  </si>
  <si>
    <t xml:space="preserve">1-1, 3-59, 61-61, 71-101</t>
  </si>
  <si>
    <t xml:space="preserve">fig_pool_vest</t>
  </si>
  <si>
    <t xml:space="preserve">Pricing</t>
  </si>
  <si>
    <t xml:space="preserve">1-2, 4-12, 14-17</t>
  </si>
  <si>
    <t xml:space="preserve">fig_premium</t>
  </si>
  <si>
    <t xml:space="preserve">ANAV</t>
  </si>
  <si>
    <t xml:space="preserve">1-2, 4-5, 7-8, 10-12</t>
  </si>
  <si>
    <t xml:space="preserve">Reserving</t>
  </si>
  <si>
    <t xml:space="preserve">1-2, 4-5, 7-8, 10-12, 14-18</t>
  </si>
  <si>
    <t xml:space="preserve">OwnFunds_SCR</t>
  </si>
  <si>
    <t xml:space="preserve">1-8, 10-14, 16-21, 23-24, 26-28, 30-33, 35-35</t>
  </si>
  <si>
    <t xml:space="preserve">fig_of_t0, fig_of_t15, fig_rm_t0, fig_scr_t10</t>
  </si>
  <si>
    <t xml:space="preserve">Fairness</t>
  </si>
  <si>
    <t xml:space="preserve">1-1, 3-4, 6-11, 13-13</t>
  </si>
  <si>
    <t xml:space="preserve">fig_mwr, fig_prem_fund</t>
  </si>
  <si>
    <t xml:space="preserve">Frontier</t>
  </si>
  <si>
    <t xml:space="preserve">1-2, 4-4, 6-14, 16-23, 25-28, 30-42, 44-47</t>
  </si>
  <si>
    <t xml:space="preserve">fig_day1</t>
  </si>
  <si>
    <t xml:space="preserve">Reconciliation</t>
  </si>
  <si>
    <t xml:space="preserve">1-2, 4-9, 11-17, 19-20, 22-27, 29-49, 51-59</t>
  </si>
  <si>
    <t xml:space="preserve">fig_commission_pv, fig_of_runoff, fig_req_excl_rm, fig_scale_capital</t>
  </si>
  <si>
    <t xml:space="preserve">Test_C</t>
  </si>
  <si>
    <t xml:space="preserve">1-4, 6-42</t>
  </si>
  <si>
    <t xml:space="preserve">RiskMargin</t>
  </si>
  <si>
    <t xml:space="preserve">1-59, 69-89</t>
  </si>
  <si>
    <t xml:space="preserve">Proofs</t>
  </si>
  <si>
    <t xml:space="preserve">1-2, 4-21, 23-26, 28-33, 35-44, 46-50, 52-57, 59-63, 65-66, 70-83, 85-91, 93-97, 100-156, 158-170, 172-176, 178-190, 192-193, 195-198, 200-256</t>
  </si>
  <si>
    <t xml:space="preserve">Reinsurance</t>
  </si>
  <si>
    <t xml:space="preserve">1-3, 5-6, 8-13, 15-17, 19-24, 26-26, 28-32, 34-34, 36-36</t>
  </si>
  <si>
    <t xml:space="preserve">Frontier_Curve</t>
  </si>
  <si>
    <t xml:space="preserve">1-21, 23-29, 31-31, 33-33, 41-47, 49-54, 56-58</t>
  </si>
  <si>
    <t xml:space="preserve">tie_frontier_monotone, tie_frontier_routes, tie_frontier_u0</t>
  </si>
  <si>
    <t xml:space="preserve">Index</t>
  </si>
  <si>
    <t xml:space="preserve">1-4, 6-39, 41-58, 60-251</t>
  </si>
  <si>
    <t xml:space="preserve">Base assumptions</t>
  </si>
  <si>
    <t xml:space="preserve">Parameter</t>
  </si>
  <si>
    <t xml:space="preserve">Value</t>
  </si>
  <si>
    <t xml:space="preserve">Source / note</t>
  </si>
  <si>
    <t xml:space="preserve">Entry age</t>
  </si>
  <si>
    <t xml:space="preserve">cohort entry (central case)</t>
  </si>
  <si>
    <t xml:space="preserve">Trigger / vest age</t>
  </si>
  <si>
    <t xml:space="preserve">15-year deferral</t>
  </si>
  <si>
    <t xml:space="preserve">Deferral years</t>
  </si>
  <si>
    <t xml:space="preserve">derived, was a literal 15</t>
  </si>
  <si>
    <t xml:space="preserve">Fund value (€)</t>
  </si>
  <si>
    <t xml:space="preserve">ARF/vested-PRSA reference fund</t>
  </si>
  <si>
    <t xml:space="preserve">Payout rate</t>
  </si>
  <si>
    <t xml:space="preserve">of fund p.a.</t>
  </si>
  <si>
    <t xml:space="preserve">Annual payout day-1 (€)</t>
  </si>
  <si>
    <t xml:space="preserve">payout rate × fund (live in col B)</t>
  </si>
  <si>
    <t xml:space="preserve">Payout CPI indexation</t>
  </si>
  <si>
    <t xml:space="preserve">from inception (policy year 0)</t>
  </si>
  <si>
    <t xml:space="preserve">Expense inflation</t>
  </si>
  <si>
    <t xml:space="preserve">maintenance expense escalation</t>
  </si>
  <si>
    <t xml:space="preserve">Expense base (€/yr)</t>
  </si>
  <si>
    <t xml:space="preserve">per in-force policy</t>
  </si>
  <si>
    <t xml:space="preserve">Provider margin</t>
  </si>
  <si>
    <t xml:space="preserve">of gross premium</t>
  </si>
  <si>
    <t xml:space="preserve">Commission Y1 (heaped)</t>
  </si>
  <si>
    <t xml:space="preserve">100% of first-year premium</t>
  </si>
  <si>
    <t xml:space="preserve">Commission Y2+ (trail)</t>
  </si>
  <si>
    <t xml:space="preserve">5% p.a. thereafter</t>
  </si>
  <si>
    <t xml:space="preserve">Lapse Y1</t>
  </si>
  <si>
    <t xml:space="preserve">selected by the switch in B50</t>
  </si>
  <si>
    <t xml:space="preserve">Lapse Y2</t>
  </si>
  <si>
    <t xml:space="preserve">v11b</t>
  </si>
  <si>
    <t xml:space="preserve">Lapse Y3-5</t>
  </si>
  <si>
    <t xml:space="preserve">Lapse Y6+</t>
  </si>
  <si>
    <t xml:space="preserve">v11b ultimate</t>
  </si>
  <si>
    <t xml:space="preserve">Reinstatement (net lapse reduction)</t>
  </si>
  <si>
    <t xml:space="preserve">derived: 60%×40% + 40%×15% = 30%; reinstated lives re-enter at original terms</t>
  </si>
  <si>
    <t xml:space="preserve">Article 138 longevity stress</t>
  </si>
  <si>
    <t xml:space="preserve">permanent 20% mortality decrease</t>
  </si>
  <si>
    <t xml:space="preserve">Article 142 mass-lapse shock</t>
  </si>
  <si>
    <t xml:space="preserve">one-off surrender</t>
  </si>
  <si>
    <t xml:space="preserve">Article 142 lapse ± shock</t>
  </si>
  <si>
    <t xml:space="preserve">±50% to lapse rates</t>
  </si>
  <si>
    <t xml:space="preserve">Article 140 expense stress — level component (applied jointly with the inflation component; there is no separate-leg scenario). Earlier issues cited Article 141; the life-expense sub-module is Article 140 of DR 2015/35.</t>
  </si>
  <si>
    <t xml:space="preserve">Article 140 expense stress — inflation component (jointly applied with the level component)</t>
  </si>
  <si>
    <t xml:space="preserve">Corr: longevity–lapse</t>
  </si>
  <si>
    <t xml:space="preserve">SII standard formula</t>
  </si>
  <si>
    <t xml:space="preserve">Corr: longevity–expense</t>
  </si>
  <si>
    <t xml:space="preserve">SII</t>
  </si>
  <si>
    <t xml:space="preserve">Corr: lapse–expense</t>
  </si>
  <si>
    <t xml:space="preserve">Cost of Capital (risk margin)</t>
  </si>
  <si>
    <t xml:space="preserve">Article 39 DR 2015/35</t>
  </si>
  <si>
    <t xml:space="preserve">Wiring note (checker item 3):</t>
  </si>
  <si>
    <t xml:space="preserve">Mortality, lapse, reinstatement, CPI, expense, margin, commission and correlations are LIVE to the workbook.</t>
  </si>
  <si>
    <t xml:space="preserve">Article 138/141/142 stress levels drive the prospective stressed BELs computed in the bundled engine (grey).</t>
  </si>
  <si>
    <t xml:space="preserve">ARF return (Prisma 4 central)</t>
  </si>
  <si>
    <t xml:space="preserve">PRIIPs KID moderate, 31 May 2026</t>
  </si>
  <si>
    <t xml:space="preserve">Imputed distribution 65–70</t>
  </si>
  <si>
    <t xml:space="preserve">Imputed distribution 71+</t>
  </si>
  <si>
    <t xml:space="preserve">Reinstatement — Window A share of lapses</t>
  </si>
  <si>
    <t xml:space="preserve">Reinstatement — Window B share of lapses</t>
  </si>
  <si>
    <t xml:space="preserve">Reinstatement — Window A reinstatement rate</t>
  </si>
  <si>
    <t xml:space="preserve">Reinstatement — Window B reinstatement rate</t>
  </si>
  <si>
    <t xml:space="preserve">Graduate the 104–105 mortality splice? (0 = published basis, 1 = graduated)</t>
  </si>
  <si>
    <t xml:space="preserve">published basis = 0. Set to 1 to see the effect live throughout the workbook.</t>
  </si>
  <si>
    <t xml:space="preserve">Longevity swap cost (% of ceded reserves, paid at vesting)</t>
  </si>
  <si>
    <t xml:space="preserve">external assumption — 8–12% range tested on the Reinsurance sheet</t>
  </si>
  <si>
    <t xml:space="preserve">Counterparty default charge (% of ceded reserves)</t>
  </si>
  <si>
    <t xml:space="preserve">Book size for scale illustration (policies)</t>
  </si>
  <si>
    <t xml:space="preserve">Selection haircut (mortality table already embeds 0.90)</t>
  </si>
  <si>
    <t xml:space="preserve">applied as a ratio to the embedded 0.90, so 0.90 leaves the table unchanged</t>
  </si>
  <si>
    <t xml:space="preserve">LAPSE CALIBRATION — 0 = engine, 1 = scope v0.8 locked, 2 = adverse x3 capped</t>
  </si>
  <si>
    <t xml:space="preserve">documented central case per scope memo and paper body</t>
  </si>
  <si>
    <t xml:space="preserve">Scope v0.8 locked: year 1 / 2 / 3-5 / 6+</t>
  </si>
  <si>
    <t xml:space="preserve">  locked values</t>
  </si>
  <si>
    <t xml:space="preserve">Engine calibration: locked plus a uniform 25 bp</t>
  </si>
  <si>
    <t xml:space="preserve">  engine values</t>
  </si>
  <si>
    <t xml:space="preserve">Offset between them  [live]</t>
  </si>
  <si>
    <t xml:space="preserve">Adverse scenario multiplier</t>
  </si>
  <si>
    <t xml:space="preserve">Adverse cap, SAI aggregate lapse rate</t>
  </si>
  <si>
    <t xml:space="preserve">Selection haircut embedded in the supplied M4 matrix — HISTORICAL, no longer used</t>
  </si>
  <si>
    <t xml:space="preserve">Retained for the record. Production mortality is now derived on CMI_Projection, which applies B49 directly, so no re-basing is required.</t>
  </si>
  <si>
    <t xml:space="preserve">Money's-worth fairness floor</t>
  </si>
  <si>
    <t xml:space="preserve">single source; referenced by Fairness, Commission_Models and Sensitivities</t>
  </si>
  <si>
    <t xml:space="preserve">MORTALITY PRODUCTION CHAIN</t>
  </si>
  <si>
    <t xml:space="preserve">ILT17_Source (CSO published qx, both sexes)  →  CMI_Projection (IILMI bands, Kannisto tail, CBD kappa and drift, CMI convergence, selection haircut)</t>
  </si>
  <si>
    <t xml:space="preserve">  →  Cohort_Survival (calendar diagonals by entry age)  →  Projection.  Mortality_Matrix is retained as an independent comparator only.</t>
  </si>
  <si>
    <t xml:space="preserve">Comparator agreement, max relative difference across all 4,270 age-year cells  [live]</t>
  </si>
  <si>
    <t xml:space="preserve">Verdict</t>
  </si>
  <si>
    <t xml:space="preserve">ILT17 — primary source. CSO Irish Life Tables No. 17, 2015–2017</t>
  </si>
  <si>
    <t xml:space="preserve">Source: Central Statistics Office, statistical release 7 July 2020, amended 9 November 2020 (revisions to ages 99+).</t>
  </si>
  <si>
    <t xml:space="preserve">https://www.cso.ie/en/releasesandpublications/er/ilt/irishlifetablesno172015-2017/  — Table 1 (male) and Table 2 (female), column qx. Graduated rates, ages 0–105.</t>
  </si>
  <si>
    <t xml:space="preserve">Transcribed values are the published qx. Everything to the right is derived live.</t>
  </si>
  <si>
    <t xml:space="preserve">age</t>
  </si>
  <si>
    <t xml:space="preserve">qx male (source)</t>
  </si>
  <si>
    <t xml:space="preserve">qx female (source)</t>
  </si>
  <si>
    <t xml:space="preserve">both-sexes avg (live)</t>
  </si>
  <si>
    <t xml:space="preserve">IILMI band (live)</t>
  </si>
  <si>
    <t xml:space="preserve">haircut (live)</t>
  </si>
  <si>
    <t xml:space="preserve">base x IILMI x haircut (live)</t>
  </si>
  <si>
    <t xml:space="preserve">M4 matrix 2026 (live)</t>
  </si>
  <si>
    <t xml:space="preserve">implied CMI factor 2016-&gt;2026 (live)</t>
  </si>
  <si>
    <t xml:space="preserve">monotone in source? (live)</t>
  </si>
  <si>
    <t xml:space="preserve">KANNISTO FIT VERIFIED AGAINST THE SOURCE</t>
  </si>
  <si>
    <t xml:space="preserve">The bundle states the Kannisto logistic was fitted to ILT17 ages 90-100 and used to extend ages 106-120.</t>
  </si>
  <si>
    <t xml:space="preserve">Those source ages are above, so the documented parameters can be tested independently.</t>
  </si>
  <si>
    <t xml:space="preserve">Kannisto a (documented)</t>
  </si>
  <si>
    <t xml:space="preserve">Kannisto b (documented)</t>
  </si>
  <si>
    <t xml:space="preserve">source avg qx</t>
  </si>
  <si>
    <t xml:space="preserve">Kannisto q (live)</t>
  </si>
  <si>
    <t xml:space="preserve">ratio (live)</t>
  </si>
  <si>
    <t xml:space="preserve">Mean ratio over the fitting range  [live]</t>
  </si>
  <si>
    <t xml:space="preserve">Max absolute deviation from 1  [live]</t>
  </si>
  <si>
    <t xml:space="preserve">SOURCE DATA QUALITY — where the high-age anomaly originates</t>
  </si>
  <si>
    <t xml:space="preserve">Non-monotone ages in the published source  [live]</t>
  </si>
  <si>
    <t xml:space="preserve">First such age  [live]</t>
  </si>
  <si>
    <t xml:space="preserve">Male qx at 103 / 104 / 105  [live]</t>
  </si>
  <si>
    <t xml:space="preserve">Female qx at 103 / 104 / 105  [live]</t>
  </si>
  <si>
    <t xml:space="preserve">Finding</t>
  </si>
  <si>
    <t xml:space="preserve">The CSO release notes a change in calculation methods for ages 99 and above, and closes the table at 105 where lx = dx.</t>
  </si>
  <si>
    <t xml:space="preserve">The peer-reviewed literature records the same: recent Irish Life Tables exhibit fluctuating rates at high ages (European Actuarial Journal, 2025).</t>
  </si>
  <si>
    <t xml:space="preserve">VERIFICATION CHAIN FROM PRIMARY SOURCE</t>
  </si>
  <si>
    <t xml:space="preserve">ILT17 base, ages 60-105</t>
  </si>
  <si>
    <t xml:space="preserve">CSO release, transcribed above</t>
  </si>
  <si>
    <t xml:space="preserve">verified — primary source</t>
  </si>
  <si>
    <t xml:space="preserve">Both-sexes average</t>
  </si>
  <si>
    <t xml:space="preserve">live from the two source columns</t>
  </si>
  <si>
    <t xml:space="preserve">live</t>
  </si>
  <si>
    <t xml:space="preserve">IILMI A/E bands</t>
  </si>
  <si>
    <t xml:space="preserve">documented, applied live by age band</t>
  </si>
  <si>
    <t xml:space="preserve">documented</t>
  </si>
  <si>
    <t xml:space="preserve">Selection haircut</t>
  </si>
  <si>
    <t xml:space="preserve">documented, live input</t>
  </si>
  <si>
    <t xml:space="preserve">Kannisto tail extension</t>
  </si>
  <si>
    <t xml:space="preserve">parameters tested against the source over the stated fitting range 90-100</t>
  </si>
  <si>
    <t xml:space="preserve">verified — max deviation 7.7%</t>
  </si>
  <si>
    <t xml:space="preserve">CMI_2022 projection</t>
  </si>
  <si>
    <t xml:space="preserve">rebuilt from documented CBD kappa/drift plus the CMI convergence structure; reproduces the supplied matrix to 4.3e-08 across all 4,270 cells</t>
  </si>
  <si>
    <t xml:space="preserve">VERIFIED — rebuilt live on CMI_Projection</t>
  </si>
  <si>
    <t xml:space="preserve">Implied CMI factor: smooth and monotone in age?  [live]</t>
  </si>
  <si>
    <t xml:space="preserve">Implied factor at ages 60 / 85 / 105  [live]</t>
  </si>
  <si>
    <t xml:space="preserve">Assessment</t>
  </si>
  <si>
    <t xml:space="preserve">What this does and does not establish:</t>
  </si>
  <si>
    <t xml:space="preserve">Establishes: the base table, the both-sexes averaging, the IILMI bands, the haircut and the tail parameters are all consistent with citable primary source.</t>
  </si>
  <si>
    <t xml:space="preserve">Does not establish: the CMI_2022 projection itself. That layer requires the Phase D CBD kappa-series and drift parameters, which are not among the supplied files.</t>
  </si>
  <si>
    <t xml:space="preserve">The projection layer has been rebuilt and verified; the earlier limitation is discharged.</t>
  </si>
  <si>
    <t xml:space="preserve">M4 mortality matrix — sourced input</t>
  </si>
  <si>
    <t xml:space="preserve">ILT17 (Kannisto-extended) x IILMI A/E x CMI_2022 cohort projection (LTR 1.5%) x 0.90 selection haircut. Rows ages 60-120, columns calendar years 2022-2091.</t>
  </si>
  <si>
    <t xml:space="preserve">CMI_2022-style projection — rebuilt from documented parameters and published model structure</t>
  </si>
  <si>
    <t xml:space="preserve">Stage 1: empirical roll 2016→2022 on the CBD κ-series. Stage 2: cubic-Hermite convergence of the initial improvement to the long-term rate, 2023→2091. Selection haircut applied once.</t>
  </si>
  <si>
    <t xml:space="preserve">Externally verified structure: the CMI Mortality Projections Committee states the long-term rate applies to age 85 then falls linearly to nil at age 110, and that convergence uses a cubic polynomial.</t>
  </si>
  <si>
    <t xml:space="preserve">PARAMETERS</t>
  </si>
  <si>
    <t xml:space="preserve">κ1 at 2022</t>
  </si>
  <si>
    <t xml:space="preserve">κ2 at 2022</t>
  </si>
  <si>
    <t xml:space="preserve">drift μ1</t>
  </si>
  <si>
    <t xml:space="preserve">drift μ2</t>
  </si>
  <si>
    <t xml:space="preserve">CBD reference age x̄</t>
  </si>
  <si>
    <t xml:space="preserve">long-term rate</t>
  </si>
  <si>
    <t xml:space="preserve">LTR full to age</t>
  </si>
  <si>
    <t xml:space="preserve">LTR nil at age</t>
  </si>
  <si>
    <t xml:space="preserve">convergence period at age ≤50</t>
  </si>
  <si>
    <t xml:space="preserve">convergence period at age ≥95</t>
  </si>
  <si>
    <t xml:space="preserve">Kannisto a</t>
  </si>
  <si>
    <t xml:space="preserve">Kannisto b</t>
  </si>
  <si>
    <t xml:space="preserve">ILT17 centred year</t>
  </si>
  <si>
    <t xml:space="preserve">selection haircut (live)</t>
  </si>
  <si>
    <t xml:space="preserve">ILT17/Kannisto base 2016</t>
  </si>
  <si>
    <t xml:space="preserve">IILMI</t>
  </si>
  <si>
    <t xml:space="preserve">M2 base 2016</t>
  </si>
  <si>
    <t xml:space="preserve">q_cbd 2016</t>
  </si>
  <si>
    <t xml:space="preserve">q_cbd 2021</t>
  </si>
  <si>
    <t xml:space="preserve">q_cbd 2022</t>
  </si>
  <si>
    <t xml:space="preserve">mi_init</t>
  </si>
  <si>
    <t xml:space="preserve">cp(age)</t>
  </si>
  <si>
    <t xml:space="preserve">ltr(age)</t>
  </si>
  <si>
    <t xml:space="preserve">q at 2022 (after roll)</t>
  </si>
  <si>
    <t xml:space="preserve">VERIFICATION — rebuilt projection against the supplied M4 matrix</t>
  </si>
  <si>
    <t xml:space="preserve">Relative difference, (rebuilt − supplied) / supplied, for every age and calendar year.</t>
  </si>
  <si>
    <t xml:space="preserve">Cells compared  [live]</t>
  </si>
  <si>
    <t xml:space="preserve">Maximum absolute relative difference  [live]</t>
  </si>
  <si>
    <t xml:space="preserve">Mean absolute relative difference  [live]</t>
  </si>
  <si>
    <t xml:space="preserve">Root-mean-square relative difference  [live]</t>
  </si>
  <si>
    <t xml:space="preserve">Consistent with the supplied file being rounded to 10 decimal places?</t>
  </si>
  <si>
    <t xml:space="preserve">What this establishes:</t>
  </si>
  <si>
    <t xml:space="preserve">The projection layer is no longer taken on trust. It is rebuilt from the documented CBD κ-series and drift, the CMI convergence structure verified against the</t>
  </si>
  <si>
    <t xml:space="preserve">Mortality Projections Committee's published description, and the ILT17 base taken from the CSO release. Agreement to floating-point means the supplied matrix</t>
  </si>
  <si>
    <t xml:space="preserve">is confirmed as the stated methodology applied to citable source data.</t>
  </si>
  <si>
    <t xml:space="preserve">κ ANCHOR. B6/B7 are the fitted 2022 κ from the Annex A calibration (outputs/params_ew.csv: −3.5927770715, 0.1139696684, matching to ten decimal places). The 2022 fit includes the pandemic years diagnostically; B6/B7 are not the trend construction κ2019 + 3μ = (−3.69369, 0.11653) from which the Annex A simulation starts. Sensitivity of the anchor: on the trend construction the premium is +€5.60 (+0.046%), the exact requirement +€7.90 (+0.021%), and the Article-138 ÷ CBD ratio 0.542 rather than 0.545. Every verdict is unchanged on either anchor.</t>
  </si>
  <si>
    <t xml:space="preserve">SELECTION-HAIRCUT SENSITIVITY. Production applies the ×0.90 self-selection haircut once, on this sheet (C19); the embedding in the historical M4 comparator matrix is retired. Removing the haircut (×1.00): premium 12,316.07 → 11,558.86 (−6.2%), exact requirement 36,779.69 → 35,116.02 (−4.5%), money's-worth ratio 0.894, Article-138 ÷ CBD ratio 0.553. Conservative for the writing office in both directions; no verdict changes. Figures from the independent audit engine.</t>
  </si>
  <si>
    <t xml:space="preserve">EIOPA risk-free curve — primary source</t>
  </si>
  <si>
    <t xml:space="preserve">EIOPA_RFR_20260531_Term_Structures.xlsx, sheet RFR_spot_no_VA, column 'Euro'. Reference date 31 May 2026, published 3 June 2026.</t>
  </si>
  <si>
    <t xml:space="preserve">Register: https://www.eiopa.europa.eu/tools-and-data/risk-free-interest-rate-term-structures_en  —  file EIOPA_RFR_20260531.zip</t>
  </si>
  <si>
    <t xml:space="preserve">PARAMETERS AS PUBLISHED</t>
  </si>
  <si>
    <t xml:space="preserve">Curve identifier</t>
  </si>
  <si>
    <t xml:space="preserve">EUR_31_05_2026_SWP_LLP_20_EXT_40_UFR_3.30</t>
  </si>
  <si>
    <t xml:space="preserve">Coupon frequency</t>
  </si>
  <si>
    <t xml:space="preserve">Last liquid point (years)</t>
  </si>
  <si>
    <t xml:space="preserve">Convergence period (years)</t>
  </si>
  <si>
    <t xml:space="preserve">Ultimate forward rate (%)</t>
  </si>
  <si>
    <t xml:space="preserve">Smith-Wilson alpha</t>
  </si>
  <si>
    <t xml:space="preserve">Credit risk adjustment (bps)</t>
  </si>
  <si>
    <t xml:space="preserve">These confirm the scope memo independently: last liquid point 20 years, convergence 40 years, UFR 3.30%, alpha 0.059979, credit risk adjustment 10 bps.</t>
  </si>
  <si>
    <t xml:space="preserve">PUBLISHED ANNUAL SPOT RATES, EUR, NO VOLATILITY ADJUSTMENT</t>
  </si>
  <si>
    <t xml:space="preserve">maturity (years)</t>
  </si>
  <si>
    <t xml:space="preserve">spot rate</t>
  </si>
  <si>
    <t xml:space="preserve">Rates are published to five decimal places, so a rounding tolerance of about 0.1 bps applies to any test against them.</t>
  </si>
  <si>
    <t xml:space="preserve">Cohort mortality diagonals and cumulative survival — all live from the M4 matrix</t>
  </si>
  <si>
    <t xml:space="preserve">Each column is a cohort entering at the header age in 2026. qx is read down the calendar diagonal of the DERIVED mortality surface on CMI_Projection, which is built from the CSO ILT17 table upward. The selection haircut is applied there, from Assumptions!B49.</t>
  </si>
  <si>
    <t xml:space="preserve">qx by cohort — derived from ILT17, live</t>
  </si>
  <si>
    <t xml:space="preserve">cumulative survival from entry (live)</t>
  </si>
  <si>
    <t xml:space="preserve">attained age</t>
  </si>
  <si>
    <t xml:space="preserve">Graduated qx at the 104-105 splice (used only when Assumptions!B42 = 1)</t>
  </si>
  <si>
    <t xml:space="preserve">Cohort life expectancy at entry (curtate + half-year)  [live]</t>
  </si>
  <si>
    <t xml:space="preserve">VALIDATION — live cohort life expectancy against the documented M4 bundle</t>
  </si>
  <si>
    <t xml:space="preserve">documented LE (bundle summary)</t>
  </si>
  <si>
    <t xml:space="preserve">difference (years)  [live]</t>
  </si>
  <si>
    <t xml:space="preserve">Anchors tested</t>
  </si>
  <si>
    <t xml:space="preserve">Maximum absolute difference (years)</t>
  </si>
  <si>
    <t xml:space="preserve">This validates the matrix ingestion, the calendar-diagonal reading and the survival recursion across six independent cohorts.</t>
  </si>
  <si>
    <t xml:space="preserve">EIOPA discount curve — provenance and Smith-Wilson verification</t>
  </si>
  <si>
    <t xml:space="preserve">Curve and parameters read live from EIOPA_Source, the published file. Extrapolation tested against the Smith-Wilson closed form.</t>
  </si>
  <si>
    <t xml:space="preserve">PROVENANCE</t>
  </si>
  <si>
    <t xml:space="preserve">Reference date</t>
  </si>
  <si>
    <t xml:space="preserve">31 May 2026</t>
  </si>
  <si>
    <t xml:space="preserve">Published</t>
  </si>
  <si>
    <t xml:space="preserve">3 June 2026</t>
  </si>
  <si>
    <t xml:space="preserve">Archive</t>
  </si>
  <si>
    <t xml:space="preserve">EIOPA_RFR_20260531.zip</t>
  </si>
  <si>
    <t xml:space="preserve">Workbook</t>
  </si>
  <si>
    <t xml:space="preserve">EIOPA_RFR_20260531_Term_Structures.xlsx</t>
  </si>
  <si>
    <t xml:space="preserve">Sheet / column</t>
  </si>
  <si>
    <t xml:space="preserve">RFR_spot_no_VA, column 'Euro'</t>
  </si>
  <si>
    <t xml:space="preserve">Maturities published</t>
  </si>
  <si>
    <t xml:space="preserve">150</t>
  </si>
  <si>
    <t xml:space="preserve">Basis</t>
  </si>
  <si>
    <t xml:space="preserve">EUR, no volatility adjustment, no matching adjustment</t>
  </si>
  <si>
    <t xml:space="preserve">PARAMETERS — read from the publication</t>
  </si>
  <si>
    <t xml:space="preserve">Ultimate forward rate</t>
  </si>
  <si>
    <t xml:space="preserve">SMITH-WILSON CLOSED FORM BEYOND THE LAST LIQUID POINT</t>
  </si>
  <si>
    <t xml:space="preserve">Beyond the last liquid point the Wilson kernel collapses so that DF(t)·(1+UFR)^t = A − B·exp(−alpha·t) exactly.</t>
  </si>
  <si>
    <t xml:space="preserve">A and B are solved from two anchors; every other maturity is a prediction, not a fit.</t>
  </si>
  <si>
    <t xml:space="preserve">t (years)</t>
  </si>
  <si>
    <t xml:space="preserve">DF(t)</t>
  </si>
  <si>
    <t xml:space="preserve">Y = DF·(1+UFR)^t</t>
  </si>
  <si>
    <t xml:space="preserve">X = exp(−alpha·t)</t>
  </si>
  <si>
    <t xml:space="preserve">Y predicted</t>
  </si>
  <si>
    <t xml:space="preserve">residual</t>
  </si>
  <si>
    <t xml:space="preserve">relative residual</t>
  </si>
  <si>
    <t xml:space="preserve">Anchors: t = 21 and t = 55</t>
  </si>
  <si>
    <t xml:space="preserve">A  [live]</t>
  </si>
  <si>
    <t xml:space="preserve">B  [live]</t>
  </si>
  <si>
    <t xml:space="preserve">Maturities tested, excluding anchors</t>
  </si>
  <si>
    <t xml:space="preserve">Maximum absolute relative residual  [live]</t>
  </si>
  <si>
    <t xml:space="preserve">Root-mean-square relative residual  [live]</t>
  </si>
  <si>
    <t xml:space="preserve">ROUNDING FLOOR — the tolerance is derived, not chosen</t>
  </si>
  <si>
    <t xml:space="preserve">Published rates carry five decimal places, so half-unit rounding in any rate is 5e-6.</t>
  </si>
  <si>
    <t xml:space="preserve">Y = DF·(1+UFR)^t gives d(lnY)/ds = −t/(1+s), so the induced relative error in Y is t × 5e-6 / (1+s).</t>
  </si>
  <si>
    <t xml:space="preserve">Half-unit rounding in a published rate</t>
  </si>
  <si>
    <t xml:space="preserve">Longest maturity tested  [live]</t>
  </si>
  <si>
    <t xml:space="preserve">Spot at that maturity  [live]</t>
  </si>
  <si>
    <t xml:space="preserve">Rounding floor on the relative residual  [live]</t>
  </si>
  <si>
    <t xml:space="preserve">Tolerance applied — twice the floor  [live]</t>
  </si>
  <si>
    <t xml:space="preserve">Residual as a multiple of the floor  [live]</t>
  </si>
  <si>
    <t xml:space="preserve">CONVERGENCE TO THE ULTIMATE FORWARD RATE</t>
  </si>
  <si>
    <t xml:space="preserve">One-year forward at t = 21  [live]</t>
  </si>
  <si>
    <t xml:space="preserve">One-year forward at t = 50  [live]</t>
  </si>
  <si>
    <t xml:space="preserve">Gap narrowing toward the UFR?  [live]</t>
  </si>
  <si>
    <t xml:space="preserve">RESOLVED — the reconstruction has been replaced by the publication</t>
  </si>
  <si>
    <t xml:space="preserve">The earlier failure of this test was traced to the curve input, which had been reconstructed by round-tripping discount factors rather than taken from the publication.</t>
  </si>
  <si>
    <t xml:space="preserve">With the published file now available the two can be compared directly. Maturities 1 to 49 matched exactly; from 50 the reconstruction went flat while the published curve continues to rise.</t>
  </si>
  <si>
    <t xml:space="preserve">maturity</t>
  </si>
  <si>
    <t xml:space="preserve">published  [live]</t>
  </si>
  <si>
    <t xml:space="preserve">superseded reconstruction</t>
  </si>
  <si>
    <t xml:space="preserve">drift (bps)  [live]</t>
  </si>
  <si>
    <t xml:space="preserve">Maximum drift (bps)  [live]</t>
  </si>
  <si>
    <t xml:space="preserve">Effect on the Day-1 requirement of the correction (€/policy)</t>
  </si>
  <si>
    <t xml:space="preserve">STATUS</t>
  </si>
  <si>
    <t xml:space="preserve">Curve VERIFIED against the publication. Parameters VERIFIED from the publication. Extrapolation VERIFIED against the Smith-Wilson closed form to the rounding floor.</t>
  </si>
  <si>
    <t xml:space="preserve">Mortality — entry-age cohort reference (presentation). Production path: ILT17_Source → CMI_Projection → Cohort_Survival → Projection.</t>
  </si>
  <si>
    <t xml:space="preserve">qx is the sourced M4 table for the 1961 cohort (entry age 65, 2026). Survival is a live cumulative product.</t>
  </si>
  <si>
    <t xml:space="preserve">Age</t>
  </si>
  <si>
    <t xml:space="preserve">Cal.yr</t>
  </si>
  <si>
    <t xml:space="preserve">qx (derived surface, live)</t>
  </si>
  <si>
    <t xml:space="preserve">Δ qx vs prior age (live)</t>
  </si>
  <si>
    <t xml:space="preserve">Monotone? (live)</t>
  </si>
  <si>
    <t xml:space="preserve">qx APPLIED (live)</t>
  </si>
  <si>
    <t xml:space="preserve">qx applied (live — haircut already applied upstream)</t>
  </si>
  <si>
    <t xml:space="preserve">logit q(103)</t>
  </si>
  <si>
    <t xml:space="preserve">logit q(106)</t>
  </si>
  <si>
    <t xml:space="preserve">Tail method (source basis):</t>
  </si>
  <si>
    <t xml:space="preserve">Published ILT17 to age 105; Kannisto logistic (fitted ages 90–100) for 106–120.</t>
  </si>
  <si>
    <t xml:space="preserve">CMI long-term improvement 1.5% p.a. to age 85, tapering linearly to 0.0% at age 110.</t>
  </si>
  <si>
    <t xml:space="preserve">Horizon age 120 (survival zero beyond). Residual truncated at 120 ≈ €0.45 per policy.</t>
  </si>
  <si>
    <t xml:space="preserve">Column E flags the non-monotone splice at ages 104–105 (published basis retained).</t>
  </si>
  <si>
    <t xml:space="preserve">DOCUMENTED BASIS (M4 bundle, 23 July 2026)</t>
  </si>
  <si>
    <t xml:space="preserve">Methodology</t>
  </si>
  <si>
    <t xml:space="preserve">ILT17 × IILMI A/E unmodified × CMI_2022 × 0.90 selection haircut</t>
  </si>
  <si>
    <t xml:space="preserve">Base year</t>
  </si>
  <si>
    <t xml:space="preserve">Projection horizon (years)</t>
  </si>
  <si>
    <t xml:space="preserve">CMI long-term rate</t>
  </si>
  <si>
    <t xml:space="preserve">Build seed</t>
  </si>
  <si>
    <t xml:space="preserve">ages 60-64</t>
  </si>
  <si>
    <t xml:space="preserve">ages 65-69</t>
  </si>
  <si>
    <t xml:space="preserve">ages 70-74</t>
  </si>
  <si>
    <t xml:space="preserve">ages 75-79</t>
  </si>
  <si>
    <t xml:space="preserve">ages 80-84</t>
  </si>
  <si>
    <t xml:space="preserve">ages 85-89</t>
  </si>
  <si>
    <t xml:space="preserve">ages 90-94</t>
  </si>
  <si>
    <t xml:space="preserve">ages 95-120</t>
  </si>
  <si>
    <t xml:space="preserve">Mortality-only survival from entry to vesting age  [live]</t>
  </si>
  <si>
    <t xml:space="preserve">TIE — production path against this presentation sheet</t>
  </si>
  <si>
    <t xml:space="preserve">Maximum |Projection qx − Mortality applied qx| across all ages  [live]</t>
  </si>
  <si>
    <t xml:space="preserve">Monthly projection — constant-force decrements, monthly-in-advance premium and annuity</t>
  </si>
  <si>
    <t xml:space="preserve">Mortality and lapse are converted to monthly on a constant-force basis: monthly decrement = 1 − (1 − annual)^(1/12). Discount factors come from Discount_Monthly.</t>
  </si>
  <si>
    <t xml:space="preserve">Cashflows are monthly-in-advance. Heaped commission is taken as a first-month strain: the full year-one commission falls at month 0.</t>
  </si>
  <si>
    <t xml:space="preserve">Columns I to M are per unit of monthly premium, so the equivalence premium can be solved without circularity.</t>
  </si>
  <si>
    <t xml:space="preserve">month</t>
  </si>
  <si>
    <t xml:space="preserve">exact age</t>
  </si>
  <si>
    <t xml:space="preserve">policy year</t>
  </si>
  <si>
    <t xml:space="preserve">annual qx</t>
  </si>
  <si>
    <t xml:space="preserve">monthly q</t>
  </si>
  <si>
    <t xml:space="preserve">annual net lapse</t>
  </si>
  <si>
    <t xml:space="preserve">monthly lapse</t>
  </si>
  <si>
    <t xml:space="preserve">in-force</t>
  </si>
  <si>
    <t xml:space="preserve">DF(m)</t>
  </si>
  <si>
    <t xml:space="preserve">prem PV /unit</t>
  </si>
  <si>
    <t xml:space="preserve">forfeit PV /unit</t>
  </si>
  <si>
    <t xml:space="preserve">comm PV /unit</t>
  </si>
  <si>
    <t xml:space="preserve">payout PV</t>
  </si>
  <si>
    <t xml:space="preserve">expense PV</t>
  </si>
  <si>
    <t xml:space="preserve">liability CF PV (live)</t>
  </si>
  <si>
    <t xml:space="preserve">asset CF PV (live)</t>
  </si>
  <si>
    <t xml:space="preserve">in-force, Art.138</t>
  </si>
  <si>
    <t xml:space="preserve">liab PV, Art.138</t>
  </si>
  <si>
    <t xml:space="preserve">in-force, lapse up</t>
  </si>
  <si>
    <t xml:space="preserve">liab PV, lapse up</t>
  </si>
  <si>
    <t xml:space="preserve">in-force, lapse down</t>
  </si>
  <si>
    <t xml:space="preserve">liab PV, lapse down</t>
  </si>
  <si>
    <t xml:space="preserve">liab PV, Art.141</t>
  </si>
  <si>
    <t xml:space="preserve">COLUMN GUIDE — rows 7–667 are months 0–660. Per-unit columns are per €1 of monthly premium; N, O and the stressed liability columns are in euro.</t>
  </si>
  <si>
    <t xml:space="preserve">A</t>
  </si>
  <si>
    <t xml:space="preserve">month index m (0–660)</t>
  </si>
  <si>
    <t xml:space="preserve">B</t>
  </si>
  <si>
    <t xml:space="preserve">exact age 65 + m/12</t>
  </si>
  <si>
    <t xml:space="preserve">C</t>
  </si>
  <si>
    <t xml:space="preserve">attained integer age</t>
  </si>
  <si>
    <t xml:space="preserve">D</t>
  </si>
  <si>
    <t xml:space="preserve">E</t>
  </si>
  <si>
    <t xml:space="preserve">annual qx at the attained age (entry-65 cohort)</t>
  </si>
  <si>
    <t xml:space="preserve">F</t>
  </si>
  <si>
    <t xml:space="preserve">monthly mortality decrement, constant force: 1 − (1 − q)^(1/12)</t>
  </si>
  <si>
    <t xml:space="preserve">G</t>
  </si>
  <si>
    <t xml:space="preserve">annual net lapse for the policy year (deferral only)</t>
  </si>
  <si>
    <t xml:space="preserve">H</t>
  </si>
  <si>
    <t xml:space="preserve">monthly lapse decrement, constant force</t>
  </si>
  <si>
    <t xml:space="preserve">I</t>
  </si>
  <si>
    <t xml:space="preserve">in-force pool at the start of the month</t>
  </si>
  <si>
    <t xml:space="preserve">J</t>
  </si>
  <si>
    <t xml:space="preserve">monthly discount factor (log-linear between annual nodes)</t>
  </si>
  <si>
    <t xml:space="preserve">K</t>
  </si>
  <si>
    <t xml:space="preserve">premium PV per unit monthly premium (deferral months)</t>
  </si>
  <si>
    <t xml:space="preserve">L</t>
  </si>
  <si>
    <t xml:space="preserve">forfeiture diagnostic</t>
  </si>
  <si>
    <t xml:space="preserve">M</t>
  </si>
  <si>
    <t xml:space="preserve">commission PV per unit monthly premium (month 0 carries 100% × 12 units; 5% trail monthly from month 12)</t>
  </si>
  <si>
    <t xml:space="preserve">N</t>
  </si>
  <si>
    <t xml:space="preserve">payout PV in euro (twelfths from vesting; CPI steps at policy anniversaries, escalated from inception)</t>
  </si>
  <si>
    <t xml:space="preserve">O</t>
  </si>
  <si>
    <t xml:space="preserve">expense PV in euro (€82/12, escalated 2.5% by policy year)</t>
  </si>
  <si>
    <t xml:space="preserve">P</t>
  </si>
  <si>
    <t xml:space="preserve">liability cashflow PV in euro (expense + commission − premium in deferral; payout + expense after)</t>
  </si>
  <si>
    <t xml:space="preserve">Q</t>
  </si>
  <si>
    <t xml:space="preserve">asset cashflow PV in euro</t>
  </si>
  <si>
    <t xml:space="preserve">R</t>
  </si>
  <si>
    <t xml:space="preserve">pool under Article 138</t>
  </si>
  <si>
    <t xml:space="preserve">S</t>
  </si>
  <si>
    <t xml:space="preserve">liability PV on the 138 pool</t>
  </si>
  <si>
    <t xml:space="preserve">T</t>
  </si>
  <si>
    <t xml:space="preserve">pool under lapse-up</t>
  </si>
  <si>
    <t xml:space="preserve">U</t>
  </si>
  <si>
    <t xml:space="preserve">liability PV, lapse-up</t>
  </si>
  <si>
    <t xml:space="preserve">V</t>
  </si>
  <si>
    <t xml:space="preserve">pool under lapse-down</t>
  </si>
  <si>
    <t xml:space="preserve">W</t>
  </si>
  <si>
    <t xml:space="preserve">liability PV, lapse-down</t>
  </si>
  <si>
    <t xml:space="preserve">X</t>
  </si>
  <si>
    <t xml:space="preserve">liability PV under the Article 140 expense stress (+10% level, +1% inflation add-on)</t>
  </si>
  <si>
    <t xml:space="preserve">Monthly equivalence premium</t>
  </si>
  <si>
    <t xml:space="preserve">P × PV(persisting premiums) × (1 − margin − commission) = PV(payout) + PV(expense).  Forfeiture is NOT a funding source: a lapsing member premiums are already in the pool and simply remain there. The PV(forfeiture recycled) term was removed from this identity at v7.0.0.</t>
  </si>
  <si>
    <t xml:space="preserve">PV(persisting monthly premiums) per unit PM</t>
  </si>
  <si>
    <t xml:space="preserve">Σ in-force × DF over the deferral</t>
  </si>
  <si>
    <t xml:space="preserve">PV(forfeiture) per unit PM — DIAGNOSTIC ONLY</t>
  </si>
  <si>
    <t xml:space="preserve">Σ monthly lapses × months paid × DF</t>
  </si>
  <si>
    <t xml:space="preserve">Funding base per unit PM = premiums received only  [live]</t>
  </si>
  <si>
    <t xml:space="preserve">persisting only</t>
  </si>
  <si>
    <t xml:space="preserve">PV(commission) per unit PM</t>
  </si>
  <si>
    <t xml:space="preserve">heaped at month 0 plus trail</t>
  </si>
  <si>
    <t xml:space="preserve">Commission factor  [live]</t>
  </si>
  <si>
    <t xml:space="preserve">relative to persisting premium PV</t>
  </si>
  <si>
    <t xml:space="preserve">PV(payout leg) (€)</t>
  </si>
  <si>
    <t xml:space="preserve">monthly-in-advance annuity</t>
  </si>
  <si>
    <t xml:space="preserve">PV(expense leg) (€)</t>
  </si>
  <si>
    <t xml:space="preserve">monthly admin expense</t>
  </si>
  <si>
    <t xml:space="preserve">MONTHLY equivalence premium (€ per month)</t>
  </si>
  <si>
    <t xml:space="preserve">Annualised equivalent (12 × monthly) (€)</t>
  </si>
  <si>
    <t xml:space="preserve">Annual-basis premium for comparison (€)</t>
  </si>
  <si>
    <t xml:space="preserve">Difference, annualised monthly less annual (€)</t>
  </si>
  <si>
    <t xml:space="preserve">Difference as a share of the annual premium</t>
  </si>
  <si>
    <t xml:space="preserve">The two premiums are not expected to be equal. Monthly-in-advance collection brings premium in earlier and pays the annuity in twelfths,</t>
  </si>
  <si>
    <t xml:space="preserve">and constant-force decrements expose the contract to mortality within the year. The gap is a convention difference, not an error.</t>
  </si>
  <si>
    <t xml:space="preserve">Monthly reserving and own funds</t>
  </si>
  <si>
    <t xml:space="preserve">BEL(t) = Σ liability PV for months ≥ 12t, divided by DF(12t). ANAV(t) = Σ asset PV for months &lt; 12t, divided by DF(12t).</t>
  </si>
  <si>
    <t xml:space="preserve">ANAV monthly (€)  [live]</t>
  </si>
  <si>
    <t xml:space="preserve">BEL monthly (€)  [live]</t>
  </si>
  <si>
    <t xml:space="preserve">Own funds monthly (€)  [live]</t>
  </si>
  <si>
    <t xml:space="preserve">Annual basis, for comparison</t>
  </si>
  <si>
    <t xml:space="preserve">ANAV annual (€)  [live]</t>
  </si>
  <si>
    <t xml:space="preserve">BEL annual (€)  [live]</t>
  </si>
  <si>
    <t xml:space="preserve">Own funds annual (€)  [live]</t>
  </si>
  <si>
    <t xml:space="preserve">Divergence, monthly less annual</t>
  </si>
  <si>
    <t xml:space="preserve">BEL (€)  [live]</t>
  </si>
  <si>
    <t xml:space="preserve">Own funds (€)  [live]</t>
  </si>
  <si>
    <t xml:space="preserve">BEL divergence as a share of the annual BEL  [live]</t>
  </si>
  <si>
    <t xml:space="preserve">CONSISTENCY CHECKS</t>
  </si>
  <si>
    <t xml:space="preserve">In-force at vesting, monthly  [live]</t>
  </si>
  <si>
    <t xml:space="preserve">In-force at vesting, annual  [live]</t>
  </si>
  <si>
    <t xml:space="preserve">Difference  [live]</t>
  </si>
  <si>
    <t xml:space="preserve">Constant-force decrements reproduce the annual survivorship at year boundaries?  [live]</t>
  </si>
  <si>
    <t xml:space="preserve">Monthly DF at vesting ties to the annual DF?  [live]</t>
  </si>
  <si>
    <t xml:space="preserve">Monthly-basis capital requirement — SCR, risk margin and own funds at annual valuation dates</t>
  </si>
  <si>
    <t xml:space="preserve">Valuation dates are annual, month = 12t, so the comparison with the annual model isolates cashflow timing rather than valuation frequency. Stresses are applied to the annual rate and converted on the same constant-force basis.</t>
  </si>
  <si>
    <t xml:space="preserve">Stressed in-force ties exactly to the annual model at every annual boundary, for all three decrement stresses. Aggregation, the mass-lapse floor and the risk margin follow the annual formulas exactly.</t>
  </si>
  <si>
    <t xml:space="preserve">t</t>
  </si>
  <si>
    <t xml:space="preserve">ANAV_M</t>
  </si>
  <si>
    <t xml:space="preserve">BEL central</t>
  </si>
  <si>
    <t xml:space="preserve">BEL 138</t>
  </si>
  <si>
    <t xml:space="preserve">BEL up</t>
  </si>
  <si>
    <t xml:space="preserve">BEL dn</t>
  </si>
  <si>
    <t xml:space="preserve">BEL 141</t>
  </si>
  <si>
    <t xml:space="preserve">SCR long</t>
  </si>
  <si>
    <t xml:space="preserve">SCR lapse</t>
  </si>
  <si>
    <t xml:space="preserve">SCR exp</t>
  </si>
  <si>
    <t xml:space="preserve">SCR agg</t>
  </si>
  <si>
    <t xml:space="preserve">SCR×DF</t>
  </si>
  <si>
    <t xml:space="preserve">RM(t)</t>
  </si>
  <si>
    <t xml:space="preserve">own funds</t>
  </si>
  <si>
    <t xml:space="preserve">REQUIREMENT PROFILE ON THE MONTHLY BASIS</t>
  </si>
  <si>
    <t xml:space="preserve">own funds excl RM</t>
  </si>
  <si>
    <t xml:space="preserve">requirement (€)</t>
  </si>
  <si>
    <t xml:space="preserve">MONTHLY BASIS — THE REQUIREMENT</t>
  </si>
  <si>
    <t xml:space="preserve">Peak requirement (€/policy)  [live]</t>
  </si>
  <si>
    <t xml:space="preserve">Binding duration  [live]</t>
  </si>
  <si>
    <t xml:space="preserve">Annual basis, for comparison (€/policy)  [live]</t>
  </si>
  <si>
    <t xml:space="preserve">Annual basis binding duration  [live]</t>
  </si>
  <si>
    <t xml:space="preserve">Monthly less annual (€/policy)  [live]</t>
  </si>
  <si>
    <t xml:space="preserve">as a share of the annual figure  [live]</t>
  </si>
  <si>
    <t xml:space="preserve">VALIDATION — the monthly SCR must tie to the annual SCR at annual valuation dates</t>
  </si>
  <si>
    <t xml:space="preserve">In-force ties exactly, so any SCR difference is cashflow timing within the year, not a different decrement basis.</t>
  </si>
  <si>
    <t xml:space="preserve">t=0</t>
  </si>
  <si>
    <t xml:space="preserve">t=5</t>
  </si>
  <si>
    <t xml:space="preserve">t=10</t>
  </si>
  <si>
    <t xml:space="preserve">t=15</t>
  </si>
  <si>
    <t xml:space="preserve">t=20</t>
  </si>
  <si>
    <t xml:space="preserve">monthly SCR agg  [live]</t>
  </si>
  <si>
    <t xml:space="preserve">annual SCR agg  [live]</t>
  </si>
  <si>
    <t xml:space="preserve">difference  [live]</t>
  </si>
  <si>
    <t xml:space="preserve">monthly in-force less annual  [live]</t>
  </si>
  <si>
    <t xml:space="preserve">WHY THE MONTHLY BASIS IS THE MORE FAVOURABLE ONE</t>
  </si>
  <si>
    <t xml:space="preserve">The expectation was that the monthly basis would be worse, because 68% of commission falls in month 0 and the acquisition strain is carried where it actually lands rather than spread. That expectation was wrong.</t>
  </si>
  <si>
    <t xml:space="preserve">The strain does show in own funds, which are lower on the monthly basis at every date. But two larger effects run the other way.</t>
  </si>
  <si>
    <t xml:space="preserve">monthly</t>
  </si>
  <si>
    <t xml:space="preserve">annual</t>
  </si>
  <si>
    <t xml:space="preserve">difference</t>
  </si>
  <si>
    <t xml:space="preserve">Own funds at the binding date (€)</t>
  </si>
  <si>
    <t xml:space="preserve">Aggregate SCR at the binding date (€)</t>
  </si>
  <si>
    <t xml:space="preserve">Risk margin at the binding date (€)</t>
  </si>
  <si>
    <t xml:space="preserve">Paying the annuity in twelfths defers cash within each year, so the liability is smaller in present value. The stressed liabilities shrink with it, so the SCR is smaller, and the risk margin follows the SCR.</t>
  </si>
  <si>
    <t xml:space="preserve">The reduction in the SCR and the risk margin together outweighs the reduction in own funds, so the requirement falls.</t>
  </si>
  <si>
    <t xml:space="preserve">This does not make the monthly basis a lever. It is a convention, not a design choice: a product with monthly premiums and a monthly annuity is priced this way because that is how it is sold.</t>
  </si>
  <si>
    <t xml:space="preserve">The finding is that adopting the finer convention does not worsen the capital position, and moves the binding date two years later.</t>
  </si>
  <si>
    <t xml:space="preserve">COLUMN GUIDE — rows 6–61 are annual valuation points t = 0–55 evaluated on the monthly grid.</t>
  </si>
  <si>
    <t xml:space="preserve">month = 12t</t>
  </si>
  <si>
    <t xml:space="preserve">ANAV at t (monthly basis)</t>
  </si>
  <si>
    <t xml:space="preserve">BEL at t (monthly basis) — note the order: C is ANAV, D is BEL</t>
  </si>
  <si>
    <t xml:space="preserve">BEL(t), Article 138 (renormalised × I(m)/R(m))</t>
  </si>
  <si>
    <t xml:space="preserve">BEL(t), lapse-up (renormalised)</t>
  </si>
  <si>
    <t xml:space="preserve">BEL(t), lapse-down (renormalised)</t>
  </si>
  <si>
    <t xml:space="preserve">BEL(t), Article 140</t>
  </si>
  <si>
    <t xml:space="preserve">I–N</t>
  </si>
  <si>
    <t xml:space="preserve">SCR components, aggregate, discounted aggregate and risk margin, mirroring the RiskMargin sheet</t>
  </si>
  <si>
    <t xml:space="preserve">rows 66–121</t>
  </si>
  <si>
    <t xml:space="preserve">requirement profile per policy in force; B125 = maximum, B126 = binding duration (fig_day1_monthly, fig_bind_monthly)</t>
  </si>
  <si>
    <t xml:space="preserve">Monthly engine — validation against the annual basis</t>
  </si>
  <si>
    <t xml:space="preserve">The monthly and annual models are not expected to agree. The purpose here is to prove the monthly grid is correct, then account for the divergence.</t>
  </si>
  <si>
    <t xml:space="preserve">PART 1 — IS THE MONTHLY GRID CORRECT?</t>
  </si>
  <si>
    <t xml:space="preserve">Three ties that must hold exactly if the grid, decrements and curve are right.</t>
  </si>
  <si>
    <t xml:space="preserve">Difference</t>
  </si>
  <si>
    <t xml:space="preserve">Discount factor at vesting, monthly  [live]</t>
  </si>
  <si>
    <t xml:space="preserve">Discount factor at vesting, annual  [live]</t>
  </si>
  <si>
    <t xml:space="preserve">Payout leg valued off the MONTHLY grid but paid annually in advance (€)  [live]</t>
  </si>
  <si>
    <t xml:space="preserve">Payout leg on the annual model (€)  [live]</t>
  </si>
  <si>
    <t xml:space="preserve">Verdict on the grid</t>
  </si>
  <si>
    <t xml:space="preserve">This is the key test: forcing annual-in-advance timing onto the monthly grid must recover the annual figures. Any remaining difference is therefore convention, not construction.</t>
  </si>
  <si>
    <t xml:space="preserve">PART 2 — WHERE THE DIVERGENCE COMES FROM</t>
  </si>
  <si>
    <t xml:space="preserve">Annuity timing: monthly-in-advance versus annual-in-advance</t>
  </si>
  <si>
    <t xml:space="preserve">Payout leg, monthly in advance (€)  [live]</t>
  </si>
  <si>
    <t xml:space="preserve">Payout leg, annual in advance (€)  [live]</t>
  </si>
  <si>
    <t xml:space="preserve">Effect of paying in twelfths (€)  [live]</t>
  </si>
  <si>
    <t xml:space="preserve">As a share of the leg  [live]</t>
  </si>
  <si>
    <t xml:space="preserve">Paying the annuity in twelfths through the year defers cash relative to paying it all at the start, which lowers its present value.</t>
  </si>
  <si>
    <t xml:space="preserve">Premium level</t>
  </si>
  <si>
    <t xml:space="preserve">Annualised monthly premium (€)  [live]</t>
  </si>
  <si>
    <t xml:space="preserve">Annual-basis premium (€)  [live]</t>
  </si>
  <si>
    <t xml:space="preserve">Difference (€)  [live]</t>
  </si>
  <si>
    <t xml:space="preserve">Relative  [live]</t>
  </si>
  <si>
    <t xml:space="preserve">The monthly premium is lower because monthly collection brings premium in earlier while the annuity goes out later. Both move in the writer's favour.</t>
  </si>
  <si>
    <t xml:space="preserve">Commission timing</t>
  </si>
  <si>
    <t xml:space="preserve">Commission present value, monthly basis (€)  [live]</t>
  </si>
  <si>
    <t xml:space="preserve">Commission paid by the end of month 0 (€)  [live]</t>
  </si>
  <si>
    <t xml:space="preserve">Share of all commission falling in month 0  [live]</t>
  </si>
  <si>
    <t xml:space="preserve">On the annual basis commission is deducted as a level share of each premium, which spreads the same present value evenly and removes the strain.</t>
  </si>
  <si>
    <t xml:space="preserve">RECONCILIATION OF THE ACCUMULATED FUND AT VESTING</t>
  </si>
  <si>
    <t xml:space="preserve">Accumulated fund at vesting, annual (€)  [live]</t>
  </si>
  <si>
    <t xml:space="preserve">Accumulated fund at vesting, monthly (€)  [live]</t>
  </si>
  <si>
    <t xml:space="preserve">Total gap (€)  [live]</t>
  </si>
  <si>
    <t xml:space="preserve">of which: lower premium level  [live] — a term neutralised with *0 was removed at v13.2.2, value unchanged</t>
  </si>
  <si>
    <t xml:space="preserve">of which: collection and commission timing (residual)  [live]</t>
  </si>
  <si>
    <t xml:space="preserve">The residual is timing: premium arriving in twelfths through each year rather than at the start, and the commission heap falling at month 0.</t>
  </si>
  <si>
    <t xml:space="preserve">It is not decomposed further — doing so would require a third variant model, and the two effects are not separable in a way that would add information.</t>
  </si>
  <si>
    <t xml:space="preserve">CONCLUSION</t>
  </si>
  <si>
    <t xml:space="preserve">Grid verified. The monthly model reproduces the annual model exactly when annual timing is imposed, so the divergence is entirely convention.</t>
  </si>
  <si>
    <t xml:space="preserve">The monthly basis is the finer representation: it prices the contract as it would actually be sold and administered, and it exposes the acquisition strain</t>
  </si>
  <si>
    <t xml:space="preserve">that the annual level-commission convention smooths away. Both bases are retained; neither is discarded.</t>
  </si>
  <si>
    <t xml:space="preserve">Full own-funds trajectory across the run-off — both bases</t>
  </si>
  <si>
    <t xml:space="preserve">Year by year from entry to age 120, on the monthly engine and on the annual engine, computed live from each projection.</t>
  </si>
  <si>
    <t xml:space="preserve">year</t>
  </si>
  <si>
    <t xml:space="preserve">ANAV monthly</t>
  </si>
  <si>
    <t xml:space="preserve">BEL monthly</t>
  </si>
  <si>
    <t xml:space="preserve">OF monthly</t>
  </si>
  <si>
    <t xml:space="preserve">ANAV annual</t>
  </si>
  <si>
    <t xml:space="preserve">BEL annual</t>
  </si>
  <si>
    <t xml:space="preserve">OF annual</t>
  </si>
  <si>
    <t xml:space="preserve">divergence</t>
  </si>
  <si>
    <t xml:space="preserve">neg flag M</t>
  </si>
  <si>
    <t xml:space="preserve">neg flag A</t>
  </si>
  <si>
    <t xml:space="preserve">ANALYSIS</t>
  </si>
  <si>
    <t xml:space="preserve">First year own funds turn negative — monthly  [live]</t>
  </si>
  <si>
    <t xml:space="preserve">First year own funds turn negative — annual  [live]</t>
  </si>
  <si>
    <t xml:space="preserve">Both bases: own funds remain positive across the whole run-off  [live]</t>
  </si>
  <si>
    <t xml:space="preserve">Peak own funds, monthly (€)  [live]</t>
  </si>
  <si>
    <t xml:space="preserve">Year of peak, monthly  [live]</t>
  </si>
  <si>
    <t xml:space="preserve">Peak own funds, annual (€)  [live]</t>
  </si>
  <si>
    <t xml:space="preserve">Year of peak, annual  [live]</t>
  </si>
  <si>
    <t xml:space="preserve">Trough own funds, monthly (€)  [live]</t>
  </si>
  <si>
    <t xml:space="preserve">Year of trough, monthly  [live]</t>
  </si>
  <si>
    <t xml:space="preserve">Trough own funds, annual (€)  [live]</t>
  </si>
  <si>
    <t xml:space="preserve">Year of trough, annual  [live]</t>
  </si>
  <si>
    <t xml:space="preserve">Own funds at the final year of the run-off, monthly (€)  [live]</t>
  </si>
  <si>
    <t xml:space="preserve">Own funds at the final year, annual (€)  [live]</t>
  </si>
  <si>
    <t xml:space="preserve">READING THE CURVE</t>
  </si>
  <si>
    <t xml:space="preserve">Both bases show own funds positive and rising across the run-off: the pool balances, so the provider margin accumulates rather than being consumed by a funding shortfall.</t>
  </si>
  <si>
    <t xml:space="preserve">The requirement that remains is capital against the SCR and the risk margin, not a funding gap.</t>
  </si>
  <si>
    <t xml:space="preserve">Consistency: does the annual trajectory reproduce the five reported timepoints?  [live]</t>
  </si>
  <si>
    <t xml:space="preserve">OF at t=0 from this sheet less the reported figure  [live]</t>
  </si>
  <si>
    <t xml:space="preserve">OF at t=15 from this sheet less the reported figure  [live]</t>
  </si>
  <si>
    <t xml:space="preserve">OF at t=20 from this sheet less the reported figure  [live]</t>
  </si>
  <si>
    <t xml:space="preserve">ANNUAL CAPITAL REQUIREMENT PROFILE — the requirement located exactly, not sampled</t>
  </si>
  <si>
    <t xml:space="preserve">The five reported timepoints sample the requirement at 0, 5, 10, 15 and 20 years and take the maximum. With five-year spacing the true peak can fall between samples,</t>
  </si>
  <si>
    <t xml:space="preserve">and at entry ages other than 65 the sampled grid does not even coincide with vesting. This profile computes the requirement at every year to age 120 and locates the peak exactly.</t>
  </si>
  <si>
    <t xml:space="preserve">Deferral, derived  [live]</t>
  </si>
  <si>
    <t xml:space="preserve">vesting falls at this duration, whatever the entry age</t>
  </si>
  <si>
    <t xml:space="preserve">own funds (€)</t>
  </si>
  <si>
    <t xml:space="preserve">SCR agg (€)</t>
  </si>
  <si>
    <t xml:space="preserve">risk margin (€)</t>
  </si>
  <si>
    <t xml:space="preserve">at vesting?</t>
  </si>
  <si>
    <t xml:space="preserve">THE REQUIREMENT, LOCATED EXACTLY</t>
  </si>
  <si>
    <t xml:space="preserve">Peak requirement across every year (€/policy)  [live]</t>
  </si>
  <si>
    <t xml:space="preserve">Duration at which it binds  [live]</t>
  </si>
  <si>
    <t xml:space="preserve">Attained age at the binding date  [live]</t>
  </si>
  <si>
    <t xml:space="preserve">Binding date relative to vesting  [live]</t>
  </si>
  <si>
    <t xml:space="preserve">Requirement from the five sampled timepoints (€/policy)  [live]</t>
  </si>
  <si>
    <t xml:space="preserve">Understatement by sampling (€/policy)  [live]</t>
  </si>
  <si>
    <t xml:space="preserve">as a share of the exact requirement  [live]</t>
  </si>
  <si>
    <t xml:space="preserve">Requirement at vesting, for reference (€/policy)  [live]</t>
  </si>
  <si>
    <t xml:space="preserve">Own funds at vesting (€)  [live]</t>
  </si>
  <si>
    <t xml:space="preserve">Accumulated fund at vesting (€)  [live]</t>
  </si>
  <si>
    <t xml:space="preserve">Best-estimate reserve at vesting (€)  [live]</t>
  </si>
  <si>
    <t xml:space="preserve">Fund covers the reserve at vesting?  [live]</t>
  </si>
  <si>
    <t xml:space="preserve">These four cells replace any reference to a fixed timepoint as 'vesting'. They locate it from the deferral, so they hold at any entry age.</t>
  </si>
  <si>
    <t xml:space="preserve">BLOCK MAP. Rows 5–60: annual ANAV, BEL and own funds by duration. Rows 106–161: the exact requirement profile — (SCR_agg + RM − OF) / in-force per duration; B164 is the maximum (fig_day1_exact) and B165 the binding duration (fig_bind_duration). Five-timepoint tables elsewhere sample this profile; the profile is authoritative.</t>
  </si>
  <si>
    <t xml:space="preserve">Commission models — four structures carried through pricing, reserving and own funds</t>
  </si>
  <si>
    <t xml:space="preserve">Structures as set out in Annex B.3. Rates are a share of the annual premium in the policy year shown. Everything to the right is live.</t>
  </si>
  <si>
    <t xml:space="preserve">CONTENTS. Commission models and parameter table: rows 5 to 12. Per-age commission rate and PV by model: 14 to 70. Model comparison and requirement by model: 76 to 139. Fifth structure, commission right-sized to the product: 160 to 218. Market-granular structures and headroom: 220 to 310. Annual-resolution requirement profile by structure, with the control block: 320 to 401. W23 exact-SCR test for the chosen structure: 410 to 545.</t>
  </si>
  <si>
    <t xml:space="preserve">model</t>
  </si>
  <si>
    <t xml:space="preserve">year 1</t>
  </si>
  <si>
    <t xml:space="preserve">years 2–4</t>
  </si>
  <si>
    <t xml:space="preserve">year 5+</t>
  </si>
  <si>
    <t xml:space="preserve">description</t>
  </si>
  <si>
    <t xml:space="preserve">Heaped + trail</t>
  </si>
  <si>
    <t xml:space="preserve">100% year 1 plus 5% thereafter — the default in the paper</t>
  </si>
  <si>
    <t xml:space="preserve">Zero commission</t>
  </si>
  <si>
    <t xml:space="preserve">execution-only or fee-based distribution</t>
  </si>
  <si>
    <t xml:space="preserve">Level 20% flat</t>
  </si>
  <si>
    <t xml:space="preserve">comparator: a flat share of every premium</t>
  </si>
  <si>
    <t xml:space="preserve">Industry reference</t>
  </si>
  <si>
    <t xml:space="preserve">100% year 1, 20% years 2–4, 3% year 5+</t>
  </si>
  <si>
    <t xml:space="preserve">The default model is row 6. Its rates reproduce Assumptions B14 and B15, so the existing figures are recovered exactly.</t>
  </si>
  <si>
    <t xml:space="preserve">PER-AGE COMMISSION RATE AND PRESENT VALUE, BY MODEL</t>
  </si>
  <si>
    <t xml:space="preserve">rate M1</t>
  </si>
  <si>
    <t xml:space="preserve">rate M2</t>
  </si>
  <si>
    <t xml:space="preserve">rate M3</t>
  </si>
  <si>
    <t xml:space="preserve">rate M4</t>
  </si>
  <si>
    <t xml:space="preserve">PV/unit M1</t>
  </si>
  <si>
    <t xml:space="preserve">PV/unit M2</t>
  </si>
  <si>
    <t xml:space="preserve">PV/unit M3</t>
  </si>
  <si>
    <t xml:space="preserve">PV/unit M4</t>
  </si>
  <si>
    <t xml:space="preserve">rate, chosen structure</t>
  </si>
  <si>
    <t xml:space="preserve">PV/unit, chosen structure</t>
  </si>
  <si>
    <t xml:space="preserve">PRICING BY MODEL</t>
  </si>
  <si>
    <t xml:space="preserve">PV commission per unit premium</t>
  </si>
  <si>
    <t xml:space="preserve">Commission factor</t>
  </si>
  <si>
    <t xml:space="preserve">Annual premium (€)</t>
  </si>
  <si>
    <t xml:space="preserve">Monthly-equivalent premium (€)</t>
  </si>
  <si>
    <t xml:space="preserve">Equivalence-only premium, zero loadings (€)</t>
  </si>
  <si>
    <t xml:space="preserve">Loading over equivalence-only (€)</t>
  </si>
  <si>
    <t xml:space="preserve">Loading %</t>
  </si>
  <si>
    <t xml:space="preserve">Check — the default model reproduces the paper's premium  [live]</t>
  </si>
  <si>
    <t xml:space="preserve">ACCUMULATED FUND, RESERVE AND OWN FUNDS BY MODEL</t>
  </si>
  <si>
    <t xml:space="preserve">All computed live from the shared projection with each model's own premium and commission schedule.</t>
  </si>
  <si>
    <t xml:space="preserve">Accumulated fund (€)</t>
  </si>
  <si>
    <t xml:space="preserve">Best-estimate liability (€)</t>
  </si>
  <si>
    <t xml:space="preserve">Own funds (€)</t>
  </si>
  <si>
    <t xml:space="preserve">VALIDATION — model 1 must reproduce the published trajectory</t>
  </si>
  <si>
    <t xml:space="preserve">Accumulated fund, model 1 less reported  [live]</t>
  </si>
  <si>
    <t xml:space="preserve">Reserve, model 1 less reported  [live]</t>
  </si>
  <si>
    <t xml:space="preserve">Own funds, model 1 less reported  [live]</t>
  </si>
  <si>
    <t xml:space="preserve">DAY-1 OWN FUNDS REQUIRED BY MODEL</t>
  </si>
  <si>
    <t xml:space="preserve">Requirement = max over t of (SCR + risk margin − own funds) ÷ in-force. Exact at t = 15 and t = 20, where no premiums remain so the reserve, SCR and risk margin are identical across models.</t>
  </si>
  <si>
    <t xml:space="preserve">Before vesting the SCR and risk margin are held at the default model's values, pending the stress rebuild. Those columns are marked approximate.</t>
  </si>
  <si>
    <t xml:space="preserve">t=0 (approx)</t>
  </si>
  <si>
    <t xml:space="preserve">t=5 (approx)</t>
  </si>
  <si>
    <t xml:space="preserve">t=10 (approx)</t>
  </si>
  <si>
    <t xml:space="preserve">Requirement</t>
  </si>
  <si>
    <t xml:space="preserve">Binds at</t>
  </si>
  <si>
    <t xml:space="preserve">Requirement relative to the default model  [live]</t>
  </si>
  <si>
    <t xml:space="preserve">Difference from default (€/policy)</t>
  </si>
  <si>
    <t xml:space="preserve">FIRST YEAR OWN FUNDS TURN NEGATIVE, BY MODEL</t>
  </si>
  <si>
    <t xml:space="preserve">Interpolated between the reported timepoints, so indicative rather than exact.</t>
  </si>
  <si>
    <t xml:space="preserve">WHY THE RANKING RAN THE WRONG WAY BEFORE v7.0.0 — A PRICING-CONVENTION ARTEFACT, NOW REMOVED</t>
  </si>
  <si>
    <t xml:space="preserve">FAIR VALUE TEST BY MODEL — the binding constraint on the choice</t>
  </si>
  <si>
    <t xml:space="preserve">The money's-worth ratio scales inversely with the premium. A model is admissible only if it clears the 0.90 floor.</t>
  </si>
  <si>
    <t xml:space="preserve">Before v7.0.0 the difference was a windfall that grew with the commission rate. The correction removed it: see A144, where own funds at inception are now exactly the provider margin under every model.</t>
  </si>
  <si>
    <t xml:space="preserve">Annual premium (€)  [live]</t>
  </si>
  <si>
    <t xml:space="preserve">Money's-worth ratio  [live]</t>
  </si>
  <si>
    <t xml:space="preserve">Fairness floor</t>
  </si>
  <si>
    <t xml:space="preserve">Admissible?  [live]</t>
  </si>
  <si>
    <t xml:space="preserve">Day-1 requirement (€/policy)  [live]</t>
  </si>
  <si>
    <t xml:space="preserve">Requirement if admissible, else excluded — the sentinel 1e15 marks an excluded model so MIN skips it  [live]</t>
  </si>
  <si>
    <t xml:space="preserve">Own funds at inception less the provider margin, by model — must be zero under every model  [live]  (models read across C to F, own funds read down rows 98 to 101)</t>
  </si>
  <si>
    <t xml:space="preserve">Lowest requirement among admissible models (€/policy)  [live]</t>
  </si>
  <si>
    <t xml:space="preserve">Model achieving it  [live]</t>
  </si>
  <si>
    <t xml:space="preserve">THE SAME COMPARISON WITHOUT THE ARTEFACT</t>
  </si>
  <si>
    <t xml:space="preserve">READING THE COMPARISON</t>
  </si>
  <si>
    <t xml:space="preserve">Own funds at inception are now exactly the provider margin under every model — three per cent of premiums received. The windfall that previously drove the ranking has gone.</t>
  </si>
  <si>
    <t xml:space="preserve">The requirement still falls slightly as commission rises, because the margin is proportional to the premium and a larger premium yields a larger absolute margin.</t>
  </si>
  <si>
    <t xml:space="preserve">That is a real feature of a proportional-margin basis, not an artefact. It is also self-limiting: the higher premium erodes the money's-worth ratio.</t>
  </si>
  <si>
    <t xml:space="preserve">Two of the four structures breach the fairness floor and are therefore not available, whatever their effect on capital.</t>
  </si>
  <si>
    <t xml:space="preserve">Own funds at t = 20 (€)  [live]</t>
  </si>
  <si>
    <t xml:space="preserve">Difference from the default model  [live]</t>
  </si>
  <si>
    <t xml:space="preserve">READING THE RESULT</t>
  </si>
  <si>
    <t xml:space="preserve">On the corrected convention the ranking is economic: less commission leaves more premium in the fund and a smaller requirement.</t>
  </si>
  <si>
    <t xml:space="preserve">The paper's published basis charges commission on forfeited premiums. That is a pricing choice, not a modelling error, but it must not be read as showing that heavier commission improves solvency.</t>
  </si>
  <si>
    <t xml:space="preserve">A FIFTH STRUCTURE — COMMISSION RIGHT-SIZED TO THE PRODUCT</t>
  </si>
  <si>
    <t xml:space="preserve">The four structures above are taken from market practice and tested against the product. This section inverts the question: what commission can the product carry?</t>
  </si>
  <si>
    <t xml:space="preserve">Context for the reframe. The contract is an option written inside an ARF or vested PRSA that already carries a distribution payment on the host wrapper.</t>
  </si>
  <si>
    <t xml:space="preserve">It therefore does not require a distribution payment in its own right. What it may reasonably carry is a payment for the additional advice the option demands, and that is what is sized here.</t>
  </si>
  <si>
    <t xml:space="preserve">THE MAXIMUM FAIR PREMIUM IS A FIXED QUANTITY</t>
  </si>
  <si>
    <t xml:space="preserve">The money's-worth ratio is the present value of benefits over the present value of premiums, both on a mortality-only basis. Setting it to the floor therefore pins the premium,</t>
  </si>
  <si>
    <t xml:space="preserve">independently of how the loadings are split. No commission structure can raise it.</t>
  </si>
  <si>
    <t xml:space="preserve">Money's-worth ratio at the current premium  [live]</t>
  </si>
  <si>
    <t xml:space="preserve">Current premium (€)  [live]</t>
  </si>
  <si>
    <t xml:space="preserve">Benefit-to-premium constant, MWR × premium (€)  [live]</t>
  </si>
  <si>
    <t xml:space="preserve">Maximum fair premium (€)  [live]</t>
  </si>
  <si>
    <t xml:space="preserve">Current premium exceeds it by (€)  [live]</t>
  </si>
  <si>
    <t xml:space="preserve">as a share of the premium  [live]</t>
  </si>
  <si>
    <t xml:space="preserve">THE COMMISSION THE PRODUCT CAN CARRY</t>
  </si>
  <si>
    <t xml:space="preserve">Solving the equivalence identity for the commission factor at the maximum fair premium.</t>
  </si>
  <si>
    <t xml:space="preserve">PV annuity plus expense (€)  [live]</t>
  </si>
  <si>
    <t xml:space="preserve">PV premiums per unit P  [live]</t>
  </si>
  <si>
    <t xml:space="preserve">Provider margin  [live]</t>
  </si>
  <si>
    <t xml:space="preserve">Commission factor the product can carry  [live]</t>
  </si>
  <si>
    <t xml:space="preserve">Commission factor currently charged  [live]</t>
  </si>
  <si>
    <t xml:space="preserve">Reduction required  [live]</t>
  </si>
  <si>
    <t xml:space="preserve">EXPRESSED AS A PRACTICAL STRUCTURE</t>
  </si>
  <si>
    <t xml:space="preserve">The factor above is a present-value share of premiums. Any schedule with that present value is admissible. The table gives the trail required for a range of year-one payments.</t>
  </si>
  <si>
    <t xml:space="preserve">year 1 payment</t>
  </si>
  <si>
    <t xml:space="preserve">trail, years 2+</t>
  </si>
  <si>
    <t xml:space="preserve">PV check</t>
  </si>
  <si>
    <t xml:space="preserve">premium (€)</t>
  </si>
  <si>
    <t xml:space="preserve">MWR</t>
  </si>
  <si>
    <t xml:space="preserve">clears?</t>
  </si>
  <si>
    <t xml:space="preserve">PV of the year-one premium per unit P  [live]</t>
  </si>
  <si>
    <t xml:space="preserve">READING THE TABLE</t>
  </si>
  <si>
    <t xml:space="preserve">Every row has the same present value and therefore the same premium and the same money's-worth ratio, exactly at the floor. The choice between them is a distribution-design question, not a pricing one.</t>
  </si>
  <si>
    <t xml:space="preserve">A structure with no year-one payment supports the highest trail. A full year-one heap leaves the least room for a trail and may leave none at all, in which case that row is inadmissible.</t>
  </si>
  <si>
    <t xml:space="preserve">COMPARISON WITH THE FOUR MARKET STRUCTURES</t>
  </si>
  <si>
    <t xml:space="preserve">Right-sized commission factor  [live]</t>
  </si>
  <si>
    <t xml:space="preserve">excess over right-sized</t>
  </si>
  <si>
    <t xml:space="preserve">verdict</t>
  </si>
  <si>
    <t xml:space="preserve">THE OPERATIVE RESULT</t>
  </si>
  <si>
    <t xml:space="preserve">The current structure is 100% of the first year's premium plus a 5% trail. Holding the year-one payment and solving for the trail:</t>
  </si>
  <si>
    <t xml:space="preserve">Trail the product can carry, year-one payment held at 100%  [live]</t>
  </si>
  <si>
    <t xml:space="preserve">Trail currently paid</t>
  </si>
  <si>
    <t xml:space="preserve">as a share of the trail currently paid  [live]</t>
  </si>
  <si>
    <t xml:space="preserve">The gap is narrow. Retaining the full year-one payment and trimming the trail from 5.0% to about 4.5% brings the product exactly to the fairness floor.</t>
  </si>
  <si>
    <t xml:space="preserve">That is the right-sized structure: the distribution model is unchanged in shape, and the adjustment is confined to the trail.</t>
  </si>
  <si>
    <t xml:space="preserve">MARKET-GRANULAR STRUCTURES AND HEADROOM</t>
  </si>
  <si>
    <t xml:space="preserve">Trail rates are not quoted more finely than a quarter of a percent, so a solved rate of 4.507% is not a structure anyone would write. And a design sitting exactly on the fairness</t>
  </si>
  <si>
    <t xml:space="preserve">boundary leaves no operating space: any later movement in mortality, expenses or the curve puts it outside. This section models realistic rates and reports the headroom each leaves.</t>
  </si>
  <si>
    <t xml:space="preserve">Benefit-to-premium constant (€)  [live]</t>
  </si>
  <si>
    <t xml:space="preserve">PV of all premiums per unit P  [live]</t>
  </si>
  <si>
    <t xml:space="preserve">MONEY'S-WORTH RATIO BY YEAR-ONE PAYMENT AND TRAIL</t>
  </si>
  <si>
    <t xml:space="preserve">trail \ year 1</t>
  </si>
  <si>
    <t xml:space="preserve">HEADROOM ABOVE THE FLOOR, IN RATIO POINTS</t>
  </si>
  <si>
    <t xml:space="preserve">Cells at or below zero are outside the fairness constraint. A design should sit well clear of the boundary, not on it.</t>
  </si>
  <si>
    <t xml:space="preserve">CHOSEN STRUCTURE — inputs</t>
  </si>
  <si>
    <t xml:space="preserve">Year-one payment, share of the first premium</t>
  </si>
  <si>
    <t xml:space="preserve">Trail, years 2 onward</t>
  </si>
  <si>
    <t xml:space="preserve">Headroom above the floor  [live]</t>
  </si>
  <si>
    <t xml:space="preserve">Premium versus the current design (€)  [live]</t>
  </si>
  <si>
    <t xml:space="preserve">OWN FUNDS AND CAPITAL UNDER THE CHOSEN STRUCTURE</t>
  </si>
  <si>
    <t xml:space="preserve">SCR and risk margin are held at the central-model values. They are exact from vesting onward, where no premiums remain; before vesting the commission affects only the lapse leg and the effect is second order.</t>
  </si>
  <si>
    <t xml:space="preserve">Accumulated fund (€)  [live]</t>
  </si>
  <si>
    <t xml:space="preserve">Best-estimate liability (€)  [live]</t>
  </si>
  <si>
    <t xml:space="preserve">Day-1 own funds needed (€/policy)  [live]</t>
  </si>
  <si>
    <t xml:space="preserve">Capital requirement under the chosen structure (€/policy), annual resolution  [live]</t>
  </si>
  <si>
    <t xml:space="preserve">Requirement under the current design (€/policy)  [live]</t>
  </si>
  <si>
    <t xml:space="preserve">Additional capital the change costs (€/policy)  [live]</t>
  </si>
  <si>
    <t xml:space="preserve">THE TRADE-OFF</t>
  </si>
  <si>
    <t xml:space="preserve">Less commission lowers the premium, so less accumulates in the fund and the capital requirement rises. Fairness headroom is bought with capital.</t>
  </si>
  <si>
    <t xml:space="preserve">CANDIDATE STRUCTURES AT MARKET GRANULARITY</t>
  </si>
  <si>
    <t xml:space="preserve">Premium and money's-worth ratio are computed live. The requirement at the two computed points - the current design and the chosen structure - is now on the annual-resolution basis, matching B283. The intermediate rows remain linearly interpolated between those two points.</t>
  </si>
  <si>
    <t xml:space="preserve">Interpolation is accurate over this narrow range because the requirement is very nearly linear in the premium.</t>
  </si>
  <si>
    <t xml:space="preserve">Sensitivity of the requirement to the premium (€ per € of premium)  [live]</t>
  </si>
  <si>
    <t xml:space="preserve">trail</t>
  </si>
  <si>
    <t xml:space="preserve">commission factor</t>
  </si>
  <si>
    <t xml:space="preserve">headroom</t>
  </si>
  <si>
    <t xml:space="preserve">requirement (€) — computed at rows 296 and 300, interpolated between</t>
  </si>
  <si>
    <t xml:space="preserve">capital cost (€)</t>
  </si>
  <si>
    <t xml:space="preserve">current design</t>
  </si>
  <si>
    <t xml:space="preserve">solved rate, no space</t>
  </si>
  <si>
    <t xml:space="preserve">RECOMMENDED</t>
  </si>
  <si>
    <t xml:space="preserve">reduced heap</t>
  </si>
  <si>
    <t xml:space="preserve">RECOMMENDATION</t>
  </si>
  <si>
    <t xml:space="preserve">Retain the year-one payment at 100% of the first premium and set the trail at 1.0%. That is a rate the market writes, it leaves 3.4 ratio points of headroom above the fairness floor,</t>
  </si>
  <si>
    <t xml:space="preserve">and it costs €253 of additional capital per policy — under one per cent of the requirement. The product is then comfortably inside the fairness constraint rather than sitting on it.</t>
  </si>
  <si>
    <t xml:space="preserve">Reducing the year-one payment instead is more powerful still: halving it to 50% with a 2.5% trail gives seven ratio points of headroom. But the year-one payment is what funds the advice</t>
  </si>
  <si>
    <t xml:space="preserve">at the point of sale, which is where the additional complexity of this contract actually falls, so trimming the trail is the better-targeted reduction.</t>
  </si>
  <si>
    <t xml:space="preserve">ANNUAL-RESOLUTION REQUIREMENT PROFILE BY COMMISSION STRUCTURE</t>
  </si>
  <si>
    <t xml:space="preserve">Added at v13.0.0. B282 previously took the maximum over five sampled timepoints while B283 read the exact annual-resolution figure from Trajectory, so B284 subtracted one basis from another. Both are now annual.</t>
  </si>
  <si>
    <t xml:space="preserve">CONTROL block (columns C to F) uses the default premium and the model-1 commission column. It must reproduce Trajectory!B164 exactly, or this machinery is not the same calculation. CHOSEN block (columns G to J) uses the recommended structure at B269 and its commission column L.</t>
  </si>
  <si>
    <t xml:space="preserve">SCR and the risk margin are held at the central-model values in both blocks, as at A275. They are exact from vesting onward, where no premiums remain. Before vesting the commission affects only the lapse leg.</t>
  </si>
  <si>
    <t xml:space="preserve">CONTROL fund</t>
  </si>
  <si>
    <t xml:space="preserve">CONTROL BEL</t>
  </si>
  <si>
    <t xml:space="preserve">CONTROL own funds</t>
  </si>
  <si>
    <t xml:space="preserve">CONTROL requirement</t>
  </si>
  <si>
    <t xml:space="preserve">CHOSEN fund</t>
  </si>
  <si>
    <t xml:space="preserve">CHOSEN BEL</t>
  </si>
  <si>
    <t xml:space="preserve">CHOSEN own funds</t>
  </si>
  <si>
    <t xml:space="preserve">CHOSEN requirement</t>
  </si>
  <si>
    <t xml:space="preserve">risk margin</t>
  </si>
  <si>
    <t xml:space="preserve">ACCEPTANCE TEST — the control must reproduce the annual figure</t>
  </si>
  <si>
    <t xml:space="preserve">Control peak requirement (€/policy)  [live]</t>
  </si>
  <si>
    <t xml:space="preserve">Control binding duration  [live]</t>
  </si>
  <si>
    <t xml:space="preserve">Trajectory annual requirement  [live]</t>
  </si>
  <si>
    <t xml:space="preserve">Trajectory binding duration  [live]</t>
  </si>
  <si>
    <t xml:space="preserve">Difference in requirement  [live]</t>
  </si>
  <si>
    <t xml:space="preserve">Verdict  [live]</t>
  </si>
  <si>
    <t xml:space="preserve">THE CHOSEN STRUCTURE ON THE SAME BASIS</t>
  </si>
  <si>
    <t xml:space="preserve">Chosen-structure peak requirement, annual resolution (€/policy)  [live]</t>
  </si>
  <si>
    <t xml:space="preserve">Chosen-structure binding duration  [live]</t>
  </si>
  <si>
    <t xml:space="preserve">Additional capital the change costs, like for like (€/policy)  [live]</t>
  </si>
  <si>
    <t xml:space="preserve">The same difference on the superseded mixed basis, for comparison  [live]</t>
  </si>
  <si>
    <t xml:space="preserve">Understatement of the cost by mixing bases  [live]</t>
  </si>
  <si>
    <t xml:space="preserve">TIE — the annual profile must reproduce the five-timepoint block for the chosen structure</t>
  </si>
  <si>
    <t xml:space="preserve">Largest absolute difference at t = 0, 5, 10, 15, 20  [live]</t>
  </si>
  <si>
    <t xml:space="preserve">W23 — DOES HOLDING THE SCR AND RISK MARGIN AT THE DEFAULT VALUES MATTER?</t>
  </si>
  <si>
    <t xml:space="preserve">A275 and A111 hold the SCR and risk margin at the central model values for every structure, justified as exact from vesting onward and second order before it. The chosen structure binds at duration 9, which is pre-vesting, so the figure at B284 rests on the second-order claim. This block computes the SCR exactly instead of assuming it.</t>
  </si>
  <si>
    <t xml:space="preserve">The liability cashflow, central and under every stress, differs between commission structures only in the pre-vesting term  P x rate(t) - P.  Expenses, payouts, in-force, stressed in-force and discount factors are all untouched by the commission schedule, so the difference can be computed exactly rather than approximated.</t>
  </si>
  <si>
    <t xml:space="preserve">delta CF</t>
  </si>
  <si>
    <t xml:space="preserve">delta central</t>
  </si>
  <si>
    <t xml:space="preserve">delta 138</t>
  </si>
  <si>
    <t xml:space="preserve">delta up</t>
  </si>
  <si>
    <t xml:space="preserve">delta dn</t>
  </si>
  <si>
    <t xml:space="preserve">CHOSEN-STRUCTURE SCR STRIP AND RISK MARGIN — built on the RiskMargin sheet pattern</t>
  </si>
  <si>
    <t xml:space="preserve">SCR x DF</t>
  </si>
  <si>
    <t xml:space="preserve">requirement</t>
  </si>
  <si>
    <t xml:space="preserve">CONTROL SCR agg</t>
  </si>
  <si>
    <t xml:space="preserve">CONTROL less RiskMargin</t>
  </si>
  <si>
    <t xml:space="preserve">CONTROL BEL central</t>
  </si>
  <si>
    <t xml:space="preserve">CONTROL — the construction must reproduce RiskMargin before the chosen figures are trusted</t>
  </si>
  <si>
    <t xml:space="preserve">Largest absolute difference, my aggregation against RiskMargin SCR agg  [live]</t>
  </si>
  <si>
    <t xml:space="preserve">Largest absolute difference, my central BEL against RiskMargin BEL central  [live]</t>
  </si>
  <si>
    <t xml:space="preserve">RESULT — the chosen structure with its OWN SCR and risk margin</t>
  </si>
  <si>
    <t xml:space="preserve">Peak requirement holding SCR and RM at the default values, for comparison  [live]</t>
  </si>
  <si>
    <t xml:space="preserve">Effect of computing the SCR exactly (€/policy)  [live]</t>
  </si>
  <si>
    <t xml:space="preserve">Additional capital the change costs, on exactly computed SCR (€/policy)  [live]</t>
  </si>
  <si>
    <t xml:space="preserve">The same on the held-fixed basis, at B284  [live]</t>
  </si>
  <si>
    <t xml:space="preserve">Difference between the two  [live]</t>
  </si>
  <si>
    <t xml:space="preserve">Verdict on the held-fixed assumption  [live]</t>
  </si>
  <si>
    <t xml:space="preserve">Is forfeiture recycling an additional inflow? — a first-principles test</t>
  </si>
  <si>
    <t xml:space="preserve">DIAGNOSTIC — retained as the record of a defect corrected at v7.0.0; the prose below describes the UNCORRECTED basis this sheet was built to expose.  The pricing basis funds benefits from persisting premiums PLUS a forfeiture credit. This sheet tests whether that second term is real money or the same money counted twice.</t>
  </si>
  <si>
    <t xml:space="preserve">HOW THE PRICING BASIS IS BUILT</t>
  </si>
  <si>
    <t xml:space="preserve">The persisting-premium leg sums the pool in force at the START of each policy year, so it counts every premium actually received —</t>
  </si>
  <si>
    <t xml:space="preserve">including premiums from policies that lapse later, because those policies were in force when they paid.</t>
  </si>
  <si>
    <t xml:space="preserve">The forfeiture leg then credits each lapser's premiums to date a second time, described in the source as additional pool income.</t>
  </si>
  <si>
    <t xml:space="preserve">WORKED EXAMPLE — two policies, two-year deferral, no mortality, no discounting</t>
  </si>
  <si>
    <t xml:space="preserve">Policy A pays both premiums and reaches vesting. Policy B pays one premium and lapses. Benefit B is payable to policy A only.</t>
  </si>
  <si>
    <t xml:space="preserve">policy A</t>
  </si>
  <si>
    <t xml:space="preserve">policy B</t>
  </si>
  <si>
    <t xml:space="preserve">total</t>
  </si>
  <si>
    <t xml:space="preserve">Premiums paid (units of P)</t>
  </si>
  <si>
    <t xml:space="preserve">Benefit received</t>
  </si>
  <si>
    <t xml:space="preserve">nil</t>
  </si>
  <si>
    <t xml:space="preserve">Cash actually received by the fund (units of P)  [live]</t>
  </si>
  <si>
    <t xml:space="preserve">Correct equivalence: 3P = B, so P = B ÷ 3  [live]</t>
  </si>
  <si>
    <t xml:space="preserve">The basis as implemented — note this is not a claim that a premium is right or wrong, only that the funding base exceeds cash received:</t>
  </si>
  <si>
    <t xml:space="preserve">persisting-premium leg — pool at start of year 1 (2) plus start of year 2 (1)</t>
  </si>
  <si>
    <t xml:space="preserve">forfeiture leg — one lapser × one premium-year already paid</t>
  </si>
  <si>
    <t xml:space="preserve">funding base assumed  [live]</t>
  </si>
  <si>
    <t xml:space="preserve">Premium implied by that base  [live]</t>
  </si>
  <si>
    <t xml:space="preserve">Cash the basis assumes that never arrives, as a share of cash received  [live]</t>
  </si>
  <si>
    <t xml:space="preserve">Cash the basis assumes but never arrives (units of P)  [live]</t>
  </si>
  <si>
    <t xml:space="preserve">Mutualisation is not lost by removing the second term. It is already present: lapsers pay premiums and receive nothing,</t>
  </si>
  <si>
    <t xml:space="preserve">so their contributions fund the survivors automatically through the in-force weighting of benefits against premiums.</t>
  </si>
  <si>
    <t xml:space="preserve">THE SAME TEST ON THE CENTRAL CASE</t>
  </si>
  <si>
    <t xml:space="preserve">PV of premiums actually received, per unit P  [live]</t>
  </si>
  <si>
    <t xml:space="preserve">PV of the forfeiture credit, per unit P  [live]</t>
  </si>
  <si>
    <t xml:space="preserve">Funding base assumed, per unit P  [live]</t>
  </si>
  <si>
    <t xml:space="preserve">Overstatement of the funding base  [live]</t>
  </si>
  <si>
    <t xml:space="preserve">Cash assumed but never received, per policy (€)  [live]</t>
  </si>
  <si>
    <t xml:space="preserve">THE CENTRAL CASE ON THE CORRECTED BASIS</t>
  </si>
  <si>
    <t xml:space="preserve">Benefits and expenses are funded from premiums actually received only. Commission and margin are charged on that same base.</t>
  </si>
  <si>
    <t xml:space="preserve">Corrected annual premium (€)  [live]</t>
  </si>
  <si>
    <t xml:space="preserve">Published premium (€)  [live]</t>
  </si>
  <si>
    <t xml:space="preserve">Increase  [live]</t>
  </si>
  <si>
    <t xml:space="preserve">Money's-worth ratio on the corrected premium  [live]</t>
  </si>
  <si>
    <t xml:space="preserve">Still fair?  [live]</t>
  </si>
  <si>
    <t xml:space="preserve">Own funds on the corrected basis</t>
  </si>
  <si>
    <t xml:space="preserve">Own funds as published (€)  [live]</t>
  </si>
  <si>
    <t xml:space="preserve">Change  [live]</t>
  </si>
  <si>
    <t xml:space="preserve">Day-1 requirement on the corrected basis, annual resolution (€/policy)  [live]</t>
  </si>
  <si>
    <t xml:space="preserve">Requirement on the basis now in force — the same figure, the correction having been applied  [live]</t>
  </si>
  <si>
    <t xml:space="preserve">Change  [live] — zero by construction since v7.0.0, as at B35, B42, B54 and B70</t>
  </si>
  <si>
    <t xml:space="preserve">Corrected at v13.0.0. B56 had taken the maximum over t = 15 and t = 20 only, and B57 read the superseded five-timepoint figure, so B58 reported a -2,464.44 change from a correction that had already been applied.</t>
  </si>
  <si>
    <t xml:space="preserve">NOTE ON SCOPE</t>
  </si>
  <si>
    <t xml:space="preserve">The SCR and risk margin above are the published values. They are exact at vesting and beyond, where no premiums remain, which is where the requirement binds.</t>
  </si>
  <si>
    <t xml:space="preserve">This sheet quantifies the issue. It does not overwrite the published basis. The decisive test of adequacy is the pool money balance on the Mutualisation sheet.</t>
  </si>
  <si>
    <t xml:space="preserve">THE DECISIVE CHECK — THE TWO SIDES OF THE MODEL DISAGREE</t>
  </si>
  <si>
    <t xml:space="preserve">This requires no judgement about intent. The pricing basis and the asset roll-forward state different amounts of income for the same contract.</t>
  </si>
  <si>
    <t xml:space="preserve">The fund's own cashflow is premium less commission less expense on the in-force pool. It never credits forfeited premiums.</t>
  </si>
  <si>
    <t xml:space="preserve">Income the pricing basis assumes, PV (€)  [live]</t>
  </si>
  <si>
    <t xml:space="preserve">Income the fund actually records, PV (€)  [live]</t>
  </si>
  <si>
    <t xml:space="preserve">Gap per policy (€)  [live]</t>
  </si>
  <si>
    <t xml:space="preserve">Gap as a share of recorded income  [live]</t>
  </si>
  <si>
    <t xml:space="preserve">Shortfall accumulated to vesting (€)  [live]</t>
  </si>
  <si>
    <t xml:space="preserve">Own funds at vesting, sign-reversed for the comparison below (€)  [live] — positive own funds show here as negative</t>
  </si>
  <si>
    <t xml:space="preserve">Is there phantom income to account for? — reads "partly" only because the gap at B74 is zero  [live]</t>
  </si>
  <si>
    <t xml:space="preserve">CONSEQUENCES FOR THE FRONTIER</t>
  </si>
  <si>
    <t xml:space="preserve">Remaining uplift before the 0.90 floor binds  [live]</t>
  </si>
  <si>
    <t xml:space="preserve">Published headroom for comparison  [live]</t>
  </si>
  <si>
    <t xml:space="preserve">The corrected premium consumes most of the fairness headroom, so repricing is no longer an available lever of any size.</t>
  </si>
  <si>
    <t xml:space="preserve">STATUS — APPLIED AT v7.0.0</t>
  </si>
  <si>
    <t xml:space="preserve">The correction on this sheet was applied at v7.0.0 and is the basis of the current workbook and paper. Every comparison below therefore reads zero, which is the correct outcome and not a failure: B35, B42, B54, B58 and B70 are all identities once the correction is in force. The two-policy worked example at rows 9 to 26 is the durable demonstration, being static arithmetic independent of the correction.</t>
  </si>
  <si>
    <t xml:space="preserve">It turns on a design question: whether a lapsing policy's premiums are already in the insurer's hands during the deferral, in which case forfeiture generates no new income,</t>
  </si>
  <si>
    <t xml:space="preserve">or are held separately and transfer on lapse, in which case the persisting-premium leg is the term that is wrong instead. Either way the two legs cannot both stand as written.</t>
  </si>
  <si>
    <t xml:space="preserve">This is a reserving-basis question and should go to the actuary with the design question answered first.</t>
  </si>
  <si>
    <t xml:space="preserve">Mutualisation subsidy, and whether the pool balances</t>
  </si>
  <si>
    <t xml:space="preserve">Forfeiture on lapse is the basis of the subsidy. This sheet locates the subsidy in the arithmetic and tests the pool's money balance.</t>
  </si>
  <si>
    <t xml:space="preserve">PART 1 — THE POOL MONEY BALANCE</t>
  </si>
  <si>
    <t xml:space="preserve">No reference premium is needed. Over the contract the pool's receipts must equal its payments plus the provider margin. Anything else is a loss.</t>
  </si>
  <si>
    <t xml:space="preserve">Premium under test (€)  [live]</t>
  </si>
  <si>
    <t xml:space="preserve">RECEIPTS, present value</t>
  </si>
  <si>
    <t xml:space="preserve">Premiums received from the in-force pool (€)  [live]</t>
  </si>
  <si>
    <t xml:space="preserve">PAYMENTS, present value</t>
  </si>
  <si>
    <t xml:space="preserve">Annuity payments to survivors (€)  [live]</t>
  </si>
  <si>
    <t xml:space="preserve">Administration expenses (€)  [live]</t>
  </si>
  <si>
    <t xml:space="preserve">Commission (€)  [live]</t>
  </si>
  <si>
    <t xml:space="preserve">Total payments (€)  [live]</t>
  </si>
  <si>
    <t xml:space="preserve">Margin the pool actually earns = receipts less payments (€)  [live]</t>
  </si>
  <si>
    <t xml:space="preserve">Margin the pricing basis intends, 3% of receipts (€)  [live]</t>
  </si>
  <si>
    <t xml:space="preserve">Shortfall against the intended margin (€)  [live]</t>
  </si>
  <si>
    <t xml:space="preserve">Own funds at vesting, sign-reversed for the comparison below (€)  [live] — a surplus shows here as negative</t>
  </si>
  <si>
    <t xml:space="preserve">Premium at which the pool balances and earns the intended margin (€)  [live]</t>
  </si>
  <si>
    <t xml:space="preserve">Check — does the pool balance at that premium?  [live]</t>
  </si>
  <si>
    <t xml:space="preserve">PART 2 — WHERE THE MUTUALISATION SUBSIDY LIVES</t>
  </si>
  <si>
    <t xml:space="preserve">The subsidy is the difference between what the pool receives per surviving member and what that member contributes.</t>
  </si>
  <si>
    <t xml:space="preserve">It arises because lapsing and dying members pay premiums and receive nothing. No separate credit is required to create it.</t>
  </si>
  <si>
    <t xml:space="preserve">Premiums received by the pool, PV per original policy  [live]</t>
  </si>
  <si>
    <t xml:space="preserve">Members in force at vesting, per original policy  [live]</t>
  </si>
  <si>
    <t xml:space="preserve">Pool receipts per surviving member, PV per unit premium  [live]</t>
  </si>
  <si>
    <t xml:space="preserve">A member who survives and persists pays every premium.</t>
  </si>
  <si>
    <t xml:space="preserve">Their own contribution, PV per unit premium  [live]</t>
  </si>
  <si>
    <t xml:space="preserve">Subsidy received per surviving member, PV per unit premium  [live]</t>
  </si>
  <si>
    <t xml:space="preserve">Subsidy as a share of their own contribution  [live]</t>
  </si>
  <si>
    <t xml:space="preserve">In euro at the balancing premium (€)  [live]</t>
  </si>
  <si>
    <t xml:space="preserve">This is the mutualisation subsidy. It is already present in the in-force weighting of premiums against benefits.</t>
  </si>
  <si>
    <t xml:space="preserve">PART 3 — THE MONEY'S-WORTH CONSEQUENCE</t>
  </si>
  <si>
    <t xml:space="preserve">On a single-life basis, with no lapse and therefore no subsidy, loadings alone would set the money's-worth ratio.</t>
  </si>
  <si>
    <t xml:space="preserve">Money's-worth ratio implied by loadings alone  [live]</t>
  </si>
  <si>
    <t xml:space="preserve">Money's-worth ratio at the balancing premium  [live]</t>
  </si>
  <si>
    <t xml:space="preserve">Uplift attributable to mutualisation  [live]</t>
  </si>
  <si>
    <t xml:space="preserve">Money's-worth ratio at the published premium  [live]</t>
  </si>
  <si>
    <t xml:space="preserve">Uplift implied at the published premium  [live]</t>
  </si>
  <si>
    <t xml:space="preserve">Before v7.0.0 the published premium implied a subsidy larger than the pool receipts could fund. That was the arithmetic content of the shortfall in Part 1. The pool now balances: B20 reads zero and B21 confirms the intended margin.</t>
  </si>
  <si>
    <t xml:space="preserve">Basis corrected at v7.0.0 and applied. Parts 1 and 3 are retained as the record of the test that found it.</t>
  </si>
  <si>
    <t xml:space="preserve">The design question they raised is stated on the Forfeiture_Basis sheet.</t>
  </si>
  <si>
    <t xml:space="preserve">PART 4 — WHO PAID THE PREMIUMS THE POOL RECEIVES</t>
  </si>
  <si>
    <t xml:space="preserve">Every premium is paid by a member who will either reach vesting, lapse during the deferral, or die during it.</t>
  </si>
  <si>
    <t xml:space="preserve">Decomposing total receipts by those three groups settles where the subsidy comes from and whether any leg is missing.</t>
  </si>
  <si>
    <t xml:space="preserve">in force</t>
  </si>
  <si>
    <t xml:space="preserve">deaths</t>
  </si>
  <si>
    <t xml:space="preserve">net lapses</t>
  </si>
  <si>
    <t xml:space="preserve">DF</t>
  </si>
  <si>
    <t xml:space="preserve">cumulative DF of premiums paid</t>
  </si>
  <si>
    <t xml:space="preserve">deaths PV</t>
  </si>
  <si>
    <t xml:space="preserve">lapsers PV</t>
  </si>
  <si>
    <t xml:space="preserve">Premiums from members who reach vesting, PV per unit P  [live]</t>
  </si>
  <si>
    <t xml:space="preserve">Premiums from members who lapse during the deferral, PV per unit P  [live]</t>
  </si>
  <si>
    <t xml:space="preserve">Premiums from members who die during the deferral, PV per unit P  [live]</t>
  </si>
  <si>
    <t xml:space="preserve">Sum of the three groups  [live]</t>
  </si>
  <si>
    <t xml:space="preserve">Total premiums the pool receives, PV per unit P  [live]</t>
  </si>
  <si>
    <t xml:space="preserve">Residual  [live]</t>
  </si>
  <si>
    <t xml:space="preserve">THE SUBSIDY, DERIVED FROM THE DECOMPOSITION</t>
  </si>
  <si>
    <t xml:space="preserve">Premiums forfeited by lapsers and decedents, PV per unit P  [live]</t>
  </si>
  <si>
    <t xml:space="preserve">Members reaching vesting  [live]</t>
  </si>
  <si>
    <t xml:space="preserve">Subsidy per surviving member, PV per unit P  [live]</t>
  </si>
  <si>
    <t xml:space="preserve">Subsidy per surviving member from Part 2  [live]</t>
  </si>
  <si>
    <t xml:space="preserve">WHAT THIS SETTLES</t>
  </si>
  <si>
    <t xml:space="preserve">The forfeiture leg in the pricing basis equals the lapsers' component of receipts, valued at the lapse date rather than at the payment dates.</t>
  </si>
  <si>
    <t xml:space="preserve">Forfeiture leg as used in pricing, PV per unit P  [live]</t>
  </si>
  <si>
    <t xml:space="preserve">Lapsers' premiums from the decomposition, PV per unit P  [live]</t>
  </si>
  <si>
    <t xml:space="preserve">It is therefore a COMPONENT of total receipts, not an addition to them.</t>
  </si>
  <si>
    <t xml:space="preserve">Adding it to the total counts the lapsers' premiums twice while counting survivors' and decedents' premiums once.</t>
  </si>
  <si>
    <t xml:space="preserve">The subsidy the design intends is real, is larger than the forfeiture leg alone because deaths forfeit too, and is already carried by the in-force weighting.</t>
  </si>
  <si>
    <t xml:space="preserve">WHERE THE SUBSIDY COMES FROM</t>
  </si>
  <si>
    <t xml:space="preserve">Death forfeiture is the larger source. Members who die during the deferral pay premiums and receive nothing, and there are more of them, in present-value terms, than lapsers.</t>
  </si>
  <si>
    <t xml:space="preserve">Forfeited by death, PV per unit P  [live]</t>
  </si>
  <si>
    <t xml:space="preserve">Forfeited by lapse, PV per unit P  [live]</t>
  </si>
  <si>
    <t xml:space="preserve">Death share of the subsidy  [live]</t>
  </si>
  <si>
    <t xml:space="preserve">The product is described as mutualised through forfeiture on lapse. On these figures the larger part of the subsidy comes from mortality during the deferral.</t>
  </si>
  <si>
    <t xml:space="preserve">Reserving adequacy — is the Article 138 longevity stress sufficient?</t>
  </si>
  <si>
    <t xml:space="preserve">The paper's original verdict metric is the ratio of the Article 138 longevity charge to a Cairns-Blake-Dowd 99.5th-percentile charge. A ratio below one means the standard formula charges less than a one-in-two-hundred stochastic measure demands.</t>
  </si>
  <si>
    <t xml:space="preserve">PART 1 — LIABILITY UNDER A RANGE OF LONGEVITY DECREMENT MULTIPLIERS</t>
  </si>
  <si>
    <t xml:space="preserve">Article 138 applies a multiplier of 0.80 to mortality rates. Wider multipliers are computed here so that any stochastic charge can be expressed on the same scale.</t>
  </si>
  <si>
    <t xml:space="preserve">multiplier</t>
  </si>
  <si>
    <t xml:space="preserve">G at 0.80</t>
  </si>
  <si>
    <t xml:space="preserve">G at 0.75</t>
  </si>
  <si>
    <t xml:space="preserve">G at 0.70</t>
  </si>
  <si>
    <t xml:space="preserve">G at 0.65</t>
  </si>
  <si>
    <t xml:space="preserve">G at 0.60</t>
  </si>
  <si>
    <t xml:space="preserve">PV at 0.80</t>
  </si>
  <si>
    <t xml:space="preserve">PV at 0.75</t>
  </si>
  <si>
    <t xml:space="preserve">PV at 0.70</t>
  </si>
  <si>
    <t xml:space="preserve">PV at 0.65</t>
  </si>
  <si>
    <t xml:space="preserve">PV at 0.60</t>
  </si>
  <si>
    <t xml:space="preserve">BEL at t=0 under each multiplier (€)  [live]</t>
  </si>
  <si>
    <t xml:space="preserve">Longevity charge relative to central BEL (€)  [live]</t>
  </si>
  <si>
    <t xml:space="preserve">Check — the 0.80 column must equal the Article 138 charge  [live]</t>
  </si>
  <si>
    <t xml:space="preserve">PART 2 — LIFE-EXPECTANCY ROUTE (SUPERSEDED BY PART 4)</t>
  </si>
  <si>
    <t xml:space="preserve">Retained for the record. This route measured the stress ratio in life-expectancy terms and applied it to a liability charge. Life expectancy weights early ages, where the stochastic stress is mild;</t>
  </si>
  <si>
    <t xml:space="preserve">the liability weights ages 80 and above, where it is severe. The translation therefore understates the charge. Part 4 computes the charge directly and supersedes this.</t>
  </si>
  <si>
    <t xml:space="preserve">The parent paper presents this route at §6.4 as an alternative measure, which is why it is retained. The two measures disagree: this route reads MARGINAL at B91 where Part 4 reads INADEQUATE at B190, and Part 4 governs because it weights by the liability the charge applies to. Moved here at v13.5.2 from the PART 2 heading, which it had inflated to 339 characters and so removed from the Index block map.</t>
  </si>
  <si>
    <t xml:space="preserve">Article 138 ÷ CBD 99.5%, entry age 65 — REBUILT  [live]</t>
  </si>
  <si>
    <t xml:space="preserve">Annex A published ratio, for comparison</t>
  </si>
  <si>
    <t xml:space="preserve">Article 138 longevity charge on the corrected basis (€)  [live]</t>
  </si>
  <si>
    <t xml:space="preserve">Implied CBD 99.5% longevity charge (€)  [live]</t>
  </si>
  <si>
    <t xml:space="preserve">Additional charge the stochastic measure demands (€)  [live]</t>
  </si>
  <si>
    <t xml:space="preserve">Bracketing position in the multiplier block, clamped  [live]</t>
  </si>
  <si>
    <t xml:space="preserve">Lower bracket: multiplier / charge  [live]</t>
  </si>
  <si>
    <t xml:space="preserve">Upper bracket: multiplier / charge  [live]</t>
  </si>
  <si>
    <t xml:space="preserve">Decrement multiplier implied by the stochastic charge  [live]</t>
  </si>
  <si>
    <t xml:space="preserve">Article 138 multiplier for comparison</t>
  </si>
  <si>
    <t xml:space="preserve">Further mortality reduction the stochastic measure implies  [live]</t>
  </si>
  <si>
    <t xml:space="preserve">Stochastic charge inside the tabulated multiplier range?  [live]</t>
  </si>
  <si>
    <t xml:space="preserve">VERDICT ON THE STANDARD FORMULA</t>
  </si>
  <si>
    <t xml:space="preserve">B89 is the implied capture ratio, 1 − the further mortality reduction at B87  [live]</t>
  </si>
  <si>
    <t xml:space="preserve">Ratio Article 138 / CBD 99.5%  [live]</t>
  </si>
  <si>
    <t xml:space="preserve">Shortfall in the standard-formula charge  [live]</t>
  </si>
  <si>
    <t xml:space="preserve">Capital the shortfall represents at t = 0 (€)  [live]</t>
  </si>
  <si>
    <t xml:space="preserve">CLASSIFIER — thresholds as documented in the paper body §6.4</t>
  </si>
  <si>
    <t xml:space="preserve">Inadequate below 0.75; marginal 0.75 to 0.95; exceeds at or above 0.95. These are the paper's own thresholds, not a convention chosen here.</t>
  </si>
  <si>
    <t xml:space="preserve">inadequate below</t>
  </si>
  <si>
    <t xml:space="preserve">exceeds at or above</t>
  </si>
  <si>
    <t xml:space="preserve">Premiums received to date, nominal (€)  [live]</t>
  </si>
  <si>
    <t xml:space="preserve">Technical provisions ÷ nominal premiums  [live]</t>
  </si>
  <si>
    <t xml:space="preserve">Accumulated fund ÷ technical provisions  [live]</t>
  </si>
  <si>
    <t xml:space="preserve">The fund covers the best estimate at every date (see §8.2). It does not cover the best estimate plus the risk margin until the payment phase,</t>
  </si>
  <si>
    <t xml:space="preserve">which is the same statement as the capital requirement: the shortfall against technical provisions is what the Day-1 capital funds.</t>
  </si>
  <si>
    <t xml:space="preserve">Part 1 is derived entirely within the workbook. Part 3 is derived entirely within the workbook.</t>
  </si>
  <si>
    <t xml:space="preserve">Fund against best estimate alone  [live]</t>
  </si>
  <si>
    <t xml:space="preserve">Accumulated fund / best-estimate liability  [live]</t>
  </si>
  <si>
    <t xml:space="preserve">Covered?  [live]</t>
  </si>
  <si>
    <t xml:space="preserve">PART 4 — THE STOCHASTIC STRESS APPLIED DIRECTLY TO THE LIABILITY</t>
  </si>
  <si>
    <t xml:space="preserve">Parts 2 and 3 translated a life-expectancy ratio into a liability charge. That step is dropped here: the CBD 99.5% stress is expressed as a ratio surface and applied to the mortality table itself,</t>
  </si>
  <si>
    <t xml:space="preserve">so the resulting charge is computed the same way as the Article 138 charge and is directly comparable. No translation assumption is involved.</t>
  </si>
  <si>
    <t xml:space="preserve">The product cohort begins in 2026; the CBD projection is anchored at 2022, so the horizon is h = 4 + (age − entry age).</t>
  </si>
  <si>
    <t xml:space="preserve">h from 2022</t>
  </si>
  <si>
    <t xml:space="preserve">κ₁ median</t>
  </si>
  <si>
    <t xml:space="preserve">κ₁ adverse</t>
  </si>
  <si>
    <t xml:space="preserve">κ₂ median</t>
  </si>
  <si>
    <t xml:space="preserve">κ₂ adverse</t>
  </si>
  <si>
    <t xml:space="preserve">q CBD median</t>
  </si>
  <si>
    <t xml:space="preserve">q CBD 99.5%</t>
  </si>
  <si>
    <t xml:space="preserve">stress ratio</t>
  </si>
  <si>
    <t xml:space="preserve">qx stressed</t>
  </si>
  <si>
    <t xml:space="preserve">cum survival</t>
  </si>
  <si>
    <t xml:space="preserve">PV term</t>
  </si>
  <si>
    <t xml:space="preserve">BEL under the CBD 99.5% stress (€)  [live]</t>
  </si>
  <si>
    <t xml:space="preserve">Central BEL (€)  [live]</t>
  </si>
  <si>
    <t xml:space="preserve">Longevity charge, CBD 99.5% (€)  [live]</t>
  </si>
  <si>
    <t xml:space="preserve">Longevity charge, Article 138 (€)  [live]</t>
  </si>
  <si>
    <t xml:space="preserve">Ratio Article 138 ÷ CBD 99.5%  [live]</t>
  </si>
  <si>
    <t xml:space="preserve">Additional capital the stochastic measure demands (€)  [live]</t>
  </si>
  <si>
    <t xml:space="preserve">Stress ratio at selected ages — the stochastic stress is not flat  [live]</t>
  </si>
  <si>
    <t xml:space="preserve">CBD 99.5% stress ratio  [live]</t>
  </si>
  <si>
    <t xml:space="preserve">Article 138 ratio, flat</t>
  </si>
  <si>
    <t xml:space="preserve">Flat multiplier equivalent to the stochastic charge, interpolated  [live]</t>
  </si>
  <si>
    <t xml:space="preserve">VERDICT — computed on a single consistent basis</t>
  </si>
  <si>
    <t xml:space="preserve">Why the stochastic stress is not a flat multiplier</t>
  </si>
  <si>
    <t xml:space="preserve">Trend uncertainty compounds with horizon, so the adverse path diverges from the median as the square root of time. The stress is mild at short horizons and severe at long ones.</t>
  </si>
  <si>
    <t xml:space="preserve">Article 138 applies one multiplier at every age and horizon. For a contract whose cashflows are concentrated thirty to fifty years out, that flat treatment understates the charge.</t>
  </si>
  <si>
    <t xml:space="preserve">RESOLVING THE TWO MULTIPLIERS</t>
  </si>
  <si>
    <t xml:space="preserve">0.80 is not a modelling choice. It is the multiplier Article 138 prescribes: a 20% permanent decrease in mortality rates.</t>
  </si>
  <si>
    <t xml:space="preserve">The stochastic 99.5% stress is not a flat multiplier at all. Trend uncertainty compounds with horizon, so the equivalent multiplier falls from about 0.93 at age 65 to about 0.58 at age 100.</t>
  </si>
  <si>
    <t xml:space="preserve">Where a single flat figure is wanted, it must be weighted by the liability it applies to. On that basis the equivalent is the figure in cell C188 below.</t>
  </si>
  <si>
    <t xml:space="preserve">The earlier life-expectancy translation gave a milder figure because life expectancy and an annuity weight the age range differently. Only the liability-weighted figure belongs in a capital calculation.</t>
  </si>
  <si>
    <t xml:space="preserve">Cairns–Blake–Dowd stochastic mortality — rebuilt from Annex A parameters</t>
  </si>
  <si>
    <t xml:space="preserve">logit q(x,t) = κ₁(t) + κ₂(t)·(x − 74.5), with (κ₁,κ₂) a bivariate random walk with drift. Parameters as published in Annex A Tables A.1 and A.2, England &amp; Wales calibration.</t>
  </si>
  <si>
    <t xml:space="preserve">Ages above 89 are outside the calibration range and are reached by linear extrapolation in logit, as Annex A Limitation 4 states.</t>
  </si>
  <si>
    <t xml:space="preserve">PARAMETERS — Annex A, England &amp; Wales</t>
  </si>
  <si>
    <t xml:space="preserve">κ₁ at 2022</t>
  </si>
  <si>
    <t xml:space="preserve">κ₂ at 2022</t>
  </si>
  <si>
    <t xml:space="preserve">drift μ₁</t>
  </si>
  <si>
    <t xml:space="preserve">full precision, M4 bundle summary JSON — was rounded to 6dp</t>
  </si>
  <si>
    <t xml:space="preserve">drift μ₂</t>
  </si>
  <si>
    <t xml:space="preserve">σ₁₁ (variance of κ₁ innovation)</t>
  </si>
  <si>
    <t xml:space="preserve">σ₂₂ (variance of κ₂ innovation)</t>
  </si>
  <si>
    <t xml:space="preserve">σ₁₂ (covariance) — declared; cross-checked against ρ·σ₁·σ₂ below</t>
  </si>
  <si>
    <t xml:space="preserve">ρ (correlation)</t>
  </si>
  <si>
    <t xml:space="preserve">reference age x̄</t>
  </si>
  <si>
    <t xml:space="preserve">projection start year</t>
  </si>
  <si>
    <t xml:space="preserve">LIVE — referenced by the kappa columns below</t>
  </si>
  <si>
    <t xml:space="preserve">terminal age</t>
  </si>
  <si>
    <t xml:space="preserve">LIVE — the life-expectancy sum is capped at this age</t>
  </si>
  <si>
    <t xml:space="preserve">σ₁ = √σ₁₁  [live]</t>
  </si>
  <si>
    <t xml:space="preserve">σ₂ = √σ₂₂  [live]</t>
  </si>
  <si>
    <t xml:space="preserve">z at the 99.5th percentile  [live]</t>
  </si>
  <si>
    <t xml:space="preserve">Article 138 decrement multiplier</t>
  </si>
  <si>
    <t xml:space="preserve">Additional drift years applied before the cohort starts  [diagnostic input]</t>
  </si>
  <si>
    <t xml:space="preserve">Covariance implied by ρ, σ₁ and σ₂  [live]</t>
  </si>
  <si>
    <t xml:space="preserve">Declared covariance less implied  [live]</t>
  </si>
  <si>
    <t xml:space="preserve">must be zero if the correlation and the covariance describe the same model</t>
  </si>
  <si>
    <t xml:space="preserve">start age 65</t>
  </si>
  <si>
    <t xml:space="preserve">start age 75</t>
  </si>
  <si>
    <t xml:space="preserve">start age 85</t>
  </si>
  <si>
    <t xml:space="preserve">h</t>
  </si>
  <si>
    <t xml:space="preserve">κ₁ med</t>
  </si>
  <si>
    <t xml:space="preserve">κ₂ med</t>
  </si>
  <si>
    <t xml:space="preserve">q med</t>
  </si>
  <si>
    <t xml:space="preserve">q A138</t>
  </si>
  <si>
    <t xml:space="preserve">κ₁ adv</t>
  </si>
  <si>
    <t xml:space="preserve">κ₂ adv</t>
  </si>
  <si>
    <t xml:space="preserve">q 99.5</t>
  </si>
  <si>
    <t xml:space="preserve">S med</t>
  </si>
  <si>
    <t xml:space="preserve">S A138</t>
  </si>
  <si>
    <t xml:space="preserve">S 99.5</t>
  </si>
  <si>
    <t xml:space="preserve">LIFE EXPECTANCY — capped at the declared terminal age</t>
  </si>
  <si>
    <t xml:space="preserve">LE median</t>
  </si>
  <si>
    <t xml:space="preserve">LE Article 138</t>
  </si>
  <si>
    <t xml:space="preserve">LE 99.5% adverse</t>
  </si>
  <si>
    <t xml:space="preserve">Blocks now run to age 120; the sum respects B16, so the terminal-age convention can be tested.</t>
  </si>
  <si>
    <t xml:space="preserve">TERMINAL-AGE SENSITIVITY — median life expectancy at three closure conventions</t>
  </si>
  <si>
    <t xml:space="preserve">The annex states a terminal age of 110. If its life expectancies were computed on a later closure, that would explain part of the gap.</t>
  </si>
  <si>
    <t xml:space="preserve">start age</t>
  </si>
  <si>
    <t xml:space="preserve">closed at 110</t>
  </si>
  <si>
    <t xml:space="preserve">closed at 115</t>
  </si>
  <si>
    <t xml:space="preserve">closed at 120</t>
  </si>
  <si>
    <t xml:space="preserve">published</t>
  </si>
  <si>
    <t xml:space="preserve">gap at 120</t>
  </si>
  <si>
    <t xml:space="preserve">Residual survival at the stated terminal age — how much life expectancy the closure discards</t>
  </si>
  <si>
    <t xml:space="preserve">survival at 110</t>
  </si>
  <si>
    <t xml:space="preserve">LE discarded by closing at 110</t>
  </si>
  <si>
    <t xml:space="preserve">DIAGNOSIS OF THE LIFE-EXPECTANCY DISCREPANCY</t>
  </si>
  <si>
    <t xml:space="preserve">The annex's absolute life expectancies are not reproducible from the parameters it publishes. This block records what has been tested, and characterises the residual</t>
  </si>
  <si>
    <t xml:space="preserve">as an equivalent mortality multiplier, which is the most useful form for whoever holds the build scripts.</t>
  </si>
  <si>
    <t xml:space="preserve">CANDIDATES TESTED AND ELIMINATED</t>
  </si>
  <si>
    <t xml:space="preserve">Drift rounding — parameters restored to full precision</t>
  </si>
  <si>
    <t xml:space="preserve">no effect; gap unchanged</t>
  </si>
  <si>
    <t xml:space="preserve">Drift-start convention — the annex's own Deviation-1, three steps from 2019</t>
  </si>
  <si>
    <t xml:space="preserve">narrows the gap by about half at offset 3, does not close it, and does not change its age pattern</t>
  </si>
  <si>
    <t xml:space="preserve">Terminal-age closure — tested at 110, 115 and 120</t>
  </si>
  <si>
    <t xml:space="preserve">no effect; survival at 110 is 0.000286, so the closure discards under a thousandth of a year</t>
  </si>
  <si>
    <t xml:space="preserve">Internal parameter consistency — declared covariance against ρ·σ₁·σ₂</t>
  </si>
  <si>
    <t xml:space="preserve">consistent to 5.6e-08, so the published parameter set is coherent</t>
  </si>
  <si>
    <t xml:space="preserve">EQUIVALENT MORTALITY MULTIPLIER</t>
  </si>
  <si>
    <t xml:space="preserve">Interpolating between the median path and the Article 138 path, the uniform multiplier on qx that would reproduce the annex's published life expectancy.</t>
  </si>
  <si>
    <t xml:space="preserve">Approximate, the relationship being mildly non-linear, but adequate to characterise the residual.</t>
  </si>
  <si>
    <t xml:space="preserve">LE at multiplier 1.00</t>
  </si>
  <si>
    <t xml:space="preserve">LE at multiplier 0.80</t>
  </si>
  <si>
    <t xml:space="preserve">published LE</t>
  </si>
  <si>
    <t xml:space="preserve">implied multiplier</t>
  </si>
  <si>
    <t xml:space="preserve">implied mortality reduction</t>
  </si>
  <si>
    <t xml:space="preserve">READING THE DIAGNOSIS</t>
  </si>
  <si>
    <t xml:space="preserve">The implied multiplier is not uniform: it rises with age, so the annex's mortality is lower than these parameters produce by proportionally more at younger ages.</t>
  </si>
  <si>
    <t xml:space="preserve">That is the signature of improvement applied over a horizon rather than a level difference — younger cohorts accumulate more of it. But the drift-offset test does not</t>
  </si>
  <si>
    <t xml:space="preserve">reproduce the pattern: an offset scales all three ages proportionally and leaves the pattern intact. The cause is therefore not simply additional drift years.</t>
  </si>
  <si>
    <t xml:space="preserve">WHAT WOULD CLOSE IT</t>
  </si>
  <si>
    <t xml:space="preserve">Annex A's build scripts 01 to 08, or its le_ew.npz output, or a plain statement of the life-expectancy convention used. Any one would settle it.</t>
  </si>
  <si>
    <t xml:space="preserve">WHAT THE PAPER DEPENDS ON, AND WHY IT STANDS</t>
  </si>
  <si>
    <t xml:space="preserve">Not the levels. The Article 138 verdict depends on the ratio of two stress shifts, and both shifts reproduce closely: 1.882 against a published 1.856 at entry age 65,</t>
  </si>
  <si>
    <t xml:space="preserve">and 2.453 against 2.433 for the 99.5% shift. A proportional error in the levels cancels in the shifts, which is why §6.3 and §6.4 of the paper are unaffected.</t>
  </si>
  <si>
    <t xml:space="preserve">The liability-weighted measure the paper relies on is computed on the workbook's own mortality basis and does not use the annex's life expectancies at all.</t>
  </si>
  <si>
    <t xml:space="preserve">VALIDATION AGAINST ANNEX A — WHAT REPRODUCES AND WHAT DOES NOT</t>
  </si>
  <si>
    <t xml:space="preserve">The verdict turns on the size of the Article 138 stress relative to the 99.5% trend shock, both measured as a shift in life expectancy. Those shifts are what must reproduce.</t>
  </si>
  <si>
    <t xml:space="preserve">LE Art.138</t>
  </si>
  <si>
    <t xml:space="preserve">LE 99.5%</t>
  </si>
  <si>
    <t xml:space="preserve">Absolute levels differ by 3.6% at age 65, 4.3% at 75 and 4.4% at 85 — a proportional gap that widens with age, per B119:D121 above and the note at Annex A section A.7. The widening is part of the estimator explanation.</t>
  </si>
  <si>
    <t xml:space="preserve">A drift-start offset narrows it but does not close it, so the cause is a convention in the annex's life-expectancy calculation that its text does not specify.</t>
  </si>
  <si>
    <t xml:space="preserve">THE SHIFTS, WHICH ARE WHAT THE VERDICT DEPENDS ON</t>
  </si>
  <si>
    <t xml:space="preserve">Art.138 shift</t>
  </si>
  <si>
    <t xml:space="preserve">99.5% shift</t>
  </si>
  <si>
    <t xml:space="preserve">Art.138 ÷ 99.5%</t>
  </si>
  <si>
    <t xml:space="preserve">published verdict</t>
  </si>
  <si>
    <t xml:space="preserve">inadequate</t>
  </si>
  <si>
    <t xml:space="preserve">marginal</t>
  </si>
  <si>
    <t xml:space="preserve">exceeds</t>
  </si>
  <si>
    <t xml:space="preserve">Do the rebuilt verdicts match Annex A's?  [live]</t>
  </si>
  <si>
    <t xml:space="preserve">Life-expectancy levels are not reproducible from the published parameters — see the gap row above. Full drift precision was tested at v9.0.0 and does not explain it.</t>
  </si>
  <si>
    <t xml:space="preserve">The paper body §6.4 instead classifies the ratio of the Article 138 charge to the CBD charge, with thresholds 0.75 and 0.95. The two need not agree.</t>
  </si>
  <si>
    <t xml:space="preserve">Percentile location, Annex A, entry age 65</t>
  </si>
  <si>
    <t xml:space="preserve">Benchmark percentile</t>
  </si>
  <si>
    <t xml:space="preserve">On Annex A's own criterion the stress falls short of the benchmark at entry age 65, which is its inadequate verdict.</t>
  </si>
  <si>
    <t xml:space="preserve">On the paper's ratio classifier the same age reads marginal. The liability-weighted ratio on the Adequacy sheet reads inadequate on either threshold set.</t>
  </si>
  <si>
    <t xml:space="preserve">The liability-weighted figure is the one that belongs in a capital assessment, and it is unambiguous: 0.545, well below 0.75.</t>
  </si>
  <si>
    <t xml:space="preserve">HORIZON CONVENTION. The illustrative adverse path on this sheet measures parameter uncertainty from the valuation date — √h with h = years since age 65 (rows 27–82) — because it mirrors Annex A's cohort commencing 2022, for which uncertainty accrued from the 2022 calibration equals √h. The production adequacy test on Adequacy rows 118–173 values the cohort commencing 2026 and accrues uncertainty from the same 2022 calibration, √(4+h); it governs the reported ratio at Adequacy!B179. See the κ-anchor note at A187.</t>
  </si>
  <si>
    <t xml:space="preserve">Per-cell reserving adequacy — Article 138 against a CBD 99.5% stress, rebuilt on the corrected basis</t>
  </si>
  <si>
    <t xml:space="preserve">Rebuild of the panel in Phase F workbook sheet V07_Reserving_Panel, on the corrected funding base, the documented lapse curve, and with the CBD stress applied directly to the liability rather than translated from life expectancy.</t>
  </si>
  <si>
    <t xml:space="preserve">Seven representative entry ages against four vesting ages. Survival is stressed and the liability recomputed; the longevity charge is the difference from central.</t>
  </si>
  <si>
    <t xml:space="preserve">STRESSED SURVIVAL BY ENTRY AGE — duration down, entry age across</t>
  </si>
  <si>
    <t xml:space="preserve">G138 60</t>
  </si>
  <si>
    <t xml:space="preserve">G138 63</t>
  </si>
  <si>
    <t xml:space="preserve">G138 65</t>
  </si>
  <si>
    <t xml:space="preserve">G138 68</t>
  </si>
  <si>
    <t xml:space="preserve">G138 70</t>
  </si>
  <si>
    <t xml:space="preserve">G138 72</t>
  </si>
  <si>
    <t xml:space="preserve">G138 75</t>
  </si>
  <si>
    <t xml:space="preserve">Gcbd 60</t>
  </si>
  <si>
    <t xml:space="preserve">Gcbd 63</t>
  </si>
  <si>
    <t xml:space="preserve">Gcbd 65</t>
  </si>
  <si>
    <t xml:space="preserve">Gcbd 68</t>
  </si>
  <si>
    <t xml:space="preserve">Gcbd 70</t>
  </si>
  <si>
    <t xml:space="preserve">Gcbd 72</t>
  </si>
  <si>
    <t xml:space="preserve">Gcbd 75</t>
  </si>
  <si>
    <t xml:space="preserve">ratio 60</t>
  </si>
  <si>
    <t xml:space="preserve">ratio 63</t>
  </si>
  <si>
    <t xml:space="preserve">ratio 65</t>
  </si>
  <si>
    <t xml:space="preserve">ratio 68</t>
  </si>
  <si>
    <t xml:space="preserve">ratio 70</t>
  </si>
  <si>
    <t xml:space="preserve">ratio 72</t>
  </si>
  <si>
    <t xml:space="preserve">ratio 75</t>
  </si>
  <si>
    <t xml:space="preserve">Central survival is read from Surface_Engine columns G to V. Article 138 applies the declared decrement to the annual rate; the CBD column applies the age-and-horizon ratio in the third block.</t>
  </si>
  <si>
    <t xml:space="preserve">Stressed survival terminates at the terminal age of the mortality table, matching the central path. Without that the stressed paths carry a small tail the central path does not, and the renormalisation divides zero by zero.</t>
  </si>
  <si>
    <t xml:space="preserve">PER-CELL RESERVING PANEL — income €1,000 per month at the vesting date, heaped and trail</t>
  </si>
  <si>
    <t xml:space="preserve">entry</t>
  </si>
  <si>
    <t xml:space="preserve">vest</t>
  </si>
  <si>
    <t xml:space="preserve">monthly prem (€)</t>
  </si>
  <si>
    <t xml:space="preserve">BEL central (€)</t>
  </si>
  <si>
    <t xml:space="preserve">BEL Art.138 (€)</t>
  </si>
  <si>
    <t xml:space="preserve">BEL CBD 99.5% (€)</t>
  </si>
  <si>
    <t xml:space="preserve">SCR long Art.138 (€)</t>
  </si>
  <si>
    <t xml:space="preserve">SCR long CBD (€)</t>
  </si>
  <si>
    <t xml:space="preserve">ratio</t>
  </si>
  <si>
    <t xml:space="preserve">published ratio</t>
  </si>
  <si>
    <t xml:space="preserve">change</t>
  </si>
  <si>
    <t xml:space="preserve">VERDICT GRID</t>
  </si>
  <si>
    <t xml:space="preserve">entry \ vesting</t>
  </si>
  <si>
    <t xml:space="preserve">—</t>
  </si>
  <si>
    <t xml:space="preserve">SUMMARY</t>
  </si>
  <si>
    <t xml:space="preserve">Cells in the panel  [live]</t>
  </si>
  <si>
    <t xml:space="preserve">Cells reading inadequate  [live]</t>
  </si>
  <si>
    <t xml:space="preserve">Cells reading marginal  [live]</t>
  </si>
  <si>
    <t xml:space="preserve">Cells reading exceeds  [live]</t>
  </si>
  <si>
    <t xml:space="preserve">Published: inadequate / marginal</t>
  </si>
  <si>
    <t xml:space="preserve">Mean change in the ratio  [live]</t>
  </si>
  <si>
    <t xml:space="preserve">The ratio falls at every cell because the stress is now applied directly to the liability rather than translated from a life-expectancy ratio.</t>
  </si>
  <si>
    <t xml:space="preserve">Life expectancy weights ages where the stochastic stress is mild; the liability weights ages 80 and above where it is severe. §6.3 of the paper sets this out.</t>
  </si>
  <si>
    <t xml:space="preserve">CROSS-CHECK — the panel against the central-case calculation</t>
  </si>
  <si>
    <t xml:space="preserve">The entry 65 / vesting 80 cell is the central case. It is computed here by an entirely separate route: a different income convention, a different sheet and different formulas from the Adequacy sheet.</t>
  </si>
  <si>
    <t xml:space="preserve">Panel ratio at entry 65 / vesting 80  [live]</t>
  </si>
  <si>
    <t xml:space="preserve">Adequacy sheet, liability-weighted ratio  [live]</t>
  </si>
  <si>
    <t xml:space="preserve">READING THE PANEL</t>
  </si>
  <si>
    <t xml:space="preserve">Every cell reads inadequate. The published panel had thirteen inadequate and fourteen marginal. The ratio falls at every cell, by between 0.14 and 0.31.</t>
  </si>
  <si>
    <t xml:space="preserve">The cause is the change of basis, not of calibration. The published ratios were derived from a life-expectancy-weighted stress; these apply the stochastic stress directly to the liability.</t>
  </si>
  <si>
    <t xml:space="preserve">The shape is preserved: the ratio still rises with entry age and falls with vesting age, so the standard formula is least adequate for the youngest entrants with the longest deferrals. Only the level has moved.</t>
  </si>
  <si>
    <t xml:space="preserve">That is the finding the paper's §6.4 states for the central case, now shown to hold across the whole panel rather than at one cell.</t>
  </si>
  <si>
    <t xml:space="preserve">Per-cell capital requirement — machinery, proved on one cell before extension</t>
  </si>
  <si>
    <t xml:space="preserve">Tail present values and the risk margin are built by backward recursion; accumulated assets by forward recursion. One addition per duration instead of a sum over sixty-one.</t>
  </si>
  <si>
    <t xml:space="preserve">Stressed liabilities are renormalised at each valuation date so the stressed and central paths start from the same in-force, exactly as the annual model does.</t>
  </si>
  <si>
    <t xml:space="preserve">entry age</t>
  </si>
  <si>
    <t xml:space="preserve">vesting age</t>
  </si>
  <si>
    <t xml:space="preserve">deferral  [live]</t>
  </si>
  <si>
    <t xml:space="preserve">income, € per month at vesting</t>
  </si>
  <si>
    <t xml:space="preserve">monthly premium (€)  [live]</t>
  </si>
  <si>
    <t xml:space="preserve">IF cen</t>
  </si>
  <si>
    <t xml:space="preserve">IF 138</t>
  </si>
  <si>
    <t xml:space="preserve">IF cbd</t>
  </si>
  <si>
    <t xml:space="preserve">IF up</t>
  </si>
  <si>
    <t xml:space="preserve">IF dn</t>
  </si>
  <si>
    <t xml:space="preserve">cf cen</t>
  </si>
  <si>
    <t xml:space="preserve">cf 141</t>
  </si>
  <si>
    <t xml:space="preserve">asset cf</t>
  </si>
  <si>
    <t xml:space="preserve">PVt cen</t>
  </si>
  <si>
    <t xml:space="preserve">PVt 138</t>
  </si>
  <si>
    <t xml:space="preserve">PVt cbd</t>
  </si>
  <si>
    <t xml:space="preserve">PVt up</t>
  </si>
  <si>
    <t xml:space="preserve">PVt dn</t>
  </si>
  <si>
    <t xml:space="preserve">PVt 141</t>
  </si>
  <si>
    <t xml:space="preserve">BEL cen</t>
  </si>
  <si>
    <t xml:space="preserve">RM</t>
  </si>
  <si>
    <t xml:space="preserve">OF</t>
  </si>
  <si>
    <t xml:space="preserve">BEL, RM, ANAV and own funds at each duration</t>
  </si>
  <si>
    <t xml:space="preserve">RESULT</t>
  </si>
  <si>
    <t xml:space="preserve">Peak requirement (€/policy per €1,000 monthly at vesting)  [live]</t>
  </si>
  <si>
    <t xml:space="preserve">TIE — this cell scaled to the central-case income must reproduce the annual requirement</t>
  </si>
  <si>
    <t xml:space="preserve">Central-case income at vesting, € per month  [live]</t>
  </si>
  <si>
    <t xml:space="preserve">Scaling factor  [live]</t>
  </si>
  <si>
    <t xml:space="preserve">Requirement scaled by the benefit (€/policy)  [live]</t>
  </si>
  <si>
    <t xml:space="preserve">Annual-basis requirement from Trajectory (€/policy)  [live]</t>
  </si>
  <si>
    <t xml:space="preserve">Expected to differ: the expense leg is a fixed amount per policy and does not scale with the benefit, and the two use different income conventions.</t>
  </si>
  <si>
    <t xml:space="preserve">VERDICT ON THE MACHINERY</t>
  </si>
  <si>
    <t xml:space="preserve">Two independent routes to the same cell</t>
  </si>
  <si>
    <t xml:space="preserve">The annual route uses the annual projection, the annual SCR strip and the five-timepoint reserving sheets. This block uses the duration-indexed surface engine, an at-vesting income convention,</t>
  </si>
  <si>
    <t xml:space="preserve">backward recursion for the tail present values and the risk margin, and a separately constructed set of stressed survival paths. Nothing is shared between them but the assumptions.</t>
  </si>
  <si>
    <t xml:space="preserve">The residual of about five euro is the expense leg, which is a fixed amount per policy and therefore does not scale with the benefit when the cell is rescaled to the central-case income.</t>
  </si>
  <si>
    <t xml:space="preserve">WHAT REMAINS</t>
  </si>
  <si>
    <t xml:space="preserve">The machinery is proved on one cell. Extending it to the full seven-by-four panel is mechanical: the duration-indexed factors and the stressed lapse persistency are shared across all cells,</t>
  </si>
  <si>
    <t xml:space="preserve">and only the in-force paths, the cashflows and the recursions are cell-specific. That is about nine columns per cell, or roughly fifteen thousand cells for twenty-seven cells.</t>
  </si>
  <si>
    <t xml:space="preserve">It has not been attempted in the same pass as the machinery, so that the tie above stands on its own before more is built on it.</t>
  </si>
  <si>
    <t xml:space="preserve">Per-cell capital requirement — full seven-by-four panel</t>
  </si>
  <si>
    <t xml:space="preserve">Twenty-seven blocks, each the structure proved on Capital_Cell. Duration-indexed factors and stressed lapse persistency are shared; only the in-force paths, cashflows and recursions are cell-specific.</t>
  </si>
  <si>
    <t xml:space="preserve">Income is €1,000 per month at the vesting date in every cell, so the requirements are directly comparable per unit of benefit secured.</t>
  </si>
  <si>
    <t xml:space="preserve">Columns O, P and Q of each block header row carry that block entry age, vesting age and derived deferral. The entry and vesting ages are live references to the summary grid at rows 1713 to 1720, so each axis age has one definition on this sheet. Every formula in the block reads the deferral from Q of its own header row. Before v13.2.0 the deferral was a literal repeated inside the formulas of all 27 blocks.</t>
  </si>
  <si>
    <t xml:space="preserve">Each block below is one entry-and-vesting cell. The header row carries the block entry age, vesting age and derived deferral in columns O, P and Q, labelled on the row beneath. The header text in column A is generated from those three cells, so it cannot fall out of step with them.</t>
  </si>
  <si>
    <t xml:space="preserve">monthly premium (€)</t>
  </si>
  <si>
    <t xml:space="preserve">PV cen</t>
  </si>
  <si>
    <t xml:space="preserve">PV 138</t>
  </si>
  <si>
    <t xml:space="preserve">PV up</t>
  </si>
  <si>
    <t xml:space="preserve">PV dn</t>
  </si>
  <si>
    <t xml:space="preserve">PV 141</t>
  </si>
  <si>
    <t xml:space="preserve">V cum</t>
  </si>
  <si>
    <t xml:space="preserve">req</t>
  </si>
  <si>
    <t xml:space="preserve">vesting</t>
  </si>
  <si>
    <t xml:space="preserve">deferral (live, = vesting - entry)</t>
  </si>
  <si>
    <t xml:space="preserve">binds at duration</t>
  </si>
  <si>
    <t xml:space="preserve">peak requirement (€)</t>
  </si>
  <si>
    <t xml:space="preserve">SUMMARY — capital requirement per €1,000 of monthly income at vesting</t>
  </si>
  <si>
    <t xml:space="preserve">BINDING DURATION</t>
  </si>
  <si>
    <t xml:space="preserve">binding duration as a share of the deferral</t>
  </si>
  <si>
    <t xml:space="preserve">RANGE AND DISPERSION</t>
  </si>
  <si>
    <t xml:space="preserve">Highest requirement (€)  [live]</t>
  </si>
  <si>
    <t xml:space="preserve">Lowest requirement (€)  [live]</t>
  </si>
  <si>
    <t xml:space="preserve">Ratio, highest to lowest  [live]</t>
  </si>
  <si>
    <t xml:space="preserve">Mean across the panel (€)  [live]</t>
  </si>
  <si>
    <t xml:space="preserve">Central case, entry 65 / vesting 80 (€)  [live]</t>
  </si>
  <si>
    <t xml:space="preserve">Central case relative to the panel mean  [live]</t>
  </si>
  <si>
    <t xml:space="preserve">TIE — the panel against the independently built single cell</t>
  </si>
  <si>
    <t xml:space="preserve">Panel, entry 65 / vesting 80 (€)  [live]</t>
  </si>
  <si>
    <t xml:space="preserve">Capital_Cell, same cell (€)  [live]</t>
  </si>
  <si>
    <t xml:space="preserve">The dispersion ratio at B1737 is guarded from v13.2.0. An axis-perturbation test drove a panel requirement to zero and the unguarded ratio returned a divide-by-zero error.</t>
  </si>
  <si>
    <t xml:space="preserve">The requirement per unit of benefit is remarkably flat: it varies by a factor of about 1.6 across twenty-seven cells spanning entry ages 60 to 75 and deferrals of 3 to 30 years.</t>
  </si>
  <si>
    <t xml:space="preserve">It falls with a longer deferral and, more weakly, with a later entry age. The central case sits close to the middle of the range, so it is representative rather than favourable or extreme.</t>
  </si>
  <si>
    <t xml:space="preserve">The binding duration ranges from 0.286 to 0.852 of the deferral across the twenty-seven cells, per the grid at G1725:J1731, rising systematically with the deferral length rather than sitting near a half. The peak is a feature of the deferral's shape and it falls between five-yearly samples in most cells, which is why the profile is computed annually.</t>
  </si>
  <si>
    <t xml:space="preserve">That is the finding §11.1 of the paper reserved judgement on. The €36,780 figure for the central case is not an artefact of choosing entry 65 and vesting 80.</t>
  </si>
  <si>
    <t xml:space="preserve">The central case sits 10% above the panel mean, so it is a mid-to-slightly-conservative choice rather than a flattering one.</t>
  </si>
  <si>
    <t xml:space="preserve">Surface engine — duration-indexed factors shared by every entry/vesting combination</t>
  </si>
  <si>
    <t xml:space="preserve">Discount, escalation and lapse persistency depend only on duration since entry. Mortality survival depends on entry age and is read live from Cohort_Survival.</t>
  </si>
  <si>
    <t xml:space="preserve">Benefit convention: the annual income is stated in inception-dated terms and escalates at CPI from inception, exactly as the central case does.</t>
  </si>
  <si>
    <t xml:space="preserve">Annual income secured, inception-dated (€)</t>
  </si>
  <si>
    <t xml:space="preserve">equivalent monthly income at inception (€)</t>
  </si>
  <si>
    <t xml:space="preserve">Entry ages on the surface</t>
  </si>
  <si>
    <t xml:space="preserve">60 to 75</t>
  </si>
  <si>
    <t xml:space="preserve">Vesting ages on the surface</t>
  </si>
  <si>
    <t xml:space="preserve">75 to 90</t>
  </si>
  <si>
    <t xml:space="preserve">DURATION-INDEXED FACTORS</t>
  </si>
  <si>
    <t xml:space="preserve">mortality survival by entry age  [live]</t>
  </si>
  <si>
    <t xml:space="preserve">payout factor</t>
  </si>
  <si>
    <t xml:space="preserve">expense factor</t>
  </si>
  <si>
    <t xml:space="preserve">lapse persistency to t</t>
  </si>
  <si>
    <t xml:space="preserve">commission rate, year t+1</t>
  </si>
  <si>
    <t xml:space="preserve">net lapse rate</t>
  </si>
  <si>
    <t xml:space="preserve">persistency, lapse up</t>
  </si>
  <si>
    <t xml:space="preserve">persistency, lapse down</t>
  </si>
  <si>
    <t xml:space="preserve">Lapse persistency stops at vesting; the cell formulas freeze it at the vesting duration.</t>
  </si>
  <si>
    <t xml:space="preserve">Duration-indexed and uncapped, matching the central persistency column E. Lapse cessation at vesting is applied per cell by capping the index at the cell's own vesting duration, so one stressed pair serves every entry and vesting combination.</t>
  </si>
  <si>
    <t xml:space="preserve">PV COMPONENTS AND PREMIUM BY ENTRY AND VESTING AGE</t>
  </si>
  <si>
    <t xml:space="preserve">Each cell is one live formula over the duration block above. Lapse persistency is frozen at the vesting duration; the annuity starts there.</t>
  </si>
  <si>
    <t xml:space="preserve">PV premiums per unit P</t>
  </si>
  <si>
    <t xml:space="preserve">PV commission per unit P</t>
  </si>
  <si>
    <t xml:space="preserve">PV annuity (€)</t>
  </si>
  <si>
    <t xml:space="preserve">PV expense (€)</t>
  </si>
  <si>
    <t xml:space="preserve">ANNUAL PREMIUM (€)</t>
  </si>
  <si>
    <t xml:space="preserve">MONTHLY PREMIUM (€)</t>
  </si>
  <si>
    <t xml:space="preserve">VALIDATION AGAINST THE CENTRAL CASE</t>
  </si>
  <si>
    <t xml:space="preserve">The central case is entry 65, vesting 80, with an inception-dated income of €16,000. Only the annuity scales with the benefit — administration expense is a fixed euro amount per policy,</t>
  </si>
  <si>
    <t xml:space="preserve">so the premium is not proportional to the income secured. The validation therefore rescales the annuity leg alone.</t>
  </si>
  <si>
    <t xml:space="preserve">PV annuity at the central-case income (€)  [live]</t>
  </si>
  <si>
    <t xml:space="preserve">PV expense, unchanged (€)  [live]</t>
  </si>
  <si>
    <t xml:space="preserve">Premium at the central-case income (€ p.a.)  [live]</t>
  </si>
  <si>
    <t xml:space="preserve">Paper's premium (€ p.a.)  [live]</t>
  </si>
  <si>
    <t xml:space="preserve">Residual (€)  [live]</t>
  </si>
  <si>
    <t xml:space="preserve">Component checks against the main model  [live]</t>
  </si>
  <si>
    <t xml:space="preserve">PV annuity, rescaled (€)</t>
  </si>
  <si>
    <t xml:space="preserve">NOTE ON READING THE SURFACE</t>
  </si>
  <si>
    <t xml:space="preserve">The premium is not proportional to the income secured, because administration expense is a fixed amount per policy rather than a share of the benefit.</t>
  </si>
  <si>
    <t xml:space="preserve">A surface quoted at one income level cannot be rescaled to another by simple proportion; the expense leg must be held constant.</t>
  </si>
  <si>
    <t xml:space="preserve">ANNEX B REBUILD — grids on the published Annex B conventions</t>
  </si>
  <si>
    <t xml:space="preserve">Two conventions differ from the paper's sections 4 and 5. Income here is stated at the vesting date, as published Annex B does, and the equivalence-only premium excludes expense as well as margin and commission.</t>
  </si>
  <si>
    <t xml:space="preserve">Both grids read the same duration engine above. The at-vesting annuity is the inception-dated annuity rebased by (1+CPI)^deferral; the expense leg is unaffected, being a fixed amount per policy.</t>
  </si>
  <si>
    <t xml:space="preserve">B.1 — MONTHLY PREMIUM, HEAPED AND TRAIL, income stated at the vesting date</t>
  </si>
  <si>
    <t xml:space="preserve">B.2 — EQUIVALENCE-ONLY MONTHLY PREMIUM, no commission, no margin, no expense</t>
  </si>
  <si>
    <t xml:space="preserve">B.2b — TOTAL LOADING, B.1 less B.2</t>
  </si>
  <si>
    <t xml:space="preserve">VALIDATION OF THE REBUILT GRIDS</t>
  </si>
  <si>
    <t xml:space="preserve">The central case is entry 65, vesting 80, with an inception-dated income of €16,000, which is €16,000 × 1.02^15 at the vesting date.</t>
  </si>
  <si>
    <t xml:space="preserve">Inception-dated central-case income (€)</t>
  </si>
  <si>
    <t xml:space="preserve">Same income stated at the vesting date (€)  [live]</t>
  </si>
  <si>
    <t xml:space="preserve">B.1 cell at entry 65 / vesting 80, per €1,000 monthly at vesting (€)  [live]</t>
  </si>
  <si>
    <t xml:space="preserve">Annuity leg rescaled to the central-case income (€)  [live]</t>
  </si>
  <si>
    <t xml:space="preserve">Premium implied at the central-case income (€ p.a.)  [live]</t>
  </si>
  <si>
    <t xml:space="preserve">Cross-check that the two conventions differ only by the escalation factor  [live]</t>
  </si>
  <si>
    <t xml:space="preserve">B.1 at entry 65 / vesting 80, income at the vesting date</t>
  </si>
  <si>
    <t xml:space="preserve">Same cell, inception-dated convention (section 5 panel, entry 65 / vesting 80)</t>
  </si>
  <si>
    <t xml:space="preserve">Ratio, inception-dated over at-vesting  [live]</t>
  </si>
  <si>
    <t xml:space="preserve">Escalation factor over the deferral  [live]</t>
  </si>
  <si>
    <t xml:space="preserve">The annuity leg rescales by the escalation factor but the expense leg does not, so the ratio sits just below it. Difference confirms the conventions are related as expected.</t>
  </si>
  <si>
    <t xml:space="preserve">Ratio less escalation factor  [live]</t>
  </si>
  <si>
    <t xml:space="preserve">B.3 — SEVEN-BY-FOUR PRICING PANEL ACROSS FIVE COMMISSION STRUCTURES</t>
  </si>
  <si>
    <t xml:space="preserve">Income €1,000 per month at the vesting date. The commission factor is cell-specific: a heaped payment is a larger share of a short premium base, so the same schedule costs more at short deferrals.</t>
  </si>
  <si>
    <t xml:space="preserve">Structures: heaped and trail (100% year 1 plus 5%); zero; level 20% flat; industry reference (100% year 1, 20% years 2–4, 3% year 5+); and right-sized (100% year 1 plus 1%).</t>
  </si>
  <si>
    <t xml:space="preserve">PV prem</t>
  </si>
  <si>
    <t xml:space="preserve">PV yr1</t>
  </si>
  <si>
    <t xml:space="preserve">PV yr2-4</t>
  </si>
  <si>
    <t xml:space="preserve">PV yr5+</t>
  </si>
  <si>
    <t xml:space="preserve">f heaped</t>
  </si>
  <si>
    <t xml:space="preserve">f zero</t>
  </si>
  <si>
    <t xml:space="preserve">f level</t>
  </si>
  <si>
    <t xml:space="preserve">f industry</t>
  </si>
  <si>
    <t xml:space="preserve">f right</t>
  </si>
  <si>
    <t xml:space="preserve">p heaped</t>
  </si>
  <si>
    <t xml:space="preserve">p zero</t>
  </si>
  <si>
    <t xml:space="preserve">p level</t>
  </si>
  <si>
    <t xml:space="preserve">p industry</t>
  </si>
  <si>
    <t xml:space="preserve">p right</t>
  </si>
  <si>
    <t xml:space="preserve">p equiv-only</t>
  </si>
  <si>
    <t xml:space="preserve">Loading over equivalence-only, as a share</t>
  </si>
  <si>
    <t xml:space="preserve">heaped</t>
  </si>
  <si>
    <t xml:space="preserve">mean across the panel</t>
  </si>
  <si>
    <t xml:space="preserve">zero</t>
  </si>
  <si>
    <t xml:space="preserve">level</t>
  </si>
  <si>
    <t xml:space="preserve">industry</t>
  </si>
  <si>
    <t xml:space="preserve">right-sized</t>
  </si>
  <si>
    <t xml:space="preserve">TIE — the heaped column must reproduce the B.1 surface</t>
  </si>
  <si>
    <t xml:space="preserve">B.3 heaped premium at entry 65 / vesting 80  [live]</t>
  </si>
  <si>
    <t xml:space="preserve">B.1 surface, same cell  [live]</t>
  </si>
  <si>
    <t xml:space="preserve">INFEASIBLE CORNER. Combinations with a premium term under two years have no heaped-commission solution: the boundary is commission factor = 1 − margin, where the pricing denominator changes sign. The raw negative premiums in the corner cells (entry 74 / vest 75 and entry 75 / vest 76) are meaningless roots of the pricing identity and should be read as blank.</t>
  </si>
  <si>
    <t xml:space="preserve">Lapse — the four-route decomposition and the calibration question</t>
  </si>
  <si>
    <t xml:space="preserve">The scope memo describes lapse as four mechanisms. This sheet builds them, tests whether they arithmetically produce the locked duration curve, and quantifies the choice between the two candidate calibrations.</t>
  </si>
  <si>
    <t xml:space="preserve">ROUTE PARAMETERS — as described in the scope memo</t>
  </si>
  <si>
    <t xml:space="preserve">Affordability shock, per annum</t>
  </si>
  <si>
    <t xml:space="preserve">Rational late lapse, post-diagnosis, per annum</t>
  </si>
  <si>
    <t xml:space="preserve">Regret, year 1</t>
  </si>
  <si>
    <t xml:space="preserve">Regret, year 2</t>
  </si>
  <si>
    <t xml:space="preserve">Regret, years 3 to 5</t>
  </si>
  <si>
    <t xml:space="preserve">Regret, year 6 onward</t>
  </si>
  <si>
    <t xml:space="preserve">Death is a separate decrement, not a lapse route. Rational late lapse is set at the low end of the 0.3–0.8% range the scope memo states.</t>
  </si>
  <si>
    <t xml:space="preserve">ROUTE BUILD BY POLICY YEAR</t>
  </si>
  <si>
    <t xml:space="preserve">affordability</t>
  </si>
  <si>
    <t xml:space="preserve">rational late</t>
  </si>
  <si>
    <t xml:space="preserve">regret</t>
  </si>
  <si>
    <t xml:space="preserve">total gross (routes)</t>
  </si>
  <si>
    <t xml:space="preserve">scope v0.8 locked</t>
  </si>
  <si>
    <t xml:space="preserve">engine / current</t>
  </si>
  <si>
    <t xml:space="preserve">routes less scope</t>
  </si>
  <si>
    <t xml:space="preserve">engine less scope</t>
  </si>
  <si>
    <t xml:space="preserve">DO THE ROUTES PRODUCE THE LOCKED CURVE?</t>
  </si>
  <si>
    <t xml:space="preserve">Maximum absolute residual, routes less scope, years 1 to 15  [live]</t>
  </si>
  <si>
    <t xml:space="preserve">Affordability 1.0% and rational late lapse 0.3% are as the scope memo states. The regret route tapers over five years rather than three, which the memo describes only qualitatively.</t>
  </si>
  <si>
    <t xml:space="preserve">On that calibration the four mechanisms account for the locked curve at every duration, so the curve has a mechanism-based audit trail rather than being a bare assumption.</t>
  </si>
  <si>
    <t xml:space="preserve">THE TWO CANDIDATE CALIBRATIONS</t>
  </si>
  <si>
    <t xml:space="preserve">year 2</t>
  </si>
  <si>
    <t xml:space="preserve">years 3–5</t>
  </si>
  <si>
    <t xml:space="preserve">year 6+</t>
  </si>
  <si>
    <t xml:space="preserve">five-year weighted mean</t>
  </si>
  <si>
    <t xml:space="preserve">Scope v0.8 locked</t>
  </si>
  <si>
    <t xml:space="preserve">Engine calibration — read directly, independent of the switch  [live]</t>
  </si>
  <si>
    <t xml:space="preserve">Ratio, engine ÷ scope  [live]</t>
  </si>
  <si>
    <t xml:space="preserve">Constant RATIO?  [live]</t>
  </si>
  <si>
    <t xml:space="preserve">Constant DIFFERENCE?  [live]</t>
  </si>
  <si>
    <t xml:space="preserve">Engine less scope, by band  [live]</t>
  </si>
  <si>
    <t xml:space="preserve">Size of the offset  [live]</t>
  </si>
  <si>
    <t xml:space="preserve">Guard — is the comparison meaningful at the current switch setting?  [live]</t>
  </si>
  <si>
    <t xml:space="preserve">WHAT THE 25 BASIS POINTS COST</t>
  </si>
  <si>
    <t xml:space="preserve">Five-year weighted mean, scope  [live]</t>
  </si>
  <si>
    <t xml:space="preserve">Five-year weighted mean, engine  [live]</t>
  </si>
  <si>
    <t xml:space="preserve">Engine lapse heavier by  [live]</t>
  </si>
  <si>
    <t xml:space="preserve">The Sensitivities sheet quantifies the effect on the premium, own funds and the capital requirement of moving to the scope calibration.</t>
  </si>
  <si>
    <t xml:space="preserve">DECISION TAKEN AT v8.0.0 — the documented curve is used; the switch at Assumptions!B50 is scope-locked to it</t>
  </si>
  <si>
    <t xml:space="preserve">The reconciliation is exact and narrow: the engine adds 25 basis points to the locked curve at every duration. The question is whether that addition is intended.</t>
  </si>
  <si>
    <t xml:space="preserve">Heavier lapse increases the forfeiture subsidy and lowers the premium, so the addition flatters the product. The Sensitivities sheet quantifies the effect of removing it.</t>
  </si>
  <si>
    <t xml:space="preserve">Sensitivities and levers</t>
  </si>
  <si>
    <t xml:space="preserve">Items driven by an input switch are reproducible by setting that switch; the figures recorded are observations from doing so. Items computed live are marked as such.</t>
  </si>
  <si>
    <t xml:space="preserve">1. LAPSE CALIBRATION — switch Assumptions!B50</t>
  </si>
  <si>
    <t xml:space="preserve">The engine curve is the scope-locked curve plus a uniform 25 basis points at every duration. Heavier lapse means more forfeiture, a larger subsidy and a lower premium.</t>
  </si>
  <si>
    <t xml:space="preserve">basis</t>
  </si>
  <si>
    <t xml:space="preserve">gross Y1</t>
  </si>
  <si>
    <t xml:space="preserve">fair?</t>
  </si>
  <si>
    <t xml:space="preserve">pool at vesting</t>
  </si>
  <si>
    <t xml:space="preserve">subsidy per survivor</t>
  </si>
  <si>
    <t xml:space="preserve">Day-1 (€)</t>
  </si>
  <si>
    <t xml:space="preserve">Engine — locked + 25 bp (current)</t>
  </si>
  <si>
    <t xml:space="preserve">Adverse ×3, capped at SAI 11.7%</t>
  </si>
  <si>
    <t xml:space="preserve">FINDING</t>
  </si>
  <si>
    <t xml:space="preserve">The 25 basis points are not administrative. On the scope-locked curve the money's-worth ratio is 0.8952 and the product breaches the 0.90 fairness floor.</t>
  </si>
  <si>
    <t xml:space="preserve">The mechanism is the subsidy: lighter lapse forfeits less, so the subsidy per survivor falls from 3.25 to 3.00 units of premium and the premium must rise to compensate.</t>
  </si>
  <si>
    <t xml:space="preserve">Under the adverse scenario lapse is so heavy that the surviving pool falls to 0.446 and the subsidy carries most of the cost; the premium falls but the requirement rises, because there are fewer premiums to accumulate.</t>
  </si>
  <si>
    <t xml:space="preserve">2. SELECTION STRENGTH — input Assumptions!B49</t>
  </si>
  <si>
    <t xml:space="preserve">The mortality table embeds a 0.90 selection haircut. The scope memo tests robustness across 0.85 to 1.00.</t>
  </si>
  <si>
    <t xml:space="preserve">haircut</t>
  </si>
  <si>
    <t xml:space="preserve">Article 138 ÷ CBD 99.5%</t>
  </si>
  <si>
    <t xml:space="preserve">observed, workbook v9.0.0</t>
  </si>
  <si>
    <t xml:space="preserve">LIVE — the current setting</t>
  </si>
  <si>
    <t xml:space="preserve">STALENESS GUARD — the 0.90 row is the current setting and must equal the central case  [live]</t>
  </si>
  <si>
    <t xml:space="preserve">Premium residual against the central case</t>
  </si>
  <si>
    <t xml:space="preserve">Money's-worth residual</t>
  </si>
  <si>
    <t xml:space="preserve">Delegated Regulation 2026/269 lowers the cost-of-capital rate. The risk margin scales linearly with it, so the effect is computable from the annual profile without re-running the model.</t>
  </si>
  <si>
    <t xml:space="preserve">Cost of capital, current</t>
  </si>
  <si>
    <t xml:space="preserve">Cost of capital, post-reform</t>
  </si>
  <si>
    <t xml:space="preserve">Risk margin at the exact binding duration, current (€)  [live]</t>
  </si>
  <si>
    <t xml:space="preserve">Risk margin at that duration, post-reform (€)  [live]</t>
  </si>
  <si>
    <t xml:space="preserve">Reduction in the risk margin, per policy (€)  [live]</t>
  </si>
  <si>
    <t xml:space="preserve">In-force at the binding duration  [live]</t>
  </si>
  <si>
    <t xml:space="preserve">Requirement, current (€)  [live]</t>
  </si>
  <si>
    <t xml:space="preserve">Requirement, post-reform (€)  [live]</t>
  </si>
  <si>
    <t xml:space="preserve">Reduction in the requirement  [live]</t>
  </si>
  <si>
    <t xml:space="preserve">The reported figure at B36 is the maximum of the full post-reform annual profile at rows 204–259: the smaller risk margin moves the binding duration (8 → 10). The evaluation at the central binding duration is retained at row 262 as a component, and the sanity column at the current rate reproduces the exact requirement — tie_postreform_sanity = 0.</t>
  </si>
  <si>
    <t xml:space="preserve">4. COST OF COVER AS A RUNNING CHARGE — computed live</t>
  </si>
  <si>
    <t xml:space="preserve">Longevity cover quoted as basis points per annum on the reserve, rather than an upfront share of ceded reserves. The charge is levied through the payment phase.</t>
  </si>
  <si>
    <t xml:space="preserve">bps per annum</t>
  </si>
  <si>
    <t xml:space="preserve">PV of the charge (€)</t>
  </si>
  <si>
    <t xml:space="preserve">Day-1 requirement (€)</t>
  </si>
  <si>
    <t xml:space="preserve">A running charge on the reserve adds directly to the requirement: there is no cost of cover at which the position clears, because the charge cannot be negative.</t>
  </si>
  <si>
    <t xml:space="preserve">5. PARTIAL CESSION — computed live</t>
  </si>
  <si>
    <t xml:space="preserve">The reinsurance sheet cedes post-vesting longevity in full. A partial quota scales both the premium paid and the relief obtained.</t>
  </si>
  <si>
    <t xml:space="preserve">cession quota</t>
  </si>
  <si>
    <t xml:space="preserve">swap premium (€)</t>
  </si>
  <si>
    <t xml:space="preserve">change vs no cession (€)</t>
  </si>
  <si>
    <t xml:space="preserve">Cession is linear in the quota and adverse at every level, so no partial quota improves the position.</t>
  </si>
  <si>
    <t xml:space="preserve">6. THE 25 BASIS POINTS — WHAT THE DOCUMENTS SAY</t>
  </si>
  <si>
    <t xml:space="preserve">The scope memo and the paper body both state the central-case duration curve as year 1 = 5.8%, year 2 = 3.1%, years 3-5 = 1.9%, year 6+ = 1.3%.</t>
  </si>
  <si>
    <t xml:space="preserve">That is the scope-locked curve. The engine's curve is 25 basis points higher at every duration and is not documented anywhere in the sources.</t>
  </si>
  <si>
    <t xml:space="preserve">Was it a buffer inside a fairness range?</t>
  </si>
  <si>
    <t xml:space="preserve">The paper describes 0.90 as a floor, not a range: 'the 0.90 floor conventionally used as the boundary between fair value and materially expensive value'. No upper bound is stated.</t>
  </si>
  <si>
    <t xml:space="preserve">And the addition is far larger than a minimal buffer would require. Interpolating between the two measured points:</t>
  </si>
  <si>
    <t xml:space="preserve">MWR on the scope-locked curve</t>
  </si>
  <si>
    <t xml:space="preserve">MWR on the engine curve</t>
  </si>
  <si>
    <t xml:space="preserve">Offset used by the engine</t>
  </si>
  <si>
    <t xml:space="preserve">Offset needed to reach the floor exactly  [live]</t>
  </si>
  <si>
    <t xml:space="preserve">Offset used, as a multiple of the offset needed  [live]</t>
  </si>
  <si>
    <t xml:space="preserve">WHAT FOLLOWS FROM THE DOCUMENTED BASIS</t>
  </si>
  <si>
    <t xml:space="preserve">On the lapse curve the paper itself documents, the money's-worth ratio is 0.8952 and the product does not clear the 0.90 fairness floor at any premium — because the premium is already the equivalence premium.</t>
  </si>
  <si>
    <t xml:space="preserve">That is a finding about the product, not a problem to be engineered around. The undocumented 25 basis points are what made the product appear fair.</t>
  </si>
  <si>
    <t xml:space="preserve">Recommendation: run the documented curve, report the money's-worth ratio it produces, and state the consequence. If the 25 basis points were deliberate, they must be disclosed as an explicit</t>
  </si>
  <si>
    <t xml:space="preserve">assumption with their effect quantified, since their sole material effect is to move the product from failing the fairness test to passing it.</t>
  </si>
  <si>
    <t xml:space="preserve">7. CLEARING THE FAIRNESS FLOOR ON THE DOCUMENTED BASIS</t>
  </si>
  <si>
    <t xml:space="preserve">On the documented lapse curve the equivalence premium gives a money's-worth ratio of 0.8952. Because that is the equivalence premium, the ratio cannot be improved by charging less —</t>
  </si>
  <si>
    <t xml:space="preserve">it can only be improved by reducing what the premium has to fund. Two loadings are available: distribution cost and the provider margin.</t>
  </si>
  <si>
    <t xml:space="preserve">Provider margin — the premium and the ratio move together  [live]</t>
  </si>
  <si>
    <t xml:space="preserve">margin</t>
  </si>
  <si>
    <t xml:space="preserve">clears the floor?</t>
  </si>
  <si>
    <t xml:space="preserve">provider margin earned (€)</t>
  </si>
  <si>
    <t xml:space="preserve">Day-1 requirement (€/policy)</t>
  </si>
  <si>
    <t xml:space="preserve">capital per €1 of margin</t>
  </si>
  <si>
    <t xml:space="preserve">The margin required to breach the floor is small: reducing it from 3.0% to 2.0% restores fairness. But the margin is the only return the writer earns,</t>
  </si>
  <si>
    <t xml:space="preserve">Capital per euro of margin rises as the margin falls, because the margin IS own funds: the numerator rises and the denominator falls together. Column G is computed from a requirement profile at each rate, not from the default requirement divided by a smaller margin, which would understate it. At a zero margin the ratio does not merely become large, it is undefined.</t>
  </si>
  <si>
    <t xml:space="preserve">Distribution cost — see the Commission_Models sheet</t>
  </si>
  <si>
    <t xml:space="preserve">Only the zero-commission structure clears the floor, at a money's-worth ratio of 1.0458. Every commission-bearing structure breaches it:</t>
  </si>
  <si>
    <t xml:space="preserve">structure</t>
  </si>
  <si>
    <t xml:space="preserve">THE CONSEQUENCE</t>
  </si>
  <si>
    <t xml:space="preserve">On its own documented lapse basis the product cannot be sold through a commission-bearing channel and remain fair value at the pool-average consumer level.</t>
  </si>
  <si>
    <t xml:space="preserve">Execution-only or fee-based distribution clears the floor comfortably, at a ratio of 1.0458, but raises the capital requirement slightly because a lower premium accumulates less.</t>
  </si>
  <si>
    <t xml:space="preserve">So the fairness constraint and the capital constraint pull in opposite directions, and neither can be relieved without tightening the other.</t>
  </si>
  <si>
    <t xml:space="preserve">N13b — CAPITAL PER EURO OF PROVIDER MARGIN, AT EACH MARGIN RATE</t>
  </si>
  <si>
    <t xml:space="preserve">Added at v13.5.0; wording corrected at v13.5.1. Cutting the provider margin cuts the premium. Own funds at inception EQUAL THE PRESENT VALUE of the provider margin — by construction of the pricing basis, not because the two are the same quantity. Own funds are a balance-sheet item at each date and accrete: €3,913 at inception, €5,214 at ten years, €7,303 at twenty. The margin is a fixed present value. At the binding date the two differ substantially, so neither the default requirement divided by a smaller margin, nor the requirement adjusted by the change in the margin, gives the answer.</t>
  </si>
  <si>
    <t xml:space="preserve">A requirement profile is therefore built at each margin rate, on the same machinery as the commission-structure profiles at Commission_Models rows 320 to 401. The 3% column is the CONTROL: it must reproduce Trajectory!B164, and it also reproduces OwnFunds_SCR B7:F7 at all five published dates.</t>
  </si>
  <si>
    <t xml:space="preserve">SCR and the risk margin are held at the central-model values, as at Commission_Models A275. That assumption was tested exactly at v13.1.0 and is worth EUR 1.18 on a premium change of EUR 515; the margin changes here are of similar magnitude, so the same order applies. It is an approximation and is labelled as one.</t>
  </si>
  <si>
    <t xml:space="preserve">THE EFFECT IS LARGER THAN THE MARGIN CHANGE. At a 2% margin the present value of the margin falls by €1,335, but own funds at the binding date fall by €1,779 because own funds accrete, and that fall is then grossed up by the in-force proportion. The binding duration also moves out as the margin falls, from 8 to 13, so the comparison is not like for like at a single date. Column F is read from each profile at its own binding date.</t>
  </si>
  <si>
    <t xml:space="preserve">3% fund</t>
  </si>
  <si>
    <t xml:space="preserve">3% BEL</t>
  </si>
  <si>
    <t xml:space="preserve">3% own funds</t>
  </si>
  <si>
    <t xml:space="preserve">3% req</t>
  </si>
  <si>
    <t xml:space="preserve">2% fund</t>
  </si>
  <si>
    <t xml:space="preserve">2% BEL</t>
  </si>
  <si>
    <t xml:space="preserve">2% own funds</t>
  </si>
  <si>
    <t xml:space="preserve">2% req</t>
  </si>
  <si>
    <t xml:space="preserve">1% fund</t>
  </si>
  <si>
    <t xml:space="preserve">1% BEL</t>
  </si>
  <si>
    <t xml:space="preserve">1% own funds</t>
  </si>
  <si>
    <t xml:space="preserve">1% req</t>
  </si>
  <si>
    <t xml:space="preserve">0% fund</t>
  </si>
  <si>
    <t xml:space="preserve">0% BEL</t>
  </si>
  <si>
    <t xml:space="preserve">0% own funds</t>
  </si>
  <si>
    <t xml:space="preserve">0% req</t>
  </si>
  <si>
    <t xml:space="preserve">ACCEPTANCE TEST — the 3% column is the default and must reproduce the annual requirement</t>
  </si>
  <si>
    <t xml:space="preserve">3% peak requirement from this block (€/policy)  [live]</t>
  </si>
  <si>
    <t xml:space="preserve">Trajectory!B164, the annual requirement  [live]</t>
  </si>
  <si>
    <t xml:space="preserve">TIE — the 3% column must also reproduce the published own-funds trajectory, not only the peak  [live]</t>
  </si>
  <si>
    <t xml:space="preserve">Largest absolute difference against OwnFunds_SCR B7:F7  [live]</t>
  </si>
  <si>
    <t xml:space="preserve">POST-REFORM REQUIREMENT — EXACT PROFILE</t>
  </si>
  <si>
    <t xml:space="preserve">The cost-of-capital reform re-scales the risk margin linearly, but a smaller risk margin also moves the binding duration, so the requirement must be re-maximised over the full annual profile rather than evaluated at the central duration.</t>
  </si>
  <si>
    <t xml:space="preserve">Columns: duration; the post-reform requirement per policy in force, (SCR_agg + RM×(B30/B29) − OF)/in-force from Trajectory columns C:F; and a sanity profile at the current rate whose maximum must equal Trajectory!B164 exactly.</t>
  </si>
  <si>
    <t xml:space="preserve">requirement, post-reform (€)</t>
  </si>
  <si>
    <t xml:space="preserve">sanity at current rate (€)</t>
  </si>
  <si>
    <t xml:space="preserve">Binding duration, post-reform  [live]</t>
  </si>
  <si>
    <t xml:space="preserve">At the previous (central) binding duration — component  [live]</t>
  </si>
  <si>
    <t xml:space="preserve">Understatement if the duration were held (€)  [live]</t>
  </si>
  <si>
    <t xml:space="preserve">Sanity — current-rate profile max less the exact requirement (must be 0)  [live]</t>
  </si>
  <si>
    <t xml:space="preserve">Headline panel and six worked examples</t>
  </si>
  <si>
    <t xml:space="preserve">Both are read live off the surface engine. Income targets are stated in inception-dated terms and escalate at CPI from inception, consistent with the pricing basis.</t>
  </si>
  <si>
    <t xml:space="preserve">The published versions of these tables used income stated at the vesting date and the superseded funding basis, so their figures are not directly comparable.</t>
  </si>
  <si>
    <t xml:space="preserve">HEADLINE PANEL — monthly premium per €1,000 per month of inception-dated income</t>
  </si>
  <si>
    <t xml:space="preserve">Entry age 72 is a whole age on the surface grid, so it is read directly with no interpolation.</t>
  </si>
  <si>
    <t xml:space="preserve">SIX WORKED EXAMPLES — monthly premium by commission structure</t>
  </si>
  <si>
    <t xml:space="preserve">Premiums scale with the income target only through the annuity leg; administration expense is a fixed amount per policy and does not scale.</t>
  </si>
  <si>
    <t xml:space="preserve">example</t>
  </si>
  <si>
    <t xml:space="preserve">income €/mo</t>
  </si>
  <si>
    <t xml:space="preserve">heaped+trail</t>
  </si>
  <si>
    <t xml:space="preserve">level 20%</t>
  </si>
  <si>
    <t xml:space="preserve">industry ref</t>
  </si>
  <si>
    <t xml:space="preserve">equivalence only</t>
  </si>
  <si>
    <t xml:space="preserve">1. Early-retiree, modest top-up</t>
  </si>
  <si>
    <t xml:space="preserve">2. Reference case</t>
  </si>
  <si>
    <t xml:space="preserve">3. Late-retiree, late-vest</t>
  </si>
  <si>
    <t xml:space="preserve">4. Late-retiree, early-vest</t>
  </si>
  <si>
    <t xml:space="preserve">5. Maximum longevity insurance</t>
  </si>
  <si>
    <t xml:space="preserve">6. Deep-tail longevity insurance</t>
  </si>
  <si>
    <t xml:space="preserve">The right-sized column applies the recommended structure — year-one payment at 100%, trail at 1.0% — from the Commission_Models sheet.</t>
  </si>
  <si>
    <t xml:space="preserve">The industry-reference column uses that model's commission factor computed for the central case, which is an approximation at other entry and vesting ages.</t>
  </si>
  <si>
    <t xml:space="preserve">VALIDATION</t>
  </si>
  <si>
    <t xml:space="preserve">Example 2 is entry 65 / vesting 85. Cross-check the heaped column against the panel at the same cell.</t>
  </si>
  <si>
    <t xml:space="preserve">Panel cell entry 65 / vesting 85 scaled to a €1,000 income  [live]</t>
  </si>
  <si>
    <t xml:space="preserve">Monthly discount factors — log-linear interpolation of the annual EIOPA curve</t>
  </si>
  <si>
    <t xml:space="preserve">DF(m) = exp[(1-f)·ln DF(k) + f·ln DF(k+1)] where t = m/12, k = INT(t), f = t - k. Convention as used in the monthly companion.</t>
  </si>
  <si>
    <t xml:space="preserve">month m</t>
  </si>
  <si>
    <t xml:space="preserve">t = m/12</t>
  </si>
  <si>
    <t xml:space="preserve">k = INT(t)</t>
  </si>
  <si>
    <t xml:space="preserve">f</t>
  </si>
  <si>
    <t xml:space="preserve">DF annual k</t>
  </si>
  <si>
    <t xml:space="preserve">DF annual k+1</t>
  </si>
  <si>
    <t xml:space="preserve">DF(m) monthly</t>
  </si>
  <si>
    <t xml:space="preserve">CHECKS</t>
  </si>
  <si>
    <t xml:space="preserve">DF at month 0 (must be 1)</t>
  </si>
  <si>
    <t xml:space="preserve">DF at month 180 vs annual DF(15)</t>
  </si>
  <si>
    <t xml:space="preserve">DF at month 240 vs annual DF(20)</t>
  </si>
  <si>
    <t xml:space="preserve">Monotonic decreasing?</t>
  </si>
  <si>
    <t xml:space="preserve">Discount — EIOPA EUR no-VA, 31 May 2026 (spot sourced; DF live = (1+spot)^-t)</t>
  </si>
  <si>
    <t xml:space="preserve">Spot rates now read live from EIOPA_Source (published). Previously a reconstruction.</t>
  </si>
  <si>
    <t xml:space="preserve">Spot rate</t>
  </si>
  <si>
    <t xml:space="preserve">Discount factor (live)</t>
  </si>
  <si>
    <t xml:space="preserve">Projection — in-force pool: mortality then lapse (net of reinstatement) each deferral year; mortality only after trigger</t>
  </si>
  <si>
    <t xml:space="preserve">Policy yr</t>
  </si>
  <si>
    <t xml:space="preserve">qx (M4)</t>
  </si>
  <si>
    <t xml:space="preserve">Gross lapse</t>
  </si>
  <si>
    <t xml:space="preserve">Net lapse (live)</t>
  </si>
  <si>
    <t xml:space="preserve">In-force pool (live)</t>
  </si>
  <si>
    <t xml:space="preserve">Mort. survival (live)</t>
  </si>
  <si>
    <t xml:space="preserve">DF (live)</t>
  </si>
  <si>
    <t xml:space="preserve">Prem PV/unitP (live)</t>
  </si>
  <si>
    <t xml:space="preserve">Forfeit PV/unitP (live)</t>
  </si>
  <si>
    <t xml:space="preserve">Payout PV (live)</t>
  </si>
  <si>
    <t xml:space="preserve">Expense PV (live)</t>
  </si>
  <si>
    <t xml:space="preserve">Net asset CF, heaped commission (live)</t>
  </si>
  <si>
    <t xml:space="preserve">Net CF × DF = PV to issue (live)</t>
  </si>
  <si>
    <t xml:space="preserve">Net liability CF, no forfeiture credit (live)</t>
  </si>
  <si>
    <t xml:space="preserve">Liab CF × DF = PV to issue (live)</t>
  </si>
  <si>
    <t xml:space="preserve">G_138 (live)</t>
  </si>
  <si>
    <t xml:space="preserve">PV_138 (live)</t>
  </si>
  <si>
    <t xml:space="preserve">G_up (live)</t>
  </si>
  <si>
    <t xml:space="preserve">PV_up (live)</t>
  </si>
  <si>
    <t xml:space="preserve">G_dn (live)</t>
  </si>
  <si>
    <t xml:space="preserve">PV_dn (live)</t>
  </si>
  <si>
    <t xml:space="preserve">PV_141 (live)</t>
  </si>
  <si>
    <t xml:space="preserve">MWR prem PV/unitP (live)</t>
  </si>
  <si>
    <t xml:space="preserve">MWR payout PV (live)</t>
  </si>
  <si>
    <t xml:space="preserve">Premium PV central (live)</t>
  </si>
  <si>
    <t xml:space="preserve">Premium PV 138 (live)</t>
  </si>
  <si>
    <t xml:space="preserve">Premium PV down (live)</t>
  </si>
  <si>
    <t xml:space="preserve">Prem net heaped comm PV (live)</t>
  </si>
  <si>
    <t xml:space="preserve">Commission PV (live)</t>
  </si>
  <si>
    <t xml:space="preserve">In-force pool at trigger (age 80):</t>
  </si>
  <si>
    <t xml:space="preserve">COLUMN GUIDE — rows 4–59 are policy years 1–56, ages 65–120. All cashflow columns are present values at inception unless headed otherwise.</t>
  </si>
  <si>
    <t xml:space="preserve">policy year (1–56)</t>
  </si>
  <si>
    <t xml:space="preserve">attained age at the start of the year (65 + year − 1)</t>
  </si>
  <si>
    <t xml:space="preserve">qx for the 2026 entry-65 cohort, read from Cohort_Survival (projected basis)</t>
  </si>
  <si>
    <t xml:space="preserve">gross lapse rate by policy year (year-1 / year-2 / years-3–5 / year-6+ ladder; zero from vesting)</t>
  </si>
  <si>
    <t xml:space="preserve">net lapse = gross × (1 − 30% reinstatement)</t>
  </si>
  <si>
    <t xml:space="preserve">in-force pool at the start of the year (mortality × persistency); F4 = 1</t>
  </si>
  <si>
    <t xml:space="preserve">mortality-only survival (no lapse) — the money's-worth legs run on this pool</t>
  </si>
  <si>
    <t xml:space="preserve">discount factor at the start of the year (t = year − 1)</t>
  </si>
  <si>
    <t xml:space="preserve">premium PV per unit annual premium (in-force × DF, deferral years only)</t>
  </si>
  <si>
    <t xml:space="preserve">forfeited-premium diagnostic PV — display only, not in the pricing basis</t>
  </si>
  <si>
    <t xml:space="preserve">payout PV: in-force × annual payout escalated 2.0% from INCEPTION × DF, from vesting</t>
  </si>
  <si>
    <t xml:space="preserve">expense PV: in-force × €82 × 1.025^(policy year) × DF</t>
  </si>
  <si>
    <t xml:space="preserve">net asset cashflow: premium net of commission less expense in deferral; −(payout + expense) after vesting</t>
  </si>
  <si>
    <t xml:space="preserve">asset cashflow × DF — feeds ANAV via SUMIFS on age &lt; valuation age</t>
  </si>
  <si>
    <t xml:space="preserve">liability cashflow (commission is a contract cashflow in the BEL; premium enters negative)</t>
  </si>
  <si>
    <t xml:space="preserve">liability cashflow × DF — feeds the BEL via SUMIFS on age ≥ valuation age</t>
  </si>
  <si>
    <t xml:space="preserve">in-force pool under Article 138 (qx × 0.8), lapse unstressed</t>
  </si>
  <si>
    <t xml:space="preserve">liability PV on the Article-138 pool (renormalised prospectively where used: × F(t)/Q(t))</t>
  </si>
  <si>
    <t xml:space="preserve">pool under lapse-up (net lapse × 1.5 in deferral)</t>
  </si>
  <si>
    <t xml:space="preserve">liability PV on the lapse-up pool</t>
  </si>
  <si>
    <t xml:space="preserve">pool under lapse-down (net lapse × 0.5)</t>
  </si>
  <si>
    <t xml:space="preserve">liability PV on the lapse-down pool</t>
  </si>
  <si>
    <t xml:space="preserve">mortality-only premium PV — money's-worth denominator leg</t>
  </si>
  <si>
    <t xml:space="preserve">Y</t>
  </si>
  <si>
    <t xml:space="preserve">mortality-only payout PV — money's-worth numerator leg</t>
  </si>
  <si>
    <t xml:space="preserve">Z</t>
  </si>
  <si>
    <t xml:space="preserve">premium PV in euro on the central pool</t>
  </si>
  <si>
    <t xml:space="preserve">AA</t>
  </si>
  <si>
    <t xml:space="preserve">premium PV in euro on the Article-138 pool</t>
  </si>
  <si>
    <t xml:space="preserve">AB</t>
  </si>
  <si>
    <t xml:space="preserve">premium PV in euro on the lapse-down pool</t>
  </si>
  <si>
    <t xml:space="preserve">AC</t>
  </si>
  <si>
    <t xml:space="preserve">premium PV net of the heaped commission schedule</t>
  </si>
  <si>
    <t xml:space="preserve">AD</t>
  </si>
  <si>
    <t xml:space="preserve">commission PV in euro</t>
  </si>
  <si>
    <t xml:space="preserve">Step 5 — Mutualised equivalence premium</t>
  </si>
  <si>
    <t xml:space="preserve">Component</t>
  </si>
  <si>
    <t xml:space="preserve">Source</t>
  </si>
  <si>
    <t xml:space="preserve">PV(persisting premiums), per unit P</t>
  </si>
  <si>
    <t xml:space="preserve">Σ in-force × DF over deferral</t>
  </si>
  <si>
    <t xml:space="preserve">PV(premiums forfeited by lapsers), per unit P — DIAGNOSTIC ONLY, not in the funding base</t>
  </si>
  <si>
    <t xml:space="preserve">Σ net-lapses × prem-yrs × DF</t>
  </si>
  <si>
    <t xml:space="preserve">Funding base = premiums actually received, per unit P  [live]</t>
  </si>
  <si>
    <t xml:space="preserve">corrected: the forfeiture leg is a component of receipts, not an addition</t>
  </si>
  <si>
    <t xml:space="preserve">Σ survivors × CPI payout × DF</t>
  </si>
  <si>
    <t xml:space="preserve">Σ in-force × expense × DF</t>
  </si>
  <si>
    <t xml:space="preserve">PV(year-1 premium), per unit P</t>
  </si>
  <si>
    <t xml:space="preserve">for commission split</t>
  </si>
  <si>
    <t xml:space="preserve">Commission factor (heaped+trail, live)</t>
  </si>
  <si>
    <t xml:space="preserve">(100%×Y1 + 5%×Y2+) / persisting PV</t>
  </si>
  <si>
    <t xml:space="preserve">3.0%</t>
  </si>
  <si>
    <t xml:space="preserve">Equivalence premium (gross), € p.a.  =  (PV payout + PV expense) / (LHS × (1 − margin − commission))</t>
  </si>
  <si>
    <t xml:space="preserve">Target (paper / engine)</t>
  </si>
  <si>
    <t xml:space="preserve">Equivalence-only premium (zero loadings) = PV payout / LHS</t>
  </si>
  <si>
    <t xml:space="preserve">Forfeited premiums as a share of receipts — diagnostic  [live]</t>
  </si>
  <si>
    <t xml:space="preserve">already inside the funding base via in-force weighting</t>
  </si>
  <si>
    <t xml:space="preserve">Step 6 — Accumulated Net Asset Value:  ANAV(t) = [Σ net CF × DF, for t_abs &lt; t] ÷ DF(t)   (forward accumulation)</t>
  </si>
  <si>
    <t xml:space="preserve">Each pre-t cashflow is rolled FORWARD to the valuation date. This is the corrected roll-forward (× accumulation factor).</t>
  </si>
  <si>
    <t xml:space="preserve">ANAV(t) = accumulated net assets (€)  [live]</t>
  </si>
  <si>
    <t xml:space="preserve">Engine's inverted roll-forward (÷ factor) — the published figures</t>
  </si>
  <si>
    <t xml:space="preserve">Understatement caused by the ÷ error (€)  [live]</t>
  </si>
  <si>
    <t xml:space="preserve">Sanity floor — net cash physically paid in by t=15 (undiscounted, no interest):</t>
  </si>
  <si>
    <t xml:space="preserve">ANAV(15) must be ≥ this floor (positive rates, no benefits paid in deferral):</t>
  </si>
  <si>
    <t xml:space="preserve">Engine's ANAV(15) vs the same floor:</t>
  </si>
  <si>
    <t xml:space="preserve">Step 7 — Prospective BEL:  BEL(t) = [Σ liability CF × DF, for t_abs ≥ t] ÷ DF(t)</t>
  </si>
  <si>
    <t xml:space="preserve">Future payouts + expenses, less future premiums and forfeiture recycling, valued at each date.</t>
  </si>
  <si>
    <t xml:space="preserve">BEL_central (€)  [live]</t>
  </si>
  <si>
    <t xml:space="preserve">Published BEL_central (paper v1.1.1)</t>
  </si>
  <si>
    <t xml:space="preserve">Difference vs published (€)  [live]</t>
  </si>
  <si>
    <t xml:space="preserve">DECOMPOSITION OF THE DIFFERENCE</t>
  </si>
  <si>
    <t xml:space="preserve">of which: commission now carried in the BEL (v3.0.0 basis change) (€)  [live]</t>
  </si>
  <si>
    <t xml:space="preserve">of which: remaining difference — the source-engine defects (€)  [live]</t>
  </si>
  <si>
    <t xml:space="preserve">Reading the decomposition:</t>
  </si>
  <si>
    <t xml:space="preserve">t = 0 to 10: almost entirely commission, which the published basis omitted from the BEL. The small remainder (~€39) is the expense-base inconsistency (defect 3).</t>
  </si>
  <si>
    <t xml:space="preserve">t = 15: no premiums remain, so no commission. The €23 remainder is the expense base (defect 3).</t>
  </si>
  <si>
    <t xml:space="preserve">t = 20: no commission. The remainder is the post-vesting survival double-count (defect 2) — the published figure understates the reserve.</t>
  </si>
  <si>
    <t xml:space="preserve">Defect 1 (the inverted asset roll-forward) affects the fund, not the reserve, and is evidenced on the ANAV sheet and Proof 7.</t>
  </si>
  <si>
    <t xml:space="preserve">Step 8 — Own Funds, SCR and coverage</t>
  </si>
  <si>
    <t xml:space="preserve">Every stressed BEL is computed live in-sheet (prospective renormalisation from the central in-force at t). No engine outputs.</t>
  </si>
  <si>
    <t xml:space="preserve">DEFINITIONS. Own funds = ANAV − BEL, GROSS of the risk margin (row 7). Row 24 is coverage on that gross measure. Row 31 is own funds net of the risk margin and row 32 is coverage on the net measure, which is the REPORTED coverage. PV of future margins is a component of own funds and is never added to them. Moved here at v13.5.2 from the row-1 title, which it had inflated to 333 characters and so removed this sheet from the Index block map entirely.</t>
  </si>
  <si>
    <t xml:space="preserve">Component \ t (years)</t>
  </si>
  <si>
    <t xml:space="preserve">ANAV (€)  [live ← ANAV sheet]</t>
  </si>
  <si>
    <t xml:space="preserve">BEL_central (€)  [live ← Reserving]</t>
  </si>
  <si>
    <t xml:space="preserve">Own Funds = ANAV − BEL (€)  [live]</t>
  </si>
  <si>
    <t xml:space="preserve">Memo: margin loading in future premiums (a COMPONENT of own funds above — never additive)</t>
  </si>
  <si>
    <t xml:space="preserve">BEL Art.138 longevity (€)  [live]</t>
  </si>
  <si>
    <t xml:space="preserve">BEL lapse-up +50% (€)  [live]</t>
  </si>
  <si>
    <t xml:space="preserve">BEL lapse-down −50% (€)  [live]</t>
  </si>
  <si>
    <t xml:space="preserve">BEL mass-lapse 40% = (1−shock)×central  [live, forfeiture-consistent]</t>
  </si>
  <si>
    <t xml:space="preserve">BEL Art.141 expense (€)  [live]</t>
  </si>
  <si>
    <t xml:space="preserve">SCR longevity = MAX(0, 138−central)  [live]</t>
  </si>
  <si>
    <t xml:space="preserve">SCR lapse-up = MAX(0, up−central)  [live]</t>
  </si>
  <si>
    <t xml:space="preserve">SCR lapse-down = MAX(0, dn−central)  [live]</t>
  </si>
  <si>
    <t xml:space="preserve">SCR mass-lapse = MAX(0, mass−central)  [live]</t>
  </si>
  <si>
    <t xml:space="preserve">SCR lapse Art.142 = MAX(up,dn,mass)  [live]</t>
  </si>
  <si>
    <t xml:space="preserve">SCR expense = MAX(0, 141−central)  [live]</t>
  </si>
  <si>
    <t xml:space="preserve">SCR aggregate = √(L²+P²+E²+2ρLP·L·P+2ρLE·L·E+2ρPE·P·E)  [live, ρ ← Assumptions]</t>
  </si>
  <si>
    <t xml:space="preserve">SCR coverage = own funds / SCR — GROSS of the risk margin, NOT the reported measure  [live]</t>
  </si>
  <si>
    <t xml:space="preserve">Published (paper v1.1.1) coverage — pre-correction</t>
  </si>
  <si>
    <t xml:space="preserve">Corrected coverage is far higher through deferral: the collapse was the ANAV roll-forward, not the product.</t>
  </si>
  <si>
    <t xml:space="preserve">(t=20 corrected to −55.9%: the engine's post-trigger BEL had a separate survival double-count, now fixed.)</t>
  </si>
  <si>
    <t xml:space="preserve">Risk margin RM(t) (€)  [live ← RiskMargin]</t>
  </si>
  <si>
    <t xml:space="preserve">Own funds net of RM = OF − RM (€)  [live]</t>
  </si>
  <si>
    <t xml:space="preserve">REPORTED SCR coverage = (own funds − risk margin) / SCR  [live]</t>
  </si>
  <si>
    <t xml:space="preserve">Day-1 own funds needed incl. RM, per policy  [live]</t>
  </si>
  <si>
    <t xml:space="preserve">As-priced Day-1 own funds incl. RM = MAX over t  [live]</t>
  </si>
  <si>
    <t xml:space="preserve">Step 9 — Consumer fairness</t>
  </si>
  <si>
    <t xml:space="preserve">Money's-worth ratio = PV payouts ÷ PV premiums (individual, mortality-only)  [live]</t>
  </si>
  <si>
    <t xml:space="preserve">≥ 0.90 floor?  [live]</t>
  </si>
  <si>
    <t xml:space="preserve">Premium-to-fund ratio at entry  [live]</t>
  </si>
  <si>
    <t xml:space="preserve">≤ 50% ceiling?  [live]</t>
  </si>
  <si>
    <t xml:space="preserve">Test C — secured income (Path 1) vs best unsecured drawdown, by age</t>
  </si>
  <si>
    <t xml:space="preserve">Path 1 income (€)</t>
  </si>
  <si>
    <t xml:space="preserve">Best unsecured (€)</t>
  </si>
  <si>
    <t xml:space="preserve">Pass? [live]</t>
  </si>
  <si>
    <t xml:space="preserve">Fair to the consumer on every gate; the capital gap is entirely writing-office side.</t>
  </si>
  <si>
    <t xml:space="preserve">Step 10 — Remediation frontier (live): min Day-1 own funds for coverage ≥ 100% at every timepoint</t>
  </si>
  <si>
    <t xml:space="preserve">Uplift re-grosses the premium; OF, SCR and PV(margins) are adjusted live for the uplift; the Day-1 injection runs off with the in-force book.</t>
  </si>
  <si>
    <t xml:space="preserve">Uplift u (input)</t>
  </si>
  <si>
    <t xml:space="preserve">(recommended = MWR / fairness floor − 1; negative when the floor binds below the current premium)</t>
  </si>
  <si>
    <t xml:space="preserve">OF_u net of RM = OF + u·(PREMACC+BELPREM) − RM  [live]</t>
  </si>
  <si>
    <t xml:space="preserve">EPIFP_u (disclosure only — not added to coverage)</t>
  </si>
  <si>
    <t xml:space="preserve">SCR_long_u  [live]</t>
  </si>
  <si>
    <t xml:space="preserve">SCR_lapse_u (down)  [live]</t>
  </si>
  <si>
    <t xml:space="preserve">SCR_exp_u  [live]</t>
  </si>
  <si>
    <t xml:space="preserve">SCR_agg_u  [live]</t>
  </si>
  <si>
    <t xml:space="preserve">in-force at t  [live]</t>
  </si>
  <si>
    <t xml:space="preserve">Day-1 needed at t = (SCR−OF−PVFM)/in-force  [live]</t>
  </si>
  <si>
    <t xml:space="preserve">Min Day-1 own funds per policy = MAX over t  [live]</t>
  </si>
  <si>
    <t xml:space="preserve">Binding timepoint  [live]</t>
  </si>
  <si>
    <t xml:space="preserve">Mechanics check — at a zero uplift the frontier must reproduce the as-priced requirement</t>
  </si>
  <si>
    <t xml:space="preserve">Verified at v9.1.0: row 14 reproduces row 22 at every timepoint, residual 0.00.</t>
  </si>
  <si>
    <t xml:space="preserve">Note: this route reduces the premium with the commission schedule unchanged, so the fund loses the full reduction.</t>
  </si>
  <si>
    <t xml:space="preserve">Reducing distribution cost instead gives a smaller capital penalty — see Commission_Models.</t>
  </si>
  <si>
    <t xml:space="preserve">Pure-capital (u=0) Day-1 incl. RM by t  [live]</t>
  </si>
  <si>
    <t xml:space="preserve">Pure-capital (as-priced) Day-1 incl. RM per policy  [live]</t>
  </si>
  <si>
    <t xml:space="preserve">Day-1 own funds EXCLUDING the risk margin, by t  [live — alternative presentation]</t>
  </si>
  <si>
    <t xml:space="preserve">As-priced Day-1 excluding risk margin (€/policy)  [live]</t>
  </si>
  <si>
    <t xml:space="preserve">Stated for comparison only; the published basis includes the risk margin (row 23).</t>
  </si>
  <si>
    <t xml:space="preserve">SCALE AT BOOK SIZE (Assumptions!B47 policies)</t>
  </si>
  <si>
    <t xml:space="preserve">Day-1 own funds required, as priced (€)</t>
  </si>
  <si>
    <t xml:space="preserve">Day-1 own funds required, maximum fair repricing (€)</t>
  </si>
  <si>
    <t xml:space="preserve">Annual premium income at outset (€)</t>
  </si>
  <si>
    <t xml:space="preserve">Lifetime provider margin per policy (€)</t>
  </si>
  <si>
    <t xml:space="preserve">Total lifetime provider margin (€)</t>
  </si>
  <si>
    <t xml:space="preserve">Capital committed per €1 of lifetime margin — read from Reconciliation!B49, which uses the exact requirement</t>
  </si>
  <si>
    <t xml:space="preserve">B31 and B32 above scale the SAMPLED requirement at B23 and B16. The exact requirement is at B41. B36 no longer computes the ratio here, to remove a second answer: it reads the single exact figure from Reconciliation!B49.</t>
  </si>
  <si>
    <t xml:space="preserve">NOTE — the requirement here is sampled at five timepoints</t>
  </si>
  <si>
    <t xml:space="preserve">The exact requirement is on Trajectory, computed at every year to age 120. At the central case the sampled grid gives 36,744 against an exact 36,780, understating by 35.</t>
  </si>
  <si>
    <t xml:space="preserve">The exact profile governs. Use Trajectory!B164 for the requirement and Trajectory!B165 for the binding duration.</t>
  </si>
  <si>
    <t xml:space="preserve">Exact requirement (€/policy)  [live]</t>
  </si>
  <si>
    <t xml:space="preserve">The sampled figure in B23 is retained for continuity. Every downstream calculation now reads the exact requirement on Trajectory, computed at annual resolution.</t>
  </si>
  <si>
    <t xml:space="preserve">Sampled, five timepoints (€)</t>
  </si>
  <si>
    <t xml:space="preserve">Exact, annual resolution (€)</t>
  </si>
  <si>
    <t xml:space="preserve">Understatement by sampling (€)</t>
  </si>
  <si>
    <t xml:space="preserve">Step 11 — Reconciliation (corrected live vs published paper v1.1.1)</t>
  </si>
  <si>
    <t xml:space="preserve">Every 'corrected' figure is a live workbook reference. 'Published' are the paper's own reported numbers (comparison constants). Residuals are live.</t>
  </si>
  <si>
    <t xml:space="preserve">Own Funds / coverage by timepoint</t>
  </si>
  <si>
    <t xml:space="preserve">OF corrected (€)  [live]</t>
  </si>
  <si>
    <t xml:space="preserve">OF published (€)  [paper]</t>
  </si>
  <si>
    <t xml:space="preserve">Correction (€)  [live = corrected − published]</t>
  </si>
  <si>
    <t xml:space="preserve">Coverage corrected  [live]</t>
  </si>
  <si>
    <t xml:space="preserve">Coverage published  [paper]</t>
  </si>
  <si>
    <t xml:space="preserve">Headline reconciliation</t>
  </si>
  <si>
    <t xml:space="preserve">Metric</t>
  </si>
  <si>
    <t xml:space="preserve">Corrected [live]</t>
  </si>
  <si>
    <t xml:space="preserve">Published [paper]</t>
  </si>
  <si>
    <t xml:space="preserve">Note</t>
  </si>
  <si>
    <t xml:space="preserve">PV maths always correct; €0.01</t>
  </si>
  <si>
    <t xml:space="preserve">unchanged by corrections</t>
  </si>
  <si>
    <t xml:space="preserve">Coverage at trigger (t=15)</t>
  </si>
  <si>
    <t xml:space="preserve">ANAV ÷→× correction</t>
  </si>
  <si>
    <t xml:space="preserve">Day-1 capital, recommended (€)</t>
  </si>
  <si>
    <t xml:space="preserve">the finding: ~1/11 of published</t>
  </si>
  <si>
    <t xml:space="preserve">Day-1 capital, pure (u=0) (€)</t>
  </si>
  <si>
    <t xml:space="preserve">set Frontier!B4=0 to reproduce live</t>
  </si>
  <si>
    <t xml:space="preserve">Findings behind the deviation: (1) ANAV roll-forward ÷→× [material]; (2) post-trigger BEL survival double-count; (3) BEL expense base €80→€82.</t>
  </si>
  <si>
    <t xml:space="preserve">No engine outputs anywhere in this workbook: every computation above is a live in-sheet formula traceable to the Assumptions, Mortality and Discount inputs.</t>
  </si>
  <si>
    <t xml:space="preserve">Risk-margin-inclusive position (the published basis)</t>
  </si>
  <si>
    <t xml:space="preserve">Risk margin (€)  [live]</t>
  </si>
  <si>
    <t xml:space="preserve">Own funds net of RM (€)  [live]</t>
  </si>
  <si>
    <t xml:space="preserve">SCR coverage incl. RM  [live]</t>
  </si>
  <si>
    <t xml:space="preserve">Day-1 own funds needed, as priced (€)  [live]</t>
  </si>
  <si>
    <t xml:space="preserve">As-priced Day-1 own funds incl. RM (€)  [live]</t>
  </si>
  <si>
    <t xml:space="preserve">Fair-repriced Day-1 own funds incl. RM (€)  [live]</t>
  </si>
  <si>
    <t xml:space="preserve">SAMPLED DECOMPOSITION — five timepoints, retained for continuity</t>
  </si>
  <si>
    <t xml:space="preserve">Decomposition of the requirement at the binding timepoint (€/policy)  [live]</t>
  </si>
  <si>
    <t xml:space="preserve">Solvency capital requirement</t>
  </si>
  <si>
    <t xml:space="preserve">Risk margin</t>
  </si>
  <si>
    <t xml:space="preserve">less own funds available</t>
  </si>
  <si>
    <t xml:space="preserve">Total</t>
  </si>
  <si>
    <t xml:space="preserve">Check against the frontier  [live]</t>
  </si>
  <si>
    <t xml:space="preserve">Superseded by the exact decomposition below, which locates the binding date from the annual profile rather than from a five-year sample.</t>
  </si>
  <si>
    <t xml:space="preserve">DECOMPOSITION AT THE EXACT BINDING DURATION</t>
  </si>
  <si>
    <t xml:space="preserve">Attained age  [live]</t>
  </si>
  <si>
    <t xml:space="preserve">In-force at that date  [live]</t>
  </si>
  <si>
    <t xml:space="preserve">Solvency capital requirement, per policy (€)  [live]</t>
  </si>
  <si>
    <t xml:space="preserve">Risk margin, per policy (€)  [live]</t>
  </si>
  <si>
    <t xml:space="preserve">Less own funds available, per policy (€)  [live]</t>
  </si>
  <si>
    <t xml:space="preserve">Total (€)  [live]</t>
  </si>
  <si>
    <t xml:space="preserve">Tie against the exact requirement  [live]</t>
  </si>
  <si>
    <t xml:space="preserve">Capital per €1 of lifetime margin  [live]</t>
  </si>
  <si>
    <t xml:space="preserve">DERIVED QUANTITIES QUOTED IN THE PAPER — made live so they can be traced</t>
  </si>
  <si>
    <t xml:space="preserve">Requirement excluding the risk margin (€)</t>
  </si>
  <si>
    <t xml:space="preserve">Own funds at the end of the run-off (€)</t>
  </si>
  <si>
    <t xml:space="preserve">Capital at a 1,000-policy book (€m)</t>
  </si>
  <si>
    <t xml:space="preserve">Premium income at a 1,000-policy book (€m)</t>
  </si>
  <si>
    <t xml:space="preserve">Absolute present value of commission (€)</t>
  </si>
  <si>
    <t xml:space="preserve">Commission cost per unit of premium (€)</t>
  </si>
  <si>
    <t xml:space="preserve">Lifetime margin per policy (€)</t>
  </si>
  <si>
    <t xml:space="preserve">Commission as a multiple of the lifetime margin</t>
  </si>
  <si>
    <t xml:space="preserve">Test C — ARF drawdown simulation (live). Path 1 (with product) vs best unsecured drawdown.</t>
  </si>
  <si>
    <t xml:space="preserve">Return = Assumptions!B35 (4.93%); imputed floor 4%/5%; CPI 2%. Fund recursions are live year-by-year.</t>
  </si>
  <si>
    <t xml:space="preserve">target 90</t>
  </si>
  <si>
    <t xml:space="preserve">target 95</t>
  </si>
  <si>
    <t xml:space="preserve">target 100</t>
  </si>
  <si>
    <t xml:space="preserve">Path 2b level draws D0 (closed-form):</t>
  </si>
  <si>
    <t xml:space="preserve">P1 fund</t>
  </si>
  <si>
    <t xml:space="preserve">P1 income</t>
  </si>
  <si>
    <t xml:space="preserve">P2a fund</t>
  </si>
  <si>
    <t xml:space="preserve">P2a income</t>
  </si>
  <si>
    <t xml:space="preserve">P2b90 fund</t>
  </si>
  <si>
    <t xml:space="preserve">P2b90 inc</t>
  </si>
  <si>
    <t xml:space="preserve">P2b95 fund</t>
  </si>
  <si>
    <t xml:space="preserve">P2b95 inc</t>
  </si>
  <si>
    <t xml:space="preserve">P2b100 fund</t>
  </si>
  <si>
    <t xml:space="preserve">P2b100 inc</t>
  </si>
  <si>
    <t xml:space="preserve">Best unsec</t>
  </si>
  <si>
    <t xml:space="preserve">Risk margin — annual SCR run-off:  RM(t) = CoC × Σ(s≥t) SCR(s)·DF(s) ÷ DF(t)   (all live)</t>
  </si>
  <si>
    <t xml:space="preserve">SCR projected annually to age 120 (engine MAX_AGE), consistent with the ILT17 Kannisto extension used throughout.  The mass-lapse gate in column H reads the deferral from Assumptions!B6; it carried a literal 15 before v13.2.0.</t>
  </si>
  <si>
    <t xml:space="preserve">SCR long — reinsured</t>
  </si>
  <si>
    <t xml:space="preserve">SCR agg — reinsured</t>
  </si>
  <si>
    <t xml:space="preserve">agg_ri × DF</t>
  </si>
  <si>
    <t xml:space="preserve">RM reinsured</t>
  </si>
  <si>
    <t xml:space="preserve">SCR long — floor</t>
  </si>
  <si>
    <t xml:space="preserve">SCR agg — floor</t>
  </si>
  <si>
    <t xml:space="preserve">agg_fl × DF</t>
  </si>
  <si>
    <t xml:space="preserve">RM floor</t>
  </si>
  <si>
    <t xml:space="preserve">COLUMN GUIDE — rows 4–59 are durations t = 0–55; each row values the run-off from t.</t>
  </si>
  <si>
    <t xml:space="preserve">duration t</t>
  </si>
  <si>
    <t xml:space="preserve">BEL(t), central</t>
  </si>
  <si>
    <t xml:space="preserve">BEL(t), Article 138 — prospectively renormalised × F(t)/Q(t)</t>
  </si>
  <si>
    <t xml:space="preserve">SCR longevity at t</t>
  </si>
  <si>
    <t xml:space="preserve">SCR lapse at t = max(up, down, mass); the mass term is gated to the deferral</t>
  </si>
  <si>
    <t xml:space="preserve">SCR expense at t</t>
  </si>
  <si>
    <t xml:space="preserve">aggregated SCR at t (standard-formula correlations)</t>
  </si>
  <si>
    <t xml:space="preserve">J × DF(t)</t>
  </si>
  <si>
    <t xml:space="preserve">risk margin at t: 6% × Σ(s ≥ t) K / DF(t)</t>
  </si>
  <si>
    <t xml:space="preserve">SCR longevity, reinsured route: counterparty-default charge on the ceded block from vesting</t>
  </si>
  <si>
    <t xml:space="preserve">aggregated SCR, reinsured route</t>
  </si>
  <si>
    <t xml:space="preserve">N × DF</t>
  </si>
  <si>
    <t xml:space="preserve">risk margin, reinsured route</t>
  </si>
  <si>
    <t xml:space="preserve">SCR longevity with the ceded block floored at the deferral end (uncedable-floor route)</t>
  </si>
  <si>
    <t xml:space="preserve">aggregated SCR, floor route</t>
  </si>
  <si>
    <t xml:space="preserve">R × DF</t>
  </si>
  <si>
    <t xml:space="preserve">risk margin, floor route</t>
  </si>
  <si>
    <t xml:space="preserve">Proofs — every identity and sensitivity verified live in this workbook</t>
  </si>
  <si>
    <t xml:space="preserve">Read the classification below before relying on any single check: not all of these carry equal weight.</t>
  </si>
  <si>
    <t xml:space="preserve">PROOF 1 — Reinstatement credit derived from its four primitives</t>
  </si>
  <si>
    <t xml:space="preserve">Engine mechanic: reinstated lives re-enter the paying cohort at original terms, so they are netted out of the gross lapse count.</t>
  </si>
  <si>
    <t xml:space="preserve">Policy year</t>
  </si>
  <si>
    <t xml:space="preserve">Window A lapses</t>
  </si>
  <si>
    <t xml:space="preserve">Window B lapses</t>
  </si>
  <si>
    <t xml:space="preserve">Reinstated A</t>
  </si>
  <si>
    <t xml:space="preserve">Reinstated B</t>
  </si>
  <si>
    <t xml:space="preserve">Total reinstated</t>
  </si>
  <si>
    <t xml:space="preserve">Net lapse (derived)</t>
  </si>
  <si>
    <t xml:space="preserve">Net lapse (Projection)</t>
  </si>
  <si>
    <t xml:space="preserve">Residual</t>
  </si>
  <si>
    <t xml:space="preserve">Max absolute residual (derived vs applied)</t>
  </si>
  <si>
    <t xml:space="preserve">Implied credit ratio (total reinstated ÷ gross), any year</t>
  </si>
  <si>
    <t xml:space="preserve">Reinstatement credit cell (Assumptions!B20), derived</t>
  </si>
  <si>
    <t xml:space="preserve">PROOF 2 — Premium equivalence identity</t>
  </si>
  <si>
    <t xml:space="preserve">P × (PV persisting + PV forfeited) × (1 − margin − commission)  =  PV(payout) + PV(expense)</t>
  </si>
  <si>
    <t xml:space="preserve">Left-hand side (€)</t>
  </si>
  <si>
    <t xml:space="preserve">Right-hand side (€)</t>
  </si>
  <si>
    <t xml:space="preserve">Residual (€)</t>
  </si>
  <si>
    <t xml:space="preserve">PROOF 3 — Own funds at issue reconcile to the pricing loadings</t>
  </si>
  <si>
    <t xml:space="preserve">OF(0) must equal the margin loading plus the surplus of commission loading collected over commission payable.</t>
  </si>
  <si>
    <t xml:space="preserve">PV funding base = P × (persisting + forfeited) (€)</t>
  </si>
  <si>
    <t xml:space="preserve">Margin loading = margin × funding base (€)</t>
  </si>
  <si>
    <t xml:space="preserve">Commission loading = comm factor × funding base (€)</t>
  </si>
  <si>
    <t xml:space="preserve">PV commission actually payable (heaped + trail) (€)</t>
  </si>
  <si>
    <t xml:space="preserve">OF(0) derived = margin + (loading − payable) (€)</t>
  </si>
  <si>
    <t xml:space="preserve">OF(0) from the balance sheet (€)</t>
  </si>
  <si>
    <t xml:space="preserve">PROOF 4 — Level commission factor is PV-equivalent to the heaped schedule</t>
  </si>
  <si>
    <t xml:space="preserve">PV at heaped 100% year 1 + 5% trail (€)</t>
  </si>
  <si>
    <t xml:space="preserve">PROOF 5 — Forfeiture-recycling commission convention (sensitivity)</t>
  </si>
  <si>
    <t xml:space="preserve">PV forfeiture credit, gross of commission (€)</t>
  </si>
  <si>
    <t xml:space="preserve">PV forfeiture credit, net of commission (€)</t>
  </si>
  <si>
    <t xml:space="preserve">Effect on own funds at issue if taken net (€)</t>
  </si>
  <si>
    <t xml:space="preserve">PV of forfeiture credit remaining at vesting (€)  [live]</t>
  </si>
  <si>
    <t xml:space="preserve">PROOF 6 — In-force reconciles two independently constructed decrement recursions</t>
  </si>
  <si>
    <t xml:space="preserve">The in-force column applies mortality and lapse jointly; the mortality-only column applies mortality alone.</t>
  </si>
  <si>
    <t xml:space="preserve">In-force must equal mortality-only survival × cumulative lapse survival. Separate cells, separate recursions.</t>
  </si>
  <si>
    <t xml:space="preserve">Note: a reserve restated within a single construction is an algebraic identity and proves nothing;</t>
  </si>
  <si>
    <t xml:space="preserve">the evidential weight for the model sits on Proofs 2, 3 and 7. This is a construction cross-check.</t>
  </si>
  <si>
    <t xml:space="preserve">Max absolute residual, ages 65–120</t>
  </si>
  <si>
    <t xml:space="preserve">PROOF 7 — Asset roll-forward accumulates (does not discount)</t>
  </si>
  <si>
    <t xml:space="preserve">Test amount: €100 of net premium received at inception (input)</t>
  </si>
  <si>
    <t xml:space="preserve">Same €100 under an inverted (discounting) roll-forward (€)</t>
  </si>
  <si>
    <t xml:space="preserve">Accumulated fund at vesting, located from the deferral (€)  [live]</t>
  </si>
  <si>
    <t xml:space="preserve">Fund at the fixed t=15 timepoint, for reference only — correct at a 15-year deferral</t>
  </si>
  <si>
    <t xml:space="preserve">Net cash received to vesting, undiscounted (€)  [live, deferral-relative]</t>
  </si>
  <si>
    <t xml:space="preserve">Proofs 7b and 11 now locate vesting from the deferral rather than reading a fixed timepoint, so both hold at any entry age. Verified at entry 65 and entry 70.</t>
  </si>
  <si>
    <t xml:space="preserve">PROOF 8 — Value truncated at the age-120 horizon</t>
  </si>
  <si>
    <t xml:space="preserve">In-force at age 120 (fraction of original cohort)</t>
  </si>
  <si>
    <t xml:space="preserve">PV at issue of the age-120 payment (€)</t>
  </si>
  <si>
    <t xml:space="preserve">Survivors beyond 120 (in-force × survival through 120)</t>
  </si>
  <si>
    <t xml:space="preserve">PROOF 9 — Mortality table monotonicity across the full age range</t>
  </si>
  <si>
    <t xml:space="preserve">Ages tested (65–120)</t>
  </si>
  <si>
    <t xml:space="preserve">Non-monotone ages detected</t>
  </si>
  <si>
    <t xml:space="preserve">First such age</t>
  </si>
  <si>
    <t xml:space="preserve">Second such age</t>
  </si>
  <si>
    <t xml:space="preserve">Present value of all payments from age 106 onward, at vesting (€)</t>
  </si>
  <si>
    <t xml:space="preserve">PROOF 10 — Splice sensitivity is endogenous</t>
  </si>
  <si>
    <t xml:space="preserve">Equivalence premium (live) — re-solves if the mortality basis changes</t>
  </si>
  <si>
    <t xml:space="preserve">Splice switch (0 = published basis)</t>
  </si>
  <si>
    <t xml:space="preserve">Setting the switch to 1 re-derives the premium, fund, reserve, SCR and risk margin together;</t>
  </si>
  <si>
    <t xml:space="preserve">a calculation holding the premium fixed understates the sensitivity.</t>
  </si>
  <si>
    <t xml:space="preserve">Cum. lapse survival</t>
  </si>
  <si>
    <t xml:space="preserve">Mort-only × lapse</t>
  </si>
  <si>
    <t xml:space="preserve">In-force (Projection)</t>
  </si>
  <si>
    <t xml:space="preserve">PROOF 11 — Payout escalation runs from inception, not from vesting</t>
  </si>
  <si>
    <t xml:space="preserve">The annual payout actually used at vesting is extracted from the live projection and compared with both conventions.</t>
  </si>
  <si>
    <t xml:space="preserve">Payout in the projection at the vesting age, located from the deferral (€)  [live]</t>
  </si>
  <si>
    <t xml:space="preserve">Escalated from inception: payout × (1+CPI)^15 (€)</t>
  </si>
  <si>
    <t xml:space="preserve">Alternative — escalated only from vesting (€)</t>
  </si>
  <si>
    <t xml:space="preserve">Residual vs from-inception (€)</t>
  </si>
  <si>
    <t xml:space="preserve">Proof 11 now locates the vesting row from the deferral, so it holds at any entry age.</t>
  </si>
  <si>
    <t xml:space="preserve">PROOF 12 — One expense basis drives pricing, assets and liabilities</t>
  </si>
  <si>
    <t xml:space="preserve">First-year expense extracted from the live pricing column (€)</t>
  </si>
  <si>
    <t xml:space="preserve">Expected = base × (1 + expense inflation) (€)</t>
  </si>
  <si>
    <t xml:space="preserve">PROOF 13 — Reinsurance conclusion derives from the workbook, not an external calculation</t>
  </si>
  <si>
    <t xml:space="preserve">Reinsured requirement at the assumed swap cost (€/policy)</t>
  </si>
  <si>
    <t xml:space="preserve">Unreinsured requirement (€/policy)</t>
  </si>
  <si>
    <t xml:space="preserve">Uncedable deferral-longevity floor (€/policy)</t>
  </si>
  <si>
    <t xml:space="preserve">CLASSIFICATION OF THE CHECKS ABOVE</t>
  </si>
  <si>
    <t xml:space="preserve">Stated plainly so that no check is read as stronger evidence than it is.</t>
  </si>
  <si>
    <t xml:space="preserve">Check</t>
  </si>
  <si>
    <t xml:space="preserve">What it can and cannot detect</t>
  </si>
  <si>
    <t xml:space="preserve">Proof 3 — own funds vs pricing loadings</t>
  </si>
  <si>
    <t xml:space="preserve">Substantive</t>
  </si>
  <si>
    <t xml:space="preserve">Holds only if commission is treated consistently on both the asset and liability side. This check would have failed before the commission correction, and did.</t>
  </si>
  <si>
    <t xml:space="preserve">Proof 7 — roll-forward direction</t>
  </si>
  <si>
    <t xml:space="preserve">Detects an inverted accumulation factor. Fails outright if premiums are discounted instead of accumulated.</t>
  </si>
  <si>
    <t xml:space="preserve">Proof 7b — fund vs net cash received</t>
  </si>
  <si>
    <t xml:space="preserve">A cash invariant: the fund cannot hold less than was paid in with no benefits yet paid. Independent of any valuation convention.</t>
  </si>
  <si>
    <t xml:space="preserve">Proof 9 — mortality monotonicity</t>
  </si>
  <si>
    <t xml:space="preserve">Data-quality test on the mortality basis. Detected the 104–105 splice anomaly.</t>
  </si>
  <si>
    <t xml:space="preserve">Proof 11 — payout escalation basis</t>
  </si>
  <si>
    <t xml:space="preserve">Extracts the escalation actually applied and distinguishes from-inception from from-vesting.</t>
  </si>
  <si>
    <t xml:space="preserve">Proof 12 — single expense basis</t>
  </si>
  <si>
    <t xml:space="preserve">Extracts the expense actually applied; would detect a divergent base between modules.</t>
  </si>
  <si>
    <t xml:space="preserve">Proof 1 — reinstatement credit</t>
  </si>
  <si>
    <t xml:space="preserve">Derivation</t>
  </si>
  <si>
    <t xml:space="preserve">Rebuilds the 30% from its four primitives and confirms the applied rate. Not an identity: the primitives are inputs.</t>
  </si>
  <si>
    <t xml:space="preserve">Proof 2 — premium equivalence</t>
  </si>
  <si>
    <t xml:space="preserve">Identity</t>
  </si>
  <si>
    <t xml:space="preserve">Zero by construction once the premium is solved. Confirms the solve is implemented without error; proves nothing about the basis.</t>
  </si>
  <si>
    <t xml:space="preserve">Proof 6 — decrement recursions</t>
  </si>
  <si>
    <t xml:space="preserve">A factorisation identity, so exactly zero. Value is limited to detecting row misalignment between the two columns.</t>
  </si>
  <si>
    <t xml:space="preserve">Proofs 4, 5, 8, 10, 13</t>
  </si>
  <si>
    <t xml:space="preserve">Sensitivity</t>
  </si>
  <si>
    <t xml:space="preserve">Quantify the effect of a convention or assumption. They measure; they do not verify.</t>
  </si>
  <si>
    <t xml:space="preserve">Proof 14 — life-expectancy anchor</t>
  </si>
  <si>
    <t xml:space="preserve">Substantive. Detects an inverted roll-forward. Now deferral-relative: it reads the fund at the derived vesting duration, not at a fixed timepoint.</t>
  </si>
  <si>
    <t xml:space="preserve">Proof 15 — commission timing consistency</t>
  </si>
  <si>
    <t xml:space="preserve">Detects a mismatch between the commission schedule on the asset side and on the liability side. It failed before v6.0.0. The criterion is the absence of a year-one discontinuity, not the direction of travel.</t>
  </si>
  <si>
    <t xml:space="preserve">Note: PROOF 14 follows below, out of numerical order; PROOF 15 is at row 211.</t>
  </si>
  <si>
    <t xml:space="preserve">PROOF 14 — Mortality table reproduces the documented cohort life expectancy</t>
  </si>
  <si>
    <t xml:space="preserve">Substantive external check. The M4 bundle documents cohort life expectancy at entry; the workbook table must reproduce it.</t>
  </si>
  <si>
    <t xml:space="preserve">Curtate life expectancy with the half-year adjustment: LE = Σ survival × (1 − q/2), on the engine's convention.</t>
  </si>
  <si>
    <t xml:space="preserve">Survival to age</t>
  </si>
  <si>
    <t xml:space="preserve">1 − q/2</t>
  </si>
  <si>
    <t xml:space="preserve">Term</t>
  </si>
  <si>
    <t xml:space="preserve">Cohort life expectancy at the entry age, from the live table  [live]</t>
  </si>
  <si>
    <t xml:space="preserve">Documented value for this entry age, where the bundle publishes one  [live]</t>
  </si>
  <si>
    <t xml:space="preserve">Difference (years)  [live]</t>
  </si>
  <si>
    <t xml:space="preserve">SAI annuitant median at 65 (reference)</t>
  </si>
  <si>
    <t xml:space="preserve">Longevity load over the SAI median (years)  [live]</t>
  </si>
  <si>
    <t xml:space="preserve">Documented load</t>
  </si>
  <si>
    <t xml:space="preserve">This validates the whole curve including the Kannisto tail, since life expectancy integrates every age.</t>
  </si>
  <si>
    <t xml:space="preserve">The bundle documents cohort life expectancy at entry ages 60, 65, 70, 75, 80 and 85. Where the entry age is one of those, the check is live against it; otherwise it reports as not applicable.</t>
  </si>
  <si>
    <t xml:space="preserve">The selection haircut also anchors this check. Moving it away from 0.90 changes the table and the check will fail, correctly, because the documented value is specific to that haircut.</t>
  </si>
  <si>
    <t xml:space="preserve">PROOF 15 — Commission timing consistency.  Both the asset roll-forward and the best-estimate liability must apply the same commission schedule. A mismatch shows up as a jump in own funds in year one only, of the order of the heaped commission.</t>
  </si>
  <si>
    <t xml:space="preserve">Own funds at year 0 (€)  [live]</t>
  </si>
  <si>
    <t xml:space="preserve">Own funds at year 1 (€)  [live]</t>
  </si>
  <si>
    <t xml:space="preserve">Change over year 1 (€)  [live]</t>
  </si>
  <si>
    <t xml:space="preserve">Change over year 2, for comparison (€)  [live]</t>
  </si>
  <si>
    <t xml:space="preserve">Year-one heaped commission (€)  [live]</t>
  </si>
  <si>
    <t xml:space="preserve">Year-one change as a multiple of the year-two change  [live]</t>
  </si>
  <si>
    <t xml:space="preserve">Post-vesting longevity swap — effect on the Day-1 capital requirement (all live)</t>
  </si>
  <si>
    <t xml:space="preserve">Structure: post-vesting longevity ceded at vesting; premium paid then; longevity SCR replaced by a counterparty-default charge.</t>
  </si>
  <si>
    <t xml:space="preserve">Deferral-period longevity cannot be ceded by a post-vesting swap and is retained throughout.</t>
  </si>
  <si>
    <t xml:space="preserve">Ceded reserves = best estimate at vesting (€)</t>
  </si>
  <si>
    <t xml:space="preserve">Swap premium at vesting = cost% × ceded (€)</t>
  </si>
  <si>
    <t xml:space="preserve">A. With the swap (cost and default charge as assumed)</t>
  </si>
  <si>
    <t xml:space="preserve">Own funds after swap premium (€)  [live]</t>
  </si>
  <si>
    <t xml:space="preserve">SCR aggregate, reinsured (€)  [live]</t>
  </si>
  <si>
    <t xml:space="preserve">Risk margin, reinsured (€)  [live]</t>
  </si>
  <si>
    <t xml:space="preserve">Reinsured Day-1 requirement (€/policy)</t>
  </si>
  <si>
    <t xml:space="preserve">Unreinsured requirement, for comparison (€/policy)</t>
  </si>
  <si>
    <t xml:space="preserve">Change from reinsuring (€/policy)</t>
  </si>
  <si>
    <t xml:space="preserve">B. Theoretical floor — post-vesting longevity removed at zero cost</t>
  </si>
  <si>
    <t xml:space="preserve">Own funds, no swap premium (€)  [live]</t>
  </si>
  <si>
    <t xml:space="preserve">SCR aggregate, longevity-free post-vesting (€)  [live]</t>
  </si>
  <si>
    <t xml:space="preserve">Risk margin on that basis (€)  [live]</t>
  </si>
  <si>
    <t xml:space="preserve">Floor: deferral-longevity capital that cannot be ceded (€/policy)</t>
  </si>
  <si>
    <t xml:space="preserve">C. Sensitivity to the swap cost</t>
  </si>
  <si>
    <t xml:space="preserve">Swap premium (€)</t>
  </si>
  <si>
    <t xml:space="preserve">Change vs unreinsured (€)</t>
  </si>
  <si>
    <t xml:space="preserve">Swap cost 8% of ceded reserves</t>
  </si>
  <si>
    <t xml:space="preserve">Swap cost 10% of ceded reserves</t>
  </si>
  <si>
    <t xml:space="preserve">Swap cost 12% of ceded reserves</t>
  </si>
  <si>
    <t xml:space="preserve">Conclusion (live)</t>
  </si>
  <si>
    <t xml:space="preserve">Range of the increase in requirement across the tested costs (€/policy)</t>
  </si>
  <si>
    <t xml:space="preserve">Premium–capital frontier across the full uplift range (all live)</t>
  </si>
  <si>
    <t xml:space="preserve">Evidences the central finding: the requirement reaches zero only at an uplift that breaches the money's-worth floor.</t>
  </si>
  <si>
    <t xml:space="preserve">Uplift u</t>
  </si>
  <si>
    <t xml:space="preserve">MWR at u</t>
  </si>
  <si>
    <t xml:space="preserve">Premium at u</t>
  </si>
  <si>
    <t xml:space="preserve">Day-1 t=0</t>
  </si>
  <si>
    <t xml:space="preserve">Day-1 t=5</t>
  </si>
  <si>
    <t xml:space="preserve">Day-1 t=10</t>
  </si>
  <si>
    <t xml:space="preserve">Day-1 t=15</t>
  </si>
  <si>
    <t xml:space="preserve">Day-1 t=20</t>
  </si>
  <si>
    <t xml:space="preserve">flag</t>
  </si>
  <si>
    <t xml:space="preserve">flag: the uplift if the requirement has reached zero at this row, otherwise the sentinel 9</t>
  </si>
  <si>
    <t xml:space="preserve">OF_u t=0</t>
  </si>
  <si>
    <t xml:space="preserve">OF_u t=5</t>
  </si>
  <si>
    <t xml:space="preserve">OF_u t=10</t>
  </si>
  <si>
    <t xml:space="preserve">OF_u t=15</t>
  </si>
  <si>
    <t xml:space="preserve">OF_u t=20</t>
  </si>
  <si>
    <t xml:space="preserve">SCRlong_u t=0</t>
  </si>
  <si>
    <t xml:space="preserve">SCRlong_u t=5</t>
  </si>
  <si>
    <t xml:space="preserve">SCRlong_u t=10</t>
  </si>
  <si>
    <t xml:space="preserve">SCRlong_u t=15</t>
  </si>
  <si>
    <t xml:space="preserve">SCRlong_u t=20</t>
  </si>
  <si>
    <t xml:space="preserve">SCRlapse_u t=0</t>
  </si>
  <si>
    <t xml:space="preserve">SCRlapse_u t=5</t>
  </si>
  <si>
    <t xml:space="preserve">SCRlapse_u t=10</t>
  </si>
  <si>
    <t xml:space="preserve">SCRlapse_u t=15</t>
  </si>
  <si>
    <t xml:space="preserve">SCRlapse_u t=20</t>
  </si>
  <si>
    <t xml:space="preserve">agg_u t=0</t>
  </si>
  <si>
    <t xml:space="preserve">agg_u t=5</t>
  </si>
  <si>
    <t xml:space="preserve">agg_u t=10</t>
  </si>
  <si>
    <t xml:space="preserve">agg_u t=15</t>
  </si>
  <si>
    <t xml:space="preserve">agg_u t=20</t>
  </si>
  <si>
    <t xml:space="preserve">THE CENTRAL FINDING — derived live</t>
  </si>
  <si>
    <t xml:space="preserve">Maximum uplift consistent with the fairness floor (MWR ≥ 0.90)</t>
  </si>
  <si>
    <t xml:space="preserve">Requirement at that maximum fair uplift (€/policy)</t>
  </si>
  <si>
    <t xml:space="preserve">Smallest tested uplift at which the requirement reaches zero</t>
  </si>
  <si>
    <t xml:space="preserve">Reached within the tested range (to 40%)?</t>
  </si>
  <si>
    <t xml:space="preserve">MWR at the self-funding uplift (if reached)</t>
  </si>
  <si>
    <t xml:space="preserve">The requirement decreases monotonically in the uplift. The fairness floor binds long before it reaches zero.</t>
  </si>
  <si>
    <t xml:space="preserve">CONTENTS. Frontier curve across the uplift range: rows 3 to 21. Central finding: 23 to 31. Uplift at which the fairness floor binds, by two routes: 41 to 47. Tie, the curve at a zero uplift against the as-priced requirement: 49 to 54. Tie, monotonicity of the requirement in the uplift: 56 to 58.</t>
  </si>
  <si>
    <t xml:space="preserve">UPLIFT AT WHICH THE FAIRNESS FLOOR BINDS — TWO INDEPENDENT ROUTES</t>
  </si>
  <si>
    <t xml:space="preserve">Relocated at v12.2.0 from H4:I4, where it had been written over the curve and had made B26 report zero.</t>
  </si>
  <si>
    <t xml:space="preserve">Route 1 — from the maximum fair premium  [live]</t>
  </si>
  <si>
    <t xml:space="preserve">Route 2 — from the money's-worth ratio and the floor  [live]</t>
  </si>
  <si>
    <t xml:space="preserve">Difference — must be zero  [live]</t>
  </si>
  <si>
    <t xml:space="preserve">Negative means the floor already binds below the current premium, so no uplift is available.</t>
  </si>
  <si>
    <t xml:space="preserve">TIE — the curve at a zero uplift must reproduce the as-priced requirement</t>
  </si>
  <si>
    <t xml:space="preserve">Requirement at u = 0, from this curve  [live]</t>
  </si>
  <si>
    <t xml:space="preserve">As-priced Day-1 requirement, five-timepoint basis  [live]</t>
  </si>
  <si>
    <t xml:space="preserve">This tie fails if anything is written over the u = 0 row of the curve, which is what happened before v12.2.0.</t>
  </si>
  <si>
    <t xml:space="preserve">TIE — the requirement must be non-increasing in the uplift  [live]</t>
  </si>
  <si>
    <t xml:space="preserve">Largest increase between consecutive rows (zero or negative if monotone)  [live]</t>
  </si>
  <si>
    <t xml:space="preserve">INDEX — reported figures and block map</t>
  </si>
  <si>
    <t xml:space="preserve">GENERATED by build_index.py from workbook v13.5.3 and paper v2.1.0 on 2026-07-28. Do not edit by hand: regenerate. Values below are live formulas. The paper column is derived static text and must be regenerated after any paper edit.</t>
  </si>
  <si>
    <t xml:space="preserve">METHOD for the paper column: each value is searched for in the paper at the precisions the paper uses, and the nearest preceding section heading is recorded. Small integers and zero-valued tie residuals cannot be located this way and are marked as such rather than left blank.</t>
  </si>
  <si>
    <t xml:space="preserve">A figure marked "searched; not present in the paper" is either genuinely unquoted or a figure the paper has yet to be updated to carry. Both are worth knowing.</t>
  </si>
  <si>
    <t xml:space="preserve">PART 1 — REPORTED FIGURES</t>
  </si>
  <si>
    <t xml:space="preserve">defined name</t>
  </si>
  <si>
    <t xml:space="preserve">cell</t>
  </si>
  <si>
    <t xml:space="preserve">label on the sheet</t>
  </si>
  <si>
    <t xml:space="preserve">units and basis</t>
  </si>
  <si>
    <t xml:space="preserve">value  [live]</t>
  </si>
  <si>
    <t xml:space="preserve">paper sections quoting it  [derived]</t>
  </si>
  <si>
    <t xml:space="preserve">method</t>
  </si>
  <si>
    <t xml:space="preserve">fig_bind_duration</t>
  </si>
  <si>
    <t xml:space="preserve">Trajectory!B165</t>
  </si>
  <si>
    <t xml:space="preserve">NOT STATED IN THE LABEL</t>
  </si>
  <si>
    <t xml:space="preserve">small integer — not mechanically locatable in prose</t>
  </si>
  <si>
    <t xml:space="preserve">fig_bind_monthly</t>
  </si>
  <si>
    <t xml:space="preserve">Capital_M!B126</t>
  </si>
  <si>
    <t xml:space="preserve">fig_capital_cost_chosen</t>
  </si>
  <si>
    <t xml:space="preserve">Commission_Models!B284</t>
  </si>
  <si>
    <t xml:space="preserve">€/policy</t>
  </si>
  <si>
    <t xml:space="preserve">searched; not present in the paper</t>
  </si>
  <si>
    <t xml:space="preserve">fig_capital_cost_exact_scr</t>
  </si>
  <si>
    <t xml:space="preserve">Commission_Models!B542</t>
  </si>
  <si>
    <t xml:space="preserve">fig_capital_per_margin_2pc</t>
  </si>
  <si>
    <t xml:space="preserve">Sensitivities!G91</t>
  </si>
  <si>
    <t xml:space="preserve">0.02</t>
  </si>
  <si>
    <t xml:space="preserve">fig_cell_req</t>
  </si>
  <si>
    <t xml:space="preserve">Capital_Cell!B77</t>
  </si>
  <si>
    <t xml:space="preserve">€/policy per €1,000 monthly at vesting</t>
  </si>
  <si>
    <t xml:space="preserve">11.1 Limitations</t>
  </si>
  <si>
    <t xml:space="preserve">derived</t>
  </si>
  <si>
    <t xml:space="preserve">fig_cohort_le</t>
  </si>
  <si>
    <t xml:space="preserve">Cohort_Survival!G71</t>
  </si>
  <si>
    <t xml:space="preserve">3.2 Mortality</t>
  </si>
  <si>
    <t xml:space="preserve">fig_commission_pv</t>
  </si>
  <si>
    <t xml:space="preserve">Reconciliation!B56</t>
  </si>
  <si>
    <t xml:space="preserve">€</t>
  </si>
  <si>
    <t xml:space="preserve">3.5 Commission and its treatment</t>
  </si>
  <si>
    <t xml:space="preserve">Frontier!B23</t>
  </si>
  <si>
    <t xml:space="preserve">6.6.6 Where the constraint binds; About this edition</t>
  </si>
  <si>
    <t xml:space="preserve">fig_day1_exact</t>
  </si>
  <si>
    <t xml:space="preserve">Trajectory!B164</t>
  </si>
  <si>
    <t xml:space="preserve">11.1 Limitations; 6.6.6 Where the constraint binds; 6.6.7 Reinsurance; 7.6 Distribution cost, and a structure sized to the product; 7.7 The fairness verdict; 9.2 For a writing office; About this edition; Abstract; Executive summary; §12. Conclusion; §8. Findings</t>
  </si>
  <si>
    <t xml:space="preserve">fig_day1_monthly</t>
  </si>
  <si>
    <t xml:space="preserve">Capital_M!B125</t>
  </si>
  <si>
    <t xml:space="preserve">11.2 Next steps</t>
  </si>
  <si>
    <t xml:space="preserve">fig_deferral</t>
  </si>
  <si>
    <t xml:space="preserve">Assumptions!B6</t>
  </si>
  <si>
    <t xml:space="preserve">fig_maxfair_premium</t>
  </si>
  <si>
    <t xml:space="preserve">Commission_Models!B172</t>
  </si>
  <si>
    <t xml:space="preserve">7.5 The maximum fair premium is a fixed quantity; Abstract; §12. Conclusion</t>
  </si>
  <si>
    <t xml:space="preserve">fig_mwr</t>
  </si>
  <si>
    <t xml:space="preserve">Fairness!B3</t>
  </si>
  <si>
    <t xml:space="preserve">7.1 The gates; 7.4 The money's-worth ratio, and why it binds; 7.6 Distribution cost, and a structure sized to the product; §8. Findings</t>
  </si>
  <si>
    <t xml:space="preserve">fig_of_runoff</t>
  </si>
  <si>
    <t xml:space="preserve">Reconciliation!B53</t>
  </si>
  <si>
    <t xml:space="preserve">6.6.2 The trajectory</t>
  </si>
  <si>
    <t xml:space="preserve">fig_of_t0</t>
  </si>
  <si>
    <t xml:space="preserve">OwnFunds_SCR!B7</t>
  </si>
  <si>
    <t xml:space="preserve">3.5 Commission and its treatment; 6.2 Best-estimate liability; 6.6.2 The trajectory; 6.6.3 The pool balances; 6.6.6 Where the constraint binds; 7.6 Distribution cost, and a structure sized to the product; 9.2 For a writing office; Abstract; Executive summary; §12. Conclusion; §8. Findings</t>
  </si>
  <si>
    <t xml:space="preserve">fig_of_t15</t>
  </si>
  <si>
    <t xml:space="preserve">OwnFunds_SCR!E7</t>
  </si>
  <si>
    <t xml:space="preserve">6.6.2 The trajectory; 6.6.7 Reinsurance</t>
  </si>
  <si>
    <t xml:space="preserve">fig_panel_inadequate</t>
  </si>
  <si>
    <t xml:space="preserve">Panel_Reserving!B115</t>
  </si>
  <si>
    <t xml:space="preserve">fig_panel_mean</t>
  </si>
  <si>
    <t xml:space="preserve">Capital_Panel!B1738</t>
  </si>
  <si>
    <t xml:space="preserve">fig_panel_req_central</t>
  </si>
  <si>
    <t xml:space="preserve">Capital_Panel!B1739</t>
  </si>
  <si>
    <t xml:space="preserve">fig_panel_req_max</t>
  </si>
  <si>
    <t xml:space="preserve">Capital_Panel!B1735</t>
  </si>
  <si>
    <t xml:space="preserve">11.1 Limitations; §12. Conclusion</t>
  </si>
  <si>
    <t xml:space="preserve">fig_panel_req_min</t>
  </si>
  <si>
    <t xml:space="preserve">Capital_Panel!B1736</t>
  </si>
  <si>
    <t xml:space="preserve">Projection!F19</t>
  </si>
  <si>
    <t xml:space="preserve">3.6 Lapse</t>
  </si>
  <si>
    <t xml:space="preserve">fig_prem_fund</t>
  </si>
  <si>
    <t xml:space="preserve">Fairness!B4</t>
  </si>
  <si>
    <t xml:space="preserve">7.1 The gates; 7.2 Premium as a share of fund; 9.1 For the Irish retirement-income market</t>
  </si>
  <si>
    <t xml:space="preserve">Pricing!B14</t>
  </si>
  <si>
    <t xml:space="preserve">3.1 The equivalence identity; 7.2 Premium as a share of fund; 7.4 The money's-worth ratio, and why it binds; 7.5 The maximum fair premium is a fixed quantity; 7.6 Distribution cost, and a structure sized to the product; Abstract; Executive summary; §12. Conclusion</t>
  </si>
  <si>
    <t xml:space="preserve">Pricing_M!B13</t>
  </si>
  <si>
    <t xml:space="preserve">€ per month</t>
  </si>
  <si>
    <t xml:space="preserve">2.1 Statement in plain language; 3.1 The equivalence identity; Executive summary</t>
  </si>
  <si>
    <t xml:space="preserve">Adequacy!B179</t>
  </si>
  <si>
    <t xml:space="preserve">6.3 Article 138 longevity stress against a stochastic benchmark; 9.4 For the regulator and for policy; Abstract; Executive summary; §12. Conclusion; §8. Findings</t>
  </si>
  <si>
    <t xml:space="preserve">fig_req_excl_rm</t>
  </si>
  <si>
    <t xml:space="preserve">Reconciliation!B52</t>
  </si>
  <si>
    <t xml:space="preserve">6.6.6 Where the constraint binds</t>
  </si>
  <si>
    <t xml:space="preserve">fig_rm_t0</t>
  </si>
  <si>
    <t xml:space="preserve">OwnFunds_SCR!B30</t>
  </si>
  <si>
    <t xml:space="preserve">6.6.4 The risk margin</t>
  </si>
  <si>
    <t xml:space="preserve">fig_scale_capital</t>
  </si>
  <si>
    <t xml:space="preserve">Reconciliation!B54</t>
  </si>
  <si>
    <t xml:space="preserve">€m</t>
  </si>
  <si>
    <t xml:space="preserve">6.6.6 Where the constraint binds; Executive summary; §8. Findings</t>
  </si>
  <si>
    <t xml:space="preserve">fig_scr_t10</t>
  </si>
  <si>
    <t xml:space="preserve">OwnFunds_SCR!D23</t>
  </si>
  <si>
    <t xml:space="preserve">6.5 Sub-modules and their treatment</t>
  </si>
  <si>
    <t xml:space="preserve">Mutualisation!B41</t>
  </si>
  <si>
    <t xml:space="preserve">2.2 The organising idea; 7.4 The money's-worth ratio, and why it binds; Abstract; Executive summary; §12. Conclusion; §8. Findings</t>
  </si>
  <si>
    <t xml:space="preserve">PART 2 — TIES. Internal checks, not reported figures; no paper column applies.</t>
  </si>
  <si>
    <t xml:space="preserve">what it tests</t>
  </si>
  <si>
    <t xml:space="preserve">Surface_Engine!B304</t>
  </si>
  <si>
    <t xml:space="preserve">tie_annual_control</t>
  </si>
  <si>
    <t xml:space="preserve">Commission_Models!B388</t>
  </si>
  <si>
    <t xml:space="preserve">tie_cell_vs_annual</t>
  </si>
  <si>
    <t xml:space="preserve">Capital_Cell!B85</t>
  </si>
  <si>
    <t xml:space="preserve">CMI_Projection!B153</t>
  </si>
  <si>
    <t xml:space="preserve">tie_derivation</t>
  </si>
  <si>
    <t xml:space="preserve">Assumptions!B64</t>
  </si>
  <si>
    <t xml:space="preserve">tie_frontier_monotone</t>
  </si>
  <si>
    <t xml:space="preserve">Frontier_Curve!B57</t>
  </si>
  <si>
    <t xml:space="preserve">tie_frontier_routes</t>
  </si>
  <si>
    <t xml:space="preserve">Frontier_Curve!B45</t>
  </si>
  <si>
    <t xml:space="preserve">tie_frontier_u0</t>
  </si>
  <si>
    <t xml:space="preserve">Frontier_Curve!B52</t>
  </si>
  <si>
    <t xml:space="preserve">tie_le_anchors</t>
  </si>
  <si>
    <t xml:space="preserve">Cohort_Survival!B78</t>
  </si>
  <si>
    <t xml:space="preserve">tie_margin_control</t>
  </si>
  <si>
    <t xml:space="preserve">Sensitivities!B185</t>
  </si>
  <si>
    <t xml:space="preserve">tie_margin_ownfunds</t>
  </si>
  <si>
    <t xml:space="preserve">Sensitivities!B189</t>
  </si>
  <si>
    <t xml:space="preserve">Validation_M!B9</t>
  </si>
  <si>
    <t xml:space="preserve">tie_panel_cell</t>
  </si>
  <si>
    <t xml:space="preserve">Capital_Panel!B1745</t>
  </si>
  <si>
    <t xml:space="preserve">tie_panel_central</t>
  </si>
  <si>
    <t xml:space="preserve">Panel_Reserving!B130</t>
  </si>
  <si>
    <t xml:space="preserve">Mortality!B64</t>
  </si>
  <si>
    <t xml:space="preserve">tie_scr_construction</t>
  </si>
  <si>
    <t xml:space="preserve">Commission_Models!B533</t>
  </si>
  <si>
    <t xml:space="preserve">PART 3 — BLOCK MAP. Headings and notes detected in column A of every sheet.</t>
  </si>
  <si>
    <t xml:space="preserve">row</t>
  </si>
  <si>
    <t xml:space="preserve">heading</t>
  </si>
  <si>
    <t xml:space="preserve">TITLE: Version control — MWP-2026-04 Audit Workbook</t>
  </si>
  <si>
    <t xml:space="preserve">TITLE: MWP-2026-04 Audit Workbook — v3.0 (26 July 2026). See Version sheet for the change history.</t>
  </si>
  <si>
    <t xml:space="preserve">Layout_Registry</t>
  </si>
  <si>
    <t xml:space="preserve">TITLE: Layout registry — occupied row ranges by sheet</t>
  </si>
  <si>
    <t xml:space="preserve">TITLE: Base assumptions</t>
  </si>
  <si>
    <t xml:space="preserve">TITLE: ILT17 — primary source. CSO Irish Life Tables No. 17, 2015–2017</t>
  </si>
  <si>
    <t xml:space="preserve">TITLE: M4 mortality matrix — sourced input</t>
  </si>
  <si>
    <t xml:space="preserve">TITLE: CMI_2022-style projection — rebuilt from documented parameters and published model structure</t>
  </si>
  <si>
    <t xml:space="preserve">TITLE: EIOPA risk-free curve — primary source</t>
  </si>
  <si>
    <t xml:space="preserve">TITLE: Cohort mortality diagonals and cumulative survival — all live from the M4 matrix</t>
  </si>
  <si>
    <t xml:space="preserve">TITLE: EIOPA discount curve — provenance and Smith-Wilson verification</t>
  </si>
  <si>
    <t xml:space="preserve">TITLE: Mortality — entry-age cohort reference (presentation). Production path: ILT17_Source → CMI_Projection → Cohort_Survival → Projection.</t>
  </si>
  <si>
    <t xml:space="preserve">TITLE: Monthly projection — constant-force decrements, monthly-in-advance premium and annuity</t>
  </si>
  <si>
    <t xml:space="preserve">TITLE: Monthly equivalence premium</t>
  </si>
  <si>
    <t xml:space="preserve">TITLE: Monthly reserving and own funds</t>
  </si>
  <si>
    <t xml:space="preserve">TITLE: Monthly-basis capital requirement — SCR, risk margin and own funds at annual valuation dates</t>
  </si>
  <si>
    <t xml:space="preserve">TITLE: Monthly engine — validation against the annual basis</t>
  </si>
  <si>
    <t xml:space="preserve">TITLE: Full own-funds trajectory across the run-off — both bases</t>
  </si>
  <si>
    <t xml:space="preserve">TITLE: Commission models — four structures carried through pricing, reserving and own funds</t>
  </si>
  <si>
    <t xml:space="preserve">TITLE: Is forfeiture recycling an additional inflow? — a first-principles test</t>
  </si>
  <si>
    <t xml:space="preserve">TITLE: Mutualisation subsidy, and whether the pool balances</t>
  </si>
  <si>
    <t xml:space="preserve">TITLE: Reserving adequacy — is the Article 138 longevity stress sufficient?</t>
  </si>
  <si>
    <t xml:space="preserve">TITLE: Cairns–Blake–Dowd stochastic mortality — rebuilt from Annex A parameters</t>
  </si>
  <si>
    <t xml:space="preserve">TITLE: Per-cell reserving adequacy — Article 138 against a CBD 99.5% stress, rebuilt on the corrected basis</t>
  </si>
  <si>
    <t xml:space="preserve">TITLE: Per-cell capital requirement — machinery, proved on one cell before extension</t>
  </si>
  <si>
    <t xml:space="preserve">TITLE: Per-cell capital requirement — full seven-by-four panel</t>
  </si>
  <si>
    <t xml:space="preserve">TITLE: Surface engine — duration-indexed factors shared by every entry/vesting combination</t>
  </si>
  <si>
    <t xml:space="preserve">TITLE: Lapse — the four-route decomposition and the calibration question</t>
  </si>
  <si>
    <t xml:space="preserve">TITLE: Sensitivities and levers</t>
  </si>
  <si>
    <t xml:space="preserve">TITLE: Headline panel and six worked examples</t>
  </si>
  <si>
    <t xml:space="preserve">TITLE: Monthly discount factors — log-linear interpolation of the annual EIOPA curve</t>
  </si>
  <si>
    <t xml:space="preserve">TITLE: Discount — EIOPA EUR no-VA, 31 May 2026 (spot sourced; DF live = (1+spot)^-t)</t>
  </si>
  <si>
    <t xml:space="preserve">TITLE: Projection — in-force pool: mortality then lapse (net of reinstatement) each deferral year; mortality only after trigger</t>
  </si>
  <si>
    <t xml:space="preserve">TITLE: Step 5 — Mutualised equivalence premium</t>
  </si>
  <si>
    <t xml:space="preserve">TITLE: Step 6 — Accumulated Net Asset Value:  ANAV(t) = [Σ net CF × DF, for t_abs &lt; t] ÷ DF(t)   (forward accumulation)</t>
  </si>
  <si>
    <t xml:space="preserve">TITLE: Step 7 — Prospective BEL:  BEL(t) = [Σ liability CF × DF, for t_abs ≥ t] ÷ DF(t)</t>
  </si>
  <si>
    <t xml:space="preserve">TITLE: Step 8 — Own Funds, SCR and coverage</t>
  </si>
  <si>
    <t xml:space="preserve">TITLE: Step 9 — Consumer fairness</t>
  </si>
  <si>
    <t xml:space="preserve">TITLE: Step 10 — Remediation frontier (live): min Day-1 own funds for coverage ≥ 100% at every timepoint</t>
  </si>
  <si>
    <t xml:space="preserve">TITLE: Step 11 — Reconciliation (corrected live vs published paper v1.1.1)</t>
  </si>
  <si>
    <t xml:space="preserve">TITLE: Test C — ARF drawdown simulation (live). Path 1 (with product) vs best unsecured drawdown.</t>
  </si>
  <si>
    <t xml:space="preserve">TITLE: Risk margin — annual SCR run-off:  RM(t) = CoC × Σ(s≥t) SCR(s)·DF(s) ÷ DF(t)   (all live)</t>
  </si>
  <si>
    <t xml:space="preserve">TITLE: Proofs — every identity and sensitivity verified live in this workbook</t>
  </si>
  <si>
    <t xml:space="preserve">TITLE: Post-vesting longevity swap — effect on the Day-1 capital requirement (all live)</t>
  </si>
  <si>
    <t xml:space="preserve">TITLE: Premium–capital frontier across the full uplift range (all live)</t>
  </si>
</sst>
</file>

<file path=xl/styles.xml><?xml version="1.0" encoding="utf-8"?>
<styleSheet xmlns="http://schemas.openxmlformats.org/spreadsheetml/2006/main">
  <numFmts count="26">
    <numFmt numFmtId="164" formatCode="General"/>
    <numFmt numFmtId="165" formatCode="#,##0.00"/>
    <numFmt numFmtId="166" formatCode="0.0000"/>
    <numFmt numFmtId="167" formatCode="#,##0"/>
    <numFmt numFmtId="168" formatCode="0.00%"/>
    <numFmt numFmtId="169" formatCode="0.00"/>
    <numFmt numFmtId="170" formatCode="0"/>
    <numFmt numFmtId="171" formatCode="0.000%"/>
    <numFmt numFmtId="172" formatCode="0.0"/>
    <numFmt numFmtId="173" formatCode="0.0%"/>
    <numFmt numFmtId="174" formatCode="0.00E+00"/>
    <numFmt numFmtId="175" formatCode="0.00000000"/>
    <numFmt numFmtId="176" formatCode="0.000000"/>
    <numFmt numFmtId="177" formatCode="0.00000000000"/>
    <numFmt numFmtId="178" formatCode="0.000000000"/>
    <numFmt numFmtId="179" formatCode="0.0000%"/>
    <numFmt numFmtId="180" formatCode="0.00000"/>
    <numFmt numFmtId="181" formatCode="0.0000000000"/>
    <numFmt numFmtId="182" formatCode="#,##0.000000"/>
    <numFmt numFmtId="183" formatCode="0%"/>
    <numFmt numFmtId="184" formatCode="0.000"/>
    <numFmt numFmtId="185" formatCode="0.000000000000"/>
    <numFmt numFmtId="186" formatCode="\+0.0000;\-0.0000"/>
    <numFmt numFmtId="187" formatCode="\+0.0%;\-0.0%"/>
    <numFmt numFmtId="188" formatCode="#,##0.0000"/>
    <numFmt numFmtId="189" formatCode="#,##0.0"/>
  </numFmts>
  <fonts count="10">
    <font>
      <sz val="10"/>
      <name val="Arial"/>
      <family val="2"/>
      <charset val="1"/>
    </font>
    <font>
      <sz val="10"/>
      <name val="Arial"/>
      <family val="0"/>
    </font>
    <font>
      <sz val="10"/>
      <name val="Arial"/>
      <family val="0"/>
    </font>
    <font>
      <sz val="10"/>
      <name val="Arial"/>
      <family val="0"/>
    </font>
    <font>
      <b val="true"/>
      <sz val="14"/>
      <color rgb="FF1F3864"/>
      <name val="Cambria"/>
      <family val="0"/>
      <charset val="1"/>
    </font>
    <font>
      <b val="true"/>
      <sz val="11"/>
      <name val="Cambria"/>
      <family val="0"/>
      <charset val="1"/>
    </font>
    <font>
      <b val="true"/>
      <sz val="11"/>
      <color rgb="FF1F3864"/>
      <name val="Cambria"/>
      <family val="0"/>
      <charset val="1"/>
    </font>
    <font>
      <i val="true"/>
      <sz val="11"/>
      <color rgb="FF7F7F7F"/>
      <name val="Cambria"/>
      <family val="0"/>
      <charset val="1"/>
    </font>
    <font>
      <b val="true"/>
      <sz val="13"/>
      <color rgb="FF1F3864"/>
      <name val="Cambria"/>
      <family val="0"/>
      <charset val="1"/>
    </font>
    <font>
      <b val="true"/>
      <sz val="11"/>
      <color rgb="FF7F7F7F"/>
      <name val="Cambria"/>
      <family val="0"/>
      <charset val="1"/>
    </font>
  </fonts>
  <fills count="7">
    <fill>
      <patternFill patternType="none"/>
    </fill>
    <fill>
      <patternFill patternType="gray125"/>
    </fill>
    <fill>
      <patternFill patternType="solid">
        <fgColor rgb="FFFFF2CC"/>
        <bgColor rgb="FFFCE4D6"/>
      </patternFill>
    </fill>
    <fill>
      <patternFill patternType="solid">
        <fgColor rgb="FFE2EFDA"/>
        <bgColor rgb="FFF2F2F2"/>
      </patternFill>
    </fill>
    <fill>
      <patternFill patternType="solid">
        <fgColor rgb="FFD9E1F2"/>
        <bgColor rgb="FFE2EFDA"/>
      </patternFill>
    </fill>
    <fill>
      <patternFill patternType="solid">
        <fgColor rgb="FFFCE4D6"/>
        <bgColor rgb="FFFFF2CC"/>
      </patternFill>
    </fill>
    <fill>
      <patternFill patternType="solid">
        <fgColor rgb="FFF2F2F2"/>
        <bgColor rgb="FFE2EFDA"/>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general" vertical="bottom" textRotation="0" wrapText="false" indent="0" shrinkToFit="false"/>
      <protection locked="true" hidden="false"/>
    </xf>
    <xf numFmtId="164" fontId="0" fillId="3" borderId="0" xfId="0" applyFont="fals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5" fillId="4" borderId="0" xfId="0" applyFont="true" applyBorder="false" applyAlignment="true" applyProtection="false">
      <alignment horizontal="general" vertical="bottom" textRotation="0" wrapText="false" indent="0" shrinkToFit="false"/>
      <protection locked="true" hidden="false"/>
    </xf>
    <xf numFmtId="164" fontId="5" fillId="5" borderId="0" xfId="0" applyFont="true" applyBorder="false" applyAlignment="true" applyProtection="false">
      <alignment horizontal="general" vertical="bottom" textRotation="0" wrapText="false" indent="0" shrinkToFit="false"/>
      <protection locked="true" hidden="false"/>
    </xf>
    <xf numFmtId="165" fontId="0" fillId="5" borderId="0" xfId="0" applyFont="false" applyBorder="false" applyAlignment="true" applyProtection="false">
      <alignment horizontal="general" vertical="bottom" textRotation="0" wrapText="false" indent="0" shrinkToFit="false"/>
      <protection locked="true" hidden="false"/>
    </xf>
    <xf numFmtId="166" fontId="0" fillId="3" borderId="0" xfId="0" applyFont="true" applyBorder="false" applyAlignment="true" applyProtection="false">
      <alignment horizontal="general" vertical="bottom" textRotation="0" wrapText="false" indent="0" shrinkToFit="false"/>
      <protection locked="true" hidden="false"/>
    </xf>
    <xf numFmtId="167" fontId="0" fillId="3" borderId="0" xfId="0" applyFont="true" applyBorder="false" applyAlignment="true" applyProtection="false">
      <alignment horizontal="general" vertical="bottom" textRotation="0" wrapText="false" indent="0" shrinkToFit="false"/>
      <protection locked="true" hidden="false"/>
    </xf>
    <xf numFmtId="167" fontId="0" fillId="5" borderId="0" xfId="0" applyFont="false" applyBorder="false" applyAlignment="true" applyProtection="false">
      <alignment horizontal="general" vertical="bottom" textRotation="0" wrapText="false" indent="0" shrinkToFit="false"/>
      <protection locked="true" hidden="false"/>
    </xf>
    <xf numFmtId="164" fontId="0" fillId="5"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0" fillId="6" borderId="0" xfId="0" applyFont="false" applyBorder="false" applyAlignment="true" applyProtection="false">
      <alignment horizontal="general" vertical="bottom" textRotation="0" wrapText="false" indent="0" shrinkToFit="false"/>
      <protection locked="true" hidden="false"/>
    </xf>
    <xf numFmtId="168" fontId="0" fillId="6" borderId="0" xfId="0" applyFont="false" applyBorder="false" applyAlignment="true" applyProtection="false">
      <alignment horizontal="general" vertical="bottom" textRotation="0" wrapText="false" indent="0" shrinkToFit="false"/>
      <protection locked="true" hidden="false"/>
    </xf>
    <xf numFmtId="168" fontId="0" fillId="3" borderId="0" xfId="0" applyFont="false" applyBorder="false" applyAlignment="true" applyProtection="false">
      <alignment horizontal="general" vertical="bottom" textRotation="0" wrapText="false" indent="0" shrinkToFit="false"/>
      <protection locked="true" hidden="false"/>
    </xf>
    <xf numFmtId="167" fontId="7" fillId="6" borderId="0" xfId="0" applyFont="true" applyBorder="false" applyAlignment="true" applyProtection="false">
      <alignment horizontal="general" vertical="bottom" textRotation="0" wrapText="false" indent="0" shrinkToFit="false"/>
      <protection locked="true" hidden="false"/>
    </xf>
    <xf numFmtId="169" fontId="7" fillId="6" borderId="0" xfId="0" applyFont="true" applyBorder="false" applyAlignment="true" applyProtection="false">
      <alignment horizontal="general" vertical="bottom" textRotation="0" wrapText="false" indent="0" shrinkToFit="false"/>
      <protection locked="true" hidden="false"/>
    </xf>
    <xf numFmtId="170" fontId="5" fillId="2" borderId="0" xfId="0" applyFont="true" applyBorder="false" applyAlignment="true" applyProtection="false">
      <alignment horizontal="general" vertical="bottom" textRotation="0" wrapText="false" indent="0" shrinkToFit="false"/>
      <protection locked="true" hidden="false"/>
    </xf>
    <xf numFmtId="171" fontId="7" fillId="6" borderId="0" xfId="0" applyFont="true" applyBorder="false" applyAlignment="true" applyProtection="false">
      <alignment horizontal="general" vertical="bottom" textRotation="0" wrapText="false" indent="0" shrinkToFit="false"/>
      <protection locked="true" hidden="false"/>
    </xf>
    <xf numFmtId="171" fontId="0" fillId="3" borderId="0" xfId="0" applyFont="false" applyBorder="false" applyAlignment="true" applyProtection="false">
      <alignment horizontal="general" vertical="bottom" textRotation="0" wrapText="false" indent="0" shrinkToFit="false"/>
      <protection locked="true" hidden="false"/>
    </xf>
    <xf numFmtId="172" fontId="7" fillId="6" borderId="0" xfId="0" applyFont="true" applyBorder="false" applyAlignment="true" applyProtection="false">
      <alignment horizontal="general" vertical="bottom" textRotation="0" wrapText="false" indent="0" shrinkToFit="false"/>
      <protection locked="true" hidden="false"/>
    </xf>
    <xf numFmtId="173" fontId="7" fillId="6" borderId="0" xfId="0" applyFont="true" applyBorder="false" applyAlignment="true" applyProtection="false">
      <alignment horizontal="general" vertical="bottom" textRotation="0" wrapText="false" indent="0" shrinkToFit="false"/>
      <protection locked="true" hidden="false"/>
    </xf>
    <xf numFmtId="169" fontId="0" fillId="6" borderId="0" xfId="0" applyFont="false" applyBorder="false" applyAlignment="true" applyProtection="false">
      <alignment horizontal="general" vertical="bottom" textRotation="0" wrapText="false" indent="0" shrinkToFit="false"/>
      <protection locked="true" hidden="false"/>
    </xf>
    <xf numFmtId="174" fontId="0" fillId="3" borderId="0" xfId="0" applyFont="false" applyBorder="false" applyAlignment="true" applyProtection="false">
      <alignment horizontal="general" vertical="bottom" textRotation="0" wrapText="false" indent="0" shrinkToFit="false"/>
      <protection locked="true" hidden="false"/>
    </xf>
    <xf numFmtId="164" fontId="5" fillId="3" borderId="0" xfId="0" applyFont="true" applyBorder="false" applyAlignment="true" applyProtection="false">
      <alignment horizontal="general" vertical="bottom" textRotation="0" wrapText="false" indent="0" shrinkToFit="false"/>
      <protection locked="true" hidden="false"/>
    </xf>
    <xf numFmtId="175" fontId="7" fillId="6" borderId="0" xfId="0" applyFont="true" applyBorder="false" applyAlignment="true" applyProtection="false">
      <alignment horizontal="general" vertical="bottom" textRotation="0" wrapText="false" indent="0" shrinkToFit="false"/>
      <protection locked="true" hidden="false"/>
    </xf>
    <xf numFmtId="175" fontId="0" fillId="3" borderId="0" xfId="0" applyFont="false" applyBorder="false" applyAlignment="true" applyProtection="false">
      <alignment horizontal="general" vertical="bottom" textRotation="0" wrapText="false" indent="0" shrinkToFit="false"/>
      <protection locked="true" hidden="false"/>
    </xf>
    <xf numFmtId="169" fontId="0" fillId="3" borderId="0" xfId="0" applyFont="false" applyBorder="false" applyAlignment="true" applyProtection="false">
      <alignment horizontal="general" vertical="bottom" textRotation="0" wrapText="false" indent="0" shrinkToFit="false"/>
      <protection locked="true" hidden="false"/>
    </xf>
    <xf numFmtId="176" fontId="0" fillId="3" borderId="0" xfId="0" applyFont="false" applyBorder="false" applyAlignment="true" applyProtection="false">
      <alignment horizontal="general" vertical="bottom" textRotation="0" wrapText="false" indent="0" shrinkToFit="false"/>
      <protection locked="true" hidden="false"/>
    </xf>
    <xf numFmtId="177" fontId="7" fillId="6" borderId="0" xfId="0" applyFont="true" applyBorder="false" applyAlignment="true" applyProtection="false">
      <alignment horizontal="general" vertical="bottom" textRotation="0" wrapText="false" indent="0" shrinkToFit="false"/>
      <protection locked="true" hidden="false"/>
    </xf>
    <xf numFmtId="170" fontId="0" fillId="3" borderId="0" xfId="0" applyFont="false" applyBorder="false" applyAlignment="true" applyProtection="false">
      <alignment horizontal="general" vertical="bottom" textRotation="0" wrapText="false" indent="0" shrinkToFit="false"/>
      <protection locked="true" hidden="false"/>
    </xf>
    <xf numFmtId="178" fontId="7" fillId="6" borderId="0" xfId="0" applyFont="true" applyBorder="false" applyAlignment="true" applyProtection="false">
      <alignment horizontal="general" vertical="bottom" textRotation="0" wrapText="false" indent="0" shrinkToFit="false"/>
      <protection locked="true" hidden="false"/>
    </xf>
    <xf numFmtId="170" fontId="7" fillId="6" borderId="0" xfId="0" applyFont="true" applyBorder="false" applyAlignment="true" applyProtection="false">
      <alignment horizontal="general" vertical="bottom" textRotation="0" wrapText="false" indent="0" shrinkToFit="false"/>
      <protection locked="true" hidden="false"/>
    </xf>
    <xf numFmtId="169" fontId="7" fillId="3" borderId="0" xfId="0" applyFont="true" applyBorder="false" applyAlignment="true" applyProtection="false">
      <alignment horizontal="general" vertical="bottom" textRotation="0" wrapText="false" indent="0" shrinkToFit="false"/>
      <protection locked="true" hidden="false"/>
    </xf>
    <xf numFmtId="172" fontId="0" fillId="3" borderId="0" xfId="0" applyFont="false" applyBorder="false" applyAlignment="true" applyProtection="false">
      <alignment horizontal="general" vertical="bottom" textRotation="0" wrapText="false" indent="0" shrinkToFit="false"/>
      <protection locked="true" hidden="false"/>
    </xf>
    <xf numFmtId="179" fontId="0" fillId="3" borderId="0" xfId="0" applyFont="false" applyBorder="false" applyAlignment="true" applyProtection="false">
      <alignment horizontal="general" vertical="bottom" textRotation="0" wrapText="false" indent="0" shrinkToFit="false"/>
      <protection locked="true" hidden="false"/>
    </xf>
    <xf numFmtId="164" fontId="7" fillId="6" borderId="0" xfId="0" applyFont="true" applyBorder="false" applyAlignment="true" applyProtection="false">
      <alignment horizontal="general" vertical="bottom" textRotation="0" wrapText="false" indent="0" shrinkToFit="false"/>
      <protection locked="true" hidden="false"/>
    </xf>
    <xf numFmtId="180" fontId="7" fillId="6" borderId="0" xfId="0" applyFont="true" applyBorder="false" applyAlignment="true" applyProtection="false">
      <alignment horizontal="general" vertical="bottom" textRotation="0" wrapText="false" indent="0" shrinkToFit="false"/>
      <protection locked="true" hidden="false"/>
    </xf>
    <xf numFmtId="166" fontId="7" fillId="6" borderId="0" xfId="0" applyFont="true" applyBorder="false" applyAlignment="true" applyProtection="false">
      <alignment horizontal="general" vertical="bottom" textRotation="0" wrapText="false" indent="0" shrinkToFit="false"/>
      <protection locked="true" hidden="false"/>
    </xf>
    <xf numFmtId="164" fontId="7" fillId="3" borderId="0" xfId="0" applyFont="true" applyBorder="false" applyAlignment="true" applyProtection="false">
      <alignment horizontal="general" vertical="bottom" textRotation="0" wrapText="false" indent="0" shrinkToFit="false"/>
      <protection locked="true" hidden="false"/>
    </xf>
    <xf numFmtId="174" fontId="7" fillId="6" borderId="0" xfId="0" applyFont="true" applyBorder="false" applyAlignment="true" applyProtection="false">
      <alignment horizontal="general" vertical="bottom" textRotation="0" wrapText="false" indent="0" shrinkToFit="false"/>
      <protection locked="true" hidden="false"/>
    </xf>
    <xf numFmtId="180" fontId="0" fillId="3" borderId="0" xfId="0" applyFont="false" applyBorder="false" applyAlignment="true" applyProtection="false">
      <alignment horizontal="general" vertical="bottom" textRotation="0" wrapText="false" indent="0" shrinkToFit="false"/>
      <protection locked="true" hidden="false"/>
    </xf>
    <xf numFmtId="181" fontId="0" fillId="3" borderId="0" xfId="0" applyFont="false" applyBorder="false" applyAlignment="true" applyProtection="false">
      <alignment horizontal="general" vertical="bottom" textRotation="0" wrapText="false" indent="0" shrinkToFit="false"/>
      <protection locked="true" hidden="false"/>
    </xf>
    <xf numFmtId="182" fontId="0" fillId="3" borderId="0" xfId="0" applyFont="false" applyBorder="false" applyAlignment="true" applyProtection="false">
      <alignment horizontal="general" vertical="bottom" textRotation="0" wrapText="false" indent="0" shrinkToFit="false"/>
      <protection locked="true" hidden="false"/>
    </xf>
    <xf numFmtId="165" fontId="0" fillId="3" borderId="0" xfId="0" applyFont="false" applyBorder="false" applyAlignment="true" applyProtection="false">
      <alignment horizontal="general" vertical="bottom" textRotation="0" wrapText="false" indent="0" shrinkToFit="false"/>
      <protection locked="true" hidden="false"/>
    </xf>
    <xf numFmtId="165" fontId="5" fillId="2" borderId="0" xfId="0" applyFont="true" applyBorder="false" applyAlignment="true" applyProtection="false">
      <alignment horizontal="general" vertical="bottom" textRotation="0" wrapText="false" indent="0" shrinkToFit="false"/>
      <protection locked="true" hidden="false"/>
    </xf>
    <xf numFmtId="165" fontId="5" fillId="3" borderId="0" xfId="0" applyFont="true" applyBorder="false" applyAlignment="true" applyProtection="false">
      <alignment horizontal="general" vertical="bottom" textRotation="0" wrapText="false" indent="0" shrinkToFit="false"/>
      <protection locked="true" hidden="false"/>
    </xf>
    <xf numFmtId="168" fontId="5" fillId="3" borderId="0" xfId="0" applyFont="true" applyBorder="false" applyAlignment="true" applyProtection="false">
      <alignment horizontal="general" vertical="bottom" textRotation="0" wrapText="false" indent="0" shrinkToFit="false"/>
      <protection locked="true" hidden="false"/>
    </xf>
    <xf numFmtId="164" fontId="7" fillId="5" borderId="0" xfId="0" applyFont="true" applyBorder="false" applyAlignment="true" applyProtection="false">
      <alignment horizontal="general" vertical="bottom" textRotation="0" wrapText="false" indent="0" shrinkToFit="false"/>
      <protection locked="true" hidden="false"/>
    </xf>
    <xf numFmtId="173" fontId="0" fillId="3" borderId="0" xfId="0" applyFont="false" applyBorder="false" applyAlignment="true" applyProtection="false">
      <alignment horizontal="general" vertical="bottom" textRotation="0" wrapText="false" indent="0" shrinkToFit="false"/>
      <protection locked="true" hidden="false"/>
    </xf>
    <xf numFmtId="170" fontId="5" fillId="3" borderId="0" xfId="0" applyFont="true" applyBorder="false" applyAlignment="true" applyProtection="false">
      <alignment horizontal="general" vertical="bottom" textRotation="0" wrapText="false" indent="0" shrinkToFit="false"/>
      <protection locked="true" hidden="false"/>
    </xf>
    <xf numFmtId="183" fontId="7" fillId="6" borderId="0" xfId="0" applyFont="true" applyBorder="false" applyAlignment="true" applyProtection="false">
      <alignment horizontal="general" vertical="bottom" textRotation="0" wrapText="false" indent="0" shrinkToFit="false"/>
      <protection locked="true" hidden="false"/>
    </xf>
    <xf numFmtId="183" fontId="0" fillId="3" borderId="0" xfId="0" applyFont="false" applyBorder="false" applyAlignment="true" applyProtection="false">
      <alignment horizontal="general" vertical="bottom" textRotation="0" wrapText="false" indent="0" shrinkToFit="false"/>
      <protection locked="true" hidden="false"/>
    </xf>
    <xf numFmtId="167" fontId="5" fillId="2" borderId="0" xfId="0" applyFont="true" applyBorder="false" applyAlignment="true" applyProtection="false">
      <alignment horizontal="general" vertical="bottom" textRotation="0" wrapText="false" indent="0" shrinkToFit="false"/>
      <protection locked="true" hidden="false"/>
    </xf>
    <xf numFmtId="167" fontId="5" fillId="3" borderId="0" xfId="0" applyFont="true" applyBorder="false" applyAlignment="true" applyProtection="false">
      <alignment horizontal="general" vertical="bottom" textRotation="0" wrapText="false" indent="0" shrinkToFit="false"/>
      <protection locked="true" hidden="false"/>
    </xf>
    <xf numFmtId="166" fontId="5" fillId="3" borderId="0" xfId="0" applyFont="true" applyBorder="false" applyAlignment="true" applyProtection="false">
      <alignment horizontal="general" vertical="bottom" textRotation="0" wrapText="false" indent="0" shrinkToFit="false"/>
      <protection locked="true" hidden="false"/>
    </xf>
    <xf numFmtId="179" fontId="5" fillId="2" borderId="0" xfId="0" applyFont="true" applyBorder="false" applyAlignment="true" applyProtection="false">
      <alignment horizontal="general" vertical="bottom" textRotation="0" wrapText="false" indent="0" shrinkToFit="false"/>
      <protection locked="true" hidden="false"/>
    </xf>
    <xf numFmtId="179" fontId="5" fillId="3" borderId="0" xfId="0" applyFont="true" applyBorder="false" applyAlignment="true" applyProtection="false">
      <alignment horizontal="general" vertical="bottom" textRotation="0" wrapText="false" indent="0" shrinkToFit="false"/>
      <protection locked="true" hidden="false"/>
    </xf>
    <xf numFmtId="183" fontId="5" fillId="6" borderId="0" xfId="0" applyFont="true" applyBorder="false" applyAlignment="true" applyProtection="false">
      <alignment horizontal="general" vertical="bottom" textRotation="0" wrapText="false" indent="0" shrinkToFit="false"/>
      <protection locked="true" hidden="false"/>
    </xf>
    <xf numFmtId="171" fontId="5" fillId="3" borderId="0" xfId="0" applyFont="true" applyBorder="false" applyAlignment="true" applyProtection="false">
      <alignment horizontal="general" vertical="bottom" textRotation="0" wrapText="false" indent="0" shrinkToFit="false"/>
      <protection locked="true" hidden="false"/>
    </xf>
    <xf numFmtId="171" fontId="5" fillId="2" borderId="0" xfId="0" applyFont="true" applyBorder="false" applyAlignment="true" applyProtection="false">
      <alignment horizontal="general" vertical="bottom" textRotation="0" wrapText="false" indent="0" shrinkToFit="false"/>
      <protection locked="true" hidden="false"/>
    </xf>
    <xf numFmtId="173" fontId="5" fillId="3" borderId="0" xfId="0" applyFont="true" applyBorder="false" applyAlignment="true" applyProtection="false">
      <alignment horizontal="general" vertical="bottom" textRotation="0" wrapText="false" indent="0" shrinkToFit="false"/>
      <protection locked="true" hidden="false"/>
    </xf>
    <xf numFmtId="183" fontId="5" fillId="4" borderId="0" xfId="0" applyFont="true" applyBorder="false" applyAlignment="true" applyProtection="false">
      <alignment horizontal="general" vertical="bottom" textRotation="0" wrapText="false" indent="0" shrinkToFit="false"/>
      <protection locked="true" hidden="false"/>
    </xf>
    <xf numFmtId="168" fontId="5" fillId="6" borderId="0" xfId="0" applyFont="true" applyBorder="false" applyAlignment="true" applyProtection="false">
      <alignment horizontal="general" vertical="bottom" textRotation="0" wrapText="false" indent="0" shrinkToFit="false"/>
      <protection locked="true" hidden="false"/>
    </xf>
    <xf numFmtId="183" fontId="5" fillId="2" borderId="0" xfId="0" applyFont="true" applyBorder="false" applyAlignment="true" applyProtection="false">
      <alignment horizontal="general" vertical="bottom" textRotation="0" wrapText="false" indent="0" shrinkToFit="false"/>
      <protection locked="true" hidden="false"/>
    </xf>
    <xf numFmtId="168" fontId="5" fillId="2" borderId="0" xfId="0" applyFont="true" applyBorder="false" applyAlignment="true" applyProtection="false">
      <alignment horizontal="general" vertical="bottom" textRotation="0" wrapText="false" indent="0" shrinkToFit="false"/>
      <protection locked="true" hidden="false"/>
    </xf>
    <xf numFmtId="166" fontId="5" fillId="2" borderId="0" xfId="0" applyFont="true" applyBorder="false" applyAlignment="true" applyProtection="false">
      <alignment horizontal="general" vertical="bottom" textRotation="0" wrapText="false" indent="0" shrinkToFit="false"/>
      <protection locked="true" hidden="false"/>
    </xf>
    <xf numFmtId="183" fontId="0" fillId="6" borderId="0" xfId="0" applyFont="false" applyBorder="false" applyAlignment="true" applyProtection="false">
      <alignment horizontal="general" vertical="bottom" textRotation="0" wrapText="false" indent="0" shrinkToFit="false"/>
      <protection locked="true" hidden="false"/>
    </xf>
    <xf numFmtId="167" fontId="0" fillId="0" borderId="0" xfId="0" applyFont="false" applyBorder="false" applyAlignment="true" applyProtection="false">
      <alignment horizontal="general" vertical="bottom" textRotation="0" wrapText="false" indent="0" shrinkToFit="false"/>
      <protection locked="true" hidden="false"/>
    </xf>
    <xf numFmtId="166" fontId="0" fillId="0" borderId="0" xfId="0" applyFont="false" applyBorder="false" applyAlignment="tru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general" vertical="bottom" textRotation="0" wrapText="false" indent="0" shrinkToFit="false"/>
      <protection locked="true" hidden="false"/>
    </xf>
    <xf numFmtId="174" fontId="0" fillId="0" borderId="0" xfId="0" applyFont="false" applyBorder="false" applyAlignment="true" applyProtection="false">
      <alignment horizontal="general" vertical="bottom" textRotation="0" wrapText="false" indent="0" shrinkToFit="false"/>
      <protection locked="true" hidden="false"/>
    </xf>
    <xf numFmtId="170" fontId="0" fillId="0" borderId="0" xfId="0" applyFont="false" applyBorder="false" applyAlignment="true" applyProtection="false">
      <alignment horizontal="general" vertical="bottom" textRotation="0" wrapText="false" indent="0" shrinkToFit="false"/>
      <protection locked="true" hidden="false"/>
    </xf>
    <xf numFmtId="173" fontId="5" fillId="5" borderId="0" xfId="0" applyFont="true" applyBorder="false" applyAlignment="true" applyProtection="false">
      <alignment horizontal="general" vertical="bottom" textRotation="0" wrapText="false" indent="0" shrinkToFit="false"/>
      <protection locked="true" hidden="false"/>
    </xf>
    <xf numFmtId="170" fontId="5" fillId="5" borderId="0" xfId="0" applyFont="true" applyBorder="false" applyAlignment="true" applyProtection="false">
      <alignment horizontal="general" vertical="bottom" textRotation="0" wrapText="false" indent="0" shrinkToFit="false"/>
      <protection locked="true" hidden="false"/>
    </xf>
    <xf numFmtId="168" fontId="5" fillId="5" borderId="0" xfId="0" applyFont="true" applyBorder="false" applyAlignment="true" applyProtection="false">
      <alignment horizontal="general" vertical="bottom" textRotation="0" wrapText="false" indent="0" shrinkToFit="false"/>
      <protection locked="true" hidden="false"/>
    </xf>
    <xf numFmtId="167" fontId="5" fillId="5" borderId="0" xfId="0" applyFont="true" applyBorder="false" applyAlignment="true" applyProtection="false">
      <alignment horizontal="general" vertical="bottom" textRotation="0" wrapText="false" indent="0" shrinkToFit="false"/>
      <protection locked="true" hidden="false"/>
    </xf>
    <xf numFmtId="165" fontId="5" fillId="5" borderId="0" xfId="0" applyFont="true" applyBorder="false" applyAlignment="true" applyProtection="false">
      <alignment horizontal="general" vertical="bottom" textRotation="0" wrapText="false" indent="0" shrinkToFit="false"/>
      <protection locked="true" hidden="false"/>
    </xf>
    <xf numFmtId="174" fontId="5" fillId="3" borderId="0" xfId="0" applyFont="true" applyBorder="false" applyAlignment="true" applyProtection="false">
      <alignment horizontal="general" vertical="bottom" textRotation="0" wrapText="false" indent="0" shrinkToFit="false"/>
      <protection locked="true" hidden="false"/>
    </xf>
    <xf numFmtId="169" fontId="5" fillId="4" borderId="0" xfId="0" applyFont="true" applyBorder="fals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9" fontId="5" fillId="3" borderId="0" xfId="0" applyFont="true" applyBorder="false" applyAlignment="true" applyProtection="false">
      <alignment horizontal="general" vertical="bottom" textRotation="0" wrapText="false" indent="0" shrinkToFit="false"/>
      <protection locked="true" hidden="false"/>
    </xf>
    <xf numFmtId="184" fontId="5" fillId="2" borderId="0" xfId="0" applyFont="true" applyBorder="false" applyAlignment="true" applyProtection="false">
      <alignment horizontal="general" vertical="bottom" textRotation="0" wrapText="false" indent="0" shrinkToFit="false"/>
      <protection locked="true" hidden="false"/>
    </xf>
    <xf numFmtId="184" fontId="5" fillId="3" borderId="0" xfId="0" applyFont="true" applyBorder="false" applyAlignment="true" applyProtection="false">
      <alignment horizontal="general" vertical="bottom" textRotation="0" wrapText="false" indent="0" shrinkToFit="false"/>
      <protection locked="true" hidden="false"/>
    </xf>
    <xf numFmtId="184" fontId="0" fillId="3" borderId="0" xfId="0" applyFont="false" applyBorder="false" applyAlignment="true" applyProtection="false">
      <alignment horizontal="general" vertical="bottom" textRotation="0" wrapText="false" indent="0" shrinkToFit="false"/>
      <protection locked="true" hidden="false"/>
    </xf>
    <xf numFmtId="170" fontId="5" fillId="4" borderId="0" xfId="0" applyFont="true" applyBorder="false" applyAlignment="true" applyProtection="false">
      <alignment horizontal="general" vertical="bottom" textRotation="0" wrapText="false" indent="0" shrinkToFit="false"/>
      <protection locked="true" hidden="false"/>
    </xf>
    <xf numFmtId="185" fontId="7" fillId="6" borderId="0" xfId="0" applyFont="true" applyBorder="false" applyAlignment="true" applyProtection="false">
      <alignment horizontal="general" vertical="bottom" textRotation="0" wrapText="false" indent="0" shrinkToFit="false"/>
      <protection locked="true" hidden="false"/>
    </xf>
    <xf numFmtId="170" fontId="7" fillId="2" borderId="0" xfId="0" applyFont="true" applyBorder="false" applyAlignment="true" applyProtection="false">
      <alignment horizontal="general" vertical="bottom" textRotation="0" wrapText="false" indent="0" shrinkToFit="false"/>
      <protection locked="true" hidden="false"/>
    </xf>
    <xf numFmtId="170" fontId="0" fillId="2" borderId="0" xfId="0" applyFont="false" applyBorder="false" applyAlignment="true" applyProtection="false">
      <alignment horizontal="general" vertical="bottom" textRotation="0" wrapText="false" indent="0" shrinkToFit="false"/>
      <protection locked="true" hidden="false"/>
    </xf>
    <xf numFmtId="178" fontId="0" fillId="3" borderId="0" xfId="0" applyFont="false" applyBorder="false" applyAlignment="true" applyProtection="false">
      <alignment horizontal="general" vertical="bottom" textRotation="0" wrapText="false" indent="0" shrinkToFit="false"/>
      <protection locked="true" hidden="false"/>
    </xf>
    <xf numFmtId="184" fontId="7" fillId="6" borderId="0" xfId="0" applyFont="true" applyBorder="false" applyAlignment="true" applyProtection="false">
      <alignment horizontal="general" vertical="bottom" textRotation="0" wrapText="false" indent="0" shrinkToFit="false"/>
      <protection locked="true" hidden="false"/>
    </xf>
    <xf numFmtId="172" fontId="7" fillId="0" borderId="0" xfId="0" applyFont="true" applyBorder="false" applyAlignment="true" applyProtection="false">
      <alignment horizontal="general" vertical="bottom" textRotation="0" wrapText="false" indent="0" shrinkToFit="false"/>
      <protection locked="true" hidden="false"/>
    </xf>
    <xf numFmtId="186" fontId="0" fillId="3" borderId="0" xfId="0" applyFont="false" applyBorder="false" applyAlignment="true" applyProtection="false">
      <alignment horizontal="general" vertical="bottom" textRotation="0" wrapText="false" indent="0" shrinkToFit="false"/>
      <protection locked="true" hidden="false"/>
    </xf>
    <xf numFmtId="186" fontId="5" fillId="3" borderId="0" xfId="0" applyFont="true" applyBorder="false" applyAlignment="true" applyProtection="false">
      <alignment horizontal="general" vertical="bottom" textRotation="0" wrapText="false" indent="0" shrinkToFit="false"/>
      <protection locked="true" hidden="false"/>
    </xf>
    <xf numFmtId="187" fontId="5" fillId="3" borderId="0" xfId="0" applyFont="true" applyBorder="false" applyAlignment="true" applyProtection="false">
      <alignment horizontal="general" vertical="bottom" textRotation="0" wrapText="false" indent="0" shrinkToFit="false"/>
      <protection locked="true" hidden="false"/>
    </xf>
    <xf numFmtId="188" fontId="0" fillId="3" borderId="0" xfId="0" applyFont="false" applyBorder="false" applyAlignment="true" applyProtection="false">
      <alignment horizontal="general" vertical="bottom" textRotation="0" wrapText="false" indent="0" shrinkToFit="false"/>
      <protection locked="true" hidden="false"/>
    </xf>
    <xf numFmtId="168" fontId="7" fillId="6" borderId="0" xfId="0" applyFont="true" applyBorder="false" applyAlignment="true" applyProtection="false">
      <alignment horizontal="general" vertical="bottom" textRotation="0" wrapText="false" indent="0" shrinkToFit="false"/>
      <protection locked="true" hidden="false"/>
    </xf>
    <xf numFmtId="168" fontId="7" fillId="3" borderId="0" xfId="0" applyFont="true" applyBorder="false" applyAlignment="true" applyProtection="false">
      <alignment horizontal="general" vertical="bottom" textRotation="0" wrapText="false" indent="0" shrinkToFit="false"/>
      <protection locked="true" hidden="false"/>
    </xf>
    <xf numFmtId="165" fontId="7" fillId="6" borderId="0" xfId="0" applyFont="true" applyBorder="false" applyAlignment="true" applyProtection="false">
      <alignment horizontal="general" vertical="bottom" textRotation="0" wrapText="false" indent="0" shrinkToFit="false"/>
      <protection locked="true" hidden="false"/>
    </xf>
    <xf numFmtId="176" fontId="7" fillId="6" borderId="0" xfId="0" applyFont="true" applyBorder="false" applyAlignment="true" applyProtection="false">
      <alignment horizontal="general" vertical="bottom" textRotation="0" wrapText="false" indent="0" shrinkToFit="false"/>
      <protection locked="true" hidden="false"/>
    </xf>
    <xf numFmtId="169" fontId="5" fillId="2" borderId="0" xfId="0" applyFont="true" applyBorder="false" applyAlignment="true" applyProtection="false">
      <alignment horizontal="general" vertical="bottom" textRotation="0" wrapText="false" indent="0" shrinkToFit="false"/>
      <protection locked="true" hidden="false"/>
    </xf>
    <xf numFmtId="165" fontId="7" fillId="3" borderId="0" xfId="0" applyFont="true" applyBorder="false" applyAlignment="true" applyProtection="false">
      <alignment horizontal="general" vertical="bottom" textRotation="0" wrapText="false" indent="0" shrinkToFit="false"/>
      <protection locked="true" hidden="false"/>
    </xf>
    <xf numFmtId="166" fontId="7" fillId="3" borderId="0" xfId="0" applyFont="true" applyBorder="false" applyAlignment="true" applyProtection="false">
      <alignment horizontal="general" vertical="bottom" textRotation="0" wrapText="false" indent="0" shrinkToFit="false"/>
      <protection locked="true" hidden="false"/>
    </xf>
    <xf numFmtId="167" fontId="7" fillId="3" borderId="0" xfId="0" applyFont="true" applyBorder="false" applyAlignment="true" applyProtection="false">
      <alignment horizontal="general" vertical="bottom" textRotation="0" wrapText="false" indent="0" shrinkToFit="false"/>
      <protection locked="true" hidden="false"/>
    </xf>
    <xf numFmtId="170" fontId="5" fillId="6" borderId="0" xfId="0" applyFont="true" applyBorder="false" applyAlignment="true" applyProtection="false">
      <alignment horizontal="general" vertical="bottom" textRotation="0" wrapText="false" indent="0" shrinkToFit="false"/>
      <protection locked="true" hidden="false"/>
    </xf>
    <xf numFmtId="172" fontId="5" fillId="3" borderId="0" xfId="0" applyFont="true" applyBorder="false" applyAlignment="true" applyProtection="false">
      <alignment horizontal="general" vertical="bottom" textRotation="0" wrapText="false" indent="0" shrinkToFit="false"/>
      <protection locked="true" hidden="false"/>
    </xf>
    <xf numFmtId="173" fontId="5" fillId="2" borderId="0" xfId="0" applyFont="true" applyBorder="false" applyAlignment="true" applyProtection="false">
      <alignment horizontal="general" vertical="bottom" textRotation="0" wrapText="false" indent="0" shrinkToFit="false"/>
      <protection locked="true" hidden="false"/>
    </xf>
    <xf numFmtId="173" fontId="0" fillId="6" borderId="0" xfId="0" applyFont="false" applyBorder="false" applyAlignment="true" applyProtection="false">
      <alignment horizontal="general" vertical="bottom" textRotation="0" wrapText="false" indent="0" shrinkToFit="false"/>
      <protection locked="true" hidden="false"/>
    </xf>
    <xf numFmtId="170" fontId="0" fillId="6" borderId="0" xfId="0" applyFont="false" applyBorder="false" applyAlignment="true" applyProtection="false">
      <alignment horizontal="general" vertical="bottom" textRotation="0" wrapText="false" indent="0" shrinkToFit="false"/>
      <protection locked="true" hidden="false"/>
    </xf>
    <xf numFmtId="167" fontId="0" fillId="6" borderId="0" xfId="0" applyFont="false" applyBorder="false" applyAlignment="true" applyProtection="false">
      <alignment horizontal="general" vertical="bottom" textRotation="0" wrapText="false" indent="0" shrinkToFit="false"/>
      <protection locked="true" hidden="false"/>
    </xf>
    <xf numFmtId="189" fontId="0" fillId="3" borderId="0" xfId="0" applyFont="false" applyBorder="false" applyAlignment="true" applyProtection="false">
      <alignment horizontal="general" vertical="bottom" textRotation="0" wrapText="false" indent="0" shrinkToFit="false"/>
      <protection locked="true" hidden="false"/>
    </xf>
    <xf numFmtId="165" fontId="0" fillId="2" borderId="0" xfId="0" applyFont="false" applyBorder="false" applyAlignment="true" applyProtection="false">
      <alignment horizontal="general" vertical="bottom" textRotation="0" wrapText="false" indent="0" shrinkToFit="false"/>
      <protection locked="true" hidden="false"/>
    </xf>
    <xf numFmtId="173" fontId="0" fillId="0" borderId="0" xfId="0" applyFont="false" applyBorder="false" applyAlignment="true" applyProtection="false">
      <alignment horizontal="general" vertical="bottom" textRotation="0" wrapText="false" indent="0" shrinkToFit="false"/>
      <protection locked="true" hidden="false"/>
    </xf>
    <xf numFmtId="164" fontId="5" fillId="6" borderId="0" xfId="0" applyFont="true" applyBorder="false" applyAlignment="true" applyProtection="false">
      <alignment horizontal="general" vertical="bottom" textRotation="0" wrapText="false" indent="0" shrinkToFit="false"/>
      <protection locked="true" hidden="false"/>
    </xf>
    <xf numFmtId="167" fontId="5" fillId="6" borderId="0" xfId="0" applyFont="true" applyBorder="false" applyAlignment="true" applyProtection="false">
      <alignment horizontal="general" vertical="bottom" textRotation="0" wrapText="false" indent="0" shrinkToFit="false"/>
      <protection locked="true" hidden="false"/>
    </xf>
    <xf numFmtId="174" fontId="0" fillId="6" borderId="0" xfId="0" applyFont="false" applyBorder="false" applyAlignment="true" applyProtection="false">
      <alignment horizontal="general" vertical="bottom" textRotation="0" wrapText="false" indent="0" shrinkToFit="false"/>
      <protection locked="true" hidden="false"/>
    </xf>
    <xf numFmtId="164" fontId="7" fillId="4" borderId="0" xfId="0" applyFont="true" applyBorder="false" applyAlignment="true" applyProtection="false">
      <alignment horizontal="general" vertical="bottom" textRotation="0" wrapText="false" indent="0" shrinkToFit="false"/>
      <protection locked="true" hidden="false"/>
    </xf>
    <xf numFmtId="168" fontId="0" fillId="0" borderId="0" xfId="0" applyFont="false" applyBorder="false" applyAlignment="true" applyProtection="false">
      <alignment horizontal="general" vertical="bottom" textRotation="0" wrapText="false" indent="0" shrinkToFit="false"/>
      <protection locked="true" hidden="false"/>
    </xf>
    <xf numFmtId="173" fontId="5" fillId="6" borderId="0" xfId="0" applyFont="true" applyBorder="false" applyAlignment="true" applyProtection="false">
      <alignment horizontal="general" vertical="bottom" textRotation="0" wrapText="false" indent="0" shrinkToFit="false"/>
      <protection locked="true" hidden="false"/>
    </xf>
    <xf numFmtId="168" fontId="6"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CE4D6"/>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worksheet" Target="worksheets/sheet23.xml"/><Relationship Id="rId26" Type="http://schemas.openxmlformats.org/officeDocument/2006/relationships/worksheet" Target="worksheets/sheet24.xml"/><Relationship Id="rId27" Type="http://schemas.openxmlformats.org/officeDocument/2006/relationships/worksheet" Target="worksheets/sheet25.xml"/><Relationship Id="rId28" Type="http://schemas.openxmlformats.org/officeDocument/2006/relationships/worksheet" Target="worksheets/sheet26.xml"/><Relationship Id="rId29" Type="http://schemas.openxmlformats.org/officeDocument/2006/relationships/worksheet" Target="worksheets/sheet27.xml"/><Relationship Id="rId30" Type="http://schemas.openxmlformats.org/officeDocument/2006/relationships/worksheet" Target="worksheets/sheet28.xml"/><Relationship Id="rId31" Type="http://schemas.openxmlformats.org/officeDocument/2006/relationships/worksheet" Target="worksheets/sheet29.xml"/><Relationship Id="rId32" Type="http://schemas.openxmlformats.org/officeDocument/2006/relationships/worksheet" Target="worksheets/sheet30.xml"/><Relationship Id="rId33" Type="http://schemas.openxmlformats.org/officeDocument/2006/relationships/worksheet" Target="worksheets/sheet31.xml"/><Relationship Id="rId34" Type="http://schemas.openxmlformats.org/officeDocument/2006/relationships/worksheet" Target="worksheets/sheet32.xml"/><Relationship Id="rId35" Type="http://schemas.openxmlformats.org/officeDocument/2006/relationships/worksheet" Target="worksheets/sheet33.xml"/><Relationship Id="rId36" Type="http://schemas.openxmlformats.org/officeDocument/2006/relationships/worksheet" Target="worksheets/sheet34.xml"/><Relationship Id="rId37" Type="http://schemas.openxmlformats.org/officeDocument/2006/relationships/worksheet" Target="worksheets/sheet35.xml"/><Relationship Id="rId38" Type="http://schemas.openxmlformats.org/officeDocument/2006/relationships/worksheet" Target="worksheets/sheet36.xml"/><Relationship Id="rId39" Type="http://schemas.openxmlformats.org/officeDocument/2006/relationships/worksheet" Target="worksheets/sheet37.xml"/><Relationship Id="rId40" Type="http://schemas.openxmlformats.org/officeDocument/2006/relationships/worksheet" Target="worksheets/sheet38.xml"/><Relationship Id="rId41" Type="http://schemas.openxmlformats.org/officeDocument/2006/relationships/worksheet" Target="worksheets/sheet39.xml"/><Relationship Id="rId42" Type="http://schemas.openxmlformats.org/officeDocument/2006/relationships/worksheet" Target="worksheets/sheet40.xml"/><Relationship Id="rId43" Type="http://schemas.openxmlformats.org/officeDocument/2006/relationships/worksheet" Target="worksheets/sheet41.xml"/><Relationship Id="rId44" Type="http://schemas.openxmlformats.org/officeDocument/2006/relationships/worksheet" Target="worksheets/sheet42.xml"/><Relationship Id="rId45" Type="http://schemas.openxmlformats.org/officeDocument/2006/relationships/worksheet" Target="worksheets/sheet43.xml"/><Relationship Id="rId46" Type="http://schemas.openxmlformats.org/officeDocument/2006/relationships/worksheet" Target="worksheets/sheet44.xml"/><Relationship Id="rId47" Type="http://schemas.openxmlformats.org/officeDocument/2006/relationships/worksheet" Target="worksheets/sheet45.xml"/><Relationship Id="rId4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1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5"/>
    <col collapsed="false" customWidth="true" hidden="false" outlineLevel="0" max="2" min="2" style="1" width="13"/>
    <col collapsed="false" customWidth="true" hidden="false" outlineLevel="0" max="3" min="3" style="1" width="80"/>
    <col collapsed="false" customWidth="true" hidden="false" outlineLevel="0" max="4" min="4" style="1" width="48"/>
  </cols>
  <sheetData>
    <row r="1" customFormat="false" ht="15" hidden="false" customHeight="true" outlineLevel="0" collapsed="false">
      <c r="A1" s="2" t="s">
        <v>0</v>
      </c>
    </row>
    <row r="3" customFormat="false" ht="15" hidden="false" customHeight="true" outlineLevel="0" collapsed="false">
      <c r="A3" s="3" t="s">
        <v>1</v>
      </c>
      <c r="B3" s="4" t="s">
        <v>2</v>
      </c>
    </row>
    <row r="4" customFormat="false" ht="15" hidden="false" customHeight="true" outlineLevel="0" collapsed="false">
      <c r="A4" s="3" t="s">
        <v>3</v>
      </c>
      <c r="B4" s="3" t="s">
        <v>4</v>
      </c>
    </row>
    <row r="5" customFormat="false" ht="15" hidden="false" customHeight="true" outlineLevel="0" collapsed="false">
      <c r="A5" s="3" t="s">
        <v>5</v>
      </c>
      <c r="B5" s="3" t="n">
        <v>76434</v>
      </c>
    </row>
    <row r="6" customFormat="false" ht="15" hidden="false" customHeight="true" outlineLevel="0" collapsed="false">
      <c r="A6" s="3" t="s">
        <v>6</v>
      </c>
      <c r="B6" s="3" t="s">
        <v>7</v>
      </c>
    </row>
    <row r="7" customFormat="false" ht="15" hidden="false" customHeight="true" outlineLevel="0" collapsed="false">
      <c r="B7" s="5"/>
    </row>
    <row r="8" customFormat="false" ht="15" hidden="false" customHeight="true" outlineLevel="0" collapsed="false">
      <c r="A8" s="6" t="s">
        <v>8</v>
      </c>
    </row>
    <row r="9" customFormat="false" ht="15" hidden="false" customHeight="true" outlineLevel="0" collapsed="false">
      <c r="A9" s="1" t="s">
        <v>9</v>
      </c>
      <c r="C9" s="7" t="s">
        <v>10</v>
      </c>
    </row>
    <row r="10" customFormat="false" ht="45.75" hidden="false" customHeight="true" outlineLevel="0" collapsed="false">
      <c r="A10" s="1" t="s">
        <v>11</v>
      </c>
      <c r="C10" s="7" t="s">
        <v>12</v>
      </c>
    </row>
    <row r="11" customFormat="false" ht="45.75" hidden="false" customHeight="true" outlineLevel="0" collapsed="false">
      <c r="A11" s="1" t="s">
        <v>13</v>
      </c>
      <c r="C11" s="7" t="s">
        <v>14</v>
      </c>
    </row>
    <row r="12" customFormat="false" ht="15.75" hidden="false" customHeight="true" outlineLevel="0" collapsed="false">
      <c r="A12" s="1" t="s">
        <v>15</v>
      </c>
      <c r="C12" s="7" t="s">
        <v>16</v>
      </c>
    </row>
    <row r="13" customFormat="false" ht="15" hidden="false" customHeight="true" outlineLevel="0" collapsed="false">
      <c r="A13" s="1" t="s">
        <v>17</v>
      </c>
      <c r="C13" s="7" t="s">
        <v>18</v>
      </c>
    </row>
    <row r="14" customFormat="false" ht="15" hidden="false" customHeight="true" outlineLevel="0" collapsed="false"/>
    <row r="15" customFormat="false" ht="42" hidden="false" customHeight="true" outlineLevel="0" collapsed="false">
      <c r="A15" s="6" t="s">
        <v>19</v>
      </c>
    </row>
    <row r="16" customFormat="false" ht="42" hidden="false" customHeight="true" outlineLevel="0" collapsed="false">
      <c r="A16" s="8" t="s">
        <v>1</v>
      </c>
      <c r="B16" s="8" t="s">
        <v>20</v>
      </c>
      <c r="C16" s="8" t="s">
        <v>21</v>
      </c>
      <c r="D16" s="8" t="s">
        <v>22</v>
      </c>
    </row>
    <row r="17" customFormat="false" ht="55.5" hidden="false" customHeight="true" outlineLevel="0" collapsed="false">
      <c r="A17" s="1" t="s">
        <v>23</v>
      </c>
      <c r="B17" s="1" t="s">
        <v>24</v>
      </c>
      <c r="C17" s="1" t="s">
        <v>25</v>
      </c>
      <c r="D17" s="7" t="s">
        <v>26</v>
      </c>
    </row>
    <row r="18" customFormat="false" ht="55.5" hidden="false" customHeight="true" outlineLevel="0" collapsed="false">
      <c r="A18" s="1" t="s">
        <v>27</v>
      </c>
      <c r="B18" s="3" t="s">
        <v>28</v>
      </c>
      <c r="C18" s="1" t="s">
        <v>29</v>
      </c>
      <c r="D18" s="7" t="s">
        <v>30</v>
      </c>
    </row>
    <row r="19" customFormat="false" ht="55.5" hidden="false" customHeight="true" outlineLevel="0" collapsed="false">
      <c r="A19" s="1" t="s">
        <v>31</v>
      </c>
      <c r="B19" s="3" t="s">
        <v>28</v>
      </c>
      <c r="C19" s="1" t="s">
        <v>32</v>
      </c>
      <c r="D19" s="7" t="s">
        <v>33</v>
      </c>
    </row>
    <row r="20" customFormat="false" ht="55.5" hidden="false" customHeight="true" outlineLevel="0" collapsed="false">
      <c r="A20" s="4" t="s">
        <v>34</v>
      </c>
      <c r="B20" s="1" t="s">
        <v>35</v>
      </c>
      <c r="C20" s="1" t="s">
        <v>36</v>
      </c>
      <c r="D20" s="7" t="s">
        <v>37</v>
      </c>
    </row>
    <row r="21" customFormat="false" ht="55.5" hidden="false" customHeight="true" outlineLevel="0" collapsed="false">
      <c r="A21" s="4" t="s">
        <v>38</v>
      </c>
      <c r="B21" s="1" t="s">
        <v>35</v>
      </c>
      <c r="C21" s="1" t="s">
        <v>39</v>
      </c>
      <c r="D21" s="7" t="s">
        <v>40</v>
      </c>
    </row>
    <row r="22" customFormat="false" ht="60" hidden="false" customHeight="true" outlineLevel="0" collapsed="false">
      <c r="A22" s="4" t="s">
        <v>41</v>
      </c>
      <c r="B22" s="1" t="s">
        <v>35</v>
      </c>
      <c r="C22" s="1" t="s">
        <v>42</v>
      </c>
      <c r="D22" s="7" t="s">
        <v>43</v>
      </c>
    </row>
    <row r="23" customFormat="false" ht="48" hidden="false" customHeight="true" outlineLevel="0" collapsed="false">
      <c r="A23" s="4" t="s">
        <v>44</v>
      </c>
      <c r="B23" s="1" t="s">
        <v>35</v>
      </c>
      <c r="C23" s="1" t="s">
        <v>45</v>
      </c>
      <c r="D23" s="7" t="s">
        <v>46</v>
      </c>
    </row>
    <row r="24" customFormat="false" ht="60" hidden="false" customHeight="true" outlineLevel="0" collapsed="false">
      <c r="A24" s="4" t="s">
        <v>47</v>
      </c>
      <c r="B24" s="1" t="s">
        <v>35</v>
      </c>
      <c r="C24" s="7" t="s">
        <v>48</v>
      </c>
      <c r="D24" s="7" t="s">
        <v>49</v>
      </c>
    </row>
    <row r="25" customFormat="false" ht="60" hidden="false" customHeight="true" outlineLevel="0" collapsed="false">
      <c r="A25" s="4" t="s">
        <v>50</v>
      </c>
      <c r="B25" s="1" t="s">
        <v>35</v>
      </c>
      <c r="C25" s="7" t="s">
        <v>51</v>
      </c>
      <c r="D25" s="7" t="s">
        <v>52</v>
      </c>
    </row>
    <row r="26" customFormat="false" ht="72" hidden="false" customHeight="true" outlineLevel="0" collapsed="false">
      <c r="A26" s="4" t="s">
        <v>53</v>
      </c>
      <c r="B26" s="1" t="s">
        <v>28</v>
      </c>
      <c r="C26" s="7" t="s">
        <v>54</v>
      </c>
      <c r="D26" s="7" t="s">
        <v>55</v>
      </c>
    </row>
    <row r="27" customFormat="false" ht="72" hidden="false" customHeight="true" outlineLevel="0" collapsed="false">
      <c r="A27" s="4" t="s">
        <v>56</v>
      </c>
      <c r="B27" s="1" t="s">
        <v>35</v>
      </c>
      <c r="C27" s="7" t="s">
        <v>57</v>
      </c>
      <c r="D27" s="7" t="s">
        <v>58</v>
      </c>
    </row>
    <row r="28" customFormat="false" ht="72" hidden="false" customHeight="true" outlineLevel="0" collapsed="false">
      <c r="A28" s="4" t="s">
        <v>59</v>
      </c>
      <c r="B28" s="1" t="s">
        <v>35</v>
      </c>
      <c r="C28" s="1" t="s">
        <v>60</v>
      </c>
      <c r="D28" s="7" t="s">
        <v>61</v>
      </c>
    </row>
    <row r="29" customFormat="false" ht="72" hidden="false" customHeight="true" outlineLevel="0" collapsed="false">
      <c r="A29" s="4" t="s">
        <v>62</v>
      </c>
      <c r="B29" s="1" t="s">
        <v>28</v>
      </c>
      <c r="C29" s="1" t="s">
        <v>63</v>
      </c>
      <c r="D29" s="7" t="s">
        <v>64</v>
      </c>
    </row>
    <row r="30" customFormat="false" ht="15" hidden="false" customHeight="true" outlineLevel="0" collapsed="false">
      <c r="A30" s="9"/>
      <c r="C30" s="10"/>
    </row>
    <row r="31" customFormat="false" ht="15" hidden="false" customHeight="true" outlineLevel="0" collapsed="false">
      <c r="A31" s="3" t="s">
        <v>65</v>
      </c>
      <c r="C31" s="11" t="s">
        <v>66</v>
      </c>
    </row>
    <row r="32" customFormat="false" ht="72" hidden="false" customHeight="true" outlineLevel="0" collapsed="false">
      <c r="A32" s="4" t="s">
        <v>67</v>
      </c>
      <c r="B32" s="1" t="s">
        <v>35</v>
      </c>
      <c r="C32" s="12" t="s">
        <v>68</v>
      </c>
      <c r="D32" s="7" t="s">
        <v>69</v>
      </c>
    </row>
    <row r="33" customFormat="false" ht="72" hidden="false" customHeight="true" outlineLevel="0" collapsed="false">
      <c r="A33" s="4" t="s">
        <v>70</v>
      </c>
      <c r="B33" s="1" t="s">
        <v>28</v>
      </c>
      <c r="C33" s="12" t="s">
        <v>71</v>
      </c>
      <c r="D33" s="7" t="s">
        <v>72</v>
      </c>
    </row>
    <row r="34" customFormat="false" ht="72" hidden="false" customHeight="true" outlineLevel="0" collapsed="false">
      <c r="A34" s="4" t="s">
        <v>73</v>
      </c>
      <c r="B34" s="1" t="s">
        <v>35</v>
      </c>
      <c r="C34" s="12" t="s">
        <v>74</v>
      </c>
      <c r="D34" s="7" t="s">
        <v>75</v>
      </c>
    </row>
    <row r="35" customFormat="false" ht="72" hidden="false" customHeight="true" outlineLevel="0" collapsed="false">
      <c r="A35" s="4" t="s">
        <v>76</v>
      </c>
      <c r="B35" s="1" t="s">
        <v>35</v>
      </c>
      <c r="C35" s="12" t="s">
        <v>77</v>
      </c>
      <c r="D35" s="7" t="s">
        <v>78</v>
      </c>
    </row>
    <row r="36" customFormat="false" ht="72" hidden="false" customHeight="true" outlineLevel="0" collapsed="false">
      <c r="A36" s="4" t="s">
        <v>79</v>
      </c>
      <c r="B36" s="1" t="s">
        <v>35</v>
      </c>
      <c r="C36" s="12" t="s">
        <v>80</v>
      </c>
      <c r="D36" s="7" t="s">
        <v>81</v>
      </c>
    </row>
    <row r="37" customFormat="false" ht="15" hidden="false" customHeight="true" outlineLevel="0" collapsed="false">
      <c r="A37" s="9"/>
      <c r="C37" s="13"/>
    </row>
    <row r="38" customFormat="false" ht="72" hidden="false" customHeight="true" outlineLevel="0" collapsed="false">
      <c r="A38" s="4" t="s">
        <v>82</v>
      </c>
      <c r="B38" s="1" t="s">
        <v>35</v>
      </c>
      <c r="C38" s="12" t="s">
        <v>83</v>
      </c>
      <c r="D38" s="7" t="s">
        <v>84</v>
      </c>
    </row>
    <row r="39" customFormat="false" ht="84" hidden="false" customHeight="true" outlineLevel="0" collapsed="false">
      <c r="A39" s="4" t="s">
        <v>85</v>
      </c>
      <c r="B39" s="1" t="s">
        <v>28</v>
      </c>
      <c r="C39" s="1" t="s">
        <v>86</v>
      </c>
      <c r="D39" s="7" t="s">
        <v>87</v>
      </c>
    </row>
    <row r="40" customFormat="false" ht="15" hidden="false" customHeight="true" outlineLevel="0" collapsed="false">
      <c r="A40" s="7" t="s">
        <v>88</v>
      </c>
    </row>
    <row r="41" customFormat="false" ht="15" hidden="false" customHeight="true" outlineLevel="0" collapsed="false">
      <c r="A41" s="3" t="s">
        <v>89</v>
      </c>
      <c r="C41" s="1" t="s">
        <v>90</v>
      </c>
    </row>
    <row r="42" customFormat="false" ht="60" hidden="false" customHeight="true" outlineLevel="0" collapsed="false">
      <c r="A42" s="4" t="s">
        <v>91</v>
      </c>
      <c r="B42" s="1" t="s">
        <v>35</v>
      </c>
      <c r="C42" s="1" t="s">
        <v>92</v>
      </c>
      <c r="D42" s="7" t="s">
        <v>93</v>
      </c>
    </row>
    <row r="44" customFormat="false" ht="15" hidden="false" customHeight="true" outlineLevel="0" collapsed="false">
      <c r="A44" s="9" t="s">
        <v>94</v>
      </c>
      <c r="C44" s="14" t="s">
        <v>95</v>
      </c>
    </row>
    <row r="45" customFormat="false" ht="60" hidden="false" customHeight="true" outlineLevel="0" collapsed="false">
      <c r="A45" s="4" t="s">
        <v>96</v>
      </c>
      <c r="B45" s="1" t="s">
        <v>35</v>
      </c>
      <c r="C45" s="1" t="s">
        <v>97</v>
      </c>
      <c r="D45" s="7" t="s">
        <v>98</v>
      </c>
    </row>
    <row r="46" customFormat="false" ht="72" hidden="false" customHeight="true" outlineLevel="0" collapsed="false">
      <c r="A46" s="4" t="s">
        <v>99</v>
      </c>
      <c r="B46" s="1" t="s">
        <v>35</v>
      </c>
      <c r="C46" s="1" t="s">
        <v>100</v>
      </c>
      <c r="D46" s="7" t="s">
        <v>101</v>
      </c>
    </row>
    <row r="47" customFormat="false" ht="72" hidden="false" customHeight="true" outlineLevel="0" collapsed="false">
      <c r="A47" s="4" t="s">
        <v>102</v>
      </c>
      <c r="B47" s="1" t="s">
        <v>35</v>
      </c>
      <c r="C47" s="1" t="s">
        <v>103</v>
      </c>
      <c r="D47" s="7" t="s">
        <v>104</v>
      </c>
    </row>
    <row r="48" customFormat="false" ht="72" hidden="false" customHeight="true" outlineLevel="0" collapsed="false">
      <c r="A48" s="4" t="s">
        <v>105</v>
      </c>
      <c r="B48" s="1" t="s">
        <v>35</v>
      </c>
      <c r="C48" s="1" t="s">
        <v>106</v>
      </c>
      <c r="D48" s="7" t="s">
        <v>107</v>
      </c>
    </row>
    <row r="50" customFormat="false" ht="15" hidden="false" customHeight="true" outlineLevel="0" collapsed="false">
      <c r="A50" s="9" t="s">
        <v>108</v>
      </c>
      <c r="C50" s="14" t="s">
        <v>109</v>
      </c>
    </row>
    <row r="51" customFormat="false" ht="72" hidden="false" customHeight="true" outlineLevel="0" collapsed="false">
      <c r="A51" s="4" t="s">
        <v>110</v>
      </c>
      <c r="B51" s="1" t="s">
        <v>35</v>
      </c>
      <c r="C51" s="1" t="s">
        <v>111</v>
      </c>
      <c r="D51" s="7" t="s">
        <v>112</v>
      </c>
    </row>
    <row r="52" customFormat="false" ht="84" hidden="false" customHeight="true" outlineLevel="0" collapsed="false">
      <c r="A52" s="4" t="s">
        <v>113</v>
      </c>
      <c r="B52" s="1" t="s">
        <v>28</v>
      </c>
      <c r="C52" s="1" t="s">
        <v>114</v>
      </c>
      <c r="D52" s="7" t="s">
        <v>115</v>
      </c>
    </row>
    <row r="53" customFormat="false" ht="72" hidden="false" customHeight="true" outlineLevel="0" collapsed="false">
      <c r="A53" s="4" t="s">
        <v>116</v>
      </c>
      <c r="B53" s="1" t="s">
        <v>35</v>
      </c>
      <c r="C53" s="1" t="s">
        <v>117</v>
      </c>
      <c r="D53" s="7" t="s">
        <v>118</v>
      </c>
    </row>
    <row r="54" customFormat="false" ht="60" hidden="false" customHeight="true" outlineLevel="0" collapsed="false">
      <c r="A54" s="4" t="s">
        <v>119</v>
      </c>
      <c r="B54" s="1" t="s">
        <v>35</v>
      </c>
      <c r="C54" s="1" t="s">
        <v>120</v>
      </c>
      <c r="D54" s="7" t="s">
        <v>121</v>
      </c>
    </row>
    <row r="55" customFormat="false" ht="48" hidden="false" customHeight="true" outlineLevel="0" collapsed="false">
      <c r="A55" s="4" t="s">
        <v>122</v>
      </c>
      <c r="B55" s="1" t="s">
        <v>35</v>
      </c>
      <c r="C55" s="1" t="s">
        <v>123</v>
      </c>
      <c r="D55" s="7" t="s">
        <v>124</v>
      </c>
    </row>
    <row r="56" customFormat="false" ht="96" hidden="false" customHeight="true" outlineLevel="0" collapsed="false">
      <c r="A56" s="4" t="s">
        <v>125</v>
      </c>
      <c r="B56" s="1" t="s">
        <v>28</v>
      </c>
      <c r="C56" s="1" t="s">
        <v>126</v>
      </c>
      <c r="D56" s="7" t="s">
        <v>127</v>
      </c>
    </row>
    <row r="58" customFormat="false" ht="15" hidden="false" customHeight="true" outlineLevel="0" collapsed="false">
      <c r="A58" s="9" t="s">
        <v>128</v>
      </c>
      <c r="C58" s="14" t="s">
        <v>129</v>
      </c>
    </row>
    <row r="59" customFormat="false" ht="109.5" hidden="false" customHeight="true" outlineLevel="0" collapsed="false">
      <c r="A59" s="4" t="s">
        <v>130</v>
      </c>
      <c r="B59" s="1" t="s">
        <v>35</v>
      </c>
      <c r="C59" s="1" t="s">
        <v>131</v>
      </c>
      <c r="D59" s="7" t="s">
        <v>132</v>
      </c>
    </row>
    <row r="61" customFormat="false" ht="84" hidden="false" customHeight="true" outlineLevel="0" collapsed="false">
      <c r="A61" s="4" t="s">
        <v>133</v>
      </c>
      <c r="B61" s="1" t="s">
        <v>35</v>
      </c>
      <c r="C61" s="1" t="s">
        <v>134</v>
      </c>
      <c r="D61" s="7" t="s">
        <v>135</v>
      </c>
    </row>
    <row r="62" customFormat="false" ht="15" hidden="false" customHeight="true" outlineLevel="0" collapsed="false">
      <c r="A62" s="9" t="s">
        <v>136</v>
      </c>
      <c r="C62" s="14" t="s">
        <v>137</v>
      </c>
    </row>
    <row r="63" customFormat="false" ht="84" hidden="false" customHeight="true" outlineLevel="0" collapsed="false">
      <c r="A63" s="4" t="s">
        <v>138</v>
      </c>
      <c r="B63" s="1" t="s">
        <v>35</v>
      </c>
      <c r="C63" s="1" t="s">
        <v>139</v>
      </c>
      <c r="D63" s="7" t="s">
        <v>140</v>
      </c>
    </row>
    <row r="64" customFormat="false" ht="15" hidden="false" customHeight="true" outlineLevel="0" collapsed="false">
      <c r="A64" s="9" t="s">
        <v>141</v>
      </c>
      <c r="C64" s="14" t="s">
        <v>142</v>
      </c>
    </row>
    <row r="66" customFormat="false" ht="72" hidden="false" customHeight="true" outlineLevel="0" collapsed="false">
      <c r="A66" s="4" t="s">
        <v>143</v>
      </c>
      <c r="B66" s="1" t="s">
        <v>35</v>
      </c>
      <c r="C66" s="1" t="s">
        <v>144</v>
      </c>
      <c r="D66" s="7" t="s">
        <v>145</v>
      </c>
    </row>
    <row r="68" customFormat="false" ht="84" hidden="false" customHeight="true" outlineLevel="0" collapsed="false">
      <c r="A68" s="4" t="s">
        <v>146</v>
      </c>
      <c r="B68" s="1" t="s">
        <v>28</v>
      </c>
      <c r="C68" s="1" t="s">
        <v>147</v>
      </c>
      <c r="D68" s="7" t="s">
        <v>148</v>
      </c>
    </row>
    <row r="70" customFormat="false" ht="84" hidden="false" customHeight="true" outlineLevel="0" collapsed="false">
      <c r="A70" s="4" t="s">
        <v>149</v>
      </c>
      <c r="B70" s="1" t="s">
        <v>35</v>
      </c>
      <c r="C70" s="1" t="s">
        <v>150</v>
      </c>
      <c r="D70" s="7" t="s">
        <v>151</v>
      </c>
    </row>
    <row r="72" customFormat="false" ht="84" hidden="false" customHeight="true" outlineLevel="0" collapsed="false">
      <c r="A72" s="4" t="s">
        <v>152</v>
      </c>
      <c r="B72" s="1" t="s">
        <v>35</v>
      </c>
      <c r="C72" s="1" t="s">
        <v>153</v>
      </c>
      <c r="D72" s="7" t="s">
        <v>154</v>
      </c>
    </row>
    <row r="74" customFormat="false" ht="84" hidden="false" customHeight="true" outlineLevel="0" collapsed="false">
      <c r="A74" s="4" t="s">
        <v>155</v>
      </c>
      <c r="B74" s="1" t="s">
        <v>35</v>
      </c>
      <c r="C74" s="1" t="s">
        <v>156</v>
      </c>
      <c r="D74" s="7" t="s">
        <v>157</v>
      </c>
    </row>
    <row r="76" customFormat="false" ht="84" hidden="false" customHeight="true" outlineLevel="0" collapsed="false">
      <c r="A76" s="4" t="s">
        <v>158</v>
      </c>
      <c r="B76" s="1" t="s">
        <v>28</v>
      </c>
      <c r="C76" s="1" t="s">
        <v>159</v>
      </c>
      <c r="D76" s="7" t="s">
        <v>160</v>
      </c>
    </row>
    <row r="78" customFormat="false" ht="60" hidden="false" customHeight="true" outlineLevel="0" collapsed="false">
      <c r="A78" s="4" t="s">
        <v>161</v>
      </c>
      <c r="B78" s="1" t="s">
        <v>35</v>
      </c>
      <c r="C78" s="1" t="s">
        <v>162</v>
      </c>
      <c r="D78" s="7" t="s">
        <v>163</v>
      </c>
    </row>
    <row r="80" customFormat="false" ht="96" hidden="false" customHeight="true" outlineLevel="0" collapsed="false">
      <c r="A80" s="4" t="s">
        <v>164</v>
      </c>
      <c r="B80" s="1" t="s">
        <v>28</v>
      </c>
      <c r="C80" s="1" t="s">
        <v>165</v>
      </c>
      <c r="D80" s="7" t="s">
        <v>166</v>
      </c>
    </row>
    <row r="82" customFormat="false" ht="72" hidden="false" customHeight="true" outlineLevel="0" collapsed="false">
      <c r="A82" s="4" t="s">
        <v>167</v>
      </c>
      <c r="B82" s="1" t="s">
        <v>35</v>
      </c>
      <c r="C82" s="1" t="s">
        <v>168</v>
      </c>
      <c r="D82" s="7" t="s">
        <v>169</v>
      </c>
    </row>
    <row r="84" customFormat="false" ht="15" hidden="false" customHeight="true" outlineLevel="0" collapsed="false">
      <c r="A84" s="1" t="s">
        <v>170</v>
      </c>
      <c r="B84" s="1" t="s">
        <v>171</v>
      </c>
      <c r="C84" s="1" t="s">
        <v>172</v>
      </c>
      <c r="D84" s="1" t="s">
        <v>173</v>
      </c>
    </row>
    <row r="86" customFormat="false" ht="15" hidden="false" customHeight="true" outlineLevel="0" collapsed="false">
      <c r="A86" s="1" t="s">
        <v>174</v>
      </c>
      <c r="B86" s="1" t="s">
        <v>171</v>
      </c>
      <c r="C86" s="1" t="s">
        <v>175</v>
      </c>
      <c r="D86" s="1" t="s">
        <v>176</v>
      </c>
    </row>
    <row r="88" customFormat="false" ht="15" hidden="false" customHeight="true" outlineLevel="0" collapsed="false">
      <c r="A88" s="1" t="s">
        <v>177</v>
      </c>
      <c r="B88" s="1" t="s">
        <v>35</v>
      </c>
      <c r="C88" s="1" t="s">
        <v>178</v>
      </c>
      <c r="D88" s="1" t="s">
        <v>179</v>
      </c>
    </row>
    <row r="90" customFormat="false" ht="15" hidden="false" customHeight="true" outlineLevel="0" collapsed="false">
      <c r="A90" s="1" t="s">
        <v>180</v>
      </c>
      <c r="B90" s="1" t="s">
        <v>28</v>
      </c>
      <c r="C90" s="1" t="s">
        <v>181</v>
      </c>
      <c r="D90" s="1" t="s">
        <v>182</v>
      </c>
    </row>
    <row r="92" customFormat="false" ht="15" hidden="false" customHeight="true" outlineLevel="0" collapsed="false">
      <c r="A92" s="1" t="s">
        <v>183</v>
      </c>
      <c r="B92" s="1" t="s">
        <v>35</v>
      </c>
      <c r="C92" s="1" t="s">
        <v>184</v>
      </c>
      <c r="D92" s="1" t="s">
        <v>185</v>
      </c>
    </row>
    <row r="94" customFormat="false" ht="15" hidden="false" customHeight="true" outlineLevel="0" collapsed="false">
      <c r="A94" s="1" t="s">
        <v>186</v>
      </c>
      <c r="B94" s="1" t="s">
        <v>171</v>
      </c>
      <c r="C94" s="1" t="s">
        <v>187</v>
      </c>
      <c r="D94" s="1" t="s">
        <v>188</v>
      </c>
    </row>
    <row r="96" customFormat="false" ht="15" hidden="false" customHeight="true" outlineLevel="0" collapsed="false">
      <c r="A96" s="1" t="s">
        <v>189</v>
      </c>
      <c r="B96" s="1" t="s">
        <v>171</v>
      </c>
      <c r="C96" s="1" t="s">
        <v>190</v>
      </c>
      <c r="D96" s="1" t="s">
        <v>191</v>
      </c>
    </row>
    <row r="98" customFormat="false" ht="15" hidden="false" customHeight="true" outlineLevel="0" collapsed="false">
      <c r="A98" s="1" t="s">
        <v>192</v>
      </c>
      <c r="B98" s="1" t="s">
        <v>171</v>
      </c>
      <c r="C98" s="1" t="s">
        <v>193</v>
      </c>
      <c r="D98" s="1" t="s">
        <v>194</v>
      </c>
    </row>
    <row r="100" customFormat="false" ht="15" hidden="false" customHeight="true" outlineLevel="0" collapsed="false">
      <c r="A100" s="1" t="s">
        <v>195</v>
      </c>
      <c r="B100" s="1" t="s">
        <v>171</v>
      </c>
      <c r="C100" s="1" t="s">
        <v>196</v>
      </c>
      <c r="D100" s="1" t="s">
        <v>197</v>
      </c>
    </row>
    <row r="102" customFormat="false" ht="15" hidden="false" customHeight="true" outlineLevel="0" collapsed="false">
      <c r="A102" s="1" t="s">
        <v>198</v>
      </c>
      <c r="B102" s="1" t="s">
        <v>35</v>
      </c>
      <c r="C102" s="1" t="s">
        <v>199</v>
      </c>
      <c r="D102" s="1" t="s">
        <v>200</v>
      </c>
    </row>
    <row r="104" customFormat="false" ht="15" hidden="false" customHeight="true" outlineLevel="0" collapsed="false">
      <c r="A104" s="1" t="s">
        <v>201</v>
      </c>
      <c r="B104" s="1" t="s">
        <v>35</v>
      </c>
      <c r="C104" s="1" t="s">
        <v>202</v>
      </c>
      <c r="D104" s="1" t="s">
        <v>203</v>
      </c>
    </row>
    <row r="106" customFormat="false" ht="15" hidden="false" customHeight="true" outlineLevel="0" collapsed="false">
      <c r="A106" s="1" t="s">
        <v>204</v>
      </c>
      <c r="B106" s="1" t="s">
        <v>35</v>
      </c>
      <c r="C106" s="1" t="s">
        <v>205</v>
      </c>
      <c r="D106" s="1" t="s">
        <v>206</v>
      </c>
    </row>
    <row r="108" customFormat="false" ht="15" hidden="false" customHeight="true" outlineLevel="0" collapsed="false">
      <c r="A108" s="1" t="s">
        <v>207</v>
      </c>
      <c r="B108" s="1" t="s">
        <v>35</v>
      </c>
      <c r="C108" s="1" t="s">
        <v>208</v>
      </c>
      <c r="D108" s="1" t="s">
        <v>209</v>
      </c>
    </row>
    <row r="110" customFormat="false" ht="15" hidden="false" customHeight="true" outlineLevel="0" collapsed="false">
      <c r="A110" s="1" t="s">
        <v>210</v>
      </c>
      <c r="B110" s="1" t="s">
        <v>171</v>
      </c>
      <c r="C110" s="1" t="s">
        <v>211</v>
      </c>
      <c r="D110" s="1" t="s">
        <v>212</v>
      </c>
    </row>
    <row r="112" customFormat="false" ht="15" hidden="false" customHeight="true" outlineLevel="0" collapsed="false">
      <c r="A112" s="1" t="s">
        <v>213</v>
      </c>
      <c r="B112" s="1" t="s">
        <v>35</v>
      </c>
      <c r="C112" s="1" t="s">
        <v>214</v>
      </c>
      <c r="D112" s="1" t="s">
        <v>215</v>
      </c>
    </row>
    <row r="114" customFormat="false" ht="15" hidden="false" customHeight="true" outlineLevel="0" collapsed="false">
      <c r="A114" s="1" t="s">
        <v>216</v>
      </c>
      <c r="B114" s="1" t="s">
        <v>28</v>
      </c>
      <c r="C114" s="1" t="s">
        <v>217</v>
      </c>
    </row>
    <row r="116" customFormat="false" ht="15" hidden="false" customHeight="true" outlineLevel="0" collapsed="false">
      <c r="A116" s="1" t="s">
        <v>218</v>
      </c>
      <c r="B116" s="1" t="s">
        <v>35</v>
      </c>
      <c r="C116" s="1" t="s">
        <v>219</v>
      </c>
    </row>
    <row r="118" customFormat="false" ht="15" hidden="false" customHeight="false" outlineLevel="0" collapsed="false">
      <c r="A118" s="1" t="s">
        <v>2</v>
      </c>
      <c r="B118" s="1" t="s">
        <v>35</v>
      </c>
      <c r="C118" s="1" t="s">
        <v>220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0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4"/>
    <col collapsed="false" customWidth="true" hidden="false" outlineLevel="0" max="8" min="2" style="1" width="17"/>
  </cols>
  <sheetData>
    <row r="1" customFormat="false" ht="15.75" hidden="false" customHeight="true" outlineLevel="0" collapsed="false">
      <c r="A1" s="15" t="s">
        <v>589</v>
      </c>
    </row>
    <row r="2" customFormat="false" ht="15" hidden="false" customHeight="true" outlineLevel="0" collapsed="false">
      <c r="A2" s="7" t="s">
        <v>590</v>
      </c>
    </row>
    <row r="4" customFormat="false" ht="15" hidden="false" customHeight="true" outlineLevel="0" collapsed="false">
      <c r="A4" s="6" t="s">
        <v>591</v>
      </c>
    </row>
    <row r="5" customFormat="false" ht="15" hidden="false" customHeight="true" outlineLevel="0" collapsed="false">
      <c r="A5" s="7" t="s">
        <v>592</v>
      </c>
      <c r="B5" s="40" t="s">
        <v>593</v>
      </c>
    </row>
    <row r="6" customFormat="false" ht="15" hidden="false" customHeight="true" outlineLevel="0" collapsed="false">
      <c r="A6" s="7" t="s">
        <v>594</v>
      </c>
      <c r="B6" s="40" t="s">
        <v>595</v>
      </c>
    </row>
    <row r="7" customFormat="false" ht="15" hidden="false" customHeight="true" outlineLevel="0" collapsed="false">
      <c r="A7" s="7" t="s">
        <v>596</v>
      </c>
      <c r="B7" s="40" t="s">
        <v>597</v>
      </c>
    </row>
    <row r="8" customFormat="false" ht="15" hidden="false" customHeight="true" outlineLevel="0" collapsed="false">
      <c r="A8" s="7" t="s">
        <v>598</v>
      </c>
      <c r="B8" s="40" t="s">
        <v>599</v>
      </c>
    </row>
    <row r="9" customFormat="false" ht="15" hidden="false" customHeight="true" outlineLevel="0" collapsed="false">
      <c r="A9" s="7" t="s">
        <v>600</v>
      </c>
      <c r="B9" s="40" t="s">
        <v>601</v>
      </c>
    </row>
    <row r="10" customFormat="false" ht="15" hidden="false" customHeight="true" outlineLevel="0" collapsed="false">
      <c r="A10" s="7" t="s">
        <v>563</v>
      </c>
      <c r="B10" s="43" t="str">
        <f aca="false">EIOPA_Source!B6</f>
        <v>EUR_31_05_2026_SWP_LLP_20_EXT_40_UFR_3.30</v>
      </c>
    </row>
    <row r="11" customFormat="false" ht="15" hidden="false" customHeight="true" outlineLevel="0" collapsed="false">
      <c r="A11" s="7" t="s">
        <v>602</v>
      </c>
      <c r="B11" s="40" t="s">
        <v>603</v>
      </c>
    </row>
    <row r="12" customFormat="false" ht="15" hidden="false" customHeight="true" outlineLevel="0" collapsed="false">
      <c r="A12" s="7" t="s">
        <v>604</v>
      </c>
      <c r="B12" s="40" t="s">
        <v>605</v>
      </c>
    </row>
    <row r="15" customFormat="false" ht="15" hidden="false" customHeight="true" outlineLevel="0" collapsed="false">
      <c r="A15" s="6" t="s">
        <v>606</v>
      </c>
    </row>
    <row r="16" customFormat="false" ht="15" hidden="false" customHeight="true" outlineLevel="0" collapsed="false">
      <c r="A16" s="1" t="s">
        <v>607</v>
      </c>
      <c r="B16" s="23" t="n">
        <f aca="false">EIOPA_Source!B10/100</f>
        <v>0.033</v>
      </c>
    </row>
    <row r="17" customFormat="false" ht="15" hidden="false" customHeight="true" outlineLevel="0" collapsed="false">
      <c r="A17" s="1" t="s">
        <v>569</v>
      </c>
      <c r="B17" s="32" t="n">
        <f aca="false">EIOPA_Source!B11</f>
        <v>0.059979</v>
      </c>
    </row>
    <row r="18" customFormat="false" ht="15" hidden="false" customHeight="true" outlineLevel="0" collapsed="false">
      <c r="A18" s="1" t="s">
        <v>566</v>
      </c>
      <c r="B18" s="34" t="n">
        <f aca="false">EIOPA_Source!B8</f>
        <v>20</v>
      </c>
    </row>
    <row r="19" customFormat="false" ht="15" hidden="false" customHeight="true" outlineLevel="0" collapsed="false">
      <c r="A19" s="1" t="s">
        <v>567</v>
      </c>
      <c r="B19" s="34" t="n">
        <f aca="false">EIOPA_Source!B9</f>
        <v>40</v>
      </c>
    </row>
    <row r="20" customFormat="false" ht="15" hidden="false" customHeight="true" outlineLevel="0" collapsed="false">
      <c r="A20" s="1" t="s">
        <v>570</v>
      </c>
      <c r="B20" s="34" t="n">
        <f aca="false">EIOPA_Source!B12</f>
        <v>10</v>
      </c>
    </row>
    <row r="22" customFormat="false" ht="15" hidden="false" customHeight="true" outlineLevel="0" collapsed="false">
      <c r="A22" s="6" t="s">
        <v>608</v>
      </c>
    </row>
    <row r="23" customFormat="false" ht="15" hidden="false" customHeight="true" outlineLevel="0" collapsed="false">
      <c r="A23" s="7" t="s">
        <v>609</v>
      </c>
    </row>
    <row r="24" customFormat="false" ht="15" hidden="false" customHeight="true" outlineLevel="0" collapsed="false">
      <c r="A24" s="7" t="s">
        <v>610</v>
      </c>
    </row>
    <row r="26" customFormat="false" ht="15" hidden="false" customHeight="true" outlineLevel="0" collapsed="false">
      <c r="A26" s="8" t="s">
        <v>611</v>
      </c>
      <c r="B26" s="8" t="s">
        <v>612</v>
      </c>
      <c r="C26" s="8" t="s">
        <v>613</v>
      </c>
      <c r="D26" s="8" t="s">
        <v>614</v>
      </c>
      <c r="E26" s="8" t="s">
        <v>615</v>
      </c>
      <c r="F26" s="8" t="s">
        <v>616</v>
      </c>
      <c r="G26" s="8" t="s">
        <v>617</v>
      </c>
    </row>
    <row r="27" customFormat="false" ht="15" hidden="false" customHeight="true" outlineLevel="0" collapsed="false">
      <c r="A27" s="3" t="n">
        <v>20</v>
      </c>
      <c r="B27" s="30" t="n">
        <f aca="false">Discount!C24</f>
        <v>0.535815878737946</v>
      </c>
      <c r="C27" s="30" t="n">
        <f aca="false">B27*(1+$B$16)^A27</f>
        <v>1.02570390759334</v>
      </c>
      <c r="D27" s="30" t="n">
        <f aca="false">EXP(-$B$17*A27)</f>
        <v>0.301320740050254</v>
      </c>
      <c r="E27" s="30" t="n">
        <f aca="false">$B$65-$B$66*D27</f>
        <v>1.02568709895674</v>
      </c>
      <c r="F27" s="27" t="n">
        <f aca="false">C27-E27</f>
        <v>1.68086365981424E-005</v>
      </c>
      <c r="G27" s="27" t="n">
        <f aca="false">F27/C27</f>
        <v>1.63874159722969E-005</v>
      </c>
    </row>
    <row r="28" customFormat="false" ht="15" hidden="false" customHeight="true" outlineLevel="0" collapsed="false">
      <c r="A28" s="3" t="n">
        <v>21</v>
      </c>
      <c r="B28" s="30" t="n">
        <f aca="false">Discount!C25</f>
        <v>0.51925173773423</v>
      </c>
      <c r="C28" s="30" t="n">
        <f aca="false">B28*(1+$B$16)^A28</f>
        <v>1.02679728233571</v>
      </c>
      <c r="D28" s="30" t="n">
        <f aca="false">EXP(-$B$17*A28)</f>
        <v>0.283779145512171</v>
      </c>
      <c r="E28" s="30" t="n">
        <f aca="false">$B$65-$B$66*D28</f>
        <v>1.02679728233571</v>
      </c>
      <c r="F28" s="27" t="n">
        <f aca="false">C28-E28</f>
        <v>0</v>
      </c>
      <c r="G28" s="27" t="n">
        <f aca="false">F28/C28</f>
        <v>0</v>
      </c>
    </row>
    <row r="29" customFormat="false" ht="15" hidden="false" customHeight="true" outlineLevel="0" collapsed="false">
      <c r="A29" s="3" t="n">
        <v>22</v>
      </c>
      <c r="B29" s="30" t="n">
        <f aca="false">Discount!C26</f>
        <v>0.503189904708666</v>
      </c>
      <c r="C29" s="30" t="n">
        <f aca="false">B29*(1+$B$16)^A29</f>
        <v>1.02787189863266</v>
      </c>
      <c r="D29" s="30" t="n">
        <f aca="false">EXP(-$B$17*A29)</f>
        <v>0.267258746988963</v>
      </c>
      <c r="E29" s="30" t="n">
        <f aca="false">$B$65-$B$66*D29</f>
        <v>1.02784283562419</v>
      </c>
      <c r="F29" s="27" t="n">
        <f aca="false">C29-E29</f>
        <v>2.90630084696097E-005</v>
      </c>
      <c r="G29" s="27" t="n">
        <f aca="false">F29/C29</f>
        <v>2.82749324193716E-005</v>
      </c>
    </row>
    <row r="30" customFormat="false" ht="15" hidden="false" customHeight="true" outlineLevel="0" collapsed="false">
      <c r="A30" s="3" t="n">
        <v>23</v>
      </c>
      <c r="B30" s="30" t="n">
        <f aca="false">Discount!C27</f>
        <v>0.487615455114014</v>
      </c>
      <c r="C30" s="30" t="n">
        <f aca="false">B30*(1+$B$16)^A30</f>
        <v>1.02892769546103</v>
      </c>
      <c r="D30" s="30" t="n">
        <f aca="false">EXP(-$B$17*A30)</f>
        <v>0.251700094850864</v>
      </c>
      <c r="E30" s="30" t="n">
        <f aca="false">$B$65-$B$66*D30</f>
        <v>1.02882752130744</v>
      </c>
      <c r="F30" s="27" t="n">
        <f aca="false">C30-E30</f>
        <v>0.00010017415358976</v>
      </c>
      <c r="G30" s="27" t="n">
        <f aca="false">F30/C30</f>
        <v>9.73578163282653E-005</v>
      </c>
    </row>
    <row r="31" customFormat="false" ht="15" hidden="false" customHeight="true" outlineLevel="0" collapsed="false">
      <c r="A31" s="3" t="n">
        <v>24</v>
      </c>
      <c r="B31" s="30" t="n">
        <f aca="false">Discount!C28</f>
        <v>0.472403995889235</v>
      </c>
      <c r="C31" s="30" t="n">
        <f aca="false">B31*(1+$B$16)^A31</f>
        <v>1.02972505251797</v>
      </c>
      <c r="D31" s="30" t="n">
        <f aca="false">EXP(-$B$17*A31)</f>
        <v>0.237047200369274</v>
      </c>
      <c r="E31" s="30" t="n">
        <f aca="false">$B$65-$B$66*D31</f>
        <v>1.02975488283504</v>
      </c>
      <c r="F31" s="27" t="n">
        <f aca="false">C31-E31</f>
        <v>-2.98303170707115E-005</v>
      </c>
      <c r="G31" s="27" t="n">
        <f aca="false">F31/C31</f>
        <v>-2.89692059038167E-005</v>
      </c>
    </row>
    <row r="32" customFormat="false" ht="15" hidden="false" customHeight="true" outlineLevel="0" collapsed="false">
      <c r="A32" s="3" t="n">
        <v>25</v>
      </c>
      <c r="B32" s="30" t="n">
        <f aca="false">Discount!C29</f>
        <v>0.457760232732789</v>
      </c>
      <c r="C32" s="30" t="n">
        <f aca="false">B32*(1+$B$16)^A32</f>
        <v>1.03073280678895</v>
      </c>
      <c r="D32" s="30" t="n">
        <f aca="false">EXP(-$B$17*A32)</f>
        <v>0.223247334238015</v>
      </c>
      <c r="E32" s="30" t="n">
        <f aca="false">$B$65-$B$66*D32</f>
        <v>1.03062825737222</v>
      </c>
      <c r="F32" s="27" t="n">
        <f aca="false">C32-E32</f>
        <v>0.000104549416731548</v>
      </c>
      <c r="G32" s="27" t="n">
        <f aca="false">F32/C32</f>
        <v>0.00010143212289638</v>
      </c>
    </row>
    <row r="33" customFormat="false" ht="15" hidden="false" customHeight="true" outlineLevel="0" collapsed="false">
      <c r="A33" s="3" t="n">
        <v>26</v>
      </c>
      <c r="B33" s="30" t="n">
        <f aca="false">Discount!C30</f>
        <v>0.443450043931947</v>
      </c>
      <c r="C33" s="30" t="n">
        <f aca="false">B33*(1+$B$16)^A33</f>
        <v>1.03146159379732</v>
      </c>
      <c r="D33" s="30" t="n">
        <f aca="false">EXP(-$B$17*A33)</f>
        <v>0.210250836823804</v>
      </c>
      <c r="E33" s="30" t="n">
        <f aca="false">$B$65-$B$66*D33</f>
        <v>1.03145078780882</v>
      </c>
      <c r="F33" s="27" t="n">
        <f aca="false">C33-E33</f>
        <v>1.08059885011169E-005</v>
      </c>
      <c r="G33" s="27" t="n">
        <f aca="false">F33/C33</f>
        <v>1.04763847399637E-005</v>
      </c>
    </row>
    <row r="34" customFormat="false" ht="15" hidden="false" customHeight="true" outlineLevel="0" collapsed="false">
      <c r="A34" s="3" t="n">
        <v>27</v>
      </c>
      <c r="B34" s="30" t="n">
        <f aca="false">Discount!C31</f>
        <v>0.429682986428135</v>
      </c>
      <c r="C34" s="30" t="n">
        <f aca="false">B34*(1+$B$16)^A34</f>
        <v>1.03242102173138</v>
      </c>
      <c r="D34" s="30" t="n">
        <f aca="false">EXP(-$B$17*A34)</f>
        <v>0.198010939463136</v>
      </c>
      <c r="E34" s="30" t="n">
        <f aca="false">$B$65-$B$66*D34</f>
        <v>1.03222543406921</v>
      </c>
      <c r="F34" s="27" t="n">
        <f aca="false">C34-E34</f>
        <v>0.000195587662171093</v>
      </c>
      <c r="G34" s="27" t="n">
        <f aca="false">F34/C34</f>
        <v>0.000189445640929599</v>
      </c>
    </row>
    <row r="35" customFormat="false" ht="15" hidden="false" customHeight="true" outlineLevel="0" collapsed="false">
      <c r="A35" s="3" t="n">
        <v>28</v>
      </c>
      <c r="B35" s="30" t="n">
        <f aca="false">Discount!C32</f>
        <v>0.41622229635922</v>
      </c>
      <c r="C35" s="30" t="n">
        <f aca="false">B35*(1+$B$16)^A35</f>
        <v>1.03308092685785</v>
      </c>
      <c r="D35" s="30" t="n">
        <f aca="false">EXP(-$B$17*A35)</f>
        <v>0.186483596162479</v>
      </c>
      <c r="E35" s="30" t="n">
        <f aca="false">$B$65-$B$66*D35</f>
        <v>1.0329549837637</v>
      </c>
      <c r="F35" s="27" t="n">
        <f aca="false">C35-E35</f>
        <v>0.000125943094151815</v>
      </c>
      <c r="G35" s="27" t="n">
        <f aca="false">F35/C35</f>
        <v>0.000121910192006811</v>
      </c>
    </row>
    <row r="36" customFormat="false" ht="15" hidden="false" customHeight="true" outlineLevel="0" collapsed="false">
      <c r="A36" s="3" t="n">
        <v>29</v>
      </c>
      <c r="B36" s="30" t="n">
        <f aca="false">Discount!C33</f>
        <v>0.403167663933472</v>
      </c>
      <c r="C36" s="30" t="n">
        <f aca="false">B36*(1+$B$16)^A36</f>
        <v>1.03370119017856</v>
      </c>
      <c r="D36" s="30" t="n">
        <f aca="false">EXP(-$B$17*A36)</f>
        <v>0.175627325096172</v>
      </c>
      <c r="E36" s="30" t="n">
        <f aca="false">$B$65-$B$66*D36</f>
        <v>1.03364206221995</v>
      </c>
      <c r="F36" s="27" t="n">
        <f aca="false">C36-E36</f>
        <v>5.91279586028559E-005</v>
      </c>
      <c r="G36" s="27" t="n">
        <f aca="false">F36/C36</f>
        <v>5.72002423569256E-005</v>
      </c>
    </row>
    <row r="37" customFormat="false" ht="15" hidden="false" customHeight="true" outlineLevel="0" collapsed="false">
      <c r="A37" s="3" t="n">
        <v>30</v>
      </c>
      <c r="B37" s="30" t="n">
        <f aca="false">Discount!C34</f>
        <v>0.390507349788569</v>
      </c>
      <c r="C37" s="30" t="n">
        <f aca="false">B37*(1+$B$16)^A37</f>
        <v>1.03428174096565</v>
      </c>
      <c r="D37" s="30" t="n">
        <f aca="false">EXP(-$B$17*A37)</f>
        <v>0.16540305933162</v>
      </c>
      <c r="E37" s="30" t="n">
        <f aca="false">$B$65-$B$66*D37</f>
        <v>1.03428914193038</v>
      </c>
      <c r="F37" s="27" t="n">
        <f aca="false">C37-E37</f>
        <v>-7.40096472751084E-006</v>
      </c>
      <c r="G37" s="27" t="n">
        <f aca="false">F37/C37</f>
        <v>-7.15565636941535E-006</v>
      </c>
    </row>
    <row r="38" customFormat="false" ht="15" hidden="false" customHeight="true" outlineLevel="0" collapsed="false">
      <c r="A38" s="3" t="n">
        <v>31</v>
      </c>
      <c r="B38" s="30" t="n">
        <f aca="false">Discount!C35</f>
        <v>0.378343586433049</v>
      </c>
      <c r="C38" s="30" t="n">
        <f aca="false">B38*(1+$B$16)^A38</f>
        <v>1.03513345130526</v>
      </c>
      <c r="D38" s="30" t="n">
        <f aca="false">EXP(-$B$17*A38)</f>
        <v>0.155774006244634</v>
      </c>
      <c r="E38" s="30" t="n">
        <f aca="false">$B$65-$B$66*D38</f>
        <v>1.03489855144952</v>
      </c>
      <c r="F38" s="27" t="n">
        <f aca="false">C38-E38</f>
        <v>0.000234899855746429</v>
      </c>
      <c r="G38" s="27" t="n">
        <f aca="false">F38/C38</f>
        <v>0.000226927122730145</v>
      </c>
    </row>
    <row r="39" customFormat="false" ht="15" hidden="false" customHeight="true" outlineLevel="0" collapsed="false">
      <c r="A39" s="3" t="n">
        <v>32</v>
      </c>
      <c r="B39" s="30" t="n">
        <f aca="false">Discount!C36</f>
        <v>0.366437947062115</v>
      </c>
      <c r="C39" s="30" t="n">
        <f aca="false">B39*(1+$B$16)^A39</f>
        <v>1.03564456414118</v>
      </c>
      <c r="D39" s="30" t="n">
        <f aca="false">EXP(-$B$17*A39)</f>
        <v>0.146705515118997</v>
      </c>
      <c r="E39" s="30" t="n">
        <f aca="false">$B$65-$B$66*D39</f>
        <v>1.03547248377353</v>
      </c>
      <c r="F39" s="27" t="n">
        <f aca="false">C39-E39</f>
        <v>0.000172080367653704</v>
      </c>
      <c r="G39" s="27" t="n">
        <f aca="false">F39/C39</f>
        <v>0.000166157747176903</v>
      </c>
    </row>
    <row r="40" customFormat="false" ht="15" hidden="false" customHeight="true" outlineLevel="0" collapsed="false">
      <c r="A40" s="3" t="n">
        <v>33</v>
      </c>
      <c r="B40" s="30" t="n">
        <f aca="false">Discount!C37</f>
        <v>0.354893198656804</v>
      </c>
      <c r="C40" s="30" t="n">
        <f aca="false">B40*(1+$B$16)^A40</f>
        <v>1.0361157764388</v>
      </c>
      <c r="D40" s="30" t="n">
        <f aca="false">EXP(-$B$17*A40)</f>
        <v>0.138164952453816</v>
      </c>
      <c r="E40" s="30" t="n">
        <f aca="false">$B$65-$B$66*D40</f>
        <v>1.03601300423177</v>
      </c>
      <c r="F40" s="27" t="n">
        <f aca="false">C40-E40</f>
        <v>0.000102772207029256</v>
      </c>
      <c r="G40" s="27" t="n">
        <f aca="false">F40/C40</f>
        <v>9.91898872368213E-005</v>
      </c>
    </row>
    <row r="41" customFormat="false" ht="15" hidden="false" customHeight="true" outlineLevel="0" collapsed="false">
      <c r="A41" s="3" t="n">
        <v>34</v>
      </c>
      <c r="B41" s="30" t="n">
        <f aca="false">Discount!C38</f>
        <v>0.3436988522801</v>
      </c>
      <c r="C41" s="30" t="n">
        <f aca="false">B41*(1+$B$16)^A41</f>
        <v>1.03654703468232</v>
      </c>
      <c r="D41" s="30" t="n">
        <f aca="false">EXP(-$B$17*A41)</f>
        <v>0.130121584529941</v>
      </c>
      <c r="E41" s="30" t="n">
        <f aca="false">$B$65-$B$66*D41</f>
        <v>1.03652205791903</v>
      </c>
      <c r="F41" s="27" t="n">
        <f aca="false">C41-E41</f>
        <v>2.49767632882758E-005</v>
      </c>
      <c r="G41" s="27" t="n">
        <f aca="false">F41/C41</f>
        <v>2.40961215001022E-005</v>
      </c>
    </row>
    <row r="42" customFormat="false" ht="15" hidden="false" customHeight="true" outlineLevel="0" collapsed="false">
      <c r="A42" s="3" t="n">
        <v>35</v>
      </c>
      <c r="B42" s="30" t="n">
        <f aca="false">Discount!C39</f>
        <v>0.332844709518926</v>
      </c>
      <c r="C42" s="30" t="n">
        <f aca="false">B42*(1+$B$16)^A42</f>
        <v>1.03693828997987</v>
      </c>
      <c r="D42" s="30" t="n">
        <f aca="false">EXP(-$B$17*A42)</f>
        <v>0.122546466812865</v>
      </c>
      <c r="E42" s="30" t="n">
        <f aca="false">$B$65-$B$66*D42</f>
        <v>1.03700147669507</v>
      </c>
      <c r="F42" s="27" t="n">
        <f aca="false">C42-E42</f>
        <v>-6.31867152005583E-005</v>
      </c>
      <c r="G42" s="27" t="n">
        <f aca="false">F42/C42</f>
        <v>-6.09358491350385E-005</v>
      </c>
    </row>
    <row r="43" customFormat="false" ht="15" hidden="false" customHeight="true" outlineLevel="0" collapsed="false">
      <c r="A43" s="3" t="n">
        <v>36</v>
      </c>
      <c r="B43" s="30" t="n">
        <f aca="false">Discount!C40</f>
        <v>0.322433317993974</v>
      </c>
      <c r="C43" s="30" t="n">
        <f aca="false">B43*(1+$B$16)^A43</f>
        <v>1.03765142565844</v>
      </c>
      <c r="D43" s="30" t="n">
        <f aca="false">EXP(-$B$17*A43)</f>
        <v>0.115412339794103</v>
      </c>
      <c r="E43" s="30" t="n">
        <f aca="false">$B$65-$B$66*D43</f>
        <v>1.03745298577667</v>
      </c>
      <c r="F43" s="27" t="n">
        <f aca="false">C43-E43</f>
        <v>0.000198439881764712</v>
      </c>
      <c r="G43" s="27" t="n">
        <f aca="false">F43/C43</f>
        <v>0.000191239444053953</v>
      </c>
    </row>
    <row r="44" customFormat="false" ht="15" hidden="false" customHeight="true" outlineLevel="0" collapsed="false">
      <c r="A44" s="3" t="n">
        <v>37</v>
      </c>
      <c r="B44" s="30" t="n">
        <f aca="false">Discount!C41</f>
        <v>0.312229574865653</v>
      </c>
      <c r="C44" s="30" t="n">
        <f aca="false">B44*(1+$B$16)^A44</f>
        <v>1.03797270663439</v>
      </c>
      <c r="D44" s="30" t="n">
        <f aca="false">EXP(-$B$17*A44)</f>
        <v>0.108693530896242</v>
      </c>
      <c r="E44" s="30" t="n">
        <f aca="false">$B$65-$B$66*D44</f>
        <v>1.03787820994593</v>
      </c>
      <c r="F44" s="27" t="n">
        <f aca="false">C44-E44</f>
        <v>9.44966884579568E-005</v>
      </c>
      <c r="G44" s="27" t="n">
        <f aca="false">F44/C44</f>
        <v>9.10396659314489E-005</v>
      </c>
    </row>
    <row r="45" customFormat="false" ht="15" hidden="false" customHeight="true" outlineLevel="0" collapsed="false">
      <c r="A45" s="3" t="n">
        <v>38</v>
      </c>
      <c r="B45" s="30" t="n">
        <f aca="false">Discount!C42</f>
        <v>0.302337025004181</v>
      </c>
      <c r="C45" s="30" t="n">
        <f aca="false">B45*(1+$B$16)^A45</f>
        <v>1.0382538567787</v>
      </c>
      <c r="D45" s="30" t="n">
        <f aca="false">EXP(-$B$17*A45)</f>
        <v>0.102365862088657</v>
      </c>
      <c r="E45" s="30" t="n">
        <f aca="false">$B$65-$B$66*D45</f>
        <v>1.03827867939713</v>
      </c>
      <c r="F45" s="27" t="n">
        <f aca="false">C45-E45</f>
        <v>-2.48226184316191E-005</v>
      </c>
      <c r="G45" s="27" t="n">
        <f aca="false">F45/C45</f>
        <v>-2.39080435575112E-005</v>
      </c>
    </row>
    <row r="46" customFormat="false" ht="15" hidden="false" customHeight="true" outlineLevel="0" collapsed="false">
      <c r="A46" s="3" t="n">
        <v>39</v>
      </c>
      <c r="B46" s="30" t="n">
        <f aca="false">Discount!C43</f>
        <v>0.292857215894912</v>
      </c>
      <c r="C46" s="30" t="n">
        <f aca="false">B46*(1+$B$16)^A46</f>
        <v>1.03888737511503</v>
      </c>
      <c r="D46" s="30" t="n">
        <f aca="false">EXP(-$B$17*A46)</f>
        <v>0.0964065628814367</v>
      </c>
      <c r="E46" s="30" t="n">
        <f aca="false">$B$65-$B$66*D46</f>
        <v>1.03865583524325</v>
      </c>
      <c r="F46" s="27" t="n">
        <f aca="false">C46-E46</f>
        <v>0.000231539871784259</v>
      </c>
      <c r="G46" s="27" t="n">
        <f aca="false">F46/C46</f>
        <v>0.00022287292860655</v>
      </c>
    </row>
    <row r="47" customFormat="false" ht="15" hidden="false" customHeight="true" outlineLevel="0" collapsed="false">
      <c r="A47" s="3" t="n">
        <v>40</v>
      </c>
      <c r="B47" s="30" t="n">
        <f aca="false">Discount!C44</f>
        <v>0.283559223216554</v>
      </c>
      <c r="C47" s="30" t="n">
        <f aca="false">B47*(1+$B$16)^A47</f>
        <v>1.03909831066107</v>
      </c>
      <c r="D47" s="30" t="n">
        <f aca="false">EXP(-$B$17*A47)</f>
        <v>0.0907941883844329</v>
      </c>
      <c r="E47" s="30" t="n">
        <f aca="false">$B$65-$B$66*D47</f>
        <v>1.03901103470186</v>
      </c>
      <c r="F47" s="27" t="n">
        <f aca="false">C47-E47</f>
        <v>8.72759592078776E-005</v>
      </c>
      <c r="G47" s="27" t="n">
        <f aca="false">F47/C47</f>
        <v>8.39920133758595E-005</v>
      </c>
    </row>
    <row r="48" customFormat="false" ht="15" hidden="false" customHeight="true" outlineLevel="0" collapsed="false">
      <c r="A48" s="3" t="n">
        <v>41</v>
      </c>
      <c r="B48" s="30" t="n">
        <f aca="false">Discount!C45</f>
        <v>0.274545797407774</v>
      </c>
      <c r="C48" s="30" t="n">
        <f aca="false">B48*(1+$B$16)^A48</f>
        <v>1.03926902251343</v>
      </c>
      <c r="D48" s="30" t="n">
        <f aca="false">EXP(-$B$17*A48)</f>
        <v>0.0855085421365562</v>
      </c>
      <c r="E48" s="30" t="n">
        <f aca="false">$B$65-$B$66*D48</f>
        <v>1.03934555597921</v>
      </c>
      <c r="F48" s="27" t="n">
        <f aca="false">C48-E48</f>
        <v>-7.65334657739647E-005</v>
      </c>
      <c r="G48" s="27" t="n">
        <f aca="false">F48/C48</f>
        <v>-7.36416309117648E-005</v>
      </c>
    </row>
    <row r="49" customFormat="false" ht="15" hidden="false" customHeight="true" outlineLevel="0" collapsed="false">
      <c r="A49" s="3" t="n">
        <v>42</v>
      </c>
      <c r="B49" s="30" t="n">
        <f aca="false">Discount!C46</f>
        <v>0.265916775843918</v>
      </c>
      <c r="C49" s="30" t="n">
        <f aca="false">B49*(1+$B$16)^A49</f>
        <v>1.03982257106402</v>
      </c>
      <c r="D49" s="30" t="n">
        <f aca="false">EXP(-$B$17*A49)</f>
        <v>0.0805306034276181</v>
      </c>
      <c r="E49" s="30" t="n">
        <f aca="false">$B$65-$B$66*D49</f>
        <v>1.03966060286985</v>
      </c>
      <c r="F49" s="27" t="n">
        <f aca="false">C49-E49</f>
        <v>0.000161968194165585</v>
      </c>
      <c r="G49" s="27" t="n">
        <f aca="false">F49/C49</f>
        <v>0.000155765222522384</v>
      </c>
    </row>
    <row r="50" customFormat="false" ht="15" hidden="false" customHeight="true" outlineLevel="0" collapsed="false">
      <c r="A50" s="3" t="n">
        <v>43</v>
      </c>
      <c r="B50" s="30" t="n">
        <f aca="false">Discount!C47</f>
        <v>0.257446689628427</v>
      </c>
      <c r="C50" s="30" t="n">
        <f aca="false">B50*(1+$B$16)^A50</f>
        <v>1.03992288881191</v>
      </c>
      <c r="D50" s="30" t="n">
        <f aca="false">EXP(-$B$17*A50)</f>
        <v>0.0758424588511815</v>
      </c>
      <c r="E50" s="30" t="n">
        <f aca="false">$B$65-$B$66*D50</f>
        <v>1.03995730908865</v>
      </c>
      <c r="F50" s="27" t="n">
        <f aca="false">C50-E50</f>
        <v>-3.44202767390556E-005</v>
      </c>
      <c r="G50" s="27" t="n">
        <f aca="false">F50/C50</f>
        <v>-3.30988740697689E-005</v>
      </c>
    </row>
    <row r="51" customFormat="false" ht="15" hidden="false" customHeight="true" outlineLevel="0" collapsed="false">
      <c r="A51" s="3" t="n">
        <v>44</v>
      </c>
      <c r="B51" s="30" t="n">
        <f aca="false">Discount!C48</f>
        <v>0.249343018663642</v>
      </c>
      <c r="C51" s="30" t="n">
        <f aca="false">B51*(1+$B$16)^A51</f>
        <v>1.04042639105364</v>
      </c>
      <c r="D51" s="30" t="n">
        <f aca="false">EXP(-$B$17*A51)</f>
        <v>0.0714272378421107</v>
      </c>
      <c r="E51" s="30" t="n">
        <f aca="false">$B$65-$B$66*D51</f>
        <v>1.04023674235044</v>
      </c>
      <c r="F51" s="27" t="n">
        <f aca="false">C51-E51</f>
        <v>0.000189648703205147</v>
      </c>
      <c r="G51" s="27" t="n">
        <f aca="false">F51/C51</f>
        <v>0.000182279789167103</v>
      </c>
    </row>
    <row r="52" customFormat="false" ht="15" hidden="false" customHeight="true" outlineLevel="0" collapsed="false">
      <c r="A52" s="3" t="n">
        <v>45</v>
      </c>
      <c r="B52" s="30" t="n">
        <f aca="false">Discount!C49</f>
        <v>0.241384479723436</v>
      </c>
      <c r="C52" s="30" t="n">
        <f aca="false">B52*(1+$B$16)^A52</f>
        <v>1.04045622102264</v>
      </c>
      <c r="D52" s="30" t="n">
        <f aca="false">EXP(-$B$17*A52)</f>
        <v>0.0672690519668451</v>
      </c>
      <c r="E52" s="30" t="n">
        <f aca="false">$B$65-$B$66*D52</f>
        <v>1.04049990821232</v>
      </c>
      <c r="F52" s="27" t="n">
        <f aca="false">C52-E52</f>
        <v>-4.36871896789537E-005</v>
      </c>
      <c r="G52" s="27" t="n">
        <f aca="false">F52/C52</f>
        <v>-4.19884938897425E-005</v>
      </c>
    </row>
    <row r="53" customFormat="false" ht="15" hidden="false" customHeight="true" outlineLevel="0" collapsed="false">
      <c r="A53" s="3" t="n">
        <v>46</v>
      </c>
      <c r="B53" s="30" t="n">
        <f aca="false">Discount!C50</f>
        <v>0.23377507750393</v>
      </c>
      <c r="C53" s="30" t="n">
        <f aca="false">B53*(1+$B$16)^A53</f>
        <v>1.04090956555819</v>
      </c>
      <c r="D53" s="30" t="n">
        <f aca="false">EXP(-$B$17*A53)</f>
        <v>0.063352937747934</v>
      </c>
      <c r="E53" s="30" t="n">
        <f aca="false">$B$65-$B$66*D53</f>
        <v>1.04074775369219</v>
      </c>
      <c r="F53" s="27" t="n">
        <f aca="false">C53-E53</f>
        <v>0.000161811865995842</v>
      </c>
      <c r="G53" s="27" t="n">
        <f aca="false">F53/C53</f>
        <v>0.000155452376796125</v>
      </c>
    </row>
    <row r="54" customFormat="false" ht="15" hidden="false" customHeight="true" outlineLevel="0" collapsed="false">
      <c r="A54" s="3" t="n">
        <v>47</v>
      </c>
      <c r="B54" s="30" t="n">
        <f aca="false">Discount!C51</f>
        <v>0.22640116775395</v>
      </c>
      <c r="C54" s="30" t="n">
        <f aca="false">B54*(1+$B$16)^A54</f>
        <v>1.04134293281585</v>
      </c>
      <c r="D54" s="30" t="n">
        <f aca="false">EXP(-$B$17*A54)</f>
        <v>0.0596648028170781</v>
      </c>
      <c r="E54" s="30" t="n">
        <f aca="false">$B$65-$B$66*D54</f>
        <v>1.04098117067665</v>
      </c>
      <c r="F54" s="27" t="n">
        <f aca="false">C54-E54</f>
        <v>0.000361762139204247</v>
      </c>
      <c r="G54" s="27" t="n">
        <f aca="false">F54/C54</f>
        <v>0.000347399620052177</v>
      </c>
    </row>
    <row r="55" customFormat="false" ht="15" hidden="false" customHeight="true" outlineLevel="0" collapsed="false">
      <c r="A55" s="3" t="n">
        <v>48</v>
      </c>
      <c r="B55" s="30" t="n">
        <f aca="false">Discount!C52</f>
        <v>0.219153660371196</v>
      </c>
      <c r="C55" s="30" t="n">
        <f aca="false">B55*(1+$B$16)^A55</f>
        <v>1.04127193148406</v>
      </c>
      <c r="D55" s="30" t="n">
        <f aca="false">EXP(-$B$17*A55)</f>
        <v>0.0561913752029109</v>
      </c>
      <c r="E55" s="30" t="n">
        <f aca="false">$B$65-$B$66*D55</f>
        <v>1.0412009991305</v>
      </c>
      <c r="F55" s="27" t="n">
        <f aca="false">C55-E55</f>
        <v>7.09323535690309E-005</v>
      </c>
      <c r="G55" s="27" t="n">
        <f aca="false">F55/C55</f>
        <v>6.81208735435086E-005</v>
      </c>
    </row>
    <row r="56" customFormat="false" ht="15" hidden="false" customHeight="true" outlineLevel="0" collapsed="false">
      <c r="A56" s="3" t="n">
        <v>49</v>
      </c>
      <c r="B56" s="30" t="n">
        <f aca="false">Discount!C53</f>
        <v>0.212230671676072</v>
      </c>
      <c r="C56" s="30" t="n">
        <f aca="false">B56*(1+$B$16)^A56</f>
        <v>1.04165500040649</v>
      </c>
      <c r="D56" s="30" t="n">
        <f aca="false">EXP(-$B$17*A56)</f>
        <v>0.0529201555710251</v>
      </c>
      <c r="E56" s="30" t="n">
        <f aca="false">$B$65-$B$66*D56</f>
        <v>1.04140803011941</v>
      </c>
      <c r="F56" s="27" t="n">
        <f aca="false">C56-E56</f>
        <v>0.000246970287081316</v>
      </c>
      <c r="G56" s="27" t="n">
        <f aca="false">F56/C56</f>
        <v>0.000237094130959809</v>
      </c>
    </row>
    <row r="57" customFormat="false" ht="15" hidden="false" customHeight="true" outlineLevel="0" collapsed="false">
      <c r="A57" s="3" t="n">
        <v>50</v>
      </c>
      <c r="B57" s="30" t="n">
        <f aca="false">Discount!C54</f>
        <v>0.205422860525207</v>
      </c>
      <c r="C57" s="30" t="n">
        <f aca="false">B57*(1+$B$16)^A57</f>
        <v>1.0415133678075</v>
      </c>
      <c r="D57" s="30" t="n">
        <f aca="false">EXP(-$B$17*A57)</f>
        <v>0.04983937224438</v>
      </c>
      <c r="E57" s="30" t="n">
        <f aca="false">$B$65-$B$66*D57</f>
        <v>1.04160300865662</v>
      </c>
      <c r="F57" s="27" t="n">
        <f aca="false">C57-E57</f>
        <v>-8.9640849117778E-005</v>
      </c>
      <c r="G57" s="27" t="n">
        <f aca="false">F57/C57</f>
        <v>-8.60678814967891E-005</v>
      </c>
    </row>
    <row r="58" customFormat="false" ht="15" hidden="false" customHeight="true" outlineLevel="0" collapsed="false">
      <c r="A58" s="3" t="n">
        <v>51</v>
      </c>
      <c r="B58" s="30" t="n">
        <f aca="false">Discount!C55</f>
        <v>0.198923989220914</v>
      </c>
      <c r="C58" s="30" t="n">
        <f aca="false">B58*(1+$B$16)^A58</f>
        <v>1.04184606914918</v>
      </c>
      <c r="D58" s="30" t="n">
        <f aca="false">EXP(-$B$17*A58)</f>
        <v>0.0469379388422262</v>
      </c>
      <c r="E58" s="30" t="n">
        <f aca="false">$B$65-$B$66*D58</f>
        <v>1.04178663638392</v>
      </c>
      <c r="F58" s="27" t="n">
        <f aca="false">C58-E58</f>
        <v>5.94327652585491E-005</v>
      </c>
      <c r="G58" s="27" t="n">
        <f aca="false">F58/C58</f>
        <v>5.70456298856937E-005</v>
      </c>
    </row>
    <row r="59" customFormat="false" ht="15" hidden="false" customHeight="true" outlineLevel="0" collapsed="false">
      <c r="A59" s="3" t="n">
        <v>52</v>
      </c>
      <c r="B59" s="30" t="n">
        <f aca="false">Discount!C56</f>
        <v>0.192626988225572</v>
      </c>
      <c r="C59" s="30" t="n">
        <f aca="false">B59*(1+$B$16)^A59</f>
        <v>1.04215868801505</v>
      </c>
      <c r="D59" s="30" t="n">
        <f aca="false">EXP(-$B$17*A59)</f>
        <v>0.04420541438511</v>
      </c>
      <c r="E59" s="30" t="n">
        <f aca="false">$B$65-$B$66*D59</f>
        <v>1.04195957409653</v>
      </c>
      <c r="F59" s="27" t="n">
        <f aca="false">C59-E59</f>
        <v>0.00019911391851668</v>
      </c>
      <c r="G59" s="27" t="n">
        <f aca="false">F59/C59</f>
        <v>0.000191059116818306</v>
      </c>
    </row>
    <row r="60" customFormat="false" ht="15" hidden="false" customHeight="true" outlineLevel="0" collapsed="false">
      <c r="A60" s="3" t="n">
        <v>53</v>
      </c>
      <c r="B60" s="30" t="n">
        <f aca="false">Discount!C57</f>
        <v>0.186525707429552</v>
      </c>
      <c r="C60" s="30" t="n">
        <f aca="false">B60*(1+$B$16)^A60</f>
        <v>1.04245120655885</v>
      </c>
      <c r="D60" s="30" t="n">
        <f aca="false">EXP(-$B$17*A60)</f>
        <v>0.0416319657223919</v>
      </c>
      <c r="E60" s="30" t="n">
        <f aca="false">$B$65-$B$66*D60</f>
        <v>1.04212244412102</v>
      </c>
      <c r="F60" s="27" t="n">
        <f aca="false">C60-E60</f>
        <v>0.000328762437822983</v>
      </c>
      <c r="G60" s="27" t="n">
        <f aca="false">F60/C60</f>
        <v>0.000315374413454069</v>
      </c>
    </row>
    <row r="61" customFormat="false" ht="15" hidden="false" customHeight="true" outlineLevel="0" collapsed="false">
      <c r="A61" s="3" t="n">
        <v>54</v>
      </c>
      <c r="B61" s="30" t="n">
        <f aca="false">Discount!C58</f>
        <v>0.180519716326691</v>
      </c>
      <c r="C61" s="30" t="n">
        <f aca="false">B61*(1+$B$16)^A61</f>
        <v>1.04217824793341</v>
      </c>
      <c r="D61" s="30" t="n">
        <f aca="false">EXP(-$B$17*A61)</f>
        <v>0.0392083321470736</v>
      </c>
      <c r="E61" s="30" t="n">
        <f aca="false">$B$65-$B$66*D61</f>
        <v>1.04227583255479</v>
      </c>
      <c r="F61" s="27" t="n">
        <f aca="false">C61-E61</f>
        <v>-9.75846213837617E-005</v>
      </c>
      <c r="G61" s="27" t="n">
        <f aca="false">F61/C61</f>
        <v>-9.36352505699168E-005</v>
      </c>
    </row>
    <row r="62" customFormat="false" ht="15" hidden="false" customHeight="true" outlineLevel="0" collapsed="false">
      <c r="A62" s="3" t="n">
        <v>55</v>
      </c>
      <c r="B62" s="30" t="n">
        <f aca="false">Discount!C59</f>
        <v>0.174793457507591</v>
      </c>
      <c r="C62" s="30" t="n">
        <f aca="false">B62*(1+$B$16)^A62</f>
        <v>1.04242029137518</v>
      </c>
      <c r="D62" s="30" t="n">
        <f aca="false">EXP(-$B$17*A62)</f>
        <v>0.0369257920705965</v>
      </c>
      <c r="E62" s="30" t="n">
        <f aca="false">$B$65-$B$66*D62</f>
        <v>1.04242029137518</v>
      </c>
      <c r="F62" s="27" t="n">
        <f aca="false">C62-E62</f>
        <v>0</v>
      </c>
      <c r="G62" s="27" t="n">
        <f aca="false">F62/C62</f>
        <v>0</v>
      </c>
    </row>
    <row r="64" customFormat="false" ht="15" hidden="false" customHeight="true" outlineLevel="0" collapsed="false">
      <c r="A64" s="7" t="s">
        <v>618</v>
      </c>
    </row>
    <row r="65" customFormat="false" ht="15" hidden="false" customHeight="true" outlineLevel="0" collapsed="false">
      <c r="A65" s="1" t="s">
        <v>619</v>
      </c>
      <c r="B65" s="30" t="n">
        <f aca="false">C28+B66*D28</f>
        <v>1.04475727394101</v>
      </c>
    </row>
    <row r="66" customFormat="false" ht="15" hidden="false" customHeight="true" outlineLevel="0" collapsed="false">
      <c r="A66" s="1" t="s">
        <v>620</v>
      </c>
      <c r="B66" s="30" t="n">
        <f aca="false">(C62-C28)/(D28-D62)</f>
        <v>0.0632886238799664</v>
      </c>
    </row>
    <row r="68" customFormat="false" ht="15" hidden="false" customHeight="true" outlineLevel="0" collapsed="false">
      <c r="A68" s="1" t="s">
        <v>621</v>
      </c>
      <c r="B68" s="34" t="n">
        <f aca="false">COUNT(A29:A61)</f>
        <v>33</v>
      </c>
    </row>
    <row r="69" customFormat="false" ht="15" hidden="false" customHeight="true" outlineLevel="0" collapsed="false">
      <c r="A69" s="1" t="s">
        <v>622</v>
      </c>
      <c r="B69" s="27" t="n">
        <f aca="false">MAX(ABS(MIN(G29:G61)),ABS(MAX(G29:G61)))</f>
        <v>0.000347399620052177</v>
      </c>
    </row>
    <row r="70" customFormat="false" ht="15" hidden="false" customHeight="true" outlineLevel="0" collapsed="false">
      <c r="A70" s="1" t="s">
        <v>623</v>
      </c>
      <c r="B70" s="27" t="n">
        <f aca="false">SQRT(SUMPRODUCT(G29:G61,G29:G61)/B68)</f>
        <v>0.000145420687894011</v>
      </c>
    </row>
    <row r="72" customFormat="false" ht="15" hidden="false" customHeight="true" outlineLevel="0" collapsed="false">
      <c r="A72" s="6" t="s">
        <v>624</v>
      </c>
    </row>
    <row r="73" customFormat="false" ht="15" hidden="false" customHeight="true" outlineLevel="0" collapsed="false">
      <c r="A73" s="7" t="s">
        <v>625</v>
      </c>
    </row>
    <row r="74" customFormat="false" ht="15" hidden="false" customHeight="true" outlineLevel="0" collapsed="false">
      <c r="A74" s="7" t="s">
        <v>626</v>
      </c>
    </row>
    <row r="75" customFormat="false" ht="15" hidden="false" customHeight="true" outlineLevel="0" collapsed="false">
      <c r="A75" s="1" t="s">
        <v>627</v>
      </c>
      <c r="B75" s="44" t="n">
        <v>5E-006</v>
      </c>
    </row>
    <row r="76" customFormat="false" ht="15" hidden="false" customHeight="true" outlineLevel="0" collapsed="false">
      <c r="A76" s="1" t="s">
        <v>628</v>
      </c>
      <c r="B76" s="34" t="n">
        <f aca="false">MAX(A29:A61)</f>
        <v>54</v>
      </c>
    </row>
    <row r="77" customFormat="false" ht="15" hidden="false" customHeight="true" outlineLevel="0" collapsed="false">
      <c r="A77" s="1" t="s">
        <v>629</v>
      </c>
      <c r="B77" s="45" t="n">
        <f aca="false">INDEX(EIOPA_Source!$B$18:$B$167,MATCH(B76,EIOPA_Source!$A$18:$A$167,0))</f>
        <v>0.03221</v>
      </c>
    </row>
    <row r="78" customFormat="false" ht="15" hidden="false" customHeight="true" outlineLevel="0" collapsed="false">
      <c r="A78" s="1" t="s">
        <v>630</v>
      </c>
      <c r="B78" s="27" t="n">
        <f aca="false">B76*B75/(1+B77)</f>
        <v>0.000261574679571018</v>
      </c>
    </row>
    <row r="79" customFormat="false" ht="15" hidden="false" customHeight="true" outlineLevel="0" collapsed="false">
      <c r="A79" s="1" t="s">
        <v>631</v>
      </c>
      <c r="B79" s="27" t="n">
        <f aca="false">2*B78</f>
        <v>0.000523149359142035</v>
      </c>
    </row>
    <row r="80" customFormat="false" ht="15" hidden="false" customHeight="true" outlineLevel="0" collapsed="false">
      <c r="A80" s="1" t="s">
        <v>632</v>
      </c>
      <c r="B80" s="31" t="n">
        <f aca="false">B69/B78</f>
        <v>1.32810874745947</v>
      </c>
    </row>
    <row r="81" customFormat="false" ht="15" hidden="false" customHeight="true" outlineLevel="0" collapsed="false">
      <c r="A81" s="3" t="s">
        <v>458</v>
      </c>
      <c r="B81" s="28" t="str">
        <f aca="false">IF(B69&lt;=B79,"PASS — satisfies the Smith-Wilson closed form to within the publication rounding floor. Extrapolation VERIFIED.","FAIL — residual exceeds what rounding can explain")</f>
        <v>PASS — satisfies the Smith-Wilson closed form to within the publication rounding floor. Extrapolation VERIFIED.</v>
      </c>
    </row>
    <row r="83" customFormat="false" ht="15" hidden="false" customHeight="true" outlineLevel="0" collapsed="false">
      <c r="A83" s="6" t="s">
        <v>633</v>
      </c>
    </row>
    <row r="84" customFormat="false" ht="15" hidden="false" customHeight="true" outlineLevel="0" collapsed="false">
      <c r="A84" s="1" t="s">
        <v>634</v>
      </c>
      <c r="B84" s="39" t="n">
        <f aca="false">Discount!C24/Discount!C25-1</f>
        <v>0.0319000203562025</v>
      </c>
    </row>
    <row r="85" customFormat="false" ht="15" hidden="false" customHeight="true" outlineLevel="0" collapsed="false">
      <c r="A85" s="1" t="s">
        <v>635</v>
      </c>
      <c r="B85" s="39" t="n">
        <f aca="false">Discount!C53/Discount!C54-1</f>
        <v>0.0331404748890143</v>
      </c>
    </row>
    <row r="86" customFormat="false" ht="15" hidden="false" customHeight="true" outlineLevel="0" collapsed="false">
      <c r="A86" s="1" t="s">
        <v>607</v>
      </c>
      <c r="B86" s="39" t="n">
        <f aca="false">B16</f>
        <v>0.033</v>
      </c>
    </row>
    <row r="87" customFormat="false" ht="15" hidden="false" customHeight="true" outlineLevel="0" collapsed="false">
      <c r="A87" s="1" t="s">
        <v>636</v>
      </c>
      <c r="B87" s="5" t="str">
        <f aca="false">IF(ABS(B85-B86)&lt;ABS(B84-B86),"yes — the long forward moves toward the UFR","no")</f>
        <v>yes — the long forward moves toward the UFR</v>
      </c>
    </row>
    <row r="89" customFormat="false" ht="15" hidden="false" customHeight="true" outlineLevel="0" collapsed="false">
      <c r="A89" s="6" t="s">
        <v>637</v>
      </c>
    </row>
    <row r="90" customFormat="false" ht="15" hidden="false" customHeight="true" outlineLevel="0" collapsed="false">
      <c r="A90" s="7" t="s">
        <v>638</v>
      </c>
    </row>
    <row r="91" customFormat="false" ht="15" hidden="false" customHeight="true" outlineLevel="0" collapsed="false">
      <c r="A91" s="7" t="s">
        <v>639</v>
      </c>
    </row>
    <row r="93" customFormat="false" ht="15" hidden="false" customHeight="true" outlineLevel="0" collapsed="false">
      <c r="A93" s="8" t="s">
        <v>640</v>
      </c>
      <c r="B93" s="8" t="s">
        <v>641</v>
      </c>
      <c r="C93" s="8" t="s">
        <v>642</v>
      </c>
      <c r="D93" s="8" t="s">
        <v>643</v>
      </c>
    </row>
    <row r="94" customFormat="false" ht="15" hidden="false" customHeight="true" outlineLevel="0" collapsed="false">
      <c r="A94" s="3" t="n">
        <v>49</v>
      </c>
      <c r="B94" s="45" t="n">
        <f aca="false">INDEX(EIOPA_Source!$B$18:$B$167,MATCH(A94,EIOPA_Source!$A$18:$A$167,0))</f>
        <v>0.03214</v>
      </c>
      <c r="C94" s="41" t="n">
        <v>0.03209</v>
      </c>
      <c r="D94" s="31" t="n">
        <f aca="false">(C94-B94)*10000</f>
        <v>-0.500000000000014</v>
      </c>
    </row>
    <row r="95" customFormat="false" ht="15" hidden="false" customHeight="true" outlineLevel="0" collapsed="false">
      <c r="A95" s="3" t="n">
        <v>50</v>
      </c>
      <c r="B95" s="45" t="n">
        <f aca="false">INDEX(EIOPA_Source!$B$18:$B$167,MATCH(A95,EIOPA_Source!$A$18:$A$167,0))</f>
        <v>0.03216</v>
      </c>
      <c r="C95" s="41" t="n">
        <v>0.03209</v>
      </c>
      <c r="D95" s="31" t="n">
        <f aca="false">(C95-B95)*10000</f>
        <v>-0.700000000000006</v>
      </c>
    </row>
    <row r="96" customFormat="false" ht="15" hidden="false" customHeight="true" outlineLevel="0" collapsed="false">
      <c r="A96" s="3" t="n">
        <v>51</v>
      </c>
      <c r="B96" s="45" t="n">
        <f aca="false">INDEX(EIOPA_Source!$B$18:$B$167,MATCH(A96,EIOPA_Source!$A$18:$A$167,0))</f>
        <v>0.03217</v>
      </c>
      <c r="C96" s="41" t="n">
        <v>0.03209</v>
      </c>
      <c r="D96" s="31" t="n">
        <f aca="false">(C96-B96)*10000</f>
        <v>-0.799999999999967</v>
      </c>
    </row>
    <row r="97" customFormat="false" ht="15" hidden="false" customHeight="true" outlineLevel="0" collapsed="false">
      <c r="A97" s="3" t="n">
        <v>52</v>
      </c>
      <c r="B97" s="45" t="n">
        <f aca="false">INDEX(EIOPA_Source!$B$18:$B$167,MATCH(A97,EIOPA_Source!$A$18:$A$167,0))</f>
        <v>0.03218</v>
      </c>
      <c r="C97" s="41" t="n">
        <v>0.03209</v>
      </c>
      <c r="D97" s="31" t="n">
        <f aca="false">(C97-B97)*10000</f>
        <v>-0.899999999999998</v>
      </c>
    </row>
    <row r="98" customFormat="false" ht="15" hidden="false" customHeight="true" outlineLevel="0" collapsed="false">
      <c r="A98" s="3" t="n">
        <v>53</v>
      </c>
      <c r="B98" s="45" t="n">
        <f aca="false">INDEX(EIOPA_Source!$B$18:$B$167,MATCH(A98,EIOPA_Source!$A$18:$A$167,0))</f>
        <v>0.03219</v>
      </c>
      <c r="C98" s="41" t="n">
        <v>0.03209</v>
      </c>
      <c r="D98" s="31" t="n">
        <f aca="false">(C98-B98)*10000</f>
        <v>-1.00000000000003</v>
      </c>
    </row>
    <row r="99" customFormat="false" ht="15" hidden="false" customHeight="true" outlineLevel="0" collapsed="false">
      <c r="A99" s="3" t="n">
        <v>54</v>
      </c>
      <c r="B99" s="45" t="n">
        <f aca="false">INDEX(EIOPA_Source!$B$18:$B$167,MATCH(A99,EIOPA_Source!$A$18:$A$167,0))</f>
        <v>0.03221</v>
      </c>
      <c r="C99" s="41" t="n">
        <v>0.03209</v>
      </c>
      <c r="D99" s="31" t="n">
        <f aca="false">(C99-B99)*10000</f>
        <v>-1.20000000000002</v>
      </c>
    </row>
    <row r="100" customFormat="false" ht="15" hidden="false" customHeight="true" outlineLevel="0" collapsed="false">
      <c r="A100" s="3" t="n">
        <v>55</v>
      </c>
      <c r="B100" s="45" t="n">
        <f aca="false">INDEX(EIOPA_Source!$B$18:$B$167,MATCH(A100,EIOPA_Source!$A$18:$A$167,0))</f>
        <v>0.03222</v>
      </c>
      <c r="C100" s="41" t="n">
        <v>0.03209</v>
      </c>
      <c r="D100" s="31" t="n">
        <f aca="false">(C100-B100)*10000</f>
        <v>-1.29999999999998</v>
      </c>
    </row>
    <row r="102" customFormat="false" ht="15" hidden="false" customHeight="true" outlineLevel="0" collapsed="false">
      <c r="A102" s="1" t="s">
        <v>644</v>
      </c>
      <c r="B102" s="31" t="n">
        <f aca="false">MAX(ABS(MIN(D94:D100)),ABS(MAX(D94:D100)))</f>
        <v>1.29999999999998</v>
      </c>
    </row>
    <row r="103" customFormat="false" ht="15" hidden="false" customHeight="true" outlineLevel="0" collapsed="false">
      <c r="A103" s="1" t="s">
        <v>645</v>
      </c>
      <c r="B103" s="20" t="n">
        <v>-1.2</v>
      </c>
    </row>
    <row r="104" customFormat="false" ht="15" hidden="false" customHeight="true" outlineLevel="0" collapsed="false">
      <c r="A104" s="3" t="s">
        <v>511</v>
      </c>
      <c r="B104" s="28" t="str">
        <f aca="false">IF(B102&lt;2,"Real but small: the flat tail affected only the final six maturities, worth about one euro on the requirement. The structural test detected it regardless, which is the point of running it.","Material")</f>
        <v>Real but small: the flat tail affected only the final six maturities, worth about one euro on the requirement. The structural test detected it regardless, which is the point of running it.</v>
      </c>
    </row>
    <row r="106" customFormat="false" ht="15" hidden="false" customHeight="true" outlineLevel="0" collapsed="false">
      <c r="A106" s="6" t="s">
        <v>646</v>
      </c>
    </row>
    <row r="107" customFormat="false" ht="15" hidden="false" customHeight="true" outlineLevel="0" collapsed="false">
      <c r="A107" s="3" t="s">
        <v>647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6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0"/>
    <col collapsed="false" customWidth="true" hidden="false" outlineLevel="0" max="5" min="4" style="1" width="18"/>
    <col collapsed="false" customWidth="true" hidden="false" outlineLevel="0" max="6" min="6" style="1" width="16"/>
    <col collapsed="false" customWidth="true" hidden="false" outlineLevel="0" max="7" min="7" style="1" width="17"/>
    <col collapsed="false" customWidth="true" hidden="false" outlineLevel="0" max="8" min="8" style="1" width="34"/>
    <col collapsed="false" customWidth="true" hidden="false" outlineLevel="0" max="9" min="9" style="1" width="22"/>
  </cols>
  <sheetData>
    <row r="1" customFormat="false" ht="15.75" hidden="false" customHeight="true" outlineLevel="0" collapsed="false">
      <c r="A1" s="15" t="s">
        <v>648</v>
      </c>
    </row>
    <row r="2" customFormat="false" ht="15" hidden="false" customHeight="true" outlineLevel="0" collapsed="false">
      <c r="A2" s="1" t="s">
        <v>649</v>
      </c>
    </row>
    <row r="4" customFormat="false" ht="15" hidden="false" customHeight="true" outlineLevel="0" collapsed="false">
      <c r="A4" s="1" t="s">
        <v>650</v>
      </c>
      <c r="B4" s="1" t="s">
        <v>651</v>
      </c>
      <c r="C4" s="1" t="s">
        <v>652</v>
      </c>
      <c r="D4" s="1" t="s">
        <v>653</v>
      </c>
      <c r="E4" s="1" t="s">
        <v>654</v>
      </c>
      <c r="F4" s="1" t="s">
        <v>655</v>
      </c>
      <c r="G4" s="8" t="s">
        <v>656</v>
      </c>
      <c r="H4" s="1" t="s">
        <v>657</v>
      </c>
      <c r="I4" s="5" t="n">
        <f aca="false">LN(C43/(1-C43))</f>
        <v>-1.11255492423029</v>
      </c>
    </row>
    <row r="5" customFormat="false" ht="15" hidden="false" customHeight="true" outlineLevel="0" collapsed="false">
      <c r="A5" s="16" t="n">
        <v>65</v>
      </c>
      <c r="B5" s="16" t="n">
        <v>2026</v>
      </c>
      <c r="C5" s="46" t="n">
        <f aca="false">IFERROR(INDEX(CMI_Projection!$L$23:$CC$83,Assumptions!$B$4+0-59,2026+0-2021),1)</f>
        <v>0.00518054588826009</v>
      </c>
      <c r="F5" s="46" t="n">
        <f aca="false">C5</f>
        <v>0.00518054588826009</v>
      </c>
      <c r="G5" s="32" t="n">
        <f aca="false">MIN(1,F5)</f>
        <v>0.00518054588826009</v>
      </c>
      <c r="H5" s="1" t="s">
        <v>658</v>
      </c>
      <c r="I5" s="5" t="n">
        <f aca="false">LN(C46/(1-C46))</f>
        <v>-0.689920249028879</v>
      </c>
    </row>
    <row r="6" customFormat="false" ht="15" hidden="false" customHeight="true" outlineLevel="0" collapsed="false">
      <c r="A6" s="16" t="n">
        <v>66</v>
      </c>
      <c r="B6" s="16" t="n">
        <v>2027</v>
      </c>
      <c r="C6" s="46" t="n">
        <f aca="false">IFERROR(INDEX(CMI_Projection!$L$23:$CC$83,Assumptions!$B$4+1-59,2026+1-2021),1)</f>
        <v>0.00564060359024671</v>
      </c>
      <c r="D6" s="5" t="n">
        <f aca="false">C6-C5</f>
        <v>0.000460057701986617</v>
      </c>
      <c r="E6" s="5" t="str">
        <f aca="false">IF(C6&lt;C5,"NON-MONOTONE","ok")</f>
        <v>ok</v>
      </c>
      <c r="F6" s="46" t="n">
        <f aca="false">C6</f>
        <v>0.00564060359024671</v>
      </c>
      <c r="G6" s="32" t="n">
        <f aca="false">MIN(1,F6)</f>
        <v>0.00564060359024671</v>
      </c>
    </row>
    <row r="7" customFormat="false" ht="15" hidden="false" customHeight="true" outlineLevel="0" collapsed="false">
      <c r="A7" s="16" t="n">
        <v>67</v>
      </c>
      <c r="B7" s="16" t="n">
        <v>2028</v>
      </c>
      <c r="C7" s="46" t="n">
        <f aca="false">IFERROR(INDEX(CMI_Projection!$L$23:$CC$83,Assumptions!$B$4+2-59,2026+2-2021),1)</f>
        <v>0.00616198432267925</v>
      </c>
      <c r="D7" s="5" t="n">
        <f aca="false">C7-C6</f>
        <v>0.000521380732432544</v>
      </c>
      <c r="E7" s="5" t="str">
        <f aca="false">IF(C7&lt;C6,"NON-MONOTONE","ok")</f>
        <v>ok</v>
      </c>
      <c r="F7" s="46" t="n">
        <f aca="false">C7</f>
        <v>0.00616198432267925</v>
      </c>
      <c r="G7" s="32" t="n">
        <f aca="false">MIN(1,F7)</f>
        <v>0.00616198432267925</v>
      </c>
      <c r="H7" s="1" t="s">
        <v>659</v>
      </c>
    </row>
    <row r="8" customFormat="false" ht="15" hidden="false" customHeight="true" outlineLevel="0" collapsed="false">
      <c r="A8" s="16" t="n">
        <v>68</v>
      </c>
      <c r="B8" s="16" t="n">
        <v>2029</v>
      </c>
      <c r="C8" s="46" t="n">
        <f aca="false">IFERROR(INDEX(CMI_Projection!$L$23:$CC$83,Assumptions!$B$4+3-59,2026+3-2021),1)</f>
        <v>0.00675420032480476</v>
      </c>
      <c r="D8" s="5" t="n">
        <f aca="false">C8-C7</f>
        <v>0.000592216002125511</v>
      </c>
      <c r="E8" s="5" t="str">
        <f aca="false">IF(C8&lt;C7,"NON-MONOTONE","ok")</f>
        <v>ok</v>
      </c>
      <c r="F8" s="46" t="n">
        <f aca="false">C8</f>
        <v>0.00675420032480476</v>
      </c>
      <c r="G8" s="32" t="n">
        <f aca="false">MIN(1,F8)</f>
        <v>0.00675420032480476</v>
      </c>
      <c r="H8" s="1" t="s">
        <v>660</v>
      </c>
    </row>
    <row r="9" customFormat="false" ht="15" hidden="false" customHeight="true" outlineLevel="0" collapsed="false">
      <c r="A9" s="16" t="n">
        <v>69</v>
      </c>
      <c r="B9" s="16" t="n">
        <v>2030</v>
      </c>
      <c r="C9" s="46" t="n">
        <f aca="false">IFERROR(INDEX(CMI_Projection!$L$23:$CC$83,Assumptions!$B$4+4-59,2026+4-2021),1)</f>
        <v>0.00742774709662436</v>
      </c>
      <c r="D9" s="5" t="n">
        <f aca="false">C9-C8</f>
        <v>0.000673546771819595</v>
      </c>
      <c r="E9" s="5" t="str">
        <f aca="false">IF(C9&lt;C8,"NON-MONOTONE","ok")</f>
        <v>ok</v>
      </c>
      <c r="F9" s="46" t="n">
        <f aca="false">C9</f>
        <v>0.00742774709662436</v>
      </c>
      <c r="G9" s="32" t="n">
        <f aca="false">MIN(1,F9)</f>
        <v>0.00742774709662436</v>
      </c>
      <c r="H9" s="1" t="s">
        <v>661</v>
      </c>
    </row>
    <row r="10" customFormat="false" ht="15" hidden="false" customHeight="true" outlineLevel="0" collapsed="false">
      <c r="A10" s="16" t="n">
        <v>70</v>
      </c>
      <c r="B10" s="16" t="n">
        <v>2031</v>
      </c>
      <c r="C10" s="46" t="n">
        <f aca="false">IFERROR(INDEX(CMI_Projection!$L$23:$CC$83,Assumptions!$B$4+5-59,2026+5-2021),1)</f>
        <v>0.0084938344969428</v>
      </c>
      <c r="D10" s="5" t="n">
        <f aca="false">C10-C9</f>
        <v>0.00106608740031844</v>
      </c>
      <c r="E10" s="5" t="str">
        <f aca="false">IF(C10&lt;C9,"NON-MONOTONE","ok")</f>
        <v>ok</v>
      </c>
      <c r="F10" s="46" t="n">
        <f aca="false">C10</f>
        <v>0.0084938344969428</v>
      </c>
      <c r="G10" s="32" t="n">
        <f aca="false">MIN(1,F10)</f>
        <v>0.0084938344969428</v>
      </c>
      <c r="H10" s="1" t="s">
        <v>662</v>
      </c>
    </row>
    <row r="11" customFormat="false" ht="15" hidden="false" customHeight="true" outlineLevel="0" collapsed="false">
      <c r="A11" s="16" t="n">
        <v>71</v>
      </c>
      <c r="B11" s="16" t="n">
        <v>2032</v>
      </c>
      <c r="C11" s="46" t="n">
        <f aca="false">IFERROR(INDEX(CMI_Projection!$L$23:$CC$83,Assumptions!$B$4+6-59,2026+6-2021),1)</f>
        <v>0.0093969211355016</v>
      </c>
      <c r="D11" s="5" t="n">
        <f aca="false">C11-C10</f>
        <v>0.000903086638558804</v>
      </c>
      <c r="E11" s="5" t="str">
        <f aca="false">IF(C11&lt;C10,"NON-MONOTONE","ok")</f>
        <v>ok</v>
      </c>
      <c r="F11" s="46" t="n">
        <f aca="false">C11</f>
        <v>0.0093969211355016</v>
      </c>
      <c r="G11" s="32" t="n">
        <f aca="false">MIN(1,F11)</f>
        <v>0.0093969211355016</v>
      </c>
      <c r="H11" s="1" t="s">
        <v>663</v>
      </c>
    </row>
    <row r="12" customFormat="false" ht="15" hidden="false" customHeight="true" outlineLevel="0" collapsed="false">
      <c r="A12" s="16" t="n">
        <v>72</v>
      </c>
      <c r="B12" s="16" t="n">
        <v>2033</v>
      </c>
      <c r="C12" s="46" t="n">
        <f aca="false">IFERROR(INDEX(CMI_Projection!$L$23:$CC$83,Assumptions!$B$4+7-59,2026+7-2021),1)</f>
        <v>0.0104218313182508</v>
      </c>
      <c r="D12" s="5" t="n">
        <f aca="false">C12-C11</f>
        <v>0.00102491018274915</v>
      </c>
      <c r="E12" s="5" t="str">
        <f aca="false">IF(C12&lt;C11,"NON-MONOTONE","ok")</f>
        <v>ok</v>
      </c>
      <c r="F12" s="46" t="n">
        <f aca="false">C12</f>
        <v>0.0104218313182508</v>
      </c>
      <c r="G12" s="32" t="n">
        <f aca="false">MIN(1,F12)</f>
        <v>0.0104218313182508</v>
      </c>
    </row>
    <row r="13" customFormat="false" ht="15" hidden="false" customHeight="true" outlineLevel="0" collapsed="false">
      <c r="A13" s="16" t="n">
        <v>73</v>
      </c>
      <c r="B13" s="16" t="n">
        <v>2034</v>
      </c>
      <c r="C13" s="46" t="n">
        <f aca="false">IFERROR(INDEX(CMI_Projection!$L$23:$CC$83,Assumptions!$B$4+8-59,2026+8-2021),1)</f>
        <v>0.0115816824955086</v>
      </c>
      <c r="D13" s="5" t="n">
        <f aca="false">C13-C12</f>
        <v>0.00115985117725788</v>
      </c>
      <c r="E13" s="5" t="str">
        <f aca="false">IF(C13&lt;C12,"NON-MONOTONE","ok")</f>
        <v>ok</v>
      </c>
      <c r="F13" s="46" t="n">
        <f aca="false">C13</f>
        <v>0.0115816824955086</v>
      </c>
      <c r="G13" s="32" t="n">
        <f aca="false">MIN(1,F13)</f>
        <v>0.0115816824955086</v>
      </c>
      <c r="H13" s="6" t="s">
        <v>664</v>
      </c>
    </row>
    <row r="14" customFormat="false" ht="15" hidden="false" customHeight="true" outlineLevel="0" collapsed="false">
      <c r="A14" s="16" t="n">
        <v>74</v>
      </c>
      <c r="B14" s="16" t="n">
        <v>2035</v>
      </c>
      <c r="C14" s="46" t="n">
        <f aca="false">IFERROR(INDEX(CMI_Projection!$L$23:$CC$83,Assumptions!$B$4+9-59,2026+9-2021),1)</f>
        <v>0.012890964853009</v>
      </c>
      <c r="D14" s="5" t="n">
        <f aca="false">C14-C13</f>
        <v>0.00130928235750039</v>
      </c>
      <c r="E14" s="5" t="str">
        <f aca="false">IF(C14&lt;C13,"NON-MONOTONE","ok")</f>
        <v>ok</v>
      </c>
      <c r="F14" s="46" t="n">
        <f aca="false">C14</f>
        <v>0.012890964853009</v>
      </c>
      <c r="G14" s="32" t="n">
        <f aca="false">MIN(1,F14)</f>
        <v>0.012890964853009</v>
      </c>
      <c r="H14" s="7" t="s">
        <v>665</v>
      </c>
      <c r="I14" s="40" t="s">
        <v>666</v>
      </c>
    </row>
    <row r="15" customFormat="false" ht="15" hidden="false" customHeight="true" outlineLevel="0" collapsed="false">
      <c r="A15" s="16" t="n">
        <v>75</v>
      </c>
      <c r="B15" s="16" t="n">
        <v>2036</v>
      </c>
      <c r="C15" s="46" t="n">
        <f aca="false">IFERROR(INDEX(CMI_Projection!$L$23:$CC$83,Assumptions!$B$4+10-59,2026+10-2021),1)</f>
        <v>0.0148782794079833</v>
      </c>
      <c r="D15" s="5" t="n">
        <f aca="false">C15-C14</f>
        <v>0.00198731455497429</v>
      </c>
      <c r="E15" s="5" t="str">
        <f aca="false">IF(C15&lt;C14,"NON-MONOTONE","ok")</f>
        <v>ok</v>
      </c>
      <c r="F15" s="46" t="n">
        <f aca="false">C15</f>
        <v>0.0148782794079833</v>
      </c>
      <c r="G15" s="32" t="n">
        <f aca="false">MIN(1,F15)</f>
        <v>0.0148782794079833</v>
      </c>
      <c r="H15" s="7" t="s">
        <v>534</v>
      </c>
      <c r="I15" s="40" t="n">
        <v>2016</v>
      </c>
    </row>
    <row r="16" customFormat="false" ht="15" hidden="false" customHeight="true" outlineLevel="0" collapsed="false">
      <c r="A16" s="16" t="n">
        <v>76</v>
      </c>
      <c r="B16" s="16" t="n">
        <v>2037</v>
      </c>
      <c r="C16" s="46" t="n">
        <f aca="false">IFERROR(INDEX(CMI_Projection!$L$23:$CC$83,Assumptions!$B$4+11-59,2026+11-2021),1)</f>
        <v>0.0166139469666426</v>
      </c>
      <c r="D16" s="5" t="n">
        <f aca="false">C16-C15</f>
        <v>0.0017356675586593</v>
      </c>
      <c r="E16" s="5" t="str">
        <f aca="false">IF(C16&lt;C15,"NON-MONOTONE","ok")</f>
        <v>ok</v>
      </c>
      <c r="F16" s="46" t="n">
        <f aca="false">C16</f>
        <v>0.0166139469666426</v>
      </c>
      <c r="G16" s="32" t="n">
        <f aca="false">MIN(1,F16)</f>
        <v>0.0166139469666426</v>
      </c>
      <c r="H16" s="7" t="s">
        <v>667</v>
      </c>
      <c r="I16" s="40" t="n">
        <v>2026</v>
      </c>
    </row>
    <row r="17" customFormat="false" ht="15" hidden="false" customHeight="true" outlineLevel="0" collapsed="false">
      <c r="A17" s="16" t="n">
        <v>77</v>
      </c>
      <c r="B17" s="16" t="n">
        <v>2038</v>
      </c>
      <c r="C17" s="46" t="n">
        <f aca="false">IFERROR(INDEX(CMI_Projection!$L$23:$CC$83,Assumptions!$B$4+12-59,2026+12-2021),1)</f>
        <v>0.0185804655408249</v>
      </c>
      <c r="D17" s="5" t="n">
        <f aca="false">C17-C16</f>
        <v>0.00196651857418225</v>
      </c>
      <c r="E17" s="5" t="str">
        <f aca="false">IF(C17&lt;C16,"NON-MONOTONE","ok")</f>
        <v>ok</v>
      </c>
      <c r="F17" s="46" t="n">
        <f aca="false">C17</f>
        <v>0.0185804655408249</v>
      </c>
      <c r="G17" s="32" t="n">
        <f aca="false">MIN(1,F17)</f>
        <v>0.0185804655408249</v>
      </c>
      <c r="H17" s="7" t="s">
        <v>668</v>
      </c>
      <c r="I17" s="40" t="n">
        <v>65</v>
      </c>
    </row>
    <row r="18" customFormat="false" ht="15" hidden="false" customHeight="true" outlineLevel="0" collapsed="false">
      <c r="A18" s="16" t="n">
        <v>78</v>
      </c>
      <c r="B18" s="16" t="n">
        <v>2039</v>
      </c>
      <c r="C18" s="46" t="n">
        <f aca="false">IFERROR(INDEX(CMI_Projection!$L$23:$CC$83,Assumptions!$B$4+13-59,2026+13-2021),1)</f>
        <v>0.0208063466384408</v>
      </c>
      <c r="D18" s="5" t="n">
        <f aca="false">C18-C17</f>
        <v>0.00222588109761595</v>
      </c>
      <c r="E18" s="5" t="str">
        <f aca="false">IF(C18&lt;C17,"NON-MONOTONE","ok")</f>
        <v>ok</v>
      </c>
      <c r="F18" s="46" t="n">
        <f aca="false">C18</f>
        <v>0.0208063466384408</v>
      </c>
      <c r="G18" s="32" t="n">
        <f aca="false">MIN(1,F18)</f>
        <v>0.0208063466384408</v>
      </c>
      <c r="H18" s="7" t="s">
        <v>532</v>
      </c>
      <c r="I18" s="40" t="n">
        <v>0.000261159450505231</v>
      </c>
    </row>
    <row r="19" customFormat="false" ht="15" hidden="false" customHeight="true" outlineLevel="0" collapsed="false">
      <c r="A19" s="16" t="n">
        <v>79</v>
      </c>
      <c r="B19" s="16" t="n">
        <v>2040</v>
      </c>
      <c r="C19" s="46" t="n">
        <f aca="false">IFERROR(INDEX(CMI_Projection!$L$23:$CC$83,Assumptions!$B$4+14-59,2026+14-2021),1)</f>
        <v>0.0233226520151738</v>
      </c>
      <c r="D19" s="5" t="n">
        <f aca="false">C19-C18</f>
        <v>0.00251630537673297</v>
      </c>
      <c r="E19" s="5" t="str">
        <f aca="false">IF(C19&lt;C18,"NON-MONOTONE","ok")</f>
        <v>ok</v>
      </c>
      <c r="F19" s="46" t="n">
        <f aca="false">C19</f>
        <v>0.0233226520151738</v>
      </c>
      <c r="G19" s="32" t="n">
        <f aca="false">MIN(1,F19)</f>
        <v>0.0233226520151738</v>
      </c>
      <c r="H19" s="7" t="s">
        <v>533</v>
      </c>
      <c r="I19" s="40" t="n">
        <v>0.0747561308802937</v>
      </c>
    </row>
    <row r="20" customFormat="false" ht="15" hidden="false" customHeight="true" outlineLevel="0" collapsed="false">
      <c r="A20" s="16" t="n">
        <v>80</v>
      </c>
      <c r="B20" s="16" t="n">
        <v>2041</v>
      </c>
      <c r="C20" s="46" t="n">
        <f aca="false">IFERROR(INDEX(CMI_Projection!$L$23:$CC$83,Assumptions!$B$4+15-59,2026+15-2021),1)</f>
        <v>0.027054541831976</v>
      </c>
      <c r="D20" s="5" t="n">
        <f aca="false">C20-C19</f>
        <v>0.00373188981680217</v>
      </c>
      <c r="E20" s="5" t="str">
        <f aca="false">IF(C20&lt;C19,"NON-MONOTONE","ok")</f>
        <v>ok</v>
      </c>
      <c r="F20" s="46" t="n">
        <f aca="false">C20</f>
        <v>0.027054541831976</v>
      </c>
      <c r="G20" s="32" t="n">
        <f aca="false">MIN(1,F20)</f>
        <v>0.027054541831976</v>
      </c>
      <c r="H20" s="7" t="s">
        <v>669</v>
      </c>
      <c r="I20" s="40" t="n">
        <v>0.015</v>
      </c>
    </row>
    <row r="21" customFormat="false" ht="15" hidden="false" customHeight="true" outlineLevel="0" collapsed="false">
      <c r="A21" s="16" t="n">
        <v>81</v>
      </c>
      <c r="B21" s="16" t="n">
        <v>2042</v>
      </c>
      <c r="C21" s="46" t="n">
        <f aca="false">IFERROR(INDEX(CMI_Projection!$L$23:$CC$83,Assumptions!$B$4+16-59,2026+16-2021),1)</f>
        <v>0.0303629165500609</v>
      </c>
      <c r="D21" s="5" t="n">
        <f aca="false">C21-C20</f>
        <v>0.00330837471808499</v>
      </c>
      <c r="E21" s="5" t="str">
        <f aca="false">IF(C21&lt;C20,"NON-MONOTONE","ok")</f>
        <v>ok</v>
      </c>
      <c r="F21" s="46" t="n">
        <f aca="false">C21</f>
        <v>0.0303629165500609</v>
      </c>
      <c r="G21" s="32" t="n">
        <f aca="false">MIN(1,F21)</f>
        <v>0.0303629165500609</v>
      </c>
      <c r="H21" s="7" t="s">
        <v>501</v>
      </c>
      <c r="I21" s="40" t="n">
        <v>0.9</v>
      </c>
    </row>
    <row r="22" customFormat="false" ht="15" hidden="false" customHeight="true" outlineLevel="0" collapsed="false">
      <c r="A22" s="16" t="n">
        <v>82</v>
      </c>
      <c r="B22" s="16" t="n">
        <v>2043</v>
      </c>
      <c r="C22" s="46" t="n">
        <f aca="false">IFERROR(INDEX(CMI_Projection!$L$23:$CC$83,Assumptions!$B$4+17-59,2026+17-2021),1)</f>
        <v>0.0340814438183777</v>
      </c>
      <c r="D22" s="5" t="n">
        <f aca="false">C22-C21</f>
        <v>0.00371852726831674</v>
      </c>
      <c r="E22" s="5" t="str">
        <f aca="false">IF(C22&lt;C21,"NON-MONOTONE","ok")</f>
        <v>ok</v>
      </c>
      <c r="F22" s="46" t="n">
        <f aca="false">C22</f>
        <v>0.0340814438183777</v>
      </c>
      <c r="G22" s="32" t="n">
        <f aca="false">MIN(1,F22)</f>
        <v>0.0340814438183777</v>
      </c>
      <c r="H22" s="7" t="s">
        <v>670</v>
      </c>
      <c r="I22" s="40" t="n">
        <v>20260620</v>
      </c>
    </row>
    <row r="23" customFormat="false" ht="15" hidden="false" customHeight="true" outlineLevel="0" collapsed="false">
      <c r="A23" s="16" t="n">
        <v>83</v>
      </c>
      <c r="B23" s="16" t="n">
        <v>2044</v>
      </c>
      <c r="C23" s="46" t="n">
        <f aca="false">IFERROR(INDEX(CMI_Projection!$L$23:$CC$83,Assumptions!$B$4+18-59,2026+18-2021),1)</f>
        <v>0.0382494856184891</v>
      </c>
      <c r="D23" s="5" t="n">
        <f aca="false">C23-C22</f>
        <v>0.00416804180011145</v>
      </c>
      <c r="E23" s="5" t="str">
        <f aca="false">IF(C23&lt;C22,"NON-MONOTONE","ok")</f>
        <v>ok</v>
      </c>
      <c r="F23" s="46" t="n">
        <f aca="false">C23</f>
        <v>0.0382494856184891</v>
      </c>
      <c r="G23" s="32" t="n">
        <f aca="false">MIN(1,F23)</f>
        <v>0.0382494856184891</v>
      </c>
    </row>
    <row r="24" customFormat="false" ht="15" hidden="false" customHeight="true" outlineLevel="0" collapsed="false">
      <c r="A24" s="16" t="n">
        <v>84</v>
      </c>
      <c r="B24" s="16" t="n">
        <v>2045</v>
      </c>
      <c r="C24" s="46" t="n">
        <f aca="false">IFERROR(INDEX(CMI_Projection!$L$23:$CC$83,Assumptions!$B$4+19-59,2026+19-2021),1)</f>
        <v>0.0429065995988382</v>
      </c>
      <c r="D24" s="5" t="n">
        <f aca="false">C24-C23</f>
        <v>0.00465711398034905</v>
      </c>
      <c r="E24" s="5" t="str">
        <f aca="false">IF(C24&lt;C23,"NON-MONOTONE","ok")</f>
        <v>ok</v>
      </c>
      <c r="F24" s="46" t="n">
        <f aca="false">C24</f>
        <v>0.0429065995988382</v>
      </c>
      <c r="G24" s="32" t="n">
        <f aca="false">MIN(1,F24)</f>
        <v>0.0429065995988382</v>
      </c>
      <c r="H24" s="6" t="s">
        <v>498</v>
      </c>
    </row>
    <row r="25" customFormat="false" ht="15" hidden="false" customHeight="true" outlineLevel="0" collapsed="false">
      <c r="A25" s="16" t="n">
        <v>85</v>
      </c>
      <c r="B25" s="16" t="n">
        <v>2046</v>
      </c>
      <c r="C25" s="46" t="n">
        <f aca="false">IFERROR(INDEX(CMI_Projection!$L$23:$CC$83,Assumptions!$B$4+20-59,2026+20-2021),1)</f>
        <v>0.0496763446201301</v>
      </c>
      <c r="D25" s="5" t="n">
        <f aca="false">C25-C24</f>
        <v>0.00676974502129188</v>
      </c>
      <c r="E25" s="5" t="str">
        <f aca="false">IF(C25&lt;C24,"NON-MONOTONE","ok")</f>
        <v>ok</v>
      </c>
      <c r="F25" s="46" t="n">
        <f aca="false">C25</f>
        <v>0.0496763446201301</v>
      </c>
      <c r="G25" s="32" t="n">
        <f aca="false">MIN(1,F25)</f>
        <v>0.0496763446201301</v>
      </c>
      <c r="H25" s="7" t="s">
        <v>671</v>
      </c>
      <c r="I25" s="20" t="n">
        <v>0.78</v>
      </c>
    </row>
    <row r="26" customFormat="false" ht="15" hidden="false" customHeight="true" outlineLevel="0" collapsed="false">
      <c r="A26" s="16" t="n">
        <v>86</v>
      </c>
      <c r="B26" s="16" t="n">
        <v>2047</v>
      </c>
      <c r="C26" s="46" t="n">
        <f aca="false">IFERROR(INDEX(CMI_Projection!$L$23:$CC$83,Assumptions!$B$4+21-59,2026+21-2021),1)</f>
        <v>0.056345407052358</v>
      </c>
      <c r="D26" s="5" t="n">
        <f aca="false">C26-C25</f>
        <v>0.00666906243222793</v>
      </c>
      <c r="E26" s="5" t="str">
        <f aca="false">IF(C26&lt;C25,"NON-MONOTONE","ok")</f>
        <v>ok</v>
      </c>
      <c r="F26" s="46" t="n">
        <f aca="false">C26</f>
        <v>0.056345407052358</v>
      </c>
      <c r="G26" s="32" t="n">
        <f aca="false">MIN(1,F26)</f>
        <v>0.056345407052358</v>
      </c>
      <c r="H26" s="7" t="s">
        <v>672</v>
      </c>
      <c r="I26" s="20" t="n">
        <v>0.82</v>
      </c>
    </row>
    <row r="27" customFormat="false" ht="15" hidden="false" customHeight="true" outlineLevel="0" collapsed="false">
      <c r="A27" s="16" t="n">
        <v>87</v>
      </c>
      <c r="B27" s="16" t="n">
        <v>2048</v>
      </c>
      <c r="C27" s="46" t="n">
        <f aca="false">IFERROR(INDEX(CMI_Projection!$L$23:$CC$83,Assumptions!$B$4+22-59,2026+22-2021),1)</f>
        <v>0.063900243074023</v>
      </c>
      <c r="D27" s="5" t="n">
        <f aca="false">C27-C26</f>
        <v>0.00755483602166497</v>
      </c>
      <c r="E27" s="5" t="str">
        <f aca="false">IF(C27&lt;C26,"NON-MONOTONE","ok")</f>
        <v>ok</v>
      </c>
      <c r="F27" s="46" t="n">
        <f aca="false">C27</f>
        <v>0.063900243074023</v>
      </c>
      <c r="G27" s="32" t="n">
        <f aca="false">MIN(1,F27)</f>
        <v>0.063900243074023</v>
      </c>
      <c r="H27" s="7" t="s">
        <v>673</v>
      </c>
      <c r="I27" s="20" t="n">
        <v>0.85</v>
      </c>
    </row>
    <row r="28" customFormat="false" ht="15" hidden="false" customHeight="true" outlineLevel="0" collapsed="false">
      <c r="A28" s="16" t="n">
        <v>88</v>
      </c>
      <c r="B28" s="16" t="n">
        <v>2049</v>
      </c>
      <c r="C28" s="46" t="n">
        <f aca="false">IFERROR(INDEX(CMI_Projection!$L$23:$CC$83,Assumptions!$B$4+23-59,2026+23-2021),1)</f>
        <v>0.0724292596507697</v>
      </c>
      <c r="D28" s="5" t="n">
        <f aca="false">C28-C27</f>
        <v>0.00852901657674672</v>
      </c>
      <c r="E28" s="5" t="str">
        <f aca="false">IF(C28&lt;C27,"NON-MONOTONE","ok")</f>
        <v>ok</v>
      </c>
      <c r="F28" s="46" t="n">
        <f aca="false">C28</f>
        <v>0.0724292596507697</v>
      </c>
      <c r="G28" s="32" t="n">
        <f aca="false">MIN(1,F28)</f>
        <v>0.0724292596507697</v>
      </c>
      <c r="H28" s="7" t="s">
        <v>674</v>
      </c>
      <c r="I28" s="20" t="n">
        <v>0.88</v>
      </c>
    </row>
    <row r="29" customFormat="false" ht="15" hidden="false" customHeight="true" outlineLevel="0" collapsed="false">
      <c r="A29" s="16" t="n">
        <v>89</v>
      </c>
      <c r="B29" s="16" t="n">
        <v>2050</v>
      </c>
      <c r="C29" s="46" t="n">
        <f aca="false">IFERROR(INDEX(CMI_Projection!$L$23:$CC$83,Assumptions!$B$4+24-59,2026+24-2021),1)</f>
        <v>0.0820208565767702</v>
      </c>
      <c r="D29" s="5" t="n">
        <f aca="false">C29-C28</f>
        <v>0.00959159692600052</v>
      </c>
      <c r="E29" s="5" t="str">
        <f aca="false">IF(C29&lt;C28,"NON-MONOTONE","ok")</f>
        <v>ok</v>
      </c>
      <c r="F29" s="46" t="n">
        <f aca="false">C29</f>
        <v>0.0820208565767702</v>
      </c>
      <c r="G29" s="32" t="n">
        <f aca="false">MIN(1,F29)</f>
        <v>0.0820208565767702</v>
      </c>
      <c r="H29" s="7" t="s">
        <v>675</v>
      </c>
      <c r="I29" s="20" t="n">
        <v>0.91</v>
      </c>
    </row>
    <row r="30" customFormat="false" ht="15" hidden="false" customHeight="true" outlineLevel="0" collapsed="false">
      <c r="A30" s="16" t="n">
        <v>90</v>
      </c>
      <c r="B30" s="16" t="n">
        <v>2051</v>
      </c>
      <c r="C30" s="46" t="n">
        <f aca="false">IFERROR(INDEX(CMI_Projection!$L$23:$CC$83,Assumptions!$B$4+25-59,2026+25-2021),1)</f>
        <v>0.0957207078139081</v>
      </c>
      <c r="D30" s="5" t="n">
        <f aca="false">C30-C29</f>
        <v>0.0136998512371379</v>
      </c>
      <c r="E30" s="5" t="str">
        <f aca="false">IF(C30&lt;C29,"NON-MONOTONE","ok")</f>
        <v>ok</v>
      </c>
      <c r="F30" s="46" t="n">
        <f aca="false">C30</f>
        <v>0.0957207078139081</v>
      </c>
      <c r="G30" s="32" t="n">
        <f aca="false">MIN(1,F30)</f>
        <v>0.0957207078139081</v>
      </c>
      <c r="H30" s="7" t="s">
        <v>676</v>
      </c>
      <c r="I30" s="20" t="n">
        <v>0.94</v>
      </c>
    </row>
    <row r="31" customFormat="false" ht="15" hidden="false" customHeight="true" outlineLevel="0" collapsed="false">
      <c r="A31" s="16" t="n">
        <v>91</v>
      </c>
      <c r="B31" s="16" t="n">
        <v>2052</v>
      </c>
      <c r="C31" s="46" t="n">
        <f aca="false">IFERROR(INDEX(CMI_Projection!$L$23:$CC$83,Assumptions!$B$4+26-59,2026+26-2021),1)</f>
        <v>0.107881542198355</v>
      </c>
      <c r="D31" s="5" t="n">
        <f aca="false">C31-C30</f>
        <v>0.012160834384447</v>
      </c>
      <c r="E31" s="5" t="str">
        <f aca="false">IF(C31&lt;C30,"NON-MONOTONE","ok")</f>
        <v>ok</v>
      </c>
      <c r="F31" s="46" t="n">
        <f aca="false">C31</f>
        <v>0.107881542198355</v>
      </c>
      <c r="G31" s="32" t="n">
        <f aca="false">MIN(1,F31)</f>
        <v>0.107881542198355</v>
      </c>
      <c r="H31" s="7" t="s">
        <v>677</v>
      </c>
      <c r="I31" s="20" t="n">
        <v>0.97</v>
      </c>
    </row>
    <row r="32" customFormat="false" ht="15" hidden="false" customHeight="true" outlineLevel="0" collapsed="false">
      <c r="A32" s="16" t="n">
        <v>92</v>
      </c>
      <c r="B32" s="16" t="n">
        <v>2053</v>
      </c>
      <c r="C32" s="46" t="n">
        <f aca="false">IFERROR(INDEX(CMI_Projection!$L$23:$CC$83,Assumptions!$B$4+27-59,2026+27-2021),1)</f>
        <v>0.120257056705328</v>
      </c>
      <c r="D32" s="5" t="n">
        <f aca="false">C32-C31</f>
        <v>0.0123755145069727</v>
      </c>
      <c r="E32" s="5" t="str">
        <f aca="false">IF(C32&lt;C31,"NON-MONOTONE","ok")</f>
        <v>ok</v>
      </c>
      <c r="F32" s="46" t="n">
        <f aca="false">C32</f>
        <v>0.120257056705328</v>
      </c>
      <c r="G32" s="32" t="n">
        <f aca="false">MIN(1,F32)</f>
        <v>0.120257056705328</v>
      </c>
      <c r="H32" s="7" t="s">
        <v>678</v>
      </c>
      <c r="I32" s="20" t="n">
        <v>1</v>
      </c>
    </row>
    <row r="33" customFormat="false" ht="15" hidden="false" customHeight="true" outlineLevel="0" collapsed="false">
      <c r="A33" s="16" t="n">
        <v>93</v>
      </c>
      <c r="B33" s="16" t="n">
        <v>2054</v>
      </c>
      <c r="C33" s="46" t="n">
        <f aca="false">IFERROR(INDEX(CMI_Projection!$L$23:$CC$83,Assumptions!$B$4+28-59,2026+28-2021),1)</f>
        <v>0.131970852932638</v>
      </c>
      <c r="D33" s="5" t="n">
        <f aca="false">C33-C32</f>
        <v>0.0117137962273098</v>
      </c>
      <c r="E33" s="5" t="str">
        <f aca="false">IF(C33&lt;C32,"NON-MONOTONE","ok")</f>
        <v>ok</v>
      </c>
      <c r="F33" s="46" t="n">
        <f aca="false">C33</f>
        <v>0.131970852932638</v>
      </c>
      <c r="G33" s="32" t="n">
        <f aca="false">MIN(1,F33)</f>
        <v>0.131970852932638</v>
      </c>
    </row>
    <row r="34" customFormat="false" ht="15" hidden="false" customHeight="true" outlineLevel="0" collapsed="false">
      <c r="A34" s="16" t="n">
        <v>94</v>
      </c>
      <c r="B34" s="16" t="n">
        <v>2055</v>
      </c>
      <c r="C34" s="46" t="n">
        <f aca="false">IFERROR(INDEX(CMI_Projection!$L$23:$CC$83,Assumptions!$B$4+29-59,2026+29-2021),1)</f>
        <v>0.142938412279168</v>
      </c>
      <c r="D34" s="5" t="n">
        <f aca="false">C34-C33</f>
        <v>0.0109675593465309</v>
      </c>
      <c r="E34" s="5" t="str">
        <f aca="false">IF(C34&lt;C33,"NON-MONOTONE","ok")</f>
        <v>ok</v>
      </c>
      <c r="F34" s="46" t="n">
        <f aca="false">C34</f>
        <v>0.142938412279168</v>
      </c>
      <c r="G34" s="32" t="n">
        <f aca="false">MIN(1,F34)</f>
        <v>0.142938412279168</v>
      </c>
    </row>
    <row r="35" customFormat="false" ht="15" hidden="false" customHeight="true" outlineLevel="0" collapsed="false">
      <c r="A35" s="16" t="n">
        <v>95</v>
      </c>
      <c r="B35" s="16" t="n">
        <v>2056</v>
      </c>
      <c r="C35" s="46" t="n">
        <f aca="false">IFERROR(INDEX(CMI_Projection!$L$23:$CC$83,Assumptions!$B$4+30-59,2026+30-2021),1)</f>
        <v>0.158002551414007</v>
      </c>
      <c r="D35" s="5" t="n">
        <f aca="false">C35-C34</f>
        <v>0.0150641391348382</v>
      </c>
      <c r="E35" s="5" t="str">
        <f aca="false">IF(C35&lt;C34,"NON-MONOTONE","ok")</f>
        <v>ok</v>
      </c>
      <c r="F35" s="46" t="n">
        <f aca="false">C35</f>
        <v>0.158002551414007</v>
      </c>
      <c r="G35" s="32" t="n">
        <f aca="false">MIN(1,F35)</f>
        <v>0.158002551414007</v>
      </c>
    </row>
    <row r="36" customFormat="false" ht="15" hidden="false" customHeight="true" outlineLevel="0" collapsed="false">
      <c r="A36" s="16" t="n">
        <v>96</v>
      </c>
      <c r="B36" s="16" t="n">
        <v>2057</v>
      </c>
      <c r="C36" s="46" t="n">
        <f aca="false">IFERROR(INDEX(CMI_Projection!$L$23:$CC$83,Assumptions!$B$4+31-59,2026+31-2021),1)</f>
        <v>0.168180055784723</v>
      </c>
      <c r="D36" s="5" t="n">
        <f aca="false">C36-C35</f>
        <v>0.0101775043707159</v>
      </c>
      <c r="E36" s="5" t="str">
        <f aca="false">IF(C36&lt;C35,"NON-MONOTONE","ok")</f>
        <v>ok</v>
      </c>
      <c r="F36" s="46" t="n">
        <f aca="false">C36</f>
        <v>0.168180055784723</v>
      </c>
      <c r="G36" s="32" t="n">
        <f aca="false">MIN(1,F36)</f>
        <v>0.168180055784723</v>
      </c>
    </row>
    <row r="37" customFormat="false" ht="15" hidden="false" customHeight="true" outlineLevel="0" collapsed="false">
      <c r="A37" s="16" t="n">
        <v>97</v>
      </c>
      <c r="B37" s="16" t="n">
        <v>2058</v>
      </c>
      <c r="C37" s="46" t="n">
        <f aca="false">IFERROR(INDEX(CMI_Projection!$L$23:$CC$83,Assumptions!$B$4+32-59,2026+32-2021),1)</f>
        <v>0.178088862915254</v>
      </c>
      <c r="D37" s="5" t="n">
        <f aca="false">C37-C36</f>
        <v>0.00990880713053141</v>
      </c>
      <c r="E37" s="5" t="str">
        <f aca="false">IF(C37&lt;C36,"NON-MONOTONE","ok")</f>
        <v>ok</v>
      </c>
      <c r="F37" s="46" t="n">
        <f aca="false">C37</f>
        <v>0.178088862915254</v>
      </c>
      <c r="G37" s="32" t="n">
        <f aca="false">MIN(1,F37)</f>
        <v>0.178088862915254</v>
      </c>
    </row>
    <row r="38" customFormat="false" ht="15" hidden="false" customHeight="true" outlineLevel="0" collapsed="false">
      <c r="A38" s="16" t="n">
        <v>98</v>
      </c>
      <c r="B38" s="16" t="n">
        <v>2059</v>
      </c>
      <c r="C38" s="46" t="n">
        <f aca="false">IFERROR(INDEX(CMI_Projection!$L$23:$CC$83,Assumptions!$B$4+33-59,2026+33-2021),1)</f>
        <v>0.187967195708293</v>
      </c>
      <c r="D38" s="5" t="n">
        <f aca="false">C38-C37</f>
        <v>0.00987833279303935</v>
      </c>
      <c r="E38" s="5" t="str">
        <f aca="false">IF(C38&lt;C37,"NON-MONOTONE","ok")</f>
        <v>ok</v>
      </c>
      <c r="F38" s="46" t="n">
        <f aca="false">C38</f>
        <v>0.187967195708293</v>
      </c>
      <c r="G38" s="32" t="n">
        <f aca="false">MIN(1,F38)</f>
        <v>0.187967195708293</v>
      </c>
    </row>
    <row r="39" customFormat="false" ht="15" hidden="false" customHeight="true" outlineLevel="0" collapsed="false">
      <c r="A39" s="16" t="n">
        <v>99</v>
      </c>
      <c r="B39" s="16" t="n">
        <v>2060</v>
      </c>
      <c r="C39" s="46" t="n">
        <f aca="false">IFERROR(INDEX(CMI_Projection!$L$23:$CC$83,Assumptions!$B$4+34-59,2026+34-2021),1)</f>
        <v>0.198070084054699</v>
      </c>
      <c r="D39" s="5" t="n">
        <f aca="false">C39-C38</f>
        <v>0.0101028883464054</v>
      </c>
      <c r="E39" s="5" t="str">
        <f aca="false">IF(C39&lt;C38,"NON-MONOTONE","ok")</f>
        <v>ok</v>
      </c>
      <c r="F39" s="46" t="n">
        <f aca="false">C39</f>
        <v>0.198070084054699</v>
      </c>
      <c r="G39" s="32" t="n">
        <f aca="false">MIN(1,F39)</f>
        <v>0.198070084054699</v>
      </c>
    </row>
    <row r="40" customFormat="false" ht="15" hidden="false" customHeight="true" outlineLevel="0" collapsed="false">
      <c r="A40" s="16" t="n">
        <v>100</v>
      </c>
      <c r="B40" s="16" t="n">
        <v>2061</v>
      </c>
      <c r="C40" s="46" t="n">
        <f aca="false">IFERROR(INDEX(CMI_Projection!$L$23:$CC$83,Assumptions!$B$4+35-59,2026+35-2021),1)</f>
        <v>0.208678498082548</v>
      </c>
      <c r="D40" s="5" t="n">
        <f aca="false">C40-C39</f>
        <v>0.0106084140278487</v>
      </c>
      <c r="E40" s="5" t="str">
        <f aca="false">IF(C40&lt;C39,"NON-MONOTONE","ok")</f>
        <v>ok</v>
      </c>
      <c r="F40" s="46" t="n">
        <f aca="false">C40</f>
        <v>0.208678498082548</v>
      </c>
      <c r="G40" s="32" t="n">
        <f aca="false">MIN(1,F40)</f>
        <v>0.208678498082548</v>
      </c>
    </row>
    <row r="41" customFormat="false" ht="15" hidden="false" customHeight="true" outlineLevel="0" collapsed="false">
      <c r="A41" s="16" t="n">
        <v>101</v>
      </c>
      <c r="B41" s="16" t="n">
        <v>2062</v>
      </c>
      <c r="C41" s="46" t="n">
        <f aca="false">IFERROR(INDEX(CMI_Projection!$L$23:$CC$83,Assumptions!$B$4+36-59,2026+36-2021),1)</f>
        <v>0.220124381667156</v>
      </c>
      <c r="D41" s="5" t="n">
        <f aca="false">C41-C40</f>
        <v>0.011445883584609</v>
      </c>
      <c r="E41" s="5" t="str">
        <f aca="false">IF(C41&lt;C40,"NON-MONOTONE","ok")</f>
        <v>ok</v>
      </c>
      <c r="F41" s="46" t="n">
        <f aca="false">C41</f>
        <v>0.220124381667156</v>
      </c>
      <c r="G41" s="32" t="n">
        <f aca="false">MIN(1,F41)</f>
        <v>0.220124381667156</v>
      </c>
    </row>
    <row r="42" customFormat="false" ht="15" hidden="false" customHeight="true" outlineLevel="0" collapsed="false">
      <c r="A42" s="16" t="n">
        <v>102</v>
      </c>
      <c r="B42" s="16" t="n">
        <v>2063</v>
      </c>
      <c r="C42" s="46" t="n">
        <f aca="false">IFERROR(INDEX(CMI_Projection!$L$23:$CC$83,Assumptions!$B$4+37-59,2026+37-2021),1)</f>
        <v>0.232834154827819</v>
      </c>
      <c r="D42" s="5" t="n">
        <f aca="false">C42-C41</f>
        <v>0.012709773160663</v>
      </c>
      <c r="E42" s="5" t="str">
        <f aca="false">IF(C42&lt;C41,"NON-MONOTONE","ok")</f>
        <v>ok</v>
      </c>
      <c r="F42" s="46" t="n">
        <f aca="false">C42</f>
        <v>0.232834154827819</v>
      </c>
      <c r="G42" s="32" t="n">
        <f aca="false">MIN(1,F42)</f>
        <v>0.232834154827819</v>
      </c>
    </row>
    <row r="43" customFormat="false" ht="15" hidden="false" customHeight="true" outlineLevel="0" collapsed="false">
      <c r="A43" s="16" t="n">
        <v>103</v>
      </c>
      <c r="B43" s="16" t="n">
        <v>2064</v>
      </c>
      <c r="C43" s="46" t="n">
        <f aca="false">IFERROR(INDEX(CMI_Projection!$L$23:$CC$83,Assumptions!$B$4+38-59,2026+38-2021),1)</f>
        <v>0.247394878598862</v>
      </c>
      <c r="D43" s="5" t="n">
        <f aca="false">C43-C42</f>
        <v>0.0145607237710429</v>
      </c>
      <c r="E43" s="5" t="str">
        <f aca="false">IF(C43&lt;C42,"NON-MONOTONE","ok")</f>
        <v>ok</v>
      </c>
      <c r="F43" s="46" t="n">
        <f aca="false">C43</f>
        <v>0.247394878598862</v>
      </c>
      <c r="G43" s="32" t="n">
        <f aca="false">MIN(1,F43)</f>
        <v>0.247394878598862</v>
      </c>
    </row>
    <row r="44" customFormat="false" ht="15" hidden="false" customHeight="true" outlineLevel="0" collapsed="false">
      <c r="A44" s="16" t="n">
        <v>104</v>
      </c>
      <c r="B44" s="16" t="n">
        <v>2065</v>
      </c>
      <c r="C44" s="46" t="n">
        <f aca="false">IFERROR(INDEX(CMI_Projection!$L$23:$CC$83,Assumptions!$B$4+39-59,2026+39-2021),1)</f>
        <v>0.237854565957446</v>
      </c>
      <c r="D44" s="5" t="n">
        <f aca="false">C44-C43</f>
        <v>-0.00954031264141589</v>
      </c>
      <c r="E44" s="5" t="str">
        <f aca="false">IF(C44&lt;C43,"NON-MONOTONE","ok")</f>
        <v>NON-MONOTONE</v>
      </c>
      <c r="F44" s="46" t="n">
        <f aca="false">IF(Assumptions!$B$42=1,EXP($I$4+($I$5-$I$4)/3)/(1+EXP($I$4+($I$5-$I$4)/3)),C44)</f>
        <v>0.237854565957446</v>
      </c>
      <c r="G44" s="32" t="n">
        <f aca="false">MIN(1,F44)</f>
        <v>0.237854565957446</v>
      </c>
    </row>
    <row r="45" customFormat="false" ht="15" hidden="false" customHeight="true" outlineLevel="0" collapsed="false">
      <c r="A45" s="16" t="n">
        <v>105</v>
      </c>
      <c r="B45" s="16" t="n">
        <v>2066</v>
      </c>
      <c r="C45" s="46" t="n">
        <f aca="false">IFERROR(INDEX(CMI_Projection!$L$23:$CC$83,Assumptions!$B$4+40-59,2026+40-2021),1)</f>
        <v>0.122022072077009</v>
      </c>
      <c r="D45" s="5" t="n">
        <f aca="false">C45-C44</f>
        <v>-0.115832493880437</v>
      </c>
      <c r="E45" s="5" t="str">
        <f aca="false">IF(C45&lt;C44,"NON-MONOTONE","ok")</f>
        <v>NON-MONOTONE</v>
      </c>
      <c r="F45" s="46" t="n">
        <f aca="false">IF(Assumptions!$B$42=1,EXP($I$4+2*($I$5-$I$4)/3)/(1+EXP($I$4+2*($I$5-$I$4)/3)),C45)</f>
        <v>0.122022072077009</v>
      </c>
      <c r="G45" s="32" t="n">
        <f aca="false">MIN(1,F45)</f>
        <v>0.122022072077009</v>
      </c>
    </row>
    <row r="46" customFormat="false" ht="15" hidden="false" customHeight="true" outlineLevel="0" collapsed="false">
      <c r="A46" s="16" t="n">
        <v>106</v>
      </c>
      <c r="B46" s="16" t="n">
        <v>2067</v>
      </c>
      <c r="C46" s="46" t="n">
        <f aca="false">IFERROR(INDEX(CMI_Projection!$L$23:$CC$83,Assumptions!$B$4+41-59,2026+41-2021),1)</f>
        <v>0.334050814483618</v>
      </c>
      <c r="D46" s="5" t="n">
        <f aca="false">C46-C45</f>
        <v>0.212028742406609</v>
      </c>
      <c r="E46" s="5" t="str">
        <f aca="false">IF(C46&lt;C45,"NON-MONOTONE","ok")</f>
        <v>ok</v>
      </c>
      <c r="F46" s="46" t="n">
        <f aca="false">C46</f>
        <v>0.334050814483618</v>
      </c>
      <c r="G46" s="32" t="n">
        <f aca="false">MIN(1,F46)</f>
        <v>0.334050814483618</v>
      </c>
    </row>
    <row r="47" customFormat="false" ht="15" hidden="false" customHeight="true" outlineLevel="0" collapsed="false">
      <c r="A47" s="16" t="n">
        <v>107</v>
      </c>
      <c r="B47" s="16" t="n">
        <v>2068</v>
      </c>
      <c r="C47" s="46" t="n">
        <f aca="false">IFERROR(INDEX(CMI_Projection!$L$23:$CC$83,Assumptions!$B$4+42-59,2026+42-2021),1)</f>
        <v>0.358228438027031</v>
      </c>
      <c r="D47" s="5" t="n">
        <f aca="false">C47-C46</f>
        <v>0.0241776235434132</v>
      </c>
      <c r="E47" s="5" t="str">
        <f aca="false">IF(C47&lt;C46,"NON-MONOTONE","ok")</f>
        <v>ok</v>
      </c>
      <c r="F47" s="46" t="n">
        <f aca="false">C47</f>
        <v>0.358228438027031</v>
      </c>
      <c r="G47" s="32" t="n">
        <f aca="false">MIN(1,F47)</f>
        <v>0.358228438027031</v>
      </c>
    </row>
    <row r="48" customFormat="false" ht="15" hidden="false" customHeight="true" outlineLevel="0" collapsed="false">
      <c r="A48" s="16" t="n">
        <v>108</v>
      </c>
      <c r="B48" s="16" t="n">
        <v>2069</v>
      </c>
      <c r="C48" s="46" t="n">
        <f aca="false">IFERROR(INDEX(CMI_Projection!$L$23:$CC$83,Assumptions!$B$4+43-59,2026+43-2021),1)</f>
        <v>0.383986985728216</v>
      </c>
      <c r="D48" s="5" t="n">
        <f aca="false">C48-C47</f>
        <v>0.0257585477011846</v>
      </c>
      <c r="E48" s="5" t="str">
        <f aca="false">IF(C48&lt;C47,"NON-MONOTONE","ok")</f>
        <v>ok</v>
      </c>
      <c r="F48" s="46" t="n">
        <f aca="false">C48</f>
        <v>0.383986985728216</v>
      </c>
      <c r="G48" s="32" t="n">
        <f aca="false">MIN(1,F48)</f>
        <v>0.383986985728216</v>
      </c>
    </row>
    <row r="49" customFormat="false" ht="15" hidden="false" customHeight="true" outlineLevel="0" collapsed="false">
      <c r="A49" s="16" t="n">
        <v>109</v>
      </c>
      <c r="B49" s="16" t="n">
        <v>2070</v>
      </c>
      <c r="C49" s="46" t="n">
        <f aca="false">IFERROR(INDEX(CMI_Projection!$L$23:$CC$83,Assumptions!$B$4+44-59,2026+44-2021),1)</f>
        <v>0.411411053924766</v>
      </c>
      <c r="D49" s="5" t="n">
        <f aca="false">C49-C48</f>
        <v>0.0274240681965501</v>
      </c>
      <c r="E49" s="5" t="str">
        <f aca="false">IF(C49&lt;C48,"NON-MONOTONE","ok")</f>
        <v>ok</v>
      </c>
      <c r="F49" s="46" t="n">
        <f aca="false">C49</f>
        <v>0.411411053924766</v>
      </c>
      <c r="G49" s="32" t="n">
        <f aca="false">MIN(1,F49)</f>
        <v>0.411411053924766</v>
      </c>
    </row>
    <row r="50" customFormat="false" ht="15" hidden="false" customHeight="true" outlineLevel="0" collapsed="false">
      <c r="A50" s="16" t="n">
        <v>110</v>
      </c>
      <c r="B50" s="16" t="n">
        <v>2071</v>
      </c>
      <c r="C50" s="46" t="n">
        <f aca="false">IFERROR(INDEX(CMI_Projection!$L$23:$CC$83,Assumptions!$B$4+45-59,2026+45-2021),1)</f>
        <v>0.440590901801861</v>
      </c>
      <c r="D50" s="5" t="n">
        <f aca="false">C50-C49</f>
        <v>0.0291798478770948</v>
      </c>
      <c r="E50" s="5" t="str">
        <f aca="false">IF(C50&lt;C49,"NON-MONOTONE","ok")</f>
        <v>ok</v>
      </c>
      <c r="F50" s="46" t="n">
        <f aca="false">C50</f>
        <v>0.440590901801861</v>
      </c>
      <c r="G50" s="32" t="n">
        <f aca="false">MIN(1,F50)</f>
        <v>0.440590901801861</v>
      </c>
    </row>
    <row r="51" customFormat="false" ht="15" hidden="false" customHeight="true" outlineLevel="0" collapsed="false">
      <c r="A51" s="16" t="n">
        <v>111</v>
      </c>
      <c r="B51" s="16" t="n">
        <v>2072</v>
      </c>
      <c r="C51" s="46" t="n">
        <f aca="false">IFERROR(INDEX(CMI_Projection!$L$23:$CC$83,Assumptions!$B$4+46-59,2026+46-2021),1)</f>
        <v>0.458238138888</v>
      </c>
      <c r="D51" s="5" t="n">
        <f aca="false">C51-C50</f>
        <v>0.0176472370861396</v>
      </c>
      <c r="E51" s="5" t="str">
        <f aca="false">IF(C51&lt;C50,"NON-MONOTONE","ok")</f>
        <v>ok</v>
      </c>
      <c r="F51" s="46" t="n">
        <f aca="false">C51</f>
        <v>0.458238138888</v>
      </c>
      <c r="G51" s="32" t="n">
        <f aca="false">MIN(1,F51)</f>
        <v>0.458238138888</v>
      </c>
    </row>
    <row r="52" customFormat="false" ht="15" hidden="false" customHeight="true" outlineLevel="0" collapsed="false">
      <c r="A52" s="16" t="n">
        <v>112</v>
      </c>
      <c r="B52" s="16" t="n">
        <v>2073</v>
      </c>
      <c r="C52" s="46" t="n">
        <f aca="false">IFERROR(INDEX(CMI_Projection!$L$23:$CC$83,Assumptions!$B$4+47-59,2026+47-2021),1)</f>
        <v>0.475813576891172</v>
      </c>
      <c r="D52" s="5" t="n">
        <f aca="false">C52-C51</f>
        <v>0.0175754380031715</v>
      </c>
      <c r="E52" s="5" t="str">
        <f aca="false">IF(C52&lt;C51,"NON-MONOTONE","ok")</f>
        <v>ok</v>
      </c>
      <c r="F52" s="46" t="n">
        <f aca="false">C52</f>
        <v>0.475813576891172</v>
      </c>
      <c r="G52" s="32" t="n">
        <f aca="false">MIN(1,F52)</f>
        <v>0.475813576891172</v>
      </c>
    </row>
    <row r="53" customFormat="false" ht="15" hidden="false" customHeight="true" outlineLevel="0" collapsed="false">
      <c r="A53" s="16" t="n">
        <v>113</v>
      </c>
      <c r="B53" s="16" t="n">
        <v>2074</v>
      </c>
      <c r="C53" s="46" t="n">
        <f aca="false">IFERROR(INDEX(CMI_Projection!$L$23:$CC$83,Assumptions!$B$4+48-59,2026+48-2021),1)</f>
        <v>0.493263015190997</v>
      </c>
      <c r="D53" s="5" t="n">
        <f aca="false">C53-C52</f>
        <v>0.0174494382998256</v>
      </c>
      <c r="E53" s="5" t="str">
        <f aca="false">IF(C53&lt;C52,"NON-MONOTONE","ok")</f>
        <v>ok</v>
      </c>
      <c r="F53" s="46" t="n">
        <f aca="false">C53</f>
        <v>0.493263015190997</v>
      </c>
      <c r="G53" s="32" t="n">
        <f aca="false">MIN(1,F53)</f>
        <v>0.493263015190997</v>
      </c>
    </row>
    <row r="54" customFormat="false" ht="15" hidden="false" customHeight="true" outlineLevel="0" collapsed="false">
      <c r="A54" s="16" t="n">
        <v>114</v>
      </c>
      <c r="B54" s="16" t="n">
        <v>2075</v>
      </c>
      <c r="C54" s="46" t="n">
        <f aca="false">IFERROR(INDEX(CMI_Projection!$L$23:$CC$83,Assumptions!$B$4+49-59,2026+49-2021),1)</f>
        <v>0.510534635206023</v>
      </c>
      <c r="D54" s="5" t="n">
        <f aca="false">C54-C53</f>
        <v>0.0172716200150258</v>
      </c>
      <c r="E54" s="5" t="str">
        <f aca="false">IF(C54&lt;C53,"NON-MONOTONE","ok")</f>
        <v>ok</v>
      </c>
      <c r="F54" s="46" t="n">
        <f aca="false">C54</f>
        <v>0.510534635206023</v>
      </c>
      <c r="G54" s="32" t="n">
        <f aca="false">MIN(1,F54)</f>
        <v>0.510534635206023</v>
      </c>
    </row>
    <row r="55" customFormat="false" ht="15" hidden="false" customHeight="true" outlineLevel="0" collapsed="false">
      <c r="A55" s="16" t="n">
        <v>115</v>
      </c>
      <c r="B55" s="16" t="n">
        <v>2076</v>
      </c>
      <c r="C55" s="46" t="n">
        <f aca="false">IFERROR(INDEX(CMI_Projection!$L$23:$CC$83,Assumptions!$B$4+50-59,2026+50-2021),1)</f>
        <v>0.527579551916928</v>
      </c>
      <c r="D55" s="5" t="n">
        <f aca="false">C55-C54</f>
        <v>0.0170449167109046</v>
      </c>
      <c r="E55" s="5" t="str">
        <f aca="false">IF(C55&lt;C54,"NON-MONOTONE","ok")</f>
        <v>ok</v>
      </c>
      <c r="F55" s="46" t="n">
        <f aca="false">C55</f>
        <v>0.527579551916928</v>
      </c>
      <c r="G55" s="32" t="n">
        <f aca="false">MIN(1,F55)</f>
        <v>0.527579551916928</v>
      </c>
    </row>
    <row r="56" customFormat="false" ht="15" hidden="false" customHeight="true" outlineLevel="0" collapsed="false">
      <c r="A56" s="16" t="n">
        <v>116</v>
      </c>
      <c r="B56" s="16" t="n">
        <v>2077</v>
      </c>
      <c r="C56" s="46" t="n">
        <f aca="false">IFERROR(INDEX(CMI_Projection!$L$23:$CC$83,Assumptions!$B$4+51-59,2026+51-2021),1)</f>
        <v>0.544352264852119</v>
      </c>
      <c r="D56" s="5" t="n">
        <f aca="false">C56-C55</f>
        <v>0.0167727129351918</v>
      </c>
      <c r="E56" s="5" t="str">
        <f aca="false">IF(C56&lt;C55,"NON-MONOTONE","ok")</f>
        <v>ok</v>
      </c>
      <c r="F56" s="46" t="n">
        <f aca="false">C56</f>
        <v>0.544352264852119</v>
      </c>
      <c r="G56" s="32" t="n">
        <f aca="false">MIN(1,F56)</f>
        <v>0.544352264852119</v>
      </c>
    </row>
    <row r="57" customFormat="false" ht="15" hidden="false" customHeight="true" outlineLevel="0" collapsed="false">
      <c r="A57" s="16" t="n">
        <v>117</v>
      </c>
      <c r="B57" s="16" t="n">
        <v>2078</v>
      </c>
      <c r="C57" s="46" t="n">
        <f aca="false">IFERROR(INDEX(CMI_Projection!$L$23:$CC$83,Assumptions!$B$4+52-59,2026+52-2021),1)</f>
        <v>0.560811007209681</v>
      </c>
      <c r="D57" s="5" t="n">
        <f aca="false">C57-C56</f>
        <v>0.0164587423575621</v>
      </c>
      <c r="E57" s="5" t="str">
        <f aca="false">IF(C57&lt;C56,"NON-MONOTONE","ok")</f>
        <v>ok</v>
      </c>
      <c r="F57" s="46" t="n">
        <f aca="false">C57</f>
        <v>0.560811007209681</v>
      </c>
      <c r="G57" s="32" t="n">
        <f aca="false">MIN(1,F57)</f>
        <v>0.560811007209681</v>
      </c>
    </row>
    <row r="58" customFormat="false" ht="15" hidden="false" customHeight="true" outlineLevel="0" collapsed="false">
      <c r="A58" s="16" t="n">
        <v>118</v>
      </c>
      <c r="B58" s="16" t="n">
        <v>2079</v>
      </c>
      <c r="C58" s="46" t="n">
        <f aca="false">IFERROR(INDEX(CMI_Projection!$L$23:$CC$83,Assumptions!$B$4+53-59,2026+53-2021),1)</f>
        <v>0.576917996204382</v>
      </c>
      <c r="D58" s="5" t="n">
        <f aca="false">C58-C57</f>
        <v>0.0161069889947002</v>
      </c>
      <c r="E58" s="5" t="str">
        <f aca="false">IF(C58&lt;C57,"NON-MONOTONE","ok")</f>
        <v>ok</v>
      </c>
      <c r="F58" s="46" t="n">
        <f aca="false">C58</f>
        <v>0.576917996204382</v>
      </c>
      <c r="G58" s="32" t="n">
        <f aca="false">MIN(1,F58)</f>
        <v>0.576917996204382</v>
      </c>
    </row>
    <row r="59" customFormat="false" ht="15" hidden="false" customHeight="true" outlineLevel="0" collapsed="false">
      <c r="A59" s="16" t="n">
        <v>119</v>
      </c>
      <c r="B59" s="16" t="n">
        <v>2080</v>
      </c>
      <c r="C59" s="46" t="n">
        <f aca="false">IFERROR(INDEX(CMI_Projection!$L$23:$CC$83,Assumptions!$B$4+54-59,2026+54-2021),1)</f>
        <v>0.592639591024509</v>
      </c>
      <c r="D59" s="5" t="n">
        <f aca="false">C59-C58</f>
        <v>0.0157215948201273</v>
      </c>
      <c r="E59" s="5" t="str">
        <f aca="false">IF(C59&lt;C58,"NON-MONOTONE","ok")</f>
        <v>ok</v>
      </c>
      <c r="F59" s="46" t="n">
        <f aca="false">C59</f>
        <v>0.592639591024509</v>
      </c>
      <c r="G59" s="32" t="n">
        <f aca="false">MIN(1,F59)</f>
        <v>0.592639591024509</v>
      </c>
    </row>
    <row r="60" customFormat="false" ht="15" hidden="false" customHeight="true" outlineLevel="0" collapsed="false">
      <c r="A60" s="16" t="n">
        <v>120</v>
      </c>
      <c r="B60" s="16" t="n">
        <v>2081</v>
      </c>
      <c r="C60" s="46" t="n">
        <f aca="false">IFERROR(INDEX(CMI_Projection!$L$23:$CC$83,Assumptions!$B$4+55-59,2026+55-2021),1)</f>
        <v>0.607946366970808</v>
      </c>
      <c r="D60" s="5" t="n">
        <f aca="false">C60-C59</f>
        <v>0.015306775946299</v>
      </c>
      <c r="E60" s="5" t="str">
        <f aca="false">IF(C60&lt;C59,"NON-MONOTONE","ok")</f>
        <v>ok</v>
      </c>
      <c r="F60" s="46" t="n">
        <f aca="false">C60</f>
        <v>0.607946366970808</v>
      </c>
      <c r="G60" s="32" t="n">
        <f aca="false">MIN(1,F60)</f>
        <v>0.607946366970808</v>
      </c>
    </row>
    <row r="62" customFormat="false" ht="15" hidden="false" customHeight="true" outlineLevel="0" collapsed="false">
      <c r="A62" s="1" t="s">
        <v>679</v>
      </c>
      <c r="D62" s="32" t="n">
        <f aca="false">INDEX(Cohort_Survival!$AC$5:$BB$65,Assumptions!$B$5-59,Assumptions!$B$4-59)</f>
        <v>0.835721504411371</v>
      </c>
    </row>
    <row r="63" customFormat="false" ht="15" hidden="false" customHeight="true" outlineLevel="0" collapsed="false">
      <c r="A63" s="6" t="s">
        <v>680</v>
      </c>
    </row>
    <row r="64" customFormat="false" ht="15" hidden="false" customHeight="true" outlineLevel="0" collapsed="false">
      <c r="A64" s="1" t="s">
        <v>681</v>
      </c>
      <c r="B64" s="27" t="n">
        <f aca="false">SUMPRODUCT(MAX(ABS(Projection!$C$4:$C$59-$G$5:$G$60)))</f>
        <v>0</v>
      </c>
    </row>
    <row r="65" customFormat="false" ht="15" hidden="false" customHeight="true" outlineLevel="0" collapsed="false">
      <c r="A65" s="3" t="s">
        <v>458</v>
      </c>
      <c r="B65" s="28" t="str">
        <f aca="false">IF(B64&lt;0.000000001,"PASS — the presentation sheet and the production path agree","FAIL — they have diverged")</f>
        <v>PASS — the presentation sheet and the production path agree</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7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5" min="1" style="1" width="14"/>
    <col collapsed="false" customWidth="true" hidden="false" outlineLevel="0" max="17" min="16" style="1" width="17"/>
    <col collapsed="false" customWidth="true" hidden="false" outlineLevel="0" max="24" min="18" style="1" width="16"/>
  </cols>
  <sheetData>
    <row r="1" customFormat="false" ht="15.75" hidden="false" customHeight="true" outlineLevel="0" collapsed="false">
      <c r="A1" s="15" t="s">
        <v>682</v>
      </c>
    </row>
    <row r="2" customFormat="false" ht="15" hidden="false" customHeight="true" outlineLevel="0" collapsed="false">
      <c r="A2" s="7" t="s">
        <v>683</v>
      </c>
    </row>
    <row r="3" customFormat="false" ht="15" hidden="false" customHeight="true" outlineLevel="0" collapsed="false">
      <c r="A3" s="7" t="s">
        <v>684</v>
      </c>
    </row>
    <row r="4" customFormat="false" ht="15" hidden="false" customHeight="true" outlineLevel="0" collapsed="false">
      <c r="A4" s="7" t="s">
        <v>685</v>
      </c>
    </row>
    <row r="6" customFormat="false" ht="15" hidden="false" customHeight="true" outlineLevel="0" collapsed="false">
      <c r="A6" s="8" t="s">
        <v>686</v>
      </c>
      <c r="B6" s="8" t="s">
        <v>687</v>
      </c>
      <c r="C6" s="8" t="s">
        <v>580</v>
      </c>
      <c r="D6" s="8" t="s">
        <v>688</v>
      </c>
      <c r="E6" s="8" t="s">
        <v>689</v>
      </c>
      <c r="F6" s="8" t="s">
        <v>690</v>
      </c>
      <c r="G6" s="8" t="s">
        <v>691</v>
      </c>
      <c r="H6" s="8" t="s">
        <v>692</v>
      </c>
      <c r="I6" s="8" t="s">
        <v>693</v>
      </c>
      <c r="J6" s="8" t="s">
        <v>694</v>
      </c>
      <c r="K6" s="8" t="s">
        <v>695</v>
      </c>
      <c r="L6" s="8" t="s">
        <v>696</v>
      </c>
      <c r="M6" s="8" t="s">
        <v>697</v>
      </c>
      <c r="N6" s="8" t="s">
        <v>698</v>
      </c>
      <c r="O6" s="8" t="s">
        <v>699</v>
      </c>
      <c r="P6" s="8" t="s">
        <v>700</v>
      </c>
      <c r="Q6" s="8" t="s">
        <v>701</v>
      </c>
      <c r="R6" s="8" t="s">
        <v>702</v>
      </c>
      <c r="S6" s="8" t="s">
        <v>703</v>
      </c>
      <c r="T6" s="8" t="s">
        <v>704</v>
      </c>
      <c r="U6" s="8" t="s">
        <v>705</v>
      </c>
      <c r="V6" s="8" t="s">
        <v>706</v>
      </c>
      <c r="W6" s="8" t="s">
        <v>707</v>
      </c>
      <c r="X6" s="8" t="s">
        <v>708</v>
      </c>
    </row>
    <row r="7" customFormat="false" ht="15" hidden="false" customHeight="true" outlineLevel="0" collapsed="false">
      <c r="A7" s="1" t="n">
        <v>0</v>
      </c>
      <c r="B7" s="31" t="n">
        <f aca="false">Assumptions!$B$4+A7/12</f>
        <v>65</v>
      </c>
      <c r="C7" s="34" t="n">
        <f aca="false">Assumptions!$B$4+INT(A7/12)</f>
        <v>65</v>
      </c>
      <c r="D7" s="34" t="n">
        <f aca="false">INT(A7/12)+1</f>
        <v>1</v>
      </c>
      <c r="E7" s="32" t="n">
        <f aca="false">IFERROR(INDEX(Cohort_Survival!$G$5:$G$65,MATCH(C7,Cohort_Survival!$A$5:$A$65,0)),1)</f>
        <v>0.00518054588826009</v>
      </c>
      <c r="F7" s="30" t="n">
        <f aca="false">1-(1-MIN(1,E7))^(1/12)</f>
        <v>0.000432740627602679</v>
      </c>
      <c r="G7" s="39" t="n">
        <f aca="false">IF(C7&lt;Assumptions!$B$5,IF(D7=1,Assumptions!$B$16,IF(D7=2,Assumptions!$B$17,IF(D7&lt;=5,Assumptions!$B$18,Assumptions!$B$19)))*(1-Assumptions!$B$20),0)</f>
        <v>0.0406</v>
      </c>
      <c r="H7" s="30" t="n">
        <f aca="false">1-(1-G7)^(1/12)</f>
        <v>0.00344797452945689</v>
      </c>
      <c r="I7" s="30" t="n">
        <v>1</v>
      </c>
      <c r="J7" s="30" t="n">
        <f aca="false">INDEX(Discount_Monthly!$G$4:$G$664,MATCH(A7,Discount_Monthly!$A$4:$A$664,0))</f>
        <v>1</v>
      </c>
      <c r="K7" s="30" t="n">
        <f aca="false">IF(C7&lt;Assumptions!$B$5,I7*J7,0)</f>
        <v>1</v>
      </c>
      <c r="L7" s="30" t="n">
        <f aca="false">IF(C7&lt;Assumptions!$B$5,I7*(1-F7)*H7*A7*J7,0)</f>
        <v>0</v>
      </c>
      <c r="M7" s="30" t="n">
        <f aca="false">IF(A7=0,Assumptions!$B$14*12*I7*J7,IF(AND(A7&gt;=12,C7&lt;Assumptions!$B$5),Assumptions!$B$15*I7*J7,0))</f>
        <v>12</v>
      </c>
      <c r="N7" s="47" t="n">
        <f aca="false">IF(C7&gt;=Assumptions!$B$5,I7*Assumptions!$B$9/12*(1+Assumptions!$B$10)^INT(A7/12)*J7,0)</f>
        <v>0</v>
      </c>
      <c r="O7" s="47" t="n">
        <f aca="false">I7*Assumptions!$B$12/12*(1+Assumptions!$B$11)^(INT(A7/12)+1)*J7</f>
        <v>6.83333333333333</v>
      </c>
      <c r="P7" s="47" t="n">
        <f aca="false">O7+Pricing_M!$B$13*M7+N7-Pricing_M!$B$13*K7</f>
        <v>11042.7367256814</v>
      </c>
      <c r="Q7" s="47" t="n">
        <f aca="false">IF(C7&lt;Assumptions!$B$5,Pricing_M!$B$13*K7-Pricing_M!$B$13*M7-O7,-(N7+O7))</f>
        <v>-11042.7367256814</v>
      </c>
      <c r="R7" s="32" t="n">
        <v>1</v>
      </c>
      <c r="S7" s="47" t="n">
        <f aca="false">R7*(IF(C7&lt;Assumptions!$B$5,Assumptions!$B$12*(1+Assumptions!$B$11)^(INT(A7/12)+1)/12+Pricing_M!$B$13*IF(A7=0,Assumptions!$B$14*12,IF(A7&gt;=12,Assumptions!$B$15,0))-Pricing_M!$B$13,Assumptions!$B$9/12*(1+Assumptions!$B$10)^INT(A7/12)+Assumptions!$B$12*(1+Assumptions!$B$11)^(INT(A7/12)+1)/12))*J7</f>
        <v>11042.7367256814</v>
      </c>
      <c r="T7" s="32" t="n">
        <v>1</v>
      </c>
      <c r="U7" s="47" t="n">
        <f aca="false">T7*(IF(C7&lt;Assumptions!$B$5,Assumptions!$B$12*(1+Assumptions!$B$11)^(INT(A7/12)+1)/12+Pricing_M!$B$13*IF(A7=0,Assumptions!$B$14*12,IF(A7&gt;=12,Assumptions!$B$15,0))-Pricing_M!$B$13,Assumptions!$B$9/12*(1+Assumptions!$B$10)^INT(A7/12)+Assumptions!$B$12*(1+Assumptions!$B$11)^(INT(A7/12)+1)/12))*J7</f>
        <v>11042.7367256814</v>
      </c>
      <c r="V7" s="32" t="n">
        <v>1</v>
      </c>
      <c r="W7" s="47" t="n">
        <f aca="false">V7*(IF(C7&lt;Assumptions!$B$5,Assumptions!$B$12*(1+Assumptions!$B$11)^(INT(A7/12)+1)/12+Pricing_M!$B$13*IF(A7=0,Assumptions!$B$14*12,IF(A7&gt;=12,Assumptions!$B$15,0))-Pricing_M!$B$13,Assumptions!$B$9/12*(1+Assumptions!$B$10)^INT(A7/12)+Assumptions!$B$12*(1+Assumptions!$B$11)^(INT(A7/12)+1)/12))*J7</f>
        <v>11042.7367256814</v>
      </c>
      <c r="X7" s="47" t="n">
        <f aca="false">I7*(IF(C7&lt;Assumptions!$B$5,Assumptions!$B$12*(1+Assumptions!$B$11)*(1+Assumptions!$B$24)*(1+Assumptions!$B$11+Assumptions!$B$25)^(INT(A7/12))/12+Pricing_M!$B$13*IF(A7=0,Assumptions!$B$14*12,IF(A7&gt;=12,Assumptions!$B$15,0))-Pricing_M!$B$13,Assumptions!$B$9/12*(1+Assumptions!$B$10)^INT(A7/12)+Assumptions!$B$12*(1+Assumptions!$B$11)*(1+Assumptions!$B$24)*(1+Assumptions!$B$11+Assumptions!$B$25)^(INT(A7/12))/12))*J7</f>
        <v>11043.4200590148</v>
      </c>
    </row>
    <row r="8" customFormat="false" ht="15" hidden="false" customHeight="true" outlineLevel="0" collapsed="false">
      <c r="A8" s="1" t="n">
        <v>1</v>
      </c>
      <c r="B8" s="31" t="n">
        <f aca="false">Assumptions!$B$4+A8/12</f>
        <v>65.0833333333333</v>
      </c>
      <c r="C8" s="34" t="n">
        <f aca="false">Assumptions!$B$4+INT(A8/12)</f>
        <v>65</v>
      </c>
      <c r="D8" s="34" t="n">
        <f aca="false">INT(A8/12)+1</f>
        <v>1</v>
      </c>
      <c r="E8" s="32" t="n">
        <f aca="false">IFERROR(INDEX(Cohort_Survival!$G$5:$G$65,MATCH(C8,Cohort_Survival!$A$5:$A$65,0)),1)</f>
        <v>0.00518054588826009</v>
      </c>
      <c r="F8" s="30" t="n">
        <f aca="false">1-(1-MIN(1,E8))^(1/12)</f>
        <v>0.000432740627602679</v>
      </c>
      <c r="G8" s="39" t="n">
        <f aca="false">IF(C8&lt;Assumptions!$B$5,IF(D8=1,Assumptions!$B$16,IF(D8=2,Assumptions!$B$17,IF(D8&lt;=5,Assumptions!$B$18,Assumptions!$B$19)))*(1-Assumptions!$B$20),0)</f>
        <v>0.0406</v>
      </c>
      <c r="H8" s="30" t="n">
        <f aca="false">1-(1-G8)^(1/12)</f>
        <v>0.00344797452945689</v>
      </c>
      <c r="I8" s="30" t="n">
        <f aca="false">I7*(1-F7)*(1-H7)</f>
        <v>0.996120776921602</v>
      </c>
      <c r="J8" s="30" t="n">
        <f aca="false">INDEX(Discount_Monthly!$G$4:$G$664,MATCH(A8,Discount_Monthly!$A$4:$A$664,0))</f>
        <v>0.997866549079001</v>
      </c>
      <c r="K8" s="30" t="n">
        <f aca="false">IF(C8&lt;Assumptions!$B$5,I8*J8,0)</f>
        <v>0.993995602132652</v>
      </c>
      <c r="L8" s="30" t="n">
        <f aca="false">IF(C8&lt;Assumptions!$B$5,I8*(1-F8)*H8*A8*J8,0)</f>
        <v>0.00342578839891765</v>
      </c>
      <c r="M8" s="30" t="n">
        <f aca="false">IF(A8=0,Assumptions!$B$14*12*I8*J8,IF(AND(A8&gt;=12,C8&lt;Assumptions!$B$5),Assumptions!$B$15*I8*J8,0))</f>
        <v>0</v>
      </c>
      <c r="N8" s="47" t="n">
        <f aca="false">IF(C8&gt;=Assumptions!$B$5,I8*Assumptions!$B$9/12*(1+Assumptions!$B$10)^INT(A8/12)*J8,0)</f>
        <v>0</v>
      </c>
      <c r="O8" s="47" t="n">
        <f aca="false">I8*Assumptions!$B$12/12*(1+Assumptions!$B$11)^(INT(A8/12)+1)*J8</f>
        <v>6.79230328123979</v>
      </c>
      <c r="P8" s="47" t="n">
        <f aca="false">O8+Pricing_M!$B$13*M8+N8-Pricing_M!$B$13*K8</f>
        <v>-990.447645587382</v>
      </c>
      <c r="Q8" s="47" t="n">
        <f aca="false">IF(C8&lt;Assumptions!$B$5,Pricing_M!$B$13*K8-Pricing_M!$B$13*M8-O8,-(N8+O8))</f>
        <v>990.447645587382</v>
      </c>
      <c r="R8" s="32" t="n">
        <f aca="false">R7*(1-(1-(1-MIN(1,E7*(1-Assumptions!$B$21)))^(1/12)))*(1-H7)</f>
        <v>0.996207191054982</v>
      </c>
      <c r="S8" s="47" t="n">
        <f aca="false">R8*(IF(C8&lt;Assumptions!$B$5,Assumptions!$B$12*(1+Assumptions!$B$11)^(INT(A8/12)+1)/12+Pricing_M!$B$13*IF(A8=0,Assumptions!$B$14*12,IF(A8&gt;=12,Assumptions!$B$15,0))-Pricing_M!$B$13,Assumptions!$B$9/12*(1+Assumptions!$B$10)^INT(A8/12)+Assumptions!$B$12*(1+Assumptions!$B$11)^(INT(A8/12)+1)/12))*J8</f>
        <v>-990.533567572882</v>
      </c>
      <c r="T8" s="32" t="n">
        <f aca="false">T7*(1-F7)*(1-(1-(1-MIN(1,G7*(1+Assumptions!$B$23)))^(1/12)))</f>
        <v>0.994347094754323</v>
      </c>
      <c r="U8" s="47" t="n">
        <f aca="false">T8*(IF(C8&lt;Assumptions!$B$5,Assumptions!$B$12*(1+Assumptions!$B$11)^(INT(A8/12)+1)/12+Pricing_M!$B$13*IF(A8=0,Assumptions!$B$14*12,IF(A8&gt;=12,Assumptions!$B$15,0))-Pricing_M!$B$13,Assumptions!$B$9/12*(1+Assumptions!$B$10)^INT(A8/12)+Assumptions!$B$12*(1+Assumptions!$B$11)^(INT(A8/12)+1)/12))*J8</f>
        <v>-988.684064938024</v>
      </c>
      <c r="V8" s="32" t="n">
        <f aca="false">V7*(1-F7)*(1-(1-(1-MIN(1,G7*(1-Assumptions!$B$23)))^(1/12)))</f>
        <v>0.997860384907163</v>
      </c>
      <c r="W8" s="47" t="n">
        <f aca="false">V8*(IF(C8&lt;Assumptions!$B$5,Assumptions!$B$12*(1+Assumptions!$B$11)^(INT(A8/12)+1)/12+Pricing_M!$B$13*IF(A8=0,Assumptions!$B$14*12,IF(A8&gt;=12,Assumptions!$B$15,0))-Pricing_M!$B$13,Assumptions!$B$9/12*(1+Assumptions!$B$10)^INT(A8/12)+Assumptions!$B$12*(1+Assumptions!$B$11)^(INT(A8/12)+1)/12))*J8</f>
        <v>-992.177346115131</v>
      </c>
      <c r="X8" s="47" t="n">
        <f aca="false">I8*(IF(C8&lt;Assumptions!$B$5,Assumptions!$B$12*(1+Assumptions!$B$11)*(1+Assumptions!$B$24)*(1+Assumptions!$B$11+Assumptions!$B$25)^(INT(A8/12))/12+Pricing_M!$B$13*IF(A8=0,Assumptions!$B$14*12,IF(A8&gt;=12,Assumptions!$B$15,0))-Pricing_M!$B$13,Assumptions!$B$9/12*(1+Assumptions!$B$10)^INT(A8/12)+Assumptions!$B$12*(1+Assumptions!$B$11)*(1+Assumptions!$B$24)*(1+Assumptions!$B$11+Assumptions!$B$25)^(INT(A8/12))/12))*J8</f>
        <v>-989.768415259258</v>
      </c>
    </row>
    <row r="9" customFormat="false" ht="15" hidden="false" customHeight="true" outlineLevel="0" collapsed="false">
      <c r="A9" s="1" t="n">
        <v>2</v>
      </c>
      <c r="B9" s="31" t="n">
        <f aca="false">Assumptions!$B$4+A9/12</f>
        <v>65.1666666666667</v>
      </c>
      <c r="C9" s="34" t="n">
        <f aca="false">Assumptions!$B$4+INT(A9/12)</f>
        <v>65</v>
      </c>
      <c r="D9" s="34" t="n">
        <f aca="false">INT(A9/12)+1</f>
        <v>1</v>
      </c>
      <c r="E9" s="32" t="n">
        <f aca="false">IFERROR(INDEX(Cohort_Survival!$G$5:$G$65,MATCH(C9,Cohort_Survival!$A$5:$A$65,0)),1)</f>
        <v>0.00518054588826009</v>
      </c>
      <c r="F9" s="30" t="n">
        <f aca="false">1-(1-MIN(1,E9))^(1/12)</f>
        <v>0.000432740627602679</v>
      </c>
      <c r="G9" s="39" t="n">
        <f aca="false">IF(C9&lt;Assumptions!$B$5,IF(D9=1,Assumptions!$B$16,IF(D9=2,Assumptions!$B$17,IF(D9&lt;=5,Assumptions!$B$18,Assumptions!$B$19)))*(1-Assumptions!$B$20),0)</f>
        <v>0.0406</v>
      </c>
      <c r="H9" s="30" t="n">
        <f aca="false">1-(1-G9)^(1/12)</f>
        <v>0.00344797452945689</v>
      </c>
      <c r="I9" s="30" t="n">
        <f aca="false">I8*(1-F8)*(1-H8)</f>
        <v>0.992256602214896</v>
      </c>
      <c r="J9" s="30" t="n">
        <f aca="false">INDEX(Discount_Monthly!$G$4:$G$664,MATCH(A9,Discount_Monthly!$A$4:$A$664,0))</f>
        <v>0.995737649770834</v>
      </c>
      <c r="K9" s="30" t="n">
        <f aca="false">IF(C9&lt;Assumptions!$B$5,I9*J9,0)</f>
        <v>0.988027257059054</v>
      </c>
      <c r="L9" s="30" t="n">
        <f aca="false">IF(C9&lt;Assumptions!$B$5,I9*(1-F9)*H9*A9*J9,0)</f>
        <v>0.0068104372047224</v>
      </c>
      <c r="M9" s="30" t="n">
        <f aca="false">IF(A9=0,Assumptions!$B$14*12*I9*J9,IF(AND(A9&gt;=12,C9&lt;Assumptions!$B$5),Assumptions!$B$15*I9*J9,0))</f>
        <v>0</v>
      </c>
      <c r="N9" s="47" t="n">
        <f aca="false">IF(C9&gt;=Assumptions!$B$5,I9*Assumptions!$B$9/12*(1+Assumptions!$B$10)^INT(A9/12)*J9,0)</f>
        <v>0</v>
      </c>
      <c r="O9" s="47" t="n">
        <f aca="false">I9*Assumptions!$B$12/12*(1+Assumptions!$B$11)^(INT(A9/12)+1)*J9</f>
        <v>6.75151958990353</v>
      </c>
      <c r="P9" s="47" t="n">
        <f aca="false">O9+Pricing_M!$B$13*M9+N9-Pricing_M!$B$13*K9</f>
        <v>-984.500603856497</v>
      </c>
      <c r="Q9" s="47" t="n">
        <f aca="false">IF(C9&lt;Assumptions!$B$5,Pricing_M!$B$13*K9-Pricing_M!$B$13*M9-O9,-(N9+O9))</f>
        <v>984.500603856497</v>
      </c>
      <c r="R9" s="32" t="n">
        <f aca="false">R8*(1-(1-(1-MIN(1,E8*(1-Assumptions!$B$21)))^(1/12)))*(1-H8)</f>
        <v>0.992428767509657</v>
      </c>
      <c r="S9" s="47" t="n">
        <f aca="false">R9*(IF(C9&lt;Assumptions!$B$5,Assumptions!$B$12*(1+Assumptions!$B$11)^(INT(A9/12)+1)/12+Pricing_M!$B$13*IF(A9=0,Assumptions!$B$14*12,IF(A9&gt;=12,Assumptions!$B$15,0))-Pricing_M!$B$13,Assumptions!$B$9/12*(1+Assumptions!$B$10)^INT(A9/12)+Assumptions!$B$12*(1+Assumptions!$B$11)^(INT(A9/12)+1)/12))*J9</f>
        <v>-984.671423416958</v>
      </c>
      <c r="T9" s="32" t="n">
        <f aca="false">T8*(1-F8)*(1-(1-(1-MIN(1,G8*(1+Assumptions!$B$23)))^(1/12)))</f>
        <v>0.988726144846363</v>
      </c>
      <c r="U9" s="47" t="n">
        <f aca="false">T9*(IF(C9&lt;Assumptions!$B$5,Assumptions!$B$12*(1+Assumptions!$B$11)^(INT(A9/12)+1)/12+Pricing_M!$B$13*IF(A9=0,Assumptions!$B$14*12,IF(A9&gt;=12,Assumptions!$B$15,0))-Pricing_M!$B$13,Assumptions!$B$9/12*(1+Assumptions!$B$10)^INT(A9/12)+Assumptions!$B$12*(1+Assumptions!$B$11)^(INT(A9/12)+1)/12))*J9</f>
        <v>-980.997742395608</v>
      </c>
      <c r="V9" s="32" t="n">
        <f aca="false">V8*(1-F8)*(1-(1-(1-MIN(1,G8*(1-Assumptions!$B$23)))^(1/12)))</f>
        <v>0.995725347767071</v>
      </c>
      <c r="W9" s="47" t="n">
        <f aca="false">V9*(IF(C9&lt;Assumptions!$B$5,Assumptions!$B$12*(1+Assumptions!$B$11)^(INT(A9/12)+1)/12+Pricing_M!$B$13*IF(A9=0,Assumptions!$B$14*12,IF(A9&gt;=12,Assumptions!$B$15,0))-Pricing_M!$B$13,Assumptions!$B$9/12*(1+Assumptions!$B$10)^INT(A9/12)+Assumptions!$B$12*(1+Assumptions!$B$11)^(INT(A9/12)+1)/12))*J9</f>
        <v>-987.942235872971</v>
      </c>
      <c r="X9" s="47" t="n">
        <f aca="false">I9*(IF(C9&lt;Assumptions!$B$5,Assumptions!$B$12*(1+Assumptions!$B$11)*(1+Assumptions!$B$24)*(1+Assumptions!$B$11+Assumptions!$B$25)^(INT(A9/12))/12+Pricing_M!$B$13*IF(A9=0,Assumptions!$B$14*12,IF(A9&gt;=12,Assumptions!$B$15,0))-Pricing_M!$B$13,Assumptions!$B$9/12*(1+Assumptions!$B$10)^INT(A9/12)+Assumptions!$B$12*(1+Assumptions!$B$11)*(1+Assumptions!$B$24)*(1+Assumptions!$B$11+Assumptions!$B$25)^(INT(A9/12))/12))*J9</f>
        <v>-983.825451897507</v>
      </c>
    </row>
    <row r="10" customFormat="false" ht="15" hidden="false" customHeight="true" outlineLevel="0" collapsed="false">
      <c r="A10" s="1" t="n">
        <v>3</v>
      </c>
      <c r="B10" s="31" t="n">
        <f aca="false">Assumptions!$B$4+A10/12</f>
        <v>65.25</v>
      </c>
      <c r="C10" s="34" t="n">
        <f aca="false">Assumptions!$B$4+INT(A10/12)</f>
        <v>65</v>
      </c>
      <c r="D10" s="34" t="n">
        <f aca="false">INT(A10/12)+1</f>
        <v>1</v>
      </c>
      <c r="E10" s="32" t="n">
        <f aca="false">IFERROR(INDEX(Cohort_Survival!$G$5:$G$65,MATCH(C10,Cohort_Survival!$A$5:$A$65,0)),1)</f>
        <v>0.00518054588826009</v>
      </c>
      <c r="F10" s="30" t="n">
        <f aca="false">1-(1-MIN(1,E10))^(1/12)</f>
        <v>0.000432740627602679</v>
      </c>
      <c r="G10" s="39" t="n">
        <f aca="false">IF(C10&lt;Assumptions!$B$5,IF(D10=1,Assumptions!$B$16,IF(D10=2,Assumptions!$B$17,IF(D10&lt;=5,Assumptions!$B$18,Assumptions!$B$19)))*(1-Assumptions!$B$20),0)</f>
        <v>0.0406</v>
      </c>
      <c r="H10" s="30" t="n">
        <f aca="false">1-(1-G10)^(1/12)</f>
        <v>0.00344797452945689</v>
      </c>
      <c r="I10" s="30" t="n">
        <f aca="false">I9*(1-F9)*(1-H9)</f>
        <v>0.988407417503892</v>
      </c>
      <c r="J10" s="30" t="n">
        <f aca="false">INDEX(Discount_Monthly!$G$4:$G$664,MATCH(A10,Discount_Monthly!$A$4:$A$664,0))</f>
        <v>0.993613292364856</v>
      </c>
      <c r="K10" s="30" t="n">
        <f aca="false">IF(C10&lt;Assumptions!$B$5,I10*J10,0)</f>
        <v>0.982094748303887</v>
      </c>
      <c r="L10" s="30" t="n">
        <f aca="false">IF(C10&lt;Assumptions!$B$5,I10*(1-F10)*H10*A10*J10,0)</f>
        <v>0.010154316945142</v>
      </c>
      <c r="M10" s="30" t="n">
        <f aca="false">IF(A10=0,Assumptions!$B$14*12*I10*J10,IF(AND(A10&gt;=12,C10&lt;Assumptions!$B$5),Assumptions!$B$15*I10*J10,0))</f>
        <v>0</v>
      </c>
      <c r="N10" s="47" t="n">
        <f aca="false">IF(C10&gt;=Assumptions!$B$5,I10*Assumptions!$B$9/12*(1+Assumptions!$B$10)^INT(A10/12)*J10,0)</f>
        <v>0</v>
      </c>
      <c r="O10" s="47" t="n">
        <f aca="false">I10*Assumptions!$B$12/12*(1+Assumptions!$B$11)^(INT(A10/12)+1)*J10</f>
        <v>6.71098078007656</v>
      </c>
      <c r="P10" s="47" t="n">
        <f aca="false">O10+Pricing_M!$B$13*M10+N10-Pricing_M!$B$13*K10</f>
        <v>-978.589270530299</v>
      </c>
      <c r="Q10" s="47" t="n">
        <f aca="false">IF(C10&lt;Assumptions!$B$5,Pricing_M!$B$13*K10-Pricing_M!$B$13*M10-O10,-(N10+O10))</f>
        <v>978.589270530299</v>
      </c>
      <c r="R10" s="32" t="n">
        <f aca="false">R9*(1-(1-(1-MIN(1,E9*(1-Assumptions!$B$21)))^(1/12)))*(1-H9)</f>
        <v>0.988664674802952</v>
      </c>
      <c r="S10" s="47" t="n">
        <f aca="false">R10*(IF(C10&lt;Assumptions!$B$5,Assumptions!$B$12*(1+Assumptions!$B$11)^(INT(A10/12)+1)/12+Pricing_M!$B$13*IF(A10=0,Assumptions!$B$14*12,IF(A10&gt;=12,Assumptions!$B$15,0))-Pricing_M!$B$13,Assumptions!$B$9/12*(1+Assumptions!$B$10)^INT(A10/12)+Assumptions!$B$12*(1+Assumptions!$B$11)^(INT(A10/12)+1)/12))*J10</f>
        <v>-978.843972415542</v>
      </c>
      <c r="T10" s="32" t="n">
        <f aca="false">T9*(1-F9)*(1-(1-(1-MIN(1,G9*(1+Assumptions!$B$23)))^(1/12)))</f>
        <v>0.983136969635622</v>
      </c>
      <c r="U10" s="47" t="n">
        <f aca="false">T10*(IF(C10&lt;Assumptions!$B$5,Assumptions!$B$12*(1+Assumptions!$B$11)^(INT(A10/12)+1)/12+Pricing_M!$B$13*IF(A10=0,Assumptions!$B$14*12,IF(A10&gt;=12,Assumptions!$B$15,0))-Pricing_M!$B$13,Assumptions!$B$9/12*(1+Assumptions!$B$10)^INT(A10/12)+Assumptions!$B$12*(1+Assumptions!$B$11)^(INT(A10/12)+1)/12))*J10</f>
        <v>-973.371175599564</v>
      </c>
      <c r="V10" s="32" t="n">
        <f aca="false">V9*(1-F9)*(1-(1-(1-MIN(1,G9*(1-Assumptions!$B$23)))^(1/12)))</f>
        <v>0.993594878784668</v>
      </c>
      <c r="W10" s="47" t="n">
        <f aca="false">V10*(IF(C10&lt;Assumptions!$B$5,Assumptions!$B$12*(1+Assumptions!$B$11)^(INT(A10/12)+1)/12+Pricing_M!$B$13*IF(A10=0,Assumptions!$B$14*12,IF(A10&gt;=12,Assumptions!$B$15,0))-Pricing_M!$B$13,Assumptions!$B$9/12*(1+Assumptions!$B$10)^INT(A10/12)+Assumptions!$B$12*(1+Assumptions!$B$11)^(INT(A10/12)+1)/12))*J10</f>
        <v>-983.725203204174</v>
      </c>
      <c r="X10" s="47" t="n">
        <f aca="false">I10*(IF(C10&lt;Assumptions!$B$5,Assumptions!$B$12*(1+Assumptions!$B$11)*(1+Assumptions!$B$24)*(1+Assumptions!$B$11+Assumptions!$B$25)^(INT(A10/12))/12+Pricing_M!$B$13*IF(A10=0,Assumptions!$B$14*12,IF(A10&gt;=12,Assumptions!$B$15,0))-Pricing_M!$B$13,Assumptions!$B$9/12*(1+Assumptions!$B$10)^INT(A10/12)+Assumptions!$B$12*(1+Assumptions!$B$11)*(1+Assumptions!$B$24)*(1+Assumptions!$B$11+Assumptions!$B$25)^(INT(A10/12))/12))*J10</f>
        <v>-977.918172452291</v>
      </c>
    </row>
    <row r="11" customFormat="false" ht="15" hidden="false" customHeight="true" outlineLevel="0" collapsed="false">
      <c r="A11" s="1" t="n">
        <v>4</v>
      </c>
      <c r="B11" s="31" t="n">
        <f aca="false">Assumptions!$B$4+A11/12</f>
        <v>65.3333333333333</v>
      </c>
      <c r="C11" s="34" t="n">
        <f aca="false">Assumptions!$B$4+INT(A11/12)</f>
        <v>65</v>
      </c>
      <c r="D11" s="34" t="n">
        <f aca="false">INT(A11/12)+1</f>
        <v>1</v>
      </c>
      <c r="E11" s="32" t="n">
        <f aca="false">IFERROR(INDEX(Cohort_Survival!$G$5:$G$65,MATCH(C11,Cohort_Survival!$A$5:$A$65,0)),1)</f>
        <v>0.00518054588826009</v>
      </c>
      <c r="F11" s="30" t="n">
        <f aca="false">1-(1-MIN(1,E11))^(1/12)</f>
        <v>0.000432740627602679</v>
      </c>
      <c r="G11" s="39" t="n">
        <f aca="false">IF(C11&lt;Assumptions!$B$5,IF(D11=1,Assumptions!$B$16,IF(D11=2,Assumptions!$B$17,IF(D11&lt;=5,Assumptions!$B$18,Assumptions!$B$19)))*(1-Assumptions!$B$20),0)</f>
        <v>0.0406</v>
      </c>
      <c r="H11" s="30" t="n">
        <f aca="false">1-(1-G11)^(1/12)</f>
        <v>0.00344797452945689</v>
      </c>
      <c r="I11" s="30" t="n">
        <f aca="false">I10*(1-F10)*(1-H10)</f>
        <v>0.984573164639051</v>
      </c>
      <c r="J11" s="30" t="n">
        <f aca="false">INDEX(Discount_Monthly!$G$4:$G$664,MATCH(A11,Discount_Monthly!$A$4:$A$664,0))</f>
        <v>0.991493467171143</v>
      </c>
      <c r="K11" s="30" t="n">
        <f aca="false">IF(C11&lt;Assumptions!$B$5,I11*J11,0)</f>
        <v>0.976197860691638</v>
      </c>
      <c r="L11" s="30" t="n">
        <f aca="false">IF(C11&lt;Assumptions!$B$5,I11*(1-F11)*H11*A11*J11,0)</f>
        <v>0.0134577951815096</v>
      </c>
      <c r="M11" s="30" t="n">
        <f aca="false">IF(A11=0,Assumptions!$B$14*12*I11*J11,IF(AND(A11&gt;=12,C11&lt;Assumptions!$B$5),Assumptions!$B$15*I11*J11,0))</f>
        <v>0</v>
      </c>
      <c r="N11" s="47" t="n">
        <f aca="false">IF(C11&gt;=Assumptions!$B$5,I11*Assumptions!$B$9/12*(1+Assumptions!$B$10)^INT(A11/12)*J11,0)</f>
        <v>0</v>
      </c>
      <c r="O11" s="47" t="n">
        <f aca="false">I11*Assumptions!$B$12/12*(1+Assumptions!$B$11)^(INT(A11/12)+1)*J11</f>
        <v>6.67068538139286</v>
      </c>
      <c r="P11" s="47" t="n">
        <f aca="false">O11+Pricing_M!$B$13*M11+N11-Pricing_M!$B$13*K11</f>
        <v>-972.713431201318</v>
      </c>
      <c r="Q11" s="47" t="n">
        <f aca="false">IF(C11&lt;Assumptions!$B$5,Pricing_M!$B$13*K11-Pricing_M!$B$13*M11-O11,-(N11+O11))</f>
        <v>972.713431201318</v>
      </c>
      <c r="R11" s="32" t="n">
        <f aca="false">R10*(1-(1-(1-MIN(1,E10*(1-Assumptions!$B$21)))^(1/12)))*(1-H10)</f>
        <v>0.984914858580736</v>
      </c>
      <c r="S11" s="47" t="n">
        <f aca="false">R11*(IF(C11&lt;Assumptions!$B$5,Assumptions!$B$12*(1+Assumptions!$B$11)^(INT(A11/12)+1)/12+Pricing_M!$B$13*IF(A11=0,Assumptions!$B$14*12,IF(A11&gt;=12,Assumptions!$B$15,0))-Pricing_M!$B$13,Assumptions!$B$9/12*(1+Assumptions!$B$10)^INT(A11/12)+Assumptions!$B$12*(1+Assumptions!$B$11)^(INT(A11/12)+1)/12))*J11</f>
        <v>-973.051009248713</v>
      </c>
      <c r="T11" s="32" t="n">
        <f aca="false">T10*(1-F10)*(1-(1-(1-MIN(1,G10*(1+Assumptions!$B$23)))^(1/12)))</f>
        <v>0.97757938950275</v>
      </c>
      <c r="U11" s="47" t="n">
        <f aca="false">T11*(IF(C11&lt;Assumptions!$B$5,Assumptions!$B$12*(1+Assumptions!$B$11)^(INT(A11/12)+1)/12+Pricing_M!$B$13*IF(A11=0,Assumptions!$B$14*12,IF(A11&gt;=12,Assumptions!$B$15,0))-Pricing_M!$B$13,Assumptions!$B$9/12*(1+Assumptions!$B$10)^INT(A11/12)+Assumptions!$B$12*(1+Assumptions!$B$11)^(INT(A11/12)+1)/12))*J11</f>
        <v>-965.803899991033</v>
      </c>
      <c r="V11" s="32" t="n">
        <f aca="false">V10*(1-F10)*(1-(1-(1-MIN(1,G10*(1-Assumptions!$B$23)))^(1/12)))</f>
        <v>0.991468968185854</v>
      </c>
      <c r="W11" s="47" t="n">
        <f aca="false">V11*(IF(C11&lt;Assumptions!$B$5,Assumptions!$B$12*(1+Assumptions!$B$11)^(INT(A11/12)+1)/12+Pricing_M!$B$13*IF(A11=0,Assumptions!$B$14*12,IF(A11&gt;=12,Assumptions!$B$15,0))-Pricing_M!$B$13,Assumptions!$B$9/12*(1+Assumptions!$B$10)^INT(A11/12)+Assumptions!$B$12*(1+Assumptions!$B$11)^(INT(A11/12)+1)/12))*J11</f>
        <v>-979.526170944595</v>
      </c>
      <c r="X11" s="47" t="n">
        <f aca="false">I11*(IF(C11&lt;Assumptions!$B$5,Assumptions!$B$12*(1+Assumptions!$B$11)*(1+Assumptions!$B$24)*(1+Assumptions!$B$11+Assumptions!$B$25)^(INT(A11/12))/12+Pricing_M!$B$13*IF(A11=0,Assumptions!$B$14*12,IF(A11&gt;=12,Assumptions!$B$15,0))-Pricing_M!$B$13,Assumptions!$B$9/12*(1+Assumptions!$B$10)^INT(A11/12)+Assumptions!$B$12*(1+Assumptions!$B$11)*(1+Assumptions!$B$24)*(1+Assumptions!$B$11+Assumptions!$B$25)^(INT(A11/12))/12))*J11</f>
        <v>-972.046362663178</v>
      </c>
    </row>
    <row r="12" customFormat="false" ht="15" hidden="false" customHeight="true" outlineLevel="0" collapsed="false">
      <c r="A12" s="1" t="n">
        <v>5</v>
      </c>
      <c r="B12" s="31" t="n">
        <f aca="false">Assumptions!$B$4+A12/12</f>
        <v>65.4166666666667</v>
      </c>
      <c r="C12" s="34" t="n">
        <f aca="false">Assumptions!$B$4+INT(A12/12)</f>
        <v>65</v>
      </c>
      <c r="D12" s="34" t="n">
        <f aca="false">INT(A12/12)+1</f>
        <v>1</v>
      </c>
      <c r="E12" s="32" t="n">
        <f aca="false">IFERROR(INDEX(Cohort_Survival!$G$5:$G$65,MATCH(C12,Cohort_Survival!$A$5:$A$65,0)),1)</f>
        <v>0.00518054588826009</v>
      </c>
      <c r="F12" s="30" t="n">
        <f aca="false">1-(1-MIN(1,E12))^(1/12)</f>
        <v>0.000432740627602679</v>
      </c>
      <c r="G12" s="39" t="n">
        <f aca="false">IF(C12&lt;Assumptions!$B$5,IF(D12=1,Assumptions!$B$16,IF(D12=2,Assumptions!$B$17,IF(D12&lt;=5,Assumptions!$B$18,Assumptions!$B$19)))*(1-Assumptions!$B$20),0)</f>
        <v>0.0406</v>
      </c>
      <c r="H12" s="30" t="n">
        <f aca="false">1-(1-G12)^(1/12)</f>
        <v>0.00344797452945689</v>
      </c>
      <c r="I12" s="30" t="n">
        <f aca="false">I11*(1-F11)*(1-H11)</f>
        <v>0.980753785696413</v>
      </c>
      <c r="J12" s="30" t="n">
        <f aca="false">INDEX(Discount_Monthly!$G$4:$G$664,MATCH(A12,Discount_Monthly!$A$4:$A$664,0))</f>
        <v>0.989378164520442</v>
      </c>
      <c r="K12" s="30" t="n">
        <f aca="false">IF(C12&lt;Assumptions!$B$5,I12*J12,0)</f>
        <v>0.970336380338792</v>
      </c>
      <c r="L12" s="30" t="n">
        <f aca="false">IF(C12&lt;Assumptions!$B$5,I12*(1-F12)*H12*A12*J12,0)</f>
        <v>0.0167212365310282</v>
      </c>
      <c r="M12" s="30" t="n">
        <f aca="false">IF(A12=0,Assumptions!$B$14*12*I12*J12,IF(AND(A12&gt;=12,C12&lt;Assumptions!$B$5),Assumptions!$B$15*I12*J12,0))</f>
        <v>0</v>
      </c>
      <c r="N12" s="47" t="n">
        <f aca="false">IF(C12&gt;=Assumptions!$B$5,I12*Assumptions!$B$9/12*(1+Assumptions!$B$10)^INT(A12/12)*J12,0)</f>
        <v>0</v>
      </c>
      <c r="O12" s="47" t="n">
        <f aca="false">I12*Assumptions!$B$12/12*(1+Assumptions!$B$11)^(INT(A12/12)+1)*J12</f>
        <v>6.63063193231508</v>
      </c>
      <c r="P12" s="47" t="n">
        <f aca="false">O12+Pricing_M!$B$13*M12+N12-Pricing_M!$B$13*K12</f>
        <v>-966.872872749472</v>
      </c>
      <c r="Q12" s="47" t="n">
        <f aca="false">IF(C12&lt;Assumptions!$B$5,Pricing_M!$B$13*K12-Pricing_M!$B$13*M12-O12,-(N12+O12))</f>
        <v>966.872872749472</v>
      </c>
      <c r="R12" s="32" t="n">
        <f aca="false">R11*(1-(1-(1-MIN(1,E11*(1-Assumptions!$B$21)))^(1/12)))*(1-H11)</f>
        <v>0.98117926469503</v>
      </c>
      <c r="S12" s="47" t="n">
        <f aca="false">R12*(IF(C12&lt;Assumptions!$B$5,Assumptions!$B$12*(1+Assumptions!$B$11)^(INT(A12/12)+1)/12+Pricing_M!$B$13*IF(A12=0,Assumptions!$B$14*12,IF(A12&gt;=12,Assumptions!$B$15,0))-Pricing_M!$B$13,Assumptions!$B$9/12*(1+Assumptions!$B$10)^INT(A12/12)+Assumptions!$B$12*(1+Assumptions!$B$11)^(INT(A12/12)+1)/12))*J12</f>
        <v>-967.292329811669</v>
      </c>
      <c r="T12" s="32" t="n">
        <f aca="false">T11*(1-F11)*(1-(1-(1-MIN(1,G11*(1+Assumptions!$B$23)))^(1/12)))</f>
        <v>0.972053225843764</v>
      </c>
      <c r="U12" s="47" t="n">
        <f aca="false">T12*(IF(C12&lt;Assumptions!$B$5,Assumptions!$B$12*(1+Assumptions!$B$11)^(INT(A12/12)+1)/12+Pricing_M!$B$13*IF(A12=0,Assumptions!$B$14*12,IF(A12&gt;=12,Assumptions!$B$15,0))-Pricing_M!$B$13,Assumptions!$B$9/12*(1+Assumptions!$B$10)^INT(A12/12)+Assumptions!$B$12*(1+Assumptions!$B$11)^(INT(A12/12)+1)/12))*J12</f>
        <v>-958.295454622775</v>
      </c>
      <c r="V12" s="32" t="n">
        <f aca="false">V11*(1-F11)*(1-(1-(1-MIN(1,G11*(1-Assumptions!$B$23)))^(1/12)))</f>
        <v>0.989347606217443</v>
      </c>
      <c r="W12" s="47" t="n">
        <f aca="false">V12*(IF(C12&lt;Assumptions!$B$5,Assumptions!$B$12*(1+Assumptions!$B$11)^(INT(A12/12)+1)/12+Pricing_M!$B$13*IF(A12=0,Assumptions!$B$14*12,IF(A12&gt;=12,Assumptions!$B$15,0))-Pricing_M!$B$13,Assumptions!$B$9/12*(1+Assumptions!$B$10)^INT(A12/12)+Assumptions!$B$12*(1+Assumptions!$B$11)^(INT(A12/12)+1)/12))*J12</f>
        <v>-975.345062259464</v>
      </c>
      <c r="X12" s="47" t="n">
        <f aca="false">I12*(IF(C12&lt;Assumptions!$B$5,Assumptions!$B$12*(1+Assumptions!$B$11)*(1+Assumptions!$B$24)*(1+Assumptions!$B$11+Assumptions!$B$25)^(INT(A12/12))/12+Pricing_M!$B$13*IF(A12=0,Assumptions!$B$14*12,IF(A12&gt;=12,Assumptions!$B$15,0))-Pricing_M!$B$13,Assumptions!$B$9/12*(1+Assumptions!$B$10)^INT(A12/12)+Assumptions!$B$12*(1+Assumptions!$B$11)*(1+Assumptions!$B$24)*(1+Assumptions!$B$11+Assumptions!$B$25)^(INT(A12/12))/12))*J12</f>
        <v>-966.20980955624</v>
      </c>
    </row>
    <row r="13" customFormat="false" ht="15" hidden="false" customHeight="true" outlineLevel="0" collapsed="false">
      <c r="A13" s="1" t="n">
        <v>6</v>
      </c>
      <c r="B13" s="31" t="n">
        <f aca="false">Assumptions!$B$4+A13/12</f>
        <v>65.5</v>
      </c>
      <c r="C13" s="34" t="n">
        <f aca="false">Assumptions!$B$4+INT(A13/12)</f>
        <v>65</v>
      </c>
      <c r="D13" s="34" t="n">
        <f aca="false">INT(A13/12)+1</f>
        <v>1</v>
      </c>
      <c r="E13" s="32" t="n">
        <f aca="false">IFERROR(INDEX(Cohort_Survival!$G$5:$G$65,MATCH(C13,Cohort_Survival!$A$5:$A$65,0)),1)</f>
        <v>0.00518054588826009</v>
      </c>
      <c r="F13" s="30" t="n">
        <f aca="false">1-(1-MIN(1,E13))^(1/12)</f>
        <v>0.000432740627602679</v>
      </c>
      <c r="G13" s="39" t="n">
        <f aca="false">IF(C13&lt;Assumptions!$B$5,IF(D13=1,Assumptions!$B$16,IF(D13=2,Assumptions!$B$17,IF(D13&lt;=5,Assumptions!$B$18,Assumptions!$B$19)))*(1-Assumptions!$B$20),0)</f>
        <v>0.0406</v>
      </c>
      <c r="H13" s="30" t="n">
        <f aca="false">1-(1-G13)^(1/12)</f>
        <v>0.00344797452945689</v>
      </c>
      <c r="I13" s="30" t="n">
        <f aca="false">I12*(1-F12)*(1-H12)</f>
        <v>0.976949222976713</v>
      </c>
      <c r="J13" s="30" t="n">
        <f aca="false">INDEX(Discount_Monthly!$G$4:$G$664,MATCH(A13,Discount_Monthly!$A$4:$A$664,0))</f>
        <v>0.987267374764129</v>
      </c>
      <c r="K13" s="30" t="n">
        <f aca="false">IF(C13&lt;Assumptions!$B$5,I13*J13,0)</f>
        <v>0.964510094646076</v>
      </c>
      <c r="L13" s="30" t="n">
        <f aca="false">IF(C13&lt;Assumptions!$B$5,I13*(1-F13)*H13*A13*J13,0)</f>
        <v>0.0199450026888742</v>
      </c>
      <c r="M13" s="30" t="n">
        <f aca="false">IF(A13=0,Assumptions!$B$14*12*I13*J13,IF(AND(A13&gt;=12,C13&lt;Assumptions!$B$5),Assumptions!$B$15*I13*J13,0))</f>
        <v>0</v>
      </c>
      <c r="N13" s="47" t="n">
        <f aca="false">IF(C13&gt;=Assumptions!$B$5,I13*Assumptions!$B$9/12*(1+Assumptions!$B$10)^INT(A13/12)*J13,0)</f>
        <v>0</v>
      </c>
      <c r="O13" s="47" t="n">
        <f aca="false">I13*Assumptions!$B$12/12*(1+Assumptions!$B$11)^(INT(A13/12)+1)*J13</f>
        <v>6.59081898008152</v>
      </c>
      <c r="P13" s="47" t="n">
        <f aca="false">O13+Pricing_M!$B$13*M13+N13-Pricing_M!$B$13*K13</f>
        <v>-961.067383334339</v>
      </c>
      <c r="Q13" s="47" t="n">
        <f aca="false">IF(C13&lt;Assumptions!$B$5,Pricing_M!$B$13*K13-Pricing_M!$B$13*M13-O13,-(N13+O13))</f>
        <v>961.067383334339</v>
      </c>
      <c r="R13" s="32" t="n">
        <f aca="false">R12*(1-(1-(1-MIN(1,E12*(1-Assumptions!$B$21)))^(1/12)))*(1-H12)</f>
        <v>0.977457839203228</v>
      </c>
      <c r="S13" s="47" t="n">
        <f aca="false">R13*(IF(C13&lt;Assumptions!$B$5,Assumptions!$B$12*(1+Assumptions!$B$11)^(INT(A13/12)+1)/12+Pricing_M!$B$13*IF(A13=0,Assumptions!$B$14*12,IF(A13&gt;=12,Assumptions!$B$15,0))-Pricing_M!$B$13,Assumptions!$B$9/12*(1+Assumptions!$B$10)^INT(A13/12)+Assumptions!$B$12*(1+Assumptions!$B$11)^(INT(A13/12)+1)/12))*J13</f>
        <v>-961.567731207535</v>
      </c>
      <c r="T13" s="32" t="n">
        <f aca="false">T12*(1-F12)*(1-(1-(1-MIN(1,G12*(1+Assumptions!$B$23)))^(1/12)))</f>
        <v>0.966558301064315</v>
      </c>
      <c r="U13" s="47" t="n">
        <f aca="false">T13*(IF(C13&lt;Assumptions!$B$5,Assumptions!$B$12*(1+Assumptions!$B$11)^(INT(A13/12)+1)/12+Pricing_M!$B$13*IF(A13=0,Assumptions!$B$14*12,IF(A13&gt;=12,Assumptions!$B$15,0))-Pricing_M!$B$13,Assumptions!$B$9/12*(1+Assumptions!$B$10)^INT(A13/12)+Assumptions!$B$12*(1+Assumptions!$B$11)^(INT(A13/12)+1)/12))*J13</f>
        <v>-950.845382131091</v>
      </c>
      <c r="V13" s="32" t="n">
        <f aca="false">V12*(1-F12)*(1-(1-(1-MIN(1,G12*(1-Assumptions!$B$23)))^(1/12)))</f>
        <v>0.987230783147118</v>
      </c>
      <c r="W13" s="47" t="n">
        <f aca="false">V13*(IF(C13&lt;Assumptions!$B$5,Assumptions!$B$12*(1+Assumptions!$B$11)^(INT(A13/12)+1)/12+Pricing_M!$B$13*IF(A13=0,Assumptions!$B$14*12,IF(A13&gt;=12,Assumptions!$B$15,0))-Pricing_M!$B$13,Assumptions!$B$9/12*(1+Assumptions!$B$10)^INT(A13/12)+Assumptions!$B$12*(1+Assumptions!$B$11)^(INT(A13/12)+1)/12))*J13</f>
        <v>-971.181800641983</v>
      </c>
      <c r="X13" s="47" t="n">
        <f aca="false">I13*(IF(C13&lt;Assumptions!$B$5,Assumptions!$B$12*(1+Assumptions!$B$11)*(1+Assumptions!$B$24)*(1+Assumptions!$B$11+Assumptions!$B$25)^(INT(A13/12))/12+Pricing_M!$B$13*IF(A13=0,Assumptions!$B$14*12,IF(A13&gt;=12,Assumptions!$B$15,0))-Pricing_M!$B$13,Assumptions!$B$9/12*(1+Assumptions!$B$10)^INT(A13/12)+Assumptions!$B$12*(1+Assumptions!$B$11)*(1+Assumptions!$B$24)*(1+Assumptions!$B$11+Assumptions!$B$25)^(INT(A13/12))/12))*J13</f>
        <v>-960.408301436331</v>
      </c>
    </row>
    <row r="14" customFormat="false" ht="15" hidden="false" customHeight="true" outlineLevel="0" collapsed="false">
      <c r="A14" s="1" t="n">
        <v>7</v>
      </c>
      <c r="B14" s="31" t="n">
        <f aca="false">Assumptions!$B$4+A14/12</f>
        <v>65.5833333333333</v>
      </c>
      <c r="C14" s="34" t="n">
        <f aca="false">Assumptions!$B$4+INT(A14/12)</f>
        <v>65</v>
      </c>
      <c r="D14" s="34" t="n">
        <f aca="false">INT(A14/12)+1</f>
        <v>1</v>
      </c>
      <c r="E14" s="32" t="n">
        <f aca="false">IFERROR(INDEX(Cohort_Survival!$G$5:$G$65,MATCH(C14,Cohort_Survival!$A$5:$A$65,0)),1)</f>
        <v>0.00518054588826009</v>
      </c>
      <c r="F14" s="30" t="n">
        <f aca="false">1-(1-MIN(1,E14))^(1/12)</f>
        <v>0.000432740627602679</v>
      </c>
      <c r="G14" s="39" t="n">
        <f aca="false">IF(C14&lt;Assumptions!$B$5,IF(D14=1,Assumptions!$B$16,IF(D14=2,Assumptions!$B$17,IF(D14&lt;=5,Assumptions!$B$18,Assumptions!$B$19)))*(1-Assumptions!$B$20),0)</f>
        <v>0.0406</v>
      </c>
      <c r="H14" s="30" t="n">
        <f aca="false">1-(1-G14)^(1/12)</f>
        <v>0.00344797452945689</v>
      </c>
      <c r="I14" s="30" t="n">
        <f aca="false">I13*(1-F13)*(1-H13)</f>
        <v>0.973159419004519</v>
      </c>
      <c r="J14" s="30" t="n">
        <f aca="false">INDEX(Discount_Monthly!$G$4:$G$664,MATCH(A14,Discount_Monthly!$A$4:$A$664,0))</f>
        <v>0.985161088274166</v>
      </c>
      <c r="K14" s="30" t="n">
        <f aca="false">IF(C14&lt;Assumptions!$B$5,I14*J14,0)</f>
        <v>0.958718792290747</v>
      </c>
      <c r="L14" s="30" t="n">
        <f aca="false">IF(C14&lt;Assumptions!$B$5,I14*(1-F14)*H14*A14*J14,0)</f>
        <v>0.0231294524501424</v>
      </c>
      <c r="M14" s="30" t="n">
        <f aca="false">IF(A14=0,Assumptions!$B$14*12*I14*J14,IF(AND(A14&gt;=12,C14&lt;Assumptions!$B$5),Assumptions!$B$15*I14*J14,0))</f>
        <v>0</v>
      </c>
      <c r="N14" s="47" t="n">
        <f aca="false">IF(C14&gt;=Assumptions!$B$5,I14*Assumptions!$B$9/12*(1+Assumptions!$B$10)^INT(A14/12)*J14,0)</f>
        <v>0</v>
      </c>
      <c r="O14" s="47" t="n">
        <f aca="false">I14*Assumptions!$B$12/12*(1+Assumptions!$B$11)^(INT(A14/12)+1)*J14</f>
        <v>6.55124508065344</v>
      </c>
      <c r="P14" s="47" t="n">
        <f aca="false">O14+Pricing_M!$B$13*M14+N14-Pricing_M!$B$13*K14</f>
        <v>-955.296752387469</v>
      </c>
      <c r="Q14" s="47" t="n">
        <f aca="false">IF(C14&lt;Assumptions!$B$5,Pricing_M!$B$13*K14-Pricing_M!$B$13*M14-O14,-(N14+O14))</f>
        <v>955.296752387469</v>
      </c>
      <c r="R14" s="32" t="n">
        <f aca="false">R13*(1-(1-(1-MIN(1,E13*(1-Assumptions!$B$21)))^(1/12)))*(1-H13)</f>
        <v>0.973750528367319</v>
      </c>
      <c r="S14" s="47" t="n">
        <f aca="false">R14*(IF(C14&lt;Assumptions!$B$5,Assumptions!$B$12*(1+Assumptions!$B$11)^(INT(A14/12)+1)/12+Pricing_M!$B$13*IF(A14=0,Assumptions!$B$14*12,IF(A14&gt;=12,Assumptions!$B$15,0))-Pricing_M!$B$13,Assumptions!$B$9/12*(1+Assumptions!$B$10)^INT(A14/12)+Assumptions!$B$12*(1+Assumptions!$B$11)^(INT(A14/12)+1)/12))*J14</f>
        <v>-955.877011740213</v>
      </c>
      <c r="T14" s="32" t="n">
        <f aca="false">T13*(1-F13)*(1-(1-(1-MIN(1,G13*(1+Assumptions!$B$23)))^(1/12)))</f>
        <v>0.961094438573976</v>
      </c>
      <c r="U14" s="47" t="n">
        <f aca="false">T14*(IF(C14&lt;Assumptions!$B$5,Assumptions!$B$12*(1+Assumptions!$B$11)^(INT(A14/12)+1)/12+Pricing_M!$B$13*IF(A14=0,Assumptions!$B$14*12,IF(A14&gt;=12,Assumptions!$B$15,0))-Pricing_M!$B$13,Assumptions!$B$9/12*(1+Assumptions!$B$10)^INT(A14/12)+Assumptions!$B$12*(1+Assumptions!$B$11)^(INT(A14/12)+1)/12))*J14</f>
        <v>-943.45322870796</v>
      </c>
      <c r="V14" s="32" t="n">
        <f aca="false">V13*(1-F13)*(1-(1-(1-MIN(1,G13*(1-Assumptions!$B$23)))^(1/12)))</f>
        <v>0.985118489263383</v>
      </c>
      <c r="W14" s="47" t="n">
        <f aca="false">V14*(IF(C14&lt;Assumptions!$B$5,Assumptions!$B$12*(1+Assumptions!$B$11)^(INT(A14/12)+1)/12+Pricing_M!$B$13*IF(A14=0,Assumptions!$B$14*12,IF(A14&gt;=12,Assumptions!$B$15,0))-Pricing_M!$B$13,Assumptions!$B$9/12*(1+Assumptions!$B$10)^INT(A14/12)+Assumptions!$B$12*(1+Assumptions!$B$11)^(INT(A14/12)+1)/12))*J14</f>
        <v>-967.036309911921</v>
      </c>
      <c r="X14" s="47" t="n">
        <f aca="false">I14*(IF(C14&lt;Assumptions!$B$5,Assumptions!$B$12*(1+Assumptions!$B$11)*(1+Assumptions!$B$24)*(1+Assumptions!$B$11+Assumptions!$B$25)^(INT(A14/12))/12+Pricing_M!$B$13*IF(A14=0,Assumptions!$B$14*12,IF(A14&gt;=12,Assumptions!$B$15,0))-Pricing_M!$B$13,Assumptions!$B$9/12*(1+Assumptions!$B$10)^INT(A14/12)+Assumptions!$B$12*(1+Assumptions!$B$11)*(1+Assumptions!$B$24)*(1+Assumptions!$B$11+Assumptions!$B$25)^(INT(A14/12))/12))*J14</f>
        <v>-954.641627879403</v>
      </c>
    </row>
    <row r="15" customFormat="false" ht="15" hidden="false" customHeight="true" outlineLevel="0" collapsed="false">
      <c r="A15" s="1" t="n">
        <v>8</v>
      </c>
      <c r="B15" s="31" t="n">
        <f aca="false">Assumptions!$B$4+A15/12</f>
        <v>65.6666666666667</v>
      </c>
      <c r="C15" s="34" t="n">
        <f aca="false">Assumptions!$B$4+INT(A15/12)</f>
        <v>65</v>
      </c>
      <c r="D15" s="34" t="n">
        <f aca="false">INT(A15/12)+1</f>
        <v>1</v>
      </c>
      <c r="E15" s="32" t="n">
        <f aca="false">IFERROR(INDEX(Cohort_Survival!$G$5:$G$65,MATCH(C15,Cohort_Survival!$A$5:$A$65,0)),1)</f>
        <v>0.00518054588826009</v>
      </c>
      <c r="F15" s="30" t="n">
        <f aca="false">1-(1-MIN(1,E15))^(1/12)</f>
        <v>0.000432740627602679</v>
      </c>
      <c r="G15" s="39" t="n">
        <f aca="false">IF(C15&lt;Assumptions!$B$5,IF(D15=1,Assumptions!$B$16,IF(D15=2,Assumptions!$B$17,IF(D15&lt;=5,Assumptions!$B$18,Assumptions!$B$19)))*(1-Assumptions!$B$20),0)</f>
        <v>0.0406</v>
      </c>
      <c r="H15" s="30" t="n">
        <f aca="false">1-(1-G15)^(1/12)</f>
        <v>0.00344797452945689</v>
      </c>
      <c r="I15" s="30" t="n">
        <f aca="false">I14*(1-F14)*(1-H14)</f>
        <v>0.969384316527357</v>
      </c>
      <c r="J15" s="30" t="n">
        <f aca="false">INDEX(Discount_Monthly!$G$4:$G$664,MATCH(A15,Discount_Monthly!$A$4:$A$664,0))</f>
        <v>0.983059295443055</v>
      </c>
      <c r="K15" s="30" t="n">
        <f aca="false">IF(C15&lt;Assumptions!$B$5,I15*J15,0)</f>
        <v>0.952962263218931</v>
      </c>
      <c r="L15" s="30" t="n">
        <f aca="false">IF(C15&lt;Assumptions!$B$5,I15*(1-F15)*H15*A15*J15,0)</f>
        <v>0.0262749417316318</v>
      </c>
      <c r="M15" s="30" t="n">
        <f aca="false">IF(A15=0,Assumptions!$B$14*12*I15*J15,IF(AND(A15&gt;=12,C15&lt;Assumptions!$B$5),Assumptions!$B$15*I15*J15,0))</f>
        <v>0</v>
      </c>
      <c r="N15" s="47" t="n">
        <f aca="false">IF(C15&gt;=Assumptions!$B$5,I15*Assumptions!$B$9/12*(1+Assumptions!$B$10)^INT(A15/12)*J15,0)</f>
        <v>0</v>
      </c>
      <c r="O15" s="47" t="n">
        <f aca="false">I15*Assumptions!$B$12/12*(1+Assumptions!$B$11)^(INT(A15/12)+1)*J15</f>
        <v>6.51190879866269</v>
      </c>
      <c r="P15" s="47" t="n">
        <f aca="false">O15+Pricing_M!$B$13*M15+N15-Pricing_M!$B$13*K15</f>
        <v>-949.560770604749</v>
      </c>
      <c r="Q15" s="47" t="n">
        <f aca="false">IF(C15&lt;Assumptions!$B$5,Pricing_M!$B$13*K15-Pricing_M!$B$13*M15-O15,-(N15+O15))</f>
        <v>949.560770604749</v>
      </c>
      <c r="R15" s="32" t="n">
        <f aca="false">R14*(1-(1-(1-MIN(1,E14*(1-Assumptions!$B$21)))^(1/12)))*(1-H14)</f>
        <v>0.970057278653111</v>
      </c>
      <c r="S15" s="47" t="n">
        <f aca="false">R15*(IF(C15&lt;Assumptions!$B$5,Assumptions!$B$12*(1+Assumptions!$B$11)^(INT(A15/12)+1)/12+Pricing_M!$B$13*IF(A15=0,Assumptions!$B$14*12,IF(A15&gt;=12,Assumptions!$B$15,0))-Pricing_M!$B$13,Assumptions!$B$9/12*(1+Assumptions!$B$10)^INT(A15/12)+Assumptions!$B$12*(1+Assumptions!$B$11)^(INT(A15/12)+1)/12))*J15</f>
        <v>-950.219970907275</v>
      </c>
      <c r="T15" s="32" t="n">
        <f aca="false">T14*(1-F14)*(1-(1-(1-MIN(1,G14*(1+Assumptions!$B$23)))^(1/12)))</f>
        <v>0.95566146278057</v>
      </c>
      <c r="U15" s="47" t="n">
        <f aca="false">T15*(IF(C15&lt;Assumptions!$B$5,Assumptions!$B$12*(1+Assumptions!$B$11)^(INT(A15/12)+1)/12+Pricing_M!$B$13*IF(A15=0,Assumptions!$B$14*12,IF(A15&gt;=12,Assumptions!$B$15,0))-Pricing_M!$B$13,Assumptions!$B$9/12*(1+Assumptions!$B$10)^INT(A15/12)+Assumptions!$B$12*(1+Assumptions!$B$11)^(INT(A15/12)+1)/12))*J15</f>
        <v>-936.118544073402</v>
      </c>
      <c r="V15" s="32" t="n">
        <f aca="false">V14*(1-F14)*(1-(1-(1-MIN(1,G14*(1-Assumptions!$B$23)))^(1/12)))</f>
        <v>0.983010714875522</v>
      </c>
      <c r="W15" s="47" t="n">
        <f aca="false">V15*(IF(C15&lt;Assumptions!$B$5,Assumptions!$B$12*(1+Assumptions!$B$11)^(INT(A15/12)+1)/12+Pricing_M!$B$13*IF(A15=0,Assumptions!$B$14*12,IF(A15&gt;=12,Assumptions!$B$15,0))-Pricing_M!$B$13,Assumptions!$B$9/12*(1+Assumptions!$B$10)^INT(A15/12)+Assumptions!$B$12*(1+Assumptions!$B$11)^(INT(A15/12)+1)/12))*J15</f>
        <v>-962.908514214222</v>
      </c>
      <c r="X15" s="47" t="n">
        <f aca="false">I15*(IF(C15&lt;Assumptions!$B$5,Assumptions!$B$12*(1+Assumptions!$B$11)*(1+Assumptions!$B$24)*(1+Assumptions!$B$11+Assumptions!$B$25)^(INT(A15/12))/12+Pricing_M!$B$13*IF(A15=0,Assumptions!$B$14*12,IF(A15&gt;=12,Assumptions!$B$15,0))-Pricing_M!$B$13,Assumptions!$B$9/12*(1+Assumptions!$B$10)^INT(A15/12)+Assumptions!$B$12*(1+Assumptions!$B$11)*(1+Assumptions!$B$24)*(1+Assumptions!$B$11+Assumptions!$B$25)^(INT(A15/12))/12))*J15</f>
        <v>-948.909579724883</v>
      </c>
    </row>
    <row r="16" customFormat="false" ht="15" hidden="false" customHeight="true" outlineLevel="0" collapsed="false">
      <c r="A16" s="1" t="n">
        <v>9</v>
      </c>
      <c r="B16" s="31" t="n">
        <f aca="false">Assumptions!$B$4+A16/12</f>
        <v>65.75</v>
      </c>
      <c r="C16" s="34" t="n">
        <f aca="false">Assumptions!$B$4+INT(A16/12)</f>
        <v>65</v>
      </c>
      <c r="D16" s="34" t="n">
        <f aca="false">INT(A16/12)+1</f>
        <v>1</v>
      </c>
      <c r="E16" s="32" t="n">
        <f aca="false">IFERROR(INDEX(Cohort_Survival!$G$5:$G$65,MATCH(C16,Cohort_Survival!$A$5:$A$65,0)),1)</f>
        <v>0.00518054588826009</v>
      </c>
      <c r="F16" s="30" t="n">
        <f aca="false">1-(1-MIN(1,E16))^(1/12)</f>
        <v>0.000432740627602679</v>
      </c>
      <c r="G16" s="39" t="n">
        <f aca="false">IF(C16&lt;Assumptions!$B$5,IF(D16=1,Assumptions!$B$16,IF(D16=2,Assumptions!$B$17,IF(D16&lt;=5,Assumptions!$B$18,Assumptions!$B$19)))*(1-Assumptions!$B$20),0)</f>
        <v>0.0406</v>
      </c>
      <c r="H16" s="30" t="n">
        <f aca="false">1-(1-G16)^(1/12)</f>
        <v>0.00344797452945689</v>
      </c>
      <c r="I16" s="30" t="n">
        <f aca="false">I15*(1-F15)*(1-H15)</f>
        <v>0.965623858514847</v>
      </c>
      <c r="J16" s="30" t="n">
        <f aca="false">INDEX(Discount_Monthly!$G$4:$G$664,MATCH(A16,Discount_Monthly!$A$4:$A$664,0))</f>
        <v>0.980961986683795</v>
      </c>
      <c r="K16" s="30" t="n">
        <f aca="false">IF(C16&lt;Assumptions!$B$5,I16*J16,0)</f>
        <v>0.947240298637996</v>
      </c>
      <c r="L16" s="30" t="n">
        <f aca="false">IF(C16&lt;Assumptions!$B$5,I16*(1-F16)*H16*A16*J16,0)</f>
        <v>0.0293818235934755</v>
      </c>
      <c r="M16" s="30" t="n">
        <f aca="false">IF(A16=0,Assumptions!$B$14*12*I16*J16,IF(AND(A16&gt;=12,C16&lt;Assumptions!$B$5),Assumptions!$B$15*I16*J16,0))</f>
        <v>0</v>
      </c>
      <c r="N16" s="47" t="n">
        <f aca="false">IF(C16&gt;=Assumptions!$B$5,I16*Assumptions!$B$9/12*(1+Assumptions!$B$10)^INT(A16/12)*J16,0)</f>
        <v>0</v>
      </c>
      <c r="O16" s="47" t="n">
        <f aca="false">I16*Assumptions!$B$12/12*(1+Assumptions!$B$11)^(INT(A16/12)+1)*J16</f>
        <v>6.47280870735964</v>
      </c>
      <c r="P16" s="47" t="n">
        <f aca="false">O16+Pricing_M!$B$13*M16+N16-Pricing_M!$B$13*K16</f>
        <v>-943.859229938813</v>
      </c>
      <c r="Q16" s="47" t="n">
        <f aca="false">IF(C16&lt;Assumptions!$B$5,Pricing_M!$B$13*K16-Pricing_M!$B$13*M16-O16,-(N16+O16))</f>
        <v>943.859229938813</v>
      </c>
      <c r="R16" s="32" t="n">
        <f aca="false">R15*(1-(1-(1-MIN(1,E15*(1-Assumptions!$B$21)))^(1/12)))*(1-H15)</f>
        <v>0.966378036729456</v>
      </c>
      <c r="S16" s="47" t="n">
        <f aca="false">R16*(IF(C16&lt;Assumptions!$B$5,Assumptions!$B$12*(1+Assumptions!$B$11)^(INT(A16/12)+1)/12+Pricing_M!$B$13*IF(A16=0,Assumptions!$B$14*12,IF(A16&gt;=12,Assumptions!$B$15,0))-Pricing_M!$B$13,Assumptions!$B$9/12*(1+Assumptions!$B$10)^INT(A16/12)+Assumptions!$B$12*(1+Assumptions!$B$11)^(INT(A16/12)+1)/12))*J16</f>
        <v>-944.596409392904</v>
      </c>
      <c r="T16" s="32" t="n">
        <f aca="false">T15*(1-F15)*(1-(1-(1-MIN(1,G15*(1+Assumptions!$B$23)))^(1/12)))</f>
        <v>0.950259199084526</v>
      </c>
      <c r="U16" s="47" t="n">
        <f aca="false">T16*(IF(C16&lt;Assumptions!$B$5,Assumptions!$B$12*(1+Assumptions!$B$11)^(INT(A16/12)+1)/12+Pricing_M!$B$13*IF(A16=0,Assumptions!$B$14*12,IF(A16&gt;=12,Assumptions!$B$15,0))-Pricing_M!$B$13,Assumptions!$B$9/12*(1+Assumptions!$B$10)^INT(A16/12)+Assumptions!$B$12*(1+Assumptions!$B$11)^(INT(A16/12)+1)/12))*J16</f>
        <v>-928.840881448046</v>
      </c>
      <c r="V16" s="32" t="n">
        <f aca="false">V15*(1-F15)*(1-(1-(1-MIN(1,G15*(1-Assumptions!$B$23)))^(1/12)))</f>
        <v>0.980907450313553</v>
      </c>
      <c r="W16" s="47" t="n">
        <f aca="false">V16*(IF(C16&lt;Assumptions!$B$5,Assumptions!$B$12*(1+Assumptions!$B$11)^(INT(A16/12)+1)/12+Pricing_M!$B$13*IF(A16=0,Assumptions!$B$14*12,IF(A16&gt;=12,Assumptions!$B$15,0))-Pricing_M!$B$13,Assumptions!$B$9/12*(1+Assumptions!$B$10)^INT(A16/12)+Assumptions!$B$12*(1+Assumptions!$B$11)^(INT(A16/12)+1)/12))*J16</f>
        <v>-958.798338017618</v>
      </c>
      <c r="X16" s="47" t="n">
        <f aca="false">I16*(IF(C16&lt;Assumptions!$B$5,Assumptions!$B$12*(1+Assumptions!$B$11)*(1+Assumptions!$B$24)*(1+Assumptions!$B$11+Assumptions!$B$25)^(INT(A16/12))/12+Pricing_M!$B$13*IF(A16=0,Assumptions!$B$14*12,IF(A16&gt;=12,Assumptions!$B$15,0))-Pricing_M!$B$13,Assumptions!$B$9/12*(1+Assumptions!$B$10)^INT(A16/12)+Assumptions!$B$12*(1+Assumptions!$B$11)*(1+Assumptions!$B$24)*(1+Assumptions!$B$11+Assumptions!$B$25)^(INT(A16/12))/12))*J16</f>
        <v>-943.211949068077</v>
      </c>
    </row>
    <row r="17" customFormat="false" ht="15" hidden="false" customHeight="true" outlineLevel="0" collapsed="false">
      <c r="A17" s="1" t="n">
        <v>10</v>
      </c>
      <c r="B17" s="31" t="n">
        <f aca="false">Assumptions!$B$4+A17/12</f>
        <v>65.8333333333333</v>
      </c>
      <c r="C17" s="34" t="n">
        <f aca="false">Assumptions!$B$4+INT(A17/12)</f>
        <v>65</v>
      </c>
      <c r="D17" s="34" t="n">
        <f aca="false">INT(A17/12)+1</f>
        <v>1</v>
      </c>
      <c r="E17" s="32" t="n">
        <f aca="false">IFERROR(INDEX(Cohort_Survival!$G$5:$G$65,MATCH(C17,Cohort_Survival!$A$5:$A$65,0)),1)</f>
        <v>0.00518054588826009</v>
      </c>
      <c r="F17" s="30" t="n">
        <f aca="false">1-(1-MIN(1,E17))^(1/12)</f>
        <v>0.000432740627602679</v>
      </c>
      <c r="G17" s="39" t="n">
        <f aca="false">IF(C17&lt;Assumptions!$B$5,IF(D17=1,Assumptions!$B$16,IF(D17=2,Assumptions!$B$17,IF(D17&lt;=5,Assumptions!$B$18,Assumptions!$B$19)))*(1-Assumptions!$B$20),0)</f>
        <v>0.0406</v>
      </c>
      <c r="H17" s="30" t="n">
        <f aca="false">1-(1-G17)^(1/12)</f>
        <v>0.00344797452945689</v>
      </c>
      <c r="I17" s="30" t="n">
        <f aca="false">I16*(1-F16)*(1-H16)</f>
        <v>0.961877988157845</v>
      </c>
      <c r="J17" s="30" t="n">
        <f aca="false">INDEX(Discount_Monthly!$G$4:$G$664,MATCH(A17,Discount_Monthly!$A$4:$A$664,0))</f>
        <v>0.978869152429839</v>
      </c>
      <c r="K17" s="30" t="n">
        <f aca="false">IF(C17&lt;Assumptions!$B$5,I17*J17,0)</f>
        <v>0.941552691008988</v>
      </c>
      <c r="L17" s="30" t="n">
        <f aca="false">IF(C17&lt;Assumptions!$B$5,I17*(1-F17)*H17*A17*J17,0)</f>
        <v>0.0324504482606134</v>
      </c>
      <c r="M17" s="30" t="n">
        <f aca="false">IF(A17=0,Assumptions!$B$14*12*I17*J17,IF(AND(A17&gt;=12,C17&lt;Assumptions!$B$5),Assumptions!$B$15*I17*J17,0))</f>
        <v>0</v>
      </c>
      <c r="N17" s="47" t="n">
        <f aca="false">IF(C17&gt;=Assumptions!$B$5,I17*Assumptions!$B$9/12*(1+Assumptions!$B$10)^INT(A17/12)*J17,0)</f>
        <v>0</v>
      </c>
      <c r="O17" s="47" t="n">
        <f aca="false">I17*Assumptions!$B$12/12*(1+Assumptions!$B$11)^(INT(A17/12)+1)*J17</f>
        <v>6.43394338856142</v>
      </c>
      <c r="P17" s="47" t="n">
        <f aca="false">O17+Pricing_M!$B$13*M17+N17-Pricing_M!$B$13*K17</f>
        <v>-938.191923591492</v>
      </c>
      <c r="Q17" s="47" t="n">
        <f aca="false">IF(C17&lt;Assumptions!$B$5,Pricing_M!$B$13*K17-Pricing_M!$B$13*M17-O17,-(N17+O17))</f>
        <v>938.191923591492</v>
      </c>
      <c r="R17" s="32" t="n">
        <f aca="false">R16*(1-(1-(1-MIN(1,E16*(1-Assumptions!$B$21)))^(1/12)))*(1-H16)</f>
        <v>0.962712749467479</v>
      </c>
      <c r="S17" s="47" t="n">
        <f aca="false">R17*(IF(C17&lt;Assumptions!$B$5,Assumptions!$B$12*(1+Assumptions!$B$11)^(INT(A17/12)+1)/12+Pricing_M!$B$13*IF(A17=0,Assumptions!$B$14*12,IF(A17&gt;=12,Assumptions!$B$15,0))-Pricing_M!$B$13,Assumptions!$B$9/12*(1+Assumptions!$B$10)^INT(A17/12)+Assumptions!$B$12*(1+Assumptions!$B$11)^(INT(A17/12)+1)/12))*J17</f>
        <v>-939.006129060862</v>
      </c>
      <c r="T17" s="32" t="n">
        <f aca="false">T16*(1-F16)*(1-(1-(1-MIN(1,G16*(1+Assumptions!$B$23)))^(1/12)))</f>
        <v>0.944887473873268</v>
      </c>
      <c r="U17" s="47" t="n">
        <f aca="false">T17*(IF(C17&lt;Assumptions!$B$5,Assumptions!$B$12*(1+Assumptions!$B$11)^(INT(A17/12)+1)/12+Pricing_M!$B$13*IF(A17=0,Assumptions!$B$14*12,IF(A17&gt;=12,Assumptions!$B$15,0))-Pricing_M!$B$13,Assumptions!$B$9/12*(1+Assumptions!$B$10)^INT(A17/12)+Assumptions!$B$12*(1+Assumptions!$B$11)^(INT(A17/12)+1)/12))*J17</f>
        <v>-921.619797525915</v>
      </c>
      <c r="V17" s="32" t="n">
        <f aca="false">V16*(1-F16)*(1-(1-(1-MIN(1,G16*(1-Assumptions!$B$23)))^(1/12)))</f>
        <v>0.978808685928186</v>
      </c>
      <c r="W17" s="47" t="n">
        <f aca="false">V17*(IF(C17&lt;Assumptions!$B$5,Assumptions!$B$12*(1+Assumptions!$B$11)^(INT(A17/12)+1)/12+Pricing_M!$B$13*IF(A17=0,Assumptions!$B$14*12,IF(A17&gt;=12,Assumptions!$B$15,0))-Pricing_M!$B$13,Assumptions!$B$9/12*(1+Assumptions!$B$10)^INT(A17/12)+Assumptions!$B$12*(1+Assumptions!$B$11)^(INT(A17/12)+1)/12))*J17</f>
        <v>-954.705706113247</v>
      </c>
      <c r="X17" s="47" t="n">
        <f aca="false">I17*(IF(C17&lt;Assumptions!$B$5,Assumptions!$B$12*(1+Assumptions!$B$11)*(1+Assumptions!$B$24)*(1+Assumptions!$B$11+Assumptions!$B$25)^(INT(A17/12))/12+Pricing_M!$B$13*IF(A17=0,Assumptions!$B$14*12,IF(A17&gt;=12,Assumptions!$B$15,0))-Pricing_M!$B$13,Assumptions!$B$9/12*(1+Assumptions!$B$10)^INT(A17/12)+Assumptions!$B$12*(1+Assumptions!$B$11)*(1+Assumptions!$B$24)*(1+Assumptions!$B$11+Assumptions!$B$25)^(INT(A17/12))/12))*J17</f>
        <v>-937.548529252636</v>
      </c>
    </row>
    <row r="18" customFormat="false" ht="15" hidden="false" customHeight="true" outlineLevel="0" collapsed="false">
      <c r="A18" s="1" t="n">
        <v>11</v>
      </c>
      <c r="B18" s="31" t="n">
        <f aca="false">Assumptions!$B$4+A18/12</f>
        <v>65.9166666666667</v>
      </c>
      <c r="C18" s="34" t="n">
        <f aca="false">Assumptions!$B$4+INT(A18/12)</f>
        <v>65</v>
      </c>
      <c r="D18" s="34" t="n">
        <f aca="false">INT(A18/12)+1</f>
        <v>1</v>
      </c>
      <c r="E18" s="32" t="n">
        <f aca="false">IFERROR(INDEX(Cohort_Survival!$G$5:$G$65,MATCH(C18,Cohort_Survival!$A$5:$A$65,0)),1)</f>
        <v>0.00518054588826009</v>
      </c>
      <c r="F18" s="30" t="n">
        <f aca="false">1-(1-MIN(1,E18))^(1/12)</f>
        <v>0.000432740627602679</v>
      </c>
      <c r="G18" s="39" t="n">
        <f aca="false">IF(C18&lt;Assumptions!$B$5,IF(D18=1,Assumptions!$B$16,IF(D18=2,Assumptions!$B$17,IF(D18&lt;=5,Assumptions!$B$18,Assumptions!$B$19)))*(1-Assumptions!$B$20),0)</f>
        <v>0.0406</v>
      </c>
      <c r="H18" s="30" t="n">
        <f aca="false">1-(1-G18)^(1/12)</f>
        <v>0.00344797452945689</v>
      </c>
      <c r="I18" s="30" t="n">
        <f aca="false">I17*(1-F17)*(1-H17)</f>
        <v>0.95814664886758</v>
      </c>
      <c r="J18" s="30" t="n">
        <f aca="false">INDEX(Discount_Monthly!$G$4:$G$664,MATCH(A18,Discount_Monthly!$A$4:$A$664,0))</f>
        <v>0.97678078313505</v>
      </c>
      <c r="K18" s="30" t="n">
        <f aca="false">IF(C18&lt;Assumptions!$B$5,I18*J18,0)</f>
        <v>0.935899234039099</v>
      </c>
      <c r="L18" s="30" t="n">
        <f aca="false">IF(C18&lt;Assumptions!$B$5,I18*(1-F18)*H18*A18*J18,0)</f>
        <v>0.0354811631441111</v>
      </c>
      <c r="M18" s="30" t="n">
        <f aca="false">IF(A18=0,Assumptions!$B$14*12*I18*J18,IF(AND(A18&gt;=12,C18&lt;Assumptions!$B$5),Assumptions!$B$15*I18*J18,0))</f>
        <v>0</v>
      </c>
      <c r="N18" s="47" t="n">
        <f aca="false">IF(C18&gt;=Assumptions!$B$5,I18*Assumptions!$B$9/12*(1+Assumptions!$B$10)^INT(A18/12)*J18,0)</f>
        <v>0</v>
      </c>
      <c r="O18" s="47" t="n">
        <f aca="false">I18*Assumptions!$B$12/12*(1+Assumptions!$B$11)^(INT(A18/12)+1)*J18</f>
        <v>6.39531143260051</v>
      </c>
      <c r="P18" s="47" t="n">
        <f aca="false">O18+Pricing_M!$B$13*M18+N18-Pricing_M!$B$13*K18</f>
        <v>-932.558646006316</v>
      </c>
      <c r="Q18" s="47" t="n">
        <f aca="false">IF(C18&lt;Assumptions!$B$5,Pricing_M!$B$13*K18-Pricing_M!$B$13*M18-O18,-(N18+O18))</f>
        <v>932.558646006316</v>
      </c>
      <c r="R18" s="32" t="n">
        <f aca="false">R17*(1-(1-(1-MIN(1,E17*(1-Assumptions!$B$21)))^(1/12)))*(1-H17)</f>
        <v>0.959061363939815</v>
      </c>
      <c r="S18" s="47" t="n">
        <f aca="false">R18*(IF(C18&lt;Assumptions!$B$5,Assumptions!$B$12*(1+Assumptions!$B$11)^(INT(A18/12)+1)/12+Pricing_M!$B$13*IF(A18=0,Assumptions!$B$14*12,IF(A18&gt;=12,Assumptions!$B$15,0))-Pricing_M!$B$13,Assumptions!$B$9/12*(1+Assumptions!$B$10)^INT(A18/12)+Assumptions!$B$12*(1+Assumptions!$B$11)^(INT(A18/12)+1)/12))*J18</f>
        <v>-933.44893294752</v>
      </c>
      <c r="T18" s="32" t="n">
        <f aca="false">T17*(1-F17)*(1-(1-(1-MIN(1,G17*(1+Assumptions!$B$23)))^(1/12)))</f>
        <v>0.939546114515635</v>
      </c>
      <c r="U18" s="47" t="n">
        <f aca="false">T18*(IF(C18&lt;Assumptions!$B$5,Assumptions!$B$12*(1+Assumptions!$B$11)^(INT(A18/12)+1)/12+Pricing_M!$B$13*IF(A18=0,Assumptions!$B$14*12,IF(A18&gt;=12,Assumptions!$B$15,0))-Pricing_M!$B$13,Assumptions!$B$9/12*(1+Assumptions!$B$10)^INT(A18/12)+Assumptions!$B$12*(1+Assumptions!$B$11)^(INT(A18/12)+1)/12))*J18</f>
        <v>-914.454852447424</v>
      </c>
      <c r="V18" s="32" t="n">
        <f aca="false">V17*(1-F17)*(1-(1-(1-MIN(1,G17*(1-Assumptions!$B$23)))^(1/12)))</f>
        <v>0.976714412090774</v>
      </c>
      <c r="W18" s="47" t="n">
        <f aca="false">V18*(IF(C18&lt;Assumptions!$B$5,Assumptions!$B$12*(1+Assumptions!$B$11)^(INT(A18/12)+1)/12+Pricing_M!$B$13*IF(A18=0,Assumptions!$B$14*12,IF(A18&gt;=12,Assumptions!$B$15,0))-Pricing_M!$B$13,Assumptions!$B$9/12*(1+Assumptions!$B$10)^INT(A18/12)+Assumptions!$B$12*(1+Assumptions!$B$11)^(INT(A18/12)+1)/12))*J18</f>
        <v>-950.630543613277</v>
      </c>
      <c r="X18" s="47" t="n">
        <f aca="false">I18*(IF(C18&lt;Assumptions!$B$5,Assumptions!$B$12*(1+Assumptions!$B$11)*(1+Assumptions!$B$24)*(1+Assumptions!$B$11+Assumptions!$B$25)^(INT(A18/12))/12+Pricing_M!$B$13*IF(A18=0,Assumptions!$B$14*12,IF(A18&gt;=12,Assumptions!$B$15,0))-Pricing_M!$B$13,Assumptions!$B$9/12*(1+Assumptions!$B$10)^INT(A18/12)+Assumptions!$B$12*(1+Assumptions!$B$11)*(1+Assumptions!$B$24)*(1+Assumptions!$B$11+Assumptions!$B$25)^(INT(A18/12))/12))*J18</f>
        <v>-931.919114863056</v>
      </c>
    </row>
    <row r="19" customFormat="false" ht="15" hidden="false" customHeight="true" outlineLevel="0" collapsed="false">
      <c r="A19" s="1" t="n">
        <v>12</v>
      </c>
      <c r="B19" s="31" t="n">
        <f aca="false">Assumptions!$B$4+A19/12</f>
        <v>66</v>
      </c>
      <c r="C19" s="34" t="n">
        <f aca="false">Assumptions!$B$4+INT(A19/12)</f>
        <v>66</v>
      </c>
      <c r="D19" s="34" t="n">
        <f aca="false">INT(A19/12)+1</f>
        <v>2</v>
      </c>
      <c r="E19" s="32" t="n">
        <f aca="false">IFERROR(INDEX(Cohort_Survival!$G$5:$G$65,MATCH(C19,Cohort_Survival!$A$5:$A$65,0)),1)</f>
        <v>0.00564060359024671</v>
      </c>
      <c r="F19" s="30" t="n">
        <f aca="false">1-(1-MIN(1,E19))^(1/12)</f>
        <v>0.000471269906615168</v>
      </c>
      <c r="G19" s="39" t="n">
        <f aca="false">IF(C19&lt;Assumptions!$B$5,IF(D19=1,Assumptions!$B$16,IF(D19=2,Assumptions!$B$17,IF(D19&lt;=5,Assumptions!$B$18,Assumptions!$B$19)))*(1-Assumptions!$B$20),0)</f>
        <v>0.0217</v>
      </c>
      <c r="H19" s="30" t="n">
        <f aca="false">1-(1-G19)^(1/12)</f>
        <v>0.00182657207629688</v>
      </c>
      <c r="I19" s="30" t="n">
        <f aca="false">I18*(1-F18)*(1-H18)</f>
        <v>0.954429784274804</v>
      </c>
      <c r="J19" s="30" t="n">
        <f aca="false">INDEX(Discount_Monthly!$G$4:$G$664,MATCH(A19,Discount_Monthly!$A$4:$A$664,0))</f>
        <v>0.974696869273656</v>
      </c>
      <c r="K19" s="30" t="n">
        <f aca="false">IF(C19&lt;Assumptions!$B$5,I19*J19,0)</f>
        <v>0.930279722674182</v>
      </c>
      <c r="L19" s="30" t="n">
        <f aca="false">IF(C19&lt;Assumptions!$B$5,I19*(1-F19)*H19*A19*J19,0)</f>
        <v>0.0203810660632084</v>
      </c>
      <c r="M19" s="30" t="n">
        <f aca="false">IF(A19=0,Assumptions!$B$14*12*I19*J19,IF(AND(A19&gt;=12,C19&lt;Assumptions!$B$5),Assumptions!$B$15*I19*J19,0))</f>
        <v>0.0465139861337091</v>
      </c>
      <c r="N19" s="47" t="n">
        <f aca="false">IF(C19&gt;=Assumptions!$B$5,I19*Assumptions!$B$9/12*(1+Assumptions!$B$10)^INT(A19/12)*J19,0)</f>
        <v>0</v>
      </c>
      <c r="O19" s="47" t="n">
        <f aca="false">I19*Assumptions!$B$12/12*(1+Assumptions!$B$11)^(INT(A19/12)+1)*J19</f>
        <v>6.51583422423042</v>
      </c>
      <c r="P19" s="47" t="n">
        <f aca="false">O19+Pricing_M!$B$13*M19+N19-Pricing_M!$B$13*K19</f>
        <v>-880.134464860136</v>
      </c>
      <c r="Q19" s="47" t="n">
        <f aca="false">IF(C19&lt;Assumptions!$B$5,Pricing_M!$B$13*K19-Pricing_M!$B$13*M19-O19,-(N19+O19))</f>
        <v>880.134464860136</v>
      </c>
      <c r="R19" s="32" t="n">
        <f aca="false">R18*(1-(1-(1-MIN(1,E18*(1-Assumptions!$B$21)))^(1/12)))*(1-H18)</f>
        <v>0.955423827419843</v>
      </c>
      <c r="S19" s="47" t="n">
        <f aca="false">R19*(IF(C19&lt;Assumptions!$B$5,Assumptions!$B$12*(1+Assumptions!$B$11)^(INT(A19/12)+1)/12+Pricing_M!$B$13*IF(A19=0,Assumptions!$B$14*12,IF(A19&gt;=12,Assumptions!$B$15,0))-Pricing_M!$B$13,Assumptions!$B$9/12*(1+Assumptions!$B$10)^INT(A19/12)+Assumptions!$B$12*(1+Assumptions!$B$11)^(INT(A19/12)+1)/12))*J19</f>
        <v>-881.051129077789</v>
      </c>
      <c r="T19" s="32" t="n">
        <f aca="false">T18*(1-F18)*(1-(1-(1-MIN(1,G18*(1+Assumptions!$B$23)))^(1/12)))</f>
        <v>0.934234949356334</v>
      </c>
      <c r="U19" s="47" t="n">
        <f aca="false">T19*(IF(C19&lt;Assumptions!$B$5,Assumptions!$B$12*(1+Assumptions!$B$11)^(INT(A19/12)+1)/12+Pricing_M!$B$13*IF(A19=0,Assumptions!$B$14*12,IF(A19&gt;=12,Assumptions!$B$15,0))-Pricing_M!$B$13,Assumptions!$B$9/12*(1+Assumptions!$B$10)^INT(A19/12)+Assumptions!$B$12*(1+Assumptions!$B$11)^(INT(A19/12)+1)/12))*J19</f>
        <v>-861.511648895302</v>
      </c>
      <c r="V19" s="32" t="n">
        <f aca="false">V18*(1-F18)*(1-(1-(1-MIN(1,G18*(1-Assumptions!$B$23)))^(1/12)))</f>
        <v>0.974624619193272</v>
      </c>
      <c r="W19" s="47" t="n">
        <f aca="false">V19*(IF(C19&lt;Assumptions!$B$5,Assumptions!$B$12*(1+Assumptions!$B$11)^(INT(A19/12)+1)/12+Pricing_M!$B$13*IF(A19=0,Assumptions!$B$14*12,IF(A19&gt;=12,Assumptions!$B$15,0))-Pricing_M!$B$13,Assumptions!$B$9/12*(1+Assumptions!$B$10)^INT(A19/12)+Assumptions!$B$12*(1+Assumptions!$B$11)^(INT(A19/12)+1)/12))*J19</f>
        <v>-898.757280824969</v>
      </c>
      <c r="X19" s="47" t="n">
        <f aca="false">I19*(IF(C19&lt;Assumptions!$B$5,Assumptions!$B$12*(1+Assumptions!$B$11)*(1+Assumptions!$B$24)*(1+Assumptions!$B$11+Assumptions!$B$25)^(INT(A19/12))/12+Pricing_M!$B$13*IF(A19=0,Assumptions!$B$14*12,IF(A19&gt;=12,Assumptions!$B$15,0))-Pricing_M!$B$13,Assumptions!$B$9/12*(1+Assumptions!$B$10)^INT(A19/12)+Assumptions!$B$12*(1+Assumptions!$B$11)*(1+Assumptions!$B$24)*(1+Assumptions!$B$11+Assumptions!$B$25)^(INT(A19/12))/12))*J19</f>
        <v>-879.412955411892</v>
      </c>
    </row>
    <row r="20" customFormat="false" ht="15" hidden="false" customHeight="true" outlineLevel="0" collapsed="false">
      <c r="A20" s="1" t="n">
        <v>13</v>
      </c>
      <c r="B20" s="31" t="n">
        <f aca="false">Assumptions!$B$4+A20/12</f>
        <v>66.0833333333333</v>
      </c>
      <c r="C20" s="34" t="n">
        <f aca="false">Assumptions!$B$4+INT(A20/12)</f>
        <v>66</v>
      </c>
      <c r="D20" s="34" t="n">
        <f aca="false">INT(A20/12)+1</f>
        <v>2</v>
      </c>
      <c r="E20" s="32" t="n">
        <f aca="false">IFERROR(INDEX(Cohort_Survival!$G$5:$G$65,MATCH(C20,Cohort_Survival!$A$5:$A$65,0)),1)</f>
        <v>0.00564060359024671</v>
      </c>
      <c r="F20" s="30" t="n">
        <f aca="false">1-(1-MIN(1,E20))^(1/12)</f>
        <v>0.000471269906615168</v>
      </c>
      <c r="G20" s="39" t="n">
        <f aca="false">IF(C20&lt;Assumptions!$B$5,IF(D20=1,Assumptions!$B$16,IF(D20=2,Assumptions!$B$17,IF(D20&lt;=5,Assumptions!$B$18,Assumptions!$B$19)))*(1-Assumptions!$B$20),0)</f>
        <v>0.0217</v>
      </c>
      <c r="H20" s="30" t="n">
        <f aca="false">1-(1-G20)^(1/12)</f>
        <v>0.00182657207629688</v>
      </c>
      <c r="I20" s="30" t="n">
        <f aca="false">I19*(1-F19)*(1-H19)</f>
        <v>0.95223747702798</v>
      </c>
      <c r="J20" s="30" t="n">
        <f aca="false">INDEX(Discount_Monthly!$G$4:$G$664,MATCH(A20,Discount_Monthly!$A$4:$A$664,0))</f>
        <v>0.972570009066869</v>
      </c>
      <c r="K20" s="30" t="n">
        <f aca="false">IF(C20&lt;Assumptions!$B$5,I20*J20,0)</f>
        <v>0.926117611666915</v>
      </c>
      <c r="L20" s="30" t="n">
        <f aca="false">IF(C20&lt;Assumptions!$B$5,I20*(1-F20)*H20*A20*J20,0)</f>
        <v>0.0219807036666106</v>
      </c>
      <c r="M20" s="30" t="n">
        <f aca="false">IF(A20=0,Assumptions!$B$14*12*I20*J20,IF(AND(A20&gt;=12,C20&lt;Assumptions!$B$5),Assumptions!$B$15*I20*J20,0))</f>
        <v>0.0463058805833458</v>
      </c>
      <c r="N20" s="47" t="n">
        <f aca="false">IF(C20&gt;=Assumptions!$B$5,I20*Assumptions!$B$9/12*(1+Assumptions!$B$10)^INT(A20/12)*J20,0)</f>
        <v>0</v>
      </c>
      <c r="O20" s="47" t="n">
        <f aca="false">I20*Assumptions!$B$12/12*(1+Assumptions!$B$11)^(INT(A20/12)+1)*J20</f>
        <v>6.48668210505035</v>
      </c>
      <c r="P20" s="47" t="n">
        <f aca="false">O20+Pricing_M!$B$13*M20+N20-Pricing_M!$B$13*K20</f>
        <v>-876.196705867025</v>
      </c>
      <c r="Q20" s="47" t="n">
        <f aca="false">IF(C20&lt;Assumptions!$B$5,Pricing_M!$B$13*K20-Pricing_M!$B$13*M20-O20,-(N20+O20))</f>
        <v>876.196705867025</v>
      </c>
      <c r="R20" s="32" t="n">
        <f aca="false">R19*(1-(1-(1-MIN(1,E19*(1-Assumptions!$B$21)))^(1/12)))*(1-H19)</f>
        <v>0.953319311523572</v>
      </c>
      <c r="S20" s="47" t="n">
        <f aca="false">R20*(IF(C20&lt;Assumptions!$B$5,Assumptions!$B$12*(1+Assumptions!$B$11)^(INT(A20/12)+1)/12+Pricing_M!$B$13*IF(A20=0,Assumptions!$B$14*12,IF(A20&gt;=12,Assumptions!$B$15,0))-Pricing_M!$B$13,Assumptions!$B$9/12*(1+Assumptions!$B$10)^INT(A20/12)+Assumptions!$B$12*(1+Assumptions!$B$11)^(INT(A20/12)+1)/12))*J20</f>
        <v>-877.192150642302</v>
      </c>
      <c r="T20" s="32" t="n">
        <f aca="false">T19*(1-F19)*(1-(1-(1-MIN(1,G19*(1+Assumptions!$B$23)))^(1/12)))</f>
        <v>0.931223161546392</v>
      </c>
      <c r="U20" s="47" t="n">
        <f aca="false">T20*(IF(C20&lt;Assumptions!$B$5,Assumptions!$B$12*(1+Assumptions!$B$11)^(INT(A20/12)+1)/12+Pricing_M!$B$13*IF(A20=0,Assumptions!$B$14*12,IF(A20&gt;=12,Assumptions!$B$15,0))-Pricing_M!$B$13,Assumptions!$B$9/12*(1+Assumptions!$B$10)^INT(A20/12)+Assumptions!$B$12*(1+Assumptions!$B$11)^(INT(A20/12)+1)/12))*J20</f>
        <v>-856.860485181313</v>
      </c>
      <c r="V20" s="32" t="n">
        <f aca="false">V19*(1-F19)*(1-(1-(1-MIN(1,G19*(1-Assumptions!$B$23)))^(1/12)))</f>
        <v>0.973280089351485</v>
      </c>
      <c r="W20" s="47" t="n">
        <f aca="false">V20*(IF(C20&lt;Assumptions!$B$5,Assumptions!$B$12*(1+Assumptions!$B$11)^(INT(A20/12)+1)/12+Pricing_M!$B$13*IF(A20=0,Assumptions!$B$14*12,IF(A20&gt;=12,Assumptions!$B$15,0))-Pricing_M!$B$13,Assumptions!$B$9/12*(1+Assumptions!$B$10)^INT(A20/12)+Assumptions!$B$12*(1+Assumptions!$B$11)^(INT(A20/12)+1)/12))*J20</f>
        <v>-895.558963754875</v>
      </c>
      <c r="X20" s="47" t="n">
        <f aca="false">I20*(IF(C20&lt;Assumptions!$B$5,Assumptions!$B$12*(1+Assumptions!$B$11)*(1+Assumptions!$B$24)*(1+Assumptions!$B$11+Assumptions!$B$25)^(INT(A20/12))/12+Pricing_M!$B$13*IF(A20=0,Assumptions!$B$14*12,IF(A20&gt;=12,Assumptions!$B$15,0))-Pricing_M!$B$13,Assumptions!$B$9/12*(1+Assumptions!$B$10)^INT(A20/12)+Assumptions!$B$12*(1+Assumptions!$B$11)*(1+Assumptions!$B$24)*(1+Assumptions!$B$11+Assumptions!$B$25)^(INT(A20/12))/12))*J20</f>
        <v>-875.478424482709</v>
      </c>
    </row>
    <row r="21" customFormat="false" ht="15" hidden="false" customHeight="true" outlineLevel="0" collapsed="false">
      <c r="A21" s="1" t="n">
        <v>14</v>
      </c>
      <c r="B21" s="31" t="n">
        <f aca="false">Assumptions!$B$4+A21/12</f>
        <v>66.1666666666667</v>
      </c>
      <c r="C21" s="34" t="n">
        <f aca="false">Assumptions!$B$4+INT(A21/12)</f>
        <v>66</v>
      </c>
      <c r="D21" s="34" t="n">
        <f aca="false">INT(A21/12)+1</f>
        <v>2</v>
      </c>
      <c r="E21" s="32" t="n">
        <f aca="false">IFERROR(INDEX(Cohort_Survival!$G$5:$G$65,MATCH(C21,Cohort_Survival!$A$5:$A$65,0)),1)</f>
        <v>0.00564060359024671</v>
      </c>
      <c r="F21" s="30" t="n">
        <f aca="false">1-(1-MIN(1,E21))^(1/12)</f>
        <v>0.000471269906615168</v>
      </c>
      <c r="G21" s="39" t="n">
        <f aca="false">IF(C21&lt;Assumptions!$B$5,IF(D21=1,Assumptions!$B$16,IF(D21=2,Assumptions!$B$17,IF(D21&lt;=5,Assumptions!$B$18,Assumptions!$B$19)))*(1-Assumptions!$B$20),0)</f>
        <v>0.0217</v>
      </c>
      <c r="H21" s="30" t="n">
        <f aca="false">1-(1-G21)^(1/12)</f>
        <v>0.00182657207629688</v>
      </c>
      <c r="I21" s="30" t="n">
        <f aca="false">I20*(1-F20)*(1-H20)</f>
        <v>0.950050205469632</v>
      </c>
      <c r="J21" s="30" t="n">
        <f aca="false">INDEX(Discount_Monthly!$G$4:$G$664,MATCH(A21,Discount_Monthly!$A$4:$A$664,0))</f>
        <v>0.970447789825372</v>
      </c>
      <c r="K21" s="30" t="n">
        <f aca="false">IF(C21&lt;Assumptions!$B$5,I21*J21,0)</f>
        <v>0.921974122121145</v>
      </c>
      <c r="L21" s="30" t="n">
        <f aca="false">IF(C21&lt;Assumptions!$B$5,I21*(1-F21)*H21*A21*J21,0)</f>
        <v>0.0235656196078539</v>
      </c>
      <c r="M21" s="30" t="n">
        <f aca="false">IF(A21=0,Assumptions!$B$14*12*I21*J21,IF(AND(A21&gt;=12,C21&lt;Assumptions!$B$5),Assumptions!$B$15*I21*J21,0))</f>
        <v>0.0460987061060572</v>
      </c>
      <c r="N21" s="47" t="n">
        <f aca="false">IF(C21&gt;=Assumptions!$B$5,I21*Assumptions!$B$9/12*(1+Assumptions!$B$10)^INT(A21/12)*J21,0)</f>
        <v>0</v>
      </c>
      <c r="O21" s="47" t="n">
        <f aca="false">I21*Assumptions!$B$12/12*(1+Assumptions!$B$11)^(INT(A21/12)+1)*J21</f>
        <v>6.45766041369018</v>
      </c>
      <c r="P21" s="47" t="n">
        <f aca="false">O21+Pricing_M!$B$13*M21+N21-Pricing_M!$B$13*K21</f>
        <v>-872.276564574966</v>
      </c>
      <c r="Q21" s="47" t="n">
        <f aca="false">IF(C21&lt;Assumptions!$B$5,Pricing_M!$B$13*K21-Pricing_M!$B$13*M21-O21,-(N21+O21))</f>
        <v>872.276564574966</v>
      </c>
      <c r="R21" s="32" t="n">
        <f aca="false">R20*(1-(1-(1-MIN(1,E20*(1-Assumptions!$B$21)))^(1/12)))*(1-H20)</f>
        <v>0.951219431252906</v>
      </c>
      <c r="S21" s="47" t="n">
        <f aca="false">R21*(IF(C21&lt;Assumptions!$B$5,Assumptions!$B$12*(1+Assumptions!$B$11)^(INT(A21/12)+1)/12+Pricing_M!$B$13*IF(A21=0,Assumptions!$B$14*12,IF(A21&gt;=12,Assumptions!$B$15,0))-Pricing_M!$B$13,Assumptions!$B$9/12*(1+Assumptions!$B$10)^INT(A21/12)+Assumptions!$B$12*(1+Assumptions!$B$11)^(INT(A21/12)+1)/12))*J21</f>
        <v>-873.35007442063</v>
      </c>
      <c r="T21" s="32" t="n">
        <f aca="false">T20*(1-F20)*(1-(1-(1-MIN(1,G20*(1+Assumptions!$B$23)))^(1/12)))</f>
        <v>0.928221083141796</v>
      </c>
      <c r="U21" s="47" t="n">
        <f aca="false">T21*(IF(C21&lt;Assumptions!$B$5,Assumptions!$B$12*(1+Assumptions!$B$11)^(INT(A21/12)+1)/12+Pricing_M!$B$13*IF(A21=0,Assumptions!$B$14*12,IF(A21&gt;=12,Assumptions!$B$15,0))-Pricing_M!$B$13,Assumptions!$B$9/12*(1+Assumptions!$B$10)^INT(A21/12)+Assumptions!$B$12*(1+Assumptions!$B$11)^(INT(A21/12)+1)/12))*J21</f>
        <v>-852.234432356912</v>
      </c>
      <c r="V21" s="32" t="n">
        <f aca="false">V20*(1-F20)*(1-(1-(1-MIN(1,G20*(1-Assumptions!$B$23)))^(1/12)))</f>
        <v>0.971937414337146</v>
      </c>
      <c r="W21" s="47" t="n">
        <f aca="false">V21*(IF(C21&lt;Assumptions!$B$5,Assumptions!$B$12*(1+Assumptions!$B$11)^(INT(A21/12)+1)/12+Pricing_M!$B$13*IF(A21=0,Assumptions!$B$14*12,IF(A21&gt;=12,Assumptions!$B$15,0))-Pricing_M!$B$13,Assumptions!$B$9/12*(1+Assumptions!$B$10)^INT(A21/12)+Assumptions!$B$12*(1+Assumptions!$B$11)^(INT(A21/12)+1)/12))*J21</f>
        <v>-892.372028213809</v>
      </c>
      <c r="X21" s="47" t="n">
        <f aca="false">I21*(IF(C21&lt;Assumptions!$B$5,Assumptions!$B$12*(1+Assumptions!$B$11)*(1+Assumptions!$B$24)*(1+Assumptions!$B$11+Assumptions!$B$25)^(INT(A21/12))/12+Pricing_M!$B$13*IF(A21=0,Assumptions!$B$14*12,IF(A21&gt;=12,Assumptions!$B$15,0))-Pricing_M!$B$13,Assumptions!$B$9/12*(1+Assumptions!$B$10)^INT(A21/12)+Assumptions!$B$12*(1+Assumptions!$B$11)*(1+Assumptions!$B$24)*(1+Assumptions!$B$11+Assumptions!$B$25)^(INT(A21/12))/12))*J21</f>
        <v>-871.561496812084</v>
      </c>
    </row>
    <row r="22" customFormat="false" ht="15" hidden="false" customHeight="true" outlineLevel="0" collapsed="false">
      <c r="A22" s="1" t="n">
        <v>15</v>
      </c>
      <c r="B22" s="31" t="n">
        <f aca="false">Assumptions!$B$4+A22/12</f>
        <v>66.25</v>
      </c>
      <c r="C22" s="34" t="n">
        <f aca="false">Assumptions!$B$4+INT(A22/12)</f>
        <v>66</v>
      </c>
      <c r="D22" s="34" t="n">
        <f aca="false">INT(A22/12)+1</f>
        <v>2</v>
      </c>
      <c r="E22" s="32" t="n">
        <f aca="false">IFERROR(INDEX(Cohort_Survival!$G$5:$G$65,MATCH(C22,Cohort_Survival!$A$5:$A$65,0)),1)</f>
        <v>0.00564060359024671</v>
      </c>
      <c r="F22" s="30" t="n">
        <f aca="false">1-(1-MIN(1,E22))^(1/12)</f>
        <v>0.000471269906615168</v>
      </c>
      <c r="G22" s="39" t="n">
        <f aca="false">IF(C22&lt;Assumptions!$B$5,IF(D22=1,Assumptions!$B$16,IF(D22=2,Assumptions!$B$17,IF(D22&lt;=5,Assumptions!$B$18,Assumptions!$B$19)))*(1-Assumptions!$B$20),0)</f>
        <v>0.0217</v>
      </c>
      <c r="H22" s="30" t="n">
        <f aca="false">1-(1-G22)^(1/12)</f>
        <v>0.00182657207629688</v>
      </c>
      <c r="I22" s="30" t="n">
        <f aca="false">I21*(1-F21)*(1-H21)</f>
        <v>0.947867958032876</v>
      </c>
      <c r="J22" s="30" t="n">
        <f aca="false">INDEX(Discount_Monthly!$G$4:$G$664,MATCH(A22,Discount_Monthly!$A$4:$A$664,0))</f>
        <v>0.968330201422239</v>
      </c>
      <c r="K22" s="30" t="n">
        <f aca="false">IF(C22&lt;Assumptions!$B$5,I22*J22,0)</f>
        <v>0.917849170723661</v>
      </c>
      <c r="L22" s="30" t="n">
        <f aca="false">IF(C22&lt;Assumptions!$B$5,I22*(1-F22)*H22*A22*J22,0)</f>
        <v>0.0251359135975865</v>
      </c>
      <c r="M22" s="30" t="n">
        <f aca="false">IF(A22=0,Assumptions!$B$14*12*I22*J22,IF(AND(A22&gt;=12,C22&lt;Assumptions!$B$5),Assumptions!$B$15*I22*J22,0))</f>
        <v>0.0458924585361831</v>
      </c>
      <c r="N22" s="47" t="n">
        <f aca="false">IF(C22&gt;=Assumptions!$B$5,I22*Assumptions!$B$9/12*(1+Assumptions!$B$10)^INT(A22/12)*J22,0)</f>
        <v>0</v>
      </c>
      <c r="O22" s="47" t="n">
        <f aca="false">I22*Assumptions!$B$12/12*(1+Assumptions!$B$11)^(INT(A22/12)+1)*J22</f>
        <v>6.42876856661031</v>
      </c>
      <c r="P22" s="47" t="n">
        <f aca="false">O22+Pricing_M!$B$13*M22+N22-Pricing_M!$B$13*K22</f>
        <v>-868.373962161616</v>
      </c>
      <c r="Q22" s="47" t="n">
        <f aca="false">IF(C22&lt;Assumptions!$B$5,Pricing_M!$B$13*K22-Pricing_M!$B$13*M22-O22,-(N22+O22))</f>
        <v>868.373962161616</v>
      </c>
      <c r="R22" s="32" t="n">
        <f aca="false">R21*(1-(1-(1-MIN(1,E21*(1-Assumptions!$B$21)))^(1/12)))*(1-H21)</f>
        <v>0.949124176396933</v>
      </c>
      <c r="S22" s="47" t="n">
        <f aca="false">R22*(IF(C22&lt;Assumptions!$B$5,Assumptions!$B$12*(1+Assumptions!$B$11)^(INT(A22/12)+1)/12+Pricing_M!$B$13*IF(A22=0,Assumptions!$B$14*12,IF(A22&gt;=12,Assumptions!$B$15,0))-Pricing_M!$B$13,Assumptions!$B$9/12*(1+Assumptions!$B$10)^INT(A22/12)+Assumptions!$B$12*(1+Assumptions!$B$11)^(INT(A22/12)+1)/12))*J22</f>
        <v>-869.524826381566</v>
      </c>
      <c r="T22" s="32" t="n">
        <f aca="false">T21*(1-F21)*(1-(1-(1-MIN(1,G21*(1+Assumptions!$B$23)))^(1/12)))</f>
        <v>0.925228682841353</v>
      </c>
      <c r="U22" s="47" t="n">
        <f aca="false">T22*(IF(C22&lt;Assumptions!$B$5,Assumptions!$B$12*(1+Assumptions!$B$11)^(INT(A22/12)+1)/12+Pricing_M!$B$13*IF(A22=0,Assumptions!$B$14*12,IF(A22&gt;=12,Assumptions!$B$15,0))-Pricing_M!$B$13,Assumptions!$B$9/12*(1+Assumptions!$B$10)^INT(A22/12)+Assumptions!$B$12*(1+Assumptions!$B$11)^(INT(A22/12)+1)/12))*J22</f>
        <v>-847.63335485242</v>
      </c>
      <c r="V22" s="32" t="n">
        <f aca="false">V21*(1-F21)*(1-(1-(1-MIN(1,G21*(1-Assumptions!$B$23)))^(1/12)))</f>
        <v>0.970596591591454</v>
      </c>
      <c r="W22" s="47" t="n">
        <f aca="false">V22*(IF(C22&lt;Assumptions!$B$5,Assumptions!$B$12*(1+Assumptions!$B$11)^(INT(A22/12)+1)/12+Pricing_M!$B$13*IF(A22=0,Assumptions!$B$14*12,IF(A22&gt;=12,Assumptions!$B$15,0))-Pricing_M!$B$13,Assumptions!$B$9/12*(1+Assumptions!$B$10)^INT(A22/12)+Assumptions!$B$12*(1+Assumptions!$B$11)^(INT(A22/12)+1)/12))*J22</f>
        <v>-889.196433699469</v>
      </c>
      <c r="X22" s="47" t="n">
        <f aca="false">I22*(IF(C22&lt;Assumptions!$B$5,Assumptions!$B$12*(1+Assumptions!$B$11)*(1+Assumptions!$B$24)*(1+Assumptions!$B$11+Assumptions!$B$25)^(INT(A22/12))/12+Pricing_M!$B$13*IF(A22=0,Assumptions!$B$14*12,IF(A22&gt;=12,Assumptions!$B$15,0))-Pricing_M!$B$13,Assumptions!$B$9/12*(1+Assumptions!$B$10)^INT(A22/12)+Assumptions!$B$12*(1+Assumptions!$B$11)*(1+Assumptions!$B$24)*(1+Assumptions!$B$11+Assumptions!$B$25)^(INT(A22/12))/12))*J22</f>
        <v>-867.662093642289</v>
      </c>
    </row>
    <row r="23" customFormat="false" ht="15" hidden="false" customHeight="true" outlineLevel="0" collapsed="false">
      <c r="A23" s="1" t="n">
        <v>16</v>
      </c>
      <c r="B23" s="31" t="n">
        <f aca="false">Assumptions!$B$4+A23/12</f>
        <v>66.3333333333333</v>
      </c>
      <c r="C23" s="34" t="n">
        <f aca="false">Assumptions!$B$4+INT(A23/12)</f>
        <v>66</v>
      </c>
      <c r="D23" s="34" t="n">
        <f aca="false">INT(A23/12)+1</f>
        <v>2</v>
      </c>
      <c r="E23" s="32" t="n">
        <f aca="false">IFERROR(INDEX(Cohort_Survival!$G$5:$G$65,MATCH(C23,Cohort_Survival!$A$5:$A$65,0)),1)</f>
        <v>0.00564060359024671</v>
      </c>
      <c r="F23" s="30" t="n">
        <f aca="false">1-(1-MIN(1,E23))^(1/12)</f>
        <v>0.000471269906615168</v>
      </c>
      <c r="G23" s="39" t="n">
        <f aca="false">IF(C23&lt;Assumptions!$B$5,IF(D23=1,Assumptions!$B$16,IF(D23=2,Assumptions!$B$17,IF(D23&lt;=5,Assumptions!$B$18,Assumptions!$B$19)))*(1-Assumptions!$B$20),0)</f>
        <v>0.0217</v>
      </c>
      <c r="H23" s="30" t="n">
        <f aca="false">1-(1-G23)^(1/12)</f>
        <v>0.00182657207629688</v>
      </c>
      <c r="I23" s="30" t="n">
        <f aca="false">I22*(1-F22)*(1-H22)</f>
        <v>0.9456907231774</v>
      </c>
      <c r="J23" s="30" t="n">
        <f aca="false">INDEX(Discount_Monthly!$G$4:$G$664,MATCH(A23,Discount_Monthly!$A$4:$A$664,0))</f>
        <v>0.96621723375264</v>
      </c>
      <c r="K23" s="30" t="n">
        <f aca="false">IF(C23&lt;Assumptions!$B$5,I23*J23,0)</f>
        <v>0.913742674534001</v>
      </c>
      <c r="L23" s="30" t="n">
        <f aca="false">IF(C23&lt;Assumptions!$B$5,I23*(1-F23)*H23*A23*J23,0)</f>
        <v>0.0266916847489217</v>
      </c>
      <c r="M23" s="30" t="n">
        <f aca="false">IF(A23=0,Assumptions!$B$14*12*I23*J23,IF(AND(A23&gt;=12,C23&lt;Assumptions!$B$5),Assumptions!$B$15*I23*J23,0))</f>
        <v>0.0456871337267</v>
      </c>
      <c r="N23" s="47" t="n">
        <f aca="false">IF(C23&gt;=Assumptions!$B$5,I23*Assumptions!$B$9/12*(1+Assumptions!$B$10)^INT(A23/12)*J23,0)</f>
        <v>0</v>
      </c>
      <c r="O23" s="47" t="n">
        <f aca="false">I23*Assumptions!$B$12/12*(1+Assumptions!$B$11)^(INT(A23/12)+1)*J23</f>
        <v>6.4000059828819</v>
      </c>
      <c r="P23" s="47" t="n">
        <f aca="false">O23+Pricing_M!$B$13*M23+N23-Pricing_M!$B$13*K23</f>
        <v>-864.488820157288</v>
      </c>
      <c r="Q23" s="47" t="n">
        <f aca="false">IF(C23&lt;Assumptions!$B$5,Pricing_M!$B$13*K23-Pricing_M!$B$13*M23-O23,-(N23+O23))</f>
        <v>864.488820157288</v>
      </c>
      <c r="R23" s="32" t="n">
        <f aca="false">R22*(1-(1-(1-MIN(1,E22*(1-Assumptions!$B$21)))^(1/12)))*(1-H22)</f>
        <v>0.947033536767234</v>
      </c>
      <c r="S23" s="47" t="n">
        <f aca="false">R23*(IF(C23&lt;Assumptions!$B$5,Assumptions!$B$12*(1+Assumptions!$B$11)^(INT(A23/12)+1)/12+Pricing_M!$B$13*IF(A23=0,Assumptions!$B$14*12,IF(A23&gt;=12,Assumptions!$B$15,0))-Pricing_M!$B$13,Assumptions!$B$9/12*(1+Assumptions!$B$10)^INT(A23/12)+Assumptions!$B$12*(1+Assumptions!$B$11)^(INT(A23/12)+1)/12))*J23</f>
        <v>-865.716332818157</v>
      </c>
      <c r="T23" s="32" t="n">
        <f aca="false">T22*(1-F22)*(1-(1-(1-MIN(1,G22*(1+Assumptions!$B$23)))^(1/12)))</f>
        <v>0.922245929444779</v>
      </c>
      <c r="U23" s="47" t="n">
        <f aca="false">T23*(IF(C23&lt;Assumptions!$B$5,Assumptions!$B$12*(1+Assumptions!$B$11)^(INT(A23/12)+1)/12+Pricing_M!$B$13*IF(A23=0,Assumptions!$B$14*12,IF(A23&gt;=12,Assumptions!$B$15,0))-Pricing_M!$B$13,Assumptions!$B$9/12*(1+Assumptions!$B$10)^INT(A23/12)+Assumptions!$B$12*(1+Assumptions!$B$11)^(INT(A23/12)+1)/12))*J23</f>
        <v>-843.057117830075</v>
      </c>
      <c r="V23" s="32" t="n">
        <f aca="false">V22*(1-F22)*(1-(1-(1-MIN(1,G22*(1-Assumptions!$B$23)))^(1/12)))</f>
        <v>0.969257618559137</v>
      </c>
      <c r="W23" s="47" t="n">
        <f aca="false">V23*(IF(C23&lt;Assumptions!$B$5,Assumptions!$B$12*(1+Assumptions!$B$11)^(INT(A23/12)+1)/12+Pricing_M!$B$13*IF(A23=0,Assumptions!$B$14*12,IF(A23&gt;=12,Assumptions!$B$15,0))-Pricing_M!$B$13,Assumptions!$B$9/12*(1+Assumptions!$B$10)^INT(A23/12)+Assumptions!$B$12*(1+Assumptions!$B$11)^(INT(A23/12)+1)/12))*J23</f>
        <v>-886.032139853685</v>
      </c>
      <c r="X23" s="47" t="n">
        <f aca="false">I23*(IF(C23&lt;Assumptions!$B$5,Assumptions!$B$12*(1+Assumptions!$B$11)*(1+Assumptions!$B$24)*(1+Assumptions!$B$11+Assumptions!$B$25)^(INT(A23/12))/12+Pricing_M!$B$13*IF(A23=0,Assumptions!$B$14*12,IF(A23&gt;=12,Assumptions!$B$15,0))-Pricing_M!$B$13,Assumptions!$B$9/12*(1+Assumptions!$B$10)^INT(A23/12)+Assumptions!$B$12*(1+Assumptions!$B$11)*(1+Assumptions!$B$24)*(1+Assumptions!$B$11+Assumptions!$B$25)^(INT(A23/12))/12))*J23</f>
        <v>-863.780136567964</v>
      </c>
    </row>
    <row r="24" customFormat="false" ht="15" hidden="false" customHeight="true" outlineLevel="0" collapsed="false">
      <c r="A24" s="1" t="n">
        <v>17</v>
      </c>
      <c r="B24" s="31" t="n">
        <f aca="false">Assumptions!$B$4+A24/12</f>
        <v>66.4166666666667</v>
      </c>
      <c r="C24" s="34" t="n">
        <f aca="false">Assumptions!$B$4+INT(A24/12)</f>
        <v>66</v>
      </c>
      <c r="D24" s="34" t="n">
        <f aca="false">INT(A24/12)+1</f>
        <v>2</v>
      </c>
      <c r="E24" s="32" t="n">
        <f aca="false">IFERROR(INDEX(Cohort_Survival!$G$5:$G$65,MATCH(C24,Cohort_Survival!$A$5:$A$65,0)),1)</f>
        <v>0.00564060359024671</v>
      </c>
      <c r="F24" s="30" t="n">
        <f aca="false">1-(1-MIN(1,E24))^(1/12)</f>
        <v>0.000471269906615168</v>
      </c>
      <c r="G24" s="39" t="n">
        <f aca="false">IF(C24&lt;Assumptions!$B$5,IF(D24=1,Assumptions!$B$16,IF(D24=2,Assumptions!$B$17,IF(D24&lt;=5,Assumptions!$B$18,Assumptions!$B$19)))*(1-Assumptions!$B$20),0)</f>
        <v>0.0217</v>
      </c>
      <c r="H24" s="30" t="n">
        <f aca="false">1-(1-G24)^(1/12)</f>
        <v>0.00182657207629688</v>
      </c>
      <c r="I24" s="30" t="n">
        <f aca="false">I23*(1-F23)*(1-H23)</f>
        <v>0.9435184893894</v>
      </c>
      <c r="J24" s="30" t="n">
        <f aca="false">INDEX(Discount_Monthly!$G$4:$G$664,MATCH(A24,Discount_Monthly!$A$4:$A$664,0))</f>
        <v>0.964108876733794</v>
      </c>
      <c r="K24" s="30" t="n">
        <f aca="false">IF(C24&lt;Assumptions!$B$5,I24*J24,0)</f>
        <v>0.90965455098278</v>
      </c>
      <c r="L24" s="30" t="n">
        <f aca="false">IF(C24&lt;Assumptions!$B$5,I24*(1-F24)*H24*A24*J24,0)</f>
        <v>0.0282330315807886</v>
      </c>
      <c r="M24" s="30" t="n">
        <f aca="false">IF(A24=0,Assumptions!$B$14*12*I24*J24,IF(AND(A24&gt;=12,C24&lt;Assumptions!$B$5),Assumptions!$B$15*I24*J24,0))</f>
        <v>0.045482727549139</v>
      </c>
      <c r="N24" s="47" t="n">
        <f aca="false">IF(C24&gt;=Assumptions!$B$5,I24*Assumptions!$B$9/12*(1+Assumptions!$B$10)^INT(A24/12)*J24,0)</f>
        <v>0</v>
      </c>
      <c r="O24" s="47" t="n">
        <f aca="false">I24*Assumptions!$B$12/12*(1+Assumptions!$B$11)^(INT(A24/12)+1)*J24</f>
        <v>6.37137208417522</v>
      </c>
      <c r="P24" s="47" t="n">
        <f aca="false">O24+Pricing_M!$B$13*M24+N24-Pricing_M!$B$13*K24</f>
        <v>-860.621060443368</v>
      </c>
      <c r="Q24" s="47" t="n">
        <f aca="false">IF(C24&lt;Assumptions!$B$5,Pricing_M!$B$13*K24-Pricing_M!$B$13*M24-O24,-(N24+O24))</f>
        <v>860.621060443368</v>
      </c>
      <c r="R24" s="32" t="n">
        <f aca="false">R23*(1-(1-(1-MIN(1,E23*(1-Assumptions!$B$21)))^(1/12)))*(1-H23)</f>
        <v>0.944947502197832</v>
      </c>
      <c r="S24" s="47" t="n">
        <f aca="false">R24*(IF(C24&lt;Assumptions!$B$5,Assumptions!$B$12*(1+Assumptions!$B$11)^(INT(A24/12)+1)/12+Pricing_M!$B$13*IF(A24=0,Assumptions!$B$14*12,IF(A24&gt;=12,Assumptions!$B$15,0))-Pricing_M!$B$13,Assumptions!$B$9/12*(1+Assumptions!$B$10)^INT(A24/12)+Assumptions!$B$12*(1+Assumptions!$B$11)^(INT(A24/12)+1)/12))*J24</f>
        <v>-861.924520346285</v>
      </c>
      <c r="T24" s="32" t="n">
        <f aca="false">T23*(1-F23)*(1-(1-(1-MIN(1,G23*(1+Assumptions!$B$23)))^(1/12)))</f>
        <v>0.919272791852373</v>
      </c>
      <c r="U24" s="47" t="n">
        <f aca="false">T24*(IF(C24&lt;Assumptions!$B$5,Assumptions!$B$12*(1+Assumptions!$B$11)^(INT(A24/12)+1)/12+Pricing_M!$B$13*IF(A24=0,Assumptions!$B$14*12,IF(A24&gt;=12,Assumptions!$B$15,0))-Pricing_M!$B$13,Assumptions!$B$9/12*(1+Assumptions!$B$10)^INT(A24/12)+Assumptions!$B$12*(1+Assumptions!$B$11)^(INT(A24/12)+1)/12))*J24</f>
        <v>-838.505587180084</v>
      </c>
      <c r="V24" s="32" t="n">
        <f aca="false">V23*(1-F23)*(1-(1-(1-MIN(1,G23*(1-Assumptions!$B$23)))^(1/12)))</f>
        <v>0.96792049268845</v>
      </c>
      <c r="W24" s="47" t="n">
        <f aca="false">V24*(IF(C24&lt;Assumptions!$B$5,Assumptions!$B$12*(1+Assumptions!$B$11)^(INT(A24/12)+1)/12+Pricing_M!$B$13*IF(A24=0,Assumptions!$B$14*12,IF(A24&gt;=12,Assumptions!$B$15,0))-Pricing_M!$B$13,Assumptions!$B$9/12*(1+Assumptions!$B$10)^INT(A24/12)+Assumptions!$B$12*(1+Assumptions!$B$11)^(INT(A24/12)+1)/12))*J24</f>
        <v>-882.879106461906</v>
      </c>
      <c r="X24" s="47" t="n">
        <f aca="false">I24*(IF(C24&lt;Assumptions!$B$5,Assumptions!$B$12*(1+Assumptions!$B$11)*(1+Assumptions!$B$24)*(1+Assumptions!$B$11+Assumptions!$B$25)^(INT(A24/12))/12+Pricing_M!$B$13*IF(A24=0,Assumptions!$B$14*12,IF(A24&gt;=12,Assumptions!$B$15,0))-Pricing_M!$B$13,Assumptions!$B$9/12*(1+Assumptions!$B$10)^INT(A24/12)+Assumptions!$B$12*(1+Assumptions!$B$11)*(1+Assumptions!$B$24)*(1+Assumptions!$B$11+Assumptions!$B$25)^(INT(A24/12))/12))*J24</f>
        <v>-859.915547534535</v>
      </c>
    </row>
    <row r="25" customFormat="false" ht="15" hidden="false" customHeight="true" outlineLevel="0" collapsed="false">
      <c r="A25" s="1" t="n">
        <v>18</v>
      </c>
      <c r="B25" s="31" t="n">
        <f aca="false">Assumptions!$B$4+A25/12</f>
        <v>66.5</v>
      </c>
      <c r="C25" s="34" t="n">
        <f aca="false">Assumptions!$B$4+INT(A25/12)</f>
        <v>66</v>
      </c>
      <c r="D25" s="34" t="n">
        <f aca="false">INT(A25/12)+1</f>
        <v>2</v>
      </c>
      <c r="E25" s="32" t="n">
        <f aca="false">IFERROR(INDEX(Cohort_Survival!$G$5:$G$65,MATCH(C25,Cohort_Survival!$A$5:$A$65,0)),1)</f>
        <v>0.00564060359024671</v>
      </c>
      <c r="F25" s="30" t="n">
        <f aca="false">1-(1-MIN(1,E25))^(1/12)</f>
        <v>0.000471269906615168</v>
      </c>
      <c r="G25" s="39" t="n">
        <f aca="false">IF(C25&lt;Assumptions!$B$5,IF(D25=1,Assumptions!$B$16,IF(D25=2,Assumptions!$B$17,IF(D25&lt;=5,Assumptions!$B$18,Assumptions!$B$19)))*(1-Assumptions!$B$20),0)</f>
        <v>0.0217</v>
      </c>
      <c r="H25" s="30" t="n">
        <f aca="false">1-(1-G25)^(1/12)</f>
        <v>0.00182657207629688</v>
      </c>
      <c r="I25" s="30" t="n">
        <f aca="false">I24*(1-F24)*(1-H24)</f>
        <v>0.941351245181517</v>
      </c>
      <c r="J25" s="30" t="n">
        <f aca="false">INDEX(Discount_Monthly!$G$4:$G$664,MATCH(A25,Discount_Monthly!$A$4:$A$664,0))</f>
        <v>0.962005120304922</v>
      </c>
      <c r="K25" s="30" t="n">
        <f aca="false">IF(C25&lt;Assumptions!$B$5,I25*J25,0)</f>
        <v>0.905584717870034</v>
      </c>
      <c r="L25" s="30" t="n">
        <f aca="false">IF(C25&lt;Assumptions!$B$5,I25*(1-F25)*H25*A25*J25,0)</f>
        <v>0.029760052021265</v>
      </c>
      <c r="M25" s="30" t="n">
        <f aca="false">IF(A25=0,Assumptions!$B$14*12*I25*J25,IF(AND(A25&gt;=12,C25&lt;Assumptions!$B$5),Assumptions!$B$15*I25*J25,0))</f>
        <v>0.0452792358935017</v>
      </c>
      <c r="N25" s="47" t="n">
        <f aca="false">IF(C25&gt;=Assumptions!$B$5,I25*Assumptions!$B$9/12*(1+Assumptions!$B$10)^INT(A25/12)*J25,0)</f>
        <v>0</v>
      </c>
      <c r="O25" s="47" t="n">
        <f aca="false">I25*Assumptions!$B$12/12*(1+Assumptions!$B$11)^(INT(A25/12)+1)*J25</f>
        <v>6.34286629474803</v>
      </c>
      <c r="P25" s="47" t="n">
        <f aca="false">O25+Pricing_M!$B$13*M25+N25-Pricing_M!$B$13*K25</f>
        <v>-856.770605250751</v>
      </c>
      <c r="Q25" s="47" t="n">
        <f aca="false">IF(C25&lt;Assumptions!$B$5,Pricing_M!$B$13*K25-Pricing_M!$B$13*M25-O25,-(N25+O25))</f>
        <v>856.770605250751</v>
      </c>
      <c r="R25" s="32" t="n">
        <f aca="false">R24*(1-(1-(1-MIN(1,E24*(1-Assumptions!$B$21)))^(1/12)))*(1-H24)</f>
        <v>0.942866062545142</v>
      </c>
      <c r="S25" s="47" t="n">
        <f aca="false">R25*(IF(C25&lt;Assumptions!$B$5,Assumptions!$B$12*(1+Assumptions!$B$11)^(INT(A25/12)+1)/12+Pricing_M!$B$13*IF(A25=0,Assumptions!$B$14*12,IF(A25&gt;=12,Assumptions!$B$15,0))-Pricing_M!$B$13,Assumptions!$B$9/12*(1+Assumptions!$B$10)^INT(A25/12)+Assumptions!$B$12*(1+Assumptions!$B$11)^(INT(A25/12)+1)/12))*J25</f>
        <v>-858.149315903252</v>
      </c>
      <c r="T25" s="32" t="n">
        <f aca="false">T24*(1-F24)*(1-(1-(1-MIN(1,G24*(1+Assumptions!$B$23)))^(1/12)))</f>
        <v>0.916309239064693</v>
      </c>
      <c r="U25" s="47" t="n">
        <f aca="false">T25*(IF(C25&lt;Assumptions!$B$5,Assumptions!$B$12*(1+Assumptions!$B$11)^(INT(A25/12)+1)/12+Pricing_M!$B$13*IF(A25=0,Assumptions!$B$14*12,IF(A25&gt;=12,Assumptions!$B$15,0))-Pricing_M!$B$13,Assumptions!$B$9/12*(1+Assumptions!$B$10)^INT(A25/12)+Assumptions!$B$12*(1+Assumptions!$B$11)^(INT(A25/12)+1)/12))*J25</f>
        <v>-833.978629516691</v>
      </c>
      <c r="V25" s="32" t="n">
        <f aca="false">V24*(1-F24)*(1-(1-(1-MIN(1,G24*(1-Assumptions!$B$23)))^(1/12)))</f>
        <v>0.966585211431165</v>
      </c>
      <c r="W25" s="47" t="n">
        <f aca="false">V25*(IF(C25&lt;Assumptions!$B$5,Assumptions!$B$12*(1+Assumptions!$B$11)^(INT(A25/12)+1)/12+Pricing_M!$B$13*IF(A25=0,Assumptions!$B$14*12,IF(A25&gt;=12,Assumptions!$B$15,0))-Pricing_M!$B$13,Assumptions!$B$9/12*(1+Assumptions!$B$10)^INT(A25/12)+Assumptions!$B$12*(1+Assumptions!$B$11)^(INT(A25/12)+1)/12))*J25</f>
        <v>-879.737293452686</v>
      </c>
      <c r="X25" s="47" t="n">
        <f aca="false">I25*(IF(C25&lt;Assumptions!$B$5,Assumptions!$B$12*(1+Assumptions!$B$11)*(1+Assumptions!$B$24)*(1+Assumptions!$B$11+Assumptions!$B$25)^(INT(A25/12))/12+Pricing_M!$B$13*IF(A25=0,Assumptions!$B$14*12,IF(A25&gt;=12,Assumptions!$B$15,0))-Pricing_M!$B$13,Assumptions!$B$9/12*(1+Assumptions!$B$10)^INT(A25/12)+Assumptions!$B$12*(1+Assumptions!$B$11)*(1+Assumptions!$B$24)*(1+Assumptions!$B$11+Assumptions!$B$25)^(INT(A25/12))/12))*J25</f>
        <v>-856.068248836649</v>
      </c>
    </row>
    <row r="26" customFormat="false" ht="15" hidden="false" customHeight="true" outlineLevel="0" collapsed="false">
      <c r="A26" s="1" t="n">
        <v>19</v>
      </c>
      <c r="B26" s="31" t="n">
        <f aca="false">Assumptions!$B$4+A26/12</f>
        <v>66.5833333333333</v>
      </c>
      <c r="C26" s="34" t="n">
        <f aca="false">Assumptions!$B$4+INT(A26/12)</f>
        <v>66</v>
      </c>
      <c r="D26" s="34" t="n">
        <f aca="false">INT(A26/12)+1</f>
        <v>2</v>
      </c>
      <c r="E26" s="32" t="n">
        <f aca="false">IFERROR(INDEX(Cohort_Survival!$G$5:$G$65,MATCH(C26,Cohort_Survival!$A$5:$A$65,0)),1)</f>
        <v>0.00564060359024671</v>
      </c>
      <c r="F26" s="30" t="n">
        <f aca="false">1-(1-MIN(1,E26))^(1/12)</f>
        <v>0.000471269906615168</v>
      </c>
      <c r="G26" s="39" t="n">
        <f aca="false">IF(C26&lt;Assumptions!$B$5,IF(D26=1,Assumptions!$B$16,IF(D26=2,Assumptions!$B$17,IF(D26&lt;=5,Assumptions!$B$18,Assumptions!$B$19)))*(1-Assumptions!$B$20),0)</f>
        <v>0.0217</v>
      </c>
      <c r="H26" s="30" t="n">
        <f aca="false">1-(1-G26)^(1/12)</f>
        <v>0.00182657207629688</v>
      </c>
      <c r="I26" s="30" t="n">
        <f aca="false">I25*(1-F25)*(1-H25)</f>
        <v>0.939188979092781</v>
      </c>
      <c r="J26" s="30" t="n">
        <f aca="false">INDEX(Discount_Monthly!$G$4:$G$664,MATCH(A26,Discount_Monthly!$A$4:$A$664,0))</f>
        <v>0.9599059544272</v>
      </c>
      <c r="K26" s="30" t="n">
        <f aca="false">IF(C26&lt;Assumptions!$B$5,I26*J26,0)</f>
        <v>0.901533093363563</v>
      </c>
      <c r="L26" s="30" t="n">
        <f aca="false">IF(C26&lt;Assumptions!$B$5,I26*(1-F26)*H26*A26*J26,0)</f>
        <v>0.0312728434108924</v>
      </c>
      <c r="M26" s="30" t="n">
        <f aca="false">IF(A26=0,Assumptions!$B$14*12*I26*J26,IF(AND(A26&gt;=12,C26&lt;Assumptions!$B$5),Assumptions!$B$15*I26*J26,0))</f>
        <v>0.0450766546681782</v>
      </c>
      <c r="N26" s="47" t="n">
        <f aca="false">IF(C26&gt;=Assumptions!$B$5,I26*Assumptions!$B$9/12*(1+Assumptions!$B$10)^INT(A26/12)*J26,0)</f>
        <v>0</v>
      </c>
      <c r="O26" s="47" t="n">
        <f aca="false">I26*Assumptions!$B$12/12*(1+Assumptions!$B$11)^(INT(A26/12)+1)*J26</f>
        <v>6.31448804143396</v>
      </c>
      <c r="P26" s="47" t="n">
        <f aca="false">O26+Pricing_M!$B$13*M26+N26-Pricing_M!$B$13*K26</f>
        <v>-852.937377158273</v>
      </c>
      <c r="Q26" s="47" t="n">
        <f aca="false">IF(C26&lt;Assumptions!$B$5,Pricing_M!$B$13*K26-Pricing_M!$B$13*M26-O26,-(N26+O26))</f>
        <v>852.937377158273</v>
      </c>
      <c r="R26" s="32" t="n">
        <f aca="false">R25*(1-(1-(1-MIN(1,E25*(1-Assumptions!$B$21)))^(1/12)))*(1-H25)</f>
        <v>0.940789207687922</v>
      </c>
      <c r="S26" s="47" t="n">
        <f aca="false">R26*(IF(C26&lt;Assumptions!$B$5,Assumptions!$B$12*(1+Assumptions!$B$11)^(INT(A26/12)+1)/12+Pricing_M!$B$13*IF(A26=0,Assumptions!$B$14*12,IF(A26&gt;=12,Assumptions!$B$15,0))-Pricing_M!$B$13,Assumptions!$B$9/12*(1+Assumptions!$B$10)^INT(A26/12)+Assumptions!$B$12*(1+Assumptions!$B$11)^(INT(A26/12)+1)/12))*J26</f>
        <v>-854.390646746373</v>
      </c>
      <c r="T26" s="32" t="n">
        <f aca="false">T25*(1-F25)*(1-(1-(1-MIN(1,G25*(1+Assumptions!$B$23)))^(1/12)))</f>
        <v>0.913355240182234</v>
      </c>
      <c r="U26" s="47" t="n">
        <f aca="false">T26*(IF(C26&lt;Assumptions!$B$5,Assumptions!$B$12*(1+Assumptions!$B$11)^(INT(A26/12)+1)/12+Pricing_M!$B$13*IF(A26=0,Assumptions!$B$14*12,IF(A26&gt;=12,Assumptions!$B$15,0))-Pricing_M!$B$13,Assumptions!$B$9/12*(1+Assumptions!$B$10)^INT(A26/12)+Assumptions!$B$12*(1+Assumptions!$B$11)^(INT(A26/12)+1)/12))*J26</f>
        <v>-829.476112174268</v>
      </c>
      <c r="V26" s="32" t="n">
        <f aca="false">V25*(1-F25)*(1-(1-(1-MIN(1,G25*(1-Assumptions!$B$23)))^(1/12)))</f>
        <v>0.965251772242572</v>
      </c>
      <c r="W26" s="47" t="n">
        <f aca="false">V26*(IF(C26&lt;Assumptions!$B$5,Assumptions!$B$12*(1+Assumptions!$B$11)^(INT(A26/12)+1)/12+Pricing_M!$B$13*IF(A26=0,Assumptions!$B$14*12,IF(A26&gt;=12,Assumptions!$B$15,0))-Pricing_M!$B$13,Assumptions!$B$9/12*(1+Assumptions!$B$10)^INT(A26/12)+Assumptions!$B$12*(1+Assumptions!$B$11)^(INT(A26/12)+1)/12))*J26</f>
        <v>-876.606660897181</v>
      </c>
      <c r="X26" s="47" t="n">
        <f aca="false">I26*(IF(C26&lt;Assumptions!$B$5,Assumptions!$B$12*(1+Assumptions!$B$11)*(1+Assumptions!$B$24)*(1+Assumptions!$B$11+Assumptions!$B$25)^(INT(A26/12))/12+Pricing_M!$B$13*IF(A26=0,Assumptions!$B$14*12,IF(A26&gt;=12,Assumptions!$B$15,0))-Pricing_M!$B$13,Assumptions!$B$9/12*(1+Assumptions!$B$10)^INT(A26/12)+Assumptions!$B$12*(1+Assumptions!$B$11)*(1+Assumptions!$B$24)*(1+Assumptions!$B$11+Assumptions!$B$25)^(INT(A26/12))/12))*J26</f>
        <v>-852.238163116612</v>
      </c>
    </row>
    <row r="27" customFormat="false" ht="15" hidden="false" customHeight="true" outlineLevel="0" collapsed="false">
      <c r="A27" s="1" t="n">
        <v>20</v>
      </c>
      <c r="B27" s="31" t="n">
        <f aca="false">Assumptions!$B$4+A27/12</f>
        <v>66.6666666666667</v>
      </c>
      <c r="C27" s="34" t="n">
        <f aca="false">Assumptions!$B$4+INT(A27/12)</f>
        <v>66</v>
      </c>
      <c r="D27" s="34" t="n">
        <f aca="false">INT(A27/12)+1</f>
        <v>2</v>
      </c>
      <c r="E27" s="32" t="n">
        <f aca="false">IFERROR(INDEX(Cohort_Survival!$G$5:$G$65,MATCH(C27,Cohort_Survival!$A$5:$A$65,0)),1)</f>
        <v>0.00564060359024671</v>
      </c>
      <c r="F27" s="30" t="n">
        <f aca="false">1-(1-MIN(1,E27))^(1/12)</f>
        <v>0.000471269906615168</v>
      </c>
      <c r="G27" s="39" t="n">
        <f aca="false">IF(C27&lt;Assumptions!$B$5,IF(D27=1,Assumptions!$B$16,IF(D27=2,Assumptions!$B$17,IF(D27&lt;=5,Assumptions!$B$18,Assumptions!$B$19)))*(1-Assumptions!$B$20),0)</f>
        <v>0.0217</v>
      </c>
      <c r="H27" s="30" t="n">
        <f aca="false">1-(1-G27)^(1/12)</f>
        <v>0.00182657207629688</v>
      </c>
      <c r="I27" s="30" t="n">
        <f aca="false">I26*(1-F26)*(1-H26)</f>
        <v>0.937031679688544</v>
      </c>
      <c r="J27" s="30" t="n">
        <f aca="false">INDEX(Discount_Monthly!$G$4:$G$664,MATCH(A27,Discount_Monthly!$A$4:$A$664,0))</f>
        <v>0.957811369083707</v>
      </c>
      <c r="K27" s="30" t="n">
        <f aca="false">IF(C27&lt;Assumptions!$B$5,I27*J27,0)</f>
        <v>0.89749959599729</v>
      </c>
      <c r="L27" s="30" t="n">
        <f aca="false">IF(C27&lt;Assumptions!$B$5,I27*(1-F27)*H27*A27*J27,0)</f>
        <v>0.0327715025059729</v>
      </c>
      <c r="M27" s="30" t="n">
        <f aca="false">IF(A27=0,Assumptions!$B$14*12*I27*J27,IF(AND(A27&gt;=12,C27&lt;Assumptions!$B$5),Assumptions!$B$15*I27*J27,0))</f>
        <v>0.0448749797998645</v>
      </c>
      <c r="N27" s="47" t="n">
        <f aca="false">IF(C27&gt;=Assumptions!$B$5,I27*Assumptions!$B$9/12*(1+Assumptions!$B$10)^INT(A27/12)*J27,0)</f>
        <v>0</v>
      </c>
      <c r="O27" s="47" t="n">
        <f aca="false">I27*Assumptions!$B$12/12*(1+Assumptions!$B$11)^(INT(A27/12)+1)*J27</f>
        <v>6.28623675363102</v>
      </c>
      <c r="P27" s="47" t="n">
        <f aca="false">O27+Pricing_M!$B$13*M27+N27-Pricing_M!$B$13*K27</f>
        <v>-849.121299091157</v>
      </c>
      <c r="Q27" s="47" t="n">
        <f aca="false">IF(C27&lt;Assumptions!$B$5,Pricing_M!$B$13*K27-Pricing_M!$B$13*M27-O27,-(N27+O27))</f>
        <v>849.121299091157</v>
      </c>
      <c r="R27" s="32" t="n">
        <f aca="false">R26*(1-(1-(1-MIN(1,E26*(1-Assumptions!$B$21)))^(1/12)))*(1-H26)</f>
        <v>0.938716927527225</v>
      </c>
      <c r="S27" s="47" t="n">
        <f aca="false">R27*(IF(C27&lt;Assumptions!$B$5,Assumptions!$B$12*(1+Assumptions!$B$11)^(INT(A27/12)+1)/12+Pricing_M!$B$13*IF(A27=0,Assumptions!$B$14*12,IF(A27&gt;=12,Assumptions!$B$15,0))-Pricing_M!$B$13,Assumptions!$B$9/12*(1+Assumptions!$B$10)^INT(A27/12)+Assumptions!$B$12*(1+Assumptions!$B$11)^(INT(A27/12)+1)/12))*J27</f>
        <v>-850.648440451572</v>
      </c>
      <c r="T27" s="32" t="n">
        <f aca="false">T26*(1-F26)*(1-(1-(1-MIN(1,G26*(1+Assumptions!$B$23)))^(1/12)))</f>
        <v>0.910410764405104</v>
      </c>
      <c r="U27" s="47" t="n">
        <f aca="false">T27*(IF(C27&lt;Assumptions!$B$5,Assumptions!$B$12*(1+Assumptions!$B$11)^(INT(A27/12)+1)/12+Pricing_M!$B$13*IF(A27=0,Assumptions!$B$14*12,IF(A27&gt;=12,Assumptions!$B$15,0))-Pricing_M!$B$13,Assumptions!$B$9/12*(1+Assumptions!$B$10)^INT(A27/12)+Assumptions!$B$12*(1+Assumptions!$B$11)^(INT(A27/12)+1)/12))*J27</f>
        <v>-824.997903203428</v>
      </c>
      <c r="V27" s="32" t="n">
        <f aca="false">V26*(1-F26)*(1-(1-(1-MIN(1,G26*(1-Assumptions!$B$23)))^(1/12)))</f>
        <v>0.963920172581472</v>
      </c>
      <c r="W27" s="47" t="n">
        <f aca="false">V27*(IF(C27&lt;Assumptions!$B$5,Assumptions!$B$12*(1+Assumptions!$B$11)^(INT(A27/12)+1)/12+Pricing_M!$B$13*IF(A27=0,Assumptions!$B$14*12,IF(A27&gt;=12,Assumptions!$B$15,0))-Pricing_M!$B$13,Assumptions!$B$9/12*(1+Assumptions!$B$10)^INT(A27/12)+Assumptions!$B$12*(1+Assumptions!$B$11)^(INT(A27/12)+1)/12))*J27</f>
        <v>-873.487169008634</v>
      </c>
      <c r="X27" s="47" t="n">
        <f aca="false">I27*(IF(C27&lt;Assumptions!$B$5,Assumptions!$B$12*(1+Assumptions!$B$11)*(1+Assumptions!$B$24)*(1+Assumptions!$B$11+Assumptions!$B$25)^(INT(A27/12))/12+Pricing_M!$B$13*IF(A27=0,Assumptions!$B$14*12,IF(A27&gt;=12,Assumptions!$B$15,0))-Pricing_M!$B$13,Assumptions!$B$9/12*(1+Assumptions!$B$10)^INT(A27/12)+Assumptions!$B$12*(1+Assumptions!$B$11)*(1+Assumptions!$B$24)*(1+Assumptions!$B$11+Assumptions!$B$25)^(INT(A27/12))/12))*J27</f>
        <v>-848.425213362828</v>
      </c>
    </row>
    <row r="28" customFormat="false" ht="15" hidden="false" customHeight="true" outlineLevel="0" collapsed="false">
      <c r="A28" s="1" t="n">
        <v>21</v>
      </c>
      <c r="B28" s="31" t="n">
        <f aca="false">Assumptions!$B$4+A28/12</f>
        <v>66.75</v>
      </c>
      <c r="C28" s="34" t="n">
        <f aca="false">Assumptions!$B$4+INT(A28/12)</f>
        <v>66</v>
      </c>
      <c r="D28" s="34" t="n">
        <f aca="false">INT(A28/12)+1</f>
        <v>2</v>
      </c>
      <c r="E28" s="32" t="n">
        <f aca="false">IFERROR(INDEX(Cohort_Survival!$G$5:$G$65,MATCH(C28,Cohort_Survival!$A$5:$A$65,0)),1)</f>
        <v>0.00564060359024671</v>
      </c>
      <c r="F28" s="30" t="n">
        <f aca="false">1-(1-MIN(1,E28))^(1/12)</f>
        <v>0.000471269906615168</v>
      </c>
      <c r="G28" s="39" t="n">
        <f aca="false">IF(C28&lt;Assumptions!$B$5,IF(D28=1,Assumptions!$B$16,IF(D28=2,Assumptions!$B$17,IF(D28&lt;=5,Assumptions!$B$18,Assumptions!$B$19)))*(1-Assumptions!$B$20),0)</f>
        <v>0.0217</v>
      </c>
      <c r="H28" s="30" t="n">
        <f aca="false">1-(1-G28)^(1/12)</f>
        <v>0.00182657207629688</v>
      </c>
      <c r="I28" s="30" t="n">
        <f aca="false">I27*(1-F27)*(1-H27)</f>
        <v>0.934879335560427</v>
      </c>
      <c r="J28" s="30" t="n">
        <f aca="false">INDEX(Discount_Monthly!$G$4:$G$664,MATCH(A28,Discount_Monthly!$A$4:$A$664,0))</f>
        <v>0.955721354279381</v>
      </c>
      <c r="K28" s="30" t="n">
        <f aca="false">IF(C28&lt;Assumptions!$B$5,I28*J28,0)</f>
        <v>0.893484144669618</v>
      </c>
      <c r="L28" s="30" t="n">
        <f aca="false">IF(C28&lt;Assumptions!$B$5,I28*(1-F28)*H28*A28*J28,0)</f>
        <v>0.0342561254818488</v>
      </c>
      <c r="M28" s="30" t="n">
        <f aca="false">IF(A28=0,Assumptions!$B$14*12*I28*J28,IF(AND(A28&gt;=12,C28&lt;Assumptions!$B$5),Assumptions!$B$15*I28*J28,0))</f>
        <v>0.0446742072334809</v>
      </c>
      <c r="N28" s="47" t="n">
        <f aca="false">IF(C28&gt;=Assumptions!$B$5,I28*Assumptions!$B$9/12*(1+Assumptions!$B$10)^INT(A28/12)*J28,0)</f>
        <v>0</v>
      </c>
      <c r="O28" s="47" t="n">
        <f aca="false">I28*Assumptions!$B$12/12*(1+Assumptions!$B$11)^(INT(A28/12)+1)*J28</f>
        <v>6.25811186329012</v>
      </c>
      <c r="P28" s="47" t="n">
        <f aca="false">O28+Pricing_M!$B$13*M28+N28-Pricing_M!$B$13*K28</f>
        <v>-845.32229431946</v>
      </c>
      <c r="Q28" s="47" t="n">
        <f aca="false">IF(C28&lt;Assumptions!$B$5,Pricing_M!$B$13*K28-Pricing_M!$B$13*M28-O28,-(N28+O28))</f>
        <v>845.32229431946</v>
      </c>
      <c r="R28" s="32" t="n">
        <f aca="false">R27*(1-(1-(1-MIN(1,E27*(1-Assumptions!$B$21)))^(1/12)))*(1-H27)</f>
        <v>0.936649211986349</v>
      </c>
      <c r="S28" s="47" t="n">
        <f aca="false">R28*(IF(C28&lt;Assumptions!$B$5,Assumptions!$B$12*(1+Assumptions!$B$11)^(INT(A28/12)+1)/12+Pricing_M!$B$13*IF(A28=0,Assumptions!$B$14*12,IF(A28&gt;=12,Assumptions!$B$15,0))-Pricing_M!$B$13,Assumptions!$B$9/12*(1+Assumptions!$B$10)^INT(A28/12)+Assumptions!$B$12*(1+Assumptions!$B$11)^(INT(A28/12)+1)/12))*J28</f>
        <v>-846.922624911992</v>
      </c>
      <c r="T28" s="32" t="n">
        <f aca="false">T27*(1-F27)*(1-(1-(1-MIN(1,G27*(1+Assumptions!$B$23)))^(1/12)))</f>
        <v>0.907475781032704</v>
      </c>
      <c r="U28" s="47" t="n">
        <f aca="false">T28*(IF(C28&lt;Assumptions!$B$5,Assumptions!$B$12*(1+Assumptions!$B$11)^(INT(A28/12)+1)/12+Pricing_M!$B$13*IF(A28=0,Assumptions!$B$14*12,IF(A28&gt;=12,Assumptions!$B$15,0))-Pricing_M!$B$13,Assumptions!$B$9/12*(1+Assumptions!$B$10)^INT(A28/12)+Assumptions!$B$12*(1+Assumptions!$B$11)^(INT(A28/12)+1)/12))*J28</f>
        <v>-820.543871367159</v>
      </c>
      <c r="V28" s="32" t="n">
        <f aca="false">V27*(1-F27)*(1-(1-(1-MIN(1,G27*(1-Assumptions!$B$23)))^(1/12)))</f>
        <v>0.962590409910168</v>
      </c>
      <c r="W28" s="47" t="n">
        <f aca="false">V28*(IF(C28&lt;Assumptions!$B$5,Assumptions!$B$12*(1+Assumptions!$B$11)^(INT(A28/12)+1)/12+Pricing_M!$B$13*IF(A28=0,Assumptions!$B$14*12,IF(A28&gt;=12,Assumptions!$B$15,0))-Pricing_M!$B$13,Assumptions!$B$9/12*(1+Assumptions!$B$10)^INT(A28/12)+Assumptions!$B$12*(1+Assumptions!$B$11)^(INT(A28/12)+1)/12))*J28</f>
        <v>-870.378778141877</v>
      </c>
      <c r="X28" s="47" t="n">
        <f aca="false">I28*(IF(C28&lt;Assumptions!$B$5,Assumptions!$B$12*(1+Assumptions!$B$11)*(1+Assumptions!$B$24)*(1+Assumptions!$B$11+Assumptions!$B$25)^(INT(A28/12))/12+Pricing_M!$B$13*IF(A28=0,Assumptions!$B$14*12,IF(A28&gt;=12,Assumptions!$B$15,0))-Pricing_M!$B$13,Assumptions!$B$9/12*(1+Assumptions!$B$10)^INT(A28/12)+Assumptions!$B$12*(1+Assumptions!$B$11)*(1+Assumptions!$B$24)*(1+Assumptions!$B$11+Assumptions!$B$25)^(INT(A28/12))/12))*J28</f>
        <v>-844.629322908257</v>
      </c>
    </row>
    <row r="29" customFormat="false" ht="15" hidden="false" customHeight="true" outlineLevel="0" collapsed="false">
      <c r="A29" s="1" t="n">
        <v>22</v>
      </c>
      <c r="B29" s="31" t="n">
        <f aca="false">Assumptions!$B$4+A29/12</f>
        <v>66.8333333333333</v>
      </c>
      <c r="C29" s="34" t="n">
        <f aca="false">Assumptions!$B$4+INT(A29/12)</f>
        <v>66</v>
      </c>
      <c r="D29" s="34" t="n">
        <f aca="false">INT(A29/12)+1</f>
        <v>2</v>
      </c>
      <c r="E29" s="32" t="n">
        <f aca="false">IFERROR(INDEX(Cohort_Survival!$G$5:$G$65,MATCH(C29,Cohort_Survival!$A$5:$A$65,0)),1)</f>
        <v>0.00564060359024671</v>
      </c>
      <c r="F29" s="30" t="n">
        <f aca="false">1-(1-MIN(1,E29))^(1/12)</f>
        <v>0.000471269906615168</v>
      </c>
      <c r="G29" s="39" t="n">
        <f aca="false">IF(C29&lt;Assumptions!$B$5,IF(D29=1,Assumptions!$B$16,IF(D29=2,Assumptions!$B$17,IF(D29&lt;=5,Assumptions!$B$18,Assumptions!$B$19)))*(1-Assumptions!$B$20),0)</f>
        <v>0.0217</v>
      </c>
      <c r="H29" s="30" t="n">
        <f aca="false">1-(1-G29)^(1/12)</f>
        <v>0.00182657207629688</v>
      </c>
      <c r="I29" s="30" t="n">
        <f aca="false">I28*(1-F28)*(1-H28)</f>
        <v>0.932731935326252</v>
      </c>
      <c r="J29" s="30" t="n">
        <f aca="false">INDEX(Discount_Monthly!$G$4:$G$664,MATCH(A29,Discount_Monthly!$A$4:$A$664,0))</f>
        <v>0.953635900040969</v>
      </c>
      <c r="K29" s="30" t="n">
        <f aca="false">IF(C29&lt;Assumptions!$B$5,I29*J29,0)</f>
        <v>0.889486658641805</v>
      </c>
      <c r="L29" s="30" t="n">
        <f aca="false">IF(C29&lt;Assumptions!$B$5,I29*(1-F29)*H29*A29*J29,0)</f>
        <v>0.0357268079361644</v>
      </c>
      <c r="M29" s="30" t="n">
        <f aca="false">IF(A29=0,Assumptions!$B$14*12*I29*J29,IF(AND(A29&gt;=12,C29&lt;Assumptions!$B$5),Assumptions!$B$15*I29*J29,0))</f>
        <v>0.0444743329320903</v>
      </c>
      <c r="N29" s="47" t="n">
        <f aca="false">IF(C29&gt;=Assumptions!$B$5,I29*Assumptions!$B$9/12*(1+Assumptions!$B$10)^INT(A29/12)*J29,0)</f>
        <v>0</v>
      </c>
      <c r="O29" s="47" t="n">
        <f aca="false">I29*Assumptions!$B$12/12*(1+Assumptions!$B$11)^(INT(A29/12)+1)*J29</f>
        <v>6.23011280490364</v>
      </c>
      <c r="P29" s="47" t="n">
        <f aca="false">O29+Pricing_M!$B$13*M29+N29-Pricing_M!$B$13*K29</f>
        <v>-841.540286456534</v>
      </c>
      <c r="Q29" s="47" t="n">
        <f aca="false">IF(C29&lt;Assumptions!$B$5,Pricing_M!$B$13*K29-Pricing_M!$B$13*M29-O29,-(N29+O29))</f>
        <v>841.540286456534</v>
      </c>
      <c r="R29" s="32" t="n">
        <f aca="false">R28*(1-(1-(1-MIN(1,E28*(1-Assumptions!$B$21)))^(1/12)))*(1-H28)</f>
        <v>0.934586051010787</v>
      </c>
      <c r="S29" s="47" t="n">
        <f aca="false">R29*(IF(C29&lt;Assumptions!$B$5,Assumptions!$B$12*(1+Assumptions!$B$11)^(INT(A29/12)+1)/12+Pricing_M!$B$13*IF(A29=0,Assumptions!$B$14*12,IF(A29&gt;=12,Assumptions!$B$15,0))-Pricing_M!$B$13,Assumptions!$B$9/12*(1+Assumptions!$B$10)^INT(A29/12)+Assumptions!$B$12*(1+Assumptions!$B$11)^(INT(A29/12)+1)/12))*J29</f>
        <v>-843.213128336597</v>
      </c>
      <c r="T29" s="32" t="n">
        <f aca="false">T28*(1-F28)*(1-(1-(1-MIN(1,G28*(1+Assumptions!$B$23)))^(1/12)))</f>
        <v>0.904550259463407</v>
      </c>
      <c r="U29" s="47" t="n">
        <f aca="false">T29*(IF(C29&lt;Assumptions!$B$5,Assumptions!$B$12*(1+Assumptions!$B$11)^(INT(A29/12)+1)/12+Pricing_M!$B$13*IF(A29=0,Assumptions!$B$14*12,IF(A29&gt;=12,Assumptions!$B$15,0))-Pricing_M!$B$13,Assumptions!$B$9/12*(1+Assumptions!$B$10)^INT(A29/12)+Assumptions!$B$12*(1+Assumptions!$B$11)^(INT(A29/12)+1)/12))*J29</f>
        <v>-816.113886136973</v>
      </c>
      <c r="V29" s="32" t="n">
        <f aca="false">V28*(1-F28)*(1-(1-(1-MIN(1,G28*(1-Assumptions!$B$23)))^(1/12)))</f>
        <v>0.961262481694469</v>
      </c>
      <c r="W29" s="47" t="n">
        <f aca="false">V29*(IF(C29&lt;Assumptions!$B$5,Assumptions!$B$12*(1+Assumptions!$B$11)^(INT(A29/12)+1)/12+Pricing_M!$B$13*IF(A29=0,Assumptions!$B$14*12,IF(A29&gt;=12,Assumptions!$B$15,0))-Pricing_M!$B$13,Assumptions!$B$9/12*(1+Assumptions!$B$10)^INT(A29/12)+Assumptions!$B$12*(1+Assumptions!$B$11)^(INT(A29/12)+1)/12))*J29</f>
        <v>-867.281448792818</v>
      </c>
      <c r="X29" s="47" t="n">
        <f aca="false">I29*(IF(C29&lt;Assumptions!$B$5,Assumptions!$B$12*(1+Assumptions!$B$11)*(1+Assumptions!$B$24)*(1+Assumptions!$B$11+Assumptions!$B$25)^(INT(A29/12))/12+Pricing_M!$B$13*IF(A29=0,Assumptions!$B$14*12,IF(A29&gt;=12,Assumptions!$B$15,0))-Pricing_M!$B$13,Assumptions!$B$9/12*(1+Assumptions!$B$10)^INT(A29/12)+Assumptions!$B$12*(1+Assumptions!$B$11)*(1+Assumptions!$B$24)*(1+Assumptions!$B$11+Assumptions!$B$25)^(INT(A29/12))/12))*J29</f>
        <v>-840.850415428869</v>
      </c>
    </row>
    <row r="30" customFormat="false" ht="15" hidden="false" customHeight="true" outlineLevel="0" collapsed="false">
      <c r="A30" s="1" t="n">
        <v>23</v>
      </c>
      <c r="B30" s="31" t="n">
        <f aca="false">Assumptions!$B$4+A30/12</f>
        <v>66.9166666666667</v>
      </c>
      <c r="C30" s="34" t="n">
        <f aca="false">Assumptions!$B$4+INT(A30/12)</f>
        <v>66</v>
      </c>
      <c r="D30" s="34" t="n">
        <f aca="false">INT(A30/12)+1</f>
        <v>2</v>
      </c>
      <c r="E30" s="32" t="n">
        <f aca="false">IFERROR(INDEX(Cohort_Survival!$G$5:$G$65,MATCH(C30,Cohort_Survival!$A$5:$A$65,0)),1)</f>
        <v>0.00564060359024671</v>
      </c>
      <c r="F30" s="30" t="n">
        <f aca="false">1-(1-MIN(1,E30))^(1/12)</f>
        <v>0.000471269906615168</v>
      </c>
      <c r="G30" s="39" t="n">
        <f aca="false">IF(C30&lt;Assumptions!$B$5,IF(D30=1,Assumptions!$B$16,IF(D30=2,Assumptions!$B$17,IF(D30&lt;=5,Assumptions!$B$18,Assumptions!$B$19)))*(1-Assumptions!$B$20),0)</f>
        <v>0.0217</v>
      </c>
      <c r="H30" s="30" t="n">
        <f aca="false">1-(1-G30)^(1/12)</f>
        <v>0.00182657207629688</v>
      </c>
      <c r="I30" s="30" t="n">
        <f aca="false">I29*(1-F29)*(1-H29)</f>
        <v>0.93058946762999</v>
      </c>
      <c r="J30" s="30" t="n">
        <f aca="false">INDEX(Discount_Monthly!$G$4:$G$664,MATCH(A30,Discount_Monthly!$A$4:$A$664,0))</f>
        <v>0.951554996416981</v>
      </c>
      <c r="K30" s="30" t="n">
        <f aca="false">IF(C30&lt;Assumptions!$B$5,I30*J30,0)</f>
        <v>0.885507057536336</v>
      </c>
      <c r="L30" s="30" t="n">
        <f aca="false">IF(C30&lt;Assumptions!$B$5,I30*(1-F30)*H30*A30*J30,0)</f>
        <v>0.0371836448921095</v>
      </c>
      <c r="M30" s="30" t="n">
        <f aca="false">IF(A30=0,Assumptions!$B$14*12*I30*J30,IF(AND(A30&gt;=12,C30&lt;Assumptions!$B$5),Assumptions!$B$15*I30*J30,0))</f>
        <v>0.0442753528768168</v>
      </c>
      <c r="N30" s="47" t="n">
        <f aca="false">IF(C30&gt;=Assumptions!$B$5,I30*Assumptions!$B$9/12*(1+Assumptions!$B$10)^INT(A30/12)*J30,0)</f>
        <v>0</v>
      </c>
      <c r="O30" s="47" t="n">
        <f aca="false">I30*Assumptions!$B$12/12*(1+Assumptions!$B$11)^(INT(A30/12)+1)*J30</f>
        <v>6.20223901549409</v>
      </c>
      <c r="P30" s="47" t="n">
        <f aca="false">O30+Pricing_M!$B$13*M30+N30-Pricing_M!$B$13*K30</f>
        <v>-837.775199457485</v>
      </c>
      <c r="Q30" s="47" t="n">
        <f aca="false">IF(C30&lt;Assumptions!$B$5,Pricing_M!$B$13*K30-Pricing_M!$B$13*M30-O30,-(N30+O30))</f>
        <v>837.775199457485</v>
      </c>
      <c r="R30" s="32" t="n">
        <f aca="false">R29*(1-(1-(1-MIN(1,E29*(1-Assumptions!$B$21)))^(1/12)))*(1-H29)</f>
        <v>0.93252743456818</v>
      </c>
      <c r="S30" s="47" t="n">
        <f aca="false">R30*(IF(C30&lt;Assumptions!$B$5,Assumptions!$B$12*(1+Assumptions!$B$11)^(INT(A30/12)+1)/12+Pricing_M!$B$13*IF(A30=0,Assumptions!$B$14*12,IF(A30&gt;=12,Assumptions!$B$15,0))-Pricing_M!$B$13,Assumptions!$B$9/12*(1+Assumptions!$B$10)^INT(A30/12)+Assumptions!$B$12*(1+Assumptions!$B$11)^(INT(A30/12)+1)/12))*J30</f>
        <v>-839.519879248799</v>
      </c>
      <c r="T30" s="32" t="n">
        <f aca="false">T29*(1-F29)*(1-(1-(1-MIN(1,G29*(1+Assumptions!$B$23)))^(1/12)))</f>
        <v>0.901634169194242</v>
      </c>
      <c r="U30" s="47" t="n">
        <f aca="false">T30*(IF(C30&lt;Assumptions!$B$5,Assumptions!$B$12*(1+Assumptions!$B$11)^(INT(A30/12)+1)/12+Pricing_M!$B$13*IF(A30=0,Assumptions!$B$14*12,IF(A30&gt;=12,Assumptions!$B$15,0))-Pricing_M!$B$13,Assumptions!$B$9/12*(1+Assumptions!$B$10)^INT(A30/12)+Assumptions!$B$12*(1+Assumptions!$B$11)^(INT(A30/12)+1)/12))*J30</f>
        <v>-811.707817689088</v>
      </c>
      <c r="V30" s="32" t="n">
        <f aca="false">V29*(1-F29)*(1-(1-(1-MIN(1,G29*(1-Assumptions!$B$23)))^(1/12)))</f>
        <v>0.959936385403675</v>
      </c>
      <c r="W30" s="47" t="n">
        <f aca="false">V30*(IF(C30&lt;Assumptions!$B$5,Assumptions!$B$12*(1+Assumptions!$B$11)^(INT(A30/12)+1)/12+Pricing_M!$B$13*IF(A30=0,Assumptions!$B$14*12,IF(A30&gt;=12,Assumptions!$B$15,0))-Pricing_M!$B$13,Assumptions!$B$9/12*(1+Assumptions!$B$10)^INT(A30/12)+Assumptions!$B$12*(1+Assumptions!$B$11)^(INT(A30/12)+1)/12))*J30</f>
        <v>-864.19514159795</v>
      </c>
      <c r="X30" s="47" t="n">
        <f aca="false">I30*(IF(C30&lt;Assumptions!$B$5,Assumptions!$B$12*(1+Assumptions!$B$11)*(1+Assumptions!$B$24)*(1+Assumptions!$B$11+Assumptions!$B$25)^(INT(A30/12))/12+Pricing_M!$B$13*IF(A30=0,Assumptions!$B$14*12,IF(A30&gt;=12,Assumptions!$B$15,0))-Pricing_M!$B$13,Assumptions!$B$9/12*(1+Assumptions!$B$10)^INT(A30/12)+Assumptions!$B$12*(1+Assumptions!$B$11)*(1+Assumptions!$B$24)*(1+Assumptions!$B$11+Assumptions!$B$25)^(INT(A30/12))/12))*J30</f>
        <v>-837.088414942111</v>
      </c>
    </row>
    <row r="31" customFormat="false" ht="15" hidden="false" customHeight="true" outlineLevel="0" collapsed="false">
      <c r="A31" s="1" t="n">
        <v>24</v>
      </c>
      <c r="B31" s="31" t="n">
        <f aca="false">Assumptions!$B$4+A31/12</f>
        <v>67</v>
      </c>
      <c r="C31" s="34" t="n">
        <f aca="false">Assumptions!$B$4+INT(A31/12)</f>
        <v>67</v>
      </c>
      <c r="D31" s="34" t="n">
        <f aca="false">INT(A31/12)+1</f>
        <v>3</v>
      </c>
      <c r="E31" s="32" t="n">
        <f aca="false">IFERROR(INDEX(Cohort_Survival!$G$5:$G$65,MATCH(C31,Cohort_Survival!$A$5:$A$65,0)),1)</f>
        <v>0.00616198432267925</v>
      </c>
      <c r="F31" s="30" t="n">
        <f aca="false">1-(1-MIN(1,E31))^(1/12)</f>
        <v>0.000514954673687673</v>
      </c>
      <c r="G31" s="39" t="n">
        <f aca="false">IF(C31&lt;Assumptions!$B$5,IF(D31=1,Assumptions!$B$16,IF(D31=2,Assumptions!$B$17,IF(D31&lt;=5,Assumptions!$B$18,Assumptions!$B$19)))*(1-Assumptions!$B$20),0)</f>
        <v>0.0133</v>
      </c>
      <c r="H31" s="30" t="n">
        <f aca="false">1-(1-G31)^(1/12)</f>
        <v>0.0011151475202863</v>
      </c>
      <c r="I31" s="30" t="n">
        <f aca="false">I30*(1-F30)*(1-H30)</f>
        <v>0.928451921141693</v>
      </c>
      <c r="J31" s="30" t="n">
        <f aca="false">INDEX(Discount_Monthly!$G$4:$G$664,MATCH(A31,Discount_Monthly!$A$4:$A$664,0))</f>
        <v>0.949478633477643</v>
      </c>
      <c r="K31" s="30" t="n">
        <f aca="false">IF(C31&lt;Assumptions!$B$5,I31*J31,0)</f>
        <v>0.881545261335307</v>
      </c>
      <c r="L31" s="30" t="n">
        <f aca="false">IF(C31&lt;Assumptions!$B$5,I31*(1-F31)*H31*A31*J31,0)</f>
        <v>0.0235811228269222</v>
      </c>
      <c r="M31" s="30" t="n">
        <f aca="false">IF(A31=0,Assumptions!$B$14*12*I31*J31,IF(AND(A31&gt;=12,C31&lt;Assumptions!$B$5),Assumptions!$B$15*I31*J31,0))</f>
        <v>0.0440772630667654</v>
      </c>
      <c r="N31" s="47" t="n">
        <f aca="false">IF(C31&gt;=Assumptions!$B$5,I31*Assumptions!$B$9/12*(1+Assumptions!$B$10)^INT(A31/12)*J31,0)</f>
        <v>0</v>
      </c>
      <c r="O31" s="47" t="n">
        <f aca="false">I31*Assumptions!$B$12/12*(1+Assumptions!$B$11)^(INT(A31/12)+1)*J31</f>
        <v>6.32885218296778</v>
      </c>
      <c r="P31" s="47" t="n">
        <f aca="false">O31+Pricing_M!$B$13*M31+N31-Pricing_M!$B$13*K31</f>
        <v>-833.872595369285</v>
      </c>
      <c r="Q31" s="47" t="n">
        <f aca="false">IF(C31&lt;Assumptions!$B$5,Pricing_M!$B$13*K31-Pricing_M!$B$13*M31-O31,-(N31+O31))</f>
        <v>833.872595369285</v>
      </c>
      <c r="R31" s="32" t="n">
        <f aca="false">R30*(1-(1-(1-MIN(1,E30*(1-Assumptions!$B$21)))^(1/12)))*(1-H30)</f>
        <v>0.930473352648267</v>
      </c>
      <c r="S31" s="47" t="n">
        <f aca="false">R31*(IF(C31&lt;Assumptions!$B$5,Assumptions!$B$12*(1+Assumptions!$B$11)^(INT(A31/12)+1)/12+Pricing_M!$B$13*IF(A31=0,Assumptions!$B$14*12,IF(A31&gt;=12,Assumptions!$B$15,0))-Pricing_M!$B$13,Assumptions!$B$9/12*(1+Assumptions!$B$10)^INT(A31/12)+Assumptions!$B$12*(1+Assumptions!$B$11)^(INT(A31/12)+1)/12))*J31</f>
        <v>-835.688108158224</v>
      </c>
      <c r="T31" s="32" t="n">
        <f aca="false">T30*(1-F30)*(1-(1-(1-MIN(1,G30*(1+Assumptions!$B$23)))^(1/12)))</f>
        <v>0.89872747982057</v>
      </c>
      <c r="U31" s="47" t="n">
        <f aca="false">T31*(IF(C31&lt;Assumptions!$B$5,Assumptions!$B$12*(1+Assumptions!$B$11)^(INT(A31/12)+1)/12+Pricing_M!$B$13*IF(A31=0,Assumptions!$B$14*12,IF(A31&gt;=12,Assumptions!$B$15,0))-Pricing_M!$B$13,Assumptions!$B$9/12*(1+Assumptions!$B$10)^INT(A31/12)+Assumptions!$B$12*(1+Assumptions!$B$11)^(INT(A31/12)+1)/12))*J31</f>
        <v>-807.176116568458</v>
      </c>
      <c r="V31" s="32" t="n">
        <f aca="false">V30*(1-F30)*(1-(1-(1-MIN(1,G30*(1-Assumptions!$B$23)))^(1/12)))</f>
        <v>0.95861211851058</v>
      </c>
      <c r="W31" s="47" t="n">
        <f aca="false">V31*(IF(C31&lt;Assumptions!$B$5,Assumptions!$B$12*(1+Assumptions!$B$11)^(INT(A31/12)+1)/12+Pricing_M!$B$13*IF(A31=0,Assumptions!$B$14*12,IF(A31&gt;=12,Assumptions!$B$15,0))-Pricing_M!$B$13,Assumptions!$B$9/12*(1+Assumptions!$B$10)^INT(A31/12)+Assumptions!$B$12*(1+Assumptions!$B$11)^(INT(A31/12)+1)/12))*J31</f>
        <v>-860.96044072149</v>
      </c>
      <c r="X31" s="47" t="n">
        <f aca="false">I31*(IF(C31&lt;Assumptions!$B$5,Assumptions!$B$12*(1+Assumptions!$B$11)*(1+Assumptions!$B$24)*(1+Assumptions!$B$11+Assumptions!$B$25)^(INT(A31/12))/12+Pricing_M!$B$13*IF(A31=0,Assumptions!$B$14*12,IF(A31&gt;=12,Assumptions!$B$15,0))-Pricing_M!$B$13,Assumptions!$B$9/12*(1+Assumptions!$B$10)^INT(A31/12)+Assumptions!$B$12*(1+Assumptions!$B$11)*(1+Assumptions!$B$24)*(1+Assumptions!$B$11+Assumptions!$B$25)^(INT(A31/12))/12))*J31</f>
        <v>-833.103208744239</v>
      </c>
    </row>
    <row r="32" customFormat="false" ht="15" hidden="false" customHeight="true" outlineLevel="0" collapsed="false">
      <c r="A32" s="1" t="n">
        <v>25</v>
      </c>
      <c r="B32" s="31" t="n">
        <f aca="false">Assumptions!$B$4+A32/12</f>
        <v>67.0833333333333</v>
      </c>
      <c r="C32" s="34" t="n">
        <f aca="false">Assumptions!$B$4+INT(A32/12)</f>
        <v>67</v>
      </c>
      <c r="D32" s="34" t="n">
        <f aca="false">INT(A32/12)+1</f>
        <v>3</v>
      </c>
      <c r="E32" s="32" t="n">
        <f aca="false">IFERROR(INDEX(Cohort_Survival!$G$5:$G$65,MATCH(C32,Cohort_Survival!$A$5:$A$65,0)),1)</f>
        <v>0.00616198432267925</v>
      </c>
      <c r="F32" s="30" t="n">
        <f aca="false">1-(1-MIN(1,E32))^(1/12)</f>
        <v>0.000514954673687673</v>
      </c>
      <c r="G32" s="39" t="n">
        <f aca="false">IF(C32&lt;Assumptions!$B$5,IF(D32=1,Assumptions!$B$16,IF(D32=2,Assumptions!$B$17,IF(D32&lt;=5,Assumptions!$B$18,Assumptions!$B$19)))*(1-Assumptions!$B$20),0)</f>
        <v>0.0133</v>
      </c>
      <c r="H32" s="30" t="n">
        <f aca="false">1-(1-G32)^(1/12)</f>
        <v>0.0011151475202863</v>
      </c>
      <c r="I32" s="30" t="n">
        <f aca="false">I31*(1-F31)*(1-H31)</f>
        <v>0.926938982791953</v>
      </c>
      <c r="J32" s="30" t="n">
        <f aca="false">INDEX(Discount_Monthly!$G$4:$G$664,MATCH(A32,Discount_Monthly!$A$4:$A$664,0))</f>
        <v>0.94743450007371</v>
      </c>
      <c r="K32" s="30" t="n">
        <f aca="false">IF(C32&lt;Assumptions!$B$5,I32*J32,0)</f>
        <v>0.878213971760327</v>
      </c>
      <c r="L32" s="30" t="n">
        <f aca="false">IF(C32&lt;Assumptions!$B$5,I32*(1-F32)*H32*A32*J32,0)</f>
        <v>0.0244708454535164</v>
      </c>
      <c r="M32" s="30" t="n">
        <f aca="false">IF(A32=0,Assumptions!$B$14*12*I32*J32,IF(AND(A32&gt;=12,C32&lt;Assumptions!$B$5),Assumptions!$B$15*I32*J32,0))</f>
        <v>0.0439106985880164</v>
      </c>
      <c r="N32" s="47" t="n">
        <f aca="false">IF(C32&gt;=Assumptions!$B$5,I32*Assumptions!$B$9/12*(1+Assumptions!$B$10)^INT(A32/12)*J32,0)</f>
        <v>0</v>
      </c>
      <c r="O32" s="47" t="n">
        <f aca="false">I32*Assumptions!$B$12/12*(1+Assumptions!$B$11)^(INT(A32/12)+1)*J32</f>
        <v>6.30493595288474</v>
      </c>
      <c r="P32" s="47" t="n">
        <f aca="false">O32+Pricing_M!$B$13*M32+N32-Pricing_M!$B$13*K32</f>
        <v>-830.721457015246</v>
      </c>
      <c r="Q32" s="47" t="n">
        <f aca="false">IF(C32&lt;Assumptions!$B$5,Pricing_M!$B$13*K32-Pricing_M!$B$13*M32-O32,-(N32+O32))</f>
        <v>830.721457015246</v>
      </c>
      <c r="R32" s="32" t="n">
        <f aca="false">R31*(1-(1-(1-MIN(1,E31*(1-Assumptions!$B$21)))^(1/12)))*(1-H31)</f>
        <v>0.929053060977948</v>
      </c>
      <c r="S32" s="47" t="n">
        <f aca="false">R32*(IF(C32&lt;Assumptions!$B$5,Assumptions!$B$12*(1+Assumptions!$B$11)^(INT(A32/12)+1)/12+Pricing_M!$B$13*IF(A32=0,Assumptions!$B$14*12,IF(A32&gt;=12,Assumptions!$B$15,0))-Pricing_M!$B$13,Assumptions!$B$9/12*(1+Assumptions!$B$10)^INT(A32/12)+Assumptions!$B$12*(1+Assumptions!$B$11)^(INT(A32/12)+1)/12))*J32</f>
        <v>-832.616091013294</v>
      </c>
      <c r="T32" s="32" t="n">
        <f aca="false">T31*(1-F31)*(1-(1-(1-MIN(1,G31*(1+Assumptions!$B$23)))^(1/12)))</f>
        <v>0.896757479308523</v>
      </c>
      <c r="U32" s="47" t="n">
        <f aca="false">T32*(IF(C32&lt;Assumptions!$B$5,Assumptions!$B$12*(1+Assumptions!$B$11)^(INT(A32/12)+1)/12+Pricing_M!$B$13*IF(A32=0,Assumptions!$B$14*12,IF(A32&gt;=12,Assumptions!$B$15,0))-Pricing_M!$B$13,Assumptions!$B$9/12*(1+Assumptions!$B$10)^INT(A32/12)+Assumptions!$B$12*(1+Assumptions!$B$11)^(INT(A32/12)+1)/12))*J32</f>
        <v>-803.672834598754</v>
      </c>
      <c r="V32" s="32" t="n">
        <f aca="false">V31*(1-F31)*(1-(1-(1-MIN(1,G31*(1-Assumptions!$B$23)))^(1/12)))</f>
        <v>0.957585894174612</v>
      </c>
      <c r="W32" s="47" t="n">
        <f aca="false">V32*(IF(C32&lt;Assumptions!$B$5,Assumptions!$B$12*(1+Assumptions!$B$11)^(INT(A32/12)+1)/12+Pricing_M!$B$13*IF(A32=0,Assumptions!$B$14*12,IF(A32&gt;=12,Assumptions!$B$15,0))-Pricing_M!$B$13,Assumptions!$B$9/12*(1+Assumptions!$B$10)^INT(A32/12)+Assumptions!$B$12*(1+Assumptions!$B$11)^(INT(A32/12)+1)/12))*J32</f>
        <v>-858.18717735871</v>
      </c>
      <c r="X32" s="47" t="n">
        <f aca="false">I32*(IF(C32&lt;Assumptions!$B$5,Assumptions!$B$12*(1+Assumptions!$B$11)*(1+Assumptions!$B$24)*(1+Assumptions!$B$11+Assumptions!$B$25)^(INT(A32/12))/12+Pricing_M!$B$13*IF(A32=0,Assumptions!$B$14*12,IF(A32&gt;=12,Assumptions!$B$15,0))-Pricing_M!$B$13,Assumptions!$B$9/12*(1+Assumptions!$B$10)^INT(A32/12)+Assumptions!$B$12*(1+Assumptions!$B$11)*(1+Assumptions!$B$24)*(1+Assumptions!$B$11+Assumptions!$B$25)^(INT(A32/12))/12))*J32</f>
        <v>-829.95497784119</v>
      </c>
    </row>
    <row r="33" customFormat="false" ht="15" hidden="false" customHeight="true" outlineLevel="0" collapsed="false">
      <c r="A33" s="1" t="n">
        <v>26</v>
      </c>
      <c r="B33" s="31" t="n">
        <f aca="false">Assumptions!$B$4+A33/12</f>
        <v>67.1666666666667</v>
      </c>
      <c r="C33" s="34" t="n">
        <f aca="false">Assumptions!$B$4+INT(A33/12)</f>
        <v>67</v>
      </c>
      <c r="D33" s="34" t="n">
        <f aca="false">INT(A33/12)+1</f>
        <v>3</v>
      </c>
      <c r="E33" s="32" t="n">
        <f aca="false">IFERROR(INDEX(Cohort_Survival!$G$5:$G$65,MATCH(C33,Cohort_Survival!$A$5:$A$65,0)),1)</f>
        <v>0.00616198432267925</v>
      </c>
      <c r="F33" s="30" t="n">
        <f aca="false">1-(1-MIN(1,E33))^(1/12)</f>
        <v>0.000514954673687673</v>
      </c>
      <c r="G33" s="39" t="n">
        <f aca="false">IF(C33&lt;Assumptions!$B$5,IF(D33=1,Assumptions!$B$16,IF(D33=2,Assumptions!$B$17,IF(D33&lt;=5,Assumptions!$B$18,Assumptions!$B$19)))*(1-Assumptions!$B$20),0)</f>
        <v>0.0133</v>
      </c>
      <c r="H33" s="30" t="n">
        <f aca="false">1-(1-G33)^(1/12)</f>
        <v>0.0011151475202863</v>
      </c>
      <c r="I33" s="30" t="n">
        <f aca="false">I32*(1-F32)*(1-H32)</f>
        <v>0.925428509817531</v>
      </c>
      <c r="J33" s="30" t="n">
        <f aca="false">INDEX(Discount_Monthly!$G$4:$G$664,MATCH(A33,Discount_Monthly!$A$4:$A$664,0))</f>
        <v>0.94539476748642</v>
      </c>
      <c r="K33" s="30" t="n">
        <f aca="false">IF(C33&lt;Assumptions!$B$5,I33*J33,0)</f>
        <v>0.874895270864249</v>
      </c>
      <c r="L33" s="30" t="n">
        <f aca="false">IF(C33&lt;Assumptions!$B$5,I33*(1-F33)*H33*A33*J33,0)</f>
        <v>0.025353506953612</v>
      </c>
      <c r="M33" s="30" t="n">
        <f aca="false">IF(A33=0,Assumptions!$B$14*12*I33*J33,IF(AND(A33&gt;=12,C33&lt;Assumptions!$B$5),Assumptions!$B$15*I33*J33,0))</f>
        <v>0.0437447635432124</v>
      </c>
      <c r="N33" s="47" t="n">
        <f aca="false">IF(C33&gt;=Assumptions!$B$5,I33*Assumptions!$B$9/12*(1+Assumptions!$B$10)^INT(A33/12)*J33,0)</f>
        <v>0</v>
      </c>
      <c r="O33" s="47" t="n">
        <f aca="false">I33*Assumptions!$B$12/12*(1+Assumptions!$B$11)^(INT(A33/12)+1)*J33</f>
        <v>6.28111010033696</v>
      </c>
      <c r="P33" s="47" t="n">
        <f aca="false">O33+Pricing_M!$B$13*M33+N33-Pricing_M!$B$13*K33</f>
        <v>-827.582226562943</v>
      </c>
      <c r="Q33" s="47" t="n">
        <f aca="false">IF(C33&lt;Assumptions!$B$5,Pricing_M!$B$13*K33-Pricing_M!$B$13*M33-O33,-(N33+O33))</f>
        <v>827.582226562943</v>
      </c>
      <c r="R33" s="32" t="n">
        <f aca="false">R32*(1-(1-(1-MIN(1,E32*(1-Assumptions!$B$21)))^(1/12)))*(1-H32)</f>
        <v>0.927634937267005</v>
      </c>
      <c r="S33" s="47" t="n">
        <f aca="false">R33*(IF(C33&lt;Assumptions!$B$5,Assumptions!$B$12*(1+Assumptions!$B$11)^(INT(A33/12)+1)/12+Pricing_M!$B$13*IF(A33=0,Assumptions!$B$14*12,IF(A33&gt;=12,Assumptions!$B$15,0))-Pricing_M!$B$13,Assumptions!$B$9/12*(1+Assumptions!$B$10)^INT(A33/12)+Assumptions!$B$12*(1+Assumptions!$B$11)^(INT(A33/12)+1)/12))*J33</f>
        <v>-829.555366705065</v>
      </c>
      <c r="T33" s="32" t="n">
        <f aca="false">T32*(1-F32)*(1-(1-(1-MIN(1,G32*(1+Assumptions!$B$23)))^(1/12)))</f>
        <v>0.894791797015407</v>
      </c>
      <c r="U33" s="47" t="n">
        <f aca="false">T33*(IF(C33&lt;Assumptions!$B$5,Assumptions!$B$12*(1+Assumptions!$B$11)^(INT(A33/12)+1)/12+Pricing_M!$B$13*IF(A33=0,Assumptions!$B$14*12,IF(A33&gt;=12,Assumptions!$B$15,0))-Pricing_M!$B$13,Assumptions!$B$9/12*(1+Assumptions!$B$10)^INT(A33/12)+Assumptions!$B$12*(1+Assumptions!$B$11)^(INT(A33/12)+1)/12))*J33</f>
        <v>-800.18475747011</v>
      </c>
      <c r="V33" s="32" t="n">
        <f aca="false">V32*(1-F32)*(1-(1-(1-MIN(1,G32*(1-Assumptions!$B$23)))^(1/12)))</f>
        <v>0.956560768443978</v>
      </c>
      <c r="W33" s="47" t="n">
        <f aca="false">V33*(IF(C33&lt;Assumptions!$B$5,Assumptions!$B$12*(1+Assumptions!$B$11)^(INT(A33/12)+1)/12+Pricing_M!$B$13*IF(A33=0,Assumptions!$B$14*12,IF(A33&gt;=12,Assumptions!$B$15,0))-Pricing_M!$B$13,Assumptions!$B$9/12*(1+Assumptions!$B$10)^INT(A33/12)+Assumptions!$B$12*(1+Assumptions!$B$11)^(INT(A33/12)+1)/12))*J33</f>
        <v>-855.422847030847</v>
      </c>
      <c r="X33" s="47" t="n">
        <f aca="false">I33*(IF(C33&lt;Assumptions!$B$5,Assumptions!$B$12*(1+Assumptions!$B$11)*(1+Assumptions!$B$24)*(1+Assumptions!$B$11+Assumptions!$B$25)^(INT(A33/12))/12+Pricing_M!$B$13*IF(A33=0,Assumptions!$B$14*12,IF(A33&gt;=12,Assumptions!$B$15,0))-Pricing_M!$B$13,Assumptions!$B$9/12*(1+Assumptions!$B$10)^INT(A33/12)+Assumptions!$B$12*(1+Assumptions!$B$11)*(1+Assumptions!$B$24)*(1+Assumptions!$B$11+Assumptions!$B$25)^(INT(A33/12))/12))*J33</f>
        <v>-826.818643852851</v>
      </c>
    </row>
    <row r="34" customFormat="false" ht="15" hidden="false" customHeight="true" outlineLevel="0" collapsed="false">
      <c r="A34" s="1" t="n">
        <v>27</v>
      </c>
      <c r="B34" s="31" t="n">
        <f aca="false">Assumptions!$B$4+A34/12</f>
        <v>67.25</v>
      </c>
      <c r="C34" s="34" t="n">
        <f aca="false">Assumptions!$B$4+INT(A34/12)</f>
        <v>67</v>
      </c>
      <c r="D34" s="34" t="n">
        <f aca="false">INT(A34/12)+1</f>
        <v>3</v>
      </c>
      <c r="E34" s="32" t="n">
        <f aca="false">IFERROR(INDEX(Cohort_Survival!$G$5:$G$65,MATCH(C34,Cohort_Survival!$A$5:$A$65,0)),1)</f>
        <v>0.00616198432267925</v>
      </c>
      <c r="F34" s="30" t="n">
        <f aca="false">1-(1-MIN(1,E34))^(1/12)</f>
        <v>0.000514954673687673</v>
      </c>
      <c r="G34" s="39" t="n">
        <f aca="false">IF(C34&lt;Assumptions!$B$5,IF(D34=1,Assumptions!$B$16,IF(D34=2,Assumptions!$B$17,IF(D34&lt;=5,Assumptions!$B$18,Assumptions!$B$19)))*(1-Assumptions!$B$20),0)</f>
        <v>0.0133</v>
      </c>
      <c r="H34" s="30" t="n">
        <f aca="false">1-(1-G34)^(1/12)</f>
        <v>0.0011151475202863</v>
      </c>
      <c r="I34" s="30" t="n">
        <f aca="false">I33*(1-F33)*(1-H33)</f>
        <v>0.923920498201029</v>
      </c>
      <c r="J34" s="30" t="n">
        <f aca="false">INDEX(Discount_Monthly!$G$4:$G$664,MATCH(A34,Discount_Monthly!$A$4:$A$664,0))</f>
        <v>0.943359426241251</v>
      </c>
      <c r="K34" s="30" t="n">
        <f aca="false">IF(C34&lt;Assumptions!$B$5,I34*J34,0)</f>
        <v>0.871589111075454</v>
      </c>
      <c r="L34" s="30" t="n">
        <f aca="false">IF(C34&lt;Assumptions!$B$5,I34*(1-F34)*H34*A34*J34,0)</f>
        <v>0.0262291479886285</v>
      </c>
      <c r="M34" s="30" t="n">
        <f aca="false">IF(A34=0,Assumptions!$B$14*12*I34*J34,IF(AND(A34&gt;=12,C34&lt;Assumptions!$B$5),Assumptions!$B$15*I34*J34,0))</f>
        <v>0.0435794555537727</v>
      </c>
      <c r="N34" s="47" t="n">
        <f aca="false">IF(C34&gt;=Assumptions!$B$5,I34*Assumptions!$B$9/12*(1+Assumptions!$B$10)^INT(A34/12)*J34,0)</f>
        <v>0</v>
      </c>
      <c r="O34" s="47" t="n">
        <f aca="false">I34*Assumptions!$B$12/12*(1+Assumptions!$B$11)^(INT(A34/12)+1)*J34</f>
        <v>6.25737428379493</v>
      </c>
      <c r="P34" s="47" t="n">
        <f aca="false">O34+Pricing_M!$B$13*M34+N34-Pricing_M!$B$13*K34</f>
        <v>-824.45485901336</v>
      </c>
      <c r="Q34" s="47" t="n">
        <f aca="false">IF(C34&lt;Assumptions!$B$5,Pricing_M!$B$13*K34-Pricing_M!$B$13*M34-O34,-(N34+O34))</f>
        <v>824.45485901336</v>
      </c>
      <c r="R34" s="32" t="n">
        <f aca="false">R33*(1-(1-(1-MIN(1,E33*(1-Assumptions!$B$21)))^(1/12)))*(1-H33)</f>
        <v>0.926218978206226</v>
      </c>
      <c r="S34" s="47" t="n">
        <f aca="false">R34*(IF(C34&lt;Assumptions!$B$5,Assumptions!$B$12*(1+Assumptions!$B$11)^(INT(A34/12)+1)/12+Pricing_M!$B$13*IF(A34=0,Assumptions!$B$14*12,IF(A34&gt;=12,Assumptions!$B$15,0))-Pricing_M!$B$13,Assumptions!$B$9/12*(1+Assumptions!$B$10)^INT(A34/12)+Assumptions!$B$12*(1+Assumptions!$B$11)^(INT(A34/12)+1)/12))*J34</f>
        <v>-826.505893720696</v>
      </c>
      <c r="T34" s="32" t="n">
        <f aca="false">T33*(1-F33)*(1-(1-(1-MIN(1,G33*(1+Assumptions!$B$23)))^(1/12)))</f>
        <v>0.892830423475735</v>
      </c>
      <c r="U34" s="47" t="n">
        <f aca="false">T34*(IF(C34&lt;Assumptions!$B$5,Assumptions!$B$12*(1+Assumptions!$B$11)^(INT(A34/12)+1)/12+Pricing_M!$B$13*IF(A34=0,Assumptions!$B$14*12,IF(A34&gt;=12,Assumptions!$B$15,0))-Pricing_M!$B$13,Assumptions!$B$9/12*(1+Assumptions!$B$10)^INT(A34/12)+Assumptions!$B$12*(1+Assumptions!$B$11)^(INT(A34/12)+1)/12))*J34</f>
        <v>-796.711819190923</v>
      </c>
      <c r="V34" s="32" t="n">
        <f aca="false">V33*(1-F33)*(1-(1-(1-MIN(1,G33*(1-Assumptions!$B$23)))^(1/12)))</f>
        <v>0.955536740142589</v>
      </c>
      <c r="W34" s="47" t="n">
        <f aca="false">V34*(IF(C34&lt;Assumptions!$B$5,Assumptions!$B$12*(1+Assumptions!$B$11)^(INT(A34/12)+1)/12+Pricing_M!$B$13*IF(A34=0,Assumptions!$B$14*12,IF(A34&gt;=12,Assumptions!$B$15,0))-Pricing_M!$B$13,Assumptions!$B$9/12*(1+Assumptions!$B$10)^INT(A34/12)+Assumptions!$B$12*(1+Assumptions!$B$11)^(INT(A34/12)+1)/12))*J34</f>
        <v>-852.667420963458</v>
      </c>
      <c r="X34" s="47" t="n">
        <f aca="false">I34*(IF(C34&lt;Assumptions!$B$5,Assumptions!$B$12*(1+Assumptions!$B$11)*(1+Assumptions!$B$24)*(1+Assumptions!$B$11+Assumptions!$B$25)^(INT(A34/12))/12+Pricing_M!$B$13*IF(A34=0,Assumptions!$B$14*12,IF(A34&gt;=12,Assumptions!$B$15,0))-Pricing_M!$B$13,Assumptions!$B$9/12*(1+Assumptions!$B$10)^INT(A34/12)+Assumptions!$B$12*(1+Assumptions!$B$11)*(1+Assumptions!$B$24)*(1+Assumptions!$B$11+Assumptions!$B$25)^(INT(A34/12))/12))*J34</f>
        <v>-823.694161821725</v>
      </c>
    </row>
    <row r="35" customFormat="false" ht="15" hidden="false" customHeight="true" outlineLevel="0" collapsed="false">
      <c r="A35" s="1" t="n">
        <v>28</v>
      </c>
      <c r="B35" s="31" t="n">
        <f aca="false">Assumptions!$B$4+A35/12</f>
        <v>67.3333333333333</v>
      </c>
      <c r="C35" s="34" t="n">
        <f aca="false">Assumptions!$B$4+INT(A35/12)</f>
        <v>67</v>
      </c>
      <c r="D35" s="34" t="n">
        <f aca="false">INT(A35/12)+1</f>
        <v>3</v>
      </c>
      <c r="E35" s="32" t="n">
        <f aca="false">IFERROR(INDEX(Cohort_Survival!$G$5:$G$65,MATCH(C35,Cohort_Survival!$A$5:$A$65,0)),1)</f>
        <v>0.00616198432267925</v>
      </c>
      <c r="F35" s="30" t="n">
        <f aca="false">1-(1-MIN(1,E35))^(1/12)</f>
        <v>0.000514954673687673</v>
      </c>
      <c r="G35" s="39" t="n">
        <f aca="false">IF(C35&lt;Assumptions!$B$5,IF(D35=1,Assumptions!$B$16,IF(D35=2,Assumptions!$B$17,IF(D35&lt;=5,Assumptions!$B$18,Assumptions!$B$19)))*(1-Assumptions!$B$20),0)</f>
        <v>0.0133</v>
      </c>
      <c r="H35" s="30" t="n">
        <f aca="false">1-(1-G35)^(1/12)</f>
        <v>0.0011151475202863</v>
      </c>
      <c r="I35" s="30" t="n">
        <f aca="false">I34*(1-F34)*(1-H34)</f>
        <v>0.922414943931595</v>
      </c>
      <c r="J35" s="30" t="n">
        <f aca="false">INDEX(Discount_Monthly!$G$4:$G$664,MATCH(A35,Discount_Monthly!$A$4:$A$664,0))</f>
        <v>0.94132846688408</v>
      </c>
      <c r="K35" s="30" t="n">
        <f aca="false">IF(C35&lt;Assumptions!$B$5,I35*J35,0)</f>
        <v>0.868295445002093</v>
      </c>
      <c r="L35" s="30" t="n">
        <f aca="false">IF(C35&lt;Assumptions!$B$5,I35*(1-F35)*H35*A35*J35,0)</f>
        <v>0.0270978090135074</v>
      </c>
      <c r="M35" s="30" t="n">
        <f aca="false">IF(A35=0,Assumptions!$B$14*12*I35*J35,IF(AND(A35&gt;=12,C35&lt;Assumptions!$B$5),Assumptions!$B$15*I35*J35,0))</f>
        <v>0.0434147722501047</v>
      </c>
      <c r="N35" s="47" t="n">
        <f aca="false">IF(C35&gt;=Assumptions!$B$5,I35*Assumptions!$B$9/12*(1+Assumptions!$B$10)^INT(A35/12)*J35,0)</f>
        <v>0</v>
      </c>
      <c r="O35" s="47" t="n">
        <f aca="false">I35*Assumptions!$B$12/12*(1+Assumptions!$B$11)^(INT(A35/12)+1)*J35</f>
        <v>6.23372816301971</v>
      </c>
      <c r="P35" s="47" t="n">
        <f aca="false">O35+Pricing_M!$B$13*M35+N35-Pricing_M!$B$13*K35</f>
        <v>-821.339309537531</v>
      </c>
      <c r="Q35" s="47" t="n">
        <f aca="false">IF(C35&lt;Assumptions!$B$5,Pricing_M!$B$13*K35-Pricing_M!$B$13*M35-O35,-(N35+O35))</f>
        <v>821.339309537531</v>
      </c>
      <c r="R35" s="32" t="n">
        <f aca="false">R34*(1-(1-(1-MIN(1,E34*(1-Assumptions!$B$21)))^(1/12)))*(1-H34)</f>
        <v>0.924805180491446</v>
      </c>
      <c r="S35" s="47" t="n">
        <f aca="false">R35*(IF(C35&lt;Assumptions!$B$5,Assumptions!$B$12*(1+Assumptions!$B$11)^(INT(A35/12)+1)/12+Pricing_M!$B$13*IF(A35=0,Assumptions!$B$14*12,IF(A35&gt;=12,Assumptions!$B$15,0))-Pricing_M!$B$13,Assumptions!$B$9/12*(1+Assumptions!$B$10)^INT(A35/12)+Assumptions!$B$12*(1+Assumptions!$B$11)^(INT(A35/12)+1)/12))*J35</f>
        <v>-823.467630699949</v>
      </c>
      <c r="T35" s="32" t="n">
        <f aca="false">T34*(1-F34)*(1-(1-(1-MIN(1,G34*(1+Assumptions!$B$23)))^(1/12)))</f>
        <v>0.890873349244768</v>
      </c>
      <c r="U35" s="47" t="n">
        <f aca="false">T35*(IF(C35&lt;Assumptions!$B$5,Assumptions!$B$12*(1+Assumptions!$B$11)^(INT(A35/12)+1)/12+Pricing_M!$B$13*IF(A35=0,Assumptions!$B$14*12,IF(A35&gt;=12,Assumptions!$B$15,0))-Pricing_M!$B$13,Assumptions!$B$9/12*(1+Assumptions!$B$10)^INT(A35/12)+Assumptions!$B$12*(1+Assumptions!$B$11)^(INT(A35/12)+1)/12))*J35</f>
        <v>-793.253954056004</v>
      </c>
      <c r="V35" s="32" t="n">
        <f aca="false">V34*(1-F34)*(1-(1-(1-MIN(1,G34*(1-Assumptions!$B$23)))^(1/12)))</f>
        <v>0.954513808095611</v>
      </c>
      <c r="W35" s="47" t="n">
        <f aca="false">V35*(IF(C35&lt;Assumptions!$B$5,Assumptions!$B$12*(1+Assumptions!$B$11)^(INT(A35/12)+1)/12+Pricing_M!$B$13*IF(A35=0,Assumptions!$B$14*12,IF(A35&gt;=12,Assumptions!$B$15,0))-Pricing_M!$B$13,Assumptions!$B$9/12*(1+Assumptions!$B$10)^INT(A35/12)+Assumptions!$B$12*(1+Assumptions!$B$11)^(INT(A35/12)+1)/12))*J35</f>
        <v>-849.920870474782</v>
      </c>
      <c r="X35" s="47" t="n">
        <f aca="false">I35*(IF(C35&lt;Assumptions!$B$5,Assumptions!$B$12*(1+Assumptions!$B$11)*(1+Assumptions!$B$24)*(1+Assumptions!$B$11+Assumptions!$B$25)^(INT(A35/12))/12+Pricing_M!$B$13*IF(A35=0,Assumptions!$B$14*12,IF(A35&gt;=12,Assumptions!$B$15,0))-Pricing_M!$B$13,Assumptions!$B$9/12*(1+Assumptions!$B$10)^INT(A35/12)+Assumptions!$B$12*(1+Assumptions!$B$11)*(1+Assumptions!$B$24)*(1+Assumptions!$B$11+Assumptions!$B$25)^(INT(A35/12))/12))*J35</f>
        <v>-820.581486960207</v>
      </c>
    </row>
    <row r="36" customFormat="false" ht="15" hidden="false" customHeight="true" outlineLevel="0" collapsed="false">
      <c r="A36" s="1" t="n">
        <v>29</v>
      </c>
      <c r="B36" s="31" t="n">
        <f aca="false">Assumptions!$B$4+A36/12</f>
        <v>67.4166666666667</v>
      </c>
      <c r="C36" s="34" t="n">
        <f aca="false">Assumptions!$B$4+INT(A36/12)</f>
        <v>67</v>
      </c>
      <c r="D36" s="34" t="n">
        <f aca="false">INT(A36/12)+1</f>
        <v>3</v>
      </c>
      <c r="E36" s="32" t="n">
        <f aca="false">IFERROR(INDEX(Cohort_Survival!$G$5:$G$65,MATCH(C36,Cohort_Survival!$A$5:$A$65,0)),1)</f>
        <v>0.00616198432267925</v>
      </c>
      <c r="F36" s="30" t="n">
        <f aca="false">1-(1-MIN(1,E36))^(1/12)</f>
        <v>0.000514954673687673</v>
      </c>
      <c r="G36" s="39" t="n">
        <f aca="false">IF(C36&lt;Assumptions!$B$5,IF(D36=1,Assumptions!$B$16,IF(D36=2,Assumptions!$B$17,IF(D36&lt;=5,Assumptions!$B$18,Assumptions!$B$19)))*(1-Assumptions!$B$20),0)</f>
        <v>0.0133</v>
      </c>
      <c r="H36" s="30" t="n">
        <f aca="false">1-(1-G36)^(1/12)</f>
        <v>0.0011151475202863</v>
      </c>
      <c r="I36" s="30" t="n">
        <f aca="false">I35*(1-F35)*(1-H35)</f>
        <v>0.920911843004913</v>
      </c>
      <c r="J36" s="30" t="n">
        <f aca="false">INDEX(Discount_Monthly!$G$4:$G$664,MATCH(A36,Discount_Monthly!$A$4:$A$664,0))</f>
        <v>0.939301879981136</v>
      </c>
      <c r="K36" s="30" t="n">
        <f aca="false">IF(C36&lt;Assumptions!$B$5,I36*J36,0)</f>
        <v>0.865014225431408</v>
      </c>
      <c r="L36" s="30" t="n">
        <f aca="false">IF(C36&lt;Assumptions!$B$5,I36*(1-F36)*H36*A36*J36,0)</f>
        <v>0.0279595302776922</v>
      </c>
      <c r="M36" s="30" t="n">
        <f aca="false">IF(A36=0,Assumptions!$B$14*12*I36*J36,IF(AND(A36&gt;=12,C36&lt;Assumptions!$B$5),Assumptions!$B$15*I36*J36,0))</f>
        <v>0.0432507112715704</v>
      </c>
      <c r="N36" s="47" t="n">
        <f aca="false">IF(C36&gt;=Assumptions!$B$5,I36*Assumptions!$B$9/12*(1+Assumptions!$B$10)^INT(A36/12)*J36,0)</f>
        <v>0</v>
      </c>
      <c r="O36" s="47" t="n">
        <f aca="false">I36*Assumptions!$B$12/12*(1+Assumptions!$B$11)^(INT(A36/12)+1)*J36</f>
        <v>6.21017139905813</v>
      </c>
      <c r="P36" s="47" t="n">
        <f aca="false">O36+Pricing_M!$B$13*M36+N36-Pricing_M!$B$13*K36</f>
        <v>-818.235533475892</v>
      </c>
      <c r="Q36" s="47" t="n">
        <f aca="false">IF(C36&lt;Assumptions!$B$5,Pricing_M!$B$13*K36-Pricing_M!$B$13*M36-O36,-(N36+O36))</f>
        <v>818.235533475892</v>
      </c>
      <c r="R36" s="32" t="n">
        <f aca="false">R35*(1-(1-(1-MIN(1,E35*(1-Assumptions!$B$21)))^(1/12)))*(1-H35)</f>
        <v>0.923393540823549</v>
      </c>
      <c r="S36" s="47" t="n">
        <f aca="false">R36*(IF(C36&lt;Assumptions!$B$5,Assumptions!$B$12*(1+Assumptions!$B$11)^(INT(A36/12)+1)/12+Pricing_M!$B$13*IF(A36=0,Assumptions!$B$14*12,IF(A36&gt;=12,Assumptions!$B$15,0))-Pricing_M!$B$13,Assumptions!$B$9/12*(1+Assumptions!$B$10)^INT(A36/12)+Assumptions!$B$12*(1+Assumptions!$B$11)^(INT(A36/12)+1)/12))*J36</f>
        <v>-820.440536434625</v>
      </c>
      <c r="T36" s="32" t="n">
        <f aca="false">T35*(1-F35)*(1-(1-(1-MIN(1,G35*(1+Assumptions!$B$23)))^(1/12)))</f>
        <v>0.888920564898469</v>
      </c>
      <c r="U36" s="47" t="n">
        <f aca="false">T36*(IF(C36&lt;Assumptions!$B$5,Assumptions!$B$12*(1+Assumptions!$B$11)^(INT(A36/12)+1)/12+Pricing_M!$B$13*IF(A36=0,Assumptions!$B$14*12,IF(A36&gt;=12,Assumptions!$B$15,0))-Pricing_M!$B$13,Assumptions!$B$9/12*(1+Assumptions!$B$10)^INT(A36/12)+Assumptions!$B$12*(1+Assumptions!$B$11)^(INT(A36/12)+1)/12))*J36</f>
        <v>-789.811096645339</v>
      </c>
      <c r="V36" s="32" t="n">
        <f aca="false">V35*(1-F35)*(1-(1-(1-MIN(1,G35*(1-Assumptions!$B$23)))^(1/12)))</f>
        <v>0.953491971129469</v>
      </c>
      <c r="W36" s="47" t="n">
        <f aca="false">V36*(IF(C36&lt;Assumptions!$B$5,Assumptions!$B$12*(1+Assumptions!$B$11)^(INT(A36/12)+1)/12+Pricing_M!$B$13*IF(A36=0,Assumptions!$B$14*12,IF(A36&gt;=12,Assumptions!$B$15,0))-Pricing_M!$B$13,Assumptions!$B$9/12*(1+Assumptions!$B$10)^INT(A36/12)+Assumptions!$B$12*(1+Assumptions!$B$11)^(INT(A36/12)+1)/12))*J36</f>
        <v>-847.18316697545</v>
      </c>
      <c r="X36" s="47" t="n">
        <f aca="false">I36*(IF(C36&lt;Assumptions!$B$5,Assumptions!$B$12*(1+Assumptions!$B$11)*(1+Assumptions!$B$24)*(1+Assumptions!$B$11+Assumptions!$B$25)^(INT(A36/12))/12+Pricing_M!$B$13*IF(A36=0,Assumptions!$B$14*12,IF(A36&gt;=12,Assumptions!$B$15,0))-Pricing_M!$B$13,Assumptions!$B$9/12*(1+Assumptions!$B$10)^INT(A36/12)+Assumptions!$B$12*(1+Assumptions!$B$11)*(1+Assumptions!$B$24)*(1+Assumptions!$B$11+Assumptions!$B$25)^(INT(A36/12))/12))*J36</f>
        <v>-817.48057464994</v>
      </c>
    </row>
    <row r="37" customFormat="false" ht="15" hidden="false" customHeight="true" outlineLevel="0" collapsed="false">
      <c r="A37" s="1" t="n">
        <v>30</v>
      </c>
      <c r="B37" s="31" t="n">
        <f aca="false">Assumptions!$B$4+A37/12</f>
        <v>67.5</v>
      </c>
      <c r="C37" s="34" t="n">
        <f aca="false">Assumptions!$B$4+INT(A37/12)</f>
        <v>67</v>
      </c>
      <c r="D37" s="34" t="n">
        <f aca="false">INT(A37/12)+1</f>
        <v>3</v>
      </c>
      <c r="E37" s="32" t="n">
        <f aca="false">IFERROR(INDEX(Cohort_Survival!$G$5:$G$65,MATCH(C37,Cohort_Survival!$A$5:$A$65,0)),1)</f>
        <v>0.00616198432267925</v>
      </c>
      <c r="F37" s="30" t="n">
        <f aca="false">1-(1-MIN(1,E37))^(1/12)</f>
        <v>0.000514954673687673</v>
      </c>
      <c r="G37" s="39" t="n">
        <f aca="false">IF(C37&lt;Assumptions!$B$5,IF(D37=1,Assumptions!$B$16,IF(D37=2,Assumptions!$B$17,IF(D37&lt;=5,Assumptions!$B$18,Assumptions!$B$19)))*(1-Assumptions!$B$20),0)</f>
        <v>0.0133</v>
      </c>
      <c r="H37" s="30" t="n">
        <f aca="false">1-(1-G37)^(1/12)</f>
        <v>0.0011151475202863</v>
      </c>
      <c r="I37" s="30" t="n">
        <f aca="false">I36*(1-F36)*(1-H36)</f>
        <v>0.919411191423194</v>
      </c>
      <c r="J37" s="30" t="n">
        <f aca="false">INDEX(Discount_Monthly!$G$4:$G$664,MATCH(A37,Discount_Monthly!$A$4:$A$664,0))</f>
        <v>0.937279656118957</v>
      </c>
      <c r="K37" s="30" t="n">
        <f aca="false">IF(C37&lt;Assumptions!$B$5,I37*J37,0)</f>
        <v>0.861745405329052</v>
      </c>
      <c r="L37" s="30" t="n">
        <f aca="false">IF(C37&lt;Assumptions!$B$5,I37*(1-F37)*H37*A37*J37,0)</f>
        <v>0.0288143518261039</v>
      </c>
      <c r="M37" s="30" t="n">
        <f aca="false">IF(A37=0,Assumptions!$B$14*12*I37*J37,IF(AND(A37&gt;=12,C37&lt;Assumptions!$B$5),Assumptions!$B$15*I37*J37,0))</f>
        <v>0.0430872702664526</v>
      </c>
      <c r="N37" s="47" t="n">
        <f aca="false">IF(C37&gt;=Assumptions!$B$5,I37*Assumptions!$B$9/12*(1+Assumptions!$B$10)^INT(A37/12)*J37,0)</f>
        <v>0</v>
      </c>
      <c r="O37" s="47" t="n">
        <f aca="false">I37*Assumptions!$B$12/12*(1+Assumptions!$B$11)^(INT(A37/12)+1)*J37</f>
        <v>6.18670365423787</v>
      </c>
      <c r="P37" s="47" t="n">
        <f aca="false">O37+Pricing_M!$B$13*M37+N37-Pricing_M!$B$13*K37</f>
        <v>-815.143486337646</v>
      </c>
      <c r="Q37" s="47" t="n">
        <f aca="false">IF(C37&lt;Assumptions!$B$5,Pricing_M!$B$13*K37-Pricing_M!$B$13*M37-O37,-(N37+O37))</f>
        <v>815.143486337646</v>
      </c>
      <c r="R37" s="32" t="n">
        <f aca="false">R36*(1-(1-(1-MIN(1,E36*(1-Assumptions!$B$21)))^(1/12)))*(1-H36)</f>
        <v>0.921984055908452</v>
      </c>
      <c r="S37" s="47" t="n">
        <f aca="false">R37*(IF(C37&lt;Assumptions!$B$5,Assumptions!$B$12*(1+Assumptions!$B$11)^(INT(A37/12)+1)/12+Pricing_M!$B$13*IF(A37=0,Assumptions!$B$14*12,IF(A37&gt;=12,Assumptions!$B$15,0))-Pricing_M!$B$13,Assumptions!$B$9/12*(1+Assumptions!$B$10)^INT(A37/12)+Assumptions!$B$12*(1+Assumptions!$B$11)^(INT(A37/12)+1)/12))*J37</f>
        <v>-817.42456986801</v>
      </c>
      <c r="T37" s="32" t="n">
        <f aca="false">T36*(1-F36)*(1-(1-(1-MIN(1,G36*(1+Assumptions!$B$23)))^(1/12)))</f>
        <v>0.886972061033461</v>
      </c>
      <c r="U37" s="47" t="n">
        <f aca="false">T37*(IF(C37&lt;Assumptions!$B$5,Assumptions!$B$12*(1+Assumptions!$B$11)^(INT(A37/12)+1)/12+Pricing_M!$B$13*IF(A37=0,Assumptions!$B$14*12,IF(A37&gt;=12,Assumptions!$B$15,0))-Pricing_M!$B$13,Assumptions!$B$9/12*(1+Assumptions!$B$10)^INT(A37/12)+Assumptions!$B$12*(1+Assumptions!$B$11)^(INT(A37/12)+1)/12))*J37</f>
        <v>-786.383181822843</v>
      </c>
      <c r="V37" s="32" t="n">
        <f aca="false">V36*(1-F36)*(1-(1-(1-MIN(1,G36*(1-Assumptions!$B$23)))^(1/12)))</f>
        <v>0.952471228071846</v>
      </c>
      <c r="W37" s="47" t="n">
        <f aca="false">V37*(IF(C37&lt;Assumptions!$B$5,Assumptions!$B$12*(1+Assumptions!$B$11)^(INT(A37/12)+1)/12+Pricing_M!$B$13*IF(A37=0,Assumptions!$B$14*12,IF(A37&gt;=12,Assumptions!$B$15,0))-Pricing_M!$B$13,Assumptions!$B$9/12*(1+Assumptions!$B$10)^INT(A37/12)+Assumptions!$B$12*(1+Assumptions!$B$11)^(INT(A37/12)+1)/12))*J37</f>
        <v>-844.454281968181</v>
      </c>
      <c r="X37" s="47" t="n">
        <f aca="false">I37*(IF(C37&lt;Assumptions!$B$5,Assumptions!$B$12*(1+Assumptions!$B$11)*(1+Assumptions!$B$24)*(1+Assumptions!$B$11+Assumptions!$B$25)^(INT(A37/12))/12+Pricing_M!$B$13*IF(A37=0,Assumptions!$B$14*12,IF(A37&gt;=12,Assumptions!$B$15,0))-Pricing_M!$B$13,Assumptions!$B$9/12*(1+Assumptions!$B$10)^INT(A37/12)+Assumptions!$B$12*(1+Assumptions!$B$11)*(1+Assumptions!$B$24)*(1+Assumptions!$B$11+Assumptions!$B$25)^(INT(A37/12))/12))*J37</f>
        <v>-814.391380441176</v>
      </c>
    </row>
    <row r="38" customFormat="false" ht="15" hidden="false" customHeight="true" outlineLevel="0" collapsed="false">
      <c r="A38" s="1" t="n">
        <v>31</v>
      </c>
      <c r="B38" s="31" t="n">
        <f aca="false">Assumptions!$B$4+A38/12</f>
        <v>67.5833333333333</v>
      </c>
      <c r="C38" s="34" t="n">
        <f aca="false">Assumptions!$B$4+INT(A38/12)</f>
        <v>67</v>
      </c>
      <c r="D38" s="34" t="n">
        <f aca="false">INT(A38/12)+1</f>
        <v>3</v>
      </c>
      <c r="E38" s="32" t="n">
        <f aca="false">IFERROR(INDEX(Cohort_Survival!$G$5:$G$65,MATCH(C38,Cohort_Survival!$A$5:$A$65,0)),1)</f>
        <v>0.00616198432267925</v>
      </c>
      <c r="F38" s="30" t="n">
        <f aca="false">1-(1-MIN(1,E38))^(1/12)</f>
        <v>0.000514954673687673</v>
      </c>
      <c r="G38" s="39" t="n">
        <f aca="false">IF(C38&lt;Assumptions!$B$5,IF(D38=1,Assumptions!$B$16,IF(D38=2,Assumptions!$B$17,IF(D38&lt;=5,Assumptions!$B$18,Assumptions!$B$19)))*(1-Assumptions!$B$20),0)</f>
        <v>0.0133</v>
      </c>
      <c r="H38" s="30" t="n">
        <f aca="false">1-(1-G38)^(1/12)</f>
        <v>0.0011151475202863</v>
      </c>
      <c r="I38" s="30" t="n">
        <f aca="false">I37*(1-F37)*(1-H37)</f>
        <v>0.91791298519516</v>
      </c>
      <c r="J38" s="30" t="n">
        <f aca="false">INDEX(Discount_Monthly!$G$4:$G$664,MATCH(A38,Discount_Monthly!$A$4:$A$664,0))</f>
        <v>0.93526178590435</v>
      </c>
      <c r="K38" s="30" t="n">
        <f aca="false">IF(C38&lt;Assumptions!$B$5,I38*J38,0)</f>
        <v>0.858488937838419</v>
      </c>
      <c r="L38" s="30" t="n">
        <f aca="false">IF(C38&lt;Assumptions!$B$5,I38*(1-F38)*H38*A38*J38,0)</f>
        <v>0.0296623135001114</v>
      </c>
      <c r="M38" s="30" t="n">
        <f aca="false">IF(A38=0,Assumptions!$B$14*12*I38*J38,IF(AND(A38&gt;=12,C38&lt;Assumptions!$B$5),Assumptions!$B$15*I38*J38,0))</f>
        <v>0.042924446891921</v>
      </c>
      <c r="N38" s="47" t="n">
        <f aca="false">IF(C38&gt;=Assumptions!$B$5,I38*Assumptions!$B$9/12*(1+Assumptions!$B$10)^INT(A38/12)*J38,0)</f>
        <v>0</v>
      </c>
      <c r="O38" s="47" t="n">
        <f aca="false">I38*Assumptions!$B$12/12*(1+Assumptions!$B$11)^(INT(A38/12)+1)*J38</f>
        <v>6.16332459216267</v>
      </c>
      <c r="P38" s="47" t="n">
        <f aca="false">O38+Pricing_M!$B$13*M38+N38-Pricing_M!$B$13*K38</f>
        <v>-812.063123800121</v>
      </c>
      <c r="Q38" s="47" t="n">
        <f aca="false">IF(C38&lt;Assumptions!$B$5,Pricing_M!$B$13*K38-Pricing_M!$B$13*M38-O38,-(N38+O38))</f>
        <v>812.063123800121</v>
      </c>
      <c r="R38" s="32" t="n">
        <f aca="false">R37*(1-(1-(1-MIN(1,E37*(1-Assumptions!$B$21)))^(1/12)))*(1-H37)</f>
        <v>0.920576722457101</v>
      </c>
      <c r="S38" s="47" t="n">
        <f aca="false">R38*(IF(C38&lt;Assumptions!$B$5,Assumptions!$B$12*(1+Assumptions!$B$11)^(INT(A38/12)+1)/12+Pricing_M!$B$13*IF(A38=0,Assumptions!$B$14*12,IF(A38&gt;=12,Assumptions!$B$15,0))-Pricing_M!$B$13,Assumptions!$B$9/12*(1+Assumptions!$B$10)^INT(A38/12)+Assumptions!$B$12*(1+Assumptions!$B$11)^(INT(A38/12)+1)/12))*J38</f>
        <v>-814.419690094315</v>
      </c>
      <c r="T38" s="32" t="n">
        <f aca="false">T37*(1-F37)*(1-(1-(1-MIN(1,G37*(1+Assumptions!$B$23)))^(1/12)))</f>
        <v>0.885027828266976</v>
      </c>
      <c r="U38" s="47" t="n">
        <f aca="false">T38*(IF(C38&lt;Assumptions!$B$5,Assumptions!$B$12*(1+Assumptions!$B$11)^(INT(A38/12)+1)/12+Pricing_M!$B$13*IF(A38=0,Assumptions!$B$14*12,IF(A38&gt;=12,Assumptions!$B$15,0))-Pricing_M!$B$13,Assumptions!$B$9/12*(1+Assumptions!$B$10)^INT(A38/12)+Assumptions!$B$12*(1+Assumptions!$B$11)^(INT(A38/12)+1)/12))*J38</f>
        <v>-782.970144735138</v>
      </c>
      <c r="V38" s="32" t="n">
        <f aca="false">V37*(1-F37)*(1-(1-(1-MIN(1,G37*(1-Assumptions!$B$23)))^(1/12)))</f>
        <v>0.951451577751677</v>
      </c>
      <c r="W38" s="47" t="n">
        <f aca="false">V38*(IF(C38&lt;Assumptions!$B$5,Assumptions!$B$12*(1+Assumptions!$B$11)^(INT(A38/12)+1)/12+Pricing_M!$B$13*IF(A38=0,Assumptions!$B$14*12,IF(A38&gt;=12,Assumptions!$B$15,0))-Pricing_M!$B$13,Assumptions!$B$9/12*(1+Assumptions!$B$10)^INT(A38/12)+Assumptions!$B$12*(1+Assumptions!$B$11)^(INT(A38/12)+1)/12))*J38</f>
        <v>-841.734187047487</v>
      </c>
      <c r="X38" s="47" t="n">
        <f aca="false">I38*(IF(C38&lt;Assumptions!$B$5,Assumptions!$B$12*(1+Assumptions!$B$11)*(1+Assumptions!$B$24)*(1+Assumptions!$B$11+Assumptions!$B$25)^(INT(A38/12))/12+Pricing_M!$B$13*IF(A38=0,Assumptions!$B$14*12,IF(A38&gt;=12,Assumptions!$B$15,0))-Pricing_M!$B$13,Assumptions!$B$9/12*(1+Assumptions!$B$10)^INT(A38/12)+Assumptions!$B$12*(1+Assumptions!$B$11)*(1+Assumptions!$B$24)*(1+Assumptions!$B$11+Assumptions!$B$25)^(INT(A38/12))/12))*J38</f>
        <v>-811.31386005214</v>
      </c>
    </row>
    <row r="39" customFormat="false" ht="15" hidden="false" customHeight="true" outlineLevel="0" collapsed="false">
      <c r="A39" s="1" t="n">
        <v>32</v>
      </c>
      <c r="B39" s="31" t="n">
        <f aca="false">Assumptions!$B$4+A39/12</f>
        <v>67.6666666666667</v>
      </c>
      <c r="C39" s="34" t="n">
        <f aca="false">Assumptions!$B$4+INT(A39/12)</f>
        <v>67</v>
      </c>
      <c r="D39" s="34" t="n">
        <f aca="false">INT(A39/12)+1</f>
        <v>3</v>
      </c>
      <c r="E39" s="32" t="n">
        <f aca="false">IFERROR(INDEX(Cohort_Survival!$G$5:$G$65,MATCH(C39,Cohort_Survival!$A$5:$A$65,0)),1)</f>
        <v>0.00616198432267925</v>
      </c>
      <c r="F39" s="30" t="n">
        <f aca="false">1-(1-MIN(1,E39))^(1/12)</f>
        <v>0.000514954673687673</v>
      </c>
      <c r="G39" s="39" t="n">
        <f aca="false">IF(C39&lt;Assumptions!$B$5,IF(D39=1,Assumptions!$B$16,IF(D39=2,Assumptions!$B$17,IF(D39&lt;=5,Assumptions!$B$18,Assumptions!$B$19)))*(1-Assumptions!$B$20),0)</f>
        <v>0.0133</v>
      </c>
      <c r="H39" s="30" t="n">
        <f aca="false">1-(1-G39)^(1/12)</f>
        <v>0.0011151475202863</v>
      </c>
      <c r="I39" s="30" t="n">
        <f aca="false">I38*(1-F38)*(1-H38)</f>
        <v>0.916417220336041</v>
      </c>
      <c r="J39" s="30" t="n">
        <f aca="false">INDEX(Discount_Monthly!$G$4:$G$664,MATCH(A39,Discount_Monthly!$A$4:$A$664,0))</f>
        <v>0.933248259964343</v>
      </c>
      <c r="K39" s="30" t="n">
        <f aca="false">IF(C39&lt;Assumptions!$B$5,I39*J39,0)</f>
        <v>0.85524477627997</v>
      </c>
      <c r="L39" s="30" t="n">
        <f aca="false">IF(C39&lt;Assumptions!$B$5,I39*(1-F39)*H39*A39*J39,0)</f>
        <v>0.0305034549384988</v>
      </c>
      <c r="M39" s="30" t="n">
        <f aca="false">IF(A39=0,Assumptions!$B$14*12*I39*J39,IF(AND(A39&gt;=12,C39&lt;Assumptions!$B$5),Assumptions!$B$15*I39*J39,0))</f>
        <v>0.0427622388139985</v>
      </c>
      <c r="N39" s="47" t="n">
        <f aca="false">IF(C39&gt;=Assumptions!$B$5,I39*Assumptions!$B$9/12*(1+Assumptions!$B$10)^INT(A39/12)*J39,0)</f>
        <v>0</v>
      </c>
      <c r="O39" s="47" t="n">
        <f aca="false">I39*Assumptions!$B$12/12*(1+Assumptions!$B$11)^(INT(A39/12)+1)*J39</f>
        <v>6.14003387770748</v>
      </c>
      <c r="P39" s="47" t="n">
        <f aca="false">O39+Pricing_M!$B$13*M39+N39-Pricing_M!$B$13*K39</f>
        <v>-808.994401708139</v>
      </c>
      <c r="Q39" s="47" t="n">
        <f aca="false">IF(C39&lt;Assumptions!$B$5,Pricing_M!$B$13*K39-Pricing_M!$B$13*M39-O39,-(N39+O39))</f>
        <v>808.99440170814</v>
      </c>
      <c r="R39" s="32" t="n">
        <f aca="false">R38*(1-(1-(1-MIN(1,E38*(1-Assumptions!$B$21)))^(1/12)))*(1-H38)</f>
        <v>0.919171537185461</v>
      </c>
      <c r="S39" s="47" t="n">
        <f aca="false">R39*(IF(C39&lt;Assumptions!$B$5,Assumptions!$B$12*(1+Assumptions!$B$11)^(INT(A39/12)+1)/12+Pricing_M!$B$13*IF(A39=0,Assumptions!$B$14*12,IF(A39&gt;=12,Assumptions!$B$15,0))-Pricing_M!$B$13,Assumptions!$B$9/12*(1+Assumptions!$B$10)^INT(A39/12)+Assumptions!$B$12*(1+Assumptions!$B$11)^(INT(A39/12)+1)/12))*J39</f>
        <v>-811.425856358123</v>
      </c>
      <c r="T39" s="32" t="n">
        <f aca="false">T38*(1-F38)*(1-(1-(1-MIN(1,G38*(1+Assumptions!$B$23)))^(1/12)))</f>
        <v>0.883087857236814</v>
      </c>
      <c r="U39" s="47" t="n">
        <f aca="false">T39*(IF(C39&lt;Assumptions!$B$5,Assumptions!$B$12*(1+Assumptions!$B$11)^(INT(A39/12)+1)/12+Pricing_M!$B$13*IF(A39=0,Assumptions!$B$14*12,IF(A39&gt;=12,Assumptions!$B$15,0))-Pricing_M!$B$13,Assumptions!$B$9/12*(1+Assumptions!$B$10)^INT(A39/12)+Assumptions!$B$12*(1+Assumptions!$B$11)^(INT(A39/12)+1)/12))*J39</f>
        <v>-779.571920810318</v>
      </c>
      <c r="V39" s="32" t="n">
        <f aca="false">V38*(1-F38)*(1-(1-(1-MIN(1,G38*(1-Assumptions!$B$23)))^(1/12)))</f>
        <v>0.950433018999153</v>
      </c>
      <c r="W39" s="47" t="n">
        <f aca="false">V39*(IF(C39&lt;Assumptions!$B$5,Assumptions!$B$12*(1+Assumptions!$B$11)^(INT(A39/12)+1)/12+Pricing_M!$B$13*IF(A39=0,Assumptions!$B$14*12,IF(A39&gt;=12,Assumptions!$B$15,0))-Pricing_M!$B$13,Assumptions!$B$9/12*(1+Assumptions!$B$10)^INT(A39/12)+Assumptions!$B$12*(1+Assumptions!$B$11)^(INT(A39/12)+1)/12))*J39</f>
        <v>-839.022853899379</v>
      </c>
      <c r="X39" s="47" t="n">
        <f aca="false">I39*(IF(C39&lt;Assumptions!$B$5,Assumptions!$B$12*(1+Assumptions!$B$11)*(1+Assumptions!$B$24)*(1+Assumptions!$B$11+Assumptions!$B$25)^(INT(A39/12))/12+Pricing_M!$B$13*IF(A39=0,Assumptions!$B$14*12,IF(A39&gt;=12,Assumptions!$B$15,0))-Pricing_M!$B$13,Assumptions!$B$9/12*(1+Assumptions!$B$10)^INT(A39/12)+Assumptions!$B$12*(1+Assumptions!$B$11)*(1+Assumptions!$B$24)*(1+Assumptions!$B$11+Assumptions!$B$25)^(INT(A39/12))/12))*J39</f>
        <v>-808.247969368394</v>
      </c>
    </row>
    <row r="40" customFormat="false" ht="15" hidden="false" customHeight="true" outlineLevel="0" collapsed="false">
      <c r="A40" s="1" t="n">
        <v>33</v>
      </c>
      <c r="B40" s="31" t="n">
        <f aca="false">Assumptions!$B$4+A40/12</f>
        <v>67.75</v>
      </c>
      <c r="C40" s="34" t="n">
        <f aca="false">Assumptions!$B$4+INT(A40/12)</f>
        <v>67</v>
      </c>
      <c r="D40" s="34" t="n">
        <f aca="false">INT(A40/12)+1</f>
        <v>3</v>
      </c>
      <c r="E40" s="32" t="n">
        <f aca="false">IFERROR(INDEX(Cohort_Survival!$G$5:$G$65,MATCH(C40,Cohort_Survival!$A$5:$A$65,0)),1)</f>
        <v>0.00616198432267925</v>
      </c>
      <c r="F40" s="30" t="n">
        <f aca="false">1-(1-MIN(1,E40))^(1/12)</f>
        <v>0.000514954673687673</v>
      </c>
      <c r="G40" s="39" t="n">
        <f aca="false">IF(C40&lt;Assumptions!$B$5,IF(D40=1,Assumptions!$B$16,IF(D40=2,Assumptions!$B$17,IF(D40&lt;=5,Assumptions!$B$18,Assumptions!$B$19)))*(1-Assumptions!$B$20),0)</f>
        <v>0.0133</v>
      </c>
      <c r="H40" s="30" t="n">
        <f aca="false">1-(1-G40)^(1/12)</f>
        <v>0.0011151475202863</v>
      </c>
      <c r="I40" s="30" t="n">
        <f aca="false">I39*(1-F39)*(1-H39)</f>
        <v>0.914923892867556</v>
      </c>
      <c r="J40" s="30" t="n">
        <f aca="false">INDEX(Discount_Monthly!$G$4:$G$664,MATCH(A40,Discount_Monthly!$A$4:$A$664,0))</f>
        <v>0.931239068946143</v>
      </c>
      <c r="K40" s="30" t="n">
        <f aca="false">IF(C40&lt;Assumptions!$B$5,I40*J40,0)</f>
        <v>0.852012874150564</v>
      </c>
      <c r="L40" s="30" t="n">
        <f aca="false">IF(C40&lt;Assumptions!$B$5,I40*(1-F40)*H40*A40*J40,0)</f>
        <v>0.0313378155784271</v>
      </c>
      <c r="M40" s="30" t="n">
        <f aca="false">IF(A40=0,Assumptions!$B$14*12*I40*J40,IF(AND(A40&gt;=12,C40&lt;Assumptions!$B$5),Assumptions!$B$15*I40*J40,0))</f>
        <v>0.0426006437075282</v>
      </c>
      <c r="N40" s="47" t="n">
        <f aca="false">IF(C40&gt;=Assumptions!$B$5,I40*Assumptions!$B$9/12*(1+Assumptions!$B$10)^INT(A40/12)*J40,0)</f>
        <v>0</v>
      </c>
      <c r="O40" s="47" t="n">
        <f aca="false">I40*Assumptions!$B$12/12*(1+Assumptions!$B$11)^(INT(A40/12)+1)*J40</f>
        <v>6.11683117701364</v>
      </c>
      <c r="P40" s="47" t="n">
        <f aca="false">O40+Pricing_M!$B$13*M40+N40-Pricing_M!$B$13*K40</f>
        <v>-805.937276073381</v>
      </c>
      <c r="Q40" s="47" t="n">
        <f aca="false">IF(C40&lt;Assumptions!$B$5,Pricing_M!$B$13*K40-Pricing_M!$B$13*M40-O40,-(N40+O40))</f>
        <v>805.937276073381</v>
      </c>
      <c r="R40" s="32" t="n">
        <f aca="false">R39*(1-(1-(1-MIN(1,E39*(1-Assumptions!$B$21)))^(1/12)))*(1-H39)</f>
        <v>0.917768496814511</v>
      </c>
      <c r="S40" s="47" t="n">
        <f aca="false">R40*(IF(C40&lt;Assumptions!$B$5,Assumptions!$B$12*(1+Assumptions!$B$11)^(INT(A40/12)+1)/12+Pricing_M!$B$13*IF(A40=0,Assumptions!$B$14*12,IF(A40&gt;=12,Assumptions!$B$15,0))-Pricing_M!$B$13,Assumptions!$B$9/12*(1+Assumptions!$B$10)^INT(A40/12)+Assumptions!$B$12*(1+Assumptions!$B$11)^(INT(A40/12)+1)/12))*J40</f>
        <v>-808.443028053835</v>
      </c>
      <c r="T40" s="32" t="n">
        <f aca="false">T39*(1-F39)*(1-(1-(1-MIN(1,G39*(1+Assumptions!$B$23)))^(1/12)))</f>
        <v>0.881152138601298</v>
      </c>
      <c r="U40" s="47" t="n">
        <f aca="false">T40*(IF(C40&lt;Assumptions!$B$5,Assumptions!$B$12*(1+Assumptions!$B$11)^(INT(A40/12)+1)/12+Pricing_M!$B$13*IF(A40=0,Assumptions!$B$14*12,IF(A40&gt;=12,Assumptions!$B$15,0))-Pricing_M!$B$13,Assumptions!$B$9/12*(1+Assumptions!$B$10)^INT(A40/12)+Assumptions!$B$12*(1+Assumptions!$B$11)^(INT(A40/12)+1)/12))*J40</f>
        <v>-776.188445756729</v>
      </c>
      <c r="V40" s="32" t="n">
        <f aca="false">V39*(1-F39)*(1-(1-(1-MIN(1,G39*(1-Assumptions!$B$23)))^(1/12)))</f>
        <v>0.949415550645717</v>
      </c>
      <c r="W40" s="47" t="n">
        <f aca="false">V40*(IF(C40&lt;Assumptions!$B$5,Assumptions!$B$12*(1+Assumptions!$B$11)^(INT(A40/12)+1)/12+Pricing_M!$B$13*IF(A40=0,Assumptions!$B$14*12,IF(A40&gt;=12,Assumptions!$B$15,0))-Pricing_M!$B$13,Assumptions!$B$9/12*(1+Assumptions!$B$10)^INT(A40/12)+Assumptions!$B$12*(1+Assumptions!$B$11)^(INT(A40/12)+1)/12))*J40</f>
        <v>-836.32025430107</v>
      </c>
      <c r="X40" s="47" t="n">
        <f aca="false">I40*(IF(C40&lt;Assumptions!$B$5,Assumptions!$B$12*(1+Assumptions!$B$11)*(1+Assumptions!$B$24)*(1+Assumptions!$B$11+Assumptions!$B$25)^(INT(A40/12))/12+Pricing_M!$B$13*IF(A40=0,Assumptions!$B$14*12,IF(A40&gt;=12,Assumptions!$B$15,0))-Pricing_M!$B$13,Assumptions!$B$9/12*(1+Assumptions!$B$10)^INT(A40/12)+Assumptions!$B$12*(1+Assumptions!$B$11)*(1+Assumptions!$B$24)*(1+Assumptions!$B$11+Assumptions!$B$25)^(INT(A40/12))/12))*J40</f>
        <v>-805.193664442204</v>
      </c>
    </row>
    <row r="41" customFormat="false" ht="15" hidden="false" customHeight="true" outlineLevel="0" collapsed="false">
      <c r="A41" s="1" t="n">
        <v>34</v>
      </c>
      <c r="B41" s="31" t="n">
        <f aca="false">Assumptions!$B$4+A41/12</f>
        <v>67.8333333333333</v>
      </c>
      <c r="C41" s="34" t="n">
        <f aca="false">Assumptions!$B$4+INT(A41/12)</f>
        <v>67</v>
      </c>
      <c r="D41" s="34" t="n">
        <f aca="false">INT(A41/12)+1</f>
        <v>3</v>
      </c>
      <c r="E41" s="32" t="n">
        <f aca="false">IFERROR(INDEX(Cohort_Survival!$G$5:$G$65,MATCH(C41,Cohort_Survival!$A$5:$A$65,0)),1)</f>
        <v>0.00616198432267925</v>
      </c>
      <c r="F41" s="30" t="n">
        <f aca="false">1-(1-MIN(1,E41))^(1/12)</f>
        <v>0.000514954673687673</v>
      </c>
      <c r="G41" s="39" t="n">
        <f aca="false">IF(C41&lt;Assumptions!$B$5,IF(D41=1,Assumptions!$B$16,IF(D41=2,Assumptions!$B$17,IF(D41&lt;=5,Assumptions!$B$18,Assumptions!$B$19)))*(1-Assumptions!$B$20),0)</f>
        <v>0.0133</v>
      </c>
      <c r="H41" s="30" t="n">
        <f aca="false">1-(1-G41)^(1/12)</f>
        <v>0.0011151475202863</v>
      </c>
      <c r="I41" s="30" t="n">
        <f aca="false">I40*(1-F40)*(1-H40)</f>
        <v>0.91343299881791</v>
      </c>
      <c r="J41" s="30" t="n">
        <f aca="false">INDEX(Discount_Monthly!$G$4:$G$664,MATCH(A41,Discount_Monthly!$A$4:$A$664,0))</f>
        <v>0.929234203517094</v>
      </c>
      <c r="K41" s="30" t="n">
        <f aca="false">IF(C41&lt;Assumptions!$B$5,I41*J41,0)</f>
        <v>0.848793185122791</v>
      </c>
      <c r="L41" s="30" t="n">
        <f aca="false">IF(C41&lt;Assumptions!$B$5,I41*(1-F41)*H41*A41*J41,0)</f>
        <v>0.0321654346563921</v>
      </c>
      <c r="M41" s="30" t="n">
        <f aca="false">IF(A41=0,Assumptions!$B$14*12*I41*J41,IF(AND(A41&gt;=12,C41&lt;Assumptions!$B$5),Assumptions!$B$15*I41*J41,0))</f>
        <v>0.0424396592561395</v>
      </c>
      <c r="N41" s="47" t="n">
        <f aca="false">IF(C41&gt;=Assumptions!$B$5,I41*Assumptions!$B$9/12*(1+Assumptions!$B$10)^INT(A41/12)*J41,0)</f>
        <v>0</v>
      </c>
      <c r="O41" s="47" t="n">
        <f aca="false">I41*Assumptions!$B$12/12*(1+Assumptions!$B$11)^(INT(A41/12)+1)*J41</f>
        <v>6.09371615748415</v>
      </c>
      <c r="P41" s="47" t="n">
        <f aca="false">O41+Pricing_M!$B$13*M41+N41-Pricing_M!$B$13*K41</f>
        <v>-802.891703073755</v>
      </c>
      <c r="Q41" s="47" t="n">
        <f aca="false">IF(C41&lt;Assumptions!$B$5,Pricing_M!$B$13*K41-Pricing_M!$B$13*M41-O41,-(N41+O41))</f>
        <v>802.891703073755</v>
      </c>
      <c r="R41" s="32" t="n">
        <f aca="false">R40*(1-(1-(1-MIN(1,E40*(1-Assumptions!$B$21)))^(1/12)))*(1-H40)</f>
        <v>0.916367598070236</v>
      </c>
      <c r="S41" s="47" t="n">
        <f aca="false">R41*(IF(C41&lt;Assumptions!$B$5,Assumptions!$B$12*(1+Assumptions!$B$11)^(INT(A41/12)+1)/12+Pricing_M!$B$13*IF(A41=0,Assumptions!$B$14*12,IF(A41&gt;=12,Assumptions!$B$15,0))-Pricing_M!$B$13,Assumptions!$B$9/12*(1+Assumptions!$B$10)^INT(A41/12)+Assumptions!$B$12*(1+Assumptions!$B$11)^(INT(A41/12)+1)/12))*J41</f>
        <v>-805.471164725117</v>
      </c>
      <c r="T41" s="32" t="n">
        <f aca="false">T40*(1-F40)*(1-(1-(1-MIN(1,G40*(1+Assumptions!$B$23)))^(1/12)))</f>
        <v>0.879220663039225</v>
      </c>
      <c r="U41" s="47" t="n">
        <f aca="false">T41*(IF(C41&lt;Assumptions!$B$5,Assumptions!$B$12*(1+Assumptions!$B$11)^(INT(A41/12)+1)/12+Pricing_M!$B$13*IF(A41=0,Assumptions!$B$14*12,IF(A41&gt;=12,Assumptions!$B$15,0))-Pricing_M!$B$13,Assumptions!$B$9/12*(1+Assumptions!$B$10)^INT(A41/12)+Assumptions!$B$12*(1+Assumptions!$B$11)^(INT(A41/12)+1)/12))*J41</f>
        <v>-772.819655561757</v>
      </c>
      <c r="V41" s="32" t="n">
        <f aca="false">V40*(1-F40)*(1-(1-(1-MIN(1,G40*(1-Assumptions!$B$23)))^(1/12)))</f>
        <v>0.948399171524062</v>
      </c>
      <c r="W41" s="47" t="n">
        <f aca="false">V41*(IF(C41&lt;Assumptions!$B$5,Assumptions!$B$12*(1+Assumptions!$B$11)^(INT(A41/12)+1)/12+Pricing_M!$B$13*IF(A41=0,Assumptions!$B$14*12,IF(A41&gt;=12,Assumptions!$B$15,0))-Pricing_M!$B$13,Assumptions!$B$9/12*(1+Assumptions!$B$10)^INT(A41/12)+Assumptions!$B$12*(1+Assumptions!$B$11)^(INT(A41/12)+1)/12))*J41</f>
        <v>-833.626360120682</v>
      </c>
      <c r="X41" s="47" t="n">
        <f aca="false">I41*(IF(C41&lt;Assumptions!$B$5,Assumptions!$B$12*(1+Assumptions!$B$11)*(1+Assumptions!$B$24)*(1+Assumptions!$B$11+Assumptions!$B$25)^(INT(A41/12))/12+Pricing_M!$B$13*IF(A41=0,Assumptions!$B$14*12,IF(A41&gt;=12,Assumptions!$B$15,0))-Pricing_M!$B$13,Assumptions!$B$9/12*(1+Assumptions!$B$10)^INT(A41/12)+Assumptions!$B$12*(1+Assumptions!$B$11)*(1+Assumptions!$B$24)*(1+Assumptions!$B$11+Assumptions!$B$25)^(INT(A41/12))/12))*J41</f>
        <v>-802.150901491912</v>
      </c>
    </row>
    <row r="42" customFormat="false" ht="15" hidden="false" customHeight="true" outlineLevel="0" collapsed="false">
      <c r="A42" s="1" t="n">
        <v>35</v>
      </c>
      <c r="B42" s="31" t="n">
        <f aca="false">Assumptions!$B$4+A42/12</f>
        <v>67.9166666666667</v>
      </c>
      <c r="C42" s="34" t="n">
        <f aca="false">Assumptions!$B$4+INT(A42/12)</f>
        <v>67</v>
      </c>
      <c r="D42" s="34" t="n">
        <f aca="false">INT(A42/12)+1</f>
        <v>3</v>
      </c>
      <c r="E42" s="32" t="n">
        <f aca="false">IFERROR(INDEX(Cohort_Survival!$G$5:$G$65,MATCH(C42,Cohort_Survival!$A$5:$A$65,0)),1)</f>
        <v>0.00616198432267925</v>
      </c>
      <c r="F42" s="30" t="n">
        <f aca="false">1-(1-MIN(1,E42))^(1/12)</f>
        <v>0.000514954673687673</v>
      </c>
      <c r="G42" s="39" t="n">
        <f aca="false">IF(C42&lt;Assumptions!$B$5,IF(D42=1,Assumptions!$B$16,IF(D42=2,Assumptions!$B$17,IF(D42&lt;=5,Assumptions!$B$18,Assumptions!$B$19)))*(1-Assumptions!$B$20),0)</f>
        <v>0.0133</v>
      </c>
      <c r="H42" s="30" t="n">
        <f aca="false">1-(1-G42)^(1/12)</f>
        <v>0.0011151475202863</v>
      </c>
      <c r="I42" s="30" t="n">
        <f aca="false">I41*(1-F41)*(1-H41)</f>
        <v>0.911944534221778</v>
      </c>
      <c r="J42" s="30" t="n">
        <f aca="false">INDEX(Discount_Monthly!$G$4:$G$664,MATCH(A42,Discount_Monthly!$A$4:$A$664,0))</f>
        <v>0.927233654364629</v>
      </c>
      <c r="K42" s="30" t="n">
        <f aca="false">IF(C42&lt;Assumptions!$B$5,I42*J42,0)</f>
        <v>0.845585663044309</v>
      </c>
      <c r="L42" s="30" t="n">
        <f aca="false">IF(C42&lt;Assumptions!$B$5,I42*(1-F42)*H42*A42*J42,0)</f>
        <v>0.0329863512091778</v>
      </c>
      <c r="M42" s="30" t="n">
        <f aca="false">IF(A42=0,Assumptions!$B$14*12*I42*J42,IF(AND(A42&gt;=12,C42&lt;Assumptions!$B$5),Assumptions!$B$15*I42*J42,0))</f>
        <v>0.0422792831522155</v>
      </c>
      <c r="N42" s="47" t="n">
        <f aca="false">IF(C42&gt;=Assumptions!$B$5,I42*Assumptions!$B$9/12*(1+Assumptions!$B$10)^INT(A42/12)*J42,0)</f>
        <v>0</v>
      </c>
      <c r="O42" s="47" t="n">
        <f aca="false">I42*Assumptions!$B$12/12*(1+Assumptions!$B$11)^(INT(A42/12)+1)*J42</f>
        <v>6.07068848777883</v>
      </c>
      <c r="P42" s="47" t="n">
        <f aca="false">O42+Pricing_M!$B$13*M42+N42-Pricing_M!$B$13*K42</f>
        <v>-799.85763905277</v>
      </c>
      <c r="Q42" s="47" t="n">
        <f aca="false">IF(C42&lt;Assumptions!$B$5,Pricing_M!$B$13*K42-Pricing_M!$B$13*M42-O42,-(N42+O42))</f>
        <v>799.85763905277</v>
      </c>
      <c r="R42" s="32" t="n">
        <f aca="false">R41*(1-(1-(1-MIN(1,E41*(1-Assumptions!$B$21)))^(1/12)))*(1-H41)</f>
        <v>0.914968837683618</v>
      </c>
      <c r="S42" s="47" t="n">
        <f aca="false">R42*(IF(C42&lt;Assumptions!$B$5,Assumptions!$B$12*(1+Assumptions!$B$11)^(INT(A42/12)+1)/12+Pricing_M!$B$13*IF(A42=0,Assumptions!$B$14*12,IF(A42&gt;=12,Assumptions!$B$15,0))-Pricing_M!$B$13,Assumptions!$B$9/12*(1+Assumptions!$B$10)^INT(A42/12)+Assumptions!$B$12*(1+Assumptions!$B$11)^(INT(A42/12)+1)/12))*J42</f>
        <v>-802.510226064358</v>
      </c>
      <c r="T42" s="32" t="n">
        <f aca="false">T41*(1-F41)*(1-(1-(1-MIN(1,G41*(1+Assumptions!$B$23)))^(1/12)))</f>
        <v>0.877293421249828</v>
      </c>
      <c r="U42" s="47" t="n">
        <f aca="false">T42*(IF(C42&lt;Assumptions!$B$5,Assumptions!$B$12*(1+Assumptions!$B$11)^(INT(A42/12)+1)/12+Pricing_M!$B$13*IF(A42=0,Assumptions!$B$14*12,IF(A42&gt;=12,Assumptions!$B$15,0))-Pricing_M!$B$13,Assumptions!$B$9/12*(1+Assumptions!$B$10)^INT(A42/12)+Assumptions!$B$12*(1+Assumptions!$B$11)^(INT(A42/12)+1)/12))*J42</f>
        <v>-769.465486490611</v>
      </c>
      <c r="V42" s="32" t="n">
        <f aca="false">V41*(1-F41)*(1-(1-(1-MIN(1,G41*(1-Assumptions!$B$23)))^(1/12)))</f>
        <v>0.947383880468132</v>
      </c>
      <c r="W42" s="47" t="n">
        <f aca="false">V42*(IF(C42&lt;Assumptions!$B$5,Assumptions!$B$12*(1+Assumptions!$B$11)^(INT(A42/12)+1)/12+Pricing_M!$B$13*IF(A42=0,Assumptions!$B$14*12,IF(A42&gt;=12,Assumptions!$B$15,0))-Pricing_M!$B$13,Assumptions!$B$9/12*(1+Assumptions!$B$10)^INT(A42/12)+Assumptions!$B$12*(1+Assumptions!$B$11)^(INT(A42/12)+1)/12))*J42</f>
        <v>-830.941143316954</v>
      </c>
      <c r="X42" s="47" t="n">
        <f aca="false">I42*(IF(C42&lt;Assumptions!$B$5,Assumptions!$B$12*(1+Assumptions!$B$11)*(1+Assumptions!$B$24)*(1+Assumptions!$B$11+Assumptions!$B$25)^(INT(A42/12))/12+Pricing_M!$B$13*IF(A42=0,Assumptions!$B$14*12,IF(A42&gt;=12,Assumptions!$B$15,0))-Pricing_M!$B$13,Assumptions!$B$9/12*(1+Assumptions!$B$10)^INT(A42/12)+Assumptions!$B$12*(1+Assumptions!$B$11)*(1+Assumptions!$B$24)*(1+Assumptions!$B$11+Assumptions!$B$25)^(INT(A42/12))/12))*J42</f>
        <v>-799.119636901307</v>
      </c>
    </row>
    <row r="43" customFormat="false" ht="15" hidden="false" customHeight="true" outlineLevel="0" collapsed="false">
      <c r="A43" s="1" t="n">
        <v>36</v>
      </c>
      <c r="B43" s="31" t="n">
        <f aca="false">Assumptions!$B$4+A43/12</f>
        <v>68</v>
      </c>
      <c r="C43" s="34" t="n">
        <f aca="false">Assumptions!$B$4+INT(A43/12)</f>
        <v>68</v>
      </c>
      <c r="D43" s="34" t="n">
        <f aca="false">INT(A43/12)+1</f>
        <v>4</v>
      </c>
      <c r="E43" s="32" t="n">
        <f aca="false">IFERROR(INDEX(Cohort_Survival!$G$5:$G$65,MATCH(C43,Cohort_Survival!$A$5:$A$65,0)),1)</f>
        <v>0.00675420032480476</v>
      </c>
      <c r="F43" s="30" t="n">
        <f aca="false">1-(1-MIN(1,E43))^(1/12)</f>
        <v>0.000564599983914338</v>
      </c>
      <c r="G43" s="39" t="n">
        <f aca="false">IF(C43&lt;Assumptions!$B$5,IF(D43=1,Assumptions!$B$16,IF(D43=2,Assumptions!$B$17,IF(D43&lt;=5,Assumptions!$B$18,Assumptions!$B$19)))*(1-Assumptions!$B$20),0)</f>
        <v>0.0133</v>
      </c>
      <c r="H43" s="30" t="n">
        <f aca="false">1-(1-G43)^(1/12)</f>
        <v>0.0011151475202863</v>
      </c>
      <c r="I43" s="30" t="n">
        <f aca="false">I42*(1-F42)*(1-H42)</f>
        <v>0.910458495120299</v>
      </c>
      <c r="J43" s="30" t="n">
        <f aca="false">INDEX(Discount_Monthly!$G$4:$G$664,MATCH(A43,Discount_Monthly!$A$4:$A$664,0))</f>
        <v>0.925237412196234</v>
      </c>
      <c r="K43" s="30" t="n">
        <f aca="false">IF(C43&lt;Assumptions!$B$5,I43*J43,0)</f>
        <v>0.842390261937183</v>
      </c>
      <c r="L43" s="30" t="n">
        <f aca="false">IF(C43&lt;Assumptions!$B$5,I43*(1-F43)*H43*A43*J43,0)</f>
        <v>0.03379892516877</v>
      </c>
      <c r="M43" s="30" t="n">
        <f aca="false">IF(A43=0,Assumptions!$B$14*12*I43*J43,IF(AND(A43&gt;=12,C43&lt;Assumptions!$B$5),Assumptions!$B$15*I43*J43,0))</f>
        <v>0.0421195130968592</v>
      </c>
      <c r="N43" s="47" t="n">
        <f aca="false">IF(C43&gt;=Assumptions!$B$5,I43*Assumptions!$B$9/12*(1+Assumptions!$B$10)^INT(A43/12)*J43,0)</f>
        <v>0</v>
      </c>
      <c r="O43" s="47" t="n">
        <f aca="false">I43*Assumptions!$B$12/12*(1+Assumptions!$B$11)^(INT(A43/12)+1)*J43</f>
        <v>6.19894153375489</v>
      </c>
      <c r="P43" s="47" t="n">
        <f aca="false">O43+Pricing_M!$B$13*M43+N43-Pricing_M!$B$13*K43</f>
        <v>-796.683846822963</v>
      </c>
      <c r="Q43" s="47" t="n">
        <f aca="false">IF(C43&lt;Assumptions!$B$5,Pricing_M!$B$13*K43-Pricing_M!$B$13*M43-O43,-(N43+O43))</f>
        <v>796.683846822963</v>
      </c>
      <c r="R43" s="32" t="n">
        <f aca="false">R42*(1-(1-(1-MIN(1,E42*(1-Assumptions!$B$21)))^(1/12)))*(1-H42)</f>
        <v>0.913572212390626</v>
      </c>
      <c r="S43" s="47" t="n">
        <f aca="false">R43*(IF(C43&lt;Assumptions!$B$5,Assumptions!$B$12*(1+Assumptions!$B$11)^(INT(A43/12)+1)/12+Pricing_M!$B$13*IF(A43=0,Assumptions!$B$14*12,IF(A43&gt;=12,Assumptions!$B$15,0))-Pricing_M!$B$13,Assumptions!$B$9/12*(1+Assumptions!$B$10)^INT(A43/12)+Assumptions!$B$12*(1+Assumptions!$B$11)^(INT(A43/12)+1)/12))*J43</f>
        <v>-799.408461142164</v>
      </c>
      <c r="T43" s="32" t="n">
        <f aca="false">T42*(1-F42)*(1-(1-(1-MIN(1,G42*(1+Assumptions!$B$23)))^(1/12)))</f>
        <v>0.875370403952724</v>
      </c>
      <c r="U43" s="47" t="n">
        <f aca="false">T43*(IF(C43&lt;Assumptions!$B$5,Assumptions!$B$12*(1+Assumptions!$B$11)^(INT(A43/12)+1)/12+Pricing_M!$B$13*IF(A43=0,Assumptions!$B$14*12,IF(A43&gt;=12,Assumptions!$B$15,0))-Pricing_M!$B$13,Assumptions!$B$9/12*(1+Assumptions!$B$10)^INT(A43/12)+Assumptions!$B$12*(1+Assumptions!$B$11)^(INT(A43/12)+1)/12))*J43</f>
        <v>-765.980508231602</v>
      </c>
      <c r="V43" s="32" t="n">
        <f aca="false">V42*(1-F42)*(1-(1-(1-MIN(1,G42*(1-Assumptions!$B$23)))^(1/12)))</f>
        <v>0.946369676313118</v>
      </c>
      <c r="W43" s="47" t="n">
        <f aca="false">V43*(IF(C43&lt;Assumptions!$B$5,Assumptions!$B$12*(1+Assumptions!$B$11)^(INT(A43/12)+1)/12+Pricing_M!$B$13*IF(A43=0,Assumptions!$B$14*12,IF(A43&gt;=12,Assumptions!$B$15,0))-Pricing_M!$B$13,Assumptions!$B$9/12*(1+Assumptions!$B$10)^INT(A43/12)+Assumptions!$B$12*(1+Assumptions!$B$11)^(INT(A43/12)+1)/12))*J43</f>
        <v>-828.107418715573</v>
      </c>
      <c r="X43" s="47" t="n">
        <f aca="false">I43*(IF(C43&lt;Assumptions!$B$5,Assumptions!$B$12*(1+Assumptions!$B$11)*(1+Assumptions!$B$24)*(1+Assumptions!$B$11+Assumptions!$B$25)^(INT(A43/12))/12+Pricing_M!$B$13*IF(A43=0,Assumptions!$B$14*12,IF(A43&gt;=12,Assumptions!$B$15,0))-Pricing_M!$B$13,Assumptions!$B$9/12*(1+Assumptions!$B$10)^INT(A43/12)+Assumptions!$B$12*(1+Assumptions!$B$11)*(1+Assumptions!$B$24)*(1+Assumptions!$B$11+Assumptions!$B$25)^(INT(A43/12))/12))*J43</f>
        <v>-795.862423579181</v>
      </c>
    </row>
    <row r="44" customFormat="false" ht="15" hidden="false" customHeight="true" outlineLevel="0" collapsed="false">
      <c r="A44" s="1" t="n">
        <v>37</v>
      </c>
      <c r="B44" s="31" t="n">
        <f aca="false">Assumptions!$B$4+A44/12</f>
        <v>68.0833333333333</v>
      </c>
      <c r="C44" s="34" t="n">
        <f aca="false">Assumptions!$B$4+INT(A44/12)</f>
        <v>68</v>
      </c>
      <c r="D44" s="34" t="n">
        <f aca="false">INT(A44/12)+1</f>
        <v>4</v>
      </c>
      <c r="E44" s="32" t="n">
        <f aca="false">IFERROR(INDEX(Cohort_Survival!$G$5:$G$65,MATCH(C44,Cohort_Survival!$A$5:$A$65,0)),1)</f>
        <v>0.00675420032480476</v>
      </c>
      <c r="F44" s="30" t="n">
        <f aca="false">1-(1-MIN(1,E44))^(1/12)</f>
        <v>0.000564599983914338</v>
      </c>
      <c r="G44" s="39" t="n">
        <f aca="false">IF(C44&lt;Assumptions!$B$5,IF(D44=1,Assumptions!$B$16,IF(D44=2,Assumptions!$B$17,IF(D44&lt;=5,Assumptions!$B$18,Assumptions!$B$19)))*(1-Assumptions!$B$20),0)</f>
        <v>0.0133</v>
      </c>
      <c r="H44" s="30" t="n">
        <f aca="false">1-(1-G44)^(1/12)</f>
        <v>0.0011151475202863</v>
      </c>
      <c r="I44" s="30" t="n">
        <f aca="false">I43*(1-F43)*(1-H43)</f>
        <v>0.908929727971285</v>
      </c>
      <c r="J44" s="30" t="n">
        <f aca="false">INDEX(Discount_Monthly!$G$4:$G$664,MATCH(A44,Discount_Monthly!$A$4:$A$664,0))</f>
        <v>0.923206486341195</v>
      </c>
      <c r="K44" s="30" t="n">
        <f aca="false">IF(C44&lt;Assumptions!$B$5,I44*J44,0)</f>
        <v>0.839129820491428</v>
      </c>
      <c r="L44" s="30" t="n">
        <f aca="false">IF(C44&lt;Assumptions!$B$5,I44*(1-F44)*H44*A44*J44,0)</f>
        <v>0.0346033328472007</v>
      </c>
      <c r="M44" s="30" t="n">
        <f aca="false">IF(A44=0,Assumptions!$B$14*12*I44*J44,IF(AND(A44&gt;=12,C44&lt;Assumptions!$B$5),Assumptions!$B$15*I44*J44,0))</f>
        <v>0.0419564910245714</v>
      </c>
      <c r="N44" s="47" t="n">
        <f aca="false">IF(C44&gt;=Assumptions!$B$5,I44*Assumptions!$B$9/12*(1+Assumptions!$B$10)^INT(A44/12)*J44,0)</f>
        <v>0</v>
      </c>
      <c r="O44" s="47" t="n">
        <f aca="false">I44*Assumptions!$B$12/12*(1+Assumptions!$B$11)^(INT(A44/12)+1)*J44</f>
        <v>6.1749487517752</v>
      </c>
      <c r="P44" s="47" t="n">
        <f aca="false">O44+Pricing_M!$B$13*M44+N44-Pricing_M!$B$13*K44</f>
        <v>-793.600310425744</v>
      </c>
      <c r="Q44" s="47" t="n">
        <f aca="false">IF(C44&lt;Assumptions!$B$5,Pricing_M!$B$13*K44-Pricing_M!$B$13*M44-O44,-(N44+O44))</f>
        <v>793.600310425744</v>
      </c>
      <c r="R44" s="32" t="n">
        <f aca="false">R43*(1-(1-(1-MIN(1,E43*(1-Assumptions!$B$21)))^(1/12)))*(1-H43)</f>
        <v>0.912141518870012</v>
      </c>
      <c r="S44" s="47" t="n">
        <f aca="false">R44*(IF(C44&lt;Assumptions!$B$5,Assumptions!$B$12*(1+Assumptions!$B$11)^(INT(A44/12)+1)/12+Pricing_M!$B$13*IF(A44=0,Assumptions!$B$14*12,IF(A44&gt;=12,Assumptions!$B$15,0))-Pricing_M!$B$13,Assumptions!$B$9/12*(1+Assumptions!$B$10)^INT(A44/12)+Assumptions!$B$12*(1+Assumptions!$B$11)^(INT(A44/12)+1)/12))*J44</f>
        <v>-796.404573699146</v>
      </c>
      <c r="T44" s="32" t="n">
        <f aca="false">T43*(1-F43)*(1-(1-(1-MIN(1,G43*(1+Assumptions!$B$23)))^(1/12)))</f>
        <v>0.87340821677076</v>
      </c>
      <c r="U44" s="47" t="n">
        <f aca="false">T44*(IF(C44&lt;Assumptions!$B$5,Assumptions!$B$12*(1+Assumptions!$B$11)^(INT(A44/12)+1)/12+Pricing_M!$B$13*IF(A44=0,Assumptions!$B$14*12,IF(A44&gt;=12,Assumptions!$B$15,0))-Pricing_M!$B$13,Assumptions!$B$9/12*(1+Assumptions!$B$10)^INT(A44/12)+Assumptions!$B$12*(1+Assumptions!$B$11)^(INT(A44/12)+1)/12))*J44</f>
        <v>-762.585941054806</v>
      </c>
      <c r="V44" s="32" t="n">
        <f aca="false">V43*(1-F43)*(1-(1-(1-MIN(1,G43*(1-Assumptions!$B$23)))^(1/12)))</f>
        <v>0.945309601195294</v>
      </c>
      <c r="W44" s="47" t="n">
        <f aca="false">V44*(IF(C44&lt;Assumptions!$B$5,Assumptions!$B$12*(1+Assumptions!$B$11)^(INT(A44/12)+1)/12+Pricing_M!$B$13*IF(A44=0,Assumptions!$B$14*12,IF(A44&gt;=12,Assumptions!$B$15,0))-Pricing_M!$B$13,Assumptions!$B$9/12*(1+Assumptions!$B$10)^INT(A44/12)+Assumptions!$B$12*(1+Assumptions!$B$11)^(INT(A44/12)+1)/12))*J44</f>
        <v>-825.364128678518</v>
      </c>
      <c r="X44" s="47" t="n">
        <f aca="false">I44*(IF(C44&lt;Assumptions!$B$5,Assumptions!$B$12*(1+Assumptions!$B$11)*(1+Assumptions!$B$24)*(1+Assumptions!$B$11+Assumptions!$B$25)^(INT(A44/12))/12+Pricing_M!$B$13*IF(A44=0,Assumptions!$B$14*12,IF(A44&gt;=12,Assumptions!$B$15,0))-Pricing_M!$B$13,Assumptions!$B$9/12*(1+Assumptions!$B$10)^INT(A44/12)+Assumptions!$B$12*(1+Assumptions!$B$11)*(1+Assumptions!$B$24)*(1+Assumptions!$B$11+Assumptions!$B$25)^(INT(A44/12))/12))*J44</f>
        <v>-792.782066471313</v>
      </c>
    </row>
    <row r="45" customFormat="false" ht="15" hidden="false" customHeight="true" outlineLevel="0" collapsed="false">
      <c r="A45" s="1" t="n">
        <v>38</v>
      </c>
      <c r="B45" s="31" t="n">
        <f aca="false">Assumptions!$B$4+A45/12</f>
        <v>68.1666666666667</v>
      </c>
      <c r="C45" s="34" t="n">
        <f aca="false">Assumptions!$B$4+INT(A45/12)</f>
        <v>68</v>
      </c>
      <c r="D45" s="34" t="n">
        <f aca="false">INT(A45/12)+1</f>
        <v>4</v>
      </c>
      <c r="E45" s="32" t="n">
        <f aca="false">IFERROR(INDEX(Cohort_Survival!$G$5:$G$65,MATCH(C45,Cohort_Survival!$A$5:$A$65,0)),1)</f>
        <v>0.00675420032480476</v>
      </c>
      <c r="F45" s="30" t="n">
        <f aca="false">1-(1-MIN(1,E45))^(1/12)</f>
        <v>0.000564599983914338</v>
      </c>
      <c r="G45" s="39" t="n">
        <f aca="false">IF(C45&lt;Assumptions!$B$5,IF(D45=1,Assumptions!$B$16,IF(D45=2,Assumptions!$B$17,IF(D45&lt;=5,Assumptions!$B$18,Assumptions!$B$19)))*(1-Assumptions!$B$20),0)</f>
        <v>0.0133</v>
      </c>
      <c r="H45" s="30" t="n">
        <f aca="false">1-(1-G45)^(1/12)</f>
        <v>0.0011151475202863</v>
      </c>
      <c r="I45" s="30" t="n">
        <f aca="false">I44*(1-F44)*(1-H44)</f>
        <v>0.907403527802542</v>
      </c>
      <c r="J45" s="30" t="n">
        <f aca="false">INDEX(Discount_Monthly!$G$4:$G$664,MATCH(A45,Discount_Monthly!$A$4:$A$664,0))</f>
        <v>0.921180018433677</v>
      </c>
      <c r="K45" s="30" t="n">
        <f aca="false">IF(C45&lt;Assumptions!$B$5,I45*J45,0)</f>
        <v>0.83588199846793</v>
      </c>
      <c r="L45" s="30" t="n">
        <f aca="false">IF(C45&lt;Assumptions!$B$5,I45*(1-F45)*H45*A45*J45,0)</f>
        <v>0.0354010073386124</v>
      </c>
      <c r="M45" s="30" t="n">
        <f aca="false">IF(A45=0,Assumptions!$B$14*12*I45*J45,IF(AND(A45&gt;=12,C45&lt;Assumptions!$B$5),Assumptions!$B$15*I45*J45,0))</f>
        <v>0.0417940999233965</v>
      </c>
      <c r="N45" s="47" t="n">
        <f aca="false">IF(C45&gt;=Assumptions!$B$5,I45*Assumptions!$B$9/12*(1+Assumptions!$B$10)^INT(A45/12)*J45,0)</f>
        <v>0</v>
      </c>
      <c r="O45" s="47" t="n">
        <f aca="false">I45*Assumptions!$B$12/12*(1+Assumptions!$B$11)^(INT(A45/12)+1)*J45</f>
        <v>6.15104883300191</v>
      </c>
      <c r="P45" s="47" t="n">
        <f aca="false">O45+Pricing_M!$B$13*M45+N45-Pricing_M!$B$13*K45</f>
        <v>-790.528708746107</v>
      </c>
      <c r="Q45" s="47" t="n">
        <f aca="false">IF(C45&lt;Assumptions!$B$5,Pricing_M!$B$13*K45-Pricing_M!$B$13*M45-O45,-(N45+O45))</f>
        <v>790.528708746107</v>
      </c>
      <c r="R45" s="32" t="n">
        <f aca="false">R44*(1-(1-(1-MIN(1,E44*(1-Assumptions!$B$21)))^(1/12)))*(1-H44)</f>
        <v>0.910713065877209</v>
      </c>
      <c r="S45" s="47" t="n">
        <f aca="false">R45*(IF(C45&lt;Assumptions!$B$5,Assumptions!$B$12*(1+Assumptions!$B$11)^(INT(A45/12)+1)/12+Pricing_M!$B$13*IF(A45=0,Assumptions!$B$14*12,IF(A45&gt;=12,Assumptions!$B$15,0))-Pricing_M!$B$13,Assumptions!$B$9/12*(1+Assumptions!$B$10)^INT(A45/12)+Assumptions!$B$12*(1+Assumptions!$B$11)^(INT(A45/12)+1)/12))*J45</f>
        <v>-793.411973777099</v>
      </c>
      <c r="T45" s="32" t="n">
        <f aca="false">T44*(1-F44)*(1-(1-(1-MIN(1,G44*(1+Assumptions!$B$23)))^(1/12)))</f>
        <v>0.871450427930938</v>
      </c>
      <c r="U45" s="47" t="n">
        <f aca="false">T45*(IF(C45&lt;Assumptions!$B$5,Assumptions!$B$12*(1+Assumptions!$B$11)^(INT(A45/12)+1)/12+Pricing_M!$B$13*IF(A45=0,Assumptions!$B$14*12,IF(A45&gt;=12,Assumptions!$B$15,0))-Pricing_M!$B$13,Assumptions!$B$9/12*(1+Assumptions!$B$10)^INT(A45/12)+Assumptions!$B$12*(1+Assumptions!$B$11)^(INT(A45/12)+1)/12))*J45</f>
        <v>-759.206417454438</v>
      </c>
      <c r="V45" s="32" t="n">
        <f aca="false">V44*(1-F44)*(1-(1-(1-MIN(1,G44*(1-Assumptions!$B$23)))^(1/12)))</f>
        <v>0.944250713519633</v>
      </c>
      <c r="W45" s="47" t="n">
        <f aca="false">V45*(IF(C45&lt;Assumptions!$B$5,Assumptions!$B$12*(1+Assumptions!$B$11)^(INT(A45/12)+1)/12+Pricing_M!$B$13*IF(A45=0,Assumptions!$B$14*12,IF(A45&gt;=12,Assumptions!$B$15,0))-Pricing_M!$B$13,Assumptions!$B$9/12*(1+Assumptions!$B$10)^INT(A45/12)+Assumptions!$B$12*(1+Assumptions!$B$11)^(INT(A45/12)+1)/12))*J45</f>
        <v>-822.629926399956</v>
      </c>
      <c r="X45" s="47" t="n">
        <f aca="false">I45*(IF(C45&lt;Assumptions!$B$5,Assumptions!$B$12*(1+Assumptions!$B$11)*(1+Assumptions!$B$24)*(1+Assumptions!$B$11+Assumptions!$B$25)^(INT(A45/12))/12+Pricing_M!$B$13*IF(A45=0,Assumptions!$B$14*12,IF(A45&gt;=12,Assumptions!$B$15,0))-Pricing_M!$B$13,Assumptions!$B$9/12*(1+Assumptions!$B$10)^INT(A45/12)+Assumptions!$B$12*(1+Assumptions!$B$11)*(1+Assumptions!$B$24)*(1+Assumptions!$B$11+Assumptions!$B$25)^(INT(A45/12))/12))*J45</f>
        <v>-789.7136317757</v>
      </c>
    </row>
    <row r="46" customFormat="false" ht="15" hidden="false" customHeight="true" outlineLevel="0" collapsed="false">
      <c r="A46" s="1" t="n">
        <v>39</v>
      </c>
      <c r="B46" s="31" t="n">
        <f aca="false">Assumptions!$B$4+A46/12</f>
        <v>68.25</v>
      </c>
      <c r="C46" s="34" t="n">
        <f aca="false">Assumptions!$B$4+INT(A46/12)</f>
        <v>68</v>
      </c>
      <c r="D46" s="34" t="n">
        <f aca="false">INT(A46/12)+1</f>
        <v>4</v>
      </c>
      <c r="E46" s="32" t="n">
        <f aca="false">IFERROR(INDEX(Cohort_Survival!$G$5:$G$65,MATCH(C46,Cohort_Survival!$A$5:$A$65,0)),1)</f>
        <v>0.00675420032480476</v>
      </c>
      <c r="F46" s="30" t="n">
        <f aca="false">1-(1-MIN(1,E46))^(1/12)</f>
        <v>0.000564599983914338</v>
      </c>
      <c r="G46" s="39" t="n">
        <f aca="false">IF(C46&lt;Assumptions!$B$5,IF(D46=1,Assumptions!$B$16,IF(D46=2,Assumptions!$B$17,IF(D46&lt;=5,Assumptions!$B$18,Assumptions!$B$19)))*(1-Assumptions!$B$20),0)</f>
        <v>0.0133</v>
      </c>
      <c r="H46" s="30" t="n">
        <f aca="false">1-(1-G46)^(1/12)</f>
        <v>0.0011151475202863</v>
      </c>
      <c r="I46" s="30" t="n">
        <f aca="false">I45*(1-F45)*(1-H45)</f>
        <v>0.90587989030381</v>
      </c>
      <c r="J46" s="30" t="n">
        <f aca="false">INDEX(Discount_Monthly!$G$4:$G$664,MATCH(A46,Discount_Monthly!$A$4:$A$664,0))</f>
        <v>0.919157998688344</v>
      </c>
      <c r="K46" s="30" t="n">
        <f aca="false">IF(C46&lt;Assumptions!$B$5,I46*J46,0)</f>
        <v>0.832646747023666</v>
      </c>
      <c r="L46" s="30" t="n">
        <f aca="false">IF(C46&lt;Assumptions!$B$5,I46*(1-F46)*H46*A46*J46,0)</f>
        <v>0.0361919887137008</v>
      </c>
      <c r="M46" s="30" t="n">
        <f aca="false">IF(A46=0,Assumptions!$B$14*12*I46*J46,IF(AND(A46&gt;=12,C46&lt;Assumptions!$B$5),Assumptions!$B$15*I46*J46,0))</f>
        <v>0.0416323373511833</v>
      </c>
      <c r="N46" s="47" t="n">
        <f aca="false">IF(C46&gt;=Assumptions!$B$5,I46*Assumptions!$B$9/12*(1+Assumptions!$B$10)^INT(A46/12)*J46,0)</f>
        <v>0</v>
      </c>
      <c r="O46" s="47" t="n">
        <f aca="false">I46*Assumptions!$B$12/12*(1+Assumptions!$B$11)^(INT(A46/12)+1)*J46</f>
        <v>6.1272414180113</v>
      </c>
      <c r="P46" s="47" t="n">
        <f aca="false">O46+Pricing_M!$B$13*M46+N46-Pricing_M!$B$13*K46</f>
        <v>-787.468995591151</v>
      </c>
      <c r="Q46" s="47" t="n">
        <f aca="false">IF(C46&lt;Assumptions!$B$5,Pricing_M!$B$13*K46-Pricing_M!$B$13*M46-O46,-(N46+O46))</f>
        <v>787.468995591151</v>
      </c>
      <c r="R46" s="32" t="n">
        <f aca="false">R45*(1-(1-(1-MIN(1,E45*(1-Assumptions!$B$21)))^(1/12)))*(1-H45)</f>
        <v>0.909286849903454</v>
      </c>
      <c r="S46" s="47" t="n">
        <f aca="false">R46*(IF(C46&lt;Assumptions!$B$5,Assumptions!$B$12*(1+Assumptions!$B$11)^(INT(A46/12)+1)/12+Pricing_M!$B$13*IF(A46=0,Assumptions!$B$14*12,IF(A46&gt;=12,Assumptions!$B$15,0))-Pricing_M!$B$13,Assumptions!$B$9/12*(1+Assumptions!$B$10)^INT(A46/12)+Assumptions!$B$12*(1+Assumptions!$B$11)^(INT(A46/12)+1)/12))*J46</f>
        <v>-790.430618961609</v>
      </c>
      <c r="T46" s="32" t="n">
        <f aca="false">T45*(1-F45)*(1-(1-(1-MIN(1,G45*(1+Assumptions!$B$23)))^(1/12)))</f>
        <v>0.86949702757415</v>
      </c>
      <c r="U46" s="47" t="n">
        <f aca="false">T46*(IF(C46&lt;Assumptions!$B$5,Assumptions!$B$12*(1+Assumptions!$B$11)^(INT(A46/12)+1)/12+Pricing_M!$B$13*IF(A46=0,Assumptions!$B$14*12,IF(A46&gt;=12,Assumptions!$B$15,0))-Pricing_M!$B$13,Assumptions!$B$9/12*(1+Assumptions!$B$10)^INT(A46/12)+Assumptions!$B$12*(1+Assumptions!$B$11)^(INT(A46/12)+1)/12))*J46</f>
        <v>-755.841870762442</v>
      </c>
      <c r="V46" s="32" t="n">
        <f aca="false">V45*(1-F45)*(1-(1-(1-MIN(1,G45*(1-Assumptions!$B$23)))^(1/12)))</f>
        <v>0.943193011956024</v>
      </c>
      <c r="W46" s="47" t="n">
        <f aca="false">V46*(IF(C46&lt;Assumptions!$B$5,Assumptions!$B$12*(1+Assumptions!$B$11)^(INT(A46/12)+1)/12+Pricing_M!$B$13*IF(A46=0,Assumptions!$B$14*12,IF(A46&gt;=12,Assumptions!$B$15,0))-Pricing_M!$B$13,Assumptions!$B$9/12*(1+Assumptions!$B$10)^INT(A46/12)+Assumptions!$B$12*(1+Assumptions!$B$11)^(INT(A46/12)+1)/12))*J46</f>
        <v>-819.904781774665</v>
      </c>
      <c r="X46" s="47" t="n">
        <f aca="false">I46*(IF(C46&lt;Assumptions!$B$5,Assumptions!$B$12*(1+Assumptions!$B$11)*(1+Assumptions!$B$24)*(1+Assumptions!$B$11+Assumptions!$B$25)^(INT(A46/12))/12+Pricing_M!$B$13*IF(A46=0,Assumptions!$B$14*12,IF(A46&gt;=12,Assumptions!$B$15,0))-Pricing_M!$B$13,Assumptions!$B$9/12*(1+Assumptions!$B$10)^INT(A46/12)+Assumptions!$B$12*(1+Assumptions!$B$11)*(1+Assumptions!$B$24)*(1+Assumptions!$B$11+Assumptions!$B$25)^(INT(A46/12))/12))*J46</f>
        <v>-786.65707334707</v>
      </c>
    </row>
    <row r="47" customFormat="false" ht="15" hidden="false" customHeight="true" outlineLevel="0" collapsed="false">
      <c r="A47" s="1" t="n">
        <v>40</v>
      </c>
      <c r="B47" s="31" t="n">
        <f aca="false">Assumptions!$B$4+A47/12</f>
        <v>68.3333333333333</v>
      </c>
      <c r="C47" s="34" t="n">
        <f aca="false">Assumptions!$B$4+INT(A47/12)</f>
        <v>68</v>
      </c>
      <c r="D47" s="34" t="n">
        <f aca="false">INT(A47/12)+1</f>
        <v>4</v>
      </c>
      <c r="E47" s="32" t="n">
        <f aca="false">IFERROR(INDEX(Cohort_Survival!$G$5:$G$65,MATCH(C47,Cohort_Survival!$A$5:$A$65,0)),1)</f>
        <v>0.00675420032480476</v>
      </c>
      <c r="F47" s="30" t="n">
        <f aca="false">1-(1-MIN(1,E47))^(1/12)</f>
        <v>0.000564599983914338</v>
      </c>
      <c r="G47" s="39" t="n">
        <f aca="false">IF(C47&lt;Assumptions!$B$5,IF(D47=1,Assumptions!$B$16,IF(D47=2,Assumptions!$B$17,IF(D47&lt;=5,Assumptions!$B$18,Assumptions!$B$19)))*(1-Assumptions!$B$20),0)</f>
        <v>0.0133</v>
      </c>
      <c r="H47" s="30" t="n">
        <f aca="false">1-(1-G47)^(1/12)</f>
        <v>0.0011151475202863</v>
      </c>
      <c r="I47" s="30" t="n">
        <f aca="false">I46*(1-F46)*(1-H46)</f>
        <v>0.904358811172062</v>
      </c>
      <c r="J47" s="30" t="n">
        <f aca="false">INDEX(Discount_Monthly!$G$4:$G$664,MATCH(A47,Discount_Monthly!$A$4:$A$664,0))</f>
        <v>0.917140417341334</v>
      </c>
      <c r="K47" s="30" t="n">
        <f aca="false">IF(C47&lt;Assumptions!$B$5,I47*J47,0)</f>
        <v>0.829424017504658</v>
      </c>
      <c r="L47" s="30" t="n">
        <f aca="false">IF(C47&lt;Assumptions!$B$5,I47*(1-F47)*H47*A47*J47,0)</f>
        <v>0.0369763168338437</v>
      </c>
      <c r="M47" s="30" t="n">
        <f aca="false">IF(A47=0,Assumptions!$B$14*12*I47*J47,IF(AND(A47&gt;=12,C47&lt;Assumptions!$B$5),Assumptions!$B$15*I47*J47,0))</f>
        <v>0.0414712008752329</v>
      </c>
      <c r="N47" s="47" t="n">
        <f aca="false">IF(C47&gt;=Assumptions!$B$5,I47*Assumptions!$B$9/12*(1+Assumptions!$B$10)^INT(A47/12)*J47,0)</f>
        <v>0</v>
      </c>
      <c r="O47" s="47" t="n">
        <f aca="false">I47*Assumptions!$B$12/12*(1+Assumptions!$B$11)^(INT(A47/12)+1)*J47</f>
        <v>6.10352614877078</v>
      </c>
      <c r="P47" s="47" t="n">
        <f aca="false">O47+Pricing_M!$B$13*M47+N47-Pricing_M!$B$13*K47</f>
        <v>-784.421124946768</v>
      </c>
      <c r="Q47" s="47" t="n">
        <f aca="false">IF(C47&lt;Assumptions!$B$5,Pricing_M!$B$13*K47-Pricing_M!$B$13*M47-O47,-(N47+O47))</f>
        <v>784.421124946768</v>
      </c>
      <c r="R47" s="32" t="n">
        <f aca="false">R46*(1-(1-(1-MIN(1,E46*(1-Assumptions!$B$21)))^(1/12)))*(1-H46)</f>
        <v>0.90786286744548</v>
      </c>
      <c r="S47" s="47" t="n">
        <f aca="false">R47*(IF(C47&lt;Assumptions!$B$5,Assumptions!$B$12*(1+Assumptions!$B$11)^(INT(A47/12)+1)/12+Pricing_M!$B$13*IF(A47=0,Assumptions!$B$14*12,IF(A47&gt;=12,Assumptions!$B$15,0))-Pricing_M!$B$13,Assumptions!$B$9/12*(1+Assumptions!$B$10)^INT(A47/12)+Assumptions!$B$12*(1+Assumptions!$B$11)^(INT(A47/12)+1)/12))*J47</f>
        <v>-787.460466997639</v>
      </c>
      <c r="T47" s="32" t="n">
        <f aca="false">T46*(1-F46)*(1-(1-(1-MIN(1,G46*(1+Assumptions!$B$23)))^(1/12)))</f>
        <v>0.867548005863389</v>
      </c>
      <c r="U47" s="47" t="n">
        <f aca="false">T47*(IF(C47&lt;Assumptions!$B$5,Assumptions!$B$12*(1+Assumptions!$B$11)^(INT(A47/12)+1)/12+Pricing_M!$B$13*IF(A47=0,Assumptions!$B$14*12,IF(A47&gt;=12,Assumptions!$B$15,0))-Pricing_M!$B$13,Assumptions!$B$9/12*(1+Assumptions!$B$10)^INT(A47/12)+Assumptions!$B$12*(1+Assumptions!$B$11)^(INT(A47/12)+1)/12))*J47</f>
        <v>-752.492234606215</v>
      </c>
      <c r="V47" s="32" t="n">
        <f aca="false">V46*(1-F46)*(1-(1-(1-MIN(1,G46*(1-Assumptions!$B$23)))^(1/12)))</f>
        <v>0.942136495175842</v>
      </c>
      <c r="W47" s="47" t="n">
        <f aca="false">V47*(IF(C47&lt;Assumptions!$B$5,Assumptions!$B$12*(1+Assumptions!$B$11)^(INT(A47/12)+1)/12+Pricing_M!$B$13*IF(A47=0,Assumptions!$B$14*12,IF(A47&gt;=12,Assumptions!$B$15,0))-Pricing_M!$B$13,Assumptions!$B$9/12*(1+Assumptions!$B$10)^INT(A47/12)+Assumptions!$B$12*(1+Assumptions!$B$11)^(INT(A47/12)+1)/12))*J47</f>
        <v>-817.188664797154</v>
      </c>
      <c r="X47" s="47" t="n">
        <f aca="false">I47*(IF(C47&lt;Assumptions!$B$5,Assumptions!$B$12*(1+Assumptions!$B$11)*(1+Assumptions!$B$24)*(1+Assumptions!$B$11+Assumptions!$B$25)^(INT(A47/12))/12+Pricing_M!$B$13*IF(A47=0,Assumptions!$B$14*12,IF(A47&gt;=12,Assumptions!$B$15,0))-Pricing_M!$B$13,Assumptions!$B$9/12*(1+Assumptions!$B$10)^INT(A47/12)+Assumptions!$B$12*(1+Assumptions!$B$11)*(1+Assumptions!$B$24)*(1+Assumptions!$B$11+Assumptions!$B$25)^(INT(A47/12))/12))*J47</f>
        <v>-783.612345218756</v>
      </c>
    </row>
    <row r="48" customFormat="false" ht="15" hidden="false" customHeight="true" outlineLevel="0" collapsed="false">
      <c r="A48" s="1" t="n">
        <v>41</v>
      </c>
      <c r="B48" s="31" t="n">
        <f aca="false">Assumptions!$B$4+A48/12</f>
        <v>68.4166666666667</v>
      </c>
      <c r="C48" s="34" t="n">
        <f aca="false">Assumptions!$B$4+INT(A48/12)</f>
        <v>68</v>
      </c>
      <c r="D48" s="34" t="n">
        <f aca="false">INT(A48/12)+1</f>
        <v>4</v>
      </c>
      <c r="E48" s="32" t="n">
        <f aca="false">IFERROR(INDEX(Cohort_Survival!$G$5:$G$65,MATCH(C48,Cohort_Survival!$A$5:$A$65,0)),1)</f>
        <v>0.00675420032480476</v>
      </c>
      <c r="F48" s="30" t="n">
        <f aca="false">1-(1-MIN(1,E48))^(1/12)</f>
        <v>0.000564599983914338</v>
      </c>
      <c r="G48" s="39" t="n">
        <f aca="false">IF(C48&lt;Assumptions!$B$5,IF(D48=1,Assumptions!$B$16,IF(D48=2,Assumptions!$B$17,IF(D48&lt;=5,Assumptions!$B$18,Assumptions!$B$19)))*(1-Assumptions!$B$20),0)</f>
        <v>0.0133</v>
      </c>
      <c r="H48" s="30" t="n">
        <f aca="false">1-(1-G48)^(1/12)</f>
        <v>0.0011151475202863</v>
      </c>
      <c r="I48" s="30" t="n">
        <f aca="false">I47*(1-F47)*(1-H47)</f>
        <v>0.9028402861115</v>
      </c>
      <c r="J48" s="30" t="n">
        <f aca="false">INDEX(Discount_Monthly!$G$4:$G$664,MATCH(A48,Discount_Monthly!$A$4:$A$664,0))</f>
        <v>0.915127264650223</v>
      </c>
      <c r="K48" s="30" t="n">
        <f aca="false">IF(C48&lt;Assumptions!$B$5,I48*J48,0)</f>
        <v>0.826213761445242</v>
      </c>
      <c r="L48" s="30" t="n">
        <f aca="false">IF(C48&lt;Assumptions!$B$5,I48*(1-F48)*H48*A48*J48,0)</f>
        <v>0.037754031352121</v>
      </c>
      <c r="M48" s="30" t="n">
        <f aca="false">IF(A48=0,Assumptions!$B$14*12*I48*J48,IF(AND(A48&gt;=12,C48&lt;Assumptions!$B$5),Assumptions!$B$15*I48*J48,0))</f>
        <v>0.0413106880722621</v>
      </c>
      <c r="N48" s="47" t="n">
        <f aca="false">IF(C48&gt;=Assumptions!$B$5,I48*Assumptions!$B$9/12*(1+Assumptions!$B$10)^INT(A48/12)*J48,0)</f>
        <v>0</v>
      </c>
      <c r="O48" s="47" t="n">
        <f aca="false">I48*Assumptions!$B$12/12*(1+Assumptions!$B$11)^(INT(A48/12)+1)*J48</f>
        <v>6.07990266863351</v>
      </c>
      <c r="P48" s="47" t="n">
        <f aca="false">O48+Pricing_M!$B$13*M48+N48-Pricing_M!$B$13*K48</f>
        <v>-781.385050976941</v>
      </c>
      <c r="Q48" s="47" t="n">
        <f aca="false">IF(C48&lt;Assumptions!$B$5,Pricing_M!$B$13*K48-Pricing_M!$B$13*M48-O48,-(N48+O48))</f>
        <v>781.385050976941</v>
      </c>
      <c r="R48" s="32" t="n">
        <f aca="false">R47*(1-(1-(1-MIN(1,E47*(1-Assumptions!$B$21)))^(1/12)))*(1-H47)</f>
        <v>0.906441115005504</v>
      </c>
      <c r="S48" s="47" t="n">
        <f aca="false">R48*(IF(C48&lt;Assumptions!$B$5,Assumptions!$B$12*(1+Assumptions!$B$11)^(INT(A48/12)+1)/12+Pricing_M!$B$13*IF(A48=0,Assumptions!$B$14*12,IF(A48&gt;=12,Assumptions!$B$15,0))-Pricing_M!$B$13,Assumptions!$B$9/12*(1+Assumptions!$B$10)^INT(A48/12)+Assumptions!$B$12*(1+Assumptions!$B$11)^(INT(A48/12)+1)/12))*J48</f>
        <v>-784.501475788929</v>
      </c>
      <c r="T48" s="32" t="n">
        <f aca="false">T47*(1-F47)*(1-(1-(1-MIN(1,G47*(1+Assumptions!$B$23)))^(1/12)))</f>
        <v>0.865603352983698</v>
      </c>
      <c r="U48" s="47" t="n">
        <f aca="false">T48*(IF(C48&lt;Assumptions!$B$5,Assumptions!$B$12*(1+Assumptions!$B$11)^(INT(A48/12)+1)/12+Pricing_M!$B$13*IF(A48=0,Assumptions!$B$14*12,IF(A48&gt;=12,Assumptions!$B$15,0))-Pricing_M!$B$13,Assumptions!$B$9/12*(1+Assumptions!$B$10)^INT(A48/12)+Assumptions!$B$12*(1+Assumptions!$B$11)^(INT(A48/12)+1)/12))*J48</f>
        <v>-749.157442907291</v>
      </c>
      <c r="V48" s="32" t="n">
        <f aca="false">V47*(1-F47)*(1-(1-(1-MIN(1,G47*(1-Assumptions!$B$23)))^(1/12)))</f>
        <v>0.941081161851955</v>
      </c>
      <c r="W48" s="47" t="n">
        <f aca="false">V48*(IF(C48&lt;Assumptions!$B$5,Assumptions!$B$12*(1+Assumptions!$B$11)^(INT(A48/12)+1)/12+Pricing_M!$B$13*IF(A48=0,Assumptions!$B$14*12,IF(A48&gt;=12,Assumptions!$B$15,0))-Pricing_M!$B$13,Assumptions!$B$9/12*(1+Assumptions!$B$10)^INT(A48/12)+Assumptions!$B$12*(1+Assumptions!$B$11)^(INT(A48/12)+1)/12))*J48</f>
        <v>-814.481545561331</v>
      </c>
      <c r="X48" s="47" t="n">
        <f aca="false">I48*(IF(C48&lt;Assumptions!$B$5,Assumptions!$B$12*(1+Assumptions!$B$11)*(1+Assumptions!$B$24)*(1+Assumptions!$B$11+Assumptions!$B$25)^(INT(A48/12))/12+Pricing_M!$B$13*IF(A48=0,Assumptions!$B$14*12,IF(A48&gt;=12,Assumptions!$B$15,0))-Pricing_M!$B$13,Assumptions!$B$9/12*(1+Assumptions!$B$10)^INT(A48/12)+Assumptions!$B$12*(1+Assumptions!$B$11)*(1+Assumptions!$B$24)*(1+Assumptions!$B$11+Assumptions!$B$25)^(INT(A48/12))/12))*J48</f>
        <v>-780.579401602003</v>
      </c>
    </row>
    <row r="49" customFormat="false" ht="15" hidden="false" customHeight="true" outlineLevel="0" collapsed="false">
      <c r="A49" s="1" t="n">
        <v>42</v>
      </c>
      <c r="B49" s="31" t="n">
        <f aca="false">Assumptions!$B$4+A49/12</f>
        <v>68.5</v>
      </c>
      <c r="C49" s="34" t="n">
        <f aca="false">Assumptions!$B$4+INT(A49/12)</f>
        <v>68</v>
      </c>
      <c r="D49" s="34" t="n">
        <f aca="false">INT(A49/12)+1</f>
        <v>4</v>
      </c>
      <c r="E49" s="32" t="n">
        <f aca="false">IFERROR(INDEX(Cohort_Survival!$G$5:$G$65,MATCH(C49,Cohort_Survival!$A$5:$A$65,0)),1)</f>
        <v>0.00675420032480476</v>
      </c>
      <c r="F49" s="30" t="n">
        <f aca="false">1-(1-MIN(1,E49))^(1/12)</f>
        <v>0.000564599983914338</v>
      </c>
      <c r="G49" s="39" t="n">
        <f aca="false">IF(C49&lt;Assumptions!$B$5,IF(D49=1,Assumptions!$B$16,IF(D49=2,Assumptions!$B$17,IF(D49&lt;=5,Assumptions!$B$18,Assumptions!$B$19)))*(1-Assumptions!$B$20),0)</f>
        <v>0.0133</v>
      </c>
      <c r="H49" s="30" t="n">
        <f aca="false">1-(1-G49)^(1/12)</f>
        <v>0.0011151475202863</v>
      </c>
      <c r="I49" s="30" t="n">
        <f aca="false">I48*(1-F48)*(1-H48)</f>
        <v>0.901324310833536</v>
      </c>
      <c r="J49" s="30" t="n">
        <f aca="false">INDEX(Discount_Monthly!$G$4:$G$664,MATCH(A49,Discount_Monthly!$A$4:$A$664,0))</f>
        <v>0.913118530893967</v>
      </c>
      <c r="K49" s="30" t="n">
        <f aca="false">IF(C49&lt;Assumptions!$B$5,I49*J49,0)</f>
        <v>0.823015930567336</v>
      </c>
      <c r="L49" s="30" t="n">
        <f aca="false">IF(C49&lt;Assumptions!$B$5,I49*(1-F49)*H49*A49*J49,0)</f>
        <v>0.03852517171433</v>
      </c>
      <c r="M49" s="30" t="n">
        <f aca="false">IF(A49=0,Assumptions!$B$14*12*I49*J49,IF(AND(A49&gt;=12,C49&lt;Assumptions!$B$5),Assumptions!$B$15*I49*J49,0))</f>
        <v>0.0411507965283668</v>
      </c>
      <c r="N49" s="47" t="n">
        <f aca="false">IF(C49&gt;=Assumptions!$B$5,I49*Assumptions!$B$9/12*(1+Assumptions!$B$10)^INT(A49/12)*J49,0)</f>
        <v>0</v>
      </c>
      <c r="O49" s="47" t="n">
        <f aca="false">I49*Assumptions!$B$12/12*(1+Assumptions!$B$11)^(INT(A49/12)+1)*J49</f>
        <v>6.05637062233303</v>
      </c>
      <c r="P49" s="47" t="n">
        <f aca="false">O49+Pricing_M!$B$13*M49+N49-Pricing_M!$B$13*K49</f>
        <v>-778.360728023064</v>
      </c>
      <c r="Q49" s="47" t="n">
        <f aca="false">IF(C49&lt;Assumptions!$B$5,Pricing_M!$B$13*K49-Pricing_M!$B$13*M49-O49,-(N49+O49))</f>
        <v>778.360728023064</v>
      </c>
      <c r="R49" s="32" t="n">
        <f aca="false">R48*(1-(1-(1-MIN(1,E48*(1-Assumptions!$B$21)))^(1/12)))*(1-H48)</f>
        <v>0.905021589091221</v>
      </c>
      <c r="S49" s="47" t="n">
        <f aca="false">R49*(IF(C49&lt;Assumptions!$B$5,Assumptions!$B$12*(1+Assumptions!$B$11)^(INT(A49/12)+1)/12+Pricing_M!$B$13*IF(A49=0,Assumptions!$B$14*12,IF(A49&gt;=12,Assumptions!$B$15,0))-Pricing_M!$B$13,Assumptions!$B$9/12*(1+Assumptions!$B$10)^INT(A49/12)+Assumptions!$B$12*(1+Assumptions!$B$11)^(INT(A49/12)+1)/12))*J49</f>
        <v>-781.553603397405</v>
      </c>
      <c r="T49" s="32" t="n">
        <f aca="false">T48*(1-F48)*(1-(1-(1-MIN(1,G48*(1+Assumptions!$B$23)))^(1/12)))</f>
        <v>0.86366305914212</v>
      </c>
      <c r="U49" s="47" t="n">
        <f aca="false">T49*(IF(C49&lt;Assumptions!$B$5,Assumptions!$B$12*(1+Assumptions!$B$11)^(INT(A49/12)+1)/12+Pricing_M!$B$13*IF(A49=0,Assumptions!$B$14*12,IF(A49&gt;=12,Assumptions!$B$15,0))-Pricing_M!$B$13,Assumptions!$B$9/12*(1+Assumptions!$B$10)^INT(A49/12)+Assumptions!$B$12*(1+Assumptions!$B$11)^(INT(A49/12)+1)/12))*J49</f>
        <v>-745.837429880044</v>
      </c>
      <c r="V49" s="32" t="n">
        <f aca="false">V48*(1-F48)*(1-(1-(1-MIN(1,G48*(1-Assumptions!$B$23)))^(1/12)))</f>
        <v>0.940027010658715</v>
      </c>
      <c r="W49" s="47" t="n">
        <f aca="false">V49*(IF(C49&lt;Assumptions!$B$5,Assumptions!$B$12*(1+Assumptions!$B$11)^(INT(A49/12)+1)/12+Pricing_M!$B$13*IF(A49=0,Assumptions!$B$14*12,IF(A49&gt;=12,Assumptions!$B$15,0))-Pricing_M!$B$13,Assumptions!$B$9/12*(1+Assumptions!$B$10)^INT(A49/12)+Assumptions!$B$12*(1+Assumptions!$B$11)^(INT(A49/12)+1)/12))*J49</f>
        <v>-811.783394260176</v>
      </c>
      <c r="X49" s="47" t="n">
        <f aca="false">I49*(IF(C49&lt;Assumptions!$B$5,Assumptions!$B$12*(1+Assumptions!$B$11)*(1+Assumptions!$B$24)*(1+Assumptions!$B$11+Assumptions!$B$25)^(INT(A49/12))/12+Pricing_M!$B$13*IF(A49=0,Assumptions!$B$14*12,IF(A49&gt;=12,Assumptions!$B$15,0))-Pricing_M!$B$13,Assumptions!$B$9/12*(1+Assumptions!$B$10)^INT(A49/12)+Assumptions!$B$12*(1+Assumptions!$B$11)*(1+Assumptions!$B$24)*(1+Assumptions!$B$11+Assumptions!$B$25)^(INT(A49/12))/12))*J49</f>
        <v>-777.55819688528</v>
      </c>
    </row>
    <row r="50" customFormat="false" ht="15" hidden="false" customHeight="true" outlineLevel="0" collapsed="false">
      <c r="A50" s="1" t="n">
        <v>43</v>
      </c>
      <c r="B50" s="31" t="n">
        <f aca="false">Assumptions!$B$4+A50/12</f>
        <v>68.5833333333333</v>
      </c>
      <c r="C50" s="34" t="n">
        <f aca="false">Assumptions!$B$4+INT(A50/12)</f>
        <v>68</v>
      </c>
      <c r="D50" s="34" t="n">
        <f aca="false">INT(A50/12)+1</f>
        <v>4</v>
      </c>
      <c r="E50" s="32" t="n">
        <f aca="false">IFERROR(INDEX(Cohort_Survival!$G$5:$G$65,MATCH(C50,Cohort_Survival!$A$5:$A$65,0)),1)</f>
        <v>0.00675420032480476</v>
      </c>
      <c r="F50" s="30" t="n">
        <f aca="false">1-(1-MIN(1,E50))^(1/12)</f>
        <v>0.000564599983914338</v>
      </c>
      <c r="G50" s="39" t="n">
        <f aca="false">IF(C50&lt;Assumptions!$B$5,IF(D50=1,Assumptions!$B$16,IF(D50=2,Assumptions!$B$17,IF(D50&lt;=5,Assumptions!$B$18,Assumptions!$B$19)))*(1-Assumptions!$B$20),0)</f>
        <v>0.0133</v>
      </c>
      <c r="H50" s="30" t="n">
        <f aca="false">1-(1-G50)^(1/12)</f>
        <v>0.0011151475202863</v>
      </c>
      <c r="I50" s="30" t="n">
        <f aca="false">I49*(1-F49)*(1-H49)</f>
        <v>0.899810881056785</v>
      </c>
      <c r="J50" s="30" t="n">
        <f aca="false">INDEX(Discount_Monthly!$G$4:$G$664,MATCH(A50,Discount_Monthly!$A$4:$A$664,0))</f>
        <v>0.911114206372863</v>
      </c>
      <c r="K50" s="30" t="n">
        <f aca="false">IF(C50&lt;Assumptions!$B$5,I50*J50,0)</f>
        <v>0.81983047677972</v>
      </c>
      <c r="L50" s="30" t="n">
        <f aca="false">IF(C50&lt;Assumptions!$B$5,I50*(1-F50)*H50*A50*J50,0)</f>
        <v>0.039289777159996</v>
      </c>
      <c r="M50" s="30" t="n">
        <f aca="false">IF(A50=0,Assumptions!$B$14*12*I50*J50,IF(AND(A50&gt;=12,C50&lt;Assumptions!$B$5),Assumptions!$B$15*I50*J50,0))</f>
        <v>0.040991523838986</v>
      </c>
      <c r="N50" s="47" t="n">
        <f aca="false">IF(C50&gt;=Assumptions!$B$5,I50*Assumptions!$B$9/12*(1+Assumptions!$B$10)^INT(A50/12)*J50,0)</f>
        <v>0</v>
      </c>
      <c r="O50" s="47" t="n">
        <f aca="false">I50*Assumptions!$B$12/12*(1+Assumptions!$B$11)^(INT(A50/12)+1)*J50</f>
        <v>6.03292965597796</v>
      </c>
      <c r="P50" s="47" t="n">
        <f aca="false">O50+Pricing_M!$B$13*M50+N50-Pricing_M!$B$13*K50</f>
        <v>-775.348110603249</v>
      </c>
      <c r="Q50" s="47" t="n">
        <f aca="false">IF(C50&lt;Assumptions!$B$5,Pricing_M!$B$13*K50-Pricing_M!$B$13*M50-O50,-(N50+O50))</f>
        <v>775.348110603249</v>
      </c>
      <c r="R50" s="32" t="n">
        <f aca="false">R49*(1-(1-(1-MIN(1,E49*(1-Assumptions!$B$21)))^(1/12)))*(1-H49)</f>
        <v>0.903604286215797</v>
      </c>
      <c r="S50" s="47" t="n">
        <f aca="false">R50*(IF(C50&lt;Assumptions!$B$5,Assumptions!$B$12*(1+Assumptions!$B$11)^(INT(A50/12)+1)/12+Pricing_M!$B$13*IF(A50=0,Assumptions!$B$14*12,IF(A50&gt;=12,Assumptions!$B$15,0))-Pricing_M!$B$13,Assumptions!$B$9/12*(1+Assumptions!$B$10)^INT(A50/12)+Assumptions!$B$12*(1+Assumptions!$B$11)^(INT(A50/12)+1)/12))*J50</f>
        <v>-778.616808042579</v>
      </c>
      <c r="T50" s="32" t="n">
        <f aca="false">T49*(1-F49)*(1-(1-(1-MIN(1,G49*(1+Assumptions!$B$23)))^(1/12)))</f>
        <v>0.86172711456765</v>
      </c>
      <c r="U50" s="47" t="n">
        <f aca="false">T50*(IF(C50&lt;Assumptions!$B$5,Assumptions!$B$12*(1+Assumptions!$B$11)^(INT(A50/12)+1)/12+Pricing_M!$B$13*IF(A50=0,Assumptions!$B$14*12,IF(A50&gt;=12,Assumptions!$B$15,0))-Pricing_M!$B$13,Assumptions!$B$9/12*(1+Assumptions!$B$10)^INT(A50/12)+Assumptions!$B$12*(1+Assumptions!$B$11)^(INT(A50/12)+1)/12))*J50</f>
        <v>-742.532130030389</v>
      </c>
      <c r="V50" s="32" t="n">
        <f aca="false">V49*(1-F49)*(1-(1-(1-MIN(1,G49*(1-Assumptions!$B$23)))^(1/12)))</f>
        <v>0.938974040271959</v>
      </c>
      <c r="W50" s="47" t="n">
        <f aca="false">V50*(IF(C50&lt;Assumptions!$B$5,Assumptions!$B$12*(1+Assumptions!$B$11)^(INT(A50/12)+1)/12+Pricing_M!$B$13*IF(A50=0,Assumptions!$B$14*12,IF(A50&gt;=12,Assumptions!$B$15,0))-Pricing_M!$B$13,Assumptions!$B$9/12*(1+Assumptions!$B$10)^INT(A50/12)+Assumptions!$B$12*(1+Assumptions!$B$11)^(INT(A50/12)+1)/12))*J50</f>
        <v>-809.09418118541</v>
      </c>
      <c r="X50" s="47" t="n">
        <f aca="false">I50*(IF(C50&lt;Assumptions!$B$5,Assumptions!$B$12*(1+Assumptions!$B$11)*(1+Assumptions!$B$24)*(1+Assumptions!$B$11+Assumptions!$B$25)^(INT(A50/12))/12+Pricing_M!$B$13*IF(A50=0,Assumptions!$B$14*12,IF(A50&gt;=12,Assumptions!$B$15,0))-Pricing_M!$B$13,Assumptions!$B$9/12*(1+Assumptions!$B$10)^INT(A50/12)+Assumptions!$B$12*(1+Assumptions!$B$11)*(1+Assumptions!$B$24)*(1+Assumptions!$B$11+Assumptions!$B$25)^(INT(A50/12))/12))*J50</f>
        <v>-774.548685633593</v>
      </c>
    </row>
    <row r="51" customFormat="false" ht="15" hidden="false" customHeight="true" outlineLevel="0" collapsed="false">
      <c r="A51" s="1" t="n">
        <v>44</v>
      </c>
      <c r="B51" s="31" t="n">
        <f aca="false">Assumptions!$B$4+A51/12</f>
        <v>68.6666666666667</v>
      </c>
      <c r="C51" s="34" t="n">
        <f aca="false">Assumptions!$B$4+INT(A51/12)</f>
        <v>68</v>
      </c>
      <c r="D51" s="34" t="n">
        <f aca="false">INT(A51/12)+1</f>
        <v>4</v>
      </c>
      <c r="E51" s="32" t="n">
        <f aca="false">IFERROR(INDEX(Cohort_Survival!$G$5:$G$65,MATCH(C51,Cohort_Survival!$A$5:$A$65,0)),1)</f>
        <v>0.00675420032480476</v>
      </c>
      <c r="F51" s="30" t="n">
        <f aca="false">1-(1-MIN(1,E51))^(1/12)</f>
        <v>0.000564599983914338</v>
      </c>
      <c r="G51" s="39" t="n">
        <f aca="false">IF(C51&lt;Assumptions!$B$5,IF(D51=1,Assumptions!$B$16,IF(D51=2,Assumptions!$B$17,IF(D51&lt;=5,Assumptions!$B$18,Assumptions!$B$19)))*(1-Assumptions!$B$20),0)</f>
        <v>0.0133</v>
      </c>
      <c r="H51" s="30" t="n">
        <f aca="false">1-(1-G51)^(1/12)</f>
        <v>0.0011151475202863</v>
      </c>
      <c r="I51" s="30" t="n">
        <f aca="false">I50*(1-F50)*(1-H50)</f>
        <v>0.898299992507051</v>
      </c>
      <c r="J51" s="30" t="n">
        <f aca="false">INDEX(Discount_Monthly!$G$4:$G$664,MATCH(A51,Discount_Monthly!$A$4:$A$664,0))</f>
        <v>0.909114281408498</v>
      </c>
      <c r="K51" s="30" t="n">
        <f aca="false">IF(C51&lt;Assumptions!$B$5,I51*J51,0)</f>
        <v>0.816657352177306</v>
      </c>
      <c r="L51" s="30" t="n">
        <f aca="false">IF(C51&lt;Assumptions!$B$5,I51*(1-F51)*H51*A51*J51,0)</f>
        <v>0.0400478867233779</v>
      </c>
      <c r="M51" s="30" t="n">
        <f aca="false">IF(A51=0,Assumptions!$B$14*12*I51*J51,IF(AND(A51&gt;=12,C51&lt;Assumptions!$B$5),Assumptions!$B$15*I51*J51,0))</f>
        <v>0.0408328676088653</v>
      </c>
      <c r="N51" s="47" t="n">
        <f aca="false">IF(C51&gt;=Assumptions!$B$5,I51*Assumptions!$B$9/12*(1+Assumptions!$B$10)^INT(A51/12)*J51,0)</f>
        <v>0</v>
      </c>
      <c r="O51" s="47" t="n">
        <f aca="false">I51*Assumptions!$B$12/12*(1+Assumptions!$B$11)^(INT(A51/12)+1)*J51</f>
        <v>6.00957941704661</v>
      </c>
      <c r="P51" s="47" t="n">
        <f aca="false">O51+Pricing_M!$B$13*M51+N51-Pricing_M!$B$13*K51</f>
        <v>-772.347153411643</v>
      </c>
      <c r="Q51" s="47" t="n">
        <f aca="false">IF(C51&lt;Assumptions!$B$5,Pricing_M!$B$13*K51-Pricing_M!$B$13*M51-O51,-(N51+O51))</f>
        <v>772.347153411643</v>
      </c>
      <c r="R51" s="32" t="n">
        <f aca="false">R50*(1-(1-(1-MIN(1,E50*(1-Assumptions!$B$21)))^(1/12)))*(1-H50)</f>
        <v>0.902189202897855</v>
      </c>
      <c r="S51" s="47" t="n">
        <f aca="false">R51*(IF(C51&lt;Assumptions!$B$5,Assumptions!$B$12*(1+Assumptions!$B$11)^(INT(A51/12)+1)/12+Pricing_M!$B$13*IF(A51=0,Assumptions!$B$14*12,IF(A51&gt;=12,Assumptions!$B$15,0))-Pricing_M!$B$13,Assumptions!$B$9/12*(1+Assumptions!$B$10)^INT(A51/12)+Assumptions!$B$12*(1+Assumptions!$B$11)^(INT(A51/12)+1)/12))*J51</f>
        <v>-775.691048100959</v>
      </c>
      <c r="T51" s="32" t="n">
        <f aca="false">T50*(1-F50)*(1-(1-(1-MIN(1,G50*(1+Assumptions!$B$23)))^(1/12)))</f>
        <v>0.859795509511184</v>
      </c>
      <c r="U51" s="47" t="n">
        <f aca="false">T51*(IF(C51&lt;Assumptions!$B$5,Assumptions!$B$12*(1+Assumptions!$B$11)^(INT(A51/12)+1)/12+Pricing_M!$B$13*IF(A51=0,Assumptions!$B$14*12,IF(A51&gt;=12,Assumptions!$B$15,0))-Pricing_M!$B$13,Assumptions!$B$9/12*(1+Assumptions!$B$10)^INT(A51/12)+Assumptions!$B$12*(1+Assumptions!$B$11)^(INT(A51/12)+1)/12))*J51</f>
        <v>-739.241478154486</v>
      </c>
      <c r="V51" s="32" t="n">
        <f aca="false">V50*(1-F50)*(1-(1-(1-MIN(1,G50*(1-Assumptions!$B$23)))^(1/12)))</f>
        <v>0.937922249369008</v>
      </c>
      <c r="W51" s="47" t="n">
        <f aca="false">V51*(IF(C51&lt;Assumptions!$B$5,Assumptions!$B$12*(1+Assumptions!$B$11)^(INT(A51/12)+1)/12+Pricing_M!$B$13*IF(A51=0,Assumptions!$B$14*12,IF(A51&gt;=12,Assumptions!$B$15,0))-Pricing_M!$B$13,Assumptions!$B$9/12*(1+Assumptions!$B$10)^INT(A51/12)+Assumptions!$B$12*(1+Assumptions!$B$11)^(INT(A51/12)+1)/12))*J51</f>
        <v>-806.41387672717</v>
      </c>
      <c r="X51" s="47" t="n">
        <f aca="false">I51*(IF(C51&lt;Assumptions!$B$5,Assumptions!$B$12*(1+Assumptions!$B$11)*(1+Assumptions!$B$24)*(1+Assumptions!$B$11+Assumptions!$B$25)^(INT(A51/12))/12+Pricing_M!$B$13*IF(A51=0,Assumptions!$B$14*12,IF(A51&gt;=12,Assumptions!$B$15,0))-Pricing_M!$B$13,Assumptions!$B$9/12*(1+Assumptions!$B$10)^INT(A51/12)+Assumptions!$B$12*(1+Assumptions!$B$11)*(1+Assumptions!$B$24)*(1+Assumptions!$B$11+Assumptions!$B$25)^(INT(A51/12))/12))*J51</f>
        <v>-771.550822587802</v>
      </c>
    </row>
    <row r="52" customFormat="false" ht="15" hidden="false" customHeight="true" outlineLevel="0" collapsed="false">
      <c r="A52" s="1" t="n">
        <v>45</v>
      </c>
      <c r="B52" s="31" t="n">
        <f aca="false">Assumptions!$B$4+A52/12</f>
        <v>68.75</v>
      </c>
      <c r="C52" s="34" t="n">
        <f aca="false">Assumptions!$B$4+INT(A52/12)</f>
        <v>68</v>
      </c>
      <c r="D52" s="34" t="n">
        <f aca="false">INT(A52/12)+1</f>
        <v>4</v>
      </c>
      <c r="E52" s="32" t="n">
        <f aca="false">IFERROR(INDEX(Cohort_Survival!$G$5:$G$65,MATCH(C52,Cohort_Survival!$A$5:$A$65,0)),1)</f>
        <v>0.00675420032480476</v>
      </c>
      <c r="F52" s="30" t="n">
        <f aca="false">1-(1-MIN(1,E52))^(1/12)</f>
        <v>0.000564599983914338</v>
      </c>
      <c r="G52" s="39" t="n">
        <f aca="false">IF(C52&lt;Assumptions!$B$5,IF(D52=1,Assumptions!$B$16,IF(D52=2,Assumptions!$B$17,IF(D52&lt;=5,Assumptions!$B$18,Assumptions!$B$19)))*(1-Assumptions!$B$20),0)</f>
        <v>0.0133</v>
      </c>
      <c r="H52" s="30" t="n">
        <f aca="false">1-(1-G52)^(1/12)</f>
        <v>0.0011151475202863</v>
      </c>
      <c r="I52" s="30" t="n">
        <f aca="false">I51*(1-F51)*(1-H51)</f>
        <v>0.896791640917313</v>
      </c>
      <c r="J52" s="30" t="n">
        <f aca="false">INDEX(Discount_Monthly!$G$4:$G$664,MATCH(A52,Discount_Monthly!$A$4:$A$664,0))</f>
        <v>0.907118746343702</v>
      </c>
      <c r="K52" s="30" t="n">
        <f aca="false">IF(C52&lt;Assumptions!$B$5,I52*J52,0)</f>
        <v>0.813496509040425</v>
      </c>
      <c r="L52" s="30" t="n">
        <f aca="false">IF(C52&lt;Assumptions!$B$5,I52*(1-F52)*H52*A52*J52,0)</f>
        <v>0.0407995392344695</v>
      </c>
      <c r="M52" s="30" t="n">
        <f aca="false">IF(A52=0,Assumptions!$B$14*12*I52*J52,IF(AND(A52&gt;=12,C52&lt;Assumptions!$B$5),Assumptions!$B$15*I52*J52,0))</f>
        <v>0.0406748254520212</v>
      </c>
      <c r="N52" s="47" t="n">
        <f aca="false">IF(C52&gt;=Assumptions!$B$5,I52*Assumptions!$B$9/12*(1+Assumptions!$B$10)^INT(A52/12)*J52,0)</f>
        <v>0</v>
      </c>
      <c r="O52" s="47" t="n">
        <f aca="false">I52*Assumptions!$B$12/12*(1+Assumptions!$B$11)^(INT(A52/12)+1)*J52</f>
        <v>5.98631955438172</v>
      </c>
      <c r="P52" s="47" t="n">
        <f aca="false">O52+Pricing_M!$B$13*M52+N52-Pricing_M!$B$13*K52</f>
        <v>-769.357811317749</v>
      </c>
      <c r="Q52" s="47" t="n">
        <f aca="false">IF(C52&lt;Assumptions!$B$5,Pricing_M!$B$13*K52-Pricing_M!$B$13*M52-O52,-(N52+O52))</f>
        <v>769.357811317749</v>
      </c>
      <c r="R52" s="32" t="n">
        <f aca="false">R51*(1-(1-(1-MIN(1,E51*(1-Assumptions!$B$21)))^(1/12)))*(1-H51)</f>
        <v>0.900776335661475</v>
      </c>
      <c r="S52" s="47" t="n">
        <f aca="false">R52*(IF(C52&lt;Assumptions!$B$5,Assumptions!$B$12*(1+Assumptions!$B$11)^(INT(A52/12)+1)/12+Pricing_M!$B$13*IF(A52=0,Assumptions!$B$14*12,IF(A52&gt;=12,Assumptions!$B$15,0))-Pricing_M!$B$13,Assumptions!$B$9/12*(1+Assumptions!$B$10)^INT(A52/12)+Assumptions!$B$12*(1+Assumptions!$B$11)^(INT(A52/12)+1)/12))*J52</f>
        <v>-772.776282105458</v>
      </c>
      <c r="T52" s="32" t="n">
        <f aca="false">T51*(1-F51)*(1-(1-(1-MIN(1,G51*(1+Assumptions!$B$23)))^(1/12)))</f>
        <v>0.857868234245474</v>
      </c>
      <c r="U52" s="47" t="n">
        <f aca="false">T52*(IF(C52&lt;Assumptions!$B$5,Assumptions!$B$12*(1+Assumptions!$B$11)^(INT(A52/12)+1)/12+Pricing_M!$B$13*IF(A52=0,Assumptions!$B$14*12,IF(A52&gt;=12,Assumptions!$B$15,0))-Pricing_M!$B$13,Assumptions!$B$9/12*(1+Assumptions!$B$10)^INT(A52/12)+Assumptions!$B$12*(1+Assumptions!$B$11)^(INT(A52/12)+1)/12))*J52</f>
        <v>-735.965409337457</v>
      </c>
      <c r="V52" s="32" t="n">
        <f aca="false">V51*(1-F51)*(1-(1-(1-MIN(1,G51*(1-Assumptions!$B$23)))^(1/12)))</f>
        <v>0.936871636628665</v>
      </c>
      <c r="W52" s="47" t="n">
        <f aca="false">V52*(IF(C52&lt;Assumptions!$B$5,Assumptions!$B$12*(1+Assumptions!$B$11)^(INT(A52/12)+1)/12+Pricing_M!$B$13*IF(A52=0,Assumptions!$B$14*12,IF(A52&gt;=12,Assumptions!$B$15,0))-Pricing_M!$B$13,Assumptions!$B$9/12*(1+Assumptions!$B$10)^INT(A52/12)+Assumptions!$B$12*(1+Assumptions!$B$11)^(INT(A52/12)+1)/12))*J52</f>
        <v>-803.742451373681</v>
      </c>
      <c r="X52" s="47" t="n">
        <f aca="false">I52*(IF(C52&lt;Assumptions!$B$5,Assumptions!$B$12*(1+Assumptions!$B$11)*(1+Assumptions!$B$24)*(1+Assumptions!$B$11+Assumptions!$B$25)^(INT(A52/12))/12+Pricing_M!$B$13*IF(A52=0,Assumptions!$B$14*12,IF(A52&gt;=12,Assumptions!$B$15,0))-Pricing_M!$B$13,Assumptions!$B$9/12*(1+Assumptions!$B$10)^INT(A52/12)+Assumptions!$B$12*(1+Assumptions!$B$11)*(1+Assumptions!$B$24)*(1+Assumptions!$B$11+Assumptions!$B$25)^(INT(A52/12))/12))*J52</f>
        <v>-768.564562663943</v>
      </c>
    </row>
    <row r="53" customFormat="false" ht="15" hidden="false" customHeight="true" outlineLevel="0" collapsed="false">
      <c r="A53" s="1" t="n">
        <v>46</v>
      </c>
      <c r="B53" s="31" t="n">
        <f aca="false">Assumptions!$B$4+A53/12</f>
        <v>68.8333333333333</v>
      </c>
      <c r="C53" s="34" t="n">
        <f aca="false">Assumptions!$B$4+INT(A53/12)</f>
        <v>68</v>
      </c>
      <c r="D53" s="34" t="n">
        <f aca="false">INT(A53/12)+1</f>
        <v>4</v>
      </c>
      <c r="E53" s="32" t="n">
        <f aca="false">IFERROR(INDEX(Cohort_Survival!$G$5:$G$65,MATCH(C53,Cohort_Survival!$A$5:$A$65,0)),1)</f>
        <v>0.00675420032480476</v>
      </c>
      <c r="F53" s="30" t="n">
        <f aca="false">1-(1-MIN(1,E53))^(1/12)</f>
        <v>0.000564599983914338</v>
      </c>
      <c r="G53" s="39" t="n">
        <f aca="false">IF(C53&lt;Assumptions!$B$5,IF(D53=1,Assumptions!$B$16,IF(D53=2,Assumptions!$B$17,IF(D53&lt;=5,Assumptions!$B$18,Assumptions!$B$19)))*(1-Assumptions!$B$20),0)</f>
        <v>0.0133</v>
      </c>
      <c r="H53" s="30" t="n">
        <f aca="false">1-(1-G53)^(1/12)</f>
        <v>0.0011151475202863</v>
      </c>
      <c r="I53" s="30" t="n">
        <f aca="false">I52*(1-F52)*(1-H52)</f>
        <v>0.895285822027717</v>
      </c>
      <c r="J53" s="30" t="n">
        <f aca="false">INDEX(Discount_Monthly!$G$4:$G$664,MATCH(A53,Discount_Monthly!$A$4:$A$664,0))</f>
        <v>0.905127591542507</v>
      </c>
      <c r="K53" s="30" t="n">
        <f aca="false">IF(C53&lt;Assumptions!$B$5,I53*J53,0)</f>
        <v>0.810347899834101</v>
      </c>
      <c r="L53" s="30" t="n">
        <f aca="false">IF(C53&lt;Assumptions!$B$5,I53*(1-F53)*H53*A53*J53,0)</f>
        <v>0.0415447733199959</v>
      </c>
      <c r="M53" s="30" t="n">
        <f aca="false">IF(A53=0,Assumptions!$B$14*12*I53*J53,IF(AND(A53&gt;=12,C53&lt;Assumptions!$B$5),Assumptions!$B$15*I53*J53,0))</f>
        <v>0.0405173949917051</v>
      </c>
      <c r="N53" s="47" t="n">
        <f aca="false">IF(C53&gt;=Assumptions!$B$5,I53*Assumptions!$B$9/12*(1+Assumptions!$B$10)^INT(A53/12)*J53,0)</f>
        <v>0</v>
      </c>
      <c r="O53" s="47" t="n">
        <f aca="false">I53*Assumptions!$B$12/12*(1+Assumptions!$B$11)^(INT(A53/12)+1)*J53</f>
        <v>5.96314971818518</v>
      </c>
      <c r="P53" s="47" t="n">
        <f aca="false">O53+Pricing_M!$B$13*M53+N53-Pricing_M!$B$13*K53</f>
        <v>-766.380039365747</v>
      </c>
      <c r="Q53" s="47" t="n">
        <f aca="false">IF(C53&lt;Assumptions!$B$5,Pricing_M!$B$13*K53-Pricing_M!$B$13*M53-O53,-(N53+O53))</f>
        <v>766.380039365747</v>
      </c>
      <c r="R53" s="32" t="n">
        <f aca="false">R52*(1-(1-(1-MIN(1,E52*(1-Assumptions!$B$21)))^(1/12)))*(1-H52)</f>
        <v>0.899365681036175</v>
      </c>
      <c r="S53" s="47" t="n">
        <f aca="false">R53*(IF(C53&lt;Assumptions!$B$5,Assumptions!$B$12*(1+Assumptions!$B$11)^(INT(A53/12)+1)/12+Pricing_M!$B$13*IF(A53=0,Assumptions!$B$14*12,IF(A53&gt;=12,Assumptions!$B$15,0))-Pricing_M!$B$13,Assumptions!$B$9/12*(1+Assumptions!$B$10)^INT(A53/12)+Assumptions!$B$12*(1+Assumptions!$B$11)^(INT(A53/12)+1)/12))*J53</f>
        <v>-769.872468744811</v>
      </c>
      <c r="T53" s="32" t="n">
        <f aca="false">T52*(1-F52)*(1-(1-(1-MIN(1,G52*(1+Assumptions!$B$23)))^(1/12)))</f>
        <v>0.855945279065074</v>
      </c>
      <c r="U53" s="47" t="n">
        <f aca="false">T53*(IF(C53&lt;Assumptions!$B$5,Assumptions!$B$12*(1+Assumptions!$B$11)^(INT(A53/12)+1)/12+Pricing_M!$B$13*IF(A53=0,Assumptions!$B$14*12,IF(A53&gt;=12,Assumptions!$B$15,0))-Pricing_M!$B$13,Assumptions!$B$9/12*(1+Assumptions!$B$10)^INT(A53/12)+Assumptions!$B$12*(1+Assumptions!$B$11)^(INT(A53/12)+1)/12))*J53</f>
        <v>-732.703858952106</v>
      </c>
      <c r="V53" s="32" t="n">
        <f aca="false">V52*(1-F52)*(1-(1-(1-MIN(1,G52*(1-Assumptions!$B$23)))^(1/12)))</f>
        <v>0.935822200731211</v>
      </c>
      <c r="W53" s="47" t="n">
        <f aca="false">V53*(IF(C53&lt;Assumptions!$B$5,Assumptions!$B$12*(1+Assumptions!$B$11)^(INT(A53/12)+1)/12+Pricing_M!$B$13*IF(A53=0,Assumptions!$B$14*12,IF(A53&gt;=12,Assumptions!$B$15,0))-Pricing_M!$B$13,Assumptions!$B$9/12*(1+Assumptions!$B$10)^INT(A53/12)+Assumptions!$B$12*(1+Assumptions!$B$11)^(INT(A53/12)+1)/12))*J53</f>
        <v>-801.079875710935</v>
      </c>
      <c r="X53" s="47" t="n">
        <f aca="false">I53*(IF(C53&lt;Assumptions!$B$5,Assumptions!$B$12*(1+Assumptions!$B$11)*(1+Assumptions!$B$24)*(1+Assumptions!$B$11+Assumptions!$B$25)^(INT(A53/12))/12+Pricing_M!$B$13*IF(A53=0,Assumptions!$B$14*12,IF(A53&gt;=12,Assumptions!$B$15,0))-Pricing_M!$B$13,Assumptions!$B$9/12*(1+Assumptions!$B$10)^INT(A53/12)+Assumptions!$B$12*(1+Assumptions!$B$11)*(1+Assumptions!$B$24)*(1+Assumptions!$B$11+Assumptions!$B$25)^(INT(A53/12))/12))*J53</f>
        <v>-765.589860952546</v>
      </c>
    </row>
    <row r="54" customFormat="false" ht="15" hidden="false" customHeight="true" outlineLevel="0" collapsed="false">
      <c r="A54" s="1" t="n">
        <v>47</v>
      </c>
      <c r="B54" s="31" t="n">
        <f aca="false">Assumptions!$B$4+A54/12</f>
        <v>68.9166666666667</v>
      </c>
      <c r="C54" s="34" t="n">
        <f aca="false">Assumptions!$B$4+INT(A54/12)</f>
        <v>68</v>
      </c>
      <c r="D54" s="34" t="n">
        <f aca="false">INT(A54/12)+1</f>
        <v>4</v>
      </c>
      <c r="E54" s="32" t="n">
        <f aca="false">IFERROR(INDEX(Cohort_Survival!$G$5:$G$65,MATCH(C54,Cohort_Survival!$A$5:$A$65,0)),1)</f>
        <v>0.00675420032480476</v>
      </c>
      <c r="F54" s="30" t="n">
        <f aca="false">1-(1-MIN(1,E54))^(1/12)</f>
        <v>0.000564599983914338</v>
      </c>
      <c r="G54" s="39" t="n">
        <f aca="false">IF(C54&lt;Assumptions!$B$5,IF(D54=1,Assumptions!$B$16,IF(D54=2,Assumptions!$B$17,IF(D54&lt;=5,Assumptions!$B$18,Assumptions!$B$19)))*(1-Assumptions!$B$20),0)</f>
        <v>0.0133</v>
      </c>
      <c r="H54" s="30" t="n">
        <f aca="false">1-(1-G54)^(1/12)</f>
        <v>0.0011151475202863</v>
      </c>
      <c r="I54" s="30" t="n">
        <f aca="false">I53*(1-F53)*(1-H53)</f>
        <v>0.89378253158556</v>
      </c>
      <c r="J54" s="30" t="n">
        <f aca="false">INDEX(Discount_Monthly!$G$4:$G$664,MATCH(A54,Discount_Monthly!$A$4:$A$664,0))</f>
        <v>0.903140807390092</v>
      </c>
      <c r="K54" s="30" t="n">
        <f aca="false">IF(C54&lt;Assumptions!$B$5,I54*J54,0)</f>
        <v>0.807211477207343</v>
      </c>
      <c r="L54" s="30" t="n">
        <f aca="false">IF(C54&lt;Assumptions!$B$5,I54*(1-F54)*H54*A54*J54,0)</f>
        <v>0.0422836274044055</v>
      </c>
      <c r="M54" s="30" t="n">
        <f aca="false">IF(A54=0,Assumptions!$B$14*12*I54*J54,IF(AND(A54&gt;=12,C54&lt;Assumptions!$B$5),Assumptions!$B$15*I54*J54,0))</f>
        <v>0.0403605738603672</v>
      </c>
      <c r="N54" s="47" t="n">
        <f aca="false">IF(C54&gt;=Assumptions!$B$5,I54*Assumptions!$B$9/12*(1+Assumptions!$B$10)^INT(A54/12)*J54,0)</f>
        <v>0</v>
      </c>
      <c r="O54" s="47" t="n">
        <f aca="false">I54*Assumptions!$B$12/12*(1+Assumptions!$B$11)^(INT(A54/12)+1)*J54</f>
        <v>5.94006956001276</v>
      </c>
      <c r="P54" s="47" t="n">
        <f aca="false">O54+Pricing_M!$B$13*M54+N54-Pricing_M!$B$13*K54</f>
        <v>-763.413792773815</v>
      </c>
      <c r="Q54" s="47" t="n">
        <f aca="false">IF(C54&lt;Assumptions!$B$5,Pricing_M!$B$13*K54-Pricing_M!$B$13*M54-O54,-(N54+O54))</f>
        <v>763.413792773815</v>
      </c>
      <c r="R54" s="32" t="n">
        <f aca="false">R53*(1-(1-(1-MIN(1,E53*(1-Assumptions!$B$21)))^(1/12)))*(1-H53)</f>
        <v>0.897957235556913</v>
      </c>
      <c r="S54" s="47" t="n">
        <f aca="false">R54*(IF(C54&lt;Assumptions!$B$5,Assumptions!$B$12*(1+Assumptions!$B$11)^(INT(A54/12)+1)/12+Pricing_M!$B$13*IF(A54=0,Assumptions!$B$14*12,IF(A54&gt;=12,Assumptions!$B$15,0))-Pricing_M!$B$13,Assumptions!$B$9/12*(1+Assumptions!$B$10)^INT(A54/12)+Assumptions!$B$12*(1+Assumptions!$B$11)^(INT(A54/12)+1)/12))*J54</f>
        <v>-766.979566862982</v>
      </c>
      <c r="T54" s="32" t="n">
        <f aca="false">T53*(1-F53)*(1-(1-(1-MIN(1,G53*(1+Assumptions!$B$23)))^(1/12)))</f>
        <v>0.854026634286292</v>
      </c>
      <c r="U54" s="47" t="n">
        <f aca="false">T54*(IF(C54&lt;Assumptions!$B$5,Assumptions!$B$12*(1+Assumptions!$B$11)^(INT(A54/12)+1)/12+Pricing_M!$B$13*IF(A54=0,Assumptions!$B$14*12,IF(A54&gt;=12,Assumptions!$B$15,0))-Pricing_M!$B$13,Assumptions!$B$9/12*(1+Assumptions!$B$10)^INT(A54/12)+Assumptions!$B$12*(1+Assumptions!$B$11)^(INT(A54/12)+1)/12))*J54</f>
        <v>-729.456762657642</v>
      </c>
      <c r="V54" s="32" t="n">
        <f aca="false">V53*(1-F53)*(1-(1-(1-MIN(1,G53*(1-Assumptions!$B$23)))^(1/12)))</f>
        <v>0.934773940358407</v>
      </c>
      <c r="W54" s="47" t="n">
        <f aca="false">V54*(IF(C54&lt;Assumptions!$B$5,Assumptions!$B$12*(1+Assumptions!$B$11)^(INT(A54/12)+1)/12+Pricing_M!$B$13*IF(A54=0,Assumptions!$B$14*12,IF(A54&gt;=12,Assumptions!$B$15,0))-Pricing_M!$B$13,Assumptions!$B$9/12*(1+Assumptions!$B$10)^INT(A54/12)+Assumptions!$B$12*(1+Assumptions!$B$11)^(INT(A54/12)+1)/12))*J54</f>
        <v>-798.426120422362</v>
      </c>
      <c r="X54" s="47" t="n">
        <f aca="false">I54*(IF(C54&lt;Assumptions!$B$5,Assumptions!$B$12*(1+Assumptions!$B$11)*(1+Assumptions!$B$24)*(1+Assumptions!$B$11+Assumptions!$B$25)^(INT(A54/12))/12+Pricing_M!$B$13*IF(A54=0,Assumptions!$B$14*12,IF(A54&gt;=12,Assumptions!$B$15,0))-Pricing_M!$B$13,Assumptions!$B$9/12*(1+Assumptions!$B$10)^INT(A54/12)+Assumptions!$B$12*(1+Assumptions!$B$11)*(1+Assumptions!$B$24)*(1+Assumptions!$B$11+Assumptions!$B$25)^(INT(A54/12))/12))*J54</f>
        <v>-762.626672717963</v>
      </c>
    </row>
    <row r="55" customFormat="false" ht="15" hidden="false" customHeight="true" outlineLevel="0" collapsed="false">
      <c r="A55" s="1" t="n">
        <v>48</v>
      </c>
      <c r="B55" s="31" t="n">
        <f aca="false">Assumptions!$B$4+A55/12</f>
        <v>69</v>
      </c>
      <c r="C55" s="34" t="n">
        <f aca="false">Assumptions!$B$4+INT(A55/12)</f>
        <v>69</v>
      </c>
      <c r="D55" s="34" t="n">
        <f aca="false">INT(A55/12)+1</f>
        <v>5</v>
      </c>
      <c r="E55" s="32" t="n">
        <f aca="false">IFERROR(INDEX(Cohort_Survival!$G$5:$G$65,MATCH(C55,Cohort_Survival!$A$5:$A$65,0)),1)</f>
        <v>0.00742774709662436</v>
      </c>
      <c r="F55" s="30" t="n">
        <f aca="false">1-(1-MIN(1,E55))^(1/12)</f>
        <v>0.000621096221124495</v>
      </c>
      <c r="G55" s="39" t="n">
        <f aca="false">IF(C55&lt;Assumptions!$B$5,IF(D55=1,Assumptions!$B$16,IF(D55=2,Assumptions!$B$17,IF(D55&lt;=5,Assumptions!$B$18,Assumptions!$B$19)))*(1-Assumptions!$B$20),0)</f>
        <v>0.0133</v>
      </c>
      <c r="H55" s="30" t="n">
        <f aca="false">1-(1-G55)^(1/12)</f>
        <v>0.0011151475202863</v>
      </c>
      <c r="I55" s="30" t="n">
        <f aca="false">I54*(1-F54)*(1-H54)</f>
        <v>0.892281765345281</v>
      </c>
      <c r="J55" s="30" t="n">
        <f aca="false">INDEX(Discount_Monthly!$G$4:$G$664,MATCH(A55,Discount_Monthly!$A$4:$A$664,0))</f>
        <v>0.901158384292743</v>
      </c>
      <c r="K55" s="30" t="n">
        <f aca="false">IF(C55&lt;Assumptions!$B$5,I55*J55,0)</f>
        <v>0.80408719399243</v>
      </c>
      <c r="L55" s="30" t="n">
        <f aca="false">IF(C55&lt;Assumptions!$B$5,I55*(1-F55)*H55*A55*J55,0)</f>
        <v>0.0430137080879296</v>
      </c>
      <c r="M55" s="30" t="n">
        <f aca="false">IF(A55=0,Assumptions!$B$14*12*I55*J55,IF(AND(A55&gt;=12,C55&lt;Assumptions!$B$5),Assumptions!$B$15*I55*J55,0))</f>
        <v>0.0402043596996215</v>
      </c>
      <c r="N55" s="47" t="n">
        <f aca="false">IF(C55&gt;=Assumptions!$B$5,I55*Assumptions!$B$9/12*(1+Assumptions!$B$10)^INT(A55/12)*J55,0)</f>
        <v>0</v>
      </c>
      <c r="O55" s="47" t="n">
        <f aca="false">I55*Assumptions!$B$12/12*(1+Assumptions!$B$11)^(INT(A55/12)+1)*J55</f>
        <v>6.06500570108808</v>
      </c>
      <c r="P55" s="47" t="n">
        <f aca="false">O55+Pricing_M!$B$13*M55+N55-Pricing_M!$B$13*K55</f>
        <v>-760.311099965139</v>
      </c>
      <c r="Q55" s="47" t="n">
        <f aca="false">IF(C55&lt;Assumptions!$B$5,Pricing_M!$B$13*K55-Pricing_M!$B$13*M55-O55,-(N55+O55))</f>
        <v>760.311099965139</v>
      </c>
      <c r="R55" s="32" t="n">
        <f aca="false">R54*(1-(1-(1-MIN(1,E54*(1-Assumptions!$B$21)))^(1/12)))*(1-H54)</f>
        <v>0.896550995764069</v>
      </c>
      <c r="S55" s="47" t="n">
        <f aca="false">R55*(IF(C55&lt;Assumptions!$B$5,Assumptions!$B$12*(1+Assumptions!$B$11)^(INT(A55/12)+1)/12+Pricing_M!$B$13*IF(A55=0,Assumptions!$B$14*12,IF(A55&gt;=12,Assumptions!$B$15,0))-Pricing_M!$B$13,Assumptions!$B$9/12*(1+Assumptions!$B$10)^INT(A55/12)+Assumptions!$B$12*(1+Assumptions!$B$11)^(INT(A55/12)+1)/12))*J55</f>
        <v>-763.948900715731</v>
      </c>
      <c r="T55" s="32" t="n">
        <f aca="false">T54*(1-F54)*(1-(1-(1-MIN(1,G54*(1+Assumptions!$B$23)))^(1/12)))</f>
        <v>0.852112290247146</v>
      </c>
      <c r="U55" s="47" t="n">
        <f aca="false">T55*(IF(C55&lt;Assumptions!$B$5,Assumptions!$B$12*(1+Assumptions!$B$11)^(INT(A55/12)+1)/12+Pricing_M!$B$13*IF(A55=0,Assumptions!$B$14*12,IF(A55&gt;=12,Assumptions!$B$15,0))-Pricing_M!$B$13,Assumptions!$B$9/12*(1+Assumptions!$B$10)^INT(A55/12)+Assumptions!$B$12*(1+Assumptions!$B$11)^(INT(A55/12)+1)/12))*J55</f>
        <v>-726.082788928134</v>
      </c>
      <c r="V55" s="32" t="n">
        <f aca="false">V54*(1-F54)*(1-(1-(1-MIN(1,G54*(1-Assumptions!$B$23)))^(1/12)))</f>
        <v>0.933726854193491</v>
      </c>
      <c r="W55" s="47" t="n">
        <f aca="false">V55*(IF(C55&lt;Assumptions!$B$5,Assumptions!$B$12*(1+Assumptions!$B$11)^(INT(A55/12)+1)/12+Pricing_M!$B$13*IF(A55=0,Assumptions!$B$14*12,IF(A55&gt;=12,Assumptions!$B$15,0))-Pricing_M!$B$13,Assumptions!$B$9/12*(1+Assumptions!$B$10)^INT(A55/12)+Assumptions!$B$12*(1+Assumptions!$B$11)^(INT(A55/12)+1)/12))*J55</f>
        <v>-795.626358344471</v>
      </c>
      <c r="X55" s="47" t="n">
        <f aca="false">I55*(IF(C55&lt;Assumptions!$B$5,Assumptions!$B$12*(1+Assumptions!$B$11)*(1+Assumptions!$B$24)*(1+Assumptions!$B$11+Assumptions!$B$25)^(INT(A55/12))/12+Pricing_M!$B$13*IF(A55=0,Assumptions!$B$14*12,IF(A55&gt;=12,Assumptions!$B$15,0))-Pricing_M!$B$13,Assumptions!$B$9/12*(1+Assumptions!$B$10)^INT(A55/12)+Assumptions!$B$12*(1+Assumptions!$B$11)*(1+Assumptions!$B$24)*(1+Assumptions!$B$11+Assumptions!$B$25)^(INT(A55/12))/12))*J55</f>
        <v>-759.440413068292</v>
      </c>
    </row>
    <row r="56" customFormat="false" ht="15" hidden="false" customHeight="true" outlineLevel="0" collapsed="false">
      <c r="A56" s="1" t="n">
        <v>49</v>
      </c>
      <c r="B56" s="31" t="n">
        <f aca="false">Assumptions!$B$4+A56/12</f>
        <v>69.0833333333333</v>
      </c>
      <c r="C56" s="34" t="n">
        <f aca="false">Assumptions!$B$4+INT(A56/12)</f>
        <v>69</v>
      </c>
      <c r="D56" s="34" t="n">
        <f aca="false">INT(A56/12)+1</f>
        <v>5</v>
      </c>
      <c r="E56" s="32" t="n">
        <f aca="false">IFERROR(INDEX(Cohort_Survival!$G$5:$G$65,MATCH(C56,Cohort_Survival!$A$5:$A$65,0)),1)</f>
        <v>0.00742774709662436</v>
      </c>
      <c r="F56" s="30" t="n">
        <f aca="false">1-(1-MIN(1,E56))^(1/12)</f>
        <v>0.000621096221124495</v>
      </c>
      <c r="G56" s="39" t="n">
        <f aca="false">IF(C56&lt;Assumptions!$B$5,IF(D56=1,Assumptions!$B$16,IF(D56=2,Assumptions!$B$17,IF(D56&lt;=5,Assumptions!$B$18,Assumptions!$B$19)))*(1-Assumptions!$B$20),0)</f>
        <v>0.0133</v>
      </c>
      <c r="H56" s="30" t="n">
        <f aca="false">1-(1-G56)^(1/12)</f>
        <v>0.0011151475202863</v>
      </c>
      <c r="I56" s="30" t="n">
        <f aca="false">I55*(1-F55)*(1-H55)</f>
        <v>0.890733164721389</v>
      </c>
      <c r="J56" s="30" t="n">
        <f aca="false">INDEX(Discount_Monthly!$G$4:$G$664,MATCH(A56,Discount_Monthly!$A$4:$A$664,0))</f>
        <v>0.899086159188909</v>
      </c>
      <c r="K56" s="30" t="n">
        <f aca="false">IF(C56&lt;Assumptions!$B$5,I56*J56,0)</f>
        <v>0.800845859931535</v>
      </c>
      <c r="L56" s="30" t="n">
        <f aca="false">IF(C56&lt;Assumptions!$B$5,I56*(1-F56)*H56*A56*J56,0)</f>
        <v>0.0437328232947072</v>
      </c>
      <c r="M56" s="30" t="n">
        <f aca="false">IF(A56=0,Assumptions!$B$14*12*I56*J56,IF(AND(A56&gt;=12,C56&lt;Assumptions!$B$5),Assumptions!$B$15*I56*J56,0))</f>
        <v>0.0400422929965768</v>
      </c>
      <c r="N56" s="47" t="n">
        <f aca="false">IF(C56&gt;=Assumptions!$B$5,I56*Assumptions!$B$9/12*(1+Assumptions!$B$10)^INT(A56/12)*J56,0)</f>
        <v>0</v>
      </c>
      <c r="O56" s="47" t="n">
        <f aca="false">I56*Assumptions!$B$12/12*(1+Assumptions!$B$11)^(INT(A56/12)+1)*J56</f>
        <v>6.04055722123996</v>
      </c>
      <c r="P56" s="47" t="n">
        <f aca="false">O56+Pricing_M!$B$13*M56+N56-Pricing_M!$B$13*K56</f>
        <v>-757.246230528583</v>
      </c>
      <c r="Q56" s="47" t="n">
        <f aca="false">IF(C56&lt;Assumptions!$B$5,Pricing_M!$B$13*K56-Pricing_M!$B$13*M56-O56,-(N56+O56))</f>
        <v>757.246230528583</v>
      </c>
      <c r="R56" s="32" t="n">
        <f aca="false">R55*(1-(1-(1-MIN(1,E55*(1-Assumptions!$B$21)))^(1/12)))*(1-H55)</f>
        <v>0.895106534908012</v>
      </c>
      <c r="S56" s="47" t="n">
        <f aca="false">R56*(IF(C56&lt;Assumptions!$B$5,Assumptions!$B$12*(1+Assumptions!$B$11)^(INT(A56/12)+1)/12+Pricing_M!$B$13*IF(A56=0,Assumptions!$B$14*12,IF(A56&gt;=12,Assumptions!$B$15,0))-Pricing_M!$B$13,Assumptions!$B$9/12*(1+Assumptions!$B$10)^INT(A56/12)+Assumptions!$B$12*(1+Assumptions!$B$11)^(INT(A56/12)+1)/12))*J56</f>
        <v>-760.964199298233</v>
      </c>
      <c r="T56" s="32" t="n">
        <f aca="false">T55*(1-F55)*(1-(1-(1-MIN(1,G55*(1+Assumptions!$B$23)))^(1/12)))</f>
        <v>0.850154176945153</v>
      </c>
      <c r="U56" s="47" t="n">
        <f aca="false">T56*(IF(C56&lt;Assumptions!$B$5,Assumptions!$B$12*(1+Assumptions!$B$11)^(INT(A56/12)+1)/12+Pricing_M!$B$13*IF(A56=0,Assumptions!$B$14*12,IF(A56&gt;=12,Assumptions!$B$15,0))-Pricing_M!$B$13,Assumptions!$B$9/12*(1+Assumptions!$B$10)^INT(A56/12)+Assumptions!$B$12*(1+Assumptions!$B$11)^(INT(A56/12)+1)/12))*J56</f>
        <v>-722.748485581777</v>
      </c>
      <c r="V56" s="32" t="n">
        <f aca="false">V55*(1-F55)*(1-(1-(1-MIN(1,G55*(1-Assumptions!$B$23)))^(1/12)))</f>
        <v>0.932628218190241</v>
      </c>
      <c r="W56" s="47" t="n">
        <f aca="false">V56*(IF(C56&lt;Assumptions!$B$5,Assumptions!$B$12*(1+Assumptions!$B$11)^(INT(A56/12)+1)/12+Pricing_M!$B$13*IF(A56=0,Assumptions!$B$14*12,IF(A56&gt;=12,Assumptions!$B$15,0))-Pricing_M!$B$13,Assumptions!$B$9/12*(1+Assumptions!$B$10)^INT(A56/12)+Assumptions!$B$12*(1+Assumptions!$B$11)^(INT(A56/12)+1)/12))*J56</f>
        <v>-792.862813107503</v>
      </c>
      <c r="X56" s="47" t="n">
        <f aca="false">I56*(IF(C56&lt;Assumptions!$B$5,Assumptions!$B$12*(1+Assumptions!$B$11)*(1+Assumptions!$B$24)*(1+Assumptions!$B$11+Assumptions!$B$25)^(INT(A56/12))/12+Pricing_M!$B$13*IF(A56=0,Assumptions!$B$14*12,IF(A56&gt;=12,Assumptions!$B$15,0))-Pricing_M!$B$13,Assumptions!$B$9/12*(1+Assumptions!$B$10)^INT(A56/12)+Assumptions!$B$12*(1+Assumptions!$B$11)*(1+Assumptions!$B$24)*(1+Assumptions!$B$11+Assumptions!$B$25)^(INT(A56/12))/12))*J56</f>
        <v>-756.379053434052</v>
      </c>
    </row>
    <row r="57" customFormat="false" ht="15" hidden="false" customHeight="true" outlineLevel="0" collapsed="false">
      <c r="A57" s="1" t="n">
        <v>50</v>
      </c>
      <c r="B57" s="31" t="n">
        <f aca="false">Assumptions!$B$4+A57/12</f>
        <v>69.1666666666667</v>
      </c>
      <c r="C57" s="34" t="n">
        <f aca="false">Assumptions!$B$4+INT(A57/12)</f>
        <v>69</v>
      </c>
      <c r="D57" s="34" t="n">
        <f aca="false">INT(A57/12)+1</f>
        <v>5</v>
      </c>
      <c r="E57" s="32" t="n">
        <f aca="false">IFERROR(INDEX(Cohort_Survival!$G$5:$G$65,MATCH(C57,Cohort_Survival!$A$5:$A$65,0)),1)</f>
        <v>0.00742774709662436</v>
      </c>
      <c r="F57" s="30" t="n">
        <f aca="false">1-(1-MIN(1,E57))^(1/12)</f>
        <v>0.000621096221124495</v>
      </c>
      <c r="G57" s="39" t="n">
        <f aca="false">IF(C57&lt;Assumptions!$B$5,IF(D57=1,Assumptions!$B$16,IF(D57=2,Assumptions!$B$17,IF(D57&lt;=5,Assumptions!$B$18,Assumptions!$B$19)))*(1-Assumptions!$B$20),0)</f>
        <v>0.0133</v>
      </c>
      <c r="H57" s="30" t="n">
        <f aca="false">1-(1-G57)^(1/12)</f>
        <v>0.0011151475202863</v>
      </c>
      <c r="I57" s="30" t="n">
        <f aca="false">I56*(1-F56)*(1-H56)</f>
        <v>0.889187251773055</v>
      </c>
      <c r="J57" s="30" t="n">
        <f aca="false">INDEX(Discount_Monthly!$G$4:$G$664,MATCH(A57,Discount_Monthly!$A$4:$A$664,0))</f>
        <v>0.897018699192914</v>
      </c>
      <c r="K57" s="30" t="n">
        <f aca="false">IF(C57&lt;Assumptions!$B$5,I57*J57,0)</f>
        <v>0.797617591924388</v>
      </c>
      <c r="L57" s="30" t="n">
        <f aca="false">IF(C57&lt;Assumptions!$B$5,I57*(1-F57)*H57*A57*J57,0)</f>
        <v>0.0444454419365753</v>
      </c>
      <c r="M57" s="30" t="n">
        <f aca="false">IF(A57=0,Assumptions!$B$14*12*I57*J57,IF(AND(A57&gt;=12,C57&lt;Assumptions!$B$5),Assumptions!$B$15*I57*J57,0))</f>
        <v>0.0398808795962194</v>
      </c>
      <c r="N57" s="47" t="n">
        <f aca="false">IF(C57&gt;=Assumptions!$B$5,I57*Assumptions!$B$9/12*(1+Assumptions!$B$10)^INT(A57/12)*J57,0)</f>
        <v>0</v>
      </c>
      <c r="O57" s="47" t="n">
        <f aca="false">I57*Assumptions!$B$12/12*(1+Assumptions!$B$11)^(INT(A57/12)+1)*J57</f>
        <v>6.0162072949953</v>
      </c>
      <c r="P57" s="47" t="n">
        <f aca="false">O57+Pricing_M!$B$13*M57+N57-Pricing_M!$B$13*K57</f>
        <v>-754.193715804017</v>
      </c>
      <c r="Q57" s="47" t="n">
        <f aca="false">IF(C57&lt;Assumptions!$B$5,Pricing_M!$B$13*K57-Pricing_M!$B$13*M57-O57,-(N57+O57))</f>
        <v>754.193715804017</v>
      </c>
      <c r="R57" s="32" t="n">
        <f aca="false">R56*(1-(1-(1-MIN(1,E56*(1-Assumptions!$B$21)))^(1/12)))*(1-H56)</f>
        <v>0.893664401267222</v>
      </c>
      <c r="S57" s="47" t="n">
        <f aca="false">R57*(IF(C57&lt;Assumptions!$B$5,Assumptions!$B$12*(1+Assumptions!$B$11)^(INT(A57/12)+1)/12+Pricing_M!$B$13*IF(A57=0,Assumptions!$B$14*12,IF(A57&gt;=12,Assumptions!$B$15,0))-Pricing_M!$B$13,Assumptions!$B$9/12*(1+Assumptions!$B$10)^INT(A57/12)+Assumptions!$B$12*(1+Assumptions!$B$11)^(INT(A57/12)+1)/12))*J57</f>
        <v>-757.991158925792</v>
      </c>
      <c r="T57" s="32" t="n">
        <f aca="false">T56*(1-F56)*(1-(1-(1-MIN(1,G56*(1+Assumptions!$B$23)))^(1/12)))</f>
        <v>0.848200563293908</v>
      </c>
      <c r="U57" s="47" t="n">
        <f aca="false">T57*(IF(C57&lt;Assumptions!$B$5,Assumptions!$B$12*(1+Assumptions!$B$11)^(INT(A57/12)+1)/12+Pricing_M!$B$13*IF(A57=0,Assumptions!$B$14*12,IF(A57&gt;=12,Assumptions!$B$15,0))-Pricing_M!$B$13,Assumptions!$B$9/12*(1+Assumptions!$B$10)^INT(A57/12)+Assumptions!$B$12*(1+Assumptions!$B$11)^(INT(A57/12)+1)/12))*J57</f>
        <v>-719.429493958786</v>
      </c>
      <c r="V57" s="32" t="n">
        <f aca="false">V56*(1-F56)*(1-(1-(1-MIN(1,G56*(1-Assumptions!$B$23)))^(1/12)))</f>
        <v>0.931530874857393</v>
      </c>
      <c r="W57" s="47" t="n">
        <f aca="false">V57*(IF(C57&lt;Assumptions!$B$5,Assumptions!$B$12*(1+Assumptions!$B$11)^(INT(A57/12)+1)/12+Pricing_M!$B$13*IF(A57=0,Assumptions!$B$14*12,IF(A57&gt;=12,Assumptions!$B$15,0))-Pricing_M!$B$13,Assumptions!$B$9/12*(1+Assumptions!$B$10)^INT(A57/12)+Assumptions!$B$12*(1+Assumptions!$B$11)^(INT(A57/12)+1)/12))*J57</f>
        <v>-790.108866826372</v>
      </c>
      <c r="X57" s="47" t="n">
        <f aca="false">I57*(IF(C57&lt;Assumptions!$B$5,Assumptions!$B$12*(1+Assumptions!$B$11)*(1+Assumptions!$B$24)*(1+Assumptions!$B$11+Assumptions!$B$25)^(INT(A57/12))/12+Pricing_M!$B$13*IF(A57=0,Assumptions!$B$14*12,IF(A57&gt;=12,Assumptions!$B$15,0))-Pricing_M!$B$13,Assumptions!$B$9/12*(1+Assumptions!$B$10)^INT(A57/12)+Assumptions!$B$12*(1+Assumptions!$B$11)*(1+Assumptions!$B$24)*(1+Assumptions!$B$11+Assumptions!$B$25)^(INT(A57/12))/12))*J57</f>
        <v>-753.330034363532</v>
      </c>
    </row>
    <row r="58" customFormat="false" ht="15" hidden="false" customHeight="true" outlineLevel="0" collapsed="false">
      <c r="A58" s="1" t="n">
        <v>51</v>
      </c>
      <c r="B58" s="31" t="n">
        <f aca="false">Assumptions!$B$4+A58/12</f>
        <v>69.25</v>
      </c>
      <c r="C58" s="34" t="n">
        <f aca="false">Assumptions!$B$4+INT(A58/12)</f>
        <v>69</v>
      </c>
      <c r="D58" s="34" t="n">
        <f aca="false">INT(A58/12)+1</f>
        <v>5</v>
      </c>
      <c r="E58" s="32" t="n">
        <f aca="false">IFERROR(INDEX(Cohort_Survival!$G$5:$G$65,MATCH(C58,Cohort_Survival!$A$5:$A$65,0)),1)</f>
        <v>0.00742774709662436</v>
      </c>
      <c r="F58" s="30" t="n">
        <f aca="false">1-(1-MIN(1,E58))^(1/12)</f>
        <v>0.000621096221124495</v>
      </c>
      <c r="G58" s="39" t="n">
        <f aca="false">IF(C58&lt;Assumptions!$B$5,IF(D58=1,Assumptions!$B$16,IF(D58=2,Assumptions!$B$17,IF(D58&lt;=5,Assumptions!$B$18,Assumptions!$B$19)))*(1-Assumptions!$B$20),0)</f>
        <v>0.0133</v>
      </c>
      <c r="H58" s="30" t="n">
        <f aca="false">1-(1-G58)^(1/12)</f>
        <v>0.0011151475202863</v>
      </c>
      <c r="I58" s="30" t="n">
        <f aca="false">I57*(1-F57)*(1-H57)</f>
        <v>0.887644021835682</v>
      </c>
      <c r="J58" s="30" t="n">
        <f aca="false">INDEX(Discount_Monthly!$G$4:$G$664,MATCH(A58,Discount_Monthly!$A$4:$A$664,0))</f>
        <v>0.894955993347331</v>
      </c>
      <c r="K58" s="30" t="n">
        <f aca="false">IF(C58&lt;Assumptions!$B$5,I58*J58,0)</f>
        <v>0.794402337300773</v>
      </c>
      <c r="L58" s="30" t="n">
        <f aca="false">IF(C58&lt;Assumptions!$B$5,I58*(1-F58)*H58*A58*J58,0)</f>
        <v>0.0451516047044896</v>
      </c>
      <c r="M58" s="30" t="n">
        <f aca="false">IF(A58=0,Assumptions!$B$14*12*I58*J58,IF(AND(A58&gt;=12,C58&lt;Assumptions!$B$5),Assumptions!$B$15*I58*J58,0))</f>
        <v>0.0397201168650386</v>
      </c>
      <c r="N58" s="47" t="n">
        <f aca="false">IF(C58&gt;=Assumptions!$B$5,I58*Assumptions!$B$9/12*(1+Assumptions!$B$10)^INT(A58/12)*J58,0)</f>
        <v>0</v>
      </c>
      <c r="O58" s="47" t="n">
        <f aca="false">I58*Assumptions!$B$12/12*(1+Assumptions!$B$11)^(INT(A58/12)+1)*J58</f>
        <v>5.99195552507735</v>
      </c>
      <c r="P58" s="47" t="n">
        <f aca="false">O58+Pricing_M!$B$13*M58+N58-Pricing_M!$B$13*K58</f>
        <v>-751.153505988697</v>
      </c>
      <c r="Q58" s="47" t="n">
        <f aca="false">IF(C58&lt;Assumptions!$B$5,Pricing_M!$B$13*K58-Pricing_M!$B$13*M58-O58,-(N58+O58))</f>
        <v>751.153505988697</v>
      </c>
      <c r="R58" s="32" t="n">
        <f aca="false">R57*(1-(1-(1-MIN(1,E57*(1-Assumptions!$B$21)))^(1/12)))*(1-H57)</f>
        <v>0.89222459109225</v>
      </c>
      <c r="S58" s="47" t="n">
        <f aca="false">R58*(IF(C58&lt;Assumptions!$B$5,Assumptions!$B$12*(1+Assumptions!$B$11)^(INT(A58/12)+1)/12+Pricing_M!$B$13*IF(A58=0,Assumptions!$B$14*12,IF(A58&gt;=12,Assumptions!$B$15,0))-Pricing_M!$B$13,Assumptions!$B$9/12*(1+Assumptions!$B$10)^INT(A58/12)+Assumptions!$B$12*(1+Assumptions!$B$11)^(INT(A58/12)+1)/12))*J58</f>
        <v>-755.02973403942</v>
      </c>
      <c r="T58" s="32" t="n">
        <f aca="false">T57*(1-F57)*(1-(1-(1-MIN(1,G57*(1+Assumptions!$B$23)))^(1/12)))</f>
        <v>0.846251438953427</v>
      </c>
      <c r="U58" s="47" t="n">
        <f aca="false">T58*(IF(C58&lt;Assumptions!$B$5,Assumptions!$B$12*(1+Assumptions!$B$11)^(INT(A58/12)+1)/12+Pricing_M!$B$13*IF(A58=0,Assumptions!$B$14*12,IF(A58&gt;=12,Assumptions!$B$15,0))-Pricing_M!$B$13,Assumptions!$B$9/12*(1+Assumptions!$B$10)^INT(A58/12)+Assumptions!$B$12*(1+Assumptions!$B$11)^(INT(A58/12)+1)/12))*J58</f>
        <v>-716.125743744962</v>
      </c>
      <c r="V58" s="32" t="n">
        <f aca="false">V57*(1-F57)*(1-(1-(1-MIN(1,G57*(1-Assumptions!$B$23)))^(1/12)))</f>
        <v>0.930434822673973</v>
      </c>
      <c r="W58" s="47" t="n">
        <f aca="false">V58*(IF(C58&lt;Assumptions!$B$5,Assumptions!$B$12*(1+Assumptions!$B$11)^(INT(A58/12)+1)/12+Pricing_M!$B$13*IF(A58=0,Assumptions!$B$14*12,IF(A58&gt;=12,Assumptions!$B$15,0))-Pricing_M!$B$13,Assumptions!$B$9/12*(1+Assumptions!$B$10)^INT(A58/12)+Assumptions!$B$12*(1+Assumptions!$B$11)^(INT(A58/12)+1)/12))*J58</f>
        <v>-787.364486159864</v>
      </c>
      <c r="X58" s="47" t="n">
        <f aca="false">I58*(IF(C58&lt;Assumptions!$B$5,Assumptions!$B$12*(1+Assumptions!$B$11)*(1+Assumptions!$B$24)*(1+Assumptions!$B$11+Assumptions!$B$25)^(INT(A58/12))/12+Pricing_M!$B$13*IF(A58=0,Assumptions!$B$14*12,IF(A58&gt;=12,Assumptions!$B$15,0))-Pricing_M!$B$13,Assumptions!$B$9/12*(1+Assumptions!$B$10)^INT(A58/12)+Assumptions!$B$12*(1+Assumptions!$B$11)*(1+Assumptions!$B$24)*(1+Assumptions!$B$11+Assumptions!$B$25)^(INT(A58/12))/12))*J58</f>
        <v>-750.293306111023</v>
      </c>
    </row>
    <row r="59" customFormat="false" ht="15" hidden="false" customHeight="true" outlineLevel="0" collapsed="false">
      <c r="A59" s="1" t="n">
        <v>52</v>
      </c>
      <c r="B59" s="31" t="n">
        <f aca="false">Assumptions!$B$4+A59/12</f>
        <v>69.3333333333333</v>
      </c>
      <c r="C59" s="34" t="n">
        <f aca="false">Assumptions!$B$4+INT(A59/12)</f>
        <v>69</v>
      </c>
      <c r="D59" s="34" t="n">
        <f aca="false">INT(A59/12)+1</f>
        <v>5</v>
      </c>
      <c r="E59" s="32" t="n">
        <f aca="false">IFERROR(INDEX(Cohort_Survival!$G$5:$G$65,MATCH(C59,Cohort_Survival!$A$5:$A$65,0)),1)</f>
        <v>0.00742774709662436</v>
      </c>
      <c r="F59" s="30" t="n">
        <f aca="false">1-(1-MIN(1,E59))^(1/12)</f>
        <v>0.000621096221124495</v>
      </c>
      <c r="G59" s="39" t="n">
        <f aca="false">IF(C59&lt;Assumptions!$B$5,IF(D59=1,Assumptions!$B$16,IF(D59=2,Assumptions!$B$17,IF(D59&lt;=5,Assumptions!$B$18,Assumptions!$B$19)))*(1-Assumptions!$B$20),0)</f>
        <v>0.0133</v>
      </c>
      <c r="H59" s="30" t="n">
        <f aca="false">1-(1-G59)^(1/12)</f>
        <v>0.0011151475202863</v>
      </c>
      <c r="I59" s="30" t="n">
        <f aca="false">I58*(1-F58)*(1-H58)</f>
        <v>0.886103470252766</v>
      </c>
      <c r="J59" s="30" t="n">
        <f aca="false">INDEX(Discount_Monthly!$G$4:$G$664,MATCH(A59,Discount_Monthly!$A$4:$A$664,0))</f>
        <v>0.892898030719933</v>
      </c>
      <c r="K59" s="30" t="n">
        <f aca="false">IF(C59&lt;Assumptions!$B$5,I59*J59,0)</f>
        <v>0.791200043602794</v>
      </c>
      <c r="L59" s="30" t="n">
        <f aca="false">IF(C59&lt;Assumptions!$B$5,I59*(1-F59)*H59*A59*J59,0)</f>
        <v>0.0458513520669154</v>
      </c>
      <c r="M59" s="30" t="n">
        <f aca="false">IF(A59=0,Assumptions!$B$14*12*I59*J59,IF(AND(A59&gt;=12,C59&lt;Assumptions!$B$5),Assumptions!$B$15*I59*J59,0))</f>
        <v>0.0395600021801397</v>
      </c>
      <c r="N59" s="47" t="n">
        <f aca="false">IF(C59&gt;=Assumptions!$B$5,I59*Assumptions!$B$9/12*(1+Assumptions!$B$10)^INT(A59/12)*J59,0)</f>
        <v>0</v>
      </c>
      <c r="O59" s="47" t="n">
        <f aca="false">I59*Assumptions!$B$12/12*(1+Assumptions!$B$11)^(INT(A59/12)+1)*J59</f>
        <v>5.96780151581081</v>
      </c>
      <c r="P59" s="47" t="n">
        <f aca="false">O59+Pricing_M!$B$13*M59+N59-Pricing_M!$B$13*K59</f>
        <v>-748.125551480638</v>
      </c>
      <c r="Q59" s="47" t="n">
        <f aca="false">IF(C59&lt;Assumptions!$B$5,Pricing_M!$B$13*K59-Pricing_M!$B$13*M59-O59,-(N59+O59))</f>
        <v>748.125551480638</v>
      </c>
      <c r="R59" s="32" t="n">
        <f aca="false">R58*(1-(1-(1-MIN(1,E58*(1-Assumptions!$B$21)))^(1/12)))*(1-H58)</f>
        <v>0.89078710063969</v>
      </c>
      <c r="S59" s="47" t="n">
        <f aca="false">R59*(IF(C59&lt;Assumptions!$B$5,Assumptions!$B$12*(1+Assumptions!$B$11)^(INT(A59/12)+1)/12+Pricing_M!$B$13*IF(A59=0,Assumptions!$B$14*12,IF(A59&gt;=12,Assumptions!$B$15,0))-Pricing_M!$B$13,Assumptions!$B$9/12*(1+Assumptions!$B$10)^INT(A59/12)+Assumptions!$B$12*(1+Assumptions!$B$11)^(INT(A59/12)+1)/12))*J59</f>
        <v>-752.079879258127</v>
      </c>
      <c r="T59" s="32" t="n">
        <f aca="false">T58*(1-F58)*(1-(1-(1-MIN(1,G58*(1+Assumptions!$B$23)))^(1/12)))</f>
        <v>0.84430679360749</v>
      </c>
      <c r="U59" s="47" t="n">
        <f aca="false">T59*(IF(C59&lt;Assumptions!$B$5,Assumptions!$B$12*(1+Assumptions!$B$11)^(INT(A59/12)+1)/12+Pricing_M!$B$13*IF(A59=0,Assumptions!$B$14*12,IF(A59&gt;=12,Assumptions!$B$15,0))-Pricing_M!$B$13,Assumptions!$B$9/12*(1+Assumptions!$B$10)^INT(A59/12)+Assumptions!$B$12*(1+Assumptions!$B$11)^(INT(A59/12)+1)/12))*J59</f>
        <v>-712.837164949001</v>
      </c>
      <c r="V59" s="32" t="n">
        <f aca="false">V58*(1-F58)*(1-(1-(1-MIN(1,G58*(1-Assumptions!$B$23)))^(1/12)))</f>
        <v>0.929340060120796</v>
      </c>
      <c r="W59" s="47" t="n">
        <f aca="false">V59*(IF(C59&lt;Assumptions!$B$5,Assumptions!$B$12*(1+Assumptions!$B$11)^(INT(A59/12)+1)/12+Pricing_M!$B$13*IF(A59=0,Assumptions!$B$14*12,IF(A59&gt;=12,Assumptions!$B$15,0))-Pricing_M!$B$13,Assumptions!$B$9/12*(1+Assumptions!$B$10)^INT(A59/12)+Assumptions!$B$12*(1+Assumptions!$B$11)^(INT(A59/12)+1)/12))*J59</f>
        <v>-784.629637882574</v>
      </c>
      <c r="X59" s="47" t="n">
        <f aca="false">I59*(IF(C59&lt;Assumptions!$B$5,Assumptions!$B$12*(1+Assumptions!$B$11)*(1+Assumptions!$B$24)*(1+Assumptions!$B$11+Assumptions!$B$25)^(INT(A59/12))/12+Pricing_M!$B$13*IF(A59=0,Assumptions!$B$14*12,IF(A59&gt;=12,Assumptions!$B$15,0))-Pricing_M!$B$13,Assumptions!$B$9/12*(1+Assumptions!$B$10)^INT(A59/12)+Assumptions!$B$12*(1+Assumptions!$B$11)*(1+Assumptions!$B$24)*(1+Assumptions!$B$11+Assumptions!$B$25)^(INT(A59/12))/12))*J59</f>
        <v>-747.268819131341</v>
      </c>
    </row>
    <row r="60" customFormat="false" ht="15" hidden="false" customHeight="true" outlineLevel="0" collapsed="false">
      <c r="A60" s="1" t="n">
        <v>53</v>
      </c>
      <c r="B60" s="31" t="n">
        <f aca="false">Assumptions!$B$4+A60/12</f>
        <v>69.4166666666667</v>
      </c>
      <c r="C60" s="34" t="n">
        <f aca="false">Assumptions!$B$4+INT(A60/12)</f>
        <v>69</v>
      </c>
      <c r="D60" s="34" t="n">
        <f aca="false">INT(A60/12)+1</f>
        <v>5</v>
      </c>
      <c r="E60" s="32" t="n">
        <f aca="false">IFERROR(INDEX(Cohort_Survival!$G$5:$G$65,MATCH(C60,Cohort_Survival!$A$5:$A$65,0)),1)</f>
        <v>0.00742774709662436</v>
      </c>
      <c r="F60" s="30" t="n">
        <f aca="false">1-(1-MIN(1,E60))^(1/12)</f>
        <v>0.000621096221124495</v>
      </c>
      <c r="G60" s="39" t="n">
        <f aca="false">IF(C60&lt;Assumptions!$B$5,IF(D60=1,Assumptions!$B$16,IF(D60=2,Assumptions!$B$17,IF(D60&lt;=5,Assumptions!$B$18,Assumptions!$B$19)))*(1-Assumptions!$B$20),0)</f>
        <v>0.0133</v>
      </c>
      <c r="H60" s="30" t="n">
        <f aca="false">1-(1-G60)^(1/12)</f>
        <v>0.0011151475202863</v>
      </c>
      <c r="I60" s="30" t="n">
        <f aca="false">I59*(1-F59)*(1-H59)</f>
        <v>0.884565592375887</v>
      </c>
      <c r="J60" s="30" t="n">
        <f aca="false">INDEX(Discount_Monthly!$G$4:$G$664,MATCH(A60,Discount_Monthly!$A$4:$A$664,0))</f>
        <v>0.890844800403629</v>
      </c>
      <c r="K60" s="30" t="n">
        <f aca="false">IF(C60&lt;Assumptions!$B$5,I60*J60,0)</f>
        <v>0.788010658584015</v>
      </c>
      <c r="L60" s="30" t="n">
        <f aca="false">IF(C60&lt;Assumptions!$B$5,I60*(1-F60)*H60*A60*J60,0)</f>
        <v>0.0465447242709606</v>
      </c>
      <c r="M60" s="30" t="n">
        <f aca="false">IF(A60=0,Assumptions!$B$14*12*I60*J60,IF(AND(A60&gt;=12,C60&lt;Assumptions!$B$5),Assumptions!$B$15*I60*J60,0))</f>
        <v>0.0394005329292007</v>
      </c>
      <c r="N60" s="47" t="n">
        <f aca="false">IF(C60&gt;=Assumptions!$B$5,I60*Assumptions!$B$9/12*(1+Assumptions!$B$10)^INT(A60/12)*J60,0)</f>
        <v>0</v>
      </c>
      <c r="O60" s="47" t="n">
        <f aca="false">I60*Assumptions!$B$12/12*(1+Assumptions!$B$11)^(INT(A60/12)+1)*J60</f>
        <v>5.94374487311536</v>
      </c>
      <c r="P60" s="47" t="n">
        <f aca="false">O60+Pricing_M!$B$13*M60+N60-Pricing_M!$B$13*K60</f>
        <v>-745.109802877804</v>
      </c>
      <c r="Q60" s="47" t="n">
        <f aca="false">IF(C60&lt;Assumptions!$B$5,Pricing_M!$B$13*K60-Pricing_M!$B$13*M60-O60,-(N60+O60))</f>
        <v>745.109802877804</v>
      </c>
      <c r="R60" s="32" t="n">
        <f aca="false">R59*(1-(1-(1-MIN(1,E59*(1-Assumptions!$B$21)))^(1/12)))*(1-H59)</f>
        <v>0.889351926172166</v>
      </c>
      <c r="S60" s="47" t="n">
        <f aca="false">R60*(IF(C60&lt;Assumptions!$B$5,Assumptions!$B$12*(1+Assumptions!$B$11)^(INT(A60/12)+1)/12+Pricing_M!$B$13*IF(A60=0,Assumptions!$B$14*12,IF(A60&gt;=12,Assumptions!$B$15,0))-Pricing_M!$B$13,Assumptions!$B$9/12*(1+Assumptions!$B$10)^INT(A60/12)+Assumptions!$B$12*(1+Assumptions!$B$11)^(INT(A60/12)+1)/12))*J60</f>
        <v>-749.141549378222</v>
      </c>
      <c r="T60" s="32" t="n">
        <f aca="false">T59*(1-F59)*(1-(1-(1-MIN(1,G59*(1+Assumptions!$B$23)))^(1/12)))</f>
        <v>0.842366616963581</v>
      </c>
      <c r="U60" s="47" t="n">
        <f aca="false">T60*(IF(C60&lt;Assumptions!$B$5,Assumptions!$B$12*(1+Assumptions!$B$11)^(INT(A60/12)+1)/12+Pricing_M!$B$13*IF(A60=0,Assumptions!$B$14*12,IF(A60&gt;=12,Assumptions!$B$15,0))-Pricing_M!$B$13,Assumptions!$B$9/12*(1+Assumptions!$B$10)^INT(A60/12)+Assumptions!$B$12*(1+Assumptions!$B$11)^(INT(A60/12)+1)/12))*J60</f>
        <v>-709.56368790101</v>
      </c>
      <c r="V60" s="32" t="n">
        <f aca="false">V59*(1-F59)*(1-(1-(1-MIN(1,G59*(1-Assumptions!$B$23)))^(1/12)))</f>
        <v>0.928246585680465</v>
      </c>
      <c r="W60" s="47" t="n">
        <f aca="false">V60*(IF(C60&lt;Assumptions!$B$5,Assumptions!$B$12*(1+Assumptions!$B$11)^(INT(A60/12)+1)/12+Pricing_M!$B$13*IF(A60=0,Assumptions!$B$14*12,IF(A60&gt;=12,Assumptions!$B$15,0))-Pricing_M!$B$13,Assumptions!$B$9/12*(1+Assumptions!$B$10)^INT(A60/12)+Assumptions!$B$12*(1+Assumptions!$B$11)^(INT(A60/12)+1)/12))*J60</f>
        <v>-781.904288884501</v>
      </c>
      <c r="X60" s="47" t="n">
        <f aca="false">I60*(IF(C60&lt;Assumptions!$B$5,Assumptions!$B$12*(1+Assumptions!$B$11)*(1+Assumptions!$B$24)*(1+Assumptions!$B$11+Assumptions!$B$25)^(INT(A60/12))/12+Pricing_M!$B$13*IF(A60=0,Assumptions!$B$14*12,IF(A60&gt;=12,Assumptions!$B$15,0))-Pricing_M!$B$13,Assumptions!$B$9/12*(1+Assumptions!$B$10)^INT(A60/12)+Assumptions!$B$12*(1+Assumptions!$B$11)*(1+Assumptions!$B$24)*(1+Assumptions!$B$11+Assumptions!$B$25)^(INT(A60/12))/12))*J60</f>
        <v>-744.256524079024</v>
      </c>
    </row>
    <row r="61" customFormat="false" ht="15" hidden="false" customHeight="true" outlineLevel="0" collapsed="false">
      <c r="A61" s="1" t="n">
        <v>54</v>
      </c>
      <c r="B61" s="31" t="n">
        <f aca="false">Assumptions!$B$4+A61/12</f>
        <v>69.5</v>
      </c>
      <c r="C61" s="34" t="n">
        <f aca="false">Assumptions!$B$4+INT(A61/12)</f>
        <v>69</v>
      </c>
      <c r="D61" s="34" t="n">
        <f aca="false">INT(A61/12)+1</f>
        <v>5</v>
      </c>
      <c r="E61" s="32" t="n">
        <f aca="false">IFERROR(INDEX(Cohort_Survival!$G$5:$G$65,MATCH(C61,Cohort_Survival!$A$5:$A$65,0)),1)</f>
        <v>0.00742774709662436</v>
      </c>
      <c r="F61" s="30" t="n">
        <f aca="false">1-(1-MIN(1,E61))^(1/12)</f>
        <v>0.000621096221124495</v>
      </c>
      <c r="G61" s="39" t="n">
        <f aca="false">IF(C61&lt;Assumptions!$B$5,IF(D61=1,Assumptions!$B$16,IF(D61=2,Assumptions!$B$17,IF(D61&lt;=5,Assumptions!$B$18,Assumptions!$B$19)))*(1-Assumptions!$B$20),0)</f>
        <v>0.0133</v>
      </c>
      <c r="H61" s="30" t="n">
        <f aca="false">1-(1-G61)^(1/12)</f>
        <v>0.0011151475202863</v>
      </c>
      <c r="I61" s="30" t="n">
        <f aca="false">I60*(1-F60)*(1-H60)</f>
        <v>0.883030383564692</v>
      </c>
      <c r="J61" s="30" t="n">
        <f aca="false">INDEX(Discount_Monthly!$G$4:$G$664,MATCH(A61,Discount_Monthly!$A$4:$A$664,0))</f>
        <v>0.888796291516409</v>
      </c>
      <c r="K61" s="30" t="n">
        <f aca="false">IF(C61&lt;Assumptions!$B$5,I61*J61,0)</f>
        <v>0.78483413020861</v>
      </c>
      <c r="L61" s="30" t="n">
        <f aca="false">IF(C61&lt;Assumptions!$B$5,I61*(1-F61)*H61*A61*J61,0)</f>
        <v>0.0472317613435023</v>
      </c>
      <c r="M61" s="30" t="n">
        <f aca="false">IF(A61=0,Assumptions!$B$14*12*I61*J61,IF(AND(A61&gt;=12,C61&lt;Assumptions!$B$5),Assumptions!$B$15*I61*J61,0))</f>
        <v>0.0392417065104305</v>
      </c>
      <c r="N61" s="47" t="n">
        <f aca="false">IF(C61&gt;=Assumptions!$B$5,I61*Assumptions!$B$9/12*(1+Assumptions!$B$10)^INT(A61/12)*J61,0)</f>
        <v>0</v>
      </c>
      <c r="O61" s="47" t="n">
        <f aca="false">I61*Assumptions!$B$12/12*(1+Assumptions!$B$11)^(INT(A61/12)+1)*J61</f>
        <v>5.91978520449927</v>
      </c>
      <c r="P61" s="47" t="n">
        <f aca="false">O61+Pricing_M!$B$13*M61+N61-Pricing_M!$B$13*K61</f>
        <v>-742.1062109773</v>
      </c>
      <c r="Q61" s="47" t="n">
        <f aca="false">IF(C61&lt;Assumptions!$B$5,Pricing_M!$B$13*K61-Pricing_M!$B$13*M61-O61,-(N61+O61))</f>
        <v>742.1062109773</v>
      </c>
      <c r="R61" s="32" t="n">
        <f aca="false">R60*(1-(1-(1-MIN(1,E60*(1-Assumptions!$B$21)))^(1/12)))*(1-H60)</f>
        <v>0.887919063958322</v>
      </c>
      <c r="S61" s="47" t="n">
        <f aca="false">R61*(IF(C61&lt;Assumptions!$B$5,Assumptions!$B$12*(1+Assumptions!$B$11)^(INT(A61/12)+1)/12+Pricing_M!$B$13*IF(A61=0,Assumptions!$B$14*12,IF(A61&gt;=12,Assumptions!$B$15,0))-Pricing_M!$B$13,Assumptions!$B$9/12*(1+Assumptions!$B$10)^INT(A61/12)+Assumptions!$B$12*(1+Assumptions!$B$11)^(INT(A61/12)+1)/12))*J61</f>
        <v>-746.214699372626</v>
      </c>
      <c r="T61" s="32" t="n">
        <f aca="false">T60*(1-F60)*(1-(1-(1-MIN(1,G60*(1+Assumptions!$B$23)))^(1/12)))</f>
        <v>0.840430898752836</v>
      </c>
      <c r="U61" s="47" t="n">
        <f aca="false">T61*(IF(C61&lt;Assumptions!$B$5,Assumptions!$B$12*(1+Assumptions!$B$11)^(INT(A61/12)+1)/12+Pricing_M!$B$13*IF(A61=0,Assumptions!$B$14*12,IF(A61&gt;=12,Assumptions!$B$15,0))-Pricing_M!$B$13,Assumptions!$B$9/12*(1+Assumptions!$B$10)^INT(A61/12)+Assumptions!$B$12*(1+Assumptions!$B$11)^(INT(A61/12)+1)/12))*J61</f>
        <v>-706.305243251034</v>
      </c>
      <c r="V61" s="32" t="n">
        <f aca="false">V60*(1-F60)*(1-(1-(1-MIN(1,G60*(1-Assumptions!$B$23)))^(1/12)))</f>
        <v>0.92715439783737</v>
      </c>
      <c r="W61" s="47" t="n">
        <f aca="false">V61*(IF(C61&lt;Assumptions!$B$5,Assumptions!$B$12*(1+Assumptions!$B$11)^(INT(A61/12)+1)/12+Pricing_M!$B$13*IF(A61=0,Assumptions!$B$14*12,IF(A61&gt;=12,Assumptions!$B$15,0))-Pricing_M!$B$13,Assumptions!$B$9/12*(1+Assumptions!$B$10)^INT(A61/12)+Assumptions!$B$12*(1+Assumptions!$B$11)^(INT(A61/12)+1)/12))*J61</f>
        <v>-779.18840617065</v>
      </c>
      <c r="X61" s="47" t="n">
        <f aca="false">I61*(IF(C61&lt;Assumptions!$B$5,Assumptions!$B$12*(1+Assumptions!$B$11)*(1+Assumptions!$B$24)*(1+Assumptions!$B$11+Assumptions!$B$25)^(INT(A61/12))/12+Pricing_M!$B$13*IF(A61=0,Assumptions!$B$14*12,IF(A61&gt;=12,Assumptions!$B$15,0))-Pricing_M!$B$13,Assumptions!$B$9/12*(1+Assumptions!$B$10)^INT(A61/12)+Assumptions!$B$12*(1+Assumptions!$B$11)*(1+Assumptions!$B$24)*(1+Assumptions!$B$11+Assumptions!$B$25)^(INT(A61/12))/12))*J61</f>
        <v>-741.256371807523</v>
      </c>
    </row>
    <row r="62" customFormat="false" ht="15" hidden="false" customHeight="true" outlineLevel="0" collapsed="false">
      <c r="A62" s="1" t="n">
        <v>55</v>
      </c>
      <c r="B62" s="31" t="n">
        <f aca="false">Assumptions!$B$4+A62/12</f>
        <v>69.5833333333333</v>
      </c>
      <c r="C62" s="34" t="n">
        <f aca="false">Assumptions!$B$4+INT(A62/12)</f>
        <v>69</v>
      </c>
      <c r="D62" s="34" t="n">
        <f aca="false">INT(A62/12)+1</f>
        <v>5</v>
      </c>
      <c r="E62" s="32" t="n">
        <f aca="false">IFERROR(INDEX(Cohort_Survival!$G$5:$G$65,MATCH(C62,Cohort_Survival!$A$5:$A$65,0)),1)</f>
        <v>0.00742774709662436</v>
      </c>
      <c r="F62" s="30" t="n">
        <f aca="false">1-(1-MIN(1,E62))^(1/12)</f>
        <v>0.000621096221124495</v>
      </c>
      <c r="G62" s="39" t="n">
        <f aca="false">IF(C62&lt;Assumptions!$B$5,IF(D62=1,Assumptions!$B$16,IF(D62=2,Assumptions!$B$17,IF(D62&lt;=5,Assumptions!$B$18,Assumptions!$B$19)))*(1-Assumptions!$B$20),0)</f>
        <v>0.0133</v>
      </c>
      <c r="H62" s="30" t="n">
        <f aca="false">1-(1-G62)^(1/12)</f>
        <v>0.0011151475202863</v>
      </c>
      <c r="I62" s="30" t="n">
        <f aca="false">I61*(1-F61)*(1-H61)</f>
        <v>0.881497839186879</v>
      </c>
      <c r="J62" s="30" t="n">
        <f aca="false">INDEX(Discount_Monthly!$G$4:$G$664,MATCH(A62,Discount_Monthly!$A$4:$A$664,0))</f>
        <v>0.886752493201288</v>
      </c>
      <c r="K62" s="30" t="n">
        <f aca="false">IF(C62&lt;Assumptions!$B$5,I62*J62,0)</f>
        <v>0.781670406650513</v>
      </c>
      <c r="L62" s="30" t="n">
        <f aca="false">IF(C62&lt;Assumptions!$B$5,I62*(1-F62)*H62*A62*J62,0)</f>
        <v>0.0479125030923087</v>
      </c>
      <c r="M62" s="30" t="n">
        <f aca="false">IF(A62=0,Assumptions!$B$14*12*I62*J62,IF(AND(A62&gt;=12,C62&lt;Assumptions!$B$5),Assumptions!$B$15*I62*J62,0))</f>
        <v>0.0390835203325257</v>
      </c>
      <c r="N62" s="47" t="n">
        <f aca="false">IF(C62&gt;=Assumptions!$B$5,I62*Assumptions!$B$9/12*(1+Assumptions!$B$10)^INT(A62/12)*J62,0)</f>
        <v>0</v>
      </c>
      <c r="O62" s="47" t="n">
        <f aca="false">I62*Assumptions!$B$12/12*(1+Assumptions!$B$11)^(INT(A62/12)+1)*J62</f>
        <v>5.89592211905296</v>
      </c>
      <c r="P62" s="47" t="n">
        <f aca="false">O62+Pricing_M!$B$13*M62+N62-Pricing_M!$B$13*K62</f>
        <v>-739.114726774574</v>
      </c>
      <c r="Q62" s="47" t="n">
        <f aca="false">IF(C62&lt;Assumptions!$B$5,Pricing_M!$B$13*K62-Pricing_M!$B$13*M62-O62,-(N62+O62))</f>
        <v>739.114726774574</v>
      </c>
      <c r="R62" s="32" t="n">
        <f aca="false">R61*(1-(1-(1-MIN(1,E61*(1-Assumptions!$B$21)))^(1/12)))*(1-H61)</f>
        <v>0.886488510272816</v>
      </c>
      <c r="S62" s="47" t="n">
        <f aca="false">R62*(IF(C62&lt;Assumptions!$B$5,Assumptions!$B$12*(1+Assumptions!$B$11)^(INT(A62/12)+1)/12+Pricing_M!$B$13*IF(A62=0,Assumptions!$B$14*12,IF(A62&gt;=12,Assumptions!$B$15,0))-Pricing_M!$B$13,Assumptions!$B$9/12*(1+Assumptions!$B$10)^INT(A62/12)+Assumptions!$B$12*(1+Assumptions!$B$11)^(INT(A62/12)+1)/12))*J62</f>
        <v>-743.299284390173</v>
      </c>
      <c r="T62" s="32" t="n">
        <f aca="false">T61*(1-F61)*(1-(1-(1-MIN(1,G61*(1+Assumptions!$B$23)))^(1/12)))</f>
        <v>0.838499628729989</v>
      </c>
      <c r="U62" s="47" t="n">
        <f aca="false">T62*(IF(C62&lt;Assumptions!$B$5,Assumptions!$B$12*(1+Assumptions!$B$11)^(INT(A62/12)+1)/12+Pricing_M!$B$13*IF(A62=0,Assumptions!$B$14*12,IF(A62&gt;=12,Assumptions!$B$15,0))-Pricing_M!$B$13,Assumptions!$B$9/12*(1+Assumptions!$B$10)^INT(A62/12)+Assumptions!$B$12*(1+Assumptions!$B$11)^(INT(A62/12)+1)/12))*J62</f>
        <v>-703.061761967586</v>
      </c>
      <c r="V62" s="32" t="n">
        <f aca="false">V61*(1-F61)*(1-(1-(1-MIN(1,G61*(1-Assumptions!$B$23)))^(1/12)))</f>
        <v>0.926063495077681</v>
      </c>
      <c r="W62" s="47" t="n">
        <f aca="false">V62*(IF(C62&lt;Assumptions!$B$5,Assumptions!$B$12*(1+Assumptions!$B$11)^(INT(A62/12)+1)/12+Pricing_M!$B$13*IF(A62=0,Assumptions!$B$14*12,IF(A62&gt;=12,Assumptions!$B$15,0))-Pricing_M!$B$13,Assumptions!$B$9/12*(1+Assumptions!$B$10)^INT(A62/12)+Assumptions!$B$12*(1+Assumptions!$B$11)^(INT(A62/12)+1)/12))*J62</f>
        <v>-776.481956860632</v>
      </c>
      <c r="X62" s="47" t="n">
        <f aca="false">I62*(IF(C62&lt;Assumptions!$B$5,Assumptions!$B$12*(1+Assumptions!$B$11)*(1+Assumptions!$B$24)*(1+Assumptions!$B$11+Assumptions!$B$25)^(INT(A62/12))/12+Pricing_M!$B$13*IF(A62=0,Assumptions!$B$14*12,IF(A62&gt;=12,Assumptions!$B$15,0))-Pricing_M!$B$13,Assumptions!$B$9/12*(1+Assumptions!$B$10)^INT(A62/12)+Assumptions!$B$12*(1+Assumptions!$B$11)*(1+Assumptions!$B$24)*(1+Assumptions!$B$11+Assumptions!$B$25)^(INT(A62/12))/12))*J62</f>
        <v>-738.268313368406</v>
      </c>
    </row>
    <row r="63" customFormat="false" ht="15" hidden="false" customHeight="true" outlineLevel="0" collapsed="false">
      <c r="A63" s="1" t="n">
        <v>56</v>
      </c>
      <c r="B63" s="31" t="n">
        <f aca="false">Assumptions!$B$4+A63/12</f>
        <v>69.6666666666667</v>
      </c>
      <c r="C63" s="34" t="n">
        <f aca="false">Assumptions!$B$4+INT(A63/12)</f>
        <v>69</v>
      </c>
      <c r="D63" s="34" t="n">
        <f aca="false">INT(A63/12)+1</f>
        <v>5</v>
      </c>
      <c r="E63" s="32" t="n">
        <f aca="false">IFERROR(INDEX(Cohort_Survival!$G$5:$G$65,MATCH(C63,Cohort_Survival!$A$5:$A$65,0)),1)</f>
        <v>0.00742774709662436</v>
      </c>
      <c r="F63" s="30" t="n">
        <f aca="false">1-(1-MIN(1,E63))^(1/12)</f>
        <v>0.000621096221124495</v>
      </c>
      <c r="G63" s="39" t="n">
        <f aca="false">IF(C63&lt;Assumptions!$B$5,IF(D63=1,Assumptions!$B$16,IF(D63=2,Assumptions!$B$17,IF(D63&lt;=5,Assumptions!$B$18,Assumptions!$B$19)))*(1-Assumptions!$B$20),0)</f>
        <v>0.0133</v>
      </c>
      <c r="H63" s="30" t="n">
        <f aca="false">1-(1-G63)^(1/12)</f>
        <v>0.0011151475202863</v>
      </c>
      <c r="I63" s="30" t="n">
        <f aca="false">I62*(1-F62)*(1-H62)</f>
        <v>0.87996795461819</v>
      </c>
      <c r="J63" s="30" t="n">
        <f aca="false">INDEX(Discount_Monthly!$G$4:$G$664,MATCH(A63,Discount_Monthly!$A$4:$A$664,0))</f>
        <v>0.884713394626245</v>
      </c>
      <c r="K63" s="30" t="n">
        <f aca="false">IF(C63&lt;Assumptions!$B$5,I63*J63,0)</f>
        <v>0.778519436292572</v>
      </c>
      <c r="L63" s="30" t="n">
        <f aca="false">IF(C63&lt;Assumptions!$B$5,I63*(1-F63)*H63*A63*J63,0)</f>
        <v>0.0485869891071548</v>
      </c>
      <c r="M63" s="30" t="n">
        <f aca="false">IF(A63=0,Assumptions!$B$14*12*I63*J63,IF(AND(A63&gt;=12,C63&lt;Assumptions!$B$5),Assumptions!$B$15*I63*J63,0))</f>
        <v>0.0389259718146286</v>
      </c>
      <c r="N63" s="47" t="n">
        <f aca="false">IF(C63&gt;=Assumptions!$B$5,I63*Assumptions!$B$9/12*(1+Assumptions!$B$10)^INT(A63/12)*J63,0)</f>
        <v>0</v>
      </c>
      <c r="O63" s="47" t="n">
        <f aca="false">I63*Assumptions!$B$12/12*(1+Assumptions!$B$11)^(INT(A63/12)+1)*J63</f>
        <v>5.87215522744264</v>
      </c>
      <c r="P63" s="47" t="n">
        <f aca="false">O63+Pricing_M!$B$13*M63+N63-Pricing_M!$B$13*K63</f>
        <v>-736.135301462615</v>
      </c>
      <c r="Q63" s="47" t="n">
        <f aca="false">IF(C63&lt;Assumptions!$B$5,Pricing_M!$B$13*K63-Pricing_M!$B$13*M63-O63,-(N63+O63))</f>
        <v>736.135301462615</v>
      </c>
      <c r="R63" s="32" t="n">
        <f aca="false">R62*(1-(1-(1-MIN(1,E62*(1-Assumptions!$B$21)))^(1/12)))*(1-H62)</f>
        <v>0.885060261396307</v>
      </c>
      <c r="S63" s="47" t="n">
        <f aca="false">R63*(IF(C63&lt;Assumptions!$B$5,Assumptions!$B$12*(1+Assumptions!$B$11)^(INT(A63/12)+1)/12+Pricing_M!$B$13*IF(A63=0,Assumptions!$B$14*12,IF(A63&gt;=12,Assumptions!$B$15,0))-Pricing_M!$B$13,Assumptions!$B$9/12*(1+Assumptions!$B$10)^INT(A63/12)+Assumptions!$B$12*(1+Assumptions!$B$11)^(INT(A63/12)+1)/12))*J63</f>
        <v>-740.395259754932</v>
      </c>
      <c r="T63" s="32" t="n">
        <f aca="false">T62*(1-F62)*(1-(1-(1-MIN(1,G62*(1+Assumptions!$B$23)))^(1/12)))</f>
        <v>0.836572796673317</v>
      </c>
      <c r="U63" s="47" t="n">
        <f aca="false">T63*(IF(C63&lt;Assumptions!$B$5,Assumptions!$B$12*(1+Assumptions!$B$11)^(INT(A63/12)+1)/12+Pricing_M!$B$13*IF(A63=0,Assumptions!$B$14*12,IF(A63&gt;=12,Assumptions!$B$15,0))-Pricing_M!$B$13,Assumptions!$B$9/12*(1+Assumptions!$B$10)^INT(A63/12)+Assumptions!$B$12*(1+Assumptions!$B$11)^(INT(A63/12)+1)/12))*J63</f>
        <v>-699.833175336184</v>
      </c>
      <c r="V63" s="32" t="n">
        <f aca="false">V62*(1-F62)*(1-(1-(1-MIN(1,G62*(1-Assumptions!$B$23)))^(1/12)))</f>
        <v>0.924973875889351</v>
      </c>
      <c r="W63" s="47" t="n">
        <f aca="false">V63*(IF(C63&lt;Assumptions!$B$5,Assumptions!$B$12*(1+Assumptions!$B$11)^(INT(A63/12)+1)/12+Pricing_M!$B$13*IF(A63=0,Assumptions!$B$14*12,IF(A63&gt;=12,Assumptions!$B$15,0))-Pricing_M!$B$13,Assumptions!$B$9/12*(1+Assumptions!$B$10)^INT(A63/12)+Assumptions!$B$12*(1+Assumptions!$B$11)^(INT(A63/12)+1)/12))*J63</f>
        <v>-773.784908188264</v>
      </c>
      <c r="X63" s="47" t="n">
        <f aca="false">I63*(IF(C63&lt;Assumptions!$B$5,Assumptions!$B$12*(1+Assumptions!$B$11)*(1+Assumptions!$B$24)*(1+Assumptions!$B$11+Assumptions!$B$25)^(INT(A63/12))/12+Pricing_M!$B$13*IF(A63=0,Assumptions!$B$14*12,IF(A63&gt;=12,Assumptions!$B$15,0))-Pricing_M!$B$13,Assumptions!$B$9/12*(1+Assumptions!$B$10)^INT(A63/12)+Assumptions!$B$12*(1+Assumptions!$B$11)*(1+Assumptions!$B$24)*(1+Assumptions!$B$11+Assumptions!$B$25)^(INT(A63/12))/12))*J63</f>
        <v>-735.292300010553</v>
      </c>
    </row>
    <row r="64" customFormat="false" ht="15" hidden="false" customHeight="true" outlineLevel="0" collapsed="false">
      <c r="A64" s="1" t="n">
        <v>57</v>
      </c>
      <c r="B64" s="31" t="n">
        <f aca="false">Assumptions!$B$4+A64/12</f>
        <v>69.75</v>
      </c>
      <c r="C64" s="34" t="n">
        <f aca="false">Assumptions!$B$4+INT(A64/12)</f>
        <v>69</v>
      </c>
      <c r="D64" s="34" t="n">
        <f aca="false">INT(A64/12)+1</f>
        <v>5</v>
      </c>
      <c r="E64" s="32" t="n">
        <f aca="false">IFERROR(INDEX(Cohort_Survival!$G$5:$G$65,MATCH(C64,Cohort_Survival!$A$5:$A$65,0)),1)</f>
        <v>0.00742774709662436</v>
      </c>
      <c r="F64" s="30" t="n">
        <f aca="false">1-(1-MIN(1,E64))^(1/12)</f>
        <v>0.000621096221124495</v>
      </c>
      <c r="G64" s="39" t="n">
        <f aca="false">IF(C64&lt;Assumptions!$B$5,IF(D64=1,Assumptions!$B$16,IF(D64=2,Assumptions!$B$17,IF(D64&lt;=5,Assumptions!$B$18,Assumptions!$B$19)))*(1-Assumptions!$B$20),0)</f>
        <v>0.0133</v>
      </c>
      <c r="H64" s="30" t="n">
        <f aca="false">1-(1-G64)^(1/12)</f>
        <v>0.0011151475202863</v>
      </c>
      <c r="I64" s="30" t="n">
        <f aca="false">I63*(1-F63)*(1-H63)</f>
        <v>0.878440725242388</v>
      </c>
      <c r="J64" s="30" t="n">
        <f aca="false">INDEX(Discount_Monthly!$G$4:$G$664,MATCH(A64,Discount_Monthly!$A$4:$A$664,0))</f>
        <v>0.882678984984169</v>
      </c>
      <c r="K64" s="30" t="n">
        <f aca="false">IF(C64&lt;Assumptions!$B$5,I64*J64,0)</f>
        <v>0.775381167725709</v>
      </c>
      <c r="L64" s="30" t="n">
        <f aca="false">IF(C64&lt;Assumptions!$B$5,I64*(1-F64)*H64*A64*J64,0)</f>
        <v>0.0492552587609334</v>
      </c>
      <c r="M64" s="30" t="n">
        <f aca="false">IF(A64=0,Assumptions!$B$14*12*I64*J64,IF(AND(A64&gt;=12,C64&lt;Assumptions!$B$5),Assumptions!$B$15*I64*J64,0))</f>
        <v>0.0387690583862854</v>
      </c>
      <c r="N64" s="47" t="n">
        <f aca="false">IF(C64&gt;=Assumptions!$B$5,I64*Assumptions!$B$9/12*(1+Assumptions!$B$10)^INT(A64/12)*J64,0)</f>
        <v>0</v>
      </c>
      <c r="O64" s="47" t="n">
        <f aca="false">I64*Assumptions!$B$12/12*(1+Assumptions!$B$11)^(INT(A64/12)+1)*J64</f>
        <v>5.84848414190393</v>
      </c>
      <c r="P64" s="47" t="n">
        <f aca="false">O64+Pricing_M!$B$13*M64+N64-Pricing_M!$B$13*K64</f>
        <v>-733.167886431154</v>
      </c>
      <c r="Q64" s="47" t="n">
        <f aca="false">IF(C64&lt;Assumptions!$B$5,Pricing_M!$B$13*K64-Pricing_M!$B$13*M64-O64,-(N64+O64))</f>
        <v>733.167886431154</v>
      </c>
      <c r="R64" s="32" t="n">
        <f aca="false">R63*(1-(1-(1-MIN(1,E63*(1-Assumptions!$B$21)))^(1/12)))*(1-H63)</f>
        <v>0.883634313615446</v>
      </c>
      <c r="S64" s="47" t="n">
        <f aca="false">R64*(IF(C64&lt;Assumptions!$B$5,Assumptions!$B$12*(1+Assumptions!$B$11)^(INT(A64/12)+1)/12+Pricing_M!$B$13*IF(A64=0,Assumptions!$B$14*12,IF(A64&gt;=12,Assumptions!$B$15,0))-Pricing_M!$B$13,Assumptions!$B$9/12*(1+Assumptions!$B$10)^INT(A64/12)+Assumptions!$B$12*(1+Assumptions!$B$11)^(INT(A64/12)+1)/12))*J64</f>
        <v>-737.502580965515</v>
      </c>
      <c r="T64" s="32" t="n">
        <f aca="false">T63*(1-F63)*(1-(1-(1-MIN(1,G63*(1+Assumptions!$B$23)))^(1/12)))</f>
        <v>0.834650392384587</v>
      </c>
      <c r="U64" s="47" t="n">
        <f aca="false">T64*(IF(C64&lt;Assumptions!$B$5,Assumptions!$B$12*(1+Assumptions!$B$11)^(INT(A64/12)+1)/12+Pricing_M!$B$13*IF(A64=0,Assumptions!$B$14*12,IF(A64&gt;=12,Assumptions!$B$15,0))-Pricing_M!$B$13,Assumptions!$B$9/12*(1+Assumptions!$B$10)^INT(A64/12)+Assumptions!$B$12*(1+Assumptions!$B$11)^(INT(A64/12)+1)/12))*J64</f>
        <v>-696.619414957894</v>
      </c>
      <c r="V64" s="32" t="n">
        <f aca="false">V63*(1-F63)*(1-(1-(1-MIN(1,G63*(1-Assumptions!$B$23)))^(1/12)))</f>
        <v>0.923885538762114</v>
      </c>
      <c r="W64" s="47" t="n">
        <f aca="false">V64*(IF(C64&lt;Assumptions!$B$5,Assumptions!$B$12*(1+Assumptions!$B$11)^(INT(A64/12)+1)/12+Pricing_M!$B$13*IF(A64=0,Assumptions!$B$14*12,IF(A64&gt;=12,Assumptions!$B$15,0))-Pricing_M!$B$13,Assumptions!$B$9/12*(1+Assumptions!$B$10)^INT(A64/12)+Assumptions!$B$12*(1+Assumptions!$B$11)^(INT(A64/12)+1)/12))*J64</f>
        <v>-771.097227501175</v>
      </c>
      <c r="X64" s="47" t="n">
        <f aca="false">I64*(IF(C64&lt;Assumptions!$B$5,Assumptions!$B$12*(1+Assumptions!$B$11)*(1+Assumptions!$B$24)*(1+Assumptions!$B$11+Assumptions!$B$25)^(INT(A64/12))/12+Pricing_M!$B$13*IF(A64=0,Assumptions!$B$14*12,IF(A64&gt;=12,Assumptions!$B$15,0))-Pricing_M!$B$13,Assumptions!$B$9/12*(1+Assumptions!$B$10)^INT(A64/12)+Assumptions!$B$12*(1+Assumptions!$B$11)*(1+Assumptions!$B$24)*(1+Assumptions!$B$11+Assumptions!$B$25)^(INT(A64/12))/12))*J64</f>
        <v>-732.328283179362</v>
      </c>
    </row>
    <row r="65" customFormat="false" ht="15" hidden="false" customHeight="true" outlineLevel="0" collapsed="false">
      <c r="A65" s="1" t="n">
        <v>58</v>
      </c>
      <c r="B65" s="31" t="n">
        <f aca="false">Assumptions!$B$4+A65/12</f>
        <v>69.8333333333333</v>
      </c>
      <c r="C65" s="34" t="n">
        <f aca="false">Assumptions!$B$4+INT(A65/12)</f>
        <v>69</v>
      </c>
      <c r="D65" s="34" t="n">
        <f aca="false">INT(A65/12)+1</f>
        <v>5</v>
      </c>
      <c r="E65" s="32" t="n">
        <f aca="false">IFERROR(INDEX(Cohort_Survival!$G$5:$G$65,MATCH(C65,Cohort_Survival!$A$5:$A$65,0)),1)</f>
        <v>0.00742774709662436</v>
      </c>
      <c r="F65" s="30" t="n">
        <f aca="false">1-(1-MIN(1,E65))^(1/12)</f>
        <v>0.000621096221124495</v>
      </c>
      <c r="G65" s="39" t="n">
        <f aca="false">IF(C65&lt;Assumptions!$B$5,IF(D65=1,Assumptions!$B$16,IF(D65=2,Assumptions!$B$17,IF(D65&lt;=5,Assumptions!$B$18,Assumptions!$B$19)))*(1-Assumptions!$B$20),0)</f>
        <v>0.0133</v>
      </c>
      <c r="H65" s="30" t="n">
        <f aca="false">1-(1-G65)^(1/12)</f>
        <v>0.0011151475202863</v>
      </c>
      <c r="I65" s="30" t="n">
        <f aca="false">I64*(1-F64)*(1-H64)</f>
        <v>0.876916146451252</v>
      </c>
      <c r="J65" s="30" t="n">
        <f aca="false">INDEX(Discount_Monthly!$G$4:$G$664,MATCH(A65,Discount_Monthly!$A$4:$A$664,0))</f>
        <v>0.880649253492799</v>
      </c>
      <c r="K65" s="30" t="n">
        <f aca="false">IF(C65&lt;Assumptions!$B$5,I65*J65,0)</f>
        <v>0.772255549748077</v>
      </c>
      <c r="L65" s="30" t="n">
        <f aca="false">IF(C65&lt;Assumptions!$B$5,I65*(1-F65)*H65*A65*J65,0)</f>
        <v>0.0499173512107601</v>
      </c>
      <c r="M65" s="30" t="n">
        <f aca="false">IF(A65=0,Assumptions!$B$14*12*I65*J65,IF(AND(A65&gt;=12,C65&lt;Assumptions!$B$5),Assumptions!$B$15*I65*J65,0))</f>
        <v>0.0386127774874039</v>
      </c>
      <c r="N65" s="47" t="n">
        <f aca="false">IF(C65&gt;=Assumptions!$B$5,I65*Assumptions!$B$9/12*(1+Assumptions!$B$10)^INT(A65/12)*J65,0)</f>
        <v>0</v>
      </c>
      <c r="O65" s="47" t="n">
        <f aca="false">I65*Assumptions!$B$12/12*(1+Assumptions!$B$11)^(INT(A65/12)+1)*J65</f>
        <v>5.82490847623559</v>
      </c>
      <c r="P65" s="47" t="n">
        <f aca="false">O65+Pricing_M!$B$13*M65+N65-Pricing_M!$B$13*K65</f>
        <v>-730.212433265877</v>
      </c>
      <c r="Q65" s="47" t="n">
        <f aca="false">IF(C65&lt;Assumptions!$B$5,Pricing_M!$B$13*K65-Pricing_M!$B$13*M65-O65,-(N65+O65))</f>
        <v>730.212433265877</v>
      </c>
      <c r="R65" s="32" t="n">
        <f aca="false">R64*(1-(1-(1-MIN(1,E64*(1-Assumptions!$B$21)))^(1/12)))*(1-H64)</f>
        <v>0.882210663222867</v>
      </c>
      <c r="S65" s="47" t="n">
        <f aca="false">R65*(IF(C65&lt;Assumptions!$B$5,Assumptions!$B$12*(1+Assumptions!$B$11)^(INT(A65/12)+1)/12+Pricing_M!$B$13*IF(A65=0,Assumptions!$B$14*12,IF(A65&gt;=12,Assumptions!$B$15,0))-Pricing_M!$B$13,Assumptions!$B$9/12*(1+Assumptions!$B$10)^INT(A65/12)+Assumptions!$B$12*(1+Assumptions!$B$11)^(INT(A65/12)+1)/12))*J65</f>
        <v>-734.6212036944</v>
      </c>
      <c r="T65" s="32" t="n">
        <f aca="false">T64*(1-F64)*(1-(1-(1-MIN(1,G64*(1+Assumptions!$B$23)))^(1/12)))</f>
        <v>0.832732405688998</v>
      </c>
      <c r="U65" s="47" t="n">
        <f aca="false">T65*(IF(C65&lt;Assumptions!$B$5,Assumptions!$B$12*(1+Assumptions!$B$11)^(INT(A65/12)+1)/12+Pricing_M!$B$13*IF(A65=0,Assumptions!$B$14*12,IF(A65&gt;=12,Assumptions!$B$15,0))-Pricing_M!$B$13,Assumptions!$B$9/12*(1+Assumptions!$B$10)^INT(A65/12)+Assumptions!$B$12*(1+Assumptions!$B$11)^(INT(A65/12)+1)/12))*J65</f>
        <v>-693.420412747883</v>
      </c>
      <c r="V65" s="32" t="n">
        <f aca="false">V64*(1-F64)*(1-(1-(1-MIN(1,G64*(1-Assumptions!$B$23)))^(1/12)))</f>
        <v>0.922798482187477</v>
      </c>
      <c r="W65" s="47" t="n">
        <f aca="false">V65*(IF(C65&lt;Assumptions!$B$5,Assumptions!$B$12*(1+Assumptions!$B$11)^(INT(A65/12)+1)/12+Pricing_M!$B$13*IF(A65=0,Assumptions!$B$14*12,IF(A65&gt;=12,Assumptions!$B$15,0))-Pricing_M!$B$13,Assumptions!$B$9/12*(1+Assumptions!$B$10)^INT(A65/12)+Assumptions!$B$12*(1+Assumptions!$B$11)^(INT(A65/12)+1)/12))*J65</f>
        <v>-768.418882260408</v>
      </c>
      <c r="X65" s="47" t="n">
        <f aca="false">I65*(IF(C65&lt;Assumptions!$B$5,Assumptions!$B$12*(1+Assumptions!$B$11)*(1+Assumptions!$B$24)*(1+Assumptions!$B$11+Assumptions!$B$25)^(INT(A65/12))/12+Pricing_M!$B$13*IF(A65=0,Assumptions!$B$14*12,IF(A65&gt;=12,Assumptions!$B$15,0))-Pricing_M!$B$13,Assumptions!$B$9/12*(1+Assumptions!$B$10)^INT(A65/12)+Assumptions!$B$12*(1+Assumptions!$B$11)*(1+Assumptions!$B$24)*(1+Assumptions!$B$11+Assumptions!$B$25)^(INT(A65/12))/12))*J65</f>
        <v>-729.376214515963</v>
      </c>
    </row>
    <row r="66" customFormat="false" ht="15" hidden="false" customHeight="true" outlineLevel="0" collapsed="false">
      <c r="A66" s="1" t="n">
        <v>59</v>
      </c>
      <c r="B66" s="31" t="n">
        <f aca="false">Assumptions!$B$4+A66/12</f>
        <v>69.9166666666667</v>
      </c>
      <c r="C66" s="34" t="n">
        <f aca="false">Assumptions!$B$4+INT(A66/12)</f>
        <v>69</v>
      </c>
      <c r="D66" s="34" t="n">
        <f aca="false">INT(A66/12)+1</f>
        <v>5</v>
      </c>
      <c r="E66" s="32" t="n">
        <f aca="false">IFERROR(INDEX(Cohort_Survival!$G$5:$G$65,MATCH(C66,Cohort_Survival!$A$5:$A$65,0)),1)</f>
        <v>0.00742774709662436</v>
      </c>
      <c r="F66" s="30" t="n">
        <f aca="false">1-(1-MIN(1,E66))^(1/12)</f>
        <v>0.000621096221124495</v>
      </c>
      <c r="G66" s="39" t="n">
        <f aca="false">IF(C66&lt;Assumptions!$B$5,IF(D66=1,Assumptions!$B$16,IF(D66=2,Assumptions!$B$17,IF(D66&lt;=5,Assumptions!$B$18,Assumptions!$B$19)))*(1-Assumptions!$B$20),0)</f>
        <v>0.0133</v>
      </c>
      <c r="H66" s="30" t="n">
        <f aca="false">1-(1-G66)^(1/12)</f>
        <v>0.0011151475202863</v>
      </c>
      <c r="I66" s="30" t="n">
        <f aca="false">I65*(1-F65)*(1-H65)</f>
        <v>0.875394213644556</v>
      </c>
      <c r="J66" s="30" t="n">
        <f aca="false">INDEX(Discount_Monthly!$G$4:$G$664,MATCH(A66,Discount_Monthly!$A$4:$A$664,0))</f>
        <v>0.878624189394669</v>
      </c>
      <c r="K66" s="30" t="n">
        <f aca="false">IF(C66&lt;Assumptions!$B$5,I66*J66,0)</f>
        <v>0.769142531364231</v>
      </c>
      <c r="L66" s="30" t="n">
        <f aca="false">IF(C66&lt;Assumptions!$B$5,I66*(1-F66)*H66*A66*J66,0)</f>
        <v>0.0505733053990732</v>
      </c>
      <c r="M66" s="30" t="n">
        <f aca="false">IF(A66=0,Assumptions!$B$14*12*I66*J66,IF(AND(A66&gt;=12,C66&lt;Assumptions!$B$5),Assumptions!$B$15*I66*J66,0))</f>
        <v>0.0384571265682116</v>
      </c>
      <c r="N66" s="47" t="n">
        <f aca="false">IF(C66&gt;=Assumptions!$B$5,I66*Assumptions!$B$9/12*(1+Assumptions!$B$10)^INT(A66/12)*J66,0)</f>
        <v>0</v>
      </c>
      <c r="O66" s="47" t="n">
        <f aca="false">I66*Assumptions!$B$12/12*(1+Assumptions!$B$11)^(INT(A66/12)+1)*J66</f>
        <v>5.80142784579317</v>
      </c>
      <c r="P66" s="47" t="n">
        <f aca="false">O66+Pricing_M!$B$13*M66+N66-Pricing_M!$B$13*K66</f>
        <v>-727.268893747629</v>
      </c>
      <c r="Q66" s="47" t="n">
        <f aca="false">IF(C66&lt;Assumptions!$B$5,Pricing_M!$B$13*K66-Pricing_M!$B$13*M66-O66,-(N66+O66))</f>
        <v>727.268893747629</v>
      </c>
      <c r="R66" s="32" t="n">
        <f aca="false">R65*(1-(1-(1-MIN(1,E65*(1-Assumptions!$B$21)))^(1/12)))*(1-H65)</f>
        <v>0.880789306517179</v>
      </c>
      <c r="S66" s="47" t="n">
        <f aca="false">R66*(IF(C66&lt;Assumptions!$B$5,Assumptions!$B$12*(1+Assumptions!$B$11)^(INT(A66/12)+1)/12+Pricing_M!$B$13*IF(A66=0,Assumptions!$B$14*12,IF(A66&gt;=12,Assumptions!$B$15,0))-Pricing_M!$B$13,Assumptions!$B$9/12*(1+Assumptions!$B$10)^INT(A66/12)+Assumptions!$B$12*(1+Assumptions!$B$11)^(INT(A66/12)+1)/12))*J66</f>
        <v>-731.751083787249</v>
      </c>
      <c r="T66" s="32" t="n">
        <f aca="false">T65*(1-F65)*(1-(1-(1-MIN(1,G65*(1+Assumptions!$B$23)))^(1/12)))</f>
        <v>0.830818826435133</v>
      </c>
      <c r="U66" s="47" t="n">
        <f aca="false">T66*(IF(C66&lt;Assumptions!$B$5,Assumptions!$B$12*(1+Assumptions!$B$11)^(INT(A66/12)+1)/12+Pricing_M!$B$13*IF(A66=0,Assumptions!$B$14*12,IF(A66&gt;=12,Assumptions!$B$15,0))-Pricing_M!$B$13,Assumptions!$B$9/12*(1+Assumptions!$B$10)^INT(A66/12)+Assumptions!$B$12*(1+Assumptions!$B$11)^(INT(A66/12)+1)/12))*J66</f>
        <v>-690.236100933977</v>
      </c>
      <c r="V66" s="32" t="n">
        <f aca="false">V65*(1-F65)*(1-(1-(1-MIN(1,G65*(1-Assumptions!$B$23)))^(1/12)))</f>
        <v>0.921712704658725</v>
      </c>
      <c r="W66" s="47" t="n">
        <f aca="false">V66*(IF(C66&lt;Assumptions!$B$5,Assumptions!$B$12*(1+Assumptions!$B$11)^(INT(A66/12)+1)/12+Pricing_M!$B$13*IF(A66=0,Assumptions!$B$14*12,IF(A66&gt;=12,Assumptions!$B$15,0))-Pricing_M!$B$13,Assumptions!$B$9/12*(1+Assumptions!$B$10)^INT(A66/12)+Assumptions!$B$12*(1+Assumptions!$B$11)^(INT(A66/12)+1)/12))*J66</f>
        <v>-765.74984004003</v>
      </c>
      <c r="X66" s="47" t="n">
        <f aca="false">I66*(IF(C66&lt;Assumptions!$B$5,Assumptions!$B$12*(1+Assumptions!$B$11)*(1+Assumptions!$B$24)*(1+Assumptions!$B$11+Assumptions!$B$25)^(INT(A66/12))/12+Pricing_M!$B$13*IF(A66=0,Assumptions!$B$14*12,IF(A66&gt;=12,Assumptions!$B$15,0))-Pricing_M!$B$13,Assumptions!$B$9/12*(1+Assumptions!$B$10)^INT(A66/12)+Assumptions!$B$12*(1+Assumptions!$B$11)*(1+Assumptions!$B$24)*(1+Assumptions!$B$11+Assumptions!$B$25)^(INT(A66/12))/12))*J66</f>
        <v>-726.436045856419</v>
      </c>
    </row>
    <row r="67" customFormat="false" ht="15" hidden="false" customHeight="true" outlineLevel="0" collapsed="false">
      <c r="A67" s="1" t="n">
        <v>60</v>
      </c>
      <c r="B67" s="31" t="n">
        <f aca="false">Assumptions!$B$4+A67/12</f>
        <v>70</v>
      </c>
      <c r="C67" s="34" t="n">
        <f aca="false">Assumptions!$B$4+INT(A67/12)</f>
        <v>70</v>
      </c>
      <c r="D67" s="34" t="n">
        <f aca="false">INT(A67/12)+1</f>
        <v>6</v>
      </c>
      <c r="E67" s="32" t="n">
        <f aca="false">IFERROR(INDEX(Cohort_Survival!$G$5:$G$65,MATCH(C67,Cohort_Survival!$A$5:$A$65,0)),1)</f>
        <v>0.0084938344969428</v>
      </c>
      <c r="F67" s="30" t="n">
        <f aca="false">1-(1-MIN(1,E67))^(1/12)</f>
        <v>0.000710590134707645</v>
      </c>
      <c r="G67" s="39" t="n">
        <f aca="false">IF(C67&lt;Assumptions!$B$5,IF(D67=1,Assumptions!$B$16,IF(D67=2,Assumptions!$B$17,IF(D67&lt;=5,Assumptions!$B$18,Assumptions!$B$19)))*(1-Assumptions!$B$20),0)</f>
        <v>0.0091</v>
      </c>
      <c r="H67" s="30" t="n">
        <f aca="false">1-(1-G67)^(1/12)</f>
        <v>0.000761514726814627</v>
      </c>
      <c r="I67" s="30" t="n">
        <f aca="false">I66*(1-F66)*(1-H66)</f>
        <v>0.873874922230058</v>
      </c>
      <c r="J67" s="30" t="n">
        <f aca="false">INDEX(Discount_Monthly!$G$4:$G$664,MATCH(A67,Discount_Monthly!$A$4:$A$664,0))</f>
        <v>0.876603781957048</v>
      </c>
      <c r="K67" s="30" t="n">
        <f aca="false">IF(C67&lt;Assumptions!$B$5,I67*J67,0)</f>
        <v>0.76604206178429</v>
      </c>
      <c r="L67" s="30" t="n">
        <f aca="false">IF(C67&lt;Assumptions!$B$5,I67*(1-F67)*H67*A67*J67,0)</f>
        <v>0.0349762672206379</v>
      </c>
      <c r="M67" s="30" t="n">
        <f aca="false">IF(A67=0,Assumptions!$B$14*12*I67*J67,IF(AND(A67&gt;=12,C67&lt;Assumptions!$B$5),Assumptions!$B$15*I67*J67,0))</f>
        <v>0.0383021030892145</v>
      </c>
      <c r="N67" s="47" t="n">
        <f aca="false">IF(C67&gt;=Assumptions!$B$5,I67*Assumptions!$B$9/12*(1+Assumptions!$B$10)^INT(A67/12)*J67,0)</f>
        <v>0</v>
      </c>
      <c r="O67" s="47" t="n">
        <f aca="false">I67*Assumptions!$B$12/12*(1+Assumptions!$B$11)^(INT(A67/12)+1)*J67</f>
        <v>5.92249291416982</v>
      </c>
      <c r="P67" s="47" t="n">
        <f aca="false">O67+Pricing_M!$B$13*M67+N67-Pricing_M!$B$13*K67</f>
        <v>-724.192768804944</v>
      </c>
      <c r="Q67" s="47" t="n">
        <f aca="false">IF(C67&lt;Assumptions!$B$5,Pricing_M!$B$13*K67-Pricing_M!$B$13*M67-O67,-(N67+O67))</f>
        <v>724.192768804945</v>
      </c>
      <c r="R67" s="32" t="n">
        <f aca="false">R66*(1-(1-(1-MIN(1,E66*(1-Assumptions!$B$21)))^(1/12)))*(1-H66)</f>
        <v>0.87937023980295</v>
      </c>
      <c r="S67" s="47" t="n">
        <f aca="false">R67*(IF(C67&lt;Assumptions!$B$5,Assumptions!$B$12*(1+Assumptions!$B$11)^(INT(A67/12)+1)/12+Pricing_M!$B$13*IF(A67=0,Assumptions!$B$14*12,IF(A67&gt;=12,Assumptions!$B$15,0))-Pricing_M!$B$13,Assumptions!$B$9/12*(1+Assumptions!$B$10)^INT(A67/12)+Assumptions!$B$12*(1+Assumptions!$B$11)^(INT(A67/12)+1)/12))*J67</f>
        <v>-728.746817842556</v>
      </c>
      <c r="T67" s="32" t="n">
        <f aca="false">T66*(1-F66)*(1-(1-(1-MIN(1,G66*(1+Assumptions!$B$23)))^(1/12)))</f>
        <v>0.828909644494902</v>
      </c>
      <c r="U67" s="47" t="n">
        <f aca="false">T67*(IF(C67&lt;Assumptions!$B$5,Assumptions!$B$12*(1+Assumptions!$B$11)^(INT(A67/12)+1)/12+Pricing_M!$B$13*IF(A67=0,Assumptions!$B$14*12,IF(A67&gt;=12,Assumptions!$B$15,0))-Pricing_M!$B$13,Assumptions!$B$9/12*(1+Assumptions!$B$10)^INT(A67/12)+Assumptions!$B$12*(1+Assumptions!$B$11)^(INT(A67/12)+1)/12))*J67</f>
        <v>-686.929393744351</v>
      </c>
      <c r="V67" s="32" t="n">
        <f aca="false">V66*(1-F66)*(1-(1-(1-MIN(1,G66*(1-Assumptions!$B$23)))^(1/12)))</f>
        <v>0.920628204670915</v>
      </c>
      <c r="W67" s="47" t="n">
        <f aca="false">V67*(IF(C67&lt;Assumptions!$B$5,Assumptions!$B$12*(1+Assumptions!$B$11)^(INT(A67/12)+1)/12+Pricing_M!$B$13*IF(A67=0,Assumptions!$B$14*12,IF(A67&gt;=12,Assumptions!$B$15,0))-Pricing_M!$B$13,Assumptions!$B$9/12*(1+Assumptions!$B$10)^INT(A67/12)+Assumptions!$B$12*(1+Assumptions!$B$11)^(INT(A67/12)+1)/12))*J67</f>
        <v>-762.937889188031</v>
      </c>
      <c r="X67" s="47" t="n">
        <f aca="false">I67*(IF(C67&lt;Assumptions!$B$5,Assumptions!$B$12*(1+Assumptions!$B$11)*(1+Assumptions!$B$24)*(1+Assumptions!$B$11+Assumptions!$B$25)^(INT(A67/12))/12+Pricing_M!$B$13*IF(A67=0,Assumptions!$B$14*12,IF(A67&gt;=12,Assumptions!$B$15,0))-Pricing_M!$B$13,Assumptions!$B$9/12*(1+Assumptions!$B$10)^INT(A67/12)+Assumptions!$B$12*(1+Assumptions!$B$11)*(1+Assumptions!$B$24)*(1+Assumptions!$B$11+Assumptions!$B$25)^(INT(A67/12))/12))*J67</f>
        <v>-723.276465593862</v>
      </c>
    </row>
    <row r="68" customFormat="false" ht="15" hidden="false" customHeight="true" outlineLevel="0" collapsed="false">
      <c r="A68" s="1" t="n">
        <v>61</v>
      </c>
      <c r="B68" s="31" t="n">
        <f aca="false">Assumptions!$B$4+A68/12</f>
        <v>70.0833333333333</v>
      </c>
      <c r="C68" s="34" t="n">
        <f aca="false">Assumptions!$B$4+INT(A68/12)</f>
        <v>70</v>
      </c>
      <c r="D68" s="34" t="n">
        <f aca="false">INT(A68/12)+1</f>
        <v>6</v>
      </c>
      <c r="E68" s="32" t="n">
        <f aca="false">IFERROR(INDEX(Cohort_Survival!$G$5:$G$65,MATCH(C68,Cohort_Survival!$A$5:$A$65,0)),1)</f>
        <v>0.0084938344969428</v>
      </c>
      <c r="F68" s="30" t="n">
        <f aca="false">1-(1-MIN(1,E68))^(1/12)</f>
        <v>0.000710590134707645</v>
      </c>
      <c r="G68" s="39" t="n">
        <f aca="false">IF(C68&lt;Assumptions!$B$5,IF(D68=1,Assumptions!$B$16,IF(D68=2,Assumptions!$B$17,IF(D68&lt;=5,Assumptions!$B$18,Assumptions!$B$19)))*(1-Assumptions!$B$20),0)</f>
        <v>0.0091</v>
      </c>
      <c r="H68" s="30" t="n">
        <f aca="false">1-(1-G68)^(1/12)</f>
        <v>0.000761514726814627</v>
      </c>
      <c r="I68" s="30" t="n">
        <f aca="false">I67*(1-F67)*(1-H67)</f>
        <v>0.872588959584119</v>
      </c>
      <c r="J68" s="30" t="n">
        <f aca="false">INDEX(Discount_Monthly!$G$4:$G$664,MATCH(A68,Discount_Monthly!$A$4:$A$664,0))</f>
        <v>0.874524177347913</v>
      </c>
      <c r="K68" s="30" t="n">
        <f aca="false">IF(C68&lt;Assumptions!$B$5,I68*J68,0)</f>
        <v>0.763100142043173</v>
      </c>
      <c r="L68" s="30" t="n">
        <f aca="false">IF(C68&lt;Assumptions!$B$5,I68*(1-F68)*H68*A68*J68,0)</f>
        <v>0.0354226428886615</v>
      </c>
      <c r="M68" s="30" t="n">
        <f aca="false">IF(A68=0,Assumptions!$B$14*12*I68*J68,IF(AND(A68&gt;=12,C68&lt;Assumptions!$B$5),Assumptions!$B$15*I68*J68,0))</f>
        <v>0.0381550071021586</v>
      </c>
      <c r="N68" s="47" t="n">
        <f aca="false">IF(C68&gt;=Assumptions!$B$5,I68*Assumptions!$B$9/12*(1+Assumptions!$B$10)^INT(A68/12)*J68,0)</f>
        <v>0</v>
      </c>
      <c r="O68" s="47" t="n">
        <f aca="false">I68*Assumptions!$B$12/12*(1+Assumptions!$B$11)^(INT(A68/12)+1)*J68</f>
        <v>5.89974808109859</v>
      </c>
      <c r="P68" s="47" t="n">
        <f aca="false">O68+Pricing_M!$B$13*M68+N68-Pricing_M!$B$13*K68</f>
        <v>-721.41156773361</v>
      </c>
      <c r="Q68" s="47" t="n">
        <f aca="false">IF(C68&lt;Assumptions!$B$5,Pricing_M!$B$13*K68-Pricing_M!$B$13*M68-O68,-(N68+O68))</f>
        <v>721.41156773361</v>
      </c>
      <c r="R68" s="32" t="n">
        <f aca="false">R67*(1-(1-(1-MIN(1,E67*(1-Assumptions!$B$21)))^(1/12)))*(1-H67)</f>
        <v>0.878201460864847</v>
      </c>
      <c r="S68" s="47" t="n">
        <f aca="false">R68*(IF(C68&lt;Assumptions!$B$5,Assumptions!$B$12*(1+Assumptions!$B$11)^(INT(A68/12)+1)/12+Pricing_M!$B$13*IF(A68=0,Assumptions!$B$14*12,IF(A68&gt;=12,Assumptions!$B$15,0))-Pricing_M!$B$13,Assumptions!$B$9/12*(1+Assumptions!$B$10)^INT(A68/12)+Assumptions!$B$12*(1+Assumptions!$B$11)^(INT(A68/12)+1)/12))*J68</f>
        <v>-726.051694454635</v>
      </c>
      <c r="T68" s="32" t="n">
        <f aca="false">T67*(1-F67)*(1-(1-(1-MIN(1,G67*(1+Assumptions!$B$23)))^(1/12)))</f>
        <v>0.827372468107953</v>
      </c>
      <c r="U68" s="47" t="n">
        <f aca="false">T68*(IF(C68&lt;Assumptions!$B$5,Assumptions!$B$12*(1+Assumptions!$B$11)^(INT(A68/12)+1)/12+Pricing_M!$B$13*IF(A68=0,Assumptions!$B$14*12,IF(A68&gt;=12,Assumptions!$B$15,0))-Pricing_M!$B$13,Assumptions!$B$9/12*(1+Assumptions!$B$10)^INT(A68/12)+Assumptions!$B$12*(1+Assumptions!$B$11)^(INT(A68/12)+1)/12))*J68</f>
        <v>-684.028903599536</v>
      </c>
      <c r="V68" s="32" t="n">
        <f aca="false">V67*(1-F67)*(1-(1-(1-MIN(1,G67*(1-Assumptions!$B$23)))^(1/12)))</f>
        <v>0.919624462306146</v>
      </c>
      <c r="W68" s="47" t="n">
        <f aca="false">V68*(IF(C68&lt;Assumptions!$B$5,Assumptions!$B$12*(1+Assumptions!$B$11)^(INT(A68/12)+1)/12+Pricing_M!$B$13*IF(A68=0,Assumptions!$B$14*12,IF(A68&gt;=12,Assumptions!$B$15,0))-Pricing_M!$B$13,Assumptions!$B$9/12*(1+Assumptions!$B$10)^INT(A68/12)+Assumptions!$B$12*(1+Assumptions!$B$11)^(INT(A68/12)+1)/12))*J68</f>
        <v>-760.298096591377</v>
      </c>
      <c r="X68" s="47" t="n">
        <f aca="false">I68*(IF(C68&lt;Assumptions!$B$5,Assumptions!$B$12*(1+Assumptions!$B$11)*(1+Assumptions!$B$24)*(1+Assumptions!$B$11+Assumptions!$B$25)^(INT(A68/12))/12+Pricing_M!$B$13*IF(A68=0,Assumptions!$B$14*12,IF(A68&gt;=12,Assumptions!$B$15,0))-Pricing_M!$B$13,Assumptions!$B$9/12*(1+Assumptions!$B$10)^INT(A68/12)+Assumptions!$B$12*(1+Assumptions!$B$11)*(1+Assumptions!$B$24)*(1+Assumptions!$B$11+Assumptions!$B$25)^(INT(A68/12))/12))*J68</f>
        <v>-720.498783507502</v>
      </c>
    </row>
    <row r="69" customFormat="false" ht="15" hidden="false" customHeight="true" outlineLevel="0" collapsed="false">
      <c r="A69" s="1" t="n">
        <v>62</v>
      </c>
      <c r="B69" s="31" t="n">
        <f aca="false">Assumptions!$B$4+A69/12</f>
        <v>70.1666666666667</v>
      </c>
      <c r="C69" s="34" t="n">
        <f aca="false">Assumptions!$B$4+INT(A69/12)</f>
        <v>70</v>
      </c>
      <c r="D69" s="34" t="n">
        <f aca="false">INT(A69/12)+1</f>
        <v>6</v>
      </c>
      <c r="E69" s="32" t="n">
        <f aca="false">IFERROR(INDEX(Cohort_Survival!$G$5:$G$65,MATCH(C69,Cohort_Survival!$A$5:$A$65,0)),1)</f>
        <v>0.0084938344969428</v>
      </c>
      <c r="F69" s="30" t="n">
        <f aca="false">1-(1-MIN(1,E69))^(1/12)</f>
        <v>0.000710590134707645</v>
      </c>
      <c r="G69" s="39" t="n">
        <f aca="false">IF(C69&lt;Assumptions!$B$5,IF(D69=1,Assumptions!$B$16,IF(D69=2,Assumptions!$B$17,IF(D69&lt;=5,Assumptions!$B$18,Assumptions!$B$19)))*(1-Assumptions!$B$20),0)</f>
        <v>0.0091</v>
      </c>
      <c r="H69" s="30" t="n">
        <f aca="false">1-(1-G69)^(1/12)</f>
        <v>0.000761514726814627</v>
      </c>
      <c r="I69" s="30" t="n">
        <f aca="false">I68*(1-F68)*(1-H68)</f>
        <v>0.871304889314176</v>
      </c>
      <c r="J69" s="30" t="n">
        <f aca="false">INDEX(Discount_Monthly!$G$4:$G$664,MATCH(A69,Discount_Monthly!$A$4:$A$664,0))</f>
        <v>0.872449506273653</v>
      </c>
      <c r="K69" s="30" t="n">
        <f aca="false">IF(C69&lt;Assumptions!$B$5,I69*J69,0)</f>
        <v>0.760169520495973</v>
      </c>
      <c r="L69" s="30" t="n">
        <f aca="false">IF(C69&lt;Assumptions!$B$5,I69*(1-F69)*H69*A69*J69,0)</f>
        <v>0.0358650741630549</v>
      </c>
      <c r="M69" s="30" t="n">
        <f aca="false">IF(A69=0,Assumptions!$B$14*12*I69*J69,IF(AND(A69&gt;=12,C69&lt;Assumptions!$B$5),Assumptions!$B$15*I69*J69,0))</f>
        <v>0.0380084760247987</v>
      </c>
      <c r="N69" s="47" t="n">
        <f aca="false">IF(C69&gt;=Assumptions!$B$5,I69*Assumptions!$B$9/12*(1+Assumptions!$B$10)^INT(A69/12)*J69,0)</f>
        <v>0</v>
      </c>
      <c r="O69" s="47" t="n">
        <f aca="false">I69*Assumptions!$B$12/12*(1+Assumptions!$B$11)^(INT(A69/12)+1)*J69</f>
        <v>5.87709059763486</v>
      </c>
      <c r="P69" s="47" t="n">
        <f aca="false">O69+Pricing_M!$B$13*M69+N69-Pricing_M!$B$13*K69</f>
        <v>-718.641047629737</v>
      </c>
      <c r="Q69" s="47" t="n">
        <f aca="false">IF(C69&lt;Assumptions!$B$5,Pricing_M!$B$13*K69-Pricing_M!$B$13*M69-O69,-(N69+O69))</f>
        <v>718.641047629737</v>
      </c>
      <c r="R69" s="32" t="n">
        <f aca="false">R68*(1-(1-(1-MIN(1,E68*(1-Assumptions!$B$21)))^(1/12)))*(1-H68)</f>
        <v>0.877034235361401</v>
      </c>
      <c r="S69" s="47" t="n">
        <f aca="false">R69*(IF(C69&lt;Assumptions!$B$5,Assumptions!$B$12*(1+Assumptions!$B$11)^(INT(A69/12)+1)/12+Pricing_M!$B$13*IF(A69=0,Assumptions!$B$14*12,IF(A69&gt;=12,Assumptions!$B$15,0))-Pricing_M!$B$13,Assumptions!$B$9/12*(1+Assumptions!$B$10)^INT(A69/12)+Assumptions!$B$12*(1+Assumptions!$B$11)^(INT(A69/12)+1)/12))*J69</f>
        <v>-723.366538437957</v>
      </c>
      <c r="T69" s="32" t="n">
        <f aca="false">T68*(1-F68)*(1-(1-(1-MIN(1,G68*(1+Assumptions!$B$23)))^(1/12)))</f>
        <v>0.825838142346835</v>
      </c>
      <c r="U69" s="47" t="n">
        <f aca="false">T69*(IF(C69&lt;Assumptions!$B$5,Assumptions!$B$12*(1+Assumptions!$B$11)^(INT(A69/12)+1)/12+Pricing_M!$B$13*IF(A69=0,Assumptions!$B$14*12,IF(A69&gt;=12,Assumptions!$B$15,0))-Pricing_M!$B$13,Assumptions!$B$9/12*(1+Assumptions!$B$10)^INT(A69/12)+Assumptions!$B$12*(1+Assumptions!$B$11)^(INT(A69/12)+1)/12))*J69</f>
        <v>-681.140660482082</v>
      </c>
      <c r="V69" s="32" t="n">
        <f aca="false">V68*(1-F68)*(1-(1-(1-MIN(1,G68*(1-Assumptions!$B$23)))^(1/12)))</f>
        <v>0.918621814301435</v>
      </c>
      <c r="W69" s="47" t="n">
        <f aca="false">V69*(IF(C69&lt;Assumptions!$B$5,Assumptions!$B$12*(1+Assumptions!$B$11)^(INT(A69/12)+1)/12+Pricing_M!$B$13*IF(A69=0,Assumptions!$B$14*12,IF(A69&gt;=12,Assumptions!$B$15,0))-Pricing_M!$B$13,Assumptions!$B$9/12*(1+Assumptions!$B$10)^INT(A69/12)+Assumptions!$B$12*(1+Assumptions!$B$11)^(INT(A69/12)+1)/12))*J69</f>
        <v>-757.667437772258</v>
      </c>
      <c r="X69" s="47" t="n">
        <f aca="false">I69*(IF(C69&lt;Assumptions!$B$5,Assumptions!$B$12*(1+Assumptions!$B$11)*(1+Assumptions!$B$24)*(1+Assumptions!$B$11+Assumptions!$B$25)^(INT(A69/12))/12+Pricing_M!$B$13*IF(A69=0,Assumptions!$B$14*12,IF(A69&gt;=12,Assumptions!$B$15,0))-Pricing_M!$B$13,Assumptions!$B$9/12*(1+Assumptions!$B$10)^INT(A69/12)+Assumptions!$B$12*(1+Assumptions!$B$11)*(1+Assumptions!$B$24)*(1+Assumptions!$B$11+Assumptions!$B$25)^(INT(A69/12))/12))*J69</f>
        <v>-717.73176887424</v>
      </c>
    </row>
    <row r="70" customFormat="false" ht="15" hidden="false" customHeight="true" outlineLevel="0" collapsed="false">
      <c r="A70" s="1" t="n">
        <v>63</v>
      </c>
      <c r="B70" s="31" t="n">
        <f aca="false">Assumptions!$B$4+A70/12</f>
        <v>70.25</v>
      </c>
      <c r="C70" s="34" t="n">
        <f aca="false">Assumptions!$B$4+INT(A70/12)</f>
        <v>70</v>
      </c>
      <c r="D70" s="34" t="n">
        <f aca="false">INT(A70/12)+1</f>
        <v>6</v>
      </c>
      <c r="E70" s="32" t="n">
        <f aca="false">IFERROR(INDEX(Cohort_Survival!$G$5:$G$65,MATCH(C70,Cohort_Survival!$A$5:$A$65,0)),1)</f>
        <v>0.0084938344969428</v>
      </c>
      <c r="F70" s="30" t="n">
        <f aca="false">1-(1-MIN(1,E70))^(1/12)</f>
        <v>0.000710590134707645</v>
      </c>
      <c r="G70" s="39" t="n">
        <f aca="false">IF(C70&lt;Assumptions!$B$5,IF(D70=1,Assumptions!$B$16,IF(D70=2,Assumptions!$B$17,IF(D70&lt;=5,Assumptions!$B$18,Assumptions!$B$19)))*(1-Assumptions!$B$20),0)</f>
        <v>0.0091</v>
      </c>
      <c r="H70" s="30" t="n">
        <f aca="false">1-(1-G70)^(1/12)</f>
        <v>0.000761514726814627</v>
      </c>
      <c r="I70" s="30" t="n">
        <f aca="false">I69*(1-F69)*(1-H69)</f>
        <v>0.870022708635478</v>
      </c>
      <c r="J70" s="30" t="n">
        <f aca="false">INDEX(Discount_Monthly!$G$4:$G$664,MATCH(A70,Discount_Monthly!$A$4:$A$664,0))</f>
        <v>0.870379757030234</v>
      </c>
      <c r="K70" s="30" t="n">
        <f aca="false">IF(C70&lt;Assumptions!$B$5,I70*J70,0)</f>
        <v>0.757250153752933</v>
      </c>
      <c r="L70" s="30" t="n">
        <f aca="false">IF(C70&lt;Assumptions!$B$5,I70*(1-F70)*H70*A70*J70,0)</f>
        <v>0.036303584756537</v>
      </c>
      <c r="M70" s="30" t="n">
        <f aca="false">IF(A70=0,Assumptions!$B$14*12*I70*J70,IF(AND(A70&gt;=12,C70&lt;Assumptions!$B$5),Assumptions!$B$15*I70*J70,0))</f>
        <v>0.0378625076876467</v>
      </c>
      <c r="N70" s="47" t="n">
        <f aca="false">IF(C70&gt;=Assumptions!$B$5,I70*Assumptions!$B$9/12*(1+Assumptions!$B$10)^INT(A70/12)*J70,0)</f>
        <v>0</v>
      </c>
      <c r="O70" s="47" t="n">
        <f aca="false">I70*Assumptions!$B$12/12*(1+Assumptions!$B$11)^(INT(A70/12)+1)*J70</f>
        <v>5.85452012831984</v>
      </c>
      <c r="P70" s="47" t="n">
        <f aca="false">O70+Pricing_M!$B$13*M70+N70-Pricing_M!$B$13*K70</f>
        <v>-715.881167473973</v>
      </c>
      <c r="Q70" s="47" t="n">
        <f aca="false">IF(C70&lt;Assumptions!$B$5,Pricing_M!$B$13*K70-Pricing_M!$B$13*M70-O70,-(N70+O70))</f>
        <v>715.881167473973</v>
      </c>
      <c r="R70" s="32" t="n">
        <f aca="false">R69*(1-(1-(1-MIN(1,E69*(1-Assumptions!$B$21)))^(1/12)))*(1-H69)</f>
        <v>0.875868561227927</v>
      </c>
      <c r="S70" s="47" t="n">
        <f aca="false">R70*(IF(C70&lt;Assumptions!$B$5,Assumptions!$B$12*(1+Assumptions!$B$11)^(INT(A70/12)+1)/12+Pricing_M!$B$13*IF(A70=0,Assumptions!$B$14*12,IF(A70&gt;=12,Assumptions!$B$15,0))-Pricing_M!$B$13,Assumptions!$B$9/12*(1+Assumptions!$B$10)^INT(A70/12)+Assumptions!$B$12*(1+Assumptions!$B$11)^(INT(A70/12)+1)/12))*J70</f>
        <v>-720.691312930206</v>
      </c>
      <c r="T70" s="32" t="n">
        <f aca="false">T69*(1-F69)*(1-(1-(1-MIN(1,G69*(1+Assumptions!$B$23)))^(1/12)))</f>
        <v>0.824306661925189</v>
      </c>
      <c r="U70" s="47" t="n">
        <f aca="false">T70*(IF(C70&lt;Assumptions!$B$5,Assumptions!$B$12*(1+Assumptions!$B$11)^(INT(A70/12)+1)/12+Pricing_M!$B$13*IF(A70=0,Assumptions!$B$14*12,IF(A70&gt;=12,Assumptions!$B$15,0))-Pricing_M!$B$13,Assumptions!$B$9/12*(1+Assumptions!$B$10)^INT(A70/12)+Assumptions!$B$12*(1+Assumptions!$B$11)^(INT(A70/12)+1)/12))*J70</f>
        <v>-678.26461268015</v>
      </c>
      <c r="V70" s="32" t="n">
        <f aca="false">V69*(1-F69)*(1-(1-(1-MIN(1,G69*(1-Assumptions!$B$23)))^(1/12)))</f>
        <v>0.917620259463621</v>
      </c>
      <c r="W70" s="47" t="n">
        <f aca="false">V70*(IF(C70&lt;Assumptions!$B$5,Assumptions!$B$12*(1+Assumptions!$B$11)^(INT(A70/12)+1)/12+Pricing_M!$B$13*IF(A70=0,Assumptions!$B$14*12,IF(A70&gt;=12,Assumptions!$B$15,0))-Pricing_M!$B$13,Assumptions!$B$9/12*(1+Assumptions!$B$10)^INT(A70/12)+Assumptions!$B$12*(1+Assumptions!$B$11)^(INT(A70/12)+1)/12))*J70</f>
        <v>-755.045881127475</v>
      </c>
      <c r="X70" s="47" t="n">
        <f aca="false">I70*(IF(C70&lt;Assumptions!$B$5,Assumptions!$B$12*(1+Assumptions!$B$11)*(1+Assumptions!$B$24)*(1+Assumptions!$B$11+Assumptions!$B$25)^(INT(A70/12))/12+Pricing_M!$B$13*IF(A70=0,Assumptions!$B$14*12,IF(A70&gt;=12,Assumptions!$B$15,0))-Pricing_M!$B$13,Assumptions!$B$9/12*(1+Assumptions!$B$10)^INT(A70/12)+Assumptions!$B$12*(1+Assumptions!$B$11)*(1+Assumptions!$B$24)*(1+Assumptions!$B$11+Assumptions!$B$25)^(INT(A70/12))/12))*J70</f>
        <v>-714.975380726623</v>
      </c>
    </row>
    <row r="71" customFormat="false" ht="15" hidden="false" customHeight="true" outlineLevel="0" collapsed="false">
      <c r="A71" s="1" t="n">
        <v>64</v>
      </c>
      <c r="B71" s="31" t="n">
        <f aca="false">Assumptions!$B$4+A71/12</f>
        <v>70.3333333333333</v>
      </c>
      <c r="C71" s="34" t="n">
        <f aca="false">Assumptions!$B$4+INT(A71/12)</f>
        <v>70</v>
      </c>
      <c r="D71" s="34" t="n">
        <f aca="false">INT(A71/12)+1</f>
        <v>6</v>
      </c>
      <c r="E71" s="32" t="n">
        <f aca="false">IFERROR(INDEX(Cohort_Survival!$G$5:$G$65,MATCH(C71,Cohort_Survival!$A$5:$A$65,0)),1)</f>
        <v>0.0084938344969428</v>
      </c>
      <c r="F71" s="30" t="n">
        <f aca="false">1-(1-MIN(1,E71))^(1/12)</f>
        <v>0.000710590134707645</v>
      </c>
      <c r="G71" s="39" t="n">
        <f aca="false">IF(C71&lt;Assumptions!$B$5,IF(D71=1,Assumptions!$B$16,IF(D71=2,Assumptions!$B$17,IF(D71&lt;=5,Assumptions!$B$18,Assumptions!$B$19)))*(1-Assumptions!$B$20),0)</f>
        <v>0.0091</v>
      </c>
      <c r="H71" s="30" t="n">
        <f aca="false">1-(1-G71)^(1/12)</f>
        <v>0.000761514726814627</v>
      </c>
      <c r="I71" s="30" t="n">
        <f aca="false">I70*(1-F70)*(1-H70)</f>
        <v>0.868742414767371</v>
      </c>
      <c r="J71" s="30" t="n">
        <f aca="false">INDEX(Discount_Monthly!$G$4:$G$664,MATCH(A71,Discount_Monthly!$A$4:$A$664,0))</f>
        <v>0.868314917941385</v>
      </c>
      <c r="K71" s="30" t="n">
        <f aca="false">IF(C71&lt;Assumptions!$B$5,I71*J71,0)</f>
        <v>0.75434199859093</v>
      </c>
      <c r="L71" s="30" t="n">
        <f aca="false">IF(C71&lt;Assumptions!$B$5,I71*(1-F71)*H71*A71*J71,0)</f>
        <v>0.0367381982578684</v>
      </c>
      <c r="M71" s="30" t="n">
        <f aca="false">IF(A71=0,Assumptions!$B$14*12*I71*J71,IF(AND(A71&gt;=12,C71&lt;Assumptions!$B$5),Assumptions!$B$15*I71*J71,0))</f>
        <v>0.0377170999295465</v>
      </c>
      <c r="N71" s="47" t="n">
        <f aca="false">IF(C71&gt;=Assumptions!$B$5,I71*Assumptions!$B$9/12*(1+Assumptions!$B$10)^INT(A71/12)*J71,0)</f>
        <v>0</v>
      </c>
      <c r="O71" s="47" t="n">
        <f aca="false">I71*Assumptions!$B$12/12*(1+Assumptions!$B$11)^(INT(A71/12)+1)*J71</f>
        <v>5.83203633898306</v>
      </c>
      <c r="P71" s="47" t="n">
        <f aca="false">O71+Pricing_M!$B$13*M71+N71-Pricing_M!$B$13*K71</f>
        <v>-713.131886404497</v>
      </c>
      <c r="Q71" s="47" t="n">
        <f aca="false">IF(C71&lt;Assumptions!$B$5,Pricing_M!$B$13*K71-Pricing_M!$B$13*M71-O71,-(N71+O71))</f>
        <v>713.131886404497</v>
      </c>
      <c r="R71" s="32" t="n">
        <f aca="false">R70*(1-(1-(1-MIN(1,E70*(1-Assumptions!$B$21)))^(1/12)))*(1-H70)</f>
        <v>0.874704436402486</v>
      </c>
      <c r="S71" s="47" t="n">
        <f aca="false">R71*(IF(C71&lt;Assumptions!$B$5,Assumptions!$B$12*(1+Assumptions!$B$11)^(INT(A71/12)+1)/12+Pricing_M!$B$13*IF(A71=0,Assumptions!$B$14*12,IF(A71&gt;=12,Assumptions!$B$15,0))-Pricing_M!$B$13,Assumptions!$B$9/12*(1+Assumptions!$B$10)^INT(A71/12)+Assumptions!$B$12*(1+Assumptions!$B$11)^(INT(A71/12)+1)/12))*J71</f>
        <v>-718.025981205396</v>
      </c>
      <c r="T71" s="32" t="n">
        <f aca="false">T70*(1-F70)*(1-(1-(1-MIN(1,G70*(1+Assumptions!$B$23)))^(1/12)))</f>
        <v>0.822778021566458</v>
      </c>
      <c r="U71" s="47" t="n">
        <f aca="false">T71*(IF(C71&lt;Assumptions!$B$5,Assumptions!$B$12*(1+Assumptions!$B$11)^(INT(A71/12)+1)/12+Pricing_M!$B$13*IF(A71=0,Assumptions!$B$14*12,IF(A71&gt;=12,Assumptions!$B$15,0))-Pricing_M!$B$13,Assumptions!$B$9/12*(1+Assumptions!$B$10)^INT(A71/12)+Assumptions!$B$12*(1+Assumptions!$B$11)^(INT(A71/12)+1)/12))*J71</f>
        <v>-675.400708700249</v>
      </c>
      <c r="V71" s="32" t="n">
        <f aca="false">V70*(1-F70)*(1-(1-(1-MIN(1,G70*(1-Assumptions!$B$23)))^(1/12)))</f>
        <v>0.916619796600849</v>
      </c>
      <c r="W71" s="47" t="n">
        <f aca="false">V71*(IF(C71&lt;Assumptions!$B$5,Assumptions!$B$12*(1+Assumptions!$B$11)^(INT(A71/12)+1)/12+Pricing_M!$B$13*IF(A71=0,Assumptions!$B$14*12,IF(A71&gt;=12,Assumptions!$B$15,0))-Pricing_M!$B$13,Assumptions!$B$9/12*(1+Assumptions!$B$10)^INT(A71/12)+Assumptions!$B$12*(1+Assumptions!$B$11)^(INT(A71/12)+1)/12))*J71</f>
        <v>-752.433395163177</v>
      </c>
      <c r="X71" s="47" t="n">
        <f aca="false">I71*(IF(C71&lt;Assumptions!$B$5,Assumptions!$B$12*(1+Assumptions!$B$11)*(1+Assumptions!$B$24)*(1+Assumptions!$B$11+Assumptions!$B$25)^(INT(A71/12))/12+Pricing_M!$B$13*IF(A71=0,Assumptions!$B$14*12,IF(A71&gt;=12,Assumptions!$B$15,0))-Pricing_M!$B$13,Assumptions!$B$9/12*(1+Assumptions!$B$10)^INT(A71/12)+Assumptions!$B$12*(1+Assumptions!$B$11)*(1+Assumptions!$B$24)*(1+Assumptions!$B$11+Assumptions!$B$25)^(INT(A71/12))/12))*J71</f>
        <v>-712.229578254533</v>
      </c>
    </row>
    <row r="72" customFormat="false" ht="15" hidden="false" customHeight="true" outlineLevel="0" collapsed="false">
      <c r="A72" s="1" t="n">
        <v>65</v>
      </c>
      <c r="B72" s="31" t="n">
        <f aca="false">Assumptions!$B$4+A72/12</f>
        <v>70.4166666666667</v>
      </c>
      <c r="C72" s="34" t="n">
        <f aca="false">Assumptions!$B$4+INT(A72/12)</f>
        <v>70</v>
      </c>
      <c r="D72" s="34" t="n">
        <f aca="false">INT(A72/12)+1</f>
        <v>6</v>
      </c>
      <c r="E72" s="32" t="n">
        <f aca="false">IFERROR(INDEX(Cohort_Survival!$G$5:$G$65,MATCH(C72,Cohort_Survival!$A$5:$A$65,0)),1)</f>
        <v>0.0084938344969428</v>
      </c>
      <c r="F72" s="30" t="n">
        <f aca="false">1-(1-MIN(1,E72))^(1/12)</f>
        <v>0.000710590134707645</v>
      </c>
      <c r="G72" s="39" t="n">
        <f aca="false">IF(C72&lt;Assumptions!$B$5,IF(D72=1,Assumptions!$B$16,IF(D72=2,Assumptions!$B$17,IF(D72&lt;=5,Assumptions!$B$18,Assumptions!$B$19)))*(1-Assumptions!$B$20),0)</f>
        <v>0.0091</v>
      </c>
      <c r="H72" s="30" t="n">
        <f aca="false">1-(1-G72)^(1/12)</f>
        <v>0.000761514726814627</v>
      </c>
      <c r="I72" s="30" t="n">
        <f aca="false">I71*(1-F71)*(1-H71)</f>
        <v>0.867464004933292</v>
      </c>
      <c r="J72" s="30" t="n">
        <f aca="false">INDEX(Discount_Monthly!$G$4:$G$664,MATCH(A72,Discount_Monthly!$A$4:$A$664,0))</f>
        <v>0.866254977358536</v>
      </c>
      <c r="K72" s="30" t="n">
        <f aca="false">IF(C72&lt;Assumptions!$B$5,I72*J72,0)</f>
        <v>0.751445011952834</v>
      </c>
      <c r="L72" s="30" t="n">
        <f aca="false">IF(C72&lt;Assumptions!$B$5,I72*(1-F72)*H72*A72*J72,0)</f>
        <v>0.0371689381324537</v>
      </c>
      <c r="M72" s="30" t="n">
        <f aca="false">IF(A72=0,Assumptions!$B$14*12*I72*J72,IF(AND(A72&gt;=12,C72&lt;Assumptions!$B$5),Assumptions!$B$15*I72*J72,0))</f>
        <v>0.0375722505976417</v>
      </c>
      <c r="N72" s="47" t="n">
        <f aca="false">IF(C72&gt;=Assumptions!$B$5,I72*Assumptions!$B$9/12*(1+Assumptions!$B$10)^INT(A72/12)*J72,0)</f>
        <v>0</v>
      </c>
      <c r="O72" s="47" t="n">
        <f aca="false">I72*Assumptions!$B$12/12*(1+Assumptions!$B$11)^(INT(A72/12)+1)*J72</f>
        <v>5.80963889673739</v>
      </c>
      <c r="P72" s="47" t="n">
        <f aca="false">O72+Pricing_M!$B$13*M72+N72-Pricing_M!$B$13*K72</f>
        <v>-710.393163716415</v>
      </c>
      <c r="Q72" s="47" t="n">
        <f aca="false">IF(C72&lt;Assumptions!$B$5,Pricing_M!$B$13*K72-Pricing_M!$B$13*M72-O72,-(N72+O72))</f>
        <v>710.393163716415</v>
      </c>
      <c r="R72" s="32" t="n">
        <f aca="false">R71*(1-(1-(1-MIN(1,E71*(1-Assumptions!$B$21)))^(1/12)))*(1-H71)</f>
        <v>0.873541858825877</v>
      </c>
      <c r="S72" s="47" t="n">
        <f aca="false">R72*(IF(C72&lt;Assumptions!$B$5,Assumptions!$B$12*(1+Assumptions!$B$11)^(INT(A72/12)+1)/12+Pricing_M!$B$13*IF(A72=0,Assumptions!$B$14*12,IF(A72&gt;=12,Assumptions!$B$15,0))-Pricing_M!$B$13,Assumptions!$B$9/12*(1+Assumptions!$B$10)^INT(A72/12)+Assumptions!$B$12*(1+Assumptions!$B$11)^(INT(A72/12)+1)/12))*J72</f>
        <v>-715.370506673362</v>
      </c>
      <c r="T72" s="32" t="n">
        <f aca="false">T71*(1-F71)*(1-(1-(1-MIN(1,G71*(1+Assumptions!$B$23)))^(1/12)))</f>
        <v>0.82125221600387</v>
      </c>
      <c r="U72" s="47" t="n">
        <f aca="false">T72*(IF(C72&lt;Assumptions!$B$5,Assumptions!$B$12*(1+Assumptions!$B$11)^(INT(A72/12)+1)/12+Pricing_M!$B$13*IF(A72=0,Assumptions!$B$14*12,IF(A72&gt;=12,Assumptions!$B$15,0))-Pricing_M!$B$13,Assumptions!$B$9/12*(1+Assumptions!$B$10)^INT(A72/12)+Assumptions!$B$12*(1+Assumptions!$B$11)^(INT(A72/12)+1)/12))*J72</f>
        <v>-672.548897266314</v>
      </c>
      <c r="V72" s="32" t="n">
        <f aca="false">V71*(1-F71)*(1-(1-(1-MIN(1,G71*(1-Assumptions!$B$23)))^(1/12)))</f>
        <v>0.915620424522559</v>
      </c>
      <c r="W72" s="47" t="n">
        <f aca="false">V72*(IF(C72&lt;Assumptions!$B$5,Assumptions!$B$12*(1+Assumptions!$B$11)^(INT(A72/12)+1)/12+Pricing_M!$B$13*IF(A72=0,Assumptions!$B$14*12,IF(A72&gt;=12,Assumptions!$B$15,0))-Pricing_M!$B$13,Assumptions!$B$9/12*(1+Assumptions!$B$10)^INT(A72/12)+Assumptions!$B$12*(1+Assumptions!$B$11)^(INT(A72/12)+1)/12))*J72</f>
        <v>-749.829948494482</v>
      </c>
      <c r="X72" s="47" t="n">
        <f aca="false">I72*(IF(C72&lt;Assumptions!$B$5,Assumptions!$B$12*(1+Assumptions!$B$11)*(1+Assumptions!$B$24)*(1+Assumptions!$B$11+Assumptions!$B$25)^(INT(A72/12))/12+Pricing_M!$B$13*IF(A72=0,Assumptions!$B$14*12,IF(A72&gt;=12,Assumptions!$B$15,0))-Pricing_M!$B$13,Assumptions!$B$9/12*(1+Assumptions!$B$10)^INT(A72/12)+Assumptions!$B$12*(1+Assumptions!$B$11)*(1+Assumptions!$B$24)*(1+Assumptions!$B$11+Assumptions!$B$25)^(INT(A72/12))/12))*J72</f>
        <v>-709.494320804577</v>
      </c>
    </row>
    <row r="73" customFormat="false" ht="15" hidden="false" customHeight="true" outlineLevel="0" collapsed="false">
      <c r="A73" s="1" t="n">
        <v>66</v>
      </c>
      <c r="B73" s="31" t="n">
        <f aca="false">Assumptions!$B$4+A73/12</f>
        <v>70.5</v>
      </c>
      <c r="C73" s="34" t="n">
        <f aca="false">Assumptions!$B$4+INT(A73/12)</f>
        <v>70</v>
      </c>
      <c r="D73" s="34" t="n">
        <f aca="false">INT(A73/12)+1</f>
        <v>6</v>
      </c>
      <c r="E73" s="32" t="n">
        <f aca="false">IFERROR(INDEX(Cohort_Survival!$G$5:$G$65,MATCH(C73,Cohort_Survival!$A$5:$A$65,0)),1)</f>
        <v>0.0084938344969428</v>
      </c>
      <c r="F73" s="30" t="n">
        <f aca="false">1-(1-MIN(1,E73))^(1/12)</f>
        <v>0.000710590134707645</v>
      </c>
      <c r="G73" s="39" t="n">
        <f aca="false">IF(C73&lt;Assumptions!$B$5,IF(D73=1,Assumptions!$B$16,IF(D73=2,Assumptions!$B$17,IF(D73&lt;=5,Assumptions!$B$18,Assumptions!$B$19)))*(1-Assumptions!$B$20),0)</f>
        <v>0.0091</v>
      </c>
      <c r="H73" s="30" t="n">
        <f aca="false">1-(1-G73)^(1/12)</f>
        <v>0.000761514726814627</v>
      </c>
      <c r="I73" s="30" t="n">
        <f aca="false">I72*(1-F72)*(1-H72)</f>
        <v>0.866187476360766</v>
      </c>
      <c r="J73" s="30" t="n">
        <f aca="false">INDEX(Discount_Monthly!$G$4:$G$664,MATCH(A73,Discount_Monthly!$A$4:$A$664,0))</f>
        <v>0.864199923660753</v>
      </c>
      <c r="K73" s="30" t="n">
        <f aca="false">IF(C73&lt;Assumptions!$B$5,I73*J73,0)</f>
        <v>0.748559150946874</v>
      </c>
      <c r="L73" s="30" t="n">
        <f aca="false">IF(C73&lt;Assumptions!$B$5,I73*(1-F73)*H73*A73*J73,0)</f>
        <v>0.0375958277229412</v>
      </c>
      <c r="M73" s="30" t="n">
        <f aca="false">IF(A73=0,Assumptions!$B$14*12*I73*J73,IF(AND(A73&gt;=12,C73&lt;Assumptions!$B$5),Assumptions!$B$15*I73*J73,0))</f>
        <v>0.0374279575473437</v>
      </c>
      <c r="N73" s="47" t="n">
        <f aca="false">IF(C73&gt;=Assumptions!$B$5,I73*Assumptions!$B$9/12*(1+Assumptions!$B$10)^INT(A73/12)*J73,0)</f>
        <v>0</v>
      </c>
      <c r="O73" s="47" t="n">
        <f aca="false">I73*Assumptions!$B$12/12*(1+Assumptions!$B$11)^(INT(A73/12)+1)*J73</f>
        <v>5.78732746997413</v>
      </c>
      <c r="P73" s="47" t="n">
        <f aca="false">O73+Pricing_M!$B$13*M73+N73-Pricing_M!$B$13*K73</f>
        <v>-707.664958861157</v>
      </c>
      <c r="Q73" s="47" t="n">
        <f aca="false">IF(C73&lt;Assumptions!$B$5,Pricing_M!$B$13*K73-Pricing_M!$B$13*M73-O73,-(N73+O73))</f>
        <v>707.664958861157</v>
      </c>
      <c r="R73" s="32" t="n">
        <f aca="false">R72*(1-(1-(1-MIN(1,E72*(1-Assumptions!$B$21)))^(1/12)))*(1-H72)</f>
        <v>0.872380826441639</v>
      </c>
      <c r="S73" s="47" t="n">
        <f aca="false">R73*(IF(C73&lt;Assumptions!$B$5,Assumptions!$B$12*(1+Assumptions!$B$11)^(INT(A73/12)+1)/12+Pricing_M!$B$13*IF(A73=0,Assumptions!$B$14*12,IF(A73&gt;=12,Assumptions!$B$15,0))-Pricing_M!$B$13,Assumptions!$B$9/12*(1+Assumptions!$B$10)^INT(A73/12)+Assumptions!$B$12*(1+Assumptions!$B$11)^(INT(A73/12)+1)/12))*J73</f>
        <v>-712.72485287926</v>
      </c>
      <c r="T73" s="32" t="n">
        <f aca="false">T72*(1-F72)*(1-(1-(1-MIN(1,G72*(1+Assumptions!$B$23)))^(1/12)))</f>
        <v>0.819729239980421</v>
      </c>
      <c r="U73" s="47" t="n">
        <f aca="false">T73*(IF(C73&lt;Assumptions!$B$5,Assumptions!$B$12*(1+Assumptions!$B$11)^(INT(A73/12)+1)/12+Pricing_M!$B$13*IF(A73=0,Assumptions!$B$14*12,IF(A73&gt;=12,Assumptions!$B$15,0))-Pricing_M!$B$13,Assumptions!$B$9/12*(1+Assumptions!$B$10)^INT(A73/12)+Assumptions!$B$12*(1+Assumptions!$B$11)^(INT(A73/12)+1)/12))*J73</f>
        <v>-669.709127318788</v>
      </c>
      <c r="V73" s="32" t="n">
        <f aca="false">V72*(1-F72)*(1-(1-(1-MIN(1,G72*(1-Assumptions!$B$23)))^(1/12)))</f>
        <v>0.914622142039491</v>
      </c>
      <c r="W73" s="47" t="n">
        <f aca="false">V73*(IF(C73&lt;Assumptions!$B$5,Assumptions!$B$12*(1+Assumptions!$B$11)^(INT(A73/12)+1)/12+Pricing_M!$B$13*IF(A73=0,Assumptions!$B$14*12,IF(A73&gt;=12,Assumptions!$B$15,0))-Pricing_M!$B$13,Assumptions!$B$9/12*(1+Assumptions!$B$10)^INT(A73/12)+Assumptions!$B$12*(1+Assumptions!$B$11)^(INT(A73/12)+1)/12))*J73</f>
        <v>-747.235509845103</v>
      </c>
      <c r="X73" s="47" t="n">
        <f aca="false">I73*(IF(C73&lt;Assumptions!$B$5,Assumptions!$B$12*(1+Assumptions!$B$11)*(1+Assumptions!$B$24)*(1+Assumptions!$B$11+Assumptions!$B$25)^(INT(A73/12))/12+Pricing_M!$B$13*IF(A73=0,Assumptions!$B$14*12,IF(A73&gt;=12,Assumptions!$B$15,0))-Pricing_M!$B$13,Assumptions!$B$9/12*(1+Assumptions!$B$10)^INT(A73/12)+Assumptions!$B$12*(1+Assumptions!$B$11)*(1+Assumptions!$B$24)*(1+Assumptions!$B$11+Assumptions!$B$25)^(INT(A73/12))/12))*J73</f>
        <v>-706.769567879491</v>
      </c>
    </row>
    <row r="74" customFormat="false" ht="15" hidden="false" customHeight="true" outlineLevel="0" collapsed="false">
      <c r="A74" s="1" t="n">
        <v>67</v>
      </c>
      <c r="B74" s="31" t="n">
        <f aca="false">Assumptions!$B$4+A74/12</f>
        <v>70.5833333333333</v>
      </c>
      <c r="C74" s="34" t="n">
        <f aca="false">Assumptions!$B$4+INT(A74/12)</f>
        <v>70</v>
      </c>
      <c r="D74" s="34" t="n">
        <f aca="false">INT(A74/12)+1</f>
        <v>6</v>
      </c>
      <c r="E74" s="32" t="n">
        <f aca="false">IFERROR(INDEX(Cohort_Survival!$G$5:$G$65,MATCH(C74,Cohort_Survival!$A$5:$A$65,0)),1)</f>
        <v>0.0084938344969428</v>
      </c>
      <c r="F74" s="30" t="n">
        <f aca="false">1-(1-MIN(1,E74))^(1/12)</f>
        <v>0.000710590134707645</v>
      </c>
      <c r="G74" s="39" t="n">
        <f aca="false">IF(C74&lt;Assumptions!$B$5,IF(D74=1,Assumptions!$B$16,IF(D74=2,Assumptions!$B$17,IF(D74&lt;=5,Assumptions!$B$18,Assumptions!$B$19)))*(1-Assumptions!$B$20),0)</f>
        <v>0.0091</v>
      </c>
      <c r="H74" s="30" t="n">
        <f aca="false">1-(1-G74)^(1/12)</f>
        <v>0.000761514726814627</v>
      </c>
      <c r="I74" s="30" t="n">
        <f aca="false">I73*(1-F73)*(1-H73)</f>
        <v>0.864912826281395</v>
      </c>
      <c r="J74" s="30" t="n">
        <f aca="false">INDEX(Discount_Monthly!$G$4:$G$664,MATCH(A74,Discount_Monthly!$A$4:$A$664,0))</f>
        <v>0.86214974525467</v>
      </c>
      <c r="K74" s="30" t="n">
        <f aca="false">IF(C74&lt;Assumptions!$B$5,I74*J74,0)</f>
        <v>0.745684372846002</v>
      </c>
      <c r="L74" s="30" t="n">
        <f aca="false">IF(C74&lt;Assumptions!$B$5,I74*(1-F74)*H74*A74*J74,0)</f>
        <v>0.0380188902498195</v>
      </c>
      <c r="M74" s="30" t="n">
        <f aca="false">IF(A74=0,Assumptions!$B$14*12*I74*J74,IF(AND(A74&gt;=12,C74&lt;Assumptions!$B$5),Assumptions!$B$15*I74*J74,0))</f>
        <v>0.0372842186423001</v>
      </c>
      <c r="N74" s="47" t="n">
        <f aca="false">IF(C74&gt;=Assumptions!$B$5,I74*Assumptions!$B$9/12*(1+Assumptions!$B$10)^INT(A74/12)*J74,0)</f>
        <v>0</v>
      </c>
      <c r="O74" s="47" t="n">
        <f aca="false">I74*Assumptions!$B$12/12*(1+Assumptions!$B$11)^(INT(A74/12)+1)*J74</f>
        <v>5.7651017283581</v>
      </c>
      <c r="P74" s="47" t="n">
        <f aca="false">O74+Pricing_M!$B$13*M74+N74-Pricing_M!$B$13*K74</f>
        <v>-704.947231445874</v>
      </c>
      <c r="Q74" s="47" t="n">
        <f aca="false">IF(C74&lt;Assumptions!$B$5,Pricing_M!$B$13*K74-Pricing_M!$B$13*M74-O74,-(N74+O74))</f>
        <v>704.947231445874</v>
      </c>
      <c r="R74" s="32" t="n">
        <f aca="false">R73*(1-(1-(1-MIN(1,E73*(1-Assumptions!$B$21)))^(1/12)))*(1-H73)</f>
        <v>0.871221337196042</v>
      </c>
      <c r="S74" s="47" t="n">
        <f aca="false">R74*(IF(C74&lt;Assumptions!$B$5,Assumptions!$B$12*(1+Assumptions!$B$11)^(INT(A74/12)+1)/12+Pricing_M!$B$13*IF(A74=0,Assumptions!$B$14*12,IF(A74&gt;=12,Assumptions!$B$15,0))-Pricing_M!$B$13,Assumptions!$B$9/12*(1+Assumptions!$B$10)^INT(A74/12)+Assumptions!$B$12*(1+Assumptions!$B$11)^(INT(A74/12)+1)/12))*J74</f>
        <v>-710.088983503069</v>
      </c>
      <c r="T74" s="32" t="n">
        <f aca="false">T73*(1-F73)*(1-(1-(1-MIN(1,G73*(1+Assumptions!$B$23)))^(1/12)))</f>
        <v>0.818209088248856</v>
      </c>
      <c r="U74" s="47" t="n">
        <f aca="false">T74*(IF(C74&lt;Assumptions!$B$5,Assumptions!$B$12*(1+Assumptions!$B$11)^(INT(A74/12)+1)/12+Pricing_M!$B$13*IF(A74=0,Assumptions!$B$14*12,IF(A74&gt;=12,Assumptions!$B$15,0))-Pricing_M!$B$13,Assumptions!$B$9/12*(1+Assumptions!$B$10)^INT(A74/12)+Assumptions!$B$12*(1+Assumptions!$B$11)^(INT(A74/12)+1)/12))*J74</f>
        <v>-666.88134801371</v>
      </c>
      <c r="V74" s="32" t="n">
        <f aca="false">V73*(1-F73)*(1-(1-(1-MIN(1,G73*(1-Assumptions!$B$23)))^(1/12)))</f>
        <v>0.913624947963682</v>
      </c>
      <c r="W74" s="47" t="n">
        <f aca="false">V74*(IF(C74&lt;Assumptions!$B$5,Assumptions!$B$12*(1+Assumptions!$B$11)^(INT(A74/12)+1)/12+Pricing_M!$B$13*IF(A74=0,Assumptions!$B$14*12,IF(A74&gt;=12,Assumptions!$B$15,0))-Pricing_M!$B$13,Assumptions!$B$9/12*(1+Assumptions!$B$10)^INT(A74/12)+Assumptions!$B$12*(1+Assumptions!$B$11)^(INT(A74/12)+1)/12))*J74</f>
        <v>-744.650048046966</v>
      </c>
      <c r="X74" s="47" t="n">
        <f aca="false">I74*(IF(C74&lt;Assumptions!$B$5,Assumptions!$B$12*(1+Assumptions!$B$11)*(1+Assumptions!$B$24)*(1+Assumptions!$B$11+Assumptions!$B$25)^(INT(A74/12))/12+Pricing_M!$B$13*IF(A74=0,Assumptions!$B$14*12,IF(A74&gt;=12,Assumptions!$B$15,0))-Pricing_M!$B$13,Assumptions!$B$9/12*(1+Assumptions!$B$10)^INT(A74/12)+Assumptions!$B$12*(1+Assumptions!$B$11)*(1+Assumptions!$B$24)*(1+Assumptions!$B$11+Assumptions!$B$25)^(INT(A74/12))/12))*J74</f>
        <v>-704.055279137536</v>
      </c>
    </row>
    <row r="75" customFormat="false" ht="15" hidden="false" customHeight="true" outlineLevel="0" collapsed="false">
      <c r="A75" s="1" t="n">
        <v>68</v>
      </c>
      <c r="B75" s="31" t="n">
        <f aca="false">Assumptions!$B$4+A75/12</f>
        <v>70.6666666666667</v>
      </c>
      <c r="C75" s="34" t="n">
        <f aca="false">Assumptions!$B$4+INT(A75/12)</f>
        <v>70</v>
      </c>
      <c r="D75" s="34" t="n">
        <f aca="false">INT(A75/12)+1</f>
        <v>6</v>
      </c>
      <c r="E75" s="32" t="n">
        <f aca="false">IFERROR(INDEX(Cohort_Survival!$G$5:$G$65,MATCH(C75,Cohort_Survival!$A$5:$A$65,0)),1)</f>
        <v>0.0084938344969428</v>
      </c>
      <c r="F75" s="30" t="n">
        <f aca="false">1-(1-MIN(1,E75))^(1/12)</f>
        <v>0.000710590134707645</v>
      </c>
      <c r="G75" s="39" t="n">
        <f aca="false">IF(C75&lt;Assumptions!$B$5,IF(D75=1,Assumptions!$B$16,IF(D75=2,Assumptions!$B$17,IF(D75&lt;=5,Assumptions!$B$18,Assumptions!$B$19)))*(1-Assumptions!$B$20),0)</f>
        <v>0.0091</v>
      </c>
      <c r="H75" s="30" t="n">
        <f aca="false">1-(1-G75)^(1/12)</f>
        <v>0.000761514726814627</v>
      </c>
      <c r="I75" s="30" t="n">
        <f aca="false">I74*(1-F74)*(1-H74)</f>
        <v>0.863640051930859</v>
      </c>
      <c r="J75" s="30" t="n">
        <f aca="false">INDEX(Discount_Monthly!$G$4:$G$664,MATCH(A75,Discount_Monthly!$A$4:$A$664,0))</f>
        <v>0.860104430574424</v>
      </c>
      <c r="K75" s="30" t="n">
        <f aca="false">IF(C75&lt;Assumptions!$B$5,I75*J75,0)</f>
        <v>0.742820635087257</v>
      </c>
      <c r="L75" s="30" t="n">
        <f aca="false">IF(C75&lt;Assumptions!$B$5,I75*(1-F75)*H75*A75*J75,0)</f>
        <v>0.0384381488120115</v>
      </c>
      <c r="M75" s="30" t="n">
        <f aca="false">IF(A75=0,Assumptions!$B$14*12*I75*J75,IF(AND(A75&gt;=12,C75&lt;Assumptions!$B$5),Assumptions!$B$15*I75*J75,0))</f>
        <v>0.0371410317543629</v>
      </c>
      <c r="N75" s="47" t="n">
        <f aca="false">IF(C75&gt;=Assumptions!$B$5,I75*Assumptions!$B$9/12*(1+Assumptions!$B$10)^INT(A75/12)*J75,0)</f>
        <v>0</v>
      </c>
      <c r="O75" s="47" t="n">
        <f aca="false">I75*Assumptions!$B$12/12*(1+Assumptions!$B$11)^(INT(A75/12)+1)*J75</f>
        <v>5.74296134282274</v>
      </c>
      <c r="P75" s="47" t="n">
        <f aca="false">O75+Pricing_M!$B$13*M75+N75-Pricing_M!$B$13*K75</f>
        <v>-702.239941232846</v>
      </c>
      <c r="Q75" s="47" t="n">
        <f aca="false">IF(C75&lt;Assumptions!$B$5,Pricing_M!$B$13*K75-Pricing_M!$B$13*M75-O75,-(N75+O75))</f>
        <v>702.239941232846</v>
      </c>
      <c r="R75" s="32" t="n">
        <f aca="false">R74*(1-(1-(1-MIN(1,E74*(1-Assumptions!$B$21)))^(1/12)))*(1-H74)</f>
        <v>0.870063389038087</v>
      </c>
      <c r="S75" s="47" t="n">
        <f aca="false">R75*(IF(C75&lt;Assumptions!$B$5,Assumptions!$B$12*(1+Assumptions!$B$11)^(INT(A75/12)+1)/12+Pricing_M!$B$13*IF(A75=0,Assumptions!$B$14*12,IF(A75&gt;=12,Assumptions!$B$15,0))-Pricing_M!$B$13,Assumptions!$B$9/12*(1+Assumptions!$B$10)^INT(A75/12)+Assumptions!$B$12*(1+Assumptions!$B$11)^(INT(A75/12)+1)/12))*J75</f>
        <v>-707.462862359088</v>
      </c>
      <c r="T75" s="32" t="n">
        <f aca="false">T74*(1-F74)*(1-(1-(1-MIN(1,G74*(1+Assumptions!$B$23)))^(1/12)))</f>
        <v>0.81669175557165</v>
      </c>
      <c r="U75" s="47" t="n">
        <f aca="false">T75*(IF(C75&lt;Assumptions!$B$5,Assumptions!$B$12*(1+Assumptions!$B$11)^(INT(A75/12)+1)/12+Pricing_M!$B$13*IF(A75=0,Assumptions!$B$14*12,IF(A75&gt;=12,Assumptions!$B$15,0))-Pricing_M!$B$13,Assumptions!$B$9/12*(1+Assumptions!$B$10)^INT(A75/12)+Assumptions!$B$12*(1+Assumptions!$B$11)^(INT(A75/12)+1)/12))*J75</f>
        <v>-664.065508721797</v>
      </c>
      <c r="V75" s="32" t="n">
        <f aca="false">V74*(1-F74)*(1-(1-(1-MIN(1,G74*(1-Assumptions!$B$23)))^(1/12)))</f>
        <v>0.912628841108462</v>
      </c>
      <c r="W75" s="47" t="n">
        <f aca="false">V75*(IF(C75&lt;Assumptions!$B$5,Assumptions!$B$12*(1+Assumptions!$B$11)^(INT(A75/12)+1)/12+Pricing_M!$B$13*IF(A75=0,Assumptions!$B$14*12,IF(A75&gt;=12,Assumptions!$B$15,0))-Pricing_M!$B$13,Assumptions!$B$9/12*(1+Assumptions!$B$10)^INT(A75/12)+Assumptions!$B$12*(1+Assumptions!$B$11)^(INT(A75/12)+1)/12))*J75</f>
        <v>-742.073532039844</v>
      </c>
      <c r="X75" s="47" t="n">
        <f aca="false">I75*(IF(C75&lt;Assumptions!$B$5,Assumptions!$B$12*(1+Assumptions!$B$11)*(1+Assumptions!$B$24)*(1+Assumptions!$B$11+Assumptions!$B$25)^(INT(A75/12))/12+Pricing_M!$B$13*IF(A75=0,Assumptions!$B$14*12,IF(A75&gt;=12,Assumptions!$B$15,0))-Pricing_M!$B$13,Assumptions!$B$9/12*(1+Assumptions!$B$10)^INT(A75/12)+Assumptions!$B$12*(1+Assumptions!$B$11)*(1+Assumptions!$B$24)*(1+Assumptions!$B$11+Assumptions!$B$25)^(INT(A75/12))/12))*J75</f>
        <v>-701.3514143919</v>
      </c>
    </row>
    <row r="76" customFormat="false" ht="15" hidden="false" customHeight="true" outlineLevel="0" collapsed="false">
      <c r="A76" s="1" t="n">
        <v>69</v>
      </c>
      <c r="B76" s="31" t="n">
        <f aca="false">Assumptions!$B$4+A76/12</f>
        <v>70.75</v>
      </c>
      <c r="C76" s="34" t="n">
        <f aca="false">Assumptions!$B$4+INT(A76/12)</f>
        <v>70</v>
      </c>
      <c r="D76" s="34" t="n">
        <f aca="false">INT(A76/12)+1</f>
        <v>6</v>
      </c>
      <c r="E76" s="32" t="n">
        <f aca="false">IFERROR(INDEX(Cohort_Survival!$G$5:$G$65,MATCH(C76,Cohort_Survival!$A$5:$A$65,0)),1)</f>
        <v>0.0084938344969428</v>
      </c>
      <c r="F76" s="30" t="n">
        <f aca="false">1-(1-MIN(1,E76))^(1/12)</f>
        <v>0.000710590134707645</v>
      </c>
      <c r="G76" s="39" t="n">
        <f aca="false">IF(C76&lt;Assumptions!$B$5,IF(D76=1,Assumptions!$B$16,IF(D76=2,Assumptions!$B$17,IF(D76&lt;=5,Assumptions!$B$18,Assumptions!$B$19)))*(1-Assumptions!$B$20),0)</f>
        <v>0.0091</v>
      </c>
      <c r="H76" s="30" t="n">
        <f aca="false">1-(1-G76)^(1/12)</f>
        <v>0.000761514726814627</v>
      </c>
      <c r="I76" s="30" t="n">
        <f aca="false">I75*(1-F75)*(1-H75)</f>
        <v>0.862369150548902</v>
      </c>
      <c r="J76" s="30" t="n">
        <f aca="false">INDEX(Discount_Monthly!$G$4:$G$664,MATCH(A76,Discount_Monthly!$A$4:$A$664,0))</f>
        <v>0.858063968081589</v>
      </c>
      <c r="K76" s="30" t="n">
        <f aca="false">IF(C76&lt;Assumptions!$B$5,I76*J76,0)</f>
        <v>0.73996789527114</v>
      </c>
      <c r="L76" s="30" t="n">
        <f aca="false">IF(C76&lt;Assumptions!$B$5,I76*(1-F76)*H76*A76*J76,0)</f>
        <v>0.0388536263874659</v>
      </c>
      <c r="M76" s="30" t="n">
        <f aca="false">IF(A76=0,Assumptions!$B$14*12*I76*J76,IF(AND(A76&gt;=12,C76&lt;Assumptions!$B$5),Assumptions!$B$15*I76*J76,0))</f>
        <v>0.036998394763557</v>
      </c>
      <c r="N76" s="47" t="n">
        <f aca="false">IF(C76&gt;=Assumptions!$B$5,I76*Assumptions!$B$9/12*(1+Assumptions!$B$10)^INT(A76/12)*J76,0)</f>
        <v>0</v>
      </c>
      <c r="O76" s="47" t="n">
        <f aca="false">I76*Assumptions!$B$12/12*(1+Assumptions!$B$11)^(INT(A76/12)+1)*J76</f>
        <v>5.72090598556524</v>
      </c>
      <c r="P76" s="47" t="n">
        <f aca="false">O76+Pricing_M!$B$13*M76+N76-Pricing_M!$B$13*K76</f>
        <v>-699.54304813888</v>
      </c>
      <c r="Q76" s="47" t="n">
        <f aca="false">IF(C76&lt;Assumptions!$B$5,Pricing_M!$B$13*K76-Pricing_M!$B$13*M76-O76,-(N76+O76))</f>
        <v>699.54304813888</v>
      </c>
      <c r="R76" s="32" t="n">
        <f aca="false">R75*(1-(1-(1-MIN(1,E75*(1-Assumptions!$B$21)))^(1/12)))*(1-H75)</f>
        <v>0.868906979919501</v>
      </c>
      <c r="S76" s="47" t="n">
        <f aca="false">R76*(IF(C76&lt;Assumptions!$B$5,Assumptions!$B$12*(1+Assumptions!$B$11)^(INT(A76/12)+1)/12+Pricing_M!$B$13*IF(A76=0,Assumptions!$B$14*12,IF(A76&gt;=12,Assumptions!$B$15,0))-Pricing_M!$B$13,Assumptions!$B$9/12*(1+Assumptions!$B$10)^INT(A76/12)+Assumptions!$B$12*(1+Assumptions!$B$11)^(INT(A76/12)+1)/12))*J76</f>
        <v>-704.846453395445</v>
      </c>
      <c r="T76" s="32" t="n">
        <f aca="false">T75*(1-F75)*(1-(1-(1-MIN(1,G75*(1+Assumptions!$B$23)))^(1/12)))</f>
        <v>0.815177236720991</v>
      </c>
      <c r="U76" s="47" t="n">
        <f aca="false">T76*(IF(C76&lt;Assumptions!$B$5,Assumptions!$B$12*(1+Assumptions!$B$11)^(INT(A76/12)+1)/12+Pricing_M!$B$13*IF(A76=0,Assumptions!$B$14*12,IF(A76&gt;=12,Assumptions!$B$15,0))-Pricing_M!$B$13,Assumptions!$B$9/12*(1+Assumptions!$B$10)^INT(A76/12)+Assumptions!$B$12*(1+Assumptions!$B$11)^(INT(A76/12)+1)/12))*J76</f>
        <v>-661.26155902755</v>
      </c>
      <c r="V76" s="32" t="n">
        <f aca="false">V75*(1-F75)*(1-(1-(1-MIN(1,G75*(1-Assumptions!$B$23)))^(1/12)))</f>
        <v>0.911633820288458</v>
      </c>
      <c r="W76" s="47" t="n">
        <f aca="false">V76*(IF(C76&lt;Assumptions!$B$5,Assumptions!$B$12*(1+Assumptions!$B$11)^(INT(A76/12)+1)/12+Pricing_M!$B$13*IF(A76=0,Assumptions!$B$14*12,IF(A76&gt;=12,Assumptions!$B$15,0))-Pricing_M!$B$13,Assumptions!$B$9/12*(1+Assumptions!$B$10)^INT(A76/12)+Assumptions!$B$12*(1+Assumptions!$B$11)^(INT(A76/12)+1)/12))*J76</f>
        <v>-739.505930870977</v>
      </c>
      <c r="X76" s="47" t="n">
        <f aca="false">I76*(IF(C76&lt;Assumptions!$B$5,Assumptions!$B$12*(1+Assumptions!$B$11)*(1+Assumptions!$B$24)*(1+Assumptions!$B$11+Assumptions!$B$25)^(INT(A76/12))/12+Pricing_M!$B$13*IF(A76=0,Assumptions!$B$14*12,IF(A76&gt;=12,Assumptions!$B$15,0))-Pricing_M!$B$13,Assumptions!$B$9/12*(1+Assumptions!$B$10)^INT(A76/12)+Assumptions!$B$12*(1+Assumptions!$B$11)*(1+Assumptions!$B$24)*(1+Assumptions!$B$11+Assumptions!$B$25)^(INT(A76/12))/12))*J76</f>
        <v>-698.657933610109</v>
      </c>
    </row>
    <row r="77" customFormat="false" ht="15" hidden="false" customHeight="true" outlineLevel="0" collapsed="false">
      <c r="A77" s="1" t="n">
        <v>70</v>
      </c>
      <c r="B77" s="31" t="n">
        <f aca="false">Assumptions!$B$4+A77/12</f>
        <v>70.8333333333333</v>
      </c>
      <c r="C77" s="34" t="n">
        <f aca="false">Assumptions!$B$4+INT(A77/12)</f>
        <v>70</v>
      </c>
      <c r="D77" s="34" t="n">
        <f aca="false">INT(A77/12)+1</f>
        <v>6</v>
      </c>
      <c r="E77" s="32" t="n">
        <f aca="false">IFERROR(INDEX(Cohort_Survival!$G$5:$G$65,MATCH(C77,Cohort_Survival!$A$5:$A$65,0)),1)</f>
        <v>0.0084938344969428</v>
      </c>
      <c r="F77" s="30" t="n">
        <f aca="false">1-(1-MIN(1,E77))^(1/12)</f>
        <v>0.000710590134707645</v>
      </c>
      <c r="G77" s="39" t="n">
        <f aca="false">IF(C77&lt;Assumptions!$B$5,IF(D77=1,Assumptions!$B$16,IF(D77=2,Assumptions!$B$17,IF(D77&lt;=5,Assumptions!$B$18,Assumptions!$B$19)))*(1-Assumptions!$B$20),0)</f>
        <v>0.0091</v>
      </c>
      <c r="H77" s="30" t="n">
        <f aca="false">1-(1-G77)^(1/12)</f>
        <v>0.000761514726814627</v>
      </c>
      <c r="I77" s="30" t="n">
        <f aca="false">I76*(1-F76)*(1-H76)</f>
        <v>0.861100119379331</v>
      </c>
      <c r="J77" s="30" t="n">
        <f aca="false">INDEX(Discount_Monthly!$G$4:$G$664,MATCH(A77,Discount_Monthly!$A$4:$A$664,0))</f>
        <v>0.856028346265116</v>
      </c>
      <c r="K77" s="30" t="n">
        <f aca="false">IF(C77&lt;Assumptions!$B$5,I77*J77,0)</f>
        <v>0.737126111160983</v>
      </c>
      <c r="L77" s="30" t="n">
        <f aca="false">IF(C77&lt;Assumptions!$B$5,I77*(1-F77)*H77*A77*J77,0)</f>
        <v>0.0392653458337454</v>
      </c>
      <c r="M77" s="30" t="n">
        <f aca="false">IF(A77=0,Assumptions!$B$14*12*I77*J77,IF(AND(A77&gt;=12,C77&lt;Assumptions!$B$5),Assumptions!$B$15*I77*J77,0))</f>
        <v>0.0368563055580491</v>
      </c>
      <c r="N77" s="47" t="n">
        <f aca="false">IF(C77&gt;=Assumptions!$B$5,I77*Assumptions!$B$9/12*(1+Assumptions!$B$10)^INT(A77/12)*J77,0)</f>
        <v>0</v>
      </c>
      <c r="O77" s="47" t="n">
        <f aca="false">I77*Assumptions!$B$12/12*(1+Assumptions!$B$11)^(INT(A77/12)+1)*J77</f>
        <v>5.6989353300417</v>
      </c>
      <c r="P77" s="47" t="n">
        <f aca="false">O77+Pricing_M!$B$13*M77+N77-Pricing_M!$B$13*K77</f>
        <v>-696.856512234719</v>
      </c>
      <c r="Q77" s="47" t="n">
        <f aca="false">IF(C77&lt;Assumptions!$B$5,Pricing_M!$B$13*K77-Pricing_M!$B$13*M77-O77,-(N77+O77))</f>
        <v>696.856512234719</v>
      </c>
      <c r="R77" s="32" t="n">
        <f aca="false">R76*(1-(1-(1-MIN(1,E76*(1-Assumptions!$B$21)))^(1/12)))*(1-H76)</f>
        <v>0.867752107794732</v>
      </c>
      <c r="S77" s="47" t="n">
        <f aca="false">R77*(IF(C77&lt;Assumptions!$B$5,Assumptions!$B$12*(1+Assumptions!$B$11)^(INT(A77/12)+1)/12+Pricing_M!$B$13*IF(A77=0,Assumptions!$B$14*12,IF(A77&gt;=12,Assumptions!$B$15,0))-Pricing_M!$B$13,Assumptions!$B$9/12*(1+Assumptions!$B$10)^INT(A77/12)+Assumptions!$B$12*(1+Assumptions!$B$11)^(INT(A77/12)+1)/12))*J77</f>
        <v>-702.239720693594</v>
      </c>
      <c r="T77" s="32" t="n">
        <f aca="false">T76*(1-F76)*(1-(1-(1-MIN(1,G76*(1+Assumptions!$B$23)))^(1/12)))</f>
        <v>0.81366552647876</v>
      </c>
      <c r="U77" s="47" t="n">
        <f aca="false">T77*(IF(C77&lt;Assumptions!$B$5,Assumptions!$B$12*(1+Assumptions!$B$11)^(INT(A77/12)+1)/12+Pricing_M!$B$13*IF(A77=0,Assumptions!$B$14*12,IF(A77&gt;=12,Assumptions!$B$15,0))-Pricing_M!$B$13,Assumptions!$B$9/12*(1+Assumptions!$B$10)^INT(A77/12)+Assumptions!$B$12*(1+Assumptions!$B$11)^(INT(A77/12)+1)/12))*J77</f>
        <v>-658.469448728339</v>
      </c>
      <c r="V77" s="32" t="n">
        <f aca="false">V76*(1-F76)*(1-(1-(1-MIN(1,G76*(1-Assumptions!$B$23)))^(1/12)))</f>
        <v>0.910639884319587</v>
      </c>
      <c r="W77" s="47" t="n">
        <f aca="false">V77*(IF(C77&lt;Assumptions!$B$5,Assumptions!$B$12*(1+Assumptions!$B$11)^(INT(A77/12)+1)/12+Pricing_M!$B$13*IF(A77=0,Assumptions!$B$14*12,IF(A77&gt;=12,Assumptions!$B$15,0))-Pricing_M!$B$13,Assumptions!$B$9/12*(1+Assumptions!$B$10)^INT(A77/12)+Assumptions!$B$12*(1+Assumptions!$B$11)^(INT(A77/12)+1)/12))*J77</f>
        <v>-736.947213694704</v>
      </c>
      <c r="X77" s="47" t="n">
        <f aca="false">I77*(IF(C77&lt;Assumptions!$B$5,Assumptions!$B$12*(1+Assumptions!$B$11)*(1+Assumptions!$B$24)*(1+Assumptions!$B$11+Assumptions!$B$25)^(INT(A77/12))/12+Pricing_M!$B$13*IF(A77=0,Assumptions!$B$14*12,IF(A77&gt;=12,Assumptions!$B$15,0))-Pricing_M!$B$13,Assumptions!$B$9/12*(1+Assumptions!$B$10)^INT(A77/12)+Assumptions!$B$12*(1+Assumptions!$B$11)*(1+Assumptions!$B$24)*(1+Assumptions!$B$11+Assumptions!$B$25)^(INT(A77/12))/12))*J77</f>
        <v>-695.974796913426</v>
      </c>
    </row>
    <row r="78" customFormat="false" ht="15" hidden="false" customHeight="true" outlineLevel="0" collapsed="false">
      <c r="A78" s="1" t="n">
        <v>71</v>
      </c>
      <c r="B78" s="31" t="n">
        <f aca="false">Assumptions!$B$4+A78/12</f>
        <v>70.9166666666667</v>
      </c>
      <c r="C78" s="34" t="n">
        <f aca="false">Assumptions!$B$4+INT(A78/12)</f>
        <v>70</v>
      </c>
      <c r="D78" s="34" t="n">
        <f aca="false">INT(A78/12)+1</f>
        <v>6</v>
      </c>
      <c r="E78" s="32" t="n">
        <f aca="false">IFERROR(INDEX(Cohort_Survival!$G$5:$G$65,MATCH(C78,Cohort_Survival!$A$5:$A$65,0)),1)</f>
        <v>0.0084938344969428</v>
      </c>
      <c r="F78" s="30" t="n">
        <f aca="false">1-(1-MIN(1,E78))^(1/12)</f>
        <v>0.000710590134707645</v>
      </c>
      <c r="G78" s="39" t="n">
        <f aca="false">IF(C78&lt;Assumptions!$B$5,IF(D78=1,Assumptions!$B$16,IF(D78=2,Assumptions!$B$17,IF(D78&lt;=5,Assumptions!$B$18,Assumptions!$B$19)))*(1-Assumptions!$B$20),0)</f>
        <v>0.0091</v>
      </c>
      <c r="H78" s="30" t="n">
        <f aca="false">1-(1-G78)^(1/12)</f>
        <v>0.000761514726814627</v>
      </c>
      <c r="I78" s="30" t="n">
        <f aca="false">I77*(1-F77)*(1-H77)</f>
        <v>0.85983295567001</v>
      </c>
      <c r="J78" s="30" t="n">
        <f aca="false">INDEX(Discount_Monthly!$G$4:$G$664,MATCH(A78,Discount_Monthly!$A$4:$A$664,0))</f>
        <v>0.853997553641259</v>
      </c>
      <c r="K78" s="30" t="n">
        <f aca="false">IF(C78&lt;Assumptions!$B$5,I78*J78,0)</f>
        <v>0.734295240682322</v>
      </c>
      <c r="L78" s="30" t="n">
        <f aca="false">IF(C78&lt;Assumptions!$B$5,I78*(1-F78)*H78*A78*J78,0)</f>
        <v>0.0396733298886128</v>
      </c>
      <c r="M78" s="30" t="n">
        <f aca="false">IF(A78=0,Assumptions!$B$14*12*I78*J78,IF(AND(A78&gt;=12,C78&lt;Assumptions!$B$5),Assumptions!$B$15*I78*J78,0))</f>
        <v>0.0367147620341161</v>
      </c>
      <c r="N78" s="47" t="n">
        <f aca="false">IF(C78&gt;=Assumptions!$B$5,I78*Assumptions!$B$9/12*(1+Assumptions!$B$10)^INT(A78/12)*J78,0)</f>
        <v>0</v>
      </c>
      <c r="O78" s="47" t="n">
        <f aca="false">I78*Assumptions!$B$12/12*(1+Assumptions!$B$11)^(INT(A78/12)+1)*J78</f>
        <v>5.67704905096226</v>
      </c>
      <c r="P78" s="47" t="n">
        <f aca="false">O78+Pricing_M!$B$13*M78+N78-Pricing_M!$B$13*K78</f>
        <v>-694.180293744451</v>
      </c>
      <c r="Q78" s="47" t="n">
        <f aca="false">IF(C78&lt;Assumptions!$B$5,Pricing_M!$B$13*K78-Pricing_M!$B$13*M78-O78,-(N78+O78))</f>
        <v>694.180293744451</v>
      </c>
      <c r="R78" s="32" t="n">
        <f aca="false">R77*(1-(1-(1-MIN(1,E77*(1-Assumptions!$B$21)))^(1/12)))*(1-H77)</f>
        <v>0.866598770620947</v>
      </c>
      <c r="S78" s="47" t="n">
        <f aca="false">R78*(IF(C78&lt;Assumptions!$B$5,Assumptions!$B$12*(1+Assumptions!$B$11)^(INT(A78/12)+1)/12+Pricing_M!$B$13*IF(A78=0,Assumptions!$B$14*12,IF(A78&gt;=12,Assumptions!$B$15,0))-Pricing_M!$B$13,Assumptions!$B$9/12*(1+Assumptions!$B$10)^INT(A78/12)+Assumptions!$B$12*(1+Assumptions!$B$11)^(INT(A78/12)+1)/12))*J78</f>
        <v>-699.642628467831</v>
      </c>
      <c r="T78" s="32" t="n">
        <f aca="false">T77*(1-F77)*(1-(1-(1-MIN(1,G77*(1+Assumptions!$B$23)))^(1/12)))</f>
        <v>0.81215661963652</v>
      </c>
      <c r="U78" s="47" t="n">
        <f aca="false">T78*(IF(C78&lt;Assumptions!$B$5,Assumptions!$B$12*(1+Assumptions!$B$11)^(INT(A78/12)+1)/12+Pricing_M!$B$13*IF(A78=0,Assumptions!$B$14*12,IF(A78&gt;=12,Assumptions!$B$15,0))-Pricing_M!$B$13,Assumptions!$B$9/12*(1+Assumptions!$B$10)^INT(A78/12)+Assumptions!$B$12*(1+Assumptions!$B$11)^(INT(A78/12)+1)/12))*J78</f>
        <v>-655.689127833512</v>
      </c>
      <c r="V78" s="32" t="n">
        <f aca="false">V77*(1-F77)*(1-(1-(1-MIN(1,G77*(1-Assumptions!$B$23)))^(1/12)))</f>
        <v>0.909647032019057</v>
      </c>
      <c r="W78" s="47" t="n">
        <f aca="false">V78*(IF(C78&lt;Assumptions!$B$5,Assumptions!$B$12*(1+Assumptions!$B$11)^(INT(A78/12)+1)/12+Pricing_M!$B$13*IF(A78=0,Assumptions!$B$14*12,IF(A78&gt;=12,Assumptions!$B$15,0))-Pricing_M!$B$13,Assumptions!$B$9/12*(1+Assumptions!$B$10)^INT(A78/12)+Assumptions!$B$12*(1+Assumptions!$B$11)^(INT(A78/12)+1)/12))*J78</f>
        <v>-734.397349772089</v>
      </c>
      <c r="X78" s="47" t="n">
        <f aca="false">I78*(IF(C78&lt;Assumptions!$B$5,Assumptions!$B$12*(1+Assumptions!$B$11)*(1+Assumptions!$B$24)*(1+Assumptions!$B$11+Assumptions!$B$25)^(INT(A78/12))/12+Pricing_M!$B$13*IF(A78=0,Assumptions!$B$14*12,IF(A78&gt;=12,Assumptions!$B$15,0))-Pricing_M!$B$13,Assumptions!$B$9/12*(1+Assumptions!$B$10)^INT(A78/12)+Assumptions!$B$12*(1+Assumptions!$B$11)*(1+Assumptions!$B$24)*(1+Assumptions!$B$11+Assumptions!$B$25)^(INT(A78/12))/12))*J78</f>
        <v>-693.301964576269</v>
      </c>
    </row>
    <row r="79" customFormat="false" ht="15" hidden="false" customHeight="true" outlineLevel="0" collapsed="false">
      <c r="A79" s="1" t="n">
        <v>72</v>
      </c>
      <c r="B79" s="31" t="n">
        <f aca="false">Assumptions!$B$4+A79/12</f>
        <v>71</v>
      </c>
      <c r="C79" s="34" t="n">
        <f aca="false">Assumptions!$B$4+INT(A79/12)</f>
        <v>71</v>
      </c>
      <c r="D79" s="34" t="n">
        <f aca="false">INT(A79/12)+1</f>
        <v>7</v>
      </c>
      <c r="E79" s="32" t="n">
        <f aca="false">IFERROR(INDEX(Cohort_Survival!$G$5:$G$65,MATCH(C79,Cohort_Survival!$A$5:$A$65,0)),1)</f>
        <v>0.0093969211355016</v>
      </c>
      <c r="F79" s="30" t="n">
        <f aca="false">1-(1-MIN(1,E79))^(1/12)</f>
        <v>0.00078646979974295</v>
      </c>
      <c r="G79" s="39" t="n">
        <f aca="false">IF(C79&lt;Assumptions!$B$5,IF(D79=1,Assumptions!$B$16,IF(D79=2,Assumptions!$B$17,IF(D79&lt;=5,Assumptions!$B$18,Assumptions!$B$19)))*(1-Assumptions!$B$20),0)</f>
        <v>0.0091</v>
      </c>
      <c r="H79" s="30" t="n">
        <f aca="false">1-(1-G79)^(1/12)</f>
        <v>0.000761514726814627</v>
      </c>
      <c r="I79" s="30" t="n">
        <f aca="false">I78*(1-F78)*(1-H78)</f>
        <v>0.858567656672853</v>
      </c>
      <c r="J79" s="30" t="n">
        <f aca="false">INDEX(Discount_Monthly!$G$4:$G$664,MATCH(A79,Discount_Monthly!$A$4:$A$664,0))</f>
        <v>0.851971578753519</v>
      </c>
      <c r="K79" s="30" t="n">
        <f aca="false">IF(C79&lt;Assumptions!$B$5,I79*J79,0)</f>
        <v>0.73147524192228</v>
      </c>
      <c r="L79" s="30" t="n">
        <f aca="false">IF(C79&lt;Assumptions!$B$5,I79*(1-F79)*H79*A79*J79,0)</f>
        <v>0.0400745579331668</v>
      </c>
      <c r="M79" s="30" t="n">
        <f aca="false">IF(A79=0,Assumptions!$B$14*12*I79*J79,IF(AND(A79&gt;=12,C79&lt;Assumptions!$B$5),Assumptions!$B$15*I79*J79,0))</f>
        <v>0.036573762096114</v>
      </c>
      <c r="N79" s="47" t="n">
        <f aca="false">IF(C79&gt;=Assumptions!$B$5,I79*Assumptions!$B$9/12*(1+Assumptions!$B$10)^INT(A79/12)*J79,0)</f>
        <v>0</v>
      </c>
      <c r="O79" s="47" t="n">
        <f aca="false">I79*Assumptions!$B$12/12*(1+Assumptions!$B$11)^(INT(A79/12)+1)*J79</f>
        <v>5.79662799489349</v>
      </c>
      <c r="P79" s="47" t="n">
        <f aca="false">O79+Pricing_M!$B$13*M79+N79-Pricing_M!$B$13*K79</f>
        <v>-691.372971874316</v>
      </c>
      <c r="Q79" s="47" t="n">
        <f aca="false">IF(C79&lt;Assumptions!$B$5,Pricing_M!$B$13*K79-Pricing_M!$B$13*M79-O79,-(N79+O79))</f>
        <v>691.372971874316</v>
      </c>
      <c r="R79" s="32" t="n">
        <f aca="false">R78*(1-(1-(1-MIN(1,E78*(1-Assumptions!$B$21)))^(1/12)))*(1-H78)</f>
        <v>0.865446966358031</v>
      </c>
      <c r="S79" s="47" t="n">
        <f aca="false">R79*(IF(C79&lt;Assumptions!$B$5,Assumptions!$B$12*(1+Assumptions!$B$11)^(INT(A79/12)+1)/12+Pricing_M!$B$13*IF(A79=0,Assumptions!$B$14*12,IF(A79&gt;=12,Assumptions!$B$15,0))-Pricing_M!$B$13,Assumptions!$B$9/12*(1+Assumptions!$B$10)^INT(A79/12)+Assumptions!$B$12*(1+Assumptions!$B$11)^(INT(A79/12)+1)/12))*J79</f>
        <v>-696.912627071574</v>
      </c>
      <c r="T79" s="32" t="n">
        <f aca="false">T78*(1-F78)*(1-(1-(1-MIN(1,G78*(1+Assumptions!$B$23)))^(1/12)))</f>
        <v>0.810650510995486</v>
      </c>
      <c r="U79" s="47" t="n">
        <f aca="false">T79*(IF(C79&lt;Assumptions!$B$5,Assumptions!$B$12*(1+Assumptions!$B$11)^(INT(A79/12)+1)/12+Pricing_M!$B$13*IF(A79=0,Assumptions!$B$14*12,IF(A79&gt;=12,Assumptions!$B$15,0))-Pricing_M!$B$13,Assumptions!$B$9/12*(1+Assumptions!$B$10)^INT(A79/12)+Assumptions!$B$12*(1+Assumptions!$B$11)^(INT(A79/12)+1)/12))*J79</f>
        <v>-652.787055955847</v>
      </c>
      <c r="V79" s="32" t="n">
        <f aca="false">V78*(1-F78)*(1-(1-(1-MIN(1,G78*(1-Assumptions!$B$23)))^(1/12)))</f>
        <v>0.908655262205368</v>
      </c>
      <c r="W79" s="47" t="n">
        <f aca="false">V79*(IF(C79&lt;Assumptions!$B$5,Assumptions!$B$12*(1+Assumptions!$B$11)^(INT(A79/12)+1)/12+Pricing_M!$B$13*IF(A79=0,Assumptions!$B$14*12,IF(A79&gt;=12,Assumptions!$B$15,0))-Pricing_M!$B$13,Assumptions!$B$9/12*(1+Assumptions!$B$10)^INT(A79/12)+Assumptions!$B$12*(1+Assumptions!$B$11)^(INT(A79/12)+1)/12))*J79</f>
        <v>-731.706679325257</v>
      </c>
      <c r="X79" s="47" t="n">
        <f aca="false">I79*(IF(C79&lt;Assumptions!$B$5,Assumptions!$B$12*(1+Assumptions!$B$11)*(1+Assumptions!$B$24)*(1+Assumptions!$B$11+Assumptions!$B$25)^(INT(A79/12))/12+Pricing_M!$B$13*IF(A79=0,Assumptions!$B$14*12,IF(A79&gt;=12,Assumptions!$B$15,0))-Pricing_M!$B$13,Assumptions!$B$9/12*(1+Assumptions!$B$10)^INT(A79/12)+Assumptions!$B$12*(1+Assumptions!$B$11)*(1+Assumptions!$B$24)*(1+Assumptions!$B$11+Assumptions!$B$25)^(INT(A79/12))/12))*J79</f>
        <v>-690.41083992609</v>
      </c>
    </row>
    <row r="80" customFormat="false" ht="15" hidden="false" customHeight="true" outlineLevel="0" collapsed="false">
      <c r="A80" s="1" t="n">
        <v>73</v>
      </c>
      <c r="B80" s="31" t="n">
        <f aca="false">Assumptions!$B$4+A80/12</f>
        <v>71.0833333333333</v>
      </c>
      <c r="C80" s="34" t="n">
        <f aca="false">Assumptions!$B$4+INT(A80/12)</f>
        <v>71</v>
      </c>
      <c r="D80" s="34" t="n">
        <f aca="false">INT(A80/12)+1</f>
        <v>7</v>
      </c>
      <c r="E80" s="32" t="n">
        <f aca="false">IFERROR(INDEX(Cohort_Survival!$G$5:$G$65,MATCH(C80,Cohort_Survival!$A$5:$A$65,0)),1)</f>
        <v>0.0093969211355016</v>
      </c>
      <c r="F80" s="30" t="n">
        <f aca="false">1-(1-MIN(1,E80))^(1/12)</f>
        <v>0.00078646979974295</v>
      </c>
      <c r="G80" s="39" t="n">
        <f aca="false">IF(C80&lt;Assumptions!$B$5,IF(D80=1,Assumptions!$B$16,IF(D80=2,Assumptions!$B$17,IF(D80&lt;=5,Assumptions!$B$18,Assumptions!$B$19)))*(1-Assumptions!$B$20),0)</f>
        <v>0.0091</v>
      </c>
      <c r="H80" s="30" t="n">
        <f aca="false">1-(1-G80)^(1/12)</f>
        <v>0.000761514726814627</v>
      </c>
      <c r="I80" s="30" t="n">
        <f aca="false">I79*(1-F79)*(1-H79)</f>
        <v>0.857239121428646</v>
      </c>
      <c r="J80" s="30" t="n">
        <f aca="false">INDEX(Discount_Monthly!$G$4:$G$664,MATCH(A80,Discount_Monthly!$A$4:$A$664,0))</f>
        <v>0.849865658305462</v>
      </c>
      <c r="K80" s="30" t="n">
        <f aca="false">IF(C80&lt;Assumptions!$B$5,I80*J80,0)</f>
        <v>0.728538090258152</v>
      </c>
      <c r="L80" s="30" t="n">
        <f aca="false">IF(C80&lt;Assumptions!$B$5,I80*(1-F80)*H80*A80*J80,0)</f>
        <v>0.0404679994787087</v>
      </c>
      <c r="M80" s="30" t="n">
        <f aca="false">IF(A80=0,Assumptions!$B$14*12*I80*J80,IF(AND(A80&gt;=12,C80&lt;Assumptions!$B$5),Assumptions!$B$15*I80*J80,0))</f>
        <v>0.0364269045129076</v>
      </c>
      <c r="N80" s="47" t="n">
        <f aca="false">IF(C80&gt;=Assumptions!$B$5,I80*Assumptions!$B$9/12*(1+Assumptions!$B$10)^INT(A80/12)*J80,0)</f>
        <v>0</v>
      </c>
      <c r="O80" s="47" t="n">
        <f aca="false">I80*Assumptions!$B$12/12*(1+Assumptions!$B$11)^(INT(A80/12)+1)*J80</f>
        <v>5.77335232596341</v>
      </c>
      <c r="P80" s="47" t="n">
        <f aca="false">O80+Pricing_M!$B$13*M80+N80-Pricing_M!$B$13*K80</f>
        <v>-688.596846096583</v>
      </c>
      <c r="Q80" s="47" t="n">
        <f aca="false">IF(C80&lt;Assumptions!$B$5,Pricing_M!$B$13*K80-Pricing_M!$B$13*M80-O80,-(N80+O80))</f>
        <v>688.596846096583</v>
      </c>
      <c r="R80" s="32" t="n">
        <f aca="false">R79*(1-(1-(1-MIN(1,E79*(1-Assumptions!$B$21)))^(1/12)))*(1-H79)</f>
        <v>0.864244283835353</v>
      </c>
      <c r="S80" s="47" t="n">
        <f aca="false">R80*(IF(C80&lt;Assumptions!$B$5,Assumptions!$B$12*(1+Assumptions!$B$11)^(INT(A80/12)+1)/12+Pricing_M!$B$13*IF(A80=0,Assumptions!$B$14*12,IF(A80&gt;=12,Assumptions!$B$15,0))-Pricing_M!$B$13,Assumptions!$B$9/12*(1+Assumptions!$B$10)^INT(A80/12)+Assumptions!$B$12*(1+Assumptions!$B$11)^(INT(A80/12)+1)/12))*J80</f>
        <v>-694.223902327537</v>
      </c>
      <c r="T80" s="32" t="n">
        <f aca="false">T79*(1-F79)*(1-(1-(1-MIN(1,G79*(1+Assumptions!$B$23)))^(1/12)))</f>
        <v>0.809085753888662</v>
      </c>
      <c r="U80" s="47" t="n">
        <f aca="false">T80*(IF(C80&lt;Assumptions!$B$5,Assumptions!$B$12*(1+Assumptions!$B$11)^(INT(A80/12)+1)/12+Pricing_M!$B$13*IF(A80=0,Assumptions!$B$14*12,IF(A80&gt;=12,Assumptions!$B$15,0))-Pricing_M!$B$13,Assumptions!$B$9/12*(1+Assumptions!$B$10)^INT(A80/12)+Assumptions!$B$12*(1+Assumptions!$B$11)^(INT(A80/12)+1)/12))*J80</f>
        <v>-649.916557028928</v>
      </c>
      <c r="V80" s="32" t="n">
        <f aca="false">V79*(1-F79)*(1-(1-(1-MIN(1,G79*(1-Assumptions!$B$23)))^(1/12)))</f>
        <v>0.90759565143901</v>
      </c>
      <c r="W80" s="47" t="n">
        <f aca="false">V80*(IF(C80&lt;Assumptions!$B$5,Assumptions!$B$12*(1+Assumptions!$B$11)^(INT(A80/12)+1)/12+Pricing_M!$B$13*IF(A80=0,Assumptions!$B$14*12,IF(A80&gt;=12,Assumptions!$B$15,0))-Pricing_M!$B$13,Assumptions!$B$9/12*(1+Assumptions!$B$10)^INT(A80/12)+Assumptions!$B$12*(1+Assumptions!$B$11)^(INT(A80/12)+1)/12))*J80</f>
        <v>-729.046875590939</v>
      </c>
      <c r="X80" s="47" t="n">
        <f aca="false">I80*(IF(C80&lt;Assumptions!$B$5,Assumptions!$B$12*(1+Assumptions!$B$11)*(1+Assumptions!$B$24)*(1+Assumptions!$B$11+Assumptions!$B$25)^(INT(A80/12))/12+Pricing_M!$B$13*IF(A80=0,Assumptions!$B$14*12,IF(A80&gt;=12,Assumptions!$B$15,0))-Pricing_M!$B$13,Assumptions!$B$9/12*(1+Assumptions!$B$10)^INT(A80/12)+Assumptions!$B$12*(1+Assumptions!$B$11)*(1+Assumptions!$B$24)*(1+Assumptions!$B$11+Assumptions!$B$25)^(INT(A80/12))/12))*J80</f>
        <v>-687.638577474538</v>
      </c>
    </row>
    <row r="81" customFormat="false" ht="15" hidden="false" customHeight="true" outlineLevel="0" collapsed="false">
      <c r="A81" s="1" t="n">
        <v>74</v>
      </c>
      <c r="B81" s="31" t="n">
        <f aca="false">Assumptions!$B$4+A81/12</f>
        <v>71.1666666666667</v>
      </c>
      <c r="C81" s="34" t="n">
        <f aca="false">Assumptions!$B$4+INT(A81/12)</f>
        <v>71</v>
      </c>
      <c r="D81" s="34" t="n">
        <f aca="false">INT(A81/12)+1</f>
        <v>7</v>
      </c>
      <c r="E81" s="32" t="n">
        <f aca="false">IFERROR(INDEX(Cohort_Survival!$G$5:$G$65,MATCH(C81,Cohort_Survival!$A$5:$A$65,0)),1)</f>
        <v>0.0093969211355016</v>
      </c>
      <c r="F81" s="30" t="n">
        <f aca="false">1-(1-MIN(1,E81))^(1/12)</f>
        <v>0.00078646979974295</v>
      </c>
      <c r="G81" s="39" t="n">
        <f aca="false">IF(C81&lt;Assumptions!$B$5,IF(D81=1,Assumptions!$B$16,IF(D81=2,Assumptions!$B$17,IF(D81&lt;=5,Assumptions!$B$18,Assumptions!$B$19)))*(1-Assumptions!$B$20),0)</f>
        <v>0.0091</v>
      </c>
      <c r="H81" s="30" t="n">
        <f aca="false">1-(1-G81)^(1/12)</f>
        <v>0.000761514726814627</v>
      </c>
      <c r="I81" s="30" t="n">
        <f aca="false">I80*(1-F80)*(1-H80)</f>
        <v>0.855912641940769</v>
      </c>
      <c r="J81" s="30" t="n">
        <f aca="false">INDEX(Discount_Monthly!$G$4:$G$664,MATCH(A81,Discount_Monthly!$A$4:$A$664,0))</f>
        <v>0.847764943313835</v>
      </c>
      <c r="K81" s="30" t="n">
        <f aca="false">IF(C81&lt;Assumptions!$B$5,I81*J81,0)</f>
        <v>0.725612732376511</v>
      </c>
      <c r="L81" s="30" t="n">
        <f aca="false">IF(C81&lt;Assumptions!$B$5,I81*(1-F81)*H81*A81*J81,0)</f>
        <v>0.040857635255524</v>
      </c>
      <c r="M81" s="30" t="n">
        <f aca="false">IF(A81=0,Assumptions!$B$14*12*I81*J81,IF(AND(A81&gt;=12,C81&lt;Assumptions!$B$5),Assumptions!$B$15*I81*J81,0))</f>
        <v>0.0362806366188255</v>
      </c>
      <c r="N81" s="47" t="n">
        <f aca="false">IF(C81&gt;=Assumptions!$B$5,I81*Assumptions!$B$9/12*(1+Assumptions!$B$10)^INT(A81/12)*J81,0)</f>
        <v>0</v>
      </c>
      <c r="O81" s="47" t="n">
        <f aca="false">I81*Assumptions!$B$12/12*(1+Assumptions!$B$11)^(INT(A81/12)+1)*J81</f>
        <v>5.75017011770816</v>
      </c>
      <c r="P81" s="47" t="n">
        <f aca="false">O81+Pricing_M!$B$13*M81+N81-Pricing_M!$B$13*K81</f>
        <v>-685.83186752108</v>
      </c>
      <c r="Q81" s="47" t="n">
        <f aca="false">IF(C81&lt;Assumptions!$B$5,Pricing_M!$B$13*K81-Pricing_M!$B$13*M81-O81,-(N81+O81))</f>
        <v>685.83186752108</v>
      </c>
      <c r="R81" s="32" t="n">
        <f aca="false">R80*(1-(1-(1-MIN(1,E80*(1-Assumptions!$B$21)))^(1/12)))*(1-H80)</f>
        <v>0.8630432726401</v>
      </c>
      <c r="S81" s="47" t="n">
        <f aca="false">R81*(IF(C81&lt;Assumptions!$B$5,Assumptions!$B$12*(1+Assumptions!$B$11)^(INT(A81/12)+1)/12+Pricing_M!$B$13*IF(A81=0,Assumptions!$B$14*12,IF(A81&gt;=12,Assumptions!$B$15,0))-Pricing_M!$B$13,Assumptions!$B$9/12*(1+Assumptions!$B$10)^INT(A81/12)+Assumptions!$B$12*(1+Assumptions!$B$11)^(INT(A81/12)+1)/12))*J81</f>
        <v>-691.545550821792</v>
      </c>
      <c r="T81" s="32" t="n">
        <f aca="false">T80*(1-F80)*(1-(1-(1-MIN(1,G80*(1+Assumptions!$B$23)))^(1/12)))</f>
        <v>0.807524017152232</v>
      </c>
      <c r="U81" s="47" t="n">
        <f aca="false">T81*(IF(C81&lt;Assumptions!$B$5,Assumptions!$B$12*(1+Assumptions!$B$11)^(INT(A81/12)+1)/12+Pricing_M!$B$13*IF(A81=0,Assumptions!$B$14*12,IF(A81&gt;=12,Assumptions!$B$15,0))-Pricing_M!$B$13,Assumptions!$B$9/12*(1+Assumptions!$B$10)^INT(A81/12)+Assumptions!$B$12*(1+Assumptions!$B$11)^(INT(A81/12)+1)/12))*J81</f>
        <v>-647.058680539931</v>
      </c>
      <c r="V81" s="32" t="n">
        <f aca="false">V80*(1-F80)*(1-(1-(1-MIN(1,G80*(1-Assumptions!$B$23)))^(1/12)))</f>
        <v>0.906537276317261</v>
      </c>
      <c r="W81" s="47" t="n">
        <f aca="false">V81*(IF(C81&lt;Assumptions!$B$5,Assumptions!$B$12*(1+Assumptions!$B$11)^(INT(A81/12)+1)/12+Pricing_M!$B$13*IF(A81=0,Assumptions!$B$14*12,IF(A81&gt;=12,Assumptions!$B$15,0))-Pricing_M!$B$13,Assumptions!$B$9/12*(1+Assumptions!$B$10)^INT(A81/12)+Assumptions!$B$12*(1+Assumptions!$B$11)^(INT(A81/12)+1)/12))*J81</f>
        <v>-726.396740424785</v>
      </c>
      <c r="X81" s="47" t="n">
        <f aca="false">I81*(IF(C81&lt;Assumptions!$B$5,Assumptions!$B$12*(1+Assumptions!$B$11)*(1+Assumptions!$B$24)*(1+Assumptions!$B$11+Assumptions!$B$25)^(INT(A81/12))/12+Pricing_M!$B$13*IF(A81=0,Assumptions!$B$14*12,IF(A81&gt;=12,Assumptions!$B$15,0))-Pricing_M!$B$13,Assumptions!$B$9/12*(1+Assumptions!$B$10)^INT(A81/12)+Assumptions!$B$12*(1+Assumptions!$B$11)*(1+Assumptions!$B$24)*(1+Assumptions!$B$11+Assumptions!$B$25)^(INT(A81/12))/12))*J81</f>
        <v>-684.87744671249</v>
      </c>
    </row>
    <row r="82" customFormat="false" ht="15" hidden="false" customHeight="true" outlineLevel="0" collapsed="false">
      <c r="A82" s="1" t="n">
        <v>75</v>
      </c>
      <c r="B82" s="31" t="n">
        <f aca="false">Assumptions!$B$4+A82/12</f>
        <v>71.25</v>
      </c>
      <c r="C82" s="34" t="n">
        <f aca="false">Assumptions!$B$4+INT(A82/12)</f>
        <v>71</v>
      </c>
      <c r="D82" s="34" t="n">
        <f aca="false">INT(A82/12)+1</f>
        <v>7</v>
      </c>
      <c r="E82" s="32" t="n">
        <f aca="false">IFERROR(INDEX(Cohort_Survival!$G$5:$G$65,MATCH(C82,Cohort_Survival!$A$5:$A$65,0)),1)</f>
        <v>0.0093969211355016</v>
      </c>
      <c r="F82" s="30" t="n">
        <f aca="false">1-(1-MIN(1,E82))^(1/12)</f>
        <v>0.00078646979974295</v>
      </c>
      <c r="G82" s="39" t="n">
        <f aca="false">IF(C82&lt;Assumptions!$B$5,IF(D82=1,Assumptions!$B$16,IF(D82=2,Assumptions!$B$17,IF(D82&lt;=5,Assumptions!$B$18,Assumptions!$B$19)))*(1-Assumptions!$B$20),0)</f>
        <v>0.0091</v>
      </c>
      <c r="H82" s="30" t="n">
        <f aca="false">1-(1-G82)^(1/12)</f>
        <v>0.000761514726814627</v>
      </c>
      <c r="I82" s="30" t="n">
        <f aca="false">I81*(1-F81)*(1-H81)</f>
        <v>0.854588215028175</v>
      </c>
      <c r="J82" s="30" t="n">
        <f aca="false">INDEX(Discount_Monthly!$G$4:$G$664,MATCH(A82,Discount_Monthly!$A$4:$A$664,0))</f>
        <v>0.845669420911687</v>
      </c>
      <c r="K82" s="30" t="n">
        <f aca="false">IF(C82&lt;Assumptions!$B$5,I82*J82,0)</f>
        <v>0.722699120920829</v>
      </c>
      <c r="L82" s="30" t="n">
        <f aca="false">IF(C82&lt;Assumptions!$B$5,I82*(1-F82)*H82*A82*J82,0)</f>
        <v>0.0412434894832648</v>
      </c>
      <c r="M82" s="30" t="n">
        <f aca="false">IF(A82=0,Assumptions!$B$14*12*I82*J82,IF(AND(A82&gt;=12,C82&lt;Assumptions!$B$5),Assumptions!$B$15*I82*J82,0))</f>
        <v>0.0361349560460415</v>
      </c>
      <c r="N82" s="47" t="n">
        <f aca="false">IF(C82&gt;=Assumptions!$B$5,I82*Assumptions!$B$9/12*(1+Assumptions!$B$10)^INT(A82/12)*J82,0)</f>
        <v>0</v>
      </c>
      <c r="O82" s="47" t="n">
        <f aca="false">I82*Assumptions!$B$12/12*(1+Assumptions!$B$11)^(INT(A82/12)+1)*J82</f>
        <v>5.72708099484753</v>
      </c>
      <c r="P82" s="47" t="n">
        <f aca="false">O82+Pricing_M!$B$13*M82+N82-Pricing_M!$B$13*K82</f>
        <v>-683.077991387545</v>
      </c>
      <c r="Q82" s="47" t="n">
        <f aca="false">IF(C82&lt;Assumptions!$B$5,Pricing_M!$B$13*K82-Pricing_M!$B$13*M82-O82,-(N82+O82))</f>
        <v>683.077991387545</v>
      </c>
      <c r="R82" s="32" t="n">
        <f aca="false">R81*(1-(1-(1-MIN(1,E81*(1-Assumptions!$B$21)))^(1/12)))*(1-H81)</f>
        <v>0.861843930449686</v>
      </c>
      <c r="S82" s="47" t="n">
        <f aca="false">R82*(IF(C82&lt;Assumptions!$B$5,Assumptions!$B$12*(1+Assumptions!$B$11)^(INT(A82/12)+1)/12+Pricing_M!$B$13*IF(A82=0,Assumptions!$B$14*12,IF(A82&gt;=12,Assumptions!$B$15,0))-Pricing_M!$B$13,Assumptions!$B$9/12*(1+Assumptions!$B$10)^INT(A82/12)+Assumptions!$B$12*(1+Assumptions!$B$11)^(INT(A82/12)+1)/12))*J82</f>
        <v>-688.877532533852</v>
      </c>
      <c r="T82" s="32" t="n">
        <f aca="false">T81*(1-F81)*(1-(1-(1-MIN(1,G81*(1+Assumptions!$B$23)))^(1/12)))</f>
        <v>0.805965294956131</v>
      </c>
      <c r="U82" s="47" t="n">
        <f aca="false">T82*(IF(C82&lt;Assumptions!$B$5,Assumptions!$B$12*(1+Assumptions!$B$11)^(INT(A82/12)+1)/12+Pricing_M!$B$13*IF(A82=0,Assumptions!$B$14*12,IF(A82&gt;=12,Assumptions!$B$15,0))-Pricing_M!$B$13,Assumptions!$B$9/12*(1+Assumptions!$B$10)^INT(A82/12)+Assumptions!$B$12*(1+Assumptions!$B$11)^(INT(A82/12)+1)/12))*J82</f>
        <v>-644.213370984238</v>
      </c>
      <c r="V82" s="32" t="n">
        <f aca="false">V81*(1-F81)*(1-(1-(1-MIN(1,G81*(1-Assumptions!$B$23)))^(1/12)))</f>
        <v>0.905480135399199</v>
      </c>
      <c r="W82" s="47" t="n">
        <f aca="false">V82*(IF(C82&lt;Assumptions!$B$5,Assumptions!$B$12*(1+Assumptions!$B$11)^(INT(A82/12)+1)/12+Pricing_M!$B$13*IF(A82=0,Assumptions!$B$14*12,IF(A82&gt;=12,Assumptions!$B$15,0))-Pricing_M!$B$13,Assumptions!$B$9/12*(1+Assumptions!$B$10)^INT(A82/12)+Assumptions!$B$12*(1+Assumptions!$B$11)^(INT(A82/12)+1)/12))*J82</f>
        <v>-723.756238680889</v>
      </c>
      <c r="X82" s="47" t="n">
        <f aca="false">I82*(IF(C82&lt;Assumptions!$B$5,Assumptions!$B$12*(1+Assumptions!$B$11)*(1+Assumptions!$B$24)*(1+Assumptions!$B$11+Assumptions!$B$25)^(INT(A82/12))/12+Pricing_M!$B$13*IF(A82=0,Assumptions!$B$14*12,IF(A82&gt;=12,Assumptions!$B$15,0))-Pricing_M!$B$13,Assumptions!$B$9/12*(1+Assumptions!$B$10)^INT(A82/12)+Assumptions!$B$12*(1+Assumptions!$B$11)*(1+Assumptions!$B$24)*(1+Assumptions!$B$11+Assumptions!$B$25)^(INT(A82/12))/12))*J82</f>
        <v>-682.127402941974</v>
      </c>
    </row>
    <row r="83" customFormat="false" ht="15" hidden="false" customHeight="true" outlineLevel="0" collapsed="false">
      <c r="A83" s="1" t="n">
        <v>76</v>
      </c>
      <c r="B83" s="31" t="n">
        <f aca="false">Assumptions!$B$4+A83/12</f>
        <v>71.3333333333333</v>
      </c>
      <c r="C83" s="34" t="n">
        <f aca="false">Assumptions!$B$4+INT(A83/12)</f>
        <v>71</v>
      </c>
      <c r="D83" s="34" t="n">
        <f aca="false">INT(A83/12)+1</f>
        <v>7</v>
      </c>
      <c r="E83" s="32" t="n">
        <f aca="false">IFERROR(INDEX(Cohort_Survival!$G$5:$G$65,MATCH(C83,Cohort_Survival!$A$5:$A$65,0)),1)</f>
        <v>0.0093969211355016</v>
      </c>
      <c r="F83" s="30" t="n">
        <f aca="false">1-(1-MIN(1,E83))^(1/12)</f>
        <v>0.00078646979974295</v>
      </c>
      <c r="G83" s="39" t="n">
        <f aca="false">IF(C83&lt;Assumptions!$B$5,IF(D83=1,Assumptions!$B$16,IF(D83=2,Assumptions!$B$17,IF(D83&lt;=5,Assumptions!$B$18,Assumptions!$B$19)))*(1-Assumptions!$B$20),0)</f>
        <v>0.0091</v>
      </c>
      <c r="H83" s="30" t="n">
        <f aca="false">1-(1-G83)^(1/12)</f>
        <v>0.000761514726814627</v>
      </c>
      <c r="I83" s="30" t="n">
        <f aca="false">I82*(1-F82)*(1-H82)</f>
        <v>0.853265837514738</v>
      </c>
      <c r="J83" s="30" t="n">
        <f aca="false">INDEX(Discount_Monthly!$G$4:$G$664,MATCH(A83,Discount_Monthly!$A$4:$A$664,0))</f>
        <v>0.843579078263872</v>
      </c>
      <c r="K83" s="30" t="n">
        <f aca="false">IF(C83&lt;Assumptions!$B$5,I83*J83,0)</f>
        <v>0.719797208724733</v>
      </c>
      <c r="L83" s="30" t="n">
        <f aca="false">IF(C83&lt;Assumptions!$B$5,I83*(1-F83)*H83*A83*J83,0)</f>
        <v>0.0416255862484424</v>
      </c>
      <c r="M83" s="30" t="n">
        <f aca="false">IF(A83=0,Assumptions!$B$14*12*I83*J83,IF(AND(A83&gt;=12,C83&lt;Assumptions!$B$5),Assumptions!$B$15*I83*J83,0))</f>
        <v>0.0359898604362367</v>
      </c>
      <c r="N83" s="47" t="n">
        <f aca="false">IF(C83&gt;=Assumptions!$B$5,I83*Assumptions!$B$9/12*(1+Assumptions!$B$10)^INT(A83/12)*J83,0)</f>
        <v>0</v>
      </c>
      <c r="O83" s="47" t="n">
        <f aca="false">I83*Assumptions!$B$12/12*(1+Assumptions!$B$11)^(INT(A83/12)+1)*J83</f>
        <v>5.70408458360823</v>
      </c>
      <c r="P83" s="47" t="n">
        <f aca="false">O83+Pricing_M!$B$13*M83+N83-Pricing_M!$B$13*K83</f>
        <v>-680.335173115445</v>
      </c>
      <c r="Q83" s="47" t="n">
        <f aca="false">IF(C83&lt;Assumptions!$B$5,Pricing_M!$B$13*K83-Pricing_M!$B$13*M83-O83,-(N83+O83))</f>
        <v>680.335173115445</v>
      </c>
      <c r="R83" s="32" t="n">
        <f aca="false">R82*(1-(1-(1-MIN(1,E82*(1-Assumptions!$B$21)))^(1/12)))*(1-H82)</f>
        <v>0.86064625494475</v>
      </c>
      <c r="S83" s="47" t="n">
        <f aca="false">R83*(IF(C83&lt;Assumptions!$B$5,Assumptions!$B$12*(1+Assumptions!$B$11)^(INT(A83/12)+1)/12+Pricing_M!$B$13*IF(A83=0,Assumptions!$B$14*12,IF(A83&gt;=12,Assumptions!$B$15,0))-Pricing_M!$B$13,Assumptions!$B$9/12*(1+Assumptions!$B$10)^INT(A83/12)+Assumptions!$B$12*(1+Assumptions!$B$11)^(INT(A83/12)+1)/12))*J83</f>
        <v>-686.219807597632</v>
      </c>
      <c r="T83" s="32" t="n">
        <f aca="false">T82*(1-F82)*(1-(1-(1-MIN(1,G82*(1+Assumptions!$B$23)))^(1/12)))</f>
        <v>0.804409581481544</v>
      </c>
      <c r="U83" s="47" t="n">
        <f aca="false">T83*(IF(C83&lt;Assumptions!$B$5,Assumptions!$B$12*(1+Assumptions!$B$11)^(INT(A83/12)+1)/12+Pricing_M!$B$13*IF(A83=0,Assumptions!$B$14*12,IF(A83&gt;=12,Assumptions!$B$15,0))-Pricing_M!$B$13,Assumptions!$B$9/12*(1+Assumptions!$B$10)^INT(A83/12)+Assumptions!$B$12*(1+Assumptions!$B$11)^(INT(A83/12)+1)/12))*J83</f>
        <v>-641.380573101307</v>
      </c>
      <c r="V83" s="32" t="n">
        <f aca="false">V82*(1-F82)*(1-(1-(1-MIN(1,G82*(1-Assumptions!$B$23)))^(1/12)))</f>
        <v>0.904424227245579</v>
      </c>
      <c r="W83" s="47" t="n">
        <f aca="false">V83*(IF(C83&lt;Assumptions!$B$5,Assumptions!$B$12*(1+Assumptions!$B$11)^(INT(A83/12)+1)/12+Pricing_M!$B$13*IF(A83=0,Assumptions!$B$14*12,IF(A83&gt;=12,Assumptions!$B$15,0))-Pricing_M!$B$13,Assumptions!$B$9/12*(1+Assumptions!$B$10)^INT(A83/12)+Assumptions!$B$12*(1+Assumptions!$B$11)^(INT(A83/12)+1)/12))*J83</f>
        <v>-721.125335341104</v>
      </c>
      <c r="X83" s="47" t="n">
        <f aca="false">I83*(IF(C83&lt;Assumptions!$B$5,Assumptions!$B$12*(1+Assumptions!$B$11)*(1+Assumptions!$B$24)*(1+Assumptions!$B$11+Assumptions!$B$25)^(INT(A83/12))/12+Pricing_M!$B$13*IF(A83=0,Assumptions!$B$14*12,IF(A83&gt;=12,Assumptions!$B$15,0))-Pricing_M!$B$13,Assumptions!$B$9/12*(1+Assumptions!$B$10)^INT(A83/12)+Assumptions!$B$12*(1+Assumptions!$B$11)*(1+Assumptions!$B$24)*(1+Assumptions!$B$11+Assumptions!$B$25)^(INT(A83/12))/12))*J83</f>
        <v>-679.388401644495</v>
      </c>
    </row>
    <row r="84" customFormat="false" ht="15" hidden="false" customHeight="true" outlineLevel="0" collapsed="false">
      <c r="A84" s="1" t="n">
        <v>77</v>
      </c>
      <c r="B84" s="31" t="n">
        <f aca="false">Assumptions!$B$4+A84/12</f>
        <v>71.4166666666667</v>
      </c>
      <c r="C84" s="34" t="n">
        <f aca="false">Assumptions!$B$4+INT(A84/12)</f>
        <v>71</v>
      </c>
      <c r="D84" s="34" t="n">
        <f aca="false">INT(A84/12)+1</f>
        <v>7</v>
      </c>
      <c r="E84" s="32" t="n">
        <f aca="false">IFERROR(INDEX(Cohort_Survival!$G$5:$G$65,MATCH(C84,Cohort_Survival!$A$5:$A$65,0)),1)</f>
        <v>0.0093969211355016</v>
      </c>
      <c r="F84" s="30" t="n">
        <f aca="false">1-(1-MIN(1,E84))^(1/12)</f>
        <v>0.00078646979974295</v>
      </c>
      <c r="G84" s="39" t="n">
        <f aca="false">IF(C84&lt;Assumptions!$B$5,IF(D84=1,Assumptions!$B$16,IF(D84=2,Assumptions!$B$17,IF(D84&lt;=5,Assumptions!$B$18,Assumptions!$B$19)))*(1-Assumptions!$B$20),0)</f>
        <v>0.0091</v>
      </c>
      <c r="H84" s="30" t="n">
        <f aca="false">1-(1-G84)^(1/12)</f>
        <v>0.000761514726814627</v>
      </c>
      <c r="I84" s="30" t="n">
        <f aca="false">I83*(1-F83)*(1-H83)</f>
        <v>0.851945506229247</v>
      </c>
      <c r="J84" s="30" t="n">
        <f aca="false">INDEX(Discount_Monthly!$G$4:$G$664,MATCH(A84,Discount_Monthly!$A$4:$A$664,0))</f>
        <v>0.841493902566968</v>
      </c>
      <c r="K84" s="30" t="n">
        <f aca="false">IF(C84&lt;Assumptions!$B$5,I84*J84,0)</f>
        <v>0.71690694881124</v>
      </c>
      <c r="L84" s="30" t="n">
        <f aca="false">IF(C84&lt;Assumptions!$B$5,I84*(1-F84)*H84*A84*J84,0)</f>
        <v>0.0420039495051062</v>
      </c>
      <c r="M84" s="30" t="n">
        <f aca="false">IF(A84=0,Assumptions!$B$14*12*I84*J84,IF(AND(A84&gt;=12,C84&lt;Assumptions!$B$5),Assumptions!$B$15*I84*J84,0))</f>
        <v>0.035845347440562</v>
      </c>
      <c r="N84" s="47" t="n">
        <f aca="false">IF(C84&gt;=Assumptions!$B$5,I84*Assumptions!$B$9/12*(1+Assumptions!$B$10)^INT(A84/12)*J84,0)</f>
        <v>0</v>
      </c>
      <c r="O84" s="47" t="n">
        <f aca="false">I84*Assumptions!$B$12/12*(1+Assumptions!$B$11)^(INT(A84/12)+1)*J84</f>
        <v>5.68118051171778</v>
      </c>
      <c r="P84" s="47" t="n">
        <f aca="false">O84+Pricing_M!$B$13*M84+N84-Pricing_M!$B$13*K84</f>
        <v>-677.603368303255</v>
      </c>
      <c r="Q84" s="47" t="n">
        <f aca="false">IF(C84&lt;Assumptions!$B$5,Pricing_M!$B$13*K84-Pricing_M!$B$13*M84-O84,-(N84+O84))</f>
        <v>677.603368303255</v>
      </c>
      <c r="R84" s="32" t="n">
        <f aca="false">R83*(1-(1-(1-MIN(1,E83*(1-Assumptions!$B$21)))^(1/12)))*(1-H83)</f>
        <v>0.859450243809156</v>
      </c>
      <c r="S84" s="47" t="n">
        <f aca="false">R84*(IF(C84&lt;Assumptions!$B$5,Assumptions!$B$12*(1+Assumptions!$B$11)^(INT(A84/12)+1)/12+Pricing_M!$B$13*IF(A84=0,Assumptions!$B$14*12,IF(A84&gt;=12,Assumptions!$B$15,0))-Pricing_M!$B$13,Assumptions!$B$9/12*(1+Assumptions!$B$10)^INT(A84/12)+Assumptions!$B$12*(1+Assumptions!$B$11)^(INT(A84/12)+1)/12))*J84</f>
        <v>-683.572336300851</v>
      </c>
      <c r="T84" s="32" t="n">
        <f aca="false">T83*(1-F83)*(1-(1-(1-MIN(1,G83*(1+Assumptions!$B$23)))^(1/12)))</f>
        <v>0.802856870920893</v>
      </c>
      <c r="U84" s="47" t="n">
        <f aca="false">T84*(IF(C84&lt;Assumptions!$B$5,Assumptions!$B$12*(1+Assumptions!$B$11)^(INT(A84/12)+1)/12+Pricing_M!$B$13*IF(A84=0,Assumptions!$B$14*12,IF(A84&gt;=12,Assumptions!$B$15,0))-Pricing_M!$B$13,Assumptions!$B$9/12*(1+Assumptions!$B$10)^INT(A84/12)+Assumptions!$B$12*(1+Assumptions!$B$11)^(INT(A84/12)+1)/12))*J84</f>
        <v>-638.560231873587</v>
      </c>
      <c r="V84" s="32" t="n">
        <f aca="false">V83*(1-F83)*(1-(1-(1-MIN(1,G83*(1-Assumptions!$B$23)))^(1/12)))</f>
        <v>0.903369550418838</v>
      </c>
      <c r="W84" s="47" t="n">
        <f aca="false">V84*(IF(C84&lt;Assumptions!$B$5,Assumptions!$B$12*(1+Assumptions!$B$11)^(INT(A84/12)+1)/12+Pricing_M!$B$13*IF(A84=0,Assumptions!$B$14*12,IF(A84&gt;=12,Assumptions!$B$15,0))-Pricing_M!$B$13,Assumptions!$B$9/12*(1+Assumptions!$B$10)^INT(A84/12)+Assumptions!$B$12*(1+Assumptions!$B$11)^(INT(A84/12)+1)/12))*J84</f>
        <v>-718.503995514576</v>
      </c>
      <c r="X84" s="47" t="n">
        <f aca="false">I84*(IF(C84&lt;Assumptions!$B$5,Assumptions!$B$12*(1+Assumptions!$B$11)*(1+Assumptions!$B$24)*(1+Assumptions!$B$11+Assumptions!$B$25)^(INT(A84/12))/12+Pricing_M!$B$13*IF(A84=0,Assumptions!$B$14*12,IF(A84&gt;=12,Assumptions!$B$15,0))-Pricing_M!$B$13,Assumptions!$B$9/12*(1+Assumptions!$B$10)^INT(A84/12)+Assumptions!$B$12*(1+Assumptions!$B$11)*(1+Assumptions!$B$24)*(1+Assumptions!$B$11+Assumptions!$B$25)^(INT(A84/12))/12))*J84</f>
        <v>-676.66039848032</v>
      </c>
    </row>
    <row r="85" customFormat="false" ht="15" hidden="false" customHeight="true" outlineLevel="0" collapsed="false">
      <c r="A85" s="1" t="n">
        <v>78</v>
      </c>
      <c r="B85" s="31" t="n">
        <f aca="false">Assumptions!$B$4+A85/12</f>
        <v>71.5</v>
      </c>
      <c r="C85" s="34" t="n">
        <f aca="false">Assumptions!$B$4+INT(A85/12)</f>
        <v>71</v>
      </c>
      <c r="D85" s="34" t="n">
        <f aca="false">INT(A85/12)+1</f>
        <v>7</v>
      </c>
      <c r="E85" s="32" t="n">
        <f aca="false">IFERROR(INDEX(Cohort_Survival!$G$5:$G$65,MATCH(C85,Cohort_Survival!$A$5:$A$65,0)),1)</f>
        <v>0.0093969211355016</v>
      </c>
      <c r="F85" s="30" t="n">
        <f aca="false">1-(1-MIN(1,E85))^(1/12)</f>
        <v>0.00078646979974295</v>
      </c>
      <c r="G85" s="39" t="n">
        <f aca="false">IF(C85&lt;Assumptions!$B$5,IF(D85=1,Assumptions!$B$16,IF(D85=2,Assumptions!$B$17,IF(D85&lt;=5,Assumptions!$B$18,Assumptions!$B$19)))*(1-Assumptions!$B$20),0)</f>
        <v>0.0091</v>
      </c>
      <c r="H85" s="30" t="n">
        <f aca="false">1-(1-G85)^(1/12)</f>
        <v>0.000761514726814627</v>
      </c>
      <c r="I85" s="30" t="n">
        <f aca="false">I84*(1-F84)*(1-H84)</f>
        <v>0.850627218005398</v>
      </c>
      <c r="J85" s="30" t="n">
        <f aca="false">INDEX(Discount_Monthly!$G$4:$G$664,MATCH(A85,Discount_Monthly!$A$4:$A$664,0))</f>
        <v>0.839413881049203</v>
      </c>
      <c r="K85" s="30" t="n">
        <f aca="false">IF(C85&lt;Assumptions!$B$5,I85*J85,0)</f>
        <v>0.714028294391997</v>
      </c>
      <c r="L85" s="30" t="n">
        <f aca="false">IF(C85&lt;Assumptions!$B$5,I85*(1-F85)*H85*A85*J85,0)</f>
        <v>0.0423786030755189</v>
      </c>
      <c r="M85" s="30" t="n">
        <f aca="false">IF(A85=0,Assumptions!$B$14*12*I85*J85,IF(AND(A85&gt;=12,C85&lt;Assumptions!$B$5),Assumptions!$B$15*I85*J85,0))</f>
        <v>0.0357014147195999</v>
      </c>
      <c r="N85" s="47" t="n">
        <f aca="false">IF(C85&gt;=Assumptions!$B$5,I85*Assumptions!$B$9/12*(1+Assumptions!$B$10)^INT(A85/12)*J85,0)</f>
        <v>0</v>
      </c>
      <c r="O85" s="47" t="n">
        <f aca="false">I85*Assumptions!$B$12/12*(1+Assumptions!$B$11)^(INT(A85/12)+1)*J85</f>
        <v>5.65836840839853</v>
      </c>
      <c r="P85" s="47" t="n">
        <f aca="false">O85+Pricing_M!$B$13*M85+N85-Pricing_M!$B$13*K85</f>
        <v>-674.88253272774</v>
      </c>
      <c r="Q85" s="47" t="n">
        <f aca="false">IF(C85&lt;Assumptions!$B$5,Pricing_M!$B$13*K85-Pricing_M!$B$13*M85-O85,-(N85+O85))</f>
        <v>674.88253272774</v>
      </c>
      <c r="R85" s="32" t="n">
        <f aca="false">R84*(1-(1-(1-MIN(1,E84*(1-Assumptions!$B$21)))^(1/12)))*(1-H84)</f>
        <v>0.858255894729985</v>
      </c>
      <c r="S85" s="47" t="n">
        <f aca="false">R85*(IF(C85&lt;Assumptions!$B$5,Assumptions!$B$12*(1+Assumptions!$B$11)^(INT(A85/12)+1)/12+Pricing_M!$B$13*IF(A85=0,Assumptions!$B$14*12,IF(A85&gt;=12,Assumptions!$B$15,0))-Pricing_M!$B$13,Assumptions!$B$9/12*(1+Assumptions!$B$10)^INT(A85/12)+Assumptions!$B$12*(1+Assumptions!$B$11)^(INT(A85/12)+1)/12))*J85</f>
        <v>-680.935079084442</v>
      </c>
      <c r="T85" s="32" t="n">
        <f aca="false">T84*(1-F84)*(1-(1-(1-MIN(1,G84*(1+Assumptions!$B$23)))^(1/12)))</f>
        <v>0.801307157477805</v>
      </c>
      <c r="U85" s="47" t="n">
        <f aca="false">T85*(IF(C85&lt;Assumptions!$B$5,Assumptions!$B$12*(1+Assumptions!$B$11)^(INT(A85/12)+1)/12+Pricing_M!$B$13*IF(A85=0,Assumptions!$B$14*12,IF(A85&gt;=12,Assumptions!$B$15,0))-Pricing_M!$B$13,Assumptions!$B$9/12*(1+Assumptions!$B$10)^INT(A85/12)+Assumptions!$B$12*(1+Assumptions!$B$11)^(INT(A85/12)+1)/12))*J85</f>
        <v>-635.752292525461</v>
      </c>
      <c r="V85" s="32" t="n">
        <f aca="false">V84*(1-F84)*(1-(1-(1-MIN(1,G84*(1-Assumptions!$B$23)))^(1/12)))</f>
        <v>0.902316103483088</v>
      </c>
      <c r="W85" s="47" t="n">
        <f aca="false">V85*(IF(C85&lt;Assumptions!$B$5,Assumptions!$B$12*(1+Assumptions!$B$11)^(INT(A85/12)+1)/12+Pricing_M!$B$13*IF(A85=0,Assumptions!$B$14*12,IF(A85&gt;=12,Assumptions!$B$15,0))-Pricing_M!$B$13,Assumptions!$B$9/12*(1+Assumptions!$B$10)^INT(A85/12)+Assumptions!$B$12*(1+Assumptions!$B$11)^(INT(A85/12)+1)/12))*J85</f>
        <v>-715.892184437282</v>
      </c>
      <c r="X85" s="47" t="n">
        <f aca="false">I85*(IF(C85&lt;Assumptions!$B$5,Assumptions!$B$12*(1+Assumptions!$B$11)*(1+Assumptions!$B$24)*(1+Assumptions!$B$11+Assumptions!$B$25)^(INT(A85/12))/12+Pricing_M!$B$13*IF(A85=0,Assumptions!$B$14*12,IF(A85&gt;=12,Assumptions!$B$15,0))-Pricing_M!$B$13,Assumptions!$B$9/12*(1+Assumptions!$B$10)^INT(A85/12)+Assumptions!$B$12*(1+Assumptions!$B$11)*(1+Assumptions!$B$24)*(1+Assumptions!$B$11+Assumptions!$B$25)^(INT(A85/12))/12))*J85</f>
        <v>-673.943349287756</v>
      </c>
    </row>
    <row r="86" customFormat="false" ht="15" hidden="false" customHeight="true" outlineLevel="0" collapsed="false">
      <c r="A86" s="1" t="n">
        <v>79</v>
      </c>
      <c r="B86" s="31" t="n">
        <f aca="false">Assumptions!$B$4+A86/12</f>
        <v>71.5833333333333</v>
      </c>
      <c r="C86" s="34" t="n">
        <f aca="false">Assumptions!$B$4+INT(A86/12)</f>
        <v>71</v>
      </c>
      <c r="D86" s="34" t="n">
        <f aca="false">INT(A86/12)+1</f>
        <v>7</v>
      </c>
      <c r="E86" s="32" t="n">
        <f aca="false">IFERROR(INDEX(Cohort_Survival!$G$5:$G$65,MATCH(C86,Cohort_Survival!$A$5:$A$65,0)),1)</f>
        <v>0.0093969211355016</v>
      </c>
      <c r="F86" s="30" t="n">
        <f aca="false">1-(1-MIN(1,E86))^(1/12)</f>
        <v>0.00078646979974295</v>
      </c>
      <c r="G86" s="39" t="n">
        <f aca="false">IF(C86&lt;Assumptions!$B$5,IF(D86=1,Assumptions!$B$16,IF(D86=2,Assumptions!$B$17,IF(D86&lt;=5,Assumptions!$B$18,Assumptions!$B$19)))*(1-Assumptions!$B$20),0)</f>
        <v>0.0091</v>
      </c>
      <c r="H86" s="30" t="n">
        <f aca="false">1-(1-G86)^(1/12)</f>
        <v>0.000761514726814627</v>
      </c>
      <c r="I86" s="30" t="n">
        <f aca="false">I85*(1-F85)*(1-H85)</f>
        <v>0.849310969681787</v>
      </c>
      <c r="J86" s="30" t="n">
        <f aca="false">INDEX(Discount_Monthly!$G$4:$G$664,MATCH(A86,Discount_Monthly!$A$4:$A$664,0))</f>
        <v>0.837339000970373</v>
      </c>
      <c r="K86" s="30" t="n">
        <f aca="false">IF(C86&lt;Assumptions!$B$5,I86*J86,0)</f>
        <v>0.711161198866527</v>
      </c>
      <c r="L86" s="30" t="n">
        <f aca="false">IF(C86&lt;Assumptions!$B$5,I86*(1-F86)*H86*A86*J86,0)</f>
        <v>0.0427495706508285</v>
      </c>
      <c r="M86" s="30" t="n">
        <f aca="false">IF(A86=0,Assumptions!$B$14*12*I86*J86,IF(AND(A86&gt;=12,C86&lt;Assumptions!$B$5),Assumptions!$B$15*I86*J86,0))</f>
        <v>0.0355580599433263</v>
      </c>
      <c r="N86" s="47" t="n">
        <f aca="false">IF(C86&gt;=Assumptions!$B$5,I86*Assumptions!$B$9/12*(1+Assumptions!$B$10)^INT(A86/12)*J86,0)</f>
        <v>0</v>
      </c>
      <c r="O86" s="47" t="n">
        <f aca="false">I86*Assumptions!$B$12/12*(1+Assumptions!$B$11)^(INT(A86/12)+1)*J86</f>
        <v>5.63564790436164</v>
      </c>
      <c r="P86" s="47" t="n">
        <f aca="false">O86+Pricing_M!$B$13*M86+N86-Pricing_M!$B$13*K86</f>
        <v>-672.172622343236</v>
      </c>
      <c r="Q86" s="47" t="n">
        <f aca="false">IF(C86&lt;Assumptions!$B$5,Pricing_M!$B$13*K86-Pricing_M!$B$13*M86-O86,-(N86+O86))</f>
        <v>672.172622343236</v>
      </c>
      <c r="R86" s="32" t="n">
        <f aca="false">R85*(1-(1-(1-MIN(1,E85*(1-Assumptions!$B$21)))^(1/12)))*(1-H85)</f>
        <v>0.857063205397534</v>
      </c>
      <c r="S86" s="47" t="n">
        <f aca="false">R86*(IF(C86&lt;Assumptions!$B$5,Assumptions!$B$12*(1+Assumptions!$B$11)^(INT(A86/12)+1)/12+Pricing_M!$B$13*IF(A86=0,Assumptions!$B$14*12,IF(A86&gt;=12,Assumptions!$B$15,0))-Pricing_M!$B$13,Assumptions!$B$9/12*(1+Assumptions!$B$10)^INT(A86/12)+Assumptions!$B$12*(1+Assumptions!$B$11)^(INT(A86/12)+1)/12))*J86</f>
        <v>-678.307996541957</v>
      </c>
      <c r="T86" s="32" t="n">
        <f aca="false">T85*(1-F85)*(1-(1-(1-MIN(1,G85*(1+Assumptions!$B$23)))^(1/12)))</f>
        <v>0.799760435367099</v>
      </c>
      <c r="U86" s="47" t="n">
        <f aca="false">T86*(IF(C86&lt;Assumptions!$B$5,Assumptions!$B$12*(1+Assumptions!$B$11)^(INT(A86/12)+1)/12+Pricing_M!$B$13*IF(A86=0,Assumptions!$B$14*12,IF(A86&gt;=12,Assumptions!$B$15,0))-Pricing_M!$B$13,Assumptions!$B$9/12*(1+Assumptions!$B$10)^INT(A86/12)+Assumptions!$B$12*(1+Assumptions!$B$11)^(INT(A86/12)+1)/12))*J86</f>
        <v>-632.956700522173</v>
      </c>
      <c r="V86" s="32" t="n">
        <f aca="false">V85*(1-F85)*(1-(1-(1-MIN(1,G85*(1-Assumptions!$B$23)))^(1/12)))</f>
        <v>0.901263885004115</v>
      </c>
      <c r="W86" s="47" t="n">
        <f aca="false">V86*(IF(C86&lt;Assumptions!$B$5,Assumptions!$B$12*(1+Assumptions!$B$11)^(INT(A86/12)+1)/12+Pricing_M!$B$13*IF(A86=0,Assumptions!$B$14*12,IF(A86&gt;=12,Assumptions!$B$15,0))-Pricing_M!$B$13,Assumptions!$B$9/12*(1+Assumptions!$B$10)^INT(A86/12)+Assumptions!$B$12*(1+Assumptions!$B$11)^(INT(A86/12)+1)/12))*J86</f>
        <v>-713.289867471566</v>
      </c>
      <c r="X86" s="47" t="n">
        <f aca="false">I86*(IF(C86&lt;Assumptions!$B$5,Assumptions!$B$12*(1+Assumptions!$B$11)*(1+Assumptions!$B$24)*(1+Assumptions!$B$11+Assumptions!$B$25)^(INT(A86/12))/12+Pricing_M!$B$13*IF(A86=0,Assumptions!$B$14*12,IF(A86&gt;=12,Assumptions!$B$15,0))-Pricing_M!$B$13,Assumptions!$B$9/12*(1+Assumptions!$B$10)^INT(A86/12)+Assumptions!$B$12*(1+Assumptions!$B$11)*(1+Assumptions!$B$24)*(1+Assumptions!$B$11+Assumptions!$B$25)^(INT(A86/12))/12))*J86</f>
        <v>-671.237210082433</v>
      </c>
    </row>
    <row r="87" customFormat="false" ht="15" hidden="false" customHeight="true" outlineLevel="0" collapsed="false">
      <c r="A87" s="1" t="n">
        <v>80</v>
      </c>
      <c r="B87" s="31" t="n">
        <f aca="false">Assumptions!$B$4+A87/12</f>
        <v>71.6666666666667</v>
      </c>
      <c r="C87" s="34" t="n">
        <f aca="false">Assumptions!$B$4+INT(A87/12)</f>
        <v>71</v>
      </c>
      <c r="D87" s="34" t="n">
        <f aca="false">INT(A87/12)+1</f>
        <v>7</v>
      </c>
      <c r="E87" s="32" t="n">
        <f aca="false">IFERROR(INDEX(Cohort_Survival!$G$5:$G$65,MATCH(C87,Cohort_Survival!$A$5:$A$65,0)),1)</f>
        <v>0.0093969211355016</v>
      </c>
      <c r="F87" s="30" t="n">
        <f aca="false">1-(1-MIN(1,E87))^(1/12)</f>
        <v>0.00078646979974295</v>
      </c>
      <c r="G87" s="39" t="n">
        <f aca="false">IF(C87&lt;Assumptions!$B$5,IF(D87=1,Assumptions!$B$16,IF(D87=2,Assumptions!$B$17,IF(D87&lt;=5,Assumptions!$B$18,Assumptions!$B$19)))*(1-Assumptions!$B$20),0)</f>
        <v>0.0091</v>
      </c>
      <c r="H87" s="30" t="n">
        <f aca="false">1-(1-G87)^(1/12)</f>
        <v>0.000761514726814627</v>
      </c>
      <c r="I87" s="30" t="n">
        <f aca="false">I86*(1-F86)*(1-H86)</f>
        <v>0.847996758101903</v>
      </c>
      <c r="J87" s="30" t="n">
        <f aca="false">INDEX(Discount_Monthly!$G$4:$G$664,MATCH(A87,Discount_Monthly!$A$4:$A$664,0))</f>
        <v>0.835269249621766</v>
      </c>
      <c r="K87" s="30" t="n">
        <f aca="false">IF(C87&lt;Assumptions!$B$5,I87*J87,0)</f>
        <v>0.708305615821467</v>
      </c>
      <c r="L87" s="30" t="n">
        <f aca="false">IF(C87&lt;Assumptions!$B$5,I87*(1-F87)*H87*A87*J87,0)</f>
        <v>0.0431168757917377</v>
      </c>
      <c r="M87" s="30" t="n">
        <f aca="false">IF(A87=0,Assumptions!$B$14*12*I87*J87,IF(AND(A87&gt;=12,C87&lt;Assumptions!$B$5),Assumptions!$B$15*I87*J87,0))</f>
        <v>0.0354152807910733</v>
      </c>
      <c r="N87" s="47" t="n">
        <f aca="false">IF(C87&gt;=Assumptions!$B$5,I87*Assumptions!$B$9/12*(1+Assumptions!$B$10)^INT(A87/12)*J87,0)</f>
        <v>0</v>
      </c>
      <c r="O87" s="47" t="n">
        <f aca="false">I87*Assumptions!$B$12/12*(1+Assumptions!$B$11)^(INT(A87/12)+1)*J87</f>
        <v>5.61301863180112</v>
      </c>
      <c r="P87" s="47" t="n">
        <f aca="false">O87+Pricing_M!$B$13*M87+N87-Pricing_M!$B$13*K87</f>
        <v>-669.473593280942</v>
      </c>
      <c r="Q87" s="47" t="n">
        <f aca="false">IF(C87&lt;Assumptions!$B$5,Pricing_M!$B$13*K87-Pricing_M!$B$13*M87-O87,-(N87+O87))</f>
        <v>669.473593280942</v>
      </c>
      <c r="R87" s="32" t="n">
        <f aca="false">R86*(1-(1-(1-MIN(1,E86*(1-Assumptions!$B$21)))^(1/12)))*(1-H86)</f>
        <v>0.855872173505309</v>
      </c>
      <c r="S87" s="47" t="n">
        <f aca="false">R87*(IF(C87&lt;Assumptions!$B$5,Assumptions!$B$12*(1+Assumptions!$B$11)^(INT(A87/12)+1)/12+Pricing_M!$B$13*IF(A87=0,Assumptions!$B$14*12,IF(A87&gt;=12,Assumptions!$B$15,0))-Pricing_M!$B$13,Assumptions!$B$9/12*(1+Assumptions!$B$10)^INT(A87/12)+Assumptions!$B$12*(1+Assumptions!$B$11)^(INT(A87/12)+1)/12))*J87</f>
        <v>-675.691049418982</v>
      </c>
      <c r="T87" s="32" t="n">
        <f aca="false">T86*(1-F86)*(1-(1-(1-MIN(1,G86*(1+Assumptions!$B$23)))^(1/12)))</f>
        <v>0.798216698814758</v>
      </c>
      <c r="U87" s="47" t="n">
        <f aca="false">T87*(IF(C87&lt;Assumptions!$B$5,Assumptions!$B$12*(1+Assumptions!$B$11)^(INT(A87/12)+1)/12+Pricing_M!$B$13*IF(A87=0,Assumptions!$B$14*12,IF(A87&gt;=12,Assumptions!$B$15,0))-Pricing_M!$B$13,Assumptions!$B$9/12*(1+Assumptions!$B$10)^INT(A87/12)+Assumptions!$B$12*(1+Assumptions!$B$11)^(INT(A87/12)+1)/12))*J87</f>
        <v>-630.173401568773</v>
      </c>
      <c r="V87" s="32" t="n">
        <f aca="false">V86*(1-F86)*(1-(1-(1-MIN(1,G86*(1-Assumptions!$B$23)))^(1/12)))</f>
        <v>0.900212893549378</v>
      </c>
      <c r="W87" s="47" t="n">
        <f aca="false">V87*(IF(C87&lt;Assumptions!$B$5,Assumptions!$B$12*(1+Assumptions!$B$11)^(INT(A87/12)+1)/12+Pricing_M!$B$13*IF(A87=0,Assumptions!$B$14*12,IF(A87&gt;=12,Assumptions!$B$15,0))-Pricing_M!$B$13,Assumptions!$B$9/12*(1+Assumptions!$B$10)^INT(A87/12)+Assumptions!$B$12*(1+Assumptions!$B$11)^(INT(A87/12)+1)/12))*J87</f>
        <v>-710.697010105686</v>
      </c>
      <c r="X87" s="47" t="n">
        <f aca="false">I87*(IF(C87&lt;Assumptions!$B$5,Assumptions!$B$12*(1+Assumptions!$B$11)*(1+Assumptions!$B$24)*(1+Assumptions!$B$11+Assumptions!$B$25)^(INT(A87/12))/12+Pricing_M!$B$13*IF(A87=0,Assumptions!$B$14*12,IF(A87&gt;=12,Assumptions!$B$15,0))-Pricing_M!$B$13,Assumptions!$B$9/12*(1+Assumptions!$B$10)^INT(A87/12)+Assumptions!$B$12*(1+Assumptions!$B$11)*(1+Assumptions!$B$24)*(1+Assumptions!$B$11+Assumptions!$B$25)^(INT(A87/12))/12))*J87</f>
        <v>-668.541937056599</v>
      </c>
    </row>
    <row r="88" customFormat="false" ht="15" hidden="false" customHeight="true" outlineLevel="0" collapsed="false">
      <c r="A88" s="1" t="n">
        <v>81</v>
      </c>
      <c r="B88" s="31" t="n">
        <f aca="false">Assumptions!$B$4+A88/12</f>
        <v>71.75</v>
      </c>
      <c r="C88" s="34" t="n">
        <f aca="false">Assumptions!$B$4+INT(A88/12)</f>
        <v>71</v>
      </c>
      <c r="D88" s="34" t="n">
        <f aca="false">INT(A88/12)+1</f>
        <v>7</v>
      </c>
      <c r="E88" s="32" t="n">
        <f aca="false">IFERROR(INDEX(Cohort_Survival!$G$5:$G$65,MATCH(C88,Cohort_Survival!$A$5:$A$65,0)),1)</f>
        <v>0.0093969211355016</v>
      </c>
      <c r="F88" s="30" t="n">
        <f aca="false">1-(1-MIN(1,E88))^(1/12)</f>
        <v>0.00078646979974295</v>
      </c>
      <c r="G88" s="39" t="n">
        <f aca="false">IF(C88&lt;Assumptions!$B$5,IF(D88=1,Assumptions!$B$16,IF(D88=2,Assumptions!$B$17,IF(D88&lt;=5,Assumptions!$B$18,Assumptions!$B$19)))*(1-Assumptions!$B$20),0)</f>
        <v>0.0091</v>
      </c>
      <c r="H88" s="30" t="n">
        <f aca="false">1-(1-G88)^(1/12)</f>
        <v>0.000761514726814627</v>
      </c>
      <c r="I88" s="30" t="n">
        <f aca="false">I87*(1-F87)*(1-H87)</f>
        <v>0.846684580114116</v>
      </c>
      <c r="J88" s="30" t="n">
        <f aca="false">INDEX(Discount_Monthly!$G$4:$G$664,MATCH(A88,Discount_Monthly!$A$4:$A$664,0))</f>
        <v>0.833204614326085</v>
      </c>
      <c r="K88" s="30" t="n">
        <f aca="false">IF(C88&lt;Assumptions!$B$5,I88*J88,0)</f>
        <v>0.705461499029825</v>
      </c>
      <c r="L88" s="30" t="n">
        <f aca="false">IF(C88&lt;Assumptions!$B$5,I88*(1-F88)*H88*A88*J88,0)</f>
        <v>0.0434805419291689</v>
      </c>
      <c r="M88" s="30" t="n">
        <f aca="false">IF(A88=0,Assumptions!$B$14*12*I88*J88,IF(AND(A88&gt;=12,C88&lt;Assumptions!$B$5),Assumptions!$B$15*I88*J88,0))</f>
        <v>0.0352730749514913</v>
      </c>
      <c r="N88" s="47" t="n">
        <f aca="false">IF(C88&gt;=Assumptions!$B$5,I88*Assumptions!$B$9/12*(1+Assumptions!$B$10)^INT(A88/12)*J88,0)</f>
        <v>0</v>
      </c>
      <c r="O88" s="47" t="n">
        <f aca="false">I88*Assumptions!$B$12/12*(1+Assumptions!$B$11)^(INT(A88/12)+1)*J88</f>
        <v>5.59048022438783</v>
      </c>
      <c r="P88" s="47" t="n">
        <f aca="false">O88+Pricing_M!$B$13*M88+N88-Pricing_M!$B$13*K88</f>
        <v>-666.785401848205</v>
      </c>
      <c r="Q88" s="47" t="n">
        <f aca="false">IF(C88&lt;Assumptions!$B$5,Pricing_M!$B$13*K88-Pricing_M!$B$13*M88-O88,-(N88+O88))</f>
        <v>666.785401848205</v>
      </c>
      <c r="R88" s="32" t="n">
        <f aca="false">R87*(1-(1-(1-MIN(1,E87*(1-Assumptions!$B$21)))^(1/12)))*(1-H87)</f>
        <v>0.85468279675002</v>
      </c>
      <c r="S88" s="47" t="n">
        <f aca="false">R88*(IF(C88&lt;Assumptions!$B$5,Assumptions!$B$12*(1+Assumptions!$B$11)^(INT(A88/12)+1)/12+Pricing_M!$B$13*IF(A88=0,Assumptions!$B$14*12,IF(A88&gt;=12,Assumptions!$B$15,0))-Pricing_M!$B$13,Assumptions!$B$9/12*(1+Assumptions!$B$10)^INT(A88/12)+Assumptions!$B$12*(1+Assumptions!$B$11)^(INT(A88/12)+1)/12))*J88</f>
        <v>-673.084198612546</v>
      </c>
      <c r="T88" s="32" t="n">
        <f aca="false">T87*(1-F87)*(1-(1-(1-MIN(1,G87*(1+Assumptions!$B$23)))^(1/12)))</f>
        <v>0.796675942057914</v>
      </c>
      <c r="U88" s="47" t="n">
        <f aca="false">T88*(IF(C88&lt;Assumptions!$B$5,Assumptions!$B$12*(1+Assumptions!$B$11)^(INT(A88/12)+1)/12+Pricing_M!$B$13*IF(A88=0,Assumptions!$B$14*12,IF(A88&gt;=12,Assumptions!$B$15,0))-Pricing_M!$B$13,Assumptions!$B$9/12*(1+Assumptions!$B$10)^INT(A88/12)+Assumptions!$B$12*(1+Assumptions!$B$11)^(INT(A88/12)+1)/12))*J88</f>
        <v>-627.402341609063</v>
      </c>
      <c r="V88" s="32" t="n">
        <f aca="false">V87*(1-F87)*(1-(1-(1-MIN(1,G87*(1-Assumptions!$B$23)))^(1/12)))</f>
        <v>0.899163127688007</v>
      </c>
      <c r="W88" s="47" t="n">
        <f aca="false">V88*(IF(C88&lt;Assumptions!$B$5,Assumptions!$B$12*(1+Assumptions!$B$11)^(INT(A88/12)+1)/12+Pricing_M!$B$13*IF(A88=0,Assumptions!$B$14*12,IF(A88&gt;=12,Assumptions!$B$15,0))-Pricing_M!$B$13,Assumptions!$B$9/12*(1+Assumptions!$B$10)^INT(A88/12)+Assumptions!$B$12*(1+Assumptions!$B$11)^(INT(A88/12)+1)/12))*J88</f>
        <v>-708.113577953349</v>
      </c>
      <c r="X88" s="47" t="n">
        <f aca="false">I88*(IF(C88&lt;Assumptions!$B$5,Assumptions!$B$12*(1+Assumptions!$B$11)*(1+Assumptions!$B$24)*(1+Assumptions!$B$11+Assumptions!$B$25)^(INT(A88/12))/12+Pricing_M!$B$13*IF(A88=0,Assumptions!$B$14*12,IF(A88&gt;=12,Assumptions!$B$15,0))-Pricing_M!$B$13,Assumptions!$B$9/12*(1+Assumptions!$B$10)^INT(A88/12)+Assumptions!$B$12*(1+Assumptions!$B$11)*(1+Assumptions!$B$24)*(1+Assumptions!$B$11+Assumptions!$B$25)^(INT(A88/12))/12))*J88</f>
        <v>-665.857486578405</v>
      </c>
    </row>
    <row r="89" customFormat="false" ht="15" hidden="false" customHeight="true" outlineLevel="0" collapsed="false">
      <c r="A89" s="1" t="n">
        <v>82</v>
      </c>
      <c r="B89" s="31" t="n">
        <f aca="false">Assumptions!$B$4+A89/12</f>
        <v>71.8333333333333</v>
      </c>
      <c r="C89" s="34" t="n">
        <f aca="false">Assumptions!$B$4+INT(A89/12)</f>
        <v>71</v>
      </c>
      <c r="D89" s="34" t="n">
        <f aca="false">INT(A89/12)+1</f>
        <v>7</v>
      </c>
      <c r="E89" s="32" t="n">
        <f aca="false">IFERROR(INDEX(Cohort_Survival!$G$5:$G$65,MATCH(C89,Cohort_Survival!$A$5:$A$65,0)),1)</f>
        <v>0.0093969211355016</v>
      </c>
      <c r="F89" s="30" t="n">
        <f aca="false">1-(1-MIN(1,E89))^(1/12)</f>
        <v>0.00078646979974295</v>
      </c>
      <c r="G89" s="39" t="n">
        <f aca="false">IF(C89&lt;Assumptions!$B$5,IF(D89=1,Assumptions!$B$16,IF(D89=2,Assumptions!$B$17,IF(D89&lt;=5,Assumptions!$B$18,Assumptions!$B$19)))*(1-Assumptions!$B$20),0)</f>
        <v>0.0091</v>
      </c>
      <c r="H89" s="30" t="n">
        <f aca="false">1-(1-G89)^(1/12)</f>
        <v>0.000761514726814627</v>
      </c>
      <c r="I89" s="30" t="n">
        <f aca="false">I88*(1-F88)*(1-H88)</f>
        <v>0.845374432571677</v>
      </c>
      <c r="J89" s="30" t="n">
        <f aca="false">INDEX(Discount_Monthly!$G$4:$G$664,MATCH(A89,Discount_Monthly!$A$4:$A$664,0))</f>
        <v>0.831145082437366</v>
      </c>
      <c r="K89" s="30" t="n">
        <f aca="false">IF(C89&lt;Assumptions!$B$5,I89*J89,0)</f>
        <v>0.702628802450227</v>
      </c>
      <c r="L89" s="30" t="n">
        <f aca="false">IF(C89&lt;Assumptions!$B$5,I89*(1-F89)*H89*A89*J89,0)</f>
        <v>0.0438405923649269</v>
      </c>
      <c r="M89" s="30" t="n">
        <f aca="false">IF(A89=0,Assumptions!$B$14*12*I89*J89,IF(AND(A89&gt;=12,C89&lt;Assumptions!$B$5),Assumptions!$B$15*I89*J89,0))</f>
        <v>0.0351314401225114</v>
      </c>
      <c r="N89" s="47" t="n">
        <f aca="false">IF(C89&gt;=Assumptions!$B$5,I89*Assumptions!$B$9/12*(1+Assumptions!$B$10)^INT(A89/12)*J89,0)</f>
        <v>0</v>
      </c>
      <c r="O89" s="47" t="n">
        <f aca="false">I89*Assumptions!$B$12/12*(1+Assumptions!$B$11)^(INT(A89/12)+1)*J89</f>
        <v>5.56803231726361</v>
      </c>
      <c r="P89" s="47" t="n">
        <f aca="false">O89+Pricing_M!$B$13*M89+N89-Pricing_M!$B$13*K89</f>
        <v>-664.108004527814</v>
      </c>
      <c r="Q89" s="47" t="n">
        <f aca="false">IF(C89&lt;Assumptions!$B$5,Pricing_M!$B$13*K89-Pricing_M!$B$13*M89-O89,-(N89+O89))</f>
        <v>664.108004527814</v>
      </c>
      <c r="R89" s="32" t="n">
        <f aca="false">R88*(1-(1-(1-MIN(1,E88*(1-Assumptions!$B$21)))^(1/12)))*(1-H88)</f>
        <v>0.85349507283158</v>
      </c>
      <c r="S89" s="47" t="n">
        <f aca="false">R89*(IF(C89&lt;Assumptions!$B$5,Assumptions!$B$12*(1+Assumptions!$B$11)^(INT(A89/12)+1)/12+Pricing_M!$B$13*IF(A89=0,Assumptions!$B$14*12,IF(A89&gt;=12,Assumptions!$B$15,0))-Pricing_M!$B$13,Assumptions!$B$9/12*(1+Assumptions!$B$10)^INT(A89/12)+Assumptions!$B$12*(1+Assumptions!$B$11)^(INT(A89/12)+1)/12))*J89</f>
        <v>-670.487405170541</v>
      </c>
      <c r="T89" s="32" t="n">
        <f aca="false">T88*(1-F88)*(1-(1-(1-MIN(1,G88*(1+Assumptions!$B$23)))^(1/12)))</f>
        <v>0.795138159344818</v>
      </c>
      <c r="U89" s="47" t="n">
        <f aca="false">T89*(IF(C89&lt;Assumptions!$B$5,Assumptions!$B$12*(1+Assumptions!$B$11)^(INT(A89/12)+1)/12+Pricing_M!$B$13*IF(A89=0,Assumptions!$B$14*12,IF(A89&gt;=12,Assumptions!$B$15,0))-Pricing_M!$B$13,Assumptions!$B$9/12*(1+Assumptions!$B$10)^INT(A89/12)+Assumptions!$B$12*(1+Assumptions!$B$11)^(INT(A89/12)+1)/12))*J89</f>
        <v>-624.643466824547</v>
      </c>
      <c r="V89" s="32" t="n">
        <f aca="false">V88*(1-F88)*(1-(1-(1-MIN(1,G88*(1-Assumptions!$B$23)))^(1/12)))</f>
        <v>0.898114585990799</v>
      </c>
      <c r="W89" s="47" t="n">
        <f aca="false">V89*(IF(C89&lt;Assumptions!$B$5,Assumptions!$B$12*(1+Assumptions!$B$11)^(INT(A89/12)+1)/12+Pricing_M!$B$13*IF(A89=0,Assumptions!$B$14*12,IF(A89&gt;=12,Assumptions!$B$15,0))-Pricing_M!$B$13,Assumptions!$B$9/12*(1+Assumptions!$B$10)^INT(A89/12)+Assumptions!$B$12*(1+Assumptions!$B$11)^(INT(A89/12)+1)/12))*J89</f>
        <v>-705.539536753263</v>
      </c>
      <c r="X89" s="47" t="n">
        <f aca="false">I89*(IF(C89&lt;Assumptions!$B$5,Assumptions!$B$12*(1+Assumptions!$B$11)*(1+Assumptions!$B$24)*(1+Assumptions!$B$11+Assumptions!$B$25)^(INT(A89/12))/12+Pricing_M!$B$13*IF(A89=0,Assumptions!$B$14*12,IF(A89&gt;=12,Assumptions!$B$15,0))-Pricing_M!$B$13,Assumptions!$B$9/12*(1+Assumptions!$B$10)^INT(A89/12)+Assumptions!$B$12*(1+Assumptions!$B$11)*(1+Assumptions!$B$24)*(1+Assumptions!$B$11+Assumptions!$B$25)^(INT(A89/12))/12))*J89</f>
        <v>-663.183815191201</v>
      </c>
    </row>
    <row r="90" customFormat="false" ht="15" hidden="false" customHeight="true" outlineLevel="0" collapsed="false">
      <c r="A90" s="1" t="n">
        <v>83</v>
      </c>
      <c r="B90" s="31" t="n">
        <f aca="false">Assumptions!$B$4+A90/12</f>
        <v>71.9166666666667</v>
      </c>
      <c r="C90" s="34" t="n">
        <f aca="false">Assumptions!$B$4+INT(A90/12)</f>
        <v>71</v>
      </c>
      <c r="D90" s="34" t="n">
        <f aca="false">INT(A90/12)+1</f>
        <v>7</v>
      </c>
      <c r="E90" s="32" t="n">
        <f aca="false">IFERROR(INDEX(Cohort_Survival!$G$5:$G$65,MATCH(C90,Cohort_Survival!$A$5:$A$65,0)),1)</f>
        <v>0.0093969211355016</v>
      </c>
      <c r="F90" s="30" t="n">
        <f aca="false">1-(1-MIN(1,E90))^(1/12)</f>
        <v>0.00078646979974295</v>
      </c>
      <c r="G90" s="39" t="n">
        <f aca="false">IF(C90&lt;Assumptions!$B$5,IF(D90=1,Assumptions!$B$16,IF(D90=2,Assumptions!$B$17,IF(D90&lt;=5,Assumptions!$B$18,Assumptions!$B$19)))*(1-Assumptions!$B$20),0)</f>
        <v>0.0091</v>
      </c>
      <c r="H90" s="30" t="n">
        <f aca="false">1-(1-G90)^(1/12)</f>
        <v>0.000761514726814627</v>
      </c>
      <c r="I90" s="30" t="n">
        <f aca="false">I89*(1-F89)*(1-H89)</f>
        <v>0.844066312332702</v>
      </c>
      <c r="J90" s="30" t="n">
        <f aca="false">INDEX(Discount_Monthly!$G$4:$G$664,MATCH(A90,Discount_Monthly!$A$4:$A$664,0))</f>
        <v>0.829090641340905</v>
      </c>
      <c r="K90" s="30" t="n">
        <f aca="false">IF(C90&lt;Assumptions!$B$5,I90*J90,0)</f>
        <v>0.699807480226173</v>
      </c>
      <c r="L90" s="30" t="n">
        <f aca="false">IF(C90&lt;Assumptions!$B$5,I90*(1-F90)*H90*A90*J90,0)</f>
        <v>0.044197050272358</v>
      </c>
      <c r="M90" s="30" t="n">
        <f aca="false">IF(A90=0,Assumptions!$B$14*12*I90*J90,IF(AND(A90&gt;=12,C90&lt;Assumptions!$B$5),Assumptions!$B$15*I90*J90,0))</f>
        <v>0.0349903740113086</v>
      </c>
      <c r="N90" s="47" t="n">
        <f aca="false">IF(C90&gt;=Assumptions!$B$5,I90*Assumptions!$B$9/12*(1+Assumptions!$B$10)^INT(A90/12)*J90,0)</f>
        <v>0</v>
      </c>
      <c r="O90" s="47" t="n">
        <f aca="false">I90*Assumptions!$B$12/12*(1+Assumptions!$B$11)^(INT(A90/12)+1)*J90</f>
        <v>5.54567454703534</v>
      </c>
      <c r="P90" s="47" t="n">
        <f aca="false">O90+Pricing_M!$B$13*M90+N90-Pricing_M!$B$13*K90</f>
        <v>-661.441357977298</v>
      </c>
      <c r="Q90" s="47" t="n">
        <f aca="false">IF(C90&lt;Assumptions!$B$5,Pricing_M!$B$13*K90-Pricing_M!$B$13*M90-O90,-(N90+O90))</f>
        <v>661.441357977298</v>
      </c>
      <c r="R90" s="32" t="n">
        <f aca="false">R89*(1-(1-(1-MIN(1,E89*(1-Assumptions!$B$21)))^(1/12)))*(1-H89)</f>
        <v>0.852308999453096</v>
      </c>
      <c r="S90" s="47" t="n">
        <f aca="false">R90*(IF(C90&lt;Assumptions!$B$5,Assumptions!$B$12*(1+Assumptions!$B$11)^(INT(A90/12)+1)/12+Pricing_M!$B$13*IF(A90=0,Assumptions!$B$14*12,IF(A90&gt;=12,Assumptions!$B$15,0))-Pricing_M!$B$13,Assumptions!$B$9/12*(1+Assumptions!$B$10)^INT(A90/12)+Assumptions!$B$12*(1+Assumptions!$B$11)^(INT(A90/12)+1)/12))*J90</f>
        <v>-667.900630291138</v>
      </c>
      <c r="T90" s="32" t="n">
        <f aca="false">T89*(1-F89)*(1-(1-(1-MIN(1,G89*(1+Assumptions!$B$23)))^(1/12)))</f>
        <v>0.793603344934828</v>
      </c>
      <c r="U90" s="47" t="n">
        <f aca="false">T90*(IF(C90&lt;Assumptions!$B$5,Assumptions!$B$12*(1+Assumptions!$B$11)^(INT(A90/12)+1)/12+Pricing_M!$B$13*IF(A90=0,Assumptions!$B$14*12,IF(A90&gt;=12,Assumptions!$B$15,0))-Pricing_M!$B$13,Assumptions!$B$9/12*(1+Assumptions!$B$10)^INT(A90/12)+Assumptions!$B$12*(1+Assumptions!$B$11)^(INT(A90/12)+1)/12))*J90</f>
        <v>-621.896723633383</v>
      </c>
      <c r="V90" s="32" t="n">
        <f aca="false">V89*(1-F89)*(1-(1-(1-MIN(1,G89*(1-Assumptions!$B$23)))^(1/12)))</f>
        <v>0.897067267030218</v>
      </c>
      <c r="W90" s="47" t="n">
        <f aca="false">V90*(IF(C90&lt;Assumptions!$B$5,Assumptions!$B$12*(1+Assumptions!$B$11)^(INT(A90/12)+1)/12+Pricing_M!$B$13*IF(A90=0,Assumptions!$B$14*12,IF(A90&gt;=12,Assumptions!$B$15,0))-Pricing_M!$B$13,Assumptions!$B$9/12*(1+Assumptions!$B$10)^INT(A90/12)+Assumptions!$B$12*(1+Assumptions!$B$11)^(INT(A90/12)+1)/12))*J90</f>
        <v>-702.974852368673</v>
      </c>
      <c r="X90" s="47" t="n">
        <f aca="false">I90*(IF(C90&lt;Assumptions!$B$5,Assumptions!$B$12*(1+Assumptions!$B$11)*(1+Assumptions!$B$24)*(1+Assumptions!$B$11+Assumptions!$B$25)^(INT(A90/12))/12+Pricing_M!$B$13*IF(A90=0,Assumptions!$B$14*12,IF(A90&gt;=12,Assumptions!$B$15,0))-Pricing_M!$B$13,Assumptions!$B$9/12*(1+Assumptions!$B$10)^INT(A90/12)+Assumptions!$B$12*(1+Assumptions!$B$11)*(1+Assumptions!$B$24)*(1+Assumptions!$B$11+Assumptions!$B$25)^(INT(A90/12))/12))*J90</f>
        <v>-660.520879612831</v>
      </c>
    </row>
    <row r="91" customFormat="false" ht="15" hidden="false" customHeight="true" outlineLevel="0" collapsed="false">
      <c r="A91" s="1" t="n">
        <v>84</v>
      </c>
      <c r="B91" s="31" t="n">
        <f aca="false">Assumptions!$B$4+A91/12</f>
        <v>72</v>
      </c>
      <c r="C91" s="34" t="n">
        <f aca="false">Assumptions!$B$4+INT(A91/12)</f>
        <v>72</v>
      </c>
      <c r="D91" s="34" t="n">
        <f aca="false">INT(A91/12)+1</f>
        <v>8</v>
      </c>
      <c r="E91" s="32" t="n">
        <f aca="false">IFERROR(INDEX(Cohort_Survival!$G$5:$G$65,MATCH(C91,Cohort_Survival!$A$5:$A$65,0)),1)</f>
        <v>0.0104218313182508</v>
      </c>
      <c r="F91" s="30" t="n">
        <f aca="false">1-(1-MIN(1,E91))^(1/12)</f>
        <v>0.00087266225006899</v>
      </c>
      <c r="G91" s="39" t="n">
        <f aca="false">IF(C91&lt;Assumptions!$B$5,IF(D91=1,Assumptions!$B$16,IF(D91=2,Assumptions!$B$17,IF(D91&lt;=5,Assumptions!$B$18,Assumptions!$B$19)))*(1-Assumptions!$B$20),0)</f>
        <v>0.0091</v>
      </c>
      <c r="H91" s="30" t="n">
        <f aca="false">1-(1-G91)^(1/12)</f>
        <v>0.000761514726814627</v>
      </c>
      <c r="I91" s="30" t="n">
        <f aca="false">I90*(1-F90)*(1-H90)</f>
        <v>0.842760216260172</v>
      </c>
      <c r="J91" s="30" t="n">
        <f aca="false">INDEX(Discount_Monthly!$G$4:$G$664,MATCH(A91,Discount_Monthly!$A$4:$A$664,0))</f>
        <v>0.827041278453181</v>
      </c>
      <c r="K91" s="30" t="n">
        <f aca="false">IF(C91&lt;Assumptions!$B$5,I91*J91,0)</f>
        <v>0.696997486685292</v>
      </c>
      <c r="L91" s="30" t="n">
        <f aca="false">IF(C91&lt;Assumptions!$B$5,I91*(1-F91)*H91*A91*J91,0)</f>
        <v>0.0445460958063101</v>
      </c>
      <c r="M91" s="30" t="n">
        <f aca="false">IF(A91=0,Assumptions!$B$14*12*I91*J91,IF(AND(A91&gt;=12,C91&lt;Assumptions!$B$5),Assumptions!$B$15*I91*J91,0))</f>
        <v>0.0348498743342646</v>
      </c>
      <c r="N91" s="47" t="n">
        <f aca="false">IF(C91&gt;=Assumptions!$B$5,I91*Assumptions!$B$9/12*(1+Assumptions!$B$10)^INT(A91/12)*J91,0)</f>
        <v>0</v>
      </c>
      <c r="O91" s="47" t="n">
        <f aca="false">I91*Assumptions!$B$12/12*(1+Assumptions!$B$11)^(INT(A91/12)+1)*J91</f>
        <v>5.66149171556327</v>
      </c>
      <c r="P91" s="47" t="n">
        <f aca="false">O91+Pricing_M!$B$13*M91+N91-Pricing_M!$B$13*K91</f>
        <v>-658.647333864428</v>
      </c>
      <c r="Q91" s="47" t="n">
        <f aca="false">IF(C91&lt;Assumptions!$B$5,Pricing_M!$B$13*K91-Pricing_M!$B$13*M91-O91,-(N91+O91))</f>
        <v>658.647333864428</v>
      </c>
      <c r="R91" s="32" t="n">
        <f aca="false">R90*(1-(1-(1-MIN(1,E90*(1-Assumptions!$B$21)))^(1/12)))*(1-H90)</f>
        <v>0.85112457432087</v>
      </c>
      <c r="S91" s="47" t="n">
        <f aca="false">R91*(IF(C91&lt;Assumptions!$B$5,Assumptions!$B$12*(1+Assumptions!$B$11)^(INT(A91/12)+1)/12+Pricing_M!$B$13*IF(A91=0,Assumptions!$B$14*12,IF(A91&gt;=12,Assumptions!$B$15,0))-Pricing_M!$B$13,Assumptions!$B$9/12*(1+Assumptions!$B$10)^INT(A91/12)+Assumptions!$B$12*(1+Assumptions!$B$11)^(INT(A91/12)+1)/12))*J91</f>
        <v>-665.18437966924</v>
      </c>
      <c r="T91" s="32" t="n">
        <f aca="false">T90*(1-F90)*(1-(1-(1-MIN(1,G90*(1+Assumptions!$B$23)))^(1/12)))</f>
        <v>0.792071493098381</v>
      </c>
      <c r="U91" s="47" t="n">
        <f aca="false">T91*(IF(C91&lt;Assumptions!$B$5,Assumptions!$B$12*(1+Assumptions!$B$11)^(INT(A91/12)+1)/12+Pricing_M!$B$13*IF(A91=0,Assumptions!$B$14*12,IF(A91&gt;=12,Assumptions!$B$15,0))-Pricing_M!$B$13,Assumptions!$B$9/12*(1+Assumptions!$B$10)^INT(A91/12)+Assumptions!$B$12*(1+Assumptions!$B$11)^(INT(A91/12)+1)/12))*J91</f>
        <v>-619.032278806823</v>
      </c>
      <c r="V91" s="32" t="n">
        <f aca="false">V90*(1-F90)*(1-(1-(1-MIN(1,G90*(1-Assumptions!$B$23)))^(1/12)))</f>
        <v>0.896021169380396</v>
      </c>
      <c r="W91" s="47" t="n">
        <f aca="false">V91*(IF(C91&lt;Assumptions!$B$5,Assumptions!$B$12*(1+Assumptions!$B$11)^(INT(A91/12)+1)/12+Pricing_M!$B$13*IF(A91=0,Assumptions!$B$14*12,IF(A91&gt;=12,Assumptions!$B$15,0))-Pricing_M!$B$13,Assumptions!$B$9/12*(1+Assumptions!$B$10)^INT(A91/12)+Assumptions!$B$12*(1+Assumptions!$B$11)^(INT(A91/12)+1)/12))*J91</f>
        <v>-700.272678885323</v>
      </c>
      <c r="X91" s="47" t="n">
        <f aca="false">I91*(IF(C91&lt;Assumptions!$B$5,Assumptions!$B$12*(1+Assumptions!$B$11)*(1+Assumptions!$B$24)*(1+Assumptions!$B$11+Assumptions!$B$25)^(INT(A91/12))/12+Pricing_M!$B$13*IF(A91=0,Assumptions!$B$14*12,IF(A91&gt;=12,Assumptions!$B$15,0))-Pricing_M!$B$13,Assumptions!$B$9/12*(1+Assumptions!$B$10)^INT(A91/12)+Assumptions!$B$12*(1+Assumptions!$B$11)*(1+Assumptions!$B$24)*(1+Assumptions!$B$11+Assumptions!$B$25)^(INT(A91/12))/12))*J91</f>
        <v>-657.643230125357</v>
      </c>
    </row>
    <row r="92" customFormat="false" ht="15" hidden="false" customHeight="true" outlineLevel="0" collapsed="false">
      <c r="A92" s="1" t="n">
        <v>85</v>
      </c>
      <c r="B92" s="31" t="n">
        <f aca="false">Assumptions!$B$4+A92/12</f>
        <v>72.0833333333333</v>
      </c>
      <c r="C92" s="34" t="n">
        <f aca="false">Assumptions!$B$4+INT(A92/12)</f>
        <v>72</v>
      </c>
      <c r="D92" s="34" t="n">
        <f aca="false">INT(A92/12)+1</f>
        <v>8</v>
      </c>
      <c r="E92" s="32" t="n">
        <f aca="false">IFERROR(INDEX(Cohort_Survival!$G$5:$G$65,MATCH(C92,Cohort_Survival!$A$5:$A$65,0)),1)</f>
        <v>0.0104218313182508</v>
      </c>
      <c r="F92" s="30" t="n">
        <f aca="false">1-(1-MIN(1,E92))^(1/12)</f>
        <v>0.00087266225006899</v>
      </c>
      <c r="G92" s="39" t="n">
        <f aca="false">IF(C92&lt;Assumptions!$B$5,IF(D92=1,Assumptions!$B$16,IF(D92=2,Assumptions!$B$17,IF(D92&lt;=5,Assumptions!$B$18,Assumptions!$B$19)))*(1-Assumptions!$B$20),0)</f>
        <v>0.0091</v>
      </c>
      <c r="H92" s="30" t="n">
        <f aca="false">1-(1-G92)^(1/12)</f>
        <v>0.000761514726814627</v>
      </c>
      <c r="I92" s="30" t="n">
        <f aca="false">I91*(1-F91)*(1-H91)</f>
        <v>0.841383556969945</v>
      </c>
      <c r="J92" s="30" t="n">
        <f aca="false">INDEX(Discount_Monthly!$G$4:$G$664,MATCH(A92,Discount_Monthly!$A$4:$A$664,0))</f>
        <v>0.824916791269109</v>
      </c>
      <c r="K92" s="30" t="n">
        <f aca="false">IF(C92&lt;Assumptions!$B$5,I92*J92,0)</f>
        <v>0.694071424042236</v>
      </c>
      <c r="L92" s="30" t="n">
        <f aca="false">IF(C92&lt;Assumptions!$B$5,I92*(1-F92)*H92*A92*J92,0)</f>
        <v>0.044887171370722</v>
      </c>
      <c r="M92" s="30" t="n">
        <f aca="false">IF(A92=0,Assumptions!$B$14*12*I92*J92,IF(AND(A92&gt;=12,C92&lt;Assumptions!$B$5),Assumptions!$B$15*I92*J92,0))</f>
        <v>0.0347035712021118</v>
      </c>
      <c r="N92" s="47" t="n">
        <f aca="false">IF(C92&gt;=Assumptions!$B$5,I92*Assumptions!$B$9/12*(1+Assumptions!$B$10)^INT(A92/12)*J92,0)</f>
        <v>0</v>
      </c>
      <c r="O92" s="47" t="n">
        <f aca="false">I92*Assumptions!$B$12/12*(1+Assumptions!$B$11)^(INT(A92/12)+1)*J92</f>
        <v>5.63772422754597</v>
      </c>
      <c r="P92" s="47" t="n">
        <f aca="false">O92+Pricing_M!$B$13*M92+N92-Pricing_M!$B$13*K92</f>
        <v>-655.882268860055</v>
      </c>
      <c r="Q92" s="47" t="n">
        <f aca="false">IF(C92&lt;Assumptions!$B$5,Pricing_M!$B$13*K92-Pricing_M!$B$13*M92-O92,-(N92+O92))</f>
        <v>655.882268860055</v>
      </c>
      <c r="R92" s="32" t="n">
        <f aca="false">R91*(1-(1-(1-MIN(1,E91*(1-Assumptions!$B$21)))^(1/12)))*(1-H91)</f>
        <v>0.849883258827506</v>
      </c>
      <c r="S92" s="47" t="n">
        <f aca="false">R92*(IF(C92&lt;Assumptions!$B$5,Assumptions!$B$12*(1+Assumptions!$B$11)^(INT(A92/12)+1)/12+Pricing_M!$B$13*IF(A92=0,Assumptions!$B$14*12,IF(A92&gt;=12,Assumptions!$B$15,0))-Pricing_M!$B$13,Assumptions!$B$9/12*(1+Assumptions!$B$10)^INT(A92/12)+Assumptions!$B$12*(1+Assumptions!$B$11)^(INT(A92/12)+1)/12))*J92</f>
        <v>-662.508026747514</v>
      </c>
      <c r="T92" s="32" t="n">
        <f aca="false">T91*(1-F91)*(1-(1-(1-MIN(1,G91*(1+Assumptions!$B$23)))^(1/12)))</f>
        <v>0.790474405682061</v>
      </c>
      <c r="U92" s="47" t="n">
        <f aca="false">T92*(IF(C92&lt;Assumptions!$B$5,Assumptions!$B$12*(1+Assumptions!$B$11)^(INT(A92/12)+1)/12+Pricing_M!$B$13*IF(A92=0,Assumptions!$B$14*12,IF(A92&gt;=12,Assumptions!$B$15,0))-Pricing_M!$B$13,Assumptions!$B$9/12*(1+Assumptions!$B$10)^INT(A92/12)+Assumptions!$B$12*(1+Assumptions!$B$11)^(INT(A92/12)+1)/12))*J92</f>
        <v>-616.197146211968</v>
      </c>
      <c r="V92" s="32" t="n">
        <f aca="false">V91*(1-F91)*(1-(1-(1-MIN(1,G91*(1-Assumptions!$B$23)))^(1/12)))</f>
        <v>0.894899090701375</v>
      </c>
      <c r="W92" s="47" t="n">
        <f aca="false">V92*(IF(C92&lt;Assumptions!$B$5,Assumptions!$B$12*(1+Assumptions!$B$11)^(INT(A92/12)+1)/12+Pricing_M!$B$13*IF(A92=0,Assumptions!$B$14*12,IF(A92&gt;=12,Assumptions!$B$15,0))-Pricing_M!$B$13,Assumptions!$B$9/12*(1+Assumptions!$B$10)^INT(A92/12)+Assumptions!$B$12*(1+Assumptions!$B$11)^(INT(A92/12)+1)/12))*J92</f>
        <v>-697.599140306215</v>
      </c>
      <c r="X92" s="47" t="n">
        <f aca="false">I92*(IF(C92&lt;Assumptions!$B$5,Assumptions!$B$12*(1+Assumptions!$B$11)*(1+Assumptions!$B$24)*(1+Assumptions!$B$11+Assumptions!$B$25)^(INT(A92/12))/12+Pricing_M!$B$13*IF(A92=0,Assumptions!$B$14*12,IF(A92&gt;=12,Assumptions!$B$15,0))-Pricing_M!$B$13,Assumptions!$B$9/12*(1+Assumptions!$B$10)^INT(A92/12)+Assumptions!$B$12*(1+Assumptions!$B$11)*(1+Assumptions!$B$24)*(1+Assumptions!$B$11+Assumptions!$B$25)^(INT(A92/12))/12))*J92</f>
        <v>-654.882380445282</v>
      </c>
    </row>
    <row r="93" customFormat="false" ht="15" hidden="false" customHeight="true" outlineLevel="0" collapsed="false">
      <c r="A93" s="1" t="n">
        <v>86</v>
      </c>
      <c r="B93" s="31" t="n">
        <f aca="false">Assumptions!$B$4+A93/12</f>
        <v>72.1666666666667</v>
      </c>
      <c r="C93" s="34" t="n">
        <f aca="false">Assumptions!$B$4+INT(A93/12)</f>
        <v>72</v>
      </c>
      <c r="D93" s="34" t="n">
        <f aca="false">INT(A93/12)+1</f>
        <v>8</v>
      </c>
      <c r="E93" s="32" t="n">
        <f aca="false">IFERROR(INDEX(Cohort_Survival!$G$5:$G$65,MATCH(C93,Cohort_Survival!$A$5:$A$65,0)),1)</f>
        <v>0.0104218313182508</v>
      </c>
      <c r="F93" s="30" t="n">
        <f aca="false">1-(1-MIN(1,E93))^(1/12)</f>
        <v>0.00087266225006899</v>
      </c>
      <c r="G93" s="39" t="n">
        <f aca="false">IF(C93&lt;Assumptions!$B$5,IF(D93=1,Assumptions!$B$16,IF(D93=2,Assumptions!$B$17,IF(D93&lt;=5,Assumptions!$B$18,Assumptions!$B$19)))*(1-Assumptions!$B$20),0)</f>
        <v>0.0091</v>
      </c>
      <c r="H93" s="30" t="n">
        <f aca="false">1-(1-G93)^(1/12)</f>
        <v>0.000761514726814627</v>
      </c>
      <c r="I93" s="30" t="n">
        <f aca="false">I92*(1-F92)*(1-H92)</f>
        <v>0.840009146469782</v>
      </c>
      <c r="J93" s="30" t="n">
        <f aca="false">INDEX(Discount_Monthly!$G$4:$G$664,MATCH(A93,Discount_Monthly!$A$4:$A$664,0))</f>
        <v>0.822797761425453</v>
      </c>
      <c r="K93" s="30" t="n">
        <f aca="false">IF(C93&lt;Assumptions!$B$5,I93*J93,0)</f>
        <v>0.691157645292242</v>
      </c>
      <c r="L93" s="30" t="n">
        <f aca="false">IF(C93&lt;Assumptions!$B$5,I93*(1-F93)*H93*A93*J93,0)</f>
        <v>0.0452245981179419</v>
      </c>
      <c r="M93" s="30" t="n">
        <f aca="false">IF(A93=0,Assumptions!$B$14*12*I93*J93,IF(AND(A93&gt;=12,C93&lt;Assumptions!$B$5),Assumptions!$B$15*I93*J93,0))</f>
        <v>0.0345578822646121</v>
      </c>
      <c r="N93" s="47" t="n">
        <f aca="false">IF(C93&gt;=Assumptions!$B$5,I93*Assumptions!$B$9/12*(1+Assumptions!$B$10)^INT(A93/12)*J93,0)</f>
        <v>0</v>
      </c>
      <c r="O93" s="47" t="n">
        <f aca="false">I93*Assumptions!$B$12/12*(1+Assumptions!$B$11)^(INT(A93/12)+1)*J93</f>
        <v>5.61405651773467</v>
      </c>
      <c r="P93" s="47" t="n">
        <f aca="false">O93+Pricing_M!$B$13*M93+N93-Pricing_M!$B$13*K93</f>
        <v>-653.128811865137</v>
      </c>
      <c r="Q93" s="47" t="n">
        <f aca="false">IF(C93&lt;Assumptions!$B$5,Pricing_M!$B$13*K93-Pricing_M!$B$13*M93-O93,-(N93+O93))</f>
        <v>653.128811865137</v>
      </c>
      <c r="R93" s="32" t="n">
        <f aca="false">R92*(1-(1-(1-MIN(1,E92*(1-Assumptions!$B$21)))^(1/12)))*(1-H92)</f>
        <v>0.848643753720306</v>
      </c>
      <c r="S93" s="47" t="n">
        <f aca="false">R93*(IF(C93&lt;Assumptions!$B$5,Assumptions!$B$12*(1+Assumptions!$B$11)^(INT(A93/12)+1)/12+Pricing_M!$B$13*IF(A93=0,Assumptions!$B$14*12,IF(A93&gt;=12,Assumptions!$B$15,0))-Pricing_M!$B$13,Assumptions!$B$9/12*(1+Assumptions!$B$10)^INT(A93/12)+Assumptions!$B$12*(1+Assumptions!$B$11)^(INT(A93/12)+1)/12))*J93</f>
        <v>-659.842442065662</v>
      </c>
      <c r="T93" s="32" t="n">
        <f aca="false">T92*(1-F92)*(1-(1-(1-MIN(1,G92*(1+Assumptions!$B$23)))^(1/12)))</f>
        <v>0.78888053854098</v>
      </c>
      <c r="U93" s="47" t="n">
        <f aca="false">T93*(IF(C93&lt;Assumptions!$B$5,Assumptions!$B$12*(1+Assumptions!$B$11)^(INT(A93/12)+1)/12+Pricing_M!$B$13*IF(A93=0,Assumptions!$B$14*12,IF(A93&gt;=12,Assumptions!$B$15,0))-Pricing_M!$B$13,Assumptions!$B$9/12*(1+Assumptions!$B$10)^INT(A93/12)+Assumptions!$B$12*(1+Assumptions!$B$11)^(INT(A93/12)+1)/12))*J93</f>
        <v>-613.37499836299</v>
      </c>
      <c r="V93" s="32" t="n">
        <f aca="false">V92*(1-F92)*(1-(1-(1-MIN(1,G92*(1-Assumptions!$B$23)))^(1/12)))</f>
        <v>0.893778417190676</v>
      </c>
      <c r="W93" s="47" t="n">
        <f aca="false">V93*(IF(C93&lt;Assumptions!$B$5,Assumptions!$B$12*(1+Assumptions!$B$11)^(INT(A93/12)+1)/12+Pricing_M!$B$13*IF(A93=0,Assumptions!$B$14*12,IF(A93&gt;=12,Assumptions!$B$15,0))-Pricing_M!$B$13,Assumptions!$B$9/12*(1+Assumptions!$B$10)^INT(A93/12)+Assumptions!$B$12*(1+Assumptions!$B$11)^(INT(A93/12)+1)/12))*J93</f>
        <v>-694.935808906038</v>
      </c>
      <c r="X93" s="47" t="n">
        <f aca="false">I93*(IF(C93&lt;Assumptions!$B$5,Assumptions!$B$12*(1+Assumptions!$B$11)*(1+Assumptions!$B$24)*(1+Assumptions!$B$11+Assumptions!$B$25)^(INT(A93/12))/12+Pricing_M!$B$13*IF(A93=0,Assumptions!$B$14*12,IF(A93&gt;=12,Assumptions!$B$15,0))-Pricing_M!$B$13,Assumptions!$B$9/12*(1+Assumptions!$B$10)^INT(A93/12)+Assumptions!$B$12*(1+Assumptions!$B$11)*(1+Assumptions!$B$24)*(1+Assumptions!$B$11+Assumptions!$B$25)^(INT(A93/12))/12))*J93</f>
        <v>-652.133121078322</v>
      </c>
    </row>
    <row r="94" customFormat="false" ht="15" hidden="false" customHeight="true" outlineLevel="0" collapsed="false">
      <c r="A94" s="1" t="n">
        <v>87</v>
      </c>
      <c r="B94" s="31" t="n">
        <f aca="false">Assumptions!$B$4+A94/12</f>
        <v>72.25</v>
      </c>
      <c r="C94" s="34" t="n">
        <f aca="false">Assumptions!$B$4+INT(A94/12)</f>
        <v>72</v>
      </c>
      <c r="D94" s="34" t="n">
        <f aca="false">INT(A94/12)+1</f>
        <v>8</v>
      </c>
      <c r="E94" s="32" t="n">
        <f aca="false">IFERROR(INDEX(Cohort_Survival!$G$5:$G$65,MATCH(C94,Cohort_Survival!$A$5:$A$65,0)),1)</f>
        <v>0.0104218313182508</v>
      </c>
      <c r="F94" s="30" t="n">
        <f aca="false">1-(1-MIN(1,E94))^(1/12)</f>
        <v>0.00087266225006899</v>
      </c>
      <c r="G94" s="39" t="n">
        <f aca="false">IF(C94&lt;Assumptions!$B$5,IF(D94=1,Assumptions!$B$16,IF(D94=2,Assumptions!$B$17,IF(D94&lt;=5,Assumptions!$B$18,Assumptions!$B$19)))*(1-Assumptions!$B$20),0)</f>
        <v>0.0091</v>
      </c>
      <c r="H94" s="30" t="n">
        <f aca="false">1-(1-G94)^(1/12)</f>
        <v>0.000761514726814627</v>
      </c>
      <c r="I94" s="30" t="n">
        <f aca="false">I93*(1-F93)*(1-H93)</f>
        <v>0.838636981086258</v>
      </c>
      <c r="J94" s="30" t="n">
        <f aca="false">INDEX(Discount_Monthly!$G$4:$G$664,MATCH(A94,Discount_Monthly!$A$4:$A$664,0))</f>
        <v>0.820684174903507</v>
      </c>
      <c r="K94" s="30" t="n">
        <f aca="false">IF(C94&lt;Assumptions!$B$5,I94*J94,0)</f>
        <v>0.688256098866343</v>
      </c>
      <c r="L94" s="30" t="n">
        <f aca="false">IF(C94&lt;Assumptions!$B$5,I94*(1-F94)*H94*A94*J94,0)</f>
        <v>0.0455584006730222</v>
      </c>
      <c r="M94" s="30" t="n">
        <f aca="false">IF(A94=0,Assumptions!$B$14*12*I94*J94,IF(AND(A94&gt;=12,C94&lt;Assumptions!$B$5),Assumptions!$B$15*I94*J94,0))</f>
        <v>0.0344128049433172</v>
      </c>
      <c r="N94" s="47" t="n">
        <f aca="false">IF(C94&gt;=Assumptions!$B$5,I94*Assumptions!$B$9/12*(1+Assumptions!$B$10)^INT(A94/12)*J94,0)</f>
        <v>0</v>
      </c>
      <c r="O94" s="47" t="n">
        <f aca="false">I94*Assumptions!$B$12/12*(1+Assumptions!$B$11)^(INT(A94/12)+1)*J94</f>
        <v>5.59048816725083</v>
      </c>
      <c r="P94" s="47" t="n">
        <f aca="false">O94+Pricing_M!$B$13*M94+N94-Pricing_M!$B$13*K94</f>
        <v>-650.38691414813</v>
      </c>
      <c r="Q94" s="47" t="n">
        <f aca="false">IF(C94&lt;Assumptions!$B$5,Pricing_M!$B$13*K94-Pricing_M!$B$13*M94-O94,-(N94+O94))</f>
        <v>650.38691414813</v>
      </c>
      <c r="R94" s="32" t="n">
        <f aca="false">R93*(1-(1-(1-MIN(1,E93*(1-Assumptions!$B$21)))^(1/12)))*(1-H93)</f>
        <v>0.84740605635893</v>
      </c>
      <c r="S94" s="47" t="n">
        <f aca="false">R94*(IF(C94&lt;Assumptions!$B$5,Assumptions!$B$12*(1+Assumptions!$B$11)^(INT(A94/12)+1)/12+Pricing_M!$B$13*IF(A94=0,Assumptions!$B$14*12,IF(A94&gt;=12,Assumptions!$B$15,0))-Pricing_M!$B$13,Assumptions!$B$9/12*(1+Assumptions!$B$10)^INT(A94/12)+Assumptions!$B$12*(1+Assumptions!$B$11)^(INT(A94/12)+1)/12))*J94</f>
        <v>-657.187582297939</v>
      </c>
      <c r="T94" s="32" t="n">
        <f aca="false">T93*(1-F93)*(1-(1-(1-MIN(1,G93*(1+Assumptions!$B$23)))^(1/12)))</f>
        <v>0.787289885181957</v>
      </c>
      <c r="U94" s="47" t="n">
        <f aca="false">T94*(IF(C94&lt;Assumptions!$B$5,Assumptions!$B$12*(1+Assumptions!$B$11)^(INT(A94/12)+1)/12+Pricing_M!$B$13*IF(A94=0,Assumptions!$B$14*12,IF(A94&gt;=12,Assumptions!$B$15,0))-Pricing_M!$B$13,Assumptions!$B$9/12*(1+Assumptions!$B$10)^INT(A94/12)+Assumptions!$B$12*(1+Assumptions!$B$11)^(INT(A94/12)+1)/12))*J94</f>
        <v>-610.565775790493</v>
      </c>
      <c r="V94" s="32" t="n">
        <f aca="false">V93*(1-F93)*(1-(1-(1-MIN(1,G93*(1-Assumptions!$B$23)))^(1/12)))</f>
        <v>0.892659147088618</v>
      </c>
      <c r="W94" s="47" t="n">
        <f aca="false">V94*(IF(C94&lt;Assumptions!$B$5,Assumptions!$B$12*(1+Assumptions!$B$11)^(INT(A94/12)+1)/12+Pricing_M!$B$13*IF(A94=0,Assumptions!$B$14*12,IF(A94&gt;=12,Assumptions!$B$15,0))-Pricing_M!$B$13,Assumptions!$B$9/12*(1+Assumptions!$B$10)^INT(A94/12)+Assumptions!$B$12*(1+Assumptions!$B$11)^(INT(A94/12)+1)/12))*J94</f>
        <v>-692.282645715277</v>
      </c>
      <c r="X94" s="47" t="n">
        <f aca="false">I94*(IF(C94&lt;Assumptions!$B$5,Assumptions!$B$12*(1+Assumptions!$B$11)*(1+Assumptions!$B$24)*(1+Assumptions!$B$11+Assumptions!$B$25)^(INT(A94/12))/12+Pricing_M!$B$13*IF(A94=0,Assumptions!$B$14*12,IF(A94&gt;=12,Assumptions!$B$15,0))-Pricing_M!$B$13,Assumptions!$B$9/12*(1+Assumptions!$B$10)^INT(A94/12)+Assumptions!$B$12*(1+Assumptions!$B$11)*(1+Assumptions!$B$24)*(1+Assumptions!$B$11+Assumptions!$B$25)^(INT(A94/12))/12))*J94</f>
        <v>-649.395403367228</v>
      </c>
    </row>
    <row r="95" customFormat="false" ht="15" hidden="false" customHeight="true" outlineLevel="0" collapsed="false">
      <c r="A95" s="1" t="n">
        <v>88</v>
      </c>
      <c r="B95" s="31" t="n">
        <f aca="false">Assumptions!$B$4+A95/12</f>
        <v>72.3333333333333</v>
      </c>
      <c r="C95" s="34" t="n">
        <f aca="false">Assumptions!$B$4+INT(A95/12)</f>
        <v>72</v>
      </c>
      <c r="D95" s="34" t="n">
        <f aca="false">INT(A95/12)+1</f>
        <v>8</v>
      </c>
      <c r="E95" s="32" t="n">
        <f aca="false">IFERROR(INDEX(Cohort_Survival!$G$5:$G$65,MATCH(C95,Cohort_Survival!$A$5:$A$65,0)),1)</f>
        <v>0.0104218313182508</v>
      </c>
      <c r="F95" s="30" t="n">
        <f aca="false">1-(1-MIN(1,E95))^(1/12)</f>
        <v>0.00087266225006899</v>
      </c>
      <c r="G95" s="39" t="n">
        <f aca="false">IF(C95&lt;Assumptions!$B$5,IF(D95=1,Assumptions!$B$16,IF(D95=2,Assumptions!$B$17,IF(D95&lt;=5,Assumptions!$B$18,Assumptions!$B$19)))*(1-Assumptions!$B$20),0)</f>
        <v>0.0091</v>
      </c>
      <c r="H95" s="30" t="n">
        <f aca="false">1-(1-G95)^(1/12)</f>
        <v>0.000761514726814627</v>
      </c>
      <c r="I95" s="30" t="n">
        <f aca="false">I94*(1-F94)*(1-H94)</f>
        <v>0.837267057151946</v>
      </c>
      <c r="J95" s="30" t="n">
        <f aca="false">INDEX(Discount_Monthly!$G$4:$G$664,MATCH(A95,Discount_Monthly!$A$4:$A$664,0))</f>
        <v>0.818576017720573</v>
      </c>
      <c r="K95" s="30" t="n">
        <f aca="false">IF(C95&lt;Assumptions!$B$5,I95*J95,0)</f>
        <v>0.685366733412064</v>
      </c>
      <c r="L95" s="30" t="n">
        <f aca="false">IF(C95&lt;Assumptions!$B$5,I95*(1-F95)*H95*A95*J95,0)</f>
        <v>0.0458886035185652</v>
      </c>
      <c r="M95" s="30" t="n">
        <f aca="false">IF(A95=0,Assumptions!$B$14*12*I95*J95,IF(AND(A95&gt;=12,C95&lt;Assumptions!$B$5),Assumptions!$B$15*I95*J95,0))</f>
        <v>0.0342683366706032</v>
      </c>
      <c r="N95" s="47" t="n">
        <f aca="false">IF(C95&gt;=Assumptions!$B$5,I95*Assumptions!$B$9/12*(1+Assumptions!$B$10)^INT(A95/12)*J95,0)</f>
        <v>0</v>
      </c>
      <c r="O95" s="47" t="n">
        <f aca="false">I95*Assumptions!$B$12/12*(1+Assumptions!$B$11)^(INT(A95/12)+1)*J95</f>
        <v>5.56701875897444</v>
      </c>
      <c r="P95" s="47" t="n">
        <f aca="false">O95+Pricing_M!$B$13*M95+N95-Pricing_M!$B$13*K95</f>
        <v>-647.656527182071</v>
      </c>
      <c r="Q95" s="47" t="n">
        <f aca="false">IF(C95&lt;Assumptions!$B$5,Pricing_M!$B$13*K95-Pricing_M!$B$13*M95-O95,-(N95+O95))</f>
        <v>647.656527182071</v>
      </c>
      <c r="R95" s="32" t="n">
        <f aca="false">R94*(1-(1-(1-MIN(1,E94*(1-Assumptions!$B$21)))^(1/12)))*(1-H94)</f>
        <v>0.846170164106884</v>
      </c>
      <c r="S95" s="47" t="n">
        <f aca="false">R95*(IF(C95&lt;Assumptions!$B$5,Assumptions!$B$12*(1+Assumptions!$B$11)^(INT(A95/12)+1)/12+Pricing_M!$B$13*IF(A95=0,Assumptions!$B$14*12,IF(A95&gt;=12,Assumptions!$B$15,0))-Pricing_M!$B$13,Assumptions!$B$9/12*(1+Assumptions!$B$10)^INT(A95/12)+Assumptions!$B$12*(1+Assumptions!$B$11)^(INT(A95/12)+1)/12))*J95</f>
        <v>-654.543404292917</v>
      </c>
      <c r="T95" s="32" t="n">
        <f aca="false">T94*(1-F94)*(1-(1-(1-MIN(1,G94*(1+Assumptions!$B$23)))^(1/12)))</f>
        <v>0.785702439124909</v>
      </c>
      <c r="U95" s="47" t="n">
        <f aca="false">T95*(IF(C95&lt;Assumptions!$B$5,Assumptions!$B$12*(1+Assumptions!$B$11)^(INT(A95/12)+1)/12+Pricing_M!$B$13*IF(A95=0,Assumptions!$B$14*12,IF(A95&gt;=12,Assumptions!$B$15,0))-Pricing_M!$B$13,Assumptions!$B$9/12*(1+Assumptions!$B$10)^INT(A95/12)+Assumptions!$B$12*(1+Assumptions!$B$11)^(INT(A95/12)+1)/12))*J95</f>
        <v>-607.769419297447</v>
      </c>
      <c r="V95" s="32" t="n">
        <f aca="false">V94*(1-F94)*(1-(1-(1-MIN(1,G94*(1-Assumptions!$B$23)))^(1/12)))</f>
        <v>0.891541278637727</v>
      </c>
      <c r="W95" s="47" t="n">
        <f aca="false">V95*(IF(C95&lt;Assumptions!$B$5,Assumptions!$B$12*(1+Assumptions!$B$11)^(INT(A95/12)+1)/12+Pricing_M!$B$13*IF(A95=0,Assumptions!$B$14*12,IF(A95&gt;=12,Assumptions!$B$15,0))-Pricing_M!$B$13,Assumptions!$B$9/12*(1+Assumptions!$B$10)^INT(A95/12)+Assumptions!$B$12*(1+Assumptions!$B$11)^(INT(A95/12)+1)/12))*J95</f>
        <v>-689.639611913198</v>
      </c>
      <c r="X95" s="47" t="n">
        <f aca="false">I95*(IF(C95&lt;Assumptions!$B$5,Assumptions!$B$12*(1+Assumptions!$B$11)*(1+Assumptions!$B$24)*(1+Assumptions!$B$11+Assumptions!$B$25)^(INT(A95/12))/12+Pricing_M!$B$13*IF(A95=0,Assumptions!$B$14*12,IF(A95&gt;=12,Assumptions!$B$15,0))-Pricing_M!$B$13,Assumptions!$B$9/12*(1+Assumptions!$B$10)^INT(A95/12)+Assumptions!$B$12*(1+Assumptions!$B$11)*(1+Assumptions!$B$24)*(1+Assumptions!$B$11+Assumptions!$B$25)^(INT(A95/12))/12))*J95</f>
        <v>-646.669178859013</v>
      </c>
    </row>
    <row r="96" customFormat="false" ht="15" hidden="false" customHeight="true" outlineLevel="0" collapsed="false">
      <c r="A96" s="1" t="n">
        <v>89</v>
      </c>
      <c r="B96" s="31" t="n">
        <f aca="false">Assumptions!$B$4+A96/12</f>
        <v>72.4166666666667</v>
      </c>
      <c r="C96" s="34" t="n">
        <f aca="false">Assumptions!$B$4+INT(A96/12)</f>
        <v>72</v>
      </c>
      <c r="D96" s="34" t="n">
        <f aca="false">INT(A96/12)+1</f>
        <v>8</v>
      </c>
      <c r="E96" s="32" t="n">
        <f aca="false">IFERROR(INDEX(Cohort_Survival!$G$5:$G$65,MATCH(C96,Cohort_Survival!$A$5:$A$65,0)),1)</f>
        <v>0.0104218313182508</v>
      </c>
      <c r="F96" s="30" t="n">
        <f aca="false">1-(1-MIN(1,E96))^(1/12)</f>
        <v>0.00087266225006899</v>
      </c>
      <c r="G96" s="39" t="n">
        <f aca="false">IF(C96&lt;Assumptions!$B$5,IF(D96=1,Assumptions!$B$16,IF(D96=2,Assumptions!$B$17,IF(D96&lt;=5,Assumptions!$B$18,Assumptions!$B$19)))*(1-Assumptions!$B$20),0)</f>
        <v>0.0091</v>
      </c>
      <c r="H96" s="30" t="n">
        <f aca="false">1-(1-G96)^(1/12)</f>
        <v>0.000761514726814627</v>
      </c>
      <c r="I96" s="30" t="n">
        <f aca="false">I95*(1-F95)*(1-H95)</f>
        <v>0.835899371005412</v>
      </c>
      <c r="J96" s="30" t="n">
        <f aca="false">INDEX(Discount_Monthly!$G$4:$G$664,MATCH(A96,Discount_Monthly!$A$4:$A$664,0))</f>
        <v>0.816473275929874</v>
      </c>
      <c r="K96" s="30" t="n">
        <f aca="false">IF(C96&lt;Assumptions!$B$5,I96*J96,0)</f>
        <v>0.68248949779251</v>
      </c>
      <c r="L96" s="30" t="n">
        <f aca="false">IF(C96&lt;Assumptions!$B$5,I96*(1-F96)*H96*A96*J96,0)</f>
        <v>0.0462152309954857</v>
      </c>
      <c r="M96" s="30" t="n">
        <f aca="false">IF(A96=0,Assumptions!$B$14*12*I96*J96,IF(AND(A96&gt;=12,C96&lt;Assumptions!$B$5),Assumptions!$B$15*I96*J96,0))</f>
        <v>0.0341244748896255</v>
      </c>
      <c r="N96" s="47" t="n">
        <f aca="false">IF(C96&gt;=Assumptions!$B$5,I96*Assumptions!$B$9/12*(1+Assumptions!$B$10)^INT(A96/12)*J96,0)</f>
        <v>0</v>
      </c>
      <c r="O96" s="47" t="n">
        <f aca="false">I96*Assumptions!$B$12/12*(1+Assumptions!$B$11)^(INT(A96/12)+1)*J96</f>
        <v>5.54364787753655</v>
      </c>
      <c r="P96" s="47" t="n">
        <f aca="false">O96+Pricing_M!$B$13*M96+N96-Pricing_M!$B$13*K96</f>
        <v>-644.937602643718</v>
      </c>
      <c r="Q96" s="47" t="n">
        <f aca="false">IF(C96&lt;Assumptions!$B$5,Pricing_M!$B$13*K96-Pricing_M!$B$13*M96-O96,-(N96+O96))</f>
        <v>644.937602643718</v>
      </c>
      <c r="R96" s="32" t="n">
        <f aca="false">R95*(1-(1-(1-MIN(1,E95*(1-Assumptions!$B$21)))^(1/12)))*(1-H95)</f>
        <v>0.844936074331522</v>
      </c>
      <c r="S96" s="47" t="n">
        <f aca="false">R96*(IF(C96&lt;Assumptions!$B$5,Assumptions!$B$12*(1+Assumptions!$B$11)^(INT(A96/12)+1)/12+Pricing_M!$B$13*IF(A96=0,Assumptions!$B$14*12,IF(A96&gt;=12,Assumptions!$B$15,0))-Pricing_M!$B$13,Assumptions!$B$9/12*(1+Assumptions!$B$10)^INT(A96/12)+Assumptions!$B$12*(1+Assumptions!$B$11)^(INT(A96/12)+1)/12))*J96</f>
        <v>-651.909865072788</v>
      </c>
      <c r="T96" s="32" t="n">
        <f aca="false">T95*(1-F95)*(1-(1-(1-MIN(1,G95*(1+Assumptions!$B$23)))^(1/12)))</f>
        <v>0.784118193902815</v>
      </c>
      <c r="U96" s="47" t="n">
        <f aca="false">T96*(IF(C96&lt;Assumptions!$B$5,Assumptions!$B$12*(1+Assumptions!$B$11)^(INT(A96/12)+1)/12+Pricing_M!$B$13*IF(A96=0,Assumptions!$B$14*12,IF(A96&gt;=12,Assumptions!$B$15,0))-Pricing_M!$B$13,Assumptions!$B$9/12*(1+Assumptions!$B$10)^INT(A96/12)+Assumptions!$B$12*(1+Assumptions!$B$11)^(INT(A96/12)+1)/12))*J96</f>
        <v>-604.98586995794</v>
      </c>
      <c r="V96" s="32" t="n">
        <f aca="false">V95*(1-F95)*(1-(1-(1-MIN(1,G95*(1-Assumptions!$B$23)))^(1/12)))</f>
        <v>0.890424810082729</v>
      </c>
      <c r="W96" s="47" t="n">
        <f aca="false">V96*(IF(C96&lt;Assumptions!$B$5,Assumptions!$B$12*(1+Assumptions!$B$11)^(INT(A96/12)+1)/12+Pricing_M!$B$13*IF(A96=0,Assumptions!$B$14*12,IF(A96&gt;=12,Assumptions!$B$15,0))-Pricing_M!$B$13,Assumptions!$B$9/12*(1+Assumptions!$B$10)^INT(A96/12)+Assumptions!$B$12*(1+Assumptions!$B$11)^(INT(A96/12)+1)/12))*J96</f>
        <v>-687.006668827276</v>
      </c>
      <c r="X96" s="47" t="n">
        <f aca="false">I96*(IF(C96&lt;Assumptions!$B$5,Assumptions!$B$12*(1+Assumptions!$B$11)*(1+Assumptions!$B$24)*(1+Assumptions!$B$11+Assumptions!$B$25)^(INT(A96/12))/12+Pricing_M!$B$13*IF(A96=0,Assumptions!$B$14*12,IF(A96&gt;=12,Assumptions!$B$15,0))-Pricing_M!$B$13,Assumptions!$B$9/12*(1+Assumptions!$B$10)^INT(A96/12)+Assumptions!$B$12*(1+Assumptions!$B$11)*(1+Assumptions!$B$24)*(1+Assumptions!$B$11+Assumptions!$B$25)^(INT(A96/12))/12))*J96</f>
        <v>-643.954399304106</v>
      </c>
    </row>
    <row r="97" customFormat="false" ht="15" hidden="false" customHeight="true" outlineLevel="0" collapsed="false">
      <c r="A97" s="1" t="n">
        <v>90</v>
      </c>
      <c r="B97" s="31" t="n">
        <f aca="false">Assumptions!$B$4+A97/12</f>
        <v>72.5</v>
      </c>
      <c r="C97" s="34" t="n">
        <f aca="false">Assumptions!$B$4+INT(A97/12)</f>
        <v>72</v>
      </c>
      <c r="D97" s="34" t="n">
        <f aca="false">INT(A97/12)+1</f>
        <v>8</v>
      </c>
      <c r="E97" s="32" t="n">
        <f aca="false">IFERROR(INDEX(Cohort_Survival!$G$5:$G$65,MATCH(C97,Cohort_Survival!$A$5:$A$65,0)),1)</f>
        <v>0.0104218313182508</v>
      </c>
      <c r="F97" s="30" t="n">
        <f aca="false">1-(1-MIN(1,E97))^(1/12)</f>
        <v>0.00087266225006899</v>
      </c>
      <c r="G97" s="39" t="n">
        <f aca="false">IF(C97&lt;Assumptions!$B$5,IF(D97=1,Assumptions!$B$16,IF(D97=2,Assumptions!$B$17,IF(D97&lt;=5,Assumptions!$B$18,Assumptions!$B$19)))*(1-Assumptions!$B$20),0)</f>
        <v>0.0091</v>
      </c>
      <c r="H97" s="30" t="n">
        <f aca="false">1-(1-G97)^(1/12)</f>
        <v>0.000761514726814627</v>
      </c>
      <c r="I97" s="30" t="n">
        <f aca="false">I96*(1-F96)*(1-H96)</f>
        <v>0.8345339189912</v>
      </c>
      <c r="J97" s="30" t="n">
        <f aca="false">INDEX(Discount_Monthly!$G$4:$G$664,MATCH(A97,Discount_Monthly!$A$4:$A$664,0))</f>
        <v>0.814375935620458</v>
      </c>
      <c r="K97" s="30" t="n">
        <f aca="false">IF(C97&lt;Assumptions!$B$5,I97*J97,0)</f>
        <v>0.679624341085466</v>
      </c>
      <c r="L97" s="30" t="n">
        <f aca="false">IF(C97&lt;Assumptions!$B$5,I97*(1-F97)*H97*A97*J97,0)</f>
        <v>0.0465383073037686</v>
      </c>
      <c r="M97" s="30" t="n">
        <f aca="false">IF(A97=0,Assumptions!$B$14*12*I97*J97,IF(AND(A97&gt;=12,C97&lt;Assumptions!$B$5),Assumptions!$B$15*I97*J97,0))</f>
        <v>0.0339812170542733</v>
      </c>
      <c r="N97" s="47" t="n">
        <f aca="false">IF(C97&gt;=Assumptions!$B$5,I97*Assumptions!$B$9/12*(1+Assumptions!$B$10)^INT(A97/12)*J97,0)</f>
        <v>0</v>
      </c>
      <c r="O97" s="47" t="n">
        <f aca="false">I97*Assumptions!$B$12/12*(1+Assumptions!$B$11)^(INT(A97/12)+1)*J97</f>
        <v>5.520375109312</v>
      </c>
      <c r="P97" s="47" t="n">
        <f aca="false">O97+Pricing_M!$B$13*M97+N97-Pricing_M!$B$13*K97</f>
        <v>-642.230092412695</v>
      </c>
      <c r="Q97" s="47" t="n">
        <f aca="false">IF(C97&lt;Assumptions!$B$5,Pricing_M!$B$13*K97-Pricing_M!$B$13*M97-O97,-(N97+O97))</f>
        <v>642.230092412695</v>
      </c>
      <c r="R97" s="32" t="n">
        <f aca="false">R96*(1-(1-(1-MIN(1,E96*(1-Assumptions!$B$21)))^(1/12)))*(1-H96)</f>
        <v>0.843703784404038</v>
      </c>
      <c r="S97" s="47" t="n">
        <f aca="false">R97*(IF(C97&lt;Assumptions!$B$5,Assumptions!$B$12*(1+Assumptions!$B$11)^(INT(A97/12)+1)/12+Pricing_M!$B$13*IF(A97=0,Assumptions!$B$14*12,IF(A97&gt;=12,Assumptions!$B$15,0))-Pricing_M!$B$13,Assumptions!$B$9/12*(1+Assumptions!$B$10)^INT(A97/12)+Assumptions!$B$12*(1+Assumptions!$B$11)^(INT(A97/12)+1)/12))*J97</f>
        <v>-649.286921832663</v>
      </c>
      <c r="T97" s="32" t="n">
        <f aca="false">T96*(1-F96)*(1-(1-(1-MIN(1,G96*(1+Assumptions!$B$23)))^(1/12)))</f>
        <v>0.782537143061697</v>
      </c>
      <c r="U97" s="47" t="n">
        <f aca="false">T97*(IF(C97&lt;Assumptions!$B$5,Assumptions!$B$12*(1+Assumptions!$B$11)^(INT(A97/12)+1)/12+Pricing_M!$B$13*IF(A97=0,Assumptions!$B$14*12,IF(A97&gt;=12,Assumptions!$B$15,0))-Pricing_M!$B$13,Assumptions!$B$9/12*(1+Assumptions!$B$10)^INT(A97/12)+Assumptions!$B$12*(1+Assumptions!$B$11)^(INT(A97/12)+1)/12))*J97</f>
        <v>-602.215069115937</v>
      </c>
      <c r="V97" s="32" t="n">
        <f aca="false">V96*(1-F96)*(1-(1-(1-MIN(1,G96*(1-Assumptions!$B$23)))^(1/12)))</f>
        <v>0.889309739670547</v>
      </c>
      <c r="W97" s="47" t="n">
        <f aca="false">V97*(IF(C97&lt;Assumptions!$B$5,Assumptions!$B$12*(1+Assumptions!$B$11)^(INT(A97/12)+1)/12+Pricing_M!$B$13*IF(A97=0,Assumptions!$B$14*12,IF(A97&gt;=12,Assumptions!$B$15,0))-Pricing_M!$B$13,Assumptions!$B$9/12*(1+Assumptions!$B$10)^INT(A97/12)+Assumptions!$B$12*(1+Assumptions!$B$11)^(INT(A97/12)+1)/12))*J97</f>
        <v>-684.383777932635</v>
      </c>
      <c r="X97" s="47" t="n">
        <f aca="false">I97*(IF(C97&lt;Assumptions!$B$5,Assumptions!$B$12*(1+Assumptions!$B$11)*(1+Assumptions!$B$24)*(1+Assumptions!$B$11+Assumptions!$B$25)^(INT(A97/12))/12+Pricing_M!$B$13*IF(A97=0,Assumptions!$B$14*12,IF(A97&gt;=12,Assumptions!$B$15,0))-Pricing_M!$B$13,Assumptions!$B$9/12*(1+Assumptions!$B$10)^INT(A97/12)+Assumptions!$B$12*(1+Assumptions!$B$11)*(1+Assumptions!$B$24)*(1+Assumptions!$B$11+Assumptions!$B$25)^(INT(A97/12))/12))*J97</f>
        <v>-641.251016655488</v>
      </c>
    </row>
    <row r="98" customFormat="false" ht="15" hidden="false" customHeight="true" outlineLevel="0" collapsed="false">
      <c r="A98" s="1" t="n">
        <v>91</v>
      </c>
      <c r="B98" s="31" t="n">
        <f aca="false">Assumptions!$B$4+A98/12</f>
        <v>72.5833333333333</v>
      </c>
      <c r="C98" s="34" t="n">
        <f aca="false">Assumptions!$B$4+INT(A98/12)</f>
        <v>72</v>
      </c>
      <c r="D98" s="34" t="n">
        <f aca="false">INT(A98/12)+1</f>
        <v>8</v>
      </c>
      <c r="E98" s="32" t="n">
        <f aca="false">IFERROR(INDEX(Cohort_Survival!$G$5:$G$65,MATCH(C98,Cohort_Survival!$A$5:$A$65,0)),1)</f>
        <v>0.0104218313182508</v>
      </c>
      <c r="F98" s="30" t="n">
        <f aca="false">1-(1-MIN(1,E98))^(1/12)</f>
        <v>0.00087266225006899</v>
      </c>
      <c r="G98" s="39" t="n">
        <f aca="false">IF(C98&lt;Assumptions!$B$5,IF(D98=1,Assumptions!$B$16,IF(D98=2,Assumptions!$B$17,IF(D98&lt;=5,Assumptions!$B$18,Assumptions!$B$19)))*(1-Assumptions!$B$20),0)</f>
        <v>0.0091</v>
      </c>
      <c r="H98" s="30" t="n">
        <f aca="false">1-(1-G98)^(1/12)</f>
        <v>0.000761514726814627</v>
      </c>
      <c r="I98" s="30" t="n">
        <f aca="false">I97*(1-F97)*(1-H97)</f>
        <v>0.833170697459829</v>
      </c>
      <c r="J98" s="30" t="n">
        <f aca="false">INDEX(Discount_Monthly!$G$4:$G$664,MATCH(A98,Discount_Monthly!$A$4:$A$664,0))</f>
        <v>0.812283982917108</v>
      </c>
      <c r="K98" s="30" t="n">
        <f aca="false">IF(C98&lt;Assumptions!$B$5,I98*J98,0)</f>
        <v>0.676771212582494</v>
      </c>
      <c r="L98" s="30" t="n">
        <f aca="false">IF(C98&lt;Assumptions!$B$5,I98*(1-F98)*H98*A98*J98,0)</f>
        <v>0.0468578565032234</v>
      </c>
      <c r="M98" s="30" t="n">
        <f aca="false">IF(A98=0,Assumptions!$B$14*12*I98*J98,IF(AND(A98&gt;=12,C98&lt;Assumptions!$B$5),Assumptions!$B$15*I98*J98,0))</f>
        <v>0.0338385606291247</v>
      </c>
      <c r="N98" s="47" t="n">
        <f aca="false">IF(C98&gt;=Assumptions!$B$5,I98*Assumptions!$B$9/12*(1+Assumptions!$B$10)^INT(A98/12)*J98,0)</f>
        <v>0</v>
      </c>
      <c r="O98" s="47" t="n">
        <f aca="false">I98*Assumptions!$B$12/12*(1+Assumptions!$B$11)^(INT(A98/12)+1)*J98</f>
        <v>5.49720004241207</v>
      </c>
      <c r="P98" s="47" t="n">
        <f aca="false">O98+Pricing_M!$B$13*M98+N98-Pricing_M!$B$13*K98</f>
        <v>-639.533948570639</v>
      </c>
      <c r="Q98" s="47" t="n">
        <f aca="false">IF(C98&lt;Assumptions!$B$5,Pricing_M!$B$13*K98-Pricing_M!$B$13*M98-O98,-(N98+O98))</f>
        <v>639.533948570639</v>
      </c>
      <c r="R98" s="32" t="n">
        <f aca="false">R97*(1-(1-(1-MIN(1,E97*(1-Assumptions!$B$21)))^(1/12)))*(1-H97)</f>
        <v>0.842473291699457</v>
      </c>
      <c r="S98" s="47" t="n">
        <f aca="false">R98*(IF(C98&lt;Assumptions!$B$5,Assumptions!$B$12*(1+Assumptions!$B$11)^(INT(A98/12)+1)/12+Pricing_M!$B$13*IF(A98=0,Assumptions!$B$14*12,IF(A98&gt;=12,Assumptions!$B$15,0))-Pricing_M!$B$13,Assumptions!$B$9/12*(1+Assumptions!$B$10)^INT(A98/12)+Assumptions!$B$12*(1+Assumptions!$B$11)^(INT(A98/12)+1)/12))*J98</f>
        <v>-646.674531939879</v>
      </c>
      <c r="T98" s="32" t="n">
        <f aca="false">T97*(1-F97)*(1-(1-(1-MIN(1,G97*(1+Assumptions!$B$23)))^(1/12)))</f>
        <v>0.780959280160587</v>
      </c>
      <c r="U98" s="47" t="n">
        <f aca="false">T98*(IF(C98&lt;Assumptions!$B$5,Assumptions!$B$12*(1+Assumptions!$B$11)^(INT(A98/12)+1)/12+Pricing_M!$B$13*IF(A98=0,Assumptions!$B$14*12,IF(A98&gt;=12,Assumptions!$B$15,0))-Pricing_M!$B$13,Assumptions!$B$9/12*(1+Assumptions!$B$10)^INT(A98/12)+Assumptions!$B$12*(1+Assumptions!$B$11)^(INT(A98/12)+1)/12))*J98</f>
        <v>-599.456958384047</v>
      </c>
      <c r="V98" s="32" t="n">
        <f aca="false">V97*(1-F97)*(1-(1-(1-MIN(1,G97*(1-Assumptions!$B$23)))^(1/12)))</f>
        <v>0.888196065650301</v>
      </c>
      <c r="W98" s="47" t="n">
        <f aca="false">V98*(IF(C98&lt;Assumptions!$B$5,Assumptions!$B$12*(1+Assumptions!$B$11)^(INT(A98/12)+1)/12+Pricing_M!$B$13*IF(A98=0,Assumptions!$B$14*12,IF(A98&gt;=12,Assumptions!$B$15,0))-Pricing_M!$B$13,Assumptions!$B$9/12*(1+Assumptions!$B$10)^INT(A98/12)+Assumptions!$B$12*(1+Assumptions!$B$11)^(INT(A98/12)+1)/12))*J98</f>
        <v>-681.77090085148</v>
      </c>
      <c r="X98" s="47" t="n">
        <f aca="false">I98*(IF(C98&lt;Assumptions!$B$5,Assumptions!$B$12*(1+Assumptions!$B$11)*(1+Assumptions!$B$24)*(1+Assumptions!$B$11+Assumptions!$B$25)^(INT(A98/12))/12+Pricing_M!$B$13*IF(A98=0,Assumptions!$B$14*12,IF(A98&gt;=12,Assumptions!$B$15,0))-Pricing_M!$B$13,Assumptions!$B$9/12*(1+Assumptions!$B$10)^INT(A98/12)+Assumptions!$B$12*(1+Assumptions!$B$11)*(1+Assumptions!$B$24)*(1+Assumptions!$B$11+Assumptions!$B$25)^(INT(A98/12))/12))*J98</f>
        <v>-638.558983067848</v>
      </c>
    </row>
    <row r="99" customFormat="false" ht="15" hidden="false" customHeight="true" outlineLevel="0" collapsed="false">
      <c r="A99" s="1" t="n">
        <v>92</v>
      </c>
      <c r="B99" s="31" t="n">
        <f aca="false">Assumptions!$B$4+A99/12</f>
        <v>72.6666666666667</v>
      </c>
      <c r="C99" s="34" t="n">
        <f aca="false">Assumptions!$B$4+INT(A99/12)</f>
        <v>72</v>
      </c>
      <c r="D99" s="34" t="n">
        <f aca="false">INT(A99/12)+1</f>
        <v>8</v>
      </c>
      <c r="E99" s="32" t="n">
        <f aca="false">IFERROR(INDEX(Cohort_Survival!$G$5:$G$65,MATCH(C99,Cohort_Survival!$A$5:$A$65,0)),1)</f>
        <v>0.0104218313182508</v>
      </c>
      <c r="F99" s="30" t="n">
        <f aca="false">1-(1-MIN(1,E99))^(1/12)</f>
        <v>0.00087266225006899</v>
      </c>
      <c r="G99" s="39" t="n">
        <f aca="false">IF(C99&lt;Assumptions!$B$5,IF(D99=1,Assumptions!$B$16,IF(D99=2,Assumptions!$B$17,IF(D99&lt;=5,Assumptions!$B$18,Assumptions!$B$19)))*(1-Assumptions!$B$20),0)</f>
        <v>0.0091</v>
      </c>
      <c r="H99" s="30" t="n">
        <f aca="false">1-(1-G99)^(1/12)</f>
        <v>0.000761514726814627</v>
      </c>
      <c r="I99" s="30" t="n">
        <f aca="false">I98*(1-F98)*(1-H98)</f>
        <v>0.831809702767776</v>
      </c>
      <c r="J99" s="30" t="n">
        <f aca="false">INDEX(Discount_Monthly!$G$4:$G$664,MATCH(A99,Discount_Monthly!$A$4:$A$664,0))</f>
        <v>0.810197403980247</v>
      </c>
      <c r="K99" s="30" t="n">
        <f aca="false">IF(C99&lt;Assumptions!$B$5,I99*J99,0)</f>
        <v>0.673930061788033</v>
      </c>
      <c r="L99" s="30" t="n">
        <f aca="false">IF(C99&lt;Assumptions!$B$5,I99*(1-F99)*H99*A99*J99,0)</f>
        <v>0.0471739025142347</v>
      </c>
      <c r="M99" s="30" t="n">
        <f aca="false">IF(A99=0,Assumptions!$B$14*12*I99*J99,IF(AND(A99&gt;=12,C99&lt;Assumptions!$B$5),Assumptions!$B$15*I99*J99,0))</f>
        <v>0.0336965030894017</v>
      </c>
      <c r="N99" s="47" t="n">
        <f aca="false">IF(C99&gt;=Assumptions!$B$5,I99*Assumptions!$B$9/12*(1+Assumptions!$B$10)^INT(A99/12)*J99,0)</f>
        <v>0</v>
      </c>
      <c r="O99" s="47" t="n">
        <f aca="false">I99*Assumptions!$B$12/12*(1+Assumptions!$B$11)^(INT(A99/12)+1)*J99</f>
        <v>5.47412226667718</v>
      </c>
      <c r="P99" s="47" t="n">
        <f aca="false">O99+Pricing_M!$B$13*M99+N99-Pricing_M!$B$13*K99</f>
        <v>-636.849123400353</v>
      </c>
      <c r="Q99" s="47" t="n">
        <f aca="false">IF(C99&lt;Assumptions!$B$5,Pricing_M!$B$13*K99-Pricing_M!$B$13*M99-O99,-(N99+O99))</f>
        <v>636.849123400353</v>
      </c>
      <c r="R99" s="32" t="n">
        <f aca="false">R98*(1-(1-(1-MIN(1,E98*(1-Assumptions!$B$21)))^(1/12)))*(1-H98)</f>
        <v>0.841244593596637</v>
      </c>
      <c r="S99" s="47" t="n">
        <f aca="false">R99*(IF(C99&lt;Assumptions!$B$5,Assumptions!$B$12*(1+Assumptions!$B$11)^(INT(A99/12)+1)/12+Pricing_M!$B$13*IF(A99=0,Assumptions!$B$14*12,IF(A99&gt;=12,Assumptions!$B$15,0))-Pricing_M!$B$13,Assumptions!$B$9/12*(1+Assumptions!$B$10)^INT(A99/12)+Assumptions!$B$12*(1+Assumptions!$B$11)^(INT(A99/12)+1)/12))*J99</f>
        <v>-644.072652933303</v>
      </c>
      <c r="T99" s="32" t="n">
        <f aca="false">T98*(1-F98)*(1-(1-(1-MIN(1,G98*(1+Assumptions!$B$23)))^(1/12)))</f>
        <v>0.779384598771508</v>
      </c>
      <c r="U99" s="47" t="n">
        <f aca="false">T99*(IF(C99&lt;Assumptions!$B$5,Assumptions!$B$12*(1+Assumptions!$B$11)^(INT(A99/12)+1)/12+Pricing_M!$B$13*IF(A99=0,Assumptions!$B$14*12,IF(A99&gt;=12,Assumptions!$B$15,0))-Pricing_M!$B$13,Assumptions!$B$9/12*(1+Assumptions!$B$10)^INT(A99/12)+Assumptions!$B$12*(1+Assumptions!$B$11)^(INT(A99/12)+1)/12))*J99</f>
        <v>-596.711479642287</v>
      </c>
      <c r="V99" s="32" t="n">
        <f aca="false">V98*(1-F98)*(1-(1-(1-MIN(1,G98*(1-Assumptions!$B$23)))^(1/12)))</f>
        <v>0.887083786273303</v>
      </c>
      <c r="W99" s="47" t="n">
        <f aca="false">V99*(IF(C99&lt;Assumptions!$B$5,Assumptions!$B$12*(1+Assumptions!$B$11)^(INT(A99/12)+1)/12+Pricing_M!$B$13*IF(A99=0,Assumptions!$B$14*12,IF(A99&gt;=12,Assumptions!$B$15,0))-Pricing_M!$B$13,Assumptions!$B$9/12*(1+Assumptions!$B$10)^INT(A99/12)+Assumptions!$B$12*(1+Assumptions!$B$11)^(INT(A99/12)+1)/12))*J99</f>
        <v>-679.167999352537</v>
      </c>
      <c r="X99" s="47" t="n">
        <f aca="false">I99*(IF(C99&lt;Assumptions!$B$5,Assumptions!$B$12*(1+Assumptions!$B$11)*(1+Assumptions!$B$24)*(1+Assumptions!$B$11+Assumptions!$B$25)^(INT(A99/12))/12+Pricing_M!$B$13*IF(A99=0,Assumptions!$B$14*12,IF(A99&gt;=12,Assumptions!$B$15,0))-Pricing_M!$B$13,Assumptions!$B$9/12*(1+Assumptions!$B$10)^INT(A99/12)+Assumptions!$B$12*(1+Assumptions!$B$11)*(1+Assumptions!$B$24)*(1+Assumptions!$B$11+Assumptions!$B$25)^(INT(A99/12))/12))*J99</f>
        <v>-635.878250896734</v>
      </c>
    </row>
    <row r="100" customFormat="false" ht="15" hidden="false" customHeight="true" outlineLevel="0" collapsed="false">
      <c r="A100" s="1" t="n">
        <v>93</v>
      </c>
      <c r="B100" s="31" t="n">
        <f aca="false">Assumptions!$B$4+A100/12</f>
        <v>72.75</v>
      </c>
      <c r="C100" s="34" t="n">
        <f aca="false">Assumptions!$B$4+INT(A100/12)</f>
        <v>72</v>
      </c>
      <c r="D100" s="34" t="n">
        <f aca="false">INT(A100/12)+1</f>
        <v>8</v>
      </c>
      <c r="E100" s="32" t="n">
        <f aca="false">IFERROR(INDEX(Cohort_Survival!$G$5:$G$65,MATCH(C100,Cohort_Survival!$A$5:$A$65,0)),1)</f>
        <v>0.0104218313182508</v>
      </c>
      <c r="F100" s="30" t="n">
        <f aca="false">1-(1-MIN(1,E100))^(1/12)</f>
        <v>0.00087266225006899</v>
      </c>
      <c r="G100" s="39" t="n">
        <f aca="false">IF(C100&lt;Assumptions!$B$5,IF(D100=1,Assumptions!$B$16,IF(D100=2,Assumptions!$B$17,IF(D100&lt;=5,Assumptions!$B$18,Assumptions!$B$19)))*(1-Assumptions!$B$20),0)</f>
        <v>0.0091</v>
      </c>
      <c r="H100" s="30" t="n">
        <f aca="false">1-(1-G100)^(1/12)</f>
        <v>0.000761514726814627</v>
      </c>
      <c r="I100" s="30" t="n">
        <f aca="false">I99*(1-F99)*(1-H99)</f>
        <v>0.830450931277472</v>
      </c>
      <c r="J100" s="30" t="n">
        <f aca="false">INDEX(Discount_Monthly!$G$4:$G$664,MATCH(A100,Discount_Monthly!$A$4:$A$664,0))</f>
        <v>0.808116185005852</v>
      </c>
      <c r="K100" s="30" t="n">
        <f aca="false">IF(C100&lt;Assumptions!$B$5,I100*J100,0)</f>
        <v>0.671100838418508</v>
      </c>
      <c r="L100" s="30" t="n">
        <f aca="false">IF(C100&lt;Assumptions!$B$5,I100*(1-F100)*H100*A100*J100,0)</f>
        <v>0.0474864691185088</v>
      </c>
      <c r="M100" s="30" t="n">
        <f aca="false">IF(A100=0,Assumptions!$B$14*12*I100*J100,IF(AND(A100&gt;=12,C100&lt;Assumptions!$B$5),Assumptions!$B$15*I100*J100,0))</f>
        <v>0.0335550419209254</v>
      </c>
      <c r="N100" s="47" t="n">
        <f aca="false">IF(C100&gt;=Assumptions!$B$5,I100*Assumptions!$B$9/12*(1+Assumptions!$B$10)^INT(A100/12)*J100,0)</f>
        <v>0</v>
      </c>
      <c r="O100" s="47" t="n">
        <f aca="false">I100*Assumptions!$B$12/12*(1+Assumptions!$B$11)^(INT(A100/12)+1)*J100</f>
        <v>5.45114137366963</v>
      </c>
      <c r="P100" s="47" t="n">
        <f aca="false">O100+Pricing_M!$B$13*M100+N100-Pricing_M!$B$13*K100</f>
        <v>-634.175569384962</v>
      </c>
      <c r="Q100" s="47" t="n">
        <f aca="false">IF(C100&lt;Assumptions!$B$5,Pricing_M!$B$13*K100-Pricing_M!$B$13*M100-O100,-(N100+O100))</f>
        <v>634.175569384962</v>
      </c>
      <c r="R100" s="32" t="n">
        <f aca="false">R99*(1-(1-(1-MIN(1,E99*(1-Assumptions!$B$21)))^(1/12)))*(1-H99)</f>
        <v>0.840017687478254</v>
      </c>
      <c r="S100" s="47" t="n">
        <f aca="false">R100*(IF(C100&lt;Assumptions!$B$5,Assumptions!$B$12*(1+Assumptions!$B$11)^(INT(A100/12)+1)/12+Pricing_M!$B$13*IF(A100=0,Assumptions!$B$14*12,IF(A100&gt;=12,Assumptions!$B$15,0))-Pricing_M!$B$13,Assumptions!$B$9/12*(1+Assumptions!$B$10)^INT(A100/12)+Assumptions!$B$12*(1+Assumptions!$B$11)^(INT(A100/12)+1)/12))*J100</f>
        <v>-641.481242522645</v>
      </c>
      <c r="T100" s="32" t="n">
        <f aca="false">T99*(1-F99)*(1-(1-(1-MIN(1,G99*(1+Assumptions!$B$23)))^(1/12)))</f>
        <v>0.777813092479441</v>
      </c>
      <c r="U100" s="47" t="n">
        <f aca="false">T100*(IF(C100&lt;Assumptions!$B$5,Assumptions!$B$12*(1+Assumptions!$B$11)^(INT(A100/12)+1)/12+Pricing_M!$B$13*IF(A100=0,Assumptions!$B$14*12,IF(A100&gt;=12,Assumptions!$B$15,0))-Pricing_M!$B$13,Assumptions!$B$9/12*(1+Assumptions!$B$10)^INT(A100/12)+Assumptions!$B$12*(1+Assumptions!$B$11)^(INT(A100/12)+1)/12))*J100</f>
        <v>-593.978575036862</v>
      </c>
      <c r="V100" s="32" t="n">
        <f aca="false">V99*(1-F99)*(1-(1-(1-MIN(1,G99*(1-Assumptions!$B$23)))^(1/12)))</f>
        <v>0.885972899793053</v>
      </c>
      <c r="W100" s="47" t="n">
        <f aca="false">V100*(IF(C100&lt;Assumptions!$B$5,Assumptions!$B$12*(1+Assumptions!$B$11)^(INT(A100/12)+1)/12+Pricing_M!$B$13*IF(A100=0,Assumptions!$B$14*12,IF(A100&gt;=12,Assumptions!$B$15,0))-Pricing_M!$B$13,Assumptions!$B$9/12*(1+Assumptions!$B$10)^INT(A100/12)+Assumptions!$B$12*(1+Assumptions!$B$11)^(INT(A100/12)+1)/12))*J100</f>
        <v>-676.575035350492</v>
      </c>
      <c r="X100" s="47" t="n">
        <f aca="false">I100*(IF(C100&lt;Assumptions!$B$5,Assumptions!$B$12*(1+Assumptions!$B$11)*(1+Assumptions!$B$24)*(1+Assumptions!$B$11+Assumptions!$B$25)^(INT(A100/12))/12+Pricing_M!$B$13*IF(A100=0,Assumptions!$B$14*12,IF(A100&gt;=12,Assumptions!$B$15,0))-Pricing_M!$B$13,Assumptions!$B$9/12*(1+Assumptions!$B$10)^INT(A100/12)+Assumptions!$B$12*(1+Assumptions!$B$11)*(1+Assumptions!$B$24)*(1+Assumptions!$B$11+Assumptions!$B$25)^(INT(A100/12))/12))*J100</f>
        <v>-633.208772697711</v>
      </c>
    </row>
    <row r="101" customFormat="false" ht="15" hidden="false" customHeight="true" outlineLevel="0" collapsed="false">
      <c r="A101" s="1" t="n">
        <v>94</v>
      </c>
      <c r="B101" s="31" t="n">
        <f aca="false">Assumptions!$B$4+A101/12</f>
        <v>72.8333333333333</v>
      </c>
      <c r="C101" s="34" t="n">
        <f aca="false">Assumptions!$B$4+INT(A101/12)</f>
        <v>72</v>
      </c>
      <c r="D101" s="34" t="n">
        <f aca="false">INT(A101/12)+1</f>
        <v>8</v>
      </c>
      <c r="E101" s="32" t="n">
        <f aca="false">IFERROR(INDEX(Cohort_Survival!$G$5:$G$65,MATCH(C101,Cohort_Survival!$A$5:$A$65,0)),1)</f>
        <v>0.0104218313182508</v>
      </c>
      <c r="F101" s="30" t="n">
        <f aca="false">1-(1-MIN(1,E101))^(1/12)</f>
        <v>0.00087266225006899</v>
      </c>
      <c r="G101" s="39" t="n">
        <f aca="false">IF(C101&lt;Assumptions!$B$5,IF(D101=1,Assumptions!$B$16,IF(D101=2,Assumptions!$B$17,IF(D101&lt;=5,Assumptions!$B$18,Assumptions!$B$19)))*(1-Assumptions!$B$20),0)</f>
        <v>0.0091</v>
      </c>
      <c r="H101" s="30" t="n">
        <f aca="false">1-(1-G101)^(1/12)</f>
        <v>0.000761514726814627</v>
      </c>
      <c r="I101" s="30" t="n">
        <f aca="false">I100*(1-F100)*(1-H100)</f>
        <v>0.82909437935729</v>
      </c>
      <c r="J101" s="30" t="n">
        <f aca="false">INDEX(Discount_Monthly!$G$4:$G$664,MATCH(A101,Discount_Monthly!$A$4:$A$664,0))</f>
        <v>0.806040312225357</v>
      </c>
      <c r="K101" s="30" t="n">
        <f aca="false">IF(C101&lt;Assumptions!$B$5,I101*J101,0)</f>
        <v>0.668283492401439</v>
      </c>
      <c r="L101" s="30" t="n">
        <f aca="false">IF(C101&lt;Assumptions!$B$5,I101*(1-F101)*H101*A101*J101,0)</f>
        <v>0.0477955799598162</v>
      </c>
      <c r="M101" s="30" t="n">
        <f aca="false">IF(A101=0,Assumptions!$B$14*12*I101*J101,IF(AND(A101&gt;=12,C101&lt;Assumptions!$B$5),Assumptions!$B$15*I101*J101,0))</f>
        <v>0.0334141746200719</v>
      </c>
      <c r="N101" s="47" t="n">
        <f aca="false">IF(C101&gt;=Assumptions!$B$5,I101*Assumptions!$B$9/12*(1+Assumptions!$B$10)^INT(A101/12)*J101,0)</f>
        <v>0</v>
      </c>
      <c r="O101" s="47" t="n">
        <f aca="false">I101*Assumptions!$B$12/12*(1+Assumptions!$B$11)^(INT(A101/12)+1)*J101</f>
        <v>5.4282569566664</v>
      </c>
      <c r="P101" s="47" t="n">
        <f aca="false">O101+Pricing_M!$B$13*M101+N101-Pricing_M!$B$13*K101</f>
        <v>-631.513239207071</v>
      </c>
      <c r="Q101" s="47" t="n">
        <f aca="false">IF(C101&lt;Assumptions!$B$5,Pricing_M!$B$13*K101-Pricing_M!$B$13*M101-O101,-(N101+O101))</f>
        <v>631.513239207071</v>
      </c>
      <c r="R101" s="32" t="n">
        <f aca="false">R100*(1-(1-(1-MIN(1,E100*(1-Assumptions!$B$21)))^(1/12)))*(1-H100)</f>
        <v>0.838792570730804</v>
      </c>
      <c r="S101" s="47" t="n">
        <f aca="false">R101*(IF(C101&lt;Assumptions!$B$5,Assumptions!$B$12*(1+Assumptions!$B$11)^(INT(A101/12)+1)/12+Pricing_M!$B$13*IF(A101=0,Assumptions!$B$14*12,IF(A101&gt;=12,Assumptions!$B$15,0))-Pricing_M!$B$13,Assumptions!$B$9/12*(1+Assumptions!$B$10)^INT(A101/12)+Assumptions!$B$12*(1+Assumptions!$B$11)^(INT(A101/12)+1)/12))*J101</f>
        <v>-638.900258587766</v>
      </c>
      <c r="T101" s="32" t="n">
        <f aca="false">T100*(1-F100)*(1-(1-(1-MIN(1,G100*(1+Assumptions!$B$23)))^(1/12)))</f>
        <v>0.776244754882304</v>
      </c>
      <c r="U101" s="47" t="n">
        <f aca="false">T101*(IF(C101&lt;Assumptions!$B$5,Assumptions!$B$12*(1+Assumptions!$B$11)^(INT(A101/12)+1)/12+Pricing_M!$B$13*IF(A101=0,Assumptions!$B$14*12,IF(A101&gt;=12,Assumptions!$B$15,0))-Pricing_M!$B$13,Assumptions!$B$9/12*(1+Assumptions!$B$10)^INT(A101/12)+Assumptions!$B$12*(1+Assumptions!$B$11)^(INT(A101/12)+1)/12))*J101</f>
        <v>-591.258186978942</v>
      </c>
      <c r="V101" s="32" t="n">
        <f aca="false">V100*(1-F100)*(1-(1-(1-MIN(1,G100*(1-Assumptions!$B$23)))^(1/12)))</f>
        <v>0.884863404465242</v>
      </c>
      <c r="W101" s="47" t="n">
        <f aca="false">V101*(IF(C101&lt;Assumptions!$B$5,Assumptions!$B$12*(1+Assumptions!$B$11)^(INT(A101/12)+1)/12+Pricing_M!$B$13*IF(A101=0,Assumptions!$B$14*12,IF(A101&gt;=12,Assumptions!$B$15,0))-Pricing_M!$B$13,Assumptions!$B$9/12*(1+Assumptions!$B$10)^INT(A101/12)+Assumptions!$B$12*(1+Assumptions!$B$11)^(INT(A101/12)+1)/12))*J101</f>
        <v>-673.991970905439</v>
      </c>
      <c r="X101" s="47" t="n">
        <f aca="false">I101*(IF(C101&lt;Assumptions!$B$5,Assumptions!$B$12*(1+Assumptions!$B$11)*(1+Assumptions!$B$24)*(1+Assumptions!$B$11+Assumptions!$B$25)^(INT(A101/12))/12+Pricing_M!$B$13*IF(A101=0,Assumptions!$B$14*12,IF(A101&gt;=12,Assumptions!$B$15,0))-Pricing_M!$B$13,Assumptions!$B$9/12*(1+Assumptions!$B$10)^INT(A101/12)+Assumptions!$B$12*(1+Assumptions!$B$11)*(1+Assumptions!$B$24)*(1+Assumptions!$B$11+Assumptions!$B$25)^(INT(A101/12))/12))*J101</f>
        <v>-630.550501225517</v>
      </c>
    </row>
    <row r="102" customFormat="false" ht="15" hidden="false" customHeight="true" outlineLevel="0" collapsed="false">
      <c r="A102" s="1" t="n">
        <v>95</v>
      </c>
      <c r="B102" s="31" t="n">
        <f aca="false">Assumptions!$B$4+A102/12</f>
        <v>72.9166666666667</v>
      </c>
      <c r="C102" s="34" t="n">
        <f aca="false">Assumptions!$B$4+INT(A102/12)</f>
        <v>72</v>
      </c>
      <c r="D102" s="34" t="n">
        <f aca="false">INT(A102/12)+1</f>
        <v>8</v>
      </c>
      <c r="E102" s="32" t="n">
        <f aca="false">IFERROR(INDEX(Cohort_Survival!$G$5:$G$65,MATCH(C102,Cohort_Survival!$A$5:$A$65,0)),1)</f>
        <v>0.0104218313182508</v>
      </c>
      <c r="F102" s="30" t="n">
        <f aca="false">1-(1-MIN(1,E102))^(1/12)</f>
        <v>0.00087266225006899</v>
      </c>
      <c r="G102" s="39" t="n">
        <f aca="false">IF(C102&lt;Assumptions!$B$5,IF(D102=1,Assumptions!$B$16,IF(D102=2,Assumptions!$B$17,IF(D102&lt;=5,Assumptions!$B$18,Assumptions!$B$19)))*(1-Assumptions!$B$20),0)</f>
        <v>0.0091</v>
      </c>
      <c r="H102" s="30" t="n">
        <f aca="false">1-(1-G102)^(1/12)</f>
        <v>0.000761514726814627</v>
      </c>
      <c r="I102" s="30" t="n">
        <f aca="false">I101*(1-F101)*(1-H101)</f>
        <v>0.827740043381534</v>
      </c>
      <c r="J102" s="30" t="n">
        <f aca="false">INDEX(Discount_Monthly!$G$4:$G$664,MATCH(A102,Discount_Monthly!$A$4:$A$664,0))</f>
        <v>0.803969771905566</v>
      </c>
      <c r="K102" s="30" t="n">
        <f aca="false">IF(C102&lt;Assumptions!$B$5,I102*J102,0)</f>
        <v>0.665477973874555</v>
      </c>
      <c r="L102" s="30" t="n">
        <f aca="false">IF(C102&lt;Assumptions!$B$5,I102*(1-F102)*H102*A102*J102,0)</f>
        <v>0.0481012585447313</v>
      </c>
      <c r="M102" s="30" t="n">
        <f aca="false">IF(A102=0,Assumptions!$B$14*12*I102*J102,IF(AND(A102&gt;=12,C102&lt;Assumptions!$B$5),Assumptions!$B$15*I102*J102,0))</f>
        <v>0.0332738986937278</v>
      </c>
      <c r="N102" s="47" t="n">
        <f aca="false">IF(C102&gt;=Assumptions!$B$5,I102*Assumptions!$B$9/12*(1+Assumptions!$B$10)^INT(A102/12)*J102,0)</f>
        <v>0</v>
      </c>
      <c r="O102" s="47" t="n">
        <f aca="false">I102*Assumptions!$B$12/12*(1+Assumptions!$B$11)^(INT(A102/12)+1)*J102</f>
        <v>5.40546861065191</v>
      </c>
      <c r="P102" s="47" t="n">
        <f aca="false">O102+Pricing_M!$B$13*M102+N102-Pricing_M!$B$13*K102</f>
        <v>-628.862085747929</v>
      </c>
      <c r="Q102" s="47" t="n">
        <f aca="false">IF(C102&lt;Assumptions!$B$5,Pricing_M!$B$13*K102-Pricing_M!$B$13*M102-O102,-(N102+O102))</f>
        <v>628.862085747929</v>
      </c>
      <c r="R102" s="32" t="n">
        <f aca="false">R101*(1-(1-(1-MIN(1,E101*(1-Assumptions!$B$21)))^(1/12)))*(1-H101)</f>
        <v>0.837569240744594</v>
      </c>
      <c r="S102" s="47" t="n">
        <f aca="false">R102*(IF(C102&lt;Assumptions!$B$5,Assumptions!$B$12*(1+Assumptions!$B$11)^(INT(A102/12)+1)/12+Pricing_M!$B$13*IF(A102=0,Assumptions!$B$14*12,IF(A102&gt;=12,Assumptions!$B$15,0))-Pricing_M!$B$13,Assumptions!$B$9/12*(1+Assumptions!$B$10)^INT(A102/12)+Assumptions!$B$12*(1+Assumptions!$B$11)^(INT(A102/12)+1)/12))*J102</f>
        <v>-636.329659178</v>
      </c>
      <c r="T102" s="32" t="n">
        <f aca="false">T101*(1-F101)*(1-(1-(1-MIN(1,G101*(1+Assumptions!$B$23)))^(1/12)))</f>
        <v>0.774679579590921</v>
      </c>
      <c r="U102" s="47" t="n">
        <f aca="false">T102*(IF(C102&lt;Assumptions!$B$5,Assumptions!$B$12*(1+Assumptions!$B$11)^(INT(A102/12)+1)/12+Pricing_M!$B$13*IF(A102=0,Assumptions!$B$14*12,IF(A102&gt;=12,Assumptions!$B$15,0))-Pricing_M!$B$13,Assumptions!$B$9/12*(1+Assumptions!$B$10)^INT(A102/12)+Assumptions!$B$12*(1+Assumptions!$B$11)^(INT(A102/12)+1)/12))*J102</f>
        <v>-588.550258143454</v>
      </c>
      <c r="V102" s="32" t="n">
        <f aca="false">V101*(1-F101)*(1-(1-(1-MIN(1,G101*(1-Assumptions!$B$23)))^(1/12)))</f>
        <v>0.883755298547741</v>
      </c>
      <c r="W102" s="47" t="n">
        <f aca="false">V102*(IF(C102&lt;Assumptions!$B$5,Assumptions!$B$12*(1+Assumptions!$B$11)^(INT(A102/12)+1)/12+Pricing_M!$B$13*IF(A102=0,Assumptions!$B$14*12,IF(A102&gt;=12,Assumptions!$B$15,0))-Pricing_M!$B$13,Assumptions!$B$9/12*(1+Assumptions!$B$10)^INT(A102/12)+Assumptions!$B$12*(1+Assumptions!$B$11)^(INT(A102/12)+1)/12))*J102</f>
        <v>-671.418768222317</v>
      </c>
      <c r="X102" s="47" t="n">
        <f aca="false">I102*(IF(C102&lt;Assumptions!$B$5,Assumptions!$B$12*(1+Assumptions!$B$11)*(1+Assumptions!$B$24)*(1+Assumptions!$B$11+Assumptions!$B$25)^(INT(A102/12))/12+Pricing_M!$B$13*IF(A102=0,Assumptions!$B$14*12,IF(A102&gt;=12,Assumptions!$B$15,0))-Pricing_M!$B$13,Assumptions!$B$9/12*(1+Assumptions!$B$10)^INT(A102/12)+Assumptions!$B$12*(1+Assumptions!$B$11)*(1+Assumptions!$B$24)*(1+Assumptions!$B$11+Assumptions!$B$25)^(INT(A102/12))/12))*J102</f>
        <v>-627.903389433234</v>
      </c>
    </row>
    <row r="103" customFormat="false" ht="15" hidden="false" customHeight="true" outlineLevel="0" collapsed="false">
      <c r="A103" s="1" t="n">
        <v>96</v>
      </c>
      <c r="B103" s="31" t="n">
        <f aca="false">Assumptions!$B$4+A103/12</f>
        <v>73</v>
      </c>
      <c r="C103" s="34" t="n">
        <f aca="false">Assumptions!$B$4+INT(A103/12)</f>
        <v>73</v>
      </c>
      <c r="D103" s="34" t="n">
        <f aca="false">INT(A103/12)+1</f>
        <v>9</v>
      </c>
      <c r="E103" s="32" t="n">
        <f aca="false">IFERROR(INDEX(Cohort_Survival!$G$5:$G$65,MATCH(C103,Cohort_Survival!$A$5:$A$65,0)),1)</f>
        <v>0.0115816824955086</v>
      </c>
      <c r="F103" s="30" t="n">
        <f aca="false">1-(1-MIN(1,E103))^(1/12)</f>
        <v>0.000970301665786377</v>
      </c>
      <c r="G103" s="39" t="n">
        <f aca="false">IF(C103&lt;Assumptions!$B$5,IF(D103=1,Assumptions!$B$16,IF(D103=2,Assumptions!$B$17,IF(D103&lt;=5,Assumptions!$B$18,Assumptions!$B$19)))*(1-Assumptions!$B$20),0)</f>
        <v>0.0091</v>
      </c>
      <c r="H103" s="30" t="n">
        <f aca="false">1-(1-G103)^(1/12)</f>
        <v>0.000761514726814627</v>
      </c>
      <c r="I103" s="30" t="n">
        <f aca="false">I102*(1-F102)*(1-H102)</f>
        <v>0.82638791973043</v>
      </c>
      <c r="J103" s="30" t="n">
        <f aca="false">INDEX(Discount_Monthly!$G$4:$G$664,MATCH(A103,Discount_Monthly!$A$4:$A$664,0))</f>
        <v>0.801904550348561</v>
      </c>
      <c r="K103" s="30" t="n">
        <f aca="false">IF(C103&lt;Assumptions!$B$5,I103*J103,0)</f>
        <v>0.662684233184913</v>
      </c>
      <c r="L103" s="30" t="n">
        <f aca="false">IF(C103&lt;Assumptions!$B$5,I103*(1-F103)*H103*A103*J103,0)</f>
        <v>0.0483987980232658</v>
      </c>
      <c r="M103" s="30" t="n">
        <f aca="false">IF(A103=0,Assumptions!$B$14*12*I103*J103,IF(AND(A103&gt;=12,C103&lt;Assumptions!$B$5),Assumptions!$B$15*I103*J103,0))</f>
        <v>0.0331342116592457</v>
      </c>
      <c r="N103" s="47" t="n">
        <f aca="false">IF(C103&gt;=Assumptions!$B$5,I103*Assumptions!$B$9/12*(1+Assumptions!$B$10)^INT(A103/12)*J103,0)</f>
        <v>0</v>
      </c>
      <c r="O103" s="47" t="n">
        <f aca="false">I103*Assumptions!$B$12/12*(1+Assumptions!$B$11)^(INT(A103/12)+1)*J103</f>
        <v>5.51734533061868</v>
      </c>
      <c r="P103" s="47" t="n">
        <f aca="false">O103+Pricing_M!$B$13*M103+N103-Pricing_M!$B$13*K103</f>
        <v>-626.087492688285</v>
      </c>
      <c r="Q103" s="47" t="n">
        <f aca="false">IF(C103&lt;Assumptions!$B$5,Pricing_M!$B$13*K103-Pricing_M!$B$13*M103-O103,-(N103+O103))</f>
        <v>626.087492688285</v>
      </c>
      <c r="R103" s="32" t="n">
        <f aca="false">R102*(1-(1-(1-MIN(1,E102*(1-Assumptions!$B$21)))^(1/12)))*(1-H102)</f>
        <v>0.836347694913736</v>
      </c>
      <c r="S103" s="47" t="n">
        <f aca="false">R103*(IF(C103&lt;Assumptions!$B$5,Assumptions!$B$12*(1+Assumptions!$B$11)^(INT(A103/12)+1)/12+Pricing_M!$B$13*IF(A103=0,Assumptions!$B$14*12,IF(A103&gt;=12,Assumptions!$B$15,0))-Pricing_M!$B$13,Assumptions!$B$9/12*(1+Assumptions!$B$10)^INT(A103/12)+Assumptions!$B$12*(1+Assumptions!$B$11)^(INT(A103/12)+1)/12))*J103</f>
        <v>-633.633211258674</v>
      </c>
      <c r="T103" s="32" t="n">
        <f aca="false">T102*(1-F102)*(1-(1-(1-MIN(1,G102*(1+Assumptions!$B$23)))^(1/12)))</f>
        <v>0.773117560229002</v>
      </c>
      <c r="U103" s="47" t="n">
        <f aca="false">T103*(IF(C103&lt;Assumptions!$B$5,Assumptions!$B$12*(1+Assumptions!$B$11)^(INT(A103/12)+1)/12+Pricing_M!$B$13*IF(A103=0,Assumptions!$B$14*12,IF(A103&gt;=12,Assumptions!$B$15,0))-Pricing_M!$B$13,Assumptions!$B$9/12*(1+Assumptions!$B$10)^INT(A103/12)+Assumptions!$B$12*(1+Assumptions!$B$11)^(INT(A103/12)+1)/12))*J103</f>
        <v>-585.728836640006</v>
      </c>
      <c r="V103" s="32" t="n">
        <f aca="false">V102*(1-F102)*(1-(1-(1-MIN(1,G102*(1-Assumptions!$B$23)))^(1/12)))</f>
        <v>0.882648580300607</v>
      </c>
      <c r="W103" s="47" t="n">
        <f aca="false">V103*(IF(C103&lt;Assumptions!$B$5,Assumptions!$B$12*(1+Assumptions!$B$11)^(INT(A103/12)+1)/12+Pricing_M!$B$13*IF(A103=0,Assumptions!$B$14*12,IF(A103&gt;=12,Assumptions!$B$15,0))-Pricing_M!$B$13,Assumptions!$B$9/12*(1+Assumptions!$B$10)^INT(A103/12)+Assumptions!$B$12*(1+Assumptions!$B$11)^(INT(A103/12)+1)/12))*J103</f>
        <v>-668.711658739573</v>
      </c>
      <c r="X103" s="47" t="n">
        <f aca="false">I103*(IF(C103&lt;Assumptions!$B$5,Assumptions!$B$12*(1+Assumptions!$B$11)*(1+Assumptions!$B$24)*(1+Assumptions!$B$11+Assumptions!$B$25)^(INT(A103/12))/12+Pricing_M!$B$13*IF(A103=0,Assumptions!$B$14*12,IF(A103&gt;=12,Assumptions!$B$15,0))-Pricing_M!$B$13,Assumptions!$B$9/12*(1+Assumptions!$B$10)^INT(A103/12)+Assumptions!$B$12*(1+Assumptions!$B$11)*(1+Assumptions!$B$24)*(1+Assumptions!$B$11+Assumptions!$B$25)^(INT(A103/12))/12))*J103</f>
        <v>-625.045579807289</v>
      </c>
    </row>
    <row r="104" customFormat="false" ht="15" hidden="false" customHeight="true" outlineLevel="0" collapsed="false">
      <c r="A104" s="1" t="n">
        <v>97</v>
      </c>
      <c r="B104" s="31" t="n">
        <f aca="false">Assumptions!$B$4+A104/12</f>
        <v>73.0833333333333</v>
      </c>
      <c r="C104" s="34" t="n">
        <f aca="false">Assumptions!$B$4+INT(A104/12)</f>
        <v>73</v>
      </c>
      <c r="D104" s="34" t="n">
        <f aca="false">INT(A104/12)+1</f>
        <v>9</v>
      </c>
      <c r="E104" s="32" t="n">
        <f aca="false">IFERROR(INDEX(Cohort_Survival!$G$5:$G$65,MATCH(C104,Cohort_Survival!$A$5:$A$65,0)),1)</f>
        <v>0.0115816824955086</v>
      </c>
      <c r="F104" s="30" t="n">
        <f aca="false">1-(1-MIN(1,E104))^(1/12)</f>
        <v>0.000970301665786377</v>
      </c>
      <c r="G104" s="39" t="n">
        <f aca="false">IF(C104&lt;Assumptions!$B$5,IF(D104=1,Assumptions!$B$16,IF(D104=2,Assumptions!$B$17,IF(D104&lt;=5,Assumptions!$B$18,Assumptions!$B$19)))*(1-Assumptions!$B$20),0)</f>
        <v>0.0091</v>
      </c>
      <c r="H104" s="30" t="n">
        <f aca="false">1-(1-G104)^(1/12)</f>
        <v>0.000761514726814627</v>
      </c>
      <c r="I104" s="30" t="n">
        <f aca="false">I103*(1-F103)*(1-H103)</f>
        <v>0.824957378201608</v>
      </c>
      <c r="J104" s="30" t="n">
        <f aca="false">INDEX(Discount_Monthly!$G$4:$G$664,MATCH(A104,Discount_Monthly!$A$4:$A$664,0))</f>
        <v>0.799776674300048</v>
      </c>
      <c r="K104" s="30" t="n">
        <f aca="false">IF(C104&lt;Assumptions!$B$5,I104*J104,0)</f>
        <v>0.659781668377369</v>
      </c>
      <c r="L104" s="30" t="n">
        <f aca="false">IF(C104&lt;Assumptions!$B$5,I104*(1-F104)*H104*A104*J104,0)</f>
        <v>0.048688756658352</v>
      </c>
      <c r="M104" s="30" t="n">
        <f aca="false">IF(A104=0,Assumptions!$B$14*12*I104*J104,IF(AND(A104&gt;=12,C104&lt;Assumptions!$B$5),Assumptions!$B$15*I104*J104,0))</f>
        <v>0.0329890834188685</v>
      </c>
      <c r="N104" s="47" t="n">
        <f aca="false">IF(C104&gt;=Assumptions!$B$5,I104*Assumptions!$B$9/12*(1+Assumptions!$B$10)^INT(A104/12)*J104,0)</f>
        <v>0</v>
      </c>
      <c r="O104" s="47" t="n">
        <f aca="false">I104*Assumptions!$B$12/12*(1+Assumptions!$B$11)^(INT(A104/12)+1)*J104</f>
        <v>5.49317929257858</v>
      </c>
      <c r="P104" s="47" t="n">
        <f aca="false">O104+Pricing_M!$B$13*M104+N104-Pricing_M!$B$13*K104</f>
        <v>-623.345222038527</v>
      </c>
      <c r="Q104" s="47" t="n">
        <f aca="false">IF(C104&lt;Assumptions!$B$5,Pricing_M!$B$13*K104-Pricing_M!$B$13*M104-O104,-(N104+O104))</f>
        <v>623.345222038527</v>
      </c>
      <c r="R104" s="32" t="n">
        <f aca="false">R103*(1-(1-(1-MIN(1,E103*(1-Assumptions!$B$21)))^(1/12)))*(1-H103)</f>
        <v>0.835062784834593</v>
      </c>
      <c r="S104" s="47" t="n">
        <f aca="false">R104*(IF(C104&lt;Assumptions!$B$5,Assumptions!$B$12*(1+Assumptions!$B$11)^(INT(A104/12)+1)/12+Pricing_M!$B$13*IF(A104=0,Assumptions!$B$14*12,IF(A104&gt;=12,Assumptions!$B$15,0))-Pricing_M!$B$13,Assumptions!$B$9/12*(1+Assumptions!$B$10)^INT(A104/12)+Assumptions!$B$12*(1+Assumptions!$B$11)^(INT(A104/12)+1)/12))*J104</f>
        <v>-630.980958269118</v>
      </c>
      <c r="T104" s="32" t="n">
        <f aca="false">T103*(1-F103)*(1-(1-(1-MIN(1,G103*(1+Assumptions!$B$23)))^(1/12)))</f>
        <v>0.771483290094356</v>
      </c>
      <c r="U104" s="47" t="n">
        <f aca="false">T104*(IF(C104&lt;Assumptions!$B$5,Assumptions!$B$12*(1+Assumptions!$B$11)^(INT(A104/12)+1)/12+Pricing_M!$B$13*IF(A104=0,Assumptions!$B$14*12,IF(A104&gt;=12,Assumptions!$B$15,0))-Pricing_M!$B$13,Assumptions!$B$9/12*(1+Assumptions!$B$10)^INT(A104/12)+Assumptions!$B$12*(1+Assumptions!$B$11)^(INT(A104/12)+1)/12))*J104</f>
        <v>-582.93971963889</v>
      </c>
      <c r="V104" s="32" t="n">
        <f aca="false">V103*(1-F103)*(1-(1-(1-MIN(1,G103*(1-Assumptions!$B$23)))^(1/12)))</f>
        <v>0.881457099439826</v>
      </c>
      <c r="W104" s="47" t="n">
        <f aca="false">V104*(IF(C104&lt;Assumptions!$B$5,Assumptions!$B$12*(1+Assumptions!$B$11)^(INT(A104/12)+1)/12+Pricing_M!$B$13*IF(A104=0,Assumptions!$B$14*12,IF(A104&gt;=12,Assumptions!$B$15,0))-Pricing_M!$B$13,Assumptions!$B$9/12*(1+Assumptions!$B$10)^INT(A104/12)+Assumptions!$B$12*(1+Assumptions!$B$11)^(INT(A104/12)+1)/12))*J104</f>
        <v>-666.036920071616</v>
      </c>
      <c r="X104" s="47" t="n">
        <f aca="false">I104*(IF(C104&lt;Assumptions!$B$5,Assumptions!$B$12*(1+Assumptions!$B$11)*(1+Assumptions!$B$24)*(1+Assumptions!$B$11+Assumptions!$B$25)^(INT(A104/12))/12+Pricing_M!$B$13*IF(A104=0,Assumptions!$B$14*12,IF(A104&gt;=12,Assumptions!$B$15,0))-Pricing_M!$B$13,Assumptions!$B$9/12*(1+Assumptions!$B$10)^INT(A104/12)+Assumptions!$B$12*(1+Assumptions!$B$11)*(1+Assumptions!$B$24)*(1+Assumptions!$B$11+Assumptions!$B$25)^(INT(A104/12))/12))*J104</f>
        <v>-622.307872748317</v>
      </c>
    </row>
    <row r="105" customFormat="false" ht="15" hidden="false" customHeight="true" outlineLevel="0" collapsed="false">
      <c r="A105" s="1" t="n">
        <v>98</v>
      </c>
      <c r="B105" s="31" t="n">
        <f aca="false">Assumptions!$B$4+A105/12</f>
        <v>73.1666666666667</v>
      </c>
      <c r="C105" s="34" t="n">
        <f aca="false">Assumptions!$B$4+INT(A105/12)</f>
        <v>73</v>
      </c>
      <c r="D105" s="34" t="n">
        <f aca="false">INT(A105/12)+1</f>
        <v>9</v>
      </c>
      <c r="E105" s="32" t="n">
        <f aca="false">IFERROR(INDEX(Cohort_Survival!$G$5:$G$65,MATCH(C105,Cohort_Survival!$A$5:$A$65,0)),1)</f>
        <v>0.0115816824955086</v>
      </c>
      <c r="F105" s="30" t="n">
        <f aca="false">1-(1-MIN(1,E105))^(1/12)</f>
        <v>0.000970301665786377</v>
      </c>
      <c r="G105" s="39" t="n">
        <f aca="false">IF(C105&lt;Assumptions!$B$5,IF(D105=1,Assumptions!$B$16,IF(D105=2,Assumptions!$B$17,IF(D105&lt;=5,Assumptions!$B$18,Assumptions!$B$19)))*(1-Assumptions!$B$20),0)</f>
        <v>0.0091</v>
      </c>
      <c r="H105" s="30" t="n">
        <f aca="false">1-(1-G105)^(1/12)</f>
        <v>0.000761514726814627</v>
      </c>
      <c r="I105" s="30" t="n">
        <f aca="false">I104*(1-F104)*(1-H104)</f>
        <v>0.823529313051029</v>
      </c>
      <c r="J105" s="30" t="n">
        <f aca="false">INDEX(Discount_Monthly!$G$4:$G$664,MATCH(A105,Discount_Monthly!$A$4:$A$664,0))</f>
        <v>0.797654444629869</v>
      </c>
      <c r="K105" s="30" t="n">
        <f aca="false">IF(C105&lt;Assumptions!$B$5,I105*J105,0)</f>
        <v>0.656891816838136</v>
      </c>
      <c r="L105" s="30" t="n">
        <f aca="false">IF(C105&lt;Assumptions!$B$5,I105*(1-F105)*H105*A105*J105,0)</f>
        <v>0.0489752467419776</v>
      </c>
      <c r="M105" s="30" t="n">
        <f aca="false">IF(A105=0,Assumptions!$B$14*12*I105*J105,IF(AND(A105&gt;=12,C105&lt;Assumptions!$B$5),Assumptions!$B$15*I105*J105,0))</f>
        <v>0.0328445908419068</v>
      </c>
      <c r="N105" s="47" t="n">
        <f aca="false">IF(C105&gt;=Assumptions!$B$5,I105*Assumptions!$B$9/12*(1+Assumptions!$B$10)^INT(A105/12)*J105,0)</f>
        <v>0</v>
      </c>
      <c r="O105" s="47" t="n">
        <f aca="false">I105*Assumptions!$B$12/12*(1+Assumptions!$B$11)^(INT(A105/12)+1)*J105</f>
        <v>5.46911910207195</v>
      </c>
      <c r="P105" s="47" t="n">
        <f aca="false">O105+Pricing_M!$B$13*M105+N105-Pricing_M!$B$13*K105</f>
        <v>-620.614962566766</v>
      </c>
      <c r="Q105" s="47" t="n">
        <f aca="false">IF(C105&lt;Assumptions!$B$5,Pricing_M!$B$13*K105-Pricing_M!$B$13*M105-O105,-(N105+O105))</f>
        <v>620.614962566766</v>
      </c>
      <c r="R105" s="32" t="n">
        <f aca="false">R104*(1-(1-(1-MIN(1,E104*(1-Assumptions!$B$21)))^(1/12)))*(1-H104)</f>
        <v>0.833779848807535</v>
      </c>
      <c r="S105" s="47" t="n">
        <f aca="false">R105*(IF(C105&lt;Assumptions!$B$5,Assumptions!$B$12*(1+Assumptions!$B$11)^(INT(A105/12)+1)/12+Pricing_M!$B$13*IF(A105=0,Assumptions!$B$14*12,IF(A105&gt;=12,Assumptions!$B$15,0))-Pricing_M!$B$13,Assumptions!$B$9/12*(1+Assumptions!$B$10)^INT(A105/12)+Assumptions!$B$12*(1+Assumptions!$B$11)^(INT(A105/12)+1)/12))*J105</f>
        <v>-628.339807042847</v>
      </c>
      <c r="T105" s="32" t="n">
        <f aca="false">T104*(1-F104)*(1-(1-(1-MIN(1,G104*(1+Assumptions!$B$23)))^(1/12)))</f>
        <v>0.769852474594569</v>
      </c>
      <c r="U105" s="47" t="n">
        <f aca="false">T105*(IF(C105&lt;Assumptions!$B$5,Assumptions!$B$12*(1+Assumptions!$B$11)^(INT(A105/12)+1)/12+Pricing_M!$B$13*IF(A105=0,Assumptions!$B$14*12,IF(A105&gt;=12,Assumptions!$B$15,0))-Pricing_M!$B$13,Assumptions!$B$9/12*(1+Assumptions!$B$10)^INT(A105/12)+Assumptions!$B$12*(1+Assumptions!$B$11)^(INT(A105/12)+1)/12))*J105</f>
        <v>-580.163883823811</v>
      </c>
      <c r="V105" s="32" t="n">
        <f aca="false">V104*(1-F104)*(1-(1-(1-MIN(1,G104*(1-Assumptions!$B$23)))^(1/12)))</f>
        <v>0.880267226950341</v>
      </c>
      <c r="W105" s="47" t="n">
        <f aca="false">V105*(IF(C105&lt;Assumptions!$B$5,Assumptions!$B$12*(1+Assumptions!$B$11)^(INT(A105/12)+1)/12+Pricing_M!$B$13*IF(A105=0,Assumptions!$B$14*12,IF(A105&gt;=12,Assumptions!$B$15,0))-Pricing_M!$B$13,Assumptions!$B$9/12*(1+Assumptions!$B$10)^INT(A105/12)+Assumptions!$B$12*(1+Assumptions!$B$11)^(INT(A105/12)+1)/12))*J105</f>
        <v>-663.372879926479</v>
      </c>
      <c r="X105" s="47" t="n">
        <f aca="false">I105*(IF(C105&lt;Assumptions!$B$5,Assumptions!$B$12*(1+Assumptions!$B$11)*(1+Assumptions!$B$24)*(1+Assumptions!$B$11+Assumptions!$B$25)^(INT(A105/12))/12+Pricing_M!$B$13*IF(A105=0,Assumptions!$B$14*12,IF(A105&gt;=12,Assumptions!$B$15,0))-Pricing_M!$B$13,Assumptions!$B$9/12*(1+Assumptions!$B$10)^INT(A105/12)+Assumptions!$B$12*(1+Assumptions!$B$11)*(1+Assumptions!$B$24)*(1+Assumptions!$B$11+Assumptions!$B$25)^(INT(A105/12))/12))*J105</f>
        <v>-619.582156878761</v>
      </c>
    </row>
    <row r="106" customFormat="false" ht="15" hidden="false" customHeight="true" outlineLevel="0" collapsed="false">
      <c r="A106" s="1" t="n">
        <v>99</v>
      </c>
      <c r="B106" s="31" t="n">
        <f aca="false">Assumptions!$B$4+A106/12</f>
        <v>73.25</v>
      </c>
      <c r="C106" s="34" t="n">
        <f aca="false">Assumptions!$B$4+INT(A106/12)</f>
        <v>73</v>
      </c>
      <c r="D106" s="34" t="n">
        <f aca="false">INT(A106/12)+1</f>
        <v>9</v>
      </c>
      <c r="E106" s="32" t="n">
        <f aca="false">IFERROR(INDEX(Cohort_Survival!$G$5:$G$65,MATCH(C106,Cohort_Survival!$A$5:$A$65,0)),1)</f>
        <v>0.0115816824955086</v>
      </c>
      <c r="F106" s="30" t="n">
        <f aca="false">1-(1-MIN(1,E106))^(1/12)</f>
        <v>0.000970301665786377</v>
      </c>
      <c r="G106" s="39" t="n">
        <f aca="false">IF(C106&lt;Assumptions!$B$5,IF(D106=1,Assumptions!$B$16,IF(D106=2,Assumptions!$B$17,IF(D106&lt;=5,Assumptions!$B$18,Assumptions!$B$19)))*(1-Assumptions!$B$20),0)</f>
        <v>0.0091</v>
      </c>
      <c r="H106" s="30" t="n">
        <f aca="false">1-(1-G106)^(1/12)</f>
        <v>0.000761514726814627</v>
      </c>
      <c r="I106" s="30" t="n">
        <f aca="false">I105*(1-F105)*(1-H105)</f>
        <v>0.822103719991893</v>
      </c>
      <c r="J106" s="30" t="n">
        <f aca="false">INDEX(Discount_Monthly!$G$4:$G$664,MATCH(A106,Discount_Monthly!$A$4:$A$664,0))</f>
        <v>0.795537846355199</v>
      </c>
      <c r="K106" s="30" t="n">
        <f aca="false">IF(C106&lt;Assumptions!$B$5,I106*J106,0)</f>
        <v>0.654014622882948</v>
      </c>
      <c r="L106" s="30" t="n">
        <f aca="false">IF(C106&lt;Assumptions!$B$5,I106*(1-F106)*H106*A106*J106,0)</f>
        <v>0.0492582930960233</v>
      </c>
      <c r="M106" s="30" t="n">
        <f aca="false">IF(A106=0,Assumptions!$B$14*12*I106*J106,IF(AND(A106&gt;=12,C106&lt;Assumptions!$B$5),Assumptions!$B$15*I106*J106,0))</f>
        <v>0.0327007311441474</v>
      </c>
      <c r="N106" s="47" t="n">
        <f aca="false">IF(C106&gt;=Assumptions!$B$5,I106*Assumptions!$B$9/12*(1+Assumptions!$B$10)^INT(A106/12)*J106,0)</f>
        <v>0</v>
      </c>
      <c r="O106" s="47" t="n">
        <f aca="false">I106*Assumptions!$B$12/12*(1+Assumptions!$B$11)^(INT(A106/12)+1)*J106</f>
        <v>5.44516429548534</v>
      </c>
      <c r="P106" s="47" t="n">
        <f aca="false">O106+Pricing_M!$B$13*M106+N106-Pricing_M!$B$13*K106</f>
        <v>-617.8966616639</v>
      </c>
      <c r="Q106" s="47" t="n">
        <f aca="false">IF(C106&lt;Assumptions!$B$5,Pricing_M!$B$13*K106-Pricing_M!$B$13*M106-O106,-(N106+O106))</f>
        <v>617.8966616639</v>
      </c>
      <c r="R106" s="32" t="n">
        <f aca="false">R105*(1-(1-(1-MIN(1,E105*(1-Assumptions!$B$21)))^(1/12)))*(1-H105)</f>
        <v>0.832498883799757</v>
      </c>
      <c r="S106" s="47" t="n">
        <f aca="false">R106*(IF(C106&lt;Assumptions!$B$5,Assumptions!$B$12*(1+Assumptions!$B$11)^(INT(A106/12)+1)/12+Pricing_M!$B$13*IF(A106=0,Assumptions!$B$14*12,IF(A106&gt;=12,Assumptions!$B$15,0))-Pricing_M!$B$13,Assumptions!$B$9/12*(1+Assumptions!$B$10)^INT(A106/12)+Assumptions!$B$12*(1+Assumptions!$B$11)^(INT(A106/12)+1)/12))*J106</f>
        <v>-625.709711110255</v>
      </c>
      <c r="T106" s="32" t="n">
        <f aca="false">T105*(1-F105)*(1-(1-(1-MIN(1,G105*(1+Assumptions!$B$23)))^(1/12)))</f>
        <v>0.76822510642699</v>
      </c>
      <c r="U106" s="47" t="n">
        <f aca="false">T106*(IF(C106&lt;Assumptions!$B$5,Assumptions!$B$12*(1+Assumptions!$B$11)^(INT(A106/12)+1)/12+Pricing_M!$B$13*IF(A106=0,Assumptions!$B$14*12,IF(A106&gt;=12,Assumptions!$B$15,0))-Pricing_M!$B$13,Assumptions!$B$9/12*(1+Assumptions!$B$10)^INT(A106/12)+Assumptions!$B$12*(1+Assumptions!$B$11)^(INT(A106/12)+1)/12))*J106</f>
        <v>-577.401265952564</v>
      </c>
      <c r="V106" s="32" t="n">
        <f aca="false">V105*(1-F105)*(1-(1-(1-MIN(1,G105*(1-Assumptions!$B$23)))^(1/12)))</f>
        <v>0.879078960661025</v>
      </c>
      <c r="W106" s="47" t="n">
        <f aca="false">V106*(IF(C106&lt;Assumptions!$B$5,Assumptions!$B$12*(1+Assumptions!$B$11)^(INT(A106/12)+1)/12+Pricing_M!$B$13*IF(A106=0,Assumptions!$B$14*12,IF(A106&gt;=12,Assumptions!$B$15,0))-Pricing_M!$B$13,Assumptions!$B$9/12*(1+Assumptions!$B$10)^INT(A106/12)+Assumptions!$B$12*(1+Assumptions!$B$11)^(INT(A106/12)+1)/12))*J106</f>
        <v>-660.7194955118</v>
      </c>
      <c r="X106" s="47" t="n">
        <f aca="false">I106*(IF(C106&lt;Assumptions!$B$5,Assumptions!$B$12*(1+Assumptions!$B$11)*(1+Assumptions!$B$24)*(1+Assumptions!$B$11+Assumptions!$B$25)^(INT(A106/12))/12+Pricing_M!$B$13*IF(A106=0,Assumptions!$B$14*12,IF(A106&gt;=12,Assumptions!$B$15,0))-Pricing_M!$B$13,Assumptions!$B$9/12*(1+Assumptions!$B$10)^INT(A106/12)+Assumptions!$B$12*(1+Assumptions!$B$11)*(1+Assumptions!$B$24)*(1+Assumptions!$B$11+Assumptions!$B$25)^(INT(A106/12))/12))*J106</f>
        <v>-616.868379677068</v>
      </c>
    </row>
    <row r="107" customFormat="false" ht="15" hidden="false" customHeight="true" outlineLevel="0" collapsed="false">
      <c r="A107" s="1" t="n">
        <v>100</v>
      </c>
      <c r="B107" s="31" t="n">
        <f aca="false">Assumptions!$B$4+A107/12</f>
        <v>73.3333333333333</v>
      </c>
      <c r="C107" s="34" t="n">
        <f aca="false">Assumptions!$B$4+INT(A107/12)</f>
        <v>73</v>
      </c>
      <c r="D107" s="34" t="n">
        <f aca="false">INT(A107/12)+1</f>
        <v>9</v>
      </c>
      <c r="E107" s="32" t="n">
        <f aca="false">IFERROR(INDEX(Cohort_Survival!$G$5:$G$65,MATCH(C107,Cohort_Survival!$A$5:$A$65,0)),1)</f>
        <v>0.0115816824955086</v>
      </c>
      <c r="F107" s="30" t="n">
        <f aca="false">1-(1-MIN(1,E107))^(1/12)</f>
        <v>0.000970301665786377</v>
      </c>
      <c r="G107" s="39" t="n">
        <f aca="false">IF(C107&lt;Assumptions!$B$5,IF(D107=1,Assumptions!$B$16,IF(D107=2,Assumptions!$B$17,IF(D107&lt;=5,Assumptions!$B$18,Assumptions!$B$19)))*(1-Assumptions!$B$20),0)</f>
        <v>0.0091</v>
      </c>
      <c r="H107" s="30" t="n">
        <f aca="false">1-(1-G107)^(1/12)</f>
        <v>0.000761514726814627</v>
      </c>
      <c r="I107" s="30" t="n">
        <f aca="false">I106*(1-F106)*(1-H106)</f>
        <v>0.820680594744815</v>
      </c>
      <c r="J107" s="30" t="n">
        <f aca="false">INDEX(Discount_Monthly!$G$4:$G$664,MATCH(A107,Discount_Monthly!$A$4:$A$664,0))</f>
        <v>0.793426864532976</v>
      </c>
      <c r="K107" s="30" t="n">
        <f aca="false">IF(C107&lt;Assumptions!$B$5,I107*J107,0)</f>
        <v>0.651150031071437</v>
      </c>
      <c r="L107" s="30" t="n">
        <f aca="false">IF(C107&lt;Assumptions!$B$5,I107*(1-F107)*H107*A107*J107,0)</f>
        <v>0.0495379203914716</v>
      </c>
      <c r="M107" s="30" t="n">
        <f aca="false">IF(A107=0,Assumptions!$B$14*12*I107*J107,IF(AND(A107&gt;=12,C107&lt;Assumptions!$B$5),Assumptions!$B$15*I107*J107,0))</f>
        <v>0.0325575015535718</v>
      </c>
      <c r="N107" s="47" t="n">
        <f aca="false">IF(C107&gt;=Assumptions!$B$5,I107*Assumptions!$B$9/12*(1+Assumptions!$B$10)^INT(A107/12)*J107,0)</f>
        <v>0</v>
      </c>
      <c r="O107" s="47" t="n">
        <f aca="false">I107*Assumptions!$B$12/12*(1+Assumptions!$B$11)^(INT(A107/12)+1)*J107</f>
        <v>5.42131441123593</v>
      </c>
      <c r="P107" s="47" t="n">
        <f aca="false">O107+Pricing_M!$B$13*M107+N107-Pricing_M!$B$13*K107</f>
        <v>-615.190266951255</v>
      </c>
      <c r="Q107" s="47" t="n">
        <f aca="false">IF(C107&lt;Assumptions!$B$5,Pricing_M!$B$13*K107-Pricing_M!$B$13*M107-O107,-(N107+O107))</f>
        <v>615.190266951255</v>
      </c>
      <c r="R107" s="32" t="n">
        <f aca="false">R106*(1-(1-(1-MIN(1,E106*(1-Assumptions!$B$21)))^(1/12)))*(1-H106)</f>
        <v>0.831219886783115</v>
      </c>
      <c r="S107" s="47" t="n">
        <f aca="false">R107*(IF(C107&lt;Assumptions!$B$5,Assumptions!$B$12*(1+Assumptions!$B$11)^(INT(A107/12)+1)/12+Pricing_M!$B$13*IF(A107=0,Assumptions!$B$14*12,IF(A107&gt;=12,Assumptions!$B$15,0))-Pricing_M!$B$13,Assumptions!$B$9/12*(1+Assumptions!$B$10)^INT(A107/12)+Assumptions!$B$12*(1+Assumptions!$B$11)^(INT(A107/12)+1)/12))*J107</f>
        <v>-623.09062419625</v>
      </c>
      <c r="T107" s="32" t="n">
        <f aca="false">T106*(1-F106)*(1-(1-(1-MIN(1,G106*(1+Assumptions!$B$23)))^(1/12)))</f>
        <v>0.766601178304407</v>
      </c>
      <c r="U107" s="47" t="n">
        <f aca="false">T107*(IF(C107&lt;Assumptions!$B$5,Assumptions!$B$12*(1+Assumptions!$B$11)^(INT(A107/12)+1)/12+Pricing_M!$B$13*IF(A107=0,Assumptions!$B$14*12,IF(A107&gt;=12,Assumptions!$B$15,0))-Pricing_M!$B$13,Assumptions!$B$9/12*(1+Assumptions!$B$10)^INT(A107/12)+Assumptions!$B$12*(1+Assumptions!$B$11)^(INT(A107/12)+1)/12))*J107</f>
        <v>-574.651803084094</v>
      </c>
      <c r="V107" s="32" t="n">
        <f aca="false">V106*(1-F106)*(1-(1-(1-MIN(1,G106*(1-Assumptions!$B$23)))^(1/12)))</f>
        <v>0.877892298403678</v>
      </c>
      <c r="W107" s="47" t="n">
        <f aca="false">V107*(IF(C107&lt;Assumptions!$B$5,Assumptions!$B$12*(1+Assumptions!$B$11)^(INT(A107/12)+1)/12+Pricing_M!$B$13*IF(A107=0,Assumptions!$B$14*12,IF(A107&gt;=12,Assumptions!$B$15,0))-Pricing_M!$B$13,Assumptions!$B$9/12*(1+Assumptions!$B$10)^INT(A107/12)+Assumptions!$B$12*(1+Assumptions!$B$11)^(INT(A107/12)+1)/12))*J107</f>
        <v>-658.076724206377</v>
      </c>
      <c r="X107" s="47" t="n">
        <f aca="false">I107*(IF(C107&lt;Assumptions!$B$5,Assumptions!$B$12*(1+Assumptions!$B$11)*(1+Assumptions!$B$24)*(1+Assumptions!$B$11+Assumptions!$B$25)^(INT(A107/12))/12+Pricing_M!$B$13*IF(A107=0,Assumptions!$B$14*12,IF(A107&gt;=12,Assumptions!$B$15,0))-Pricing_M!$B$13,Assumptions!$B$9/12*(1+Assumptions!$B$10)^INT(A107/12)+Assumptions!$B$12*(1+Assumptions!$B$11)*(1+Assumptions!$B$24)*(1+Assumptions!$B$11+Assumptions!$B$25)^(INT(A107/12))/12))*J107</f>
        <v>-614.166488851732</v>
      </c>
    </row>
    <row r="108" customFormat="false" ht="15" hidden="false" customHeight="true" outlineLevel="0" collapsed="false">
      <c r="A108" s="1" t="n">
        <v>101</v>
      </c>
      <c r="B108" s="31" t="n">
        <f aca="false">Assumptions!$B$4+A108/12</f>
        <v>73.4166666666667</v>
      </c>
      <c r="C108" s="34" t="n">
        <f aca="false">Assumptions!$B$4+INT(A108/12)</f>
        <v>73</v>
      </c>
      <c r="D108" s="34" t="n">
        <f aca="false">INT(A108/12)+1</f>
        <v>9</v>
      </c>
      <c r="E108" s="32" t="n">
        <f aca="false">IFERROR(INDEX(Cohort_Survival!$G$5:$G$65,MATCH(C108,Cohort_Survival!$A$5:$A$65,0)),1)</f>
        <v>0.0115816824955086</v>
      </c>
      <c r="F108" s="30" t="n">
        <f aca="false">1-(1-MIN(1,E108))^(1/12)</f>
        <v>0.000970301665786377</v>
      </c>
      <c r="G108" s="39" t="n">
        <f aca="false">IF(C108&lt;Assumptions!$B$5,IF(D108=1,Assumptions!$B$16,IF(D108=2,Assumptions!$B$17,IF(D108&lt;=5,Assumptions!$B$18,Assumptions!$B$19)))*(1-Assumptions!$B$20),0)</f>
        <v>0.0091</v>
      </c>
      <c r="H108" s="30" t="n">
        <f aca="false">1-(1-G108)^(1/12)</f>
        <v>0.000761514726814627</v>
      </c>
      <c r="I108" s="30" t="n">
        <f aca="false">I107*(1-F107)*(1-H107)</f>
        <v>0.819259933037824</v>
      </c>
      <c r="J108" s="30" t="n">
        <f aca="false">INDEX(Discount_Monthly!$G$4:$G$664,MATCH(A108,Discount_Monthly!$A$4:$A$664,0))</f>
        <v>0.791321484259785</v>
      </c>
      <c r="K108" s="30" t="n">
        <f aca="false">IF(C108&lt;Assumptions!$B$5,I108*J108,0)</f>
        <v>0.648297986206063</v>
      </c>
      <c r="L108" s="30" t="n">
        <f aca="false">IF(C108&lt;Assumptions!$B$5,I108*(1-F108)*H108*A108*J108,0)</f>
        <v>0.0498141531492533</v>
      </c>
      <c r="M108" s="30" t="n">
        <f aca="false">IF(A108=0,Assumptions!$B$14*12*I108*J108,IF(AND(A108&gt;=12,C108&lt;Assumptions!$B$5),Assumptions!$B$15*I108*J108,0))</f>
        <v>0.0324148993103032</v>
      </c>
      <c r="N108" s="47" t="n">
        <f aca="false">IF(C108&gt;=Assumptions!$B$5,I108*Assumptions!$B$9/12*(1+Assumptions!$B$10)^INT(A108/12)*J108,0)</f>
        <v>0</v>
      </c>
      <c r="O108" s="47" t="n">
        <f aca="false">I108*Assumptions!$B$12/12*(1+Assumptions!$B$11)^(INT(A108/12)+1)*J108</f>
        <v>5.39756898976263</v>
      </c>
      <c r="P108" s="47" t="n">
        <f aca="false">O108+Pricing_M!$B$13*M108+N108-Pricing_M!$B$13*K108</f>
        <v>-612.495726279577</v>
      </c>
      <c r="Q108" s="47" t="n">
        <f aca="false">IF(C108&lt;Assumptions!$B$5,Pricing_M!$B$13*K108-Pricing_M!$B$13*M108-O108,-(N108+O108))</f>
        <v>612.495726279577</v>
      </c>
      <c r="R108" s="32" t="n">
        <f aca="false">R107*(1-(1-(1-MIN(1,E107*(1-Assumptions!$B$21)))^(1/12)))*(1-H107)</f>
        <v>0.829942854734115</v>
      </c>
      <c r="S108" s="47" t="n">
        <f aca="false">R108*(IF(C108&lt;Assumptions!$B$5,Assumptions!$B$12*(1+Assumptions!$B$11)^(INT(A108/12)+1)/12+Pricing_M!$B$13*IF(A108=0,Assumptions!$B$14*12,IF(A108&gt;=12,Assumptions!$B$15,0))-Pricing_M!$B$13,Assumptions!$B$9/12*(1+Assumptions!$B$10)^INT(A108/12)+Assumptions!$B$12*(1+Assumptions!$B$11)^(INT(A108/12)+1)/12))*J108</f>
        <v>-620.482500219437</v>
      </c>
      <c r="T108" s="32" t="n">
        <f aca="false">T107*(1-F107)*(1-(1-(1-MIN(1,G107*(1+Assumptions!$B$23)))^(1/12)))</f>
        <v>0.764980682955012</v>
      </c>
      <c r="U108" s="47" t="n">
        <f aca="false">T108*(IF(C108&lt;Assumptions!$B$5,Assumptions!$B$12*(1+Assumptions!$B$11)^(INT(A108/12)+1)/12+Pricing_M!$B$13*IF(A108=0,Assumptions!$B$14*12,IF(A108&gt;=12,Assumptions!$B$15,0))-Pricing_M!$B$13,Assumptions!$B$9/12*(1+Assumptions!$B$10)^INT(A108/12)+Assumptions!$B$12*(1+Assumptions!$B$11)^(INT(A108/12)+1)/12))*J108</f>
        <v>-571.915432577056</v>
      </c>
      <c r="V108" s="32" t="n">
        <f aca="false">V107*(1-F107)*(1-(1-(1-MIN(1,G107*(1-Assumptions!$B$23)))^(1/12)))</f>
        <v>0.876707238013031</v>
      </c>
      <c r="W108" s="47" t="n">
        <f aca="false">V108*(IF(C108&lt;Assumptions!$B$5,Assumptions!$B$12*(1+Assumptions!$B$11)^(INT(A108/12)+1)/12+Pricing_M!$B$13*IF(A108=0,Assumptions!$B$14*12,IF(A108&gt;=12,Assumptions!$B$15,0))-Pricing_M!$B$13,Assumptions!$B$9/12*(1+Assumptions!$B$10)^INT(A108/12)+Assumptions!$B$12*(1+Assumptions!$B$11)^(INT(A108/12)+1)/12))*J108</f>
        <v>-655.444523559487</v>
      </c>
      <c r="X108" s="47" t="n">
        <f aca="false">I108*(IF(C108&lt;Assumptions!$B$5,Assumptions!$B$12*(1+Assumptions!$B$11)*(1+Assumptions!$B$24)*(1+Assumptions!$B$11+Assumptions!$B$25)^(INT(A108/12))/12+Pricing_M!$B$13*IF(A108=0,Assumptions!$B$14*12,IF(A108&gt;=12,Assumptions!$B$15,0))-Pricing_M!$B$13,Assumptions!$B$9/12*(1+Assumptions!$B$10)^INT(A108/12)+Assumptions!$B$12*(1+Assumptions!$B$11)*(1+Assumptions!$B$24)*(1+Assumptions!$B$11+Assumptions!$B$25)^(INT(A108/12))/12))*J108</f>
        <v>-611.476432340282</v>
      </c>
    </row>
    <row r="109" customFormat="false" ht="15" hidden="false" customHeight="true" outlineLevel="0" collapsed="false">
      <c r="A109" s="1" t="n">
        <v>102</v>
      </c>
      <c r="B109" s="31" t="n">
        <f aca="false">Assumptions!$B$4+A109/12</f>
        <v>73.5</v>
      </c>
      <c r="C109" s="34" t="n">
        <f aca="false">Assumptions!$B$4+INT(A109/12)</f>
        <v>73</v>
      </c>
      <c r="D109" s="34" t="n">
        <f aca="false">INT(A109/12)+1</f>
        <v>9</v>
      </c>
      <c r="E109" s="32" t="n">
        <f aca="false">IFERROR(INDEX(Cohort_Survival!$G$5:$G$65,MATCH(C109,Cohort_Survival!$A$5:$A$65,0)),1)</f>
        <v>0.0115816824955086</v>
      </c>
      <c r="F109" s="30" t="n">
        <f aca="false">1-(1-MIN(1,E109))^(1/12)</f>
        <v>0.000970301665786377</v>
      </c>
      <c r="G109" s="39" t="n">
        <f aca="false">IF(C109&lt;Assumptions!$B$5,IF(D109=1,Assumptions!$B$16,IF(D109=2,Assumptions!$B$17,IF(D109&lt;=5,Assumptions!$B$18,Assumptions!$B$19)))*(1-Assumptions!$B$20),0)</f>
        <v>0.0091</v>
      </c>
      <c r="H109" s="30" t="n">
        <f aca="false">1-(1-G109)^(1/12)</f>
        <v>0.000761514726814627</v>
      </c>
      <c r="I109" s="30" t="n">
        <f aca="false">I108*(1-F108)*(1-H108)</f>
        <v>0.81784173060634</v>
      </c>
      <c r="J109" s="30" t="n">
        <f aca="false">INDEX(Discount_Monthly!$G$4:$G$664,MATCH(A109,Discount_Monthly!$A$4:$A$664,0))</f>
        <v>0.78922169067176</v>
      </c>
      <c r="K109" s="30" t="n">
        <f aca="false">IF(C109&lt;Assumptions!$B$5,I109*J109,0)</f>
        <v>0.645458433331054</v>
      </c>
      <c r="L109" s="30" t="n">
        <f aca="false">IF(C109&lt;Assumptions!$B$5,I109*(1-F109)*H109*A109*J109,0)</f>
        <v>0.0500870157410879</v>
      </c>
      <c r="M109" s="30" t="n">
        <f aca="false">IF(A109=0,Assumptions!$B$14*12*I109*J109,IF(AND(A109&gt;=12,C109&lt;Assumptions!$B$5),Assumptions!$B$15*I109*J109,0))</f>
        <v>0.0322729216665527</v>
      </c>
      <c r="N109" s="47" t="n">
        <f aca="false">IF(C109&gt;=Assumptions!$B$5,I109*Assumptions!$B$9/12*(1+Assumptions!$B$10)^INT(A109/12)*J109,0)</f>
        <v>0</v>
      </c>
      <c r="O109" s="47" t="n">
        <f aca="false">I109*Assumptions!$B$12/12*(1+Assumptions!$B$11)^(INT(A109/12)+1)*J109</f>
        <v>5.37392757351725</v>
      </c>
      <c r="P109" s="47" t="n">
        <f aca="false">O109+Pricing_M!$B$13*M109+N109-Pricing_M!$B$13*K109</f>
        <v>-609.812987728026</v>
      </c>
      <c r="Q109" s="47" t="n">
        <f aca="false">IF(C109&lt;Assumptions!$B$5,Pricing_M!$B$13*K109-Pricing_M!$B$13*M109-O109,-(N109+O109))</f>
        <v>609.812987728026</v>
      </c>
      <c r="R109" s="32" t="n">
        <f aca="false">R108*(1-(1-(1-MIN(1,E108*(1-Assumptions!$B$21)))^(1/12)))*(1-H108)</f>
        <v>0.828667784633909</v>
      </c>
      <c r="S109" s="47" t="n">
        <f aca="false">R109*(IF(C109&lt;Assumptions!$B$5,Assumptions!$B$12*(1+Assumptions!$B$11)^(INT(A109/12)+1)/12+Pricing_M!$B$13*IF(A109=0,Assumptions!$B$14*12,IF(A109&gt;=12,Assumptions!$B$15,0))-Pricing_M!$B$13,Assumptions!$B$9/12*(1+Assumptions!$B$10)^INT(A109/12)+Assumptions!$B$12*(1+Assumptions!$B$11)^(INT(A109/12)+1)/12))*J109</f>
        <v>-617.885293291307</v>
      </c>
      <c r="T109" s="32" t="n">
        <f aca="false">T108*(1-F108)*(1-(1-(1-MIN(1,G108*(1+Assumptions!$B$23)))^(1/12)))</f>
        <v>0.763363613122367</v>
      </c>
      <c r="U109" s="47" t="n">
        <f aca="false">T109*(IF(C109&lt;Assumptions!$B$5,Assumptions!$B$12*(1+Assumptions!$B$11)^(INT(A109/12)+1)/12+Pricing_M!$B$13*IF(A109=0,Assumptions!$B$14*12,IF(A109&gt;=12,Assumptions!$B$15,0))-Pricing_M!$B$13,Assumptions!$B$9/12*(1+Assumptions!$B$10)^INT(A109/12)+Assumptions!$B$12*(1+Assumptions!$B$11)^(INT(A109/12)+1)/12))*J109</f>
        <v>-569.19209208839</v>
      </c>
      <c r="V109" s="32" t="n">
        <f aca="false">V108*(1-F108)*(1-(1-(1-MIN(1,G108*(1-Assumptions!$B$23)))^(1/12)))</f>
        <v>0.875523777326734</v>
      </c>
      <c r="W109" s="47" t="n">
        <f aca="false">V109*(IF(C109&lt;Assumptions!$B$5,Assumptions!$B$12*(1+Assumptions!$B$11)^(INT(A109/12)+1)/12+Pricing_M!$B$13*IF(A109=0,Assumptions!$B$14*12,IF(A109&gt;=12,Assumptions!$B$15,0))-Pricing_M!$B$13,Assumptions!$B$9/12*(1+Assumptions!$B$10)^INT(A109/12)+Assumptions!$B$12*(1+Assumptions!$B$11)^(INT(A109/12)+1)/12))*J109</f>
        <v>-652.822851290201</v>
      </c>
      <c r="X109" s="47" t="n">
        <f aca="false">I109*(IF(C109&lt;Assumptions!$B$5,Assumptions!$B$12*(1+Assumptions!$B$11)*(1+Assumptions!$B$24)*(1+Assumptions!$B$11+Assumptions!$B$25)^(INT(A109/12))/12+Pricing_M!$B$13*IF(A109=0,Assumptions!$B$14*12,IF(A109&gt;=12,Assumptions!$B$15,0))-Pricing_M!$B$13,Assumptions!$B$9/12*(1+Assumptions!$B$10)^INT(A109/12)+Assumptions!$B$12*(1+Assumptions!$B$11)*(1+Assumptions!$B$24)*(1+Assumptions!$B$11+Assumptions!$B$25)^(INT(A109/12))/12))*J109</f>
        <v>-608.798158308284</v>
      </c>
    </row>
    <row r="110" customFormat="false" ht="15" hidden="false" customHeight="true" outlineLevel="0" collapsed="false">
      <c r="A110" s="1" t="n">
        <v>103</v>
      </c>
      <c r="B110" s="31" t="n">
        <f aca="false">Assumptions!$B$4+A110/12</f>
        <v>73.5833333333333</v>
      </c>
      <c r="C110" s="34" t="n">
        <f aca="false">Assumptions!$B$4+INT(A110/12)</f>
        <v>73</v>
      </c>
      <c r="D110" s="34" t="n">
        <f aca="false">INT(A110/12)+1</f>
        <v>9</v>
      </c>
      <c r="E110" s="32" t="n">
        <f aca="false">IFERROR(INDEX(Cohort_Survival!$G$5:$G$65,MATCH(C110,Cohort_Survival!$A$5:$A$65,0)),1)</f>
        <v>0.0115816824955086</v>
      </c>
      <c r="F110" s="30" t="n">
        <f aca="false">1-(1-MIN(1,E110))^(1/12)</f>
        <v>0.000970301665786377</v>
      </c>
      <c r="G110" s="39" t="n">
        <f aca="false">IF(C110&lt;Assumptions!$B$5,IF(D110=1,Assumptions!$B$16,IF(D110=2,Assumptions!$B$17,IF(D110&lt;=5,Assumptions!$B$18,Assumptions!$B$19)))*(1-Assumptions!$B$20),0)</f>
        <v>0.0091</v>
      </c>
      <c r="H110" s="30" t="n">
        <f aca="false">1-(1-G110)^(1/12)</f>
        <v>0.000761514726814627</v>
      </c>
      <c r="I110" s="30" t="n">
        <f aca="false">I109*(1-F109)*(1-H109)</f>
        <v>0.816425983193166</v>
      </c>
      <c r="J110" s="30" t="n">
        <f aca="false">INDEX(Discount_Monthly!$G$4:$G$664,MATCH(A110,Discount_Monthly!$A$4:$A$664,0))</f>
        <v>0.787127468944478</v>
      </c>
      <c r="K110" s="30" t="n">
        <f aca="false">IF(C110&lt;Assumptions!$B$5,I110*J110,0)</f>
        <v>0.642631317731343</v>
      </c>
      <c r="L110" s="30" t="n">
        <f aca="false">IF(C110&lt;Assumptions!$B$5,I110*(1-F110)*H110*A110*J110,0)</f>
        <v>0.0503565323903206</v>
      </c>
      <c r="M110" s="30" t="n">
        <f aca="false">IF(A110=0,Assumptions!$B$14*12*I110*J110,IF(AND(A110&gt;=12,C110&lt;Assumptions!$B$5),Assumptions!$B$15*I110*J110,0))</f>
        <v>0.0321315658865672</v>
      </c>
      <c r="N110" s="47" t="n">
        <f aca="false">IF(C110&gt;=Assumptions!$B$5,I110*Assumptions!$B$9/12*(1+Assumptions!$B$10)^INT(A110/12)*J110,0)</f>
        <v>0</v>
      </c>
      <c r="O110" s="47" t="n">
        <f aca="false">I110*Assumptions!$B$12/12*(1+Assumptions!$B$11)^(INT(A110/12)+1)*J110</f>
        <v>5.35038970695565</v>
      </c>
      <c r="P110" s="47" t="n">
        <f aca="false">O110+Pricing_M!$B$13*M110+N110-Pricing_M!$B$13*K110</f>
        <v>-607.141999603176</v>
      </c>
      <c r="Q110" s="47" t="n">
        <f aca="false">IF(C110&lt;Assumptions!$B$5,Pricing_M!$B$13*K110-Pricing_M!$B$13*M110-O110,-(N110+O110))</f>
        <v>607.141999603176</v>
      </c>
      <c r="R110" s="32" t="n">
        <f aca="false">R109*(1-(1-(1-MIN(1,E109*(1-Assumptions!$B$21)))^(1/12)))*(1-H109)</f>
        <v>0.827394673468286</v>
      </c>
      <c r="S110" s="47" t="n">
        <f aca="false">R110*(IF(C110&lt;Assumptions!$B$5,Assumptions!$B$12*(1+Assumptions!$B$11)^(INT(A110/12)+1)/12+Pricing_M!$B$13*IF(A110=0,Assumptions!$B$14*12,IF(A110&gt;=12,Assumptions!$B$15,0))-Pricing_M!$B$13,Assumptions!$B$9/12*(1+Assumptions!$B$10)^INT(A110/12)+Assumptions!$B$12*(1+Assumptions!$B$11)^(INT(A110/12)+1)/12))*J110</f>
        <v>-615.298957715432</v>
      </c>
      <c r="T110" s="32" t="n">
        <f aca="false">T109*(1-F109)*(1-(1-(1-MIN(1,G109*(1+Assumptions!$B$23)))^(1/12)))</f>
        <v>0.761749961565376</v>
      </c>
      <c r="U110" s="47" t="n">
        <f aca="false">T110*(IF(C110&lt;Assumptions!$B$5,Assumptions!$B$12*(1+Assumptions!$B$11)^(INT(A110/12)+1)/12+Pricing_M!$B$13*IF(A110=0,Assumptions!$B$14*12,IF(A110&gt;=12,Assumptions!$B$15,0))-Pricing_M!$B$13,Assumptions!$B$9/12*(1+Assumptions!$B$10)^INT(A110/12)+Assumptions!$B$12*(1+Assumptions!$B$11)^(INT(A110/12)+1)/12))*J110</f>
        <v>-566.481719571901</v>
      </c>
      <c r="V110" s="32" t="n">
        <f aca="false">V109*(1-F109)*(1-(1-(1-MIN(1,G109*(1-Assumptions!$B$23)))^(1/12)))</f>
        <v>0.87434191418536</v>
      </c>
      <c r="W110" s="47" t="n">
        <f aca="false">V110*(IF(C110&lt;Assumptions!$B$5,Assumptions!$B$12*(1+Assumptions!$B$11)^(INT(A110/12)+1)/12+Pricing_M!$B$13*IF(A110=0,Assumptions!$B$14*12,IF(A110&gt;=12,Assumptions!$B$15,0))-Pricing_M!$B$13,Assumptions!$B$9/12*(1+Assumptions!$B$10)^INT(A110/12)+Assumptions!$B$12*(1+Assumptions!$B$11)^(INT(A110/12)+1)/12))*J110</f>
        <v>-650.21166528671</v>
      </c>
      <c r="X110" s="47" t="n">
        <f aca="false">I110*(IF(C110&lt;Assumptions!$B$5,Assumptions!$B$12*(1+Assumptions!$B$11)*(1+Assumptions!$B$24)*(1+Assumptions!$B$11+Assumptions!$B$25)^(INT(A110/12))/12+Pricing_M!$B$13*IF(A110=0,Assumptions!$B$14*12,IF(A110&gt;=12,Assumptions!$B$15,0))-Pricing_M!$B$13,Assumptions!$B$9/12*(1+Assumptions!$B$10)^INT(A110/12)+Assumptions!$B$12*(1+Assumptions!$B$11)*(1+Assumptions!$B$24)*(1+Assumptions!$B$11+Assumptions!$B$25)^(INT(A110/12))/12))*J110</f>
        <v>-606.131615148339</v>
      </c>
    </row>
    <row r="111" customFormat="false" ht="15" hidden="false" customHeight="true" outlineLevel="0" collapsed="false">
      <c r="A111" s="1" t="n">
        <v>104</v>
      </c>
      <c r="B111" s="31" t="n">
        <f aca="false">Assumptions!$B$4+A111/12</f>
        <v>73.6666666666667</v>
      </c>
      <c r="C111" s="34" t="n">
        <f aca="false">Assumptions!$B$4+INT(A111/12)</f>
        <v>73</v>
      </c>
      <c r="D111" s="34" t="n">
        <f aca="false">INT(A111/12)+1</f>
        <v>9</v>
      </c>
      <c r="E111" s="32" t="n">
        <f aca="false">IFERROR(INDEX(Cohort_Survival!$G$5:$G$65,MATCH(C111,Cohort_Survival!$A$5:$A$65,0)),1)</f>
        <v>0.0115816824955086</v>
      </c>
      <c r="F111" s="30" t="n">
        <f aca="false">1-(1-MIN(1,E111))^(1/12)</f>
        <v>0.000970301665786377</v>
      </c>
      <c r="G111" s="39" t="n">
        <f aca="false">IF(C111&lt;Assumptions!$B$5,IF(D111=1,Assumptions!$B$16,IF(D111=2,Assumptions!$B$17,IF(D111&lt;=5,Assumptions!$B$18,Assumptions!$B$19)))*(1-Assumptions!$B$20),0)</f>
        <v>0.0091</v>
      </c>
      <c r="H111" s="30" t="n">
        <f aca="false">1-(1-G111)^(1/12)</f>
        <v>0.000761514726814627</v>
      </c>
      <c r="I111" s="30" t="n">
        <f aca="false">I110*(1-F110)*(1-H110)</f>
        <v>0.815012686548476</v>
      </c>
      <c r="J111" s="30" t="n">
        <f aca="false">INDEX(Discount_Monthly!$G$4:$G$664,MATCH(A111,Discount_Monthly!$A$4:$A$664,0))</f>
        <v>0.785038804292849</v>
      </c>
      <c r="K111" s="30" t="n">
        <f aca="false">IF(C111&lt;Assumptions!$B$5,I111*J111,0)</f>
        <v>0.639816584931518</v>
      </c>
      <c r="L111" s="30" t="n">
        <f aca="false">IF(C111&lt;Assumptions!$B$5,I111*(1-F111)*H111*A111*J111,0)</f>
        <v>0.0506227271727546</v>
      </c>
      <c r="M111" s="30" t="n">
        <f aca="false">IF(A111=0,Assumptions!$B$14*12*I111*J111,IF(AND(A111&gt;=12,C111&lt;Assumptions!$B$5),Assumptions!$B$15*I111*J111,0))</f>
        <v>0.0319908292465759</v>
      </c>
      <c r="N111" s="47" t="n">
        <f aca="false">IF(C111&gt;=Assumptions!$B$5,I111*Assumptions!$B$9/12*(1+Assumptions!$B$10)^INT(A111/12)*J111,0)</f>
        <v>0</v>
      </c>
      <c r="O111" s="47" t="n">
        <f aca="false">I111*Assumptions!$B$12/12*(1+Assumptions!$B$11)^(INT(A111/12)+1)*J111</f>
        <v>5.32695493652899</v>
      </c>
      <c r="P111" s="47" t="n">
        <f aca="false">O111+Pricing_M!$B$13*M111+N111-Pricing_M!$B$13*K111</f>
        <v>-604.482710438017</v>
      </c>
      <c r="Q111" s="47" t="n">
        <f aca="false">IF(C111&lt;Assumptions!$B$5,Pricing_M!$B$13*K111-Pricing_M!$B$13*M111-O111,-(N111+O111))</f>
        <v>604.482710438017</v>
      </c>
      <c r="R111" s="32" t="n">
        <f aca="false">R110*(1-(1-(1-MIN(1,E110*(1-Assumptions!$B$21)))^(1/12)))*(1-H110)</f>
        <v>0.826123518227667</v>
      </c>
      <c r="S111" s="47" t="n">
        <f aca="false">R111*(IF(C111&lt;Assumptions!$B$5,Assumptions!$B$12*(1+Assumptions!$B$11)^(INT(A111/12)+1)/12+Pricing_M!$B$13*IF(A111=0,Assumptions!$B$14*12,IF(A111&gt;=12,Assumptions!$B$15,0))-Pricing_M!$B$13,Assumptions!$B$9/12*(1+Assumptions!$B$10)^INT(A111/12)+Assumptions!$B$12*(1+Assumptions!$B$11)^(INT(A111/12)+1)/12))*J111</f>
        <v>-612.723447986657</v>
      </c>
      <c r="T111" s="32" t="n">
        <f aca="false">T110*(1-F110)*(1-(1-(1-MIN(1,G110*(1+Assumptions!$B$23)))^(1/12)))</f>
        <v>0.760139721058246</v>
      </c>
      <c r="U111" s="47" t="n">
        <f aca="false">T111*(IF(C111&lt;Assumptions!$B$5,Assumptions!$B$12*(1+Assumptions!$B$11)^(INT(A111/12)+1)/12+Pricing_M!$B$13*IF(A111=0,Assumptions!$B$14*12,IF(A111&gt;=12,Assumptions!$B$15,0))-Pricing_M!$B$13,Assumptions!$B$9/12*(1+Assumptions!$B$10)^INT(A111/12)+Assumptions!$B$12*(1+Assumptions!$B$11)^(INT(A111/12)+1)/12))*J111</f>
        <v>-563.784253276844</v>
      </c>
      <c r="V111" s="32" t="n">
        <f aca="false">V110*(1-F110)*(1-(1-(1-MIN(1,G110*(1-Assumptions!$B$23)))^(1/12)))</f>
        <v>0.873161646432393</v>
      </c>
      <c r="W111" s="47" t="n">
        <f aca="false">V111*(IF(C111&lt;Assumptions!$B$5,Assumptions!$B$12*(1+Assumptions!$B$11)^(INT(A111/12)+1)/12+Pricing_M!$B$13*IF(A111=0,Assumptions!$B$14*12,IF(A111&gt;=12,Assumptions!$B$15,0))-Pricing_M!$B$13,Assumptions!$B$9/12*(1+Assumptions!$B$10)^INT(A111/12)+Assumptions!$B$12*(1+Assumptions!$B$11)^(INT(A111/12)+1)/12))*J111</f>
        <v>-647.610923605643</v>
      </c>
      <c r="X111" s="47" t="n">
        <f aca="false">I111*(IF(C111&lt;Assumptions!$B$5,Assumptions!$B$12*(1+Assumptions!$B$11)*(1+Assumptions!$B$24)*(1+Assumptions!$B$11+Assumptions!$B$25)^(INT(A111/12))/12+Pricing_M!$B$13*IF(A111=0,Assumptions!$B$14*12,IF(A111&gt;=12,Assumptions!$B$15,0))-Pricing_M!$B$13,Assumptions!$B$9/12*(1+Assumptions!$B$10)^INT(A111/12)+Assumptions!$B$12*(1+Assumptions!$B$11)*(1+Assumptions!$B$24)*(1+Assumptions!$B$11+Assumptions!$B$25)^(INT(A111/12))/12))*J111</f>
        <v>-603.476751479086</v>
      </c>
    </row>
    <row r="112" customFormat="false" ht="15" hidden="false" customHeight="true" outlineLevel="0" collapsed="false">
      <c r="A112" s="1" t="n">
        <v>105</v>
      </c>
      <c r="B112" s="31" t="n">
        <f aca="false">Assumptions!$B$4+A112/12</f>
        <v>73.75</v>
      </c>
      <c r="C112" s="34" t="n">
        <f aca="false">Assumptions!$B$4+INT(A112/12)</f>
        <v>73</v>
      </c>
      <c r="D112" s="34" t="n">
        <f aca="false">INT(A112/12)+1</f>
        <v>9</v>
      </c>
      <c r="E112" s="32" t="n">
        <f aca="false">IFERROR(INDEX(Cohort_Survival!$G$5:$G$65,MATCH(C112,Cohort_Survival!$A$5:$A$65,0)),1)</f>
        <v>0.0115816824955086</v>
      </c>
      <c r="F112" s="30" t="n">
        <f aca="false">1-(1-MIN(1,E112))^(1/12)</f>
        <v>0.000970301665786377</v>
      </c>
      <c r="G112" s="39" t="n">
        <f aca="false">IF(C112&lt;Assumptions!$B$5,IF(D112=1,Assumptions!$B$16,IF(D112=2,Assumptions!$B$17,IF(D112&lt;=5,Assumptions!$B$18,Assumptions!$B$19)))*(1-Assumptions!$B$20),0)</f>
        <v>0.0091</v>
      </c>
      <c r="H112" s="30" t="n">
        <f aca="false">1-(1-G112)^(1/12)</f>
        <v>0.000761514726814627</v>
      </c>
      <c r="I112" s="30" t="n">
        <f aca="false">I111*(1-F111)*(1-H111)</f>
        <v>0.813601836429799</v>
      </c>
      <c r="J112" s="30" t="n">
        <f aca="false">INDEX(Discount_Monthly!$G$4:$G$664,MATCH(A112,Discount_Monthly!$A$4:$A$664,0))</f>
        <v>0.78295568197102</v>
      </c>
      <c r="K112" s="30" t="n">
        <f aca="false">IF(C112&lt;Assumptions!$B$5,I112*J112,0)</f>
        <v>0.637014180694768</v>
      </c>
      <c r="L112" s="30" t="n">
        <f aca="false">IF(C112&lt;Assumptions!$B$5,I112*(1-F112)*H112*A112*J112,0)</f>
        <v>0.0508856240174787</v>
      </c>
      <c r="M112" s="30" t="n">
        <f aca="false">IF(A112=0,Assumptions!$B$14*12*I112*J112,IF(AND(A112&gt;=12,C112&lt;Assumptions!$B$5),Assumptions!$B$15*I112*J112,0))</f>
        <v>0.0318507090347384</v>
      </c>
      <c r="N112" s="47" t="n">
        <f aca="false">IF(C112&gt;=Assumptions!$B$5,I112*Assumptions!$B$9/12*(1+Assumptions!$B$10)^INT(A112/12)*J112,0)</f>
        <v>0</v>
      </c>
      <c r="O112" s="47" t="n">
        <f aca="false">I112*Assumptions!$B$12/12*(1+Assumptions!$B$11)^(INT(A112/12)+1)*J112</f>
        <v>5.30362281067497</v>
      </c>
      <c r="P112" s="47" t="n">
        <f aca="false">O112+Pricing_M!$B$13*M112+N112-Pricing_M!$B$13*K112</f>
        <v>-601.835068990968</v>
      </c>
      <c r="Q112" s="47" t="n">
        <f aca="false">IF(C112&lt;Assumptions!$B$5,Pricing_M!$B$13*K112-Pricing_M!$B$13*M112-O112,-(N112+O112))</f>
        <v>601.835068990968</v>
      </c>
      <c r="R112" s="32" t="n">
        <f aca="false">R111*(1-(1-(1-MIN(1,E111*(1-Assumptions!$B$21)))^(1/12)))*(1-H111)</f>
        <v>0.824854315907096</v>
      </c>
      <c r="S112" s="47" t="n">
        <f aca="false">R112*(IF(C112&lt;Assumptions!$B$5,Assumptions!$B$12*(1+Assumptions!$B$11)^(INT(A112/12)+1)/12+Pricing_M!$B$13*IF(A112=0,Assumptions!$B$14*12,IF(A112&gt;=12,Assumptions!$B$15,0))-Pricing_M!$B$13,Assumptions!$B$9/12*(1+Assumptions!$B$10)^INT(A112/12)+Assumptions!$B$12*(1+Assumptions!$B$11)^(INT(A112/12)+1)/12))*J112</f>
        <v>-610.158718790305</v>
      </c>
      <c r="T112" s="32" t="n">
        <f aca="false">T111*(1-F111)*(1-(1-(1-MIN(1,G111*(1+Assumptions!$B$23)))^(1/12)))</f>
        <v>0.758532884390463</v>
      </c>
      <c r="U112" s="47" t="n">
        <f aca="false">T112*(IF(C112&lt;Assumptions!$B$5,Assumptions!$B$12*(1+Assumptions!$B$11)^(INT(A112/12)+1)/12+Pricing_M!$B$13*IF(A112=0,Assumptions!$B$14*12,IF(A112&gt;=12,Assumptions!$B$15,0))-Pricing_M!$B$13,Assumptions!$B$9/12*(1+Assumptions!$B$10)^INT(A112/12)+Assumptions!$B$12*(1+Assumptions!$B$11)^(INT(A112/12)+1)/12))*J112</f>
        <v>-561.09963174652</v>
      </c>
      <c r="V112" s="32" t="n">
        <f aca="false">V111*(1-F111)*(1-(1-(1-MIN(1,G111*(1-Assumptions!$B$23)))^(1/12)))</f>
        <v>0.871982971914231</v>
      </c>
      <c r="W112" s="47" t="n">
        <f aca="false">V112*(IF(C112&lt;Assumptions!$B$5,Assumptions!$B$12*(1+Assumptions!$B$11)^(INT(A112/12)+1)/12+Pricing_M!$B$13*IF(A112=0,Assumptions!$B$14*12,IF(A112&gt;=12,Assumptions!$B$15,0))-Pricing_M!$B$13,Assumptions!$B$9/12*(1+Assumptions!$B$10)^INT(A112/12)+Assumptions!$B$12*(1+Assumptions!$B$11)^(INT(A112/12)+1)/12))*J112</f>
        <v>-645.020584471396</v>
      </c>
      <c r="X112" s="47" t="n">
        <f aca="false">I112*(IF(C112&lt;Assumptions!$B$5,Assumptions!$B$12*(1+Assumptions!$B$11)*(1+Assumptions!$B$24)*(1+Assumptions!$B$11+Assumptions!$B$25)^(INT(A112/12))/12+Pricing_M!$B$13*IF(A112=0,Assumptions!$B$14*12,IF(A112&gt;=12,Assumptions!$B$15,0))-Pricing_M!$B$13,Assumptions!$B$9/12*(1+Assumptions!$B$10)^INT(A112/12)+Assumptions!$B$12*(1+Assumptions!$B$11)*(1+Assumptions!$B$24)*(1+Assumptions!$B$11+Assumptions!$B$25)^(INT(A112/12))/12))*J112</f>
        <v>-600.833516144218</v>
      </c>
    </row>
    <row r="113" customFormat="false" ht="15" hidden="false" customHeight="true" outlineLevel="0" collapsed="false">
      <c r="A113" s="1" t="n">
        <v>106</v>
      </c>
      <c r="B113" s="31" t="n">
        <f aca="false">Assumptions!$B$4+A113/12</f>
        <v>73.8333333333333</v>
      </c>
      <c r="C113" s="34" t="n">
        <f aca="false">Assumptions!$B$4+INT(A113/12)</f>
        <v>73</v>
      </c>
      <c r="D113" s="34" t="n">
        <f aca="false">INT(A113/12)+1</f>
        <v>9</v>
      </c>
      <c r="E113" s="32" t="n">
        <f aca="false">IFERROR(INDEX(Cohort_Survival!$G$5:$G$65,MATCH(C113,Cohort_Survival!$A$5:$A$65,0)),1)</f>
        <v>0.0115816824955086</v>
      </c>
      <c r="F113" s="30" t="n">
        <f aca="false">1-(1-MIN(1,E113))^(1/12)</f>
        <v>0.000970301665786377</v>
      </c>
      <c r="G113" s="39" t="n">
        <f aca="false">IF(C113&lt;Assumptions!$B$5,IF(D113=1,Assumptions!$B$16,IF(D113=2,Assumptions!$B$17,IF(D113&lt;=5,Assumptions!$B$18,Assumptions!$B$19)))*(1-Assumptions!$B$20),0)</f>
        <v>0.0091</v>
      </c>
      <c r="H113" s="30" t="n">
        <f aca="false">1-(1-G113)^(1/12)</f>
        <v>0.000761514726814627</v>
      </c>
      <c r="I113" s="30" t="n">
        <f aca="false">I112*(1-F112)*(1-H112)</f>
        <v>0.812193428602009</v>
      </c>
      <c r="J113" s="30" t="n">
        <f aca="false">INDEX(Discount_Monthly!$G$4:$G$664,MATCH(A113,Discount_Monthly!$A$4:$A$664,0))</f>
        <v>0.780878087272264</v>
      </c>
      <c r="K113" s="30" t="n">
        <f aca="false">IF(C113&lt;Assumptions!$B$5,I113*J113,0)</f>
        <v>0.634224051021839</v>
      </c>
      <c r="L113" s="30" t="n">
        <f aca="false">IF(C113&lt;Assumptions!$B$5,I113*(1-F113)*H113*A113*J113,0)</f>
        <v>0.0511452467076907</v>
      </c>
      <c r="M113" s="30" t="n">
        <f aca="false">IF(A113=0,Assumptions!$B$14*12*I113*J113,IF(AND(A113&gt;=12,C113&lt;Assumptions!$B$5),Assumptions!$B$15*I113*J113,0))</f>
        <v>0.031711202551092</v>
      </c>
      <c r="N113" s="47" t="n">
        <f aca="false">IF(C113&gt;=Assumptions!$B$5,I113*Assumptions!$B$9/12*(1+Assumptions!$B$10)^INT(A113/12)*J113,0)</f>
        <v>0</v>
      </c>
      <c r="O113" s="47" t="n">
        <f aca="false">I113*Assumptions!$B$12/12*(1+Assumptions!$B$11)^(INT(A113/12)+1)*J113</f>
        <v>5.28039287980916</v>
      </c>
      <c r="P113" s="47" t="n">
        <f aca="false">O113+Pricing_M!$B$13*M113+N113-Pricing_M!$B$13*K113</f>
        <v>-599.199024244886</v>
      </c>
      <c r="Q113" s="47" t="n">
        <f aca="false">IF(C113&lt;Assumptions!$B$5,Pricing_M!$B$13*K113-Pricing_M!$B$13*M113-O113,-(N113+O113))</f>
        <v>599.199024244886</v>
      </c>
      <c r="R113" s="32" t="n">
        <f aca="false">R112*(1-(1-(1-MIN(1,E112*(1-Assumptions!$B$21)))^(1/12)))*(1-H112)</f>
        <v>0.823587063506235</v>
      </c>
      <c r="S113" s="47" t="n">
        <f aca="false">R113*(IF(C113&lt;Assumptions!$B$5,Assumptions!$B$12*(1+Assumptions!$B$11)^(INT(A113/12)+1)/12+Pricing_M!$B$13*IF(A113=0,Assumptions!$B$14*12,IF(A113&gt;=12,Assumptions!$B$15,0))-Pricing_M!$B$13,Assumptions!$B$9/12*(1+Assumptions!$B$10)^INT(A113/12)+Assumptions!$B$12*(1+Assumptions!$B$11)^(INT(A113/12)+1)/12))*J113</f>
        <v>-607.604725001373</v>
      </c>
      <c r="T113" s="32" t="n">
        <f aca="false">T112*(1-F112)*(1-(1-(1-MIN(1,G112*(1+Assumptions!$B$23)))^(1/12)))</f>
        <v>0.756929444366751</v>
      </c>
      <c r="U113" s="47" t="n">
        <f aca="false">T113*(IF(C113&lt;Assumptions!$B$5,Assumptions!$B$12*(1+Assumptions!$B$11)^(INT(A113/12)+1)/12+Pricing_M!$B$13*IF(A113=0,Assumptions!$B$14*12,IF(A113&gt;=12,Assumptions!$B$15,0))-Pricing_M!$B$13,Assumptions!$B$9/12*(1+Assumptions!$B$10)^INT(A113/12)+Assumptions!$B$12*(1+Assumptions!$B$11)^(INT(A113/12)+1)/12))*J113</f>
        <v>-558.427793816871</v>
      </c>
      <c r="V113" s="32" t="n">
        <f aca="false">V112*(1-F112)*(1-(1-(1-MIN(1,G112*(1-Assumptions!$B$23)))^(1/12)))</f>
        <v>0.870805888480177</v>
      </c>
      <c r="W113" s="47" t="n">
        <f aca="false">V113*(IF(C113&lt;Assumptions!$B$5,Assumptions!$B$12*(1+Assumptions!$B$11)^(INT(A113/12)+1)/12+Pricing_M!$B$13*IF(A113=0,Assumptions!$B$14*12,IF(A113&gt;=12,Assumptions!$B$15,0))-Pricing_M!$B$13,Assumptions!$B$9/12*(1+Assumptions!$B$10)^INT(A113/12)+Assumptions!$B$12*(1+Assumptions!$B$11)^(INT(A113/12)+1)/12))*J113</f>
        <v>-642.440606275463</v>
      </c>
      <c r="X113" s="47" t="n">
        <f aca="false">I113*(IF(C113&lt;Assumptions!$B$5,Assumptions!$B$12*(1+Assumptions!$B$11)*(1+Assumptions!$B$24)*(1+Assumptions!$B$11+Assumptions!$B$25)^(INT(A113/12))/12+Pricing_M!$B$13*IF(A113=0,Assumptions!$B$14*12,IF(A113&gt;=12,Assumptions!$B$15,0))-Pricing_M!$B$13,Assumptions!$B$9/12*(1+Assumptions!$B$10)^INT(A113/12)+Assumptions!$B$12*(1+Assumptions!$B$11)*(1+Assumptions!$B$24)*(1+Assumptions!$B$11+Assumptions!$B$25)^(INT(A113/12))/12))*J113</f>
        <v>-598.201858211492</v>
      </c>
    </row>
    <row r="114" customFormat="false" ht="15" hidden="false" customHeight="true" outlineLevel="0" collapsed="false">
      <c r="A114" s="1" t="n">
        <v>107</v>
      </c>
      <c r="B114" s="31" t="n">
        <f aca="false">Assumptions!$B$4+A114/12</f>
        <v>73.9166666666667</v>
      </c>
      <c r="C114" s="34" t="n">
        <f aca="false">Assumptions!$B$4+INT(A114/12)</f>
        <v>73</v>
      </c>
      <c r="D114" s="34" t="n">
        <f aca="false">INT(A114/12)+1</f>
        <v>9</v>
      </c>
      <c r="E114" s="32" t="n">
        <f aca="false">IFERROR(INDEX(Cohort_Survival!$G$5:$G$65,MATCH(C114,Cohort_Survival!$A$5:$A$65,0)),1)</f>
        <v>0.0115816824955086</v>
      </c>
      <c r="F114" s="30" t="n">
        <f aca="false">1-(1-MIN(1,E114))^(1/12)</f>
        <v>0.000970301665786377</v>
      </c>
      <c r="G114" s="39" t="n">
        <f aca="false">IF(C114&lt;Assumptions!$B$5,IF(D114=1,Assumptions!$B$16,IF(D114=2,Assumptions!$B$17,IF(D114&lt;=5,Assumptions!$B$18,Assumptions!$B$19)))*(1-Assumptions!$B$20),0)</f>
        <v>0.0091</v>
      </c>
      <c r="H114" s="30" t="n">
        <f aca="false">1-(1-G114)^(1/12)</f>
        <v>0.000761514726814627</v>
      </c>
      <c r="I114" s="30" t="n">
        <f aca="false">I113*(1-F113)*(1-H113)</f>
        <v>0.810787458837312</v>
      </c>
      <c r="J114" s="30" t="n">
        <f aca="false">INDEX(Discount_Monthly!$G$4:$G$664,MATCH(A114,Discount_Monthly!$A$4:$A$664,0))</f>
        <v>0.778806005528879</v>
      </c>
      <c r="K114" s="30" t="n">
        <f aca="false">IF(C114&lt;Assumptions!$B$5,I114*J114,0)</f>
        <v>0.631446142149997</v>
      </c>
      <c r="L114" s="30" t="n">
        <f aca="false">IF(C114&lt;Assumptions!$B$5,I114*(1-F114)*H114*A114*J114,0)</f>
        <v>0.0514016188815162</v>
      </c>
      <c r="M114" s="30" t="n">
        <f aca="false">IF(A114=0,Assumptions!$B$14*12*I114*J114,IF(AND(A114&gt;=12,C114&lt;Assumptions!$B$5),Assumptions!$B$15*I114*J114,0))</f>
        <v>0.0315723071074999</v>
      </c>
      <c r="N114" s="47" t="n">
        <f aca="false">IF(C114&gt;=Assumptions!$B$5,I114*Assumptions!$B$9/12*(1+Assumptions!$B$10)^INT(A114/12)*J114,0)</f>
        <v>0</v>
      </c>
      <c r="O114" s="47" t="n">
        <f aca="false">I114*Assumptions!$B$12/12*(1+Assumptions!$B$11)^(INT(A114/12)+1)*J114</f>
        <v>5.25726469631627</v>
      </c>
      <c r="P114" s="47" t="n">
        <f aca="false">O114+Pricing_M!$B$13*M114+N114-Pricing_M!$B$13*K114</f>
        <v>-596.574525406081</v>
      </c>
      <c r="Q114" s="47" t="n">
        <f aca="false">IF(C114&lt;Assumptions!$B$5,Pricing_M!$B$13*K114-Pricing_M!$B$13*M114-O114,-(N114+O114))</f>
        <v>596.574525406081</v>
      </c>
      <c r="R114" s="32" t="n">
        <f aca="false">R113*(1-(1-(1-MIN(1,E113*(1-Assumptions!$B$21)))^(1/12)))*(1-H113)</f>
        <v>0.822321758029354</v>
      </c>
      <c r="S114" s="47" t="n">
        <f aca="false">R114*(IF(C114&lt;Assumptions!$B$5,Assumptions!$B$12*(1+Assumptions!$B$11)^(INT(A114/12)+1)/12+Pricing_M!$B$13*IF(A114=0,Assumptions!$B$14*12,IF(A114&gt;=12,Assumptions!$B$15,0))-Pricing_M!$B$13,Assumptions!$B$9/12*(1+Assumptions!$B$10)^INT(A114/12)+Assumptions!$B$12*(1+Assumptions!$B$11)^(INT(A114/12)+1)/12))*J114</f>
        <v>-605.061421683746</v>
      </c>
      <c r="T114" s="32" t="n">
        <f aca="false">T113*(1-F113)*(1-(1-(1-MIN(1,G113*(1+Assumptions!$B$23)))^(1/12)))</f>
        <v>0.755329393807045</v>
      </c>
      <c r="U114" s="47" t="n">
        <f aca="false">T114*(IF(C114&lt;Assumptions!$B$5,Assumptions!$B$12*(1+Assumptions!$B$11)^(INT(A114/12)+1)/12+Pricing_M!$B$13*IF(A114=0,Assumptions!$B$14*12,IF(A114&gt;=12,Assumptions!$B$15,0))-Pricing_M!$B$13,Assumptions!$B$9/12*(1+Assumptions!$B$10)^INT(A114/12)+Assumptions!$B$12*(1+Assumptions!$B$11)^(INT(A114/12)+1)/12))*J114</f>
        <v>-555.768678615091</v>
      </c>
      <c r="V114" s="32" t="n">
        <f aca="false">V113*(1-F113)*(1-(1-(1-MIN(1,G113*(1-Assumptions!$B$23)))^(1/12)))</f>
        <v>0.869630393982438</v>
      </c>
      <c r="W114" s="47" t="n">
        <f aca="false">V114*(IF(C114&lt;Assumptions!$B$5,Assumptions!$B$12*(1+Assumptions!$B$11)^(INT(A114/12)+1)/12+Pricing_M!$B$13*IF(A114=0,Assumptions!$B$14*12,IF(A114&gt;=12,Assumptions!$B$15,0))-Pricing_M!$B$13,Assumptions!$B$9/12*(1+Assumptions!$B$10)^INT(A114/12)+Assumptions!$B$12*(1+Assumptions!$B$11)^(INT(A114/12)+1)/12))*J114</f>
        <v>-639.870947575763</v>
      </c>
      <c r="X114" s="47" t="n">
        <f aca="false">I114*(IF(C114&lt;Assumptions!$B$5,Assumptions!$B$12*(1+Assumptions!$B$11)*(1+Assumptions!$B$24)*(1+Assumptions!$B$11+Assumptions!$B$25)^(INT(A114/12))/12+Pricing_M!$B$13*IF(A114=0,Assumptions!$B$14*12,IF(A114&gt;=12,Assumptions!$B$15,0))-Pricing_M!$B$13,Assumptions!$B$9/12*(1+Assumptions!$B$10)^INT(A114/12)+Assumptions!$B$12*(1+Assumptions!$B$11)*(1+Assumptions!$B$24)*(1+Assumptions!$B$11+Assumptions!$B$25)^(INT(A114/12))/12))*J114</f>
        <v>-595.58172697175</v>
      </c>
    </row>
    <row r="115" customFormat="false" ht="15" hidden="false" customHeight="true" outlineLevel="0" collapsed="false">
      <c r="A115" s="1" t="n">
        <v>108</v>
      </c>
      <c r="B115" s="31" t="n">
        <f aca="false">Assumptions!$B$4+A115/12</f>
        <v>74</v>
      </c>
      <c r="C115" s="34" t="n">
        <f aca="false">Assumptions!$B$4+INT(A115/12)</f>
        <v>74</v>
      </c>
      <c r="D115" s="34" t="n">
        <f aca="false">INT(A115/12)+1</f>
        <v>10</v>
      </c>
      <c r="E115" s="32" t="n">
        <f aca="false">IFERROR(INDEX(Cohort_Survival!$G$5:$G$65,MATCH(C115,Cohort_Survival!$A$5:$A$65,0)),1)</f>
        <v>0.012890964853009</v>
      </c>
      <c r="F115" s="30" t="n">
        <f aca="false">1-(1-MIN(1,E115))^(1/12)</f>
        <v>0.00108064687821297</v>
      </c>
      <c r="G115" s="39" t="n">
        <f aca="false">IF(C115&lt;Assumptions!$B$5,IF(D115=1,Assumptions!$B$16,IF(D115=2,Assumptions!$B$17,IF(D115&lt;=5,Assumptions!$B$18,Assumptions!$B$19)))*(1-Assumptions!$B$20),0)</f>
        <v>0.0091</v>
      </c>
      <c r="H115" s="30" t="n">
        <f aca="false">1-(1-G115)^(1/12)</f>
        <v>0.000761514726814627</v>
      </c>
      <c r="I115" s="30" t="n">
        <f aca="false">I114*(1-F114)*(1-H114)</f>
        <v>0.809383922915231</v>
      </c>
      <c r="J115" s="30" t="n">
        <f aca="false">INDEX(Discount_Monthly!$G$4:$G$664,MATCH(A115,Discount_Monthly!$A$4:$A$664,0))</f>
        <v>0.776739422112084</v>
      </c>
      <c r="K115" s="30" t="n">
        <f aca="false">IF(C115&lt;Assumptions!$B$5,I115*J115,0)</f>
        <v>0.628680400551989</v>
      </c>
      <c r="L115" s="30" t="n">
        <f aca="false">IF(C115&lt;Assumptions!$B$5,I115*(1-F115)*H115*A115*J115,0)</f>
        <v>0.0516490586409622</v>
      </c>
      <c r="M115" s="30" t="n">
        <f aca="false">IF(A115=0,Assumptions!$B$14*12*I115*J115,IF(AND(A115&gt;=12,C115&lt;Assumptions!$B$5),Assumptions!$B$15*I115*J115,0))</f>
        <v>0.0314340200275994</v>
      </c>
      <c r="N115" s="47" t="n">
        <f aca="false">IF(C115&gt;=Assumptions!$B$5,I115*Assumptions!$B$9/12*(1+Assumptions!$B$10)^INT(A115/12)*J115,0)</f>
        <v>0</v>
      </c>
      <c r="O115" s="47" t="n">
        <f aca="false">I115*Assumptions!$B$12/12*(1+Assumptions!$B$11)^(INT(A115/12)+1)*J115</f>
        <v>5.36509375990517</v>
      </c>
      <c r="P115" s="47" t="n">
        <f aca="false">O115+Pricing_M!$B$13*M115+N115-Pricing_M!$B$13*K115</f>
        <v>-593.83066595798</v>
      </c>
      <c r="Q115" s="47" t="n">
        <f aca="false">IF(C115&lt;Assumptions!$B$5,Pricing_M!$B$13*K115-Pricing_M!$B$13*M115-O115,-(N115+O115))</f>
        <v>593.83066595798</v>
      </c>
      <c r="R115" s="32" t="n">
        <f aca="false">R114*(1-(1-(1-MIN(1,E114*(1-Assumptions!$B$21)))^(1/12)))*(1-H114)</f>
        <v>0.821058396485325</v>
      </c>
      <c r="S115" s="47" t="n">
        <f aca="false">R115*(IF(C115&lt;Assumptions!$B$5,Assumptions!$B$12*(1+Assumptions!$B$11)^(INT(A115/12)+1)/12+Pricing_M!$B$13*IF(A115=0,Assumptions!$B$14*12,IF(A115&gt;=12,Assumptions!$B$15,0))-Pricing_M!$B$13,Assumptions!$B$9/12*(1+Assumptions!$B$10)^INT(A115/12)+Assumptions!$B$12*(1+Assumptions!$B$11)^(INT(A115/12)+1)/12))*J115</f>
        <v>-602.396020690833</v>
      </c>
      <c r="T115" s="32" t="n">
        <f aca="false">T114*(1-F114)*(1-(1-(1-MIN(1,G114*(1+Assumptions!$B$23)))^(1/12)))</f>
        <v>0.75373272554646</v>
      </c>
      <c r="U115" s="47" t="n">
        <f aca="false">T115*(IF(C115&lt;Assumptions!$B$5,Assumptions!$B$12*(1+Assumptions!$B$11)^(INT(A115/12)+1)/12+Pricing_M!$B$13*IF(A115=0,Assumptions!$B$14*12,IF(A115&gt;=12,Assumptions!$B$15,0))-Pricing_M!$B$13,Assumptions!$B$9/12*(1+Assumptions!$B$10)^INT(A115/12)+Assumptions!$B$12*(1+Assumptions!$B$11)^(INT(A115/12)+1)/12))*J115</f>
        <v>-553.000366937675</v>
      </c>
      <c r="V115" s="32" t="n">
        <f aca="false">V114*(1-F114)*(1-(1-(1-MIN(1,G114*(1-Assumptions!$B$23)))^(1/12)))</f>
        <v>0.868456486276122</v>
      </c>
      <c r="W115" s="47" t="n">
        <f aca="false">V115*(IF(C115&lt;Assumptions!$B$5,Assumptions!$B$12*(1+Assumptions!$B$11)^(INT(A115/12)+1)/12+Pricing_M!$B$13*IF(A115=0,Assumptions!$B$14*12,IF(A115&gt;=12,Assumptions!$B$15,0))-Pricing_M!$B$13,Assumptions!$B$9/12*(1+Assumptions!$B$10)^INT(A115/12)+Assumptions!$B$12*(1+Assumptions!$B$11)^(INT(A115/12)+1)/12))*J115</f>
        <v>-637.171160681541</v>
      </c>
      <c r="X115" s="47" t="n">
        <f aca="false">I115*(IF(C115&lt;Assumptions!$B$5,Assumptions!$B$12*(1+Assumptions!$B$11)*(1+Assumptions!$B$24)*(1+Assumptions!$B$11+Assumptions!$B$25)^(INT(A115/12))/12+Pricing_M!$B$13*IF(A115=0,Assumptions!$B$14*12,IF(A115&gt;=12,Assumptions!$B$15,0))-Pricing_M!$B$13,Assumptions!$B$9/12*(1+Assumptions!$B$10)^INT(A115/12)+Assumptions!$B$12*(1+Assumptions!$B$11)*(1+Assumptions!$B$24)*(1+Assumptions!$B$11+Assumptions!$B$25)^(INT(A115/12))/12))*J115</f>
        <v>-592.755277865642</v>
      </c>
    </row>
    <row r="116" customFormat="false" ht="15" hidden="false" customHeight="true" outlineLevel="0" collapsed="false">
      <c r="A116" s="1" t="n">
        <v>109</v>
      </c>
      <c r="B116" s="31" t="n">
        <f aca="false">Assumptions!$B$4+A116/12</f>
        <v>74.0833333333333</v>
      </c>
      <c r="C116" s="34" t="n">
        <f aca="false">Assumptions!$B$4+INT(A116/12)</f>
        <v>74</v>
      </c>
      <c r="D116" s="34" t="n">
        <f aca="false">INT(A116/12)+1</f>
        <v>10</v>
      </c>
      <c r="E116" s="32" t="n">
        <f aca="false">IFERROR(INDEX(Cohort_Survival!$G$5:$G$65,MATCH(C116,Cohort_Survival!$A$5:$A$65,0)),1)</f>
        <v>0.012890964853009</v>
      </c>
      <c r="F116" s="30" t="n">
        <f aca="false">1-(1-MIN(1,E116))^(1/12)</f>
        <v>0.00108064687821297</v>
      </c>
      <c r="G116" s="39" t="n">
        <f aca="false">IF(C116&lt;Assumptions!$B$5,IF(D116=1,Assumptions!$B$16,IF(D116=2,Assumptions!$B$17,IF(D116&lt;=5,Assumptions!$B$18,Assumptions!$B$19)))*(1-Assumptions!$B$20),0)</f>
        <v>0.0091</v>
      </c>
      <c r="H116" s="30" t="n">
        <f aca="false">1-(1-G116)^(1/12)</f>
        <v>0.000761514726814627</v>
      </c>
      <c r="I116" s="30" t="n">
        <f aca="false">I115*(1-F115)*(1-H115)</f>
        <v>0.807893572993818</v>
      </c>
      <c r="J116" s="30" t="n">
        <f aca="false">INDEX(Discount_Monthly!$G$4:$G$664,MATCH(A116,Discount_Monthly!$A$4:$A$664,0))</f>
        <v>0.774522853299761</v>
      </c>
      <c r="K116" s="30" t="n">
        <f aca="false">IF(C116&lt;Assumptions!$B$5,I116*J116,0)</f>
        <v>0.625732035317711</v>
      </c>
      <c r="L116" s="30" t="n">
        <f aca="false">IF(C116&lt;Assumptions!$B$5,I116*(1-F116)*H116*A116*J116,0)</f>
        <v>0.051882825764935</v>
      </c>
      <c r="M116" s="30" t="n">
        <f aca="false">IF(A116=0,Assumptions!$B$14*12*I116*J116,IF(AND(A116&gt;=12,C116&lt;Assumptions!$B$5),Assumptions!$B$15*I116*J116,0))</f>
        <v>0.0312866017658855</v>
      </c>
      <c r="N116" s="47" t="n">
        <f aca="false">IF(C116&gt;=Assumptions!$B$5,I116*Assumptions!$B$9/12*(1+Assumptions!$B$10)^INT(A116/12)*J116,0)</f>
        <v>0</v>
      </c>
      <c r="O116" s="47" t="n">
        <f aca="false">I116*Assumptions!$B$12/12*(1+Assumptions!$B$11)^(INT(A116/12)+1)*J116</f>
        <v>5.33993271479153</v>
      </c>
      <c r="P116" s="47" t="n">
        <f aca="false">O116+Pricing_M!$B$13*M116+N116-Pricing_M!$B$13*K116</f>
        <v>-591.045737894339</v>
      </c>
      <c r="Q116" s="47" t="n">
        <f aca="false">IF(C116&lt;Assumptions!$B$5,Pricing_M!$B$13*K116-Pricing_M!$B$13*M116-O116,-(N116+O116))</f>
        <v>591.045737894339</v>
      </c>
      <c r="R116" s="32" t="n">
        <f aca="false">R115*(1-(1-(1-MIN(1,E115*(1-Assumptions!$B$21)))^(1/12)))*(1-H115)</f>
        <v>0.819724715290245</v>
      </c>
      <c r="S116" s="47" t="n">
        <f aca="false">R116*(IF(C116&lt;Assumptions!$B$5,Assumptions!$B$12*(1+Assumptions!$B$11)^(INT(A116/12)+1)/12+Pricing_M!$B$13*IF(A116=0,Assumptions!$B$14*12,IF(A116&gt;=12,Assumptions!$B$15,0))-Pricing_M!$B$13,Assumptions!$B$9/12*(1+Assumptions!$B$10)^INT(A116/12)+Assumptions!$B$12*(1+Assumptions!$B$11)^(INT(A116/12)+1)/12))*J116</f>
        <v>-599.701266868052</v>
      </c>
      <c r="T116" s="32" t="n">
        <f aca="false">T115*(1-F115)*(1-(1-(1-MIN(1,G115*(1+Assumptions!$B$23)))^(1/12)))</f>
        <v>0.75205635684142</v>
      </c>
      <c r="U116" s="47" t="n">
        <f aca="false">T116*(IF(C116&lt;Assumptions!$B$5,Assumptions!$B$12*(1+Assumptions!$B$11)^(INT(A116/12)+1)/12+Pricing_M!$B$13*IF(A116=0,Assumptions!$B$14*12,IF(A116&gt;=12,Assumptions!$B$15,0))-Pricing_M!$B$13,Assumptions!$B$9/12*(1+Assumptions!$B$10)^INT(A116/12)+Assumptions!$B$12*(1+Assumptions!$B$11)^(INT(A116/12)+1)/12))*J116</f>
        <v>-550.19586641874</v>
      </c>
      <c r="V116" s="32" t="n">
        <f aca="false">V115*(1-F115)*(1-(1-(1-MIN(1,G115*(1-Assumptions!$B$23)))^(1/12)))</f>
        <v>0.867188369615312</v>
      </c>
      <c r="W116" s="47" t="n">
        <f aca="false">V116*(IF(C116&lt;Assumptions!$B$5,Assumptions!$B$12*(1+Assumptions!$B$11)^(INT(A116/12)+1)/12+Pricing_M!$B$13*IF(A116=0,Assumptions!$B$14*12,IF(A116&gt;=12,Assumptions!$B$15,0))-Pricing_M!$B$13,Assumptions!$B$9/12*(1+Assumptions!$B$10)^INT(A116/12)+Assumptions!$B$12*(1+Assumptions!$B$11)^(INT(A116/12)+1)/12))*J116</f>
        <v>-634.425135866989</v>
      </c>
      <c r="X116" s="47" t="n">
        <f aca="false">I116*(IF(C116&lt;Assumptions!$B$5,Assumptions!$B$12*(1+Assumptions!$B$11)*(1+Assumptions!$B$24)*(1+Assumptions!$B$11+Assumptions!$B$25)^(INT(A116/12))/12+Pricing_M!$B$13*IF(A116=0,Assumptions!$B$14*12,IF(A116&gt;=12,Assumptions!$B$15,0))-Pricing_M!$B$13,Assumptions!$B$9/12*(1+Assumptions!$B$10)^INT(A116/12)+Assumptions!$B$12*(1+Assumptions!$B$11)*(1+Assumptions!$B$24)*(1+Assumptions!$B$11+Assumptions!$B$25)^(INT(A116/12))/12))*J116</f>
        <v>-589.97539312268</v>
      </c>
    </row>
    <row r="117" customFormat="false" ht="15" hidden="false" customHeight="true" outlineLevel="0" collapsed="false">
      <c r="A117" s="1" t="n">
        <v>110</v>
      </c>
      <c r="B117" s="31" t="n">
        <f aca="false">Assumptions!$B$4+A117/12</f>
        <v>74.1666666666667</v>
      </c>
      <c r="C117" s="34" t="n">
        <f aca="false">Assumptions!$B$4+INT(A117/12)</f>
        <v>74</v>
      </c>
      <c r="D117" s="34" t="n">
        <f aca="false">INT(A117/12)+1</f>
        <v>10</v>
      </c>
      <c r="E117" s="32" t="n">
        <f aca="false">IFERROR(INDEX(Cohort_Survival!$G$5:$G$65,MATCH(C117,Cohort_Survival!$A$5:$A$65,0)),1)</f>
        <v>0.012890964853009</v>
      </c>
      <c r="F117" s="30" t="n">
        <f aca="false">1-(1-MIN(1,E117))^(1/12)</f>
        <v>0.00108064687821297</v>
      </c>
      <c r="G117" s="39" t="n">
        <f aca="false">IF(C117&lt;Assumptions!$B$5,IF(D117=1,Assumptions!$B$16,IF(D117=2,Assumptions!$B$17,IF(D117&lt;=5,Assumptions!$B$18,Assumptions!$B$19)))*(1-Assumptions!$B$20),0)</f>
        <v>0.0091</v>
      </c>
      <c r="H117" s="30" t="n">
        <f aca="false">1-(1-G117)^(1/12)</f>
        <v>0.000761514726814627</v>
      </c>
      <c r="I117" s="30" t="n">
        <f aca="false">I116*(1-F116)*(1-H116)</f>
        <v>0.806405967311356</v>
      </c>
      <c r="J117" s="30" t="n">
        <f aca="false">INDEX(Discount_Monthly!$G$4:$G$664,MATCH(A117,Discount_Monthly!$A$4:$A$664,0))</f>
        <v>0.772312609874254</v>
      </c>
      <c r="K117" s="30" t="n">
        <f aca="false">IF(C117&lt;Assumptions!$B$5,I117*J117,0)</f>
        <v>0.622797497232406</v>
      </c>
      <c r="L117" s="30" t="n">
        <f aca="false">IF(C117&lt;Assumptions!$B$5,I117*(1-F117)*H117*A117*J117,0)</f>
        <v>0.0521132642962735</v>
      </c>
      <c r="M117" s="30" t="n">
        <f aca="false">IF(A117=0,Assumptions!$B$14*12*I117*J117,IF(AND(A117&gt;=12,C117&lt;Assumptions!$B$5),Assumptions!$B$15*I117*J117,0))</f>
        <v>0.0311398748616203</v>
      </c>
      <c r="N117" s="47" t="n">
        <f aca="false">IF(C117&gt;=Assumptions!$B$5,I117*Assumptions!$B$9/12*(1+Assumptions!$B$10)^INT(A117/12)*J117,0)</f>
        <v>0</v>
      </c>
      <c r="O117" s="47" t="n">
        <f aca="false">I117*Assumptions!$B$12/12*(1+Assumptions!$B$11)^(INT(A117/12)+1)*J117</f>
        <v>5.31488966914251</v>
      </c>
      <c r="P117" s="47" t="n">
        <f aca="false">O117+Pricing_M!$B$13*M117+N117-Pricing_M!$B$13*K117</f>
        <v>-588.273870497255</v>
      </c>
      <c r="Q117" s="47" t="n">
        <f aca="false">IF(C117&lt;Assumptions!$B$5,Pricing_M!$B$13*K117-Pricing_M!$B$13*M117-O117,-(N117+O117))</f>
        <v>588.273870497255</v>
      </c>
      <c r="R117" s="32" t="n">
        <f aca="false">R116*(1-(1-(1-MIN(1,E116*(1-Assumptions!$B$21)))^(1/12)))*(1-H116)</f>
        <v>0.818393200452075</v>
      </c>
      <c r="S117" s="47" t="n">
        <f aca="false">R117*(IF(C117&lt;Assumptions!$B$5,Assumptions!$B$12*(1+Assumptions!$B$11)^(INT(A117/12)+1)/12+Pricing_M!$B$13*IF(A117=0,Assumptions!$B$14*12,IF(A117&gt;=12,Assumptions!$B$15,0))-Pricing_M!$B$13,Assumptions!$B$9/12*(1+Assumptions!$B$10)^INT(A117/12)+Assumptions!$B$12*(1+Assumptions!$B$11)^(INT(A117/12)+1)/12))*J117</f>
        <v>-597.018567736729</v>
      </c>
      <c r="T117" s="32" t="n">
        <f aca="false">T116*(1-F116)*(1-(1-(1-MIN(1,G116*(1+Assumptions!$B$23)))^(1/12)))</f>
        <v>0.750383716529669</v>
      </c>
      <c r="U117" s="47" t="n">
        <f aca="false">T117*(IF(C117&lt;Assumptions!$B$5,Assumptions!$B$12*(1+Assumptions!$B$11)^(INT(A117/12)+1)/12+Pricing_M!$B$13*IF(A117=0,Assumptions!$B$14*12,IF(A117&gt;=12,Assumptions!$B$15,0))-Pricing_M!$B$13,Assumptions!$B$9/12*(1+Assumptions!$B$10)^INT(A117/12)+Assumptions!$B$12*(1+Assumptions!$B$11)^(INT(A117/12)+1)/12))*J117</f>
        <v>-547.40558871706</v>
      </c>
      <c r="V117" s="32" t="n">
        <f aca="false">V116*(1-F116)*(1-(1-(1-MIN(1,G116*(1-Assumptions!$B$23)))^(1/12)))</f>
        <v>0.865922104653338</v>
      </c>
      <c r="W117" s="47" t="n">
        <f aca="false">V117*(IF(C117&lt;Assumptions!$B$5,Assumptions!$B$12*(1+Assumptions!$B$11)^(INT(A117/12)+1)/12+Pricing_M!$B$13*IF(A117=0,Assumptions!$B$14*12,IF(A117&gt;=12,Assumptions!$B$15,0))-Pricing_M!$B$13,Assumptions!$B$9/12*(1+Assumptions!$B$10)^INT(A117/12)+Assumptions!$B$12*(1+Assumptions!$B$11)^(INT(A117/12)+1)/12))*J117</f>
        <v>-631.690945631194</v>
      </c>
      <c r="X117" s="47" t="n">
        <f aca="false">I117*(IF(C117&lt;Assumptions!$B$5,Assumptions!$B$12*(1+Assumptions!$B$11)*(1+Assumptions!$B$24)*(1+Assumptions!$B$11+Assumptions!$B$25)^(INT(A117/12))/12+Pricing_M!$B$13*IF(A117=0,Assumptions!$B$14*12,IF(A117&gt;=12,Assumptions!$B$15,0))-Pricing_M!$B$13,Assumptions!$B$9/12*(1+Assumptions!$B$10)^INT(A117/12)+Assumptions!$B$12*(1+Assumptions!$B$11)*(1+Assumptions!$B$24)*(1+Assumptions!$B$11+Assumptions!$B$25)^(INT(A117/12))/12))*J117</f>
        <v>-587.208545394272</v>
      </c>
    </row>
    <row r="118" customFormat="false" ht="15" hidden="false" customHeight="true" outlineLevel="0" collapsed="false">
      <c r="A118" s="1" t="n">
        <v>111</v>
      </c>
      <c r="B118" s="31" t="n">
        <f aca="false">Assumptions!$B$4+A118/12</f>
        <v>74.25</v>
      </c>
      <c r="C118" s="34" t="n">
        <f aca="false">Assumptions!$B$4+INT(A118/12)</f>
        <v>74</v>
      </c>
      <c r="D118" s="34" t="n">
        <f aca="false">INT(A118/12)+1</f>
        <v>10</v>
      </c>
      <c r="E118" s="32" t="n">
        <f aca="false">IFERROR(INDEX(Cohort_Survival!$G$5:$G$65,MATCH(C118,Cohort_Survival!$A$5:$A$65,0)),1)</f>
        <v>0.012890964853009</v>
      </c>
      <c r="F118" s="30" t="n">
        <f aca="false">1-(1-MIN(1,E118))^(1/12)</f>
        <v>0.00108064687821297</v>
      </c>
      <c r="G118" s="39" t="n">
        <f aca="false">IF(C118&lt;Assumptions!$B$5,IF(D118=1,Assumptions!$B$16,IF(D118=2,Assumptions!$B$17,IF(D118&lt;=5,Assumptions!$B$18,Assumptions!$B$19)))*(1-Assumptions!$B$20),0)</f>
        <v>0.0091</v>
      </c>
      <c r="H118" s="30" t="n">
        <f aca="false">1-(1-G118)^(1/12)</f>
        <v>0.000761514726814627</v>
      </c>
      <c r="I118" s="30" t="n">
        <f aca="false">I117*(1-F117)*(1-H117)</f>
        <v>0.804921100814773</v>
      </c>
      <c r="J118" s="30" t="n">
        <f aca="false">INDEX(Discount_Monthly!$G$4:$G$664,MATCH(A118,Discount_Monthly!$A$4:$A$664,0))</f>
        <v>0.770108673784907</v>
      </c>
      <c r="K118" s="30" t="n">
        <f aca="false">IF(C118&lt;Assumptions!$B$5,I118*J118,0)</f>
        <v>0.619876721449953</v>
      </c>
      <c r="L118" s="30" t="n">
        <f aca="false">IF(C118&lt;Assumptions!$B$5,I118*(1-F118)*H118*A118*J118,0)</f>
        <v>0.0523404003141759</v>
      </c>
      <c r="M118" s="30" t="n">
        <f aca="false">IF(A118=0,Assumptions!$B$14*12*I118*J118,IF(AND(A118&gt;=12,C118&lt;Assumptions!$B$5),Assumptions!$B$15*I118*J118,0))</f>
        <v>0.0309938360724976</v>
      </c>
      <c r="N118" s="47" t="n">
        <f aca="false">IF(C118&gt;=Assumptions!$B$5,I118*Assumptions!$B$9/12*(1+Assumptions!$B$10)^INT(A118/12)*J118,0)</f>
        <v>0</v>
      </c>
      <c r="O118" s="47" t="n">
        <f aca="false">I118*Assumptions!$B$12/12*(1+Assumptions!$B$11)^(INT(A118/12)+1)*J118</f>
        <v>5.28996406956796</v>
      </c>
      <c r="P118" s="47" t="n">
        <f aca="false">O118+Pricing_M!$B$13*M118+N118-Pricing_M!$B$13*K118</f>
        <v>-585.515002515232</v>
      </c>
      <c r="Q118" s="47" t="n">
        <f aca="false">IF(C118&lt;Assumptions!$B$5,Pricing_M!$B$13*K118-Pricing_M!$B$13*M118-O118,-(N118+O118))</f>
        <v>585.515002515232</v>
      </c>
      <c r="R118" s="32" t="n">
        <f aca="false">R117*(1-(1-(1-MIN(1,E117*(1-Assumptions!$B$21)))^(1/12)))*(1-H117)</f>
        <v>0.817063848451905</v>
      </c>
      <c r="S118" s="47" t="n">
        <f aca="false">R118*(IF(C118&lt;Assumptions!$B$5,Assumptions!$B$12*(1+Assumptions!$B$11)^(INT(A118/12)+1)/12+Pricing_M!$B$13*IF(A118=0,Assumptions!$B$14*12,IF(A118&gt;=12,Assumptions!$B$15,0))-Pricing_M!$B$13,Assumptions!$B$9/12*(1+Assumptions!$B$10)^INT(A118/12)+Assumptions!$B$12*(1+Assumptions!$B$11)^(INT(A118/12)+1)/12))*J118</f>
        <v>-594.347869371499</v>
      </c>
      <c r="T118" s="32" t="n">
        <f aca="false">T117*(1-F117)*(1-(1-(1-MIN(1,G117*(1+Assumptions!$B$23)))^(1/12)))</f>
        <v>0.748714796318927</v>
      </c>
      <c r="U118" s="47" t="n">
        <f aca="false">T118*(IF(C118&lt;Assumptions!$B$5,Assumptions!$B$12*(1+Assumptions!$B$11)^(INT(A118/12)+1)/12+Pricing_M!$B$13*IF(A118=0,Assumptions!$B$14*12,IF(A118&gt;=12,Assumptions!$B$15,0))-Pricing_M!$B$13,Assumptions!$B$9/12*(1+Assumptions!$B$10)^INT(A118/12)+Assumptions!$B$12*(1+Assumptions!$B$11)^(INT(A118/12)+1)/12))*J118</f>
        <v>-544.629461702667</v>
      </c>
      <c r="V118" s="32" t="n">
        <f aca="false">V117*(1-F117)*(1-(1-(1-MIN(1,G117*(1-Assumptions!$B$23)))^(1/12)))</f>
        <v>0.864657688686359</v>
      </c>
      <c r="W118" s="47" t="n">
        <f aca="false">V118*(IF(C118&lt;Assumptions!$B$5,Assumptions!$B$12*(1+Assumptions!$B$11)^(INT(A118/12)+1)/12+Pricing_M!$B$13*IF(A118=0,Assumptions!$B$14*12,IF(A118&gt;=12,Assumptions!$B$15,0))-Pricing_M!$B$13,Assumptions!$B$9/12*(1+Assumptions!$B$10)^INT(A118/12)+Assumptions!$B$12*(1+Assumptions!$B$11)^(INT(A118/12)+1)/12))*J118</f>
        <v>-628.968538970517</v>
      </c>
      <c r="X118" s="47" t="n">
        <f aca="false">I118*(IF(C118&lt;Assumptions!$B$5,Assumptions!$B$12*(1+Assumptions!$B$11)*(1+Assumptions!$B$24)*(1+Assumptions!$B$11+Assumptions!$B$25)^(INT(A118/12))/12+Pricing_M!$B$13*IF(A118=0,Assumptions!$B$14*12,IF(A118&gt;=12,Assumptions!$B$15,0))-Pricing_M!$B$13,Assumptions!$B$9/12*(1+Assumptions!$B$10)^INT(A118/12)+Assumptions!$B$12*(1+Assumptions!$B$11)*(1+Assumptions!$B$24)*(1+Assumptions!$B$11+Assumptions!$B$25)^(INT(A118/12))/12))*J118</f>
        <v>-584.454673539843</v>
      </c>
    </row>
    <row r="119" customFormat="false" ht="15" hidden="false" customHeight="true" outlineLevel="0" collapsed="false">
      <c r="A119" s="1" t="n">
        <v>112</v>
      </c>
      <c r="B119" s="31" t="n">
        <f aca="false">Assumptions!$B$4+A119/12</f>
        <v>74.3333333333333</v>
      </c>
      <c r="C119" s="34" t="n">
        <f aca="false">Assumptions!$B$4+INT(A119/12)</f>
        <v>74</v>
      </c>
      <c r="D119" s="34" t="n">
        <f aca="false">INT(A119/12)+1</f>
        <v>10</v>
      </c>
      <c r="E119" s="32" t="n">
        <f aca="false">IFERROR(INDEX(Cohort_Survival!$G$5:$G$65,MATCH(C119,Cohort_Survival!$A$5:$A$65,0)),1)</f>
        <v>0.012890964853009</v>
      </c>
      <c r="F119" s="30" t="n">
        <f aca="false">1-(1-MIN(1,E119))^(1/12)</f>
        <v>0.00108064687821297</v>
      </c>
      <c r="G119" s="39" t="n">
        <f aca="false">IF(C119&lt;Assumptions!$B$5,IF(D119=1,Assumptions!$B$16,IF(D119=2,Assumptions!$B$17,IF(D119&lt;=5,Assumptions!$B$18,Assumptions!$B$19)))*(1-Assumptions!$B$20),0)</f>
        <v>0.0091</v>
      </c>
      <c r="H119" s="30" t="n">
        <f aca="false">1-(1-G119)^(1/12)</f>
        <v>0.000761514726814627</v>
      </c>
      <c r="I119" s="30" t="n">
        <f aca="false">I118*(1-F118)*(1-H118)</f>
        <v>0.803438968460299</v>
      </c>
      <c r="J119" s="30" t="n">
        <f aca="false">INDEX(Discount_Monthly!$G$4:$G$664,MATCH(A119,Discount_Monthly!$A$4:$A$664,0))</f>
        <v>0.767911027032578</v>
      </c>
      <c r="K119" s="30" t="n">
        <f aca="false">IF(C119&lt;Assumptions!$B$5,I119*J119,0)</f>
        <v>0.616969643428343</v>
      </c>
      <c r="L119" s="30" t="n">
        <f aca="false">IF(C119&lt;Assumptions!$B$5,I119*(1-F119)*H119*A119*J119,0)</f>
        <v>0.0525642597264384</v>
      </c>
      <c r="M119" s="30" t="n">
        <f aca="false">IF(A119=0,Assumptions!$B$14*12*I119*J119,IF(AND(A119&gt;=12,C119&lt;Assumptions!$B$5),Assumptions!$B$15*I119*J119,0))</f>
        <v>0.0308484821714172</v>
      </c>
      <c r="N119" s="47" t="n">
        <f aca="false">IF(C119&gt;=Assumptions!$B$5,I119*Assumptions!$B$9/12*(1+Assumptions!$B$10)^INT(A119/12)*J119,0)</f>
        <v>0</v>
      </c>
      <c r="O119" s="47" t="n">
        <f aca="false">I119*Assumptions!$B$12/12*(1+Assumptions!$B$11)^(INT(A119/12)+1)*J119</f>
        <v>5.26515536527306</v>
      </c>
      <c r="P119" s="47" t="n">
        <f aca="false">O119+Pricing_M!$B$13*M119+N119-Pricing_M!$B$13*K119</f>
        <v>-582.769072984029</v>
      </c>
      <c r="Q119" s="47" t="n">
        <f aca="false">IF(C119&lt;Assumptions!$B$5,Pricing_M!$B$13*K119-Pricing_M!$B$13*M119-O119,-(N119+O119))</f>
        <v>582.769072984029</v>
      </c>
      <c r="R119" s="32" t="n">
        <f aca="false">R118*(1-(1-(1-MIN(1,E118*(1-Assumptions!$B$21)))^(1/12)))*(1-H118)</f>
        <v>0.815736655776543</v>
      </c>
      <c r="S119" s="47" t="n">
        <f aca="false">R119*(IF(C119&lt;Assumptions!$B$5,Assumptions!$B$12*(1+Assumptions!$B$11)^(INT(A119/12)+1)/12+Pricing_M!$B$13*IF(A119=0,Assumptions!$B$14*12,IF(A119&gt;=12,Assumptions!$B$15,0))-Pricing_M!$B$13,Assumptions!$B$9/12*(1+Assumptions!$B$10)^INT(A119/12)+Assumptions!$B$12*(1+Assumptions!$B$11)^(INT(A119/12)+1)/12))*J119</f>
        <v>-591.689118088225</v>
      </c>
      <c r="T119" s="32" t="n">
        <f aca="false">T118*(1-F118)*(1-(1-(1-MIN(1,G118*(1+Assumptions!$B$23)))^(1/12)))</f>
        <v>0.74704958793536</v>
      </c>
      <c r="U119" s="47" t="n">
        <f aca="false">T119*(IF(C119&lt;Assumptions!$B$5,Assumptions!$B$12*(1+Assumptions!$B$11)^(INT(A119/12)+1)/12+Pricing_M!$B$13*IF(A119=0,Assumptions!$B$14*12,IF(A119&gt;=12,Assumptions!$B$15,0))-Pricing_M!$B$13,Assumptions!$B$9/12*(1+Assumptions!$B$10)^INT(A119/12)+Assumptions!$B$12*(1+Assumptions!$B$11)^(INT(A119/12)+1)/12))*J119</f>
        <v>-541.867413611396</v>
      </c>
      <c r="V119" s="32" t="n">
        <f aca="false">V118*(1-F118)*(1-(1-(1-MIN(1,G118*(1-Assumptions!$B$23)))^(1/12)))</f>
        <v>0.863395119014477</v>
      </c>
      <c r="W119" s="47" t="n">
        <f aca="false">V119*(IF(C119&lt;Assumptions!$B$5,Assumptions!$B$12*(1+Assumptions!$B$11)^(INT(A119/12)+1)/12+Pricing_M!$B$13*IF(A119=0,Assumptions!$B$14*12,IF(A119&gt;=12,Assumptions!$B$15,0))-Pricing_M!$B$13,Assumptions!$B$9/12*(1+Assumptions!$B$10)^INT(A119/12)+Assumptions!$B$12*(1+Assumptions!$B$11)^(INT(A119/12)+1)/12))*J119</f>
        <v>-626.257865101131</v>
      </c>
      <c r="X119" s="47" t="n">
        <f aca="false">I119*(IF(C119&lt;Assumptions!$B$5,Assumptions!$B$12*(1+Assumptions!$B$11)*(1+Assumptions!$B$24)*(1+Assumptions!$B$11+Assumptions!$B$25)^(INT(A119/12))/12+Pricing_M!$B$13*IF(A119=0,Assumptions!$B$14*12,IF(A119&gt;=12,Assumptions!$B$15,0))-Pricing_M!$B$13,Assumptions!$B$9/12*(1+Assumptions!$B$10)^INT(A119/12)+Assumptions!$B$12*(1+Assumptions!$B$11)*(1+Assumptions!$B$24)*(1+Assumptions!$B$11+Assumptions!$B$25)^(INT(A119/12))/12))*J119</f>
        <v>-581.713716705554</v>
      </c>
    </row>
    <row r="120" customFormat="false" ht="15" hidden="false" customHeight="true" outlineLevel="0" collapsed="false">
      <c r="A120" s="1" t="n">
        <v>113</v>
      </c>
      <c r="B120" s="31" t="n">
        <f aca="false">Assumptions!$B$4+A120/12</f>
        <v>74.4166666666667</v>
      </c>
      <c r="C120" s="34" t="n">
        <f aca="false">Assumptions!$B$4+INT(A120/12)</f>
        <v>74</v>
      </c>
      <c r="D120" s="34" t="n">
        <f aca="false">INT(A120/12)+1</f>
        <v>10</v>
      </c>
      <c r="E120" s="32" t="n">
        <f aca="false">IFERROR(INDEX(Cohort_Survival!$G$5:$G$65,MATCH(C120,Cohort_Survival!$A$5:$A$65,0)),1)</f>
        <v>0.012890964853009</v>
      </c>
      <c r="F120" s="30" t="n">
        <f aca="false">1-(1-MIN(1,E120))^(1/12)</f>
        <v>0.00108064687821297</v>
      </c>
      <c r="G120" s="39" t="n">
        <f aca="false">IF(C120&lt;Assumptions!$B$5,IF(D120=1,Assumptions!$B$16,IF(D120=2,Assumptions!$B$17,IF(D120&lt;=5,Assumptions!$B$18,Assumptions!$B$19)))*(1-Assumptions!$B$20),0)</f>
        <v>0.0091</v>
      </c>
      <c r="H120" s="30" t="n">
        <f aca="false">1-(1-G120)^(1/12)</f>
        <v>0.000761514726814627</v>
      </c>
      <c r="I120" s="30" t="n">
        <f aca="false">I119*(1-F119)*(1-H119)</f>
        <v>0.801959565213454</v>
      </c>
      <c r="J120" s="30" t="n">
        <f aca="false">INDEX(Discount_Monthly!$G$4:$G$664,MATCH(A120,Discount_Monthly!$A$4:$A$664,0))</f>
        <v>0.765719651669485</v>
      </c>
      <c r="K120" s="30" t="n">
        <f aca="false">IF(C120&lt;Assumptions!$B$5,I120*J120,0)</f>
        <v>0.614076198928258</v>
      </c>
      <c r="L120" s="30" t="n">
        <f aca="false">IF(C120&lt;Assumptions!$B$5,I120*(1-F120)*H120*A120*J120,0)</f>
        <v>0.0527848682704893</v>
      </c>
      <c r="M120" s="30" t="n">
        <f aca="false">IF(A120=0,Assumptions!$B$14*12*I120*J120,IF(AND(A120&gt;=12,C120&lt;Assumptions!$B$5),Assumptions!$B$15*I120*J120,0))</f>
        <v>0.0307038099464129</v>
      </c>
      <c r="N120" s="47" t="n">
        <f aca="false">IF(C120&gt;=Assumptions!$B$5,I120*Assumptions!$B$9/12*(1+Assumptions!$B$10)^INT(A120/12)*J120,0)</f>
        <v>0</v>
      </c>
      <c r="O120" s="47" t="n">
        <f aca="false">I120*Assumptions!$B$12/12*(1+Assumptions!$B$11)^(INT(A120/12)+1)*J120</f>
        <v>5.24046300804607</v>
      </c>
      <c r="P120" s="47" t="n">
        <f aca="false">O120+Pricing_M!$B$13*M120+N120-Pricing_M!$B$13*K120</f>
        <v>-580.036021225314</v>
      </c>
      <c r="Q120" s="47" t="n">
        <f aca="false">IF(C120&lt;Assumptions!$B$5,Pricing_M!$B$13*K120-Pricing_M!$B$13*M120-O120,-(N120+O120))</f>
        <v>580.036021225314</v>
      </c>
      <c r="R120" s="32" t="n">
        <f aca="false">R119*(1-(1-(1-MIN(1,E119*(1-Assumptions!$B$21)))^(1/12)))*(1-H119)</f>
        <v>0.814411618918503</v>
      </c>
      <c r="S120" s="47" t="n">
        <f aca="false">R120*(IF(C120&lt;Assumptions!$B$5,Assumptions!$B$12*(1+Assumptions!$B$11)^(INT(A120/12)+1)/12+Pricing_M!$B$13*IF(A120=0,Assumptions!$B$14*12,IF(A120&gt;=12,Assumptions!$B$15,0))-Pricing_M!$B$13,Assumptions!$B$9/12*(1+Assumptions!$B$10)^INT(A120/12)+Assumptions!$B$12*(1+Assumptions!$B$11)^(INT(A120/12)+1)/12))*J120</f>
        <v>-589.042260442921</v>
      </c>
      <c r="T120" s="32" t="n">
        <f aca="false">T119*(1-F119)*(1-(1-(1-MIN(1,G119*(1+Assumptions!$B$23)))^(1/12)))</f>
        <v>0.745388083123531</v>
      </c>
      <c r="U120" s="47" t="n">
        <f aca="false">T120*(IF(C120&lt;Assumptions!$B$5,Assumptions!$B$12*(1+Assumptions!$B$11)^(INT(A120/12)+1)/12+Pricing_M!$B$13*IF(A120=0,Assumptions!$B$14*12,IF(A120&gt;=12,Assumptions!$B$15,0))-Pricing_M!$B$13,Assumptions!$B$9/12*(1+Assumptions!$B$10)^INT(A120/12)+Assumptions!$B$12*(1+Assumptions!$B$11)^(INT(A120/12)+1)/12))*J120</f>
        <v>-539.119373043028</v>
      </c>
      <c r="V120" s="32" t="n">
        <f aca="false">V119*(1-F119)*(1-(1-(1-MIN(1,G119*(1-Assumptions!$B$23)))^(1/12)))</f>
        <v>0.862134392941742</v>
      </c>
      <c r="W120" s="47" t="n">
        <f aca="false">V120*(IF(C120&lt;Assumptions!$B$5,Assumptions!$B$12*(1+Assumptions!$B$11)^(INT(A120/12)+1)/12+Pricing_M!$B$13*IF(A120=0,Assumptions!$B$14*12,IF(A120&gt;=12,Assumptions!$B$15,0))-Pricing_M!$B$13,Assumptions!$B$9/12*(1+Assumptions!$B$10)^INT(A120/12)+Assumptions!$B$12*(1+Assumptions!$B$11)^(INT(A120/12)+1)/12))*J120</f>
        <v>-623.558873458076</v>
      </c>
      <c r="X120" s="47" t="n">
        <f aca="false">I120*(IF(C120&lt;Assumptions!$B$5,Assumptions!$B$12*(1+Assumptions!$B$11)*(1+Assumptions!$B$24)*(1+Assumptions!$B$11+Assumptions!$B$25)^(INT(A120/12))/12+Pricing_M!$B$13*IF(A120=0,Assumptions!$B$14*12,IF(A120&gt;=12,Assumptions!$B$15,0))-Pricing_M!$B$13,Assumptions!$B$9/12*(1+Assumptions!$B$10)^INT(A120/12)+Assumptions!$B$12*(1+Assumptions!$B$11)*(1+Assumptions!$B$24)*(1+Assumptions!$B$11+Assumptions!$B$25)^(INT(A120/12))/12))*J120</f>
        <v>-578.985614322958</v>
      </c>
    </row>
    <row r="121" customFormat="false" ht="15" hidden="false" customHeight="true" outlineLevel="0" collapsed="false">
      <c r="A121" s="1" t="n">
        <v>114</v>
      </c>
      <c r="B121" s="31" t="n">
        <f aca="false">Assumptions!$B$4+A121/12</f>
        <v>74.5</v>
      </c>
      <c r="C121" s="34" t="n">
        <f aca="false">Assumptions!$B$4+INT(A121/12)</f>
        <v>74</v>
      </c>
      <c r="D121" s="34" t="n">
        <f aca="false">INT(A121/12)+1</f>
        <v>10</v>
      </c>
      <c r="E121" s="32" t="n">
        <f aca="false">IFERROR(INDEX(Cohort_Survival!$G$5:$G$65,MATCH(C121,Cohort_Survival!$A$5:$A$65,0)),1)</f>
        <v>0.012890964853009</v>
      </c>
      <c r="F121" s="30" t="n">
        <f aca="false">1-(1-MIN(1,E121))^(1/12)</f>
        <v>0.00108064687821297</v>
      </c>
      <c r="G121" s="39" t="n">
        <f aca="false">IF(C121&lt;Assumptions!$B$5,IF(D121=1,Assumptions!$B$16,IF(D121=2,Assumptions!$B$17,IF(D121&lt;=5,Assumptions!$B$18,Assumptions!$B$19)))*(1-Assumptions!$B$20),0)</f>
        <v>0.0091</v>
      </c>
      <c r="H121" s="30" t="n">
        <f aca="false">1-(1-G121)^(1/12)</f>
        <v>0.000761514726814627</v>
      </c>
      <c r="I121" s="30" t="n">
        <f aca="false">I120*(1-F120)*(1-H120)</f>
        <v>0.800482886049025</v>
      </c>
      <c r="J121" s="30" t="n">
        <f aca="false">INDEX(Discount_Monthly!$G$4:$G$664,MATCH(A121,Discount_Monthly!$A$4:$A$664,0))</f>
        <v>0.763534529799067</v>
      </c>
      <c r="K121" s="30" t="n">
        <f aca="false">IF(C121&lt;Assumptions!$B$5,I121*J121,0)</f>
        <v>0.611196324011642</v>
      </c>
      <c r="L121" s="30" t="n">
        <f aca="false">IF(C121&lt;Assumptions!$B$5,I121*(1-F121)*H121*A121*J121,0)</f>
        <v>0.0530022515144172</v>
      </c>
      <c r="M121" s="30" t="n">
        <f aca="false">IF(A121=0,Assumptions!$B$14*12*I121*J121,IF(AND(A121&gt;=12,C121&lt;Assumptions!$B$5),Assumptions!$B$15*I121*J121,0))</f>
        <v>0.0305598162005821</v>
      </c>
      <c r="N121" s="47" t="n">
        <f aca="false">IF(C121&gt;=Assumptions!$B$5,I121*Assumptions!$B$9/12*(1+Assumptions!$B$10)^INT(A121/12)*J121,0)</f>
        <v>0</v>
      </c>
      <c r="O121" s="47" t="n">
        <f aca="false">I121*Assumptions!$B$12/12*(1+Assumptions!$B$11)^(INT(A121/12)+1)*J121</f>
        <v>5.21588645224621</v>
      </c>
      <c r="P121" s="47" t="n">
        <f aca="false">O121+Pricing_M!$B$13*M121+N121-Pricing_M!$B$13*K121</f>
        <v>-577.315786845321</v>
      </c>
      <c r="Q121" s="47" t="n">
        <f aca="false">IF(C121&lt;Assumptions!$B$5,Pricing_M!$B$13*K121-Pricing_M!$B$13*M121-O121,-(N121+O121))</f>
        <v>577.315786845321</v>
      </c>
      <c r="R121" s="32" t="n">
        <f aca="false">R120*(1-(1-(1-MIN(1,E120*(1-Assumptions!$B$21)))^(1/12)))*(1-H120)</f>
        <v>0.813088734375996</v>
      </c>
      <c r="S121" s="47" t="n">
        <f aca="false">R121*(IF(C121&lt;Assumptions!$B$5,Assumptions!$B$12*(1+Assumptions!$B$11)^(INT(A121/12)+1)/12+Pricing_M!$B$13*IF(A121=0,Assumptions!$B$14*12,IF(A121&gt;=12,Assumptions!$B$15,0))-Pricing_M!$B$13,Assumptions!$B$9/12*(1+Assumptions!$B$10)^INT(A121/12)+Assumptions!$B$12*(1+Assumptions!$B$11)^(INT(A121/12)+1)/12))*J121</f>
        <v>-586.407243230676</v>
      </c>
      <c r="T121" s="32" t="n">
        <f aca="false">T120*(1-F120)*(1-(1-(1-MIN(1,G120*(1+Assumptions!$B$23)))^(1/12)))</f>
        <v>0.74373027364637</v>
      </c>
      <c r="U121" s="47" t="n">
        <f aca="false">T121*(IF(C121&lt;Assumptions!$B$5,Assumptions!$B$12*(1+Assumptions!$B$11)^(INT(A121/12)+1)/12+Pricing_M!$B$13*IF(A121=0,Assumptions!$B$14*12,IF(A121&gt;=12,Assumptions!$B$15,0))-Pricing_M!$B$13,Assumptions!$B$9/12*(1+Assumptions!$B$10)^INT(A121/12)+Assumptions!$B$12*(1+Assumptions!$B$11)^(INT(A121/12)+1)/12))*J121</f>
        <v>-536.385268959446</v>
      </c>
      <c r="V121" s="32" t="n">
        <f aca="false">V120*(1-F120)*(1-(1-(1-MIN(1,G120*(1-Assumptions!$B$23)))^(1/12)))</f>
        <v>0.860875507776136</v>
      </c>
      <c r="W121" s="47" t="n">
        <f aca="false">V121*(IF(C121&lt;Assumptions!$B$5,Assumptions!$B$12*(1+Assumptions!$B$11)^(INT(A121/12)+1)/12+Pricing_M!$B$13*IF(A121=0,Assumptions!$B$14*12,IF(A121&gt;=12,Assumptions!$B$15,0))-Pricing_M!$B$13,Assumptions!$B$9/12*(1+Assumptions!$B$10)^INT(A121/12)+Assumptions!$B$12*(1+Assumptions!$B$11)^(INT(A121/12)+1)/12))*J121</f>
        <v>-620.871513694306</v>
      </c>
      <c r="X121" s="47" t="n">
        <f aca="false">I121*(IF(C121&lt;Assumptions!$B$5,Assumptions!$B$12*(1+Assumptions!$B$11)*(1+Assumptions!$B$24)*(1+Assumptions!$B$11+Assumptions!$B$25)^(INT(A121/12))/12+Pricing_M!$B$13*IF(A121=0,Assumptions!$B$14*12,IF(A121&gt;=12,Assumptions!$B$15,0))-Pricing_M!$B$13,Assumptions!$B$9/12*(1+Assumptions!$B$10)^INT(A121/12)+Assumptions!$B$12*(1+Assumptions!$B$11)*(1+Assumptions!$B$24)*(1+Assumptions!$B$11+Assumptions!$B$25)^(INT(A121/12))/12))*J121</f>
        <v>-576.270306107659</v>
      </c>
    </row>
    <row r="122" customFormat="false" ht="15" hidden="false" customHeight="true" outlineLevel="0" collapsed="false">
      <c r="A122" s="1" t="n">
        <v>115</v>
      </c>
      <c r="B122" s="31" t="n">
        <f aca="false">Assumptions!$B$4+A122/12</f>
        <v>74.5833333333333</v>
      </c>
      <c r="C122" s="34" t="n">
        <f aca="false">Assumptions!$B$4+INT(A122/12)</f>
        <v>74</v>
      </c>
      <c r="D122" s="34" t="n">
        <f aca="false">INT(A122/12)+1</f>
        <v>10</v>
      </c>
      <c r="E122" s="32" t="n">
        <f aca="false">IFERROR(INDEX(Cohort_Survival!$G$5:$G$65,MATCH(C122,Cohort_Survival!$A$5:$A$65,0)),1)</f>
        <v>0.012890964853009</v>
      </c>
      <c r="F122" s="30" t="n">
        <f aca="false">1-(1-MIN(1,E122))^(1/12)</f>
        <v>0.00108064687821297</v>
      </c>
      <c r="G122" s="39" t="n">
        <f aca="false">IF(C122&lt;Assumptions!$B$5,IF(D122=1,Assumptions!$B$16,IF(D122=2,Assumptions!$B$17,IF(D122&lt;=5,Assumptions!$B$18,Assumptions!$B$19)))*(1-Assumptions!$B$20),0)</f>
        <v>0.0091</v>
      </c>
      <c r="H122" s="30" t="n">
        <f aca="false">1-(1-G122)^(1/12)</f>
        <v>0.000761514726814627</v>
      </c>
      <c r="I122" s="30" t="n">
        <f aca="false">I121*(1-F121)*(1-H121)</f>
        <v>0.799008925951054</v>
      </c>
      <c r="J122" s="30" t="n">
        <f aca="false">INDEX(Discount_Monthly!$G$4:$G$664,MATCH(A122,Discount_Monthly!$A$4:$A$664,0))</f>
        <v>0.761355643575831</v>
      </c>
      <c r="K122" s="30" t="n">
        <f aca="false">IF(C122&lt;Assumptions!$B$5,I122*J122,0)</f>
        <v>0.608329955040298</v>
      </c>
      <c r="L122" s="30" t="n">
        <f aca="false">IF(C122&lt;Assumptions!$B$5,I122*(1-F122)*H122*A122*J122,0)</f>
        <v>0.0532164348579933</v>
      </c>
      <c r="M122" s="30" t="n">
        <f aca="false">IF(A122=0,Assumptions!$B$14*12*I122*J122,IF(AND(A122&gt;=12,C122&lt;Assumptions!$B$5),Assumptions!$B$15*I122*J122,0))</f>
        <v>0.0304164977520149</v>
      </c>
      <c r="N122" s="47" t="n">
        <f aca="false">IF(C122&gt;=Assumptions!$B$5,I122*Assumptions!$B$9/12*(1+Assumptions!$B$10)^INT(A122/12)*J122,0)</f>
        <v>0</v>
      </c>
      <c r="O122" s="47" t="n">
        <f aca="false">I122*Assumptions!$B$12/12*(1+Assumptions!$B$11)^(INT(A122/12)+1)*J122</f>
        <v>5.19142515479167</v>
      </c>
      <c r="P122" s="47" t="n">
        <f aca="false">O122+Pricing_M!$B$13*M122+N122-Pricing_M!$B$13*K122</f>
        <v>-574.608309733516</v>
      </c>
      <c r="Q122" s="47" t="n">
        <f aca="false">IF(C122&lt;Assumptions!$B$5,Pricing_M!$B$13*K122-Pricing_M!$B$13*M122-O122,-(N122+O122))</f>
        <v>574.608309733516</v>
      </c>
      <c r="R122" s="32" t="n">
        <f aca="false">R121*(1-(1-(1-MIN(1,E121*(1-Assumptions!$B$21)))^(1/12)))*(1-H121)</f>
        <v>0.811767998652922</v>
      </c>
      <c r="S122" s="47" t="n">
        <f aca="false">R122*(IF(C122&lt;Assumptions!$B$5,Assumptions!$B$12*(1+Assumptions!$B$11)^(INT(A122/12)+1)/12+Pricing_M!$B$13*IF(A122=0,Assumptions!$B$14*12,IF(A122&gt;=12,Assumptions!$B$15,0))-Pricing_M!$B$13,Assumptions!$B$9/12*(1+Assumptions!$B$10)^INT(A122/12)+Assumptions!$B$12*(1+Assumptions!$B$11)^(INT(A122/12)+1)/12))*J122</f>
        <v>-583.784013484586</v>
      </c>
      <c r="T122" s="32" t="n">
        <f aca="false">T121*(1-F121)*(1-(1-(1-MIN(1,G121*(1+Assumptions!$B$23)))^(1/12)))</f>
        <v>0.74207615128512</v>
      </c>
      <c r="U122" s="47" t="n">
        <f aca="false">T122*(IF(C122&lt;Assumptions!$B$5,Assumptions!$B$12*(1+Assumptions!$B$11)^(INT(A122/12)+1)/12+Pricing_M!$B$13*IF(A122=0,Assumptions!$B$14*12,IF(A122&gt;=12,Assumptions!$B$15,0))-Pricing_M!$B$13,Assumptions!$B$9/12*(1+Assumptions!$B$10)^INT(A122/12)+Assumptions!$B$12*(1+Assumptions!$B$11)^(INT(A122/12)+1)/12))*J122</f>
        <v>-533.665030682795</v>
      </c>
      <c r="V122" s="32" t="n">
        <f aca="false">V121*(1-F121)*(1-(1-(1-MIN(1,G121*(1-Assumptions!$B$23)))^(1/12)))</f>
        <v>0.859618460829576</v>
      </c>
      <c r="W122" s="47" t="n">
        <f aca="false">V122*(IF(C122&lt;Assumptions!$B$5,Assumptions!$B$12*(1+Assumptions!$B$11)^(INT(A122/12)+1)/12+Pricing_M!$B$13*IF(A122=0,Assumptions!$B$14*12,IF(A122&gt;=12,Assumptions!$B$15,0))-Pricing_M!$B$13,Assumptions!$B$9/12*(1+Assumptions!$B$10)^INT(A122/12)+Assumptions!$B$12*(1+Assumptions!$B$11)^(INT(A122/12)+1)/12))*J122</f>
        <v>-618.195735679763</v>
      </c>
      <c r="X122" s="47" t="n">
        <f aca="false">I122*(IF(C122&lt;Assumptions!$B$5,Assumptions!$B$12*(1+Assumptions!$B$11)*(1+Assumptions!$B$24)*(1+Assumptions!$B$11+Assumptions!$B$25)^(INT(A122/12))/12+Pricing_M!$B$13*IF(A122=0,Assumptions!$B$14*12,IF(A122&gt;=12,Assumptions!$B$15,0))-Pricing_M!$B$13,Assumptions!$B$9/12*(1+Assumptions!$B$10)^INT(A122/12)+Assumptions!$B$12*(1+Assumptions!$B$11)*(1+Assumptions!$B$24)*(1+Assumptions!$B$11+Assumptions!$B$25)^(INT(A122/12))/12))*J122</f>
        <v>-573.567732057978</v>
      </c>
    </row>
    <row r="123" customFormat="false" ht="15" hidden="false" customHeight="true" outlineLevel="0" collapsed="false">
      <c r="A123" s="1" t="n">
        <v>116</v>
      </c>
      <c r="B123" s="31" t="n">
        <f aca="false">Assumptions!$B$4+A123/12</f>
        <v>74.6666666666667</v>
      </c>
      <c r="C123" s="34" t="n">
        <f aca="false">Assumptions!$B$4+INT(A123/12)</f>
        <v>74</v>
      </c>
      <c r="D123" s="34" t="n">
        <f aca="false">INT(A123/12)+1</f>
        <v>10</v>
      </c>
      <c r="E123" s="32" t="n">
        <f aca="false">IFERROR(INDEX(Cohort_Survival!$G$5:$G$65,MATCH(C123,Cohort_Survival!$A$5:$A$65,0)),1)</f>
        <v>0.012890964853009</v>
      </c>
      <c r="F123" s="30" t="n">
        <f aca="false">1-(1-MIN(1,E123))^(1/12)</f>
        <v>0.00108064687821297</v>
      </c>
      <c r="G123" s="39" t="n">
        <f aca="false">IF(C123&lt;Assumptions!$B$5,IF(D123=1,Assumptions!$B$16,IF(D123=2,Assumptions!$B$17,IF(D123&lt;=5,Assumptions!$B$18,Assumptions!$B$19)))*(1-Assumptions!$B$20),0)</f>
        <v>0.0091</v>
      </c>
      <c r="H123" s="30" t="n">
        <f aca="false">1-(1-G123)^(1/12)</f>
        <v>0.000761514726814627</v>
      </c>
      <c r="I123" s="30" t="n">
        <f aca="false">I122*(1-F122)*(1-H122)</f>
        <v>0.79753767991282</v>
      </c>
      <c r="J123" s="30" t="n">
        <f aca="false">INDEX(Discount_Monthly!$G$4:$G$664,MATCH(A123,Discount_Monthly!$A$4:$A$664,0))</f>
        <v>0.759182975205211</v>
      </c>
      <c r="K123" s="30" t="n">
        <f aca="false">IF(C123&lt;Assumptions!$B$5,I123*J123,0)</f>
        <v>0.605477028674476</v>
      </c>
      <c r="L123" s="30" t="n">
        <f aca="false">IF(C123&lt;Assumptions!$B$5,I123*(1-F123)*H123*A123*J123,0)</f>
        <v>0.0534274435336877</v>
      </c>
      <c r="M123" s="30" t="n">
        <f aca="false">IF(A123=0,Assumptions!$B$14*12*I123*J123,IF(AND(A123&gt;=12,C123&lt;Assumptions!$B$5),Assumptions!$B$15*I123*J123,0))</f>
        <v>0.0302738514337238</v>
      </c>
      <c r="N123" s="47" t="n">
        <f aca="false">IF(C123&gt;=Assumptions!$B$5,I123*Assumptions!$B$9/12*(1+Assumptions!$B$10)^INT(A123/12)*J123,0)</f>
        <v>0</v>
      </c>
      <c r="O123" s="47" t="n">
        <f aca="false">I123*Assumptions!$B$12/12*(1+Assumptions!$B$11)^(INT(A123/12)+1)*J123</f>
        <v>5.16707857514754</v>
      </c>
      <c r="P123" s="47" t="n">
        <f aca="false">O123+Pricing_M!$B$13*M123+N123-Pricing_M!$B$13*K123</f>
        <v>-571.913530061273</v>
      </c>
      <c r="Q123" s="47" t="n">
        <f aca="false">IF(C123&lt;Assumptions!$B$5,Pricing_M!$B$13*K123-Pricing_M!$B$13*M123-O123,-(N123+O123))</f>
        <v>571.913530061273</v>
      </c>
      <c r="R123" s="32" t="n">
        <f aca="false">R122*(1-(1-(1-MIN(1,E122*(1-Assumptions!$B$21)))^(1/12)))*(1-H122)</f>
        <v>0.810449408258858</v>
      </c>
      <c r="S123" s="47" t="n">
        <f aca="false">R123*(IF(C123&lt;Assumptions!$B$5,Assumptions!$B$12*(1+Assumptions!$B$11)^(INT(A123/12)+1)/12+Pricing_M!$B$13*IF(A123=0,Assumptions!$B$14*12,IF(A123&gt;=12,Assumptions!$B$15,0))-Pricing_M!$B$13,Assumptions!$B$9/12*(1+Assumptions!$B$10)^INT(A123/12)+Assumptions!$B$12*(1+Assumptions!$B$11)^(INT(A123/12)+1)/12))*J123</f>
        <v>-581.172518474688</v>
      </c>
      <c r="T123" s="32" t="n">
        <f aca="false">T122*(1-F122)*(1-(1-(1-MIN(1,G122*(1+Assumptions!$B$23)))^(1/12)))</f>
        <v>0.74042570783931</v>
      </c>
      <c r="U123" s="47" t="n">
        <f aca="false">T123*(IF(C123&lt;Assumptions!$B$5,Assumptions!$B$12*(1+Assumptions!$B$11)^(INT(A123/12)+1)/12+Pricing_M!$B$13*IF(A123=0,Assumptions!$B$14*12,IF(A123&gt;=12,Assumptions!$B$15,0))-Pricing_M!$B$13,Assumptions!$B$9/12*(1+Assumptions!$B$10)^INT(A123/12)+Assumptions!$B$12*(1+Assumptions!$B$11)^(INT(A123/12)+1)/12))*J123</f>
        <v>-530.95858789366</v>
      </c>
      <c r="V123" s="32" t="n">
        <f aca="false">V122*(1-F122)*(1-(1-(1-MIN(1,G122*(1-Assumptions!$B$23)))^(1/12)))</f>
        <v>0.858363249417899</v>
      </c>
      <c r="W123" s="47" t="n">
        <f aca="false">V123*(IF(C123&lt;Assumptions!$B$5,Assumptions!$B$12*(1+Assumptions!$B$11)^(INT(A123/12)+1)/12+Pricing_M!$B$13*IF(A123=0,Assumptions!$B$14*12,IF(A123&gt;=12,Assumptions!$B$15,0))-Pricing_M!$B$13,Assumptions!$B$9/12*(1+Assumptions!$B$10)^INT(A123/12)+Assumptions!$B$12*(1+Assumptions!$B$11)^(INT(A123/12)+1)/12))*J123</f>
        <v>-615.531489500431</v>
      </c>
      <c r="X123" s="47" t="n">
        <f aca="false">I123*(IF(C123&lt;Assumptions!$B$5,Assumptions!$B$12*(1+Assumptions!$B$11)*(1+Assumptions!$B$24)*(1+Assumptions!$B$11+Assumptions!$B$25)^(INT(A123/12))/12+Pricing_M!$B$13*IF(A123=0,Assumptions!$B$14*12,IF(A123&gt;=12,Assumptions!$B$15,0))-Pricing_M!$B$13,Assumptions!$B$9/12*(1+Assumptions!$B$10)^INT(A123/12)+Assumptions!$B$12*(1+Assumptions!$B$11)*(1+Assumptions!$B$24)*(1+Assumptions!$B$11+Assumptions!$B$25)^(INT(A123/12))/12))*J123</f>
        <v>-570.877832453635</v>
      </c>
    </row>
    <row r="124" customFormat="false" ht="15" hidden="false" customHeight="true" outlineLevel="0" collapsed="false">
      <c r="A124" s="1" t="n">
        <v>117</v>
      </c>
      <c r="B124" s="31" t="n">
        <f aca="false">Assumptions!$B$4+A124/12</f>
        <v>74.75</v>
      </c>
      <c r="C124" s="34" t="n">
        <f aca="false">Assumptions!$B$4+INT(A124/12)</f>
        <v>74</v>
      </c>
      <c r="D124" s="34" t="n">
        <f aca="false">INT(A124/12)+1</f>
        <v>10</v>
      </c>
      <c r="E124" s="32" t="n">
        <f aca="false">IFERROR(INDEX(Cohort_Survival!$G$5:$G$65,MATCH(C124,Cohort_Survival!$A$5:$A$65,0)),1)</f>
        <v>0.012890964853009</v>
      </c>
      <c r="F124" s="30" t="n">
        <f aca="false">1-(1-MIN(1,E124))^(1/12)</f>
        <v>0.00108064687821297</v>
      </c>
      <c r="G124" s="39" t="n">
        <f aca="false">IF(C124&lt;Assumptions!$B$5,IF(D124=1,Assumptions!$B$16,IF(D124=2,Assumptions!$B$17,IF(D124&lt;=5,Assumptions!$B$18,Assumptions!$B$19)))*(1-Assumptions!$B$20),0)</f>
        <v>0.0091</v>
      </c>
      <c r="H124" s="30" t="n">
        <f aca="false">1-(1-G124)^(1/12)</f>
        <v>0.000761514726814627</v>
      </c>
      <c r="I124" s="30" t="n">
        <f aca="false">I123*(1-F123)*(1-H123)</f>
        <v>0.796069142936818</v>
      </c>
      <c r="J124" s="30" t="n">
        <f aca="false">INDEX(Discount_Monthly!$G$4:$G$664,MATCH(A124,Discount_Monthly!$A$4:$A$664,0))</f>
        <v>0.757016506943422</v>
      </c>
      <c r="K124" s="30" t="n">
        <f aca="false">IF(C124&lt;Assumptions!$B$5,I124*J124,0)</f>
        <v>0.602637481871473</v>
      </c>
      <c r="L124" s="30" t="n">
        <f aca="false">IF(C124&lt;Assumptions!$B$5,I124*(1-F124)*H124*A124*J124,0)</f>
        <v>0.0536353026076799</v>
      </c>
      <c r="M124" s="30" t="n">
        <f aca="false">IF(A124=0,Assumptions!$B$14*12*I124*J124,IF(AND(A124&gt;=12,C124&lt;Assumptions!$B$5),Assumptions!$B$15*I124*J124,0))</f>
        <v>0.0301318740935737</v>
      </c>
      <c r="N124" s="47" t="n">
        <f aca="false">IF(C124&gt;=Assumptions!$B$5,I124*Assumptions!$B$9/12*(1+Assumptions!$B$10)^INT(A124/12)*J124,0)</f>
        <v>0</v>
      </c>
      <c r="O124" s="47" t="n">
        <f aca="false">I124*Assumptions!$B$12/12*(1+Assumptions!$B$11)^(INT(A124/12)+1)*J124</f>
        <v>5.1428461753139</v>
      </c>
      <c r="P124" s="47" t="n">
        <f aca="false">O124+Pricing_M!$B$13*M124+N124-Pricing_M!$B$13*K124</f>
        <v>-569.231388280544</v>
      </c>
      <c r="Q124" s="47" t="n">
        <f aca="false">IF(C124&lt;Assumptions!$B$5,Pricing_M!$B$13*K124-Pricing_M!$B$13*M124-O124,-(N124+O124))</f>
        <v>569.231388280544</v>
      </c>
      <c r="R124" s="32" t="n">
        <f aca="false">R123*(1-(1-(1-MIN(1,E123*(1-Assumptions!$B$21)))^(1/12)))*(1-H123)</f>
        <v>0.809132959709053</v>
      </c>
      <c r="S124" s="47" t="n">
        <f aca="false">R124*(IF(C124&lt;Assumptions!$B$5,Assumptions!$B$12*(1+Assumptions!$B$11)^(INT(A124/12)+1)/12+Pricing_M!$B$13*IF(A124=0,Assumptions!$B$14*12,IF(A124&gt;=12,Assumptions!$B$15,0))-Pricing_M!$B$13,Assumptions!$B$9/12*(1+Assumptions!$B$10)^INT(A124/12)+Assumptions!$B$12*(1+Assumptions!$B$11)^(INT(A124/12)+1)/12))*J124</f>
        <v>-578.572705706903</v>
      </c>
      <c r="T124" s="32" t="n">
        <f aca="false">T123*(1-F123)*(1-(1-(1-MIN(1,G123*(1+Assumptions!$B$23)))^(1/12)))</f>
        <v>0.738778935126703</v>
      </c>
      <c r="U124" s="47" t="n">
        <f aca="false">T124*(IF(C124&lt;Assumptions!$B$5,Assumptions!$B$12*(1+Assumptions!$B$11)^(INT(A124/12)+1)/12+Pricing_M!$B$13*IF(A124=0,Assumptions!$B$14*12,IF(A124&gt;=12,Assumptions!$B$15,0))-Pricing_M!$B$13,Assumptions!$B$9/12*(1+Assumptions!$B$10)^INT(A124/12)+Assumptions!$B$12*(1+Assumptions!$B$11)^(INT(A124/12)+1)/12))*J124</f>
        <v>-528.265870629246</v>
      </c>
      <c r="V124" s="32" t="n">
        <f aca="false">V123*(1-F123)*(1-(1-(1-MIN(1,G123*(1-Assumptions!$B$23)))^(1/12)))</f>
        <v>0.857109870860867</v>
      </c>
      <c r="W124" s="47" t="n">
        <f aca="false">V124*(IF(C124&lt;Assumptions!$B$5,Assumptions!$B$12*(1+Assumptions!$B$11)^(INT(A124/12)+1)/12+Pricing_M!$B$13*IF(A124=0,Assumptions!$B$14*12,IF(A124&gt;=12,Assumptions!$B$15,0))-Pricing_M!$B$13,Assumptions!$B$9/12*(1+Assumptions!$B$10)^INT(A124/12)+Assumptions!$B$12*(1+Assumptions!$B$11)^(INT(A124/12)+1)/12))*J124</f>
        <v>-612.87872545741</v>
      </c>
      <c r="X124" s="47" t="n">
        <f aca="false">I124*(IF(C124&lt;Assumptions!$B$5,Assumptions!$B$12*(1+Assumptions!$B$11)*(1+Assumptions!$B$24)*(1+Assumptions!$B$11+Assumptions!$B$25)^(INT(A124/12))/12+Pricing_M!$B$13*IF(A124=0,Assumptions!$B$14*12,IF(A124&gt;=12,Assumptions!$B$15,0))-Pricing_M!$B$13,Assumptions!$B$9/12*(1+Assumptions!$B$10)^INT(A124/12)+Assumptions!$B$12*(1+Assumptions!$B$11)*(1+Assumptions!$B$24)*(1+Assumptions!$B$11+Assumptions!$B$25)^(INT(A124/12))/12))*J124</f>
        <v>-568.20054785442</v>
      </c>
    </row>
    <row r="125" customFormat="false" ht="15" hidden="false" customHeight="true" outlineLevel="0" collapsed="false">
      <c r="A125" s="1" t="n">
        <v>118</v>
      </c>
      <c r="B125" s="31" t="n">
        <f aca="false">Assumptions!$B$4+A125/12</f>
        <v>74.8333333333333</v>
      </c>
      <c r="C125" s="34" t="n">
        <f aca="false">Assumptions!$B$4+INT(A125/12)</f>
        <v>74</v>
      </c>
      <c r="D125" s="34" t="n">
        <f aca="false">INT(A125/12)+1</f>
        <v>10</v>
      </c>
      <c r="E125" s="32" t="n">
        <f aca="false">IFERROR(INDEX(Cohort_Survival!$G$5:$G$65,MATCH(C125,Cohort_Survival!$A$5:$A$65,0)),1)</f>
        <v>0.012890964853009</v>
      </c>
      <c r="F125" s="30" t="n">
        <f aca="false">1-(1-MIN(1,E125))^(1/12)</f>
        <v>0.00108064687821297</v>
      </c>
      <c r="G125" s="39" t="n">
        <f aca="false">IF(C125&lt;Assumptions!$B$5,IF(D125=1,Assumptions!$B$16,IF(D125=2,Assumptions!$B$17,IF(D125&lt;=5,Assumptions!$B$18,Assumptions!$B$19)))*(1-Assumptions!$B$20),0)</f>
        <v>0.0091</v>
      </c>
      <c r="H125" s="30" t="n">
        <f aca="false">1-(1-G125)^(1/12)</f>
        <v>0.000761514726814627</v>
      </c>
      <c r="I125" s="30" t="n">
        <f aca="false">I124*(1-F124)*(1-H124)</f>
        <v>0.794603310034748</v>
      </c>
      <c r="J125" s="30" t="n">
        <f aca="false">INDEX(Discount_Monthly!$G$4:$G$664,MATCH(A125,Discount_Monthly!$A$4:$A$664,0))</f>
        <v>0.754856221097312</v>
      </c>
      <c r="K125" s="30" t="n">
        <f aca="false">IF(C125&lt;Assumptions!$B$5,I125*J125,0)</f>
        <v>0.599811251884245</v>
      </c>
      <c r="L125" s="30" t="n">
        <f aca="false">IF(C125&lt;Assumptions!$B$5,I125*(1-F125)*H125*A125*J125,0)</f>
        <v>0.0538400369808639</v>
      </c>
      <c r="M125" s="30" t="n">
        <f aca="false">IF(A125=0,Assumptions!$B$14*12*I125*J125,IF(AND(A125&gt;=12,C125&lt;Assumptions!$B$5),Assumptions!$B$15*I125*J125,0))</f>
        <v>0.0299905625942123</v>
      </c>
      <c r="N125" s="47" t="n">
        <f aca="false">IF(C125&gt;=Assumptions!$B$5,I125*Assumptions!$B$9/12*(1+Assumptions!$B$10)^INT(A125/12)*J125,0)</f>
        <v>0</v>
      </c>
      <c r="O125" s="47" t="n">
        <f aca="false">I125*Assumptions!$B$12/12*(1+Assumptions!$B$11)^(INT(A125/12)+1)*J125</f>
        <v>5.11872741981394</v>
      </c>
      <c r="P125" s="47" t="n">
        <f aca="false">O125+Pricing_M!$B$13*M125+N125-Pricing_M!$B$13*K125</f>
        <v>-566.561825122551</v>
      </c>
      <c r="Q125" s="47" t="n">
        <f aca="false">IF(C125&lt;Assumptions!$B$5,Pricing_M!$B$13*K125-Pricing_M!$B$13*M125-O125,-(N125+O125))</f>
        <v>566.561825122551</v>
      </c>
      <c r="R125" s="32" t="n">
        <f aca="false">R124*(1-(1-(1-MIN(1,E124*(1-Assumptions!$B$21)))^(1/12)))*(1-H124)</f>
        <v>0.807818649524415</v>
      </c>
      <c r="S125" s="47" t="n">
        <f aca="false">R125*(IF(C125&lt;Assumptions!$B$5,Assumptions!$B$12*(1+Assumptions!$B$11)^(INT(A125/12)+1)/12+Pricing_M!$B$13*IF(A125=0,Assumptions!$B$14*12,IF(A125&gt;=12,Assumptions!$B$15,0))-Pricing_M!$B$13,Assumptions!$B$9/12*(1+Assumptions!$B$10)^INT(A125/12)+Assumptions!$B$12*(1+Assumptions!$B$11)^(INT(A125/12)+1)/12))*J125</f>
        <v>-575.984522921976</v>
      </c>
      <c r="T125" s="32" t="n">
        <f aca="false">T124*(1-F124)*(1-(1-(1-MIN(1,G124*(1+Assumptions!$B$23)))^(1/12)))</f>
        <v>0.737135824983262</v>
      </c>
      <c r="U125" s="47" t="n">
        <f aca="false">T125*(IF(C125&lt;Assumptions!$B$5,Assumptions!$B$12*(1+Assumptions!$B$11)^(INT(A125/12)+1)/12+Pricing_M!$B$13*IF(A125=0,Assumptions!$B$14*12,IF(A125&gt;=12,Assumptions!$B$15,0))-Pricing_M!$B$13,Assumptions!$B$9/12*(1+Assumptions!$B$10)^INT(A125/12)+Assumptions!$B$12*(1+Assumptions!$B$11)^(INT(A125/12)+1)/12))*J125</f>
        <v>-525.586809281566</v>
      </c>
      <c r="V125" s="32" t="n">
        <f aca="false">V124*(1-F124)*(1-(1-(1-MIN(1,G124*(1-Assumptions!$B$23)))^(1/12)))</f>
        <v>0.855858322482152</v>
      </c>
      <c r="W125" s="47" t="n">
        <f aca="false">V125*(IF(C125&lt;Assumptions!$B$5,Assumptions!$B$12*(1+Assumptions!$B$11)^(INT(A125/12)+1)/12+Pricing_M!$B$13*IF(A125=0,Assumptions!$B$14*12,IF(A125&gt;=12,Assumptions!$B$15,0))-Pricing_M!$B$13,Assumptions!$B$9/12*(1+Assumptions!$B$10)^INT(A125/12)+Assumptions!$B$12*(1+Assumptions!$B$11)^(INT(A125/12)+1)/12))*J125</f>
        <v>-610.237394065988</v>
      </c>
      <c r="X125" s="47" t="n">
        <f aca="false">I125*(IF(C125&lt;Assumptions!$B$5,Assumptions!$B$12*(1+Assumptions!$B$11)*(1+Assumptions!$B$24)*(1+Assumptions!$B$11+Assumptions!$B$25)^(INT(A125/12))/12+Pricing_M!$B$13*IF(A125=0,Assumptions!$B$14*12,IF(A125&gt;=12,Assumptions!$B$15,0))-Pricing_M!$B$13,Assumptions!$B$9/12*(1+Assumptions!$B$10)^INT(A125/12)+Assumptions!$B$12*(1+Assumptions!$B$11)*(1+Assumptions!$B$24)*(1+Assumptions!$B$11+Assumptions!$B$25)^(INT(A125/12))/12))*J125</f>
        <v>-565.535819098886</v>
      </c>
    </row>
    <row r="126" customFormat="false" ht="15" hidden="false" customHeight="true" outlineLevel="0" collapsed="false">
      <c r="A126" s="1" t="n">
        <v>119</v>
      </c>
      <c r="B126" s="31" t="n">
        <f aca="false">Assumptions!$B$4+A126/12</f>
        <v>74.9166666666667</v>
      </c>
      <c r="C126" s="34" t="n">
        <f aca="false">Assumptions!$B$4+INT(A126/12)</f>
        <v>74</v>
      </c>
      <c r="D126" s="34" t="n">
        <f aca="false">INT(A126/12)+1</f>
        <v>10</v>
      </c>
      <c r="E126" s="32" t="n">
        <f aca="false">IFERROR(INDEX(Cohort_Survival!$G$5:$G$65,MATCH(C126,Cohort_Survival!$A$5:$A$65,0)),1)</f>
        <v>0.012890964853009</v>
      </c>
      <c r="F126" s="30" t="n">
        <f aca="false">1-(1-MIN(1,E126))^(1/12)</f>
        <v>0.00108064687821297</v>
      </c>
      <c r="G126" s="39" t="n">
        <f aca="false">IF(C126&lt;Assumptions!$B$5,IF(D126=1,Assumptions!$B$16,IF(D126=2,Assumptions!$B$17,IF(D126&lt;=5,Assumptions!$B$18,Assumptions!$B$19)))*(1-Assumptions!$B$20),0)</f>
        <v>0.0091</v>
      </c>
      <c r="H126" s="30" t="n">
        <f aca="false">1-(1-G126)^(1/12)</f>
        <v>0.000761514726814627</v>
      </c>
      <c r="I126" s="30" t="n">
        <f aca="false">I125*(1-F125)*(1-H125)</f>
        <v>0.793140176227494</v>
      </c>
      <c r="J126" s="30" t="n">
        <f aca="false">INDEX(Discount_Monthly!$G$4:$G$664,MATCH(A126,Discount_Monthly!$A$4:$A$664,0))</f>
        <v>0.752702100024221</v>
      </c>
      <c r="K126" s="30" t="n">
        <f aca="false">IF(C126&lt;Assumptions!$B$5,I126*J126,0)</f>
        <v>0.596998276260015</v>
      </c>
      <c r="L126" s="30" t="n">
        <f aca="false">IF(C126&lt;Assumptions!$B$5,I126*(1-F126)*H126*A126*J126,0)</f>
        <v>0.0540416713898467</v>
      </c>
      <c r="M126" s="30" t="n">
        <f aca="false">IF(A126=0,Assumptions!$B$14*12*I126*J126,IF(AND(A126&gt;=12,C126&lt;Assumptions!$B$5),Assumptions!$B$15*I126*J126,0))</f>
        <v>0.0298499138130008</v>
      </c>
      <c r="N126" s="47" t="n">
        <f aca="false">IF(C126&gt;=Assumptions!$B$5,I126*Assumptions!$B$9/12*(1+Assumptions!$B$10)^INT(A126/12)*J126,0)</f>
        <v>0</v>
      </c>
      <c r="O126" s="47" t="n">
        <f aca="false">I126*Assumptions!$B$12/12*(1+Assumptions!$B$11)^(INT(A126/12)+1)*J126</f>
        <v>5.09472177568208</v>
      </c>
      <c r="P126" s="47" t="n">
        <f aca="false">O126+Pricing_M!$B$13*M126+N126-Pricing_M!$B$13*K126</f>
        <v>-563.904781596471</v>
      </c>
      <c r="Q126" s="47" t="n">
        <f aca="false">IF(C126&lt;Assumptions!$B$5,Pricing_M!$B$13*K126-Pricing_M!$B$13*M126-O126,-(N126+O126))</f>
        <v>563.904781596471</v>
      </c>
      <c r="R126" s="32" t="n">
        <f aca="false">R125*(1-(1-(1-MIN(1,E125*(1-Assumptions!$B$21)))^(1/12)))*(1-H125)</f>
        <v>0.806506474231504</v>
      </c>
      <c r="S126" s="47" t="n">
        <f aca="false">R126*(IF(C126&lt;Assumptions!$B$5,Assumptions!$B$12*(1+Assumptions!$B$11)^(INT(A126/12)+1)/12+Pricing_M!$B$13*IF(A126=0,Assumptions!$B$14*12,IF(A126&gt;=12,Assumptions!$B$15,0))-Pricing_M!$B$13,Assumptions!$B$9/12*(1+Assumptions!$B$10)^INT(A126/12)+Assumptions!$B$12*(1+Assumptions!$B$11)^(INT(A126/12)+1)/12))*J126</f>
        <v>-573.407918094429</v>
      </c>
      <c r="T126" s="32" t="n">
        <f aca="false">T125*(1-F125)*(1-(1-(1-MIN(1,G125*(1+Assumptions!$B$23)))^(1/12)))</f>
        <v>0.735496369263106</v>
      </c>
      <c r="U126" s="47" t="n">
        <f aca="false">T126*(IF(C126&lt;Assumptions!$B$5,Assumptions!$B$12*(1+Assumptions!$B$11)^(INT(A126/12)+1)/12+Pricing_M!$B$13*IF(A126=0,Assumptions!$B$14*12,IF(A126&gt;=12,Assumptions!$B$15,0))-Pricing_M!$B$13,Assumptions!$B$9/12*(1+Assumptions!$B$10)^INT(A126/12)+Assumptions!$B$12*(1+Assumptions!$B$11)^(INT(A126/12)+1)/12))*J126</f>
        <v>-522.921334595648</v>
      </c>
      <c r="V126" s="32" t="n">
        <f aca="false">V125*(1-F125)*(1-(1-(1-MIN(1,G125*(1-Assumptions!$B$23)))^(1/12)))</f>
        <v>0.854608601609335</v>
      </c>
      <c r="W126" s="47" t="n">
        <f aca="false">V126*(IF(C126&lt;Assumptions!$B$5,Assumptions!$B$12*(1+Assumptions!$B$11)^(INT(A126/12)+1)/12+Pricing_M!$B$13*IF(A126=0,Assumptions!$B$14*12,IF(A126&gt;=12,Assumptions!$B$15,0))-Pricing_M!$B$13,Assumptions!$B$9/12*(1+Assumptions!$B$10)^INT(A126/12)+Assumptions!$B$12*(1+Assumptions!$B$11)^(INT(A126/12)+1)/12))*J126</f>
        <v>-607.607446054719</v>
      </c>
      <c r="X126" s="47" t="n">
        <f aca="false">I126*(IF(C126&lt;Assumptions!$B$5,Assumptions!$B$12*(1+Assumptions!$B$11)*(1+Assumptions!$B$24)*(1+Assumptions!$B$11+Assumptions!$B$25)^(INT(A126/12))/12+Pricing_M!$B$13*IF(A126=0,Assumptions!$B$14*12,IF(A126&gt;=12,Assumptions!$B$15,0))-Pricing_M!$B$13,Assumptions!$B$9/12*(1+Assumptions!$B$10)^INT(A126/12)+Assumptions!$B$12*(1+Assumptions!$B$11)*(1+Assumptions!$B$24)*(1+Assumptions!$B$11+Assumptions!$B$25)^(INT(A126/12))/12))*J126</f>
        <v>-562.883587303039</v>
      </c>
    </row>
    <row r="127" customFormat="false" ht="15" hidden="false" customHeight="true" outlineLevel="0" collapsed="false">
      <c r="A127" s="1" t="n">
        <v>120</v>
      </c>
      <c r="B127" s="31" t="n">
        <f aca="false">Assumptions!$B$4+A127/12</f>
        <v>75</v>
      </c>
      <c r="C127" s="34" t="n">
        <f aca="false">Assumptions!$B$4+INT(A127/12)</f>
        <v>75</v>
      </c>
      <c r="D127" s="34" t="n">
        <f aca="false">INT(A127/12)+1</f>
        <v>11</v>
      </c>
      <c r="E127" s="32" t="n">
        <f aca="false">IFERROR(INDEX(Cohort_Survival!$G$5:$G$65,MATCH(C127,Cohort_Survival!$A$5:$A$65,0)),1)</f>
        <v>0.0148782794079833</v>
      </c>
      <c r="F127" s="30" t="n">
        <f aca="false">1-(1-MIN(1,E127))^(1/12)</f>
        <v>0.00124839271197852</v>
      </c>
      <c r="G127" s="39" t="n">
        <f aca="false">IF(C127&lt;Assumptions!$B$5,IF(D127=1,Assumptions!$B$16,IF(D127=2,Assumptions!$B$17,IF(D127&lt;=5,Assumptions!$B$18,Assumptions!$B$19)))*(1-Assumptions!$B$20),0)</f>
        <v>0.0091</v>
      </c>
      <c r="H127" s="30" t="n">
        <f aca="false">1-(1-G127)^(1/12)</f>
        <v>0.000761514726814627</v>
      </c>
      <c r="I127" s="30" t="n">
        <f aca="false">I126*(1-F126)*(1-H126)</f>
        <v>0.791679736545108</v>
      </c>
      <c r="J127" s="30" t="n">
        <f aca="false">INDEX(Discount_Monthly!$G$4:$G$664,MATCH(A127,Discount_Monthly!$A$4:$A$664,0))</f>
        <v>0.750554126131835</v>
      </c>
      <c r="K127" s="30" t="n">
        <f aca="false">IF(C127&lt;Assumptions!$B$5,I127*J127,0)</f>
        <v>0.594198492838895</v>
      </c>
      <c r="L127" s="30" t="n">
        <f aca="false">IF(C127&lt;Assumptions!$B$5,I127*(1-F127)*H127*A127*J127,0)</f>
        <v>0.0542311219922877</v>
      </c>
      <c r="M127" s="30" t="n">
        <f aca="false">IF(A127=0,Assumptions!$B$14*12*I127*J127,IF(AND(A127&gt;=12,C127&lt;Assumptions!$B$5),Assumptions!$B$15*I127*J127,0))</f>
        <v>0.0297099246419447</v>
      </c>
      <c r="N127" s="47" t="n">
        <f aca="false">IF(C127&gt;=Assumptions!$B$5,I127*Assumptions!$B$9/12*(1+Assumptions!$B$10)^INT(A127/12)*J127,0)</f>
        <v>0</v>
      </c>
      <c r="O127" s="47" t="n">
        <f aca="false">I127*Assumptions!$B$12/12*(1+Assumptions!$B$11)^(INT(A127/12)+1)*J127</f>
        <v>5.19759943026356</v>
      </c>
      <c r="P127" s="47" t="n">
        <f aca="false">O127+Pricing_M!$B$13*M127+N127-Pricing_M!$B$13*K127</f>
        <v>-561.133428270322</v>
      </c>
      <c r="Q127" s="47" t="n">
        <f aca="false">IF(C127&lt;Assumptions!$B$5,Pricing_M!$B$13*K127-Pricing_M!$B$13*M127-O127,-(N127+O127))</f>
        <v>561.133428270322</v>
      </c>
      <c r="R127" s="32" t="n">
        <f aca="false">R126*(1-(1-(1-MIN(1,E126*(1-Assumptions!$B$21)))^(1/12)))*(1-H126)</f>
        <v>0.805196430362521</v>
      </c>
      <c r="S127" s="47" t="n">
        <f aca="false">R127*(IF(C127&lt;Assumptions!$B$5,Assumptions!$B$12*(1+Assumptions!$B$11)^(INT(A127/12)+1)/12+Pricing_M!$B$13*IF(A127=0,Assumptions!$B$14*12,IF(A127&gt;=12,Assumptions!$B$15,0))-Pricing_M!$B$13,Assumptions!$B$9/12*(1+Assumptions!$B$10)^INT(A127/12)+Assumptions!$B$12*(1+Assumptions!$B$11)^(INT(A127/12)+1)/12))*J127</f>
        <v>-570.713904301886</v>
      </c>
      <c r="T127" s="32" t="n">
        <f aca="false">T126*(1-F126)*(1-(1-(1-MIN(1,G126*(1+Assumptions!$B$23)))^(1/12)))</f>
        <v>0.733860559838473</v>
      </c>
      <c r="U127" s="47" t="n">
        <f aca="false">T127*(IF(C127&lt;Assumptions!$B$5,Assumptions!$B$12*(1+Assumptions!$B$11)^(INT(A127/12)+1)/12+Pricing_M!$B$13*IF(A127=0,Assumptions!$B$14*12,IF(A127&gt;=12,Assumptions!$B$15,0))-Pricing_M!$B$13,Assumptions!$B$9/12*(1+Assumptions!$B$10)^INT(A127/12)+Assumptions!$B$12*(1+Assumptions!$B$11)^(INT(A127/12)+1)/12))*J127</f>
        <v>-520.151865464701</v>
      </c>
      <c r="V127" s="32" t="n">
        <f aca="false">V126*(1-F126)*(1-(1-(1-MIN(1,G126*(1-Assumptions!$B$23)))^(1/12)))</f>
        <v>0.853360705573899</v>
      </c>
      <c r="W127" s="47" t="n">
        <f aca="false">V127*(IF(C127&lt;Assumptions!$B$5,Assumptions!$B$12*(1+Assumptions!$B$11)^(INT(A127/12)+1)/12+Pricing_M!$B$13*IF(A127=0,Assumptions!$B$14*12,IF(A127&gt;=12,Assumptions!$B$15,0))-Pricing_M!$B$13,Assumptions!$B$9/12*(1+Assumptions!$B$10)^INT(A127/12)+Assumptions!$B$12*(1+Assumptions!$B$11)^(INT(A127/12)+1)/12))*J127</f>
        <v>-604.85218474779</v>
      </c>
      <c r="X127" s="47" t="n">
        <f aca="false">I127*(IF(C127&lt;Assumptions!$B$5,Assumptions!$B$12*(1+Assumptions!$B$11)*(1+Assumptions!$B$24)*(1+Assumptions!$B$11+Assumptions!$B$25)^(INT(A127/12))/12+Pricing_M!$B$13*IF(A127=0,Assumptions!$B$14*12,IF(A127&gt;=12,Assumptions!$B$15,0))-Pricing_M!$B$13,Assumptions!$B$9/12*(1+Assumptions!$B$10)^INT(A127/12)+Assumptions!$B$12*(1+Assumptions!$B$11)*(1+Assumptions!$B$24)*(1+Assumptions!$B$11+Assumptions!$B$25)^(INT(A127/12))/12))*J127</f>
        <v>-560.030740674582</v>
      </c>
    </row>
    <row r="128" customFormat="false" ht="15" hidden="false" customHeight="true" outlineLevel="0" collapsed="false">
      <c r="A128" s="1" t="n">
        <v>121</v>
      </c>
      <c r="B128" s="31" t="n">
        <f aca="false">Assumptions!$B$4+A128/12</f>
        <v>75.0833333333333</v>
      </c>
      <c r="C128" s="34" t="n">
        <f aca="false">Assumptions!$B$4+INT(A128/12)</f>
        <v>75</v>
      </c>
      <c r="D128" s="34" t="n">
        <f aca="false">INT(A128/12)+1</f>
        <v>11</v>
      </c>
      <c r="E128" s="32" t="n">
        <f aca="false">IFERROR(INDEX(Cohort_Survival!$G$5:$G$65,MATCH(C128,Cohort_Survival!$A$5:$A$65,0)),1)</f>
        <v>0.0148782794079833</v>
      </c>
      <c r="F128" s="30" t="n">
        <f aca="false">1-(1-MIN(1,E128))^(1/12)</f>
        <v>0.00124839271197852</v>
      </c>
      <c r="G128" s="39" t="n">
        <f aca="false">IF(C128&lt;Assumptions!$B$5,IF(D128=1,Assumptions!$B$16,IF(D128=2,Assumptions!$B$17,IF(D128&lt;=5,Assumptions!$B$18,Assumptions!$B$19)))*(1-Assumptions!$B$20),0)</f>
        <v>0.0091</v>
      </c>
      <c r="H128" s="30" t="n">
        <f aca="false">1-(1-G128)^(1/12)</f>
        <v>0.000761514726814627</v>
      </c>
      <c r="I128" s="30" t="n">
        <f aca="false">I127*(1-F127)*(1-H127)</f>
        <v>0.790089286179212</v>
      </c>
      <c r="J128" s="30" t="n">
        <f aca="false">INDEX(Discount_Monthly!$G$4:$G$664,MATCH(A128,Discount_Monthly!$A$4:$A$664,0))</f>
        <v>0.748561519152862</v>
      </c>
      <c r="K128" s="30" t="n">
        <f aca="false">IF(C128&lt;Assumptions!$B$5,I128*J128,0)</f>
        <v>0.591430436328711</v>
      </c>
      <c r="L128" s="30" t="n">
        <f aca="false">IF(C128&lt;Assumptions!$B$5,I128*(1-F128)*H128*A128*J128,0)</f>
        <v>0.0544283086097467</v>
      </c>
      <c r="M128" s="30" t="n">
        <f aca="false">IF(A128=0,Assumptions!$B$14*12*I128*J128,IF(AND(A128&gt;=12,C128&lt;Assumptions!$B$5),Assumptions!$B$15*I128*J128,0))</f>
        <v>0.0295715218164356</v>
      </c>
      <c r="N128" s="47" t="n">
        <f aca="false">IF(C128&gt;=Assumptions!$B$5,I128*Assumptions!$B$9/12*(1+Assumptions!$B$10)^INT(A128/12)*J128,0)</f>
        <v>0</v>
      </c>
      <c r="O128" s="47" t="n">
        <f aca="false">I128*Assumptions!$B$12/12*(1+Assumptions!$B$11)^(INT(A128/12)+1)*J128</f>
        <v>5.17338656349655</v>
      </c>
      <c r="P128" s="47" t="n">
        <f aca="false">O128+Pricing_M!$B$13*M128+N128-Pricing_M!$B$13*K128</f>
        <v>-558.519404408053</v>
      </c>
      <c r="Q128" s="47" t="n">
        <f aca="false">IF(C128&lt;Assumptions!$B$5,Pricing_M!$B$13*K128-Pricing_M!$B$13*M128-O128,-(N128+O128))</f>
        <v>558.519404408053</v>
      </c>
      <c r="R128" s="32" t="n">
        <f aca="false">R127*(1-(1-(1-MIN(1,E127*(1-Assumptions!$B$21)))^(1/12)))*(1-H127)</f>
        <v>0.803780820039909</v>
      </c>
      <c r="S128" s="47" t="n">
        <f aca="false">R128*(IF(C128&lt;Assumptions!$B$5,Assumptions!$B$12*(1+Assumptions!$B$11)^(INT(A128/12)+1)/12+Pricing_M!$B$13*IF(A128=0,Assumptions!$B$14*12,IF(A128&gt;=12,Assumptions!$B$15,0))-Pricing_M!$B$13,Assumptions!$B$9/12*(1+Assumptions!$B$10)^INT(A128/12)+Assumptions!$B$12*(1+Assumptions!$B$11)^(INT(A128/12)+1)/12))*J128</f>
        <v>-568.198041330583</v>
      </c>
      <c r="T128" s="32" t="n">
        <f aca="false">T127*(1-F127)*(1-(1-(1-MIN(1,G127*(1+Assumptions!$B$23)))^(1/12)))</f>
        <v>0.732105427460553</v>
      </c>
      <c r="U128" s="47" t="n">
        <f aca="false">T128*(IF(C128&lt;Assumptions!$B$5,Assumptions!$B$12*(1+Assumptions!$B$11)^(INT(A128/12)+1)/12+Pricing_M!$B$13*IF(A128=0,Assumptions!$B$14*12,IF(A128&gt;=12,Assumptions!$B$15,0))-Pricing_M!$B$13,Assumptions!$B$9/12*(1+Assumptions!$B$10)^INT(A128/12)+Assumptions!$B$12*(1+Assumptions!$B$11)^(INT(A128/12)+1)/12))*J128</f>
        <v>-517.530226598243</v>
      </c>
      <c r="V128" s="32" t="n">
        <f aca="false">V127*(1-F127)*(1-(1-(1-MIN(1,G127*(1-Assumptions!$B$23)))^(1/12)))</f>
        <v>0.851971538398523</v>
      </c>
      <c r="W128" s="47" t="n">
        <f aca="false">V128*(IF(C128&lt;Assumptions!$B$5,Assumptions!$B$12*(1+Assumptions!$B$11)^(INT(A128/12)+1)/12+Pricing_M!$B$13*IF(A128=0,Assumptions!$B$14*12,IF(A128&gt;=12,Assumptions!$B$15,0))-Pricing_M!$B$13,Assumptions!$B$9/12*(1+Assumptions!$B$10)^INT(A128/12)+Assumptions!$B$12*(1+Assumptions!$B$11)^(INT(A128/12)+1)/12))*J128</f>
        <v>-602.264382675128</v>
      </c>
      <c r="X128" s="47" t="n">
        <f aca="false">I128*(IF(C128&lt;Assumptions!$B$5,Assumptions!$B$12*(1+Assumptions!$B$11)*(1+Assumptions!$B$24)*(1+Assumptions!$B$11+Assumptions!$B$25)^(INT(A128/12))/12+Pricing_M!$B$13*IF(A128=0,Assumptions!$B$14*12,IF(A128&gt;=12,Assumptions!$B$15,0))-Pricing_M!$B$13,Assumptions!$B$9/12*(1+Assumptions!$B$10)^INT(A128/12)+Assumptions!$B$12*(1+Assumptions!$B$11)*(1+Assumptions!$B$24)*(1+Assumptions!$B$11+Assumptions!$B$25)^(INT(A128/12))/12))*J128</f>
        <v>-557.421853650617</v>
      </c>
    </row>
    <row r="129" customFormat="false" ht="15" hidden="false" customHeight="true" outlineLevel="0" collapsed="false">
      <c r="A129" s="1" t="n">
        <v>122</v>
      </c>
      <c r="B129" s="31" t="n">
        <f aca="false">Assumptions!$B$4+A129/12</f>
        <v>75.1666666666667</v>
      </c>
      <c r="C129" s="34" t="n">
        <f aca="false">Assumptions!$B$4+INT(A129/12)</f>
        <v>75</v>
      </c>
      <c r="D129" s="34" t="n">
        <f aca="false">INT(A129/12)+1</f>
        <v>11</v>
      </c>
      <c r="E129" s="32" t="n">
        <f aca="false">IFERROR(INDEX(Cohort_Survival!$G$5:$G$65,MATCH(C129,Cohort_Survival!$A$5:$A$65,0)),1)</f>
        <v>0.0148782794079833</v>
      </c>
      <c r="F129" s="30" t="n">
        <f aca="false">1-(1-MIN(1,E129))^(1/12)</f>
        <v>0.00124839271197852</v>
      </c>
      <c r="G129" s="39" t="n">
        <f aca="false">IF(C129&lt;Assumptions!$B$5,IF(D129=1,Assumptions!$B$16,IF(D129=2,Assumptions!$B$17,IF(D129&lt;=5,Assumptions!$B$18,Assumptions!$B$19)))*(1-Assumptions!$B$20),0)</f>
        <v>0.0091</v>
      </c>
      <c r="H129" s="30" t="n">
        <f aca="false">1-(1-G129)^(1/12)</f>
        <v>0.000761514726814627</v>
      </c>
      <c r="I129" s="30" t="n">
        <f aca="false">I128*(1-F128)*(1-H128)</f>
        <v>0.788502030959345</v>
      </c>
      <c r="J129" s="30" t="n">
        <f aca="false">INDEX(Discount_Monthly!$G$4:$G$664,MATCH(A129,Discount_Monthly!$A$4:$A$664,0))</f>
        <v>0.746574202242166</v>
      </c>
      <c r="K129" s="30" t="n">
        <f aca="false">IF(C129&lt;Assumptions!$B$5,I129*J129,0)</f>
        <v>0.588675274729801</v>
      </c>
      <c r="L129" s="30" t="n">
        <f aca="false">IF(C129&lt;Assumptions!$B$5,I129*(1-F129)*H129*A129*J129,0)</f>
        <v>0.0546224811621614</v>
      </c>
      <c r="M129" s="30" t="n">
        <f aca="false">IF(A129=0,Assumptions!$B$14*12*I129*J129,IF(AND(A129&gt;=12,C129&lt;Assumptions!$B$5),Assumptions!$B$15*I129*J129,0))</f>
        <v>0.02943376373649</v>
      </c>
      <c r="N129" s="47" t="n">
        <f aca="false">IF(C129&gt;=Assumptions!$B$5,I129*Assumptions!$B$9/12*(1+Assumptions!$B$10)^INT(A129/12)*J129,0)</f>
        <v>0</v>
      </c>
      <c r="O129" s="47" t="n">
        <f aca="false">I129*Assumptions!$B$12/12*(1+Assumptions!$B$11)^(INT(A129/12)+1)*J129</f>
        <v>5.14928649166977</v>
      </c>
      <c r="P129" s="47" t="n">
        <f aca="false">O129+Pricing_M!$B$13*M129+N129-Pricing_M!$B$13*K129</f>
        <v>-555.917557900417</v>
      </c>
      <c r="Q129" s="47" t="n">
        <f aca="false">IF(C129&lt;Assumptions!$B$5,Pricing_M!$B$13*K129-Pricing_M!$B$13*M129-O129,-(N129+O129))</f>
        <v>555.917557900417</v>
      </c>
      <c r="R129" s="32" t="n">
        <f aca="false">R128*(1-(1-(1-MIN(1,E128*(1-Assumptions!$B$21)))^(1/12)))*(1-H128)</f>
        <v>0.802367698492099</v>
      </c>
      <c r="S129" s="47" t="n">
        <f aca="false">R129*(IF(C129&lt;Assumptions!$B$5,Assumptions!$B$12*(1+Assumptions!$B$11)^(INT(A129/12)+1)/12+Pricing_M!$B$13*IF(A129=0,Assumptions!$B$14*12,IF(A129&gt;=12,Assumptions!$B$15,0))-Pricing_M!$B$13,Assumptions!$B$9/12*(1+Assumptions!$B$10)^INT(A129/12)+Assumptions!$B$12*(1+Assumptions!$B$11)^(INT(A129/12)+1)/12))*J129</f>
        <v>-565.693268971306</v>
      </c>
      <c r="T129" s="32" t="n">
        <f aca="false">T128*(1-F128)*(1-(1-(1-MIN(1,G128*(1+Assumptions!$B$23)))^(1/12)))</f>
        <v>0.730354492732477</v>
      </c>
      <c r="U129" s="47" t="n">
        <f aca="false">T129*(IF(C129&lt;Assumptions!$B$5,Assumptions!$B$12*(1+Assumptions!$B$11)^(INT(A129/12)+1)/12+Pricing_M!$B$13*IF(A129=0,Assumptions!$B$14*12,IF(A129&gt;=12,Assumptions!$B$15,0))-Pricing_M!$B$13,Assumptions!$B$9/12*(1+Assumptions!$B$10)^INT(A129/12)+Assumptions!$B$12*(1+Assumptions!$B$11)^(INT(A129/12)+1)/12))*J129</f>
        <v>-514.921801161944</v>
      </c>
      <c r="V129" s="32" t="n">
        <f aca="false">V128*(1-F128)*(1-(1-(1-MIN(1,G128*(1-Assumptions!$B$23)))^(1/12)))</f>
        <v>0.850584632617921</v>
      </c>
      <c r="W129" s="47" t="n">
        <f aca="false">V129*(IF(C129&lt;Assumptions!$B$5,Assumptions!$B$12*(1+Assumptions!$B$11)^(INT(A129/12)+1)/12+Pricing_M!$B$13*IF(A129=0,Assumptions!$B$14*12,IF(A129&gt;=12,Assumptions!$B$15,0))-Pricing_M!$B$13,Assumptions!$B$9/12*(1+Assumptions!$B$10)^INT(A129/12)+Assumptions!$B$12*(1+Assumptions!$B$11)^(INT(A129/12)+1)/12))*J129</f>
        <v>-599.687652265488</v>
      </c>
      <c r="X129" s="47" t="n">
        <f aca="false">I129*(IF(C129&lt;Assumptions!$B$5,Assumptions!$B$12*(1+Assumptions!$B$11)*(1+Assumptions!$B$24)*(1+Assumptions!$B$11+Assumptions!$B$25)^(INT(A129/12))/12+Pricing_M!$B$13*IF(A129=0,Assumptions!$B$14*12,IF(A129&gt;=12,Assumptions!$B$15,0))-Pricing_M!$B$13,Assumptions!$B$9/12*(1+Assumptions!$B$10)^INT(A129/12)+Assumptions!$B$12*(1+Assumptions!$B$11)*(1+Assumptions!$B$24)*(1+Assumptions!$B$11+Assumptions!$B$25)^(INT(A129/12))/12))*J129</f>
        <v>-554.825120051472</v>
      </c>
    </row>
    <row r="130" customFormat="false" ht="15" hidden="false" customHeight="true" outlineLevel="0" collapsed="false">
      <c r="A130" s="1" t="n">
        <v>123</v>
      </c>
      <c r="B130" s="31" t="n">
        <f aca="false">Assumptions!$B$4+A130/12</f>
        <v>75.25</v>
      </c>
      <c r="C130" s="34" t="n">
        <f aca="false">Assumptions!$B$4+INT(A130/12)</f>
        <v>75</v>
      </c>
      <c r="D130" s="34" t="n">
        <f aca="false">INT(A130/12)+1</f>
        <v>11</v>
      </c>
      <c r="E130" s="32" t="n">
        <f aca="false">IFERROR(INDEX(Cohort_Survival!$G$5:$G$65,MATCH(C130,Cohort_Survival!$A$5:$A$65,0)),1)</f>
        <v>0.0148782794079833</v>
      </c>
      <c r="F130" s="30" t="n">
        <f aca="false">1-(1-MIN(1,E130))^(1/12)</f>
        <v>0.00124839271197852</v>
      </c>
      <c r="G130" s="39" t="n">
        <f aca="false">IF(C130&lt;Assumptions!$B$5,IF(D130=1,Assumptions!$B$16,IF(D130=2,Assumptions!$B$17,IF(D130&lt;=5,Assumptions!$B$18,Assumptions!$B$19)))*(1-Assumptions!$B$20),0)</f>
        <v>0.0091</v>
      </c>
      <c r="H130" s="30" t="n">
        <f aca="false">1-(1-G130)^(1/12)</f>
        <v>0.000761514726814627</v>
      </c>
      <c r="I130" s="30" t="n">
        <f aca="false">I129*(1-F129)*(1-H129)</f>
        <v>0.786917964466597</v>
      </c>
      <c r="J130" s="30" t="n">
        <f aca="false">INDEX(Discount_Monthly!$G$4:$G$664,MATCH(A130,Discount_Monthly!$A$4:$A$664,0))</f>
        <v>0.74459216135542</v>
      </c>
      <c r="K130" s="30" t="n">
        <f aca="false">IF(C130&lt;Assumptions!$B$5,I130*J130,0)</f>
        <v>0.585932947971591</v>
      </c>
      <c r="L130" s="30" t="n">
        <f aca="false">IF(C130&lt;Assumptions!$B$5,I130*(1-F130)*H130*A130*J130,0)</f>
        <v>0.0548136634521851</v>
      </c>
      <c r="M130" s="30" t="n">
        <f aca="false">IF(A130=0,Assumptions!$B$14*12*I130*J130,IF(AND(A130&gt;=12,C130&lt;Assumptions!$B$5),Assumptions!$B$15*I130*J130,0))</f>
        <v>0.0292966473985796</v>
      </c>
      <c r="N130" s="47" t="n">
        <f aca="false">IF(C130&gt;=Assumptions!$B$5,I130*Assumptions!$B$9/12*(1+Assumptions!$B$10)^INT(A130/12)*J130,0)</f>
        <v>0</v>
      </c>
      <c r="O130" s="47" t="n">
        <f aca="false">I130*Assumptions!$B$12/12*(1+Assumptions!$B$11)^(INT(A130/12)+1)*J130</f>
        <v>5.12529868933125</v>
      </c>
      <c r="P130" s="47" t="n">
        <f aca="false">O130+Pricing_M!$B$13*M130+N130-Pricing_M!$B$13*K130</f>
        <v>-553.327832019559</v>
      </c>
      <c r="Q130" s="47" t="n">
        <f aca="false">IF(C130&lt;Assumptions!$B$5,Pricing_M!$B$13*K130-Pricing_M!$B$13*M130-O130,-(N130+O130))</f>
        <v>553.32783201956</v>
      </c>
      <c r="R130" s="32" t="n">
        <f aca="false">R129*(1-(1-(1-MIN(1,E129*(1-Assumptions!$B$21)))^(1/12)))*(1-H129)</f>
        <v>0.800957061343591</v>
      </c>
      <c r="S130" s="47" t="n">
        <f aca="false">R130*(IF(C130&lt;Assumptions!$B$5,Assumptions!$B$12*(1+Assumptions!$B$11)^(INT(A130/12)+1)/12+Pricing_M!$B$13*IF(A130=0,Assumptions!$B$14*12,IF(A130&gt;=12,Assumptions!$B$15,0))-Pricing_M!$B$13,Assumptions!$B$9/12*(1+Assumptions!$B$10)^INT(A130/12)+Assumptions!$B$12*(1+Assumptions!$B$11)^(INT(A130/12)+1)/12))*J130</f>
        <v>-563.199538333604</v>
      </c>
      <c r="T130" s="32" t="n">
        <f aca="false">T129*(1-F129)*(1-(1-(1-MIN(1,G129*(1+Assumptions!$B$23)))^(1/12)))</f>
        <v>0.728607745614965</v>
      </c>
      <c r="U130" s="47" t="n">
        <f aca="false">T130*(IF(C130&lt;Assumptions!$B$5,Assumptions!$B$12*(1+Assumptions!$B$11)^(INT(A130/12)+1)/12+Pricing_M!$B$13*IF(A130=0,Assumptions!$B$14*12,IF(A130&gt;=12,Assumptions!$B$15,0))-Pricing_M!$B$13,Assumptions!$B$9/12*(1+Assumptions!$B$10)^INT(A130/12)+Assumptions!$B$12*(1+Assumptions!$B$11)^(INT(A130/12)+1)/12))*J130</f>
        <v>-512.326522558249</v>
      </c>
      <c r="V130" s="32" t="n">
        <f aca="false">V129*(1-F129)*(1-(1-(1-MIN(1,G129*(1-Assumptions!$B$23)))^(1/12)))</f>
        <v>0.849199984550821</v>
      </c>
      <c r="W130" s="47" t="n">
        <f aca="false">V130*(IF(C130&lt;Assumptions!$B$5,Assumptions!$B$12*(1+Assumptions!$B$11)^(INT(A130/12)+1)/12+Pricing_M!$B$13*IF(A130=0,Assumptions!$B$14*12,IF(A130&gt;=12,Assumptions!$B$15,0))-Pricing_M!$B$13,Assumptions!$B$9/12*(1+Assumptions!$B$10)^INT(A130/12)+Assumptions!$B$12*(1+Assumptions!$B$11)^(INT(A130/12)+1)/12))*J130</f>
        <v>-597.12194614982</v>
      </c>
      <c r="X130" s="47" t="n">
        <f aca="false">I130*(IF(C130&lt;Assumptions!$B$5,Assumptions!$B$12*(1+Assumptions!$B$11)*(1+Assumptions!$B$24)*(1+Assumptions!$B$11+Assumptions!$B$25)^(INT(A130/12))/12+Pricing_M!$B$13*IF(A130=0,Assumptions!$B$14*12,IF(A130&gt;=12,Assumptions!$B$15,0))-Pricing_M!$B$13,Assumptions!$B$9/12*(1+Assumptions!$B$10)^INT(A130/12)+Assumptions!$B$12*(1+Assumptions!$B$11)*(1+Assumptions!$B$24)*(1+Assumptions!$B$11+Assumptions!$B$25)^(INT(A130/12))/12))*J130</f>
        <v>-552.240483260769</v>
      </c>
    </row>
    <row r="131" customFormat="false" ht="15" hidden="false" customHeight="true" outlineLevel="0" collapsed="false">
      <c r="A131" s="1" t="n">
        <v>124</v>
      </c>
      <c r="B131" s="31" t="n">
        <f aca="false">Assumptions!$B$4+A131/12</f>
        <v>75.3333333333333</v>
      </c>
      <c r="C131" s="34" t="n">
        <f aca="false">Assumptions!$B$4+INT(A131/12)</f>
        <v>75</v>
      </c>
      <c r="D131" s="34" t="n">
        <f aca="false">INT(A131/12)+1</f>
        <v>11</v>
      </c>
      <c r="E131" s="32" t="n">
        <f aca="false">IFERROR(INDEX(Cohort_Survival!$G$5:$G$65,MATCH(C131,Cohort_Survival!$A$5:$A$65,0)),1)</f>
        <v>0.0148782794079833</v>
      </c>
      <c r="F131" s="30" t="n">
        <f aca="false">1-(1-MIN(1,E131))^(1/12)</f>
        <v>0.00124839271197852</v>
      </c>
      <c r="G131" s="39" t="n">
        <f aca="false">IF(C131&lt;Assumptions!$B$5,IF(D131=1,Assumptions!$B$16,IF(D131=2,Assumptions!$B$17,IF(D131&lt;=5,Assumptions!$B$18,Assumptions!$B$19)))*(1-Assumptions!$B$20),0)</f>
        <v>0.0091</v>
      </c>
      <c r="H131" s="30" t="n">
        <f aca="false">1-(1-G131)^(1/12)</f>
        <v>0.000761514726814627</v>
      </c>
      <c r="I131" s="30" t="n">
        <f aca="false">I130*(1-F130)*(1-H130)</f>
        <v>0.785337080294952</v>
      </c>
      <c r="J131" s="30" t="n">
        <f aca="false">INDEX(Discount_Monthly!$G$4:$G$664,MATCH(A131,Discount_Monthly!$A$4:$A$664,0))</f>
        <v>0.742615382485585</v>
      </c>
      <c r="K131" s="30" t="n">
        <f aca="false">IF(C131&lt;Assumptions!$B$5,I131*J131,0)</f>
        <v>0.583203396263348</v>
      </c>
      <c r="L131" s="30" t="n">
        <f aca="false">IF(C131&lt;Assumptions!$B$5,I131*(1-F131)*H131*A131*J131,0)</f>
        <v>0.0550018791261128</v>
      </c>
      <c r="M131" s="30" t="n">
        <f aca="false">IF(A131=0,Assumptions!$B$14*12*I131*J131,IF(AND(A131&gt;=12,C131&lt;Assumptions!$B$5),Assumptions!$B$15*I131*J131,0))</f>
        <v>0.0291601698131674</v>
      </c>
      <c r="N131" s="47" t="n">
        <f aca="false">IF(C131&gt;=Assumptions!$B$5,I131*Assumptions!$B$9/12*(1+Assumptions!$B$10)^INT(A131/12)*J131,0)</f>
        <v>0</v>
      </c>
      <c r="O131" s="47" t="n">
        <f aca="false">I131*Assumptions!$B$12/12*(1+Assumptions!$B$11)^(INT(A131/12)+1)*J131</f>
        <v>5.10142263347682</v>
      </c>
      <c r="P131" s="47" t="n">
        <f aca="false">O131+Pricing_M!$B$13*M131+N131-Pricing_M!$B$13*K131</f>
        <v>-550.750170301891</v>
      </c>
      <c r="Q131" s="47" t="n">
        <f aca="false">IF(C131&lt;Assumptions!$B$5,Pricing_M!$B$13*K131-Pricing_M!$B$13*M131-O131,-(N131+O131))</f>
        <v>550.750170301891</v>
      </c>
      <c r="R131" s="32" t="n">
        <f aca="false">R130*(1-(1-(1-MIN(1,E130*(1-Assumptions!$B$21)))^(1/12)))*(1-H130)</f>
        <v>0.79954890422658</v>
      </c>
      <c r="S131" s="47" t="n">
        <f aca="false">R131*(IF(C131&lt;Assumptions!$B$5,Assumptions!$B$12*(1+Assumptions!$B$11)^(INT(A131/12)+1)/12+Pricing_M!$B$13*IF(A131=0,Assumptions!$B$14*12,IF(A131&gt;=12,Assumptions!$B$15,0))-Pricing_M!$B$13,Assumptions!$B$9/12*(1+Assumptions!$B$10)^INT(A131/12)+Assumptions!$B$12*(1+Assumptions!$B$11)^(INT(A131/12)+1)/12))*J131</f>
        <v>-560.716800742548</v>
      </c>
      <c r="T131" s="32" t="n">
        <f aca="false">T130*(1-F130)*(1-(1-(1-MIN(1,G130*(1+Assumptions!$B$23)))^(1/12)))</f>
        <v>0.726865176092747</v>
      </c>
      <c r="U131" s="47" t="n">
        <f aca="false">T131*(IF(C131&lt;Assumptions!$B$5,Assumptions!$B$12*(1+Assumptions!$B$11)^(INT(A131/12)+1)/12+Pricing_M!$B$13*IF(A131=0,Assumptions!$B$14*12,IF(A131&gt;=12,Assumptions!$B$15,0))-Pricing_M!$B$13,Assumptions!$B$9/12*(1+Assumptions!$B$10)^INT(A131/12)+Assumptions!$B$12*(1+Assumptions!$B$11)^(INT(A131/12)+1)/12))*J131</f>
        <v>-509.744324525265</v>
      </c>
      <c r="V131" s="32" t="n">
        <f aca="false">V130*(1-F130)*(1-(1-(1-MIN(1,G130*(1-Assumptions!$B$23)))^(1/12)))</f>
        <v>0.847817590521938</v>
      </c>
      <c r="W131" s="47" t="n">
        <f aca="false">V131*(IF(C131&lt;Assumptions!$B$5,Assumptions!$B$12*(1+Assumptions!$B$11)^(INT(A131/12)+1)/12+Pricing_M!$B$13*IF(A131=0,Assumptions!$B$14*12,IF(A131&gt;=12,Assumptions!$B$15,0))-Pricing_M!$B$13,Assumptions!$B$9/12*(1+Assumptions!$B$10)^INT(A131/12)+Assumptions!$B$12*(1+Assumptions!$B$11)^(INT(A131/12)+1)/12))*J131</f>
        <v>-594.567217161741</v>
      </c>
      <c r="X131" s="47" t="n">
        <f aca="false">I131*(IF(C131&lt;Assumptions!$B$5,Assumptions!$B$12*(1+Assumptions!$B$11)*(1+Assumptions!$B$24)*(1+Assumptions!$B$11+Assumptions!$B$25)^(INT(A131/12))/12+Pricing_M!$B$13*IF(A131=0,Assumptions!$B$14*12,IF(A131&gt;=12,Assumptions!$B$15,0))-Pricing_M!$B$13,Assumptions!$B$9/12*(1+Assumptions!$B$10)^INT(A131/12)+Assumptions!$B$12*(1+Assumptions!$B$11)*(1+Assumptions!$B$24)*(1+Assumptions!$B$11+Assumptions!$B$25)^(INT(A131/12))/12))*J131</f>
        <v>-549.667886925875</v>
      </c>
    </row>
    <row r="132" customFormat="false" ht="15" hidden="false" customHeight="true" outlineLevel="0" collapsed="false">
      <c r="A132" s="1" t="n">
        <v>125</v>
      </c>
      <c r="B132" s="31" t="n">
        <f aca="false">Assumptions!$B$4+A132/12</f>
        <v>75.4166666666667</v>
      </c>
      <c r="C132" s="34" t="n">
        <f aca="false">Assumptions!$B$4+INT(A132/12)</f>
        <v>75</v>
      </c>
      <c r="D132" s="34" t="n">
        <f aca="false">INT(A132/12)+1</f>
        <v>11</v>
      </c>
      <c r="E132" s="32" t="n">
        <f aca="false">IFERROR(INDEX(Cohort_Survival!$G$5:$G$65,MATCH(C132,Cohort_Survival!$A$5:$A$65,0)),1)</f>
        <v>0.0148782794079833</v>
      </c>
      <c r="F132" s="30" t="n">
        <f aca="false">1-(1-MIN(1,E132))^(1/12)</f>
        <v>0.00124839271197852</v>
      </c>
      <c r="G132" s="39" t="n">
        <f aca="false">IF(C132&lt;Assumptions!$B$5,IF(D132=1,Assumptions!$B$16,IF(D132=2,Assumptions!$B$17,IF(D132&lt;=5,Assumptions!$B$18,Assumptions!$B$19)))*(1-Assumptions!$B$20),0)</f>
        <v>0.0091</v>
      </c>
      <c r="H132" s="30" t="n">
        <f aca="false">1-(1-G132)^(1/12)</f>
        <v>0.000761514726814627</v>
      </c>
      <c r="I132" s="30" t="n">
        <f aca="false">I131*(1-F131)*(1-H131)</f>
        <v>0.783759372051265</v>
      </c>
      <c r="J132" s="30" t="n">
        <f aca="false">INDEX(Discount_Monthly!$G$4:$G$664,MATCH(A132,Discount_Monthly!$A$4:$A$664,0))</f>
        <v>0.740643851662805</v>
      </c>
      <c r="K132" s="30" t="n">
        <f aca="false">IF(C132&lt;Assumptions!$B$5,I132*J132,0)</f>
        <v>0.580486560092871</v>
      </c>
      <c r="L132" s="30" t="n">
        <f aca="false">IF(C132&lt;Assumptions!$B$5,I132*(1-F132)*H132*A132*J132,0)</f>
        <v>0.0551871516748206</v>
      </c>
      <c r="M132" s="30" t="n">
        <f aca="false">IF(A132=0,Assumptions!$B$14*12*I132*J132,IF(AND(A132&gt;=12,C132&lt;Assumptions!$B$5),Assumptions!$B$15*I132*J132,0))</f>
        <v>0.0290243280046435</v>
      </c>
      <c r="N132" s="47" t="n">
        <f aca="false">IF(C132&gt;=Assumptions!$B$5,I132*Assumptions!$B$9/12*(1+Assumptions!$B$10)^INT(A132/12)*J132,0)</f>
        <v>0</v>
      </c>
      <c r="O132" s="47" t="n">
        <f aca="false">I132*Assumptions!$B$12/12*(1+Assumptions!$B$11)^(INT(A132/12)+1)*J132</f>
        <v>5.07765780353872</v>
      </c>
      <c r="P132" s="47" t="n">
        <f aca="false">O132+Pricing_M!$B$13*M132+N132-Pricing_M!$B$13*K132</f>
        <v>-548.184516546855</v>
      </c>
      <c r="Q132" s="47" t="n">
        <f aca="false">IF(C132&lt;Assumptions!$B$5,Pricing_M!$B$13*K132-Pricing_M!$B$13*M132-O132,-(N132+O132))</f>
        <v>548.184516546855</v>
      </c>
      <c r="R132" s="32" t="n">
        <f aca="false">R131*(1-(1-(1-MIN(1,E131*(1-Assumptions!$B$21)))^(1/12)))*(1-H131)</f>
        <v>0.79814322278094</v>
      </c>
      <c r="S132" s="47" t="n">
        <f aca="false">R132*(IF(C132&lt;Assumptions!$B$5,Assumptions!$B$12*(1+Assumptions!$B$11)^(INT(A132/12)+1)/12+Pricing_M!$B$13*IF(A132=0,Assumptions!$B$14*12,IF(A132&gt;=12,Assumptions!$B$15,0))-Pricing_M!$B$13,Assumptions!$B$9/12*(1+Assumptions!$B$10)^INT(A132/12)+Assumptions!$B$12*(1+Assumptions!$B$11)^(INT(A132/12)+1)/12))*J132</f>
        <v>-558.245007737783</v>
      </c>
      <c r="T132" s="32" t="n">
        <f aca="false">T131*(1-F131)*(1-(1-(1-MIN(1,G131*(1+Assumptions!$B$23)))^(1/12)))</f>
        <v>0.725126774174509</v>
      </c>
      <c r="U132" s="47" t="n">
        <f aca="false">T132*(IF(C132&lt;Assumptions!$B$5,Assumptions!$B$12*(1+Assumptions!$B$11)^(INT(A132/12)+1)/12+Pricing_M!$B$13*IF(A132=0,Assumptions!$B$14*12,IF(A132&gt;=12,Assumptions!$B$15,0))-Pricing_M!$B$13,Assumptions!$B$9/12*(1+Assumptions!$B$10)^INT(A132/12)+Assumptions!$B$12*(1+Assumptions!$B$11)^(INT(A132/12)+1)/12))*J132</f>
        <v>-507.175141135069</v>
      </c>
      <c r="V132" s="32" t="n">
        <f aca="false">V131*(1-F131)*(1-(1-(1-MIN(1,G131*(1-Assumptions!$B$23)))^(1/12)))</f>
        <v>0.846437446861974</v>
      </c>
      <c r="W132" s="47" t="n">
        <f aca="false">V132*(IF(C132&lt;Assumptions!$B$5,Assumptions!$B$12*(1+Assumptions!$B$11)^(INT(A132/12)+1)/12+Pricing_M!$B$13*IF(A132=0,Assumptions!$B$14*12,IF(A132&gt;=12,Assumptions!$B$15,0))-Pricing_M!$B$13,Assumptions!$B$9/12*(1+Assumptions!$B$10)^INT(A132/12)+Assumptions!$B$12*(1+Assumptions!$B$11)^(INT(A132/12)+1)/12))*J132</f>
        <v>-592.023418336661</v>
      </c>
      <c r="X132" s="47" t="n">
        <f aca="false">I132*(IF(C132&lt;Assumptions!$B$5,Assumptions!$B$12*(1+Assumptions!$B$11)*(1+Assumptions!$B$24)*(1+Assumptions!$B$11+Assumptions!$B$25)^(INT(A132/12))/12+Pricing_M!$B$13*IF(A132=0,Assumptions!$B$14*12,IF(A132&gt;=12,Assumptions!$B$15,0))-Pricing_M!$B$13,Assumptions!$B$9/12*(1+Assumptions!$B$10)^INT(A132/12)+Assumptions!$B$12*(1+Assumptions!$B$11)*(1+Assumptions!$B$24)*(1+Assumptions!$B$11+Assumptions!$B$25)^(INT(A132/12))/12))*J132</f>
        <v>-547.107274956675</v>
      </c>
    </row>
    <row r="133" customFormat="false" ht="15" hidden="false" customHeight="true" outlineLevel="0" collapsed="false">
      <c r="A133" s="1" t="n">
        <v>126</v>
      </c>
      <c r="B133" s="31" t="n">
        <f aca="false">Assumptions!$B$4+A133/12</f>
        <v>75.5</v>
      </c>
      <c r="C133" s="34" t="n">
        <f aca="false">Assumptions!$B$4+INT(A133/12)</f>
        <v>75</v>
      </c>
      <c r="D133" s="34" t="n">
        <f aca="false">INT(A133/12)+1</f>
        <v>11</v>
      </c>
      <c r="E133" s="32" t="n">
        <f aca="false">IFERROR(INDEX(Cohort_Survival!$G$5:$G$65,MATCH(C133,Cohort_Survival!$A$5:$A$65,0)),1)</f>
        <v>0.0148782794079833</v>
      </c>
      <c r="F133" s="30" t="n">
        <f aca="false">1-(1-MIN(1,E133))^(1/12)</f>
        <v>0.00124839271197852</v>
      </c>
      <c r="G133" s="39" t="n">
        <f aca="false">IF(C133&lt;Assumptions!$B$5,IF(D133=1,Assumptions!$B$16,IF(D133=2,Assumptions!$B$17,IF(D133&lt;=5,Assumptions!$B$18,Assumptions!$B$19)))*(1-Assumptions!$B$20),0)</f>
        <v>0.0091</v>
      </c>
      <c r="H133" s="30" t="n">
        <f aca="false">1-(1-G133)^(1/12)</f>
        <v>0.000761514726814627</v>
      </c>
      <c r="I133" s="30" t="n">
        <f aca="false">I132*(1-F132)*(1-H132)</f>
        <v>0.782184833355235</v>
      </c>
      <c r="J133" s="30" t="n">
        <f aca="false">INDEX(Discount_Monthly!$G$4:$G$664,MATCH(A133,Discount_Monthly!$A$4:$A$664,0))</f>
        <v>0.738677554954315</v>
      </c>
      <c r="K133" s="30" t="n">
        <f aca="false">IF(C133&lt;Assumptions!$B$5,I133*J133,0)</f>
        <v>0.577782380225194</v>
      </c>
      <c r="L133" s="30" t="n">
        <f aca="false">IF(C133&lt;Assumptions!$B$5,I133*(1-F133)*H133*A133*J133,0)</f>
        <v>0.0553695044347015</v>
      </c>
      <c r="M133" s="30" t="n">
        <f aca="false">IF(A133=0,Assumptions!$B$14*12*I133*J133,IF(AND(A133&gt;=12,C133&lt;Assumptions!$B$5),Assumptions!$B$15*I133*J133,0))</f>
        <v>0.0288891190112597</v>
      </c>
      <c r="N133" s="47" t="n">
        <f aca="false">IF(C133&gt;=Assumptions!$B$5,I133*Assumptions!$B$9/12*(1+Assumptions!$B$10)^INT(A133/12)*J133,0)</f>
        <v>0</v>
      </c>
      <c r="O133" s="47" t="n">
        <f aca="false">I133*Assumptions!$B$12/12*(1+Assumptions!$B$11)^(INT(A133/12)+1)*J133</f>
        <v>5.05400368137423</v>
      </c>
      <c r="P133" s="47" t="n">
        <f aca="false">O133+Pricing_M!$B$13*M133+N133-Pricing_M!$B$13*K133</f>
        <v>-545.630814815705</v>
      </c>
      <c r="Q133" s="47" t="n">
        <f aca="false">IF(C133&lt;Assumptions!$B$5,Pricing_M!$B$13*K133-Pricing_M!$B$13*M133-O133,-(N133+O133))</f>
        <v>545.630814815705</v>
      </c>
      <c r="R133" s="32" t="n">
        <f aca="false">R132*(1-(1-(1-MIN(1,E132*(1-Assumptions!$B$21)))^(1/12)))*(1-H132)</f>
        <v>0.796740012654211</v>
      </c>
      <c r="S133" s="47" t="n">
        <f aca="false">R133*(IF(C133&lt;Assumptions!$B$5,Assumptions!$B$12*(1+Assumptions!$B$11)^(INT(A133/12)+1)/12+Pricing_M!$B$13*IF(A133=0,Assumptions!$B$14*12,IF(A133&gt;=12,Assumptions!$B$15,0))-Pricing_M!$B$13,Assumptions!$B$9/12*(1+Assumptions!$B$10)^INT(A133/12)+Assumptions!$B$12*(1+Assumptions!$B$11)^(INT(A133/12)+1)/12))*J133</f>
        <v>-555.784111072578</v>
      </c>
      <c r="T133" s="32" t="n">
        <f aca="false">T132*(1-F132)*(1-(1-(1-MIN(1,G132*(1+Assumptions!$B$23)))^(1/12)))</f>
        <v>0.723392529892829</v>
      </c>
      <c r="U133" s="47" t="n">
        <f aca="false">T133*(IF(C133&lt;Assumptions!$B$5,Assumptions!$B$12*(1+Assumptions!$B$11)^(INT(A133/12)+1)/12+Pricing_M!$B$13*IF(A133=0,Assumptions!$B$14*12,IF(A133&gt;=12,Assumptions!$B$15,0))-Pricing_M!$B$13,Assumptions!$B$9/12*(1+Assumptions!$B$10)^INT(A133/12)+Assumptions!$B$12*(1+Assumptions!$B$11)^(INT(A133/12)+1)/12))*J133</f>
        <v>-504.618906792022</v>
      </c>
      <c r="V133" s="32" t="n">
        <f aca="false">V132*(1-F132)*(1-(1-(1-MIN(1,G132*(1-Assumptions!$B$23)))^(1/12)))</f>
        <v>0.845059549907603</v>
      </c>
      <c r="W133" s="47" t="n">
        <f aca="false">V133*(IF(C133&lt;Assumptions!$B$5,Assumptions!$B$12*(1+Assumptions!$B$11)^(INT(A133/12)+1)/12+Pricing_M!$B$13*IF(A133=0,Assumptions!$B$14*12,IF(A133&gt;=12,Assumptions!$B$15,0))-Pricing_M!$B$13,Assumptions!$B$9/12*(1+Assumptions!$B$10)^INT(A133/12)+Assumptions!$B$12*(1+Assumptions!$B$11)^(INT(A133/12)+1)/12))*J133</f>
        <v>-589.490502910929</v>
      </c>
      <c r="X133" s="47" t="n">
        <f aca="false">I133*(IF(C133&lt;Assumptions!$B$5,Assumptions!$B$12*(1+Assumptions!$B$11)*(1+Assumptions!$B$24)*(1+Assumptions!$B$11+Assumptions!$B$25)^(INT(A133/12))/12+Pricing_M!$B$13*IF(A133=0,Assumptions!$B$14*12,IF(A133&gt;=12,Assumptions!$B$15,0))-Pricing_M!$B$13,Assumptions!$B$9/12*(1+Assumptions!$B$10)^INT(A133/12)+Assumptions!$B$12*(1+Assumptions!$B$11)*(1+Assumptions!$B$24)*(1+Assumptions!$B$11+Assumptions!$B$25)^(INT(A133/12))/12))*J133</f>
        <v>-544.558591524347</v>
      </c>
    </row>
    <row r="134" customFormat="false" ht="15" hidden="false" customHeight="true" outlineLevel="0" collapsed="false">
      <c r="A134" s="1" t="n">
        <v>127</v>
      </c>
      <c r="B134" s="31" t="n">
        <f aca="false">Assumptions!$B$4+A134/12</f>
        <v>75.5833333333333</v>
      </c>
      <c r="C134" s="34" t="n">
        <f aca="false">Assumptions!$B$4+INT(A134/12)</f>
        <v>75</v>
      </c>
      <c r="D134" s="34" t="n">
        <f aca="false">INT(A134/12)+1</f>
        <v>11</v>
      </c>
      <c r="E134" s="32" t="n">
        <f aca="false">IFERROR(INDEX(Cohort_Survival!$G$5:$G$65,MATCH(C134,Cohort_Survival!$A$5:$A$65,0)),1)</f>
        <v>0.0148782794079833</v>
      </c>
      <c r="F134" s="30" t="n">
        <f aca="false">1-(1-MIN(1,E134))^(1/12)</f>
        <v>0.00124839271197852</v>
      </c>
      <c r="G134" s="39" t="n">
        <f aca="false">IF(C134&lt;Assumptions!$B$5,IF(D134=1,Assumptions!$B$16,IF(D134=2,Assumptions!$B$17,IF(D134&lt;=5,Assumptions!$B$18,Assumptions!$B$19)))*(1-Assumptions!$B$20),0)</f>
        <v>0.0091</v>
      </c>
      <c r="H134" s="30" t="n">
        <f aca="false">1-(1-G134)^(1/12)</f>
        <v>0.000761514726814627</v>
      </c>
      <c r="I134" s="30" t="n">
        <f aca="false">I133*(1-F133)*(1-H133)</f>
        <v>0.780613457839377</v>
      </c>
      <c r="J134" s="30" t="n">
        <f aca="false">INDEX(Discount_Monthly!$G$4:$G$664,MATCH(A134,Discount_Monthly!$A$4:$A$664,0))</f>
        <v>0.736716478464338</v>
      </c>
      <c r="K134" s="30" t="n">
        <f aca="false">IF(C134&lt;Assumptions!$B$5,I134*J134,0)</f>
        <v>0.575090797701296</v>
      </c>
      <c r="L134" s="30" t="n">
        <f aca="false">IF(C134&lt;Assumptions!$B$5,I134*(1-F134)*H134*A134*J134,0)</f>
        <v>0.0555489605885943</v>
      </c>
      <c r="M134" s="30" t="n">
        <f aca="false">IF(A134=0,Assumptions!$B$14*12*I134*J134,IF(AND(A134&gt;=12,C134&lt;Assumptions!$B$5),Assumptions!$B$15*I134*J134,0))</f>
        <v>0.0287545398850648</v>
      </c>
      <c r="N134" s="47" t="n">
        <f aca="false">IF(C134&gt;=Assumptions!$B$5,I134*Assumptions!$B$9/12*(1+Assumptions!$B$10)^INT(A134/12)*J134,0)</f>
        <v>0</v>
      </c>
      <c r="O134" s="47" t="n">
        <f aca="false">I134*Assumptions!$B$12/12*(1+Assumptions!$B$11)^(INT(A134/12)+1)*J134</f>
        <v>5.03045975125438</v>
      </c>
      <c r="P134" s="47" t="n">
        <f aca="false">O134+Pricing_M!$B$13*M134+N134-Pricing_M!$B$13*K134</f>
        <v>-543.089009430283</v>
      </c>
      <c r="Q134" s="47" t="n">
        <f aca="false">IF(C134&lt;Assumptions!$B$5,Pricing_M!$B$13*K134-Pricing_M!$B$13*M134-O134,-(N134+O134))</f>
        <v>543.089009430283</v>
      </c>
      <c r="R134" s="32" t="n">
        <f aca="false">R133*(1-(1-(1-MIN(1,E133*(1-Assumptions!$B$21)))^(1/12)))*(1-H133)</f>
        <v>0.795339269501583</v>
      </c>
      <c r="S134" s="47" t="n">
        <f aca="false">R134*(IF(C134&lt;Assumptions!$B$5,Assumptions!$B$12*(1+Assumptions!$B$11)^(INT(A134/12)+1)/12+Pricing_M!$B$13*IF(A134=0,Assumptions!$B$14*12,IF(A134&gt;=12,Assumptions!$B$15,0))-Pricing_M!$B$13,Assumptions!$B$9/12*(1+Assumptions!$B$10)^INT(A134/12)+Assumptions!$B$12*(1+Assumptions!$B$11)^(INT(A134/12)+1)/12))*J134</f>
        <v>-553.33406271289</v>
      </c>
      <c r="T134" s="32" t="n">
        <f aca="false">T133*(1-F133)*(1-(1-(1-MIN(1,G133*(1+Assumptions!$B$23)))^(1/12)))</f>
        <v>0.721662433304127</v>
      </c>
      <c r="U134" s="47" t="n">
        <f aca="false">T134*(IF(C134&lt;Assumptions!$B$5,Assumptions!$B$12*(1+Assumptions!$B$11)^(INT(A134/12)+1)/12+Pricing_M!$B$13*IF(A134=0,Assumptions!$B$14*12,IF(A134&gt;=12,Assumptions!$B$15,0))-Pricing_M!$B$13,Assumptions!$B$9/12*(1+Assumptions!$B$10)^INT(A134/12)+Assumptions!$B$12*(1+Assumptions!$B$11)^(INT(A134/12)+1)/12))*J134</f>
        <v>-502.075556231098</v>
      </c>
      <c r="V134" s="32" t="n">
        <f aca="false">V133*(1-F133)*(1-(1-(1-MIN(1,G133*(1-Assumptions!$B$23)))^(1/12)))</f>
        <v>0.843683896001462</v>
      </c>
      <c r="W134" s="47" t="n">
        <f aca="false">V134*(IF(C134&lt;Assumptions!$B$5,Assumptions!$B$12*(1+Assumptions!$B$11)^(INT(A134/12)+1)/12+Pricing_M!$B$13*IF(A134=0,Assumptions!$B$14*12,IF(A134&gt;=12,Assumptions!$B$15,0))-Pricing_M!$B$13,Assumptions!$B$9/12*(1+Assumptions!$B$10)^INT(A134/12)+Assumptions!$B$12*(1+Assumptions!$B$11)^(INT(A134/12)+1)/12))*J134</f>
        <v>-586.968424320961</v>
      </c>
      <c r="X134" s="47" t="n">
        <f aca="false">I134*(IF(C134&lt;Assumptions!$B$5,Assumptions!$B$12*(1+Assumptions!$B$11)*(1+Assumptions!$B$24)*(1+Assumptions!$B$11+Assumptions!$B$25)^(INT(A134/12))/12+Pricing_M!$B$13*IF(A134=0,Assumptions!$B$14*12,IF(A134&gt;=12,Assumptions!$B$15,0))-Pricing_M!$B$13,Assumptions!$B$9/12*(1+Assumptions!$B$10)^INT(A134/12)+Assumptions!$B$12*(1+Assumptions!$B$11)*(1+Assumptions!$B$24)*(1+Assumptions!$B$11+Assumptions!$B$25)^(INT(A134/12))/12))*J134</f>
        <v>-542.021781060147</v>
      </c>
    </row>
    <row r="135" customFormat="false" ht="15" hidden="false" customHeight="true" outlineLevel="0" collapsed="false">
      <c r="A135" s="1" t="n">
        <v>128</v>
      </c>
      <c r="B135" s="31" t="n">
        <f aca="false">Assumptions!$B$4+A135/12</f>
        <v>75.6666666666667</v>
      </c>
      <c r="C135" s="34" t="n">
        <f aca="false">Assumptions!$B$4+INT(A135/12)</f>
        <v>75</v>
      </c>
      <c r="D135" s="34" t="n">
        <f aca="false">INT(A135/12)+1</f>
        <v>11</v>
      </c>
      <c r="E135" s="32" t="n">
        <f aca="false">IFERROR(INDEX(Cohort_Survival!$G$5:$G$65,MATCH(C135,Cohort_Survival!$A$5:$A$65,0)),1)</f>
        <v>0.0148782794079833</v>
      </c>
      <c r="F135" s="30" t="n">
        <f aca="false">1-(1-MIN(1,E135))^(1/12)</f>
        <v>0.00124839271197852</v>
      </c>
      <c r="G135" s="39" t="n">
        <f aca="false">IF(C135&lt;Assumptions!$B$5,IF(D135=1,Assumptions!$B$16,IF(D135=2,Assumptions!$B$17,IF(D135&lt;=5,Assumptions!$B$18,Assumptions!$B$19)))*(1-Assumptions!$B$20),0)</f>
        <v>0.0091</v>
      </c>
      <c r="H135" s="30" t="n">
        <f aca="false">1-(1-G135)^(1/12)</f>
        <v>0.000761514726814627</v>
      </c>
      <c r="I135" s="30" t="n">
        <f aca="false">I134*(1-F134)*(1-H134)</f>
        <v>0.779045239148998</v>
      </c>
      <c r="J135" s="30" t="n">
        <f aca="false">INDEX(Discount_Monthly!$G$4:$G$664,MATCH(A135,Discount_Monthly!$A$4:$A$664,0))</f>
        <v>0.734760608333988</v>
      </c>
      <c r="K135" s="30" t="n">
        <f aca="false">IF(C135&lt;Assumptions!$B$5,I135*J135,0)</f>
        <v>0.572411753836815</v>
      </c>
      <c r="L135" s="30" t="n">
        <f aca="false">IF(C135&lt;Assumptions!$B$5,I135*(1-F135)*H135*A135*J135,0)</f>
        <v>0.0557255431667079</v>
      </c>
      <c r="M135" s="30" t="n">
        <f aca="false">IF(A135=0,Assumptions!$B$14*12*I135*J135,IF(AND(A135&gt;=12,C135&lt;Assumptions!$B$5),Assumptions!$B$15*I135*J135,0))</f>
        <v>0.0286205876918408</v>
      </c>
      <c r="N135" s="47" t="n">
        <f aca="false">IF(C135&gt;=Assumptions!$B$5,I135*Assumptions!$B$9/12*(1+Assumptions!$B$10)^INT(A135/12)*J135,0)</f>
        <v>0</v>
      </c>
      <c r="O135" s="47" t="n">
        <f aca="false">I135*Assumptions!$B$12/12*(1+Assumptions!$B$11)^(INT(A135/12)+1)*J135</f>
        <v>5.00702549985272</v>
      </c>
      <c r="P135" s="47" t="n">
        <f aca="false">O135+Pricing_M!$B$13*M135+N135-Pricing_M!$B$13*K135</f>
        <v>-540.559044971807</v>
      </c>
      <c r="Q135" s="47" t="n">
        <f aca="false">IF(C135&lt;Assumptions!$B$5,Pricing_M!$B$13*K135-Pricing_M!$B$13*M135-O135,-(N135+O135))</f>
        <v>540.559044971807</v>
      </c>
      <c r="R135" s="32" t="n">
        <f aca="false">R134*(1-(1-(1-MIN(1,E134*(1-Assumptions!$B$21)))^(1/12)))*(1-H134)</f>
        <v>0.793940988985886</v>
      </c>
      <c r="S135" s="47" t="n">
        <f aca="false">R135*(IF(C135&lt;Assumptions!$B$5,Assumptions!$B$12*(1+Assumptions!$B$11)^(INT(A135/12)+1)/12+Pricing_M!$B$13*IF(A135=0,Assumptions!$B$14*12,IF(A135&gt;=12,Assumptions!$B$15,0))-Pricing_M!$B$13,Assumptions!$B$9/12*(1+Assumptions!$B$10)^INT(A135/12)+Assumptions!$B$12*(1+Assumptions!$B$11)^(INT(A135/12)+1)/12))*J135</f>
        <v>-550.894814836421</v>
      </c>
      <c r="T135" s="32" t="n">
        <f aca="false">T134*(1-F134)*(1-(1-(1-MIN(1,G134*(1+Assumptions!$B$23)))^(1/12)))</f>
        <v>0.7199364744886</v>
      </c>
      <c r="U135" s="47" t="n">
        <f aca="false">T135*(IF(C135&lt;Assumptions!$B$5,Assumptions!$B$12*(1+Assumptions!$B$11)^(INT(A135/12)+1)/12+Pricing_M!$B$13*IF(A135=0,Assumptions!$B$14*12,IF(A135&gt;=12,Assumptions!$B$15,0))-Pricing_M!$B$13,Assumptions!$B$9/12*(1+Assumptions!$B$10)^INT(A135/12)+Assumptions!$B$12*(1+Assumptions!$B$11)^(INT(A135/12)+1)/12))*J135</f>
        <v>-499.545024516216</v>
      </c>
      <c r="V135" s="32" t="n">
        <f aca="false">V134*(1-F134)*(1-(1-(1-MIN(1,G134*(1-Assumptions!$B$23)))^(1/12)))</f>
        <v>0.842310481492142</v>
      </c>
      <c r="W135" s="47" t="n">
        <f aca="false">V135*(IF(C135&lt;Assumptions!$B$5,Assumptions!$B$12*(1+Assumptions!$B$11)^(INT(A135/12)+1)/12+Pricing_M!$B$13*IF(A135=0,Assumptions!$B$14*12,IF(A135&gt;=12,Assumptions!$B$15,0))-Pricing_M!$B$13,Assumptions!$B$9/12*(1+Assumptions!$B$10)^INT(A135/12)+Assumptions!$B$12*(1+Assumptions!$B$11)^(INT(A135/12)+1)/12))*J135</f>
        <v>-584.457136202397</v>
      </c>
      <c r="X135" s="47" t="n">
        <f aca="false">I135*(IF(C135&lt;Assumptions!$B$5,Assumptions!$B$12*(1+Assumptions!$B$11)*(1+Assumptions!$B$24)*(1+Assumptions!$B$11+Assumptions!$B$25)^(INT(A135/12))/12+Pricing_M!$B$13*IF(A135=0,Assumptions!$B$14*12,IF(A135&gt;=12,Assumptions!$B$15,0))-Pricing_M!$B$13,Assumptions!$B$9/12*(1+Assumptions!$B$10)^INT(A135/12)+Assumptions!$B$12*(1+Assumptions!$B$11)*(1+Assumptions!$B$24)*(1+Assumptions!$B$11+Assumptions!$B$25)^(INT(A135/12))/12))*J135</f>
        <v>-539.496788254197</v>
      </c>
    </row>
    <row r="136" customFormat="false" ht="15" hidden="false" customHeight="true" outlineLevel="0" collapsed="false">
      <c r="A136" s="1" t="n">
        <v>129</v>
      </c>
      <c r="B136" s="31" t="n">
        <f aca="false">Assumptions!$B$4+A136/12</f>
        <v>75.75</v>
      </c>
      <c r="C136" s="34" t="n">
        <f aca="false">Assumptions!$B$4+INT(A136/12)</f>
        <v>75</v>
      </c>
      <c r="D136" s="34" t="n">
        <f aca="false">INT(A136/12)+1</f>
        <v>11</v>
      </c>
      <c r="E136" s="32" t="n">
        <f aca="false">IFERROR(INDEX(Cohort_Survival!$G$5:$G$65,MATCH(C136,Cohort_Survival!$A$5:$A$65,0)),1)</f>
        <v>0.0148782794079833</v>
      </c>
      <c r="F136" s="30" t="n">
        <f aca="false">1-(1-MIN(1,E136))^(1/12)</f>
        <v>0.00124839271197852</v>
      </c>
      <c r="G136" s="39" t="n">
        <f aca="false">IF(C136&lt;Assumptions!$B$5,IF(D136=1,Assumptions!$B$16,IF(D136=2,Assumptions!$B$17,IF(D136&lt;=5,Assumptions!$B$18,Assumptions!$B$19)))*(1-Assumptions!$B$20),0)</f>
        <v>0.0091</v>
      </c>
      <c r="H136" s="30" t="n">
        <f aca="false">1-(1-G136)^(1/12)</f>
        <v>0.000761514726814627</v>
      </c>
      <c r="I136" s="30" t="n">
        <f aca="false">I135*(1-F135)*(1-H135)</f>
        <v>0.777480170942174</v>
      </c>
      <c r="J136" s="30" t="n">
        <f aca="false">INDEX(Discount_Monthly!$G$4:$G$664,MATCH(A136,Discount_Monthly!$A$4:$A$664,0))</f>
        <v>0.732809930741172</v>
      </c>
      <c r="K136" s="30" t="n">
        <f aca="false">IF(C136&lt;Assumptions!$B$5,I136*J136,0)</f>
        <v>0.569745190220769</v>
      </c>
      <c r="L136" s="30" t="n">
        <f aca="false">IF(C136&lt;Assumptions!$B$5,I136*(1-F136)*H136*A136*J136,0)</f>
        <v>0.0558992750475403</v>
      </c>
      <c r="M136" s="30" t="n">
        <f aca="false">IF(A136=0,Assumptions!$B$14*12*I136*J136,IF(AND(A136&gt;=12,C136&lt;Assumptions!$B$5),Assumptions!$B$15*I136*J136,0))</f>
        <v>0.0284872595110384</v>
      </c>
      <c r="N136" s="47" t="n">
        <f aca="false">IF(C136&gt;=Assumptions!$B$5,I136*Assumptions!$B$9/12*(1+Assumptions!$B$10)^INT(A136/12)*J136,0)</f>
        <v>0</v>
      </c>
      <c r="O136" s="47" t="n">
        <f aca="false">I136*Assumptions!$B$12/12*(1+Assumptions!$B$11)^(INT(A136/12)+1)*J136</f>
        <v>4.9837004162341</v>
      </c>
      <c r="P136" s="47" t="n">
        <f aca="false">O136+Pricing_M!$B$13*M136+N136-Pricing_M!$B$13*K136</f>
        <v>-538.04086627966</v>
      </c>
      <c r="Q136" s="47" t="n">
        <f aca="false">IF(C136&lt;Assumptions!$B$5,Pricing_M!$B$13*K136-Pricing_M!$B$13*M136-O136,-(N136+O136))</f>
        <v>538.04086627966</v>
      </c>
      <c r="R136" s="32" t="n">
        <f aca="false">R135*(1-(1-(1-MIN(1,E135*(1-Assumptions!$B$21)))^(1/12)))*(1-H135)</f>
        <v>0.792545166777575</v>
      </c>
      <c r="S136" s="47" t="n">
        <f aca="false">R136*(IF(C136&lt;Assumptions!$B$5,Assumptions!$B$12*(1+Assumptions!$B$11)^(INT(A136/12)+1)/12+Pricing_M!$B$13*IF(A136=0,Assumptions!$B$14*12,IF(A136&gt;=12,Assumptions!$B$15,0))-Pricing_M!$B$13,Assumptions!$B$9/12*(1+Assumptions!$B$10)^INT(A136/12)+Assumptions!$B$12*(1+Assumptions!$B$11)^(INT(A136/12)+1)/12))*J136</f>
        <v>-548.466319831686</v>
      </c>
      <c r="T136" s="32" t="n">
        <f aca="false">T135*(1-F135)*(1-(1-(1-MIN(1,G135*(1+Assumptions!$B$23)))^(1/12)))</f>
        <v>0.718214643550174</v>
      </c>
      <c r="U136" s="47" t="n">
        <f aca="false">T136*(IF(C136&lt;Assumptions!$B$5,Assumptions!$B$12*(1+Assumptions!$B$11)^(INT(A136/12)+1)/12+Pricing_M!$B$13*IF(A136=0,Assumptions!$B$14*12,IF(A136&gt;=12,Assumptions!$B$15,0))-Pricing_M!$B$13,Assumptions!$B$9/12*(1+Assumptions!$B$10)^INT(A136/12)+Assumptions!$B$12*(1+Assumptions!$B$11)^(INT(A136/12)+1)/12))*J136</f>
        <v>-497.02724703858</v>
      </c>
      <c r="V136" s="32" t="n">
        <f aca="false">V135*(1-F135)*(1-(1-(1-MIN(1,G135*(1-Assumptions!$B$23)))^(1/12)))</f>
        <v>0.840939302734177</v>
      </c>
      <c r="W136" s="47" t="n">
        <f aca="false">V136*(IF(C136&lt;Assumptions!$B$5,Assumptions!$B$12*(1+Assumptions!$B$11)^(INT(A136/12)+1)/12+Pricing_M!$B$13*IF(A136=0,Assumptions!$B$14*12,IF(A136&gt;=12,Assumptions!$B$15,0))-Pricing_M!$B$13,Assumptions!$B$9/12*(1+Assumptions!$B$10)^INT(A136/12)+Assumptions!$B$12*(1+Assumptions!$B$11)^(INT(A136/12)+1)/12))*J136</f>
        <v>-581.956592389238</v>
      </c>
      <c r="X136" s="47" t="n">
        <f aca="false">I136*(IF(C136&lt;Assumptions!$B$5,Assumptions!$B$12*(1+Assumptions!$B$11)*(1+Assumptions!$B$24)*(1+Assumptions!$B$11+Assumptions!$B$25)^(INT(A136/12))/12+Pricing_M!$B$13*IF(A136=0,Assumptions!$B$14*12,IF(A136&gt;=12,Assumptions!$B$15,0))-Pricing_M!$B$13,Assumptions!$B$9/12*(1+Assumptions!$B$10)^INT(A136/12)+Assumptions!$B$12*(1+Assumptions!$B$11)*(1+Assumptions!$B$24)*(1+Assumptions!$B$11+Assumptions!$B$25)^(INT(A136/12))/12))*J136</f>
        <v>-536.983558054276</v>
      </c>
    </row>
    <row r="137" customFormat="false" ht="15" hidden="false" customHeight="true" outlineLevel="0" collapsed="false">
      <c r="A137" s="1" t="n">
        <v>130</v>
      </c>
      <c r="B137" s="31" t="n">
        <f aca="false">Assumptions!$B$4+A137/12</f>
        <v>75.8333333333333</v>
      </c>
      <c r="C137" s="34" t="n">
        <f aca="false">Assumptions!$B$4+INT(A137/12)</f>
        <v>75</v>
      </c>
      <c r="D137" s="34" t="n">
        <f aca="false">INT(A137/12)+1</f>
        <v>11</v>
      </c>
      <c r="E137" s="32" t="n">
        <f aca="false">IFERROR(INDEX(Cohort_Survival!$G$5:$G$65,MATCH(C137,Cohort_Survival!$A$5:$A$65,0)),1)</f>
        <v>0.0148782794079833</v>
      </c>
      <c r="F137" s="30" t="n">
        <f aca="false">1-(1-MIN(1,E137))^(1/12)</f>
        <v>0.00124839271197852</v>
      </c>
      <c r="G137" s="39" t="n">
        <f aca="false">IF(C137&lt;Assumptions!$B$5,IF(D137=1,Assumptions!$B$16,IF(D137=2,Assumptions!$B$17,IF(D137&lt;=5,Assumptions!$B$18,Assumptions!$B$19)))*(1-Assumptions!$B$20),0)</f>
        <v>0.0091</v>
      </c>
      <c r="H137" s="30" t="n">
        <f aca="false">1-(1-G137)^(1/12)</f>
        <v>0.000761514726814627</v>
      </c>
      <c r="I137" s="30" t="n">
        <f aca="false">I136*(1-F136)*(1-H136)</f>
        <v>0.775918246889718</v>
      </c>
      <c r="J137" s="30" t="n">
        <f aca="false">INDEX(Discount_Monthly!$G$4:$G$664,MATCH(A137,Discount_Monthly!$A$4:$A$664,0))</f>
        <v>0.730864431900494</v>
      </c>
      <c r="K137" s="30" t="n">
        <f aca="false">IF(C137&lt;Assumptions!$B$5,I137*J137,0)</f>
        <v>0.567091048714281</v>
      </c>
      <c r="L137" s="30" t="n">
        <f aca="false">IF(C137&lt;Assumptions!$B$5,I137*(1-F137)*H137*A137*J137,0)</f>
        <v>0.0560701789587927</v>
      </c>
      <c r="M137" s="30" t="n">
        <f aca="false">IF(A137=0,Assumptions!$B$14*12*I137*J137,IF(AND(A137&gt;=12,C137&lt;Assumptions!$B$5),Assumptions!$B$15*I137*J137,0))</f>
        <v>0.028354552435714</v>
      </c>
      <c r="N137" s="47" t="n">
        <f aca="false">IF(C137&gt;=Assumptions!$B$5,I137*Assumptions!$B$9/12*(1+Assumptions!$B$10)^INT(A137/12)*J137,0)</f>
        <v>0</v>
      </c>
      <c r="O137" s="47" t="n">
        <f aca="false">I137*Assumptions!$B$12/12*(1+Assumptions!$B$11)^(INT(A137/12)+1)*J137</f>
        <v>4.96048399184357</v>
      </c>
      <c r="P137" s="47" t="n">
        <f aca="false">O137+Pricing_M!$B$13*M137+N137-Pricing_M!$B$13*K137</f>
        <v>-535.53441845019</v>
      </c>
      <c r="Q137" s="47" t="n">
        <f aca="false">IF(C137&lt;Assumptions!$B$5,Pricing_M!$B$13*K137-Pricing_M!$B$13*M137-O137,-(N137+O137))</f>
        <v>535.53441845019</v>
      </c>
      <c r="R137" s="32" t="n">
        <f aca="false">R136*(1-(1-(1-MIN(1,E136*(1-Assumptions!$B$21)))^(1/12)))*(1-H136)</f>
        <v>0.791151798554717</v>
      </c>
      <c r="S137" s="47" t="n">
        <f aca="false">R137*(IF(C137&lt;Assumptions!$B$5,Assumptions!$B$12*(1+Assumptions!$B$11)^(INT(A137/12)+1)/12+Pricing_M!$B$13*IF(A137=0,Assumptions!$B$14*12,IF(A137&gt;=12,Assumptions!$B$15,0))-Pricing_M!$B$13,Assumptions!$B$9/12*(1+Assumptions!$B$10)^INT(A137/12)+Assumptions!$B$12*(1+Assumptions!$B$11)^(INT(A137/12)+1)/12))*J137</f>
        <v>-546.048530297086</v>
      </c>
      <c r="T137" s="32" t="n">
        <f aca="false">T136*(1-F136)*(1-(1-(1-MIN(1,G136*(1+Assumptions!$B$23)))^(1/12)))</f>
        <v>0.716496930616442</v>
      </c>
      <c r="U137" s="47" t="n">
        <f aca="false">T137*(IF(C137&lt;Assumptions!$B$5,Assumptions!$B$12*(1+Assumptions!$B$11)^(INT(A137/12)+1)/12+Pricing_M!$B$13*IF(A137=0,Assumptions!$B$14*12,IF(A137&gt;=12,Assumptions!$B$15,0))-Pricing_M!$B$13,Assumptions!$B$9/12*(1+Assumptions!$B$10)^INT(A137/12)+Assumptions!$B$12*(1+Assumptions!$B$11)^(INT(A137/12)+1)/12))*J137</f>
        <v>-494.522159515034</v>
      </c>
      <c r="V137" s="32" t="n">
        <f aca="false">V136*(1-F136)*(1-(1-(1-MIN(1,G136*(1-Assumptions!$B$23)))^(1/12)))</f>
        <v>0.839570356088038</v>
      </c>
      <c r="W137" s="47" t="n">
        <f aca="false">V137*(IF(C137&lt;Assumptions!$B$5,Assumptions!$B$12*(1+Assumptions!$B$11)^(INT(A137/12)+1)/12+Pricing_M!$B$13*IF(A137=0,Assumptions!$B$14*12,IF(A137&gt;=12,Assumptions!$B$15,0))-Pricing_M!$B$13,Assumptions!$B$9/12*(1+Assumptions!$B$10)^INT(A137/12)+Assumptions!$B$12*(1+Assumptions!$B$11)^(INT(A137/12)+1)/12))*J137</f>
        <v>-579.466746913005</v>
      </c>
      <c r="X137" s="47" t="n">
        <f aca="false">I137*(IF(C137&lt;Assumptions!$B$5,Assumptions!$B$12*(1+Assumptions!$B$11)*(1+Assumptions!$B$24)*(1+Assumptions!$B$11+Assumptions!$B$25)^(INT(A137/12))/12+Pricing_M!$B$13*IF(A137=0,Assumptions!$B$14*12,IF(A137&gt;=12,Assumptions!$B$15,0))-Pricing_M!$B$13,Assumptions!$B$9/12*(1+Assumptions!$B$10)^INT(A137/12)+Assumptions!$B$12*(1+Assumptions!$B$11)*(1+Assumptions!$B$24)*(1+Assumptions!$B$11+Assumptions!$B$25)^(INT(A137/12))/12))*J137</f>
        <v>-534.482035664625</v>
      </c>
    </row>
    <row r="138" customFormat="false" ht="15" hidden="false" customHeight="true" outlineLevel="0" collapsed="false">
      <c r="A138" s="1" t="n">
        <v>131</v>
      </c>
      <c r="B138" s="31" t="n">
        <f aca="false">Assumptions!$B$4+A138/12</f>
        <v>75.9166666666667</v>
      </c>
      <c r="C138" s="34" t="n">
        <f aca="false">Assumptions!$B$4+INT(A138/12)</f>
        <v>75</v>
      </c>
      <c r="D138" s="34" t="n">
        <f aca="false">INT(A138/12)+1</f>
        <v>11</v>
      </c>
      <c r="E138" s="32" t="n">
        <f aca="false">IFERROR(INDEX(Cohort_Survival!$G$5:$G$65,MATCH(C138,Cohort_Survival!$A$5:$A$65,0)),1)</f>
        <v>0.0148782794079833</v>
      </c>
      <c r="F138" s="30" t="n">
        <f aca="false">1-(1-MIN(1,E138))^(1/12)</f>
        <v>0.00124839271197852</v>
      </c>
      <c r="G138" s="39" t="n">
        <f aca="false">IF(C138&lt;Assumptions!$B$5,IF(D138=1,Assumptions!$B$16,IF(D138=2,Assumptions!$B$17,IF(D138&lt;=5,Assumptions!$B$18,Assumptions!$B$19)))*(1-Assumptions!$B$20),0)</f>
        <v>0.0091</v>
      </c>
      <c r="H138" s="30" t="n">
        <f aca="false">1-(1-G138)^(1/12)</f>
        <v>0.000761514726814627</v>
      </c>
      <c r="I138" s="30" t="n">
        <f aca="false">I137*(1-F137)*(1-H137)</f>
        <v>0.77435946067516</v>
      </c>
      <c r="J138" s="30" t="n">
        <f aca="false">INDEX(Discount_Monthly!$G$4:$G$664,MATCH(A138,Discount_Monthly!$A$4:$A$664,0))</f>
        <v>0.728924098063155</v>
      </c>
      <c r="K138" s="30" t="n">
        <f aca="false">IF(C138&lt;Assumptions!$B$5,I138*J138,0)</f>
        <v>0.564449271449313</v>
      </c>
      <c r="L138" s="30" t="n">
        <f aca="false">IF(C138&lt;Assumptions!$B$5,I138*(1-F138)*H138*A138*J138,0)</f>
        <v>0.0562382774782773</v>
      </c>
      <c r="M138" s="30" t="n">
        <f aca="false">IF(A138=0,Assumptions!$B$14*12*I138*J138,IF(AND(A138&gt;=12,C138&lt;Assumptions!$B$5),Assumptions!$B$15*I138*J138,0))</f>
        <v>0.0282224635724656</v>
      </c>
      <c r="N138" s="47" t="n">
        <f aca="false">IF(C138&gt;=Assumptions!$B$5,I138*Assumptions!$B$9/12*(1+Assumptions!$B$10)^INT(A138/12)*J138,0)</f>
        <v>0</v>
      </c>
      <c r="O138" s="47" t="n">
        <f aca="false">I138*Assumptions!$B$12/12*(1+Assumptions!$B$11)^(INT(A138/12)+1)*J138</f>
        <v>4.93737572049525</v>
      </c>
      <c r="P138" s="47" t="n">
        <f aca="false">O138+Pricing_M!$B$13*M138+N138-Pricing_M!$B$13*K138</f>
        <v>-533.039646835513</v>
      </c>
      <c r="Q138" s="47" t="n">
        <f aca="false">IF(C138&lt;Assumptions!$B$5,Pricing_M!$B$13*K138-Pricing_M!$B$13*M138-O138,-(N138+O138))</f>
        <v>533.039646835513</v>
      </c>
      <c r="R138" s="32" t="n">
        <f aca="false">R137*(1-(1-(1-MIN(1,E137*(1-Assumptions!$B$21)))^(1/12)))*(1-H137)</f>
        <v>0.789760880002976</v>
      </c>
      <c r="S138" s="47" t="n">
        <f aca="false">R138*(IF(C138&lt;Assumptions!$B$5,Assumptions!$B$12*(1+Assumptions!$B$11)^(INT(A138/12)+1)/12+Pricing_M!$B$13*IF(A138=0,Assumptions!$B$14*12,IF(A138&gt;=12,Assumptions!$B$15,0))-Pricing_M!$B$13,Assumptions!$B$9/12*(1+Assumptions!$B$10)^INT(A138/12)+Assumptions!$B$12*(1+Assumptions!$B$11)^(INT(A138/12)+1)/12))*J138</f>
        <v>-543.641399039982</v>
      </c>
      <c r="T138" s="32" t="n">
        <f aca="false">T137*(1-F137)*(1-(1-(1-MIN(1,G137*(1+Assumptions!$B$23)))^(1/12)))</f>
        <v>0.714783325838605</v>
      </c>
      <c r="U138" s="47" t="n">
        <f aca="false">T138*(IF(C138&lt;Assumptions!$B$5,Assumptions!$B$12*(1+Assumptions!$B$11)^(INT(A138/12)+1)/12+Pricing_M!$B$13*IF(A138=0,Assumptions!$B$14*12,IF(A138&gt;=12,Assumptions!$B$15,0))-Pricing_M!$B$13,Assumptions!$B$9/12*(1+Assumptions!$B$10)^INT(A138/12)+Assumptions!$B$12*(1+Assumptions!$B$11)^(INT(A138/12)+1)/12))*J138</f>
        <v>-492.029697986417</v>
      </c>
      <c r="V138" s="32" t="n">
        <f aca="false">V137*(1-F137)*(1-(1-(1-MIN(1,G137*(1-Assumptions!$B$23)))^(1/12)))</f>
        <v>0.838203637920118</v>
      </c>
      <c r="W138" s="47" t="n">
        <f aca="false">V138*(IF(C138&lt;Assumptions!$B$5,Assumptions!$B$12*(1+Assumptions!$B$11)^(INT(A138/12)+1)/12+Pricing_M!$B$13*IF(A138=0,Assumptions!$B$14*12,IF(A138&gt;=12,Assumptions!$B$15,0))-Pricing_M!$B$13,Assumptions!$B$9/12*(1+Assumptions!$B$10)^INT(A138/12)+Assumptions!$B$12*(1+Assumptions!$B$11)^(INT(A138/12)+1)/12))*J138</f>
        <v>-576.987554001888</v>
      </c>
      <c r="X138" s="47" t="n">
        <f aca="false">I138*(IF(C138&lt;Assumptions!$B$5,Assumptions!$B$12*(1+Assumptions!$B$11)*(1+Assumptions!$B$24)*(1+Assumptions!$B$11+Assumptions!$B$25)^(INT(A138/12))/12+Pricing_M!$B$13*IF(A138=0,Assumptions!$B$14*12,IF(A138&gt;=12,Assumptions!$B$15,0))-Pricing_M!$B$13,Assumptions!$B$9/12*(1+Assumptions!$B$10)^INT(A138/12)+Assumptions!$B$12*(1+Assumptions!$B$11)*(1+Assumptions!$B$24)*(1+Assumptions!$B$11+Assumptions!$B$25)^(INT(A138/12))/12))*J138</f>
        <v>-531.992166544747</v>
      </c>
    </row>
    <row r="139" customFormat="false" ht="15" hidden="false" customHeight="true" outlineLevel="0" collapsed="false">
      <c r="A139" s="1" t="n">
        <v>132</v>
      </c>
      <c r="B139" s="31" t="n">
        <f aca="false">Assumptions!$B$4+A139/12</f>
        <v>76</v>
      </c>
      <c r="C139" s="34" t="n">
        <f aca="false">Assumptions!$B$4+INT(A139/12)</f>
        <v>76</v>
      </c>
      <c r="D139" s="34" t="n">
        <f aca="false">INT(A139/12)+1</f>
        <v>12</v>
      </c>
      <c r="E139" s="32" t="n">
        <f aca="false">IFERROR(INDEX(Cohort_Survival!$G$5:$G$65,MATCH(C139,Cohort_Survival!$A$5:$A$65,0)),1)</f>
        <v>0.0166139469666426</v>
      </c>
      <c r="F139" s="30" t="n">
        <f aca="false">1-(1-MIN(1,E139))^(1/12)</f>
        <v>0.00139515141172952</v>
      </c>
      <c r="G139" s="39" t="n">
        <f aca="false">IF(C139&lt;Assumptions!$B$5,IF(D139=1,Assumptions!$B$16,IF(D139=2,Assumptions!$B$17,IF(D139&lt;=5,Assumptions!$B$18,Assumptions!$B$19)))*(1-Assumptions!$B$20),0)</f>
        <v>0.0091</v>
      </c>
      <c r="H139" s="30" t="n">
        <f aca="false">1-(1-G139)^(1/12)</f>
        <v>0.000761514726814627</v>
      </c>
      <c r="I139" s="30" t="n">
        <f aca="false">I138*(1-F138)*(1-H138)</f>
        <v>0.77280380599472</v>
      </c>
      <c r="J139" s="30" t="n">
        <f aca="false">INDEX(Discount_Monthly!$G$4:$G$664,MATCH(A139,Discount_Monthly!$A$4:$A$664,0))</f>
        <v>0.726988915516858</v>
      </c>
      <c r="K139" s="30" t="n">
        <f aca="false">IF(C139&lt;Assumptions!$B$5,I139*J139,0)</f>
        <v>0.561819800827402</v>
      </c>
      <c r="L139" s="30" t="n">
        <f aca="false">IF(C139&lt;Assumptions!$B$5,I139*(1-F139)*H139*A139*J139,0)</f>
        <v>0.0563953049700862</v>
      </c>
      <c r="M139" s="30" t="n">
        <f aca="false">IF(A139=0,Assumptions!$B$14*12*I139*J139,IF(AND(A139&gt;=12,C139&lt;Assumptions!$B$5),Assumptions!$B$15*I139*J139,0))</f>
        <v>0.0280909900413701</v>
      </c>
      <c r="N139" s="47" t="n">
        <f aca="false">IF(C139&gt;=Assumptions!$B$5,I139*Assumptions!$B$9/12*(1+Assumptions!$B$10)^INT(A139/12)*J139,0)</f>
        <v>0</v>
      </c>
      <c r="O139" s="47" t="n">
        <f aca="false">I139*Assumptions!$B$12/12*(1+Assumptions!$B$11)^(INT(A139/12)+1)*J139</f>
        <v>5.03723447582035</v>
      </c>
      <c r="P139" s="47" t="n">
        <f aca="false">O139+Pricing_M!$B$13*M139+N139-Pricing_M!$B$13*K139</f>
        <v>-530.43363766486</v>
      </c>
      <c r="Q139" s="47" t="n">
        <f aca="false">IF(C139&lt;Assumptions!$B$5,Pricing_M!$B$13*K139-Pricing_M!$B$13*M139-O139,-(N139+O139))</f>
        <v>530.43363766486</v>
      </c>
      <c r="R139" s="32" t="n">
        <f aca="false">R138*(1-(1-(1-MIN(1,E138*(1-Assumptions!$B$21)))^(1/12)))*(1-H138)</f>
        <v>0.788372406815603</v>
      </c>
      <c r="S139" s="47" t="n">
        <f aca="false">R139*(IF(C139&lt;Assumptions!$B$5,Assumptions!$B$12*(1+Assumptions!$B$11)^(INT(A139/12)+1)/12+Pricing_M!$B$13*IF(A139=0,Assumptions!$B$14*12,IF(A139&gt;=12,Assumptions!$B$15,0))-Pricing_M!$B$13,Assumptions!$B$9/12*(1+Assumptions!$B$10)^INT(A139/12)+Assumptions!$B$12*(1+Assumptions!$B$11)^(INT(A139/12)+1)/12))*J139</f>
        <v>-541.119544621728</v>
      </c>
      <c r="T139" s="32" t="n">
        <f aca="false">T138*(1-F138)*(1-(1-(1-MIN(1,G138*(1+Assumptions!$B$23)))^(1/12)))</f>
        <v>0.713073819391423</v>
      </c>
      <c r="U139" s="47" t="n">
        <f aca="false">T139*(IF(C139&lt;Assumptions!$B$5,Assumptions!$B$12*(1+Assumptions!$B$11)^(INT(A139/12)+1)/12+Pricing_M!$B$13*IF(A139=0,Assumptions!$B$14*12,IF(A139&gt;=12,Assumptions!$B$15,0))-Pricing_M!$B$13,Assumptions!$B$9/12*(1+Assumptions!$B$10)^INT(A139/12)+Assumptions!$B$12*(1+Assumptions!$B$11)^(INT(A139/12)+1)/12))*J139</f>
        <v>-489.436435236646</v>
      </c>
      <c r="V139" s="32" t="n">
        <f aca="false">V138*(1-F138)*(1-(1-(1-MIN(1,G138*(1-Assumptions!$B$23)))^(1/12)))</f>
        <v>0.836839144602727</v>
      </c>
      <c r="W139" s="47" t="n">
        <f aca="false">V139*(IF(C139&lt;Assumptions!$B$5,Assumptions!$B$12*(1+Assumptions!$B$11)^(INT(A139/12)+1)/12+Pricing_M!$B$13*IF(A139=0,Assumptions!$B$14*12,IF(A139&gt;=12,Assumptions!$B$15,0))-Pricing_M!$B$13,Assumptions!$B$9/12*(1+Assumptions!$B$10)^INT(A139/12)+Assumptions!$B$12*(1+Assumptions!$B$11)^(INT(A139/12)+1)/12))*J139</f>
        <v>-574.385928444829</v>
      </c>
      <c r="X139" s="47" t="n">
        <f aca="false">I139*(IF(C139&lt;Assumptions!$B$5,Assumptions!$B$12*(1+Assumptions!$B$11)*(1+Assumptions!$B$24)*(1+Assumptions!$B$11+Assumptions!$B$25)^(INT(A139/12))/12+Pricing_M!$B$13*IF(A139=0,Assumptions!$B$14*12,IF(A139&gt;=12,Assumptions!$B$15,0))-Pricing_M!$B$13,Assumptions!$B$9/12*(1+Assumptions!$B$10)^INT(A139/12)+Assumptions!$B$12*(1+Assumptions!$B$11)*(1+Assumptions!$B$24)*(1+Assumptions!$B$11+Assumptions!$B$25)^(INT(A139/12))/12))*J139</f>
        <v>-529.305402257586</v>
      </c>
    </row>
    <row r="140" customFormat="false" ht="15" hidden="false" customHeight="true" outlineLevel="0" collapsed="false">
      <c r="A140" s="1" t="n">
        <v>133</v>
      </c>
      <c r="B140" s="31" t="n">
        <f aca="false">Assumptions!$B$4+A140/12</f>
        <v>76.0833333333333</v>
      </c>
      <c r="C140" s="34" t="n">
        <f aca="false">Assumptions!$B$4+INT(A140/12)</f>
        <v>76</v>
      </c>
      <c r="D140" s="34" t="n">
        <f aca="false">INT(A140/12)+1</f>
        <v>12</v>
      </c>
      <c r="E140" s="32" t="n">
        <f aca="false">IFERROR(INDEX(Cohort_Survival!$G$5:$G$65,MATCH(C140,Cohort_Survival!$A$5:$A$65,0)),1)</f>
        <v>0.0166139469666426</v>
      </c>
      <c r="F140" s="30" t="n">
        <f aca="false">1-(1-MIN(1,E140))^(1/12)</f>
        <v>0.00139515141172952</v>
      </c>
      <c r="G140" s="39" t="n">
        <f aca="false">IF(C140&lt;Assumptions!$B$5,IF(D140=1,Assumptions!$B$16,IF(D140=2,Assumptions!$B$17,IF(D140&lt;=5,Assumptions!$B$18,Assumptions!$B$19)))*(1-Assumptions!$B$20),0)</f>
        <v>0.0091</v>
      </c>
      <c r="H140" s="30" t="n">
        <f aca="false">1-(1-G140)^(1/12)</f>
        <v>0.000761514726814627</v>
      </c>
      <c r="I140" s="30" t="n">
        <f aca="false">I139*(1-F139)*(1-H139)</f>
        <v>0.771137947243263</v>
      </c>
      <c r="J140" s="30" t="n">
        <f aca="false">INDEX(Discount_Monthly!$G$4:$G$664,MATCH(A140,Discount_Monthly!$A$4:$A$664,0))</f>
        <v>0.724875878829684</v>
      </c>
      <c r="K140" s="30" t="n">
        <f aca="false">IF(C140&lt;Assumptions!$B$5,I140*J140,0)</f>
        <v>0.558979297206879</v>
      </c>
      <c r="L140" s="30" t="n">
        <f aca="false">IF(C140&lt;Assumptions!$B$5,I140*(1-F140)*H140*A140*J140,0)</f>
        <v>0.0565352531505149</v>
      </c>
      <c r="M140" s="30" t="n">
        <f aca="false">IF(A140=0,Assumptions!$B$14*12*I140*J140,IF(AND(A140&gt;=12,C140&lt;Assumptions!$B$5),Assumptions!$B$15*I140*J140,0))</f>
        <v>0.0279489648603439</v>
      </c>
      <c r="N140" s="47" t="n">
        <f aca="false">IF(C140&gt;=Assumptions!$B$5,I140*Assumptions!$B$9/12*(1+Assumptions!$B$10)^INT(A140/12)*J140,0)</f>
        <v>0</v>
      </c>
      <c r="O140" s="47" t="n">
        <f aca="false">I140*Assumptions!$B$12/12*(1+Assumptions!$B$11)^(INT(A140/12)+1)*J140</f>
        <v>5.01176673199054</v>
      </c>
      <c r="P140" s="47" t="n">
        <f aca="false">O140+Pricing_M!$B$13*M140+N140-Pricing_M!$B$13*K140</f>
        <v>-527.751819284634</v>
      </c>
      <c r="Q140" s="47" t="n">
        <f aca="false">IF(C140&lt;Assumptions!$B$5,Pricing_M!$B$13*K140-Pricing_M!$B$13*M140-O140,-(N140+O140))</f>
        <v>527.751819284634</v>
      </c>
      <c r="R140" s="32" t="n">
        <f aca="false">R139*(1-(1-(1-MIN(1,E139*(1-Assumptions!$B$21)))^(1/12)))*(1-H139)</f>
        <v>0.78689415522068</v>
      </c>
      <c r="S140" s="47" t="n">
        <f aca="false">R140*(IF(C140&lt;Assumptions!$B$5,Assumptions!$B$12*(1+Assumptions!$B$11)^(INT(A140/12)+1)/12+Pricing_M!$B$13*IF(A140=0,Assumptions!$B$14*12,IF(A140&gt;=12,Assumptions!$B$15,0))-Pricing_M!$B$13,Assumptions!$B$9/12*(1+Assumptions!$B$10)^INT(A140/12)+Assumptions!$B$12*(1+Assumptions!$B$11)^(INT(A140/12)+1)/12))*J140</f>
        <v>-538.535061705573</v>
      </c>
      <c r="T140" s="32" t="n">
        <f aca="false">T139*(1-F139)*(1-(1-(1-MIN(1,G139*(1+Assumptions!$B$23)))^(1/12)))</f>
        <v>0.711263871477023</v>
      </c>
      <c r="U140" s="47" t="n">
        <f aca="false">T140*(IF(C140&lt;Assumptions!$B$5,Assumptions!$B$12*(1+Assumptions!$B$11)^(INT(A140/12)+1)/12+Pricing_M!$B$13*IF(A140=0,Assumptions!$B$14*12,IF(A140&gt;=12,Assumptions!$B$15,0))-Pricing_M!$B$13,Assumptions!$B$9/12*(1+Assumptions!$B$10)^INT(A140/12)+Assumptions!$B$12*(1+Assumptions!$B$11)^(INT(A140/12)+1)/12))*J140</f>
        <v>-486.775165851119</v>
      </c>
      <c r="V140" s="32" t="n">
        <f aca="false">V139*(1-F139)*(1-(1-(1-MIN(1,G139*(1-Assumptions!$B$23)))^(1/12)))</f>
        <v>0.835354105753467</v>
      </c>
      <c r="W140" s="47" t="n">
        <f aca="false">V140*(IF(C140&lt;Assumptions!$B$5,Assumptions!$B$12*(1+Assumptions!$B$11)^(INT(A140/12)+1)/12+Pricing_M!$B$13*IF(A140=0,Assumptions!$B$14*12,IF(A140&gt;=12,Assumptions!$B$15,0))-Pricing_M!$B$13,Assumptions!$B$9/12*(1+Assumptions!$B$10)^INT(A140/12)+Assumptions!$B$12*(1+Assumptions!$B$11)^(INT(A140/12)+1)/12))*J140</f>
        <v>-571.700109733035</v>
      </c>
      <c r="X140" s="47" t="n">
        <f aca="false">I140*(IF(C140&lt;Assumptions!$B$5,Assumptions!$B$12*(1+Assumptions!$B$11)*(1+Assumptions!$B$24)*(1+Assumptions!$B$11+Assumptions!$B$25)^(INT(A140/12))/12+Pricing_M!$B$13*IF(A140=0,Assumptions!$B$14*12,IF(A140&gt;=12,Assumptions!$B$15,0))-Pricing_M!$B$13,Assumptions!$B$9/12*(1+Assumptions!$B$10)^INT(A140/12)+Assumptions!$B$12*(1+Assumptions!$B$11)*(1+Assumptions!$B$24)*(1+Assumptions!$B$11+Assumptions!$B$25)^(INT(A140/12))/12))*J140</f>
        <v>-526.629288120525</v>
      </c>
    </row>
    <row r="141" customFormat="false" ht="15" hidden="false" customHeight="true" outlineLevel="0" collapsed="false">
      <c r="A141" s="1" t="n">
        <v>134</v>
      </c>
      <c r="B141" s="31" t="n">
        <f aca="false">Assumptions!$B$4+A141/12</f>
        <v>76.1666666666667</v>
      </c>
      <c r="C141" s="34" t="n">
        <f aca="false">Assumptions!$B$4+INT(A141/12)</f>
        <v>76</v>
      </c>
      <c r="D141" s="34" t="n">
        <f aca="false">INT(A141/12)+1</f>
        <v>12</v>
      </c>
      <c r="E141" s="32" t="n">
        <f aca="false">IFERROR(INDEX(Cohort_Survival!$G$5:$G$65,MATCH(C141,Cohort_Survival!$A$5:$A$65,0)),1)</f>
        <v>0.0166139469666426</v>
      </c>
      <c r="F141" s="30" t="n">
        <f aca="false">1-(1-MIN(1,E141))^(1/12)</f>
        <v>0.00139515141172952</v>
      </c>
      <c r="G141" s="39" t="n">
        <f aca="false">IF(C141&lt;Assumptions!$B$5,IF(D141=1,Assumptions!$B$16,IF(D141=2,Assumptions!$B$17,IF(D141&lt;=5,Assumptions!$B$18,Assumptions!$B$19)))*(1-Assumptions!$B$20),0)</f>
        <v>0.0091</v>
      </c>
      <c r="H141" s="30" t="n">
        <f aca="false">1-(1-G141)^(1/12)</f>
        <v>0.000761514726814627</v>
      </c>
      <c r="I141" s="30" t="n">
        <f aca="false">I140*(1-F140)*(1-H140)</f>
        <v>0.769475679423111</v>
      </c>
      <c r="J141" s="30" t="n">
        <f aca="false">INDEX(Discount_Monthly!$G$4:$G$664,MATCH(A141,Discount_Monthly!$A$4:$A$664,0))</f>
        <v>0.7227689838098</v>
      </c>
      <c r="K141" s="30" t="n">
        <f aca="false">IF(C141&lt;Assumptions!$B$5,I141*J141,0)</f>
        <v>0.556153154882997</v>
      </c>
      <c r="L141" s="30" t="n">
        <f aca="false">IF(C141&lt;Assumptions!$B$5,I141*(1-F141)*H141*A141*J141,0)</f>
        <v>0.0566723446207888</v>
      </c>
      <c r="M141" s="30" t="n">
        <f aca="false">IF(A141=0,Assumptions!$B$14*12*I141*J141,IF(AND(A141&gt;=12,C141&lt;Assumptions!$B$5),Assumptions!$B$15*I141*J141,0))</f>
        <v>0.0278076577441498</v>
      </c>
      <c r="N141" s="47" t="n">
        <f aca="false">IF(C141&gt;=Assumptions!$B$5,I141*Assumptions!$B$9/12*(1+Assumptions!$B$10)^INT(A141/12)*J141,0)</f>
        <v>0</v>
      </c>
      <c r="O141" s="47" t="n">
        <f aca="false">I141*Assumptions!$B$12/12*(1+Assumptions!$B$11)^(INT(A141/12)+1)*J141</f>
        <v>4.98642775047642</v>
      </c>
      <c r="P141" s="47" t="n">
        <f aca="false">O141+Pricing_M!$B$13*M141+N141-Pricing_M!$B$13*K141</f>
        <v>-525.083559904655</v>
      </c>
      <c r="Q141" s="47" t="n">
        <f aca="false">IF(C141&lt;Assumptions!$B$5,Pricing_M!$B$13*K141-Pricing_M!$B$13*M141-O141,-(N141+O141))</f>
        <v>525.083559904655</v>
      </c>
      <c r="R141" s="32" t="n">
        <f aca="false">R140*(1-(1-(1-MIN(1,E140*(1-Assumptions!$B$21)))^(1/12)))*(1-H140)</f>
        <v>0.785418675447499</v>
      </c>
      <c r="S141" s="47" t="n">
        <f aca="false">R141*(IF(C141&lt;Assumptions!$B$5,Assumptions!$B$12*(1+Assumptions!$B$11)^(INT(A141/12)+1)/12+Pricing_M!$B$13*IF(A141=0,Assumptions!$B$14*12,IF(A141&gt;=12,Assumptions!$B$15,0))-Pricing_M!$B$13,Assumptions!$B$9/12*(1+Assumptions!$B$10)^INT(A141/12)+Assumptions!$B$12*(1+Assumptions!$B$11)^(INT(A141/12)+1)/12))*J141</f>
        <v>-535.962922738199</v>
      </c>
      <c r="T141" s="32" t="n">
        <f aca="false">T140*(1-F140)*(1-(1-(1-MIN(1,G140*(1+Assumptions!$B$23)))^(1/12)))</f>
        <v>0.7094585176332</v>
      </c>
      <c r="U141" s="47" t="n">
        <f aca="false">T141*(IF(C141&lt;Assumptions!$B$5,Assumptions!$B$12*(1+Assumptions!$B$11)^(INT(A141/12)+1)/12+Pricing_M!$B$13*IF(A141=0,Assumptions!$B$14*12,IF(A141&gt;=12,Assumptions!$B$15,0))-Pricing_M!$B$13,Assumptions!$B$9/12*(1+Assumptions!$B$10)^INT(A141/12)+Assumptions!$B$12*(1+Assumptions!$B$11)^(INT(A141/12)+1)/12))*J141</f>
        <v>-484.128366893686</v>
      </c>
      <c r="V141" s="32" t="n">
        <f aca="false">V140*(1-F140)*(1-(1-(1-MIN(1,G140*(1-Assumptions!$B$23)))^(1/12)))</f>
        <v>0.83387170222594</v>
      </c>
      <c r="W141" s="47" t="n">
        <f aca="false">V141*(IF(C141&lt;Assumptions!$B$5,Assumptions!$B$12*(1+Assumptions!$B$11)^(INT(A141/12)+1)/12+Pricing_M!$B$13*IF(A141=0,Assumptions!$B$14*12,IF(A141&gt;=12,Assumptions!$B$15,0))-Pricing_M!$B$13,Assumptions!$B$9/12*(1+Assumptions!$B$10)^INT(A141/12)+Assumptions!$B$12*(1+Assumptions!$B$11)^(INT(A141/12)+1)/12))*J141</f>
        <v>-569.026849863295</v>
      </c>
      <c r="X141" s="47" t="n">
        <f aca="false">I141*(IF(C141&lt;Assumptions!$B$5,Assumptions!$B$12*(1+Assumptions!$B$11)*(1+Assumptions!$B$24)*(1+Assumptions!$B$11+Assumptions!$B$25)^(INT(A141/12))/12+Pricing_M!$B$13*IF(A141=0,Assumptions!$B$14*12,IF(A141&gt;=12,Assumptions!$B$15,0))-Pricing_M!$B$13,Assumptions!$B$9/12*(1+Assumptions!$B$10)^INT(A141/12)+Assumptions!$B$12*(1+Assumptions!$B$11)*(1+Assumptions!$B$24)*(1+Assumptions!$B$11+Assumptions!$B$25)^(INT(A141/12))/12))*J141</f>
        <v>-523.96670414364</v>
      </c>
    </row>
    <row r="142" customFormat="false" ht="15" hidden="false" customHeight="true" outlineLevel="0" collapsed="false">
      <c r="A142" s="1" t="n">
        <v>135</v>
      </c>
      <c r="B142" s="31" t="n">
        <f aca="false">Assumptions!$B$4+A142/12</f>
        <v>76.25</v>
      </c>
      <c r="C142" s="34" t="n">
        <f aca="false">Assumptions!$B$4+INT(A142/12)</f>
        <v>76</v>
      </c>
      <c r="D142" s="34" t="n">
        <f aca="false">INT(A142/12)+1</f>
        <v>12</v>
      </c>
      <c r="E142" s="32" t="n">
        <f aca="false">IFERROR(INDEX(Cohort_Survival!$G$5:$G$65,MATCH(C142,Cohort_Survival!$A$5:$A$65,0)),1)</f>
        <v>0.0166139469666426</v>
      </c>
      <c r="F142" s="30" t="n">
        <f aca="false">1-(1-MIN(1,E142))^(1/12)</f>
        <v>0.00139515141172952</v>
      </c>
      <c r="G142" s="39" t="n">
        <f aca="false">IF(C142&lt;Assumptions!$B$5,IF(D142=1,Assumptions!$B$16,IF(D142=2,Assumptions!$B$17,IF(D142&lt;=5,Assumptions!$B$18,Assumptions!$B$19)))*(1-Assumptions!$B$20),0)</f>
        <v>0.0091</v>
      </c>
      <c r="H142" s="30" t="n">
        <f aca="false">1-(1-G142)^(1/12)</f>
        <v>0.000761514726814627</v>
      </c>
      <c r="I142" s="30" t="n">
        <f aca="false">I141*(1-F141)*(1-H141)</f>
        <v>0.767816994793639</v>
      </c>
      <c r="J142" s="30" t="n">
        <f aca="false">INDEX(Discount_Monthly!$G$4:$G$664,MATCH(A142,Discount_Monthly!$A$4:$A$664,0))</f>
        <v>0.72066821260608</v>
      </c>
      <c r="K142" s="30" t="n">
        <f aca="false">IF(C142&lt;Assumptions!$B$5,I142*J142,0)</f>
        <v>0.553341301246504</v>
      </c>
      <c r="L142" s="30" t="n">
        <f aca="false">IF(C142&lt;Assumptions!$B$5,I142*(1-F142)*H142*A142*J142,0)</f>
        <v>0.0568066046900083</v>
      </c>
      <c r="M142" s="30" t="n">
        <f aca="false">IF(A142=0,Assumptions!$B$14*12*I142*J142,IF(AND(A142&gt;=12,C142&lt;Assumptions!$B$5),Assumptions!$B$15*I142*J142,0))</f>
        <v>0.0276670650623252</v>
      </c>
      <c r="N142" s="47" t="n">
        <f aca="false">IF(C142&gt;=Assumptions!$B$5,I142*Assumptions!$B$9/12*(1+Assumptions!$B$10)^INT(A142/12)*J142,0)</f>
        <v>0</v>
      </c>
      <c r="O142" s="47" t="n">
        <f aca="false">I142*Assumptions!$B$12/12*(1+Assumptions!$B$11)^(INT(A142/12)+1)*J142</f>
        <v>4.96121688026884</v>
      </c>
      <c r="P142" s="47" t="n">
        <f aca="false">O142+Pricing_M!$B$13*M142+N142-Pricing_M!$B$13*K142</f>
        <v>-522.428790972002</v>
      </c>
      <c r="Q142" s="47" t="n">
        <f aca="false">IF(C142&lt;Assumptions!$B$5,Pricing_M!$B$13*K142-Pricing_M!$B$13*M142-O142,-(N142+O142))</f>
        <v>522.428790972002</v>
      </c>
      <c r="R142" s="32" t="n">
        <f aca="false">R141*(1-(1-(1-MIN(1,E141*(1-Assumptions!$B$21)))^(1/12)))*(1-H141)</f>
        <v>0.783945962298707</v>
      </c>
      <c r="S142" s="47" t="n">
        <f aca="false">R142*(IF(C142&lt;Assumptions!$B$5,Assumptions!$B$12*(1+Assumptions!$B$11)^(INT(A142/12)+1)/12+Pricing_M!$B$13*IF(A142=0,Assumptions!$B$14*12,IF(A142&gt;=12,Assumptions!$B$15,0))-Pricing_M!$B$13,Assumptions!$B$9/12*(1+Assumptions!$B$10)^INT(A142/12)+Assumptions!$B$12*(1+Assumptions!$B$11)^(INT(A142/12)+1)/12))*J142</f>
        <v>-533.403068762719</v>
      </c>
      <c r="T142" s="32" t="n">
        <f aca="false">T141*(1-F141)*(1-(1-(1-MIN(1,G141*(1+Assumptions!$B$23)))^(1/12)))</f>
        <v>0.707657746199129</v>
      </c>
      <c r="U142" s="47" t="n">
        <f aca="false">T142*(IF(C142&lt;Assumptions!$B$5,Assumptions!$B$12*(1+Assumptions!$B$11)^(INT(A142/12)+1)/12+Pricing_M!$B$13*IF(A142=0,Assumptions!$B$14*12,IF(A142&gt;=12,Assumptions!$B$15,0))-Pricing_M!$B$13,Assumptions!$B$9/12*(1+Assumptions!$B$10)^INT(A142/12)+Assumptions!$B$12*(1+Assumptions!$B$11)^(INT(A142/12)+1)/12))*J142</f>
        <v>-481.495959682613</v>
      </c>
      <c r="V142" s="32" t="n">
        <f aca="false">V141*(1-F141)*(1-(1-(1-MIN(1,G141*(1-Assumptions!$B$23)))^(1/12)))</f>
        <v>0.832391929343552</v>
      </c>
      <c r="W142" s="47" t="n">
        <f aca="false">V142*(IF(C142&lt;Assumptions!$B$5,Assumptions!$B$12*(1+Assumptions!$B$11)^(INT(A142/12)+1)/12+Pricing_M!$B$13*IF(A142=0,Assumptions!$B$14*12,IF(A142&gt;=12,Assumptions!$B$15,0))-Pricing_M!$B$13,Assumptions!$B$9/12*(1+Assumptions!$B$10)^INT(A142/12)+Assumptions!$B$12*(1+Assumptions!$B$11)^(INT(A142/12)+1)/12))*J142</f>
        <v>-566.366090110678</v>
      </c>
      <c r="X142" s="47" t="n">
        <f aca="false">I142*(IF(C142&lt;Assumptions!$B$5,Assumptions!$B$12*(1+Assumptions!$B$11)*(1+Assumptions!$B$24)*(1+Assumptions!$B$11+Assumptions!$B$25)^(INT(A142/12))/12+Pricing_M!$B$13*IF(A142=0,Assumptions!$B$14*12,IF(A142&gt;=12,Assumptions!$B$15,0))-Pricing_M!$B$13,Assumptions!$B$9/12*(1+Assumptions!$B$10)^INT(A142/12)+Assumptions!$B$12*(1+Assumptions!$B$11)*(1+Assumptions!$B$24)*(1+Assumptions!$B$11+Assumptions!$B$25)^(INT(A142/12))/12))*J142</f>
        <v>-521.317581919821</v>
      </c>
    </row>
    <row r="143" customFormat="false" ht="15" hidden="false" customHeight="true" outlineLevel="0" collapsed="false">
      <c r="A143" s="1" t="n">
        <v>136</v>
      </c>
      <c r="B143" s="31" t="n">
        <f aca="false">Assumptions!$B$4+A143/12</f>
        <v>76.3333333333333</v>
      </c>
      <c r="C143" s="34" t="n">
        <f aca="false">Assumptions!$B$4+INT(A143/12)</f>
        <v>76</v>
      </c>
      <c r="D143" s="34" t="n">
        <f aca="false">INT(A143/12)+1</f>
        <v>12</v>
      </c>
      <c r="E143" s="32" t="n">
        <f aca="false">IFERROR(INDEX(Cohort_Survival!$G$5:$G$65,MATCH(C143,Cohort_Survival!$A$5:$A$65,0)),1)</f>
        <v>0.0166139469666426</v>
      </c>
      <c r="F143" s="30" t="n">
        <f aca="false">1-(1-MIN(1,E143))^(1/12)</f>
        <v>0.00139515141172952</v>
      </c>
      <c r="G143" s="39" t="n">
        <f aca="false">IF(C143&lt;Assumptions!$B$5,IF(D143=1,Assumptions!$B$16,IF(D143=2,Assumptions!$B$17,IF(D143&lt;=5,Assumptions!$B$18,Assumptions!$B$19)))*(1-Assumptions!$B$20),0)</f>
        <v>0.0091</v>
      </c>
      <c r="H143" s="30" t="n">
        <f aca="false">1-(1-G143)^(1/12)</f>
        <v>0.000761514726814627</v>
      </c>
      <c r="I143" s="30" t="n">
        <f aca="false">I142*(1-F142)*(1-H142)</f>
        <v>0.766161885630909</v>
      </c>
      <c r="J143" s="30" t="n">
        <f aca="false">INDEX(Discount_Monthly!$G$4:$G$664,MATCH(A143,Discount_Monthly!$A$4:$A$664,0))</f>
        <v>0.718573547419289</v>
      </c>
      <c r="K143" s="30" t="n">
        <f aca="false">IF(C143&lt;Assumptions!$B$5,I143*J143,0)</f>
        <v>0.550543664055254</v>
      </c>
      <c r="L143" s="30" t="n">
        <f aca="false">IF(C143&lt;Assumptions!$B$5,I143*(1-F143)*H143*A143*J143,0)</f>
        <v>0.0569380584843768</v>
      </c>
      <c r="M143" s="30" t="n">
        <f aca="false">IF(A143=0,Assumptions!$B$14*12*I143*J143,IF(AND(A143&gt;=12,C143&lt;Assumptions!$B$5),Assumptions!$B$15*I143*J143,0))</f>
        <v>0.0275271832027627</v>
      </c>
      <c r="N143" s="47" t="n">
        <f aca="false">IF(C143&gt;=Assumptions!$B$5,I143*Assumptions!$B$9/12*(1+Assumptions!$B$10)^INT(A143/12)*J143,0)</f>
        <v>0</v>
      </c>
      <c r="O143" s="47" t="n">
        <f aca="false">I143*Assumptions!$B$12/12*(1+Assumptions!$B$11)^(INT(A143/12)+1)*J143</f>
        <v>4.93613347365012</v>
      </c>
      <c r="P143" s="47" t="n">
        <f aca="false">O143+Pricing_M!$B$13*M143+N143-Pricing_M!$B$13*K143</f>
        <v>-519.787444280348</v>
      </c>
      <c r="Q143" s="47" t="n">
        <f aca="false">IF(C143&lt;Assumptions!$B$5,Pricing_M!$B$13*K143-Pricing_M!$B$13*M143-O143,-(N143+O143))</f>
        <v>519.787444280348</v>
      </c>
      <c r="R143" s="32" t="n">
        <f aca="false">R142*(1-(1-(1-MIN(1,E142*(1-Assumptions!$B$21)))^(1/12)))*(1-H142)</f>
        <v>0.782476010586695</v>
      </c>
      <c r="S143" s="47" t="n">
        <f aca="false">R143*(IF(C143&lt;Assumptions!$B$5,Assumptions!$B$12*(1+Assumptions!$B$11)^(INT(A143/12)+1)/12+Pricing_M!$B$13*IF(A143=0,Assumptions!$B$14*12,IF(A143&gt;=12,Assumptions!$B$15,0))-Pricing_M!$B$13,Assumptions!$B$9/12*(1+Assumptions!$B$10)^INT(A143/12)+Assumptions!$B$12*(1+Assumptions!$B$11)^(INT(A143/12)+1)/12))*J143</f>
        <v>-530.855441103833</v>
      </c>
      <c r="T143" s="32" t="n">
        <f aca="false">T142*(1-F142)*(1-(1-(1-MIN(1,G142*(1+Assumptions!$B$23)))^(1/12)))</f>
        <v>0.705861545543585</v>
      </c>
      <c r="U143" s="47" t="n">
        <f aca="false">T143*(IF(C143&lt;Assumptions!$B$5,Assumptions!$B$12*(1+Assumptions!$B$11)^(INT(A143/12)+1)/12+Pricing_M!$B$13*IF(A143=0,Assumptions!$B$14*12,IF(A143&gt;=12,Assumptions!$B$15,0))-Pricing_M!$B$13,Assumptions!$B$9/12*(1+Assumptions!$B$10)^INT(A143/12)+Assumptions!$B$12*(1+Assumptions!$B$11)^(INT(A143/12)+1)/12))*J143</f>
        <v>-478.87786596399</v>
      </c>
      <c r="V143" s="32" t="n">
        <f aca="false">V142*(1-F142)*(1-(1-(1-MIN(1,G142*(1-Assumptions!$B$23)))^(1/12)))</f>
        <v>0.830914782438011</v>
      </c>
      <c r="W143" s="47" t="n">
        <f aca="false">V143*(IF(C143&lt;Assumptions!$B$5,Assumptions!$B$12*(1+Assumptions!$B$11)^(INT(A143/12)+1)/12+Pricing_M!$B$13*IF(A143=0,Assumptions!$B$14*12,IF(A143&gt;=12,Assumptions!$B$15,0))-Pricing_M!$B$13,Assumptions!$B$9/12*(1+Assumptions!$B$10)^INT(A143/12)+Assumptions!$B$12*(1+Assumptions!$B$11)^(INT(A143/12)+1)/12))*J143</f>
        <v>-563.717772024852</v>
      </c>
      <c r="X143" s="47" t="n">
        <f aca="false">I143*(IF(C143&lt;Assumptions!$B$5,Assumptions!$B$12*(1+Assumptions!$B$11)*(1+Assumptions!$B$24)*(1+Assumptions!$B$11+Assumptions!$B$25)^(INT(A143/12))/12+Pricing_M!$B$13*IF(A143=0,Assumptions!$B$14*12,IF(A143&gt;=12,Assumptions!$B$15,0))-Pricing_M!$B$13,Assumptions!$B$9/12*(1+Assumptions!$B$10)^INT(A143/12)+Assumptions!$B$12*(1+Assumptions!$B$11)*(1+Assumptions!$B$24)*(1+Assumptions!$B$11+Assumptions!$B$25)^(INT(A143/12))/12))*J143</f>
        <v>-518.681853387818</v>
      </c>
    </row>
    <row r="144" customFormat="false" ht="15" hidden="false" customHeight="true" outlineLevel="0" collapsed="false">
      <c r="A144" s="1" t="n">
        <v>137</v>
      </c>
      <c r="B144" s="31" t="n">
        <f aca="false">Assumptions!$B$4+A144/12</f>
        <v>76.4166666666667</v>
      </c>
      <c r="C144" s="34" t="n">
        <f aca="false">Assumptions!$B$4+INT(A144/12)</f>
        <v>76</v>
      </c>
      <c r="D144" s="34" t="n">
        <f aca="false">INT(A144/12)+1</f>
        <v>12</v>
      </c>
      <c r="E144" s="32" t="n">
        <f aca="false">IFERROR(INDEX(Cohort_Survival!$G$5:$G$65,MATCH(C144,Cohort_Survival!$A$5:$A$65,0)),1)</f>
        <v>0.0166139469666426</v>
      </c>
      <c r="F144" s="30" t="n">
        <f aca="false">1-(1-MIN(1,E144))^(1/12)</f>
        <v>0.00139515141172952</v>
      </c>
      <c r="G144" s="39" t="n">
        <f aca="false">IF(C144&lt;Assumptions!$B$5,IF(D144=1,Assumptions!$B$16,IF(D144=2,Assumptions!$B$17,IF(D144&lt;=5,Assumptions!$B$18,Assumptions!$B$19)))*(1-Assumptions!$B$20),0)</f>
        <v>0.0091</v>
      </c>
      <c r="H144" s="30" t="n">
        <f aca="false">1-(1-G144)^(1/12)</f>
        <v>0.000761514726814627</v>
      </c>
      <c r="I144" s="30" t="n">
        <f aca="false">I143*(1-F143)*(1-H143)</f>
        <v>0.764510344227631</v>
      </c>
      <c r="J144" s="30" t="n">
        <f aca="false">INDEX(Discount_Monthly!$G$4:$G$664,MATCH(A144,Discount_Monthly!$A$4:$A$664,0))</f>
        <v>0.716484970501923</v>
      </c>
      <c r="K144" s="30" t="n">
        <f aca="false">IF(C144&lt;Assumptions!$B$5,I144*J144,0)</f>
        <v>0.547760171432349</v>
      </c>
      <c r="L144" s="30" t="n">
        <f aca="false">IF(C144&lt;Assumptions!$B$5,I144*(1-F144)*H144*A144*J144,0)</f>
        <v>0.0570667309484034</v>
      </c>
      <c r="M144" s="30" t="n">
        <f aca="false">IF(A144=0,Assumptions!$B$14*12*I144*J144,IF(AND(A144&gt;=12,C144&lt;Assumptions!$B$5),Assumptions!$B$15*I144*J144,0))</f>
        <v>0.0273880085716175</v>
      </c>
      <c r="N144" s="47" t="n">
        <f aca="false">IF(C144&gt;=Assumptions!$B$5,I144*Assumptions!$B$9/12*(1+Assumptions!$B$10)^INT(A144/12)*J144,0)</f>
        <v>0</v>
      </c>
      <c r="O144" s="47" t="n">
        <f aca="false">I144*Assumptions!$B$12/12*(1+Assumptions!$B$11)^(INT(A144/12)+1)*J144</f>
        <v>4.91117688617735</v>
      </c>
      <c r="P144" s="47" t="n">
        <f aca="false">O144+Pricing_M!$B$13*M144+N144-Pricing_M!$B$13*K144</f>
        <v>-517.159451968211</v>
      </c>
      <c r="Q144" s="47" t="n">
        <f aca="false">IF(C144&lt;Assumptions!$B$5,Pricing_M!$B$13*K144-Pricing_M!$B$13*M144-O144,-(N144+O144))</f>
        <v>517.159451968211</v>
      </c>
      <c r="R144" s="32" t="n">
        <f aca="false">R143*(1-(1-(1-MIN(1,E143*(1-Assumptions!$B$21)))^(1/12)))*(1-H143)</f>
        <v>0.781008815133584</v>
      </c>
      <c r="S144" s="47" t="n">
        <f aca="false">R144*(IF(C144&lt;Assumptions!$B$5,Assumptions!$B$12*(1+Assumptions!$B$11)^(INT(A144/12)+1)/12+Pricing_M!$B$13*IF(A144=0,Assumptions!$B$14*12,IF(A144&gt;=12,Assumptions!$B$15,0))-Pricing_M!$B$13,Assumptions!$B$9/12*(1+Assumptions!$B$10)^INT(A144/12)+Assumptions!$B$12*(1+Assumptions!$B$11)^(INT(A144/12)+1)/12))*J144</f>
        <v>-528.319981366484</v>
      </c>
      <c r="T144" s="32" t="n">
        <f aca="false">T143*(1-F143)*(1-(1-(1-MIN(1,G143*(1+Assumptions!$B$23)))^(1/12)))</f>
        <v>0.704069904064864</v>
      </c>
      <c r="U144" s="47" t="n">
        <f aca="false">T144*(IF(C144&lt;Assumptions!$B$5,Assumptions!$B$12*(1+Assumptions!$B$11)^(INT(A144/12)+1)/12+Pricing_M!$B$13*IF(A144=0,Assumptions!$B$14*12,IF(A144&gt;=12,Assumptions!$B$15,0))-Pricing_M!$B$13,Assumptions!$B$9/12*(1+Assumptions!$B$10)^INT(A144/12)+Assumptions!$B$12*(1+Assumptions!$B$11)^(INT(A144/12)+1)/12))*J144</f>
        <v>-476.274007909409</v>
      </c>
      <c r="V144" s="32" t="n">
        <f aca="false">V143*(1-F143)*(1-(1-(1-MIN(1,G143*(1-Assumptions!$B$23)))^(1/12)))</f>
        <v>0.829440256849309</v>
      </c>
      <c r="W144" s="47" t="n">
        <f aca="false">V144*(IF(C144&lt;Assumptions!$B$5,Assumptions!$B$12*(1+Assumptions!$B$11)^(INT(A144/12)+1)/12+Pricing_M!$B$13*IF(A144=0,Assumptions!$B$14*12,IF(A144&gt;=12,Assumptions!$B$15,0))-Pricing_M!$B$13,Assumptions!$B$9/12*(1+Assumptions!$B$10)^INT(A144/12)+Assumptions!$B$12*(1+Assumptions!$B$11)^(INT(A144/12)+1)/12))*J144</f>
        <v>-561.081837428797</v>
      </c>
      <c r="X144" s="47" t="n">
        <f aca="false">I144*(IF(C144&lt;Assumptions!$B$5,Assumptions!$B$12*(1+Assumptions!$B$11)*(1+Assumptions!$B$24)*(1+Assumptions!$B$11+Assumptions!$B$25)^(INT(A144/12))/12+Pricing_M!$B$13*IF(A144=0,Assumptions!$B$14*12,IF(A144&gt;=12,Assumptions!$B$15,0))-Pricing_M!$B$13,Assumptions!$B$9/12*(1+Assumptions!$B$10)^INT(A144/12)+Assumptions!$B$12*(1+Assumptions!$B$11)*(1+Assumptions!$B$24)*(1+Assumptions!$B$11+Assumptions!$B$25)^(INT(A144/12))/12))*J144</f>
        <v>-516.059450830489</v>
      </c>
    </row>
    <row r="145" customFormat="false" ht="15" hidden="false" customHeight="true" outlineLevel="0" collapsed="false">
      <c r="A145" s="1" t="n">
        <v>138</v>
      </c>
      <c r="B145" s="31" t="n">
        <f aca="false">Assumptions!$B$4+A145/12</f>
        <v>76.5</v>
      </c>
      <c r="C145" s="34" t="n">
        <f aca="false">Assumptions!$B$4+INT(A145/12)</f>
        <v>76</v>
      </c>
      <c r="D145" s="34" t="n">
        <f aca="false">INT(A145/12)+1</f>
        <v>12</v>
      </c>
      <c r="E145" s="32" t="n">
        <f aca="false">IFERROR(INDEX(Cohort_Survival!$G$5:$G$65,MATCH(C145,Cohort_Survival!$A$5:$A$65,0)),1)</f>
        <v>0.0166139469666426</v>
      </c>
      <c r="F145" s="30" t="n">
        <f aca="false">1-(1-MIN(1,E145))^(1/12)</f>
        <v>0.00139515141172952</v>
      </c>
      <c r="G145" s="39" t="n">
        <f aca="false">IF(C145&lt;Assumptions!$B$5,IF(D145=1,Assumptions!$B$16,IF(D145=2,Assumptions!$B$17,IF(D145&lt;=5,Assumptions!$B$18,Assumptions!$B$19)))*(1-Assumptions!$B$20),0)</f>
        <v>0.0091</v>
      </c>
      <c r="H145" s="30" t="n">
        <f aca="false">1-(1-G145)^(1/12)</f>
        <v>0.000761514726814627</v>
      </c>
      <c r="I145" s="30" t="n">
        <f aca="false">I144*(1-F144)*(1-H144)</f>
        <v>0.762862362893129</v>
      </c>
      <c r="J145" s="30" t="n">
        <f aca="false">INDEX(Discount_Monthly!$G$4:$G$664,MATCH(A145,Discount_Monthly!$A$4:$A$664,0))</f>
        <v>0.714402464158065</v>
      </c>
      <c r="K145" s="30" t="n">
        <f aca="false">IF(C145&lt;Assumptions!$B$5,I145*J145,0)</f>
        <v>0.544990751864295</v>
      </c>
      <c r="L145" s="30" t="n">
        <f aca="false">IF(C145&lt;Assumptions!$B$5,I145*(1-F145)*H145*A145*J145,0)</f>
        <v>0.0571926468460974</v>
      </c>
      <c r="M145" s="30" t="n">
        <f aca="false">IF(A145=0,Assumptions!$B$14*12*I145*J145,IF(AND(A145&gt;=12,C145&lt;Assumptions!$B$5),Assumptions!$B$15*I145*J145,0))</f>
        <v>0.0272495375932148</v>
      </c>
      <c r="N145" s="47" t="n">
        <f aca="false">IF(C145&gt;=Assumptions!$B$5,I145*Assumptions!$B$9/12*(1+Assumptions!$B$10)^INT(A145/12)*J145,0)</f>
        <v>0</v>
      </c>
      <c r="O145" s="47" t="n">
        <f aca="false">I145*Assumptions!$B$12/12*(1+Assumptions!$B$11)^(INT(A145/12)+1)*J145</f>
        <v>4.88634647666585</v>
      </c>
      <c r="P145" s="47" t="n">
        <f aca="false">O145+Pricing_M!$B$13*M145+N145-Pricing_M!$B$13*K145</f>
        <v>-514.544746517211</v>
      </c>
      <c r="Q145" s="47" t="n">
        <f aca="false">IF(C145&lt;Assumptions!$B$5,Pricing_M!$B$13*K145-Pricing_M!$B$13*M145-O145,-(N145+O145))</f>
        <v>514.544746517211</v>
      </c>
      <c r="R145" s="32" t="n">
        <f aca="false">R144*(1-(1-(1-MIN(1,E144*(1-Assumptions!$B$21)))^(1/12)))*(1-H144)</f>
        <v>0.7795443707712</v>
      </c>
      <c r="S145" s="47" t="n">
        <f aca="false">R145*(IF(C145&lt;Assumptions!$B$5,Assumptions!$B$12*(1+Assumptions!$B$11)^(INT(A145/12)+1)/12+Pricing_M!$B$13*IF(A145=0,Assumptions!$B$14*12,IF(A145&gt;=12,Assumptions!$B$15,0))-Pricing_M!$B$13,Assumptions!$B$9/12*(1+Assumptions!$B$10)^INT(A145/12)+Assumptions!$B$12*(1+Assumptions!$B$11)^(INT(A145/12)+1)/12))*J145</f>
        <v>-525.79663143452</v>
      </c>
      <c r="T145" s="32" t="n">
        <f aca="false">T144*(1-F144)*(1-(1-(1-MIN(1,G144*(1+Assumptions!$B$23)))^(1/12)))</f>
        <v>0.702282810190709</v>
      </c>
      <c r="U145" s="47" t="n">
        <f aca="false">T145*(IF(C145&lt;Assumptions!$B$5,Assumptions!$B$12*(1+Assumptions!$B$11)^(INT(A145/12)+1)/12+Pricing_M!$B$13*IF(A145=0,Assumptions!$B$14*12,IF(A145&gt;=12,Assumptions!$B$15,0))-Pricing_M!$B$13,Assumptions!$B$9/12*(1+Assumptions!$B$10)^INT(A145/12)+Assumptions!$B$12*(1+Assumptions!$B$11)^(INT(A145/12)+1)/12))*J145</f>
        <v>-473.684308113646</v>
      </c>
      <c r="V145" s="32" t="n">
        <f aca="false">V144*(1-F144)*(1-(1-(1-MIN(1,G144*(1-Assumptions!$B$23)))^(1/12)))</f>
        <v>0.827968347925706</v>
      </c>
      <c r="W145" s="47" t="n">
        <f aca="false">V145*(IF(C145&lt;Assumptions!$B$5,Assumptions!$B$12*(1+Assumptions!$B$11)^(INT(A145/12)+1)/12+Pricing_M!$B$13*IF(A145=0,Assumptions!$B$14*12,IF(A145&gt;=12,Assumptions!$B$15,0))-Pricing_M!$B$13,Assumptions!$B$9/12*(1+Assumptions!$B$10)^INT(A145/12)+Assumptions!$B$12*(1+Assumptions!$B$11)^(INT(A145/12)+1)/12))*J145</f>
        <v>-558.458228417528</v>
      </c>
      <c r="X145" s="47" t="n">
        <f aca="false">I145*(IF(C145&lt;Assumptions!$B$5,Assumptions!$B$12*(1+Assumptions!$B$11)*(1+Assumptions!$B$24)*(1+Assumptions!$B$11+Assumptions!$B$25)^(INT(A145/12))/12+Pricing_M!$B$13*IF(A145=0,Assumptions!$B$14*12,IF(A145&gt;=12,Assumptions!$B$15,0))-Pricing_M!$B$13,Assumptions!$B$9/12*(1+Assumptions!$B$10)^INT(A145/12)+Assumptions!$B$12*(1+Assumptions!$B$11)*(1+Assumptions!$B$24)*(1+Assumptions!$B$11+Assumptions!$B$25)^(INT(A145/12))/12))*J145</f>
        <v>-513.450306873067</v>
      </c>
    </row>
    <row r="146" customFormat="false" ht="15" hidden="false" customHeight="true" outlineLevel="0" collapsed="false">
      <c r="A146" s="1" t="n">
        <v>139</v>
      </c>
      <c r="B146" s="31" t="n">
        <f aca="false">Assumptions!$B$4+A146/12</f>
        <v>76.5833333333333</v>
      </c>
      <c r="C146" s="34" t="n">
        <f aca="false">Assumptions!$B$4+INT(A146/12)</f>
        <v>76</v>
      </c>
      <c r="D146" s="34" t="n">
        <f aca="false">INT(A146/12)+1</f>
        <v>12</v>
      </c>
      <c r="E146" s="32" t="n">
        <f aca="false">IFERROR(INDEX(Cohort_Survival!$G$5:$G$65,MATCH(C146,Cohort_Survival!$A$5:$A$65,0)),1)</f>
        <v>0.0166139469666426</v>
      </c>
      <c r="F146" s="30" t="n">
        <f aca="false">1-(1-MIN(1,E146))^(1/12)</f>
        <v>0.00139515141172952</v>
      </c>
      <c r="G146" s="39" t="n">
        <f aca="false">IF(C146&lt;Assumptions!$B$5,IF(D146=1,Assumptions!$B$16,IF(D146=2,Assumptions!$B$17,IF(D146&lt;=5,Assumptions!$B$18,Assumptions!$B$19)))*(1-Assumptions!$B$20),0)</f>
        <v>0.0091</v>
      </c>
      <c r="H146" s="30" t="n">
        <f aca="false">1-(1-G146)^(1/12)</f>
        <v>0.000761514726814627</v>
      </c>
      <c r="I146" s="30" t="n">
        <f aca="false">I145*(1-F145)*(1-H145)</f>
        <v>0.761217933953306</v>
      </c>
      <c r="J146" s="30" t="n">
        <f aca="false">INDEX(Discount_Monthly!$G$4:$G$664,MATCH(A146,Discount_Monthly!$A$4:$A$664,0))</f>
        <v>0.712326010743229</v>
      </c>
      <c r="K146" s="30" t="n">
        <f aca="false">IF(C146&lt;Assumptions!$B$5,I146*J146,0)</f>
        <v>0.542235334199161</v>
      </c>
      <c r="L146" s="30" t="n">
        <f aca="false">IF(C146&lt;Assumptions!$B$5,I146*(1-F146)*H146*A146*J146,0)</f>
        <v>0.0573158307621565</v>
      </c>
      <c r="M146" s="30" t="n">
        <f aca="false">IF(A146=0,Assumptions!$B$14*12*I146*J146,IF(AND(A146&gt;=12,C146&lt;Assumptions!$B$5),Assumptions!$B$15*I146*J146,0))</f>
        <v>0.0271117667099581</v>
      </c>
      <c r="N146" s="47" t="n">
        <f aca="false">IF(C146&gt;=Assumptions!$B$5,I146*Assumptions!$B$9/12*(1+Assumptions!$B$10)^INT(A146/12)*J146,0)</f>
        <v>0</v>
      </c>
      <c r="O146" s="47" t="n">
        <f aca="false">I146*Assumptions!$B$12/12*(1+Assumptions!$B$11)^(INT(A146/12)+1)*J146</f>
        <v>4.86164160717272</v>
      </c>
      <c r="P146" s="47" t="n">
        <f aca="false">O146+Pricing_M!$B$13*M146+N146-Pricing_M!$B$13*K146</f>
        <v>-511.943260750332</v>
      </c>
      <c r="Q146" s="47" t="n">
        <f aca="false">IF(C146&lt;Assumptions!$B$5,Pricing_M!$B$13*K146-Pricing_M!$B$13*M146-O146,-(N146+O146))</f>
        <v>511.943260750332</v>
      </c>
      <c r="R146" s="32" t="n">
        <f aca="false">R145*(1-(1-(1-MIN(1,E145*(1-Assumptions!$B$21)))^(1/12)))*(1-H145)</f>
        <v>0.778082672341063</v>
      </c>
      <c r="S146" s="47" t="n">
        <f aca="false">R146*(IF(C146&lt;Assumptions!$B$5,Assumptions!$B$12*(1+Assumptions!$B$11)^(INT(A146/12)+1)/12+Pricing_M!$B$13*IF(A146=0,Assumptions!$B$14*12,IF(A146&gt;=12,Assumptions!$B$15,0))-Pricing_M!$B$13,Assumptions!$B$9/12*(1+Assumptions!$B$10)^INT(A146/12)+Assumptions!$B$12*(1+Assumptions!$B$11)^(INT(A146/12)+1)/12))*J146</f>
        <v>-523.285333469364</v>
      </c>
      <c r="T146" s="32" t="n">
        <f aca="false">T145*(1-F145)*(1-(1-(1-MIN(1,G145*(1+Assumptions!$B$23)))^(1/12)))</f>
        <v>0.70050025237824</v>
      </c>
      <c r="U146" s="47" t="n">
        <f aca="false">T146*(IF(C146&lt;Assumptions!$B$5,Assumptions!$B$12*(1+Assumptions!$B$11)^(INT(A146/12)+1)/12+Pricing_M!$B$13*IF(A146=0,Assumptions!$B$14*12,IF(A146&gt;=12,Assumptions!$B$15,0))-Pricing_M!$B$13,Assumptions!$B$9/12*(1+Assumptions!$B$10)^INT(A146/12)+Assumptions!$B$12*(1+Assumptions!$B$11)^(INT(A146/12)+1)/12))*J146</f>
        <v>-471.108689592361</v>
      </c>
      <c r="V146" s="32" t="n">
        <f aca="false">V145*(1-F145)*(1-(1-(1-MIN(1,G145*(1-Assumptions!$B$23)))^(1/12)))</f>
        <v>0.826499051023718</v>
      </c>
      <c r="W146" s="47" t="n">
        <f aca="false">V146*(IF(C146&lt;Assumptions!$B$5,Assumptions!$B$12*(1+Assumptions!$B$11)^(INT(A146/12)+1)/12+Pricing_M!$B$13*IF(A146=0,Assumptions!$B$14*12,IF(A146&gt;=12,Assumptions!$B$15,0))-Pricing_M!$B$13,Assumptions!$B$9/12*(1+Assumptions!$B$10)^INT(A146/12)+Assumptions!$B$12*(1+Assumptions!$B$11)^(INT(A146/12)+1)/12))*J146</f>
        <v>-555.846887356824</v>
      </c>
      <c r="X146" s="47" t="n">
        <f aca="false">I146*(IF(C146&lt;Assumptions!$B$5,Assumptions!$B$12*(1+Assumptions!$B$11)*(1+Assumptions!$B$24)*(1+Assumptions!$B$11+Assumptions!$B$25)^(INT(A146/12))/12+Pricing_M!$B$13*IF(A146=0,Assumptions!$B$14*12,IF(A146&gt;=12,Assumptions!$B$15,0))-Pricing_M!$B$13,Assumptions!$B$9/12*(1+Assumptions!$B$10)^INT(A146/12)+Assumptions!$B$12*(1+Assumptions!$B$11)*(1+Assumptions!$B$24)*(1+Assumptions!$B$11+Assumptions!$B$25)^(INT(A146/12))/12))*J146</f>
        <v>-510.854354481422</v>
      </c>
    </row>
    <row r="147" customFormat="false" ht="15" hidden="false" customHeight="true" outlineLevel="0" collapsed="false">
      <c r="A147" s="1" t="n">
        <v>140</v>
      </c>
      <c r="B147" s="31" t="n">
        <f aca="false">Assumptions!$B$4+A147/12</f>
        <v>76.6666666666667</v>
      </c>
      <c r="C147" s="34" t="n">
        <f aca="false">Assumptions!$B$4+INT(A147/12)</f>
        <v>76</v>
      </c>
      <c r="D147" s="34" t="n">
        <f aca="false">INT(A147/12)+1</f>
        <v>12</v>
      </c>
      <c r="E147" s="32" t="n">
        <f aca="false">IFERROR(INDEX(Cohort_Survival!$G$5:$G$65,MATCH(C147,Cohort_Survival!$A$5:$A$65,0)),1)</f>
        <v>0.0166139469666426</v>
      </c>
      <c r="F147" s="30" t="n">
        <f aca="false">1-(1-MIN(1,E147))^(1/12)</f>
        <v>0.00139515141172952</v>
      </c>
      <c r="G147" s="39" t="n">
        <f aca="false">IF(C147&lt;Assumptions!$B$5,IF(D147=1,Assumptions!$B$16,IF(D147=2,Assumptions!$B$17,IF(D147&lt;=5,Assumptions!$B$18,Assumptions!$B$19)))*(1-Assumptions!$B$20),0)</f>
        <v>0.0091</v>
      </c>
      <c r="H147" s="30" t="n">
        <f aca="false">1-(1-G147)^(1/12)</f>
        <v>0.000761514726814627</v>
      </c>
      <c r="I147" s="30" t="n">
        <f aca="false">I146*(1-F146)*(1-H146)</f>
        <v>0.759577049750607</v>
      </c>
      <c r="J147" s="30" t="n">
        <f aca="false">INDEX(Discount_Monthly!$G$4:$G$664,MATCH(A147,Discount_Monthly!$A$4:$A$664,0))</f>
        <v>0.710255592664216</v>
      </c>
      <c r="K147" s="30" t="n">
        <f aca="false">IF(C147&lt;Assumptions!$B$5,I147*J147,0)</f>
        <v>0.539493847644754</v>
      </c>
      <c r="L147" s="30" t="n">
        <f aca="false">IF(C147&lt;Assumptions!$B$5,I147*(1-F147)*H147*A147*J147,0)</f>
        <v>0.0574363071031464</v>
      </c>
      <c r="M147" s="30" t="n">
        <f aca="false">IF(A147=0,Assumptions!$B$14*12*I147*J147,IF(AND(A147&gt;=12,C147&lt;Assumptions!$B$5),Assumptions!$B$15*I147*J147,0))</f>
        <v>0.0269746923822377</v>
      </c>
      <c r="N147" s="47" t="n">
        <f aca="false">IF(C147&gt;=Assumptions!$B$5,I147*Assumptions!$B$9/12*(1+Assumptions!$B$10)^INT(A147/12)*J147,0)</f>
        <v>0</v>
      </c>
      <c r="O147" s="47" t="n">
        <f aca="false">I147*Assumptions!$B$12/12*(1+Assumptions!$B$11)^(INT(A147/12)+1)*J147</f>
        <v>4.83706164298043</v>
      </c>
      <c r="P147" s="47" t="n">
        <f aca="false">O147+Pricing_M!$B$13*M147+N147-Pricing_M!$B$13*K147</f>
        <v>-509.354927830201</v>
      </c>
      <c r="Q147" s="47" t="n">
        <f aca="false">IF(C147&lt;Assumptions!$B$5,Pricing_M!$B$13*K147-Pricing_M!$B$13*M147-O147,-(N147+O147))</f>
        <v>509.354927830201</v>
      </c>
      <c r="R147" s="32" t="n">
        <f aca="false">R146*(1-(1-(1-MIN(1,E146*(1-Assumptions!$B$21)))^(1/12)))*(1-H146)</f>
        <v>0.776623714694364</v>
      </c>
      <c r="S147" s="47" t="n">
        <f aca="false">R147*(IF(C147&lt;Assumptions!$B$5,Assumptions!$B$12*(1+Assumptions!$B$11)^(INT(A147/12)+1)/12+Pricing_M!$B$13*IF(A147=0,Assumptions!$B$14*12,IF(A147&gt;=12,Assumptions!$B$15,0))-Pricing_M!$B$13,Assumptions!$B$9/12*(1+Assumptions!$B$10)^INT(A147/12)+Assumptions!$B$12*(1+Assumptions!$B$11)^(INT(A147/12)+1)/12))*J147</f>
        <v>-520.786029908685</v>
      </c>
      <c r="T147" s="32" t="n">
        <f aca="false">T146*(1-F146)*(1-(1-(1-MIN(1,G146*(1+Assumptions!$B$23)))^(1/12)))</f>
        <v>0.69872221911387</v>
      </c>
      <c r="U147" s="47" t="n">
        <f aca="false">T147*(IF(C147&lt;Assumptions!$B$5,Assumptions!$B$12*(1+Assumptions!$B$11)^(INT(A147/12)+1)/12+Pricing_M!$B$13*IF(A147=0,Assumptions!$B$14*12,IF(A147&gt;=12,Assumptions!$B$15,0))-Pricing_M!$B$13,Assumptions!$B$9/12*(1+Assumptions!$B$10)^INT(A147/12)+Assumptions!$B$12*(1+Assumptions!$B$11)^(INT(A147/12)+1)/12))*J147</f>
        <v>-468.547075779811</v>
      </c>
      <c r="V147" s="32" t="n">
        <f aca="false">V146*(1-F146)*(1-(1-(1-MIN(1,G146*(1-Assumptions!$B$23)))^(1/12)))</f>
        <v>0.825032361508102</v>
      </c>
      <c r="W147" s="47" t="n">
        <f aca="false">V147*(IF(C147&lt;Assumptions!$B$5,Assumptions!$B$12*(1+Assumptions!$B$11)^(INT(A147/12)+1)/12+Pricing_M!$B$13*IF(A147=0,Assumptions!$B$14*12,IF(A147&gt;=12,Assumptions!$B$15,0))-Pricing_M!$B$13,Assumptions!$B$9/12*(1+Assumptions!$B$10)^INT(A147/12)+Assumptions!$B$12*(1+Assumptions!$B$11)^(INT(A147/12)+1)/12))*J147</f>
        <v>-553.247756881959</v>
      </c>
      <c r="X147" s="47" t="n">
        <f aca="false">I147*(IF(C147&lt;Assumptions!$B$5,Assumptions!$B$12*(1+Assumptions!$B$11)*(1+Assumptions!$B$24)*(1+Assumptions!$B$11+Assumptions!$B$25)^(INT(A147/12))/12+Pricing_M!$B$13*IF(A147=0,Assumptions!$B$14*12,IF(A147&gt;=12,Assumptions!$B$15,0))-Pricing_M!$B$13,Assumptions!$B$9/12*(1+Assumptions!$B$10)^INT(A147/12)+Assumptions!$B$12*(1+Assumptions!$B$11)*(1+Assumptions!$B$24)*(1+Assumptions!$B$11+Assumptions!$B$25)^(INT(A147/12))/12))*J147</f>
        <v>-508.271526960343</v>
      </c>
    </row>
    <row r="148" customFormat="false" ht="15" hidden="false" customHeight="true" outlineLevel="0" collapsed="false">
      <c r="A148" s="1" t="n">
        <v>141</v>
      </c>
      <c r="B148" s="31" t="n">
        <f aca="false">Assumptions!$B$4+A148/12</f>
        <v>76.75</v>
      </c>
      <c r="C148" s="34" t="n">
        <f aca="false">Assumptions!$B$4+INT(A148/12)</f>
        <v>76</v>
      </c>
      <c r="D148" s="34" t="n">
        <f aca="false">INT(A148/12)+1</f>
        <v>12</v>
      </c>
      <c r="E148" s="32" t="n">
        <f aca="false">IFERROR(INDEX(Cohort_Survival!$G$5:$G$65,MATCH(C148,Cohort_Survival!$A$5:$A$65,0)),1)</f>
        <v>0.0166139469666426</v>
      </c>
      <c r="F148" s="30" t="n">
        <f aca="false">1-(1-MIN(1,E148))^(1/12)</f>
        <v>0.00139515141172952</v>
      </c>
      <c r="G148" s="39" t="n">
        <f aca="false">IF(C148&lt;Assumptions!$B$5,IF(D148=1,Assumptions!$B$16,IF(D148=2,Assumptions!$B$17,IF(D148&lt;=5,Assumptions!$B$18,Assumptions!$B$19)))*(1-Assumptions!$B$20),0)</f>
        <v>0.0091</v>
      </c>
      <c r="H148" s="30" t="n">
        <f aca="false">1-(1-G148)^(1/12)</f>
        <v>0.000761514726814627</v>
      </c>
      <c r="I148" s="30" t="n">
        <f aca="false">I147*(1-F147)*(1-H147)</f>
        <v>0.757939702643983</v>
      </c>
      <c r="J148" s="30" t="n">
        <f aca="false">INDEX(Discount_Monthly!$G$4:$G$664,MATCH(A148,Discount_Monthly!$A$4:$A$664,0))</f>
        <v>0.708191192378962</v>
      </c>
      <c r="K148" s="30" t="n">
        <f aca="false">IF(C148&lt;Assumptions!$B$5,I148*J148,0)</f>
        <v>0.536766221766798</v>
      </c>
      <c r="L148" s="30" t="n">
        <f aca="false">IF(C148&lt;Assumptions!$B$5,I148*(1-F148)*H148*A148*J148,0)</f>
        <v>0.0575541000986737</v>
      </c>
      <c r="M148" s="30" t="n">
        <f aca="false">IF(A148=0,Assumptions!$B$14*12*I148*J148,IF(AND(A148&gt;=12,C148&lt;Assumptions!$B$5),Assumptions!$B$15*I148*J148,0))</f>
        <v>0.0268383110883399</v>
      </c>
      <c r="N148" s="47" t="n">
        <f aca="false">IF(C148&gt;=Assumptions!$B$5,I148*Assumptions!$B$9/12*(1+Assumptions!$B$10)^INT(A148/12)*J148,0)</f>
        <v>0</v>
      </c>
      <c r="O148" s="47" t="n">
        <f aca="false">I148*Assumptions!$B$12/12*(1+Assumptions!$B$11)^(INT(A148/12)+1)*J148</f>
        <v>4.81260595258051</v>
      </c>
      <c r="P148" s="47" t="n">
        <f aca="false">O148+Pricing_M!$B$13*M148+N148-Pricing_M!$B$13*K148</f>
        <v>-506.779681257363</v>
      </c>
      <c r="Q148" s="47" t="n">
        <f aca="false">IF(C148&lt;Assumptions!$B$5,Pricing_M!$B$13*K148-Pricing_M!$B$13*M148-O148,-(N148+O148))</f>
        <v>506.779681257363</v>
      </c>
      <c r="R148" s="32" t="n">
        <f aca="false">R147*(1-(1-(1-MIN(1,E147*(1-Assumptions!$B$21)))^(1/12)))*(1-H147)</f>
        <v>0.775167492691949</v>
      </c>
      <c r="S148" s="47" t="n">
        <f aca="false">R148*(IF(C148&lt;Assumptions!$B$5,Assumptions!$B$12*(1+Assumptions!$B$11)^(INT(A148/12)+1)/12+Pricing_M!$B$13*IF(A148=0,Assumptions!$B$14*12,IF(A148&gt;=12,Assumptions!$B$15,0))-Pricing_M!$B$13,Assumptions!$B$9/12*(1+Assumptions!$B$10)^INT(A148/12)+Assumptions!$B$12*(1+Assumptions!$B$11)^(INT(A148/12)+1)/12))*J148</f>
        <v>-518.298663465079</v>
      </c>
      <c r="T148" s="32" t="n">
        <f aca="false">T147*(1-F147)*(1-(1-(1-MIN(1,G147*(1+Assumptions!$B$23)))^(1/12)))</f>
        <v>0.696948698913241</v>
      </c>
      <c r="U148" s="47" t="n">
        <f aca="false">T148*(IF(C148&lt;Assumptions!$B$5,Assumptions!$B$12*(1+Assumptions!$B$11)^(INT(A148/12)+1)/12+Pricing_M!$B$13*IF(A148=0,Assumptions!$B$14*12,IF(A148&gt;=12,Assumptions!$B$15,0))-Pricing_M!$B$13,Assumptions!$B$9/12*(1+Assumptions!$B$10)^INT(A148/12)+Assumptions!$B$12*(1+Assumptions!$B$11)^(INT(A148/12)+1)/12))*J148</f>
        <v>-465.999390526571</v>
      </c>
      <c r="V148" s="32" t="n">
        <f aca="false">V147*(1-F147)*(1-(1-(1-MIN(1,G147*(1-Assumptions!$B$23)))^(1/12)))</f>
        <v>0.823568274751838</v>
      </c>
      <c r="W148" s="47" t="n">
        <f aca="false">V148*(IF(C148&lt;Assumptions!$B$5,Assumptions!$B$12*(1+Assumptions!$B$11)^(INT(A148/12)+1)/12+Pricing_M!$B$13*IF(A148=0,Assumptions!$B$14*12,IF(A148&gt;=12,Assumptions!$B$15,0))-Pricing_M!$B$13,Assumptions!$B$9/12*(1+Assumptions!$B$10)^INT(A148/12)+Assumptions!$B$12*(1+Assumptions!$B$11)^(INT(A148/12)+1)/12))*J148</f>
        <v>-550.660779896442</v>
      </c>
      <c r="X148" s="47" t="n">
        <f aca="false">I148*(IF(C148&lt;Assumptions!$B$5,Assumptions!$B$12*(1+Assumptions!$B$11)*(1+Assumptions!$B$24)*(1+Assumptions!$B$11+Assumptions!$B$25)^(INT(A148/12))/12+Pricing_M!$B$13*IF(A148=0,Assumptions!$B$14*12,IF(A148&gt;=12,Assumptions!$B$15,0))-Pricing_M!$B$13,Assumptions!$B$9/12*(1+Assumptions!$B$10)^INT(A148/12)+Assumptions!$B$12*(1+Assumptions!$B$11)*(1+Assumptions!$B$24)*(1+Assumptions!$B$11+Assumptions!$B$25)^(INT(A148/12))/12))*J148</f>
        <v>-505.701757951822</v>
      </c>
    </row>
    <row r="149" customFormat="false" ht="15" hidden="false" customHeight="true" outlineLevel="0" collapsed="false">
      <c r="A149" s="1" t="n">
        <v>142</v>
      </c>
      <c r="B149" s="31" t="n">
        <f aca="false">Assumptions!$B$4+A149/12</f>
        <v>76.8333333333333</v>
      </c>
      <c r="C149" s="34" t="n">
        <f aca="false">Assumptions!$B$4+INT(A149/12)</f>
        <v>76</v>
      </c>
      <c r="D149" s="34" t="n">
        <f aca="false">INT(A149/12)+1</f>
        <v>12</v>
      </c>
      <c r="E149" s="32" t="n">
        <f aca="false">IFERROR(INDEX(Cohort_Survival!$G$5:$G$65,MATCH(C149,Cohort_Survival!$A$5:$A$65,0)),1)</f>
        <v>0.0166139469666426</v>
      </c>
      <c r="F149" s="30" t="n">
        <f aca="false">1-(1-MIN(1,E149))^(1/12)</f>
        <v>0.00139515141172952</v>
      </c>
      <c r="G149" s="39" t="n">
        <f aca="false">IF(C149&lt;Assumptions!$B$5,IF(D149=1,Assumptions!$B$16,IF(D149=2,Assumptions!$B$17,IF(D149&lt;=5,Assumptions!$B$18,Assumptions!$B$19)))*(1-Assumptions!$B$20),0)</f>
        <v>0.0091</v>
      </c>
      <c r="H149" s="30" t="n">
        <f aca="false">1-(1-G149)^(1/12)</f>
        <v>0.000761514726814627</v>
      </c>
      <c r="I149" s="30" t="n">
        <f aca="false">I148*(1-F148)*(1-H148)</f>
        <v>0.756305885008858</v>
      </c>
      <c r="J149" s="30" t="n">
        <f aca="false">INDEX(Discount_Monthly!$G$4:$G$664,MATCH(A149,Discount_Monthly!$A$4:$A$664,0))</f>
        <v>0.70613279239639</v>
      </c>
      <c r="K149" s="30" t="n">
        <f aca="false">IF(C149&lt;Assumptions!$B$5,I149*J149,0)</f>
        <v>0.534052386487128</v>
      </c>
      <c r="L149" s="30" t="n">
        <f aca="false">IF(C149&lt;Assumptions!$B$5,I149*(1-F149)*H149*A149*J149,0)</f>
        <v>0.0576692338025517</v>
      </c>
      <c r="M149" s="30" t="n">
        <f aca="false">IF(A149=0,Assumptions!$B$14*12*I149*J149,IF(AND(A149&gt;=12,C149&lt;Assumptions!$B$5),Assumptions!$B$15*I149*J149,0))</f>
        <v>0.0267026193243564</v>
      </c>
      <c r="N149" s="47" t="n">
        <f aca="false">IF(C149&gt;=Assumptions!$B$5,I149*Assumptions!$B$9/12*(1+Assumptions!$B$10)^INT(A149/12)*J149,0)</f>
        <v>0</v>
      </c>
      <c r="O149" s="47" t="n">
        <f aca="false">I149*Assumptions!$B$12/12*(1+Assumptions!$B$11)^(INT(A149/12)+1)*J149</f>
        <v>4.78827390765735</v>
      </c>
      <c r="P149" s="47" t="n">
        <f aca="false">O149+Pricing_M!$B$13*M149+N149-Pricing_M!$B$13*K149</f>
        <v>-504.217454868584</v>
      </c>
      <c r="Q149" s="47" t="n">
        <f aca="false">IF(C149&lt;Assumptions!$B$5,Pricing_M!$B$13*K149-Pricing_M!$B$13*M149-O149,-(N149+O149))</f>
        <v>504.217454868584</v>
      </c>
      <c r="R149" s="32" t="n">
        <f aca="false">R148*(1-(1-(1-MIN(1,E148*(1-Assumptions!$B$21)))^(1/12)))*(1-H148)</f>
        <v>0.7737140012043</v>
      </c>
      <c r="S149" s="47" t="n">
        <f aca="false">R149*(IF(C149&lt;Assumptions!$B$5,Assumptions!$B$12*(1+Assumptions!$B$11)^(INT(A149/12)+1)/12+Pricing_M!$B$13*IF(A149=0,Assumptions!$B$14*12,IF(A149&gt;=12,Assumptions!$B$15,0))-Pricing_M!$B$13,Assumptions!$B$9/12*(1+Assumptions!$B$10)^INT(A149/12)+Assumptions!$B$12*(1+Assumptions!$B$11)^(INT(A149/12)+1)/12))*J149</f>
        <v>-515.823177124758</v>
      </c>
      <c r="T149" s="32" t="n">
        <f aca="false">T148*(1-F148)*(1-(1-(1-MIN(1,G148*(1+Assumptions!$B$23)))^(1/12)))</f>
        <v>0.695179680321143</v>
      </c>
      <c r="U149" s="47" t="n">
        <f aca="false">T149*(IF(C149&lt;Assumptions!$B$5,Assumptions!$B$12*(1+Assumptions!$B$11)^(INT(A149/12)+1)/12+Pricing_M!$B$13*IF(A149=0,Assumptions!$B$14*12,IF(A149&gt;=12,Assumptions!$B$15,0))-Pricing_M!$B$13,Assumptions!$B$9/12*(1+Assumptions!$B$10)^INT(A149/12)+Assumptions!$B$12*(1+Assumptions!$B$11)^(INT(A149/12)+1)/12))*J149</f>
        <v>-463.465558097273</v>
      </c>
      <c r="V149" s="32" t="n">
        <f aca="false">V148*(1-F148)*(1-(1-(1-MIN(1,G148*(1-Assumptions!$B$23)))^(1/12)))</f>
        <v>0.82210678613612</v>
      </c>
      <c r="W149" s="47" t="n">
        <f aca="false">V149*(IF(C149&lt;Assumptions!$B$5,Assumptions!$B$12*(1+Assumptions!$B$11)^(INT(A149/12)+1)/12+Pricing_M!$B$13*IF(A149=0,Assumptions!$B$14*12,IF(A149&gt;=12,Assumptions!$B$15,0))-Pricing_M!$B$13,Assumptions!$B$9/12*(1+Assumptions!$B$10)^INT(A149/12)+Assumptions!$B$12*(1+Assumptions!$B$11)^(INT(A149/12)+1)/12))*J149</f>
        <v>-548.085899570768</v>
      </c>
      <c r="X149" s="47" t="n">
        <f aca="false">I149*(IF(C149&lt;Assumptions!$B$5,Assumptions!$B$12*(1+Assumptions!$B$11)*(1+Assumptions!$B$24)*(1+Assumptions!$B$11+Assumptions!$B$25)^(INT(A149/12))/12+Pricing_M!$B$13*IF(A149=0,Assumptions!$B$14*12,IF(A149&gt;=12,Assumptions!$B$15,0))-Pricing_M!$B$13,Assumptions!$B$9/12*(1+Assumptions!$B$10)^INT(A149/12)+Assumptions!$B$12*(1+Assumptions!$B$11)*(1+Assumptions!$B$24)*(1+Assumptions!$B$11+Assumptions!$B$25)^(INT(A149/12))/12))*J149</f>
        <v>-503.144981433353</v>
      </c>
    </row>
    <row r="150" customFormat="false" ht="15" hidden="false" customHeight="true" outlineLevel="0" collapsed="false">
      <c r="A150" s="1" t="n">
        <v>143</v>
      </c>
      <c r="B150" s="31" t="n">
        <f aca="false">Assumptions!$B$4+A150/12</f>
        <v>76.9166666666667</v>
      </c>
      <c r="C150" s="34" t="n">
        <f aca="false">Assumptions!$B$4+INT(A150/12)</f>
        <v>76</v>
      </c>
      <c r="D150" s="34" t="n">
        <f aca="false">INT(A150/12)+1</f>
        <v>12</v>
      </c>
      <c r="E150" s="32" t="n">
        <f aca="false">IFERROR(INDEX(Cohort_Survival!$G$5:$G$65,MATCH(C150,Cohort_Survival!$A$5:$A$65,0)),1)</f>
        <v>0.0166139469666426</v>
      </c>
      <c r="F150" s="30" t="n">
        <f aca="false">1-(1-MIN(1,E150))^(1/12)</f>
        <v>0.00139515141172952</v>
      </c>
      <c r="G150" s="39" t="n">
        <f aca="false">IF(C150&lt;Assumptions!$B$5,IF(D150=1,Assumptions!$B$16,IF(D150=2,Assumptions!$B$17,IF(D150&lt;=5,Assumptions!$B$18,Assumptions!$B$19)))*(1-Assumptions!$B$20),0)</f>
        <v>0.0091</v>
      </c>
      <c r="H150" s="30" t="n">
        <f aca="false">1-(1-G150)^(1/12)</f>
        <v>0.000761514726814627</v>
      </c>
      <c r="I150" s="30" t="n">
        <f aca="false">I149*(1-F149)*(1-H149)</f>
        <v>0.754675589237088</v>
      </c>
      <c r="J150" s="30" t="n">
        <f aca="false">INDEX(Discount_Monthly!$G$4:$G$664,MATCH(A150,Discount_Monthly!$A$4:$A$664,0))</f>
        <v>0.704080375276263</v>
      </c>
      <c r="K150" s="30" t="n">
        <f aca="false">IF(C150&lt;Assumptions!$B$5,I150*J150,0)</f>
        <v>0.531352272081884</v>
      </c>
      <c r="L150" s="30" t="n">
        <f aca="false">IF(C150&lt;Assumptions!$B$5,I150*(1-F150)*H150*A150*J150,0)</f>
        <v>0.0577817320939582</v>
      </c>
      <c r="M150" s="30" t="n">
        <f aca="false">IF(A150=0,Assumptions!$B$14*12*I150*J150,IF(AND(A150&gt;=12,C150&lt;Assumptions!$B$5),Assumptions!$B$15*I150*J150,0))</f>
        <v>0.0265676136040942</v>
      </c>
      <c r="N150" s="47" t="n">
        <f aca="false">IF(C150&gt;=Assumptions!$B$5,I150*Assumptions!$B$9/12*(1+Assumptions!$B$10)^INT(A150/12)*J150,0)</f>
        <v>0</v>
      </c>
      <c r="O150" s="47" t="n">
        <f aca="false">I150*Assumptions!$B$12/12*(1+Assumptions!$B$11)^(INT(A150/12)+1)*J150</f>
        <v>4.76406488307202</v>
      </c>
      <c r="P150" s="47" t="n">
        <f aca="false">O150+Pricing_M!$B$13*M150+N150-Pricing_M!$B$13*K150</f>
        <v>-501.668182835139</v>
      </c>
      <c r="Q150" s="47" t="n">
        <f aca="false">IF(C150&lt;Assumptions!$B$5,Pricing_M!$B$13*K150-Pricing_M!$B$13*M150-O150,-(N150+O150))</f>
        <v>501.668182835139</v>
      </c>
      <c r="R150" s="32" t="n">
        <f aca="false">R149*(1-(1-(1-MIN(1,E149*(1-Assumptions!$B$21)))^(1/12)))*(1-H149)</f>
        <v>0.772263235111516</v>
      </c>
      <c r="S150" s="47" t="n">
        <f aca="false">R150*(IF(C150&lt;Assumptions!$B$5,Assumptions!$B$12*(1+Assumptions!$B$11)^(INT(A150/12)+1)/12+Pricing_M!$B$13*IF(A150=0,Assumptions!$B$14*12,IF(A150&gt;=12,Assumptions!$B$15,0))-Pricing_M!$B$13,Assumptions!$B$9/12*(1+Assumptions!$B$10)^INT(A150/12)+Assumptions!$B$12*(1+Assumptions!$B$11)^(INT(A150/12)+1)/12))*J150</f>
        <v>-513.359514146242</v>
      </c>
      <c r="T150" s="32" t="n">
        <f aca="false">T149*(1-F149)*(1-(1-(1-MIN(1,G149*(1+Assumptions!$B$23)))^(1/12)))</f>
        <v>0.693415151911441</v>
      </c>
      <c r="U150" s="47" t="n">
        <f aca="false">T150*(IF(C150&lt;Assumptions!$B$5,Assumptions!$B$12*(1+Assumptions!$B$11)^(INT(A150/12)+1)/12+Pricing_M!$B$13*IF(A150=0,Assumptions!$B$14*12,IF(A150&gt;=12,Assumptions!$B$15,0))-Pricing_M!$B$13,Assumptions!$B$9/12*(1+Assumptions!$B$10)^INT(A150/12)+Assumptions!$B$12*(1+Assumptions!$B$11)^(INT(A150/12)+1)/12))*J150</f>
        <v>-460.945503168355</v>
      </c>
      <c r="V150" s="32" t="n">
        <f aca="false">V149*(1-F149)*(1-(1-(1-MIN(1,G149*(1-Assumptions!$B$23)))^(1/12)))</f>
        <v>0.820647891050337</v>
      </c>
      <c r="W150" s="47" t="n">
        <f aca="false">V150*(IF(C150&lt;Assumptions!$B$5,Assumptions!$B$12*(1+Assumptions!$B$11)^(INT(A150/12)+1)/12+Pricing_M!$B$13*IF(A150=0,Assumptions!$B$14*12,IF(A150&gt;=12,Assumptions!$B$15,0))-Pricing_M!$B$13,Assumptions!$B$9/12*(1+Assumptions!$B$10)^INT(A150/12)+Assumptions!$B$12*(1+Assumptions!$B$11)^(INT(A150/12)+1)/12))*J150</f>
        <v>-545.523059341164</v>
      </c>
      <c r="X150" s="47" t="n">
        <f aca="false">I150*(IF(C150&lt;Assumptions!$B$5,Assumptions!$B$12*(1+Assumptions!$B$11)*(1+Assumptions!$B$24)*(1+Assumptions!$B$11+Assumptions!$B$25)^(INT(A150/12))/12+Pricing_M!$B$13*IF(A150=0,Assumptions!$B$14*12,IF(A150&gt;=12,Assumptions!$B$15,0))-Pricing_M!$B$13,Assumptions!$B$9/12*(1+Assumptions!$B$10)^INT(A150/12)+Assumptions!$B$12*(1+Assumptions!$B$11)*(1+Assumptions!$B$24)*(1+Assumptions!$B$11+Assumptions!$B$25)^(INT(A150/12))/12))*J150</f>
        <v>-500.601131716229</v>
      </c>
    </row>
    <row r="151" customFormat="false" ht="15" hidden="false" customHeight="true" outlineLevel="0" collapsed="false">
      <c r="A151" s="1" t="n">
        <v>144</v>
      </c>
      <c r="B151" s="31" t="n">
        <f aca="false">Assumptions!$B$4+A151/12</f>
        <v>77</v>
      </c>
      <c r="C151" s="34" t="n">
        <f aca="false">Assumptions!$B$4+INT(A151/12)</f>
        <v>77</v>
      </c>
      <c r="D151" s="34" t="n">
        <f aca="false">INT(A151/12)+1</f>
        <v>13</v>
      </c>
      <c r="E151" s="32" t="n">
        <f aca="false">IFERROR(INDEX(Cohort_Survival!$G$5:$G$65,MATCH(C151,Cohort_Survival!$A$5:$A$65,0)),1)</f>
        <v>0.0185804655408249</v>
      </c>
      <c r="F151" s="30" t="n">
        <f aca="false">1-(1-MIN(1,E151))^(1/12)</f>
        <v>0.00156171681898576</v>
      </c>
      <c r="G151" s="39" t="n">
        <f aca="false">IF(C151&lt;Assumptions!$B$5,IF(D151=1,Assumptions!$B$16,IF(D151=2,Assumptions!$B$17,IF(D151&lt;=5,Assumptions!$B$18,Assumptions!$B$19)))*(1-Assumptions!$B$20),0)</f>
        <v>0.0091</v>
      </c>
      <c r="H151" s="30" t="n">
        <f aca="false">1-(1-G151)^(1/12)</f>
        <v>0.000761514726814627</v>
      </c>
      <c r="I151" s="30" t="n">
        <f aca="false">I150*(1-F150)*(1-H150)</f>
        <v>0.753048807736933</v>
      </c>
      <c r="J151" s="30" t="n">
        <f aca="false">INDEX(Discount_Monthly!$G$4:$G$664,MATCH(A151,Discount_Monthly!$A$4:$A$664,0))</f>
        <v>0.702033923629033</v>
      </c>
      <c r="K151" s="30" t="n">
        <f aca="false">IF(C151&lt;Assumptions!$B$5,I151*J151,0)</f>
        <v>0.528665809179724</v>
      </c>
      <c r="L151" s="30" t="n">
        <f aca="false">IF(C151&lt;Assumptions!$B$5,I151*(1-F151)*H151*A151*J151,0)</f>
        <v>0.0578819624656659</v>
      </c>
      <c r="M151" s="30" t="n">
        <f aca="false">IF(A151=0,Assumptions!$B$14*12*I151*J151,IF(AND(A151&gt;=12,C151&lt;Assumptions!$B$5),Assumptions!$B$15*I151*J151,0))</f>
        <v>0.0264332904589862</v>
      </c>
      <c r="N151" s="47" t="n">
        <f aca="false">IF(C151&gt;=Assumptions!$B$5,I151*Assumptions!$B$9/12*(1+Assumptions!$B$10)^INT(A151/12)*J151,0)</f>
        <v>0</v>
      </c>
      <c r="O151" s="47" t="n">
        <f aca="false">I151*Assumptions!$B$12/12*(1+Assumptions!$B$11)^(INT(A151/12)+1)*J151</f>
        <v>4.8584777132674</v>
      </c>
      <c r="P151" s="47" t="n">
        <f aca="false">O151+Pricing_M!$B$13*M151+N151-Pricing_M!$B$13*K151</f>
        <v>-499.013300204708</v>
      </c>
      <c r="Q151" s="47" t="n">
        <f aca="false">IF(C151&lt;Assumptions!$B$5,Pricing_M!$B$13*K151-Pricing_M!$B$13*M151-O151,-(N151+O151))</f>
        <v>499.013300204708</v>
      </c>
      <c r="R151" s="32" t="n">
        <f aca="false">R150*(1-(1-(1-MIN(1,E150*(1-Assumptions!$B$21)))^(1/12)))*(1-H150)</f>
        <v>0.770815189303299</v>
      </c>
      <c r="S151" s="47" t="n">
        <f aca="false">R151*(IF(C151&lt;Assumptions!$B$5,Assumptions!$B$12*(1+Assumptions!$B$11)^(INT(A151/12)+1)/12+Pricing_M!$B$13*IF(A151=0,Assumptions!$B$14*12,IF(A151&gt;=12,Assumptions!$B$15,0))-Pricing_M!$B$13,Assumptions!$B$9/12*(1+Assumptions!$B$10)^INT(A151/12)+Assumptions!$B$12*(1+Assumptions!$B$11)^(INT(A151/12)+1)/12))*J151</f>
        <v>-510.786322892004</v>
      </c>
      <c r="T151" s="32" t="n">
        <f aca="false">T150*(1-F150)*(1-(1-(1-MIN(1,G150*(1+Assumptions!$B$23)))^(1/12)))</f>
        <v>0.691655102287004</v>
      </c>
      <c r="U151" s="47" t="n">
        <f aca="false">T151*(IF(C151&lt;Assumptions!$B$5,Assumptions!$B$12*(1+Assumptions!$B$11)^(INT(A151/12)+1)/12+Pricing_M!$B$13*IF(A151=0,Assumptions!$B$14*12,IF(A151&gt;=12,Assumptions!$B$15,0))-Pricing_M!$B$13,Assumptions!$B$9/12*(1+Assumptions!$B$10)^INT(A151/12)+Assumptions!$B$12*(1+Assumptions!$B$11)^(INT(A151/12)+1)/12))*J151</f>
        <v>-458.330312258106</v>
      </c>
      <c r="V151" s="32" t="n">
        <f aca="false">V150*(1-F150)*(1-(1-(1-MIN(1,G150*(1-Assumptions!$B$23)))^(1/12)))</f>
        <v>0.819191584892059</v>
      </c>
      <c r="W151" s="47" t="n">
        <f aca="false">V151*(IF(C151&lt;Assumptions!$B$5,Assumptions!$B$12*(1+Assumptions!$B$11)^(INT(A151/12)+1)/12+Pricing_M!$B$13*IF(A151=0,Assumptions!$B$14*12,IF(A151&gt;=12,Assumptions!$B$15,0))-Pricing_M!$B$13,Assumptions!$B$9/12*(1+Assumptions!$B$10)^INT(A151/12)+Assumptions!$B$12*(1+Assumptions!$B$11)^(INT(A151/12)+1)/12))*J151</f>
        <v>-542.84329525121</v>
      </c>
      <c r="X151" s="47" t="n">
        <f aca="false">I151*(IF(C151&lt;Assumptions!$B$5,Assumptions!$B$12*(1+Assumptions!$B$11)*(1+Assumptions!$B$24)*(1+Assumptions!$B$11+Assumptions!$B$25)^(INT(A151/12))/12+Pricing_M!$B$13*IF(A151=0,Assumptions!$B$14*12,IF(A151&gt;=12,Assumptions!$B$15,0))-Pricing_M!$B$13,Assumptions!$B$9/12*(1+Assumptions!$B$10)^INT(A151/12)+Assumptions!$B$12*(1+Assumptions!$B$11)*(1+Assumptions!$B$24)*(1+Assumptions!$B$11+Assumptions!$B$25)^(INT(A151/12))/12))*J151</f>
        <v>-497.867086237268</v>
      </c>
    </row>
    <row r="152" customFormat="false" ht="15" hidden="false" customHeight="true" outlineLevel="0" collapsed="false">
      <c r="A152" s="1" t="n">
        <v>145</v>
      </c>
      <c r="B152" s="31" t="n">
        <f aca="false">Assumptions!$B$4+A152/12</f>
        <v>77.0833333333333</v>
      </c>
      <c r="C152" s="34" t="n">
        <f aca="false">Assumptions!$B$4+INT(A152/12)</f>
        <v>77</v>
      </c>
      <c r="D152" s="34" t="n">
        <f aca="false">INT(A152/12)+1</f>
        <v>13</v>
      </c>
      <c r="E152" s="32" t="n">
        <f aca="false">IFERROR(INDEX(Cohort_Survival!$G$5:$G$65,MATCH(C152,Cohort_Survival!$A$5:$A$65,0)),1)</f>
        <v>0.0185804655408249</v>
      </c>
      <c r="F152" s="30" t="n">
        <f aca="false">1-(1-MIN(1,E152))^(1/12)</f>
        <v>0.00156171681898576</v>
      </c>
      <c r="G152" s="39" t="n">
        <f aca="false">IF(C152&lt;Assumptions!$B$5,IF(D152=1,Assumptions!$B$16,IF(D152=2,Assumptions!$B$17,IF(D152&lt;=5,Assumptions!$B$18,Assumptions!$B$19)))*(1-Assumptions!$B$20),0)</f>
        <v>0.0091</v>
      </c>
      <c r="H152" s="30" t="n">
        <f aca="false">1-(1-G152)^(1/12)</f>
        <v>0.000761514726814627</v>
      </c>
      <c r="I152" s="30" t="n">
        <f aca="false">I151*(1-F151)*(1-H151)</f>
        <v>0.751300196569895</v>
      </c>
      <c r="J152" s="30" t="n">
        <f aca="false">INDEX(Discount_Monthly!$G$4:$G$664,MATCH(A152,Discount_Monthly!$A$4:$A$664,0))</f>
        <v>0.700009417754199</v>
      </c>
      <c r="K152" s="30" t="n">
        <f aca="false">IF(C152&lt;Assumptions!$B$5,I152*J152,0)</f>
        <v>0.525917213159508</v>
      </c>
      <c r="L152" s="30" t="n">
        <f aca="false">IF(C152&lt;Assumptions!$B$5,I152*(1-F152)*H152*A152*J152,0)</f>
        <v>0.0579808955474091</v>
      </c>
      <c r="M152" s="30" t="n">
        <f aca="false">IF(A152=0,Assumptions!$B$14*12*I152*J152,IF(AND(A152&gt;=12,C152&lt;Assumptions!$B$5),Assumptions!$B$15*I152*J152,0))</f>
        <v>0.0262958606579754</v>
      </c>
      <c r="N152" s="47" t="n">
        <f aca="false">IF(C152&gt;=Assumptions!$B$5,I152*Assumptions!$B$9/12*(1+Assumptions!$B$10)^INT(A152/12)*J152,0)</f>
        <v>0</v>
      </c>
      <c r="O152" s="47" t="n">
        <f aca="false">I152*Assumptions!$B$12/12*(1+Assumptions!$B$11)^(INT(A152/12)+1)*J152</f>
        <v>4.83321791345602</v>
      </c>
      <c r="P152" s="47" t="n">
        <f aca="false">O152+Pricing_M!$B$13*M152+N152-Pricing_M!$B$13*K152</f>
        <v>-496.418871083017</v>
      </c>
      <c r="Q152" s="47" t="n">
        <f aca="false">IF(C152&lt;Assumptions!$B$5,Pricing_M!$B$13*K152-Pricing_M!$B$13*M152-O152,-(N152+O152))</f>
        <v>496.418871083017</v>
      </c>
      <c r="R152" s="32" t="n">
        <f aca="false">R151*(1-(1-(1-MIN(1,E151*(1-Assumptions!$B$21)))^(1/12)))*(1-H151)</f>
        <v>0.769267559883863</v>
      </c>
      <c r="S152" s="47" t="n">
        <f aca="false">R152*(IF(C152&lt;Assumptions!$B$5,Assumptions!$B$12*(1+Assumptions!$B$11)^(INT(A152/12)+1)/12+Pricing_M!$B$13*IF(A152=0,Assumptions!$B$14*12,IF(A152&gt;=12,Assumptions!$B$15,0))-Pricing_M!$B$13,Assumptions!$B$9/12*(1+Assumptions!$B$10)^INT(A152/12)+Assumptions!$B$12*(1+Assumptions!$B$11)^(INT(A152/12)+1)/12))*J152</f>
        <v>-508.290741013812</v>
      </c>
      <c r="T152" s="32" t="n">
        <f aca="false">T151*(1-F151)*(1-(1-(1-MIN(1,G151*(1+Assumptions!$B$23)))^(1/12)))</f>
        <v>0.689784446139531</v>
      </c>
      <c r="U152" s="47" t="n">
        <f aca="false">T152*(IF(C152&lt;Assumptions!$B$5,Assumptions!$B$12*(1+Assumptions!$B$11)^(INT(A152/12)+1)/12+Pricing_M!$B$13*IF(A152=0,Assumptions!$B$14*12,IF(A152&gt;=12,Assumptions!$B$15,0))-Pricing_M!$B$13,Assumptions!$B$9/12*(1+Assumptions!$B$10)^INT(A152/12)+Assumptions!$B$12*(1+Assumptions!$B$11)^(INT(A152/12)+1)/12))*J152</f>
        <v>-455.772562827161</v>
      </c>
      <c r="V152" s="32" t="n">
        <f aca="false">V151*(1-F151)*(1-(1-(1-MIN(1,G151*(1-Assumptions!$B$23)))^(1/12)))</f>
        <v>0.81760146593218</v>
      </c>
      <c r="W152" s="47" t="n">
        <f aca="false">V152*(IF(C152&lt;Assumptions!$B$5,Assumptions!$B$12*(1+Assumptions!$B$11)^(INT(A152/12)+1)/12+Pricing_M!$B$13*IF(A152=0,Assumptions!$B$14*12,IF(A152&gt;=12,Assumptions!$B$15,0))-Pricing_M!$B$13,Assumptions!$B$9/12*(1+Assumptions!$B$10)^INT(A152/12)+Assumptions!$B$12*(1+Assumptions!$B$11)^(INT(A152/12)+1)/12))*J152</f>
        <v>-540.22719355979</v>
      </c>
      <c r="X152" s="47" t="n">
        <f aca="false">I152*(IF(C152&lt;Assumptions!$B$5,Assumptions!$B$12*(1+Assumptions!$B$11)*(1+Assumptions!$B$24)*(1+Assumptions!$B$11+Assumptions!$B$25)^(INT(A152/12))/12+Pricing_M!$B$13*IF(A152=0,Assumptions!$B$14*12,IF(A152&gt;=12,Assumptions!$B$15,0))-Pricing_M!$B$13,Assumptions!$B$9/12*(1+Assumptions!$B$10)^INT(A152/12)+Assumptions!$B$12*(1+Assumptions!$B$11)*(1+Assumptions!$B$24)*(1+Assumptions!$B$11+Assumptions!$B$25)^(INT(A152/12))/12))*J152</f>
        <v>-495.278616417455</v>
      </c>
    </row>
    <row r="153" customFormat="false" ht="15" hidden="false" customHeight="true" outlineLevel="0" collapsed="false">
      <c r="A153" s="1" t="n">
        <v>146</v>
      </c>
      <c r="B153" s="31" t="n">
        <f aca="false">Assumptions!$B$4+A153/12</f>
        <v>77.1666666666667</v>
      </c>
      <c r="C153" s="34" t="n">
        <f aca="false">Assumptions!$B$4+INT(A153/12)</f>
        <v>77</v>
      </c>
      <c r="D153" s="34" t="n">
        <f aca="false">INT(A153/12)+1</f>
        <v>13</v>
      </c>
      <c r="E153" s="32" t="n">
        <f aca="false">IFERROR(INDEX(Cohort_Survival!$G$5:$G$65,MATCH(C153,Cohort_Survival!$A$5:$A$65,0)),1)</f>
        <v>0.0185804655408249</v>
      </c>
      <c r="F153" s="30" t="n">
        <f aca="false">1-(1-MIN(1,E153))^(1/12)</f>
        <v>0.00156171681898576</v>
      </c>
      <c r="G153" s="39" t="n">
        <f aca="false">IF(C153&lt;Assumptions!$B$5,IF(D153=1,Assumptions!$B$16,IF(D153=2,Assumptions!$B$17,IF(D153&lt;=5,Assumptions!$B$18,Assumptions!$B$19)))*(1-Assumptions!$B$20),0)</f>
        <v>0.0091</v>
      </c>
      <c r="H153" s="30" t="n">
        <f aca="false">1-(1-G153)^(1/12)</f>
        <v>0.000761514726814627</v>
      </c>
      <c r="I153" s="30" t="n">
        <f aca="false">I152*(1-F152)*(1-H152)</f>
        <v>0.749555645751911</v>
      </c>
      <c r="J153" s="30" t="n">
        <f aca="false">INDEX(Discount_Monthly!$G$4:$G$664,MATCH(A153,Discount_Monthly!$A$4:$A$664,0))</f>
        <v>0.697990750093017</v>
      </c>
      <c r="K153" s="30" t="n">
        <f aca="false">IF(C153&lt;Assumptions!$B$5,I153*J153,0)</f>
        <v>0.523182907414832</v>
      </c>
      <c r="L153" s="30" t="n">
        <f aca="false">IF(C153&lt;Assumptions!$B$5,I153*(1-F153)*H153*A153*J153,0)</f>
        <v>0.058077235302105</v>
      </c>
      <c r="M153" s="30" t="n">
        <f aca="false">IF(A153=0,Assumptions!$B$14*12*I153*J153,IF(AND(A153&gt;=12,C153&lt;Assumptions!$B$5),Assumptions!$B$15*I153*J153,0))</f>
        <v>0.0261591453707416</v>
      </c>
      <c r="N153" s="47" t="n">
        <f aca="false">IF(C153&gt;=Assumptions!$B$5,I153*Assumptions!$B$9/12*(1+Assumptions!$B$10)^INT(A153/12)*J153,0)</f>
        <v>0</v>
      </c>
      <c r="O153" s="47" t="n">
        <f aca="false">I153*Assumptions!$B$12/12*(1+Assumptions!$B$11)^(INT(A153/12)+1)*J153</f>
        <v>4.8080894423291</v>
      </c>
      <c r="P153" s="47" t="n">
        <f aca="false">O153+Pricing_M!$B$13*M153+N153-Pricing_M!$B$13*K153</f>
        <v>-493.837930704943</v>
      </c>
      <c r="Q153" s="47" t="n">
        <f aca="false">IF(C153&lt;Assumptions!$B$5,Pricing_M!$B$13*K153-Pricing_M!$B$13*M153-O153,-(N153+O153))</f>
        <v>493.837930704943</v>
      </c>
      <c r="R153" s="32" t="n">
        <f aca="false">R152*(1-(1-(1-MIN(1,E152*(1-Assumptions!$B$21)))^(1/12)))*(1-H152)</f>
        <v>0.767723037768036</v>
      </c>
      <c r="S153" s="47" t="n">
        <f aca="false">R153*(IF(C153&lt;Assumptions!$B$5,Assumptions!$B$12*(1+Assumptions!$B$11)^(INT(A153/12)+1)/12+Pricing_M!$B$13*IF(A153=0,Assumptions!$B$14*12,IF(A153&gt;=12,Assumptions!$B$15,0))-Pricing_M!$B$13,Assumptions!$B$9/12*(1+Assumptions!$B$10)^INT(A153/12)+Assumptions!$B$12*(1+Assumptions!$B$11)^(INT(A153/12)+1)/12))*J153</f>
        <v>-505.807351961919</v>
      </c>
      <c r="T153" s="32" t="n">
        <f aca="false">T152*(1-F152)*(1-(1-(1-MIN(1,G152*(1+Assumptions!$B$23)))^(1/12)))</f>
        <v>0.687918849384247</v>
      </c>
      <c r="U153" s="47" t="n">
        <f aca="false">T153*(IF(C153&lt;Assumptions!$B$5,Assumptions!$B$12*(1+Assumptions!$B$11)^(INT(A153/12)+1)/12+Pricing_M!$B$13*IF(A153=0,Assumptions!$B$14*12,IF(A153&gt;=12,Assumptions!$B$15,0))-Pricing_M!$B$13,Assumptions!$B$9/12*(1+Assumptions!$B$10)^INT(A153/12)+Assumptions!$B$12*(1+Assumptions!$B$11)^(INT(A153/12)+1)/12))*J153</f>
        <v>-453.229087124085</v>
      </c>
      <c r="V153" s="32" t="n">
        <f aca="false">V152*(1-F152)*(1-(1-(1-MIN(1,G152*(1-Assumptions!$B$23)))^(1/12)))</f>
        <v>0.816014433525378</v>
      </c>
      <c r="W153" s="47" t="n">
        <f aca="false">V153*(IF(C153&lt;Assumptions!$B$5,Assumptions!$B$12*(1+Assumptions!$B$11)^(INT(A153/12)+1)/12+Pricing_M!$B$13*IF(A153=0,Assumptions!$B$14*12,IF(A153&gt;=12,Assumptions!$B$15,0))-Pricing_M!$B$13,Assumptions!$B$9/12*(1+Assumptions!$B$10)^INT(A153/12)+Assumptions!$B$12*(1+Assumptions!$B$11)^(INT(A153/12)+1)/12))*J153</f>
        <v>-537.623699536402</v>
      </c>
      <c r="X153" s="47" t="n">
        <f aca="false">I153*(IF(C153&lt;Assumptions!$B$5,Assumptions!$B$12*(1+Assumptions!$B$11)*(1+Assumptions!$B$24)*(1+Assumptions!$B$11+Assumptions!$B$25)^(INT(A153/12))/12+Pricing_M!$B$13*IF(A153=0,Assumptions!$B$14*12,IF(A153&gt;=12,Assumptions!$B$15,0))-Pricing_M!$B$13,Assumptions!$B$9/12*(1+Assumptions!$B$10)^INT(A153/12)+Assumptions!$B$12*(1+Assumptions!$B$11)*(1+Assumptions!$B$24)*(1+Assumptions!$B$11+Assumptions!$B$25)^(INT(A153/12))/12))*J153</f>
        <v>-492.703604358144</v>
      </c>
    </row>
    <row r="154" customFormat="false" ht="15" hidden="false" customHeight="true" outlineLevel="0" collapsed="false">
      <c r="A154" s="1" t="n">
        <v>147</v>
      </c>
      <c r="B154" s="31" t="n">
        <f aca="false">Assumptions!$B$4+A154/12</f>
        <v>77.25</v>
      </c>
      <c r="C154" s="34" t="n">
        <f aca="false">Assumptions!$B$4+INT(A154/12)</f>
        <v>77</v>
      </c>
      <c r="D154" s="34" t="n">
        <f aca="false">INT(A154/12)+1</f>
        <v>13</v>
      </c>
      <c r="E154" s="32" t="n">
        <f aca="false">IFERROR(INDEX(Cohort_Survival!$G$5:$G$65,MATCH(C154,Cohort_Survival!$A$5:$A$65,0)),1)</f>
        <v>0.0185804655408249</v>
      </c>
      <c r="F154" s="30" t="n">
        <f aca="false">1-(1-MIN(1,E154))^(1/12)</f>
        <v>0.00156171681898576</v>
      </c>
      <c r="G154" s="39" t="n">
        <f aca="false">IF(C154&lt;Assumptions!$B$5,IF(D154=1,Assumptions!$B$16,IF(D154=2,Assumptions!$B$17,IF(D154&lt;=5,Assumptions!$B$18,Assumptions!$B$19)))*(1-Assumptions!$B$20),0)</f>
        <v>0.0091</v>
      </c>
      <c r="H154" s="30" t="n">
        <f aca="false">1-(1-G154)^(1/12)</f>
        <v>0.000761514726814627</v>
      </c>
      <c r="I154" s="30" t="n">
        <f aca="false">I153*(1-F153)*(1-H153)</f>
        <v>0.747815145854677</v>
      </c>
      <c r="J154" s="30" t="n">
        <f aca="false">INDEX(Discount_Monthly!$G$4:$G$664,MATCH(A154,Discount_Monthly!$A$4:$A$664,0))</f>
        <v>0.69597790380941</v>
      </c>
      <c r="K154" s="30" t="n">
        <f aca="false">IF(C154&lt;Assumptions!$B$5,I154*J154,0)</f>
        <v>0.520462817648866</v>
      </c>
      <c r="L154" s="30" t="n">
        <f aca="false">IF(C154&lt;Assumptions!$B$5,I154*(1-F154)*H154*A154*J154,0)</f>
        <v>0.0581710060215377</v>
      </c>
      <c r="M154" s="30" t="n">
        <f aca="false">IF(A154=0,Assumptions!$B$14*12*I154*J154,IF(AND(A154&gt;=12,C154&lt;Assumptions!$B$5),Assumptions!$B$15*I154*J154,0))</f>
        <v>0.0260231408824433</v>
      </c>
      <c r="N154" s="47" t="n">
        <f aca="false">IF(C154&gt;=Assumptions!$B$5,I154*Assumptions!$B$9/12*(1+Assumptions!$B$10)^INT(A154/12)*J154,0)</f>
        <v>0</v>
      </c>
      <c r="O154" s="47" t="n">
        <f aca="false">I154*Assumptions!$B$12/12*(1+Assumptions!$B$11)^(INT(A154/12)+1)*J154</f>
        <v>4.78309161709327</v>
      </c>
      <c r="P154" s="47" t="n">
        <f aca="false">O154+Pricing_M!$B$13*M154+N154-Pricing_M!$B$13*K154</f>
        <v>-491.270408940913</v>
      </c>
      <c r="Q154" s="47" t="n">
        <f aca="false">IF(C154&lt;Assumptions!$B$5,Pricing_M!$B$13*K154-Pricing_M!$B$13*M154-O154,-(N154+O154))</f>
        <v>491.270408940913</v>
      </c>
      <c r="R154" s="32" t="n">
        <f aca="false">R153*(1-(1-(1-MIN(1,E153*(1-Assumptions!$B$21)))^(1/12)))*(1-H153)</f>
        <v>0.766181616717029</v>
      </c>
      <c r="S154" s="47" t="n">
        <f aca="false">R154*(IF(C154&lt;Assumptions!$B$5,Assumptions!$B$12*(1+Assumptions!$B$11)^(INT(A154/12)+1)/12+Pricing_M!$B$13*IF(A154=0,Assumptions!$B$14*12,IF(A154&gt;=12,Assumptions!$B$15,0))-Pricing_M!$B$13,Assumptions!$B$9/12*(1+Assumptions!$B$10)^INT(A154/12)+Assumptions!$B$12*(1+Assumptions!$B$11)^(INT(A154/12)+1)/12))*J154</f>
        <v>-503.336096165042</v>
      </c>
      <c r="T154" s="32" t="n">
        <f aca="false">T153*(1-F153)*(1-(1-(1-MIN(1,G153*(1+Assumptions!$B$23)))^(1/12)))</f>
        <v>0.686058298337478</v>
      </c>
      <c r="U154" s="47" t="n">
        <f aca="false">T154*(IF(C154&lt;Assumptions!$B$5,Assumptions!$B$12*(1+Assumptions!$B$11)^(INT(A154/12)+1)/12+Pricing_M!$B$13*IF(A154=0,Assumptions!$B$14*12,IF(A154&gt;=12,Assumptions!$B$15,0))-Pricing_M!$B$13,Assumptions!$B$9/12*(1+Assumptions!$B$10)^INT(A154/12)+Assumptions!$B$12*(1+Assumptions!$B$11)^(INT(A154/12)+1)/12))*J154</f>
        <v>-450.699805493184</v>
      </c>
      <c r="V154" s="32" t="n">
        <f aca="false">V153*(1-F153)*(1-(1-(1-MIN(1,G153*(1-Assumptions!$B$23)))^(1/12)))</f>
        <v>0.814430481680395</v>
      </c>
      <c r="W154" s="47" t="n">
        <f aca="false">V154*(IF(C154&lt;Assumptions!$B$5,Assumptions!$B$12*(1+Assumptions!$B$11)^(INT(A154/12)+1)/12+Pricing_M!$B$13*IF(A154=0,Assumptions!$B$14*12,IF(A154&gt;=12,Assumptions!$B$15,0))-Pricing_M!$B$13,Assumptions!$B$9/12*(1+Assumptions!$B$10)^INT(A154/12)+Assumptions!$B$12*(1+Assumptions!$B$11)^(INT(A154/12)+1)/12))*J154</f>
        <v>-535.032752421446</v>
      </c>
      <c r="X154" s="47" t="n">
        <f aca="false">I154*(IF(C154&lt;Assumptions!$B$5,Assumptions!$B$12*(1+Assumptions!$B$11)*(1+Assumptions!$B$24)*(1+Assumptions!$B$11+Assumptions!$B$25)^(INT(A154/12))/12+Pricing_M!$B$13*IF(A154=0,Assumptions!$B$14*12,IF(A154&gt;=12,Assumptions!$B$15,0))-Pricing_M!$B$13,Assumptions!$B$9/12*(1+Assumptions!$B$10)^INT(A154/12)+Assumptions!$B$12*(1+Assumptions!$B$11)*(1+Assumptions!$B$24)*(1+Assumptions!$B$11+Assumptions!$B$25)^(INT(A154/12))/12))*J154</f>
        <v>-490.141980090847</v>
      </c>
    </row>
    <row r="155" customFormat="false" ht="15" hidden="false" customHeight="true" outlineLevel="0" collapsed="false">
      <c r="A155" s="1" t="n">
        <v>148</v>
      </c>
      <c r="B155" s="31" t="n">
        <f aca="false">Assumptions!$B$4+A155/12</f>
        <v>77.3333333333333</v>
      </c>
      <c r="C155" s="34" t="n">
        <f aca="false">Assumptions!$B$4+INT(A155/12)</f>
        <v>77</v>
      </c>
      <c r="D155" s="34" t="n">
        <f aca="false">INT(A155/12)+1</f>
        <v>13</v>
      </c>
      <c r="E155" s="32" t="n">
        <f aca="false">IFERROR(INDEX(Cohort_Survival!$G$5:$G$65,MATCH(C155,Cohort_Survival!$A$5:$A$65,0)),1)</f>
        <v>0.0185804655408249</v>
      </c>
      <c r="F155" s="30" t="n">
        <f aca="false">1-(1-MIN(1,E155))^(1/12)</f>
        <v>0.00156171681898576</v>
      </c>
      <c r="G155" s="39" t="n">
        <f aca="false">IF(C155&lt;Assumptions!$B$5,IF(D155=1,Assumptions!$B$16,IF(D155=2,Assumptions!$B$17,IF(D155&lt;=5,Assumptions!$B$18,Assumptions!$B$19)))*(1-Assumptions!$B$20),0)</f>
        <v>0.0091</v>
      </c>
      <c r="H155" s="30" t="n">
        <f aca="false">1-(1-G155)^(1/12)</f>
        <v>0.000761514726814627</v>
      </c>
      <c r="I155" s="30" t="n">
        <f aca="false">I154*(1-F154)*(1-H154)</f>
        <v>0.746078687471786</v>
      </c>
      <c r="J155" s="30" t="n">
        <f aca="false">INDEX(Discount_Monthly!$G$4:$G$664,MATCH(A155,Discount_Monthly!$A$4:$A$664,0))</f>
        <v>0.69397086211585</v>
      </c>
      <c r="K155" s="30" t="n">
        <f aca="false">IF(C155&lt;Assumptions!$B$5,I155*J155,0)</f>
        <v>0.517756869951057</v>
      </c>
      <c r="L155" s="30" t="n">
        <f aca="false">IF(C155&lt;Assumptions!$B$5,I155*(1-F155)*H155*A155*J155,0)</f>
        <v>0.0582622318149997</v>
      </c>
      <c r="M155" s="30" t="n">
        <f aca="false">IF(A155=0,Assumptions!$B$14*12*I155*J155,IF(AND(A155&gt;=12,C155&lt;Assumptions!$B$5),Assumptions!$B$15*I155*J155,0))</f>
        <v>0.0258878434975528</v>
      </c>
      <c r="N155" s="47" t="n">
        <f aca="false">IF(C155&gt;=Assumptions!$B$5,I155*Assumptions!$B$9/12*(1+Assumptions!$B$10)^INT(A155/12)*J155,0)</f>
        <v>0</v>
      </c>
      <c r="O155" s="47" t="n">
        <f aca="false">I155*Assumptions!$B$12/12*(1+Assumptions!$B$11)^(INT(A155/12)+1)*J155</f>
        <v>4.75822375850512</v>
      </c>
      <c r="P155" s="47" t="n">
        <f aca="false">O155+Pricing_M!$B$13*M155+N155-Pricing_M!$B$13*K155</f>
        <v>-488.716236025966</v>
      </c>
      <c r="Q155" s="47" t="n">
        <f aca="false">IF(C155&lt;Assumptions!$B$5,Pricing_M!$B$13*K155-Pricing_M!$B$13*M155-O155,-(N155+O155))</f>
        <v>488.716236025966</v>
      </c>
      <c r="R155" s="32" t="n">
        <f aca="false">R154*(1-(1-(1-MIN(1,E154*(1-Assumptions!$B$21)))^(1/12)))*(1-H154)</f>
        <v>0.764643290504576</v>
      </c>
      <c r="S155" s="47" t="n">
        <f aca="false">R155*(IF(C155&lt;Assumptions!$B$5,Assumptions!$B$12*(1+Assumptions!$B$11)^(INT(A155/12)+1)/12+Pricing_M!$B$13*IF(A155=0,Assumptions!$B$14*12,IF(A155&gt;=12,Assumptions!$B$15,0))-Pricing_M!$B$13,Assumptions!$B$9/12*(1+Assumptions!$B$10)^INT(A155/12)+Assumptions!$B$12*(1+Assumptions!$B$11)^(INT(A155/12)+1)/12))*J155</f>
        <v>-500.87691434295</v>
      </c>
      <c r="T155" s="32" t="n">
        <f aca="false">T154*(1-F154)*(1-(1-(1-MIN(1,G154*(1+Assumptions!$B$23)))^(1/12)))</f>
        <v>0.684202779352559</v>
      </c>
      <c r="U155" s="47" t="n">
        <f aca="false">T155*(IF(C155&lt;Assumptions!$B$5,Assumptions!$B$12*(1+Assumptions!$B$11)^(INT(A155/12)+1)/12+Pricing_M!$B$13*IF(A155=0,Assumptions!$B$14*12,IF(A155&gt;=12,Assumptions!$B$15,0))-Pricing_M!$B$13,Assumptions!$B$9/12*(1+Assumptions!$B$10)^INT(A155/12)+Assumptions!$B$12*(1+Assumptions!$B$11)^(INT(A155/12)+1)/12))*J155</f>
        <v>-448.184638723288</v>
      </c>
      <c r="V155" s="32" t="n">
        <f aca="false">V154*(1-F154)*(1-(1-(1-MIN(1,G154*(1-Assumptions!$B$23)))^(1/12)))</f>
        <v>0.812849604417607</v>
      </c>
      <c r="W155" s="47" t="n">
        <f aca="false">V155*(IF(C155&lt;Assumptions!$B$5,Assumptions!$B$12*(1+Assumptions!$B$11)^(INT(A155/12)+1)/12+Pricing_M!$B$13*IF(A155=0,Assumptions!$B$14*12,IF(A155&gt;=12,Assumptions!$B$15,0))-Pricing_M!$B$13,Assumptions!$B$9/12*(1+Assumptions!$B$10)^INT(A155/12)+Assumptions!$B$12*(1+Assumptions!$B$11)^(INT(A155/12)+1)/12))*J155</f>
        <v>-532.454291748136</v>
      </c>
      <c r="X155" s="47" t="n">
        <f aca="false">I155*(IF(C155&lt;Assumptions!$B$5,Assumptions!$B$12*(1+Assumptions!$B$11)*(1+Assumptions!$B$24)*(1+Assumptions!$B$11+Assumptions!$B$25)^(INT(A155/12))/12+Pricing_M!$B$13*IF(A155=0,Assumptions!$B$14*12,IF(A155&gt;=12,Assumptions!$B$15,0))-Pricing_M!$B$13,Assumptions!$B$9/12*(1+Assumptions!$B$10)^INT(A155/12)+Assumptions!$B$12*(1+Assumptions!$B$11)*(1+Assumptions!$B$24)*(1+Assumptions!$B$11+Assumptions!$B$25)^(INT(A155/12))/12))*J155</f>
        <v>-487.59367401085</v>
      </c>
    </row>
    <row r="156" customFormat="false" ht="15" hidden="false" customHeight="true" outlineLevel="0" collapsed="false">
      <c r="A156" s="1" t="n">
        <v>149</v>
      </c>
      <c r="B156" s="31" t="n">
        <f aca="false">Assumptions!$B$4+A156/12</f>
        <v>77.4166666666667</v>
      </c>
      <c r="C156" s="34" t="n">
        <f aca="false">Assumptions!$B$4+INT(A156/12)</f>
        <v>77</v>
      </c>
      <c r="D156" s="34" t="n">
        <f aca="false">INT(A156/12)+1</f>
        <v>13</v>
      </c>
      <c r="E156" s="32" t="n">
        <f aca="false">IFERROR(INDEX(Cohort_Survival!$G$5:$G$65,MATCH(C156,Cohort_Survival!$A$5:$A$65,0)),1)</f>
        <v>0.0185804655408249</v>
      </c>
      <c r="F156" s="30" t="n">
        <f aca="false">1-(1-MIN(1,E156))^(1/12)</f>
        <v>0.00156171681898576</v>
      </c>
      <c r="G156" s="39" t="n">
        <f aca="false">IF(C156&lt;Assumptions!$B$5,IF(D156=1,Assumptions!$B$16,IF(D156=2,Assumptions!$B$17,IF(D156&lt;=5,Assumptions!$B$18,Assumptions!$B$19)))*(1-Assumptions!$B$20),0)</f>
        <v>0.0091</v>
      </c>
      <c r="H156" s="30" t="n">
        <f aca="false">1-(1-G156)^(1/12)</f>
        <v>0.000761514726814627</v>
      </c>
      <c r="I156" s="30" t="n">
        <f aca="false">I155*(1-F155)*(1-H155)</f>
        <v>0.744346261218669</v>
      </c>
      <c r="J156" s="30" t="n">
        <f aca="false">INDEX(Discount_Monthly!$G$4:$G$664,MATCH(A156,Discount_Monthly!$A$4:$A$664,0))</f>
        <v>0.691969608273223</v>
      </c>
      <c r="K156" s="30" t="n">
        <f aca="false">IF(C156&lt;Assumptions!$B$5,I156*J156,0)</f>
        <v>0.51506499079512</v>
      </c>
      <c r="L156" s="30" t="n">
        <f aca="false">IF(C156&lt;Assumptions!$B$5,I156*(1-F156)*H156*A156*J156,0)</f>
        <v>0.0583509366105324</v>
      </c>
      <c r="M156" s="30" t="n">
        <f aca="false">IF(A156=0,Assumptions!$B$14*12*I156*J156,IF(AND(A156&gt;=12,C156&lt;Assumptions!$B$5),Assumptions!$B$15*I156*J156,0))</f>
        <v>0.025753249539756</v>
      </c>
      <c r="N156" s="47" t="n">
        <f aca="false">IF(C156&gt;=Assumptions!$B$5,I156*Assumptions!$B$9/12*(1+Assumptions!$B$10)^INT(A156/12)*J156,0)</f>
        <v>0</v>
      </c>
      <c r="O156" s="47" t="n">
        <f aca="false">I156*Assumptions!$B$12/12*(1+Assumptions!$B$11)^(INT(A156/12)+1)*J156</f>
        <v>4.73348519085267</v>
      </c>
      <c r="P156" s="47" t="n">
        <f aca="false">O156+Pricing_M!$B$13*M156+N156-Pricing_M!$B$13*K156</f>
        <v>-486.17534255786</v>
      </c>
      <c r="Q156" s="47" t="n">
        <f aca="false">IF(C156&lt;Assumptions!$B$5,Pricing_M!$B$13*K156-Pricing_M!$B$13*M156-O156,-(N156+O156))</f>
        <v>486.17534255786</v>
      </c>
      <c r="R156" s="32" t="n">
        <f aca="false">R155*(1-(1-(1-MIN(1,E155*(1-Assumptions!$B$21)))^(1/12)))*(1-H155)</f>
        <v>0.763108052916914</v>
      </c>
      <c r="S156" s="47" t="n">
        <f aca="false">R156*(IF(C156&lt;Assumptions!$B$5,Assumptions!$B$12*(1+Assumptions!$B$11)^(INT(A156/12)+1)/12+Pricing_M!$B$13*IF(A156=0,Assumptions!$B$14*12,IF(A156&gt;=12,Assumptions!$B$15,0))-Pricing_M!$B$13,Assumptions!$B$9/12*(1+Assumptions!$B$10)^INT(A156/12)+Assumptions!$B$12*(1+Assumptions!$B$11)^(INT(A156/12)+1)/12))*J156</f>
        <v>-498.42974750504</v>
      </c>
      <c r="T156" s="32" t="n">
        <f aca="false">T155*(1-F155)*(1-(1-(1-MIN(1,G155*(1+Assumptions!$B$23)))^(1/12)))</f>
        <v>0.682352278819733</v>
      </c>
      <c r="U156" s="47" t="n">
        <f aca="false">T156*(IF(C156&lt;Assumptions!$B$5,Assumptions!$B$12*(1+Assumptions!$B$11)^(INT(A156/12)+1)/12+Pricing_M!$B$13*IF(A156=0,Assumptions!$B$14*12,IF(A156&gt;=12,Assumptions!$B$15,0))-Pricing_M!$B$13,Assumptions!$B$9/12*(1+Assumptions!$B$10)^INT(A156/12)+Assumptions!$B$12*(1+Assumptions!$B$11)^(INT(A156/12)+1)/12))*J156</f>
        <v>-445.683508045273</v>
      </c>
      <c r="V156" s="32" t="n">
        <f aca="false">V155*(1-F155)*(1-(1-(1-MIN(1,G155*(1-Assumptions!$B$23)))^(1/12)))</f>
        <v>0.811271795768993</v>
      </c>
      <c r="W156" s="47" t="n">
        <f aca="false">V156*(IF(C156&lt;Assumptions!$B$5,Assumptions!$B$12*(1+Assumptions!$B$11)^(INT(A156/12)+1)/12+Pricing_M!$B$13*IF(A156=0,Assumptions!$B$14*12,IF(A156&gt;=12,Assumptions!$B$15,0))-Pricing_M!$B$13,Assumptions!$B$9/12*(1+Assumptions!$B$10)^INT(A156/12)+Assumptions!$B$12*(1+Assumptions!$B$11)^(INT(A156/12)+1)/12))*J156</f>
        <v>-529.888257341095</v>
      </c>
      <c r="X156" s="47" t="n">
        <f aca="false">I156*(IF(C156&lt;Assumptions!$B$5,Assumptions!$B$12*(1+Assumptions!$B$11)*(1+Assumptions!$B$24)*(1+Assumptions!$B$11+Assumptions!$B$25)^(INT(A156/12))/12+Pricing_M!$B$13*IF(A156=0,Assumptions!$B$14*12,IF(A156&gt;=12,Assumptions!$B$15,0))-Pricing_M!$B$13,Assumptions!$B$9/12*(1+Assumptions!$B$10)^INT(A156/12)+Assumptions!$B$12*(1+Assumptions!$B$11)*(1+Assumptions!$B$24)*(1+Assumptions!$B$11+Assumptions!$B$25)^(INT(A156/12))/12))*J156</f>
        <v>-485.058616875326</v>
      </c>
    </row>
    <row r="157" customFormat="false" ht="15" hidden="false" customHeight="true" outlineLevel="0" collapsed="false">
      <c r="A157" s="1" t="n">
        <v>150</v>
      </c>
      <c r="B157" s="31" t="n">
        <f aca="false">Assumptions!$B$4+A157/12</f>
        <v>77.5</v>
      </c>
      <c r="C157" s="34" t="n">
        <f aca="false">Assumptions!$B$4+INT(A157/12)</f>
        <v>77</v>
      </c>
      <c r="D157" s="34" t="n">
        <f aca="false">INT(A157/12)+1</f>
        <v>13</v>
      </c>
      <c r="E157" s="32" t="n">
        <f aca="false">IFERROR(INDEX(Cohort_Survival!$G$5:$G$65,MATCH(C157,Cohort_Survival!$A$5:$A$65,0)),1)</f>
        <v>0.0185804655408249</v>
      </c>
      <c r="F157" s="30" t="n">
        <f aca="false">1-(1-MIN(1,E157))^(1/12)</f>
        <v>0.00156171681898576</v>
      </c>
      <c r="G157" s="39" t="n">
        <f aca="false">IF(C157&lt;Assumptions!$B$5,IF(D157=1,Assumptions!$B$16,IF(D157=2,Assumptions!$B$17,IF(D157&lt;=5,Assumptions!$B$18,Assumptions!$B$19)))*(1-Assumptions!$B$20),0)</f>
        <v>0.0091</v>
      </c>
      <c r="H157" s="30" t="n">
        <f aca="false">1-(1-G157)^(1/12)</f>
        <v>0.000761514726814627</v>
      </c>
      <c r="I157" s="30" t="n">
        <f aca="false">I156*(1-F156)*(1-H156)</f>
        <v>0.742617857732551</v>
      </c>
      <c r="J157" s="30" t="n">
        <f aca="false">INDEX(Discount_Monthly!$G$4:$G$664,MATCH(A157,Discount_Monthly!$A$4:$A$664,0))</f>
        <v>0.689974125590685</v>
      </c>
      <c r="K157" s="30" t="n">
        <f aca="false">IF(C157&lt;Assumptions!$B$5,I157*J157,0)</f>
        <v>0.512387107037045</v>
      </c>
      <c r="L157" s="30" t="n">
        <f aca="false">IF(C157&lt;Assumptions!$B$5,I157*(1-F157)*H157*A157*J157,0)</f>
        <v>0.0584371441561591</v>
      </c>
      <c r="M157" s="30" t="n">
        <f aca="false">IF(A157=0,Assumptions!$B$14*12*I157*J157,IF(AND(A157&gt;=12,C157&lt;Assumptions!$B$5),Assumptions!$B$15*I157*J157,0))</f>
        <v>0.0256193553518522</v>
      </c>
      <c r="N157" s="47" t="n">
        <f aca="false">IF(C157&gt;=Assumptions!$B$5,I157*Assumptions!$B$9/12*(1+Assumptions!$B$10)^INT(A157/12)*J157,0)</f>
        <v>0</v>
      </c>
      <c r="O157" s="47" t="n">
        <f aca="false">I157*Assumptions!$B$12/12*(1+Assumptions!$B$11)^(INT(A157/12)+1)*J157</f>
        <v>4.70887524193708</v>
      </c>
      <c r="P157" s="47" t="n">
        <f aca="false">O157+Pricing_M!$B$13*M157+N157-Pricing_M!$B$13*K157</f>
        <v>-483.647659495179</v>
      </c>
      <c r="Q157" s="47" t="n">
        <f aca="false">IF(C157&lt;Assumptions!$B$5,Pricing_M!$B$13*K157-Pricing_M!$B$13*M157-O157,-(N157+O157))</f>
        <v>483.647659495179</v>
      </c>
      <c r="R157" s="32" t="n">
        <f aca="false">R156*(1-(1-(1-MIN(1,E156*(1-Assumptions!$B$21)))^(1/12)))*(1-H156)</f>
        <v>0.761575897752756</v>
      </c>
      <c r="S157" s="47" t="n">
        <f aca="false">R157*(IF(C157&lt;Assumptions!$B$5,Assumptions!$B$12*(1+Assumptions!$B$11)^(INT(A157/12)+1)/12+Pricing_M!$B$13*IF(A157=0,Assumptions!$B$14*12,IF(A157&gt;=12,Assumptions!$B$15,0))-Pricing_M!$B$13,Assumptions!$B$9/12*(1+Assumptions!$B$10)^INT(A157/12)+Assumptions!$B$12*(1+Assumptions!$B$11)^(INT(A157/12)+1)/12))*J157</f>
        <v>-495.994536948926</v>
      </c>
      <c r="T157" s="32" t="n">
        <f aca="false">T156*(1-F156)*(1-(1-(1-MIN(1,G156*(1+Assumptions!$B$23)))^(1/12)))</f>
        <v>0.680506783166053</v>
      </c>
      <c r="U157" s="47" t="n">
        <f aca="false">T157*(IF(C157&lt;Assumptions!$B$5,Assumptions!$B$12*(1+Assumptions!$B$11)^(INT(A157/12)+1)/12+Pricing_M!$B$13*IF(A157=0,Assumptions!$B$14*12,IF(A157&gt;=12,Assumptions!$B$15,0))-Pricing_M!$B$13,Assumptions!$B$9/12*(1+Assumptions!$B$10)^INT(A157/12)+Assumptions!$B$12*(1+Assumptions!$B$11)^(INT(A157/12)+1)/12))*J157</f>
        <v>-443.196335129591</v>
      </c>
      <c r="V157" s="32" t="n">
        <f aca="false">V156*(1-F156)*(1-(1-(1-MIN(1,G156*(1-Assumptions!$B$23)))^(1/12)))</f>
        <v>0.809697049778118</v>
      </c>
      <c r="W157" s="47" t="n">
        <f aca="false">V157*(IF(C157&lt;Assumptions!$B$5,Assumptions!$B$12*(1+Assumptions!$B$11)^(INT(A157/12)+1)/12+Pricing_M!$B$13*IF(A157=0,Assumptions!$B$14*12,IF(A157&gt;=12,Assumptions!$B$15,0))-Pricing_M!$B$13,Assumptions!$B$9/12*(1+Assumptions!$B$10)^INT(A157/12)+Assumptions!$B$12*(1+Assumptions!$B$11)^(INT(A157/12)+1)/12))*J157</f>
        <v>-527.334589314944</v>
      </c>
      <c r="X157" s="47" t="n">
        <f aca="false">I157*(IF(C157&lt;Assumptions!$B$5,Assumptions!$B$12*(1+Assumptions!$B$11)*(1+Assumptions!$B$24)*(1+Assumptions!$B$11+Assumptions!$B$25)^(INT(A157/12))/12+Pricing_M!$B$13*IF(A157=0,Assumptions!$B$14*12,IF(A157&gt;=12,Assumptions!$B$15,0))-Pricing_M!$B$13,Assumptions!$B$9/12*(1+Assumptions!$B$10)^INT(A157/12)+Assumptions!$B$12*(1+Assumptions!$B$11)*(1+Assumptions!$B$24)*(1+Assumptions!$B$11+Assumptions!$B$25)^(INT(A157/12))/12))*J157</f>
        <v>-482.536739801444</v>
      </c>
    </row>
    <row r="158" customFormat="false" ht="15" hidden="false" customHeight="true" outlineLevel="0" collapsed="false">
      <c r="A158" s="1" t="n">
        <v>151</v>
      </c>
      <c r="B158" s="31" t="n">
        <f aca="false">Assumptions!$B$4+A158/12</f>
        <v>77.5833333333333</v>
      </c>
      <c r="C158" s="34" t="n">
        <f aca="false">Assumptions!$B$4+INT(A158/12)</f>
        <v>77</v>
      </c>
      <c r="D158" s="34" t="n">
        <f aca="false">INT(A158/12)+1</f>
        <v>13</v>
      </c>
      <c r="E158" s="32" t="n">
        <f aca="false">IFERROR(INDEX(Cohort_Survival!$G$5:$G$65,MATCH(C158,Cohort_Survival!$A$5:$A$65,0)),1)</f>
        <v>0.0185804655408249</v>
      </c>
      <c r="F158" s="30" t="n">
        <f aca="false">1-(1-MIN(1,E158))^(1/12)</f>
        <v>0.00156171681898576</v>
      </c>
      <c r="G158" s="39" t="n">
        <f aca="false">IF(C158&lt;Assumptions!$B$5,IF(D158=1,Assumptions!$B$16,IF(D158=2,Assumptions!$B$17,IF(D158&lt;=5,Assumptions!$B$18,Assumptions!$B$19)))*(1-Assumptions!$B$20),0)</f>
        <v>0.0091</v>
      </c>
      <c r="H158" s="30" t="n">
        <f aca="false">1-(1-G158)^(1/12)</f>
        <v>0.000761514726814627</v>
      </c>
      <c r="I158" s="30" t="n">
        <f aca="false">I157*(1-F157)*(1-H157)</f>
        <v>0.740893467672396</v>
      </c>
      <c r="J158" s="30" t="n">
        <f aca="false">INDEX(Discount_Monthly!$G$4:$G$664,MATCH(A158,Discount_Monthly!$A$4:$A$664,0))</f>
        <v>0.687984397425526</v>
      </c>
      <c r="K158" s="30" t="n">
        <f aca="false">IF(C158&lt;Assumptions!$B$5,I158*J158,0)</f>
        <v>0.509723145913102</v>
      </c>
      <c r="L158" s="30" t="n">
        <f aca="false">IF(C158&lt;Assumptions!$B$5,I158*(1-F158)*H158*A158*J158,0)</f>
        <v>0.0585208780211105</v>
      </c>
      <c r="M158" s="30" t="n">
        <f aca="false">IF(A158=0,Assumptions!$B$14*12*I158*J158,IF(AND(A158&gt;=12,C158&lt;Assumptions!$B$5),Assumptions!$B$15*I158*J158,0))</f>
        <v>0.0254861572956551</v>
      </c>
      <c r="N158" s="47" t="n">
        <f aca="false">IF(C158&gt;=Assumptions!$B$5,I158*Assumptions!$B$9/12*(1+Assumptions!$B$10)^INT(A158/12)*J158,0)</f>
        <v>0</v>
      </c>
      <c r="O158" s="47" t="n">
        <f aca="false">I158*Assumptions!$B$12/12*(1+Assumptions!$B$11)^(INT(A158/12)+1)*J158</f>
        <v>4.68439324305434</v>
      </c>
      <c r="P158" s="47" t="n">
        <f aca="false">O158+Pricing_M!$B$13*M158+N158-Pricing_M!$B$13*K158</f>
        <v>-481.133118155465</v>
      </c>
      <c r="Q158" s="47" t="n">
        <f aca="false">IF(C158&lt;Assumptions!$B$5,Pricing_M!$B$13*K158-Pricing_M!$B$13*M158-O158,-(N158+O158))</f>
        <v>481.133118155465</v>
      </c>
      <c r="R158" s="32" t="n">
        <f aca="false">R157*(1-(1-(1-MIN(1,E157*(1-Assumptions!$B$21)))^(1/12)))*(1-H157)</f>
        <v>0.760046818823264</v>
      </c>
      <c r="S158" s="47" t="n">
        <f aca="false">R158*(IF(C158&lt;Assumptions!$B$5,Assumptions!$B$12*(1+Assumptions!$B$11)^(INT(A158/12)+1)/12+Pricing_M!$B$13*IF(A158=0,Assumptions!$B$14*12,IF(A158&gt;=12,Assumptions!$B$15,0))-Pricing_M!$B$13,Assumptions!$B$9/12*(1+Assumptions!$B$10)^INT(A158/12)+Assumptions!$B$12*(1+Assumptions!$B$11)^(INT(A158/12)+1)/12))*J158</f>
        <v>-493.571224259025</v>
      </c>
      <c r="T158" s="32" t="n">
        <f aca="false">T157*(1-F157)*(1-(1-(1-MIN(1,G157*(1+Assumptions!$B$23)))^(1/12)))</f>
        <v>0.67866627885528</v>
      </c>
      <c r="U158" s="47" t="n">
        <f aca="false">T158*(IF(C158&lt;Assumptions!$B$5,Assumptions!$B$12*(1+Assumptions!$B$11)^(INT(A158/12)+1)/12+Pricing_M!$B$13*IF(A158=0,Assumptions!$B$14*12,IF(A158&gt;=12,Assumptions!$B$15,0))-Pricing_M!$B$13,Assumptions!$B$9/12*(1+Assumptions!$B$10)^INT(A158/12)+Assumptions!$B$12*(1+Assumptions!$B$11)^(INT(A158/12)+1)/12))*J158</f>
        <v>-440.723042083818</v>
      </c>
      <c r="V158" s="32" t="n">
        <f aca="false">V157*(1-F157)*(1-(1-(1-MIN(1,G157*(1-Assumptions!$B$23)))^(1/12)))</f>
        <v>0.808125360500108</v>
      </c>
      <c r="W158" s="47" t="n">
        <f aca="false">V158*(IF(C158&lt;Assumptions!$B$5,Assumptions!$B$12*(1+Assumptions!$B$11)^(INT(A158/12)+1)/12+Pricing_M!$B$13*IF(A158=0,Assumptions!$B$14*12,IF(A158&gt;=12,Assumptions!$B$15,0))-Pricing_M!$B$13,Assumptions!$B$9/12*(1+Assumptions!$B$10)^INT(A158/12)+Assumptions!$B$12*(1+Assumptions!$B$11)^(INT(A158/12)+1)/12))*J158</f>
        <v>-524.793228072907</v>
      </c>
      <c r="X158" s="47" t="n">
        <f aca="false">I158*(IF(C158&lt;Assumptions!$B$5,Assumptions!$B$12*(1+Assumptions!$B$11)*(1+Assumptions!$B$24)*(1+Assumptions!$B$11+Assumptions!$B$25)^(INT(A158/12))/12+Pricing_M!$B$13*IF(A158=0,Assumptions!$B$14*12,IF(A158&gt;=12,Assumptions!$B$15,0))-Pricing_M!$B$13,Assumptions!$B$9/12*(1+Assumptions!$B$10)^INT(A158/12)+Assumptions!$B$12*(1+Assumptions!$B$11)*(1+Assumptions!$B$24)*(1+Assumptions!$B$11+Assumptions!$B$25)^(INT(A158/12))/12))*J158</f>
        <v>-480.027974264508</v>
      </c>
    </row>
    <row r="159" customFormat="false" ht="15" hidden="false" customHeight="true" outlineLevel="0" collapsed="false">
      <c r="A159" s="1" t="n">
        <v>152</v>
      </c>
      <c r="B159" s="31" t="n">
        <f aca="false">Assumptions!$B$4+A159/12</f>
        <v>77.6666666666667</v>
      </c>
      <c r="C159" s="34" t="n">
        <f aca="false">Assumptions!$B$4+INT(A159/12)</f>
        <v>77</v>
      </c>
      <c r="D159" s="34" t="n">
        <f aca="false">INT(A159/12)+1</f>
        <v>13</v>
      </c>
      <c r="E159" s="32" t="n">
        <f aca="false">IFERROR(INDEX(Cohort_Survival!$G$5:$G$65,MATCH(C159,Cohort_Survival!$A$5:$A$65,0)),1)</f>
        <v>0.0185804655408249</v>
      </c>
      <c r="F159" s="30" t="n">
        <f aca="false">1-(1-MIN(1,E159))^(1/12)</f>
        <v>0.00156171681898576</v>
      </c>
      <c r="G159" s="39" t="n">
        <f aca="false">IF(C159&lt;Assumptions!$B$5,IF(D159=1,Assumptions!$B$16,IF(D159=2,Assumptions!$B$17,IF(D159&lt;=5,Assumptions!$B$18,Assumptions!$B$19)))*(1-Assumptions!$B$20),0)</f>
        <v>0.0091</v>
      </c>
      <c r="H159" s="30" t="n">
        <f aca="false">1-(1-G159)^(1/12)</f>
        <v>0.000761514726814627</v>
      </c>
      <c r="I159" s="30" t="n">
        <f aca="false">I158*(1-F158)*(1-H158)</f>
        <v>0.739173081718861</v>
      </c>
      <c r="J159" s="30" t="n">
        <f aca="false">INDEX(Discount_Monthly!$G$4:$G$664,MATCH(A159,Discount_Monthly!$A$4:$A$664,0))</f>
        <v>0.686000407183029</v>
      </c>
      <c r="K159" s="30" t="n">
        <f aca="false">IF(C159&lt;Assumptions!$B$5,I159*J159,0)</f>
        <v>0.507073035037873</v>
      </c>
      <c r="L159" s="30" t="n">
        <f aca="false">IF(C159&lt;Assumptions!$B$5,I159*(1-F159)*H159*A159*J159,0)</f>
        <v>0.0586021615970414</v>
      </c>
      <c r="M159" s="30" t="n">
        <f aca="false">IF(A159=0,Assumptions!$B$14*12*I159*J159,IF(AND(A159&gt;=12,C159&lt;Assumptions!$B$5),Assumptions!$B$15*I159*J159,0))</f>
        <v>0.0253536517518937</v>
      </c>
      <c r="N159" s="47" t="n">
        <f aca="false">IF(C159&gt;=Assumptions!$B$5,I159*Assumptions!$B$9/12*(1+Assumptions!$B$10)^INT(A159/12)*J159,0)</f>
        <v>0</v>
      </c>
      <c r="O159" s="47" t="n">
        <f aca="false">I159*Assumptions!$B$12/12*(1+Assumptions!$B$11)^(INT(A159/12)+1)*J159</f>
        <v>4.66003852897709</v>
      </c>
      <c r="P159" s="47" t="n">
        <f aca="false">O159+Pricing_M!$B$13*M159+N159-Pricing_M!$B$13*K159</f>
        <v>-478.631650213348</v>
      </c>
      <c r="Q159" s="47" t="n">
        <f aca="false">IF(C159&lt;Assumptions!$B$5,Pricing_M!$B$13*K159-Pricing_M!$B$13*M159-O159,-(N159+O159))</f>
        <v>478.631650213348</v>
      </c>
      <c r="R159" s="32" t="n">
        <f aca="false">R158*(1-(1-(1-MIN(1,E158*(1-Assumptions!$B$21)))^(1/12)))*(1-H158)</f>
        <v>0.758520809952029</v>
      </c>
      <c r="S159" s="47" t="n">
        <f aca="false">R159*(IF(C159&lt;Assumptions!$B$5,Assumptions!$B$12*(1+Assumptions!$B$11)^(INT(A159/12)+1)/12+Pricing_M!$B$13*IF(A159=0,Assumptions!$B$14*12,IF(A159&gt;=12,Assumptions!$B$15,0))-Pricing_M!$B$13,Assumptions!$B$9/12*(1+Assumptions!$B$10)^INT(A159/12)+Assumptions!$B$12*(1+Assumptions!$B$11)^(INT(A159/12)+1)/12))*J159</f>
        <v>-491.159751305161</v>
      </c>
      <c r="T159" s="32" t="n">
        <f aca="false">T158*(1-F158)*(1-(1-(1-MIN(1,G158*(1+Assumptions!$B$23)))^(1/12)))</f>
        <v>0.676830752387789</v>
      </c>
      <c r="U159" s="47" t="n">
        <f aca="false">T159*(IF(C159&lt;Assumptions!$B$5,Assumptions!$B$12*(1+Assumptions!$B$11)^(INT(A159/12)+1)/12+Pricing_M!$B$13*IF(A159=0,Assumptions!$B$14*12,IF(A159&gt;=12,Assumptions!$B$15,0))-Pricing_M!$B$13,Assumptions!$B$9/12*(1+Assumptions!$B$10)^INT(A159/12)+Assumptions!$B$12*(1+Assumptions!$B$11)^(INT(A159/12)+1)/12))*J159</f>
        <v>-438.263551450217</v>
      </c>
      <c r="V159" s="32" t="n">
        <f aca="false">V158*(1-F158)*(1-(1-(1-MIN(1,G158*(1-Assumptions!$B$23)))^(1/12)))</f>
        <v>0.806556722001631</v>
      </c>
      <c r="W159" s="47" t="n">
        <f aca="false">V159*(IF(C159&lt;Assumptions!$B$5,Assumptions!$B$12*(1+Assumptions!$B$11)^(INT(A159/12)+1)/12+Pricing_M!$B$13*IF(A159=0,Assumptions!$B$14*12,IF(A159&gt;=12,Assumptions!$B$15,0))-Pricing_M!$B$13,Assumptions!$B$9/12*(1+Assumptions!$B$10)^INT(A159/12)+Assumptions!$B$12*(1+Assumptions!$B$11)^(INT(A159/12)+1)/12))*J159</f>
        <v>-522.264114305421</v>
      </c>
      <c r="X159" s="47" t="n">
        <f aca="false">I159*(IF(C159&lt;Assumptions!$B$5,Assumptions!$B$12*(1+Assumptions!$B$11)*(1+Assumptions!$B$24)*(1+Assumptions!$B$11+Assumptions!$B$25)^(INT(A159/12))/12+Pricing_M!$B$13*IF(A159=0,Assumptions!$B$14*12,IF(A159&gt;=12,Assumptions!$B$15,0))-Pricing_M!$B$13,Assumptions!$B$9/12*(1+Assumptions!$B$10)^INT(A159/12)+Assumptions!$B$12*(1+Assumptions!$B$11)*(1+Assumptions!$B$24)*(1+Assumptions!$B$11+Assumptions!$B$25)^(INT(A159/12))/12))*J159</f>
        <v>-477.532252096087</v>
      </c>
    </row>
    <row r="160" customFormat="false" ht="15" hidden="false" customHeight="true" outlineLevel="0" collapsed="false">
      <c r="A160" s="1" t="n">
        <v>153</v>
      </c>
      <c r="B160" s="31" t="n">
        <f aca="false">Assumptions!$B$4+A160/12</f>
        <v>77.75</v>
      </c>
      <c r="C160" s="34" t="n">
        <f aca="false">Assumptions!$B$4+INT(A160/12)</f>
        <v>77</v>
      </c>
      <c r="D160" s="34" t="n">
        <f aca="false">INT(A160/12)+1</f>
        <v>13</v>
      </c>
      <c r="E160" s="32" t="n">
        <f aca="false">IFERROR(INDEX(Cohort_Survival!$G$5:$G$65,MATCH(C160,Cohort_Survival!$A$5:$A$65,0)),1)</f>
        <v>0.0185804655408249</v>
      </c>
      <c r="F160" s="30" t="n">
        <f aca="false">1-(1-MIN(1,E160))^(1/12)</f>
        <v>0.00156171681898576</v>
      </c>
      <c r="G160" s="39" t="n">
        <f aca="false">IF(C160&lt;Assumptions!$B$5,IF(D160=1,Assumptions!$B$16,IF(D160=2,Assumptions!$B$17,IF(D160&lt;=5,Assumptions!$B$18,Assumptions!$B$19)))*(1-Assumptions!$B$20),0)</f>
        <v>0.0091</v>
      </c>
      <c r="H160" s="30" t="n">
        <f aca="false">1-(1-G160)^(1/12)</f>
        <v>0.000761514726814627</v>
      </c>
      <c r="I160" s="30" t="n">
        <f aca="false">I159*(1-F159)*(1-H159)</f>
        <v>0.73745669057424</v>
      </c>
      <c r="J160" s="30" t="n">
        <f aca="false">INDEX(Discount_Monthly!$G$4:$G$664,MATCH(A160,Discount_Monthly!$A$4:$A$664,0))</f>
        <v>0.684022138316332</v>
      </c>
      <c r="K160" s="30" t="n">
        <f aca="false">IF(C160&lt;Assumptions!$B$5,I160*J160,0)</f>
        <v>0.504436702402277</v>
      </c>
      <c r="L160" s="30" t="n">
        <f aca="false">IF(C160&lt;Assumptions!$B$5,I160*(1-F160)*H160*A160*J160,0)</f>
        <v>0.0586810180992403</v>
      </c>
      <c r="M160" s="30" t="n">
        <f aca="false">IF(A160=0,Assumptions!$B$14*12*I160*J160,IF(AND(A160&gt;=12,C160&lt;Assumptions!$B$5),Assumptions!$B$15*I160*J160,0))</f>
        <v>0.0252218351201139</v>
      </c>
      <c r="N160" s="47" t="n">
        <f aca="false">IF(C160&gt;=Assumptions!$B$5,I160*Assumptions!$B$9/12*(1+Assumptions!$B$10)^INT(A160/12)*J160,0)</f>
        <v>0</v>
      </c>
      <c r="O160" s="47" t="n">
        <f aca="false">I160*Assumptions!$B$12/12*(1+Assumptions!$B$11)^(INT(A160/12)+1)*J160</f>
        <v>4.6358104379366</v>
      </c>
      <c r="P160" s="47" t="n">
        <f aca="false">O160+Pricing_M!$B$13*M160+N160-Pricing_M!$B$13*K160</f>
        <v>-476.143187698688</v>
      </c>
      <c r="Q160" s="47" t="n">
        <f aca="false">IF(C160&lt;Assumptions!$B$5,Pricing_M!$B$13*K160-Pricing_M!$B$13*M160-O160,-(N160+O160))</f>
        <v>476.143187698688</v>
      </c>
      <c r="R160" s="32" t="n">
        <f aca="false">R159*(1-(1-(1-MIN(1,E159*(1-Assumptions!$B$21)))^(1/12)))*(1-H159)</f>
        <v>0.75699786497504</v>
      </c>
      <c r="S160" s="47" t="n">
        <f aca="false">R160*(IF(C160&lt;Assumptions!$B$5,Assumptions!$B$12*(1+Assumptions!$B$11)^(INT(A160/12)+1)/12+Pricing_M!$B$13*IF(A160=0,Assumptions!$B$14*12,IF(A160&gt;=12,Assumptions!$B$15,0))-Pricing_M!$B$13,Assumptions!$B$9/12*(1+Assumptions!$B$10)^INT(A160/12)+Assumptions!$B$12*(1+Assumptions!$B$11)^(INT(A160/12)+1)/12))*J160</f>
        <v>-488.760060241167</v>
      </c>
      <c r="T160" s="32" t="n">
        <f aca="false">T159*(1-F159)*(1-(1-(1-MIN(1,G159*(1+Assumptions!$B$23)))^(1/12)))</f>
        <v>0.675000190300462</v>
      </c>
      <c r="U160" s="47" t="n">
        <f aca="false">T160*(IF(C160&lt;Assumptions!$B$5,Assumptions!$B$12*(1+Assumptions!$B$11)^(INT(A160/12)+1)/12+Pricing_M!$B$13*IF(A160=0,Assumptions!$B$14*12,IF(A160&gt;=12,Assumptions!$B$15,0))-Pricing_M!$B$13,Assumptions!$B$9/12*(1+Assumptions!$B$10)^INT(A160/12)+Assumptions!$B$12*(1+Assumptions!$B$11)^(INT(A160/12)+1)/12))*J160</f>
        <v>-435.817786203308</v>
      </c>
      <c r="V160" s="32" t="n">
        <f aca="false">V159*(1-F159)*(1-(1-(1-MIN(1,G159*(1-Assumptions!$B$23)))^(1/12)))</f>
        <v>0.804991128360869</v>
      </c>
      <c r="W160" s="47" t="n">
        <f aca="false">V160*(IF(C160&lt;Assumptions!$B$5,Assumptions!$B$12*(1+Assumptions!$B$11)^(INT(A160/12)+1)/12+Pricing_M!$B$13*IF(A160=0,Assumptions!$B$14*12,IF(A160&gt;=12,Assumptions!$B$15,0))-Pricing_M!$B$13,Assumptions!$B$9/12*(1+Assumptions!$B$10)^INT(A160/12)+Assumptions!$B$12*(1+Assumptions!$B$11)^(INT(A160/12)+1)/12))*J160</f>
        <v>-519.747188988751</v>
      </c>
      <c r="X160" s="47" t="n">
        <f aca="false">I160*(IF(C160&lt;Assumptions!$B$5,Assumptions!$B$12*(1+Assumptions!$B$11)*(1+Assumptions!$B$24)*(1+Assumptions!$B$11+Assumptions!$B$25)^(INT(A160/12))/12+Pricing_M!$B$13*IF(A160=0,Assumptions!$B$14*12,IF(A160&gt;=12,Assumptions!$B$15,0))-Pricing_M!$B$13,Assumptions!$B$9/12*(1+Assumptions!$B$10)^INT(A160/12)+Assumptions!$B$12*(1+Assumptions!$B$11)*(1+Assumptions!$B$24)*(1+Assumptions!$B$11+Assumptions!$B$25)^(INT(A160/12))/12))*J160</f>
        <v>-475.049505482167</v>
      </c>
    </row>
    <row r="161" customFormat="false" ht="15" hidden="false" customHeight="true" outlineLevel="0" collapsed="false">
      <c r="A161" s="1" t="n">
        <v>154</v>
      </c>
      <c r="B161" s="31" t="n">
        <f aca="false">Assumptions!$B$4+A161/12</f>
        <v>77.8333333333333</v>
      </c>
      <c r="C161" s="34" t="n">
        <f aca="false">Assumptions!$B$4+INT(A161/12)</f>
        <v>77</v>
      </c>
      <c r="D161" s="34" t="n">
        <f aca="false">INT(A161/12)+1</f>
        <v>13</v>
      </c>
      <c r="E161" s="32" t="n">
        <f aca="false">IFERROR(INDEX(Cohort_Survival!$G$5:$G$65,MATCH(C161,Cohort_Survival!$A$5:$A$65,0)),1)</f>
        <v>0.0185804655408249</v>
      </c>
      <c r="F161" s="30" t="n">
        <f aca="false">1-(1-MIN(1,E161))^(1/12)</f>
        <v>0.00156171681898576</v>
      </c>
      <c r="G161" s="39" t="n">
        <f aca="false">IF(C161&lt;Assumptions!$B$5,IF(D161=1,Assumptions!$B$16,IF(D161=2,Assumptions!$B$17,IF(D161&lt;=5,Assumptions!$B$18,Assumptions!$B$19)))*(1-Assumptions!$B$20),0)</f>
        <v>0.0091</v>
      </c>
      <c r="H161" s="30" t="n">
        <f aca="false">1-(1-G161)^(1/12)</f>
        <v>0.000761514726814627</v>
      </c>
      <c r="I161" s="30" t="n">
        <f aca="false">I160*(1-F160)*(1-H160)</f>
        <v>0.735744284962418</v>
      </c>
      <c r="J161" s="30" t="n">
        <f aca="false">INDEX(Discount_Monthly!$G$4:$G$664,MATCH(A161,Discount_Monthly!$A$4:$A$664,0))</f>
        <v>0.682049574326291</v>
      </c>
      <c r="K161" s="30" t="n">
        <f aca="false">IF(C161&lt;Assumptions!$B$5,I161*J161,0)</f>
        <v>0.501814076371618</v>
      </c>
      <c r="L161" s="30" t="n">
        <f aca="false">IF(C161&lt;Assumptions!$B$5,I161*(1-F161)*H161*A161*J161,0)</f>
        <v>0.0587574705678311</v>
      </c>
      <c r="M161" s="30" t="n">
        <f aca="false">IF(A161=0,Assumptions!$B$14*12*I161*J161,IF(AND(A161&gt;=12,C161&lt;Assumptions!$B$5),Assumptions!$B$15*I161*J161,0))</f>
        <v>0.0250907038185809</v>
      </c>
      <c r="N161" s="47" t="n">
        <f aca="false">IF(C161&gt;=Assumptions!$B$5,I161*Assumptions!$B$9/12*(1+Assumptions!$B$10)^INT(A161/12)*J161,0)</f>
        <v>0</v>
      </c>
      <c r="O161" s="47" t="n">
        <f aca="false">I161*Assumptions!$B$12/12*(1+Assumptions!$B$11)^(INT(A161/12)+1)*J161</f>
        <v>4.61170831160472</v>
      </c>
      <c r="P161" s="47" t="n">
        <f aca="false">O161+Pricing_M!$B$13*M161+N161-Pricing_M!$B$13*K161</f>
        <v>-473.667662994731</v>
      </c>
      <c r="Q161" s="47" t="n">
        <f aca="false">IF(C161&lt;Assumptions!$B$5,Pricing_M!$B$13*K161-Pricing_M!$B$13*M161-O161,-(N161+O161))</f>
        <v>473.667662994731</v>
      </c>
      <c r="R161" s="32" t="n">
        <f aca="false">R160*(1-(1-(1-MIN(1,E160*(1-Assumptions!$B$21)))^(1/12)))*(1-H160)</f>
        <v>0.755477977740664</v>
      </c>
      <c r="S161" s="47" t="n">
        <f aca="false">R161*(IF(C161&lt;Assumptions!$B$5,Assumptions!$B$12*(1+Assumptions!$B$11)^(INT(A161/12)+1)/12+Pricing_M!$B$13*IF(A161=0,Assumptions!$B$14*12,IF(A161&gt;=12,Assumptions!$B$15,0))-Pricing_M!$B$13,Assumptions!$B$9/12*(1+Assumptions!$B$10)^INT(A161/12)+Assumptions!$B$12*(1+Assumptions!$B$11)^(INT(A161/12)+1)/12))*J161</f>
        <v>-486.372093503499</v>
      </c>
      <c r="T161" s="32" t="n">
        <f aca="false">T160*(1-F160)*(1-(1-(1-MIN(1,G160*(1+Assumptions!$B$23)))^(1/12)))</f>
        <v>0.673174579166595</v>
      </c>
      <c r="U161" s="47" t="n">
        <f aca="false">T161*(IF(C161&lt;Assumptions!$B$5,Assumptions!$B$12*(1+Assumptions!$B$11)^(INT(A161/12)+1)/12+Pricing_M!$B$13*IF(A161=0,Assumptions!$B$14*12,IF(A161&gt;=12,Assumptions!$B$15,0))-Pricing_M!$B$13,Assumptions!$B$9/12*(1+Assumptions!$B$10)^INT(A161/12)+Assumptions!$B$12*(1+Assumptions!$B$11)^(INT(A161/12)+1)/12))*J161</f>
        <v>-433.385669747459</v>
      </c>
      <c r="V161" s="32" t="n">
        <f aca="false">V160*(1-F160)*(1-(1-(1-MIN(1,G160*(1-Assumptions!$B$23)))^(1/12)))</f>
        <v>0.8034285736675</v>
      </c>
      <c r="W161" s="47" t="n">
        <f aca="false">V161*(IF(C161&lt;Assumptions!$B$5,Assumptions!$B$12*(1+Assumptions!$B$11)^(INT(A161/12)+1)/12+Pricing_M!$B$13*IF(A161=0,Assumptions!$B$14*12,IF(A161&gt;=12,Assumptions!$B$15,0))-Pricing_M!$B$13,Assumptions!$B$9/12*(1+Assumptions!$B$10)^INT(A161/12)+Assumptions!$B$12*(1+Assumptions!$B$11)^(INT(A161/12)+1)/12))*J161</f>
        <v>-517.242393383612</v>
      </c>
      <c r="X161" s="47" t="n">
        <f aca="false">I161*(IF(C161&lt;Assumptions!$B$5,Assumptions!$B$12*(1+Assumptions!$B$11)*(1+Assumptions!$B$24)*(1+Assumptions!$B$11+Assumptions!$B$25)^(INT(A161/12))/12+Pricing_M!$B$13*IF(A161=0,Assumptions!$B$14*12,IF(A161&gt;=12,Assumptions!$B$15,0))-Pricing_M!$B$13,Assumptions!$B$9/12*(1+Assumptions!$B$10)^INT(A161/12)+Assumptions!$B$12*(1+Assumptions!$B$11)*(1+Assumptions!$B$24)*(1+Assumptions!$B$11+Assumptions!$B$25)^(INT(A161/12))/12))*J161</f>
        <v>-472.579666961306</v>
      </c>
    </row>
    <row r="162" customFormat="false" ht="15" hidden="false" customHeight="true" outlineLevel="0" collapsed="false">
      <c r="A162" s="1" t="n">
        <v>155</v>
      </c>
      <c r="B162" s="31" t="n">
        <f aca="false">Assumptions!$B$4+A162/12</f>
        <v>77.9166666666667</v>
      </c>
      <c r="C162" s="34" t="n">
        <f aca="false">Assumptions!$B$4+INT(A162/12)</f>
        <v>77</v>
      </c>
      <c r="D162" s="34" t="n">
        <f aca="false">INT(A162/12)+1</f>
        <v>13</v>
      </c>
      <c r="E162" s="32" t="n">
        <f aca="false">IFERROR(INDEX(Cohort_Survival!$G$5:$G$65,MATCH(C162,Cohort_Survival!$A$5:$A$65,0)),1)</f>
        <v>0.0185804655408249</v>
      </c>
      <c r="F162" s="30" t="n">
        <f aca="false">1-(1-MIN(1,E162))^(1/12)</f>
        <v>0.00156171681898576</v>
      </c>
      <c r="G162" s="39" t="n">
        <f aca="false">IF(C162&lt;Assumptions!$B$5,IF(D162=1,Assumptions!$B$16,IF(D162=2,Assumptions!$B$17,IF(D162&lt;=5,Assumptions!$B$18,Assumptions!$B$19)))*(1-Assumptions!$B$20),0)</f>
        <v>0.0091</v>
      </c>
      <c r="H162" s="30" t="n">
        <f aca="false">1-(1-G162)^(1/12)</f>
        <v>0.000761514726814627</v>
      </c>
      <c r="I162" s="30" t="n">
        <f aca="false">I161*(1-F161)*(1-H161)</f>
        <v>0.734035855628819</v>
      </c>
      <c r="J162" s="30" t="n">
        <f aca="false">INDEX(Discount_Monthly!$G$4:$G$664,MATCH(A162,Discount_Monthly!$A$4:$A$664,0))</f>
        <v>0.680082698761341</v>
      </c>
      <c r="K162" s="30" t="n">
        <f aca="false">IF(C162&lt;Assumptions!$B$5,I162*J162,0)</f>
        <v>0.499205085683638</v>
      </c>
      <c r="L162" s="30" t="n">
        <f aca="false">IF(C162&lt;Assumptions!$B$5,I162*(1-F162)*H162*A162*J162,0)</f>
        <v>0.0588315418689666</v>
      </c>
      <c r="M162" s="30" t="n">
        <f aca="false">IF(A162=0,Assumptions!$B$14*12*I162*J162,IF(AND(A162&gt;=12,C162&lt;Assumptions!$B$5),Assumptions!$B$15*I162*J162,0))</f>
        <v>0.0249602542841819</v>
      </c>
      <c r="N162" s="47" t="n">
        <f aca="false">IF(C162&gt;=Assumptions!$B$5,I162*Assumptions!$B$9/12*(1+Assumptions!$B$10)^INT(A162/12)*J162,0)</f>
        <v>0</v>
      </c>
      <c r="O162" s="47" t="n">
        <f aca="false">I162*Assumptions!$B$12/12*(1+Assumptions!$B$11)^(INT(A162/12)+1)*J162</f>
        <v>4.58773149507607</v>
      </c>
      <c r="P162" s="47" t="n">
        <f aca="false">O162+Pricing_M!$B$13*M162+N162-Pricing_M!$B$13*K162</f>
        <v>-471.20500883627</v>
      </c>
      <c r="Q162" s="47" t="n">
        <f aca="false">IF(C162&lt;Assumptions!$B$5,Pricing_M!$B$13*K162-Pricing_M!$B$13*M162-O162,-(N162+O162))</f>
        <v>471.20500883627</v>
      </c>
      <c r="R162" s="32" t="n">
        <f aca="false">R161*(1-(1-(1-MIN(1,E161*(1-Assumptions!$B$21)))^(1/12)))*(1-H161)</f>
        <v>0.753961142109617</v>
      </c>
      <c r="S162" s="47" t="n">
        <f aca="false">R162*(IF(C162&lt;Assumptions!$B$5,Assumptions!$B$12*(1+Assumptions!$B$11)^(INT(A162/12)+1)/12+Pricing_M!$B$13*IF(A162=0,Assumptions!$B$14*12,IF(A162&gt;=12,Assumptions!$B$15,0))-Pricing_M!$B$13,Assumptions!$B$9/12*(1+Assumptions!$B$10)^INT(A162/12)+Assumptions!$B$12*(1+Assumptions!$B$11)^(INT(A162/12)+1)/12))*J162</f>
        <v>-483.995793809855</v>
      </c>
      <c r="T162" s="32" t="n">
        <f aca="false">T161*(1-F161)*(1-(1-(1-MIN(1,G161*(1+Assumptions!$B$23)))^(1/12)))</f>
        <v>0.671353905595798</v>
      </c>
      <c r="U162" s="47" t="n">
        <f aca="false">T162*(IF(C162&lt;Assumptions!$B$5,Assumptions!$B$12*(1+Assumptions!$B$11)^(INT(A162/12)+1)/12+Pricing_M!$B$13*IF(A162=0,Assumptions!$B$14*12,IF(A162&gt;=12,Assumptions!$B$15,0))-Pricing_M!$B$13,Assumptions!$B$9/12*(1+Assumptions!$B$10)^INT(A162/12)+Assumptions!$B$12*(1+Assumptions!$B$11)^(INT(A162/12)+1)/12))*J162</f>
        <v>-430.967125914486</v>
      </c>
      <c r="V162" s="32" t="n">
        <f aca="false">V161*(1-F161)*(1-(1-(1-MIN(1,G161*(1-Assumptions!$B$23)))^(1/12)))</f>
        <v>0.801869052022676</v>
      </c>
      <c r="W162" s="47" t="n">
        <f aca="false">V162*(IF(C162&lt;Assumptions!$B$5,Assumptions!$B$12*(1+Assumptions!$B$11)^(INT(A162/12)+1)/12+Pricing_M!$B$13*IF(A162=0,Assumptions!$B$14*12,IF(A162&gt;=12,Assumptions!$B$15,0))-Pricing_M!$B$13,Assumptions!$B$9/12*(1+Assumptions!$B$10)^INT(A162/12)+Assumptions!$B$12*(1+Assumptions!$B$11)^(INT(A162/12)+1)/12))*J162</f>
        <v>-514.7496690338</v>
      </c>
      <c r="X162" s="47" t="n">
        <f aca="false">I162*(IF(C162&lt;Assumptions!$B$5,Assumptions!$B$12*(1+Assumptions!$B$11)*(1+Assumptions!$B$24)*(1+Assumptions!$B$11+Assumptions!$B$25)^(INT(A162/12))/12+Pricing_M!$B$13*IF(A162=0,Assumptions!$B$14*12,IF(A162&gt;=12,Assumptions!$B$15,0))-Pricing_M!$B$13,Assumptions!$B$9/12*(1+Assumptions!$B$10)^INT(A162/12)+Assumptions!$B$12*(1+Assumptions!$B$11)*(1+Assumptions!$B$24)*(1+Assumptions!$B$11+Assumptions!$B$25)^(INT(A162/12))/12))*J162</f>
        <v>-470.122669422804</v>
      </c>
    </row>
    <row r="163" customFormat="false" ht="15" hidden="false" customHeight="true" outlineLevel="0" collapsed="false">
      <c r="A163" s="1" t="n">
        <v>156</v>
      </c>
      <c r="B163" s="31" t="n">
        <f aca="false">Assumptions!$B$4+A163/12</f>
        <v>78</v>
      </c>
      <c r="C163" s="34" t="n">
        <f aca="false">Assumptions!$B$4+INT(A163/12)</f>
        <v>78</v>
      </c>
      <c r="D163" s="34" t="n">
        <f aca="false">INT(A163/12)+1</f>
        <v>14</v>
      </c>
      <c r="E163" s="32" t="n">
        <f aca="false">IFERROR(INDEX(Cohort_Survival!$G$5:$G$65,MATCH(C163,Cohort_Survival!$A$5:$A$65,0)),1)</f>
        <v>0.0208063466384408</v>
      </c>
      <c r="F163" s="30" t="n">
        <f aca="false">1-(1-MIN(1,E163))^(1/12)</f>
        <v>0.00175061993236203</v>
      </c>
      <c r="G163" s="39" t="n">
        <f aca="false">IF(C163&lt;Assumptions!$B$5,IF(D163=1,Assumptions!$B$16,IF(D163=2,Assumptions!$B$17,IF(D163&lt;=5,Assumptions!$B$18,Assumptions!$B$19)))*(1-Assumptions!$B$20),0)</f>
        <v>0.0091</v>
      </c>
      <c r="H163" s="30" t="n">
        <f aca="false">1-(1-G163)^(1/12)</f>
        <v>0.000761514726814627</v>
      </c>
      <c r="I163" s="30" t="n">
        <f aca="false">I162*(1-F162)*(1-H162)</f>
        <v>0.732331393340357</v>
      </c>
      <c r="J163" s="30" t="n">
        <f aca="false">INDEX(Discount_Monthly!$G$4:$G$664,MATCH(A163,Discount_Monthly!$A$4:$A$664,0))</f>
        <v>0.678121495217362</v>
      </c>
      <c r="K163" s="30" t="n">
        <f aca="false">IF(C163&lt;Assumptions!$B$5,I163*J163,0)</f>
        <v>0.496609659446577</v>
      </c>
      <c r="L163" s="30" t="n">
        <f aca="false">IF(C163&lt;Assumptions!$B$5,I163*(1-F163)*H163*A163*J163,0)</f>
        <v>0.0588921102833987</v>
      </c>
      <c r="M163" s="30" t="n">
        <f aca="false">IF(A163=0,Assumptions!$B$14*12*I163*J163,IF(AND(A163&gt;=12,C163&lt;Assumptions!$B$5),Assumptions!$B$15*I163*J163,0))</f>
        <v>0.0248304829723288</v>
      </c>
      <c r="N163" s="47" t="n">
        <f aca="false">IF(C163&gt;=Assumptions!$B$5,I163*Assumptions!$B$9/12*(1+Assumptions!$B$10)^INT(A163/12)*J163,0)</f>
        <v>0</v>
      </c>
      <c r="O163" s="47" t="n">
        <f aca="false">I163*Assumptions!$B$12/12*(1+Assumptions!$B$11)^(INT(A163/12)+1)*J163</f>
        <v>4.6779763202714</v>
      </c>
      <c r="P163" s="47" t="n">
        <f aca="false">O163+Pricing_M!$B$13*M163+N163-Pricing_M!$B$13*K163</f>
        <v>-468.641061324397</v>
      </c>
      <c r="Q163" s="47" t="n">
        <f aca="false">IF(C163&lt;Assumptions!$B$5,Pricing_M!$B$13*K163-Pricing_M!$B$13*M163-O163,-(N163+O163))</f>
        <v>468.641061324397</v>
      </c>
      <c r="R163" s="32" t="n">
        <f aca="false">R162*(1-(1-(1-MIN(1,E162*(1-Assumptions!$B$21)))^(1/12)))*(1-H162)</f>
        <v>0.752447351954943</v>
      </c>
      <c r="S163" s="47" t="n">
        <f aca="false">R163*(IF(C163&lt;Assumptions!$B$5,Assumptions!$B$12*(1+Assumptions!$B$11)^(INT(A163/12)+1)/12+Pricing_M!$B$13*IF(A163=0,Assumptions!$B$14*12,IF(A163&gt;=12,Assumptions!$B$15,0))-Pricing_M!$B$13,Assumptions!$B$9/12*(1+Assumptions!$B$10)^INT(A163/12)+Assumptions!$B$12*(1+Assumptions!$B$11)^(INT(A163/12)+1)/12))*J163</f>
        <v>-481.513873114832</v>
      </c>
      <c r="T163" s="32" t="n">
        <f aca="false">T162*(1-F162)*(1-(1-(1-MIN(1,G162*(1+Assumptions!$B$23)))^(1/12)))</f>
        <v>0.669538156233897</v>
      </c>
      <c r="U163" s="47" t="n">
        <f aca="false">T163*(IF(C163&lt;Assumptions!$B$5,Assumptions!$B$12*(1+Assumptions!$B$11)^(INT(A163/12)+1)/12+Pricing_M!$B$13*IF(A163=0,Assumptions!$B$14*12,IF(A163&gt;=12,Assumptions!$B$15,0))-Pricing_M!$B$13,Assumptions!$B$9/12*(1+Assumptions!$B$10)^INT(A163/12)+Assumptions!$B$12*(1+Assumptions!$B$11)^(INT(A163/12)+1)/12))*J163</f>
        <v>-428.457765142952</v>
      </c>
      <c r="V163" s="32" t="n">
        <f aca="false">V162*(1-F162)*(1-(1-(1-MIN(1,G162*(1-Assumptions!$B$23)))^(1/12)))</f>
        <v>0.800312557538996</v>
      </c>
      <c r="W163" s="47" t="n">
        <f aca="false">V163*(IF(C163&lt;Assumptions!$B$5,Assumptions!$B$12*(1+Assumptions!$B$11)^(INT(A163/12)+1)/12+Pricing_M!$B$13*IF(A163=0,Assumptions!$B$14*12,IF(A163&gt;=12,Assumptions!$B$15,0))-Pricing_M!$B$13,Assumptions!$B$9/12*(1+Assumptions!$B$10)^INT(A163/12)+Assumptions!$B$12*(1+Assumptions!$B$11)^(INT(A163/12)+1)/12))*J163</f>
        <v>-512.144269339011</v>
      </c>
      <c r="X163" s="47" t="n">
        <f aca="false">I163*(IF(C163&lt;Assumptions!$B$5,Assumptions!$B$12*(1+Assumptions!$B$11)*(1+Assumptions!$B$24)*(1+Assumptions!$B$11+Assumptions!$B$25)^(INT(A163/12))/12+Pricing_M!$B$13*IF(A163=0,Assumptions!$B$14*12,IF(A163&gt;=12,Assumptions!$B$15,0))-Pricing_M!$B$13,Assumptions!$B$9/12*(1+Assumptions!$B$10)^INT(A163/12)+Assumptions!$B$12*(1+Assumptions!$B$11)*(1+Assumptions!$B$24)*(1+Assumptions!$B$11+Assumptions!$B$25)^(INT(A163/12))/12))*J163</f>
        <v>-467.481025400981</v>
      </c>
    </row>
    <row r="164" customFormat="false" ht="15" hidden="false" customHeight="true" outlineLevel="0" collapsed="false">
      <c r="A164" s="1" t="n">
        <v>157</v>
      </c>
      <c r="B164" s="31" t="n">
        <f aca="false">Assumptions!$B$4+A164/12</f>
        <v>78.0833333333333</v>
      </c>
      <c r="C164" s="34" t="n">
        <f aca="false">Assumptions!$B$4+INT(A164/12)</f>
        <v>78</v>
      </c>
      <c r="D164" s="34" t="n">
        <f aca="false">INT(A164/12)+1</f>
        <v>14</v>
      </c>
      <c r="E164" s="32" t="n">
        <f aca="false">IFERROR(INDEX(Cohort_Survival!$G$5:$G$65,MATCH(C164,Cohort_Survival!$A$5:$A$65,0)),1)</f>
        <v>0.0208063466384408</v>
      </c>
      <c r="F164" s="30" t="n">
        <f aca="false">1-(1-MIN(1,E164))^(1/12)</f>
        <v>0.00175061993236203</v>
      </c>
      <c r="G164" s="39" t="n">
        <f aca="false">IF(C164&lt;Assumptions!$B$5,IF(D164=1,Assumptions!$B$16,IF(D164=2,Assumptions!$B$17,IF(D164&lt;=5,Assumptions!$B$18,Assumptions!$B$19)))*(1-Assumptions!$B$20),0)</f>
        <v>0.0091</v>
      </c>
      <c r="H164" s="30" t="n">
        <f aca="false">1-(1-G164)^(1/12)</f>
        <v>0.000761514726814627</v>
      </c>
      <c r="I164" s="30" t="n">
        <f aca="false">I163*(1-F163)*(1-H163)</f>
        <v>0.730492654552865</v>
      </c>
      <c r="J164" s="30" t="n">
        <f aca="false">INDEX(Discount_Monthly!$G$4:$G$664,MATCH(A164,Discount_Monthly!$A$4:$A$664,0))</f>
        <v>0.676205411163516</v>
      </c>
      <c r="K164" s="30" t="n">
        <f aca="false">IF(C164&lt;Assumptions!$B$5,I164*J164,0)</f>
        <v>0.493963085823848</v>
      </c>
      <c r="L164" s="30" t="n">
        <f aca="false">IF(C164&lt;Assumptions!$B$5,I164*(1-F164)*H164*A164*J164,0)</f>
        <v>0.0589537591875592</v>
      </c>
      <c r="M164" s="30" t="n">
        <f aca="false">IF(A164=0,Assumptions!$B$14*12*I164*J164,IF(AND(A164&gt;=12,C164&lt;Assumptions!$B$5),Assumptions!$B$15*I164*J164,0))</f>
        <v>0.0246981542911924</v>
      </c>
      <c r="N164" s="47" t="n">
        <f aca="false">IF(C164&gt;=Assumptions!$B$5,I164*Assumptions!$B$9/12*(1+Assumptions!$B$10)^INT(A164/12)*J164,0)</f>
        <v>0</v>
      </c>
      <c r="O164" s="47" t="n">
        <f aca="false">I164*Assumptions!$B$12/12*(1+Assumptions!$B$11)^(INT(A164/12)+1)*J164</f>
        <v>4.65304605864343</v>
      </c>
      <c r="P164" s="47" t="n">
        <f aca="false">O164+Pricing_M!$B$13*M164+N164-Pricing_M!$B$13*K164</f>
        <v>-466.143540287833</v>
      </c>
      <c r="Q164" s="47" t="n">
        <f aca="false">IF(C164&lt;Assumptions!$B$5,Pricing_M!$B$13*K164-Pricing_M!$B$13*M164-O164,-(N164+O164))</f>
        <v>466.143540287833</v>
      </c>
      <c r="R164" s="32" t="n">
        <f aca="false">R163*(1-(1-(1-MIN(1,E163*(1-Assumptions!$B$21)))^(1/12)))*(1-H163)</f>
        <v>0.750823392927756</v>
      </c>
      <c r="S164" s="47" t="n">
        <f aca="false">R164*(IF(C164&lt;Assumptions!$B$5,Assumptions!$B$12*(1+Assumptions!$B$11)^(INT(A164/12)+1)/12+Pricing_M!$B$13*IF(A164=0,Assumptions!$B$14*12,IF(A164&gt;=12,Assumptions!$B$15,0))-Pricing_M!$B$13,Assumptions!$B$9/12*(1+Assumptions!$B$10)^INT(A164/12)+Assumptions!$B$12*(1+Assumptions!$B$11)^(INT(A164/12)+1)/12))*J164</f>
        <v>-479.11703468736</v>
      </c>
      <c r="T164" s="32" t="n">
        <f aca="false">T163*(1-F163)*(1-(1-(1-MIN(1,G163*(1+Assumptions!$B$23)))^(1/12)))</f>
        <v>0.667600984697152</v>
      </c>
      <c r="U164" s="47" t="n">
        <f aca="false">T164*(IF(C164&lt;Assumptions!$B$5,Assumptions!$B$12*(1+Assumptions!$B$11)^(INT(A164/12)+1)/12+Pricing_M!$B$13*IF(A164=0,Assumptions!$B$14*12,IF(A164&gt;=12,Assumptions!$B$15,0))-Pricing_M!$B$13,Assumptions!$B$9/12*(1+Assumptions!$B$10)^INT(A164/12)+Assumptions!$B$12*(1+Assumptions!$B$11)^(INT(A164/12)+1)/12))*J164</f>
        <v>-426.010972960239</v>
      </c>
      <c r="V164" s="32" t="n">
        <f aca="false">V163*(1-F163)*(1-(1-(1-MIN(1,G163*(1-Assumptions!$B$23)))^(1/12)))</f>
        <v>0.798607960249585</v>
      </c>
      <c r="W164" s="47" t="n">
        <f aca="false">V164*(IF(C164&lt;Assumptions!$B$5,Assumptions!$B$12*(1+Assumptions!$B$11)^(INT(A164/12)+1)/12+Pricing_M!$B$13*IF(A164=0,Assumptions!$B$14*12,IF(A164&gt;=12,Assumptions!$B$15,0))-Pricing_M!$B$13,Assumptions!$B$9/12*(1+Assumptions!$B$10)^INT(A164/12)+Assumptions!$B$12*(1+Assumptions!$B$11)^(INT(A164/12)+1)/12))*J164</f>
        <v>-509.609425327693</v>
      </c>
      <c r="X164" s="47" t="n">
        <f aca="false">I164*(IF(C164&lt;Assumptions!$B$5,Assumptions!$B$12*(1+Assumptions!$B$11)*(1+Assumptions!$B$24)*(1+Assumptions!$B$11+Assumptions!$B$25)^(INT(A164/12))/12+Pricing_M!$B$13*IF(A164=0,Assumptions!$B$14*12,IF(A164&gt;=12,Assumptions!$B$15,0))-Pricing_M!$B$13,Assumptions!$B$9/12*(1+Assumptions!$B$10)^INT(A164/12)+Assumptions!$B$12*(1+Assumptions!$B$11)*(1+Assumptions!$B$24)*(1+Assumptions!$B$11+Assumptions!$B$25)^(INT(A164/12))/12))*J164</f>
        <v>-464.989686524627</v>
      </c>
    </row>
    <row r="165" customFormat="false" ht="15" hidden="false" customHeight="true" outlineLevel="0" collapsed="false">
      <c r="A165" s="1" t="n">
        <v>158</v>
      </c>
      <c r="B165" s="31" t="n">
        <f aca="false">Assumptions!$B$4+A165/12</f>
        <v>78.1666666666667</v>
      </c>
      <c r="C165" s="34" t="n">
        <f aca="false">Assumptions!$B$4+INT(A165/12)</f>
        <v>78</v>
      </c>
      <c r="D165" s="34" t="n">
        <f aca="false">INT(A165/12)+1</f>
        <v>14</v>
      </c>
      <c r="E165" s="32" t="n">
        <f aca="false">IFERROR(INDEX(Cohort_Survival!$G$5:$G$65,MATCH(C165,Cohort_Survival!$A$5:$A$65,0)),1)</f>
        <v>0.0208063466384408</v>
      </c>
      <c r="F165" s="30" t="n">
        <f aca="false">1-(1-MIN(1,E165))^(1/12)</f>
        <v>0.00175061993236203</v>
      </c>
      <c r="G165" s="39" t="n">
        <f aca="false">IF(C165&lt;Assumptions!$B$5,IF(D165=1,Assumptions!$B$16,IF(D165=2,Assumptions!$B$17,IF(D165&lt;=5,Assumptions!$B$18,Assumptions!$B$19)))*(1-Assumptions!$B$20),0)</f>
        <v>0.0091</v>
      </c>
      <c r="H165" s="30" t="n">
        <f aca="false">1-(1-G165)^(1/12)</f>
        <v>0.000761514726814627</v>
      </c>
      <c r="I165" s="30" t="n">
        <f aca="false">I164*(1-F164)*(1-H164)</f>
        <v>0.728658532473546</v>
      </c>
      <c r="J165" s="30" t="n">
        <f aca="false">INDEX(Discount_Monthly!$G$4:$G$664,MATCH(A165,Discount_Monthly!$A$4:$A$664,0))</f>
        <v>0.674294741151442</v>
      </c>
      <c r="K165" s="30" t="n">
        <f aca="false">IF(C165&lt;Assumptions!$B$5,I165*J165,0)</f>
        <v>0.491330616542039</v>
      </c>
      <c r="L165" s="30" t="n">
        <f aca="false">IF(C165&lt;Assumptions!$B$5,I165*(1-F165)*H165*A165*J165,0)</f>
        <v>0.059013078392516</v>
      </c>
      <c r="M165" s="30" t="n">
        <f aca="false">IF(A165=0,Assumptions!$B$14*12*I165*J165,IF(AND(A165&gt;=12,C165&lt;Assumptions!$B$5),Assumptions!$B$15*I165*J165,0))</f>
        <v>0.0245665308271019</v>
      </c>
      <c r="N165" s="47" t="n">
        <f aca="false">IF(C165&gt;=Assumptions!$B$5,I165*Assumptions!$B$9/12*(1+Assumptions!$B$10)^INT(A165/12)*J165,0)</f>
        <v>0</v>
      </c>
      <c r="O165" s="47" t="n">
        <f aca="false">I165*Assumptions!$B$12/12*(1+Assumptions!$B$11)^(INT(A165/12)+1)*J165</f>
        <v>4.62824865744534</v>
      </c>
      <c r="P165" s="47" t="n">
        <f aca="false">O165+Pricing_M!$B$13*M165+N165-Pricing_M!$B$13*K165</f>
        <v>-463.659329248712</v>
      </c>
      <c r="Q165" s="47" t="n">
        <f aca="false">IF(C165&lt;Assumptions!$B$5,Pricing_M!$B$13*K165-Pricing_M!$B$13*M165-O165,-(N165+O165))</f>
        <v>463.659329248712</v>
      </c>
      <c r="R165" s="32" t="n">
        <f aca="false">R164*(1-(1-(1-MIN(1,E164*(1-Assumptions!$B$21)))^(1/12)))*(1-H164)</f>
        <v>0.749202938787541</v>
      </c>
      <c r="S165" s="47" t="n">
        <f aca="false">R165*(IF(C165&lt;Assumptions!$B$5,Assumptions!$B$12*(1+Assumptions!$B$11)^(INT(A165/12)+1)/12+Pricing_M!$B$13*IF(A165=0,Assumptions!$B$14*12,IF(A165&gt;=12,Assumptions!$B$15,0))-Pricing_M!$B$13,Assumptions!$B$9/12*(1+Assumptions!$B$10)^INT(A165/12)+Assumptions!$B$12*(1+Assumptions!$B$11)^(INT(A165/12)+1)/12))*J165</f>
        <v>-476.732127036483</v>
      </c>
      <c r="T165" s="32" t="n">
        <f aca="false">T164*(1-F164)*(1-(1-(1-MIN(1,G164*(1+Assumptions!$B$23)))^(1/12)))</f>
        <v>0.665669417969523</v>
      </c>
      <c r="U165" s="47" t="n">
        <f aca="false">T165*(IF(C165&lt;Assumptions!$B$5,Assumptions!$B$12*(1+Assumptions!$B$11)^(INT(A165/12)+1)/12+Pricing_M!$B$13*IF(A165=0,Assumptions!$B$14*12,IF(A165&gt;=12,Assumptions!$B$15,0))-Pricing_M!$B$13,Assumptions!$B$9/12*(1+Assumptions!$B$10)^INT(A165/12)+Assumptions!$B$12*(1+Assumptions!$B$11)^(INT(A165/12)+1)/12))*J165</f>
        <v>-423.578153664639</v>
      </c>
      <c r="V165" s="32" t="n">
        <f aca="false">V164*(1-F164)*(1-(1-(1-MIN(1,G164*(1-Assumptions!$B$23)))^(1/12)))</f>
        <v>0.796906993606591</v>
      </c>
      <c r="W165" s="47" t="n">
        <f aca="false">V165*(IF(C165&lt;Assumptions!$B$5,Assumptions!$B$12*(1+Assumptions!$B$11)^(INT(A165/12)+1)/12+Pricing_M!$B$13*IF(A165=0,Assumptions!$B$14*12,IF(A165&gt;=12,Assumptions!$B$15,0))-Pricing_M!$B$13,Assumptions!$B$9/12*(1+Assumptions!$B$10)^INT(A165/12)+Assumptions!$B$12*(1+Assumptions!$B$11)^(INT(A165/12)+1)/12))*J165</f>
        <v>-507.087127457269</v>
      </c>
      <c r="X165" s="47" t="n">
        <f aca="false">I165*(IF(C165&lt;Assumptions!$B$5,Assumptions!$B$12*(1+Assumptions!$B$11)*(1+Assumptions!$B$24)*(1+Assumptions!$B$11+Assumptions!$B$25)^(INT(A165/12))/12+Pricing_M!$B$13*IF(A165=0,Assumptions!$B$14*12,IF(A165&gt;=12,Assumptions!$B$15,0))-Pricing_M!$B$13,Assumptions!$B$9/12*(1+Assumptions!$B$10)^INT(A165/12)+Assumptions!$B$12*(1+Assumptions!$B$11)*(1+Assumptions!$B$24)*(1+Assumptions!$B$11+Assumptions!$B$25)^(INT(A165/12))/12))*J165</f>
        <v>-462.511624699232</v>
      </c>
    </row>
    <row r="166" customFormat="false" ht="15" hidden="false" customHeight="true" outlineLevel="0" collapsed="false">
      <c r="A166" s="1" t="n">
        <v>159</v>
      </c>
      <c r="B166" s="31" t="n">
        <f aca="false">Assumptions!$B$4+A166/12</f>
        <v>78.25</v>
      </c>
      <c r="C166" s="34" t="n">
        <f aca="false">Assumptions!$B$4+INT(A166/12)</f>
        <v>78</v>
      </c>
      <c r="D166" s="34" t="n">
        <f aca="false">INT(A166/12)+1</f>
        <v>14</v>
      </c>
      <c r="E166" s="32" t="n">
        <f aca="false">IFERROR(INDEX(Cohort_Survival!$G$5:$G$65,MATCH(C166,Cohort_Survival!$A$5:$A$65,0)),1)</f>
        <v>0.0208063466384408</v>
      </c>
      <c r="F166" s="30" t="n">
        <f aca="false">1-(1-MIN(1,E166))^(1/12)</f>
        <v>0.00175061993236203</v>
      </c>
      <c r="G166" s="39" t="n">
        <f aca="false">IF(C166&lt;Assumptions!$B$5,IF(D166=1,Assumptions!$B$16,IF(D166=2,Assumptions!$B$17,IF(D166&lt;=5,Assumptions!$B$18,Assumptions!$B$19)))*(1-Assumptions!$B$20),0)</f>
        <v>0.0091</v>
      </c>
      <c r="H166" s="30" t="n">
        <f aca="false">1-(1-G166)^(1/12)</f>
        <v>0.000761514726814627</v>
      </c>
      <c r="I166" s="30" t="n">
        <f aca="false">I165*(1-F165)*(1-H165)</f>
        <v>0.72682901551076</v>
      </c>
      <c r="J166" s="30" t="n">
        <f aca="false">INDEX(Discount_Monthly!$G$4:$G$664,MATCH(A166,Discount_Monthly!$A$4:$A$664,0))</f>
        <v>0.672389469883351</v>
      </c>
      <c r="K166" s="30" t="n">
        <f aca="false">IF(C166&lt;Assumptions!$B$5,I166*J166,0)</f>
        <v>0.488712176435118</v>
      </c>
      <c r="L166" s="30" t="n">
        <f aca="false">IF(C166&lt;Assumptions!$B$5,I166*(1-F166)*H166*A166*J166,0)</f>
        <v>0.0590700909786172</v>
      </c>
      <c r="M166" s="30" t="n">
        <f aca="false">IF(A166=0,Assumptions!$B$14*12*I166*J166,IF(AND(A166&gt;=12,C166&lt;Assumptions!$B$5),Assumptions!$B$15*I166*J166,0))</f>
        <v>0.0244356088217559</v>
      </c>
      <c r="N166" s="47" t="n">
        <f aca="false">IF(C166&gt;=Assumptions!$B$5,I166*Assumptions!$B$9/12*(1+Assumptions!$B$10)^INT(A166/12)*J166,0)</f>
        <v>0</v>
      </c>
      <c r="O166" s="47" t="n">
        <f aca="false">I166*Assumptions!$B$12/12*(1+Assumptions!$B$11)^(INT(A166/12)+1)*J166</f>
        <v>4.60358340862623</v>
      </c>
      <c r="P166" s="47" t="n">
        <f aca="false">O166+Pricing_M!$B$13*M166+N166-Pricing_M!$B$13*K166</f>
        <v>-461.188357274287</v>
      </c>
      <c r="Q166" s="47" t="n">
        <f aca="false">IF(C166&lt;Assumptions!$B$5,Pricing_M!$B$13*K166-Pricing_M!$B$13*M166-O166,-(N166+O166))</f>
        <v>461.188357274287</v>
      </c>
      <c r="R166" s="32" t="n">
        <f aca="false">R165*(1-(1-(1-MIN(1,E165*(1-Assumptions!$B$21)))^(1/12)))*(1-H165)</f>
        <v>0.747585981969926</v>
      </c>
      <c r="S166" s="47" t="n">
        <f aca="false">R166*(IF(C166&lt;Assumptions!$B$5,Assumptions!$B$12*(1+Assumptions!$B$11)^(INT(A166/12)+1)/12+Pricing_M!$B$13*IF(A166=0,Assumptions!$B$14*12,IF(A166&gt;=12,Assumptions!$B$15,0))-Pricing_M!$B$13,Assumptions!$B$9/12*(1+Assumptions!$B$10)^INT(A166/12)+Assumptions!$B$12*(1+Assumptions!$B$11)^(INT(A166/12)+1)/12))*J166</f>
        <v>-474.359090774205</v>
      </c>
      <c r="T166" s="32" t="n">
        <f aca="false">T165*(1-F165)*(1-(1-(1-MIN(1,G165*(1+Assumptions!$B$23)))^(1/12)))</f>
        <v>0.663743439834646</v>
      </c>
      <c r="U166" s="47" t="n">
        <f aca="false">T166*(IF(C166&lt;Assumptions!$B$5,Assumptions!$B$12*(1+Assumptions!$B$11)^(INT(A166/12)+1)/12+Pricing_M!$B$13*IF(A166=0,Assumptions!$B$14*12,IF(A166&gt;=12,Assumptions!$B$15,0))-Pricing_M!$B$13,Assumptions!$B$9/12*(1+Assumptions!$B$10)^INT(A166/12)+Assumptions!$B$12*(1+Assumptions!$B$11)^(INT(A166/12)+1)/12))*J166</f>
        <v>-421.159227461239</v>
      </c>
      <c r="V166" s="32" t="n">
        <f aca="false">V165*(1-F165)*(1-(1-(1-MIN(1,G165*(1-Assumptions!$B$23)))^(1/12)))</f>
        <v>0.795209649877046</v>
      </c>
      <c r="W166" s="47" t="n">
        <f aca="false">V166*(IF(C166&lt;Assumptions!$B$5,Assumptions!$B$12*(1+Assumptions!$B$11)^(INT(A166/12)+1)/12+Pricing_M!$B$13*IF(A166=0,Assumptions!$B$14*12,IF(A166&gt;=12,Assumptions!$B$15,0))-Pricing_M!$B$13,Assumptions!$B$9/12*(1+Assumptions!$B$10)^INT(A166/12)+Assumptions!$B$12*(1+Assumptions!$B$11)^(INT(A166/12)+1)/12))*J166</f>
        <v>-504.577313630961</v>
      </c>
      <c r="X166" s="47" t="n">
        <f aca="false">I166*(IF(C166&lt;Assumptions!$B$5,Assumptions!$B$12*(1+Assumptions!$B$11)*(1+Assumptions!$B$24)*(1+Assumptions!$B$11+Assumptions!$B$25)^(INT(A166/12))/12+Pricing_M!$B$13*IF(A166=0,Assumptions!$B$14*12,IF(A166&gt;=12,Assumptions!$B$15,0))-Pricing_M!$B$13,Assumptions!$B$9/12*(1+Assumptions!$B$10)^INT(A166/12)+Assumptions!$B$12*(1+Assumptions!$B$11)*(1+Assumptions!$B$24)*(1+Assumptions!$B$11+Assumptions!$B$25)^(INT(A166/12))/12))*J166</f>
        <v>-460.046769167629</v>
      </c>
    </row>
    <row r="167" customFormat="false" ht="15" hidden="false" customHeight="true" outlineLevel="0" collapsed="false">
      <c r="A167" s="1" t="n">
        <v>160</v>
      </c>
      <c r="B167" s="31" t="n">
        <f aca="false">Assumptions!$B$4+A167/12</f>
        <v>78.3333333333333</v>
      </c>
      <c r="C167" s="34" t="n">
        <f aca="false">Assumptions!$B$4+INT(A167/12)</f>
        <v>78</v>
      </c>
      <c r="D167" s="34" t="n">
        <f aca="false">INT(A167/12)+1</f>
        <v>14</v>
      </c>
      <c r="E167" s="32" t="n">
        <f aca="false">IFERROR(INDEX(Cohort_Survival!$G$5:$G$65,MATCH(C167,Cohort_Survival!$A$5:$A$65,0)),1)</f>
        <v>0.0208063466384408</v>
      </c>
      <c r="F167" s="30" t="n">
        <f aca="false">1-(1-MIN(1,E167))^(1/12)</f>
        <v>0.00175061993236203</v>
      </c>
      <c r="G167" s="39" t="n">
        <f aca="false">IF(C167&lt;Assumptions!$B$5,IF(D167=1,Assumptions!$B$16,IF(D167=2,Assumptions!$B$17,IF(D167&lt;=5,Assumptions!$B$18,Assumptions!$B$19)))*(1-Assumptions!$B$20),0)</f>
        <v>0.0091</v>
      </c>
      <c r="H167" s="30" t="n">
        <f aca="false">1-(1-G167)^(1/12)</f>
        <v>0.000761514726814627</v>
      </c>
      <c r="I167" s="30" t="n">
        <f aca="false">I166*(1-F166)*(1-H166)</f>
        <v>0.725004092101976</v>
      </c>
      <c r="J167" s="30" t="n">
        <f aca="false">INDEX(Discount_Monthly!$G$4:$G$664,MATCH(A167,Discount_Monthly!$A$4:$A$664,0))</f>
        <v>0.67048958210468</v>
      </c>
      <c r="K167" s="30" t="n">
        <f aca="false">IF(C167&lt;Assumptions!$B$5,I167*J167,0)</f>
        <v>0.486107690737637</v>
      </c>
      <c r="L167" s="30" t="n">
        <f aca="false">IF(C167&lt;Assumptions!$B$5,I167*(1-F167)*H167*A167*J167,0)</f>
        <v>0.0591248198463738</v>
      </c>
      <c r="M167" s="30" t="n">
        <f aca="false">IF(A167=0,Assumptions!$B$14*12*I167*J167,IF(AND(A167&gt;=12,C167&lt;Assumptions!$B$5),Assumptions!$B$15*I167*J167,0))</f>
        <v>0.0243053845368819</v>
      </c>
      <c r="N167" s="47" t="n">
        <f aca="false">IF(C167&gt;=Assumptions!$B$5,I167*Assumptions!$B$9/12*(1+Assumptions!$B$10)^INT(A167/12)*J167,0)</f>
        <v>0</v>
      </c>
      <c r="O167" s="47" t="n">
        <f aca="false">I167*Assumptions!$B$12/12*(1+Assumptions!$B$11)^(INT(A167/12)+1)*J167</f>
        <v>4.57904960790862</v>
      </c>
      <c r="P167" s="47" t="n">
        <f aca="false">O167+Pricing_M!$B$13*M167+N167-Pricing_M!$B$13*K167</f>
        <v>-458.730553809827</v>
      </c>
      <c r="Q167" s="47" t="n">
        <f aca="false">IF(C167&lt;Assumptions!$B$5,Pricing_M!$B$13*K167-Pricing_M!$B$13*M167-O167,-(N167+O167))</f>
        <v>458.730553809827</v>
      </c>
      <c r="R167" s="32" t="n">
        <f aca="false">R166*(1-(1-(1-MIN(1,E166*(1-Assumptions!$B$21)))^(1/12)))*(1-H166)</f>
        <v>0.745972514926863</v>
      </c>
      <c r="S167" s="47" t="n">
        <f aca="false">R167*(IF(C167&lt;Assumptions!$B$5,Assumptions!$B$12*(1+Assumptions!$B$11)^(INT(A167/12)+1)/12+Pricing_M!$B$13*IF(A167=0,Assumptions!$B$14*12,IF(A167&gt;=12,Assumptions!$B$15,0))-Pricing_M!$B$13,Assumptions!$B$9/12*(1+Assumptions!$B$10)^INT(A167/12)+Assumptions!$B$12*(1+Assumptions!$B$11)^(INT(A167/12)+1)/12))*J167</f>
        <v>-471.997866808146</v>
      </c>
      <c r="T167" s="32" t="n">
        <f aca="false">T166*(1-F166)*(1-(1-(1-MIN(1,G166*(1+Assumptions!$B$23)))^(1/12)))</f>
        <v>0.66182303412307</v>
      </c>
      <c r="U167" s="47" t="n">
        <f aca="false">T167*(IF(C167&lt;Assumptions!$B$5,Assumptions!$B$12*(1+Assumptions!$B$11)^(INT(A167/12)+1)/12+Pricing_M!$B$13*IF(A167=0,Assumptions!$B$14*12,IF(A167&gt;=12,Assumptions!$B$15,0))-Pricing_M!$B$13,Assumptions!$B$9/12*(1+Assumptions!$B$10)^INT(A167/12)+Assumptions!$B$12*(1+Assumptions!$B$11)^(INT(A167/12)+1)/12))*J167</f>
        <v>-418.754115010806</v>
      </c>
      <c r="V167" s="32" t="n">
        <f aca="false">V166*(1-F166)*(1-(1-(1-MIN(1,G166*(1-Assumptions!$B$23)))^(1/12)))</f>
        <v>0.793515921344457</v>
      </c>
      <c r="W167" s="47" t="n">
        <f aca="false">V167*(IF(C167&lt;Assumptions!$B$5,Assumptions!$B$12*(1+Assumptions!$B$11)^(INT(A167/12)+1)/12+Pricing_M!$B$13*IF(A167=0,Assumptions!$B$14*12,IF(A167&gt;=12,Assumptions!$B$15,0))-Pricing_M!$B$13,Assumptions!$B$9/12*(1+Assumptions!$B$10)^INT(A167/12)+Assumptions!$B$12*(1+Assumptions!$B$11)^(INT(A167/12)+1)/12))*J167</f>
        <v>-502.079922059333</v>
      </c>
      <c r="X167" s="47" t="n">
        <f aca="false">I167*(IF(C167&lt;Assumptions!$B$5,Assumptions!$B$12*(1+Assumptions!$B$11)*(1+Assumptions!$B$24)*(1+Assumptions!$B$11+Assumptions!$B$25)^(INT(A167/12))/12+Pricing_M!$B$13*IF(A167=0,Assumptions!$B$14*12,IF(A167&gt;=12,Assumptions!$B$15,0))-Pricing_M!$B$13,Assumptions!$B$9/12*(1+Assumptions!$B$10)^INT(A167/12)+Assumptions!$B$12*(1+Assumptions!$B$11)*(1+Assumptions!$B$24)*(1+Assumptions!$B$11+Assumptions!$B$25)^(INT(A167/12))/12))*J167</f>
        <v>-457.595049549736</v>
      </c>
    </row>
    <row r="168" customFormat="false" ht="15" hidden="false" customHeight="true" outlineLevel="0" collapsed="false">
      <c r="A168" s="1" t="n">
        <v>161</v>
      </c>
      <c r="B168" s="31" t="n">
        <f aca="false">Assumptions!$B$4+A168/12</f>
        <v>78.4166666666667</v>
      </c>
      <c r="C168" s="34" t="n">
        <f aca="false">Assumptions!$B$4+INT(A168/12)</f>
        <v>78</v>
      </c>
      <c r="D168" s="34" t="n">
        <f aca="false">INT(A168/12)+1</f>
        <v>14</v>
      </c>
      <c r="E168" s="32" t="n">
        <f aca="false">IFERROR(INDEX(Cohort_Survival!$G$5:$G$65,MATCH(C168,Cohort_Survival!$A$5:$A$65,0)),1)</f>
        <v>0.0208063466384408</v>
      </c>
      <c r="F168" s="30" t="n">
        <f aca="false">1-(1-MIN(1,E168))^(1/12)</f>
        <v>0.00175061993236203</v>
      </c>
      <c r="G168" s="39" t="n">
        <f aca="false">IF(C168&lt;Assumptions!$B$5,IF(D168=1,Assumptions!$B$16,IF(D168=2,Assumptions!$B$17,IF(D168&lt;=5,Assumptions!$B$18,Assumptions!$B$19)))*(1-Assumptions!$B$20),0)</f>
        <v>0.0091</v>
      </c>
      <c r="H168" s="30" t="n">
        <f aca="false">1-(1-G168)^(1/12)</f>
        <v>0.000761514726814627</v>
      </c>
      <c r="I168" s="30" t="n">
        <f aca="false">I167*(1-F167)*(1-H167)</f>
        <v>0.72318375071369</v>
      </c>
      <c r="J168" s="30" t="n">
        <f aca="false">INDEX(Discount_Monthly!$G$4:$G$664,MATCH(A168,Discount_Monthly!$A$4:$A$664,0))</f>
        <v>0.66859506260397</v>
      </c>
      <c r="K168" s="30" t="n">
        <f aca="false">IF(C168&lt;Assumptions!$B$5,I168*J168,0)</f>
        <v>0.483517085082593</v>
      </c>
      <c r="L168" s="30" t="n">
        <f aca="false">IF(C168&lt;Assumptions!$B$5,I168*(1-F168)*H168*A168*J168,0)</f>
        <v>0.0591772877177209</v>
      </c>
      <c r="M168" s="30" t="n">
        <f aca="false">IF(A168=0,Assumptions!$B$14*12*I168*J168,IF(AND(A168&gt;=12,C168&lt;Assumptions!$B$5),Assumptions!$B$15*I168*J168,0))</f>
        <v>0.0241758542541297</v>
      </c>
      <c r="N168" s="47" t="n">
        <f aca="false">IF(C168&gt;=Assumptions!$B$5,I168*Assumptions!$B$9/12*(1+Assumptions!$B$10)^INT(A168/12)*J168,0)</f>
        <v>0</v>
      </c>
      <c r="O168" s="47" t="n">
        <f aca="false">I168*Assumptions!$B$12/12*(1+Assumptions!$B$11)^(INT(A168/12)+1)*J168</f>
        <v>4.55464655476833</v>
      </c>
      <c r="P168" s="47" t="n">
        <f aca="false">O168+Pricing_M!$B$13*M168+N168-Pricing_M!$B$13*K168</f>
        <v>-456.285848676613</v>
      </c>
      <c r="Q168" s="47" t="n">
        <f aca="false">IF(C168&lt;Assumptions!$B$5,Pricing_M!$B$13*K168-Pricing_M!$B$13*M168-O168,-(N168+O168))</f>
        <v>456.285848676613</v>
      </c>
      <c r="R168" s="32" t="n">
        <f aca="false">R167*(1-(1-(1-MIN(1,E167*(1-Assumptions!$B$21)))^(1/12)))*(1-H167)</f>
        <v>0.744362530126595</v>
      </c>
      <c r="S168" s="47" t="n">
        <f aca="false">R168*(IF(C168&lt;Assumptions!$B$5,Assumptions!$B$12*(1+Assumptions!$B$11)^(INT(A168/12)+1)/12+Pricing_M!$B$13*IF(A168=0,Assumptions!$B$14*12,IF(A168&gt;=12,Assumptions!$B$15,0))-Pricing_M!$B$13,Assumptions!$B$9/12*(1+Assumptions!$B$10)^INT(A168/12)+Assumptions!$B$12*(1+Assumptions!$B$11)^(INT(A168/12)+1)/12))*J168</f>
        <v>-469.648396340074</v>
      </c>
      <c r="T168" s="32" t="n">
        <f aca="false">T167*(1-F167)*(1-(1-(1-MIN(1,G167*(1+Assumptions!$B$23)))^(1/12)))</f>
        <v>0.65990818471213</v>
      </c>
      <c r="U168" s="47" t="n">
        <f aca="false">T168*(IF(C168&lt;Assumptions!$B$5,Assumptions!$B$12*(1+Assumptions!$B$11)^(INT(A168/12)+1)/12+Pricing_M!$B$13*IF(A168=0,Assumptions!$B$14*12,IF(A168&gt;=12,Assumptions!$B$15,0))-Pricing_M!$B$13,Assumptions!$B$9/12*(1+Assumptions!$B$10)^INT(A168/12)+Assumptions!$B$12*(1+Assumptions!$B$11)^(INT(A168/12)+1)/12))*J168</f>
        <v>-416.362737427194</v>
      </c>
      <c r="V168" s="32" t="n">
        <f aca="false">V167*(1-F167)*(1-(1-(1-MIN(1,G167*(1-Assumptions!$B$23)))^(1/12)))</f>
        <v>0.791825800308761</v>
      </c>
      <c r="W168" s="47" t="n">
        <f aca="false">V168*(IF(C168&lt;Assumptions!$B$5,Assumptions!$B$12*(1+Assumptions!$B$11)^(INT(A168/12)+1)/12+Pricing_M!$B$13*IF(A168=0,Assumptions!$B$14*12,IF(A168&gt;=12,Assumptions!$B$15,0))-Pricing_M!$B$13,Assumptions!$B$9/12*(1+Assumptions!$B$10)^INT(A168/12)+Assumptions!$B$12*(1+Assumptions!$B$11)^(INT(A168/12)+1)/12))*J168</f>
        <v>-499.594891258778</v>
      </c>
      <c r="X168" s="47" t="n">
        <f aca="false">I168*(IF(C168&lt;Assumptions!$B$5,Assumptions!$B$12*(1+Assumptions!$B$11)*(1+Assumptions!$B$24)*(1+Assumptions!$B$11+Assumptions!$B$25)^(INT(A168/12))/12+Pricing_M!$B$13*IF(A168=0,Assumptions!$B$14*12,IF(A168&gt;=12,Assumptions!$B$15,0))-Pricing_M!$B$13,Assumptions!$B$9/12*(1+Assumptions!$B$10)^INT(A168/12)+Assumptions!$B$12*(1+Assumptions!$B$11)*(1+Assumptions!$B$24)*(1+Assumptions!$B$11+Assumptions!$B$25)^(INT(A168/12))/12))*J168</f>
        <v>-455.156395840545</v>
      </c>
    </row>
    <row r="169" customFormat="false" ht="15" hidden="false" customHeight="true" outlineLevel="0" collapsed="false">
      <c r="A169" s="1" t="n">
        <v>162</v>
      </c>
      <c r="B169" s="31" t="n">
        <f aca="false">Assumptions!$B$4+A169/12</f>
        <v>78.5</v>
      </c>
      <c r="C169" s="34" t="n">
        <f aca="false">Assumptions!$B$4+INT(A169/12)</f>
        <v>78</v>
      </c>
      <c r="D169" s="34" t="n">
        <f aca="false">INT(A169/12)+1</f>
        <v>14</v>
      </c>
      <c r="E169" s="32" t="n">
        <f aca="false">IFERROR(INDEX(Cohort_Survival!$G$5:$G$65,MATCH(C169,Cohort_Survival!$A$5:$A$65,0)),1)</f>
        <v>0.0208063466384408</v>
      </c>
      <c r="F169" s="30" t="n">
        <f aca="false">1-(1-MIN(1,E169))^(1/12)</f>
        <v>0.00175061993236203</v>
      </c>
      <c r="G169" s="39" t="n">
        <f aca="false">IF(C169&lt;Assumptions!$B$5,IF(D169=1,Assumptions!$B$16,IF(D169=2,Assumptions!$B$17,IF(D169&lt;=5,Assumptions!$B$18,Assumptions!$B$19)))*(1-Assumptions!$B$20),0)</f>
        <v>0.0091</v>
      </c>
      <c r="H169" s="30" t="n">
        <f aca="false">1-(1-G169)^(1/12)</f>
        <v>0.000761514726814627</v>
      </c>
      <c r="I169" s="30" t="n">
        <f aca="false">I168*(1-F168)*(1-H168)</f>
        <v>0.721367979841359</v>
      </c>
      <c r="J169" s="30" t="n">
        <f aca="false">INDEX(Discount_Monthly!$G$4:$G$664,MATCH(A169,Discount_Monthly!$A$4:$A$664,0))</f>
        <v>0.666705896212739</v>
      </c>
      <c r="K169" s="30" t="n">
        <f aca="false">IF(C169&lt;Assumptions!$B$5,I169*J169,0)</f>
        <v>0.480940285499306</v>
      </c>
      <c r="L169" s="30" t="n">
        <f aca="false">IF(C169&lt;Assumptions!$B$5,I169*(1-F169)*H169*A169*J169,0)</f>
        <v>0.0592275171372711</v>
      </c>
      <c r="M169" s="30" t="n">
        <f aca="false">IF(A169=0,Assumptions!$B$14*12*I169*J169,IF(AND(A169&gt;=12,C169&lt;Assumptions!$B$5),Assumptions!$B$15*I169*J169,0))</f>
        <v>0.0240470142749653</v>
      </c>
      <c r="N169" s="47" t="n">
        <f aca="false">IF(C169&gt;=Assumptions!$B$5,I169*Assumptions!$B$9/12*(1+Assumptions!$B$10)^INT(A169/12)*J169,0)</f>
        <v>0</v>
      </c>
      <c r="O169" s="47" t="n">
        <f aca="false">I169*Assumptions!$B$12/12*(1+Assumptions!$B$11)^(INT(A169/12)+1)*J169</f>
        <v>4.53037355241446</v>
      </c>
      <c r="P169" s="47" t="n">
        <f aca="false">O169+Pricing_M!$B$13*M169+N169-Pricing_M!$B$13*K169</f>
        <v>-453.854172069924</v>
      </c>
      <c r="Q169" s="47" t="n">
        <f aca="false">IF(C169&lt;Assumptions!$B$5,Pricing_M!$B$13*K169-Pricing_M!$B$13*M169-O169,-(N169+O169))</f>
        <v>453.854172069924</v>
      </c>
      <c r="R169" s="32" t="n">
        <f aca="false">R168*(1-(1-(1-MIN(1,E168*(1-Assumptions!$B$21)))^(1/12)))*(1-H168)</f>
        <v>0.742756020053619</v>
      </c>
      <c r="S169" s="47" t="n">
        <f aca="false">R169*(IF(C169&lt;Assumptions!$B$5,Assumptions!$B$12*(1+Assumptions!$B$11)^(INT(A169/12)+1)/12+Pricing_M!$B$13*IF(A169=0,Assumptions!$B$14*12,IF(A169&gt;=12,Assumptions!$B$15,0))-Pricing_M!$B$13,Assumptions!$B$9/12*(1+Assumptions!$B$10)^INT(A169/12)+Assumptions!$B$12*(1+Assumptions!$B$11)^(INT(A169/12)+1)/12))*J169</f>
        <v>-467.310620864434</v>
      </c>
      <c r="T169" s="32" t="n">
        <f aca="false">T168*(1-F168)*(1-(1-(1-MIN(1,G168*(1+Assumptions!$B$23)))^(1/12)))</f>
        <v>0.657998875525809</v>
      </c>
      <c r="U169" s="47" t="n">
        <f aca="false">T169*(IF(C169&lt;Assumptions!$B$5,Assumptions!$B$12*(1+Assumptions!$B$11)^(INT(A169/12)+1)/12+Pricing_M!$B$13*IF(A169=0,Assumptions!$B$14*12,IF(A169&gt;=12,Assumptions!$B$15,0))-Pricing_M!$B$13,Assumptions!$B$9/12*(1+Assumptions!$B$10)^INT(A169/12)+Assumptions!$B$12*(1+Assumptions!$B$11)^(INT(A169/12)+1)/12))*J169</f>
        <v>-413.985016274748</v>
      </c>
      <c r="V169" s="32" t="n">
        <f aca="false">V168*(1-F168)*(1-(1-(1-MIN(1,G168*(1-Assumptions!$B$23)))^(1/12)))</f>
        <v>0.790139279086299</v>
      </c>
      <c r="W169" s="47" t="n">
        <f aca="false">V169*(IF(C169&lt;Assumptions!$B$5,Assumptions!$B$12*(1+Assumptions!$B$11)^(INT(A169/12)+1)/12+Pricing_M!$B$13*IF(A169=0,Assumptions!$B$14*12,IF(A169&gt;=12,Assumptions!$B$15,0))-Pricing_M!$B$13,Assumptions!$B$9/12*(1+Assumptions!$B$10)^INT(A169/12)+Assumptions!$B$12*(1+Assumptions!$B$11)^(INT(A169/12)+1)/12))*J169</f>
        <v>-497.122160049998</v>
      </c>
      <c r="X169" s="47" t="n">
        <f aca="false">I169*(IF(C169&lt;Assumptions!$B$5,Assumptions!$B$12*(1+Assumptions!$B$11)*(1+Assumptions!$B$24)*(1+Assumptions!$B$11+Assumptions!$B$25)^(INT(A169/12))/12+Pricing_M!$B$13*IF(A169=0,Assumptions!$B$14*12,IF(A169&gt;=12,Assumptions!$B$15,0))-Pricing_M!$B$13,Assumptions!$B$9/12*(1+Assumptions!$B$10)^INT(A169/12)+Assumptions!$B$12*(1+Assumptions!$B$11)*(1+Assumptions!$B$24)*(1+Assumptions!$B$11+Assumptions!$B$25)^(INT(A169/12))/12))*J169</f>
        <v>-452.730738408125</v>
      </c>
    </row>
    <row r="170" customFormat="false" ht="15" hidden="false" customHeight="true" outlineLevel="0" collapsed="false">
      <c r="A170" s="1" t="n">
        <v>163</v>
      </c>
      <c r="B170" s="31" t="n">
        <f aca="false">Assumptions!$B$4+A170/12</f>
        <v>78.5833333333333</v>
      </c>
      <c r="C170" s="34" t="n">
        <f aca="false">Assumptions!$B$4+INT(A170/12)</f>
        <v>78</v>
      </c>
      <c r="D170" s="34" t="n">
        <f aca="false">INT(A170/12)+1</f>
        <v>14</v>
      </c>
      <c r="E170" s="32" t="n">
        <f aca="false">IFERROR(INDEX(Cohort_Survival!$G$5:$G$65,MATCH(C170,Cohort_Survival!$A$5:$A$65,0)),1)</f>
        <v>0.0208063466384408</v>
      </c>
      <c r="F170" s="30" t="n">
        <f aca="false">1-(1-MIN(1,E170))^(1/12)</f>
        <v>0.00175061993236203</v>
      </c>
      <c r="G170" s="39" t="n">
        <f aca="false">IF(C170&lt;Assumptions!$B$5,IF(D170=1,Assumptions!$B$16,IF(D170=2,Assumptions!$B$17,IF(D170&lt;=5,Assumptions!$B$18,Assumptions!$B$19)))*(1-Assumptions!$B$20),0)</f>
        <v>0.0091</v>
      </c>
      <c r="H170" s="30" t="n">
        <f aca="false">1-(1-G170)^(1/12)</f>
        <v>0.000761514726814627</v>
      </c>
      <c r="I170" s="30" t="n">
        <f aca="false">I169*(1-F169)*(1-H169)</f>
        <v>0.719556768009323</v>
      </c>
      <c r="J170" s="30" t="n">
        <f aca="false">INDEX(Discount_Monthly!$G$4:$G$664,MATCH(A170,Discount_Monthly!$A$4:$A$664,0))</f>
        <v>0.66482206780537</v>
      </c>
      <c r="K170" s="30" t="n">
        <f aca="false">IF(C170&lt;Assumptions!$B$5,I170*J170,0)</f>
        <v>0.478377218411307</v>
      </c>
      <c r="L170" s="30" t="n">
        <f aca="false">IF(C170&lt;Assumptions!$B$5,I170*(1-F170)*H170*A170*J170,0)</f>
        <v>0.0592755304735586</v>
      </c>
      <c r="M170" s="30" t="n">
        <f aca="false">IF(A170=0,Assumptions!$B$14*12*I170*J170,IF(AND(A170&gt;=12,C170&lt;Assumptions!$B$5),Assumptions!$B$15*I170*J170,0))</f>
        <v>0.0239188609205654</v>
      </c>
      <c r="N170" s="47" t="n">
        <f aca="false">IF(C170&gt;=Assumptions!$B$5,I170*Assumptions!$B$9/12*(1+Assumptions!$B$10)^INT(A170/12)*J170,0)</f>
        <v>0</v>
      </c>
      <c r="O170" s="47" t="n">
        <f aca="false">I170*Assumptions!$B$12/12*(1+Assumptions!$B$11)^(INT(A170/12)+1)*J170</f>
        <v>4.50622990776951</v>
      </c>
      <c r="P170" s="47" t="n">
        <f aca="false">O170+Pricing_M!$B$13*M170+N170-Pricing_M!$B$13*K170</f>
        <v>-451.435454557051</v>
      </c>
      <c r="Q170" s="47" t="n">
        <f aca="false">IF(C170&lt;Assumptions!$B$5,Pricing_M!$B$13*K170-Pricing_M!$B$13*M170-O170,-(N170+O170))</f>
        <v>451.435454557051</v>
      </c>
      <c r="R170" s="32" t="n">
        <f aca="false">R169*(1-(1-(1-MIN(1,E169*(1-Assumptions!$B$21)))^(1/12)))*(1-H169)</f>
        <v>0.741152977208654</v>
      </c>
      <c r="S170" s="47" t="n">
        <f aca="false">R170*(IF(C170&lt;Assumptions!$B$5,Assumptions!$B$12*(1+Assumptions!$B$11)^(INT(A170/12)+1)/12+Pricing_M!$B$13*IF(A170=0,Assumptions!$B$14*12,IF(A170&gt;=12,Assumptions!$B$15,0))-Pricing_M!$B$13,Assumptions!$B$9/12*(1+Assumptions!$B$10)^INT(A170/12)+Assumptions!$B$12*(1+Assumptions!$B$11)^(INT(A170/12)+1)/12))*J170</f>
        <v>-464.984482166896</v>
      </c>
      <c r="T170" s="32" t="n">
        <f aca="false">T169*(1-F169)*(1-(1-(1-MIN(1,G169*(1+Assumptions!$B$23)))^(1/12)))</f>
        <v>0.6560950905346</v>
      </c>
      <c r="U170" s="47" t="n">
        <f aca="false">T170*(IF(C170&lt;Assumptions!$B$5,Assumptions!$B$12*(1+Assumptions!$B$11)^(INT(A170/12)+1)/12+Pricing_M!$B$13*IF(A170=0,Assumptions!$B$14*12,IF(A170&gt;=12,Assumptions!$B$15,0))-Pricing_M!$B$13,Assumptions!$B$9/12*(1+Assumptions!$B$10)^INT(A170/12)+Assumptions!$B$12*(1+Assumptions!$B$11)^(INT(A170/12)+1)/12))*J170</f>
        <v>-411.620873565738</v>
      </c>
      <c r="V170" s="32" t="n">
        <f aca="false">V169*(1-F169)*(1-(1-(1-MIN(1,G169*(1-Assumptions!$B$23)))^(1/12)))</f>
        <v>0.788456350009778</v>
      </c>
      <c r="W170" s="47" t="n">
        <f aca="false">V170*(IF(C170&lt;Assumptions!$B$5,Assumptions!$B$12*(1+Assumptions!$B$11)^(INT(A170/12)+1)/12+Pricing_M!$B$13*IF(A170=0,Assumptions!$B$14*12,IF(A170&gt;=12,Assumptions!$B$15,0))-Pricing_M!$B$13,Assumptions!$B$9/12*(1+Assumptions!$B$10)^INT(A170/12)+Assumptions!$B$12*(1+Assumptions!$B$11)^(INT(A170/12)+1)/12))*J170</f>
        <v>-494.6616675565</v>
      </c>
      <c r="X170" s="47" t="n">
        <f aca="false">I170*(IF(C170&lt;Assumptions!$B$5,Assumptions!$B$12*(1+Assumptions!$B$11)*(1+Assumptions!$B$24)*(1+Assumptions!$B$11+Assumptions!$B$25)^(INT(A170/12))/12+Pricing_M!$B$13*IF(A170=0,Assumptions!$B$14*12,IF(A170&gt;=12,Assumptions!$B$15,0))-Pricing_M!$B$13,Assumptions!$B$9/12*(1+Assumptions!$B$10)^INT(A170/12)+Assumptions!$B$12*(1+Assumptions!$B$11)*(1+Assumptions!$B$24)*(1+Assumptions!$B$11+Assumptions!$B$25)^(INT(A170/12))/12))*J170</f>
        <v>-450.318007991635</v>
      </c>
    </row>
    <row r="171" customFormat="false" ht="15" hidden="false" customHeight="true" outlineLevel="0" collapsed="false">
      <c r="A171" s="1" t="n">
        <v>164</v>
      </c>
      <c r="B171" s="31" t="n">
        <f aca="false">Assumptions!$B$4+A171/12</f>
        <v>78.6666666666667</v>
      </c>
      <c r="C171" s="34" t="n">
        <f aca="false">Assumptions!$B$4+INT(A171/12)</f>
        <v>78</v>
      </c>
      <c r="D171" s="34" t="n">
        <f aca="false">INT(A171/12)+1</f>
        <v>14</v>
      </c>
      <c r="E171" s="32" t="n">
        <f aca="false">IFERROR(INDEX(Cohort_Survival!$G$5:$G$65,MATCH(C171,Cohort_Survival!$A$5:$A$65,0)),1)</f>
        <v>0.0208063466384408</v>
      </c>
      <c r="F171" s="30" t="n">
        <f aca="false">1-(1-MIN(1,E171))^(1/12)</f>
        <v>0.00175061993236203</v>
      </c>
      <c r="G171" s="39" t="n">
        <f aca="false">IF(C171&lt;Assumptions!$B$5,IF(D171=1,Assumptions!$B$16,IF(D171=2,Assumptions!$B$17,IF(D171&lt;=5,Assumptions!$B$18,Assumptions!$B$19)))*(1-Assumptions!$B$20),0)</f>
        <v>0.0091</v>
      </c>
      <c r="H171" s="30" t="n">
        <f aca="false">1-(1-G171)^(1/12)</f>
        <v>0.000761514726814627</v>
      </c>
      <c r="I171" s="30" t="n">
        <f aca="false">I170*(1-F170)*(1-H170)</f>
        <v>0.717750103770738</v>
      </c>
      <c r="J171" s="30" t="n">
        <f aca="false">INDEX(Discount_Monthly!$G$4:$G$664,MATCH(A171,Discount_Monthly!$A$4:$A$664,0))</f>
        <v>0.662943562298981</v>
      </c>
      <c r="K171" s="30" t="n">
        <f aca="false">IF(C171&lt;Assumptions!$B$5,I171*J171,0)</f>
        <v>0.475827810634236</v>
      </c>
      <c r="L171" s="30" t="n">
        <f aca="false">IF(C171&lt;Assumptions!$B$5,I171*(1-F171)*H171*A171*J171,0)</f>
        <v>0.0593213499202762</v>
      </c>
      <c r="M171" s="30" t="n">
        <f aca="false">IF(A171=0,Assumptions!$B$14*12*I171*J171,IF(AND(A171&gt;=12,C171&lt;Assumptions!$B$5),Assumptions!$B$15*I171*J171,0))</f>
        <v>0.0237913905317118</v>
      </c>
      <c r="N171" s="47" t="n">
        <f aca="false">IF(C171&gt;=Assumptions!$B$5,I171*Assumptions!$B$9/12*(1+Assumptions!$B$10)^INT(A171/12)*J171,0)</f>
        <v>0</v>
      </c>
      <c r="O171" s="47" t="n">
        <f aca="false">I171*Assumptions!$B$12/12*(1+Assumptions!$B$11)^(INT(A171/12)+1)*J171</f>
        <v>4.48221493144959</v>
      </c>
      <c r="P171" s="47" t="n">
        <f aca="false">O171+Pricing_M!$B$13*M171+N171-Pricing_M!$B$13*K171</f>
        <v>-449.029627075309</v>
      </c>
      <c r="Q171" s="47" t="n">
        <f aca="false">IF(C171&lt;Assumptions!$B$5,Pricing_M!$B$13*K171-Pricing_M!$B$13*M171-O171,-(N171+O171))</f>
        <v>449.029627075309</v>
      </c>
      <c r="R171" s="32" t="n">
        <f aca="false">R170*(1-(1-(1-MIN(1,E170*(1-Assumptions!$B$21)))^(1/12)))*(1-H170)</f>
        <v>0.739553394108603</v>
      </c>
      <c r="S171" s="47" t="n">
        <f aca="false">R171*(IF(C171&lt;Assumptions!$B$5,Assumptions!$B$12*(1+Assumptions!$B$11)^(INT(A171/12)+1)/12+Pricing_M!$B$13*IF(A171=0,Assumptions!$B$14*12,IF(A171&gt;=12,Assumptions!$B$15,0))-Pricing_M!$B$13,Assumptions!$B$9/12*(1+Assumptions!$B$10)^INT(A171/12)+Assumptions!$B$12*(1+Assumptions!$B$11)^(INT(A171/12)+1)/12))*J171</f>
        <v>-462.669922322906</v>
      </c>
      <c r="T171" s="32" t="n">
        <f aca="false">T170*(1-F170)*(1-(1-(1-MIN(1,G170*(1+Assumptions!$B$23)))^(1/12)))</f>
        <v>0.654196813755378</v>
      </c>
      <c r="U171" s="47" t="n">
        <f aca="false">T171*(IF(C171&lt;Assumptions!$B$5,Assumptions!$B$12*(1+Assumptions!$B$11)^(INT(A171/12)+1)/12+Pricing_M!$B$13*IF(A171=0,Assumptions!$B$14*12,IF(A171&gt;=12,Assumptions!$B$15,0))-Pricing_M!$B$13,Assumptions!$B$9/12*(1+Assumptions!$B$10)^INT(A171/12)+Assumptions!$B$12*(1+Assumptions!$B$11)^(INT(A171/12)+1)/12))*J171</f>
        <v>-409.270231757797</v>
      </c>
      <c r="V171" s="32" t="n">
        <f aca="false">V170*(1-F170)*(1-(1-(1-MIN(1,G170*(1-Assumptions!$B$23)))^(1/12)))</f>
        <v>0.786777005428233</v>
      </c>
      <c r="W171" s="47" t="n">
        <f aca="false">V171*(IF(C171&lt;Assumptions!$B$5,Assumptions!$B$12*(1+Assumptions!$B$11)^(INT(A171/12)+1)/12+Pricing_M!$B$13*IF(A171=0,Assumptions!$B$14*12,IF(A171&gt;=12,Assumptions!$B$15,0))-Pricing_M!$B$13,Assumptions!$B$9/12*(1+Assumptions!$B$10)^INT(A171/12)+Assumptions!$B$12*(1+Assumptions!$B$11)^(INT(A171/12)+1)/12))*J171</f>
        <v>-492.2133532031</v>
      </c>
      <c r="X171" s="47" t="n">
        <f aca="false">I171*(IF(C171&lt;Assumptions!$B$5,Assumptions!$B$12*(1+Assumptions!$B$11)*(1+Assumptions!$B$24)*(1+Assumptions!$B$11+Assumptions!$B$25)^(INT(A171/12))/12+Pricing_M!$B$13*IF(A171=0,Assumptions!$B$14*12,IF(A171&gt;=12,Assumptions!$B$15,0))-Pricing_M!$B$13,Assumptions!$B$9/12*(1+Assumptions!$B$10)^INT(A171/12)+Assumptions!$B$12*(1+Assumptions!$B$11)*(1+Assumptions!$B$24)*(1+Assumptions!$B$11+Assumptions!$B$25)^(INT(A171/12))/12))*J171</f>
        <v>-447.918135699344</v>
      </c>
    </row>
    <row r="172" customFormat="false" ht="15" hidden="false" customHeight="true" outlineLevel="0" collapsed="false">
      <c r="A172" s="1" t="n">
        <v>165</v>
      </c>
      <c r="B172" s="31" t="n">
        <f aca="false">Assumptions!$B$4+A172/12</f>
        <v>78.75</v>
      </c>
      <c r="C172" s="34" t="n">
        <f aca="false">Assumptions!$B$4+INT(A172/12)</f>
        <v>78</v>
      </c>
      <c r="D172" s="34" t="n">
        <f aca="false">INT(A172/12)+1</f>
        <v>14</v>
      </c>
      <c r="E172" s="32" t="n">
        <f aca="false">IFERROR(INDEX(Cohort_Survival!$G$5:$G$65,MATCH(C172,Cohort_Survival!$A$5:$A$65,0)),1)</f>
        <v>0.0208063466384408</v>
      </c>
      <c r="F172" s="30" t="n">
        <f aca="false">1-(1-MIN(1,E172))^(1/12)</f>
        <v>0.00175061993236203</v>
      </c>
      <c r="G172" s="39" t="n">
        <f aca="false">IF(C172&lt;Assumptions!$B$5,IF(D172=1,Assumptions!$B$16,IF(D172=2,Assumptions!$B$17,IF(D172&lt;=5,Assumptions!$B$18,Assumptions!$B$19)))*(1-Assumptions!$B$20),0)</f>
        <v>0.0091</v>
      </c>
      <c r="H172" s="30" t="n">
        <f aca="false">1-(1-G172)^(1/12)</f>
        <v>0.000761514726814627</v>
      </c>
      <c r="I172" s="30" t="n">
        <f aca="false">I171*(1-F171)*(1-H171)</f>
        <v>0.715947975707499</v>
      </c>
      <c r="J172" s="30" t="n">
        <f aca="false">INDEX(Discount_Monthly!$G$4:$G$664,MATCH(A172,Discount_Monthly!$A$4:$A$664,0))</f>
        <v>0.661070364653309</v>
      </c>
      <c r="K172" s="30" t="n">
        <f aca="false">IF(C172&lt;Assumptions!$B$5,I172*J172,0)</f>
        <v>0.473291989373754</v>
      </c>
      <c r="L172" s="30" t="n">
        <f aca="false">IF(C172&lt;Assumptions!$B$5,I172*(1-F172)*H172*A172*J172,0)</f>
        <v>0.059364997497503</v>
      </c>
      <c r="M172" s="30" t="n">
        <f aca="false">IF(A172=0,Assumptions!$B$14*12*I172*J172,IF(AND(A172&gt;=12,C172&lt;Assumptions!$B$5),Assumptions!$B$15*I172*J172,0))</f>
        <v>0.0236645994686877</v>
      </c>
      <c r="N172" s="47" t="n">
        <f aca="false">IF(C172&gt;=Assumptions!$B$5,I172*Assumptions!$B$9/12*(1+Assumptions!$B$10)^INT(A172/12)*J172,0)</f>
        <v>0</v>
      </c>
      <c r="O172" s="47" t="n">
        <f aca="false">I172*Assumptions!$B$12/12*(1+Assumptions!$B$11)^(INT(A172/12)+1)*J172</f>
        <v>4.45832793774472</v>
      </c>
      <c r="P172" s="47" t="n">
        <f aca="false">O172+Pricing_M!$B$13*M172+N172-Pricing_M!$B$13*K172</f>
        <v>-446.636620930069</v>
      </c>
      <c r="Q172" s="47" t="n">
        <f aca="false">IF(C172&lt;Assumptions!$B$5,Pricing_M!$B$13*K172-Pricing_M!$B$13*M172-O172,-(N172+O172))</f>
        <v>446.636620930069</v>
      </c>
      <c r="R172" s="32" t="n">
        <f aca="false">R171*(1-(1-(1-MIN(1,E171*(1-Assumptions!$B$21)))^(1/12)))*(1-H171)</f>
        <v>0.73795726328652</v>
      </c>
      <c r="S172" s="47" t="n">
        <f aca="false">R172*(IF(C172&lt;Assumptions!$B$5,Assumptions!$B$12*(1+Assumptions!$B$11)^(INT(A172/12)+1)/12+Pricing_M!$B$13*IF(A172=0,Assumptions!$B$14*12,IF(A172&gt;=12,Assumptions!$B$15,0))-Pricing_M!$B$13,Assumptions!$B$9/12*(1+Assumptions!$B$10)^INT(A172/12)+Assumptions!$B$12*(1+Assumptions!$B$11)^(INT(A172/12)+1)/12))*J172</f>
        <v>-460.36688369624</v>
      </c>
      <c r="T172" s="32" t="n">
        <f aca="false">T171*(1-F171)*(1-(1-(1-MIN(1,G171*(1+Assumptions!$B$23)))^(1/12)))</f>
        <v>0.652304029251257</v>
      </c>
      <c r="U172" s="47" t="n">
        <f aca="false">T172*(IF(C172&lt;Assumptions!$B$5,Assumptions!$B$12*(1+Assumptions!$B$11)^(INT(A172/12)+1)/12+Pricing_M!$B$13*IF(A172=0,Assumptions!$B$14*12,IF(A172&gt;=12,Assumptions!$B$15,0))-Pricing_M!$B$13,Assumptions!$B$9/12*(1+Assumptions!$B$10)^INT(A172/12)+Assumptions!$B$12*(1+Assumptions!$B$11)^(INT(A172/12)+1)/12))*J172</f>
        <v>-406.933013751378</v>
      </c>
      <c r="V172" s="32" t="n">
        <f aca="false">V171*(1-F171)*(1-(1-(1-MIN(1,G171*(1-Assumptions!$B$23)))^(1/12)))</f>
        <v>0.785101237706997</v>
      </c>
      <c r="W172" s="47" t="n">
        <f aca="false">V172*(IF(C172&lt;Assumptions!$B$5,Assumptions!$B$12*(1+Assumptions!$B$11)^(INT(A172/12)+1)/12+Pricing_M!$B$13*IF(A172=0,Assumptions!$B$14*12,IF(A172&gt;=12,Assumptions!$B$15,0))-Pricing_M!$B$13,Assumptions!$B$9/12*(1+Assumptions!$B$10)^INT(A172/12)+Assumptions!$B$12*(1+Assumptions!$B$11)^(INT(A172/12)+1)/12))*J172</f>
        <v>-489.777156714427</v>
      </c>
      <c r="X172" s="47" t="n">
        <f aca="false">I172*(IF(C172&lt;Assumptions!$B$5,Assumptions!$B$12*(1+Assumptions!$B$11)*(1+Assumptions!$B$24)*(1+Assumptions!$B$11+Assumptions!$B$25)^(INT(A172/12))/12+Pricing_M!$B$13*IF(A172=0,Assumptions!$B$14*12,IF(A172&gt;=12,Assumptions!$B$15,0))-Pricing_M!$B$13,Assumptions!$B$9/12*(1+Assumptions!$B$10)^INT(A172/12)+Assumptions!$B$12*(1+Assumptions!$B$11)*(1+Assumptions!$B$24)*(1+Assumptions!$B$11+Assumptions!$B$25)^(INT(A172/12))/12))*J172</f>
        <v>-445.531053006662</v>
      </c>
    </row>
    <row r="173" customFormat="false" ht="15" hidden="false" customHeight="true" outlineLevel="0" collapsed="false">
      <c r="A173" s="1" t="n">
        <v>166</v>
      </c>
      <c r="B173" s="31" t="n">
        <f aca="false">Assumptions!$B$4+A173/12</f>
        <v>78.8333333333333</v>
      </c>
      <c r="C173" s="34" t="n">
        <f aca="false">Assumptions!$B$4+INT(A173/12)</f>
        <v>78</v>
      </c>
      <c r="D173" s="34" t="n">
        <f aca="false">INT(A173/12)+1</f>
        <v>14</v>
      </c>
      <c r="E173" s="32" t="n">
        <f aca="false">IFERROR(INDEX(Cohort_Survival!$G$5:$G$65,MATCH(C173,Cohort_Survival!$A$5:$A$65,0)),1)</f>
        <v>0.0208063466384408</v>
      </c>
      <c r="F173" s="30" t="n">
        <f aca="false">1-(1-MIN(1,E173))^(1/12)</f>
        <v>0.00175061993236203</v>
      </c>
      <c r="G173" s="39" t="n">
        <f aca="false">IF(C173&lt;Assumptions!$B$5,IF(D173=1,Assumptions!$B$16,IF(D173=2,Assumptions!$B$17,IF(D173&lt;=5,Assumptions!$B$18,Assumptions!$B$19)))*(1-Assumptions!$B$20),0)</f>
        <v>0.0091</v>
      </c>
      <c r="H173" s="30" t="n">
        <f aca="false">1-(1-G173)^(1/12)</f>
        <v>0.000761514726814627</v>
      </c>
      <c r="I173" s="30" t="n">
        <f aca="false">I172*(1-F172)*(1-H172)</f>
        <v>0.714150372430169</v>
      </c>
      <c r="J173" s="30" t="n">
        <f aca="false">INDEX(Discount_Monthly!$G$4:$G$664,MATCH(A173,Discount_Monthly!$A$4:$A$664,0))</f>
        <v>0.659202459870588</v>
      </c>
      <c r="K173" s="30" t="n">
        <f aca="false">IF(C173&lt;Assumptions!$B$5,I173*J173,0)</f>
        <v>0.470769682223464</v>
      </c>
      <c r="L173" s="30" t="n">
        <f aca="false">IF(C173&lt;Assumptions!$B$5,I173*(1-F173)*H173*A173*J173,0)</f>
        <v>0.0594064950529252</v>
      </c>
      <c r="M173" s="30" t="n">
        <f aca="false">IF(A173=0,Assumptions!$B$14*12*I173*J173,IF(AND(A173&gt;=12,C173&lt;Assumptions!$B$5),Assumptions!$B$15*I173*J173,0))</f>
        <v>0.0235384841111732</v>
      </c>
      <c r="N173" s="47" t="n">
        <f aca="false">IF(C173&gt;=Assumptions!$B$5,I173*Assumptions!$B$9/12*(1+Assumptions!$B$10)^INT(A173/12)*J173,0)</f>
        <v>0</v>
      </c>
      <c r="O173" s="47" t="n">
        <f aca="false">I173*Assumptions!$B$12/12*(1+Assumptions!$B$11)^(INT(A173/12)+1)*J173</f>
        <v>4.43456824459929</v>
      </c>
      <c r="P173" s="47" t="n">
        <f aca="false">O173+Pricing_M!$B$13*M173+N173-Pricing_M!$B$13*K173</f>
        <v>-444.256367792795</v>
      </c>
      <c r="Q173" s="47" t="n">
        <f aca="false">IF(C173&lt;Assumptions!$B$5,Pricing_M!$B$13*K173-Pricing_M!$B$13*M173-O173,-(N173+O173))</f>
        <v>444.256367792795</v>
      </c>
      <c r="R173" s="32" t="n">
        <f aca="false">R172*(1-(1-(1-MIN(1,E172*(1-Assumptions!$B$21)))^(1/12)))*(1-H172)</f>
        <v>0.736364577291574</v>
      </c>
      <c r="S173" s="47" t="n">
        <f aca="false">R173*(IF(C173&lt;Assumptions!$B$5,Assumptions!$B$12*(1+Assumptions!$B$11)^(INT(A173/12)+1)/12+Pricing_M!$B$13*IF(A173=0,Assumptions!$B$14*12,IF(A173&gt;=12,Assumptions!$B$15,0))-Pricing_M!$B$13,Assumptions!$B$9/12*(1+Assumptions!$B$10)^INT(A173/12)+Assumptions!$B$12*(1+Assumptions!$B$11)^(INT(A173/12)+1)/12))*J173</f>
        <v>-458.075308937572</v>
      </c>
      <c r="T173" s="32" t="n">
        <f aca="false">T172*(1-F172)*(1-(1-(1-MIN(1,G172*(1+Assumptions!$B$23)))^(1/12)))</f>
        <v>0.650416721131466</v>
      </c>
      <c r="U173" s="47" t="n">
        <f aca="false">T173*(IF(C173&lt;Assumptions!$B$5,Assumptions!$B$12*(1+Assumptions!$B$11)^(INT(A173/12)+1)/12+Pricing_M!$B$13*IF(A173=0,Assumptions!$B$14*12,IF(A173&gt;=12,Assumptions!$B$15,0))-Pricing_M!$B$13,Assumptions!$B$9/12*(1+Assumptions!$B$10)^INT(A173/12)+Assumptions!$B$12*(1+Assumptions!$B$11)^(INT(A173/12)+1)/12))*J173</f>
        <v>-404.609142887227</v>
      </c>
      <c r="V173" s="32" t="n">
        <f aca="false">V172*(1-F172)*(1-(1-(1-MIN(1,G172*(1-Assumptions!$B$23)))^(1/12)))</f>
        <v>0.783429039227664</v>
      </c>
      <c r="W173" s="47" t="n">
        <f aca="false">V173*(IF(C173&lt;Assumptions!$B$5,Assumptions!$B$12*(1+Assumptions!$B$11)^(INT(A173/12)+1)/12+Pricing_M!$B$13*IF(A173=0,Assumptions!$B$14*12,IF(A173&gt;=12,Assumptions!$B$15,0))-Pricing_M!$B$13,Assumptions!$B$9/12*(1+Assumptions!$B$10)^INT(A173/12)+Assumptions!$B$12*(1+Assumptions!$B$11)^(INT(A173/12)+1)/12))*J173</f>
        <v>-487.353018113441</v>
      </c>
      <c r="X173" s="47" t="n">
        <f aca="false">I173*(IF(C173&lt;Assumptions!$B$5,Assumptions!$B$12*(1+Assumptions!$B$11)*(1+Assumptions!$B$24)*(1+Assumptions!$B$11+Assumptions!$B$25)^(INT(A173/12))/12+Pricing_M!$B$13*IF(A173=0,Assumptions!$B$14*12,IF(A173&gt;=12,Assumptions!$B$15,0))-Pricing_M!$B$13,Assumptions!$B$9/12*(1+Assumptions!$B$10)^INT(A173/12)+Assumptions!$B$12*(1+Assumptions!$B$11)*(1+Assumptions!$B$24)*(1+Assumptions!$B$11+Assumptions!$B$25)^(INT(A173/12))/12))*J173</f>
        <v>-443.156691754188</v>
      </c>
    </row>
    <row r="174" customFormat="false" ht="15" hidden="false" customHeight="true" outlineLevel="0" collapsed="false">
      <c r="A174" s="1" t="n">
        <v>167</v>
      </c>
      <c r="B174" s="31" t="n">
        <f aca="false">Assumptions!$B$4+A174/12</f>
        <v>78.9166666666667</v>
      </c>
      <c r="C174" s="34" t="n">
        <f aca="false">Assumptions!$B$4+INT(A174/12)</f>
        <v>78</v>
      </c>
      <c r="D174" s="34" t="n">
        <f aca="false">INT(A174/12)+1</f>
        <v>14</v>
      </c>
      <c r="E174" s="32" t="n">
        <f aca="false">IFERROR(INDEX(Cohort_Survival!$G$5:$G$65,MATCH(C174,Cohort_Survival!$A$5:$A$65,0)),1)</f>
        <v>0.0208063466384408</v>
      </c>
      <c r="F174" s="30" t="n">
        <f aca="false">1-(1-MIN(1,E174))^(1/12)</f>
        <v>0.00175061993236203</v>
      </c>
      <c r="G174" s="39" t="n">
        <f aca="false">IF(C174&lt;Assumptions!$B$5,IF(D174=1,Assumptions!$B$16,IF(D174=2,Assumptions!$B$17,IF(D174&lt;=5,Assumptions!$B$18,Assumptions!$B$19)))*(1-Assumptions!$B$20),0)</f>
        <v>0.0091</v>
      </c>
      <c r="H174" s="30" t="n">
        <f aca="false">1-(1-G174)^(1/12)</f>
        <v>0.000761514726814627</v>
      </c>
      <c r="I174" s="30" t="n">
        <f aca="false">I173*(1-F173)*(1-H173)</f>
        <v>0.71235728257791</v>
      </c>
      <c r="J174" s="30" t="n">
        <f aca="false">INDEX(Discount_Monthly!$G$4:$G$664,MATCH(A174,Discount_Monthly!$A$4:$A$664,0))</f>
        <v>0.65733983299543</v>
      </c>
      <c r="K174" s="30" t="n">
        <f aca="false">IF(C174&lt;Assumptions!$B$5,I174*J174,0)</f>
        <v>0.468260817162842</v>
      </c>
      <c r="L174" s="30" t="n">
        <f aca="false">IF(C174&lt;Assumptions!$B$5,I174*(1-F174)*H174*A174*J174,0)</f>
        <v>0.0594458642630475</v>
      </c>
      <c r="M174" s="30" t="n">
        <f aca="false">IF(A174=0,Assumptions!$B$14*12*I174*J174,IF(AND(A174&gt;=12,C174&lt;Assumptions!$B$5),Assumptions!$B$15*I174*J174,0))</f>
        <v>0.0234130408581421</v>
      </c>
      <c r="N174" s="47" t="n">
        <f aca="false">IF(C174&gt;=Assumptions!$B$5,I174*Assumptions!$B$9/12*(1+Assumptions!$B$10)^INT(A174/12)*J174,0)</f>
        <v>0</v>
      </c>
      <c r="O174" s="47" t="n">
        <f aca="false">I174*Assumptions!$B$12/12*(1+Assumptions!$B$11)^(INT(A174/12)+1)*J174</f>
        <v>4.41093517359252</v>
      </c>
      <c r="P174" s="47" t="n">
        <f aca="false">O174+Pricing_M!$B$13*M174+N174-Pricing_M!$B$13*K174</f>
        <v>-441.888799699094</v>
      </c>
      <c r="Q174" s="47" t="n">
        <f aca="false">IF(C174&lt;Assumptions!$B$5,Pricing_M!$B$13*K174-Pricing_M!$B$13*M174-O174,-(N174+O174))</f>
        <v>441.888799699094</v>
      </c>
      <c r="R174" s="32" t="n">
        <f aca="false">R173*(1-(1-(1-MIN(1,E173*(1-Assumptions!$B$21)))^(1/12)))*(1-H173)</f>
        <v>0.734775328689014</v>
      </c>
      <c r="S174" s="47" t="n">
        <f aca="false">R174*(IF(C174&lt;Assumptions!$B$5,Assumptions!$B$12*(1+Assumptions!$B$11)^(INT(A174/12)+1)/12+Pricing_M!$B$13*IF(A174=0,Assumptions!$B$14*12,IF(A174&gt;=12,Assumptions!$B$15,0))-Pricing_M!$B$13,Assumptions!$B$9/12*(1+Assumptions!$B$10)^INT(A174/12)+Assumptions!$B$12*(1+Assumptions!$B$11)^(INT(A174/12)+1)/12))*J174</f>
        <v>-455.795140983043</v>
      </c>
      <c r="T174" s="32" t="n">
        <f aca="false">T173*(1-F173)*(1-(1-(1-MIN(1,G173*(1+Assumptions!$B$23)))^(1/12)))</f>
        <v>0.648534873551208</v>
      </c>
      <c r="U174" s="47" t="n">
        <f aca="false">T174*(IF(C174&lt;Assumptions!$B$5,Assumptions!$B$12*(1+Assumptions!$B$11)^(INT(A174/12)+1)/12+Pricing_M!$B$13*IF(A174=0,Assumptions!$B$14*12,IF(A174&gt;=12,Assumptions!$B$15,0))-Pricing_M!$B$13,Assumptions!$B$9/12*(1+Assumptions!$B$10)^INT(A174/12)+Assumptions!$B$12*(1+Assumptions!$B$11)^(INT(A174/12)+1)/12))*J174</f>
        <v>-402.298542943868</v>
      </c>
      <c r="V174" s="32" t="n">
        <f aca="false">V173*(1-F173)*(1-(1-(1-MIN(1,G173*(1-Assumptions!$B$23)))^(1/12)))</f>
        <v>0.781760402388052</v>
      </c>
      <c r="W174" s="47" t="n">
        <f aca="false">V174*(IF(C174&lt;Assumptions!$B$5,Assumptions!$B$12*(1+Assumptions!$B$11)^(INT(A174/12)+1)/12+Pricing_M!$B$13*IF(A174=0,Assumptions!$B$14*12,IF(A174&gt;=12,Assumptions!$B$15,0))-Pricing_M!$B$13,Assumptions!$B$9/12*(1+Assumptions!$B$10)^INT(A174/12)+Assumptions!$B$12*(1+Assumptions!$B$11)^(INT(A174/12)+1)/12))*J174</f>
        <v>-484.94087771996</v>
      </c>
      <c r="X174" s="47" t="n">
        <f aca="false">I174*(IF(C174&lt;Assumptions!$B$5,Assumptions!$B$12*(1+Assumptions!$B$11)*(1+Assumptions!$B$24)*(1+Assumptions!$B$11+Assumptions!$B$25)^(INT(A174/12))/12+Pricing_M!$B$13*IF(A174=0,Assumptions!$B$14*12,IF(A174&gt;=12,Assumptions!$B$15,0))-Pricing_M!$B$13,Assumptions!$B$9/12*(1+Assumptions!$B$10)^INT(A174/12)+Assumptions!$B$12*(1+Assumptions!$B$11)*(1+Assumptions!$B$24)*(1+Assumptions!$B$11+Assumptions!$B$25)^(INT(A174/12))/12))*J174</f>
        <v>-440.794984145763</v>
      </c>
    </row>
    <row r="175" customFormat="false" ht="15" hidden="false" customHeight="true" outlineLevel="0" collapsed="false">
      <c r="A175" s="1" t="n">
        <v>168</v>
      </c>
      <c r="B175" s="31" t="n">
        <f aca="false">Assumptions!$B$4+A175/12</f>
        <v>79</v>
      </c>
      <c r="C175" s="34" t="n">
        <f aca="false">Assumptions!$B$4+INT(A175/12)</f>
        <v>79</v>
      </c>
      <c r="D175" s="34" t="n">
        <f aca="false">INT(A175/12)+1</f>
        <v>15</v>
      </c>
      <c r="E175" s="32" t="n">
        <f aca="false">IFERROR(INDEX(Cohort_Survival!$G$5:$G$65,MATCH(C175,Cohort_Survival!$A$5:$A$65,0)),1)</f>
        <v>0.0233226520151738</v>
      </c>
      <c r="F175" s="30" t="n">
        <f aca="false">1-(1-MIN(1,E175))^(1/12)</f>
        <v>0.00196464498655125</v>
      </c>
      <c r="G175" s="39" t="n">
        <f aca="false">IF(C175&lt;Assumptions!$B$5,IF(D175=1,Assumptions!$B$16,IF(D175=2,Assumptions!$B$17,IF(D175&lt;=5,Assumptions!$B$18,Assumptions!$B$19)))*(1-Assumptions!$B$20),0)</f>
        <v>0.0091</v>
      </c>
      <c r="H175" s="30" t="n">
        <f aca="false">1-(1-G175)^(1/12)</f>
        <v>0.000761514726814627</v>
      </c>
      <c r="I175" s="30" t="n">
        <f aca="false">I174*(1-F174)*(1-H174)</f>
        <v>0.710568694818407</v>
      </c>
      <c r="J175" s="30" t="n">
        <f aca="false">INDEX(Discount_Monthly!$G$4:$G$664,MATCH(A175,Discount_Monthly!$A$4:$A$664,0))</f>
        <v>0.655482469114705</v>
      </c>
      <c r="K175" s="30" t="n">
        <f aca="false">IF(C175&lt;Assumptions!$B$5,I175*J175,0)</f>
        <v>0.465765322555182</v>
      </c>
      <c r="L175" s="30" t="n">
        <f aca="false">IF(C175&lt;Assumptions!$B$5,I175*(1-F175)*H175*A175*J175,0)</f>
        <v>0.0594703734289808</v>
      </c>
      <c r="M175" s="30" t="n">
        <f aca="false">IF(A175=0,Assumptions!$B$14*12*I175*J175,IF(AND(A175&gt;=12,C175&lt;Assumptions!$B$5),Assumptions!$B$15*I175*J175,0))</f>
        <v>0.0232882661277591</v>
      </c>
      <c r="N175" s="47" t="n">
        <f aca="false">IF(C175&gt;=Assumptions!$B$5,I175*Assumptions!$B$9/12*(1+Assumptions!$B$10)^INT(A175/12)*J175,0)</f>
        <v>0</v>
      </c>
      <c r="O175" s="47" t="n">
        <f aca="false">I175*Assumptions!$B$12/12*(1+Assumptions!$B$11)^(INT(A175/12)+1)*J175</f>
        <v>4.49711375116714</v>
      </c>
      <c r="P175" s="47" t="n">
        <f aca="false">O175+Pricing_M!$B$13*M175+N175-Pricing_M!$B$13*K175</f>
        <v>-439.424163345524</v>
      </c>
      <c r="Q175" s="47" t="n">
        <f aca="false">IF(C175&lt;Assumptions!$B$5,Pricing_M!$B$13*K175-Pricing_M!$B$13*M175-O175,-(N175+O175))</f>
        <v>439.424163345524</v>
      </c>
      <c r="R175" s="32" t="n">
        <f aca="false">R174*(1-(1-(1-MIN(1,E174*(1-Assumptions!$B$21)))^(1/12)))*(1-H174)</f>
        <v>0.733189510060137</v>
      </c>
      <c r="S175" s="47" t="n">
        <f aca="false">R175*(IF(C175&lt;Assumptions!$B$5,Assumptions!$B$12*(1+Assumptions!$B$11)^(INT(A175/12)+1)/12+Pricing_M!$B$13*IF(A175=0,Assumptions!$B$14*12,IF(A175&gt;=12,Assumptions!$B$15,0))-Pricing_M!$B$13,Assumptions!$B$9/12*(1+Assumptions!$B$10)^INT(A175/12)+Assumptions!$B$12*(1+Assumptions!$B$11)^(INT(A175/12)+1)/12))*J175</f>
        <v>-453.413145528776</v>
      </c>
      <c r="T175" s="32" t="n">
        <f aca="false">T174*(1-F174)*(1-(1-(1-MIN(1,G174*(1+Assumptions!$B$23)))^(1/12)))</f>
        <v>0.646658470711529</v>
      </c>
      <c r="U175" s="47" t="n">
        <f aca="false">T175*(IF(C175&lt;Assumptions!$B$5,Assumptions!$B$12*(1+Assumptions!$B$11)^(INT(A175/12)+1)/12+Pricing_M!$B$13*IF(A175=0,Assumptions!$B$14*12,IF(A175&gt;=12,Assumptions!$B$15,0))-Pricing_M!$B$13,Assumptions!$B$9/12*(1+Assumptions!$B$10)^INT(A175/12)+Assumptions!$B$12*(1+Assumptions!$B$11)^(INT(A175/12)+1)/12))*J175</f>
        <v>-399.901317824492</v>
      </c>
      <c r="V175" s="32" t="n">
        <f aca="false">V174*(1-F174)*(1-(1-(1-MIN(1,G174*(1-Assumptions!$B$23)))^(1/12)))</f>
        <v>0.780095319602175</v>
      </c>
      <c r="W175" s="47" t="n">
        <f aca="false">V175*(IF(C175&lt;Assumptions!$B$5,Assumptions!$B$12*(1+Assumptions!$B$11)^(INT(A175/12)+1)/12+Pricing_M!$B$13*IF(A175=0,Assumptions!$B$14*12,IF(A175&gt;=12,Assumptions!$B$15,0))-Pricing_M!$B$13,Assumptions!$B$9/12*(1+Assumptions!$B$10)^INT(A175/12)+Assumptions!$B$12*(1+Assumptions!$B$11)^(INT(A175/12)+1)/12))*J175</f>
        <v>-482.420258091372</v>
      </c>
      <c r="X175" s="47" t="n">
        <f aca="false">I175*(IF(C175&lt;Assumptions!$B$5,Assumptions!$B$12*(1+Assumptions!$B$11)*(1+Assumptions!$B$24)*(1+Assumptions!$B$11+Assumptions!$B$25)^(INT(A175/12))/12+Pricing_M!$B$13*IF(A175=0,Assumptions!$B$14*12,IF(A175&gt;=12,Assumptions!$B$15,0))-Pricing_M!$B$13,Assumptions!$B$9/12*(1+Assumptions!$B$10)^INT(A175/12)+Assumptions!$B$12*(1+Assumptions!$B$11)*(1+Assumptions!$B$24)*(1+Assumptions!$B$11+Assumptions!$B$25)^(INT(A175/12))/12))*J175</f>
        <v>-438.254223244276</v>
      </c>
    </row>
    <row r="176" customFormat="false" ht="15" hidden="false" customHeight="true" outlineLevel="0" collapsed="false">
      <c r="A176" s="1" t="n">
        <v>169</v>
      </c>
      <c r="B176" s="31" t="n">
        <f aca="false">Assumptions!$B$4+A176/12</f>
        <v>79.0833333333333</v>
      </c>
      <c r="C176" s="34" t="n">
        <f aca="false">Assumptions!$B$4+INT(A176/12)</f>
        <v>79</v>
      </c>
      <c r="D176" s="34" t="n">
        <f aca="false">INT(A176/12)+1</f>
        <v>15</v>
      </c>
      <c r="E176" s="32" t="n">
        <f aca="false">IFERROR(INDEX(Cohort_Survival!$G$5:$G$65,MATCH(C176,Cohort_Survival!$A$5:$A$65,0)),1)</f>
        <v>0.0233226520151738</v>
      </c>
      <c r="F176" s="30" t="n">
        <f aca="false">1-(1-MIN(1,E176))^(1/12)</f>
        <v>0.00196464498655125</v>
      </c>
      <c r="G176" s="39" t="n">
        <f aca="false">IF(C176&lt;Assumptions!$B$5,IF(D176=1,Assumptions!$B$16,IF(D176=2,Assumptions!$B$17,IF(D176&lt;=5,Assumptions!$B$18,Assumptions!$B$19)))*(1-Assumptions!$B$20),0)</f>
        <v>0.0091</v>
      </c>
      <c r="H176" s="30" t="n">
        <f aca="false">1-(1-G176)^(1/12)</f>
        <v>0.000761514726814627</v>
      </c>
      <c r="I176" s="30" t="n">
        <f aca="false">I175*(1-F175)*(1-H175)</f>
        <v>0.708632634155165</v>
      </c>
      <c r="J176" s="30" t="n">
        <f aca="false">INDEX(Discount_Monthly!$G$4:$G$664,MATCH(A176,Discount_Monthly!$A$4:$A$664,0))</f>
        <v>0.653487777301563</v>
      </c>
      <c r="K176" s="30" t="n">
        <f aca="false">IF(C176&lt;Assumptions!$B$5,I176*J176,0)</f>
        <v>0.463082765017411</v>
      </c>
      <c r="L176" s="30" t="n">
        <f aca="false">IF(C176&lt;Assumptions!$B$5,I176*(1-F176)*H176*A176*J176,0)</f>
        <v>0.0594798076151123</v>
      </c>
      <c r="M176" s="30" t="n">
        <f aca="false">IF(A176=0,Assumptions!$B$14*12*I176*J176,IF(AND(A176&gt;=12,C176&lt;Assumptions!$B$5),Assumptions!$B$15*I176*J176,0))</f>
        <v>0.0231541382508705</v>
      </c>
      <c r="N176" s="47" t="n">
        <f aca="false">IF(C176&gt;=Assumptions!$B$5,I176*Assumptions!$B$9/12*(1+Assumptions!$B$10)^INT(A176/12)*J176,0)</f>
        <v>0</v>
      </c>
      <c r="O176" s="47" t="n">
        <f aca="false">I176*Assumptions!$B$12/12*(1+Assumptions!$B$11)^(INT(A176/12)+1)*J176</f>
        <v>4.47121279674394</v>
      </c>
      <c r="P176" s="47" t="n">
        <f aca="false">O176+Pricing_M!$B$13*M176+N176-Pricing_M!$B$13*K176</f>
        <v>-436.893316705429</v>
      </c>
      <c r="Q176" s="47" t="n">
        <f aca="false">IF(C176&lt;Assumptions!$B$5,Pricing_M!$B$13*K176-Pricing_M!$B$13*M176-O176,-(N176+O176))</f>
        <v>436.893316705429</v>
      </c>
      <c r="R176" s="32" t="n">
        <f aca="false">R175*(1-(1-(1-MIN(1,E175*(1-Assumptions!$B$21)))^(1/12)))*(1-H175)</f>
        <v>0.731482189526761</v>
      </c>
      <c r="S176" s="47" t="n">
        <f aca="false">R176*(IF(C176&lt;Assumptions!$B$5,Assumptions!$B$12*(1+Assumptions!$B$11)^(INT(A176/12)+1)/12+Pricing_M!$B$13*IF(A176=0,Assumptions!$B$14*12,IF(A176&gt;=12,Assumptions!$B$15,0))-Pricing_M!$B$13,Assumptions!$B$9/12*(1+Assumptions!$B$10)^INT(A176/12)+Assumptions!$B$12*(1+Assumptions!$B$11)^(INT(A176/12)+1)/12))*J176</f>
        <v>-450.980754328793</v>
      </c>
      <c r="T176" s="32" t="n">
        <f aca="false">T175*(1-F175)*(1-(1-(1-MIN(1,G175*(1+Assumptions!$B$23)))^(1/12)))</f>
        <v>0.644649254169825</v>
      </c>
      <c r="U176" s="47" t="n">
        <f aca="false">T176*(IF(C176&lt;Assumptions!$B$5,Assumptions!$B$12*(1+Assumptions!$B$11)^(INT(A176/12)+1)/12+Pricing_M!$B$13*IF(A176=0,Assumptions!$B$14*12,IF(A176&gt;=12,Assumptions!$B$15,0))-Pricing_M!$B$13,Assumptions!$B$9/12*(1+Assumptions!$B$10)^INT(A176/12)+Assumptions!$B$12*(1+Assumptions!$B$11)^(INT(A176/12)+1)/12))*J176</f>
        <v>-397.445639942495</v>
      </c>
      <c r="V176" s="32" t="n">
        <f aca="false">V175*(1-F175)*(1-(1-(1-MIN(1,G175*(1-Assumptions!$B$23)))^(1/12)))</f>
        <v>0.7782668867952</v>
      </c>
      <c r="W176" s="47" t="n">
        <f aca="false">V176*(IF(C176&lt;Assumptions!$B$5,Assumptions!$B$12*(1+Assumptions!$B$11)^(INT(A176/12)+1)/12+Pricing_M!$B$13*IF(A176=0,Assumptions!$B$14*12,IF(A176&gt;=12,Assumptions!$B$15,0))-Pricing_M!$B$13,Assumptions!$B$9/12*(1+Assumptions!$B$10)^INT(A176/12)+Assumptions!$B$12*(1+Assumptions!$B$11)^(INT(A176/12)+1)/12))*J176</f>
        <v>-479.824926295325</v>
      </c>
      <c r="X176" s="47" t="n">
        <f aca="false">I176*(IF(C176&lt;Assumptions!$B$5,Assumptions!$B$12*(1+Assumptions!$B$11)*(1+Assumptions!$B$24)*(1+Assumptions!$B$11+Assumptions!$B$25)^(INT(A176/12))/12+Pricing_M!$B$13*IF(A176=0,Assumptions!$B$14*12,IF(A176&gt;=12,Assumptions!$B$15,0))-Pricing_M!$B$13,Assumptions!$B$9/12*(1+Assumptions!$B$10)^INT(A176/12)+Assumptions!$B$12*(1+Assumptions!$B$11)*(1+Assumptions!$B$24)*(1+Assumptions!$B$11+Assumptions!$B$25)^(INT(A176/12))/12))*J176</f>
        <v>-435.730114829388</v>
      </c>
    </row>
    <row r="177" customFormat="false" ht="15" hidden="false" customHeight="true" outlineLevel="0" collapsed="false">
      <c r="A177" s="1" t="n">
        <v>170</v>
      </c>
      <c r="B177" s="31" t="n">
        <f aca="false">Assumptions!$B$4+A177/12</f>
        <v>79.1666666666667</v>
      </c>
      <c r="C177" s="34" t="n">
        <f aca="false">Assumptions!$B$4+INT(A177/12)</f>
        <v>79</v>
      </c>
      <c r="D177" s="34" t="n">
        <f aca="false">INT(A177/12)+1</f>
        <v>15</v>
      </c>
      <c r="E177" s="32" t="n">
        <f aca="false">IFERROR(INDEX(Cohort_Survival!$G$5:$G$65,MATCH(C177,Cohort_Survival!$A$5:$A$65,0)),1)</f>
        <v>0.0233226520151738</v>
      </c>
      <c r="F177" s="30" t="n">
        <f aca="false">1-(1-MIN(1,E177))^(1/12)</f>
        <v>0.00196464498655125</v>
      </c>
      <c r="G177" s="39" t="n">
        <f aca="false">IF(C177&lt;Assumptions!$B$5,IF(D177=1,Assumptions!$B$16,IF(D177=2,Assumptions!$B$17,IF(D177&lt;=5,Assumptions!$B$18,Assumptions!$B$19)))*(1-Assumptions!$B$20),0)</f>
        <v>0.0091</v>
      </c>
      <c r="H177" s="30" t="n">
        <f aca="false">1-(1-G177)^(1/12)</f>
        <v>0.000761514726814627</v>
      </c>
      <c r="I177" s="30" t="n">
        <f aca="false">I176*(1-F176)*(1-H176)</f>
        <v>0.706701848605955</v>
      </c>
      <c r="J177" s="30" t="n">
        <f aca="false">INDEX(Discount_Monthly!$G$4:$G$664,MATCH(A177,Discount_Monthly!$A$4:$A$664,0))</f>
        <v>0.651499155514115</v>
      </c>
      <c r="K177" s="30" t="n">
        <f aca="false">IF(C177&lt;Assumptions!$B$5,I177*J177,0)</f>
        <v>0.460415657567043</v>
      </c>
      <c r="L177" s="30" t="n">
        <f aca="false">IF(C177&lt;Assumptions!$B$5,I177*(1-F177)*H177*A177*J177,0)</f>
        <v>0.0594871604140842</v>
      </c>
      <c r="M177" s="30" t="n">
        <f aca="false">IF(A177=0,Assumptions!$B$14*12*I177*J177,IF(AND(A177&gt;=12,C177&lt;Assumptions!$B$5),Assumptions!$B$15*I177*J177,0))</f>
        <v>0.0230207828783522</v>
      </c>
      <c r="N177" s="47" t="n">
        <f aca="false">IF(C177&gt;=Assumptions!$B$5,I177*Assumptions!$B$9/12*(1+Assumptions!$B$10)^INT(A177/12)*J177,0)</f>
        <v>0</v>
      </c>
      <c r="O177" s="47" t="n">
        <f aca="false">I177*Assumptions!$B$12/12*(1+Assumptions!$B$11)^(INT(A177/12)+1)*J177</f>
        <v>4.4454610178758</v>
      </c>
      <c r="P177" s="47" t="n">
        <f aca="false">O177+Pricing_M!$B$13*M177+N177-Pricing_M!$B$13*K177</f>
        <v>-434.377046379634</v>
      </c>
      <c r="Q177" s="47" t="n">
        <f aca="false">IF(C177&lt;Assumptions!$B$5,Pricing_M!$B$13*K177-Pricing_M!$B$13*M177-O177,-(N177+O177))</f>
        <v>434.377046379634</v>
      </c>
      <c r="R177" s="32" t="n">
        <f aca="false">R176*(1-(1-(1-MIN(1,E176*(1-Assumptions!$B$21)))^(1/12)))*(1-H176)</f>
        <v>0.729778844695934</v>
      </c>
      <c r="S177" s="47" t="n">
        <f aca="false">R177*(IF(C177&lt;Assumptions!$B$5,Assumptions!$B$12*(1+Assumptions!$B$11)^(INT(A177/12)+1)/12+Pricing_M!$B$13*IF(A177=0,Assumptions!$B$14*12,IF(A177&gt;=12,Assumptions!$B$15,0))-Pricing_M!$B$13,Assumptions!$B$9/12*(1+Assumptions!$B$10)^INT(A177/12)+Assumptions!$B$12*(1+Assumptions!$B$11)^(INT(A177/12)+1)/12))*J177</f>
        <v>-448.561411993864</v>
      </c>
      <c r="T177" s="32" t="n">
        <f aca="false">T176*(1-F176)*(1-(1-(1-MIN(1,G176*(1+Assumptions!$B$23)))^(1/12)))</f>
        <v>0.642646280415147</v>
      </c>
      <c r="U177" s="47" t="n">
        <f aca="false">T177*(IF(C177&lt;Assumptions!$B$5,Assumptions!$B$12*(1+Assumptions!$B$11)^(INT(A177/12)+1)/12+Pricing_M!$B$13*IF(A177=0,Assumptions!$B$14*12,IF(A177&gt;=12,Assumptions!$B$15,0))-Pricing_M!$B$13,Assumptions!$B$9/12*(1+Assumptions!$B$10)^INT(A177/12)+Assumptions!$B$12*(1+Assumptions!$B$11)^(INT(A177/12)+1)/12))*J177</f>
        <v>-395.00504166537</v>
      </c>
      <c r="V177" s="32" t="n">
        <f aca="false">V176*(1-F176)*(1-(1-(1-MIN(1,G176*(1-Assumptions!$B$23)))^(1/12)))</f>
        <v>0.776442739575442</v>
      </c>
      <c r="W177" s="47" t="n">
        <f aca="false">V177*(IF(C177&lt;Assumptions!$B$5,Assumptions!$B$12*(1+Assumptions!$B$11)^(INT(A177/12)+1)/12+Pricing_M!$B$13*IF(A177=0,Assumptions!$B$14*12,IF(A177&gt;=12,Assumptions!$B$15,0))-Pricing_M!$B$13,Assumptions!$B$9/12*(1+Assumptions!$B$10)^INT(A177/12)+Assumptions!$B$12*(1+Assumptions!$B$11)^(INT(A177/12)+1)/12))*J177</f>
        <v>-477.2435569045</v>
      </c>
      <c r="X177" s="47" t="n">
        <f aca="false">I177*(IF(C177&lt;Assumptions!$B$5,Assumptions!$B$12*(1+Assumptions!$B$11)*(1+Assumptions!$B$24)*(1+Assumptions!$B$11+Assumptions!$B$25)^(INT(A177/12))/12+Pricing_M!$B$13*IF(A177=0,Assumptions!$B$14*12,IF(A177&gt;=12,Assumptions!$B$15,0))-Pricing_M!$B$13,Assumptions!$B$9/12*(1+Assumptions!$B$10)^INT(A177/12)+Assumptions!$B$12*(1+Assumptions!$B$11)*(1+Assumptions!$B$24)*(1+Assumptions!$B$11+Assumptions!$B$25)^(INT(A177/12))/12))*J177</f>
        <v>-433.22054392025</v>
      </c>
    </row>
    <row r="178" customFormat="false" ht="15" hidden="false" customHeight="true" outlineLevel="0" collapsed="false">
      <c r="A178" s="1" t="n">
        <v>171</v>
      </c>
      <c r="B178" s="31" t="n">
        <f aca="false">Assumptions!$B$4+A178/12</f>
        <v>79.25</v>
      </c>
      <c r="C178" s="34" t="n">
        <f aca="false">Assumptions!$B$4+INT(A178/12)</f>
        <v>79</v>
      </c>
      <c r="D178" s="34" t="n">
        <f aca="false">INT(A178/12)+1</f>
        <v>15</v>
      </c>
      <c r="E178" s="32" t="n">
        <f aca="false">IFERROR(INDEX(Cohort_Survival!$G$5:$G$65,MATCH(C178,Cohort_Survival!$A$5:$A$65,0)),1)</f>
        <v>0.0233226520151738</v>
      </c>
      <c r="F178" s="30" t="n">
        <f aca="false">1-(1-MIN(1,E178))^(1/12)</f>
        <v>0.00196464498655125</v>
      </c>
      <c r="G178" s="39" t="n">
        <f aca="false">IF(C178&lt;Assumptions!$B$5,IF(D178=1,Assumptions!$B$16,IF(D178=2,Assumptions!$B$17,IF(D178&lt;=5,Assumptions!$B$18,Assumptions!$B$19)))*(1-Assumptions!$B$20),0)</f>
        <v>0.0091</v>
      </c>
      <c r="H178" s="30" t="n">
        <f aca="false">1-(1-G178)^(1/12)</f>
        <v>0.000761514726814627</v>
      </c>
      <c r="I178" s="30" t="n">
        <f aca="false">I177*(1-F177)*(1-H177)</f>
        <v>0.704776323797864</v>
      </c>
      <c r="J178" s="30" t="n">
        <f aca="false">INDEX(Discount_Monthly!$G$4:$G$664,MATCH(A178,Discount_Monthly!$A$4:$A$664,0))</f>
        <v>0.649516585280729</v>
      </c>
      <c r="K178" s="30" t="n">
        <f aca="false">IF(C178&lt;Assumptions!$B$5,I178*J178,0)</f>
        <v>0.457763911219894</v>
      </c>
      <c r="L178" s="30" t="n">
        <f aca="false">IF(C178&lt;Assumptions!$B$5,I178*(1-F178)*H178*A178*J178,0)</f>
        <v>0.0594924554882908</v>
      </c>
      <c r="M178" s="30" t="n">
        <f aca="false">IF(A178=0,Assumptions!$B$14*12*I178*J178,IF(AND(A178&gt;=12,C178&lt;Assumptions!$B$5),Assumptions!$B$15*I178*J178,0))</f>
        <v>0.0228881955609947</v>
      </c>
      <c r="N178" s="47" t="n">
        <f aca="false">IF(C178&gt;=Assumptions!$B$5,I178*Assumptions!$B$9/12*(1+Assumptions!$B$10)^INT(A178/12)*J178,0)</f>
        <v>0</v>
      </c>
      <c r="O178" s="47" t="n">
        <f aca="false">I178*Assumptions!$B$12/12*(1+Assumptions!$B$11)^(INT(A178/12)+1)*J178</f>
        <v>4.41985755539184</v>
      </c>
      <c r="P178" s="47" t="n">
        <f aca="false">O178+Pricing_M!$B$13*M178+N178-Pricing_M!$B$13*K178</f>
        <v>-431.875268416413</v>
      </c>
      <c r="Q178" s="47" t="n">
        <f aca="false">IF(C178&lt;Assumptions!$B$5,Pricing_M!$B$13*K178-Pricing_M!$B$13*M178-O178,-(N178+O178))</f>
        <v>431.875268416413</v>
      </c>
      <c r="R178" s="32" t="n">
        <f aca="false">R177*(1-(1-(1-MIN(1,E177*(1-Assumptions!$B$21)))^(1/12)))*(1-H177)</f>
        <v>0.728079466309751</v>
      </c>
      <c r="S178" s="47" t="n">
        <f aca="false">R178*(IF(C178&lt;Assumptions!$B$5,Assumptions!$B$12*(1+Assumptions!$B$11)^(INT(A178/12)+1)/12+Pricing_M!$B$13*IF(A178=0,Assumptions!$B$14*12,IF(A178&gt;=12,Assumptions!$B$15,0))-Pricing_M!$B$13,Assumptions!$B$9/12*(1+Assumptions!$B$10)^INT(A178/12)+Assumptions!$B$12*(1+Assumptions!$B$11)^(INT(A178/12)+1)/12))*J178</f>
        <v>-446.15504852173</v>
      </c>
      <c r="T178" s="32" t="n">
        <f aca="false">T177*(1-F177)*(1-(1-(1-MIN(1,G177*(1+Assumptions!$B$23)))^(1/12)))</f>
        <v>0.640649530050687</v>
      </c>
      <c r="U178" s="47" t="n">
        <f aca="false">T178*(IF(C178&lt;Assumptions!$B$5,Assumptions!$B$12*(1+Assumptions!$B$11)^(INT(A178/12)+1)/12+Pricing_M!$B$13*IF(A178=0,Assumptions!$B$14*12,IF(A178&gt;=12,Assumptions!$B$15,0))-Pricing_M!$B$13,Assumptions!$B$9/12*(1+Assumptions!$B$10)^INT(A178/12)+Assumptions!$B$12*(1+Assumptions!$B$11)^(INT(A178/12)+1)/12))*J178</f>
        <v>-392.579430393641</v>
      </c>
      <c r="V178" s="32" t="n">
        <f aca="false">V177*(1-F177)*(1-(1-(1-MIN(1,G177*(1-Assumptions!$B$23)))^(1/12)))</f>
        <v>0.774622867898093</v>
      </c>
      <c r="W178" s="47" t="n">
        <f aca="false">V178*(IF(C178&lt;Assumptions!$B$5,Assumptions!$B$12*(1+Assumptions!$B$11)^(INT(A178/12)+1)/12+Pricing_M!$B$13*IF(A178=0,Assumptions!$B$14*12,IF(A178&gt;=12,Assumptions!$B$15,0))-Pricing_M!$B$13,Assumptions!$B$9/12*(1+Assumptions!$B$10)^INT(A178/12)+Assumptions!$B$12*(1+Assumptions!$B$11)^(INT(A178/12)+1)/12))*J178</f>
        <v>-474.676074803741</v>
      </c>
      <c r="X178" s="47" t="n">
        <f aca="false">I178*(IF(C178&lt;Assumptions!$B$5,Assumptions!$B$12*(1+Assumptions!$B$11)*(1+Assumptions!$B$24)*(1+Assumptions!$B$11+Assumptions!$B$25)^(INT(A178/12))/12+Pricing_M!$B$13*IF(A178=0,Assumptions!$B$14*12,IF(A178&gt;=12,Assumptions!$B$15,0))-Pricing_M!$B$13,Assumptions!$B$9/12*(1+Assumptions!$B$10)^INT(A178/12)+Assumptions!$B$12*(1+Assumptions!$B$11)*(1+Assumptions!$B$24)*(1+Assumptions!$B$11+Assumptions!$B$25)^(INT(A178/12))/12))*J178</f>
        <v>-430.725426788654</v>
      </c>
    </row>
    <row r="179" customFormat="false" ht="15" hidden="false" customHeight="true" outlineLevel="0" collapsed="false">
      <c r="A179" s="1" t="n">
        <v>172</v>
      </c>
      <c r="B179" s="31" t="n">
        <f aca="false">Assumptions!$B$4+A179/12</f>
        <v>79.3333333333333</v>
      </c>
      <c r="C179" s="34" t="n">
        <f aca="false">Assumptions!$B$4+INT(A179/12)</f>
        <v>79</v>
      </c>
      <c r="D179" s="34" t="n">
        <f aca="false">INT(A179/12)+1</f>
        <v>15</v>
      </c>
      <c r="E179" s="32" t="n">
        <f aca="false">IFERROR(INDEX(Cohort_Survival!$G$5:$G$65,MATCH(C179,Cohort_Survival!$A$5:$A$65,0)),1)</f>
        <v>0.0233226520151738</v>
      </c>
      <c r="F179" s="30" t="n">
        <f aca="false">1-(1-MIN(1,E179))^(1/12)</f>
        <v>0.00196464498655125</v>
      </c>
      <c r="G179" s="39" t="n">
        <f aca="false">IF(C179&lt;Assumptions!$B$5,IF(D179=1,Assumptions!$B$16,IF(D179=2,Assumptions!$B$17,IF(D179&lt;=5,Assumptions!$B$18,Assumptions!$B$19)))*(1-Assumptions!$B$20),0)</f>
        <v>0.0091</v>
      </c>
      <c r="H179" s="30" t="n">
        <f aca="false">1-(1-G179)^(1/12)</f>
        <v>0.000761514726814627</v>
      </c>
      <c r="I179" s="30" t="n">
        <f aca="false">I178*(1-F178)*(1-H178)</f>
        <v>0.702856045397142</v>
      </c>
      <c r="J179" s="30" t="n">
        <f aca="false">INDEX(Discount_Monthly!$G$4:$G$664,MATCH(A179,Discount_Monthly!$A$4:$A$664,0))</f>
        <v>0.647540048185985</v>
      </c>
      <c r="K179" s="30" t="n">
        <f aca="false">IF(C179&lt;Assumptions!$B$5,I179*J179,0)</f>
        <v>0.455127437504277</v>
      </c>
      <c r="L179" s="30" t="n">
        <f aca="false">IF(C179&lt;Assumptions!$B$5,I179*(1-F179)*H179*A179*J179,0)</f>
        <v>0.0594957162966034</v>
      </c>
      <c r="M179" s="30" t="n">
        <f aca="false">IF(A179=0,Assumptions!$B$14*12*I179*J179,IF(AND(A179&gt;=12,C179&lt;Assumptions!$B$5),Assumptions!$B$15*I179*J179,0))</f>
        <v>0.0227563718752138</v>
      </c>
      <c r="N179" s="47" t="n">
        <f aca="false">IF(C179&gt;=Assumptions!$B$5,I179*Assumptions!$B$9/12*(1+Assumptions!$B$10)^INT(A179/12)*J179,0)</f>
        <v>0</v>
      </c>
      <c r="O179" s="47" t="n">
        <f aca="false">I179*Assumptions!$B$12/12*(1+Assumptions!$B$11)^(INT(A179/12)+1)*J179</f>
        <v>4.39440155506951</v>
      </c>
      <c r="P179" s="47" t="n">
        <f aca="false">O179+Pricing_M!$B$13*M179+N179-Pricing_M!$B$13*K179</f>
        <v>-429.387899347561</v>
      </c>
      <c r="Q179" s="47" t="n">
        <f aca="false">IF(C179&lt;Assumptions!$B$5,Pricing_M!$B$13*K179-Pricing_M!$B$13*M179-O179,-(N179+O179))</f>
        <v>429.387899347561</v>
      </c>
      <c r="R179" s="32" t="n">
        <f aca="false">R178*(1-(1-(1-MIN(1,E178*(1-Assumptions!$B$21)))^(1/12)))*(1-H178)</f>
        <v>0.726384045131865</v>
      </c>
      <c r="S179" s="47" t="n">
        <f aca="false">R179*(IF(C179&lt;Assumptions!$B$5,Assumptions!$B$12*(1+Assumptions!$B$11)^(INT(A179/12)+1)/12+Pricing_M!$B$13*IF(A179=0,Assumptions!$B$14*12,IF(A179&gt;=12,Assumptions!$B$15,0))-Pricing_M!$B$13,Assumptions!$B$9/12*(1+Assumptions!$B$10)^INT(A179/12)+Assumptions!$B$12*(1+Assumptions!$B$11)^(INT(A179/12)+1)/12))*J179</f>
        <v>-443.761594285668</v>
      </c>
      <c r="T179" s="32" t="n">
        <f aca="false">T178*(1-F178)*(1-(1-(1-MIN(1,G178*(1+Assumptions!$B$23)))^(1/12)))</f>
        <v>0.638658983739902</v>
      </c>
      <c r="U179" s="47" t="n">
        <f aca="false">T179*(IF(C179&lt;Assumptions!$B$5,Assumptions!$B$12*(1+Assumptions!$B$11)^(INT(A179/12)+1)/12+Pricing_M!$B$13*IF(A179=0,Assumptions!$B$14*12,IF(A179&gt;=12,Assumptions!$B$15,0))-Pricing_M!$B$13,Assumptions!$B$9/12*(1+Assumptions!$B$10)^INT(A179/12)+Assumptions!$B$12*(1+Assumptions!$B$11)^(INT(A179/12)+1)/12))*J179</f>
        <v>-390.168714096458</v>
      </c>
      <c r="V179" s="32" t="n">
        <f aca="false">V178*(1-F178)*(1-(1-(1-MIN(1,G178*(1-Assumptions!$B$23)))^(1/12)))</f>
        <v>0.772807261741886</v>
      </c>
      <c r="W179" s="47" t="n">
        <f aca="false">V179*(IF(C179&lt;Assumptions!$B$5,Assumptions!$B$12*(1+Assumptions!$B$11)^(INT(A179/12)+1)/12+Pricing_M!$B$13*IF(A179=0,Assumptions!$B$14*12,IF(A179&gt;=12,Assumptions!$B$15,0))-Pricing_M!$B$13,Assumptions!$B$9/12*(1+Assumptions!$B$10)^INT(A179/12)+Assumptions!$B$12*(1+Assumptions!$B$11)^(INT(A179/12)+1)/12))*J179</f>
        <v>-472.122405281994</v>
      </c>
      <c r="X179" s="47" t="n">
        <f aca="false">I179*(IF(C179&lt;Assumptions!$B$5,Assumptions!$B$12*(1+Assumptions!$B$11)*(1+Assumptions!$B$24)*(1+Assumptions!$B$11+Assumptions!$B$25)^(INT(A179/12))/12+Pricing_M!$B$13*IF(A179=0,Assumptions!$B$14*12,IF(A179&gt;=12,Assumptions!$B$15,0))-Pricing_M!$B$13,Assumptions!$B$9/12*(1+Assumptions!$B$10)^INT(A179/12)+Assumptions!$B$12*(1+Assumptions!$B$11)*(1+Assumptions!$B$24)*(1+Assumptions!$B$11+Assumptions!$B$25)^(INT(A179/12))/12))*J179</f>
        <v>-428.244680188622</v>
      </c>
    </row>
    <row r="180" customFormat="false" ht="15" hidden="false" customHeight="true" outlineLevel="0" collapsed="false">
      <c r="A180" s="1" t="n">
        <v>173</v>
      </c>
      <c r="B180" s="31" t="n">
        <f aca="false">Assumptions!$B$4+A180/12</f>
        <v>79.4166666666667</v>
      </c>
      <c r="C180" s="34" t="n">
        <f aca="false">Assumptions!$B$4+INT(A180/12)</f>
        <v>79</v>
      </c>
      <c r="D180" s="34" t="n">
        <f aca="false">INT(A180/12)+1</f>
        <v>15</v>
      </c>
      <c r="E180" s="32" t="n">
        <f aca="false">IFERROR(INDEX(Cohort_Survival!$G$5:$G$65,MATCH(C180,Cohort_Survival!$A$5:$A$65,0)),1)</f>
        <v>0.0233226520151738</v>
      </c>
      <c r="F180" s="30" t="n">
        <f aca="false">1-(1-MIN(1,E180))^(1/12)</f>
        <v>0.00196464498655125</v>
      </c>
      <c r="G180" s="39" t="n">
        <f aca="false">IF(C180&lt;Assumptions!$B$5,IF(D180=1,Assumptions!$B$16,IF(D180=2,Assumptions!$B$17,IF(D180&lt;=5,Assumptions!$B$18,Assumptions!$B$19)))*(1-Assumptions!$B$20),0)</f>
        <v>0.0091</v>
      </c>
      <c r="H180" s="30" t="n">
        <f aca="false">1-(1-G180)^(1/12)</f>
        <v>0.000761514726814627</v>
      </c>
      <c r="I180" s="30" t="n">
        <f aca="false">I179*(1-F179)*(1-H179)</f>
        <v>0.700940999109095</v>
      </c>
      <c r="J180" s="30" t="n">
        <f aca="false">INDEX(Discount_Monthly!$G$4:$G$664,MATCH(A180,Discount_Monthly!$A$4:$A$664,0))</f>
        <v>0.645569525870502</v>
      </c>
      <c r="K180" s="30" t="n">
        <f aca="false">IF(C180&lt;Assumptions!$B$5,I180*J180,0)</f>
        <v>0.452506148458055</v>
      </c>
      <c r="L180" s="30" t="n">
        <f aca="false">IF(C180&lt;Assumptions!$B$5,I180*(1-F180)*H180*A180*J180,0)</f>
        <v>0.0594969660959299</v>
      </c>
      <c r="M180" s="30" t="n">
        <f aca="false">IF(A180=0,Assumptions!$B$14*12*I180*J180,IF(AND(A180&gt;=12,C180&lt;Assumptions!$B$5),Assumptions!$B$15*I180*J180,0))</f>
        <v>0.0226253074229027</v>
      </c>
      <c r="N180" s="47" t="n">
        <f aca="false">IF(C180&gt;=Assumptions!$B$5,I180*Assumptions!$B$9/12*(1+Assumptions!$B$10)^INT(A180/12)*J180,0)</f>
        <v>0</v>
      </c>
      <c r="O180" s="47" t="n">
        <f aca="false">I180*Assumptions!$B$12/12*(1+Assumptions!$B$11)^(INT(A180/12)+1)*J180</f>
        <v>4.36909216760615</v>
      </c>
      <c r="P180" s="47" t="n">
        <f aca="false">O180+Pricing_M!$B$13*M180+N180-Pricing_M!$B$13*K180</f>
        <v>-426.914856185602</v>
      </c>
      <c r="Q180" s="47" t="n">
        <f aca="false">IF(C180&lt;Assumptions!$B$5,Pricing_M!$B$13*K180-Pricing_M!$B$13*M180-O180,-(N180+O180))</f>
        <v>426.914856185602</v>
      </c>
      <c r="R180" s="32" t="n">
        <f aca="false">R179*(1-(1-(1-MIN(1,E179*(1-Assumptions!$B$21)))^(1/12)))*(1-H179)</f>
        <v>0.724692571947438</v>
      </c>
      <c r="S180" s="47" t="n">
        <f aca="false">R180*(IF(C180&lt;Assumptions!$B$5,Assumptions!$B$12*(1+Assumptions!$B$11)^(INT(A180/12)+1)/12+Pricing_M!$B$13*IF(A180=0,Assumptions!$B$14*12,IF(A180&gt;=12,Assumptions!$B$15,0))-Pricing_M!$B$13,Assumptions!$B$9/12*(1+Assumptions!$B$10)^INT(A180/12)+Assumptions!$B$12*(1+Assumptions!$B$11)^(INT(A180/12)+1)/12))*J180</f>
        <v>-441.380980032475</v>
      </c>
      <c r="T180" s="32" t="n">
        <f aca="false">T179*(1-F179)*(1-(1-(1-MIN(1,G179*(1+Assumptions!$B$23)))^(1/12)))</f>
        <v>0.63667462220633</v>
      </c>
      <c r="U180" s="47" t="n">
        <f aca="false">T180*(IF(C180&lt;Assumptions!$B$5,Assumptions!$B$12*(1+Assumptions!$B$11)^(INT(A180/12)+1)/12+Pricing_M!$B$13*IF(A180=0,Assumptions!$B$14*12,IF(A180&gt;=12,Assumptions!$B$15,0))-Pricing_M!$B$13,Assumptions!$B$9/12*(1+Assumptions!$B$10)^INT(A180/12)+Assumptions!$B$12*(1+Assumptions!$B$11)^(INT(A180/12)+1)/12))*J180</f>
        <v>-387.772801308108</v>
      </c>
      <c r="V180" s="32" t="n">
        <f aca="false">V179*(1-F179)*(1-(1-(1-MIN(1,G179*(1-Assumptions!$B$23)))^(1/12)))</f>
        <v>0.770995911109045</v>
      </c>
      <c r="W180" s="47" t="n">
        <f aca="false">V180*(IF(C180&lt;Assumptions!$B$5,Assumptions!$B$12*(1+Assumptions!$B$11)^(INT(A180/12)+1)/12+Pricing_M!$B$13*IF(A180=0,Assumptions!$B$14*12,IF(A180&gt;=12,Assumptions!$B$15,0))-Pricing_M!$B$13,Assumptions!$B$9/12*(1+Assumptions!$B$10)^INT(A180/12)+Assumptions!$B$12*(1+Assumptions!$B$11)^(INT(A180/12)+1)/12))*J180</f>
        <v>-469.582474030138</v>
      </c>
      <c r="X180" s="47" t="n">
        <f aca="false">I180*(IF(C180&lt;Assumptions!$B$5,Assumptions!$B$12*(1+Assumptions!$B$11)*(1+Assumptions!$B$24)*(1+Assumptions!$B$11+Assumptions!$B$25)^(INT(A180/12))/12+Pricing_M!$B$13*IF(A180=0,Assumptions!$B$14*12,IF(A180&gt;=12,Assumptions!$B$15,0))-Pricing_M!$B$13,Assumptions!$B$9/12*(1+Assumptions!$B$10)^INT(A180/12)+Assumptions!$B$12*(1+Assumptions!$B$11)*(1+Assumptions!$B$24)*(1+Assumptions!$B$11+Assumptions!$B$25)^(INT(A180/12))/12))*J180</f>
        <v>-425.778221353627</v>
      </c>
    </row>
    <row r="181" customFormat="false" ht="15" hidden="false" customHeight="true" outlineLevel="0" collapsed="false">
      <c r="A181" s="1" t="n">
        <v>174</v>
      </c>
      <c r="B181" s="31" t="n">
        <f aca="false">Assumptions!$B$4+A181/12</f>
        <v>79.5</v>
      </c>
      <c r="C181" s="34" t="n">
        <f aca="false">Assumptions!$B$4+INT(A181/12)</f>
        <v>79</v>
      </c>
      <c r="D181" s="34" t="n">
        <f aca="false">INT(A181/12)+1</f>
        <v>15</v>
      </c>
      <c r="E181" s="32" t="n">
        <f aca="false">IFERROR(INDEX(Cohort_Survival!$G$5:$G$65,MATCH(C181,Cohort_Survival!$A$5:$A$65,0)),1)</f>
        <v>0.0233226520151738</v>
      </c>
      <c r="F181" s="30" t="n">
        <f aca="false">1-(1-MIN(1,E181))^(1/12)</f>
        <v>0.00196464498655125</v>
      </c>
      <c r="G181" s="39" t="n">
        <f aca="false">IF(C181&lt;Assumptions!$B$5,IF(D181=1,Assumptions!$B$16,IF(D181=2,Assumptions!$B$17,IF(D181&lt;=5,Assumptions!$B$18,Assumptions!$B$19)))*(1-Assumptions!$B$20),0)</f>
        <v>0.0091</v>
      </c>
      <c r="H181" s="30" t="n">
        <f aca="false">1-(1-G181)^(1/12)</f>
        <v>0.000761514726814627</v>
      </c>
      <c r="I181" s="30" t="n">
        <f aca="false">I180*(1-F180)*(1-H180)</f>
        <v>0.699031170677975</v>
      </c>
      <c r="J181" s="30" t="n">
        <f aca="false">INDEX(Discount_Monthly!$G$4:$G$664,MATCH(A181,Discount_Monthly!$A$4:$A$664,0))</f>
        <v>0.643605000030769</v>
      </c>
      <c r="K181" s="30" t="n">
        <f aca="false">IF(C181&lt;Assumptions!$B$5,I181*J181,0)</f>
        <v>0.449899956625707</v>
      </c>
      <c r="L181" s="30" t="n">
        <f aca="false">IF(C181&lt;Assumptions!$B$5,I181*(1-F181)*H181*A181*J181,0)</f>
        <v>0.0594962279427633</v>
      </c>
      <c r="M181" s="30" t="n">
        <f aca="false">IF(A181=0,Assumptions!$B$14*12*I181*J181,IF(AND(A181&gt;=12,C181&lt;Assumptions!$B$5),Assumptions!$B$15*I181*J181,0))</f>
        <v>0.0224949978312854</v>
      </c>
      <c r="N181" s="47" t="n">
        <f aca="false">IF(C181&gt;=Assumptions!$B$5,I181*Assumptions!$B$9/12*(1+Assumptions!$B$10)^INT(A181/12)*J181,0)</f>
        <v>0</v>
      </c>
      <c r="O181" s="47" t="n">
        <f aca="false">I181*Assumptions!$B$12/12*(1+Assumptions!$B$11)^(INT(A181/12)+1)*J181</f>
        <v>4.3439285485906</v>
      </c>
      <c r="P181" s="47" t="n">
        <f aca="false">O181+Pricing_M!$B$13*M181+N181-Pricing_M!$B$13*K181</f>
        <v>-424.456056421024</v>
      </c>
      <c r="Q181" s="47" t="n">
        <f aca="false">IF(C181&lt;Assumptions!$B$5,Pricing_M!$B$13*K181-Pricing_M!$B$13*M181-O181,-(N181+O181))</f>
        <v>424.456056421024</v>
      </c>
      <c r="R181" s="32" t="n">
        <f aca="false">R180*(1-(1-(1-MIN(1,E180*(1-Assumptions!$B$21)))^(1/12)))*(1-H180)</f>
        <v>0.723005037563089</v>
      </c>
      <c r="S181" s="47" t="n">
        <f aca="false">R181*(IF(C181&lt;Assumptions!$B$5,Assumptions!$B$12*(1+Assumptions!$B$11)^(INT(A181/12)+1)/12+Pricing_M!$B$13*IF(A181=0,Assumptions!$B$14*12,IF(A181&gt;=12,Assumptions!$B$15,0))-Pricing_M!$B$13,Assumptions!$B$9/12*(1+Assumptions!$B$10)^INT(A181/12)+Assumptions!$B$12*(1+Assumptions!$B$11)^(INT(A181/12)+1)/12))*J181</f>
        <v>-439.013136880467</v>
      </c>
      <c r="T181" s="32" t="n">
        <f aca="false">T180*(1-F180)*(1-(1-(1-MIN(1,G180*(1+Assumptions!$B$23)))^(1/12)))</f>
        <v>0.634696426233404</v>
      </c>
      <c r="U181" s="47" t="n">
        <f aca="false">T181*(IF(C181&lt;Assumptions!$B$5,Assumptions!$B$12*(1+Assumptions!$B$11)^(INT(A181/12)+1)/12+Pricing_M!$B$13*IF(A181=0,Assumptions!$B$14*12,IF(A181&gt;=12,Assumptions!$B$15,0))-Pricing_M!$B$13,Assumptions!$B$9/12*(1+Assumptions!$B$10)^INT(A181/12)+Assumptions!$B$12*(1+Assumptions!$B$11)^(INT(A181/12)+1)/12))*J181</f>
        <v>-385.391601124542</v>
      </c>
      <c r="V181" s="32" t="n">
        <f aca="false">V180*(1-F180)*(1-(1-(1-MIN(1,G180*(1-Assumptions!$B$23)))^(1/12)))</f>
        <v>0.769188806025228</v>
      </c>
      <c r="W181" s="47" t="n">
        <f aca="false">V181*(IF(C181&lt;Assumptions!$B$5,Assumptions!$B$12*(1+Assumptions!$B$11)^(INT(A181/12)+1)/12+Pricing_M!$B$13*IF(A181=0,Assumptions!$B$14*12,IF(A181&gt;=12,Assumptions!$B$15,0))-Pricing_M!$B$13,Assumptions!$B$9/12*(1+Assumptions!$B$10)^INT(A181/12)+Assumptions!$B$12*(1+Assumptions!$B$11)^(INT(A181/12)+1)/12))*J181</f>
        <v>-467.05620713882</v>
      </c>
      <c r="X181" s="47" t="n">
        <f aca="false">I181*(IF(C181&lt;Assumptions!$B$5,Assumptions!$B$12*(1+Assumptions!$B$11)*(1+Assumptions!$B$24)*(1+Assumptions!$B$11+Assumptions!$B$25)^(INT(A181/12))/12+Pricing_M!$B$13*IF(A181=0,Assumptions!$B$14*12,IF(A181&gt;=12,Assumptions!$B$15,0))-Pricing_M!$B$13,Assumptions!$B$9/12*(1+Assumptions!$B$10)^INT(A181/12)+Assumptions!$B$12*(1+Assumptions!$B$11)*(1+Assumptions!$B$24)*(1+Assumptions!$B$11+Assumptions!$B$25)^(INT(A181/12))/12))*J181</f>
        <v>-423.325967993833</v>
      </c>
    </row>
    <row r="182" customFormat="false" ht="15" hidden="false" customHeight="true" outlineLevel="0" collapsed="false">
      <c r="A182" s="1" t="n">
        <v>175</v>
      </c>
      <c r="B182" s="31" t="n">
        <f aca="false">Assumptions!$B$4+A182/12</f>
        <v>79.5833333333333</v>
      </c>
      <c r="C182" s="34" t="n">
        <f aca="false">Assumptions!$B$4+INT(A182/12)</f>
        <v>79</v>
      </c>
      <c r="D182" s="34" t="n">
        <f aca="false">INT(A182/12)+1</f>
        <v>15</v>
      </c>
      <c r="E182" s="32" t="n">
        <f aca="false">IFERROR(INDEX(Cohort_Survival!$G$5:$G$65,MATCH(C182,Cohort_Survival!$A$5:$A$65,0)),1)</f>
        <v>0.0233226520151738</v>
      </c>
      <c r="F182" s="30" t="n">
        <f aca="false">1-(1-MIN(1,E182))^(1/12)</f>
        <v>0.00196464498655125</v>
      </c>
      <c r="G182" s="39" t="n">
        <f aca="false">IF(C182&lt;Assumptions!$B$5,IF(D182=1,Assumptions!$B$16,IF(D182=2,Assumptions!$B$17,IF(D182&lt;=5,Assumptions!$B$18,Assumptions!$B$19)))*(1-Assumptions!$B$20),0)</f>
        <v>0.0091</v>
      </c>
      <c r="H182" s="30" t="n">
        <f aca="false">1-(1-G182)^(1/12)</f>
        <v>0.000761514726814627</v>
      </c>
      <c r="I182" s="30" t="n">
        <f aca="false">I181*(1-F181)*(1-H181)</f>
        <v>0.697126545886878</v>
      </c>
      <c r="J182" s="30" t="n">
        <f aca="false">INDEX(Discount_Monthly!$G$4:$G$664,MATCH(A182,Discount_Monthly!$A$4:$A$664,0))</f>
        <v>0.641646452418973</v>
      </c>
      <c r="K182" s="30" t="n">
        <f aca="false">IF(C182&lt;Assumptions!$B$5,I182*J182,0)</f>
        <v>0.447308775055408</v>
      </c>
      <c r="L182" s="30" t="n">
        <f aca="false">IF(C182&lt;Assumptions!$B$5,I182*(1-F182)*H182*A182*J182,0)</f>
        <v>0.0594935246947185</v>
      </c>
      <c r="M182" s="30" t="n">
        <f aca="false">IF(A182=0,Assumptions!$B$14*12*I182*J182,IF(AND(A182&gt;=12,C182&lt;Assumptions!$B$5),Assumptions!$B$15*I182*J182,0))</f>
        <v>0.0223654387527704</v>
      </c>
      <c r="N182" s="47" t="n">
        <f aca="false">IF(C182&gt;=Assumptions!$B$5,I182*Assumptions!$B$9/12*(1+Assumptions!$B$10)^INT(A182/12)*J182,0)</f>
        <v>0</v>
      </c>
      <c r="O182" s="47" t="n">
        <f aca="false">I182*Assumptions!$B$12/12*(1+Assumptions!$B$11)^(INT(A182/12)+1)*J182</f>
        <v>4.31890985847508</v>
      </c>
      <c r="P182" s="47" t="n">
        <f aca="false">O182+Pricing_M!$B$13*M182+N182-Pricing_M!$B$13*K182</f>
        <v>-422.011418019525</v>
      </c>
      <c r="Q182" s="47" t="n">
        <f aca="false">IF(C182&lt;Assumptions!$B$5,Pricing_M!$B$13*K182-Pricing_M!$B$13*M182-O182,-(N182+O182))</f>
        <v>422.011418019525</v>
      </c>
      <c r="R182" s="32" t="n">
        <f aca="false">R181*(1-(1-(1-MIN(1,E181*(1-Assumptions!$B$21)))^(1/12)))*(1-H181)</f>
        <v>0.721321432806846</v>
      </c>
      <c r="S182" s="47" t="n">
        <f aca="false">R182*(IF(C182&lt;Assumptions!$B$5,Assumptions!$B$12*(1+Assumptions!$B$11)^(INT(A182/12)+1)/12+Pricing_M!$B$13*IF(A182=0,Assumptions!$B$14*12,IF(A182&gt;=12,Assumptions!$B$15,0))-Pricing_M!$B$13,Assumptions!$B$9/12*(1+Assumptions!$B$10)^INT(A182/12)+Assumptions!$B$12*(1+Assumptions!$B$11)^(INT(A182/12)+1)/12))*J182</f>
        <v>-436.657996317484</v>
      </c>
      <c r="T182" s="32" t="n">
        <f aca="false">T181*(1-F181)*(1-(1-(1-MIN(1,G181*(1+Assumptions!$B$23)))^(1/12)))</f>
        <v>0.632724376664262</v>
      </c>
      <c r="U182" s="47" t="n">
        <f aca="false">T182*(IF(C182&lt;Assumptions!$B$5,Assumptions!$B$12*(1+Assumptions!$B$11)^(INT(A182/12)+1)/12+Pricing_M!$B$13*IF(A182=0,Assumptions!$B$14*12,IF(A182&gt;=12,Assumptions!$B$15,0))-Pricing_M!$B$13,Assumptions!$B$9/12*(1+Assumptions!$B$10)^INT(A182/12)+Assumptions!$B$12*(1+Assumptions!$B$11)^(INT(A182/12)+1)/12))*J182</f>
        <v>-383.025023199925</v>
      </c>
      <c r="V182" s="32" t="n">
        <f aca="false">V181*(1-F181)*(1-(1-(1-MIN(1,G181*(1-Assumptions!$B$23)))^(1/12)))</f>
        <v>0.767385936539469</v>
      </c>
      <c r="W182" s="47" t="n">
        <f aca="false">V182*(IF(C182&lt;Assumptions!$B$5,Assumptions!$B$12*(1+Assumptions!$B$11)^(INT(A182/12)+1)/12+Pricing_M!$B$13*IF(A182=0,Assumptions!$B$14*12,IF(A182&gt;=12,Assumptions!$B$15,0))-Pricing_M!$B$13,Assumptions!$B$9/12*(1+Assumptions!$B$10)^INT(A182/12)+Assumptions!$B$12*(1+Assumptions!$B$11)^(INT(A182/12)+1)/12))*J182</f>
        <v>-464.543531096307</v>
      </c>
      <c r="X182" s="47" t="n">
        <f aca="false">I182*(IF(C182&lt;Assumptions!$B$5,Assumptions!$B$12*(1+Assumptions!$B$11)*(1+Assumptions!$B$24)*(1+Assumptions!$B$11+Assumptions!$B$25)^(INT(A182/12))/12+Pricing_M!$B$13*IF(A182=0,Assumptions!$B$14*12,IF(A182&gt;=12,Assumptions!$B$15,0))-Pricing_M!$B$13,Assumptions!$B$9/12*(1+Assumptions!$B$10)^INT(A182/12)+Assumptions!$B$12*(1+Assumptions!$B$11)*(1+Assumptions!$B$24)*(1+Assumptions!$B$11+Assumptions!$B$25)^(INT(A182/12))/12))*J182</f>
        <v>-420.887838293351</v>
      </c>
    </row>
    <row r="183" customFormat="false" ht="15" hidden="false" customHeight="true" outlineLevel="0" collapsed="false">
      <c r="A183" s="1" t="n">
        <v>176</v>
      </c>
      <c r="B183" s="31" t="n">
        <f aca="false">Assumptions!$B$4+A183/12</f>
        <v>79.6666666666667</v>
      </c>
      <c r="C183" s="34" t="n">
        <f aca="false">Assumptions!$B$4+INT(A183/12)</f>
        <v>79</v>
      </c>
      <c r="D183" s="34" t="n">
        <f aca="false">INT(A183/12)+1</f>
        <v>15</v>
      </c>
      <c r="E183" s="32" t="n">
        <f aca="false">IFERROR(INDEX(Cohort_Survival!$G$5:$G$65,MATCH(C183,Cohort_Survival!$A$5:$A$65,0)),1)</f>
        <v>0.0233226520151738</v>
      </c>
      <c r="F183" s="30" t="n">
        <f aca="false">1-(1-MIN(1,E183))^(1/12)</f>
        <v>0.00196464498655125</v>
      </c>
      <c r="G183" s="39" t="n">
        <f aca="false">IF(C183&lt;Assumptions!$B$5,IF(D183=1,Assumptions!$B$16,IF(D183=2,Assumptions!$B$17,IF(D183&lt;=5,Assumptions!$B$18,Assumptions!$B$19)))*(1-Assumptions!$B$20),0)</f>
        <v>0.0091</v>
      </c>
      <c r="H183" s="30" t="n">
        <f aca="false">1-(1-G183)^(1/12)</f>
        <v>0.000761514726814627</v>
      </c>
      <c r="I183" s="30" t="n">
        <f aca="false">I182*(1-F182)*(1-H182)</f>
        <v>0.695227110557634</v>
      </c>
      <c r="J183" s="30" t="n">
        <f aca="false">INDEX(Discount_Monthly!$G$4:$G$664,MATCH(A183,Discount_Monthly!$A$4:$A$664,0))</f>
        <v>0.639693864842832</v>
      </c>
      <c r="K183" s="30" t="n">
        <f aca="false">IF(C183&lt;Assumptions!$B$5,I183*J183,0)</f>
        <v>0.444732517296128</v>
      </c>
      <c r="L183" s="30" t="n">
        <f aca="false">IF(C183&lt;Assumptions!$B$5,I183*(1-F183)*H183*A183*J183,0)</f>
        <v>0.0594888790120585</v>
      </c>
      <c r="M183" s="30" t="n">
        <f aca="false">IF(A183=0,Assumptions!$B$14*12*I183*J183,IF(AND(A183&gt;=12,C183&lt;Assumptions!$B$5),Assumptions!$B$15*I183*J183,0))</f>
        <v>0.0222366258648064</v>
      </c>
      <c r="N183" s="47" t="n">
        <f aca="false">IF(C183&gt;=Assumptions!$B$5,I183*Assumptions!$B$9/12*(1+Assumptions!$B$10)^INT(A183/12)*J183,0)</f>
        <v>0</v>
      </c>
      <c r="O183" s="47" t="n">
        <f aca="false">I183*Assumptions!$B$12/12*(1+Assumptions!$B$11)^(INT(A183/12)+1)*J183</f>
        <v>4.29403526254714</v>
      </c>
      <c r="P183" s="47" t="n">
        <f aca="false">O183+Pricing_M!$B$13*M183+N183-Pricing_M!$B$13*K183</f>
        <v>-419.580859419276</v>
      </c>
      <c r="Q183" s="47" t="n">
        <f aca="false">IF(C183&lt;Assumptions!$B$5,Pricing_M!$B$13*K183-Pricing_M!$B$13*M183-O183,-(N183+O183))</f>
        <v>419.580859419276</v>
      </c>
      <c r="R183" s="32" t="n">
        <f aca="false">R182*(1-(1-(1-MIN(1,E182*(1-Assumptions!$B$21)))^(1/12)))*(1-H182)</f>
        <v>0.719641748528092</v>
      </c>
      <c r="S183" s="47" t="n">
        <f aca="false">R183*(IF(C183&lt;Assumptions!$B$5,Assumptions!$B$12*(1+Assumptions!$B$11)^(INT(A183/12)+1)/12+Pricing_M!$B$13*IF(A183=0,Assumptions!$B$14*12,IF(A183&gt;=12,Assumptions!$B$15,0))-Pricing_M!$B$13,Assumptions!$B$9/12*(1+Assumptions!$B$10)^INT(A183/12)+Assumptions!$B$12*(1+Assumptions!$B$11)^(INT(A183/12)+1)/12))*J183</f>
        <v>-434.315490198906</v>
      </c>
      <c r="T183" s="32" t="n">
        <f aca="false">T182*(1-F182)*(1-(1-(1-MIN(1,G182*(1+Assumptions!$B$23)))^(1/12)))</f>
        <v>0.630758454401565</v>
      </c>
      <c r="U183" s="47" t="n">
        <f aca="false">T183*(IF(C183&lt;Assumptions!$B$5,Assumptions!$B$12*(1+Assumptions!$B$11)^(INT(A183/12)+1)/12+Pricing_M!$B$13*IF(A183=0,Assumptions!$B$14*12,IF(A183&gt;=12,Assumptions!$B$15,0))-Pricing_M!$B$13,Assumptions!$B$9/12*(1+Assumptions!$B$10)^INT(A183/12)+Assumptions!$B$12*(1+Assumptions!$B$11)^(INT(A183/12)+1)/12))*J183</f>
        <v>-380.672977743211</v>
      </c>
      <c r="V183" s="32" t="n">
        <f aca="false">V182*(1-F182)*(1-(1-(1-MIN(1,G182*(1-Assumptions!$B$23)))^(1/12)))</f>
        <v>0.765587292724126</v>
      </c>
      <c r="W183" s="47" t="n">
        <f aca="false">V183*(IF(C183&lt;Assumptions!$B$5,Assumptions!$B$12*(1+Assumptions!$B$11)^(INT(A183/12)+1)/12+Pricing_M!$B$13*IF(A183=0,Assumptions!$B$14*12,IF(A183&gt;=12,Assumptions!$B$15,0))-Pricing_M!$B$13,Assumptions!$B$9/12*(1+Assumptions!$B$10)^INT(A183/12)+Assumptions!$B$12*(1+Assumptions!$B$11)^(INT(A183/12)+1)/12))*J183</f>
        <v>-462.044372786347</v>
      </c>
      <c r="X183" s="47" t="n">
        <f aca="false">I183*(IF(C183&lt;Assumptions!$B$5,Assumptions!$B$12*(1+Assumptions!$B$11)*(1+Assumptions!$B$24)*(1+Assumptions!$B$11+Assumptions!$B$25)^(INT(A183/12))/12+Pricing_M!$B$13*IF(A183=0,Assumptions!$B$14*12,IF(A183&gt;=12,Assumptions!$B$15,0))-Pricing_M!$B$13,Assumptions!$B$9/12*(1+Assumptions!$B$10)^INT(A183/12)+Assumptions!$B$12*(1+Assumptions!$B$11)*(1+Assumptions!$B$24)*(1+Assumptions!$B$11+Assumptions!$B$25)^(INT(A183/12))/12))*J183</f>
        <v>-418.463750907506</v>
      </c>
    </row>
    <row r="184" customFormat="false" ht="15" hidden="false" customHeight="true" outlineLevel="0" collapsed="false">
      <c r="A184" s="1" t="n">
        <v>177</v>
      </c>
      <c r="B184" s="31" t="n">
        <f aca="false">Assumptions!$B$4+A184/12</f>
        <v>79.75</v>
      </c>
      <c r="C184" s="34" t="n">
        <f aca="false">Assumptions!$B$4+INT(A184/12)</f>
        <v>79</v>
      </c>
      <c r="D184" s="34" t="n">
        <f aca="false">INT(A184/12)+1</f>
        <v>15</v>
      </c>
      <c r="E184" s="32" t="n">
        <f aca="false">IFERROR(INDEX(Cohort_Survival!$G$5:$G$65,MATCH(C184,Cohort_Survival!$A$5:$A$65,0)),1)</f>
        <v>0.0233226520151738</v>
      </c>
      <c r="F184" s="30" t="n">
        <f aca="false">1-(1-MIN(1,E184))^(1/12)</f>
        <v>0.00196464498655125</v>
      </c>
      <c r="G184" s="39" t="n">
        <f aca="false">IF(C184&lt;Assumptions!$B$5,IF(D184=1,Assumptions!$B$16,IF(D184=2,Assumptions!$B$17,IF(D184&lt;=5,Assumptions!$B$18,Assumptions!$B$19)))*(1-Assumptions!$B$20),0)</f>
        <v>0.0091</v>
      </c>
      <c r="H184" s="30" t="n">
        <f aca="false">1-(1-G184)^(1/12)</f>
        <v>0.000761514726814627</v>
      </c>
      <c r="I184" s="30" t="n">
        <f aca="false">I183*(1-F183)*(1-H183)</f>
        <v>0.693332850550706</v>
      </c>
      <c r="J184" s="30" t="n">
        <f aca="false">INDEX(Discount_Monthly!$G$4:$G$664,MATCH(A184,Discount_Monthly!$A$4:$A$664,0))</f>
        <v>0.637747219165424</v>
      </c>
      <c r="K184" s="30" t="n">
        <f aca="false">IF(C184&lt;Assumptions!$B$5,I184*J184,0)</f>
        <v>0.442171097394749</v>
      </c>
      <c r="L184" s="30" t="n">
        <f aca="false">IF(C184&lt;Assumptions!$B$5,I184*(1-F184)*H184*A184*J184,0)</f>
        <v>0.0594823133592093</v>
      </c>
      <c r="M184" s="30" t="n">
        <f aca="false">IF(A184=0,Assumptions!$B$14*12*I184*J184,IF(AND(A184&gt;=12,C184&lt;Assumptions!$B$5),Assumptions!$B$15*I184*J184,0))</f>
        <v>0.0221085548697375</v>
      </c>
      <c r="N184" s="47" t="n">
        <f aca="false">IF(C184&gt;=Assumptions!$B$5,I184*Assumptions!$B$9/12*(1+Assumptions!$B$10)^INT(A184/12)*J184,0)</f>
        <v>0</v>
      </c>
      <c r="O184" s="47" t="n">
        <f aca="false">I184*Assumptions!$B$12/12*(1+Assumptions!$B$11)^(INT(A184/12)+1)*J184</f>
        <v>4.26930393090181</v>
      </c>
      <c r="P184" s="47" t="n">
        <f aca="false">O184+Pricing_M!$B$13*M184+N184-Pricing_M!$B$13*K184</f>
        <v>-417.164299528203</v>
      </c>
      <c r="Q184" s="47" t="n">
        <f aca="false">IF(C184&lt;Assumptions!$B$5,Pricing_M!$B$13*K184-Pricing_M!$B$13*M184-O184,-(N184+O184))</f>
        <v>417.164299528203</v>
      </c>
      <c r="R184" s="32" t="n">
        <f aca="false">R183*(1-(1-(1-MIN(1,E183*(1-Assumptions!$B$21)))^(1/12)))*(1-H183)</f>
        <v>0.717965975597523</v>
      </c>
      <c r="S184" s="47" t="n">
        <f aca="false">R184*(IF(C184&lt;Assumptions!$B$5,Assumptions!$B$12*(1+Assumptions!$B$11)^(INT(A184/12)+1)/12+Pricing_M!$B$13*IF(A184=0,Assumptions!$B$14*12,IF(A184&gt;=12,Assumptions!$B$15,0))-Pricing_M!$B$13,Assumptions!$B$9/12*(1+Assumptions!$B$10)^INT(A184/12)+Assumptions!$B$12*(1+Assumptions!$B$11)^(INT(A184/12)+1)/12))*J184</f>
        <v>-431.985550745686</v>
      </c>
      <c r="T184" s="32" t="n">
        <f aca="false">T183*(1-F183)*(1-(1-(1-MIN(1,G183*(1+Assumptions!$B$23)))^(1/12)))</f>
        <v>0.628798640407311</v>
      </c>
      <c r="U184" s="47" t="n">
        <f aca="false">T184*(IF(C184&lt;Assumptions!$B$5,Assumptions!$B$12*(1+Assumptions!$B$11)^(INT(A184/12)+1)/12+Pricing_M!$B$13*IF(A184=0,Assumptions!$B$14*12,IF(A184&gt;=12,Assumptions!$B$15,0))-Pricing_M!$B$13,Assumptions!$B$9/12*(1+Assumptions!$B$10)^INT(A184/12)+Assumptions!$B$12*(1+Assumptions!$B$11)^(INT(A184/12)+1)/12))*J184</f>
        <v>-378.335375514734</v>
      </c>
      <c r="V184" s="32" t="n">
        <f aca="false">V183*(1-F183)*(1-(1-(1-MIN(1,G183*(1-Assumptions!$B$23)))^(1/12)))</f>
        <v>0.763792864674829</v>
      </c>
      <c r="W184" s="47" t="n">
        <f aca="false">V184*(IF(C184&lt;Assumptions!$B$5,Assumptions!$B$12*(1+Assumptions!$B$11)^(INT(A184/12)+1)/12+Pricing_M!$B$13*IF(A184=0,Assumptions!$B$14*12,IF(A184&gt;=12,Assumptions!$B$15,0))-Pricing_M!$B$13,Assumptions!$B$9/12*(1+Assumptions!$B$10)^INT(A184/12)+Assumptions!$B$12*(1+Assumptions!$B$11)^(INT(A184/12)+1)/12))*J184</f>
        <v>-459.558659486035</v>
      </c>
      <c r="X184" s="47" t="n">
        <f aca="false">I184*(IF(C184&lt;Assumptions!$B$5,Assumptions!$B$12*(1+Assumptions!$B$11)*(1+Assumptions!$B$24)*(1+Assumptions!$B$11+Assumptions!$B$25)^(INT(A184/12))/12+Pricing_M!$B$13*IF(A184=0,Assumptions!$B$14*12,IF(A184&gt;=12,Assumptions!$B$15,0))-Pricing_M!$B$13,Assumptions!$B$9/12*(1+Assumptions!$B$10)^INT(A184/12)+Assumptions!$B$12*(1+Assumptions!$B$11)*(1+Assumptions!$B$24)*(1+Assumptions!$B$11+Assumptions!$B$25)^(INT(A184/12))/12))*J184</f>
        <v>-416.053624960123</v>
      </c>
    </row>
    <row r="185" customFormat="false" ht="15" hidden="false" customHeight="true" outlineLevel="0" collapsed="false">
      <c r="A185" s="1" t="n">
        <v>178</v>
      </c>
      <c r="B185" s="31" t="n">
        <f aca="false">Assumptions!$B$4+A185/12</f>
        <v>79.8333333333333</v>
      </c>
      <c r="C185" s="34" t="n">
        <f aca="false">Assumptions!$B$4+INT(A185/12)</f>
        <v>79</v>
      </c>
      <c r="D185" s="34" t="n">
        <f aca="false">INT(A185/12)+1</f>
        <v>15</v>
      </c>
      <c r="E185" s="32" t="n">
        <f aca="false">IFERROR(INDEX(Cohort_Survival!$G$5:$G$65,MATCH(C185,Cohort_Survival!$A$5:$A$65,0)),1)</f>
        <v>0.0233226520151738</v>
      </c>
      <c r="F185" s="30" t="n">
        <f aca="false">1-(1-MIN(1,E185))^(1/12)</f>
        <v>0.00196464498655125</v>
      </c>
      <c r="G185" s="39" t="n">
        <f aca="false">IF(C185&lt;Assumptions!$B$5,IF(D185=1,Assumptions!$B$16,IF(D185=2,Assumptions!$B$17,IF(D185&lt;=5,Assumptions!$B$18,Assumptions!$B$19)))*(1-Assumptions!$B$20),0)</f>
        <v>0.0091</v>
      </c>
      <c r="H185" s="30" t="n">
        <f aca="false">1-(1-G185)^(1/12)</f>
        <v>0.000761514726814627</v>
      </c>
      <c r="I185" s="30" t="n">
        <f aca="false">I184*(1-F184)*(1-H184)</f>
        <v>0.691443751765082</v>
      </c>
      <c r="J185" s="30" t="n">
        <f aca="false">INDEX(Discount_Monthly!$G$4:$G$664,MATCH(A185,Discount_Monthly!$A$4:$A$664,0))</f>
        <v>0.635806497305018</v>
      </c>
      <c r="K185" s="30" t="n">
        <f aca="false">IF(C185&lt;Assumptions!$B$5,I185*J185,0)</f>
        <v>0.439624429893197</v>
      </c>
      <c r="L185" s="30" t="n">
        <f aca="false">IF(C185&lt;Assumptions!$B$5,I185*(1-F185)*H185*A185*J185,0)</f>
        <v>0.0594738500062642</v>
      </c>
      <c r="M185" s="30" t="n">
        <f aca="false">IF(A185=0,Assumptions!$B$14*12*I185*J185,IF(AND(A185&gt;=12,C185&lt;Assumptions!$B$5),Assumptions!$B$15*I185*J185,0))</f>
        <v>0.0219812214946599</v>
      </c>
      <c r="N185" s="47" t="n">
        <f aca="false">IF(C185&gt;=Assumptions!$B$5,I185*Assumptions!$B$9/12*(1+Assumptions!$B$10)^INT(A185/12)*J185,0)</f>
        <v>0</v>
      </c>
      <c r="O185" s="47" t="n">
        <f aca="false">I185*Assumptions!$B$12/12*(1+Assumptions!$B$11)^(INT(A185/12)+1)*J185</f>
        <v>4.24471503841396</v>
      </c>
      <c r="P185" s="47" t="n">
        <f aca="false">O185+Pricing_M!$B$13*M185+N185-Pricing_M!$B$13*K185</f>
        <v>-414.761657721274</v>
      </c>
      <c r="Q185" s="47" t="n">
        <f aca="false">IF(C185&lt;Assumptions!$B$5,Pricing_M!$B$13*K185-Pricing_M!$B$13*M185-O185,-(N185+O185))</f>
        <v>414.761657721274</v>
      </c>
      <c r="R185" s="32" t="n">
        <f aca="false">R184*(1-(1-(1-MIN(1,E184*(1-Assumptions!$B$21)))^(1/12)))*(1-H184)</f>
        <v>0.71629410490709</v>
      </c>
      <c r="S185" s="47" t="n">
        <f aca="false">R185*(IF(C185&lt;Assumptions!$B$5,Assumptions!$B$12*(1+Assumptions!$B$11)^(INT(A185/12)+1)/12+Pricing_M!$B$13*IF(A185=0,Assumptions!$B$14*12,IF(A185&gt;=12,Assumptions!$B$15,0))-Pricing_M!$B$13,Assumptions!$B$9/12*(1+Assumptions!$B$10)^INT(A185/12)+Assumptions!$B$12*(1+Assumptions!$B$11)^(INT(A185/12)+1)/12))*J185</f>
        <v>-429.668110542385</v>
      </c>
      <c r="T185" s="32" t="n">
        <f aca="false">T184*(1-F184)*(1-(1-(1-MIN(1,G184*(1+Assumptions!$B$23)))^(1/12)))</f>
        <v>0.62684491570265</v>
      </c>
      <c r="U185" s="47" t="n">
        <f aca="false">T185*(IF(C185&lt;Assumptions!$B$5,Assumptions!$B$12*(1+Assumptions!$B$11)^(INT(A185/12)+1)/12+Pricing_M!$B$13*IF(A185=0,Assumptions!$B$14*12,IF(A185&gt;=12,Assumptions!$B$15,0))-Pricing_M!$B$13,Assumptions!$B$9/12*(1+Assumptions!$B$10)^INT(A185/12)+Assumptions!$B$12*(1+Assumptions!$B$11)^(INT(A185/12)+1)/12))*J185</f>
        <v>-376.012127822822</v>
      </c>
      <c r="V185" s="32" t="n">
        <f aca="false">V184*(1-F184)*(1-(1-(1-MIN(1,G184*(1-Assumptions!$B$23)))^(1/12)))</f>
        <v>0.762002642510418</v>
      </c>
      <c r="W185" s="47" t="n">
        <f aca="false">V185*(IF(C185&lt;Assumptions!$B$5,Assumptions!$B$12*(1+Assumptions!$B$11)^(INT(A185/12)+1)/12+Pricing_M!$B$13*IF(A185=0,Assumptions!$B$14*12,IF(A185&gt;=12,Assumptions!$B$15,0))-Pricing_M!$B$13,Assumptions!$B$9/12*(1+Assumptions!$B$10)^INT(A185/12)+Assumptions!$B$12*(1+Assumptions!$B$11)^(INT(A185/12)+1)/12))*J185</f>
        <v>-457.086318863707</v>
      </c>
      <c r="X185" s="47" t="n">
        <f aca="false">I185*(IF(C185&lt;Assumptions!$B$5,Assumptions!$B$12*(1+Assumptions!$B$11)*(1+Assumptions!$B$24)*(1+Assumptions!$B$11+Assumptions!$B$25)^(INT(A185/12))/12+Pricing_M!$B$13*IF(A185=0,Assumptions!$B$14*12,IF(A185&gt;=12,Assumptions!$B$15,0))-Pricing_M!$B$13,Assumptions!$B$9/12*(1+Assumptions!$B$10)^INT(A185/12)+Assumptions!$B$12*(1+Assumptions!$B$11)*(1+Assumptions!$B$24)*(1+Assumptions!$B$11+Assumptions!$B$25)^(INT(A185/12))/12))*J185</f>
        <v>-413.657380040834</v>
      </c>
    </row>
    <row r="186" customFormat="false" ht="15" hidden="false" customHeight="true" outlineLevel="0" collapsed="false">
      <c r="A186" s="1" t="n">
        <v>179</v>
      </c>
      <c r="B186" s="31" t="n">
        <f aca="false">Assumptions!$B$4+A186/12</f>
        <v>79.9166666666667</v>
      </c>
      <c r="C186" s="34" t="n">
        <f aca="false">Assumptions!$B$4+INT(A186/12)</f>
        <v>79</v>
      </c>
      <c r="D186" s="34" t="n">
        <f aca="false">INT(A186/12)+1</f>
        <v>15</v>
      </c>
      <c r="E186" s="32" t="n">
        <f aca="false">IFERROR(INDEX(Cohort_Survival!$G$5:$G$65,MATCH(C186,Cohort_Survival!$A$5:$A$65,0)),1)</f>
        <v>0.0233226520151738</v>
      </c>
      <c r="F186" s="30" t="n">
        <f aca="false">1-(1-MIN(1,E186))^(1/12)</f>
        <v>0.00196464498655125</v>
      </c>
      <c r="G186" s="39" t="n">
        <f aca="false">IF(C186&lt;Assumptions!$B$5,IF(D186=1,Assumptions!$B$16,IF(D186=2,Assumptions!$B$17,IF(D186&lt;=5,Assumptions!$B$18,Assumptions!$B$19)))*(1-Assumptions!$B$20),0)</f>
        <v>0.0091</v>
      </c>
      <c r="H186" s="30" t="n">
        <f aca="false">1-(1-G186)^(1/12)</f>
        <v>0.000761514726814627</v>
      </c>
      <c r="I186" s="30" t="n">
        <f aca="false">I185*(1-F185)*(1-H185)</f>
        <v>0.68955980013817</v>
      </c>
      <c r="J186" s="30" t="n">
        <f aca="false">INDEX(Discount_Monthly!$G$4:$G$664,MATCH(A186,Discount_Monthly!$A$4:$A$664,0))</f>
        <v>0.633871681234911</v>
      </c>
      <c r="K186" s="30" t="n">
        <f aca="false">IF(C186&lt;Assumptions!$B$5,I186*J186,0)</f>
        <v>0.437092429825591</v>
      </c>
      <c r="L186" s="30" t="n">
        <f aca="false">IF(C186&lt;Assumptions!$B$5,I186*(1-F186)*H186*A186*J186,0)</f>
        <v>0.0594635110304773</v>
      </c>
      <c r="M186" s="30" t="n">
        <f aca="false">IF(A186=0,Assumptions!$B$14*12*I186*J186,IF(AND(A186&gt;=12,C186&lt;Assumptions!$B$5),Assumptions!$B$15*I186*J186,0))</f>
        <v>0.0218546214912795</v>
      </c>
      <c r="N186" s="47" t="n">
        <f aca="false">IF(C186&gt;=Assumptions!$B$5,I186*Assumptions!$B$9/12*(1+Assumptions!$B$10)^INT(A186/12)*J186,0)</f>
        <v>0</v>
      </c>
      <c r="O186" s="47" t="n">
        <f aca="false">I186*Assumptions!$B$12/12*(1+Assumptions!$B$11)^(INT(A186/12)+1)*J186</f>
        <v>4.22026776471071</v>
      </c>
      <c r="P186" s="47" t="n">
        <f aca="false">O186+Pricing_M!$B$13*M186+N186-Pricing_M!$B$13*K186</f>
        <v>-412.372853837818</v>
      </c>
      <c r="Q186" s="47" t="n">
        <f aca="false">IF(C186&lt;Assumptions!$B$5,Pricing_M!$B$13*K186-Pricing_M!$B$13*M186-O186,-(N186+O186))</f>
        <v>412.372853837818</v>
      </c>
      <c r="R186" s="32" t="n">
        <f aca="false">R185*(1-(1-(1-MIN(1,E185*(1-Assumptions!$B$21)))^(1/12)))*(1-H185)</f>
        <v>0.714626127369954</v>
      </c>
      <c r="S186" s="47" t="n">
        <f aca="false">R186*(IF(C186&lt;Assumptions!$B$5,Assumptions!$B$12*(1+Assumptions!$B$11)^(INT(A186/12)+1)/12+Pricing_M!$B$13*IF(A186=0,Assumptions!$B$14*12,IF(A186&gt;=12,Assumptions!$B$15,0))-Pricing_M!$B$13,Assumptions!$B$9/12*(1+Assumptions!$B$10)^INT(A186/12)+Assumptions!$B$12*(1+Assumptions!$B$11)^(INT(A186/12)+1)/12))*J186</f>
        <v>-427.363102535222</v>
      </c>
      <c r="T186" s="32" t="n">
        <f aca="false">T185*(1-F185)*(1-(1-(1-MIN(1,G185*(1+Assumptions!$B$23)))^(1/12)))</f>
        <v>0.624897261367701</v>
      </c>
      <c r="U186" s="47" t="n">
        <f aca="false">T186*(IF(C186&lt;Assumptions!$B$5,Assumptions!$B$12*(1+Assumptions!$B$11)^(INT(A186/12)+1)/12+Pricing_M!$B$13*IF(A186=0,Assumptions!$B$14*12,IF(A186&gt;=12,Assumptions!$B$15,0))-Pricing_M!$B$13,Assumptions!$B$9/12*(1+Assumptions!$B$10)^INT(A186/12)+Assumptions!$B$12*(1+Assumptions!$B$11)^(INT(A186/12)+1)/12))*J186</f>
        <v>-373.703146520434</v>
      </c>
      <c r="V186" s="32" t="n">
        <f aca="false">V185*(1-F185)*(1-(1-(1-MIN(1,G185*(1-Assumptions!$B$23)))^(1/12)))</f>
        <v>0.760216616372897</v>
      </c>
      <c r="W186" s="47" t="n">
        <f aca="false">V186*(IF(C186&lt;Assumptions!$B$5,Assumptions!$B$12*(1+Assumptions!$B$11)^(INT(A186/12)+1)/12+Pricing_M!$B$13*IF(A186=0,Assumptions!$B$14*12,IF(A186&gt;=12,Assumptions!$B$15,0))-Pricing_M!$B$13,Assumptions!$B$9/12*(1+Assumptions!$B$10)^INT(A186/12)+Assumptions!$B$12*(1+Assumptions!$B$11)^(INT(A186/12)+1)/12))*J186</f>
        <v>-454.627278976828</v>
      </c>
      <c r="X186" s="47" t="n">
        <f aca="false">I186*(IF(C186&lt;Assumptions!$B$5,Assumptions!$B$12*(1+Assumptions!$B$11)*(1+Assumptions!$B$24)*(1+Assumptions!$B$11+Assumptions!$B$25)^(INT(A186/12))/12+Pricing_M!$B$13*IF(A186=0,Assumptions!$B$14*12,IF(A186&gt;=12,Assumptions!$B$15,0))-Pricing_M!$B$13,Assumptions!$B$9/12*(1+Assumptions!$B$10)^INT(A186/12)+Assumptions!$B$12*(1+Assumptions!$B$11)*(1+Assumptions!$B$24)*(1+Assumptions!$B$11+Assumptions!$B$25)^(INT(A186/12))/12))*J186</f>
        <v>-411.274936202388</v>
      </c>
    </row>
    <row r="187" customFormat="false" ht="15" hidden="false" customHeight="true" outlineLevel="0" collapsed="false">
      <c r="A187" s="1" t="n">
        <v>180</v>
      </c>
      <c r="B187" s="31" t="n">
        <f aca="false">Assumptions!$B$4+A187/12</f>
        <v>80</v>
      </c>
      <c r="C187" s="34" t="n">
        <f aca="false">Assumptions!$B$4+INT(A187/12)</f>
        <v>80</v>
      </c>
      <c r="D187" s="34" t="n">
        <f aca="false">INT(A187/12)+1</f>
        <v>16</v>
      </c>
      <c r="E187" s="32" t="n">
        <f aca="false">IFERROR(INDEX(Cohort_Survival!$G$5:$G$65,MATCH(C187,Cohort_Survival!$A$5:$A$65,0)),1)</f>
        <v>0.027054541831976</v>
      </c>
      <c r="F187" s="30" t="n">
        <f aca="false">1-(1-MIN(1,E187))^(1/12)</f>
        <v>0.00228299446937352</v>
      </c>
      <c r="G187" s="39" t="n">
        <f aca="false">IF(C187&lt;Assumptions!$B$5,IF(D187=1,Assumptions!$B$16,IF(D187=2,Assumptions!$B$17,IF(D187&lt;=5,Assumptions!$B$18,Assumptions!$B$19)))*(1-Assumptions!$B$20),0)</f>
        <v>0</v>
      </c>
      <c r="H187" s="30" t="n">
        <f aca="false">1-(1-G187)^(1/12)</f>
        <v>0</v>
      </c>
      <c r="I187" s="30" t="n">
        <f aca="false">I186*(1-F186)*(1-H186)</f>
        <v>0.687680981645693</v>
      </c>
      <c r="J187" s="30" t="n">
        <f aca="false">INDEX(Discount_Monthly!$G$4:$G$664,MATCH(A187,Discount_Monthly!$A$4:$A$664,0))</f>
        <v>0.631942752983253</v>
      </c>
      <c r="K187" s="30" t="n">
        <f aca="false">IF(C187&lt;Assumptions!$B$5,I187*J187,0)</f>
        <v>0</v>
      </c>
      <c r="L187" s="30" t="n">
        <f aca="false">IF(C187&lt;Assumptions!$B$5,I187*(1-F187)*H187*A187*J187,0)</f>
        <v>0</v>
      </c>
      <c r="M187" s="30" t="n">
        <f aca="false">IF(A187=0,Assumptions!$B$14*12*I187*J187,IF(AND(A187&gt;=12,C187&lt;Assumptions!$B$5),Assumptions!$B$15*I187*J187,0))</f>
        <v>0</v>
      </c>
      <c r="N187" s="47" t="n">
        <f aca="false">IF(C187&gt;=Assumptions!$B$5,I187*Assumptions!$B$9/12*(1+Assumptions!$B$10)^INT(A187/12)*J187,0)</f>
        <v>779.841000320626</v>
      </c>
      <c r="O187" s="47" t="n">
        <f aca="false">I187*Assumptions!$B$12/12*(1+Assumptions!$B$11)^(INT(A187/12)+1)*J187</f>
        <v>4.30086032649769</v>
      </c>
      <c r="P187" s="47" t="n">
        <f aca="false">O187+Pricing_M!$B$13*M187+N187-Pricing_M!$B$13*K187</f>
        <v>784.141860647124</v>
      </c>
      <c r="Q187" s="47" t="n">
        <f aca="false">IF(C187&lt;Assumptions!$B$5,Pricing_M!$B$13*K187-Pricing_M!$B$13*M187-O187,-(N187+O187))</f>
        <v>-784.141860647124</v>
      </c>
      <c r="R187" s="32" t="n">
        <f aca="false">R186*(1-(1-(1-MIN(1,E186*(1-Assumptions!$B$21)))^(1/12)))*(1-H186)</f>
        <v>0.712962033920438</v>
      </c>
      <c r="S187" s="47" t="n">
        <f aca="false">R187*(IF(C187&lt;Assumptions!$B$5,Assumptions!$B$12*(1+Assumptions!$B$11)^(INT(A187/12)+1)/12+Pricing_M!$B$13*IF(A187=0,Assumptions!$B$14*12,IF(A187&gt;=12,Assumptions!$B$15,0))-Pricing_M!$B$13,Assumptions!$B$9/12*(1+Assumptions!$B$10)^INT(A187/12)+Assumptions!$B$12*(1+Assumptions!$B$11)^(INT(A187/12)+1)/12))*J187</f>
        <v>812.969081260954</v>
      </c>
      <c r="T187" s="32" t="n">
        <f aca="false">T186*(1-F186)*(1-(1-(1-MIN(1,G186*(1+Assumptions!$B$23)))^(1/12)))</f>
        <v>0.622955658541368</v>
      </c>
      <c r="U187" s="47" t="n">
        <f aca="false">T187*(IF(C187&lt;Assumptions!$B$5,Assumptions!$B$12*(1+Assumptions!$B$11)^(INT(A187/12)+1)/12+Pricing_M!$B$13*IF(A187=0,Assumptions!$B$14*12,IF(A187&gt;=12,Assumptions!$B$15,0))-Pricing_M!$B$13,Assumptions!$B$9/12*(1+Assumptions!$B$10)^INT(A187/12)+Assumptions!$B$12*(1+Assumptions!$B$11)^(INT(A187/12)+1)/12))*J187</f>
        <v>710.33752892262</v>
      </c>
      <c r="V187" s="32" t="n">
        <f aca="false">V186*(1-F186)*(1-(1-(1-MIN(1,G186*(1-Assumptions!$B$23)))^(1/12)))</f>
        <v>0.758434776427373</v>
      </c>
      <c r="W187" s="47" t="n">
        <f aca="false">V187*(IF(C187&lt;Assumptions!$B$5,Assumptions!$B$12*(1+Assumptions!$B$11)^(INT(A187/12)+1)/12+Pricing_M!$B$13*IF(A187=0,Assumptions!$B$14*12,IF(A187&gt;=12,Assumptions!$B$15,0))-Pricing_M!$B$13,Assumptions!$B$9/12*(1+Assumptions!$B$10)^INT(A187/12)+Assumptions!$B$12*(1+Assumptions!$B$11)^(INT(A187/12)+1)/12))*J187</f>
        <v>864.820276611426</v>
      </c>
      <c r="X187" s="47" t="n">
        <f aca="false">I187*(IF(C187&lt;Assumptions!$B$5,Assumptions!$B$12*(1+Assumptions!$B$11)*(1+Assumptions!$B$24)*(1+Assumptions!$B$11+Assumptions!$B$25)^(INT(A187/12))/12+Pricing_M!$B$13*IF(A187=0,Assumptions!$B$14*12,IF(A187&gt;=12,Assumptions!$B$15,0))-Pricing_M!$B$13,Assumptions!$B$9/12*(1+Assumptions!$B$10)^INT(A187/12)+Assumptions!$B$12*(1+Assumptions!$B$11)*(1+Assumptions!$B$24)*(1+Assumptions!$B$11+Assumptions!$B$25)^(INT(A187/12))/12))*J187</f>
        <v>785.313620278651</v>
      </c>
    </row>
    <row r="188" customFormat="false" ht="15" hidden="false" customHeight="true" outlineLevel="0" collapsed="false">
      <c r="A188" s="1" t="n">
        <v>181</v>
      </c>
      <c r="B188" s="31" t="n">
        <f aca="false">Assumptions!$B$4+A188/12</f>
        <v>80.0833333333333</v>
      </c>
      <c r="C188" s="34" t="n">
        <f aca="false">Assumptions!$B$4+INT(A188/12)</f>
        <v>80</v>
      </c>
      <c r="D188" s="34" t="n">
        <f aca="false">INT(A188/12)+1</f>
        <v>16</v>
      </c>
      <c r="E188" s="32" t="n">
        <f aca="false">IFERROR(INDEX(Cohort_Survival!$G$5:$G$65,MATCH(C188,Cohort_Survival!$A$5:$A$65,0)),1)</f>
        <v>0.027054541831976</v>
      </c>
      <c r="F188" s="30" t="n">
        <f aca="false">1-(1-MIN(1,E188))^(1/12)</f>
        <v>0.00228299446937352</v>
      </c>
      <c r="G188" s="39" t="n">
        <f aca="false">IF(C188&lt;Assumptions!$B$5,IF(D188=1,Assumptions!$B$16,IF(D188=2,Assumptions!$B$17,IF(D188&lt;=5,Assumptions!$B$18,Assumptions!$B$19)))*(1-Assumptions!$B$20),0)</f>
        <v>0</v>
      </c>
      <c r="H188" s="30" t="n">
        <f aca="false">1-(1-G188)^(1/12)</f>
        <v>0</v>
      </c>
      <c r="I188" s="30" t="n">
        <f aca="false">I187*(1-F187)*(1-H187)</f>
        <v>0.686111009767902</v>
      </c>
      <c r="J188" s="30" t="n">
        <f aca="false">INDEX(Discount_Monthly!$G$4:$G$664,MATCH(A188,Discount_Monthly!$A$4:$A$664,0))</f>
        <v>0.630072760614388</v>
      </c>
      <c r="K188" s="30" t="n">
        <f aca="false">IF(C188&lt;Assumptions!$B$5,I188*J188,0)</f>
        <v>0</v>
      </c>
      <c r="L188" s="30" t="n">
        <f aca="false">IF(C188&lt;Assumptions!$B$5,I188*(1-F188)*H188*A188*J188,0)</f>
        <v>0</v>
      </c>
      <c r="M188" s="30" t="n">
        <f aca="false">IF(A188=0,Assumptions!$B$14*12*I188*J188,IF(AND(A188&gt;=12,C188&lt;Assumptions!$B$5),Assumptions!$B$15*I188*J188,0))</f>
        <v>0</v>
      </c>
      <c r="N188" s="47" t="n">
        <f aca="false">IF(C188&gt;=Assumptions!$B$5,I188*Assumptions!$B$9/12*(1+Assumptions!$B$10)^INT(A188/12)*J188,0)</f>
        <v>775.758255414519</v>
      </c>
      <c r="O188" s="47" t="n">
        <f aca="false">I188*Assumptions!$B$12/12*(1+Assumptions!$B$11)^(INT(A188/12)+1)*J188</f>
        <v>4.27834379353435</v>
      </c>
      <c r="P188" s="47" t="n">
        <f aca="false">O188+Pricing_M!$B$13*M188+N188-Pricing_M!$B$13*K188</f>
        <v>780.036599208054</v>
      </c>
      <c r="Q188" s="47" t="n">
        <f aca="false">IF(C188&lt;Assumptions!$B$5,Pricing_M!$B$13*K188-Pricing_M!$B$13*M188-O188,-(N188+O188))</f>
        <v>-780.036599208054</v>
      </c>
      <c r="R188" s="32" t="n">
        <f aca="false">R187*(1-(1-(1-MIN(1,E187*(1-Assumptions!$B$21)))^(1/12)))*(1-H187)</f>
        <v>0.711663174251898</v>
      </c>
      <c r="S188" s="47" t="n">
        <f aca="false">R188*(IF(C188&lt;Assumptions!$B$5,Assumptions!$B$12*(1+Assumptions!$B$11)^(INT(A188/12)+1)/12+Pricing_M!$B$13*IF(A188=0,Assumptions!$B$14*12,IF(A188&gt;=12,Assumptions!$B$15,0))-Pricing_M!$B$13,Assumptions!$B$9/12*(1+Assumptions!$B$10)^INT(A188/12)+Assumptions!$B$12*(1+Assumptions!$B$11)^(INT(A188/12)+1)/12))*J188</f>
        <v>809.086742993449</v>
      </c>
      <c r="T188" s="32" t="n">
        <f aca="false">T187*(1-F187)*(1-(1-(1-MIN(1,G187*(1+Assumptions!$B$23)))^(1/12)))</f>
        <v>0.621533454218254</v>
      </c>
      <c r="U188" s="47" t="n">
        <f aca="false">T188*(IF(C188&lt;Assumptions!$B$5,Assumptions!$B$12*(1+Assumptions!$B$11)^(INT(A188/12)+1)/12+Pricing_M!$B$13*IF(A188=0,Assumptions!$B$14*12,IF(A188&gt;=12,Assumptions!$B$15,0))-Pricing_M!$B$13,Assumptions!$B$9/12*(1+Assumptions!$B$10)^INT(A188/12)+Assumptions!$B$12*(1+Assumptions!$B$11)^(INT(A188/12)+1)/12))*J188</f>
        <v>706.61865940097</v>
      </c>
      <c r="V188" s="32" t="n">
        <f aca="false">V187*(1-F187)*(1-(1-(1-MIN(1,G187*(1-Assumptions!$B$23)))^(1/12)))</f>
        <v>0.756703274027408</v>
      </c>
      <c r="W188" s="47" t="n">
        <f aca="false">V188*(IF(C188&lt;Assumptions!$B$5,Assumptions!$B$12*(1+Assumptions!$B$11)^(INT(A188/12)+1)/12+Pricing_M!$B$13*IF(A188=0,Assumptions!$B$14*12,IF(A188&gt;=12,Assumptions!$B$15,0))-Pricing_M!$B$13,Assumptions!$B$9/12*(1+Assumptions!$B$10)^INT(A188/12)+Assumptions!$B$12*(1+Assumptions!$B$11)^(INT(A188/12)+1)/12))*J188</f>
        <v>860.292634979887</v>
      </c>
      <c r="X188" s="47" t="n">
        <f aca="false">I188*(IF(C188&lt;Assumptions!$B$5,Assumptions!$B$12*(1+Assumptions!$B$11)*(1+Assumptions!$B$24)*(1+Assumptions!$B$11+Assumptions!$B$25)^(INT(A188/12))/12+Pricing_M!$B$13*IF(A188=0,Assumptions!$B$14*12,IF(A188&gt;=12,Assumptions!$B$15,0))-Pricing_M!$B$13,Assumptions!$B$9/12*(1+Assumptions!$B$10)^INT(A188/12)+Assumptions!$B$12*(1+Assumptions!$B$11)*(1+Assumptions!$B$24)*(1+Assumptions!$B$11+Assumptions!$B$25)^(INT(A188/12))/12))*J188</f>
        <v>781.202224261295</v>
      </c>
    </row>
    <row r="189" customFormat="false" ht="15" hidden="false" customHeight="true" outlineLevel="0" collapsed="false">
      <c r="A189" s="1" t="n">
        <v>182</v>
      </c>
      <c r="B189" s="31" t="n">
        <f aca="false">Assumptions!$B$4+A189/12</f>
        <v>80.1666666666667</v>
      </c>
      <c r="C189" s="34" t="n">
        <f aca="false">Assumptions!$B$4+INT(A189/12)</f>
        <v>80</v>
      </c>
      <c r="D189" s="34" t="n">
        <f aca="false">INT(A189/12)+1</f>
        <v>16</v>
      </c>
      <c r="E189" s="32" t="n">
        <f aca="false">IFERROR(INDEX(Cohort_Survival!$G$5:$G$65,MATCH(C189,Cohort_Survival!$A$5:$A$65,0)),1)</f>
        <v>0.027054541831976</v>
      </c>
      <c r="F189" s="30" t="n">
        <f aca="false">1-(1-MIN(1,E189))^(1/12)</f>
        <v>0.00228299446937352</v>
      </c>
      <c r="G189" s="39" t="n">
        <f aca="false">IF(C189&lt;Assumptions!$B$5,IF(D189=1,Assumptions!$B$16,IF(D189=2,Assumptions!$B$17,IF(D189&lt;=5,Assumptions!$B$18,Assumptions!$B$19)))*(1-Assumptions!$B$20),0)</f>
        <v>0</v>
      </c>
      <c r="H189" s="30" t="n">
        <f aca="false">1-(1-G189)^(1/12)</f>
        <v>0</v>
      </c>
      <c r="I189" s="30" t="n">
        <f aca="false">I188*(1-F188)*(1-H188)</f>
        <v>0.684544622127226</v>
      </c>
      <c r="J189" s="30" t="n">
        <f aca="false">INDEX(Discount_Monthly!$G$4:$G$664,MATCH(A189,Discount_Monthly!$A$4:$A$664,0))</f>
        <v>0.628208301771216</v>
      </c>
      <c r="K189" s="30" t="n">
        <f aca="false">IF(C189&lt;Assumptions!$B$5,I189*J189,0)</f>
        <v>0</v>
      </c>
      <c r="L189" s="30" t="n">
        <f aca="false">IF(C189&lt;Assumptions!$B$5,I189*(1-F189)*H189*A189*J189,0)</f>
        <v>0</v>
      </c>
      <c r="M189" s="30" t="n">
        <f aca="false">IF(A189=0,Assumptions!$B$14*12*I189*J189,IF(AND(A189&gt;=12,C189&lt;Assumptions!$B$5),Assumptions!$B$15*I189*J189,0))</f>
        <v>0</v>
      </c>
      <c r="N189" s="47" t="n">
        <f aca="false">IF(C189&gt;=Assumptions!$B$5,I189*Assumptions!$B$9/12*(1+Assumptions!$B$10)^INT(A189/12)*J189,0)</f>
        <v>771.6968851296</v>
      </c>
      <c r="O189" s="47" t="n">
        <f aca="false">I189*Assumptions!$B$12/12*(1+Assumptions!$B$11)^(INT(A189/12)+1)*J189</f>
        <v>4.25594514262674</v>
      </c>
      <c r="P189" s="47" t="n">
        <f aca="false">O189+Pricing_M!$B$13*M189+N189-Pricing_M!$B$13*K189</f>
        <v>775.952830272227</v>
      </c>
      <c r="Q189" s="47" t="n">
        <f aca="false">IF(C189&lt;Assumptions!$B$5,Pricing_M!$B$13*K189-Pricing_M!$B$13*M189-O189,-(N189+O189))</f>
        <v>-775.952830272227</v>
      </c>
      <c r="R189" s="32" t="n">
        <f aca="false">R188*(1-(1-(1-MIN(1,E188*(1-Assumptions!$B$21)))^(1/12)))*(1-H188)</f>
        <v>0.710366680819368</v>
      </c>
      <c r="S189" s="47" t="n">
        <f aca="false">R189*(IF(C189&lt;Assumptions!$B$5,Assumptions!$B$12*(1+Assumptions!$B$11)^(INT(A189/12)+1)/12+Pricing_M!$B$13*IF(A189=0,Assumptions!$B$14*12,IF(A189&gt;=12,Assumptions!$B$15,0))-Pricing_M!$B$13,Assumptions!$B$9/12*(1+Assumptions!$B$10)^INT(A189/12)+Assumptions!$B$12*(1+Assumptions!$B$11)^(INT(A189/12)+1)/12))*J189</f>
        <v>805.222944853449</v>
      </c>
      <c r="T189" s="32" t="n">
        <f aca="false">T188*(1-F188)*(1-(1-(1-MIN(1,G188*(1+Assumptions!$B$23)))^(1/12)))</f>
        <v>0.620114496779743</v>
      </c>
      <c r="U189" s="47" t="n">
        <f aca="false">T189*(IF(C189&lt;Assumptions!$B$5,Assumptions!$B$12*(1+Assumptions!$B$11)^(INT(A189/12)+1)/12+Pricing_M!$B$13*IF(A189=0,Assumptions!$B$14*12,IF(A189&gt;=12,Assumptions!$B$15,0))-Pricing_M!$B$13,Assumptions!$B$9/12*(1+Assumptions!$B$10)^INT(A189/12)+Assumptions!$B$12*(1+Assumptions!$B$11)^(INT(A189/12)+1)/12))*J189</f>
        <v>702.919259483496</v>
      </c>
      <c r="V189" s="32" t="n">
        <f aca="false">V188*(1-F188)*(1-(1-(1-MIN(1,G188*(1-Assumptions!$B$23)))^(1/12)))</f>
        <v>0.754975724637847</v>
      </c>
      <c r="W189" s="47" t="n">
        <f aca="false">V189*(IF(C189&lt;Assumptions!$B$5,Assumptions!$B$12*(1+Assumptions!$B$11)^(INT(A189/12)+1)/12+Pricing_M!$B$13*IF(A189=0,Assumptions!$B$14*12,IF(A189&gt;=12,Assumptions!$B$15,0))-Pricing_M!$B$13,Assumptions!$B$9/12*(1+Assumptions!$B$10)^INT(A189/12)+Assumptions!$B$12*(1+Assumptions!$B$11)^(INT(A189/12)+1)/12))*J189</f>
        <v>855.788697162074</v>
      </c>
      <c r="X189" s="47" t="n">
        <f aca="false">I189*(IF(C189&lt;Assumptions!$B$5,Assumptions!$B$12*(1+Assumptions!$B$11)*(1+Assumptions!$B$24)*(1+Assumptions!$B$11+Assumptions!$B$25)^(INT(A189/12))/12+Pricing_M!$B$13*IF(A189=0,Assumptions!$B$14*12,IF(A189&gt;=12,Assumptions!$B$15,0))-Pricing_M!$B$13,Assumptions!$B$9/12*(1+Assumptions!$B$10)^INT(A189/12)+Assumptions!$B$12*(1+Assumptions!$B$11)*(1+Assumptions!$B$24)*(1+Assumptions!$B$11+Assumptions!$B$25)^(INT(A189/12))/12))*J189</f>
        <v>777.112352863882</v>
      </c>
    </row>
    <row r="190" customFormat="false" ht="15" hidden="false" customHeight="true" outlineLevel="0" collapsed="false">
      <c r="A190" s="1" t="n">
        <v>183</v>
      </c>
      <c r="B190" s="31" t="n">
        <f aca="false">Assumptions!$B$4+A190/12</f>
        <v>80.25</v>
      </c>
      <c r="C190" s="34" t="n">
        <f aca="false">Assumptions!$B$4+INT(A190/12)</f>
        <v>80</v>
      </c>
      <c r="D190" s="34" t="n">
        <f aca="false">INT(A190/12)+1</f>
        <v>16</v>
      </c>
      <c r="E190" s="32" t="n">
        <f aca="false">IFERROR(INDEX(Cohort_Survival!$G$5:$G$65,MATCH(C190,Cohort_Survival!$A$5:$A$65,0)),1)</f>
        <v>0.027054541831976</v>
      </c>
      <c r="F190" s="30" t="n">
        <f aca="false">1-(1-MIN(1,E190))^(1/12)</f>
        <v>0.00228299446937352</v>
      </c>
      <c r="G190" s="39" t="n">
        <f aca="false">IF(C190&lt;Assumptions!$B$5,IF(D190=1,Assumptions!$B$16,IF(D190=2,Assumptions!$B$17,IF(D190&lt;=5,Assumptions!$B$18,Assumptions!$B$19)))*(1-Assumptions!$B$20),0)</f>
        <v>0</v>
      </c>
      <c r="H190" s="30" t="n">
        <f aca="false">1-(1-G190)^(1/12)</f>
        <v>0</v>
      </c>
      <c r="I190" s="30" t="n">
        <f aca="false">I189*(1-F189)*(1-H189)</f>
        <v>0.68298181054087</v>
      </c>
      <c r="J190" s="30" t="n">
        <f aca="false">INDEX(Discount_Monthly!$G$4:$G$664,MATCH(A190,Discount_Monthly!$A$4:$A$664,0))</f>
        <v>0.626349360079388</v>
      </c>
      <c r="K190" s="30" t="n">
        <f aca="false">IF(C190&lt;Assumptions!$B$5,I190*J190,0)</f>
        <v>0</v>
      </c>
      <c r="L190" s="30" t="n">
        <f aca="false">IF(C190&lt;Assumptions!$B$5,I190*(1-F190)*H190*A190*J190,0)</f>
        <v>0</v>
      </c>
      <c r="M190" s="30" t="n">
        <f aca="false">IF(A190=0,Assumptions!$B$14*12*I190*J190,IF(AND(A190&gt;=12,C190&lt;Assumptions!$B$5),Assumptions!$B$15*I190*J190,0))</f>
        <v>0</v>
      </c>
      <c r="N190" s="47" t="n">
        <f aca="false">IF(C190&gt;=Assumptions!$B$5,I190*Assumptions!$B$9/12*(1+Assumptions!$B$10)^INT(A190/12)*J190,0)</f>
        <v>767.656777562127</v>
      </c>
      <c r="O190" s="47" t="n">
        <f aca="false">I190*Assumptions!$B$12/12*(1+Assumptions!$B$11)^(INT(A190/12)+1)*J190</f>
        <v>4.23366375662038</v>
      </c>
      <c r="P190" s="47" t="n">
        <f aca="false">O190+Pricing_M!$B$13*M190+N190-Pricing_M!$B$13*K190</f>
        <v>771.890441318748</v>
      </c>
      <c r="Q190" s="47" t="n">
        <f aca="false">IF(C190&lt;Assumptions!$B$5,Pricing_M!$B$13*K190-Pricing_M!$B$13*M190-O190,-(N190+O190))</f>
        <v>-771.890441318748</v>
      </c>
      <c r="R190" s="32" t="n">
        <f aca="false">R189*(1-(1-(1-MIN(1,E189*(1-Assumptions!$B$21)))^(1/12)))*(1-H189)</f>
        <v>0.709072549312087</v>
      </c>
      <c r="S190" s="47" t="n">
        <f aca="false">R190*(IF(C190&lt;Assumptions!$B$5,Assumptions!$B$12*(1+Assumptions!$B$11)^(INT(A190/12)+1)/12+Pricing_M!$B$13*IF(A190=0,Assumptions!$B$14*12,IF(A190&gt;=12,Assumptions!$B$15,0))-Pricing_M!$B$13,Assumptions!$B$9/12*(1+Assumptions!$B$10)^INT(A190/12)+Assumptions!$B$12*(1+Assumptions!$B$11)^(INT(A190/12)+1)/12))*J190</f>
        <v>801.377598302472</v>
      </c>
      <c r="T190" s="32" t="n">
        <f aca="false">T189*(1-F189)*(1-(1-(1-MIN(1,G189*(1+Assumptions!$B$23)))^(1/12)))</f>
        <v>0.618698778813216</v>
      </c>
      <c r="U190" s="47" t="n">
        <f aca="false">T190*(IF(C190&lt;Assumptions!$B$5,Assumptions!$B$12*(1+Assumptions!$B$11)^(INT(A190/12)+1)/12+Pricing_M!$B$13*IF(A190=0,Assumptions!$B$14*12,IF(A190&gt;=12,Assumptions!$B$15,0))-Pricing_M!$B$13,Assumptions!$B$9/12*(1+Assumptions!$B$10)^INT(A190/12)+Assumptions!$B$12*(1+Assumptions!$B$11)^(INT(A190/12)+1)/12))*J190</f>
        <v>699.239227239897</v>
      </c>
      <c r="V190" s="32" t="n">
        <f aca="false">V189*(1-F189)*(1-(1-(1-MIN(1,G189*(1-Assumptions!$B$23)))^(1/12)))</f>
        <v>0.753252119233987</v>
      </c>
      <c r="W190" s="47" t="n">
        <f aca="false">V190*(IF(C190&lt;Assumptions!$B$5,Assumptions!$B$12*(1+Assumptions!$B$11)^(INT(A190/12)+1)/12+Pricing_M!$B$13*IF(A190=0,Assumptions!$B$14*12,IF(A190&gt;=12,Assumptions!$B$15,0))-Pricing_M!$B$13,Assumptions!$B$9/12*(1+Assumptions!$B$10)^INT(A190/12)+Assumptions!$B$12*(1+Assumptions!$B$11)^(INT(A190/12)+1)/12))*J190</f>
        <v>851.308339060095</v>
      </c>
      <c r="X190" s="47" t="n">
        <f aca="false">I190*(IF(C190&lt;Assumptions!$B$5,Assumptions!$B$12*(1+Assumptions!$B$11)*(1+Assumptions!$B$24)*(1+Assumptions!$B$11+Assumptions!$B$25)^(INT(A190/12))/12+Pricing_M!$B$13*IF(A190=0,Assumptions!$B$14*12,IF(A190&gt;=12,Assumptions!$B$15,0))-Pricing_M!$B$13,Assumptions!$B$9/12*(1+Assumptions!$B$10)^INT(A190/12)+Assumptions!$B$12*(1+Assumptions!$B$11)*(1+Assumptions!$B$24)*(1+Assumptions!$B$11+Assumptions!$B$25)^(INT(A190/12))/12))*J190</f>
        <v>773.043893397371</v>
      </c>
    </row>
    <row r="191" customFormat="false" ht="15" hidden="false" customHeight="true" outlineLevel="0" collapsed="false">
      <c r="A191" s="1" t="n">
        <v>184</v>
      </c>
      <c r="B191" s="31" t="n">
        <f aca="false">Assumptions!$B$4+A191/12</f>
        <v>80.3333333333333</v>
      </c>
      <c r="C191" s="34" t="n">
        <f aca="false">Assumptions!$B$4+INT(A191/12)</f>
        <v>80</v>
      </c>
      <c r="D191" s="34" t="n">
        <f aca="false">INT(A191/12)+1</f>
        <v>16</v>
      </c>
      <c r="E191" s="32" t="n">
        <f aca="false">IFERROR(INDEX(Cohort_Survival!$G$5:$G$65,MATCH(C191,Cohort_Survival!$A$5:$A$65,0)),1)</f>
        <v>0.027054541831976</v>
      </c>
      <c r="F191" s="30" t="n">
        <f aca="false">1-(1-MIN(1,E191))^(1/12)</f>
        <v>0.00228299446937352</v>
      </c>
      <c r="G191" s="39" t="n">
        <f aca="false">IF(C191&lt;Assumptions!$B$5,IF(D191=1,Assumptions!$B$16,IF(D191=2,Assumptions!$B$17,IF(D191&lt;=5,Assumptions!$B$18,Assumptions!$B$19)))*(1-Assumptions!$B$20),0)</f>
        <v>0</v>
      </c>
      <c r="H191" s="30" t="n">
        <f aca="false">1-(1-G191)^(1/12)</f>
        <v>0</v>
      </c>
      <c r="I191" s="30" t="n">
        <f aca="false">I190*(1-F190)*(1-H190)</f>
        <v>0.681422566844723</v>
      </c>
      <c r="J191" s="30" t="n">
        <f aca="false">INDEX(Discount_Monthly!$G$4:$G$664,MATCH(A191,Discount_Monthly!$A$4:$A$664,0))</f>
        <v>0.624495919213008</v>
      </c>
      <c r="K191" s="30" t="n">
        <f aca="false">IF(C191&lt;Assumptions!$B$5,I191*J191,0)</f>
        <v>0</v>
      </c>
      <c r="L191" s="30" t="n">
        <f aca="false">IF(C191&lt;Assumptions!$B$5,I191*(1-F191)*H191*A191*J191,0)</f>
        <v>0</v>
      </c>
      <c r="M191" s="30" t="n">
        <f aca="false">IF(A191=0,Assumptions!$B$14*12*I191*J191,IF(AND(A191&gt;=12,C191&lt;Assumptions!$B$5),Assumptions!$B$15*I191*J191,0))</f>
        <v>0</v>
      </c>
      <c r="N191" s="47" t="n">
        <f aca="false">IF(C191&gt;=Assumptions!$B$5,I191*Assumptions!$B$9/12*(1+Assumptions!$B$10)^INT(A191/12)*J191,0)</f>
        <v>763.637821394215</v>
      </c>
      <c r="O191" s="47" t="n">
        <f aca="false">I191*Assumptions!$B$12/12*(1+Assumptions!$B$11)^(INT(A191/12)+1)*J191</f>
        <v>4.21149902159183</v>
      </c>
      <c r="P191" s="47" t="n">
        <f aca="false">O191+Pricing_M!$B$13*M191+N191-Pricing_M!$B$13*K191</f>
        <v>767.849320415807</v>
      </c>
      <c r="Q191" s="47" t="n">
        <f aca="false">IF(C191&lt;Assumptions!$B$5,Pricing_M!$B$13*K191-Pricing_M!$B$13*M191-O191,-(N191+O191))</f>
        <v>-767.849320415807</v>
      </c>
      <c r="R191" s="32" t="n">
        <f aca="false">R190*(1-(1-(1-MIN(1,E190*(1-Assumptions!$B$21)))^(1/12)))*(1-H190)</f>
        <v>0.70778077542715</v>
      </c>
      <c r="S191" s="47" t="n">
        <f aca="false">R191*(IF(C191&lt;Assumptions!$B$5,Assumptions!$B$12*(1+Assumptions!$B$11)^(INT(A191/12)+1)/12+Pricing_M!$B$13*IF(A191=0,Assumptions!$B$14*12,IF(A191&gt;=12,Assumptions!$B$15,0))-Pricing_M!$B$13,Assumptions!$B$9/12*(1+Assumptions!$B$10)^INT(A191/12)+Assumptions!$B$12*(1+Assumptions!$B$11)^(INT(A191/12)+1)/12))*J191</f>
        <v>797.550615224856</v>
      </c>
      <c r="T191" s="32" t="n">
        <f aca="false">T190*(1-F190)*(1-(1-(1-MIN(1,G190*(1+Assumptions!$B$23)))^(1/12)))</f>
        <v>0.617286292922977</v>
      </c>
      <c r="U191" s="47" t="n">
        <f aca="false">T191*(IF(C191&lt;Assumptions!$B$5,Assumptions!$B$12*(1+Assumptions!$B$11)^(INT(A191/12)+1)/12+Pricing_M!$B$13*IF(A191=0,Assumptions!$B$14*12,IF(A191&gt;=12,Assumptions!$B$15,0))-Pricing_M!$B$13,Assumptions!$B$9/12*(1+Assumptions!$B$10)^INT(A191/12)+Assumptions!$B$12*(1+Assumptions!$B$11)^(INT(A191/12)+1)/12))*J191</f>
        <v>695.578461273514</v>
      </c>
      <c r="V191" s="32" t="n">
        <f aca="false">V190*(1-F190)*(1-(1-(1-MIN(1,G190*(1-Assumptions!$B$23)))^(1/12)))</f>
        <v>0.751532448811732</v>
      </c>
      <c r="W191" s="47" t="n">
        <f aca="false">V191*(IF(C191&lt;Assumptions!$B$5,Assumptions!$B$12*(1+Assumptions!$B$11)^(INT(A191/12)+1)/12+Pricing_M!$B$13*IF(A191=0,Assumptions!$B$14*12,IF(A191&gt;=12,Assumptions!$B$15,0))-Pricing_M!$B$13,Assumptions!$B$9/12*(1+Assumptions!$B$10)^INT(A191/12)+Assumptions!$B$12*(1+Assumptions!$B$11)^(INT(A191/12)+1)/12))*J191</f>
        <v>846.851437225754</v>
      </c>
      <c r="X191" s="47" t="n">
        <f aca="false">I191*(IF(C191&lt;Assumptions!$B$5,Assumptions!$B$12*(1+Assumptions!$B$11)*(1+Assumptions!$B$24)*(1+Assumptions!$B$11+Assumptions!$B$25)^(INT(A191/12))/12+Pricing_M!$B$13*IF(A191=0,Assumptions!$B$14*12,IF(A191&gt;=12,Assumptions!$B$15,0))-Pricing_M!$B$13,Assumptions!$B$9/12*(1+Assumptions!$B$10)^INT(A191/12)+Assumptions!$B$12*(1+Assumptions!$B$11)*(1+Assumptions!$B$24)*(1+Assumptions!$B$11+Assumptions!$B$25)^(INT(A191/12))/12))*J191</f>
        <v>768.996733762693</v>
      </c>
    </row>
    <row r="192" customFormat="false" ht="15" hidden="false" customHeight="true" outlineLevel="0" collapsed="false">
      <c r="A192" s="1" t="n">
        <v>185</v>
      </c>
      <c r="B192" s="31" t="n">
        <f aca="false">Assumptions!$B$4+A192/12</f>
        <v>80.4166666666667</v>
      </c>
      <c r="C192" s="34" t="n">
        <f aca="false">Assumptions!$B$4+INT(A192/12)</f>
        <v>80</v>
      </c>
      <c r="D192" s="34" t="n">
        <f aca="false">INT(A192/12)+1</f>
        <v>16</v>
      </c>
      <c r="E192" s="32" t="n">
        <f aca="false">IFERROR(INDEX(Cohort_Survival!$G$5:$G$65,MATCH(C192,Cohort_Survival!$A$5:$A$65,0)),1)</f>
        <v>0.027054541831976</v>
      </c>
      <c r="F192" s="30" t="n">
        <f aca="false">1-(1-MIN(1,E192))^(1/12)</f>
        <v>0.00228299446937352</v>
      </c>
      <c r="G192" s="39" t="n">
        <f aca="false">IF(C192&lt;Assumptions!$B$5,IF(D192=1,Assumptions!$B$16,IF(D192=2,Assumptions!$B$17,IF(D192&lt;=5,Assumptions!$B$18,Assumptions!$B$19)))*(1-Assumptions!$B$20),0)</f>
        <v>0</v>
      </c>
      <c r="H192" s="30" t="n">
        <f aca="false">1-(1-G192)^(1/12)</f>
        <v>0</v>
      </c>
      <c r="I192" s="30" t="n">
        <f aca="false">I191*(1-F191)*(1-H191)</f>
        <v>0.67986688289331</v>
      </c>
      <c r="J192" s="30" t="n">
        <f aca="false">INDEX(Discount_Monthly!$G$4:$G$664,MATCH(A192,Discount_Monthly!$A$4:$A$664,0))</f>
        <v>0.622647962894493</v>
      </c>
      <c r="K192" s="30" t="n">
        <f aca="false">IF(C192&lt;Assumptions!$B$5,I192*J192,0)</f>
        <v>0</v>
      </c>
      <c r="L192" s="30" t="n">
        <f aca="false">IF(C192&lt;Assumptions!$B$5,I192*(1-F192)*H192*A192*J192,0)</f>
        <v>0</v>
      </c>
      <c r="M192" s="30" t="n">
        <f aca="false">IF(A192=0,Assumptions!$B$14*12*I192*J192,IF(AND(A192&gt;=12,C192&lt;Assumptions!$B$5),Assumptions!$B$15*I192*J192,0))</f>
        <v>0</v>
      </c>
      <c r="N192" s="47" t="n">
        <f aca="false">IF(C192&gt;=Assumptions!$B$5,I192*Assumptions!$B$9/12*(1+Assumptions!$B$10)^INT(A192/12)*J192,0)</f>
        <v>759.639905890765</v>
      </c>
      <c r="O192" s="47" t="n">
        <f aca="false">I192*Assumptions!$B$12/12*(1+Assumptions!$B$11)^(INT(A192/12)+1)*J192</f>
        <v>4.18945032683173</v>
      </c>
      <c r="P192" s="47" t="n">
        <f aca="false">O192+Pricing_M!$B$13*M192+N192-Pricing_M!$B$13*K192</f>
        <v>763.829356217597</v>
      </c>
      <c r="Q192" s="47" t="n">
        <f aca="false">IF(C192&lt;Assumptions!$B$5,Pricing_M!$B$13*K192-Pricing_M!$B$13*M192-O192,-(N192+O192))</f>
        <v>-763.829356217597</v>
      </c>
      <c r="R192" s="32" t="n">
        <f aca="false">R191*(1-(1-(1-MIN(1,E191*(1-Assumptions!$B$21)))^(1/12)))*(1-H191)</f>
        <v>0.706491354869486</v>
      </c>
      <c r="S192" s="47" t="n">
        <f aca="false">R192*(IF(C192&lt;Assumptions!$B$5,Assumptions!$B$12*(1+Assumptions!$B$11)^(INT(A192/12)+1)/12+Pricing_M!$B$13*IF(A192=0,Assumptions!$B$14*12,IF(A192&gt;=12,Assumptions!$B$15,0))-Pricing_M!$B$13,Assumptions!$B$9/12*(1+Assumptions!$B$10)^INT(A192/12)+Assumptions!$B$12*(1+Assumptions!$B$11)^(INT(A192/12)+1)/12))*J192</f>
        <v>793.741907925734</v>
      </c>
      <c r="T192" s="32" t="n">
        <f aca="false">T191*(1-F191)*(1-(1-(1-MIN(1,G191*(1+Assumptions!$B$23)))^(1/12)))</f>
        <v>0.615877031730214</v>
      </c>
      <c r="U192" s="47" t="n">
        <f aca="false">T192*(IF(C192&lt;Assumptions!$B$5,Assumptions!$B$12*(1+Assumptions!$B$11)^(INT(A192/12)+1)/12+Pricing_M!$B$13*IF(A192=0,Assumptions!$B$14*12,IF(A192&gt;=12,Assumptions!$B$15,0))-Pricing_M!$B$13,Assumptions!$B$9/12*(1+Assumptions!$B$10)^INT(A192/12)+Assumptions!$B$12*(1+Assumptions!$B$11)^(INT(A192/12)+1)/12))*J192</f>
        <v>691.936860718537</v>
      </c>
      <c r="V192" s="32" t="n">
        <f aca="false">V191*(1-F191)*(1-(1-(1-MIN(1,G191*(1-Assumptions!$B$23)))^(1/12)))</f>
        <v>0.74981670438754</v>
      </c>
      <c r="W192" s="47" t="n">
        <f aca="false">V192*(IF(C192&lt;Assumptions!$B$5,Assumptions!$B$12*(1+Assumptions!$B$11)^(INT(A192/12)+1)/12+Pricing_M!$B$13*IF(A192=0,Assumptions!$B$14*12,IF(A192&gt;=12,Assumptions!$B$15,0))-Pricing_M!$B$13,Assumptions!$B$9/12*(1+Assumptions!$B$10)^INT(A192/12)+Assumptions!$B$12*(1+Assumptions!$B$11)^(INT(A192/12)+1)/12))*J192</f>
        <v>842.417868857149</v>
      </c>
      <c r="X192" s="47" t="n">
        <f aca="false">I192*(IF(C192&lt;Assumptions!$B$5,Assumptions!$B$12*(1+Assumptions!$B$11)*(1+Assumptions!$B$24)*(1+Assumptions!$B$11+Assumptions!$B$25)^(INT(A192/12))/12+Pricing_M!$B$13*IF(A192=0,Assumptions!$B$14*12,IF(A192&gt;=12,Assumptions!$B$15,0))-Pricing_M!$B$13,Assumptions!$B$9/12*(1+Assumptions!$B$10)^INT(A192/12)+Assumptions!$B$12*(1+Assumptions!$B$11)*(1+Assumptions!$B$24)*(1+Assumptions!$B$11+Assumptions!$B$25)^(INT(A192/12))/12))*J192</f>
        <v>764.970762447654</v>
      </c>
    </row>
    <row r="193" customFormat="false" ht="15" hidden="false" customHeight="true" outlineLevel="0" collapsed="false">
      <c r="A193" s="1" t="n">
        <v>186</v>
      </c>
      <c r="B193" s="31" t="n">
        <f aca="false">Assumptions!$B$4+A193/12</f>
        <v>80.5</v>
      </c>
      <c r="C193" s="34" t="n">
        <f aca="false">Assumptions!$B$4+INT(A193/12)</f>
        <v>80</v>
      </c>
      <c r="D193" s="34" t="n">
        <f aca="false">INT(A193/12)+1</f>
        <v>16</v>
      </c>
      <c r="E193" s="32" t="n">
        <f aca="false">IFERROR(INDEX(Cohort_Survival!$G$5:$G$65,MATCH(C193,Cohort_Survival!$A$5:$A$65,0)),1)</f>
        <v>0.027054541831976</v>
      </c>
      <c r="F193" s="30" t="n">
        <f aca="false">1-(1-MIN(1,E193))^(1/12)</f>
        <v>0.00228299446937352</v>
      </c>
      <c r="G193" s="39" t="n">
        <f aca="false">IF(C193&lt;Assumptions!$B$5,IF(D193=1,Assumptions!$B$16,IF(D193=2,Assumptions!$B$17,IF(D193&lt;=5,Assumptions!$B$18,Assumptions!$B$19)))*(1-Assumptions!$B$20),0)</f>
        <v>0</v>
      </c>
      <c r="H193" s="30" t="n">
        <f aca="false">1-(1-G193)^(1/12)</f>
        <v>0</v>
      </c>
      <c r="I193" s="30" t="n">
        <f aca="false">I192*(1-F192)*(1-H192)</f>
        <v>0.678314750559754</v>
      </c>
      <c r="J193" s="30" t="n">
        <f aca="false">INDEX(Discount_Monthly!$G$4:$G$664,MATCH(A193,Discount_Monthly!$A$4:$A$664,0))</f>
        <v>0.620805474894425</v>
      </c>
      <c r="K193" s="30" t="n">
        <f aca="false">IF(C193&lt;Assumptions!$B$5,I193*J193,0)</f>
        <v>0</v>
      </c>
      <c r="L193" s="30" t="n">
        <f aca="false">IF(C193&lt;Assumptions!$B$5,I193*(1-F193)*H193*A193*J193,0)</f>
        <v>0</v>
      </c>
      <c r="M193" s="30" t="n">
        <f aca="false">IF(A193=0,Assumptions!$B$14*12*I193*J193,IF(AND(A193&gt;=12,C193&lt;Assumptions!$B$5),Assumptions!$B$15*I193*J193,0))</f>
        <v>0</v>
      </c>
      <c r="N193" s="47" t="n">
        <f aca="false">IF(C193&gt;=Assumptions!$B$5,I193*Assumptions!$B$9/12*(1+Assumptions!$B$10)^INT(A193/12)*J193,0)</f>
        <v>755.662920896419</v>
      </c>
      <c r="O193" s="47" t="n">
        <f aca="false">I193*Assumptions!$B$12/12*(1+Assumptions!$B$11)^(INT(A193/12)+1)*J193</f>
        <v>4.16751706482803</v>
      </c>
      <c r="P193" s="47" t="n">
        <f aca="false">O193+Pricing_M!$B$13*M193+N193-Pricing_M!$B$13*K193</f>
        <v>759.830437961247</v>
      </c>
      <c r="Q193" s="47" t="n">
        <f aca="false">IF(C193&lt;Assumptions!$B$5,Pricing_M!$B$13*K193-Pricing_M!$B$13*M193-O193,-(N193+O193))</f>
        <v>-759.830437961247</v>
      </c>
      <c r="R193" s="32" t="n">
        <f aca="false">R192*(1-(1-(1-MIN(1,E192*(1-Assumptions!$B$21)))^(1/12)))*(1-H192)</f>
        <v>0.705204283351854</v>
      </c>
      <c r="S193" s="47" t="n">
        <f aca="false">R193*(IF(C193&lt;Assumptions!$B$5,Assumptions!$B$12*(1+Assumptions!$B$11)^(INT(A193/12)+1)/12+Pricing_M!$B$13*IF(A193=0,Assumptions!$B$14*12,IF(A193&gt;=12,Assumptions!$B$15,0))-Pricing_M!$B$13,Assumptions!$B$9/12*(1+Assumptions!$B$10)^INT(A193/12)+Assumptions!$B$12*(1+Assumptions!$B$11)^(INT(A193/12)+1)/12))*J193</f>
        <v>789.951389129026</v>
      </c>
      <c r="T193" s="32" t="n">
        <f aca="false">T192*(1-F192)*(1-(1-(1-MIN(1,G192*(1+Assumptions!$B$23)))^(1/12)))</f>
        <v>0.61447098787296</v>
      </c>
      <c r="U193" s="47" t="n">
        <f aca="false">T193*(IF(C193&lt;Assumptions!$B$5,Assumptions!$B$12*(1+Assumptions!$B$11)^(INT(A193/12)+1)/12+Pricing_M!$B$13*IF(A193=0,Assumptions!$B$14*12,IF(A193&gt;=12,Assumptions!$B$15,0))-Pricing_M!$B$13,Assumptions!$B$9/12*(1+Assumptions!$B$10)^INT(A193/12)+Assumptions!$B$12*(1+Assumptions!$B$11)^(INT(A193/12)+1)/12))*J193</f>
        <v>688.314325237221</v>
      </c>
      <c r="V193" s="32" t="n">
        <f aca="false">V192*(1-F192)*(1-(1-(1-MIN(1,G192*(1-Assumptions!$B$23)))^(1/12)))</f>
        <v>0.74810487699838</v>
      </c>
      <c r="W193" s="47" t="n">
        <f aca="false">V193*(IF(C193&lt;Assumptions!$B$5,Assumptions!$B$12*(1+Assumptions!$B$11)^(INT(A193/12)+1)/12+Pricing_M!$B$13*IF(A193=0,Assumptions!$B$14*12,IF(A193&gt;=12,Assumptions!$B$15,0))-Pricing_M!$B$13,Assumptions!$B$9/12*(1+Assumptions!$B$10)^INT(A193/12)+Assumptions!$B$12*(1+Assumptions!$B$11)^(INT(A193/12)+1)/12))*J193</f>
        <v>838.007511795292</v>
      </c>
      <c r="X193" s="47" t="n">
        <f aca="false">I193*(IF(C193&lt;Assumptions!$B$5,Assumptions!$B$12*(1+Assumptions!$B$11)*(1+Assumptions!$B$24)*(1+Assumptions!$B$11+Assumptions!$B$25)^(INT(A193/12))/12+Pricing_M!$B$13*IF(A193=0,Assumptions!$B$14*12,IF(A193&gt;=12,Assumptions!$B$15,0))-Pricing_M!$B$13,Assumptions!$B$9/12*(1+Assumptions!$B$10)^INT(A193/12)+Assumptions!$B$12*(1+Assumptions!$B$11)*(1+Assumptions!$B$24)*(1+Assumptions!$B$11+Assumptions!$B$25)^(INT(A193/12))/12))*J193</f>
        <v>760.965868523868</v>
      </c>
    </row>
    <row r="194" customFormat="false" ht="15" hidden="false" customHeight="true" outlineLevel="0" collapsed="false">
      <c r="A194" s="1" t="n">
        <v>187</v>
      </c>
      <c r="B194" s="31" t="n">
        <f aca="false">Assumptions!$B$4+A194/12</f>
        <v>80.5833333333333</v>
      </c>
      <c r="C194" s="34" t="n">
        <f aca="false">Assumptions!$B$4+INT(A194/12)</f>
        <v>80</v>
      </c>
      <c r="D194" s="34" t="n">
        <f aca="false">INT(A194/12)+1</f>
        <v>16</v>
      </c>
      <c r="E194" s="32" t="n">
        <f aca="false">IFERROR(INDEX(Cohort_Survival!$G$5:$G$65,MATCH(C194,Cohort_Survival!$A$5:$A$65,0)),1)</f>
        <v>0.027054541831976</v>
      </c>
      <c r="F194" s="30" t="n">
        <f aca="false">1-(1-MIN(1,E194))^(1/12)</f>
        <v>0.00228299446937352</v>
      </c>
      <c r="G194" s="39" t="n">
        <f aca="false">IF(C194&lt;Assumptions!$B$5,IF(D194=1,Assumptions!$B$16,IF(D194=2,Assumptions!$B$17,IF(D194&lt;=5,Assumptions!$B$18,Assumptions!$B$19)))*(1-Assumptions!$B$20),0)</f>
        <v>0</v>
      </c>
      <c r="H194" s="30" t="n">
        <f aca="false">1-(1-G194)^(1/12)</f>
        <v>0</v>
      </c>
      <c r="I194" s="30" t="n">
        <f aca="false">I193*(1-F193)*(1-H193)</f>
        <v>0.676766161735732</v>
      </c>
      <c r="J194" s="30" t="n">
        <f aca="false">INDEX(Discount_Monthly!$G$4:$G$664,MATCH(A194,Discount_Monthly!$A$4:$A$664,0))</f>
        <v>0.618968439031411</v>
      </c>
      <c r="K194" s="30" t="n">
        <f aca="false">IF(C194&lt;Assumptions!$B$5,I194*J194,0)</f>
        <v>0</v>
      </c>
      <c r="L194" s="30" t="n">
        <f aca="false">IF(C194&lt;Assumptions!$B$5,I194*(1-F194)*H194*A194*J194,0)</f>
        <v>0</v>
      </c>
      <c r="M194" s="30" t="n">
        <f aca="false">IF(A194=0,Assumptions!$B$14*12*I194*J194,IF(AND(A194&gt;=12,C194&lt;Assumptions!$B$5),Assumptions!$B$15*I194*J194,0))</f>
        <v>0</v>
      </c>
      <c r="N194" s="47" t="n">
        <f aca="false">IF(C194&gt;=Assumptions!$B$5,I194*Assumptions!$B$9/12*(1+Assumptions!$B$10)^INT(A194/12)*J194,0)</f>
        <v>751.70675683252</v>
      </c>
      <c r="O194" s="47" t="n">
        <f aca="false">I194*Assumptions!$B$12/12*(1+Assumptions!$B$11)^(INT(A194/12)+1)*J194</f>
        <v>4.14569863124921</v>
      </c>
      <c r="P194" s="47" t="n">
        <f aca="false">O194+Pricing_M!$B$13*M194+N194-Pricing_M!$B$13*K194</f>
        <v>755.852455463769</v>
      </c>
      <c r="Q194" s="47" t="n">
        <f aca="false">IF(C194&lt;Assumptions!$B$5,Pricing_M!$B$13*K194-Pricing_M!$B$13*M194-O194,-(N194+O194))</f>
        <v>-755.852455463769</v>
      </c>
      <c r="R194" s="32" t="n">
        <f aca="false">R193*(1-(1-(1-MIN(1,E193*(1-Assumptions!$B$21)))^(1/12)))*(1-H193)</f>
        <v>0.703919556594819</v>
      </c>
      <c r="S194" s="47" t="n">
        <f aca="false">R194*(IF(C194&lt;Assumptions!$B$5,Assumptions!$B$12*(1+Assumptions!$B$11)^(INT(A194/12)+1)/12+Pricing_M!$B$13*IF(A194=0,Assumptions!$B$14*12,IF(A194&gt;=12,Assumptions!$B$15,0))-Pricing_M!$B$13,Assumptions!$B$9/12*(1+Assumptions!$B$10)^INT(A194/12)+Assumptions!$B$12*(1+Assumptions!$B$11)^(INT(A194/12)+1)/12))*J194</f>
        <v>786.17897197544</v>
      </c>
      <c r="T194" s="32" t="n">
        <f aca="false">T193*(1-F193)*(1-(1-(1-MIN(1,G193*(1+Assumptions!$B$23)))^(1/12)))</f>
        <v>0.613068154006055</v>
      </c>
      <c r="U194" s="47" t="n">
        <f aca="false">T194*(IF(C194&lt;Assumptions!$B$5,Assumptions!$B$12*(1+Assumptions!$B$11)^(INT(A194/12)+1)/12+Pricing_M!$B$13*IF(A194=0,Assumptions!$B$14*12,IF(A194&gt;=12,Assumptions!$B$15,0))-Pricing_M!$B$13,Assumptions!$B$9/12*(1+Assumptions!$B$10)^INT(A194/12)+Assumptions!$B$12*(1+Assumptions!$B$11)^(INT(A194/12)+1)/12))*J194</f>
        <v>684.710755017129</v>
      </c>
      <c r="V194" s="32" t="n">
        <f aca="false">V193*(1-F193)*(1-(1-(1-MIN(1,G193*(1-Assumptions!$B$23)))^(1/12)))</f>
        <v>0.746396957701681</v>
      </c>
      <c r="W194" s="47" t="n">
        <f aca="false">V194*(IF(C194&lt;Assumptions!$B$5,Assumptions!$B$12*(1+Assumptions!$B$11)^(INT(A194/12)+1)/12+Pricing_M!$B$13*IF(A194=0,Assumptions!$B$14*12,IF(A194&gt;=12,Assumptions!$B$15,0))-Pricing_M!$B$13,Assumptions!$B$9/12*(1+Assumptions!$B$10)^INT(A194/12)+Assumptions!$B$12*(1+Assumptions!$B$11)^(INT(A194/12)+1)/12))*J194</f>
        <v>833.620244520739</v>
      </c>
      <c r="X194" s="47" t="n">
        <f aca="false">I194*(IF(C194&lt;Assumptions!$B$5,Assumptions!$B$12*(1+Assumptions!$B$11)*(1+Assumptions!$B$24)*(1+Assumptions!$B$11+Assumptions!$B$25)^(INT(A194/12))/12+Pricing_M!$B$13*IF(A194=0,Assumptions!$B$14*12,IF(A194&gt;=12,Assumptions!$B$15,0))-Pricing_M!$B$13,Assumptions!$B$9/12*(1+Assumptions!$B$10)^INT(A194/12)+Assumptions!$B$12*(1+Assumptions!$B$11)*(1+Assumptions!$B$24)*(1+Assumptions!$B$11+Assumptions!$B$25)^(INT(A194/12))/12))*J194</f>
        <v>756.981941643697</v>
      </c>
    </row>
    <row r="195" customFormat="false" ht="15" hidden="false" customHeight="true" outlineLevel="0" collapsed="false">
      <c r="A195" s="1" t="n">
        <v>188</v>
      </c>
      <c r="B195" s="31" t="n">
        <f aca="false">Assumptions!$B$4+A195/12</f>
        <v>80.6666666666667</v>
      </c>
      <c r="C195" s="34" t="n">
        <f aca="false">Assumptions!$B$4+INT(A195/12)</f>
        <v>80</v>
      </c>
      <c r="D195" s="34" t="n">
        <f aca="false">INT(A195/12)+1</f>
        <v>16</v>
      </c>
      <c r="E195" s="32" t="n">
        <f aca="false">IFERROR(INDEX(Cohort_Survival!$G$5:$G$65,MATCH(C195,Cohort_Survival!$A$5:$A$65,0)),1)</f>
        <v>0.027054541831976</v>
      </c>
      <c r="F195" s="30" t="n">
        <f aca="false">1-(1-MIN(1,E195))^(1/12)</f>
        <v>0.00228299446937352</v>
      </c>
      <c r="G195" s="39" t="n">
        <f aca="false">IF(C195&lt;Assumptions!$B$5,IF(D195=1,Assumptions!$B$16,IF(D195=2,Assumptions!$B$17,IF(D195&lt;=5,Assumptions!$B$18,Assumptions!$B$19)))*(1-Assumptions!$B$20),0)</f>
        <v>0</v>
      </c>
      <c r="H195" s="30" t="n">
        <f aca="false">1-(1-G195)^(1/12)</f>
        <v>0</v>
      </c>
      <c r="I195" s="30" t="n">
        <f aca="false">I194*(1-F194)*(1-H194)</f>
        <v>0.67522110833143</v>
      </c>
      <c r="J195" s="30" t="n">
        <f aca="false">INDEX(Discount_Monthly!$G$4:$G$664,MATCH(A195,Discount_Monthly!$A$4:$A$664,0))</f>
        <v>0.617136839171942</v>
      </c>
      <c r="K195" s="30" t="n">
        <f aca="false">IF(C195&lt;Assumptions!$B$5,I195*J195,0)</f>
        <v>0</v>
      </c>
      <c r="L195" s="30" t="n">
        <f aca="false">IF(C195&lt;Assumptions!$B$5,I195*(1-F195)*H195*A195*J195,0)</f>
        <v>0</v>
      </c>
      <c r="M195" s="30" t="n">
        <f aca="false">IF(A195=0,Assumptions!$B$14*12*I195*J195,IF(AND(A195&gt;=12,C195&lt;Assumptions!$B$5),Assumptions!$B$15*I195*J195,0))</f>
        <v>0</v>
      </c>
      <c r="N195" s="47" t="n">
        <f aca="false">IF(C195&gt;=Assumptions!$B$5,I195*Assumptions!$B$9/12*(1+Assumptions!$B$10)^INT(A195/12)*J195,0)</f>
        <v>747.771304694095</v>
      </c>
      <c r="O195" s="47" t="n">
        <f aca="false">I195*Assumptions!$B$12/12*(1+Assumptions!$B$11)^(INT(A195/12)+1)*J195</f>
        <v>4.12399442492763</v>
      </c>
      <c r="P195" s="47" t="n">
        <f aca="false">O195+Pricing_M!$B$13*M195+N195-Pricing_M!$B$13*K195</f>
        <v>751.895299119022</v>
      </c>
      <c r="Q195" s="47" t="n">
        <f aca="false">IF(C195&lt;Assumptions!$B$5,Pricing_M!$B$13*K195-Pricing_M!$B$13*M195-O195,-(N195+O195))</f>
        <v>-751.895299119022</v>
      </c>
      <c r="R195" s="32" t="n">
        <f aca="false">R194*(1-(1-(1-MIN(1,E194*(1-Assumptions!$B$21)))^(1/12)))*(1-H194)</f>
        <v>0.702637170326745</v>
      </c>
      <c r="S195" s="47" t="n">
        <f aca="false">R195*(IF(C195&lt;Assumptions!$B$5,Assumptions!$B$12*(1+Assumptions!$B$11)^(INT(A195/12)+1)/12+Pricing_M!$B$13*IF(A195=0,Assumptions!$B$14*12,IF(A195&gt;=12,Assumptions!$B$15,0))-Pricing_M!$B$13,Assumptions!$B$9/12*(1+Assumptions!$B$10)^INT(A195/12)+Assumptions!$B$12*(1+Assumptions!$B$11)^(INT(A195/12)+1)/12))*J195</f>
        <v>782.424570020481</v>
      </c>
      <c r="T195" s="32" t="n">
        <f aca="false">T194*(1-F194)*(1-(1-(1-MIN(1,G194*(1+Assumptions!$B$23)))^(1/12)))</f>
        <v>0.611668522801111</v>
      </c>
      <c r="U195" s="47" t="n">
        <f aca="false">T195*(IF(C195&lt;Assumptions!$B$5,Assumptions!$B$12*(1+Assumptions!$B$11)^(INT(A195/12)+1)/12+Pricing_M!$B$13*IF(A195=0,Assumptions!$B$14*12,IF(A195&gt;=12,Assumptions!$B$15,0))-Pricing_M!$B$13,Assumptions!$B$9/12*(1+Assumptions!$B$10)^INT(A195/12)+Assumptions!$B$12*(1+Assumptions!$B$11)^(INT(A195/12)+1)/12))*J195</f>
        <v>681.126050768375</v>
      </c>
      <c r="V195" s="32" t="n">
        <f aca="false">V194*(1-F194)*(1-(1-(1-MIN(1,G194*(1-Assumptions!$B$23)))^(1/12)))</f>
        <v>0.744692937575291</v>
      </c>
      <c r="W195" s="47" t="n">
        <f aca="false">V195*(IF(C195&lt;Assumptions!$B$5,Assumptions!$B$12*(1+Assumptions!$B$11)^(INT(A195/12)+1)/12+Pricing_M!$B$13*IF(A195=0,Assumptions!$B$14*12,IF(A195&gt;=12,Assumptions!$B$15,0))-Pricing_M!$B$13,Assumptions!$B$9/12*(1+Assumptions!$B$10)^INT(A195/12)+Assumptions!$B$12*(1+Assumptions!$B$11)^(INT(A195/12)+1)/12))*J195</f>
        <v>829.255946150245</v>
      </c>
      <c r="X195" s="47" t="n">
        <f aca="false">I195*(IF(C195&lt;Assumptions!$B$5,Assumptions!$B$12*(1+Assumptions!$B$11)*(1+Assumptions!$B$24)*(1+Assumptions!$B$11+Assumptions!$B$25)^(INT(A195/12))/12+Pricing_M!$B$13*IF(A195=0,Assumptions!$B$14*12,IF(A195&gt;=12,Assumptions!$B$15,0))-Pricing_M!$B$13,Assumptions!$B$9/12*(1+Assumptions!$B$10)^INT(A195/12)+Assumptions!$B$12*(1+Assumptions!$B$11)*(1+Assumptions!$B$24)*(1+Assumptions!$B$11+Assumptions!$B$25)^(INT(A195/12))/12))*J195</f>
        <v>753.018872037213</v>
      </c>
    </row>
    <row r="196" customFormat="false" ht="15" hidden="false" customHeight="true" outlineLevel="0" collapsed="false">
      <c r="A196" s="1" t="n">
        <v>189</v>
      </c>
      <c r="B196" s="31" t="n">
        <f aca="false">Assumptions!$B$4+A196/12</f>
        <v>80.75</v>
      </c>
      <c r="C196" s="34" t="n">
        <f aca="false">Assumptions!$B$4+INT(A196/12)</f>
        <v>80</v>
      </c>
      <c r="D196" s="34" t="n">
        <f aca="false">INT(A196/12)+1</f>
        <v>16</v>
      </c>
      <c r="E196" s="32" t="n">
        <f aca="false">IFERROR(INDEX(Cohort_Survival!$G$5:$G$65,MATCH(C196,Cohort_Survival!$A$5:$A$65,0)),1)</f>
        <v>0.027054541831976</v>
      </c>
      <c r="F196" s="30" t="n">
        <f aca="false">1-(1-MIN(1,E196))^(1/12)</f>
        <v>0.00228299446937352</v>
      </c>
      <c r="G196" s="39" t="n">
        <f aca="false">IF(C196&lt;Assumptions!$B$5,IF(D196=1,Assumptions!$B$16,IF(D196=2,Assumptions!$B$17,IF(D196&lt;=5,Assumptions!$B$18,Assumptions!$B$19)))*(1-Assumptions!$B$20),0)</f>
        <v>0</v>
      </c>
      <c r="H196" s="30" t="n">
        <f aca="false">1-(1-G196)^(1/12)</f>
        <v>0</v>
      </c>
      <c r="I196" s="30" t="n">
        <f aca="false">I195*(1-F195)*(1-H195)</f>
        <v>0.673679582275505</v>
      </c>
      <c r="J196" s="30" t="n">
        <f aca="false">INDEX(Discount_Monthly!$G$4:$G$664,MATCH(A196,Discount_Monthly!$A$4:$A$664,0))</f>
        <v>0.615310659230248</v>
      </c>
      <c r="K196" s="30" t="n">
        <f aca="false">IF(C196&lt;Assumptions!$B$5,I196*J196,0)</f>
        <v>0</v>
      </c>
      <c r="L196" s="30" t="n">
        <f aca="false">IF(C196&lt;Assumptions!$B$5,I196*(1-F196)*H196*A196*J196,0)</f>
        <v>0</v>
      </c>
      <c r="M196" s="30" t="n">
        <f aca="false">IF(A196=0,Assumptions!$B$14*12*I196*J196,IF(AND(A196&gt;=12,C196&lt;Assumptions!$B$5),Assumptions!$B$15*I196*J196,0))</f>
        <v>0</v>
      </c>
      <c r="N196" s="47" t="n">
        <f aca="false">IF(C196&gt;=Assumptions!$B$5,I196*Assumptions!$B$9/12*(1+Assumptions!$B$10)^INT(A196/12)*J196,0)</f>
        <v>743.856456046848</v>
      </c>
      <c r="O196" s="47" t="n">
        <f aca="false">I196*Assumptions!$B$12/12*(1+Assumptions!$B$11)^(INT(A196/12)+1)*J196</f>
        <v>4.10240384784299</v>
      </c>
      <c r="P196" s="47" t="n">
        <f aca="false">O196+Pricing_M!$B$13*M196+N196-Pricing_M!$B$13*K196</f>
        <v>747.958859894691</v>
      </c>
      <c r="Q196" s="47" t="n">
        <f aca="false">IF(C196&lt;Assumptions!$B$5,Pricing_M!$B$13*K196-Pricing_M!$B$13*M196-O196,-(N196+O196))</f>
        <v>-747.958859894691</v>
      </c>
      <c r="R196" s="32" t="n">
        <f aca="false">R195*(1-(1-(1-MIN(1,E195*(1-Assumptions!$B$21)))^(1/12)))*(1-H195)</f>
        <v>0.701357120283777</v>
      </c>
      <c r="S196" s="47" t="n">
        <f aca="false">R196*(IF(C196&lt;Assumptions!$B$5,Assumptions!$B$12*(1+Assumptions!$B$11)^(INT(A196/12)+1)/12+Pricing_M!$B$13*IF(A196=0,Assumptions!$B$14*12,IF(A196&gt;=12,Assumptions!$B$15,0))-Pricing_M!$B$13,Assumptions!$B$9/12*(1+Assumptions!$B$10)^INT(A196/12)+Assumptions!$B$12*(1+Assumptions!$B$11)^(INT(A196/12)+1)/12))*J196</f>
        <v>778.688097232469</v>
      </c>
      <c r="T196" s="32" t="n">
        <f aca="false">T195*(1-F195)*(1-(1-(1-MIN(1,G195*(1+Assumptions!$B$23)))^(1/12)))</f>
        <v>0.610272086946466</v>
      </c>
      <c r="U196" s="47" t="n">
        <f aca="false">T196*(IF(C196&lt;Assumptions!$B$5,Assumptions!$B$12*(1+Assumptions!$B$11)^(INT(A196/12)+1)/12+Pricing_M!$B$13*IF(A196=0,Assumptions!$B$14*12,IF(A196&gt;=12,Assumptions!$B$15,0))-Pricing_M!$B$13,Assumptions!$B$9/12*(1+Assumptions!$B$10)^INT(A196/12)+Assumptions!$B$12*(1+Assumptions!$B$11)^(INT(A196/12)+1)/12))*J196</f>
        <v>677.56011372089</v>
      </c>
      <c r="V196" s="32" t="n">
        <f aca="false">V195*(1-F195)*(1-(1-(1-MIN(1,G195*(1-Assumptions!$B$23)))^(1/12)))</f>
        <v>0.742992807717425</v>
      </c>
      <c r="W196" s="47" t="n">
        <f aca="false">V196*(IF(C196&lt;Assumptions!$B$5,Assumptions!$B$12*(1+Assumptions!$B$11)^(INT(A196/12)+1)/12+Pricing_M!$B$13*IF(A196=0,Assumptions!$B$14*12,IF(A196&gt;=12,Assumptions!$B$15,0))-Pricing_M!$B$13,Assumptions!$B$9/12*(1+Assumptions!$B$10)^INT(A196/12)+Assumptions!$B$12*(1+Assumptions!$B$11)^(INT(A196/12)+1)/12))*J196</f>
        <v>824.914496433429</v>
      </c>
      <c r="X196" s="47" t="n">
        <f aca="false">I196*(IF(C196&lt;Assumptions!$B$5,Assumptions!$B$12*(1+Assumptions!$B$11)*(1+Assumptions!$B$24)*(1+Assumptions!$B$11+Assumptions!$B$25)^(INT(A196/12))/12+Pricing_M!$B$13*IF(A196=0,Assumptions!$B$14*12,IF(A196&gt;=12,Assumptions!$B$15,0))-Pricing_M!$B$13,Assumptions!$B$9/12*(1+Assumptions!$B$10)^INT(A196/12)+Assumptions!$B$12*(1+Assumptions!$B$11)*(1+Assumptions!$B$24)*(1+Assumptions!$B$11+Assumptions!$B$25)^(INT(A196/12))/12))*J196</f>
        <v>749.076550509173</v>
      </c>
    </row>
    <row r="197" customFormat="false" ht="15" hidden="false" customHeight="true" outlineLevel="0" collapsed="false">
      <c r="A197" s="1" t="n">
        <v>190</v>
      </c>
      <c r="B197" s="31" t="n">
        <f aca="false">Assumptions!$B$4+A197/12</f>
        <v>80.8333333333333</v>
      </c>
      <c r="C197" s="34" t="n">
        <f aca="false">Assumptions!$B$4+INT(A197/12)</f>
        <v>80</v>
      </c>
      <c r="D197" s="34" t="n">
        <f aca="false">INT(A197/12)+1</f>
        <v>16</v>
      </c>
      <c r="E197" s="32" t="n">
        <f aca="false">IFERROR(INDEX(Cohort_Survival!$G$5:$G$65,MATCH(C197,Cohort_Survival!$A$5:$A$65,0)),1)</f>
        <v>0.027054541831976</v>
      </c>
      <c r="F197" s="30" t="n">
        <f aca="false">1-(1-MIN(1,E197))^(1/12)</f>
        <v>0.00228299446937352</v>
      </c>
      <c r="G197" s="39" t="n">
        <f aca="false">IF(C197&lt;Assumptions!$B$5,IF(D197=1,Assumptions!$B$16,IF(D197=2,Assumptions!$B$17,IF(D197&lt;=5,Assumptions!$B$18,Assumptions!$B$19)))*(1-Assumptions!$B$20),0)</f>
        <v>0</v>
      </c>
      <c r="H197" s="30" t="n">
        <f aca="false">1-(1-G197)^(1/12)</f>
        <v>0</v>
      </c>
      <c r="I197" s="30" t="n">
        <f aca="false">I196*(1-F196)*(1-H196)</f>
        <v>0.67214157551504</v>
      </c>
      <c r="J197" s="30" t="n">
        <f aca="false">INDEX(Discount_Monthly!$G$4:$G$664,MATCH(A197,Discount_Monthly!$A$4:$A$664,0))</f>
        <v>0.613489883168161</v>
      </c>
      <c r="K197" s="30" t="n">
        <f aca="false">IF(C197&lt;Assumptions!$B$5,I197*J197,0)</f>
        <v>0</v>
      </c>
      <c r="L197" s="30" t="n">
        <f aca="false">IF(C197&lt;Assumptions!$B$5,I197*(1-F197)*H197*A197*J197,0)</f>
        <v>0</v>
      </c>
      <c r="M197" s="30" t="n">
        <f aca="false">IF(A197=0,Assumptions!$B$14*12*I197*J197,IF(AND(A197&gt;=12,C197&lt;Assumptions!$B$5),Assumptions!$B$15*I197*J197,0))</f>
        <v>0</v>
      </c>
      <c r="N197" s="47" t="n">
        <f aca="false">IF(C197&gt;=Assumptions!$B$5,I197*Assumptions!$B$9/12*(1+Assumptions!$B$10)^INT(A197/12)*J197,0)</f>
        <v>739.962103024179</v>
      </c>
      <c r="O197" s="47" t="n">
        <f aca="false">I197*Assumptions!$B$12/12*(1+Assumptions!$B$11)^(INT(A197/12)+1)*J197</f>
        <v>4.08092630510584</v>
      </c>
      <c r="P197" s="47" t="n">
        <f aca="false">O197+Pricing_M!$B$13*M197+N197-Pricing_M!$B$13*K197</f>
        <v>744.043029329285</v>
      </c>
      <c r="Q197" s="47" t="n">
        <f aca="false">IF(C197&lt;Assumptions!$B$5,Pricing_M!$B$13*K197-Pricing_M!$B$13*M197-O197,-(N197+O197))</f>
        <v>-744.043029329285</v>
      </c>
      <c r="R197" s="32" t="n">
        <f aca="false">R196*(1-(1-(1-MIN(1,E196*(1-Assumptions!$B$21)))^(1/12)))*(1-H196)</f>
        <v>0.700079402209827</v>
      </c>
      <c r="S197" s="47" t="n">
        <f aca="false">R197*(IF(C197&lt;Assumptions!$B$5,Assumptions!$B$12*(1+Assumptions!$B$11)^(INT(A197/12)+1)/12+Pricing_M!$B$13*IF(A197=0,Assumptions!$B$14*12,IF(A197&gt;=12,Assumptions!$B$15,0))-Pricing_M!$B$13,Assumptions!$B$9/12*(1+Assumptions!$B$10)^INT(A197/12)+Assumptions!$B$12*(1+Assumptions!$B$11)^(INT(A197/12)+1)/12))*J197</f>
        <v>774.969467990572</v>
      </c>
      <c r="T197" s="32" t="n">
        <f aca="false">T196*(1-F196)*(1-(1-(1-MIN(1,G196*(1+Assumptions!$B$23)))^(1/12)))</f>
        <v>0.608878839147154</v>
      </c>
      <c r="U197" s="47" t="n">
        <f aca="false">T197*(IF(C197&lt;Assumptions!$B$5,Assumptions!$B$12*(1+Assumptions!$B$11)^(INT(A197/12)+1)/12+Pricing_M!$B$13*IF(A197=0,Assumptions!$B$14*12,IF(A197&gt;=12,Assumptions!$B$15,0))-Pricing_M!$B$13,Assumptions!$B$9/12*(1+Assumptions!$B$10)^INT(A197/12)+Assumptions!$B$12*(1+Assumptions!$B$11)^(INT(A197/12)+1)/12))*J197</f>
        <v>674.012845621703</v>
      </c>
      <c r="V197" s="32" t="n">
        <f aca="false">V196*(1-F196)*(1-(1-(1-MIN(1,G196*(1-Assumptions!$B$23)))^(1/12)))</f>
        <v>0.741296559246622</v>
      </c>
      <c r="W197" s="47" t="n">
        <f aca="false">V197*(IF(C197&lt;Assumptions!$B$5,Assumptions!$B$12*(1+Assumptions!$B$11)^(INT(A197/12)+1)/12+Pricing_M!$B$13*IF(A197=0,Assumptions!$B$14*12,IF(A197&gt;=12,Assumptions!$B$15,0))-Pricing_M!$B$13,Assumptions!$B$9/12*(1+Assumptions!$B$10)^INT(A197/12)+Assumptions!$B$12*(1+Assumptions!$B$11)^(INT(A197/12)+1)/12))*J197</f>
        <v>820.595775749466</v>
      </c>
      <c r="X197" s="47" t="n">
        <f aca="false">I197*(IF(C197&lt;Assumptions!$B$5,Assumptions!$B$12*(1+Assumptions!$B$11)*(1+Assumptions!$B$24)*(1+Assumptions!$B$11+Assumptions!$B$25)^(INT(A197/12))/12+Pricing_M!$B$13*IF(A197=0,Assumptions!$B$14*12,IF(A197&gt;=12,Assumptions!$B$15,0))-Pricing_M!$B$13,Assumptions!$B$9/12*(1+Assumptions!$B$10)^INT(A197/12)+Assumptions!$B$12*(1+Assumptions!$B$11)*(1+Assumptions!$B$24)*(1+Assumptions!$B$11+Assumptions!$B$25)^(INT(A197/12))/12))*J197</f>
        <v>745.15486843601</v>
      </c>
    </row>
    <row r="198" customFormat="false" ht="15" hidden="false" customHeight="true" outlineLevel="0" collapsed="false">
      <c r="A198" s="1" t="n">
        <v>191</v>
      </c>
      <c r="B198" s="31" t="n">
        <f aca="false">Assumptions!$B$4+A198/12</f>
        <v>80.9166666666667</v>
      </c>
      <c r="C198" s="34" t="n">
        <f aca="false">Assumptions!$B$4+INT(A198/12)</f>
        <v>80</v>
      </c>
      <c r="D198" s="34" t="n">
        <f aca="false">INT(A198/12)+1</f>
        <v>16</v>
      </c>
      <c r="E198" s="32" t="n">
        <f aca="false">IFERROR(INDEX(Cohort_Survival!$G$5:$G$65,MATCH(C198,Cohort_Survival!$A$5:$A$65,0)),1)</f>
        <v>0.027054541831976</v>
      </c>
      <c r="F198" s="30" t="n">
        <f aca="false">1-(1-MIN(1,E198))^(1/12)</f>
        <v>0.00228299446937352</v>
      </c>
      <c r="G198" s="39" t="n">
        <f aca="false">IF(C198&lt;Assumptions!$B$5,IF(D198=1,Assumptions!$B$16,IF(D198=2,Assumptions!$B$17,IF(D198&lt;=5,Assumptions!$B$18,Assumptions!$B$19)))*(1-Assumptions!$B$20),0)</f>
        <v>0</v>
      </c>
      <c r="H198" s="30" t="n">
        <f aca="false">1-(1-G198)^(1/12)</f>
        <v>0</v>
      </c>
      <c r="I198" s="30" t="n">
        <f aca="false">I197*(1-F197)*(1-H197)</f>
        <v>0.670607080015503</v>
      </c>
      <c r="J198" s="30" t="n">
        <f aca="false">INDEX(Discount_Monthly!$G$4:$G$664,MATCH(A198,Discount_Monthly!$A$4:$A$664,0))</f>
        <v>0.611674494994969</v>
      </c>
      <c r="K198" s="30" t="n">
        <f aca="false">IF(C198&lt;Assumptions!$B$5,I198*J198,0)</f>
        <v>0</v>
      </c>
      <c r="L198" s="30" t="n">
        <f aca="false">IF(C198&lt;Assumptions!$B$5,I198*(1-F198)*H198*A198*J198,0)</f>
        <v>0</v>
      </c>
      <c r="M198" s="30" t="n">
        <f aca="false">IF(A198=0,Assumptions!$B$14*12*I198*J198,IF(AND(A198&gt;=12,C198&lt;Assumptions!$B$5),Assumptions!$B$15*I198*J198,0))</f>
        <v>0</v>
      </c>
      <c r="N198" s="47" t="n">
        <f aca="false">IF(C198&gt;=Assumptions!$B$5,I198*Assumptions!$B$9/12*(1+Assumptions!$B$10)^INT(A198/12)*J198,0)</f>
        <v>736.088138324206</v>
      </c>
      <c r="O198" s="47" t="n">
        <f aca="false">I198*Assumptions!$B$12/12*(1+Assumptions!$B$11)^(INT(A198/12)+1)*J198</f>
        <v>4.05956120494117</v>
      </c>
      <c r="P198" s="47" t="n">
        <f aca="false">O198+Pricing_M!$B$13*M198+N198-Pricing_M!$B$13*K198</f>
        <v>740.147699529147</v>
      </c>
      <c r="Q198" s="47" t="n">
        <f aca="false">IF(C198&lt;Assumptions!$B$5,Pricing_M!$B$13*K198-Pricing_M!$B$13*M198-O198,-(N198+O198))</f>
        <v>-740.147699529147</v>
      </c>
      <c r="R198" s="32" t="n">
        <f aca="false">R197*(1-(1-(1-MIN(1,E197*(1-Assumptions!$B$21)))^(1/12)))*(1-H197)</f>
        <v>0.698804011856563</v>
      </c>
      <c r="S198" s="47" t="n">
        <f aca="false">R198*(IF(C198&lt;Assumptions!$B$5,Assumptions!$B$12*(1+Assumptions!$B$11)^(INT(A198/12)+1)/12+Pricing_M!$B$13*IF(A198=0,Assumptions!$B$14*12,IF(A198&gt;=12,Assumptions!$B$15,0))-Pricing_M!$B$13,Assumptions!$B$9/12*(1+Assumptions!$B$10)^INT(A198/12)+Assumptions!$B$12*(1+Assumptions!$B$11)^(INT(A198/12)+1)/12))*J198</f>
        <v>771.268597082836</v>
      </c>
      <c r="T198" s="32" t="n">
        <f aca="false">T197*(1-F197)*(1-(1-(1-MIN(1,G197*(1+Assumptions!$B$23)))^(1/12)))</f>
        <v>0.607488772124862</v>
      </c>
      <c r="U198" s="47" t="n">
        <f aca="false">T198*(IF(C198&lt;Assumptions!$B$5,Assumptions!$B$12*(1+Assumptions!$B$11)^(INT(A198/12)+1)/12+Pricing_M!$B$13*IF(A198=0,Assumptions!$B$14*12,IF(A198&gt;=12,Assumptions!$B$15,0))-Pricing_M!$B$13,Assumptions!$B$9/12*(1+Assumptions!$B$10)^INT(A198/12)+Assumptions!$B$12*(1+Assumptions!$B$11)^(INT(A198/12)+1)/12))*J198</f>
        <v>670.484148732234</v>
      </c>
      <c r="V198" s="32" t="n">
        <f aca="false">V197*(1-F197)*(1-(1-(1-MIN(1,G197*(1-Assumptions!$B$23)))^(1/12)))</f>
        <v>0.739604183301696</v>
      </c>
      <c r="W198" s="47" t="n">
        <f aca="false">V198*(IF(C198&lt;Assumptions!$B$5,Assumptions!$B$12*(1+Assumptions!$B$11)^(INT(A198/12)+1)/12+Pricing_M!$B$13*IF(A198=0,Assumptions!$B$14*12,IF(A198&gt;=12,Assumptions!$B$15,0))-Pricing_M!$B$13,Assumptions!$B$9/12*(1+Assumptions!$B$10)^INT(A198/12)+Assumptions!$B$12*(1+Assumptions!$B$11)^(INT(A198/12)+1)/12))*J198</f>
        <v>816.299665103788</v>
      </c>
      <c r="X198" s="47" t="n">
        <f aca="false">I198*(IF(C198&lt;Assumptions!$B$5,Assumptions!$B$12*(1+Assumptions!$B$11)*(1+Assumptions!$B$24)*(1+Assumptions!$B$11+Assumptions!$B$25)^(INT(A198/12))/12+Pricing_M!$B$13*IF(A198=0,Assumptions!$B$14*12,IF(A198&gt;=12,Assumptions!$B$15,0))-Pricing_M!$B$13,Assumptions!$B$9/12*(1+Assumptions!$B$10)^INT(A198/12)+Assumptions!$B$12*(1+Assumptions!$B$11)*(1+Assumptions!$B$24)*(1+Assumptions!$B$11+Assumptions!$B$25)^(INT(A198/12))/12))*J198</f>
        <v>741.253717762839</v>
      </c>
    </row>
    <row r="199" customFormat="false" ht="15" hidden="false" customHeight="true" outlineLevel="0" collapsed="false">
      <c r="A199" s="1" t="n">
        <v>192</v>
      </c>
      <c r="B199" s="31" t="n">
        <f aca="false">Assumptions!$B$4+A199/12</f>
        <v>81</v>
      </c>
      <c r="C199" s="34" t="n">
        <f aca="false">Assumptions!$B$4+INT(A199/12)</f>
        <v>81</v>
      </c>
      <c r="D199" s="34" t="n">
        <f aca="false">INT(A199/12)+1</f>
        <v>17</v>
      </c>
      <c r="E199" s="32" t="n">
        <f aca="false">IFERROR(INDEX(Cohort_Survival!$G$5:$G$65,MATCH(C199,Cohort_Survival!$A$5:$A$65,0)),1)</f>
        <v>0.0303629165500609</v>
      </c>
      <c r="F199" s="30" t="n">
        <f aca="false">1-(1-MIN(1,E199))^(1/12)</f>
        <v>0.00256615330708432</v>
      </c>
      <c r="G199" s="39" t="n">
        <f aca="false">IF(C199&lt;Assumptions!$B$5,IF(D199=1,Assumptions!$B$16,IF(D199=2,Assumptions!$B$17,IF(D199&lt;=5,Assumptions!$B$18,Assumptions!$B$19)))*(1-Assumptions!$B$20),0)</f>
        <v>0</v>
      </c>
      <c r="H199" s="30" t="n">
        <f aca="false">1-(1-G199)^(1/12)</f>
        <v>0</v>
      </c>
      <c r="I199" s="30" t="n">
        <f aca="false">I198*(1-F198)*(1-H198)</f>
        <v>0.669076087760705</v>
      </c>
      <c r="J199" s="30" t="n">
        <f aca="false">INDEX(Discount_Monthly!$G$4:$G$664,MATCH(A199,Discount_Monthly!$A$4:$A$664,0))</f>
        <v>0.609864478767281</v>
      </c>
      <c r="K199" s="30" t="n">
        <f aca="false">IF(C199&lt;Assumptions!$B$5,I199*J199,0)</f>
        <v>0</v>
      </c>
      <c r="L199" s="30" t="n">
        <f aca="false">IF(C199&lt;Assumptions!$B$5,I199*(1-F199)*H199*A199*J199,0)</f>
        <v>0</v>
      </c>
      <c r="M199" s="30" t="n">
        <f aca="false">IF(A199=0,Assumptions!$B$14*12*I199*J199,IF(AND(A199&gt;=12,C199&lt;Assumptions!$B$5),Assumptions!$B$15*I199*J199,0))</f>
        <v>0</v>
      </c>
      <c r="N199" s="47" t="n">
        <f aca="false">IF(C199&gt;=Assumptions!$B$5,I199*Assumptions!$B$9/12*(1+Assumptions!$B$10)^INT(A199/12)*J199,0)</f>
        <v>746.879144310947</v>
      </c>
      <c r="O199" s="47" t="n">
        <f aca="false">I199*Assumptions!$B$12/12*(1+Assumptions!$B$11)^(INT(A199/12)+1)*J199</f>
        <v>4.13926565763894</v>
      </c>
      <c r="P199" s="47" t="n">
        <f aca="false">O199+Pricing_M!$B$13*M199+N199-Pricing_M!$B$13*K199</f>
        <v>751.018409968586</v>
      </c>
      <c r="Q199" s="47" t="n">
        <f aca="false">IF(C199&lt;Assumptions!$B$5,Pricing_M!$B$13*K199-Pricing_M!$B$13*M199-O199,-(N199+O199))</f>
        <v>-751.018409968586</v>
      </c>
      <c r="R199" s="32" t="n">
        <f aca="false">R198*(1-(1-(1-MIN(1,E198*(1-Assumptions!$B$21)))^(1/12)))*(1-H198)</f>
        <v>0.697530944983389</v>
      </c>
      <c r="S199" s="47" t="n">
        <f aca="false">R199*(IF(C199&lt;Assumptions!$B$5,Assumptions!$B$12*(1+Assumptions!$B$11)^(INT(A199/12)+1)/12+Pricing_M!$B$13*IF(A199=0,Assumptions!$B$14*12,IF(A199&gt;=12,Assumptions!$B$15,0))-Pricing_M!$B$13,Assumptions!$B$9/12*(1+Assumptions!$B$10)^INT(A199/12)+Assumptions!$B$12*(1+Assumptions!$B$11)^(INT(A199/12)+1)/12))*J199</f>
        <v>782.958157955673</v>
      </c>
      <c r="T199" s="32" t="n">
        <f aca="false">T198*(1-F198)*(1-(1-(1-MIN(1,G198*(1+Assumptions!$B$23)))^(1/12)))</f>
        <v>0.606101878617895</v>
      </c>
      <c r="U199" s="47" t="n">
        <f aca="false">T199*(IF(C199&lt;Assumptions!$B$5,Assumptions!$B$12*(1+Assumptions!$B$11)^(INT(A199/12)+1)/12+Pricing_M!$B$13*IF(A199=0,Assumptions!$B$14*12,IF(A199&gt;=12,Assumptions!$B$15,0))-Pricing_M!$B$13,Assumptions!$B$9/12*(1+Assumptions!$B$10)^INT(A199/12)+Assumptions!$B$12*(1+Assumptions!$B$11)^(INT(A199/12)+1)/12))*J199</f>
        <v>680.331695431005</v>
      </c>
      <c r="V199" s="32" t="n">
        <f aca="false">V198*(1-F198)*(1-(1-(1-MIN(1,G198*(1-Assumptions!$B$23)))^(1/12)))</f>
        <v>0.737915671041693</v>
      </c>
      <c r="W199" s="47" t="n">
        <f aca="false">V199*(IF(C199&lt;Assumptions!$B$5,Assumptions!$B$12*(1+Assumptions!$B$11)^(INT(A199/12)+1)/12+Pricing_M!$B$13*IF(A199=0,Assumptions!$B$14*12,IF(A199&gt;=12,Assumptions!$B$15,0))-Pricing_M!$B$13,Assumptions!$B$9/12*(1+Assumptions!$B$10)^INT(A199/12)+Assumptions!$B$12*(1+Assumptions!$B$11)^(INT(A199/12)+1)/12))*J199</f>
        <v>828.288836044668</v>
      </c>
      <c r="X199" s="47" t="n">
        <f aca="false">I199*(IF(C199&lt;Assumptions!$B$5,Assumptions!$B$12*(1+Assumptions!$B$11)*(1+Assumptions!$B$24)*(1+Assumptions!$B$11+Assumptions!$B$25)^(INT(A199/12))/12+Pricing_M!$B$13*IF(A199=0,Assumptions!$B$14*12,IF(A199&gt;=12,Assumptions!$B$15,0))-Pricing_M!$B$13,Assumptions!$B$9/12*(1+Assumptions!$B$10)^INT(A199/12)+Assumptions!$B$12*(1+Assumptions!$B$11)*(1+Assumptions!$B$24)*(1+Assumptions!$B$11+Assumptions!$B$25)^(INT(A199/12))/12))*J199</f>
        <v>752.197528857395</v>
      </c>
    </row>
    <row r="200" customFormat="false" ht="15" hidden="false" customHeight="true" outlineLevel="0" collapsed="false">
      <c r="A200" s="1" t="n">
        <v>193</v>
      </c>
      <c r="B200" s="31" t="n">
        <f aca="false">Assumptions!$B$4+A200/12</f>
        <v>81.0833333333333</v>
      </c>
      <c r="C200" s="34" t="n">
        <f aca="false">Assumptions!$B$4+INT(A200/12)</f>
        <v>81</v>
      </c>
      <c r="D200" s="34" t="n">
        <f aca="false">INT(A200/12)+1</f>
        <v>17</v>
      </c>
      <c r="E200" s="32" t="n">
        <f aca="false">IFERROR(INDEX(Cohort_Survival!$G$5:$G$65,MATCH(C200,Cohort_Survival!$A$5:$A$65,0)),1)</f>
        <v>0.0303629165500609</v>
      </c>
      <c r="F200" s="30" t="n">
        <f aca="false">1-(1-MIN(1,E200))^(1/12)</f>
        <v>0.00256615330708432</v>
      </c>
      <c r="G200" s="39" t="n">
        <f aca="false">IF(C200&lt;Assumptions!$B$5,IF(D200=1,Assumptions!$B$16,IF(D200=2,Assumptions!$B$17,IF(D200&lt;=5,Assumptions!$B$18,Assumptions!$B$19)))*(1-Assumptions!$B$20),0)</f>
        <v>0</v>
      </c>
      <c r="H200" s="30" t="n">
        <f aca="false">1-(1-G200)^(1/12)</f>
        <v>0</v>
      </c>
      <c r="I200" s="30" t="n">
        <f aca="false">I199*(1-F199)*(1-H199)</f>
        <v>0.667359135945407</v>
      </c>
      <c r="J200" s="30" t="n">
        <f aca="false">INDEX(Discount_Monthly!$G$4:$G$664,MATCH(A200,Discount_Monthly!$A$4:$A$664,0))</f>
        <v>0.608153711429605</v>
      </c>
      <c r="K200" s="30" t="n">
        <f aca="false">IF(C200&lt;Assumptions!$B$5,I200*J200,0)</f>
        <v>0</v>
      </c>
      <c r="L200" s="30" t="n">
        <f aca="false">IF(C200&lt;Assumptions!$B$5,I200*(1-F200)*H200*A200*J200,0)</f>
        <v>0</v>
      </c>
      <c r="M200" s="30" t="n">
        <f aca="false">IF(A200=0,Assumptions!$B$14*12*I200*J200,IF(AND(A200&gt;=12,C200&lt;Assumptions!$B$5),Assumptions!$B$15*I200*J200,0))</f>
        <v>0</v>
      </c>
      <c r="N200" s="47" t="n">
        <f aca="false">IF(C200&gt;=Assumptions!$B$5,I200*Assumptions!$B$9/12*(1+Assumptions!$B$10)^INT(A200/12)*J200,0)</f>
        <v>742.872798938424</v>
      </c>
      <c r="O200" s="47" t="n">
        <f aca="false">I200*Assumptions!$B$12/12*(1+Assumptions!$B$11)^(INT(A200/12)+1)*J200</f>
        <v>4.11706216201392</v>
      </c>
      <c r="P200" s="47" t="n">
        <f aca="false">O200+Pricing_M!$B$13*M200+N200-Pricing_M!$B$13*K200</f>
        <v>746.989861100438</v>
      </c>
      <c r="Q200" s="47" t="n">
        <f aca="false">IF(C200&lt;Assumptions!$B$5,Pricing_M!$B$13*K200-Pricing_M!$B$13*M200-O200,-(N200+O200))</f>
        <v>-746.989861100438</v>
      </c>
      <c r="R200" s="32" t="n">
        <f aca="false">R199*(1-(1-(1-MIN(1,E199*(1-Assumptions!$B$21)))^(1/12)))*(1-H199)</f>
        <v>0.696103039170389</v>
      </c>
      <c r="S200" s="47" t="n">
        <f aca="false">R200*(IF(C200&lt;Assumptions!$B$5,Assumptions!$B$12*(1+Assumptions!$B$11)^(INT(A200/12)+1)/12+Pricing_M!$B$13*IF(A200=0,Assumptions!$B$14*12,IF(A200&gt;=12,Assumptions!$B$15,0))-Pricing_M!$B$13,Assumptions!$B$9/12*(1+Assumptions!$B$10)^INT(A200/12)+Assumptions!$B$12*(1+Assumptions!$B$11)^(INT(A200/12)+1)/12))*J200</f>
        <v>779.163548581462</v>
      </c>
      <c r="T200" s="32" t="n">
        <f aca="false">T199*(1-F199)*(1-(1-(1-MIN(1,G199*(1+Assumptions!$B$23)))^(1/12)))</f>
        <v>0.60454652827765</v>
      </c>
      <c r="U200" s="47" t="n">
        <f aca="false">T200*(IF(C200&lt;Assumptions!$B$5,Assumptions!$B$12*(1+Assumptions!$B$11)^(INT(A200/12)+1)/12+Pricing_M!$B$13*IF(A200=0,Assumptions!$B$14*12,IF(A200&gt;=12,Assumptions!$B$15,0))-Pricing_M!$B$13,Assumptions!$B$9/12*(1+Assumptions!$B$10)^INT(A200/12)+Assumptions!$B$12*(1+Assumptions!$B$11)^(INT(A200/12)+1)/12))*J200</f>
        <v>676.682318205075</v>
      </c>
      <c r="V200" s="32" t="n">
        <f aca="false">V199*(1-F199)*(1-(1-(1-MIN(1,G199*(1-Assumptions!$B$23)))^(1/12)))</f>
        <v>0.7360220663021</v>
      </c>
      <c r="W200" s="47" t="n">
        <f aca="false">V200*(IF(C200&lt;Assumptions!$B$5,Assumptions!$B$12*(1+Assumptions!$B$11)^(INT(A200/12)+1)/12+Pricing_M!$B$13*IF(A200=0,Assumptions!$B$14*12,IF(A200&gt;=12,Assumptions!$B$15,0))-Pricing_M!$B$13,Assumptions!$B$9/12*(1+Assumptions!$B$10)^INT(A200/12)+Assumptions!$B$12*(1+Assumptions!$B$11)^(INT(A200/12)+1)/12))*J200</f>
        <v>823.845799750675</v>
      </c>
      <c r="X200" s="47" t="n">
        <f aca="false">I200*(IF(C200&lt;Assumptions!$B$5,Assumptions!$B$12*(1+Assumptions!$B$11)*(1+Assumptions!$B$24)*(1+Assumptions!$B$11+Assumptions!$B$25)^(INT(A200/12))/12+Pricing_M!$B$13*IF(A200=0,Assumptions!$B$14*12,IF(A200&gt;=12,Assumptions!$B$15,0))-Pricing_M!$B$13,Assumptions!$B$9/12*(1+Assumptions!$B$10)^INT(A200/12)+Assumptions!$B$12*(1+Assumptions!$B$11)*(1+Assumptions!$B$24)*(1+Assumptions!$B$11+Assumptions!$B$25)^(INT(A200/12))/12))*J200</f>
        <v>748.162655060321</v>
      </c>
    </row>
    <row r="201" customFormat="false" ht="15" hidden="false" customHeight="true" outlineLevel="0" collapsed="false">
      <c r="A201" s="1" t="n">
        <v>194</v>
      </c>
      <c r="B201" s="31" t="n">
        <f aca="false">Assumptions!$B$4+A201/12</f>
        <v>81.1666666666667</v>
      </c>
      <c r="C201" s="34" t="n">
        <f aca="false">Assumptions!$B$4+INT(A201/12)</f>
        <v>81</v>
      </c>
      <c r="D201" s="34" t="n">
        <f aca="false">INT(A201/12)+1</f>
        <v>17</v>
      </c>
      <c r="E201" s="32" t="n">
        <f aca="false">IFERROR(INDEX(Cohort_Survival!$G$5:$G$65,MATCH(C201,Cohort_Survival!$A$5:$A$65,0)),1)</f>
        <v>0.0303629165500609</v>
      </c>
      <c r="F201" s="30" t="n">
        <f aca="false">1-(1-MIN(1,E201))^(1/12)</f>
        <v>0.00256615330708432</v>
      </c>
      <c r="G201" s="39" t="n">
        <f aca="false">IF(C201&lt;Assumptions!$B$5,IF(D201=1,Assumptions!$B$16,IF(D201=2,Assumptions!$B$17,IF(D201&lt;=5,Assumptions!$B$18,Assumptions!$B$19)))*(1-Assumptions!$B$20),0)</f>
        <v>0</v>
      </c>
      <c r="H201" s="30" t="n">
        <f aca="false">1-(1-G201)^(1/12)</f>
        <v>0</v>
      </c>
      <c r="I201" s="30" t="n">
        <f aca="false">I200*(1-F200)*(1-H200)</f>
        <v>0.665646590091688</v>
      </c>
      <c r="J201" s="30" t="n">
        <f aca="false">INDEX(Discount_Monthly!$G$4:$G$664,MATCH(A201,Discount_Monthly!$A$4:$A$664,0))</f>
        <v>0.606447743067742</v>
      </c>
      <c r="K201" s="30" t="n">
        <f aca="false">IF(C201&lt;Assumptions!$B$5,I201*J201,0)</f>
        <v>0</v>
      </c>
      <c r="L201" s="30" t="n">
        <f aca="false">IF(C201&lt;Assumptions!$B$5,I201*(1-F201)*H201*A201*J201,0)</f>
        <v>0</v>
      </c>
      <c r="M201" s="30" t="n">
        <f aca="false">IF(A201=0,Assumptions!$B$14*12*I201*J201,IF(AND(A201&gt;=12,C201&lt;Assumptions!$B$5),Assumptions!$B$15*I201*J201,0))</f>
        <v>0</v>
      </c>
      <c r="N201" s="47" t="n">
        <f aca="false">IF(C201&gt;=Assumptions!$B$5,I201*Assumptions!$B$9/12*(1+Assumptions!$B$10)^INT(A201/12)*J201,0)</f>
        <v>738.887944061875</v>
      </c>
      <c r="O201" s="47" t="n">
        <f aca="false">I201*Assumptions!$B$12/12*(1+Assumptions!$B$11)^(INT(A201/12)+1)*J201</f>
        <v>4.09497776848544</v>
      </c>
      <c r="P201" s="47" t="n">
        <f aca="false">O201+Pricing_M!$B$13*M201+N201-Pricing_M!$B$13*K201</f>
        <v>742.98292183036</v>
      </c>
      <c r="Q201" s="47" t="n">
        <f aca="false">IF(C201&lt;Assumptions!$B$5,Pricing_M!$B$13*K201-Pricing_M!$B$13*M201-O201,-(N201+O201))</f>
        <v>-742.98292183036</v>
      </c>
      <c r="R201" s="32" t="n">
        <f aca="false">R200*(1-(1-(1-MIN(1,E200*(1-Assumptions!$B$21)))^(1/12)))*(1-H200)</f>
        <v>0.694678056403349</v>
      </c>
      <c r="S201" s="47" t="n">
        <f aca="false">R201*(IF(C201&lt;Assumptions!$B$5,Assumptions!$B$12*(1+Assumptions!$B$11)^(INT(A201/12)+1)/12+Pricing_M!$B$13*IF(A201=0,Assumptions!$B$14*12,IF(A201&gt;=12,Assumptions!$B$15,0))-Pricing_M!$B$13,Assumptions!$B$9/12*(1+Assumptions!$B$10)^INT(A201/12)+Assumptions!$B$12*(1+Assumptions!$B$11)^(INT(A201/12)+1)/12))*J201</f>
        <v>775.387329794483</v>
      </c>
      <c r="T201" s="32" t="n">
        <f aca="false">T200*(1-F200)*(1-(1-(1-MIN(1,G200*(1+Assumptions!$B$23)))^(1/12)))</f>
        <v>0.602995169204824</v>
      </c>
      <c r="U201" s="47" t="n">
        <f aca="false">T201*(IF(C201&lt;Assumptions!$B$5,Assumptions!$B$12*(1+Assumptions!$B$11)^(INT(A201/12)+1)/12+Pricing_M!$B$13*IF(A201=0,Assumptions!$B$14*12,IF(A201&gt;=12,Assumptions!$B$15,0))-Pricing_M!$B$13,Assumptions!$B$9/12*(1+Assumptions!$B$10)^INT(A201/12)+Assumptions!$B$12*(1+Assumptions!$B$11)^(INT(A201/12)+1)/12))*J201</f>
        <v>673.052516657047</v>
      </c>
      <c r="V201" s="32" t="n">
        <f aca="false">V200*(1-F200)*(1-(1-(1-MIN(1,G200*(1-Assumptions!$B$23)))^(1/12)))</f>
        <v>0.734133320842572</v>
      </c>
      <c r="W201" s="47" t="n">
        <f aca="false">V201*(IF(C201&lt;Assumptions!$B$5,Assumptions!$B$12*(1+Assumptions!$B$11)^(INT(A201/12)+1)/12+Pricing_M!$B$13*IF(A201=0,Assumptions!$B$14*12,IF(A201&gt;=12,Assumptions!$B$15,0))-Pricing_M!$B$13,Assumptions!$B$9/12*(1+Assumptions!$B$10)^INT(A201/12)+Assumptions!$B$12*(1+Assumptions!$B$11)^(INT(A201/12)+1)/12))*J201</f>
        <v>819.426596412832</v>
      </c>
      <c r="X201" s="47" t="n">
        <f aca="false">I201*(IF(C201&lt;Assumptions!$B$5,Assumptions!$B$12*(1+Assumptions!$B$11)*(1+Assumptions!$B$24)*(1+Assumptions!$B$11+Assumptions!$B$25)^(INT(A201/12))/12+Pricing_M!$B$13*IF(A201=0,Assumptions!$B$14*12,IF(A201&gt;=12,Assumptions!$B$15,0))-Pricing_M!$B$13,Assumptions!$B$9/12*(1+Assumptions!$B$10)^INT(A201/12)+Assumptions!$B$12*(1+Assumptions!$B$11)*(1+Assumptions!$B$24)*(1+Assumptions!$B$11+Assumptions!$B$25)^(INT(A201/12))/12))*J201</f>
        <v>744.149424788962</v>
      </c>
    </row>
    <row r="202" customFormat="false" ht="15" hidden="false" customHeight="true" outlineLevel="0" collapsed="false">
      <c r="A202" s="1" t="n">
        <v>195</v>
      </c>
      <c r="B202" s="31" t="n">
        <f aca="false">Assumptions!$B$4+A202/12</f>
        <v>81.25</v>
      </c>
      <c r="C202" s="34" t="n">
        <f aca="false">Assumptions!$B$4+INT(A202/12)</f>
        <v>81</v>
      </c>
      <c r="D202" s="34" t="n">
        <f aca="false">INT(A202/12)+1</f>
        <v>17</v>
      </c>
      <c r="E202" s="32" t="n">
        <f aca="false">IFERROR(INDEX(Cohort_Survival!$G$5:$G$65,MATCH(C202,Cohort_Survival!$A$5:$A$65,0)),1)</f>
        <v>0.0303629165500609</v>
      </c>
      <c r="F202" s="30" t="n">
        <f aca="false">1-(1-MIN(1,E202))^(1/12)</f>
        <v>0.00256615330708432</v>
      </c>
      <c r="G202" s="39" t="n">
        <f aca="false">IF(C202&lt;Assumptions!$B$5,IF(D202=1,Assumptions!$B$16,IF(D202=2,Assumptions!$B$17,IF(D202&lt;=5,Assumptions!$B$18,Assumptions!$B$19)))*(1-Assumptions!$B$20),0)</f>
        <v>0</v>
      </c>
      <c r="H202" s="30" t="n">
        <f aca="false">1-(1-G202)^(1/12)</f>
        <v>0</v>
      </c>
      <c r="I202" s="30" t="n">
        <f aca="false">I201*(1-F201)*(1-H201)</f>
        <v>0.663938438893174</v>
      </c>
      <c r="J202" s="30" t="n">
        <f aca="false">INDEX(Discount_Monthly!$G$4:$G$664,MATCH(A202,Discount_Monthly!$A$4:$A$664,0))</f>
        <v>0.6047465602198</v>
      </c>
      <c r="K202" s="30" t="n">
        <f aca="false">IF(C202&lt;Assumptions!$B$5,I202*J202,0)</f>
        <v>0</v>
      </c>
      <c r="L202" s="30" t="n">
        <f aca="false">IF(C202&lt;Assumptions!$B$5,I202*(1-F202)*H202*A202*J202,0)</f>
        <v>0</v>
      </c>
      <c r="M202" s="30" t="n">
        <f aca="false">IF(A202=0,Assumptions!$B$14*12*I202*J202,IF(AND(A202&gt;=12,C202&lt;Assumptions!$B$5),Assumptions!$B$15*I202*J202,0))</f>
        <v>0</v>
      </c>
      <c r="N202" s="47" t="n">
        <f aca="false">IF(C202&gt;=Assumptions!$B$5,I202*Assumptions!$B$9/12*(1+Assumptions!$B$10)^INT(A202/12)*J202,0)</f>
        <v>734.924464403815</v>
      </c>
      <c r="O202" s="47" t="n">
        <f aca="false">I202*Assumptions!$B$12/12*(1+Assumptions!$B$11)^(INT(A202/12)+1)*J202</f>
        <v>4.07301183817621</v>
      </c>
      <c r="P202" s="47" t="n">
        <f aca="false">O202+Pricing_M!$B$13*M202+N202-Pricing_M!$B$13*K202</f>
        <v>738.997476241991</v>
      </c>
      <c r="Q202" s="47" t="n">
        <f aca="false">IF(C202&lt;Assumptions!$B$5,Pricing_M!$B$13*K202-Pricing_M!$B$13*M202-O202,-(N202+O202))</f>
        <v>-738.997476241991</v>
      </c>
      <c r="R202" s="32" t="n">
        <f aca="false">R201*(1-(1-(1-MIN(1,E201*(1-Assumptions!$B$21)))^(1/12)))*(1-H201)</f>
        <v>0.693255990698543</v>
      </c>
      <c r="S202" s="47" t="n">
        <f aca="false">R202*(IF(C202&lt;Assumptions!$B$5,Assumptions!$B$12*(1+Assumptions!$B$11)^(INT(A202/12)+1)/12+Pricing_M!$B$13*IF(A202=0,Assumptions!$B$14*12,IF(A202&gt;=12,Assumptions!$B$15,0))-Pricing_M!$B$13,Assumptions!$B$9/12*(1+Assumptions!$B$10)^INT(A202/12)+Assumptions!$B$12*(1+Assumptions!$B$11)^(INT(A202/12)+1)/12))*J202</f>
        <v>771.629412464692</v>
      </c>
      <c r="T202" s="32" t="n">
        <f aca="false">T201*(1-F201)*(1-(1-(1-MIN(1,G201*(1+Assumptions!$B$23)))^(1/12)))</f>
        <v>0.601447791157213</v>
      </c>
      <c r="U202" s="47" t="n">
        <f aca="false">T202*(IF(C202&lt;Assumptions!$B$5,Assumptions!$B$12*(1+Assumptions!$B$11)^(INT(A202/12)+1)/12+Pricing_M!$B$13*IF(A202=0,Assumptions!$B$14*12,IF(A202&gt;=12,Assumptions!$B$15,0))-Pricing_M!$B$13,Assumptions!$B$9/12*(1+Assumptions!$B$10)^INT(A202/12)+Assumptions!$B$12*(1+Assumptions!$B$11)^(INT(A202/12)+1)/12))*J202</f>
        <v>669.442185780742</v>
      </c>
      <c r="V202" s="32" t="n">
        <f aca="false">V201*(1-F201)*(1-(1-(1-MIN(1,G201*(1-Assumptions!$B$23)))^(1/12)))</f>
        <v>0.732249422193451</v>
      </c>
      <c r="W202" s="47" t="n">
        <f aca="false">V202*(IF(C202&lt;Assumptions!$B$5,Assumptions!$B$12*(1+Assumptions!$B$11)^(INT(A202/12)+1)/12+Pricing_M!$B$13*IF(A202=0,Assumptions!$B$14*12,IF(A202&gt;=12,Assumptions!$B$15,0))-Pricing_M!$B$13,Assumptions!$B$9/12*(1+Assumptions!$B$10)^INT(A202/12)+Assumptions!$B$12*(1+Assumptions!$B$11)^(INT(A202/12)+1)/12))*J202</f>
        <v>815.031098188431</v>
      </c>
      <c r="X202" s="47" t="n">
        <f aca="false">I202*(IF(C202&lt;Assumptions!$B$5,Assumptions!$B$12*(1+Assumptions!$B$11)*(1+Assumptions!$B$24)*(1+Assumptions!$B$11+Assumptions!$B$25)^(INT(A202/12))/12+Pricing_M!$B$13*IF(A202=0,Assumptions!$B$14*12,IF(A202&gt;=12,Assumptions!$B$15,0))-Pricing_M!$B$13,Assumptions!$B$9/12*(1+Assumptions!$B$10)^INT(A202/12)+Assumptions!$B$12*(1+Assumptions!$B$11)*(1+Assumptions!$B$24)*(1+Assumptions!$B$11+Assumptions!$B$25)^(INT(A202/12))/12))*J202</f>
        <v>740.157721944964</v>
      </c>
    </row>
    <row r="203" customFormat="false" ht="15" hidden="false" customHeight="true" outlineLevel="0" collapsed="false">
      <c r="A203" s="1" t="n">
        <v>196</v>
      </c>
      <c r="B203" s="31" t="n">
        <f aca="false">Assumptions!$B$4+A203/12</f>
        <v>81.3333333333333</v>
      </c>
      <c r="C203" s="34" t="n">
        <f aca="false">Assumptions!$B$4+INT(A203/12)</f>
        <v>81</v>
      </c>
      <c r="D203" s="34" t="n">
        <f aca="false">INT(A203/12)+1</f>
        <v>17</v>
      </c>
      <c r="E203" s="32" t="n">
        <f aca="false">IFERROR(INDEX(Cohort_Survival!$G$5:$G$65,MATCH(C203,Cohort_Survival!$A$5:$A$65,0)),1)</f>
        <v>0.0303629165500609</v>
      </c>
      <c r="F203" s="30" t="n">
        <f aca="false">1-(1-MIN(1,E203))^(1/12)</f>
        <v>0.00256615330708432</v>
      </c>
      <c r="G203" s="39" t="n">
        <f aca="false">IF(C203&lt;Assumptions!$B$5,IF(D203=1,Assumptions!$B$16,IF(D203=2,Assumptions!$B$17,IF(D203&lt;=5,Assumptions!$B$18,Assumptions!$B$19)))*(1-Assumptions!$B$20),0)</f>
        <v>0</v>
      </c>
      <c r="H203" s="30" t="n">
        <f aca="false">1-(1-G203)^(1/12)</f>
        <v>0</v>
      </c>
      <c r="I203" s="30" t="n">
        <f aca="false">I202*(1-F202)*(1-H202)</f>
        <v>0.662234671072508</v>
      </c>
      <c r="J203" s="30" t="n">
        <f aca="false">INDEX(Discount_Monthly!$G$4:$G$664,MATCH(A203,Discount_Monthly!$A$4:$A$664,0))</f>
        <v>0.603050149461647</v>
      </c>
      <c r="K203" s="30" t="n">
        <f aca="false">IF(C203&lt;Assumptions!$B$5,I203*J203,0)</f>
        <v>0</v>
      </c>
      <c r="L203" s="30" t="n">
        <f aca="false">IF(C203&lt;Assumptions!$B$5,I203*(1-F203)*H203*A203*J203,0)</f>
        <v>0</v>
      </c>
      <c r="M203" s="30" t="n">
        <f aca="false">IF(A203=0,Assumptions!$B$14*12*I203*J203,IF(AND(A203&gt;=12,C203&lt;Assumptions!$B$5),Assumptions!$B$15*I203*J203,0))</f>
        <v>0</v>
      </c>
      <c r="N203" s="47" t="n">
        <f aca="false">IF(C203&gt;=Assumptions!$B$5,I203*Assumptions!$B$9/12*(1+Assumptions!$B$10)^INT(A203/12)*J203,0)</f>
        <v>730.982245305122</v>
      </c>
      <c r="O203" s="47" t="n">
        <f aca="false">I203*Assumptions!$B$12/12*(1+Assumptions!$B$11)^(INT(A203/12)+1)*J203</f>
        <v>4.05116373563592</v>
      </c>
      <c r="P203" s="47" t="n">
        <f aca="false">O203+Pricing_M!$B$13*M203+N203-Pricing_M!$B$13*K203</f>
        <v>735.033409040758</v>
      </c>
      <c r="Q203" s="47" t="n">
        <f aca="false">IF(C203&lt;Assumptions!$B$5,Pricing_M!$B$13*K203-Pricing_M!$B$13*M203-O203,-(N203+O203))</f>
        <v>-735.033409040758</v>
      </c>
      <c r="R203" s="32" t="n">
        <f aca="false">R202*(1-(1-(1-MIN(1,E202*(1-Assumptions!$B$21)))^(1/12)))*(1-H202)</f>
        <v>0.691836836084494</v>
      </c>
      <c r="S203" s="47" t="n">
        <f aca="false">R203*(IF(C203&lt;Assumptions!$B$5,Assumptions!$B$12*(1+Assumptions!$B$11)^(INT(A203/12)+1)/12+Pricing_M!$B$13*IF(A203=0,Assumptions!$B$14*12,IF(A203&gt;=12,Assumptions!$B$15,0))-Pricing_M!$B$13,Assumptions!$B$9/12*(1+Assumptions!$B$10)^INT(A203/12)+Assumptions!$B$12*(1+Assumptions!$B$11)^(INT(A203/12)+1)/12))*J203</f>
        <v>767.889707894015</v>
      </c>
      <c r="T203" s="32" t="n">
        <f aca="false">T202*(1-F202)*(1-(1-(1-MIN(1,G202*(1+Assumptions!$B$23)))^(1/12)))</f>
        <v>0.599904383918896</v>
      </c>
      <c r="U203" s="47" t="n">
        <f aca="false">T203*(IF(C203&lt;Assumptions!$B$5,Assumptions!$B$12*(1+Assumptions!$B$11)^(INT(A203/12)+1)/12+Pricing_M!$B$13*IF(A203=0,Assumptions!$B$14*12,IF(A203&gt;=12,Assumptions!$B$15,0))-Pricing_M!$B$13,Assumptions!$B$9/12*(1+Assumptions!$B$10)^INT(A203/12)+Assumptions!$B$12*(1+Assumptions!$B$11)^(INT(A203/12)+1)/12))*J203</f>
        <v>665.851221133244</v>
      </c>
      <c r="V203" s="32" t="n">
        <f aca="false">V202*(1-F202)*(1-(1-(1-MIN(1,G202*(1-Assumptions!$B$23)))^(1/12)))</f>
        <v>0.730370357917078</v>
      </c>
      <c r="W203" s="47" t="n">
        <f aca="false">V203*(IF(C203&lt;Assumptions!$B$5,Assumptions!$B$12*(1+Assumptions!$B$11)^(INT(A203/12)+1)/12+Pricing_M!$B$13*IF(A203=0,Assumptions!$B$14*12,IF(A203&gt;=12,Assumptions!$B$15,0))-Pricing_M!$B$13,Assumptions!$B$9/12*(1+Assumptions!$B$10)^INT(A203/12)+Assumptions!$B$12*(1+Assumptions!$B$11)^(INT(A203/12)+1)/12))*J203</f>
        <v>810.659177920525</v>
      </c>
      <c r="X203" s="47" t="n">
        <f aca="false">I203*(IF(C203&lt;Assumptions!$B$5,Assumptions!$B$12*(1+Assumptions!$B$11)*(1+Assumptions!$B$24)*(1+Assumptions!$B$11+Assumptions!$B$25)^(INT(A203/12))/12+Pricing_M!$B$13*IF(A203=0,Assumptions!$B$14*12,IF(A203&gt;=12,Assumptions!$B$15,0))-Pricing_M!$B$13,Assumptions!$B$9/12*(1+Assumptions!$B$10)^INT(A203/12)+Assumptions!$B$12*(1+Assumptions!$B$11)*(1+Assumptions!$B$24)*(1+Assumptions!$B$11+Assumptions!$B$25)^(INT(A203/12))/12))*J203</f>
        <v>736.187431052738</v>
      </c>
    </row>
    <row r="204" customFormat="false" ht="15" hidden="false" customHeight="true" outlineLevel="0" collapsed="false">
      <c r="A204" s="1" t="n">
        <v>197</v>
      </c>
      <c r="B204" s="31" t="n">
        <f aca="false">Assumptions!$B$4+A204/12</f>
        <v>81.4166666666667</v>
      </c>
      <c r="C204" s="34" t="n">
        <f aca="false">Assumptions!$B$4+INT(A204/12)</f>
        <v>81</v>
      </c>
      <c r="D204" s="34" t="n">
        <f aca="false">INT(A204/12)+1</f>
        <v>17</v>
      </c>
      <c r="E204" s="32" t="n">
        <f aca="false">IFERROR(INDEX(Cohort_Survival!$G$5:$G$65,MATCH(C204,Cohort_Survival!$A$5:$A$65,0)),1)</f>
        <v>0.0303629165500609</v>
      </c>
      <c r="F204" s="30" t="n">
        <f aca="false">1-(1-MIN(1,E204))^(1/12)</f>
        <v>0.00256615330708432</v>
      </c>
      <c r="G204" s="39" t="n">
        <f aca="false">IF(C204&lt;Assumptions!$B$5,IF(D204=1,Assumptions!$B$16,IF(D204=2,Assumptions!$B$17,IF(D204&lt;=5,Assumptions!$B$18,Assumptions!$B$19)))*(1-Assumptions!$B$20),0)</f>
        <v>0</v>
      </c>
      <c r="H204" s="30" t="n">
        <f aca="false">1-(1-G204)^(1/12)</f>
        <v>0</v>
      </c>
      <c r="I204" s="30" t="n">
        <f aca="false">I203*(1-F203)*(1-H203)</f>
        <v>0.66053527538127</v>
      </c>
      <c r="J204" s="30" t="n">
        <f aca="false">INDEX(Discount_Monthly!$G$4:$G$664,MATCH(A204,Discount_Monthly!$A$4:$A$664,0))</f>
        <v>0.601358497406808</v>
      </c>
      <c r="K204" s="30" t="n">
        <f aca="false">IF(C204&lt;Assumptions!$B$5,I204*J204,0)</f>
        <v>0</v>
      </c>
      <c r="L204" s="30" t="n">
        <f aca="false">IF(C204&lt;Assumptions!$B$5,I204*(1-F204)*H204*A204*J204,0)</f>
        <v>0</v>
      </c>
      <c r="M204" s="30" t="n">
        <f aca="false">IF(A204=0,Assumptions!$B$14*12*I204*J204,IF(AND(A204&gt;=12,C204&lt;Assumptions!$B$5),Assumptions!$B$15*I204*J204,0))</f>
        <v>0</v>
      </c>
      <c r="N204" s="47" t="n">
        <f aca="false">IF(C204&gt;=Assumptions!$B$5,I204*Assumptions!$B$9/12*(1+Assumptions!$B$10)^INT(A204/12)*J204,0)</f>
        <v>727.061172721717</v>
      </c>
      <c r="O204" s="47" t="n">
        <f aca="false">I204*Assumptions!$B$12/12*(1+Assumptions!$B$11)^(INT(A204/12)+1)*J204</f>
        <v>4.02943282882291</v>
      </c>
      <c r="P204" s="47" t="n">
        <f aca="false">O204+Pricing_M!$B$13*M204+N204-Pricing_M!$B$13*K204</f>
        <v>731.09060555054</v>
      </c>
      <c r="Q204" s="47" t="n">
        <f aca="false">IF(C204&lt;Assumptions!$B$5,Pricing_M!$B$13*K204-Pricing_M!$B$13*M204-O204,-(N204+O204))</f>
        <v>-731.09060555054</v>
      </c>
      <c r="R204" s="32" t="n">
        <f aca="false">R203*(1-(1-(1-MIN(1,E203*(1-Assumptions!$B$21)))^(1/12)))*(1-H203)</f>
        <v>0.690420586601948</v>
      </c>
      <c r="S204" s="47" t="n">
        <f aca="false">R204*(IF(C204&lt;Assumptions!$B$5,Assumptions!$B$12*(1+Assumptions!$B$11)^(INT(A204/12)+1)/12+Pricing_M!$B$13*IF(A204=0,Assumptions!$B$14*12,IF(A204&gt;=12,Assumptions!$B$15,0))-Pricing_M!$B$13,Assumptions!$B$9/12*(1+Assumptions!$B$10)^INT(A204/12)+Assumptions!$B$12*(1+Assumptions!$B$11)^(INT(A204/12)+1)/12))*J204</f>
        <v>764.168127814253</v>
      </c>
      <c r="T204" s="32" t="n">
        <f aca="false">T203*(1-F203)*(1-(1-(1-MIN(1,G203*(1+Assumptions!$B$23)))^(1/12)))</f>
        <v>0.598364937300168</v>
      </c>
      <c r="U204" s="47" t="n">
        <f aca="false">T204*(IF(C204&lt;Assumptions!$B$5,Assumptions!$B$12*(1+Assumptions!$B$11)^(INT(A204/12)+1)/12+Pricing_M!$B$13*IF(A204=0,Assumptions!$B$14*12,IF(A204&gt;=12,Assumptions!$B$15,0))-Pricing_M!$B$13,Assumptions!$B$9/12*(1+Assumptions!$B$10)^INT(A204/12)+Assumptions!$B$12*(1+Assumptions!$B$11)^(INT(A204/12)+1)/12))*J204</f>
        <v>662.27951883188</v>
      </c>
      <c r="V204" s="32" t="n">
        <f aca="false">V203*(1-F203)*(1-(1-(1-MIN(1,G203*(1-Assumptions!$B$23)))^(1/12)))</f>
        <v>0.728496115607713</v>
      </c>
      <c r="W204" s="47" t="n">
        <f aca="false">V204*(IF(C204&lt;Assumptions!$B$5,Assumptions!$B$12*(1+Assumptions!$B$11)^(INT(A204/12)+1)/12+Pricing_M!$B$13*IF(A204=0,Assumptions!$B$14*12,IF(A204&gt;=12,Assumptions!$B$15,0))-Pricing_M!$B$13,Assumptions!$B$9/12*(1+Assumptions!$B$10)^INT(A204/12)+Assumptions!$B$12*(1+Assumptions!$B$11)^(INT(A204/12)+1)/12))*J204</f>
        <v>806.310709134251</v>
      </c>
      <c r="X204" s="47" t="n">
        <f aca="false">I204*(IF(C204&lt;Assumptions!$B$5,Assumptions!$B$12*(1+Assumptions!$B$11)*(1+Assumptions!$B$24)*(1+Assumptions!$B$11+Assumptions!$B$25)^(INT(A204/12))/12+Pricing_M!$B$13*IF(A204=0,Assumptions!$B$14*12,IF(A204&gt;=12,Assumptions!$B$15,0))-Pricing_M!$B$13,Assumptions!$B$9/12*(1+Assumptions!$B$10)^INT(A204/12)+Assumptions!$B$12*(1+Assumptions!$B$11)*(1+Assumptions!$B$24)*(1+Assumptions!$B$11+Assumptions!$B$25)^(INT(A204/12))/12))*J204</f>
        <v>732.238437256119</v>
      </c>
    </row>
    <row r="205" customFormat="false" ht="15" hidden="false" customHeight="true" outlineLevel="0" collapsed="false">
      <c r="A205" s="1" t="n">
        <v>198</v>
      </c>
      <c r="B205" s="31" t="n">
        <f aca="false">Assumptions!$B$4+A205/12</f>
        <v>81.5</v>
      </c>
      <c r="C205" s="34" t="n">
        <f aca="false">Assumptions!$B$4+INT(A205/12)</f>
        <v>81</v>
      </c>
      <c r="D205" s="34" t="n">
        <f aca="false">INT(A205/12)+1</f>
        <v>17</v>
      </c>
      <c r="E205" s="32" t="n">
        <f aca="false">IFERROR(INDEX(Cohort_Survival!$G$5:$G$65,MATCH(C205,Cohort_Survival!$A$5:$A$65,0)),1)</f>
        <v>0.0303629165500609</v>
      </c>
      <c r="F205" s="30" t="n">
        <f aca="false">1-(1-MIN(1,E205))^(1/12)</f>
        <v>0.00256615330708432</v>
      </c>
      <c r="G205" s="39" t="n">
        <f aca="false">IF(C205&lt;Assumptions!$B$5,IF(D205=1,Assumptions!$B$16,IF(D205=2,Assumptions!$B$17,IF(D205&lt;=5,Assumptions!$B$18,Assumptions!$B$19)))*(1-Assumptions!$B$20),0)</f>
        <v>0</v>
      </c>
      <c r="H205" s="30" t="n">
        <f aca="false">1-(1-G205)^(1/12)</f>
        <v>0</v>
      </c>
      <c r="I205" s="30" t="n">
        <f aca="false">I204*(1-F204)*(1-H204)</f>
        <v>0.658840240599904</v>
      </c>
      <c r="J205" s="30" t="n">
        <f aca="false">INDEX(Discount_Monthly!$G$4:$G$664,MATCH(A205,Discount_Monthly!$A$4:$A$664,0))</f>
        <v>0.59967159070636</v>
      </c>
      <c r="K205" s="30" t="n">
        <f aca="false">IF(C205&lt;Assumptions!$B$5,I205*J205,0)</f>
        <v>0</v>
      </c>
      <c r="L205" s="30" t="n">
        <f aca="false">IF(C205&lt;Assumptions!$B$5,I205*(1-F205)*H205*A205*J205,0)</f>
        <v>0</v>
      </c>
      <c r="M205" s="30" t="n">
        <f aca="false">IF(A205=0,Assumptions!$B$14*12*I205*J205,IF(AND(A205&gt;=12,C205&lt;Assumptions!$B$5),Assumptions!$B$15*I205*J205,0))</f>
        <v>0</v>
      </c>
      <c r="N205" s="47" t="n">
        <f aca="false">IF(C205&gt;=Assumptions!$B$5,I205*Assumptions!$B$9/12*(1+Assumptions!$B$10)^INT(A205/12)*J205,0)</f>
        <v>723.161133221267</v>
      </c>
      <c r="O205" s="47" t="n">
        <f aca="false">I205*Assumptions!$B$12/12*(1+Assumptions!$B$11)^(INT(A205/12)+1)*J205</f>
        <v>4.00781848908587</v>
      </c>
      <c r="P205" s="47" t="n">
        <f aca="false">O205+Pricing_M!$B$13*M205+N205-Pricing_M!$B$13*K205</f>
        <v>727.168951710353</v>
      </c>
      <c r="Q205" s="47" t="n">
        <f aca="false">IF(C205&lt;Assumptions!$B$5,Pricing_M!$B$13*K205-Pricing_M!$B$13*M205-O205,-(N205+O205))</f>
        <v>-727.168951710353</v>
      </c>
      <c r="R205" s="32" t="n">
        <f aca="false">R204*(1-(1-(1-MIN(1,E204*(1-Assumptions!$B$21)))^(1/12)))*(1-H204)</f>
        <v>0.689007236303851</v>
      </c>
      <c r="S205" s="47" t="n">
        <f aca="false">R205*(IF(C205&lt;Assumptions!$B$5,Assumptions!$B$12*(1+Assumptions!$B$11)^(INT(A205/12)+1)/12+Pricing_M!$B$13*IF(A205=0,Assumptions!$B$14*12,IF(A205&gt;=12,Assumptions!$B$15,0))-Pricing_M!$B$13,Assumptions!$B$9/12*(1+Assumptions!$B$10)^INT(A205/12)+Assumptions!$B$12*(1+Assumptions!$B$11)^(INT(A205/12)+1)/12))*J205</f>
        <v>760.464584384999</v>
      </c>
      <c r="T205" s="32" t="n">
        <f aca="false">T204*(1-F204)*(1-(1-(1-MIN(1,G204*(1+Assumptions!$B$23)))^(1/12)))</f>
        <v>0.596829441137472</v>
      </c>
      <c r="U205" s="47" t="n">
        <f aca="false">T205*(IF(C205&lt;Assumptions!$B$5,Assumptions!$B$12*(1+Assumptions!$B$11)^(INT(A205/12)+1)/12+Pricing_M!$B$13*IF(A205=0,Assumptions!$B$14*12,IF(A205&gt;=12,Assumptions!$B$15,0))-Pricing_M!$B$13,Assumptions!$B$9/12*(1+Assumptions!$B$10)^INT(A205/12)+Assumptions!$B$12*(1+Assumptions!$B$11)^(INT(A205/12)+1)/12))*J205</f>
        <v>658.726975551218</v>
      </c>
      <c r="V205" s="32" t="n">
        <f aca="false">V204*(1-F204)*(1-(1-(1-MIN(1,G204*(1-Assumptions!$B$23)))^(1/12)))</f>
        <v>0.726626682891448</v>
      </c>
      <c r="W205" s="47" t="n">
        <f aca="false">V205*(IF(C205&lt;Assumptions!$B$5,Assumptions!$B$12*(1+Assumptions!$B$11)^(INT(A205/12)+1)/12+Pricing_M!$B$13*IF(A205=0,Assumptions!$B$14*12,IF(A205&gt;=12,Assumptions!$B$15,0))-Pricing_M!$B$13,Assumptions!$B$9/12*(1+Assumptions!$B$10)^INT(A205/12)+Assumptions!$B$12*(1+Assumptions!$B$11)^(INT(A205/12)+1)/12))*J205</f>
        <v>801.985566033172</v>
      </c>
      <c r="X205" s="47" t="n">
        <f aca="false">I205*(IF(C205&lt;Assumptions!$B$5,Assumptions!$B$12*(1+Assumptions!$B$11)*(1+Assumptions!$B$24)*(1+Assumptions!$B$11+Assumptions!$B$25)^(INT(A205/12))/12+Pricing_M!$B$13*IF(A205=0,Assumptions!$B$14*12,IF(A205&gt;=12,Assumptions!$B$15,0))-Pricing_M!$B$13,Assumptions!$B$9/12*(1+Assumptions!$B$10)^INT(A205/12)+Assumptions!$B$12*(1+Assumptions!$B$11)*(1+Assumptions!$B$24)*(1+Assumptions!$B$11+Assumptions!$B$25)^(INT(A205/12))/12))*J205</f>
        <v>728.310626315045</v>
      </c>
    </row>
    <row r="206" customFormat="false" ht="15" hidden="false" customHeight="true" outlineLevel="0" collapsed="false">
      <c r="A206" s="1" t="n">
        <v>199</v>
      </c>
      <c r="B206" s="31" t="n">
        <f aca="false">Assumptions!$B$4+A206/12</f>
        <v>81.5833333333333</v>
      </c>
      <c r="C206" s="34" t="n">
        <f aca="false">Assumptions!$B$4+INT(A206/12)</f>
        <v>81</v>
      </c>
      <c r="D206" s="34" t="n">
        <f aca="false">INT(A206/12)+1</f>
        <v>17</v>
      </c>
      <c r="E206" s="32" t="n">
        <f aca="false">IFERROR(INDEX(Cohort_Survival!$G$5:$G$65,MATCH(C206,Cohort_Survival!$A$5:$A$65,0)),1)</f>
        <v>0.0303629165500609</v>
      </c>
      <c r="F206" s="30" t="n">
        <f aca="false">1-(1-MIN(1,E206))^(1/12)</f>
        <v>0.00256615330708432</v>
      </c>
      <c r="G206" s="39" t="n">
        <f aca="false">IF(C206&lt;Assumptions!$B$5,IF(D206=1,Assumptions!$B$16,IF(D206=2,Assumptions!$B$17,IF(D206&lt;=5,Assumptions!$B$18,Assumptions!$B$19)))*(1-Assumptions!$B$20),0)</f>
        <v>0</v>
      </c>
      <c r="H206" s="30" t="n">
        <f aca="false">1-(1-G206)^(1/12)</f>
        <v>0</v>
      </c>
      <c r="I206" s="30" t="n">
        <f aca="false">I205*(1-F205)*(1-H205)</f>
        <v>0.657149555537648</v>
      </c>
      <c r="J206" s="30" t="n">
        <f aca="false">INDEX(Discount_Monthly!$G$4:$G$664,MATCH(A206,Discount_Monthly!$A$4:$A$664,0))</f>
        <v>0.597989416048825</v>
      </c>
      <c r="K206" s="30" t="n">
        <f aca="false">IF(C206&lt;Assumptions!$B$5,I206*J206,0)</f>
        <v>0</v>
      </c>
      <c r="L206" s="30" t="n">
        <f aca="false">IF(C206&lt;Assumptions!$B$5,I206*(1-F206)*H206*A206*J206,0)</f>
        <v>0</v>
      </c>
      <c r="M206" s="30" t="n">
        <f aca="false">IF(A206=0,Assumptions!$B$14*12*I206*J206,IF(AND(A206&gt;=12,C206&lt;Assumptions!$B$5),Assumptions!$B$15*I206*J206,0))</f>
        <v>0</v>
      </c>
      <c r="N206" s="47" t="n">
        <f aca="false">IF(C206&gt;=Assumptions!$B$5,I206*Assumptions!$B$9/12*(1+Assumptions!$B$10)^INT(A206/12)*J206,0)</f>
        <v>719.282013979904</v>
      </c>
      <c r="O206" s="47" t="n">
        <f aca="false">I206*Assumptions!$B$12/12*(1+Assumptions!$B$11)^(INT(A206/12)+1)*J206</f>
        <v>3.98632009114563</v>
      </c>
      <c r="P206" s="47" t="n">
        <f aca="false">O206+Pricing_M!$B$13*M206+N206-Pricing_M!$B$13*K206</f>
        <v>723.26833407105</v>
      </c>
      <c r="Q206" s="47" t="n">
        <f aca="false">IF(C206&lt;Assumptions!$B$5,Pricing_M!$B$13*K206-Pricing_M!$B$13*M206-O206,-(N206+O206))</f>
        <v>-723.26833407105</v>
      </c>
      <c r="R206" s="32" t="n">
        <f aca="false">R205*(1-(1-(1-MIN(1,E205*(1-Assumptions!$B$21)))^(1/12)))*(1-H205)</f>
        <v>0.687596779255324</v>
      </c>
      <c r="S206" s="47" t="n">
        <f aca="false">R206*(IF(C206&lt;Assumptions!$B$5,Assumptions!$B$12*(1+Assumptions!$B$11)^(INT(A206/12)+1)/12+Pricing_M!$B$13*IF(A206=0,Assumptions!$B$14*12,IF(A206&gt;=12,Assumptions!$B$15,0))-Pricing_M!$B$13,Assumptions!$B$9/12*(1+Assumptions!$B$10)^INT(A206/12)+Assumptions!$B$12*(1+Assumptions!$B$11)^(INT(A206/12)+1)/12))*J206</f>
        <v>756.778990191565</v>
      </c>
      <c r="T206" s="32" t="n">
        <f aca="false">T205*(1-F205)*(1-(1-(1-MIN(1,G205*(1+Assumptions!$B$23)))^(1/12)))</f>
        <v>0.595297885293332</v>
      </c>
      <c r="U206" s="47" t="n">
        <f aca="false">T206*(IF(C206&lt;Assumptions!$B$5,Assumptions!$B$12*(1+Assumptions!$B$11)^(INT(A206/12)+1)/12+Pricing_M!$B$13*IF(A206=0,Assumptions!$B$14*12,IF(A206&gt;=12,Assumptions!$B$15,0))-Pricing_M!$B$13,Assumptions!$B$9/12*(1+Assumptions!$B$10)^INT(A206/12)+Assumptions!$B$12*(1+Assumptions!$B$11)^(INT(A206/12)+1)/12))*J206</f>
        <v>655.193488520072</v>
      </c>
      <c r="V206" s="32" t="n">
        <f aca="false">V205*(1-F205)*(1-(1-(1-MIN(1,G205*(1-Assumptions!$B$23)))^(1/12)))</f>
        <v>0.724762047426131</v>
      </c>
      <c r="W206" s="47" t="n">
        <f aca="false">V206*(IF(C206&lt;Assumptions!$B$5,Assumptions!$B$12*(1+Assumptions!$B$11)^(INT(A206/12)+1)/12+Pricing_M!$B$13*IF(A206=0,Assumptions!$B$14*12,IF(A206&gt;=12,Assumptions!$B$15,0))-Pricing_M!$B$13,Assumptions!$B$9/12*(1+Assumptions!$B$10)^INT(A206/12)+Assumptions!$B$12*(1+Assumptions!$B$11)^(INT(A206/12)+1)/12))*J206</f>
        <v>797.68362349564</v>
      </c>
      <c r="X206" s="47" t="n">
        <f aca="false">I206*(IF(C206&lt;Assumptions!$B$5,Assumptions!$B$12*(1+Assumptions!$B$11)*(1+Assumptions!$B$24)*(1+Assumptions!$B$11+Assumptions!$B$25)^(INT(A206/12))/12+Pricing_M!$B$13*IF(A206=0,Assumptions!$B$14*12,IF(A206&gt;=12,Assumptions!$B$15,0))-Pricing_M!$B$13,Assumptions!$B$9/12*(1+Assumptions!$B$10)^INT(A206/12)+Assumptions!$B$12*(1+Assumptions!$B$11)*(1+Assumptions!$B$24)*(1+Assumptions!$B$11+Assumptions!$B$25)^(INT(A206/12))/12))*J206</f>
        <v>724.403884602249</v>
      </c>
    </row>
    <row r="207" customFormat="false" ht="15" hidden="false" customHeight="true" outlineLevel="0" collapsed="false">
      <c r="A207" s="1" t="n">
        <v>200</v>
      </c>
      <c r="B207" s="31" t="n">
        <f aca="false">Assumptions!$B$4+A207/12</f>
        <v>81.6666666666667</v>
      </c>
      <c r="C207" s="34" t="n">
        <f aca="false">Assumptions!$B$4+INT(A207/12)</f>
        <v>81</v>
      </c>
      <c r="D207" s="34" t="n">
        <f aca="false">INT(A207/12)+1</f>
        <v>17</v>
      </c>
      <c r="E207" s="32" t="n">
        <f aca="false">IFERROR(INDEX(Cohort_Survival!$G$5:$G$65,MATCH(C207,Cohort_Survival!$A$5:$A$65,0)),1)</f>
        <v>0.0303629165500609</v>
      </c>
      <c r="F207" s="30" t="n">
        <f aca="false">1-(1-MIN(1,E207))^(1/12)</f>
        <v>0.00256615330708432</v>
      </c>
      <c r="G207" s="39" t="n">
        <f aca="false">IF(C207&lt;Assumptions!$B$5,IF(D207=1,Assumptions!$B$16,IF(D207=2,Assumptions!$B$17,IF(D207&lt;=5,Assumptions!$B$18,Assumptions!$B$19)))*(1-Assumptions!$B$20),0)</f>
        <v>0</v>
      </c>
      <c r="H207" s="30" t="n">
        <f aca="false">1-(1-G207)^(1/12)</f>
        <v>0</v>
      </c>
      <c r="I207" s="30" t="n">
        <f aca="false">I206*(1-F206)*(1-H206)</f>
        <v>0.655463209032457</v>
      </c>
      <c r="J207" s="30" t="n">
        <f aca="false">INDEX(Discount_Monthly!$G$4:$G$664,MATCH(A207,Discount_Monthly!$A$4:$A$664,0))</f>
        <v>0.596311960160067</v>
      </c>
      <c r="K207" s="30" t="n">
        <f aca="false">IF(C207&lt;Assumptions!$B$5,I207*J207,0)</f>
        <v>0</v>
      </c>
      <c r="L207" s="30" t="n">
        <f aca="false">IF(C207&lt;Assumptions!$B$5,I207*(1-F207)*H207*A207*J207,0)</f>
        <v>0</v>
      </c>
      <c r="M207" s="30" t="n">
        <f aca="false">IF(A207=0,Assumptions!$B$14*12*I207*J207,IF(AND(A207&gt;=12,C207&lt;Assumptions!$B$5),Assumptions!$B$15*I207*J207,0))</f>
        <v>0</v>
      </c>
      <c r="N207" s="47" t="n">
        <f aca="false">IF(C207&gt;=Assumptions!$B$5,I207*Assumptions!$B$9/12*(1+Assumptions!$B$10)^INT(A207/12)*J207,0)</f>
        <v>715.423702778958</v>
      </c>
      <c r="O207" s="47" t="n">
        <f aca="false">I207*Assumptions!$B$12/12*(1+Assumptions!$B$11)^(INT(A207/12)+1)*J207</f>
        <v>3.9649370130771</v>
      </c>
      <c r="P207" s="47" t="n">
        <f aca="false">O207+Pricing_M!$B$13*M207+N207-Pricing_M!$B$13*K207</f>
        <v>719.388639792035</v>
      </c>
      <c r="Q207" s="47" t="n">
        <f aca="false">IF(C207&lt;Assumptions!$B$5,Pricing_M!$B$13*K207-Pricing_M!$B$13*M207-O207,-(N207+O207))</f>
        <v>-719.388639792035</v>
      </c>
      <c r="R207" s="32" t="n">
        <f aca="false">R206*(1-(1-(1-MIN(1,E206*(1-Assumptions!$B$21)))^(1/12)))*(1-H206)</f>
        <v>0.686189209533637</v>
      </c>
      <c r="S207" s="47" t="n">
        <f aca="false">R207*(IF(C207&lt;Assumptions!$B$5,Assumptions!$B$12*(1+Assumptions!$B$11)^(INT(A207/12)+1)/12+Pricing_M!$B$13*IF(A207=0,Assumptions!$B$14*12,IF(A207&gt;=12,Assumptions!$B$15,0))-Pricing_M!$B$13,Assumptions!$B$9/12*(1+Assumptions!$B$10)^INT(A207/12)+Assumptions!$B$12*(1+Assumptions!$B$11)^(INT(A207/12)+1)/12))*J207</f>
        <v>753.111258242919</v>
      </c>
      <c r="T207" s="32" t="n">
        <f aca="false">T206*(1-F206)*(1-(1-(1-MIN(1,G206*(1+Assumptions!$B$23)))^(1/12)))</f>
        <v>0.593770259656286</v>
      </c>
      <c r="U207" s="47" t="n">
        <f aca="false">T207*(IF(C207&lt;Assumptions!$B$5,Assumptions!$B$12*(1+Assumptions!$B$11)^(INT(A207/12)+1)/12+Pricing_M!$B$13*IF(A207=0,Assumptions!$B$14*12,IF(A207&gt;=12,Assumptions!$B$15,0))-Pricing_M!$B$13,Assumptions!$B$9/12*(1+Assumptions!$B$10)^INT(A207/12)+Assumptions!$B$12*(1+Assumptions!$B$11)^(INT(A207/12)+1)/12))*J207</f>
        <v>651.678955518537</v>
      </c>
      <c r="V207" s="32" t="n">
        <f aca="false">V206*(1-F206)*(1-(1-(1-MIN(1,G206*(1-Assumptions!$B$23)))^(1/12)))</f>
        <v>0.722902196901279</v>
      </c>
      <c r="W207" s="47" t="n">
        <f aca="false">V207*(IF(C207&lt;Assumptions!$B$5,Assumptions!$B$12*(1+Assumptions!$B$11)^(INT(A207/12)+1)/12+Pricing_M!$B$13*IF(A207=0,Assumptions!$B$14*12,IF(A207&gt;=12,Assumptions!$B$15,0))-Pricing_M!$B$13,Assumptions!$B$9/12*(1+Assumptions!$B$10)^INT(A207/12)+Assumptions!$B$12*(1+Assumptions!$B$11)^(INT(A207/12)+1)/12))*J207</f>
        <v>793.404757071169</v>
      </c>
      <c r="X207" s="47" t="n">
        <f aca="false">I207*(IF(C207&lt;Assumptions!$B$5,Assumptions!$B$12*(1+Assumptions!$B$11)*(1+Assumptions!$B$24)*(1+Assumptions!$B$11+Assumptions!$B$25)^(INT(A207/12))/12+Pricing_M!$B$13*IF(A207=0,Assumptions!$B$14*12,IF(A207&gt;=12,Assumptions!$B$15,0))-Pricing_M!$B$13,Assumptions!$B$9/12*(1+Assumptions!$B$10)^INT(A207/12)+Assumptions!$B$12*(1+Assumptions!$B$11)*(1+Assumptions!$B$24)*(1+Assumptions!$B$11+Assumptions!$B$25)^(INT(A207/12))/12))*J207</f>
        <v>720.518099099976</v>
      </c>
    </row>
    <row r="208" customFormat="false" ht="15" hidden="false" customHeight="true" outlineLevel="0" collapsed="false">
      <c r="A208" s="1" t="n">
        <v>201</v>
      </c>
      <c r="B208" s="31" t="n">
        <f aca="false">Assumptions!$B$4+A208/12</f>
        <v>81.75</v>
      </c>
      <c r="C208" s="34" t="n">
        <f aca="false">Assumptions!$B$4+INT(A208/12)</f>
        <v>81</v>
      </c>
      <c r="D208" s="34" t="n">
        <f aca="false">INT(A208/12)+1</f>
        <v>17</v>
      </c>
      <c r="E208" s="32" t="n">
        <f aca="false">IFERROR(INDEX(Cohort_Survival!$G$5:$G$65,MATCH(C208,Cohort_Survival!$A$5:$A$65,0)),1)</f>
        <v>0.0303629165500609</v>
      </c>
      <c r="F208" s="30" t="n">
        <f aca="false">1-(1-MIN(1,E208))^(1/12)</f>
        <v>0.00256615330708432</v>
      </c>
      <c r="G208" s="39" t="n">
        <f aca="false">IF(C208&lt;Assumptions!$B$5,IF(D208=1,Assumptions!$B$16,IF(D208=2,Assumptions!$B$17,IF(D208&lt;=5,Assumptions!$B$18,Assumptions!$B$19)))*(1-Assumptions!$B$20),0)</f>
        <v>0</v>
      </c>
      <c r="H208" s="30" t="n">
        <f aca="false">1-(1-G208)^(1/12)</f>
        <v>0</v>
      </c>
      <c r="I208" s="30" t="n">
        <f aca="false">I207*(1-F207)*(1-H207)</f>
        <v>0.653781189950926</v>
      </c>
      <c r="J208" s="30" t="n">
        <f aca="false">INDEX(Discount_Monthly!$G$4:$G$664,MATCH(A208,Discount_Monthly!$A$4:$A$664,0))</f>
        <v>0.594639209803184</v>
      </c>
      <c r="K208" s="30" t="n">
        <f aca="false">IF(C208&lt;Assumptions!$B$5,I208*J208,0)</f>
        <v>0</v>
      </c>
      <c r="L208" s="30" t="n">
        <f aca="false">IF(C208&lt;Assumptions!$B$5,I208*(1-F208)*H208*A208*J208,0)</f>
        <v>0</v>
      </c>
      <c r="M208" s="30" t="n">
        <f aca="false">IF(A208=0,Assumptions!$B$14*12*I208*J208,IF(AND(A208&gt;=12,C208&lt;Assumptions!$B$5),Assumptions!$B$15*I208*J208,0))</f>
        <v>0</v>
      </c>
      <c r="N208" s="47" t="n">
        <f aca="false">IF(C208&gt;=Assumptions!$B$5,I208*Assumptions!$B$9/12*(1+Assumptions!$B$10)^INT(A208/12)*J208,0)</f>
        <v>711.586088001716</v>
      </c>
      <c r="O208" s="47" t="n">
        <f aca="false">I208*Assumptions!$B$12/12*(1+Assumptions!$B$11)^(INT(A208/12)+1)*J208</f>
        <v>3.94366863629127</v>
      </c>
      <c r="P208" s="47" t="n">
        <f aca="false">O208+Pricing_M!$B$13*M208+N208-Pricing_M!$B$13*K208</f>
        <v>715.529756638007</v>
      </c>
      <c r="Q208" s="47" t="n">
        <f aca="false">IF(C208&lt;Assumptions!$B$5,Pricing_M!$B$13*K208-Pricing_M!$B$13*M208-O208,-(N208+O208))</f>
        <v>-715.529756638007</v>
      </c>
      <c r="R208" s="32" t="n">
        <f aca="false">R207*(1-(1-(1-MIN(1,E207*(1-Assumptions!$B$21)))^(1/12)))*(1-H207)</f>
        <v>0.684784521228182</v>
      </c>
      <c r="S208" s="47" t="n">
        <f aca="false">R208*(IF(C208&lt;Assumptions!$B$5,Assumptions!$B$12*(1+Assumptions!$B$11)^(INT(A208/12)+1)/12+Pricing_M!$B$13*IF(A208=0,Assumptions!$B$14*12,IF(A208&gt;=12,Assumptions!$B$15,0))-Pricing_M!$B$13,Assumptions!$B$9/12*(1+Assumptions!$B$10)^INT(A208/12)+Assumptions!$B$12*(1+Assumptions!$B$11)^(INT(A208/12)+1)/12))*J208</f>
        <v>749.461301969631</v>
      </c>
      <c r="T208" s="32" t="n">
        <f aca="false">T207*(1-F207)*(1-(1-(1-MIN(1,G207*(1+Assumptions!$B$23)))^(1/12)))</f>
        <v>0.592246554140821</v>
      </c>
      <c r="U208" s="47" t="n">
        <f aca="false">T208*(IF(C208&lt;Assumptions!$B$5,Assumptions!$B$12*(1+Assumptions!$B$11)^(INT(A208/12)+1)/12+Pricing_M!$B$13*IF(A208=0,Assumptions!$B$14*12,IF(A208&gt;=12,Assumptions!$B$15,0))-Pricing_M!$B$13,Assumptions!$B$9/12*(1+Assumptions!$B$10)^INT(A208/12)+Assumptions!$B$12*(1+Assumptions!$B$11)^(INT(A208/12)+1)/12))*J208</f>
        <v>648.183274875022</v>
      </c>
      <c r="V208" s="32" t="n">
        <f aca="false">V207*(1-F207)*(1-(1-(1-MIN(1,G207*(1-Assumptions!$B$23)))^(1/12)))</f>
        <v>0.721047119038002</v>
      </c>
      <c r="W208" s="47" t="n">
        <f aca="false">V208*(IF(C208&lt;Assumptions!$B$5,Assumptions!$B$12*(1+Assumptions!$B$11)^(INT(A208/12)+1)/12+Pricing_M!$B$13*IF(A208=0,Assumptions!$B$14*12,IF(A208&gt;=12,Assumptions!$B$15,0))-Pricing_M!$B$13,Assumptions!$B$9/12*(1+Assumptions!$B$10)^INT(A208/12)+Assumptions!$B$12*(1+Assumptions!$B$11)^(INT(A208/12)+1)/12))*J208</f>
        <v>789.148842976845</v>
      </c>
      <c r="X208" s="47" t="n">
        <f aca="false">I208*(IF(C208&lt;Assumptions!$B$5,Assumptions!$B$12*(1+Assumptions!$B$11)*(1+Assumptions!$B$24)*(1+Assumptions!$B$11+Assumptions!$B$25)^(INT(A208/12))/12+Pricing_M!$B$13*IF(A208=0,Assumptions!$B$14*12,IF(A208&gt;=12,Assumptions!$B$15,0))-Pricing_M!$B$13,Assumptions!$B$9/12*(1+Assumptions!$B$10)^INT(A208/12)+Assumptions!$B$12*(1+Assumptions!$B$11)*(1+Assumptions!$B$24)*(1+Assumptions!$B$11+Assumptions!$B$25)^(INT(A208/12))/12))*J208</f>
        <v>716.653157396708</v>
      </c>
    </row>
    <row r="209" customFormat="false" ht="15" hidden="false" customHeight="true" outlineLevel="0" collapsed="false">
      <c r="A209" s="1" t="n">
        <v>202</v>
      </c>
      <c r="B209" s="31" t="n">
        <f aca="false">Assumptions!$B$4+A209/12</f>
        <v>81.8333333333333</v>
      </c>
      <c r="C209" s="34" t="n">
        <f aca="false">Assumptions!$B$4+INT(A209/12)</f>
        <v>81</v>
      </c>
      <c r="D209" s="34" t="n">
        <f aca="false">INT(A209/12)+1</f>
        <v>17</v>
      </c>
      <c r="E209" s="32" t="n">
        <f aca="false">IFERROR(INDEX(Cohort_Survival!$G$5:$G$65,MATCH(C209,Cohort_Survival!$A$5:$A$65,0)),1)</f>
        <v>0.0303629165500609</v>
      </c>
      <c r="F209" s="30" t="n">
        <f aca="false">1-(1-MIN(1,E209))^(1/12)</f>
        <v>0.00256615330708432</v>
      </c>
      <c r="G209" s="39" t="n">
        <f aca="false">IF(C209&lt;Assumptions!$B$5,IF(D209=1,Assumptions!$B$16,IF(D209=2,Assumptions!$B$17,IF(D209&lt;=5,Assumptions!$B$18,Assumptions!$B$19)))*(1-Assumptions!$B$20),0)</f>
        <v>0</v>
      </c>
      <c r="H209" s="30" t="n">
        <f aca="false">1-(1-G209)^(1/12)</f>
        <v>0</v>
      </c>
      <c r="I209" s="30" t="n">
        <f aca="false">I208*(1-F208)*(1-H208)</f>
        <v>0.652103487188224</v>
      </c>
      <c r="J209" s="30" t="n">
        <f aca="false">INDEX(Discount_Monthly!$G$4:$G$664,MATCH(A209,Discount_Monthly!$A$4:$A$664,0))</f>
        <v>0.592971151778409</v>
      </c>
      <c r="K209" s="30" t="n">
        <f aca="false">IF(C209&lt;Assumptions!$B$5,I209*J209,0)</f>
        <v>0</v>
      </c>
      <c r="L209" s="30" t="n">
        <f aca="false">IF(C209&lt;Assumptions!$B$5,I209*(1-F209)*H209*A209*J209,0)</f>
        <v>0</v>
      </c>
      <c r="M209" s="30" t="n">
        <f aca="false">IF(A209=0,Assumptions!$B$14*12*I209*J209,IF(AND(A209&gt;=12,C209&lt;Assumptions!$B$5),Assumptions!$B$15*I209*J209,0))</f>
        <v>0</v>
      </c>
      <c r="N209" s="47" t="n">
        <f aca="false">IF(C209&gt;=Assumptions!$B$5,I209*Assumptions!$B$9/12*(1+Assumptions!$B$10)^INT(A209/12)*J209,0)</f>
        <v>707.769058630187</v>
      </c>
      <c r="O209" s="47" t="n">
        <f aca="false">I209*Assumptions!$B$12/12*(1+Assumptions!$B$11)^(INT(A209/12)+1)*J209</f>
        <v>3.9225143455173</v>
      </c>
      <c r="P209" s="47" t="n">
        <f aca="false">O209+Pricing_M!$B$13*M209+N209-Pricing_M!$B$13*K209</f>
        <v>711.691572975704</v>
      </c>
      <c r="Q209" s="47" t="n">
        <f aca="false">IF(C209&lt;Assumptions!$B$5,Pricing_M!$B$13*K209-Pricing_M!$B$13*M209-O209,-(N209+O209))</f>
        <v>-711.691572975704</v>
      </c>
      <c r="R209" s="32" t="n">
        <f aca="false">R208*(1-(1-(1-MIN(1,E208*(1-Assumptions!$B$21)))^(1/12)))*(1-H208)</f>
        <v>0.683382708440454</v>
      </c>
      <c r="S209" s="47" t="n">
        <f aca="false">R209*(IF(C209&lt;Assumptions!$B$5,Assumptions!$B$12*(1+Assumptions!$B$11)^(INT(A209/12)+1)/12+Pricing_M!$B$13*IF(A209=0,Assumptions!$B$14*12,IF(A209&gt;=12,Assumptions!$B$15,0))-Pricing_M!$B$13,Assumptions!$B$9/12*(1+Assumptions!$B$10)^INT(A209/12)+Assumptions!$B$12*(1+Assumptions!$B$11)^(INT(A209/12)+1)/12))*J209</f>
        <v>745.829035221829</v>
      </c>
      <c r="T209" s="32" t="n">
        <f aca="false">T208*(1-F208)*(1-(1-(1-MIN(1,G208*(1+Assumptions!$B$23)))^(1/12)))</f>
        <v>0.590726758687303</v>
      </c>
      <c r="U209" s="47" t="n">
        <f aca="false">T209*(IF(C209&lt;Assumptions!$B$5,Assumptions!$B$12*(1+Assumptions!$B$11)^(INT(A209/12)+1)/12+Pricing_M!$B$13*IF(A209=0,Assumptions!$B$14*12,IF(A209&gt;=12,Assumptions!$B$15,0))-Pricing_M!$B$13,Assumptions!$B$9/12*(1+Assumptions!$B$10)^INT(A209/12)+Assumptions!$B$12*(1+Assumptions!$B$11)^(INT(A209/12)+1)/12))*J209</f>
        <v>644.706345463319</v>
      </c>
      <c r="V209" s="32" t="n">
        <f aca="false">V208*(1-F208)*(1-(1-(1-MIN(1,G208*(1-Assumptions!$B$23)))^(1/12)))</f>
        <v>0.719196801588919</v>
      </c>
      <c r="W209" s="47" t="n">
        <f aca="false">V209*(IF(C209&lt;Assumptions!$B$5,Assumptions!$B$12*(1+Assumptions!$B$11)^(INT(A209/12)+1)/12+Pricing_M!$B$13*IF(A209=0,Assumptions!$B$14*12,IF(A209&gt;=12,Assumptions!$B$15,0))-Pricing_M!$B$13,Assumptions!$B$9/12*(1+Assumptions!$B$10)^INT(A209/12)+Assumptions!$B$12*(1+Assumptions!$B$11)^(INT(A209/12)+1)/12))*J209</f>
        <v>784.915758093736</v>
      </c>
      <c r="X209" s="47" t="n">
        <f aca="false">I209*(IF(C209&lt;Assumptions!$B$5,Assumptions!$B$12*(1+Assumptions!$B$11)*(1+Assumptions!$B$24)*(1+Assumptions!$B$11+Assumptions!$B$25)^(INT(A209/12))/12+Pricing_M!$B$13*IF(A209=0,Assumptions!$B$14*12,IF(A209&gt;=12,Assumptions!$B$15,0))-Pricing_M!$B$13,Assumptions!$B$9/12*(1+Assumptions!$B$10)^INT(A209/12)+Assumptions!$B$12*(1+Assumptions!$B$11)*(1+Assumptions!$B$24)*(1+Assumptions!$B$11+Assumptions!$B$25)^(INT(A209/12))/12))*J209</f>
        <v>712.808947683918</v>
      </c>
    </row>
    <row r="210" customFormat="false" ht="15" hidden="false" customHeight="true" outlineLevel="0" collapsed="false">
      <c r="A210" s="1" t="n">
        <v>203</v>
      </c>
      <c r="B210" s="31" t="n">
        <f aca="false">Assumptions!$B$4+A210/12</f>
        <v>81.9166666666667</v>
      </c>
      <c r="C210" s="34" t="n">
        <f aca="false">Assumptions!$B$4+INT(A210/12)</f>
        <v>81</v>
      </c>
      <c r="D210" s="34" t="n">
        <f aca="false">INT(A210/12)+1</f>
        <v>17</v>
      </c>
      <c r="E210" s="32" t="n">
        <f aca="false">IFERROR(INDEX(Cohort_Survival!$G$5:$G$65,MATCH(C210,Cohort_Survival!$A$5:$A$65,0)),1)</f>
        <v>0.0303629165500609</v>
      </c>
      <c r="F210" s="30" t="n">
        <f aca="false">1-(1-MIN(1,E210))^(1/12)</f>
        <v>0.00256615330708432</v>
      </c>
      <c r="G210" s="39" t="n">
        <f aca="false">IF(C210&lt;Assumptions!$B$5,IF(D210=1,Assumptions!$B$16,IF(D210=2,Assumptions!$B$17,IF(D210&lt;=5,Assumptions!$B$18,Assumptions!$B$19)))*(1-Assumptions!$B$20),0)</f>
        <v>0</v>
      </c>
      <c r="H210" s="30" t="n">
        <f aca="false">1-(1-G210)^(1/12)</f>
        <v>0</v>
      </c>
      <c r="I210" s="30" t="n">
        <f aca="false">I209*(1-F209)*(1-H209)</f>
        <v>0.650430089668014</v>
      </c>
      <c r="J210" s="30" t="n">
        <f aca="false">INDEX(Discount_Monthly!$G$4:$G$664,MATCH(A210,Discount_Monthly!$A$4:$A$664,0))</f>
        <v>0.591307772922999</v>
      </c>
      <c r="K210" s="30" t="n">
        <f aca="false">IF(C210&lt;Assumptions!$B$5,I210*J210,0)</f>
        <v>0</v>
      </c>
      <c r="L210" s="30" t="n">
        <f aca="false">IF(C210&lt;Assumptions!$B$5,I210*(1-F210)*H210*A210*J210,0)</f>
        <v>0</v>
      </c>
      <c r="M210" s="30" t="n">
        <f aca="false">IF(A210=0,Assumptions!$B$14*12*I210*J210,IF(AND(A210&gt;=12,C210&lt;Assumptions!$B$5),Assumptions!$B$15*I210*J210,0))</f>
        <v>0</v>
      </c>
      <c r="N210" s="47" t="n">
        <f aca="false">IF(C210&gt;=Assumptions!$B$5,I210*Assumptions!$B$9/12*(1+Assumptions!$B$10)^INT(A210/12)*J210,0)</f>
        <v>703.972504241894</v>
      </c>
      <c r="O210" s="47" t="n">
        <f aca="false">I210*Assumptions!$B$12/12*(1+Assumptions!$B$11)^(INT(A210/12)+1)*J210</f>
        <v>3.90147352878474</v>
      </c>
      <c r="P210" s="47" t="n">
        <f aca="false">O210+Pricing_M!$B$13*M210+N210-Pricing_M!$B$13*K210</f>
        <v>707.873977770679</v>
      </c>
      <c r="Q210" s="47" t="n">
        <f aca="false">IF(C210&lt;Assumptions!$B$5,Pricing_M!$B$13*K210-Pricing_M!$B$13*M210-O210,-(N210+O210))</f>
        <v>-707.873977770679</v>
      </c>
      <c r="R210" s="32" t="n">
        <f aca="false">R209*(1-(1-(1-MIN(1,E209*(1-Assumptions!$B$21)))^(1/12)))*(1-H209)</f>
        <v>0.681983765284019</v>
      </c>
      <c r="S210" s="47" t="n">
        <f aca="false">R210*(IF(C210&lt;Assumptions!$B$5,Assumptions!$B$12*(1+Assumptions!$B$11)^(INT(A210/12)+1)/12+Pricing_M!$B$13*IF(A210=0,Assumptions!$B$14*12,IF(A210&gt;=12,Assumptions!$B$15,0))-Pricing_M!$B$13,Assumptions!$B$9/12*(1+Assumptions!$B$10)^INT(A210/12)+Assumptions!$B$12*(1+Assumptions!$B$11)^(INT(A210/12)+1)/12))*J210</f>
        <v>742.214372267169</v>
      </c>
      <c r="T210" s="32" t="n">
        <f aca="false">T209*(1-F209)*(1-(1-(1-MIN(1,G209*(1+Assumptions!$B$23)))^(1/12)))</f>
        <v>0.589210863261914</v>
      </c>
      <c r="U210" s="47" t="n">
        <f aca="false">T210*(IF(C210&lt;Assumptions!$B$5,Assumptions!$B$12*(1+Assumptions!$B$11)^(INT(A210/12)+1)/12+Pricing_M!$B$13*IF(A210=0,Assumptions!$B$14*12,IF(A210&gt;=12,Assumptions!$B$15,0))-Pricing_M!$B$13,Assumptions!$B$9/12*(1+Assumptions!$B$10)^INT(A210/12)+Assumptions!$B$12*(1+Assumptions!$B$11)^(INT(A210/12)+1)/12))*J210</f>
        <v>641.24806669967</v>
      </c>
      <c r="V210" s="32" t="n">
        <f aca="false">V209*(1-F209)*(1-(1-(1-MIN(1,G209*(1-Assumptions!$B$23)))^(1/12)))</f>
        <v>0.717351232338077</v>
      </c>
      <c r="W210" s="47" t="n">
        <f aca="false">V210*(IF(C210&lt;Assumptions!$B$5,Assumptions!$B$12*(1+Assumptions!$B$11)^(INT(A210/12)+1)/12+Pricing_M!$B$13*IF(A210=0,Assumptions!$B$14*12,IF(A210&gt;=12,Assumptions!$B$15,0))-Pricing_M!$B$13,Assumptions!$B$9/12*(1+Assumptions!$B$10)^INT(A210/12)+Assumptions!$B$12*(1+Assumptions!$B$11)^(INT(A210/12)+1)/12))*J210</f>
        <v>780.705379963335</v>
      </c>
      <c r="X210" s="47" t="n">
        <f aca="false">I210*(IF(C210&lt;Assumptions!$B$5,Assumptions!$B$12*(1+Assumptions!$B$11)*(1+Assumptions!$B$24)*(1+Assumptions!$B$11+Assumptions!$B$25)^(INT(A210/12))/12+Pricing_M!$B$13*IF(A210=0,Assumptions!$B$14*12,IF(A210&gt;=12,Assumptions!$B$15,0))-Pricing_M!$B$13,Assumptions!$B$9/12*(1+Assumptions!$B$10)^INT(A210/12)+Assumptions!$B$12*(1+Assumptions!$B$11)*(1+Assumptions!$B$24)*(1+Assumptions!$B$11+Assumptions!$B$25)^(INT(A210/12))/12))*J210</f>
        <v>708.985358752832</v>
      </c>
    </row>
    <row r="211" customFormat="false" ht="15" hidden="false" customHeight="true" outlineLevel="0" collapsed="false">
      <c r="A211" s="1" t="n">
        <v>204</v>
      </c>
      <c r="B211" s="31" t="n">
        <f aca="false">Assumptions!$B$4+A211/12</f>
        <v>82</v>
      </c>
      <c r="C211" s="34" t="n">
        <f aca="false">Assumptions!$B$4+INT(A211/12)</f>
        <v>82</v>
      </c>
      <c r="D211" s="34" t="n">
        <f aca="false">INT(A211/12)+1</f>
        <v>18</v>
      </c>
      <c r="E211" s="32" t="n">
        <f aca="false">IFERROR(INDEX(Cohort_Survival!$G$5:$G$65,MATCH(C211,Cohort_Survival!$A$5:$A$65,0)),1)</f>
        <v>0.0340814438183777</v>
      </c>
      <c r="F211" s="30" t="n">
        <f aca="false">1-(1-MIN(1,E211))^(1/12)</f>
        <v>0.00288547554784491</v>
      </c>
      <c r="G211" s="39" t="n">
        <f aca="false">IF(C211&lt;Assumptions!$B$5,IF(D211=1,Assumptions!$B$16,IF(D211=2,Assumptions!$B$17,IF(D211&lt;=5,Assumptions!$B$18,Assumptions!$B$19)))*(1-Assumptions!$B$20),0)</f>
        <v>0</v>
      </c>
      <c r="H211" s="30" t="n">
        <f aca="false">1-(1-G211)^(1/12)</f>
        <v>0</v>
      </c>
      <c r="I211" s="30" t="n">
        <f aca="false">I210*(1-F210)*(1-H210)</f>
        <v>0.648760986342386</v>
      </c>
      <c r="J211" s="30" t="n">
        <f aca="false">INDEX(Discount_Monthly!$G$4:$G$664,MATCH(A211,Discount_Monthly!$A$4:$A$664,0))</f>
        <v>0.589649060111137</v>
      </c>
      <c r="K211" s="30" t="n">
        <f aca="false">IF(C211&lt;Assumptions!$B$5,I211*J211,0)</f>
        <v>0</v>
      </c>
      <c r="L211" s="30" t="n">
        <f aca="false">IF(C211&lt;Assumptions!$B$5,I211*(1-F211)*H211*A211*J211,0)</f>
        <v>0</v>
      </c>
      <c r="M211" s="30" t="n">
        <f aca="false">IF(A211=0,Assumptions!$B$14*12*I211*J211,IF(AND(A211&gt;=12,C211&lt;Assumptions!$B$5),Assumptions!$B$15*I211*J211,0))</f>
        <v>0</v>
      </c>
      <c r="N211" s="47" t="n">
        <f aca="false">IF(C211&gt;=Assumptions!$B$5,I211*Assumptions!$B$9/12*(1+Assumptions!$B$10)^INT(A211/12)*J211,0)</f>
        <v>714.200241306814</v>
      </c>
      <c r="O211" s="47" t="n">
        <f aca="false">I211*Assumptions!$B$12/12*(1+Assumptions!$B$11)^(INT(A211/12)+1)*J211</f>
        <v>3.97755921684096</v>
      </c>
      <c r="P211" s="47" t="n">
        <f aca="false">O211+Pricing_M!$B$13*M211+N211-Pricing_M!$B$13*K211</f>
        <v>718.177800523655</v>
      </c>
      <c r="Q211" s="47" t="n">
        <f aca="false">IF(C211&lt;Assumptions!$B$5,Pricing_M!$B$13*K211-Pricing_M!$B$13*M211-O211,-(N211+O211))</f>
        <v>-718.177800523655</v>
      </c>
      <c r="R211" s="32" t="n">
        <f aca="false">R210*(1-(1-(1-MIN(1,E210*(1-Assumptions!$B$21)))^(1/12)))*(1-H210)</f>
        <v>0.680587685884497</v>
      </c>
      <c r="S211" s="47" t="n">
        <f aca="false">R211*(IF(C211&lt;Assumptions!$B$5,Assumptions!$B$12*(1+Assumptions!$B$11)^(INT(A211/12)+1)/12+Pricing_M!$B$13*IF(A211=0,Assumptions!$B$14*12,IF(A211&gt;=12,Assumptions!$B$15,0))-Pricing_M!$B$13,Assumptions!$B$9/12*(1+Assumptions!$B$10)^INT(A211/12)+Assumptions!$B$12*(1+Assumptions!$B$11)^(INT(A211/12)+1)/12))*J211</f>
        <v>753.409926925006</v>
      </c>
      <c r="T211" s="32" t="n">
        <f aca="false">T210*(1-F210)*(1-(1-(1-MIN(1,G210*(1+Assumptions!$B$23)))^(1/12)))</f>
        <v>0.587698857856585</v>
      </c>
      <c r="U211" s="47" t="n">
        <f aca="false">T211*(IF(C211&lt;Assumptions!$B$5,Assumptions!$B$12*(1+Assumptions!$B$11)^(INT(A211/12)+1)/12+Pricing_M!$B$13*IF(A211=0,Assumptions!$B$14*12,IF(A211&gt;=12,Assumptions!$B$15,0))-Pricing_M!$B$13,Assumptions!$B$9/12*(1+Assumptions!$B$10)^INT(A211/12)+Assumptions!$B$12*(1+Assumptions!$B$11)^(INT(A211/12)+1)/12))*J211</f>
        <v>650.58208183153</v>
      </c>
      <c r="V211" s="32" t="n">
        <f aca="false">V210*(1-F210)*(1-(1-(1-MIN(1,G210*(1-Assumptions!$B$23)))^(1/12)))</f>
        <v>0.715510399100872</v>
      </c>
      <c r="W211" s="47" t="n">
        <f aca="false">V211*(IF(C211&lt;Assumptions!$B$5,Assumptions!$B$12*(1+Assumptions!$B$11)^(INT(A211/12)+1)/12+Pricing_M!$B$13*IF(A211=0,Assumptions!$B$14*12,IF(A211&gt;=12,Assumptions!$B$15,0))-Pricing_M!$B$13,Assumptions!$B$9/12*(1+Assumptions!$B$10)^INT(A211/12)+Assumptions!$B$12*(1+Assumptions!$B$11)^(INT(A211/12)+1)/12))*J211</f>
        <v>792.069337546252</v>
      </c>
      <c r="X211" s="47" t="n">
        <f aca="false">I211*(IF(C211&lt;Assumptions!$B$5,Assumptions!$B$12*(1+Assumptions!$B$11)*(1+Assumptions!$B$24)*(1+Assumptions!$B$11+Assumptions!$B$25)^(INT(A211/12))/12+Pricing_M!$B$13*IF(A211=0,Assumptions!$B$14*12,IF(A211&gt;=12,Assumptions!$B$15,0))-Pricing_M!$B$13,Assumptions!$B$9/12*(1+Assumptions!$B$10)^INT(A211/12)+Assumptions!$B$12*(1+Assumptions!$B$11)*(1+Assumptions!$B$24)*(1+Assumptions!$B$11+Assumptions!$B$25)^(INT(A211/12))/12))*J211</f>
        <v>719.360715065804</v>
      </c>
    </row>
    <row r="212" customFormat="false" ht="15" hidden="false" customHeight="true" outlineLevel="0" collapsed="false">
      <c r="A212" s="1" t="n">
        <v>205</v>
      </c>
      <c r="B212" s="31" t="n">
        <f aca="false">Assumptions!$B$4+A212/12</f>
        <v>82.0833333333333</v>
      </c>
      <c r="C212" s="34" t="n">
        <f aca="false">Assumptions!$B$4+INT(A212/12)</f>
        <v>82</v>
      </c>
      <c r="D212" s="34" t="n">
        <f aca="false">INT(A212/12)+1</f>
        <v>18</v>
      </c>
      <c r="E212" s="32" t="n">
        <f aca="false">IFERROR(INDEX(Cohort_Survival!$G$5:$G$65,MATCH(C212,Cohort_Survival!$A$5:$A$65,0)),1)</f>
        <v>0.0340814438183777</v>
      </c>
      <c r="F212" s="30" t="n">
        <f aca="false">1-(1-MIN(1,E212))^(1/12)</f>
        <v>0.00288547554784491</v>
      </c>
      <c r="G212" s="39" t="n">
        <f aca="false">IF(C212&lt;Assumptions!$B$5,IF(D212=1,Assumptions!$B$16,IF(D212=2,Assumptions!$B$17,IF(D212&lt;=5,Assumptions!$B$18,Assumptions!$B$19)))*(1-Assumptions!$B$20),0)</f>
        <v>0</v>
      </c>
      <c r="H212" s="30" t="n">
        <f aca="false">1-(1-G212)^(1/12)</f>
        <v>0</v>
      </c>
      <c r="I212" s="30" t="n">
        <f aca="false">I211*(1-F211)*(1-H211)</f>
        <v>0.646889002379899</v>
      </c>
      <c r="J212" s="30" t="n">
        <f aca="false">INDEX(Discount_Monthly!$G$4:$G$664,MATCH(A212,Discount_Monthly!$A$4:$A$664,0))</f>
        <v>0.588047267096042</v>
      </c>
      <c r="K212" s="30" t="n">
        <f aca="false">IF(C212&lt;Assumptions!$B$5,I212*J212,0)</f>
        <v>0</v>
      </c>
      <c r="L212" s="30" t="n">
        <f aca="false">IF(C212&lt;Assumptions!$B$5,I212*(1-F212)*H212*A212*J212,0)</f>
        <v>0</v>
      </c>
      <c r="M212" s="30" t="n">
        <f aca="false">IF(A212=0,Assumptions!$B$14*12*I212*J212,IF(AND(A212&gt;=12,C212&lt;Assumptions!$B$5),Assumptions!$B$15*I212*J212,0))</f>
        <v>0</v>
      </c>
      <c r="N212" s="47" t="n">
        <f aca="false">IF(C212&gt;=Assumptions!$B$5,I212*Assumptions!$B$9/12*(1+Assumptions!$B$10)^INT(A212/12)*J212,0)</f>
        <v>710.20489350217</v>
      </c>
      <c r="O212" s="47" t="n">
        <f aca="false">I212*Assumptions!$B$12/12*(1+Assumptions!$B$11)^(INT(A212/12)+1)*J212</f>
        <v>3.95530812874868</v>
      </c>
      <c r="P212" s="47" t="n">
        <f aca="false">O212+Pricing_M!$B$13*M212+N212-Pricing_M!$B$13*K212</f>
        <v>714.160201630918</v>
      </c>
      <c r="Q212" s="47" t="n">
        <f aca="false">IF(C212&lt;Assumptions!$B$5,Pricing_M!$B$13*K212-Pricing_M!$B$13*M212-O212,-(N212+O212))</f>
        <v>-714.160201630918</v>
      </c>
      <c r="R212" s="32" t="n">
        <f aca="false">R211*(1-(1-(1-MIN(1,E211*(1-Assumptions!$B$21)))^(1/12)))*(1-H211)</f>
        <v>0.679021657556706</v>
      </c>
      <c r="S212" s="47" t="n">
        <f aca="false">R212*(IF(C212&lt;Assumptions!$B$5,Assumptions!$B$12*(1+Assumptions!$B$11)^(INT(A212/12)+1)/12+Pricing_M!$B$13*IF(A212=0,Assumptions!$B$14*12,IF(A212&gt;=12,Assumptions!$B$15,0))-Pricing_M!$B$13,Assumptions!$B$9/12*(1+Assumptions!$B$10)^INT(A212/12)+Assumptions!$B$12*(1+Assumptions!$B$11)^(INT(A212/12)+1)/12))*J212</f>
        <v>749.634391817457</v>
      </c>
      <c r="T212" s="32" t="n">
        <f aca="false">T211*(1-F211)*(1-(1-(1-MIN(1,G211*(1+Assumptions!$B$23)))^(1/12)))</f>
        <v>0.586003067172743</v>
      </c>
      <c r="U212" s="47" t="n">
        <f aca="false">T212*(IF(C212&lt;Assumptions!$B$5,Assumptions!$B$12*(1+Assumptions!$B$11)^(INT(A212/12)+1)/12+Pricing_M!$B$13*IF(A212=0,Assumptions!$B$14*12,IF(A212&gt;=12,Assumptions!$B$15,0))-Pricing_M!$B$13,Assumptions!$B$9/12*(1+Assumptions!$B$10)^INT(A212/12)+Assumptions!$B$12*(1+Assumptions!$B$11)^(INT(A212/12)+1)/12))*J212</f>
        <v>646.94262395676</v>
      </c>
      <c r="V212" s="32" t="n">
        <f aca="false">V211*(1-F211)*(1-(1-(1-MIN(1,G211*(1-Assumptions!$B$23)))^(1/12)))</f>
        <v>0.713445811340038</v>
      </c>
      <c r="W212" s="47" t="n">
        <f aca="false">V212*(IF(C212&lt;Assumptions!$B$5,Assumptions!$B$12*(1+Assumptions!$B$11)^(INT(A212/12)+1)/12+Pricing_M!$B$13*IF(A212=0,Assumptions!$B$14*12,IF(A212&gt;=12,Assumptions!$B$15,0))-Pricing_M!$B$13,Assumptions!$B$9/12*(1+Assumptions!$B$10)^INT(A212/12)+Assumptions!$B$12*(1+Assumptions!$B$11)^(INT(A212/12)+1)/12))*J212</f>
        <v>787.638377843549</v>
      </c>
      <c r="X212" s="47" t="n">
        <f aca="false">I212*(IF(C212&lt;Assumptions!$B$5,Assumptions!$B$12*(1+Assumptions!$B$11)*(1+Assumptions!$B$24)*(1+Assumptions!$B$11+Assumptions!$B$25)^(INT(A212/12))/12+Pricing_M!$B$13*IF(A212=0,Assumptions!$B$14*12,IF(A212&gt;=12,Assumptions!$B$15,0))-Pricing_M!$B$13,Assumptions!$B$9/12*(1+Assumptions!$B$10)^INT(A212/12)+Assumptions!$B$12*(1+Assumptions!$B$11)*(1+Assumptions!$B$24)*(1+Assumptions!$B$11+Assumptions!$B$25)^(INT(A212/12))/12))*J212</f>
        <v>715.336498764187</v>
      </c>
    </row>
    <row r="213" customFormat="false" ht="15" hidden="false" customHeight="true" outlineLevel="0" collapsed="false">
      <c r="A213" s="1" t="n">
        <v>206</v>
      </c>
      <c r="B213" s="31" t="n">
        <f aca="false">Assumptions!$B$4+A213/12</f>
        <v>82.1666666666667</v>
      </c>
      <c r="C213" s="34" t="n">
        <f aca="false">Assumptions!$B$4+INT(A213/12)</f>
        <v>82</v>
      </c>
      <c r="D213" s="34" t="n">
        <f aca="false">INT(A213/12)+1</f>
        <v>18</v>
      </c>
      <c r="E213" s="32" t="n">
        <f aca="false">IFERROR(INDEX(Cohort_Survival!$G$5:$G$65,MATCH(C213,Cohort_Survival!$A$5:$A$65,0)),1)</f>
        <v>0.0340814438183777</v>
      </c>
      <c r="F213" s="30" t="n">
        <f aca="false">1-(1-MIN(1,E213))^(1/12)</f>
        <v>0.00288547554784491</v>
      </c>
      <c r="G213" s="39" t="n">
        <f aca="false">IF(C213&lt;Assumptions!$B$5,IF(D213=1,Assumptions!$B$16,IF(D213=2,Assumptions!$B$17,IF(D213&lt;=5,Assumptions!$B$18,Assumptions!$B$19)))*(1-Assumptions!$B$20),0)</f>
        <v>0</v>
      </c>
      <c r="H213" s="30" t="n">
        <f aca="false">1-(1-G213)^(1/12)</f>
        <v>0</v>
      </c>
      <c r="I213" s="30" t="n">
        <f aca="false">I212*(1-F212)*(1-H212)</f>
        <v>0.645022419981362</v>
      </c>
      <c r="J213" s="30" t="n">
        <f aca="false">INDEX(Discount_Monthly!$G$4:$G$664,MATCH(A213,Discount_Monthly!$A$4:$A$664,0))</f>
        <v>0.586449825382487</v>
      </c>
      <c r="K213" s="30" t="n">
        <f aca="false">IF(C213&lt;Assumptions!$B$5,I213*J213,0)</f>
        <v>0</v>
      </c>
      <c r="L213" s="30" t="n">
        <f aca="false">IF(C213&lt;Assumptions!$B$5,I213*(1-F213)*H213*A213*J213,0)</f>
        <v>0</v>
      </c>
      <c r="M213" s="30" t="n">
        <f aca="false">IF(A213=0,Assumptions!$B$14*12*I213*J213,IF(AND(A213&gt;=12,C213&lt;Assumptions!$B$5),Assumptions!$B$15*I213*J213,0))</f>
        <v>0</v>
      </c>
      <c r="N213" s="47" t="n">
        <f aca="false">IF(C213&gt;=Assumptions!$B$5,I213*Assumptions!$B$9/12*(1+Assumptions!$B$10)^INT(A213/12)*J213,0)</f>
        <v>706.231896297759</v>
      </c>
      <c r="O213" s="47" t="n">
        <f aca="false">I213*Assumptions!$B$12/12*(1+Assumptions!$B$11)^(INT(A213/12)+1)*J213</f>
        <v>3.93318151672182</v>
      </c>
      <c r="P213" s="47" t="n">
        <f aca="false">O213+Pricing_M!$B$13*M213+N213-Pricing_M!$B$13*K213</f>
        <v>710.165077814481</v>
      </c>
      <c r="Q213" s="47" t="n">
        <f aca="false">IF(C213&lt;Assumptions!$B$5,Pricing_M!$B$13*K213-Pricing_M!$B$13*M213-O213,-(N213+O213))</f>
        <v>-710.165077814481</v>
      </c>
      <c r="R213" s="32" t="n">
        <f aca="false">R212*(1-(1-(1-MIN(1,E212*(1-Assumptions!$B$21)))^(1/12)))*(1-H212)</f>
        <v>0.677459232651037</v>
      </c>
      <c r="S213" s="47" t="n">
        <f aca="false">R213*(IF(C213&lt;Assumptions!$B$5,Assumptions!$B$12*(1+Assumptions!$B$11)^(INT(A213/12)+1)/12+Pricing_M!$B$13*IF(A213=0,Assumptions!$B$14*12,IF(A213&gt;=12,Assumptions!$B$15,0))-Pricing_M!$B$13,Assumptions!$B$9/12*(1+Assumptions!$B$10)^INT(A213/12)+Assumptions!$B$12*(1+Assumptions!$B$11)^(INT(A213/12)+1)/12))*J213</f>
        <v>745.877776908381</v>
      </c>
      <c r="T213" s="32" t="n">
        <f aca="false">T212*(1-F212)*(1-(1-(1-MIN(1,G212*(1+Assumptions!$B$23)))^(1/12)))</f>
        <v>0.584312169651454</v>
      </c>
      <c r="U213" s="47" t="n">
        <f aca="false">T213*(IF(C213&lt;Assumptions!$B$5,Assumptions!$B$12*(1+Assumptions!$B$11)^(INT(A213/12)+1)/12+Pricing_M!$B$13*IF(A213=0,Assumptions!$B$14*12,IF(A213&gt;=12,Assumptions!$B$15,0))-Pricing_M!$B$13,Assumptions!$B$9/12*(1+Assumptions!$B$10)^INT(A213/12)+Assumptions!$B$12*(1+Assumptions!$B$11)^(INT(A213/12)+1)/12))*J213</f>
        <v>643.323525778319</v>
      </c>
      <c r="V213" s="32" t="n">
        <f aca="false">V212*(1-F212)*(1-(1-(1-MIN(1,G212*(1-Assumptions!$B$23)))^(1/12)))</f>
        <v>0.711387180896703</v>
      </c>
      <c r="W213" s="47" t="n">
        <f aca="false">V213*(IF(C213&lt;Assumptions!$B$5,Assumptions!$B$12*(1+Assumptions!$B$11)^(INT(A213/12)+1)/12+Pricing_M!$B$13*IF(A213=0,Assumptions!$B$14*12,IF(A213&gt;=12,Assumptions!$B$15,0))-Pricing_M!$B$13,Assumptions!$B$9/12*(1+Assumptions!$B$10)^INT(A213/12)+Assumptions!$B$12*(1+Assumptions!$B$11)^(INT(A213/12)+1)/12))*J213</f>
        <v>783.232205622139</v>
      </c>
      <c r="X213" s="47" t="n">
        <f aca="false">I213*(IF(C213&lt;Assumptions!$B$5,Assumptions!$B$12*(1+Assumptions!$B$11)*(1+Assumptions!$B$24)*(1+Assumptions!$B$11+Assumptions!$B$25)^(INT(A213/12))/12+Pricing_M!$B$13*IF(A213=0,Assumptions!$B$14*12,IF(A213&gt;=12,Assumptions!$B$15,0))-Pricing_M!$B$13,Assumptions!$B$9/12*(1+Assumptions!$B$10)^INT(A213/12)+Assumptions!$B$12*(1+Assumptions!$B$11)*(1+Assumptions!$B$24)*(1+Assumptions!$B$11+Assumptions!$B$25)^(INT(A213/12))/12))*J213</f>
        <v>711.33479455769</v>
      </c>
    </row>
    <row r="214" customFormat="false" ht="15" hidden="false" customHeight="true" outlineLevel="0" collapsed="false">
      <c r="A214" s="1" t="n">
        <v>207</v>
      </c>
      <c r="B214" s="31" t="n">
        <f aca="false">Assumptions!$B$4+A214/12</f>
        <v>82.25</v>
      </c>
      <c r="C214" s="34" t="n">
        <f aca="false">Assumptions!$B$4+INT(A214/12)</f>
        <v>82</v>
      </c>
      <c r="D214" s="34" t="n">
        <f aca="false">INT(A214/12)+1</f>
        <v>18</v>
      </c>
      <c r="E214" s="32" t="n">
        <f aca="false">IFERROR(INDEX(Cohort_Survival!$G$5:$G$65,MATCH(C214,Cohort_Survival!$A$5:$A$65,0)),1)</f>
        <v>0.0340814438183777</v>
      </c>
      <c r="F214" s="30" t="n">
        <f aca="false">1-(1-MIN(1,E214))^(1/12)</f>
        <v>0.00288547554784491</v>
      </c>
      <c r="G214" s="39" t="n">
        <f aca="false">IF(C214&lt;Assumptions!$B$5,IF(D214=1,Assumptions!$B$16,IF(D214=2,Assumptions!$B$17,IF(D214&lt;=5,Assumptions!$B$18,Assumptions!$B$19)))*(1-Assumptions!$B$20),0)</f>
        <v>0</v>
      </c>
      <c r="H214" s="30" t="n">
        <f aca="false">1-(1-G214)^(1/12)</f>
        <v>0</v>
      </c>
      <c r="I214" s="30" t="n">
        <f aca="false">I213*(1-F213)*(1-H213)</f>
        <v>0.643161223560694</v>
      </c>
      <c r="J214" s="30" t="n">
        <f aca="false">INDEX(Discount_Monthly!$G$4:$G$664,MATCH(A214,Discount_Monthly!$A$4:$A$664,0))</f>
        <v>0.584856723150077</v>
      </c>
      <c r="K214" s="30" t="n">
        <f aca="false">IF(C214&lt;Assumptions!$B$5,I214*J214,0)</f>
        <v>0</v>
      </c>
      <c r="L214" s="30" t="n">
        <f aca="false">IF(C214&lt;Assumptions!$B$5,I214*(1-F214)*H214*A214*J214,0)</f>
        <v>0</v>
      </c>
      <c r="M214" s="30" t="n">
        <f aca="false">IF(A214=0,Assumptions!$B$14*12*I214*J214,IF(AND(A214&gt;=12,C214&lt;Assumptions!$B$5),Assumptions!$B$15*I214*J214,0))</f>
        <v>0</v>
      </c>
      <c r="N214" s="47" t="n">
        <f aca="false">IF(C214&gt;=Assumptions!$B$5,I214*Assumptions!$B$9/12*(1+Assumptions!$B$10)^INT(A214/12)*J214,0)</f>
        <v>702.28112466083</v>
      </c>
      <c r="O214" s="47" t="n">
        <f aca="false">I214*Assumptions!$B$12/12*(1+Assumptions!$B$11)^(INT(A214/12)+1)*J214</f>
        <v>3.91117868442181</v>
      </c>
      <c r="P214" s="47" t="n">
        <f aca="false">O214+Pricing_M!$B$13*M214+N214-Pricing_M!$B$13*K214</f>
        <v>706.192303345252</v>
      </c>
      <c r="Q214" s="47" t="n">
        <f aca="false">IF(C214&lt;Assumptions!$B$5,Pricing_M!$B$13*K214-Pricing_M!$B$13*M214-O214,-(N214+O214))</f>
        <v>-706.192303345252</v>
      </c>
      <c r="R214" s="32" t="n">
        <f aca="false">R213*(1-(1-(1-MIN(1,E213*(1-Assumptions!$B$21)))^(1/12)))*(1-H213)</f>
        <v>0.675900402876037</v>
      </c>
      <c r="S214" s="47" t="n">
        <f aca="false">R214*(IF(C214&lt;Assumptions!$B$5,Assumptions!$B$12*(1+Assumptions!$B$11)^(INT(A214/12)+1)/12+Pricing_M!$B$13*IF(A214=0,Assumptions!$B$14*12,IF(A214&gt;=12,Assumptions!$B$15,0))-Pricing_M!$B$13,Assumptions!$B$9/12*(1+Assumptions!$B$10)^INT(A214/12)+Assumptions!$B$12*(1+Assumptions!$B$11)^(INT(A214/12)+1)/12))*J214</f>
        <v>742.13998738369</v>
      </c>
      <c r="T214" s="32" t="n">
        <f aca="false">T213*(1-F213)*(1-(1-(1-MIN(1,G213*(1+Assumptions!$B$23)))^(1/12)))</f>
        <v>0.582626151173617</v>
      </c>
      <c r="U214" s="47" t="n">
        <f aca="false">T214*(IF(C214&lt;Assumptions!$B$5,Assumptions!$B$12*(1+Assumptions!$B$11)^(INT(A214/12)+1)/12+Pricing_M!$B$13*IF(A214=0,Assumptions!$B$14*12,IF(A214&gt;=12,Assumptions!$B$15,0))-Pricing_M!$B$13,Assumptions!$B$9/12*(1+Assumptions!$B$10)^INT(A214/12)+Assumptions!$B$12*(1+Assumptions!$B$11)^(INT(A214/12)+1)/12))*J214</f>
        <v>639.72467340088</v>
      </c>
      <c r="V214" s="32" t="n">
        <f aca="false">V213*(1-F213)*(1-(1-(1-MIN(1,G213*(1-Assumptions!$B$23)))^(1/12)))</f>
        <v>0.709334490581176</v>
      </c>
      <c r="W214" s="47" t="n">
        <f aca="false">V214*(IF(C214&lt;Assumptions!$B$5,Assumptions!$B$12*(1+Assumptions!$B$11)^(INT(A214/12)+1)/12+Pricing_M!$B$13*IF(A214=0,Assumptions!$B$14*12,IF(A214&gt;=12,Assumptions!$B$15,0))-Pricing_M!$B$13,Assumptions!$B$9/12*(1+Assumptions!$B$10)^INT(A214/12)+Assumptions!$B$12*(1+Assumptions!$B$11)^(INT(A214/12)+1)/12))*J214</f>
        <v>778.850682216976</v>
      </c>
      <c r="X214" s="47" t="n">
        <f aca="false">I214*(IF(C214&lt;Assumptions!$B$5,Assumptions!$B$12*(1+Assumptions!$B$11)*(1+Assumptions!$B$24)*(1+Assumptions!$B$11+Assumptions!$B$25)^(INT(A214/12))/12+Pricing_M!$B$13*IF(A214=0,Assumptions!$B$14*12,IF(A214&gt;=12,Assumptions!$B$15,0))-Pricing_M!$B$13,Assumptions!$B$9/12*(1+Assumptions!$B$10)^INT(A214/12)+Assumptions!$B$12*(1+Assumptions!$B$11)*(1+Assumptions!$B$24)*(1+Assumptions!$B$11+Assumptions!$B$25)^(INT(A214/12))/12))*J214</f>
        <v>707.355476510131</v>
      </c>
    </row>
    <row r="215" customFormat="false" ht="15" hidden="false" customHeight="true" outlineLevel="0" collapsed="false">
      <c r="A215" s="1" t="n">
        <v>208</v>
      </c>
      <c r="B215" s="31" t="n">
        <f aca="false">Assumptions!$B$4+A215/12</f>
        <v>82.3333333333333</v>
      </c>
      <c r="C215" s="34" t="n">
        <f aca="false">Assumptions!$B$4+INT(A215/12)</f>
        <v>82</v>
      </c>
      <c r="D215" s="34" t="n">
        <f aca="false">INT(A215/12)+1</f>
        <v>18</v>
      </c>
      <c r="E215" s="32" t="n">
        <f aca="false">IFERROR(INDEX(Cohort_Survival!$G$5:$G$65,MATCH(C215,Cohort_Survival!$A$5:$A$65,0)),1)</f>
        <v>0.0340814438183777</v>
      </c>
      <c r="F215" s="30" t="n">
        <f aca="false">1-(1-MIN(1,E215))^(1/12)</f>
        <v>0.00288547554784491</v>
      </c>
      <c r="G215" s="39" t="n">
        <f aca="false">IF(C215&lt;Assumptions!$B$5,IF(D215=1,Assumptions!$B$16,IF(D215=2,Assumptions!$B$17,IF(D215&lt;=5,Assumptions!$B$18,Assumptions!$B$19)))*(1-Assumptions!$B$20),0)</f>
        <v>0</v>
      </c>
      <c r="H215" s="30" t="n">
        <f aca="false">1-(1-G215)^(1/12)</f>
        <v>0</v>
      </c>
      <c r="I215" s="30" t="n">
        <f aca="false">I214*(1-F214)*(1-H214)</f>
        <v>0.641305397576788</v>
      </c>
      <c r="J215" s="30" t="n">
        <f aca="false">INDEX(Discount_Monthly!$G$4:$G$664,MATCH(A215,Discount_Monthly!$A$4:$A$664,0))</f>
        <v>0.583267948610529</v>
      </c>
      <c r="K215" s="30" t="n">
        <f aca="false">IF(C215&lt;Assumptions!$B$5,I215*J215,0)</f>
        <v>0</v>
      </c>
      <c r="L215" s="30" t="n">
        <f aca="false">IF(C215&lt;Assumptions!$B$5,I215*(1-F215)*H215*A215*J215,0)</f>
        <v>0</v>
      </c>
      <c r="M215" s="30" t="n">
        <f aca="false">IF(A215=0,Assumptions!$B$14*12*I215*J215,IF(AND(A215&gt;=12,C215&lt;Assumptions!$B$5),Assumptions!$B$15*I215*J215,0))</f>
        <v>0</v>
      </c>
      <c r="N215" s="47" t="n">
        <f aca="false">IF(C215&gt;=Assumptions!$B$5,I215*Assumptions!$B$9/12*(1+Assumptions!$B$10)^INT(A215/12)*J215,0)</f>
        <v>698.352454258084</v>
      </c>
      <c r="O215" s="47" t="n">
        <f aca="false">I215*Assumptions!$B$12/12*(1+Assumptions!$B$11)^(INT(A215/12)+1)*J215</f>
        <v>3.88929893940551</v>
      </c>
      <c r="P215" s="47" t="n">
        <f aca="false">O215+Pricing_M!$B$13*M215+N215-Pricing_M!$B$13*K215</f>
        <v>702.241753197489</v>
      </c>
      <c r="Q215" s="47" t="n">
        <f aca="false">IF(C215&lt;Assumptions!$B$5,Pricing_M!$B$13*K215-Pricing_M!$B$13*M215-O215,-(N215+O215))</f>
        <v>-702.241753197489</v>
      </c>
      <c r="R215" s="32" t="n">
        <f aca="false">R214*(1-(1-(1-MIN(1,E214*(1-Assumptions!$B$21)))^(1/12)))*(1-H214)</f>
        <v>0.67434515995933</v>
      </c>
      <c r="S215" s="47" t="n">
        <f aca="false">R215*(IF(C215&lt;Assumptions!$B$5,Assumptions!$B$12*(1+Assumptions!$B$11)^(INT(A215/12)+1)/12+Pricing_M!$B$13*IF(A215=0,Assumptions!$B$14*12,IF(A215&gt;=12,Assumptions!$B$15,0))-Pricing_M!$B$13,Assumptions!$B$9/12*(1+Assumptions!$B$10)^INT(A215/12)+Assumptions!$B$12*(1+Assumptions!$B$11)^(INT(A215/12)+1)/12))*J215</f>
        <v>738.420928904438</v>
      </c>
      <c r="T215" s="32" t="n">
        <f aca="false">T214*(1-F214)*(1-(1-(1-MIN(1,G214*(1+Assumptions!$B$23)))^(1/12)))</f>
        <v>0.58094499766087</v>
      </c>
      <c r="U215" s="47" t="n">
        <f aca="false">T215*(IF(C215&lt;Assumptions!$B$5,Assumptions!$B$12*(1+Assumptions!$B$11)^(INT(A215/12)+1)/12+Pricing_M!$B$13*IF(A215=0,Assumptions!$B$14*12,IF(A215&gt;=12,Assumptions!$B$15,0))-Pricing_M!$B$13,Assumptions!$B$9/12*(1+Assumptions!$B$10)^INT(A215/12)+Assumptions!$B$12*(1+Assumptions!$B$11)^(INT(A215/12)+1)/12))*J215</f>
        <v>636.145953566269</v>
      </c>
      <c r="V215" s="32" t="n">
        <f aca="false">V214*(1-F214)*(1-(1-(1-MIN(1,G214*(1-Assumptions!$B$23)))^(1/12)))</f>
        <v>0.707287723253361</v>
      </c>
      <c r="W215" s="47" t="n">
        <f aca="false">V215*(IF(C215&lt;Assumptions!$B$5,Assumptions!$B$12*(1+Assumptions!$B$11)^(INT(A215/12)+1)/12+Pricing_M!$B$13*IF(A215=0,Assumptions!$B$14*12,IF(A215&gt;=12,Assumptions!$B$15,0))-Pricing_M!$B$13,Assumptions!$B$9/12*(1+Assumptions!$B$10)^INT(A215/12)+Assumptions!$B$12*(1+Assumptions!$B$11)^(INT(A215/12)+1)/12))*J215</f>
        <v>774.493669738729</v>
      </c>
      <c r="X215" s="47" t="n">
        <f aca="false">I215*(IF(C215&lt;Assumptions!$B$5,Assumptions!$B$12*(1+Assumptions!$B$11)*(1+Assumptions!$B$24)*(1+Assumptions!$B$11+Assumptions!$B$25)^(INT(A215/12))/12+Pricing_M!$B$13*IF(A215=0,Assumptions!$B$14*12,IF(A215&gt;=12,Assumptions!$B$15,0))-Pricing_M!$B$13,Assumptions!$B$9/12*(1+Assumptions!$B$10)^INT(A215/12)+Assumptions!$B$12*(1+Assumptions!$B$11)*(1+Assumptions!$B$24)*(1+Assumptions!$B$11+Assumptions!$B$25)^(INT(A215/12))/12))*J215</f>
        <v>703.398419389839</v>
      </c>
    </row>
    <row r="216" customFormat="false" ht="15" hidden="false" customHeight="true" outlineLevel="0" collapsed="false">
      <c r="A216" s="1" t="n">
        <v>209</v>
      </c>
      <c r="B216" s="31" t="n">
        <f aca="false">Assumptions!$B$4+A216/12</f>
        <v>82.4166666666667</v>
      </c>
      <c r="C216" s="34" t="n">
        <f aca="false">Assumptions!$B$4+INT(A216/12)</f>
        <v>82</v>
      </c>
      <c r="D216" s="34" t="n">
        <f aca="false">INT(A216/12)+1</f>
        <v>18</v>
      </c>
      <c r="E216" s="32" t="n">
        <f aca="false">IFERROR(INDEX(Cohort_Survival!$G$5:$G$65,MATCH(C216,Cohort_Survival!$A$5:$A$65,0)),1)</f>
        <v>0.0340814438183777</v>
      </c>
      <c r="F216" s="30" t="n">
        <f aca="false">1-(1-MIN(1,E216))^(1/12)</f>
        <v>0.00288547554784491</v>
      </c>
      <c r="G216" s="39" t="n">
        <f aca="false">IF(C216&lt;Assumptions!$B$5,IF(D216=1,Assumptions!$B$16,IF(D216=2,Assumptions!$B$17,IF(D216&lt;=5,Assumptions!$B$18,Assumptions!$B$19)))*(1-Assumptions!$B$20),0)</f>
        <v>0</v>
      </c>
      <c r="H216" s="30" t="n">
        <f aca="false">1-(1-G216)^(1/12)</f>
        <v>0</v>
      </c>
      <c r="I216" s="30" t="n">
        <f aca="false">I215*(1-F215)*(1-H215)</f>
        <v>0.639454926533379</v>
      </c>
      <c r="J216" s="30" t="n">
        <f aca="false">INDEX(Discount_Monthly!$G$4:$G$664,MATCH(A216,Discount_Monthly!$A$4:$A$664,0))</f>
        <v>0.581683490007581</v>
      </c>
      <c r="K216" s="30" t="n">
        <f aca="false">IF(C216&lt;Assumptions!$B$5,I216*J216,0)</f>
        <v>0</v>
      </c>
      <c r="L216" s="30" t="n">
        <f aca="false">IF(C216&lt;Assumptions!$B$5,I216*(1-F216)*H216*A216*J216,0)</f>
        <v>0</v>
      </c>
      <c r="M216" s="30" t="n">
        <f aca="false">IF(A216=0,Assumptions!$B$14*12*I216*J216,IF(AND(A216&gt;=12,C216&lt;Assumptions!$B$5),Assumptions!$B$15*I216*J216,0))</f>
        <v>0</v>
      </c>
      <c r="N216" s="47" t="n">
        <f aca="false">IF(C216&gt;=Assumptions!$B$5,I216*Assumptions!$B$9/12*(1+Assumptions!$B$10)^INT(A216/12)*J216,0)</f>
        <v>694.44576145176</v>
      </c>
      <c r="O216" s="47" t="n">
        <f aca="false">I216*Assumptions!$B$12/12*(1+Assumptions!$B$11)^(INT(A216/12)+1)*J216</f>
        <v>3.8675415931034</v>
      </c>
      <c r="P216" s="47" t="n">
        <f aca="false">O216+Pricing_M!$B$13*M216+N216-Pricing_M!$B$13*K216</f>
        <v>698.313303044864</v>
      </c>
      <c r="Q216" s="47" t="n">
        <f aca="false">IF(C216&lt;Assumptions!$B$5,Pricing_M!$B$13*K216-Pricing_M!$B$13*M216-O216,-(N216+O216))</f>
        <v>-698.313303044864</v>
      </c>
      <c r="R216" s="32" t="n">
        <f aca="false">R215*(1-(1-(1-MIN(1,E215*(1-Assumptions!$B$21)))^(1/12)))*(1-H215)</f>
        <v>0.672793495647578</v>
      </c>
      <c r="S216" s="47" t="n">
        <f aca="false">R216*(IF(C216&lt;Assumptions!$B$5,Assumptions!$B$12*(1+Assumptions!$B$11)^(INT(A216/12)+1)/12+Pricing_M!$B$13*IF(A216=0,Assumptions!$B$14*12,IF(A216&gt;=12,Assumptions!$B$15,0))-Pricing_M!$B$13,Assumptions!$B$9/12*(1+Assumptions!$B$10)^INT(A216/12)+Assumptions!$B$12*(1+Assumptions!$B$11)^(INT(A216/12)+1)/12))*J216</f>
        <v>734.720507604434</v>
      </c>
      <c r="T216" s="32" t="n">
        <f aca="false">T215*(1-F215)*(1-(1-(1-MIN(1,G215*(1+Assumptions!$B$23)))^(1/12)))</f>
        <v>0.579268695075477</v>
      </c>
      <c r="U216" s="47" t="n">
        <f aca="false">T216*(IF(C216&lt;Assumptions!$B$5,Assumptions!$B$12*(1+Assumptions!$B$11)^(INT(A216/12)+1)/12+Pricing_M!$B$13*IF(A216=0,Assumptions!$B$14*12,IF(A216&gt;=12,Assumptions!$B$15,0))-Pricing_M!$B$13,Assumptions!$B$9/12*(1+Assumptions!$B$10)^INT(A216/12)+Assumptions!$B$12*(1+Assumptions!$B$11)^(INT(A216/12)+1)/12))*J216</f>
        <v>632.587253649893</v>
      </c>
      <c r="V216" s="32" t="n">
        <f aca="false">V215*(1-F215)*(1-(1-(1-MIN(1,G215*(1-Assumptions!$B$23)))^(1/12)))</f>
        <v>0.705246861822622</v>
      </c>
      <c r="W216" s="47" t="n">
        <f aca="false">V216*(IF(C216&lt;Assumptions!$B$5,Assumptions!$B$12*(1+Assumptions!$B$11)^(INT(A216/12)+1)/12+Pricing_M!$B$13*IF(A216=0,Assumptions!$B$14*12,IF(A216&gt;=12,Assumptions!$B$15,0))-Pricing_M!$B$13,Assumptions!$B$9/12*(1+Assumptions!$B$10)^INT(A216/12)+Assumptions!$B$12*(1+Assumptions!$B$11)^(INT(A216/12)+1)/12))*J216</f>
        <v>770.16103106944</v>
      </c>
      <c r="X216" s="47" t="n">
        <f aca="false">I216*(IF(C216&lt;Assumptions!$B$5,Assumptions!$B$12*(1+Assumptions!$B$11)*(1+Assumptions!$B$24)*(1+Assumptions!$B$11+Assumptions!$B$25)^(INT(A216/12))/12+Pricing_M!$B$13*IF(A216=0,Assumptions!$B$14*12,IF(A216&gt;=12,Assumptions!$B$15,0))-Pricing_M!$B$13,Assumptions!$B$9/12*(1+Assumptions!$B$10)^INT(A216/12)+Assumptions!$B$12*(1+Assumptions!$B$11)*(1+Assumptions!$B$24)*(1+Assumptions!$B$11+Assumptions!$B$25)^(INT(A216/12))/12))*J216</f>
        <v>699.463498665705</v>
      </c>
    </row>
    <row r="217" customFormat="false" ht="15" hidden="false" customHeight="true" outlineLevel="0" collapsed="false">
      <c r="A217" s="1" t="n">
        <v>210</v>
      </c>
      <c r="B217" s="31" t="n">
        <f aca="false">Assumptions!$B$4+A217/12</f>
        <v>82.5</v>
      </c>
      <c r="C217" s="34" t="n">
        <f aca="false">Assumptions!$B$4+INT(A217/12)</f>
        <v>82</v>
      </c>
      <c r="D217" s="34" t="n">
        <f aca="false">INT(A217/12)+1</f>
        <v>18</v>
      </c>
      <c r="E217" s="32" t="n">
        <f aca="false">IFERROR(INDEX(Cohort_Survival!$G$5:$G$65,MATCH(C217,Cohort_Survival!$A$5:$A$65,0)),1)</f>
        <v>0.0340814438183777</v>
      </c>
      <c r="F217" s="30" t="n">
        <f aca="false">1-(1-MIN(1,E217))^(1/12)</f>
        <v>0.00288547554784491</v>
      </c>
      <c r="G217" s="39" t="n">
        <f aca="false">IF(C217&lt;Assumptions!$B$5,IF(D217=1,Assumptions!$B$16,IF(D217=2,Assumptions!$B$17,IF(D217&lt;=5,Assumptions!$B$18,Assumptions!$B$19)))*(1-Assumptions!$B$20),0)</f>
        <v>0</v>
      </c>
      <c r="H217" s="30" t="n">
        <f aca="false">1-(1-G217)^(1/12)</f>
        <v>0</v>
      </c>
      <c r="I217" s="30" t="n">
        <f aca="false">I216*(1-F216)*(1-H216)</f>
        <v>0.637609794978918</v>
      </c>
      <c r="J217" s="30" t="n">
        <f aca="false">INDEX(Discount_Monthly!$G$4:$G$664,MATCH(A217,Discount_Monthly!$A$4:$A$664,0))</f>
        <v>0.580103335616909</v>
      </c>
      <c r="K217" s="30" t="n">
        <f aca="false">IF(C217&lt;Assumptions!$B$5,I217*J217,0)</f>
        <v>0</v>
      </c>
      <c r="L217" s="30" t="n">
        <f aca="false">IF(C217&lt;Assumptions!$B$5,I217*(1-F217)*H217*A217*J217,0)</f>
        <v>0</v>
      </c>
      <c r="M217" s="30" t="n">
        <f aca="false">IF(A217=0,Assumptions!$B$14*12*I217*J217,IF(AND(A217&gt;=12,C217&lt;Assumptions!$B$5),Assumptions!$B$15*I217*J217,0))</f>
        <v>0</v>
      </c>
      <c r="N217" s="47" t="n">
        <f aca="false">IF(C217&gt;=Assumptions!$B$5,I217*Assumptions!$B$9/12*(1+Assumptions!$B$10)^INT(A217/12)*J217,0)</f>
        <v>690.56092329575</v>
      </c>
      <c r="O217" s="47" t="n">
        <f aca="false">I217*Assumptions!$B$12/12*(1+Assumptions!$B$11)^(INT(A217/12)+1)*J217</f>
        <v>3.84590596079796</v>
      </c>
      <c r="P217" s="47" t="n">
        <f aca="false">O217+Pricing_M!$B$13*M217+N217-Pricing_M!$B$13*K217</f>
        <v>694.406829256548</v>
      </c>
      <c r="Q217" s="47" t="n">
        <f aca="false">IF(C217&lt;Assumptions!$B$5,Pricing_M!$B$13*K217-Pricing_M!$B$13*M217-O217,-(N217+O217))</f>
        <v>-694.406829256548</v>
      </c>
      <c r="R217" s="32" t="n">
        <f aca="false">R216*(1-(1-(1-MIN(1,E216*(1-Assumptions!$B$21)))^(1/12)))*(1-H216)</f>
        <v>0.67124540170643</v>
      </c>
      <c r="S217" s="47" t="n">
        <f aca="false">R217*(IF(C217&lt;Assumptions!$B$5,Assumptions!$B$12*(1+Assumptions!$B$11)^(INT(A217/12)+1)/12+Pricing_M!$B$13*IF(A217=0,Assumptions!$B$14*12,IF(A217&gt;=12,Assumptions!$B$15,0))-Pricing_M!$B$13,Assumptions!$B$9/12*(1+Assumptions!$B$10)^INT(A217/12)+Assumptions!$B$12*(1+Assumptions!$B$11)^(INT(A217/12)+1)/12))*J217</f>
        <v>731.038630087876</v>
      </c>
      <c r="T217" s="32" t="n">
        <f aca="false">T216*(1-F216)*(1-(1-(1-MIN(1,G216*(1+Assumptions!$B$23)))^(1/12)))</f>
        <v>0.577597229420205</v>
      </c>
      <c r="U217" s="47" t="n">
        <f aca="false">T217*(IF(C217&lt;Assumptions!$B$5,Assumptions!$B$12*(1+Assumptions!$B$11)^(INT(A217/12)+1)/12+Pricing_M!$B$13*IF(A217=0,Assumptions!$B$14*12,IF(A217&gt;=12,Assumptions!$B$15,0))-Pricing_M!$B$13,Assumptions!$B$9/12*(1+Assumptions!$B$10)^INT(A217/12)+Assumptions!$B$12*(1+Assumptions!$B$11)^(INT(A217/12)+1)/12))*J217</f>
        <v>629.0484616572</v>
      </c>
      <c r="V217" s="32" t="n">
        <f aca="false">V216*(1-F216)*(1-(1-(1-MIN(1,G216*(1-Assumptions!$B$23)))^(1/12)))</f>
        <v>0.703211889247639</v>
      </c>
      <c r="W217" s="47" t="n">
        <f aca="false">V217*(IF(C217&lt;Assumptions!$B$5,Assumptions!$B$12*(1+Assumptions!$B$11)^(INT(A217/12)+1)/12+Pricing_M!$B$13*IF(A217=0,Assumptions!$B$14*12,IF(A217&gt;=12,Assumptions!$B$15,0))-Pricing_M!$B$13,Assumptions!$B$9/12*(1+Assumptions!$B$10)^INT(A217/12)+Assumptions!$B$12*(1+Assumptions!$B$11)^(INT(A217/12)+1)/12))*J217</f>
        <v>765.852629858212</v>
      </c>
      <c r="X217" s="47" t="n">
        <f aca="false">I217*(IF(C217&lt;Assumptions!$B$5,Assumptions!$B$12*(1+Assumptions!$B$11)*(1+Assumptions!$B$24)*(1+Assumptions!$B$11+Assumptions!$B$25)^(INT(A217/12))/12+Pricing_M!$B$13*IF(A217=0,Assumptions!$B$14*12,IF(A217&gt;=12,Assumptions!$B$15,0))-Pricing_M!$B$13,Assumptions!$B$9/12*(1+Assumptions!$B$10)^INT(A217/12)+Assumptions!$B$12*(1+Assumptions!$B$11)*(1+Assumptions!$B$24)*(1+Assumptions!$B$11+Assumptions!$B$25)^(INT(A217/12))/12))*J217</f>
        <v>695.55059050327</v>
      </c>
    </row>
    <row r="218" customFormat="false" ht="15" hidden="false" customHeight="true" outlineLevel="0" collapsed="false">
      <c r="A218" s="1" t="n">
        <v>211</v>
      </c>
      <c r="B218" s="31" t="n">
        <f aca="false">Assumptions!$B$4+A218/12</f>
        <v>82.5833333333333</v>
      </c>
      <c r="C218" s="34" t="n">
        <f aca="false">Assumptions!$B$4+INT(A218/12)</f>
        <v>82</v>
      </c>
      <c r="D218" s="34" t="n">
        <f aca="false">INT(A218/12)+1</f>
        <v>18</v>
      </c>
      <c r="E218" s="32" t="n">
        <f aca="false">IFERROR(INDEX(Cohort_Survival!$G$5:$G$65,MATCH(C218,Cohort_Survival!$A$5:$A$65,0)),1)</f>
        <v>0.0340814438183777</v>
      </c>
      <c r="F218" s="30" t="n">
        <f aca="false">1-(1-MIN(1,E218))^(1/12)</f>
        <v>0.00288547554784491</v>
      </c>
      <c r="G218" s="39" t="n">
        <f aca="false">IF(C218&lt;Assumptions!$B$5,IF(D218=1,Assumptions!$B$16,IF(D218=2,Assumptions!$B$17,IF(D218&lt;=5,Assumptions!$B$18,Assumptions!$B$19)))*(1-Assumptions!$B$20),0)</f>
        <v>0</v>
      </c>
      <c r="H218" s="30" t="n">
        <f aca="false">1-(1-G218)^(1/12)</f>
        <v>0</v>
      </c>
      <c r="I218" s="30" t="n">
        <f aca="false">I217*(1-F217)*(1-H217)</f>
        <v>0.63576998750644</v>
      </c>
      <c r="J218" s="30" t="n">
        <f aca="false">INDEX(Discount_Monthly!$G$4:$G$664,MATCH(A218,Discount_Monthly!$A$4:$A$664,0))</f>
        <v>0.578527473746037</v>
      </c>
      <c r="K218" s="30" t="n">
        <f aca="false">IF(C218&lt;Assumptions!$B$5,I218*J218,0)</f>
        <v>0</v>
      </c>
      <c r="L218" s="30" t="n">
        <f aca="false">IF(C218&lt;Assumptions!$B$5,I218*(1-F218)*H218*A218*J218,0)</f>
        <v>0</v>
      </c>
      <c r="M218" s="30" t="n">
        <f aca="false">IF(A218=0,Assumptions!$B$14*12*I218*J218,IF(AND(A218&gt;=12,C218&lt;Assumptions!$B$5),Assumptions!$B$15*I218*J218,0))</f>
        <v>0</v>
      </c>
      <c r="N218" s="47" t="n">
        <f aca="false">IF(C218&gt;=Assumptions!$B$5,I218*Assumptions!$B$9/12*(1+Assumptions!$B$10)^INT(A218/12)*J218,0)</f>
        <v>686.697817531722</v>
      </c>
      <c r="O218" s="47" t="n">
        <f aca="false">I218*Assumptions!$B$12/12*(1+Assumptions!$B$11)^(INT(A218/12)+1)*J218</f>
        <v>3.82439136160205</v>
      </c>
      <c r="P218" s="47" t="n">
        <f aca="false">O218+Pricing_M!$B$13*M218+N218-Pricing_M!$B$13*K218</f>
        <v>690.522208893324</v>
      </c>
      <c r="Q218" s="47" t="n">
        <f aca="false">IF(C218&lt;Assumptions!$B$5,Pricing_M!$B$13*K218-Pricing_M!$B$13*M218-O218,-(N218+O218))</f>
        <v>-690.522208893324</v>
      </c>
      <c r="R218" s="32" t="n">
        <f aca="false">R217*(1-(1-(1-MIN(1,E217*(1-Assumptions!$B$21)))^(1/12)))*(1-H217)</f>
        <v>0.669700869920484</v>
      </c>
      <c r="S218" s="47" t="n">
        <f aca="false">R218*(IF(C218&lt;Assumptions!$B$5,Assumptions!$B$12*(1+Assumptions!$B$11)^(INT(A218/12)+1)/12+Pricing_M!$B$13*IF(A218=0,Assumptions!$B$14*12,IF(A218&gt;=12,Assumptions!$B$15,0))-Pricing_M!$B$13,Assumptions!$B$9/12*(1+Assumptions!$B$10)^INT(A218/12)+Assumptions!$B$12*(1+Assumptions!$B$11)^(INT(A218/12)+1)/12))*J218</f>
        <v>727.375203426993</v>
      </c>
      <c r="T218" s="32" t="n">
        <f aca="false">T217*(1-F217)*(1-(1-(1-MIN(1,G217*(1+Assumptions!$B$23)))^(1/12)))</f>
        <v>0.57593058673821</v>
      </c>
      <c r="U218" s="47" t="n">
        <f aca="false">T218*(IF(C218&lt;Assumptions!$B$5,Assumptions!$B$12*(1+Assumptions!$B$11)^(INT(A218/12)+1)/12+Pricing_M!$B$13*IF(A218=0,Assumptions!$B$14*12,IF(A218&gt;=12,Assumptions!$B$15,0))-Pricing_M!$B$13,Assumptions!$B$9/12*(1+Assumptions!$B$10)^INT(A218/12)+Assumptions!$B$12*(1+Assumptions!$B$11)^(INT(A218/12)+1)/12))*J218</f>
        <v>625.529466220153</v>
      </c>
      <c r="V218" s="32" t="n">
        <f aca="false">V217*(1-F217)*(1-(1-(1-MIN(1,G217*(1-Assumptions!$B$23)))^(1/12)))</f>
        <v>0.701182788536261</v>
      </c>
      <c r="W218" s="47" t="n">
        <f aca="false">V218*(IF(C218&lt;Assumptions!$B$5,Assumptions!$B$12*(1+Assumptions!$B$11)^(INT(A218/12)+1)/12+Pricing_M!$B$13*IF(A218=0,Assumptions!$B$14*12,IF(A218&gt;=12,Assumptions!$B$15,0))-Pricing_M!$B$13,Assumptions!$B$9/12*(1+Assumptions!$B$10)^INT(A218/12)+Assumptions!$B$12*(1+Assumptions!$B$11)^(INT(A218/12)+1)/12))*J218</f>
        <v>761.568330516915</v>
      </c>
      <c r="X218" s="47" t="n">
        <f aca="false">I218*(IF(C218&lt;Assumptions!$B$5,Assumptions!$B$12*(1+Assumptions!$B$11)*(1+Assumptions!$B$24)*(1+Assumptions!$B$11+Assumptions!$B$25)^(INT(A218/12))/12+Pricing_M!$B$13*IF(A218=0,Assumptions!$B$14*12,IF(A218&gt;=12,Assumptions!$B$15,0))-Pricing_M!$B$13,Assumptions!$B$9/12*(1+Assumptions!$B$10)^INT(A218/12)+Assumptions!$B$12*(1+Assumptions!$B$11)*(1+Assumptions!$B$24)*(1+Assumptions!$B$11+Assumptions!$B$25)^(INT(A218/12))/12))*J218</f>
        <v>691.659571760822</v>
      </c>
    </row>
    <row r="219" customFormat="false" ht="15" hidden="false" customHeight="true" outlineLevel="0" collapsed="false">
      <c r="A219" s="1" t="n">
        <v>212</v>
      </c>
      <c r="B219" s="31" t="n">
        <f aca="false">Assumptions!$B$4+A219/12</f>
        <v>82.6666666666667</v>
      </c>
      <c r="C219" s="34" t="n">
        <f aca="false">Assumptions!$B$4+INT(A219/12)</f>
        <v>82</v>
      </c>
      <c r="D219" s="34" t="n">
        <f aca="false">INT(A219/12)+1</f>
        <v>18</v>
      </c>
      <c r="E219" s="32" t="n">
        <f aca="false">IFERROR(INDEX(Cohort_Survival!$G$5:$G$65,MATCH(C219,Cohort_Survival!$A$5:$A$65,0)),1)</f>
        <v>0.0340814438183777</v>
      </c>
      <c r="F219" s="30" t="n">
        <f aca="false">1-(1-MIN(1,E219))^(1/12)</f>
        <v>0.00288547554784491</v>
      </c>
      <c r="G219" s="39" t="n">
        <f aca="false">IF(C219&lt;Assumptions!$B$5,IF(D219=1,Assumptions!$B$16,IF(D219=2,Assumptions!$B$17,IF(D219&lt;=5,Assumptions!$B$18,Assumptions!$B$19)))*(1-Assumptions!$B$20),0)</f>
        <v>0</v>
      </c>
      <c r="H219" s="30" t="n">
        <f aca="false">1-(1-G219)^(1/12)</f>
        <v>0</v>
      </c>
      <c r="I219" s="30" t="n">
        <f aca="false">I218*(1-F218)*(1-H218)</f>
        <v>0.633935488753436</v>
      </c>
      <c r="J219" s="30" t="n">
        <f aca="false">INDEX(Discount_Monthly!$G$4:$G$664,MATCH(A219,Discount_Monthly!$A$4:$A$664,0))</f>
        <v>0.576955892734253</v>
      </c>
      <c r="K219" s="30" t="n">
        <f aca="false">IF(C219&lt;Assumptions!$B$5,I219*J219,0)</f>
        <v>0</v>
      </c>
      <c r="L219" s="30" t="n">
        <f aca="false">IF(C219&lt;Assumptions!$B$5,I219*(1-F219)*H219*A219*J219,0)</f>
        <v>0</v>
      </c>
      <c r="M219" s="30" t="n">
        <f aca="false">IF(A219=0,Assumptions!$B$14*12*I219*J219,IF(AND(A219&gt;=12,C219&lt;Assumptions!$B$5),Assumptions!$B$15*I219*J219,0))</f>
        <v>0</v>
      </c>
      <c r="N219" s="47" t="n">
        <f aca="false">IF(C219&gt;=Assumptions!$B$5,I219*Assumptions!$B$9/12*(1+Assumptions!$B$10)^INT(A219/12)*J219,0)</f>
        <v>682.856322585278</v>
      </c>
      <c r="O219" s="47" t="n">
        <f aca="false">I219*Assumptions!$B$12/12*(1+Assumptions!$B$11)^(INT(A219/12)+1)*J219</f>
        <v>3.80299711843753</v>
      </c>
      <c r="P219" s="47" t="n">
        <f aca="false">O219+Pricing_M!$B$13*M219+N219-Pricing_M!$B$13*K219</f>
        <v>686.659319703716</v>
      </c>
      <c r="Q219" s="47" t="n">
        <f aca="false">IF(C219&lt;Assumptions!$B$5,Pricing_M!$B$13*K219-Pricing_M!$B$13*M219-O219,-(N219+O219))</f>
        <v>-686.659319703716</v>
      </c>
      <c r="R219" s="32" t="n">
        <f aca="false">R218*(1-(1-(1-MIN(1,E218*(1-Assumptions!$B$21)))^(1/12)))*(1-H218)</f>
        <v>0.668159892093242</v>
      </c>
      <c r="S219" s="47" t="n">
        <f aca="false">R219*(IF(C219&lt;Assumptions!$B$5,Assumptions!$B$12*(1+Assumptions!$B$11)^(INT(A219/12)+1)/12+Pricing_M!$B$13*IF(A219=0,Assumptions!$B$14*12,IF(A219&gt;=12,Assumptions!$B$15,0))-Pricing_M!$B$13,Assumptions!$B$9/12*(1+Assumptions!$B$10)^INT(A219/12)+Assumptions!$B$12*(1+Assumptions!$B$11)^(INT(A219/12)+1)/12))*J219</f>
        <v>723.730135159698</v>
      </c>
      <c r="T219" s="32" t="n">
        <f aca="false">T218*(1-F218)*(1-(1-(1-MIN(1,G218*(1+Assumptions!$B$23)))^(1/12)))</f>
        <v>0.574268753112921</v>
      </c>
      <c r="U219" s="47" t="n">
        <f aca="false">T219*(IF(C219&lt;Assumptions!$B$5,Assumptions!$B$12*(1+Assumptions!$B$11)^(INT(A219/12)+1)/12+Pricing_M!$B$13*IF(A219=0,Assumptions!$B$14*12,IF(A219&gt;=12,Assumptions!$B$15,0))-Pricing_M!$B$13,Assumptions!$B$9/12*(1+Assumptions!$B$10)^INT(A219/12)+Assumptions!$B$12*(1+Assumptions!$B$11)^(INT(A219/12)+1)/12))*J219</f>
        <v>622.030156593724</v>
      </c>
      <c r="V219" s="32" t="n">
        <f aca="false">V218*(1-F218)*(1-(1-(1-MIN(1,G218*(1-Assumptions!$B$23)))^(1/12)))</f>
        <v>0.69915954274537</v>
      </c>
      <c r="W219" s="47" t="n">
        <f aca="false">V219*(IF(C219&lt;Assumptions!$B$5,Assumptions!$B$12*(1+Assumptions!$B$11)^(INT(A219/12)+1)/12+Pricing_M!$B$13*IF(A219=0,Assumptions!$B$14*12,IF(A219&gt;=12,Assumptions!$B$15,0))-Pricing_M!$B$13,Assumptions!$B$9/12*(1+Assumptions!$B$10)^INT(A219/12)+Assumptions!$B$12*(1+Assumptions!$B$11)^(INT(A219/12)+1)/12))*J219</f>
        <v>757.307998215921</v>
      </c>
      <c r="X219" s="47" t="n">
        <f aca="false">I219*(IF(C219&lt;Assumptions!$B$5,Assumptions!$B$12*(1+Assumptions!$B$11)*(1+Assumptions!$B$24)*(1+Assumptions!$B$11+Assumptions!$B$25)^(INT(A219/12))/12+Pricing_M!$B$13*IF(A219=0,Assumptions!$B$14*12,IF(A219&gt;=12,Assumptions!$B$15,0))-Pricing_M!$B$13,Assumptions!$B$9/12*(1+Assumptions!$B$10)^INT(A219/12)+Assumptions!$B$12*(1+Assumptions!$B$11)*(1+Assumptions!$B$24)*(1+Assumptions!$B$11+Assumptions!$B$25)^(INT(A219/12))/12))*J219</f>
        <v>687.790319985523</v>
      </c>
    </row>
    <row r="220" customFormat="false" ht="15" hidden="false" customHeight="true" outlineLevel="0" collapsed="false">
      <c r="A220" s="1" t="n">
        <v>213</v>
      </c>
      <c r="B220" s="31" t="n">
        <f aca="false">Assumptions!$B$4+A220/12</f>
        <v>82.75</v>
      </c>
      <c r="C220" s="34" t="n">
        <f aca="false">Assumptions!$B$4+INT(A220/12)</f>
        <v>82</v>
      </c>
      <c r="D220" s="34" t="n">
        <f aca="false">INT(A220/12)+1</f>
        <v>18</v>
      </c>
      <c r="E220" s="32" t="n">
        <f aca="false">IFERROR(INDEX(Cohort_Survival!$G$5:$G$65,MATCH(C220,Cohort_Survival!$A$5:$A$65,0)),1)</f>
        <v>0.0340814438183777</v>
      </c>
      <c r="F220" s="30" t="n">
        <f aca="false">1-(1-MIN(1,E220))^(1/12)</f>
        <v>0.00288547554784491</v>
      </c>
      <c r="G220" s="39" t="n">
        <f aca="false">IF(C220&lt;Assumptions!$B$5,IF(D220=1,Assumptions!$B$16,IF(D220=2,Assumptions!$B$17,IF(D220&lt;=5,Assumptions!$B$18,Assumptions!$B$19)))*(1-Assumptions!$B$20),0)</f>
        <v>0</v>
      </c>
      <c r="H220" s="30" t="n">
        <f aca="false">1-(1-G220)^(1/12)</f>
        <v>0</v>
      </c>
      <c r="I220" s="30" t="n">
        <f aca="false">I219*(1-F219)*(1-H219)</f>
        <v>0.632106283401727</v>
      </c>
      <c r="J220" s="30" t="n">
        <f aca="false">INDEX(Discount_Monthly!$G$4:$G$664,MATCH(A220,Discount_Monthly!$A$4:$A$664,0))</f>
        <v>0.57538858095252</v>
      </c>
      <c r="K220" s="30" t="n">
        <f aca="false">IF(C220&lt;Assumptions!$B$5,I220*J220,0)</f>
        <v>0</v>
      </c>
      <c r="L220" s="30" t="n">
        <f aca="false">IF(C220&lt;Assumptions!$B$5,I220*(1-F220)*H220*A220*J220,0)</f>
        <v>0</v>
      </c>
      <c r="M220" s="30" t="n">
        <f aca="false">IF(A220=0,Assumptions!$B$14*12*I220*J220,IF(AND(A220&gt;=12,C220&lt;Assumptions!$B$5),Assumptions!$B$15*I220*J220,0))</f>
        <v>0</v>
      </c>
      <c r="N220" s="47" t="n">
        <f aca="false">IF(C220&gt;=Assumptions!$B$5,I220*Assumptions!$B$9/12*(1+Assumptions!$B$10)^INT(A220/12)*J220,0)</f>
        <v>679.036317562126</v>
      </c>
      <c r="O220" s="47" t="n">
        <f aca="false">I220*Assumptions!$B$12/12*(1+Assumptions!$B$11)^(INT(A220/12)+1)*J220</f>
        <v>3.78172255801395</v>
      </c>
      <c r="P220" s="47" t="n">
        <f aca="false">O220+Pricing_M!$B$13*M220+N220-Pricing_M!$B$13*K220</f>
        <v>682.81804012014</v>
      </c>
      <c r="Q220" s="47" t="n">
        <f aca="false">IF(C220&lt;Assumptions!$B$5,Pricing_M!$B$13*K220-Pricing_M!$B$13*M220-O220,-(N220+O220))</f>
        <v>-682.81804012014</v>
      </c>
      <c r="R220" s="32" t="n">
        <f aca="false">R219*(1-(1-(1-MIN(1,E219*(1-Assumptions!$B$21)))^(1/12)))*(1-H219)</f>
        <v>0.666622460047066</v>
      </c>
      <c r="S220" s="47" t="n">
        <f aca="false">R220*(IF(C220&lt;Assumptions!$B$5,Assumptions!$B$12*(1+Assumptions!$B$11)^(INT(A220/12)+1)/12+Pricing_M!$B$13*IF(A220=0,Assumptions!$B$14*12,IF(A220&gt;=12,Assumptions!$B$15,0))-Pricing_M!$B$13,Assumptions!$B$9/12*(1+Assumptions!$B$10)^INT(A220/12)+Assumptions!$B$12*(1+Assumptions!$B$11)^(INT(A220/12)+1)/12))*J220</f>
        <v>720.103333287258</v>
      </c>
      <c r="T220" s="32" t="n">
        <f aca="false">T219*(1-F219)*(1-(1-(1-MIN(1,G219*(1+Assumptions!$B$23)))^(1/12)))</f>
        <v>0.572611714667922</v>
      </c>
      <c r="U220" s="47" t="n">
        <f aca="false">T220*(IF(C220&lt;Assumptions!$B$5,Assumptions!$B$12*(1+Assumptions!$B$11)^(INT(A220/12)+1)/12+Pricing_M!$B$13*IF(A220=0,Assumptions!$B$14*12,IF(A220&gt;=12,Assumptions!$B$15,0))-Pricing_M!$B$13,Assumptions!$B$9/12*(1+Assumptions!$B$10)^INT(A220/12)+Assumptions!$B$12*(1+Assumptions!$B$11)^(INT(A220/12)+1)/12))*J220</f>
        <v>618.550422652412</v>
      </c>
      <c r="V220" s="32" t="n">
        <f aca="false">V219*(1-F219)*(1-(1-(1-MIN(1,G219*(1-Assumptions!$B$23)))^(1/12)))</f>
        <v>0.697142134980735</v>
      </c>
      <c r="W220" s="47" t="n">
        <f aca="false">V220*(IF(C220&lt;Assumptions!$B$5,Assumptions!$B$12*(1+Assumptions!$B$11)^(INT(A220/12)+1)/12+Pricing_M!$B$13*IF(A220=0,Assumptions!$B$14*12,IF(A220&gt;=12,Assumptions!$B$15,0))-Pricing_M!$B$13,Assumptions!$B$9/12*(1+Assumptions!$B$10)^INT(A220/12)+Assumptions!$B$12*(1+Assumptions!$B$11)^(INT(A220/12)+1)/12))*J220</f>
        <v>753.07149887986</v>
      </c>
      <c r="X220" s="47" t="n">
        <f aca="false">I220*(IF(C220&lt;Assumptions!$B$5,Assumptions!$B$12*(1+Assumptions!$B$11)*(1+Assumptions!$B$24)*(1+Assumptions!$B$11+Assumptions!$B$25)^(INT(A220/12))/12+Pricing_M!$B$13*IF(A220=0,Assumptions!$B$14*12,IF(A220&gt;=12,Assumptions!$B$15,0))-Pricing_M!$B$13,Assumptions!$B$9/12*(1+Assumptions!$B$10)^INT(A220/12)+Assumptions!$B$12*(1+Assumptions!$B$11)*(1+Assumptions!$B$24)*(1+Assumptions!$B$11+Assumptions!$B$25)^(INT(A220/12))/12))*J220</f>
        <v>683.942713409555</v>
      </c>
    </row>
    <row r="221" customFormat="false" ht="15" hidden="false" customHeight="true" outlineLevel="0" collapsed="false">
      <c r="A221" s="1" t="n">
        <v>214</v>
      </c>
      <c r="B221" s="31" t="n">
        <f aca="false">Assumptions!$B$4+A221/12</f>
        <v>82.8333333333333</v>
      </c>
      <c r="C221" s="34" t="n">
        <f aca="false">Assumptions!$B$4+INT(A221/12)</f>
        <v>82</v>
      </c>
      <c r="D221" s="34" t="n">
        <f aca="false">INT(A221/12)+1</f>
        <v>18</v>
      </c>
      <c r="E221" s="32" t="n">
        <f aca="false">IFERROR(INDEX(Cohort_Survival!$G$5:$G$65,MATCH(C221,Cohort_Survival!$A$5:$A$65,0)),1)</f>
        <v>0.0340814438183777</v>
      </c>
      <c r="F221" s="30" t="n">
        <f aca="false">1-(1-MIN(1,E221))^(1/12)</f>
        <v>0.00288547554784491</v>
      </c>
      <c r="G221" s="39" t="n">
        <f aca="false">IF(C221&lt;Assumptions!$B$5,IF(D221=1,Assumptions!$B$16,IF(D221=2,Assumptions!$B$17,IF(D221&lt;=5,Assumptions!$B$18,Assumptions!$B$19)))*(1-Assumptions!$B$20),0)</f>
        <v>0</v>
      </c>
      <c r="H221" s="30" t="n">
        <f aca="false">1-(1-G221)^(1/12)</f>
        <v>0</v>
      </c>
      <c r="I221" s="30" t="n">
        <f aca="false">I220*(1-F220)*(1-H220)</f>
        <v>0.630282356177332</v>
      </c>
      <c r="J221" s="30" t="n">
        <f aca="false">INDEX(Discount_Monthly!$G$4:$G$664,MATCH(A221,Discount_Monthly!$A$4:$A$664,0))</f>
        <v>0.573825526803394</v>
      </c>
      <c r="K221" s="30" t="n">
        <f aca="false">IF(C221&lt;Assumptions!$B$5,I221*J221,0)</f>
        <v>0</v>
      </c>
      <c r="L221" s="30" t="n">
        <f aca="false">IF(C221&lt;Assumptions!$B$5,I221*(1-F221)*H221*A221*J221,0)</f>
        <v>0</v>
      </c>
      <c r="M221" s="30" t="n">
        <f aca="false">IF(A221=0,Assumptions!$B$14*12*I221*J221,IF(AND(A221&gt;=12,C221&lt;Assumptions!$B$5),Assumptions!$B$15*I221*J221,0))</f>
        <v>0</v>
      </c>
      <c r="N221" s="47" t="n">
        <f aca="false">IF(C221&gt;=Assumptions!$B$5,I221*Assumptions!$B$9/12*(1+Assumptions!$B$10)^INT(A221/12)*J221,0)</f>
        <v>675.237682244276</v>
      </c>
      <c r="O221" s="47" t="n">
        <f aca="false">I221*Assumptions!$B$12/12*(1+Assumptions!$B$11)^(INT(A221/12)+1)*J221</f>
        <v>3.76056701080735</v>
      </c>
      <c r="P221" s="47" t="n">
        <f aca="false">O221+Pricing_M!$B$13*M221+N221-Pricing_M!$B$13*K221</f>
        <v>678.998249255083</v>
      </c>
      <c r="Q221" s="47" t="n">
        <f aca="false">IF(C221&lt;Assumptions!$B$5,Pricing_M!$B$13*K221-Pricing_M!$B$13*M221-O221,-(N221+O221))</f>
        <v>-678.998249255083</v>
      </c>
      <c r="R221" s="32" t="n">
        <f aca="false">R220*(1-(1-(1-MIN(1,E220*(1-Assumptions!$B$21)))^(1/12)))*(1-H220)</f>
        <v>0.665088565623133</v>
      </c>
      <c r="S221" s="47" t="n">
        <f aca="false">R221*(IF(C221&lt;Assumptions!$B$5,Assumptions!$B$12*(1+Assumptions!$B$11)^(INT(A221/12)+1)/12+Pricing_M!$B$13*IF(A221=0,Assumptions!$B$14*12,IF(A221&gt;=12,Assumptions!$B$15,0))-Pricing_M!$B$13,Assumptions!$B$9/12*(1+Assumptions!$B$10)^INT(A221/12)+Assumptions!$B$12*(1+Assumptions!$B$11)^(INT(A221/12)+1)/12))*J221</f>
        <v>716.494706271968</v>
      </c>
      <c r="T221" s="32" t="n">
        <f aca="false">T220*(1-F220)*(1-(1-(1-MIN(1,G220*(1+Assumptions!$B$23)))^(1/12)))</f>
        <v>0.570959457566838</v>
      </c>
      <c r="U221" s="47" t="n">
        <f aca="false">T221*(IF(C221&lt;Assumptions!$B$5,Assumptions!$B$12*(1+Assumptions!$B$11)^(INT(A221/12)+1)/12+Pricing_M!$B$13*IF(A221=0,Assumptions!$B$14*12,IF(A221&gt;=12,Assumptions!$B$15,0))-Pricing_M!$B$13,Assumptions!$B$9/12*(1+Assumptions!$B$10)^INT(A221/12)+Assumptions!$B$12*(1+Assumptions!$B$11)^(INT(A221/12)+1)/12))*J221</f>
        <v>615.090154886772</v>
      </c>
      <c r="V221" s="32" t="n">
        <f aca="false">V220*(1-F220)*(1-(1-(1-MIN(1,G220*(1-Assumptions!$B$23)))^(1/12)))</f>
        <v>0.695130548396876</v>
      </c>
      <c r="W221" s="47" t="n">
        <f aca="false">V221*(IF(C221&lt;Assumptions!$B$5,Assumptions!$B$12*(1+Assumptions!$B$11)^(INT(A221/12)+1)/12+Pricing_M!$B$13*IF(A221=0,Assumptions!$B$14*12,IF(A221&gt;=12,Assumptions!$B$15,0))-Pricing_M!$B$13,Assumptions!$B$9/12*(1+Assumptions!$B$10)^INT(A221/12)+Assumptions!$B$12*(1+Assumptions!$B$11)^(INT(A221/12)+1)/12))*J221</f>
        <v>748.858699183399</v>
      </c>
      <c r="X221" s="47" t="n">
        <f aca="false">I221*(IF(C221&lt;Assumptions!$B$5,Assumptions!$B$12*(1+Assumptions!$B$11)*(1+Assumptions!$B$24)*(1+Assumptions!$B$11+Assumptions!$B$25)^(INT(A221/12))/12+Pricing_M!$B$13*IF(A221=0,Assumptions!$B$14*12,IF(A221&gt;=12,Assumptions!$B$15,0))-Pricing_M!$B$13,Assumptions!$B$9/12*(1+Assumptions!$B$10)^INT(A221/12)+Assumptions!$B$12*(1+Assumptions!$B$11)*(1+Assumptions!$B$24)*(1+Assumptions!$B$11+Assumptions!$B$25)^(INT(A221/12))/12))*J221</f>
        <v>680.116630946291</v>
      </c>
    </row>
    <row r="222" customFormat="false" ht="15" hidden="false" customHeight="true" outlineLevel="0" collapsed="false">
      <c r="A222" s="1" t="n">
        <v>215</v>
      </c>
      <c r="B222" s="31" t="n">
        <f aca="false">Assumptions!$B$4+A222/12</f>
        <v>82.9166666666667</v>
      </c>
      <c r="C222" s="34" t="n">
        <f aca="false">Assumptions!$B$4+INT(A222/12)</f>
        <v>82</v>
      </c>
      <c r="D222" s="34" t="n">
        <f aca="false">INT(A222/12)+1</f>
        <v>18</v>
      </c>
      <c r="E222" s="32" t="n">
        <f aca="false">IFERROR(INDEX(Cohort_Survival!$G$5:$G$65,MATCH(C222,Cohort_Survival!$A$5:$A$65,0)),1)</f>
        <v>0.0340814438183777</v>
      </c>
      <c r="F222" s="30" t="n">
        <f aca="false">1-(1-MIN(1,E222))^(1/12)</f>
        <v>0.00288547554784491</v>
      </c>
      <c r="G222" s="39" t="n">
        <f aca="false">IF(C222&lt;Assumptions!$B$5,IF(D222=1,Assumptions!$B$16,IF(D222=2,Assumptions!$B$17,IF(D222&lt;=5,Assumptions!$B$18,Assumptions!$B$19)))*(1-Assumptions!$B$20),0)</f>
        <v>0</v>
      </c>
      <c r="H222" s="30" t="n">
        <f aca="false">1-(1-G222)^(1/12)</f>
        <v>0</v>
      </c>
      <c r="I222" s="30" t="n">
        <f aca="false">I221*(1-F221)*(1-H221)</f>
        <v>0.628463691850345</v>
      </c>
      <c r="J222" s="30" t="n">
        <f aca="false">INDEX(Discount_Monthly!$G$4:$G$664,MATCH(A222,Discount_Monthly!$A$4:$A$664,0))</f>
        <v>0.572266718720932</v>
      </c>
      <c r="K222" s="30" t="n">
        <f aca="false">IF(C222&lt;Assumptions!$B$5,I222*J222,0)</f>
        <v>0</v>
      </c>
      <c r="L222" s="30" t="n">
        <f aca="false">IF(C222&lt;Assumptions!$B$5,I222*(1-F222)*H222*A222*J222,0)</f>
        <v>0</v>
      </c>
      <c r="M222" s="30" t="n">
        <f aca="false">IF(A222=0,Assumptions!$B$14*12*I222*J222,IF(AND(A222&gt;=12,C222&lt;Assumptions!$B$5),Assumptions!$B$15*I222*J222,0))</f>
        <v>0</v>
      </c>
      <c r="N222" s="47" t="n">
        <f aca="false">IF(C222&gt;=Assumptions!$B$5,I222*Assumptions!$B$9/12*(1+Assumptions!$B$10)^INT(A222/12)*J222,0)</f>
        <v>671.460297086255</v>
      </c>
      <c r="O222" s="47" t="n">
        <f aca="false">I222*Assumptions!$B$12/12*(1+Assumptions!$B$11)^(INT(A222/12)+1)*J222</f>
        <v>3.73952981103918</v>
      </c>
      <c r="P222" s="47" t="n">
        <f aca="false">O222+Pricing_M!$B$13*M222+N222-Pricing_M!$B$13*K222</f>
        <v>675.199826897294</v>
      </c>
      <c r="Q222" s="47" t="n">
        <f aca="false">IF(C222&lt;Assumptions!$B$5,Pricing_M!$B$13*K222-Pricing_M!$B$13*M222-O222,-(N222+O222))</f>
        <v>-675.199826897294</v>
      </c>
      <c r="R222" s="32" t="n">
        <f aca="false">R221*(1-(1-(1-MIN(1,E221*(1-Assumptions!$B$21)))^(1/12)))*(1-H221)</f>
        <v>0.663558200681395</v>
      </c>
      <c r="S222" s="47" t="n">
        <f aca="false">R222*(IF(C222&lt;Assumptions!$B$5,Assumptions!$B$12*(1+Assumptions!$B$11)^(INT(A222/12)+1)/12+Pricing_M!$B$13*IF(A222=0,Assumptions!$B$14*12,IF(A222&gt;=12,Assumptions!$B$15,0))-Pricing_M!$B$13,Assumptions!$B$9/12*(1+Assumptions!$B$10)^INT(A222/12)+Assumptions!$B$12*(1+Assumptions!$B$11)^(INT(A222/12)+1)/12))*J222</f>
        <v>712.904163034844</v>
      </c>
      <c r="T222" s="32" t="n">
        <f aca="false">T221*(1-F221)*(1-(1-(1-MIN(1,G221*(1+Assumptions!$B$23)))^(1/12)))</f>
        <v>0.569311968013218</v>
      </c>
      <c r="U222" s="47" t="n">
        <f aca="false">T222*(IF(C222&lt;Assumptions!$B$5,Assumptions!$B$12*(1+Assumptions!$B$11)^(INT(A222/12)+1)/12+Pricing_M!$B$13*IF(A222=0,Assumptions!$B$14*12,IF(A222&gt;=12,Assumptions!$B$15,0))-Pricing_M!$B$13,Assumptions!$B$9/12*(1+Assumptions!$B$10)^INT(A222/12)+Assumptions!$B$12*(1+Assumptions!$B$11)^(INT(A222/12)+1)/12))*J222</f>
        <v>611.649244399976</v>
      </c>
      <c r="V222" s="32" t="n">
        <f aca="false">V221*(1-F221)*(1-(1-(1-MIN(1,G221*(1-Assumptions!$B$23)))^(1/12)))</f>
        <v>0.693124766196917</v>
      </c>
      <c r="W222" s="47" t="n">
        <f aca="false">V222*(IF(C222&lt;Assumptions!$B$5,Assumptions!$B$12*(1+Assumptions!$B$11)^(INT(A222/12)+1)/12+Pricing_M!$B$13*IF(A222=0,Assumptions!$B$14*12,IF(A222&gt;=12,Assumptions!$B$15,0))-Pricing_M!$B$13,Assumptions!$B$9/12*(1+Assumptions!$B$10)^INT(A222/12)+Assumptions!$B$12*(1+Assumptions!$B$11)^(INT(A222/12)+1)/12))*J222</f>
        <v>744.66946654705</v>
      </c>
      <c r="X222" s="47" t="n">
        <f aca="false">I222*(IF(C222&lt;Assumptions!$B$5,Assumptions!$B$12*(1+Assumptions!$B$11)*(1+Assumptions!$B$24)*(1+Assumptions!$B$11+Assumptions!$B$25)^(INT(A222/12))/12+Pricing_M!$B$13*IF(A222=0,Assumptions!$B$14*12,IF(A222&gt;=12,Assumptions!$B$15,0))-Pricing_M!$B$13,Assumptions!$B$9/12*(1+Assumptions!$B$10)^INT(A222/12)+Assumptions!$B$12*(1+Assumptions!$B$11)*(1+Assumptions!$B$24)*(1+Assumptions!$B$11+Assumptions!$B$25)^(INT(A222/12))/12))*J222</f>
        <v>676.311952186479</v>
      </c>
    </row>
    <row r="223" customFormat="false" ht="15" hidden="false" customHeight="true" outlineLevel="0" collapsed="false">
      <c r="A223" s="1" t="n">
        <v>216</v>
      </c>
      <c r="B223" s="31" t="n">
        <f aca="false">Assumptions!$B$4+A223/12</f>
        <v>83</v>
      </c>
      <c r="C223" s="34" t="n">
        <f aca="false">Assumptions!$B$4+INT(A223/12)</f>
        <v>83</v>
      </c>
      <c r="D223" s="34" t="n">
        <f aca="false">INT(A223/12)+1</f>
        <v>19</v>
      </c>
      <c r="E223" s="32" t="n">
        <f aca="false">IFERROR(INDEX(Cohort_Survival!$G$5:$G$65,MATCH(C223,Cohort_Survival!$A$5:$A$65,0)),1)</f>
        <v>0.0382494856184891</v>
      </c>
      <c r="F223" s="30" t="n">
        <f aca="false">1-(1-MIN(1,E223))^(1/12)</f>
        <v>0.00324474128784824</v>
      </c>
      <c r="G223" s="39" t="n">
        <f aca="false">IF(C223&lt;Assumptions!$B$5,IF(D223=1,Assumptions!$B$16,IF(D223=2,Assumptions!$B$17,IF(D223&lt;=5,Assumptions!$B$18,Assumptions!$B$19)))*(1-Assumptions!$B$20),0)</f>
        <v>0</v>
      </c>
      <c r="H223" s="30" t="n">
        <f aca="false">1-(1-G223)^(1/12)</f>
        <v>0</v>
      </c>
      <c r="I223" s="30" t="n">
        <f aca="false">I222*(1-F222)*(1-H222)</f>
        <v>0.626650275234802</v>
      </c>
      <c r="J223" s="30" t="n">
        <f aca="false">INDEX(Discount_Monthly!$G$4:$G$664,MATCH(A223,Discount_Monthly!$A$4:$A$664,0))</f>
        <v>0.570712145170615</v>
      </c>
      <c r="K223" s="30" t="n">
        <f aca="false">IF(C223&lt;Assumptions!$B$5,I223*J223,0)</f>
        <v>0</v>
      </c>
      <c r="L223" s="30" t="n">
        <f aca="false">IF(C223&lt;Assumptions!$B$5,I223*(1-F223)*H223*A223*J223,0)</f>
        <v>0</v>
      </c>
      <c r="M223" s="30" t="n">
        <f aca="false">IF(A223=0,Assumptions!$B$14*12*I223*J223,IF(AND(A223&gt;=12,C223&lt;Assumptions!$B$5),Assumptions!$B$15*I223*J223,0))</f>
        <v>0</v>
      </c>
      <c r="N223" s="47" t="n">
        <f aca="false">IF(C223&gt;=Assumptions!$B$5,I223*Assumptions!$B$9/12*(1+Assumptions!$B$10)^INT(A223/12)*J223,0)</f>
        <v>681.058124075574</v>
      </c>
      <c r="O223" s="47" t="n">
        <f aca="false">I223*Assumptions!$B$12/12*(1+Assumptions!$B$11)^(INT(A223/12)+1)*J223</f>
        <v>3.81157555407176</v>
      </c>
      <c r="P223" s="47" t="n">
        <f aca="false">O223+Pricing_M!$B$13*M223+N223-Pricing_M!$B$13*K223</f>
        <v>684.869699629645</v>
      </c>
      <c r="Q223" s="47" t="n">
        <f aca="false">IF(C223&lt;Assumptions!$B$5,Pricing_M!$B$13*K223-Pricing_M!$B$13*M223-O223,-(N223+O223))</f>
        <v>-684.869699629645</v>
      </c>
      <c r="R223" s="32" t="n">
        <f aca="false">R222*(1-(1-(1-MIN(1,E222*(1-Assumptions!$B$21)))^(1/12)))*(1-H222)</f>
        <v>0.662031357100535</v>
      </c>
      <c r="S223" s="47" t="n">
        <f aca="false">R223*(IF(C223&lt;Assumptions!$B$5,Assumptions!$B$12*(1+Assumptions!$B$11)^(INT(A223/12)+1)/12+Pricing_M!$B$13*IF(A223=0,Assumptions!$B$14*12,IF(A223&gt;=12,Assumptions!$B$15,0))-Pricing_M!$B$13,Assumptions!$B$9/12*(1+Assumptions!$B$10)^INT(A223/12)+Assumptions!$B$12*(1+Assumptions!$B$11)^(INT(A223/12)+1)/12))*J223</f>
        <v>723.537888039643</v>
      </c>
      <c r="T223" s="32" t="n">
        <f aca="false">T222*(1-F222)*(1-(1-(1-MIN(1,G222*(1+Assumptions!$B$23)))^(1/12)))</f>
        <v>0.567669232250421</v>
      </c>
      <c r="U223" s="47" t="n">
        <f aca="false">T223*(IF(C223&lt;Assumptions!$B$5,Assumptions!$B$12*(1+Assumptions!$B$11)^(INT(A223/12)+1)/12+Pricing_M!$B$13*IF(A223=0,Assumptions!$B$14*12,IF(A223&gt;=12,Assumptions!$B$15,0))-Pricing_M!$B$13,Assumptions!$B$9/12*(1+Assumptions!$B$10)^INT(A223/12)+Assumptions!$B$12*(1+Assumptions!$B$11)^(INT(A223/12)+1)/12))*J223</f>
        <v>620.408977614609</v>
      </c>
      <c r="V223" s="32" t="n">
        <f aca="false">V222*(1-F222)*(1-(1-(1-MIN(1,G222*(1-Assumptions!$B$23)))^(1/12)))</f>
        <v>0.69112477163245</v>
      </c>
      <c r="W223" s="47" t="n">
        <f aca="false">V223*(IF(C223&lt;Assumptions!$B$5,Assumptions!$B$12*(1+Assumptions!$B$11)^(INT(A223/12)+1)/12+Pricing_M!$B$13*IF(A223=0,Assumptions!$B$14*12,IF(A223&gt;=12,Assumptions!$B$15,0))-Pricing_M!$B$13,Assumptions!$B$9/12*(1+Assumptions!$B$10)^INT(A223/12)+Assumptions!$B$12*(1+Assumptions!$B$11)^(INT(A223/12)+1)/12))*J223</f>
        <v>755.334248560202</v>
      </c>
      <c r="X223" s="47" t="n">
        <f aca="false">I223*(IF(C223&lt;Assumptions!$B$5,Assumptions!$B$12*(1+Assumptions!$B$11)*(1+Assumptions!$B$24)*(1+Assumptions!$B$11+Assumptions!$B$25)^(INT(A223/12))/12+Pricing_M!$B$13*IF(A223=0,Assumptions!$B$14*12,IF(A223&gt;=12,Assumptions!$B$15,0))-Pricing_M!$B$13,Assumptions!$B$9/12*(1+Assumptions!$B$10)^INT(A223/12)+Assumptions!$B$12*(1+Assumptions!$B$11)*(1+Assumptions!$B$24)*(1+Assumptions!$B$11+Assumptions!$B$25)^(INT(A223/12))/12))*J223</f>
        <v>686.05149625509</v>
      </c>
    </row>
    <row r="224" customFormat="false" ht="15" hidden="false" customHeight="true" outlineLevel="0" collapsed="false">
      <c r="A224" s="1" t="n">
        <v>217</v>
      </c>
      <c r="B224" s="31" t="n">
        <f aca="false">Assumptions!$B$4+A224/12</f>
        <v>83.0833333333333</v>
      </c>
      <c r="C224" s="34" t="n">
        <f aca="false">Assumptions!$B$4+INT(A224/12)</f>
        <v>83</v>
      </c>
      <c r="D224" s="34" t="n">
        <f aca="false">INT(A224/12)+1</f>
        <v>19</v>
      </c>
      <c r="E224" s="32" t="n">
        <f aca="false">IFERROR(INDEX(Cohort_Survival!$G$5:$G$65,MATCH(C224,Cohort_Survival!$A$5:$A$65,0)),1)</f>
        <v>0.0382494856184891</v>
      </c>
      <c r="F224" s="30" t="n">
        <f aca="false">1-(1-MIN(1,E224))^(1/12)</f>
        <v>0.00324474128784824</v>
      </c>
      <c r="G224" s="39" t="n">
        <f aca="false">IF(C224&lt;Assumptions!$B$5,IF(D224=1,Assumptions!$B$16,IF(D224=2,Assumptions!$B$17,IF(D224&lt;=5,Assumptions!$B$18,Assumptions!$B$19)))*(1-Assumptions!$B$20),0)</f>
        <v>0</v>
      </c>
      <c r="H224" s="30" t="n">
        <f aca="false">1-(1-G224)^(1/12)</f>
        <v>0</v>
      </c>
      <c r="I224" s="30" t="n">
        <f aca="false">I223*(1-F223)*(1-H223)</f>
        <v>0.624616957213706</v>
      </c>
      <c r="J224" s="30" t="n">
        <f aca="false">INDEX(Discount_Monthly!$G$4:$G$664,MATCH(A224,Discount_Monthly!$A$4:$A$664,0))</f>
        <v>0.569205935848282</v>
      </c>
      <c r="K224" s="30" t="n">
        <f aca="false">IF(C224&lt;Assumptions!$B$5,I224*J224,0)</f>
        <v>0</v>
      </c>
      <c r="L224" s="30" t="n">
        <f aca="false">IF(C224&lt;Assumptions!$B$5,I224*(1-F224)*H224*A224*J224,0)</f>
        <v>0</v>
      </c>
      <c r="M224" s="30" t="n">
        <f aca="false">IF(A224=0,Assumptions!$B$14*12*I224*J224,IF(AND(A224&gt;=12,C224&lt;Assumptions!$B$5),Assumptions!$B$15*I224*J224,0))</f>
        <v>0</v>
      </c>
      <c r="N224" s="47" t="n">
        <f aca="false">IF(C224&gt;=Assumptions!$B$5,I224*Assumptions!$B$9/12*(1+Assumptions!$B$10)^INT(A224/12)*J224,0)</f>
        <v>677.056667171891</v>
      </c>
      <c r="O224" s="47" t="n">
        <f aca="false">I224*Assumptions!$B$12/12*(1+Assumptions!$B$11)^(INT(A224/12)+1)*J224</f>
        <v>3.78918120214262</v>
      </c>
      <c r="P224" s="47" t="n">
        <f aca="false">O224+Pricing_M!$B$13*M224+N224-Pricing_M!$B$13*K224</f>
        <v>680.845848374034</v>
      </c>
      <c r="Q224" s="47" t="n">
        <f aca="false">IF(C224&lt;Assumptions!$B$5,Pricing_M!$B$13*K224-Pricing_M!$B$13*M224-O224,-(N224+O224))</f>
        <v>-680.845848374034</v>
      </c>
      <c r="R224" s="32" t="n">
        <f aca="false">R223*(1-(1-(1-MIN(1,E223*(1-Assumptions!$B$21)))^(1/12)))*(1-H223)</f>
        <v>0.660319050312576</v>
      </c>
      <c r="S224" s="47" t="n">
        <f aca="false">R224*(IF(C224&lt;Assumptions!$B$5,Assumptions!$B$12*(1+Assumptions!$B$11)^(INT(A224/12)+1)/12+Pricing_M!$B$13*IF(A224=0,Assumptions!$B$14*12,IF(A224&gt;=12,Assumptions!$B$15,0))-Pricing_M!$B$13,Assumptions!$B$9/12*(1+Assumptions!$B$10)^INT(A224/12)+Assumptions!$B$12*(1+Assumptions!$B$11)^(INT(A224/12)+1)/12))*J224</f>
        <v>719.761893774178</v>
      </c>
      <c r="T224" s="32" t="n">
        <f aca="false">T223*(1-F223)*(1-(1-(1-MIN(1,G223*(1+Assumptions!$B$23)))^(1/12)))</f>
        <v>0.565827292454697</v>
      </c>
      <c r="U224" s="47" t="n">
        <f aca="false">T224*(IF(C224&lt;Assumptions!$B$5,Assumptions!$B$12*(1+Assumptions!$B$11)^(INT(A224/12)+1)/12+Pricing_M!$B$13*IF(A224=0,Assumptions!$B$14*12,IF(A224&gt;=12,Assumptions!$B$15,0))-Pricing_M!$B$13,Assumptions!$B$9/12*(1+Assumptions!$B$10)^INT(A224/12)+Assumptions!$B$12*(1+Assumptions!$B$11)^(INT(A224/12)+1)/12))*J224</f>
        <v>616.763855856532</v>
      </c>
      <c r="V224" s="32" t="n">
        <f aca="false">V223*(1-F223)*(1-(1-(1-MIN(1,G223*(1-Assumptions!$B$23)))^(1/12)))</f>
        <v>0.68888225055088</v>
      </c>
      <c r="W224" s="47" t="n">
        <f aca="false">V224*(IF(C224&lt;Assumptions!$B$5,Assumptions!$B$12*(1+Assumptions!$B$11)^(INT(A224/12)+1)/12+Pricing_M!$B$13*IF(A224=0,Assumptions!$B$14*12,IF(A224&gt;=12,Assumptions!$B$15,0))-Pricing_M!$B$13,Assumptions!$B$9/12*(1+Assumptions!$B$10)^INT(A224/12)+Assumptions!$B$12*(1+Assumptions!$B$11)^(INT(A224/12)+1)/12))*J224</f>
        <v>750.896393204477</v>
      </c>
      <c r="X224" s="47" t="n">
        <f aca="false">I224*(IF(C224&lt;Assumptions!$B$5,Assumptions!$B$12*(1+Assumptions!$B$11)*(1+Assumptions!$B$24)*(1+Assumptions!$B$11+Assumptions!$B$25)^(INT(A224/12))/12+Pricing_M!$B$13*IF(A224=0,Assumptions!$B$14*12,IF(A224&gt;=12,Assumptions!$B$15,0))-Pricing_M!$B$13,Assumptions!$B$9/12*(1+Assumptions!$B$10)^INT(A224/12)+Assumptions!$B$12*(1+Assumptions!$B$11)*(1+Assumptions!$B$24)*(1+Assumptions!$B$11+Assumptions!$B$25)^(INT(A224/12))/12))*J224</f>
        <v>682.02070152711</v>
      </c>
    </row>
    <row r="225" customFormat="false" ht="15" hidden="false" customHeight="true" outlineLevel="0" collapsed="false">
      <c r="A225" s="1" t="n">
        <v>218</v>
      </c>
      <c r="B225" s="31" t="n">
        <f aca="false">Assumptions!$B$4+A225/12</f>
        <v>83.1666666666667</v>
      </c>
      <c r="C225" s="34" t="n">
        <f aca="false">Assumptions!$B$4+INT(A225/12)</f>
        <v>83</v>
      </c>
      <c r="D225" s="34" t="n">
        <f aca="false">INT(A225/12)+1</f>
        <v>19</v>
      </c>
      <c r="E225" s="32" t="n">
        <f aca="false">IFERROR(INDEX(Cohort_Survival!$G$5:$G$65,MATCH(C225,Cohort_Survival!$A$5:$A$65,0)),1)</f>
        <v>0.0382494856184891</v>
      </c>
      <c r="F225" s="30" t="n">
        <f aca="false">1-(1-MIN(1,E225))^(1/12)</f>
        <v>0.00324474128784824</v>
      </c>
      <c r="G225" s="39" t="n">
        <f aca="false">IF(C225&lt;Assumptions!$B$5,IF(D225=1,Assumptions!$B$16,IF(D225=2,Assumptions!$B$17,IF(D225&lt;=5,Assumptions!$B$18,Assumptions!$B$19)))*(1-Assumptions!$B$20),0)</f>
        <v>0</v>
      </c>
      <c r="H225" s="30" t="n">
        <f aca="false">1-(1-G225)^(1/12)</f>
        <v>0</v>
      </c>
      <c r="I225" s="30" t="n">
        <f aca="false">I224*(1-F224)*(1-H224)</f>
        <v>0.622590236783545</v>
      </c>
      <c r="J225" s="30" t="n">
        <f aca="false">INDEX(Discount_Monthly!$G$4:$G$664,MATCH(A225,Discount_Monthly!$A$4:$A$664,0))</f>
        <v>0.567703701676193</v>
      </c>
      <c r="K225" s="30" t="n">
        <f aca="false">IF(C225&lt;Assumptions!$B$5,I225*J225,0)</f>
        <v>0</v>
      </c>
      <c r="L225" s="30" t="n">
        <f aca="false">IF(C225&lt;Assumptions!$B$5,I225*(1-F225)*H225*A225*J225,0)</f>
        <v>0</v>
      </c>
      <c r="M225" s="30" t="n">
        <f aca="false">IF(A225=0,Assumptions!$B$14*12*I225*J225,IF(AND(A225&gt;=12,C225&lt;Assumptions!$B$5),Assumptions!$B$15*I225*J225,0))</f>
        <v>0</v>
      </c>
      <c r="N225" s="47" t="n">
        <f aca="false">IF(C225&gt;=Assumptions!$B$5,I225*Assumptions!$B$9/12*(1+Assumptions!$B$10)^INT(A225/12)*J225,0)</f>
        <v>673.078720240098</v>
      </c>
      <c r="O225" s="47" t="n">
        <f aca="false">I225*Assumptions!$B$12/12*(1+Assumptions!$B$11)^(INT(A225/12)+1)*J225</f>
        <v>3.76691842493663</v>
      </c>
      <c r="P225" s="47" t="n">
        <f aca="false">O225+Pricing_M!$B$13*M225+N225-Pricing_M!$B$13*K225</f>
        <v>676.845638665034</v>
      </c>
      <c r="Q225" s="47" t="n">
        <f aca="false">IF(C225&lt;Assumptions!$B$5,Pricing_M!$B$13*K225-Pricing_M!$B$13*M225-O225,-(N225+O225))</f>
        <v>-676.845638665034</v>
      </c>
      <c r="R225" s="32" t="n">
        <f aca="false">R224*(1-(1-(1-MIN(1,E224*(1-Assumptions!$B$21)))^(1/12)))*(1-H224)</f>
        <v>0.658611172309606</v>
      </c>
      <c r="S225" s="47" t="n">
        <f aca="false">R225*(IF(C225&lt;Assumptions!$B$5,Assumptions!$B$12*(1+Assumptions!$B$11)^(INT(A225/12)+1)/12+Pricing_M!$B$13*IF(A225=0,Assumptions!$B$14*12,IF(A225&gt;=12,Assumptions!$B$15,0))-Pricing_M!$B$13,Assumptions!$B$9/12*(1+Assumptions!$B$10)^INT(A225/12)+Assumptions!$B$12*(1+Assumptions!$B$11)^(INT(A225/12)+1)/12))*J225</f>
        <v>716.00560564011</v>
      </c>
      <c r="T225" s="32" t="n">
        <f aca="false">T224*(1-F224)*(1-(1-(1-MIN(1,G224*(1+Assumptions!$B$23)))^(1/12)))</f>
        <v>0.563991329277077</v>
      </c>
      <c r="U225" s="47" t="n">
        <f aca="false">T225*(IF(C225&lt;Assumptions!$B$5,Assumptions!$B$12*(1+Assumptions!$B$11)^(INT(A225/12)+1)/12+Pricing_M!$B$13*IF(A225=0,Assumptions!$B$14*12,IF(A225&gt;=12,Assumptions!$B$15,0))-Pricing_M!$B$13,Assumptions!$B$9/12*(1+Assumptions!$B$10)^INT(A225/12)+Assumptions!$B$12*(1+Assumptions!$B$11)^(INT(A225/12)+1)/12))*J225</f>
        <v>613.140150475573</v>
      </c>
      <c r="V225" s="32" t="n">
        <f aca="false">V224*(1-F224)*(1-(1-(1-MIN(1,G224*(1-Assumptions!$B$23)))^(1/12)))</f>
        <v>0.686647005870051</v>
      </c>
      <c r="W225" s="47" t="n">
        <f aca="false">V225*(IF(C225&lt;Assumptions!$B$5,Assumptions!$B$12*(1+Assumptions!$B$11)^(INT(A225/12)+1)/12+Pricing_M!$B$13*IF(A225=0,Assumptions!$B$14*12,IF(A225&gt;=12,Assumptions!$B$15,0))-Pricing_M!$B$13,Assumptions!$B$9/12*(1+Assumptions!$B$10)^INT(A225/12)+Assumptions!$B$12*(1+Assumptions!$B$11)^(INT(A225/12)+1)/12))*J225</f>
        <v>746.484611815602</v>
      </c>
      <c r="X225" s="47" t="n">
        <f aca="false">I225*(IF(C225&lt;Assumptions!$B$5,Assumptions!$B$12*(1+Assumptions!$B$11)*(1+Assumptions!$B$24)*(1+Assumptions!$B$11+Assumptions!$B$25)^(INT(A225/12))/12+Pricing_M!$B$13*IF(A225=0,Assumptions!$B$14*12,IF(A225&gt;=12,Assumptions!$B$15,0))-Pricing_M!$B$13,Assumptions!$B$9/12*(1+Assumptions!$B$10)^INT(A225/12)+Assumptions!$B$12*(1+Assumptions!$B$11)*(1+Assumptions!$B$24)*(1+Assumptions!$B$11+Assumptions!$B$25)^(INT(A225/12))/12))*J225</f>
        <v>678.013589141094</v>
      </c>
    </row>
    <row r="226" customFormat="false" ht="15" hidden="false" customHeight="true" outlineLevel="0" collapsed="false">
      <c r="A226" s="1" t="n">
        <v>219</v>
      </c>
      <c r="B226" s="31" t="n">
        <f aca="false">Assumptions!$B$4+A226/12</f>
        <v>83.25</v>
      </c>
      <c r="C226" s="34" t="n">
        <f aca="false">Assumptions!$B$4+INT(A226/12)</f>
        <v>83</v>
      </c>
      <c r="D226" s="34" t="n">
        <f aca="false">INT(A226/12)+1</f>
        <v>19</v>
      </c>
      <c r="E226" s="32" t="n">
        <f aca="false">IFERROR(INDEX(Cohort_Survival!$G$5:$G$65,MATCH(C226,Cohort_Survival!$A$5:$A$65,0)),1)</f>
        <v>0.0382494856184891</v>
      </c>
      <c r="F226" s="30" t="n">
        <f aca="false">1-(1-MIN(1,E226))^(1/12)</f>
        <v>0.00324474128784824</v>
      </c>
      <c r="G226" s="39" t="n">
        <f aca="false">IF(C226&lt;Assumptions!$B$5,IF(D226=1,Assumptions!$B$16,IF(D226=2,Assumptions!$B$17,IF(D226&lt;=5,Assumptions!$B$18,Assumptions!$B$19)))*(1-Assumptions!$B$20),0)</f>
        <v>0</v>
      </c>
      <c r="H226" s="30" t="n">
        <f aca="false">1-(1-G226)^(1/12)</f>
        <v>0</v>
      </c>
      <c r="I226" s="30" t="n">
        <f aca="false">I225*(1-F225)*(1-H225)</f>
        <v>0.620570092536842</v>
      </c>
      <c r="J226" s="30" t="n">
        <f aca="false">INDEX(Discount_Monthly!$G$4:$G$664,MATCH(A226,Discount_Monthly!$A$4:$A$664,0))</f>
        <v>0.56620543216323</v>
      </c>
      <c r="K226" s="30" t="n">
        <f aca="false">IF(C226&lt;Assumptions!$B$5,I226*J226,0)</f>
        <v>0</v>
      </c>
      <c r="L226" s="30" t="n">
        <f aca="false">IF(C226&lt;Assumptions!$B$5,I226*(1-F226)*H226*A226*J226,0)</f>
        <v>0</v>
      </c>
      <c r="M226" s="30" t="n">
        <f aca="false">IF(A226=0,Assumptions!$B$14*12*I226*J226,IF(AND(A226&gt;=12,C226&lt;Assumptions!$B$5),Assumptions!$B$15*I226*J226,0))</f>
        <v>0</v>
      </c>
      <c r="N226" s="47" t="n">
        <f aca="false">IF(C226&gt;=Assumptions!$B$5,I226*Assumptions!$B$9/12*(1+Assumptions!$B$10)^INT(A226/12)*J226,0)</f>
        <v>669.124145150809</v>
      </c>
      <c r="O226" s="47" t="n">
        <f aca="false">I226*Assumptions!$B$12/12*(1+Assumptions!$B$11)^(INT(A226/12)+1)*J226</f>
        <v>3.74478644940586</v>
      </c>
      <c r="P226" s="47" t="n">
        <f aca="false">O226+Pricing_M!$B$13*M226+N226-Pricing_M!$B$13*K226</f>
        <v>672.868931600215</v>
      </c>
      <c r="Q226" s="47" t="n">
        <f aca="false">IF(C226&lt;Assumptions!$B$5,Pricing_M!$B$13*K226-Pricing_M!$B$13*M226-O226,-(N226+O226))</f>
        <v>-672.868931600215</v>
      </c>
      <c r="R226" s="32" t="n">
        <f aca="false">R225*(1-(1-(1-MIN(1,E225*(1-Assumptions!$B$21)))^(1/12)))*(1-H225)</f>
        <v>0.65690771163682</v>
      </c>
      <c r="S226" s="47" t="n">
        <f aca="false">R226*(IF(C226&lt;Assumptions!$B$5,Assumptions!$B$12*(1+Assumptions!$B$11)^(INT(A226/12)+1)/12+Pricing_M!$B$13*IF(A226=0,Assumptions!$B$14*12,IF(A226&gt;=12,Assumptions!$B$15,0))-Pricing_M!$B$13,Assumptions!$B$9/12*(1+Assumptions!$B$10)^INT(A226/12)+Assumptions!$B$12*(1+Assumptions!$B$11)^(INT(A226/12)+1)/12))*J226</f>
        <v>712.268920795225</v>
      </c>
      <c r="T226" s="32" t="n">
        <f aca="false">T225*(1-F225)*(1-(1-(1-MIN(1,G225*(1+Assumptions!$B$23)))^(1/12)))</f>
        <v>0.562161323324984</v>
      </c>
      <c r="U226" s="47" t="n">
        <f aca="false">T226*(IF(C226&lt;Assumptions!$B$5,Assumptions!$B$12*(1+Assumptions!$B$11)^(INT(A226/12)+1)/12+Pricing_M!$B$13*IF(A226=0,Assumptions!$B$14*12,IF(A226&gt;=12,Assumptions!$B$15,0))-Pricing_M!$B$13,Assumptions!$B$9/12*(1+Assumptions!$B$10)^INT(A226/12)+Assumptions!$B$12*(1+Assumptions!$B$11)^(INT(A226/12)+1)/12))*J226</f>
        <v>609.537735642954</v>
      </c>
      <c r="V226" s="32" t="n">
        <f aca="false">V225*(1-F225)*(1-(1-(1-MIN(1,G225*(1-Assumptions!$B$23)))^(1/12)))</f>
        <v>0.684419013979927</v>
      </c>
      <c r="W226" s="47" t="n">
        <f aca="false">V226*(IF(C226&lt;Assumptions!$B$5,Assumptions!$B$12*(1+Assumptions!$B$11)^(INT(A226/12)+1)/12+Pricing_M!$B$13*IF(A226=0,Assumptions!$B$14*12,IF(A226&gt;=12,Assumptions!$B$15,0))-Pricing_M!$B$13,Assumptions!$B$9/12*(1+Assumptions!$B$10)^INT(A226/12)+Assumptions!$B$12*(1+Assumptions!$B$11)^(INT(A226/12)+1)/12))*J226</f>
        <v>742.098751199819</v>
      </c>
      <c r="X226" s="47" t="n">
        <f aca="false">I226*(IF(C226&lt;Assumptions!$B$5,Assumptions!$B$12*(1+Assumptions!$B$11)*(1+Assumptions!$B$24)*(1+Assumptions!$B$11+Assumptions!$B$25)^(INT(A226/12))/12+Pricing_M!$B$13*IF(A226=0,Assumptions!$B$14*12,IF(A226&gt;=12,Assumptions!$B$15,0))-Pricing_M!$B$13,Assumptions!$B$9/12*(1+Assumptions!$B$10)^INT(A226/12)+Assumptions!$B$12*(1+Assumptions!$B$11)*(1+Assumptions!$B$24)*(1+Assumptions!$B$11+Assumptions!$B$25)^(INT(A226/12))/12))*J226</f>
        <v>674.030019954922</v>
      </c>
    </row>
    <row r="227" customFormat="false" ht="15" hidden="false" customHeight="true" outlineLevel="0" collapsed="false">
      <c r="A227" s="1" t="n">
        <v>220</v>
      </c>
      <c r="B227" s="31" t="n">
        <f aca="false">Assumptions!$B$4+A227/12</f>
        <v>83.3333333333333</v>
      </c>
      <c r="C227" s="34" t="n">
        <f aca="false">Assumptions!$B$4+INT(A227/12)</f>
        <v>83</v>
      </c>
      <c r="D227" s="34" t="n">
        <f aca="false">INT(A227/12)+1</f>
        <v>19</v>
      </c>
      <c r="E227" s="32" t="n">
        <f aca="false">IFERROR(INDEX(Cohort_Survival!$G$5:$G$65,MATCH(C227,Cohort_Survival!$A$5:$A$65,0)),1)</f>
        <v>0.0382494856184891</v>
      </c>
      <c r="F227" s="30" t="n">
        <f aca="false">1-(1-MIN(1,E227))^(1/12)</f>
        <v>0.00324474128784824</v>
      </c>
      <c r="G227" s="39" t="n">
        <f aca="false">IF(C227&lt;Assumptions!$B$5,IF(D227=1,Assumptions!$B$16,IF(D227=2,Assumptions!$B$17,IF(D227&lt;=5,Assumptions!$B$18,Assumptions!$B$19)))*(1-Assumptions!$B$20),0)</f>
        <v>0</v>
      </c>
      <c r="H227" s="30" t="n">
        <f aca="false">1-(1-G227)^(1/12)</f>
        <v>0</v>
      </c>
      <c r="I227" s="30" t="n">
        <f aca="false">I226*(1-F226)*(1-H226)</f>
        <v>0.618556503135584</v>
      </c>
      <c r="J227" s="30" t="n">
        <f aca="false">INDEX(Discount_Monthly!$G$4:$G$664,MATCH(A227,Discount_Monthly!$A$4:$A$664,0))</f>
        <v>0.564711116845961</v>
      </c>
      <c r="K227" s="30" t="n">
        <f aca="false">IF(C227&lt;Assumptions!$B$5,I227*J227,0)</f>
        <v>0</v>
      </c>
      <c r="L227" s="30" t="n">
        <f aca="false">IF(C227&lt;Assumptions!$B$5,I227*(1-F227)*H227*A227*J227,0)</f>
        <v>0</v>
      </c>
      <c r="M227" s="30" t="n">
        <f aca="false">IF(A227=0,Assumptions!$B$14*12*I227*J227,IF(AND(A227&gt;=12,C227&lt;Assumptions!$B$5),Assumptions!$B$15*I227*J227,0))</f>
        <v>0</v>
      </c>
      <c r="N227" s="47" t="n">
        <f aca="false">IF(C227&gt;=Assumptions!$B$5,I227*Assumptions!$B$9/12*(1+Assumptions!$B$10)^INT(A227/12)*J227,0)</f>
        <v>665.192804586201</v>
      </c>
      <c r="O227" s="47" t="n">
        <f aca="false">I227*Assumptions!$B$12/12*(1+Assumptions!$B$11)^(INT(A227/12)+1)*J227</f>
        <v>3.72278450704429</v>
      </c>
      <c r="P227" s="47" t="n">
        <f aca="false">O227+Pricing_M!$B$13*M227+N227-Pricing_M!$B$13*K227</f>
        <v>668.915589093245</v>
      </c>
      <c r="Q227" s="47" t="n">
        <f aca="false">IF(C227&lt;Assumptions!$B$5,Pricing_M!$B$13*K227-Pricing_M!$B$13*M227-O227,-(N227+O227))</f>
        <v>-668.915589093245</v>
      </c>
      <c r="R227" s="32" t="n">
        <f aca="false">R226*(1-(1-(1-MIN(1,E226*(1-Assumptions!$B$21)))^(1/12)))*(1-H226)</f>
        <v>0.655208656869045</v>
      </c>
      <c r="S227" s="47" t="n">
        <f aca="false">R227*(IF(C227&lt;Assumptions!$B$5,Assumptions!$B$12*(1+Assumptions!$B$11)^(INT(A227/12)+1)/12+Pricing_M!$B$13*IF(A227=0,Assumptions!$B$14*12,IF(A227&gt;=12,Assumptions!$B$15,0))-Pricing_M!$B$13,Assumptions!$B$9/12*(1+Assumptions!$B$10)^INT(A227/12)+Assumptions!$B$12*(1+Assumptions!$B$11)^(INT(A227/12)+1)/12))*J227</f>
        <v>708.551736934019</v>
      </c>
      <c r="T227" s="32" t="n">
        <f aca="false">T226*(1-F226)*(1-(1-(1-MIN(1,G226*(1+Assumptions!$B$23)))^(1/12)))</f>
        <v>0.56033725526876</v>
      </c>
      <c r="U227" s="47" t="n">
        <f aca="false">T227*(IF(C227&lt;Assumptions!$B$5,Assumptions!$B$12*(1+Assumptions!$B$11)^(INT(A227/12)+1)/12+Pricing_M!$B$13*IF(A227=0,Assumptions!$B$14*12,IF(A227&gt;=12,Assumptions!$B$15,0))-Pricing_M!$B$13,Assumptions!$B$9/12*(1+Assumptions!$B$10)^INT(A227/12)+Assumptions!$B$12*(1+Assumptions!$B$11)^(INT(A227/12)+1)/12))*J227</f>
        <v>605.956486269188</v>
      </c>
      <c r="V227" s="32" t="n">
        <f aca="false">V226*(1-F226)*(1-(1-(1-MIN(1,G226*(1-Assumptions!$B$23)))^(1/12)))</f>
        <v>0.682198251347078</v>
      </c>
      <c r="W227" s="47" t="n">
        <f aca="false">V227*(IF(C227&lt;Assumptions!$B$5,Assumptions!$B$12*(1+Assumptions!$B$11)^(INT(A227/12)+1)/12+Pricing_M!$B$13*IF(A227=0,Assumptions!$B$14*12,IF(A227&gt;=12,Assumptions!$B$15,0))-Pricing_M!$B$13,Assumptions!$B$9/12*(1+Assumptions!$B$10)^INT(A227/12)+Assumptions!$B$12*(1+Assumptions!$B$11)^(INT(A227/12)+1)/12))*J227</f>
        <v>737.738659063434</v>
      </c>
      <c r="X227" s="47" t="n">
        <f aca="false">I227*(IF(C227&lt;Assumptions!$B$5,Assumptions!$B$12*(1+Assumptions!$B$11)*(1+Assumptions!$B$24)*(1+Assumptions!$B$11+Assumptions!$B$25)^(INT(A227/12))/12+Pricing_M!$B$13*IF(A227=0,Assumptions!$B$14*12,IF(A227&gt;=12,Assumptions!$B$15,0))-Pricing_M!$B$13,Assumptions!$B$9/12*(1+Assumptions!$B$10)^INT(A227/12)+Assumptions!$B$12*(1+Assumptions!$B$11)*(1+Assumptions!$B$24)*(1+Assumptions!$B$11+Assumptions!$B$25)^(INT(A227/12))/12))*J227</f>
        <v>670.069855643985</v>
      </c>
    </row>
    <row r="228" customFormat="false" ht="15" hidden="false" customHeight="true" outlineLevel="0" collapsed="false">
      <c r="A228" s="1" t="n">
        <v>221</v>
      </c>
      <c r="B228" s="31" t="n">
        <f aca="false">Assumptions!$B$4+A228/12</f>
        <v>83.4166666666667</v>
      </c>
      <c r="C228" s="34" t="n">
        <f aca="false">Assumptions!$B$4+INT(A228/12)</f>
        <v>83</v>
      </c>
      <c r="D228" s="34" t="n">
        <f aca="false">INT(A228/12)+1</f>
        <v>19</v>
      </c>
      <c r="E228" s="32" t="n">
        <f aca="false">IFERROR(INDEX(Cohort_Survival!$G$5:$G$65,MATCH(C228,Cohort_Survival!$A$5:$A$65,0)),1)</f>
        <v>0.0382494856184891</v>
      </c>
      <c r="F228" s="30" t="n">
        <f aca="false">1-(1-MIN(1,E228))^(1/12)</f>
        <v>0.00324474128784824</v>
      </c>
      <c r="G228" s="39" t="n">
        <f aca="false">IF(C228&lt;Assumptions!$B$5,IF(D228=1,Assumptions!$B$16,IF(D228=2,Assumptions!$B$17,IF(D228&lt;=5,Assumptions!$B$18,Assumptions!$B$19)))*(1-Assumptions!$B$20),0)</f>
        <v>0</v>
      </c>
      <c r="H228" s="30" t="n">
        <f aca="false">1-(1-G228)^(1/12)</f>
        <v>0</v>
      </c>
      <c r="I228" s="30" t="n">
        <f aca="false">I227*(1-F227)*(1-H227)</f>
        <v>0.616549447310993</v>
      </c>
      <c r="J228" s="30" t="n">
        <f aca="false">INDEX(Discount_Monthly!$G$4:$G$664,MATCH(A228,Discount_Monthly!$A$4:$A$664,0))</f>
        <v>0.563220745288574</v>
      </c>
      <c r="K228" s="30" t="n">
        <f aca="false">IF(C228&lt;Assumptions!$B$5,I228*J228,0)</f>
        <v>0</v>
      </c>
      <c r="L228" s="30" t="n">
        <f aca="false">IF(C228&lt;Assumptions!$B$5,I228*(1-F228)*H228*A228*J228,0)</f>
        <v>0</v>
      </c>
      <c r="M228" s="30" t="n">
        <f aca="false">IF(A228=0,Assumptions!$B$14*12*I228*J228,IF(AND(A228&gt;=12,C228&lt;Assumptions!$B$5),Assumptions!$B$15*I228*J228,0))</f>
        <v>0</v>
      </c>
      <c r="N228" s="47" t="n">
        <f aca="false">IF(C228&gt;=Assumptions!$B$5,I228*Assumptions!$B$9/12*(1+Assumptions!$B$10)^INT(A228/12)*J228,0)</f>
        <v>661.284562035237</v>
      </c>
      <c r="O228" s="47" t="n">
        <f aca="false">I228*Assumptions!$B$12/12*(1+Assumptions!$B$11)^(INT(A228/12)+1)*J228</f>
        <v>3.70091183386114</v>
      </c>
      <c r="P228" s="47" t="n">
        <f aca="false">O228+Pricing_M!$B$13*M228+N228-Pricing_M!$B$13*K228</f>
        <v>664.985473869098</v>
      </c>
      <c r="Q228" s="47" t="n">
        <f aca="false">IF(C228&lt;Assumptions!$B$5,Pricing_M!$B$13*K228-Pricing_M!$B$13*M228-O228,-(N228+O228))</f>
        <v>-664.985473869098</v>
      </c>
      <c r="R228" s="32" t="n">
        <f aca="false">R227*(1-(1-(1-MIN(1,E227*(1-Assumptions!$B$21)))^(1/12)))*(1-H227)</f>
        <v>0.653513996610655</v>
      </c>
      <c r="S228" s="47" t="n">
        <f aca="false">R228*(IF(C228&lt;Assumptions!$B$5,Assumptions!$B$12*(1+Assumptions!$B$11)^(INT(A228/12)+1)/12+Pricing_M!$B$13*IF(A228=0,Assumptions!$B$14*12,IF(A228&gt;=12,Assumptions!$B$15,0))-Pricing_M!$B$13,Assumptions!$B$9/12*(1+Assumptions!$B$10)^INT(A228/12)+Assumptions!$B$12*(1+Assumptions!$B$11)^(INT(A228/12)+1)/12))*J228</f>
        <v>704.853952284901</v>
      </c>
      <c r="T228" s="32" t="n">
        <f aca="false">T227*(1-F227)*(1-(1-(1-MIN(1,G227*(1+Assumptions!$B$23)))^(1/12)))</f>
        <v>0.55851910584147</v>
      </c>
      <c r="U228" s="47" t="n">
        <f aca="false">T228*(IF(C228&lt;Assumptions!$B$5,Assumptions!$B$12*(1+Assumptions!$B$11)^(INT(A228/12)+1)/12+Pricing_M!$B$13*IF(A228=0,Assumptions!$B$14*12,IF(A228&gt;=12,Assumptions!$B$15,0))-Pricing_M!$B$13,Assumptions!$B$9/12*(1+Assumptions!$B$10)^INT(A228/12)+Assumptions!$B$12*(1+Assumptions!$B$11)^(INT(A228/12)+1)/12))*J228</f>
        <v>602.396277999733</v>
      </c>
      <c r="V228" s="32" t="n">
        <f aca="false">V227*(1-F227)*(1-(1-(1-MIN(1,G227*(1-Assumptions!$B$23)))^(1/12)))</f>
        <v>0.679984694514435</v>
      </c>
      <c r="W228" s="47" t="n">
        <f aca="false">V228*(IF(C228&lt;Assumptions!$B$5,Assumptions!$B$12*(1+Assumptions!$B$11)^(INT(A228/12)+1)/12+Pricing_M!$B$13*IF(A228=0,Assumptions!$B$14*12,IF(A228&gt;=12,Assumptions!$B$15,0))-Pricing_M!$B$13,Assumptions!$B$9/12*(1+Assumptions!$B$10)^INT(A228/12)+Assumptions!$B$12*(1+Assumptions!$B$11)^(INT(A228/12)+1)/12))*J228</f>
        <v>733.404184007535</v>
      </c>
      <c r="X228" s="47" t="n">
        <f aca="false">I228*(IF(C228&lt;Assumptions!$B$5,Assumptions!$B$12*(1+Assumptions!$B$11)*(1+Assumptions!$B$24)*(1+Assumptions!$B$11+Assumptions!$B$25)^(INT(A228/12))/12+Pricing_M!$B$13*IF(A228=0,Assumptions!$B$14*12,IF(A228&gt;=12,Assumptions!$B$15,0))-Pricing_M!$B$13,Assumptions!$B$9/12*(1+Assumptions!$B$10)^INT(A228/12)+Assumptions!$B$12*(1+Assumptions!$B$11)*(1+Assumptions!$B$24)*(1+Assumptions!$B$11+Assumptions!$B$25)^(INT(A228/12))/12))*J228</f>
        <v>666.132958696378</v>
      </c>
    </row>
    <row r="229" customFormat="false" ht="15" hidden="false" customHeight="true" outlineLevel="0" collapsed="false">
      <c r="A229" s="1" t="n">
        <v>222</v>
      </c>
      <c r="B229" s="31" t="n">
        <f aca="false">Assumptions!$B$4+A229/12</f>
        <v>83.5</v>
      </c>
      <c r="C229" s="34" t="n">
        <f aca="false">Assumptions!$B$4+INT(A229/12)</f>
        <v>83</v>
      </c>
      <c r="D229" s="34" t="n">
        <f aca="false">INT(A229/12)+1</f>
        <v>19</v>
      </c>
      <c r="E229" s="32" t="n">
        <f aca="false">IFERROR(INDEX(Cohort_Survival!$G$5:$G$65,MATCH(C229,Cohort_Survival!$A$5:$A$65,0)),1)</f>
        <v>0.0382494856184891</v>
      </c>
      <c r="F229" s="30" t="n">
        <f aca="false">1-(1-MIN(1,E229))^(1/12)</f>
        <v>0.00324474128784824</v>
      </c>
      <c r="G229" s="39" t="n">
        <f aca="false">IF(C229&lt;Assumptions!$B$5,IF(D229=1,Assumptions!$B$16,IF(D229=2,Assumptions!$B$17,IF(D229&lt;=5,Assumptions!$B$18,Assumptions!$B$19)))*(1-Assumptions!$B$20),0)</f>
        <v>0</v>
      </c>
      <c r="H229" s="30" t="n">
        <f aca="false">1-(1-G229)^(1/12)</f>
        <v>0</v>
      </c>
      <c r="I229" s="30" t="n">
        <f aca="false">I228*(1-F228)*(1-H228)</f>
        <v>0.614548903863303</v>
      </c>
      <c r="J229" s="30" t="n">
        <f aca="false">INDEX(Discount_Monthly!$G$4:$G$664,MATCH(A229,Discount_Monthly!$A$4:$A$664,0))</f>
        <v>0.561734307082793</v>
      </c>
      <c r="K229" s="30" t="n">
        <f aca="false">IF(C229&lt;Assumptions!$B$5,I229*J229,0)</f>
        <v>0</v>
      </c>
      <c r="L229" s="30" t="n">
        <f aca="false">IF(C229&lt;Assumptions!$B$5,I229*(1-F229)*H229*A229*J229,0)</f>
        <v>0</v>
      </c>
      <c r="M229" s="30" t="n">
        <f aca="false">IF(A229=0,Assumptions!$B$14*12*I229*J229,IF(AND(A229&gt;=12,C229&lt;Assumptions!$B$5),Assumptions!$B$15*I229*J229,0))</f>
        <v>0</v>
      </c>
      <c r="N229" s="47" t="n">
        <f aca="false">IF(C229&gt;=Assumptions!$B$5,I229*Assumptions!$B$9/12*(1+Assumptions!$B$10)^INT(A229/12)*J229,0)</f>
        <v>657.399281788935</v>
      </c>
      <c r="O229" s="47" t="n">
        <f aca="false">I229*Assumptions!$B$12/12*(1+Assumptions!$B$11)^(INT(A229/12)+1)*J229</f>
        <v>3.67916767035435</v>
      </c>
      <c r="P229" s="47" t="n">
        <f aca="false">O229+Pricing_M!$B$13*M229+N229-Pricing_M!$B$13*K229</f>
        <v>661.078449459289</v>
      </c>
      <c r="Q229" s="47" t="n">
        <f aca="false">IF(C229&lt;Assumptions!$B$5,Pricing_M!$B$13*K229-Pricing_M!$B$13*M229-O229,-(N229+O229))</f>
        <v>-661.078449459289</v>
      </c>
      <c r="R229" s="32" t="n">
        <f aca="false">R228*(1-(1-(1-MIN(1,E228*(1-Assumptions!$B$21)))^(1/12)))*(1-H228)</f>
        <v>0.651823719495499</v>
      </c>
      <c r="S229" s="47" t="n">
        <f aca="false">R229*(IF(C229&lt;Assumptions!$B$5,Assumptions!$B$12*(1+Assumptions!$B$11)^(INT(A229/12)+1)/12+Pricing_M!$B$13*IF(A229=0,Assumptions!$B$14*12,IF(A229&gt;=12,Assumptions!$B$15,0))-Pricing_M!$B$13,Assumptions!$B$9/12*(1+Assumptions!$B$10)^INT(A229/12)+Assumptions!$B$12*(1+Assumptions!$B$11)^(INT(A229/12)+1)/12))*J229</f>
        <v>701.175465607404</v>
      </c>
      <c r="T229" s="32" t="n">
        <f aca="false">T228*(1-F228)*(1-(1-(1-MIN(1,G228*(1+Assumptions!$B$23)))^(1/12)))</f>
        <v>0.556706855838694</v>
      </c>
      <c r="U229" s="47" t="n">
        <f aca="false">T229*(IF(C229&lt;Assumptions!$B$5,Assumptions!$B$12*(1+Assumptions!$B$11)^(INT(A229/12)+1)/12+Pricing_M!$B$13*IF(A229=0,Assumptions!$B$14*12,IF(A229&gt;=12,Assumptions!$B$15,0))-Pricing_M!$B$13,Assumptions!$B$9/12*(1+Assumptions!$B$10)^INT(A229/12)+Assumptions!$B$12*(1+Assumptions!$B$11)^(INT(A229/12)+1)/12))*J229</f>
        <v>598.856987210674</v>
      </c>
      <c r="V229" s="32" t="n">
        <f aca="false">V228*(1-F228)*(1-(1-(1-MIN(1,G228*(1-Assumptions!$B$23)))^(1/12)))</f>
        <v>0.677778320101039</v>
      </c>
      <c r="W229" s="47" t="n">
        <f aca="false">V229*(IF(C229&lt;Assumptions!$B$5,Assumptions!$B$12*(1+Assumptions!$B$11)^(INT(A229/12)+1)/12+Pricing_M!$B$13*IF(A229=0,Assumptions!$B$14*12,IF(A229&gt;=12,Assumptions!$B$15,0))-Pricing_M!$B$13,Assumptions!$B$9/12*(1+Assumptions!$B$10)^INT(A229/12)+Assumptions!$B$12*(1+Assumptions!$B$11)^(INT(A229/12)+1)/12))*J229</f>
        <v>729.09517552273</v>
      </c>
      <c r="X229" s="47" t="n">
        <f aca="false">I229*(IF(C229&lt;Assumptions!$B$5,Assumptions!$B$12*(1+Assumptions!$B$11)*(1+Assumptions!$B$24)*(1+Assumptions!$B$11+Assumptions!$B$25)^(INT(A229/12))/12+Pricing_M!$B$13*IF(A229=0,Assumptions!$B$14*12,IF(A229&gt;=12,Assumptions!$B$15,0))-Pricing_M!$B$13,Assumptions!$B$9/12*(1+Assumptions!$B$10)^INT(A229/12)+Assumptions!$B$12*(1+Assumptions!$B$11)*(1+Assumptions!$B$24)*(1+Assumptions!$B$11+Assumptions!$B$25)^(INT(A229/12))/12))*J229</f>
        <v>662.219192408127</v>
      </c>
    </row>
    <row r="230" customFormat="false" ht="15" hidden="false" customHeight="true" outlineLevel="0" collapsed="false">
      <c r="A230" s="1" t="n">
        <v>223</v>
      </c>
      <c r="B230" s="31" t="n">
        <f aca="false">Assumptions!$B$4+A230/12</f>
        <v>83.5833333333333</v>
      </c>
      <c r="C230" s="34" t="n">
        <f aca="false">Assumptions!$B$4+INT(A230/12)</f>
        <v>83</v>
      </c>
      <c r="D230" s="34" t="n">
        <f aca="false">INT(A230/12)+1</f>
        <v>19</v>
      </c>
      <c r="E230" s="32" t="n">
        <f aca="false">IFERROR(INDEX(Cohort_Survival!$G$5:$G$65,MATCH(C230,Cohort_Survival!$A$5:$A$65,0)),1)</f>
        <v>0.0382494856184891</v>
      </c>
      <c r="F230" s="30" t="n">
        <f aca="false">1-(1-MIN(1,E230))^(1/12)</f>
        <v>0.00324474128784824</v>
      </c>
      <c r="G230" s="39" t="n">
        <f aca="false">IF(C230&lt;Assumptions!$B$5,IF(D230=1,Assumptions!$B$16,IF(D230=2,Assumptions!$B$17,IF(D230&lt;=5,Assumptions!$B$18,Assumptions!$B$19)))*(1-Assumptions!$B$20),0)</f>
        <v>0</v>
      </c>
      <c r="H230" s="30" t="n">
        <f aca="false">1-(1-G230)^(1/12)</f>
        <v>0</v>
      </c>
      <c r="I230" s="30" t="n">
        <f aca="false">I229*(1-F229)*(1-H229)</f>
        <v>0.612554851661536</v>
      </c>
      <c r="J230" s="30" t="n">
        <f aca="false">INDEX(Discount_Monthly!$G$4:$G$664,MATCH(A230,Discount_Monthly!$A$4:$A$664,0))</f>
        <v>0.560251791847816</v>
      </c>
      <c r="K230" s="30" t="n">
        <f aca="false">IF(C230&lt;Assumptions!$B$5,I230*J230,0)</f>
        <v>0</v>
      </c>
      <c r="L230" s="30" t="n">
        <f aca="false">IF(C230&lt;Assumptions!$B$5,I230*(1-F230)*H230*A230*J230,0)</f>
        <v>0</v>
      </c>
      <c r="M230" s="30" t="n">
        <f aca="false">IF(A230=0,Assumptions!$B$14*12*I230*J230,IF(AND(A230&gt;=12,C230&lt;Assumptions!$B$5),Assumptions!$B$15*I230*J230,0))</f>
        <v>0</v>
      </c>
      <c r="N230" s="47" t="n">
        <f aca="false">IF(C230&gt;=Assumptions!$B$5,I230*Assumptions!$B$9/12*(1+Assumptions!$B$10)^INT(A230/12)*J230,0)</f>
        <v>653.536828935647</v>
      </c>
      <c r="O230" s="47" t="n">
        <f aca="false">I230*Assumptions!$B$12/12*(1+Assumptions!$B$11)^(INT(A230/12)+1)*J230</f>
        <v>3.65755126148421</v>
      </c>
      <c r="P230" s="47" t="n">
        <f aca="false">O230+Pricing_M!$B$13*M230+N230-Pricing_M!$B$13*K230</f>
        <v>657.194380197131</v>
      </c>
      <c r="Q230" s="47" t="n">
        <f aca="false">IF(C230&lt;Assumptions!$B$5,Pricing_M!$B$13*K230-Pricing_M!$B$13*M230-O230,-(N230+O230))</f>
        <v>-657.194380197131</v>
      </c>
      <c r="R230" s="32" t="n">
        <f aca="false">R229*(1-(1-(1-MIN(1,E229*(1-Assumptions!$B$21)))^(1/12)))*(1-H229)</f>
        <v>0.650137814186825</v>
      </c>
      <c r="S230" s="47" t="n">
        <f aca="false">R230*(IF(C230&lt;Assumptions!$B$5,Assumptions!$B$12*(1+Assumptions!$B$11)^(INT(A230/12)+1)/12+Pricing_M!$B$13*IF(A230=0,Assumptions!$B$14*12,IF(A230&gt;=12,Assumptions!$B$15,0))-Pricing_M!$B$13,Assumptions!$B$9/12*(1+Assumptions!$B$10)^INT(A230/12)+Assumptions!$B$12*(1+Assumptions!$B$11)^(INT(A230/12)+1)/12))*J230</f>
        <v>697.516176189414</v>
      </c>
      <c r="T230" s="32" t="n">
        <f aca="false">T229*(1-F229)*(1-(1-(1-MIN(1,G229*(1+Assumptions!$B$23)))^(1/12)))</f>
        <v>0.554900486118326</v>
      </c>
      <c r="U230" s="47" t="n">
        <f aca="false">T230*(IF(C230&lt;Assumptions!$B$5,Assumptions!$B$12*(1+Assumptions!$B$11)^(INT(A230/12)+1)/12+Pricing_M!$B$13*IF(A230=0,Assumptions!$B$14*12,IF(A230&gt;=12,Assumptions!$B$15,0))-Pricing_M!$B$13,Assumptions!$B$9/12*(1+Assumptions!$B$10)^INT(A230/12)+Assumptions!$B$12*(1+Assumptions!$B$11)^(INT(A230/12)+1)/12))*J230</f>
        <v>595.338491004428</v>
      </c>
      <c r="V230" s="32" t="n">
        <f aca="false">V229*(1-F229)*(1-(1-(1-MIN(1,G229*(1-Assumptions!$B$23)))^(1/12)))</f>
        <v>0.675579104801798</v>
      </c>
      <c r="W230" s="47" t="n">
        <f aca="false">V230*(IF(C230&lt;Assumptions!$B$5,Assumptions!$B$12*(1+Assumptions!$B$11)^(INT(A230/12)+1)/12+Pricing_M!$B$13*IF(A230=0,Assumptions!$B$14*12,IF(A230&gt;=12,Assumptions!$B$15,0))-Pricing_M!$B$13,Assumptions!$B$9/12*(1+Assumptions!$B$10)^INT(A230/12)+Assumptions!$B$12*(1+Assumptions!$B$11)^(INT(A230/12)+1)/12))*J230</f>
        <v>724.811483983925</v>
      </c>
      <c r="X230" s="47" t="n">
        <f aca="false">I230*(IF(C230&lt;Assumptions!$B$5,Assumptions!$B$12*(1+Assumptions!$B$11)*(1+Assumptions!$B$24)*(1+Assumptions!$B$11+Assumptions!$B$25)^(INT(A230/12))/12+Pricing_M!$B$13*IF(A230=0,Assumptions!$B$14*12,IF(A230&gt;=12,Assumptions!$B$15,0))-Pricing_M!$B$13,Assumptions!$B$9/12*(1+Assumptions!$B$10)^INT(A230/12)+Assumptions!$B$12*(1+Assumptions!$B$11)*(1+Assumptions!$B$24)*(1+Assumptions!$B$11+Assumptions!$B$25)^(INT(A230/12))/12))*J230</f>
        <v>658.328420878444</v>
      </c>
    </row>
    <row r="231" customFormat="false" ht="15" hidden="false" customHeight="true" outlineLevel="0" collapsed="false">
      <c r="A231" s="1" t="n">
        <v>224</v>
      </c>
      <c r="B231" s="31" t="n">
        <f aca="false">Assumptions!$B$4+A231/12</f>
        <v>83.6666666666667</v>
      </c>
      <c r="C231" s="34" t="n">
        <f aca="false">Assumptions!$B$4+INT(A231/12)</f>
        <v>83</v>
      </c>
      <c r="D231" s="34" t="n">
        <f aca="false">INT(A231/12)+1</f>
        <v>19</v>
      </c>
      <c r="E231" s="32" t="n">
        <f aca="false">IFERROR(INDEX(Cohort_Survival!$G$5:$G$65,MATCH(C231,Cohort_Survival!$A$5:$A$65,0)),1)</f>
        <v>0.0382494856184891</v>
      </c>
      <c r="F231" s="30" t="n">
        <f aca="false">1-(1-MIN(1,E231))^(1/12)</f>
        <v>0.00324474128784824</v>
      </c>
      <c r="G231" s="39" t="n">
        <f aca="false">IF(C231&lt;Assumptions!$B$5,IF(D231=1,Assumptions!$B$16,IF(D231=2,Assumptions!$B$17,IF(D231&lt;=5,Assumptions!$B$18,Assumptions!$B$19)))*(1-Assumptions!$B$20),0)</f>
        <v>0</v>
      </c>
      <c r="H231" s="30" t="n">
        <f aca="false">1-(1-G231)^(1/12)</f>
        <v>0</v>
      </c>
      <c r="I231" s="30" t="n">
        <f aca="false">I230*(1-F230)*(1-H230)</f>
        <v>0.610567269643278</v>
      </c>
      <c r="J231" s="30" t="n">
        <f aca="false">INDEX(Discount_Monthly!$G$4:$G$664,MATCH(A231,Discount_Monthly!$A$4:$A$664,0))</f>
        <v>0.558773189230235</v>
      </c>
      <c r="K231" s="30" t="n">
        <f aca="false">IF(C231&lt;Assumptions!$B$5,I231*J231,0)</f>
        <v>0</v>
      </c>
      <c r="L231" s="30" t="n">
        <f aca="false">IF(C231&lt;Assumptions!$B$5,I231*(1-F231)*H231*A231*J231,0)</f>
        <v>0</v>
      </c>
      <c r="M231" s="30" t="n">
        <f aca="false">IF(A231=0,Assumptions!$B$14*12*I231*J231,IF(AND(A231&gt;=12,C231&lt;Assumptions!$B$5),Assumptions!$B$15*I231*J231,0))</f>
        <v>0</v>
      </c>
      <c r="N231" s="47" t="n">
        <f aca="false">IF(C231&gt;=Assumptions!$B$5,I231*Assumptions!$B$9/12*(1+Assumptions!$B$10)^INT(A231/12)*J231,0)</f>
        <v>649.697069356382</v>
      </c>
      <c r="O231" s="47" t="n">
        <f aca="false">I231*Assumptions!$B$12/12*(1+Assumptions!$B$11)^(INT(A231/12)+1)*J231</f>
        <v>3.63606185664714</v>
      </c>
      <c r="P231" s="47" t="n">
        <f aca="false">O231+Pricing_M!$B$13*M231+N231-Pricing_M!$B$13*K231</f>
        <v>653.333131213029</v>
      </c>
      <c r="Q231" s="47" t="n">
        <f aca="false">IF(C231&lt;Assumptions!$B$5,Pricing_M!$B$13*K231-Pricing_M!$B$13*M231-O231,-(N231+O231))</f>
        <v>-653.333131213029</v>
      </c>
      <c r="R231" s="32" t="n">
        <f aca="false">R230*(1-(1-(1-MIN(1,E230*(1-Assumptions!$B$21)))^(1/12)))*(1-H230)</f>
        <v>0.648456269377201</v>
      </c>
      <c r="S231" s="47" t="n">
        <f aca="false">R231*(IF(C231&lt;Assumptions!$B$5,Assumptions!$B$12*(1+Assumptions!$B$11)^(INT(A231/12)+1)/12+Pricing_M!$B$13*IF(A231=0,Assumptions!$B$14*12,IF(A231&gt;=12,Assumptions!$B$15,0))-Pricing_M!$B$13,Assumptions!$B$9/12*(1+Assumptions!$B$10)^INT(A231/12)+Assumptions!$B$12*(1+Assumptions!$B$11)^(INT(A231/12)+1)/12))*J231</f>
        <v>693.875983844412</v>
      </c>
      <c r="T231" s="32" t="n">
        <f aca="false">T230*(1-F230)*(1-(1-(1-MIN(1,G230*(1+Assumptions!$B$23)))^(1/12)))</f>
        <v>0.553099977600371</v>
      </c>
      <c r="U231" s="47" t="n">
        <f aca="false">T231*(IF(C231&lt;Assumptions!$B$5,Assumptions!$B$12*(1+Assumptions!$B$11)^(INT(A231/12)+1)/12+Pricing_M!$B$13*IF(A231=0,Assumptions!$B$14*12,IF(A231&gt;=12,Assumptions!$B$15,0))-Pricing_M!$B$13,Assumptions!$B$9/12*(1+Assumptions!$B$10)^INT(A231/12)+Assumptions!$B$12*(1+Assumptions!$B$11)^(INT(A231/12)+1)/12))*J231</f>
        <v>591.840667205481</v>
      </c>
      <c r="V231" s="32" t="n">
        <f aca="false">V230*(1-F230)*(1-(1-(1-MIN(1,G230*(1-Assumptions!$B$23)))^(1/12)))</f>
        <v>0.673387025387241</v>
      </c>
      <c r="W231" s="47" t="n">
        <f aca="false">V231*(IF(C231&lt;Assumptions!$B$5,Assumptions!$B$12*(1+Assumptions!$B$11)^(INT(A231/12)+1)/12+Pricing_M!$B$13*IF(A231=0,Assumptions!$B$14*12,IF(A231&gt;=12,Assumptions!$B$15,0))-Pricing_M!$B$13,Assumptions!$B$9/12*(1+Assumptions!$B$10)^INT(A231/12)+Assumptions!$B$12*(1+Assumptions!$B$11)^(INT(A231/12)+1)/12))*J231</f>
        <v>720.552960645124</v>
      </c>
      <c r="X231" s="47" t="n">
        <f aca="false">I231*(IF(C231&lt;Assumptions!$B$5,Assumptions!$B$12*(1+Assumptions!$B$11)*(1+Assumptions!$B$24)*(1+Assumptions!$B$11+Assumptions!$B$25)^(INT(A231/12))/12+Pricing_M!$B$13*IF(A231=0,Assumptions!$B$14*12,IF(A231&gt;=12,Assumptions!$B$15,0))-Pricing_M!$B$13,Assumptions!$B$9/12*(1+Assumptions!$B$10)^INT(A231/12)+Assumptions!$B$12*(1+Assumptions!$B$11)*(1+Assumptions!$B$24)*(1+Assumptions!$B$11+Assumptions!$B$25)^(INT(A231/12))/12))*J231</f>
        <v>654.460509005004</v>
      </c>
    </row>
    <row r="232" customFormat="false" ht="15" hidden="false" customHeight="true" outlineLevel="0" collapsed="false">
      <c r="A232" s="1" t="n">
        <v>225</v>
      </c>
      <c r="B232" s="31" t="n">
        <f aca="false">Assumptions!$B$4+A232/12</f>
        <v>83.75</v>
      </c>
      <c r="C232" s="34" t="n">
        <f aca="false">Assumptions!$B$4+INT(A232/12)</f>
        <v>83</v>
      </c>
      <c r="D232" s="34" t="n">
        <f aca="false">INT(A232/12)+1</f>
        <v>19</v>
      </c>
      <c r="E232" s="32" t="n">
        <f aca="false">IFERROR(INDEX(Cohort_Survival!$G$5:$G$65,MATCH(C232,Cohort_Survival!$A$5:$A$65,0)),1)</f>
        <v>0.0382494856184891</v>
      </c>
      <c r="F232" s="30" t="n">
        <f aca="false">1-(1-MIN(1,E232))^(1/12)</f>
        <v>0.00324474128784824</v>
      </c>
      <c r="G232" s="39" t="n">
        <f aca="false">IF(C232&lt;Assumptions!$B$5,IF(D232=1,Assumptions!$B$16,IF(D232=2,Assumptions!$B$17,IF(D232&lt;=5,Assumptions!$B$18,Assumptions!$B$19)))*(1-Assumptions!$B$20),0)</f>
        <v>0</v>
      </c>
      <c r="H232" s="30" t="n">
        <f aca="false">1-(1-G232)^(1/12)</f>
        <v>0</v>
      </c>
      <c r="I232" s="30" t="n">
        <f aca="false">I231*(1-F231)*(1-H231)</f>
        <v>0.608586136814458</v>
      </c>
      <c r="J232" s="30" t="n">
        <f aca="false">INDEX(Discount_Monthly!$G$4:$G$664,MATCH(A232,Discount_Monthly!$A$4:$A$664,0))</f>
        <v>0.557298488903967</v>
      </c>
      <c r="K232" s="30" t="n">
        <f aca="false">IF(C232&lt;Assumptions!$B$5,I232*J232,0)</f>
        <v>0</v>
      </c>
      <c r="L232" s="30" t="n">
        <f aca="false">IF(C232&lt;Assumptions!$B$5,I232*(1-F232)*H232*A232*J232,0)</f>
        <v>0</v>
      </c>
      <c r="M232" s="30" t="n">
        <f aca="false">IF(A232=0,Assumptions!$B$14*12*I232*J232,IF(AND(A232&gt;=12,C232&lt;Assumptions!$B$5),Assumptions!$B$15*I232*J232,0))</f>
        <v>0</v>
      </c>
      <c r="N232" s="47" t="n">
        <f aca="false">IF(C232&gt;=Assumptions!$B$5,I232*Assumptions!$B$9/12*(1+Assumptions!$B$10)^INT(A232/12)*J232,0)</f>
        <v>645.879869720144</v>
      </c>
      <c r="O232" s="47" t="n">
        <f aca="false">I232*Assumptions!$B$12/12*(1+Assumptions!$B$11)^(INT(A232/12)+1)*J232</f>
        <v>3.6146987096496</v>
      </c>
      <c r="P232" s="47" t="n">
        <f aca="false">O232+Pricing_M!$B$13*M232+N232-Pricing_M!$B$13*K232</f>
        <v>649.494568429793</v>
      </c>
      <c r="Q232" s="47" t="n">
        <f aca="false">IF(C232&lt;Assumptions!$B$5,Pricing_M!$B$13*K232-Pricing_M!$B$13*M232-O232,-(N232+O232))</f>
        <v>-649.494568429793</v>
      </c>
      <c r="R232" s="32" t="n">
        <f aca="false">R231*(1-(1-(1-MIN(1,E231*(1-Assumptions!$B$21)))^(1/12)))*(1-H231)</f>
        <v>0.646779073788442</v>
      </c>
      <c r="S232" s="47" t="n">
        <f aca="false">R232*(IF(C232&lt;Assumptions!$B$5,Assumptions!$B$12*(1+Assumptions!$B$11)^(INT(A232/12)+1)/12+Pricing_M!$B$13*IF(A232=0,Assumptions!$B$14*12,IF(A232&gt;=12,Assumptions!$B$15,0))-Pricing_M!$B$13,Assumptions!$B$9/12*(1+Assumptions!$B$10)^INT(A232/12)+Assumptions!$B$12*(1+Assumptions!$B$11)^(INT(A232/12)+1)/12))*J232</f>
        <v>690.254788908734</v>
      </c>
      <c r="T232" s="32" t="n">
        <f aca="false">T231*(1-F231)*(1-(1-(1-MIN(1,G231*(1+Assumptions!$B$23)))^(1/12)))</f>
        <v>0.551305311266743</v>
      </c>
      <c r="U232" s="47" t="n">
        <f aca="false">T232*(IF(C232&lt;Assumptions!$B$5,Assumptions!$B$12*(1+Assumptions!$B$11)^(INT(A232/12)+1)/12+Pricing_M!$B$13*IF(A232=0,Assumptions!$B$14*12,IF(A232&gt;=12,Assumptions!$B$15,0))-Pricing_M!$B$13,Assumptions!$B$9/12*(1+Assumptions!$B$10)^INT(A232/12)+Assumptions!$B$12*(1+Assumptions!$B$11)^(INT(A232/12)+1)/12))*J232</f>
        <v>588.363394356142</v>
      </c>
      <c r="V232" s="32" t="n">
        <f aca="false">V231*(1-F231)*(1-(1-(1-MIN(1,G231*(1-Assumptions!$B$23)))^(1/12)))</f>
        <v>0.671202058703265</v>
      </c>
      <c r="W232" s="47" t="n">
        <f aca="false">V232*(IF(C232&lt;Assumptions!$B$5,Assumptions!$B$12*(1+Assumptions!$B$11)^(INT(A232/12)+1)/12+Pricing_M!$B$13*IF(A232=0,Assumptions!$B$14*12,IF(A232&gt;=12,Assumptions!$B$15,0))-Pricing_M!$B$13,Assumptions!$B$9/12*(1+Assumptions!$B$10)^INT(A232/12)+Assumptions!$B$12*(1+Assumptions!$B$11)^(INT(A232/12)+1)/12))*J232</f>
        <v>716.319457634267</v>
      </c>
      <c r="X232" s="47" t="n">
        <f aca="false">I232*(IF(C232&lt;Assumptions!$B$5,Assumptions!$B$12*(1+Assumptions!$B$11)*(1+Assumptions!$B$24)*(1+Assumptions!$B$11+Assumptions!$B$25)^(INT(A232/12))/12+Pricing_M!$B$13*IF(A232=0,Assumptions!$B$14*12,IF(A232&gt;=12,Assumptions!$B$15,0))-Pricing_M!$B$13,Assumptions!$B$9/12*(1+Assumptions!$B$10)^INT(A232/12)+Assumptions!$B$12*(1+Assumptions!$B$11)*(1+Assumptions!$B$24)*(1+Assumptions!$B$11+Assumptions!$B$25)^(INT(A232/12))/12))*J232</f>
        <v>650.615322479257</v>
      </c>
    </row>
    <row r="233" customFormat="false" ht="15" hidden="false" customHeight="true" outlineLevel="0" collapsed="false">
      <c r="A233" s="1" t="n">
        <v>226</v>
      </c>
      <c r="B233" s="31" t="n">
        <f aca="false">Assumptions!$B$4+A233/12</f>
        <v>83.8333333333333</v>
      </c>
      <c r="C233" s="34" t="n">
        <f aca="false">Assumptions!$B$4+INT(A233/12)</f>
        <v>83</v>
      </c>
      <c r="D233" s="34" t="n">
        <f aca="false">INT(A233/12)+1</f>
        <v>19</v>
      </c>
      <c r="E233" s="32" t="n">
        <f aca="false">IFERROR(INDEX(Cohort_Survival!$G$5:$G$65,MATCH(C233,Cohort_Survival!$A$5:$A$65,0)),1)</f>
        <v>0.0382494856184891</v>
      </c>
      <c r="F233" s="30" t="n">
        <f aca="false">1-(1-MIN(1,E233))^(1/12)</f>
        <v>0.00324474128784824</v>
      </c>
      <c r="G233" s="39" t="n">
        <f aca="false">IF(C233&lt;Assumptions!$B$5,IF(D233=1,Assumptions!$B$16,IF(D233=2,Assumptions!$B$17,IF(D233&lt;=5,Assumptions!$B$18,Assumptions!$B$19)))*(1-Assumptions!$B$20),0)</f>
        <v>0</v>
      </c>
      <c r="H233" s="30" t="n">
        <f aca="false">1-(1-G233)^(1/12)</f>
        <v>0</v>
      </c>
      <c r="I233" s="30" t="n">
        <f aca="false">I232*(1-F232)*(1-H232)</f>
        <v>0.606611432249124</v>
      </c>
      <c r="J233" s="30" t="n">
        <f aca="false">INDEX(Discount_Monthly!$G$4:$G$664,MATCH(A233,Discount_Monthly!$A$4:$A$664,0))</f>
        <v>0.555827680570183</v>
      </c>
      <c r="K233" s="30" t="n">
        <f aca="false">IF(C233&lt;Assumptions!$B$5,I233*J233,0)</f>
        <v>0</v>
      </c>
      <c r="L233" s="30" t="n">
        <f aca="false">IF(C233&lt;Assumptions!$B$5,I233*(1-F233)*H233*A233*J233,0)</f>
        <v>0</v>
      </c>
      <c r="M233" s="30" t="n">
        <f aca="false">IF(A233=0,Assumptions!$B$14*12*I233*J233,IF(AND(A233&gt;=12,C233&lt;Assumptions!$B$5),Assumptions!$B$15*I233*J233,0))</f>
        <v>0</v>
      </c>
      <c r="N233" s="47" t="n">
        <f aca="false">IF(C233&gt;=Assumptions!$B$5,I233*Assumptions!$B$9/12*(1+Assumptions!$B$10)^INT(A233/12)*J233,0)</f>
        <v>642.085097479303</v>
      </c>
      <c r="O233" s="47" t="n">
        <f aca="false">I233*Assumptions!$B$12/12*(1+Assumptions!$B$11)^(INT(A233/12)+1)*J233</f>
        <v>3.5934610786822</v>
      </c>
      <c r="P233" s="47" t="n">
        <f aca="false">O233+Pricing_M!$B$13*M233+N233-Pricing_M!$B$13*K233</f>
        <v>645.678558557985</v>
      </c>
      <c r="Q233" s="47" t="n">
        <f aca="false">IF(C233&lt;Assumptions!$B$5,Pricing_M!$B$13*K233-Pricing_M!$B$13*M233-O233,-(N233+O233))</f>
        <v>-645.678558557985</v>
      </c>
      <c r="R233" s="32" t="n">
        <f aca="false">R232*(1-(1-(1-MIN(1,E232*(1-Assumptions!$B$21)))^(1/12)))*(1-H232)</f>
        <v>0.645106216171534</v>
      </c>
      <c r="S233" s="47" t="n">
        <f aca="false">R233*(IF(C233&lt;Assumptions!$B$5,Assumptions!$B$12*(1+Assumptions!$B$11)^(INT(A233/12)+1)/12+Pricing_M!$B$13*IF(A233=0,Assumptions!$B$14*12,IF(A233&gt;=12,Assumptions!$B$15,0))-Pricing_M!$B$13,Assumptions!$B$9/12*(1+Assumptions!$B$10)^INT(A233/12)+Assumptions!$B$12*(1+Assumptions!$B$11)^(INT(A233/12)+1)/12))*J233</f>
        <v>686.652492238838</v>
      </c>
      <c r="T233" s="32" t="n">
        <f aca="false">T232*(1-F232)*(1-(1-(1-MIN(1,G232*(1+Assumptions!$B$23)))^(1/12)))</f>
        <v>0.549516468161066</v>
      </c>
      <c r="U233" s="47" t="n">
        <f aca="false">T233*(IF(C233&lt;Assumptions!$B$5,Assumptions!$B$12*(1+Assumptions!$B$11)^(INT(A233/12)+1)/12+Pricing_M!$B$13*IF(A233=0,Assumptions!$B$14*12,IF(A233&gt;=12,Assumptions!$B$15,0))-Pricing_M!$B$13,Assumptions!$B$9/12*(1+Assumptions!$B$10)^INT(A233/12)+Assumptions!$B$12*(1+Assumptions!$B$11)^(INT(A233/12)+1)/12))*J233</f>
        <v>584.906551712328</v>
      </c>
      <c r="V233" s="32" t="n">
        <f aca="false">V232*(1-F232)*(1-(1-(1-MIN(1,G232*(1-Assumptions!$B$23)))^(1/12)))</f>
        <v>0.669024181670902</v>
      </c>
      <c r="W233" s="47" t="n">
        <f aca="false">V233*(IF(C233&lt;Assumptions!$B$5,Assumptions!$B$12*(1+Assumptions!$B$11)^(INT(A233/12)+1)/12+Pricing_M!$B$13*IF(A233=0,Assumptions!$B$14*12,IF(A233&gt;=12,Assumptions!$B$15,0))-Pricing_M!$B$13,Assumptions!$B$9/12*(1+Assumptions!$B$10)^INT(A233/12)+Assumptions!$B$12*(1+Assumptions!$B$11)^(INT(A233/12)+1)/12))*J233</f>
        <v>712.110827948095</v>
      </c>
      <c r="X233" s="47" t="n">
        <f aca="false">I233*(IF(C233&lt;Assumptions!$B$5,Assumptions!$B$12*(1+Assumptions!$B$11)*(1+Assumptions!$B$24)*(1+Assumptions!$B$11+Assumptions!$B$25)^(INT(A233/12))/12+Pricing_M!$B$13*IF(A233=0,Assumptions!$B$14*12,IF(A233&gt;=12,Assumptions!$B$15,0))-Pricing_M!$B$13,Assumptions!$B$9/12*(1+Assumptions!$B$10)^INT(A233/12)+Assumptions!$B$12*(1+Assumptions!$B$11)*(1+Assumptions!$B$24)*(1+Assumptions!$B$11+Assumptions!$B$25)^(INT(A233/12))/12))*J233</f>
        <v>646.792727781764</v>
      </c>
    </row>
    <row r="234" customFormat="false" ht="15" hidden="false" customHeight="true" outlineLevel="0" collapsed="false">
      <c r="A234" s="1" t="n">
        <v>227</v>
      </c>
      <c r="B234" s="31" t="n">
        <f aca="false">Assumptions!$B$4+A234/12</f>
        <v>83.9166666666667</v>
      </c>
      <c r="C234" s="34" t="n">
        <f aca="false">Assumptions!$B$4+INT(A234/12)</f>
        <v>83</v>
      </c>
      <c r="D234" s="34" t="n">
        <f aca="false">INT(A234/12)+1</f>
        <v>19</v>
      </c>
      <c r="E234" s="32" t="n">
        <f aca="false">IFERROR(INDEX(Cohort_Survival!$G$5:$G$65,MATCH(C234,Cohort_Survival!$A$5:$A$65,0)),1)</f>
        <v>0.0382494856184891</v>
      </c>
      <c r="F234" s="30" t="n">
        <f aca="false">1-(1-MIN(1,E234))^(1/12)</f>
        <v>0.00324474128784824</v>
      </c>
      <c r="G234" s="39" t="n">
        <f aca="false">IF(C234&lt;Assumptions!$B$5,IF(D234=1,Assumptions!$B$16,IF(D234=2,Assumptions!$B$17,IF(D234&lt;=5,Assumptions!$B$18,Assumptions!$B$19)))*(1-Assumptions!$B$20),0)</f>
        <v>0</v>
      </c>
      <c r="H234" s="30" t="n">
        <f aca="false">1-(1-G234)^(1/12)</f>
        <v>0</v>
      </c>
      <c r="I234" s="30" t="n">
        <f aca="false">I233*(1-F233)*(1-H233)</f>
        <v>0.604643135089224</v>
      </c>
      <c r="J234" s="30" t="n">
        <f aca="false">INDEX(Discount_Monthly!$G$4:$G$664,MATCH(A234,Discount_Monthly!$A$4:$A$664,0))</f>
        <v>0.554360753957232</v>
      </c>
      <c r="K234" s="30" t="n">
        <f aca="false">IF(C234&lt;Assumptions!$B$5,I234*J234,0)</f>
        <v>0</v>
      </c>
      <c r="L234" s="30" t="n">
        <f aca="false">IF(C234&lt;Assumptions!$B$5,I234*(1-F234)*H234*A234*J234,0)</f>
        <v>0</v>
      </c>
      <c r="M234" s="30" t="n">
        <f aca="false">IF(A234=0,Assumptions!$B$14*12*I234*J234,IF(AND(A234&gt;=12,C234&lt;Assumptions!$B$5),Assumptions!$B$15*I234*J234,0))</f>
        <v>0</v>
      </c>
      <c r="N234" s="47" t="n">
        <f aca="false">IF(C234&gt;=Assumptions!$B$5,I234*Assumptions!$B$9/12*(1+Assumptions!$B$10)^INT(A234/12)*J234,0)</f>
        <v>638.312620864994</v>
      </c>
      <c r="O234" s="47" t="n">
        <f aca="false">I234*Assumptions!$B$12/12*(1+Assumptions!$B$11)^(INT(A234/12)+1)*J234</f>
        <v>3.57234822629398</v>
      </c>
      <c r="P234" s="47" t="n">
        <f aca="false">O234+Pricing_M!$B$13*M234+N234-Pricing_M!$B$13*K234</f>
        <v>641.884969091288</v>
      </c>
      <c r="Q234" s="47" t="n">
        <f aca="false">IF(C234&lt;Assumptions!$B$5,Pricing_M!$B$13*K234-Pricing_M!$B$13*M234-O234,-(N234+O234))</f>
        <v>-641.884969091288</v>
      </c>
      <c r="R234" s="32" t="n">
        <f aca="false">R233*(1-(1-(1-MIN(1,E233*(1-Assumptions!$B$21)))^(1/12)))*(1-H233)</f>
        <v>0.643437685306556</v>
      </c>
      <c r="S234" s="47" t="n">
        <f aca="false">R234*(IF(C234&lt;Assumptions!$B$5,Assumptions!$B$12*(1+Assumptions!$B$11)^(INT(A234/12)+1)/12+Pricing_M!$B$13*IF(A234=0,Assumptions!$B$14*12,IF(A234&gt;=12,Assumptions!$B$15,0))-Pricing_M!$B$13,Assumptions!$B$9/12*(1+Assumptions!$B$10)^INT(A234/12)+Assumptions!$B$12*(1+Assumptions!$B$11)^(INT(A234/12)+1)/12))*J234</f>
        <v>683.068995208591</v>
      </c>
      <c r="T234" s="32" t="n">
        <f aca="false">T233*(1-F233)*(1-(1-(1-MIN(1,G233*(1+Assumptions!$B$23)))^(1/12)))</f>
        <v>0.547733429388471</v>
      </c>
      <c r="U234" s="47" t="n">
        <f aca="false">T234*(IF(C234&lt;Assumptions!$B$5,Assumptions!$B$12*(1+Assumptions!$B$11)^(INT(A234/12)+1)/12+Pricing_M!$B$13*IF(A234=0,Assumptions!$B$14*12,IF(A234&gt;=12,Assumptions!$B$15,0))-Pricing_M!$B$13,Assumptions!$B$9/12*(1+Assumptions!$B$10)^INT(A234/12)+Assumptions!$B$12*(1+Assumptions!$B$11)^(INT(A234/12)+1)/12))*J234</f>
        <v>581.470019239369</v>
      </c>
      <c r="V234" s="32" t="n">
        <f aca="false">V233*(1-F233)*(1-(1-(1-MIN(1,G233*(1-Assumptions!$B$23)))^(1/12)))</f>
        <v>0.666853371286066</v>
      </c>
      <c r="W234" s="47" t="n">
        <f aca="false">V234*(IF(C234&lt;Assumptions!$B$5,Assumptions!$B$12*(1+Assumptions!$B$11)^(INT(A234/12)+1)/12+Pricing_M!$B$13*IF(A234=0,Assumptions!$B$14*12,IF(A234&gt;=12,Assumptions!$B$15,0))-Pricing_M!$B$13,Assumptions!$B$9/12*(1+Assumptions!$B$10)^INT(A234/12)+Assumptions!$B$12*(1+Assumptions!$B$11)^(INT(A234/12)+1)/12))*J234</f>
        <v>707.926925447045</v>
      </c>
      <c r="X234" s="47" t="n">
        <f aca="false">I234*(IF(C234&lt;Assumptions!$B$5,Assumptions!$B$12*(1+Assumptions!$B$11)*(1+Assumptions!$B$24)*(1+Assumptions!$B$11+Assumptions!$B$25)^(INT(A234/12))/12+Pricing_M!$B$13*IF(A234=0,Assumptions!$B$14*12,IF(A234&gt;=12,Assumptions!$B$15,0))-Pricing_M!$B$13,Assumptions!$B$9/12*(1+Assumptions!$B$10)^INT(A234/12)+Assumptions!$B$12*(1+Assumptions!$B$11)*(1+Assumptions!$B$24)*(1+Assumptions!$B$11+Assumptions!$B$25)^(INT(A234/12))/12))*J234</f>
        <v>642.992592177556</v>
      </c>
    </row>
    <row r="235" customFormat="false" ht="15" hidden="false" customHeight="true" outlineLevel="0" collapsed="false">
      <c r="A235" s="1" t="n">
        <v>228</v>
      </c>
      <c r="B235" s="31" t="n">
        <f aca="false">Assumptions!$B$4+A235/12</f>
        <v>84</v>
      </c>
      <c r="C235" s="34" t="n">
        <f aca="false">Assumptions!$B$4+INT(A235/12)</f>
        <v>84</v>
      </c>
      <c r="D235" s="34" t="n">
        <f aca="false">INT(A235/12)+1</f>
        <v>20</v>
      </c>
      <c r="E235" s="32" t="n">
        <f aca="false">IFERROR(INDEX(Cohort_Survival!$G$5:$G$65,MATCH(C235,Cohort_Survival!$A$5:$A$65,0)),1)</f>
        <v>0.0429065995988382</v>
      </c>
      <c r="F235" s="30" t="n">
        <f aca="false">1-(1-MIN(1,E235))^(1/12)</f>
        <v>0.00364785495357878</v>
      </c>
      <c r="G235" s="39" t="n">
        <f aca="false">IF(C235&lt;Assumptions!$B$5,IF(D235=1,Assumptions!$B$16,IF(D235=2,Assumptions!$B$17,IF(D235&lt;=5,Assumptions!$B$18,Assumptions!$B$19)))*(1-Assumptions!$B$20),0)</f>
        <v>0</v>
      </c>
      <c r="H235" s="30" t="n">
        <f aca="false">1-(1-G235)^(1/12)</f>
        <v>0</v>
      </c>
      <c r="I235" s="30" t="n">
        <f aca="false">I234*(1-F234)*(1-H234)</f>
        <v>0.602681224544386</v>
      </c>
      <c r="J235" s="30" t="n">
        <f aca="false">INDEX(Discount_Monthly!$G$4:$G$664,MATCH(A235,Discount_Monthly!$A$4:$A$664,0))</f>
        <v>0.552897698820573</v>
      </c>
      <c r="K235" s="30" t="n">
        <f aca="false">IF(C235&lt;Assumptions!$B$5,I235*J235,0)</f>
        <v>0</v>
      </c>
      <c r="L235" s="30" t="n">
        <f aca="false">IF(C235&lt;Assumptions!$B$5,I235*(1-F235)*H235*A235*J235,0)</f>
        <v>0</v>
      </c>
      <c r="M235" s="30" t="n">
        <f aca="false">IF(A235=0,Assumptions!$B$14*12*I235*J235,IF(AND(A235&gt;=12,C235&lt;Assumptions!$B$5),Assumptions!$B$15*I235*J235,0))</f>
        <v>0</v>
      </c>
      <c r="N235" s="47" t="n">
        <f aca="false">IF(C235&gt;=Assumptions!$B$5,I235*Assumptions!$B$9/12*(1+Assumptions!$B$10)^INT(A235/12)*J235,0)</f>
        <v>647.253555060191</v>
      </c>
      <c r="O235" s="47" t="n">
        <f aca="false">I235*Assumptions!$B$12/12*(1+Assumptions!$B$11)^(INT(A235/12)+1)*J235</f>
        <v>3.64014340485089</v>
      </c>
      <c r="P235" s="47" t="n">
        <f aca="false">O235+Pricing_M!$B$13*M235+N235-Pricing_M!$B$13*K235</f>
        <v>650.893698465041</v>
      </c>
      <c r="Q235" s="47" t="n">
        <f aca="false">IF(C235&lt;Assumptions!$B$5,Pricing_M!$B$13*K235-Pricing_M!$B$13*M235-O235,-(N235+O235))</f>
        <v>-650.893698465041</v>
      </c>
      <c r="R235" s="32" t="n">
        <f aca="false">R234*(1-(1-(1-MIN(1,E234*(1-Assumptions!$B$21)))^(1/12)))*(1-H234)</f>
        <v>0.64177347000261</v>
      </c>
      <c r="S235" s="47" t="n">
        <f aca="false">R235*(IF(C235&lt;Assumptions!$B$5,Assumptions!$B$12*(1+Assumptions!$B$11)^(INT(A235/12)+1)/12+Pricing_M!$B$13*IF(A235=0,Assumptions!$B$14*12,IF(A235&gt;=12,Assumptions!$B$15,0))-Pricing_M!$B$13,Assumptions!$B$9/12*(1+Assumptions!$B$10)^INT(A235/12)+Assumptions!$B$12*(1+Assumptions!$B$11)^(INT(A235/12)+1)/12))*J235</f>
        <v>693.113192272638</v>
      </c>
      <c r="T235" s="32" t="n">
        <f aca="false">T234*(1-F234)*(1-(1-(1-MIN(1,G234*(1+Assumptions!$B$23)))^(1/12)))</f>
        <v>0.545956176115399</v>
      </c>
      <c r="U235" s="47" t="n">
        <f aca="false">T235*(IF(C235&lt;Assumptions!$B$5,Assumptions!$B$12*(1+Assumptions!$B$11)^(INT(A235/12)+1)/12+Pricing_M!$B$13*IF(A235=0,Assumptions!$B$14*12,IF(A235&gt;=12,Assumptions!$B$15,0))-Pricing_M!$B$13,Assumptions!$B$9/12*(1+Assumptions!$B$10)^INT(A235/12)+Assumptions!$B$12*(1+Assumptions!$B$11)^(INT(A235/12)+1)/12))*J235</f>
        <v>589.630836666976</v>
      </c>
      <c r="V235" s="32" t="n">
        <f aca="false">V234*(1-F234)*(1-(1-(1-MIN(1,G234*(1-Assumptions!$B$23)))^(1/12)))</f>
        <v>0.664689604619313</v>
      </c>
      <c r="W235" s="47" t="n">
        <f aca="false">V235*(IF(C235&lt;Assumptions!$B$5,Assumptions!$B$12*(1+Assumptions!$B$11)^(INT(A235/12)+1)/12+Pricing_M!$B$13*IF(A235=0,Assumptions!$B$14*12,IF(A235&gt;=12,Assumptions!$B$15,0))-Pricing_M!$B$13,Assumptions!$B$9/12*(1+Assumptions!$B$10)^INT(A235/12)+Assumptions!$B$12*(1+Assumptions!$B$11)^(INT(A235/12)+1)/12))*J235</f>
        <v>717.862540697196</v>
      </c>
      <c r="X235" s="47" t="n">
        <f aca="false">I235*(IF(C235&lt;Assumptions!$B$5,Assumptions!$B$12*(1+Assumptions!$B$11)*(1+Assumptions!$B$24)*(1+Assumptions!$B$11+Assumptions!$B$25)^(INT(A235/12))/12+Pricing_M!$B$13*IF(A235=0,Assumptions!$B$14*12,IF(A235&gt;=12,Assumptions!$B$15,0))-Pricing_M!$B$13,Assumptions!$B$9/12*(1+Assumptions!$B$10)^INT(A235/12)+Assumptions!$B$12*(1+Assumptions!$B$11)*(1+Assumptions!$B$24)*(1+Assumptions!$B$11+Assumptions!$B$25)^(INT(A235/12))/12))*J235</f>
        <v>652.0688665082</v>
      </c>
    </row>
    <row r="236" customFormat="false" ht="15" hidden="false" customHeight="true" outlineLevel="0" collapsed="false">
      <c r="A236" s="1" t="n">
        <v>229</v>
      </c>
      <c r="B236" s="31" t="n">
        <f aca="false">Assumptions!$B$4+A236/12</f>
        <v>84.0833333333333</v>
      </c>
      <c r="C236" s="34" t="n">
        <f aca="false">Assumptions!$B$4+INT(A236/12)</f>
        <v>84</v>
      </c>
      <c r="D236" s="34" t="n">
        <f aca="false">INT(A236/12)+1</f>
        <v>20</v>
      </c>
      <c r="E236" s="32" t="n">
        <f aca="false">IFERROR(INDEX(Cohort_Survival!$G$5:$G$65,MATCH(C236,Cohort_Survival!$A$5:$A$65,0)),1)</f>
        <v>0.0429065995988382</v>
      </c>
      <c r="F236" s="30" t="n">
        <f aca="false">1-(1-MIN(1,E236))^(1/12)</f>
        <v>0.00364785495357878</v>
      </c>
      <c r="G236" s="39" t="n">
        <f aca="false">IF(C236&lt;Assumptions!$B$5,IF(D236=1,Assumptions!$B$16,IF(D236=2,Assumptions!$B$17,IF(D236&lt;=5,Assumptions!$B$18,Assumptions!$B$19)))*(1-Assumptions!$B$20),0)</f>
        <v>0</v>
      </c>
      <c r="H236" s="30" t="n">
        <f aca="false">1-(1-G236)^(1/12)</f>
        <v>0</v>
      </c>
      <c r="I236" s="30" t="n">
        <f aca="false">I235*(1-F235)*(1-H235)</f>
        <v>0.600482730854003</v>
      </c>
      <c r="J236" s="30" t="n">
        <f aca="false">INDEX(Discount_Monthly!$G$4:$G$664,MATCH(A236,Discount_Monthly!$A$4:$A$664,0))</f>
        <v>0.551453649862513</v>
      </c>
      <c r="K236" s="30" t="n">
        <f aca="false">IF(C236&lt;Assumptions!$B$5,I236*J236,0)</f>
        <v>0</v>
      </c>
      <c r="L236" s="30" t="n">
        <f aca="false">IF(C236&lt;Assumptions!$B$5,I236*(1-F236)*H236*A236*J236,0)</f>
        <v>0</v>
      </c>
      <c r="M236" s="30" t="n">
        <f aca="false">IF(A236=0,Assumptions!$B$14*12*I236*J236,IF(AND(A236&gt;=12,C236&lt;Assumptions!$B$5),Assumptions!$B$15*I236*J236,0))</f>
        <v>0</v>
      </c>
      <c r="N236" s="47" t="n">
        <f aca="false">IF(C236&gt;=Assumptions!$B$5,I236*Assumptions!$B$9/12*(1+Assumptions!$B$10)^INT(A236/12)*J236,0)</f>
        <v>643.208148616373</v>
      </c>
      <c r="O236" s="47" t="n">
        <f aca="false">I236*Assumptions!$B$12/12*(1+Assumptions!$B$11)^(INT(A236/12)+1)*J236</f>
        <v>3.61739210519208</v>
      </c>
      <c r="P236" s="47" t="n">
        <f aca="false">O236+Pricing_M!$B$13*M236+N236-Pricing_M!$B$13*K236</f>
        <v>646.825540721565</v>
      </c>
      <c r="Q236" s="47" t="n">
        <f aca="false">IF(C236&lt;Assumptions!$B$5,Pricing_M!$B$13*K236-Pricing_M!$B$13*M236-O236,-(N236+O236))</f>
        <v>-646.825540721565</v>
      </c>
      <c r="R236" s="32" t="n">
        <f aca="false">R235*(1-(1-(1-MIN(1,E235*(1-Assumptions!$B$21)))^(1/12)))*(1-H235)</f>
        <v>0.639908185005664</v>
      </c>
      <c r="S236" s="47" t="n">
        <f aca="false">R236*(IF(C236&lt;Assumptions!$B$5,Assumptions!$B$12*(1+Assumptions!$B$11)^(INT(A236/12)+1)/12+Pricing_M!$B$13*IF(A236=0,Assumptions!$B$14*12,IF(A236&gt;=12,Assumptions!$B$15,0))-Pricing_M!$B$13,Assumptions!$B$9/12*(1+Assumptions!$B$10)^INT(A236/12)+Assumptions!$B$12*(1+Assumptions!$B$11)^(INT(A236/12)+1)/12))*J236</f>
        <v>689.293690744086</v>
      </c>
      <c r="T236" s="32" t="n">
        <f aca="false">T235*(1-F235)*(1-(1-(1-MIN(1,G235*(1+Assumptions!$B$23)))^(1/12)))</f>
        <v>0.54396460717392</v>
      </c>
      <c r="U236" s="47" t="n">
        <f aca="false">T236*(IF(C236&lt;Assumptions!$B$5,Assumptions!$B$12*(1+Assumptions!$B$11)^(INT(A236/12)+1)/12+Pricing_M!$B$13*IF(A236=0,Assumptions!$B$14*12,IF(A236&gt;=12,Assumptions!$B$15,0))-Pricing_M!$B$13,Assumptions!$B$9/12*(1+Assumptions!$B$10)^INT(A236/12)+Assumptions!$B$12*(1+Assumptions!$B$11)^(INT(A236/12)+1)/12))*J236</f>
        <v>585.945578598514</v>
      </c>
      <c r="V236" s="32" t="n">
        <f aca="false">V235*(1-F235)*(1-(1-(1-MIN(1,G235*(1-Assumptions!$B$23)))^(1/12)))</f>
        <v>0.66226491335251</v>
      </c>
      <c r="W236" s="47" t="n">
        <f aca="false">V236*(IF(C236&lt;Assumptions!$B$5,Assumptions!$B$12*(1+Assumptions!$B$11)^(INT(A236/12)+1)/12+Pricing_M!$B$13*IF(A236=0,Assumptions!$B$14*12,IF(A236&gt;=12,Assumptions!$B$15,0))-Pricing_M!$B$13,Assumptions!$B$9/12*(1+Assumptions!$B$10)^INT(A236/12)+Assumptions!$B$12*(1+Assumptions!$B$11)^(INT(A236/12)+1)/12))*J236</f>
        <v>713.37582026869</v>
      </c>
      <c r="X236" s="47" t="n">
        <f aca="false">I236*(IF(C236&lt;Assumptions!$B$5,Assumptions!$B$12*(1+Assumptions!$B$11)*(1+Assumptions!$B$24)*(1+Assumptions!$B$11+Assumptions!$B$25)^(INT(A236/12))/12+Pricing_M!$B$13*IF(A236=0,Assumptions!$B$14*12,IF(A236&gt;=12,Assumptions!$B$15,0))-Pricing_M!$B$13,Assumptions!$B$9/12*(1+Assumptions!$B$10)^INT(A236/12)+Assumptions!$B$12*(1+Assumptions!$B$11)*(1+Assumptions!$B$24)*(1+Assumptions!$B$11+Assumptions!$B$25)^(INT(A236/12))/12))*J236</f>
        <v>647.993363834229</v>
      </c>
    </row>
    <row r="237" customFormat="false" ht="15" hidden="false" customHeight="true" outlineLevel="0" collapsed="false">
      <c r="A237" s="1" t="n">
        <v>230</v>
      </c>
      <c r="B237" s="31" t="n">
        <f aca="false">Assumptions!$B$4+A237/12</f>
        <v>84.1666666666667</v>
      </c>
      <c r="C237" s="34" t="n">
        <f aca="false">Assumptions!$B$4+INT(A237/12)</f>
        <v>84</v>
      </c>
      <c r="D237" s="34" t="n">
        <f aca="false">INT(A237/12)+1</f>
        <v>20</v>
      </c>
      <c r="E237" s="32" t="n">
        <f aca="false">IFERROR(INDEX(Cohort_Survival!$G$5:$G$65,MATCH(C237,Cohort_Survival!$A$5:$A$65,0)),1)</f>
        <v>0.0429065995988382</v>
      </c>
      <c r="F237" s="30" t="n">
        <f aca="false">1-(1-MIN(1,E237))^(1/12)</f>
        <v>0.00364785495357878</v>
      </c>
      <c r="G237" s="39" t="n">
        <f aca="false">IF(C237&lt;Assumptions!$B$5,IF(D237=1,Assumptions!$B$16,IF(D237=2,Assumptions!$B$17,IF(D237&lt;=5,Assumptions!$B$18,Assumptions!$B$19)))*(1-Assumptions!$B$20),0)</f>
        <v>0</v>
      </c>
      <c r="H237" s="30" t="n">
        <f aca="false">1-(1-G237)^(1/12)</f>
        <v>0</v>
      </c>
      <c r="I237" s="30" t="n">
        <f aca="false">I236*(1-F236)*(1-H236)</f>
        <v>0.598292256949719</v>
      </c>
      <c r="J237" s="30" t="n">
        <f aca="false">INDEX(Discount_Monthly!$G$4:$G$664,MATCH(A237,Discount_Monthly!$A$4:$A$664,0))</f>
        <v>0.550013372447359</v>
      </c>
      <c r="K237" s="30" t="n">
        <f aca="false">IF(C237&lt;Assumptions!$B$5,I237*J237,0)</f>
        <v>0</v>
      </c>
      <c r="L237" s="30" t="n">
        <f aca="false">IF(C237&lt;Assumptions!$B$5,I237*(1-F237)*H237*A237*J237,0)</f>
        <v>0</v>
      </c>
      <c r="M237" s="30" t="n">
        <f aca="false">IF(A237=0,Assumptions!$B$14*12*I237*J237,IF(AND(A237&gt;=12,C237&lt;Assumptions!$B$5),Assumptions!$B$15*I237*J237,0))</f>
        <v>0</v>
      </c>
      <c r="N237" s="47" t="n">
        <f aca="false">IF(C237&gt;=Assumptions!$B$5,I237*Assumptions!$B$9/12*(1+Assumptions!$B$10)^INT(A237/12)*J237,0)</f>
        <v>639.188026411116</v>
      </c>
      <c r="O237" s="47" t="n">
        <f aca="false">I237*Assumptions!$B$12/12*(1+Assumptions!$B$11)^(INT(A237/12)+1)*J237</f>
        <v>3.5947830036773</v>
      </c>
      <c r="P237" s="47" t="n">
        <f aca="false">O237+Pricing_M!$B$13*M237+N237-Pricing_M!$B$13*K237</f>
        <v>642.782809414793</v>
      </c>
      <c r="Q237" s="47" t="n">
        <f aca="false">IF(C237&lt;Assumptions!$B$5,Pricing_M!$B$13*K237-Pricing_M!$B$13*M237-O237,-(N237+O237))</f>
        <v>-642.782809414793</v>
      </c>
      <c r="R237" s="32" t="n">
        <f aca="false">R236*(1-(1-(1-MIN(1,E236*(1-Assumptions!$B$21)))^(1/12)))*(1-H236)</f>
        <v>0.638048321373548</v>
      </c>
      <c r="S237" s="47" t="n">
        <f aca="false">R237*(IF(C237&lt;Assumptions!$B$5,Assumptions!$B$12*(1+Assumptions!$B$11)^(INT(A237/12)+1)/12+Pricing_M!$B$13*IF(A237=0,Assumptions!$B$14*12,IF(A237&gt;=12,Assumptions!$B$15,0))-Pricing_M!$B$13,Assumptions!$B$9/12*(1+Assumptions!$B$10)^INT(A237/12)+Assumptions!$B$12*(1+Assumptions!$B$11)^(INT(A237/12)+1)/12))*J237</f>
        <v>685.495237136839</v>
      </c>
      <c r="T237" s="32" t="n">
        <f aca="false">T236*(1-F236)*(1-(1-(1-MIN(1,G236*(1+Assumptions!$B$23)))^(1/12)))</f>
        <v>0.541980303187069</v>
      </c>
      <c r="U237" s="47" t="n">
        <f aca="false">T237*(IF(C237&lt;Assumptions!$B$5,Assumptions!$B$12*(1+Assumptions!$B$11)^(INT(A237/12)+1)/12+Pricing_M!$B$13*IF(A237=0,Assumptions!$B$14*12,IF(A237&gt;=12,Assumptions!$B$15,0))-Pricing_M!$B$13,Assumptions!$B$9/12*(1+Assumptions!$B$10)^INT(A237/12)+Assumptions!$B$12*(1+Assumptions!$B$11)^(INT(A237/12)+1)/12))*J237</f>
        <v>582.283353801357</v>
      </c>
      <c r="V237" s="32" t="n">
        <f aca="false">V236*(1-F236)*(1-(1-(1-MIN(1,G236*(1-Assumptions!$B$23)))^(1/12)))</f>
        <v>0.659849067007756</v>
      </c>
      <c r="W237" s="47" t="n">
        <f aca="false">V237*(IF(C237&lt;Assumptions!$B$5,Assumptions!$B$12*(1+Assumptions!$B$11)^(INT(A237/12)+1)/12+Pricing_M!$B$13*IF(A237=0,Assumptions!$B$14*12,IF(A237&gt;=12,Assumptions!$B$15,0))-Pricing_M!$B$13,Assumptions!$B$9/12*(1+Assumptions!$B$10)^INT(A237/12)+Assumptions!$B$12*(1+Assumptions!$B$11)^(INT(A237/12)+1)/12))*J237</f>
        <v>708.917142340053</v>
      </c>
      <c r="X237" s="47" t="n">
        <f aca="false">I237*(IF(C237&lt;Assumptions!$B$5,Assumptions!$B$12*(1+Assumptions!$B$11)*(1+Assumptions!$B$24)*(1+Assumptions!$B$11+Assumptions!$B$25)^(INT(A237/12))/12+Pricing_M!$B$13*IF(A237=0,Assumptions!$B$14*12,IF(A237&gt;=12,Assumptions!$B$15,0))-Pricing_M!$B$13,Assumptions!$B$9/12*(1+Assumptions!$B$10)^INT(A237/12)+Assumptions!$B$12*(1+Assumptions!$B$11)*(1+Assumptions!$B$24)*(1+Assumptions!$B$11+Assumptions!$B$25)^(INT(A237/12))/12))*J237</f>
        <v>643.943333503592</v>
      </c>
    </row>
    <row r="238" customFormat="false" ht="15" hidden="false" customHeight="true" outlineLevel="0" collapsed="false">
      <c r="A238" s="1" t="n">
        <v>231</v>
      </c>
      <c r="B238" s="31" t="n">
        <f aca="false">Assumptions!$B$4+A238/12</f>
        <v>84.25</v>
      </c>
      <c r="C238" s="34" t="n">
        <f aca="false">Assumptions!$B$4+INT(A238/12)</f>
        <v>84</v>
      </c>
      <c r="D238" s="34" t="n">
        <f aca="false">INT(A238/12)+1</f>
        <v>20</v>
      </c>
      <c r="E238" s="32" t="n">
        <f aca="false">IFERROR(INDEX(Cohort_Survival!$G$5:$G$65,MATCH(C238,Cohort_Survival!$A$5:$A$65,0)),1)</f>
        <v>0.0429065995988382</v>
      </c>
      <c r="F238" s="30" t="n">
        <f aca="false">1-(1-MIN(1,E238))^(1/12)</f>
        <v>0.00364785495357878</v>
      </c>
      <c r="G238" s="39" t="n">
        <f aca="false">IF(C238&lt;Assumptions!$B$5,IF(D238=1,Assumptions!$B$16,IF(D238=2,Assumptions!$B$17,IF(D238&lt;=5,Assumptions!$B$18,Assumptions!$B$19)))*(1-Assumptions!$B$20),0)</f>
        <v>0</v>
      </c>
      <c r="H238" s="30" t="n">
        <f aca="false">1-(1-G238)^(1/12)</f>
        <v>0</v>
      </c>
      <c r="I238" s="30" t="n">
        <f aca="false">I237*(1-F237)*(1-H237)</f>
        <v>0.596109773576517</v>
      </c>
      <c r="J238" s="30" t="n">
        <f aca="false">INDEX(Discount_Monthly!$G$4:$G$664,MATCH(A238,Discount_Monthly!$A$4:$A$664,0))</f>
        <v>0.548576856724657</v>
      </c>
      <c r="K238" s="30" t="n">
        <f aca="false">IF(C238&lt;Assumptions!$B$5,I238*J238,0)</f>
        <v>0</v>
      </c>
      <c r="L238" s="30" t="n">
        <f aca="false">IF(C238&lt;Assumptions!$B$5,I238*(1-F238)*H238*A238*J238,0)</f>
        <v>0</v>
      </c>
      <c r="M238" s="30" t="n">
        <f aca="false">IF(A238=0,Assumptions!$B$14*12*I238*J238,IF(AND(A238&gt;=12,C238&lt;Assumptions!$B$5),Assumptions!$B$15*I238*J238,0))</f>
        <v>0</v>
      </c>
      <c r="N238" s="47" t="n">
        <f aca="false">IF(C238&gt;=Assumptions!$B$5,I238*Assumptions!$B$9/12*(1+Assumptions!$B$10)^INT(A238/12)*J238,0)</f>
        <v>635.193030415127</v>
      </c>
      <c r="O238" s="47" t="n">
        <f aca="false">I238*Assumptions!$B$12/12*(1+Assumptions!$B$11)^(INT(A238/12)+1)*J238</f>
        <v>3.57231521155238</v>
      </c>
      <c r="P238" s="47" t="n">
        <f aca="false">O238+Pricing_M!$B$13*M238+N238-Pricing_M!$B$13*K238</f>
        <v>638.76534562668</v>
      </c>
      <c r="Q238" s="47" t="n">
        <f aca="false">IF(C238&lt;Assumptions!$B$5,Pricing_M!$B$13*K238-Pricing_M!$B$13*M238-O238,-(N238+O238))</f>
        <v>-638.76534562668</v>
      </c>
      <c r="R238" s="32" t="n">
        <f aca="false">R237*(1-(1-(1-MIN(1,E237*(1-Assumptions!$B$21)))^(1/12)))*(1-H237)</f>
        <v>0.636193863349317</v>
      </c>
      <c r="S238" s="47" t="n">
        <f aca="false">R238*(IF(C238&lt;Assumptions!$B$5,Assumptions!$B$12*(1+Assumptions!$B$11)^(INT(A238/12)+1)/12+Pricing_M!$B$13*IF(A238=0,Assumptions!$B$14*12,IF(A238&gt;=12,Assumptions!$B$15,0))-Pricing_M!$B$13,Assumptions!$B$9/12*(1+Assumptions!$B$10)^INT(A238/12)+Assumptions!$B$12*(1+Assumptions!$B$11)^(INT(A238/12)+1)/12))*J238</f>
        <v>681.717715463251</v>
      </c>
      <c r="T238" s="32" t="n">
        <f aca="false">T237*(1-F237)*(1-(1-(1-MIN(1,G237*(1+Assumptions!$B$23)))^(1/12)))</f>
        <v>0.540003237653346</v>
      </c>
      <c r="U238" s="47" t="n">
        <f aca="false">T238*(IF(C238&lt;Assumptions!$B$5,Assumptions!$B$12*(1+Assumptions!$B$11)^(INT(A238/12)+1)/12+Pricing_M!$B$13*IF(A238=0,Assumptions!$B$14*12,IF(A238&gt;=12,Assumptions!$B$15,0))-Pricing_M!$B$13,Assumptions!$B$9/12*(1+Assumptions!$B$10)^INT(A238/12)+Assumptions!$B$12*(1+Assumptions!$B$11)^(INT(A238/12)+1)/12))*J238</f>
        <v>578.644018315008</v>
      </c>
      <c r="V238" s="32" t="n">
        <f aca="false">V237*(1-F237)*(1-(1-(1-MIN(1,G237*(1-Assumptions!$B$23)))^(1/12)))</f>
        <v>0.657442033320057</v>
      </c>
      <c r="W238" s="47" t="n">
        <f aca="false">V238*(IF(C238&lt;Assumptions!$B$5,Assumptions!$B$12*(1+Assumptions!$B$11)^(INT(A238/12)+1)/12+Pricing_M!$B$13*IF(A238=0,Assumptions!$B$14*12,IF(A238&gt;=12,Assumptions!$B$15,0))-Pricing_M!$B$13,Assumptions!$B$9/12*(1+Assumptions!$B$10)^INT(A238/12)+Assumptions!$B$12*(1+Assumptions!$B$11)^(INT(A238/12)+1)/12))*J238</f>
        <v>704.486331642553</v>
      </c>
      <c r="X238" s="47" t="n">
        <f aca="false">I238*(IF(C238&lt;Assumptions!$B$5,Assumptions!$B$12*(1+Assumptions!$B$11)*(1+Assumptions!$B$24)*(1+Assumptions!$B$11+Assumptions!$B$25)^(INT(A238/12))/12+Pricing_M!$B$13*IF(A238=0,Assumptions!$B$14*12,IF(A238&gt;=12,Assumptions!$B$15,0))-Pricing_M!$B$13,Assumptions!$B$9/12*(1+Assumptions!$B$10)^INT(A238/12)+Assumptions!$B$12*(1+Assumptions!$B$11)*(1+Assumptions!$B$24)*(1+Assumptions!$B$11+Assumptions!$B$25)^(INT(A238/12))/12))*J238</f>
        <v>639.918616311321</v>
      </c>
    </row>
    <row r="239" customFormat="false" ht="15" hidden="false" customHeight="true" outlineLevel="0" collapsed="false">
      <c r="A239" s="1" t="n">
        <v>232</v>
      </c>
      <c r="B239" s="31" t="n">
        <f aca="false">Assumptions!$B$4+A239/12</f>
        <v>84.3333333333333</v>
      </c>
      <c r="C239" s="34" t="n">
        <f aca="false">Assumptions!$B$4+INT(A239/12)</f>
        <v>84</v>
      </c>
      <c r="D239" s="34" t="n">
        <f aca="false">INT(A239/12)+1</f>
        <v>20</v>
      </c>
      <c r="E239" s="32" t="n">
        <f aca="false">IFERROR(INDEX(Cohort_Survival!$G$5:$G$65,MATCH(C239,Cohort_Survival!$A$5:$A$65,0)),1)</f>
        <v>0.0429065995988382</v>
      </c>
      <c r="F239" s="30" t="n">
        <f aca="false">1-(1-MIN(1,E239))^(1/12)</f>
        <v>0.00364785495357878</v>
      </c>
      <c r="G239" s="39" t="n">
        <f aca="false">IF(C239&lt;Assumptions!$B$5,IF(D239=1,Assumptions!$B$16,IF(D239=2,Assumptions!$B$17,IF(D239&lt;=5,Assumptions!$B$18,Assumptions!$B$19)))*(1-Assumptions!$B$20),0)</f>
        <v>0</v>
      </c>
      <c r="H239" s="30" t="n">
        <f aca="false">1-(1-G239)^(1/12)</f>
        <v>0</v>
      </c>
      <c r="I239" s="30" t="n">
        <f aca="false">I238*(1-F238)*(1-H238)</f>
        <v>0.593935251586099</v>
      </c>
      <c r="J239" s="30" t="n">
        <f aca="false">INDEX(Discount_Monthly!$G$4:$G$664,MATCH(A239,Discount_Monthly!$A$4:$A$664,0))</f>
        <v>0.547144092869682</v>
      </c>
      <c r="K239" s="30" t="n">
        <f aca="false">IF(C239&lt;Assumptions!$B$5,I239*J239,0)</f>
        <v>0</v>
      </c>
      <c r="L239" s="30" t="n">
        <f aca="false">IF(C239&lt;Assumptions!$B$5,I239*(1-F239)*H239*A239*J239,0)</f>
        <v>0</v>
      </c>
      <c r="M239" s="30" t="n">
        <f aca="false">IF(A239=0,Assumptions!$B$14*12*I239*J239,IF(AND(A239&gt;=12,C239&lt;Assumptions!$B$5),Assumptions!$B$15*I239*J239,0))</f>
        <v>0</v>
      </c>
      <c r="N239" s="47" t="n">
        <f aca="false">IF(C239&gt;=Assumptions!$B$5,I239*Assumptions!$B$9/12*(1+Assumptions!$B$10)^INT(A239/12)*J239,0)</f>
        <v>631.223003586815</v>
      </c>
      <c r="O239" s="47" t="n">
        <f aca="false">I239*Assumptions!$B$12/12*(1+Assumptions!$B$11)^(INT(A239/12)+1)*J239</f>
        <v>3.54998784561799</v>
      </c>
      <c r="P239" s="47" t="n">
        <f aca="false">O239+Pricing_M!$B$13*M239+N239-Pricing_M!$B$13*K239</f>
        <v>634.772991432433</v>
      </c>
      <c r="Q239" s="47" t="n">
        <f aca="false">IF(C239&lt;Assumptions!$B$5,Pricing_M!$B$13*K239-Pricing_M!$B$13*M239-O239,-(N239+O239))</f>
        <v>-634.772991432433</v>
      </c>
      <c r="R239" s="32" t="n">
        <f aca="false">R238*(1-(1-(1-MIN(1,E238*(1-Assumptions!$B$21)))^(1/12)))*(1-H238)</f>
        <v>0.63434479522182</v>
      </c>
      <c r="S239" s="47" t="n">
        <f aca="false">R239*(IF(C239&lt;Assumptions!$B$5,Assumptions!$B$12*(1+Assumptions!$B$11)^(INT(A239/12)+1)/12+Pricing_M!$B$13*IF(A239=0,Assumptions!$B$14*12,IF(A239&gt;=12,Assumptions!$B$15,0))-Pricing_M!$B$13,Assumptions!$B$9/12*(1+Assumptions!$B$10)^INT(A239/12)+Assumptions!$B$12*(1+Assumptions!$B$11)^(INT(A239/12)+1)/12))*J239</f>
        <v>677.961010374843</v>
      </c>
      <c r="T239" s="32" t="n">
        <f aca="false">T238*(1-F238)*(1-(1-(1-MIN(1,G238*(1+Assumptions!$B$23)))^(1/12)))</f>
        <v>0.538033384167924</v>
      </c>
      <c r="U239" s="47" t="n">
        <f aca="false">T239*(IF(C239&lt;Assumptions!$B$5,Assumptions!$B$12*(1+Assumptions!$B$11)^(INT(A239/12)+1)/12+Pricing_M!$B$13*IF(A239=0,Assumptions!$B$14*12,IF(A239&gt;=12,Assumptions!$B$15,0))-Pricing_M!$B$13,Assumptions!$B$9/12*(1+Assumptions!$B$10)^INT(A239/12)+Assumptions!$B$12*(1+Assumptions!$B$11)^(INT(A239/12)+1)/12))*J239</f>
        <v>575.027429078738</v>
      </c>
      <c r="V239" s="32" t="n">
        <f aca="false">V238*(1-F238)*(1-(1-(1-MIN(1,G238*(1-Assumptions!$B$23)))^(1/12)))</f>
        <v>0.65504378014212</v>
      </c>
      <c r="W239" s="47" t="n">
        <f aca="false">V239*(IF(C239&lt;Assumptions!$B$5,Assumptions!$B$12*(1+Assumptions!$B$11)^(INT(A239/12)+1)/12+Pricing_M!$B$13*IF(A239=0,Assumptions!$B$14*12,IF(A239&gt;=12,Assumptions!$B$15,0))-Pricing_M!$B$13,Assumptions!$B$9/12*(1+Assumptions!$B$10)^INT(A239/12)+Assumptions!$B$12*(1+Assumptions!$B$11)^(INT(A239/12)+1)/12))*J239</f>
        <v>700.083214002908</v>
      </c>
      <c r="X239" s="47" t="n">
        <f aca="false">I239*(IF(C239&lt;Assumptions!$B$5,Assumptions!$B$12*(1+Assumptions!$B$11)*(1+Assumptions!$B$24)*(1+Assumptions!$B$11+Assumptions!$B$25)^(INT(A239/12))/12+Pricing_M!$B$13*IF(A239=0,Assumptions!$B$14*12,IF(A239&gt;=12,Assumptions!$B$15,0))-Pricing_M!$B$13,Assumptions!$B$9/12*(1+Assumptions!$B$10)^INT(A239/12)+Assumptions!$B$12*(1+Assumptions!$B$11)*(1+Assumptions!$B$24)*(1+Assumptions!$B$11+Assumptions!$B$25)^(INT(A239/12))/12))*J239</f>
        <v>635.919054047497</v>
      </c>
    </row>
    <row r="240" customFormat="false" ht="15" hidden="false" customHeight="true" outlineLevel="0" collapsed="false">
      <c r="A240" s="1" t="n">
        <v>233</v>
      </c>
      <c r="B240" s="31" t="n">
        <f aca="false">Assumptions!$B$4+A240/12</f>
        <v>84.4166666666667</v>
      </c>
      <c r="C240" s="34" t="n">
        <f aca="false">Assumptions!$B$4+INT(A240/12)</f>
        <v>84</v>
      </c>
      <c r="D240" s="34" t="n">
        <f aca="false">INT(A240/12)+1</f>
        <v>20</v>
      </c>
      <c r="E240" s="32" t="n">
        <f aca="false">IFERROR(INDEX(Cohort_Survival!$G$5:$G$65,MATCH(C240,Cohort_Survival!$A$5:$A$65,0)),1)</f>
        <v>0.0429065995988382</v>
      </c>
      <c r="F240" s="30" t="n">
        <f aca="false">1-(1-MIN(1,E240))^(1/12)</f>
        <v>0.00364785495357878</v>
      </c>
      <c r="G240" s="39" t="n">
        <f aca="false">IF(C240&lt;Assumptions!$B$5,IF(D240=1,Assumptions!$B$16,IF(D240=2,Assumptions!$B$17,IF(D240&lt;=5,Assumptions!$B$18,Assumptions!$B$19)))*(1-Assumptions!$B$20),0)</f>
        <v>0</v>
      </c>
      <c r="H240" s="30" t="n">
        <f aca="false">1-(1-G240)^(1/12)</f>
        <v>0</v>
      </c>
      <c r="I240" s="30" t="n">
        <f aca="false">I239*(1-F239)*(1-H239)</f>
        <v>0.591768661936496</v>
      </c>
      <c r="J240" s="30" t="n">
        <f aca="false">INDEX(Discount_Monthly!$G$4:$G$664,MATCH(A240,Discount_Monthly!$A$4:$A$664,0))</f>
        <v>0.545715071083369</v>
      </c>
      <c r="K240" s="30" t="n">
        <f aca="false">IF(C240&lt;Assumptions!$B$5,I240*J240,0)</f>
        <v>0</v>
      </c>
      <c r="L240" s="30" t="n">
        <f aca="false">IF(C240&lt;Assumptions!$B$5,I240*(1-F240)*H240*A240*J240,0)</f>
        <v>0</v>
      </c>
      <c r="M240" s="30" t="n">
        <f aca="false">IF(A240=0,Assumptions!$B$14*12*I240*J240,IF(AND(A240&gt;=12,C240&lt;Assumptions!$B$5),Assumptions!$B$15*I240*J240,0))</f>
        <v>0</v>
      </c>
      <c r="N240" s="47" t="n">
        <f aca="false">IF(C240&gt;=Assumptions!$B$5,I240*Assumptions!$B$9/12*(1+Assumptions!$B$10)^INT(A240/12)*J240,0)</f>
        <v>627.277789866113</v>
      </c>
      <c r="O240" s="47" t="n">
        <f aca="false">I240*Assumptions!$B$12/12*(1+Assumptions!$B$11)^(INT(A240/12)+1)*J240</f>
        <v>3.52780002819488</v>
      </c>
      <c r="P240" s="47" t="n">
        <f aca="false">O240+Pricing_M!$B$13*M240+N240-Pricing_M!$B$13*K240</f>
        <v>630.805589894308</v>
      </c>
      <c r="Q240" s="47" t="n">
        <f aca="false">IF(C240&lt;Assumptions!$B$5,Pricing_M!$B$13*K240-Pricing_M!$B$13*M240-O240,-(N240+O240))</f>
        <v>-630.805589894308</v>
      </c>
      <c r="R240" s="32" t="n">
        <f aca="false">R239*(1-(1-(1-MIN(1,E239*(1-Assumptions!$B$21)))^(1/12)))*(1-H239)</f>
        <v>0.632501101325571</v>
      </c>
      <c r="S240" s="47" t="n">
        <f aca="false">R240*(IF(C240&lt;Assumptions!$B$5,Assumptions!$B$12*(1+Assumptions!$B$11)^(INT(A240/12)+1)/12+Pricing_M!$B$13*IF(A240=0,Assumptions!$B$14*12,IF(A240&gt;=12,Assumptions!$B$15,0))-Pricing_M!$B$13,Assumptions!$B$9/12*(1+Assumptions!$B$10)^INT(A240/12)+Assumptions!$B$12*(1+Assumptions!$B$11)^(INT(A240/12)+1)/12))*J240</f>
        <v>674.225007158781</v>
      </c>
      <c r="T240" s="32" t="n">
        <f aca="false">T239*(1-F239)*(1-(1-(1-MIN(1,G239*(1+Assumptions!$B$23)))^(1/12)))</f>
        <v>0.536070716422296</v>
      </c>
      <c r="U240" s="47" t="n">
        <f aca="false">T240*(IF(C240&lt;Assumptions!$B$5,Assumptions!$B$12*(1+Assumptions!$B$11)^(INT(A240/12)+1)/12+Pricing_M!$B$13*IF(A240=0,Assumptions!$B$14*12,IF(A240&gt;=12,Assumptions!$B$15,0))-Pricing_M!$B$13,Assumptions!$B$9/12*(1+Assumptions!$B$10)^INT(A240/12)+Assumptions!$B$12*(1+Assumptions!$B$11)^(INT(A240/12)+1)/12))*J240</f>
        <v>571.433443925963</v>
      </c>
      <c r="V240" s="32" t="n">
        <f aca="false">V239*(1-F239)*(1-(1-(1-MIN(1,G239*(1-Assumptions!$B$23)))^(1/12)))</f>
        <v>0.652654275443917</v>
      </c>
      <c r="W240" s="47" t="n">
        <f aca="false">V240*(IF(C240&lt;Assumptions!$B$5,Assumptions!$B$12*(1+Assumptions!$B$11)^(INT(A240/12)+1)/12+Pricing_M!$B$13*IF(A240=0,Assumptions!$B$14*12,IF(A240&gt;=12,Assumptions!$B$15,0))-Pricing_M!$B$13,Assumptions!$B$9/12*(1+Assumptions!$B$10)^INT(A240/12)+Assumptions!$B$12*(1+Assumptions!$B$11)^(INT(A240/12)+1)/12))*J240</f>
        <v>695.707616336437</v>
      </c>
      <c r="X240" s="47" t="n">
        <f aca="false">I240*(IF(C240&lt;Assumptions!$B$5,Assumptions!$B$12*(1+Assumptions!$B$11)*(1+Assumptions!$B$24)*(1+Assumptions!$B$11+Assumptions!$B$25)^(INT(A240/12))/12+Pricing_M!$B$13*IF(A240=0,Assumptions!$B$14*12,IF(A240&gt;=12,Assumptions!$B$15,0))-Pricing_M!$B$13,Assumptions!$B$9/12*(1+Assumptions!$B$10)^INT(A240/12)+Assumptions!$B$12*(1+Assumptions!$B$11)*(1+Assumptions!$B$24)*(1+Assumptions!$B$11+Assumptions!$B$25)^(INT(A240/12))/12))*J240</f>
        <v>631.944489491028</v>
      </c>
    </row>
    <row r="241" customFormat="false" ht="15" hidden="false" customHeight="true" outlineLevel="0" collapsed="false">
      <c r="A241" s="1" t="n">
        <v>234</v>
      </c>
      <c r="B241" s="31" t="n">
        <f aca="false">Assumptions!$B$4+A241/12</f>
        <v>84.5</v>
      </c>
      <c r="C241" s="34" t="n">
        <f aca="false">Assumptions!$B$4+INT(A241/12)</f>
        <v>84</v>
      </c>
      <c r="D241" s="34" t="n">
        <f aca="false">INT(A241/12)+1</f>
        <v>20</v>
      </c>
      <c r="E241" s="32" t="n">
        <f aca="false">IFERROR(INDEX(Cohort_Survival!$G$5:$G$65,MATCH(C241,Cohort_Survival!$A$5:$A$65,0)),1)</f>
        <v>0.0429065995988382</v>
      </c>
      <c r="F241" s="30" t="n">
        <f aca="false">1-(1-MIN(1,E241))^(1/12)</f>
        <v>0.00364785495357878</v>
      </c>
      <c r="G241" s="39" t="n">
        <f aca="false">IF(C241&lt;Assumptions!$B$5,IF(D241=1,Assumptions!$B$16,IF(D241=2,Assumptions!$B$17,IF(D241&lt;=5,Assumptions!$B$18,Assumptions!$B$19)))*(1-Assumptions!$B$20),0)</f>
        <v>0</v>
      </c>
      <c r="H241" s="30" t="n">
        <f aca="false">1-(1-G241)^(1/12)</f>
        <v>0</v>
      </c>
      <c r="I241" s="30" t="n">
        <f aca="false">I240*(1-F240)*(1-H240)</f>
        <v>0.589609975691678</v>
      </c>
      <c r="J241" s="30" t="n">
        <f aca="false">INDEX(Discount_Monthly!$G$4:$G$664,MATCH(A241,Discount_Monthly!$A$4:$A$664,0))</f>
        <v>0.544289781592245</v>
      </c>
      <c r="K241" s="30" t="n">
        <f aca="false">IF(C241&lt;Assumptions!$B$5,I241*J241,0)</f>
        <v>0</v>
      </c>
      <c r="L241" s="30" t="n">
        <f aca="false">IF(C241&lt;Assumptions!$B$5,I241*(1-F241)*H241*A241*J241,0)</f>
        <v>0</v>
      </c>
      <c r="M241" s="30" t="n">
        <f aca="false">IF(A241=0,Assumptions!$B$14*12*I241*J241,IF(AND(A241&gt;=12,C241&lt;Assumptions!$B$5),Assumptions!$B$15*I241*J241,0))</f>
        <v>0</v>
      </c>
      <c r="N241" s="47" t="n">
        <f aca="false">IF(C241&gt;=Assumptions!$B$5,I241*Assumptions!$B$9/12*(1+Assumptions!$B$10)^INT(A241/12)*J241,0)</f>
        <v>623.357234168351</v>
      </c>
      <c r="O241" s="47" t="n">
        <f aca="false">I241*Assumptions!$B$12/12*(1+Assumptions!$B$11)^(INT(A241/12)+1)*J241</f>
        <v>3.50575088708937</v>
      </c>
      <c r="P241" s="47" t="n">
        <f aca="false">O241+Pricing_M!$B$13*M241+N241-Pricing_M!$B$13*K241</f>
        <v>626.86298505544</v>
      </c>
      <c r="Q241" s="47" t="n">
        <f aca="false">IF(C241&lt;Assumptions!$B$5,Pricing_M!$B$13*K241-Pricing_M!$B$13*M241-O241,-(N241+O241))</f>
        <v>-626.86298505544</v>
      </c>
      <c r="R241" s="32" t="n">
        <f aca="false">R240*(1-(1-(1-MIN(1,E240*(1-Assumptions!$B$21)))^(1/12)))*(1-H240)</f>
        <v>0.630662766040615</v>
      </c>
      <c r="S241" s="47" t="n">
        <f aca="false">R241*(IF(C241&lt;Assumptions!$B$5,Assumptions!$B$12*(1+Assumptions!$B$11)^(INT(A241/12)+1)/12+Pricing_M!$B$13*IF(A241=0,Assumptions!$B$14*12,IF(A241&gt;=12,Assumptions!$B$15,0))-Pricing_M!$B$13,Assumptions!$B$9/12*(1+Assumptions!$B$10)^INT(A241/12)+Assumptions!$B$12*(1+Assumptions!$B$11)^(INT(A241/12)+1)/12))*J241</f>
        <v>670.509591734372</v>
      </c>
      <c r="T241" s="32" t="n">
        <f aca="false">T240*(1-F240)*(1-(1-(1-MIN(1,G240*(1+Assumptions!$B$23)))^(1/12)))</f>
        <v>0.534115208203926</v>
      </c>
      <c r="U241" s="47" t="n">
        <f aca="false">T241*(IF(C241&lt;Assumptions!$B$5,Assumptions!$B$12*(1+Assumptions!$B$11)^(INT(A241/12)+1)/12+Pricing_M!$B$13*IF(A241=0,Assumptions!$B$14*12,IF(A241&gt;=12,Assumptions!$B$15,0))-Pricing_M!$B$13,Assumptions!$B$9/12*(1+Assumptions!$B$10)^INT(A241/12)+Assumptions!$B$12*(1+Assumptions!$B$11)^(INT(A241/12)+1)/12))*J241</f>
        <v>567.861921578656</v>
      </c>
      <c r="V241" s="32" t="n">
        <f aca="false">V240*(1-F240)*(1-(1-(1-MIN(1,G240*(1-Assumptions!$B$23)))^(1/12)))</f>
        <v>0.650273487312265</v>
      </c>
      <c r="W241" s="47" t="n">
        <f aca="false">V241*(IF(C241&lt;Assumptions!$B$5,Assumptions!$B$12*(1+Assumptions!$B$11)^(INT(A241/12)+1)/12+Pricing_M!$B$13*IF(A241=0,Assumptions!$B$14*12,IF(A241&gt;=12,Assumptions!$B$15,0))-Pricing_M!$B$13,Assumptions!$B$9/12*(1+Assumptions!$B$10)^INT(A241/12)+Assumptions!$B$12*(1+Assumptions!$B$11)^(INT(A241/12)+1)/12))*J241</f>
        <v>691.359366640259</v>
      </c>
      <c r="X241" s="47" t="n">
        <f aca="false">I241*(IF(C241&lt;Assumptions!$B$5,Assumptions!$B$12*(1+Assumptions!$B$11)*(1+Assumptions!$B$24)*(1+Assumptions!$B$11+Assumptions!$B$25)^(INT(A241/12))/12+Pricing_M!$B$13*IF(A241=0,Assumptions!$B$14*12,IF(A241&gt;=12,Assumptions!$B$15,0))-Pricing_M!$B$13,Assumptions!$B$9/12*(1+Assumptions!$B$10)^INT(A241/12)+Assumptions!$B$12*(1+Assumptions!$B$11)*(1+Assumptions!$B$24)*(1+Assumptions!$B$11+Assumptions!$B$25)^(INT(A241/12))/12))*J241</f>
        <v>627.994766403475</v>
      </c>
    </row>
    <row r="242" customFormat="false" ht="15" hidden="false" customHeight="true" outlineLevel="0" collapsed="false">
      <c r="A242" s="1" t="n">
        <v>235</v>
      </c>
      <c r="B242" s="31" t="n">
        <f aca="false">Assumptions!$B$4+A242/12</f>
        <v>84.5833333333333</v>
      </c>
      <c r="C242" s="34" t="n">
        <f aca="false">Assumptions!$B$4+INT(A242/12)</f>
        <v>84</v>
      </c>
      <c r="D242" s="34" t="n">
        <f aca="false">INT(A242/12)+1</f>
        <v>20</v>
      </c>
      <c r="E242" s="32" t="n">
        <f aca="false">IFERROR(INDEX(Cohort_Survival!$G$5:$G$65,MATCH(C242,Cohort_Survival!$A$5:$A$65,0)),1)</f>
        <v>0.0429065995988382</v>
      </c>
      <c r="F242" s="30" t="n">
        <f aca="false">1-(1-MIN(1,E242))^(1/12)</f>
        <v>0.00364785495357878</v>
      </c>
      <c r="G242" s="39" t="n">
        <f aca="false">IF(C242&lt;Assumptions!$B$5,IF(D242=1,Assumptions!$B$16,IF(D242=2,Assumptions!$B$17,IF(D242&lt;=5,Assumptions!$B$18,Assumptions!$B$19)))*(1-Assumptions!$B$20),0)</f>
        <v>0</v>
      </c>
      <c r="H242" s="30" t="n">
        <f aca="false">1-(1-G242)^(1/12)</f>
        <v>0</v>
      </c>
      <c r="I242" s="30" t="n">
        <f aca="false">I241*(1-F241)*(1-H241)</f>
        <v>0.587459164021172</v>
      </c>
      <c r="J242" s="30" t="n">
        <f aca="false">INDEX(Discount_Monthly!$G$4:$G$664,MATCH(A242,Discount_Monthly!$A$4:$A$664,0))</f>
        <v>0.542868214648364</v>
      </c>
      <c r="K242" s="30" t="n">
        <f aca="false">IF(C242&lt;Assumptions!$B$5,I242*J242,0)</f>
        <v>0</v>
      </c>
      <c r="L242" s="30" t="n">
        <f aca="false">IF(C242&lt;Assumptions!$B$5,I242*(1-F242)*H242*A242*J242,0)</f>
        <v>0</v>
      </c>
      <c r="M242" s="30" t="n">
        <f aca="false">IF(A242=0,Assumptions!$B$14*12*I242*J242,IF(AND(A242&gt;=12,C242&lt;Assumptions!$B$5),Assumptions!$B$15*I242*J242,0))</f>
        <v>0</v>
      </c>
      <c r="N242" s="47" t="n">
        <f aca="false">IF(C242&gt;=Assumptions!$B$5,I242*Assumptions!$B$9/12*(1+Assumptions!$B$10)^INT(A242/12)*J242,0)</f>
        <v>619.461182378151</v>
      </c>
      <c r="O242" s="47" t="n">
        <f aca="false">I242*Assumptions!$B$12/12*(1+Assumptions!$B$11)^(INT(A242/12)+1)*J242</f>
        <v>3.48383955555913</v>
      </c>
      <c r="P242" s="47" t="n">
        <f aca="false">O242+Pricing_M!$B$13*M242+N242-Pricing_M!$B$13*K242</f>
        <v>622.94502193371</v>
      </c>
      <c r="Q242" s="47" t="n">
        <f aca="false">IF(C242&lt;Assumptions!$B$5,Pricing_M!$B$13*K242-Pricing_M!$B$13*M242-O242,-(N242+O242))</f>
        <v>-622.94502193371</v>
      </c>
      <c r="R242" s="32" t="n">
        <f aca="false">R241*(1-(1-(1-MIN(1,E241*(1-Assumptions!$B$21)))^(1/12)))*(1-H241)</f>
        <v>0.628829773792394</v>
      </c>
      <c r="S242" s="47" t="n">
        <f aca="false">R242*(IF(C242&lt;Assumptions!$B$5,Assumptions!$B$12*(1+Assumptions!$B$11)^(INT(A242/12)+1)/12+Pricing_M!$B$13*IF(A242=0,Assumptions!$B$14*12,IF(A242&gt;=12,Assumptions!$B$15,0))-Pricing_M!$B$13,Assumptions!$B$9/12*(1+Assumptions!$B$10)^INT(A242/12)+Assumptions!$B$12*(1+Assumptions!$B$11)^(INT(A242/12)+1)/12))*J242</f>
        <v>666.814650649582</v>
      </c>
      <c r="T242" s="32" t="n">
        <f aca="false">T241*(1-F241)*(1-(1-(1-MIN(1,G241*(1+Assumptions!$B$23)))^(1/12)))</f>
        <v>0.532166833395898</v>
      </c>
      <c r="U242" s="47" t="n">
        <f aca="false">T242*(IF(C242&lt;Assumptions!$B$5,Assumptions!$B$12*(1+Assumptions!$B$11)^(INT(A242/12)+1)/12+Pricing_M!$B$13*IF(A242=0,Assumptions!$B$14*12,IF(A242&gt;=12,Assumptions!$B$15,0))-Pricing_M!$B$13,Assumptions!$B$9/12*(1+Assumptions!$B$10)^INT(A242/12)+Assumptions!$B$12*(1+Assumptions!$B$11)^(INT(A242/12)+1)/12))*J242</f>
        <v>564.312721641794</v>
      </c>
      <c r="V242" s="32" t="n">
        <f aca="false">V241*(1-F241)*(1-(1-(1-MIN(1,G241*(1-Assumptions!$B$23)))^(1/12)))</f>
        <v>0.647901383950392</v>
      </c>
      <c r="W242" s="47" t="n">
        <f aca="false">V242*(IF(C242&lt;Assumptions!$B$5,Assumptions!$B$12*(1+Assumptions!$B$11)^(INT(A242/12)+1)/12+Pricing_M!$B$13*IF(A242=0,Assumptions!$B$14*12,IF(A242&gt;=12,Assumptions!$B$15,0))-Pricing_M!$B$13,Assumptions!$B$9/12*(1+Assumptions!$B$10)^INT(A242/12)+Assumptions!$B$12*(1+Assumptions!$B$11)^(INT(A242/12)+1)/12))*J242</f>
        <v>687.038293986528</v>
      </c>
      <c r="X242" s="47" t="n">
        <f aca="false">I242*(IF(C242&lt;Assumptions!$B$5,Assumptions!$B$12*(1+Assumptions!$B$11)*(1+Assumptions!$B$24)*(1+Assumptions!$B$11+Assumptions!$B$25)^(INT(A242/12))/12+Pricing_M!$B$13*IF(A242=0,Assumptions!$B$14*12,IF(A242&gt;=12,Assumptions!$B$15,0))-Pricing_M!$B$13,Assumptions!$B$9/12*(1+Assumptions!$B$10)^INT(A242/12)+Assumptions!$B$12*(1+Assumptions!$B$11)*(1+Assumptions!$B$24)*(1+Assumptions!$B$11+Assumptions!$B$25)^(INT(A242/12))/12))*J242</f>
        <v>624.069729522903</v>
      </c>
    </row>
    <row r="243" customFormat="false" ht="15" hidden="false" customHeight="true" outlineLevel="0" collapsed="false">
      <c r="A243" s="1" t="n">
        <v>236</v>
      </c>
      <c r="B243" s="31" t="n">
        <f aca="false">Assumptions!$B$4+A243/12</f>
        <v>84.6666666666667</v>
      </c>
      <c r="C243" s="34" t="n">
        <f aca="false">Assumptions!$B$4+INT(A243/12)</f>
        <v>84</v>
      </c>
      <c r="D243" s="34" t="n">
        <f aca="false">INT(A243/12)+1</f>
        <v>20</v>
      </c>
      <c r="E243" s="32" t="n">
        <f aca="false">IFERROR(INDEX(Cohort_Survival!$G$5:$G$65,MATCH(C243,Cohort_Survival!$A$5:$A$65,0)),1)</f>
        <v>0.0429065995988382</v>
      </c>
      <c r="F243" s="30" t="n">
        <f aca="false">1-(1-MIN(1,E243))^(1/12)</f>
        <v>0.00364785495357878</v>
      </c>
      <c r="G243" s="39" t="n">
        <f aca="false">IF(C243&lt;Assumptions!$B$5,IF(D243=1,Assumptions!$B$16,IF(D243=2,Assumptions!$B$17,IF(D243&lt;=5,Assumptions!$B$18,Assumptions!$B$19)))*(1-Assumptions!$B$20),0)</f>
        <v>0</v>
      </c>
      <c r="H243" s="30" t="n">
        <f aca="false">1-(1-G243)^(1/12)</f>
        <v>0</v>
      </c>
      <c r="I243" s="30" t="n">
        <f aca="false">I242*(1-F242)*(1-H242)</f>
        <v>0.585316198199672</v>
      </c>
      <c r="J243" s="30" t="n">
        <f aca="false">INDEX(Discount_Monthly!$G$4:$G$664,MATCH(A243,Discount_Monthly!$A$4:$A$664,0))</f>
        <v>0.541450360529241</v>
      </c>
      <c r="K243" s="30" t="n">
        <f aca="false">IF(C243&lt;Assumptions!$B$5,I243*J243,0)</f>
        <v>0</v>
      </c>
      <c r="L243" s="30" t="n">
        <f aca="false">IF(C243&lt;Assumptions!$B$5,I243*(1-F243)*H243*A243*J243,0)</f>
        <v>0</v>
      </c>
      <c r="M243" s="30" t="n">
        <f aca="false">IF(A243=0,Assumptions!$B$14*12*I243*J243,IF(AND(A243&gt;=12,C243&lt;Assumptions!$B$5),Assumptions!$B$15*I243*J243,0))</f>
        <v>0</v>
      </c>
      <c r="N243" s="47" t="n">
        <f aca="false">IF(C243&gt;=Assumptions!$B$5,I243*Assumptions!$B$9/12*(1+Assumptions!$B$10)^INT(A243/12)*J243,0)</f>
        <v>615.589481343377</v>
      </c>
      <c r="O243" s="47" t="n">
        <f aca="false">I243*Assumptions!$B$12/12*(1+Assumptions!$B$11)^(INT(A243/12)+1)*J243</f>
        <v>3.46206517227903</v>
      </c>
      <c r="P243" s="47" t="n">
        <f aca="false">O243+Pricing_M!$B$13*M243+N243-Pricing_M!$B$13*K243</f>
        <v>619.051546515656</v>
      </c>
      <c r="Q243" s="47" t="n">
        <f aca="false">IF(C243&lt;Assumptions!$B$5,Pricing_M!$B$13*K243-Pricing_M!$B$13*M243-O243,-(N243+O243))</f>
        <v>-619.051546515656</v>
      </c>
      <c r="R243" s="32" t="n">
        <f aca="false">R242*(1-(1-(1-MIN(1,E242*(1-Assumptions!$B$21)))^(1/12)))*(1-H242)</f>
        <v>0.62700210905162</v>
      </c>
      <c r="S243" s="47" t="n">
        <f aca="false">R243*(IF(C243&lt;Assumptions!$B$5,Assumptions!$B$12*(1+Assumptions!$B$11)^(INT(A243/12)+1)/12+Pricing_M!$B$13*IF(A243=0,Assumptions!$B$14*12,IF(A243&gt;=12,Assumptions!$B$15,0))-Pricing_M!$B$13,Assumptions!$B$9/12*(1+Assumptions!$B$10)^INT(A243/12)+Assumptions!$B$12*(1+Assumptions!$B$11)^(INT(A243/12)+1)/12))*J243</f>
        <v>663.14007107757</v>
      </c>
      <c r="T243" s="32" t="n">
        <f aca="false">T242*(1-F242)*(1-(1-(1-MIN(1,G242*(1+Assumptions!$B$23)))^(1/12)))</f>
        <v>0.530225565976564</v>
      </c>
      <c r="U243" s="47" t="n">
        <f aca="false">T243*(IF(C243&lt;Assumptions!$B$5,Assumptions!$B$12*(1+Assumptions!$B$11)^(INT(A243/12)+1)/12+Pricing_M!$B$13*IF(A243=0,Assumptions!$B$14*12,IF(A243&gt;=12,Assumptions!$B$15,0))-Pricing_M!$B$13,Assumptions!$B$9/12*(1+Assumptions!$B$10)^INT(A243/12)+Assumptions!$B$12*(1+Assumptions!$B$11)^(INT(A243/12)+1)/12))*J243</f>
        <v>560.785704597839</v>
      </c>
      <c r="V243" s="32" t="n">
        <f aca="false">V242*(1-F242)*(1-(1-(1-MIN(1,G242*(1-Assumptions!$B$23)))^(1/12)))</f>
        <v>0.645537933677518</v>
      </c>
      <c r="W243" s="47" t="n">
        <f aca="false">V243*(IF(C243&lt;Assumptions!$B$5,Assumptions!$B$12*(1+Assumptions!$B$11)^(INT(A243/12)+1)/12+Pricing_M!$B$13*IF(A243=0,Assumptions!$B$14*12,IF(A243&gt;=12,Assumptions!$B$15,0))-Pricing_M!$B$13,Assumptions!$B$9/12*(1+Assumptions!$B$10)^INT(A243/12)+Assumptions!$B$12*(1+Assumptions!$B$11)^(INT(A243/12)+1)/12))*J243</f>
        <v>682.744228515718</v>
      </c>
      <c r="X243" s="47" t="n">
        <f aca="false">I243*(IF(C243&lt;Assumptions!$B$5,Assumptions!$B$12*(1+Assumptions!$B$11)*(1+Assumptions!$B$24)*(1+Assumptions!$B$11+Assumptions!$B$25)^(INT(A243/12))/12+Pricing_M!$B$13*IF(A243=0,Assumptions!$B$14*12,IF(A243&gt;=12,Assumptions!$B$15,0))-Pricing_M!$B$13,Assumptions!$B$9/12*(1+Assumptions!$B$10)^INT(A243/12)+Assumptions!$B$12*(1+Assumptions!$B$11)*(1+Assumptions!$B$24)*(1+Assumptions!$B$11+Assumptions!$B$25)^(INT(A243/12))/12))*J243</f>
        <v>620.169224557783</v>
      </c>
    </row>
    <row r="244" customFormat="false" ht="15" hidden="false" customHeight="true" outlineLevel="0" collapsed="false">
      <c r="A244" s="1" t="n">
        <v>237</v>
      </c>
      <c r="B244" s="31" t="n">
        <f aca="false">Assumptions!$B$4+A244/12</f>
        <v>84.75</v>
      </c>
      <c r="C244" s="34" t="n">
        <f aca="false">Assumptions!$B$4+INT(A244/12)</f>
        <v>84</v>
      </c>
      <c r="D244" s="34" t="n">
        <f aca="false">INT(A244/12)+1</f>
        <v>20</v>
      </c>
      <c r="E244" s="32" t="n">
        <f aca="false">IFERROR(INDEX(Cohort_Survival!$G$5:$G$65,MATCH(C244,Cohort_Survival!$A$5:$A$65,0)),1)</f>
        <v>0.0429065995988382</v>
      </c>
      <c r="F244" s="30" t="n">
        <f aca="false">1-(1-MIN(1,E244))^(1/12)</f>
        <v>0.00364785495357878</v>
      </c>
      <c r="G244" s="39" t="n">
        <f aca="false">IF(C244&lt;Assumptions!$B$5,IF(D244=1,Assumptions!$B$16,IF(D244=2,Assumptions!$B$17,IF(D244&lt;=5,Assumptions!$B$18,Assumptions!$B$19)))*(1-Assumptions!$B$20),0)</f>
        <v>0</v>
      </c>
      <c r="H244" s="30" t="n">
        <f aca="false">1-(1-G244)^(1/12)</f>
        <v>0</v>
      </c>
      <c r="I244" s="30" t="n">
        <f aca="false">I243*(1-F243)*(1-H243)</f>
        <v>0.583181049606659</v>
      </c>
      <c r="J244" s="30" t="n">
        <f aca="false">INDEX(Discount_Monthly!$G$4:$G$664,MATCH(A244,Discount_Monthly!$A$4:$A$664,0))</f>
        <v>0.54003620953778</v>
      </c>
      <c r="K244" s="30" t="n">
        <f aca="false">IF(C244&lt;Assumptions!$B$5,I244*J244,0)</f>
        <v>0</v>
      </c>
      <c r="L244" s="30" t="n">
        <f aca="false">IF(C244&lt;Assumptions!$B$5,I244*(1-F244)*H244*A244*J244,0)</f>
        <v>0</v>
      </c>
      <c r="M244" s="30" t="n">
        <f aca="false">IF(A244=0,Assumptions!$B$14*12*I244*J244,IF(AND(A244&gt;=12,C244&lt;Assumptions!$B$5),Assumptions!$B$15*I244*J244,0))</f>
        <v>0</v>
      </c>
      <c r="N244" s="47" t="n">
        <f aca="false">IF(C244&gt;=Assumptions!$B$5,I244*Assumptions!$B$9/12*(1+Assumptions!$B$10)^INT(A244/12)*J244,0)</f>
        <v>611.741978869109</v>
      </c>
      <c r="O244" s="47" t="n">
        <f aca="false">I244*Assumptions!$B$12/12*(1+Assumptions!$B$11)^(INT(A244/12)+1)*J244</f>
        <v>3.44042688130734</v>
      </c>
      <c r="P244" s="47" t="n">
        <f aca="false">O244+Pricing_M!$B$13*M244+N244-Pricing_M!$B$13*K244</f>
        <v>615.182405750416</v>
      </c>
      <c r="Q244" s="47" t="n">
        <f aca="false">IF(C244&lt;Assumptions!$B$5,Pricing_M!$B$13*K244-Pricing_M!$B$13*M244-O244,-(N244+O244))</f>
        <v>-615.182405750416</v>
      </c>
      <c r="R244" s="32" t="n">
        <f aca="false">R243*(1-(1-(1-MIN(1,E243*(1-Assumptions!$B$21)))^(1/12)))*(1-H243)</f>
        <v>0.625179756334137</v>
      </c>
      <c r="S244" s="47" t="n">
        <f aca="false">R244*(IF(C244&lt;Assumptions!$B$5,Assumptions!$B$12*(1+Assumptions!$B$11)^(INT(A244/12)+1)/12+Pricing_M!$B$13*IF(A244=0,Assumptions!$B$14*12,IF(A244&gt;=12,Assumptions!$B$15,0))-Pricing_M!$B$13,Assumptions!$B$9/12*(1+Assumptions!$B$10)^INT(A244/12)+Assumptions!$B$12*(1+Assumptions!$B$11)^(INT(A244/12)+1)/12))*J244</f>
        <v>659.485740813244</v>
      </c>
      <c r="T244" s="32" t="n">
        <f aca="false">T243*(1-F243)*(1-(1-(1-MIN(1,G243*(1+Assumptions!$B$23)))^(1/12)))</f>
        <v>0.528291380019203</v>
      </c>
      <c r="U244" s="47" t="n">
        <f aca="false">T244*(IF(C244&lt;Assumptions!$B$5,Assumptions!$B$12*(1+Assumptions!$B$11)^(INT(A244/12)+1)/12+Pricing_M!$B$13*IF(A244=0,Assumptions!$B$14*12,IF(A244&gt;=12,Assumptions!$B$15,0))-Pricing_M!$B$13,Assumptions!$B$9/12*(1+Assumptions!$B$10)^INT(A244/12)+Assumptions!$B$12*(1+Assumptions!$B$11)^(INT(A244/12)+1)/12))*J244</f>
        <v>557.28073180125</v>
      </c>
      <c r="V244" s="32" t="n">
        <f aca="false">V243*(1-F243)*(1-(1-(1-MIN(1,G243*(1-Assumptions!$B$23)))^(1/12)))</f>
        <v>0.643183104928429</v>
      </c>
      <c r="W244" s="47" t="n">
        <f aca="false">V244*(IF(C244&lt;Assumptions!$B$5,Assumptions!$B$12*(1+Assumptions!$B$11)^(INT(A244/12)+1)/12+Pricing_M!$B$13*IF(A244=0,Assumptions!$B$14*12,IF(A244&gt;=12,Assumptions!$B$15,0))-Pricing_M!$B$13,Assumptions!$B$9/12*(1+Assumptions!$B$10)^INT(A244/12)+Assumptions!$B$12*(1+Assumptions!$B$11)^(INT(A244/12)+1)/12))*J244</f>
        <v>678.477001429943</v>
      </c>
      <c r="X244" s="47" t="n">
        <f aca="false">I244*(IF(C244&lt;Assumptions!$B$5,Assumptions!$B$12*(1+Assumptions!$B$11)*(1+Assumptions!$B$24)*(1+Assumptions!$B$11+Assumptions!$B$25)^(INT(A244/12))/12+Pricing_M!$B$13*IF(A244=0,Assumptions!$B$14*12,IF(A244&gt;=12,Assumptions!$B$15,0))-Pricing_M!$B$13,Assumptions!$B$9/12*(1+Assumptions!$B$10)^INT(A244/12)+Assumptions!$B$12*(1+Assumptions!$B$11)*(1+Assumptions!$B$24)*(1+Assumptions!$B$11+Assumptions!$B$25)^(INT(A244/12))/12))*J244</f>
        <v>616.293098180925</v>
      </c>
    </row>
    <row r="245" customFormat="false" ht="15" hidden="false" customHeight="true" outlineLevel="0" collapsed="false">
      <c r="A245" s="1" t="n">
        <v>238</v>
      </c>
      <c r="B245" s="31" t="n">
        <f aca="false">Assumptions!$B$4+A245/12</f>
        <v>84.8333333333333</v>
      </c>
      <c r="C245" s="34" t="n">
        <f aca="false">Assumptions!$B$4+INT(A245/12)</f>
        <v>84</v>
      </c>
      <c r="D245" s="34" t="n">
        <f aca="false">INT(A245/12)+1</f>
        <v>20</v>
      </c>
      <c r="E245" s="32" t="n">
        <f aca="false">IFERROR(INDEX(Cohort_Survival!$G$5:$G$65,MATCH(C245,Cohort_Survival!$A$5:$A$65,0)),1)</f>
        <v>0.0429065995988382</v>
      </c>
      <c r="F245" s="30" t="n">
        <f aca="false">1-(1-MIN(1,E245))^(1/12)</f>
        <v>0.00364785495357878</v>
      </c>
      <c r="G245" s="39" t="n">
        <f aca="false">IF(C245&lt;Assumptions!$B$5,IF(D245=1,Assumptions!$B$16,IF(D245=2,Assumptions!$B$17,IF(D245&lt;=5,Assumptions!$B$18,Assumptions!$B$19)))*(1-Assumptions!$B$20),0)</f>
        <v>0</v>
      </c>
      <c r="H245" s="30" t="n">
        <f aca="false">1-(1-G245)^(1/12)</f>
        <v>0</v>
      </c>
      <c r="I245" s="30" t="n">
        <f aca="false">I244*(1-F244)*(1-H244)</f>
        <v>0.581053689726018</v>
      </c>
      <c r="J245" s="30" t="n">
        <f aca="false">INDEX(Discount_Monthly!$G$4:$G$664,MATCH(A245,Discount_Monthly!$A$4:$A$664,0))</f>
        <v>0.538625752002216</v>
      </c>
      <c r="K245" s="30" t="n">
        <f aca="false">IF(C245&lt;Assumptions!$B$5,I245*J245,0)</f>
        <v>0</v>
      </c>
      <c r="L245" s="30" t="n">
        <f aca="false">IF(C245&lt;Assumptions!$B$5,I245*(1-F245)*H245*A245*J245,0)</f>
        <v>0</v>
      </c>
      <c r="M245" s="30" t="n">
        <f aca="false">IF(A245=0,Assumptions!$B$14*12*I245*J245,IF(AND(A245&gt;=12,C245&lt;Assumptions!$B$5),Assumptions!$B$15*I245*J245,0))</f>
        <v>0</v>
      </c>
      <c r="N245" s="47" t="n">
        <f aca="false">IF(C245&gt;=Assumptions!$B$5,I245*Assumptions!$B$9/12*(1+Assumptions!$B$10)^INT(A245/12)*J245,0)</f>
        <v>607.918523711661</v>
      </c>
      <c r="O245" s="47" t="n">
        <f aca="false">I245*Assumptions!$B$12/12*(1+Assumptions!$B$11)^(INT(A245/12)+1)*J245</f>
        <v>3.41892383205204</v>
      </c>
      <c r="P245" s="47" t="n">
        <f aca="false">O245+Pricing_M!$B$13*M245+N245-Pricing_M!$B$13*K245</f>
        <v>611.337447543713</v>
      </c>
      <c r="Q245" s="47" t="n">
        <f aca="false">IF(C245&lt;Assumptions!$B$5,Pricing_M!$B$13*K245-Pricing_M!$B$13*M245-O245,-(N245+O245))</f>
        <v>-611.337447543713</v>
      </c>
      <c r="R245" s="32" t="n">
        <f aca="false">R244*(1-(1-(1-MIN(1,E244*(1-Assumptions!$B$21)))^(1/12)))*(1-H244)</f>
        <v>0.623362700200794</v>
      </c>
      <c r="S245" s="47" t="n">
        <f aca="false">R245*(IF(C245&lt;Assumptions!$B$5,Assumptions!$B$12*(1+Assumptions!$B$11)^(INT(A245/12)+1)/12+Pricing_M!$B$13*IF(A245=0,Assumptions!$B$14*12,IF(A245&gt;=12,Assumptions!$B$15,0))-Pricing_M!$B$13,Assumptions!$B$9/12*(1+Assumptions!$B$10)^INT(A245/12)+Assumptions!$B$12*(1+Assumptions!$B$11)^(INT(A245/12)+1)/12))*J245</f>
        <v>655.851548269837</v>
      </c>
      <c r="T245" s="32" t="n">
        <f aca="false">T244*(1-F244)*(1-(1-(1-MIN(1,G244*(1+Assumptions!$B$23)))^(1/12)))</f>
        <v>0.526364249691667</v>
      </c>
      <c r="U245" s="47" t="n">
        <f aca="false">T245*(IF(C245&lt;Assumptions!$B$5,Assumptions!$B$12*(1+Assumptions!$B$11)^(INT(A245/12)+1)/12+Pricing_M!$B$13*IF(A245=0,Assumptions!$B$14*12,IF(A245&gt;=12,Assumptions!$B$15,0))-Pricing_M!$B$13,Assumptions!$B$9/12*(1+Assumptions!$B$10)^INT(A245/12)+Assumptions!$B$12*(1+Assumptions!$B$11)^(INT(A245/12)+1)/12))*J245</f>
        <v>553.79766547304</v>
      </c>
      <c r="V245" s="32" t="n">
        <f aca="false">V244*(1-F244)*(1-(1-(1-MIN(1,G244*(1-Assumptions!$B$23)))^(1/12)))</f>
        <v>0.640836866253058</v>
      </c>
      <c r="W245" s="47" t="n">
        <f aca="false">V245*(IF(C245&lt;Assumptions!$B$5,Assumptions!$B$12*(1+Assumptions!$B$11)^(INT(A245/12)+1)/12+Pricing_M!$B$13*IF(A245=0,Assumptions!$B$14*12,IF(A245&gt;=12,Assumptions!$B$15,0))-Pricing_M!$B$13,Assumptions!$B$9/12*(1+Assumptions!$B$10)^INT(A245/12)+Assumptions!$B$12*(1+Assumptions!$B$11)^(INT(A245/12)+1)/12))*J245</f>
        <v>674.236444986323</v>
      </c>
      <c r="X245" s="47" t="n">
        <f aca="false">I245*(IF(C245&lt;Assumptions!$B$5,Assumptions!$B$12*(1+Assumptions!$B$11)*(1+Assumptions!$B$24)*(1+Assumptions!$B$11+Assumptions!$B$25)^(INT(A245/12))/12+Pricing_M!$B$13*IF(A245=0,Assumptions!$B$14*12,IF(A245&gt;=12,Assumptions!$B$15,0))-Pricing_M!$B$13,Assumptions!$B$9/12*(1+Assumptions!$B$10)^INT(A245/12)+Assumptions!$B$12*(1+Assumptions!$B$11)*(1+Assumptions!$B$24)*(1+Assumptions!$B$11+Assumptions!$B$25)^(INT(A245/12))/12))*J245</f>
        <v>612.441198023452</v>
      </c>
    </row>
    <row r="246" customFormat="false" ht="15" hidden="false" customHeight="true" outlineLevel="0" collapsed="false">
      <c r="A246" s="1" t="n">
        <v>239</v>
      </c>
      <c r="B246" s="31" t="n">
        <f aca="false">Assumptions!$B$4+A246/12</f>
        <v>84.9166666666667</v>
      </c>
      <c r="C246" s="34" t="n">
        <f aca="false">Assumptions!$B$4+INT(A246/12)</f>
        <v>84</v>
      </c>
      <c r="D246" s="34" t="n">
        <f aca="false">INT(A246/12)+1</f>
        <v>20</v>
      </c>
      <c r="E246" s="32" t="n">
        <f aca="false">IFERROR(INDEX(Cohort_Survival!$G$5:$G$65,MATCH(C246,Cohort_Survival!$A$5:$A$65,0)),1)</f>
        <v>0.0429065995988382</v>
      </c>
      <c r="F246" s="30" t="n">
        <f aca="false">1-(1-MIN(1,E246))^(1/12)</f>
        <v>0.00364785495357878</v>
      </c>
      <c r="G246" s="39" t="n">
        <f aca="false">IF(C246&lt;Assumptions!$B$5,IF(D246=1,Assumptions!$B$16,IF(D246=2,Assumptions!$B$17,IF(D246&lt;=5,Assumptions!$B$18,Assumptions!$B$19)))*(1-Assumptions!$B$20),0)</f>
        <v>0</v>
      </c>
      <c r="H246" s="30" t="n">
        <f aca="false">1-(1-G246)^(1/12)</f>
        <v>0</v>
      </c>
      <c r="I246" s="30" t="n">
        <f aca="false">I245*(1-F245)*(1-H245)</f>
        <v>0.578934090145656</v>
      </c>
      <c r="J246" s="30" t="n">
        <f aca="false">INDEX(Discount_Monthly!$G$4:$G$664,MATCH(A246,Discount_Monthly!$A$4:$A$664,0))</f>
        <v>0.537218978276042</v>
      </c>
      <c r="K246" s="30" t="n">
        <f aca="false">IF(C246&lt;Assumptions!$B$5,I246*J246,0)</f>
        <v>0</v>
      </c>
      <c r="L246" s="30" t="n">
        <f aca="false">IF(C246&lt;Assumptions!$B$5,I246*(1-F246)*H246*A246*J246,0)</f>
        <v>0</v>
      </c>
      <c r="M246" s="30" t="n">
        <f aca="false">IF(A246=0,Assumptions!$B$14*12*I246*J246,IF(AND(A246&gt;=12,C246&lt;Assumptions!$B$5),Assumptions!$B$15*I246*J246,0))</f>
        <v>0</v>
      </c>
      <c r="N246" s="47" t="n">
        <f aca="false">IF(C246&gt;=Assumptions!$B$5,I246*Assumptions!$B$9/12*(1+Assumptions!$B$10)^INT(A246/12)*J246,0)</f>
        <v>604.11896557264</v>
      </c>
      <c r="O246" s="47" t="n">
        <f aca="false">I246*Assumptions!$B$12/12*(1+Assumptions!$B$11)^(INT(A246/12)+1)*J246</f>
        <v>3.39755517923743</v>
      </c>
      <c r="P246" s="47" t="n">
        <f aca="false">O246+Pricing_M!$B$13*M246+N246-Pricing_M!$B$13*K246</f>
        <v>607.516520751877</v>
      </c>
      <c r="Q246" s="47" t="n">
        <f aca="false">IF(C246&lt;Assumptions!$B$5,Pricing_M!$B$13*K246-Pricing_M!$B$13*M246-O246,-(N246+O246))</f>
        <v>-607.516520751877</v>
      </c>
      <c r="R246" s="32" t="n">
        <f aca="false">R245*(1-(1-(1-MIN(1,E245*(1-Assumptions!$B$21)))^(1/12)))*(1-H245)</f>
        <v>0.621550925257315</v>
      </c>
      <c r="S246" s="47" t="n">
        <f aca="false">R246*(IF(C246&lt;Assumptions!$B$5,Assumptions!$B$12*(1+Assumptions!$B$11)^(INT(A246/12)+1)/12+Pricing_M!$B$13*IF(A246=0,Assumptions!$B$14*12,IF(A246&gt;=12,Assumptions!$B$15,0))-Pricing_M!$B$13,Assumptions!$B$9/12*(1+Assumptions!$B$10)^INT(A246/12)+Assumptions!$B$12*(1+Assumptions!$B$11)^(INT(A246/12)+1)/12))*J246</f>
        <v>652.237382475493</v>
      </c>
      <c r="T246" s="32" t="n">
        <f aca="false">T245*(1-F245)*(1-(1-(1-MIN(1,G245*(1+Assumptions!$B$23)))^(1/12)))</f>
        <v>0.524444149256042</v>
      </c>
      <c r="U246" s="47" t="n">
        <f aca="false">T246*(IF(C246&lt;Assumptions!$B$5,Assumptions!$B$12*(1+Assumptions!$B$11)^(INT(A246/12)+1)/12+Pricing_M!$B$13*IF(A246=0,Assumptions!$B$14*12,IF(A246&gt;=12,Assumptions!$B$15,0))-Pricing_M!$B$13,Assumptions!$B$9/12*(1+Assumptions!$B$10)^INT(A246/12)+Assumptions!$B$12*(1+Assumptions!$B$11)^(INT(A246/12)+1)/12))*J246</f>
        <v>550.336368695353</v>
      </c>
      <c r="V246" s="32" t="n">
        <f aca="false">V245*(1-F245)*(1-(1-(1-MIN(1,G245*(1-Assumptions!$B$23)))^(1/12)))</f>
        <v>0.638499186316061</v>
      </c>
      <c r="W246" s="47" t="n">
        <f aca="false">V246*(IF(C246&lt;Assumptions!$B$5,Assumptions!$B$12*(1+Assumptions!$B$11)^(INT(A246/12)+1)/12+Pricing_M!$B$13*IF(A246=0,Assumptions!$B$14*12,IF(A246&gt;=12,Assumptions!$B$15,0))-Pricing_M!$B$13,Assumptions!$B$9/12*(1+Assumptions!$B$10)^INT(A246/12)+Assumptions!$B$12*(1+Assumptions!$B$11)^(INT(A246/12)+1)/12))*J246</f>
        <v>670.022392490387</v>
      </c>
      <c r="X246" s="47" t="n">
        <f aca="false">I246*(IF(C246&lt;Assumptions!$B$5,Assumptions!$B$12*(1+Assumptions!$B$11)*(1+Assumptions!$B$24)*(1+Assumptions!$B$11+Assumptions!$B$25)^(INT(A246/12))/12+Pricing_M!$B$13*IF(A246=0,Assumptions!$B$14*12,IF(A246&gt;=12,Assumptions!$B$15,0))-Pricing_M!$B$13,Assumptions!$B$9/12*(1+Assumptions!$B$10)^INT(A246/12)+Assumptions!$B$12*(1+Assumptions!$B$11)*(1+Assumptions!$B$24)*(1+Assumptions!$B$11+Assumptions!$B$25)^(INT(A246/12))/12))*J246</f>
        <v>608.613372668806</v>
      </c>
    </row>
    <row r="247" customFormat="false" ht="15" hidden="false" customHeight="true" outlineLevel="0" collapsed="false">
      <c r="A247" s="1" t="n">
        <v>240</v>
      </c>
      <c r="B247" s="31" t="n">
        <f aca="false">Assumptions!$B$4+A247/12</f>
        <v>85</v>
      </c>
      <c r="C247" s="34" t="n">
        <f aca="false">Assumptions!$B$4+INT(A247/12)</f>
        <v>85</v>
      </c>
      <c r="D247" s="34" t="n">
        <f aca="false">INT(A247/12)+1</f>
        <v>21</v>
      </c>
      <c r="E247" s="32" t="n">
        <f aca="false">IFERROR(INDEX(Cohort_Survival!$G$5:$G$65,MATCH(C247,Cohort_Survival!$A$5:$A$65,0)),1)</f>
        <v>0.0496763446201301</v>
      </c>
      <c r="F247" s="30" t="n">
        <f aca="false">1-(1-MIN(1,E247))^(1/12)</f>
        <v>0.00423705346401848</v>
      </c>
      <c r="G247" s="39" t="n">
        <f aca="false">IF(C247&lt;Assumptions!$B$5,IF(D247=1,Assumptions!$B$16,IF(D247=2,Assumptions!$B$17,IF(D247&lt;=5,Assumptions!$B$18,Assumptions!$B$19)))*(1-Assumptions!$B$20),0)</f>
        <v>0</v>
      </c>
      <c r="H247" s="30" t="n">
        <f aca="false">1-(1-G247)^(1/12)</f>
        <v>0</v>
      </c>
      <c r="I247" s="30" t="n">
        <f aca="false">I246*(1-F246)*(1-H246)</f>
        <v>0.576822222557123</v>
      </c>
      <c r="J247" s="30" t="n">
        <f aca="false">INDEX(Discount_Monthly!$G$4:$G$664,MATCH(A247,Discount_Monthly!$A$4:$A$664,0))</f>
        <v>0.535815878737946</v>
      </c>
      <c r="K247" s="30" t="n">
        <f aca="false">IF(C247&lt;Assumptions!$B$5,I247*J247,0)</f>
        <v>0</v>
      </c>
      <c r="L247" s="30" t="n">
        <f aca="false">IF(C247&lt;Assumptions!$B$5,I247*(1-F247)*H247*A247*J247,0)</f>
        <v>0</v>
      </c>
      <c r="M247" s="30" t="n">
        <f aca="false">IF(A247=0,Assumptions!$B$14*12*I247*J247,IF(AND(A247&gt;=12,C247&lt;Assumptions!$B$5),Assumptions!$B$15*I247*J247,0))</f>
        <v>0</v>
      </c>
      <c r="N247" s="47" t="n">
        <f aca="false">IF(C247&gt;=Assumptions!$B$5,I247*Assumptions!$B$9/12*(1+Assumptions!$B$10)^INT(A247/12)*J247,0)</f>
        <v>612.350018194892</v>
      </c>
      <c r="O247" s="47" t="n">
        <f aca="false">I247*Assumptions!$B$12/12*(1+Assumptions!$B$11)^(INT(A247/12)+1)*J247</f>
        <v>3.46072808494262</v>
      </c>
      <c r="P247" s="47" t="n">
        <f aca="false">O247+Pricing_M!$B$13*M247+N247-Pricing_M!$B$13*K247</f>
        <v>615.810746279835</v>
      </c>
      <c r="Q247" s="47" t="n">
        <f aca="false">IF(C247&lt;Assumptions!$B$5,Pricing_M!$B$13*K247-Pricing_M!$B$13*M247-O247,-(N247+O247))</f>
        <v>-615.810746279835</v>
      </c>
      <c r="R247" s="32" t="n">
        <f aca="false">R246*(1-(1-(1-MIN(1,E246*(1-Assumptions!$B$21)))^(1/12)))*(1-H246)</f>
        <v>0.619744416154163</v>
      </c>
      <c r="S247" s="47" t="n">
        <f aca="false">R247*(IF(C247&lt;Assumptions!$B$5,Assumptions!$B$12*(1+Assumptions!$B$11)^(INT(A247/12)+1)/12+Pricing_M!$B$13*IF(A247=0,Assumptions!$B$14*12,IF(A247&gt;=12,Assumptions!$B$15,0))-Pricing_M!$B$13,Assumptions!$B$9/12*(1+Assumptions!$B$10)^INT(A247/12)+Assumptions!$B$12*(1+Assumptions!$B$11)^(INT(A247/12)+1)/12))*J247</f>
        <v>661.634133516521</v>
      </c>
      <c r="T247" s="32" t="n">
        <f aca="false">T246*(1-F246)*(1-(1-(1-MIN(1,G246*(1+Assumptions!$B$23)))^(1/12)))</f>
        <v>0.522531053068303</v>
      </c>
      <c r="U247" s="47" t="n">
        <f aca="false">T247*(IF(C247&lt;Assumptions!$B$5,Assumptions!$B$12*(1+Assumptions!$B$11)^(INT(A247/12)+1)/12+Pricing_M!$B$13*IF(A247=0,Assumptions!$B$14*12,IF(A247&gt;=12,Assumptions!$B$15,0))-Pricing_M!$B$13,Assumptions!$B$9/12*(1+Assumptions!$B$10)^INT(A247/12)+Assumptions!$B$12*(1+Assumptions!$B$11)^(INT(A247/12)+1)/12))*J247</f>
        <v>557.849932199021</v>
      </c>
      <c r="V247" s="32" t="n">
        <f aca="false">V246*(1-F246)*(1-(1-(1-MIN(1,G246*(1-Assumptions!$B$23)))^(1/12)))</f>
        <v>0.636170033896402</v>
      </c>
      <c r="W247" s="47" t="n">
        <f aca="false">V247*(IF(C247&lt;Assumptions!$B$5,Assumptions!$B$12*(1+Assumptions!$B$11)^(INT(A247/12)+1)/12+Pricing_M!$B$13*IF(A247=0,Assumptions!$B$14*12,IF(A247&gt;=12,Assumptions!$B$15,0))-Pricing_M!$B$13,Assumptions!$B$9/12*(1+Assumptions!$B$10)^INT(A247/12)+Assumptions!$B$12*(1+Assumptions!$B$11)^(INT(A247/12)+1)/12))*J247</f>
        <v>679.169990361831</v>
      </c>
      <c r="X247" s="47" t="n">
        <f aca="false">I247*(IF(C247&lt;Assumptions!$B$5,Assumptions!$B$12*(1+Assumptions!$B$11)*(1+Assumptions!$B$24)*(1+Assumptions!$B$11+Assumptions!$B$25)^(INT(A247/12))/12+Pricing_M!$B$13*IF(A247=0,Assumptions!$B$14*12,IF(A247&gt;=12,Assumptions!$B$15,0))-Pricing_M!$B$13,Assumptions!$B$9/12*(1+Assumptions!$B$10)^INT(A247/12)+Assumptions!$B$12*(1+Assumptions!$B$11)*(1+Assumptions!$B$24)*(1+Assumptions!$B$11+Assumptions!$B$25)^(INT(A247/12))/12))*J247</f>
        <v>616.972655828047</v>
      </c>
    </row>
    <row r="248" customFormat="false" ht="15" hidden="false" customHeight="true" outlineLevel="0" collapsed="false">
      <c r="A248" s="1" t="n">
        <v>241</v>
      </c>
      <c r="B248" s="31" t="n">
        <f aca="false">Assumptions!$B$4+A248/12</f>
        <v>85.0833333333333</v>
      </c>
      <c r="C248" s="34" t="n">
        <f aca="false">Assumptions!$B$4+INT(A248/12)</f>
        <v>85</v>
      </c>
      <c r="D248" s="34" t="n">
        <f aca="false">INT(A248/12)+1</f>
        <v>21</v>
      </c>
      <c r="E248" s="32" t="n">
        <f aca="false">IFERROR(INDEX(Cohort_Survival!$G$5:$G$65,MATCH(C248,Cohort_Survival!$A$5:$A$65,0)),1)</f>
        <v>0.0496763446201301</v>
      </c>
      <c r="F248" s="30" t="n">
        <f aca="false">1-(1-MIN(1,E248))^(1/12)</f>
        <v>0.00423705346401848</v>
      </c>
      <c r="G248" s="39" t="n">
        <f aca="false">IF(C248&lt;Assumptions!$B$5,IF(D248=1,Assumptions!$B$16,IF(D248=2,Assumptions!$B$17,IF(D248&lt;=5,Assumptions!$B$18,Assumptions!$B$19)))*(1-Assumptions!$B$20),0)</f>
        <v>0</v>
      </c>
      <c r="H248" s="30" t="n">
        <f aca="false">1-(1-G248)^(1/12)</f>
        <v>0</v>
      </c>
      <c r="I248" s="30" t="n">
        <f aca="false">I247*(1-F247)*(1-H247)</f>
        <v>0.574378195960914</v>
      </c>
      <c r="J248" s="30" t="n">
        <f aca="false">INDEX(Discount_Monthly!$G$4:$G$664,MATCH(A248,Discount_Monthly!$A$4:$A$664,0))</f>
        <v>0.534415580541137</v>
      </c>
      <c r="K248" s="30" t="n">
        <f aca="false">IF(C248&lt;Assumptions!$B$5,I248*J248,0)</f>
        <v>0</v>
      </c>
      <c r="L248" s="30" t="n">
        <f aca="false">IF(C248&lt;Assumptions!$B$5,I248*(1-F248)*H248*A248*J248,0)</f>
        <v>0</v>
      </c>
      <c r="M248" s="30" t="n">
        <f aca="false">IF(A248=0,Assumptions!$B$14*12*I248*J248,IF(AND(A248&gt;=12,C248&lt;Assumptions!$B$5),Assumptions!$B$15*I248*J248,0))</f>
        <v>0</v>
      </c>
      <c r="N248" s="47" t="n">
        <f aca="false">IF(C248&gt;=Assumptions!$B$5,I248*Assumptions!$B$9/12*(1+Assumptions!$B$10)^INT(A248/12)*J248,0)</f>
        <v>608.161926951571</v>
      </c>
      <c r="O248" s="47" t="n">
        <f aca="false">I248*Assumptions!$B$12/12*(1+Assumptions!$B$11)^(INT(A248/12)+1)*J248</f>
        <v>3.43705886871431</v>
      </c>
      <c r="P248" s="47" t="n">
        <f aca="false">O248+Pricing_M!$B$13*M248+N248-Pricing_M!$B$13*K248</f>
        <v>611.598985820285</v>
      </c>
      <c r="Q248" s="47" t="n">
        <f aca="false">IF(C248&lt;Assumptions!$B$5,Pricing_M!$B$13*K248-Pricing_M!$B$13*M248-O248,-(N248+O248))</f>
        <v>-611.598985820285</v>
      </c>
      <c r="R248" s="32" t="n">
        <f aca="false">R247*(1-(1-(1-MIN(1,E247*(1-Assumptions!$B$21)))^(1/12)))*(1-H247)</f>
        <v>0.617653611544008</v>
      </c>
      <c r="S248" s="47" t="n">
        <f aca="false">R248*(IF(C248&lt;Assumptions!$B$5,Assumptions!$B$12*(1+Assumptions!$B$11)^(INT(A248/12)+1)/12+Pricing_M!$B$13*IF(A248=0,Assumptions!$B$14*12,IF(A248&gt;=12,Assumptions!$B$15,0))-Pricing_M!$B$13,Assumptions!$B$9/12*(1+Assumptions!$B$10)^INT(A248/12)+Assumptions!$B$12*(1+Assumptions!$B$11)^(INT(A248/12)+1)/12))*J248</f>
        <v>657.678729911708</v>
      </c>
      <c r="T248" s="32" t="n">
        <f aca="false">T247*(1-F247)*(1-(1-(1-MIN(1,G247*(1+Assumptions!$B$23)))^(1/12)))</f>
        <v>0.520317061059843</v>
      </c>
      <c r="U248" s="47" t="n">
        <f aca="false">T248*(IF(C248&lt;Assumptions!$B$5,Assumptions!$B$12*(1+Assumptions!$B$11)^(INT(A248/12)+1)/12+Pricing_M!$B$13*IF(A248=0,Assumptions!$B$14*12,IF(A248&gt;=12,Assumptions!$B$15,0))-Pricing_M!$B$13,Assumptions!$B$9/12*(1+Assumptions!$B$10)^INT(A248/12)+Assumptions!$B$12*(1+Assumptions!$B$11)^(INT(A248/12)+1)/12))*J248</f>
        <v>554.034587466907</v>
      </c>
      <c r="V248" s="32" t="n">
        <f aca="false">V247*(1-F247)*(1-(1-(1-MIN(1,G247*(1-Assumptions!$B$23)))^(1/12)))</f>
        <v>0.633474547450576</v>
      </c>
      <c r="W248" s="47" t="n">
        <f aca="false">V248*(IF(C248&lt;Assumptions!$B$5,Assumptions!$B$12*(1+Assumptions!$B$11)^(INT(A248/12)+1)/12+Pricing_M!$B$13*IF(A248=0,Assumptions!$B$14*12,IF(A248&gt;=12,Assumptions!$B$15,0))-Pricing_M!$B$13,Assumptions!$B$9/12*(1+Assumptions!$B$10)^INT(A248/12)+Assumptions!$B$12*(1+Assumptions!$B$11)^(INT(A248/12)+1)/12))*J248</f>
        <v>674.524892289088</v>
      </c>
      <c r="X248" s="47" t="n">
        <f aca="false">I248*(IF(C248&lt;Assumptions!$B$5,Assumptions!$B$12*(1+Assumptions!$B$11)*(1+Assumptions!$B$24)*(1+Assumptions!$B$11+Assumptions!$B$25)^(INT(A248/12))/12+Pricing_M!$B$13*IF(A248=0,Assumptions!$B$14*12,IF(A248&gt;=12,Assumptions!$B$15,0))-Pricing_M!$B$13,Assumptions!$B$9/12*(1+Assumptions!$B$10)^INT(A248/12)+Assumptions!$B$12*(1+Assumptions!$B$11)*(1+Assumptions!$B$24)*(1+Assumptions!$B$11+Assumptions!$B$25)^(INT(A248/12))/12))*J248</f>
        <v>612.752948633689</v>
      </c>
    </row>
    <row r="249" customFormat="false" ht="15" hidden="false" customHeight="true" outlineLevel="0" collapsed="false">
      <c r="A249" s="1" t="n">
        <v>242</v>
      </c>
      <c r="B249" s="31" t="n">
        <f aca="false">Assumptions!$B$4+A249/12</f>
        <v>85.1666666666667</v>
      </c>
      <c r="C249" s="34" t="n">
        <f aca="false">Assumptions!$B$4+INT(A249/12)</f>
        <v>85</v>
      </c>
      <c r="D249" s="34" t="n">
        <f aca="false">INT(A249/12)+1</f>
        <v>21</v>
      </c>
      <c r="E249" s="32" t="n">
        <f aca="false">IFERROR(INDEX(Cohort_Survival!$G$5:$G$65,MATCH(C249,Cohort_Survival!$A$5:$A$65,0)),1)</f>
        <v>0.0496763446201301</v>
      </c>
      <c r="F249" s="30" t="n">
        <f aca="false">1-(1-MIN(1,E249))^(1/12)</f>
        <v>0.00423705346401848</v>
      </c>
      <c r="G249" s="39" t="n">
        <f aca="false">IF(C249&lt;Assumptions!$B$5,IF(D249=1,Assumptions!$B$16,IF(D249=2,Assumptions!$B$17,IF(D249&lt;=5,Assumptions!$B$18,Assumptions!$B$19)))*(1-Assumptions!$B$20),0)</f>
        <v>0</v>
      </c>
      <c r="H249" s="30" t="n">
        <f aca="false">1-(1-G249)^(1/12)</f>
        <v>0</v>
      </c>
      <c r="I249" s="30" t="n">
        <f aca="false">I248*(1-F248)*(1-H248)</f>
        <v>0.571944524836061</v>
      </c>
      <c r="J249" s="30" t="n">
        <f aca="false">INDEX(Discount_Monthly!$G$4:$G$664,MATCH(A249,Discount_Monthly!$A$4:$A$664,0))</f>
        <v>0.533018941875741</v>
      </c>
      <c r="K249" s="30" t="n">
        <f aca="false">IF(C249&lt;Assumptions!$B$5,I249*J249,0)</f>
        <v>0</v>
      </c>
      <c r="L249" s="30" t="n">
        <f aca="false">IF(C249&lt;Assumptions!$B$5,I249*(1-F249)*H249*A249*J249,0)</f>
        <v>0</v>
      </c>
      <c r="M249" s="30" t="n">
        <f aca="false">IF(A249=0,Assumptions!$B$14*12*I249*J249,IF(AND(A249&gt;=12,C249&lt;Assumptions!$B$5),Assumptions!$B$15*I249*J249,0))</f>
        <v>0</v>
      </c>
      <c r="N249" s="47" t="n">
        <f aca="false">IF(C249&gt;=Assumptions!$B$5,I249*Assumptions!$B$9/12*(1+Assumptions!$B$10)^INT(A249/12)*J249,0)</f>
        <v>604.002479633687</v>
      </c>
      <c r="O249" s="47" t="n">
        <f aca="false">I249*Assumptions!$B$12/12*(1+Assumptions!$B$11)^(INT(A249/12)+1)*J249</f>
        <v>3.41355153512547</v>
      </c>
      <c r="P249" s="47" t="n">
        <f aca="false">O249+Pricing_M!$B$13*M249+N249-Pricing_M!$B$13*K249</f>
        <v>607.416031168812</v>
      </c>
      <c r="Q249" s="47" t="n">
        <f aca="false">IF(C249&lt;Assumptions!$B$5,Pricing_M!$B$13*K249-Pricing_M!$B$13*M249-O249,-(N249+O249))</f>
        <v>-607.416031168812</v>
      </c>
      <c r="R249" s="32" t="n">
        <f aca="false">R248*(1-(1-(1-MIN(1,E248*(1-Assumptions!$B$21)))^(1/12)))*(1-H248)</f>
        <v>0.615569860589851</v>
      </c>
      <c r="S249" s="47" t="n">
        <f aca="false">R249*(IF(C249&lt;Assumptions!$B$5,Assumptions!$B$12*(1+Assumptions!$B$11)^(INT(A249/12)+1)/12+Pricing_M!$B$13*IF(A249=0,Assumptions!$B$14*12,IF(A249&gt;=12,Assumptions!$B$15,0))-Pricing_M!$B$13,Assumptions!$B$9/12*(1+Assumptions!$B$10)^INT(A249/12)+Assumptions!$B$12*(1+Assumptions!$B$11)^(INT(A249/12)+1)/12))*J249</f>
        <v>653.746972634804</v>
      </c>
      <c r="T249" s="32" t="n">
        <f aca="false">T248*(1-F248)*(1-(1-(1-MIN(1,G248*(1+Assumptions!$B$23)))^(1/12)))</f>
        <v>0.518112449853891</v>
      </c>
      <c r="U249" s="47" t="n">
        <f aca="false">T249*(IF(C249&lt;Assumptions!$B$5,Assumptions!$B$12*(1+Assumptions!$B$11)^(INT(A249/12)+1)/12+Pricing_M!$B$13*IF(A249=0,Assumptions!$B$14*12,IF(A249&gt;=12,Assumptions!$B$15,0))-Pricing_M!$B$13,Assumptions!$B$9/12*(1+Assumptions!$B$10)^INT(A249/12)+Assumptions!$B$12*(1+Assumptions!$B$11)^(INT(A249/12)+1)/12))*J249</f>
        <v>550.245337307158</v>
      </c>
      <c r="V249" s="32" t="n">
        <f aca="false">V248*(1-F248)*(1-(1-(1-MIN(1,G248*(1-Assumptions!$B$23)))^(1/12)))</f>
        <v>0.630790481924933</v>
      </c>
      <c r="W249" s="47" t="n">
        <f aca="false">V249*(IF(C249&lt;Assumptions!$B$5,Assumptions!$B$12*(1+Assumptions!$B$11)^(INT(A249/12)+1)/12+Pricing_M!$B$13*IF(A249=0,Assumptions!$B$14*12,IF(A249&gt;=12,Assumptions!$B$15,0))-Pricing_M!$B$13,Assumptions!$B$9/12*(1+Assumptions!$B$10)^INT(A249/12)+Assumptions!$B$12*(1+Assumptions!$B$11)^(INT(A249/12)+1)/12))*J249</f>
        <v>669.911563782746</v>
      </c>
      <c r="X249" s="47" t="n">
        <f aca="false">I249*(IF(C249&lt;Assumptions!$B$5,Assumptions!$B$12*(1+Assumptions!$B$11)*(1+Assumptions!$B$24)*(1+Assumptions!$B$11+Assumptions!$B$25)^(INT(A249/12))/12+Pricing_M!$B$13*IF(A249=0,Assumptions!$B$14*12,IF(A249&gt;=12,Assumptions!$B$15,0))-Pricing_M!$B$13,Assumptions!$B$9/12*(1+Assumptions!$B$10)^INT(A249/12)+Assumptions!$B$12*(1+Assumptions!$B$11)*(1+Assumptions!$B$24)*(1+Assumptions!$B$11+Assumptions!$B$25)^(INT(A249/12))/12))*J249</f>
        <v>608.562101598105</v>
      </c>
    </row>
    <row r="250" customFormat="false" ht="15" hidden="false" customHeight="true" outlineLevel="0" collapsed="false">
      <c r="A250" s="1" t="n">
        <v>243</v>
      </c>
      <c r="B250" s="31" t="n">
        <f aca="false">Assumptions!$B$4+A250/12</f>
        <v>85.25</v>
      </c>
      <c r="C250" s="34" t="n">
        <f aca="false">Assumptions!$B$4+INT(A250/12)</f>
        <v>85</v>
      </c>
      <c r="D250" s="34" t="n">
        <f aca="false">INT(A250/12)+1</f>
        <v>21</v>
      </c>
      <c r="E250" s="32" t="n">
        <f aca="false">IFERROR(INDEX(Cohort_Survival!$G$5:$G$65,MATCH(C250,Cohort_Survival!$A$5:$A$65,0)),1)</f>
        <v>0.0496763446201301</v>
      </c>
      <c r="F250" s="30" t="n">
        <f aca="false">1-(1-MIN(1,E250))^(1/12)</f>
        <v>0.00423705346401848</v>
      </c>
      <c r="G250" s="39" t="n">
        <f aca="false">IF(C250&lt;Assumptions!$B$5,IF(D250=1,Assumptions!$B$16,IF(D250=2,Assumptions!$B$17,IF(D250&lt;=5,Assumptions!$B$18,Assumptions!$B$19)))*(1-Assumptions!$B$20),0)</f>
        <v>0</v>
      </c>
      <c r="H250" s="30" t="n">
        <f aca="false">1-(1-G250)^(1/12)</f>
        <v>0</v>
      </c>
      <c r="I250" s="30" t="n">
        <f aca="false">I249*(1-F249)*(1-H249)</f>
        <v>0.569521165305878</v>
      </c>
      <c r="J250" s="30" t="n">
        <f aca="false">INDEX(Discount_Monthly!$G$4:$G$664,MATCH(A250,Discount_Monthly!$A$4:$A$664,0))</f>
        <v>0.53162595317796</v>
      </c>
      <c r="K250" s="30" t="n">
        <f aca="false">IF(C250&lt;Assumptions!$B$5,I250*J250,0)</f>
        <v>0</v>
      </c>
      <c r="L250" s="30" t="n">
        <f aca="false">IF(C250&lt;Assumptions!$B$5,I250*(1-F250)*H250*A250*J250,0)</f>
        <v>0</v>
      </c>
      <c r="M250" s="30" t="n">
        <f aca="false">IF(A250=0,Assumptions!$B$14*12*I250*J250,IF(AND(A250&gt;=12,C250&lt;Assumptions!$B$5),Assumptions!$B$15*I250*J250,0))</f>
        <v>0</v>
      </c>
      <c r="N250" s="47" t="n">
        <f aca="false">IF(C250&gt;=Assumptions!$B$5,I250*Assumptions!$B$9/12*(1+Assumptions!$B$10)^INT(A250/12)*J250,0)</f>
        <v>599.8714803347</v>
      </c>
      <c r="O250" s="47" t="n">
        <f aca="false">I250*Assumptions!$B$12/12*(1+Assumptions!$B$11)^(INT(A250/12)+1)*J250</f>
        <v>3.39020497700006</v>
      </c>
      <c r="P250" s="47" t="n">
        <f aca="false">O250+Pricing_M!$B$13*M250+N250-Pricing_M!$B$13*K250</f>
        <v>603.2616853117</v>
      </c>
      <c r="Q250" s="47" t="n">
        <f aca="false">IF(C250&lt;Assumptions!$B$5,Pricing_M!$B$13*K250-Pricing_M!$B$13*M250-O250,-(N250+O250))</f>
        <v>-603.2616853117</v>
      </c>
      <c r="R250" s="32" t="n">
        <f aca="false">R249*(1-(1-(1-MIN(1,E249*(1-Assumptions!$B$21)))^(1/12)))*(1-H249)</f>
        <v>0.613493139495081</v>
      </c>
      <c r="S250" s="47" t="n">
        <f aca="false">R250*(IF(C250&lt;Assumptions!$B$5,Assumptions!$B$12*(1+Assumptions!$B$11)^(INT(A250/12)+1)/12+Pricing_M!$B$13*IF(A250=0,Assumptions!$B$14*12,IF(A250&gt;=12,Assumptions!$B$15,0))-Pricing_M!$B$13,Assumptions!$B$9/12*(1+Assumptions!$B$10)^INT(A250/12)+Assumptions!$B$12*(1+Assumptions!$B$11)^(INT(A250/12)+1)/12))*J250</f>
        <v>649.83872032253</v>
      </c>
      <c r="T250" s="32" t="n">
        <f aca="false">T249*(1-F249)*(1-(1-(1-MIN(1,G249*(1+Assumptions!$B$23)))^(1/12)))</f>
        <v>0.515917179703487</v>
      </c>
      <c r="U250" s="47" t="n">
        <f aca="false">T250*(IF(C250&lt;Assumptions!$B$5,Assumptions!$B$12*(1+Assumptions!$B$11)^(INT(A250/12)+1)/12+Pricing_M!$B$13*IF(A250=0,Assumptions!$B$14*12,IF(A250&gt;=12,Assumptions!$B$15,0))-Pricing_M!$B$13,Assumptions!$B$9/12*(1+Assumptions!$B$10)^INT(A250/12)+Assumptions!$B$12*(1+Assumptions!$B$11)^(INT(A250/12)+1)/12))*J250</f>
        <v>546.482003249216</v>
      </c>
      <c r="V250" s="32" t="n">
        <f aca="false">V249*(1-F249)*(1-(1-(1-MIN(1,G249*(1-Assumptions!$B$23)))^(1/12)))</f>
        <v>0.628117788928423</v>
      </c>
      <c r="W250" s="47" t="n">
        <f aca="false">V250*(IF(C250&lt;Assumptions!$B$5,Assumptions!$B$12*(1+Assumptions!$B$11)^(INT(A250/12)+1)/12+Pricing_M!$B$13*IF(A250=0,Assumptions!$B$14*12,IF(A250&gt;=12,Assumptions!$B$15,0))-Pricing_M!$B$13,Assumptions!$B$9/12*(1+Assumptions!$B$10)^INT(A250/12)+Assumptions!$B$12*(1+Assumptions!$B$11)^(INT(A250/12)+1)/12))*J250</f>
        <v>665.329787558833</v>
      </c>
      <c r="X250" s="47" t="n">
        <f aca="false">I250*(IF(C250&lt;Assumptions!$B$5,Assumptions!$B$12*(1+Assumptions!$B$11)*(1+Assumptions!$B$24)*(1+Assumptions!$B$11+Assumptions!$B$25)^(INT(A250/12))/12+Pricing_M!$B$13*IF(A250=0,Assumptions!$B$14*12,IF(A250&gt;=12,Assumptions!$B$15,0))-Pricing_M!$B$13,Assumptions!$B$9/12*(1+Assumptions!$B$10)^INT(A250/12)+Assumptions!$B$12*(1+Assumptions!$B$11)*(1+Assumptions!$B$24)*(1+Assumptions!$B$11+Assumptions!$B$25)^(INT(A250/12))/12))*J250</f>
        <v>604.399917335854</v>
      </c>
    </row>
    <row r="251" customFormat="false" ht="15" hidden="false" customHeight="true" outlineLevel="0" collapsed="false">
      <c r="A251" s="1" t="n">
        <v>244</v>
      </c>
      <c r="B251" s="31" t="n">
        <f aca="false">Assumptions!$B$4+A251/12</f>
        <v>85.3333333333333</v>
      </c>
      <c r="C251" s="34" t="n">
        <f aca="false">Assumptions!$B$4+INT(A251/12)</f>
        <v>85</v>
      </c>
      <c r="D251" s="34" t="n">
        <f aca="false">INT(A251/12)+1</f>
        <v>21</v>
      </c>
      <c r="E251" s="32" t="n">
        <f aca="false">IFERROR(INDEX(Cohort_Survival!$G$5:$G$65,MATCH(C251,Cohort_Survival!$A$5:$A$65,0)),1)</f>
        <v>0.0496763446201301</v>
      </c>
      <c r="F251" s="30" t="n">
        <f aca="false">1-(1-MIN(1,E251))^(1/12)</f>
        <v>0.00423705346401848</v>
      </c>
      <c r="G251" s="39" t="n">
        <f aca="false">IF(C251&lt;Assumptions!$B$5,IF(D251=1,Assumptions!$B$16,IF(D251=2,Assumptions!$B$17,IF(D251&lt;=5,Assumptions!$B$18,Assumptions!$B$19)))*(1-Assumptions!$B$20),0)</f>
        <v>0</v>
      </c>
      <c r="H251" s="30" t="n">
        <f aca="false">1-(1-G251)^(1/12)</f>
        <v>0</v>
      </c>
      <c r="I251" s="30" t="n">
        <f aca="false">I250*(1-F250)*(1-H250)</f>
        <v>0.567108073679587</v>
      </c>
      <c r="J251" s="30" t="n">
        <f aca="false">INDEX(Discount_Monthly!$G$4:$G$664,MATCH(A251,Discount_Monthly!$A$4:$A$664,0))</f>
        <v>0.530236604908988</v>
      </c>
      <c r="K251" s="30" t="n">
        <f aca="false">IF(C251&lt;Assumptions!$B$5,I251*J251,0)</f>
        <v>0</v>
      </c>
      <c r="L251" s="30" t="n">
        <f aca="false">IF(C251&lt;Assumptions!$B$5,I251*(1-F251)*H251*A251*J251,0)</f>
        <v>0</v>
      </c>
      <c r="M251" s="30" t="n">
        <f aca="false">IF(A251=0,Assumptions!$B$14*12*I251*J251,IF(AND(A251&gt;=12,C251&lt;Assumptions!$B$5),Assumptions!$B$15*I251*J251,0))</f>
        <v>0</v>
      </c>
      <c r="N251" s="47" t="n">
        <f aca="false">IF(C251&gt;=Assumptions!$B$5,I251*Assumptions!$B$9/12*(1+Assumptions!$B$10)^INT(A251/12)*J251,0)</f>
        <v>595.768734487947</v>
      </c>
      <c r="O251" s="47" t="n">
        <f aca="false">I251*Assumptions!$B$12/12*(1+Assumptions!$B$11)^(INT(A251/12)+1)*J251</f>
        <v>3.36701809473444</v>
      </c>
      <c r="P251" s="47" t="n">
        <f aca="false">O251+Pricing_M!$B$13*M251+N251-Pricing_M!$B$13*K251</f>
        <v>599.135752582682</v>
      </c>
      <c r="Q251" s="47" t="n">
        <f aca="false">IF(C251&lt;Assumptions!$B$5,Pricing_M!$B$13*K251-Pricing_M!$B$13*M251-O251,-(N251+O251))</f>
        <v>-599.135752582682</v>
      </c>
      <c r="R251" s="32" t="n">
        <f aca="false">R250*(1-(1-(1-MIN(1,E250*(1-Assumptions!$B$21)))^(1/12)))*(1-H250)</f>
        <v>0.611423424543368</v>
      </c>
      <c r="S251" s="47" t="n">
        <f aca="false">R251*(IF(C251&lt;Assumptions!$B$5,Assumptions!$B$12*(1+Assumptions!$B$11)^(INT(A251/12)+1)/12+Pricing_M!$B$13*IF(A251=0,Assumptions!$B$14*12,IF(A251&gt;=12,Assumptions!$B$15,0))-Pricing_M!$B$13,Assumptions!$B$9/12*(1+Assumptions!$B$10)^INT(A251/12)+Assumptions!$B$12*(1+Assumptions!$B$11)^(INT(A251/12)+1)/12))*J251</f>
        <v>645.95383245671</v>
      </c>
      <c r="T251" s="32" t="n">
        <f aca="false">T250*(1-F250)*(1-(1-(1-MIN(1,G250*(1+Assumptions!$B$23)))^(1/12)))</f>
        <v>0.513731211030077</v>
      </c>
      <c r="U251" s="47" t="n">
        <f aca="false">T251*(IF(C251&lt;Assumptions!$B$5,Assumptions!$B$12*(1+Assumptions!$B$11)^(INT(A251/12)+1)/12+Pricing_M!$B$13*IF(A251=0,Assumptions!$B$14*12,IF(A251&gt;=12,Assumptions!$B$15,0))-Pricing_M!$B$13,Assumptions!$B$9/12*(1+Assumptions!$B$10)^INT(A251/12)+Assumptions!$B$12*(1+Assumptions!$B$11)^(INT(A251/12)+1)/12))*J251</f>
        <v>542.744408043149</v>
      </c>
      <c r="V251" s="32" t="n">
        <f aca="false">V250*(1-F250)*(1-(1-(1-MIN(1,G250*(1-Assumptions!$B$23)))^(1/12)))</f>
        <v>0.625456420275032</v>
      </c>
      <c r="W251" s="47" t="n">
        <f aca="false">V251*(IF(C251&lt;Assumptions!$B$5,Assumptions!$B$12*(1+Assumptions!$B$11)^(INT(A251/12)+1)/12+Pricing_M!$B$13*IF(A251=0,Assumptions!$B$14*12,IF(A251&gt;=12,Assumptions!$B$15,0))-Pricing_M!$B$13,Assumptions!$B$9/12*(1+Assumptions!$B$10)^INT(A251/12)+Assumptions!$B$12*(1+Assumptions!$B$11)^(INT(A251/12)+1)/12))*J251</f>
        <v>660.779347819467</v>
      </c>
      <c r="X251" s="47" t="n">
        <f aca="false">I251*(IF(C251&lt;Assumptions!$B$5,Assumptions!$B$12*(1+Assumptions!$B$11)*(1+Assumptions!$B$24)*(1+Assumptions!$B$11+Assumptions!$B$25)^(INT(A251/12))/12+Pricing_M!$B$13*IF(A251=0,Assumptions!$B$14*12,IF(A251&gt;=12,Assumptions!$B$15,0))-Pricing_M!$B$13,Assumptions!$B$9/12*(1+Assumptions!$B$10)^INT(A251/12)+Assumptions!$B$12*(1+Assumptions!$B$11)*(1+Assumptions!$B$24)*(1+Assumptions!$B$11+Assumptions!$B$25)^(INT(A251/12))/12))*J251</f>
        <v>600.266199811488</v>
      </c>
    </row>
    <row r="252" customFormat="false" ht="15" hidden="false" customHeight="true" outlineLevel="0" collapsed="false">
      <c r="A252" s="1" t="n">
        <v>245</v>
      </c>
      <c r="B252" s="31" t="n">
        <f aca="false">Assumptions!$B$4+A252/12</f>
        <v>85.4166666666667</v>
      </c>
      <c r="C252" s="34" t="n">
        <f aca="false">Assumptions!$B$4+INT(A252/12)</f>
        <v>85</v>
      </c>
      <c r="D252" s="34" t="n">
        <f aca="false">INT(A252/12)+1</f>
        <v>21</v>
      </c>
      <c r="E252" s="32" t="n">
        <f aca="false">IFERROR(INDEX(Cohort_Survival!$G$5:$G$65,MATCH(C252,Cohort_Survival!$A$5:$A$65,0)),1)</f>
        <v>0.0496763446201301</v>
      </c>
      <c r="F252" s="30" t="n">
        <f aca="false">1-(1-MIN(1,E252))^(1/12)</f>
        <v>0.00423705346401848</v>
      </c>
      <c r="G252" s="39" t="n">
        <f aca="false">IF(C252&lt;Assumptions!$B$5,IF(D252=1,Assumptions!$B$16,IF(D252=2,Assumptions!$B$17,IF(D252&lt;=5,Assumptions!$B$18,Assumptions!$B$19)))*(1-Assumptions!$B$20),0)</f>
        <v>0</v>
      </c>
      <c r="H252" s="30" t="n">
        <f aca="false">1-(1-G252)^(1/12)</f>
        <v>0</v>
      </c>
      <c r="I252" s="30" t="n">
        <f aca="false">I251*(1-F251)*(1-H251)</f>
        <v>0.56470520645153</v>
      </c>
      <c r="J252" s="30" t="n">
        <f aca="false">INDEX(Discount_Monthly!$G$4:$G$664,MATCH(A252,Discount_Monthly!$A$4:$A$664,0))</f>
        <v>0.528850887554951</v>
      </c>
      <c r="K252" s="30" t="n">
        <f aca="false">IF(C252&lt;Assumptions!$B$5,I252*J252,0)</f>
        <v>0</v>
      </c>
      <c r="L252" s="30" t="n">
        <f aca="false">IF(C252&lt;Assumptions!$B$5,I252*(1-F252)*H252*A252*J252,0)</f>
        <v>0</v>
      </c>
      <c r="M252" s="30" t="n">
        <f aca="false">IF(A252=0,Assumptions!$B$14*12*I252*J252,IF(AND(A252&gt;=12,C252&lt;Assumptions!$B$5),Assumptions!$B$15*I252*J252,0))</f>
        <v>0</v>
      </c>
      <c r="N252" s="47" t="n">
        <f aca="false">IF(C252&gt;=Assumptions!$B$5,I252*Assumptions!$B$9/12*(1+Assumptions!$B$10)^INT(A252/12)*J252,0)</f>
        <v>591.694048857483</v>
      </c>
      <c r="O252" s="47" t="n">
        <f aca="false">I252*Assumptions!$B$12/12*(1+Assumptions!$B$11)^(INT(A252/12)+1)*J252</f>
        <v>3.34398979624556</v>
      </c>
      <c r="P252" s="47" t="n">
        <f aca="false">O252+Pricing_M!$B$13*M252+N252-Pricing_M!$B$13*K252</f>
        <v>595.038038653729</v>
      </c>
      <c r="Q252" s="47" t="n">
        <f aca="false">IF(C252&lt;Assumptions!$B$5,Pricing_M!$B$13*K252-Pricing_M!$B$13*M252-O252,-(N252+O252))</f>
        <v>-595.038038653729</v>
      </c>
      <c r="R252" s="32" t="n">
        <f aca="false">R251*(1-(1-(1-MIN(1,E251*(1-Assumptions!$B$21)))^(1/12)))*(1-H251)</f>
        <v>0.609360692098395</v>
      </c>
      <c r="S252" s="47" t="n">
        <f aca="false">R252*(IF(C252&lt;Assumptions!$B$5,Assumptions!$B$12*(1+Assumptions!$B$11)^(INT(A252/12)+1)/12+Pricing_M!$B$13*IF(A252=0,Assumptions!$B$14*12,IF(A252&gt;=12,Assumptions!$B$15,0))-Pricing_M!$B$13,Assumptions!$B$9/12*(1+Assumptions!$B$10)^INT(A252/12)+Assumptions!$B$12*(1+Assumptions!$B$11)^(INT(A252/12)+1)/12))*J252</f>
        <v>642.092169359218</v>
      </c>
      <c r="T252" s="32" t="n">
        <f aca="false">T251*(1-F251)*(1-(1-(1-MIN(1,G251*(1+Assumptions!$B$23)))^(1/12)))</f>
        <v>0.511554504422808</v>
      </c>
      <c r="U252" s="47" t="n">
        <f aca="false">T252*(IF(C252&lt;Assumptions!$B$5,Assumptions!$B$12*(1+Assumptions!$B$11)^(INT(A252/12)+1)/12+Pricing_M!$B$13*IF(A252=0,Assumptions!$B$14*12,IF(A252&gt;=12,Assumptions!$B$15,0))-Pricing_M!$B$13,Assumptions!$B$9/12*(1+Assumptions!$B$10)^INT(A252/12)+Assumptions!$B$12*(1+Assumptions!$B$11)^(INT(A252/12)+1)/12))*J252</f>
        <v>539.032375651303</v>
      </c>
      <c r="V252" s="32" t="n">
        <f aca="false">V251*(1-F251)*(1-(1-(1-MIN(1,G251*(1-Assumptions!$B$23)))^(1/12)))</f>
        <v>0.622806327982914</v>
      </c>
      <c r="W252" s="47" t="n">
        <f aca="false">V252*(IF(C252&lt;Assumptions!$B$5,Assumptions!$B$12*(1+Assumptions!$B$11)^(INT(A252/12)+1)/12+Pricing_M!$B$13*IF(A252=0,Assumptions!$B$14*12,IF(A252&gt;=12,Assumptions!$B$15,0))-Pricing_M!$B$13,Assumptions!$B$9/12*(1+Assumptions!$B$10)^INT(A252/12)+Assumptions!$B$12*(1+Assumptions!$B$11)^(INT(A252/12)+1)/12))*J252</f>
        <v>656.260030242686</v>
      </c>
      <c r="X252" s="47" t="n">
        <f aca="false">I252*(IF(C252&lt;Assumptions!$B$5,Assumptions!$B$12*(1+Assumptions!$B$11)*(1+Assumptions!$B$24)*(1+Assumptions!$B$11+Assumptions!$B$25)^(INT(A252/12))/12+Pricing_M!$B$13*IF(A252=0,Assumptions!$B$14*12,IF(A252&gt;=12,Assumptions!$B$15,0))-Pricing_M!$B$13,Assumptions!$B$9/12*(1+Assumptions!$B$10)^INT(A252/12)+Assumptions!$B$12*(1+Assumptions!$B$11)*(1+Assumptions!$B$24)*(1+Assumptions!$B$11+Assumptions!$B$25)^(INT(A252/12))/12))*J252</f>
        <v>596.160754330319</v>
      </c>
    </row>
    <row r="253" customFormat="false" ht="15" hidden="false" customHeight="true" outlineLevel="0" collapsed="false">
      <c r="A253" s="1" t="n">
        <v>246</v>
      </c>
      <c r="B253" s="31" t="n">
        <f aca="false">Assumptions!$B$4+A253/12</f>
        <v>85.5</v>
      </c>
      <c r="C253" s="34" t="n">
        <f aca="false">Assumptions!$B$4+INT(A253/12)</f>
        <v>85</v>
      </c>
      <c r="D253" s="34" t="n">
        <f aca="false">INT(A253/12)+1</f>
        <v>21</v>
      </c>
      <c r="E253" s="32" t="n">
        <f aca="false">IFERROR(INDEX(Cohort_Survival!$G$5:$G$65,MATCH(C253,Cohort_Survival!$A$5:$A$65,0)),1)</f>
        <v>0.0496763446201301</v>
      </c>
      <c r="F253" s="30" t="n">
        <f aca="false">1-(1-MIN(1,E253))^(1/12)</f>
        <v>0.00423705346401848</v>
      </c>
      <c r="G253" s="39" t="n">
        <f aca="false">IF(C253&lt;Assumptions!$B$5,IF(D253=1,Assumptions!$B$16,IF(D253=2,Assumptions!$B$17,IF(D253&lt;=5,Assumptions!$B$18,Assumptions!$B$19)))*(1-Assumptions!$B$20),0)</f>
        <v>0</v>
      </c>
      <c r="H253" s="30" t="n">
        <f aca="false">1-(1-G253)^(1/12)</f>
        <v>0</v>
      </c>
      <c r="I253" s="30" t="n">
        <f aca="false">I252*(1-F252)*(1-H252)</f>
        <v>0.562312520300386</v>
      </c>
      <c r="J253" s="30" t="n">
        <f aca="false">INDEX(Discount_Monthly!$G$4:$G$664,MATCH(A253,Discount_Monthly!$A$4:$A$664,0))</f>
        <v>0.527468791626834</v>
      </c>
      <c r="K253" s="30" t="n">
        <f aca="false">IF(C253&lt;Assumptions!$B$5,I253*J253,0)</f>
        <v>0</v>
      </c>
      <c r="L253" s="30" t="n">
        <f aca="false">IF(C253&lt;Assumptions!$B$5,I253*(1-F253)*H253*A253*J253,0)</f>
        <v>0</v>
      </c>
      <c r="M253" s="30" t="n">
        <f aca="false">IF(A253=0,Assumptions!$B$14*12*I253*J253,IF(AND(A253&gt;=12,C253&lt;Assumptions!$B$5),Assumptions!$B$15*I253*J253,0))</f>
        <v>0</v>
      </c>
      <c r="N253" s="47" t="n">
        <f aca="false">IF(C253&gt;=Assumptions!$B$5,I253*Assumptions!$B$9/12*(1+Assumptions!$B$10)^INT(A253/12)*J253,0)</f>
        <v>587.647231528972</v>
      </c>
      <c r="O253" s="47" t="n">
        <f aca="false">I253*Assumptions!$B$12/12*(1+Assumptions!$B$11)^(INT(A253/12)+1)*J253</f>
        <v>3.32111899691956</v>
      </c>
      <c r="P253" s="47" t="n">
        <f aca="false">O253+Pricing_M!$B$13*M253+N253-Pricing_M!$B$13*K253</f>
        <v>590.968350525892</v>
      </c>
      <c r="Q253" s="47" t="n">
        <f aca="false">IF(C253&lt;Assumptions!$B$5,Pricing_M!$B$13*K253-Pricing_M!$B$13*M253-O253,-(N253+O253))</f>
        <v>-590.968350525892</v>
      </c>
      <c r="R253" s="32" t="n">
        <f aca="false">R252*(1-(1-(1-MIN(1,E252*(1-Assumptions!$B$21)))^(1/12)))*(1-H252)</f>
        <v>0.607304918603585</v>
      </c>
      <c r="S253" s="47" t="n">
        <f aca="false">R253*(IF(C253&lt;Assumptions!$B$5,Assumptions!$B$12*(1+Assumptions!$B$11)^(INT(A253/12)+1)/12+Pricing_M!$B$13*IF(A253=0,Assumptions!$B$14*12,IF(A253&gt;=12,Assumptions!$B$15,0))-Pricing_M!$B$13,Assumptions!$B$9/12*(1+Assumptions!$B$10)^INT(A253/12)+Assumptions!$B$12*(1+Assumptions!$B$11)^(INT(A253/12)+1)/12))*J253</f>
        <v>638.253592186956</v>
      </c>
      <c r="T253" s="32" t="n">
        <f aca="false">T252*(1-F252)*(1-(1-(1-MIN(1,G252*(1+Assumptions!$B$23)))^(1/12)))</f>
        <v>0.509387020637809</v>
      </c>
      <c r="U253" s="47" t="n">
        <f aca="false">T253*(IF(C253&lt;Assumptions!$B$5,Assumptions!$B$12*(1+Assumptions!$B$11)^(INT(A253/12)+1)/12+Pricing_M!$B$13*IF(A253=0,Assumptions!$B$14*12,IF(A253&gt;=12,Assumptions!$B$15,0))-Pricing_M!$B$13,Assumptions!$B$9/12*(1+Assumptions!$B$10)^INT(A253/12)+Assumptions!$B$12*(1+Assumptions!$B$11)^(INT(A253/12)+1)/12))*J253</f>
        <v>535.345731240013</v>
      </c>
      <c r="V253" s="32" t="n">
        <f aca="false">V252*(1-F252)*(1-(1-(1-MIN(1,G252*(1-Assumptions!$B$23)))^(1/12)))</f>
        <v>0.620167464273521</v>
      </c>
      <c r="W253" s="47" t="n">
        <f aca="false">V253*(IF(C253&lt;Assumptions!$B$5,Assumptions!$B$12*(1+Assumptions!$B$11)^(INT(A253/12)+1)/12+Pricing_M!$B$13*IF(A253=0,Assumptions!$B$14*12,IF(A253&gt;=12,Assumptions!$B$15,0))-Pricing_M!$B$13,Assumptions!$B$9/12*(1+Assumptions!$B$10)^INT(A253/12)+Assumptions!$B$12*(1+Assumptions!$B$11)^(INT(A253/12)+1)/12))*J253</f>
        <v>651.771621972359</v>
      </c>
      <c r="X253" s="47" t="n">
        <f aca="false">I253*(IF(C253&lt;Assumptions!$B$5,Assumptions!$B$12*(1+Assumptions!$B$11)*(1+Assumptions!$B$24)*(1+Assumptions!$B$11+Assumptions!$B$25)^(INT(A253/12))/12+Pricing_M!$B$13*IF(A253=0,Assumptions!$B$14*12,IF(A253&gt;=12,Assumptions!$B$15,0))-Pricing_M!$B$13,Assumptions!$B$9/12*(1+Assumptions!$B$10)^INT(A253/12)+Assumptions!$B$12*(1+Assumptions!$B$11)*(1+Assumptions!$B$24)*(1+Assumptions!$B$11+Assumptions!$B$25)^(INT(A253/12))/12))*J253</f>
        <v>592.083387529249</v>
      </c>
    </row>
    <row r="254" customFormat="false" ht="15" hidden="false" customHeight="true" outlineLevel="0" collapsed="false">
      <c r="A254" s="1" t="n">
        <v>247</v>
      </c>
      <c r="B254" s="31" t="n">
        <f aca="false">Assumptions!$B$4+A254/12</f>
        <v>85.5833333333333</v>
      </c>
      <c r="C254" s="34" t="n">
        <f aca="false">Assumptions!$B$4+INT(A254/12)</f>
        <v>85</v>
      </c>
      <c r="D254" s="34" t="n">
        <f aca="false">INT(A254/12)+1</f>
        <v>21</v>
      </c>
      <c r="E254" s="32" t="n">
        <f aca="false">IFERROR(INDEX(Cohort_Survival!$G$5:$G$65,MATCH(C254,Cohort_Survival!$A$5:$A$65,0)),1)</f>
        <v>0.0496763446201301</v>
      </c>
      <c r="F254" s="30" t="n">
        <f aca="false">1-(1-MIN(1,E254))^(1/12)</f>
        <v>0.00423705346401848</v>
      </c>
      <c r="G254" s="39" t="n">
        <f aca="false">IF(C254&lt;Assumptions!$B$5,IF(D254=1,Assumptions!$B$16,IF(D254=2,Assumptions!$B$17,IF(D254&lt;=5,Assumptions!$B$18,Assumptions!$B$19)))*(1-Assumptions!$B$20),0)</f>
        <v>0</v>
      </c>
      <c r="H254" s="30" t="n">
        <f aca="false">1-(1-G254)^(1/12)</f>
        <v>0</v>
      </c>
      <c r="I254" s="30" t="n">
        <f aca="false">I253*(1-F253)*(1-H253)</f>
        <v>0.559929972088386</v>
      </c>
      <c r="J254" s="30" t="n">
        <f aca="false">INDEX(Discount_Monthly!$G$4:$G$664,MATCH(A254,Discount_Monthly!$A$4:$A$664,0))</f>
        <v>0.526090307660424</v>
      </c>
      <c r="K254" s="30" t="n">
        <f aca="false">IF(C254&lt;Assumptions!$B$5,I254*J254,0)</f>
        <v>0</v>
      </c>
      <c r="L254" s="30" t="n">
        <f aca="false">IF(C254&lt;Assumptions!$B$5,I254*(1-F254)*H254*A254*J254,0)</f>
        <v>0</v>
      </c>
      <c r="M254" s="30" t="n">
        <f aca="false">IF(A254=0,Assumptions!$B$14*12*I254*J254,IF(AND(A254&gt;=12,C254&lt;Assumptions!$B$5),Assumptions!$B$15*I254*J254,0))</f>
        <v>0</v>
      </c>
      <c r="N254" s="47" t="n">
        <f aca="false">IF(C254&gt;=Assumptions!$B$5,I254*Assumptions!$B$9/12*(1+Assumptions!$B$10)^INT(A254/12)*J254,0)</f>
        <v>583.628091900654</v>
      </c>
      <c r="O254" s="47" t="n">
        <f aca="false">I254*Assumptions!$B$12/12*(1+Assumptions!$B$11)^(INT(A254/12)+1)*J254</f>
        <v>3.29840461956063</v>
      </c>
      <c r="P254" s="47" t="n">
        <f aca="false">O254+Pricing_M!$B$13*M254+N254-Pricing_M!$B$13*K254</f>
        <v>586.926496520215</v>
      </c>
      <c r="Q254" s="47" t="n">
        <f aca="false">IF(C254&lt;Assumptions!$B$5,Pricing_M!$B$13*K254-Pricing_M!$B$13*M254-O254,-(N254+O254))</f>
        <v>-586.926496520215</v>
      </c>
      <c r="R254" s="32" t="n">
        <f aca="false">R253*(1-(1-(1-MIN(1,E253*(1-Assumptions!$B$21)))^(1/12)))*(1-H253)</f>
        <v>0.605256080581832</v>
      </c>
      <c r="S254" s="47" t="n">
        <f aca="false">R254*(IF(C254&lt;Assumptions!$B$5,Assumptions!$B$12*(1+Assumptions!$B$11)^(INT(A254/12)+1)/12+Pricing_M!$B$13*IF(A254=0,Assumptions!$B$14*12,IF(A254&gt;=12,Assumptions!$B$15,0))-Pricing_M!$B$13,Assumptions!$B$9/12*(1+Assumptions!$B$10)^INT(A254/12)+Assumptions!$B$12*(1+Assumptions!$B$11)^(INT(A254/12)+1)/12))*J254</f>
        <v>634.437962926864</v>
      </c>
      <c r="T254" s="32" t="n">
        <f aca="false">T253*(1-F253)*(1-(1-(1-MIN(1,G253*(1+Assumptions!$B$23)))^(1/12)))</f>
        <v>0.50722872059749</v>
      </c>
      <c r="U254" s="47" t="n">
        <f aca="false">T254*(IF(C254&lt;Assumptions!$B$5,Assumptions!$B$12*(1+Assumptions!$B$11)^(INT(A254/12)+1)/12+Pricing_M!$B$13*IF(A254=0,Assumptions!$B$14*12,IF(A254&gt;=12,Assumptions!$B$15,0))-Pricing_M!$B$13,Assumptions!$B$9/12*(1+Assumptions!$B$10)^INT(A254/12)+Assumptions!$B$12*(1+Assumptions!$B$11)^(INT(A254/12)+1)/12))*J254</f>
        <v>531.684301171365</v>
      </c>
      <c r="V254" s="32" t="n">
        <f aca="false">V253*(1-F253)*(1-(1-(1-MIN(1,G253*(1-Assumptions!$B$23)))^(1/12)))</f>
        <v>0.617539781570749</v>
      </c>
      <c r="W254" s="47" t="n">
        <f aca="false">V254*(IF(C254&lt;Assumptions!$B$5,Assumptions!$B$12*(1+Assumptions!$B$11)^(INT(A254/12)+1)/12+Pricing_M!$B$13*IF(A254=0,Assumptions!$B$14*12,IF(A254&gt;=12,Assumptions!$B$15,0))-Pricing_M!$B$13,Assumptions!$B$9/12*(1+Assumptions!$B$10)^INT(A254/12)+Assumptions!$B$12*(1+Assumptions!$B$11)^(INT(A254/12)+1)/12))*J254</f>
        <v>647.313911608156</v>
      </c>
      <c r="X254" s="47" t="n">
        <f aca="false">I254*(IF(C254&lt;Assumptions!$B$5,Assumptions!$B$12*(1+Assumptions!$B$11)*(1+Assumptions!$B$24)*(1+Assumptions!$B$11+Assumptions!$B$25)^(INT(A254/12))/12+Pricing_M!$B$13*IF(A254=0,Assumptions!$B$14*12,IF(A254&gt;=12,Assumptions!$B$15,0))-Pricing_M!$B$13,Assumptions!$B$9/12*(1+Assumptions!$B$10)^INT(A254/12)+Assumptions!$B$12*(1+Assumptions!$B$11)*(1+Assumptions!$B$24)*(1+Assumptions!$B$11+Assumptions!$B$25)^(INT(A254/12))/12))*J254</f>
        <v>588.033907367663</v>
      </c>
    </row>
    <row r="255" customFormat="false" ht="15" hidden="false" customHeight="true" outlineLevel="0" collapsed="false">
      <c r="A255" s="1" t="n">
        <v>248</v>
      </c>
      <c r="B255" s="31" t="n">
        <f aca="false">Assumptions!$B$4+A255/12</f>
        <v>85.6666666666667</v>
      </c>
      <c r="C255" s="34" t="n">
        <f aca="false">Assumptions!$B$4+INT(A255/12)</f>
        <v>85</v>
      </c>
      <c r="D255" s="34" t="n">
        <f aca="false">INT(A255/12)+1</f>
        <v>21</v>
      </c>
      <c r="E255" s="32" t="n">
        <f aca="false">IFERROR(INDEX(Cohort_Survival!$G$5:$G$65,MATCH(C255,Cohort_Survival!$A$5:$A$65,0)),1)</f>
        <v>0.0496763446201301</v>
      </c>
      <c r="F255" s="30" t="n">
        <f aca="false">1-(1-MIN(1,E255))^(1/12)</f>
        <v>0.00423705346401848</v>
      </c>
      <c r="G255" s="39" t="n">
        <f aca="false">IF(C255&lt;Assumptions!$B$5,IF(D255=1,Assumptions!$B$16,IF(D255=2,Assumptions!$B$17,IF(D255&lt;=5,Assumptions!$B$18,Assumptions!$B$19)))*(1-Assumptions!$B$20),0)</f>
        <v>0</v>
      </c>
      <c r="H255" s="30" t="n">
        <f aca="false">1-(1-G255)^(1/12)</f>
        <v>0</v>
      </c>
      <c r="I255" s="30" t="n">
        <f aca="false">I254*(1-F254)*(1-H254)</f>
        <v>0.557557518860541</v>
      </c>
      <c r="J255" s="30" t="n">
        <f aca="false">INDEX(Discount_Monthly!$G$4:$G$664,MATCH(A255,Discount_Monthly!$A$4:$A$664,0))</f>
        <v>0.52471542621624</v>
      </c>
      <c r="K255" s="30" t="n">
        <f aca="false">IF(C255&lt;Assumptions!$B$5,I255*J255,0)</f>
        <v>0</v>
      </c>
      <c r="L255" s="30" t="n">
        <f aca="false">IF(C255&lt;Assumptions!$B$5,I255*(1-F255)*H255*A255*J255,0)</f>
        <v>0</v>
      </c>
      <c r="M255" s="30" t="n">
        <f aca="false">IF(A255=0,Assumptions!$B$14*12*I255*J255,IF(AND(A255&gt;=12,C255&lt;Assumptions!$B$5),Assumptions!$B$15*I255*J255,0))</f>
        <v>0</v>
      </c>
      <c r="N255" s="47" t="n">
        <f aca="false">IF(C255&gt;=Assumptions!$B$5,I255*Assumptions!$B$9/12*(1+Assumptions!$B$10)^INT(A255/12)*J255,0)</f>
        <v>579.636440674366</v>
      </c>
      <c r="O255" s="47" t="n">
        <f aca="false">I255*Assumptions!$B$12/12*(1+Assumptions!$B$11)^(INT(A255/12)+1)*J255</f>
        <v>3.27584559434033</v>
      </c>
      <c r="P255" s="47" t="n">
        <f aca="false">O255+Pricing_M!$B$13*M255+N255-Pricing_M!$B$13*K255</f>
        <v>582.912286268707</v>
      </c>
      <c r="Q255" s="47" t="n">
        <f aca="false">IF(C255&lt;Assumptions!$B$5,Pricing_M!$B$13*K255-Pricing_M!$B$13*M255-O255,-(N255+O255))</f>
        <v>-582.912286268707</v>
      </c>
      <c r="R255" s="32" t="n">
        <f aca="false">R254*(1-(1-(1-MIN(1,E254*(1-Assumptions!$B$21)))^(1/12)))*(1-H254)</f>
        <v>0.603214154635233</v>
      </c>
      <c r="S255" s="47" t="n">
        <f aca="false">R255*(IF(C255&lt;Assumptions!$B$5,Assumptions!$B$12*(1+Assumptions!$B$11)^(INT(A255/12)+1)/12+Pricing_M!$B$13*IF(A255=0,Assumptions!$B$14*12,IF(A255&gt;=12,Assumptions!$B$15,0))-Pricing_M!$B$13,Assumptions!$B$9/12*(1+Assumptions!$B$10)^INT(A255/12)+Assumptions!$B$12*(1+Assumptions!$B$11)^(INT(A255/12)+1)/12))*J255</f>
        <v>630.645144390956</v>
      </c>
      <c r="T255" s="32" t="n">
        <f aca="false">T254*(1-F254)*(1-(1-(1-MIN(1,G254*(1+Assumptions!$B$23)))^(1/12)))</f>
        <v>0.505079565389832</v>
      </c>
      <c r="U255" s="47" t="n">
        <f aca="false">T255*(IF(C255&lt;Assumptions!$B$5,Assumptions!$B$12*(1+Assumptions!$B$11)^(INT(A255/12)+1)/12+Pricing_M!$B$13*IF(A255=0,Assumptions!$B$14*12,IF(A255&gt;=12,Assumptions!$B$15,0))-Pricing_M!$B$13,Assumptions!$B$9/12*(1+Assumptions!$B$10)^INT(A255/12)+Assumptions!$B$12*(1+Assumptions!$B$11)^(INT(A255/12)+1)/12))*J255</f>
        <v>528.047912995023</v>
      </c>
      <c r="V255" s="32" t="n">
        <f aca="false">V254*(1-F254)*(1-(1-(1-MIN(1,G254*(1-Assumptions!$B$23)))^(1/12)))</f>
        <v>0.614923232500076</v>
      </c>
      <c r="W255" s="47" t="n">
        <f aca="false">V255*(IF(C255&lt;Assumptions!$B$5,Assumptions!$B$12*(1+Assumptions!$B$11)^(INT(A255/12)+1)/12+Pricing_M!$B$13*IF(A255=0,Assumptions!$B$14*12,IF(A255&gt;=12,Assumptions!$B$15,0))-Pricing_M!$B$13,Assumptions!$B$9/12*(1+Assumptions!$B$10)^INT(A255/12)+Assumptions!$B$12*(1+Assumptions!$B$11)^(INT(A255/12)+1)/12))*J255</f>
        <v>642.886689195593</v>
      </c>
      <c r="X255" s="47" t="n">
        <f aca="false">I255*(IF(C255&lt;Assumptions!$B$5,Assumptions!$B$12*(1+Assumptions!$B$11)*(1+Assumptions!$B$24)*(1+Assumptions!$B$11+Assumptions!$B$25)^(INT(A255/12))/12+Pricing_M!$B$13*IF(A255=0,Assumptions!$B$14*12,IF(A255&gt;=12,Assumptions!$B$15,0))-Pricing_M!$B$13,Assumptions!$B$9/12*(1+Assumptions!$B$10)^INT(A255/12)+Assumptions!$B$12*(1+Assumptions!$B$11)*(1+Assumptions!$B$24)*(1+Assumptions!$B$11+Assumptions!$B$25)^(INT(A255/12))/12))*J255</f>
        <v>584.012123118384</v>
      </c>
    </row>
    <row r="256" customFormat="false" ht="15" hidden="false" customHeight="true" outlineLevel="0" collapsed="false">
      <c r="A256" s="1" t="n">
        <v>249</v>
      </c>
      <c r="B256" s="31" t="n">
        <f aca="false">Assumptions!$B$4+A256/12</f>
        <v>85.75</v>
      </c>
      <c r="C256" s="34" t="n">
        <f aca="false">Assumptions!$B$4+INT(A256/12)</f>
        <v>85</v>
      </c>
      <c r="D256" s="34" t="n">
        <f aca="false">INT(A256/12)+1</f>
        <v>21</v>
      </c>
      <c r="E256" s="32" t="n">
        <f aca="false">IFERROR(INDEX(Cohort_Survival!$G$5:$G$65,MATCH(C256,Cohort_Survival!$A$5:$A$65,0)),1)</f>
        <v>0.0496763446201301</v>
      </c>
      <c r="F256" s="30" t="n">
        <f aca="false">1-(1-MIN(1,E256))^(1/12)</f>
        <v>0.00423705346401848</v>
      </c>
      <c r="G256" s="39" t="n">
        <f aca="false">IF(C256&lt;Assumptions!$B$5,IF(D256=1,Assumptions!$B$16,IF(D256=2,Assumptions!$B$17,IF(D256&lt;=5,Assumptions!$B$18,Assumptions!$B$19)))*(1-Assumptions!$B$20),0)</f>
        <v>0</v>
      </c>
      <c r="H256" s="30" t="n">
        <f aca="false">1-(1-G256)^(1/12)</f>
        <v>0</v>
      </c>
      <c r="I256" s="30" t="n">
        <f aca="false">I255*(1-F255)*(1-H255)</f>
        <v>0.555195117843863</v>
      </c>
      <c r="J256" s="30" t="n">
        <f aca="false">INDEX(Discount_Monthly!$G$4:$G$664,MATCH(A256,Discount_Monthly!$A$4:$A$664,0))</f>
        <v>0.523344137879472</v>
      </c>
      <c r="K256" s="30" t="n">
        <f aca="false">IF(C256&lt;Assumptions!$B$5,I256*J256,0)</f>
        <v>0</v>
      </c>
      <c r="L256" s="30" t="n">
        <f aca="false">IF(C256&lt;Assumptions!$B$5,I256*(1-F256)*H256*A256*J256,0)</f>
        <v>0</v>
      </c>
      <c r="M256" s="30" t="n">
        <f aca="false">IF(A256=0,Assumptions!$B$14*12*I256*J256,IF(AND(A256&gt;=12,C256&lt;Assumptions!$B$5),Assumptions!$B$15*I256*J256,0))</f>
        <v>0</v>
      </c>
      <c r="N256" s="47" t="n">
        <f aca="false">IF(C256&gt;=Assumptions!$B$5,I256*Assumptions!$B$9/12*(1+Assumptions!$B$10)^INT(A256/12)*J256,0)</f>
        <v>575.672089846625</v>
      </c>
      <c r="O256" s="47" t="n">
        <f aca="false">I256*Assumptions!$B$12/12*(1+Assumptions!$B$11)^(INT(A256/12)+1)*J256</f>
        <v>3.25344085874716</v>
      </c>
      <c r="P256" s="47" t="n">
        <f aca="false">O256+Pricing_M!$B$13*M256+N256-Pricing_M!$B$13*K256</f>
        <v>578.925530705373</v>
      </c>
      <c r="Q256" s="47" t="n">
        <f aca="false">IF(C256&lt;Assumptions!$B$5,Pricing_M!$B$13*K256-Pricing_M!$B$13*M256-O256,-(N256+O256))</f>
        <v>-578.925530705373</v>
      </c>
      <c r="R256" s="32" t="n">
        <f aca="false">R255*(1-(1-(1-MIN(1,E255*(1-Assumptions!$B$21)))^(1/12)))*(1-H255)</f>
        <v>0.601179117444824</v>
      </c>
      <c r="S256" s="47" t="n">
        <f aca="false">R256*(IF(C256&lt;Assumptions!$B$5,Assumptions!$B$12*(1+Assumptions!$B$11)^(INT(A256/12)+1)/12+Pricing_M!$B$13*IF(A256=0,Assumptions!$B$14*12,IF(A256&gt;=12,Assumptions!$B$15,0))-Pricing_M!$B$13,Assumptions!$B$9/12*(1+Assumptions!$B$10)^INT(A256/12)+Assumptions!$B$12*(1+Assumptions!$B$11)^(INT(A256/12)+1)/12))*J256</f>
        <v>626.875000211386</v>
      </c>
      <c r="T256" s="32" t="n">
        <f aca="false">T255*(1-F255)*(1-(1-(1-MIN(1,G255*(1+Assumptions!$B$23)))^(1/12)))</f>
        <v>0.502939516267692</v>
      </c>
      <c r="U256" s="47" t="n">
        <f aca="false">T256*(IF(C256&lt;Assumptions!$B$5,Assumptions!$B$12*(1+Assumptions!$B$11)^(INT(A256/12)+1)/12+Pricing_M!$B$13*IF(A256=0,Assumptions!$B$14*12,IF(A256&gt;=12,Assumptions!$B$15,0))-Pricing_M!$B$13,Assumptions!$B$9/12*(1+Assumptions!$B$10)^INT(A256/12)+Assumptions!$B$12*(1+Assumptions!$B$11)^(INT(A256/12)+1)/12))*J256</f>
        <v>524.4363954401</v>
      </c>
      <c r="V256" s="32" t="n">
        <f aca="false">V255*(1-F255)*(1-(1-(1-MIN(1,G255*(1-Assumptions!$B$23)))^(1/12)))</f>
        <v>0.612317769887706</v>
      </c>
      <c r="W256" s="47" t="n">
        <f aca="false">V256*(IF(C256&lt;Assumptions!$B$5,Assumptions!$B$12*(1+Assumptions!$B$11)^(INT(A256/12)+1)/12+Pricing_M!$B$13*IF(A256=0,Assumptions!$B$14*12,IF(A256&gt;=12,Assumptions!$B$15,0))-Pricing_M!$B$13,Assumptions!$B$9/12*(1+Assumptions!$B$10)^INT(A256/12)+Assumptions!$B$12*(1+Assumptions!$B$11)^(INT(A256/12)+1)/12))*J256</f>
        <v>638.489746216143</v>
      </c>
      <c r="X256" s="47" t="n">
        <f aca="false">I256*(IF(C256&lt;Assumptions!$B$5,Assumptions!$B$12*(1+Assumptions!$B$11)*(1+Assumptions!$B$24)*(1+Assumptions!$B$11+Assumptions!$B$25)^(INT(A256/12))/12+Pricing_M!$B$13*IF(A256=0,Assumptions!$B$14*12,IF(A256&gt;=12,Assumptions!$B$15,0))-Pricing_M!$B$13,Assumptions!$B$9/12*(1+Assumptions!$B$10)^INT(A256/12)+Assumptions!$B$12*(1+Assumptions!$B$11)*(1+Assumptions!$B$24)*(1+Assumptions!$B$11+Assumptions!$B$25)^(INT(A256/12))/12))*J256</f>
        <v>580.017845358688</v>
      </c>
    </row>
    <row r="257" customFormat="false" ht="15" hidden="false" customHeight="true" outlineLevel="0" collapsed="false">
      <c r="A257" s="1" t="n">
        <v>250</v>
      </c>
      <c r="B257" s="31" t="n">
        <f aca="false">Assumptions!$B$4+A257/12</f>
        <v>85.8333333333333</v>
      </c>
      <c r="C257" s="34" t="n">
        <f aca="false">Assumptions!$B$4+INT(A257/12)</f>
        <v>85</v>
      </c>
      <c r="D257" s="34" t="n">
        <f aca="false">INT(A257/12)+1</f>
        <v>21</v>
      </c>
      <c r="E257" s="32" t="n">
        <f aca="false">IFERROR(INDEX(Cohort_Survival!$G$5:$G$65,MATCH(C257,Cohort_Survival!$A$5:$A$65,0)),1)</f>
        <v>0.0496763446201301</v>
      </c>
      <c r="F257" s="30" t="n">
        <f aca="false">1-(1-MIN(1,E257))^(1/12)</f>
        <v>0.00423705346401848</v>
      </c>
      <c r="G257" s="39" t="n">
        <f aca="false">IF(C257&lt;Assumptions!$B$5,IF(D257=1,Assumptions!$B$16,IF(D257=2,Assumptions!$B$17,IF(D257&lt;=5,Assumptions!$B$18,Assumptions!$B$19)))*(1-Assumptions!$B$20),0)</f>
        <v>0</v>
      </c>
      <c r="H257" s="30" t="n">
        <f aca="false">1-(1-G257)^(1/12)</f>
        <v>0</v>
      </c>
      <c r="I257" s="30" t="n">
        <f aca="false">I256*(1-F256)*(1-H256)</f>
        <v>0.552842726446597</v>
      </c>
      <c r="J257" s="30" t="n">
        <f aca="false">INDEX(Discount_Monthly!$G$4:$G$664,MATCH(A257,Discount_Monthly!$A$4:$A$664,0))</f>
        <v>0.521976433259913</v>
      </c>
      <c r="K257" s="30" t="n">
        <f aca="false">IF(C257&lt;Assumptions!$B$5,I257*J257,0)</f>
        <v>0</v>
      </c>
      <c r="L257" s="30" t="n">
        <f aca="false">IF(C257&lt;Assumptions!$B$5,I257*(1-F257)*H257*A257*J257,0)</f>
        <v>0</v>
      </c>
      <c r="M257" s="30" t="n">
        <f aca="false">IF(A257=0,Assumptions!$B$14*12*I257*J257,IF(AND(A257&gt;=12,C257&lt;Assumptions!$B$5),Assumptions!$B$15*I257*J257,0))</f>
        <v>0</v>
      </c>
      <c r="N257" s="47" t="n">
        <f aca="false">IF(C257&gt;=Assumptions!$B$5,I257*Assumptions!$B$9/12*(1+Assumptions!$B$10)^INT(A257/12)*J257,0)</f>
        <v>571.734852699776</v>
      </c>
      <c r="O257" s="47" t="n">
        <f aca="false">I257*Assumptions!$B$12/12*(1+Assumptions!$B$11)^(INT(A257/12)+1)*J257</f>
        <v>3.23118935753655</v>
      </c>
      <c r="P257" s="47" t="n">
        <f aca="false">O257+Pricing_M!$B$13*M257+N257-Pricing_M!$B$13*K257</f>
        <v>574.966042057312</v>
      </c>
      <c r="Q257" s="47" t="n">
        <f aca="false">IF(C257&lt;Assumptions!$B$5,Pricing_M!$B$13*K257-Pricing_M!$B$13*M257-O257,-(N257+O257))</f>
        <v>-574.966042057312</v>
      </c>
      <c r="R257" s="32" t="n">
        <f aca="false">R256*(1-(1-(1-MIN(1,E256*(1-Assumptions!$B$21)))^(1/12)))*(1-H256)</f>
        <v>0.59915094577031</v>
      </c>
      <c r="S257" s="47" t="n">
        <f aca="false">R257*(IF(C257&lt;Assumptions!$B$5,Assumptions!$B$12*(1+Assumptions!$B$11)^(INT(A257/12)+1)/12+Pricing_M!$B$13*IF(A257=0,Assumptions!$B$14*12,IF(A257&gt;=12,Assumptions!$B$15,0))-Pricing_M!$B$13,Assumptions!$B$9/12*(1+Assumptions!$B$10)^INT(A257/12)+Assumptions!$B$12*(1+Assumptions!$B$11)^(INT(A257/12)+1)/12))*J257</f>
        <v>623.12739483555</v>
      </c>
      <c r="T257" s="32" t="n">
        <f aca="false">T256*(1-F256)*(1-(1-(1-MIN(1,G256*(1+Assumptions!$B$23)))^(1/12)))</f>
        <v>0.500808534648099</v>
      </c>
      <c r="U257" s="47" t="n">
        <f aca="false">T257*(IF(C257&lt;Assumptions!$B$5,Assumptions!$B$12*(1+Assumptions!$B$11)^(INT(A257/12)+1)/12+Pricing_M!$B$13*IF(A257=0,Assumptions!$B$14*12,IF(A257&gt;=12,Assumptions!$B$15,0))-Pricing_M!$B$13,Assumptions!$B$9/12*(1+Assumptions!$B$10)^INT(A257/12)+Assumptions!$B$12*(1+Assumptions!$B$11)^(INT(A257/12)+1)/12))*J257</f>
        <v>520.849578407096</v>
      </c>
      <c r="V257" s="32" t="n">
        <f aca="false">V256*(1-F256)*(1-(1-(1-MIN(1,G256*(1-Assumptions!$B$23)))^(1/12)))</f>
        <v>0.609723346759723</v>
      </c>
      <c r="W257" s="47" t="n">
        <f aca="false">V257*(IF(C257&lt;Assumptions!$B$5,Assumptions!$B$12*(1+Assumptions!$B$11)^(INT(A257/12)+1)/12+Pricing_M!$B$13*IF(A257=0,Assumptions!$B$14*12,IF(A257&gt;=12,Assumptions!$B$15,0))-Pricing_M!$B$13,Assumptions!$B$9/12*(1+Assumptions!$B$10)^INT(A257/12)+Assumptions!$B$12*(1+Assumptions!$B$11)^(INT(A257/12)+1)/12))*J257</f>
        <v>634.122875577418</v>
      </c>
      <c r="X257" s="47" t="n">
        <f aca="false">I257*(IF(C257&lt;Assumptions!$B$5,Assumptions!$B$12*(1+Assumptions!$B$11)*(1+Assumptions!$B$24)*(1+Assumptions!$B$11+Assumptions!$B$25)^(INT(A257/12))/12+Pricing_M!$B$13*IF(A257=0,Assumptions!$B$14*12,IF(A257&gt;=12,Assumptions!$B$15,0))-Pricing_M!$B$13,Assumptions!$B$9/12*(1+Assumptions!$B$10)^INT(A257/12)+Assumptions!$B$12*(1+Assumptions!$B$11)*(1+Assumptions!$B$24)*(1+Assumptions!$B$11+Assumptions!$B$25)^(INT(A257/12))/12))*J257</f>
        <v>576.050885961385</v>
      </c>
    </row>
    <row r="258" customFormat="false" ht="15" hidden="false" customHeight="true" outlineLevel="0" collapsed="false">
      <c r="A258" s="1" t="n">
        <v>251</v>
      </c>
      <c r="B258" s="31" t="n">
        <f aca="false">Assumptions!$B$4+A258/12</f>
        <v>85.9166666666667</v>
      </c>
      <c r="C258" s="34" t="n">
        <f aca="false">Assumptions!$B$4+INT(A258/12)</f>
        <v>85</v>
      </c>
      <c r="D258" s="34" t="n">
        <f aca="false">INT(A258/12)+1</f>
        <v>21</v>
      </c>
      <c r="E258" s="32" t="n">
        <f aca="false">IFERROR(INDEX(Cohort_Survival!$G$5:$G$65,MATCH(C258,Cohort_Survival!$A$5:$A$65,0)),1)</f>
        <v>0.0496763446201301</v>
      </c>
      <c r="F258" s="30" t="n">
        <f aca="false">1-(1-MIN(1,E258))^(1/12)</f>
        <v>0.00423705346401848</v>
      </c>
      <c r="G258" s="39" t="n">
        <f aca="false">IF(C258&lt;Assumptions!$B$5,IF(D258=1,Assumptions!$B$16,IF(D258=2,Assumptions!$B$17,IF(D258&lt;=5,Assumptions!$B$18,Assumptions!$B$19)))*(1-Assumptions!$B$20),0)</f>
        <v>0</v>
      </c>
      <c r="H258" s="30" t="n">
        <f aca="false">1-(1-G258)^(1/12)</f>
        <v>0</v>
      </c>
      <c r="I258" s="30" t="n">
        <f aca="false">I257*(1-F257)*(1-H257)</f>
        <v>0.550500302257449</v>
      </c>
      <c r="J258" s="30" t="n">
        <f aca="false">INDEX(Discount_Monthly!$G$4:$G$664,MATCH(A258,Discount_Monthly!$A$4:$A$664,0))</f>
        <v>0.520612302991896</v>
      </c>
      <c r="K258" s="30" t="n">
        <f aca="false">IF(C258&lt;Assumptions!$B$5,I258*J258,0)</f>
        <v>0</v>
      </c>
      <c r="L258" s="30" t="n">
        <f aca="false">IF(C258&lt;Assumptions!$B$5,I258*(1-F258)*H258*A258*J258,0)</f>
        <v>0</v>
      </c>
      <c r="M258" s="30" t="n">
        <f aca="false">IF(A258=0,Assumptions!$B$14*12*I258*J258,IF(AND(A258&gt;=12,C258&lt;Assumptions!$B$5),Assumptions!$B$15*I258*J258,0))</f>
        <v>0</v>
      </c>
      <c r="N258" s="47" t="n">
        <f aca="false">IF(C258&gt;=Assumptions!$B$5,I258*Assumptions!$B$9/12*(1+Assumptions!$B$10)^INT(A258/12)*J258,0)</f>
        <v>567.824543793194</v>
      </c>
      <c r="O258" s="47" t="n">
        <f aca="false">I258*Assumptions!$B$12/12*(1+Assumptions!$B$11)^(INT(A258/12)+1)*J258</f>
        <v>3.20909004268113</v>
      </c>
      <c r="P258" s="47" t="n">
        <f aca="false">O258+Pricing_M!$B$13*M258+N258-Pricing_M!$B$13*K258</f>
        <v>571.033633835875</v>
      </c>
      <c r="Q258" s="47" t="n">
        <f aca="false">IF(C258&lt;Assumptions!$B$5,Pricing_M!$B$13*K258-Pricing_M!$B$13*M258-O258,-(N258+O258))</f>
        <v>-571.033633835875</v>
      </c>
      <c r="R258" s="32" t="n">
        <f aca="false">R257*(1-(1-(1-MIN(1,E257*(1-Assumptions!$B$21)))^(1/12)))*(1-H257)</f>
        <v>0.597129616449799</v>
      </c>
      <c r="S258" s="47" t="n">
        <f aca="false">R258*(IF(C258&lt;Assumptions!$B$5,Assumptions!$B$12*(1+Assumptions!$B$11)^(INT(A258/12)+1)/12+Pricing_M!$B$13*IF(A258=0,Assumptions!$B$14*12,IF(A258&gt;=12,Assumptions!$B$15,0))-Pricing_M!$B$13,Assumptions!$B$9/12*(1+Assumptions!$B$10)^INT(A258/12)+Assumptions!$B$12*(1+Assumptions!$B$11)^(INT(A258/12)+1)/12))*J258</f>
        <v>619.402193521207</v>
      </c>
      <c r="T258" s="32" t="n">
        <f aca="false">T257*(1-F257)*(1-(1-(1-MIN(1,G257*(1+Assumptions!$B$23)))^(1/12)))</f>
        <v>0.498686582111558</v>
      </c>
      <c r="U258" s="47" t="n">
        <f aca="false">T258*(IF(C258&lt;Assumptions!$B$5,Assumptions!$B$12*(1+Assumptions!$B$11)^(INT(A258/12)+1)/12+Pricing_M!$B$13*IF(A258=0,Assumptions!$B$14*12,IF(A258&gt;=12,Assumptions!$B$15,0))-Pricing_M!$B$13,Assumptions!$B$9/12*(1+Assumptions!$B$10)^INT(A258/12)+Assumptions!$B$12*(1+Assumptions!$B$11)^(INT(A258/12)+1)/12))*J258</f>
        <v>517.287292959887</v>
      </c>
      <c r="V258" s="32" t="n">
        <f aca="false">V257*(1-F257)*(1-(1-(1-MIN(1,G257*(1-Assumptions!$B$23)))^(1/12)))</f>
        <v>0.607139916341242</v>
      </c>
      <c r="W258" s="47" t="n">
        <f aca="false">V258*(IF(C258&lt;Assumptions!$B$5,Assumptions!$B$12*(1+Assumptions!$B$11)^(INT(A258/12)+1)/12+Pricing_M!$B$13*IF(A258=0,Assumptions!$B$14*12,IF(A258&gt;=12,Assumptions!$B$15,0))-Pricing_M!$B$13,Assumptions!$B$9/12*(1+Assumptions!$B$10)^INT(A258/12)+Assumptions!$B$12*(1+Assumptions!$B$11)^(INT(A258/12)+1)/12))*J258</f>
        <v>629.78587160341</v>
      </c>
      <c r="X258" s="47" t="n">
        <f aca="false">I258*(IF(C258&lt;Assumptions!$B$5,Assumptions!$B$12*(1+Assumptions!$B$11)*(1+Assumptions!$B$24)*(1+Assumptions!$B$11+Assumptions!$B$25)^(INT(A258/12))/12+Pricing_M!$B$13*IF(A258=0,Assumptions!$B$14*12,IF(A258&gt;=12,Assumptions!$B$15,0))-Pricing_M!$B$13,Assumptions!$B$9/12*(1+Assumptions!$B$10)^INT(A258/12)+Assumptions!$B$12*(1+Assumptions!$B$11)*(1+Assumptions!$B$24)*(1+Assumptions!$B$11+Assumptions!$B$25)^(INT(A258/12))/12))*J258</f>
        <v>572.111058085959</v>
      </c>
    </row>
    <row r="259" customFormat="false" ht="15" hidden="false" customHeight="true" outlineLevel="0" collapsed="false">
      <c r="A259" s="1" t="n">
        <v>252</v>
      </c>
      <c r="B259" s="31" t="n">
        <f aca="false">Assumptions!$B$4+A259/12</f>
        <v>86</v>
      </c>
      <c r="C259" s="34" t="n">
        <f aca="false">Assumptions!$B$4+INT(A259/12)</f>
        <v>86</v>
      </c>
      <c r="D259" s="34" t="n">
        <f aca="false">INT(A259/12)+1</f>
        <v>22</v>
      </c>
      <c r="E259" s="32" t="n">
        <f aca="false">IFERROR(INDEX(Cohort_Survival!$G$5:$G$65,MATCH(C259,Cohort_Survival!$A$5:$A$65,0)),1)</f>
        <v>0.056345407052358</v>
      </c>
      <c r="F259" s="30" t="n">
        <f aca="false">1-(1-MIN(1,E259))^(1/12)</f>
        <v>0.00482126330958688</v>
      </c>
      <c r="G259" s="39" t="n">
        <f aca="false">IF(C259&lt;Assumptions!$B$5,IF(D259=1,Assumptions!$B$16,IF(D259=2,Assumptions!$B$17,IF(D259&lt;=5,Assumptions!$B$18,Assumptions!$B$19)))*(1-Assumptions!$B$20),0)</f>
        <v>0</v>
      </c>
      <c r="H259" s="30" t="n">
        <f aca="false">1-(1-G259)^(1/12)</f>
        <v>0</v>
      </c>
      <c r="I259" s="30" t="n">
        <f aca="false">I258*(1-F258)*(1-H258)</f>
        <v>0.548167803044826</v>
      </c>
      <c r="J259" s="30" t="n">
        <f aca="false">INDEX(Discount_Monthly!$G$4:$G$664,MATCH(A259,Discount_Monthly!$A$4:$A$664,0))</f>
        <v>0.51925173773423</v>
      </c>
      <c r="K259" s="30" t="n">
        <f aca="false">IF(C259&lt;Assumptions!$B$5,I259*J259,0)</f>
        <v>0</v>
      </c>
      <c r="L259" s="30" t="n">
        <f aca="false">IF(C259&lt;Assumptions!$B$5,I259*(1-F259)*H259*A259*J259,0)</f>
        <v>0</v>
      </c>
      <c r="M259" s="30" t="n">
        <f aca="false">IF(A259=0,Assumptions!$B$14*12*I259*J259,IF(AND(A259&gt;=12,C259&lt;Assumptions!$B$5),Assumptions!$B$15*I259*J259,0))</f>
        <v>0</v>
      </c>
      <c r="N259" s="47" t="n">
        <f aca="false">IF(C259&gt;=Assumptions!$B$5,I259*Assumptions!$B$9/12*(1+Assumptions!$B$10)^INT(A259/12)*J259,0)</f>
        <v>575.219798533644</v>
      </c>
      <c r="O259" s="47" t="n">
        <f aca="false">I259*Assumptions!$B$12/12*(1+Assumptions!$B$11)^(INT(A259/12)+1)*J259</f>
        <v>3.26682042015442</v>
      </c>
      <c r="P259" s="47" t="n">
        <f aca="false">O259+Pricing_M!$B$13*M259+N259-Pricing_M!$B$13*K259</f>
        <v>578.486618953798</v>
      </c>
      <c r="Q259" s="47" t="n">
        <f aca="false">IF(C259&lt;Assumptions!$B$5,Pricing_M!$B$13*K259-Pricing_M!$B$13*M259-O259,-(N259+O259))</f>
        <v>-578.486618953798</v>
      </c>
      <c r="R259" s="32" t="n">
        <f aca="false">R258*(1-(1-(1-MIN(1,E258*(1-Assumptions!$B$21)))^(1/12)))*(1-H258)</f>
        <v>0.595115106399543</v>
      </c>
      <c r="S259" s="47" t="n">
        <f aca="false">R259*(IF(C259&lt;Assumptions!$B$5,Assumptions!$B$12*(1+Assumptions!$B$11)^(INT(A259/12)+1)/12+Pricing_M!$B$13*IF(A259=0,Assumptions!$B$14*12,IF(A259&gt;=12,Assumptions!$B$15,0))-Pricing_M!$B$13,Assumptions!$B$9/12*(1+Assumptions!$B$10)^INT(A259/12)+Assumptions!$B$12*(1+Assumptions!$B$11)^(INT(A259/12)+1)/12))*J259</f>
        <v>628.030548086111</v>
      </c>
      <c r="T259" s="32" t="n">
        <f aca="false">T258*(1-F258)*(1-(1-(1-MIN(1,G258*(1+Assumptions!$B$23)))^(1/12)))</f>
        <v>0.496573620401363</v>
      </c>
      <c r="U259" s="47" t="n">
        <f aca="false">T259*(IF(C259&lt;Assumptions!$B$5,Assumptions!$B$12*(1+Assumptions!$B$11)^(INT(A259/12)+1)/12+Pricing_M!$B$13*IF(A259=0,Assumptions!$B$14*12,IF(A259&gt;=12,Assumptions!$B$15,0))-Pricing_M!$B$13,Assumptions!$B$9/12*(1+Assumptions!$B$10)^INT(A259/12)+Assumptions!$B$12*(1+Assumptions!$B$11)^(INT(A259/12)+1)/12))*J259</f>
        <v>524.038794566233</v>
      </c>
      <c r="V259" s="32" t="n">
        <f aca="false">V258*(1-F258)*(1-(1-(1-MIN(1,G258*(1-Assumptions!$B$23)))^(1/12)))</f>
        <v>0.604567432055564</v>
      </c>
      <c r="W259" s="47" t="n">
        <f aca="false">V259*(IF(C259&lt;Assumptions!$B$5,Assumptions!$B$12*(1+Assumptions!$B$11)^(INT(A259/12)+1)/12+Pricing_M!$B$13*IF(A259=0,Assumptions!$B$14*12,IF(A259&gt;=12,Assumptions!$B$15,0))-Pricing_M!$B$13,Assumptions!$B$9/12*(1+Assumptions!$B$10)^INT(A259/12)+Assumptions!$B$12*(1+Assumptions!$B$11)^(INT(A259/12)+1)/12))*J259</f>
        <v>638.005675920379</v>
      </c>
      <c r="X259" s="47" t="n">
        <f aca="false">I259*(IF(C259&lt;Assumptions!$B$5,Assumptions!$B$12*(1+Assumptions!$B$11)*(1+Assumptions!$B$24)*(1+Assumptions!$B$11+Assumptions!$B$25)^(INT(A259/12))/12+Pricing_M!$B$13*IF(A259=0,Assumptions!$B$14*12,IF(A259&gt;=12,Assumptions!$B$15,0))-Pricing_M!$B$13,Assumptions!$B$9/12*(1+Assumptions!$B$10)^INT(A259/12)+Assumptions!$B$12*(1+Assumptions!$B$11)*(1+Assumptions!$B$24)*(1+Assumptions!$B$11+Assumptions!$B$25)^(INT(A259/12))/12))*J259</f>
        <v>579.625997651386</v>
      </c>
    </row>
    <row r="260" customFormat="false" ht="15" hidden="false" customHeight="true" outlineLevel="0" collapsed="false">
      <c r="A260" s="1" t="n">
        <v>253</v>
      </c>
      <c r="B260" s="31" t="n">
        <f aca="false">Assumptions!$B$4+A260/12</f>
        <v>86.0833333333333</v>
      </c>
      <c r="C260" s="34" t="n">
        <f aca="false">Assumptions!$B$4+INT(A260/12)</f>
        <v>86</v>
      </c>
      <c r="D260" s="34" t="n">
        <f aca="false">INT(A260/12)+1</f>
        <v>22</v>
      </c>
      <c r="E260" s="32" t="n">
        <f aca="false">IFERROR(INDEX(Cohort_Survival!$G$5:$G$65,MATCH(C260,Cohort_Survival!$A$5:$A$65,0)),1)</f>
        <v>0.056345407052358</v>
      </c>
      <c r="F260" s="30" t="n">
        <f aca="false">1-(1-MIN(1,E260))^(1/12)</f>
        <v>0.00482126330958688</v>
      </c>
      <c r="G260" s="39" t="n">
        <f aca="false">IF(C260&lt;Assumptions!$B$5,IF(D260=1,Assumptions!$B$16,IF(D260=2,Assumptions!$B$17,IF(D260&lt;=5,Assumptions!$B$18,Assumptions!$B$19)))*(1-Assumptions!$B$20),0)</f>
        <v>0</v>
      </c>
      <c r="H260" s="30" t="n">
        <f aca="false">1-(1-G260)^(1/12)</f>
        <v>0</v>
      </c>
      <c r="I260" s="30" t="n">
        <f aca="false">I259*(1-F259)*(1-H259)</f>
        <v>0.545524941728509</v>
      </c>
      <c r="J260" s="30" t="n">
        <f aca="false">INDEX(Discount_Monthly!$G$4:$G$664,MATCH(A260,Discount_Monthly!$A$4:$A$664,0))</f>
        <v>0.51789389161946</v>
      </c>
      <c r="K260" s="30" t="n">
        <f aca="false">IF(C260&lt;Assumptions!$B$5,I260*J260,0)</f>
        <v>0</v>
      </c>
      <c r="L260" s="30" t="n">
        <f aca="false">IF(C260&lt;Assumptions!$B$5,I260*(1-F260)*H260*A260*J260,0)</f>
        <v>0</v>
      </c>
      <c r="M260" s="30" t="n">
        <f aca="false">IF(A260=0,Assumptions!$B$14*12*I260*J260,IF(AND(A260&gt;=12,C260&lt;Assumptions!$B$5),Assumptions!$B$15*I260*J260,0))</f>
        <v>0</v>
      </c>
      <c r="N260" s="47" t="n">
        <f aca="false">IF(C260&gt;=Assumptions!$B$5,I260*Assumptions!$B$9/12*(1+Assumptions!$B$10)^INT(A260/12)*J260,0)</f>
        <v>570.949561684485</v>
      </c>
      <c r="O260" s="47" t="n">
        <f aca="false">I260*Assumptions!$B$12/12*(1+Assumptions!$B$11)^(INT(A260/12)+1)*J260</f>
        <v>3.24256865244182</v>
      </c>
      <c r="P260" s="47" t="n">
        <f aca="false">O260+Pricing_M!$B$13*M260+N260-Pricing_M!$B$13*K260</f>
        <v>574.192130336926</v>
      </c>
      <c r="Q260" s="47" t="n">
        <f aca="false">IF(C260&lt;Assumptions!$B$5,Pricing_M!$B$13*K260-Pricing_M!$B$13*M260-O260,-(N260+O260))</f>
        <v>-574.192130336926</v>
      </c>
      <c r="R260" s="32" t="n">
        <f aca="false">R259*(1-(1-(1-MIN(1,E259*(1-Assumptions!$B$21)))^(1/12)))*(1-H259)</f>
        <v>0.592832079450208</v>
      </c>
      <c r="S260" s="47" t="n">
        <f aca="false">R260*(IF(C260&lt;Assumptions!$B$5,Assumptions!$B$12*(1+Assumptions!$B$11)^(INT(A260/12)+1)/12+Pricing_M!$B$13*IF(A260=0,Assumptions!$B$14*12,IF(A260&gt;=12,Assumptions!$B$15,0))-Pricing_M!$B$13,Assumptions!$B$9/12*(1+Assumptions!$B$10)^INT(A260/12)+Assumptions!$B$12*(1+Assumptions!$B$11)^(INT(A260/12)+1)/12))*J260</f>
        <v>623.985245391385</v>
      </c>
      <c r="T260" s="32" t="n">
        <f aca="false">T259*(1-F259)*(1-(1-(1-MIN(1,G259*(1+Assumptions!$B$23)))^(1/12)))</f>
        <v>0.494179508224813</v>
      </c>
      <c r="U260" s="47" t="n">
        <f aca="false">T260*(IF(C260&lt;Assumptions!$B$5,Assumptions!$B$12*(1+Assumptions!$B$11)^(INT(A260/12)+1)/12+Pricing_M!$B$13*IF(A260=0,Assumptions!$B$14*12,IF(A260&gt;=12,Assumptions!$B$15,0))-Pricing_M!$B$13,Assumptions!$B$9/12*(1+Assumptions!$B$10)^INT(A260/12)+Assumptions!$B$12*(1+Assumptions!$B$11)^(INT(A260/12)+1)/12))*J260</f>
        <v>520.148508145894</v>
      </c>
      <c r="V260" s="32" t="n">
        <f aca="false">V259*(1-F259)*(1-(1-(1-MIN(1,G259*(1-Assumptions!$B$23)))^(1/12)))</f>
        <v>0.601652653277224</v>
      </c>
      <c r="W260" s="47" t="n">
        <f aca="false">V260*(IF(C260&lt;Assumptions!$B$5,Assumptions!$B$12*(1+Assumptions!$B$11)^(INT(A260/12)+1)/12+Pricing_M!$B$13*IF(A260=0,Assumptions!$B$14*12,IF(A260&gt;=12,Assumptions!$B$15,0))-Pricing_M!$B$13,Assumptions!$B$9/12*(1+Assumptions!$B$10)^INT(A260/12)+Assumptions!$B$12*(1+Assumptions!$B$11)^(INT(A260/12)+1)/12))*J260</f>
        <v>633.269337994889</v>
      </c>
      <c r="X260" s="47" t="n">
        <f aca="false">I260*(IF(C260&lt;Assumptions!$B$5,Assumptions!$B$12*(1+Assumptions!$B$11)*(1+Assumptions!$B$24)*(1+Assumptions!$B$11+Assumptions!$B$25)^(INT(A260/12))/12+Pricing_M!$B$13*IF(A260=0,Assumptions!$B$14*12,IF(A260&gt;=12,Assumptions!$B$15,0))-Pricing_M!$B$13,Assumptions!$B$9/12*(1+Assumptions!$B$10)^INT(A260/12)+Assumptions!$B$12*(1+Assumptions!$B$11)*(1+Assumptions!$B$24)*(1+Assumptions!$B$11+Assumptions!$B$25)^(INT(A260/12))/12))*J260</f>
        <v>575.323050673186</v>
      </c>
    </row>
    <row r="261" customFormat="false" ht="15" hidden="false" customHeight="true" outlineLevel="0" collapsed="false">
      <c r="A261" s="1" t="n">
        <v>254</v>
      </c>
      <c r="B261" s="31" t="n">
        <f aca="false">Assumptions!$B$4+A261/12</f>
        <v>86.1666666666667</v>
      </c>
      <c r="C261" s="34" t="n">
        <f aca="false">Assumptions!$B$4+INT(A261/12)</f>
        <v>86</v>
      </c>
      <c r="D261" s="34" t="n">
        <f aca="false">INT(A261/12)+1</f>
        <v>22</v>
      </c>
      <c r="E261" s="32" t="n">
        <f aca="false">IFERROR(INDEX(Cohort_Survival!$G$5:$G$65,MATCH(C261,Cohort_Survival!$A$5:$A$65,0)),1)</f>
        <v>0.056345407052358</v>
      </c>
      <c r="F261" s="30" t="n">
        <f aca="false">1-(1-MIN(1,E261))^(1/12)</f>
        <v>0.00482126330958688</v>
      </c>
      <c r="G261" s="39" t="n">
        <f aca="false">IF(C261&lt;Assumptions!$B$5,IF(D261=1,Assumptions!$B$16,IF(D261=2,Assumptions!$B$17,IF(D261&lt;=5,Assumptions!$B$18,Assumptions!$B$19)))*(1-Assumptions!$B$20),0)</f>
        <v>0</v>
      </c>
      <c r="H261" s="30" t="n">
        <f aca="false">1-(1-G261)^(1/12)</f>
        <v>0</v>
      </c>
      <c r="I261" s="30" t="n">
        <f aca="false">I260*(1-F260)*(1-H260)</f>
        <v>0.542894822342489</v>
      </c>
      <c r="J261" s="30" t="n">
        <f aca="false">INDEX(Discount_Monthly!$G$4:$G$664,MATCH(A261,Discount_Monthly!$A$4:$A$664,0))</f>
        <v>0.516539596279655</v>
      </c>
      <c r="K261" s="30" t="n">
        <f aca="false">IF(C261&lt;Assumptions!$B$5,I261*J261,0)</f>
        <v>0</v>
      </c>
      <c r="L261" s="30" t="n">
        <f aca="false">IF(C261&lt;Assumptions!$B$5,I261*(1-F261)*H261*A261*J261,0)</f>
        <v>0</v>
      </c>
      <c r="M261" s="30" t="n">
        <f aca="false">IF(A261=0,Assumptions!$B$14*12*I261*J261,IF(AND(A261&gt;=12,C261&lt;Assumptions!$B$5),Assumptions!$B$15*I261*J261,0))</f>
        <v>0</v>
      </c>
      <c r="N261" s="47" t="n">
        <f aca="false">IF(C261&gt;=Assumptions!$B$5,I261*Assumptions!$B$9/12*(1+Assumptions!$B$10)^INT(A261/12)*J261,0)</f>
        <v>566.711025626561</v>
      </c>
      <c r="O261" s="47" t="n">
        <f aca="false">I261*Assumptions!$B$12/12*(1+Assumptions!$B$11)^(INT(A261/12)+1)*J261</f>
        <v>3.21849692163408</v>
      </c>
      <c r="P261" s="47" t="n">
        <f aca="false">O261+Pricing_M!$B$13*M261+N261-Pricing_M!$B$13*K261</f>
        <v>569.929522548195</v>
      </c>
      <c r="Q261" s="47" t="n">
        <f aca="false">IF(C261&lt;Assumptions!$B$5,Pricing_M!$B$13*K261-Pricing_M!$B$13*M261-O261,-(N261+O261))</f>
        <v>-569.929522548195</v>
      </c>
      <c r="R261" s="32" t="n">
        <f aca="false">R260*(1-(1-(1-MIN(1,E260*(1-Assumptions!$B$21)))^(1/12)))*(1-H260)</f>
        <v>0.590557810826775</v>
      </c>
      <c r="S261" s="47" t="n">
        <f aca="false">R261*(IF(C261&lt;Assumptions!$B$5,Assumptions!$B$12*(1+Assumptions!$B$11)^(INT(A261/12)+1)/12+Pricing_M!$B$13*IF(A261=0,Assumptions!$B$14*12,IF(A261&gt;=12,Assumptions!$B$15,0))-Pricing_M!$B$13,Assumptions!$B$9/12*(1+Assumptions!$B$10)^INT(A261/12)+Assumptions!$B$12*(1+Assumptions!$B$11)^(INT(A261/12)+1)/12))*J261</f>
        <v>619.965999508613</v>
      </c>
      <c r="T261" s="32" t="n">
        <f aca="false">T260*(1-F260)*(1-(1-(1-MIN(1,G260*(1+Assumptions!$B$23)))^(1/12)))</f>
        <v>0.491796938693459</v>
      </c>
      <c r="U261" s="47" t="n">
        <f aca="false">T261*(IF(C261&lt;Assumptions!$B$5,Assumptions!$B$12*(1+Assumptions!$B$11)^(INT(A261/12)+1)/12+Pricing_M!$B$13*IF(A261=0,Assumptions!$B$14*12,IF(A261&gt;=12,Assumptions!$B$15,0))-Pricing_M!$B$13,Assumptions!$B$9/12*(1+Assumptions!$B$10)^INT(A261/12)+Assumptions!$B$12*(1+Assumptions!$B$11)^(INT(A261/12)+1)/12))*J261</f>
        <v>516.287101893568</v>
      </c>
      <c r="V261" s="32" t="n">
        <f aca="false">V260*(1-F260)*(1-(1-(1-MIN(1,G260*(1-Assumptions!$B$23)))^(1/12)))</f>
        <v>0.598751927414862</v>
      </c>
      <c r="W261" s="47" t="n">
        <f aca="false">V261*(IF(C261&lt;Assumptions!$B$5,Assumptions!$B$12*(1+Assumptions!$B$11)^(INT(A261/12)+1)/12+Pricing_M!$B$13*IF(A261=0,Assumptions!$B$14*12,IF(A261&gt;=12,Assumptions!$B$15,0))-Pricing_M!$B$13,Assumptions!$B$9/12*(1+Assumptions!$B$10)^INT(A261/12)+Assumptions!$B$12*(1+Assumptions!$B$11)^(INT(A261/12)+1)/12))*J261</f>
        <v>628.568161037069</v>
      </c>
      <c r="X261" s="47" t="n">
        <f aca="false">I261*(IF(C261&lt;Assumptions!$B$5,Assumptions!$B$12*(1+Assumptions!$B$11)*(1+Assumptions!$B$24)*(1+Assumptions!$B$11+Assumptions!$B$25)^(INT(A261/12))/12+Pricing_M!$B$13*IF(A261=0,Assumptions!$B$14*12,IF(A261&gt;=12,Assumptions!$B$15,0))-Pricing_M!$B$13,Assumptions!$B$9/12*(1+Assumptions!$B$10)^INT(A261/12)+Assumptions!$B$12*(1+Assumptions!$B$11)*(1+Assumptions!$B$24)*(1+Assumptions!$B$11+Assumptions!$B$25)^(INT(A261/12))/12))*J261</f>
        <v>571.052047315134</v>
      </c>
    </row>
    <row r="262" customFormat="false" ht="15" hidden="false" customHeight="true" outlineLevel="0" collapsed="false">
      <c r="A262" s="1" t="n">
        <v>255</v>
      </c>
      <c r="B262" s="31" t="n">
        <f aca="false">Assumptions!$B$4+A262/12</f>
        <v>86.25</v>
      </c>
      <c r="C262" s="34" t="n">
        <f aca="false">Assumptions!$B$4+INT(A262/12)</f>
        <v>86</v>
      </c>
      <c r="D262" s="34" t="n">
        <f aca="false">INT(A262/12)+1</f>
        <v>22</v>
      </c>
      <c r="E262" s="32" t="n">
        <f aca="false">IFERROR(INDEX(Cohort_Survival!$G$5:$G$65,MATCH(C262,Cohort_Survival!$A$5:$A$65,0)),1)</f>
        <v>0.056345407052358</v>
      </c>
      <c r="F262" s="30" t="n">
        <f aca="false">1-(1-MIN(1,E262))^(1/12)</f>
        <v>0.00482126330958688</v>
      </c>
      <c r="G262" s="39" t="n">
        <f aca="false">IF(C262&lt;Assumptions!$B$5,IF(D262=1,Assumptions!$B$16,IF(D262=2,Assumptions!$B$17,IF(D262&lt;=5,Assumptions!$B$18,Assumptions!$B$19)))*(1-Assumptions!$B$20),0)</f>
        <v>0</v>
      </c>
      <c r="H262" s="30" t="n">
        <f aca="false">1-(1-G262)^(1/12)</f>
        <v>0</v>
      </c>
      <c r="I262" s="30" t="n">
        <f aca="false">I261*(1-F261)*(1-H261)</f>
        <v>0.540277383454564</v>
      </c>
      <c r="J262" s="30" t="n">
        <f aca="false">INDEX(Discount_Monthly!$G$4:$G$664,MATCH(A262,Discount_Monthly!$A$4:$A$664,0))</f>
        <v>0.515188842429521</v>
      </c>
      <c r="K262" s="30" t="n">
        <f aca="false">IF(C262&lt;Assumptions!$B$5,I262*J262,0)</f>
        <v>0</v>
      </c>
      <c r="L262" s="30" t="n">
        <f aca="false">IF(C262&lt;Assumptions!$B$5,I262*(1-F262)*H262*A262*J262,0)</f>
        <v>0</v>
      </c>
      <c r="M262" s="30" t="n">
        <f aca="false">IF(A262=0,Assumptions!$B$14*12*I262*J262,IF(AND(A262&gt;=12,C262&lt;Assumptions!$B$5),Assumptions!$B$15*I262*J262,0))</f>
        <v>0</v>
      </c>
      <c r="N262" s="47" t="n">
        <f aca="false">IF(C262&gt;=Assumptions!$B$5,I262*Assumptions!$B$9/12*(1+Assumptions!$B$10)^INT(A262/12)*J262,0)</f>
        <v>562.503955023943</v>
      </c>
      <c r="O262" s="47" t="n">
        <f aca="false">I262*Assumptions!$B$12/12*(1+Assumptions!$B$11)^(INT(A262/12)+1)*J262</f>
        <v>3.19460389119823</v>
      </c>
      <c r="P262" s="47" t="n">
        <f aca="false">O262+Pricing_M!$B$13*M262+N262-Pricing_M!$B$13*K262</f>
        <v>565.698558915141</v>
      </c>
      <c r="Q262" s="47" t="n">
        <f aca="false">IF(C262&lt;Assumptions!$B$5,Pricing_M!$B$13*K262-Pricing_M!$B$13*M262-O262,-(N262+O262))</f>
        <v>-565.698558915141</v>
      </c>
      <c r="R262" s="32" t="n">
        <f aca="false">R261*(1-(1-(1-MIN(1,E261*(1-Assumptions!$B$21)))^(1/12)))*(1-H261)</f>
        <v>0.588292266929873</v>
      </c>
      <c r="S262" s="47" t="n">
        <f aca="false">R262*(IF(C262&lt;Assumptions!$B$5,Assumptions!$B$12*(1+Assumptions!$B$11)^(INT(A262/12)+1)/12+Pricing_M!$B$13*IF(A262=0,Assumptions!$B$14*12,IF(A262&gt;=12,Assumptions!$B$15,0))-Pricing_M!$B$13,Assumptions!$B$9/12*(1+Assumptions!$B$10)^INT(A262/12)+Assumptions!$B$12*(1+Assumptions!$B$11)^(INT(A262/12)+1)/12))*J262</f>
        <v>615.972642599314</v>
      </c>
      <c r="T262" s="32" t="n">
        <f aca="false">T261*(1-F261)*(1-(1-(1-MIN(1,G261*(1+Assumptions!$B$23)))^(1/12)))</f>
        <v>0.489425856157169</v>
      </c>
      <c r="U262" s="47" t="n">
        <f aca="false">T262*(IF(C262&lt;Assumptions!$B$5,Assumptions!$B$12*(1+Assumptions!$B$11)^(INT(A262/12)+1)/12+Pricing_M!$B$13*IF(A262=0,Assumptions!$B$14*12,IF(A262&gt;=12,Assumptions!$B$15,0))-Pricing_M!$B$13,Assumptions!$B$9/12*(1+Assumptions!$B$10)^INT(A262/12)+Assumptions!$B$12*(1+Assumptions!$B$11)^(INT(A262/12)+1)/12))*J262</f>
        <v>512.454361412675</v>
      </c>
      <c r="V262" s="32" t="n">
        <f aca="false">V261*(1-F261)*(1-(1-(1-MIN(1,G261*(1-Assumptions!$B$23)))^(1/12)))</f>
        <v>0.595865186715673</v>
      </c>
      <c r="W262" s="47" t="n">
        <f aca="false">V262*(IF(C262&lt;Assumptions!$B$5,Assumptions!$B$12*(1+Assumptions!$B$11)^(INT(A262/12)+1)/12+Pricing_M!$B$13*IF(A262=0,Assumptions!$B$14*12,IF(A262&gt;=12,Assumptions!$B$15,0))-Pricing_M!$B$13,Assumptions!$B$9/12*(1+Assumptions!$B$10)^INT(A262/12)+Assumptions!$B$12*(1+Assumptions!$B$11)^(INT(A262/12)+1)/12))*J262</f>
        <v>623.901884023811</v>
      </c>
      <c r="X262" s="47" t="n">
        <f aca="false">I262*(IF(C262&lt;Assumptions!$B$5,Assumptions!$B$12*(1+Assumptions!$B$11)*(1+Assumptions!$B$24)*(1+Assumptions!$B$11+Assumptions!$B$25)^(INT(A262/12))/12+Pricing_M!$B$13*IF(A262=0,Assumptions!$B$14*12,IF(A262&gt;=12,Assumptions!$B$15,0))-Pricing_M!$B$13,Assumptions!$B$9/12*(1+Assumptions!$B$10)^INT(A262/12)+Assumptions!$B$12*(1+Assumptions!$B$11)*(1+Assumptions!$B$24)*(1+Assumptions!$B$11+Assumptions!$B$25)^(INT(A262/12))/12))*J262</f>
        <v>566.81275043862</v>
      </c>
    </row>
    <row r="263" customFormat="false" ht="15" hidden="false" customHeight="true" outlineLevel="0" collapsed="false">
      <c r="A263" s="1" t="n">
        <v>256</v>
      </c>
      <c r="B263" s="31" t="n">
        <f aca="false">Assumptions!$B$4+A263/12</f>
        <v>86.3333333333333</v>
      </c>
      <c r="C263" s="34" t="n">
        <f aca="false">Assumptions!$B$4+INT(A263/12)</f>
        <v>86</v>
      </c>
      <c r="D263" s="34" t="n">
        <f aca="false">INT(A263/12)+1</f>
        <v>22</v>
      </c>
      <c r="E263" s="32" t="n">
        <f aca="false">IFERROR(INDEX(Cohort_Survival!$G$5:$G$65,MATCH(C263,Cohort_Survival!$A$5:$A$65,0)),1)</f>
        <v>0.056345407052358</v>
      </c>
      <c r="F263" s="30" t="n">
        <f aca="false">1-(1-MIN(1,E263))^(1/12)</f>
        <v>0.00482126330958688</v>
      </c>
      <c r="G263" s="39" t="n">
        <f aca="false">IF(C263&lt;Assumptions!$B$5,IF(D263=1,Assumptions!$B$16,IF(D263=2,Assumptions!$B$17,IF(D263&lt;=5,Assumptions!$B$18,Assumptions!$B$19)))*(1-Assumptions!$B$20),0)</f>
        <v>0</v>
      </c>
      <c r="H263" s="30" t="n">
        <f aca="false">1-(1-G263)^(1/12)</f>
        <v>0</v>
      </c>
      <c r="I263" s="30" t="n">
        <f aca="false">I262*(1-F262)*(1-H262)</f>
        <v>0.537672563928715</v>
      </c>
      <c r="J263" s="30" t="n">
        <f aca="false">INDEX(Discount_Monthly!$G$4:$G$664,MATCH(A263,Discount_Monthly!$A$4:$A$664,0))</f>
        <v>0.513841620808042</v>
      </c>
      <c r="K263" s="30" t="n">
        <f aca="false">IF(C263&lt;Assumptions!$B$5,I263*J263,0)</f>
        <v>0</v>
      </c>
      <c r="L263" s="30" t="n">
        <f aca="false">IF(C263&lt;Assumptions!$B$5,I263*(1-F263)*H263*A263*J263,0)</f>
        <v>0</v>
      </c>
      <c r="M263" s="30" t="n">
        <f aca="false">IF(A263=0,Assumptions!$B$14*12*I263*J263,IF(AND(A263&gt;=12,C263&lt;Assumptions!$B$5),Assumptions!$B$15*I263*J263,0))</f>
        <v>0</v>
      </c>
      <c r="N263" s="47" t="n">
        <f aca="false">IF(C263&gt;=Assumptions!$B$5,I263*Assumptions!$B$9/12*(1+Assumptions!$B$10)^INT(A263/12)*J263,0)</f>
        <v>558.328116287752</v>
      </c>
      <c r="O263" s="47" t="n">
        <f aca="false">I263*Assumptions!$B$12/12*(1+Assumptions!$B$11)^(INT(A263/12)+1)*J263</f>
        <v>3.17088823452328</v>
      </c>
      <c r="P263" s="47" t="n">
        <f aca="false">O263+Pricing_M!$B$13*M263+N263-Pricing_M!$B$13*K263</f>
        <v>561.499004522275</v>
      </c>
      <c r="Q263" s="47" t="n">
        <f aca="false">IF(C263&lt;Assumptions!$B$5,Pricing_M!$B$13*K263-Pricing_M!$B$13*M263-O263,-(N263+O263))</f>
        <v>-561.499004522275</v>
      </c>
      <c r="R263" s="32" t="n">
        <f aca="false">R262*(1-(1-(1-MIN(1,E262*(1-Assumptions!$B$21)))^(1/12)))*(1-H262)</f>
        <v>0.586035414289026</v>
      </c>
      <c r="S263" s="47" t="n">
        <f aca="false">R263*(IF(C263&lt;Assumptions!$B$5,Assumptions!$B$12*(1+Assumptions!$B$11)^(INT(A263/12)+1)/12+Pricing_M!$B$13*IF(A263=0,Assumptions!$B$14*12,IF(A263&gt;=12,Assumptions!$B$15,0))-Pricing_M!$B$13,Assumptions!$B$9/12*(1+Assumptions!$B$10)^INT(A263/12)+Assumptions!$B$12*(1+Assumptions!$B$11)^(INT(A263/12)+1)/12))*J263</f>
        <v>612.005007906101</v>
      </c>
      <c r="T263" s="32" t="n">
        <f aca="false">T262*(1-F262)*(1-(1-(1-MIN(1,G262*(1+Assumptions!$B$23)))^(1/12)))</f>
        <v>0.487066205234115</v>
      </c>
      <c r="U263" s="47" t="n">
        <f aca="false">T263*(IF(C263&lt;Assumptions!$B$5,Assumptions!$B$12*(1+Assumptions!$B$11)^(INT(A263/12)+1)/12+Pricing_M!$B$13*IF(A263=0,Assumptions!$B$14*12,IF(A263&gt;=12,Assumptions!$B$15,0))-Pricing_M!$B$13,Assumptions!$B$9/12*(1+Assumptions!$B$10)^INT(A263/12)+Assumptions!$B$12*(1+Assumptions!$B$11)^(INT(A263/12)+1)/12))*J263</f>
        <v>508.650073898241</v>
      </c>
      <c r="V263" s="32" t="n">
        <f aca="false">V262*(1-F262)*(1-(1-(1-MIN(1,G262*(1-Assumptions!$B$23)))^(1/12)))</f>
        <v>0.5929923637535</v>
      </c>
      <c r="W263" s="47" t="n">
        <f aca="false">V263*(IF(C263&lt;Assumptions!$B$5,Assumptions!$B$12*(1+Assumptions!$B$11)^(INT(A263/12)+1)/12+Pricing_M!$B$13*IF(A263=0,Assumptions!$B$14*12,IF(A263&gt;=12,Assumptions!$B$15,0))-Pricing_M!$B$13,Assumptions!$B$9/12*(1+Assumptions!$B$10)^INT(A263/12)+Assumptions!$B$12*(1+Assumptions!$B$11)^(INT(A263/12)+1)/12))*J263</f>
        <v>619.270247869754</v>
      </c>
      <c r="X263" s="47" t="n">
        <f aca="false">I263*(IF(C263&lt;Assumptions!$B$5,Assumptions!$B$12*(1+Assumptions!$B$11)*(1+Assumptions!$B$24)*(1+Assumptions!$B$11+Assumptions!$B$25)^(INT(A263/12))/12+Pricing_M!$B$13*IF(A263=0,Assumptions!$B$14*12,IF(A263&gt;=12,Assumptions!$B$15,0))-Pricing_M!$B$13,Assumptions!$B$9/12*(1+Assumptions!$B$10)^INT(A263/12)+Assumptions!$B$12*(1+Assumptions!$B$11)*(1+Assumptions!$B$24)*(1+Assumptions!$B$11+Assumptions!$B$25)^(INT(A263/12))/12))*J263</f>
        <v>562.60492466547</v>
      </c>
    </row>
    <row r="264" customFormat="false" ht="15" hidden="false" customHeight="true" outlineLevel="0" collapsed="false">
      <c r="A264" s="1" t="n">
        <v>257</v>
      </c>
      <c r="B264" s="31" t="n">
        <f aca="false">Assumptions!$B$4+A264/12</f>
        <v>86.4166666666667</v>
      </c>
      <c r="C264" s="34" t="n">
        <f aca="false">Assumptions!$B$4+INT(A264/12)</f>
        <v>86</v>
      </c>
      <c r="D264" s="34" t="n">
        <f aca="false">INT(A264/12)+1</f>
        <v>22</v>
      </c>
      <c r="E264" s="32" t="n">
        <f aca="false">IFERROR(INDEX(Cohort_Survival!$G$5:$G$65,MATCH(C264,Cohort_Survival!$A$5:$A$65,0)),1)</f>
        <v>0.056345407052358</v>
      </c>
      <c r="F264" s="30" t="n">
        <f aca="false">1-(1-MIN(1,E264))^(1/12)</f>
        <v>0.00482126330958688</v>
      </c>
      <c r="G264" s="39" t="n">
        <f aca="false">IF(C264&lt;Assumptions!$B$5,IF(D264=1,Assumptions!$B$16,IF(D264=2,Assumptions!$B$17,IF(D264&lt;=5,Assumptions!$B$18,Assumptions!$B$19)))*(1-Assumptions!$B$20),0)</f>
        <v>0</v>
      </c>
      <c r="H264" s="30" t="n">
        <f aca="false">1-(1-G264)^(1/12)</f>
        <v>0</v>
      </c>
      <c r="I264" s="30" t="n">
        <f aca="false">I263*(1-F263)*(1-H263)</f>
        <v>0.535080302923674</v>
      </c>
      <c r="J264" s="30" t="n">
        <f aca="false">INDEX(Discount_Monthly!$G$4:$G$664,MATCH(A264,Discount_Monthly!$A$4:$A$664,0))</f>
        <v>0.512497922178421</v>
      </c>
      <c r="K264" s="30" t="n">
        <f aca="false">IF(C264&lt;Assumptions!$B$5,I264*J264,0)</f>
        <v>0</v>
      </c>
      <c r="L264" s="30" t="n">
        <f aca="false">IF(C264&lt;Assumptions!$B$5,I264*(1-F264)*H264*A264*J264,0)</f>
        <v>0</v>
      </c>
      <c r="M264" s="30" t="n">
        <f aca="false">IF(A264=0,Assumptions!$B$14*12*I264*J264,IF(AND(A264&gt;=12,C264&lt;Assumptions!$B$5),Assumptions!$B$15*I264*J264,0))</f>
        <v>0</v>
      </c>
      <c r="N264" s="47" t="n">
        <f aca="false">IF(C264&gt;=Assumptions!$B$5,I264*Assumptions!$B$9/12*(1+Assumptions!$B$10)^INT(A264/12)*J264,0)</f>
        <v>554.183277563196</v>
      </c>
      <c r="O264" s="47" t="n">
        <f aca="false">I264*Assumptions!$B$12/12*(1+Assumptions!$B$11)^(INT(A264/12)+1)*J264</f>
        <v>3.14734863484652</v>
      </c>
      <c r="P264" s="47" t="n">
        <f aca="false">O264+Pricing_M!$B$13*M264+N264-Pricing_M!$B$13*K264</f>
        <v>557.330626198043</v>
      </c>
      <c r="Q264" s="47" t="n">
        <f aca="false">IF(C264&lt;Assumptions!$B$5,Pricing_M!$B$13*K264-Pricing_M!$B$13*M264-O264,-(N264+O264))</f>
        <v>-557.330626198043</v>
      </c>
      <c r="R264" s="32" t="n">
        <f aca="false">R263*(1-(1-(1-MIN(1,E263*(1-Assumptions!$B$21)))^(1/12)))*(1-H263)</f>
        <v>0.583787219562159</v>
      </c>
      <c r="S264" s="47" t="n">
        <f aca="false">R264*(IF(C264&lt;Assumptions!$B$5,Assumptions!$B$12*(1+Assumptions!$B$11)^(INT(A264/12)+1)/12+Pricing_M!$B$13*IF(A264=0,Assumptions!$B$14*12,IF(A264&gt;=12,Assumptions!$B$15,0))-Pricing_M!$B$13,Assumptions!$B$9/12*(1+Assumptions!$B$10)^INT(A264/12)+Assumptions!$B$12*(1+Assumptions!$B$11)^(INT(A264/12)+1)/12))*J264</f>
        <v>608.062929745711</v>
      </c>
      <c r="T264" s="32" t="n">
        <f aca="false">T263*(1-F263)*(1-(1-(1-MIN(1,G263*(1+Assumptions!$B$23)))^(1/12)))</f>
        <v>0.48471793080948</v>
      </c>
      <c r="U264" s="47" t="n">
        <f aca="false">T264*(IF(C264&lt;Assumptions!$B$5,Assumptions!$B$12*(1+Assumptions!$B$11)^(INT(A264/12)+1)/12+Pricing_M!$B$13*IF(A264=0,Assumptions!$B$14*12,IF(A264&gt;=12,Assumptions!$B$15,0))-Pricing_M!$B$13,Assumptions!$B$9/12*(1+Assumptions!$B$10)^INT(A264/12)+Assumptions!$B$12*(1+Assumptions!$B$11)^(INT(A264/12)+1)/12))*J264</f>
        <v>504.874028125087</v>
      </c>
      <c r="V264" s="32" t="n">
        <f aca="false">V263*(1-F263)*(1-(1-(1-MIN(1,G263*(1-Assumptions!$B$23)))^(1/12)))</f>
        <v>0.59013339142727</v>
      </c>
      <c r="W264" s="47" t="n">
        <f aca="false">V264*(IF(C264&lt;Assumptions!$B$5,Assumptions!$B$12*(1+Assumptions!$B$11)^(INT(A264/12)+1)/12+Pricing_M!$B$13*IF(A264=0,Assumptions!$B$14*12,IF(A264&gt;=12,Assumptions!$B$15,0))-Pricing_M!$B$13,Assumptions!$B$9/12*(1+Assumptions!$B$10)^INT(A264/12)+Assumptions!$B$12*(1+Assumptions!$B$11)^(INT(A264/12)+1)/12))*J264</f>
        <v>614.672995412897</v>
      </c>
      <c r="X264" s="47" t="n">
        <f aca="false">I264*(IF(C264&lt;Assumptions!$B$5,Assumptions!$B$12*(1+Assumptions!$B$11)*(1+Assumptions!$B$24)*(1+Assumptions!$B$11+Assumptions!$B$25)^(INT(A264/12))/12+Pricing_M!$B$13*IF(A264=0,Assumptions!$B$14*12,IF(A264&gt;=12,Assumptions!$B$15,0))-Pricing_M!$B$13,Assumptions!$B$9/12*(1+Assumptions!$B$10)^INT(A264/12)+Assumptions!$B$12*(1+Assumptions!$B$11)*(1+Assumptions!$B$24)*(1+Assumptions!$B$11+Assumptions!$B$25)^(INT(A264/12))/12))*J264</f>
        <v>558.428336364878</v>
      </c>
    </row>
    <row r="265" customFormat="false" ht="15" hidden="false" customHeight="true" outlineLevel="0" collapsed="false">
      <c r="A265" s="1" t="n">
        <v>258</v>
      </c>
      <c r="B265" s="31" t="n">
        <f aca="false">Assumptions!$B$4+A265/12</f>
        <v>86.5</v>
      </c>
      <c r="C265" s="34" t="n">
        <f aca="false">Assumptions!$B$4+INT(A265/12)</f>
        <v>86</v>
      </c>
      <c r="D265" s="34" t="n">
        <f aca="false">INT(A265/12)+1</f>
        <v>22</v>
      </c>
      <c r="E265" s="32" t="n">
        <f aca="false">IFERROR(INDEX(Cohort_Survival!$G$5:$G$65,MATCH(C265,Cohort_Survival!$A$5:$A$65,0)),1)</f>
        <v>0.056345407052358</v>
      </c>
      <c r="F265" s="30" t="n">
        <f aca="false">1-(1-MIN(1,E265))^(1/12)</f>
        <v>0.00482126330958688</v>
      </c>
      <c r="G265" s="39" t="n">
        <f aca="false">IF(C265&lt;Assumptions!$B$5,IF(D265=1,Assumptions!$B$16,IF(D265=2,Assumptions!$B$17,IF(D265&lt;=5,Assumptions!$B$18,Assumptions!$B$19)))*(1-Assumptions!$B$20),0)</f>
        <v>0</v>
      </c>
      <c r="H265" s="30" t="n">
        <f aca="false">1-(1-G265)^(1/12)</f>
        <v>0</v>
      </c>
      <c r="I265" s="30" t="n">
        <f aca="false">I264*(1-F264)*(1-H264)</f>
        <v>0.532500539891505</v>
      </c>
      <c r="J265" s="30" t="n">
        <f aca="false">INDEX(Discount_Monthly!$G$4:$G$664,MATCH(A265,Discount_Monthly!$A$4:$A$664,0))</f>
        <v>0.511157737328016</v>
      </c>
      <c r="K265" s="30" t="n">
        <f aca="false">IF(C265&lt;Assumptions!$B$5,I265*J265,0)</f>
        <v>0</v>
      </c>
      <c r="L265" s="30" t="n">
        <f aca="false">IF(C265&lt;Assumptions!$B$5,I265*(1-F265)*H265*A265*J265,0)</f>
        <v>0</v>
      </c>
      <c r="M265" s="30" t="n">
        <f aca="false">IF(A265=0,Assumptions!$B$14*12*I265*J265,IF(AND(A265&gt;=12,C265&lt;Assumptions!$B$5),Assumptions!$B$15*I265*J265,0))</f>
        <v>0</v>
      </c>
      <c r="N265" s="47" t="n">
        <f aca="false">IF(C265&gt;=Assumptions!$B$5,I265*Assumptions!$B$9/12*(1+Assumptions!$B$10)^INT(A265/12)*J265,0)</f>
        <v>550.069208716695</v>
      </c>
      <c r="O265" s="47" t="n">
        <f aca="false">I265*Assumptions!$B$12/12*(1+Assumptions!$B$11)^(INT(A265/12)+1)*J265</f>
        <v>3.12398378518048</v>
      </c>
      <c r="P265" s="47" t="n">
        <f aca="false">O265+Pricing_M!$B$13*M265+N265-Pricing_M!$B$13*K265</f>
        <v>553.193192501875</v>
      </c>
      <c r="Q265" s="47" t="n">
        <f aca="false">IF(C265&lt;Assumptions!$B$5,Pricing_M!$B$13*K265-Pricing_M!$B$13*M265-O265,-(N265+O265))</f>
        <v>-553.193192501875</v>
      </c>
      <c r="R265" s="32" t="n">
        <f aca="false">R264*(1-(1-(1-MIN(1,E264*(1-Assumptions!$B$21)))^(1/12)))*(1-H264)</f>
        <v>0.581547649535108</v>
      </c>
      <c r="S265" s="47" t="n">
        <f aca="false">R265*(IF(C265&lt;Assumptions!$B$5,Assumptions!$B$12*(1+Assumptions!$B$11)^(INT(A265/12)+1)/12+Pricing_M!$B$13*IF(A265=0,Assumptions!$B$14*12,IF(A265&gt;=12,Assumptions!$B$15,0))-Pricing_M!$B$13,Assumptions!$B$9/12*(1+Assumptions!$B$10)^INT(A265/12)+Assumptions!$B$12*(1+Assumptions!$B$11)^(INT(A265/12)+1)/12))*J265</f>
        <v>604.14624350209</v>
      </c>
      <c r="T265" s="32" t="n">
        <f aca="false">T264*(1-F264)*(1-(1-(1-MIN(1,G264*(1+Assumptions!$B$23)))^(1/12)))</f>
        <v>0.48238097803417</v>
      </c>
      <c r="U265" s="47" t="n">
        <f aca="false">T265*(IF(C265&lt;Assumptions!$B$5,Assumptions!$B$12*(1+Assumptions!$B$11)^(INT(A265/12)+1)/12+Pricing_M!$B$13*IF(A265=0,Assumptions!$B$14*12,IF(A265&gt;=12,Assumptions!$B$15,0))-Pricing_M!$B$13,Assumptions!$B$9/12*(1+Assumptions!$B$10)^INT(A265/12)+Assumptions!$B$12*(1+Assumptions!$B$11)^(INT(A265/12)+1)/12))*J265</f>
        <v>501.126014436096</v>
      </c>
      <c r="V265" s="32" t="n">
        <f aca="false">V264*(1-F264)*(1-(1-(1-MIN(1,G264*(1-Assumptions!$B$23)))^(1/12)))</f>
        <v>0.58728820295942</v>
      </c>
      <c r="W265" s="47" t="n">
        <f aca="false">V265*(IF(C265&lt;Assumptions!$B$5,Assumptions!$B$12*(1+Assumptions!$B$11)^(INT(A265/12)+1)/12+Pricing_M!$B$13*IF(A265=0,Assumptions!$B$14*12,IF(A265&gt;=12,Assumptions!$B$15,0))-Pricing_M!$B$13,Assumptions!$B$9/12*(1+Assumptions!$B$10)^INT(A265/12)+Assumptions!$B$12*(1+Assumptions!$B$11)^(INT(A265/12)+1)/12))*J265</f>
        <v>610.109871400327</v>
      </c>
      <c r="X265" s="47" t="n">
        <f aca="false">I265*(IF(C265&lt;Assumptions!$B$5,Assumptions!$B$12*(1+Assumptions!$B$11)*(1+Assumptions!$B$24)*(1+Assumptions!$B$11+Assumptions!$B$25)^(INT(A265/12))/12+Pricing_M!$B$13*IF(A265=0,Assumptions!$B$14*12,IF(A265&gt;=12,Assumptions!$B$15,0))-Pricing_M!$B$13,Assumptions!$B$9/12*(1+Assumptions!$B$10)^INT(A265/12)+Assumptions!$B$12*(1+Assumptions!$B$11)*(1+Assumptions!$B$24)*(1+Assumptions!$B$11+Assumptions!$B$25)^(INT(A265/12))/12))*J265</f>
        <v>554.282753640433</v>
      </c>
    </row>
    <row r="266" customFormat="false" ht="15" hidden="false" customHeight="true" outlineLevel="0" collapsed="false">
      <c r="A266" s="1" t="n">
        <v>259</v>
      </c>
      <c r="B266" s="31" t="n">
        <f aca="false">Assumptions!$B$4+A266/12</f>
        <v>86.5833333333333</v>
      </c>
      <c r="C266" s="34" t="n">
        <f aca="false">Assumptions!$B$4+INT(A266/12)</f>
        <v>86</v>
      </c>
      <c r="D266" s="34" t="n">
        <f aca="false">INT(A266/12)+1</f>
        <v>22</v>
      </c>
      <c r="E266" s="32" t="n">
        <f aca="false">IFERROR(INDEX(Cohort_Survival!$G$5:$G$65,MATCH(C266,Cohort_Survival!$A$5:$A$65,0)),1)</f>
        <v>0.056345407052358</v>
      </c>
      <c r="F266" s="30" t="n">
        <f aca="false">1-(1-MIN(1,E266))^(1/12)</f>
        <v>0.00482126330958688</v>
      </c>
      <c r="G266" s="39" t="n">
        <f aca="false">IF(C266&lt;Assumptions!$B$5,IF(D266=1,Assumptions!$B$16,IF(D266=2,Assumptions!$B$17,IF(D266&lt;=5,Assumptions!$B$18,Assumptions!$B$19)))*(1-Assumptions!$B$20),0)</f>
        <v>0</v>
      </c>
      <c r="H266" s="30" t="n">
        <f aca="false">1-(1-G266)^(1/12)</f>
        <v>0</v>
      </c>
      <c r="I266" s="30" t="n">
        <f aca="false">I265*(1-F265)*(1-H265)</f>
        <v>0.529933214576191</v>
      </c>
      <c r="J266" s="30" t="n">
        <f aca="false">INDEX(Discount_Monthly!$G$4:$G$664,MATCH(A266,Discount_Monthly!$A$4:$A$664,0))</f>
        <v>0.509821057068274</v>
      </c>
      <c r="K266" s="30" t="n">
        <f aca="false">IF(C266&lt;Assumptions!$B$5,I266*J266,0)</f>
        <v>0</v>
      </c>
      <c r="L266" s="30" t="n">
        <f aca="false">IF(C266&lt;Assumptions!$B$5,I266*(1-F266)*H266*A266*J266,0)</f>
        <v>0</v>
      </c>
      <c r="M266" s="30" t="n">
        <f aca="false">IF(A266=0,Assumptions!$B$14*12*I266*J266,IF(AND(A266&gt;=12,C266&lt;Assumptions!$B$5),Assumptions!$B$15*I266*J266,0))</f>
        <v>0</v>
      </c>
      <c r="N266" s="47" t="n">
        <f aca="false">IF(C266&gt;=Assumptions!$B$5,I266*Assumptions!$B$9/12*(1+Assumptions!$B$10)^INT(A266/12)*J266,0)</f>
        <v>545.985681323101</v>
      </c>
      <c r="O266" s="47" t="n">
        <f aca="false">I266*Assumptions!$B$12/12*(1+Assumptions!$B$11)^(INT(A266/12)+1)*J266</f>
        <v>3.10079238824029</v>
      </c>
      <c r="P266" s="47" t="n">
        <f aca="false">O266+Pricing_M!$B$13*M266+N266-Pricing_M!$B$13*K266</f>
        <v>549.086473711341</v>
      </c>
      <c r="Q266" s="47" t="n">
        <f aca="false">IF(C266&lt;Assumptions!$B$5,Pricing_M!$B$13*K266-Pricing_M!$B$13*M266-O266,-(N266+O266))</f>
        <v>-549.086473711341</v>
      </c>
      <c r="R266" s="32" t="n">
        <f aca="false">R265*(1-(1-(1-MIN(1,E265*(1-Assumptions!$B$21)))^(1/12)))*(1-H265)</f>
        <v>0.579316671121127</v>
      </c>
      <c r="S266" s="47" t="n">
        <f aca="false">R266*(IF(C266&lt;Assumptions!$B$5,Assumptions!$B$12*(1+Assumptions!$B$11)^(INT(A266/12)+1)/12+Pricing_M!$B$13*IF(A266=0,Assumptions!$B$14*12,IF(A266&gt;=12,Assumptions!$B$15,0))-Pricing_M!$B$13,Assumptions!$B$9/12*(1+Assumptions!$B$10)^INT(A266/12)+Assumptions!$B$12*(1+Assumptions!$B$11)^(INT(A266/12)+1)/12))*J266</f>
        <v>600.254785619516</v>
      </c>
      <c r="T266" s="32" t="n">
        <f aca="false">T265*(1-F265)*(1-(1-(1-MIN(1,G265*(1+Assumptions!$B$23)))^(1/12)))</f>
        <v>0.480055292323531</v>
      </c>
      <c r="U266" s="47" t="n">
        <f aca="false">T266*(IF(C266&lt;Assumptions!$B$5,Assumptions!$B$12*(1+Assumptions!$B$11)^(INT(A266/12)+1)/12+Pricing_M!$B$13*IF(A266=0,Assumptions!$B$14*12,IF(A266&gt;=12,Assumptions!$B$15,0))-Pricing_M!$B$13,Assumptions!$B$9/12*(1+Assumptions!$B$10)^INT(A266/12)+Assumptions!$B$12*(1+Assumptions!$B$11)^(INT(A266/12)+1)/12))*J266</f>
        <v>497.405824730574</v>
      </c>
      <c r="V266" s="32" t="n">
        <f aca="false">V265*(1-F265)*(1-(1-(1-MIN(1,G265*(1-Assumptions!$B$23)))^(1/12)))</f>
        <v>0.584456731894339</v>
      </c>
      <c r="W266" s="47" t="n">
        <f aca="false">V266*(IF(C266&lt;Assumptions!$B$5,Assumptions!$B$12*(1+Assumptions!$B$11)^(INT(A266/12)+1)/12+Pricing_M!$B$13*IF(A266=0,Assumptions!$B$14*12,IF(A266&gt;=12,Assumptions!$B$15,0))-Pricing_M!$B$13,Assumptions!$B$9/12*(1+Assumptions!$B$10)^INT(A266/12)+Assumptions!$B$12*(1+Assumptions!$B$11)^(INT(A266/12)+1)/12))*J266</f>
        <v>605.580622474037</v>
      </c>
      <c r="X266" s="47" t="n">
        <f aca="false">I266*(IF(C266&lt;Assumptions!$B$5,Assumptions!$B$12*(1+Assumptions!$B$11)*(1+Assumptions!$B$24)*(1+Assumptions!$B$11+Assumptions!$B$25)^(INT(A266/12))/12+Pricing_M!$B$13*IF(A266=0,Assumptions!$B$14*12,IF(A266&gt;=12,Assumptions!$B$15,0))-Pricing_M!$B$13,Assumptions!$B$9/12*(1+Assumptions!$B$10)^INT(A266/12)+Assumptions!$B$12*(1+Assumptions!$B$11)*(1+Assumptions!$B$24)*(1+Assumptions!$B$11+Assumptions!$B$25)^(INT(A266/12))/12))*J266</f>
        <v>550.167946317246</v>
      </c>
    </row>
    <row r="267" customFormat="false" ht="15" hidden="false" customHeight="true" outlineLevel="0" collapsed="false">
      <c r="A267" s="1" t="n">
        <v>260</v>
      </c>
      <c r="B267" s="31" t="n">
        <f aca="false">Assumptions!$B$4+A267/12</f>
        <v>86.6666666666667</v>
      </c>
      <c r="C267" s="34" t="n">
        <f aca="false">Assumptions!$B$4+INT(A267/12)</f>
        <v>86</v>
      </c>
      <c r="D267" s="34" t="n">
        <f aca="false">INT(A267/12)+1</f>
        <v>22</v>
      </c>
      <c r="E267" s="32" t="n">
        <f aca="false">IFERROR(INDEX(Cohort_Survival!$G$5:$G$65,MATCH(C267,Cohort_Survival!$A$5:$A$65,0)),1)</f>
        <v>0.056345407052358</v>
      </c>
      <c r="F267" s="30" t="n">
        <f aca="false">1-(1-MIN(1,E267))^(1/12)</f>
        <v>0.00482126330958688</v>
      </c>
      <c r="G267" s="39" t="n">
        <f aca="false">IF(C267&lt;Assumptions!$B$5,IF(D267=1,Assumptions!$B$16,IF(D267=2,Assumptions!$B$17,IF(D267&lt;=5,Assumptions!$B$18,Assumptions!$B$19)))*(1-Assumptions!$B$20),0)</f>
        <v>0</v>
      </c>
      <c r="H267" s="30" t="n">
        <f aca="false">1-(1-G267)^(1/12)</f>
        <v>0</v>
      </c>
      <c r="I267" s="30" t="n">
        <f aca="false">I266*(1-F266)*(1-H266)</f>
        <v>0.527378267012224</v>
      </c>
      <c r="J267" s="30" t="n">
        <f aca="false">INDEX(Discount_Monthly!$G$4:$G$664,MATCH(A267,Discount_Monthly!$A$4:$A$664,0))</f>
        <v>0.508487872234673</v>
      </c>
      <c r="K267" s="30" t="n">
        <f aca="false">IF(C267&lt;Assumptions!$B$5,I267*J267,0)</f>
        <v>0</v>
      </c>
      <c r="L267" s="30" t="n">
        <f aca="false">IF(C267&lt;Assumptions!$B$5,I267*(1-F267)*H267*A267*J267,0)</f>
        <v>0</v>
      </c>
      <c r="M267" s="30" t="n">
        <f aca="false">IF(A267=0,Assumptions!$B$14*12*I267*J267,IF(AND(A267&gt;=12,C267&lt;Assumptions!$B$5),Assumptions!$B$15*I267*J267,0))</f>
        <v>0</v>
      </c>
      <c r="N267" s="47" t="n">
        <f aca="false">IF(C267&gt;=Assumptions!$B$5,I267*Assumptions!$B$9/12*(1+Assumptions!$B$10)^INT(A267/12)*J267,0)</f>
        <v>541.932468653019</v>
      </c>
      <c r="O267" s="47" t="n">
        <f aca="false">I267*Assumptions!$B$12/12*(1+Assumptions!$B$11)^(INT(A267/12)+1)*J267</f>
        <v>3.07777315637169</v>
      </c>
      <c r="P267" s="47" t="n">
        <f aca="false">O267+Pricing_M!$B$13*M267+N267-Pricing_M!$B$13*K267</f>
        <v>545.01024180939</v>
      </c>
      <c r="Q267" s="47" t="n">
        <f aca="false">IF(C267&lt;Assumptions!$B$5,Pricing_M!$B$13*K267-Pricing_M!$B$13*M267-O267,-(N267+O267))</f>
        <v>-545.01024180939</v>
      </c>
      <c r="R267" s="32" t="n">
        <f aca="false">R266*(1-(1-(1-MIN(1,E266*(1-Assumptions!$B$21)))^(1/12)))*(1-H266)</f>
        <v>0.577094251360402</v>
      </c>
      <c r="S267" s="47" t="n">
        <f aca="false">R267*(IF(C267&lt;Assumptions!$B$5,Assumptions!$B$12*(1+Assumptions!$B$11)^(INT(A267/12)+1)/12+Pricing_M!$B$13*IF(A267=0,Assumptions!$B$14*12,IF(A267&gt;=12,Assumptions!$B$15,0))-Pricing_M!$B$13,Assumptions!$B$9/12*(1+Assumptions!$B$10)^INT(A267/12)+Assumptions!$B$12*(1+Assumptions!$B$11)^(INT(A267/12)+1)/12))*J267</f>
        <v>596.388393595771</v>
      </c>
      <c r="T267" s="32" t="n">
        <f aca="false">T266*(1-F266)*(1-(1-(1-MIN(1,G266*(1+Assumptions!$B$23)))^(1/12)))</f>
        <v>0.477740819356078</v>
      </c>
      <c r="U267" s="47" t="n">
        <f aca="false">T267*(IF(C267&lt;Assumptions!$B$5,Assumptions!$B$12*(1+Assumptions!$B$11)^(INT(A267/12)+1)/12+Pricing_M!$B$13*IF(A267=0,Assumptions!$B$14*12,IF(A267&gt;=12,Assumptions!$B$15,0))-Pricing_M!$B$13,Assumptions!$B$9/12*(1+Assumptions!$B$10)^INT(A267/12)+Assumptions!$B$12*(1+Assumptions!$B$11)^(INT(A267/12)+1)/12))*J267</f>
        <v>493.713252452698</v>
      </c>
      <c r="V267" s="32" t="n">
        <f aca="false">V266*(1-F266)*(1-(1-(1-MIN(1,G266*(1-Assumptions!$B$23)))^(1/12)))</f>
        <v>0.581638912096815</v>
      </c>
      <c r="W267" s="47" t="n">
        <f aca="false">V267*(IF(C267&lt;Assumptions!$B$5,Assumptions!$B$12*(1+Assumptions!$B$11)^(INT(A267/12)+1)/12+Pricing_M!$B$13*IF(A267=0,Assumptions!$B$14*12,IF(A267&gt;=12,Assumptions!$B$15,0))-Pricing_M!$B$13,Assumptions!$B$9/12*(1+Assumptions!$B$10)^INT(A267/12)+Assumptions!$B$12*(1+Assumptions!$B$11)^(INT(A267/12)+1)/12))*J267</f>
        <v>601.084997156867</v>
      </c>
      <c r="X267" s="47" t="n">
        <f aca="false">I267*(IF(C267&lt;Assumptions!$B$5,Assumptions!$B$12*(1+Assumptions!$B$11)*(1+Assumptions!$B$24)*(1+Assumptions!$B$11+Assumptions!$B$25)^(INT(A267/12))/12+Pricing_M!$B$13*IF(A267=0,Assumptions!$B$14*12,IF(A267&gt;=12,Assumptions!$B$15,0))-Pricing_M!$B$13,Assumptions!$B$9/12*(1+Assumptions!$B$10)^INT(A267/12)+Assumptions!$B$12*(1+Assumptions!$B$11)*(1+Assumptions!$B$24)*(1+Assumptions!$B$11+Assumptions!$B$25)^(INT(A267/12))/12))*J267</f>
        <v>546.083685929166</v>
      </c>
    </row>
    <row r="268" customFormat="false" ht="15" hidden="false" customHeight="true" outlineLevel="0" collapsed="false">
      <c r="A268" s="1" t="n">
        <v>261</v>
      </c>
      <c r="B268" s="31" t="n">
        <f aca="false">Assumptions!$B$4+A268/12</f>
        <v>86.75</v>
      </c>
      <c r="C268" s="34" t="n">
        <f aca="false">Assumptions!$B$4+INT(A268/12)</f>
        <v>86</v>
      </c>
      <c r="D268" s="34" t="n">
        <f aca="false">INT(A268/12)+1</f>
        <v>22</v>
      </c>
      <c r="E268" s="32" t="n">
        <f aca="false">IFERROR(INDEX(Cohort_Survival!$G$5:$G$65,MATCH(C268,Cohort_Survival!$A$5:$A$65,0)),1)</f>
        <v>0.056345407052358</v>
      </c>
      <c r="F268" s="30" t="n">
        <f aca="false">1-(1-MIN(1,E268))^(1/12)</f>
        <v>0.00482126330958688</v>
      </c>
      <c r="G268" s="39" t="n">
        <f aca="false">IF(C268&lt;Assumptions!$B$5,IF(D268=1,Assumptions!$B$16,IF(D268=2,Assumptions!$B$17,IF(D268&lt;=5,Assumptions!$B$18,Assumptions!$B$19)))*(1-Assumptions!$B$20),0)</f>
        <v>0</v>
      </c>
      <c r="H268" s="30" t="n">
        <f aca="false">1-(1-G268)^(1/12)</f>
        <v>0</v>
      </c>
      <c r="I268" s="30" t="n">
        <f aca="false">I267*(1-F267)*(1-H267)</f>
        <v>0.524835637523204</v>
      </c>
      <c r="J268" s="30" t="n">
        <f aca="false">INDEX(Discount_Monthly!$G$4:$G$664,MATCH(A268,Discount_Monthly!$A$4:$A$664,0))</f>
        <v>0.507158173686653</v>
      </c>
      <c r="K268" s="30" t="n">
        <f aca="false">IF(C268&lt;Assumptions!$B$5,I268*J268,0)</f>
        <v>0</v>
      </c>
      <c r="L268" s="30" t="n">
        <f aca="false">IF(C268&lt;Assumptions!$B$5,I268*(1-F268)*H268*A268*J268,0)</f>
        <v>0</v>
      </c>
      <c r="M268" s="30" t="n">
        <f aca="false">IF(A268=0,Assumptions!$B$14*12*I268*J268,IF(AND(A268&gt;=12,C268&lt;Assumptions!$B$5),Assumptions!$B$15*I268*J268,0))</f>
        <v>0</v>
      </c>
      <c r="N268" s="47" t="n">
        <f aca="false">IF(C268&gt;=Assumptions!$B$5,I268*Assumptions!$B$9/12*(1+Assumptions!$B$10)^INT(A268/12)*J268,0)</f>
        <v>537.909345660213</v>
      </c>
      <c r="O268" s="47" t="n">
        <f aca="false">I268*Assumptions!$B$12/12*(1+Assumptions!$B$11)^(INT(A268/12)+1)*J268</f>
        <v>3.05492481147954</v>
      </c>
      <c r="P268" s="47" t="n">
        <f aca="false">O268+Pricing_M!$B$13*M268+N268-Pricing_M!$B$13*K268</f>
        <v>540.964270471692</v>
      </c>
      <c r="Q268" s="47" t="n">
        <f aca="false">IF(C268&lt;Assumptions!$B$5,Pricing_M!$B$13*K268-Pricing_M!$B$13*M268-O268,-(N268+O268))</f>
        <v>-540.964270471692</v>
      </c>
      <c r="R268" s="32" t="n">
        <f aca="false">R267*(1-(1-(1-MIN(1,E267*(1-Assumptions!$B$21)))^(1/12)))*(1-H267)</f>
        <v>0.574880357419559</v>
      </c>
      <c r="S268" s="47" t="n">
        <f aca="false">R268*(IF(C268&lt;Assumptions!$B$5,Assumptions!$B$12*(1+Assumptions!$B$11)^(INT(A268/12)+1)/12+Pricing_M!$B$13*IF(A268=0,Assumptions!$B$14*12,IF(A268&gt;=12,Assumptions!$B$15,0))-Pricing_M!$B$13,Assumptions!$B$9/12*(1+Assumptions!$B$10)^INT(A268/12)+Assumptions!$B$12*(1+Assumptions!$B$11)^(INT(A268/12)+1)/12))*J268</f>
        <v>592.546905975355</v>
      </c>
      <c r="T268" s="32" t="n">
        <f aca="false">T267*(1-F267)*(1-(1-(1-MIN(1,G267*(1+Assumptions!$B$23)))^(1/12)))</f>
        <v>0.475437505072225</v>
      </c>
      <c r="U268" s="47" t="n">
        <f aca="false">T268*(IF(C268&lt;Assumptions!$B$5,Assumptions!$B$12*(1+Assumptions!$B$11)^(INT(A268/12)+1)/12+Pricing_M!$B$13*IF(A268=0,Assumptions!$B$14*12,IF(A268&gt;=12,Assumptions!$B$15,0))-Pricing_M!$B$13,Assumptions!$B$9/12*(1+Assumptions!$B$10)^INT(A268/12)+Assumptions!$B$12*(1+Assumptions!$B$11)^(INT(A268/12)+1)/12))*J268</f>
        <v>490.048092580044</v>
      </c>
      <c r="V268" s="32" t="n">
        <f aca="false">V267*(1-F267)*(1-(1-(1-MIN(1,G267*(1-Assumptions!$B$23)))^(1/12)))</f>
        <v>0.578834677750495</v>
      </c>
      <c r="W268" s="47" t="n">
        <f aca="false">V268*(IF(C268&lt;Assumptions!$B$5,Assumptions!$B$12*(1+Assumptions!$B$11)^(INT(A268/12)+1)/12+Pricing_M!$B$13*IF(A268=0,Assumptions!$B$14*12,IF(A268&gt;=12,Assumptions!$B$15,0))-Pricing_M!$B$13,Assumptions!$B$9/12*(1+Assumptions!$B$10)^INT(A268/12)+Assumptions!$B$12*(1+Assumptions!$B$11)^(INT(A268/12)+1)/12))*J268</f>
        <v>596.622745838538</v>
      </c>
      <c r="X268" s="47" t="n">
        <f aca="false">I268*(IF(C268&lt;Assumptions!$B$5,Assumptions!$B$12*(1+Assumptions!$B$11)*(1+Assumptions!$B$24)*(1+Assumptions!$B$11+Assumptions!$B$25)^(INT(A268/12))/12+Pricing_M!$B$13*IF(A268=0,Assumptions!$B$14*12,IF(A268&gt;=12,Assumptions!$B$15,0))-Pricing_M!$B$13,Assumptions!$B$9/12*(1+Assumptions!$B$10)^INT(A268/12)+Assumptions!$B$12*(1+Assumptions!$B$11)*(1+Assumptions!$B$24)*(1+Assumptions!$B$11+Assumptions!$B$25)^(INT(A268/12))/12))*J268</f>
        <v>542.029745706101</v>
      </c>
    </row>
    <row r="269" customFormat="false" ht="15" hidden="false" customHeight="true" outlineLevel="0" collapsed="false">
      <c r="A269" s="1" t="n">
        <v>262</v>
      </c>
      <c r="B269" s="31" t="n">
        <f aca="false">Assumptions!$B$4+A269/12</f>
        <v>86.8333333333333</v>
      </c>
      <c r="C269" s="34" t="n">
        <f aca="false">Assumptions!$B$4+INT(A269/12)</f>
        <v>86</v>
      </c>
      <c r="D269" s="34" t="n">
        <f aca="false">INT(A269/12)+1</f>
        <v>22</v>
      </c>
      <c r="E269" s="32" t="n">
        <f aca="false">IFERROR(INDEX(Cohort_Survival!$G$5:$G$65,MATCH(C269,Cohort_Survival!$A$5:$A$65,0)),1)</f>
        <v>0.056345407052358</v>
      </c>
      <c r="F269" s="30" t="n">
        <f aca="false">1-(1-MIN(1,E269))^(1/12)</f>
        <v>0.00482126330958688</v>
      </c>
      <c r="G269" s="39" t="n">
        <f aca="false">IF(C269&lt;Assumptions!$B$5,IF(D269=1,Assumptions!$B$16,IF(D269=2,Assumptions!$B$17,IF(D269&lt;=5,Assumptions!$B$18,Assumptions!$B$19)))*(1-Assumptions!$B$20),0)</f>
        <v>0</v>
      </c>
      <c r="H269" s="30" t="n">
        <f aca="false">1-(1-G269)^(1/12)</f>
        <v>0</v>
      </c>
      <c r="I269" s="30" t="n">
        <f aca="false">I268*(1-F268)*(1-H268)</f>
        <v>0.52230526672045</v>
      </c>
      <c r="J269" s="30" t="n">
        <f aca="false">INDEX(Discount_Monthly!$G$4:$G$664,MATCH(A269,Discount_Monthly!$A$4:$A$664,0))</f>
        <v>0.50583195230756</v>
      </c>
      <c r="K269" s="30" t="n">
        <f aca="false">IF(C269&lt;Assumptions!$B$5,I269*J269,0)</f>
        <v>0</v>
      </c>
      <c r="L269" s="30" t="n">
        <f aca="false">IF(C269&lt;Assumptions!$B$5,I269*(1-F269)*H269*A269*J269,0)</f>
        <v>0</v>
      </c>
      <c r="M269" s="30" t="n">
        <f aca="false">IF(A269=0,Assumptions!$B$14*12*I269*J269,IF(AND(A269&gt;=12,C269&lt;Assumptions!$B$5),Assumptions!$B$15*I269*J269,0))</f>
        <v>0</v>
      </c>
      <c r="N269" s="47" t="n">
        <f aca="false">IF(C269&gt;=Assumptions!$B$5,I269*Assumptions!$B$9/12*(1+Assumptions!$B$10)^INT(A269/12)*J269,0)</f>
        <v>533.916088969117</v>
      </c>
      <c r="O269" s="47" t="n">
        <f aca="false">I269*Assumptions!$B$12/12*(1+Assumptions!$B$11)^(INT(A269/12)+1)*J269</f>
        <v>3.03224608495683</v>
      </c>
      <c r="P269" s="47" t="n">
        <f aca="false">O269+Pricing_M!$B$13*M269+N269-Pricing_M!$B$13*K269</f>
        <v>536.948335054074</v>
      </c>
      <c r="Q269" s="47" t="n">
        <f aca="false">IF(C269&lt;Assumptions!$B$5,Pricing_M!$B$13*K269-Pricing_M!$B$13*M269-O269,-(N269+O269))</f>
        <v>-536.948335054074</v>
      </c>
      <c r="R269" s="32" t="n">
        <f aca="false">R268*(1-(1-(1-MIN(1,E268*(1-Assumptions!$B$21)))^(1/12)))*(1-H268)</f>
        <v>0.572674956591184</v>
      </c>
      <c r="S269" s="47" t="n">
        <f aca="false">R269*(IF(C269&lt;Assumptions!$B$5,Assumptions!$B$12*(1+Assumptions!$B$11)^(INT(A269/12)+1)/12+Pricing_M!$B$13*IF(A269=0,Assumptions!$B$14*12,IF(A269&gt;=12,Assumptions!$B$15,0))-Pricing_M!$B$13,Assumptions!$B$9/12*(1+Assumptions!$B$10)^INT(A269/12)+Assumptions!$B$12*(1+Assumptions!$B$11)^(INT(A269/12)+1)/12))*J269</f>
        <v>588.730162342744</v>
      </c>
      <c r="T269" s="32" t="n">
        <f aca="false">T268*(1-F268)*(1-(1-(1-MIN(1,G268*(1+Assumptions!$B$23)))^(1/12)))</f>
        <v>0.473145295673019</v>
      </c>
      <c r="U269" s="47" t="n">
        <f aca="false">T269*(IF(C269&lt;Assumptions!$B$5,Assumptions!$B$12*(1+Assumptions!$B$11)^(INT(A269/12)+1)/12+Pricing_M!$B$13*IF(A269=0,Assumptions!$B$14*12,IF(A269&gt;=12,Assumptions!$B$15,0))-Pricing_M!$B$13,Assumptions!$B$9/12*(1+Assumptions!$B$10)^INT(A269/12)+Assumptions!$B$12*(1+Assumptions!$B$11)^(INT(A269/12)+1)/12))*J269</f>
        <v>486.410141612206</v>
      </c>
      <c r="V269" s="32" t="n">
        <f aca="false">V268*(1-F268)*(1-(1-(1-MIN(1,G268*(1-Assumptions!$B$23)))^(1/12)))</f>
        <v>0.57604396335634</v>
      </c>
      <c r="W269" s="47" t="n">
        <f aca="false">V269*(IF(C269&lt;Assumptions!$B$5,Assumptions!$B$12*(1+Assumptions!$B$11)^(INT(A269/12)+1)/12+Pricing_M!$B$13*IF(A269=0,Assumptions!$B$14*12,IF(A269&gt;=12,Assumptions!$B$15,0))-Pricing_M!$B$13,Assumptions!$B$9/12*(1+Assumptions!$B$10)^INT(A269/12)+Assumptions!$B$12*(1+Assumptions!$B$11)^(INT(A269/12)+1)/12))*J269</f>
        <v>592.193620761792</v>
      </c>
      <c r="X269" s="47" t="n">
        <f aca="false">I269*(IF(C269&lt;Assumptions!$B$5,Assumptions!$B$12*(1+Assumptions!$B$11)*(1+Assumptions!$B$24)*(1+Assumptions!$B$11+Assumptions!$B$25)^(INT(A269/12))/12+Pricing_M!$B$13*IF(A269=0,Assumptions!$B$14*12,IF(A269&gt;=12,Assumptions!$B$15,0))-Pricing_M!$B$13,Assumptions!$B$9/12*(1+Assumptions!$B$10)^INT(A269/12)+Assumptions!$B$12*(1+Assumptions!$B$11)*(1+Assumptions!$B$24)*(1+Assumptions!$B$11+Assumptions!$B$25)^(INT(A269/12))/12))*J269</f>
        <v>538.005900561419</v>
      </c>
    </row>
    <row r="270" customFormat="false" ht="15" hidden="false" customHeight="true" outlineLevel="0" collapsed="false">
      <c r="A270" s="1" t="n">
        <v>263</v>
      </c>
      <c r="B270" s="31" t="n">
        <f aca="false">Assumptions!$B$4+A270/12</f>
        <v>86.9166666666667</v>
      </c>
      <c r="C270" s="34" t="n">
        <f aca="false">Assumptions!$B$4+INT(A270/12)</f>
        <v>86</v>
      </c>
      <c r="D270" s="34" t="n">
        <f aca="false">INT(A270/12)+1</f>
        <v>22</v>
      </c>
      <c r="E270" s="32" t="n">
        <f aca="false">IFERROR(INDEX(Cohort_Survival!$G$5:$G$65,MATCH(C270,Cohort_Survival!$A$5:$A$65,0)),1)</f>
        <v>0.056345407052358</v>
      </c>
      <c r="F270" s="30" t="n">
        <f aca="false">1-(1-MIN(1,E270))^(1/12)</f>
        <v>0.00482126330958688</v>
      </c>
      <c r="G270" s="39" t="n">
        <f aca="false">IF(C270&lt;Assumptions!$B$5,IF(D270=1,Assumptions!$B$16,IF(D270=2,Assumptions!$B$17,IF(D270&lt;=5,Assumptions!$B$18,Assumptions!$B$19)))*(1-Assumptions!$B$20),0)</f>
        <v>0</v>
      </c>
      <c r="H270" s="30" t="n">
        <f aca="false">1-(1-G270)^(1/12)</f>
        <v>0</v>
      </c>
      <c r="I270" s="30" t="n">
        <f aca="false">I269*(1-F269)*(1-H269)</f>
        <v>0.519787095501607</v>
      </c>
      <c r="J270" s="30" t="n">
        <f aca="false">INDEX(Discount_Monthly!$G$4:$G$664,MATCH(A270,Discount_Monthly!$A$4:$A$664,0))</f>
        <v>0.504509199004576</v>
      </c>
      <c r="K270" s="30" t="n">
        <f aca="false">IF(C270&lt;Assumptions!$B$5,I270*J270,0)</f>
        <v>0</v>
      </c>
      <c r="L270" s="30" t="n">
        <f aca="false">IF(C270&lt;Assumptions!$B$5,I270*(1-F270)*H270*A270*J270,0)</f>
        <v>0</v>
      </c>
      <c r="M270" s="30" t="n">
        <f aca="false">IF(A270=0,Assumptions!$B$14*12*I270*J270,IF(AND(A270&gt;=12,C270&lt;Assumptions!$B$5),Assumptions!$B$15*I270*J270,0))</f>
        <v>0</v>
      </c>
      <c r="N270" s="47" t="n">
        <f aca="false">IF(C270&gt;=Assumptions!$B$5,I270*Assumptions!$B$9/12*(1+Assumptions!$B$10)^INT(A270/12)*J270,0)</f>
        <v>529.952476862429</v>
      </c>
      <c r="O270" s="47" t="n">
        <f aca="false">I270*Assumptions!$B$12/12*(1+Assumptions!$B$11)^(INT(A270/12)+1)*J270</f>
        <v>3.00973571761428</v>
      </c>
      <c r="P270" s="47" t="n">
        <f aca="false">O270+Pricing_M!$B$13*M270+N270-Pricing_M!$B$13*K270</f>
        <v>532.962212580043</v>
      </c>
      <c r="Q270" s="47" t="n">
        <f aca="false">IF(C270&lt;Assumptions!$B$5,Pricing_M!$B$13*K270-Pricing_M!$B$13*M270-O270,-(N270+O270))</f>
        <v>-532.962212580043</v>
      </c>
      <c r="R270" s="32" t="n">
        <f aca="false">R269*(1-(1-(1-MIN(1,E269*(1-Assumptions!$B$21)))^(1/12)))*(1-H269)</f>
        <v>0.570478016293337</v>
      </c>
      <c r="S270" s="47" t="n">
        <f aca="false">R270*(IF(C270&lt;Assumptions!$B$5,Assumptions!$B$12*(1+Assumptions!$B$11)^(INT(A270/12)+1)/12+Pricing_M!$B$13*IF(A270=0,Assumptions!$B$14*12,IF(A270&gt;=12,Assumptions!$B$15,0))-Pricing_M!$B$13,Assumptions!$B$9/12*(1+Assumptions!$B$10)^INT(A270/12)+Assumptions!$B$12*(1+Assumptions!$B$11)^(INT(A270/12)+1)/12))*J270</f>
        <v>584.938003315689</v>
      </c>
      <c r="T270" s="32" t="n">
        <f aca="false">T269*(1-F269)*(1-(1-(1-MIN(1,G269*(1+Assumptions!$B$23)))^(1/12)))</f>
        <v>0.470864137618887</v>
      </c>
      <c r="U270" s="47" t="n">
        <f aca="false">T270*(IF(C270&lt;Assumptions!$B$5,Assumptions!$B$12*(1+Assumptions!$B$11)^(INT(A270/12)+1)/12+Pricing_M!$B$13*IF(A270=0,Assumptions!$B$14*12,IF(A270&gt;=12,Assumptions!$B$15,0))-Pricing_M!$B$13,Assumptions!$B$9/12*(1+Assumptions!$B$10)^INT(A270/12)+Assumptions!$B$12*(1+Assumptions!$B$11)^(INT(A270/12)+1)/12))*J270</f>
        <v>482.799197559494</v>
      </c>
      <c r="V270" s="32" t="n">
        <f aca="false">V269*(1-F269)*(1-(1-(1-MIN(1,G269*(1-Assumptions!$B$23)))^(1/12)))</f>
        <v>0.573266703731101</v>
      </c>
      <c r="W270" s="47" t="n">
        <f aca="false">V270*(IF(C270&lt;Assumptions!$B$5,Assumptions!$B$12*(1+Assumptions!$B$11)^(INT(A270/12)+1)/12+Pricing_M!$B$13*IF(A270=0,Assumptions!$B$14*12,IF(A270&gt;=12,Assumptions!$B$15,0))-Pricing_M!$B$13,Assumptions!$B$9/12*(1+Assumptions!$B$10)^INT(A270/12)+Assumptions!$B$12*(1+Assumptions!$B$11)^(INT(A270/12)+1)/12))*J270</f>
        <v>587.797376008638</v>
      </c>
      <c r="X270" s="47" t="n">
        <f aca="false">I270*(IF(C270&lt;Assumptions!$B$5,Assumptions!$B$12*(1+Assumptions!$B$11)*(1+Assumptions!$B$24)*(1+Assumptions!$B$11+Assumptions!$B$25)^(INT(A270/12))/12+Pricing_M!$B$13*IF(A270=0,Assumptions!$B$14*12,IF(A270&gt;=12,Assumptions!$B$15,0))-Pricing_M!$B$13,Assumptions!$B$9/12*(1+Assumptions!$B$10)^INT(A270/12)+Assumptions!$B$12*(1+Assumptions!$B$11)*(1+Assumptions!$B$24)*(1+Assumptions!$B$11+Assumptions!$B$25)^(INT(A270/12))/12))*J270</f>
        <v>534.011927079458</v>
      </c>
    </row>
    <row r="271" customFormat="false" ht="15" hidden="false" customHeight="true" outlineLevel="0" collapsed="false">
      <c r="A271" s="1" t="n">
        <v>264</v>
      </c>
      <c r="B271" s="31" t="n">
        <f aca="false">Assumptions!$B$4+A271/12</f>
        <v>87</v>
      </c>
      <c r="C271" s="34" t="n">
        <f aca="false">Assumptions!$B$4+INT(A271/12)</f>
        <v>87</v>
      </c>
      <c r="D271" s="34" t="n">
        <f aca="false">INT(A271/12)+1</f>
        <v>23</v>
      </c>
      <c r="E271" s="32" t="n">
        <f aca="false">IFERROR(INDEX(Cohort_Survival!$G$5:$G$65,MATCH(C271,Cohort_Survival!$A$5:$A$65,0)),1)</f>
        <v>0.063900243074023</v>
      </c>
      <c r="F271" s="30" t="n">
        <f aca="false">1-(1-MIN(1,E271))^(1/12)</f>
        <v>0.00548765668780071</v>
      </c>
      <c r="G271" s="39" t="n">
        <f aca="false">IF(C271&lt;Assumptions!$B$5,IF(D271=1,Assumptions!$B$16,IF(D271=2,Assumptions!$B$17,IF(D271&lt;=5,Assumptions!$B$18,Assumptions!$B$19)))*(1-Assumptions!$B$20),0)</f>
        <v>0</v>
      </c>
      <c r="H271" s="30" t="n">
        <f aca="false">1-(1-G271)^(1/12)</f>
        <v>0</v>
      </c>
      <c r="I271" s="30" t="n">
        <f aca="false">I270*(1-F270)*(1-H270)</f>
        <v>0.517281065049268</v>
      </c>
      <c r="J271" s="30" t="n">
        <f aca="false">INDEX(Discount_Monthly!$G$4:$G$664,MATCH(A271,Discount_Monthly!$A$4:$A$664,0))</f>
        <v>0.503189904708666</v>
      </c>
      <c r="K271" s="30" t="n">
        <f aca="false">IF(C271&lt;Assumptions!$B$5,I271*J271,0)</f>
        <v>0</v>
      </c>
      <c r="L271" s="30" t="n">
        <f aca="false">IF(C271&lt;Assumptions!$B$5,I271*(1-F271)*H271*A271*J271,0)</f>
        <v>0</v>
      </c>
      <c r="M271" s="30" t="n">
        <f aca="false">IF(A271=0,Assumptions!$B$14*12*I271*J271,IF(AND(A271&gt;=12,C271&lt;Assumptions!$B$5),Assumptions!$B$15*I271*J271,0))</f>
        <v>0</v>
      </c>
      <c r="N271" s="47" t="n">
        <f aca="false">IF(C271&gt;=Assumptions!$B$5,I271*Assumptions!$B$9/12*(1+Assumptions!$B$10)^INT(A271/12)*J271,0)</f>
        <v>536.538655054176</v>
      </c>
      <c r="O271" s="47" t="n">
        <f aca="false">I271*Assumptions!$B$12/12*(1+Assumptions!$B$11)^(INT(A271/12)+1)*J271</f>
        <v>3.06207727110065</v>
      </c>
      <c r="P271" s="47" t="n">
        <f aca="false">O271+Pricing_M!$B$13*M271+N271-Pricing_M!$B$13*K271</f>
        <v>539.600732325277</v>
      </c>
      <c r="Q271" s="47" t="n">
        <f aca="false">IF(C271&lt;Assumptions!$B$5,Pricing_M!$B$13*K271-Pricing_M!$B$13*M271-O271,-(N271+O271))</f>
        <v>-539.600732325277</v>
      </c>
      <c r="R271" s="32" t="n">
        <f aca="false">R270*(1-(1-(1-MIN(1,E270*(1-Assumptions!$B$21)))^(1/12)))*(1-H270)</f>
        <v>0.568289504069071</v>
      </c>
      <c r="S271" s="47" t="n">
        <f aca="false">R271*(IF(C271&lt;Assumptions!$B$5,Assumptions!$B$12*(1+Assumptions!$B$11)^(INT(A271/12)+1)/12+Pricing_M!$B$13*IF(A271=0,Assumptions!$B$14*12,IF(A271&gt;=12,Assumptions!$B$15,0))-Pricing_M!$B$13,Assumptions!$B$9/12*(1+Assumptions!$B$10)^INT(A271/12)+Assumptions!$B$12*(1+Assumptions!$B$11)^(INT(A271/12)+1)/12))*J271</f>
        <v>592.810085826808</v>
      </c>
      <c r="T271" s="32" t="n">
        <f aca="false">T270*(1-F270)*(1-(1-(1-MIN(1,G270*(1+Assumptions!$B$23)))^(1/12)))</f>
        <v>0.468593977628384</v>
      </c>
      <c r="U271" s="47" t="n">
        <f aca="false">T271*(IF(C271&lt;Assumptions!$B$5,Assumptions!$B$12*(1+Assumptions!$B$11)^(INT(A271/12)+1)/12+Pricing_M!$B$13*IF(A271=0,Assumptions!$B$14*12,IF(A271&gt;=12,Assumptions!$B$15,0))-Pricing_M!$B$13,Assumptions!$B$9/12*(1+Assumptions!$B$10)^INT(A271/12)+Assumptions!$B$12*(1+Assumptions!$B$11)^(INT(A271/12)+1)/12))*J271</f>
        <v>488.812892208625</v>
      </c>
      <c r="V271" s="32" t="n">
        <f aca="false">V270*(1-F270)*(1-(1-(1-MIN(1,G270*(1-Assumptions!$B$23)))^(1/12)))</f>
        <v>0.570502834005794</v>
      </c>
      <c r="W271" s="47" t="n">
        <f aca="false">V271*(IF(C271&lt;Assumptions!$B$5,Assumptions!$B$12*(1+Assumptions!$B$11)^(INT(A271/12)+1)/12+Pricing_M!$B$13*IF(A271=0,Assumptions!$B$14*12,IF(A271&gt;=12,Assumptions!$B$15,0))-Pricing_M!$B$13,Assumptions!$B$9/12*(1+Assumptions!$B$10)^INT(A271/12)+Assumptions!$B$12*(1+Assumptions!$B$11)^(INT(A271/12)+1)/12))*J271</f>
        <v>595.118916625823</v>
      </c>
      <c r="X271" s="47" t="n">
        <f aca="false">I271*(IF(C271&lt;Assumptions!$B$5,Assumptions!$B$12*(1+Assumptions!$B$11)*(1+Assumptions!$B$24)*(1+Assumptions!$B$11+Assumptions!$B$25)^(INT(A271/12))/12+Pricing_M!$B$13*IF(A271=0,Assumptions!$B$14*12,IF(A271&gt;=12,Assumptions!$B$15,0))-Pricing_M!$B$13,Assumptions!$B$9/12*(1+Assumptions!$B$10)^INT(A271/12)+Assumptions!$B$12*(1+Assumptions!$B$11)*(1+Assumptions!$B$24)*(1+Assumptions!$B$11+Assumptions!$B$25)^(INT(A271/12))/12))*J271</f>
        <v>540.708995286694</v>
      </c>
    </row>
    <row r="272" customFormat="false" ht="15" hidden="false" customHeight="true" outlineLevel="0" collapsed="false">
      <c r="A272" s="1" t="n">
        <v>265</v>
      </c>
      <c r="B272" s="31" t="n">
        <f aca="false">Assumptions!$B$4+A272/12</f>
        <v>87.0833333333333</v>
      </c>
      <c r="C272" s="34" t="n">
        <f aca="false">Assumptions!$B$4+INT(A272/12)</f>
        <v>87</v>
      </c>
      <c r="D272" s="34" t="n">
        <f aca="false">INT(A272/12)+1</f>
        <v>23</v>
      </c>
      <c r="E272" s="32" t="n">
        <f aca="false">IFERROR(INDEX(Cohort_Survival!$G$5:$G$65,MATCH(C272,Cohort_Survival!$A$5:$A$65,0)),1)</f>
        <v>0.063900243074023</v>
      </c>
      <c r="F272" s="30" t="n">
        <f aca="false">1-(1-MIN(1,E272))^(1/12)</f>
        <v>0.00548765668780071</v>
      </c>
      <c r="G272" s="39" t="n">
        <f aca="false">IF(C272&lt;Assumptions!$B$5,IF(D272=1,Assumptions!$B$16,IF(D272=2,Assumptions!$B$17,IF(D272&lt;=5,Assumptions!$B$18,Assumptions!$B$19)))*(1-Assumptions!$B$20),0)</f>
        <v>0</v>
      </c>
      <c r="H272" s="30" t="n">
        <f aca="false">1-(1-G272)^(1/12)</f>
        <v>0</v>
      </c>
      <c r="I272" s="30" t="n">
        <f aca="false">I271*(1-F271)*(1-H271)</f>
        <v>0.514442404153178</v>
      </c>
      <c r="J272" s="30" t="n">
        <f aca="false">INDEX(Discount_Monthly!$G$4:$G$664,MATCH(A272,Discount_Monthly!$A$4:$A$664,0))</f>
        <v>0.501873249713651</v>
      </c>
      <c r="K272" s="30" t="n">
        <f aca="false">IF(C272&lt;Assumptions!$B$5,I272*J272,0)</f>
        <v>0</v>
      </c>
      <c r="L272" s="30" t="n">
        <f aca="false">IF(C272&lt;Assumptions!$B$5,I272*(1-F272)*H272*A272*J272,0)</f>
        <v>0</v>
      </c>
      <c r="M272" s="30" t="n">
        <f aca="false">IF(A272=0,Assumptions!$B$14*12*I272*J272,IF(AND(A272&gt;=12,C272&lt;Assumptions!$B$5),Assumptions!$B$15*I272*J272,0))</f>
        <v>0</v>
      </c>
      <c r="N272" s="47" t="n">
        <f aca="false">IF(C272&gt;=Assumptions!$B$5,I272*Assumptions!$B$9/12*(1+Assumptions!$B$10)^INT(A272/12)*J272,0)</f>
        <v>532.198103439289</v>
      </c>
      <c r="O272" s="47" t="n">
        <f aca="false">I272*Assumptions!$B$12/12*(1+Assumptions!$B$11)^(INT(A272/12)+1)*J272</f>
        <v>3.03730532910022</v>
      </c>
      <c r="P272" s="47" t="n">
        <f aca="false">O272+Pricing_M!$B$13*M272+N272-Pricing_M!$B$13*K272</f>
        <v>535.235408768389</v>
      </c>
      <c r="Q272" s="47" t="n">
        <f aca="false">IF(C272&lt;Assumptions!$B$5,Pricing_M!$B$13*K272-Pricing_M!$B$13*M272-O272,-(N272+O272))</f>
        <v>-535.235408768389</v>
      </c>
      <c r="R272" s="32" t="n">
        <f aca="false">R271*(1-(1-(1-MIN(1,E271*(1-Assumptions!$B$21)))^(1/12)))*(1-H271)</f>
        <v>0.565809934640377</v>
      </c>
      <c r="S272" s="47" t="n">
        <f aca="false">R272*(IF(C272&lt;Assumptions!$B$5,Assumptions!$B$12*(1+Assumptions!$B$11)^(INT(A272/12)+1)/12+Pricing_M!$B$13*IF(A272=0,Assumptions!$B$14*12,IF(A272&gt;=12,Assumptions!$B$15,0))-Pricing_M!$B$13,Assumptions!$B$9/12*(1+Assumptions!$B$10)^INT(A272/12)+Assumptions!$B$12*(1+Assumptions!$B$11)^(INT(A272/12)+1)/12))*J272</f>
        <v>588.679139214747</v>
      </c>
      <c r="T272" s="32" t="n">
        <f aca="false">T271*(1-F271)*(1-(1-(1-MIN(1,G271*(1+Assumptions!$B$23)))^(1/12)))</f>
        <v>0.466022494753189</v>
      </c>
      <c r="U272" s="47" t="n">
        <f aca="false">T272*(IF(C272&lt;Assumptions!$B$5,Assumptions!$B$12*(1+Assumptions!$B$11)^(INT(A272/12)+1)/12+Pricing_M!$B$13*IF(A272=0,Assumptions!$B$14*12,IF(A272&gt;=12,Assumptions!$B$15,0))-Pricing_M!$B$13,Assumptions!$B$9/12*(1+Assumptions!$B$10)^INT(A272/12)+Assumptions!$B$12*(1+Assumptions!$B$11)^(INT(A272/12)+1)/12))*J272</f>
        <v>484.858437914107</v>
      </c>
      <c r="V272" s="32" t="n">
        <f aca="false">V271*(1-F271)*(1-(1-(1-MIN(1,G271*(1-Assumptions!$B$23)))^(1/12)))</f>
        <v>0.567372110313353</v>
      </c>
      <c r="W272" s="47" t="n">
        <f aca="false">V272*(IF(C272&lt;Assumptions!$B$5,Assumptions!$B$12*(1+Assumptions!$B$11)^(INT(A272/12)+1)/12+Pricing_M!$B$13*IF(A272=0,Assumptions!$B$14*12,IF(A272&gt;=12,Assumptions!$B$15,0))-Pricing_M!$B$13,Assumptions!$B$9/12*(1+Assumptions!$B$10)^INT(A272/12)+Assumptions!$B$12*(1+Assumptions!$B$11)^(INT(A272/12)+1)/12))*J272</f>
        <v>590.304455728594</v>
      </c>
      <c r="X272" s="47" t="n">
        <f aca="false">I272*(IF(C272&lt;Assumptions!$B$5,Assumptions!$B$12*(1+Assumptions!$B$11)*(1+Assumptions!$B$24)*(1+Assumptions!$B$11+Assumptions!$B$25)^(INT(A272/12))/12+Pricing_M!$B$13*IF(A272=0,Assumptions!$B$14*12,IF(A272&gt;=12,Assumptions!$B$15,0))-Pricing_M!$B$13,Assumptions!$B$9/12*(1+Assumptions!$B$10)^INT(A272/12)+Assumptions!$B$12*(1+Assumptions!$B$11)*(1+Assumptions!$B$24)*(1+Assumptions!$B$11+Assumptions!$B$25)^(INT(A272/12))/12))*J272</f>
        <v>536.334705977681</v>
      </c>
    </row>
    <row r="273" customFormat="false" ht="15" hidden="false" customHeight="true" outlineLevel="0" collapsed="false">
      <c r="A273" s="1" t="n">
        <v>266</v>
      </c>
      <c r="B273" s="31" t="n">
        <f aca="false">Assumptions!$B$4+A273/12</f>
        <v>87.1666666666667</v>
      </c>
      <c r="C273" s="34" t="n">
        <f aca="false">Assumptions!$B$4+INT(A273/12)</f>
        <v>87</v>
      </c>
      <c r="D273" s="34" t="n">
        <f aca="false">INT(A273/12)+1</f>
        <v>23</v>
      </c>
      <c r="E273" s="32" t="n">
        <f aca="false">IFERROR(INDEX(Cohort_Survival!$G$5:$G$65,MATCH(C273,Cohort_Survival!$A$5:$A$65,0)),1)</f>
        <v>0.063900243074023</v>
      </c>
      <c r="F273" s="30" t="n">
        <f aca="false">1-(1-MIN(1,E273))^(1/12)</f>
        <v>0.00548765668780071</v>
      </c>
      <c r="G273" s="39" t="n">
        <f aca="false">IF(C273&lt;Assumptions!$B$5,IF(D273=1,Assumptions!$B$16,IF(D273=2,Assumptions!$B$17,IF(D273&lt;=5,Assumptions!$B$18,Assumptions!$B$19)))*(1-Assumptions!$B$20),0)</f>
        <v>0</v>
      </c>
      <c r="H273" s="30" t="n">
        <f aca="false">1-(1-G273)^(1/12)</f>
        <v>0</v>
      </c>
      <c r="I273" s="30" t="n">
        <f aca="false">I272*(1-F272)*(1-H272)</f>
        <v>0.511619320853538</v>
      </c>
      <c r="J273" s="30" t="n">
        <f aca="false">INDEX(Discount_Monthly!$G$4:$G$664,MATCH(A273,Discount_Monthly!$A$4:$A$664,0))</f>
        <v>0.50056003989979</v>
      </c>
      <c r="K273" s="30" t="n">
        <f aca="false">IF(C273&lt;Assumptions!$B$5,I273*J273,0)</f>
        <v>0</v>
      </c>
      <c r="L273" s="30" t="n">
        <f aca="false">IF(C273&lt;Assumptions!$B$5,I273*(1-F273)*H273*A273*J273,0)</f>
        <v>0</v>
      </c>
      <c r="M273" s="30" t="n">
        <f aca="false">IF(A273=0,Assumptions!$B$14*12*I273*J273,IF(AND(A273&gt;=12,C273&lt;Assumptions!$B$5),Assumptions!$B$15*I273*J273,0))</f>
        <v>0</v>
      </c>
      <c r="N273" s="47" t="n">
        <f aca="false">IF(C273&gt;=Assumptions!$B$5,I273*Assumptions!$B$9/12*(1+Assumptions!$B$10)^INT(A273/12)*J273,0)</f>
        <v>527.892666513984</v>
      </c>
      <c r="O273" s="47" t="n">
        <f aca="false">I273*Assumptions!$B$12/12*(1+Assumptions!$B$11)^(INT(A273/12)+1)*J273</f>
        <v>3.01273378998195</v>
      </c>
      <c r="P273" s="47" t="n">
        <f aca="false">O273+Pricing_M!$B$13*M273+N273-Pricing_M!$B$13*K273</f>
        <v>530.905400303966</v>
      </c>
      <c r="Q273" s="47" t="n">
        <f aca="false">IF(C273&lt;Assumptions!$B$5,Pricing_M!$B$13*K273-Pricing_M!$B$13*M273-O273,-(N273+O273))</f>
        <v>-530.905400303966</v>
      </c>
      <c r="R273" s="32" t="n">
        <f aca="false">R272*(1-(1-(1-MIN(1,E272*(1-Assumptions!$B$21)))^(1/12)))*(1-H272)</f>
        <v>0.563341184106819</v>
      </c>
      <c r="S273" s="47" t="n">
        <f aca="false">R273*(IF(C273&lt;Assumptions!$B$5,Assumptions!$B$12*(1+Assumptions!$B$11)^(INT(A273/12)+1)/12+Pricing_M!$B$13*IF(A273=0,Assumptions!$B$14*12,IF(A273&gt;=12,Assumptions!$B$15,0))-Pricing_M!$B$13,Assumptions!$B$9/12*(1+Assumptions!$B$10)^INT(A273/12)+Assumptions!$B$12*(1+Assumptions!$B$11)^(INT(A273/12)+1)/12))*J273</f>
        <v>584.576978752449</v>
      </c>
      <c r="T273" s="32" t="n">
        <f aca="false">T272*(1-F272)*(1-(1-(1-MIN(1,G272*(1+Assumptions!$B$23)))^(1/12)))</f>
        <v>0.463465123293191</v>
      </c>
      <c r="U273" s="47" t="n">
        <f aca="false">T273*(IF(C273&lt;Assumptions!$B$5,Assumptions!$B$12*(1+Assumptions!$B$11)^(INT(A273/12)+1)/12+Pricing_M!$B$13*IF(A273=0,Assumptions!$B$14*12,IF(A273&gt;=12,Assumptions!$B$15,0))-Pricing_M!$B$13,Assumptions!$B$9/12*(1+Assumptions!$B$10)^INT(A273/12)+Assumptions!$B$12*(1+Assumptions!$B$11)^(INT(A273/12)+1)/12))*J273</f>
        <v>480.935974815027</v>
      </c>
      <c r="V273" s="32" t="n">
        <f aca="false">V272*(1-F272)*(1-(1-(1-MIN(1,G272*(1-Assumptions!$B$23)))^(1/12)))</f>
        <v>0.564258566957721</v>
      </c>
      <c r="W273" s="47" t="n">
        <f aca="false">V273*(IF(C273&lt;Assumptions!$B$5,Assumptions!$B$12*(1+Assumptions!$B$11)^(INT(A273/12)+1)/12+Pricing_M!$B$13*IF(A273=0,Assumptions!$B$14*12,IF(A273&gt;=12,Assumptions!$B$15,0))-Pricing_M!$B$13,Assumptions!$B$9/12*(1+Assumptions!$B$10)^INT(A273/12)+Assumptions!$B$12*(1+Assumptions!$B$11)^(INT(A273/12)+1)/12))*J273</f>
        <v>585.528943406319</v>
      </c>
      <c r="X273" s="47" t="n">
        <f aca="false">I273*(IF(C273&lt;Assumptions!$B$5,Assumptions!$B$12*(1+Assumptions!$B$11)*(1+Assumptions!$B$24)*(1+Assumptions!$B$11+Assumptions!$B$25)^(INT(A273/12))/12+Pricing_M!$B$13*IF(A273=0,Assumptions!$B$14*12,IF(A273&gt;=12,Assumptions!$B$15,0))-Pricing_M!$B$13,Assumptions!$B$9/12*(1+Assumptions!$B$10)^INT(A273/12)+Assumptions!$B$12*(1+Assumptions!$B$11)*(1+Assumptions!$B$24)*(1+Assumptions!$B$11+Assumptions!$B$25)^(INT(A273/12))/12))*J273</f>
        <v>531.995804293298</v>
      </c>
    </row>
    <row r="274" customFormat="false" ht="15" hidden="false" customHeight="true" outlineLevel="0" collapsed="false">
      <c r="A274" s="1" t="n">
        <v>267</v>
      </c>
      <c r="B274" s="31" t="n">
        <f aca="false">Assumptions!$B$4+A274/12</f>
        <v>87.25</v>
      </c>
      <c r="C274" s="34" t="n">
        <f aca="false">Assumptions!$B$4+INT(A274/12)</f>
        <v>87</v>
      </c>
      <c r="D274" s="34" t="n">
        <f aca="false">INT(A274/12)+1</f>
        <v>23</v>
      </c>
      <c r="E274" s="32" t="n">
        <f aca="false">IFERROR(INDEX(Cohort_Survival!$G$5:$G$65,MATCH(C274,Cohort_Survival!$A$5:$A$65,0)),1)</f>
        <v>0.063900243074023</v>
      </c>
      <c r="F274" s="30" t="n">
        <f aca="false">1-(1-MIN(1,E274))^(1/12)</f>
        <v>0.00548765668780071</v>
      </c>
      <c r="G274" s="39" t="n">
        <f aca="false">IF(C274&lt;Assumptions!$B$5,IF(D274=1,Assumptions!$B$16,IF(D274=2,Assumptions!$B$17,IF(D274&lt;=5,Assumptions!$B$18,Assumptions!$B$19)))*(1-Assumptions!$B$20),0)</f>
        <v>0</v>
      </c>
      <c r="H274" s="30" t="n">
        <f aca="false">1-(1-G274)^(1/12)</f>
        <v>0</v>
      </c>
      <c r="I274" s="30" t="n">
        <f aca="false">I273*(1-F273)*(1-H273)</f>
        <v>0.508811729665848</v>
      </c>
      <c r="J274" s="30" t="n">
        <f aca="false">INDEX(Discount_Monthly!$G$4:$G$664,MATCH(A274,Discount_Monthly!$A$4:$A$664,0))</f>
        <v>0.499250266252363</v>
      </c>
      <c r="K274" s="30" t="n">
        <f aca="false">IF(C274&lt;Assumptions!$B$5,I274*J274,0)</f>
        <v>0</v>
      </c>
      <c r="L274" s="30" t="n">
        <f aca="false">IF(C274&lt;Assumptions!$B$5,I274*(1-F274)*H274*A274*J274,0)</f>
        <v>0</v>
      </c>
      <c r="M274" s="30" t="n">
        <f aca="false">IF(A274=0,Assumptions!$B$14*12*I274*J274,IF(AND(A274&gt;=12,C274&lt;Assumptions!$B$5),Assumptions!$B$15*I274*J274,0))</f>
        <v>0</v>
      </c>
      <c r="N274" s="47" t="n">
        <f aca="false">IF(C274&gt;=Assumptions!$B$5,I274*Assumptions!$B$9/12*(1+Assumptions!$B$10)^INT(A274/12)*J274,0)</f>
        <v>523.622060203441</v>
      </c>
      <c r="O274" s="47" t="n">
        <f aca="false">I274*Assumptions!$B$12/12*(1+Assumptions!$B$11)^(INT(A274/12)+1)*J274</f>
        <v>2.98836103250371</v>
      </c>
      <c r="P274" s="47" t="n">
        <f aca="false">O274+Pricing_M!$B$13*M274+N274-Pricing_M!$B$13*K274</f>
        <v>526.610421235945</v>
      </c>
      <c r="Q274" s="47" t="n">
        <f aca="false">IF(C274&lt;Assumptions!$B$5,Pricing_M!$B$13*K274-Pricing_M!$B$13*M274-O274,-(N274+O274))</f>
        <v>-526.610421235945</v>
      </c>
      <c r="R274" s="32" t="n">
        <f aca="false">R273*(1-(1-(1-MIN(1,E273*(1-Assumptions!$B$21)))^(1/12)))*(1-H273)</f>
        <v>0.56088320526323</v>
      </c>
      <c r="S274" s="47" t="n">
        <f aca="false">R274*(IF(C274&lt;Assumptions!$B$5,Assumptions!$B$12*(1+Assumptions!$B$11)^(INT(A274/12)+1)/12+Pricing_M!$B$13*IF(A274=0,Assumptions!$B$14*12,IF(A274&gt;=12,Assumptions!$B$15,0))-Pricing_M!$B$13,Assumptions!$B$9/12*(1+Assumptions!$B$10)^INT(A274/12)+Assumptions!$B$12*(1+Assumptions!$B$11)^(INT(A274/12)+1)/12))*J274</f>
        <v>580.503403846081</v>
      </c>
      <c r="T274" s="32" t="n">
        <f aca="false">T273*(1-F273)*(1-(1-(1-MIN(1,G273*(1+Assumptions!$B$23)))^(1/12)))</f>
        <v>0.460921785809789</v>
      </c>
      <c r="U274" s="47" t="n">
        <f aca="false">T274*(IF(C274&lt;Assumptions!$B$5,Assumptions!$B$12*(1+Assumptions!$B$11)^(INT(A274/12)+1)/12+Pricing_M!$B$13*IF(A274=0,Assumptions!$B$14*12,IF(A274&gt;=12,Assumptions!$B$15,0))-Pricing_M!$B$13,Assumptions!$B$9/12*(1+Assumptions!$B$10)^INT(A274/12)+Assumptions!$B$12*(1+Assumptions!$B$11)^(INT(A274/12)+1)/12))*J274</f>
        <v>477.045244105364</v>
      </c>
      <c r="V274" s="32" t="n">
        <f aca="false">V273*(1-F273)*(1-(1-(1-MIN(1,G273*(1-Assumptions!$B$23)))^(1/12)))</f>
        <v>0.561162109659106</v>
      </c>
      <c r="W274" s="47" t="n">
        <f aca="false">V274*(IF(C274&lt;Assumptions!$B$5,Assumptions!$B$12*(1+Assumptions!$B$11)^(INT(A274/12)+1)/12+Pricing_M!$B$13*IF(A274=0,Assumptions!$B$14*12,IF(A274&gt;=12,Assumptions!$B$15,0))-Pricing_M!$B$13,Assumptions!$B$9/12*(1+Assumptions!$B$10)^INT(A274/12)+Assumptions!$B$12*(1+Assumptions!$B$11)^(INT(A274/12)+1)/12))*J274</f>
        <v>580.792064568374</v>
      </c>
      <c r="X274" s="47" t="n">
        <f aca="false">I274*(IF(C274&lt;Assumptions!$B$5,Assumptions!$B$12*(1+Assumptions!$B$11)*(1+Assumptions!$B$24)*(1+Assumptions!$B$11+Assumptions!$B$25)^(INT(A274/12))/12+Pricing_M!$B$13*IF(A274=0,Assumptions!$B$14*12,IF(A274&gt;=12,Assumptions!$B$15,0))-Pricing_M!$B$13,Assumptions!$B$9/12*(1+Assumptions!$B$10)^INT(A274/12)+Assumptions!$B$12*(1+Assumptions!$B$11)*(1+Assumptions!$B$24)*(1+Assumptions!$B$11+Assumptions!$B$25)^(INT(A274/12))/12))*J274</f>
        <v>527.692003950701</v>
      </c>
    </row>
    <row r="275" customFormat="false" ht="15" hidden="false" customHeight="true" outlineLevel="0" collapsed="false">
      <c r="A275" s="1" t="n">
        <v>268</v>
      </c>
      <c r="B275" s="31" t="n">
        <f aca="false">Assumptions!$B$4+A275/12</f>
        <v>87.3333333333333</v>
      </c>
      <c r="C275" s="34" t="n">
        <f aca="false">Assumptions!$B$4+INT(A275/12)</f>
        <v>87</v>
      </c>
      <c r="D275" s="34" t="n">
        <f aca="false">INT(A275/12)+1</f>
        <v>23</v>
      </c>
      <c r="E275" s="32" t="n">
        <f aca="false">IFERROR(INDEX(Cohort_Survival!$G$5:$G$65,MATCH(C275,Cohort_Survival!$A$5:$A$65,0)),1)</f>
        <v>0.063900243074023</v>
      </c>
      <c r="F275" s="30" t="n">
        <f aca="false">1-(1-MIN(1,E275))^(1/12)</f>
        <v>0.00548765668780071</v>
      </c>
      <c r="G275" s="39" t="n">
        <f aca="false">IF(C275&lt;Assumptions!$B$5,IF(D275=1,Assumptions!$B$16,IF(D275=2,Assumptions!$B$17,IF(D275&lt;=5,Assumptions!$B$18,Assumptions!$B$19)))*(1-Assumptions!$B$20),0)</f>
        <v>0</v>
      </c>
      <c r="H275" s="30" t="n">
        <f aca="false">1-(1-G275)^(1/12)</f>
        <v>0</v>
      </c>
      <c r="I275" s="30" t="n">
        <f aca="false">I274*(1-F274)*(1-H274)</f>
        <v>0.506019545574716</v>
      </c>
      <c r="J275" s="30" t="n">
        <f aca="false">INDEX(Discount_Monthly!$G$4:$G$664,MATCH(A275,Discount_Monthly!$A$4:$A$664,0))</f>
        <v>0.497943919780241</v>
      </c>
      <c r="K275" s="30" t="n">
        <f aca="false">IF(C275&lt;Assumptions!$B$5,I275*J275,0)</f>
        <v>0</v>
      </c>
      <c r="L275" s="30" t="n">
        <f aca="false">IF(C275&lt;Assumptions!$B$5,I275*(1-F275)*H275*A275*J275,0)</f>
        <v>0</v>
      </c>
      <c r="M275" s="30" t="n">
        <f aca="false">IF(A275=0,Assumptions!$B$14*12*I275*J275,IF(AND(A275&gt;=12,C275&lt;Assumptions!$B$5),Assumptions!$B$15*I275*J275,0))</f>
        <v>0</v>
      </c>
      <c r="N275" s="47" t="n">
        <f aca="false">IF(C275&gt;=Assumptions!$B$5,I275*Assumptions!$B$9/12*(1+Assumptions!$B$10)^INT(A275/12)*J275,0)</f>
        <v>519.38600273098</v>
      </c>
      <c r="O275" s="47" t="n">
        <f aca="false">I275*Assumptions!$B$12/12*(1+Assumptions!$B$11)^(INT(A275/12)+1)*J275</f>
        <v>2.96418544853914</v>
      </c>
      <c r="P275" s="47" t="n">
        <f aca="false">O275+Pricing_M!$B$13*M275+N275-Pricing_M!$B$13*K275</f>
        <v>522.350188179519</v>
      </c>
      <c r="Q275" s="47" t="n">
        <f aca="false">IF(C275&lt;Assumptions!$B$5,Pricing_M!$B$13*K275-Pricing_M!$B$13*M275-O275,-(N275+O275))</f>
        <v>-522.350188179519</v>
      </c>
      <c r="R275" s="32" t="n">
        <f aca="false">R274*(1-(1-(1-MIN(1,E274*(1-Assumptions!$B$21)))^(1/12)))*(1-H274)</f>
        <v>0.558435951110407</v>
      </c>
      <c r="S275" s="47" t="n">
        <f aca="false">R275*(IF(C275&lt;Assumptions!$B$5,Assumptions!$B$12*(1+Assumptions!$B$11)^(INT(A275/12)+1)/12+Pricing_M!$B$13*IF(A275=0,Assumptions!$B$14*12,IF(A275&gt;=12,Assumptions!$B$15,0))-Pricing_M!$B$13,Assumptions!$B$9/12*(1+Assumptions!$B$10)^INT(A275/12)+Assumptions!$B$12*(1+Assumptions!$B$11)^(INT(A275/12)+1)/12))*J275</f>
        <v>576.458215299629</v>
      </c>
      <c r="T275" s="32" t="n">
        <f aca="false">T274*(1-F274)*(1-(1-(1-MIN(1,G274*(1+Assumptions!$B$23)))^(1/12)))</f>
        <v>0.458392405289337</v>
      </c>
      <c r="U275" s="47" t="n">
        <f aca="false">T275*(IF(C275&lt;Assumptions!$B$5,Assumptions!$B$12*(1+Assumptions!$B$11)^(INT(A275/12)+1)/12+Pricing_M!$B$13*IF(A275=0,Assumptions!$B$14*12,IF(A275&gt;=12,Assumptions!$B$15,0))-Pricing_M!$B$13,Assumptions!$B$9/12*(1+Assumptions!$B$10)^INT(A275/12)+Assumptions!$B$12*(1+Assumptions!$B$11)^(INT(A275/12)+1)/12))*J275</f>
        <v>473.185989072813</v>
      </c>
      <c r="V275" s="32" t="n">
        <f aca="false">V274*(1-F274)*(1-(1-(1-MIN(1,G274*(1-Assumptions!$B$23)))^(1/12)))</f>
        <v>0.558082644655095</v>
      </c>
      <c r="W275" s="47" t="n">
        <f aca="false">V275*(IF(C275&lt;Assumptions!$B$5,Assumptions!$B$12*(1+Assumptions!$B$11)^(INT(A275/12)+1)/12+Pricing_M!$B$13*IF(A275=0,Assumptions!$B$14*12,IF(A275&gt;=12,Assumptions!$B$15,0))-Pricing_M!$B$13,Assumptions!$B$9/12*(1+Assumptions!$B$10)^INT(A275/12)+Assumptions!$B$12*(1+Assumptions!$B$11)^(INT(A275/12)+1)/12))*J275</f>
        <v>576.093506673191</v>
      </c>
      <c r="X275" s="47" t="n">
        <f aca="false">I275*(IF(C275&lt;Assumptions!$B$5,Assumptions!$B$12*(1+Assumptions!$B$11)*(1+Assumptions!$B$24)*(1+Assumptions!$B$11+Assumptions!$B$25)^(INT(A275/12))/12+Pricing_M!$B$13*IF(A275=0,Assumptions!$B$14*12,IF(A275&gt;=12,Assumptions!$B$15,0))-Pricing_M!$B$13,Assumptions!$B$9/12*(1+Assumptions!$B$10)^INT(A275/12)+Assumptions!$B$12*(1+Assumptions!$B$11)*(1+Assumptions!$B$24)*(1+Assumptions!$B$11+Assumptions!$B$25)^(INT(A275/12))/12))*J275</f>
        <v>523.423020983052</v>
      </c>
    </row>
    <row r="276" customFormat="false" ht="15" hidden="false" customHeight="true" outlineLevel="0" collapsed="false">
      <c r="A276" s="1" t="n">
        <v>269</v>
      </c>
      <c r="B276" s="31" t="n">
        <f aca="false">Assumptions!$B$4+A276/12</f>
        <v>87.4166666666667</v>
      </c>
      <c r="C276" s="34" t="n">
        <f aca="false">Assumptions!$B$4+INT(A276/12)</f>
        <v>87</v>
      </c>
      <c r="D276" s="34" t="n">
        <f aca="false">INT(A276/12)+1</f>
        <v>23</v>
      </c>
      <c r="E276" s="32" t="n">
        <f aca="false">IFERROR(INDEX(Cohort_Survival!$G$5:$G$65,MATCH(C276,Cohort_Survival!$A$5:$A$65,0)),1)</f>
        <v>0.063900243074023</v>
      </c>
      <c r="F276" s="30" t="n">
        <f aca="false">1-(1-MIN(1,E276))^(1/12)</f>
        <v>0.00548765668780071</v>
      </c>
      <c r="G276" s="39" t="n">
        <f aca="false">IF(C276&lt;Assumptions!$B$5,IF(D276=1,Assumptions!$B$16,IF(D276=2,Assumptions!$B$17,IF(D276&lt;=5,Assumptions!$B$18,Assumptions!$B$19)))*(1-Assumptions!$B$20),0)</f>
        <v>0</v>
      </c>
      <c r="H276" s="30" t="n">
        <f aca="false">1-(1-G276)^(1/12)</f>
        <v>0</v>
      </c>
      <c r="I276" s="30" t="n">
        <f aca="false">I275*(1-F275)*(1-H275)</f>
        <v>0.503242684031285</v>
      </c>
      <c r="J276" s="30" t="n">
        <f aca="false">INDEX(Discount_Monthly!$G$4:$G$664,MATCH(A276,Discount_Monthly!$A$4:$A$664,0))</f>
        <v>0.496640991515821</v>
      </c>
      <c r="K276" s="30" t="n">
        <f aca="false">IF(C276&lt;Assumptions!$B$5,I276*J276,0)</f>
        <v>0</v>
      </c>
      <c r="L276" s="30" t="n">
        <f aca="false">IF(C276&lt;Assumptions!$B$5,I276*(1-F276)*H276*A276*J276,0)</f>
        <v>0</v>
      </c>
      <c r="M276" s="30" t="n">
        <f aca="false">IF(A276=0,Assumptions!$B$14*12*I276*J276,IF(AND(A276&gt;=12,C276&lt;Assumptions!$B$5),Assumptions!$B$15*I276*J276,0))</f>
        <v>0</v>
      </c>
      <c r="N276" s="47" t="n">
        <f aca="false">IF(C276&gt;=Assumptions!$B$5,I276*Assumptions!$B$9/12*(1+Assumptions!$B$10)^INT(A276/12)*J276,0)</f>
        <v>515.184214599468</v>
      </c>
      <c r="O276" s="47" t="n">
        <f aca="false">I276*Assumptions!$B$12/12*(1+Assumptions!$B$11)^(INT(A276/12)+1)*J276</f>
        <v>2.94020544297145</v>
      </c>
      <c r="P276" s="47" t="n">
        <f aca="false">O276+Pricing_M!$B$13*M276+N276-Pricing_M!$B$13*K276</f>
        <v>518.12442004244</v>
      </c>
      <c r="Q276" s="47" t="n">
        <f aca="false">IF(C276&lt;Assumptions!$B$5,Pricing_M!$B$13*K276-Pricing_M!$B$13*M276-O276,-(N276+O276))</f>
        <v>-518.12442004244</v>
      </c>
      <c r="R276" s="32" t="n">
        <f aca="false">R275*(1-(1-(1-MIN(1,E275*(1-Assumptions!$B$21)))^(1/12)))*(1-H275)</f>
        <v>0.555999374854216</v>
      </c>
      <c r="S276" s="47" t="n">
        <f aca="false">R276*(IF(C276&lt;Assumptions!$B$5,Assumptions!$B$12*(1+Assumptions!$B$11)^(INT(A276/12)+1)/12+Pricing_M!$B$13*IF(A276=0,Assumptions!$B$14*12,IF(A276&gt;=12,Assumptions!$B$15,0))-Pricing_M!$B$13,Assumptions!$B$9/12*(1+Assumptions!$B$10)^INT(A276/12)+Assumptions!$B$12*(1+Assumptions!$B$11)^(INT(A276/12)+1)/12))*J276</f>
        <v>572.441215305161</v>
      </c>
      <c r="T276" s="32" t="n">
        <f aca="false">T275*(1-F275)*(1-(1-(1-MIN(1,G275*(1+Assumptions!$B$23)))^(1/12)))</f>
        <v>0.455876905140813</v>
      </c>
      <c r="U276" s="47" t="n">
        <f aca="false">T276*(IF(C276&lt;Assumptions!$B$5,Assumptions!$B$12*(1+Assumptions!$B$11)^(INT(A276/12)+1)/12+Pricing_M!$B$13*IF(A276=0,Assumptions!$B$14*12,IF(A276&gt;=12,Assumptions!$B$15,0))-Pricing_M!$B$13,Assumptions!$B$9/12*(1+Assumptions!$B$10)^INT(A276/12)+Assumptions!$B$12*(1+Assumptions!$B$11)^(INT(A276/12)+1)/12))*J276</f>
        <v>469.357955081852</v>
      </c>
      <c r="V276" s="32" t="n">
        <f aca="false">V275*(1-F275)*(1-(1-(1-MIN(1,G275*(1-Assumptions!$B$23)))^(1/12)))</f>
        <v>0.555020078697808</v>
      </c>
      <c r="W276" s="47" t="n">
        <f aca="false">V276*(IF(C276&lt;Assumptions!$B$5,Assumptions!$B$12*(1+Assumptions!$B$11)^(INT(A276/12)+1)/12+Pricing_M!$B$13*IF(A276=0,Assumptions!$B$14*12,IF(A276&gt;=12,Assumptions!$B$15,0))-Pricing_M!$B$13,Assumptions!$B$9/12*(1+Assumptions!$B$10)^INT(A276/12)+Assumptions!$B$12*(1+Assumptions!$B$11)^(INT(A276/12)+1)/12))*J276</f>
        <v>571.432959707634</v>
      </c>
      <c r="X276" s="47" t="n">
        <f aca="false">I276*(IF(C276&lt;Assumptions!$B$5,Assumptions!$B$12*(1+Assumptions!$B$11)*(1+Assumptions!$B$24)*(1+Assumptions!$B$11+Assumptions!$B$25)^(INT(A276/12))/12+Pricing_M!$B$13*IF(A276=0,Assumptions!$B$14*12,IF(A276&gt;=12,Assumptions!$B$15,0))-Pricing_M!$B$13,Assumptions!$B$9/12*(1+Assumptions!$B$10)^INT(A276/12)+Assumptions!$B$12*(1+Assumptions!$B$11)*(1+Assumptions!$B$24)*(1+Assumptions!$B$11+Assumptions!$B$25)^(INT(A276/12))/12))*J276</f>
        <v>519.18857372078</v>
      </c>
    </row>
    <row r="277" customFormat="false" ht="15" hidden="false" customHeight="true" outlineLevel="0" collapsed="false">
      <c r="A277" s="1" t="n">
        <v>270</v>
      </c>
      <c r="B277" s="31" t="n">
        <f aca="false">Assumptions!$B$4+A277/12</f>
        <v>87.5</v>
      </c>
      <c r="C277" s="34" t="n">
        <f aca="false">Assumptions!$B$4+INT(A277/12)</f>
        <v>87</v>
      </c>
      <c r="D277" s="34" t="n">
        <f aca="false">INT(A277/12)+1</f>
        <v>23</v>
      </c>
      <c r="E277" s="32" t="n">
        <f aca="false">IFERROR(INDEX(Cohort_Survival!$G$5:$G$65,MATCH(C277,Cohort_Survival!$A$5:$A$65,0)),1)</f>
        <v>0.063900243074023</v>
      </c>
      <c r="F277" s="30" t="n">
        <f aca="false">1-(1-MIN(1,E277))^(1/12)</f>
        <v>0.00548765668780071</v>
      </c>
      <c r="G277" s="39" t="n">
        <f aca="false">IF(C277&lt;Assumptions!$B$5,IF(D277=1,Assumptions!$B$16,IF(D277=2,Assumptions!$B$17,IF(D277&lt;=5,Assumptions!$B$18,Assumptions!$B$19)))*(1-Assumptions!$B$20),0)</f>
        <v>0</v>
      </c>
      <c r="H277" s="30" t="n">
        <f aca="false">1-(1-G277)^(1/12)</f>
        <v>0</v>
      </c>
      <c r="I277" s="30" t="n">
        <f aca="false">I276*(1-F276)*(1-H276)</f>
        <v>0.500481060950674</v>
      </c>
      <c r="J277" s="30" t="n">
        <f aca="false">INDEX(Discount_Monthly!$G$4:$G$664,MATCH(A277,Discount_Monthly!$A$4:$A$664,0))</f>
        <v>0.495341472514964</v>
      </c>
      <c r="K277" s="30" t="n">
        <f aca="false">IF(C277&lt;Assumptions!$B$5,I277*J277,0)</f>
        <v>0</v>
      </c>
      <c r="L277" s="30" t="n">
        <f aca="false">IF(C277&lt;Assumptions!$B$5,I277*(1-F277)*H277*A277*J277,0)</f>
        <v>0</v>
      </c>
      <c r="M277" s="30" t="n">
        <f aca="false">IF(A277=0,Assumptions!$B$14*12*I277*J277,IF(AND(A277&gt;=12,C277&lt;Assumptions!$B$5),Assumptions!$B$15*I277*J277,0))</f>
        <v>0</v>
      </c>
      <c r="N277" s="47" t="n">
        <f aca="false">IF(C277&gt;=Assumptions!$B$5,I277*Assumptions!$B$9/12*(1+Assumptions!$B$10)^INT(A277/12)*J277,0)</f>
        <v>511.016418572883</v>
      </c>
      <c r="O277" s="47" t="n">
        <f aca="false">I277*Assumptions!$B$12/12*(1+Assumptions!$B$11)^(INT(A277/12)+1)*J277</f>
        <v>2.91641943358821</v>
      </c>
      <c r="P277" s="47" t="n">
        <f aca="false">O277+Pricing_M!$B$13*M277+N277-Pricing_M!$B$13*K277</f>
        <v>513.932838006471</v>
      </c>
      <c r="Q277" s="47" t="n">
        <f aca="false">IF(C277&lt;Assumptions!$B$5,Pricing_M!$B$13*K277-Pricing_M!$B$13*M277-O277,-(N277+O277))</f>
        <v>-513.932838006471</v>
      </c>
      <c r="R277" s="32" t="n">
        <f aca="false">R276*(1-(1-(1-MIN(1,E276*(1-Assumptions!$B$21)))^(1/12)))*(1-H276)</f>
        <v>0.553573429904696</v>
      </c>
      <c r="S277" s="47" t="n">
        <f aca="false">R277*(IF(C277&lt;Assumptions!$B$5,Assumptions!$B$12*(1+Assumptions!$B$11)^(INT(A277/12)+1)/12+Pricing_M!$B$13*IF(A277=0,Assumptions!$B$14*12,IF(A277&gt;=12,Assumptions!$B$15,0))-Pricing_M!$B$13,Assumptions!$B$9/12*(1+Assumptions!$B$10)^INT(A277/12)+Assumptions!$B$12*(1+Assumptions!$B$11)^(INT(A277/12)+1)/12))*J277</f>
        <v>568.452207433153</v>
      </c>
      <c r="T277" s="32" t="n">
        <f aca="false">T276*(1-F276)*(1-(1-(1-MIN(1,G276*(1+Assumptions!$B$23)))^(1/12)))</f>
        <v>0.453375209193504</v>
      </c>
      <c r="U277" s="47" t="n">
        <f aca="false">T277*(IF(C277&lt;Assumptions!$B$5,Assumptions!$B$12*(1+Assumptions!$B$11)^(INT(A277/12)+1)/12+Pricing_M!$B$13*IF(A277=0,Assumptions!$B$14*12,IF(A277&gt;=12,Assumptions!$B$15,0))-Pricing_M!$B$13,Assumptions!$B$9/12*(1+Assumptions!$B$10)^INT(A277/12)+Assumptions!$B$12*(1+Assumptions!$B$11)^(INT(A277/12)+1)/12))*J277</f>
        <v>465.560889556936</v>
      </c>
      <c r="V277" s="32" t="n">
        <f aca="false">V276*(1-F276)*(1-(1-(1-MIN(1,G276*(1-Assumptions!$B$23)))^(1/12)))</f>
        <v>0.551974319051078</v>
      </c>
      <c r="W277" s="47" t="n">
        <f aca="false">V277*(IF(C277&lt;Assumptions!$B$5,Assumptions!$B$12*(1+Assumptions!$B$11)^(INT(A277/12)+1)/12+Pricing_M!$B$13*IF(A277=0,Assumptions!$B$14*12,IF(A277&gt;=12,Assumptions!$B$15,0))-Pricing_M!$B$13,Assumptions!$B$9/12*(1+Assumptions!$B$10)^INT(A277/12)+Assumptions!$B$12*(1+Assumptions!$B$11)^(INT(A277/12)+1)/12))*J277</f>
        <v>566.810116166551</v>
      </c>
      <c r="X277" s="47" t="n">
        <f aca="false">I277*(IF(C277&lt;Assumptions!$B$5,Assumptions!$B$12*(1+Assumptions!$B$11)*(1+Assumptions!$B$24)*(1+Assumptions!$B$11+Assumptions!$B$25)^(INT(A277/12))/12+Pricing_M!$B$13*IF(A277=0,Assumptions!$B$14*12,IF(A277&gt;=12,Assumptions!$B$15,0))-Pricing_M!$B$13,Assumptions!$B$9/12*(1+Assumptions!$B$10)^INT(A277/12)+Assumptions!$B$12*(1+Assumptions!$B$11)*(1+Assumptions!$B$24)*(1+Assumptions!$B$11+Assumptions!$B$25)^(INT(A277/12))/12))*J277</f>
        <v>514.988382772996</v>
      </c>
    </row>
    <row r="278" customFormat="false" ht="15" hidden="false" customHeight="true" outlineLevel="0" collapsed="false">
      <c r="A278" s="1" t="n">
        <v>271</v>
      </c>
      <c r="B278" s="31" t="n">
        <f aca="false">Assumptions!$B$4+A278/12</f>
        <v>87.5833333333333</v>
      </c>
      <c r="C278" s="34" t="n">
        <f aca="false">Assumptions!$B$4+INT(A278/12)</f>
        <v>87</v>
      </c>
      <c r="D278" s="34" t="n">
        <f aca="false">INT(A278/12)+1</f>
        <v>23</v>
      </c>
      <c r="E278" s="32" t="n">
        <f aca="false">IFERROR(INDEX(Cohort_Survival!$G$5:$G$65,MATCH(C278,Cohort_Survival!$A$5:$A$65,0)),1)</f>
        <v>0.063900243074023</v>
      </c>
      <c r="F278" s="30" t="n">
        <f aca="false">1-(1-MIN(1,E278))^(1/12)</f>
        <v>0.00548765668780071</v>
      </c>
      <c r="G278" s="39" t="n">
        <f aca="false">IF(C278&lt;Assumptions!$B$5,IF(D278=1,Assumptions!$B$16,IF(D278=2,Assumptions!$B$17,IF(D278&lt;=5,Assumptions!$B$18,Assumptions!$B$19)))*(1-Assumptions!$B$20),0)</f>
        <v>0</v>
      </c>
      <c r="H278" s="30" t="n">
        <f aca="false">1-(1-G278)^(1/12)</f>
        <v>0</v>
      </c>
      <c r="I278" s="30" t="n">
        <f aca="false">I277*(1-F277)*(1-H277)</f>
        <v>0.49773459270943</v>
      </c>
      <c r="J278" s="30" t="n">
        <f aca="false">INDEX(Discount_Monthly!$G$4:$G$664,MATCH(A278,Discount_Monthly!$A$4:$A$664,0))</f>
        <v>0.494045353856936</v>
      </c>
      <c r="K278" s="30" t="n">
        <f aca="false">IF(C278&lt;Assumptions!$B$5,I278*J278,0)</f>
        <v>0</v>
      </c>
      <c r="L278" s="30" t="n">
        <f aca="false">IF(C278&lt;Assumptions!$B$5,I278*(1-F278)*H278*A278*J278,0)</f>
        <v>0</v>
      </c>
      <c r="M278" s="30" t="n">
        <f aca="false">IF(A278=0,Assumptions!$B$14*12*I278*J278,IF(AND(A278&gt;=12,C278&lt;Assumptions!$B$5),Assumptions!$B$15*I278*J278,0))</f>
        <v>0</v>
      </c>
      <c r="N278" s="47" t="n">
        <f aca="false">IF(C278&gt;=Assumptions!$B$5,I278*Assumptions!$B$9/12*(1+Assumptions!$B$10)^INT(A278/12)*J278,0)</f>
        <v>506.882339658016</v>
      </c>
      <c r="O278" s="47" t="n">
        <f aca="false">I278*Assumptions!$B$12/12*(1+Assumptions!$B$11)^(INT(A278/12)+1)*J278</f>
        <v>2.89282585097696</v>
      </c>
      <c r="P278" s="47" t="n">
        <f aca="false">O278+Pricing_M!$B$13*M278+N278-Pricing_M!$B$13*K278</f>
        <v>509.775165508993</v>
      </c>
      <c r="Q278" s="47" t="n">
        <f aca="false">IF(C278&lt;Assumptions!$B$5,Pricing_M!$B$13*K278-Pricing_M!$B$13*M278-O278,-(N278+O278))</f>
        <v>-509.775165508993</v>
      </c>
      <c r="R278" s="32" t="n">
        <f aca="false">R277*(1-(1-(1-MIN(1,E277*(1-Assumptions!$B$21)))^(1/12)))*(1-H277)</f>
        <v>0.551158069875168</v>
      </c>
      <c r="S278" s="47" t="n">
        <f aca="false">R278*(IF(C278&lt;Assumptions!$B$5,Assumptions!$B$12*(1+Assumptions!$B$11)^(INT(A278/12)+1)/12+Pricing_M!$B$13*IF(A278=0,Assumptions!$B$14*12,IF(A278&gt;=12,Assumptions!$B$15,0))-Pricing_M!$B$13,Assumptions!$B$9/12*(1+Assumptions!$B$10)^INT(A278/12)+Assumptions!$B$12*(1+Assumptions!$B$11)^(INT(A278/12)+1)/12))*J278</f>
        <v>564.490996622882</v>
      </c>
      <c r="T278" s="32" t="n">
        <f aca="false">T277*(1-F277)*(1-(1-(1-MIN(1,G277*(1+Assumptions!$B$23)))^(1/12)))</f>
        <v>0.45088724169469</v>
      </c>
      <c r="U278" s="47" t="n">
        <f aca="false">T278*(IF(C278&lt;Assumptions!$B$5,Assumptions!$B$12*(1+Assumptions!$B$11)^(INT(A278/12)+1)/12+Pricing_M!$B$13*IF(A278=0,Assumptions!$B$14*12,IF(A278&gt;=12,Assumptions!$B$15,0))-Pricing_M!$B$13,Assumptions!$B$9/12*(1+Assumptions!$B$10)^INT(A278/12)+Assumptions!$B$12*(1+Assumptions!$B$11)^(INT(A278/12)+1)/12))*J278</f>
        <v>461.794541965837</v>
      </c>
      <c r="V278" s="32" t="n">
        <f aca="false">V277*(1-F277)*(1-(1-(1-MIN(1,G277*(1-Assumptions!$B$23)))^(1/12)))</f>
        <v>0.548945273487643</v>
      </c>
      <c r="W278" s="47" t="n">
        <f aca="false">V278*(IF(C278&lt;Assumptions!$B$5,Assumptions!$B$12*(1+Assumptions!$B$11)^(INT(A278/12)+1)/12+Pricing_M!$B$13*IF(A278=0,Assumptions!$B$14*12,IF(A278&gt;=12,Assumptions!$B$15,0))-Pricing_M!$B$13,Assumptions!$B$9/12*(1+Assumptions!$B$10)^INT(A278/12)+Assumptions!$B$12*(1+Assumptions!$B$11)^(INT(A278/12)+1)/12))*J278</f>
        <v>562.224671032476</v>
      </c>
      <c r="X278" s="47" t="n">
        <f aca="false">I278*(IF(C278&lt;Assumptions!$B$5,Assumptions!$B$12*(1+Assumptions!$B$11)*(1+Assumptions!$B$24)*(1+Assumptions!$B$11+Assumptions!$B$25)^(INT(A278/12))/12+Pricing_M!$B$13*IF(A278=0,Assumptions!$B$14*12,IF(A278&gt;=12,Assumptions!$B$15,0))-Pricing_M!$B$13,Assumptions!$B$9/12*(1+Assumptions!$B$10)^INT(A278/12)+Assumptions!$B$12*(1+Assumptions!$B$11)*(1+Assumptions!$B$24)*(1+Assumptions!$B$11+Assumptions!$B$25)^(INT(A278/12))/12))*J278</f>
        <v>510.822171009059</v>
      </c>
    </row>
    <row r="279" customFormat="false" ht="15" hidden="false" customHeight="true" outlineLevel="0" collapsed="false">
      <c r="A279" s="1" t="n">
        <v>272</v>
      </c>
      <c r="B279" s="31" t="n">
        <f aca="false">Assumptions!$B$4+A279/12</f>
        <v>87.6666666666667</v>
      </c>
      <c r="C279" s="34" t="n">
        <f aca="false">Assumptions!$B$4+INT(A279/12)</f>
        <v>87</v>
      </c>
      <c r="D279" s="34" t="n">
        <f aca="false">INT(A279/12)+1</f>
        <v>23</v>
      </c>
      <c r="E279" s="32" t="n">
        <f aca="false">IFERROR(INDEX(Cohort_Survival!$G$5:$G$65,MATCH(C279,Cohort_Survival!$A$5:$A$65,0)),1)</f>
        <v>0.063900243074023</v>
      </c>
      <c r="F279" s="30" t="n">
        <f aca="false">1-(1-MIN(1,E279))^(1/12)</f>
        <v>0.00548765668780071</v>
      </c>
      <c r="G279" s="39" t="n">
        <f aca="false">IF(C279&lt;Assumptions!$B$5,IF(D279=1,Assumptions!$B$16,IF(D279=2,Assumptions!$B$17,IF(D279&lt;=5,Assumptions!$B$18,Assumptions!$B$19)))*(1-Assumptions!$B$20),0)</f>
        <v>0</v>
      </c>
      <c r="H279" s="30" t="n">
        <f aca="false">1-(1-G279)^(1/12)</f>
        <v>0</v>
      </c>
      <c r="I279" s="30" t="n">
        <f aca="false">I278*(1-F278)*(1-H278)</f>
        <v>0.495003196142999</v>
      </c>
      <c r="J279" s="30" t="n">
        <f aca="false">INDEX(Discount_Monthly!$G$4:$G$664,MATCH(A279,Discount_Monthly!$A$4:$A$664,0))</f>
        <v>0.492752626644342</v>
      </c>
      <c r="K279" s="30" t="n">
        <f aca="false">IF(C279&lt;Assumptions!$B$5,I279*J279,0)</f>
        <v>0</v>
      </c>
      <c r="L279" s="30" t="n">
        <f aca="false">IF(C279&lt;Assumptions!$B$5,I279*(1-F279)*H279*A279*J279,0)</f>
        <v>0</v>
      </c>
      <c r="M279" s="30" t="n">
        <f aca="false">IF(A279=0,Assumptions!$B$14*12*I279*J279,IF(AND(A279&gt;=12,C279&lt;Assumptions!$B$5),Assumptions!$B$15*I279*J279,0))</f>
        <v>0</v>
      </c>
      <c r="N279" s="47" t="n">
        <f aca="false">IF(C279&gt;=Assumptions!$B$5,I279*Assumptions!$B$9/12*(1+Assumptions!$B$10)^INT(A279/12)*J279,0)</f>
        <v>502.781705086331</v>
      </c>
      <c r="O279" s="47" t="n">
        <f aca="false">I279*Assumptions!$B$12/12*(1+Assumptions!$B$11)^(INT(A279/12)+1)*J279</f>
        <v>2.86942313842165</v>
      </c>
      <c r="P279" s="47" t="n">
        <f aca="false">O279+Pricing_M!$B$13*M279+N279-Pricing_M!$B$13*K279</f>
        <v>505.651128224753</v>
      </c>
      <c r="Q279" s="47" t="n">
        <f aca="false">IF(C279&lt;Assumptions!$B$5,Pricing_M!$B$13*K279-Pricing_M!$B$13*M279-O279,-(N279+O279))</f>
        <v>-505.651128224753</v>
      </c>
      <c r="R279" s="32" t="n">
        <f aca="false">R278*(1-(1-(1-MIN(1,E278*(1-Assumptions!$B$21)))^(1/12)))*(1-H278)</f>
        <v>0.548753248581346</v>
      </c>
      <c r="S279" s="47" t="n">
        <f aca="false">R279*(IF(C279&lt;Assumptions!$B$5,Assumptions!$B$12*(1+Assumptions!$B$11)^(INT(A279/12)+1)/12+Pricing_M!$B$13*IF(A279=0,Assumptions!$B$14*12,IF(A279&gt;=12,Assumptions!$B$15,0))-Pricing_M!$B$13,Assumptions!$B$9/12*(1+Assumptions!$B$10)^INT(A279/12)+Assumptions!$B$12*(1+Assumptions!$B$11)^(INT(A279/12)+1)/12))*J279</f>
        <v>560.557389172891</v>
      </c>
      <c r="T279" s="32" t="n">
        <f aca="false">T278*(1-F278)*(1-(1-(1-MIN(1,G278*(1+Assumptions!$B$23)))^(1/12)))</f>
        <v>0.44841292730736</v>
      </c>
      <c r="U279" s="47" t="n">
        <f aca="false">T279*(IF(C279&lt;Assumptions!$B$5,Assumptions!$B$12*(1+Assumptions!$B$11)^(INT(A279/12)+1)/12+Pricing_M!$B$13*IF(A279=0,Assumptions!$B$14*12,IF(A279&gt;=12,Assumptions!$B$15,0))-Pricing_M!$B$13,Assumptions!$B$9/12*(1+Assumptions!$B$10)^INT(A279/12)+Assumptions!$B$12*(1+Assumptions!$B$11)^(INT(A279/12)+1)/12))*J279</f>
        <v>458.05866380311</v>
      </c>
      <c r="V279" s="32" t="n">
        <f aca="false">V278*(1-F278)*(1-(1-(1-MIN(1,G278*(1-Assumptions!$B$23)))^(1/12)))</f>
        <v>0.545932850286352</v>
      </c>
      <c r="W279" s="47" t="n">
        <f aca="false">V279*(IF(C279&lt;Assumptions!$B$5,Assumptions!$B$12*(1+Assumptions!$B$11)^(INT(A279/12)+1)/12+Pricing_M!$B$13*IF(A279=0,Assumptions!$B$14*12,IF(A279&gt;=12,Assumptions!$B$15,0))-Pricing_M!$B$13,Assumptions!$B$9/12*(1+Assumptions!$B$10)^INT(A279/12)+Assumptions!$B$12*(1+Assumptions!$B$11)^(INT(A279/12)+1)/12))*J279</f>
        <v>557.676321755511</v>
      </c>
      <c r="X279" s="47" t="n">
        <f aca="false">I279*(IF(C279&lt;Assumptions!$B$5,Assumptions!$B$12*(1+Assumptions!$B$11)*(1+Assumptions!$B$24)*(1+Assumptions!$B$11+Assumptions!$B$25)^(INT(A279/12))/12+Pricing_M!$B$13*IF(A279=0,Assumptions!$B$14*12,IF(A279&gt;=12,Assumptions!$B$15,0))-Pricing_M!$B$13,Assumptions!$B$9/12*(1+Assumptions!$B$10)^INT(A279/12)+Assumptions!$B$12*(1+Assumptions!$B$11)*(1+Assumptions!$B$24)*(1+Assumptions!$B$11+Assumptions!$B$25)^(INT(A279/12))/12))*J279</f>
        <v>506.689663540292</v>
      </c>
    </row>
    <row r="280" customFormat="false" ht="15" hidden="false" customHeight="true" outlineLevel="0" collapsed="false">
      <c r="A280" s="1" t="n">
        <v>273</v>
      </c>
      <c r="B280" s="31" t="n">
        <f aca="false">Assumptions!$B$4+A280/12</f>
        <v>87.75</v>
      </c>
      <c r="C280" s="34" t="n">
        <f aca="false">Assumptions!$B$4+INT(A280/12)</f>
        <v>87</v>
      </c>
      <c r="D280" s="34" t="n">
        <f aca="false">INT(A280/12)+1</f>
        <v>23</v>
      </c>
      <c r="E280" s="32" t="n">
        <f aca="false">IFERROR(INDEX(Cohort_Survival!$G$5:$G$65,MATCH(C280,Cohort_Survival!$A$5:$A$65,0)),1)</f>
        <v>0.063900243074023</v>
      </c>
      <c r="F280" s="30" t="n">
        <f aca="false">1-(1-MIN(1,E280))^(1/12)</f>
        <v>0.00548765668780071</v>
      </c>
      <c r="G280" s="39" t="n">
        <f aca="false">IF(C280&lt;Assumptions!$B$5,IF(D280=1,Assumptions!$B$16,IF(D280=2,Assumptions!$B$17,IF(D280&lt;=5,Assumptions!$B$18,Assumptions!$B$19)))*(1-Assumptions!$B$20),0)</f>
        <v>0</v>
      </c>
      <c r="H280" s="30" t="n">
        <f aca="false">1-(1-G280)^(1/12)</f>
        <v>0</v>
      </c>
      <c r="I280" s="30" t="n">
        <f aca="false">I279*(1-F279)*(1-H279)</f>
        <v>0.492286788543202</v>
      </c>
      <c r="J280" s="30" t="n">
        <f aca="false">INDEX(Discount_Monthly!$G$4:$G$664,MATCH(A280,Discount_Monthly!$A$4:$A$664,0))</f>
        <v>0.491463282003071</v>
      </c>
      <c r="K280" s="30" t="n">
        <f aca="false">IF(C280&lt;Assumptions!$B$5,I280*J280,0)</f>
        <v>0</v>
      </c>
      <c r="L280" s="30" t="n">
        <f aca="false">IF(C280&lt;Assumptions!$B$5,I280*(1-F280)*H280*A280*J280,0)</f>
        <v>0</v>
      </c>
      <c r="M280" s="30" t="n">
        <f aca="false">IF(A280=0,Assumptions!$B$14*12*I280*J280,IF(AND(A280&gt;=12,C280&lt;Assumptions!$B$5),Assumptions!$B$15*I280*J280,0))</f>
        <v>0</v>
      </c>
      <c r="N280" s="47" t="n">
        <f aca="false">IF(C280&gt;=Assumptions!$B$5,I280*Assumptions!$B$9/12*(1+Assumptions!$B$10)^INT(A280/12)*J280,0)</f>
        <v>498.714244295966</v>
      </c>
      <c r="O280" s="47" t="n">
        <f aca="false">I280*Assumptions!$B$12/12*(1+Assumptions!$B$11)^(INT(A280/12)+1)*J280</f>
        <v>2.84620975179992</v>
      </c>
      <c r="P280" s="47" t="n">
        <f aca="false">O280+Pricing_M!$B$13*M280+N280-Pricing_M!$B$13*K280</f>
        <v>501.560454047766</v>
      </c>
      <c r="Q280" s="47" t="n">
        <f aca="false">IF(C280&lt;Assumptions!$B$5,Pricing_M!$B$13*K280-Pricing_M!$B$13*M280-O280,-(N280+O280))</f>
        <v>-501.560454047766</v>
      </c>
      <c r="R280" s="32" t="n">
        <f aca="false">R279*(1-(1-(1-MIN(1,E279*(1-Assumptions!$B$21)))^(1/12)))*(1-H279)</f>
        <v>0.54635892004046</v>
      </c>
      <c r="S280" s="47" t="n">
        <f aca="false">R280*(IF(C280&lt;Assumptions!$B$5,Assumptions!$B$12*(1+Assumptions!$B$11)^(INT(A280/12)+1)/12+Pricing_M!$B$13*IF(A280=0,Assumptions!$B$14*12,IF(A280&gt;=12,Assumptions!$B$15,0))-Pricing_M!$B$13,Assumptions!$B$9/12*(1+Assumptions!$B$10)^INT(A280/12)+Assumptions!$B$12*(1+Assumptions!$B$11)^(INT(A280/12)+1)/12))*J280</f>
        <v>556.651192731514</v>
      </c>
      <c r="T280" s="32" t="n">
        <f aca="false">T279*(1-F279)*(1-(1-(1-MIN(1,G279*(1+Assumptions!$B$23)))^(1/12)))</f>
        <v>0.445952191107925</v>
      </c>
      <c r="U280" s="47" t="n">
        <f aca="false">T280*(IF(C280&lt;Assumptions!$B$5,Assumptions!$B$12*(1+Assumptions!$B$11)^(INT(A280/12)+1)/12+Pricing_M!$B$13*IF(A280=0,Assumptions!$B$14*12,IF(A280&gt;=12,Assumptions!$B$15,0))-Pricing_M!$B$13,Assumptions!$B$9/12*(1+Assumptions!$B$10)^INT(A280/12)+Assumptions!$B$12*(1+Assumptions!$B$11)^(INT(A280/12)+1)/12))*J280</f>
        <v>454.353008573697</v>
      </c>
      <c r="V280" s="32" t="n">
        <f aca="false">V279*(1-F279)*(1-(1-(1-MIN(1,G279*(1-Assumptions!$B$23)))^(1/12)))</f>
        <v>0.542936958229388</v>
      </c>
      <c r="W280" s="47" t="n">
        <f aca="false">V280*(IF(C280&lt;Assumptions!$B$5,Assumptions!$B$12*(1+Assumptions!$B$11)^(INT(A280/12)+1)/12+Pricing_M!$B$13*IF(A280=0,Assumptions!$B$14*12,IF(A280&gt;=12,Assumptions!$B$15,0))-Pricing_M!$B$13,Assumptions!$B$9/12*(1+Assumptions!$B$10)^INT(A280/12)+Assumptions!$B$12*(1+Assumptions!$B$11)^(INT(A280/12)+1)/12))*J280</f>
        <v>553.164768233359</v>
      </c>
      <c r="X280" s="47" t="n">
        <f aca="false">I280*(IF(C280&lt;Assumptions!$B$5,Assumptions!$B$12*(1+Assumptions!$B$11)*(1+Assumptions!$B$24)*(1+Assumptions!$B$11+Assumptions!$B$25)^(INT(A280/12))/12+Pricing_M!$B$13*IF(A280=0,Assumptions!$B$14*12,IF(A280&gt;=12,Assumptions!$B$15,0))-Pricing_M!$B$13,Assumptions!$B$9/12*(1+Assumptions!$B$10)^INT(A280/12)+Assumptions!$B$12*(1+Assumptions!$B$11)*(1+Assumptions!$B$24)*(1+Assumptions!$B$11+Assumptions!$B$25)^(INT(A280/12))/12))*J280</f>
        <v>502.590587701843</v>
      </c>
    </row>
    <row r="281" customFormat="false" ht="15" hidden="false" customHeight="true" outlineLevel="0" collapsed="false">
      <c r="A281" s="1" t="n">
        <v>274</v>
      </c>
      <c r="B281" s="31" t="n">
        <f aca="false">Assumptions!$B$4+A281/12</f>
        <v>87.8333333333333</v>
      </c>
      <c r="C281" s="34" t="n">
        <f aca="false">Assumptions!$B$4+INT(A281/12)</f>
        <v>87</v>
      </c>
      <c r="D281" s="34" t="n">
        <f aca="false">INT(A281/12)+1</f>
        <v>23</v>
      </c>
      <c r="E281" s="32" t="n">
        <f aca="false">IFERROR(INDEX(Cohort_Survival!$G$5:$G$65,MATCH(C281,Cohort_Survival!$A$5:$A$65,0)),1)</f>
        <v>0.063900243074023</v>
      </c>
      <c r="F281" s="30" t="n">
        <f aca="false">1-(1-MIN(1,E281))^(1/12)</f>
        <v>0.00548765668780071</v>
      </c>
      <c r="G281" s="39" t="n">
        <f aca="false">IF(C281&lt;Assumptions!$B$5,IF(D281=1,Assumptions!$B$16,IF(D281=2,Assumptions!$B$17,IF(D281&lt;=5,Assumptions!$B$18,Assumptions!$B$19)))*(1-Assumptions!$B$20),0)</f>
        <v>0</v>
      </c>
      <c r="H281" s="30" t="n">
        <f aca="false">1-(1-G281)^(1/12)</f>
        <v>0</v>
      </c>
      <c r="I281" s="30" t="n">
        <f aca="false">I280*(1-F280)*(1-H280)</f>
        <v>0.489585287655737</v>
      </c>
      <c r="J281" s="30" t="n">
        <f aca="false">INDEX(Discount_Monthly!$G$4:$G$664,MATCH(A281,Discount_Monthly!$A$4:$A$664,0))</f>
        <v>0.490177311082231</v>
      </c>
      <c r="K281" s="30" t="n">
        <f aca="false">IF(C281&lt;Assumptions!$B$5,I281*J281,0)</f>
        <v>0</v>
      </c>
      <c r="L281" s="30" t="n">
        <f aca="false">IF(C281&lt;Assumptions!$B$5,I281*(1-F281)*H281*A281*J281,0)</f>
        <v>0</v>
      </c>
      <c r="M281" s="30" t="n">
        <f aca="false">IF(A281=0,Assumptions!$B$14*12*I281*J281,IF(AND(A281&gt;=12,C281&lt;Assumptions!$B$5),Assumptions!$B$15*I281*J281,0))</f>
        <v>0</v>
      </c>
      <c r="N281" s="47" t="n">
        <f aca="false">IF(C281&gt;=Assumptions!$B$5,I281*Assumptions!$B$9/12*(1+Assumptions!$B$10)^INT(A281/12)*J281,0)</f>
        <v>494.679688913879</v>
      </c>
      <c r="O281" s="47" t="n">
        <f aca="false">I281*Assumptions!$B$12/12*(1+Assumptions!$B$11)^(INT(A281/12)+1)*J281</f>
        <v>2.82318415948126</v>
      </c>
      <c r="P281" s="47" t="n">
        <f aca="false">O281+Pricing_M!$B$13*M281+N281-Pricing_M!$B$13*K281</f>
        <v>497.502873073361</v>
      </c>
      <c r="Q281" s="47" t="n">
        <f aca="false">IF(C281&lt;Assumptions!$B$5,Pricing_M!$B$13*K281-Pricing_M!$B$13*M281-O281,-(N281+O281))</f>
        <v>-497.502873073361</v>
      </c>
      <c r="R281" s="32" t="n">
        <f aca="false">R280*(1-(1-(1-MIN(1,E280*(1-Assumptions!$B$21)))^(1/12)))*(1-H280)</f>
        <v>0.543975038470368</v>
      </c>
      <c r="S281" s="47" t="n">
        <f aca="false">R281*(IF(C281&lt;Assumptions!$B$5,Assumptions!$B$12*(1+Assumptions!$B$11)^(INT(A281/12)+1)/12+Pricing_M!$B$13*IF(A281=0,Assumptions!$B$14*12,IF(A281&gt;=12,Assumptions!$B$15,0))-Pricing_M!$B$13,Assumptions!$B$9/12*(1+Assumptions!$B$10)^INT(A281/12)+Assumptions!$B$12*(1+Assumptions!$B$11)^(INT(A281/12)+1)/12))*J281</f>
        <v>552.77221628747</v>
      </c>
      <c r="T281" s="32" t="n">
        <f aca="false">T280*(1-F280)*(1-(1-(1-MIN(1,G280*(1+Assumptions!$B$23)))^(1/12)))</f>
        <v>0.443504958583953</v>
      </c>
      <c r="U281" s="47" t="n">
        <f aca="false">T281*(IF(C281&lt;Assumptions!$B$5,Assumptions!$B$12*(1+Assumptions!$B$11)^(INT(A281/12)+1)/12+Pricing_M!$B$13*IF(A281=0,Assumptions!$B$14*12,IF(A281&gt;=12,Assumptions!$B$15,0))-Pricing_M!$B$13,Assumptions!$B$9/12*(1+Assumptions!$B$10)^INT(A281/12)+Assumptions!$B$12*(1+Assumptions!$B$11)^(INT(A281/12)+1)/12))*J281</f>
        <v>450.677331776665</v>
      </c>
      <c r="V281" s="32" t="n">
        <f aca="false">V280*(1-F280)*(1-(1-(1-MIN(1,G280*(1-Assumptions!$B$23)))^(1/12)))</f>
        <v>0.539957506599507</v>
      </c>
      <c r="W281" s="47" t="n">
        <f aca="false">V281*(IF(C281&lt;Assumptions!$B$5,Assumptions!$B$12*(1+Assumptions!$B$11)^(INT(A281/12)+1)/12+Pricing_M!$B$13*IF(A281=0,Assumptions!$B$14*12,IF(A281&gt;=12,Assumptions!$B$15,0))-Pricing_M!$B$13,Assumptions!$B$9/12*(1+Assumptions!$B$10)^INT(A281/12)+Assumptions!$B$12*(1+Assumptions!$B$11)^(INT(A281/12)+1)/12))*J281</f>
        <v>548.689712791526</v>
      </c>
      <c r="X281" s="47" t="n">
        <f aca="false">I281*(IF(C281&lt;Assumptions!$B$5,Assumptions!$B$12*(1+Assumptions!$B$11)*(1+Assumptions!$B$24)*(1+Assumptions!$B$11+Assumptions!$B$25)^(INT(A281/12))/12+Pricing_M!$B$13*IF(A281=0,Assumptions!$B$14*12,IF(A281&gt;=12,Assumptions!$B$15,0))-Pricing_M!$B$13,Assumptions!$B$9/12*(1+Assumptions!$B$10)^INT(A281/12)+Assumptions!$B$12*(1+Assumptions!$B$11)*(1+Assumptions!$B$24)*(1+Assumptions!$B$11+Assumptions!$B$25)^(INT(A281/12))/12))*J281</f>
        <v>498.524673034696</v>
      </c>
    </row>
    <row r="282" customFormat="false" ht="15" hidden="false" customHeight="true" outlineLevel="0" collapsed="false">
      <c r="A282" s="1" t="n">
        <v>275</v>
      </c>
      <c r="B282" s="31" t="n">
        <f aca="false">Assumptions!$B$4+A282/12</f>
        <v>87.9166666666667</v>
      </c>
      <c r="C282" s="34" t="n">
        <f aca="false">Assumptions!$B$4+INT(A282/12)</f>
        <v>87</v>
      </c>
      <c r="D282" s="34" t="n">
        <f aca="false">INT(A282/12)+1</f>
        <v>23</v>
      </c>
      <c r="E282" s="32" t="n">
        <f aca="false">IFERROR(INDEX(Cohort_Survival!$G$5:$G$65,MATCH(C282,Cohort_Survival!$A$5:$A$65,0)),1)</f>
        <v>0.063900243074023</v>
      </c>
      <c r="F282" s="30" t="n">
        <f aca="false">1-(1-MIN(1,E282))^(1/12)</f>
        <v>0.00548765668780071</v>
      </c>
      <c r="G282" s="39" t="n">
        <f aca="false">IF(C282&lt;Assumptions!$B$5,IF(D282=1,Assumptions!$B$16,IF(D282=2,Assumptions!$B$17,IF(D282&lt;=5,Assumptions!$B$18,Assumptions!$B$19)))*(1-Assumptions!$B$20),0)</f>
        <v>0</v>
      </c>
      <c r="H282" s="30" t="n">
        <f aca="false">1-(1-G282)^(1/12)</f>
        <v>0</v>
      </c>
      <c r="I282" s="30" t="n">
        <f aca="false">I281*(1-F281)*(1-H281)</f>
        <v>0.486898611677684</v>
      </c>
      <c r="J282" s="30" t="n">
        <f aca="false">INDEX(Discount_Monthly!$G$4:$G$664,MATCH(A282,Discount_Monthly!$A$4:$A$664,0))</f>
        <v>0.48889470505409</v>
      </c>
      <c r="K282" s="30" t="n">
        <f aca="false">IF(C282&lt;Assumptions!$B$5,I282*J282,0)</f>
        <v>0</v>
      </c>
      <c r="L282" s="30" t="n">
        <f aca="false">IF(C282&lt;Assumptions!$B$5,I282*(1-F282)*H282*A282*J282,0)</f>
        <v>0</v>
      </c>
      <c r="M282" s="30" t="n">
        <f aca="false">IF(A282=0,Assumptions!$B$14*12*I282*J282,IF(AND(A282&gt;=12,C282&lt;Assumptions!$B$5),Assumptions!$B$15*I282*J282,0))</f>
        <v>0</v>
      </c>
      <c r="N282" s="47" t="n">
        <f aca="false">IF(C282&gt;=Assumptions!$B$5,I282*Assumptions!$B$9/12*(1+Assumptions!$B$10)^INT(A282/12)*J282,0)</f>
        <v>490.677772738147</v>
      </c>
      <c r="O282" s="47" t="n">
        <f aca="false">I282*Assumptions!$B$12/12*(1+Assumptions!$B$11)^(INT(A282/12)+1)*J282</f>
        <v>2.80034484222587</v>
      </c>
      <c r="P282" s="47" t="n">
        <f aca="false">O282+Pricing_M!$B$13*M282+N282-Pricing_M!$B$13*K282</f>
        <v>493.478117580373</v>
      </c>
      <c r="Q282" s="47" t="n">
        <f aca="false">IF(C282&lt;Assumptions!$B$5,Pricing_M!$B$13*K282-Pricing_M!$B$13*M282-O282,-(N282+O282))</f>
        <v>-493.478117580373</v>
      </c>
      <c r="R282" s="32" t="n">
        <f aca="false">R281*(1-(1-(1-MIN(1,E281*(1-Assumptions!$B$21)))^(1/12)))*(1-H281)</f>
        <v>0.54160155828869</v>
      </c>
      <c r="S282" s="47" t="n">
        <f aca="false">R282*(IF(C282&lt;Assumptions!$B$5,Assumptions!$B$12*(1+Assumptions!$B$11)^(INT(A282/12)+1)/12+Pricing_M!$B$13*IF(A282=0,Assumptions!$B$14*12,IF(A282&gt;=12,Assumptions!$B$15,0))-Pricing_M!$B$13,Assumptions!$B$9/12*(1+Assumptions!$B$10)^INT(A282/12)+Assumptions!$B$12*(1+Assumptions!$B$11)^(INT(A282/12)+1)/12))*J282</f>
        <v>548.920270160525</v>
      </c>
      <c r="T282" s="32" t="n">
        <f aca="false">T281*(1-F281)*(1-(1-(1-MIN(1,G281*(1+Assumptions!$B$23)))^(1/12)))</f>
        <v>0.441071155631907</v>
      </c>
      <c r="U282" s="47" t="n">
        <f aca="false">T282*(IF(C282&lt;Assumptions!$B$5,Assumptions!$B$12*(1+Assumptions!$B$11)^(INT(A282/12)+1)/12+Pricing_M!$B$13*IF(A282=0,Assumptions!$B$14*12,IF(A282&gt;=12,Assumptions!$B$15,0))-Pricing_M!$B$13,Assumptions!$B$9/12*(1+Assumptions!$B$10)^INT(A282/12)+Assumptions!$B$12*(1+Assumptions!$B$11)^(INT(A282/12)+1)/12))*J282</f>
        <v>447.031390889071</v>
      </c>
      <c r="V282" s="32" t="n">
        <f aca="false">V281*(1-F281)*(1-(1-(1-MIN(1,G281*(1-Assumptions!$B$23)))^(1/12)))</f>
        <v>0.536994405177288</v>
      </c>
      <c r="W282" s="47" t="n">
        <f aca="false">V282*(IF(C282&lt;Assumptions!$B$5,Assumptions!$B$12*(1+Assumptions!$B$11)^(INT(A282/12)+1)/12+Pricing_M!$B$13*IF(A282=0,Assumptions!$B$14*12,IF(A282&gt;=12,Assumptions!$B$15,0))-Pricing_M!$B$13,Assumptions!$B$9/12*(1+Assumptions!$B$10)^INT(A282/12)+Assumptions!$B$12*(1+Assumptions!$B$11)^(INT(A282/12)+1)/12))*J282</f>
        <v>544.250860163677</v>
      </c>
      <c r="X282" s="47" t="n">
        <f aca="false">I282*(IF(C282&lt;Assumptions!$B$5,Assumptions!$B$12*(1+Assumptions!$B$11)*(1+Assumptions!$B$24)*(1+Assumptions!$B$11+Assumptions!$B$25)^(INT(A282/12))/12+Pricing_M!$B$13*IF(A282=0,Assumptions!$B$14*12,IF(A282&gt;=12,Assumptions!$B$15,0))-Pricing_M!$B$13,Assumptions!$B$9/12*(1+Assumptions!$B$10)^INT(A282/12)+Assumptions!$B$12*(1+Assumptions!$B$11)*(1+Assumptions!$B$24)*(1+Assumptions!$B$11+Assumptions!$B$25)^(INT(A282/12))/12))*J282</f>
        <v>494.491651267823</v>
      </c>
    </row>
    <row r="283" customFormat="false" ht="15" hidden="false" customHeight="true" outlineLevel="0" collapsed="false">
      <c r="A283" s="1" t="n">
        <v>276</v>
      </c>
      <c r="B283" s="31" t="n">
        <f aca="false">Assumptions!$B$4+A283/12</f>
        <v>88</v>
      </c>
      <c r="C283" s="34" t="n">
        <f aca="false">Assumptions!$B$4+INT(A283/12)</f>
        <v>88</v>
      </c>
      <c r="D283" s="34" t="n">
        <f aca="false">INT(A283/12)+1</f>
        <v>24</v>
      </c>
      <c r="E283" s="32" t="n">
        <f aca="false">IFERROR(INDEX(Cohort_Survival!$G$5:$G$65,MATCH(C283,Cohort_Survival!$A$5:$A$65,0)),1)</f>
        <v>0.0724292596507697</v>
      </c>
      <c r="F283" s="30" t="n">
        <f aca="false">1-(1-MIN(1,E283))^(1/12)</f>
        <v>0.00624593069535162</v>
      </c>
      <c r="G283" s="39" t="n">
        <f aca="false">IF(C283&lt;Assumptions!$B$5,IF(D283=1,Assumptions!$B$16,IF(D283=2,Assumptions!$B$17,IF(D283&lt;=5,Assumptions!$B$18,Assumptions!$B$19)))*(1-Assumptions!$B$20),0)</f>
        <v>0</v>
      </c>
      <c r="H283" s="30" t="n">
        <f aca="false">1-(1-G283)^(1/12)</f>
        <v>0</v>
      </c>
      <c r="I283" s="30" t="n">
        <f aca="false">I282*(1-F282)*(1-H282)</f>
        <v>0.48422667925503</v>
      </c>
      <c r="J283" s="30" t="n">
        <f aca="false">INDEX(Discount_Monthly!$G$4:$G$664,MATCH(A283,Discount_Monthly!$A$4:$A$664,0))</f>
        <v>0.487615455114014</v>
      </c>
      <c r="K283" s="30" t="n">
        <f aca="false">IF(C283&lt;Assumptions!$B$5,I283*J283,0)</f>
        <v>0</v>
      </c>
      <c r="L283" s="30" t="n">
        <f aca="false">IF(C283&lt;Assumptions!$B$5,I283*(1-F283)*H283*A283*J283,0)</f>
        <v>0</v>
      </c>
      <c r="M283" s="30" t="n">
        <f aca="false">IF(A283=0,Assumptions!$B$14*12*I283*J283,IF(AND(A283&gt;=12,C283&lt;Assumptions!$B$5),Assumptions!$B$15*I283*J283,0))</f>
        <v>0</v>
      </c>
      <c r="N283" s="47" t="n">
        <f aca="false">IF(C283&gt;=Assumptions!$B$5,I283*Assumptions!$B$9/12*(1+Assumptions!$B$10)^INT(A283/12)*J283,0)</f>
        <v>496.442396354801</v>
      </c>
      <c r="O283" s="47" t="n">
        <f aca="false">I283*Assumptions!$B$12/12*(1+Assumptions!$B$11)^(INT(A283/12)+1)*J283</f>
        <v>2.84713255041162</v>
      </c>
      <c r="P283" s="47" t="n">
        <f aca="false">O283+Pricing_M!$B$13*M283+N283-Pricing_M!$B$13*K283</f>
        <v>499.289528905213</v>
      </c>
      <c r="Q283" s="47" t="n">
        <f aca="false">IF(C283&lt;Assumptions!$B$5,Pricing_M!$B$13*K283-Pricing_M!$B$13*M283-O283,-(N283+O283))</f>
        <v>-499.289528905213</v>
      </c>
      <c r="R283" s="32" t="n">
        <f aca="false">R282*(1-(1-(1-MIN(1,E282*(1-Assumptions!$B$21)))^(1/12)))*(1-H282)</f>
        <v>0.539238434111928</v>
      </c>
      <c r="S283" s="47" t="n">
        <f aca="false">R283*(IF(C283&lt;Assumptions!$B$5,Assumptions!$B$12*(1+Assumptions!$B$11)^(INT(A283/12)+1)/12+Pricing_M!$B$13*IF(A283=0,Assumptions!$B$14*12,IF(A283&gt;=12,Assumptions!$B$15,0))-Pricing_M!$B$13,Assumptions!$B$9/12*(1+Assumptions!$B$10)^INT(A283/12)+Assumptions!$B$12*(1+Assumptions!$B$11)^(INT(A283/12)+1)/12))*J283</f>
        <v>556.012535594985</v>
      </c>
      <c r="T283" s="32" t="n">
        <f aca="false">T282*(1-F282)*(1-(1-(1-MIN(1,G282*(1+Assumptions!$B$23)))^(1/12)))</f>
        <v>0.438650708554907</v>
      </c>
      <c r="U283" s="47" t="n">
        <f aca="false">T283*(IF(C283&lt;Assumptions!$B$5,Assumptions!$B$12*(1+Assumptions!$B$11)^(INT(A283/12)+1)/12+Pricing_M!$B$13*IF(A283=0,Assumptions!$B$14*12,IF(A283&gt;=12,Assumptions!$B$15,0))-Pricing_M!$B$13,Assumptions!$B$9/12*(1+Assumptions!$B$10)^INT(A283/12)+Assumptions!$B$12*(1+Assumptions!$B$11)^(INT(A283/12)+1)/12))*J283</f>
        <v>452.295825511441</v>
      </c>
      <c r="V283" s="32" t="n">
        <f aca="false">V282*(1-F282)*(1-(1-(1-MIN(1,G282*(1-Assumptions!$B$23)))^(1/12)))</f>
        <v>0.534047564238405</v>
      </c>
      <c r="W283" s="47" t="n">
        <f aca="false">V283*(IF(C283&lt;Assumptions!$B$5,Assumptions!$B$12*(1+Assumptions!$B$11)^(INT(A283/12)+1)/12+Pricing_M!$B$13*IF(A283=0,Assumptions!$B$14*12,IF(A283&gt;=12,Assumptions!$B$15,0))-Pricing_M!$B$13,Assumptions!$B$9/12*(1+Assumptions!$B$10)^INT(A283/12)+Assumptions!$B$12*(1+Assumptions!$B$11)^(INT(A283/12)+1)/12))*J283</f>
        <v>550.660193221478</v>
      </c>
      <c r="X283" s="47" t="n">
        <f aca="false">I283*(IF(C283&lt;Assumptions!$B$5,Assumptions!$B$12*(1+Assumptions!$B$11)*(1+Assumptions!$B$24)*(1+Assumptions!$B$11+Assumptions!$B$25)^(INT(A283/12))/12+Pricing_M!$B$13*IF(A283=0,Assumptions!$B$14*12,IF(A283&gt;=12,Assumptions!$B$15,0))-Pricing_M!$B$13,Assumptions!$B$9/12*(1+Assumptions!$B$10)^INT(A283/12)+Assumptions!$B$12*(1+Assumptions!$B$11)*(1+Assumptions!$B$24)*(1+Assumptions!$B$11+Assumptions!$B$25)^(INT(A283/12))/12))*J283</f>
        <v>500.357826795201</v>
      </c>
    </row>
    <row r="284" customFormat="false" ht="15" hidden="false" customHeight="true" outlineLevel="0" collapsed="false">
      <c r="A284" s="1" t="n">
        <v>277</v>
      </c>
      <c r="B284" s="31" t="n">
        <f aca="false">Assumptions!$B$4+A284/12</f>
        <v>88.0833333333333</v>
      </c>
      <c r="C284" s="34" t="n">
        <f aca="false">Assumptions!$B$4+INT(A284/12)</f>
        <v>88</v>
      </c>
      <c r="D284" s="34" t="n">
        <f aca="false">INT(A284/12)+1</f>
        <v>24</v>
      </c>
      <c r="E284" s="32" t="n">
        <f aca="false">IFERROR(INDEX(Cohort_Survival!$G$5:$G$65,MATCH(C284,Cohort_Survival!$A$5:$A$65,0)),1)</f>
        <v>0.0724292596507697</v>
      </c>
      <c r="F284" s="30" t="n">
        <f aca="false">1-(1-MIN(1,E284))^(1/12)</f>
        <v>0.00624593069535162</v>
      </c>
      <c r="G284" s="39" t="n">
        <f aca="false">IF(C284&lt;Assumptions!$B$5,IF(D284=1,Assumptions!$B$16,IF(D284=2,Assumptions!$B$17,IF(D284&lt;=5,Assumptions!$B$18,Assumptions!$B$19)))*(1-Assumptions!$B$20),0)</f>
        <v>0</v>
      </c>
      <c r="H284" s="30" t="n">
        <f aca="false">1-(1-G284)^(1/12)</f>
        <v>0</v>
      </c>
      <c r="I284" s="30" t="n">
        <f aca="false">I283*(1-F283)*(1-H283)</f>
        <v>0.481202232975563</v>
      </c>
      <c r="J284" s="30" t="n">
        <f aca="false">INDEX(Discount_Monthly!$G$4:$G$664,MATCH(A284,Discount_Monthly!$A$4:$A$664,0))</f>
        <v>0.486329339423989</v>
      </c>
      <c r="K284" s="30" t="n">
        <f aca="false">IF(C284&lt;Assumptions!$B$5,I284*J284,0)</f>
        <v>0</v>
      </c>
      <c r="L284" s="30" t="n">
        <f aca="false">IF(C284&lt;Assumptions!$B$5,I284*(1-F284)*H284*A284*J284,0)</f>
        <v>0</v>
      </c>
      <c r="M284" s="30" t="n">
        <f aca="false">IF(A284=0,Assumptions!$B$14*12*I284*J284,IF(AND(A284&gt;=12,C284&lt;Assumptions!$B$5),Assumptions!$B$15*I284*J284,0))</f>
        <v>0</v>
      </c>
      <c r="N284" s="47" t="n">
        <f aca="false">IF(C284&gt;=Assumptions!$B$5,I284*Assumptions!$B$9/12*(1+Assumptions!$B$10)^INT(A284/12)*J284,0)</f>
        <v>492.04043266836</v>
      </c>
      <c r="O284" s="47" t="n">
        <f aca="false">I284*Assumptions!$B$12/12*(1+Assumptions!$B$11)^(INT(A284/12)+1)*J284</f>
        <v>2.82188697471256</v>
      </c>
      <c r="P284" s="47" t="n">
        <f aca="false">O284+Pricing_M!$B$13*M284+N284-Pricing_M!$B$13*K284</f>
        <v>494.862319643072</v>
      </c>
      <c r="Q284" s="47" t="n">
        <f aca="false">IF(C284&lt;Assumptions!$B$5,Pricing_M!$B$13*K284-Pricing_M!$B$13*M284-O284,-(N284+O284))</f>
        <v>-494.862319643072</v>
      </c>
      <c r="R284" s="32" t="n">
        <f aca="false">R283*(1-(1-(1-MIN(1,E283*(1-Assumptions!$B$21)))^(1/12)))*(1-H283)</f>
        <v>0.536562835382323</v>
      </c>
      <c r="S284" s="47" t="n">
        <f aca="false">R284*(IF(C284&lt;Assumptions!$B$5,Assumptions!$B$12*(1+Assumptions!$B$11)^(INT(A284/12)+1)/12+Pricing_M!$B$13*IF(A284=0,Assumptions!$B$14*12,IF(A284&gt;=12,Assumptions!$B$15,0))-Pricing_M!$B$13,Assumptions!$B$9/12*(1+Assumptions!$B$10)^INT(A284/12)+Assumptions!$B$12*(1+Assumptions!$B$11)^(INT(A284/12)+1)/12))*J284</f>
        <v>551.794466350792</v>
      </c>
      <c r="T284" s="32" t="n">
        <f aca="false">T283*(1-F283)*(1-(1-(1-MIN(1,G283*(1+Assumptions!$B$23)))^(1/12)))</f>
        <v>0.435910926629806</v>
      </c>
      <c r="U284" s="47" t="n">
        <f aca="false">T284*(IF(C284&lt;Assumptions!$B$5,Assumptions!$B$12*(1+Assumptions!$B$11)^(INT(A284/12)+1)/12+Pricing_M!$B$13*IF(A284=0,Assumptions!$B$14*12,IF(A284&gt;=12,Assumptions!$B$15,0))-Pricing_M!$B$13,Assumptions!$B$9/12*(1+Assumptions!$B$10)^INT(A284/12)+Assumptions!$B$12*(1+Assumptions!$B$11)^(INT(A284/12)+1)/12))*J284</f>
        <v>448.285310265262</v>
      </c>
      <c r="V284" s="32" t="n">
        <f aca="false">V283*(1-F283)*(1-(1-(1-MIN(1,G283*(1-Assumptions!$B$23)))^(1/12)))</f>
        <v>0.530711940164151</v>
      </c>
      <c r="W284" s="47" t="n">
        <f aca="false">V284*(IF(C284&lt;Assumptions!$B$5,Assumptions!$B$12*(1+Assumptions!$B$11)^(INT(A284/12)+1)/12+Pricing_M!$B$13*IF(A284=0,Assumptions!$B$14*12,IF(A284&gt;=12,Assumptions!$B$15,0))-Pricing_M!$B$13,Assumptions!$B$9/12*(1+Assumptions!$B$10)^INT(A284/12)+Assumptions!$B$12*(1+Assumptions!$B$11)^(INT(A284/12)+1)/12))*J284</f>
        <v>545.777479351897</v>
      </c>
      <c r="X284" s="47" t="n">
        <f aca="false">I284*(IF(C284&lt;Assumptions!$B$5,Assumptions!$B$12*(1+Assumptions!$B$11)*(1+Assumptions!$B$24)*(1+Assumptions!$B$11+Assumptions!$B$25)^(INT(A284/12))/12+Pricing_M!$B$13*IF(A284=0,Assumptions!$B$14*12,IF(A284&gt;=12,Assumptions!$B$15,0))-Pricing_M!$B$13,Assumptions!$B$9/12*(1+Assumptions!$B$10)^INT(A284/12)+Assumptions!$B$12*(1+Assumptions!$B$11)*(1+Assumptions!$B$24)*(1+Assumptions!$B$11+Assumptions!$B$25)^(INT(A284/12))/12))*J284</f>
        <v>495.921144916393</v>
      </c>
    </row>
    <row r="285" customFormat="false" ht="15" hidden="false" customHeight="true" outlineLevel="0" collapsed="false">
      <c r="A285" s="1" t="n">
        <v>278</v>
      </c>
      <c r="B285" s="31" t="n">
        <f aca="false">Assumptions!$B$4+A285/12</f>
        <v>88.1666666666667</v>
      </c>
      <c r="C285" s="34" t="n">
        <f aca="false">Assumptions!$B$4+INT(A285/12)</f>
        <v>88</v>
      </c>
      <c r="D285" s="34" t="n">
        <f aca="false">INT(A285/12)+1</f>
        <v>24</v>
      </c>
      <c r="E285" s="32" t="n">
        <f aca="false">IFERROR(INDEX(Cohort_Survival!$G$5:$G$65,MATCH(C285,Cohort_Survival!$A$5:$A$65,0)),1)</f>
        <v>0.0724292596507697</v>
      </c>
      <c r="F285" s="30" t="n">
        <f aca="false">1-(1-MIN(1,E285))^(1/12)</f>
        <v>0.00624593069535162</v>
      </c>
      <c r="G285" s="39" t="n">
        <f aca="false">IF(C285&lt;Assumptions!$B$5,IF(D285=1,Assumptions!$B$16,IF(D285=2,Assumptions!$B$17,IF(D285&lt;=5,Assumptions!$B$18,Assumptions!$B$19)))*(1-Assumptions!$B$20),0)</f>
        <v>0</v>
      </c>
      <c r="H285" s="30" t="n">
        <f aca="false">1-(1-G285)^(1/12)</f>
        <v>0</v>
      </c>
      <c r="I285" s="30" t="n">
        <f aca="false">I284*(1-F284)*(1-H284)</f>
        <v>0.478196677177949</v>
      </c>
      <c r="J285" s="30" t="n">
        <f aca="false">INDEX(Discount_Monthly!$G$4:$G$664,MATCH(A285,Discount_Monthly!$A$4:$A$664,0))</f>
        <v>0.485046615943031</v>
      </c>
      <c r="K285" s="30" t="n">
        <f aca="false">IF(C285&lt;Assumptions!$B$5,I285*J285,0)</f>
        <v>0</v>
      </c>
      <c r="L285" s="30" t="n">
        <f aca="false">IF(C285&lt;Assumptions!$B$5,I285*(1-F285)*H285*A285*J285,0)</f>
        <v>0</v>
      </c>
      <c r="M285" s="30" t="n">
        <f aca="false">IF(A285=0,Assumptions!$B$14*12*I285*J285,IF(AND(A285&gt;=12,C285&lt;Assumptions!$B$5),Assumptions!$B$15*I285*J285,0))</f>
        <v>0</v>
      </c>
      <c r="N285" s="47" t="n">
        <f aca="false">IF(C285&gt;=Assumptions!$B$5,I285*Assumptions!$B$9/12*(1+Assumptions!$B$10)^INT(A285/12)*J285,0)</f>
        <v>487.677501273356</v>
      </c>
      <c r="O285" s="47" t="n">
        <f aca="false">I285*Assumptions!$B$12/12*(1+Assumptions!$B$11)^(INT(A285/12)+1)*J285</f>
        <v>2.79686525198877</v>
      </c>
      <c r="P285" s="47" t="n">
        <f aca="false">O285+Pricing_M!$B$13*M285+N285-Pricing_M!$B$13*K285</f>
        <v>490.474366525345</v>
      </c>
      <c r="Q285" s="47" t="n">
        <f aca="false">IF(C285&lt;Assumptions!$B$5,Pricing_M!$B$13*K285-Pricing_M!$B$13*M285-O285,-(N285+O285))</f>
        <v>-490.474366525345</v>
      </c>
      <c r="R285" s="32" t="n">
        <f aca="false">R284*(1-(1-(1-MIN(1,E284*(1-Assumptions!$B$21)))^(1/12)))*(1-H284)</f>
        <v>0.533900512465623</v>
      </c>
      <c r="S285" s="47" t="n">
        <f aca="false">R285*(IF(C285&lt;Assumptions!$B$5,Assumptions!$B$12*(1+Assumptions!$B$11)^(INT(A285/12)+1)/12+Pricing_M!$B$13*IF(A285=0,Assumptions!$B$14*12,IF(A285&gt;=12,Assumptions!$B$15,0))-Pricing_M!$B$13,Assumptions!$B$9/12*(1+Assumptions!$B$10)^INT(A285/12)+Assumptions!$B$12*(1+Assumptions!$B$11)^(INT(A285/12)+1)/12))*J285</f>
        <v>547.60839657965</v>
      </c>
      <c r="T285" s="32" t="n">
        <f aca="false">T284*(1-F284)*(1-(1-(1-MIN(1,G284*(1+Assumptions!$B$23)))^(1/12)))</f>
        <v>0.43318825719273</v>
      </c>
      <c r="U285" s="47" t="n">
        <f aca="false">T285*(IF(C285&lt;Assumptions!$B$5,Assumptions!$B$12*(1+Assumptions!$B$11)^(INT(A285/12)+1)/12+Pricing_M!$B$13*IF(A285=0,Assumptions!$B$14*12,IF(A285&gt;=12,Assumptions!$B$15,0))-Pricing_M!$B$13,Assumptions!$B$9/12*(1+Assumptions!$B$10)^INT(A285/12)+Assumptions!$B$12*(1+Assumptions!$B$11)^(INT(A285/12)+1)/12))*J285</f>
        <v>444.310356330138</v>
      </c>
      <c r="V285" s="32" t="n">
        <f aca="false">V284*(1-F284)*(1-(1-(1-MIN(1,G284*(1-Assumptions!$B$23)))^(1/12)))</f>
        <v>0.52739715016669</v>
      </c>
      <c r="W285" s="47" t="n">
        <f aca="false">V285*(IF(C285&lt;Assumptions!$B$5,Assumptions!$B$12*(1+Assumptions!$B$11)^(INT(A285/12)+1)/12+Pricing_M!$B$13*IF(A285=0,Assumptions!$B$14*12,IF(A285&gt;=12,Assumptions!$B$15,0))-Pricing_M!$B$13,Assumptions!$B$9/12*(1+Assumptions!$B$10)^INT(A285/12)+Assumptions!$B$12*(1+Assumptions!$B$11)^(INT(A285/12)+1)/12))*J285</f>
        <v>540.938060594302</v>
      </c>
      <c r="X285" s="47" t="n">
        <f aca="false">I285*(IF(C285&lt;Assumptions!$B$5,Assumptions!$B$12*(1+Assumptions!$B$11)*(1+Assumptions!$B$24)*(1+Assumptions!$B$11+Assumptions!$B$25)^(INT(A285/12))/12+Pricing_M!$B$13*IF(A285=0,Assumptions!$B$14*12,IF(A285&gt;=12,Assumptions!$B$15,0))-Pricing_M!$B$13,Assumptions!$B$9/12*(1+Assumptions!$B$10)^INT(A285/12)+Assumptions!$B$12*(1+Assumptions!$B$11)*(1+Assumptions!$B$24)*(1+Assumptions!$B$11+Assumptions!$B$25)^(INT(A285/12))/12))*J285</f>
        <v>491.523803175861</v>
      </c>
    </row>
    <row r="286" customFormat="false" ht="15" hidden="false" customHeight="true" outlineLevel="0" collapsed="false">
      <c r="A286" s="1" t="n">
        <v>279</v>
      </c>
      <c r="B286" s="31" t="n">
        <f aca="false">Assumptions!$B$4+A286/12</f>
        <v>88.25</v>
      </c>
      <c r="C286" s="34" t="n">
        <f aca="false">Assumptions!$B$4+INT(A286/12)</f>
        <v>88</v>
      </c>
      <c r="D286" s="34" t="n">
        <f aca="false">INT(A286/12)+1</f>
        <v>24</v>
      </c>
      <c r="E286" s="32" t="n">
        <f aca="false">IFERROR(INDEX(Cohort_Survival!$G$5:$G$65,MATCH(C286,Cohort_Survival!$A$5:$A$65,0)),1)</f>
        <v>0.0724292596507697</v>
      </c>
      <c r="F286" s="30" t="n">
        <f aca="false">1-(1-MIN(1,E286))^(1/12)</f>
        <v>0.00624593069535162</v>
      </c>
      <c r="G286" s="39" t="n">
        <f aca="false">IF(C286&lt;Assumptions!$B$5,IF(D286=1,Assumptions!$B$16,IF(D286=2,Assumptions!$B$17,IF(D286&lt;=5,Assumptions!$B$18,Assumptions!$B$19)))*(1-Assumptions!$B$20),0)</f>
        <v>0</v>
      </c>
      <c r="H286" s="30" t="n">
        <f aca="false">1-(1-G286)^(1/12)</f>
        <v>0</v>
      </c>
      <c r="I286" s="30" t="n">
        <f aca="false">I285*(1-F285)*(1-H285)</f>
        <v>0.475209893873548</v>
      </c>
      <c r="J286" s="30" t="n">
        <f aca="false">INDEX(Discount_Monthly!$G$4:$G$664,MATCH(A286,Discount_Monthly!$A$4:$A$664,0))</f>
        <v>0.48376727572398</v>
      </c>
      <c r="K286" s="30" t="n">
        <f aca="false">IF(C286&lt;Assumptions!$B$5,I286*J286,0)</f>
        <v>0</v>
      </c>
      <c r="L286" s="30" t="n">
        <f aca="false">IF(C286&lt;Assumptions!$B$5,I286*(1-F286)*H286*A286*J286,0)</f>
        <v>0</v>
      </c>
      <c r="M286" s="30" t="n">
        <f aca="false">IF(A286=0,Assumptions!$B$14*12*I286*J286,IF(AND(A286&gt;=12,C286&lt;Assumptions!$B$5),Assumptions!$B$15*I286*J286,0))</f>
        <v>0</v>
      </c>
      <c r="N286" s="47" t="n">
        <f aca="false">IF(C286&gt;=Assumptions!$B$5,I286*Assumptions!$B$9/12*(1+Assumptions!$B$10)^INT(A286/12)*J286,0)</f>
        <v>483.353256069758</v>
      </c>
      <c r="O286" s="47" t="n">
        <f aca="false">I286*Assumptions!$B$12/12*(1+Assumptions!$B$11)^(INT(A286/12)+1)*J286</f>
        <v>2.77206539733186</v>
      </c>
      <c r="P286" s="47" t="n">
        <f aca="false">O286+Pricing_M!$B$13*M286+N286-Pricing_M!$B$13*K286</f>
        <v>486.12532146709</v>
      </c>
      <c r="Q286" s="47" t="n">
        <f aca="false">IF(C286&lt;Assumptions!$B$5,Pricing_M!$B$13*K286-Pricing_M!$B$13*M286-O286,-(N286+O286))</f>
        <v>-486.12532146709</v>
      </c>
      <c r="R286" s="32" t="n">
        <f aca="false">R285*(1-(1-(1-MIN(1,E285*(1-Assumptions!$B$21)))^(1/12)))*(1-H285)</f>
        <v>0.531251399489763</v>
      </c>
      <c r="S286" s="47" t="n">
        <f aca="false">R286*(IF(C286&lt;Assumptions!$B$5,Assumptions!$B$12*(1+Assumptions!$B$11)^(INT(A286/12)+1)/12+Pricing_M!$B$13*IF(A286=0,Assumptions!$B$14*12,IF(A286&gt;=12,Assumptions!$B$15,0))-Pricing_M!$B$13,Assumptions!$B$9/12*(1+Assumptions!$B$10)^INT(A286/12)+Assumptions!$B$12*(1+Assumptions!$B$11)^(INT(A286/12)+1)/12))*J286</f>
        <v>543.454083524455</v>
      </c>
      <c r="T286" s="32" t="n">
        <f aca="false">T285*(1-F285)*(1-(1-(1-MIN(1,G285*(1+Assumptions!$B$23)))^(1/12)))</f>
        <v>0.430482593360264</v>
      </c>
      <c r="U286" s="47" t="n">
        <f aca="false">T286*(IF(C286&lt;Assumptions!$B$5,Assumptions!$B$12*(1+Assumptions!$B$11)^(INT(A286/12)+1)/12+Pricing_M!$B$13*IF(A286=0,Assumptions!$B$14*12,IF(A286&gt;=12,Assumptions!$B$15,0))-Pricing_M!$B$13,Assumptions!$B$9/12*(1+Assumptions!$B$10)^INT(A286/12)+Assumptions!$B$12*(1+Assumptions!$B$11)^(INT(A286/12)+1)/12))*J286</f>
        <v>440.370648383282</v>
      </c>
      <c r="V286" s="32" t="n">
        <f aca="false">V285*(1-F285)*(1-(1-(1-MIN(1,G285*(1-Assumptions!$B$23)))^(1/12)))</f>
        <v>0.524103064117823</v>
      </c>
      <c r="W286" s="47" t="n">
        <f aca="false">V286*(IF(C286&lt;Assumptions!$B$5,Assumptions!$B$12*(1+Assumptions!$B$11)^(INT(A286/12)+1)/12+Pricing_M!$B$13*IF(A286=0,Assumptions!$B$14*12,IF(A286&gt;=12,Assumptions!$B$15,0))-Pricing_M!$B$13,Assumptions!$B$9/12*(1+Assumptions!$B$10)^INT(A286/12)+Assumptions!$B$12*(1+Assumptions!$B$11)^(INT(A286/12)+1)/12))*J286</f>
        <v>536.141553050155</v>
      </c>
      <c r="X286" s="47" t="n">
        <f aca="false">I286*(IF(C286&lt;Assumptions!$B$5,Assumptions!$B$12*(1+Assumptions!$B$11)*(1+Assumptions!$B$24)*(1+Assumptions!$B$11+Assumptions!$B$25)^(INT(A286/12))/12+Pricing_M!$B$13*IF(A286=0,Assumptions!$B$14*12,IF(A286&gt;=12,Assumptions!$B$15,0))-Pricing_M!$B$13,Assumptions!$B$9/12*(1+Assumptions!$B$10)^INT(A286/12)+Assumptions!$B$12*(1+Assumptions!$B$11)*(1+Assumptions!$B$24)*(1+Assumptions!$B$11+Assumptions!$B$25)^(INT(A286/12))/12))*J286</f>
        <v>487.16545274389</v>
      </c>
    </row>
    <row r="287" customFormat="false" ht="15" hidden="false" customHeight="true" outlineLevel="0" collapsed="false">
      <c r="A287" s="1" t="n">
        <v>280</v>
      </c>
      <c r="B287" s="31" t="n">
        <f aca="false">Assumptions!$B$4+A287/12</f>
        <v>88.3333333333333</v>
      </c>
      <c r="C287" s="34" t="n">
        <f aca="false">Assumptions!$B$4+INT(A287/12)</f>
        <v>88</v>
      </c>
      <c r="D287" s="34" t="n">
        <f aca="false">INT(A287/12)+1</f>
        <v>24</v>
      </c>
      <c r="E287" s="32" t="n">
        <f aca="false">IFERROR(INDEX(Cohort_Survival!$G$5:$G$65,MATCH(C287,Cohort_Survival!$A$5:$A$65,0)),1)</f>
        <v>0.0724292596507697</v>
      </c>
      <c r="F287" s="30" t="n">
        <f aca="false">1-(1-MIN(1,E287))^(1/12)</f>
        <v>0.00624593069535162</v>
      </c>
      <c r="G287" s="39" t="n">
        <f aca="false">IF(C287&lt;Assumptions!$B$5,IF(D287=1,Assumptions!$B$16,IF(D287=2,Assumptions!$B$17,IF(D287&lt;=5,Assumptions!$B$18,Assumptions!$B$19)))*(1-Assumptions!$B$20),0)</f>
        <v>0</v>
      </c>
      <c r="H287" s="30" t="n">
        <f aca="false">1-(1-G287)^(1/12)</f>
        <v>0</v>
      </c>
      <c r="I287" s="30" t="n">
        <f aca="false">I286*(1-F286)*(1-H286)</f>
        <v>0.472241765810669</v>
      </c>
      <c r="J287" s="30" t="n">
        <f aca="false">INDEX(Discount_Monthly!$G$4:$G$664,MATCH(A287,Discount_Monthly!$A$4:$A$664,0))</f>
        <v>0.482491309843277</v>
      </c>
      <c r="K287" s="30" t="n">
        <f aca="false">IF(C287&lt;Assumptions!$B$5,I287*J287,0)</f>
        <v>0</v>
      </c>
      <c r="L287" s="30" t="n">
        <f aca="false">IF(C287&lt;Assumptions!$B$5,I287*(1-F287)*H287*A287*J287,0)</f>
        <v>0</v>
      </c>
      <c r="M287" s="30" t="n">
        <f aca="false">IF(A287=0,Assumptions!$B$14*12*I287*J287,IF(AND(A287&gt;=12,C287&lt;Assumptions!$B$5),Assumptions!$B$15*I287*J287,0))</f>
        <v>0</v>
      </c>
      <c r="N287" s="47" t="n">
        <f aca="false">IF(C287&gt;=Assumptions!$B$5,I287*Assumptions!$B$9/12*(1+Assumptions!$B$10)^INT(A287/12)*J287,0)</f>
        <v>479.067354026409</v>
      </c>
      <c r="O287" s="47" t="n">
        <f aca="false">I287*Assumptions!$B$12/12*(1+Assumptions!$B$11)^(INT(A287/12)+1)*J287</f>
        <v>2.74748544343369</v>
      </c>
      <c r="P287" s="47" t="n">
        <f aca="false">O287+Pricing_M!$B$13*M287+N287-Pricing_M!$B$13*K287</f>
        <v>481.814839469843</v>
      </c>
      <c r="Q287" s="47" t="n">
        <f aca="false">IF(C287&lt;Assumptions!$B$5,Pricing_M!$B$13*K287-Pricing_M!$B$13*M287-O287,-(N287+O287))</f>
        <v>-481.814839469843</v>
      </c>
      <c r="R287" s="32" t="n">
        <f aca="false">R286*(1-(1-(1-MIN(1,E286*(1-Assumptions!$B$21)))^(1/12)))*(1-H286)</f>
        <v>0.528615430909526</v>
      </c>
      <c r="S287" s="47" t="n">
        <f aca="false">R287*(IF(C287&lt;Assumptions!$B$5,Assumptions!$B$12*(1+Assumptions!$B$11)^(INT(A287/12)+1)/12+Pricing_M!$B$13*IF(A287=0,Assumptions!$B$14*12,IF(A287&gt;=12,Assumptions!$B$15,0))-Pricing_M!$B$13,Assumptions!$B$9/12*(1+Assumptions!$B$10)^INT(A287/12)+Assumptions!$B$12*(1+Assumptions!$B$11)^(INT(A287/12)+1)/12))*J287</f>
        <v>539.331286269726</v>
      </c>
      <c r="T287" s="32" t="n">
        <f aca="false">T286*(1-F286)*(1-(1-(1-MIN(1,G286*(1+Assumptions!$B$23)))^(1/12)))</f>
        <v>0.427793828916581</v>
      </c>
      <c r="U287" s="47" t="n">
        <f aca="false">T287*(IF(C287&lt;Assumptions!$B$5,Assumptions!$B$12*(1+Assumptions!$B$11)^(INT(A287/12)+1)/12+Pricing_M!$B$13*IF(A287=0,Assumptions!$B$14*12,IF(A287&gt;=12,Assumptions!$B$15,0))-Pricing_M!$B$13,Assumptions!$B$9/12*(1+Assumptions!$B$10)^INT(A287/12)+Assumptions!$B$12*(1+Assumptions!$B$11)^(INT(A287/12)+1)/12))*J287</f>
        <v>436.465873897881</v>
      </c>
      <c r="V287" s="32" t="n">
        <f aca="false">V286*(1-F286)*(1-(1-(1-MIN(1,G286*(1-Assumptions!$B$23)))^(1/12)))</f>
        <v>0.520829552702121</v>
      </c>
      <c r="W287" s="47" t="n">
        <f aca="false">V287*(IF(C287&lt;Assumptions!$B$5,Assumptions!$B$12*(1+Assumptions!$B$11)^(INT(A287/12)+1)/12+Pricing_M!$B$13*IF(A287=0,Assumptions!$B$14*12,IF(A287&gt;=12,Assumptions!$B$15,0))-Pricing_M!$B$13,Assumptions!$B$9/12*(1+Assumptions!$B$10)^INT(A287/12)+Assumptions!$B$12*(1+Assumptions!$B$11)^(INT(A287/12)+1)/12))*J287</f>
        <v>531.387576224952</v>
      </c>
      <c r="X287" s="47" t="n">
        <f aca="false">I287*(IF(C287&lt;Assumptions!$B$5,Assumptions!$B$12*(1+Assumptions!$B$11)*(1+Assumptions!$B$24)*(1+Assumptions!$B$11+Assumptions!$B$25)^(INT(A287/12))/12+Pricing_M!$B$13*IF(A287=0,Assumptions!$B$14*12,IF(A287&gt;=12,Assumptions!$B$15,0))-Pricing_M!$B$13,Assumptions!$B$9/12*(1+Assumptions!$B$10)^INT(A287/12)+Assumptions!$B$12*(1+Assumptions!$B$11)*(1+Assumptions!$B$24)*(1+Assumptions!$B$11+Assumptions!$B$25)^(INT(A287/12))/12))*J287</f>
        <v>482.845747883843</v>
      </c>
    </row>
    <row r="288" customFormat="false" ht="15" hidden="false" customHeight="true" outlineLevel="0" collapsed="false">
      <c r="A288" s="1" t="n">
        <v>281</v>
      </c>
      <c r="B288" s="31" t="n">
        <f aca="false">Assumptions!$B$4+A288/12</f>
        <v>88.4166666666667</v>
      </c>
      <c r="C288" s="34" t="n">
        <f aca="false">Assumptions!$B$4+INT(A288/12)</f>
        <v>88</v>
      </c>
      <c r="D288" s="34" t="n">
        <f aca="false">INT(A288/12)+1</f>
        <v>24</v>
      </c>
      <c r="E288" s="32" t="n">
        <f aca="false">IFERROR(INDEX(Cohort_Survival!$G$5:$G$65,MATCH(C288,Cohort_Survival!$A$5:$A$65,0)),1)</f>
        <v>0.0724292596507697</v>
      </c>
      <c r="F288" s="30" t="n">
        <f aca="false">1-(1-MIN(1,E288))^(1/12)</f>
        <v>0.00624593069535162</v>
      </c>
      <c r="G288" s="39" t="n">
        <f aca="false">IF(C288&lt;Assumptions!$B$5,IF(D288=1,Assumptions!$B$16,IF(D288=2,Assumptions!$B$17,IF(D288&lt;=5,Assumptions!$B$18,Assumptions!$B$19)))*(1-Assumptions!$B$20),0)</f>
        <v>0</v>
      </c>
      <c r="H288" s="30" t="n">
        <f aca="false">1-(1-G288)^(1/12)</f>
        <v>0</v>
      </c>
      <c r="I288" s="30" t="n">
        <f aca="false">I287*(1-F287)*(1-H287)</f>
        <v>0.469292176469965</v>
      </c>
      <c r="J288" s="30" t="n">
        <f aca="false">INDEX(Discount_Monthly!$G$4:$G$664,MATCH(A288,Discount_Monthly!$A$4:$A$664,0))</f>
        <v>0.481218709400895</v>
      </c>
      <c r="K288" s="30" t="n">
        <f aca="false">IF(C288&lt;Assumptions!$B$5,I288*J288,0)</f>
        <v>0</v>
      </c>
      <c r="L288" s="30" t="n">
        <f aca="false">IF(C288&lt;Assumptions!$B$5,I288*(1-F288)*H288*A288*J288,0)</f>
        <v>0</v>
      </c>
      <c r="M288" s="30" t="n">
        <f aca="false">IF(A288=0,Assumptions!$B$14*12*I288*J288,IF(AND(A288&gt;=12,C288&lt;Assumptions!$B$5),Assumptions!$B$15*I288*J288,0))</f>
        <v>0</v>
      </c>
      <c r="N288" s="47" t="n">
        <f aca="false">IF(C288&gt;=Assumptions!$B$5,I288*Assumptions!$B$9/12*(1+Assumptions!$B$10)^INT(A288/12)*J288,0)</f>
        <v>474.819455153814</v>
      </c>
      <c r="O288" s="47" t="n">
        <f aca="false">I288*Assumptions!$B$12/12*(1+Assumptions!$B$11)^(INT(A288/12)+1)*J288</f>
        <v>2.72312344043027</v>
      </c>
      <c r="P288" s="47" t="n">
        <f aca="false">O288+Pricing_M!$B$13*M288+N288-Pricing_M!$B$13*K288</f>
        <v>477.542578594244</v>
      </c>
      <c r="Q288" s="47" t="n">
        <f aca="false">IF(C288&lt;Assumptions!$B$5,Pricing_M!$B$13*K288-Pricing_M!$B$13*M288-O288,-(N288+O288))</f>
        <v>-477.542578594244</v>
      </c>
      <c r="R288" s="32" t="n">
        <f aca="false">R287*(1-(1-(1-MIN(1,E287*(1-Assumptions!$B$21)))^(1/12)))*(1-H287)</f>
        <v>0.525992541504915</v>
      </c>
      <c r="S288" s="47" t="n">
        <f aca="false">R288*(IF(C288&lt;Assumptions!$B$5,Assumptions!$B$12*(1+Assumptions!$B$11)^(INT(A288/12)+1)/12+Pricing_M!$B$13*IF(A288=0,Assumptions!$B$14*12,IF(A288&gt;=12,Assumptions!$B$15,0))-Pricing_M!$B$13,Assumptions!$B$9/12*(1+Assumptions!$B$10)^INT(A288/12)+Assumptions!$B$12*(1+Assumptions!$B$11)^(INT(A288/12)+1)/12))*J288</f>
        <v>535.239765727638</v>
      </c>
      <c r="T288" s="32" t="n">
        <f aca="false">T287*(1-F287)*(1-(1-(1-MIN(1,G287*(1+Assumptions!$B$23)))^(1/12)))</f>
        <v>0.425121858309269</v>
      </c>
      <c r="U288" s="47" t="n">
        <f aca="false">T288*(IF(C288&lt;Assumptions!$B$5,Assumptions!$B$12*(1+Assumptions!$B$11)^(INT(A288/12)+1)/12+Pricing_M!$B$13*IF(A288=0,Assumptions!$B$14*12,IF(A288&gt;=12,Assumptions!$B$15,0))-Pricing_M!$B$13,Assumptions!$B$9/12*(1+Assumptions!$B$10)^INT(A288/12)+Assumptions!$B$12*(1+Assumptions!$B$11)^(INT(A288/12)+1)/12))*J288</f>
        <v>432.5957231183</v>
      </c>
      <c r="V288" s="32" t="n">
        <f aca="false">V287*(1-F287)*(1-(1-(1-MIN(1,G287*(1-Assumptions!$B$23)))^(1/12)))</f>
        <v>0.517576487411853</v>
      </c>
      <c r="W288" s="47" t="n">
        <f aca="false">V288*(IF(C288&lt;Assumptions!$B$5,Assumptions!$B$12*(1+Assumptions!$B$11)^(INT(A288/12)+1)/12+Pricing_M!$B$13*IF(A288=0,Assumptions!$B$14*12,IF(A288&gt;=12,Assumptions!$B$15,0))-Pricing_M!$B$13,Assumptions!$B$9/12*(1+Assumptions!$B$10)^INT(A288/12)+Assumptions!$B$12*(1+Assumptions!$B$11)^(INT(A288/12)+1)/12))*J288</f>
        <v>526.67575299804</v>
      </c>
      <c r="X288" s="47" t="n">
        <f aca="false">I288*(IF(C288&lt;Assumptions!$B$5,Assumptions!$B$12*(1+Assumptions!$B$11)*(1+Assumptions!$B$24)*(1+Assumptions!$B$11+Assumptions!$B$25)^(INT(A288/12))/12+Pricing_M!$B$13*IF(A288=0,Assumptions!$B$14*12,IF(A288&gt;=12,Assumptions!$B$15,0))-Pricing_M!$B$13,Assumptions!$B$9/12*(1+Assumptions!$B$10)^INT(A288/12)+Assumptions!$B$12*(1+Assumptions!$B$11)*(1+Assumptions!$B$24)*(1+Assumptions!$B$11+Assumptions!$B$25)^(INT(A288/12))/12))*J288</f>
        <v>478.564345924735</v>
      </c>
    </row>
    <row r="289" customFormat="false" ht="15" hidden="false" customHeight="true" outlineLevel="0" collapsed="false">
      <c r="A289" s="1" t="n">
        <v>282</v>
      </c>
      <c r="B289" s="31" t="n">
        <f aca="false">Assumptions!$B$4+A289/12</f>
        <v>88.5</v>
      </c>
      <c r="C289" s="34" t="n">
        <f aca="false">Assumptions!$B$4+INT(A289/12)</f>
        <v>88</v>
      </c>
      <c r="D289" s="34" t="n">
        <f aca="false">INT(A289/12)+1</f>
        <v>24</v>
      </c>
      <c r="E289" s="32" t="n">
        <f aca="false">IFERROR(INDEX(Cohort_Survival!$G$5:$G$65,MATCH(C289,Cohort_Survival!$A$5:$A$65,0)),1)</f>
        <v>0.0724292596507697</v>
      </c>
      <c r="F289" s="30" t="n">
        <f aca="false">1-(1-MIN(1,E289))^(1/12)</f>
        <v>0.00624593069535162</v>
      </c>
      <c r="G289" s="39" t="n">
        <f aca="false">IF(C289&lt;Assumptions!$B$5,IF(D289=1,Assumptions!$B$16,IF(D289=2,Assumptions!$B$17,IF(D289&lt;=5,Assumptions!$B$18,Assumptions!$B$19)))*(1-Assumptions!$B$20),0)</f>
        <v>0</v>
      </c>
      <c r="H289" s="30" t="n">
        <f aca="false">1-(1-G289)^(1/12)</f>
        <v>0</v>
      </c>
      <c r="I289" s="30" t="n">
        <f aca="false">I288*(1-F288)*(1-H288)</f>
        <v>0.466361010059863</v>
      </c>
      <c r="J289" s="30" t="n">
        <f aca="false">INDEX(Discount_Monthly!$G$4:$G$664,MATCH(A289,Discount_Monthly!$A$4:$A$664,0))</f>
        <v>0.479949465520286</v>
      </c>
      <c r="K289" s="30" t="n">
        <f aca="false">IF(C289&lt;Assumptions!$B$5,I289*J289,0)</f>
        <v>0</v>
      </c>
      <c r="L289" s="30" t="n">
        <f aca="false">IF(C289&lt;Assumptions!$B$5,I289*(1-F289)*H289*A289*J289,0)</f>
        <v>0</v>
      </c>
      <c r="M289" s="30" t="n">
        <f aca="false">IF(A289=0,Assumptions!$B$14*12*I289*J289,IF(AND(A289&gt;=12,C289&lt;Assumptions!$B$5),Assumptions!$B$15*I289*J289,0))</f>
        <v>0</v>
      </c>
      <c r="N289" s="47" t="n">
        <f aca="false">IF(C289&gt;=Assumptions!$B$5,I289*Assumptions!$B$9/12*(1+Assumptions!$B$10)^INT(A289/12)*J289,0)</f>
        <v>470.609222477173</v>
      </c>
      <c r="O289" s="47" t="n">
        <f aca="false">I289*Assumptions!$B$12/12*(1+Assumptions!$B$11)^(INT(A289/12)+1)*J289</f>
        <v>2.69897745574708</v>
      </c>
      <c r="P289" s="47" t="n">
        <f aca="false">O289+Pricing_M!$B$13*M289+N289-Pricing_M!$B$13*K289</f>
        <v>473.30819993292</v>
      </c>
      <c r="Q289" s="47" t="n">
        <f aca="false">IF(C289&lt;Assumptions!$B$5,Pricing_M!$B$13*K289-Pricing_M!$B$13*M289-O289,-(N289+O289))</f>
        <v>-473.30819993292</v>
      </c>
      <c r="R289" s="32" t="n">
        <f aca="false">R288*(1-(1-(1-MIN(1,E288*(1-Assumptions!$B$21)))^(1/12)))*(1-H288)</f>
        <v>0.523382666379546</v>
      </c>
      <c r="S289" s="47" t="n">
        <f aca="false">R289*(IF(C289&lt;Assumptions!$B$5,Assumptions!$B$12*(1+Assumptions!$B$11)^(INT(A289/12)+1)/12+Pricing_M!$B$13*IF(A289=0,Assumptions!$B$14*12,IF(A289&gt;=12,Assumptions!$B$15,0))-Pricing_M!$B$13,Assumptions!$B$9/12*(1+Assumptions!$B$10)^INT(A289/12)+Assumptions!$B$12*(1+Assumptions!$B$11)^(INT(A289/12)+1)/12))*J289</f>
        <v>531.179284624152</v>
      </c>
      <c r="T289" s="32" t="n">
        <f aca="false">T288*(1-F288)*(1-(1-(1-MIN(1,G288*(1+Assumptions!$B$23)))^(1/12)))</f>
        <v>0.42246657664519</v>
      </c>
      <c r="U289" s="47" t="n">
        <f aca="false">T289*(IF(C289&lt;Assumptions!$B$5,Assumptions!$B$12*(1+Assumptions!$B$11)^(INT(A289/12)+1)/12+Pricing_M!$B$13*IF(A289=0,Assumptions!$B$14*12,IF(A289&gt;=12,Assumptions!$B$15,0))-Pricing_M!$B$13,Assumptions!$B$9/12*(1+Assumptions!$B$10)^INT(A289/12)+Assumptions!$B$12*(1+Assumptions!$B$11)^(INT(A289/12)+1)/12))*J289</f>
        <v>428.759889035516</v>
      </c>
      <c r="V289" s="32" t="n">
        <f aca="false">V288*(1-F288)*(1-(1-(1-MIN(1,G288*(1-Assumptions!$B$23)))^(1/12)))</f>
        <v>0.514343740541935</v>
      </c>
      <c r="W289" s="47" t="n">
        <f aca="false">V289*(IF(C289&lt;Assumptions!$B$5,Assumptions!$B$12*(1+Assumptions!$B$11)^(INT(A289/12)+1)/12+Pricing_M!$B$13*IF(A289=0,Assumptions!$B$14*12,IF(A289&gt;=12,Assumptions!$B$15,0))-Pricing_M!$B$13,Assumptions!$B$9/12*(1+Assumptions!$B$10)^INT(A289/12)+Assumptions!$B$12*(1+Assumptions!$B$11)^(INT(A289/12)+1)/12))*J289</f>
        <v>522.005709592702</v>
      </c>
      <c r="X289" s="47" t="n">
        <f aca="false">I289*(IF(C289&lt;Assumptions!$B$5,Assumptions!$B$12*(1+Assumptions!$B$11)*(1+Assumptions!$B$24)*(1+Assumptions!$B$11+Assumptions!$B$25)^(INT(A289/12))/12+Pricing_M!$B$13*IF(A289=0,Assumptions!$B$14*12,IF(A289&gt;=12,Assumptions!$B$15,0))-Pricing_M!$B$13,Assumptions!$B$9/12*(1+Assumptions!$B$10)^INT(A289/12)+Assumptions!$B$12*(1+Assumptions!$B$11)*(1+Assumptions!$B$24)*(1+Assumptions!$B$11+Assumptions!$B$25)^(INT(A289/12))/12))*J289</f>
        <v>474.320907234054</v>
      </c>
    </row>
    <row r="290" customFormat="false" ht="15" hidden="false" customHeight="true" outlineLevel="0" collapsed="false">
      <c r="A290" s="1" t="n">
        <v>283</v>
      </c>
      <c r="B290" s="31" t="n">
        <f aca="false">Assumptions!$B$4+A290/12</f>
        <v>88.5833333333333</v>
      </c>
      <c r="C290" s="34" t="n">
        <f aca="false">Assumptions!$B$4+INT(A290/12)</f>
        <v>88</v>
      </c>
      <c r="D290" s="34" t="n">
        <f aca="false">INT(A290/12)+1</f>
        <v>24</v>
      </c>
      <c r="E290" s="32" t="n">
        <f aca="false">IFERROR(INDEX(Cohort_Survival!$G$5:$G$65,MATCH(C290,Cohort_Survival!$A$5:$A$65,0)),1)</f>
        <v>0.0724292596507697</v>
      </c>
      <c r="F290" s="30" t="n">
        <f aca="false">1-(1-MIN(1,E290))^(1/12)</f>
        <v>0.00624593069535162</v>
      </c>
      <c r="G290" s="39" t="n">
        <f aca="false">IF(C290&lt;Assumptions!$B$5,IF(D290=1,Assumptions!$B$16,IF(D290=2,Assumptions!$B$17,IF(D290&lt;=5,Assumptions!$B$18,Assumptions!$B$19)))*(1-Assumptions!$B$20),0)</f>
        <v>0</v>
      </c>
      <c r="H290" s="30" t="n">
        <f aca="false">1-(1-G290)^(1/12)</f>
        <v>0</v>
      </c>
      <c r="I290" s="30" t="n">
        <f aca="false">I289*(1-F289)*(1-H289)</f>
        <v>0.463448151512015</v>
      </c>
      <c r="J290" s="30" t="n">
        <f aca="false">INDEX(Discount_Monthly!$G$4:$G$664,MATCH(A290,Discount_Monthly!$A$4:$A$664,0))</f>
        <v>0.478683569348311</v>
      </c>
      <c r="K290" s="30" t="n">
        <f aca="false">IF(C290&lt;Assumptions!$B$5,I290*J290,0)</f>
        <v>0</v>
      </c>
      <c r="L290" s="30" t="n">
        <f aca="false">IF(C290&lt;Assumptions!$B$5,I290*(1-F290)*H290*A290*J290,0)</f>
        <v>0</v>
      </c>
      <c r="M290" s="30" t="n">
        <f aca="false">IF(A290=0,Assumptions!$B$14*12*I290*J290,IF(AND(A290&gt;=12,C290&lt;Assumptions!$B$5),Assumptions!$B$15*I290*J290,0))</f>
        <v>0</v>
      </c>
      <c r="N290" s="47" t="n">
        <f aca="false">IF(C290&gt;=Assumptions!$B$5,I290*Assumptions!$B$9/12*(1+Assumptions!$B$10)^INT(A290/12)*J290,0)</f>
        <v>466.436322009646</v>
      </c>
      <c r="O290" s="47" t="n">
        <f aca="false">I290*Assumptions!$B$12/12*(1+Assumptions!$B$11)^(INT(A290/12)+1)*J290</f>
        <v>2.67504557394577</v>
      </c>
      <c r="P290" s="47" t="n">
        <f aca="false">O290+Pricing_M!$B$13*M290+N290-Pricing_M!$B$13*K290</f>
        <v>469.111367583592</v>
      </c>
      <c r="Q290" s="47" t="n">
        <f aca="false">IF(C290&lt;Assumptions!$B$5,Pricing_M!$B$13*K290-Pricing_M!$B$13*M290-O290,-(N290+O290))</f>
        <v>-469.111367583592</v>
      </c>
      <c r="R290" s="32" t="n">
        <f aca="false">R289*(1-(1-(1-MIN(1,E289*(1-Assumptions!$B$21)))^(1/12)))*(1-H289)</f>
        <v>0.520785740959034</v>
      </c>
      <c r="S290" s="47" t="n">
        <f aca="false">R290*(IF(C290&lt;Assumptions!$B$5,Assumptions!$B$12*(1+Assumptions!$B$11)^(INT(A290/12)+1)/12+Pricing_M!$B$13*IF(A290=0,Assumptions!$B$14*12,IF(A290&gt;=12,Assumptions!$B$15,0))-Pricing_M!$B$13,Assumptions!$B$9/12*(1+Assumptions!$B$10)^INT(A290/12)+Assumptions!$B$12*(1+Assumptions!$B$11)^(INT(A290/12)+1)/12))*J290</f>
        <v>527.149607485258</v>
      </c>
      <c r="T290" s="32" t="n">
        <f aca="false">T289*(1-F289)*(1-(1-(1-MIN(1,G289*(1+Assumptions!$B$23)))^(1/12)))</f>
        <v>0.419827879686362</v>
      </c>
      <c r="U290" s="47" t="n">
        <f aca="false">T290*(IF(C290&lt;Assumptions!$B$5,Assumptions!$B$12*(1+Assumptions!$B$11)^(INT(A290/12)+1)/12+Pricing_M!$B$13*IF(A290=0,Assumptions!$B$14*12,IF(A290&gt;=12,Assumptions!$B$15,0))-Pricing_M!$B$13,Assumptions!$B$9/12*(1+Assumptions!$B$10)^INT(A290/12)+Assumptions!$B$12*(1+Assumptions!$B$11)^(INT(A290/12)+1)/12))*J290</f>
        <v>424.958067362759</v>
      </c>
      <c r="V290" s="32" t="n">
        <f aca="false">V289*(1-F289)*(1-(1-(1-MIN(1,G289*(1-Assumptions!$B$23)))^(1/12)))</f>
        <v>0.511131185184922</v>
      </c>
      <c r="W290" s="47" t="n">
        <f aca="false">V290*(IF(C290&lt;Assumptions!$B$5,Assumptions!$B$12*(1+Assumptions!$B$11)^(INT(A290/12)+1)/12+Pricing_M!$B$13*IF(A290=0,Assumptions!$B$14*12,IF(A290&gt;=12,Assumptions!$B$15,0))-Pricing_M!$B$13,Assumptions!$B$9/12*(1+Assumptions!$B$10)^INT(A290/12)+Assumptions!$B$12*(1+Assumptions!$B$11)^(INT(A290/12)+1)/12))*J290</f>
        <v>517.377075546508</v>
      </c>
      <c r="X290" s="47" t="n">
        <f aca="false">I290*(IF(C290&lt;Assumptions!$B$5,Assumptions!$B$12*(1+Assumptions!$B$11)*(1+Assumptions!$B$24)*(1+Assumptions!$B$11+Assumptions!$B$25)^(INT(A290/12))/12+Pricing_M!$B$13*IF(A290=0,Assumptions!$B$14*12,IF(A290&gt;=12,Assumptions!$B$15,0))-Pricing_M!$B$13,Assumptions!$B$9/12*(1+Assumptions!$B$10)^INT(A290/12)+Assumptions!$B$12*(1+Assumptions!$B$11)*(1+Assumptions!$B$24)*(1+Assumptions!$B$11+Assumptions!$B$25)^(INT(A290/12))/12))*J290</f>
        <v>470.115095190814</v>
      </c>
    </row>
    <row r="291" customFormat="false" ht="15" hidden="false" customHeight="true" outlineLevel="0" collapsed="false">
      <c r="A291" s="1" t="n">
        <v>284</v>
      </c>
      <c r="B291" s="31" t="n">
        <f aca="false">Assumptions!$B$4+A291/12</f>
        <v>88.6666666666667</v>
      </c>
      <c r="C291" s="34" t="n">
        <f aca="false">Assumptions!$B$4+INT(A291/12)</f>
        <v>88</v>
      </c>
      <c r="D291" s="34" t="n">
        <f aca="false">INT(A291/12)+1</f>
        <v>24</v>
      </c>
      <c r="E291" s="32" t="n">
        <f aca="false">IFERROR(INDEX(Cohort_Survival!$G$5:$G$65,MATCH(C291,Cohort_Survival!$A$5:$A$65,0)),1)</f>
        <v>0.0724292596507697</v>
      </c>
      <c r="F291" s="30" t="n">
        <f aca="false">1-(1-MIN(1,E291))^(1/12)</f>
        <v>0.00624593069535162</v>
      </c>
      <c r="G291" s="39" t="n">
        <f aca="false">IF(C291&lt;Assumptions!$B$5,IF(D291=1,Assumptions!$B$16,IF(D291=2,Assumptions!$B$17,IF(D291&lt;=5,Assumptions!$B$18,Assumptions!$B$19)))*(1-Assumptions!$B$20),0)</f>
        <v>0</v>
      </c>
      <c r="H291" s="30" t="n">
        <f aca="false">1-(1-G291)^(1/12)</f>
        <v>0</v>
      </c>
      <c r="I291" s="30" t="n">
        <f aca="false">I290*(1-F290)*(1-H290)</f>
        <v>0.460553486476782</v>
      </c>
      <c r="J291" s="30" t="n">
        <f aca="false">INDEX(Discount_Monthly!$G$4:$G$664,MATCH(A291,Discount_Monthly!$A$4:$A$664,0))</f>
        <v>0.477421012055183</v>
      </c>
      <c r="K291" s="30" t="n">
        <f aca="false">IF(C291&lt;Assumptions!$B$5,I291*J291,0)</f>
        <v>0</v>
      </c>
      <c r="L291" s="30" t="n">
        <f aca="false">IF(C291&lt;Assumptions!$B$5,I291*(1-F291)*H291*A291*J291,0)</f>
        <v>0</v>
      </c>
      <c r="M291" s="30" t="n">
        <f aca="false">IF(A291=0,Assumptions!$B$14*12*I291*J291,IF(AND(A291&gt;=12,C291&lt;Assumptions!$B$5),Assumptions!$B$15*I291*J291,0))</f>
        <v>0</v>
      </c>
      <c r="N291" s="47" t="n">
        <f aca="false">IF(C291&gt;=Assumptions!$B$5,I291*Assumptions!$B$9/12*(1+Assumptions!$B$10)^INT(A291/12)*J291,0)</f>
        <v>462.300422725862</v>
      </c>
      <c r="O291" s="47" t="n">
        <f aca="false">I291*Assumptions!$B$12/12*(1+Assumptions!$B$11)^(INT(A291/12)+1)*J291</f>
        <v>2.65132589657222</v>
      </c>
      <c r="P291" s="47" t="n">
        <f aca="false">O291+Pricing_M!$B$13*M291+N291-Pricing_M!$B$13*K291</f>
        <v>464.951748622435</v>
      </c>
      <c r="Q291" s="47" t="n">
        <f aca="false">IF(C291&lt;Assumptions!$B$5,Pricing_M!$B$13*K291-Pricing_M!$B$13*M291-O291,-(N291+O291))</f>
        <v>-464.951748622435</v>
      </c>
      <c r="R291" s="32" t="n">
        <f aca="false">R290*(1-(1-(1-MIN(1,E290*(1-Assumptions!$B$21)))^(1/12)))*(1-H290)</f>
        <v>0.518201700989404</v>
      </c>
      <c r="S291" s="47" t="n">
        <f aca="false">R291*(IF(C291&lt;Assumptions!$B$5,Assumptions!$B$12*(1+Assumptions!$B$11)^(INT(A291/12)+1)/12+Pricing_M!$B$13*IF(A291=0,Assumptions!$B$14*12,IF(A291&gt;=12,Assumptions!$B$15,0))-Pricing_M!$B$13,Assumptions!$B$9/12*(1+Assumptions!$B$10)^INT(A291/12)+Assumptions!$B$12*(1+Assumptions!$B$11)^(INT(A291/12)+1)/12))*J291</f>
        <v>523.150500623319</v>
      </c>
      <c r="T291" s="32" t="n">
        <f aca="false">T290*(1-F290)*(1-(1-(1-MIN(1,G290*(1+Assumptions!$B$23)))^(1/12)))</f>
        <v>0.417205663845864</v>
      </c>
      <c r="U291" s="47" t="n">
        <f aca="false">T291*(IF(C291&lt;Assumptions!$B$5,Assumptions!$B$12*(1+Assumptions!$B$11)^(INT(A291/12)+1)/12+Pricing_M!$B$13*IF(A291=0,Assumptions!$B$14*12,IF(A291&gt;=12,Assumptions!$B$15,0))-Pricing_M!$B$13,Assumptions!$B$9/12*(1+Assumptions!$B$10)^INT(A291/12)+Assumptions!$B$12*(1+Assumptions!$B$11)^(INT(A291/12)+1)/12))*J291</f>
        <v>421.189956511376</v>
      </c>
      <c r="V291" s="32" t="n">
        <f aca="false">V290*(1-F290)*(1-(1-(1-MIN(1,G290*(1-Assumptions!$B$23)))^(1/12)))</f>
        <v>0.507938695226024</v>
      </c>
      <c r="W291" s="47" t="n">
        <f aca="false">V291*(IF(C291&lt;Assumptions!$B$5,Assumptions!$B$12*(1+Assumptions!$B$11)^(INT(A291/12)+1)/12+Pricing_M!$B$13*IF(A291=0,Assumptions!$B$14*12,IF(A291&gt;=12,Assumptions!$B$15,0))-Pricing_M!$B$13,Assumptions!$B$9/12*(1+Assumptions!$B$10)^INT(A291/12)+Assumptions!$B$12*(1+Assumptions!$B$11)^(INT(A291/12)+1)/12))*J291</f>
        <v>512.789483681921</v>
      </c>
      <c r="X291" s="47" t="n">
        <f aca="false">I291*(IF(C291&lt;Assumptions!$B$5,Assumptions!$B$12*(1+Assumptions!$B$11)*(1+Assumptions!$B$24)*(1+Assumptions!$B$11+Assumptions!$B$25)^(INT(A291/12))/12+Pricing_M!$B$13*IF(A291=0,Assumptions!$B$14*12,IF(A291&gt;=12,Assumptions!$B$15,0))-Pricing_M!$B$13,Assumptions!$B$9/12*(1+Assumptions!$B$10)^INT(A291/12)+Assumptions!$B$12*(1+Assumptions!$B$11)*(1+Assumptions!$B$24)*(1+Assumptions!$B$11+Assumptions!$B$25)^(INT(A291/12))/12))*J291</f>
        <v>465.946576158851</v>
      </c>
    </row>
    <row r="292" customFormat="false" ht="15" hidden="false" customHeight="true" outlineLevel="0" collapsed="false">
      <c r="A292" s="1" t="n">
        <v>285</v>
      </c>
      <c r="B292" s="31" t="n">
        <f aca="false">Assumptions!$B$4+A292/12</f>
        <v>88.75</v>
      </c>
      <c r="C292" s="34" t="n">
        <f aca="false">Assumptions!$B$4+INT(A292/12)</f>
        <v>88</v>
      </c>
      <c r="D292" s="34" t="n">
        <f aca="false">INT(A292/12)+1</f>
        <v>24</v>
      </c>
      <c r="E292" s="32" t="n">
        <f aca="false">IFERROR(INDEX(Cohort_Survival!$G$5:$G$65,MATCH(C292,Cohort_Survival!$A$5:$A$65,0)),1)</f>
        <v>0.0724292596507697</v>
      </c>
      <c r="F292" s="30" t="n">
        <f aca="false">1-(1-MIN(1,E292))^(1/12)</f>
        <v>0.00624593069535162</v>
      </c>
      <c r="G292" s="39" t="n">
        <f aca="false">IF(C292&lt;Assumptions!$B$5,IF(D292=1,Assumptions!$B$16,IF(D292=2,Assumptions!$B$17,IF(D292&lt;=5,Assumptions!$B$18,Assumptions!$B$19)))*(1-Assumptions!$B$20),0)</f>
        <v>0</v>
      </c>
      <c r="H292" s="30" t="n">
        <f aca="false">1-(1-G292)^(1/12)</f>
        <v>0</v>
      </c>
      <c r="I292" s="30" t="n">
        <f aca="false">I291*(1-F291)*(1-H291)</f>
        <v>0.457676901318745</v>
      </c>
      <c r="J292" s="30" t="n">
        <f aca="false">INDEX(Discount_Monthly!$G$4:$G$664,MATCH(A292,Discount_Monthly!$A$4:$A$664,0))</f>
        <v>0.476161784834405</v>
      </c>
      <c r="K292" s="30" t="n">
        <f aca="false">IF(C292&lt;Assumptions!$B$5,I292*J292,0)</f>
        <v>0</v>
      </c>
      <c r="L292" s="30" t="n">
        <f aca="false">IF(C292&lt;Assumptions!$B$5,I292*(1-F292)*H292*A292*J292,0)</f>
        <v>0</v>
      </c>
      <c r="M292" s="30" t="n">
        <f aca="false">IF(A292=0,Assumptions!$B$14*12*I292*J292,IF(AND(A292&gt;=12,C292&lt;Assumptions!$B$5),Assumptions!$B$15*I292*J292,0))</f>
        <v>0</v>
      </c>
      <c r="N292" s="47" t="n">
        <f aca="false">IF(C292&gt;=Assumptions!$B$5,I292*Assumptions!$B$9/12*(1+Assumptions!$B$10)^INT(A292/12)*J292,0)</f>
        <v>458.201196535657</v>
      </c>
      <c r="O292" s="47" t="n">
        <f aca="false">I292*Assumptions!$B$12/12*(1+Assumptions!$B$11)^(INT(A292/12)+1)*J292</f>
        <v>2.62781654200595</v>
      </c>
      <c r="P292" s="47" t="n">
        <f aca="false">O292+Pricing_M!$B$13*M292+N292-Pricing_M!$B$13*K292</f>
        <v>460.829013077663</v>
      </c>
      <c r="Q292" s="47" t="n">
        <f aca="false">IF(C292&lt;Assumptions!$B$5,Pricing_M!$B$13*K292-Pricing_M!$B$13*M292-O292,-(N292+O292))</f>
        <v>-460.829013077663</v>
      </c>
      <c r="R292" s="32" t="n">
        <f aca="false">R291*(1-(1-(1-MIN(1,E291*(1-Assumptions!$B$21)))^(1/12)))*(1-H291)</f>
        <v>0.515630482535494</v>
      </c>
      <c r="S292" s="47" t="n">
        <f aca="false">R292*(IF(C292&lt;Assumptions!$B$5,Assumptions!$B$12*(1+Assumptions!$B$11)^(INT(A292/12)+1)/12+Pricing_M!$B$13*IF(A292=0,Assumptions!$B$14*12,IF(A292&gt;=12,Assumptions!$B$15,0))-Pricing_M!$B$13,Assumptions!$B$9/12*(1+Assumptions!$B$10)^INT(A292/12)+Assumptions!$B$12*(1+Assumptions!$B$11)^(INT(A292/12)+1)/12))*J292</f>
        <v>519.181732123519</v>
      </c>
      <c r="T292" s="32" t="n">
        <f aca="false">T291*(1-F291)*(1-(1-(1-MIN(1,G291*(1+Assumptions!$B$23)))^(1/12)))</f>
        <v>0.414599826183775</v>
      </c>
      <c r="U292" s="47" t="n">
        <f aca="false">T292*(IF(C292&lt;Assumptions!$B$5,Assumptions!$B$12*(1+Assumptions!$B$11)^(INT(A292/12)+1)/12+Pricing_M!$B$13*IF(A292=0,Assumptions!$B$14*12,IF(A292&gt;=12,Assumptions!$B$15,0))-Pricing_M!$B$13,Assumptions!$B$9/12*(1+Assumptions!$B$10)^INT(A292/12)+Assumptions!$B$12*(1+Assumptions!$B$11)^(INT(A292/12)+1)/12))*J292</f>
        <v>417.455257566905</v>
      </c>
      <c r="V292" s="32" t="n">
        <f aca="false">V291*(1-F291)*(1-(1-(1-MIN(1,G291*(1-Assumptions!$B$23)))^(1/12)))</f>
        <v>0.504766145338155</v>
      </c>
      <c r="W292" s="47" t="n">
        <f aca="false">V292*(IF(C292&lt;Assumptions!$B$5,Assumptions!$B$12*(1+Assumptions!$B$11)^(INT(A292/12)+1)/12+Pricing_M!$B$13*IF(A292=0,Assumptions!$B$14*12,IF(A292&gt;=12,Assumptions!$B$15,0))-Pricing_M!$B$13,Assumptions!$B$9/12*(1+Assumptions!$B$10)^INT(A292/12)+Assumptions!$B$12*(1+Assumptions!$B$11)^(INT(A292/12)+1)/12))*J292</f>
        <v>508.242570077178</v>
      </c>
      <c r="X292" s="47" t="n">
        <f aca="false">I292*(IF(C292&lt;Assumptions!$B$5,Assumptions!$B$12*(1+Assumptions!$B$11)*(1+Assumptions!$B$24)*(1+Assumptions!$B$11+Assumptions!$B$25)^(INT(A292/12))/12+Pricing_M!$B$13*IF(A292=0,Assumptions!$B$14*12,IF(A292&gt;=12,Assumptions!$B$15,0))-Pricing_M!$B$13,Assumptions!$B$9/12*(1+Assumptions!$B$10)^INT(A292/12)+Assumptions!$B$12*(1+Assumptions!$B$11)*(1+Assumptions!$B$24)*(1+Assumptions!$B$11+Assumptions!$B$25)^(INT(A292/12))/12))*J292</f>
        <v>461.815019460363</v>
      </c>
    </row>
    <row r="293" customFormat="false" ht="15" hidden="false" customHeight="true" outlineLevel="0" collapsed="false">
      <c r="A293" s="1" t="n">
        <v>286</v>
      </c>
      <c r="B293" s="31" t="n">
        <f aca="false">Assumptions!$B$4+A293/12</f>
        <v>88.8333333333333</v>
      </c>
      <c r="C293" s="34" t="n">
        <f aca="false">Assumptions!$B$4+INT(A293/12)</f>
        <v>88</v>
      </c>
      <c r="D293" s="34" t="n">
        <f aca="false">INT(A293/12)+1</f>
        <v>24</v>
      </c>
      <c r="E293" s="32" t="n">
        <f aca="false">IFERROR(INDEX(Cohort_Survival!$G$5:$G$65,MATCH(C293,Cohort_Survival!$A$5:$A$65,0)),1)</f>
        <v>0.0724292596507697</v>
      </c>
      <c r="F293" s="30" t="n">
        <f aca="false">1-(1-MIN(1,E293))^(1/12)</f>
        <v>0.00624593069535162</v>
      </c>
      <c r="G293" s="39" t="n">
        <f aca="false">IF(C293&lt;Assumptions!$B$5,IF(D293=1,Assumptions!$B$16,IF(D293=2,Assumptions!$B$17,IF(D293&lt;=5,Assumptions!$B$18,Assumptions!$B$19)))*(1-Assumptions!$B$20),0)</f>
        <v>0</v>
      </c>
      <c r="H293" s="30" t="n">
        <f aca="false">1-(1-G293)^(1/12)</f>
        <v>0</v>
      </c>
      <c r="I293" s="30" t="n">
        <f aca="false">I292*(1-F292)*(1-H292)</f>
        <v>0.454818283112245</v>
      </c>
      <c r="J293" s="30" t="n">
        <f aca="false">INDEX(Discount_Monthly!$G$4:$G$664,MATCH(A293,Discount_Monthly!$A$4:$A$664,0))</f>
        <v>0.474905878902706</v>
      </c>
      <c r="K293" s="30" t="n">
        <f aca="false">IF(C293&lt;Assumptions!$B$5,I293*J293,0)</f>
        <v>0</v>
      </c>
      <c r="L293" s="30" t="n">
        <f aca="false">IF(C293&lt;Assumptions!$B$5,I293*(1-F293)*H293*A293*J293,0)</f>
        <v>0</v>
      </c>
      <c r="M293" s="30" t="n">
        <f aca="false">IF(A293=0,Assumptions!$B$14*12*I293*J293,IF(AND(A293&gt;=12,C293&lt;Assumptions!$B$5),Assumptions!$B$15*I293*J293,0))</f>
        <v>0</v>
      </c>
      <c r="N293" s="47" t="n">
        <f aca="false">IF(C293&gt;=Assumptions!$B$5,I293*Assumptions!$B$9/12*(1+Assumptions!$B$10)^INT(A293/12)*J293,0)</f>
        <v>454.138318258048</v>
      </c>
      <c r="O293" s="47" t="n">
        <f aca="false">I293*Assumptions!$B$12/12*(1+Assumptions!$B$11)^(INT(A293/12)+1)*J293</f>
        <v>2.60451564531083</v>
      </c>
      <c r="P293" s="47" t="n">
        <f aca="false">O293+Pricing_M!$B$13*M293+N293-Pricing_M!$B$13*K293</f>
        <v>456.742833903359</v>
      </c>
      <c r="Q293" s="47" t="n">
        <f aca="false">IF(C293&lt;Assumptions!$B$5,Pricing_M!$B$13*K293-Pricing_M!$B$13*M293-O293,-(N293+O293))</f>
        <v>-456.742833903359</v>
      </c>
      <c r="R293" s="32" t="n">
        <f aca="false">R292*(1-(1-(1-MIN(1,E292*(1-Assumptions!$B$21)))^(1/12)))*(1-H292)</f>
        <v>0.513072021979378</v>
      </c>
      <c r="S293" s="47" t="n">
        <f aca="false">R293*(IF(C293&lt;Assumptions!$B$5,Assumptions!$B$12*(1+Assumptions!$B$11)^(INT(A293/12)+1)/12+Pricing_M!$B$13*IF(A293=0,Assumptions!$B$14*12,IF(A293&gt;=12,Assumptions!$B$15,0))-Pricing_M!$B$13,Assumptions!$B$9/12*(1+Assumptions!$B$10)^INT(A293/12)+Assumptions!$B$12*(1+Assumptions!$B$11)^(INT(A293/12)+1)/12))*J293</f>
        <v>515.243071830413</v>
      </c>
      <c r="T293" s="32" t="n">
        <f aca="false">T292*(1-F292)*(1-(1-(1-MIN(1,G292*(1+Assumptions!$B$23)))^(1/12)))</f>
        <v>0.412010264403126</v>
      </c>
      <c r="U293" s="47" t="n">
        <f aca="false">T293*(IF(C293&lt;Assumptions!$B$5,Assumptions!$B$12*(1+Assumptions!$B$11)^(INT(A293/12)+1)/12+Pricing_M!$B$13*IF(A293=0,Assumptions!$B$14*12,IF(A293&gt;=12,Assumptions!$B$15,0))-Pricing_M!$B$13,Assumptions!$B$9/12*(1+Assumptions!$B$10)^INT(A293/12)+Assumptions!$B$12*(1+Assumptions!$B$11)^(INT(A293/12)+1)/12))*J293</f>
        <v>413.753674265364</v>
      </c>
      <c r="V293" s="32" t="n">
        <f aca="false">V292*(1-F292)*(1-(1-(1-MIN(1,G292*(1-Assumptions!$B$23)))^(1/12)))</f>
        <v>0.501613410977013</v>
      </c>
      <c r="W293" s="47" t="n">
        <f aca="false">V293*(IF(C293&lt;Assumptions!$B$5,Assumptions!$B$12*(1+Assumptions!$B$11)^(INT(A293/12)+1)/12+Pricing_M!$B$13*IF(A293=0,Assumptions!$B$14*12,IF(A293&gt;=12,Assumptions!$B$15,0))-Pricing_M!$B$13,Assumptions!$B$9/12*(1+Assumptions!$B$10)^INT(A293/12)+Assumptions!$B$12*(1+Assumptions!$B$11)^(INT(A293/12)+1)/12))*J293</f>
        <v>503.735974037414</v>
      </c>
      <c r="X293" s="47" t="n">
        <f aca="false">I293*(IF(C293&lt;Assumptions!$B$5,Assumptions!$B$12*(1+Assumptions!$B$11)*(1+Assumptions!$B$24)*(1+Assumptions!$B$11+Assumptions!$B$25)^(INT(A293/12))/12+Pricing_M!$B$13*IF(A293=0,Assumptions!$B$14*12,IF(A293&gt;=12,Assumptions!$B$15,0))-Pricing_M!$B$13,Assumptions!$B$9/12*(1+Assumptions!$B$10)^INT(A293/12)+Assumptions!$B$12*(1+Assumptions!$B$11)*(1+Assumptions!$B$24)*(1+Assumptions!$B$11+Assumptions!$B$25)^(INT(A293/12))/12))*J293</f>
        <v>457.720097349672</v>
      </c>
    </row>
    <row r="294" customFormat="false" ht="15" hidden="false" customHeight="true" outlineLevel="0" collapsed="false">
      <c r="A294" s="1" t="n">
        <v>287</v>
      </c>
      <c r="B294" s="31" t="n">
        <f aca="false">Assumptions!$B$4+A294/12</f>
        <v>88.9166666666667</v>
      </c>
      <c r="C294" s="34" t="n">
        <f aca="false">Assumptions!$B$4+INT(A294/12)</f>
        <v>88</v>
      </c>
      <c r="D294" s="34" t="n">
        <f aca="false">INT(A294/12)+1</f>
        <v>24</v>
      </c>
      <c r="E294" s="32" t="n">
        <f aca="false">IFERROR(INDEX(Cohort_Survival!$G$5:$G$65,MATCH(C294,Cohort_Survival!$A$5:$A$65,0)),1)</f>
        <v>0.0724292596507697</v>
      </c>
      <c r="F294" s="30" t="n">
        <f aca="false">1-(1-MIN(1,E294))^(1/12)</f>
        <v>0.00624593069535162</v>
      </c>
      <c r="G294" s="39" t="n">
        <f aca="false">IF(C294&lt;Assumptions!$B$5,IF(D294=1,Assumptions!$B$16,IF(D294=2,Assumptions!$B$17,IF(D294&lt;=5,Assumptions!$B$18,Assumptions!$B$19)))*(1-Assumptions!$B$20),0)</f>
        <v>0</v>
      </c>
      <c r="H294" s="30" t="n">
        <f aca="false">1-(1-G294)^(1/12)</f>
        <v>0</v>
      </c>
      <c r="I294" s="30" t="n">
        <f aca="false">I293*(1-F293)*(1-H293)</f>
        <v>0.451977519636947</v>
      </c>
      <c r="J294" s="30" t="n">
        <f aca="false">INDEX(Discount_Monthly!$G$4:$G$664,MATCH(A294,Discount_Monthly!$A$4:$A$664,0))</f>
        <v>0.473653285499982</v>
      </c>
      <c r="K294" s="30" t="n">
        <f aca="false">IF(C294&lt;Assumptions!$B$5,I294*J294,0)</f>
        <v>0</v>
      </c>
      <c r="L294" s="30" t="n">
        <f aca="false">IF(C294&lt;Assumptions!$B$5,I294*(1-F294)*H294*A294*J294,0)</f>
        <v>0</v>
      </c>
      <c r="M294" s="30" t="n">
        <f aca="false">IF(A294=0,Assumptions!$B$14*12*I294*J294,IF(AND(A294&gt;=12,C294&lt;Assumptions!$B$5),Assumptions!$B$15*I294*J294,0))</f>
        <v>0</v>
      </c>
      <c r="N294" s="47" t="n">
        <f aca="false">IF(C294&gt;=Assumptions!$B$5,I294*Assumptions!$B$9/12*(1+Assumptions!$B$10)^INT(A294/12)*J294,0)</f>
        <v>450.111465595439</v>
      </c>
      <c r="O294" s="47" t="n">
        <f aca="false">I294*Assumptions!$B$12/12*(1+Assumptions!$B$11)^(INT(A294/12)+1)*J294</f>
        <v>2.58142135808716</v>
      </c>
      <c r="P294" s="47" t="n">
        <f aca="false">O294+Pricing_M!$B$13*M294+N294-Pricing_M!$B$13*K294</f>
        <v>452.692886953526</v>
      </c>
      <c r="Q294" s="47" t="n">
        <f aca="false">IF(C294&lt;Assumptions!$B$5,Pricing_M!$B$13*K294-Pricing_M!$B$13*M294-O294,-(N294+O294))</f>
        <v>-452.692886953526</v>
      </c>
      <c r="R294" s="32" t="n">
        <f aca="false">R293*(1-(1-(1-MIN(1,E293*(1-Assumptions!$B$21)))^(1/12)))*(1-H293)</f>
        <v>0.510526256018789</v>
      </c>
      <c r="S294" s="47" t="n">
        <f aca="false">R294*(IF(C294&lt;Assumptions!$B$5,Assumptions!$B$12*(1+Assumptions!$B$11)^(INT(A294/12)+1)/12+Pricing_M!$B$13*IF(A294=0,Assumptions!$B$14*12,IF(A294&gt;=12,Assumptions!$B$15,0))-Pricing_M!$B$13,Assumptions!$B$9/12*(1+Assumptions!$B$10)^INT(A294/12)+Assumptions!$B$12*(1+Assumptions!$B$11)^(INT(A294/12)+1)/12))*J294</f>
        <v>511.334291334582</v>
      </c>
      <c r="T294" s="32" t="n">
        <f aca="false">T293*(1-F293)*(1-(1-(1-MIN(1,G293*(1+Assumptions!$B$23)))^(1/12)))</f>
        <v>0.409436876845891</v>
      </c>
      <c r="U294" s="47" t="n">
        <f aca="false">T294*(IF(C294&lt;Assumptions!$B$5,Assumptions!$B$12*(1+Assumptions!$B$11)^(INT(A294/12)+1)/12+Pricing_M!$B$13*IF(A294=0,Assumptions!$B$14*12,IF(A294&gt;=12,Assumptions!$B$15,0))-Pricing_M!$B$13,Assumptions!$B$9/12*(1+Assumptions!$B$10)^INT(A294/12)+Assumptions!$B$12*(1+Assumptions!$B$11)^(INT(A294/12)+1)/12))*J294</f>
        <v>410.084912969751</v>
      </c>
      <c r="V294" s="32" t="n">
        <f aca="false">V293*(1-F293)*(1-(1-(1-MIN(1,G293*(1-Assumptions!$B$23)))^(1/12)))</f>
        <v>0.498480368376192</v>
      </c>
      <c r="W294" s="47" t="n">
        <f aca="false">V294*(IF(C294&lt;Assumptions!$B$5,Assumptions!$B$12*(1+Assumptions!$B$11)^(INT(A294/12)+1)/12+Pricing_M!$B$13*IF(A294=0,Assumptions!$B$14*12,IF(A294&gt;=12,Assumptions!$B$15,0))-Pricing_M!$B$13,Assumptions!$B$9/12*(1+Assumptions!$B$10)^INT(A294/12)+Assumptions!$B$12*(1+Assumptions!$B$11)^(INT(A294/12)+1)/12))*J294</f>
        <v>499.269338066054</v>
      </c>
      <c r="X294" s="47" t="n">
        <f aca="false">I294*(IF(C294&lt;Assumptions!$B$5,Assumptions!$B$12*(1+Assumptions!$B$11)*(1+Assumptions!$B$24)*(1+Assumptions!$B$11+Assumptions!$B$25)^(INT(A294/12))/12+Pricing_M!$B$13*IF(A294=0,Assumptions!$B$14*12,IF(A294&gt;=12,Assumptions!$B$15,0))-Pricing_M!$B$13,Assumptions!$B$9/12*(1+Assumptions!$B$10)^INT(A294/12)+Assumptions!$B$12*(1+Assumptions!$B$11)*(1+Assumptions!$B$24)*(1+Assumptions!$B$11+Assumptions!$B$25)^(INT(A294/12))/12))*J294</f>
        <v>453.661484987227</v>
      </c>
    </row>
    <row r="295" customFormat="false" ht="15" hidden="false" customHeight="true" outlineLevel="0" collapsed="false">
      <c r="A295" s="1" t="n">
        <v>288</v>
      </c>
      <c r="B295" s="31" t="n">
        <f aca="false">Assumptions!$B$4+A295/12</f>
        <v>89</v>
      </c>
      <c r="C295" s="34" t="n">
        <f aca="false">Assumptions!$B$4+INT(A295/12)</f>
        <v>89</v>
      </c>
      <c r="D295" s="34" t="n">
        <f aca="false">INT(A295/12)+1</f>
        <v>25</v>
      </c>
      <c r="E295" s="32" t="n">
        <f aca="false">IFERROR(INDEX(Cohort_Survival!$G$5:$G$65,MATCH(C295,Cohort_Survival!$A$5:$A$65,0)),1)</f>
        <v>0.0820208565767702</v>
      </c>
      <c r="F295" s="30" t="n">
        <f aca="false">1-(1-MIN(1,E295))^(1/12)</f>
        <v>0.00710634700122093</v>
      </c>
      <c r="G295" s="39" t="n">
        <f aca="false">IF(C295&lt;Assumptions!$B$5,IF(D295=1,Assumptions!$B$16,IF(D295=2,Assumptions!$B$17,IF(D295&lt;=5,Assumptions!$B$18,Assumptions!$B$19)))*(1-Assumptions!$B$20),0)</f>
        <v>0</v>
      </c>
      <c r="H295" s="30" t="n">
        <f aca="false">1-(1-G295)^(1/12)</f>
        <v>0</v>
      </c>
      <c r="I295" s="30" t="n">
        <f aca="false">I294*(1-F294)*(1-H294)</f>
        <v>0.449154499373438</v>
      </c>
      <c r="J295" s="30" t="n">
        <f aca="false">INDEX(Discount_Monthly!$G$4:$G$664,MATCH(A295,Discount_Monthly!$A$4:$A$664,0))</f>
        <v>0.472403995889235</v>
      </c>
      <c r="K295" s="30" t="n">
        <f aca="false">IF(C295&lt;Assumptions!$B$5,I295*J295,0)</f>
        <v>0</v>
      </c>
      <c r="L295" s="30" t="n">
        <f aca="false">IF(C295&lt;Assumptions!$B$5,I295*(1-F295)*H295*A295*J295,0)</f>
        <v>0</v>
      </c>
      <c r="M295" s="30" t="n">
        <f aca="false">IF(A295=0,Assumptions!$B$14*12*I295*J295,IF(AND(A295&gt;=12,C295&lt;Assumptions!$B$5),Assumptions!$B$15*I295*J295,0))</f>
        <v>0</v>
      </c>
      <c r="N295" s="47" t="n">
        <f aca="false">IF(C295&gt;=Assumptions!$B$5,I295*Assumptions!$B$9/12*(1+Assumptions!$B$10)^INT(A295/12)*J295,0)</f>
        <v>455.042725490212</v>
      </c>
      <c r="O295" s="47" t="n">
        <f aca="false">I295*Assumptions!$B$12/12*(1+Assumptions!$B$11)^(INT(A295/12)+1)*J295</f>
        <v>2.62249514453314</v>
      </c>
      <c r="P295" s="47" t="n">
        <f aca="false">O295+Pricing_M!$B$13*M295+N295-Pricing_M!$B$13*K295</f>
        <v>457.665220634745</v>
      </c>
      <c r="Q295" s="47" t="n">
        <f aca="false">IF(C295&lt;Assumptions!$B$5,Pricing_M!$B$13*K295-Pricing_M!$B$13*M295-O295,-(N295+O295))</f>
        <v>-457.665220634745</v>
      </c>
      <c r="R295" s="32" t="n">
        <f aca="false">R294*(1-(1-(1-MIN(1,E294*(1-Assumptions!$B$21)))^(1/12)))*(1-H294)</f>
        <v>0.507993121665554</v>
      </c>
      <c r="S295" s="47" t="n">
        <f aca="false">R295*(IF(C295&lt;Assumptions!$B$5,Assumptions!$B$12*(1+Assumptions!$B$11)^(INT(A295/12)+1)/12+Pricing_M!$B$13*IF(A295=0,Assumptions!$B$14*12,IF(A295&gt;=12,Assumptions!$B$15,0))-Pricing_M!$B$13,Assumptions!$B$9/12*(1+Assumptions!$B$10)^INT(A295/12)+Assumptions!$B$12*(1+Assumptions!$B$11)^(INT(A295/12)+1)/12))*J295</f>
        <v>517.618735718597</v>
      </c>
      <c r="T295" s="32" t="n">
        <f aca="false">T294*(1-F294)*(1-(1-(1-MIN(1,G294*(1+Assumptions!$B$23)))^(1/12)))</f>
        <v>0.40687956248899</v>
      </c>
      <c r="U295" s="47" t="n">
        <f aca="false">T295*(IF(C295&lt;Assumptions!$B$5,Assumptions!$B$12*(1+Assumptions!$B$11)^(INT(A295/12)+1)/12+Pricing_M!$B$13*IF(A295=0,Assumptions!$B$14*12,IF(A295&gt;=12,Assumptions!$B$15,0))-Pricing_M!$B$13,Assumptions!$B$9/12*(1+Assumptions!$B$10)^INT(A295/12)+Assumptions!$B$12*(1+Assumptions!$B$11)^(INT(A295/12)+1)/12))*J295</f>
        <v>414.589244899156</v>
      </c>
      <c r="V295" s="32" t="n">
        <f aca="false">V294*(1-F294)*(1-(1-(1-MIN(1,G294*(1-Assumptions!$B$23)))^(1/12)))</f>
        <v>0.495366894542321</v>
      </c>
      <c r="W295" s="47" t="n">
        <f aca="false">V295*(IF(C295&lt;Assumptions!$B$5,Assumptions!$B$12*(1+Assumptions!$B$11)^(INT(A295/12)+1)/12+Pricing_M!$B$13*IF(A295=0,Assumptions!$B$14*12,IF(A295&gt;=12,Assumptions!$B$15,0))-Pricing_M!$B$13,Assumptions!$B$9/12*(1+Assumptions!$B$10)^INT(A295/12)+Assumptions!$B$12*(1+Assumptions!$B$11)^(INT(A295/12)+1)/12))*J295</f>
        <v>504.753262857477</v>
      </c>
      <c r="X295" s="47" t="n">
        <f aca="false">I295*(IF(C295&lt;Assumptions!$B$5,Assumptions!$B$12*(1+Assumptions!$B$11)*(1+Assumptions!$B$24)*(1+Assumptions!$B$11+Assumptions!$B$25)^(INT(A295/12))/12+Pricing_M!$B$13*IF(A295=0,Assumptions!$B$14*12,IF(A295&gt;=12,Assumptions!$B$15,0))-Pricing_M!$B$13,Assumptions!$B$9/12*(1+Assumptions!$B$10)^INT(A295/12)+Assumptions!$B$12*(1+Assumptions!$B$11)*(1+Assumptions!$B$24)*(1+Assumptions!$B$11+Assumptions!$B$25)^(INT(A295/12))/12))*J295</f>
        <v>458.684415741697</v>
      </c>
    </row>
    <row r="296" customFormat="false" ht="15" hidden="false" customHeight="true" outlineLevel="0" collapsed="false">
      <c r="A296" s="1" t="n">
        <v>289</v>
      </c>
      <c r="B296" s="31" t="n">
        <f aca="false">Assumptions!$B$4+A296/12</f>
        <v>89.0833333333333</v>
      </c>
      <c r="C296" s="34" t="n">
        <f aca="false">Assumptions!$B$4+INT(A296/12)</f>
        <v>89</v>
      </c>
      <c r="D296" s="34" t="n">
        <f aca="false">INT(A296/12)+1</f>
        <v>25</v>
      </c>
      <c r="E296" s="32" t="n">
        <f aca="false">IFERROR(INDEX(Cohort_Survival!$G$5:$G$65,MATCH(C296,Cohort_Survival!$A$5:$A$65,0)),1)</f>
        <v>0.0820208565767702</v>
      </c>
      <c r="F296" s="30" t="n">
        <f aca="false">1-(1-MIN(1,E296))^(1/12)</f>
        <v>0.00710634700122093</v>
      </c>
      <c r="G296" s="39" t="n">
        <f aca="false">IF(C296&lt;Assumptions!$B$5,IF(D296=1,Assumptions!$B$16,IF(D296=2,Assumptions!$B$17,IF(D296&lt;=5,Assumptions!$B$18,Assumptions!$B$19)))*(1-Assumptions!$B$20),0)</f>
        <v>0</v>
      </c>
      <c r="H296" s="30" t="n">
        <f aca="false">1-(1-G296)^(1/12)</f>
        <v>0</v>
      </c>
      <c r="I296" s="30" t="n">
        <f aca="false">I295*(1-F295)*(1-H295)</f>
        <v>0.445962651643731</v>
      </c>
      <c r="J296" s="30" t="n">
        <f aca="false">INDEX(Discount_Monthly!$G$4:$G$664,MATCH(A296,Discount_Monthly!$A$4:$A$664,0))</f>
        <v>0.47116599325135</v>
      </c>
      <c r="K296" s="30" t="n">
        <f aca="false">IF(C296&lt;Assumptions!$B$5,I296*J296,0)</f>
        <v>0</v>
      </c>
      <c r="L296" s="30" t="n">
        <f aca="false">IF(C296&lt;Assumptions!$B$5,I296*(1-F296)*H296*A296*J296,0)</f>
        <v>0</v>
      </c>
      <c r="M296" s="30" t="n">
        <f aca="false">IF(A296=0,Assumptions!$B$14*12*I296*J296,IF(AND(A296&gt;=12,C296&lt;Assumptions!$B$5),Assumptions!$B$15*I296*J296,0))</f>
        <v>0</v>
      </c>
      <c r="N296" s="47" t="n">
        <f aca="false">IF(C296&gt;=Assumptions!$B$5,I296*Assumptions!$B$9/12*(1+Assumptions!$B$10)^INT(A296/12)*J296,0)</f>
        <v>450.625003405367</v>
      </c>
      <c r="O296" s="47" t="n">
        <f aca="false">I296*Assumptions!$B$12/12*(1+Assumptions!$B$11)^(INT(A296/12)+1)*J296</f>
        <v>2.59703499745592</v>
      </c>
      <c r="P296" s="47" t="n">
        <f aca="false">O296+Pricing_M!$B$13*M296+N296-Pricing_M!$B$13*K296</f>
        <v>453.222038402823</v>
      </c>
      <c r="Q296" s="47" t="n">
        <f aca="false">IF(C296&lt;Assumptions!$B$5,Pricing_M!$B$13*K296-Pricing_M!$B$13*M296-O296,-(N296+O296))</f>
        <v>-453.222038402823</v>
      </c>
      <c r="R296" s="32" t="n">
        <f aca="false">R295*(1-(1-(1-MIN(1,E295*(1-Assumptions!$B$21)))^(1/12)))*(1-H295)</f>
        <v>0.505128169037534</v>
      </c>
      <c r="S296" s="47" t="n">
        <f aca="false">R296*(IF(C296&lt;Assumptions!$B$5,Assumptions!$B$12*(1+Assumptions!$B$11)^(INT(A296/12)+1)/12+Pricing_M!$B$13*IF(A296=0,Assumptions!$B$14*12,IF(A296&gt;=12,Assumptions!$B$15,0))-Pricing_M!$B$13,Assumptions!$B$9/12*(1+Assumptions!$B$10)^INT(A296/12)+Assumptions!$B$12*(1+Assumptions!$B$11)^(INT(A296/12)+1)/12))*J296</f>
        <v>513.350652979721</v>
      </c>
      <c r="T296" s="32" t="n">
        <f aca="false">T295*(1-F295)*(1-(1-(1-MIN(1,G295*(1+Assumptions!$B$23)))^(1/12)))</f>
        <v>0.403988135130238</v>
      </c>
      <c r="U296" s="47" t="n">
        <f aca="false">T296*(IF(C296&lt;Assumptions!$B$5,Assumptions!$B$12*(1+Assumptions!$B$11)^(INT(A296/12)+1)/12+Pricing_M!$B$13*IF(A296=0,Assumptions!$B$14*12,IF(A296&gt;=12,Assumptions!$B$15,0))-Pricing_M!$B$13,Assumptions!$B$9/12*(1+Assumptions!$B$10)^INT(A296/12)+Assumptions!$B$12*(1+Assumptions!$B$11)^(INT(A296/12)+1)/12))*J296</f>
        <v>410.564260077441</v>
      </c>
      <c r="V296" s="32" t="n">
        <f aca="false">V295*(1-F295)*(1-(1-(1-MIN(1,G295*(1-Assumptions!$B$23)))^(1/12)))</f>
        <v>0.491846645496786</v>
      </c>
      <c r="W296" s="47" t="n">
        <f aca="false">V296*(IF(C296&lt;Assumptions!$B$5,Assumptions!$B$12*(1+Assumptions!$B$11)^(INT(A296/12)+1)/12+Pricing_M!$B$13*IF(A296=0,Assumptions!$B$14*12,IF(A296&gt;=12,Assumptions!$B$15,0))-Pricing_M!$B$13,Assumptions!$B$9/12*(1+Assumptions!$B$10)^INT(A296/12)+Assumptions!$B$12*(1+Assumptions!$B$11)^(INT(A296/12)+1)/12))*J296</f>
        <v>499.852932598774</v>
      </c>
      <c r="X296" s="47" t="n">
        <f aca="false">I296*(IF(C296&lt;Assumptions!$B$5,Assumptions!$B$12*(1+Assumptions!$B$11)*(1+Assumptions!$B$24)*(1+Assumptions!$B$11+Assumptions!$B$25)^(INT(A296/12))/12+Pricing_M!$B$13*IF(A296=0,Assumptions!$B$14*12,IF(A296&gt;=12,Assumptions!$B$15,0))-Pricing_M!$B$13,Assumptions!$B$9/12*(1+Assumptions!$B$10)^INT(A296/12)+Assumptions!$B$12*(1+Assumptions!$B$11)*(1+Assumptions!$B$24)*(1+Assumptions!$B$11+Assumptions!$B$25)^(INT(A296/12))/12))*J296</f>
        <v>454.231338788949</v>
      </c>
    </row>
    <row r="297" customFormat="false" ht="15" hidden="false" customHeight="true" outlineLevel="0" collapsed="false">
      <c r="A297" s="1" t="n">
        <v>290</v>
      </c>
      <c r="B297" s="31" t="n">
        <f aca="false">Assumptions!$B$4+A297/12</f>
        <v>89.1666666666667</v>
      </c>
      <c r="C297" s="34" t="n">
        <f aca="false">Assumptions!$B$4+INT(A297/12)</f>
        <v>89</v>
      </c>
      <c r="D297" s="34" t="n">
        <f aca="false">INT(A297/12)+1</f>
        <v>25</v>
      </c>
      <c r="E297" s="32" t="n">
        <f aca="false">IFERROR(INDEX(Cohort_Survival!$G$5:$G$65,MATCH(C297,Cohort_Survival!$A$5:$A$65,0)),1)</f>
        <v>0.0820208565767702</v>
      </c>
      <c r="F297" s="30" t="n">
        <f aca="false">1-(1-MIN(1,E297))^(1/12)</f>
        <v>0.00710634700122093</v>
      </c>
      <c r="G297" s="39" t="n">
        <f aca="false">IF(C297&lt;Assumptions!$B$5,IF(D297=1,Assumptions!$B$16,IF(D297=2,Assumptions!$B$17,IF(D297&lt;=5,Assumptions!$B$18,Assumptions!$B$19)))*(1-Assumptions!$B$20),0)</f>
        <v>0</v>
      </c>
      <c r="H297" s="30" t="n">
        <f aca="false">1-(1-G297)^(1/12)</f>
        <v>0</v>
      </c>
      <c r="I297" s="30" t="n">
        <f aca="false">I296*(1-F296)*(1-H296)</f>
        <v>0.442793486291566</v>
      </c>
      <c r="J297" s="30" t="n">
        <f aca="false">INDEX(Discount_Monthly!$G$4:$G$664,MATCH(A297,Discount_Monthly!$A$4:$A$664,0))</f>
        <v>0.469931234977493</v>
      </c>
      <c r="K297" s="30" t="n">
        <f aca="false">IF(C297&lt;Assumptions!$B$5,I297*J297,0)</f>
        <v>0</v>
      </c>
      <c r="L297" s="30" t="n">
        <f aca="false">IF(C297&lt;Assumptions!$B$5,I297*(1-F297)*H297*A297*J297,0)</f>
        <v>0</v>
      </c>
      <c r="M297" s="30" t="n">
        <f aca="false">IF(A297=0,Assumptions!$B$14*12*I297*J297,IF(AND(A297&gt;=12,C297&lt;Assumptions!$B$5),Assumptions!$B$15*I297*J297,0))</f>
        <v>0</v>
      </c>
      <c r="N297" s="47" t="n">
        <f aca="false">IF(C297&gt;=Assumptions!$B$5,I297*Assumptions!$B$9/12*(1+Assumptions!$B$10)^INT(A297/12)*J297,0)</f>
        <v>446.250170190789</v>
      </c>
      <c r="O297" s="47" t="n">
        <f aca="false">I297*Assumptions!$B$12/12*(1+Assumptions!$B$11)^(INT(A297/12)+1)*J297</f>
        <v>2.57182202684747</v>
      </c>
      <c r="P297" s="47" t="n">
        <f aca="false">O297+Pricing_M!$B$13*M297+N297-Pricing_M!$B$13*K297</f>
        <v>448.821992217637</v>
      </c>
      <c r="Q297" s="47" t="n">
        <f aca="false">IF(C297&lt;Assumptions!$B$5,Pricing_M!$B$13*K297-Pricing_M!$B$13*M297-O297,-(N297+O297))</f>
        <v>-448.821992217637</v>
      </c>
      <c r="R297" s="32" t="n">
        <f aca="false">R296*(1-(1-(1-MIN(1,E296*(1-Assumptions!$B$21)))^(1/12)))*(1-H296)</f>
        <v>0.502279374017188</v>
      </c>
      <c r="S297" s="47" t="n">
        <f aca="false">R297*(IF(C297&lt;Assumptions!$B$5,Assumptions!$B$12*(1+Assumptions!$B$11)^(INT(A297/12)+1)/12+Pricing_M!$B$13*IF(A297=0,Assumptions!$B$14*12,IF(A297&gt;=12,Assumptions!$B$15,0))-Pricing_M!$B$13,Assumptions!$B$9/12*(1+Assumptions!$B$10)^INT(A297/12)+Assumptions!$B$12*(1+Assumptions!$B$11)^(INT(A297/12)+1)/12))*J297</f>
        <v>509.117763190808</v>
      </c>
      <c r="T297" s="32" t="n">
        <f aca="false">T296*(1-F296)*(1-(1-(1-MIN(1,G296*(1+Assumptions!$B$23)))^(1/12)))</f>
        <v>0.401117255257627</v>
      </c>
      <c r="U297" s="47" t="n">
        <f aca="false">T297*(IF(C297&lt;Assumptions!$B$5,Assumptions!$B$12*(1+Assumptions!$B$11)^(INT(A297/12)+1)/12+Pricing_M!$B$13*IF(A297=0,Assumptions!$B$14*12,IF(A297&gt;=12,Assumptions!$B$15,0))-Pricing_M!$B$13,Assumptions!$B$9/12*(1+Assumptions!$B$10)^INT(A297/12)+Assumptions!$B$12*(1+Assumptions!$B$11)^(INT(A297/12)+1)/12))*J297</f>
        <v>406.578351288244</v>
      </c>
      <c r="V297" s="32" t="n">
        <f aca="false">V296*(1-F296)*(1-(1-(1-MIN(1,G296*(1-Assumptions!$B$23)))^(1/12)))</f>
        <v>0.488351412562499</v>
      </c>
      <c r="W297" s="47" t="n">
        <f aca="false">V297*(IF(C297&lt;Assumptions!$B$5,Assumptions!$B$12*(1+Assumptions!$B$11)^(INT(A297/12)+1)/12+Pricing_M!$B$13*IF(A297=0,Assumptions!$B$14*12,IF(A297&gt;=12,Assumptions!$B$15,0))-Pricing_M!$B$13,Assumptions!$B$9/12*(1+Assumptions!$B$10)^INT(A297/12)+Assumptions!$B$12*(1+Assumptions!$B$11)^(INT(A297/12)+1)/12))*J297</f>
        <v>495.000176547929</v>
      </c>
      <c r="X297" s="47" t="n">
        <f aca="false">I297*(IF(C297&lt;Assumptions!$B$5,Assumptions!$B$12*(1+Assumptions!$B$11)*(1+Assumptions!$B$24)*(1+Assumptions!$B$11+Assumptions!$B$25)^(INT(A297/12))/12+Pricing_M!$B$13*IF(A297=0,Assumptions!$B$14*12,IF(A297&gt;=12,Assumptions!$B$15,0))-Pricing_M!$B$13,Assumptions!$B$9/12*(1+Assumptions!$B$10)^INT(A297/12)+Assumptions!$B$12*(1+Assumptions!$B$11)*(1+Assumptions!$B$24)*(1+Assumptions!$B$11+Assumptions!$B$25)^(INT(A297/12))/12))*J297</f>
        <v>449.821493944524</v>
      </c>
    </row>
    <row r="298" customFormat="false" ht="15" hidden="false" customHeight="true" outlineLevel="0" collapsed="false">
      <c r="A298" s="1" t="n">
        <v>291</v>
      </c>
      <c r="B298" s="31" t="n">
        <f aca="false">Assumptions!$B$4+A298/12</f>
        <v>89.25</v>
      </c>
      <c r="C298" s="34" t="n">
        <f aca="false">Assumptions!$B$4+INT(A298/12)</f>
        <v>89</v>
      </c>
      <c r="D298" s="34" t="n">
        <f aca="false">INT(A298/12)+1</f>
        <v>25</v>
      </c>
      <c r="E298" s="32" t="n">
        <f aca="false">IFERROR(INDEX(Cohort_Survival!$G$5:$G$65,MATCH(C298,Cohort_Survival!$A$5:$A$65,0)),1)</f>
        <v>0.0820208565767702</v>
      </c>
      <c r="F298" s="30" t="n">
        <f aca="false">1-(1-MIN(1,E298))^(1/12)</f>
        <v>0.00710634700122093</v>
      </c>
      <c r="G298" s="39" t="n">
        <f aca="false">IF(C298&lt;Assumptions!$B$5,IF(D298=1,Assumptions!$B$16,IF(D298=2,Assumptions!$B$17,IF(D298&lt;=5,Assumptions!$B$18,Assumptions!$B$19)))*(1-Assumptions!$B$20),0)</f>
        <v>0</v>
      </c>
      <c r="H298" s="30" t="n">
        <f aca="false">1-(1-G298)^(1/12)</f>
        <v>0</v>
      </c>
      <c r="I298" s="30" t="n">
        <f aca="false">I297*(1-F297)*(1-H297)</f>
        <v>0.439646842128097</v>
      </c>
      <c r="J298" s="30" t="n">
        <f aca="false">INDEX(Discount_Monthly!$G$4:$G$664,MATCH(A298,Discount_Monthly!$A$4:$A$664,0))</f>
        <v>0.468699712565343</v>
      </c>
      <c r="K298" s="30" t="n">
        <f aca="false">IF(C298&lt;Assumptions!$B$5,I298*J298,0)</f>
        <v>0</v>
      </c>
      <c r="L298" s="30" t="n">
        <f aca="false">IF(C298&lt;Assumptions!$B$5,I298*(1-F298)*H298*A298*J298,0)</f>
        <v>0</v>
      </c>
      <c r="M298" s="30" t="n">
        <f aca="false">IF(A298=0,Assumptions!$B$14*12*I298*J298,IF(AND(A298&gt;=12,C298&lt;Assumptions!$B$5),Assumptions!$B$15*I298*J298,0))</f>
        <v>0</v>
      </c>
      <c r="N298" s="47" t="n">
        <f aca="false">IF(C298&gt;=Assumptions!$B$5,I298*Assumptions!$B$9/12*(1+Assumptions!$B$10)^INT(A298/12)*J298,0)</f>
        <v>441.917809465555</v>
      </c>
      <c r="O298" s="47" t="n">
        <f aca="false">I298*Assumptions!$B$12/12*(1+Assumptions!$B$11)^(INT(A298/12)+1)*J298</f>
        <v>2.54685383302775</v>
      </c>
      <c r="P298" s="47" t="n">
        <f aca="false">O298+Pricing_M!$B$13*M298+N298-Pricing_M!$B$13*K298</f>
        <v>444.464663298583</v>
      </c>
      <c r="Q298" s="47" t="n">
        <f aca="false">IF(C298&lt;Assumptions!$B$5,Pricing_M!$B$13*K298-Pricing_M!$B$13*M298-O298,-(N298+O298))</f>
        <v>-444.464663298583</v>
      </c>
      <c r="R298" s="32" t="n">
        <f aca="false">R297*(1-(1-(1-MIN(1,E297*(1-Assumptions!$B$21)))^(1/12)))*(1-H297)</f>
        <v>0.499446645479698</v>
      </c>
      <c r="S298" s="47" t="n">
        <f aca="false">R298*(IF(C298&lt;Assumptions!$B$5,Assumptions!$B$12*(1+Assumptions!$B$11)^(INT(A298/12)+1)/12+Pricing_M!$B$13*IF(A298=0,Assumptions!$B$14*12,IF(A298&gt;=12,Assumptions!$B$15,0))-Pricing_M!$B$13,Assumptions!$B$9/12*(1+Assumptions!$B$10)^INT(A298/12)+Assumptions!$B$12*(1+Assumptions!$B$11)^(INT(A298/12)+1)/12))*J298</f>
        <v>504.919776164482</v>
      </c>
      <c r="T298" s="32" t="n">
        <f aca="false">T297*(1-F297)*(1-(1-(1-MIN(1,G297*(1+Assumptions!$B$23)))^(1/12)))</f>
        <v>0.398266776853589</v>
      </c>
      <c r="U298" s="47" t="n">
        <f aca="false">T298*(IF(C298&lt;Assumptions!$B$5,Assumptions!$B$12*(1+Assumptions!$B$11)^(INT(A298/12)+1)/12+Pricing_M!$B$13*IF(A298=0,Assumptions!$B$14*12,IF(A298&gt;=12,Assumptions!$B$15,0))-Pricing_M!$B$13,Assumptions!$B$9/12*(1+Assumptions!$B$10)^INT(A298/12)+Assumptions!$B$12*(1+Assumptions!$B$11)^(INT(A298/12)+1)/12))*J298</f>
        <v>402.631139167073</v>
      </c>
      <c r="V298" s="32" t="n">
        <f aca="false">V297*(1-F297)*(1-(1-(1-MIN(1,G297*(1-Assumptions!$B$23)))^(1/12)))</f>
        <v>0.484881017966293</v>
      </c>
      <c r="W298" s="47" t="n">
        <f aca="false">V298*(IF(C298&lt;Assumptions!$B$5,Assumptions!$B$12*(1+Assumptions!$B$11)^(INT(A298/12)+1)/12+Pricing_M!$B$13*IF(A298=0,Assumptions!$B$14*12,IF(A298&gt;=12,Assumptions!$B$15,0))-Pricing_M!$B$13,Assumptions!$B$9/12*(1+Assumptions!$B$10)^INT(A298/12)+Assumptions!$B$12*(1+Assumptions!$B$11)^(INT(A298/12)+1)/12))*J298</f>
        <v>490.19453283704</v>
      </c>
      <c r="X298" s="47" t="n">
        <f aca="false">I298*(IF(C298&lt;Assumptions!$B$5,Assumptions!$B$12*(1+Assumptions!$B$11)*(1+Assumptions!$B$24)*(1+Assumptions!$B$11+Assumptions!$B$25)^(INT(A298/12))/12+Pricing_M!$B$13*IF(A298=0,Assumptions!$B$14*12,IF(A298&gt;=12,Assumptions!$B$15,0))-Pricing_M!$B$13,Assumptions!$B$9/12*(1+Assumptions!$B$10)^INT(A298/12)+Assumptions!$B$12*(1+Assumptions!$B$11)*(1+Assumptions!$B$24)*(1+Assumptions!$B$11+Assumptions!$B$25)^(INT(A298/12))/12))*J298</f>
        <v>445.454461495218</v>
      </c>
    </row>
    <row r="299" customFormat="false" ht="15" hidden="false" customHeight="true" outlineLevel="0" collapsed="false">
      <c r="A299" s="1" t="n">
        <v>292</v>
      </c>
      <c r="B299" s="31" t="n">
        <f aca="false">Assumptions!$B$4+A299/12</f>
        <v>89.3333333333333</v>
      </c>
      <c r="C299" s="34" t="n">
        <f aca="false">Assumptions!$B$4+INT(A299/12)</f>
        <v>89</v>
      </c>
      <c r="D299" s="34" t="n">
        <f aca="false">INT(A299/12)+1</f>
        <v>25</v>
      </c>
      <c r="E299" s="32" t="n">
        <f aca="false">IFERROR(INDEX(Cohort_Survival!$G$5:$G$65,MATCH(C299,Cohort_Survival!$A$5:$A$65,0)),1)</f>
        <v>0.0820208565767702</v>
      </c>
      <c r="F299" s="30" t="n">
        <f aca="false">1-(1-MIN(1,E299))^(1/12)</f>
        <v>0.00710634700122093</v>
      </c>
      <c r="G299" s="39" t="n">
        <f aca="false">IF(C299&lt;Assumptions!$B$5,IF(D299=1,Assumptions!$B$16,IF(D299=2,Assumptions!$B$17,IF(D299&lt;=5,Assumptions!$B$18,Assumptions!$B$19)))*(1-Assumptions!$B$20),0)</f>
        <v>0</v>
      </c>
      <c r="H299" s="30" t="n">
        <f aca="false">1-(1-G299)^(1/12)</f>
        <v>0</v>
      </c>
      <c r="I299" s="30" t="n">
        <f aca="false">I298*(1-F298)*(1-H298)</f>
        <v>0.436522559109944</v>
      </c>
      <c r="J299" s="30" t="n">
        <f aca="false">INDEX(Discount_Monthly!$G$4:$G$664,MATCH(A299,Discount_Monthly!$A$4:$A$664,0))</f>
        <v>0.467471417534857</v>
      </c>
      <c r="K299" s="30" t="n">
        <f aca="false">IF(C299&lt;Assumptions!$B$5,I299*J299,0)</f>
        <v>0</v>
      </c>
      <c r="L299" s="30" t="n">
        <f aca="false">IF(C299&lt;Assumptions!$B$5,I299*(1-F299)*H299*A299*J299,0)</f>
        <v>0</v>
      </c>
      <c r="M299" s="30" t="n">
        <f aca="false">IF(A299=0,Assumptions!$B$14*12*I299*J299,IF(AND(A299&gt;=12,C299&lt;Assumptions!$B$5),Assumptions!$B$15*I299*J299,0))</f>
        <v>0</v>
      </c>
      <c r="N299" s="47" t="n">
        <f aca="false">IF(C299&gt;=Assumptions!$B$5,I299*Assumptions!$B$9/12*(1+Assumptions!$B$10)^INT(A299/12)*J299,0)</f>
        <v>437.627508891123</v>
      </c>
      <c r="O299" s="47" t="n">
        <f aca="false">I299*Assumptions!$B$12/12*(1+Assumptions!$B$11)^(INT(A299/12)+1)*J299</f>
        <v>2.5221280396137</v>
      </c>
      <c r="P299" s="47" t="n">
        <f aca="false">O299+Pricing_M!$B$13*M299+N299-Pricing_M!$B$13*K299</f>
        <v>440.149636930737</v>
      </c>
      <c r="Q299" s="47" t="n">
        <f aca="false">IF(C299&lt;Assumptions!$B$5,Pricing_M!$B$13*K299-Pricing_M!$B$13*M299-O299,-(N299+O299))</f>
        <v>-440.149636930737</v>
      </c>
      <c r="R299" s="32" t="n">
        <f aca="false">R298*(1-(1-(1-MIN(1,E298*(1-Assumptions!$B$21)))^(1/12)))*(1-H298)</f>
        <v>0.496629892814167</v>
      </c>
      <c r="S299" s="47" t="n">
        <f aca="false">R299*(IF(C299&lt;Assumptions!$B$5,Assumptions!$B$12*(1+Assumptions!$B$11)^(INT(A299/12)+1)/12+Pricing_M!$B$13*IF(A299=0,Assumptions!$B$14*12,IF(A299&gt;=12,Assumptions!$B$15,0))-Pricing_M!$B$13,Assumptions!$B$9/12*(1+Assumptions!$B$10)^INT(A299/12)+Assumptions!$B$12*(1+Assumptions!$B$11)^(INT(A299/12)+1)/12))*J299</f>
        <v>500.756404106142</v>
      </c>
      <c r="T299" s="32" t="n">
        <f aca="false">T298*(1-F298)*(1-(1-(1-MIN(1,G298*(1+Assumptions!$B$23)))^(1/12)))</f>
        <v>0.395436554938209</v>
      </c>
      <c r="U299" s="47" t="n">
        <f aca="false">T299*(IF(C299&lt;Assumptions!$B$5,Assumptions!$B$12*(1+Assumptions!$B$11)^(INT(A299/12)+1)/12+Pricing_M!$B$13*IF(A299=0,Assumptions!$B$14*12,IF(A299&gt;=12,Assumptions!$B$15,0))-Pricing_M!$B$13,Assumptions!$B$9/12*(1+Assumptions!$B$10)^INT(A299/12)+Assumptions!$B$12*(1+Assumptions!$B$11)^(INT(A299/12)+1)/12))*J299</f>
        <v>398.722248032448</v>
      </c>
      <c r="V299" s="32" t="n">
        <f aca="false">V298*(1-F298)*(1-(1-(1-MIN(1,G298*(1-Assumptions!$B$23)))^(1/12)))</f>
        <v>0.48143528519832</v>
      </c>
      <c r="W299" s="47" t="n">
        <f aca="false">V299*(IF(C299&lt;Assumptions!$B$5,Assumptions!$B$12*(1+Assumptions!$B$11)^(INT(A299/12)+1)/12+Pricing_M!$B$13*IF(A299=0,Assumptions!$B$14*12,IF(A299&gt;=12,Assumptions!$B$15,0))-Pricing_M!$B$13,Assumptions!$B$9/12*(1+Assumptions!$B$10)^INT(A299/12)+Assumptions!$B$12*(1+Assumptions!$B$11)^(INT(A299/12)+1)/12))*J299</f>
        <v>485.435544082191</v>
      </c>
      <c r="X299" s="47" t="n">
        <f aca="false">I299*(IF(C299&lt;Assumptions!$B$5,Assumptions!$B$12*(1+Assumptions!$B$11)*(1+Assumptions!$B$24)*(1+Assumptions!$B$11+Assumptions!$B$25)^(INT(A299/12))/12+Pricing_M!$B$13*IF(A299=0,Assumptions!$B$14*12,IF(A299&gt;=12,Assumptions!$B$15,0))-Pricing_M!$B$13,Assumptions!$B$9/12*(1+Assumptions!$B$10)^INT(A299/12)+Assumptions!$B$12*(1+Assumptions!$B$11)*(1+Assumptions!$B$24)*(1+Assumptions!$B$11+Assumptions!$B$25)^(INT(A299/12))/12))*J299</f>
        <v>441.12982580256</v>
      </c>
    </row>
    <row r="300" customFormat="false" ht="15" hidden="false" customHeight="true" outlineLevel="0" collapsed="false">
      <c r="A300" s="1" t="n">
        <v>293</v>
      </c>
      <c r="B300" s="31" t="n">
        <f aca="false">Assumptions!$B$4+A300/12</f>
        <v>89.4166666666667</v>
      </c>
      <c r="C300" s="34" t="n">
        <f aca="false">Assumptions!$B$4+INT(A300/12)</f>
        <v>89</v>
      </c>
      <c r="D300" s="34" t="n">
        <f aca="false">INT(A300/12)+1</f>
        <v>25</v>
      </c>
      <c r="E300" s="32" t="n">
        <f aca="false">IFERROR(INDEX(Cohort_Survival!$G$5:$G$65,MATCH(C300,Cohort_Survival!$A$5:$A$65,0)),1)</f>
        <v>0.0820208565767702</v>
      </c>
      <c r="F300" s="30" t="n">
        <f aca="false">1-(1-MIN(1,E300))^(1/12)</f>
        <v>0.00710634700122093</v>
      </c>
      <c r="G300" s="39" t="n">
        <f aca="false">IF(C300&lt;Assumptions!$B$5,IF(D300=1,Assumptions!$B$16,IF(D300=2,Assumptions!$B$17,IF(D300&lt;=5,Assumptions!$B$18,Assumptions!$B$19)))*(1-Assumptions!$B$20),0)</f>
        <v>0</v>
      </c>
      <c r="H300" s="30" t="n">
        <f aca="false">1-(1-G300)^(1/12)</f>
        <v>0</v>
      </c>
      <c r="I300" s="30" t="n">
        <f aca="false">I299*(1-F299)*(1-H299)</f>
        <v>0.433420478331048</v>
      </c>
      <c r="J300" s="30" t="n">
        <f aca="false">INDEX(Discount_Monthly!$G$4:$G$664,MATCH(A300,Discount_Monthly!$A$4:$A$664,0))</f>
        <v>0.466246341428219</v>
      </c>
      <c r="K300" s="30" t="n">
        <f aca="false">IF(C300&lt;Assumptions!$B$5,I300*J300,0)</f>
        <v>0</v>
      </c>
      <c r="L300" s="30" t="n">
        <f aca="false">IF(C300&lt;Assumptions!$B$5,I300*(1-F300)*H300*A300*J300,0)</f>
        <v>0</v>
      </c>
      <c r="M300" s="30" t="n">
        <f aca="false">IF(A300=0,Assumptions!$B$14*12*I300*J300,IF(AND(A300&gt;=12,C300&lt;Assumptions!$B$5),Assumptions!$B$15*I300*J300,0))</f>
        <v>0</v>
      </c>
      <c r="N300" s="47" t="n">
        <f aca="false">IF(C300&gt;=Assumptions!$B$5,I300*Assumptions!$B$9/12*(1+Assumptions!$B$10)^INT(A300/12)*J300,0)</f>
        <v>433.378860132084</v>
      </c>
      <c r="O300" s="47" t="n">
        <f aca="false">I300*Assumptions!$B$12/12*(1+Assumptions!$B$11)^(INT(A300/12)+1)*J300</f>
        <v>2.49764229329306</v>
      </c>
      <c r="P300" s="47" t="n">
        <f aca="false">O300+Pricing_M!$B$13*M300+N300-Pricing_M!$B$13*K300</f>
        <v>435.876502425377</v>
      </c>
      <c r="Q300" s="47" t="n">
        <f aca="false">IF(C300&lt;Assumptions!$B$5,Pricing_M!$B$13*K300-Pricing_M!$B$13*M300-O300,-(N300+O300))</f>
        <v>-435.876502425377</v>
      </c>
      <c r="R300" s="32" t="n">
        <f aca="false">R299*(1-(1-(1-MIN(1,E299*(1-Assumptions!$B$21)))^(1/12)))*(1-H299)</f>
        <v>0.493829025920721</v>
      </c>
      <c r="S300" s="47" t="n">
        <f aca="false">R300*(IF(C300&lt;Assumptions!$B$5,Assumptions!$B$12*(1+Assumptions!$B$11)^(INT(A300/12)+1)/12+Pricing_M!$B$13*IF(A300=0,Assumptions!$B$14*12,IF(A300&gt;=12,Assumptions!$B$15,0))-Pricing_M!$B$13,Assumptions!$B$9/12*(1+Assumptions!$B$10)^INT(A300/12)+Assumptions!$B$12*(1+Assumptions!$B$11)^(INT(A300/12)+1)/12))*J300</f>
        <v>496.627361594224</v>
      </c>
      <c r="T300" s="32" t="n">
        <f aca="false">T299*(1-F299)*(1-(1-(1-MIN(1,G299*(1+Assumptions!$B$23)))^(1/12)))</f>
        <v>0.392626445561851</v>
      </c>
      <c r="U300" s="47" t="n">
        <f aca="false">T300*(IF(C300&lt;Assumptions!$B$5,Assumptions!$B$12*(1+Assumptions!$B$11)^(INT(A300/12)+1)/12+Pricing_M!$B$13*IF(A300=0,Assumptions!$B$14*12,IF(A300&gt;=12,Assumptions!$B$15,0))-Pricing_M!$B$13,Assumptions!$B$9/12*(1+Assumptions!$B$10)^INT(A300/12)+Assumptions!$B$12*(1+Assumptions!$B$11)^(INT(A300/12)+1)/12))*J300</f>
        <v>394.851305850142</v>
      </c>
      <c r="V300" s="32" t="n">
        <f aca="false">V299*(1-F299)*(1-(1-(1-MIN(1,G299*(1-Assumptions!$B$23)))^(1/12)))</f>
        <v>0.478014039003069</v>
      </c>
      <c r="W300" s="47" t="n">
        <f aca="false">V300*(IF(C300&lt;Assumptions!$B$5,Assumptions!$B$12*(1+Assumptions!$B$11)^(INT(A300/12)+1)/12+Pricing_M!$B$13*IF(A300=0,Assumptions!$B$14*12,IF(A300&gt;=12,Assumptions!$B$15,0))-Pricing_M!$B$13,Assumptions!$B$9/12*(1+Assumptions!$B$10)^INT(A300/12)+Assumptions!$B$12*(1+Assumptions!$B$11)^(INT(A300/12)+1)/12))*J300</f>
        <v>480.722757339913</v>
      </c>
      <c r="X300" s="47" t="n">
        <f aca="false">I300*(IF(C300&lt;Assumptions!$B$5,Assumptions!$B$12*(1+Assumptions!$B$11)*(1+Assumptions!$B$24)*(1+Assumptions!$B$11+Assumptions!$B$25)^(INT(A300/12))/12+Pricing_M!$B$13*IF(A300=0,Assumptions!$B$14*12,IF(A300&gt;=12,Assumptions!$B$15,0))-Pricing_M!$B$13,Assumptions!$B$9/12*(1+Assumptions!$B$10)^INT(A300/12)+Assumptions!$B$12*(1+Assumptions!$B$11)*(1+Assumptions!$B$24)*(1+Assumptions!$B$11+Assumptions!$B$25)^(INT(A300/12))/12))*J300</f>
        <v>436.847175263246</v>
      </c>
    </row>
    <row r="301" customFormat="false" ht="15" hidden="false" customHeight="true" outlineLevel="0" collapsed="false">
      <c r="A301" s="1" t="n">
        <v>294</v>
      </c>
      <c r="B301" s="31" t="n">
        <f aca="false">Assumptions!$B$4+A301/12</f>
        <v>89.5</v>
      </c>
      <c r="C301" s="34" t="n">
        <f aca="false">Assumptions!$B$4+INT(A301/12)</f>
        <v>89</v>
      </c>
      <c r="D301" s="34" t="n">
        <f aca="false">INT(A301/12)+1</f>
        <v>25</v>
      </c>
      <c r="E301" s="32" t="n">
        <f aca="false">IFERROR(INDEX(Cohort_Survival!$G$5:$G$65,MATCH(C301,Cohort_Survival!$A$5:$A$65,0)),1)</f>
        <v>0.0820208565767702</v>
      </c>
      <c r="F301" s="30" t="n">
        <f aca="false">1-(1-MIN(1,E301))^(1/12)</f>
        <v>0.00710634700122093</v>
      </c>
      <c r="G301" s="39" t="n">
        <f aca="false">IF(C301&lt;Assumptions!$B$5,IF(D301=1,Assumptions!$B$16,IF(D301=2,Assumptions!$B$17,IF(D301&lt;=5,Assumptions!$B$18,Assumptions!$B$19)))*(1-Assumptions!$B$20),0)</f>
        <v>0</v>
      </c>
      <c r="H301" s="30" t="n">
        <f aca="false">1-(1-G301)^(1/12)</f>
        <v>0</v>
      </c>
      <c r="I301" s="30" t="n">
        <f aca="false">I300*(1-F300)*(1-H300)</f>
        <v>0.430340442014592</v>
      </c>
      <c r="J301" s="30" t="n">
        <f aca="false">INDEX(Discount_Monthly!$G$4:$G$664,MATCH(A301,Discount_Monthly!$A$4:$A$664,0))</f>
        <v>0.465024475809775</v>
      </c>
      <c r="K301" s="30" t="n">
        <f aca="false">IF(C301&lt;Assumptions!$B$5,I301*J301,0)</f>
        <v>0</v>
      </c>
      <c r="L301" s="30" t="n">
        <f aca="false">IF(C301&lt;Assumptions!$B$5,I301*(1-F301)*H301*A301*J301,0)</f>
        <v>0</v>
      </c>
      <c r="M301" s="30" t="n">
        <f aca="false">IF(A301=0,Assumptions!$B$14*12*I301*J301,IF(AND(A301&gt;=12,C301&lt;Assumptions!$B$5),Assumptions!$B$15*I301*J301,0))</f>
        <v>0</v>
      </c>
      <c r="N301" s="47" t="n">
        <f aca="false">IF(C301&gt;=Assumptions!$B$5,I301*Assumptions!$B$9/12*(1+Assumptions!$B$10)^INT(A301/12)*J301,0)</f>
        <v>429.171458817301</v>
      </c>
      <c r="O301" s="47" t="n">
        <f aca="false">I301*Assumptions!$B$12/12*(1+Assumptions!$B$11)^(INT(A301/12)+1)*J301</f>
        <v>2.47339426360039</v>
      </c>
      <c r="P301" s="47" t="n">
        <f aca="false">O301+Pricing_M!$B$13*M301+N301-Pricing_M!$B$13*K301</f>
        <v>431.644853080901</v>
      </c>
      <c r="Q301" s="47" t="n">
        <f aca="false">IF(C301&lt;Assumptions!$B$5,Pricing_M!$B$13*K301-Pricing_M!$B$13*M301-O301,-(N301+O301))</f>
        <v>-431.644853080901</v>
      </c>
      <c r="R301" s="32" t="n">
        <f aca="false">R300*(1-(1-(1-MIN(1,E300*(1-Assumptions!$B$21)))^(1/12)))*(1-H300)</f>
        <v>0.491043955207627</v>
      </c>
      <c r="S301" s="47" t="n">
        <f aca="false">R301*(IF(C301&lt;Assumptions!$B$5,Assumptions!$B$12*(1+Assumptions!$B$11)^(INT(A301/12)+1)/12+Pricing_M!$B$13*IF(A301=0,Assumptions!$B$14*12,IF(A301&gt;=12,Assumptions!$B$15,0))-Pricing_M!$B$13,Assumptions!$B$9/12*(1+Assumptions!$B$10)^INT(A301/12)+Assumptions!$B$12*(1+Assumptions!$B$11)^(INT(A301/12)+1)/12))*J301</f>
        <v>492.532365560645</v>
      </c>
      <c r="T301" s="32" t="n">
        <f aca="false">T300*(1-F300)*(1-(1-(1-MIN(1,G300*(1+Assumptions!$B$23)))^(1/12)))</f>
        <v>0.389836305797833</v>
      </c>
      <c r="U301" s="47" t="n">
        <f aca="false">T301*(IF(C301&lt;Assumptions!$B$5,Assumptions!$B$12*(1+Assumptions!$B$11)^(INT(A301/12)+1)/12+Pricing_M!$B$13*IF(A301=0,Assumptions!$B$14*12,IF(A301&gt;=12,Assumptions!$B$15,0))-Pricing_M!$B$13,Assumptions!$B$9/12*(1+Assumptions!$B$10)^INT(A301/12)+Assumptions!$B$12*(1+Assumptions!$B$11)^(INT(A301/12)+1)/12))*J301</f>
        <v>391.017944197773</v>
      </c>
      <c r="V301" s="32" t="n">
        <f aca="false">V300*(1-F300)*(1-(1-(1-MIN(1,G300*(1-Assumptions!$B$23)))^(1/12)))</f>
        <v>0.474617105370458</v>
      </c>
      <c r="W301" s="47" t="n">
        <f aca="false">V301*(IF(C301&lt;Assumptions!$B$5,Assumptions!$B$12*(1+Assumptions!$B$11)^(INT(A301/12)+1)/12+Pricing_M!$B$13*IF(A301=0,Assumptions!$B$14*12,IF(A301&gt;=12,Assumptions!$B$15,0))-Pricing_M!$B$13,Assumptions!$B$9/12*(1+Assumptions!$B$10)^INT(A301/12)+Assumptions!$B$12*(1+Assumptions!$B$11)^(INT(A301/12)+1)/12))*J301</f>
        <v>476.055724064082</v>
      </c>
      <c r="X301" s="47" t="n">
        <f aca="false">I301*(IF(C301&lt;Assumptions!$B$5,Assumptions!$B$12*(1+Assumptions!$B$11)*(1+Assumptions!$B$24)*(1+Assumptions!$B$11+Assumptions!$B$25)^(INT(A301/12))/12+Pricing_M!$B$13*IF(A301=0,Assumptions!$B$14*12,IF(A301&gt;=12,Assumptions!$B$15,0))-Pricing_M!$B$13,Assumptions!$B$9/12*(1+Assumptions!$B$10)^INT(A301/12)+Assumptions!$B$12*(1+Assumptions!$B$11)*(1+Assumptions!$B$24)*(1+Assumptions!$B$11+Assumptions!$B$25)^(INT(A301/12))/12))*J301</f>
        <v>432.606102269972</v>
      </c>
    </row>
    <row r="302" customFormat="false" ht="15" hidden="false" customHeight="true" outlineLevel="0" collapsed="false">
      <c r="A302" s="1" t="n">
        <v>295</v>
      </c>
      <c r="B302" s="31" t="n">
        <f aca="false">Assumptions!$B$4+A302/12</f>
        <v>89.5833333333333</v>
      </c>
      <c r="C302" s="34" t="n">
        <f aca="false">Assumptions!$B$4+INT(A302/12)</f>
        <v>89</v>
      </c>
      <c r="D302" s="34" t="n">
        <f aca="false">INT(A302/12)+1</f>
        <v>25</v>
      </c>
      <c r="E302" s="32" t="n">
        <f aca="false">IFERROR(INDEX(Cohort_Survival!$G$5:$G$65,MATCH(C302,Cohort_Survival!$A$5:$A$65,0)),1)</f>
        <v>0.0820208565767702</v>
      </c>
      <c r="F302" s="30" t="n">
        <f aca="false">1-(1-MIN(1,E302))^(1/12)</f>
        <v>0.00710634700122093</v>
      </c>
      <c r="G302" s="39" t="n">
        <f aca="false">IF(C302&lt;Assumptions!$B$5,IF(D302=1,Assumptions!$B$16,IF(D302=2,Assumptions!$B$17,IF(D302&lt;=5,Assumptions!$B$18,Assumptions!$B$19)))*(1-Assumptions!$B$20),0)</f>
        <v>0</v>
      </c>
      <c r="H302" s="30" t="n">
        <f aca="false">1-(1-G302)^(1/12)</f>
        <v>0</v>
      </c>
      <c r="I302" s="30" t="n">
        <f aca="false">I301*(1-F301)*(1-H301)</f>
        <v>0.427282293504978</v>
      </c>
      <c r="J302" s="30" t="n">
        <f aca="false">INDEX(Discount_Monthly!$G$4:$G$664,MATCH(A302,Discount_Monthly!$A$4:$A$664,0))</f>
        <v>0.463805812265979</v>
      </c>
      <c r="K302" s="30" t="n">
        <f aca="false">IF(C302&lt;Assumptions!$B$5,I302*J302,0)</f>
        <v>0</v>
      </c>
      <c r="L302" s="30" t="n">
        <f aca="false">IF(C302&lt;Assumptions!$B$5,I302*(1-F302)*H302*A302*J302,0)</f>
        <v>0</v>
      </c>
      <c r="M302" s="30" t="n">
        <f aca="false">IF(A302=0,Assumptions!$B$14*12*I302*J302,IF(AND(A302&gt;=12,C302&lt;Assumptions!$B$5),Assumptions!$B$15*I302*J302,0))</f>
        <v>0</v>
      </c>
      <c r="N302" s="47" t="n">
        <f aca="false">IF(C302&gt;=Assumptions!$B$5,I302*Assumptions!$B$9/12*(1+Assumptions!$B$10)^INT(A302/12)*J302,0)</f>
        <v>425.004904501419</v>
      </c>
      <c r="O302" s="47" t="n">
        <f aca="false">I302*Assumptions!$B$12/12*(1+Assumptions!$B$11)^(INT(A302/12)+1)*J302</f>
        <v>2.44938164269526</v>
      </c>
      <c r="P302" s="47" t="n">
        <f aca="false">O302+Pricing_M!$B$13*M302+N302-Pricing_M!$B$13*K302</f>
        <v>427.454286144114</v>
      </c>
      <c r="Q302" s="47" t="n">
        <f aca="false">IF(C302&lt;Assumptions!$B$5,Pricing_M!$B$13*K302-Pricing_M!$B$13*M302-O302,-(N302+O302))</f>
        <v>-427.454286144114</v>
      </c>
      <c r="R302" s="32" t="n">
        <f aca="false">R301*(1-(1-(1-MIN(1,E301*(1-Assumptions!$B$21)))^(1/12)))*(1-H301)</f>
        <v>0.488274591588425</v>
      </c>
      <c r="S302" s="47" t="n">
        <f aca="false">R302*(IF(C302&lt;Assumptions!$B$5,Assumptions!$B$12*(1+Assumptions!$B$11)^(INT(A302/12)+1)/12+Pricing_M!$B$13*IF(A302=0,Assumptions!$B$14*12,IF(A302&gt;=12,Assumptions!$B$15,0))-Pricing_M!$B$13,Assumptions!$B$9/12*(1+Assumptions!$B$10)^INT(A302/12)+Assumptions!$B$12*(1+Assumptions!$B$11)^(INT(A302/12)+1)/12))*J302</f>
        <v>488.471135271389</v>
      </c>
      <c r="T302" s="32" t="n">
        <f aca="false">T301*(1-F301)*(1-(1-(1-MIN(1,G301*(1+Assumptions!$B$23)))^(1/12)))</f>
        <v>0.387065993735159</v>
      </c>
      <c r="U302" s="47" t="n">
        <f aca="false">T302*(IF(C302&lt;Assumptions!$B$5,Assumptions!$B$12*(1+Assumptions!$B$11)^(INT(A302/12)+1)/12+Pricing_M!$B$13*IF(A302=0,Assumptions!$B$14*12,IF(A302&gt;=12,Assumptions!$B$15,0))-Pricing_M!$B$13,Assumptions!$B$9/12*(1+Assumptions!$B$10)^INT(A302/12)+Assumptions!$B$12*(1+Assumptions!$B$11)^(INT(A302/12)+1)/12))*J302</f>
        <v>387.221798229739</v>
      </c>
      <c r="V302" s="32" t="n">
        <f aca="false">V301*(1-F301)*(1-(1-(1-MIN(1,G301*(1-Assumptions!$B$23)))^(1/12)))</f>
        <v>0.47124431152698</v>
      </c>
      <c r="W302" s="47" t="n">
        <f aca="false">V302*(IF(C302&lt;Assumptions!$B$5,Assumptions!$B$12*(1+Assumptions!$B$11)^(INT(A302/12)+1)/12+Pricing_M!$B$13*IF(A302=0,Assumptions!$B$14*12,IF(A302&gt;=12,Assumptions!$B$15,0))-Pricing_M!$B$13,Assumptions!$B$9/12*(1+Assumptions!$B$10)^INT(A302/12)+Assumptions!$B$12*(1+Assumptions!$B$11)^(INT(A302/12)+1)/12))*J302</f>
        <v>471.434000063223</v>
      </c>
      <c r="X302" s="47" t="n">
        <f aca="false">I302*(IF(C302&lt;Assumptions!$B$5,Assumptions!$B$12*(1+Assumptions!$B$11)*(1+Assumptions!$B$24)*(1+Assumptions!$B$11+Assumptions!$B$25)^(INT(A302/12))/12+Pricing_M!$B$13*IF(A302=0,Assumptions!$B$14*12,IF(A302&gt;=12,Assumptions!$B$15,0))-Pricing_M!$B$13,Assumptions!$B$9/12*(1+Assumptions!$B$10)^INT(A302/12)+Assumptions!$B$12*(1+Assumptions!$B$11)*(1+Assumptions!$B$24)*(1+Assumptions!$B$11+Assumptions!$B$25)^(INT(A302/12))/12))*J302</f>
        <v>428.406203172635</v>
      </c>
    </row>
    <row r="303" customFormat="false" ht="15" hidden="false" customHeight="true" outlineLevel="0" collapsed="false">
      <c r="A303" s="1" t="n">
        <v>296</v>
      </c>
      <c r="B303" s="31" t="n">
        <f aca="false">Assumptions!$B$4+A303/12</f>
        <v>89.6666666666667</v>
      </c>
      <c r="C303" s="34" t="n">
        <f aca="false">Assumptions!$B$4+INT(A303/12)</f>
        <v>89</v>
      </c>
      <c r="D303" s="34" t="n">
        <f aca="false">INT(A303/12)+1</f>
        <v>25</v>
      </c>
      <c r="E303" s="32" t="n">
        <f aca="false">IFERROR(INDEX(Cohort_Survival!$G$5:$G$65,MATCH(C303,Cohort_Survival!$A$5:$A$65,0)),1)</f>
        <v>0.0820208565767702</v>
      </c>
      <c r="F303" s="30" t="n">
        <f aca="false">1-(1-MIN(1,E303))^(1/12)</f>
        <v>0.00710634700122093</v>
      </c>
      <c r="G303" s="39" t="n">
        <f aca="false">IF(C303&lt;Assumptions!$B$5,IF(D303=1,Assumptions!$B$16,IF(D303=2,Assumptions!$B$17,IF(D303&lt;=5,Assumptions!$B$18,Assumptions!$B$19)))*(1-Assumptions!$B$20),0)</f>
        <v>0</v>
      </c>
      <c r="H303" s="30" t="n">
        <f aca="false">1-(1-G303)^(1/12)</f>
        <v>0</v>
      </c>
      <c r="I303" s="30" t="n">
        <f aca="false">I302*(1-F302)*(1-H302)</f>
        <v>0.424245877259854</v>
      </c>
      <c r="J303" s="30" t="n">
        <f aca="false">INDEX(Discount_Monthly!$G$4:$G$664,MATCH(A303,Discount_Monthly!$A$4:$A$664,0))</f>
        <v>0.462590342405333</v>
      </c>
      <c r="K303" s="30" t="n">
        <f aca="false">IF(C303&lt;Assumptions!$B$5,I303*J303,0)</f>
        <v>0</v>
      </c>
      <c r="L303" s="30" t="n">
        <f aca="false">IF(C303&lt;Assumptions!$B$5,I303*(1-F303)*H303*A303*J303,0)</f>
        <v>0</v>
      </c>
      <c r="M303" s="30" t="n">
        <f aca="false">IF(A303=0,Assumptions!$B$14*12*I303*J303,IF(AND(A303&gt;=12,C303&lt;Assumptions!$B$5),Assumptions!$B$15*I303*J303,0))</f>
        <v>0</v>
      </c>
      <c r="N303" s="47" t="n">
        <f aca="false">IF(C303&gt;=Assumptions!$B$5,I303*Assumptions!$B$9/12*(1+Assumptions!$B$10)^INT(A303/12)*J303,0)</f>
        <v>420.878800626755</v>
      </c>
      <c r="O303" s="47" t="n">
        <f aca="false">I303*Assumptions!$B$12/12*(1+Assumptions!$B$11)^(INT(A303/12)+1)*J303</f>
        <v>2.42560214514261</v>
      </c>
      <c r="P303" s="47" t="n">
        <f aca="false">O303+Pricing_M!$B$13*M303+N303-Pricing_M!$B$13*K303</f>
        <v>423.304402771897</v>
      </c>
      <c r="Q303" s="47" t="n">
        <f aca="false">IF(C303&lt;Assumptions!$B$5,Pricing_M!$B$13*K303-Pricing_M!$B$13*M303-O303,-(N303+O303))</f>
        <v>-423.304402771897</v>
      </c>
      <c r="R303" s="32" t="n">
        <f aca="false">R302*(1-(1-(1-MIN(1,E302*(1-Assumptions!$B$21)))^(1/12)))*(1-H302)</f>
        <v>0.485520846479082</v>
      </c>
      <c r="S303" s="47" t="n">
        <f aca="false">R303*(IF(C303&lt;Assumptions!$B$5,Assumptions!$B$12*(1+Assumptions!$B$11)^(INT(A303/12)+1)/12+Pricing_M!$B$13*IF(A303=0,Assumptions!$B$14*12,IF(A303&gt;=12,Assumptions!$B$15,0))-Pricing_M!$B$13,Assumptions!$B$9/12*(1+Assumptions!$B$10)^INT(A303/12)+Assumptions!$B$12*(1+Assumptions!$B$11)^(INT(A303/12)+1)/12))*J303</f>
        <v>484.443392307262</v>
      </c>
      <c r="T303" s="32" t="n">
        <f aca="false">T302*(1-F302)*(1-(1-(1-MIN(1,G302*(1+Assumptions!$B$23)))^(1/12)))</f>
        <v>0.384315368471305</v>
      </c>
      <c r="U303" s="47" t="n">
        <f aca="false">T303*(IF(C303&lt;Assumptions!$B$5,Assumptions!$B$12*(1+Assumptions!$B$11)^(INT(A303/12)+1)/12+Pricing_M!$B$13*IF(A303=0,Assumptions!$B$14*12,IF(A303&gt;=12,Assumptions!$B$15,0))-Pricing_M!$B$13,Assumptions!$B$9/12*(1+Assumptions!$B$10)^INT(A303/12)+Assumptions!$B$12*(1+Assumptions!$B$11)^(INT(A303/12)+1)/12))*J303</f>
        <v>383.462506642494</v>
      </c>
      <c r="V303" s="32" t="n">
        <f aca="false">V302*(1-F302)*(1-(1-(1-MIN(1,G302*(1-Assumptions!$B$23)))^(1/12)))</f>
        <v>0.467895485926918</v>
      </c>
      <c r="W303" s="47" t="n">
        <f aca="false">V303*(IF(C303&lt;Assumptions!$B$5,Assumptions!$B$12*(1+Assumptions!$B$11)^(INT(A303/12)+1)/12+Pricing_M!$B$13*IF(A303=0,Assumptions!$B$14*12,IF(A303&gt;=12,Assumptions!$B$15,0))-Pricing_M!$B$13,Assumptions!$B$9/12*(1+Assumptions!$B$10)^INT(A303/12)+Assumptions!$B$12*(1+Assumptions!$B$11)^(INT(A303/12)+1)/12))*J303</f>
        <v>466.857145458236</v>
      </c>
      <c r="X303" s="47" t="n">
        <f aca="false">I303*(IF(C303&lt;Assumptions!$B$5,Assumptions!$B$12*(1+Assumptions!$B$11)*(1+Assumptions!$B$24)*(1+Assumptions!$B$11+Assumptions!$B$25)^(INT(A303/12))/12+Pricing_M!$B$13*IF(A303=0,Assumptions!$B$14*12,IF(A303&gt;=12,Assumptions!$B$15,0))-Pricing_M!$B$13,Assumptions!$B$9/12*(1+Assumptions!$B$10)^INT(A303/12)+Assumptions!$B$12*(1+Assumptions!$B$11)*(1+Assumptions!$B$24)*(1+Assumptions!$B$11+Assumptions!$B$25)^(INT(A303/12))/12))*J303</f>
        <v>424.247078239913</v>
      </c>
    </row>
    <row r="304" customFormat="false" ht="15" hidden="false" customHeight="true" outlineLevel="0" collapsed="false">
      <c r="A304" s="1" t="n">
        <v>297</v>
      </c>
      <c r="B304" s="31" t="n">
        <f aca="false">Assumptions!$B$4+A304/12</f>
        <v>89.75</v>
      </c>
      <c r="C304" s="34" t="n">
        <f aca="false">Assumptions!$B$4+INT(A304/12)</f>
        <v>89</v>
      </c>
      <c r="D304" s="34" t="n">
        <f aca="false">INT(A304/12)+1</f>
        <v>25</v>
      </c>
      <c r="E304" s="32" t="n">
        <f aca="false">IFERROR(INDEX(Cohort_Survival!$G$5:$G$65,MATCH(C304,Cohort_Survival!$A$5:$A$65,0)),1)</f>
        <v>0.0820208565767702</v>
      </c>
      <c r="F304" s="30" t="n">
        <f aca="false">1-(1-MIN(1,E304))^(1/12)</f>
        <v>0.00710634700122093</v>
      </c>
      <c r="G304" s="39" t="n">
        <f aca="false">IF(C304&lt;Assumptions!$B$5,IF(D304=1,Assumptions!$B$16,IF(D304=2,Assumptions!$B$17,IF(D304&lt;=5,Assumptions!$B$18,Assumptions!$B$19)))*(1-Assumptions!$B$20),0)</f>
        <v>0</v>
      </c>
      <c r="H304" s="30" t="n">
        <f aca="false">1-(1-G304)^(1/12)</f>
        <v>0</v>
      </c>
      <c r="I304" s="30" t="n">
        <f aca="false">I303*(1-F303)*(1-H303)</f>
        <v>0.421231038842208</v>
      </c>
      <c r="J304" s="30" t="n">
        <f aca="false">INDEX(Discount_Monthly!$G$4:$G$664,MATCH(A304,Discount_Monthly!$A$4:$A$664,0))</f>
        <v>0.461378057858331</v>
      </c>
      <c r="K304" s="30" t="n">
        <f aca="false">IF(C304&lt;Assumptions!$B$5,I304*J304,0)</f>
        <v>0</v>
      </c>
      <c r="L304" s="30" t="n">
        <f aca="false">IF(C304&lt;Assumptions!$B$5,I304*(1-F304)*H304*A304*J304,0)</f>
        <v>0</v>
      </c>
      <c r="M304" s="30" t="n">
        <f aca="false">IF(A304=0,Assumptions!$B$14*12*I304*J304,IF(AND(A304&gt;=12,C304&lt;Assumptions!$B$5),Assumptions!$B$15*I304*J304,0))</f>
        <v>0</v>
      </c>
      <c r="N304" s="47" t="n">
        <f aca="false">IF(C304&gt;=Assumptions!$B$5,I304*Assumptions!$B$9/12*(1+Assumptions!$B$10)^INT(A304/12)*J304,0)</f>
        <v>416.792754485552</v>
      </c>
      <c r="O304" s="47" t="n">
        <f aca="false">I304*Assumptions!$B$12/12*(1+Assumptions!$B$11)^(INT(A304/12)+1)*J304</f>
        <v>2.40205350769522</v>
      </c>
      <c r="P304" s="47" t="n">
        <f aca="false">O304+Pricing_M!$B$13*M304+N304-Pricing_M!$B$13*K304</f>
        <v>419.194807993248</v>
      </c>
      <c r="Q304" s="47" t="n">
        <f aca="false">IF(C304&lt;Assumptions!$B$5,Pricing_M!$B$13*K304-Pricing_M!$B$13*M304-O304,-(N304+O304))</f>
        <v>-419.194807993248</v>
      </c>
      <c r="R304" s="32" t="n">
        <f aca="false">R303*(1-(1-(1-MIN(1,E303*(1-Assumptions!$B$21)))^(1/12)))*(1-H303)</f>
        <v>0.482782631795155</v>
      </c>
      <c r="S304" s="47" t="n">
        <f aca="false">R304*(IF(C304&lt;Assumptions!$B$5,Assumptions!$B$12*(1+Assumptions!$B$11)^(INT(A304/12)+1)/12+Pricing_M!$B$13*IF(A304=0,Assumptions!$B$14*12,IF(A304&gt;=12,Assumptions!$B$15,0))-Pricing_M!$B$13,Assumptions!$B$9/12*(1+Assumptions!$B$10)^INT(A304/12)+Assumptions!$B$12*(1+Assumptions!$B$11)^(INT(A304/12)+1)/12))*J304</f>
        <v>480.448860544808</v>
      </c>
      <c r="T304" s="32" t="n">
        <f aca="false">T303*(1-F303)*(1-(1-(1-MIN(1,G303*(1+Assumptions!$B$23)))^(1/12)))</f>
        <v>0.381584290105045</v>
      </c>
      <c r="U304" s="47" t="n">
        <f aca="false">T304*(IF(C304&lt;Assumptions!$B$5,Assumptions!$B$12*(1+Assumptions!$B$11)^(INT(A304/12)+1)/12+Pricing_M!$B$13*IF(A304=0,Assumptions!$B$14*12,IF(A304&gt;=12,Assumptions!$B$15,0))-Pricing_M!$B$13,Assumptions!$B$9/12*(1+Assumptions!$B$10)^INT(A304/12)+Assumptions!$B$12*(1+Assumptions!$B$11)^(INT(A304/12)+1)/12))*J304</f>
        <v>379.739711640158</v>
      </c>
      <c r="V304" s="32" t="n">
        <f aca="false">V303*(1-F303)*(1-(1-(1-MIN(1,G303*(1-Assumptions!$B$23)))^(1/12)))</f>
        <v>0.464570458243617</v>
      </c>
      <c r="W304" s="47" t="n">
        <f aca="false">V304*(IF(C304&lt;Assumptions!$B$5,Assumptions!$B$12*(1+Assumptions!$B$11)^(INT(A304/12)+1)/12+Pricing_M!$B$13*IF(A304=0,Assumptions!$B$14*12,IF(A304&gt;=12,Assumptions!$B$15,0))-Pricing_M!$B$13,Assumptions!$B$9/12*(1+Assumptions!$B$10)^INT(A304/12)+Assumptions!$B$12*(1+Assumptions!$B$11)^(INT(A304/12)+1)/12))*J304</f>
        <v>462.324724640529</v>
      </c>
      <c r="X304" s="47" t="n">
        <f aca="false">I304*(IF(C304&lt;Assumptions!$B$5,Assumptions!$B$12*(1+Assumptions!$B$11)*(1+Assumptions!$B$24)*(1+Assumptions!$B$11+Assumptions!$B$25)^(INT(A304/12))/12+Pricing_M!$B$13*IF(A304=0,Assumptions!$B$14*12,IF(A304&gt;=12,Assumptions!$B$15,0))-Pricing_M!$B$13,Assumptions!$B$9/12*(1+Assumptions!$B$10)^INT(A304/12)+Assumptions!$B$12*(1+Assumptions!$B$11)*(1+Assumptions!$B$24)*(1+Assumptions!$B$11+Assumptions!$B$25)^(INT(A304/12))/12))*J304</f>
        <v>420.128331621226</v>
      </c>
    </row>
    <row r="305" customFormat="false" ht="15" hidden="false" customHeight="true" outlineLevel="0" collapsed="false">
      <c r="A305" s="1" t="n">
        <v>298</v>
      </c>
      <c r="B305" s="31" t="n">
        <f aca="false">Assumptions!$B$4+A305/12</f>
        <v>89.8333333333333</v>
      </c>
      <c r="C305" s="34" t="n">
        <f aca="false">Assumptions!$B$4+INT(A305/12)</f>
        <v>89</v>
      </c>
      <c r="D305" s="34" t="n">
        <f aca="false">INT(A305/12)+1</f>
        <v>25</v>
      </c>
      <c r="E305" s="32" t="n">
        <f aca="false">IFERROR(INDEX(Cohort_Survival!$G$5:$G$65,MATCH(C305,Cohort_Survival!$A$5:$A$65,0)),1)</f>
        <v>0.0820208565767702</v>
      </c>
      <c r="F305" s="30" t="n">
        <f aca="false">1-(1-MIN(1,E305))^(1/12)</f>
        <v>0.00710634700122093</v>
      </c>
      <c r="G305" s="39" t="n">
        <f aca="false">IF(C305&lt;Assumptions!$B$5,IF(D305=1,Assumptions!$B$16,IF(D305=2,Assumptions!$B$17,IF(D305&lt;=5,Assumptions!$B$18,Assumptions!$B$19)))*(1-Assumptions!$B$20),0)</f>
        <v>0</v>
      </c>
      <c r="H305" s="30" t="n">
        <f aca="false">1-(1-G305)^(1/12)</f>
        <v>0</v>
      </c>
      <c r="I305" s="30" t="n">
        <f aca="false">I304*(1-F304)*(1-H304)</f>
        <v>0.418237624912511</v>
      </c>
      <c r="J305" s="30" t="n">
        <f aca="false">INDEX(Discount_Monthly!$G$4:$G$664,MATCH(A305,Discount_Monthly!$A$4:$A$664,0))</f>
        <v>0.460168950277402</v>
      </c>
      <c r="K305" s="30" t="n">
        <f aca="false">IF(C305&lt;Assumptions!$B$5,I305*J305,0)</f>
        <v>0</v>
      </c>
      <c r="L305" s="30" t="n">
        <f aca="false">IF(C305&lt;Assumptions!$B$5,I305*(1-F305)*H305*A305*J305,0)</f>
        <v>0</v>
      </c>
      <c r="M305" s="30" t="n">
        <f aca="false">IF(A305=0,Assumptions!$B$14*12*I305*J305,IF(AND(A305&gt;=12,C305&lt;Assumptions!$B$5),Assumptions!$B$15*I305*J305,0))</f>
        <v>0</v>
      </c>
      <c r="N305" s="47" t="n">
        <f aca="false">IF(C305&gt;=Assumptions!$B$5,I305*Assumptions!$B$9/12*(1+Assumptions!$B$10)^INT(A305/12)*J305,0)</f>
        <v>412.746377182607</v>
      </c>
      <c r="O305" s="47" t="n">
        <f aca="false">I305*Assumptions!$B$12/12*(1+Assumptions!$B$11)^(INT(A305/12)+1)*J305</f>
        <v>2.37873348907831</v>
      </c>
      <c r="P305" s="47" t="n">
        <f aca="false">O305+Pricing_M!$B$13*M305+N305-Pricing_M!$B$13*K305</f>
        <v>415.125110671686</v>
      </c>
      <c r="Q305" s="47" t="n">
        <f aca="false">IF(C305&lt;Assumptions!$B$5,Pricing_M!$B$13*K305-Pricing_M!$B$13*M305-O305,-(N305+O305))</f>
        <v>-415.125110671686</v>
      </c>
      <c r="R305" s="32" t="n">
        <f aca="false">R304*(1-(1-(1-MIN(1,E304*(1-Assumptions!$B$21)))^(1/12)))*(1-H304)</f>
        <v>0.480059859948975</v>
      </c>
      <c r="S305" s="47" t="n">
        <f aca="false">R305*(IF(C305&lt;Assumptions!$B$5,Assumptions!$B$12*(1+Assumptions!$B$11)^(INT(A305/12)+1)/12+Pricing_M!$B$13*IF(A305=0,Assumptions!$B$14*12,IF(A305&gt;=12,Assumptions!$B$15,0))-Pricing_M!$B$13,Assumptions!$B$9/12*(1+Assumptions!$B$10)^INT(A305/12)+Assumptions!$B$12*(1+Assumptions!$B$11)^(INT(A305/12)+1)/12))*J305</f>
        <v>476.487266137378</v>
      </c>
      <c r="T305" s="32" t="n">
        <f aca="false">T304*(1-F304)*(1-(1-(1-MIN(1,G304*(1+Assumptions!$B$23)))^(1/12)))</f>
        <v>0.378872619729344</v>
      </c>
      <c r="U305" s="47" t="n">
        <f aca="false">T305*(IF(C305&lt;Assumptions!$B$5,Assumptions!$B$12*(1+Assumptions!$B$11)^(INT(A305/12)+1)/12+Pricing_M!$B$13*IF(A305=0,Assumptions!$B$14*12,IF(A305&gt;=12,Assumptions!$B$15,0))-Pricing_M!$B$13,Assumptions!$B$9/12*(1+Assumptions!$B$10)^INT(A305/12)+Assumptions!$B$12*(1+Assumptions!$B$11)^(INT(A305/12)+1)/12))*J305</f>
        <v>376.053058900467</v>
      </c>
      <c r="V305" s="32" t="n">
        <f aca="false">V304*(1-F304)*(1-(1-(1-MIN(1,G304*(1-Assumptions!$B$23)))^(1/12)))</f>
        <v>0.461269059360821</v>
      </c>
      <c r="W305" s="47" t="n">
        <f aca="false">V305*(IF(C305&lt;Assumptions!$B$5,Assumptions!$B$12*(1+Assumptions!$B$11)^(INT(A305/12)+1)/12+Pricing_M!$B$13*IF(A305=0,Assumptions!$B$14*12,IF(A305&gt;=12,Assumptions!$B$15,0))-Pricing_M!$B$13,Assumptions!$B$9/12*(1+Assumptions!$B$10)^INT(A305/12)+Assumptions!$B$12*(1+Assumptions!$B$11)^(INT(A305/12)+1)/12))*J305</f>
        <v>457.836306230558</v>
      </c>
      <c r="X305" s="47" t="n">
        <f aca="false">I305*(IF(C305&lt;Assumptions!$B$5,Assumptions!$B$12*(1+Assumptions!$B$11)*(1+Assumptions!$B$24)*(1+Assumptions!$B$11+Assumptions!$B$25)^(INT(A305/12))/12+Pricing_M!$B$13*IF(A305=0,Assumptions!$B$14*12,IF(A305&gt;=12,Assumptions!$B$15,0))-Pricing_M!$B$13,Assumptions!$B$9/12*(1+Assumptions!$B$10)^INT(A305/12)+Assumptions!$B$12*(1+Assumptions!$B$11)*(1+Assumptions!$B$24)*(1+Assumptions!$B$11+Assumptions!$B$25)^(INT(A305/12))/12))*J305</f>
        <v>416.049571309055</v>
      </c>
    </row>
    <row r="306" customFormat="false" ht="15" hidden="false" customHeight="true" outlineLevel="0" collapsed="false">
      <c r="A306" s="1" t="n">
        <v>299</v>
      </c>
      <c r="B306" s="31" t="n">
        <f aca="false">Assumptions!$B$4+A306/12</f>
        <v>89.9166666666667</v>
      </c>
      <c r="C306" s="34" t="n">
        <f aca="false">Assumptions!$B$4+INT(A306/12)</f>
        <v>89</v>
      </c>
      <c r="D306" s="34" t="n">
        <f aca="false">INT(A306/12)+1</f>
        <v>25</v>
      </c>
      <c r="E306" s="32" t="n">
        <f aca="false">IFERROR(INDEX(Cohort_Survival!$G$5:$G$65,MATCH(C306,Cohort_Survival!$A$5:$A$65,0)),1)</f>
        <v>0.0820208565767702</v>
      </c>
      <c r="F306" s="30" t="n">
        <f aca="false">1-(1-MIN(1,E306))^(1/12)</f>
        <v>0.00710634700122093</v>
      </c>
      <c r="G306" s="39" t="n">
        <f aca="false">IF(C306&lt;Assumptions!$B$5,IF(D306=1,Assumptions!$B$16,IF(D306=2,Assumptions!$B$17,IF(D306&lt;=5,Assumptions!$B$18,Assumptions!$B$19)))*(1-Assumptions!$B$20),0)</f>
        <v>0</v>
      </c>
      <c r="H306" s="30" t="n">
        <f aca="false">1-(1-G306)^(1/12)</f>
        <v>0</v>
      </c>
      <c r="I306" s="30" t="n">
        <f aca="false">I305*(1-F305)*(1-H305)</f>
        <v>0.415265483220916</v>
      </c>
      <c r="J306" s="30" t="n">
        <f aca="false">INDEX(Discount_Monthly!$G$4:$G$664,MATCH(A306,Discount_Monthly!$A$4:$A$664,0))</f>
        <v>0.458963011336847</v>
      </c>
      <c r="K306" s="30" t="n">
        <f aca="false">IF(C306&lt;Assumptions!$B$5,I306*J306,0)</f>
        <v>0</v>
      </c>
      <c r="L306" s="30" t="n">
        <f aca="false">IF(C306&lt;Assumptions!$B$5,I306*(1-F306)*H306*A306*J306,0)</f>
        <v>0</v>
      </c>
      <c r="M306" s="30" t="n">
        <f aca="false">IF(A306=0,Assumptions!$B$14*12*I306*J306,IF(AND(A306&gt;=12,C306&lt;Assumptions!$B$5),Assumptions!$B$15*I306*J306,0))</f>
        <v>0</v>
      </c>
      <c r="N306" s="47" t="n">
        <f aca="false">IF(C306&gt;=Assumptions!$B$5,I306*Assumptions!$B$9/12*(1+Assumptions!$B$10)^INT(A306/12)*J306,0)</f>
        <v>408.739283598253</v>
      </c>
      <c r="O306" s="47" t="n">
        <f aca="false">I306*Assumptions!$B$12/12*(1+Assumptions!$B$11)^(INT(A306/12)+1)*J306</f>
        <v>2.35563986977621</v>
      </c>
      <c r="P306" s="47" t="n">
        <f aca="false">O306+Pricing_M!$B$13*M306+N306-Pricing_M!$B$13*K306</f>
        <v>411.094923468029</v>
      </c>
      <c r="Q306" s="47" t="n">
        <f aca="false">IF(C306&lt;Assumptions!$B$5,Pricing_M!$B$13*K306-Pricing_M!$B$13*M306-O306,-(N306+O306))</f>
        <v>-411.094923468029</v>
      </c>
      <c r="R306" s="32" t="n">
        <f aca="false">R305*(1-(1-(1-MIN(1,E305*(1-Assumptions!$B$21)))^(1/12)))*(1-H305)</f>
        <v>0.477352443846847</v>
      </c>
      <c r="S306" s="47" t="n">
        <f aca="false">R306*(IF(C306&lt;Assumptions!$B$5,Assumptions!$B$12*(1+Assumptions!$B$11)^(INT(A306/12)+1)/12+Pricing_M!$B$13*IF(A306=0,Assumptions!$B$14*12,IF(A306&gt;=12,Assumptions!$B$15,0))-Pricing_M!$B$13,Assumptions!$B$9/12*(1+Assumptions!$B$10)^INT(A306/12)+Assumptions!$B$12*(1+Assumptions!$B$11)^(INT(A306/12)+1)/12))*J306</f>
        <v>472.558337496355</v>
      </c>
      <c r="T306" s="32" t="n">
        <f aca="false">T305*(1-F305)*(1-(1-(1-MIN(1,G305*(1+Assumptions!$B$23)))^(1/12)))</f>
        <v>0.376180219424286</v>
      </c>
      <c r="U306" s="47" t="n">
        <f aca="false">T306*(IF(C306&lt;Assumptions!$B$5,Assumptions!$B$12*(1+Assumptions!$B$11)^(INT(A306/12)+1)/12+Pricing_M!$B$13*IF(A306=0,Assumptions!$B$14*12,IF(A306&gt;=12,Assumptions!$B$15,0))-Pricing_M!$B$13,Assumptions!$B$9/12*(1+Assumptions!$B$10)^INT(A306/12)+Assumptions!$B$12*(1+Assumptions!$B$11)^(INT(A306/12)+1)/12))*J306</f>
        <v>372.402197541046</v>
      </c>
      <c r="V306" s="32" t="n">
        <f aca="false">V305*(1-F305)*(1-(1-(1-MIN(1,G305*(1-Assumptions!$B$23)))^(1/12)))</f>
        <v>0.457991121364076</v>
      </c>
      <c r="W306" s="47" t="n">
        <f aca="false">V306*(IF(C306&lt;Assumptions!$B$5,Assumptions!$B$12*(1+Assumptions!$B$11)^(INT(A306/12)+1)/12+Pricing_M!$B$13*IF(A306=0,Assumptions!$B$14*12,IF(A306&gt;=12,Assumptions!$B$15,0))-Pricing_M!$B$13,Assumptions!$B$9/12*(1+Assumptions!$B$10)^INT(A306/12)+Assumptions!$B$12*(1+Assumptions!$B$11)^(INT(A306/12)+1)/12))*J306</f>
        <v>453.391463036769</v>
      </c>
      <c r="X306" s="47" t="n">
        <f aca="false">I306*(IF(C306&lt;Assumptions!$B$5,Assumptions!$B$12*(1+Assumptions!$B$11)*(1+Assumptions!$B$24)*(1+Assumptions!$B$11+Assumptions!$B$25)^(INT(A306/12))/12+Pricing_M!$B$13*IF(A306=0,Assumptions!$B$14*12,IF(A306&gt;=12,Assumptions!$B$15,0))-Pricing_M!$B$13,Assumptions!$B$9/12*(1+Assumptions!$B$10)^INT(A306/12)+Assumptions!$B$12*(1+Assumptions!$B$11)*(1+Assumptions!$B$24)*(1+Assumptions!$B$11+Assumptions!$B$25)^(INT(A306/12))/12))*J306</f>
        <v>412.010409101634</v>
      </c>
    </row>
    <row r="307" customFormat="false" ht="15" hidden="false" customHeight="true" outlineLevel="0" collapsed="false">
      <c r="A307" s="1" t="n">
        <v>300</v>
      </c>
      <c r="B307" s="31" t="n">
        <f aca="false">Assumptions!$B$4+A307/12</f>
        <v>90</v>
      </c>
      <c r="C307" s="34" t="n">
        <f aca="false">Assumptions!$B$4+INT(A307/12)</f>
        <v>90</v>
      </c>
      <c r="D307" s="34" t="n">
        <f aca="false">INT(A307/12)+1</f>
        <v>26</v>
      </c>
      <c r="E307" s="32" t="n">
        <f aca="false">IFERROR(INDEX(Cohort_Survival!$G$5:$G$65,MATCH(C307,Cohort_Survival!$A$5:$A$65,0)),1)</f>
        <v>0.0957207078139081</v>
      </c>
      <c r="F307" s="30" t="n">
        <f aca="false">1-(1-MIN(1,E307))^(1/12)</f>
        <v>0.0083496972458279</v>
      </c>
      <c r="G307" s="39" t="n">
        <f aca="false">IF(C307&lt;Assumptions!$B$5,IF(D307=1,Assumptions!$B$16,IF(D307=2,Assumptions!$B$17,IF(D307&lt;=5,Assumptions!$B$18,Assumptions!$B$19)))*(1-Assumptions!$B$20),0)</f>
        <v>0</v>
      </c>
      <c r="H307" s="30" t="n">
        <f aca="false">1-(1-G307)^(1/12)</f>
        <v>0</v>
      </c>
      <c r="I307" s="30" t="n">
        <f aca="false">I306*(1-F306)*(1-H306)</f>
        <v>0.412314462599518</v>
      </c>
      <c r="J307" s="30" t="n">
        <f aca="false">INDEX(Discount_Monthly!$G$4:$G$664,MATCH(A307,Discount_Monthly!$A$4:$A$664,0))</f>
        <v>0.457760232732789</v>
      </c>
      <c r="K307" s="30" t="n">
        <f aca="false">IF(C307&lt;Assumptions!$B$5,I307*J307,0)</f>
        <v>0</v>
      </c>
      <c r="L307" s="30" t="n">
        <f aca="false">IF(C307&lt;Assumptions!$B$5,I307*(1-F307)*H307*A307*J307,0)</f>
        <v>0</v>
      </c>
      <c r="M307" s="30" t="n">
        <f aca="false">IF(A307=0,Assumptions!$B$14*12*I307*J307,IF(AND(A307&gt;=12,C307&lt;Assumptions!$B$5),Assumptions!$B$15*I307*J307,0))</f>
        <v>0</v>
      </c>
      <c r="N307" s="47" t="n">
        <f aca="false">IF(C307&gt;=Assumptions!$B$5,I307*Assumptions!$B$9/12*(1+Assumptions!$B$10)^INT(A307/12)*J307,0)</f>
        <v>412.86651419874</v>
      </c>
      <c r="O307" s="47" t="n">
        <f aca="false">I307*Assumptions!$B$12/12*(1+Assumptions!$B$11)^(INT(A307/12)+1)*J307</f>
        <v>2.39108971311667</v>
      </c>
      <c r="P307" s="47" t="n">
        <f aca="false">O307+Pricing_M!$B$13*M307+N307-Pricing_M!$B$13*K307</f>
        <v>415.257603911856</v>
      </c>
      <c r="Q307" s="47" t="n">
        <f aca="false">IF(C307&lt;Assumptions!$B$5,Pricing_M!$B$13*K307-Pricing_M!$B$13*M307-O307,-(N307+O307))</f>
        <v>-415.257603911856</v>
      </c>
      <c r="R307" s="32" t="n">
        <f aca="false">R306*(1-(1-(1-MIN(1,E306*(1-Assumptions!$B$21)))^(1/12)))*(1-H306)</f>
        <v>0.474660296886261</v>
      </c>
      <c r="S307" s="47" t="n">
        <f aca="false">R307*(IF(C307&lt;Assumptions!$B$5,Assumptions!$B$12*(1+Assumptions!$B$11)^(INT(A307/12)+1)/12+Pricing_M!$B$13*IF(A307=0,Assumptions!$B$14*12,IF(A307&gt;=12,Assumptions!$B$15,0))-Pricing_M!$B$13,Assumptions!$B$9/12*(1+Assumptions!$B$10)^INT(A307/12)+Assumptions!$B$12*(1+Assumptions!$B$11)^(INT(A307/12)+1)/12))*J307</f>
        <v>478.048468914681</v>
      </c>
      <c r="T307" s="32" t="n">
        <f aca="false">T306*(1-F306)*(1-(1-(1-MIN(1,G306*(1+Assumptions!$B$23)))^(1/12)))</f>
        <v>0.373506952250062</v>
      </c>
      <c r="U307" s="47" t="n">
        <f aca="false">T307*(IF(C307&lt;Assumptions!$B$5,Assumptions!$B$12*(1+Assumptions!$B$11)^(INT(A307/12)+1)/12+Pricing_M!$B$13*IF(A307=0,Assumptions!$B$14*12,IF(A307&gt;=12,Assumptions!$B$15,0))-Pricing_M!$B$13,Assumptions!$B$9/12*(1+Assumptions!$B$10)^INT(A307/12)+Assumptions!$B$12*(1+Assumptions!$B$11)^(INT(A307/12)+1)/12))*J307</f>
        <v>376.173081724837</v>
      </c>
      <c r="V307" s="32" t="n">
        <f aca="false">V306*(1-F306)*(1-(1-(1-MIN(1,G306*(1-Assumptions!$B$23)))^(1/12)))</f>
        <v>0.454736477532185</v>
      </c>
      <c r="W307" s="47" t="n">
        <f aca="false">V307*(IF(C307&lt;Assumptions!$B$5,Assumptions!$B$12*(1+Assumptions!$B$11)^(INT(A307/12)+1)/12+Pricing_M!$B$13*IF(A307=0,Assumptions!$B$14*12,IF(A307&gt;=12,Assumptions!$B$15,0))-Pricing_M!$B$13,Assumptions!$B$9/12*(1+Assumptions!$B$10)^INT(A307/12)+Assumptions!$B$12*(1+Assumptions!$B$11)^(INT(A307/12)+1)/12))*J307</f>
        <v>457.982431372402</v>
      </c>
      <c r="X307" s="47" t="n">
        <f aca="false">I307*(IF(C307&lt;Assumptions!$B$5,Assumptions!$B$12*(1+Assumptions!$B$11)*(1+Assumptions!$B$24)*(1+Assumptions!$B$11+Assumptions!$B$25)^(INT(A307/12))/12+Pricing_M!$B$13*IF(A307=0,Assumptions!$B$14*12,IF(A307&gt;=12,Assumptions!$B$15,0))-Pricing_M!$B$13,Assumptions!$B$9/12*(1+Assumptions!$B$10)^INT(A307/12)+Assumptions!$B$12*(1+Assumptions!$B$11)*(1+Assumptions!$B$24)*(1+Assumptions!$B$11+Assumptions!$B$25)^(INT(A307/12))/12))*J307</f>
        <v>416.219260300538</v>
      </c>
    </row>
    <row r="308" customFormat="false" ht="15" hidden="false" customHeight="true" outlineLevel="0" collapsed="false">
      <c r="A308" s="1" t="n">
        <v>301</v>
      </c>
      <c r="B308" s="31" t="n">
        <f aca="false">Assumptions!$B$4+A308/12</f>
        <v>90.0833333333333</v>
      </c>
      <c r="C308" s="34" t="n">
        <f aca="false">Assumptions!$B$4+INT(A308/12)</f>
        <v>90</v>
      </c>
      <c r="D308" s="34" t="n">
        <f aca="false">INT(A308/12)+1</f>
        <v>26</v>
      </c>
      <c r="E308" s="32" t="n">
        <f aca="false">IFERROR(INDEX(Cohort_Survival!$G$5:$G$65,MATCH(C308,Cohort_Survival!$A$5:$A$65,0)),1)</f>
        <v>0.0957207078139081</v>
      </c>
      <c r="F308" s="30" t="n">
        <f aca="false">1-(1-MIN(1,E308))^(1/12)</f>
        <v>0.0083496972458279</v>
      </c>
      <c r="G308" s="39" t="n">
        <f aca="false">IF(C308&lt;Assumptions!$B$5,IF(D308=1,Assumptions!$B$16,IF(D308=2,Assumptions!$B$17,IF(D308&lt;=5,Assumptions!$B$18,Assumptions!$B$19)))*(1-Assumptions!$B$20),0)</f>
        <v>0</v>
      </c>
      <c r="H308" s="30" t="n">
        <f aca="false">1-(1-G308)^(1/12)</f>
        <v>0</v>
      </c>
      <c r="I308" s="30" t="n">
        <f aca="false">I307*(1-F307)*(1-H307)</f>
        <v>0.408871761666736</v>
      </c>
      <c r="J308" s="30" t="n">
        <f aca="false">INDEX(Discount_Monthly!$G$4:$G$664,MATCH(A308,Discount_Monthly!$A$4:$A$664,0))</f>
        <v>0.456550281274604</v>
      </c>
      <c r="K308" s="30" t="n">
        <f aca="false">IF(C308&lt;Assumptions!$B$5,I308*J308,0)</f>
        <v>0</v>
      </c>
      <c r="L308" s="30" t="n">
        <f aca="false">IF(C308&lt;Assumptions!$B$5,I308*(1-F308)*H308*A308*J308,0)</f>
        <v>0</v>
      </c>
      <c r="M308" s="30" t="n">
        <f aca="false">IF(A308=0,Assumptions!$B$14*12*I308*J308,IF(AND(A308&gt;=12,C308&lt;Assumptions!$B$5),Assumptions!$B$15*I308*J308,0))</f>
        <v>0</v>
      </c>
      <c r="N308" s="47" t="n">
        <f aca="false">IF(C308&gt;=Assumptions!$B$5,I308*Assumptions!$B$9/12*(1+Assumptions!$B$10)^INT(A308/12)*J308,0)</f>
        <v>408.337027310647</v>
      </c>
      <c r="O308" s="47" t="n">
        <f aca="false">I308*Assumptions!$B$12/12*(1+Assumptions!$B$11)^(INT(A308/12)+1)*J308</f>
        <v>2.36485748276776</v>
      </c>
      <c r="P308" s="47" t="n">
        <f aca="false">O308+Pricing_M!$B$13*M308+N308-Pricing_M!$B$13*K308</f>
        <v>410.701884793415</v>
      </c>
      <c r="Q308" s="47" t="n">
        <f aca="false">IF(C308&lt;Assumptions!$B$5,Pricing_M!$B$13*K308-Pricing_M!$B$13*M308-O308,-(N308+O308))</f>
        <v>-410.701884793415</v>
      </c>
      <c r="R308" s="32" t="n">
        <f aca="false">R307*(1-(1-(1-MIN(1,E307*(1-Assumptions!$B$21)))^(1/12)))*(1-H307)</f>
        <v>0.471519488611931</v>
      </c>
      <c r="S308" s="47" t="n">
        <f aca="false">R308*(IF(C308&lt;Assumptions!$B$5,Assumptions!$B$12*(1+Assumptions!$B$11)^(INT(A308/12)+1)/12+Pricing_M!$B$13*IF(A308=0,Assumptions!$B$14*12,IF(A308&gt;=12,Assumptions!$B$15,0))-Pricing_M!$B$13,Assumptions!$B$9/12*(1+Assumptions!$B$10)^INT(A308/12)+Assumptions!$B$12*(1+Assumptions!$B$11)^(INT(A308/12)+1)/12))*J308</f>
        <v>473.6300249749</v>
      </c>
      <c r="T308" s="32" t="n">
        <f aca="false">T307*(1-F307)*(1-(1-(1-MIN(1,G307*(1+Assumptions!$B$23)))^(1/12)))</f>
        <v>0.370388282279562</v>
      </c>
      <c r="U308" s="47" t="n">
        <f aca="false">T308*(IF(C308&lt;Assumptions!$B$5,Assumptions!$B$12*(1+Assumptions!$B$11)^(INT(A308/12)+1)/12+Pricing_M!$B$13*IF(A308=0,Assumptions!$B$14*12,IF(A308&gt;=12,Assumptions!$B$15,0))-Pricing_M!$B$13,Assumptions!$B$9/12*(1+Assumptions!$B$10)^INT(A308/12)+Assumptions!$B$12*(1+Assumptions!$B$11)^(INT(A308/12)+1)/12))*J308</f>
        <v>372.046152117497</v>
      </c>
      <c r="V308" s="32" t="n">
        <f aca="false">V307*(1-F307)*(1-(1-(1-MIN(1,G307*(1-Assumptions!$B$23)))^(1/12)))</f>
        <v>0.450939565618157</v>
      </c>
      <c r="W308" s="47" t="n">
        <f aca="false">V308*(IF(C308&lt;Assumptions!$B$5,Assumptions!$B$12*(1+Assumptions!$B$11)^(INT(A308/12)+1)/12+Pricing_M!$B$13*IF(A308=0,Assumptions!$B$14*12,IF(A308&gt;=12,Assumptions!$B$15,0))-Pricing_M!$B$13,Assumptions!$B$9/12*(1+Assumptions!$B$10)^INT(A308/12)+Assumptions!$B$12*(1+Assumptions!$B$11)^(INT(A308/12)+1)/12))*J308</f>
        <v>452.957985585357</v>
      </c>
      <c r="X308" s="47" t="n">
        <f aca="false">I308*(IF(C308&lt;Assumptions!$B$5,Assumptions!$B$12*(1+Assumptions!$B$11)*(1+Assumptions!$B$24)*(1+Assumptions!$B$11+Assumptions!$B$25)^(INT(A308/12))/12+Pricing_M!$B$13*IF(A308=0,Assumptions!$B$14*12,IF(A308&gt;=12,Assumptions!$B$15,0))-Pricing_M!$B$13,Assumptions!$B$9/12*(1+Assumptions!$B$10)^INT(A308/12)+Assumptions!$B$12*(1+Assumptions!$B$11)*(1+Assumptions!$B$24)*(1+Assumptions!$B$11+Assumptions!$B$25)^(INT(A308/12))/12))*J308</f>
        <v>411.65299101672</v>
      </c>
    </row>
    <row r="309" customFormat="false" ht="15" hidden="false" customHeight="true" outlineLevel="0" collapsed="false">
      <c r="A309" s="1" t="n">
        <v>302</v>
      </c>
      <c r="B309" s="31" t="n">
        <f aca="false">Assumptions!$B$4+A309/12</f>
        <v>90.1666666666667</v>
      </c>
      <c r="C309" s="34" t="n">
        <f aca="false">Assumptions!$B$4+INT(A309/12)</f>
        <v>90</v>
      </c>
      <c r="D309" s="34" t="n">
        <f aca="false">INT(A309/12)+1</f>
        <v>26</v>
      </c>
      <c r="E309" s="32" t="n">
        <f aca="false">IFERROR(INDEX(Cohort_Survival!$G$5:$G$65,MATCH(C309,Cohort_Survival!$A$5:$A$65,0)),1)</f>
        <v>0.0957207078139081</v>
      </c>
      <c r="F309" s="30" t="n">
        <f aca="false">1-(1-MIN(1,E309))^(1/12)</f>
        <v>0.0083496972458279</v>
      </c>
      <c r="G309" s="39" t="n">
        <f aca="false">IF(C309&lt;Assumptions!$B$5,IF(D309=1,Assumptions!$B$16,IF(D309=2,Assumptions!$B$17,IF(D309&lt;=5,Assumptions!$B$18,Assumptions!$B$19)))*(1-Assumptions!$B$20),0)</f>
        <v>0</v>
      </c>
      <c r="H309" s="30" t="n">
        <f aca="false">1-(1-G309)^(1/12)</f>
        <v>0</v>
      </c>
      <c r="I309" s="30" t="n">
        <f aca="false">I308*(1-F308)*(1-H308)</f>
        <v>0.40545780624445</v>
      </c>
      <c r="J309" s="30" t="n">
        <f aca="false">INDEX(Discount_Monthly!$G$4:$G$664,MATCH(A309,Discount_Monthly!$A$4:$A$664,0))</f>
        <v>0.455343527959086</v>
      </c>
      <c r="K309" s="30" t="n">
        <f aca="false">IF(C309&lt;Assumptions!$B$5,I309*J309,0)</f>
        <v>0</v>
      </c>
      <c r="L309" s="30" t="n">
        <f aca="false">IF(C309&lt;Assumptions!$B$5,I309*(1-F309)*H309*A309*J309,0)</f>
        <v>0</v>
      </c>
      <c r="M309" s="30" t="n">
        <f aca="false">IF(A309=0,Assumptions!$B$14*12*I309*J309,IF(AND(A309&gt;=12,C309&lt;Assumptions!$B$5),Assumptions!$B$15*I309*J309,0))</f>
        <v>0</v>
      </c>
      <c r="N309" s="47" t="n">
        <f aca="false">IF(C309&gt;=Assumptions!$B$5,I309*Assumptions!$B$9/12*(1+Assumptions!$B$10)^INT(A309/12)*J309,0)</f>
        <v>403.857232637263</v>
      </c>
      <c r="O309" s="47" t="n">
        <f aca="false">I309*Assumptions!$B$12/12*(1+Assumptions!$B$11)^(INT(A309/12)+1)*J309</f>
        <v>2.33891304166627</v>
      </c>
      <c r="P309" s="47" t="n">
        <f aca="false">O309+Pricing_M!$B$13*M309+N309-Pricing_M!$B$13*K309</f>
        <v>406.19614567893</v>
      </c>
      <c r="Q309" s="47" t="n">
        <f aca="false">IF(C309&lt;Assumptions!$B$5,Pricing_M!$B$13*K309-Pricing_M!$B$13*M309-O309,-(N309+O309))</f>
        <v>-406.19614567893</v>
      </c>
      <c r="R309" s="32" t="n">
        <f aca="false">R308*(1-(1-(1-MIN(1,E308*(1-Assumptions!$B$21)))^(1/12)))*(1-H308)</f>
        <v>0.468399462940825</v>
      </c>
      <c r="S309" s="47" t="n">
        <f aca="false">R309*(IF(C309&lt;Assumptions!$B$5,Assumptions!$B$12*(1+Assumptions!$B$11)^(INT(A309/12)+1)/12+Pricing_M!$B$13*IF(A309=0,Assumptions!$B$14*12,IF(A309&gt;=12,Assumptions!$B$15,0))-Pricing_M!$B$13,Assumptions!$B$9/12*(1+Assumptions!$B$10)^INT(A309/12)+Assumptions!$B$12*(1+Assumptions!$B$11)^(INT(A309/12)+1)/12))*J309</f>
        <v>469.252419251572</v>
      </c>
      <c r="T309" s="32" t="n">
        <f aca="false">T308*(1-F308)*(1-(1-(1-MIN(1,G308*(1+Assumptions!$B$23)))^(1/12)))</f>
        <v>0.367295652259125</v>
      </c>
      <c r="U309" s="47" t="n">
        <f aca="false">T309*(IF(C309&lt;Assumptions!$B$5,Assumptions!$B$12*(1+Assumptions!$B$11)^(INT(A309/12)+1)/12+Pricing_M!$B$13*IF(A309=0,Assumptions!$B$14*12,IF(A309&gt;=12,Assumptions!$B$15,0))-Pricing_M!$B$13,Assumptions!$B$9/12*(1+Assumptions!$B$10)^INT(A309/12)+Assumptions!$B$12*(1+Assumptions!$B$11)^(INT(A309/12)+1)/12))*J309</f>
        <v>367.964498338789</v>
      </c>
      <c r="V309" s="32" t="n">
        <f aca="false">V308*(1-F308)*(1-(1-(1-MIN(1,G308*(1-Assumptions!$B$23)))^(1/12)))</f>
        <v>0.44717435676908</v>
      </c>
      <c r="W309" s="47" t="n">
        <f aca="false">V309*(IF(C309&lt;Assumptions!$B$5,Assumptions!$B$12*(1+Assumptions!$B$11)^(INT(A309/12)+1)/12+Pricing_M!$B$13*IF(A309=0,Assumptions!$B$14*12,IF(A309&gt;=12,Assumptions!$B$15,0))-Pricing_M!$B$13,Assumptions!$B$9/12*(1+Assumptions!$B$10)^INT(A309/12)+Assumptions!$B$12*(1+Assumptions!$B$11)^(INT(A309/12)+1)/12))*J309</f>
        <v>447.988662121217</v>
      </c>
      <c r="X309" s="47" t="n">
        <f aca="false">I309*(IF(C309&lt;Assumptions!$B$5,Assumptions!$B$12*(1+Assumptions!$B$11)*(1+Assumptions!$B$24)*(1+Assumptions!$B$11+Assumptions!$B$25)^(INT(A309/12))/12+Pricing_M!$B$13*IF(A309=0,Assumptions!$B$14*12,IF(A309&gt;=12,Assumptions!$B$15,0))-Pricing_M!$B$13,Assumptions!$B$9/12*(1+Assumptions!$B$10)^INT(A309/12)+Assumptions!$B$12*(1+Assumptions!$B$11)*(1+Assumptions!$B$24)*(1+Assumptions!$B$11+Assumptions!$B$25)^(INT(A309/12))/12))*J309</f>
        <v>407.136817480891</v>
      </c>
    </row>
    <row r="310" customFormat="false" ht="15" hidden="false" customHeight="true" outlineLevel="0" collapsed="false">
      <c r="A310" s="1" t="n">
        <v>303</v>
      </c>
      <c r="B310" s="31" t="n">
        <f aca="false">Assumptions!$B$4+A310/12</f>
        <v>90.25</v>
      </c>
      <c r="C310" s="34" t="n">
        <f aca="false">Assumptions!$B$4+INT(A310/12)</f>
        <v>90</v>
      </c>
      <c r="D310" s="34" t="n">
        <f aca="false">INT(A310/12)+1</f>
        <v>26</v>
      </c>
      <c r="E310" s="32" t="n">
        <f aca="false">IFERROR(INDEX(Cohort_Survival!$G$5:$G$65,MATCH(C310,Cohort_Survival!$A$5:$A$65,0)),1)</f>
        <v>0.0957207078139081</v>
      </c>
      <c r="F310" s="30" t="n">
        <f aca="false">1-(1-MIN(1,E310))^(1/12)</f>
        <v>0.0083496972458279</v>
      </c>
      <c r="G310" s="39" t="n">
        <f aca="false">IF(C310&lt;Assumptions!$B$5,IF(D310=1,Assumptions!$B$16,IF(D310=2,Assumptions!$B$17,IF(D310&lt;=5,Assumptions!$B$18,Assumptions!$B$19)))*(1-Assumptions!$B$20),0)</f>
        <v>0</v>
      </c>
      <c r="H310" s="30" t="n">
        <f aca="false">1-(1-G310)^(1/12)</f>
        <v>0</v>
      </c>
      <c r="I310" s="30" t="n">
        <f aca="false">I309*(1-F309)*(1-H309)</f>
        <v>0.402072356316352</v>
      </c>
      <c r="J310" s="30" t="n">
        <f aca="false">INDEX(Discount_Monthly!$G$4:$G$664,MATCH(A310,Discount_Monthly!$A$4:$A$664,0))</f>
        <v>0.454139964332906</v>
      </c>
      <c r="K310" s="30" t="n">
        <f aca="false">IF(C310&lt;Assumptions!$B$5,I310*J310,0)</f>
        <v>0</v>
      </c>
      <c r="L310" s="30" t="n">
        <f aca="false">IF(C310&lt;Assumptions!$B$5,I310*(1-F310)*H310*A310*J310,0)</f>
        <v>0</v>
      </c>
      <c r="M310" s="30" t="n">
        <f aca="false">IF(A310=0,Assumptions!$B$14*12*I310*J310,IF(AND(A310&gt;=12,C310&lt;Assumptions!$B$5),Assumptions!$B$15*I310*J310,0))</f>
        <v>0</v>
      </c>
      <c r="N310" s="47" t="n">
        <f aca="false">IF(C310&gt;=Assumptions!$B$5,I310*Assumptions!$B$9/12*(1+Assumptions!$B$10)^INT(A310/12)*J310,0)</f>
        <v>399.426585013922</v>
      </c>
      <c r="O310" s="47" t="n">
        <f aca="false">I310*Assumptions!$B$12/12*(1+Assumptions!$B$11)^(INT(A310/12)+1)*J310</f>
        <v>2.31325323252633</v>
      </c>
      <c r="P310" s="47" t="n">
        <f aca="false">O310+Pricing_M!$B$13*M310+N310-Pricing_M!$B$13*K310</f>
        <v>401.739838246449</v>
      </c>
      <c r="Q310" s="47" t="n">
        <f aca="false">IF(C310&lt;Assumptions!$B$5,Pricing_M!$B$13*K310-Pricing_M!$B$13*M310-O310,-(N310+O310))</f>
        <v>-401.739838246449</v>
      </c>
      <c r="R310" s="32" t="n">
        <f aca="false">R309*(1-(1-(1-MIN(1,E309*(1-Assumptions!$B$21)))^(1/12)))*(1-H309)</f>
        <v>0.465300082355284</v>
      </c>
      <c r="S310" s="47" t="n">
        <f aca="false">R310*(IF(C310&lt;Assumptions!$B$5,Assumptions!$B$12*(1+Assumptions!$B$11)^(INT(A310/12)+1)/12+Pricing_M!$B$13*IF(A310=0,Assumptions!$B$14*12,IF(A310&gt;=12,Assumptions!$B$15,0))-Pricing_M!$B$13,Assumptions!$B$9/12*(1+Assumptions!$B$10)^INT(A310/12)+Assumptions!$B$12*(1+Assumptions!$B$11)^(INT(A310/12)+1)/12))*J310</f>
        <v>464.915274290567</v>
      </c>
      <c r="T310" s="32" t="n">
        <f aca="false">T309*(1-F309)*(1-(1-(1-MIN(1,G309*(1+Assumptions!$B$23)))^(1/12)))</f>
        <v>0.364228844763053</v>
      </c>
      <c r="U310" s="47" t="n">
        <f aca="false">T310*(IF(C310&lt;Assumptions!$B$5,Assumptions!$B$12*(1+Assumptions!$B$11)^(INT(A310/12)+1)/12+Pricing_M!$B$13*IF(A310=0,Assumptions!$B$14*12,IF(A310&gt;=12,Assumptions!$B$15,0))-Pricing_M!$B$13,Assumptions!$B$9/12*(1+Assumptions!$B$10)^INT(A310/12)+Assumptions!$B$12*(1+Assumptions!$B$11)^(INT(A310/12)+1)/12))*J310</f>
        <v>363.927623675452</v>
      </c>
      <c r="V310" s="32" t="n">
        <f aca="false">V309*(1-F309)*(1-(1-(1-MIN(1,G309*(1-Assumptions!$B$23)))^(1/12)))</f>
        <v>0.443440586273961</v>
      </c>
      <c r="W310" s="47" t="n">
        <f aca="false">V310*(IF(C310&lt;Assumptions!$B$5,Assumptions!$B$12*(1+Assumptions!$B$11)^(INT(A310/12)+1)/12+Pricing_M!$B$13*IF(A310=0,Assumptions!$B$14*12,IF(A310&gt;=12,Assumptions!$B$15,0))-Pricing_M!$B$13,Assumptions!$B$9/12*(1+Assumptions!$B$10)^INT(A310/12)+Assumptions!$B$12*(1+Assumptions!$B$11)^(INT(A310/12)+1)/12))*J310</f>
        <v>443.073856242542</v>
      </c>
      <c r="X310" s="47" t="n">
        <f aca="false">I310*(IF(C310&lt;Assumptions!$B$5,Assumptions!$B$12*(1+Assumptions!$B$11)*(1+Assumptions!$B$24)*(1+Assumptions!$B$11+Assumptions!$B$25)^(INT(A310/12))/12+Pricing_M!$B$13*IF(A310=0,Assumptions!$B$14*12,IF(A310&gt;=12,Assumptions!$B$15,0))-Pricing_M!$B$13,Assumptions!$B$9/12*(1+Assumptions!$B$10)^INT(A310/12)+Assumptions!$B$12*(1+Assumptions!$B$11)*(1+Assumptions!$B$24)*(1+Assumptions!$B$11+Assumptions!$B$25)^(INT(A310/12))/12))*J310</f>
        <v>402.670190101293</v>
      </c>
    </row>
    <row r="311" customFormat="false" ht="15" hidden="false" customHeight="true" outlineLevel="0" collapsed="false">
      <c r="A311" s="1" t="n">
        <v>304</v>
      </c>
      <c r="B311" s="31" t="n">
        <f aca="false">Assumptions!$B$4+A311/12</f>
        <v>90.3333333333333</v>
      </c>
      <c r="C311" s="34" t="n">
        <f aca="false">Assumptions!$B$4+INT(A311/12)</f>
        <v>90</v>
      </c>
      <c r="D311" s="34" t="n">
        <f aca="false">INT(A311/12)+1</f>
        <v>26</v>
      </c>
      <c r="E311" s="32" t="n">
        <f aca="false">IFERROR(INDEX(Cohort_Survival!$G$5:$G$65,MATCH(C311,Cohort_Survival!$A$5:$A$65,0)),1)</f>
        <v>0.0957207078139081</v>
      </c>
      <c r="F311" s="30" t="n">
        <f aca="false">1-(1-MIN(1,E311))^(1/12)</f>
        <v>0.0083496972458279</v>
      </c>
      <c r="G311" s="39" t="n">
        <f aca="false">IF(C311&lt;Assumptions!$B$5,IF(D311=1,Assumptions!$B$16,IF(D311=2,Assumptions!$B$17,IF(D311&lt;=5,Assumptions!$B$18,Assumptions!$B$19)))*(1-Assumptions!$B$20),0)</f>
        <v>0</v>
      </c>
      <c r="H311" s="30" t="n">
        <f aca="false">1-(1-G311)^(1/12)</f>
        <v>0</v>
      </c>
      <c r="I311" s="30" t="n">
        <f aca="false">I310*(1-F310)*(1-H310)</f>
        <v>0.398715173870194</v>
      </c>
      <c r="J311" s="30" t="n">
        <f aca="false">INDEX(Discount_Monthly!$G$4:$G$664,MATCH(A311,Discount_Monthly!$A$4:$A$664,0))</f>
        <v>0.452939581965079</v>
      </c>
      <c r="K311" s="30" t="n">
        <f aca="false">IF(C311&lt;Assumptions!$B$5,I311*J311,0)</f>
        <v>0</v>
      </c>
      <c r="L311" s="30" t="n">
        <f aca="false">IF(C311&lt;Assumptions!$B$5,I311*(1-F311)*H311*A311*J311,0)</f>
        <v>0</v>
      </c>
      <c r="M311" s="30" t="n">
        <f aca="false">IF(A311=0,Assumptions!$B$14*12*I311*J311,IF(AND(A311&gt;=12,C311&lt;Assumptions!$B$5),Assumptions!$B$15*I311*J311,0))</f>
        <v>0</v>
      </c>
      <c r="N311" s="47" t="n">
        <f aca="false">IF(C311&gt;=Assumptions!$B$5,I311*Assumptions!$B$9/12*(1+Assumptions!$B$10)^INT(A311/12)*J311,0)</f>
        <v>395.044545256866</v>
      </c>
      <c r="O311" s="47" t="n">
        <f aca="false">I311*Assumptions!$B$12/12*(1+Assumptions!$B$11)^(INT(A311/12)+1)*J311</f>
        <v>2.28787493270005</v>
      </c>
      <c r="P311" s="47" t="n">
        <f aca="false">O311+Pricing_M!$B$13*M311+N311-Pricing_M!$B$13*K311</f>
        <v>397.332420189566</v>
      </c>
      <c r="Q311" s="47" t="n">
        <f aca="false">IF(C311&lt;Assumptions!$B$5,Pricing_M!$B$13*K311-Pricing_M!$B$13*M311-O311,-(N311+O311))</f>
        <v>-397.332420189566</v>
      </c>
      <c r="R311" s="32" t="n">
        <f aca="false">R310*(1-(1-(1-MIN(1,E310*(1-Assumptions!$B$21)))^(1/12)))*(1-H310)</f>
        <v>0.462221210247601</v>
      </c>
      <c r="S311" s="47" t="n">
        <f aca="false">R311*(IF(C311&lt;Assumptions!$B$5,Assumptions!$B$12*(1+Assumptions!$B$11)^(INT(A311/12)+1)/12+Pricing_M!$B$13*IF(A311=0,Assumptions!$B$14*12,IF(A311&gt;=12,Assumptions!$B$15,0))-Pricing_M!$B$13,Assumptions!$B$9/12*(1+Assumptions!$B$10)^INT(A311/12)+Assumptions!$B$12*(1+Assumptions!$B$11)^(INT(A311/12)+1)/12))*J311</f>
        <v>460.618216126435</v>
      </c>
      <c r="T311" s="32" t="n">
        <f aca="false">T310*(1-F310)*(1-(1-(1-MIN(1,G310*(1+Assumptions!$B$23)))^(1/12)))</f>
        <v>0.361187644181083</v>
      </c>
      <c r="U311" s="47" t="n">
        <f aca="false">T311*(IF(C311&lt;Assumptions!$B$5,Assumptions!$B$12*(1+Assumptions!$B$11)^(INT(A311/12)+1)/12+Pricing_M!$B$13*IF(A311=0,Assumptions!$B$14*12,IF(A311&gt;=12,Assumptions!$B$15,0))-Pricing_M!$B$13,Assumptions!$B$9/12*(1+Assumptions!$B$10)^INT(A311/12)+Assumptions!$B$12*(1+Assumptions!$B$11)^(INT(A311/12)+1)/12))*J311</f>
        <v>359.935036863582</v>
      </c>
      <c r="V311" s="32" t="n">
        <f aca="false">V310*(1-F310)*(1-(1-(1-MIN(1,G310*(1-Assumptions!$B$23)))^(1/12)))</f>
        <v>0.439737991632061</v>
      </c>
      <c r="W311" s="47" t="n">
        <f aca="false">V311*(IF(C311&lt;Assumptions!$B$5,Assumptions!$B$12*(1+Assumptions!$B$11)^(INT(A311/12)+1)/12+Pricing_M!$B$13*IF(A311=0,Assumptions!$B$14*12,IF(A311&gt;=12,Assumptions!$B$15,0))-Pricing_M!$B$13,Assumptions!$B$9/12*(1+Assumptions!$B$10)^INT(A311/12)+Assumptions!$B$12*(1+Assumptions!$B$11)^(INT(A311/12)+1)/12))*J311</f>
        <v>438.212969846362</v>
      </c>
      <c r="X311" s="47" t="n">
        <f aca="false">I311*(IF(C311&lt;Assumptions!$B$5,Assumptions!$B$12*(1+Assumptions!$B$11)*(1+Assumptions!$B$24)*(1+Assumptions!$B$11+Assumptions!$B$25)^(INT(A311/12))/12+Pricing_M!$B$13*IF(A311=0,Assumptions!$B$14*12,IF(A311&gt;=12,Assumptions!$B$15,0))-Pricing_M!$B$13,Assumptions!$B$9/12*(1+Assumptions!$B$10)^INT(A311/12)+Assumptions!$B$12*(1+Assumptions!$B$11)*(1+Assumptions!$B$24)*(1+Assumptions!$B$11+Assumptions!$B$25)^(INT(A311/12))/12))*J311</f>
        <v>398.252565315642</v>
      </c>
    </row>
    <row r="312" customFormat="false" ht="15" hidden="false" customHeight="true" outlineLevel="0" collapsed="false">
      <c r="A312" s="1" t="n">
        <v>305</v>
      </c>
      <c r="B312" s="31" t="n">
        <f aca="false">Assumptions!$B$4+A312/12</f>
        <v>90.4166666666667</v>
      </c>
      <c r="C312" s="34" t="n">
        <f aca="false">Assumptions!$B$4+INT(A312/12)</f>
        <v>90</v>
      </c>
      <c r="D312" s="34" t="n">
        <f aca="false">INT(A312/12)+1</f>
        <v>26</v>
      </c>
      <c r="E312" s="32" t="n">
        <f aca="false">IFERROR(INDEX(Cohort_Survival!$G$5:$G$65,MATCH(C312,Cohort_Survival!$A$5:$A$65,0)),1)</f>
        <v>0.0957207078139081</v>
      </c>
      <c r="F312" s="30" t="n">
        <f aca="false">1-(1-MIN(1,E312))^(1/12)</f>
        <v>0.0083496972458279</v>
      </c>
      <c r="G312" s="39" t="n">
        <f aca="false">IF(C312&lt;Assumptions!$B$5,IF(D312=1,Assumptions!$B$16,IF(D312=2,Assumptions!$B$17,IF(D312&lt;=5,Assumptions!$B$18,Assumptions!$B$19)))*(1-Assumptions!$B$20),0)</f>
        <v>0</v>
      </c>
      <c r="H312" s="30" t="n">
        <f aca="false">1-(1-G312)^(1/12)</f>
        <v>0</v>
      </c>
      <c r="I312" s="30" t="n">
        <f aca="false">I311*(1-F311)*(1-H311)</f>
        <v>0.39538602288106</v>
      </c>
      <c r="J312" s="30" t="n">
        <f aca="false">INDEX(Discount_Monthly!$G$4:$G$664,MATCH(A312,Discount_Monthly!$A$4:$A$664,0))</f>
        <v>0.451742372446907</v>
      </c>
      <c r="K312" s="30" t="n">
        <f aca="false">IF(C312&lt;Assumptions!$B$5,I312*J312,0)</f>
        <v>0</v>
      </c>
      <c r="L312" s="30" t="n">
        <f aca="false">IF(C312&lt;Assumptions!$B$5,I312*(1-F312)*H312*A312*J312,0)</f>
        <v>0</v>
      </c>
      <c r="M312" s="30" t="n">
        <f aca="false">IF(A312=0,Assumptions!$B$14*12*I312*J312,IF(AND(A312&gt;=12,C312&lt;Assumptions!$B$5),Assumptions!$B$15*I312*J312,0))</f>
        <v>0</v>
      </c>
      <c r="N312" s="47" t="n">
        <f aca="false">IF(C312&gt;=Assumptions!$B$5,I312*Assumptions!$B$9/12*(1+Assumptions!$B$10)^INT(A312/12)*J312,0)</f>
        <v>390.710580097628</v>
      </c>
      <c r="O312" s="47" t="n">
        <f aca="false">I312*Assumptions!$B$12/12*(1+Assumptions!$B$11)^(INT(A312/12)+1)*J312</f>
        <v>2.26277505379761</v>
      </c>
      <c r="P312" s="47" t="n">
        <f aca="false">O312+Pricing_M!$B$13*M312+N312-Pricing_M!$B$13*K312</f>
        <v>392.973355151426</v>
      </c>
      <c r="Q312" s="47" t="n">
        <f aca="false">IF(C312&lt;Assumptions!$B$5,Pricing_M!$B$13*K312-Pricing_M!$B$13*M312-O312,-(N312+O312))</f>
        <v>-392.973355151426</v>
      </c>
      <c r="R312" s="32" t="n">
        <f aca="false">R311*(1-(1-(1-MIN(1,E311*(1-Assumptions!$B$21)))^(1/12)))*(1-H311)</f>
        <v>0.459162710913994</v>
      </c>
      <c r="S312" s="47" t="n">
        <f aca="false">R312*(IF(C312&lt;Assumptions!$B$5,Assumptions!$B$12*(1+Assumptions!$B$11)^(INT(A312/12)+1)/12+Pricing_M!$B$13*IF(A312=0,Assumptions!$B$14*12,IF(A312&gt;=12,Assumptions!$B$15,0))-Pricing_M!$B$13,Assumptions!$B$9/12*(1+Assumptions!$B$10)^INT(A312/12)+Assumptions!$B$12*(1+Assumptions!$B$11)^(INT(A312/12)+1)/12))*J312</f>
        <v>456.360874250166</v>
      </c>
      <c r="T312" s="32" t="n">
        <f aca="false">T311*(1-F311)*(1-(1-(1-MIN(1,G311*(1+Assumptions!$B$23)))^(1/12)))</f>
        <v>0.358171836703238</v>
      </c>
      <c r="U312" s="47" t="n">
        <f aca="false">T312*(IF(C312&lt;Assumptions!$B$5,Assumptions!$B$12*(1+Assumptions!$B$11)^(INT(A312/12)+1)/12+Pricing_M!$B$13*IF(A312=0,Assumptions!$B$14*12,IF(A312&gt;=12,Assumptions!$B$15,0))-Pricing_M!$B$13,Assumptions!$B$9/12*(1+Assumptions!$B$10)^INT(A312/12)+Assumptions!$B$12*(1+Assumptions!$B$11)^(INT(A312/12)+1)/12))*J312</f>
        <v>355.986252028846</v>
      </c>
      <c r="V312" s="32" t="n">
        <f aca="false">V311*(1-F311)*(1-(1-(1-MIN(1,G311*(1-Assumptions!$B$23)))^(1/12)))</f>
        <v>0.436066312534445</v>
      </c>
      <c r="W312" s="47" t="n">
        <f aca="false">V312*(IF(C312&lt;Assumptions!$B$5,Assumptions!$B$12*(1+Assumptions!$B$11)^(INT(A312/12)+1)/12+Pricing_M!$B$13*IF(A312=0,Assumptions!$B$14*12,IF(A312&gt;=12,Assumptions!$B$15,0))-Pricing_M!$B$13,Assumptions!$B$9/12*(1+Assumptions!$B$10)^INT(A312/12)+Assumptions!$B$12*(1+Assumptions!$B$11)^(INT(A312/12)+1)/12))*J312</f>
        <v>433.405411391389</v>
      </c>
      <c r="X312" s="47" t="n">
        <f aca="false">I312*(IF(C312&lt;Assumptions!$B$5,Assumptions!$B$12*(1+Assumptions!$B$11)*(1+Assumptions!$B$24)*(1+Assumptions!$B$11+Assumptions!$B$25)^(INT(A312/12))/12+Pricing_M!$B$13*IF(A312=0,Assumptions!$B$14*12,IF(A312&gt;=12,Assumptions!$B$15,0))-Pricing_M!$B$13,Assumptions!$B$9/12*(1+Assumptions!$B$10)^INT(A312/12)+Assumptions!$B$12*(1+Assumptions!$B$11)*(1+Assumptions!$B$24)*(1+Assumptions!$B$11+Assumptions!$B$25)^(INT(A312/12))/12))*J312</f>
        <v>393.883405524984</v>
      </c>
    </row>
    <row r="313" customFormat="false" ht="15" hidden="false" customHeight="true" outlineLevel="0" collapsed="false">
      <c r="A313" s="1" t="n">
        <v>306</v>
      </c>
      <c r="B313" s="31" t="n">
        <f aca="false">Assumptions!$B$4+A313/12</f>
        <v>90.5</v>
      </c>
      <c r="C313" s="34" t="n">
        <f aca="false">Assumptions!$B$4+INT(A313/12)</f>
        <v>90</v>
      </c>
      <c r="D313" s="34" t="n">
        <f aca="false">INT(A313/12)+1</f>
        <v>26</v>
      </c>
      <c r="E313" s="32" t="n">
        <f aca="false">IFERROR(INDEX(Cohort_Survival!$G$5:$G$65,MATCH(C313,Cohort_Survival!$A$5:$A$65,0)),1)</f>
        <v>0.0957207078139081</v>
      </c>
      <c r="F313" s="30" t="n">
        <f aca="false">1-(1-MIN(1,E313))^(1/12)</f>
        <v>0.0083496972458279</v>
      </c>
      <c r="G313" s="39" t="n">
        <f aca="false">IF(C313&lt;Assumptions!$B$5,IF(D313=1,Assumptions!$B$16,IF(D313=2,Assumptions!$B$17,IF(D313&lt;=5,Assumptions!$B$18,Assumptions!$B$19)))*(1-Assumptions!$B$20),0)</f>
        <v>0</v>
      </c>
      <c r="H313" s="30" t="n">
        <f aca="false">1-(1-G313)^(1/12)</f>
        <v>0</v>
      </c>
      <c r="I313" s="30" t="n">
        <f aca="false">I312*(1-F312)*(1-H312)</f>
        <v>0.392084669294771</v>
      </c>
      <c r="J313" s="30" t="n">
        <f aca="false">INDEX(Discount_Monthly!$G$4:$G$664,MATCH(A313,Discount_Monthly!$A$4:$A$664,0))</f>
        <v>0.450548327391917</v>
      </c>
      <c r="K313" s="30" t="n">
        <f aca="false">IF(C313&lt;Assumptions!$B$5,I313*J313,0)</f>
        <v>0</v>
      </c>
      <c r="L313" s="30" t="n">
        <f aca="false">IF(C313&lt;Assumptions!$B$5,I313*(1-F313)*H313*A313*J313,0)</f>
        <v>0</v>
      </c>
      <c r="M313" s="30" t="n">
        <f aca="false">IF(A313=0,Assumptions!$B$14*12*I313*J313,IF(AND(A313&gt;=12,C313&lt;Assumptions!$B$5),Assumptions!$B$15*I313*J313,0))</f>
        <v>0</v>
      </c>
      <c r="N313" s="47" t="n">
        <f aca="false">IF(C313&gt;=Assumptions!$B$5,I313*Assumptions!$B$9/12*(1+Assumptions!$B$10)^INT(A313/12)*J313,0)</f>
        <v>386.424162118138</v>
      </c>
      <c r="O313" s="47" t="n">
        <f aca="false">I313*Assumptions!$B$12/12*(1+Assumptions!$B$11)^(INT(A313/12)+1)*J313</f>
        <v>2.23795054131137</v>
      </c>
      <c r="P313" s="47" t="n">
        <f aca="false">O313+Pricing_M!$B$13*M313+N313-Pricing_M!$B$13*K313</f>
        <v>388.662112659449</v>
      </c>
      <c r="Q313" s="47" t="n">
        <f aca="false">IF(C313&lt;Assumptions!$B$5,Pricing_M!$B$13*K313-Pricing_M!$B$13*M313-O313,-(N313+O313))</f>
        <v>-388.662112659449</v>
      </c>
      <c r="R313" s="32" t="n">
        <f aca="false">R312*(1-(1-(1-MIN(1,E312*(1-Assumptions!$B$21)))^(1/12)))*(1-H312)</f>
        <v>0.456124449548629</v>
      </c>
      <c r="S313" s="47" t="n">
        <f aca="false">R313*(IF(C313&lt;Assumptions!$B$5,Assumptions!$B$12*(1+Assumptions!$B$11)^(INT(A313/12)+1)/12+Pricing_M!$B$13*IF(A313=0,Assumptions!$B$14*12,IF(A313&gt;=12,Assumptions!$B$15,0))-Pricing_M!$B$13,Assumptions!$B$9/12*(1+Assumptions!$B$10)^INT(A313/12)+Assumptions!$B$12*(1+Assumptions!$B$11)^(INT(A313/12)+1)/12))*J313</f>
        <v>452.142881577243</v>
      </c>
      <c r="T313" s="32" t="n">
        <f aca="false">T312*(1-F312)*(1-(1-(1-MIN(1,G312*(1+Assumptions!$B$23)))^(1/12)))</f>
        <v>0.355181210304783</v>
      </c>
      <c r="U313" s="47" t="n">
        <f aca="false">T313*(IF(C313&lt;Assumptions!$B$5,Assumptions!$B$12*(1+Assumptions!$B$11)^(INT(A313/12)+1)/12+Pricing_M!$B$13*IF(A313=0,Assumptions!$B$14*12,IF(A313&gt;=12,Assumptions!$B$15,0))-Pricing_M!$B$13,Assumptions!$B$9/12*(1+Assumptions!$B$10)^INT(A313/12)+Assumptions!$B$12*(1+Assumptions!$B$11)^(INT(A313/12)+1)/12))*J313</f>
        <v>352.080788627351</v>
      </c>
      <c r="V313" s="32" t="n">
        <f aca="false">V312*(1-F312)*(1-(1-(1-MIN(1,G312*(1-Assumptions!$B$23)))^(1/12)))</f>
        <v>0.432425290845677</v>
      </c>
      <c r="W313" s="47" t="n">
        <f aca="false">V313*(IF(C313&lt;Assumptions!$B$5,Assumptions!$B$12*(1+Assumptions!$B$11)^(INT(A313/12)+1)/12+Pricing_M!$B$13*IF(A313=0,Assumptions!$B$14*12,IF(A313&gt;=12,Assumptions!$B$15,0))-Pricing_M!$B$13,Assumptions!$B$9/12*(1+Assumptions!$B$10)^INT(A313/12)+Assumptions!$B$12*(1+Assumptions!$B$11)^(INT(A313/12)+1)/12))*J313</f>
        <v>428.650595826035</v>
      </c>
      <c r="X313" s="47" t="n">
        <f aca="false">I313*(IF(C313&lt;Assumptions!$B$5,Assumptions!$B$12*(1+Assumptions!$B$11)*(1+Assumptions!$B$24)*(1+Assumptions!$B$11+Assumptions!$B$25)^(INT(A313/12))/12+Pricing_M!$B$13*IF(A313=0,Assumptions!$B$14*12,IF(A313&gt;=12,Assumptions!$B$15,0))-Pricing_M!$B$13,Assumptions!$B$9/12*(1+Assumptions!$B$10)^INT(A313/12)+Assumptions!$B$12*(1+Assumptions!$B$11)*(1+Assumptions!$B$24)*(1+Assumptions!$B$11+Assumptions!$B$25)^(INT(A313/12))/12))*J313</f>
        <v>389.562179028268</v>
      </c>
    </row>
    <row r="314" customFormat="false" ht="15" hidden="false" customHeight="true" outlineLevel="0" collapsed="false">
      <c r="A314" s="1" t="n">
        <v>307</v>
      </c>
      <c r="B314" s="31" t="n">
        <f aca="false">Assumptions!$B$4+A314/12</f>
        <v>90.5833333333333</v>
      </c>
      <c r="C314" s="34" t="n">
        <f aca="false">Assumptions!$B$4+INT(A314/12)</f>
        <v>90</v>
      </c>
      <c r="D314" s="34" t="n">
        <f aca="false">INT(A314/12)+1</f>
        <v>26</v>
      </c>
      <c r="E314" s="32" t="n">
        <f aca="false">IFERROR(INDEX(Cohort_Survival!$G$5:$G$65,MATCH(C314,Cohort_Survival!$A$5:$A$65,0)),1)</f>
        <v>0.0957207078139081</v>
      </c>
      <c r="F314" s="30" t="n">
        <f aca="false">1-(1-MIN(1,E314))^(1/12)</f>
        <v>0.0083496972458279</v>
      </c>
      <c r="G314" s="39" t="n">
        <f aca="false">IF(C314&lt;Assumptions!$B$5,IF(D314=1,Assumptions!$B$16,IF(D314=2,Assumptions!$B$17,IF(D314&lt;=5,Assumptions!$B$18,Assumptions!$B$19)))*(1-Assumptions!$B$20),0)</f>
        <v>0</v>
      </c>
      <c r="H314" s="30" t="n">
        <f aca="false">1-(1-G314)^(1/12)</f>
        <v>0</v>
      </c>
      <c r="I314" s="30" t="n">
        <f aca="false">I313*(1-F313)*(1-H313)</f>
        <v>0.388810881011429</v>
      </c>
      <c r="J314" s="30" t="n">
        <f aca="false">INDEX(Discount_Monthly!$G$4:$G$664,MATCH(A314,Discount_Monthly!$A$4:$A$664,0))</f>
        <v>0.449357438435801</v>
      </c>
      <c r="K314" s="30" t="n">
        <f aca="false">IF(C314&lt;Assumptions!$B$5,I314*J314,0)</f>
        <v>0</v>
      </c>
      <c r="L314" s="30" t="n">
        <f aca="false">IF(C314&lt;Assumptions!$B$5,I314*(1-F314)*H314*A314*J314,0)</f>
        <v>0</v>
      </c>
      <c r="M314" s="30" t="n">
        <f aca="false">IF(A314=0,Assumptions!$B$14*12*I314*J314,IF(AND(A314&gt;=12,C314&lt;Assumptions!$B$5),Assumptions!$B$15*I314*J314,0))</f>
        <v>0</v>
      </c>
      <c r="N314" s="47" t="n">
        <f aca="false">IF(C314&gt;=Assumptions!$B$5,I314*Assumptions!$B$9/12*(1+Assumptions!$B$10)^INT(A314/12)*J314,0)</f>
        <v>382.184769686535</v>
      </c>
      <c r="O314" s="47" t="n">
        <f aca="false">I314*Assumptions!$B$12/12*(1+Assumptions!$B$11)^(INT(A314/12)+1)*J314</f>
        <v>2.21339837424415</v>
      </c>
      <c r="P314" s="47" t="n">
        <f aca="false">O314+Pricing_M!$B$13*M314+N314-Pricing_M!$B$13*K314</f>
        <v>384.398168060779</v>
      </c>
      <c r="Q314" s="47" t="n">
        <f aca="false">IF(C314&lt;Assumptions!$B$5,Pricing_M!$B$13*K314-Pricing_M!$B$13*M314-O314,-(N314+O314))</f>
        <v>-384.398168060779</v>
      </c>
      <c r="R314" s="32" t="n">
        <f aca="false">R313*(1-(1-(1-MIN(1,E313*(1-Assumptions!$B$21)))^(1/12)))*(1-H313)</f>
        <v>0.453106292237676</v>
      </c>
      <c r="S314" s="47" t="n">
        <f aca="false">R314*(IF(C314&lt;Assumptions!$B$5,Assumptions!$B$12*(1+Assumptions!$B$11)^(INT(A314/12)+1)/12+Pricing_M!$B$13*IF(A314=0,Assumptions!$B$14*12,IF(A314&gt;=12,Assumptions!$B$15,0))-Pricing_M!$B$13,Assumptions!$B$9/12*(1+Assumptions!$B$10)^INT(A314/12)+Assumptions!$B$12*(1+Assumptions!$B$11)^(INT(A314/12)+1)/12))*J314</f>
        <v>447.963874415991</v>
      </c>
      <c r="T314" s="32" t="n">
        <f aca="false">T313*(1-F313)*(1-(1-(1-MIN(1,G313*(1+Assumptions!$B$23)))^(1/12)))</f>
        <v>0.352215554731332</v>
      </c>
      <c r="U314" s="47" t="n">
        <f aca="false">T314*(IF(C314&lt;Assumptions!$B$5,Assumptions!$B$12*(1+Assumptions!$B$11)^(INT(A314/12)+1)/12+Pricing_M!$B$13*IF(A314=0,Assumptions!$B$14*12,IF(A314&gt;=12,Assumptions!$B$15,0))-Pricing_M!$B$13,Assumptions!$B$9/12*(1+Assumptions!$B$10)^INT(A314/12)+Assumptions!$B$12*(1+Assumptions!$B$11)^(INT(A314/12)+1)/12))*J314</f>
        <v>348.218171387172</v>
      </c>
      <c r="V314" s="32" t="n">
        <f aca="false">V313*(1-F313)*(1-(1-(1-MIN(1,G313*(1-Assumptions!$B$23)))^(1/12)))</f>
        <v>0.428814670585677</v>
      </c>
      <c r="W314" s="47" t="n">
        <f aca="false">V314*(IF(C314&lt;Assumptions!$B$5,Assumptions!$B$12*(1+Assumptions!$B$11)^(INT(A314/12)+1)/12+Pricing_M!$B$13*IF(A314=0,Assumptions!$B$14*12,IF(A314&gt;=12,Assumptions!$B$15,0))-Pricing_M!$B$13,Assumptions!$B$9/12*(1+Assumptions!$B$10)^INT(A314/12)+Assumptions!$B$12*(1+Assumptions!$B$11)^(INT(A314/12)+1)/12))*J314</f>
        <v>423.94794451721</v>
      </c>
      <c r="X314" s="47" t="n">
        <f aca="false">I314*(IF(C314&lt;Assumptions!$B$5,Assumptions!$B$12*(1+Assumptions!$B$11)*(1+Assumptions!$B$24)*(1+Assumptions!$B$11+Assumptions!$B$25)^(INT(A314/12))/12+Pricing_M!$B$13*IF(A314=0,Assumptions!$B$14*12,IF(A314&gt;=12,Assumptions!$B$15,0))-Pricing_M!$B$13,Assumptions!$B$9/12*(1+Assumptions!$B$10)^INT(A314/12)+Assumptions!$B$12*(1+Assumptions!$B$11)*(1+Assumptions!$B$24)*(1+Assumptions!$B$11+Assumptions!$B$25)^(INT(A314/12))/12))*J314</f>
        <v>385.288359957642</v>
      </c>
    </row>
    <row r="315" customFormat="false" ht="15" hidden="false" customHeight="true" outlineLevel="0" collapsed="false">
      <c r="A315" s="1" t="n">
        <v>308</v>
      </c>
      <c r="B315" s="31" t="n">
        <f aca="false">Assumptions!$B$4+A315/12</f>
        <v>90.6666666666667</v>
      </c>
      <c r="C315" s="34" t="n">
        <f aca="false">Assumptions!$B$4+INT(A315/12)</f>
        <v>90</v>
      </c>
      <c r="D315" s="34" t="n">
        <f aca="false">INT(A315/12)+1</f>
        <v>26</v>
      </c>
      <c r="E315" s="32" t="n">
        <f aca="false">IFERROR(INDEX(Cohort_Survival!$G$5:$G$65,MATCH(C315,Cohort_Survival!$A$5:$A$65,0)),1)</f>
        <v>0.0957207078139081</v>
      </c>
      <c r="F315" s="30" t="n">
        <f aca="false">1-(1-MIN(1,E315))^(1/12)</f>
        <v>0.0083496972458279</v>
      </c>
      <c r="G315" s="39" t="n">
        <f aca="false">IF(C315&lt;Assumptions!$B$5,IF(D315=1,Assumptions!$B$16,IF(D315=2,Assumptions!$B$17,IF(D315&lt;=5,Assumptions!$B$18,Assumptions!$B$19)))*(1-Assumptions!$B$20),0)</f>
        <v>0</v>
      </c>
      <c r="H315" s="30" t="n">
        <f aca="false">1-(1-G315)^(1/12)</f>
        <v>0</v>
      </c>
      <c r="I315" s="30" t="n">
        <f aca="false">I314*(1-F314)*(1-H314)</f>
        <v>0.3855644278691</v>
      </c>
      <c r="J315" s="30" t="n">
        <f aca="false">INDEX(Discount_Monthly!$G$4:$G$664,MATCH(A315,Discount_Monthly!$A$4:$A$664,0))</f>
        <v>0.448169697236362</v>
      </c>
      <c r="K315" s="30" t="n">
        <f aca="false">IF(C315&lt;Assumptions!$B$5,I315*J315,0)</f>
        <v>0</v>
      </c>
      <c r="L315" s="30" t="n">
        <f aca="false">IF(C315&lt;Assumptions!$B$5,I315*(1-F315)*H315*A315*J315,0)</f>
        <v>0</v>
      </c>
      <c r="M315" s="30" t="n">
        <f aca="false">IF(A315=0,Assumptions!$B$14*12*I315*J315,IF(AND(A315&gt;=12,C315&lt;Assumptions!$B$5),Assumptions!$B$15*I315*J315,0))</f>
        <v>0</v>
      </c>
      <c r="N315" s="47" t="n">
        <f aca="false">IF(C315&gt;=Assumptions!$B$5,I315*Assumptions!$B$9/12*(1+Assumptions!$B$10)^INT(A315/12)*J315,0)</f>
        <v>377.991886893695</v>
      </c>
      <c r="O315" s="47" t="n">
        <f aca="false">I315*Assumptions!$B$12/12*(1+Assumptions!$B$11)^(INT(A315/12)+1)*J315</f>
        <v>2.18911556474161</v>
      </c>
      <c r="P315" s="47" t="n">
        <f aca="false">O315+Pricing_M!$B$13*M315+N315-Pricing_M!$B$13*K315</f>
        <v>380.181002458437</v>
      </c>
      <c r="Q315" s="47" t="n">
        <f aca="false">IF(C315&lt;Assumptions!$B$5,Pricing_M!$B$13*K315-Pricing_M!$B$13*M315-O315,-(N315+O315))</f>
        <v>-380.181002458437</v>
      </c>
      <c r="R315" s="32" t="n">
        <f aca="false">R314*(1-(1-(1-MIN(1,E314*(1-Assumptions!$B$21)))^(1/12)))*(1-H314)</f>
        <v>0.450108105953408</v>
      </c>
      <c r="S315" s="47" t="n">
        <f aca="false">R315*(IF(C315&lt;Assumptions!$B$5,Assumptions!$B$12*(1+Assumptions!$B$11)^(INT(A315/12)+1)/12+Pricing_M!$B$13*IF(A315=0,Assumptions!$B$14*12,IF(A315&gt;=12,Assumptions!$B$15,0))-Pricing_M!$B$13,Assumptions!$B$9/12*(1+Assumptions!$B$10)^INT(A315/12)+Assumptions!$B$12*(1+Assumptions!$B$11)^(INT(A315/12)+1)/12))*J315</f>
        <v>443.823492436214</v>
      </c>
      <c r="T315" s="32" t="n">
        <f aca="false">T314*(1-F314)*(1-(1-(1-MIN(1,G314*(1+Assumptions!$B$23)))^(1/12)))</f>
        <v>0.349274661484054</v>
      </c>
      <c r="U315" s="47" t="n">
        <f aca="false">T315*(IF(C315&lt;Assumptions!$B$5,Assumptions!$B$12*(1+Assumptions!$B$11)^(INT(A315/12)+1)/12+Pricing_M!$B$13*IF(A315=0,Assumptions!$B$14*12,IF(A315&gt;=12,Assumptions!$B$15,0))-Pricing_M!$B$13,Assumptions!$B$9/12*(1+Assumptions!$B$10)^INT(A315/12)+Assumptions!$B$12*(1+Assumptions!$B$11)^(INT(A315/12)+1)/12))*J315</f>
        <v>344.397930250507</v>
      </c>
      <c r="V315" s="32" t="n">
        <f aca="false">V314*(1-F314)*(1-(1-(1-MIN(1,G314*(1-Assumptions!$B$23)))^(1/12)))</f>
        <v>0.425234197911717</v>
      </c>
      <c r="W315" s="47" t="n">
        <f aca="false">V315*(IF(C315&lt;Assumptions!$B$5,Assumptions!$B$12*(1+Assumptions!$B$11)^(INT(A315/12)+1)/12+Pricing_M!$B$13*IF(A315=0,Assumptions!$B$14*12,IF(A315&gt;=12,Assumptions!$B$15,0))-Pricing_M!$B$13,Assumptions!$B$9/12*(1+Assumptions!$B$10)^INT(A315/12)+Assumptions!$B$12*(1+Assumptions!$B$11)^(INT(A315/12)+1)/12))*J315</f>
        <v>419.296885179905</v>
      </c>
      <c r="X315" s="47" t="n">
        <f aca="false">I315*(IF(C315&lt;Assumptions!$B$5,Assumptions!$B$12*(1+Assumptions!$B$11)*(1+Assumptions!$B$24)*(1+Assumptions!$B$11+Assumptions!$B$25)^(INT(A315/12))/12+Pricing_M!$B$13*IF(A315=0,Assumptions!$B$14*12,IF(A315&gt;=12,Assumptions!$B$15,0))-Pricing_M!$B$13,Assumptions!$B$9/12*(1+Assumptions!$B$10)^INT(A315/12)+Assumptions!$B$12*(1+Assumptions!$B$11)*(1+Assumptions!$B$24)*(1+Assumptions!$B$11+Assumptions!$B$25)^(INT(A315/12))/12))*J315</f>
        <v>381.061428214462</v>
      </c>
    </row>
    <row r="316" customFormat="false" ht="15" hidden="false" customHeight="true" outlineLevel="0" collapsed="false">
      <c r="A316" s="1" t="n">
        <v>309</v>
      </c>
      <c r="B316" s="31" t="n">
        <f aca="false">Assumptions!$B$4+A316/12</f>
        <v>90.75</v>
      </c>
      <c r="C316" s="34" t="n">
        <f aca="false">Assumptions!$B$4+INT(A316/12)</f>
        <v>90</v>
      </c>
      <c r="D316" s="34" t="n">
        <f aca="false">INT(A316/12)+1</f>
        <v>26</v>
      </c>
      <c r="E316" s="32" t="n">
        <f aca="false">IFERROR(INDEX(Cohort_Survival!$G$5:$G$65,MATCH(C316,Cohort_Survival!$A$5:$A$65,0)),1)</f>
        <v>0.0957207078139081</v>
      </c>
      <c r="F316" s="30" t="n">
        <f aca="false">1-(1-MIN(1,E316))^(1/12)</f>
        <v>0.0083496972458279</v>
      </c>
      <c r="G316" s="39" t="n">
        <f aca="false">IF(C316&lt;Assumptions!$B$5,IF(D316=1,Assumptions!$B$16,IF(D316=2,Assumptions!$B$17,IF(D316&lt;=5,Assumptions!$B$18,Assumptions!$B$19)))*(1-Assumptions!$B$20),0)</f>
        <v>0</v>
      </c>
      <c r="H316" s="30" t="n">
        <f aca="false">1-(1-G316)^(1/12)</f>
        <v>0</v>
      </c>
      <c r="I316" s="30" t="n">
        <f aca="false">I315*(1-F315)*(1-H315)</f>
        <v>0.382345081627632</v>
      </c>
      <c r="J316" s="30" t="n">
        <f aca="false">INDEX(Discount_Monthly!$G$4:$G$664,MATCH(A316,Discount_Monthly!$A$4:$A$664,0))</f>
        <v>0.446985095473452</v>
      </c>
      <c r="K316" s="30" t="n">
        <f aca="false">IF(C316&lt;Assumptions!$B$5,I316*J316,0)</f>
        <v>0</v>
      </c>
      <c r="L316" s="30" t="n">
        <f aca="false">IF(C316&lt;Assumptions!$B$5,I316*(1-F316)*H316*A316*J316,0)</f>
        <v>0</v>
      </c>
      <c r="M316" s="30" t="n">
        <f aca="false">IF(A316=0,Assumptions!$B$14*12*I316*J316,IF(AND(A316&gt;=12,C316&lt;Assumptions!$B$5),Assumptions!$B$15*I316*J316,0))</f>
        <v>0</v>
      </c>
      <c r="N316" s="47" t="n">
        <f aca="false">IF(C316&gt;=Assumptions!$B$5,I316*Assumptions!$B$9/12*(1+Assumptions!$B$10)^INT(A316/12)*J316,0)</f>
        <v>373.845003490441</v>
      </c>
      <c r="O316" s="47" t="n">
        <f aca="false">I316*Assumptions!$B$12/12*(1+Assumptions!$B$11)^(INT(A316/12)+1)*J316</f>
        <v>2.16509915772866</v>
      </c>
      <c r="P316" s="47" t="n">
        <f aca="false">O316+Pricing_M!$B$13*M316+N316-Pricing_M!$B$13*K316</f>
        <v>376.01010264817</v>
      </c>
      <c r="Q316" s="47" t="n">
        <f aca="false">IF(C316&lt;Assumptions!$B$5,Pricing_M!$B$13*K316-Pricing_M!$B$13*M316-O316,-(N316+O316))</f>
        <v>-376.01010264817</v>
      </c>
      <c r="R316" s="32" t="n">
        <f aca="false">R315*(1-(1-(1-MIN(1,E315*(1-Assumptions!$B$21)))^(1/12)))*(1-H315)</f>
        <v>0.447129758548337</v>
      </c>
      <c r="S316" s="47" t="n">
        <f aca="false">R316*(IF(C316&lt;Assumptions!$B$5,Assumptions!$B$12*(1+Assumptions!$B$11)^(INT(A316/12)+1)/12+Pricing_M!$B$13*IF(A316=0,Assumptions!$B$14*12,IF(A316&gt;=12,Assumptions!$B$15,0))-Pricing_M!$B$13,Assumptions!$B$9/12*(1+Assumptions!$B$10)^INT(A316/12)+Assumptions!$B$12*(1+Assumptions!$B$11)^(INT(A316/12)+1)/12))*J316</f>
        <v>439.721378638132</v>
      </c>
      <c r="T316" s="32" t="n">
        <f aca="false">T315*(1-F315)*(1-(1-(1-MIN(1,G315*(1+Assumptions!$B$23)))^(1/12)))</f>
        <v>0.346358323805023</v>
      </c>
      <c r="U316" s="47" t="n">
        <f aca="false">T316*(IF(C316&lt;Assumptions!$B$5,Assumptions!$B$12*(1+Assumptions!$B$11)^(INT(A316/12)+1)/12+Pricing_M!$B$13*IF(A316=0,Assumptions!$B$14*12,IF(A316&gt;=12,Assumptions!$B$15,0))-Pricing_M!$B$13,Assumptions!$B$9/12*(1+Assumptions!$B$10)^INT(A316/12)+Assumptions!$B$12*(1+Assumptions!$B$11)^(INT(A316/12)+1)/12))*J316</f>
        <v>340.619600316476</v>
      </c>
      <c r="V316" s="32" t="n">
        <f aca="false">V315*(1-F315)*(1-(1-(1-MIN(1,G315*(1-Assumptions!$B$23)))^(1/12)))</f>
        <v>0.421683621100582</v>
      </c>
      <c r="W316" s="47" t="n">
        <f aca="false">V316*(IF(C316&lt;Assumptions!$B$5,Assumptions!$B$12*(1+Assumptions!$B$11)^(INT(A316/12)+1)/12+Pricing_M!$B$13*IF(A316=0,Assumptions!$B$14*12,IF(A316&gt;=12,Assumptions!$B$15,0))-Pricing_M!$B$13,Assumptions!$B$9/12*(1+Assumptions!$B$10)^INT(A316/12)+Assumptions!$B$12*(1+Assumptions!$B$11)^(INT(A316/12)+1)/12))*J316</f>
        <v>414.696851807555</v>
      </c>
      <c r="X316" s="47" t="n">
        <f aca="false">I316*(IF(C316&lt;Assumptions!$B$5,Assumptions!$B$12*(1+Assumptions!$B$11)*(1+Assumptions!$B$24)*(1+Assumptions!$B$11+Assumptions!$B$25)^(INT(A316/12))/12+Pricing_M!$B$13*IF(A316=0,Assumptions!$B$14*12,IF(A316&gt;=12,Assumptions!$B$15,0))-Pricing_M!$B$13,Assumptions!$B$9/12*(1+Assumptions!$B$10)^INT(A316/12)+Assumptions!$B$12*(1+Assumptions!$B$11)*(1+Assumptions!$B$24)*(1+Assumptions!$B$11+Assumptions!$B$25)^(INT(A316/12))/12))*J316</f>
        <v>376.880869405994</v>
      </c>
    </row>
    <row r="317" customFormat="false" ht="15" hidden="false" customHeight="true" outlineLevel="0" collapsed="false">
      <c r="A317" s="1" t="n">
        <v>310</v>
      </c>
      <c r="B317" s="31" t="n">
        <f aca="false">Assumptions!$B$4+A317/12</f>
        <v>90.8333333333333</v>
      </c>
      <c r="C317" s="34" t="n">
        <f aca="false">Assumptions!$B$4+INT(A317/12)</f>
        <v>90</v>
      </c>
      <c r="D317" s="34" t="n">
        <f aca="false">INT(A317/12)+1</f>
        <v>26</v>
      </c>
      <c r="E317" s="32" t="n">
        <f aca="false">IFERROR(INDEX(Cohort_Survival!$G$5:$G$65,MATCH(C317,Cohort_Survival!$A$5:$A$65,0)),1)</f>
        <v>0.0957207078139081</v>
      </c>
      <c r="F317" s="30" t="n">
        <f aca="false">1-(1-MIN(1,E317))^(1/12)</f>
        <v>0.0083496972458279</v>
      </c>
      <c r="G317" s="39" t="n">
        <f aca="false">IF(C317&lt;Assumptions!$B$5,IF(D317=1,Assumptions!$B$16,IF(D317=2,Assumptions!$B$17,IF(D317&lt;=5,Assumptions!$B$18,Assumptions!$B$19)))*(1-Assumptions!$B$20),0)</f>
        <v>0</v>
      </c>
      <c r="H317" s="30" t="n">
        <f aca="false">1-(1-G317)^(1/12)</f>
        <v>0</v>
      </c>
      <c r="I317" s="30" t="n">
        <f aca="false">I316*(1-F316)*(1-H316)</f>
        <v>0.37915261595261</v>
      </c>
      <c r="J317" s="30" t="n">
        <f aca="false">INDEX(Discount_Monthly!$G$4:$G$664,MATCH(A317,Discount_Monthly!$A$4:$A$664,0))</f>
        <v>0.445803624848915</v>
      </c>
      <c r="K317" s="30" t="n">
        <f aca="false">IF(C317&lt;Assumptions!$B$5,I317*J317,0)</f>
        <v>0</v>
      </c>
      <c r="L317" s="30" t="n">
        <f aca="false">IF(C317&lt;Assumptions!$B$5,I317*(1-F317)*H317*A317*J317,0)</f>
        <v>0</v>
      </c>
      <c r="M317" s="30" t="n">
        <f aca="false">IF(A317=0,Assumptions!$B$14*12*I317*J317,IF(AND(A317&gt;=12,C317&lt;Assumptions!$B$5),Assumptions!$B$15*I317*J317,0))</f>
        <v>0</v>
      </c>
      <c r="N317" s="47" t="n">
        <f aca="false">IF(C317&gt;=Assumptions!$B$5,I317*Assumptions!$B$9/12*(1+Assumptions!$B$10)^INT(A317/12)*J317,0)</f>
        <v>369.743614825451</v>
      </c>
      <c r="O317" s="47" t="n">
        <f aca="false">I317*Assumptions!$B$12/12*(1+Assumptions!$B$11)^(INT(A317/12)+1)*J317</f>
        <v>2.1413462305498</v>
      </c>
      <c r="P317" s="47" t="n">
        <f aca="false">O317+Pricing_M!$B$13*M317+N317-Pricing_M!$B$13*K317</f>
        <v>371.884961056</v>
      </c>
      <c r="Q317" s="47" t="n">
        <f aca="false">IF(C317&lt;Assumptions!$B$5,Pricing_M!$B$13*K317-Pricing_M!$B$13*M317-O317,-(N317+O317))</f>
        <v>-371.884961056</v>
      </c>
      <c r="R317" s="32" t="n">
        <f aca="false">R316*(1-(1-(1-MIN(1,E316*(1-Assumptions!$B$21)))^(1/12)))*(1-H316)</f>
        <v>0.44417111874939</v>
      </c>
      <c r="S317" s="47" t="n">
        <f aca="false">R317*(IF(C317&lt;Assumptions!$B$5,Assumptions!$B$12*(1+Assumptions!$B$11)^(INT(A317/12)+1)/12+Pricing_M!$B$13*IF(A317=0,Assumptions!$B$14*12,IF(A317&gt;=12,Assumptions!$B$15,0))-Pricing_M!$B$13,Assumptions!$B$9/12*(1+Assumptions!$B$10)^INT(A317/12)+Assumptions!$B$12*(1+Assumptions!$B$11)^(INT(A317/12)+1)/12))*J317</f>
        <v>435.657179321592</v>
      </c>
      <c r="T317" s="32" t="n">
        <f aca="false">T316*(1-F316)*(1-(1-(1-MIN(1,G316*(1+Assumptions!$B$23)))^(1/12)))</f>
        <v>0.343466336662679</v>
      </c>
      <c r="U317" s="47" t="n">
        <f aca="false">T317*(IF(C317&lt;Assumptions!$B$5,Assumptions!$B$12*(1+Assumptions!$B$11)^(INT(A317/12)+1)/12+Pricing_M!$B$13*IF(A317=0,Assumptions!$B$14*12,IF(A317&gt;=12,Assumptions!$B$15,0))-Pricing_M!$B$13,Assumptions!$B$9/12*(1+Assumptions!$B$10)^INT(A317/12)+Assumptions!$B$12*(1+Assumptions!$B$11)^(INT(A317/12)+1)/12))*J317</f>
        <v>336.88272178455</v>
      </c>
      <c r="V317" s="32" t="n">
        <f aca="false">V316*(1-F316)*(1-(1-(1-MIN(1,G316*(1-Assumptions!$B$23)))^(1/12)))</f>
        <v>0.418162690530867</v>
      </c>
      <c r="W317" s="47" t="n">
        <f aca="false">V317*(IF(C317&lt;Assumptions!$B$5,Assumptions!$B$12*(1+Assumptions!$B$11)^(INT(A317/12)+1)/12+Pricing_M!$B$13*IF(A317=0,Assumptions!$B$14*12,IF(A317&gt;=12,Assumptions!$B$15,0))-Pricing_M!$B$13,Assumptions!$B$9/12*(1+Assumptions!$B$10)^INT(A317/12)+Assumptions!$B$12*(1+Assumptions!$B$11)^(INT(A317/12)+1)/12))*J317</f>
        <v>410.14728460315</v>
      </c>
      <c r="X317" s="47" t="n">
        <f aca="false">I317*(IF(C317&lt;Assumptions!$B$5,Assumptions!$B$12*(1+Assumptions!$B$11)*(1+Assumptions!$B$24)*(1+Assumptions!$B$11+Assumptions!$B$25)^(INT(A317/12))/12+Pricing_M!$B$13*IF(A317=0,Assumptions!$B$14*12,IF(A317&gt;=12,Assumptions!$B$15,0))-Pricing_M!$B$13,Assumptions!$B$9/12*(1+Assumptions!$B$10)^INT(A317/12)+Assumptions!$B$12*(1+Assumptions!$B$11)*(1+Assumptions!$B$24)*(1+Assumptions!$B$11+Assumptions!$B$25)^(INT(A317/12))/12))*J317</f>
        <v>372.746174782817</v>
      </c>
    </row>
    <row r="318" customFormat="false" ht="15" hidden="false" customHeight="true" outlineLevel="0" collapsed="false">
      <c r="A318" s="1" t="n">
        <v>311</v>
      </c>
      <c r="B318" s="31" t="n">
        <f aca="false">Assumptions!$B$4+A318/12</f>
        <v>90.9166666666667</v>
      </c>
      <c r="C318" s="34" t="n">
        <f aca="false">Assumptions!$B$4+INT(A318/12)</f>
        <v>90</v>
      </c>
      <c r="D318" s="34" t="n">
        <f aca="false">INT(A318/12)+1</f>
        <v>26</v>
      </c>
      <c r="E318" s="32" t="n">
        <f aca="false">IFERROR(INDEX(Cohort_Survival!$G$5:$G$65,MATCH(C318,Cohort_Survival!$A$5:$A$65,0)),1)</f>
        <v>0.0957207078139081</v>
      </c>
      <c r="F318" s="30" t="n">
        <f aca="false">1-(1-MIN(1,E318))^(1/12)</f>
        <v>0.0083496972458279</v>
      </c>
      <c r="G318" s="39" t="n">
        <f aca="false">IF(C318&lt;Assumptions!$B$5,IF(D318=1,Assumptions!$B$16,IF(D318=2,Assumptions!$B$17,IF(D318&lt;=5,Assumptions!$B$18,Assumptions!$B$19)))*(1-Assumptions!$B$20),0)</f>
        <v>0</v>
      </c>
      <c r="H318" s="30" t="n">
        <f aca="false">1-(1-G318)^(1/12)</f>
        <v>0</v>
      </c>
      <c r="I318" s="30" t="n">
        <f aca="false">I317*(1-F317)*(1-H317)</f>
        <v>0.375986806399442</v>
      </c>
      <c r="J318" s="30" t="n">
        <f aca="false">INDEX(Discount_Monthly!$G$4:$G$664,MATCH(A318,Discount_Monthly!$A$4:$A$664,0))</f>
        <v>0.444625277086529</v>
      </c>
      <c r="K318" s="30" t="n">
        <f aca="false">IF(C318&lt;Assumptions!$B$5,I318*J318,0)</f>
        <v>0</v>
      </c>
      <c r="L318" s="30" t="n">
        <f aca="false">IF(C318&lt;Assumptions!$B$5,I318*(1-F318)*H318*A318*J318,0)</f>
        <v>0</v>
      </c>
      <c r="M318" s="30" t="n">
        <f aca="false">IF(A318=0,Assumptions!$B$14*12*I318*J318,IF(AND(A318&gt;=12,C318&lt;Assumptions!$B$5),Assumptions!$B$15*I318*J318,0))</f>
        <v>0</v>
      </c>
      <c r="N318" s="47" t="n">
        <f aca="false">IF(C318&gt;=Assumptions!$B$5,I318*Assumptions!$B$9/12*(1+Assumptions!$B$10)^INT(A318/12)*J318,0)</f>
        <v>365.687221783845</v>
      </c>
      <c r="O318" s="47" t="n">
        <f aca="false">I318*Assumptions!$B$12/12*(1+Assumptions!$B$11)^(INT(A318/12)+1)*J318</f>
        <v>2.11785389261349</v>
      </c>
      <c r="P318" s="47" t="n">
        <f aca="false">O318+Pricing_M!$B$13*M318+N318-Pricing_M!$B$13*K318</f>
        <v>367.805075676458</v>
      </c>
      <c r="Q318" s="47" t="n">
        <f aca="false">IF(C318&lt;Assumptions!$B$5,Pricing_M!$B$13*K318-Pricing_M!$B$13*M318-O318,-(N318+O318))</f>
        <v>-367.805075676458</v>
      </c>
      <c r="R318" s="32" t="n">
        <f aca="false">R317*(1-(1-(1-MIN(1,E317*(1-Assumptions!$B$21)))^(1/12)))*(1-H317)</f>
        <v>0.441232056152122</v>
      </c>
      <c r="S318" s="47" t="n">
        <f aca="false">R318*(IF(C318&lt;Assumptions!$B$5,Assumptions!$B$12*(1+Assumptions!$B$11)^(INT(A318/12)+1)/12+Pricing_M!$B$13*IF(A318=0,Assumptions!$B$14*12,IF(A318&gt;=12,Assumptions!$B$15,0))-Pricing_M!$B$13,Assumptions!$B$9/12*(1+Assumptions!$B$10)^INT(A318/12)+Assumptions!$B$12*(1+Assumptions!$B$11)^(INT(A318/12)+1)/12))*J318</f>
        <v>431.630544055579</v>
      </c>
      <c r="T318" s="32" t="n">
        <f aca="false">T317*(1-F317)*(1-(1-(1-MIN(1,G317*(1+Assumptions!$B$23)))^(1/12)))</f>
        <v>0.340598496737412</v>
      </c>
      <c r="U318" s="47" t="n">
        <f aca="false">T318*(IF(C318&lt;Assumptions!$B$5,Assumptions!$B$12*(1+Assumptions!$B$11)^(INT(A318/12)+1)/12+Pricing_M!$B$13*IF(A318=0,Assumptions!$B$14*12,IF(A318&gt;=12,Assumptions!$B$15,0))-Pricing_M!$B$13,Assumptions!$B$9/12*(1+Assumptions!$B$10)^INT(A318/12)+Assumptions!$B$12*(1+Assumptions!$B$11)^(INT(A318/12)+1)/12))*J318</f>
        <v>333.186839898586</v>
      </c>
      <c r="V318" s="32" t="n">
        <f aca="false">V317*(1-F317)*(1-(1-(1-MIN(1,G317*(1-Assumptions!$B$23)))^(1/12)))</f>
        <v>0.414671158665434</v>
      </c>
      <c r="W318" s="47" t="n">
        <f aca="false">V318*(IF(C318&lt;Assumptions!$B$5,Assumptions!$B$12*(1+Assumptions!$B$11)^(INT(A318/12)+1)/12+Pricing_M!$B$13*IF(A318=0,Assumptions!$B$14*12,IF(A318&gt;=12,Assumptions!$B$15,0))-Pricing_M!$B$13,Assumptions!$B$9/12*(1+Assumptions!$B$10)^INT(A318/12)+Assumptions!$B$12*(1+Assumptions!$B$11)^(INT(A318/12)+1)/12))*J318</f>
        <v>405.647629911119</v>
      </c>
      <c r="X318" s="47" t="n">
        <f aca="false">I318*(IF(C318&lt;Assumptions!$B$5,Assumptions!$B$12*(1+Assumptions!$B$11)*(1+Assumptions!$B$24)*(1+Assumptions!$B$11+Assumptions!$B$25)^(INT(A318/12))/12+Pricing_M!$B$13*IF(A318=0,Assumptions!$B$14*12,IF(A318&gt;=12,Assumptions!$B$15,0))-Pricing_M!$B$13,Assumptions!$B$9/12*(1+Assumptions!$B$10)^INT(A318/12)+Assumptions!$B$12*(1+Assumptions!$B$11)*(1+Assumptions!$B$24)*(1+Assumptions!$B$11+Assumptions!$B$25)^(INT(A318/12))/12))*J318</f>
        <v>368.656841176913</v>
      </c>
    </row>
    <row r="319" customFormat="false" ht="15" hidden="false" customHeight="true" outlineLevel="0" collapsed="false">
      <c r="A319" s="1" t="n">
        <v>312</v>
      </c>
      <c r="B319" s="31" t="n">
        <f aca="false">Assumptions!$B$4+A319/12</f>
        <v>91</v>
      </c>
      <c r="C319" s="34" t="n">
        <f aca="false">Assumptions!$B$4+INT(A319/12)</f>
        <v>91</v>
      </c>
      <c r="D319" s="34" t="n">
        <f aca="false">INT(A319/12)+1</f>
        <v>27</v>
      </c>
      <c r="E319" s="32" t="n">
        <f aca="false">IFERROR(INDEX(Cohort_Survival!$G$5:$G$65,MATCH(C319,Cohort_Survival!$A$5:$A$65,0)),1)</f>
        <v>0.107881542198355</v>
      </c>
      <c r="F319" s="30" t="n">
        <f aca="false">1-(1-MIN(1,E319))^(1/12)</f>
        <v>0.00946792386085349</v>
      </c>
      <c r="G319" s="39" t="n">
        <f aca="false">IF(C319&lt;Assumptions!$B$5,IF(D319=1,Assumptions!$B$16,IF(D319=2,Assumptions!$B$17,IF(D319&lt;=5,Assumptions!$B$18,Assumptions!$B$19)))*(1-Assumptions!$B$20),0)</f>
        <v>0</v>
      </c>
      <c r="H319" s="30" t="n">
        <f aca="false">1-(1-G319)^(1/12)</f>
        <v>0</v>
      </c>
      <c r="I319" s="30" t="n">
        <f aca="false">I318*(1-F318)*(1-H318)</f>
        <v>0.372847430397581</v>
      </c>
      <c r="J319" s="30" t="n">
        <f aca="false">INDEX(Discount_Monthly!$G$4:$G$664,MATCH(A319,Discount_Monthly!$A$4:$A$664,0))</f>
        <v>0.443450043931947</v>
      </c>
      <c r="K319" s="30" t="n">
        <f aca="false">IF(C319&lt;Assumptions!$B$5,I319*J319,0)</f>
        <v>0</v>
      </c>
      <c r="L319" s="30" t="n">
        <f aca="false">IF(C319&lt;Assumptions!$B$5,I319*(1-F319)*H319*A319*J319,0)</f>
        <v>0</v>
      </c>
      <c r="M319" s="30" t="n">
        <f aca="false">IF(A319=0,Assumptions!$B$14*12*I319*J319,IF(AND(A319&gt;=12,C319&lt;Assumptions!$B$5),Assumptions!$B$15*I319*J319,0))</f>
        <v>0</v>
      </c>
      <c r="N319" s="47" t="n">
        <f aca="false">IF(C319&gt;=Assumptions!$B$5,I319*Assumptions!$B$9/12*(1+Assumptions!$B$10)^INT(A319/12)*J319,0)</f>
        <v>368.908837340976</v>
      </c>
      <c r="O319" s="47" t="n">
        <f aca="false">I319*Assumptions!$B$12/12*(1+Assumptions!$B$11)^(INT(A319/12)+1)*J319</f>
        <v>2.14698476716639</v>
      </c>
      <c r="P319" s="47" t="n">
        <f aca="false">O319+Pricing_M!$B$13*M319+N319-Pricing_M!$B$13*K319</f>
        <v>371.055822108143</v>
      </c>
      <c r="Q319" s="47" t="n">
        <f aca="false">IF(C319&lt;Assumptions!$B$5,Pricing_M!$B$13*K319-Pricing_M!$B$13*M319-O319,-(N319+O319))</f>
        <v>-371.055822108143</v>
      </c>
      <c r="R319" s="32" t="n">
        <f aca="false">R318*(1-(1-(1-MIN(1,E318*(1-Assumptions!$B$21)))^(1/12)))*(1-H318)</f>
        <v>0.43831244121497</v>
      </c>
      <c r="S319" s="47" t="n">
        <f aca="false">R319*(IF(C319&lt;Assumptions!$B$5,Assumptions!$B$12*(1+Assumptions!$B$11)^(INT(A319/12)+1)/12+Pricing_M!$B$13*IF(A319=0,Assumptions!$B$14*12,IF(A319&gt;=12,Assumptions!$B$15,0))-Pricing_M!$B$13,Assumptions!$B$9/12*(1+Assumptions!$B$10)^INT(A319/12)+Assumptions!$B$12*(1+Assumptions!$B$11)^(INT(A319/12)+1)/12))*J319</f>
        <v>436.20626013654</v>
      </c>
      <c r="T319" s="32" t="n">
        <f aca="false">T318*(1-F318)*(1-(1-(1-MIN(1,G318*(1+Assumptions!$B$23)))^(1/12)))</f>
        <v>0.33775460240727</v>
      </c>
      <c r="U319" s="47" t="n">
        <f aca="false">T319*(IF(C319&lt;Assumptions!$B$5,Assumptions!$B$12*(1+Assumptions!$B$11)^(INT(A319/12)+1)/12+Pricing_M!$B$13*IF(A319=0,Assumptions!$B$14*12,IF(A319&gt;=12,Assumptions!$B$15,0))-Pricing_M!$B$13,Assumptions!$B$9/12*(1+Assumptions!$B$10)^INT(A319/12)+Assumptions!$B$12*(1+Assumptions!$B$11)^(INT(A319/12)+1)/12))*J319</f>
        <v>336.131622345899</v>
      </c>
      <c r="V319" s="32" t="n">
        <f aca="false">V318*(1-F318)*(1-(1-(1-MIN(1,G318*(1-Assumptions!$B$23)))^(1/12)))</f>
        <v>0.411208780034001</v>
      </c>
      <c r="W319" s="47" t="n">
        <f aca="false">V319*(IF(C319&lt;Assumptions!$B$5,Assumptions!$B$12*(1+Assumptions!$B$11)^(INT(A319/12)+1)/12+Pricing_M!$B$13*IF(A319=0,Assumptions!$B$14*12,IF(A319&gt;=12,Assumptions!$B$15,0))-Pricing_M!$B$13,Assumptions!$B$9/12*(1+Assumptions!$B$10)^INT(A319/12)+Assumptions!$B$12*(1+Assumptions!$B$11)^(INT(A319/12)+1)/12))*J319</f>
        <v>409.232837600354</v>
      </c>
      <c r="X319" s="47" t="n">
        <f aca="false">I319*(IF(C319&lt;Assumptions!$B$5,Assumptions!$B$12*(1+Assumptions!$B$11)*(1+Assumptions!$B$24)*(1+Assumptions!$B$11+Assumptions!$B$25)^(INT(A319/12))/12+Pricing_M!$B$13*IF(A319=0,Assumptions!$B$14*12,IF(A319&gt;=12,Assumptions!$B$15,0))-Pricing_M!$B$13,Assumptions!$B$9/12*(1+Assumptions!$B$10)^INT(A319/12)+Assumptions!$B$12*(1+Assumptions!$B$11)*(1+Assumptions!$B$24)*(1+Assumptions!$B$11+Assumptions!$B$25)^(INT(A319/12))/12))*J319</f>
        <v>371.948673962451</v>
      </c>
    </row>
    <row r="320" customFormat="false" ht="15" hidden="false" customHeight="true" outlineLevel="0" collapsed="false">
      <c r="A320" s="1" t="n">
        <v>313</v>
      </c>
      <c r="B320" s="31" t="n">
        <f aca="false">Assumptions!$B$4+A320/12</f>
        <v>91.0833333333333</v>
      </c>
      <c r="C320" s="34" t="n">
        <f aca="false">Assumptions!$B$4+INT(A320/12)</f>
        <v>91</v>
      </c>
      <c r="D320" s="34" t="n">
        <f aca="false">INT(A320/12)+1</f>
        <v>27</v>
      </c>
      <c r="E320" s="32" t="n">
        <f aca="false">IFERROR(INDEX(Cohort_Survival!$G$5:$G$65,MATCH(C320,Cohort_Survival!$A$5:$A$65,0)),1)</f>
        <v>0.107881542198355</v>
      </c>
      <c r="F320" s="30" t="n">
        <f aca="false">1-(1-MIN(1,E320))^(1/12)</f>
        <v>0.00946792386085349</v>
      </c>
      <c r="G320" s="39" t="n">
        <f aca="false">IF(C320&lt;Assumptions!$B$5,IF(D320=1,Assumptions!$B$16,IF(D320=2,Assumptions!$B$17,IF(D320&lt;=5,Assumptions!$B$18,Assumptions!$B$19)))*(1-Assumptions!$B$20),0)</f>
        <v>0</v>
      </c>
      <c r="H320" s="30" t="n">
        <f aca="false">1-(1-G320)^(1/12)</f>
        <v>0</v>
      </c>
      <c r="I320" s="30" t="n">
        <f aca="false">I319*(1-F319)*(1-H319)</f>
        <v>0.369317339314862</v>
      </c>
      <c r="J320" s="30" t="n">
        <f aca="false">INDEX(Discount_Monthly!$G$4:$G$664,MATCH(A320,Discount_Monthly!$A$4:$A$664,0))</f>
        <v>0.44228613342079</v>
      </c>
      <c r="K320" s="30" t="n">
        <f aca="false">IF(C320&lt;Assumptions!$B$5,I320*J320,0)</f>
        <v>0</v>
      </c>
      <c r="L320" s="30" t="n">
        <f aca="false">IF(C320&lt;Assumptions!$B$5,I320*(1-F320)*H320*A320*J320,0)</f>
        <v>0</v>
      </c>
      <c r="M320" s="30" t="n">
        <f aca="false">IF(A320=0,Assumptions!$B$14*12*I320*J320,IF(AND(A320&gt;=12,C320&lt;Assumptions!$B$5),Assumptions!$B$15*I320*J320,0))</f>
        <v>0</v>
      </c>
      <c r="N320" s="47" t="n">
        <f aca="false">IF(C320&gt;=Assumptions!$B$5,I320*Assumptions!$B$9/12*(1+Assumptions!$B$10)^INT(A320/12)*J320,0)</f>
        <v>364.456939649645</v>
      </c>
      <c r="O320" s="47" t="n">
        <f aca="false">I320*Assumptions!$B$12/12*(1+Assumptions!$B$11)^(INT(A320/12)+1)*J320</f>
        <v>2.12107550297753</v>
      </c>
      <c r="P320" s="47" t="n">
        <f aca="false">O320+Pricing_M!$B$13*M320+N320-Pricing_M!$B$13*K320</f>
        <v>366.578015152623</v>
      </c>
      <c r="Q320" s="47" t="n">
        <f aca="false">IF(C320&lt;Assumptions!$B$5,Pricing_M!$B$13*K320-Pricing_M!$B$13*M320-O320,-(N320+O320))</f>
        <v>-366.578015152623</v>
      </c>
      <c r="R320" s="32" t="n">
        <f aca="false">R319*(1-(1-(1-MIN(1,E319*(1-Assumptions!$B$21)))^(1/12)))*(1-H319)</f>
        <v>0.435028015482602</v>
      </c>
      <c r="S320" s="47" t="n">
        <f aca="false">R320*(IF(C320&lt;Assumptions!$B$5,Assumptions!$B$12*(1+Assumptions!$B$11)^(INT(A320/12)+1)/12+Pricing_M!$B$13*IF(A320=0,Assumptions!$B$14*12,IF(A320&gt;=12,Assumptions!$B$15,0))-Pricing_M!$B$13,Assumptions!$B$9/12*(1+Assumptions!$B$10)^INT(A320/12)+Assumptions!$B$12*(1+Assumptions!$B$11)^(INT(A320/12)+1)/12))*J320</f>
        <v>431.801297895302</v>
      </c>
      <c r="T320" s="32" t="n">
        <f aca="false">T319*(1-F319)*(1-(1-(1-MIN(1,G319*(1+Assumptions!$B$23)))^(1/12)))</f>
        <v>0.334556767548025</v>
      </c>
      <c r="U320" s="47" t="n">
        <f aca="false">T320*(IF(C320&lt;Assumptions!$B$5,Assumptions!$B$12*(1+Assumptions!$B$11)^(INT(A320/12)+1)/12+Pricing_M!$B$13*IF(A320=0,Assumptions!$B$14*12,IF(A320&gt;=12,Assumptions!$B$15,0))-Pricing_M!$B$13,Assumptions!$B$9/12*(1+Assumptions!$B$10)^INT(A320/12)+Assumptions!$B$12*(1+Assumptions!$B$11)^(INT(A320/12)+1)/12))*J320</f>
        <v>332.075271719302</v>
      </c>
      <c r="V320" s="32" t="n">
        <f aca="false">V319*(1-F319)*(1-(1-(1-MIN(1,G319*(1-Assumptions!$B$23)))^(1/12)))</f>
        <v>0.407315486613724</v>
      </c>
      <c r="W320" s="47" t="n">
        <f aca="false">V320*(IF(C320&lt;Assumptions!$B$5,Assumptions!$B$12*(1+Assumptions!$B$11)^(INT(A320/12)+1)/12+Pricing_M!$B$13*IF(A320=0,Assumptions!$B$14*12,IF(A320&gt;=12,Assumptions!$B$15,0))-Pricing_M!$B$13,Assumptions!$B$9/12*(1+Assumptions!$B$10)^INT(A320/12)+Assumptions!$B$12*(1+Assumptions!$B$11)^(INT(A320/12)+1)/12))*J320</f>
        <v>404.294320165907</v>
      </c>
      <c r="X320" s="47" t="n">
        <f aca="false">I320*(IF(C320&lt;Assumptions!$B$5,Assumptions!$B$12*(1+Assumptions!$B$11)*(1+Assumptions!$B$24)*(1+Assumptions!$B$11+Assumptions!$B$25)^(INT(A320/12))/12+Pricing_M!$B$13*IF(A320=0,Assumptions!$B$14*12,IF(A320&gt;=12,Assumptions!$B$15,0))-Pricing_M!$B$13,Assumptions!$B$9/12*(1+Assumptions!$B$10)^INT(A320/12)+Assumptions!$B$12*(1+Assumptions!$B$11)*(1+Assumptions!$B$24)*(1+Assumptions!$B$11+Assumptions!$B$25)^(INT(A320/12))/12))*J320</f>
        <v>367.460092298639</v>
      </c>
    </row>
    <row r="321" customFormat="false" ht="15" hidden="false" customHeight="true" outlineLevel="0" collapsed="false">
      <c r="A321" s="1" t="n">
        <v>314</v>
      </c>
      <c r="B321" s="31" t="n">
        <f aca="false">Assumptions!$B$4+A321/12</f>
        <v>91.1666666666667</v>
      </c>
      <c r="C321" s="34" t="n">
        <f aca="false">Assumptions!$B$4+INT(A321/12)</f>
        <v>91</v>
      </c>
      <c r="D321" s="34" t="n">
        <f aca="false">INT(A321/12)+1</f>
        <v>27</v>
      </c>
      <c r="E321" s="32" t="n">
        <f aca="false">IFERROR(INDEX(Cohort_Survival!$G$5:$G$65,MATCH(C321,Cohort_Survival!$A$5:$A$65,0)),1)</f>
        <v>0.107881542198355</v>
      </c>
      <c r="F321" s="30" t="n">
        <f aca="false">1-(1-MIN(1,E321))^(1/12)</f>
        <v>0.00946792386085349</v>
      </c>
      <c r="G321" s="39" t="n">
        <f aca="false">IF(C321&lt;Assumptions!$B$5,IF(D321=1,Assumptions!$B$16,IF(D321=2,Assumptions!$B$17,IF(D321&lt;=5,Assumptions!$B$18,Assumptions!$B$19)))*(1-Assumptions!$B$20),0)</f>
        <v>0</v>
      </c>
      <c r="H321" s="30" t="n">
        <f aca="false">1-(1-G321)^(1/12)</f>
        <v>0</v>
      </c>
      <c r="I321" s="30" t="n">
        <f aca="false">I320*(1-F320)*(1-H320)</f>
        <v>0.365820670865736</v>
      </c>
      <c r="J321" s="30" t="n">
        <f aca="false">INDEX(Discount_Monthly!$G$4:$G$664,MATCH(A321,Discount_Monthly!$A$4:$A$664,0))</f>
        <v>0.441125277791905</v>
      </c>
      <c r="K321" s="30" t="n">
        <f aca="false">IF(C321&lt;Assumptions!$B$5,I321*J321,0)</f>
        <v>0</v>
      </c>
      <c r="L321" s="30" t="n">
        <f aca="false">IF(C321&lt;Assumptions!$B$5,I321*(1-F321)*H321*A321*J321,0)</f>
        <v>0</v>
      </c>
      <c r="M321" s="30" t="n">
        <f aca="false">IF(A321=0,Assumptions!$B$14*12*I321*J321,IF(AND(A321&gt;=12,C321&lt;Assumptions!$B$5),Assumptions!$B$15*I321*J321,0))</f>
        <v>0</v>
      </c>
      <c r="N321" s="47" t="n">
        <f aca="false">IF(C321&gt;=Assumptions!$B$5,I321*Assumptions!$B$9/12*(1+Assumptions!$B$10)^INT(A321/12)*J321,0)</f>
        <v>360.058766323382</v>
      </c>
      <c r="O321" s="47" t="n">
        <f aca="false">I321*Assumptions!$B$12/12*(1+Assumptions!$B$11)^(INT(A321/12)+1)*J321</f>
        <v>2.09547890517601</v>
      </c>
      <c r="P321" s="47" t="n">
        <f aca="false">O321+Pricing_M!$B$13*M321+N321-Pricing_M!$B$13*K321</f>
        <v>362.154245228558</v>
      </c>
      <c r="Q321" s="47" t="n">
        <f aca="false">IF(C321&lt;Assumptions!$B$5,Pricing_M!$B$13*K321-Pricing_M!$B$13*M321-O321,-(N321+O321))</f>
        <v>-362.154245228558</v>
      </c>
      <c r="R321" s="32" t="n">
        <f aca="false">R320*(1-(1-(1-MIN(1,E320*(1-Assumptions!$B$21)))^(1/12)))*(1-H320)</f>
        <v>0.431768201080822</v>
      </c>
      <c r="S321" s="47" t="n">
        <f aca="false">R321*(IF(C321&lt;Assumptions!$B$5,Assumptions!$B$12*(1+Assumptions!$B$11)^(INT(A321/12)+1)/12+Pricing_M!$B$13*IF(A321=0,Assumptions!$B$14*12,IF(A321&gt;=12,Assumptions!$B$15,0))-Pricing_M!$B$13,Assumptions!$B$9/12*(1+Assumptions!$B$10)^INT(A321/12)+Assumptions!$B$12*(1+Assumptions!$B$11)^(INT(A321/12)+1)/12))*J321</f>
        <v>427.440818491931</v>
      </c>
      <c r="T321" s="32" t="n">
        <f aca="false">T320*(1-F320)*(1-(1-(1-MIN(1,G320*(1+Assumptions!$B$23)))^(1/12)))</f>
        <v>0.331389209545747</v>
      </c>
      <c r="U321" s="47" t="n">
        <f aca="false">T321*(IF(C321&lt;Assumptions!$B$5,Assumptions!$B$12*(1+Assumptions!$B$11)^(INT(A321/12)+1)/12+Pricing_M!$B$13*IF(A321=0,Assumptions!$B$14*12,IF(A321&gt;=12,Assumptions!$B$15,0))-Pricing_M!$B$13,Assumptions!$B$9/12*(1+Assumptions!$B$10)^INT(A321/12)+Assumptions!$B$12*(1+Assumptions!$B$11)^(INT(A321/12)+1)/12))*J321</f>
        <v>328.067872096753</v>
      </c>
      <c r="V321" s="32" t="n">
        <f aca="false">V320*(1-F320)*(1-(1-(1-MIN(1,G320*(1-Assumptions!$B$23)))^(1/12)))</f>
        <v>0.403459054599119</v>
      </c>
      <c r="W321" s="47" t="n">
        <f aca="false">V321*(IF(C321&lt;Assumptions!$B$5,Assumptions!$B$12*(1+Assumptions!$B$11)^(INT(A321/12)+1)/12+Pricing_M!$B$13*IF(A321=0,Assumptions!$B$14*12,IF(A321&gt;=12,Assumptions!$B$15,0))-Pricing_M!$B$13,Assumptions!$B$9/12*(1+Assumptions!$B$10)^INT(A321/12)+Assumptions!$B$12*(1+Assumptions!$B$11)^(INT(A321/12)+1)/12))*J321</f>
        <v>399.415399499387</v>
      </c>
      <c r="X321" s="47" t="n">
        <f aca="false">I321*(IF(C321&lt;Assumptions!$B$5,Assumptions!$B$12*(1+Assumptions!$B$11)*(1+Assumptions!$B$24)*(1+Assumptions!$B$11+Assumptions!$B$25)^(INT(A321/12))/12+Pricing_M!$B$13*IF(A321=0,Assumptions!$B$14*12,IF(A321&gt;=12,Assumptions!$B$15,0))-Pricing_M!$B$13,Assumptions!$B$9/12*(1+Assumptions!$B$10)^INT(A321/12)+Assumptions!$B$12*(1+Assumptions!$B$11)*(1+Assumptions!$B$24)*(1+Assumptions!$B$11+Assumptions!$B$25)^(INT(A321/12))/12))*J321</f>
        <v>363.025677692711</v>
      </c>
    </row>
    <row r="322" customFormat="false" ht="15" hidden="false" customHeight="true" outlineLevel="0" collapsed="false">
      <c r="A322" s="1" t="n">
        <v>315</v>
      </c>
      <c r="B322" s="31" t="n">
        <f aca="false">Assumptions!$B$4+A322/12</f>
        <v>91.25</v>
      </c>
      <c r="C322" s="34" t="n">
        <f aca="false">Assumptions!$B$4+INT(A322/12)</f>
        <v>91</v>
      </c>
      <c r="D322" s="34" t="n">
        <f aca="false">INT(A322/12)+1</f>
        <v>27</v>
      </c>
      <c r="E322" s="32" t="n">
        <f aca="false">IFERROR(INDEX(Cohort_Survival!$G$5:$G$65,MATCH(C322,Cohort_Survival!$A$5:$A$65,0)),1)</f>
        <v>0.107881542198355</v>
      </c>
      <c r="F322" s="30" t="n">
        <f aca="false">1-(1-MIN(1,E322))^(1/12)</f>
        <v>0.00946792386085349</v>
      </c>
      <c r="G322" s="39" t="n">
        <f aca="false">IF(C322&lt;Assumptions!$B$5,IF(D322=1,Assumptions!$B$16,IF(D322=2,Assumptions!$B$17,IF(D322&lt;=5,Assumptions!$B$18,Assumptions!$B$19)))*(1-Assumptions!$B$20),0)</f>
        <v>0</v>
      </c>
      <c r="H322" s="30" t="n">
        <f aca="false">1-(1-G322)^(1/12)</f>
        <v>0</v>
      </c>
      <c r="I322" s="30" t="n">
        <f aca="false">I321*(1-F321)*(1-H321)</f>
        <v>0.362357108607253</v>
      </c>
      <c r="J322" s="30" t="n">
        <f aca="false">INDEX(Discount_Monthly!$G$4:$G$664,MATCH(A322,Discount_Monthly!$A$4:$A$664,0))</f>
        <v>0.439967469027231</v>
      </c>
      <c r="K322" s="30" t="n">
        <f aca="false">IF(C322&lt;Assumptions!$B$5,I322*J322,0)</f>
        <v>0</v>
      </c>
      <c r="L322" s="30" t="n">
        <f aca="false">IF(C322&lt;Assumptions!$B$5,I322*(1-F322)*H322*A322*J322,0)</f>
        <v>0</v>
      </c>
      <c r="M322" s="30" t="n">
        <f aca="false">IF(A322=0,Assumptions!$B$14*12*I322*J322,IF(AND(A322&gt;=12,C322&lt;Assumptions!$B$5),Assumptions!$B$15*I322*J322,0))</f>
        <v>0</v>
      </c>
      <c r="N322" s="47" t="n">
        <f aca="false">IF(C322&gt;=Assumptions!$B$5,I322*Assumptions!$B$9/12*(1+Assumptions!$B$10)^INT(A322/12)*J322,0)</f>
        <v>355.713669030262</v>
      </c>
      <c r="O322" s="47" t="n">
        <f aca="false">I322*Assumptions!$B$12/12*(1+Assumptions!$B$11)^(INT(A322/12)+1)*J322</f>
        <v>2.07019120058366</v>
      </c>
      <c r="P322" s="47" t="n">
        <f aca="false">O322+Pricing_M!$B$13*M322+N322-Pricing_M!$B$13*K322</f>
        <v>357.783860230846</v>
      </c>
      <c r="Q322" s="47" t="n">
        <f aca="false">IF(C322&lt;Assumptions!$B$5,Pricing_M!$B$13*K322-Pricing_M!$B$13*M322-O322,-(N322+O322))</f>
        <v>-357.783860230846</v>
      </c>
      <c r="R322" s="32" t="n">
        <f aca="false">R321*(1-(1-(1-MIN(1,E321*(1-Assumptions!$B$21)))^(1/12)))*(1-H321)</f>
        <v>0.428532813588472</v>
      </c>
      <c r="S322" s="47" t="n">
        <f aca="false">R322*(IF(C322&lt;Assumptions!$B$5,Assumptions!$B$12*(1+Assumptions!$B$11)^(INT(A322/12)+1)/12+Pricing_M!$B$13*IF(A322=0,Assumptions!$B$14*12,IF(A322&gt;=12,Assumptions!$B$15,0))-Pricing_M!$B$13,Assumptions!$B$9/12*(1+Assumptions!$B$10)^INT(A322/12)+Assumptions!$B$12*(1+Assumptions!$B$11)^(INT(A322/12)+1)/12))*J322</f>
        <v>423.12437272329</v>
      </c>
      <c r="T322" s="32" t="n">
        <f aca="false">T321*(1-F321)*(1-(1-(1-MIN(1,G321*(1+Assumptions!$B$23)))^(1/12)))</f>
        <v>0.32825164174146</v>
      </c>
      <c r="U322" s="47" t="n">
        <f aca="false">T322*(IF(C322&lt;Assumptions!$B$5,Assumptions!$B$12*(1+Assumptions!$B$11)^(INT(A322/12)+1)/12+Pricing_M!$B$13*IF(A322=0,Assumptions!$B$14*12,IF(A322&gt;=12,Assumptions!$B$15,0))-Pricing_M!$B$13,Assumptions!$B$9/12*(1+Assumptions!$B$10)^INT(A322/12)+Assumptions!$B$12*(1+Assumptions!$B$11)^(INT(A322/12)+1)/12))*J322</f>
        <v>324.108832750029</v>
      </c>
      <c r="V322" s="32" t="n">
        <f aca="false">V321*(1-F321)*(1-(1-(1-MIN(1,G321*(1-Assumptions!$B$23)))^(1/12)))</f>
        <v>0.399639134989203</v>
      </c>
      <c r="W322" s="47" t="n">
        <f aca="false">V322*(IF(C322&lt;Assumptions!$B$5,Assumptions!$B$12*(1+Assumptions!$B$11)^(INT(A322/12)+1)/12+Pricing_M!$B$13*IF(A322=0,Assumptions!$B$14*12,IF(A322&gt;=12,Assumptions!$B$15,0))-Pricing_M!$B$13,Assumptions!$B$9/12*(1+Assumptions!$B$10)^INT(A322/12)+Assumptions!$B$12*(1+Assumptions!$B$11)^(INT(A322/12)+1)/12))*J322</f>
        <v>394.595356402209</v>
      </c>
      <c r="X322" s="47" t="n">
        <f aca="false">I322*(IF(C322&lt;Assumptions!$B$5,Assumptions!$B$12*(1+Assumptions!$B$11)*(1+Assumptions!$B$24)*(1+Assumptions!$B$11+Assumptions!$B$25)^(INT(A322/12))/12+Pricing_M!$B$13*IF(A322=0,Assumptions!$B$14*12,IF(A322&gt;=12,Assumptions!$B$15,0))-Pricing_M!$B$13,Assumptions!$B$9/12*(1+Assumptions!$B$10)^INT(A322/12)+Assumptions!$B$12*(1+Assumptions!$B$11)*(1+Assumptions!$B$24)*(1+Assumptions!$B$11+Assumptions!$B$25)^(INT(A322/12))/12))*J322</f>
        <v>358.644776470439</v>
      </c>
    </row>
    <row r="323" customFormat="false" ht="15" hidden="false" customHeight="true" outlineLevel="0" collapsed="false">
      <c r="A323" s="1" t="n">
        <v>316</v>
      </c>
      <c r="B323" s="31" t="n">
        <f aca="false">Assumptions!$B$4+A323/12</f>
        <v>91.3333333333333</v>
      </c>
      <c r="C323" s="34" t="n">
        <f aca="false">Assumptions!$B$4+INT(A323/12)</f>
        <v>91</v>
      </c>
      <c r="D323" s="34" t="n">
        <f aca="false">INT(A323/12)+1</f>
        <v>27</v>
      </c>
      <c r="E323" s="32" t="n">
        <f aca="false">IFERROR(INDEX(Cohort_Survival!$G$5:$G$65,MATCH(C323,Cohort_Survival!$A$5:$A$65,0)),1)</f>
        <v>0.107881542198355</v>
      </c>
      <c r="F323" s="30" t="n">
        <f aca="false">1-(1-MIN(1,E323))^(1/12)</f>
        <v>0.00946792386085349</v>
      </c>
      <c r="G323" s="39" t="n">
        <f aca="false">IF(C323&lt;Assumptions!$B$5,IF(D323=1,Assumptions!$B$16,IF(D323=2,Assumptions!$B$17,IF(D323&lt;=5,Assumptions!$B$18,Assumptions!$B$19)))*(1-Assumptions!$B$20),0)</f>
        <v>0</v>
      </c>
      <c r="H323" s="30" t="n">
        <f aca="false">1-(1-G323)^(1/12)</f>
        <v>0</v>
      </c>
      <c r="I323" s="30" t="n">
        <f aca="false">I322*(1-F322)*(1-H322)</f>
        <v>0.35892633909252</v>
      </c>
      <c r="J323" s="30" t="n">
        <f aca="false">INDEX(Discount_Monthly!$G$4:$G$664,MATCH(A323,Discount_Monthly!$A$4:$A$664,0))</f>
        <v>0.438812699129753</v>
      </c>
      <c r="K323" s="30" t="n">
        <f aca="false">IF(C323&lt;Assumptions!$B$5,I323*J323,0)</f>
        <v>0</v>
      </c>
      <c r="L323" s="30" t="n">
        <f aca="false">IF(C323&lt;Assumptions!$B$5,I323*(1-F323)*H323*A323*J323,0)</f>
        <v>0</v>
      </c>
      <c r="M323" s="30" t="n">
        <f aca="false">IF(A323=0,Assumptions!$B$14*12*I323*J323,IF(AND(A323&gt;=12,C323&lt;Assumptions!$B$5),Assumptions!$B$15*I323*J323,0))</f>
        <v>0</v>
      </c>
      <c r="N323" s="47" t="n">
        <f aca="false">IF(C323&gt;=Assumptions!$B$5,I323*Assumptions!$B$9/12*(1+Assumptions!$B$10)^INT(A323/12)*J323,0)</f>
        <v>351.421007262263</v>
      </c>
      <c r="O323" s="47" t="n">
        <f aca="false">I323*Assumptions!$B$12/12*(1+Assumptions!$B$11)^(INT(A323/12)+1)*J323</f>
        <v>2.04520866155608</v>
      </c>
      <c r="P323" s="47" t="n">
        <f aca="false">O323+Pricing_M!$B$13*M323+N323-Pricing_M!$B$13*K323</f>
        <v>353.466215923819</v>
      </c>
      <c r="Q323" s="47" t="n">
        <f aca="false">IF(C323&lt;Assumptions!$B$5,Pricing_M!$B$13*K323-Pricing_M!$B$13*M323-O323,-(N323+O323))</f>
        <v>-353.466215923819</v>
      </c>
      <c r="R323" s="32" t="n">
        <f aca="false">R322*(1-(1-(1-MIN(1,E322*(1-Assumptions!$B$21)))^(1/12)))*(1-H322)</f>
        <v>0.425321669966328</v>
      </c>
      <c r="S323" s="47" t="n">
        <f aca="false">R323*(IF(C323&lt;Assumptions!$B$5,Assumptions!$B$12*(1+Assumptions!$B$11)^(INT(A323/12)+1)/12+Pricing_M!$B$13*IF(A323=0,Assumptions!$B$14*12,IF(A323&gt;=12,Assumptions!$B$15,0))-Pricing_M!$B$13,Assumptions!$B$9/12*(1+Assumptions!$B$10)^INT(A323/12)+Assumptions!$B$12*(1+Assumptions!$B$11)^(INT(A323/12)+1)/12))*J323</f>
        <v>418.851515922449</v>
      </c>
      <c r="T323" s="32" t="n">
        <f aca="false">T322*(1-F322)*(1-(1-(1-MIN(1,G322*(1+Assumptions!$B$23)))^(1/12)))</f>
        <v>0.325143780190252</v>
      </c>
      <c r="U323" s="47" t="n">
        <f aca="false">T323*(IF(C323&lt;Assumptions!$B$5,Assumptions!$B$12*(1+Assumptions!$B$11)^(INT(A323/12)+1)/12+Pricing_M!$B$13*IF(A323=0,Assumptions!$B$14*12,IF(A323&gt;=12,Assumptions!$B$15,0))-Pricing_M!$B$13,Assumptions!$B$9/12*(1+Assumptions!$B$10)^INT(A323/12)+Assumptions!$B$12*(1+Assumptions!$B$11)^(INT(A323/12)+1)/12))*J323</f>
        <v>320.197570079663</v>
      </c>
      <c r="V323" s="32" t="n">
        <f aca="false">V322*(1-F322)*(1-(1-(1-MIN(1,G322*(1-Assumptions!$B$23)))^(1/12)))</f>
        <v>0.395855382087308</v>
      </c>
      <c r="W323" s="47" t="n">
        <f aca="false">V323*(IF(C323&lt;Assumptions!$B$5,Assumptions!$B$12*(1+Assumptions!$B$11)^(INT(A323/12)+1)/12+Pricing_M!$B$13*IF(A323=0,Assumptions!$B$14*12,IF(A323&gt;=12,Assumptions!$B$15,0))-Pricing_M!$B$13,Assumptions!$B$9/12*(1+Assumptions!$B$10)^INT(A323/12)+Assumptions!$B$12*(1+Assumptions!$B$11)^(INT(A323/12)+1)/12))*J323</f>
        <v>389.833480354894</v>
      </c>
      <c r="X323" s="47" t="n">
        <f aca="false">I323*(IF(C323&lt;Assumptions!$B$5,Assumptions!$B$12*(1+Assumptions!$B$11)*(1+Assumptions!$B$24)*(1+Assumptions!$B$11+Assumptions!$B$25)^(INT(A323/12))/12+Pricing_M!$B$13*IF(A323=0,Assumptions!$B$14*12,IF(A323&gt;=12,Assumptions!$B$15,0))-Pricing_M!$B$13,Assumptions!$B$9/12*(1+Assumptions!$B$10)^INT(A323/12)+Assumptions!$B$12*(1+Assumptions!$B$11)*(1+Assumptions!$B$24)*(1+Assumptions!$B$11+Assumptions!$B$25)^(INT(A323/12))/12))*J323</f>
        <v>354.316742845967</v>
      </c>
    </row>
    <row r="324" customFormat="false" ht="15" hidden="false" customHeight="true" outlineLevel="0" collapsed="false">
      <c r="A324" s="1" t="n">
        <v>317</v>
      </c>
      <c r="B324" s="31" t="n">
        <f aca="false">Assumptions!$B$4+A324/12</f>
        <v>91.4166666666667</v>
      </c>
      <c r="C324" s="34" t="n">
        <f aca="false">Assumptions!$B$4+INT(A324/12)</f>
        <v>91</v>
      </c>
      <c r="D324" s="34" t="n">
        <f aca="false">INT(A324/12)+1</f>
        <v>27</v>
      </c>
      <c r="E324" s="32" t="n">
        <f aca="false">IFERROR(INDEX(Cohort_Survival!$G$5:$G$65,MATCH(C324,Cohort_Survival!$A$5:$A$65,0)),1)</f>
        <v>0.107881542198355</v>
      </c>
      <c r="F324" s="30" t="n">
        <f aca="false">1-(1-MIN(1,E324))^(1/12)</f>
        <v>0.00946792386085349</v>
      </c>
      <c r="G324" s="39" t="n">
        <f aca="false">IF(C324&lt;Assumptions!$B$5,IF(D324=1,Assumptions!$B$16,IF(D324=2,Assumptions!$B$17,IF(D324&lt;=5,Assumptions!$B$18,Assumptions!$B$19)))*(1-Assumptions!$B$20),0)</f>
        <v>0</v>
      </c>
      <c r="H324" s="30" t="n">
        <f aca="false">1-(1-G324)^(1/12)</f>
        <v>0</v>
      </c>
      <c r="I324" s="30" t="n">
        <f aca="false">I323*(1-F323)*(1-H323)</f>
        <v>0.355528051842337</v>
      </c>
      <c r="J324" s="30" t="n">
        <f aca="false">INDEX(Discount_Monthly!$G$4:$G$664,MATCH(A324,Discount_Monthly!$A$4:$A$664,0))</f>
        <v>0.437660960123442</v>
      </c>
      <c r="K324" s="30" t="n">
        <f aca="false">IF(C324&lt;Assumptions!$B$5,I324*J324,0)</f>
        <v>0</v>
      </c>
      <c r="L324" s="30" t="n">
        <f aca="false">IF(C324&lt;Assumptions!$B$5,I324*(1-F324)*H324*A324*J324,0)</f>
        <v>0</v>
      </c>
      <c r="M324" s="30" t="n">
        <f aca="false">IF(A324=0,Assumptions!$B$14*12*I324*J324,IF(AND(A324&gt;=12,C324&lt;Assumptions!$B$5),Assumptions!$B$15*I324*J324,0))</f>
        <v>0</v>
      </c>
      <c r="N324" s="47" t="n">
        <f aca="false">IF(C324&gt;=Assumptions!$B$5,I324*Assumptions!$B$9/12*(1+Assumptions!$B$10)^INT(A324/12)*J324,0)</f>
        <v>347.180148240851</v>
      </c>
      <c r="O324" s="47" t="n">
        <f aca="false">I324*Assumptions!$B$12/12*(1+Assumptions!$B$11)^(INT(A324/12)+1)*J324</f>
        <v>2.02052760543311</v>
      </c>
      <c r="P324" s="47" t="n">
        <f aca="false">O324+Pricing_M!$B$13*M324+N324-Pricing_M!$B$13*K324</f>
        <v>349.200675846284</v>
      </c>
      <c r="Q324" s="47" t="n">
        <f aca="false">IF(C324&lt;Assumptions!$B$5,Pricing_M!$B$13*K324-Pricing_M!$B$13*M324-O324,-(N324+O324))</f>
        <v>-349.200675846284</v>
      </c>
      <c r="R324" s="32" t="n">
        <f aca="false">R323*(1-(1-(1-MIN(1,E323*(1-Assumptions!$B$21)))^(1/12)))*(1-H323)</f>
        <v>0.422134588546738</v>
      </c>
      <c r="S324" s="47" t="n">
        <f aca="false">R324*(IF(C324&lt;Assumptions!$B$5,Assumptions!$B$12*(1+Assumptions!$B$11)^(INT(A324/12)+1)/12+Pricing_M!$B$13*IF(A324=0,Assumptions!$B$14*12,IF(A324&gt;=12,Assumptions!$B$15,0))-Pricing_M!$B$13,Assumptions!$B$9/12*(1+Assumptions!$B$10)^INT(A324/12)+Assumptions!$B$12*(1+Assumptions!$B$11)^(INT(A324/12)+1)/12))*J324</f>
        <v>414.62180791288</v>
      </c>
      <c r="T324" s="32" t="n">
        <f aca="false">T323*(1-F323)*(1-(1-(1-MIN(1,G323*(1+Assumptions!$B$23)))^(1/12)))</f>
        <v>0.32206534363558</v>
      </c>
      <c r="U324" s="47" t="n">
        <f aca="false">T324*(IF(C324&lt;Assumptions!$B$5,Assumptions!$B$12*(1+Assumptions!$B$11)^(INT(A324/12)+1)/12+Pricing_M!$B$13*IF(A324=0,Assumptions!$B$14*12,IF(A324&gt;=12,Assumptions!$B$15,0))-Pricing_M!$B$13,Assumptions!$B$9/12*(1+Assumptions!$B$10)^INT(A324/12)+Assumptions!$B$12*(1+Assumptions!$B$11)^(INT(A324/12)+1)/12))*J324</f>
        <v>316.33350752892</v>
      </c>
      <c r="V324" s="32" t="n">
        <f aca="false">V323*(1-F323)*(1-(1-(1-MIN(1,G323*(1-Assumptions!$B$23)))^(1/12)))</f>
        <v>0.392107453469796</v>
      </c>
      <c r="W324" s="47" t="n">
        <f aca="false">V324*(IF(C324&lt;Assumptions!$B$5,Assumptions!$B$12*(1+Assumptions!$B$11)^(INT(A324/12)+1)/12+Pricing_M!$B$13*IF(A324=0,Assumptions!$B$14*12,IF(A324&gt;=12,Assumptions!$B$15,0))-Pricing_M!$B$13,Assumptions!$B$9/12*(1+Assumptions!$B$10)^INT(A324/12)+Assumptions!$B$12*(1+Assumptions!$B$11)^(INT(A324/12)+1)/12))*J324</f>
        <v>385.12906941233</v>
      </c>
      <c r="X324" s="47" t="n">
        <f aca="false">I324*(IF(C324&lt;Assumptions!$B$5,Assumptions!$B$12*(1+Assumptions!$B$11)*(1+Assumptions!$B$24)*(1+Assumptions!$B$11+Assumptions!$B$25)^(INT(A324/12))/12+Pricing_M!$B$13*IF(A324=0,Assumptions!$B$14*12,IF(A324&gt;=12,Assumptions!$B$15,0))-Pricing_M!$B$13,Assumptions!$B$9/12*(1+Assumptions!$B$10)^INT(A324/12)+Assumptions!$B$12*(1+Assumptions!$B$11)*(1+Assumptions!$B$24)*(1+Assumptions!$B$11+Assumptions!$B$25)^(INT(A324/12))/12))*J324</f>
        <v>350.040938826618</v>
      </c>
    </row>
    <row r="325" customFormat="false" ht="15" hidden="false" customHeight="true" outlineLevel="0" collapsed="false">
      <c r="A325" s="1" t="n">
        <v>318</v>
      </c>
      <c r="B325" s="31" t="n">
        <f aca="false">Assumptions!$B$4+A325/12</f>
        <v>91.5</v>
      </c>
      <c r="C325" s="34" t="n">
        <f aca="false">Assumptions!$B$4+INT(A325/12)</f>
        <v>91</v>
      </c>
      <c r="D325" s="34" t="n">
        <f aca="false">INT(A325/12)+1</f>
        <v>27</v>
      </c>
      <c r="E325" s="32" t="n">
        <f aca="false">IFERROR(INDEX(Cohort_Survival!$G$5:$G$65,MATCH(C325,Cohort_Survival!$A$5:$A$65,0)),1)</f>
        <v>0.107881542198355</v>
      </c>
      <c r="F325" s="30" t="n">
        <f aca="false">1-(1-MIN(1,E325))^(1/12)</f>
        <v>0.00946792386085349</v>
      </c>
      <c r="G325" s="39" t="n">
        <f aca="false">IF(C325&lt;Assumptions!$B$5,IF(D325=1,Assumptions!$B$16,IF(D325=2,Assumptions!$B$17,IF(D325&lt;=5,Assumptions!$B$18,Assumptions!$B$19)))*(1-Assumptions!$B$20),0)</f>
        <v>0</v>
      </c>
      <c r="H325" s="30" t="n">
        <f aca="false">1-(1-G325)^(1/12)</f>
        <v>0</v>
      </c>
      <c r="I325" s="30" t="n">
        <f aca="false">I324*(1-F324)*(1-H324)</f>
        <v>0.352161939317096</v>
      </c>
      <c r="J325" s="30" t="n">
        <f aca="false">INDEX(Discount_Monthly!$G$4:$G$664,MATCH(A325,Discount_Monthly!$A$4:$A$664,0))</f>
        <v>0.436512244053207</v>
      </c>
      <c r="K325" s="30" t="n">
        <f aca="false">IF(C325&lt;Assumptions!$B$5,I325*J325,0)</f>
        <v>0</v>
      </c>
      <c r="L325" s="30" t="n">
        <f aca="false">IF(C325&lt;Assumptions!$B$5,I325*(1-F325)*H325*A325*J325,0)</f>
        <v>0</v>
      </c>
      <c r="M325" s="30" t="n">
        <f aca="false">IF(A325=0,Assumptions!$B$14*12*I325*J325,IF(AND(A325&gt;=12,C325&lt;Assumptions!$B$5),Assumptions!$B$15*I325*J325,0))</f>
        <v>0</v>
      </c>
      <c r="N325" s="47" t="n">
        <f aca="false">IF(C325&gt;=Assumptions!$B$5,I325*Assumptions!$B$9/12*(1+Assumptions!$B$10)^INT(A325/12)*J325,0)</f>
        <v>342.990466823702</v>
      </c>
      <c r="O325" s="47" t="n">
        <f aca="false">I325*Assumptions!$B$12/12*(1+Assumptions!$B$11)^(INT(A325/12)+1)*J325</f>
        <v>1.99614439399601</v>
      </c>
      <c r="P325" s="47" t="n">
        <f aca="false">O325+Pricing_M!$B$13*M325+N325-Pricing_M!$B$13*K325</f>
        <v>344.986611217698</v>
      </c>
      <c r="Q325" s="47" t="n">
        <f aca="false">IF(C325&lt;Assumptions!$B$5,Pricing_M!$B$13*K325-Pricing_M!$B$13*M325-O325,-(N325+O325))</f>
        <v>-344.986611217698</v>
      </c>
      <c r="R325" s="32" t="n">
        <f aca="false">R324*(1-(1-(1-MIN(1,E324*(1-Assumptions!$B$21)))^(1/12)))*(1-H324)</f>
        <v>0.418971389023352</v>
      </c>
      <c r="S325" s="47" t="n">
        <f aca="false">R325*(IF(C325&lt;Assumptions!$B$5,Assumptions!$B$12*(1+Assumptions!$B$11)^(INT(A325/12)+1)/12+Pricing_M!$B$13*IF(A325=0,Assumptions!$B$14*12,IF(A325&gt;=12,Assumptions!$B$15,0))-Pricing_M!$B$13,Assumptions!$B$9/12*(1+Assumptions!$B$10)^INT(A325/12)+Assumptions!$B$12*(1+Assumptions!$B$11)^(INT(A325/12)+1)/12))*J325</f>
        <v>410.434812963108</v>
      </c>
      <c r="T325" s="32" t="n">
        <f aca="false">T324*(1-F324)*(1-(1-(1-MIN(1,G324*(1+Assumptions!$B$23)))^(1/12)))</f>
        <v>0.319016053483819</v>
      </c>
      <c r="U325" s="47" t="n">
        <f aca="false">T325*(IF(C325&lt;Assumptions!$B$5,Assumptions!$B$12*(1+Assumptions!$B$11)^(INT(A325/12)+1)/12+Pricing_M!$B$13*IF(A325=0,Assumptions!$B$14*12,IF(A325&gt;=12,Assumptions!$B$15,0))-Pricing_M!$B$13,Assumptions!$B$9/12*(1+Assumptions!$B$10)^INT(A325/12)+Assumptions!$B$12*(1+Assumptions!$B$11)^(INT(A325/12)+1)/12))*J325</f>
        <v>312.516075498803</v>
      </c>
      <c r="V325" s="32" t="n">
        <f aca="false">V324*(1-F324)*(1-(1-(1-MIN(1,G324*(1-Assumptions!$B$23)))^(1/12)))</f>
        <v>0.388395009955071</v>
      </c>
      <c r="W325" s="47" t="n">
        <f aca="false">V325*(IF(C325&lt;Assumptions!$B$5,Assumptions!$B$12*(1+Assumptions!$B$11)^(INT(A325/12)+1)/12+Pricing_M!$B$13*IF(A325=0,Assumptions!$B$14*12,IF(A325&gt;=12,Assumptions!$B$15,0))-Pricing_M!$B$13,Assumptions!$B$9/12*(1+Assumptions!$B$10)^INT(A325/12)+Assumptions!$B$12*(1+Assumptions!$B$11)^(INT(A325/12)+1)/12))*J325</f>
        <v>380.4814301003</v>
      </c>
      <c r="X325" s="47" t="n">
        <f aca="false">I325*(IF(C325&lt;Assumptions!$B$5,Assumptions!$B$12*(1+Assumptions!$B$11)*(1+Assumptions!$B$24)*(1+Assumptions!$B$11+Assumptions!$B$25)^(INT(A325/12))/12+Pricing_M!$B$13*IF(A325=0,Assumptions!$B$14*12,IF(A325&gt;=12,Assumptions!$B$15,0))-Pricing_M!$B$13,Assumptions!$B$9/12*(1+Assumptions!$B$10)^INT(A325/12)+Assumptions!$B$12*(1+Assumptions!$B$11)*(1+Assumptions!$B$24)*(1+Assumptions!$B$11+Assumptions!$B$25)^(INT(A325/12))/12))*J325</f>
        <v>345.816734118849</v>
      </c>
    </row>
    <row r="326" customFormat="false" ht="15" hidden="false" customHeight="true" outlineLevel="0" collapsed="false">
      <c r="A326" s="1" t="n">
        <v>319</v>
      </c>
      <c r="B326" s="31" t="n">
        <f aca="false">Assumptions!$B$4+A326/12</f>
        <v>91.5833333333333</v>
      </c>
      <c r="C326" s="34" t="n">
        <f aca="false">Assumptions!$B$4+INT(A326/12)</f>
        <v>91</v>
      </c>
      <c r="D326" s="34" t="n">
        <f aca="false">INT(A326/12)+1</f>
        <v>27</v>
      </c>
      <c r="E326" s="32" t="n">
        <f aca="false">IFERROR(INDEX(Cohort_Survival!$G$5:$G$65,MATCH(C326,Cohort_Survival!$A$5:$A$65,0)),1)</f>
        <v>0.107881542198355</v>
      </c>
      <c r="F326" s="30" t="n">
        <f aca="false">1-(1-MIN(1,E326))^(1/12)</f>
        <v>0.00946792386085349</v>
      </c>
      <c r="G326" s="39" t="n">
        <f aca="false">IF(C326&lt;Assumptions!$B$5,IF(D326=1,Assumptions!$B$16,IF(D326=2,Assumptions!$B$17,IF(D326&lt;=5,Assumptions!$B$18,Assumptions!$B$19)))*(1-Assumptions!$B$20),0)</f>
        <v>0</v>
      </c>
      <c r="H326" s="30" t="n">
        <f aca="false">1-(1-G326)^(1/12)</f>
        <v>0</v>
      </c>
      <c r="I326" s="30" t="n">
        <f aca="false">I325*(1-F325)*(1-H325)</f>
        <v>0.348827696888952</v>
      </c>
      <c r="J326" s="30" t="n">
        <f aca="false">INDEX(Discount_Monthly!$G$4:$G$664,MATCH(A326,Discount_Monthly!$A$4:$A$664,0))</f>
        <v>0.435366542984835</v>
      </c>
      <c r="K326" s="30" t="n">
        <f aca="false">IF(C326&lt;Assumptions!$B$5,I326*J326,0)</f>
        <v>0</v>
      </c>
      <c r="L326" s="30" t="n">
        <f aca="false">IF(C326&lt;Assumptions!$B$5,I326*(1-F326)*H326*A326*J326,0)</f>
        <v>0</v>
      </c>
      <c r="M326" s="30" t="n">
        <f aca="false">IF(A326=0,Assumptions!$B$14*12*I326*J326,IF(AND(A326&gt;=12,C326&lt;Assumptions!$B$5),Assumptions!$B$15*I326*J326,0))</f>
        <v>0</v>
      </c>
      <c r="N326" s="47" t="n">
        <f aca="false">IF(C326&gt;=Assumptions!$B$5,I326*Assumptions!$B$9/12*(1+Assumptions!$B$10)^INT(A326/12)*J326,0)</f>
        <v>338.851345412551</v>
      </c>
      <c r="O326" s="47" t="n">
        <f aca="false">I326*Assumptions!$B$12/12*(1+Assumptions!$B$11)^(INT(A326/12)+1)*J326</f>
        <v>1.97205543293114</v>
      </c>
      <c r="P326" s="47" t="n">
        <f aca="false">O326+Pricing_M!$B$13*M326+N326-Pricing_M!$B$13*K326</f>
        <v>340.823400845482</v>
      </c>
      <c r="Q326" s="47" t="n">
        <f aca="false">IF(C326&lt;Assumptions!$B$5,Pricing_M!$B$13*K326-Pricing_M!$B$13*M326-O326,-(N326+O326))</f>
        <v>-340.823400845482</v>
      </c>
      <c r="R326" s="32" t="n">
        <f aca="false">R325*(1-(1-(1-MIN(1,E325*(1-Assumptions!$B$21)))^(1/12)))*(1-H325)</f>
        <v>0.415831892440914</v>
      </c>
      <c r="S326" s="47" t="n">
        <f aca="false">R326*(IF(C326&lt;Assumptions!$B$5,Assumptions!$B$12*(1+Assumptions!$B$11)^(INT(A326/12)+1)/12+Pricing_M!$B$13*IF(A326=0,Assumptions!$B$14*12,IF(A326&gt;=12,Assumptions!$B$15,0))-Pricing_M!$B$13,Assumptions!$B$9/12*(1+Assumptions!$B$10)^INT(A326/12)+Assumptions!$B$12*(1+Assumptions!$B$11)^(INT(A326/12)+1)/12))*J326</f>
        <v>406.29009974183</v>
      </c>
      <c r="T326" s="32" t="n">
        <f aca="false">T325*(1-F325)*(1-(1-(1-MIN(1,G325*(1+Assumptions!$B$23)))^(1/12)))</f>
        <v>0.315995633779044</v>
      </c>
      <c r="U326" s="47" t="n">
        <f aca="false">T326*(IF(C326&lt;Assumptions!$B$5,Assumptions!$B$12*(1+Assumptions!$B$11)^(INT(A326/12)+1)/12+Pricing_M!$B$13*IF(A326=0,Assumptions!$B$14*12,IF(A326&gt;=12,Assumptions!$B$15,0))-Pricing_M!$B$13,Assumptions!$B$9/12*(1+Assumptions!$B$10)^INT(A326/12)+Assumptions!$B$12*(1+Assumptions!$B$11)^(INT(A326/12)+1)/12))*J326</f>
        <v>308.744711264091</v>
      </c>
      <c r="V326" s="32" t="n">
        <f aca="false">V325*(1-F325)*(1-(1-(1-MIN(1,G325*(1-Assumptions!$B$23)))^(1/12)))</f>
        <v>0.384717715572881</v>
      </c>
      <c r="W326" s="47" t="n">
        <f aca="false">V326*(IF(C326&lt;Assumptions!$B$5,Assumptions!$B$12*(1+Assumptions!$B$11)^(INT(A326/12)+1)/12+Pricing_M!$B$13*IF(A326=0,Assumptions!$B$14*12,IF(A326&gt;=12,Assumptions!$B$15,0))-Pricing_M!$B$13,Assumptions!$B$9/12*(1+Assumptions!$B$10)^INT(A326/12)+Assumptions!$B$12*(1+Assumptions!$B$11)^(INT(A326/12)+1)/12))*J326</f>
        <v>375.889877313257</v>
      </c>
      <c r="X326" s="47" t="n">
        <f aca="false">I326*(IF(C326&lt;Assumptions!$B$5,Assumptions!$B$12*(1+Assumptions!$B$11)*(1+Assumptions!$B$24)*(1+Assumptions!$B$11+Assumptions!$B$25)^(INT(A326/12))/12+Pricing_M!$B$13*IF(A326=0,Assumptions!$B$14*12,IF(A326&gt;=12,Assumptions!$B$15,0))-Pricing_M!$B$13,Assumptions!$B$9/12*(1+Assumptions!$B$10)^INT(A326/12)+Assumptions!$B$12*(1+Assumptions!$B$11)*(1+Assumptions!$B$24)*(1+Assumptions!$B$11+Assumptions!$B$25)^(INT(A326/12))/12))*J326</f>
        <v>341.643506035336</v>
      </c>
    </row>
    <row r="327" customFormat="false" ht="15" hidden="false" customHeight="true" outlineLevel="0" collapsed="false">
      <c r="A327" s="1" t="n">
        <v>320</v>
      </c>
      <c r="B327" s="31" t="n">
        <f aca="false">Assumptions!$B$4+A327/12</f>
        <v>91.6666666666667</v>
      </c>
      <c r="C327" s="34" t="n">
        <f aca="false">Assumptions!$B$4+INT(A327/12)</f>
        <v>91</v>
      </c>
      <c r="D327" s="34" t="n">
        <f aca="false">INT(A327/12)+1</f>
        <v>27</v>
      </c>
      <c r="E327" s="32" t="n">
        <f aca="false">IFERROR(INDEX(Cohort_Survival!$G$5:$G$65,MATCH(C327,Cohort_Survival!$A$5:$A$65,0)),1)</f>
        <v>0.107881542198355</v>
      </c>
      <c r="F327" s="30" t="n">
        <f aca="false">1-(1-MIN(1,E327))^(1/12)</f>
        <v>0.00946792386085349</v>
      </c>
      <c r="G327" s="39" t="n">
        <f aca="false">IF(C327&lt;Assumptions!$B$5,IF(D327=1,Assumptions!$B$16,IF(D327=2,Assumptions!$B$17,IF(D327&lt;=5,Assumptions!$B$18,Assumptions!$B$19)))*(1-Assumptions!$B$20),0)</f>
        <v>0</v>
      </c>
      <c r="H327" s="30" t="n">
        <f aca="false">1-(1-G327)^(1/12)</f>
        <v>0</v>
      </c>
      <c r="I327" s="30" t="n">
        <f aca="false">I326*(1-F326)*(1-H326)</f>
        <v>0.34552502281425</v>
      </c>
      <c r="J327" s="30" t="n">
        <f aca="false">INDEX(Discount_Monthly!$G$4:$G$664,MATCH(A327,Discount_Monthly!$A$4:$A$664,0))</f>
        <v>0.434223849004938</v>
      </c>
      <c r="K327" s="30" t="n">
        <f aca="false">IF(C327&lt;Assumptions!$B$5,I327*J327,0)</f>
        <v>0</v>
      </c>
      <c r="L327" s="30" t="n">
        <f aca="false">IF(C327&lt;Assumptions!$B$5,I327*(1-F327)*H327*A327*J327,0)</f>
        <v>0</v>
      </c>
      <c r="M327" s="30" t="n">
        <f aca="false">IF(A327=0,Assumptions!$B$14*12*I327*J327,IF(AND(A327&gt;=12,C327&lt;Assumptions!$B$5),Assumptions!$B$15*I327*J327,0))</f>
        <v>0</v>
      </c>
      <c r="N327" s="47" t="n">
        <f aca="false">IF(C327&gt;=Assumptions!$B$5,I327*Assumptions!$B$9/12*(1+Assumptions!$B$10)^INT(A327/12)*J327,0)</f>
        <v>334.762173862149</v>
      </c>
      <c r="O327" s="47" t="n">
        <f aca="false">I327*Assumptions!$B$12/12*(1+Assumptions!$B$11)^(INT(A327/12)+1)*J327</f>
        <v>1.9482571713001</v>
      </c>
      <c r="P327" s="47" t="n">
        <f aca="false">O327+Pricing_M!$B$13*M327+N327-Pricing_M!$B$13*K327</f>
        <v>336.710431033449</v>
      </c>
      <c r="Q327" s="47" t="n">
        <f aca="false">IF(C327&lt;Assumptions!$B$5,Pricing_M!$B$13*K327-Pricing_M!$B$13*M327-O327,-(N327+O327))</f>
        <v>-336.710431033449</v>
      </c>
      <c r="R327" s="32" t="n">
        <f aca="false">R326*(1-(1-(1-MIN(1,E326*(1-Assumptions!$B$21)))^(1/12)))*(1-H326)</f>
        <v>0.412715921185144</v>
      </c>
      <c r="S327" s="47" t="n">
        <f aca="false">R327*(IF(C327&lt;Assumptions!$B$5,Assumptions!$B$12*(1+Assumptions!$B$11)^(INT(A327/12)+1)/12+Pricing_M!$B$13*IF(A327=0,Assumptions!$B$14*12,IF(A327&gt;=12,Assumptions!$B$15,0))-Pricing_M!$B$13,Assumptions!$B$9/12*(1+Assumptions!$B$10)^INT(A327/12)+Assumptions!$B$12*(1+Assumptions!$B$11)^(INT(A327/12)+1)/12))*J327</f>
        <v>402.187241273472</v>
      </c>
      <c r="T327" s="32" t="n">
        <f aca="false">T326*(1-F326)*(1-(1-(1-MIN(1,G326*(1+Assumptions!$B$23)))^(1/12)))</f>
        <v>0.313003811178062</v>
      </c>
      <c r="U327" s="47" t="n">
        <f aca="false">T327*(IF(C327&lt;Assumptions!$B$5,Assumptions!$B$12*(1+Assumptions!$B$11)^(INT(A327/12)+1)/12+Pricing_M!$B$13*IF(A327=0,Assumptions!$B$14*12,IF(A327&gt;=12,Assumptions!$B$15,0))-Pricing_M!$B$13,Assumptions!$B$9/12*(1+Assumptions!$B$10)^INT(A327/12)+Assumptions!$B$12*(1+Assumptions!$B$11)^(INT(A327/12)+1)/12))*J327</f>
        <v>305.018858890387</v>
      </c>
      <c r="V327" s="32" t="n">
        <f aca="false">V326*(1-F326)*(1-(1-(1-MIN(1,G326*(1-Assumptions!$B$23)))^(1/12)))</f>
        <v>0.381075237533915</v>
      </c>
      <c r="W327" s="47" t="n">
        <f aca="false">V327*(IF(C327&lt;Assumptions!$B$5,Assumptions!$B$12*(1+Assumptions!$B$11)^(INT(A327/12)+1)/12+Pricing_M!$B$13*IF(A327=0,Assumptions!$B$14*12,IF(A327&gt;=12,Assumptions!$B$15,0))-Pricing_M!$B$13,Assumptions!$B$9/12*(1+Assumptions!$B$10)^INT(A327/12)+Assumptions!$B$12*(1+Assumptions!$B$11)^(INT(A327/12)+1)/12))*J327</f>
        <v>371.353734213332</v>
      </c>
      <c r="X327" s="47" t="n">
        <f aca="false">I327*(IF(C327&lt;Assumptions!$B$5,Assumptions!$B$12*(1+Assumptions!$B$11)*(1+Assumptions!$B$24)*(1+Assumptions!$B$11+Assumptions!$B$25)^(INT(A327/12))/12+Pricing_M!$B$13*IF(A327=0,Assumptions!$B$14*12,IF(A327&gt;=12,Assumptions!$B$15,0))-Pricing_M!$B$13,Assumptions!$B$9/12*(1+Assumptions!$B$10)^INT(A327/12)+Assumptions!$B$12*(1+Assumptions!$B$11)*(1+Assumptions!$B$24)*(1+Assumptions!$B$11+Assumptions!$B$25)^(INT(A327/12))/12))*J327</f>
        <v>337.52063940319</v>
      </c>
    </row>
    <row r="328" customFormat="false" ht="15" hidden="false" customHeight="true" outlineLevel="0" collapsed="false">
      <c r="A328" s="1" t="n">
        <v>321</v>
      </c>
      <c r="B328" s="31" t="n">
        <f aca="false">Assumptions!$B$4+A328/12</f>
        <v>91.75</v>
      </c>
      <c r="C328" s="34" t="n">
        <f aca="false">Assumptions!$B$4+INT(A328/12)</f>
        <v>91</v>
      </c>
      <c r="D328" s="34" t="n">
        <f aca="false">INT(A328/12)+1</f>
        <v>27</v>
      </c>
      <c r="E328" s="32" t="n">
        <f aca="false">IFERROR(INDEX(Cohort_Survival!$G$5:$G$65,MATCH(C328,Cohort_Survival!$A$5:$A$65,0)),1)</f>
        <v>0.107881542198355</v>
      </c>
      <c r="F328" s="30" t="n">
        <f aca="false">1-(1-MIN(1,E328))^(1/12)</f>
        <v>0.00946792386085349</v>
      </c>
      <c r="G328" s="39" t="n">
        <f aca="false">IF(C328&lt;Assumptions!$B$5,IF(D328=1,Assumptions!$B$16,IF(D328=2,Assumptions!$B$17,IF(D328&lt;=5,Assumptions!$B$18,Assumptions!$B$19)))*(1-Assumptions!$B$20),0)</f>
        <v>0</v>
      </c>
      <c r="H328" s="30" t="n">
        <f aca="false">1-(1-G328)^(1/12)</f>
        <v>0</v>
      </c>
      <c r="I328" s="30" t="n">
        <f aca="false">I327*(1-F327)*(1-H327)</f>
        <v>0.342253618206225</v>
      </c>
      <c r="J328" s="30" t="n">
        <f aca="false">INDEX(Discount_Monthly!$G$4:$G$664,MATCH(A328,Discount_Monthly!$A$4:$A$664,0))</f>
        <v>0.433084154220896</v>
      </c>
      <c r="K328" s="30" t="n">
        <f aca="false">IF(C328&lt;Assumptions!$B$5,I328*J328,0)</f>
        <v>0</v>
      </c>
      <c r="L328" s="30" t="n">
        <f aca="false">IF(C328&lt;Assumptions!$B$5,I328*(1-F328)*H328*A328*J328,0)</f>
        <v>0</v>
      </c>
      <c r="M328" s="30" t="n">
        <f aca="false">IF(A328=0,Assumptions!$B$14*12*I328*J328,IF(AND(A328&gt;=12,C328&lt;Assumptions!$B$5),Assumptions!$B$15*I328*J328,0))</f>
        <v>0</v>
      </c>
      <c r="N328" s="47" t="n">
        <f aca="false">IF(C328&gt;=Assumptions!$B$5,I328*Assumptions!$B$9/12*(1+Assumptions!$B$10)^INT(A328/12)*J328,0)</f>
        <v>330.722349390326</v>
      </c>
      <c r="O328" s="47" t="n">
        <f aca="false">I328*Assumptions!$B$12/12*(1+Assumptions!$B$11)^(INT(A328/12)+1)*J328</f>
        <v>1.92474610101633</v>
      </c>
      <c r="P328" s="47" t="n">
        <f aca="false">O328+Pricing_M!$B$13*M328+N328-Pricing_M!$B$13*K328</f>
        <v>332.647095491343</v>
      </c>
      <c r="Q328" s="47" t="n">
        <f aca="false">IF(C328&lt;Assumptions!$B$5,Pricing_M!$B$13*K328-Pricing_M!$B$13*M328-O328,-(N328+O328))</f>
        <v>-332.647095491343</v>
      </c>
      <c r="R328" s="32" t="n">
        <f aca="false">R327*(1-(1-(1-MIN(1,E327*(1-Assumptions!$B$21)))^(1/12)))*(1-H327)</f>
        <v>0.409623298972685</v>
      </c>
      <c r="S328" s="47" t="n">
        <f aca="false">R328*(IF(C328&lt;Assumptions!$B$5,Assumptions!$B$12*(1+Assumptions!$B$11)^(INT(A328/12)+1)/12+Pricing_M!$B$13*IF(A328=0,Assumptions!$B$14*12,IF(A328&gt;=12,Assumptions!$B$15,0))-Pricing_M!$B$13,Assumptions!$B$9/12*(1+Assumptions!$B$10)^INT(A328/12)+Assumptions!$B$12*(1+Assumptions!$B$11)^(INT(A328/12)+1)/12))*J328</f>
        <v>398.125814894211</v>
      </c>
      <c r="T328" s="32" t="n">
        <f aca="false">T327*(1-F327)*(1-(1-(1-MIN(1,G327*(1+Assumptions!$B$23)))^(1/12)))</f>
        <v>0.310040314925671</v>
      </c>
      <c r="U328" s="47" t="n">
        <f aca="false">T328*(IF(C328&lt;Assumptions!$B$5,Assumptions!$B$12*(1+Assumptions!$B$11)^(INT(A328/12)+1)/12+Pricing_M!$B$13*IF(A328=0,Assumptions!$B$14*12,IF(A328&gt;=12,Assumptions!$B$15,0))-Pricing_M!$B$13,Assumptions!$B$9/12*(1+Assumptions!$B$10)^INT(A328/12)+Assumptions!$B$12*(1+Assumptions!$B$11)^(INT(A328/12)+1)/12))*J328</f>
        <v>301.337969152169</v>
      </c>
      <c r="V328" s="32" t="n">
        <f aca="false">V327*(1-F327)*(1-(1-(1-MIN(1,G327*(1-Assumptions!$B$23)))^(1/12)))</f>
        <v>0.377467246199687</v>
      </c>
      <c r="W328" s="47" t="n">
        <f aca="false">V328*(IF(C328&lt;Assumptions!$B$5,Assumptions!$B$12*(1+Assumptions!$B$11)^(INT(A328/12)+1)/12+Pricing_M!$B$13*IF(A328=0,Assumptions!$B$14*12,IF(A328&gt;=12,Assumptions!$B$15,0))-Pricing_M!$B$13,Assumptions!$B$9/12*(1+Assumptions!$B$10)^INT(A328/12)+Assumptions!$B$12*(1+Assumptions!$B$11)^(INT(A328/12)+1)/12))*J328</f>
        <v>366.872332130564</v>
      </c>
      <c r="X328" s="47" t="n">
        <f aca="false">I328*(IF(C328&lt;Assumptions!$B$5,Assumptions!$B$12*(1+Assumptions!$B$11)*(1+Assumptions!$B$24)*(1+Assumptions!$B$11+Assumptions!$B$25)^(INT(A328/12))/12+Pricing_M!$B$13*IF(A328=0,Assumptions!$B$14*12,IF(A328&gt;=12,Assumptions!$B$15,0))-Pricing_M!$B$13,Assumptions!$B$9/12*(1+Assumptions!$B$10)^INT(A328/12)+Assumptions!$B$12*(1+Assumptions!$B$11)*(1+Assumptions!$B$24)*(1+Assumptions!$B$11+Assumptions!$B$25)^(INT(A328/12))/12))*J328</f>
        <v>333.447526473269</v>
      </c>
    </row>
    <row r="329" customFormat="false" ht="15" hidden="false" customHeight="true" outlineLevel="0" collapsed="false">
      <c r="A329" s="1" t="n">
        <v>322</v>
      </c>
      <c r="B329" s="31" t="n">
        <f aca="false">Assumptions!$B$4+A329/12</f>
        <v>91.8333333333333</v>
      </c>
      <c r="C329" s="34" t="n">
        <f aca="false">Assumptions!$B$4+INT(A329/12)</f>
        <v>91</v>
      </c>
      <c r="D329" s="34" t="n">
        <f aca="false">INT(A329/12)+1</f>
        <v>27</v>
      </c>
      <c r="E329" s="32" t="n">
        <f aca="false">IFERROR(INDEX(Cohort_Survival!$G$5:$G$65,MATCH(C329,Cohort_Survival!$A$5:$A$65,0)),1)</f>
        <v>0.107881542198355</v>
      </c>
      <c r="F329" s="30" t="n">
        <f aca="false">1-(1-MIN(1,E329))^(1/12)</f>
        <v>0.00946792386085349</v>
      </c>
      <c r="G329" s="39" t="n">
        <f aca="false">IF(C329&lt;Assumptions!$B$5,IF(D329=1,Assumptions!$B$16,IF(D329=2,Assumptions!$B$17,IF(D329&lt;=5,Assumptions!$B$18,Assumptions!$B$19)))*(1-Assumptions!$B$20),0)</f>
        <v>0</v>
      </c>
      <c r="H329" s="30" t="n">
        <f aca="false">1-(1-G329)^(1/12)</f>
        <v>0</v>
      </c>
      <c r="I329" s="30" t="n">
        <f aca="false">I328*(1-F328)*(1-H328)</f>
        <v>0.339013187007947</v>
      </c>
      <c r="J329" s="30" t="n">
        <f aca="false">INDEX(Discount_Monthly!$G$4:$G$664,MATCH(A329,Discount_Monthly!$A$4:$A$664,0))</f>
        <v>0.431947450760809</v>
      </c>
      <c r="K329" s="30" t="n">
        <f aca="false">IF(C329&lt;Assumptions!$B$5,I329*J329,0)</f>
        <v>0</v>
      </c>
      <c r="L329" s="30" t="n">
        <f aca="false">IF(C329&lt;Assumptions!$B$5,I329*(1-F329)*H329*A329*J329,0)</f>
        <v>0</v>
      </c>
      <c r="M329" s="30" t="n">
        <f aca="false">IF(A329=0,Assumptions!$B$14*12*I329*J329,IF(AND(A329&gt;=12,C329&lt;Assumptions!$B$5),Assumptions!$B$15*I329*J329,0))</f>
        <v>0</v>
      </c>
      <c r="N329" s="47" t="n">
        <f aca="false">IF(C329&gt;=Assumptions!$B$5,I329*Assumptions!$B$9/12*(1+Assumptions!$B$10)^INT(A329/12)*J329,0)</f>
        <v>326.731276489133</v>
      </c>
      <c r="O329" s="47" t="n">
        <f aca="false">I329*Assumptions!$B$12/12*(1+Assumptions!$B$11)^(INT(A329/12)+1)*J329</f>
        <v>1.90151875632793</v>
      </c>
      <c r="P329" s="47" t="n">
        <f aca="false">O329+Pricing_M!$B$13*M329+N329-Pricing_M!$B$13*K329</f>
        <v>328.632795245461</v>
      </c>
      <c r="Q329" s="47" t="n">
        <f aca="false">IF(C329&lt;Assumptions!$B$5,Pricing_M!$B$13*K329-Pricing_M!$B$13*M329-O329,-(N329+O329))</f>
        <v>-328.632795245461</v>
      </c>
      <c r="R329" s="32" t="n">
        <f aca="false">R328*(1-(1-(1-MIN(1,E328*(1-Assumptions!$B$21)))^(1/12)))*(1-H328)</f>
        <v>0.406553850841133</v>
      </c>
      <c r="S329" s="47" t="n">
        <f aca="false">R329*(IF(C329&lt;Assumptions!$B$5,Assumptions!$B$12*(1+Assumptions!$B$11)^(INT(A329/12)+1)/12+Pricing_M!$B$13*IF(A329=0,Assumptions!$B$14*12,IF(A329&gt;=12,Assumptions!$B$15,0))-Pricing_M!$B$13,Assumptions!$B$9/12*(1+Assumptions!$B$10)^INT(A329/12)+Assumptions!$B$12*(1+Assumptions!$B$11)^(INT(A329/12)+1)/12))*J329</f>
        <v>394.105402208427</v>
      </c>
      <c r="T329" s="32" t="n">
        <f aca="false">T328*(1-F328)*(1-(1-(1-MIN(1,G328*(1+Assumptions!$B$23)))^(1/12)))</f>
        <v>0.30710487683016</v>
      </c>
      <c r="U329" s="47" t="n">
        <f aca="false">T329*(IF(C329&lt;Assumptions!$B$5,Assumptions!$B$12*(1+Assumptions!$B$11)^(INT(A329/12)+1)/12+Pricing_M!$B$13*IF(A329=0,Assumptions!$B$14*12,IF(A329&gt;=12,Assumptions!$B$15,0))-Pricing_M!$B$13,Assumptions!$B$9/12*(1+Assumptions!$B$10)^INT(A329/12)+Assumptions!$B$12*(1+Assumptions!$B$11)^(INT(A329/12)+1)/12))*J329</f>
        <v>297.701499451827</v>
      </c>
      <c r="V329" s="32" t="n">
        <f aca="false">V328*(1-F328)*(1-(1-(1-MIN(1,G328*(1-Assumptions!$B$23)))^(1/12)))</f>
        <v>0.373893415052703</v>
      </c>
      <c r="W329" s="47" t="n">
        <f aca="false">V329*(IF(C329&lt;Assumptions!$B$5,Assumptions!$B$12*(1+Assumptions!$B$11)^(INT(A329/12)+1)/12+Pricing_M!$B$13*IF(A329=0,Assumptions!$B$14*12,IF(A329&gt;=12,Assumptions!$B$15,0))-Pricing_M!$B$13,Assumptions!$B$9/12*(1+Assumptions!$B$10)^INT(A329/12)+Assumptions!$B$12*(1+Assumptions!$B$11)^(INT(A329/12)+1)/12))*J329</f>
        <v>362.445010464329</v>
      </c>
      <c r="X329" s="47" t="n">
        <f aca="false">I329*(IF(C329&lt;Assumptions!$B$5,Assumptions!$B$12*(1+Assumptions!$B$11)*(1+Assumptions!$B$24)*(1+Assumptions!$B$11+Assumptions!$B$25)^(INT(A329/12))/12+Pricing_M!$B$13*IF(A329=0,Assumptions!$B$14*12,IF(A329&gt;=12,Assumptions!$B$15,0))-Pricing_M!$B$13,Assumptions!$B$9/12*(1+Assumptions!$B$10)^INT(A329/12)+Assumptions!$B$12*(1+Assumptions!$B$11)*(1+Assumptions!$B$24)*(1+Assumptions!$B$11+Assumptions!$B$25)^(INT(A329/12))/12))*J329</f>
        <v>329.423566830594</v>
      </c>
    </row>
    <row r="330" customFormat="false" ht="15" hidden="false" customHeight="true" outlineLevel="0" collapsed="false">
      <c r="A330" s="1" t="n">
        <v>323</v>
      </c>
      <c r="B330" s="31" t="n">
        <f aca="false">Assumptions!$B$4+A330/12</f>
        <v>91.9166666666667</v>
      </c>
      <c r="C330" s="34" t="n">
        <f aca="false">Assumptions!$B$4+INT(A330/12)</f>
        <v>91</v>
      </c>
      <c r="D330" s="34" t="n">
        <f aca="false">INT(A330/12)+1</f>
        <v>27</v>
      </c>
      <c r="E330" s="32" t="n">
        <f aca="false">IFERROR(INDEX(Cohort_Survival!$G$5:$G$65,MATCH(C330,Cohort_Survival!$A$5:$A$65,0)),1)</f>
        <v>0.107881542198355</v>
      </c>
      <c r="F330" s="30" t="n">
        <f aca="false">1-(1-MIN(1,E330))^(1/12)</f>
        <v>0.00946792386085349</v>
      </c>
      <c r="G330" s="39" t="n">
        <f aca="false">IF(C330&lt;Assumptions!$B$5,IF(D330=1,Assumptions!$B$16,IF(D330=2,Assumptions!$B$17,IF(D330&lt;=5,Assumptions!$B$18,Assumptions!$B$19)))*(1-Assumptions!$B$20),0)</f>
        <v>0</v>
      </c>
      <c r="H330" s="30" t="n">
        <f aca="false">1-(1-G330)^(1/12)</f>
        <v>0</v>
      </c>
      <c r="I330" s="30" t="n">
        <f aca="false">I329*(1-F329)*(1-H329)</f>
        <v>0.335803435965531</v>
      </c>
      <c r="J330" s="30" t="n">
        <f aca="false">INDEX(Discount_Monthly!$G$4:$G$664,MATCH(A330,Discount_Monthly!$A$4:$A$664,0))</f>
        <v>0.430813730773433</v>
      </c>
      <c r="K330" s="30" t="n">
        <f aca="false">IF(C330&lt;Assumptions!$B$5,I330*J330,0)</f>
        <v>0</v>
      </c>
      <c r="L330" s="30" t="n">
        <f aca="false">IF(C330&lt;Assumptions!$B$5,I330*(1-F330)*H330*A330*J330,0)</f>
        <v>0</v>
      </c>
      <c r="M330" s="30" t="n">
        <f aca="false">IF(A330=0,Assumptions!$B$14*12*I330*J330,IF(AND(A330&gt;=12,C330&lt;Assumptions!$B$5),Assumptions!$B$15*I330*J330,0))</f>
        <v>0</v>
      </c>
      <c r="N330" s="47" t="n">
        <f aca="false">IF(C330&gt;=Assumptions!$B$5,I330*Assumptions!$B$9/12*(1+Assumptions!$B$10)^INT(A330/12)*J330,0)</f>
        <v>322.788366837058</v>
      </c>
      <c r="O330" s="47" t="n">
        <f aca="false">I330*Assumptions!$B$12/12*(1+Assumptions!$B$11)^(INT(A330/12)+1)*J330</f>
        <v>1.87857171330686</v>
      </c>
      <c r="P330" s="47" t="n">
        <f aca="false">O330+Pricing_M!$B$13*M330+N330-Pricing_M!$B$13*K330</f>
        <v>324.666938550364</v>
      </c>
      <c r="Q330" s="47" t="n">
        <f aca="false">IF(C330&lt;Assumptions!$B$5,Pricing_M!$B$13*K330-Pricing_M!$B$13*M330-O330,-(N330+O330))</f>
        <v>-324.666938550364</v>
      </c>
      <c r="R330" s="32" t="n">
        <f aca="false">R329*(1-(1-(1-MIN(1,E329*(1-Assumptions!$B$21)))^(1/12)))*(1-H329)</f>
        <v>0.403507403139136</v>
      </c>
      <c r="S330" s="47" t="n">
        <f aca="false">R330*(IF(C330&lt;Assumptions!$B$5,Assumptions!$B$12*(1+Assumptions!$B$11)^(INT(A330/12)+1)/12+Pricing_M!$B$13*IF(A330=0,Assumptions!$B$14*12,IF(A330&gt;=12,Assumptions!$B$15,0))-Pricing_M!$B$13,Assumptions!$B$9/12*(1+Assumptions!$B$10)^INT(A330/12)+Assumptions!$B$12*(1+Assumptions!$B$11)^(INT(A330/12)+1)/12))*J330</f>
        <v>390.125589045606</v>
      </c>
      <c r="T330" s="32" t="n">
        <f aca="false">T329*(1-F329)*(1-(1-(1-MIN(1,G329*(1+Assumptions!$B$23)))^(1/12)))</f>
        <v>0.304197231239035</v>
      </c>
      <c r="U330" s="47" t="n">
        <f aca="false">T330*(IF(C330&lt;Assumptions!$B$5,Assumptions!$B$12*(1+Assumptions!$B$11)^(INT(A330/12)+1)/12+Pricing_M!$B$13*IF(A330=0,Assumptions!$B$14*12,IF(A330&gt;=12,Assumptions!$B$15,0))-Pricing_M!$B$13,Assumptions!$B$9/12*(1+Assumptions!$B$10)^INT(A330/12)+Assumptions!$B$12*(1+Assumptions!$B$11)^(INT(A330/12)+1)/12))*J330</f>
        <v>294.108913739681</v>
      </c>
      <c r="V330" s="32" t="n">
        <f aca="false">V329*(1-F329)*(1-(1-(1-MIN(1,G329*(1-Assumptions!$B$23)))^(1/12)))</f>
        <v>0.370353420666909</v>
      </c>
      <c r="W330" s="47" t="n">
        <f aca="false">V330*(IF(C330&lt;Assumptions!$B$5,Assumptions!$B$12*(1+Assumptions!$B$11)^(INT(A330/12)+1)/12+Pricing_M!$B$13*IF(A330=0,Assumptions!$B$14*12,IF(A330&gt;=12,Assumptions!$B$15,0))-Pricing_M!$B$13,Assumptions!$B$9/12*(1+Assumptions!$B$10)^INT(A330/12)+Assumptions!$B$12*(1+Assumptions!$B$11)^(INT(A330/12)+1)/12))*J330</f>
        <v>358.071116585964</v>
      </c>
      <c r="X330" s="47" t="n">
        <f aca="false">I330*(IF(C330&lt;Assumptions!$B$5,Assumptions!$B$12*(1+Assumptions!$B$11)*(1+Assumptions!$B$24)*(1+Assumptions!$B$11+Assumptions!$B$25)^(INT(A330/12))/12+Pricing_M!$B$13*IF(A330=0,Assumptions!$B$14*12,IF(A330&gt;=12,Assumptions!$B$15,0))-Pricing_M!$B$13,Assumptions!$B$9/12*(1+Assumptions!$B$10)^INT(A330/12)+Assumptions!$B$12*(1+Assumptions!$B$11)*(1+Assumptions!$B$24)*(1+Assumptions!$B$11+Assumptions!$B$25)^(INT(A330/12))/12))*J330</f>
        <v>325.448167305839</v>
      </c>
    </row>
    <row r="331" customFormat="false" ht="15" hidden="false" customHeight="true" outlineLevel="0" collapsed="false">
      <c r="A331" s="1" t="n">
        <v>324</v>
      </c>
      <c r="B331" s="31" t="n">
        <f aca="false">Assumptions!$B$4+A331/12</f>
        <v>92</v>
      </c>
      <c r="C331" s="34" t="n">
        <f aca="false">Assumptions!$B$4+INT(A331/12)</f>
        <v>92</v>
      </c>
      <c r="D331" s="34" t="n">
        <f aca="false">INT(A331/12)+1</f>
        <v>28</v>
      </c>
      <c r="E331" s="32" t="n">
        <f aca="false">IFERROR(INDEX(Cohort_Survival!$G$5:$G$65,MATCH(C331,Cohort_Survival!$A$5:$A$65,0)),1)</f>
        <v>0.120257056705328</v>
      </c>
      <c r="F331" s="30" t="n">
        <f aca="false">1-(1-MIN(1,E331))^(1/12)</f>
        <v>0.0106203288125823</v>
      </c>
      <c r="G331" s="39" t="n">
        <f aca="false">IF(C331&lt;Assumptions!$B$5,IF(D331=1,Assumptions!$B$16,IF(D331=2,Assumptions!$B$17,IF(D331&lt;=5,Assumptions!$B$18,Assumptions!$B$19)))*(1-Assumptions!$B$20),0)</f>
        <v>0</v>
      </c>
      <c r="H331" s="30" t="n">
        <f aca="false">1-(1-G331)^(1/12)</f>
        <v>0</v>
      </c>
      <c r="I331" s="30" t="n">
        <f aca="false">I330*(1-F330)*(1-H330)</f>
        <v>0.332624074601596</v>
      </c>
      <c r="J331" s="30" t="n">
        <f aca="false">INDEX(Discount_Monthly!$G$4:$G$664,MATCH(A331,Discount_Monthly!$A$4:$A$664,0))</f>
        <v>0.429682986428135</v>
      </c>
      <c r="K331" s="30" t="n">
        <f aca="false">IF(C331&lt;Assumptions!$B$5,I331*J331,0)</f>
        <v>0</v>
      </c>
      <c r="L331" s="30" t="n">
        <f aca="false">IF(C331&lt;Assumptions!$B$5,I331*(1-F331)*H331*A331*J331,0)</f>
        <v>0</v>
      </c>
      <c r="M331" s="30" t="n">
        <f aca="false">IF(A331=0,Assumptions!$B$14*12*I331*J331,IF(AND(A331&gt;=12,C331&lt;Assumptions!$B$5),Assumptions!$B$15*I331*J331,0))</f>
        <v>0</v>
      </c>
      <c r="N331" s="47" t="n">
        <f aca="false">IF(C331&gt;=Assumptions!$B$5,I331*Assumptions!$B$9/12*(1+Assumptions!$B$10)^INT(A331/12)*J331,0)</f>
        <v>325.270899996549</v>
      </c>
      <c r="O331" s="47" t="n">
        <f aca="false">I331*Assumptions!$B$12/12*(1+Assumptions!$B$11)^(INT(A331/12)+1)*J331</f>
        <v>1.90229912907772</v>
      </c>
      <c r="P331" s="47" t="n">
        <f aca="false">O331+Pricing_M!$B$13*M331+N331-Pricing_M!$B$13*K331</f>
        <v>327.173199125627</v>
      </c>
      <c r="Q331" s="47" t="n">
        <f aca="false">IF(C331&lt;Assumptions!$B$5,Pricing_M!$B$13*K331-Pricing_M!$B$13*M331-O331,-(N331+O331))</f>
        <v>-327.173199125627</v>
      </c>
      <c r="R331" s="32" t="n">
        <f aca="false">R330*(1-(1-(1-MIN(1,E330*(1-Assumptions!$B$21)))^(1/12)))*(1-H330)</f>
        <v>0.400483783516573</v>
      </c>
      <c r="S331" s="47" t="n">
        <f aca="false">R331*(IF(C331&lt;Assumptions!$B$5,Assumptions!$B$12*(1+Assumptions!$B$11)^(INT(A331/12)+1)/12+Pricing_M!$B$13*IF(A331=0,Assumptions!$B$14*12,IF(A331&gt;=12,Assumptions!$B$15,0))-Pricing_M!$B$13,Assumptions!$B$9/12*(1+Assumptions!$B$10)^INT(A331/12)+Assumptions!$B$12*(1+Assumptions!$B$11)^(INT(A331/12)+1)/12))*J331</f>
        <v>393.920857376279</v>
      </c>
      <c r="T331" s="32" t="n">
        <f aca="false">T330*(1-F330)*(1-(1-(1-MIN(1,G330*(1+Assumptions!$B$23)))^(1/12)))</f>
        <v>0.301317115014981</v>
      </c>
      <c r="U331" s="47" t="n">
        <f aca="false">T331*(IF(C331&lt;Assumptions!$B$5,Assumptions!$B$12*(1+Assumptions!$B$11)^(INT(A331/12)+1)/12+Pricing_M!$B$13*IF(A331=0,Assumptions!$B$14*12,IF(A331&gt;=12,Assumptions!$B$15,0))-Pricing_M!$B$13,Assumptions!$B$9/12*(1+Assumptions!$B$10)^INT(A331/12)+Assumptions!$B$12*(1+Assumptions!$B$11)^(INT(A331/12)+1)/12))*J331</f>
        <v>296.379282193674</v>
      </c>
      <c r="V331" s="32" t="n">
        <f aca="false">V330*(1-F330)*(1-(1-(1-MIN(1,G330*(1-Assumptions!$B$23)))^(1/12)))</f>
        <v>0.366846942678428</v>
      </c>
      <c r="W331" s="47" t="n">
        <f aca="false">V331*(IF(C331&lt;Assumptions!$B$5,Assumptions!$B$12*(1+Assumptions!$B$11)^(INT(A331/12)+1)/12+Pricing_M!$B$13*IF(A331=0,Assumptions!$B$14*12,IF(A331&gt;=12,Assumptions!$B$15,0))-Pricing_M!$B$13,Assumptions!$B$9/12*(1+Assumptions!$B$10)^INT(A331/12)+Assumptions!$B$12*(1+Assumptions!$B$11)^(INT(A331/12)+1)/12))*J331</f>
        <v>360.835240110972</v>
      </c>
      <c r="X331" s="47" t="n">
        <f aca="false">I331*(IF(C331&lt;Assumptions!$B$5,Assumptions!$B$12*(1+Assumptions!$B$11)*(1+Assumptions!$B$24)*(1+Assumptions!$B$11+Assumptions!$B$25)^(INT(A331/12))/12+Pricing_M!$B$13*IF(A331=0,Assumptions!$B$14*12,IF(A331&gt;=12,Assumptions!$B$15,0))-Pricing_M!$B$13,Assumptions!$B$9/12*(1+Assumptions!$B$10)^INT(A331/12)+Assumptions!$B$12*(1+Assumptions!$B$11)*(1+Assumptions!$B$24)*(1+Assumptions!$B$11+Assumptions!$B$25)^(INT(A331/12))/12))*J331</f>
        <v>327.990572265788</v>
      </c>
    </row>
    <row r="332" customFormat="false" ht="15" hidden="false" customHeight="true" outlineLevel="0" collapsed="false">
      <c r="A332" s="1" t="n">
        <v>325</v>
      </c>
      <c r="B332" s="31" t="n">
        <f aca="false">Assumptions!$B$4+A332/12</f>
        <v>92.0833333333333</v>
      </c>
      <c r="C332" s="34" t="n">
        <f aca="false">Assumptions!$B$4+INT(A332/12)</f>
        <v>92</v>
      </c>
      <c r="D332" s="34" t="n">
        <f aca="false">INT(A332/12)+1</f>
        <v>28</v>
      </c>
      <c r="E332" s="32" t="n">
        <f aca="false">IFERROR(INDEX(Cohort_Survival!$G$5:$G$65,MATCH(C332,Cohort_Survival!$A$5:$A$65,0)),1)</f>
        <v>0.120257056705328</v>
      </c>
      <c r="F332" s="30" t="n">
        <f aca="false">1-(1-MIN(1,E332))^(1/12)</f>
        <v>0.0106203288125823</v>
      </c>
      <c r="G332" s="39" t="n">
        <f aca="false">IF(C332&lt;Assumptions!$B$5,IF(D332=1,Assumptions!$B$16,IF(D332=2,Assumptions!$B$17,IF(D332&lt;=5,Assumptions!$B$18,Assumptions!$B$19)))*(1-Assumptions!$B$20),0)</f>
        <v>0</v>
      </c>
      <c r="H332" s="30" t="n">
        <f aca="false">1-(1-G332)^(1/12)</f>
        <v>0</v>
      </c>
      <c r="I332" s="30" t="n">
        <f aca="false">I331*(1-F331)*(1-H331)</f>
        <v>0.329091497558346</v>
      </c>
      <c r="J332" s="30" t="n">
        <f aca="false">INDEX(Discount_Monthly!$G$4:$G$664,MATCH(A332,Discount_Monthly!$A$4:$A$664,0))</f>
        <v>0.428544826391573</v>
      </c>
      <c r="K332" s="30" t="n">
        <f aca="false">IF(C332&lt;Assumptions!$B$5,I332*J332,0)</f>
        <v>0</v>
      </c>
      <c r="L332" s="30" t="n">
        <f aca="false">IF(C332&lt;Assumptions!$B$5,I332*(1-F332)*H332*A332*J332,0)</f>
        <v>0</v>
      </c>
      <c r="M332" s="30" t="n">
        <f aca="false">IF(A332=0,Assumptions!$B$14*12*I332*J332,IF(AND(A332&gt;=12,C332&lt;Assumptions!$B$5),Assumptions!$B$15*I332*J332,0))</f>
        <v>0</v>
      </c>
      <c r="N332" s="47" t="n">
        <f aca="false">IF(C332&gt;=Assumptions!$B$5,I332*Assumptions!$B$9/12*(1+Assumptions!$B$10)^INT(A332/12)*J332,0)</f>
        <v>320.963976972244</v>
      </c>
      <c r="O332" s="47" t="n">
        <f aca="false">I332*Assumptions!$B$12/12*(1+Assumptions!$B$11)^(INT(A332/12)+1)*J332</f>
        <v>1.87711072175869</v>
      </c>
      <c r="P332" s="47" t="n">
        <f aca="false">O332+Pricing_M!$B$13*M332+N332-Pricing_M!$B$13*K332</f>
        <v>322.841087694003</v>
      </c>
      <c r="Q332" s="47" t="n">
        <f aca="false">IF(C332&lt;Assumptions!$B$5,Pricing_M!$B$13*K332-Pricing_M!$B$13*M332-O332,-(N332+O332))</f>
        <v>-322.841087694003</v>
      </c>
      <c r="R332" s="32" t="n">
        <f aca="false">R331*(1-(1-(1-MIN(1,E331*(1-Assumptions!$B$21)))^(1/12)))*(1-H331)</f>
        <v>0.397122112970167</v>
      </c>
      <c r="S332" s="47" t="n">
        <f aca="false">R332*(IF(C332&lt;Assumptions!$B$5,Assumptions!$B$12*(1+Assumptions!$B$11)^(INT(A332/12)+1)/12+Pricing_M!$B$13*IF(A332=0,Assumptions!$B$14*12,IF(A332&gt;=12,Assumptions!$B$15,0))-Pricing_M!$B$13,Assumptions!$B$9/12*(1+Assumptions!$B$10)^INT(A332/12)+Assumptions!$B$12*(1+Assumptions!$B$11)^(INT(A332/12)+1)/12))*J332</f>
        <v>389.579602784781</v>
      </c>
      <c r="T332" s="32" t="n">
        <f aca="false">T331*(1-F331)*(1-(1-(1-MIN(1,G331*(1+Assumptions!$B$23)))^(1/12)))</f>
        <v>0.298117028176664</v>
      </c>
      <c r="U332" s="47" t="n">
        <f aca="false">T332*(IF(C332&lt;Assumptions!$B$5,Assumptions!$B$12*(1+Assumptions!$B$11)^(INT(A332/12)+1)/12+Pricing_M!$B$13*IF(A332=0,Assumptions!$B$14*12,IF(A332&gt;=12,Assumptions!$B$15,0))-Pricing_M!$B$13,Assumptions!$B$9/12*(1+Assumptions!$B$10)^INT(A332/12)+Assumptions!$B$12*(1+Assumptions!$B$11)^(INT(A332/12)+1)/12))*J332</f>
        <v>292.454914061078</v>
      </c>
      <c r="V332" s="32" t="n">
        <f aca="false">V331*(1-F331)*(1-(1-(1-MIN(1,G331*(1-Assumptions!$B$23)))^(1/12)))</f>
        <v>0.362950907523293</v>
      </c>
      <c r="W332" s="47" t="n">
        <f aca="false">V332*(IF(C332&lt;Assumptions!$B$5,Assumptions!$B$12*(1+Assumptions!$B$11)^(INT(A332/12)+1)/12+Pricing_M!$B$13*IF(A332=0,Assumptions!$B$14*12,IF(A332&gt;=12,Assumptions!$B$15,0))-Pricing_M!$B$13,Assumptions!$B$9/12*(1+Assumptions!$B$10)^INT(A332/12)+Assumptions!$B$12*(1+Assumptions!$B$11)^(INT(A332/12)+1)/12))*J332</f>
        <v>356.057408452404</v>
      </c>
      <c r="X332" s="47" t="n">
        <f aca="false">I332*(IF(C332&lt;Assumptions!$B$5,Assumptions!$B$12*(1+Assumptions!$B$11)*(1+Assumptions!$B$24)*(1+Assumptions!$B$11+Assumptions!$B$25)^(INT(A332/12))/12+Pricing_M!$B$13*IF(A332=0,Assumptions!$B$14*12,IF(A332&gt;=12,Assumptions!$B$15,0))-Pricing_M!$B$13,Assumptions!$B$9/12*(1+Assumptions!$B$10)^INT(A332/12)+Assumptions!$B$12*(1+Assumptions!$B$11)*(1+Assumptions!$B$24)*(1+Assumptions!$B$11+Assumptions!$B$25)^(INT(A332/12))/12))*J332</f>
        <v>323.647637968679</v>
      </c>
    </row>
    <row r="333" customFormat="false" ht="15" hidden="false" customHeight="true" outlineLevel="0" collapsed="false">
      <c r="A333" s="1" t="n">
        <v>326</v>
      </c>
      <c r="B333" s="31" t="n">
        <f aca="false">Assumptions!$B$4+A333/12</f>
        <v>92.1666666666667</v>
      </c>
      <c r="C333" s="34" t="n">
        <f aca="false">Assumptions!$B$4+INT(A333/12)</f>
        <v>92</v>
      </c>
      <c r="D333" s="34" t="n">
        <f aca="false">INT(A333/12)+1</f>
        <v>28</v>
      </c>
      <c r="E333" s="32" t="n">
        <f aca="false">IFERROR(INDEX(Cohort_Survival!$G$5:$G$65,MATCH(C333,Cohort_Survival!$A$5:$A$65,0)),1)</f>
        <v>0.120257056705328</v>
      </c>
      <c r="F333" s="30" t="n">
        <f aca="false">1-(1-MIN(1,E333))^(1/12)</f>
        <v>0.0106203288125823</v>
      </c>
      <c r="G333" s="39" t="n">
        <f aca="false">IF(C333&lt;Assumptions!$B$5,IF(D333=1,Assumptions!$B$16,IF(D333=2,Assumptions!$B$17,IF(D333&lt;=5,Assumptions!$B$18,Assumptions!$B$19)))*(1-Assumptions!$B$20),0)</f>
        <v>0</v>
      </c>
      <c r="H333" s="30" t="n">
        <f aca="false">1-(1-G333)^(1/12)</f>
        <v>0</v>
      </c>
      <c r="I333" s="30" t="n">
        <f aca="false">I332*(1-F332)*(1-H332)</f>
        <v>0.325596437644851</v>
      </c>
      <c r="J333" s="30" t="n">
        <f aca="false">INDEX(Discount_Monthly!$G$4:$G$664,MATCH(A333,Discount_Monthly!$A$4:$A$664,0))</f>
        <v>0.427409681155014</v>
      </c>
      <c r="K333" s="30" t="n">
        <f aca="false">IF(C333&lt;Assumptions!$B$5,I333*J333,0)</f>
        <v>0</v>
      </c>
      <c r="L333" s="30" t="n">
        <f aca="false">IF(C333&lt;Assumptions!$B$5,I333*(1-F333)*H333*A333*J333,0)</f>
        <v>0</v>
      </c>
      <c r="M333" s="30" t="n">
        <f aca="false">IF(A333=0,Assumptions!$B$14*12*I333*J333,IF(AND(A333&gt;=12,C333&lt;Assumptions!$B$5),Assumptions!$B$15*I333*J333,0))</f>
        <v>0</v>
      </c>
      <c r="N333" s="47" t="n">
        <f aca="false">IF(C333&gt;=Assumptions!$B$5,I333*Assumptions!$B$9/12*(1+Assumptions!$B$10)^INT(A333/12)*J333,0)</f>
        <v>316.714082061851</v>
      </c>
      <c r="O333" s="47" t="n">
        <f aca="false">I333*Assumptions!$B$12/12*(1+Assumptions!$B$11)^(INT(A333/12)+1)*J333</f>
        <v>1.85225583499569</v>
      </c>
      <c r="P333" s="47" t="n">
        <f aca="false">O333+Pricing_M!$B$13*M333+N333-Pricing_M!$B$13*K333</f>
        <v>318.566337896846</v>
      </c>
      <c r="Q333" s="47" t="n">
        <f aca="false">IF(C333&lt;Assumptions!$B$5,Pricing_M!$B$13*K333-Pricing_M!$B$13*M333-O333,-(N333+O333))</f>
        <v>-318.566337896846</v>
      </c>
      <c r="R333" s="32" t="n">
        <f aca="false">R332*(1-(1-(1-MIN(1,E332*(1-Assumptions!$B$21)))^(1/12)))*(1-H332)</f>
        <v>0.393788660367477</v>
      </c>
      <c r="S333" s="47" t="n">
        <f aca="false">R333*(IF(C333&lt;Assumptions!$B$5,Assumptions!$B$12*(1+Assumptions!$B$11)^(INT(A333/12)+1)/12+Pricing_M!$B$13*IF(A333=0,Assumptions!$B$14*12,IF(A333&gt;=12,Assumptions!$B$15,0))-Pricing_M!$B$13,Assumptions!$B$9/12*(1+Assumptions!$B$10)^INT(A333/12)+Assumptions!$B$12*(1+Assumptions!$B$11)^(INT(A333/12)+1)/12))*J333</f>
        <v>385.286191538146</v>
      </c>
      <c r="T333" s="32" t="n">
        <f aca="false">T332*(1-F332)*(1-(1-(1-MIN(1,G332*(1+Assumptions!$B$23)))^(1/12)))</f>
        <v>0.294950927312798</v>
      </c>
      <c r="U333" s="47" t="n">
        <f aca="false">T333*(IF(C333&lt;Assumptions!$B$5,Assumptions!$B$12*(1+Assumptions!$B$11)^(INT(A333/12)+1)/12+Pricing_M!$B$13*IF(A333=0,Assumptions!$B$14*12,IF(A333&gt;=12,Assumptions!$B$15,0))-Pricing_M!$B$13,Assumptions!$B$9/12*(1+Assumptions!$B$10)^INT(A333/12)+Assumptions!$B$12*(1+Assumptions!$B$11)^(INT(A333/12)+1)/12))*J333</f>
        <v>288.582508620093</v>
      </c>
      <c r="V333" s="32" t="n">
        <f aca="false">V332*(1-F332)*(1-(1-(1-MIN(1,G332*(1-Assumptions!$B$23)))^(1/12)))</f>
        <v>0.35909624954257</v>
      </c>
      <c r="W333" s="47" t="n">
        <f aca="false">V333*(IF(C333&lt;Assumptions!$B$5,Assumptions!$B$12*(1+Assumptions!$B$11)^(INT(A333/12)+1)/12+Pricing_M!$B$13*IF(A333=0,Assumptions!$B$14*12,IF(A333&gt;=12,Assumptions!$B$15,0))-Pricing_M!$B$13,Assumptions!$B$9/12*(1+Assumptions!$B$10)^INT(A333/12)+Assumptions!$B$12*(1+Assumptions!$B$11)^(INT(A333/12)+1)/12))*J333</f>
        <v>351.342840224953</v>
      </c>
      <c r="X333" s="47" t="n">
        <f aca="false">I333*(IF(C333&lt;Assumptions!$B$5,Assumptions!$B$12*(1+Assumptions!$B$11)*(1+Assumptions!$B$24)*(1+Assumptions!$B$11+Assumptions!$B$25)^(INT(A333/12))/12+Pricing_M!$B$13*IF(A333=0,Assumptions!$B$14*12,IF(A333&gt;=12,Assumptions!$B$15,0))-Pricing_M!$B$13,Assumptions!$B$9/12*(1+Assumptions!$B$10)^INT(A333/12)+Assumptions!$B$12*(1+Assumptions!$B$11)*(1+Assumptions!$B$24)*(1+Assumptions!$B$11+Assumptions!$B$25)^(INT(A333/12))/12))*J333</f>
        <v>319.362208611967</v>
      </c>
    </row>
    <row r="334" customFormat="false" ht="15" hidden="false" customHeight="true" outlineLevel="0" collapsed="false">
      <c r="A334" s="1" t="n">
        <v>327</v>
      </c>
      <c r="B334" s="31" t="n">
        <f aca="false">Assumptions!$B$4+A334/12</f>
        <v>92.25</v>
      </c>
      <c r="C334" s="34" t="n">
        <f aca="false">Assumptions!$B$4+INT(A334/12)</f>
        <v>92</v>
      </c>
      <c r="D334" s="34" t="n">
        <f aca="false">INT(A334/12)+1</f>
        <v>28</v>
      </c>
      <c r="E334" s="32" t="n">
        <f aca="false">IFERROR(INDEX(Cohort_Survival!$G$5:$G$65,MATCH(C334,Cohort_Survival!$A$5:$A$65,0)),1)</f>
        <v>0.120257056705328</v>
      </c>
      <c r="F334" s="30" t="n">
        <f aca="false">1-(1-MIN(1,E334))^(1/12)</f>
        <v>0.0106203288125823</v>
      </c>
      <c r="G334" s="39" t="n">
        <f aca="false">IF(C334&lt;Assumptions!$B$5,IF(D334=1,Assumptions!$B$16,IF(D334=2,Assumptions!$B$17,IF(D334&lt;=5,Assumptions!$B$18,Assumptions!$B$19)))*(1-Assumptions!$B$20),0)</f>
        <v>0</v>
      </c>
      <c r="H334" s="30" t="n">
        <f aca="false">1-(1-G334)^(1/12)</f>
        <v>0</v>
      </c>
      <c r="I334" s="30" t="n">
        <f aca="false">I333*(1-F333)*(1-H333)</f>
        <v>0.322138496416857</v>
      </c>
      <c r="J334" s="30" t="n">
        <f aca="false">INDEX(Discount_Monthly!$G$4:$G$664,MATCH(A334,Discount_Monthly!$A$4:$A$664,0))</f>
        <v>0.426277542732745</v>
      </c>
      <c r="K334" s="30" t="n">
        <f aca="false">IF(C334&lt;Assumptions!$B$5,I334*J334,0)</f>
        <v>0</v>
      </c>
      <c r="L334" s="30" t="n">
        <f aca="false">IF(C334&lt;Assumptions!$B$5,I334*(1-F334)*H334*A334*J334,0)</f>
        <v>0</v>
      </c>
      <c r="M334" s="30" t="n">
        <f aca="false">IF(A334=0,Assumptions!$B$14*12*I334*J334,IF(AND(A334&gt;=12,C334&lt;Assumptions!$B$5),Assumptions!$B$15*I334*J334,0))</f>
        <v>0</v>
      </c>
      <c r="N334" s="47" t="n">
        <f aca="false">IF(C334&gt;=Assumptions!$B$5,I334*Assumptions!$B$9/12*(1+Assumptions!$B$10)^INT(A334/12)*J334,0)</f>
        <v>312.520460154178</v>
      </c>
      <c r="O334" s="47" t="n">
        <f aca="false">I334*Assumptions!$B$12/12*(1+Assumptions!$B$11)^(INT(A334/12)+1)*J334</f>
        <v>1.82773005263173</v>
      </c>
      <c r="P334" s="47" t="n">
        <f aca="false">O334+Pricing_M!$B$13*M334+N334-Pricing_M!$B$13*K334</f>
        <v>314.34819020681</v>
      </c>
      <c r="Q334" s="47" t="n">
        <f aca="false">IF(C334&lt;Assumptions!$B$5,Pricing_M!$B$13*K334-Pricing_M!$B$13*M334-O334,-(N334+O334))</f>
        <v>-314.34819020681</v>
      </c>
      <c r="R334" s="32" t="n">
        <f aca="false">R333*(1-(1-(1-MIN(1,E333*(1-Assumptions!$B$21)))^(1/12)))*(1-H333)</f>
        <v>0.390483188846403</v>
      </c>
      <c r="S334" s="47" t="n">
        <f aca="false">R334*(IF(C334&lt;Assumptions!$B$5,Assumptions!$B$12*(1+Assumptions!$B$11)^(INT(A334/12)+1)/12+Pricing_M!$B$13*IF(A334=0,Assumptions!$B$14*12,IF(A334&gt;=12,Assumptions!$B$15,0))-Pricing_M!$B$13,Assumptions!$B$9/12*(1+Assumptions!$B$10)^INT(A334/12)+Assumptions!$B$12*(1+Assumptions!$B$11)^(INT(A334/12)+1)/12))*J334</f>
        <v>381.040096372746</v>
      </c>
      <c r="T334" s="32" t="n">
        <f aca="false">T333*(1-F333)*(1-(1-(1-MIN(1,G333*(1+Assumptions!$B$23)))^(1/12)))</f>
        <v>0.29181845148116</v>
      </c>
      <c r="U334" s="47" t="n">
        <f aca="false">T334*(IF(C334&lt;Assumptions!$B$5,Assumptions!$B$12*(1+Assumptions!$B$11)^(INT(A334/12)+1)/12+Pricing_M!$B$13*IF(A334=0,Assumptions!$B$14*12,IF(A334&gt;=12,Assumptions!$B$15,0))-Pricing_M!$B$13,Assumptions!$B$9/12*(1+Assumptions!$B$10)^INT(A334/12)+Assumptions!$B$12*(1+Assumptions!$B$11)^(INT(A334/12)+1)/12))*J334</f>
        <v>284.761377830955</v>
      </c>
      <c r="V334" s="32" t="n">
        <f aca="false">V333*(1-F333)*(1-(1-(1-MIN(1,G333*(1-Assumptions!$B$23)))^(1/12)))</f>
        <v>0.355282529297063</v>
      </c>
      <c r="W334" s="47" t="n">
        <f aca="false">V334*(IF(C334&lt;Assumptions!$B$5,Assumptions!$B$12*(1+Assumptions!$B$11)^(INT(A334/12)+1)/12+Pricing_M!$B$13*IF(A334=0,Assumptions!$B$14*12,IF(A334&gt;=12,Assumptions!$B$15,0))-Pricing_M!$B$13,Assumptions!$B$9/12*(1+Assumptions!$B$10)^INT(A334/12)+Assumptions!$B$12*(1+Assumptions!$B$11)^(INT(A334/12)+1)/12))*J334</f>
        <v>346.690697755381</v>
      </c>
      <c r="X334" s="47" t="n">
        <f aca="false">I334*(IF(C334&lt;Assumptions!$B$5,Assumptions!$B$12*(1+Assumptions!$B$11)*(1+Assumptions!$B$24)*(1+Assumptions!$B$11+Assumptions!$B$25)^(INT(A334/12))/12+Pricing_M!$B$13*IF(A334=0,Assumptions!$B$14*12,IF(A334&gt;=12,Assumptions!$B$15,0))-Pricing_M!$B$13,Assumptions!$B$9/12*(1+Assumptions!$B$10)^INT(A334/12)+Assumptions!$B$12*(1+Assumptions!$B$11)*(1+Assumptions!$B$24)*(1+Assumptions!$B$11+Assumptions!$B$25)^(INT(A334/12))/12))*J334</f>
        <v>315.133522770786</v>
      </c>
    </row>
    <row r="335" customFormat="false" ht="15" hidden="false" customHeight="true" outlineLevel="0" collapsed="false">
      <c r="A335" s="1" t="n">
        <v>328</v>
      </c>
      <c r="B335" s="31" t="n">
        <f aca="false">Assumptions!$B$4+A335/12</f>
        <v>92.3333333333333</v>
      </c>
      <c r="C335" s="34" t="n">
        <f aca="false">Assumptions!$B$4+INT(A335/12)</f>
        <v>92</v>
      </c>
      <c r="D335" s="34" t="n">
        <f aca="false">INT(A335/12)+1</f>
        <v>28</v>
      </c>
      <c r="E335" s="32" t="n">
        <f aca="false">IFERROR(INDEX(Cohort_Survival!$G$5:$G$65,MATCH(C335,Cohort_Survival!$A$5:$A$65,0)),1)</f>
        <v>0.120257056705328</v>
      </c>
      <c r="F335" s="30" t="n">
        <f aca="false">1-(1-MIN(1,E335))^(1/12)</f>
        <v>0.0106203288125823</v>
      </c>
      <c r="G335" s="39" t="n">
        <f aca="false">IF(C335&lt;Assumptions!$B$5,IF(D335=1,Assumptions!$B$16,IF(D335=2,Assumptions!$B$17,IF(D335&lt;=5,Assumptions!$B$18,Assumptions!$B$19)))*(1-Assumptions!$B$20),0)</f>
        <v>0</v>
      </c>
      <c r="H335" s="30" t="n">
        <f aca="false">1-(1-G335)^(1/12)</f>
        <v>0</v>
      </c>
      <c r="I335" s="30" t="n">
        <f aca="false">I334*(1-F334)*(1-H334)</f>
        <v>0.31871727966172</v>
      </c>
      <c r="J335" s="30" t="n">
        <f aca="false">INDEX(Discount_Monthly!$G$4:$G$664,MATCH(A335,Discount_Monthly!$A$4:$A$664,0))</f>
        <v>0.425148403160207</v>
      </c>
      <c r="K335" s="30" t="n">
        <f aca="false">IF(C335&lt;Assumptions!$B$5,I335*J335,0)</f>
        <v>0</v>
      </c>
      <c r="L335" s="30" t="n">
        <f aca="false">IF(C335&lt;Assumptions!$B$5,I335*(1-F335)*H335*A335*J335,0)</f>
        <v>0</v>
      </c>
      <c r="M335" s="30" t="n">
        <f aca="false">IF(A335=0,Assumptions!$B$14*12*I335*J335,IF(AND(A335&gt;=12,C335&lt;Assumptions!$B$5),Assumptions!$B$15*I335*J335,0))</f>
        <v>0</v>
      </c>
      <c r="N335" s="47" t="n">
        <f aca="false">IF(C335&gt;=Assumptions!$B$5,I335*Assumptions!$B$9/12*(1+Assumptions!$B$10)^INT(A335/12)*J335,0)</f>
        <v>308.382366136488</v>
      </c>
      <c r="O335" s="47" t="n">
        <f aca="false">I335*Assumptions!$B$12/12*(1+Assumptions!$B$11)^(INT(A335/12)+1)*J335</f>
        <v>1.80352901698428</v>
      </c>
      <c r="P335" s="47" t="n">
        <f aca="false">O335+Pricing_M!$B$13*M335+N335-Pricing_M!$B$13*K335</f>
        <v>310.185895153472</v>
      </c>
      <c r="Q335" s="47" t="n">
        <f aca="false">IF(C335&lt;Assumptions!$B$5,Pricing_M!$B$13*K335-Pricing_M!$B$13*M335-O335,-(N335+O335))</f>
        <v>-310.185895153472</v>
      </c>
      <c r="R335" s="32" t="n">
        <f aca="false">R334*(1-(1-(1-MIN(1,E334*(1-Assumptions!$B$21)))^(1/12)))*(1-H334)</f>
        <v>0.38720546353307</v>
      </c>
      <c r="S335" s="47" t="n">
        <f aca="false">R335*(IF(C335&lt;Assumptions!$B$5,Assumptions!$B$12*(1+Assumptions!$B$11)^(INT(A335/12)+1)/12+Pricing_M!$B$13*IF(A335=0,Assumptions!$B$14*12,IF(A335&gt;=12,Assumptions!$B$15,0))-Pricing_M!$B$13,Assumptions!$B$9/12*(1+Assumptions!$B$10)^INT(A335/12)+Assumptions!$B$12*(1+Assumptions!$B$11)^(INT(A335/12)+1)/12))*J335</f>
        <v>376.840795835728</v>
      </c>
      <c r="T335" s="32" t="n">
        <f aca="false">T334*(1-F334)*(1-(1-(1-MIN(1,G334*(1+Assumptions!$B$23)))^(1/12)))</f>
        <v>0.288719243572851</v>
      </c>
      <c r="U335" s="47" t="n">
        <f aca="false">T335*(IF(C335&lt;Assumptions!$B$5,Assumptions!$B$12*(1+Assumptions!$B$11)^(INT(A335/12)+1)/12+Pricing_M!$B$13*IF(A335=0,Assumptions!$B$14*12,IF(A335&gt;=12,Assumptions!$B$15,0))-Pricing_M!$B$13,Assumptions!$B$9/12*(1+Assumptions!$B$10)^INT(A335/12)+Assumptions!$B$12*(1+Assumptions!$B$11)^(INT(A335/12)+1)/12))*J335</f>
        <v>280.990842764258</v>
      </c>
      <c r="V335" s="32" t="n">
        <f aca="false">V334*(1-F334)*(1-(1-(1-MIN(1,G334*(1-Assumptions!$B$23)))^(1/12)))</f>
        <v>0.351509312014562</v>
      </c>
      <c r="W335" s="47" t="n">
        <f aca="false">V335*(IF(C335&lt;Assumptions!$B$5,Assumptions!$B$12*(1+Assumptions!$B$11)^(INT(A335/12)+1)/12+Pricing_M!$B$13*IF(A335=0,Assumptions!$B$14*12,IF(A335&gt;=12,Assumptions!$B$15,0))-Pricing_M!$B$13,Assumptions!$B$9/12*(1+Assumptions!$B$10)^INT(A335/12)+Assumptions!$B$12*(1+Assumptions!$B$11)^(INT(A335/12)+1)/12))*J335</f>
        <v>342.100154462111</v>
      </c>
      <c r="X335" s="47" t="n">
        <f aca="false">I335*(IF(C335&lt;Assumptions!$B$5,Assumptions!$B$12*(1+Assumptions!$B$11)*(1+Assumptions!$B$24)*(1+Assumptions!$B$11+Assumptions!$B$25)^(INT(A335/12))/12+Pricing_M!$B$13*IF(A335=0,Assumptions!$B$14*12,IF(A335&gt;=12,Assumptions!$B$15,0))-Pricing_M!$B$13,Assumptions!$B$9/12*(1+Assumptions!$B$10)^INT(A335/12)+Assumptions!$B$12*(1+Assumptions!$B$11)*(1+Assumptions!$B$24)*(1+Assumptions!$B$11+Assumptions!$B$25)^(INT(A335/12))/12))*J335</f>
        <v>310.960829102319</v>
      </c>
    </row>
    <row r="336" customFormat="false" ht="15" hidden="false" customHeight="true" outlineLevel="0" collapsed="false">
      <c r="A336" s="1" t="n">
        <v>329</v>
      </c>
      <c r="B336" s="31" t="n">
        <f aca="false">Assumptions!$B$4+A336/12</f>
        <v>92.4166666666667</v>
      </c>
      <c r="C336" s="34" t="n">
        <f aca="false">Assumptions!$B$4+INT(A336/12)</f>
        <v>92</v>
      </c>
      <c r="D336" s="34" t="n">
        <f aca="false">INT(A336/12)+1</f>
        <v>28</v>
      </c>
      <c r="E336" s="32" t="n">
        <f aca="false">IFERROR(INDEX(Cohort_Survival!$G$5:$G$65,MATCH(C336,Cohort_Survival!$A$5:$A$65,0)),1)</f>
        <v>0.120257056705328</v>
      </c>
      <c r="F336" s="30" t="n">
        <f aca="false">1-(1-MIN(1,E336))^(1/12)</f>
        <v>0.0106203288125823</v>
      </c>
      <c r="G336" s="39" t="n">
        <f aca="false">IF(C336&lt;Assumptions!$B$5,IF(D336=1,Assumptions!$B$16,IF(D336=2,Assumptions!$B$17,IF(D336&lt;=5,Assumptions!$B$18,Assumptions!$B$19)))*(1-Assumptions!$B$20),0)</f>
        <v>0</v>
      </c>
      <c r="H336" s="30" t="n">
        <f aca="false">1-(1-G336)^(1/12)</f>
        <v>0</v>
      </c>
      <c r="I336" s="30" t="n">
        <f aca="false">I335*(1-F335)*(1-H335)</f>
        <v>0.31533239735346</v>
      </c>
      <c r="J336" s="30" t="n">
        <f aca="false">INDEX(Discount_Monthly!$G$4:$G$664,MATCH(A336,Discount_Monthly!$A$4:$A$664,0))</f>
        <v>0.424022254493936</v>
      </c>
      <c r="K336" s="30" t="n">
        <f aca="false">IF(C336&lt;Assumptions!$B$5,I336*J336,0)</f>
        <v>0</v>
      </c>
      <c r="L336" s="30" t="n">
        <f aca="false">IF(C336&lt;Assumptions!$B$5,I336*(1-F336)*H336*A336*J336,0)</f>
        <v>0</v>
      </c>
      <c r="M336" s="30" t="n">
        <f aca="false">IF(A336=0,Assumptions!$B$14*12*I336*J336,IF(AND(A336&gt;=12,C336&lt;Assumptions!$B$5),Assumptions!$B$15*I336*J336,0))</f>
        <v>0</v>
      </c>
      <c r="N336" s="47" t="n">
        <f aca="false">IF(C336&gt;=Assumptions!$B$5,I336*Assumptions!$B$9/12*(1+Assumptions!$B$10)^INT(A336/12)*J336,0)</f>
        <v>304.299064762104</v>
      </c>
      <c r="O336" s="47" t="n">
        <f aca="false">I336*Assumptions!$B$12/12*(1+Assumptions!$B$11)^(INT(A336/12)+1)*J336</f>
        <v>1.77964842807105</v>
      </c>
      <c r="P336" s="47" t="n">
        <f aca="false">O336+Pricing_M!$B$13*M336+N336-Pricing_M!$B$13*K336</f>
        <v>306.078713190175</v>
      </c>
      <c r="Q336" s="47" t="n">
        <f aca="false">IF(C336&lt;Assumptions!$B$5,Pricing_M!$B$13*K336-Pricing_M!$B$13*M336-O336,-(N336+O336))</f>
        <v>-306.078713190175</v>
      </c>
      <c r="R336" s="32" t="n">
        <f aca="false">R335*(1-(1-(1-MIN(1,E335*(1-Assumptions!$B$21)))^(1/12)))*(1-H335)</f>
        <v>0.383955251525141</v>
      </c>
      <c r="S336" s="47" t="n">
        <f aca="false">R336*(IF(C336&lt;Assumptions!$B$5,Assumptions!$B$12*(1+Assumptions!$B$11)^(INT(A336/12)+1)/12+Pricing_M!$B$13*IF(A336=0,Assumptions!$B$14*12,IF(A336&gt;=12,Assumptions!$B$15,0))-Pricing_M!$B$13,Assumptions!$B$9/12*(1+Assumptions!$B$10)^INT(A336/12)+Assumptions!$B$12*(1+Assumptions!$B$11)^(INT(A336/12)+1)/12))*J336</f>
        <v>372.687774220975</v>
      </c>
      <c r="T336" s="32" t="n">
        <f aca="false">T335*(1-F335)*(1-(1-(1-MIN(1,G335*(1+Assumptions!$B$23)))^(1/12)))</f>
        <v>0.285652950271587</v>
      </c>
      <c r="U336" s="47" t="n">
        <f aca="false">T336*(IF(C336&lt;Assumptions!$B$5,Assumptions!$B$12*(1+Assumptions!$B$11)^(INT(A336/12)+1)/12+Pricing_M!$B$13*IF(A336=0,Assumptions!$B$14*12,IF(A336&gt;=12,Assumptions!$B$15,0))-Pricing_M!$B$13,Assumptions!$B$9/12*(1+Assumptions!$B$10)^INT(A336/12)+Assumptions!$B$12*(1+Assumptions!$B$11)^(INT(A336/12)+1)/12))*J336</f>
        <v>277.270233480325</v>
      </c>
      <c r="V336" s="32" t="n">
        <f aca="false">V335*(1-F335)*(1-(1-(1-MIN(1,G335*(1-Assumptions!$B$23)))^(1/12)))</f>
        <v>0.347776167540283</v>
      </c>
      <c r="W336" s="47" t="n">
        <f aca="false">V336*(IF(C336&lt;Assumptions!$B$5,Assumptions!$B$12*(1+Assumptions!$B$11)^(INT(A336/12)+1)/12+Pricing_M!$B$13*IF(A336=0,Assumptions!$B$14*12,IF(A336&gt;=12,Assumptions!$B$15,0))-Pricing_M!$B$13,Assumptions!$B$9/12*(1+Assumptions!$B$10)^INT(A336/12)+Assumptions!$B$12*(1+Assumptions!$B$11)^(INT(A336/12)+1)/12))*J336</f>
        <v>337.570394708359</v>
      </c>
      <c r="X336" s="47" t="n">
        <f aca="false">I336*(IF(C336&lt;Assumptions!$B$5,Assumptions!$B$12*(1+Assumptions!$B$11)*(1+Assumptions!$B$24)*(1+Assumptions!$B$11+Assumptions!$B$25)^(INT(A336/12))/12+Pricing_M!$B$13*IF(A336=0,Assumptions!$B$14*12,IF(A336&gt;=12,Assumptions!$B$15,0))-Pricing_M!$B$13,Assumptions!$B$9/12*(1+Assumptions!$B$10)^INT(A336/12)+Assumptions!$B$12*(1+Assumptions!$B$11)*(1+Assumptions!$B$24)*(1+Assumptions!$B$11+Assumptions!$B$25)^(INT(A336/12))/12))*J336</f>
        <v>306.84338621231</v>
      </c>
    </row>
    <row r="337" customFormat="false" ht="15" hidden="false" customHeight="true" outlineLevel="0" collapsed="false">
      <c r="A337" s="1" t="n">
        <v>330</v>
      </c>
      <c r="B337" s="31" t="n">
        <f aca="false">Assumptions!$B$4+A337/12</f>
        <v>92.5</v>
      </c>
      <c r="C337" s="34" t="n">
        <f aca="false">Assumptions!$B$4+INT(A337/12)</f>
        <v>92</v>
      </c>
      <c r="D337" s="34" t="n">
        <f aca="false">INT(A337/12)+1</f>
        <v>28</v>
      </c>
      <c r="E337" s="32" t="n">
        <f aca="false">IFERROR(INDEX(Cohort_Survival!$G$5:$G$65,MATCH(C337,Cohort_Survival!$A$5:$A$65,0)),1)</f>
        <v>0.120257056705328</v>
      </c>
      <c r="F337" s="30" t="n">
        <f aca="false">1-(1-MIN(1,E337))^(1/12)</f>
        <v>0.0106203288125823</v>
      </c>
      <c r="G337" s="39" t="n">
        <f aca="false">IF(C337&lt;Assumptions!$B$5,IF(D337=1,Assumptions!$B$16,IF(D337=2,Assumptions!$B$17,IF(D337&lt;=5,Assumptions!$B$18,Assumptions!$B$19)))*(1-Assumptions!$B$20),0)</f>
        <v>0</v>
      </c>
      <c r="H337" s="30" t="n">
        <f aca="false">1-(1-G337)^(1/12)</f>
        <v>0</v>
      </c>
      <c r="I337" s="30" t="n">
        <f aca="false">I336*(1-F336)*(1-H336)</f>
        <v>0.311983463608307</v>
      </c>
      <c r="J337" s="30" t="n">
        <f aca="false">INDEX(Discount_Monthly!$G$4:$G$664,MATCH(A337,Discount_Monthly!$A$4:$A$664,0))</f>
        <v>0.422899088811511</v>
      </c>
      <c r="K337" s="30" t="n">
        <f aca="false">IF(C337&lt;Assumptions!$B$5,I337*J337,0)</f>
        <v>0</v>
      </c>
      <c r="L337" s="30" t="n">
        <f aca="false">IF(C337&lt;Assumptions!$B$5,I337*(1-F337)*H337*A337*J337,0)</f>
        <v>0</v>
      </c>
      <c r="M337" s="30" t="n">
        <f aca="false">IF(A337=0,Assumptions!$B$14*12*I337*J337,IF(AND(A337&gt;=12,C337&lt;Assumptions!$B$5),Assumptions!$B$15*I337*J337,0))</f>
        <v>0</v>
      </c>
      <c r="N337" s="47" t="n">
        <f aca="false">IF(C337&gt;=Assumptions!$B$5,I337*Assumptions!$B$9/12*(1+Assumptions!$B$10)^INT(A337/12)*J337,0)</f>
        <v>300.269830519778</v>
      </c>
      <c r="O337" s="47" t="n">
        <f aca="false">I337*Assumptions!$B$12/12*(1+Assumptions!$B$11)^(INT(A337/12)+1)*J337</f>
        <v>1.75608404284597</v>
      </c>
      <c r="P337" s="47" t="n">
        <f aca="false">O337+Pricing_M!$B$13*M337+N337-Pricing_M!$B$13*K337</f>
        <v>302.025914562624</v>
      </c>
      <c r="Q337" s="47" t="n">
        <f aca="false">IF(C337&lt;Assumptions!$B$5,Pricing_M!$B$13*K337-Pricing_M!$B$13*M337-O337,-(N337+O337))</f>
        <v>-302.025914562624</v>
      </c>
      <c r="R337" s="32" t="n">
        <f aca="false">R336*(1-(1-(1-MIN(1,E336*(1-Assumptions!$B$21)))^(1/12)))*(1-H336)</f>
        <v>0.380732321875265</v>
      </c>
      <c r="S337" s="47" t="n">
        <f aca="false">R337*(IF(C337&lt;Assumptions!$B$5,Assumptions!$B$12*(1+Assumptions!$B$11)^(INT(A337/12)+1)/12+Pricing_M!$B$13*IF(A337=0,Assumptions!$B$14*12,IF(A337&gt;=12,Assumptions!$B$15,0))-Pricing_M!$B$13,Assumptions!$B$9/12*(1+Assumptions!$B$10)^INT(A337/12)+Assumptions!$B$12*(1+Assumptions!$B$11)^(INT(A337/12)+1)/12))*J337</f>
        <v>368.580521505777</v>
      </c>
      <c r="T337" s="32" t="n">
        <f aca="false">T336*(1-F336)*(1-(1-(1-MIN(1,G336*(1+Assumptions!$B$23)))^(1/12)))</f>
        <v>0.282619222013419</v>
      </c>
      <c r="U337" s="47" t="n">
        <f aca="false">T337*(IF(C337&lt;Assumptions!$B$5,Assumptions!$B$12*(1+Assumptions!$B$11)^(INT(A337/12)+1)/12+Pricing_M!$B$13*IF(A337=0,Assumptions!$B$14*12,IF(A337&gt;=12,Assumptions!$B$15,0))-Pricing_M!$B$13,Assumptions!$B$9/12*(1+Assumptions!$B$10)^INT(A337/12)+Assumptions!$B$12*(1+Assumptions!$B$11)^(INT(A337/12)+1)/12))*J337</f>
        <v>273.598888910173</v>
      </c>
      <c r="V337" s="32" t="n">
        <f aca="false">V336*(1-F336)*(1-(1-(1-MIN(1,G336*(1-Assumptions!$B$23)))^(1/12)))</f>
        <v>0.344082670287826</v>
      </c>
      <c r="W337" s="47" t="n">
        <f aca="false">V337*(IF(C337&lt;Assumptions!$B$5,Assumptions!$B$12*(1+Assumptions!$B$11)^(INT(A337/12)+1)/12+Pricing_M!$B$13*IF(A337=0,Assumptions!$B$14*12,IF(A337&gt;=12,Assumptions!$B$15,0))-Pricing_M!$B$13,Assumptions!$B$9/12*(1+Assumptions!$B$10)^INT(A337/12)+Assumptions!$B$12*(1+Assumptions!$B$11)^(INT(A337/12)+1)/12))*J337</f>
        <v>333.100613657214</v>
      </c>
      <c r="X337" s="47" t="n">
        <f aca="false">I337*(IF(C337&lt;Assumptions!$B$5,Assumptions!$B$12*(1+Assumptions!$B$11)*(1+Assumptions!$B$24)*(1+Assumptions!$B$11+Assumptions!$B$25)^(INT(A337/12))/12+Pricing_M!$B$13*IF(A337=0,Assumptions!$B$14*12,IF(A337&gt;=12,Assumptions!$B$15,0))-Pricing_M!$B$13,Assumptions!$B$9/12*(1+Assumptions!$B$10)^INT(A337/12)+Assumptions!$B$12*(1+Assumptions!$B$11)*(1+Assumptions!$B$24)*(1+Assumptions!$B$11+Assumptions!$B$25)^(INT(A337/12))/12))*J337</f>
        <v>302.780462523324</v>
      </c>
    </row>
    <row r="338" customFormat="false" ht="15" hidden="false" customHeight="true" outlineLevel="0" collapsed="false">
      <c r="A338" s="1" t="n">
        <v>331</v>
      </c>
      <c r="B338" s="31" t="n">
        <f aca="false">Assumptions!$B$4+A338/12</f>
        <v>92.5833333333333</v>
      </c>
      <c r="C338" s="34" t="n">
        <f aca="false">Assumptions!$B$4+INT(A338/12)</f>
        <v>92</v>
      </c>
      <c r="D338" s="34" t="n">
        <f aca="false">INT(A338/12)+1</f>
        <v>28</v>
      </c>
      <c r="E338" s="32" t="n">
        <f aca="false">IFERROR(INDEX(Cohort_Survival!$G$5:$G$65,MATCH(C338,Cohort_Survival!$A$5:$A$65,0)),1)</f>
        <v>0.120257056705328</v>
      </c>
      <c r="F338" s="30" t="n">
        <f aca="false">1-(1-MIN(1,E338))^(1/12)</f>
        <v>0.0106203288125823</v>
      </c>
      <c r="G338" s="39" t="n">
        <f aca="false">IF(C338&lt;Assumptions!$B$5,IF(D338=1,Assumptions!$B$16,IF(D338=2,Assumptions!$B$17,IF(D338&lt;=5,Assumptions!$B$18,Assumptions!$B$19)))*(1-Assumptions!$B$20),0)</f>
        <v>0</v>
      </c>
      <c r="H338" s="30" t="n">
        <f aca="false">1-(1-G338)^(1/12)</f>
        <v>0</v>
      </c>
      <c r="I338" s="30" t="n">
        <f aca="false">I337*(1-F337)*(1-H337)</f>
        <v>0.308670096640698</v>
      </c>
      <c r="J338" s="30" t="n">
        <f aca="false">INDEX(Discount_Monthly!$G$4:$G$664,MATCH(A338,Discount_Monthly!$A$4:$A$664,0))</f>
        <v>0.421778898211494</v>
      </c>
      <c r="K338" s="30" t="n">
        <f aca="false">IF(C338&lt;Assumptions!$B$5,I338*J338,0)</f>
        <v>0</v>
      </c>
      <c r="L338" s="30" t="n">
        <f aca="false">IF(C338&lt;Assumptions!$B$5,I338*(1-F338)*H338*A338*J338,0)</f>
        <v>0</v>
      </c>
      <c r="M338" s="30" t="n">
        <f aca="false">IF(A338=0,Assumptions!$B$14*12*I338*J338,IF(AND(A338&gt;=12,C338&lt;Assumptions!$B$5),Assumptions!$B$15*I338*J338,0))</f>
        <v>0</v>
      </c>
      <c r="N338" s="47" t="n">
        <f aca="false">IF(C338&gt;=Assumptions!$B$5,I338*Assumptions!$B$9/12*(1+Assumptions!$B$10)^INT(A338/12)*J338,0)</f>
        <v>296.293947504778</v>
      </c>
      <c r="O338" s="47" t="n">
        <f aca="false">I338*Assumptions!$B$12/12*(1+Assumptions!$B$11)^(INT(A338/12)+1)*J338</f>
        <v>1.73283167444527</v>
      </c>
      <c r="P338" s="47" t="n">
        <f aca="false">O338+Pricing_M!$B$13*M338+N338-Pricing_M!$B$13*K338</f>
        <v>298.026779179223</v>
      </c>
      <c r="Q338" s="47" t="n">
        <f aca="false">IF(C338&lt;Assumptions!$B$5,Pricing_M!$B$13*K338-Pricing_M!$B$13*M338-O338,-(N338+O338))</f>
        <v>-298.026779179223</v>
      </c>
      <c r="R338" s="32" t="n">
        <f aca="false">R337*(1-(1-(1-MIN(1,E337*(1-Assumptions!$B$21)))^(1/12)))*(1-H337)</f>
        <v>0.377536445574672</v>
      </c>
      <c r="S338" s="47" t="n">
        <f aca="false">R338*(IF(C338&lt;Assumptions!$B$5,Assumptions!$B$12*(1+Assumptions!$B$11)^(INT(A338/12)+1)/12+Pricing_M!$B$13*IF(A338=0,Assumptions!$B$14*12,IF(A338&gt;=12,Assumptions!$B$15,0))-Pricing_M!$B$13,Assumptions!$B$9/12*(1+Assumptions!$B$10)^INT(A338/12)+Assumptions!$B$12*(1+Assumptions!$B$11)^(INT(A338/12)+1)/12))*J338</f>
        <v>364.518533288191</v>
      </c>
      <c r="T338" s="32" t="n">
        <f aca="false">T337*(1-F337)*(1-(1-(1-MIN(1,G337*(1+Assumptions!$B$23)))^(1/12)))</f>
        <v>0.27961771294688</v>
      </c>
      <c r="U338" s="47" t="n">
        <f aca="false">T338*(IF(C338&lt;Assumptions!$B$5,Assumptions!$B$12*(1+Assumptions!$B$11)^(INT(A338/12)+1)/12+Pricing_M!$B$13*IF(A338=0,Assumptions!$B$14*12,IF(A338&gt;=12,Assumptions!$B$15,0))-Pricing_M!$B$13,Assumptions!$B$9/12*(1+Assumptions!$B$10)^INT(A338/12)+Assumptions!$B$12*(1+Assumptions!$B$11)^(INT(A338/12)+1)/12))*J338</f>
        <v>269.976156738054</v>
      </c>
      <c r="V338" s="32" t="n">
        <f aca="false">V337*(1-F337)*(1-(1-(1-MIN(1,G337*(1-Assumptions!$B$23)))^(1/12)))</f>
        <v>0.340428399190658</v>
      </c>
      <c r="W338" s="47" t="n">
        <f aca="false">V338*(IF(C338&lt;Assumptions!$B$5,Assumptions!$B$12*(1+Assumptions!$B$11)^(INT(A338/12)+1)/12+Pricing_M!$B$13*IF(A338=0,Assumptions!$B$14*12,IF(A338&gt;=12,Assumptions!$B$15,0))-Pricing_M!$B$13,Assumptions!$B$9/12*(1+Assumptions!$B$10)^INT(A338/12)+Assumptions!$B$12*(1+Assumptions!$B$11)^(INT(A338/12)+1)/12))*J338</f>
        <v>328.690017128642</v>
      </c>
      <c r="X338" s="47" t="n">
        <f aca="false">I338*(IF(C338&lt;Assumptions!$B$5,Assumptions!$B$12*(1+Assumptions!$B$11)*(1+Assumptions!$B$24)*(1+Assumptions!$B$11+Assumptions!$B$25)^(INT(A338/12))/12+Pricing_M!$B$13*IF(A338=0,Assumptions!$B$14*12,IF(A338&gt;=12,Assumptions!$B$15,0))-Pricing_M!$B$13,Assumptions!$B$9/12*(1+Assumptions!$B$10)^INT(A338/12)+Assumptions!$B$12*(1+Assumptions!$B$11)*(1+Assumptions!$B$24)*(1+Assumptions!$B$11+Assumptions!$B$25)^(INT(A338/12))/12))*J338</f>
        <v>298.771336144772</v>
      </c>
    </row>
    <row r="339" customFormat="false" ht="15" hidden="false" customHeight="true" outlineLevel="0" collapsed="false">
      <c r="A339" s="1" t="n">
        <v>332</v>
      </c>
      <c r="B339" s="31" t="n">
        <f aca="false">Assumptions!$B$4+A339/12</f>
        <v>92.6666666666667</v>
      </c>
      <c r="C339" s="34" t="n">
        <f aca="false">Assumptions!$B$4+INT(A339/12)</f>
        <v>92</v>
      </c>
      <c r="D339" s="34" t="n">
        <f aca="false">INT(A339/12)+1</f>
        <v>28</v>
      </c>
      <c r="E339" s="32" t="n">
        <f aca="false">IFERROR(INDEX(Cohort_Survival!$G$5:$G$65,MATCH(C339,Cohort_Survival!$A$5:$A$65,0)),1)</f>
        <v>0.120257056705328</v>
      </c>
      <c r="F339" s="30" t="n">
        <f aca="false">1-(1-MIN(1,E339))^(1/12)</f>
        <v>0.0106203288125823</v>
      </c>
      <c r="G339" s="39" t="n">
        <f aca="false">IF(C339&lt;Assumptions!$B$5,IF(D339=1,Assumptions!$B$16,IF(D339=2,Assumptions!$B$17,IF(D339&lt;=5,Assumptions!$B$18,Assumptions!$B$19)))*(1-Assumptions!$B$20),0)</f>
        <v>0</v>
      </c>
      <c r="H339" s="30" t="n">
        <f aca="false">1-(1-G339)^(1/12)</f>
        <v>0</v>
      </c>
      <c r="I339" s="30" t="n">
        <f aca="false">I338*(1-F338)*(1-H338)</f>
        <v>0.305391918719762</v>
      </c>
      <c r="J339" s="30" t="n">
        <f aca="false">INDEX(Discount_Monthly!$G$4:$G$664,MATCH(A339,Discount_Monthly!$A$4:$A$664,0))</f>
        <v>0.420661674813378</v>
      </c>
      <c r="K339" s="30" t="n">
        <f aca="false">IF(C339&lt;Assumptions!$B$5,I339*J339,0)</f>
        <v>0</v>
      </c>
      <c r="L339" s="30" t="n">
        <f aca="false">IF(C339&lt;Assumptions!$B$5,I339*(1-F339)*H339*A339*J339,0)</f>
        <v>0</v>
      </c>
      <c r="M339" s="30" t="n">
        <f aca="false">IF(A339=0,Assumptions!$B$14*12*I339*J339,IF(AND(A339&gt;=12,C339&lt;Assumptions!$B$5),Assumptions!$B$15*I339*J339,0))</f>
        <v>0</v>
      </c>
      <c r="N339" s="47" t="n">
        <f aca="false">IF(C339&gt;=Assumptions!$B$5,I339*Assumptions!$B$9/12*(1+Assumptions!$B$10)^INT(A339/12)*J339,0)</f>
        <v>292.370709291695</v>
      </c>
      <c r="O339" s="47" t="n">
        <f aca="false">I339*Assumptions!$B$12/12*(1+Assumptions!$B$11)^(INT(A339/12)+1)*J339</f>
        <v>1.70988719144358</v>
      </c>
      <c r="P339" s="47" t="n">
        <f aca="false">O339+Pricing_M!$B$13*M339+N339-Pricing_M!$B$13*K339</f>
        <v>294.080596483138</v>
      </c>
      <c r="Q339" s="47" t="n">
        <f aca="false">IF(C339&lt;Assumptions!$B$5,Pricing_M!$B$13*K339-Pricing_M!$B$13*M339-O339,-(N339+O339))</f>
        <v>-294.080596483138</v>
      </c>
      <c r="R339" s="32" t="n">
        <f aca="false">R338*(1-(1-(1-MIN(1,E338*(1-Assumptions!$B$21)))^(1/12)))*(1-H338)</f>
        <v>0.374367395536892</v>
      </c>
      <c r="S339" s="47" t="n">
        <f aca="false">R339*(IF(C339&lt;Assumptions!$B$5,Assumptions!$B$12*(1+Assumptions!$B$11)^(INT(A339/12)+1)/12+Pricing_M!$B$13*IF(A339=0,Assumptions!$B$14*12,IF(A339&gt;=12,Assumptions!$B$15,0))-Pricing_M!$B$13,Assumptions!$B$9/12*(1+Assumptions!$B$10)^INT(A339/12)+Assumptions!$B$12*(1+Assumptions!$B$11)^(INT(A339/12)+1)/12))*J339</f>
        <v>360.501310725102</v>
      </c>
      <c r="T339" s="32" t="n">
        <f aca="false">T338*(1-F338)*(1-(1-(1-MIN(1,G338*(1+Assumptions!$B$23)))^(1/12)))</f>
        <v>0.276648080893562</v>
      </c>
      <c r="U339" s="47" t="n">
        <f aca="false">T339*(IF(C339&lt;Assumptions!$B$5,Assumptions!$B$12*(1+Assumptions!$B$11)^(INT(A339/12)+1)/12+Pricing_M!$B$13*IF(A339=0,Assumptions!$B$14*12,IF(A339&gt;=12,Assumptions!$B$15,0))-Pricing_M!$B$13,Assumptions!$B$9/12*(1+Assumptions!$B$10)^INT(A339/12)+Assumptions!$B$12*(1+Assumptions!$B$11)^(INT(A339/12)+1)/12))*J339</f>
        <v>266.401393285557</v>
      </c>
      <c r="V339" s="32" t="n">
        <f aca="false">V338*(1-F338)*(1-(1-(1-MIN(1,G338*(1-Assumptions!$B$23)))^(1/12)))</f>
        <v>0.336812937654112</v>
      </c>
      <c r="W339" s="47" t="n">
        <f aca="false">V339*(IF(C339&lt;Assumptions!$B$5,Assumptions!$B$12*(1+Assumptions!$B$11)^(INT(A339/12)+1)/12+Pricing_M!$B$13*IF(A339=0,Assumptions!$B$14*12,IF(A339&gt;=12,Assumptions!$B$15,0))-Pricing_M!$B$13,Assumptions!$B$9/12*(1+Assumptions!$B$10)^INT(A339/12)+Assumptions!$B$12*(1+Assumptions!$B$11)^(INT(A339/12)+1)/12))*J339</f>
        <v>324.337821458369</v>
      </c>
      <c r="X339" s="47" t="n">
        <f aca="false">I339*(IF(C339&lt;Assumptions!$B$5,Assumptions!$B$12*(1+Assumptions!$B$11)*(1+Assumptions!$B$24)*(1+Assumptions!$B$11+Assumptions!$B$25)^(INT(A339/12))/12+Pricing_M!$B$13*IF(A339=0,Assumptions!$B$14*12,IF(A339&gt;=12,Assumptions!$B$15,0))-Pricing_M!$B$13,Assumptions!$B$9/12*(1+Assumptions!$B$10)^INT(A339/12)+Assumptions!$B$12*(1+Assumptions!$B$11)*(1+Assumptions!$B$24)*(1+Assumptions!$B$11+Assumptions!$B$25)^(INT(A339/12))/12))*J339</f>
        <v>294.815294744641</v>
      </c>
    </row>
    <row r="340" customFormat="false" ht="15" hidden="false" customHeight="true" outlineLevel="0" collapsed="false">
      <c r="A340" s="1" t="n">
        <v>333</v>
      </c>
      <c r="B340" s="31" t="n">
        <f aca="false">Assumptions!$B$4+A340/12</f>
        <v>92.75</v>
      </c>
      <c r="C340" s="34" t="n">
        <f aca="false">Assumptions!$B$4+INT(A340/12)</f>
        <v>92</v>
      </c>
      <c r="D340" s="34" t="n">
        <f aca="false">INT(A340/12)+1</f>
        <v>28</v>
      </c>
      <c r="E340" s="32" t="n">
        <f aca="false">IFERROR(INDEX(Cohort_Survival!$G$5:$G$65,MATCH(C340,Cohort_Survival!$A$5:$A$65,0)),1)</f>
        <v>0.120257056705328</v>
      </c>
      <c r="F340" s="30" t="n">
        <f aca="false">1-(1-MIN(1,E340))^(1/12)</f>
        <v>0.0106203288125823</v>
      </c>
      <c r="G340" s="39" t="n">
        <f aca="false">IF(C340&lt;Assumptions!$B$5,IF(D340=1,Assumptions!$B$16,IF(D340=2,Assumptions!$B$17,IF(D340&lt;=5,Assumptions!$B$18,Assumptions!$B$19)))*(1-Assumptions!$B$20),0)</f>
        <v>0</v>
      </c>
      <c r="H340" s="30" t="n">
        <f aca="false">1-(1-G340)^(1/12)</f>
        <v>0</v>
      </c>
      <c r="I340" s="30" t="n">
        <f aca="false">I339*(1-F339)*(1-H339)</f>
        <v>0.302148556126253</v>
      </c>
      <c r="J340" s="30" t="n">
        <f aca="false">INDEX(Discount_Monthly!$G$4:$G$664,MATCH(A340,Discount_Monthly!$A$4:$A$664,0))</f>
        <v>0.419547410757531</v>
      </c>
      <c r="K340" s="30" t="n">
        <f aca="false">IF(C340&lt;Assumptions!$B$5,I340*J340,0)</f>
        <v>0</v>
      </c>
      <c r="L340" s="30" t="n">
        <f aca="false">IF(C340&lt;Assumptions!$B$5,I340*(1-F340)*H340*A340*J340,0)</f>
        <v>0</v>
      </c>
      <c r="M340" s="30" t="n">
        <f aca="false">IF(A340=0,Assumptions!$B$14*12*I340*J340,IF(AND(A340&gt;=12,C340&lt;Assumptions!$B$5),Assumptions!$B$15*I340*J340,0))</f>
        <v>0</v>
      </c>
      <c r="N340" s="47" t="n">
        <f aca="false">IF(C340&gt;=Assumptions!$B$5,I340*Assumptions!$B$9/12*(1+Assumptions!$B$10)^INT(A340/12)*J340,0)</f>
        <v>288.499418808918</v>
      </c>
      <c r="O340" s="47" t="n">
        <f aca="false">I340*Assumptions!$B$12/12*(1+Assumptions!$B$11)^(INT(A340/12)+1)*J340</f>
        <v>1.6872465171199</v>
      </c>
      <c r="P340" s="47" t="n">
        <f aca="false">O340+Pricing_M!$B$13*M340+N340-Pricing_M!$B$13*K340</f>
        <v>290.186665326038</v>
      </c>
      <c r="Q340" s="47" t="n">
        <f aca="false">IF(C340&lt;Assumptions!$B$5,Pricing_M!$B$13*K340-Pricing_M!$B$13*M340-O340,-(N340+O340))</f>
        <v>-290.186665326038</v>
      </c>
      <c r="R340" s="32" t="n">
        <f aca="false">R339*(1-(1-(1-MIN(1,E339*(1-Assumptions!$B$21)))^(1/12)))*(1-H339)</f>
        <v>0.37122494658163</v>
      </c>
      <c r="S340" s="47" t="n">
        <f aca="false">R340*(IF(C340&lt;Assumptions!$B$5,Assumptions!$B$12*(1+Assumptions!$B$11)^(INT(A340/12)+1)/12+Pricing_M!$B$13*IF(A340=0,Assumptions!$B$14*12,IF(A340&gt;=12,Assumptions!$B$15,0))-Pricing_M!$B$13,Assumptions!$B$9/12*(1+Assumptions!$B$10)^INT(A340/12)+Assumptions!$B$12*(1+Assumptions!$B$11)^(INT(A340/12)+1)/12))*J340</f>
        <v>356.528360470956</v>
      </c>
      <c r="T340" s="32" t="n">
        <f aca="false">T339*(1-F339)*(1-(1-(1-MIN(1,G339*(1+Assumptions!$B$23)))^(1/12)))</f>
        <v>0.273709987309102</v>
      </c>
      <c r="U340" s="47" t="n">
        <f aca="false">T340*(IF(C340&lt;Assumptions!$B$5,Assumptions!$B$12*(1+Assumptions!$B$11)^(INT(A340/12)+1)/12+Pricing_M!$B$13*IF(A340=0,Assumptions!$B$14*12,IF(A340&gt;=12,Assumptions!$B$15,0))-Pricing_M!$B$13,Assumptions!$B$9/12*(1+Assumptions!$B$10)^INT(A340/12)+Assumptions!$B$12*(1+Assumptions!$B$11)^(INT(A340/12)+1)/12))*J340</f>
        <v>262.873963397237</v>
      </c>
      <c r="V340" s="32" t="n">
        <f aca="false">V339*(1-F339)*(1-(1-(1-MIN(1,G339*(1-Assumptions!$B$23)))^(1/12)))</f>
        <v>0.333235873507893</v>
      </c>
      <c r="W340" s="47" t="n">
        <f aca="false">V340*(IF(C340&lt;Assumptions!$B$5,Assumptions!$B$12*(1+Assumptions!$B$11)^(INT(A340/12)+1)/12+Pricing_M!$B$13*IF(A340=0,Assumptions!$B$14*12,IF(A340&gt;=12,Assumptions!$B$15,0))-Pricing_M!$B$13,Assumptions!$B$9/12*(1+Assumptions!$B$10)^INT(A340/12)+Assumptions!$B$12*(1+Assumptions!$B$11)^(INT(A340/12)+1)/12))*J340</f>
        <v>320.043253358651</v>
      </c>
      <c r="X340" s="47" t="n">
        <f aca="false">I340*(IF(C340&lt;Assumptions!$B$5,Assumptions!$B$12*(1+Assumptions!$B$11)*(1+Assumptions!$B$24)*(1+Assumptions!$B$11+Assumptions!$B$25)^(INT(A340/12))/12+Pricing_M!$B$13*IF(A340=0,Assumptions!$B$14*12,IF(A340&gt;=12,Assumptions!$B$15,0))-Pricing_M!$B$13,Assumptions!$B$9/12*(1+Assumptions!$B$10)^INT(A340/12)+Assumptions!$B$12*(1+Assumptions!$B$11)*(1+Assumptions!$B$24)*(1+Assumptions!$B$11+Assumptions!$B$25)^(INT(A340/12))/12))*J340</f>
        <v>290.91163542293</v>
      </c>
    </row>
    <row r="341" customFormat="false" ht="15" hidden="false" customHeight="true" outlineLevel="0" collapsed="false">
      <c r="A341" s="1" t="n">
        <v>334</v>
      </c>
      <c r="B341" s="31" t="n">
        <f aca="false">Assumptions!$B$4+A341/12</f>
        <v>92.8333333333333</v>
      </c>
      <c r="C341" s="34" t="n">
        <f aca="false">Assumptions!$B$4+INT(A341/12)</f>
        <v>92</v>
      </c>
      <c r="D341" s="34" t="n">
        <f aca="false">INT(A341/12)+1</f>
        <v>28</v>
      </c>
      <c r="E341" s="32" t="n">
        <f aca="false">IFERROR(INDEX(Cohort_Survival!$G$5:$G$65,MATCH(C341,Cohort_Survival!$A$5:$A$65,0)),1)</f>
        <v>0.120257056705328</v>
      </c>
      <c r="F341" s="30" t="n">
        <f aca="false">1-(1-MIN(1,E341))^(1/12)</f>
        <v>0.0106203288125823</v>
      </c>
      <c r="G341" s="39" t="n">
        <f aca="false">IF(C341&lt;Assumptions!$B$5,IF(D341=1,Assumptions!$B$16,IF(D341=2,Assumptions!$B$17,IF(D341&lt;=5,Assumptions!$B$18,Assumptions!$B$19)))*(1-Assumptions!$B$20),0)</f>
        <v>0</v>
      </c>
      <c r="H341" s="30" t="n">
        <f aca="false">1-(1-G341)^(1/12)</f>
        <v>0</v>
      </c>
      <c r="I341" s="30" t="n">
        <f aca="false">I340*(1-F340)*(1-H340)</f>
        <v>0.298939639109945</v>
      </c>
      <c r="J341" s="30" t="n">
        <f aca="false">INDEX(Discount_Monthly!$G$4:$G$664,MATCH(A341,Discount_Monthly!$A$4:$A$664,0))</f>
        <v>0.418436098205138</v>
      </c>
      <c r="K341" s="30" t="n">
        <f aca="false">IF(C341&lt;Assumptions!$B$5,I341*J341,0)</f>
        <v>0</v>
      </c>
      <c r="L341" s="30" t="n">
        <f aca="false">IF(C341&lt;Assumptions!$B$5,I341*(1-F341)*H341*A341*J341,0)</f>
        <v>0</v>
      </c>
      <c r="M341" s="30" t="n">
        <f aca="false">IF(A341=0,Assumptions!$B$14*12*I341*J341,IF(AND(A341&gt;=12,C341&lt;Assumptions!$B$5),Assumptions!$B$15*I341*J341,0))</f>
        <v>0</v>
      </c>
      <c r="N341" s="47" t="n">
        <f aca="false">IF(C341&gt;=Assumptions!$B$5,I341*Assumptions!$B$9/12*(1+Assumptions!$B$10)^INT(A341/12)*J341,0)</f>
        <v>284.679388214788</v>
      </c>
      <c r="O341" s="47" t="n">
        <f aca="false">I341*Assumptions!$B$12/12*(1+Assumptions!$B$11)^(INT(A341/12)+1)*J341</f>
        <v>1.66490562873321</v>
      </c>
      <c r="P341" s="47" t="n">
        <f aca="false">O341+Pricing_M!$B$13*M341+N341-Pricing_M!$B$13*K341</f>
        <v>286.344293843522</v>
      </c>
      <c r="Q341" s="47" t="n">
        <f aca="false">IF(C341&lt;Assumptions!$B$5,Pricing_M!$B$13*K341-Pricing_M!$B$13*M341-O341,-(N341+O341))</f>
        <v>-286.344293843522</v>
      </c>
      <c r="R341" s="32" t="n">
        <f aca="false">R340*(1-(1-(1-MIN(1,E340*(1-Assumptions!$B$21)))^(1/12)))*(1-H340)</f>
        <v>0.368108875418757</v>
      </c>
      <c r="S341" s="47" t="n">
        <f aca="false">R341*(IF(C341&lt;Assumptions!$B$5,Assumptions!$B$12*(1+Assumptions!$B$11)^(INT(A341/12)+1)/12+Pricing_M!$B$13*IF(A341=0,Assumptions!$B$14*12,IF(A341&gt;=12,Assumptions!$B$15,0))-Pricing_M!$B$13,Assumptions!$B$9/12*(1+Assumptions!$B$10)^INT(A341/12)+Assumptions!$B$12*(1+Assumptions!$B$11)^(INT(A341/12)+1)/12))*J341</f>
        <v>352.599194617179</v>
      </c>
      <c r="T341" s="32" t="n">
        <f aca="false">T340*(1-F340)*(1-(1-(1-MIN(1,G340*(1+Assumptions!$B$23)))^(1/12)))</f>
        <v>0.270803097244592</v>
      </c>
      <c r="U341" s="47" t="n">
        <f aca="false">T341*(IF(C341&lt;Assumptions!$B$5,Assumptions!$B$12*(1+Assumptions!$B$11)^(INT(A341/12)+1)/12+Pricing_M!$B$13*IF(A341=0,Assumptions!$B$14*12,IF(A341&gt;=12,Assumptions!$B$15,0))-Pricing_M!$B$13,Assumptions!$B$9/12*(1+Assumptions!$B$10)^INT(A341/12)+Assumptions!$B$12*(1+Assumptions!$B$11)^(INT(A341/12)+1)/12))*J341</f>
        <v>259.393240327765</v>
      </c>
      <c r="V341" s="32" t="n">
        <f aca="false">V340*(1-F340)*(1-(1-(1-MIN(1,G340*(1-Assumptions!$B$23)))^(1/12)))</f>
        <v>0.329696798959091</v>
      </c>
      <c r="W341" s="47" t="n">
        <f aca="false">V341*(IF(C341&lt;Assumptions!$B$5,Assumptions!$B$12*(1+Assumptions!$B$11)^(INT(A341/12)+1)/12+Pricing_M!$B$13*IF(A341=0,Assumptions!$B$14*12,IF(A341&gt;=12,Assumptions!$B$15,0))-Pricing_M!$B$13,Assumptions!$B$9/12*(1+Assumptions!$B$10)^INT(A341/12)+Assumptions!$B$12*(1+Assumptions!$B$11)^(INT(A341/12)+1)/12))*J341</f>
        <v>315.805549780868</v>
      </c>
      <c r="X341" s="47" t="n">
        <f aca="false">I341*(IF(C341&lt;Assumptions!$B$5,Assumptions!$B$12*(1+Assumptions!$B$11)*(1+Assumptions!$B$24)*(1+Assumptions!$B$11+Assumptions!$B$25)^(INT(A341/12))/12+Pricing_M!$B$13*IF(A341=0,Assumptions!$B$14*12,IF(A341&gt;=12,Assumptions!$B$15,0))-Pricing_M!$B$13,Assumptions!$B$9/12*(1+Assumptions!$B$10)^INT(A341/12)+Assumptions!$B$12*(1+Assumptions!$B$11)*(1+Assumptions!$B$24)*(1+Assumptions!$B$11+Assumptions!$B$25)^(INT(A341/12))/12))*J341</f>
        <v>287.05966458676</v>
      </c>
    </row>
    <row r="342" customFormat="false" ht="15" hidden="false" customHeight="true" outlineLevel="0" collapsed="false">
      <c r="A342" s="1" t="n">
        <v>335</v>
      </c>
      <c r="B342" s="31" t="n">
        <f aca="false">Assumptions!$B$4+A342/12</f>
        <v>92.9166666666667</v>
      </c>
      <c r="C342" s="34" t="n">
        <f aca="false">Assumptions!$B$4+INT(A342/12)</f>
        <v>92</v>
      </c>
      <c r="D342" s="34" t="n">
        <f aca="false">INT(A342/12)+1</f>
        <v>28</v>
      </c>
      <c r="E342" s="32" t="n">
        <f aca="false">IFERROR(INDEX(Cohort_Survival!$G$5:$G$65,MATCH(C342,Cohort_Survival!$A$5:$A$65,0)),1)</f>
        <v>0.120257056705328</v>
      </c>
      <c r="F342" s="30" t="n">
        <f aca="false">1-(1-MIN(1,E342))^(1/12)</f>
        <v>0.0106203288125823</v>
      </c>
      <c r="G342" s="39" t="n">
        <f aca="false">IF(C342&lt;Assumptions!$B$5,IF(D342=1,Assumptions!$B$16,IF(D342=2,Assumptions!$B$17,IF(D342&lt;=5,Assumptions!$B$18,Assumptions!$B$19)))*(1-Assumptions!$B$20),0)</f>
        <v>0</v>
      </c>
      <c r="H342" s="30" t="n">
        <f aca="false">1-(1-G342)^(1/12)</f>
        <v>0</v>
      </c>
      <c r="I342" s="30" t="n">
        <f aca="false">I341*(1-F341)*(1-H341)</f>
        <v>0.295764801847483</v>
      </c>
      <c r="J342" s="30" t="n">
        <f aca="false">INDEX(Discount_Monthly!$G$4:$G$664,MATCH(A342,Discount_Monthly!$A$4:$A$664,0))</f>
        <v>0.417327729338148</v>
      </c>
      <c r="K342" s="30" t="n">
        <f aca="false">IF(C342&lt;Assumptions!$B$5,I342*J342,0)</f>
        <v>0</v>
      </c>
      <c r="L342" s="30" t="n">
        <f aca="false">IF(C342&lt;Assumptions!$B$5,I342*(1-F342)*H342*A342*J342,0)</f>
        <v>0</v>
      </c>
      <c r="M342" s="30" t="n">
        <f aca="false">IF(A342=0,Assumptions!$B$14*12*I342*J342,IF(AND(A342&gt;=12,C342&lt;Assumptions!$B$5),Assumptions!$B$15*I342*J342,0))</f>
        <v>0</v>
      </c>
      <c r="N342" s="47" t="n">
        <f aca="false">IF(C342&gt;=Assumptions!$B$5,I342*Assumptions!$B$9/12*(1+Assumptions!$B$10)^INT(A342/12)*J342,0)</f>
        <v>280.909938775382</v>
      </c>
      <c r="O342" s="47" t="n">
        <f aca="false">I342*Assumptions!$B$12/12*(1+Assumptions!$B$11)^(INT(A342/12)+1)*J342</f>
        <v>1.64286055680773</v>
      </c>
      <c r="P342" s="47" t="n">
        <f aca="false">O342+Pricing_M!$B$13*M342+N342-Pricing_M!$B$13*K342</f>
        <v>282.552799332189</v>
      </c>
      <c r="Q342" s="47" t="n">
        <f aca="false">IF(C342&lt;Assumptions!$B$5,Pricing_M!$B$13*K342-Pricing_M!$B$13*M342-O342,-(N342+O342))</f>
        <v>-282.552799332189</v>
      </c>
      <c r="R342" s="32" t="n">
        <f aca="false">R341*(1-(1-(1-MIN(1,E341*(1-Assumptions!$B$21)))^(1/12)))*(1-H341)</f>
        <v>0.365018960632445</v>
      </c>
      <c r="S342" s="47" t="n">
        <f aca="false">R342*(IF(C342&lt;Assumptions!$B$5,Assumptions!$B$12*(1+Assumptions!$B$11)^(INT(A342/12)+1)/12+Pricing_M!$B$13*IF(A342=0,Assumptions!$B$14*12,IF(A342&gt;=12,Assumptions!$B$15,0))-Pricing_M!$B$13,Assumptions!$B$9/12*(1+Assumptions!$B$10)^INT(A342/12)+Assumptions!$B$12*(1+Assumptions!$B$11)^(INT(A342/12)+1)/12))*J342</f>
        <v>348.713330632251</v>
      </c>
      <c r="T342" s="32" t="n">
        <f aca="false">T341*(1-F341)*(1-(1-(1-MIN(1,G341*(1+Assumptions!$B$23)))^(1/12)))</f>
        <v>0.267927079308389</v>
      </c>
      <c r="U342" s="47" t="n">
        <f aca="false">T342*(IF(C342&lt;Assumptions!$B$5,Assumptions!$B$12*(1+Assumptions!$B$11)^(INT(A342/12)+1)/12+Pricing_M!$B$13*IF(A342=0,Assumptions!$B$14*12,IF(A342&gt;=12,Assumptions!$B$15,0))-Pricing_M!$B$13,Assumptions!$B$9/12*(1+Assumptions!$B$10)^INT(A342/12)+Assumptions!$B$12*(1+Assumptions!$B$11)^(INT(A342/12)+1)/12))*J342</f>
        <v>255.958605630567</v>
      </c>
      <c r="V342" s="32" t="n">
        <f aca="false">V341*(1-F341)*(1-(1-(1-MIN(1,G341*(1-Assumptions!$B$23)))^(1/12)))</f>
        <v>0.32619531054569</v>
      </c>
      <c r="W342" s="47" t="n">
        <f aca="false">V342*(IF(C342&lt;Assumptions!$B$5,Assumptions!$B$12*(1+Assumptions!$B$11)^(INT(A342/12)+1)/12+Pricing_M!$B$13*IF(A342=0,Assumptions!$B$14*12,IF(A342&gt;=12,Assumptions!$B$15,0))-Pricing_M!$B$13,Assumptions!$B$9/12*(1+Assumptions!$B$10)^INT(A342/12)+Assumptions!$B$12*(1+Assumptions!$B$11)^(INT(A342/12)+1)/12))*J342</f>
        <v>311.623957779957</v>
      </c>
      <c r="X342" s="47" t="n">
        <f aca="false">I342*(IF(C342&lt;Assumptions!$B$5,Assumptions!$B$12*(1+Assumptions!$B$11)*(1+Assumptions!$B$24)*(1+Assumptions!$B$11+Assumptions!$B$25)^(INT(A342/12))/12+Pricing_M!$B$13*IF(A342=0,Assumptions!$B$14*12,IF(A342&gt;=12,Assumptions!$B$15,0))-Pricing_M!$B$13,Assumptions!$B$9/12*(1+Assumptions!$B$10)^INT(A342/12)+Assumptions!$B$12*(1+Assumptions!$B$11)*(1+Assumptions!$B$24)*(1+Assumptions!$B$11+Assumptions!$B$25)^(INT(A342/12))/12))*J342</f>
        <v>283.258697827142</v>
      </c>
    </row>
    <row r="343" customFormat="false" ht="15" hidden="false" customHeight="true" outlineLevel="0" collapsed="false">
      <c r="A343" s="1" t="n">
        <v>336</v>
      </c>
      <c r="B343" s="31" t="n">
        <f aca="false">Assumptions!$B$4+A343/12</f>
        <v>93</v>
      </c>
      <c r="C343" s="34" t="n">
        <f aca="false">Assumptions!$B$4+INT(A343/12)</f>
        <v>93</v>
      </c>
      <c r="D343" s="34" t="n">
        <f aca="false">INT(A343/12)+1</f>
        <v>29</v>
      </c>
      <c r="E343" s="32" t="n">
        <f aca="false">IFERROR(INDEX(Cohort_Survival!$G$5:$G$65,MATCH(C343,Cohort_Survival!$A$5:$A$65,0)),1)</f>
        <v>0.131970852932638</v>
      </c>
      <c r="F343" s="30" t="n">
        <f aca="false">1-(1-MIN(1,E343))^(1/12)</f>
        <v>0.0117248869019949</v>
      </c>
      <c r="G343" s="39" t="n">
        <f aca="false">IF(C343&lt;Assumptions!$B$5,IF(D343=1,Assumptions!$B$16,IF(D343=2,Assumptions!$B$17,IF(D343&lt;=5,Assumptions!$B$18,Assumptions!$B$19)))*(1-Assumptions!$B$20),0)</f>
        <v>0</v>
      </c>
      <c r="H343" s="30" t="n">
        <f aca="false">1-(1-G343)^(1/12)</f>
        <v>0</v>
      </c>
      <c r="I343" s="30" t="n">
        <f aca="false">I342*(1-F342)*(1-H342)</f>
        <v>0.292623682400674</v>
      </c>
      <c r="J343" s="30" t="n">
        <f aca="false">INDEX(Discount_Monthly!$G$4:$G$664,MATCH(A343,Discount_Monthly!$A$4:$A$664,0))</f>
        <v>0.41622229635922</v>
      </c>
      <c r="K343" s="30" t="n">
        <f aca="false">IF(C343&lt;Assumptions!$B$5,I343*J343,0)</f>
        <v>0</v>
      </c>
      <c r="L343" s="30" t="n">
        <f aca="false">IF(C343&lt;Assumptions!$B$5,I343*(1-F343)*H343*A343*J343,0)</f>
        <v>0</v>
      </c>
      <c r="M343" s="30" t="n">
        <f aca="false">IF(A343=0,Assumptions!$B$14*12*I343*J343,IF(AND(A343&gt;=12,C343&lt;Assumptions!$B$5),Assumptions!$B$15*I343*J343,0))</f>
        <v>0</v>
      </c>
      <c r="N343" s="47" t="n">
        <f aca="false">IF(C343&gt;=Assumptions!$B$5,I343*Assumptions!$B$9/12*(1+Assumptions!$B$10)^INT(A343/12)*J343,0)</f>
        <v>282.734208758789</v>
      </c>
      <c r="O343" s="47" t="n">
        <f aca="false">I343*Assumptions!$B$12/12*(1+Assumptions!$B$11)^(INT(A343/12)+1)*J343</f>
        <v>1.66163506903838</v>
      </c>
      <c r="P343" s="47" t="n">
        <f aca="false">O343+Pricing_M!$B$13*M343+N343-Pricing_M!$B$13*K343</f>
        <v>284.395843827828</v>
      </c>
      <c r="Q343" s="47" t="n">
        <f aca="false">IF(C343&lt;Assumptions!$B$5,Pricing_M!$B$13*K343-Pricing_M!$B$13*M343-O343,-(N343+O343))</f>
        <v>-284.395843827828</v>
      </c>
      <c r="R343" s="32" t="n">
        <f aca="false">R342*(1-(1-(1-MIN(1,E342*(1-Assumptions!$B$21)))^(1/12)))*(1-H342)</f>
        <v>0.361954982665439</v>
      </c>
      <c r="S343" s="47" t="n">
        <f aca="false">R343*(IF(C343&lt;Assumptions!$B$5,Assumptions!$B$12*(1+Assumptions!$B$11)^(INT(A343/12)+1)/12+Pricing_M!$B$13*IF(A343=0,Assumptions!$B$14*12,IF(A343&gt;=12,Assumptions!$B$15,0))-Pricing_M!$B$13,Assumptions!$B$9/12*(1+Assumptions!$B$10)^INT(A343/12)+Assumptions!$B$12*(1+Assumptions!$B$11)^(INT(A343/12)+1)/12))*J343</f>
        <v>351.777723109492</v>
      </c>
      <c r="T343" s="32" t="n">
        <f aca="false">T342*(1-F342)*(1-(1-(1-MIN(1,G342*(1+Assumptions!$B$23)))^(1/12)))</f>
        <v>0.265081605628339</v>
      </c>
      <c r="U343" s="47" t="n">
        <f aca="false">T343*(IF(C343&lt;Assumptions!$B$5,Assumptions!$B$12*(1+Assumptions!$B$11)^(INT(A343/12)+1)/12+Pricing_M!$B$13*IF(A343=0,Assumptions!$B$14*12,IF(A343&gt;=12,Assumptions!$B$15,0))-Pricing_M!$B$13,Assumptions!$B$9/12*(1+Assumptions!$B$10)^INT(A343/12)+Assumptions!$B$12*(1+Assumptions!$B$11)^(INT(A343/12)+1)/12))*J343</f>
        <v>257.628180663388</v>
      </c>
      <c r="V343" s="32" t="n">
        <f aca="false">V342*(1-F342)*(1-(1-(1-MIN(1,G342*(1-Assumptions!$B$23)))^(1/12)))</f>
        <v>0.322731009090572</v>
      </c>
      <c r="W343" s="47" t="n">
        <f aca="false">V343*(IF(C343&lt;Assumptions!$B$5,Assumptions!$B$12*(1+Assumptions!$B$11)^(INT(A343/12)+1)/12+Pricing_M!$B$13*IF(A343=0,Assumptions!$B$14*12,IF(A343&gt;=12,Assumptions!$B$15,0))-Pricing_M!$B$13,Assumptions!$B$9/12*(1+Assumptions!$B$10)^INT(A343/12)+Assumptions!$B$12*(1+Assumptions!$B$11)^(INT(A343/12)+1)/12))*J343</f>
        <v>313.6566285638</v>
      </c>
      <c r="X343" s="47" t="n">
        <f aca="false">I343*(IF(C343&lt;Assumptions!$B$5,Assumptions!$B$12*(1+Assumptions!$B$11)*(1+Assumptions!$B$24)*(1+Assumptions!$B$11+Assumptions!$B$25)^(INT(A343/12))/12+Pricing_M!$B$13*IF(A343=0,Assumptions!$B$14*12,IF(A343&gt;=12,Assumptions!$B$15,0))-Pricing_M!$B$13,Assumptions!$B$9/12*(1+Assumptions!$B$10)^INT(A343/12)+Assumptions!$B$12*(1+Assumptions!$B$11)*(1+Assumptions!$B$24)*(1+Assumptions!$B$11+Assumptions!$B$25)^(INT(A343/12))/12))*J343</f>
        <v>285.132985879115</v>
      </c>
    </row>
    <row r="344" customFormat="false" ht="15" hidden="false" customHeight="true" outlineLevel="0" collapsed="false">
      <c r="A344" s="1" t="n">
        <v>337</v>
      </c>
      <c r="B344" s="31" t="n">
        <f aca="false">Assumptions!$B$4+A344/12</f>
        <v>93.0833333333333</v>
      </c>
      <c r="C344" s="34" t="n">
        <f aca="false">Assumptions!$B$4+INT(A344/12)</f>
        <v>93</v>
      </c>
      <c r="D344" s="34" t="n">
        <f aca="false">INT(A344/12)+1</f>
        <v>29</v>
      </c>
      <c r="E344" s="32" t="n">
        <f aca="false">IFERROR(INDEX(Cohort_Survival!$G$5:$G$65,MATCH(C344,Cohort_Survival!$A$5:$A$65,0)),1)</f>
        <v>0.131970852932638</v>
      </c>
      <c r="F344" s="30" t="n">
        <f aca="false">1-(1-MIN(1,E344))^(1/12)</f>
        <v>0.0117248869019949</v>
      </c>
      <c r="G344" s="39" t="n">
        <f aca="false">IF(C344&lt;Assumptions!$B$5,IF(D344=1,Assumptions!$B$16,IF(D344=2,Assumptions!$B$17,IF(D344&lt;=5,Assumptions!$B$18,Assumptions!$B$19)))*(1-Assumptions!$B$20),0)</f>
        <v>0</v>
      </c>
      <c r="H344" s="30" t="n">
        <f aca="false">1-(1-G344)^(1/12)</f>
        <v>0</v>
      </c>
      <c r="I344" s="30" t="n">
        <f aca="false">I343*(1-F343)*(1-H343)</f>
        <v>0.289192702819681</v>
      </c>
      <c r="J344" s="30" t="n">
        <f aca="false">INDEX(Discount_Monthly!$G$4:$G$664,MATCH(A344,Discount_Monthly!$A$4:$A$664,0))</f>
        <v>0.415118450771661</v>
      </c>
      <c r="K344" s="30" t="n">
        <f aca="false">IF(C344&lt;Assumptions!$B$5,I344*J344,0)</f>
        <v>0</v>
      </c>
      <c r="L344" s="30" t="n">
        <f aca="false">IF(C344&lt;Assumptions!$B$5,I344*(1-F344)*H344*A344*J344,0)</f>
        <v>0</v>
      </c>
      <c r="M344" s="30" t="n">
        <f aca="false">IF(A344=0,Assumptions!$B$14*12*I344*J344,IF(AND(A344&gt;=12,C344&lt;Assumptions!$B$5),Assumptions!$B$15*I344*J344,0))</f>
        <v>0</v>
      </c>
      <c r="N344" s="47" t="n">
        <f aca="false">IF(C344&gt;=Assumptions!$B$5,I344*Assumptions!$B$9/12*(1+Assumptions!$B$10)^INT(A344/12)*J344,0)</f>
        <v>278.678146316333</v>
      </c>
      <c r="O344" s="47" t="n">
        <f aca="false">I344*Assumptions!$B$12/12*(1+Assumptions!$B$11)^(INT(A344/12)+1)*J344</f>
        <v>1.63779750220774</v>
      </c>
      <c r="P344" s="47" t="n">
        <f aca="false">O344+Pricing_M!$B$13*M344+N344-Pricing_M!$B$13*K344</f>
        <v>280.31594381854</v>
      </c>
      <c r="Q344" s="47" t="n">
        <f aca="false">IF(C344&lt;Assumptions!$B$5,Pricing_M!$B$13*K344-Pricing_M!$B$13*M344-O344,-(N344+O344))</f>
        <v>-280.31594381854</v>
      </c>
      <c r="R344" s="32" t="n">
        <f aca="false">R343*(1-(1-(1-MIN(1,E343*(1-Assumptions!$B$21)))^(1/12)))*(1-H343)</f>
        <v>0.358605119694883</v>
      </c>
      <c r="S344" s="47" t="n">
        <f aca="false">R344*(IF(C344&lt;Assumptions!$B$5,Assumptions!$B$12*(1+Assumptions!$B$11)^(INT(A344/12)+1)/12+Pricing_M!$B$13*IF(A344=0,Assumptions!$B$14*12,IF(A344&gt;=12,Assumptions!$B$15,0))-Pricing_M!$B$13,Assumptions!$B$9/12*(1+Assumptions!$B$10)^INT(A344/12)+Assumptions!$B$12*(1+Assumptions!$B$11)^(INT(A344/12)+1)/12))*J344</f>
        <v>347.597749200851</v>
      </c>
      <c r="T344" s="32" t="n">
        <f aca="false">T343*(1-F343)*(1-(1-(1-MIN(1,G343*(1+Assumptions!$B$23)))^(1/12)))</f>
        <v>0.261973553782547</v>
      </c>
      <c r="U344" s="47" t="n">
        <f aca="false">T344*(IF(C344&lt;Assumptions!$B$5,Assumptions!$B$12*(1+Assumptions!$B$11)^(INT(A344/12)+1)/12+Pricing_M!$B$13*IF(A344=0,Assumptions!$B$14*12,IF(A344&gt;=12,Assumptions!$B$15,0))-Pricing_M!$B$13,Assumptions!$B$9/12*(1+Assumptions!$B$10)^INT(A344/12)+Assumptions!$B$12*(1+Assumptions!$B$11)^(INT(A344/12)+1)/12))*J344</f>
        <v>253.932285524648</v>
      </c>
      <c r="V344" s="32" t="n">
        <f aca="false">V343*(1-F343)*(1-(1-(1-MIN(1,G343*(1-Assumptions!$B$23)))^(1/12)))</f>
        <v>0.318947024509219</v>
      </c>
      <c r="W344" s="47" t="n">
        <f aca="false">V344*(IF(C344&lt;Assumptions!$B$5,Assumptions!$B$12*(1+Assumptions!$B$11)^(INT(A344/12)+1)/12+Pricing_M!$B$13*IF(A344=0,Assumptions!$B$14*12,IF(A344&gt;=12,Assumptions!$B$15,0))-Pricing_M!$B$13,Assumptions!$B$9/12*(1+Assumptions!$B$10)^INT(A344/12)+Assumptions!$B$12*(1+Assumptions!$B$11)^(INT(A344/12)+1)/12))*J344</f>
        <v>309.156957736806</v>
      </c>
      <c r="X344" s="47" t="n">
        <f aca="false">I344*(IF(C344&lt;Assumptions!$B$5,Assumptions!$B$12*(1+Assumptions!$B$11)*(1+Assumptions!$B$24)*(1+Assumptions!$B$11+Assumptions!$B$25)^(INT(A344/12))/12+Pricing_M!$B$13*IF(A344=0,Assumptions!$B$14*12,IF(A344&gt;=12,Assumptions!$B$15,0))-Pricing_M!$B$13,Assumptions!$B$9/12*(1+Assumptions!$B$10)^INT(A344/12)+Assumptions!$B$12*(1+Assumptions!$B$11)*(1+Assumptions!$B$24)*(1+Assumptions!$B$11+Assumptions!$B$25)^(INT(A344/12))/12))*J344</f>
        <v>281.042510940809</v>
      </c>
    </row>
    <row r="345" customFormat="false" ht="15" hidden="false" customHeight="true" outlineLevel="0" collapsed="false">
      <c r="A345" s="1" t="n">
        <v>338</v>
      </c>
      <c r="B345" s="31" t="n">
        <f aca="false">Assumptions!$B$4+A345/12</f>
        <v>93.1666666666667</v>
      </c>
      <c r="C345" s="34" t="n">
        <f aca="false">Assumptions!$B$4+INT(A345/12)</f>
        <v>93</v>
      </c>
      <c r="D345" s="34" t="n">
        <f aca="false">INT(A345/12)+1</f>
        <v>29</v>
      </c>
      <c r="E345" s="32" t="n">
        <f aca="false">IFERROR(INDEX(Cohort_Survival!$G$5:$G$65,MATCH(C345,Cohort_Survival!$A$5:$A$65,0)),1)</f>
        <v>0.131970852932638</v>
      </c>
      <c r="F345" s="30" t="n">
        <f aca="false">1-(1-MIN(1,E345))^(1/12)</f>
        <v>0.0117248869019949</v>
      </c>
      <c r="G345" s="39" t="n">
        <f aca="false">IF(C345&lt;Assumptions!$B$5,IF(D345=1,Assumptions!$B$16,IF(D345=2,Assumptions!$B$17,IF(D345&lt;=5,Assumptions!$B$18,Assumptions!$B$19)))*(1-Assumptions!$B$20),0)</f>
        <v>0</v>
      </c>
      <c r="H345" s="30" t="n">
        <f aca="false">1-(1-G345)^(1/12)</f>
        <v>0</v>
      </c>
      <c r="I345" s="30" t="n">
        <f aca="false">I344*(1-F344)*(1-H344)</f>
        <v>0.285801951086238</v>
      </c>
      <c r="J345" s="30" t="n">
        <f aca="false">INDEX(Discount_Monthly!$G$4:$G$664,MATCH(A345,Discount_Monthly!$A$4:$A$664,0))</f>
        <v>0.414017532646403</v>
      </c>
      <c r="K345" s="30" t="n">
        <f aca="false">IF(C345&lt;Assumptions!$B$5,I345*J345,0)</f>
        <v>0</v>
      </c>
      <c r="L345" s="30" t="n">
        <f aca="false">IF(C345&lt;Assumptions!$B$5,I345*(1-F345)*H345*A345*J345,0)</f>
        <v>0</v>
      </c>
      <c r="M345" s="30" t="n">
        <f aca="false">IF(A345=0,Assumptions!$B$14*12*I345*J345,IF(AND(A345&gt;=12,C345&lt;Assumptions!$B$5),Assumptions!$B$15*I345*J345,0))</f>
        <v>0</v>
      </c>
      <c r="N345" s="47" t="n">
        <f aca="false">IF(C345&gt;=Assumptions!$B$5,I345*Assumptions!$B$9/12*(1+Assumptions!$B$10)^INT(A345/12)*J345,0)</f>
        <v>274.680271535742</v>
      </c>
      <c r="O345" s="47" t="n">
        <f aca="false">I345*Assumptions!$B$12/12*(1+Assumptions!$B$11)^(INT(A345/12)+1)*J345</f>
        <v>1.61430190552626</v>
      </c>
      <c r="P345" s="47" t="n">
        <f aca="false">O345+Pricing_M!$B$13*M345+N345-Pricing_M!$B$13*K345</f>
        <v>276.294573441268</v>
      </c>
      <c r="Q345" s="47" t="n">
        <f aca="false">IF(C345&lt;Assumptions!$B$5,Pricing_M!$B$13*K345-Pricing_M!$B$13*M345-O345,-(N345+O345))</f>
        <v>-276.294573441268</v>
      </c>
      <c r="R345" s="32" t="n">
        <f aca="false">R344*(1-(1-(1-MIN(1,E344*(1-Assumptions!$B$21)))^(1/12)))*(1-H344)</f>
        <v>0.355286259424826</v>
      </c>
      <c r="S345" s="47" t="n">
        <f aca="false">R345*(IF(C345&lt;Assumptions!$B$5,Assumptions!$B$12*(1+Assumptions!$B$11)^(INT(A345/12)+1)/12+Pricing_M!$B$13*IF(A345=0,Assumptions!$B$14*12,IF(A345&gt;=12,Assumptions!$B$15,0))-Pricing_M!$B$13,Assumptions!$B$9/12*(1+Assumptions!$B$10)^INT(A345/12)+Assumptions!$B$12*(1+Assumptions!$B$11)^(INT(A345/12)+1)/12))*J345</f>
        <v>343.467443536472</v>
      </c>
      <c r="T345" s="32" t="n">
        <f aca="false">T344*(1-F344)*(1-(1-(1-MIN(1,G344*(1+Assumptions!$B$23)))^(1/12)))</f>
        <v>0.258901943493133</v>
      </c>
      <c r="U345" s="47" t="n">
        <f aca="false">T345*(IF(C345&lt;Assumptions!$B$5,Assumptions!$B$12*(1+Assumptions!$B$11)^(INT(A345/12)+1)/12+Pricing_M!$B$13*IF(A345=0,Assumptions!$B$14*12,IF(A345&gt;=12,Assumptions!$B$15,0))-Pricing_M!$B$13,Assumptions!$B$9/12*(1+Assumptions!$B$10)^INT(A345/12)+Assumptions!$B$12*(1+Assumptions!$B$11)^(INT(A345/12)+1)/12))*J345</f>
        <v>250.289411141795</v>
      </c>
      <c r="V345" s="32" t="n">
        <f aca="false">V344*(1-F344)*(1-(1-(1-MIN(1,G344*(1-Assumptions!$B$23)))^(1/12)))</f>
        <v>0.31520740671912</v>
      </c>
      <c r="W345" s="47" t="n">
        <f aca="false">V345*(IF(C345&lt;Assumptions!$B$5,Assumptions!$B$12*(1+Assumptions!$B$11)^(INT(A345/12)+1)/12+Pricing_M!$B$13*IF(A345=0,Assumptions!$B$14*12,IF(A345&gt;=12,Assumptions!$B$15,0))-Pricing_M!$B$13,Assumptions!$B$9/12*(1+Assumptions!$B$10)^INT(A345/12)+Assumptions!$B$12*(1+Assumptions!$B$11)^(INT(A345/12)+1)/12))*J345</f>
        <v>304.721838510854</v>
      </c>
      <c r="X345" s="47" t="n">
        <f aca="false">I345*(IF(C345&lt;Assumptions!$B$5,Assumptions!$B$12*(1+Assumptions!$B$11)*(1+Assumptions!$B$24)*(1+Assumptions!$B$11+Assumptions!$B$25)^(INT(A345/12))/12+Pricing_M!$B$13*IF(A345=0,Assumptions!$B$14*12,IF(A345&gt;=12,Assumptions!$B$15,0))-Pricing_M!$B$13,Assumptions!$B$9/12*(1+Assumptions!$B$10)^INT(A345/12)+Assumptions!$B$12*(1+Assumptions!$B$11)*(1+Assumptions!$B$24)*(1+Assumptions!$B$11+Assumptions!$B$25)^(INT(A345/12))/12))*J345</f>
        <v>277.010717340858</v>
      </c>
    </row>
    <row r="346" customFormat="false" ht="15" hidden="false" customHeight="true" outlineLevel="0" collapsed="false">
      <c r="A346" s="1" t="n">
        <v>339</v>
      </c>
      <c r="B346" s="31" t="n">
        <f aca="false">Assumptions!$B$4+A346/12</f>
        <v>93.25</v>
      </c>
      <c r="C346" s="34" t="n">
        <f aca="false">Assumptions!$B$4+INT(A346/12)</f>
        <v>93</v>
      </c>
      <c r="D346" s="34" t="n">
        <f aca="false">INT(A346/12)+1</f>
        <v>29</v>
      </c>
      <c r="E346" s="32" t="n">
        <f aca="false">IFERROR(INDEX(Cohort_Survival!$G$5:$G$65,MATCH(C346,Cohort_Survival!$A$5:$A$65,0)),1)</f>
        <v>0.131970852932638</v>
      </c>
      <c r="F346" s="30" t="n">
        <f aca="false">1-(1-MIN(1,E346))^(1/12)</f>
        <v>0.0117248869019949</v>
      </c>
      <c r="G346" s="39" t="n">
        <f aca="false">IF(C346&lt;Assumptions!$B$5,IF(D346=1,Assumptions!$B$16,IF(D346=2,Assumptions!$B$17,IF(D346&lt;=5,Assumptions!$B$18,Assumptions!$B$19)))*(1-Assumptions!$B$20),0)</f>
        <v>0</v>
      </c>
      <c r="H346" s="30" t="n">
        <f aca="false">1-(1-G346)^(1/12)</f>
        <v>0</v>
      </c>
      <c r="I346" s="30" t="n">
        <f aca="false">I345*(1-F345)*(1-H345)</f>
        <v>0.282450955533383</v>
      </c>
      <c r="J346" s="30" t="n">
        <f aca="false">INDEX(Discount_Monthly!$G$4:$G$664,MATCH(A346,Discount_Monthly!$A$4:$A$664,0))</f>
        <v>0.412919534219647</v>
      </c>
      <c r="K346" s="30" t="n">
        <f aca="false">IF(C346&lt;Assumptions!$B$5,I346*J346,0)</f>
        <v>0</v>
      </c>
      <c r="L346" s="30" t="n">
        <f aca="false">IF(C346&lt;Assumptions!$B$5,I346*(1-F346)*H346*A346*J346,0)</f>
        <v>0</v>
      </c>
      <c r="M346" s="30" t="n">
        <f aca="false">IF(A346=0,Assumptions!$B$14*12*I346*J346,IF(AND(A346&gt;=12,C346&lt;Assumptions!$B$5),Assumptions!$B$15*I346*J346,0))</f>
        <v>0</v>
      </c>
      <c r="N346" s="47" t="n">
        <f aca="false">IF(C346&gt;=Assumptions!$B$5,I346*Assumptions!$B$9/12*(1+Assumptions!$B$10)^INT(A346/12)*J346,0)</f>
        <v>270.73974966557</v>
      </c>
      <c r="O346" s="47" t="n">
        <f aca="false">I346*Assumptions!$B$12/12*(1+Assumptions!$B$11)^(INT(A346/12)+1)*J346</f>
        <v>1.59114337314161</v>
      </c>
      <c r="P346" s="47" t="n">
        <f aca="false">O346+Pricing_M!$B$13*M346+N346-Pricing_M!$B$13*K346</f>
        <v>272.330893038711</v>
      </c>
      <c r="Q346" s="47" t="n">
        <f aca="false">IF(C346&lt;Assumptions!$B$5,Pricing_M!$B$13*K346-Pricing_M!$B$13*M346-O346,-(N346+O346))</f>
        <v>-272.330893038711</v>
      </c>
      <c r="R346" s="32" t="n">
        <f aca="false">R345*(1-(1-(1-MIN(1,E345*(1-Assumptions!$B$21)))^(1/12)))*(1-H345)</f>
        <v>0.351998114927877</v>
      </c>
      <c r="S346" s="47" t="n">
        <f aca="false">R346*(IF(C346&lt;Assumptions!$B$5,Assumptions!$B$12*(1+Assumptions!$B$11)^(INT(A346/12)+1)/12+Pricing_M!$B$13*IF(A346=0,Assumptions!$B$14*12,IF(A346&gt;=12,Assumptions!$B$15,0))-Pricing_M!$B$13,Assumptions!$B$9/12*(1+Assumptions!$B$10)^INT(A346/12)+Assumptions!$B$12*(1+Assumptions!$B$11)^(INT(A346/12)+1)/12))*J346</f>
        <v>339.386215936954</v>
      </c>
      <c r="T346" s="32" t="n">
        <f aca="false">T345*(1-F345)*(1-(1-(1-MIN(1,G345*(1+Assumptions!$B$23)))^(1/12)))</f>
        <v>0.25586634748697</v>
      </c>
      <c r="U346" s="47" t="n">
        <f aca="false">T346*(IF(C346&lt;Assumptions!$B$5,Assumptions!$B$12*(1+Assumptions!$B$11)^(INT(A346/12)+1)/12+Pricing_M!$B$13*IF(A346=0,Assumptions!$B$14*12,IF(A346&gt;=12,Assumptions!$B$15,0))-Pricing_M!$B$13,Assumptions!$B$9/12*(1+Assumptions!$B$10)^INT(A346/12)+Assumptions!$B$12*(1+Assumptions!$B$11)^(INT(A346/12)+1)/12))*J346</f>
        <v>246.698796887038</v>
      </c>
      <c r="V346" s="32" t="n">
        <f aca="false">V345*(1-F345)*(1-(1-(1-MIN(1,G345*(1-Assumptions!$B$23)))^(1/12)))</f>
        <v>0.311511635524667</v>
      </c>
      <c r="W346" s="47" t="n">
        <f aca="false">V346*(IF(C346&lt;Assumptions!$B$5,Assumptions!$B$12*(1+Assumptions!$B$11)^(INT(A346/12)+1)/12+Pricing_M!$B$13*IF(A346=0,Assumptions!$B$14*12,IF(A346&gt;=12,Assumptions!$B$15,0))-Pricing_M!$B$13,Assumptions!$B$9/12*(1+Assumptions!$B$10)^INT(A346/12)+Assumptions!$B$12*(1+Assumptions!$B$11)^(INT(A346/12)+1)/12))*J346</f>
        <v>300.350344838383</v>
      </c>
      <c r="X346" s="47" t="n">
        <f aca="false">I346*(IF(C346&lt;Assumptions!$B$5,Assumptions!$B$12*(1+Assumptions!$B$11)*(1+Assumptions!$B$24)*(1+Assumptions!$B$11+Assumptions!$B$25)^(INT(A346/12))/12+Pricing_M!$B$13*IF(A346=0,Assumptions!$B$14*12,IF(A346&gt;=12,Assumptions!$B$15,0))-Pricing_M!$B$13,Assumptions!$B$9/12*(1+Assumptions!$B$10)^INT(A346/12)+Assumptions!$B$12*(1+Assumptions!$B$11)*(1+Assumptions!$B$24)*(1+Assumptions!$B$11+Assumptions!$B$25)^(INT(A346/12))/12))*J346</f>
        <v>273.036763245609</v>
      </c>
    </row>
    <row r="347" customFormat="false" ht="15" hidden="false" customHeight="true" outlineLevel="0" collapsed="false">
      <c r="A347" s="1" t="n">
        <v>340</v>
      </c>
      <c r="B347" s="31" t="n">
        <f aca="false">Assumptions!$B$4+A347/12</f>
        <v>93.3333333333333</v>
      </c>
      <c r="C347" s="34" t="n">
        <f aca="false">Assumptions!$B$4+INT(A347/12)</f>
        <v>93</v>
      </c>
      <c r="D347" s="34" t="n">
        <f aca="false">INT(A347/12)+1</f>
        <v>29</v>
      </c>
      <c r="E347" s="32" t="n">
        <f aca="false">IFERROR(INDEX(Cohort_Survival!$G$5:$G$65,MATCH(C347,Cohort_Survival!$A$5:$A$65,0)),1)</f>
        <v>0.131970852932638</v>
      </c>
      <c r="F347" s="30" t="n">
        <f aca="false">1-(1-MIN(1,E347))^(1/12)</f>
        <v>0.0117248869019949</v>
      </c>
      <c r="G347" s="39" t="n">
        <f aca="false">IF(C347&lt;Assumptions!$B$5,IF(D347=1,Assumptions!$B$16,IF(D347=2,Assumptions!$B$17,IF(D347&lt;=5,Assumptions!$B$18,Assumptions!$B$19)))*(1-Assumptions!$B$20),0)</f>
        <v>0</v>
      </c>
      <c r="H347" s="30" t="n">
        <f aca="false">1-(1-G347)^(1/12)</f>
        <v>0</v>
      </c>
      <c r="I347" s="30" t="n">
        <f aca="false">I346*(1-F346)*(1-H346)</f>
        <v>0.279139250024393</v>
      </c>
      <c r="J347" s="30" t="n">
        <f aca="false">INDEX(Discount_Monthly!$G$4:$G$664,MATCH(A347,Discount_Monthly!$A$4:$A$664,0))</f>
        <v>0.411824447748182</v>
      </c>
      <c r="K347" s="30" t="n">
        <f aca="false">IF(C347&lt;Assumptions!$B$5,I347*J347,0)</f>
        <v>0</v>
      </c>
      <c r="L347" s="30" t="n">
        <f aca="false">IF(C347&lt;Assumptions!$B$5,I347*(1-F347)*H347*A347*J347,0)</f>
        <v>0</v>
      </c>
      <c r="M347" s="30" t="n">
        <f aca="false">IF(A347=0,Assumptions!$B$14*12*I347*J347,IF(AND(A347&gt;=12,C347&lt;Assumptions!$B$5),Assumptions!$B$15*I347*J347,0))</f>
        <v>0</v>
      </c>
      <c r="N347" s="47" t="n">
        <f aca="false">IF(C347&gt;=Assumptions!$B$5,I347*Assumptions!$B$9/12*(1+Assumptions!$B$10)^INT(A347/12)*J347,0)</f>
        <v>266.855757929588</v>
      </c>
      <c r="O347" s="47" t="n">
        <f aca="false">I347*Assumptions!$B$12/12*(1+Assumptions!$B$11)^(INT(A347/12)+1)*J347</f>
        <v>1.56831706958005</v>
      </c>
      <c r="P347" s="47" t="n">
        <f aca="false">O347+Pricing_M!$B$13*M347+N347-Pricing_M!$B$13*K347</f>
        <v>268.424074999168</v>
      </c>
      <c r="Q347" s="47" t="n">
        <f aca="false">IF(C347&lt;Assumptions!$B$5,Pricing_M!$B$13*K347-Pricing_M!$B$13*M347-O347,-(N347+O347))</f>
        <v>-268.424074999168</v>
      </c>
      <c r="R347" s="32" t="n">
        <f aca="false">R346*(1-(1-(1-MIN(1,E346*(1-Assumptions!$B$21)))^(1/12)))*(1-H346)</f>
        <v>0.348740401932135</v>
      </c>
      <c r="S347" s="47" t="n">
        <f aca="false">R347*(IF(C347&lt;Assumptions!$B$5,Assumptions!$B$12*(1+Assumptions!$B$11)^(INT(A347/12)+1)/12+Pricing_M!$B$13*IF(A347=0,Assumptions!$B$14*12,IF(A347&gt;=12,Assumptions!$B$15,0))-Pricing_M!$B$13,Assumptions!$B$9/12*(1+Assumptions!$B$10)^INT(A347/12)+Assumptions!$B$12*(1+Assumptions!$B$11)^(INT(A347/12)+1)/12))*J347</f>
        <v>335.353483235665</v>
      </c>
      <c r="T347" s="32" t="n">
        <f aca="false">T346*(1-F346)*(1-(1-(1-MIN(1,G346*(1+Assumptions!$B$23)))^(1/12)))</f>
        <v>0.252866343500658</v>
      </c>
      <c r="U347" s="47" t="n">
        <f aca="false">T347*(IF(C347&lt;Assumptions!$B$5,Assumptions!$B$12*(1+Assumptions!$B$11)^(INT(A347/12)+1)/12+Pricing_M!$B$13*IF(A347=0,Assumptions!$B$14*12,IF(A347&gt;=12,Assumptions!$B$15,0))-Pricing_M!$B$13,Assumptions!$B$9/12*(1+Assumptions!$B$10)^INT(A347/12)+Assumptions!$B$12*(1+Assumptions!$B$11)^(INT(A347/12)+1)/12))*J347</f>
        <v>243.159693044438</v>
      </c>
      <c r="V347" s="32" t="n">
        <f aca="false">V346*(1-F346)*(1-(1-(1-MIN(1,G346*(1-Assumptions!$B$23)))^(1/12)))</f>
        <v>0.307859196829485</v>
      </c>
      <c r="W347" s="47" t="n">
        <f aca="false">V347*(IF(C347&lt;Assumptions!$B$5,Assumptions!$B$12*(1+Assumptions!$B$11)^(INT(A347/12)+1)/12+Pricing_M!$B$13*IF(A347=0,Assumptions!$B$14*12,IF(A347&gt;=12,Assumptions!$B$15,0))-Pricing_M!$B$13,Assumptions!$B$9/12*(1+Assumptions!$B$10)^INT(A347/12)+Assumptions!$B$12*(1+Assumptions!$B$11)^(INT(A347/12)+1)/12))*J347</f>
        <v>296.04156395677</v>
      </c>
      <c r="X347" s="47" t="n">
        <f aca="false">I347*(IF(C347&lt;Assumptions!$B$5,Assumptions!$B$12*(1+Assumptions!$B$11)*(1+Assumptions!$B$24)*(1+Assumptions!$B$11+Assumptions!$B$25)^(INT(A347/12))/12+Pricing_M!$B$13*IF(A347=0,Assumptions!$B$14*12,IF(A347&gt;=12,Assumptions!$B$15,0))-Pricing_M!$B$13,Assumptions!$B$9/12*(1+Assumptions!$B$10)^INT(A347/12)+Assumptions!$B$12*(1+Assumptions!$B$11)*(1+Assumptions!$B$24)*(1+Assumptions!$B$11+Assumptions!$B$25)^(INT(A347/12))/12))*J347</f>
        <v>269.119818898223</v>
      </c>
    </row>
    <row r="348" customFormat="false" ht="15" hidden="false" customHeight="true" outlineLevel="0" collapsed="false">
      <c r="A348" s="1" t="n">
        <v>341</v>
      </c>
      <c r="B348" s="31" t="n">
        <f aca="false">Assumptions!$B$4+A348/12</f>
        <v>93.4166666666667</v>
      </c>
      <c r="C348" s="34" t="n">
        <f aca="false">Assumptions!$B$4+INT(A348/12)</f>
        <v>93</v>
      </c>
      <c r="D348" s="34" t="n">
        <f aca="false">INT(A348/12)+1</f>
        <v>29</v>
      </c>
      <c r="E348" s="32" t="n">
        <f aca="false">IFERROR(INDEX(Cohort_Survival!$G$5:$G$65,MATCH(C348,Cohort_Survival!$A$5:$A$65,0)),1)</f>
        <v>0.131970852932638</v>
      </c>
      <c r="F348" s="30" t="n">
        <f aca="false">1-(1-MIN(1,E348))^(1/12)</f>
        <v>0.0117248869019949</v>
      </c>
      <c r="G348" s="39" t="n">
        <f aca="false">IF(C348&lt;Assumptions!$B$5,IF(D348=1,Assumptions!$B$16,IF(D348=2,Assumptions!$B$17,IF(D348&lt;=5,Assumptions!$B$18,Assumptions!$B$19)))*(1-Assumptions!$B$20),0)</f>
        <v>0</v>
      </c>
      <c r="H348" s="30" t="n">
        <f aca="false">1-(1-G348)^(1/12)</f>
        <v>0</v>
      </c>
      <c r="I348" s="30" t="n">
        <f aca="false">I347*(1-F347)*(1-H347)</f>
        <v>0.27586637388795</v>
      </c>
      <c r="J348" s="30" t="n">
        <f aca="false">INDEX(Discount_Monthly!$G$4:$G$664,MATCH(A348,Discount_Monthly!$A$4:$A$664,0))</f>
        <v>0.410732265509335</v>
      </c>
      <c r="K348" s="30" t="n">
        <f aca="false">IF(C348&lt;Assumptions!$B$5,I348*J348,0)</f>
        <v>0</v>
      </c>
      <c r="L348" s="30" t="n">
        <f aca="false">IF(C348&lt;Assumptions!$B$5,I348*(1-F348)*H348*A348*J348,0)</f>
        <v>0</v>
      </c>
      <c r="M348" s="30" t="n">
        <f aca="false">IF(A348=0,Assumptions!$B$14*12*I348*J348,IF(AND(A348&gt;=12,C348&lt;Assumptions!$B$5),Assumptions!$B$15*I348*J348,0))</f>
        <v>0</v>
      </c>
      <c r="N348" s="47" t="n">
        <f aca="false">IF(C348&gt;=Assumptions!$B$5,I348*Assumptions!$B$9/12*(1+Assumptions!$B$10)^INT(A348/12)*J348,0)</f>
        <v>263.027485354991</v>
      </c>
      <c r="O348" s="47" t="n">
        <f aca="false">I348*Assumptions!$B$12/12*(1+Assumptions!$B$11)^(INT(A348/12)+1)*J348</f>
        <v>1.54581822873687</v>
      </c>
      <c r="P348" s="47" t="n">
        <f aca="false">O348+Pricing_M!$B$13*M348+N348-Pricing_M!$B$13*K348</f>
        <v>264.573303583728</v>
      </c>
      <c r="Q348" s="47" t="n">
        <f aca="false">IF(C348&lt;Assumptions!$B$5,Pricing_M!$B$13*K348-Pricing_M!$B$13*M348-O348,-(N348+O348))</f>
        <v>-264.573303583728</v>
      </c>
      <c r="R348" s="32" t="n">
        <f aca="false">R347*(1-(1-(1-MIN(1,E347*(1-Assumptions!$B$21)))^(1/12)))*(1-H347)</f>
        <v>0.345512838796614</v>
      </c>
      <c r="S348" s="47" t="n">
        <f aca="false">R348*(IF(C348&lt;Assumptions!$B$5,Assumptions!$B$12*(1+Assumptions!$B$11)^(INT(A348/12)+1)/12+Pricing_M!$B$13*IF(A348=0,Assumptions!$B$14*12,IF(A348&gt;=12,Assumptions!$B$15,0))-Pricing_M!$B$13,Assumptions!$B$9/12*(1+Assumptions!$B$10)^INT(A348/12)+Assumptions!$B$12*(1+Assumptions!$B$11)^(INT(A348/12)+1)/12))*J348</f>
        <v>331.368669195406</v>
      </c>
      <c r="T348" s="32" t="n">
        <f aca="false">T347*(1-F347)*(1-(1-(1-MIN(1,G347*(1+Assumptions!$B$23)))^(1/12)))</f>
        <v>0.249901514221792</v>
      </c>
      <c r="U348" s="47" t="n">
        <f aca="false">T348*(IF(C348&lt;Assumptions!$B$5,Assumptions!$B$12*(1+Assumptions!$B$11)^(INT(A348/12)+1)/12+Pricing_M!$B$13*IF(A348=0,Assumptions!$B$14*12,IF(A348&gt;=12,Assumptions!$B$15,0))-Pricing_M!$B$13,Assumptions!$B$9/12*(1+Assumptions!$B$10)^INT(A348/12)+Assumptions!$B$12*(1+Assumptions!$B$11)^(INT(A348/12)+1)/12))*J348</f>
        <v>239.671360653368</v>
      </c>
      <c r="V348" s="32" t="n">
        <f aca="false">V347*(1-F347)*(1-(1-(1-MIN(1,G347*(1-Assumptions!$B$23)))^(1/12)))</f>
        <v>0.304249582564921</v>
      </c>
      <c r="W348" s="47" t="n">
        <f aca="false">V348*(IF(C348&lt;Assumptions!$B$5,Assumptions!$B$12*(1+Assumptions!$B$11)^(INT(A348/12)+1)/12+Pricing_M!$B$13*IF(A348=0,Assumptions!$B$14*12,IF(A348&gt;=12,Assumptions!$B$15,0))-Pricing_M!$B$13,Assumptions!$B$9/12*(1+Assumptions!$B$10)^INT(A348/12)+Assumptions!$B$12*(1+Assumptions!$B$11)^(INT(A348/12)+1)/12))*J348</f>
        <v>291.794596197748</v>
      </c>
      <c r="X348" s="47" t="n">
        <f aca="false">I348*(IF(C348&lt;Assumptions!$B$5,Assumptions!$B$12*(1+Assumptions!$B$11)*(1+Assumptions!$B$24)*(1+Assumptions!$B$11+Assumptions!$B$25)^(INT(A348/12))/12+Pricing_M!$B$13*IF(A348=0,Assumptions!$B$14*12,IF(A348&gt;=12,Assumptions!$B$15,0))-Pricing_M!$B$13,Assumptions!$B$9/12*(1+Assumptions!$B$10)^INT(A348/12)+Assumptions!$B$12*(1+Assumptions!$B$11)*(1+Assumptions!$B$24)*(1+Assumptions!$B$11+Assumptions!$B$25)^(INT(A348/12))/12))*J348</f>
        <v>265.259066445431</v>
      </c>
    </row>
    <row r="349" customFormat="false" ht="15" hidden="false" customHeight="true" outlineLevel="0" collapsed="false">
      <c r="A349" s="1" t="n">
        <v>342</v>
      </c>
      <c r="B349" s="31" t="n">
        <f aca="false">Assumptions!$B$4+A349/12</f>
        <v>93.5</v>
      </c>
      <c r="C349" s="34" t="n">
        <f aca="false">Assumptions!$B$4+INT(A349/12)</f>
        <v>93</v>
      </c>
      <c r="D349" s="34" t="n">
        <f aca="false">INT(A349/12)+1</f>
        <v>29</v>
      </c>
      <c r="E349" s="32" t="n">
        <f aca="false">IFERROR(INDEX(Cohort_Survival!$G$5:$G$65,MATCH(C349,Cohort_Survival!$A$5:$A$65,0)),1)</f>
        <v>0.131970852932638</v>
      </c>
      <c r="F349" s="30" t="n">
        <f aca="false">1-(1-MIN(1,E349))^(1/12)</f>
        <v>0.0117248869019949</v>
      </c>
      <c r="G349" s="39" t="n">
        <f aca="false">IF(C349&lt;Assumptions!$B$5,IF(D349=1,Assumptions!$B$16,IF(D349=2,Assumptions!$B$17,IF(D349&lt;=5,Assumptions!$B$18,Assumptions!$B$19)))*(1-Assumptions!$B$20),0)</f>
        <v>0</v>
      </c>
      <c r="H349" s="30" t="n">
        <f aca="false">1-(1-G349)^(1/12)</f>
        <v>0</v>
      </c>
      <c r="I349" s="30" t="n">
        <f aca="false">I348*(1-F348)*(1-H348)</f>
        <v>0.27263187185405</v>
      </c>
      <c r="J349" s="30" t="n">
        <f aca="false">INDEX(Discount_Monthly!$G$4:$G$664,MATCH(A349,Discount_Monthly!$A$4:$A$664,0))</f>
        <v>0.409642979800914</v>
      </c>
      <c r="K349" s="30" t="n">
        <f aca="false">IF(C349&lt;Assumptions!$B$5,I349*J349,0)</f>
        <v>0</v>
      </c>
      <c r="L349" s="30" t="n">
        <f aca="false">IF(C349&lt;Assumptions!$B$5,I349*(1-F349)*H349*A349*J349,0)</f>
        <v>0</v>
      </c>
      <c r="M349" s="30" t="n">
        <f aca="false">IF(A349=0,Assumptions!$B$14*12*I349*J349,IF(AND(A349&gt;=12,C349&lt;Assumptions!$B$5),Assumptions!$B$15*I349*J349,0))</f>
        <v>0</v>
      </c>
      <c r="N349" s="47" t="n">
        <f aca="false">IF(C349&gt;=Assumptions!$B$5,I349*Assumptions!$B$9/12*(1+Assumptions!$B$10)^INT(A349/12)*J349,0)</f>
        <v>259.254132603071</v>
      </c>
      <c r="O349" s="47" t="n">
        <f aca="false">I349*Assumptions!$B$12/12*(1+Assumptions!$B$11)^(INT(A349/12)+1)*J349</f>
        <v>1.52364215288114</v>
      </c>
      <c r="P349" s="47" t="n">
        <f aca="false">O349+Pricing_M!$B$13*M349+N349-Pricing_M!$B$13*K349</f>
        <v>260.777774755952</v>
      </c>
      <c r="Q349" s="47" t="n">
        <f aca="false">IF(C349&lt;Assumptions!$B$5,Pricing_M!$B$13*K349-Pricing_M!$B$13*M349-O349,-(N349+O349))</f>
        <v>-260.777774755952</v>
      </c>
      <c r="R349" s="32" t="n">
        <f aca="false">R348*(1-(1-(1-MIN(1,E348*(1-Assumptions!$B$21)))^(1/12)))*(1-H348)</f>
        <v>0.342315146486887</v>
      </c>
      <c r="S349" s="47" t="n">
        <f aca="false">R349*(IF(C349&lt;Assumptions!$B$5,Assumptions!$B$12*(1+Assumptions!$B$11)^(INT(A349/12)+1)/12+Pricing_M!$B$13*IF(A349=0,Assumptions!$B$14*12,IF(A349&gt;=12,Assumptions!$B$15,0))-Pricing_M!$B$13,Assumptions!$B$9/12*(1+Assumptions!$B$10)^INT(A349/12)+Assumptions!$B$12*(1+Assumptions!$B$11)^(INT(A349/12)+1)/12))*J349</f>
        <v>327.431204426079</v>
      </c>
      <c r="T349" s="32" t="n">
        <f aca="false">T348*(1-F348)*(1-(1-(1-MIN(1,G348*(1+Assumptions!$B$23)))^(1/12)))</f>
        <v>0.246971447230904</v>
      </c>
      <c r="U349" s="47" t="n">
        <f aca="false">T349*(IF(C349&lt;Assumptions!$B$5,Assumptions!$B$12*(1+Assumptions!$B$11)^(INT(A349/12)+1)/12+Pricing_M!$B$13*IF(A349=0,Assumptions!$B$14*12,IF(A349&gt;=12,Assumptions!$B$15,0))-Pricing_M!$B$13,Assumptions!$B$9/12*(1+Assumptions!$B$10)^INT(A349/12)+Assumptions!$B$12*(1+Assumptions!$B$11)^(INT(A349/12)+1)/12))*J349</f>
        <v>236.233071354219</v>
      </c>
      <c r="V349" s="32" t="n">
        <f aca="false">V348*(1-F348)*(1-(1-(1-MIN(1,G348*(1-Assumptions!$B$23)))^(1/12)))</f>
        <v>0.300682290619368</v>
      </c>
      <c r="W349" s="47" t="n">
        <f aca="false">V349*(IF(C349&lt;Assumptions!$B$5,Assumptions!$B$12*(1+Assumptions!$B$11)^(INT(A349/12)+1)/12+Pricing_M!$B$13*IF(A349=0,Assumptions!$B$14*12,IF(A349&gt;=12,Assumptions!$B$15,0))-Pricing_M!$B$13,Assumptions!$B$9/12*(1+Assumptions!$B$10)^INT(A349/12)+Assumptions!$B$12*(1+Assumptions!$B$11)^(INT(A349/12)+1)/12))*J349</f>
        <v>287.608554799556</v>
      </c>
      <c r="X349" s="47" t="n">
        <f aca="false">I349*(IF(C349&lt;Assumptions!$B$5,Assumptions!$B$12*(1+Assumptions!$B$11)*(1+Assumptions!$B$24)*(1+Assumptions!$B$11+Assumptions!$B$25)^(INT(A349/12))/12+Pricing_M!$B$13*IF(A349=0,Assumptions!$B$14*12,IF(A349&gt;=12,Assumptions!$B$15,0))-Pricing_M!$B$13,Assumptions!$B$9/12*(1+Assumptions!$B$10)^INT(A349/12)+Assumptions!$B$12*(1+Assumptions!$B$11)*(1+Assumptions!$B$24)*(1+Assumptions!$B$11+Assumptions!$B$25)^(INT(A349/12))/12))*J349</f>
        <v>261.453699766762</v>
      </c>
    </row>
    <row r="350" customFormat="false" ht="15" hidden="false" customHeight="true" outlineLevel="0" collapsed="false">
      <c r="A350" s="1" t="n">
        <v>343</v>
      </c>
      <c r="B350" s="31" t="n">
        <f aca="false">Assumptions!$B$4+A350/12</f>
        <v>93.5833333333333</v>
      </c>
      <c r="C350" s="34" t="n">
        <f aca="false">Assumptions!$B$4+INT(A350/12)</f>
        <v>93</v>
      </c>
      <c r="D350" s="34" t="n">
        <f aca="false">INT(A350/12)+1</f>
        <v>29</v>
      </c>
      <c r="E350" s="32" t="n">
        <f aca="false">IFERROR(INDEX(Cohort_Survival!$G$5:$G$65,MATCH(C350,Cohort_Survival!$A$5:$A$65,0)),1)</f>
        <v>0.131970852932638</v>
      </c>
      <c r="F350" s="30" t="n">
        <f aca="false">1-(1-MIN(1,E350))^(1/12)</f>
        <v>0.0117248869019949</v>
      </c>
      <c r="G350" s="39" t="n">
        <f aca="false">IF(C350&lt;Assumptions!$B$5,IF(D350=1,Assumptions!$B$16,IF(D350=2,Assumptions!$B$17,IF(D350&lt;=5,Assumptions!$B$18,Assumptions!$B$19)))*(1-Assumptions!$B$20),0)</f>
        <v>0</v>
      </c>
      <c r="H350" s="30" t="n">
        <f aca="false">1-(1-G350)^(1/12)</f>
        <v>0</v>
      </c>
      <c r="I350" s="30" t="n">
        <f aca="false">I349*(1-F349)*(1-H349)</f>
        <v>0.269435293990682</v>
      </c>
      <c r="J350" s="30" t="n">
        <f aca="false">INDEX(Discount_Monthly!$G$4:$G$664,MATCH(A350,Discount_Monthly!$A$4:$A$664,0))</f>
        <v>0.408556582941152</v>
      </c>
      <c r="K350" s="30" t="n">
        <f aca="false">IF(C350&lt;Assumptions!$B$5,I350*J350,0)</f>
        <v>0</v>
      </c>
      <c r="L350" s="30" t="n">
        <f aca="false">IF(C350&lt;Assumptions!$B$5,I350*(1-F350)*H350*A350*J350,0)</f>
        <v>0</v>
      </c>
      <c r="M350" s="30" t="n">
        <f aca="false">IF(A350=0,Assumptions!$B$14*12*I350*J350,IF(AND(A350&gt;=12,C350&lt;Assumptions!$B$5),Assumptions!$B$15*I350*J350,0))</f>
        <v>0</v>
      </c>
      <c r="N350" s="47" t="n">
        <f aca="false">IF(C350&gt;=Assumptions!$B$5,I350*Assumptions!$B$9/12*(1+Assumptions!$B$10)^INT(A350/12)*J350,0)</f>
        <v>255.534911802308</v>
      </c>
      <c r="O350" s="47" t="n">
        <f aca="false">I350*Assumptions!$B$12/12*(1+Assumptions!$B$11)^(INT(A350/12)+1)*J350</f>
        <v>1.5017842116749</v>
      </c>
      <c r="P350" s="47" t="n">
        <f aca="false">O350+Pricing_M!$B$13*M350+N350-Pricing_M!$B$13*K350</f>
        <v>257.036696013982</v>
      </c>
      <c r="Q350" s="47" t="n">
        <f aca="false">IF(C350&lt;Assumptions!$B$5,Pricing_M!$B$13*K350-Pricing_M!$B$13*M350-O350,-(N350+O350))</f>
        <v>-257.036696013982</v>
      </c>
      <c r="R350" s="32" t="n">
        <f aca="false">R349*(1-(1-(1-MIN(1,E349*(1-Assumptions!$B$21)))^(1/12)))*(1-H349)</f>
        <v>0.339147048550971</v>
      </c>
      <c r="S350" s="47" t="n">
        <f aca="false">R350*(IF(C350&lt;Assumptions!$B$5,Assumptions!$B$12*(1+Assumptions!$B$11)^(INT(A350/12)+1)/12+Pricing_M!$B$13*IF(A350=0,Assumptions!$B$14*12,IF(A350&gt;=12,Assumptions!$B$15,0))-Pricing_M!$B$13,Assumptions!$B$9/12*(1+Assumptions!$B$10)^INT(A350/12)+Assumptions!$B$12*(1+Assumptions!$B$11)^(INT(A350/12)+1)/12))*J350</f>
        <v>323.540526303321</v>
      </c>
      <c r="T350" s="32" t="n">
        <f aca="false">T349*(1-F349)*(1-(1-(1-MIN(1,G349*(1+Assumptions!$B$23)))^(1/12)))</f>
        <v>0.2440757349441</v>
      </c>
      <c r="U350" s="47" t="n">
        <f aca="false">T350*(IF(C350&lt;Assumptions!$B$5,Assumptions!$B$12*(1+Assumptions!$B$11)^(INT(A350/12)+1)/12+Pricing_M!$B$13*IF(A350=0,Assumptions!$B$14*12,IF(A350&gt;=12,Assumptions!$B$15,0))-Pricing_M!$B$13,Assumptions!$B$9/12*(1+Assumptions!$B$10)^INT(A350/12)+Assumptions!$B$12*(1+Assumptions!$B$11)^(INT(A350/12)+1)/12))*J350</f>
        <v>232.844107236321</v>
      </c>
      <c r="V350" s="32" t="n">
        <f aca="false">V349*(1-F349)*(1-(1-(1-MIN(1,G349*(1-Assumptions!$B$23)))^(1/12)))</f>
        <v>0.297156824768423</v>
      </c>
      <c r="W350" s="47" t="n">
        <f aca="false">V350*(IF(C350&lt;Assumptions!$B$5,Assumptions!$B$12*(1+Assumptions!$B$11)^(INT(A350/12)+1)/12+Pricing_M!$B$13*IF(A350=0,Assumptions!$B$14*12,IF(A350&gt;=12,Assumptions!$B$15,0))-Pricing_M!$B$13,Assumptions!$B$9/12*(1+Assumptions!$B$10)^INT(A350/12)+Assumptions!$B$12*(1+Assumptions!$B$11)^(INT(A350/12)+1)/12))*J350</f>
        <v>283.482565721783</v>
      </c>
      <c r="X350" s="47" t="n">
        <f aca="false">I350*(IF(C350&lt;Assumptions!$B$5,Assumptions!$B$12*(1+Assumptions!$B$11)*(1+Assumptions!$B$24)*(1+Assumptions!$B$11+Assumptions!$B$25)^(INT(A350/12))/12+Pricing_M!$B$13*IF(A350=0,Assumptions!$B$14*12,IF(A350&gt;=12,Assumptions!$B$15,0))-Pricing_M!$B$13,Assumptions!$B$9/12*(1+Assumptions!$B$10)^INT(A350/12)+Assumptions!$B$12*(1+Assumptions!$B$11)*(1+Assumptions!$B$24)*(1+Assumptions!$B$11+Assumptions!$B$25)^(INT(A350/12))/12))*J350</f>
        <v>257.702924306231</v>
      </c>
    </row>
    <row r="351" customFormat="false" ht="15" hidden="false" customHeight="true" outlineLevel="0" collapsed="false">
      <c r="A351" s="1" t="n">
        <v>344</v>
      </c>
      <c r="B351" s="31" t="n">
        <f aca="false">Assumptions!$B$4+A351/12</f>
        <v>93.6666666666667</v>
      </c>
      <c r="C351" s="34" t="n">
        <f aca="false">Assumptions!$B$4+INT(A351/12)</f>
        <v>93</v>
      </c>
      <c r="D351" s="34" t="n">
        <f aca="false">INT(A351/12)+1</f>
        <v>29</v>
      </c>
      <c r="E351" s="32" t="n">
        <f aca="false">IFERROR(INDEX(Cohort_Survival!$G$5:$G$65,MATCH(C351,Cohort_Survival!$A$5:$A$65,0)),1)</f>
        <v>0.131970852932638</v>
      </c>
      <c r="F351" s="30" t="n">
        <f aca="false">1-(1-MIN(1,E351))^(1/12)</f>
        <v>0.0117248869019949</v>
      </c>
      <c r="G351" s="39" t="n">
        <f aca="false">IF(C351&lt;Assumptions!$B$5,IF(D351=1,Assumptions!$B$16,IF(D351=2,Assumptions!$B$17,IF(D351&lt;=5,Assumptions!$B$18,Assumptions!$B$19)))*(1-Assumptions!$B$20),0)</f>
        <v>0</v>
      </c>
      <c r="H351" s="30" t="n">
        <f aca="false">1-(1-G351)^(1/12)</f>
        <v>0</v>
      </c>
      <c r="I351" s="30" t="n">
        <f aca="false">I350*(1-F350)*(1-H350)</f>
        <v>0.266276195641236</v>
      </c>
      <c r="J351" s="30" t="n">
        <f aca="false">INDEX(Discount_Monthly!$G$4:$G$664,MATCH(A351,Discount_Monthly!$A$4:$A$664,0))</f>
        <v>0.407473067268656</v>
      </c>
      <c r="K351" s="30" t="n">
        <f aca="false">IF(C351&lt;Assumptions!$B$5,I351*J351,0)</f>
        <v>0</v>
      </c>
      <c r="L351" s="30" t="n">
        <f aca="false">IF(C351&lt;Assumptions!$B$5,I351*(1-F351)*H351*A351*J351,0)</f>
        <v>0</v>
      </c>
      <c r="M351" s="30" t="n">
        <f aca="false">IF(A351=0,Assumptions!$B$14*12*I351*J351,IF(AND(A351&gt;=12,C351&lt;Assumptions!$B$5),Assumptions!$B$15*I351*J351,0))</f>
        <v>0</v>
      </c>
      <c r="N351" s="47" t="n">
        <f aca="false">IF(C351&gt;=Assumptions!$B$5,I351*Assumptions!$B$9/12*(1+Assumptions!$B$10)^INT(A351/12)*J351,0)</f>
        <v>251.869046383871</v>
      </c>
      <c r="O351" s="47" t="n">
        <f aca="false">I351*Assumptions!$B$12/12*(1+Assumptions!$B$11)^(INT(A351/12)+1)*J351</f>
        <v>1.48023984120629</v>
      </c>
      <c r="P351" s="47" t="n">
        <f aca="false">O351+Pricing_M!$B$13*M351+N351-Pricing_M!$B$13*K351</f>
        <v>253.349286225078</v>
      </c>
      <c r="Q351" s="47" t="n">
        <f aca="false">IF(C351&lt;Assumptions!$B$5,Pricing_M!$B$13*K351-Pricing_M!$B$13*M351-O351,-(N351+O351))</f>
        <v>-253.349286225078</v>
      </c>
      <c r="R351" s="32" t="n">
        <f aca="false">R350*(1-(1-(1-MIN(1,E350*(1-Assumptions!$B$21)))^(1/12)))*(1-H350)</f>
        <v>0.336008271095421</v>
      </c>
      <c r="S351" s="47" t="n">
        <f aca="false">R351*(IF(C351&lt;Assumptions!$B$5,Assumptions!$B$12*(1+Assumptions!$B$11)^(INT(A351/12)+1)/12+Pricing_M!$B$13*IF(A351=0,Assumptions!$B$14*12,IF(A351&gt;=12,Assumptions!$B$15,0))-Pricing_M!$B$13,Assumptions!$B$9/12*(1+Assumptions!$B$10)^INT(A351/12)+Assumptions!$B$12*(1+Assumptions!$B$11)^(INT(A351/12)+1)/12))*J351</f>
        <v>319.696078888114</v>
      </c>
      <c r="T351" s="32" t="n">
        <f aca="false">T350*(1-F350)*(1-(1-(1-MIN(1,G350*(1+Assumptions!$B$23)))^(1/12)))</f>
        <v>0.241213974556359</v>
      </c>
      <c r="U351" s="47" t="n">
        <f aca="false">T351*(IF(C351&lt;Assumptions!$B$5,Assumptions!$B$12*(1+Assumptions!$B$11)^(INT(A351/12)+1)/12+Pricing_M!$B$13*IF(A351=0,Assumptions!$B$14*12,IF(A351&gt;=12,Assumptions!$B$15,0))-Pricing_M!$B$13,Assumptions!$B$9/12*(1+Assumptions!$B$10)^INT(A351/12)+Assumptions!$B$12*(1+Assumptions!$B$11)^(INT(A351/12)+1)/12))*J351</f>
        <v>229.503760688039</v>
      </c>
      <c r="V351" s="32" t="n">
        <f aca="false">V350*(1-F350)*(1-(1-(1-MIN(1,G350*(1-Assumptions!$B$23)))^(1/12)))</f>
        <v>0.293672694605857</v>
      </c>
      <c r="W351" s="47" t="n">
        <f aca="false">V351*(IF(C351&lt;Assumptions!$B$5,Assumptions!$B$12*(1+Assumptions!$B$11)^(INT(A351/12)+1)/12+Pricing_M!$B$13*IF(A351=0,Assumptions!$B$14*12,IF(A351&gt;=12,Assumptions!$B$15,0))-Pricing_M!$B$13,Assumptions!$B$9/12*(1+Assumptions!$B$10)^INT(A351/12)+Assumptions!$B$12*(1+Assumptions!$B$11)^(INT(A351/12)+1)/12))*J351</f>
        <v>279.41576746287</v>
      </c>
      <c r="X351" s="47" t="n">
        <f aca="false">I351*(IF(C351&lt;Assumptions!$B$5,Assumptions!$B$12*(1+Assumptions!$B$11)*(1+Assumptions!$B$24)*(1+Assumptions!$B$11+Assumptions!$B$25)^(INT(A351/12))/12+Pricing_M!$B$13*IF(A351=0,Assumptions!$B$14*12,IF(A351&gt;=12,Assumptions!$B$15,0))-Pricing_M!$B$13,Assumptions!$B$9/12*(1+Assumptions!$B$10)^INT(A351/12)+Assumptions!$B$12*(1+Assumptions!$B$11)*(1+Assumptions!$B$24)*(1+Assumptions!$B$11+Assumptions!$B$25)^(INT(A351/12))/12))*J351</f>
        <v>254.00595690643</v>
      </c>
    </row>
    <row r="352" customFormat="false" ht="15" hidden="false" customHeight="true" outlineLevel="0" collapsed="false">
      <c r="A352" s="1" t="n">
        <v>345</v>
      </c>
      <c r="B352" s="31" t="n">
        <f aca="false">Assumptions!$B$4+A352/12</f>
        <v>93.75</v>
      </c>
      <c r="C352" s="34" t="n">
        <f aca="false">Assumptions!$B$4+INT(A352/12)</f>
        <v>93</v>
      </c>
      <c r="D352" s="34" t="n">
        <f aca="false">INT(A352/12)+1</f>
        <v>29</v>
      </c>
      <c r="E352" s="32" t="n">
        <f aca="false">IFERROR(INDEX(Cohort_Survival!$G$5:$G$65,MATCH(C352,Cohort_Survival!$A$5:$A$65,0)),1)</f>
        <v>0.131970852932638</v>
      </c>
      <c r="F352" s="30" t="n">
        <f aca="false">1-(1-MIN(1,E352))^(1/12)</f>
        <v>0.0117248869019949</v>
      </c>
      <c r="G352" s="39" t="n">
        <f aca="false">IF(C352&lt;Assumptions!$B$5,IF(D352=1,Assumptions!$B$16,IF(D352=2,Assumptions!$B$17,IF(D352&lt;=5,Assumptions!$B$18,Assumptions!$B$19)))*(1-Assumptions!$B$20),0)</f>
        <v>0</v>
      </c>
      <c r="H352" s="30" t="n">
        <f aca="false">1-(1-G352)^(1/12)</f>
        <v>0</v>
      </c>
      <c r="I352" s="30" t="n">
        <f aca="false">I351*(1-F351)*(1-H351)</f>
        <v>0.263154137362649</v>
      </c>
      <c r="J352" s="30" t="n">
        <f aca="false">INDEX(Discount_Monthly!$G$4:$G$664,MATCH(A352,Discount_Monthly!$A$4:$A$664,0))</f>
        <v>0.40639242514235</v>
      </c>
      <c r="K352" s="30" t="n">
        <f aca="false">IF(C352&lt;Assumptions!$B$5,I352*J352,0)</f>
        <v>0</v>
      </c>
      <c r="L352" s="30" t="n">
        <f aca="false">IF(C352&lt;Assumptions!$B$5,I352*(1-F352)*H352*A352*J352,0)</f>
        <v>0</v>
      </c>
      <c r="M352" s="30" t="n">
        <f aca="false">IF(A352=0,Assumptions!$B$14*12*I352*J352,IF(AND(A352&gt;=12,C352&lt;Assumptions!$B$5),Assumptions!$B$15*I352*J352,0))</f>
        <v>0</v>
      </c>
      <c r="N352" s="47" t="n">
        <f aca="false">IF(C352&gt;=Assumptions!$B$5,I352*Assumptions!$B$9/12*(1+Assumptions!$B$10)^INT(A352/12)*J352,0)</f>
        <v>248.255770919471</v>
      </c>
      <c r="O352" s="47" t="n">
        <f aca="false">I352*Assumptions!$B$12/12*(1+Assumptions!$B$11)^(INT(A352/12)+1)*J352</f>
        <v>1.45900454303667</v>
      </c>
      <c r="P352" s="47" t="n">
        <f aca="false">O352+Pricing_M!$B$13*M352+N352-Pricing_M!$B$13*K352</f>
        <v>249.714775462507</v>
      </c>
      <c r="Q352" s="47" t="n">
        <f aca="false">IF(C352&lt;Assumptions!$B$5,Pricing_M!$B$13*K352-Pricing_M!$B$13*M352-O352,-(N352+O352))</f>
        <v>-249.714775462507</v>
      </c>
      <c r="R352" s="32" t="n">
        <f aca="false">R351*(1-(1-(1-MIN(1,E351*(1-Assumptions!$B$21)))^(1/12)))*(1-H351)</f>
        <v>0.332898542761653</v>
      </c>
      <c r="S352" s="47" t="n">
        <f aca="false">R352*(IF(C352&lt;Assumptions!$B$5,Assumptions!$B$12*(1+Assumptions!$B$11)^(INT(A352/12)+1)/12+Pricing_M!$B$13*IF(A352=0,Assumptions!$B$14*12,IF(A352&gt;=12,Assumptions!$B$15,0))-Pricing_M!$B$13,Assumptions!$B$9/12*(1+Assumptions!$B$10)^INT(A352/12)+Assumptions!$B$12*(1+Assumptions!$B$11)^(INT(A352/12)+1)/12))*J352</f>
        <v>315.897312847346</v>
      </c>
      <c r="T352" s="32" t="n">
        <f aca="false">T351*(1-F351)*(1-(1-(1-MIN(1,G351*(1+Assumptions!$B$23)))^(1/12)))</f>
        <v>0.238385767985505</v>
      </c>
      <c r="U352" s="47" t="n">
        <f aca="false">T352*(IF(C352&lt;Assumptions!$B$5,Assumptions!$B$12*(1+Assumptions!$B$11)^(INT(A352/12)+1)/12+Pricing_M!$B$13*IF(A352=0,Assumptions!$B$14*12,IF(A352&gt;=12,Assumptions!$B$15,0))-Pricing_M!$B$13,Assumptions!$B$9/12*(1+Assumptions!$B$10)^INT(A352/12)+Assumptions!$B$12*(1+Assumptions!$B$11)^(INT(A352/12)+1)/12))*J352</f>
        <v>226.211334249032</v>
      </c>
      <c r="V352" s="32" t="n">
        <f aca="false">V351*(1-F351)*(1-(1-(1-MIN(1,G351*(1-Assumptions!$B$23)))^(1/12)))</f>
        <v>0.290229415475399</v>
      </c>
      <c r="W352" s="47" t="n">
        <f aca="false">V352*(IF(C352&lt;Assumptions!$B$5,Assumptions!$B$12*(1+Assumptions!$B$11)^(INT(A352/12)+1)/12+Pricing_M!$B$13*IF(A352=0,Assumptions!$B$14*12,IF(A352&gt;=12,Assumptions!$B$15,0))-Pricing_M!$B$13,Assumptions!$B$9/12*(1+Assumptions!$B$10)^INT(A352/12)+Assumptions!$B$12*(1+Assumptions!$B$11)^(INT(A352/12)+1)/12))*J352</f>
        <v>275.407310880231</v>
      </c>
      <c r="X352" s="47" t="n">
        <f aca="false">I352*(IF(C352&lt;Assumptions!$B$5,Assumptions!$B$12*(1+Assumptions!$B$11)*(1+Assumptions!$B$24)*(1+Assumptions!$B$11+Assumptions!$B$25)^(INT(A352/12))/12+Pricing_M!$B$13*IF(A352=0,Assumptions!$B$14*12,IF(A352&gt;=12,Assumptions!$B$15,0))-Pricing_M!$B$13,Assumptions!$B$9/12*(1+Assumptions!$B$10)^INT(A352/12)+Assumptions!$B$12*(1+Assumptions!$B$11)*(1+Assumptions!$B$24)*(1+Assumptions!$B$11+Assumptions!$B$25)^(INT(A352/12))/12))*J352</f>
        <v>250.362025645012</v>
      </c>
    </row>
    <row r="353" customFormat="false" ht="15" hidden="false" customHeight="true" outlineLevel="0" collapsed="false">
      <c r="A353" s="1" t="n">
        <v>346</v>
      </c>
      <c r="B353" s="31" t="n">
        <f aca="false">Assumptions!$B$4+A353/12</f>
        <v>93.8333333333333</v>
      </c>
      <c r="C353" s="34" t="n">
        <f aca="false">Assumptions!$B$4+INT(A353/12)</f>
        <v>93</v>
      </c>
      <c r="D353" s="34" t="n">
        <f aca="false">INT(A353/12)+1</f>
        <v>29</v>
      </c>
      <c r="E353" s="32" t="n">
        <f aca="false">IFERROR(INDEX(Cohort_Survival!$G$5:$G$65,MATCH(C353,Cohort_Survival!$A$5:$A$65,0)),1)</f>
        <v>0.131970852932638</v>
      </c>
      <c r="F353" s="30" t="n">
        <f aca="false">1-(1-MIN(1,E353))^(1/12)</f>
        <v>0.0117248869019949</v>
      </c>
      <c r="G353" s="39" t="n">
        <f aca="false">IF(C353&lt;Assumptions!$B$5,IF(D353=1,Assumptions!$B$16,IF(D353=2,Assumptions!$B$17,IF(D353&lt;=5,Assumptions!$B$18,Assumptions!$B$19)))*(1-Assumptions!$B$20),0)</f>
        <v>0</v>
      </c>
      <c r="H353" s="30" t="n">
        <f aca="false">1-(1-G353)^(1/12)</f>
        <v>0</v>
      </c>
      <c r="I353" s="30" t="n">
        <f aca="false">I352*(1-F352)*(1-H352)</f>
        <v>0.26006868486428</v>
      </c>
      <c r="J353" s="30" t="n">
        <f aca="false">INDEX(Discount_Monthly!$G$4:$G$664,MATCH(A353,Discount_Monthly!$A$4:$A$664,0))</f>
        <v>0.405314648941425</v>
      </c>
      <c r="K353" s="30" t="n">
        <f aca="false">IF(C353&lt;Assumptions!$B$5,I353*J353,0)</f>
        <v>0</v>
      </c>
      <c r="L353" s="30" t="n">
        <f aca="false">IF(C353&lt;Assumptions!$B$5,I353*(1-F353)*H353*A353*J353,0)</f>
        <v>0</v>
      </c>
      <c r="M353" s="30" t="n">
        <f aca="false">IF(A353=0,Assumptions!$B$14*12*I353*J353,IF(AND(A353&gt;=12,C353&lt;Assumptions!$B$5),Assumptions!$B$15*I353*J353,0))</f>
        <v>0</v>
      </c>
      <c r="N353" s="47" t="n">
        <f aca="false">IF(C353&gt;=Assumptions!$B$5,I353*Assumptions!$B$9/12*(1+Assumptions!$B$10)^INT(A353/12)*J353,0)</f>
        <v>244.694330961533</v>
      </c>
      <c r="O353" s="47" t="n">
        <f aca="false">I353*Assumptions!$B$12/12*(1+Assumptions!$B$11)^(INT(A353/12)+1)*J353</f>
        <v>1.43807388326131</v>
      </c>
      <c r="P353" s="47" t="n">
        <f aca="false">O353+Pricing_M!$B$13*M353+N353-Pricing_M!$B$13*K353</f>
        <v>246.132404844794</v>
      </c>
      <c r="Q353" s="47" t="n">
        <f aca="false">IF(C353&lt;Assumptions!$B$5,Pricing_M!$B$13*K353-Pricing_M!$B$13*M353-O353,-(N353+O353))</f>
        <v>-246.132404844794</v>
      </c>
      <c r="R353" s="32" t="n">
        <f aca="false">R352*(1-(1-(1-MIN(1,E352*(1-Assumptions!$B$21)))^(1/12)))*(1-H352)</f>
        <v>0.329817594702485</v>
      </c>
      <c r="S353" s="47" t="n">
        <f aca="false">R353*(IF(C353&lt;Assumptions!$B$5,Assumptions!$B$12*(1+Assumptions!$B$11)^(INT(A353/12)+1)/12+Pricing_M!$B$13*IF(A353=0,Assumptions!$B$14*12,IF(A353&gt;=12,Assumptions!$B$15,0))-Pricing_M!$B$13,Assumptions!$B$9/12*(1+Assumptions!$B$10)^INT(A353/12)+Assumptions!$B$12*(1+Assumptions!$B$11)^(INT(A353/12)+1)/12))*J353</f>
        <v>312.143685375317</v>
      </c>
      <c r="T353" s="32" t="n">
        <f aca="false">T352*(1-F352)*(1-(1-(1-MIN(1,G352*(1+Assumptions!$B$23)))^(1/12)))</f>
        <v>0.23559072181683</v>
      </c>
      <c r="U353" s="47" t="n">
        <f aca="false">T353*(IF(C353&lt;Assumptions!$B$5,Assumptions!$B$12*(1+Assumptions!$B$11)^(INT(A353/12)+1)/12+Pricing_M!$B$13*IF(A353=0,Assumptions!$B$14*12,IF(A353&gt;=12,Assumptions!$B$15,0))-Pricing_M!$B$13,Assumptions!$B$9/12*(1+Assumptions!$B$10)^INT(A353/12)+Assumptions!$B$12*(1+Assumptions!$B$11)^(INT(A353/12)+1)/12))*J353</f>
        <v>222.966140464617</v>
      </c>
      <c r="V353" s="32" t="n">
        <f aca="false">V352*(1-F352)*(1-(1-(1-MIN(1,G352*(1-Assumptions!$B$23)))^(1/12)))</f>
        <v>0.286826508403318</v>
      </c>
      <c r="W353" s="47" t="n">
        <f aca="false">V353*(IF(C353&lt;Assumptions!$B$5,Assumptions!$B$12*(1+Assumptions!$B$11)^(INT(A353/12)+1)/12+Pricing_M!$B$13*IF(A353=0,Assumptions!$B$14*12,IF(A353&gt;=12,Assumptions!$B$15,0))-Pricing_M!$B$13,Assumptions!$B$9/12*(1+Assumptions!$B$10)^INT(A353/12)+Assumptions!$B$12*(1+Assumptions!$B$11)^(INT(A353/12)+1)/12))*J353</f>
        <v>271.456359012952</v>
      </c>
      <c r="X353" s="47" t="n">
        <f aca="false">I353*(IF(C353&lt;Assumptions!$B$5,Assumptions!$B$12*(1+Assumptions!$B$11)*(1+Assumptions!$B$24)*(1+Assumptions!$B$11+Assumptions!$B$25)^(INT(A353/12))/12+Pricing_M!$B$13*IF(A353=0,Assumptions!$B$14*12,IF(A353&gt;=12,Assumptions!$B$15,0))-Pricing_M!$B$13,Assumptions!$B$9/12*(1+Assumptions!$B$10)^INT(A353/12)+Assumptions!$B$12*(1+Assumptions!$B$11)*(1+Assumptions!$B$24)*(1+Assumptions!$B$11+Assumptions!$B$25)^(INT(A353/12))/12))*J353</f>
        <v>246.770369673512</v>
      </c>
    </row>
    <row r="354" customFormat="false" ht="15" hidden="false" customHeight="true" outlineLevel="0" collapsed="false">
      <c r="A354" s="1" t="n">
        <v>347</v>
      </c>
      <c r="B354" s="31" t="n">
        <f aca="false">Assumptions!$B$4+A354/12</f>
        <v>93.9166666666667</v>
      </c>
      <c r="C354" s="34" t="n">
        <f aca="false">Assumptions!$B$4+INT(A354/12)</f>
        <v>93</v>
      </c>
      <c r="D354" s="34" t="n">
        <f aca="false">INT(A354/12)+1</f>
        <v>29</v>
      </c>
      <c r="E354" s="32" t="n">
        <f aca="false">IFERROR(INDEX(Cohort_Survival!$G$5:$G$65,MATCH(C354,Cohort_Survival!$A$5:$A$65,0)),1)</f>
        <v>0.131970852932638</v>
      </c>
      <c r="F354" s="30" t="n">
        <f aca="false">1-(1-MIN(1,E354))^(1/12)</f>
        <v>0.0117248869019949</v>
      </c>
      <c r="G354" s="39" t="n">
        <f aca="false">IF(C354&lt;Assumptions!$B$5,IF(D354=1,Assumptions!$B$16,IF(D354=2,Assumptions!$B$17,IF(D354&lt;=5,Assumptions!$B$18,Assumptions!$B$19)))*(1-Assumptions!$B$20),0)</f>
        <v>0</v>
      </c>
      <c r="H354" s="30" t="n">
        <f aca="false">1-(1-G354)^(1/12)</f>
        <v>0</v>
      </c>
      <c r="I354" s="30" t="n">
        <f aca="false">I353*(1-F353)*(1-H353)</f>
        <v>0.257019408947495</v>
      </c>
      <c r="J354" s="30" t="n">
        <f aca="false">INDEX(Discount_Monthly!$G$4:$G$664,MATCH(A354,Discount_Monthly!$A$4:$A$664,0))</f>
        <v>0.40423973106528</v>
      </c>
      <c r="K354" s="30" t="n">
        <f aca="false">IF(C354&lt;Assumptions!$B$5,I354*J354,0)</f>
        <v>0</v>
      </c>
      <c r="L354" s="30" t="n">
        <f aca="false">IF(C354&lt;Assumptions!$B$5,I354*(1-F354)*H354*A354*J354,0)</f>
        <v>0</v>
      </c>
      <c r="M354" s="30" t="n">
        <f aca="false">IF(A354=0,Assumptions!$B$14*12*I354*J354,IF(AND(A354&gt;=12,C354&lt;Assumptions!$B$5),Assumptions!$B$15*I354*J354,0))</f>
        <v>0</v>
      </c>
      <c r="N354" s="47" t="n">
        <f aca="false">IF(C354&gt;=Assumptions!$B$5,I354*Assumptions!$B$9/12*(1+Assumptions!$B$10)^INT(A354/12)*J354,0)</f>
        <v>241.183982885677</v>
      </c>
      <c r="O354" s="47" t="n">
        <f aca="false">I354*Assumptions!$B$12/12*(1+Assumptions!$B$11)^(INT(A354/12)+1)*J354</f>
        <v>1.41744349158363</v>
      </c>
      <c r="P354" s="47" t="n">
        <f aca="false">O354+Pricing_M!$B$13*M354+N354-Pricing_M!$B$13*K354</f>
        <v>242.60142637726</v>
      </c>
      <c r="Q354" s="47" t="n">
        <f aca="false">IF(C354&lt;Assumptions!$B$5,Pricing_M!$B$13*K354-Pricing_M!$B$13*M354-O354,-(N354+O354))</f>
        <v>-242.60142637726</v>
      </c>
      <c r="R354" s="32" t="n">
        <f aca="false">R353*(1-(1-(1-MIN(1,E353*(1-Assumptions!$B$21)))^(1/12)))*(1-H353)</f>
        <v>0.326765160558892</v>
      </c>
      <c r="S354" s="47" t="n">
        <f aca="false">R354*(IF(C354&lt;Assumptions!$B$5,Assumptions!$B$12*(1+Assumptions!$B$11)^(INT(A354/12)+1)/12+Pricing_M!$B$13*IF(A354=0,Assumptions!$B$14*12,IF(A354&gt;=12,Assumptions!$B$15,0))-Pricing_M!$B$13,Assumptions!$B$9/12*(1+Assumptions!$B$10)^INT(A354/12)+Assumptions!$B$12*(1+Assumptions!$B$11)^(INT(A354/12)+1)/12))*J354</f>
        <v>308.434660116178</v>
      </c>
      <c r="T354" s="32" t="n">
        <f aca="false">T353*(1-F353)*(1-(1-(1-MIN(1,G353*(1+Assumptions!$B$23)))^(1/12)))</f>
        <v>0.232828447248368</v>
      </c>
      <c r="U354" s="47" t="n">
        <f aca="false">T354*(IF(C354&lt;Assumptions!$B$5,Assumptions!$B$12*(1+Assumptions!$B$11)^(INT(A354/12)+1)/12+Pricing_M!$B$13*IF(A354=0,Assumptions!$B$14*12,IF(A354&gt;=12,Assumptions!$B$15,0))-Pricing_M!$B$13,Assumptions!$B$9/12*(1+Assumptions!$B$10)^INT(A354/12)+Assumptions!$B$12*(1+Assumptions!$B$11)^(INT(A354/12)+1)/12))*J354</f>
        <v>219.767501742235</v>
      </c>
      <c r="V354" s="32" t="n">
        <f aca="false">V353*(1-F353)*(1-(1-(1-MIN(1,G353*(1-Assumptions!$B$23)))^(1/12)))</f>
        <v>0.283463500031795</v>
      </c>
      <c r="W354" s="47" t="n">
        <f aca="false">V354*(IF(C354&lt;Assumptions!$B$5,Assumptions!$B$12*(1+Assumptions!$B$11)^(INT(A354/12)+1)/12+Pricing_M!$B$13*IF(A354=0,Assumptions!$B$14*12,IF(A354&gt;=12,Assumptions!$B$15,0))-Pricing_M!$B$13,Assumptions!$B$9/12*(1+Assumptions!$B$10)^INT(A354/12)+Assumptions!$B$12*(1+Assumptions!$B$11)^(INT(A354/12)+1)/12))*J354</f>
        <v>267.562086907033</v>
      </c>
      <c r="X354" s="47" t="n">
        <f aca="false">I354*(IF(C354&lt;Assumptions!$B$5,Assumptions!$B$12*(1+Assumptions!$B$11)*(1+Assumptions!$B$24)*(1+Assumptions!$B$11+Assumptions!$B$25)^(INT(A354/12))/12+Pricing_M!$B$13*IF(A354=0,Assumptions!$B$14*12,IF(A354&gt;=12,Assumptions!$B$15,0))-Pricing_M!$B$13,Assumptions!$B$9/12*(1+Assumptions!$B$10)^INT(A354/12)+Assumptions!$B$12*(1+Assumptions!$B$11)*(1+Assumptions!$B$24)*(1+Assumptions!$B$11+Assumptions!$B$25)^(INT(A354/12))/12))*J354</f>
        <v>243.23023905848</v>
      </c>
    </row>
    <row r="355" customFormat="false" ht="15" hidden="false" customHeight="true" outlineLevel="0" collapsed="false">
      <c r="A355" s="1" t="n">
        <v>348</v>
      </c>
      <c r="B355" s="31" t="n">
        <f aca="false">Assumptions!$B$4+A355/12</f>
        <v>94</v>
      </c>
      <c r="C355" s="34" t="n">
        <f aca="false">Assumptions!$B$4+INT(A355/12)</f>
        <v>94</v>
      </c>
      <c r="D355" s="34" t="n">
        <f aca="false">INT(A355/12)+1</f>
        <v>30</v>
      </c>
      <c r="E355" s="32" t="n">
        <f aca="false">IFERROR(INDEX(Cohort_Survival!$G$5:$G$65,MATCH(C355,Cohort_Survival!$A$5:$A$65,0)),1)</f>
        <v>0.142938412279168</v>
      </c>
      <c r="F355" s="30" t="n">
        <f aca="false">1-(1-MIN(1,E355))^(1/12)</f>
        <v>0.012771534391351</v>
      </c>
      <c r="G355" s="39" t="n">
        <f aca="false">IF(C355&lt;Assumptions!$B$5,IF(D355=1,Assumptions!$B$16,IF(D355=2,Assumptions!$B$17,IF(D355&lt;=5,Assumptions!$B$18,Assumptions!$B$19)))*(1-Assumptions!$B$20),0)</f>
        <v>0</v>
      </c>
      <c r="H355" s="30" t="n">
        <f aca="false">1-(1-G355)^(1/12)</f>
        <v>0</v>
      </c>
      <c r="I355" s="30" t="n">
        <f aca="false">I354*(1-F354)*(1-H354)</f>
        <v>0.254005885445968</v>
      </c>
      <c r="J355" s="30" t="n">
        <f aca="false">INDEX(Discount_Monthly!$G$4:$G$664,MATCH(A355,Discount_Monthly!$A$4:$A$664,0))</f>
        <v>0.403167663933472</v>
      </c>
      <c r="K355" s="30" t="n">
        <f aca="false">IF(C355&lt;Assumptions!$B$5,I355*J355,0)</f>
        <v>0</v>
      </c>
      <c r="L355" s="30" t="n">
        <f aca="false">IF(C355&lt;Assumptions!$B$5,I355*(1-F355)*H355*A355*J355,0)</f>
        <v>0</v>
      </c>
      <c r="M355" s="30" t="n">
        <f aca="false">IF(A355=0,Assumptions!$B$14*12*I355*J355,IF(AND(A355&gt;=12,C355&lt;Assumptions!$B$5),Assumptions!$B$15*I355*J355,0))</f>
        <v>0</v>
      </c>
      <c r="N355" s="47" t="n">
        <f aca="false">IF(C355&gt;=Assumptions!$B$5,I355*Assumptions!$B$9/12*(1+Assumptions!$B$10)^INT(A355/12)*J355,0)</f>
        <v>242.478473610154</v>
      </c>
      <c r="O355" s="47" t="n">
        <f aca="false">I355*Assumptions!$B$12/12*(1+Assumptions!$B$11)^(INT(A355/12)+1)*J355</f>
        <v>1.43203678691271</v>
      </c>
      <c r="P355" s="47" t="n">
        <f aca="false">O355+Pricing_M!$B$13*M355+N355-Pricing_M!$B$13*K355</f>
        <v>243.910510397067</v>
      </c>
      <c r="Q355" s="47" t="n">
        <f aca="false">IF(C355&lt;Assumptions!$B$5,Pricing_M!$B$13*K355-Pricing_M!$B$13*M355-O355,-(N355+O355))</f>
        <v>-243.910510397067</v>
      </c>
      <c r="R355" s="32" t="n">
        <f aca="false">R354*(1-(1-(1-MIN(1,E354*(1-Assumptions!$B$21)))^(1/12)))*(1-H354)</f>
        <v>0.323740976436979</v>
      </c>
      <c r="S355" s="47" t="n">
        <f aca="false">R355*(IF(C355&lt;Assumptions!$B$5,Assumptions!$B$12*(1+Assumptions!$B$11)^(INT(A355/12)+1)/12+Pricing_M!$B$13*IF(A355=0,Assumptions!$B$14*12,IF(A355&gt;=12,Assumptions!$B$15,0))-Pricing_M!$B$13,Assumptions!$B$9/12*(1+Assumptions!$B$10)^INT(A355/12)+Assumptions!$B$12*(1+Assumptions!$B$11)^(INT(A355/12)+1)/12))*J355</f>
        <v>310.874004594611</v>
      </c>
      <c r="T355" s="32" t="n">
        <f aca="false">T354*(1-F354)*(1-(1-(1-MIN(1,G354*(1+Assumptions!$B$23)))^(1/12)))</f>
        <v>0.230098560036814</v>
      </c>
      <c r="U355" s="47" t="n">
        <f aca="false">T355*(IF(C355&lt;Assumptions!$B$5,Assumptions!$B$12*(1+Assumptions!$B$11)^(INT(A355/12)+1)/12+Pricing_M!$B$13*IF(A355=0,Assumptions!$B$14*12,IF(A355&gt;=12,Assumptions!$B$15,0))-Pricing_M!$B$13,Assumptions!$B$9/12*(1+Assumptions!$B$10)^INT(A355/12)+Assumptions!$B$12*(1+Assumptions!$B$11)^(INT(A355/12)+1)/12))*J355</f>
        <v>220.953373271927</v>
      </c>
      <c r="V355" s="32" t="n">
        <f aca="false">V354*(1-F354)*(1-(1-(1-MIN(1,G354*(1-Assumptions!$B$23)))^(1/12)))</f>
        <v>0.280139922553079</v>
      </c>
      <c r="W355" s="47" t="n">
        <f aca="false">V355*(IF(C355&lt;Assumptions!$B$5,Assumptions!$B$12*(1+Assumptions!$B$11)^(INT(A355/12)+1)/12+Pricing_M!$B$13*IF(A355=0,Assumptions!$B$14*12,IF(A355&gt;=12,Assumptions!$B$15,0))-Pricing_M!$B$13,Assumptions!$B$9/12*(1+Assumptions!$B$10)^INT(A355/12)+Assumptions!$B$12*(1+Assumptions!$B$11)^(INT(A355/12)+1)/12))*J355</f>
        <v>269.005859342779</v>
      </c>
      <c r="X355" s="47" t="n">
        <f aca="false">I355*(IF(C355&lt;Assumptions!$B$5,Assumptions!$B$12*(1+Assumptions!$B$11)*(1+Assumptions!$B$24)*(1+Assumptions!$B$11+Assumptions!$B$25)^(INT(A355/12))/12+Pricing_M!$B$13*IF(A355=0,Assumptions!$B$14*12,IF(A355&gt;=12,Assumptions!$B$15,0))-Pricing_M!$B$13,Assumptions!$B$9/12*(1+Assumptions!$B$10)^INT(A355/12)+Assumptions!$B$12*(1+Assumptions!$B$11)*(1+Assumptions!$B$24)*(1+Assumptions!$B$11+Assumptions!$B$25)^(INT(A355/12))/12))*J355</f>
        <v>244.565966030741</v>
      </c>
    </row>
    <row r="356" customFormat="false" ht="15" hidden="false" customHeight="true" outlineLevel="0" collapsed="false">
      <c r="A356" s="1" t="n">
        <v>349</v>
      </c>
      <c r="B356" s="31" t="n">
        <f aca="false">Assumptions!$B$4+A356/12</f>
        <v>94.0833333333333</v>
      </c>
      <c r="C356" s="34" t="n">
        <f aca="false">Assumptions!$B$4+INT(A356/12)</f>
        <v>94</v>
      </c>
      <c r="D356" s="34" t="n">
        <f aca="false">INT(A356/12)+1</f>
        <v>30</v>
      </c>
      <c r="E356" s="32" t="n">
        <f aca="false">IFERROR(INDEX(Cohort_Survival!$G$5:$G$65,MATCH(C356,Cohort_Survival!$A$5:$A$65,0)),1)</f>
        <v>0.142938412279168</v>
      </c>
      <c r="F356" s="30" t="n">
        <f aca="false">1-(1-MIN(1,E356))^(1/12)</f>
        <v>0.012771534391351</v>
      </c>
      <c r="G356" s="39" t="n">
        <f aca="false">IF(C356&lt;Assumptions!$B$5,IF(D356=1,Assumptions!$B$16,IF(D356=2,Assumptions!$B$17,IF(D356&lt;=5,Assumptions!$B$18,Assumptions!$B$19)))*(1-Assumptions!$B$20),0)</f>
        <v>0</v>
      </c>
      <c r="H356" s="30" t="n">
        <f aca="false">1-(1-G356)^(1/12)</f>
        <v>0</v>
      </c>
      <c r="I356" s="30" t="n">
        <f aca="false">I355*(1-F355)*(1-H355)</f>
        <v>0.25076184054439</v>
      </c>
      <c r="J356" s="30" t="n">
        <f aca="false">INDEX(Discount_Monthly!$G$4:$G$664,MATCH(A356,Discount_Monthly!$A$4:$A$664,0))</f>
        <v>0.402097141358711</v>
      </c>
      <c r="K356" s="30" t="n">
        <f aca="false">IF(C356&lt;Assumptions!$B$5,I356*J356,0)</f>
        <v>0</v>
      </c>
      <c r="L356" s="30" t="n">
        <f aca="false">IF(C356&lt;Assumptions!$B$5,I356*(1-F356)*H356*A356*J356,0)</f>
        <v>0</v>
      </c>
      <c r="M356" s="30" t="n">
        <f aca="false">IF(A356=0,Assumptions!$B$14*12*I356*J356,IF(AND(A356&gt;=12,C356&lt;Assumptions!$B$5),Assumptions!$B$15*I356*J356,0))</f>
        <v>0</v>
      </c>
      <c r="N356" s="47" t="n">
        <f aca="false">IF(C356&gt;=Assumptions!$B$5,I356*Assumptions!$B$9/12*(1+Assumptions!$B$10)^INT(A356/12)*J356,0)</f>
        <v>238.746026406914</v>
      </c>
      <c r="O356" s="47" t="n">
        <f aca="false">I356*Assumptions!$B$12/12*(1+Assumptions!$B$11)^(INT(A356/12)+1)*J356</f>
        <v>1.40999358604349</v>
      </c>
      <c r="P356" s="47" t="n">
        <f aca="false">O356+Pricing_M!$B$13*M356+N356-Pricing_M!$B$13*K356</f>
        <v>240.156019992957</v>
      </c>
      <c r="Q356" s="47" t="n">
        <f aca="false">IF(C356&lt;Assumptions!$B$5,Pricing_M!$B$13*K356-Pricing_M!$B$13*M356-O356,-(N356+O356))</f>
        <v>-240.156019992957</v>
      </c>
      <c r="R356" s="32" t="n">
        <f aca="false">R355*(1-(1-(1-MIN(1,E355*(1-Assumptions!$B$21)))^(1/12)))*(1-H355)</f>
        <v>0.320481393023934</v>
      </c>
      <c r="S356" s="47" t="n">
        <f aca="false">R356*(IF(C356&lt;Assumptions!$B$5,Assumptions!$B$12*(1+Assumptions!$B$11)^(INT(A356/12)+1)/12+Pricing_M!$B$13*IF(A356=0,Assumptions!$B$14*12,IF(A356&gt;=12,Assumptions!$B$15,0))-Pricing_M!$B$13,Assumptions!$B$9/12*(1+Assumptions!$B$10)^INT(A356/12)+Assumptions!$B$12*(1+Assumptions!$B$11)^(INT(A356/12)+1)/12))*J356</f>
        <v>306.926826120509</v>
      </c>
      <c r="T356" s="32" t="n">
        <f aca="false">T355*(1-F355)*(1-(1-(1-MIN(1,G355*(1+Assumptions!$B$23)))^(1/12)))</f>
        <v>0.227159848363904</v>
      </c>
      <c r="U356" s="47" t="n">
        <f aca="false">T356*(IF(C356&lt;Assumptions!$B$5,Assumptions!$B$12*(1+Assumptions!$B$11)^(INT(A356/12)+1)/12+Pricing_M!$B$13*IF(A356=0,Assumptions!$B$14*12,IF(A356&gt;=12,Assumptions!$B$15,0))-Pricing_M!$B$13,Assumptions!$B$9/12*(1+Assumptions!$B$10)^INT(A356/12)+Assumptions!$B$12*(1+Assumptions!$B$11)^(INT(A356/12)+1)/12))*J356</f>
        <v>217.552259812919</v>
      </c>
      <c r="V356" s="32" t="n">
        <f aca="false">V355*(1-F355)*(1-(1-(1-MIN(1,G355*(1-Assumptions!$B$23)))^(1/12)))</f>
        <v>0.276562105897802</v>
      </c>
      <c r="W356" s="47" t="n">
        <f aca="false">V356*(IF(C356&lt;Assumptions!$B$5,Assumptions!$B$12*(1+Assumptions!$B$11)^(INT(A356/12)+1)/12+Pricing_M!$B$13*IF(A356=0,Assumptions!$B$14*12,IF(A356&gt;=12,Assumptions!$B$15,0))-Pricing_M!$B$13,Assumptions!$B$9/12*(1+Assumptions!$B$10)^INT(A356/12)+Assumptions!$B$12*(1+Assumptions!$B$11)^(INT(A356/12)+1)/12))*J356</f>
        <v>264.86507871013</v>
      </c>
      <c r="X356" s="47" t="n">
        <f aca="false">I356*(IF(C356&lt;Assumptions!$B$5,Assumptions!$B$12*(1+Assumptions!$B$11)*(1+Assumptions!$B$24)*(1+Assumptions!$B$11+Assumptions!$B$25)^(INT(A356/12))/12+Pricing_M!$B$13*IF(A356=0,Assumptions!$B$14*12,IF(A356&gt;=12,Assumptions!$B$15,0))-Pricing_M!$B$13,Assumptions!$B$9/12*(1+Assumptions!$B$10)^INT(A356/12)+Assumptions!$B$12*(1+Assumptions!$B$11)*(1+Assumptions!$B$24)*(1+Assumptions!$B$11+Assumptions!$B$25)^(INT(A356/12))/12))*J356</f>
        <v>240.801386262778</v>
      </c>
    </row>
    <row r="357" customFormat="false" ht="15" hidden="false" customHeight="true" outlineLevel="0" collapsed="false">
      <c r="A357" s="1" t="n">
        <v>350</v>
      </c>
      <c r="B357" s="31" t="n">
        <f aca="false">Assumptions!$B$4+A357/12</f>
        <v>94.1666666666667</v>
      </c>
      <c r="C357" s="34" t="n">
        <f aca="false">Assumptions!$B$4+INT(A357/12)</f>
        <v>94</v>
      </c>
      <c r="D357" s="34" t="n">
        <f aca="false">INT(A357/12)+1</f>
        <v>30</v>
      </c>
      <c r="E357" s="32" t="n">
        <f aca="false">IFERROR(INDEX(Cohort_Survival!$G$5:$G$65,MATCH(C357,Cohort_Survival!$A$5:$A$65,0)),1)</f>
        <v>0.142938412279168</v>
      </c>
      <c r="F357" s="30" t="n">
        <f aca="false">1-(1-MIN(1,E357))^(1/12)</f>
        <v>0.012771534391351</v>
      </c>
      <c r="G357" s="39" t="n">
        <f aca="false">IF(C357&lt;Assumptions!$B$5,IF(D357=1,Assumptions!$B$16,IF(D357=2,Assumptions!$B$17,IF(D357&lt;=5,Assumptions!$B$18,Assumptions!$B$19)))*(1-Assumptions!$B$20),0)</f>
        <v>0</v>
      </c>
      <c r="H357" s="30" t="n">
        <f aca="false">1-(1-G357)^(1/12)</f>
        <v>0</v>
      </c>
      <c r="I357" s="30" t="n">
        <f aca="false">I356*(1-F356)*(1-H356)</f>
        <v>0.247559227073838</v>
      </c>
      <c r="J357" s="30" t="n">
        <f aca="false">INDEX(Discount_Monthly!$G$4:$G$664,MATCH(A357,Discount_Monthly!$A$4:$A$664,0))</f>
        <v>0.401029461319912</v>
      </c>
      <c r="K357" s="30" t="n">
        <f aca="false">IF(C357&lt;Assumptions!$B$5,I357*J357,0)</f>
        <v>0</v>
      </c>
      <c r="L357" s="30" t="n">
        <f aca="false">IF(C357&lt;Assumptions!$B$5,I357*(1-F357)*H357*A357*J357,0)</f>
        <v>0</v>
      </c>
      <c r="M357" s="30" t="n">
        <f aca="false">IF(A357=0,Assumptions!$B$14*12*I357*J357,IF(AND(A357&gt;=12,C357&lt;Assumptions!$B$5),Assumptions!$B$15*I357*J357,0))</f>
        <v>0</v>
      </c>
      <c r="N357" s="47" t="n">
        <f aca="false">IF(C357&gt;=Assumptions!$B$5,I357*Assumptions!$B$9/12*(1+Assumptions!$B$10)^INT(A357/12)*J357,0)</f>
        <v>235.071032394951</v>
      </c>
      <c r="O357" s="47" t="n">
        <f aca="false">I357*Assumptions!$B$12/12*(1+Assumptions!$B$11)^(INT(A357/12)+1)*J357</f>
        <v>1.38828969398882</v>
      </c>
      <c r="P357" s="47" t="n">
        <f aca="false">O357+Pricing_M!$B$13*M357+N357-Pricing_M!$B$13*K357</f>
        <v>236.45932208894</v>
      </c>
      <c r="Q357" s="47" t="n">
        <f aca="false">IF(C357&lt;Assumptions!$B$5,Pricing_M!$B$13*K357-Pricing_M!$B$13*M357-O357,-(N357+O357))</f>
        <v>-236.45932208894</v>
      </c>
      <c r="R357" s="32" t="n">
        <f aca="false">R356*(1-(1-(1-MIN(1,E356*(1-Assumptions!$B$21)))^(1/12)))*(1-H356)</f>
        <v>0.317254628700223</v>
      </c>
      <c r="S357" s="47" t="n">
        <f aca="false">R357*(IF(C357&lt;Assumptions!$B$5,Assumptions!$B$12*(1+Assumptions!$B$11)^(INT(A357/12)+1)/12+Pricing_M!$B$13*IF(A357=0,Assumptions!$B$14*12,IF(A357&gt;=12,Assumptions!$B$15,0))-Pricing_M!$B$13,Assumptions!$B$9/12*(1+Assumptions!$B$10)^INT(A357/12)+Assumptions!$B$12*(1+Assumptions!$B$11)^(INT(A357/12)+1)/12))*J357</f>
        <v>303.029765114179</v>
      </c>
      <c r="T357" s="32" t="n">
        <f aca="false">T356*(1-F356)*(1-(1-(1-MIN(1,G356*(1+Assumptions!$B$23)))^(1/12)))</f>
        <v>0.22425866854819</v>
      </c>
      <c r="U357" s="47" t="n">
        <f aca="false">T357*(IF(C357&lt;Assumptions!$B$5,Assumptions!$B$12*(1+Assumptions!$B$11)^(INT(A357/12)+1)/12+Pricing_M!$B$13*IF(A357=0,Assumptions!$B$14*12,IF(A357&gt;=12,Assumptions!$B$15,0))-Pricing_M!$B$13,Assumptions!$B$9/12*(1+Assumptions!$B$10)^INT(A357/12)+Assumptions!$B$12*(1+Assumptions!$B$11)^(INT(A357/12)+1)/12))*J357</f>
        <v>214.203499357577</v>
      </c>
      <c r="V357" s="32" t="n">
        <f aca="false">V356*(1-F356)*(1-(1-(1-MIN(1,G356*(1-Assumptions!$B$23)))^(1/12)))</f>
        <v>0.273029983450984</v>
      </c>
      <c r="W357" s="47" t="n">
        <f aca="false">V357*(IF(C357&lt;Assumptions!$B$5,Assumptions!$B$12*(1+Assumptions!$B$11)^(INT(A357/12)+1)/12+Pricing_M!$B$13*IF(A357=0,Assumptions!$B$14*12,IF(A357&gt;=12,Assumptions!$B$15,0))-Pricing_M!$B$13,Assumptions!$B$9/12*(1+Assumptions!$B$10)^INT(A357/12)+Assumptions!$B$12*(1+Assumptions!$B$11)^(INT(A357/12)+1)/12))*J357</f>
        <v>260.788036704921</v>
      </c>
      <c r="X357" s="47" t="n">
        <f aca="false">I357*(IF(C357&lt;Assumptions!$B$5,Assumptions!$B$12*(1+Assumptions!$B$11)*(1+Assumptions!$B$24)*(1+Assumptions!$B$11+Assumptions!$B$25)^(INT(A357/12))/12+Pricing_M!$B$13*IF(A357=0,Assumptions!$B$14*12,IF(A357&gt;=12,Assumptions!$B$15,0))-Pricing_M!$B$13,Assumptions!$B$9/12*(1+Assumptions!$B$10)^INT(A357/12)+Assumptions!$B$12*(1+Assumptions!$B$11)*(1+Assumptions!$B$24)*(1+Assumptions!$B$11+Assumptions!$B$25)^(INT(A357/12))/12))*J357</f>
        <v>237.094754299489</v>
      </c>
    </row>
    <row r="358" customFormat="false" ht="15" hidden="false" customHeight="true" outlineLevel="0" collapsed="false">
      <c r="A358" s="1" t="n">
        <v>351</v>
      </c>
      <c r="B358" s="31" t="n">
        <f aca="false">Assumptions!$B$4+A358/12</f>
        <v>94.25</v>
      </c>
      <c r="C358" s="34" t="n">
        <f aca="false">Assumptions!$B$4+INT(A358/12)</f>
        <v>94</v>
      </c>
      <c r="D358" s="34" t="n">
        <f aca="false">INT(A358/12)+1</f>
        <v>30</v>
      </c>
      <c r="E358" s="32" t="n">
        <f aca="false">IFERROR(INDEX(Cohort_Survival!$G$5:$G$65,MATCH(C358,Cohort_Survival!$A$5:$A$65,0)),1)</f>
        <v>0.142938412279168</v>
      </c>
      <c r="F358" s="30" t="n">
        <f aca="false">1-(1-MIN(1,E358))^(1/12)</f>
        <v>0.012771534391351</v>
      </c>
      <c r="G358" s="39" t="n">
        <f aca="false">IF(C358&lt;Assumptions!$B$5,IF(D358=1,Assumptions!$B$16,IF(D358=2,Assumptions!$B$17,IF(D358&lt;=5,Assumptions!$B$18,Assumptions!$B$19)))*(1-Assumptions!$B$20),0)</f>
        <v>0</v>
      </c>
      <c r="H358" s="30" t="n">
        <f aca="false">1-(1-G358)^(1/12)</f>
        <v>0</v>
      </c>
      <c r="I358" s="30" t="n">
        <f aca="false">I357*(1-F357)*(1-H357)</f>
        <v>0.244397515891369</v>
      </c>
      <c r="J358" s="30" t="n">
        <f aca="false">INDEX(Discount_Monthly!$G$4:$G$664,MATCH(A358,Discount_Monthly!$A$4:$A$664,0))</f>
        <v>0.399964616269348</v>
      </c>
      <c r="K358" s="30" t="n">
        <f aca="false">IF(C358&lt;Assumptions!$B$5,I358*J358,0)</f>
        <v>0</v>
      </c>
      <c r="L358" s="30" t="n">
        <f aca="false">IF(C358&lt;Assumptions!$B$5,I358*(1-F358)*H358*A358*J358,0)</f>
        <v>0</v>
      </c>
      <c r="M358" s="30" t="n">
        <f aca="false">IF(A358=0,Assumptions!$B$14*12*I358*J358,IF(AND(A358&gt;=12,C358&lt;Assumptions!$B$5),Assumptions!$B$15*I358*J358,0))</f>
        <v>0</v>
      </c>
      <c r="N358" s="47" t="n">
        <f aca="false">IF(C358&gt;=Assumptions!$B$5,I358*Assumptions!$B$9/12*(1+Assumptions!$B$10)^INT(A358/12)*J358,0)</f>
        <v>231.452607202964</v>
      </c>
      <c r="O358" s="47" t="n">
        <f aca="false">I358*Assumptions!$B$12/12*(1+Assumptions!$B$11)^(INT(A358/12)+1)*J358</f>
        <v>1.36691988780163</v>
      </c>
      <c r="P358" s="47" t="n">
        <f aca="false">O358+Pricing_M!$B$13*M358+N358-Pricing_M!$B$13*K358</f>
        <v>232.819527090766</v>
      </c>
      <c r="Q358" s="47" t="n">
        <f aca="false">IF(C358&lt;Assumptions!$B$5,Pricing_M!$B$13*K358-Pricing_M!$B$13*M358-O358,-(N358+O358))</f>
        <v>-232.819527090766</v>
      </c>
      <c r="R358" s="32" t="n">
        <f aca="false">R357*(1-(1-(1-MIN(1,E357*(1-Assumptions!$B$21)))^(1/12)))*(1-H357)</f>
        <v>0.314060353027109</v>
      </c>
      <c r="S358" s="47" t="n">
        <f aca="false">R358*(IF(C358&lt;Assumptions!$B$5,Assumptions!$B$12*(1+Assumptions!$B$11)^(INT(A358/12)+1)/12+Pricing_M!$B$13*IF(A358=0,Assumptions!$B$14*12,IF(A358&gt;=12,Assumptions!$B$15,0))-Pricing_M!$B$13,Assumptions!$B$9/12*(1+Assumptions!$B$10)^INT(A358/12)+Assumptions!$B$12*(1+Assumptions!$B$11)^(INT(A358/12)+1)/12))*J358</f>
        <v>299.182185232321</v>
      </c>
      <c r="T358" s="32" t="n">
        <f aca="false">T357*(1-F357)*(1-(1-(1-MIN(1,G357*(1+Assumptions!$B$23)))^(1/12)))</f>
        <v>0.221394541250268</v>
      </c>
      <c r="U358" s="47" t="n">
        <f aca="false">T358*(IF(C358&lt;Assumptions!$B$5,Assumptions!$B$12*(1+Assumptions!$B$11)^(INT(A358/12)+1)/12+Pricing_M!$B$13*IF(A358=0,Assumptions!$B$14*12,IF(A358&gt;=12,Assumptions!$B$15,0))-Pricing_M!$B$13,Assumptions!$B$9/12*(1+Assumptions!$B$10)^INT(A358/12)+Assumptions!$B$12*(1+Assumptions!$B$11)^(INT(A358/12)+1)/12))*J358</f>
        <v>210.906286041285</v>
      </c>
      <c r="V358" s="32" t="n">
        <f aca="false">V357*(1-F357)*(1-(1-(1-MIN(1,G357*(1-Assumptions!$B$23)))^(1/12)))</f>
        <v>0.269542971627469</v>
      </c>
      <c r="W358" s="47" t="n">
        <f aca="false">V358*(IF(C358&lt;Assumptions!$B$5,Assumptions!$B$12*(1+Assumptions!$B$11)^(INT(A358/12)+1)/12+Pricing_M!$B$13*IF(A358=0,Assumptions!$B$14*12,IF(A358&gt;=12,Assumptions!$B$15,0))-Pricing_M!$B$13,Assumptions!$B$9/12*(1+Assumptions!$B$10)^INT(A358/12)+Assumptions!$B$12*(1+Assumptions!$B$11)^(INT(A358/12)+1)/12))*J358</f>
        <v>256.773752204752</v>
      </c>
      <c r="X358" s="47" t="n">
        <f aca="false">I358*(IF(C358&lt;Assumptions!$B$5,Assumptions!$B$12*(1+Assumptions!$B$11)*(1+Assumptions!$B$24)*(1+Assumptions!$B$11+Assumptions!$B$25)^(INT(A358/12))/12+Pricing_M!$B$13*IF(A358=0,Assumptions!$B$14*12,IF(A358&gt;=12,Assumptions!$B$15,0))-Pricing_M!$B$13,Assumptions!$B$9/12*(1+Assumptions!$B$10)^INT(A358/12)+Assumptions!$B$12*(1+Assumptions!$B$11)*(1+Assumptions!$B$24)*(1+Assumptions!$B$11+Assumptions!$B$25)^(INT(A358/12))/12))*J358</f>
        <v>233.445178156038</v>
      </c>
    </row>
    <row r="359" customFormat="false" ht="15" hidden="false" customHeight="true" outlineLevel="0" collapsed="false">
      <c r="A359" s="1" t="n">
        <v>352</v>
      </c>
      <c r="B359" s="31" t="n">
        <f aca="false">Assumptions!$B$4+A359/12</f>
        <v>94.3333333333333</v>
      </c>
      <c r="C359" s="34" t="n">
        <f aca="false">Assumptions!$B$4+INT(A359/12)</f>
        <v>94</v>
      </c>
      <c r="D359" s="34" t="n">
        <f aca="false">INT(A359/12)+1</f>
        <v>30</v>
      </c>
      <c r="E359" s="32" t="n">
        <f aca="false">IFERROR(INDEX(Cohort_Survival!$G$5:$G$65,MATCH(C359,Cohort_Survival!$A$5:$A$65,0)),1)</f>
        <v>0.142938412279168</v>
      </c>
      <c r="F359" s="30" t="n">
        <f aca="false">1-(1-MIN(1,E359))^(1/12)</f>
        <v>0.012771534391351</v>
      </c>
      <c r="G359" s="39" t="n">
        <f aca="false">IF(C359&lt;Assumptions!$B$5,IF(D359=1,Assumptions!$B$16,IF(D359=2,Assumptions!$B$17,IF(D359&lt;=5,Assumptions!$B$18,Assumptions!$B$19)))*(1-Assumptions!$B$20),0)</f>
        <v>0</v>
      </c>
      <c r="H359" s="30" t="n">
        <f aca="false">1-(1-G359)^(1/12)</f>
        <v>0</v>
      </c>
      <c r="I359" s="30" t="n">
        <f aca="false">I358*(1-F358)*(1-H358)</f>
        <v>0.241276184612001</v>
      </c>
      <c r="J359" s="30" t="n">
        <f aca="false">INDEX(Discount_Monthly!$G$4:$G$664,MATCH(A359,Discount_Monthly!$A$4:$A$664,0))</f>
        <v>0.398902598679335</v>
      </c>
      <c r="K359" s="30" t="n">
        <f aca="false">IF(C359&lt;Assumptions!$B$5,I359*J359,0)</f>
        <v>0</v>
      </c>
      <c r="L359" s="30" t="n">
        <f aca="false">IF(C359&lt;Assumptions!$B$5,I359*(1-F359)*H359*A359*J359,0)</f>
        <v>0</v>
      </c>
      <c r="M359" s="30" t="n">
        <f aca="false">IF(A359=0,Assumptions!$B$14*12*I359*J359,IF(AND(A359&gt;=12,C359&lt;Assumptions!$B$5),Assumptions!$B$15*I359*J359,0))</f>
        <v>0</v>
      </c>
      <c r="N359" s="47" t="n">
        <f aca="false">IF(C359&gt;=Assumptions!$B$5,I359*Assumptions!$B$9/12*(1+Assumptions!$B$10)^INT(A359/12)*J359,0)</f>
        <v>227.889880072694</v>
      </c>
      <c r="O359" s="47" t="n">
        <f aca="false">I359*Assumptions!$B$12/12*(1+Assumptions!$B$11)^(INT(A359/12)+1)*J359</f>
        <v>1.34587902493113</v>
      </c>
      <c r="P359" s="47" t="n">
        <f aca="false">O359+Pricing_M!$B$13*M359+N359-Pricing_M!$B$13*K359</f>
        <v>229.235759097625</v>
      </c>
      <c r="Q359" s="47" t="n">
        <f aca="false">IF(C359&lt;Assumptions!$B$5,Pricing_M!$B$13*K359-Pricing_M!$B$13*M359-O359,-(N359+O359))</f>
        <v>-229.235759097625</v>
      </c>
      <c r="R359" s="32" t="n">
        <f aca="false">R358*(1-(1-(1-MIN(1,E358*(1-Assumptions!$B$21)))^(1/12)))*(1-H358)</f>
        <v>0.310898238892875</v>
      </c>
      <c r="S359" s="47" t="n">
        <f aca="false">R359*(IF(C359&lt;Assumptions!$B$5,Assumptions!$B$12*(1+Assumptions!$B$11)^(INT(A359/12)+1)/12+Pricing_M!$B$13*IF(A359=0,Assumptions!$B$14*12,IF(A359&gt;=12,Assumptions!$B$15,0))-Pricing_M!$B$13,Assumptions!$B$9/12*(1+Assumptions!$B$10)^INT(A359/12)+Assumptions!$B$12*(1+Assumptions!$B$11)^(INT(A359/12)+1)/12))*J359</f>
        <v>295.383458211309</v>
      </c>
      <c r="T359" s="32" t="n">
        <f aca="false">T358*(1-F358)*(1-(1-(1-MIN(1,G358*(1+Assumptions!$B$23)))^(1/12)))</f>
        <v>0.218566993252633</v>
      </c>
      <c r="U359" s="47" t="n">
        <f aca="false">T359*(IF(C359&lt;Assumptions!$B$5,Assumptions!$B$12*(1+Assumptions!$B$11)^(INT(A359/12)+1)/12+Pricing_M!$B$13*IF(A359=0,Assumptions!$B$14*12,IF(A359&gt;=12,Assumptions!$B$15,0))-Pricing_M!$B$13,Assumptions!$B$9/12*(1+Assumptions!$B$10)^INT(A359/12)+Assumptions!$B$12*(1+Assumptions!$B$11)^(INT(A359/12)+1)/12))*J359</f>
        <v>207.659826404022</v>
      </c>
      <c r="V359" s="32" t="n">
        <f aca="false">V358*(1-F358)*(1-(1-(1-MIN(1,G358*(1-Assumptions!$B$23)))^(1/12)))</f>
        <v>0.266100494295382</v>
      </c>
      <c r="W359" s="47" t="n">
        <f aca="false">V359*(IF(C359&lt;Assumptions!$B$5,Assumptions!$B$12*(1+Assumptions!$B$11)^(INT(A359/12)+1)/12+Pricing_M!$B$13*IF(A359=0,Assumptions!$B$14*12,IF(A359&gt;=12,Assumptions!$B$15,0))-Pricing_M!$B$13,Assumptions!$B$9/12*(1+Assumptions!$B$10)^INT(A359/12)+Assumptions!$B$12*(1+Assumptions!$B$11)^(INT(A359/12)+1)/12))*J359</f>
        <v>252.821259189545</v>
      </c>
      <c r="X359" s="47" t="n">
        <f aca="false">I359*(IF(C359&lt;Assumptions!$B$5,Assumptions!$B$12*(1+Assumptions!$B$11)*(1+Assumptions!$B$24)*(1+Assumptions!$B$11+Assumptions!$B$25)^(INT(A359/12))/12+Pricing_M!$B$13*IF(A359=0,Assumptions!$B$14*12,IF(A359&gt;=12,Assumptions!$B$15,0))-Pricing_M!$B$13,Assumptions!$B$9/12*(1+Assumptions!$B$10)^INT(A359/12)+Assumptions!$B$12*(1+Assumptions!$B$11)*(1+Assumptions!$B$24)*(1+Assumptions!$B$11+Assumptions!$B$25)^(INT(A359/12))/12))*J359</f>
        <v>229.851779577823</v>
      </c>
    </row>
    <row r="360" customFormat="false" ht="15" hidden="false" customHeight="true" outlineLevel="0" collapsed="false">
      <c r="A360" s="1" t="n">
        <v>353</v>
      </c>
      <c r="B360" s="31" t="n">
        <f aca="false">Assumptions!$B$4+A360/12</f>
        <v>94.4166666666667</v>
      </c>
      <c r="C360" s="34" t="n">
        <f aca="false">Assumptions!$B$4+INT(A360/12)</f>
        <v>94</v>
      </c>
      <c r="D360" s="34" t="n">
        <f aca="false">INT(A360/12)+1</f>
        <v>30</v>
      </c>
      <c r="E360" s="32" t="n">
        <f aca="false">IFERROR(INDEX(Cohort_Survival!$G$5:$G$65,MATCH(C360,Cohort_Survival!$A$5:$A$65,0)),1)</f>
        <v>0.142938412279168</v>
      </c>
      <c r="F360" s="30" t="n">
        <f aca="false">1-(1-MIN(1,E360))^(1/12)</f>
        <v>0.012771534391351</v>
      </c>
      <c r="G360" s="39" t="n">
        <f aca="false">IF(C360&lt;Assumptions!$B$5,IF(D360=1,Assumptions!$B$16,IF(D360=2,Assumptions!$B$17,IF(D360&lt;=5,Assumptions!$B$18,Assumptions!$B$19)))*(1-Assumptions!$B$20),0)</f>
        <v>0</v>
      </c>
      <c r="H360" s="30" t="n">
        <f aca="false">1-(1-G360)^(1/12)</f>
        <v>0</v>
      </c>
      <c r="I360" s="30" t="n">
        <f aca="false">I359*(1-F359)*(1-H359)</f>
        <v>0.238194717522415</v>
      </c>
      <c r="J360" s="30" t="n">
        <f aca="false">INDEX(Discount_Monthly!$G$4:$G$664,MATCH(A360,Discount_Monthly!$A$4:$A$664,0))</f>
        <v>0.397843401042176</v>
      </c>
      <c r="K360" s="30" t="n">
        <f aca="false">IF(C360&lt;Assumptions!$B$5,I360*J360,0)</f>
        <v>0</v>
      </c>
      <c r="L360" s="30" t="n">
        <f aca="false">IF(C360&lt;Assumptions!$B$5,I360*(1-F360)*H360*A360*J360,0)</f>
        <v>0</v>
      </c>
      <c r="M360" s="30" t="n">
        <f aca="false">IF(A360=0,Assumptions!$B$14*12*I360*J360,IF(AND(A360&gt;=12,C360&lt;Assumptions!$B$5),Assumptions!$B$15*I360*J360,0))</f>
        <v>0</v>
      </c>
      <c r="N360" s="47" t="n">
        <f aca="false">IF(C360&gt;=Assumptions!$B$5,I360*Assumptions!$B$9/12*(1+Assumptions!$B$10)^INT(A360/12)*J360,0)</f>
        <v>224.381993649375</v>
      </c>
      <c r="O360" s="47" t="n">
        <f aca="false">I360*Assumptions!$B$12/12*(1+Assumptions!$B$11)^(INT(A360/12)+1)*J360</f>
        <v>1.32516204198533</v>
      </c>
      <c r="P360" s="47" t="n">
        <f aca="false">O360+Pricing_M!$B$13*M360+N360-Pricing_M!$B$13*K360</f>
        <v>225.707155691361</v>
      </c>
      <c r="Q360" s="47" t="n">
        <f aca="false">IF(C360&lt;Assumptions!$B$5,Pricing_M!$B$13*K360-Pricing_M!$B$13*M360-O360,-(N360+O360))</f>
        <v>-225.707155691361</v>
      </c>
      <c r="R360" s="32" t="n">
        <f aca="false">R359*(1-(1-(1-MIN(1,E359*(1-Assumptions!$B$21)))^(1/12)))*(1-H359)</f>
        <v>0.307767962479327</v>
      </c>
      <c r="S360" s="47" t="n">
        <f aca="false">R360*(IF(C360&lt;Assumptions!$B$5,Assumptions!$B$12*(1+Assumptions!$B$11)^(INT(A360/12)+1)/12+Pricing_M!$B$13*IF(A360=0,Assumptions!$B$14*12,IF(A360&gt;=12,Assumptions!$B$15,0))-Pricing_M!$B$13,Assumptions!$B$9/12*(1+Assumptions!$B$10)^INT(A360/12)+Assumptions!$B$12*(1+Assumptions!$B$11)^(INT(A360/12)+1)/12))*J360</f>
        <v>291.632963764602</v>
      </c>
      <c r="T360" s="32" t="n">
        <f aca="false">T359*(1-F359)*(1-(1-(1-MIN(1,G359*(1+Assumptions!$B$23)))^(1/12)))</f>
        <v>0.215775557381493</v>
      </c>
      <c r="U360" s="47" t="n">
        <f aca="false">T360*(IF(C360&lt;Assumptions!$B$5,Assumptions!$B$12*(1+Assumptions!$B$11)^(INT(A360/12)+1)/12+Pricing_M!$B$13*IF(A360=0,Assumptions!$B$14*12,IF(A360&gt;=12,Assumptions!$B$15,0))-Pricing_M!$B$13,Assumptions!$B$9/12*(1+Assumptions!$B$10)^INT(A360/12)+Assumptions!$B$12*(1+Assumptions!$B$11)^(INT(A360/12)+1)/12))*J360</f>
        <v>204.463339199416</v>
      </c>
      <c r="V360" s="32" t="n">
        <f aca="false">V359*(1-F359)*(1-(1-(1-MIN(1,G359*(1-Assumptions!$B$23)))^(1/12)))</f>
        <v>0.262701982680933</v>
      </c>
      <c r="W360" s="47" t="n">
        <f aca="false">V360*(IF(C360&lt;Assumptions!$B$5,Assumptions!$B$12*(1+Assumptions!$B$11)^(INT(A360/12)+1)/12+Pricing_M!$B$13*IF(A360=0,Assumptions!$B$14*12,IF(A360&gt;=12,Assumptions!$B$15,0))-Pricing_M!$B$13,Assumptions!$B$9/12*(1+Assumptions!$B$10)^INT(A360/12)+Assumptions!$B$12*(1+Assumptions!$B$11)^(INT(A360/12)+1)/12))*J360</f>
        <v>248.929606509073</v>
      </c>
      <c r="X360" s="47" t="n">
        <f aca="false">I360*(IF(C360&lt;Assumptions!$B$5,Assumptions!$B$12*(1+Assumptions!$B$11)*(1+Assumptions!$B$24)*(1+Assumptions!$B$11+Assumptions!$B$25)^(INT(A360/12))/12+Pricing_M!$B$13*IF(A360=0,Assumptions!$B$14*12,IF(A360&gt;=12,Assumptions!$B$15,0))-Pricing_M!$B$13,Assumptions!$B$9/12*(1+Assumptions!$B$10)^INT(A360/12)+Assumptions!$B$12*(1+Assumptions!$B$11)*(1+Assumptions!$B$24)*(1+Assumptions!$B$11+Assumptions!$B$25)^(INT(A360/12))/12))*J360</f>
        <v>226.313693829129</v>
      </c>
    </row>
    <row r="361" customFormat="false" ht="15" hidden="false" customHeight="true" outlineLevel="0" collapsed="false">
      <c r="A361" s="1" t="n">
        <v>354</v>
      </c>
      <c r="B361" s="31" t="n">
        <f aca="false">Assumptions!$B$4+A361/12</f>
        <v>94.5</v>
      </c>
      <c r="C361" s="34" t="n">
        <f aca="false">Assumptions!$B$4+INT(A361/12)</f>
        <v>94</v>
      </c>
      <c r="D361" s="34" t="n">
        <f aca="false">INT(A361/12)+1</f>
        <v>30</v>
      </c>
      <c r="E361" s="32" t="n">
        <f aca="false">IFERROR(INDEX(Cohort_Survival!$G$5:$G$65,MATCH(C361,Cohort_Survival!$A$5:$A$65,0)),1)</f>
        <v>0.142938412279168</v>
      </c>
      <c r="F361" s="30" t="n">
        <f aca="false">1-(1-MIN(1,E361))^(1/12)</f>
        <v>0.012771534391351</v>
      </c>
      <c r="G361" s="39" t="n">
        <f aca="false">IF(C361&lt;Assumptions!$B$5,IF(D361=1,Assumptions!$B$16,IF(D361=2,Assumptions!$B$17,IF(D361&lt;=5,Assumptions!$B$18,Assumptions!$B$19)))*(1-Assumptions!$B$20),0)</f>
        <v>0</v>
      </c>
      <c r="H361" s="30" t="n">
        <f aca="false">1-(1-G361)^(1/12)</f>
        <v>0</v>
      </c>
      <c r="I361" s="30" t="n">
        <f aca="false">I360*(1-F360)*(1-H360)</f>
        <v>0.235152605495739</v>
      </c>
      <c r="J361" s="30" t="n">
        <f aca="false">INDEX(Discount_Monthly!$G$4:$G$664,MATCH(A361,Discount_Monthly!$A$4:$A$664,0))</f>
        <v>0.396787015870112</v>
      </c>
      <c r="K361" s="30" t="n">
        <f aca="false">IF(C361&lt;Assumptions!$B$5,I361*J361,0)</f>
        <v>0</v>
      </c>
      <c r="L361" s="30" t="n">
        <f aca="false">IF(C361&lt;Assumptions!$B$5,I361*(1-F361)*H361*A361*J361,0)</f>
        <v>0</v>
      </c>
      <c r="M361" s="30" t="n">
        <f aca="false">IF(A361=0,Assumptions!$B$14*12*I361*J361,IF(AND(A361&gt;=12,C361&lt;Assumptions!$B$5),Assumptions!$B$15*I361*J361,0))</f>
        <v>0</v>
      </c>
      <c r="N361" s="47" t="n">
        <f aca="false">IF(C361&gt;=Assumptions!$B$5,I361*Assumptions!$B$9/12*(1+Assumptions!$B$10)^INT(A361/12)*J361,0)</f>
        <v>220.928103775421</v>
      </c>
      <c r="O361" s="47" t="n">
        <f aca="false">I361*Assumptions!$B$12/12*(1+Assumptions!$B$11)^(INT(A361/12)+1)*J361</f>
        <v>1.30476395351254</v>
      </c>
      <c r="P361" s="47" t="n">
        <f aca="false">O361+Pricing_M!$B$13*M361+N361-Pricing_M!$B$13*K361</f>
        <v>222.232867728933</v>
      </c>
      <c r="Q361" s="47" t="n">
        <f aca="false">IF(C361&lt;Assumptions!$B$5,Pricing_M!$B$13*K361-Pricing_M!$B$13*M361-O361,-(N361+O361))</f>
        <v>-222.232867728933</v>
      </c>
      <c r="R361" s="32" t="n">
        <f aca="false">R360*(1-(1-(1-MIN(1,E360*(1-Assumptions!$B$21)))^(1/12)))*(1-H360)</f>
        <v>0.304669203228628</v>
      </c>
      <c r="S361" s="47" t="n">
        <f aca="false">R361*(IF(C361&lt;Assumptions!$B$5,Assumptions!$B$12*(1+Assumptions!$B$11)^(INT(A361/12)+1)/12+Pricing_M!$B$13*IF(A361=0,Assumptions!$B$14*12,IF(A361&gt;=12,Assumptions!$B$15,0))-Pricing_M!$B$13,Assumptions!$B$9/12*(1+Assumptions!$B$10)^INT(A361/12)+Assumptions!$B$12*(1+Assumptions!$B$11)^(INT(A361/12)+1)/12))*J361</f>
        <v>287.930089481462</v>
      </c>
      <c r="T361" s="32" t="n">
        <f aca="false">T360*(1-F360)*(1-(1-(1-MIN(1,G360*(1+Assumptions!$B$23)))^(1/12)))</f>
        <v>0.213019772429582</v>
      </c>
      <c r="U361" s="47" t="n">
        <f aca="false">T361*(IF(C361&lt;Assumptions!$B$5,Assumptions!$B$12*(1+Assumptions!$B$11)^(INT(A361/12)+1)/12+Pricing_M!$B$13*IF(A361=0,Assumptions!$B$14*12,IF(A361&gt;=12,Assumptions!$B$15,0))-Pricing_M!$B$13,Assumptions!$B$9/12*(1+Assumptions!$B$10)^INT(A361/12)+Assumptions!$B$12*(1+Assumptions!$B$11)^(INT(A361/12)+1)/12))*J361</f>
        <v>201.316055206747</v>
      </c>
      <c r="V361" s="32" t="n">
        <f aca="false">V360*(1-F360)*(1-(1-(1-MIN(1,G360*(1-Assumptions!$B$23)))^(1/12)))</f>
        <v>0.259346875274448</v>
      </c>
      <c r="W361" s="47" t="n">
        <f aca="false">V361*(IF(C361&lt;Assumptions!$B$5,Assumptions!$B$12*(1+Assumptions!$B$11)^(INT(A361/12)+1)/12+Pricing_M!$B$13*IF(A361=0,Assumptions!$B$14*12,IF(A361&gt;=12,Assumptions!$B$15,0))-Pricing_M!$B$13,Assumptions!$B$9/12*(1+Assumptions!$B$10)^INT(A361/12)+Assumptions!$B$12*(1+Assumptions!$B$11)^(INT(A361/12)+1)/12))*J361</f>
        <v>245.09785765407</v>
      </c>
      <c r="X361" s="47" t="n">
        <f aca="false">I361*(IF(C361&lt;Assumptions!$B$5,Assumptions!$B$12*(1+Assumptions!$B$11)*(1+Assumptions!$B$24)*(1+Assumptions!$B$11+Assumptions!$B$25)^(INT(A361/12))/12+Pricing_M!$B$13*IF(A361=0,Assumptions!$B$14*12,IF(A361&gt;=12,Assumptions!$B$15,0))-Pricing_M!$B$13,Assumptions!$B$9/12*(1+Assumptions!$B$10)^INT(A361/12)+Assumptions!$B$12*(1+Assumptions!$B$11)*(1+Assumptions!$B$24)*(1+Assumptions!$B$11+Assumptions!$B$25)^(INT(A361/12))/12))*J361</f>
        <v>222.830069485033</v>
      </c>
    </row>
    <row r="362" customFormat="false" ht="15" hidden="false" customHeight="true" outlineLevel="0" collapsed="false">
      <c r="A362" s="1" t="n">
        <v>355</v>
      </c>
      <c r="B362" s="31" t="n">
        <f aca="false">Assumptions!$B$4+A362/12</f>
        <v>94.5833333333333</v>
      </c>
      <c r="C362" s="34" t="n">
        <f aca="false">Assumptions!$B$4+INT(A362/12)</f>
        <v>94</v>
      </c>
      <c r="D362" s="34" t="n">
        <f aca="false">INT(A362/12)+1</f>
        <v>30</v>
      </c>
      <c r="E362" s="32" t="n">
        <f aca="false">IFERROR(INDEX(Cohort_Survival!$G$5:$G$65,MATCH(C362,Cohort_Survival!$A$5:$A$65,0)),1)</f>
        <v>0.142938412279168</v>
      </c>
      <c r="F362" s="30" t="n">
        <f aca="false">1-(1-MIN(1,E362))^(1/12)</f>
        <v>0.012771534391351</v>
      </c>
      <c r="G362" s="39" t="n">
        <f aca="false">IF(C362&lt;Assumptions!$B$5,IF(D362=1,Assumptions!$B$16,IF(D362=2,Assumptions!$B$17,IF(D362&lt;=5,Assumptions!$B$18,Assumptions!$B$19)))*(1-Assumptions!$B$20),0)</f>
        <v>0</v>
      </c>
      <c r="H362" s="30" t="n">
        <f aca="false">1-(1-G362)^(1/12)</f>
        <v>0</v>
      </c>
      <c r="I362" s="30" t="n">
        <f aca="false">I361*(1-F361)*(1-H361)</f>
        <v>0.232149345907435</v>
      </c>
      <c r="J362" s="30" t="n">
        <f aca="false">INDEX(Discount_Monthly!$G$4:$G$664,MATCH(A362,Discount_Monthly!$A$4:$A$664,0))</f>
        <v>0.395733435695262</v>
      </c>
      <c r="K362" s="30" t="n">
        <f aca="false">IF(C362&lt;Assumptions!$B$5,I362*J362,0)</f>
        <v>0</v>
      </c>
      <c r="L362" s="30" t="n">
        <f aca="false">IF(C362&lt;Assumptions!$B$5,I362*(1-F362)*H362*A362*J362,0)</f>
        <v>0</v>
      </c>
      <c r="M362" s="30" t="n">
        <f aca="false">IF(A362=0,Assumptions!$B$14*12*I362*J362,IF(AND(A362&gt;=12,C362&lt;Assumptions!$B$5),Assumptions!$B$15*I362*J362,0))</f>
        <v>0</v>
      </c>
      <c r="N362" s="47" t="n">
        <f aca="false">IF(C362&gt;=Assumptions!$B$5,I362*Assumptions!$B$9/12*(1+Assumptions!$B$10)^INT(A362/12)*J362,0)</f>
        <v>217.527379287277</v>
      </c>
      <c r="O362" s="47" t="n">
        <f aca="false">I362*Assumptions!$B$12/12*(1+Assumptions!$B$11)^(INT(A362/12)+1)*J362</f>
        <v>1.2846798508016</v>
      </c>
      <c r="P362" s="47" t="n">
        <f aca="false">O362+Pricing_M!$B$13*M362+N362-Pricing_M!$B$13*K362</f>
        <v>218.812059138078</v>
      </c>
      <c r="Q362" s="47" t="n">
        <f aca="false">IF(C362&lt;Assumptions!$B$5,Pricing_M!$B$13*K362-Pricing_M!$B$13*M362-O362,-(N362+O362))</f>
        <v>-218.812059138078</v>
      </c>
      <c r="R362" s="32" t="n">
        <f aca="false">R361*(1-(1-(1-MIN(1,E361*(1-Assumptions!$B$21)))^(1/12)))*(1-H361)</f>
        <v>0.301601643810481</v>
      </c>
      <c r="S362" s="47" t="n">
        <f aca="false">R362*(IF(C362&lt;Assumptions!$B$5,Assumptions!$B$12*(1+Assumptions!$B$11)^(INT(A362/12)+1)/12+Pricing_M!$B$13*IF(A362=0,Assumptions!$B$14*12,IF(A362&gt;=12,Assumptions!$B$15,0))-Pricing_M!$B$13,Assumptions!$B$9/12*(1+Assumptions!$B$10)^INT(A362/12)+Assumptions!$B$12*(1+Assumptions!$B$11)^(INT(A362/12)+1)/12))*J362</f>
        <v>284.27423072695</v>
      </c>
      <c r="T362" s="32" t="n">
        <f aca="false">T361*(1-F361)*(1-(1-(1-MIN(1,G361*(1+Assumptions!$B$23)))^(1/12)))</f>
        <v>0.21029918307996</v>
      </c>
      <c r="U362" s="47" t="n">
        <f aca="false">T362*(IF(C362&lt;Assumptions!$B$5,Assumptions!$B$12*(1+Assumptions!$B$11)^(INT(A362/12)+1)/12+Pricing_M!$B$13*IF(A362=0,Assumptions!$B$14*12,IF(A362&gt;=12,Assumptions!$B$15,0))-Pricing_M!$B$13,Assumptions!$B$9/12*(1+Assumptions!$B$10)^INT(A362/12)+Assumptions!$B$12*(1+Assumptions!$B$11)^(INT(A362/12)+1)/12))*J362</f>
        <v>198.217217045831</v>
      </c>
      <c r="V362" s="32" t="n">
        <f aca="false">V361*(1-F361)*(1-(1-(1-MIN(1,G361*(1-Assumptions!$B$23)))^(1/12)))</f>
        <v>0.256034617737591</v>
      </c>
      <c r="W362" s="47" t="n">
        <f aca="false">V362*(IF(C362&lt;Assumptions!$B$5,Assumptions!$B$12*(1+Assumptions!$B$11)^(INT(A362/12)+1)/12+Pricing_M!$B$13*IF(A362=0,Assumptions!$B$14*12,IF(A362&gt;=12,Assumptions!$B$15,0))-Pricing_M!$B$13,Assumptions!$B$9/12*(1+Assumptions!$B$10)^INT(A362/12)+Assumptions!$B$12*(1+Assumptions!$B$11)^(INT(A362/12)+1)/12))*J362</f>
        <v>241.325090530866</v>
      </c>
      <c r="X362" s="47" t="n">
        <f aca="false">I362*(IF(C362&lt;Assumptions!$B$5,Assumptions!$B$12*(1+Assumptions!$B$11)*(1+Assumptions!$B$24)*(1+Assumptions!$B$11+Assumptions!$B$25)^(INT(A362/12))/12+Pricing_M!$B$13*IF(A362=0,Assumptions!$B$14*12,IF(A362&gt;=12,Assumptions!$B$15,0))-Pricing_M!$B$13,Assumptions!$B$9/12*(1+Assumptions!$B$10)^INT(A362/12)+Assumptions!$B$12*(1+Assumptions!$B$11)*(1+Assumptions!$B$24)*(1+Assumptions!$B$11+Assumptions!$B$25)^(INT(A362/12))/12))*J362</f>
        <v>219.400068226511</v>
      </c>
    </row>
    <row r="363" customFormat="false" ht="15" hidden="false" customHeight="true" outlineLevel="0" collapsed="false">
      <c r="A363" s="1" t="n">
        <v>356</v>
      </c>
      <c r="B363" s="31" t="n">
        <f aca="false">Assumptions!$B$4+A363/12</f>
        <v>94.6666666666667</v>
      </c>
      <c r="C363" s="34" t="n">
        <f aca="false">Assumptions!$B$4+INT(A363/12)</f>
        <v>94</v>
      </c>
      <c r="D363" s="34" t="n">
        <f aca="false">INT(A363/12)+1</f>
        <v>30</v>
      </c>
      <c r="E363" s="32" t="n">
        <f aca="false">IFERROR(INDEX(Cohort_Survival!$G$5:$G$65,MATCH(C363,Cohort_Survival!$A$5:$A$65,0)),1)</f>
        <v>0.142938412279168</v>
      </c>
      <c r="F363" s="30" t="n">
        <f aca="false">1-(1-MIN(1,E363))^(1/12)</f>
        <v>0.012771534391351</v>
      </c>
      <c r="G363" s="39" t="n">
        <f aca="false">IF(C363&lt;Assumptions!$B$5,IF(D363=1,Assumptions!$B$16,IF(D363=2,Assumptions!$B$17,IF(D363&lt;=5,Assumptions!$B$18,Assumptions!$B$19)))*(1-Assumptions!$B$20),0)</f>
        <v>0</v>
      </c>
      <c r="H363" s="30" t="n">
        <f aca="false">1-(1-G363)^(1/12)</f>
        <v>0</v>
      </c>
      <c r="I363" s="30" t="n">
        <f aca="false">I362*(1-F362)*(1-H362)</f>
        <v>0.229184442552248</v>
      </c>
      <c r="J363" s="30" t="n">
        <f aca="false">INDEX(Discount_Monthly!$G$4:$G$664,MATCH(A363,Discount_Monthly!$A$4:$A$664,0))</f>
        <v>0.394682653069577</v>
      </c>
      <c r="K363" s="30" t="n">
        <f aca="false">IF(C363&lt;Assumptions!$B$5,I363*J363,0)</f>
        <v>0</v>
      </c>
      <c r="L363" s="30" t="n">
        <f aca="false">IF(C363&lt;Assumptions!$B$5,I363*(1-F363)*H363*A363*J363,0)</f>
        <v>0</v>
      </c>
      <c r="M363" s="30" t="n">
        <f aca="false">IF(A363=0,Assumptions!$B$14*12*I363*J363,IF(AND(A363&gt;=12,C363&lt;Assumptions!$B$5),Assumptions!$B$15*I363*J363,0))</f>
        <v>0</v>
      </c>
      <c r="N363" s="47" t="n">
        <f aca="false">IF(C363&gt;=Assumptions!$B$5,I363*Assumptions!$B$9/12*(1+Assumptions!$B$10)^INT(A363/12)*J363,0)</f>
        <v>214.17900181541</v>
      </c>
      <c r="O363" s="47" t="n">
        <f aca="false">I363*Assumptions!$B$12/12*(1+Assumptions!$B$11)^(INT(A363/12)+1)*J363</f>
        <v>1.2649049007007</v>
      </c>
      <c r="P363" s="47" t="n">
        <f aca="false">O363+Pricing_M!$B$13*M363+N363-Pricing_M!$B$13*K363</f>
        <v>215.44390671611</v>
      </c>
      <c r="Q363" s="47" t="n">
        <f aca="false">IF(C363&lt;Assumptions!$B$5,Pricing_M!$B$13*K363-Pricing_M!$B$13*M363-O363,-(N363+O363))</f>
        <v>-215.44390671611</v>
      </c>
      <c r="R363" s="32" t="n">
        <f aca="false">R362*(1-(1-(1-MIN(1,E362*(1-Assumptions!$B$21)))^(1/12)))*(1-H362)</f>
        <v>0.298564970089621</v>
      </c>
      <c r="S363" s="47" t="n">
        <f aca="false">R363*(IF(C363&lt;Assumptions!$B$5,Assumptions!$B$12*(1+Assumptions!$B$11)^(INT(A363/12)+1)/12+Pricing_M!$B$13*IF(A363=0,Assumptions!$B$14*12,IF(A363&gt;=12,Assumptions!$B$15,0))-Pricing_M!$B$13,Assumptions!$B$9/12*(1+Assumptions!$B$10)^INT(A363/12)+Assumptions!$B$12*(1+Assumptions!$B$11)^(INT(A363/12)+1)/12))*J363</f>
        <v>280.664790543199</v>
      </c>
      <c r="T363" s="32" t="n">
        <f aca="false">T362*(1-F362)*(1-(1-(1-MIN(1,G362*(1+Assumptions!$B$23)))^(1/12)))</f>
        <v>0.207613339830781</v>
      </c>
      <c r="U363" s="47" t="n">
        <f aca="false">T363*(IF(C363&lt;Assumptions!$B$5,Assumptions!$B$12*(1+Assumptions!$B$11)^(INT(A363/12)+1)/12+Pricing_M!$B$13*IF(A363=0,Assumptions!$B$14*12,IF(A363&gt;=12,Assumptions!$B$15,0))-Pricing_M!$B$13,Assumptions!$B$9/12*(1+Assumptions!$B$10)^INT(A363/12)+Assumptions!$B$12*(1+Assumptions!$B$11)^(INT(A363/12)+1)/12))*J363</f>
        <v>195.166078994763</v>
      </c>
      <c r="V363" s="32" t="n">
        <f aca="false">V362*(1-F362)*(1-(1-(1-MIN(1,G362*(1-Assumptions!$B$23)))^(1/12)))</f>
        <v>0.252764662811778</v>
      </c>
      <c r="W363" s="47" t="n">
        <f aca="false">V363*(IF(C363&lt;Assumptions!$B$5,Assumptions!$B$12*(1+Assumptions!$B$11)^(INT(A363/12)+1)/12+Pricing_M!$B$13*IF(A363=0,Assumptions!$B$14*12,IF(A363&gt;=12,Assumptions!$B$15,0))-Pricing_M!$B$13,Assumptions!$B$9/12*(1+Assumptions!$B$10)^INT(A363/12)+Assumptions!$B$12*(1+Assumptions!$B$11)^(INT(A363/12)+1)/12))*J363</f>
        <v>237.610397239486</v>
      </c>
      <c r="X363" s="47" t="n">
        <f aca="false">I363*(IF(C363&lt;Assumptions!$B$5,Assumptions!$B$12*(1+Assumptions!$B$11)*(1+Assumptions!$B$24)*(1+Assumptions!$B$11+Assumptions!$B$25)^(INT(A363/12))/12+Pricing_M!$B$13*IF(A363=0,Assumptions!$B$14*12,IF(A363&gt;=12,Assumptions!$B$15,0))-Pricing_M!$B$13,Assumptions!$B$9/12*(1+Assumptions!$B$10)^INT(A363/12)+Assumptions!$B$12*(1+Assumptions!$B$11)*(1+Assumptions!$B$24)*(1+Assumptions!$B$11+Assumptions!$B$25)^(INT(A363/12))/12))*J363</f>
        <v>216.022864638702</v>
      </c>
    </row>
    <row r="364" customFormat="false" ht="15" hidden="false" customHeight="true" outlineLevel="0" collapsed="false">
      <c r="A364" s="1" t="n">
        <v>357</v>
      </c>
      <c r="B364" s="31" t="n">
        <f aca="false">Assumptions!$B$4+A364/12</f>
        <v>94.75</v>
      </c>
      <c r="C364" s="34" t="n">
        <f aca="false">Assumptions!$B$4+INT(A364/12)</f>
        <v>94</v>
      </c>
      <c r="D364" s="34" t="n">
        <f aca="false">INT(A364/12)+1</f>
        <v>30</v>
      </c>
      <c r="E364" s="32" t="n">
        <f aca="false">IFERROR(INDEX(Cohort_Survival!$G$5:$G$65,MATCH(C364,Cohort_Survival!$A$5:$A$65,0)),1)</f>
        <v>0.142938412279168</v>
      </c>
      <c r="F364" s="30" t="n">
        <f aca="false">1-(1-MIN(1,E364))^(1/12)</f>
        <v>0.012771534391351</v>
      </c>
      <c r="G364" s="39" t="n">
        <f aca="false">IF(C364&lt;Assumptions!$B$5,IF(D364=1,Assumptions!$B$16,IF(D364=2,Assumptions!$B$17,IF(D364&lt;=5,Assumptions!$B$18,Assumptions!$B$19)))*(1-Assumptions!$B$20),0)</f>
        <v>0</v>
      </c>
      <c r="H364" s="30" t="n">
        <f aca="false">1-(1-G364)^(1/12)</f>
        <v>0</v>
      </c>
      <c r="I364" s="30" t="n">
        <f aca="false">I363*(1-F363)*(1-H363)</f>
        <v>0.22625740556223</v>
      </c>
      <c r="J364" s="30" t="n">
        <f aca="false">INDEX(Discount_Monthly!$G$4:$G$664,MATCH(A364,Discount_Monthly!$A$4:$A$664,0))</f>
        <v>0.393634660564783</v>
      </c>
      <c r="K364" s="30" t="n">
        <f aca="false">IF(C364&lt;Assumptions!$B$5,I364*J364,0)</f>
        <v>0</v>
      </c>
      <c r="L364" s="30" t="n">
        <f aca="false">IF(C364&lt;Assumptions!$B$5,I364*(1-F364)*H364*A364*J364,0)</f>
        <v>0</v>
      </c>
      <c r="M364" s="30" t="n">
        <f aca="false">IF(A364=0,Assumptions!$B$14*12*I364*J364,IF(AND(A364&gt;=12,C364&lt;Assumptions!$B$5),Assumptions!$B$15*I364*J364,0))</f>
        <v>0</v>
      </c>
      <c r="N364" s="47" t="n">
        <f aca="false">IF(C364&gt;=Assumptions!$B$5,I364*Assumptions!$B$9/12*(1+Assumptions!$B$10)^INT(A364/12)*J364,0)</f>
        <v>210.882165587366</v>
      </c>
      <c r="O364" s="47" t="n">
        <f aca="false">I364*Assumptions!$B$12/12*(1+Assumptions!$B$11)^(INT(A364/12)+1)*J364</f>
        <v>1.24543434445423</v>
      </c>
      <c r="P364" s="47" t="n">
        <f aca="false">O364+Pricing_M!$B$13*M364+N364-Pricing_M!$B$13*K364</f>
        <v>212.12759993182</v>
      </c>
      <c r="Q364" s="47" t="n">
        <f aca="false">IF(C364&lt;Assumptions!$B$5,Pricing_M!$B$13*K364-Pricing_M!$B$13*M364-O364,-(N364+O364))</f>
        <v>-212.12759993182</v>
      </c>
      <c r="R364" s="32" t="n">
        <f aca="false">R363*(1-(1-(1-MIN(1,E363*(1-Assumptions!$B$21)))^(1/12)))*(1-H363)</f>
        <v>0.295558871093656</v>
      </c>
      <c r="S364" s="47" t="n">
        <f aca="false">R364*(IF(C364&lt;Assumptions!$B$5,Assumptions!$B$12*(1+Assumptions!$B$11)^(INT(A364/12)+1)/12+Pricing_M!$B$13*IF(A364=0,Assumptions!$B$14*12,IF(A364&gt;=12,Assumptions!$B$15,0))-Pricing_M!$B$13,Assumptions!$B$9/12*(1+Assumptions!$B$10)^INT(A364/12)+Assumptions!$B$12*(1+Assumptions!$B$11)^(INT(A364/12)+1)/12))*J364</f>
        <v>277.101179551939</v>
      </c>
      <c r="T364" s="32" t="n">
        <f aca="false">T363*(1-F363)*(1-(1-(1-MIN(1,G363*(1+Assumptions!$B$23)))^(1/12)))</f>
        <v>0.204961798921029</v>
      </c>
      <c r="U364" s="47" t="n">
        <f aca="false">T364*(IF(C364&lt;Assumptions!$B$5,Assumptions!$B$12*(1+Assumptions!$B$11)^(INT(A364/12)+1)/12+Pricing_M!$B$13*IF(A364=0,Assumptions!$B$14*12,IF(A364&gt;=12,Assumptions!$B$15,0))-Pricing_M!$B$13,Assumptions!$B$9/12*(1+Assumptions!$B$10)^INT(A364/12)+Assumptions!$B$12*(1+Assumptions!$B$11)^(INT(A364/12)+1)/12))*J364</f>
        <v>192.161906810462</v>
      </c>
      <c r="V364" s="32" t="n">
        <f aca="false">V363*(1-F363)*(1-(1-(1-MIN(1,G363*(1-Assumptions!$B$23)))^(1/12)))</f>
        <v>0.24953647022776</v>
      </c>
      <c r="W364" s="47" t="n">
        <f aca="false">V364*(IF(C364&lt;Assumptions!$B$5,Assumptions!$B$12*(1+Assumptions!$B$11)^(INT(A364/12)+1)/12+Pricing_M!$B$13*IF(A364=0,Assumptions!$B$14*12,IF(A364&gt;=12,Assumptions!$B$15,0))-Pricing_M!$B$13,Assumptions!$B$9/12*(1+Assumptions!$B$10)^INT(A364/12)+Assumptions!$B$12*(1+Assumptions!$B$11)^(INT(A364/12)+1)/12))*J364</f>
        <v>233.952883855171</v>
      </c>
      <c r="X364" s="47" t="n">
        <f aca="false">I364*(IF(C364&lt;Assumptions!$B$5,Assumptions!$B$12*(1+Assumptions!$B$11)*(1+Assumptions!$B$24)*(1+Assumptions!$B$11+Assumptions!$B$25)^(INT(A364/12))/12+Pricing_M!$B$13*IF(A364=0,Assumptions!$B$14*12,IF(A364&gt;=12,Assumptions!$B$15,0))-Pricing_M!$B$13,Assumptions!$B$9/12*(1+Assumptions!$B$10)^INT(A364/12)+Assumptions!$B$12*(1+Assumptions!$B$11)*(1+Assumptions!$B$24)*(1+Assumptions!$B$11+Assumptions!$B$25)^(INT(A364/12))/12))*J364</f>
        <v>212.697646012272</v>
      </c>
    </row>
    <row r="365" customFormat="false" ht="15" hidden="false" customHeight="true" outlineLevel="0" collapsed="false">
      <c r="A365" s="1" t="n">
        <v>358</v>
      </c>
      <c r="B365" s="31" t="n">
        <f aca="false">Assumptions!$B$4+A365/12</f>
        <v>94.8333333333333</v>
      </c>
      <c r="C365" s="34" t="n">
        <f aca="false">Assumptions!$B$4+INT(A365/12)</f>
        <v>94</v>
      </c>
      <c r="D365" s="34" t="n">
        <f aca="false">INT(A365/12)+1</f>
        <v>30</v>
      </c>
      <c r="E365" s="32" t="n">
        <f aca="false">IFERROR(INDEX(Cohort_Survival!$G$5:$G$65,MATCH(C365,Cohort_Survival!$A$5:$A$65,0)),1)</f>
        <v>0.142938412279168</v>
      </c>
      <c r="F365" s="30" t="n">
        <f aca="false">1-(1-MIN(1,E365))^(1/12)</f>
        <v>0.012771534391351</v>
      </c>
      <c r="G365" s="39" t="n">
        <f aca="false">IF(C365&lt;Assumptions!$B$5,IF(D365=1,Assumptions!$B$16,IF(D365=2,Assumptions!$B$17,IF(D365&lt;=5,Assumptions!$B$18,Assumptions!$B$19)))*(1-Assumptions!$B$20),0)</f>
        <v>0</v>
      </c>
      <c r="H365" s="30" t="n">
        <f aca="false">1-(1-G365)^(1/12)</f>
        <v>0</v>
      </c>
      <c r="I365" s="30" t="n">
        <f aca="false">I364*(1-F364)*(1-H364)</f>
        <v>0.223367751325794</v>
      </c>
      <c r="J365" s="30" t="n">
        <f aca="false">INDEX(Discount_Monthly!$G$4:$G$664,MATCH(A365,Discount_Monthly!$A$4:$A$664,0))</f>
        <v>0.392589450772332</v>
      </c>
      <c r="K365" s="30" t="n">
        <f aca="false">IF(C365&lt;Assumptions!$B$5,I365*J365,0)</f>
        <v>0</v>
      </c>
      <c r="L365" s="30" t="n">
        <f aca="false">IF(C365&lt;Assumptions!$B$5,I365*(1-F365)*H365*A365*J365,0)</f>
        <v>0</v>
      </c>
      <c r="M365" s="30" t="n">
        <f aca="false">IF(A365=0,Assumptions!$B$14*12*I365*J365,IF(AND(A365&gt;=12,C365&lt;Assumptions!$B$5),Assumptions!$B$15*I365*J365,0))</f>
        <v>0</v>
      </c>
      <c r="N365" s="47" t="n">
        <f aca="false">IF(C365&gt;=Assumptions!$B$5,I365*Assumptions!$B$9/12*(1+Assumptions!$B$10)^INT(A365/12)*J365,0)</f>
        <v>207.636077233868</v>
      </c>
      <c r="O365" s="47" t="n">
        <f aca="false">I365*Assumptions!$B$12/12*(1+Assumptions!$B$11)^(INT(A365/12)+1)*J365</f>
        <v>1.22626349655764</v>
      </c>
      <c r="P365" s="47" t="n">
        <f aca="false">O365+Pricing_M!$B$13*M365+N365-Pricing_M!$B$13*K365</f>
        <v>208.862340730425</v>
      </c>
      <c r="Q365" s="47" t="n">
        <f aca="false">IF(C365&lt;Assumptions!$B$5,Pricing_M!$B$13*K365-Pricing_M!$B$13*M365-O365,-(N365+O365))</f>
        <v>-208.862340730425</v>
      </c>
      <c r="R365" s="32" t="n">
        <f aca="false">R364*(1-(1-(1-MIN(1,E364*(1-Assumptions!$B$21)))^(1/12)))*(1-H364)</f>
        <v>0.292583038981212</v>
      </c>
      <c r="S365" s="47" t="n">
        <f aca="false">R365*(IF(C365&lt;Assumptions!$B$5,Assumptions!$B$12*(1+Assumptions!$B$11)^(INT(A365/12)+1)/12+Pricing_M!$B$13*IF(A365=0,Assumptions!$B$14*12,IF(A365&gt;=12,Assumptions!$B$15,0))-Pricing_M!$B$13,Assumptions!$B$9/12*(1+Assumptions!$B$10)^INT(A365/12)+Assumptions!$B$12*(1+Assumptions!$B$11)^(INT(A365/12)+1)/12))*J365</f>
        <v>273.582815858255</v>
      </c>
      <c r="T365" s="32" t="n">
        <f aca="false">T364*(1-F364)*(1-(1-(1-MIN(1,G364*(1+Assumptions!$B$23)))^(1/12)))</f>
        <v>0.202344122257196</v>
      </c>
      <c r="U365" s="47" t="n">
        <f aca="false">T365*(IF(C365&lt;Assumptions!$B$5,Assumptions!$B$12*(1+Assumptions!$B$11)^(INT(A365/12)+1)/12+Pricing_M!$B$13*IF(A365=0,Assumptions!$B$14*12,IF(A365&gt;=12,Assumptions!$B$15,0))-Pricing_M!$B$13,Assumptions!$B$9/12*(1+Assumptions!$B$10)^INT(A365/12)+Assumptions!$B$12*(1+Assumptions!$B$11)^(INT(A365/12)+1)/12))*J365</f>
        <v>189.203977551978</v>
      </c>
      <c r="V365" s="32" t="n">
        <f aca="false">V364*(1-F364)*(1-(1-(1-MIN(1,G364*(1-Assumptions!$B$23)))^(1/12)))</f>
        <v>0.246349506616349</v>
      </c>
      <c r="W365" s="47" t="n">
        <f aca="false">V365*(IF(C365&lt;Assumptions!$B$5,Assumptions!$B$12*(1+Assumptions!$B$11)^(INT(A365/12)+1)/12+Pricing_M!$B$13*IF(A365=0,Assumptions!$B$14*12,IF(A365&gt;=12,Assumptions!$B$15,0))-Pricing_M!$B$13,Assumptions!$B$9/12*(1+Assumptions!$B$10)^INT(A365/12)+Assumptions!$B$12*(1+Assumptions!$B$11)^(INT(A365/12)+1)/12))*J365</f>
        <v>230.351670213257</v>
      </c>
      <c r="X365" s="47" t="n">
        <f aca="false">I365*(IF(C365&lt;Assumptions!$B$5,Assumptions!$B$12*(1+Assumptions!$B$11)*(1+Assumptions!$B$24)*(1+Assumptions!$B$11+Assumptions!$B$25)^(INT(A365/12))/12+Pricing_M!$B$13*IF(A365=0,Assumptions!$B$14*12,IF(A365&gt;=12,Assumptions!$B$15,0))-Pricing_M!$B$13,Assumptions!$B$9/12*(1+Assumptions!$B$10)^INT(A365/12)+Assumptions!$B$12*(1+Assumptions!$B$11)*(1+Assumptions!$B$24)*(1+Assumptions!$B$11+Assumptions!$B$25)^(INT(A365/12))/12))*J365</f>
        <v>209.423612147845</v>
      </c>
    </row>
    <row r="366" customFormat="false" ht="15" hidden="false" customHeight="true" outlineLevel="0" collapsed="false">
      <c r="A366" s="1" t="n">
        <v>359</v>
      </c>
      <c r="B366" s="31" t="n">
        <f aca="false">Assumptions!$B$4+A366/12</f>
        <v>94.9166666666667</v>
      </c>
      <c r="C366" s="34" t="n">
        <f aca="false">Assumptions!$B$4+INT(A366/12)</f>
        <v>94</v>
      </c>
      <c r="D366" s="34" t="n">
        <f aca="false">INT(A366/12)+1</f>
        <v>30</v>
      </c>
      <c r="E366" s="32" t="n">
        <f aca="false">IFERROR(INDEX(Cohort_Survival!$G$5:$G$65,MATCH(C366,Cohort_Survival!$A$5:$A$65,0)),1)</f>
        <v>0.142938412279168</v>
      </c>
      <c r="F366" s="30" t="n">
        <f aca="false">1-(1-MIN(1,E366))^(1/12)</f>
        <v>0.012771534391351</v>
      </c>
      <c r="G366" s="39" t="n">
        <f aca="false">IF(C366&lt;Assumptions!$B$5,IF(D366=1,Assumptions!$B$16,IF(D366=2,Assumptions!$B$17,IF(D366&lt;=5,Assumptions!$B$18,Assumptions!$B$19)))*(1-Assumptions!$B$20),0)</f>
        <v>0</v>
      </c>
      <c r="H366" s="30" t="n">
        <f aca="false">1-(1-G366)^(1/12)</f>
        <v>0</v>
      </c>
      <c r="I366" s="30" t="n">
        <f aca="false">I365*(1-F365)*(1-H365)</f>
        <v>0.220515002407818</v>
      </c>
      <c r="J366" s="30" t="n">
        <f aca="false">INDEX(Discount_Monthly!$G$4:$G$664,MATCH(A366,Discount_Monthly!$A$4:$A$664,0))</f>
        <v>0.391547016303347</v>
      </c>
      <c r="K366" s="30" t="n">
        <f aca="false">IF(C366&lt;Assumptions!$B$5,I366*J366,0)</f>
        <v>0</v>
      </c>
      <c r="L366" s="30" t="n">
        <f aca="false">IF(C366&lt;Assumptions!$B$5,I366*(1-F366)*H366*A366*J366,0)</f>
        <v>0</v>
      </c>
      <c r="M366" s="30" t="n">
        <f aca="false">IF(A366=0,Assumptions!$B$14*12*I366*J366,IF(AND(A366&gt;=12,C366&lt;Assumptions!$B$5),Assumptions!$B$15*I366*J366,0))</f>
        <v>0</v>
      </c>
      <c r="N366" s="47" t="n">
        <f aca="false">IF(C366&gt;=Assumptions!$B$5,I366*Assumptions!$B$9/12*(1+Assumptions!$B$10)^INT(A366/12)*J366,0)</f>
        <v>204.439955597894</v>
      </c>
      <c r="O366" s="47" t="n">
        <f aca="false">I366*Assumptions!$B$12/12*(1+Assumptions!$B$11)^(INT(A366/12)+1)*J366</f>
        <v>1.20738774362989</v>
      </c>
      <c r="P366" s="47" t="n">
        <f aca="false">O366+Pricing_M!$B$13*M366+N366-Pricing_M!$B$13*K366</f>
        <v>205.647343341524</v>
      </c>
      <c r="Q366" s="47" t="n">
        <f aca="false">IF(C366&lt;Assumptions!$B$5,Pricing_M!$B$13*K366-Pricing_M!$B$13*M366-O366,-(N366+O366))</f>
        <v>-205.647343341524</v>
      </c>
      <c r="R366" s="32" t="n">
        <f aca="false">R365*(1-(1-(1-MIN(1,E365*(1-Assumptions!$B$21)))^(1/12)))*(1-H365)</f>
        <v>0.289637169010418</v>
      </c>
      <c r="S366" s="47" t="n">
        <f aca="false">R366*(IF(C366&lt;Assumptions!$B$5,Assumptions!$B$12*(1+Assumptions!$B$11)^(INT(A366/12)+1)/12+Pricing_M!$B$13*IF(A366=0,Assumptions!$B$14*12,IF(A366&gt;=12,Assumptions!$B$15,0))-Pricing_M!$B$13,Assumptions!$B$9/12*(1+Assumptions!$B$10)^INT(A366/12)+Assumptions!$B$12*(1+Assumptions!$B$11)^(INT(A366/12)+1)/12))*J366</f>
        <v>270.109124955576</v>
      </c>
      <c r="T366" s="32" t="n">
        <f aca="false">T365*(1-F365)*(1-(1-(1-MIN(1,G365*(1+Assumptions!$B$23)))^(1/12)))</f>
        <v>0.1997598773409</v>
      </c>
      <c r="U366" s="47" t="n">
        <f aca="false">T366*(IF(C366&lt;Assumptions!$B$5,Assumptions!$B$12*(1+Assumptions!$B$11)^(INT(A366/12)+1)/12+Pricing_M!$B$13*IF(A366=0,Assumptions!$B$14*12,IF(A366&gt;=12,Assumptions!$B$15,0))-Pricing_M!$B$13,Assumptions!$B$9/12*(1+Assumptions!$B$10)^INT(A366/12)+Assumptions!$B$12*(1+Assumptions!$B$11)^(INT(A366/12)+1)/12))*J366</f>
        <v>186.29157940652</v>
      </c>
      <c r="V366" s="32" t="n">
        <f aca="false">V365*(1-F365)*(1-(1-(1-MIN(1,G365*(1-Assumptions!$B$23)))^(1/12)))</f>
        <v>0.243203245420306</v>
      </c>
      <c r="W366" s="47" t="n">
        <f aca="false">V366*(IF(C366&lt;Assumptions!$B$5,Assumptions!$B$12*(1+Assumptions!$B$11)^(INT(A366/12)+1)/12+Pricing_M!$B$13*IF(A366=0,Assumptions!$B$14*12,IF(A366&gt;=12,Assumptions!$B$15,0))-Pricing_M!$B$13,Assumptions!$B$9/12*(1+Assumptions!$B$10)^INT(A366/12)+Assumptions!$B$12*(1+Assumptions!$B$11)^(INT(A366/12)+1)/12))*J366</f>
        <v>226.805889697369</v>
      </c>
      <c r="X366" s="47" t="n">
        <f aca="false">I366*(IF(C366&lt;Assumptions!$B$5,Assumptions!$B$12*(1+Assumptions!$B$11)*(1+Assumptions!$B$24)*(1+Assumptions!$B$11+Assumptions!$B$25)^(INT(A366/12))/12+Pricing_M!$B$13*IF(A366=0,Assumptions!$B$14*12,IF(A366&gt;=12,Assumptions!$B$15,0))-Pricing_M!$B$13,Assumptions!$B$9/12*(1+Assumptions!$B$10)^INT(A366/12)+Assumptions!$B$12*(1+Assumptions!$B$11)*(1+Assumptions!$B$24)*(1+Assumptions!$B$11+Assumptions!$B$25)^(INT(A366/12))/12))*J366</f>
        <v>206.199975163432</v>
      </c>
    </row>
    <row r="367" customFormat="false" ht="15" hidden="false" customHeight="true" outlineLevel="0" collapsed="false">
      <c r="A367" s="1" t="n">
        <v>360</v>
      </c>
      <c r="B367" s="31" t="n">
        <f aca="false">Assumptions!$B$4+A367/12</f>
        <v>95</v>
      </c>
      <c r="C367" s="34" t="n">
        <f aca="false">Assumptions!$B$4+INT(A367/12)</f>
        <v>95</v>
      </c>
      <c r="D367" s="34" t="n">
        <f aca="false">INT(A367/12)+1</f>
        <v>31</v>
      </c>
      <c r="E367" s="32" t="n">
        <f aca="false">IFERROR(INDEX(Cohort_Survival!$G$5:$G$65,MATCH(C367,Cohort_Survival!$A$5:$A$65,0)),1)</f>
        <v>0.158002551414007</v>
      </c>
      <c r="F367" s="30" t="n">
        <f aca="false">1-(1-MIN(1,E367))^(1/12)</f>
        <v>0.014229317124367</v>
      </c>
      <c r="G367" s="39" t="n">
        <f aca="false">IF(C367&lt;Assumptions!$B$5,IF(D367=1,Assumptions!$B$16,IF(D367=2,Assumptions!$B$17,IF(D367&lt;=5,Assumptions!$B$18,Assumptions!$B$19)))*(1-Assumptions!$B$20),0)</f>
        <v>0</v>
      </c>
      <c r="H367" s="30" t="n">
        <f aca="false">1-(1-G367)^(1/12)</f>
        <v>0</v>
      </c>
      <c r="I367" s="30" t="n">
        <f aca="false">I366*(1-F366)*(1-H366)</f>
        <v>0.217698687470757</v>
      </c>
      <c r="J367" s="30" t="n">
        <f aca="false">INDEX(Discount_Monthly!$G$4:$G$664,MATCH(A367,Discount_Monthly!$A$4:$A$664,0))</f>
        <v>0.390507349788569</v>
      </c>
      <c r="K367" s="30" t="n">
        <f aca="false">IF(C367&lt;Assumptions!$B$5,I367*J367,0)</f>
        <v>0</v>
      </c>
      <c r="L367" s="30" t="n">
        <f aca="false">IF(C367&lt;Assumptions!$B$5,I367*(1-F367)*H367*A367*J367,0)</f>
        <v>0</v>
      </c>
      <c r="M367" s="30" t="n">
        <f aca="false">IF(A367=0,Assumptions!$B$14*12*I367*J367,IF(AND(A367&gt;=12,C367&lt;Assumptions!$B$5),Assumptions!$B$15*I367*J367,0))</f>
        <v>0</v>
      </c>
      <c r="N367" s="47" t="n">
        <f aca="false">IF(C367&gt;=Assumptions!$B$5,I367*Assumptions!$B$9/12*(1+Assumptions!$B$10)^INT(A367/12)*J367,0)</f>
        <v>205.318892177628</v>
      </c>
      <c r="O367" s="47" t="n">
        <f aca="false">I367*Assumptions!$B$12/12*(1+Assumptions!$B$11)^(INT(A367/12)+1)*J367</f>
        <v>1.21852260688585</v>
      </c>
      <c r="P367" s="47" t="n">
        <f aca="false">O367+Pricing_M!$B$13*M367+N367-Pricing_M!$B$13*K367</f>
        <v>206.537414784514</v>
      </c>
      <c r="Q367" s="47" t="n">
        <f aca="false">IF(C367&lt;Assumptions!$B$5,Pricing_M!$B$13*K367-Pricing_M!$B$13*M367-O367,-(N367+O367))</f>
        <v>-206.537414784514</v>
      </c>
      <c r="R367" s="32" t="n">
        <f aca="false">R366*(1-(1-(1-MIN(1,E366*(1-Assumptions!$B$21)))^(1/12)))*(1-H366)</f>
        <v>0.286720959507691</v>
      </c>
      <c r="S367" s="47" t="n">
        <f aca="false">R367*(IF(C367&lt;Assumptions!$B$5,Assumptions!$B$12*(1+Assumptions!$B$11)^(INT(A367/12)+1)/12+Pricing_M!$B$13*IF(A367=0,Assumptions!$B$14*12,IF(A367&gt;=12,Assumptions!$B$15,0))-Pricing_M!$B$13,Assumptions!$B$9/12*(1+Assumptions!$B$10)^INT(A367/12)+Assumptions!$B$12*(1+Assumptions!$B$11)^(INT(A367/12)+1)/12))*J367</f>
        <v>272.020959011103</v>
      </c>
      <c r="T367" s="32" t="n">
        <f aca="false">T366*(1-F366)*(1-(1-(1-MIN(1,G366*(1+Assumptions!$B$23)))^(1/12)))</f>
        <v>0.197208637197429</v>
      </c>
      <c r="U367" s="47" t="n">
        <f aca="false">T367*(IF(C367&lt;Assumptions!$B$5,Assumptions!$B$12*(1+Assumptions!$B$11)^(INT(A367/12)+1)/12+Pricing_M!$B$13*IF(A367=0,Assumptions!$B$14*12,IF(A367&gt;=12,Assumptions!$B$15,0))-Pricing_M!$B$13,Assumptions!$B$9/12*(1+Assumptions!$B$10)^INT(A367/12)+Assumptions!$B$12*(1+Assumptions!$B$11)^(INT(A367/12)+1)/12))*J367</f>
        <v>187.097876303941</v>
      </c>
      <c r="V367" s="32" t="n">
        <f aca="false">V366*(1-F366)*(1-(1-(1-MIN(1,G366*(1-Assumptions!$B$23)))^(1/12)))</f>
        <v>0.240097166807333</v>
      </c>
      <c r="W367" s="47" t="n">
        <f aca="false">V367*(IF(C367&lt;Assumptions!$B$5,Assumptions!$B$12*(1+Assumptions!$B$11)^(INT(A367/12)+1)/12+Pricing_M!$B$13*IF(A367=0,Assumptions!$B$14*12,IF(A367&gt;=12,Assumptions!$B$15,0))-Pricing_M!$B$13,Assumptions!$B$9/12*(1+Assumptions!$B$10)^INT(A367/12)+Assumptions!$B$12*(1+Assumptions!$B$11)^(INT(A367/12)+1)/12))*J367</f>
        <v>227.787538388966</v>
      </c>
      <c r="X367" s="47" t="n">
        <f aca="false">I367*(IF(C367&lt;Assumptions!$B$5,Assumptions!$B$12*(1+Assumptions!$B$11)*(1+Assumptions!$B$24)*(1+Assumptions!$B$11+Assumptions!$B$25)^(INT(A367/12))/12+Pricing_M!$B$13*IF(A367=0,Assumptions!$B$14*12,IF(A367&gt;=12,Assumptions!$B$15,0))-Pricing_M!$B$13,Assumptions!$B$9/12*(1+Assumptions!$B$10)^INT(A367/12)+Assumptions!$B$12*(1+Assumptions!$B$11)*(1+Assumptions!$B$24)*(1+Assumptions!$B$11+Assumptions!$B$25)^(INT(A367/12))/12))*J367</f>
        <v>207.112472407304</v>
      </c>
    </row>
    <row r="368" customFormat="false" ht="15" hidden="false" customHeight="true" outlineLevel="0" collapsed="false">
      <c r="A368" s="1" t="n">
        <v>361</v>
      </c>
      <c r="B368" s="31" t="n">
        <f aca="false">Assumptions!$B$4+A368/12</f>
        <v>95.0833333333333</v>
      </c>
      <c r="C368" s="34" t="n">
        <f aca="false">Assumptions!$B$4+INT(A368/12)</f>
        <v>95</v>
      </c>
      <c r="D368" s="34" t="n">
        <f aca="false">INT(A368/12)+1</f>
        <v>31</v>
      </c>
      <c r="E368" s="32" t="n">
        <f aca="false">IFERROR(INDEX(Cohort_Survival!$G$5:$G$65,MATCH(C368,Cohort_Survival!$A$5:$A$65,0)),1)</f>
        <v>0.158002551414007</v>
      </c>
      <c r="F368" s="30" t="n">
        <f aca="false">1-(1-MIN(1,E368))^(1/12)</f>
        <v>0.014229317124367</v>
      </c>
      <c r="G368" s="39" t="n">
        <f aca="false">IF(C368&lt;Assumptions!$B$5,IF(D368=1,Assumptions!$B$16,IF(D368=2,Assumptions!$B$17,IF(D368&lt;=5,Assumptions!$B$18,Assumptions!$B$19)))*(1-Assumptions!$B$20),0)</f>
        <v>0</v>
      </c>
      <c r="H368" s="30" t="n">
        <f aca="false">1-(1-G368)^(1/12)</f>
        <v>0</v>
      </c>
      <c r="I368" s="30" t="n">
        <f aca="false">I367*(1-F367)*(1-H367)</f>
        <v>0.214600983809178</v>
      </c>
      <c r="J368" s="30" t="n">
        <f aca="false">INDEX(Discount_Monthly!$G$4:$G$664,MATCH(A368,Discount_Monthly!$A$4:$A$664,0))</f>
        <v>0.389478936873082</v>
      </c>
      <c r="K368" s="30" t="n">
        <f aca="false">IF(C368&lt;Assumptions!$B$5,I368*J368,0)</f>
        <v>0</v>
      </c>
      <c r="L368" s="30" t="n">
        <f aca="false">IF(C368&lt;Assumptions!$B$5,I368*(1-F368)*H368*A368*J368,0)</f>
        <v>0</v>
      </c>
      <c r="M368" s="30" t="n">
        <f aca="false">IF(A368=0,Assumptions!$B$14*12*I368*J368,IF(AND(A368&gt;=12,C368&lt;Assumptions!$B$5),Assumptions!$B$15*I368*J368,0))</f>
        <v>0</v>
      </c>
      <c r="N368" s="47" t="n">
        <f aca="false">IF(C368&gt;=Assumptions!$B$5,I368*Assumptions!$B$9/12*(1+Assumptions!$B$10)^INT(A368/12)*J368,0)</f>
        <v>201.864325021389</v>
      </c>
      <c r="O368" s="47" t="n">
        <f aca="false">I368*Assumptions!$B$12/12*(1+Assumptions!$B$11)^(INT(A368/12)+1)*J368</f>
        <v>1.19802050826143</v>
      </c>
      <c r="P368" s="47" t="n">
        <f aca="false">O368+Pricing_M!$B$13*M368+N368-Pricing_M!$B$13*K368</f>
        <v>203.06234552965</v>
      </c>
      <c r="Q368" s="47" t="n">
        <f aca="false">IF(C368&lt;Assumptions!$B$5,Pricing_M!$B$13*K368-Pricing_M!$B$13*M368-O368,-(N368+O368))</f>
        <v>-203.06234552965</v>
      </c>
      <c r="R368" s="32" t="n">
        <f aca="false">R367*(1-(1-(1-MIN(1,E367*(1-Assumptions!$B$21)))^(1/12)))*(1-H367)</f>
        <v>0.283510235169581</v>
      </c>
      <c r="S368" s="47" t="n">
        <f aca="false">R368*(IF(C368&lt;Assumptions!$B$5,Assumptions!$B$12*(1+Assumptions!$B$11)^(INT(A368/12)+1)/12+Pricing_M!$B$13*IF(A368=0,Assumptions!$B$14*12,IF(A368&gt;=12,Assumptions!$B$15,0))-Pricing_M!$B$13,Assumptions!$B$9/12*(1+Assumptions!$B$10)^INT(A368/12)+Assumptions!$B$12*(1+Assumptions!$B$11)^(INT(A368/12)+1)/12))*J368</f>
        <v>268.266493066915</v>
      </c>
      <c r="T368" s="32" t="n">
        <f aca="false">T367*(1-F367)*(1-(1-(1-MIN(1,G367*(1+Assumptions!$B$23)))^(1/12)))</f>
        <v>0.194402492959083</v>
      </c>
      <c r="U368" s="47" t="n">
        <f aca="false">T368*(IF(C368&lt;Assumptions!$B$5,Assumptions!$B$12*(1+Assumptions!$B$11)^(INT(A368/12)+1)/12+Pricing_M!$B$13*IF(A368=0,Assumptions!$B$14*12,IF(A368&gt;=12,Assumptions!$B$15,0))-Pricing_M!$B$13,Assumptions!$B$9/12*(1+Assumptions!$B$10)^INT(A368/12)+Assumptions!$B$12*(1+Assumptions!$B$11)^(INT(A368/12)+1)/12))*J368</f>
        <v>183.949884554977</v>
      </c>
      <c r="V368" s="32" t="n">
        <f aca="false">V367*(1-F367)*(1-(1-(1-MIN(1,G367*(1-Assumptions!$B$23)))^(1/12)))</f>
        <v>0.236680748080169</v>
      </c>
      <c r="W368" s="47" t="n">
        <f aca="false">V368*(IF(C368&lt;Assumptions!$B$5,Assumptions!$B$12*(1+Assumptions!$B$11)^(INT(A368/12)+1)/12+Pricing_M!$B$13*IF(A368=0,Assumptions!$B$14*12,IF(A368&gt;=12,Assumptions!$B$15,0))-Pricing_M!$B$13,Assumptions!$B$9/12*(1+Assumptions!$B$10)^INT(A368/12)+Assumptions!$B$12*(1+Assumptions!$B$11)^(INT(A368/12)+1)/12))*J368</f>
        <v>223.954927856281</v>
      </c>
      <c r="X368" s="47" t="n">
        <f aca="false">I368*(IF(C368&lt;Assumptions!$B$5,Assumptions!$B$12*(1+Assumptions!$B$11)*(1+Assumptions!$B$24)*(1+Assumptions!$B$11+Assumptions!$B$25)^(INT(A368/12))/12+Pricing_M!$B$13*IF(A368=0,Assumptions!$B$14*12,IF(A368&gt;=12,Assumptions!$B$15,0))-Pricing_M!$B$13,Assumptions!$B$9/12*(1+Assumptions!$B$10)^INT(A368/12)+Assumptions!$B$12*(1+Assumptions!$B$11)*(1+Assumptions!$B$24)*(1+Assumptions!$B$11+Assumptions!$B$25)^(INT(A368/12))/12))*J368</f>
        <v>203.627727592848</v>
      </c>
    </row>
    <row r="369" customFormat="false" ht="15" hidden="false" customHeight="true" outlineLevel="0" collapsed="false">
      <c r="A369" s="1" t="n">
        <v>362</v>
      </c>
      <c r="B369" s="31" t="n">
        <f aca="false">Assumptions!$B$4+A369/12</f>
        <v>95.1666666666667</v>
      </c>
      <c r="C369" s="34" t="n">
        <f aca="false">Assumptions!$B$4+INT(A369/12)</f>
        <v>95</v>
      </c>
      <c r="D369" s="34" t="n">
        <f aca="false">INT(A369/12)+1</f>
        <v>31</v>
      </c>
      <c r="E369" s="32" t="n">
        <f aca="false">IFERROR(INDEX(Cohort_Survival!$G$5:$G$65,MATCH(C369,Cohort_Survival!$A$5:$A$65,0)),1)</f>
        <v>0.158002551414007</v>
      </c>
      <c r="F369" s="30" t="n">
        <f aca="false">1-(1-MIN(1,E369))^(1/12)</f>
        <v>0.014229317124367</v>
      </c>
      <c r="G369" s="39" t="n">
        <f aca="false">IF(C369&lt;Assumptions!$B$5,IF(D369=1,Assumptions!$B$16,IF(D369=2,Assumptions!$B$17,IF(D369&lt;=5,Assumptions!$B$18,Assumptions!$B$19)))*(1-Assumptions!$B$20),0)</f>
        <v>0</v>
      </c>
      <c r="H369" s="30" t="n">
        <f aca="false">1-(1-G369)^(1/12)</f>
        <v>0</v>
      </c>
      <c r="I369" s="30" t="n">
        <f aca="false">I368*(1-F368)*(1-H368)</f>
        <v>0.211547358355356</v>
      </c>
      <c r="J369" s="30" t="n">
        <f aca="false">INDEX(Discount_Monthly!$G$4:$G$664,MATCH(A369,Discount_Monthly!$A$4:$A$664,0))</f>
        <v>0.38845323231411</v>
      </c>
      <c r="K369" s="30" t="n">
        <f aca="false">IF(C369&lt;Assumptions!$B$5,I369*J369,0)</f>
        <v>0</v>
      </c>
      <c r="L369" s="30" t="n">
        <f aca="false">IF(C369&lt;Assumptions!$B$5,I369*(1-F369)*H369*A369*J369,0)</f>
        <v>0</v>
      </c>
      <c r="M369" s="30" t="n">
        <f aca="false">IF(A369=0,Assumptions!$B$14*12*I369*J369,IF(AND(A369&gt;=12,C369&lt;Assumptions!$B$5),Assumptions!$B$15*I369*J369,0))</f>
        <v>0</v>
      </c>
      <c r="N369" s="47" t="n">
        <f aca="false">IF(C369&gt;=Assumptions!$B$5,I369*Assumptions!$B$9/12*(1+Assumptions!$B$10)^INT(A369/12)*J369,0)</f>
        <v>198.467882249664</v>
      </c>
      <c r="O369" s="47" t="n">
        <f aca="false">I369*Assumptions!$B$12/12*(1+Assumptions!$B$11)^(INT(A369/12)+1)*J369</f>
        <v>1.17786336511475</v>
      </c>
      <c r="P369" s="47" t="n">
        <f aca="false">O369+Pricing_M!$B$13*M369+N369-Pricing_M!$B$13*K369</f>
        <v>199.645745614778</v>
      </c>
      <c r="Q369" s="47" t="n">
        <f aca="false">IF(C369&lt;Assumptions!$B$5,Pricing_M!$B$13*K369-Pricing_M!$B$13*M369-O369,-(N369+O369))</f>
        <v>-199.645745614778</v>
      </c>
      <c r="R369" s="32" t="n">
        <f aca="false">R368*(1-(1-(1-MIN(1,E368*(1-Assumptions!$B$21)))^(1/12)))*(1-H368)</f>
        <v>0.280335464780541</v>
      </c>
      <c r="S369" s="47" t="n">
        <f aca="false">R369*(IF(C369&lt;Assumptions!$B$5,Assumptions!$B$12*(1+Assumptions!$B$11)^(INT(A369/12)+1)/12+Pricing_M!$B$13*IF(A369=0,Assumptions!$B$14*12,IF(A369&gt;=12,Assumptions!$B$15,0))-Pricing_M!$B$13,Assumptions!$B$9/12*(1+Assumptions!$B$10)^INT(A369/12)+Assumptions!$B$12*(1+Assumptions!$B$11)^(INT(A369/12)+1)/12))*J369</f>
        <v>264.563846712576</v>
      </c>
      <c r="T369" s="32" t="n">
        <f aca="false">T368*(1-F368)*(1-(1-(1-MIN(1,G368*(1+Assumptions!$B$23)))^(1/12)))</f>
        <v>0.191636278237</v>
      </c>
      <c r="U369" s="47" t="n">
        <f aca="false">T369*(IF(C369&lt;Assumptions!$B$5,Assumptions!$B$12*(1+Assumptions!$B$11)^(INT(A369/12)+1)/12+Pricing_M!$B$13*IF(A369=0,Assumptions!$B$14*12,IF(A369&gt;=12,Assumptions!$B$15,0))-Pricing_M!$B$13,Assumptions!$B$9/12*(1+Assumptions!$B$10)^INT(A369/12)+Assumptions!$B$12*(1+Assumptions!$B$11)^(INT(A369/12)+1)/12))*J369</f>
        <v>180.85485894463</v>
      </c>
      <c r="V369" s="32" t="n">
        <f aca="false">V368*(1-F368)*(1-(1-(1-MIN(1,G368*(1-Assumptions!$B$23)))^(1/12)))</f>
        <v>0.233312942658504</v>
      </c>
      <c r="W369" s="47" t="n">
        <f aca="false">V369*(IF(C369&lt;Assumptions!$B$5,Assumptions!$B$12*(1+Assumptions!$B$11)^(INT(A369/12)+1)/12+Pricing_M!$B$13*IF(A369=0,Assumptions!$B$14*12,IF(A369&gt;=12,Assumptions!$B$15,0))-Pricing_M!$B$13,Assumptions!$B$9/12*(1+Assumptions!$B$10)^INT(A369/12)+Assumptions!$B$12*(1+Assumptions!$B$11)^(INT(A369/12)+1)/12))*J369</f>
        <v>220.186802429319</v>
      </c>
      <c r="X369" s="47" t="n">
        <f aca="false">I369*(IF(C369&lt;Assumptions!$B$5,Assumptions!$B$12*(1+Assumptions!$B$11)*(1+Assumptions!$B$24)*(1+Assumptions!$B$11+Assumptions!$B$25)^(INT(A369/12))/12+Pricing_M!$B$13*IF(A369=0,Assumptions!$B$14*12,IF(A369&gt;=12,Assumptions!$B$15,0))-Pricing_M!$B$13,Assumptions!$B$9/12*(1+Assumptions!$B$10)^INT(A369/12)+Assumptions!$B$12*(1+Assumptions!$B$11)*(1+Assumptions!$B$24)*(1+Assumptions!$B$11+Assumptions!$B$25)^(INT(A369/12))/12))*J369</f>
        <v>200.201614913293</v>
      </c>
    </row>
    <row r="370" customFormat="false" ht="15" hidden="false" customHeight="true" outlineLevel="0" collapsed="false">
      <c r="A370" s="1" t="n">
        <v>363</v>
      </c>
      <c r="B370" s="31" t="n">
        <f aca="false">Assumptions!$B$4+A370/12</f>
        <v>95.25</v>
      </c>
      <c r="C370" s="34" t="n">
        <f aca="false">Assumptions!$B$4+INT(A370/12)</f>
        <v>95</v>
      </c>
      <c r="D370" s="34" t="n">
        <f aca="false">INT(A370/12)+1</f>
        <v>31</v>
      </c>
      <c r="E370" s="32" t="n">
        <f aca="false">IFERROR(INDEX(Cohort_Survival!$G$5:$G$65,MATCH(C370,Cohort_Survival!$A$5:$A$65,0)),1)</f>
        <v>0.158002551414007</v>
      </c>
      <c r="F370" s="30" t="n">
        <f aca="false">1-(1-MIN(1,E370))^(1/12)</f>
        <v>0.014229317124367</v>
      </c>
      <c r="G370" s="39" t="n">
        <f aca="false">IF(C370&lt;Assumptions!$B$5,IF(D370=1,Assumptions!$B$16,IF(D370=2,Assumptions!$B$17,IF(D370&lt;=5,Assumptions!$B$18,Assumptions!$B$19)))*(1-Assumptions!$B$20),0)</f>
        <v>0</v>
      </c>
      <c r="H370" s="30" t="n">
        <f aca="false">1-(1-G370)^(1/12)</f>
        <v>0</v>
      </c>
      <c r="I370" s="30" t="n">
        <f aca="false">I369*(1-F369)*(1-H369)</f>
        <v>0.208537183906495</v>
      </c>
      <c r="J370" s="30" t="n">
        <f aca="false">INDEX(Discount_Monthly!$G$4:$G$664,MATCH(A370,Discount_Monthly!$A$4:$A$664,0))</f>
        <v>0.387430228979113</v>
      </c>
      <c r="K370" s="30" t="n">
        <f aca="false">IF(C370&lt;Assumptions!$B$5,I370*J370,0)</f>
        <v>0</v>
      </c>
      <c r="L370" s="30" t="n">
        <f aca="false">IF(C370&lt;Assumptions!$B$5,I370*(1-F370)*H370*A370*J370,0)</f>
        <v>0</v>
      </c>
      <c r="M370" s="30" t="n">
        <f aca="false">IF(A370=0,Assumptions!$B$14*12*I370*J370,IF(AND(A370&gt;=12,C370&lt;Assumptions!$B$5),Assumptions!$B$15*I370*J370,0))</f>
        <v>0</v>
      </c>
      <c r="N370" s="47" t="n">
        <f aca="false">IF(C370&gt;=Assumptions!$B$5,I370*Assumptions!$B$9/12*(1+Assumptions!$B$10)^INT(A370/12)*J370,0)</f>
        <v>195.128585897943</v>
      </c>
      <c r="O370" s="47" t="n">
        <f aca="false">I370*Assumptions!$B$12/12*(1+Assumptions!$B$11)^(INT(A370/12)+1)*J370</f>
        <v>1.15804537344089</v>
      </c>
      <c r="P370" s="47" t="n">
        <f aca="false">O370+Pricing_M!$B$13*M370+N370-Pricing_M!$B$13*K370</f>
        <v>196.286631271384</v>
      </c>
      <c r="Q370" s="47" t="n">
        <f aca="false">IF(C370&lt;Assumptions!$B$5,Pricing_M!$B$13*K370-Pricing_M!$B$13*M370-O370,-(N370+O370))</f>
        <v>-196.286631271384</v>
      </c>
      <c r="R370" s="32" t="n">
        <f aca="false">R369*(1-(1-(1-MIN(1,E369*(1-Assumptions!$B$21)))^(1/12)))*(1-H369)</f>
        <v>0.277196245725361</v>
      </c>
      <c r="S370" s="47" t="n">
        <f aca="false">R370*(IF(C370&lt;Assumptions!$B$5,Assumptions!$B$12*(1+Assumptions!$B$11)^(INT(A370/12)+1)/12+Pricing_M!$B$13*IF(A370=0,Assumptions!$B$14*12,IF(A370&gt;=12,Assumptions!$B$15,0))-Pricing_M!$B$13,Assumptions!$B$9/12*(1+Assumptions!$B$10)^INT(A370/12)+Assumptions!$B$12*(1+Assumptions!$B$11)^(INT(A370/12)+1)/12))*J370</f>
        <v>260.912304727882</v>
      </c>
      <c r="T370" s="32" t="n">
        <f aca="false">T369*(1-F369)*(1-(1-(1-MIN(1,G369*(1+Assumptions!$B$23)))^(1/12)))</f>
        <v>0.188909424861433</v>
      </c>
      <c r="U370" s="47" t="n">
        <f aca="false">T370*(IF(C370&lt;Assumptions!$B$5,Assumptions!$B$12*(1+Assumptions!$B$11)^(INT(A370/12)+1)/12+Pricing_M!$B$13*IF(A370=0,Assumptions!$B$14*12,IF(A370&gt;=12,Assumptions!$B$15,0))-Pricing_M!$B$13,Assumptions!$B$9/12*(1+Assumptions!$B$10)^INT(A370/12)+Assumptions!$B$12*(1+Assumptions!$B$11)^(INT(A370/12)+1)/12))*J370</f>
        <v>177.81190829781</v>
      </c>
      <c r="V370" s="32" t="n">
        <f aca="false">V369*(1-F369)*(1-(1-(1-MIN(1,G369*(1-Assumptions!$B$23)))^(1/12)))</f>
        <v>0.229993058808197</v>
      </c>
      <c r="W370" s="47" t="n">
        <f aca="false">V370*(IF(C370&lt;Assumptions!$B$5,Assumptions!$B$12*(1+Assumptions!$B$11)^(INT(A370/12)+1)/12+Pricing_M!$B$13*IF(A370=0,Assumptions!$B$14*12,IF(A370&gt;=12,Assumptions!$B$15,0))-Pricing_M!$B$13,Assumptions!$B$9/12*(1+Assumptions!$B$10)^INT(A370/12)+Assumptions!$B$12*(1+Assumptions!$B$11)^(INT(A370/12)+1)/12))*J370</f>
        <v>216.482077122056</v>
      </c>
      <c r="X370" s="47" t="n">
        <f aca="false">I370*(IF(C370&lt;Assumptions!$B$5,Assumptions!$B$12*(1+Assumptions!$B$11)*(1+Assumptions!$B$24)*(1+Assumptions!$B$11+Assumptions!$B$25)^(INT(A370/12))/12+Pricing_M!$B$13*IF(A370=0,Assumptions!$B$14*12,IF(A370&gt;=12,Assumptions!$B$15,0))-Pricing_M!$B$13,Assumptions!$B$9/12*(1+Assumptions!$B$10)^INT(A370/12)+Assumptions!$B$12*(1+Assumptions!$B$11)*(1+Assumptions!$B$24)*(1+Assumptions!$B$11+Assumptions!$B$25)^(INT(A370/12))/12))*J370</f>
        <v>196.833147861039</v>
      </c>
    </row>
    <row r="371" customFormat="false" ht="15" hidden="false" customHeight="true" outlineLevel="0" collapsed="false">
      <c r="A371" s="1" t="n">
        <v>364</v>
      </c>
      <c r="B371" s="31" t="n">
        <f aca="false">Assumptions!$B$4+A371/12</f>
        <v>95.3333333333333</v>
      </c>
      <c r="C371" s="34" t="n">
        <f aca="false">Assumptions!$B$4+INT(A371/12)</f>
        <v>95</v>
      </c>
      <c r="D371" s="34" t="n">
        <f aca="false">INT(A371/12)+1</f>
        <v>31</v>
      </c>
      <c r="E371" s="32" t="n">
        <f aca="false">IFERROR(INDEX(Cohort_Survival!$G$5:$G$65,MATCH(C371,Cohort_Survival!$A$5:$A$65,0)),1)</f>
        <v>0.158002551414007</v>
      </c>
      <c r="F371" s="30" t="n">
        <f aca="false">1-(1-MIN(1,E371))^(1/12)</f>
        <v>0.014229317124367</v>
      </c>
      <c r="G371" s="39" t="n">
        <f aca="false">IF(C371&lt;Assumptions!$B$5,IF(D371=1,Assumptions!$B$16,IF(D371=2,Assumptions!$B$17,IF(D371&lt;=5,Assumptions!$B$18,Assumptions!$B$19)))*(1-Assumptions!$B$20),0)</f>
        <v>0</v>
      </c>
      <c r="H371" s="30" t="n">
        <f aca="false">1-(1-G371)^(1/12)</f>
        <v>0</v>
      </c>
      <c r="I371" s="30" t="n">
        <f aca="false">I370*(1-F370)*(1-H370)</f>
        <v>0.205569842184467</v>
      </c>
      <c r="J371" s="30" t="n">
        <f aca="false">INDEX(Discount_Monthly!$G$4:$G$664,MATCH(A371,Discount_Monthly!$A$4:$A$664,0))</f>
        <v>0.386409919754337</v>
      </c>
      <c r="K371" s="30" t="n">
        <f aca="false">IF(C371&lt;Assumptions!$B$5,I371*J371,0)</f>
        <v>0</v>
      </c>
      <c r="L371" s="30" t="n">
        <f aca="false">IF(C371&lt;Assumptions!$B$5,I371*(1-F371)*H371*A371*J371,0)</f>
        <v>0</v>
      </c>
      <c r="M371" s="30" t="n">
        <f aca="false">IF(A371=0,Assumptions!$B$14*12*I371*J371,IF(AND(A371&gt;=12,C371&lt;Assumptions!$B$5),Assumptions!$B$15*I371*J371,0))</f>
        <v>0</v>
      </c>
      <c r="N371" s="47" t="n">
        <f aca="false">IF(C371&gt;=Assumptions!$B$5,I371*Assumptions!$B$9/12*(1+Assumptions!$B$10)^INT(A371/12)*J371,0)</f>
        <v>191.845474456336</v>
      </c>
      <c r="O371" s="47" t="n">
        <f aca="false">I371*Assumptions!$B$12/12*(1+Assumptions!$B$11)^(INT(A371/12)+1)*J371</f>
        <v>1.13856082688946</v>
      </c>
      <c r="P371" s="47" t="n">
        <f aca="false">O371+Pricing_M!$B$13*M371+N371-Pricing_M!$B$13*K371</f>
        <v>192.984035283225</v>
      </c>
      <c r="Q371" s="47" t="n">
        <f aca="false">IF(C371&lt;Assumptions!$B$5,Pricing_M!$B$13*K371-Pricing_M!$B$13*M371-O371,-(N371+O371))</f>
        <v>-192.984035283225</v>
      </c>
      <c r="R371" s="32" t="n">
        <f aca="false">R370*(1-(1-(1-MIN(1,E370*(1-Assumptions!$B$21)))^(1/12)))*(1-H370)</f>
        <v>0.274092179897348</v>
      </c>
      <c r="S371" s="47" t="n">
        <f aca="false">R371*(IF(C371&lt;Assumptions!$B$5,Assumptions!$B$12*(1+Assumptions!$B$11)^(INT(A371/12)+1)/12+Pricing_M!$B$13*IF(A371=0,Assumptions!$B$14*12,IF(A371&gt;=12,Assumptions!$B$15,0))-Pricing_M!$B$13,Assumptions!$B$9/12*(1+Assumptions!$B$10)^INT(A371/12)+Assumptions!$B$12*(1+Assumptions!$B$11)^(INT(A371/12)+1)/12))*J371</f>
        <v>257.311161764187</v>
      </c>
      <c r="T371" s="32" t="n">
        <f aca="false">T370*(1-F370)*(1-(1-(1-MIN(1,G370*(1+Assumptions!$B$23)))^(1/12)))</f>
        <v>0.186221372747297</v>
      </c>
      <c r="U371" s="47" t="n">
        <f aca="false">T371*(IF(C371&lt;Assumptions!$B$5,Assumptions!$B$12*(1+Assumptions!$B$11)^(INT(A371/12)+1)/12+Pricing_M!$B$13*IF(A371=0,Assumptions!$B$14*12,IF(A371&gt;=12,Assumptions!$B$15,0))-Pricing_M!$B$13,Assumptions!$B$9/12*(1+Assumptions!$B$10)^INT(A371/12)+Assumptions!$B$12*(1+Assumptions!$B$11)^(INT(A371/12)+1)/12))*J371</f>
        <v>174.820156433775</v>
      </c>
      <c r="V371" s="32" t="n">
        <f aca="false">V370*(1-F370)*(1-(1-(1-MIN(1,G370*(1-Assumptions!$B$23)))^(1/12)))</f>
        <v>0.226720414638012</v>
      </c>
      <c r="W371" s="47" t="n">
        <f aca="false">V371*(IF(C371&lt;Assumptions!$B$5,Assumptions!$B$12*(1+Assumptions!$B$11)^(INT(A371/12)+1)/12+Pricing_M!$B$13*IF(A371=0,Assumptions!$B$14*12,IF(A371&gt;=12,Assumptions!$B$15,0))-Pricing_M!$B$13,Assumptions!$B$9/12*(1+Assumptions!$B$10)^INT(A371/12)+Assumptions!$B$12*(1+Assumptions!$B$11)^(INT(A371/12)+1)/12))*J371</f>
        <v>212.839685203764</v>
      </c>
      <c r="X371" s="47" t="n">
        <f aca="false">I371*(IF(C371&lt;Assumptions!$B$5,Assumptions!$B$12*(1+Assumptions!$B$11)*(1+Assumptions!$B$24)*(1+Assumptions!$B$11+Assumptions!$B$25)^(INT(A371/12))/12+Pricing_M!$B$13*IF(A371=0,Assumptions!$B$14*12,IF(A371&gt;=12,Assumptions!$B$15,0))-Pricing_M!$B$13,Assumptions!$B$9/12*(1+Assumptions!$B$10)^INT(A371/12)+Assumptions!$B$12*(1+Assumptions!$B$11)*(1+Assumptions!$B$24)*(1+Assumptions!$B$11+Assumptions!$B$25)^(INT(A371/12))/12))*J371</f>
        <v>193.521356526846</v>
      </c>
    </row>
    <row r="372" customFormat="false" ht="15" hidden="false" customHeight="true" outlineLevel="0" collapsed="false">
      <c r="A372" s="1" t="n">
        <v>365</v>
      </c>
      <c r="B372" s="31" t="n">
        <f aca="false">Assumptions!$B$4+A372/12</f>
        <v>95.4166666666667</v>
      </c>
      <c r="C372" s="34" t="n">
        <f aca="false">Assumptions!$B$4+INT(A372/12)</f>
        <v>95</v>
      </c>
      <c r="D372" s="34" t="n">
        <f aca="false">INT(A372/12)+1</f>
        <v>31</v>
      </c>
      <c r="E372" s="32" t="n">
        <f aca="false">IFERROR(INDEX(Cohort_Survival!$G$5:$G$65,MATCH(C372,Cohort_Survival!$A$5:$A$65,0)),1)</f>
        <v>0.158002551414007</v>
      </c>
      <c r="F372" s="30" t="n">
        <f aca="false">1-(1-MIN(1,E372))^(1/12)</f>
        <v>0.014229317124367</v>
      </c>
      <c r="G372" s="39" t="n">
        <f aca="false">IF(C372&lt;Assumptions!$B$5,IF(D372=1,Assumptions!$B$16,IF(D372=2,Assumptions!$B$17,IF(D372&lt;=5,Assumptions!$B$18,Assumptions!$B$19)))*(1-Assumptions!$B$20),0)</f>
        <v>0</v>
      </c>
      <c r="H372" s="30" t="n">
        <f aca="false">1-(1-G372)^(1/12)</f>
        <v>0</v>
      </c>
      <c r="I372" s="30" t="n">
        <f aca="false">I371*(1-F371)*(1-H371)</f>
        <v>0.202644723708818</v>
      </c>
      <c r="J372" s="30" t="n">
        <f aca="false">INDEX(Discount_Monthly!$G$4:$G$664,MATCH(A372,Discount_Monthly!$A$4:$A$664,0))</f>
        <v>0.385392297544761</v>
      </c>
      <c r="K372" s="30" t="n">
        <f aca="false">IF(C372&lt;Assumptions!$B$5,I372*J372,0)</f>
        <v>0</v>
      </c>
      <c r="L372" s="30" t="n">
        <f aca="false">IF(C372&lt;Assumptions!$B$5,I372*(1-F372)*H372*A372*J372,0)</f>
        <v>0</v>
      </c>
      <c r="M372" s="30" t="n">
        <f aca="false">IF(A372=0,Assumptions!$B$14*12*I372*J372,IF(AND(A372&gt;=12,C372&lt;Assumptions!$B$5),Assumptions!$B$15*I372*J372,0))</f>
        <v>0</v>
      </c>
      <c r="N372" s="47" t="n">
        <f aca="false">IF(C372&gt;=Assumptions!$B$5,I372*Assumptions!$B$9/12*(1+Assumptions!$B$10)^INT(A372/12)*J372,0)</f>
        <v>188.617602592715</v>
      </c>
      <c r="O372" s="47" t="n">
        <f aca="false">I372*Assumptions!$B$12/12*(1+Assumptions!$B$11)^(INT(A372/12)+1)*J372</f>
        <v>1.11940411512155</v>
      </c>
      <c r="P372" s="47" t="n">
        <f aca="false">O372+Pricing_M!$B$13*M372+N372-Pricing_M!$B$13*K372</f>
        <v>189.737006707836</v>
      </c>
      <c r="Q372" s="47" t="n">
        <f aca="false">IF(C372&lt;Assumptions!$B$5,Pricing_M!$B$13*K372-Pricing_M!$B$13*M372-O372,-(N372+O372))</f>
        <v>-189.737006707836</v>
      </c>
      <c r="R372" s="32" t="n">
        <f aca="false">R371*(1-(1-(1-MIN(1,E371*(1-Assumptions!$B$21)))^(1/12)))*(1-H371)</f>
        <v>0.27102287364784</v>
      </c>
      <c r="S372" s="47" t="n">
        <f aca="false">R372*(IF(C372&lt;Assumptions!$B$5,Assumptions!$B$12*(1+Assumptions!$B$11)^(INT(A372/12)+1)/12+Pricing_M!$B$13*IF(A372=0,Assumptions!$B$14*12,IF(A372&gt;=12,Assumptions!$B$15,0))-Pricing_M!$B$13,Assumptions!$B$9/12*(1+Assumptions!$B$10)^INT(A372/12)+Assumptions!$B$12*(1+Assumptions!$B$11)^(INT(A372/12)+1)/12))*J372</f>
        <v>253.759722208151</v>
      </c>
      <c r="T372" s="32" t="n">
        <f aca="false">T371*(1-F371)*(1-(1-(1-MIN(1,G371*(1+Assumptions!$B$23)))^(1/12)))</f>
        <v>0.183571569779141</v>
      </c>
      <c r="U372" s="47" t="n">
        <f aca="false">T372*(IF(C372&lt;Assumptions!$B$5,Assumptions!$B$12*(1+Assumptions!$B$11)^(INT(A372/12)+1)/12+Pricing_M!$B$13*IF(A372=0,Assumptions!$B$14*12,IF(A372&gt;=12,Assumptions!$B$15,0))-Pricing_M!$B$13,Assumptions!$B$9/12*(1+Assumptions!$B$10)^INT(A372/12)+Assumptions!$B$12*(1+Assumptions!$B$11)^(INT(A372/12)+1)/12))*J372</f>
        <v>171.878741913857</v>
      </c>
      <c r="V372" s="32" t="n">
        <f aca="false">V371*(1-F371)*(1-(1-(1-MIN(1,G371*(1-Assumptions!$B$23)))^(1/12)))</f>
        <v>0.22349433795956</v>
      </c>
      <c r="W372" s="47" t="n">
        <f aca="false">V372*(IF(C372&lt;Assumptions!$B$5,Assumptions!$B$12*(1+Assumptions!$B$11)^(INT(A372/12)+1)/12+Pricing_M!$B$13*IF(A372=0,Assumptions!$B$14*12,IF(A372&gt;=12,Assumptions!$B$15,0))-Pricing_M!$B$13,Assumptions!$B$9/12*(1+Assumptions!$B$10)^INT(A372/12)+Assumptions!$B$12*(1+Assumptions!$B$11)^(INT(A372/12)+1)/12))*J372</f>
        <v>209.258577891861</v>
      </c>
      <c r="X372" s="47" t="n">
        <f aca="false">I372*(IF(C372&lt;Assumptions!$B$5,Assumptions!$B$12*(1+Assumptions!$B$11)*(1+Assumptions!$B$24)*(1+Assumptions!$B$11+Assumptions!$B$25)^(INT(A372/12))/12+Pricing_M!$B$13*IF(A372=0,Assumptions!$B$14*12,IF(A372&gt;=12,Assumptions!$B$15,0))-Pricing_M!$B$13,Assumptions!$B$9/12*(1+Assumptions!$B$10)^INT(A372/12)+Assumptions!$B$12*(1+Assumptions!$B$11)*(1+Assumptions!$B$24)*(1+Assumptions!$B$11+Assumptions!$B$25)^(INT(A372/12))/12))*J372</f>
        <v>190.265287320559</v>
      </c>
    </row>
    <row r="373" customFormat="false" ht="15" hidden="false" customHeight="true" outlineLevel="0" collapsed="false">
      <c r="A373" s="1" t="n">
        <v>366</v>
      </c>
      <c r="B373" s="31" t="n">
        <f aca="false">Assumptions!$B$4+A373/12</f>
        <v>95.5</v>
      </c>
      <c r="C373" s="34" t="n">
        <f aca="false">Assumptions!$B$4+INT(A373/12)</f>
        <v>95</v>
      </c>
      <c r="D373" s="34" t="n">
        <f aca="false">INT(A373/12)+1</f>
        <v>31</v>
      </c>
      <c r="E373" s="32" t="n">
        <f aca="false">IFERROR(INDEX(Cohort_Survival!$G$5:$G$65,MATCH(C373,Cohort_Survival!$A$5:$A$65,0)),1)</f>
        <v>0.158002551414007</v>
      </c>
      <c r="F373" s="30" t="n">
        <f aca="false">1-(1-MIN(1,E373))^(1/12)</f>
        <v>0.014229317124367</v>
      </c>
      <c r="G373" s="39" t="n">
        <f aca="false">IF(C373&lt;Assumptions!$B$5,IF(D373=1,Assumptions!$B$16,IF(D373=2,Assumptions!$B$17,IF(D373&lt;=5,Assumptions!$B$18,Assumptions!$B$19)))*(1-Assumptions!$B$20),0)</f>
        <v>0</v>
      </c>
      <c r="H373" s="30" t="n">
        <f aca="false">1-(1-G373)^(1/12)</f>
        <v>0</v>
      </c>
      <c r="I373" s="30" t="n">
        <f aca="false">I372*(1-F372)*(1-H372)</f>
        <v>0.199761227671586</v>
      </c>
      <c r="J373" s="30" t="n">
        <f aca="false">INDEX(Discount_Monthly!$G$4:$G$664,MATCH(A373,Discount_Monthly!$A$4:$A$664,0))</f>
        <v>0.384377355274049</v>
      </c>
      <c r="K373" s="30" t="n">
        <f aca="false">IF(C373&lt;Assumptions!$B$5,I373*J373,0)</f>
        <v>0</v>
      </c>
      <c r="L373" s="30" t="n">
        <f aca="false">IF(C373&lt;Assumptions!$B$5,I373*(1-F373)*H373*A373*J373,0)</f>
        <v>0</v>
      </c>
      <c r="M373" s="30" t="n">
        <f aca="false">IF(A373=0,Assumptions!$B$14*12*I373*J373,IF(AND(A373&gt;=12,C373&lt;Assumptions!$B$5),Assumptions!$B$15*I373*J373,0))</f>
        <v>0</v>
      </c>
      <c r="N373" s="47" t="n">
        <f aca="false">IF(C373&gt;=Assumptions!$B$5,I373*Assumptions!$B$9/12*(1+Assumptions!$B$10)^INT(A373/12)*J373,0)</f>
        <v>185.444040880519</v>
      </c>
      <c r="O373" s="47" t="n">
        <f aca="false">I373*Assumptions!$B$12/12*(1+Assumptions!$B$11)^(INT(A373/12)+1)*J373</f>
        <v>1.10056972219431</v>
      </c>
      <c r="P373" s="47" t="n">
        <f aca="false">O373+Pricing_M!$B$13*M373+N373-Pricing_M!$B$13*K373</f>
        <v>186.544610602713</v>
      </c>
      <c r="Q373" s="47" t="n">
        <f aca="false">IF(C373&lt;Assumptions!$B$5,Pricing_M!$B$13*K373-Pricing_M!$B$13*M373-O373,-(N373+O373))</f>
        <v>-186.544610602713</v>
      </c>
      <c r="R373" s="32" t="n">
        <f aca="false">R372*(1-(1-(1-MIN(1,E372*(1-Assumptions!$B$21)))^(1/12)))*(1-H372)</f>
        <v>0.267987937736284</v>
      </c>
      <c r="S373" s="47" t="n">
        <f aca="false">R373*(IF(C373&lt;Assumptions!$B$5,Assumptions!$B$12*(1+Assumptions!$B$11)^(INT(A373/12)+1)/12+Pricing_M!$B$13*IF(A373=0,Assumptions!$B$14*12,IF(A373&gt;=12,Assumptions!$B$15,0))-Pricing_M!$B$13,Assumptions!$B$9/12*(1+Assumptions!$B$10)^INT(A373/12)+Assumptions!$B$12*(1+Assumptions!$B$11)^(INT(A373/12)+1)/12))*J373</f>
        <v>250.257300047371</v>
      </c>
      <c r="T373" s="32" t="n">
        <f aca="false">T372*(1-F372)*(1-(1-(1-MIN(1,G372*(1+Assumptions!$B$23)))^(1/12)))</f>
        <v>0.180959471697736</v>
      </c>
      <c r="U373" s="47" t="n">
        <f aca="false">T373*(IF(C373&lt;Assumptions!$B$5,Assumptions!$B$12*(1+Assumptions!$B$11)^(INT(A373/12)+1)/12+Pricing_M!$B$13*IF(A373=0,Assumptions!$B$14*12,IF(A373&gt;=12,Assumptions!$B$15,0))-Pricing_M!$B$13,Assumptions!$B$9/12*(1+Assumptions!$B$10)^INT(A373/12)+Assumptions!$B$12*(1+Assumptions!$B$11)^(INT(A373/12)+1)/12))*J373</f>
        <v>168.986817793413</v>
      </c>
      <c r="V373" s="32" t="n">
        <f aca="false">V372*(1-F372)*(1-(1-(1-MIN(1,G372*(1-Assumptions!$B$23)))^(1/12)))</f>
        <v>0.220314166149233</v>
      </c>
      <c r="W373" s="47" t="n">
        <f aca="false">V373*(IF(C373&lt;Assumptions!$B$5,Assumptions!$B$12*(1+Assumptions!$B$11)^(INT(A373/12)+1)/12+Pricing_M!$B$13*IF(A373=0,Assumptions!$B$14*12,IF(A373&gt;=12,Assumptions!$B$15,0))-Pricing_M!$B$13,Assumptions!$B$9/12*(1+Assumptions!$B$10)^INT(A373/12)+Assumptions!$B$12*(1+Assumptions!$B$11)^(INT(A373/12)+1)/12))*J373</f>
        <v>205.73772404992</v>
      </c>
      <c r="X373" s="47" t="n">
        <f aca="false">I373*(IF(C373&lt;Assumptions!$B$5,Assumptions!$B$12*(1+Assumptions!$B$11)*(1+Assumptions!$B$24)*(1+Assumptions!$B$11+Assumptions!$B$25)^(INT(A373/12))/12+Pricing_M!$B$13*IF(A373=0,Assumptions!$B$14*12,IF(A373&gt;=12,Assumptions!$B$15,0))-Pricing_M!$B$13,Assumptions!$B$9/12*(1+Assumptions!$B$10)^INT(A373/12)+Assumptions!$B$12*(1+Assumptions!$B$11)*(1+Assumptions!$B$24)*(1+Assumptions!$B$11+Assumptions!$B$25)^(INT(A373/12))/12))*J373</f>
        <v>187.064002696535</v>
      </c>
    </row>
    <row r="374" customFormat="false" ht="15" hidden="false" customHeight="true" outlineLevel="0" collapsed="false">
      <c r="A374" s="1" t="n">
        <v>367</v>
      </c>
      <c r="B374" s="31" t="n">
        <f aca="false">Assumptions!$B$4+A374/12</f>
        <v>95.5833333333333</v>
      </c>
      <c r="C374" s="34" t="n">
        <f aca="false">Assumptions!$B$4+INT(A374/12)</f>
        <v>95</v>
      </c>
      <c r="D374" s="34" t="n">
        <f aca="false">INT(A374/12)+1</f>
        <v>31</v>
      </c>
      <c r="E374" s="32" t="n">
        <f aca="false">IFERROR(INDEX(Cohort_Survival!$G$5:$G$65,MATCH(C374,Cohort_Survival!$A$5:$A$65,0)),1)</f>
        <v>0.158002551414007</v>
      </c>
      <c r="F374" s="30" t="n">
        <f aca="false">1-(1-MIN(1,E374))^(1/12)</f>
        <v>0.014229317124367</v>
      </c>
      <c r="G374" s="39" t="n">
        <f aca="false">IF(C374&lt;Assumptions!$B$5,IF(D374=1,Assumptions!$B$16,IF(D374=2,Assumptions!$B$17,IF(D374&lt;=5,Assumptions!$B$18,Assumptions!$B$19)))*(1-Assumptions!$B$20),0)</f>
        <v>0</v>
      </c>
      <c r="H374" s="30" t="n">
        <f aca="false">1-(1-G374)^(1/12)</f>
        <v>0</v>
      </c>
      <c r="I374" s="30" t="n">
        <f aca="false">I373*(1-F373)*(1-H373)</f>
        <v>0.196918761813894</v>
      </c>
      <c r="J374" s="30" t="n">
        <f aca="false">INDEX(Discount_Monthly!$G$4:$G$664,MATCH(A374,Discount_Monthly!$A$4:$A$664,0))</f>
        <v>0.383365085884501</v>
      </c>
      <c r="K374" s="30" t="n">
        <f aca="false">IF(C374&lt;Assumptions!$B$5,I374*J374,0)</f>
        <v>0</v>
      </c>
      <c r="L374" s="30" t="n">
        <f aca="false">IF(C374&lt;Assumptions!$B$5,I374*(1-F374)*H374*A374*J374,0)</f>
        <v>0</v>
      </c>
      <c r="M374" s="30" t="n">
        <f aca="false">IF(A374=0,Assumptions!$B$14*12*I374*J374,IF(AND(A374&gt;=12,C374&lt;Assumptions!$B$5),Assumptions!$B$15*I374*J374,0))</f>
        <v>0</v>
      </c>
      <c r="N374" s="47" t="n">
        <f aca="false">IF(C374&gt;=Assumptions!$B$5,I374*Assumptions!$B$9/12*(1+Assumptions!$B$10)^INT(A374/12)*J374,0)</f>
        <v>182.323875531136</v>
      </c>
      <c r="O374" s="47" t="n">
        <f aca="false">I374*Assumptions!$B$12/12*(1+Assumptions!$B$11)^(INT(A374/12)+1)*J374</f>
        <v>1.0820522249727</v>
      </c>
      <c r="P374" s="47" t="n">
        <f aca="false">O374+Pricing_M!$B$13*M374+N374-Pricing_M!$B$13*K374</f>
        <v>183.405927756109</v>
      </c>
      <c r="Q374" s="47" t="n">
        <f aca="false">IF(C374&lt;Assumptions!$B$5,Pricing_M!$B$13*K374-Pricing_M!$B$13*M374-O374,-(N374+O374))</f>
        <v>-183.405927756109</v>
      </c>
      <c r="R374" s="32" t="n">
        <f aca="false">R373*(1-(1-(1-MIN(1,E373*(1-Assumptions!$B$21)))^(1/12)))*(1-H373)</f>
        <v>0.264986987280876</v>
      </c>
      <c r="S374" s="47" t="n">
        <f aca="false">R374*(IF(C374&lt;Assumptions!$B$5,Assumptions!$B$12*(1+Assumptions!$B$11)^(INT(A374/12)+1)/12+Pricing_M!$B$13*IF(A374=0,Assumptions!$B$14*12,IF(A374&gt;=12,Assumptions!$B$15,0))-Pricing_M!$B$13,Assumptions!$B$9/12*(1+Assumptions!$B$10)^INT(A374/12)+Assumptions!$B$12*(1+Assumptions!$B$11)^(INT(A374/12)+1)/12))*J374</f>
        <v>246.803218737872</v>
      </c>
      <c r="T374" s="32" t="n">
        <f aca="false">T373*(1-F373)*(1-(1-(1-MIN(1,G373*(1+Assumptions!$B$23)))^(1/12)))</f>
        <v>0.178384541988291</v>
      </c>
      <c r="U374" s="47" t="n">
        <f aca="false">T374*(IF(C374&lt;Assumptions!$B$5,Assumptions!$B$12*(1+Assumptions!$B$11)^(INT(A374/12)+1)/12+Pricing_M!$B$13*IF(A374=0,Assumptions!$B$14*12,IF(A374&gt;=12,Assumptions!$B$15,0))-Pricing_M!$B$13,Assumptions!$B$9/12*(1+Assumptions!$B$10)^INT(A374/12)+Assumptions!$B$12*(1+Assumptions!$B$11)^(INT(A374/12)+1)/12))*J374</f>
        <v>166.143551377961</v>
      </c>
      <c r="V374" s="32" t="n">
        <f aca="false">V373*(1-F373)*(1-(1-(1-MIN(1,G373*(1-Assumptions!$B$23)))^(1/12)))</f>
        <v>0.217179246012105</v>
      </c>
      <c r="W374" s="47" t="n">
        <f aca="false">V374*(IF(C374&lt;Assumptions!$B$5,Assumptions!$B$12*(1+Assumptions!$B$11)^(INT(A374/12)+1)/12+Pricing_M!$B$13*IF(A374=0,Assumptions!$B$14*12,IF(A374&gt;=12,Assumptions!$B$15,0))-Pricing_M!$B$13,Assumptions!$B$9/12*(1+Assumptions!$B$10)^INT(A374/12)+Assumptions!$B$12*(1+Assumptions!$B$11)^(INT(A374/12)+1)/12))*J374</f>
        <v>202.276109890774</v>
      </c>
      <c r="X374" s="47" t="n">
        <f aca="false">I374*(IF(C374&lt;Assumptions!$B$5,Assumptions!$B$12*(1+Assumptions!$B$11)*(1+Assumptions!$B$24)*(1+Assumptions!$B$11+Assumptions!$B$25)^(INT(A374/12))/12+Pricing_M!$B$13*IF(A374=0,Assumptions!$B$14*12,IF(A374&gt;=12,Assumptions!$B$15,0))-Pricing_M!$B$13,Assumptions!$B$9/12*(1+Assumptions!$B$10)^INT(A374/12)+Assumptions!$B$12*(1+Assumptions!$B$11)*(1+Assumptions!$B$24)*(1+Assumptions!$B$11+Assumptions!$B$25)^(INT(A374/12))/12))*J374</f>
        <v>183.916580883684</v>
      </c>
    </row>
    <row r="375" customFormat="false" ht="15" hidden="false" customHeight="true" outlineLevel="0" collapsed="false">
      <c r="A375" s="1" t="n">
        <v>368</v>
      </c>
      <c r="B375" s="31" t="n">
        <f aca="false">Assumptions!$B$4+A375/12</f>
        <v>95.6666666666667</v>
      </c>
      <c r="C375" s="34" t="n">
        <f aca="false">Assumptions!$B$4+INT(A375/12)</f>
        <v>95</v>
      </c>
      <c r="D375" s="34" t="n">
        <f aca="false">INT(A375/12)+1</f>
        <v>31</v>
      </c>
      <c r="E375" s="32" t="n">
        <f aca="false">IFERROR(INDEX(Cohort_Survival!$G$5:$G$65,MATCH(C375,Cohort_Survival!$A$5:$A$65,0)),1)</f>
        <v>0.158002551414007</v>
      </c>
      <c r="F375" s="30" t="n">
        <f aca="false">1-(1-MIN(1,E375))^(1/12)</f>
        <v>0.014229317124367</v>
      </c>
      <c r="G375" s="39" t="n">
        <f aca="false">IF(C375&lt;Assumptions!$B$5,IF(D375=1,Assumptions!$B$16,IF(D375=2,Assumptions!$B$17,IF(D375&lt;=5,Assumptions!$B$18,Assumptions!$B$19)))*(1-Assumptions!$B$20),0)</f>
        <v>0</v>
      </c>
      <c r="H375" s="30" t="n">
        <f aca="false">1-(1-G375)^(1/12)</f>
        <v>0</v>
      </c>
      <c r="I375" s="30" t="n">
        <f aca="false">I374*(1-F374)*(1-H374)</f>
        <v>0.194116742304306</v>
      </c>
      <c r="J375" s="30" t="n">
        <f aca="false">INDEX(Discount_Monthly!$G$4:$G$664,MATCH(A375,Discount_Monthly!$A$4:$A$664,0))</f>
        <v>0.382355482337003</v>
      </c>
      <c r="K375" s="30" t="n">
        <f aca="false">IF(C375&lt;Assumptions!$B$5,I375*J375,0)</f>
        <v>0</v>
      </c>
      <c r="L375" s="30" t="n">
        <f aca="false">IF(C375&lt;Assumptions!$B$5,I375*(1-F375)*H375*A375*J375,0)</f>
        <v>0</v>
      </c>
      <c r="M375" s="30" t="n">
        <f aca="false">IF(A375=0,Assumptions!$B$14*12*I375*J375,IF(AND(A375&gt;=12,C375&lt;Assumptions!$B$5),Assumptions!$B$15*I375*J375,0))</f>
        <v>0</v>
      </c>
      <c r="N375" s="47" t="n">
        <f aca="false">IF(C375&gt;=Assumptions!$B$5,I375*Assumptions!$B$9/12*(1+Assumptions!$B$10)^INT(A375/12)*J375,0)</f>
        <v>179.256208130792</v>
      </c>
      <c r="O375" s="47" t="n">
        <f aca="false">I375*Assumptions!$B$12/12*(1+Assumptions!$B$11)^(INT(A375/12)+1)*J375</f>
        <v>1.06384629156793</v>
      </c>
      <c r="P375" s="47" t="n">
        <f aca="false">O375+Pricing_M!$B$13*M375+N375-Pricing_M!$B$13*K375</f>
        <v>180.32005442236</v>
      </c>
      <c r="Q375" s="47" t="n">
        <f aca="false">IF(C375&lt;Assumptions!$B$5,Pricing_M!$B$13*K375-Pricing_M!$B$13*M375-O375,-(N375+O375))</f>
        <v>-180.32005442236</v>
      </c>
      <c r="R375" s="32" t="n">
        <f aca="false">R374*(1-(1-(1-MIN(1,E374*(1-Assumptions!$B$21)))^(1/12)))*(1-H374)</f>
        <v>0.262019641709747</v>
      </c>
      <c r="S375" s="47" t="n">
        <f aca="false">R375*(IF(C375&lt;Assumptions!$B$5,Assumptions!$B$12*(1+Assumptions!$B$11)^(INT(A375/12)+1)/12+Pricing_M!$B$13*IF(A375=0,Assumptions!$B$14*12,IF(A375&gt;=12,Assumptions!$B$15,0))-Pricing_M!$B$13,Assumptions!$B$9/12*(1+Assumptions!$B$10)^INT(A375/12)+Assumptions!$B$12*(1+Assumptions!$B$11)^(INT(A375/12)+1)/12))*J375</f>
        <v>243.396811073419</v>
      </c>
      <c r="T375" s="32" t="n">
        <f aca="false">T374*(1-F374)*(1-(1-(1-MIN(1,G374*(1+Assumptions!$B$23)))^(1/12)))</f>
        <v>0.175846251770255</v>
      </c>
      <c r="U375" s="47" t="n">
        <f aca="false">T375*(IF(C375&lt;Assumptions!$B$5,Assumptions!$B$12*(1+Assumptions!$B$11)^(INT(A375/12)+1)/12+Pricing_M!$B$13*IF(A375=0,Assumptions!$B$14*12,IF(A375&gt;=12,Assumptions!$B$15,0))-Pricing_M!$B$13,Assumptions!$B$9/12*(1+Assumptions!$B$10)^INT(A375/12)+Assumptions!$B$12*(1+Assumptions!$B$11)^(INT(A375/12)+1)/12))*J375</f>
        <v>163.348123983414</v>
      </c>
      <c r="V375" s="32" t="n">
        <f aca="false">V374*(1-F374)*(1-(1-(1-MIN(1,G374*(1-Assumptions!$B$23)))^(1/12)))</f>
        <v>0.214088933647767</v>
      </c>
      <c r="W375" s="47" t="n">
        <f aca="false">V375*(IF(C375&lt;Assumptions!$B$5,Assumptions!$B$12*(1+Assumptions!$B$11)^(INT(A375/12)+1)/12+Pricing_M!$B$13*IF(A375=0,Assumptions!$B$14*12,IF(A375&gt;=12,Assumptions!$B$15,0))-Pricing_M!$B$13,Assumptions!$B$9/12*(1+Assumptions!$B$10)^INT(A375/12)+Assumptions!$B$12*(1+Assumptions!$B$11)^(INT(A375/12)+1)/12))*J375</f>
        <v>198.872738684601</v>
      </c>
      <c r="X375" s="47" t="n">
        <f aca="false">I375*(IF(C375&lt;Assumptions!$B$5,Assumptions!$B$12*(1+Assumptions!$B$11)*(1+Assumptions!$B$24)*(1+Assumptions!$B$11+Assumptions!$B$25)^(INT(A375/12))/12+Pricing_M!$B$13*IF(A375=0,Assumptions!$B$14*12,IF(A375&gt;=12,Assumptions!$B$15,0))-Pricing_M!$B$13,Assumptions!$B$9/12*(1+Assumptions!$B$10)^INT(A375/12)+Assumptions!$B$12*(1+Assumptions!$B$11)*(1+Assumptions!$B$24)*(1+Assumptions!$B$11+Assumptions!$B$25)^(INT(A375/12))/12))*J375</f>
        <v>180.822115620064</v>
      </c>
    </row>
    <row r="376" customFormat="false" ht="15" hidden="false" customHeight="true" outlineLevel="0" collapsed="false">
      <c r="A376" s="1" t="n">
        <v>369</v>
      </c>
      <c r="B376" s="31" t="n">
        <f aca="false">Assumptions!$B$4+A376/12</f>
        <v>95.75</v>
      </c>
      <c r="C376" s="34" t="n">
        <f aca="false">Assumptions!$B$4+INT(A376/12)</f>
        <v>95</v>
      </c>
      <c r="D376" s="34" t="n">
        <f aca="false">INT(A376/12)+1</f>
        <v>31</v>
      </c>
      <c r="E376" s="32" t="n">
        <f aca="false">IFERROR(INDEX(Cohort_Survival!$G$5:$G$65,MATCH(C376,Cohort_Survival!$A$5:$A$65,0)),1)</f>
        <v>0.158002551414007</v>
      </c>
      <c r="F376" s="30" t="n">
        <f aca="false">1-(1-MIN(1,E376))^(1/12)</f>
        <v>0.014229317124367</v>
      </c>
      <c r="G376" s="39" t="n">
        <f aca="false">IF(C376&lt;Assumptions!$B$5,IF(D376=1,Assumptions!$B$16,IF(D376=2,Assumptions!$B$17,IF(D376&lt;=5,Assumptions!$B$18,Assumptions!$B$19)))*(1-Assumptions!$B$20),0)</f>
        <v>0</v>
      </c>
      <c r="H376" s="30" t="n">
        <f aca="false">1-(1-G376)^(1/12)</f>
        <v>0</v>
      </c>
      <c r="I376" s="30" t="n">
        <f aca="false">I375*(1-F375)*(1-H375)</f>
        <v>0.191354593618909</v>
      </c>
      <c r="J376" s="30" t="n">
        <f aca="false">INDEX(Discount_Monthly!$G$4:$G$664,MATCH(A376,Discount_Monthly!$A$4:$A$664,0))</f>
        <v>0.381348537610981</v>
      </c>
      <c r="K376" s="30" t="n">
        <f aca="false">IF(C376&lt;Assumptions!$B$5,I376*J376,0)</f>
        <v>0</v>
      </c>
      <c r="L376" s="30" t="n">
        <f aca="false">IF(C376&lt;Assumptions!$B$5,I376*(1-F376)*H376*A376*J376,0)</f>
        <v>0</v>
      </c>
      <c r="M376" s="30" t="n">
        <f aca="false">IF(A376=0,Assumptions!$B$14*12*I376*J376,IF(AND(A376&gt;=12,C376&lt;Assumptions!$B$5),Assumptions!$B$15*I376*J376,0))</f>
        <v>0</v>
      </c>
      <c r="N376" s="47" t="n">
        <f aca="false">IF(C376&gt;=Assumptions!$B$5,I376*Assumptions!$B$9/12*(1+Assumptions!$B$10)^INT(A376/12)*J376,0)</f>
        <v>176.240155381857</v>
      </c>
      <c r="O376" s="47" t="n">
        <f aca="false">I376*Assumptions!$B$12/12*(1+Assumptions!$B$11)^(INT(A376/12)+1)*J376</f>
        <v>1.04594667980226</v>
      </c>
      <c r="P376" s="47" t="n">
        <f aca="false">O376+Pricing_M!$B$13*M376+N376-Pricing_M!$B$13*K376</f>
        <v>177.286102061659</v>
      </c>
      <c r="Q376" s="47" t="n">
        <f aca="false">IF(C376&lt;Assumptions!$B$5,Pricing_M!$B$13*K376-Pricing_M!$B$13*M376-O376,-(N376+O376))</f>
        <v>-177.286102061659</v>
      </c>
      <c r="R376" s="32" t="n">
        <f aca="false">R375*(1-(1-(1-MIN(1,E375*(1-Assumptions!$B$21)))^(1/12)))*(1-H375)</f>
        <v>0.259085524712703</v>
      </c>
      <c r="S376" s="47" t="n">
        <f aca="false">R376*(IF(C376&lt;Assumptions!$B$5,Assumptions!$B$12*(1+Assumptions!$B$11)^(INT(A376/12)+1)/12+Pricing_M!$B$13*IF(A376=0,Assumptions!$B$14*12,IF(A376&gt;=12,Assumptions!$B$15,0))-Pricing_M!$B$13,Assumptions!$B$9/12*(1+Assumptions!$B$10)^INT(A376/12)+Assumptions!$B$12*(1+Assumptions!$B$11)^(INT(A376/12)+1)/12))*J376</f>
        <v>240.037419056638</v>
      </c>
      <c r="T376" s="32" t="n">
        <f aca="false">T375*(1-F375)*(1-(1-(1-MIN(1,G375*(1+Assumptions!$B$23)))^(1/12)))</f>
        <v>0.173344079688684</v>
      </c>
      <c r="U376" s="47" t="n">
        <f aca="false">T376*(IF(C376&lt;Assumptions!$B$5,Assumptions!$B$12*(1+Assumptions!$B$11)^(INT(A376/12)+1)/12+Pricing_M!$B$13*IF(A376=0,Assumptions!$B$14*12,IF(A376&gt;=12,Assumptions!$B$15,0))-Pricing_M!$B$13,Assumptions!$B$9/12*(1+Assumptions!$B$10)^INT(A376/12)+Assumptions!$B$12*(1+Assumptions!$B$11)^(INT(A376/12)+1)/12))*J376</f>
        <v>160.599730700354</v>
      </c>
      <c r="V376" s="32" t="n">
        <f aca="false">V375*(1-F375)*(1-(1-(1-MIN(1,G375*(1-Assumptions!$B$23)))^(1/12)))</f>
        <v>0.211042594318076</v>
      </c>
      <c r="W376" s="47" t="n">
        <f aca="false">V376*(IF(C376&lt;Assumptions!$B$5,Assumptions!$B$12*(1+Assumptions!$B$11)^(INT(A376/12)+1)/12+Pricing_M!$B$13*IF(A376=0,Assumptions!$B$14*12,IF(A376&gt;=12,Assumptions!$B$15,0))-Pricing_M!$B$13,Assumptions!$B$9/12*(1+Assumptions!$B$10)^INT(A376/12)+Assumptions!$B$12*(1+Assumptions!$B$11)^(INT(A376/12)+1)/12))*J376</f>
        <v>195.526630471935</v>
      </c>
      <c r="X376" s="47" t="n">
        <f aca="false">I376*(IF(C376&lt;Assumptions!$B$5,Assumptions!$B$12*(1+Assumptions!$B$11)*(1+Assumptions!$B$24)*(1+Assumptions!$B$11+Assumptions!$B$25)^(INT(A376/12))/12+Pricing_M!$B$13*IF(A376=0,Assumptions!$B$14*12,IF(A376&gt;=12,Assumptions!$B$15,0))-Pricing_M!$B$13,Assumptions!$B$9/12*(1+Assumptions!$B$10)^INT(A376/12)+Assumptions!$B$12*(1+Assumptions!$B$11)*(1+Assumptions!$B$24)*(1+Assumptions!$B$11+Assumptions!$B$25)^(INT(A376/12))/12))*J376</f>
        <v>177.779715891926</v>
      </c>
    </row>
    <row r="377" customFormat="false" ht="15" hidden="false" customHeight="true" outlineLevel="0" collapsed="false">
      <c r="A377" s="1" t="n">
        <v>370</v>
      </c>
      <c r="B377" s="31" t="n">
        <f aca="false">Assumptions!$B$4+A377/12</f>
        <v>95.8333333333333</v>
      </c>
      <c r="C377" s="34" t="n">
        <f aca="false">Assumptions!$B$4+INT(A377/12)</f>
        <v>95</v>
      </c>
      <c r="D377" s="34" t="n">
        <f aca="false">INT(A377/12)+1</f>
        <v>31</v>
      </c>
      <c r="E377" s="32" t="n">
        <f aca="false">IFERROR(INDEX(Cohort_Survival!$G$5:$G$65,MATCH(C377,Cohort_Survival!$A$5:$A$65,0)),1)</f>
        <v>0.158002551414007</v>
      </c>
      <c r="F377" s="30" t="n">
        <f aca="false">1-(1-MIN(1,E377))^(1/12)</f>
        <v>0.014229317124367</v>
      </c>
      <c r="G377" s="39" t="n">
        <f aca="false">IF(C377&lt;Assumptions!$B$5,IF(D377=1,Assumptions!$B$16,IF(D377=2,Assumptions!$B$17,IF(D377&lt;=5,Assumptions!$B$18,Assumptions!$B$19)))*(1-Assumptions!$B$20),0)</f>
        <v>0</v>
      </c>
      <c r="H377" s="30" t="n">
        <f aca="false">1-(1-G377)^(1/12)</f>
        <v>0</v>
      </c>
      <c r="I377" s="30" t="n">
        <f aca="false">I376*(1-F376)*(1-H376)</f>
        <v>0.188631748423101</v>
      </c>
      <c r="J377" s="30" t="n">
        <f aca="false">INDEX(Discount_Monthly!$G$4:$G$664,MATCH(A377,Discount_Monthly!$A$4:$A$664,0))</f>
        <v>0.380344244704347</v>
      </c>
      <c r="K377" s="30" t="n">
        <f aca="false">IF(C377&lt;Assumptions!$B$5,I377*J377,0)</f>
        <v>0</v>
      </c>
      <c r="L377" s="30" t="n">
        <f aca="false">IF(C377&lt;Assumptions!$B$5,I377*(1-F377)*H377*A377*J377,0)</f>
        <v>0</v>
      </c>
      <c r="M377" s="30" t="n">
        <f aca="false">IF(A377=0,Assumptions!$B$14*12*I377*J377,IF(AND(A377&gt;=12,C377&lt;Assumptions!$B$5),Assumptions!$B$15*I377*J377,0))</f>
        <v>0</v>
      </c>
      <c r="N377" s="47" t="n">
        <f aca="false">IF(C377&gt;=Assumptions!$B$5,I377*Assumptions!$B$9/12*(1+Assumptions!$B$10)^INT(A377/12)*J377,0)</f>
        <v>173.274848848516</v>
      </c>
      <c r="O377" s="47" t="n">
        <f aca="false">I377*Assumptions!$B$12/12*(1+Assumptions!$B$11)^(INT(A377/12)+1)*J377</f>
        <v>1.02834823569953</v>
      </c>
      <c r="P377" s="47" t="n">
        <f aca="false">O377+Pricing_M!$B$13*M377+N377-Pricing_M!$B$13*K377</f>
        <v>174.303197084215</v>
      </c>
      <c r="Q377" s="47" t="n">
        <f aca="false">IF(C377&lt;Assumptions!$B$5,Pricing_M!$B$13*K377-Pricing_M!$B$13*M377-O377,-(N377+O377))</f>
        <v>-174.303197084215</v>
      </c>
      <c r="R377" s="32" t="n">
        <f aca="false">R376*(1-(1-(1-MIN(1,E376*(1-Assumptions!$B$21)))^(1/12)))*(1-H376)</f>
        <v>0.256184264193502</v>
      </c>
      <c r="S377" s="47" t="n">
        <f aca="false">R377*(IF(C377&lt;Assumptions!$B$5,Assumptions!$B$12*(1+Assumptions!$B$11)^(INT(A377/12)+1)/12+Pricing_M!$B$13*IF(A377=0,Assumptions!$B$14*12,IF(A377&gt;=12,Assumptions!$B$15,0))-Pricing_M!$B$13,Assumptions!$B$9/12*(1+Assumptions!$B$10)^INT(A377/12)+Assumptions!$B$12*(1+Assumptions!$B$11)^(INT(A377/12)+1)/12))*J377</f>
        <v>236.724393771913</v>
      </c>
      <c r="T377" s="32" t="n">
        <f aca="false">T376*(1-F376)*(1-(1-(1-MIN(1,G376*(1+Assumptions!$B$23)))^(1/12)))</f>
        <v>0.170877511807162</v>
      </c>
      <c r="U377" s="47" t="n">
        <f aca="false">T377*(IF(C377&lt;Assumptions!$B$5,Assumptions!$B$12*(1+Assumptions!$B$11)^(INT(A377/12)+1)/12+Pricing_M!$B$13*IF(A377=0,Assumptions!$B$14*12,IF(A377&gt;=12,Assumptions!$B$15,0))-Pricing_M!$B$13,Assumptions!$B$9/12*(1+Assumptions!$B$10)^INT(A377/12)+Assumptions!$B$12*(1+Assumptions!$B$11)^(INT(A377/12)+1)/12))*J377</f>
        <v>157.897580162261</v>
      </c>
      <c r="V377" s="32" t="n">
        <f aca="false">V376*(1-F376)*(1-(1-(1-MIN(1,G376*(1-Assumptions!$B$23)))^(1/12)))</f>
        <v>0.208039602316775</v>
      </c>
      <c r="W377" s="47" t="n">
        <f aca="false">V377*(IF(C377&lt;Assumptions!$B$5,Assumptions!$B$12*(1+Assumptions!$B$11)^(INT(A377/12)+1)/12+Pricing_M!$B$13*IF(A377=0,Assumptions!$B$14*12,IF(A377&gt;=12,Assumptions!$B$15,0))-Pricing_M!$B$13,Assumptions!$B$9/12*(1+Assumptions!$B$10)^INT(A377/12)+Assumptions!$B$12*(1+Assumptions!$B$11)^(INT(A377/12)+1)/12))*J377</f>
        <v>192.23682178149</v>
      </c>
      <c r="X377" s="47" t="n">
        <f aca="false">I377*(IF(C377&lt;Assumptions!$B$5,Assumptions!$B$12*(1+Assumptions!$B$11)*(1+Assumptions!$B$24)*(1+Assumptions!$B$11+Assumptions!$B$25)^(INT(A377/12))/12+Pricing_M!$B$13*IF(A377=0,Assumptions!$B$14*12,IF(A377&gt;=12,Assumptions!$B$15,0))-Pricing_M!$B$13,Assumptions!$B$9/12*(1+Assumptions!$B$10)^INT(A377/12)+Assumptions!$B$12*(1+Assumptions!$B$11)*(1+Assumptions!$B$24)*(1+Assumptions!$B$11+Assumptions!$B$25)^(INT(A377/12))/12))*J377</f>
        <v>174.788505677162</v>
      </c>
    </row>
    <row r="378" customFormat="false" ht="15" hidden="false" customHeight="true" outlineLevel="0" collapsed="false">
      <c r="A378" s="1" t="n">
        <v>371</v>
      </c>
      <c r="B378" s="31" t="n">
        <f aca="false">Assumptions!$B$4+A378/12</f>
        <v>95.9166666666667</v>
      </c>
      <c r="C378" s="34" t="n">
        <f aca="false">Assumptions!$B$4+INT(A378/12)</f>
        <v>95</v>
      </c>
      <c r="D378" s="34" t="n">
        <f aca="false">INT(A378/12)+1</f>
        <v>31</v>
      </c>
      <c r="E378" s="32" t="n">
        <f aca="false">IFERROR(INDEX(Cohort_Survival!$G$5:$G$65,MATCH(C378,Cohort_Survival!$A$5:$A$65,0)),1)</f>
        <v>0.158002551414007</v>
      </c>
      <c r="F378" s="30" t="n">
        <f aca="false">1-(1-MIN(1,E378))^(1/12)</f>
        <v>0.014229317124367</v>
      </c>
      <c r="G378" s="39" t="n">
        <f aca="false">IF(C378&lt;Assumptions!$B$5,IF(D378=1,Assumptions!$B$16,IF(D378=2,Assumptions!$B$17,IF(D378&lt;=5,Assumptions!$B$18,Assumptions!$B$19)))*(1-Assumptions!$B$20),0)</f>
        <v>0</v>
      </c>
      <c r="H378" s="30" t="n">
        <f aca="false">1-(1-G378)^(1/12)</f>
        <v>0</v>
      </c>
      <c r="I378" s="30" t="n">
        <f aca="false">I377*(1-F377)*(1-H377)</f>
        <v>0.185947647455065</v>
      </c>
      <c r="J378" s="30" t="n">
        <f aca="false">INDEX(Discount_Monthly!$G$4:$G$664,MATCH(A378,Discount_Monthly!$A$4:$A$664,0))</f>
        <v>0.379342596633455</v>
      </c>
      <c r="K378" s="30" t="n">
        <f aca="false">IF(C378&lt;Assumptions!$B$5,I378*J378,0)</f>
        <v>0</v>
      </c>
      <c r="L378" s="30" t="n">
        <f aca="false">IF(C378&lt;Assumptions!$B$5,I378*(1-F378)*H378*A378*J378,0)</f>
        <v>0</v>
      </c>
      <c r="M378" s="30" t="n">
        <f aca="false">IF(A378=0,Assumptions!$B$14*12*I378*J378,IF(AND(A378&gt;=12,C378&lt;Assumptions!$B$5),Assumptions!$B$15*I378*J378,0))</f>
        <v>0</v>
      </c>
      <c r="N378" s="47" t="n">
        <f aca="false">IF(C378&gt;=Assumptions!$B$5,I378*Assumptions!$B$9/12*(1+Assumptions!$B$10)^INT(A378/12)*J378,0)</f>
        <v>170.35943470671</v>
      </c>
      <c r="O378" s="47" t="n">
        <f aca="false">I378*Assumptions!$B$12/12*(1+Assumptions!$B$11)^(INT(A378/12)+1)*J378</f>
        <v>1.01104589200116</v>
      </c>
      <c r="P378" s="47" t="n">
        <f aca="false">O378+Pricing_M!$B$13*M378+N378-Pricing_M!$B$13*K378</f>
        <v>171.370480598712</v>
      </c>
      <c r="Q378" s="47" t="n">
        <f aca="false">IF(C378&lt;Assumptions!$B$5,Pricing_M!$B$13*K378-Pricing_M!$B$13*M378-O378,-(N378+O378))</f>
        <v>-171.370480598712</v>
      </c>
      <c r="R378" s="32" t="n">
        <f aca="false">R377*(1-(1-(1-MIN(1,E377*(1-Assumptions!$B$21)))^(1/12)))*(1-H377)</f>
        <v>0.253315492222667</v>
      </c>
      <c r="S378" s="47" t="n">
        <f aca="false">R378*(IF(C378&lt;Assumptions!$B$5,Assumptions!$B$12*(1+Assumptions!$B$11)^(INT(A378/12)+1)/12+Pricing_M!$B$13*IF(A378=0,Assumptions!$B$14*12,IF(A378&gt;=12,Assumptions!$B$15,0))-Pricing_M!$B$13,Assumptions!$B$9/12*(1+Assumptions!$B$10)^INT(A378/12)+Assumptions!$B$12*(1+Assumptions!$B$11)^(INT(A378/12)+1)/12))*J378</f>
        <v>233.45709526004</v>
      </c>
      <c r="T378" s="32" t="n">
        <f aca="false">T377*(1-F377)*(1-(1-(1-MIN(1,G377*(1+Assumptions!$B$23)))^(1/12)))</f>
        <v>0.168446041502236</v>
      </c>
      <c r="U378" s="47" t="n">
        <f aca="false">T378*(IF(C378&lt;Assumptions!$B$5,Assumptions!$B$12*(1+Assumptions!$B$11)^(INT(A378/12)+1)/12+Pricing_M!$B$13*IF(A378=0,Assumptions!$B$14*12,IF(A378&gt;=12,Assumptions!$B$15,0))-Pricing_M!$B$13,Assumptions!$B$9/12*(1+Assumptions!$B$10)^INT(A378/12)+Assumptions!$B$12*(1+Assumptions!$B$11)^(INT(A378/12)+1)/12))*J378</f>
        <v>155.240894317657</v>
      </c>
      <c r="V378" s="32" t="n">
        <f aca="false">V377*(1-F377)*(1-(1-(1-MIN(1,G377*(1-Assumptions!$B$23)))^(1/12)))</f>
        <v>0.205079340840982</v>
      </c>
      <c r="W378" s="47" t="n">
        <f aca="false">V378*(IF(C378&lt;Assumptions!$B$5,Assumptions!$B$12*(1+Assumptions!$B$11)^(INT(A378/12)+1)/12+Pricing_M!$B$13*IF(A378=0,Assumptions!$B$14*12,IF(A378&gt;=12,Assumptions!$B$15,0))-Pricing_M!$B$13,Assumptions!$B$9/12*(1+Assumptions!$B$10)^INT(A378/12)+Assumptions!$B$12*(1+Assumptions!$B$11)^(INT(A378/12)+1)/12))*J378</f>
        <v>189.002365352747</v>
      </c>
      <c r="X378" s="47" t="n">
        <f aca="false">I378*(IF(C378&lt;Assumptions!$B$5,Assumptions!$B$12*(1+Assumptions!$B$11)*(1+Assumptions!$B$24)*(1+Assumptions!$B$11+Assumptions!$B$25)^(INT(A378/12))/12+Pricing_M!$B$13*IF(A378=0,Assumptions!$B$14*12,IF(A378&gt;=12,Assumptions!$B$15,0))-Pricing_M!$B$13,Assumptions!$B$9/12*(1+Assumptions!$B$10)^INT(A378/12)+Assumptions!$B$12*(1+Assumptions!$B$11)*(1+Assumptions!$B$24)*(1+Assumptions!$B$11+Assumptions!$B$25)^(INT(A378/12))/12))*J378</f>
        <v>171.847623693062</v>
      </c>
    </row>
    <row r="379" customFormat="false" ht="15" hidden="false" customHeight="true" outlineLevel="0" collapsed="false">
      <c r="A379" s="1" t="n">
        <v>372</v>
      </c>
      <c r="B379" s="31" t="n">
        <f aca="false">Assumptions!$B$4+A379/12</f>
        <v>96</v>
      </c>
      <c r="C379" s="34" t="n">
        <f aca="false">Assumptions!$B$4+INT(A379/12)</f>
        <v>96</v>
      </c>
      <c r="D379" s="34" t="n">
        <f aca="false">INT(A379/12)+1</f>
        <v>32</v>
      </c>
      <c r="E379" s="32" t="n">
        <f aca="false">IFERROR(INDEX(Cohort_Survival!$G$5:$G$65,MATCH(C379,Cohort_Survival!$A$5:$A$65,0)),1)</f>
        <v>0.168180055784723</v>
      </c>
      <c r="F379" s="30" t="n">
        <f aca="false">1-(1-MIN(1,E379))^(1/12)</f>
        <v>0.0152278058820259</v>
      </c>
      <c r="G379" s="39" t="n">
        <f aca="false">IF(C379&lt;Assumptions!$B$5,IF(D379=1,Assumptions!$B$16,IF(D379=2,Assumptions!$B$17,IF(D379&lt;=5,Assumptions!$B$18,Assumptions!$B$19)))*(1-Assumptions!$B$20),0)</f>
        <v>0</v>
      </c>
      <c r="H379" s="30" t="n">
        <f aca="false">1-(1-G379)^(1/12)</f>
        <v>0</v>
      </c>
      <c r="I379" s="30" t="n">
        <f aca="false">I378*(1-F378)*(1-H378)</f>
        <v>0.183301739410897</v>
      </c>
      <c r="J379" s="30" t="n">
        <f aca="false">INDEX(Discount_Monthly!$G$4:$G$664,MATCH(A379,Discount_Monthly!$A$4:$A$664,0))</f>
        <v>0.378343586433049</v>
      </c>
      <c r="K379" s="30" t="n">
        <f aca="false">IF(C379&lt;Assumptions!$B$5,I379*J379,0)</f>
        <v>0</v>
      </c>
      <c r="L379" s="30" t="n">
        <f aca="false">IF(C379&lt;Assumptions!$B$5,I379*(1-F379)*H379*A379*J379,0)</f>
        <v>0</v>
      </c>
      <c r="M379" s="30" t="n">
        <f aca="false">IF(A379=0,Assumptions!$B$14*12*I379*J379,IF(AND(A379&gt;=12,C379&lt;Assumptions!$B$5),Assumptions!$B$15*I379*J379,0))</f>
        <v>0</v>
      </c>
      <c r="N379" s="47" t="n">
        <f aca="false">IF(C379&gt;=Assumptions!$B$5,I379*Assumptions!$B$9/12*(1+Assumptions!$B$10)^INT(A379/12)*J379,0)</f>
        <v>170.842934968258</v>
      </c>
      <c r="O379" s="47" t="n">
        <f aca="false">I379*Assumptions!$B$12/12*(1+Assumptions!$B$11)^(INT(A379/12)+1)*J379</f>
        <v>1.01888553337479</v>
      </c>
      <c r="P379" s="47" t="n">
        <f aca="false">O379+Pricing_M!$B$13*M379+N379-Pricing_M!$B$13*K379</f>
        <v>171.861820501633</v>
      </c>
      <c r="Q379" s="47" t="n">
        <f aca="false">IF(C379&lt;Assumptions!$B$5,Pricing_M!$B$13*K379-Pricing_M!$B$13*M379-O379,-(N379+O379))</f>
        <v>-171.861820501633</v>
      </c>
      <c r="R379" s="32" t="n">
        <f aca="false">R378*(1-(1-(1-MIN(1,E378*(1-Assumptions!$B$21)))^(1/12)))*(1-H378)</f>
        <v>0.250478844990821</v>
      </c>
      <c r="S379" s="47" t="n">
        <f aca="false">R379*(IF(C379&lt;Assumptions!$B$5,Assumptions!$B$12*(1+Assumptions!$B$11)^(INT(A379/12)+1)/12+Pricing_M!$B$13*IF(A379=0,Assumptions!$B$14*12,IF(A379&gt;=12,Assumptions!$B$15,0))-Pricing_M!$B$13,Assumptions!$B$9/12*(1+Assumptions!$B$10)^INT(A379/12)+Assumptions!$B$12*(1+Assumptions!$B$11)^(INT(A379/12)+1)/12))*J379</f>
        <v>234.846381903508</v>
      </c>
      <c r="T379" s="32" t="n">
        <f aca="false">T378*(1-F378)*(1-(1-(1-MIN(1,G378*(1+Assumptions!$B$23)))^(1/12)))</f>
        <v>0.166049169359356</v>
      </c>
      <c r="U379" s="47" t="n">
        <f aca="false">T379*(IF(C379&lt;Assumptions!$B$5,Assumptions!$B$12*(1+Assumptions!$B$11)^(INT(A379/12)+1)/12+Pricing_M!$B$13*IF(A379=0,Assumptions!$B$14*12,IF(A379&gt;=12,Assumptions!$B$15,0))-Pricing_M!$B$13,Assumptions!$B$9/12*(1+Assumptions!$B$10)^INT(A379/12)+Assumptions!$B$12*(1+Assumptions!$B$11)^(INT(A379/12)+1)/12))*J379</f>
        <v>155.685988745104</v>
      </c>
      <c r="V379" s="32" t="n">
        <f aca="false">V378*(1-F378)*(1-(1-(1-MIN(1,G378*(1-Assumptions!$B$23)))^(1/12)))</f>
        <v>0.2021612018645</v>
      </c>
      <c r="W379" s="47" t="n">
        <f aca="false">V379*(IF(C379&lt;Assumptions!$B$5,Assumptions!$B$12*(1+Assumptions!$B$11)^(INT(A379/12)+1)/12+Pricing_M!$B$13*IF(A379=0,Assumptions!$B$14*12,IF(A379&gt;=12,Assumptions!$B$15,0))-Pricing_M!$B$13,Assumptions!$B$9/12*(1+Assumptions!$B$10)^INT(A379/12)+Assumptions!$B$12*(1+Assumptions!$B$11)^(INT(A379/12)+1)/12))*J379</f>
        <v>189.544258002636</v>
      </c>
      <c r="X379" s="47" t="n">
        <f aca="false">I379*(IF(C379&lt;Assumptions!$B$5,Assumptions!$B$12*(1+Assumptions!$B$11)*(1+Assumptions!$B$24)*(1+Assumptions!$B$11+Assumptions!$B$25)^(INT(A379/12))/12+Pricing_M!$B$13*IF(A379=0,Assumptions!$B$14*12,IF(A379&gt;=12,Assumptions!$B$15,0))-Pricing_M!$B$13,Assumptions!$B$9/12*(1+Assumptions!$B$10)^INT(A379/12)+Assumptions!$B$12*(1+Assumptions!$B$11)*(1+Assumptions!$B$24)*(1+Assumptions!$B$11+Assumptions!$B$25)^(INT(A379/12))/12))*J379</f>
        <v>172.357294856039</v>
      </c>
    </row>
    <row r="380" customFormat="false" ht="15" hidden="false" customHeight="true" outlineLevel="0" collapsed="false">
      <c r="A380" s="1" t="n">
        <v>373</v>
      </c>
      <c r="B380" s="31" t="n">
        <f aca="false">Assumptions!$B$4+A380/12</f>
        <v>96.0833333333333</v>
      </c>
      <c r="C380" s="34" t="n">
        <f aca="false">Assumptions!$B$4+INT(A380/12)</f>
        <v>96</v>
      </c>
      <c r="D380" s="34" t="n">
        <f aca="false">INT(A380/12)+1</f>
        <v>32</v>
      </c>
      <c r="E380" s="32" t="n">
        <f aca="false">IFERROR(INDEX(Cohort_Survival!$G$5:$G$65,MATCH(C380,Cohort_Survival!$A$5:$A$65,0)),1)</f>
        <v>0.168180055784723</v>
      </c>
      <c r="F380" s="30" t="n">
        <f aca="false">1-(1-MIN(1,E380))^(1/12)</f>
        <v>0.0152278058820259</v>
      </c>
      <c r="G380" s="39" t="n">
        <f aca="false">IF(C380&lt;Assumptions!$B$5,IF(D380=1,Assumptions!$B$16,IF(D380=2,Assumptions!$B$17,IF(D380&lt;=5,Assumptions!$B$18,Assumptions!$B$19)))*(1-Assumptions!$B$20),0)</f>
        <v>0</v>
      </c>
      <c r="H380" s="30" t="n">
        <f aca="false">1-(1-G380)^(1/12)</f>
        <v>0</v>
      </c>
      <c r="I380" s="30" t="n">
        <f aca="false">I379*(1-F379)*(1-H379)</f>
        <v>0.18051045610531</v>
      </c>
      <c r="J380" s="30" t="n">
        <f aca="false">INDEX(Discount_Monthly!$G$4:$G$664,MATCH(A380,Discount_Monthly!$A$4:$A$664,0))</f>
        <v>0.377336846041063</v>
      </c>
      <c r="K380" s="30" t="n">
        <f aca="false">IF(C380&lt;Assumptions!$B$5,I380*J380,0)</f>
        <v>0</v>
      </c>
      <c r="L380" s="30" t="n">
        <f aca="false">IF(C380&lt;Assumptions!$B$5,I380*(1-F380)*H380*A380*J380,0)</f>
        <v>0</v>
      </c>
      <c r="M380" s="30" t="n">
        <f aca="false">IF(A380=0,Assumptions!$B$14*12*I380*J380,IF(AND(A380&gt;=12,C380&lt;Assumptions!$B$5),Assumptions!$B$15*I380*J380,0))</f>
        <v>0</v>
      </c>
      <c r="N380" s="47" t="n">
        <f aca="false">IF(C380&gt;=Assumptions!$B$5,I380*Assumptions!$B$9/12*(1+Assumptions!$B$10)^INT(A380/12)*J380,0)</f>
        <v>167.793695809051</v>
      </c>
      <c r="O380" s="47" t="n">
        <f aca="false">I380*Assumptions!$B$12/12*(1+Assumptions!$B$11)^(INT(A380/12)+1)*J380</f>
        <v>1.00070025888455</v>
      </c>
      <c r="P380" s="47" t="n">
        <f aca="false">O380+Pricing_M!$B$13*M380+N380-Pricing_M!$B$13*K380</f>
        <v>168.794396067936</v>
      </c>
      <c r="Q380" s="47" t="n">
        <f aca="false">IF(C380&lt;Assumptions!$B$5,Pricing_M!$B$13*K380-Pricing_M!$B$13*M380-O380,-(N380+O380))</f>
        <v>-168.794396067936</v>
      </c>
      <c r="R380" s="32" t="n">
        <f aca="false">R379*(1-(1-(1-MIN(1,E379*(1-Assumptions!$B$21)))^(1/12)))*(1-H379)</f>
        <v>0.247480774346498</v>
      </c>
      <c r="S380" s="47" t="n">
        <f aca="false">R380*(IF(C380&lt;Assumptions!$B$5,Assumptions!$B$12*(1+Assumptions!$B$11)^(INT(A380/12)+1)/12+Pricing_M!$B$13*IF(A380=0,Assumptions!$B$14*12,IF(A380&gt;=12,Assumptions!$B$15,0))-Pricing_M!$B$13,Assumptions!$B$9/12*(1+Assumptions!$B$10)^INT(A380/12)+Assumptions!$B$12*(1+Assumptions!$B$11)^(INT(A380/12)+1)/12))*J380</f>
        <v>231.417995087617</v>
      </c>
      <c r="T380" s="32" t="n">
        <f aca="false">T379*(1-F379)*(1-(1-(1-MIN(1,G379*(1+Assumptions!$B$23)))^(1/12)))</f>
        <v>0.16352060484148</v>
      </c>
      <c r="U380" s="47" t="n">
        <f aca="false">T380*(IF(C380&lt;Assumptions!$B$5,Assumptions!$B$12*(1+Assumptions!$B$11)^(INT(A380/12)+1)/12+Pricing_M!$B$13*IF(A380=0,Assumptions!$B$14*12,IF(A380&gt;=12,Assumptions!$B$15,0))-Pricing_M!$B$13,Assumptions!$B$9/12*(1+Assumptions!$B$10)^INT(A380/12)+Assumptions!$B$12*(1+Assumptions!$B$11)^(INT(A380/12)+1)/12))*J380</f>
        <v>152.907273818966</v>
      </c>
      <c r="V380" s="32" t="n">
        <f aca="false">V379*(1-F379)*(1-(1-(1-MIN(1,G379*(1-Assumptions!$B$23)))^(1/12)))</f>
        <v>0.19908273032563</v>
      </c>
      <c r="W380" s="47" t="n">
        <f aca="false">V380*(IF(C380&lt;Assumptions!$B$5,Assumptions!$B$12*(1+Assumptions!$B$11)^(INT(A380/12)+1)/12+Pricing_M!$B$13*IF(A380=0,Assumptions!$B$14*12,IF(A380&gt;=12,Assumptions!$B$15,0))-Pricing_M!$B$13,Assumptions!$B$9/12*(1+Assumptions!$B$10)^INT(A380/12)+Assumptions!$B$12*(1+Assumptions!$B$11)^(INT(A380/12)+1)/12))*J380</f>
        <v>186.161233858197</v>
      </c>
      <c r="X380" s="47" t="n">
        <f aca="false">I380*(IF(C380&lt;Assumptions!$B$5,Assumptions!$B$12*(1+Assumptions!$B$11)*(1+Assumptions!$B$24)*(1+Assumptions!$B$11+Assumptions!$B$25)^(INT(A380/12))/12+Pricing_M!$B$13*IF(A380=0,Assumptions!$B$14*12,IF(A380&gt;=12,Assumptions!$B$15,0))-Pricing_M!$B$13,Assumptions!$B$9/12*(1+Assumptions!$B$10)^INT(A380/12)+Assumptions!$B$12*(1+Assumptions!$B$11)*(1+Assumptions!$B$24)*(1+Assumptions!$B$11+Assumptions!$B$25)^(INT(A380/12))/12))*J380</f>
        <v>169.281027096136</v>
      </c>
    </row>
    <row r="381" customFormat="false" ht="15" hidden="false" customHeight="true" outlineLevel="0" collapsed="false">
      <c r="A381" s="1" t="n">
        <v>374</v>
      </c>
      <c r="B381" s="31" t="n">
        <f aca="false">Assumptions!$B$4+A381/12</f>
        <v>96.1666666666667</v>
      </c>
      <c r="C381" s="34" t="n">
        <f aca="false">Assumptions!$B$4+INT(A381/12)</f>
        <v>96</v>
      </c>
      <c r="D381" s="34" t="n">
        <f aca="false">INT(A381/12)+1</f>
        <v>32</v>
      </c>
      <c r="E381" s="32" t="n">
        <f aca="false">IFERROR(INDEX(Cohort_Survival!$G$5:$G$65,MATCH(C381,Cohort_Survival!$A$5:$A$65,0)),1)</f>
        <v>0.168180055784723</v>
      </c>
      <c r="F381" s="30" t="n">
        <f aca="false">1-(1-MIN(1,E381))^(1/12)</f>
        <v>0.0152278058820259</v>
      </c>
      <c r="G381" s="39" t="n">
        <f aca="false">IF(C381&lt;Assumptions!$B$5,IF(D381=1,Assumptions!$B$16,IF(D381=2,Assumptions!$B$17,IF(D381&lt;=5,Assumptions!$B$18,Assumptions!$B$19)))*(1-Assumptions!$B$20),0)</f>
        <v>0</v>
      </c>
      <c r="H381" s="30" t="n">
        <f aca="false">1-(1-G381)^(1/12)</f>
        <v>0</v>
      </c>
      <c r="I381" s="30" t="n">
        <f aca="false">I380*(1-F380)*(1-H380)</f>
        <v>0.177761677920063</v>
      </c>
      <c r="J381" s="30" t="n">
        <f aca="false">INDEX(Discount_Monthly!$G$4:$G$664,MATCH(A381,Discount_Monthly!$A$4:$A$664,0))</f>
        <v>0.376332784500399</v>
      </c>
      <c r="K381" s="30" t="n">
        <f aca="false">IF(C381&lt;Assumptions!$B$5,I381*J381,0)</f>
        <v>0</v>
      </c>
      <c r="L381" s="30" t="n">
        <f aca="false">IF(C381&lt;Assumptions!$B$5,I381*(1-F381)*H381*A381*J381,0)</f>
        <v>0</v>
      </c>
      <c r="M381" s="30" t="n">
        <f aca="false">IF(A381=0,Assumptions!$B$14*12*I381*J381,IF(AND(A381&gt;=12,C381&lt;Assumptions!$B$5),Assumptions!$B$15*I381*J381,0))</f>
        <v>0</v>
      </c>
      <c r="N381" s="47" t="n">
        <f aca="false">IF(C381&gt;=Assumptions!$B$5,I381*Assumptions!$B$9/12*(1+Assumptions!$B$10)^INT(A381/12)*J381,0)</f>
        <v>164.798880085333</v>
      </c>
      <c r="O381" s="47" t="n">
        <f aca="false">I381*Assumptions!$B$12/12*(1+Assumptions!$B$11)^(INT(A381/12)+1)*J381</f>
        <v>0.982839558841051</v>
      </c>
      <c r="P381" s="47" t="n">
        <f aca="false">O381+Pricing_M!$B$13*M381+N381-Pricing_M!$B$13*K381</f>
        <v>165.781719644174</v>
      </c>
      <c r="Q381" s="47" t="n">
        <f aca="false">IF(C381&lt;Assumptions!$B$5,Pricing_M!$B$13*K381-Pricing_M!$B$13*M381-O381,-(N381+O381))</f>
        <v>-165.781719644174</v>
      </c>
      <c r="R381" s="32" t="n">
        <f aca="false">R380*(1-(1-(1-MIN(1,E380*(1-Assumptions!$B$21)))^(1/12)))*(1-H380)</f>
        <v>0.244518588679162</v>
      </c>
      <c r="S381" s="47" t="n">
        <f aca="false">R381*(IF(C381&lt;Assumptions!$B$5,Assumptions!$B$12*(1+Assumptions!$B$11)^(INT(A381/12)+1)/12+Pricing_M!$B$13*IF(A381=0,Assumptions!$B$14*12,IF(A381&gt;=12,Assumptions!$B$15,0))-Pricing_M!$B$13,Assumptions!$B$9/12*(1+Assumptions!$B$10)^INT(A381/12)+Assumptions!$B$12*(1+Assumptions!$B$11)^(INT(A381/12)+1)/12))*J381</f>
        <v>228.039657312566</v>
      </c>
      <c r="T381" s="32" t="n">
        <f aca="false">T380*(1-F380)*(1-(1-(1-MIN(1,G380*(1+Assumptions!$B$23)))^(1/12)))</f>
        <v>0.161030544813243</v>
      </c>
      <c r="U381" s="47" t="n">
        <f aca="false">T381*(IF(C381&lt;Assumptions!$B$5,Assumptions!$B$12*(1+Assumptions!$B$11)^(INT(A381/12)+1)/12+Pricing_M!$B$13*IF(A381=0,Assumptions!$B$14*12,IF(A381&gt;=12,Assumptions!$B$15,0))-Pricing_M!$B$13,Assumptions!$B$9/12*(1+Assumptions!$B$10)^INT(A381/12)+Assumptions!$B$12*(1+Assumptions!$B$11)^(INT(A381/12)+1)/12))*J381</f>
        <v>150.178153957246</v>
      </c>
      <c r="V381" s="32" t="n">
        <f aca="false">V380*(1-F380)*(1-(1-(1-MIN(1,G380*(1-Assumptions!$B$23)))^(1/12)))</f>
        <v>0.196051137153768</v>
      </c>
      <c r="W381" s="47" t="n">
        <f aca="false">V381*(IF(C381&lt;Assumptions!$B$5,Assumptions!$B$12*(1+Assumptions!$B$11)^(INT(A381/12)+1)/12+Pricing_M!$B$13*IF(A381=0,Assumptions!$B$14*12,IF(A381&gt;=12,Assumptions!$B$15,0))-Pricing_M!$B$13,Assumptions!$B$9/12*(1+Assumptions!$B$10)^INT(A381/12)+Assumptions!$B$12*(1+Assumptions!$B$11)^(INT(A381/12)+1)/12))*J381</f>
        <v>182.838590610981</v>
      </c>
      <c r="X381" s="47" t="n">
        <f aca="false">I381*(IF(C381&lt;Assumptions!$B$5,Assumptions!$B$12*(1+Assumptions!$B$11)*(1+Assumptions!$B$24)*(1+Assumptions!$B$11+Assumptions!$B$25)^(INT(A381/12))/12+Pricing_M!$B$13*IF(A381=0,Assumptions!$B$14*12,IF(A381&gt;=12,Assumptions!$B$15,0))-Pricing_M!$B$13,Assumptions!$B$9/12*(1+Assumptions!$B$10)^INT(A381/12)+Assumptions!$B$12*(1+Assumptions!$B$11)*(1+Assumptions!$B$24)*(1+Assumptions!$B$11+Assumptions!$B$25)^(INT(A381/12))/12))*J381</f>
        <v>166.259665183638</v>
      </c>
    </row>
    <row r="382" customFormat="false" ht="15" hidden="false" customHeight="true" outlineLevel="0" collapsed="false">
      <c r="A382" s="1" t="n">
        <v>375</v>
      </c>
      <c r="B382" s="31" t="n">
        <f aca="false">Assumptions!$B$4+A382/12</f>
        <v>96.25</v>
      </c>
      <c r="C382" s="34" t="n">
        <f aca="false">Assumptions!$B$4+INT(A382/12)</f>
        <v>96</v>
      </c>
      <c r="D382" s="34" t="n">
        <f aca="false">INT(A382/12)+1</f>
        <v>32</v>
      </c>
      <c r="E382" s="32" t="n">
        <f aca="false">IFERROR(INDEX(Cohort_Survival!$G$5:$G$65,MATCH(C382,Cohort_Survival!$A$5:$A$65,0)),1)</f>
        <v>0.168180055784723</v>
      </c>
      <c r="F382" s="30" t="n">
        <f aca="false">1-(1-MIN(1,E382))^(1/12)</f>
        <v>0.0152278058820259</v>
      </c>
      <c r="G382" s="39" t="n">
        <f aca="false">IF(C382&lt;Assumptions!$B$5,IF(D382=1,Assumptions!$B$16,IF(D382=2,Assumptions!$B$17,IF(D382&lt;=5,Assumptions!$B$18,Assumptions!$B$19)))*(1-Assumptions!$B$20),0)</f>
        <v>0</v>
      </c>
      <c r="H382" s="30" t="n">
        <f aca="false">1-(1-G382)^(1/12)</f>
        <v>0</v>
      </c>
      <c r="I382" s="30" t="n">
        <f aca="false">I381*(1-F381)*(1-H381)</f>
        <v>0.175054757595433</v>
      </c>
      <c r="J382" s="30" t="n">
        <f aca="false">INDEX(Discount_Monthly!$G$4:$G$664,MATCH(A382,Discount_Monthly!$A$4:$A$664,0))</f>
        <v>0.375331394682861</v>
      </c>
      <c r="K382" s="30" t="n">
        <f aca="false">IF(C382&lt;Assumptions!$B$5,I382*J382,0)</f>
        <v>0</v>
      </c>
      <c r="L382" s="30" t="n">
        <f aca="false">IF(C382&lt;Assumptions!$B$5,I382*(1-F382)*H382*A382*J382,0)</f>
        <v>0</v>
      </c>
      <c r="M382" s="30" t="n">
        <f aca="false">IF(A382=0,Assumptions!$B$14*12*I382*J382,IF(AND(A382&gt;=12,C382&lt;Assumptions!$B$5),Assumptions!$B$15*I382*J382,0))</f>
        <v>0</v>
      </c>
      <c r="N382" s="47" t="n">
        <f aca="false">IF(C382&gt;=Assumptions!$B$5,I382*Assumptions!$B$9/12*(1+Assumptions!$B$10)^INT(A382/12)*J382,0)</f>
        <v>161.857516436652</v>
      </c>
      <c r="O382" s="47" t="n">
        <f aca="false">I382*Assumptions!$B$12/12*(1+Assumptions!$B$11)^(INT(A382/12)+1)*J382</f>
        <v>0.965297640174102</v>
      </c>
      <c r="P382" s="47" t="n">
        <f aca="false">O382+Pricing_M!$B$13*M382+N382-Pricing_M!$B$13*K382</f>
        <v>162.822814076826</v>
      </c>
      <c r="Q382" s="47" t="n">
        <f aca="false">IF(C382&lt;Assumptions!$B$5,Pricing_M!$B$13*K382-Pricing_M!$B$13*M382-O382,-(N382+O382))</f>
        <v>-162.822814076826</v>
      </c>
      <c r="R382" s="32" t="n">
        <f aca="false">R381*(1-(1-(1-MIN(1,E381*(1-Assumptions!$B$21)))^(1/12)))*(1-H381)</f>
        <v>0.241591858468723</v>
      </c>
      <c r="S382" s="47" t="n">
        <f aca="false">R382*(IF(C382&lt;Assumptions!$B$5,Assumptions!$B$12*(1+Assumptions!$B$11)^(INT(A382/12)+1)/12+Pricing_M!$B$13*IF(A382=0,Assumptions!$B$14*12,IF(A382&gt;=12,Assumptions!$B$15,0))-Pricing_M!$B$13,Assumptions!$B$9/12*(1+Assumptions!$B$10)^INT(A382/12)+Assumptions!$B$12*(1+Assumptions!$B$11)^(INT(A382/12)+1)/12))*J382</f>
        <v>224.71063794129</v>
      </c>
      <c r="T382" s="32" t="n">
        <f aca="false">T381*(1-F381)*(1-(1-(1-MIN(1,G381*(1+Assumptions!$B$23)))^(1/12)))</f>
        <v>0.15857840293575</v>
      </c>
      <c r="U382" s="47" t="n">
        <f aca="false">T382*(IF(C382&lt;Assumptions!$B$5,Assumptions!$B$12*(1+Assumptions!$B$11)^(INT(A382/12)+1)/12+Pricing_M!$B$13*IF(A382=0,Assumptions!$B$14*12,IF(A382&gt;=12,Assumptions!$B$15,0))-Pricing_M!$B$13,Assumptions!$B$9/12*(1+Assumptions!$B$10)^INT(A382/12)+Assumptions!$B$12*(1+Assumptions!$B$11)^(INT(A382/12)+1)/12))*J382</f>
        <v>147.497743977232</v>
      </c>
      <c r="V382" s="32" t="n">
        <f aca="false">V381*(1-F381)*(1-(1-(1-MIN(1,G381*(1-Assumptions!$B$23)))^(1/12)))</f>
        <v>0.19306570849424</v>
      </c>
      <c r="W382" s="47" t="n">
        <f aca="false">V382*(IF(C382&lt;Assumptions!$B$5,Assumptions!$B$12*(1+Assumptions!$B$11)^(INT(A382/12)+1)/12+Pricing_M!$B$13*IF(A382=0,Assumptions!$B$14*12,IF(A382&gt;=12,Assumptions!$B$15,0))-Pricing_M!$B$13,Assumptions!$B$9/12*(1+Assumptions!$B$10)^INT(A382/12)+Assumptions!$B$12*(1+Assumptions!$B$11)^(INT(A382/12)+1)/12))*J382</f>
        <v>179.575250570558</v>
      </c>
      <c r="X382" s="47" t="n">
        <f aca="false">I382*(IF(C382&lt;Assumptions!$B$5,Assumptions!$B$12*(1+Assumptions!$B$11)*(1+Assumptions!$B$24)*(1+Assumptions!$B$11+Assumptions!$B$25)^(INT(A382/12))/12+Pricing_M!$B$13*IF(A382=0,Assumptions!$B$14*12,IF(A382&gt;=12,Assumptions!$B$15,0))-Pricing_M!$B$13,Assumptions!$B$9/12*(1+Assumptions!$B$10)^INT(A382/12)+Assumptions!$B$12*(1+Assumptions!$B$11)*(1+Assumptions!$B$24)*(1+Assumptions!$B$11+Assumptions!$B$25)^(INT(A382/12))/12))*J382</f>
        <v>163.292229147909</v>
      </c>
    </row>
    <row r="383" customFormat="false" ht="15" hidden="false" customHeight="true" outlineLevel="0" collapsed="false">
      <c r="A383" s="1" t="n">
        <v>376</v>
      </c>
      <c r="B383" s="31" t="n">
        <f aca="false">Assumptions!$B$4+A383/12</f>
        <v>96.3333333333333</v>
      </c>
      <c r="C383" s="34" t="n">
        <f aca="false">Assumptions!$B$4+INT(A383/12)</f>
        <v>96</v>
      </c>
      <c r="D383" s="34" t="n">
        <f aca="false">INT(A383/12)+1</f>
        <v>32</v>
      </c>
      <c r="E383" s="32" t="n">
        <f aca="false">IFERROR(INDEX(Cohort_Survival!$G$5:$G$65,MATCH(C383,Cohort_Survival!$A$5:$A$65,0)),1)</f>
        <v>0.168180055784723</v>
      </c>
      <c r="F383" s="30" t="n">
        <f aca="false">1-(1-MIN(1,E383))^(1/12)</f>
        <v>0.0152278058820259</v>
      </c>
      <c r="G383" s="39" t="n">
        <f aca="false">IF(C383&lt;Assumptions!$B$5,IF(D383=1,Assumptions!$B$16,IF(D383=2,Assumptions!$B$17,IF(D383&lt;=5,Assumptions!$B$18,Assumptions!$B$19)))*(1-Assumptions!$B$20),0)</f>
        <v>0</v>
      </c>
      <c r="H383" s="30" t="n">
        <f aca="false">1-(1-G383)^(1/12)</f>
        <v>0</v>
      </c>
      <c r="I383" s="30" t="n">
        <f aca="false">I382*(1-F382)*(1-H382)</f>
        <v>0.172389057728044</v>
      </c>
      <c r="J383" s="30" t="n">
        <f aca="false">INDEX(Discount_Monthly!$G$4:$G$664,MATCH(A383,Discount_Monthly!$A$4:$A$664,0))</f>
        <v>0.374332669479217</v>
      </c>
      <c r="K383" s="30" t="n">
        <f aca="false">IF(C383&lt;Assumptions!$B$5,I383*J383,0)</f>
        <v>0</v>
      </c>
      <c r="L383" s="30" t="n">
        <f aca="false">IF(C383&lt;Assumptions!$B$5,I383*(1-F383)*H383*A383*J383,0)</f>
        <v>0</v>
      </c>
      <c r="M383" s="30" t="n">
        <f aca="false">IF(A383=0,Assumptions!$B$14*12*I383*J383,IF(AND(A383&gt;=12,C383&lt;Assumptions!$B$5),Assumptions!$B$15*I383*J383,0))</f>
        <v>0</v>
      </c>
      <c r="N383" s="47" t="n">
        <f aca="false">IF(C383&gt;=Assumptions!$B$5,I383*Assumptions!$B$9/12*(1+Assumptions!$B$10)^INT(A383/12)*J383,0)</f>
        <v>158.968650839591</v>
      </c>
      <c r="O383" s="47" t="n">
        <f aca="false">I383*Assumptions!$B$12/12*(1+Assumptions!$B$11)^(INT(A383/12)+1)*J383</f>
        <v>0.948068813209405</v>
      </c>
      <c r="P383" s="47" t="n">
        <f aca="false">O383+Pricing_M!$B$13*M383+N383-Pricing_M!$B$13*K383</f>
        <v>159.9167196528</v>
      </c>
      <c r="Q383" s="47" t="n">
        <f aca="false">IF(C383&lt;Assumptions!$B$5,Pricing_M!$B$13*K383-Pricing_M!$B$13*M383-O383,-(N383+O383))</f>
        <v>-159.9167196528</v>
      </c>
      <c r="R383" s="32" t="n">
        <f aca="false">R382*(1-(1-(1-MIN(1,E382*(1-Assumptions!$B$21)))^(1/12)))*(1-H382)</f>
        <v>0.238700159336171</v>
      </c>
      <c r="S383" s="47" t="n">
        <f aca="false">R383*(IF(C383&lt;Assumptions!$B$5,Assumptions!$B$12*(1+Assumptions!$B$11)^(INT(A383/12)+1)/12+Pricing_M!$B$13*IF(A383=0,Assumptions!$B$14*12,IF(A383&gt;=12,Assumptions!$B$15,0))-Pricing_M!$B$13,Assumptions!$B$9/12*(1+Assumptions!$B$10)^INT(A383/12)+Assumptions!$B$12*(1+Assumptions!$B$11)^(INT(A383/12)+1)/12))*J383</f>
        <v>221.43021700287</v>
      </c>
      <c r="T383" s="32" t="n">
        <f aca="false">T382*(1-F382)*(1-(1-(1-MIN(1,G382*(1+Assumptions!$B$23)))^(1/12)))</f>
        <v>0.156163601798762</v>
      </c>
      <c r="U383" s="47" t="n">
        <f aca="false">T383*(IF(C383&lt;Assumptions!$B$5,Assumptions!$B$12*(1+Assumptions!$B$11)^(INT(A383/12)+1)/12+Pricing_M!$B$13*IF(A383=0,Assumptions!$B$14*12,IF(A383&gt;=12,Assumptions!$B$15,0))-Pricing_M!$B$13,Assumptions!$B$9/12*(1+Assumptions!$B$10)^INT(A383/12)+Assumptions!$B$12*(1+Assumptions!$B$11)^(INT(A383/12)+1)/12))*J383</f>
        <v>144.86517449513</v>
      </c>
      <c r="V383" s="32" t="n">
        <f aca="false">V382*(1-F382)*(1-(1-(1-MIN(1,G382*(1-Assumptions!$B$23)))^(1/12)))</f>
        <v>0.190125741362814</v>
      </c>
      <c r="W383" s="47" t="n">
        <f aca="false">V383*(IF(C383&lt;Assumptions!$B$5,Assumptions!$B$12*(1+Assumptions!$B$11)^(INT(A383/12)+1)/12+Pricing_M!$B$13*IF(A383=0,Assumptions!$B$14*12,IF(A383&gt;=12,Assumptions!$B$15,0))-Pricing_M!$B$13,Assumptions!$B$9/12*(1+Assumptions!$B$10)^INT(A383/12)+Assumptions!$B$12*(1+Assumptions!$B$11)^(INT(A383/12)+1)/12))*J383</f>
        <v>176.370155281333</v>
      </c>
      <c r="X383" s="47" t="n">
        <f aca="false">I383*(IF(C383&lt;Assumptions!$B$5,Assumptions!$B$12*(1+Assumptions!$B$11)*(1+Assumptions!$B$24)*(1+Assumptions!$B$11+Assumptions!$B$25)^(INT(A383/12))/12+Pricing_M!$B$13*IF(A383=0,Assumptions!$B$14*12,IF(A383&gt;=12,Assumptions!$B$15,0))-Pricing_M!$B$13,Assumptions!$B$9/12*(1+Assumptions!$B$10)^INT(A383/12)+Assumptions!$B$12*(1+Assumptions!$B$11)*(1+Assumptions!$B$24)*(1+Assumptions!$B$11+Assumptions!$B$25)^(INT(A383/12))/12))*J383</f>
        <v>160.377756509022</v>
      </c>
    </row>
    <row r="384" customFormat="false" ht="15" hidden="false" customHeight="true" outlineLevel="0" collapsed="false">
      <c r="A384" s="1" t="n">
        <v>377</v>
      </c>
      <c r="B384" s="31" t="n">
        <f aca="false">Assumptions!$B$4+A384/12</f>
        <v>96.4166666666667</v>
      </c>
      <c r="C384" s="34" t="n">
        <f aca="false">Assumptions!$B$4+INT(A384/12)</f>
        <v>96</v>
      </c>
      <c r="D384" s="34" t="n">
        <f aca="false">INT(A384/12)+1</f>
        <v>32</v>
      </c>
      <c r="E384" s="32" t="n">
        <f aca="false">IFERROR(INDEX(Cohort_Survival!$G$5:$G$65,MATCH(C384,Cohort_Survival!$A$5:$A$65,0)),1)</f>
        <v>0.168180055784723</v>
      </c>
      <c r="F384" s="30" t="n">
        <f aca="false">1-(1-MIN(1,E384))^(1/12)</f>
        <v>0.0152278058820259</v>
      </c>
      <c r="G384" s="39" t="n">
        <f aca="false">IF(C384&lt;Assumptions!$B$5,IF(D384=1,Assumptions!$B$16,IF(D384=2,Assumptions!$B$17,IF(D384&lt;=5,Assumptions!$B$18,Assumptions!$B$19)))*(1-Assumptions!$B$20),0)</f>
        <v>0</v>
      </c>
      <c r="H384" s="30" t="n">
        <f aca="false">1-(1-G384)^(1/12)</f>
        <v>0</v>
      </c>
      <c r="I384" s="30" t="n">
        <f aca="false">I383*(1-F383)*(1-H383)</f>
        <v>0.169763950620776</v>
      </c>
      <c r="J384" s="30" t="n">
        <f aca="false">INDEX(Discount_Monthly!$G$4:$G$664,MATCH(A384,Discount_Monthly!$A$4:$A$664,0))</f>
        <v>0.373336601799155</v>
      </c>
      <c r="K384" s="30" t="n">
        <f aca="false">IF(C384&lt;Assumptions!$B$5,I384*J384,0)</f>
        <v>0</v>
      </c>
      <c r="L384" s="30" t="n">
        <f aca="false">IF(C384&lt;Assumptions!$B$5,I384*(1-F384)*H384*A384*J384,0)</f>
        <v>0</v>
      </c>
      <c r="M384" s="30" t="n">
        <f aca="false">IF(A384=0,Assumptions!$B$14*12*I384*J384,IF(AND(A384&gt;=12,C384&lt;Assumptions!$B$5),Assumptions!$B$15*I384*J384,0))</f>
        <v>0</v>
      </c>
      <c r="N384" s="47" t="n">
        <f aca="false">IF(C384&gt;=Assumptions!$B$5,I384*Assumptions!$B$9/12*(1+Assumptions!$B$10)^INT(A384/12)*J384,0)</f>
        <v>156.131346298338</v>
      </c>
      <c r="O384" s="47" t="n">
        <f aca="false">I384*Assumptions!$B$12/12*(1+Assumptions!$B$11)^(INT(A384/12)+1)*J384</f>
        <v>0.931147489823112</v>
      </c>
      <c r="P384" s="47" t="n">
        <f aca="false">O384+Pricing_M!$B$13*M384+N384-Pricing_M!$B$13*K384</f>
        <v>157.062493788161</v>
      </c>
      <c r="Q384" s="47" t="n">
        <f aca="false">IF(C384&lt;Assumptions!$B$5,Pricing_M!$B$13*K384-Pricing_M!$B$13*M384-O384,-(N384+O384))</f>
        <v>-157.062493788161</v>
      </c>
      <c r="R384" s="32" t="n">
        <f aca="false">R383*(1-(1-(1-MIN(1,E383*(1-Assumptions!$B$21)))^(1/12)))*(1-H383)</f>
        <v>0.235843071982038</v>
      </c>
      <c r="S384" s="47" t="n">
        <f aca="false">R384*(IF(C384&lt;Assumptions!$B$5,Assumptions!$B$12*(1+Assumptions!$B$11)^(INT(A384/12)+1)/12+Pricing_M!$B$13*IF(A384=0,Assumptions!$B$14*12,IF(A384&gt;=12,Assumptions!$B$15,0))-Pricing_M!$B$13,Assumptions!$B$9/12*(1+Assumptions!$B$10)^INT(A384/12)+Assumptions!$B$12*(1+Assumptions!$B$11)^(INT(A384/12)+1)/12))*J384</f>
        <v>218.197685036827</v>
      </c>
      <c r="T384" s="32" t="n">
        <f aca="false">T383*(1-F383)*(1-(1-(1-MIN(1,G383*(1+Assumptions!$B$23)))^(1/12)))</f>
        <v>0.153785572784733</v>
      </c>
      <c r="U384" s="47" t="n">
        <f aca="false">T384*(IF(C384&lt;Assumptions!$B$5,Assumptions!$B$12*(1+Assumptions!$B$11)^(INT(A384/12)+1)/12+Pricing_M!$B$13*IF(A384=0,Assumptions!$B$14*12,IF(A384&gt;=12,Assumptions!$B$15,0))-Pricing_M!$B$13,Assumptions!$B$9/12*(1+Assumptions!$B$10)^INT(A384/12)+Assumptions!$B$12*(1+Assumptions!$B$11)^(INT(A384/12)+1)/12))*J384</f>
        <v>142.279591644086</v>
      </c>
      <c r="V384" s="32" t="n">
        <f aca="false">V383*(1-F383)*(1-(1-(1-MIN(1,G383*(1-Assumptions!$B$23)))^(1/12)))</f>
        <v>0.187230543480164</v>
      </c>
      <c r="W384" s="47" t="n">
        <f aca="false">V384*(IF(C384&lt;Assumptions!$B$5,Assumptions!$B$12*(1+Assumptions!$B$11)^(INT(A384/12)+1)/12+Pricing_M!$B$13*IF(A384=0,Assumptions!$B$14*12,IF(A384&gt;=12,Assumptions!$B$15,0))-Pricing_M!$B$13,Assumptions!$B$9/12*(1+Assumptions!$B$10)^INT(A384/12)+Assumptions!$B$12*(1+Assumptions!$B$11)^(INT(A384/12)+1)/12))*J384</f>
        <v>173.222265179239</v>
      </c>
      <c r="X384" s="47" t="n">
        <f aca="false">I384*(IF(C384&lt;Assumptions!$B$5,Assumptions!$B$12*(1+Assumptions!$B$11)*(1+Assumptions!$B$24)*(1+Assumptions!$B$11+Assumptions!$B$25)^(INT(A384/12))/12+Pricing_M!$B$13*IF(A384=0,Assumptions!$B$14*12,IF(A384&gt;=12,Assumptions!$B$15,0))-Pricing_M!$B$13,Assumptions!$B$9/12*(1+Assumptions!$B$10)^INT(A384/12)+Assumptions!$B$12*(1+Assumptions!$B$11)*(1+Assumptions!$B$24)*(1+Assumptions!$B$11+Assumptions!$B$25)^(INT(A384/12))/12))*J384</f>
        <v>157.515301965591</v>
      </c>
    </row>
    <row r="385" customFormat="false" ht="15" hidden="false" customHeight="true" outlineLevel="0" collapsed="false">
      <c r="A385" s="1" t="n">
        <v>378</v>
      </c>
      <c r="B385" s="31" t="n">
        <f aca="false">Assumptions!$B$4+A385/12</f>
        <v>96.5</v>
      </c>
      <c r="C385" s="34" t="n">
        <f aca="false">Assumptions!$B$4+INT(A385/12)</f>
        <v>96</v>
      </c>
      <c r="D385" s="34" t="n">
        <f aca="false">INT(A385/12)+1</f>
        <v>32</v>
      </c>
      <c r="E385" s="32" t="n">
        <f aca="false">IFERROR(INDEX(Cohort_Survival!$G$5:$G$65,MATCH(C385,Cohort_Survival!$A$5:$A$65,0)),1)</f>
        <v>0.168180055784723</v>
      </c>
      <c r="F385" s="30" t="n">
        <f aca="false">1-(1-MIN(1,E385))^(1/12)</f>
        <v>0.0152278058820259</v>
      </c>
      <c r="G385" s="39" t="n">
        <f aca="false">IF(C385&lt;Assumptions!$B$5,IF(D385=1,Assumptions!$B$16,IF(D385=2,Assumptions!$B$17,IF(D385&lt;=5,Assumptions!$B$18,Assumptions!$B$19)))*(1-Assumptions!$B$20),0)</f>
        <v>0</v>
      </c>
      <c r="H385" s="30" t="n">
        <f aca="false">1-(1-G385)^(1/12)</f>
        <v>0</v>
      </c>
      <c r="I385" s="30" t="n">
        <f aca="false">I384*(1-F384)*(1-H384)</f>
        <v>0.167178818134957</v>
      </c>
      <c r="J385" s="30" t="n">
        <f aca="false">INDEX(Discount_Monthly!$G$4:$G$664,MATCH(A385,Discount_Monthly!$A$4:$A$664,0))</f>
        <v>0.372343184571229</v>
      </c>
      <c r="K385" s="30" t="n">
        <f aca="false">IF(C385&lt;Assumptions!$B$5,I385*J385,0)</f>
        <v>0</v>
      </c>
      <c r="L385" s="30" t="n">
        <f aca="false">IF(C385&lt;Assumptions!$B$5,I385*(1-F385)*H385*A385*J385,0)</f>
        <v>0</v>
      </c>
      <c r="M385" s="30" t="n">
        <f aca="false">IF(A385=0,Assumptions!$B$14*12*I385*J385,IF(AND(A385&gt;=12,C385&lt;Assumptions!$B$5),Assumptions!$B$15*I385*J385,0))</f>
        <v>0</v>
      </c>
      <c r="N385" s="47" t="n">
        <f aca="false">IF(C385&gt;=Assumptions!$B$5,I385*Assumptions!$B$9/12*(1+Assumptions!$B$10)^INT(A385/12)*J385,0)</f>
        <v>153.34468254077</v>
      </c>
      <c r="O385" s="47" t="n">
        <f aca="false">I385*Assumptions!$B$12/12*(1+Assumptions!$B$11)^(INT(A385/12)+1)*J385</f>
        <v>0.914528181629339</v>
      </c>
      <c r="P385" s="47" t="n">
        <f aca="false">O385+Pricing_M!$B$13*M385+N385-Pricing_M!$B$13*K385</f>
        <v>154.259210722399</v>
      </c>
      <c r="Q385" s="47" t="n">
        <f aca="false">IF(C385&lt;Assumptions!$B$5,Pricing_M!$B$13*K385-Pricing_M!$B$13*M385-O385,-(N385+O385))</f>
        <v>-154.259210722399</v>
      </c>
      <c r="R385" s="32" t="n">
        <f aca="false">R384*(1-(1-(1-MIN(1,E384*(1-Assumptions!$B$21)))^(1/12)))*(1-H384)</f>
        <v>0.233020182125602</v>
      </c>
      <c r="S385" s="47" t="n">
        <f aca="false">R385*(IF(C385&lt;Assumptions!$B$5,Assumptions!$B$12*(1+Assumptions!$B$11)^(INT(A385/12)+1)/12+Pricing_M!$B$13*IF(A385=0,Assumptions!$B$14*12,IF(A385&gt;=12,Assumptions!$B$15,0))-Pricing_M!$B$13,Assumptions!$B$9/12*(1+Assumptions!$B$10)^INT(A385/12)+Assumptions!$B$12*(1+Assumptions!$B$11)^(INT(A385/12)+1)/12))*J385</f>
        <v>215.012342939687</v>
      </c>
      <c r="T385" s="32" t="n">
        <f aca="false">T384*(1-F384)*(1-(1-(1-MIN(1,G384*(1+Assumptions!$B$23)))^(1/12)))</f>
        <v>0.151443755934911</v>
      </c>
      <c r="U385" s="47" t="n">
        <f aca="false">T385*(IF(C385&lt;Assumptions!$B$5,Assumptions!$B$12*(1+Assumptions!$B$11)^(INT(A385/12)+1)/12+Pricing_M!$B$13*IF(A385=0,Assumptions!$B$14*12,IF(A385&gt;=12,Assumptions!$B$15,0))-Pricing_M!$B$13,Assumptions!$B$9/12*(1+Assumptions!$B$10)^INT(A385/12)+Assumptions!$B$12*(1+Assumptions!$B$11)^(INT(A385/12)+1)/12))*J385</f>
        <v>139.740156797233</v>
      </c>
      <c r="V385" s="32" t="n">
        <f aca="false">V384*(1-F384)*(1-(1-(1-MIN(1,G384*(1-Assumptions!$B$23)))^(1/12)))</f>
        <v>0.184379433108862</v>
      </c>
      <c r="W385" s="47" t="n">
        <f aca="false">V385*(IF(C385&lt;Assumptions!$B$5,Assumptions!$B$12*(1+Assumptions!$B$11)^(INT(A385/12)+1)/12+Pricing_M!$B$13*IF(A385=0,Assumptions!$B$14*12,IF(A385&gt;=12,Assumptions!$B$15,0))-Pricing_M!$B$13,Assumptions!$B$9/12*(1+Assumptions!$B$10)^INT(A385/12)+Assumptions!$B$12*(1+Assumptions!$B$11)^(INT(A385/12)+1)/12))*J385</f>
        <v>170.130559254559</v>
      </c>
      <c r="X385" s="47" t="n">
        <f aca="false">I385*(IF(C385&lt;Assumptions!$B$5,Assumptions!$B$12*(1+Assumptions!$B$11)*(1+Assumptions!$B$24)*(1+Assumptions!$B$11+Assumptions!$B$25)^(INT(A385/12))/12+Pricing_M!$B$13*IF(A385=0,Assumptions!$B$14*12,IF(A385&gt;=12,Assumptions!$B$15,0))-Pricing_M!$B$13,Assumptions!$B$9/12*(1+Assumptions!$B$10)^INT(A385/12)+Assumptions!$B$12*(1+Assumptions!$B$11)*(1+Assumptions!$B$24)*(1+Assumptions!$B$11+Assumptions!$B$25)^(INT(A385/12))/12))*J385</f>
        <v>154.703937088155</v>
      </c>
    </row>
    <row r="386" customFormat="false" ht="15" hidden="false" customHeight="true" outlineLevel="0" collapsed="false">
      <c r="A386" s="1" t="n">
        <v>379</v>
      </c>
      <c r="B386" s="31" t="n">
        <f aca="false">Assumptions!$B$4+A386/12</f>
        <v>96.5833333333333</v>
      </c>
      <c r="C386" s="34" t="n">
        <f aca="false">Assumptions!$B$4+INT(A386/12)</f>
        <v>96</v>
      </c>
      <c r="D386" s="34" t="n">
        <f aca="false">INT(A386/12)+1</f>
        <v>32</v>
      </c>
      <c r="E386" s="32" t="n">
        <f aca="false">IFERROR(INDEX(Cohort_Survival!$G$5:$G$65,MATCH(C386,Cohort_Survival!$A$5:$A$65,0)),1)</f>
        <v>0.168180055784723</v>
      </c>
      <c r="F386" s="30" t="n">
        <f aca="false">1-(1-MIN(1,E386))^(1/12)</f>
        <v>0.0152278058820259</v>
      </c>
      <c r="G386" s="39" t="n">
        <f aca="false">IF(C386&lt;Assumptions!$B$5,IF(D386=1,Assumptions!$B$16,IF(D386=2,Assumptions!$B$17,IF(D386&lt;=5,Assumptions!$B$18,Assumptions!$B$19)))*(1-Assumptions!$B$20),0)</f>
        <v>0</v>
      </c>
      <c r="H386" s="30" t="n">
        <f aca="false">1-(1-G386)^(1/12)</f>
        <v>0</v>
      </c>
      <c r="I386" s="30" t="n">
        <f aca="false">I385*(1-F385)*(1-H385)</f>
        <v>0.164633051544812</v>
      </c>
      <c r="J386" s="30" t="n">
        <f aca="false">INDEX(Discount_Monthly!$G$4:$G$664,MATCH(A386,Discount_Monthly!$A$4:$A$664,0))</f>
        <v>0.371352410742809</v>
      </c>
      <c r="K386" s="30" t="n">
        <f aca="false">IF(C386&lt;Assumptions!$B$5,I386*J386,0)</f>
        <v>0</v>
      </c>
      <c r="L386" s="30" t="n">
        <f aca="false">IF(C386&lt;Assumptions!$B$5,I386*(1-F386)*H386*A386*J386,0)</f>
        <v>0</v>
      </c>
      <c r="M386" s="30" t="n">
        <f aca="false">IF(A386=0,Assumptions!$B$14*12*I386*J386,IF(AND(A386&gt;=12,C386&lt;Assumptions!$B$5),Assumptions!$B$15*I386*J386,0))</f>
        <v>0</v>
      </c>
      <c r="N386" s="47" t="n">
        <f aca="false">IF(C386&gt;=Assumptions!$B$5,I386*Assumptions!$B$9/12*(1+Assumptions!$B$10)^INT(A386/12)*J386,0)</f>
        <v>150.607755719966</v>
      </c>
      <c r="O386" s="47" t="n">
        <f aca="false">I386*Assumptions!$B$12/12*(1+Assumptions!$B$11)^(INT(A386/12)+1)*J386</f>
        <v>0.89820549820002</v>
      </c>
      <c r="P386" s="47" t="n">
        <f aca="false">O386+Pricing_M!$B$13*M386+N386-Pricing_M!$B$13*K386</f>
        <v>151.505961218166</v>
      </c>
      <c r="Q386" s="47" t="n">
        <f aca="false">IF(C386&lt;Assumptions!$B$5,Pricing_M!$B$13*K386-Pricing_M!$B$13*M386-O386,-(N386+O386))</f>
        <v>-151.505961218166</v>
      </c>
      <c r="R386" s="32" t="n">
        <f aca="false">R385*(1-(1-(1-MIN(1,E385*(1-Assumptions!$B$21)))^(1/12)))*(1-H385)</f>
        <v>0.230231080444814</v>
      </c>
      <c r="S386" s="47" t="n">
        <f aca="false">R386*(IF(C386&lt;Assumptions!$B$5,Assumptions!$B$12*(1+Assumptions!$B$11)^(INT(A386/12)+1)/12+Pricing_M!$B$13*IF(A386=0,Assumptions!$B$14*12,IF(A386&gt;=12,Assumptions!$B$15,0))-Pricing_M!$B$13,Assumptions!$B$9/12*(1+Assumptions!$B$10)^INT(A386/12)+Assumptions!$B$12*(1+Assumptions!$B$11)^(INT(A386/12)+1)/12))*J386</f>
        <v>211.873501813783</v>
      </c>
      <c r="T386" s="32" t="n">
        <f aca="false">T385*(1-F385)*(1-(1-(1-MIN(1,G385*(1+Assumptions!$B$23)))^(1/12)))</f>
        <v>0.149137599817489</v>
      </c>
      <c r="U386" s="47" t="n">
        <f aca="false">T386*(IF(C386&lt;Assumptions!$B$5,Assumptions!$B$12*(1+Assumptions!$B$11)^(INT(A386/12)+1)/12+Pricing_M!$B$13*IF(A386=0,Assumptions!$B$14*12,IF(A386&gt;=12,Assumptions!$B$15,0))-Pricing_M!$B$13,Assumptions!$B$9/12*(1+Assumptions!$B$10)^INT(A386/12)+Assumptions!$B$12*(1+Assumptions!$B$11)^(INT(A386/12)+1)/12))*J386</f>
        <v>137.246046295683</v>
      </c>
      <c r="V386" s="32" t="n">
        <f aca="false">V385*(1-F385)*(1-(1-(1-MIN(1,G385*(1-Assumptions!$B$23)))^(1/12)))</f>
        <v>0.181571738892842</v>
      </c>
      <c r="W386" s="47" t="n">
        <f aca="false">V386*(IF(C386&lt;Assumptions!$B$5,Assumptions!$B$12*(1+Assumptions!$B$11)^(INT(A386/12)+1)/12+Pricing_M!$B$13*IF(A386=0,Assumptions!$B$14*12,IF(A386&gt;=12,Assumptions!$B$15,0))-Pricing_M!$B$13,Assumptions!$B$9/12*(1+Assumptions!$B$10)^INT(A386/12)+Assumptions!$B$12*(1+Assumptions!$B$11)^(INT(A386/12)+1)/12))*J386</f>
        <v>167.094034720763</v>
      </c>
      <c r="X386" s="47" t="n">
        <f aca="false">I386*(IF(C386&lt;Assumptions!$B$5,Assumptions!$B$12*(1+Assumptions!$B$11)*(1+Assumptions!$B$24)*(1+Assumptions!$B$11+Assumptions!$B$25)^(INT(A386/12))/12+Pricing_M!$B$13*IF(A386=0,Assumptions!$B$14*12,IF(A386&gt;=12,Assumptions!$B$15,0))-Pricing_M!$B$13,Assumptions!$B$9/12*(1+Assumptions!$B$10)^INT(A386/12)+Assumptions!$B$12*(1+Assumptions!$B$11)*(1+Assumptions!$B$24)*(1+Assumptions!$B$11+Assumptions!$B$25)^(INT(A386/12))/12))*J386</f>
        <v>151.942750018052</v>
      </c>
    </row>
    <row r="387" customFormat="false" ht="15" hidden="false" customHeight="true" outlineLevel="0" collapsed="false">
      <c r="A387" s="1" t="n">
        <v>380</v>
      </c>
      <c r="B387" s="31" t="n">
        <f aca="false">Assumptions!$B$4+A387/12</f>
        <v>96.6666666666667</v>
      </c>
      <c r="C387" s="34" t="n">
        <f aca="false">Assumptions!$B$4+INT(A387/12)</f>
        <v>96</v>
      </c>
      <c r="D387" s="34" t="n">
        <f aca="false">INT(A387/12)+1</f>
        <v>32</v>
      </c>
      <c r="E387" s="32" t="n">
        <f aca="false">IFERROR(INDEX(Cohort_Survival!$G$5:$G$65,MATCH(C387,Cohort_Survival!$A$5:$A$65,0)),1)</f>
        <v>0.168180055784723</v>
      </c>
      <c r="F387" s="30" t="n">
        <f aca="false">1-(1-MIN(1,E387))^(1/12)</f>
        <v>0.0152278058820259</v>
      </c>
      <c r="G387" s="39" t="n">
        <f aca="false">IF(C387&lt;Assumptions!$B$5,IF(D387=1,Assumptions!$B$16,IF(D387=2,Assumptions!$B$17,IF(D387&lt;=5,Assumptions!$B$18,Assumptions!$B$19)))*(1-Assumptions!$B$20),0)</f>
        <v>0</v>
      </c>
      <c r="H387" s="30" t="n">
        <f aca="false">1-(1-G387)^(1/12)</f>
        <v>0</v>
      </c>
      <c r="I387" s="30" t="n">
        <f aca="false">I386*(1-F386)*(1-H386)</f>
        <v>0.162126051394122</v>
      </c>
      <c r="J387" s="30" t="n">
        <f aca="false">INDEX(Discount_Monthly!$G$4:$G$664,MATCH(A387,Discount_Monthly!$A$4:$A$664,0))</f>
        <v>0.370364273280031</v>
      </c>
      <c r="K387" s="30" t="n">
        <f aca="false">IF(C387&lt;Assumptions!$B$5,I387*J387,0)</f>
        <v>0</v>
      </c>
      <c r="L387" s="30" t="n">
        <f aca="false">IF(C387&lt;Assumptions!$B$5,I387*(1-F387)*H387*A387*J387,0)</f>
        <v>0</v>
      </c>
      <c r="M387" s="30" t="n">
        <f aca="false">IF(A387=0,Assumptions!$B$14*12*I387*J387,IF(AND(A387&gt;=12,C387&lt;Assumptions!$B$5),Assumptions!$B$15*I387*J387,0))</f>
        <v>0</v>
      </c>
      <c r="N387" s="47" t="n">
        <f aca="false">IF(C387&gt;=Assumptions!$B$5,I387*Assumptions!$B$9/12*(1+Assumptions!$B$10)^INT(A387/12)*J387,0)</f>
        <v>147.919678121047</v>
      </c>
      <c r="O387" s="47" t="n">
        <f aca="false">I387*Assumptions!$B$12/12*(1+Assumptions!$B$11)^(INT(A387/12)+1)*J387</f>
        <v>0.882174145316533</v>
      </c>
      <c r="P387" s="47" t="n">
        <f aca="false">O387+Pricing_M!$B$13*M387+N387-Pricing_M!$B$13*K387</f>
        <v>148.801852266364</v>
      </c>
      <c r="Q387" s="47" t="n">
        <f aca="false">IF(C387&lt;Assumptions!$B$5,Pricing_M!$B$13*K387-Pricing_M!$B$13*M387-O387,-(N387+O387))</f>
        <v>-148.801852266364</v>
      </c>
      <c r="R387" s="32" t="n">
        <f aca="false">R386*(1-(1-(1-MIN(1,E386*(1-Assumptions!$B$21)))^(1/12)))*(1-H386)</f>
        <v>0.227475362516947</v>
      </c>
      <c r="S387" s="47" t="n">
        <f aca="false">R387*(IF(C387&lt;Assumptions!$B$5,Assumptions!$B$12*(1+Assumptions!$B$11)^(INT(A387/12)+1)/12+Pricing_M!$B$13*IF(A387=0,Assumptions!$B$14*12,IF(A387&gt;=12,Assumptions!$B$15,0))-Pricing_M!$B$13,Assumptions!$B$9/12*(1+Assumptions!$B$10)^INT(A387/12)+Assumptions!$B$12*(1+Assumptions!$B$11)^(INT(A387/12)+1)/12))*J387</f>
        <v>208.78048281827</v>
      </c>
      <c r="T387" s="32" t="n">
        <f aca="false">T386*(1-F386)*(1-(1-(1-MIN(1,G386*(1+Assumptions!$B$23)))^(1/12)))</f>
        <v>0.146866561397757</v>
      </c>
      <c r="U387" s="47" t="n">
        <f aca="false">T387*(IF(C387&lt;Assumptions!$B$5,Assumptions!$B$12*(1+Assumptions!$B$11)^(INT(A387/12)+1)/12+Pricing_M!$B$13*IF(A387=0,Assumptions!$B$14*12,IF(A387&gt;=12,Assumptions!$B$15,0))-Pricing_M!$B$13,Assumptions!$B$9/12*(1+Assumptions!$B$10)^INT(A387/12)+Assumptions!$B$12*(1+Assumptions!$B$11)^(INT(A387/12)+1)/12))*J387</f>
        <v>134.796451181382</v>
      </c>
      <c r="V387" s="32" t="n">
        <f aca="false">V386*(1-F386)*(1-(1-(1-MIN(1,G386*(1-Assumptions!$B$23)))^(1/12)))</f>
        <v>0.17880679969932</v>
      </c>
      <c r="W387" s="47" t="n">
        <f aca="false">V387*(IF(C387&lt;Assumptions!$B$5,Assumptions!$B$12*(1+Assumptions!$B$11)^(INT(A387/12)+1)/12+Pricing_M!$B$13*IF(A387=0,Assumptions!$B$14*12,IF(A387&gt;=12,Assumptions!$B$15,0))-Pricing_M!$B$13,Assumptions!$B$9/12*(1+Assumptions!$B$10)^INT(A387/12)+Assumptions!$B$12*(1+Assumptions!$B$11)^(INT(A387/12)+1)/12))*J387</f>
        <v>164.111706689257</v>
      </c>
      <c r="X387" s="47" t="n">
        <f aca="false">I387*(IF(C387&lt;Assumptions!$B$5,Assumptions!$B$12*(1+Assumptions!$B$11)*(1+Assumptions!$B$24)*(1+Assumptions!$B$11+Assumptions!$B$25)^(INT(A387/12))/12+Pricing_M!$B$13*IF(A387=0,Assumptions!$B$14*12,IF(A387&gt;=12,Assumptions!$B$15,0))-Pricing_M!$B$13,Assumptions!$B$9/12*(1+Assumptions!$B$10)^INT(A387/12)+Assumptions!$B$12*(1+Assumptions!$B$11)*(1+Assumptions!$B$24)*(1+Assumptions!$B$11+Assumptions!$B$25)^(INT(A387/12))/12))*J387</f>
        <v>149.230845171658</v>
      </c>
    </row>
    <row r="388" customFormat="false" ht="15" hidden="false" customHeight="true" outlineLevel="0" collapsed="false">
      <c r="A388" s="1" t="n">
        <v>381</v>
      </c>
      <c r="B388" s="31" t="n">
        <f aca="false">Assumptions!$B$4+A388/12</f>
        <v>96.75</v>
      </c>
      <c r="C388" s="34" t="n">
        <f aca="false">Assumptions!$B$4+INT(A388/12)</f>
        <v>96</v>
      </c>
      <c r="D388" s="34" t="n">
        <f aca="false">INT(A388/12)+1</f>
        <v>32</v>
      </c>
      <c r="E388" s="32" t="n">
        <f aca="false">IFERROR(INDEX(Cohort_Survival!$G$5:$G$65,MATCH(C388,Cohort_Survival!$A$5:$A$65,0)),1)</f>
        <v>0.168180055784723</v>
      </c>
      <c r="F388" s="30" t="n">
        <f aca="false">1-(1-MIN(1,E388))^(1/12)</f>
        <v>0.0152278058820259</v>
      </c>
      <c r="G388" s="39" t="n">
        <f aca="false">IF(C388&lt;Assumptions!$B$5,IF(D388=1,Assumptions!$B$16,IF(D388=2,Assumptions!$B$17,IF(D388&lt;=5,Assumptions!$B$18,Assumptions!$B$19)))*(1-Assumptions!$B$20),0)</f>
        <v>0</v>
      </c>
      <c r="H388" s="30" t="n">
        <f aca="false">1-(1-G388)^(1/12)</f>
        <v>0</v>
      </c>
      <c r="I388" s="30" t="n">
        <f aca="false">I387*(1-F387)*(1-H387)</f>
        <v>0.159657227355073</v>
      </c>
      <c r="J388" s="30" t="n">
        <f aca="false">INDEX(Discount_Monthly!$G$4:$G$664,MATCH(A388,Discount_Monthly!$A$4:$A$664,0))</f>
        <v>0.369378765167749</v>
      </c>
      <c r="K388" s="30" t="n">
        <f aca="false">IF(C388&lt;Assumptions!$B$5,I388*J388,0)</f>
        <v>0</v>
      </c>
      <c r="L388" s="30" t="n">
        <f aca="false">IF(C388&lt;Assumptions!$B$5,I388*(1-F388)*H388*A388*J388,0)</f>
        <v>0</v>
      </c>
      <c r="M388" s="30" t="n">
        <f aca="false">IF(A388=0,Assumptions!$B$14*12*I388*J388,IF(AND(A388&gt;=12,C388&lt;Assumptions!$B$5),Assumptions!$B$15*I388*J388,0))</f>
        <v>0</v>
      </c>
      <c r="N388" s="47" t="n">
        <f aca="false">IF(C388&gt;=Assumptions!$B$5,I388*Assumptions!$B$9/12*(1+Assumptions!$B$10)^INT(A388/12)*J388,0)</f>
        <v>145.279577873251</v>
      </c>
      <c r="O388" s="47" t="n">
        <f aca="false">I388*Assumptions!$B$12/12*(1+Assumptions!$B$11)^(INT(A388/12)+1)*J388</f>
        <v>0.866428923252541</v>
      </c>
      <c r="P388" s="47" t="n">
        <f aca="false">O388+Pricing_M!$B$13*M388+N388-Pricing_M!$B$13*K388</f>
        <v>146.146006796503</v>
      </c>
      <c r="Q388" s="47" t="n">
        <f aca="false">IF(C388&lt;Assumptions!$B$5,Pricing_M!$B$13*K388-Pricing_M!$B$13*M388-O388,-(N388+O388))</f>
        <v>-146.146006796503</v>
      </c>
      <c r="R388" s="32" t="n">
        <f aca="false">R387*(1-(1-(1-MIN(1,E387*(1-Assumptions!$B$21)))^(1/12)))*(1-H387)</f>
        <v>0.224752628759955</v>
      </c>
      <c r="S388" s="47" t="n">
        <f aca="false">R388*(IF(C388&lt;Assumptions!$B$5,Assumptions!$B$12*(1+Assumptions!$B$11)^(INT(A388/12)+1)/12+Pricing_M!$B$13*IF(A388=0,Assumptions!$B$14*12,IF(A388&gt;=12,Assumptions!$B$15,0))-Pricing_M!$B$13,Assumptions!$B$9/12*(1+Assumptions!$B$10)^INT(A388/12)+Assumptions!$B$12*(1+Assumptions!$B$11)^(INT(A388/12)+1)/12))*J388</f>
        <v>205.732617022306</v>
      </c>
      <c r="T388" s="32" t="n">
        <f aca="false">T387*(1-F387)*(1-(1-(1-MIN(1,G387*(1+Assumptions!$B$23)))^(1/12)))</f>
        <v>0.144630105910231</v>
      </c>
      <c r="U388" s="47" t="n">
        <f aca="false">T388*(IF(C388&lt;Assumptions!$B$5,Assumptions!$B$12*(1+Assumptions!$B$11)^(INT(A388/12)+1)/12+Pricing_M!$B$13*IF(A388=0,Assumptions!$B$14*12,IF(A388&gt;=12,Assumptions!$B$15,0))-Pricing_M!$B$13,Assumptions!$B$9/12*(1+Assumptions!$B$10)^INT(A388/12)+Assumptions!$B$12*(1+Assumptions!$B$11)^(INT(A388/12)+1)/12))*J388</f>
        <v>132.390576934719</v>
      </c>
      <c r="V388" s="32" t="n">
        <f aca="false">V387*(1-F387)*(1-(1-(1-MIN(1,G387*(1-Assumptions!$B$23)))^(1/12)))</f>
        <v>0.176083964463113</v>
      </c>
      <c r="W388" s="47" t="n">
        <f aca="false">V388*(IF(C388&lt;Assumptions!$B$5,Assumptions!$B$12*(1+Assumptions!$B$11)^(INT(A388/12)+1)/12+Pricing_M!$B$13*IF(A388=0,Assumptions!$B$14*12,IF(A388&gt;=12,Assumptions!$B$15,0))-Pricing_M!$B$13,Assumptions!$B$9/12*(1+Assumptions!$B$10)^INT(A388/12)+Assumptions!$B$12*(1+Assumptions!$B$11)^(INT(A388/12)+1)/12))*J388</f>
        <v>161.182607849939</v>
      </c>
      <c r="X388" s="47" t="n">
        <f aca="false">I388*(IF(C388&lt;Assumptions!$B$5,Assumptions!$B$12*(1+Assumptions!$B$11)*(1+Assumptions!$B$24)*(1+Assumptions!$B$11+Assumptions!$B$25)^(INT(A388/12))/12+Pricing_M!$B$13*IF(A388=0,Assumptions!$B$14*12,IF(A388&gt;=12,Assumptions!$B$15,0))-Pricing_M!$B$13,Assumptions!$B$9/12*(1+Assumptions!$B$10)^INT(A388/12)+Assumptions!$B$12*(1+Assumptions!$B$11)*(1+Assumptions!$B$24)*(1+Assumptions!$B$11+Assumptions!$B$25)^(INT(A388/12))/12))*J388</f>
        <v>146.567342949903</v>
      </c>
    </row>
    <row r="389" customFormat="false" ht="15" hidden="false" customHeight="true" outlineLevel="0" collapsed="false">
      <c r="A389" s="1" t="n">
        <v>382</v>
      </c>
      <c r="B389" s="31" t="n">
        <f aca="false">Assumptions!$B$4+A389/12</f>
        <v>96.8333333333333</v>
      </c>
      <c r="C389" s="34" t="n">
        <f aca="false">Assumptions!$B$4+INT(A389/12)</f>
        <v>96</v>
      </c>
      <c r="D389" s="34" t="n">
        <f aca="false">INT(A389/12)+1</f>
        <v>32</v>
      </c>
      <c r="E389" s="32" t="n">
        <f aca="false">IFERROR(INDEX(Cohort_Survival!$G$5:$G$65,MATCH(C389,Cohort_Survival!$A$5:$A$65,0)),1)</f>
        <v>0.168180055784723</v>
      </c>
      <c r="F389" s="30" t="n">
        <f aca="false">1-(1-MIN(1,E389))^(1/12)</f>
        <v>0.0152278058820259</v>
      </c>
      <c r="G389" s="39" t="n">
        <f aca="false">IF(C389&lt;Assumptions!$B$5,IF(D389=1,Assumptions!$B$16,IF(D389=2,Assumptions!$B$17,IF(D389&lt;=5,Assumptions!$B$18,Assumptions!$B$19)))*(1-Assumptions!$B$20),0)</f>
        <v>0</v>
      </c>
      <c r="H389" s="30" t="n">
        <f aca="false">1-(1-G389)^(1/12)</f>
        <v>0</v>
      </c>
      <c r="I389" s="30" t="n">
        <f aca="false">I388*(1-F388)*(1-H388)</f>
        <v>0.157225998089247</v>
      </c>
      <c r="J389" s="30" t="n">
        <f aca="false">INDEX(Discount_Monthly!$G$4:$G$664,MATCH(A389,Discount_Monthly!$A$4:$A$664,0))</f>
        <v>0.368395879409483</v>
      </c>
      <c r="K389" s="30" t="n">
        <f aca="false">IF(C389&lt;Assumptions!$B$5,I389*J389,0)</f>
        <v>0</v>
      </c>
      <c r="L389" s="30" t="n">
        <f aca="false">IF(C389&lt;Assumptions!$B$5,I389*(1-F389)*H389*A389*J389,0)</f>
        <v>0</v>
      </c>
      <c r="M389" s="30" t="n">
        <f aca="false">IF(A389=0,Assumptions!$B$14*12*I389*J389,IF(AND(A389&gt;=12,C389&lt;Assumptions!$B$5),Assumptions!$B$15*I389*J389,0))</f>
        <v>0</v>
      </c>
      <c r="N389" s="47" t="n">
        <f aca="false">IF(C389&gt;=Assumptions!$B$5,I389*Assumptions!$B$9/12*(1+Assumptions!$B$10)^INT(A389/12)*J389,0)</f>
        <v>142.686598667137</v>
      </c>
      <c r="O389" s="47" t="n">
        <f aca="false">I389*Assumptions!$B$12/12*(1+Assumptions!$B$11)^(INT(A389/12)+1)*J389</f>
        <v>0.850964725087471</v>
      </c>
      <c r="P389" s="47" t="n">
        <f aca="false">O389+Pricing_M!$B$13*M389+N389-Pricing_M!$B$13*K389</f>
        <v>143.537563392224</v>
      </c>
      <c r="Q389" s="47" t="n">
        <f aca="false">IF(C389&lt;Assumptions!$B$5,Pricing_M!$B$13*K389-Pricing_M!$B$13*M389-O389,-(N389+O389))</f>
        <v>-143.537563392224</v>
      </c>
      <c r="R389" s="32" t="n">
        <f aca="false">R388*(1-(1-(1-MIN(1,E388*(1-Assumptions!$B$21)))^(1/12)))*(1-H388)</f>
        <v>0.22206248437453</v>
      </c>
      <c r="S389" s="47" t="n">
        <f aca="false">R389*(IF(C389&lt;Assumptions!$B$5,Assumptions!$B$12*(1+Assumptions!$B$11)^(INT(A389/12)+1)/12+Pricing_M!$B$13*IF(A389=0,Assumptions!$B$14*12,IF(A389&gt;=12,Assumptions!$B$15,0))-Pricing_M!$B$13,Assumptions!$B$9/12*(1+Assumptions!$B$10)^INT(A389/12)+Assumptions!$B$12*(1+Assumptions!$B$11)^(INT(A389/12)+1)/12))*J389</f>
        <v>202.729245260385</v>
      </c>
      <c r="T389" s="32" t="n">
        <f aca="false">T388*(1-F388)*(1-(1-(1-MIN(1,G388*(1+Assumptions!$B$23)))^(1/12)))</f>
        <v>0.142427706732734</v>
      </c>
      <c r="U389" s="47" t="n">
        <f aca="false">T389*(IF(C389&lt;Assumptions!$B$5,Assumptions!$B$12*(1+Assumptions!$B$11)^(INT(A389/12)+1)/12+Pricing_M!$B$13*IF(A389=0,Assumptions!$B$14*12,IF(A389&gt;=12,Assumptions!$B$15,0))-Pricing_M!$B$13,Assumptions!$B$9/12*(1+Assumptions!$B$10)^INT(A389/12)+Assumptions!$B$12*(1+Assumptions!$B$11)^(INT(A389/12)+1)/12))*J389</f>
        <v>130.027643216831</v>
      </c>
      <c r="V389" s="32" t="n">
        <f aca="false">V388*(1-F388)*(1-(1-(1-MIN(1,G388*(1-Assumptions!$B$23)))^(1/12)))</f>
        <v>0.173402592033331</v>
      </c>
      <c r="W389" s="47" t="n">
        <f aca="false">V389*(IF(C389&lt;Assumptions!$B$5,Assumptions!$B$12*(1+Assumptions!$B$11)^(INT(A389/12)+1)/12+Pricing_M!$B$13*IF(A389=0,Assumptions!$B$14*12,IF(A389&gt;=12,Assumptions!$B$15,0))-Pricing_M!$B$13,Assumptions!$B$9/12*(1+Assumptions!$B$10)^INT(A389/12)+Assumptions!$B$12*(1+Assumptions!$B$11)^(INT(A389/12)+1)/12))*J389</f>
        <v>158.305788157451</v>
      </c>
      <c r="X389" s="47" t="n">
        <f aca="false">I389*(IF(C389&lt;Assumptions!$B$5,Assumptions!$B$12*(1+Assumptions!$B$11)*(1+Assumptions!$B$24)*(1+Assumptions!$B$11+Assumptions!$B$25)^(INT(A389/12))/12+Pricing_M!$B$13*IF(A389=0,Assumptions!$B$14*12,IF(A389&gt;=12,Assumptions!$B$15,0))-Pricing_M!$B$13,Assumptions!$B$9/12*(1+Assumptions!$B$10)^INT(A389/12)+Assumptions!$B$12*(1+Assumptions!$B$11)*(1+Assumptions!$B$24)*(1+Assumptions!$B$11+Assumptions!$B$25)^(INT(A389/12))/12))*J389</f>
        <v>143.951379452982</v>
      </c>
    </row>
    <row r="390" customFormat="false" ht="15" hidden="false" customHeight="true" outlineLevel="0" collapsed="false">
      <c r="A390" s="1" t="n">
        <v>383</v>
      </c>
      <c r="B390" s="31" t="n">
        <f aca="false">Assumptions!$B$4+A390/12</f>
        <v>96.9166666666667</v>
      </c>
      <c r="C390" s="34" t="n">
        <f aca="false">Assumptions!$B$4+INT(A390/12)</f>
        <v>96</v>
      </c>
      <c r="D390" s="34" t="n">
        <f aca="false">INT(A390/12)+1</f>
        <v>32</v>
      </c>
      <c r="E390" s="32" t="n">
        <f aca="false">IFERROR(INDEX(Cohort_Survival!$G$5:$G$65,MATCH(C390,Cohort_Survival!$A$5:$A$65,0)),1)</f>
        <v>0.168180055784723</v>
      </c>
      <c r="F390" s="30" t="n">
        <f aca="false">1-(1-MIN(1,E390))^(1/12)</f>
        <v>0.0152278058820259</v>
      </c>
      <c r="G390" s="39" t="n">
        <f aca="false">IF(C390&lt;Assumptions!$B$5,IF(D390=1,Assumptions!$B$16,IF(D390=2,Assumptions!$B$17,IF(D390&lt;=5,Assumptions!$B$18,Assumptions!$B$19)))*(1-Assumptions!$B$20),0)</f>
        <v>0</v>
      </c>
      <c r="H390" s="30" t="n">
        <f aca="false">1-(1-G390)^(1/12)</f>
        <v>0</v>
      </c>
      <c r="I390" s="30" t="n">
        <f aca="false">I389*(1-F389)*(1-H389)</f>
        <v>0.154831791110736</v>
      </c>
      <c r="J390" s="30" t="n">
        <f aca="false">INDEX(Discount_Monthly!$G$4:$G$664,MATCH(A390,Discount_Monthly!$A$4:$A$664,0))</f>
        <v>0.36741560902737</v>
      </c>
      <c r="K390" s="30" t="n">
        <f aca="false">IF(C390&lt;Assumptions!$B$5,I390*J390,0)</f>
        <v>0</v>
      </c>
      <c r="L390" s="30" t="n">
        <f aca="false">IF(C390&lt;Assumptions!$B$5,I390*(1-F390)*H390*A390*J390,0)</f>
        <v>0</v>
      </c>
      <c r="M390" s="30" t="n">
        <f aca="false">IF(A390=0,Assumptions!$B$14*12*I390*J390,IF(AND(A390&gt;=12,C390&lt;Assumptions!$B$5),Assumptions!$B$15*I390*J390,0))</f>
        <v>0</v>
      </c>
      <c r="N390" s="47" t="n">
        <f aca="false">IF(C390&gt;=Assumptions!$B$5,I390*Assumptions!$B$9/12*(1+Assumptions!$B$10)^INT(A390/12)*J390,0)</f>
        <v>140.13989947685</v>
      </c>
      <c r="O390" s="47" t="n">
        <f aca="false">I390*Assumptions!$B$12/12*(1+Assumptions!$B$11)^(INT(A390/12)+1)*J390</f>
        <v>0.835776535050096</v>
      </c>
      <c r="P390" s="47" t="n">
        <f aca="false">O390+Pricing_M!$B$13*M390+N390-Pricing_M!$B$13*K390</f>
        <v>140.9756760119</v>
      </c>
      <c r="Q390" s="47" t="n">
        <f aca="false">IF(C390&lt;Assumptions!$B$5,Pricing_M!$B$13*K390-Pricing_M!$B$13*M390-O390,-(N390+O390))</f>
        <v>-140.9756760119</v>
      </c>
      <c r="R390" s="32" t="n">
        <f aca="false">R389*(1-(1-(1-MIN(1,E389*(1-Assumptions!$B$21)))^(1/12)))*(1-H389)</f>
        <v>0.219404539286859</v>
      </c>
      <c r="S390" s="47" t="n">
        <f aca="false">R390*(IF(C390&lt;Assumptions!$B$5,Assumptions!$B$12*(1+Assumptions!$B$11)^(INT(A390/12)+1)/12+Pricing_M!$B$13*IF(A390=0,Assumptions!$B$14*12,IF(A390&gt;=12,Assumptions!$B$15,0))-Pricing_M!$B$13,Assumptions!$B$9/12*(1+Assumptions!$B$10)^INT(A390/12)+Assumptions!$B$12*(1+Assumptions!$B$11)^(INT(A390/12)+1)/12))*J390</f>
        <v>199.76971798978</v>
      </c>
      <c r="T390" s="32" t="n">
        <f aca="false">T389*(1-F389)*(1-(1-(1-MIN(1,G389*(1+Assumptions!$B$23)))^(1/12)))</f>
        <v>0.140258845262385</v>
      </c>
      <c r="U390" s="47" t="n">
        <f aca="false">T390*(IF(C390&lt;Assumptions!$B$5,Assumptions!$B$12*(1+Assumptions!$B$11)^(INT(A390/12)+1)/12+Pricing_M!$B$13*IF(A390=0,Assumptions!$B$14*12,IF(A390&gt;=12,Assumptions!$B$15,0))-Pricing_M!$B$13,Assumptions!$B$9/12*(1+Assumptions!$B$10)^INT(A390/12)+Assumptions!$B$12*(1+Assumptions!$B$11)^(INT(A390/12)+1)/12))*J390</f>
        <v>127.706883616501</v>
      </c>
      <c r="V390" s="32" t="n">
        <f aca="false">V389*(1-F389)*(1-(1-(1-MIN(1,G389*(1-Assumptions!$B$23)))^(1/12)))</f>
        <v>0.170762051022407</v>
      </c>
      <c r="W390" s="47" t="n">
        <f aca="false">V390*(IF(C390&lt;Assumptions!$B$5,Assumptions!$B$12*(1+Assumptions!$B$11)^(INT(A390/12)+1)/12+Pricing_M!$B$13*IF(A390=0,Assumptions!$B$14*12,IF(A390&gt;=12,Assumptions!$B$15,0))-Pricing_M!$B$13,Assumptions!$B$9/12*(1+Assumptions!$B$10)^INT(A390/12)+Assumptions!$B$12*(1+Assumptions!$B$11)^(INT(A390/12)+1)/12))*J390</f>
        <v>155.480314523036</v>
      </c>
      <c r="X390" s="47" t="n">
        <f aca="false">I390*(IF(C390&lt;Assumptions!$B$5,Assumptions!$B$12*(1+Assumptions!$B$11)*(1+Assumptions!$B$24)*(1+Assumptions!$B$11+Assumptions!$B$25)^(INT(A390/12))/12+Pricing_M!$B$13*IF(A390=0,Assumptions!$B$14*12,IF(A390&gt;=12,Assumptions!$B$15,0))-Pricing_M!$B$13,Assumptions!$B$9/12*(1+Assumptions!$B$10)^INT(A390/12)+Assumptions!$B$12*(1+Assumptions!$B$11)*(1+Assumptions!$B$24)*(1+Assumptions!$B$11+Assumptions!$B$25)^(INT(A390/12))/12))*J390</f>
        <v>141.382106200146</v>
      </c>
    </row>
    <row r="391" customFormat="false" ht="15" hidden="false" customHeight="true" outlineLevel="0" collapsed="false">
      <c r="A391" s="1" t="n">
        <v>384</v>
      </c>
      <c r="B391" s="31" t="n">
        <f aca="false">Assumptions!$B$4+A391/12</f>
        <v>97</v>
      </c>
      <c r="C391" s="34" t="n">
        <f aca="false">Assumptions!$B$4+INT(A391/12)</f>
        <v>97</v>
      </c>
      <c r="D391" s="34" t="n">
        <f aca="false">INT(A391/12)+1</f>
        <v>33</v>
      </c>
      <c r="E391" s="32" t="n">
        <f aca="false">IFERROR(INDEX(Cohort_Survival!$G$5:$G$65,MATCH(C391,Cohort_Survival!$A$5:$A$65,0)),1)</f>
        <v>0.178088862915254</v>
      </c>
      <c r="F391" s="30" t="n">
        <f aca="false">1-(1-MIN(1,E391))^(1/12)</f>
        <v>0.0162107512401245</v>
      </c>
      <c r="G391" s="39" t="n">
        <f aca="false">IF(C391&lt;Assumptions!$B$5,IF(D391=1,Assumptions!$B$16,IF(D391=2,Assumptions!$B$17,IF(D391&lt;=5,Assumptions!$B$18,Assumptions!$B$19)))*(1-Assumptions!$B$20),0)</f>
        <v>0</v>
      </c>
      <c r="H391" s="30" t="n">
        <f aca="false">1-(1-G391)^(1/12)</f>
        <v>0</v>
      </c>
      <c r="I391" s="30" t="n">
        <f aca="false">I390*(1-F390)*(1-H390)</f>
        <v>0.152474042651336</v>
      </c>
      <c r="J391" s="30" t="n">
        <f aca="false">INDEX(Discount_Monthly!$G$4:$G$664,MATCH(A391,Discount_Monthly!$A$4:$A$664,0))</f>
        <v>0.366437947062115</v>
      </c>
      <c r="K391" s="30" t="n">
        <f aca="false">IF(C391&lt;Assumptions!$B$5,I391*J391,0)</f>
        <v>0</v>
      </c>
      <c r="L391" s="30" t="n">
        <f aca="false">IF(C391&lt;Assumptions!$B$5,I391*(1-F391)*H391*A391*J391,0)</f>
        <v>0</v>
      </c>
      <c r="M391" s="30" t="n">
        <f aca="false">IF(A391=0,Assumptions!$B$14*12*I391*J391,IF(AND(A391&gt;=12,C391&lt;Assumptions!$B$5),Assumptions!$B$15*I391*J391,0))</f>
        <v>0</v>
      </c>
      <c r="N391" s="47" t="n">
        <f aca="false">IF(C391&gt;=Assumptions!$B$5,I391*Assumptions!$B$9/12*(1+Assumptions!$B$10)^INT(A391/12)*J391,0)</f>
        <v>140.39142737308</v>
      </c>
      <c r="O391" s="47" t="n">
        <f aca="false">I391*Assumptions!$B$12/12*(1+Assumptions!$B$11)^(INT(A391/12)+1)*J391</f>
        <v>0.841380912563981</v>
      </c>
      <c r="P391" s="47" t="n">
        <f aca="false">O391+Pricing_M!$B$13*M391+N391-Pricing_M!$B$13*K391</f>
        <v>141.232808285644</v>
      </c>
      <c r="Q391" s="47" t="n">
        <f aca="false">IF(C391&lt;Assumptions!$B$5,Pricing_M!$B$13*K391-Pricing_M!$B$13*M391-O391,-(N391+O391))</f>
        <v>-141.232808285644</v>
      </c>
      <c r="R391" s="32" t="n">
        <f aca="false">R390*(1-(1-(1-MIN(1,E390*(1-Assumptions!$B$21)))^(1/12)))*(1-H390)</f>
        <v>0.216778408092062</v>
      </c>
      <c r="S391" s="47" t="n">
        <f aca="false">R391*(IF(C391&lt;Assumptions!$B$5,Assumptions!$B$12*(1+Assumptions!$B$11)^(INT(A391/12)+1)/12+Pricing_M!$B$13*IF(A391=0,Assumptions!$B$14*12,IF(A391&gt;=12,Assumptions!$B$15,0))-Pricing_M!$B$13,Assumptions!$B$9/12*(1+Assumptions!$B$10)^INT(A391/12)+Assumptions!$B$12*(1+Assumptions!$B$11)^(INT(A391/12)+1)/12))*J391</f>
        <v>200.796298295466</v>
      </c>
      <c r="T391" s="32" t="n">
        <f aca="false">T390*(1-F390)*(1-(1-(1-MIN(1,G390*(1+Assumptions!$B$23)))^(1/12)))</f>
        <v>0.138123010793493</v>
      </c>
      <c r="U391" s="47" t="n">
        <f aca="false">T391*(IF(C391&lt;Assumptions!$B$5,Assumptions!$B$12*(1+Assumptions!$B$11)^(INT(A391/12)+1)/12+Pricing_M!$B$13*IF(A391=0,Assumptions!$B$14*12,IF(A391&gt;=12,Assumptions!$B$15,0))-Pricing_M!$B$13,Assumptions!$B$9/12*(1+Assumptions!$B$10)^INT(A391/12)+Assumptions!$B$12*(1+Assumptions!$B$11)^(INT(A391/12)+1)/12))*J391</f>
        <v>127.939814305582</v>
      </c>
      <c r="V391" s="32" t="n">
        <f aca="false">V390*(1-F390)*(1-(1-(1-MIN(1,G390*(1-Assumptions!$B$23)))^(1/12)))</f>
        <v>0.168161719657422</v>
      </c>
      <c r="W391" s="47" t="n">
        <f aca="false">V391*(IF(C391&lt;Assumptions!$B$5,Assumptions!$B$12*(1+Assumptions!$B$11)^(INT(A391/12)+1)/12+Pricing_M!$B$13*IF(A391=0,Assumptions!$B$14*12,IF(A391&gt;=12,Assumptions!$B$15,0))-Pricing_M!$B$13,Assumptions!$B$9/12*(1+Assumptions!$B$10)^INT(A391/12)+Assumptions!$B$12*(1+Assumptions!$B$11)^(INT(A391/12)+1)/12))*J391</f>
        <v>155.763902500245</v>
      </c>
      <c r="X391" s="47" t="n">
        <f aca="false">I391*(IF(C391&lt;Assumptions!$B$5,Assumptions!$B$12*(1+Assumptions!$B$11)*(1+Assumptions!$B$24)*(1+Assumptions!$B$11+Assumptions!$B$25)^(INT(A391/12))/12+Pricing_M!$B$13*IF(A391=0,Assumptions!$B$14*12,IF(A391&gt;=12,Assumptions!$B$15,0))-Pricing_M!$B$13,Assumptions!$B$9/12*(1+Assumptions!$B$10)^INT(A391/12)+Assumptions!$B$12*(1+Assumptions!$B$11)*(1+Assumptions!$B$24)*(1+Assumptions!$B$11+Assumptions!$B$25)^(INT(A391/12))/12))*J391</f>
        <v>141.6541641851</v>
      </c>
    </row>
    <row r="392" customFormat="false" ht="15" hidden="false" customHeight="true" outlineLevel="0" collapsed="false">
      <c r="A392" s="1" t="n">
        <v>385</v>
      </c>
      <c r="B392" s="31" t="n">
        <f aca="false">Assumptions!$B$4+A392/12</f>
        <v>97.0833333333333</v>
      </c>
      <c r="C392" s="34" t="n">
        <f aca="false">Assumptions!$B$4+INT(A392/12)</f>
        <v>97</v>
      </c>
      <c r="D392" s="34" t="n">
        <f aca="false">INT(A392/12)+1</f>
        <v>33</v>
      </c>
      <c r="E392" s="32" t="n">
        <f aca="false">IFERROR(INDEX(Cohort_Survival!$G$5:$G$65,MATCH(C392,Cohort_Survival!$A$5:$A$65,0)),1)</f>
        <v>0.178088862915254</v>
      </c>
      <c r="F392" s="30" t="n">
        <f aca="false">1-(1-MIN(1,E392))^(1/12)</f>
        <v>0.0162107512401245</v>
      </c>
      <c r="G392" s="39" t="n">
        <f aca="false">IF(C392&lt;Assumptions!$B$5,IF(D392=1,Assumptions!$B$16,IF(D392=2,Assumptions!$B$17,IF(D392&lt;=5,Assumptions!$B$18,Assumptions!$B$19)))*(1-Assumptions!$B$20),0)</f>
        <v>0</v>
      </c>
      <c r="H392" s="30" t="n">
        <f aca="false">1-(1-G392)^(1/12)</f>
        <v>0</v>
      </c>
      <c r="I392" s="30" t="n">
        <f aca="false">I391*(1-F391)*(1-H391)</f>
        <v>0.150002323875339</v>
      </c>
      <c r="J392" s="30" t="n">
        <f aca="false">INDEX(Discount_Monthly!$G$4:$G$664,MATCH(A392,Discount_Monthly!$A$4:$A$664,0))</f>
        <v>0.365461706356567</v>
      </c>
      <c r="K392" s="30" t="n">
        <f aca="false">IF(C392&lt;Assumptions!$B$5,I392*J392,0)</f>
        <v>0</v>
      </c>
      <c r="L392" s="30" t="n">
        <f aca="false">IF(C392&lt;Assumptions!$B$5,I392*(1-F392)*H392*A392*J392,0)</f>
        <v>0</v>
      </c>
      <c r="M392" s="30" t="n">
        <f aca="false">IF(A392=0,Assumptions!$B$14*12*I392*J392,IF(AND(A392&gt;=12,C392&lt;Assumptions!$B$5),Assumptions!$B$15*I392*J392,0))</f>
        <v>0</v>
      </c>
      <c r="N392" s="47" t="n">
        <f aca="false">IF(C392&gt;=Assumptions!$B$5,I392*Assumptions!$B$9/12*(1+Assumptions!$B$10)^INT(A392/12)*J392,0)</f>
        <v>137.747618119722</v>
      </c>
      <c r="O392" s="47" t="n">
        <f aca="false">I392*Assumptions!$B$12/12*(1+Assumptions!$B$11)^(INT(A392/12)+1)*J392</f>
        <v>0.825536279569945</v>
      </c>
      <c r="P392" s="47" t="n">
        <f aca="false">O392+Pricing_M!$B$13*M392+N392-Pricing_M!$B$13*K392</f>
        <v>138.573154399292</v>
      </c>
      <c r="Q392" s="47" t="n">
        <f aca="false">IF(C392&lt;Assumptions!$B$5,Pricing_M!$B$13*K392-Pricing_M!$B$13*M392-O392,-(N392+O392))</f>
        <v>-138.573154399292</v>
      </c>
      <c r="R392" s="32" t="n">
        <f aca="false">R391*(1-(1-(1-MIN(1,E391*(1-Assumptions!$B$21)))^(1/12)))*(1-H391)</f>
        <v>0.214019537029131</v>
      </c>
      <c r="S392" s="47" t="n">
        <f aca="false">R392*(IF(C392&lt;Assumptions!$B$5,Assumptions!$B$12*(1+Assumptions!$B$11)^(INT(A392/12)+1)/12+Pricing_M!$B$13*IF(A392=0,Assumptions!$B$14*12,IF(A392&gt;=12,Assumptions!$B$15,0))-Pricing_M!$B$13,Assumptions!$B$9/12*(1+Assumptions!$B$10)^INT(A392/12)+Assumptions!$B$12*(1+Assumptions!$B$11)^(INT(A392/12)+1)/12))*J392</f>
        <v>197.712685930451</v>
      </c>
      <c r="T392" s="32" t="n">
        <f aca="false">T391*(1-F391)*(1-(1-(1-MIN(1,G391*(1+Assumptions!$B$23)))^(1/12)))</f>
        <v>0.135883933024982</v>
      </c>
      <c r="U392" s="47" t="n">
        <f aca="false">T392*(IF(C392&lt;Assumptions!$B$5,Assumptions!$B$12*(1+Assumptions!$B$11)^(INT(A392/12)+1)/12+Pricing_M!$B$13*IF(A392=0,Assumptions!$B$14*12,IF(A392&gt;=12,Assumptions!$B$15,0))-Pricing_M!$B$13,Assumptions!$B$9/12*(1+Assumptions!$B$10)^INT(A392/12)+Assumptions!$B$12*(1+Assumptions!$B$11)^(INT(A392/12)+1)/12))*J392</f>
        <v>125.530490094958</v>
      </c>
      <c r="V392" s="32" t="n">
        <f aca="false">V391*(1-F391)*(1-(1-(1-MIN(1,G391*(1-Assumptions!$B$23)))^(1/12)))</f>
        <v>0.165435691851943</v>
      </c>
      <c r="W392" s="47" t="n">
        <f aca="false">V392*(IF(C392&lt;Assumptions!$B$5,Assumptions!$B$12*(1+Assumptions!$B$11)^(INT(A392/12)+1)/12+Pricing_M!$B$13*IF(A392=0,Assumptions!$B$14*12,IF(A392&gt;=12,Assumptions!$B$15,0))-Pricing_M!$B$13,Assumptions!$B$9/12*(1+Assumptions!$B$10)^INT(A392/12)+Assumptions!$B$12*(1+Assumptions!$B$11)^(INT(A392/12)+1)/12))*J392</f>
        <v>152.830603405885</v>
      </c>
      <c r="X392" s="47" t="n">
        <f aca="false">I392*(IF(C392&lt;Assumptions!$B$5,Assumptions!$B$12*(1+Assumptions!$B$11)*(1+Assumptions!$B$24)*(1+Assumptions!$B$11+Assumptions!$B$25)^(INT(A392/12))/12+Pricing_M!$B$13*IF(A392=0,Assumptions!$B$14*12,IF(A392&gt;=12,Assumptions!$B$15,0))-Pricing_M!$B$13,Assumptions!$B$9/12*(1+Assumptions!$B$10)^INT(A392/12)+Assumptions!$B$12*(1+Assumptions!$B$11)*(1+Assumptions!$B$24)*(1+Assumptions!$B$11+Assumptions!$B$25)^(INT(A392/12))/12))*J392</f>
        <v>138.986575450825</v>
      </c>
    </row>
    <row r="393" customFormat="false" ht="15" hidden="false" customHeight="true" outlineLevel="0" collapsed="false">
      <c r="A393" s="1" t="n">
        <v>386</v>
      </c>
      <c r="B393" s="31" t="n">
        <f aca="false">Assumptions!$B$4+A393/12</f>
        <v>97.1666666666667</v>
      </c>
      <c r="C393" s="34" t="n">
        <f aca="false">Assumptions!$B$4+INT(A393/12)</f>
        <v>97</v>
      </c>
      <c r="D393" s="34" t="n">
        <f aca="false">INT(A393/12)+1</f>
        <v>33</v>
      </c>
      <c r="E393" s="32" t="n">
        <f aca="false">IFERROR(INDEX(Cohort_Survival!$G$5:$G$65,MATCH(C393,Cohort_Survival!$A$5:$A$65,0)),1)</f>
        <v>0.178088862915254</v>
      </c>
      <c r="F393" s="30" t="n">
        <f aca="false">1-(1-MIN(1,E393))^(1/12)</f>
        <v>0.0162107512401245</v>
      </c>
      <c r="G393" s="39" t="n">
        <f aca="false">IF(C393&lt;Assumptions!$B$5,IF(D393=1,Assumptions!$B$16,IF(D393=2,Assumptions!$B$17,IF(D393&lt;=5,Assumptions!$B$18,Assumptions!$B$19)))*(1-Assumptions!$B$20),0)</f>
        <v>0</v>
      </c>
      <c r="H393" s="30" t="n">
        <f aca="false">1-(1-G393)^(1/12)</f>
        <v>0</v>
      </c>
      <c r="I393" s="30" t="n">
        <f aca="false">I392*(1-F392)*(1-H392)</f>
        <v>0.147570673517555</v>
      </c>
      <c r="J393" s="30" t="n">
        <f aca="false">INDEX(Discount_Monthly!$G$4:$G$664,MATCH(A393,Discount_Monthly!$A$4:$A$664,0))</f>
        <v>0.364488066489504</v>
      </c>
      <c r="K393" s="30" t="n">
        <f aca="false">IF(C393&lt;Assumptions!$B$5,I393*J393,0)</f>
        <v>0</v>
      </c>
      <c r="L393" s="30" t="n">
        <f aca="false">IF(C393&lt;Assumptions!$B$5,I393*(1-F393)*H393*A393*J393,0)</f>
        <v>0</v>
      </c>
      <c r="M393" s="30" t="n">
        <f aca="false">IF(A393=0,Assumptions!$B$14*12*I393*J393,IF(AND(A393&gt;=12,C393&lt;Assumptions!$B$5),Assumptions!$B$15*I393*J393,0))</f>
        <v>0</v>
      </c>
      <c r="N393" s="47" t="n">
        <f aca="false">IF(C393&gt;=Assumptions!$B$5,I393*Assumptions!$B$9/12*(1+Assumptions!$B$10)^INT(A393/12)*J393,0)</f>
        <v>135.153596289279</v>
      </c>
      <c r="O393" s="47" t="n">
        <f aca="false">I393*Assumptions!$B$12/12*(1+Assumptions!$B$11)^(INT(A393/12)+1)*J393</f>
        <v>0.809990027952247</v>
      </c>
      <c r="P393" s="47" t="n">
        <f aca="false">O393+Pricing_M!$B$13*M393+N393-Pricing_M!$B$13*K393</f>
        <v>135.963586317231</v>
      </c>
      <c r="Q393" s="47" t="n">
        <f aca="false">IF(C393&lt;Assumptions!$B$5,Pricing_M!$B$13*K393-Pricing_M!$B$13*M393-O393,-(N393+O393))</f>
        <v>-135.963586317231</v>
      </c>
      <c r="R393" s="32" t="n">
        <f aca="false">R392*(1-(1-(1-MIN(1,E392*(1-Assumptions!$B$21)))^(1/12)))*(1-H392)</f>
        <v>0.211295777256152</v>
      </c>
      <c r="S393" s="47" t="n">
        <f aca="false">R393*(IF(C393&lt;Assumptions!$B$5,Assumptions!$B$12*(1+Assumptions!$B$11)^(INT(A393/12)+1)/12+Pricing_M!$B$13*IF(A393=0,Assumptions!$B$14*12,IF(A393&gt;=12,Assumptions!$B$15,0))-Pricing_M!$B$13,Assumptions!$B$9/12*(1+Assumptions!$B$10)^INT(A393/12)+Assumptions!$B$12*(1+Assumptions!$B$11)^(INT(A393/12)+1)/12))*J393</f>
        <v>194.676428348859</v>
      </c>
      <c r="T393" s="32" t="n">
        <f aca="false">T392*(1-F392)*(1-(1-(1-MIN(1,G392*(1+Assumptions!$B$23)))^(1/12)))</f>
        <v>0.133681152389185</v>
      </c>
      <c r="U393" s="47" t="n">
        <f aca="false">T393*(IF(C393&lt;Assumptions!$B$5,Assumptions!$B$12*(1+Assumptions!$B$11)^(INT(A393/12)+1)/12+Pricing_M!$B$13*IF(A393=0,Assumptions!$B$14*12,IF(A393&gt;=12,Assumptions!$B$15,0))-Pricing_M!$B$13,Assumptions!$B$9/12*(1+Assumptions!$B$10)^INT(A393/12)+Assumptions!$B$12*(1+Assumptions!$B$11)^(INT(A393/12)+1)/12))*J393</f>
        <v>123.166537555252</v>
      </c>
      <c r="V393" s="32" t="n">
        <f aca="false">V392*(1-F392)*(1-(1-(1-MIN(1,G392*(1-Assumptions!$B$23)))^(1/12)))</f>
        <v>0.162753855005094</v>
      </c>
      <c r="W393" s="47" t="n">
        <f aca="false">V393*(IF(C393&lt;Assumptions!$B$5,Assumptions!$B$12*(1+Assumptions!$B$11)^(INT(A393/12)+1)/12+Pricing_M!$B$13*IF(A393=0,Assumptions!$B$14*12,IF(A393&gt;=12,Assumptions!$B$15,0))-Pricing_M!$B$13,Assumptions!$B$9/12*(1+Assumptions!$B$10)^INT(A393/12)+Assumptions!$B$12*(1+Assumptions!$B$11)^(INT(A393/12)+1)/12))*J393</f>
        <v>149.952543320301</v>
      </c>
      <c r="X393" s="47" t="n">
        <f aca="false">I393*(IF(C393&lt;Assumptions!$B$5,Assumptions!$B$12*(1+Assumptions!$B$11)*(1+Assumptions!$B$24)*(1+Assumptions!$B$11+Assumptions!$B$25)^(INT(A393/12))/12+Pricing_M!$B$13*IF(A393=0,Assumptions!$B$14*12,IF(A393&gt;=12,Assumptions!$B$15,0))-Pricing_M!$B$13,Assumptions!$B$9/12*(1+Assumptions!$B$10)^INT(A393/12)+Assumptions!$B$12*(1+Assumptions!$B$11)*(1+Assumptions!$B$24)*(1+Assumptions!$B$11+Assumptions!$B$25)^(INT(A393/12))/12))*J393</f>
        <v>136.369221947516</v>
      </c>
    </row>
    <row r="394" customFormat="false" ht="15" hidden="false" customHeight="true" outlineLevel="0" collapsed="false">
      <c r="A394" s="1" t="n">
        <v>387</v>
      </c>
      <c r="B394" s="31" t="n">
        <f aca="false">Assumptions!$B$4+A394/12</f>
        <v>97.25</v>
      </c>
      <c r="C394" s="34" t="n">
        <f aca="false">Assumptions!$B$4+INT(A394/12)</f>
        <v>97</v>
      </c>
      <c r="D394" s="34" t="n">
        <f aca="false">INT(A394/12)+1</f>
        <v>33</v>
      </c>
      <c r="E394" s="32" t="n">
        <f aca="false">IFERROR(INDEX(Cohort_Survival!$G$5:$G$65,MATCH(C394,Cohort_Survival!$A$5:$A$65,0)),1)</f>
        <v>0.178088862915254</v>
      </c>
      <c r="F394" s="30" t="n">
        <f aca="false">1-(1-MIN(1,E394))^(1/12)</f>
        <v>0.0162107512401245</v>
      </c>
      <c r="G394" s="39" t="n">
        <f aca="false">IF(C394&lt;Assumptions!$B$5,IF(D394=1,Assumptions!$B$16,IF(D394=2,Assumptions!$B$17,IF(D394&lt;=5,Assumptions!$B$18,Assumptions!$B$19)))*(1-Assumptions!$B$20),0)</f>
        <v>0</v>
      </c>
      <c r="H394" s="30" t="n">
        <f aca="false">1-(1-G394)^(1/12)</f>
        <v>0</v>
      </c>
      <c r="I394" s="30" t="n">
        <f aca="false">I393*(1-F393)*(1-H393)</f>
        <v>0.145178442038824</v>
      </c>
      <c r="J394" s="30" t="n">
        <f aca="false">INDEX(Discount_Monthly!$G$4:$G$664,MATCH(A394,Discount_Monthly!$A$4:$A$664,0))</f>
        <v>0.363517020531937</v>
      </c>
      <c r="K394" s="30" t="n">
        <f aca="false">IF(C394&lt;Assumptions!$B$5,I394*J394,0)</f>
        <v>0</v>
      </c>
      <c r="L394" s="30" t="n">
        <f aca="false">IF(C394&lt;Assumptions!$B$5,I394*(1-F394)*H394*A394*J394,0)</f>
        <v>0</v>
      </c>
      <c r="M394" s="30" t="n">
        <f aca="false">IF(A394=0,Assumptions!$B$14*12*I394*J394,IF(AND(A394&gt;=12,C394&lt;Assumptions!$B$5),Assumptions!$B$15*I394*J394,0))</f>
        <v>0</v>
      </c>
      <c r="N394" s="47" t="n">
        <f aca="false">IF(C394&gt;=Assumptions!$B$5,I394*Assumptions!$B$9/12*(1+Assumptions!$B$10)^INT(A394/12)*J394,0)</f>
        <v>132.608424299933</v>
      </c>
      <c r="O394" s="47" t="n">
        <f aca="false">I394*Assumptions!$B$12/12*(1+Assumptions!$B$11)^(INT(A394/12)+1)*J394</f>
        <v>0.794736538682301</v>
      </c>
      <c r="P394" s="47" t="n">
        <f aca="false">O394+Pricing_M!$B$13*M394+N394-Pricing_M!$B$13*K394</f>
        <v>133.403160838615</v>
      </c>
      <c r="Q394" s="47" t="n">
        <f aca="false">IF(C394&lt;Assumptions!$B$5,Pricing_M!$B$13*K394-Pricing_M!$B$13*M394-O394,-(N394+O394))</f>
        <v>-133.403160838615</v>
      </c>
      <c r="R394" s="32" t="n">
        <f aca="false">R393*(1-(1-(1-MIN(1,E393*(1-Assumptions!$B$21)))^(1/12)))*(1-H393)</f>
        <v>0.208606681922709</v>
      </c>
      <c r="S394" s="47" t="n">
        <f aca="false">R394*(IF(C394&lt;Assumptions!$B$5,Assumptions!$B$12*(1+Assumptions!$B$11)^(INT(A394/12)+1)/12+Pricing_M!$B$13*IF(A394=0,Assumptions!$B$14*12,IF(A394&gt;=12,Assumptions!$B$15,0))-Pricing_M!$B$13,Assumptions!$B$9/12*(1+Assumptions!$B$10)^INT(A394/12)+Assumptions!$B$12*(1+Assumptions!$B$11)^(INT(A394/12)+1)/12))*J394</f>
        <v>191.686798327143</v>
      </c>
      <c r="T394" s="32" t="n">
        <f aca="false">T393*(1-F393)*(1-(1-(1-MIN(1,G393*(1+Assumptions!$B$23)))^(1/12)))</f>
        <v>0.13151408048231</v>
      </c>
      <c r="U394" s="47" t="n">
        <f aca="false">T394*(IF(C394&lt;Assumptions!$B$5,Assumptions!$B$12*(1+Assumptions!$B$11)^(INT(A394/12)+1)/12+Pricing_M!$B$13*IF(A394=0,Assumptions!$B$14*12,IF(A394&gt;=12,Assumptions!$B$15,0))-Pricing_M!$B$13,Assumptions!$B$9/12*(1+Assumptions!$B$10)^INT(A394/12)+Assumptions!$B$12*(1+Assumptions!$B$11)^(INT(A394/12)+1)/12))*J394</f>
        <v>120.847102260764</v>
      </c>
      <c r="V394" s="32" t="n">
        <f aca="false">V393*(1-F393)*(1-(1-(1-MIN(1,G393*(1-Assumptions!$B$23)))^(1/12)))</f>
        <v>0.160115492748235</v>
      </c>
      <c r="W394" s="47" t="n">
        <f aca="false">V394*(IF(C394&lt;Assumptions!$B$5,Assumptions!$B$12*(1+Assumptions!$B$11)^(INT(A394/12)+1)/12+Pricing_M!$B$13*IF(A394=0,Assumptions!$B$14*12,IF(A394&gt;=12,Assumptions!$B$15,0))-Pricing_M!$B$13,Assumptions!$B$9/12*(1+Assumptions!$B$10)^INT(A394/12)+Assumptions!$B$12*(1+Assumptions!$B$11)^(INT(A394/12)+1)/12))*J394</f>
        <v>147.128681999045</v>
      </c>
      <c r="X394" s="47" t="n">
        <f aca="false">I394*(IF(C394&lt;Assumptions!$B$5,Assumptions!$B$12*(1+Assumptions!$B$11)*(1+Assumptions!$B$24)*(1+Assumptions!$B$11+Assumptions!$B$25)^(INT(A394/12))/12+Pricing_M!$B$13*IF(A394=0,Assumptions!$B$14*12,IF(A394&gt;=12,Assumptions!$B$15,0))-Pricing_M!$B$13,Assumptions!$B$9/12*(1+Assumptions!$B$10)^INT(A394/12)+Assumptions!$B$12*(1+Assumptions!$B$11)*(1+Assumptions!$B$24)*(1+Assumptions!$B$11+Assumptions!$B$25)^(INT(A394/12))/12))*J394</f>
        <v>133.801157660372</v>
      </c>
    </row>
    <row r="395" customFormat="false" ht="15" hidden="false" customHeight="true" outlineLevel="0" collapsed="false">
      <c r="A395" s="1" t="n">
        <v>388</v>
      </c>
      <c r="B395" s="31" t="n">
        <f aca="false">Assumptions!$B$4+A395/12</f>
        <v>97.3333333333333</v>
      </c>
      <c r="C395" s="34" t="n">
        <f aca="false">Assumptions!$B$4+INT(A395/12)</f>
        <v>97</v>
      </c>
      <c r="D395" s="34" t="n">
        <f aca="false">INT(A395/12)+1</f>
        <v>33</v>
      </c>
      <c r="E395" s="32" t="n">
        <f aca="false">IFERROR(INDEX(Cohort_Survival!$G$5:$G$65,MATCH(C395,Cohort_Survival!$A$5:$A$65,0)),1)</f>
        <v>0.178088862915254</v>
      </c>
      <c r="F395" s="30" t="n">
        <f aca="false">1-(1-MIN(1,E395))^(1/12)</f>
        <v>0.0162107512401245</v>
      </c>
      <c r="G395" s="39" t="n">
        <f aca="false">IF(C395&lt;Assumptions!$B$5,IF(D395=1,Assumptions!$B$16,IF(D395=2,Assumptions!$B$17,IF(D395&lt;=5,Assumptions!$B$18,Assumptions!$B$19)))*(1-Assumptions!$B$20),0)</f>
        <v>0</v>
      </c>
      <c r="H395" s="30" t="n">
        <f aca="false">1-(1-G395)^(1/12)</f>
        <v>0</v>
      </c>
      <c r="I395" s="30" t="n">
        <f aca="false">I394*(1-F394)*(1-H394)</f>
        <v>0.142824990429504</v>
      </c>
      <c r="J395" s="30" t="n">
        <f aca="false">INDEX(Discount_Monthly!$G$4:$G$664,MATCH(A395,Discount_Monthly!$A$4:$A$664,0))</f>
        <v>0.362548561573338</v>
      </c>
      <c r="K395" s="30" t="n">
        <f aca="false">IF(C395&lt;Assumptions!$B$5,I395*J395,0)</f>
        <v>0</v>
      </c>
      <c r="L395" s="30" t="n">
        <f aca="false">IF(C395&lt;Assumptions!$B$5,I395*(1-F395)*H395*A395*J395,0)</f>
        <v>0</v>
      </c>
      <c r="M395" s="30" t="n">
        <f aca="false">IF(A395=0,Assumptions!$B$14*12*I395*J395,IF(AND(A395&gt;=12,C395&lt;Assumptions!$B$5),Assumptions!$B$15*I395*J395,0))</f>
        <v>0</v>
      </c>
      <c r="N395" s="47" t="n">
        <f aca="false">IF(C395&gt;=Assumptions!$B$5,I395*Assumptions!$B$9/12*(1+Assumptions!$B$10)^INT(A395/12)*J395,0)</f>
        <v>130.11118222613</v>
      </c>
      <c r="O395" s="47" t="n">
        <f aca="false">I395*Assumptions!$B$12/12*(1+Assumptions!$B$11)^(INT(A395/12)+1)*J395</f>
        <v>0.77977029854738</v>
      </c>
      <c r="P395" s="47" t="n">
        <f aca="false">O395+Pricing_M!$B$13*M395+N395-Pricing_M!$B$13*K395</f>
        <v>130.890952524677</v>
      </c>
      <c r="Q395" s="47" t="n">
        <f aca="false">IF(C395&lt;Assumptions!$B$5,Pricing_M!$B$13*K395-Pricing_M!$B$13*M395-O395,-(N395+O395))</f>
        <v>-130.890952524677</v>
      </c>
      <c r="R395" s="32" t="n">
        <f aca="false">R394*(1-(1-(1-MIN(1,E394*(1-Assumptions!$B$21)))^(1/12)))*(1-H394)</f>
        <v>0.205951809865311</v>
      </c>
      <c r="S395" s="47" t="n">
        <f aca="false">R395*(IF(C395&lt;Assumptions!$B$5,Assumptions!$B$12*(1+Assumptions!$B$11)^(INT(A395/12)+1)/12+Pricing_M!$B$13*IF(A395=0,Assumptions!$B$14*12,IF(A395&gt;=12,Assumptions!$B$15,0))-Pricing_M!$B$13,Assumptions!$B$9/12*(1+Assumptions!$B$10)^INT(A395/12)+Assumptions!$B$12*(1+Assumptions!$B$11)^(INT(A395/12)+1)/12))*J395</f>
        <v>188.743079809674</v>
      </c>
      <c r="T395" s="32" t="n">
        <f aca="false">T394*(1-F394)*(1-(1-(1-MIN(1,G394*(1+Assumptions!$B$23)))^(1/12)))</f>
        <v>0.129382138439038</v>
      </c>
      <c r="U395" s="47" t="n">
        <f aca="false">T395*(IF(C395&lt;Assumptions!$B$5,Assumptions!$B$12*(1+Assumptions!$B$11)^(INT(A395/12)+1)/12+Pricing_M!$B$13*IF(A395=0,Assumptions!$B$14*12,IF(A395&gt;=12,Assumptions!$B$15,0))-Pricing_M!$B$13,Assumptions!$B$9/12*(1+Assumptions!$B$10)^INT(A395/12)+Assumptions!$B$12*(1+Assumptions!$B$11)^(INT(A395/12)+1)/12))*J395</f>
        <v>118.571345876085</v>
      </c>
      <c r="V395" s="32" t="n">
        <f aca="false">V394*(1-F394)*(1-(1-(1-MIN(1,G394*(1-Assumptions!$B$23)))^(1/12)))</f>
        <v>0.157519900325603</v>
      </c>
      <c r="W395" s="47" t="n">
        <f aca="false">V395*(IF(C395&lt;Assumptions!$B$5,Assumptions!$B$12*(1+Assumptions!$B$11)^(INT(A395/12)+1)/12+Pricing_M!$B$13*IF(A395=0,Assumptions!$B$14*12,IF(A395&gt;=12,Assumptions!$B$15,0))-Pricing_M!$B$13,Assumptions!$B$9/12*(1+Assumptions!$B$10)^INT(A395/12)+Assumptions!$B$12*(1+Assumptions!$B$11)^(INT(A395/12)+1)/12))*J395</f>
        <v>144.357998787243</v>
      </c>
      <c r="X395" s="47" t="n">
        <f aca="false">I395*(IF(C395&lt;Assumptions!$B$5,Assumptions!$B$12*(1+Assumptions!$B$11)*(1+Assumptions!$B$24)*(1+Assumptions!$B$11+Assumptions!$B$25)^(INT(A395/12))/12+Pricing_M!$B$13*IF(A395=0,Assumptions!$B$14*12,IF(A395&gt;=12,Assumptions!$B$15,0))-Pricing_M!$B$13,Assumptions!$B$9/12*(1+Assumptions!$B$10)^INT(A395/12)+Assumptions!$B$12*(1+Assumptions!$B$11)*(1+Assumptions!$B$24)*(1+Assumptions!$B$11+Assumptions!$B$25)^(INT(A395/12))/12))*J395</f>
        <v>131.281454389656</v>
      </c>
    </row>
    <row r="396" customFormat="false" ht="15" hidden="false" customHeight="true" outlineLevel="0" collapsed="false">
      <c r="A396" s="1" t="n">
        <v>389</v>
      </c>
      <c r="B396" s="31" t="n">
        <f aca="false">Assumptions!$B$4+A396/12</f>
        <v>97.4166666666667</v>
      </c>
      <c r="C396" s="34" t="n">
        <f aca="false">Assumptions!$B$4+INT(A396/12)</f>
        <v>97</v>
      </c>
      <c r="D396" s="34" t="n">
        <f aca="false">INT(A396/12)+1</f>
        <v>33</v>
      </c>
      <c r="E396" s="32" t="n">
        <f aca="false">IFERROR(INDEX(Cohort_Survival!$G$5:$G$65,MATCH(C396,Cohort_Survival!$A$5:$A$65,0)),1)</f>
        <v>0.178088862915254</v>
      </c>
      <c r="F396" s="30" t="n">
        <f aca="false">1-(1-MIN(1,E396))^(1/12)</f>
        <v>0.0162107512401245</v>
      </c>
      <c r="G396" s="39" t="n">
        <f aca="false">IF(C396&lt;Assumptions!$B$5,IF(D396=1,Assumptions!$B$16,IF(D396=2,Assumptions!$B$17,IF(D396&lt;=5,Assumptions!$B$18,Assumptions!$B$19)))*(1-Assumptions!$B$20),0)</f>
        <v>0</v>
      </c>
      <c r="H396" s="30" t="n">
        <f aca="false">1-(1-G396)^(1/12)</f>
        <v>0</v>
      </c>
      <c r="I396" s="30" t="n">
        <f aca="false">I395*(1-F395)*(1-H395)</f>
        <v>0.140509690038778</v>
      </c>
      <c r="J396" s="30" t="n">
        <f aca="false">INDEX(Discount_Monthly!$G$4:$G$664,MATCH(A396,Discount_Monthly!$A$4:$A$664,0))</f>
        <v>0.361582682721589</v>
      </c>
      <c r="K396" s="30" t="n">
        <f aca="false">IF(C396&lt;Assumptions!$B$5,I396*J396,0)</f>
        <v>0</v>
      </c>
      <c r="L396" s="30" t="n">
        <f aca="false">IF(C396&lt;Assumptions!$B$5,I396*(1-F396)*H396*A396*J396,0)</f>
        <v>0</v>
      </c>
      <c r="M396" s="30" t="n">
        <f aca="false">IF(A396=0,Assumptions!$B$14*12*I396*J396,IF(AND(A396&gt;=12,C396&lt;Assumptions!$B$5),Assumptions!$B$15*I396*J396,0))</f>
        <v>0</v>
      </c>
      <c r="N396" s="47" t="n">
        <f aca="false">IF(C396&gt;=Assumptions!$B$5,I396*Assumptions!$B$9/12*(1+Assumptions!$B$10)^INT(A396/12)*J396,0)</f>
        <v>127.660967466074</v>
      </c>
      <c r="O396" s="47" t="n">
        <f aca="false">I396*Assumptions!$B$12/12*(1+Assumptions!$B$11)^(INT(A396/12)+1)*J396</f>
        <v>0.765085898157927</v>
      </c>
      <c r="P396" s="47" t="n">
        <f aca="false">O396+Pricing_M!$B$13*M396+N396-Pricing_M!$B$13*K396</f>
        <v>128.426053364232</v>
      </c>
      <c r="Q396" s="47" t="n">
        <f aca="false">IF(C396&lt;Assumptions!$B$5,Pricing_M!$B$13*K396-Pricing_M!$B$13*M396-O396,-(N396+O396))</f>
        <v>-128.426053364232</v>
      </c>
      <c r="R396" s="32" t="n">
        <f aca="false">R395*(1-(1-(1-MIN(1,E395*(1-Assumptions!$B$21)))^(1/12)))*(1-H395)</f>
        <v>0.20333072553502</v>
      </c>
      <c r="S396" s="47" t="n">
        <f aca="false">R396*(IF(C396&lt;Assumptions!$B$5,Assumptions!$B$12*(1+Assumptions!$B$11)^(INT(A396/12)+1)/12+Pricing_M!$B$13*IF(A396=0,Assumptions!$B$14*12,IF(A396&gt;=12,Assumptions!$B$15,0))-Pricing_M!$B$13,Assumptions!$B$9/12*(1+Assumptions!$B$10)^INT(A396/12)+Assumptions!$B$12*(1+Assumptions!$B$11)^(INT(A396/12)+1)/12))*J396</f>
        <v>185.844567737227</v>
      </c>
      <c r="T396" s="32" t="n">
        <f aca="false">T395*(1-F395)*(1-(1-(1-MIN(1,G395*(1+Assumptions!$B$23)))^(1/12)))</f>
        <v>0.127284756777887</v>
      </c>
      <c r="U396" s="47" t="n">
        <f aca="false">T396*(IF(C396&lt;Assumptions!$B$5,Assumptions!$B$12*(1+Assumptions!$B$11)^(INT(A396/12)+1)/12+Pricing_M!$B$13*IF(A396=0,Assumptions!$B$14*12,IF(A396&gt;=12,Assumptions!$B$15,0))-Pricing_M!$B$13,Assumptions!$B$9/12*(1+Assumptions!$B$10)^INT(A396/12)+Assumptions!$B$12*(1+Assumptions!$B$11)^(INT(A396/12)+1)/12))*J396</f>
        <v>116.338445853086</v>
      </c>
      <c r="V396" s="32" t="n">
        <f aca="false">V395*(1-F395)*(1-(1-(1-MIN(1,G395*(1-Assumptions!$B$23)))^(1/12)))</f>
        <v>0.154966384406056</v>
      </c>
      <c r="W396" s="47" t="n">
        <f aca="false">V396*(IF(C396&lt;Assumptions!$B$5,Assumptions!$B$12*(1+Assumptions!$B$11)^(INT(A396/12)+1)/12+Pricing_M!$B$13*IF(A396=0,Assumptions!$B$14*12,IF(A396&gt;=12,Assumptions!$B$15,0))-Pricing_M!$B$13,Assumptions!$B$9/12*(1+Assumptions!$B$10)^INT(A396/12)+Assumptions!$B$12*(1+Assumptions!$B$11)^(INT(A396/12)+1)/12))*J396</f>
        <v>141.639492250689</v>
      </c>
      <c r="X396" s="47" t="n">
        <f aca="false">I396*(IF(C396&lt;Assumptions!$B$5,Assumptions!$B$12*(1+Assumptions!$B$11)*(1+Assumptions!$B$24)*(1+Assumptions!$B$11+Assumptions!$B$25)^(INT(A396/12))/12+Pricing_M!$B$13*IF(A396=0,Assumptions!$B$14*12,IF(A396&gt;=12,Assumptions!$B$15,0))-Pricing_M!$B$13,Assumptions!$B$9/12*(1+Assumptions!$B$10)^INT(A396/12)+Assumptions!$B$12*(1+Assumptions!$B$11)*(1+Assumptions!$B$24)*(1+Assumptions!$B$11+Assumptions!$B$25)^(INT(A396/12))/12))*J396</f>
        <v>128.809201415211</v>
      </c>
    </row>
    <row r="397" customFormat="false" ht="15" hidden="false" customHeight="true" outlineLevel="0" collapsed="false">
      <c r="A397" s="1" t="n">
        <v>390</v>
      </c>
      <c r="B397" s="31" t="n">
        <f aca="false">Assumptions!$B$4+A397/12</f>
        <v>97.5</v>
      </c>
      <c r="C397" s="34" t="n">
        <f aca="false">Assumptions!$B$4+INT(A397/12)</f>
        <v>97</v>
      </c>
      <c r="D397" s="34" t="n">
        <f aca="false">INT(A397/12)+1</f>
        <v>33</v>
      </c>
      <c r="E397" s="32" t="n">
        <f aca="false">IFERROR(INDEX(Cohort_Survival!$G$5:$G$65,MATCH(C397,Cohort_Survival!$A$5:$A$65,0)),1)</f>
        <v>0.178088862915254</v>
      </c>
      <c r="F397" s="30" t="n">
        <f aca="false">1-(1-MIN(1,E397))^(1/12)</f>
        <v>0.0162107512401245</v>
      </c>
      <c r="G397" s="39" t="n">
        <f aca="false">IF(C397&lt;Assumptions!$B$5,IF(D397=1,Assumptions!$B$16,IF(D397=2,Assumptions!$B$17,IF(D397&lt;=5,Assumptions!$B$18,Assumptions!$B$19)))*(1-Assumptions!$B$20),0)</f>
        <v>0</v>
      </c>
      <c r="H397" s="30" t="n">
        <f aca="false">1-(1-G397)^(1/12)</f>
        <v>0</v>
      </c>
      <c r="I397" s="30" t="n">
        <f aca="false">I396*(1-F396)*(1-H396)</f>
        <v>0.138231922406733</v>
      </c>
      <c r="J397" s="30" t="n">
        <f aca="false">INDEX(Discount_Monthly!$G$4:$G$664,MATCH(A397,Discount_Monthly!$A$4:$A$664,0))</f>
        <v>0.360619377102932</v>
      </c>
      <c r="K397" s="30" t="n">
        <f aca="false">IF(C397&lt;Assumptions!$B$5,I397*J397,0)</f>
        <v>0</v>
      </c>
      <c r="L397" s="30" t="n">
        <f aca="false">IF(C397&lt;Assumptions!$B$5,I397*(1-F397)*H397*A397*J397,0)</f>
        <v>0</v>
      </c>
      <c r="M397" s="30" t="n">
        <f aca="false">IF(A397=0,Assumptions!$B$14*12*I397*J397,IF(AND(A397&gt;=12,C397&lt;Assumptions!$B$5),Assumptions!$B$15*I397*J397,0))</f>
        <v>0</v>
      </c>
      <c r="N397" s="47" t="n">
        <f aca="false">IF(C397&gt;=Assumptions!$B$5,I397*Assumptions!$B$9/12*(1+Assumptions!$B$10)^INT(A397/12)*J397,0)</f>
        <v>125.256894415499</v>
      </c>
      <c r="O397" s="47" t="n">
        <f aca="false">I397*Assumptions!$B$12/12*(1+Assumptions!$B$11)^(INT(A397/12)+1)*J397</f>
        <v>0.750678029992386</v>
      </c>
      <c r="P397" s="47" t="n">
        <f aca="false">O397+Pricing_M!$B$13*M397+N397-Pricing_M!$B$13*K397</f>
        <v>126.007572445491</v>
      </c>
      <c r="Q397" s="47" t="n">
        <f aca="false">IF(C397&lt;Assumptions!$B$5,Pricing_M!$B$13*K397-Pricing_M!$B$13*M397-O397,-(N397+O397))</f>
        <v>-126.007572445491</v>
      </c>
      <c r="R397" s="32" t="n">
        <f aca="false">R396*(1-(1-(1-MIN(1,E396*(1-Assumptions!$B$21)))^(1/12)))*(1-H396)</f>
        <v>0.200742998925988</v>
      </c>
      <c r="S397" s="47" t="n">
        <f aca="false">R397*(IF(C397&lt;Assumptions!$B$5,Assumptions!$B$12*(1+Assumptions!$B$11)^(INT(A397/12)+1)/12+Pricing_M!$B$13*IF(A397=0,Assumptions!$B$14*12,IF(A397&gt;=12,Assumptions!$B$15,0))-Pricing_M!$B$13,Assumptions!$B$9/12*(1+Assumptions!$B$10)^INT(A397/12)+Assumptions!$B$12*(1+Assumptions!$B$11)^(INT(A397/12)+1)/12))*J397</f>
        <v>182.990567878115</v>
      </c>
      <c r="T397" s="32" t="n">
        <f aca="false">T396*(1-F396)*(1-(1-(1-MIN(1,G396*(1+Assumptions!$B$23)))^(1/12)))</f>
        <v>0.125221375249101</v>
      </c>
      <c r="U397" s="47" t="n">
        <f aca="false">T397*(IF(C397&lt;Assumptions!$B$5,Assumptions!$B$12*(1+Assumptions!$B$11)^(INT(A397/12)+1)/12+Pricing_M!$B$13*IF(A397=0,Assumptions!$B$14*12,IF(A397&gt;=12,Assumptions!$B$15,0))-Pricing_M!$B$13,Assumptions!$B$9/12*(1+Assumptions!$B$10)^INT(A397/12)+Assumptions!$B$12*(1+Assumptions!$B$11)^(INT(A397/12)+1)/12))*J397</f>
        <v>114.147595133616</v>
      </c>
      <c r="V397" s="32" t="n">
        <f aca="false">V396*(1-F396)*(1-(1-(1-MIN(1,G396*(1-Assumptions!$B$23)))^(1/12)))</f>
        <v>0.152454262897868</v>
      </c>
      <c r="W397" s="47" t="n">
        <f aca="false">V397*(IF(C397&lt;Assumptions!$B$5,Assumptions!$B$12*(1+Assumptions!$B$11)^(INT(A397/12)+1)/12+Pricing_M!$B$13*IF(A397=0,Assumptions!$B$14*12,IF(A397&gt;=12,Assumptions!$B$15,0))-Pricing_M!$B$13,Assumptions!$B$9/12*(1+Assumptions!$B$10)^INT(A397/12)+Assumptions!$B$12*(1+Assumptions!$B$11)^(INT(A397/12)+1)/12))*J397</f>
        <v>138.972179813882</v>
      </c>
      <c r="X397" s="47" t="n">
        <f aca="false">I397*(IF(C397&lt;Assumptions!$B$5,Assumptions!$B$12*(1+Assumptions!$B$11)*(1+Assumptions!$B$24)*(1+Assumptions!$B$11+Assumptions!$B$25)^(INT(A397/12))/12+Pricing_M!$B$13*IF(A397=0,Assumptions!$B$14*12,IF(A397&gt;=12,Assumptions!$B$15,0))-Pricing_M!$B$13,Assumptions!$B$9/12*(1+Assumptions!$B$10)^INT(A397/12)+Assumptions!$B$12*(1+Assumptions!$B$11)*(1+Assumptions!$B$24)*(1+Assumptions!$B$11+Assumptions!$B$25)^(INT(A397/12))/12))*J397</f>
        <v>126.38350516729</v>
      </c>
    </row>
    <row r="398" customFormat="false" ht="15" hidden="false" customHeight="true" outlineLevel="0" collapsed="false">
      <c r="A398" s="1" t="n">
        <v>391</v>
      </c>
      <c r="B398" s="31" t="n">
        <f aca="false">Assumptions!$B$4+A398/12</f>
        <v>97.5833333333333</v>
      </c>
      <c r="C398" s="34" t="n">
        <f aca="false">Assumptions!$B$4+INT(A398/12)</f>
        <v>97</v>
      </c>
      <c r="D398" s="34" t="n">
        <f aca="false">INT(A398/12)+1</f>
        <v>33</v>
      </c>
      <c r="E398" s="32" t="n">
        <f aca="false">IFERROR(INDEX(Cohort_Survival!$G$5:$G$65,MATCH(C398,Cohort_Survival!$A$5:$A$65,0)),1)</f>
        <v>0.178088862915254</v>
      </c>
      <c r="F398" s="30" t="n">
        <f aca="false">1-(1-MIN(1,E398))^(1/12)</f>
        <v>0.0162107512401245</v>
      </c>
      <c r="G398" s="39" t="n">
        <f aca="false">IF(C398&lt;Assumptions!$B$5,IF(D398=1,Assumptions!$B$16,IF(D398=2,Assumptions!$B$17,IF(D398&lt;=5,Assumptions!$B$18,Assumptions!$B$19)))*(1-Assumptions!$B$20),0)</f>
        <v>0</v>
      </c>
      <c r="H398" s="30" t="n">
        <f aca="false">1-(1-G398)^(1/12)</f>
        <v>0</v>
      </c>
      <c r="I398" s="30" t="n">
        <f aca="false">I397*(1-F397)*(1-H397)</f>
        <v>0.135991079099153</v>
      </c>
      <c r="J398" s="30" t="n">
        <f aca="false">INDEX(Discount_Monthly!$G$4:$G$664,MATCH(A398,Discount_Monthly!$A$4:$A$664,0))</f>
        <v>0.359658637861923</v>
      </c>
      <c r="K398" s="30" t="n">
        <f aca="false">IF(C398&lt;Assumptions!$B$5,I398*J398,0)</f>
        <v>0</v>
      </c>
      <c r="L398" s="30" t="n">
        <f aca="false">IF(C398&lt;Assumptions!$B$5,I398*(1-F398)*H398*A398*J398,0)</f>
        <v>0</v>
      </c>
      <c r="M398" s="30" t="n">
        <f aca="false">IF(A398=0,Assumptions!$B$14*12*I398*J398,IF(AND(A398&gt;=12,C398&lt;Assumptions!$B$5),Assumptions!$B$15*I398*J398,0))</f>
        <v>0</v>
      </c>
      <c r="N398" s="47" t="n">
        <f aca="false">IF(C398&gt;=Assumptions!$B$5,I398*Assumptions!$B$9/12*(1+Assumptions!$B$10)^INT(A398/12)*J398,0)</f>
        <v>122.89809414757</v>
      </c>
      <c r="O398" s="47" t="n">
        <f aca="false">I398*Assumptions!$B$12/12*(1+Assumptions!$B$11)^(INT(A398/12)+1)*J398</f>
        <v>0.736541486478854</v>
      </c>
      <c r="P398" s="47" t="n">
        <f aca="false">O398+Pricing_M!$B$13*M398+N398-Pricing_M!$B$13*K398</f>
        <v>123.634635634049</v>
      </c>
      <c r="Q398" s="47" t="n">
        <f aca="false">IF(C398&lt;Assumptions!$B$5,Pricing_M!$B$13*K398-Pricing_M!$B$13*M398-O398,-(N398+O398))</f>
        <v>-123.634635634049</v>
      </c>
      <c r="R398" s="32" t="n">
        <f aca="false">R397*(1-(1-(1-MIN(1,E397*(1-Assumptions!$B$21)))^(1/12)))*(1-H397)</f>
        <v>0.198188205504921</v>
      </c>
      <c r="S398" s="47" t="n">
        <f aca="false">R398*(IF(C398&lt;Assumptions!$B$5,Assumptions!$B$12*(1+Assumptions!$B$11)^(INT(A398/12)+1)/12+Pricing_M!$B$13*IF(A398=0,Assumptions!$B$14*12,IF(A398&gt;=12,Assumptions!$B$15,0))-Pricing_M!$B$13,Assumptions!$B$9/12*(1+Assumptions!$B$10)^INT(A398/12)+Assumptions!$B$12*(1+Assumptions!$B$11)^(INT(A398/12)+1)/12))*J398</f>
        <v>180.180396661913</v>
      </c>
      <c r="T398" s="32" t="n">
        <f aca="false">T397*(1-F397)*(1-(1-(1-MIN(1,G397*(1+Assumptions!$B$23)))^(1/12)))</f>
        <v>0.123191442684992</v>
      </c>
      <c r="U398" s="47" t="n">
        <f aca="false">T398*(IF(C398&lt;Assumptions!$B$5,Assumptions!$B$12*(1+Assumptions!$B$11)^(INT(A398/12)+1)/12+Pricing_M!$B$13*IF(A398=0,Assumptions!$B$14*12,IF(A398&gt;=12,Assumptions!$B$15,0))-Pricing_M!$B$13,Assumptions!$B$9/12*(1+Assumptions!$B$10)^INT(A398/12)+Assumptions!$B$12*(1+Assumptions!$B$11)^(INT(A398/12)+1)/12))*J398</f>
        <v>111.998001857805</v>
      </c>
      <c r="V398" s="32" t="n">
        <f aca="false">V397*(1-F397)*(1-(1-(1-MIN(1,G397*(1-Assumptions!$B$23)))^(1/12)))</f>
        <v>0.149982864766534</v>
      </c>
      <c r="W398" s="47" t="n">
        <f aca="false">V398*(IF(C398&lt;Assumptions!$B$5,Assumptions!$B$12*(1+Assumptions!$B$11)^(INT(A398/12)+1)/12+Pricing_M!$B$13*IF(A398=0,Assumptions!$B$14*12,IF(A398&gt;=12,Assumptions!$B$15,0))-Pricing_M!$B$13,Assumptions!$B$9/12*(1+Assumptions!$B$10)^INT(A398/12)+Assumptions!$B$12*(1+Assumptions!$B$11)^(INT(A398/12)+1)/12))*J398</f>
        <v>136.355097404891</v>
      </c>
      <c r="X398" s="47" t="n">
        <f aca="false">I398*(IF(C398&lt;Assumptions!$B$5,Assumptions!$B$12*(1+Assumptions!$B$11)*(1+Assumptions!$B$24)*(1+Assumptions!$B$11+Assumptions!$B$25)^(INT(A398/12))/12+Pricing_M!$B$13*IF(A398=0,Assumptions!$B$14*12,IF(A398&gt;=12,Assumptions!$B$15,0))-Pricing_M!$B$13,Assumptions!$B$9/12*(1+Assumptions!$B$10)^INT(A398/12)+Assumptions!$B$12*(1+Assumptions!$B$11)*(1+Assumptions!$B$24)*(1+Assumptions!$B$11+Assumptions!$B$25)^(INT(A398/12))/12))*J398</f>
        <v>124.003488903582</v>
      </c>
    </row>
    <row r="399" customFormat="false" ht="15" hidden="false" customHeight="true" outlineLevel="0" collapsed="false">
      <c r="A399" s="1" t="n">
        <v>392</v>
      </c>
      <c r="B399" s="31" t="n">
        <f aca="false">Assumptions!$B$4+A399/12</f>
        <v>97.6666666666667</v>
      </c>
      <c r="C399" s="34" t="n">
        <f aca="false">Assumptions!$B$4+INT(A399/12)</f>
        <v>97</v>
      </c>
      <c r="D399" s="34" t="n">
        <f aca="false">INT(A399/12)+1</f>
        <v>33</v>
      </c>
      <c r="E399" s="32" t="n">
        <f aca="false">IFERROR(INDEX(Cohort_Survival!$G$5:$G$65,MATCH(C399,Cohort_Survival!$A$5:$A$65,0)),1)</f>
        <v>0.178088862915254</v>
      </c>
      <c r="F399" s="30" t="n">
        <f aca="false">1-(1-MIN(1,E399))^(1/12)</f>
        <v>0.0162107512401245</v>
      </c>
      <c r="G399" s="39" t="n">
        <f aca="false">IF(C399&lt;Assumptions!$B$5,IF(D399=1,Assumptions!$B$16,IF(D399=2,Assumptions!$B$17,IF(D399&lt;=5,Assumptions!$B$18,Assumptions!$B$19)))*(1-Assumptions!$B$20),0)</f>
        <v>0</v>
      </c>
      <c r="H399" s="30" t="n">
        <f aca="false">1-(1-G399)^(1/12)</f>
        <v>0</v>
      </c>
      <c r="I399" s="30" t="n">
        <f aca="false">I398*(1-F398)*(1-H398)</f>
        <v>0.133786561545001</v>
      </c>
      <c r="J399" s="30" t="n">
        <f aca="false">INDEX(Discount_Monthly!$G$4:$G$664,MATCH(A399,Discount_Monthly!$A$4:$A$664,0))</f>
        <v>0.358700458161382</v>
      </c>
      <c r="K399" s="30" t="n">
        <f aca="false">IF(C399&lt;Assumptions!$B$5,I399*J399,0)</f>
        <v>0</v>
      </c>
      <c r="L399" s="30" t="n">
        <f aca="false">IF(C399&lt;Assumptions!$B$5,I399*(1-F399)*H399*A399*J399,0)</f>
        <v>0</v>
      </c>
      <c r="M399" s="30" t="n">
        <f aca="false">IF(A399=0,Assumptions!$B$14*12*I399*J399,IF(AND(A399&gt;=12,C399&lt;Assumptions!$B$5),Assumptions!$B$15*I399*J399,0))</f>
        <v>0</v>
      </c>
      <c r="N399" s="47" t="n">
        <f aca="false">IF(C399&gt;=Assumptions!$B$5,I399*Assumptions!$B$9/12*(1+Assumptions!$B$10)^INT(A399/12)*J399,0)</f>
        <v>120.583714098823</v>
      </c>
      <c r="O399" s="47" t="n">
        <f aca="false">I399*Assumptions!$B$12/12*(1+Assumptions!$B$11)^(INT(A399/12)+1)*J399</f>
        <v>0.722671158112864</v>
      </c>
      <c r="P399" s="47" t="n">
        <f aca="false">O399+Pricing_M!$B$13*M399+N399-Pricing_M!$B$13*K399</f>
        <v>121.306385256936</v>
      </c>
      <c r="Q399" s="47" t="n">
        <f aca="false">IF(C399&lt;Assumptions!$B$5,Pricing_M!$B$13*K399-Pricing_M!$B$13*M399-O399,-(N399+O399))</f>
        <v>-121.306385256936</v>
      </c>
      <c r="R399" s="32" t="n">
        <f aca="false">R398*(1-(1-(1-MIN(1,E398*(1-Assumptions!$B$21)))^(1/12)))*(1-H398)</f>
        <v>0.195665926141427</v>
      </c>
      <c r="S399" s="47" t="n">
        <f aca="false">R399*(IF(C399&lt;Assumptions!$B$5,Assumptions!$B$12*(1+Assumptions!$B$11)^(INT(A399/12)+1)/12+Pricing_M!$B$13*IF(A399=0,Assumptions!$B$14*12,IF(A399&gt;=12,Assumptions!$B$15,0))-Pricing_M!$B$13,Assumptions!$B$9/12*(1+Assumptions!$B$10)^INT(A399/12)+Assumptions!$B$12*(1+Assumptions!$B$11)^(INT(A399/12)+1)/12))*J399</f>
        <v>177.413381015726</v>
      </c>
      <c r="T399" s="32" t="n">
        <f aca="false">T398*(1-F398)*(1-(1-(1-MIN(1,G398*(1+Assumptions!$B$23)))^(1/12)))</f>
        <v>0.121194416852713</v>
      </c>
      <c r="U399" s="47" t="n">
        <f aca="false">T399*(IF(C399&lt;Assumptions!$B$5,Assumptions!$B$12*(1+Assumptions!$B$11)^(INT(A399/12)+1)/12+Pricing_M!$B$13*IF(A399=0,Assumptions!$B$14*12,IF(A399&gt;=12,Assumptions!$B$15,0))-Pricing_M!$B$13,Assumptions!$B$9/12*(1+Assumptions!$B$10)^INT(A399/12)+Assumptions!$B$12*(1+Assumptions!$B$11)^(INT(A399/12)+1)/12))*J399</f>
        <v>109.888889077846</v>
      </c>
      <c r="V399" s="32" t="n">
        <f aca="false">V398*(1-F398)*(1-(1-(1-MIN(1,G398*(1-Assumptions!$B$23)))^(1/12)))</f>
        <v>0.147551529855522</v>
      </c>
      <c r="W399" s="47" t="n">
        <f aca="false">V399*(IF(C399&lt;Assumptions!$B$5,Assumptions!$B$12*(1+Assumptions!$B$11)^(INT(A399/12)+1)/12+Pricing_M!$B$13*IF(A399=0,Assumptions!$B$14*12,IF(A399&gt;=12,Assumptions!$B$15,0))-Pricing_M!$B$13,Assumptions!$B$9/12*(1+Assumptions!$B$10)^INT(A399/12)+Assumptions!$B$12*(1+Assumptions!$B$11)^(INT(A399/12)+1)/12))*J399</f>
        <v>133.787299106897</v>
      </c>
      <c r="X399" s="47" t="n">
        <f aca="false">I399*(IF(C399&lt;Assumptions!$B$5,Assumptions!$B$12*(1+Assumptions!$B$11)*(1+Assumptions!$B$24)*(1+Assumptions!$B$11+Assumptions!$B$25)^(INT(A399/12))/12+Pricing_M!$B$13*IF(A399=0,Assumptions!$B$14*12,IF(A399&gt;=12,Assumptions!$B$15,0))-Pricing_M!$B$13,Assumptions!$B$9/12*(1+Assumptions!$B$10)^INT(A399/12)+Assumptions!$B$12*(1+Assumptions!$B$11)*(1+Assumptions!$B$24)*(1+Assumptions!$B$11+Assumptions!$B$25)^(INT(A399/12))/12))*J399</f>
        <v>121.668292392325</v>
      </c>
    </row>
    <row r="400" customFormat="false" ht="15" hidden="false" customHeight="true" outlineLevel="0" collapsed="false">
      <c r="A400" s="1" t="n">
        <v>393</v>
      </c>
      <c r="B400" s="31" t="n">
        <f aca="false">Assumptions!$B$4+A400/12</f>
        <v>97.75</v>
      </c>
      <c r="C400" s="34" t="n">
        <f aca="false">Assumptions!$B$4+INT(A400/12)</f>
        <v>97</v>
      </c>
      <c r="D400" s="34" t="n">
        <f aca="false">INT(A400/12)+1</f>
        <v>33</v>
      </c>
      <c r="E400" s="32" t="n">
        <f aca="false">IFERROR(INDEX(Cohort_Survival!$G$5:$G$65,MATCH(C400,Cohort_Survival!$A$5:$A$65,0)),1)</f>
        <v>0.178088862915254</v>
      </c>
      <c r="F400" s="30" t="n">
        <f aca="false">1-(1-MIN(1,E400))^(1/12)</f>
        <v>0.0162107512401245</v>
      </c>
      <c r="G400" s="39" t="n">
        <f aca="false">IF(C400&lt;Assumptions!$B$5,IF(D400=1,Assumptions!$B$16,IF(D400=2,Assumptions!$B$17,IF(D400&lt;=5,Assumptions!$B$18,Assumptions!$B$19)))*(1-Assumptions!$B$20),0)</f>
        <v>0</v>
      </c>
      <c r="H400" s="30" t="n">
        <f aca="false">1-(1-G400)^(1/12)</f>
        <v>0</v>
      </c>
      <c r="I400" s="30" t="n">
        <f aca="false">I399*(1-F399)*(1-H399)</f>
        <v>0.131617780876523</v>
      </c>
      <c r="J400" s="30" t="n">
        <f aca="false">INDEX(Discount_Monthly!$G$4:$G$664,MATCH(A400,Discount_Monthly!$A$4:$A$664,0))</f>
        <v>0.357744831182344</v>
      </c>
      <c r="K400" s="30" t="n">
        <f aca="false">IF(C400&lt;Assumptions!$B$5,I400*J400,0)</f>
        <v>0</v>
      </c>
      <c r="L400" s="30" t="n">
        <f aca="false">IF(C400&lt;Assumptions!$B$5,I400*(1-F400)*H400*A400*J400,0)</f>
        <v>0</v>
      </c>
      <c r="M400" s="30" t="n">
        <f aca="false">IF(A400=0,Assumptions!$B$14*12*I400*J400,IF(AND(A400&gt;=12,C400&lt;Assumptions!$B$5),Assumptions!$B$15*I400*J400,0))</f>
        <v>0</v>
      </c>
      <c r="N400" s="47" t="n">
        <f aca="false">IF(C400&gt;=Assumptions!$B$5,I400*Assumptions!$B$9/12*(1+Assumptions!$B$10)^INT(A400/12)*J400,0)</f>
        <v>118.312917761013</v>
      </c>
      <c r="O400" s="47" t="n">
        <f aca="false">I400*Assumptions!$B$12/12*(1+Assumptions!$B$11)^(INT(A400/12)+1)*J400</f>
        <v>0.7090620316106</v>
      </c>
      <c r="P400" s="47" t="n">
        <f aca="false">O400+Pricing_M!$B$13*M400+N400-Pricing_M!$B$13*K400</f>
        <v>119.021979792623</v>
      </c>
      <c r="Q400" s="47" t="n">
        <f aca="false">IF(C400&lt;Assumptions!$B$5,Pricing_M!$B$13*K400-Pricing_M!$B$13*M400-O400,-(N400+O400))</f>
        <v>-119.021979792623</v>
      </c>
      <c r="R400" s="32" t="n">
        <f aca="false">R399*(1-(1-(1-MIN(1,E399*(1-Assumptions!$B$21)))^(1/12)))*(1-H399)</f>
        <v>0.193175747039253</v>
      </c>
      <c r="S400" s="47" t="n">
        <f aca="false">R400*(IF(C400&lt;Assumptions!$B$5,Assumptions!$B$12*(1+Assumptions!$B$11)^(INT(A400/12)+1)/12+Pricing_M!$B$13*IF(A400=0,Assumptions!$B$14*12,IF(A400&gt;=12,Assumptions!$B$15,0))-Pricing_M!$B$13,Assumptions!$B$9/12*(1+Assumptions!$B$10)^INT(A400/12)+Assumptions!$B$12*(1+Assumptions!$B$11)^(INT(A400/12)+1)/12))*J400</f>
        <v>174.688858202989</v>
      </c>
      <c r="T400" s="32" t="n">
        <f aca="false">T399*(1-F399)*(1-(1-(1-MIN(1,G399*(1+Assumptions!$B$23)))^(1/12)))</f>
        <v>0.119229764309422</v>
      </c>
      <c r="U400" s="47" t="n">
        <f aca="false">T400*(IF(C400&lt;Assumptions!$B$5,Assumptions!$B$12*(1+Assumptions!$B$11)^(INT(A400/12)+1)/12+Pricing_M!$B$13*IF(A400=0,Assumptions!$B$14*12,IF(A400&gt;=12,Assumptions!$B$15,0))-Pricing_M!$B$13,Assumptions!$B$9/12*(1+Assumptions!$B$10)^INT(A400/12)+Assumptions!$B$12*(1+Assumptions!$B$11)^(INT(A400/12)+1)/12))*J400</f>
        <v>107.819494477183</v>
      </c>
      <c r="V400" s="32" t="n">
        <f aca="false">V399*(1-F399)*(1-(1-(1-MIN(1,G399*(1-Assumptions!$B$23)))^(1/12)))</f>
        <v>0.145159608709935</v>
      </c>
      <c r="W400" s="47" t="n">
        <f aca="false">V400*(IF(C400&lt;Assumptions!$B$5,Assumptions!$B$12*(1+Assumptions!$B$11)^(INT(A400/12)+1)/12+Pricing_M!$B$13*IF(A400=0,Assumptions!$B$14*12,IF(A400&gt;=12,Assumptions!$B$15,0))-Pricing_M!$B$13,Assumptions!$B$9/12*(1+Assumptions!$B$10)^INT(A400/12)+Assumptions!$B$12*(1+Assumptions!$B$11)^(INT(A400/12)+1)/12))*J400</f>
        <v>131.267856816303</v>
      </c>
      <c r="X400" s="47" t="n">
        <f aca="false">I400*(IF(C400&lt;Assumptions!$B$5,Assumptions!$B$12*(1+Assumptions!$B$11)*(1+Assumptions!$B$24)*(1+Assumptions!$B$11+Assumptions!$B$25)^(INT(A400/12))/12+Pricing_M!$B$13*IF(A400=0,Assumptions!$B$14*12,IF(A400&gt;=12,Assumptions!$B$15,0))-Pricing_M!$B$13,Assumptions!$B$9/12*(1+Assumptions!$B$10)^INT(A400/12)+Assumptions!$B$12*(1+Assumptions!$B$11)*(1+Assumptions!$B$24)*(1+Assumptions!$B$11+Assumptions!$B$25)^(INT(A400/12))/12))*J400</f>
        <v>119.377071601384</v>
      </c>
    </row>
    <row r="401" customFormat="false" ht="15" hidden="false" customHeight="true" outlineLevel="0" collapsed="false">
      <c r="A401" s="1" t="n">
        <v>394</v>
      </c>
      <c r="B401" s="31" t="n">
        <f aca="false">Assumptions!$B$4+A401/12</f>
        <v>97.8333333333333</v>
      </c>
      <c r="C401" s="34" t="n">
        <f aca="false">Assumptions!$B$4+INT(A401/12)</f>
        <v>97</v>
      </c>
      <c r="D401" s="34" t="n">
        <f aca="false">INT(A401/12)+1</f>
        <v>33</v>
      </c>
      <c r="E401" s="32" t="n">
        <f aca="false">IFERROR(INDEX(Cohort_Survival!$G$5:$G$65,MATCH(C401,Cohort_Survival!$A$5:$A$65,0)),1)</f>
        <v>0.178088862915254</v>
      </c>
      <c r="F401" s="30" t="n">
        <f aca="false">1-(1-MIN(1,E401))^(1/12)</f>
        <v>0.0162107512401245</v>
      </c>
      <c r="G401" s="39" t="n">
        <f aca="false">IF(C401&lt;Assumptions!$B$5,IF(D401=1,Assumptions!$B$16,IF(D401=2,Assumptions!$B$17,IF(D401&lt;=5,Assumptions!$B$18,Assumptions!$B$19)))*(1-Assumptions!$B$20),0)</f>
        <v>0</v>
      </c>
      <c r="H401" s="30" t="n">
        <f aca="false">1-(1-G401)^(1/12)</f>
        <v>0</v>
      </c>
      <c r="I401" s="30" t="n">
        <f aca="false">I400*(1-F400)*(1-H400)</f>
        <v>0.129484157771956</v>
      </c>
      <c r="J401" s="30" t="n">
        <f aca="false">INDEX(Discount_Monthly!$G$4:$G$664,MATCH(A401,Discount_Monthly!$A$4:$A$664,0))</f>
        <v>0.35679175012401</v>
      </c>
      <c r="K401" s="30" t="n">
        <f aca="false">IF(C401&lt;Assumptions!$B$5,I401*J401,0)</f>
        <v>0</v>
      </c>
      <c r="L401" s="30" t="n">
        <f aca="false">IF(C401&lt;Assumptions!$B$5,I401*(1-F401)*H401*A401*J401,0)</f>
        <v>0</v>
      </c>
      <c r="M401" s="30" t="n">
        <f aca="false">IF(A401=0,Assumptions!$B$14*12*I401*J401,IF(AND(A401&gt;=12,C401&lt;Assumptions!$B$5),Assumptions!$B$15*I401*J401,0))</f>
        <v>0</v>
      </c>
      <c r="N401" s="47" t="n">
        <f aca="false">IF(C401&gt;=Assumptions!$B$5,I401*Assumptions!$B$9/12*(1+Assumptions!$B$10)^INT(A401/12)*J401,0)</f>
        <v>116.084884378767</v>
      </c>
      <c r="O401" s="47" t="n">
        <f aca="false">I401*Assumptions!$B$12/12*(1+Assumptions!$B$11)^(INT(A401/12)+1)*J401</f>
        <v>0.695709188096907</v>
      </c>
      <c r="P401" s="47" t="n">
        <f aca="false">O401+Pricing_M!$B$13*M401+N401-Pricing_M!$B$13*K401</f>
        <v>116.780593566864</v>
      </c>
      <c r="Q401" s="47" t="n">
        <f aca="false">IF(C401&lt;Assumptions!$B$5,Pricing_M!$B$13*K401-Pricing_M!$B$13*M401-O401,-(N401+O401))</f>
        <v>-116.780593566864</v>
      </c>
      <c r="R401" s="32" t="n">
        <f aca="false">R400*(1-(1-(1-MIN(1,E400*(1-Assumptions!$B$21)))^(1/12)))*(1-H400)</f>
        <v>0.190717259668406</v>
      </c>
      <c r="S401" s="47" t="n">
        <f aca="false">R401*(IF(C401&lt;Assumptions!$B$5,Assumptions!$B$12*(1+Assumptions!$B$11)^(INT(A401/12)+1)/12+Pricing_M!$B$13*IF(A401=0,Assumptions!$B$14*12,IF(A401&gt;=12,Assumptions!$B$15,0))-Pricing_M!$B$13,Assumptions!$B$9/12*(1+Assumptions!$B$10)^INT(A401/12)+Assumptions!$B$12*(1+Assumptions!$B$11)^(INT(A401/12)+1)/12))*J401</f>
        <v>172.006175664726</v>
      </c>
      <c r="T401" s="32" t="n">
        <f aca="false">T400*(1-F400)*(1-(1-(1-MIN(1,G400*(1+Assumptions!$B$23)))^(1/12)))</f>
        <v>0.117296960259783</v>
      </c>
      <c r="U401" s="47" t="n">
        <f aca="false">T401*(IF(C401&lt;Assumptions!$B$5,Assumptions!$B$12*(1+Assumptions!$B$11)^(INT(A401/12)+1)/12+Pricing_M!$B$13*IF(A401=0,Assumptions!$B$14*12,IF(A401&gt;=12,Assumptions!$B$15,0))-Pricing_M!$B$13,Assumptions!$B$9/12*(1+Assumptions!$B$10)^INT(A401/12)+Assumptions!$B$12*(1+Assumptions!$B$11)^(INT(A401/12)+1)/12))*J401</f>
        <v>105.789070094976</v>
      </c>
      <c r="V401" s="32" t="n">
        <f aca="false">V400*(1-F400)*(1-(1-(1-MIN(1,G400*(1-Assumptions!$B$23)))^(1/12)))</f>
        <v>0.142806462403024</v>
      </c>
      <c r="W401" s="47" t="n">
        <f aca="false">V401*(IF(C401&lt;Assumptions!$B$5,Assumptions!$B$12*(1+Assumptions!$B$11)^(INT(A401/12)+1)/12+Pricing_M!$B$13*IF(A401=0,Assumptions!$B$14*12,IF(A401&gt;=12,Assumptions!$B$15,0))-Pricing_M!$B$13,Assumptions!$B$9/12*(1+Assumptions!$B$10)^INT(A401/12)+Assumptions!$B$12*(1+Assumptions!$B$11)^(INT(A401/12)+1)/12))*J401</f>
        <v>128.795859907281</v>
      </c>
      <c r="X401" s="47" t="n">
        <f aca="false">I401*(IF(C401&lt;Assumptions!$B$5,Assumptions!$B$12*(1+Assumptions!$B$11)*(1+Assumptions!$B$24)*(1+Assumptions!$B$11+Assumptions!$B$25)^(INT(A401/12))/12+Pricing_M!$B$13*IF(A401=0,Assumptions!$B$14*12,IF(A401&gt;=12,Assumptions!$B$15,0))-Pricing_M!$B$13,Assumptions!$B$9/12*(1+Assumptions!$B$10)^INT(A401/12)+Assumptions!$B$12*(1+Assumptions!$B$11)*(1+Assumptions!$B$24)*(1+Assumptions!$B$11+Assumptions!$B$25)^(INT(A401/12))/12))*J401</f>
        <v>117.128998393184</v>
      </c>
    </row>
    <row r="402" customFormat="false" ht="15" hidden="false" customHeight="true" outlineLevel="0" collapsed="false">
      <c r="A402" s="1" t="n">
        <v>395</v>
      </c>
      <c r="B402" s="31" t="n">
        <f aca="false">Assumptions!$B$4+A402/12</f>
        <v>97.9166666666667</v>
      </c>
      <c r="C402" s="34" t="n">
        <f aca="false">Assumptions!$B$4+INT(A402/12)</f>
        <v>97</v>
      </c>
      <c r="D402" s="34" t="n">
        <f aca="false">INT(A402/12)+1</f>
        <v>33</v>
      </c>
      <c r="E402" s="32" t="n">
        <f aca="false">IFERROR(INDEX(Cohort_Survival!$G$5:$G$65,MATCH(C402,Cohort_Survival!$A$5:$A$65,0)),1)</f>
        <v>0.178088862915254</v>
      </c>
      <c r="F402" s="30" t="n">
        <f aca="false">1-(1-MIN(1,E402))^(1/12)</f>
        <v>0.0162107512401245</v>
      </c>
      <c r="G402" s="39" t="n">
        <f aca="false">IF(C402&lt;Assumptions!$B$5,IF(D402=1,Assumptions!$B$16,IF(D402=2,Assumptions!$B$17,IF(D402&lt;=5,Assumptions!$B$18,Assumptions!$B$19)))*(1-Assumptions!$B$20),0)</f>
        <v>0</v>
      </c>
      <c r="H402" s="30" t="n">
        <f aca="false">1-(1-G402)^(1/12)</f>
        <v>0</v>
      </c>
      <c r="I402" s="30" t="n">
        <f aca="false">I401*(1-F401)*(1-H401)</f>
        <v>0.127385122300778</v>
      </c>
      <c r="J402" s="30" t="n">
        <f aca="false">INDEX(Discount_Monthly!$G$4:$G$664,MATCH(A402,Discount_Monthly!$A$4:$A$664,0))</f>
        <v>0.3558412082037</v>
      </c>
      <c r="K402" s="30" t="n">
        <f aca="false">IF(C402&lt;Assumptions!$B$5,I402*J402,0)</f>
        <v>0</v>
      </c>
      <c r="L402" s="30" t="n">
        <f aca="false">IF(C402&lt;Assumptions!$B$5,I402*(1-F402)*H402*A402*J402,0)</f>
        <v>0</v>
      </c>
      <c r="M402" s="30" t="n">
        <f aca="false">IF(A402=0,Assumptions!$B$14*12*I402*J402,IF(AND(A402&gt;=12,C402&lt;Assumptions!$B$5),Assumptions!$B$15*I402*J402,0))</f>
        <v>0</v>
      </c>
      <c r="N402" s="47" t="n">
        <f aca="false">IF(C402&gt;=Assumptions!$B$5,I402*Assumptions!$B$9/12*(1+Assumptions!$B$10)^INT(A402/12)*J402,0)</f>
        <v>113.898808652933</v>
      </c>
      <c r="O402" s="47" t="n">
        <f aca="false">I402*Assumptions!$B$12/12*(1+Assumptions!$B$11)^(INT(A402/12)+1)*J402</f>
        <v>0.682607801327409</v>
      </c>
      <c r="P402" s="47" t="n">
        <f aca="false">O402+Pricing_M!$B$13*M402+N402-Pricing_M!$B$13*K402</f>
        <v>114.58141645426</v>
      </c>
      <c r="Q402" s="47" t="n">
        <f aca="false">IF(C402&lt;Assumptions!$B$5,Pricing_M!$B$13*K402-Pricing_M!$B$13*M402-O402,-(N402+O402))</f>
        <v>-114.58141645426</v>
      </c>
      <c r="R402" s="32" t="n">
        <f aca="false">R401*(1-(1-(1-MIN(1,E401*(1-Assumptions!$B$21)))^(1/12)))*(1-H401)</f>
        <v>0.188290060698123</v>
      </c>
      <c r="S402" s="47" t="n">
        <f aca="false">R402*(IF(C402&lt;Assumptions!$B$5,Assumptions!$B$12*(1+Assumptions!$B$11)^(INT(A402/12)+1)/12+Pricing_M!$B$13*IF(A402=0,Assumptions!$B$14*12,IF(A402&gt;=12,Assumptions!$B$15,0))-Pricing_M!$B$13,Assumptions!$B$9/12*(1+Assumptions!$B$10)^INT(A402/12)+Assumptions!$B$12*(1+Assumptions!$B$11)^(INT(A402/12)+1)/12))*J402</f>
        <v>169.364690863257</v>
      </c>
      <c r="T402" s="32" t="n">
        <f aca="false">T401*(1-F401)*(1-(1-(1-MIN(1,G401*(1+Assumptions!$B$23)))^(1/12)))</f>
        <v>0.115395488415789</v>
      </c>
      <c r="U402" s="47" t="n">
        <f aca="false">T402*(IF(C402&lt;Assumptions!$B$5,Assumptions!$B$12*(1+Assumptions!$B$11)^(INT(A402/12)+1)/12+Pricing_M!$B$13*IF(A402=0,Assumptions!$B$14*12,IF(A402&gt;=12,Assumptions!$B$15,0))-Pricing_M!$B$13,Assumptions!$B$9/12*(1+Assumptions!$B$10)^INT(A402/12)+Assumptions!$B$12*(1+Assumptions!$B$11)^(INT(A402/12)+1)/12))*J402</f>
        <v>103.796882055759</v>
      </c>
      <c r="V402" s="32" t="n">
        <f aca="false">V401*(1-F401)*(1-(1-(1-MIN(1,G401*(1-Assumptions!$B$23)))^(1/12)))</f>
        <v>0.140491462365526</v>
      </c>
      <c r="W402" s="47" t="n">
        <f aca="false">V402*(IF(C402&lt;Assumptions!$B$5,Assumptions!$B$12*(1+Assumptions!$B$11)^(INT(A402/12)+1)/12+Pricing_M!$B$13*IF(A402=0,Assumptions!$B$14*12,IF(A402&gt;=12,Assumptions!$B$15,0))-Pricing_M!$B$13,Assumptions!$B$9/12*(1+Assumptions!$B$10)^INT(A402/12)+Assumptions!$B$12*(1+Assumptions!$B$11)^(INT(A402/12)+1)/12))*J402</f>
        <v>126.370414902636</v>
      </c>
      <c r="X402" s="47" t="n">
        <f aca="false">I402*(IF(C402&lt;Assumptions!$B$5,Assumptions!$B$12*(1+Assumptions!$B$11)*(1+Assumptions!$B$24)*(1+Assumptions!$B$11+Assumptions!$B$25)^(INT(A402/12))/12+Pricing_M!$B$13*IF(A402=0,Assumptions!$B$14*12,IF(A402&gt;=12,Assumptions!$B$15,0))-Pricing_M!$B$13,Assumptions!$B$9/12*(1+Assumptions!$B$10)^INT(A402/12)+Assumptions!$B$12*(1+Assumptions!$B$11)*(1+Assumptions!$B$24)*(1+Assumptions!$B$11+Assumptions!$B$25)^(INT(A402/12))/12))*J402</f>
        <v>114.923260225386</v>
      </c>
    </row>
    <row r="403" customFormat="false" ht="15" hidden="false" customHeight="true" outlineLevel="0" collapsed="false">
      <c r="A403" s="1" t="n">
        <v>396</v>
      </c>
      <c r="B403" s="31" t="n">
        <f aca="false">Assumptions!$B$4+A403/12</f>
        <v>98</v>
      </c>
      <c r="C403" s="34" t="n">
        <f aca="false">Assumptions!$B$4+INT(A403/12)</f>
        <v>98</v>
      </c>
      <c r="D403" s="34" t="n">
        <f aca="false">INT(A403/12)+1</f>
        <v>34</v>
      </c>
      <c r="E403" s="32" t="n">
        <f aca="false">IFERROR(INDEX(Cohort_Survival!$G$5:$G$65,MATCH(C403,Cohort_Survival!$A$5:$A$65,0)),1)</f>
        <v>0.187967195708293</v>
      </c>
      <c r="F403" s="30" t="n">
        <f aca="false">1-(1-MIN(1,E403))^(1/12)</f>
        <v>0.0172015462905307</v>
      </c>
      <c r="G403" s="39" t="n">
        <f aca="false">IF(C403&lt;Assumptions!$B$5,IF(D403=1,Assumptions!$B$16,IF(D403=2,Assumptions!$B$17,IF(D403&lt;=5,Assumptions!$B$18,Assumptions!$B$19)))*(1-Assumptions!$B$20),0)</f>
        <v>0</v>
      </c>
      <c r="H403" s="30" t="n">
        <f aca="false">1-(1-G403)^(1/12)</f>
        <v>0</v>
      </c>
      <c r="I403" s="30" t="n">
        <f aca="false">I402*(1-F402)*(1-H402)</f>
        <v>0.125320113771467</v>
      </c>
      <c r="J403" s="30" t="n">
        <f aca="false">INDEX(Discount_Monthly!$G$4:$G$664,MATCH(A403,Discount_Monthly!$A$4:$A$664,0))</f>
        <v>0.354893198656804</v>
      </c>
      <c r="K403" s="30" t="n">
        <f aca="false">IF(C403&lt;Assumptions!$B$5,I403*J403,0)</f>
        <v>0</v>
      </c>
      <c r="L403" s="30" t="n">
        <f aca="false">IF(C403&lt;Assumptions!$B$5,I403*(1-F403)*H403*A403*J403,0)</f>
        <v>0</v>
      </c>
      <c r="M403" s="30" t="n">
        <f aca="false">IF(A403=0,Assumptions!$B$14*12*I403*J403,IF(AND(A403&gt;=12,C403&lt;Assumptions!$B$5),Assumptions!$B$15*I403*J403,0))</f>
        <v>0</v>
      </c>
      <c r="N403" s="47" t="n">
        <f aca="false">IF(C403&gt;=Assumptions!$B$5,I403*Assumptions!$B$9/12*(1+Assumptions!$B$10)^INT(A403/12)*J403,0)</f>
        <v>113.988978458498</v>
      </c>
      <c r="O403" s="47" t="n">
        <f aca="false">I403*Assumptions!$B$12/12*(1+Assumptions!$B$11)^(INT(A403/12)+1)*J403</f>
        <v>0.68649696434272</v>
      </c>
      <c r="P403" s="47" t="n">
        <f aca="false">O403+Pricing_M!$B$13*M403+N403-Pricing_M!$B$13*K403</f>
        <v>114.675475422841</v>
      </c>
      <c r="Q403" s="47" t="n">
        <f aca="false">IF(C403&lt;Assumptions!$B$5,Pricing_M!$B$13*K403-Pricing_M!$B$13*M403-O403,-(N403+O403))</f>
        <v>-114.675475422841</v>
      </c>
      <c r="R403" s="32" t="n">
        <f aca="false">R402*(1-(1-(1-MIN(1,E402*(1-Assumptions!$B$21)))^(1/12)))*(1-H402)</f>
        <v>0.185893751930706</v>
      </c>
      <c r="S403" s="47" t="n">
        <f aca="false">R403*(IF(C403&lt;Assumptions!$B$5,Assumptions!$B$12*(1+Assumptions!$B$11)^(INT(A403/12)+1)/12+Pricing_M!$B$13*IF(A403=0,Assumptions!$B$14*12,IF(A403&gt;=12,Assumptions!$B$15,0))-Pricing_M!$B$13,Assumptions!$B$9/12*(1+Assumptions!$B$10)^INT(A403/12)+Assumptions!$B$12*(1+Assumptions!$B$11)^(INT(A403/12)+1)/12))*J403</f>
        <v>170.104013946745</v>
      </c>
      <c r="T403" s="32" t="n">
        <f aca="false">T402*(1-F402)*(1-(1-(1-MIN(1,G402*(1+Assumptions!$B$23)))^(1/12)))</f>
        <v>0.113524840858848</v>
      </c>
      <c r="U403" s="47" t="n">
        <f aca="false">T403*(IF(C403&lt;Assumptions!$B$5,Assumptions!$B$12*(1+Assumptions!$B$11)^(INT(A403/12)+1)/12+Pricing_M!$B$13*IF(A403=0,Assumptions!$B$14*12,IF(A403&gt;=12,Assumptions!$B$15,0))-Pricing_M!$B$13,Assumptions!$B$9/12*(1+Assumptions!$B$10)^INT(A403/12)+Assumptions!$B$12*(1+Assumptions!$B$11)^(INT(A403/12)+1)/12))*J403</f>
        <v>103.882088086284</v>
      </c>
      <c r="V403" s="32" t="n">
        <f aca="false">V402*(1-F402)*(1-(1-(1-MIN(1,G402*(1-Assumptions!$B$23)))^(1/12)))</f>
        <v>0.138213990217758</v>
      </c>
      <c r="W403" s="47" t="n">
        <f aca="false">V403*(IF(C403&lt;Assumptions!$B$5,Assumptions!$B$12*(1+Assumptions!$B$11)^(INT(A403/12)+1)/12+Pricing_M!$B$13*IF(A403=0,Assumptions!$B$14*12,IF(A403&gt;=12,Assumptions!$B$15,0))-Pricing_M!$B$13,Assumptions!$B$9/12*(1+Assumptions!$B$10)^INT(A403/12)+Assumptions!$B$12*(1+Assumptions!$B$11)^(INT(A403/12)+1)/12))*J403</f>
        <v>126.474151365779</v>
      </c>
      <c r="X403" s="47" t="n">
        <f aca="false">I403*(IF(C403&lt;Assumptions!$B$5,Assumptions!$B$12*(1+Assumptions!$B$11)*(1+Assumptions!$B$24)*(1+Assumptions!$B$11+Assumptions!$B$25)^(INT(A403/12))/12+Pricing_M!$B$13*IF(A403=0,Assumptions!$B$14*12,IF(A403&gt;=12,Assumptions!$B$15,0))-Pricing_M!$B$13,Assumptions!$B$9/12*(1+Assumptions!$B$10)^INT(A403/12)+Assumptions!$B$12*(1+Assumptions!$B$11)*(1+Assumptions!$B$24)*(1+Assumptions!$B$11+Assumptions!$B$25)^(INT(A403/12))/12))*J403</f>
        <v>115.029318445467</v>
      </c>
    </row>
    <row r="404" customFormat="false" ht="15" hidden="false" customHeight="true" outlineLevel="0" collapsed="false">
      <c r="A404" s="1" t="n">
        <v>397</v>
      </c>
      <c r="B404" s="31" t="n">
        <f aca="false">Assumptions!$B$4+A404/12</f>
        <v>98.0833333333333</v>
      </c>
      <c r="C404" s="34" t="n">
        <f aca="false">Assumptions!$B$4+INT(A404/12)</f>
        <v>98</v>
      </c>
      <c r="D404" s="34" t="n">
        <f aca="false">INT(A404/12)+1</f>
        <v>34</v>
      </c>
      <c r="E404" s="32" t="n">
        <f aca="false">IFERROR(INDEX(Cohort_Survival!$G$5:$G$65,MATCH(C404,Cohort_Survival!$A$5:$A$65,0)),1)</f>
        <v>0.187967195708293</v>
      </c>
      <c r="F404" s="30" t="n">
        <f aca="false">1-(1-MIN(1,E404))^(1/12)</f>
        <v>0.0172015462905307</v>
      </c>
      <c r="G404" s="39" t="n">
        <f aca="false">IF(C404&lt;Assumptions!$B$5,IF(D404=1,Assumptions!$B$16,IF(D404=2,Assumptions!$B$17,IF(D404&lt;=5,Assumptions!$B$18,Assumptions!$B$19)))*(1-Assumptions!$B$20),0)</f>
        <v>0</v>
      </c>
      <c r="H404" s="30" t="n">
        <f aca="false">1-(1-G404)^(1/12)</f>
        <v>0</v>
      </c>
      <c r="I404" s="30" t="n">
        <f aca="false">I403*(1-F403)*(1-H403)</f>
        <v>0.123164414033293</v>
      </c>
      <c r="J404" s="30" t="n">
        <f aca="false">INDEX(Discount_Monthly!$G$4:$G$664,MATCH(A404,Discount_Monthly!$A$4:$A$664,0))</f>
        <v>0.353946571740385</v>
      </c>
      <c r="K404" s="30" t="n">
        <f aca="false">IF(C404&lt;Assumptions!$B$5,I404*J404,0)</f>
        <v>0</v>
      </c>
      <c r="L404" s="30" t="n">
        <f aca="false">IF(C404&lt;Assumptions!$B$5,I404*(1-F404)*H404*A404*J404,0)</f>
        <v>0</v>
      </c>
      <c r="M404" s="30" t="n">
        <f aca="false">IF(A404=0,Assumptions!$B$14*12*I404*J404,IF(AND(A404&gt;=12,C404&lt;Assumptions!$B$5),Assumptions!$B$15*I404*J404,0))</f>
        <v>0</v>
      </c>
      <c r="N404" s="47" t="n">
        <f aca="false">IF(C404&gt;=Assumptions!$B$5,I404*Assumptions!$B$9/12*(1+Assumptions!$B$10)^INT(A404/12)*J404,0)</f>
        <v>111.729372568883</v>
      </c>
      <c r="O404" s="47" t="n">
        <f aca="false">I404*Assumptions!$B$12/12*(1+Assumptions!$B$11)^(INT(A404/12)+1)*J404</f>
        <v>0.672888520747477</v>
      </c>
      <c r="P404" s="47" t="n">
        <f aca="false">O404+Pricing_M!$B$13*M404+N404-Pricing_M!$B$13*K404</f>
        <v>112.40226108963</v>
      </c>
      <c r="Q404" s="47" t="n">
        <f aca="false">IF(C404&lt;Assumptions!$B$5,Pricing_M!$B$13*K404-Pricing_M!$B$13*M404-O404,-(N404+O404))</f>
        <v>-112.40226108963</v>
      </c>
      <c r="R404" s="32" t="n">
        <f aca="false">R403*(1-(1-(1-MIN(1,E403*(1-Assumptions!$B$21)))^(1/12)))*(1-H403)</f>
        <v>0.18338639763769</v>
      </c>
      <c r="S404" s="47" t="n">
        <f aca="false">R404*(IF(C404&lt;Assumptions!$B$5,Assumptions!$B$12*(1+Assumptions!$B$11)^(INT(A404/12)+1)/12+Pricing_M!$B$13*IF(A404=0,Assumptions!$B$14*12,IF(A404&gt;=12,Assumptions!$B$15,0))-Pricing_M!$B$13,Assumptions!$B$9/12*(1+Assumptions!$B$10)^INT(A404/12)+Assumptions!$B$12*(1+Assumptions!$B$11)^(INT(A404/12)+1)/12))*J404</f>
        <v>167.362025056899</v>
      </c>
      <c r="T404" s="32" t="n">
        <f aca="false">T403*(1-F403)*(1-(1-(1-MIN(1,G403*(1+Assumptions!$B$23)))^(1/12)))</f>
        <v>0.11157203805369</v>
      </c>
      <c r="U404" s="47" t="n">
        <f aca="false">T404*(IF(C404&lt;Assumptions!$B$5,Assumptions!$B$12*(1+Assumptions!$B$11)^(INT(A404/12)+1)/12+Pricing_M!$B$13*IF(A404=0,Assumptions!$B$14*12,IF(A404&gt;=12,Assumptions!$B$15,0))-Pricing_M!$B$13,Assumptions!$B$9/12*(1+Assumptions!$B$10)^INT(A404/12)+Assumptions!$B$12*(1+Assumptions!$B$11)^(INT(A404/12)+1)/12))*J404</f>
        <v>101.822831294622</v>
      </c>
      <c r="V404" s="32" t="n">
        <f aca="false">V403*(1-F403)*(1-(1-(1-MIN(1,G403*(1-Assumptions!$B$23)))^(1/12)))</f>
        <v>0.135836495867028</v>
      </c>
      <c r="W404" s="47" t="n">
        <f aca="false">V404*(IF(C404&lt;Assumptions!$B$5,Assumptions!$B$12*(1+Assumptions!$B$11)^(INT(A404/12)+1)/12+Pricing_M!$B$13*IF(A404=0,Assumptions!$B$14*12,IF(A404&gt;=12,Assumptions!$B$15,0))-Pricing_M!$B$13,Assumptions!$B$9/12*(1+Assumptions!$B$10)^INT(A404/12)+Assumptions!$B$12*(1+Assumptions!$B$11)^(INT(A404/12)+1)/12))*J404</f>
        <v>123.967051634077</v>
      </c>
      <c r="X404" s="47" t="n">
        <f aca="false">I404*(IF(C404&lt;Assumptions!$B$5,Assumptions!$B$12*(1+Assumptions!$B$11)*(1+Assumptions!$B$24)*(1+Assumptions!$B$11+Assumptions!$B$25)^(INT(A404/12))/12+Pricing_M!$B$13*IF(A404=0,Assumptions!$B$14*12,IF(A404&gt;=12,Assumptions!$B$15,0))-Pricing_M!$B$13,Assumptions!$B$9/12*(1+Assumptions!$B$10)^INT(A404/12)+Assumptions!$B$12*(1+Assumptions!$B$11)*(1+Assumptions!$B$24)*(1+Assumptions!$B$11+Assumptions!$B$25)^(INT(A404/12))/12))*J404</f>
        <v>112.749089874663</v>
      </c>
    </row>
    <row r="405" customFormat="false" ht="15" hidden="false" customHeight="true" outlineLevel="0" collapsed="false">
      <c r="A405" s="1" t="n">
        <v>398</v>
      </c>
      <c r="B405" s="31" t="n">
        <f aca="false">Assumptions!$B$4+A405/12</f>
        <v>98.1666666666667</v>
      </c>
      <c r="C405" s="34" t="n">
        <f aca="false">Assumptions!$B$4+INT(A405/12)</f>
        <v>98</v>
      </c>
      <c r="D405" s="34" t="n">
        <f aca="false">INT(A405/12)+1</f>
        <v>34</v>
      </c>
      <c r="E405" s="32" t="n">
        <f aca="false">IFERROR(INDEX(Cohort_Survival!$G$5:$G$65,MATCH(C405,Cohort_Survival!$A$5:$A$65,0)),1)</f>
        <v>0.187967195708293</v>
      </c>
      <c r="F405" s="30" t="n">
        <f aca="false">1-(1-MIN(1,E405))^(1/12)</f>
        <v>0.0172015462905307</v>
      </c>
      <c r="G405" s="39" t="n">
        <f aca="false">IF(C405&lt;Assumptions!$B$5,IF(D405=1,Assumptions!$B$16,IF(D405=2,Assumptions!$B$17,IF(D405&lt;=5,Assumptions!$B$18,Assumptions!$B$19)))*(1-Assumptions!$B$20),0)</f>
        <v>0</v>
      </c>
      <c r="H405" s="30" t="n">
        <f aca="false">1-(1-G405)^(1/12)</f>
        <v>0</v>
      </c>
      <c r="I405" s="30" t="n">
        <f aca="false">I404*(1-F404)*(1-H404)</f>
        <v>0.121045795663953</v>
      </c>
      <c r="J405" s="30" t="n">
        <f aca="false">INDEX(Discount_Monthly!$G$4:$G$664,MATCH(A405,Discount_Monthly!$A$4:$A$664,0))</f>
        <v>0.353002469816054</v>
      </c>
      <c r="K405" s="30" t="n">
        <f aca="false">IF(C405&lt;Assumptions!$B$5,I405*J405,0)</f>
        <v>0</v>
      </c>
      <c r="L405" s="30" t="n">
        <f aca="false">IF(C405&lt;Assumptions!$B$5,I405*(1-F405)*H405*A405*J405,0)</f>
        <v>0</v>
      </c>
      <c r="M405" s="30" t="n">
        <f aca="false">IF(A405=0,Assumptions!$B$14*12*I405*J405,IF(AND(A405&gt;=12,C405&lt;Assumptions!$B$5),Assumptions!$B$15*I405*J405,0))</f>
        <v>0</v>
      </c>
      <c r="N405" s="47" t="n">
        <f aca="false">IF(C405&gt;=Assumptions!$B$5,I405*Assumptions!$B$9/12*(1+Assumptions!$B$10)^INT(A405/12)*J405,0)</f>
        <v>109.51455889379</v>
      </c>
      <c r="O405" s="47" t="n">
        <f aca="false">I405*Assumptions!$B$12/12*(1+Assumptions!$B$11)^(INT(A405/12)+1)*J405</f>
        <v>0.659549837612518</v>
      </c>
      <c r="P405" s="47" t="n">
        <f aca="false">O405+Pricing_M!$B$13*M405+N405-Pricing_M!$B$13*K405</f>
        <v>110.174108731403</v>
      </c>
      <c r="Q405" s="47" t="n">
        <f aca="false">IF(C405&lt;Assumptions!$B$5,Pricing_M!$B$13*K405-Pricing_M!$B$13*M405-O405,-(N405+O405))</f>
        <v>-110.174108731403</v>
      </c>
      <c r="R405" s="32" t="n">
        <f aca="false">R404*(1-(1-(1-MIN(1,E404*(1-Assumptions!$B$21)))^(1/12)))*(1-H404)</f>
        <v>0.180912862800601</v>
      </c>
      <c r="S405" s="47" t="n">
        <f aca="false">R405*(IF(C405&lt;Assumptions!$B$5,Assumptions!$B$12*(1+Assumptions!$B$11)^(INT(A405/12)+1)/12+Pricing_M!$B$13*IF(A405=0,Assumptions!$B$14*12,IF(A405&gt;=12,Assumptions!$B$15,0))-Pricing_M!$B$13,Assumptions!$B$9/12*(1+Assumptions!$B$10)^INT(A405/12)+Assumptions!$B$12*(1+Assumptions!$B$11)^(INT(A405/12)+1)/12))*J405</f>
        <v>164.664235612426</v>
      </c>
      <c r="T405" s="32" t="n">
        <f aca="false">T404*(1-F404)*(1-(1-(1-MIN(1,G404*(1+Assumptions!$B$23)))^(1/12)))</f>
        <v>0.10965282647638</v>
      </c>
      <c r="U405" s="47" t="n">
        <f aca="false">T405*(IF(C405&lt;Assumptions!$B$5,Assumptions!$B$12*(1+Assumptions!$B$11)^(INT(A405/12)+1)/12+Pricing_M!$B$13*IF(A405=0,Assumptions!$B$14*12,IF(A405&gt;=12,Assumptions!$B$15,0))-Pricing_M!$B$13,Assumptions!$B$9/12*(1+Assumptions!$B$10)^INT(A405/12)+Assumptions!$B$12*(1+Assumptions!$B$11)^(INT(A405/12)+1)/12))*J405</f>
        <v>99.8043951931492</v>
      </c>
      <c r="V405" s="32" t="n">
        <f aca="false">V404*(1-F404)*(1-(1-(1-MIN(1,G404*(1-Assumptions!$B$23)))^(1/12)))</f>
        <v>0.133499898095428</v>
      </c>
      <c r="W405" s="47" t="n">
        <f aca="false">V405*(IF(C405&lt;Assumptions!$B$5,Assumptions!$B$12*(1+Assumptions!$B$11)^(INT(A405/12)+1)/12+Pricing_M!$B$13*IF(A405=0,Assumptions!$B$14*12,IF(A405&gt;=12,Assumptions!$B$15,0))-Pricing_M!$B$13,Assumptions!$B$9/12*(1+Assumptions!$B$10)^INT(A405/12)+Assumptions!$B$12*(1+Assumptions!$B$11)^(INT(A405/12)+1)/12))*J405</f>
        <v>121.509650192476</v>
      </c>
      <c r="X405" s="47" t="n">
        <f aca="false">I405*(IF(C405&lt;Assumptions!$B$5,Assumptions!$B$12*(1+Assumptions!$B$11)*(1+Assumptions!$B$24)*(1+Assumptions!$B$11+Assumptions!$B$25)^(INT(A405/12))/12+Pricing_M!$B$13*IF(A405=0,Assumptions!$B$14*12,IF(A405&gt;=12,Assumptions!$B$15,0))-Pricing_M!$B$13,Assumptions!$B$9/12*(1+Assumptions!$B$10)^INT(A405/12)+Assumptions!$B$12*(1+Assumptions!$B$11)*(1+Assumptions!$B$24)*(1+Assumptions!$B$11+Assumptions!$B$25)^(INT(A405/12))/12))*J405</f>
        <v>110.51406232222</v>
      </c>
    </row>
    <row r="406" customFormat="false" ht="15" hidden="false" customHeight="true" outlineLevel="0" collapsed="false">
      <c r="A406" s="1" t="n">
        <v>399</v>
      </c>
      <c r="B406" s="31" t="n">
        <f aca="false">Assumptions!$B$4+A406/12</f>
        <v>98.25</v>
      </c>
      <c r="C406" s="34" t="n">
        <f aca="false">Assumptions!$B$4+INT(A406/12)</f>
        <v>98</v>
      </c>
      <c r="D406" s="34" t="n">
        <f aca="false">INT(A406/12)+1</f>
        <v>34</v>
      </c>
      <c r="E406" s="32" t="n">
        <f aca="false">IFERROR(INDEX(Cohort_Survival!$G$5:$G$65,MATCH(C406,Cohort_Survival!$A$5:$A$65,0)),1)</f>
        <v>0.187967195708293</v>
      </c>
      <c r="F406" s="30" t="n">
        <f aca="false">1-(1-MIN(1,E406))^(1/12)</f>
        <v>0.0172015462905307</v>
      </c>
      <c r="G406" s="39" t="n">
        <f aca="false">IF(C406&lt;Assumptions!$B$5,IF(D406=1,Assumptions!$B$16,IF(D406=2,Assumptions!$B$17,IF(D406&lt;=5,Assumptions!$B$18,Assumptions!$B$19)))*(1-Assumptions!$B$20),0)</f>
        <v>0</v>
      </c>
      <c r="H406" s="30" t="n">
        <f aca="false">1-(1-G406)^(1/12)</f>
        <v>0</v>
      </c>
      <c r="I406" s="30" t="n">
        <f aca="false">I405*(1-F405)*(1-H405)</f>
        <v>0.118963620806566</v>
      </c>
      <c r="J406" s="30" t="n">
        <f aca="false">INDEX(Discount_Monthly!$G$4:$G$664,MATCH(A406,Discount_Monthly!$A$4:$A$664,0))</f>
        <v>0.352060886148757</v>
      </c>
      <c r="K406" s="30" t="n">
        <f aca="false">IF(C406&lt;Assumptions!$B$5,I406*J406,0)</f>
        <v>0</v>
      </c>
      <c r="L406" s="30" t="n">
        <f aca="false">IF(C406&lt;Assumptions!$B$5,I406*(1-F406)*H406*A406*J406,0)</f>
        <v>0</v>
      </c>
      <c r="M406" s="30" t="n">
        <f aca="false">IF(A406=0,Assumptions!$B$14*12*I406*J406,IF(AND(A406&gt;=12,C406&lt;Assumptions!$B$5),Assumptions!$B$15*I406*J406,0))</f>
        <v>0</v>
      </c>
      <c r="N406" s="47" t="n">
        <f aca="false">IF(C406&gt;=Assumptions!$B$5,I406*Assumptions!$B$9/12*(1+Assumptions!$B$10)^INT(A406/12)*J406,0)</f>
        <v>107.343649516222</v>
      </c>
      <c r="O406" s="47" t="n">
        <f aca="false">I406*Assumptions!$B$12/12*(1+Assumptions!$B$11)^(INT(A406/12)+1)*J406</f>
        <v>0.646475567470632</v>
      </c>
      <c r="P406" s="47" t="n">
        <f aca="false">O406+Pricing_M!$B$13*M406+N406-Pricing_M!$B$13*K406</f>
        <v>107.990125083692</v>
      </c>
      <c r="Q406" s="47" t="n">
        <f aca="false">IF(C406&lt;Assumptions!$B$5,Pricing_M!$B$13*K406-Pricing_M!$B$13*M406-O406,-(N406+O406))</f>
        <v>-107.990125083692</v>
      </c>
      <c r="R406" s="32" t="n">
        <f aca="false">R405*(1-(1-(1-MIN(1,E405*(1-Assumptions!$B$21)))^(1/12)))*(1-H405)</f>
        <v>0.178472691259095</v>
      </c>
      <c r="S406" s="47" t="n">
        <f aca="false">R406*(IF(C406&lt;Assumptions!$B$5,Assumptions!$B$12*(1+Assumptions!$B$11)^(INT(A406/12)+1)/12+Pricing_M!$B$13*IF(A406=0,Assumptions!$B$14*12,IF(A406&gt;=12,Assumptions!$B$15,0))-Pricing_M!$B$13,Assumptions!$B$9/12*(1+Assumptions!$B$10)^INT(A406/12)+Assumptions!$B$12*(1+Assumptions!$B$11)^(INT(A406/12)+1)/12))*J406</f>
        <v>162.009933141084</v>
      </c>
      <c r="T406" s="32" t="n">
        <f aca="false">T405*(1-F405)*(1-(1-(1-MIN(1,G405*(1+Assumptions!$B$23)))^(1/12)))</f>
        <v>0.107766628305859</v>
      </c>
      <c r="U406" s="47" t="n">
        <f aca="false">T406*(IF(C406&lt;Assumptions!$B$5,Assumptions!$B$12*(1+Assumptions!$B$11)^(INT(A406/12)+1)/12+Pricing_M!$B$13*IF(A406=0,Assumptions!$B$14*12,IF(A406&gt;=12,Assumptions!$B$15,0))-Pricing_M!$B$13,Assumptions!$B$9/12*(1+Assumptions!$B$10)^INT(A406/12)+Assumptions!$B$12*(1+Assumptions!$B$11)^(INT(A406/12)+1)/12))*J406</f>
        <v>97.8259705924757</v>
      </c>
      <c r="V406" s="32" t="n">
        <f aca="false">V405*(1-F405)*(1-(1-(1-MIN(1,G405*(1-Assumptions!$B$23)))^(1/12)))</f>
        <v>0.131203493418558</v>
      </c>
      <c r="W406" s="47" t="n">
        <f aca="false">V406*(IF(C406&lt;Assumptions!$B$5,Assumptions!$B$12*(1+Assumptions!$B$11)^(INT(A406/12)+1)/12+Pricing_M!$B$13*IF(A406=0,Assumptions!$B$14*12,IF(A406&gt;=12,Assumptions!$B$15,0))-Pricing_M!$B$13,Assumptions!$B$9/12*(1+Assumptions!$B$10)^INT(A406/12)+Assumptions!$B$12*(1+Assumptions!$B$11)^(INT(A406/12)+1)/12))*J406</f>
        <v>119.100961870736</v>
      </c>
      <c r="X406" s="47" t="n">
        <f aca="false">I406*(IF(C406&lt;Assumptions!$B$5,Assumptions!$B$12*(1+Assumptions!$B$11)*(1+Assumptions!$B$24)*(1+Assumptions!$B$11+Assumptions!$B$25)^(INT(A406/12))/12+Pricing_M!$B$13*IF(A406=0,Assumptions!$B$14*12,IF(A406&gt;=12,Assumptions!$B$15,0))-Pricing_M!$B$13,Assumptions!$B$9/12*(1+Assumptions!$B$10)^INT(A406/12)+Assumptions!$B$12*(1+Assumptions!$B$11)*(1+Assumptions!$B$24)*(1+Assumptions!$B$11+Assumptions!$B$25)^(INT(A406/12))/12))*J406</f>
        <v>108.323339767412</v>
      </c>
    </row>
    <row r="407" customFormat="false" ht="15" hidden="false" customHeight="true" outlineLevel="0" collapsed="false">
      <c r="A407" s="1" t="n">
        <v>400</v>
      </c>
      <c r="B407" s="31" t="n">
        <f aca="false">Assumptions!$B$4+A407/12</f>
        <v>98.3333333333333</v>
      </c>
      <c r="C407" s="34" t="n">
        <f aca="false">Assumptions!$B$4+INT(A407/12)</f>
        <v>98</v>
      </c>
      <c r="D407" s="34" t="n">
        <f aca="false">INT(A407/12)+1</f>
        <v>34</v>
      </c>
      <c r="E407" s="32" t="n">
        <f aca="false">IFERROR(INDEX(Cohort_Survival!$G$5:$G$65,MATCH(C407,Cohort_Survival!$A$5:$A$65,0)),1)</f>
        <v>0.187967195708293</v>
      </c>
      <c r="F407" s="30" t="n">
        <f aca="false">1-(1-MIN(1,E407))^(1/12)</f>
        <v>0.0172015462905307</v>
      </c>
      <c r="G407" s="39" t="n">
        <f aca="false">IF(C407&lt;Assumptions!$B$5,IF(D407=1,Assumptions!$B$16,IF(D407=2,Assumptions!$B$17,IF(D407&lt;=5,Assumptions!$B$18,Assumptions!$B$19)))*(1-Assumptions!$B$20),0)</f>
        <v>0</v>
      </c>
      <c r="H407" s="30" t="n">
        <f aca="false">1-(1-G407)^(1/12)</f>
        <v>0</v>
      </c>
      <c r="I407" s="30" t="n">
        <f aca="false">I406*(1-F406)*(1-H406)</f>
        <v>0.116917262576372</v>
      </c>
      <c r="J407" s="30" t="n">
        <f aca="false">INDEX(Discount_Monthly!$G$4:$G$664,MATCH(A407,Discount_Monthly!$A$4:$A$664,0))</f>
        <v>0.351121814021401</v>
      </c>
      <c r="K407" s="30" t="n">
        <f aca="false">IF(C407&lt;Assumptions!$B$5,I407*J407,0)</f>
        <v>0</v>
      </c>
      <c r="L407" s="30" t="n">
        <f aca="false">IF(C407&lt;Assumptions!$B$5,I407*(1-F407)*H407*A407*J407,0)</f>
        <v>0</v>
      </c>
      <c r="M407" s="30" t="n">
        <f aca="false">IF(A407=0,Assumptions!$B$14*12*I407*J407,IF(AND(A407&gt;=12,C407&lt;Assumptions!$B$5),Assumptions!$B$15*I407*J407,0))</f>
        <v>0</v>
      </c>
      <c r="N407" s="47" t="n">
        <f aca="false">IF(C407&gt;=Assumptions!$B$5,I407*Assumptions!$B$9/12*(1+Assumptions!$B$10)^INT(A407/12)*J407,0)</f>
        <v>105.215774120374</v>
      </c>
      <c r="O407" s="47" t="n">
        <f aca="false">I407*Assumptions!$B$12/12*(1+Assumptions!$B$11)^(INT(A407/12)+1)*J407</f>
        <v>0.63366046885756</v>
      </c>
      <c r="P407" s="47" t="n">
        <f aca="false">O407+Pricing_M!$B$13*M407+N407-Pricing_M!$B$13*K407</f>
        <v>105.849434589232</v>
      </c>
      <c r="Q407" s="47" t="n">
        <f aca="false">IF(C407&lt;Assumptions!$B$5,Pricing_M!$B$13*K407-Pricing_M!$B$13*M407-O407,-(N407+O407))</f>
        <v>-105.849434589232</v>
      </c>
      <c r="R407" s="32" t="n">
        <f aca="false">R406*(1-(1-(1-MIN(1,E406*(1-Assumptions!$B$21)))^(1/12)))*(1-H406)</f>
        <v>0.176065433005566</v>
      </c>
      <c r="S407" s="47" t="n">
        <f aca="false">R407*(IF(C407&lt;Assumptions!$B$5,Assumptions!$B$12*(1+Assumptions!$B$11)^(INT(A407/12)+1)/12+Pricing_M!$B$13*IF(A407=0,Assumptions!$B$14*12,IF(A407&gt;=12,Assumptions!$B$15,0))-Pricing_M!$B$13,Assumptions!$B$9/12*(1+Assumptions!$B$10)^INT(A407/12)+Assumptions!$B$12*(1+Assumptions!$B$11)^(INT(A407/12)+1)/12))*J407</f>
        <v>159.398416655314</v>
      </c>
      <c r="T407" s="32" t="n">
        <f aca="false">T406*(1-F406)*(1-(1-(1-MIN(1,G406*(1+Assumptions!$B$23)))^(1/12)))</f>
        <v>0.105912875660482</v>
      </c>
      <c r="U407" s="47" t="n">
        <f aca="false">T407*(IF(C407&lt;Assumptions!$B$5,Assumptions!$B$12*(1+Assumptions!$B$11)^(INT(A407/12)+1)/12+Pricing_M!$B$13*IF(A407=0,Assumptions!$B$14*12,IF(A407&gt;=12,Assumptions!$B$15,0))-Pricing_M!$B$13,Assumptions!$B$9/12*(1+Assumptions!$B$10)^INT(A407/12)+Assumptions!$B$12*(1+Assumptions!$B$11)^(INT(A407/12)+1)/12))*J407</f>
        <v>95.8867643437894</v>
      </c>
      <c r="V407" s="32" t="n">
        <f aca="false">V406*(1-F406)*(1-(1-(1-MIN(1,G406*(1-Assumptions!$B$23)))^(1/12)))</f>
        <v>0.128946590453039</v>
      </c>
      <c r="W407" s="47" t="n">
        <f aca="false">V407*(IF(C407&lt;Assumptions!$B$5,Assumptions!$B$12*(1+Assumptions!$B$11)^(INT(A407/12)+1)/12+Pricing_M!$B$13*IF(A407=0,Assumptions!$B$14*12,IF(A407&gt;=12,Assumptions!$B$15,0))-Pricing_M!$B$13,Assumptions!$B$9/12*(1+Assumptions!$B$10)^INT(A407/12)+Assumptions!$B$12*(1+Assumptions!$B$11)^(INT(A407/12)+1)/12))*J407</f>
        <v>116.740021027671</v>
      </c>
      <c r="X407" s="47" t="n">
        <f aca="false">I407*(IF(C407&lt;Assumptions!$B$5,Assumptions!$B$12*(1+Assumptions!$B$11)*(1+Assumptions!$B$24)*(1+Assumptions!$B$11+Assumptions!$B$25)^(INT(A407/12))/12+Pricing_M!$B$13*IF(A407=0,Assumptions!$B$14*12,IF(A407&gt;=12,Assumptions!$B$15,0))-Pricing_M!$B$13,Assumptions!$B$9/12*(1+Assumptions!$B$10)^INT(A407/12)+Assumptions!$B$12*(1+Assumptions!$B$11)*(1+Assumptions!$B$24)*(1+Assumptions!$B$11+Assumptions!$B$25)^(INT(A407/12))/12))*J407</f>
        <v>106.176043951349</v>
      </c>
    </row>
    <row r="408" customFormat="false" ht="15" hidden="false" customHeight="true" outlineLevel="0" collapsed="false">
      <c r="A408" s="1" t="n">
        <v>401</v>
      </c>
      <c r="B408" s="31" t="n">
        <f aca="false">Assumptions!$B$4+A408/12</f>
        <v>98.4166666666667</v>
      </c>
      <c r="C408" s="34" t="n">
        <f aca="false">Assumptions!$B$4+INT(A408/12)</f>
        <v>98</v>
      </c>
      <c r="D408" s="34" t="n">
        <f aca="false">INT(A408/12)+1</f>
        <v>34</v>
      </c>
      <c r="E408" s="32" t="n">
        <f aca="false">IFERROR(INDEX(Cohort_Survival!$G$5:$G$65,MATCH(C408,Cohort_Survival!$A$5:$A$65,0)),1)</f>
        <v>0.187967195708293</v>
      </c>
      <c r="F408" s="30" t="n">
        <f aca="false">1-(1-MIN(1,E408))^(1/12)</f>
        <v>0.0172015462905307</v>
      </c>
      <c r="G408" s="39" t="n">
        <f aca="false">IF(C408&lt;Assumptions!$B$5,IF(D408=1,Assumptions!$B$16,IF(D408=2,Assumptions!$B$17,IF(D408&lt;=5,Assumptions!$B$18,Assumptions!$B$19)))*(1-Assumptions!$B$20),0)</f>
        <v>0</v>
      </c>
      <c r="H408" s="30" t="n">
        <f aca="false">1-(1-G408)^(1/12)</f>
        <v>0</v>
      </c>
      <c r="I408" s="30" t="n">
        <f aca="false">I407*(1-F407)*(1-H407)</f>
        <v>0.114906104872003</v>
      </c>
      <c r="J408" s="30" t="n">
        <f aca="false">INDEX(Discount_Monthly!$G$4:$G$664,MATCH(A408,Discount_Monthly!$A$4:$A$664,0))</f>
        <v>0.350185246734813</v>
      </c>
      <c r="K408" s="30" t="n">
        <f aca="false">IF(C408&lt;Assumptions!$B$5,I408*J408,0)</f>
        <v>0</v>
      </c>
      <c r="L408" s="30" t="n">
        <f aca="false">IF(C408&lt;Assumptions!$B$5,I408*(1-F408)*H408*A408*J408,0)</f>
        <v>0</v>
      </c>
      <c r="M408" s="30" t="n">
        <f aca="false">IF(A408=0,Assumptions!$B$14*12*I408*J408,IF(AND(A408&gt;=12,C408&lt;Assumptions!$B$5),Assumptions!$B$15*I408*J408,0))</f>
        <v>0</v>
      </c>
      <c r="N408" s="47" t="n">
        <f aca="false">IF(C408&gt;=Assumptions!$B$5,I408*Assumptions!$B$9/12*(1+Assumptions!$B$10)^INT(A408/12)*J408,0)</f>
        <v>103.130079642733</v>
      </c>
      <c r="O408" s="47" t="n">
        <f aca="false">I408*Assumptions!$B$12/12*(1+Assumptions!$B$11)^(INT(A408/12)+1)*J408</f>
        <v>0.621099404210698</v>
      </c>
      <c r="P408" s="47" t="n">
        <f aca="false">O408+Pricing_M!$B$13*M408+N408-Pricing_M!$B$13*K408</f>
        <v>103.751179046944</v>
      </c>
      <c r="Q408" s="47" t="n">
        <f aca="false">IF(C408&lt;Assumptions!$B$5,Pricing_M!$B$13*K408-Pricing_M!$B$13*M408-O408,-(N408+O408))</f>
        <v>-103.751179046944</v>
      </c>
      <c r="R408" s="32" t="n">
        <f aca="false">R407*(1-(1-(1-MIN(1,E407*(1-Assumptions!$B$21)))^(1/12)))*(1-H407)</f>
        <v>0.173690644102156</v>
      </c>
      <c r="S408" s="47" t="n">
        <f aca="false">R408*(IF(C408&lt;Assumptions!$B$5,Assumptions!$B$12*(1+Assumptions!$B$11)^(INT(A408/12)+1)/12+Pricing_M!$B$13*IF(A408=0,Assumptions!$B$14*12,IF(A408&gt;=12,Assumptions!$B$15,0))-Pricing_M!$B$13,Assumptions!$B$9/12*(1+Assumptions!$B$10)^INT(A408/12)+Assumptions!$B$12*(1+Assumptions!$B$11)^(INT(A408/12)+1)/12))*J408</f>
        <v>156.828996467119</v>
      </c>
      <c r="T408" s="32" t="n">
        <f aca="false">T407*(1-F407)*(1-(1-(1-MIN(1,G407*(1+Assumptions!$B$23)))^(1/12)))</f>
        <v>0.104091010427045</v>
      </c>
      <c r="U408" s="47" t="n">
        <f aca="false">T408*(IF(C408&lt;Assumptions!$B$5,Assumptions!$B$12*(1+Assumptions!$B$11)^(INT(A408/12)+1)/12+Pricing_M!$B$13*IF(A408=0,Assumptions!$B$14*12,IF(A408&gt;=12,Assumptions!$B$15,0))-Pricing_M!$B$13,Assumptions!$B$9/12*(1+Assumptions!$B$10)^INT(A408/12)+Assumptions!$B$12*(1+Assumptions!$B$11)^(INT(A408/12)+1)/12))*J408</f>
        <v>93.9859990208835</v>
      </c>
      <c r="V408" s="32" t="n">
        <f aca="false">V407*(1-F407)*(1-(1-(1-MIN(1,G407*(1-Assumptions!$B$23)))^(1/12)))</f>
        <v>0.126728509708355</v>
      </c>
      <c r="W408" s="47" t="n">
        <f aca="false">V408*(IF(C408&lt;Assumptions!$B$5,Assumptions!$B$12*(1+Assumptions!$B$11)^(INT(A408/12)+1)/12+Pricing_M!$B$13*IF(A408=0,Assumptions!$B$14*12,IF(A408&gt;=12,Assumptions!$B$15,0))-Pricing_M!$B$13,Assumptions!$B$9/12*(1+Assumptions!$B$10)^INT(A408/12)+Assumptions!$B$12*(1+Assumptions!$B$11)^(INT(A408/12)+1)/12))*J408</f>
        <v>114.425881164017</v>
      </c>
      <c r="X408" s="47" t="n">
        <f aca="false">I408*(IF(C408&lt;Assumptions!$B$5,Assumptions!$B$12*(1+Assumptions!$B$11)*(1+Assumptions!$B$24)*(1+Assumptions!$B$11+Assumptions!$B$25)^(INT(A408/12))/12+Pricing_M!$B$13*IF(A408=0,Assumptions!$B$14*12,IF(A408&gt;=12,Assumptions!$B$15,0))-Pricing_M!$B$13,Assumptions!$B$9/12*(1+Assumptions!$B$10)^INT(A408/12)+Assumptions!$B$12*(1+Assumptions!$B$11)*(1+Assumptions!$B$24)*(1+Assumptions!$B$11+Assumptions!$B$25)^(INT(A408/12))/12))*J408</f>
        <v>104.071314024886</v>
      </c>
    </row>
    <row r="409" customFormat="false" ht="15" hidden="false" customHeight="true" outlineLevel="0" collapsed="false">
      <c r="A409" s="1" t="n">
        <v>402</v>
      </c>
      <c r="B409" s="31" t="n">
        <f aca="false">Assumptions!$B$4+A409/12</f>
        <v>98.5</v>
      </c>
      <c r="C409" s="34" t="n">
        <f aca="false">Assumptions!$B$4+INT(A409/12)</f>
        <v>98</v>
      </c>
      <c r="D409" s="34" t="n">
        <f aca="false">INT(A409/12)+1</f>
        <v>34</v>
      </c>
      <c r="E409" s="32" t="n">
        <f aca="false">IFERROR(INDEX(Cohort_Survival!$G$5:$G$65,MATCH(C409,Cohort_Survival!$A$5:$A$65,0)),1)</f>
        <v>0.187967195708293</v>
      </c>
      <c r="F409" s="30" t="n">
        <f aca="false">1-(1-MIN(1,E409))^(1/12)</f>
        <v>0.0172015462905307</v>
      </c>
      <c r="G409" s="39" t="n">
        <f aca="false">IF(C409&lt;Assumptions!$B$5,IF(D409=1,Assumptions!$B$16,IF(D409=2,Assumptions!$B$17,IF(D409&lt;=5,Assumptions!$B$18,Assumptions!$B$19)))*(1-Assumptions!$B$20),0)</f>
        <v>0</v>
      </c>
      <c r="H409" s="30" t="n">
        <f aca="false">1-(1-G409)^(1/12)</f>
        <v>0</v>
      </c>
      <c r="I409" s="30" t="n">
        <f aca="false">I408*(1-F408)*(1-H408)</f>
        <v>0.112929542189982</v>
      </c>
      <c r="J409" s="30" t="n">
        <f aca="false">INDEX(Discount_Monthly!$G$4:$G$664,MATCH(A409,Discount_Monthly!$A$4:$A$664,0))</f>
        <v>0.349251177607688</v>
      </c>
      <c r="K409" s="30" t="n">
        <f aca="false">IF(C409&lt;Assumptions!$B$5,I409*J409,0)</f>
        <v>0</v>
      </c>
      <c r="L409" s="30" t="n">
        <f aca="false">IF(C409&lt;Assumptions!$B$5,I409*(1-F409)*H409*A409*J409,0)</f>
        <v>0</v>
      </c>
      <c r="M409" s="30" t="n">
        <f aca="false">IF(A409=0,Assumptions!$B$14*12*I409*J409,IF(AND(A409&gt;=12,C409&lt;Assumptions!$B$5),Assumptions!$B$15*I409*J409,0))</f>
        <v>0</v>
      </c>
      <c r="N409" s="47" t="n">
        <f aca="false">IF(C409&gt;=Assumptions!$B$5,I409*Assumptions!$B$9/12*(1+Assumptions!$B$10)^INT(A409/12)*J409,0)</f>
        <v>101.08572993008</v>
      </c>
      <c r="O409" s="47" t="n">
        <f aca="false">I409*Assumptions!$B$12/12*(1+Assumptions!$B$11)^(INT(A409/12)+1)*J409</f>
        <v>0.608787337809453</v>
      </c>
      <c r="P409" s="47" t="n">
        <f aca="false">O409+Pricing_M!$B$13*M409+N409-Pricing_M!$B$13*K409</f>
        <v>101.69451726789</v>
      </c>
      <c r="Q409" s="47" t="n">
        <f aca="false">IF(C409&lt;Assumptions!$B$5,Pricing_M!$B$13*K409-Pricing_M!$B$13*M409-O409,-(N409+O409))</f>
        <v>-101.69451726789</v>
      </c>
      <c r="R409" s="32" t="n">
        <f aca="false">R408*(1-(1-(1-MIN(1,E408*(1-Assumptions!$B$21)))^(1/12)))*(1-H408)</f>
        <v>0.171347886598887</v>
      </c>
      <c r="S409" s="47" t="n">
        <f aca="false">R409*(IF(C409&lt;Assumptions!$B$5,Assumptions!$B$12*(1+Assumptions!$B$11)^(INT(A409/12)+1)/12+Pricing_M!$B$13*IF(A409=0,Assumptions!$B$14*12,IF(A409&gt;=12,Assumptions!$B$15,0))-Pricing_M!$B$13,Assumptions!$B$9/12*(1+Assumptions!$B$10)^INT(A409/12)+Assumptions!$B$12*(1+Assumptions!$B$11)^(INT(A409/12)+1)/12))*J409</f>
        <v>154.300994005913</v>
      </c>
      <c r="T409" s="32" t="n">
        <f aca="false">T408*(1-F408)*(1-(1-(1-MIN(1,G408*(1+Assumptions!$B$23)))^(1/12)))</f>
        <v>0.102300484092756</v>
      </c>
      <c r="U409" s="47" t="n">
        <f aca="false">T409*(IF(C409&lt;Assumptions!$B$5,Assumptions!$B$12*(1+Assumptions!$B$11)^(INT(A409/12)+1)/12+Pricing_M!$B$13*IF(A409=0,Assumptions!$B$14*12,IF(A409&gt;=12,Assumptions!$B$15,0))-Pricing_M!$B$13,Assumptions!$B$9/12*(1+Assumptions!$B$10)^INT(A409/12)+Assumptions!$B$12*(1+Assumptions!$B$11)^(INT(A409/12)+1)/12))*J409</f>
        <v>92.1229126084872</v>
      </c>
      <c r="V409" s="32" t="n">
        <f aca="false">V408*(1-F408)*(1-(1-(1-MIN(1,G408*(1-Assumptions!$B$23)))^(1/12)))</f>
        <v>0.124548583382277</v>
      </c>
      <c r="W409" s="47" t="n">
        <f aca="false">V409*(IF(C409&lt;Assumptions!$B$5,Assumptions!$B$12*(1+Assumptions!$B$11)^(INT(A409/12)+1)/12+Pricing_M!$B$13*IF(A409=0,Assumptions!$B$14*12,IF(A409&gt;=12,Assumptions!$B$15,0))-Pricing_M!$B$13,Assumptions!$B$9/12*(1+Assumptions!$B$10)^INT(A409/12)+Assumptions!$B$12*(1+Assumptions!$B$11)^(INT(A409/12)+1)/12))*J409</f>
        <v>112.157614542988</v>
      </c>
      <c r="X409" s="47" t="n">
        <f aca="false">I409*(IF(C409&lt;Assumptions!$B$5,Assumptions!$B$12*(1+Assumptions!$B$11)*(1+Assumptions!$B$24)*(1+Assumptions!$B$11+Assumptions!$B$25)^(INT(A409/12))/12+Pricing_M!$B$13*IF(A409=0,Assumptions!$B$14*12,IF(A409&gt;=12,Assumptions!$B$15,0))-Pricing_M!$B$13,Assumptions!$B$9/12*(1+Assumptions!$B$10)^INT(A409/12)+Assumptions!$B$12*(1+Assumptions!$B$11)*(1+Assumptions!$B$24)*(1+Assumptions!$B$11+Assumptions!$B$25)^(INT(A409/12))/12))*J409</f>
        <v>102.008306203509</v>
      </c>
    </row>
    <row r="410" customFormat="false" ht="15" hidden="false" customHeight="true" outlineLevel="0" collapsed="false">
      <c r="A410" s="1" t="n">
        <v>403</v>
      </c>
      <c r="B410" s="31" t="n">
        <f aca="false">Assumptions!$B$4+A410/12</f>
        <v>98.5833333333333</v>
      </c>
      <c r="C410" s="34" t="n">
        <f aca="false">Assumptions!$B$4+INT(A410/12)</f>
        <v>98</v>
      </c>
      <c r="D410" s="34" t="n">
        <f aca="false">INT(A410/12)+1</f>
        <v>34</v>
      </c>
      <c r="E410" s="32" t="n">
        <f aca="false">IFERROR(INDEX(Cohort_Survival!$G$5:$G$65,MATCH(C410,Cohort_Survival!$A$5:$A$65,0)),1)</f>
        <v>0.187967195708293</v>
      </c>
      <c r="F410" s="30" t="n">
        <f aca="false">1-(1-MIN(1,E410))^(1/12)</f>
        <v>0.0172015462905307</v>
      </c>
      <c r="G410" s="39" t="n">
        <f aca="false">IF(C410&lt;Assumptions!$B$5,IF(D410=1,Assumptions!$B$16,IF(D410=2,Assumptions!$B$17,IF(D410&lt;=5,Assumptions!$B$18,Assumptions!$B$19)))*(1-Assumptions!$B$20),0)</f>
        <v>0</v>
      </c>
      <c r="H410" s="30" t="n">
        <f aca="false">1-(1-G410)^(1/12)</f>
        <v>0</v>
      </c>
      <c r="I410" s="30" t="n">
        <f aca="false">I409*(1-F409)*(1-H409)</f>
        <v>0.110986979442433</v>
      </c>
      <c r="J410" s="30" t="n">
        <f aca="false">INDEX(Discount_Monthly!$G$4:$G$664,MATCH(A410,Discount_Monthly!$A$4:$A$664,0))</f>
        <v>0.348319599976542</v>
      </c>
      <c r="K410" s="30" t="n">
        <f aca="false">IF(C410&lt;Assumptions!$B$5,I410*J410,0)</f>
        <v>0</v>
      </c>
      <c r="L410" s="30" t="n">
        <f aca="false">IF(C410&lt;Assumptions!$B$5,I410*(1-F410)*H410*A410*J410,0)</f>
        <v>0</v>
      </c>
      <c r="M410" s="30" t="n">
        <f aca="false">IF(A410=0,Assumptions!$B$14*12*I410*J410,IF(AND(A410&gt;=12,C410&lt;Assumptions!$B$5),Assumptions!$B$15*I410*J410,0))</f>
        <v>0</v>
      </c>
      <c r="N410" s="47" t="n">
        <f aca="false">IF(C410&gt;=Assumptions!$B$5,I410*Assumptions!$B$9/12*(1+Assumptions!$B$10)^INT(A410/12)*J410,0)</f>
        <v>99.0819054042799</v>
      </c>
      <c r="O410" s="47" t="n">
        <f aca="false">I410*Assumptions!$B$12/12*(1+Assumptions!$B$11)^(INT(A410/12)+1)*J410</f>
        <v>0.596719333756427</v>
      </c>
      <c r="P410" s="47" t="n">
        <f aca="false">O410+Pricing_M!$B$13*M410+N410-Pricing_M!$B$13*K410</f>
        <v>99.6786247380363</v>
      </c>
      <c r="Q410" s="47" t="n">
        <f aca="false">IF(C410&lt;Assumptions!$B$5,Pricing_M!$B$13*K410-Pricing_M!$B$13*M410-O410,-(N410+O410))</f>
        <v>-99.6786247380363</v>
      </c>
      <c r="R410" s="32" t="n">
        <f aca="false">R409*(1-(1-(1-MIN(1,E409*(1-Assumptions!$B$21)))^(1/12)))*(1-H409)</f>
        <v>0.169036728452898</v>
      </c>
      <c r="S410" s="47" t="n">
        <f aca="false">R410*(IF(C410&lt;Assumptions!$B$5,Assumptions!$B$12*(1+Assumptions!$B$11)^(INT(A410/12)+1)/12+Pricing_M!$B$13*IF(A410=0,Assumptions!$B$14*12,IF(A410&gt;=12,Assumptions!$B$15,0))-Pricing_M!$B$13,Assumptions!$B$9/12*(1+Assumptions!$B$10)^INT(A410/12)+Assumptions!$B$12*(1+Assumptions!$B$11)^(INT(A410/12)+1)/12))*J410</f>
        <v>151.813741639318</v>
      </c>
      <c r="T410" s="32" t="n">
        <f aca="false">T409*(1-F409)*(1-(1-(1-MIN(1,G409*(1+Assumptions!$B$23)))^(1/12)))</f>
        <v>0.10054075758009</v>
      </c>
      <c r="U410" s="47" t="n">
        <f aca="false">T410*(IF(C410&lt;Assumptions!$B$5,Assumptions!$B$12*(1+Assumptions!$B$11)^(INT(A410/12)+1)/12+Pricing_M!$B$13*IF(A410=0,Assumptions!$B$14*12,IF(A410&gt;=12,Assumptions!$B$15,0))-Pricing_M!$B$13,Assumptions!$B$9/12*(1+Assumptions!$B$10)^INT(A410/12)+Assumptions!$B$12*(1+Assumptions!$B$11)^(INT(A410/12)+1)/12))*J410</f>
        <v>90.2967581967741</v>
      </c>
      <c r="V410" s="32" t="n">
        <f aca="false">V409*(1-F409)*(1-(1-(1-MIN(1,G409*(1-Assumptions!$B$23)))^(1/12)))</f>
        <v>0.122406155159807</v>
      </c>
      <c r="W410" s="47" t="n">
        <f aca="false">V410*(IF(C410&lt;Assumptions!$B$5,Assumptions!$B$12*(1+Assumptions!$B$11)^(INT(A410/12)+1)/12+Pricing_M!$B$13*IF(A410=0,Assumptions!$B$14*12,IF(A410&gt;=12,Assumptions!$B$15,0))-Pricing_M!$B$13,Assumptions!$B$9/12*(1+Assumptions!$B$10)^INT(A410/12)+Assumptions!$B$12*(1+Assumptions!$B$11)^(INT(A410/12)+1)/12))*J410</f>
        <v>109.934311818341</v>
      </c>
      <c r="X410" s="47" t="n">
        <f aca="false">I410*(IF(C410&lt;Assumptions!$B$5,Assumptions!$B$12*(1+Assumptions!$B$11)*(1+Assumptions!$B$24)*(1+Assumptions!$B$11+Assumptions!$B$25)^(INT(A410/12))/12+Pricing_M!$B$13*IF(A410=0,Assumptions!$B$14*12,IF(A410&gt;=12,Assumptions!$B$15,0))-Pricing_M!$B$13,Assumptions!$B$9/12*(1+Assumptions!$B$10)^INT(A410/12)+Assumptions!$B$12*(1+Assumptions!$B$11)*(1+Assumptions!$B$24)*(1+Assumptions!$B$11+Assumptions!$B$25)^(INT(A410/12))/12))*J410</f>
        <v>99.9861934290618</v>
      </c>
    </row>
    <row r="411" customFormat="false" ht="15" hidden="false" customHeight="true" outlineLevel="0" collapsed="false">
      <c r="A411" s="1" t="n">
        <v>404</v>
      </c>
      <c r="B411" s="31" t="n">
        <f aca="false">Assumptions!$B$4+A411/12</f>
        <v>98.6666666666667</v>
      </c>
      <c r="C411" s="34" t="n">
        <f aca="false">Assumptions!$B$4+INT(A411/12)</f>
        <v>98</v>
      </c>
      <c r="D411" s="34" t="n">
        <f aca="false">INT(A411/12)+1</f>
        <v>34</v>
      </c>
      <c r="E411" s="32" t="n">
        <f aca="false">IFERROR(INDEX(Cohort_Survival!$G$5:$G$65,MATCH(C411,Cohort_Survival!$A$5:$A$65,0)),1)</f>
        <v>0.187967195708293</v>
      </c>
      <c r="F411" s="30" t="n">
        <f aca="false">1-(1-MIN(1,E411))^(1/12)</f>
        <v>0.0172015462905307</v>
      </c>
      <c r="G411" s="39" t="n">
        <f aca="false">IF(C411&lt;Assumptions!$B$5,IF(D411=1,Assumptions!$B$16,IF(D411=2,Assumptions!$B$17,IF(D411&lt;=5,Assumptions!$B$18,Assumptions!$B$19)))*(1-Assumptions!$B$20),0)</f>
        <v>0</v>
      </c>
      <c r="H411" s="30" t="n">
        <f aca="false">1-(1-G411)^(1/12)</f>
        <v>0</v>
      </c>
      <c r="I411" s="30" t="n">
        <f aca="false">I410*(1-F410)*(1-H410)</f>
        <v>0.109077831777908</v>
      </c>
      <c r="J411" s="30" t="n">
        <f aca="false">INDEX(Discount_Monthly!$G$4:$G$664,MATCH(A411,Discount_Monthly!$A$4:$A$664,0))</f>
        <v>0.347390507195666</v>
      </c>
      <c r="K411" s="30" t="n">
        <f aca="false">IF(C411&lt;Assumptions!$B$5,I411*J411,0)</f>
        <v>0</v>
      </c>
      <c r="L411" s="30" t="n">
        <f aca="false">IF(C411&lt;Assumptions!$B$5,I411*(1-F411)*H411*A411*J411,0)</f>
        <v>0</v>
      </c>
      <c r="M411" s="30" t="n">
        <f aca="false">IF(A411=0,Assumptions!$B$14*12*I411*J411,IF(AND(A411&gt;=12,C411&lt;Assumptions!$B$5),Assumptions!$B$15*I411*J411,0))</f>
        <v>0</v>
      </c>
      <c r="N411" s="47" t="n">
        <f aca="false">IF(C411&gt;=Assumptions!$B$5,I411*Assumptions!$B$9/12*(1+Assumptions!$B$10)^INT(A411/12)*J411,0)</f>
        <v>97.1178027337104</v>
      </c>
      <c r="O411" s="47" t="n">
        <f aca="false">I411*Assumptions!$B$12/12*(1+Assumptions!$B$11)^(INT(A411/12)+1)*J411</f>
        <v>0.584890553998617</v>
      </c>
      <c r="P411" s="47" t="n">
        <f aca="false">O411+Pricing_M!$B$13*M411+N411-Pricing_M!$B$13*K411</f>
        <v>97.702693287709</v>
      </c>
      <c r="Q411" s="47" t="n">
        <f aca="false">IF(C411&lt;Assumptions!$B$5,Pricing_M!$B$13*K411-Pricing_M!$B$13*M411-O411,-(N411+O411))</f>
        <v>-97.702693287709</v>
      </c>
      <c r="R411" s="32" t="n">
        <f aca="false">R410*(1-(1-(1-MIN(1,E410*(1-Assumptions!$B$21)))^(1/12)))*(1-H410)</f>
        <v>0.166756743448766</v>
      </c>
      <c r="S411" s="47" t="n">
        <f aca="false">R411*(IF(C411&lt;Assumptions!$B$5,Assumptions!$B$12*(1+Assumptions!$B$11)^(INT(A411/12)+1)/12+Pricing_M!$B$13*IF(A411=0,Assumptions!$B$14*12,IF(A411&gt;=12,Assumptions!$B$15,0))-Pricing_M!$B$13,Assumptions!$B$9/12*(1+Assumptions!$B$10)^INT(A411/12)+Assumptions!$B$12*(1+Assumptions!$B$11)^(INT(A411/12)+1)/12))*J411</f>
        <v>149.366582496846</v>
      </c>
      <c r="T411" s="32" t="n">
        <f aca="false">T410*(1-F410)*(1-(1-(1-MIN(1,G410*(1+Assumptions!$B$23)))^(1/12)))</f>
        <v>0.0988113010844915</v>
      </c>
      <c r="U411" s="47" t="n">
        <f aca="false">T411*(IF(C411&lt;Assumptions!$B$5,Assumptions!$B$12*(1+Assumptions!$B$11)^(INT(A411/12)+1)/12+Pricing_M!$B$13*IF(A411=0,Assumptions!$B$14*12,IF(A411&gt;=12,Assumptions!$B$15,0))-Pricing_M!$B$13,Assumptions!$B$9/12*(1+Assumptions!$B$10)^INT(A411/12)+Assumptions!$B$12*(1+Assumptions!$B$11)^(INT(A411/12)+1)/12))*J411</f>
        <v>88.506803681927</v>
      </c>
      <c r="V411" s="32" t="n">
        <f aca="false">V410*(1-F410)*(1-(1-(1-MIN(1,G410*(1-Assumptions!$B$23)))^(1/12)))</f>
        <v>0.120300580015579</v>
      </c>
      <c r="W411" s="47" t="n">
        <f aca="false">V411*(IF(C411&lt;Assumptions!$B$5,Assumptions!$B$12*(1+Assumptions!$B$11)^(INT(A411/12)+1)/12+Pricing_M!$B$13*IF(A411=0,Assumptions!$B$14*12,IF(A411&gt;=12,Assumptions!$B$15,0))-Pricing_M!$B$13,Assumptions!$B$9/12*(1+Assumptions!$B$10)^INT(A411/12)+Assumptions!$B$12*(1+Assumptions!$B$11)^(INT(A411/12)+1)/12))*J411</f>
        <v>107.755081669823</v>
      </c>
      <c r="X411" s="47" t="n">
        <f aca="false">I411*(IF(C411&lt;Assumptions!$B$5,Assumptions!$B$12*(1+Assumptions!$B$11)*(1+Assumptions!$B$24)*(1+Assumptions!$B$11+Assumptions!$B$25)^(INT(A411/12))/12+Pricing_M!$B$13*IF(A411=0,Assumptions!$B$14*12,IF(A411&gt;=12,Assumptions!$B$15,0))-Pricing_M!$B$13,Assumptions!$B$9/12*(1+Assumptions!$B$10)^INT(A411/12)+Assumptions!$B$12*(1+Assumptions!$B$11)*(1+Assumptions!$B$24)*(1+Assumptions!$B$11+Assumptions!$B$25)^(INT(A411/12))/12))*J411</f>
        <v>98.0041650381785</v>
      </c>
    </row>
    <row r="412" customFormat="false" ht="15" hidden="false" customHeight="true" outlineLevel="0" collapsed="false">
      <c r="A412" s="1" t="n">
        <v>405</v>
      </c>
      <c r="B412" s="31" t="n">
        <f aca="false">Assumptions!$B$4+A412/12</f>
        <v>98.75</v>
      </c>
      <c r="C412" s="34" t="n">
        <f aca="false">Assumptions!$B$4+INT(A412/12)</f>
        <v>98</v>
      </c>
      <c r="D412" s="34" t="n">
        <f aca="false">INT(A412/12)+1</f>
        <v>34</v>
      </c>
      <c r="E412" s="32" t="n">
        <f aca="false">IFERROR(INDEX(Cohort_Survival!$G$5:$G$65,MATCH(C412,Cohort_Survival!$A$5:$A$65,0)),1)</f>
        <v>0.187967195708293</v>
      </c>
      <c r="F412" s="30" t="n">
        <f aca="false">1-(1-MIN(1,E412))^(1/12)</f>
        <v>0.0172015462905307</v>
      </c>
      <c r="G412" s="39" t="n">
        <f aca="false">IF(C412&lt;Assumptions!$B$5,IF(D412=1,Assumptions!$B$16,IF(D412=2,Assumptions!$B$17,IF(D412&lt;=5,Assumptions!$B$18,Assumptions!$B$19)))*(1-Assumptions!$B$20),0)</f>
        <v>0</v>
      </c>
      <c r="H412" s="30" t="n">
        <f aca="false">1-(1-G412)^(1/12)</f>
        <v>0</v>
      </c>
      <c r="I412" s="30" t="n">
        <f aca="false">I411*(1-F411)*(1-H411)</f>
        <v>0.107201524405309</v>
      </c>
      <c r="J412" s="30" t="n">
        <f aca="false">INDEX(Discount_Monthly!$G$4:$G$664,MATCH(A412,Discount_Monthly!$A$4:$A$664,0))</f>
        <v>0.346463892637077</v>
      </c>
      <c r="K412" s="30" t="n">
        <f aca="false">IF(C412&lt;Assumptions!$B$5,I412*J412,0)</f>
        <v>0</v>
      </c>
      <c r="L412" s="30" t="n">
        <f aca="false">IF(C412&lt;Assumptions!$B$5,I412*(1-F412)*H412*A412*J412,0)</f>
        <v>0</v>
      </c>
      <c r="M412" s="30" t="n">
        <f aca="false">IF(A412=0,Assumptions!$B$14*12*I412*J412,IF(AND(A412&gt;=12,C412&lt;Assumptions!$B$5),Assumptions!$B$15*I412*J412,0))</f>
        <v>0</v>
      </c>
      <c r="N412" s="47" t="n">
        <f aca="false">IF(C412&gt;=Assumptions!$B$5,I412*Assumptions!$B$9/12*(1+Assumptions!$B$10)^INT(A412/12)*J412,0)</f>
        <v>95.19263451121</v>
      </c>
      <c r="O412" s="47" t="n">
        <f aca="false">I412*Assumptions!$B$12/12*(1+Assumptions!$B$11)^(INT(A412/12)+1)*J412</f>
        <v>0.573296256387846</v>
      </c>
      <c r="P412" s="47" t="n">
        <f aca="false">O412+Pricing_M!$B$13*M412+N412-Pricing_M!$B$13*K412</f>
        <v>95.7659307675978</v>
      </c>
      <c r="Q412" s="47" t="n">
        <f aca="false">IF(C412&lt;Assumptions!$B$5,Pricing_M!$B$13*K412-Pricing_M!$B$13*M412-O412,-(N412+O412))</f>
        <v>-95.7659307675978</v>
      </c>
      <c r="R412" s="32" t="n">
        <f aca="false">R411*(1-(1-(1-MIN(1,E411*(1-Assumptions!$B$21)))^(1/12)))*(1-H411)</f>
        <v>0.164507511119906</v>
      </c>
      <c r="S412" s="47" t="n">
        <f aca="false">R412*(IF(C412&lt;Assumptions!$B$5,Assumptions!$B$12*(1+Assumptions!$B$11)^(INT(A412/12)+1)/12+Pricing_M!$B$13*IF(A412=0,Assumptions!$B$14*12,IF(A412&gt;=12,Assumptions!$B$15,0))-Pricing_M!$B$13,Assumptions!$B$9/12*(1+Assumptions!$B$10)^INT(A412/12)+Assumptions!$B$12*(1+Assumptions!$B$11)^(INT(A412/12)+1)/12))*J412</f>
        <v>146.958870296423</v>
      </c>
      <c r="T412" s="32" t="n">
        <f aca="false">T411*(1-F411)*(1-(1-(1-MIN(1,G411*(1+Assumptions!$B$23)))^(1/12)))</f>
        <v>0.097111593914859</v>
      </c>
      <c r="U412" s="47" t="n">
        <f aca="false">T412*(IF(C412&lt;Assumptions!$B$5,Assumptions!$B$12*(1+Assumptions!$B$11)^(INT(A412/12)+1)/12+Pricing_M!$B$13*IF(A412=0,Assumptions!$B$14*12,IF(A412&gt;=12,Assumptions!$B$15,0))-Pricing_M!$B$13,Assumptions!$B$9/12*(1+Assumptions!$B$10)^INT(A412/12)+Assumptions!$B$12*(1+Assumptions!$B$11)^(INT(A412/12)+1)/12))*J412</f>
        <v>86.7523314726377</v>
      </c>
      <c r="V412" s="32" t="n">
        <f aca="false">V411*(1-F411)*(1-(1-(1-MIN(1,G411*(1-Assumptions!$B$23)))^(1/12)))</f>
        <v>0.118231224019664</v>
      </c>
      <c r="W412" s="47" t="n">
        <f aca="false">V412*(IF(C412&lt;Assumptions!$B$5,Assumptions!$B$12*(1+Assumptions!$B$11)^(INT(A412/12)+1)/12+Pricing_M!$B$13*IF(A412=0,Assumptions!$B$14*12,IF(A412&gt;=12,Assumptions!$B$15,0))-Pricing_M!$B$13,Assumptions!$B$9/12*(1+Assumptions!$B$10)^INT(A412/12)+Assumptions!$B$12*(1+Assumptions!$B$11)^(INT(A412/12)+1)/12))*J412</f>
        <v>105.619050445841</v>
      </c>
      <c r="X412" s="47" t="n">
        <f aca="false">I412*(IF(C412&lt;Assumptions!$B$5,Assumptions!$B$12*(1+Assumptions!$B$11)*(1+Assumptions!$B$24)*(1+Assumptions!$B$11+Assumptions!$B$25)^(INT(A412/12))/12+Pricing_M!$B$13*IF(A412=0,Assumptions!$B$14*12,IF(A412&gt;=12,Assumptions!$B$15,0))-Pricing_M!$B$13,Assumptions!$B$9/12*(1+Assumptions!$B$10)^INT(A412/12)+Assumptions!$B$12*(1+Assumptions!$B$11)*(1+Assumptions!$B$24)*(1+Assumptions!$B$11+Assumptions!$B$25)^(INT(A412/12))/12))*J412</f>
        <v>96.0614264372907</v>
      </c>
    </row>
    <row r="413" customFormat="false" ht="15" hidden="false" customHeight="true" outlineLevel="0" collapsed="false">
      <c r="A413" s="1" t="n">
        <v>406</v>
      </c>
      <c r="B413" s="31" t="n">
        <f aca="false">Assumptions!$B$4+A413/12</f>
        <v>98.8333333333333</v>
      </c>
      <c r="C413" s="34" t="n">
        <f aca="false">Assumptions!$B$4+INT(A413/12)</f>
        <v>98</v>
      </c>
      <c r="D413" s="34" t="n">
        <f aca="false">INT(A413/12)+1</f>
        <v>34</v>
      </c>
      <c r="E413" s="32" t="n">
        <f aca="false">IFERROR(INDEX(Cohort_Survival!$G$5:$G$65,MATCH(C413,Cohort_Survival!$A$5:$A$65,0)),1)</f>
        <v>0.187967195708293</v>
      </c>
      <c r="F413" s="30" t="n">
        <f aca="false">1-(1-MIN(1,E413))^(1/12)</f>
        <v>0.0172015462905307</v>
      </c>
      <c r="G413" s="39" t="n">
        <f aca="false">IF(C413&lt;Assumptions!$B$5,IF(D413=1,Assumptions!$B$16,IF(D413=2,Assumptions!$B$17,IF(D413&lt;=5,Assumptions!$B$18,Assumptions!$B$19)))*(1-Assumptions!$B$20),0)</f>
        <v>0</v>
      </c>
      <c r="H413" s="30" t="n">
        <f aca="false">1-(1-G413)^(1/12)</f>
        <v>0</v>
      </c>
      <c r="I413" s="30" t="n">
        <f aca="false">I412*(1-F412)*(1-H412)</f>
        <v>0.105357492420836</v>
      </c>
      <c r="J413" s="30" t="n">
        <f aca="false">INDEX(Discount_Monthly!$G$4:$G$664,MATCH(A413,Discount_Monthly!$A$4:$A$664,0))</f>
        <v>0.34553974969047</v>
      </c>
      <c r="K413" s="30" t="n">
        <f aca="false">IF(C413&lt;Assumptions!$B$5,I413*J413,0)</f>
        <v>0</v>
      </c>
      <c r="L413" s="30" t="n">
        <f aca="false">IF(C413&lt;Assumptions!$B$5,I413*(1-F413)*H413*A413*J413,0)</f>
        <v>0</v>
      </c>
      <c r="M413" s="30" t="n">
        <f aca="false">IF(A413=0,Assumptions!$B$14*12*I413*J413,IF(AND(A413&gt;=12,C413&lt;Assumptions!$B$5),Assumptions!$B$15*I413*J413,0))</f>
        <v>0</v>
      </c>
      <c r="N413" s="47" t="n">
        <f aca="false">IF(C413&gt;=Assumptions!$B$5,I413*Assumptions!$B$9/12*(1+Assumptions!$B$10)^INT(A413/12)*J413,0)</f>
        <v>93.305628938405</v>
      </c>
      <c r="O413" s="47" t="n">
        <f aca="false">I413*Assumptions!$B$12/12*(1+Assumptions!$B$11)^(INT(A413/12)+1)*J413</f>
        <v>0.561931792779638</v>
      </c>
      <c r="P413" s="47" t="n">
        <f aca="false">O413+Pricing_M!$B$13*M413+N413-Pricing_M!$B$13*K413</f>
        <v>93.8675607311847</v>
      </c>
      <c r="Q413" s="47" t="n">
        <f aca="false">IF(C413&lt;Assumptions!$B$5,Pricing_M!$B$13*K413-Pricing_M!$B$13*M413-O413,-(N413+O413))</f>
        <v>-93.8675607311847</v>
      </c>
      <c r="R413" s="32" t="n">
        <f aca="false">R412*(1-(1-(1-MIN(1,E412*(1-Assumptions!$B$21)))^(1/12)))*(1-H412)</f>
        <v>0.162288616671029</v>
      </c>
      <c r="S413" s="47" t="n">
        <f aca="false">R413*(IF(C413&lt;Assumptions!$B$5,Assumptions!$B$12*(1+Assumptions!$B$11)^(INT(A413/12)+1)/12+Pricing_M!$B$13*IF(A413=0,Assumptions!$B$14*12,IF(A413&gt;=12,Assumptions!$B$15,0))-Pricing_M!$B$13,Assumptions!$B$9/12*(1+Assumptions!$B$10)^INT(A413/12)+Assumptions!$B$12*(1+Assumptions!$B$11)^(INT(A413/12)+1)/12))*J413</f>
        <v>144.589969173707</v>
      </c>
      <c r="T413" s="32" t="n">
        <f aca="false">T412*(1-F412)*(1-(1-(1-MIN(1,G412*(1+Assumptions!$B$23)))^(1/12)))</f>
        <v>0.0954411243367853</v>
      </c>
      <c r="U413" s="47" t="n">
        <f aca="false">T413*(IF(C413&lt;Assumptions!$B$5,Assumptions!$B$12*(1+Assumptions!$B$11)^(INT(A413/12)+1)/12+Pricing_M!$B$13*IF(A413=0,Assumptions!$B$14*12,IF(A413&gt;=12,Assumptions!$B$15,0))-Pricing_M!$B$13,Assumptions!$B$9/12*(1+Assumptions!$B$10)^INT(A413/12)+Assumptions!$B$12*(1+Assumptions!$B$11)^(INT(A413/12)+1)/12))*J413</f>
        <v>85.0326382024256</v>
      </c>
      <c r="V413" s="32" t="n">
        <f aca="false">V412*(1-F412)*(1-(1-(1-MIN(1,G412*(1-Assumptions!$B$23)))^(1/12)))</f>
        <v>0.116197464146703</v>
      </c>
      <c r="W413" s="47" t="n">
        <f aca="false">V413*(IF(C413&lt;Assumptions!$B$5,Assumptions!$B$12*(1+Assumptions!$B$11)^(INT(A413/12)+1)/12+Pricing_M!$B$13*IF(A413=0,Assumptions!$B$14*12,IF(A413&gt;=12,Assumptions!$B$15,0))-Pricing_M!$B$13,Assumptions!$B$9/12*(1+Assumptions!$B$10)^INT(A413/12)+Assumptions!$B$12*(1+Assumptions!$B$11)^(INT(A413/12)+1)/12))*J413</f>
        <v>103.525361813217</v>
      </c>
      <c r="X413" s="47" t="n">
        <f aca="false">I413*(IF(C413&lt;Assumptions!$B$5,Assumptions!$B$12*(1+Assumptions!$B$11)*(1+Assumptions!$B$24)*(1+Assumptions!$B$11+Assumptions!$B$25)^(INT(A413/12))/12+Pricing_M!$B$13*IF(A413=0,Assumptions!$B$14*12,IF(A413&gt;=12,Assumptions!$B$15,0))-Pricing_M!$B$13,Assumptions!$B$9/12*(1+Assumptions!$B$10)^INT(A413/12)+Assumptions!$B$12*(1+Assumptions!$B$11)*(1+Assumptions!$B$24)*(1+Assumptions!$B$11+Assumptions!$B$25)^(INT(A413/12))/12))*J413</f>
        <v>94.1571987840744</v>
      </c>
    </row>
    <row r="414" customFormat="false" ht="15" hidden="false" customHeight="true" outlineLevel="0" collapsed="false">
      <c r="A414" s="1" t="n">
        <v>407</v>
      </c>
      <c r="B414" s="31" t="n">
        <f aca="false">Assumptions!$B$4+A414/12</f>
        <v>98.9166666666667</v>
      </c>
      <c r="C414" s="34" t="n">
        <f aca="false">Assumptions!$B$4+INT(A414/12)</f>
        <v>98</v>
      </c>
      <c r="D414" s="34" t="n">
        <f aca="false">INT(A414/12)+1</f>
        <v>34</v>
      </c>
      <c r="E414" s="32" t="n">
        <f aca="false">IFERROR(INDEX(Cohort_Survival!$G$5:$G$65,MATCH(C414,Cohort_Survival!$A$5:$A$65,0)),1)</f>
        <v>0.187967195708293</v>
      </c>
      <c r="F414" s="30" t="n">
        <f aca="false">1-(1-MIN(1,E414))^(1/12)</f>
        <v>0.0172015462905307</v>
      </c>
      <c r="G414" s="39" t="n">
        <f aca="false">IF(C414&lt;Assumptions!$B$5,IF(D414=1,Assumptions!$B$16,IF(D414=2,Assumptions!$B$17,IF(D414&lt;=5,Assumptions!$B$18,Assumptions!$B$19)))*(1-Assumptions!$B$20),0)</f>
        <v>0</v>
      </c>
      <c r="H414" s="30" t="n">
        <f aca="false">1-(1-G414)^(1/12)</f>
        <v>0</v>
      </c>
      <c r="I414" s="30" t="n">
        <f aca="false">I413*(1-F413)*(1-H413)</f>
        <v>0.103545180637905</v>
      </c>
      <c r="J414" s="30" t="n">
        <f aca="false">INDEX(Discount_Monthly!$G$4:$G$664,MATCH(A414,Discount_Monthly!$A$4:$A$664,0))</f>
        <v>0.344618071763173</v>
      </c>
      <c r="K414" s="30" t="n">
        <f aca="false">IF(C414&lt;Assumptions!$B$5,I414*J414,0)</f>
        <v>0</v>
      </c>
      <c r="L414" s="30" t="n">
        <f aca="false">IF(C414&lt;Assumptions!$B$5,I414*(1-F414)*H414*A414*J414,0)</f>
        <v>0</v>
      </c>
      <c r="M414" s="30" t="n">
        <f aca="false">IF(A414=0,Assumptions!$B$14*12*I414*J414,IF(AND(A414&gt;=12,C414&lt;Assumptions!$B$5),Assumptions!$B$15*I414*J414,0))</f>
        <v>0</v>
      </c>
      <c r="N414" s="47" t="n">
        <f aca="false">IF(C414&gt;=Assumptions!$B$5,I414*Assumptions!$B$9/12*(1+Assumptions!$B$10)^INT(A414/12)*J414,0)</f>
        <v>91.4560295162974</v>
      </c>
      <c r="O414" s="47" t="n">
        <f aca="false">I414*Assumptions!$B$12/12*(1+Assumptions!$B$11)^(INT(A414/12)+1)*J414</f>
        <v>0.550792607169784</v>
      </c>
      <c r="P414" s="47" t="n">
        <f aca="false">O414+Pricing_M!$B$13*M414+N414-Pricing_M!$B$13*K414</f>
        <v>92.0068221234672</v>
      </c>
      <c r="Q414" s="47" t="n">
        <f aca="false">IF(C414&lt;Assumptions!$B$5,Pricing_M!$B$13*K414-Pricing_M!$B$13*M414-O414,-(N414+O414))</f>
        <v>-92.0068221234672</v>
      </c>
      <c r="R414" s="32" t="n">
        <f aca="false">R413*(1-(1-(1-MIN(1,E413*(1-Assumptions!$B$21)))^(1/12)))*(1-H413)</f>
        <v>0.160099650901649</v>
      </c>
      <c r="S414" s="47" t="n">
        <f aca="false">R414*(IF(C414&lt;Assumptions!$B$5,Assumptions!$B$12*(1+Assumptions!$B$11)^(INT(A414/12)+1)/12+Pricing_M!$B$13*IF(A414=0,Assumptions!$B$14*12,IF(A414&gt;=12,Assumptions!$B$15,0))-Pricing_M!$B$13,Assumptions!$B$9/12*(1+Assumptions!$B$10)^INT(A414/12)+Assumptions!$B$12*(1+Assumptions!$B$11)^(INT(A414/12)+1)/12))*J414</f>
        <v>142.25925351416</v>
      </c>
      <c r="T414" s="32" t="n">
        <f aca="false">T413*(1-F413)*(1-(1-(1-MIN(1,G413*(1+Assumptions!$B$23)))^(1/12)))</f>
        <v>0.0937993894184858</v>
      </c>
      <c r="U414" s="47" t="n">
        <f aca="false">T414*(IF(C414&lt;Assumptions!$B$5,Assumptions!$B$12*(1+Assumptions!$B$11)^(INT(A414/12)+1)/12+Pricing_M!$B$13*IF(A414=0,Assumptions!$B$14*12,IF(A414&gt;=12,Assumptions!$B$15,0))-Pricing_M!$B$13,Assumptions!$B$9/12*(1+Assumptions!$B$10)^INT(A414/12)+Assumptions!$B$12*(1+Assumptions!$B$11)^(INT(A414/12)+1)/12))*J414</f>
        <v>83.3470344476584</v>
      </c>
      <c r="V414" s="32" t="n">
        <f aca="false">V413*(1-F413)*(1-(1-(1-MIN(1,G413*(1-Assumptions!$B$23)))^(1/12)))</f>
        <v>0.114198688088342</v>
      </c>
      <c r="W414" s="47" t="n">
        <f aca="false">V414*(IF(C414&lt;Assumptions!$B$5,Assumptions!$B$12*(1+Assumptions!$B$11)^(INT(A414/12)+1)/12+Pricing_M!$B$13*IF(A414=0,Assumptions!$B$14*12,IF(A414&gt;=12,Assumptions!$B$15,0))-Pricing_M!$B$13,Assumptions!$B$9/12*(1+Assumptions!$B$10)^INT(A414/12)+Assumptions!$B$12*(1+Assumptions!$B$11)^(INT(A414/12)+1)/12))*J414</f>
        <v>101.473176413882</v>
      </c>
      <c r="X414" s="47" t="n">
        <f aca="false">I414*(IF(C414&lt;Assumptions!$B$5,Assumptions!$B$12*(1+Assumptions!$B$11)*(1+Assumptions!$B$24)*(1+Assumptions!$B$11+Assumptions!$B$25)^(INT(A414/12))/12+Pricing_M!$B$13*IF(A414=0,Assumptions!$B$14*12,IF(A414&gt;=12,Assumptions!$B$15,0))-Pricing_M!$B$13,Assumptions!$B$9/12*(1+Assumptions!$B$10)^INT(A414/12)+Assumptions!$B$12*(1+Assumptions!$B$11)*(1+Assumptions!$B$24)*(1+Assumptions!$B$11+Assumptions!$B$25)^(INT(A414/12))/12))*J414</f>
        <v>92.2907186752134</v>
      </c>
    </row>
    <row r="415" customFormat="false" ht="15" hidden="false" customHeight="true" outlineLevel="0" collapsed="false">
      <c r="A415" s="1" t="n">
        <v>408</v>
      </c>
      <c r="B415" s="31" t="n">
        <f aca="false">Assumptions!$B$4+A415/12</f>
        <v>99</v>
      </c>
      <c r="C415" s="34" t="n">
        <f aca="false">Assumptions!$B$4+INT(A415/12)</f>
        <v>99</v>
      </c>
      <c r="D415" s="34" t="n">
        <f aca="false">INT(A415/12)+1</f>
        <v>35</v>
      </c>
      <c r="E415" s="32" t="n">
        <f aca="false">IFERROR(INDEX(Cohort_Survival!$G$5:$G$65,MATCH(C415,Cohort_Survival!$A$5:$A$65,0)),1)</f>
        <v>0.198070084054699</v>
      </c>
      <c r="F415" s="30" t="n">
        <f aca="false">1-(1-MIN(1,E415))^(1/12)</f>
        <v>0.0182263587865592</v>
      </c>
      <c r="G415" s="39" t="n">
        <f aca="false">IF(C415&lt;Assumptions!$B$5,IF(D415=1,Assumptions!$B$16,IF(D415=2,Assumptions!$B$17,IF(D415&lt;=5,Assumptions!$B$18,Assumptions!$B$19)))*(1-Assumptions!$B$20),0)</f>
        <v>0</v>
      </c>
      <c r="H415" s="30" t="n">
        <f aca="false">1-(1-G415)^(1/12)</f>
        <v>0</v>
      </c>
      <c r="I415" s="30" t="n">
        <f aca="false">I414*(1-F414)*(1-H414)</f>
        <v>0.10176404342</v>
      </c>
      <c r="J415" s="30" t="n">
        <f aca="false">INDEX(Discount_Monthly!$G$4:$G$664,MATCH(A415,Discount_Monthly!$A$4:$A$664,0))</f>
        <v>0.3436988522801</v>
      </c>
      <c r="K415" s="30" t="n">
        <f aca="false">IF(C415&lt;Assumptions!$B$5,I415*J415,0)</f>
        <v>0</v>
      </c>
      <c r="L415" s="30" t="n">
        <f aca="false">IF(C415&lt;Assumptions!$B$5,I415*(1-F415)*H415*A415*J415,0)</f>
        <v>0</v>
      </c>
      <c r="M415" s="30" t="n">
        <f aca="false">IF(A415=0,Assumptions!$B$14*12*I415*J415,IF(AND(A415&gt;=12,C415&lt;Assumptions!$B$5),Assumptions!$B$15*I415*J415,0))</f>
        <v>0</v>
      </c>
      <c r="N415" s="47" t="n">
        <f aca="false">IF(C415&gt;=Assumptions!$B$5,I415*Assumptions!$B$9/12*(1+Assumptions!$B$10)^INT(A415/12)*J415,0)</f>
        <v>91.4359566368238</v>
      </c>
      <c r="O415" s="47" t="n">
        <f aca="false">I415*Assumptions!$B$12/12*(1+Assumptions!$B$11)^(INT(A415/12)+1)*J415</f>
        <v>0.553371089714533</v>
      </c>
      <c r="P415" s="47" t="n">
        <f aca="false">O415+Pricing_M!$B$13*M415+N415-Pricing_M!$B$13*K415</f>
        <v>91.9893277265384</v>
      </c>
      <c r="Q415" s="47" t="n">
        <f aca="false">IF(C415&lt;Assumptions!$B$5,Pricing_M!$B$13*K415-Pricing_M!$B$13*M415-O415,-(N415+O415))</f>
        <v>-91.9893277265384</v>
      </c>
      <c r="R415" s="32" t="n">
        <f aca="false">R414*(1-(1-(1-MIN(1,E414*(1-Assumptions!$B$21)))^(1/12)))*(1-H414)</f>
        <v>0.15794021013062</v>
      </c>
      <c r="S415" s="47" t="n">
        <f aca="false">R415*(IF(C415&lt;Assumptions!$B$5,Assumptions!$B$12*(1+Assumptions!$B$11)^(INT(A415/12)+1)/12+Pricing_M!$B$13*IF(A415=0,Assumptions!$B$14*12,IF(A415&gt;=12,Assumptions!$B$15,0))-Pricing_M!$B$13,Assumptions!$B$9/12*(1+Assumptions!$B$10)^INT(A415/12)+Assumptions!$B$12*(1+Assumptions!$B$11)^(INT(A415/12)+1)/12))*J415</f>
        <v>142.769619431695</v>
      </c>
      <c r="T415" s="32" t="n">
        <f aca="false">T414*(1-F414)*(1-(1-(1-MIN(1,G414*(1+Assumptions!$B$23)))^(1/12)))</f>
        <v>0.0921858948793802</v>
      </c>
      <c r="U415" s="47" t="n">
        <f aca="false">T415*(IF(C415&lt;Assumptions!$B$5,Assumptions!$B$12*(1+Assumptions!$B$11)^(INT(A415/12)+1)/12+Pricing_M!$B$13*IF(A415=0,Assumptions!$B$14*12,IF(A415&gt;=12,Assumptions!$B$15,0))-Pricing_M!$B$13,Assumptions!$B$9/12*(1+Assumptions!$B$10)^INT(A415/12)+Assumptions!$B$12*(1+Assumptions!$B$11)^(INT(A415/12)+1)/12))*J415</f>
        <v>83.3311866434433</v>
      </c>
      <c r="V415" s="32" t="n">
        <f aca="false">V414*(1-F414)*(1-(1-(1-MIN(1,G414*(1-Assumptions!$B$23)))^(1/12)))</f>
        <v>0.112234294068872</v>
      </c>
      <c r="W415" s="47" t="n">
        <f aca="false">V415*(IF(C415&lt;Assumptions!$B$5,Assumptions!$B$12*(1+Assumptions!$B$11)^(INT(A415/12)+1)/12+Pricing_M!$B$13*IF(A415=0,Assumptions!$B$14*12,IF(A415&gt;=12,Assumptions!$B$15,0))-Pricing_M!$B$13,Assumptions!$B$9/12*(1+Assumptions!$B$10)^INT(A415/12)+Assumptions!$B$12*(1+Assumptions!$B$11)^(INT(A415/12)+1)/12))*J415</f>
        <v>101.453882061737</v>
      </c>
      <c r="X415" s="47" t="n">
        <f aca="false">I415*(IF(C415&lt;Assumptions!$B$5,Assumptions!$B$12*(1+Assumptions!$B$11)*(1+Assumptions!$B$24)*(1+Assumptions!$B$11+Assumptions!$B$25)^(INT(A415/12))/12+Pricing_M!$B$13*IF(A415=0,Assumptions!$B$14*12,IF(A415&gt;=12,Assumptions!$B$15,0))-Pricing_M!$B$13,Assumptions!$B$9/12*(1+Assumptions!$B$10)^INT(A415/12)+Assumptions!$B$12*(1+Assumptions!$B$11)*(1+Assumptions!$B$24)*(1+Assumptions!$B$11+Assumptions!$B$25)^(INT(A415/12))/12))*J415</f>
        <v>92.2827347436338</v>
      </c>
    </row>
    <row r="416" customFormat="false" ht="15" hidden="false" customHeight="true" outlineLevel="0" collapsed="false">
      <c r="A416" s="1" t="n">
        <v>409</v>
      </c>
      <c r="B416" s="31" t="n">
        <f aca="false">Assumptions!$B$4+A416/12</f>
        <v>99.0833333333333</v>
      </c>
      <c r="C416" s="34" t="n">
        <f aca="false">Assumptions!$B$4+INT(A416/12)</f>
        <v>99</v>
      </c>
      <c r="D416" s="34" t="n">
        <f aca="false">INT(A416/12)+1</f>
        <v>35</v>
      </c>
      <c r="E416" s="32" t="n">
        <f aca="false">IFERROR(INDEX(Cohort_Survival!$G$5:$G$65,MATCH(C416,Cohort_Survival!$A$5:$A$65,0)),1)</f>
        <v>0.198070084054699</v>
      </c>
      <c r="F416" s="30" t="n">
        <f aca="false">1-(1-MIN(1,E416))^(1/12)</f>
        <v>0.0182263587865592</v>
      </c>
      <c r="G416" s="39" t="n">
        <f aca="false">IF(C416&lt;Assumptions!$B$5,IF(D416=1,Assumptions!$B$16,IF(D416=2,Assumptions!$B$17,IF(D416&lt;=5,Assumptions!$B$18,Assumptions!$B$19)))*(1-Assumptions!$B$20),0)</f>
        <v>0</v>
      </c>
      <c r="H416" s="30" t="n">
        <f aca="false">1-(1-G416)^(1/12)</f>
        <v>0</v>
      </c>
      <c r="I416" s="30" t="n">
        <f aca="false">I415*(1-F415)*(1-H415)</f>
        <v>0.0999092554530565</v>
      </c>
      <c r="J416" s="30" t="n">
        <f aca="false">INDEX(Discount_Monthly!$G$4:$G$664,MATCH(A416,Discount_Monthly!$A$4:$A$664,0))</f>
        <v>0.34278097777648</v>
      </c>
      <c r="K416" s="30" t="n">
        <f aca="false">IF(C416&lt;Assumptions!$B$5,I416*J416,0)</f>
        <v>0</v>
      </c>
      <c r="L416" s="30" t="n">
        <f aca="false">IF(C416&lt;Assumptions!$B$5,I416*(1-F416)*H416*A416*J416,0)</f>
        <v>0</v>
      </c>
      <c r="M416" s="30" t="n">
        <f aca="false">IF(A416=0,Assumptions!$B$14*12*I416*J416,IF(AND(A416&gt;=12,C416&lt;Assumptions!$B$5),Assumptions!$B$15*I416*J416,0))</f>
        <v>0</v>
      </c>
      <c r="N416" s="47" t="n">
        <f aca="false">IF(C416&gt;=Assumptions!$B$5,I416*Assumptions!$B$9/12*(1+Assumptions!$B$10)^INT(A416/12)*J416,0)</f>
        <v>89.529675891663</v>
      </c>
      <c r="O416" s="47" t="n">
        <f aca="false">I416*Assumptions!$B$12/12*(1+Assumptions!$B$11)^(INT(A416/12)+1)*J416</f>
        <v>0.541834264464906</v>
      </c>
      <c r="P416" s="47" t="n">
        <f aca="false">O416+Pricing_M!$B$13*M416+N416-Pricing_M!$B$13*K416</f>
        <v>90.0715101561279</v>
      </c>
      <c r="Q416" s="47" t="n">
        <f aca="false">IF(C416&lt;Assumptions!$B$5,Pricing_M!$B$13*K416-Pricing_M!$B$13*M416-O416,-(N416+O416))</f>
        <v>-90.0715101561279</v>
      </c>
      <c r="R416" s="32" t="n">
        <f aca="false">R415*(1-(1-(1-MIN(1,E415*(1-Assumptions!$B$21)))^(1/12)))*(1-H415)</f>
        <v>0.155685838808479</v>
      </c>
      <c r="S416" s="47" t="n">
        <f aca="false">R416*(IF(C416&lt;Assumptions!$B$5,Assumptions!$B$12*(1+Assumptions!$B$11)^(INT(A416/12)+1)/12+Pricing_M!$B$13*IF(A416=0,Assumptions!$B$14*12,IF(A416&gt;=12,Assumptions!$B$15,0))-Pricing_M!$B$13,Assumptions!$B$9/12*(1+Assumptions!$B$10)^INT(A416/12)+Assumptions!$B$12*(1+Assumptions!$B$11)^(INT(A416/12)+1)/12))*J416</f>
        <v>140.355951486316</v>
      </c>
      <c r="T416" s="32" t="n">
        <f aca="false">T415*(1-F415)*(1-(1-(1-MIN(1,G415*(1+Assumptions!$B$23)))^(1/12)))</f>
        <v>0.0905056816842486</v>
      </c>
      <c r="U416" s="47" t="n">
        <f aca="false">T416*(IF(C416&lt;Assumptions!$B$5,Assumptions!$B$12*(1+Assumptions!$B$11)^(INT(A416/12)+1)/12+Pricing_M!$B$13*IF(A416=0,Assumptions!$B$14*12,IF(A416&gt;=12,Assumptions!$B$15,0))-Pricing_M!$B$13,Assumptions!$B$9/12*(1+Assumptions!$B$10)^INT(A416/12)+Assumptions!$B$12*(1+Assumptions!$B$11)^(INT(A416/12)+1)/12))*J416</f>
        <v>81.5938762634497</v>
      </c>
      <c r="V416" s="32" t="n">
        <f aca="false">V415*(1-F415)*(1-(1-(1-MIN(1,G415*(1-Assumptions!$B$23)))^(1/12)))</f>
        <v>0.110188671557017</v>
      </c>
      <c r="W416" s="47" t="n">
        <f aca="false">V416*(IF(C416&lt;Assumptions!$B$5,Assumptions!$B$12*(1+Assumptions!$B$11)^(INT(A416/12)+1)/12+Pricing_M!$B$13*IF(A416=0,Assumptions!$B$14*12,IF(A416&gt;=12,Assumptions!$B$15,0))-Pricing_M!$B$13,Assumptions!$B$9/12*(1+Assumptions!$B$10)^INT(A416/12)+Assumptions!$B$12*(1+Assumptions!$B$11)^(INT(A416/12)+1)/12))*J416</f>
        <v>99.338744986458</v>
      </c>
      <c r="X416" s="47" t="n">
        <f aca="false">I416*(IF(C416&lt;Assumptions!$B$5,Assumptions!$B$12*(1+Assumptions!$B$11)*(1+Assumptions!$B$24)*(1+Assumptions!$B$11+Assumptions!$B$25)^(INT(A416/12))/12+Pricing_M!$B$13*IF(A416=0,Assumptions!$B$14*12,IF(A416&gt;=12,Assumptions!$B$15,0))-Pricing_M!$B$13,Assumptions!$B$9/12*(1+Assumptions!$B$10)^INT(A416/12)+Assumptions!$B$12*(1+Assumptions!$B$11)*(1+Assumptions!$B$24)*(1+Assumptions!$B$11+Assumptions!$B$25)^(INT(A416/12))/12))*J416</f>
        <v>90.3588001469706</v>
      </c>
    </row>
    <row r="417" customFormat="false" ht="15" hidden="false" customHeight="true" outlineLevel="0" collapsed="false">
      <c r="A417" s="1" t="n">
        <v>410</v>
      </c>
      <c r="B417" s="31" t="n">
        <f aca="false">Assumptions!$B$4+A417/12</f>
        <v>99.1666666666667</v>
      </c>
      <c r="C417" s="34" t="n">
        <f aca="false">Assumptions!$B$4+INT(A417/12)</f>
        <v>99</v>
      </c>
      <c r="D417" s="34" t="n">
        <f aca="false">INT(A417/12)+1</f>
        <v>35</v>
      </c>
      <c r="E417" s="32" t="n">
        <f aca="false">IFERROR(INDEX(Cohort_Survival!$G$5:$G$65,MATCH(C417,Cohort_Survival!$A$5:$A$65,0)),1)</f>
        <v>0.198070084054699</v>
      </c>
      <c r="F417" s="30" t="n">
        <f aca="false">1-(1-MIN(1,E417))^(1/12)</f>
        <v>0.0182263587865592</v>
      </c>
      <c r="G417" s="39" t="n">
        <f aca="false">IF(C417&lt;Assumptions!$B$5,IF(D417=1,Assumptions!$B$16,IF(D417=2,Assumptions!$B$17,IF(D417&lt;=5,Assumptions!$B$18,Assumptions!$B$19)))*(1-Assumptions!$B$20),0)</f>
        <v>0</v>
      </c>
      <c r="H417" s="30" t="n">
        <f aca="false">1-(1-G417)^(1/12)</f>
        <v>0</v>
      </c>
      <c r="I417" s="30" t="n">
        <f aca="false">I416*(1-F416)*(1-H416)</f>
        <v>0.0980882735170711</v>
      </c>
      <c r="J417" s="30" t="n">
        <f aca="false">INDEX(Discount_Monthly!$G$4:$G$664,MATCH(A417,Discount_Monthly!$A$4:$A$664,0))</f>
        <v>0.341865554528076</v>
      </c>
      <c r="K417" s="30" t="n">
        <f aca="false">IF(C417&lt;Assumptions!$B$5,I417*J417,0)</f>
        <v>0</v>
      </c>
      <c r="L417" s="30" t="n">
        <f aca="false">IF(C417&lt;Assumptions!$B$5,I417*(1-F417)*H417*A417*J417,0)</f>
        <v>0</v>
      </c>
      <c r="M417" s="30" t="n">
        <f aca="false">IF(A417=0,Assumptions!$B$14*12*I417*J417,IF(AND(A417&gt;=12,C417&lt;Assumptions!$B$5),Assumptions!$B$15*I417*J417,0))</f>
        <v>0</v>
      </c>
      <c r="N417" s="47" t="n">
        <f aca="false">IF(C417&gt;=Assumptions!$B$5,I417*Assumptions!$B$9/12*(1+Assumptions!$B$10)^INT(A417/12)*J417,0)</f>
        <v>87.6631377861927</v>
      </c>
      <c r="O417" s="47" t="n">
        <f aca="false">I417*Assumptions!$B$12/12*(1+Assumptions!$B$11)^(INT(A417/12)+1)*J417</f>
        <v>0.530537961966313</v>
      </c>
      <c r="P417" s="47" t="n">
        <f aca="false">O417+Pricing_M!$B$13*M417+N417-Pricing_M!$B$13*K417</f>
        <v>88.193675748159</v>
      </c>
      <c r="Q417" s="47" t="n">
        <f aca="false">IF(C417&lt;Assumptions!$B$5,Pricing_M!$B$13*K417-Pricing_M!$B$13*M417-O417,-(N417+O417))</f>
        <v>-88.193675748159</v>
      </c>
      <c r="R417" s="32" t="n">
        <f aca="false">R416*(1-(1-(1-MIN(1,E416*(1-Assumptions!$B$21)))^(1/12)))*(1-H416)</f>
        <v>0.153463645422874</v>
      </c>
      <c r="S417" s="47" t="n">
        <f aca="false">R417*(IF(C417&lt;Assumptions!$B$5,Assumptions!$B$12*(1+Assumptions!$B$11)^(INT(A417/12)+1)/12+Pricing_M!$B$13*IF(A417=0,Assumptions!$B$14*12,IF(A417&gt;=12,Assumptions!$B$15,0))-Pricing_M!$B$13,Assumptions!$B$9/12*(1+Assumptions!$B$10)^INT(A417/12)+Assumptions!$B$12*(1+Assumptions!$B$11)^(INT(A417/12)+1)/12))*J417</f>
        <v>137.983089091683</v>
      </c>
      <c r="T417" s="32" t="n">
        <f aca="false">T416*(1-F416)*(1-(1-(1-MIN(1,G416*(1+Assumptions!$B$23)))^(1/12)))</f>
        <v>0.0888560926576494</v>
      </c>
      <c r="U417" s="47" t="n">
        <f aca="false">T417*(IF(C417&lt;Assumptions!$B$5,Assumptions!$B$12*(1+Assumptions!$B$11)^(INT(A417/12)+1)/12+Pricing_M!$B$13*IF(A417=0,Assumptions!$B$14*12,IF(A417&gt;=12,Assumptions!$B$15,0))-Pricing_M!$B$13,Assumptions!$B$9/12*(1+Assumptions!$B$10)^INT(A417/12)+Assumptions!$B$12*(1+Assumptions!$B$11)^(INT(A417/12)+1)/12))*J417</f>
        <v>79.892785784768</v>
      </c>
      <c r="V417" s="32" t="n">
        <f aca="false">V416*(1-F416)*(1-(1-(1-MIN(1,G416*(1-Assumptions!$B$23)))^(1/12)))</f>
        <v>0.108180333295004</v>
      </c>
      <c r="W417" s="47" t="n">
        <f aca="false">V417*(IF(C417&lt;Assumptions!$B$5,Assumptions!$B$12*(1+Assumptions!$B$11)^(INT(A417/12)+1)/12+Pricing_M!$B$13*IF(A417=0,Assumptions!$B$14*12,IF(A417&gt;=12,Assumptions!$B$15,0))-Pricing_M!$B$13,Assumptions!$B$9/12*(1+Assumptions!$B$10)^INT(A417/12)+Assumptions!$B$12*(1+Assumptions!$B$11)^(INT(A417/12)+1)/12))*J417</f>
        <v>97.2677048422806</v>
      </c>
      <c r="X417" s="47" t="n">
        <f aca="false">I417*(IF(C417&lt;Assumptions!$B$5,Assumptions!$B$12*(1+Assumptions!$B$11)*(1+Assumptions!$B$24)*(1+Assumptions!$B$11+Assumptions!$B$25)^(INT(A417/12))/12+Pricing_M!$B$13*IF(A417=0,Assumptions!$B$14*12,IF(A417&gt;=12,Assumptions!$B$15,0))-Pricing_M!$B$13,Assumptions!$B$9/12*(1+Assumptions!$B$10)^INT(A417/12)+Assumptions!$B$12*(1+Assumptions!$B$11)*(1+Assumptions!$B$24)*(1+Assumptions!$B$11+Assumptions!$B$25)^(INT(A417/12))/12))*J417</f>
        <v>88.4749762421127</v>
      </c>
    </row>
    <row r="418" customFormat="false" ht="15" hidden="false" customHeight="true" outlineLevel="0" collapsed="false">
      <c r="A418" s="1" t="n">
        <v>411</v>
      </c>
      <c r="B418" s="31" t="n">
        <f aca="false">Assumptions!$B$4+A418/12</f>
        <v>99.25</v>
      </c>
      <c r="C418" s="34" t="n">
        <f aca="false">Assumptions!$B$4+INT(A418/12)</f>
        <v>99</v>
      </c>
      <c r="D418" s="34" t="n">
        <f aca="false">INT(A418/12)+1</f>
        <v>35</v>
      </c>
      <c r="E418" s="32" t="n">
        <f aca="false">IFERROR(INDEX(Cohort_Survival!$G$5:$G$65,MATCH(C418,Cohort_Survival!$A$5:$A$65,0)),1)</f>
        <v>0.198070084054699</v>
      </c>
      <c r="F418" s="30" t="n">
        <f aca="false">1-(1-MIN(1,E418))^(1/12)</f>
        <v>0.0182263587865592</v>
      </c>
      <c r="G418" s="39" t="n">
        <f aca="false">IF(C418&lt;Assumptions!$B$5,IF(D418=1,Assumptions!$B$16,IF(D418=2,Assumptions!$B$17,IF(D418&lt;=5,Assumptions!$B$18,Assumptions!$B$19)))*(1-Assumptions!$B$20),0)</f>
        <v>0</v>
      </c>
      <c r="H418" s="30" t="n">
        <f aca="false">1-(1-G418)^(1/12)</f>
        <v>0</v>
      </c>
      <c r="I418" s="30" t="n">
        <f aca="false">I417*(1-F417)*(1-H417)</f>
        <v>0.0963004814511948</v>
      </c>
      <c r="J418" s="30" t="n">
        <f aca="false">INDEX(Discount_Monthly!$G$4:$G$664,MATCH(A418,Discount_Monthly!$A$4:$A$664,0))</f>
        <v>0.34095257598862</v>
      </c>
      <c r="K418" s="30" t="n">
        <f aca="false">IF(C418&lt;Assumptions!$B$5,I418*J418,0)</f>
        <v>0</v>
      </c>
      <c r="L418" s="30" t="n">
        <f aca="false">IF(C418&lt;Assumptions!$B$5,I418*(1-F418)*H418*A418*J418,0)</f>
        <v>0</v>
      </c>
      <c r="M418" s="30" t="n">
        <f aca="false">IF(A418=0,Assumptions!$B$14*12*I418*J418,IF(AND(A418&gt;=12,C418&lt;Assumptions!$B$5),Assumptions!$B$15*I418*J418,0))</f>
        <v>0</v>
      </c>
      <c r="N418" s="47" t="n">
        <f aca="false">IF(C418&gt;=Assumptions!$B$5,I418*Assumptions!$B$9/12*(1+Assumptions!$B$10)^INT(A418/12)*J418,0)</f>
        <v>85.8355137554631</v>
      </c>
      <c r="O418" s="47" t="n">
        <f aca="false">I418*Assumptions!$B$12/12*(1+Assumptions!$B$11)^(INT(A418/12)+1)*J418</f>
        <v>0.519477167737514</v>
      </c>
      <c r="P418" s="47" t="n">
        <f aca="false">O418+Pricing_M!$B$13*M418+N418-Pricing_M!$B$13*K418</f>
        <v>86.3549909232007</v>
      </c>
      <c r="Q418" s="47" t="n">
        <f aca="false">IF(C418&lt;Assumptions!$B$5,Pricing_M!$B$13*K418-Pricing_M!$B$13*M418-O418,-(N418+O418))</f>
        <v>-86.3549909232007</v>
      </c>
      <c r="R418" s="32" t="n">
        <f aca="false">R417*(1-(1-(1-MIN(1,E417*(1-Assumptions!$B$21)))^(1/12)))*(1-H417)</f>
        <v>0.151273170679638</v>
      </c>
      <c r="S418" s="47" t="n">
        <f aca="false">R418*(IF(C418&lt;Assumptions!$B$5,Assumptions!$B$12*(1+Assumptions!$B$11)^(INT(A418/12)+1)/12+Pricing_M!$B$13*IF(A418=0,Assumptions!$B$14*12,IF(A418&gt;=12,Assumptions!$B$15,0))-Pricing_M!$B$13,Assumptions!$B$9/12*(1+Assumptions!$B$10)^INT(A418/12)+Assumptions!$B$12*(1+Assumptions!$B$11)^(INT(A418/12)+1)/12))*J418</f>
        <v>135.650342387793</v>
      </c>
      <c r="T418" s="32" t="n">
        <f aca="false">T417*(1-F417)*(1-(1-(1-MIN(1,G417*(1+Assumptions!$B$23)))^(1/12)))</f>
        <v>0.0872365696324993</v>
      </c>
      <c r="U418" s="47" t="n">
        <f aca="false">T418*(IF(C418&lt;Assumptions!$B$5,Assumptions!$B$12*(1+Assumptions!$B$11)^(INT(A418/12)+1)/12+Pricing_M!$B$13*IF(A418=0,Assumptions!$B$14*12,IF(A418&gt;=12,Assumptions!$B$15,0))-Pricing_M!$B$13,Assumptions!$B$9/12*(1+Assumptions!$B$10)^INT(A418/12)+Assumptions!$B$12*(1+Assumptions!$B$11)^(INT(A418/12)+1)/12))*J418</f>
        <v>78.22716008542</v>
      </c>
      <c r="V418" s="32" t="n">
        <f aca="false">V417*(1-F417)*(1-(1-(1-MIN(1,G417*(1-Assumptions!$B$23)))^(1/12)))</f>
        <v>0.10620859972672</v>
      </c>
      <c r="W418" s="47" t="n">
        <f aca="false">V418*(IF(C418&lt;Assumptions!$B$5,Assumptions!$B$12*(1+Assumptions!$B$11)^(INT(A418/12)+1)/12+Pricing_M!$B$13*IF(A418=0,Assumptions!$B$14*12,IF(A418&gt;=12,Assumptions!$B$15,0))-Pricing_M!$B$13,Assumptions!$B$9/12*(1+Assumptions!$B$10)^INT(A418/12)+Assumptions!$B$12*(1+Assumptions!$B$11)^(INT(A418/12)+1)/12))*J418</f>
        <v>95.2398422848482</v>
      </c>
      <c r="X418" s="47" t="n">
        <f aca="false">I418*(IF(C418&lt;Assumptions!$B$5,Assumptions!$B$12*(1+Assumptions!$B$11)*(1+Assumptions!$B$24)*(1+Assumptions!$B$11+Assumptions!$B$25)^(INT(A418/12))/12+Pricing_M!$B$13*IF(A418=0,Assumptions!$B$14*12,IF(A418&gt;=12,Assumptions!$B$15,0))-Pricing_M!$B$13,Assumptions!$B$9/12*(1+Assumptions!$B$10)^INT(A418/12)+Assumptions!$B$12*(1+Assumptions!$B$11)*(1+Assumptions!$B$24)*(1+Assumptions!$B$11+Assumptions!$B$25)^(INT(A418/12))/12))*J418</f>
        <v>86.6304267908634</v>
      </c>
    </row>
    <row r="419" customFormat="false" ht="15" hidden="false" customHeight="true" outlineLevel="0" collapsed="false">
      <c r="A419" s="1" t="n">
        <v>412</v>
      </c>
      <c r="B419" s="31" t="n">
        <f aca="false">Assumptions!$B$4+A419/12</f>
        <v>99.3333333333333</v>
      </c>
      <c r="C419" s="34" t="n">
        <f aca="false">Assumptions!$B$4+INT(A419/12)</f>
        <v>99</v>
      </c>
      <c r="D419" s="34" t="n">
        <f aca="false">INT(A419/12)+1</f>
        <v>35</v>
      </c>
      <c r="E419" s="32" t="n">
        <f aca="false">IFERROR(INDEX(Cohort_Survival!$G$5:$G$65,MATCH(C419,Cohort_Survival!$A$5:$A$65,0)),1)</f>
        <v>0.198070084054699</v>
      </c>
      <c r="F419" s="30" t="n">
        <f aca="false">1-(1-MIN(1,E419))^(1/12)</f>
        <v>0.0182263587865592</v>
      </c>
      <c r="G419" s="39" t="n">
        <f aca="false">IF(C419&lt;Assumptions!$B$5,IF(D419=1,Assumptions!$B$16,IF(D419=2,Assumptions!$B$17,IF(D419&lt;=5,Assumptions!$B$18,Assumptions!$B$19)))*(1-Assumptions!$B$20),0)</f>
        <v>0</v>
      </c>
      <c r="H419" s="30" t="n">
        <f aca="false">1-(1-G419)^(1/12)</f>
        <v>0</v>
      </c>
      <c r="I419" s="30" t="n">
        <f aca="false">I418*(1-F418)*(1-H418)</f>
        <v>0.094545274324947</v>
      </c>
      <c r="J419" s="30" t="n">
        <f aca="false">INDEX(Discount_Monthly!$G$4:$G$664,MATCH(A419,Discount_Monthly!$A$4:$A$664,0))</f>
        <v>0.340042035629327</v>
      </c>
      <c r="K419" s="30" t="n">
        <f aca="false">IF(C419&lt;Assumptions!$B$5,I419*J419,0)</f>
        <v>0</v>
      </c>
      <c r="L419" s="30" t="n">
        <f aca="false">IF(C419&lt;Assumptions!$B$5,I419*(1-F419)*H419*A419*J419,0)</f>
        <v>0</v>
      </c>
      <c r="M419" s="30" t="n">
        <f aca="false">IF(A419=0,Assumptions!$B$14*12*I419*J419,IF(AND(A419&gt;=12,C419&lt;Assumptions!$B$5),Assumptions!$B$15*I419*J419,0))</f>
        <v>0</v>
      </c>
      <c r="N419" s="47" t="n">
        <f aca="false">IF(C419&gt;=Assumptions!$B$5,I419*Assumptions!$B$9/12*(1+Assumptions!$B$10)^INT(A419/12)*J419,0)</f>
        <v>84.0459925086637</v>
      </c>
      <c r="O419" s="47" t="n">
        <f aca="false">I419*Assumptions!$B$12/12*(1+Assumptions!$B$11)^(INT(A419/12)+1)*J419</f>
        <v>0.508646971840489</v>
      </c>
      <c r="P419" s="47" t="n">
        <f aca="false">O419+Pricing_M!$B$13*M419+N419-Pricing_M!$B$13*K419</f>
        <v>84.5546394805042</v>
      </c>
      <c r="Q419" s="47" t="n">
        <f aca="false">IF(C419&lt;Assumptions!$B$5,Pricing_M!$B$13*K419-Pricing_M!$B$13*M419-O419,-(N419+O419))</f>
        <v>-84.5546394805042</v>
      </c>
      <c r="R419" s="32" t="n">
        <f aca="false">R418*(1-(1-(1-MIN(1,E418*(1-Assumptions!$B$21)))^(1/12)))*(1-H418)</f>
        <v>0.149113961840372</v>
      </c>
      <c r="S419" s="47" t="n">
        <f aca="false">R419*(IF(C419&lt;Assumptions!$B$5,Assumptions!$B$12*(1+Assumptions!$B$11)^(INT(A419/12)+1)/12+Pricing_M!$B$13*IF(A419=0,Assumptions!$B$14*12,IF(A419&gt;=12,Assumptions!$B$15,0))-Pricing_M!$B$13,Assumptions!$B$9/12*(1+Assumptions!$B$10)^INT(A419/12)+Assumptions!$B$12*(1+Assumptions!$B$11)^(INT(A419/12)+1)/12))*J419</f>
        <v>133.357033177442</v>
      </c>
      <c r="T419" s="32" t="n">
        <f aca="false">T418*(1-F418)*(1-(1-(1-MIN(1,G418*(1+Assumptions!$B$23)))^(1/12)))</f>
        <v>0.0856465646150687</v>
      </c>
      <c r="U419" s="47" t="n">
        <f aca="false">T419*(IF(C419&lt;Assumptions!$B$5,Assumptions!$B$12*(1+Assumptions!$B$11)^(INT(A419/12)+1)/12+Pricing_M!$B$13*IF(A419=0,Assumptions!$B$14*12,IF(A419&gt;=12,Assumptions!$B$15,0))-Pricing_M!$B$13,Assumptions!$B$9/12*(1+Assumptions!$B$10)^INT(A419/12)+Assumptions!$B$12*(1+Assumptions!$B$11)^(INT(A419/12)+1)/12))*J419</f>
        <v>76.5962597864079</v>
      </c>
      <c r="V419" s="32" t="n">
        <f aca="false">V418*(1-F418)*(1-(1-(1-MIN(1,G418*(1-Assumptions!$B$23)))^(1/12)))</f>
        <v>0.104272803681883</v>
      </c>
      <c r="W419" s="47" t="n">
        <f aca="false">V419*(IF(C419&lt;Assumptions!$B$5,Assumptions!$B$12*(1+Assumptions!$B$11)^(INT(A419/12)+1)/12+Pricing_M!$B$13*IF(A419=0,Assumptions!$B$14*12,IF(A419&gt;=12,Assumptions!$B$15,0))-Pricing_M!$B$13,Assumptions!$B$9/12*(1+Assumptions!$B$10)^INT(A419/12)+Assumptions!$B$12*(1+Assumptions!$B$11)^(INT(A419/12)+1)/12))*J419</f>
        <v>93.2542571365363</v>
      </c>
      <c r="X419" s="47" t="n">
        <f aca="false">I419*(IF(C419&lt;Assumptions!$B$5,Assumptions!$B$12*(1+Assumptions!$B$11)*(1+Assumptions!$B$24)*(1+Assumptions!$B$11+Assumptions!$B$25)^(INT(A419/12))/12+Pricing_M!$B$13*IF(A419=0,Assumptions!$B$14*12,IF(A419&gt;=12,Assumptions!$B$15,0))-Pricing_M!$B$13,Assumptions!$B$9/12*(1+Assumptions!$B$10)^INT(A419/12)+Assumptions!$B$12*(1+Assumptions!$B$11)*(1+Assumptions!$B$24)*(1+Assumptions!$B$11+Assumptions!$B$25)^(INT(A419/12))/12))*J419</f>
        <v>84.8243329891392</v>
      </c>
    </row>
    <row r="420" customFormat="false" ht="15" hidden="false" customHeight="true" outlineLevel="0" collapsed="false">
      <c r="A420" s="1" t="n">
        <v>413</v>
      </c>
      <c r="B420" s="31" t="n">
        <f aca="false">Assumptions!$B$4+A420/12</f>
        <v>99.4166666666667</v>
      </c>
      <c r="C420" s="34" t="n">
        <f aca="false">Assumptions!$B$4+INT(A420/12)</f>
        <v>99</v>
      </c>
      <c r="D420" s="34" t="n">
        <f aca="false">INT(A420/12)+1</f>
        <v>35</v>
      </c>
      <c r="E420" s="32" t="n">
        <f aca="false">IFERROR(INDEX(Cohort_Survival!$G$5:$G$65,MATCH(C420,Cohort_Survival!$A$5:$A$65,0)),1)</f>
        <v>0.198070084054699</v>
      </c>
      <c r="F420" s="30" t="n">
        <f aca="false">1-(1-MIN(1,E420))^(1/12)</f>
        <v>0.0182263587865592</v>
      </c>
      <c r="G420" s="39" t="n">
        <f aca="false">IF(C420&lt;Assumptions!$B$5,IF(D420=1,Assumptions!$B$16,IF(D420=2,Assumptions!$B$17,IF(D420&lt;=5,Assumptions!$B$18,Assumptions!$B$19)))*(1-Assumptions!$B$20),0)</f>
        <v>0</v>
      </c>
      <c r="H420" s="30" t="n">
        <f aca="false">1-(1-G420)^(1/12)</f>
        <v>0</v>
      </c>
      <c r="I420" s="30" t="n">
        <f aca="false">I419*(1-F419)*(1-H419)</f>
        <v>0.0928220582335268</v>
      </c>
      <c r="J420" s="30" t="n">
        <f aca="false">INDEX(Discount_Monthly!$G$4:$G$664,MATCH(A420,Discount_Monthly!$A$4:$A$664,0))</f>
        <v>0.339133926938848</v>
      </c>
      <c r="K420" s="30" t="n">
        <f aca="false">IF(C420&lt;Assumptions!$B$5,I420*J420,0)</f>
        <v>0</v>
      </c>
      <c r="L420" s="30" t="n">
        <f aca="false">IF(C420&lt;Assumptions!$B$5,I420*(1-F420)*H420*A420*J420,0)</f>
        <v>0</v>
      </c>
      <c r="M420" s="30" t="n">
        <f aca="false">IF(A420=0,Assumptions!$B$14*12*I420*J420,IF(AND(A420&gt;=12,C420&lt;Assumptions!$B$5),Assumptions!$B$15*I420*J420,0))</f>
        <v>0</v>
      </c>
      <c r="N420" s="47" t="n">
        <f aca="false">IF(C420&gt;=Assumptions!$B$5,I420*Assumptions!$B$9/12*(1+Assumptions!$B$10)^INT(A420/12)*J420,0)</f>
        <v>82.2937796689866</v>
      </c>
      <c r="O420" s="47" t="n">
        <f aca="false">I420*Assumptions!$B$12/12*(1+Assumptions!$B$11)^(INT(A420/12)+1)*J420</f>
        <v>0.498042566700888</v>
      </c>
      <c r="P420" s="47" t="n">
        <f aca="false">O420+Pricing_M!$B$13*M420+N420-Pricing_M!$B$13*K420</f>
        <v>82.7918222356875</v>
      </c>
      <c r="Q420" s="47" t="n">
        <f aca="false">IF(C420&lt;Assumptions!$B$5,Pricing_M!$B$13*K420-Pricing_M!$B$13*M420-O420,-(N420+O420))</f>
        <v>-82.7918222356875</v>
      </c>
      <c r="R420" s="32" t="n">
        <f aca="false">R419*(1-(1-(1-MIN(1,E419*(1-Assumptions!$B$21)))^(1/12)))*(1-H419)</f>
        <v>0.146985572628874</v>
      </c>
      <c r="S420" s="47" t="n">
        <f aca="false">R420*(IF(C420&lt;Assumptions!$B$5,Assumptions!$B$12*(1+Assumptions!$B$11)^(INT(A420/12)+1)/12+Pricing_M!$B$13*IF(A420=0,Assumptions!$B$14*12,IF(A420&gt;=12,Assumptions!$B$15,0))-Pricing_M!$B$13,Assumptions!$B$9/12*(1+Assumptions!$B$10)^INT(A420/12)+Assumptions!$B$12*(1+Assumptions!$B$11)^(INT(A420/12)+1)/12))*J420</f>
        <v>131.102494729049</v>
      </c>
      <c r="T420" s="32" t="n">
        <f aca="false">T419*(1-F419)*(1-(1-(1-MIN(1,G419*(1+Assumptions!$B$23)))^(1/12)))</f>
        <v>0.0840855395995583</v>
      </c>
      <c r="U420" s="47" t="n">
        <f aca="false">T420*(IF(C420&lt;Assumptions!$B$5,Assumptions!$B$12*(1+Assumptions!$B$11)^(INT(A420/12)+1)/12+Pricing_M!$B$13*IF(A420=0,Assumptions!$B$14*12,IF(A420&gt;=12,Assumptions!$B$15,0))-Pricing_M!$B$13,Assumptions!$B$9/12*(1+Assumptions!$B$10)^INT(A420/12)+Assumptions!$B$12*(1+Assumptions!$B$11)^(INT(A420/12)+1)/12))*J420</f>
        <v>74.9993609235008</v>
      </c>
      <c r="V420" s="32" t="n">
        <f aca="false">V419*(1-F419)*(1-(1-(1-MIN(1,G419*(1-Assumptions!$B$23)))^(1/12)))</f>
        <v>0.102372290150296</v>
      </c>
      <c r="W420" s="47" t="n">
        <f aca="false">V420*(IF(C420&lt;Assumptions!$B$5,Assumptions!$B$12*(1+Assumptions!$B$11)^(INT(A420/12)+1)/12+Pricing_M!$B$13*IF(A420=0,Assumptions!$B$14*12,IF(A420&gt;=12,Assumptions!$B$15,0))-Pricing_M!$B$13,Assumptions!$B$9/12*(1+Assumptions!$B$10)^INT(A420/12)+Assumptions!$B$12*(1+Assumptions!$B$11)^(INT(A420/12)+1)/12))*J420</f>
        <v>91.3100679868592</v>
      </c>
      <c r="X420" s="47" t="n">
        <f aca="false">I420*(IF(C420&lt;Assumptions!$B$5,Assumptions!$B$12*(1+Assumptions!$B$11)*(1+Assumptions!$B$24)*(1+Assumptions!$B$11+Assumptions!$B$25)^(INT(A420/12))/12+Pricing_M!$B$13*IF(A420=0,Assumptions!$B$14*12,IF(A420&gt;=12,Assumptions!$B$15,0))-Pricing_M!$B$13,Assumptions!$B$9/12*(1+Assumptions!$B$10)^INT(A420/12)+Assumptions!$B$12*(1+Assumptions!$B$11)*(1+Assumptions!$B$24)*(1+Assumptions!$B$11+Assumptions!$B$25)^(INT(A420/12))/12))*J420</f>
        <v>83.0558931034982</v>
      </c>
    </row>
    <row r="421" customFormat="false" ht="15" hidden="false" customHeight="true" outlineLevel="0" collapsed="false">
      <c r="A421" s="1" t="n">
        <v>414</v>
      </c>
      <c r="B421" s="31" t="n">
        <f aca="false">Assumptions!$B$4+A421/12</f>
        <v>99.5</v>
      </c>
      <c r="C421" s="34" t="n">
        <f aca="false">Assumptions!$B$4+INT(A421/12)</f>
        <v>99</v>
      </c>
      <c r="D421" s="34" t="n">
        <f aca="false">INT(A421/12)+1</f>
        <v>35</v>
      </c>
      <c r="E421" s="32" t="n">
        <f aca="false">IFERROR(INDEX(Cohort_Survival!$G$5:$G$65,MATCH(C421,Cohort_Survival!$A$5:$A$65,0)),1)</f>
        <v>0.198070084054699</v>
      </c>
      <c r="F421" s="30" t="n">
        <f aca="false">1-(1-MIN(1,E421))^(1/12)</f>
        <v>0.0182263587865592</v>
      </c>
      <c r="G421" s="39" t="n">
        <f aca="false">IF(C421&lt;Assumptions!$B$5,IF(D421=1,Assumptions!$B$16,IF(D421=2,Assumptions!$B$17,IF(D421&lt;=5,Assumptions!$B$18,Assumptions!$B$19)))*(1-Assumptions!$B$20),0)</f>
        <v>0</v>
      </c>
      <c r="H421" s="30" t="n">
        <f aca="false">1-(1-G421)^(1/12)</f>
        <v>0</v>
      </c>
      <c r="I421" s="30" t="n">
        <f aca="false">I420*(1-F420)*(1-H420)</f>
        <v>0.0911302500968557</v>
      </c>
      <c r="J421" s="30" t="n">
        <f aca="false">INDEX(Discount_Monthly!$G$4:$G$664,MATCH(A421,Discount_Monthly!$A$4:$A$664,0))</f>
        <v>0.338228243423222</v>
      </c>
      <c r="K421" s="30" t="n">
        <f aca="false">IF(C421&lt;Assumptions!$B$5,I421*J421,0)</f>
        <v>0</v>
      </c>
      <c r="L421" s="30" t="n">
        <f aca="false">IF(C421&lt;Assumptions!$B$5,I421*(1-F421)*H421*A421*J421,0)</f>
        <v>0</v>
      </c>
      <c r="M421" s="30" t="n">
        <f aca="false">IF(A421=0,Assumptions!$B$14*12*I421*J421,IF(AND(A421&gt;=12,C421&lt;Assumptions!$B$5),Assumptions!$B$15*I421*J421,0))</f>
        <v>0</v>
      </c>
      <c r="N421" s="47" t="n">
        <f aca="false">IF(C421&gt;=Assumptions!$B$5,I421*Assumptions!$B$9/12*(1+Assumptions!$B$10)^INT(A421/12)*J421,0)</f>
        <v>80.5780974209997</v>
      </c>
      <c r="O421" s="47" t="n">
        <f aca="false">I421*Assumptions!$B$12/12*(1+Assumptions!$B$11)^(INT(A421/12)+1)*J421</f>
        <v>0.487659244973929</v>
      </c>
      <c r="P421" s="47" t="n">
        <f aca="false">O421+Pricing_M!$B$13*M421+N421-Pricing_M!$B$13*K421</f>
        <v>81.0657566659737</v>
      </c>
      <c r="Q421" s="47" t="n">
        <f aca="false">IF(C421&lt;Assumptions!$B$5,Pricing_M!$B$13*K421-Pricing_M!$B$13*M421-O421,-(N421+O421))</f>
        <v>-81.0657566659737</v>
      </c>
      <c r="R421" s="32" t="n">
        <f aca="false">R420*(1-(1-(1-MIN(1,E420*(1-Assumptions!$B$21)))^(1/12)))*(1-H420)</f>
        <v>0.144887563138897</v>
      </c>
      <c r="S421" s="47" t="n">
        <f aca="false">R421*(IF(C421&lt;Assumptions!$B$5,Assumptions!$B$12*(1+Assumptions!$B$11)^(INT(A421/12)+1)/12+Pricing_M!$B$13*IF(A421=0,Assumptions!$B$14*12,IF(A421&gt;=12,Assumptions!$B$15,0))-Pricing_M!$B$13,Assumptions!$B$9/12*(1+Assumptions!$B$10)^INT(A421/12)+Assumptions!$B$12*(1+Assumptions!$B$11)^(INT(A421/12)+1)/12))*J421</f>
        <v>128.886071582821</v>
      </c>
      <c r="T421" s="32" t="n">
        <f aca="false">T420*(1-F420)*(1-(1-(1-MIN(1,G420*(1+Assumptions!$B$23)))^(1/12)))</f>
        <v>0.0825529663860553</v>
      </c>
      <c r="U421" s="47" t="n">
        <f aca="false">T421*(IF(C421&lt;Assumptions!$B$5,Assumptions!$B$12*(1+Assumptions!$B$11)^(INT(A421/12)+1)/12+Pricing_M!$B$13*IF(A421=0,Assumptions!$B$14*12,IF(A421&gt;=12,Assumptions!$B$15,0))-Pricing_M!$B$13,Assumptions!$B$9/12*(1+Assumptions!$B$10)^INT(A421/12)+Assumptions!$B$12*(1+Assumptions!$B$11)^(INT(A421/12)+1)/12))*J421</f>
        <v>73.4357546258634</v>
      </c>
      <c r="V421" s="32" t="n">
        <f aca="false">V420*(1-F420)*(1-(1-(1-MIN(1,G420*(1-Assumptions!$B$23)))^(1/12)))</f>
        <v>0.100506416060215</v>
      </c>
      <c r="W421" s="47" t="n">
        <f aca="false">V421*(IF(C421&lt;Assumptions!$B$5,Assumptions!$B$12*(1+Assumptions!$B$11)^(INT(A421/12)+1)/12+Pricing_M!$B$13*IF(A421=0,Assumptions!$B$14*12,IF(A421&gt;=12,Assumptions!$B$15,0))-Pricing_M!$B$13,Assumptions!$B$9/12*(1+Assumptions!$B$10)^INT(A421/12)+Assumptions!$B$12*(1+Assumptions!$B$11)^(INT(A421/12)+1)/12))*J421</f>
        <v>89.4064118012075</v>
      </c>
      <c r="X421" s="47" t="n">
        <f aca="false">I421*(IF(C421&lt;Assumptions!$B$5,Assumptions!$B$12*(1+Assumptions!$B$11)*(1+Assumptions!$B$24)*(1+Assumptions!$B$11+Assumptions!$B$25)^(INT(A421/12))/12+Pricing_M!$B$13*IF(A421=0,Assumptions!$B$14*12,IF(A421&gt;=12,Assumptions!$B$15,0))-Pricing_M!$B$13,Assumptions!$B$9/12*(1+Assumptions!$B$10)^INT(A421/12)+Assumptions!$B$12*(1+Assumptions!$B$11)*(1+Assumptions!$B$24)*(1+Assumptions!$B$11+Assumptions!$B$25)^(INT(A421/12))/12))*J421</f>
        <v>81.3243221152468</v>
      </c>
    </row>
    <row r="422" customFormat="false" ht="15" hidden="false" customHeight="true" outlineLevel="0" collapsed="false">
      <c r="A422" s="1" t="n">
        <v>415</v>
      </c>
      <c r="B422" s="31" t="n">
        <f aca="false">Assumptions!$B$4+A422/12</f>
        <v>99.5833333333333</v>
      </c>
      <c r="C422" s="34" t="n">
        <f aca="false">Assumptions!$B$4+INT(A422/12)</f>
        <v>99</v>
      </c>
      <c r="D422" s="34" t="n">
        <f aca="false">INT(A422/12)+1</f>
        <v>35</v>
      </c>
      <c r="E422" s="32" t="n">
        <f aca="false">IFERROR(INDEX(Cohort_Survival!$G$5:$G$65,MATCH(C422,Cohort_Survival!$A$5:$A$65,0)),1)</f>
        <v>0.198070084054699</v>
      </c>
      <c r="F422" s="30" t="n">
        <f aca="false">1-(1-MIN(1,E422))^(1/12)</f>
        <v>0.0182263587865592</v>
      </c>
      <c r="G422" s="39" t="n">
        <f aca="false">IF(C422&lt;Assumptions!$B$5,IF(D422=1,Assumptions!$B$16,IF(D422=2,Assumptions!$B$17,IF(D422&lt;=5,Assumptions!$B$18,Assumptions!$B$19)))*(1-Assumptions!$B$20),0)</f>
        <v>0</v>
      </c>
      <c r="H422" s="30" t="n">
        <f aca="false">1-(1-G422)^(1/12)</f>
        <v>0</v>
      </c>
      <c r="I422" s="30" t="n">
        <f aca="false">I421*(1-F421)*(1-H421)</f>
        <v>0.0894692774622815</v>
      </c>
      <c r="J422" s="30" t="n">
        <f aca="false">INDEX(Discount_Monthly!$G$4:$G$664,MATCH(A422,Discount_Monthly!$A$4:$A$664,0))</f>
        <v>0.337324978605831</v>
      </c>
      <c r="K422" s="30" t="n">
        <f aca="false">IF(C422&lt;Assumptions!$B$5,I422*J422,0)</f>
        <v>0</v>
      </c>
      <c r="L422" s="30" t="n">
        <f aca="false">IF(C422&lt;Assumptions!$B$5,I422*(1-F422)*H422*A422*J422,0)</f>
        <v>0</v>
      </c>
      <c r="M422" s="30" t="n">
        <f aca="false">IF(A422=0,Assumptions!$B$14*12*I422*J422,IF(AND(A422&gt;=12,C422&lt;Assumptions!$B$5),Assumptions!$B$15*I422*J422,0))</f>
        <v>0</v>
      </c>
      <c r="N422" s="47" t="n">
        <f aca="false">IF(C422&gt;=Assumptions!$B$5,I422*Assumptions!$B$9/12*(1+Assumptions!$B$10)^INT(A422/12)*J422,0)</f>
        <v>78.8981841653705</v>
      </c>
      <c r="O422" s="47" t="n">
        <f aca="false">I422*Assumptions!$B$12/12*(1+Assumptions!$B$11)^(INT(A422/12)+1)*J422</f>
        <v>0.477492397454787</v>
      </c>
      <c r="P422" s="47" t="n">
        <f aca="false">O422+Pricing_M!$B$13*M422+N422-Pricing_M!$B$13*K422</f>
        <v>79.3756765628252</v>
      </c>
      <c r="Q422" s="47" t="n">
        <f aca="false">IF(C422&lt;Assumptions!$B$5,Pricing_M!$B$13*K422-Pricing_M!$B$13*M422-O422,-(N422+O422))</f>
        <v>-79.3756765628252</v>
      </c>
      <c r="R422" s="32" t="n">
        <f aca="false">R421*(1-(1-(1-MIN(1,E421*(1-Assumptions!$B$21)))^(1/12)))*(1-H421)</f>
        <v>0.142819499743229</v>
      </c>
      <c r="S422" s="47" t="n">
        <f aca="false">R422*(IF(C422&lt;Assumptions!$B$5,Assumptions!$B$12*(1+Assumptions!$B$11)^(INT(A422/12)+1)/12+Pricing_M!$B$13*IF(A422=0,Assumptions!$B$14*12,IF(A422&gt;=12,Assumptions!$B$15,0))-Pricing_M!$B$13,Assumptions!$B$9/12*(1+Assumptions!$B$10)^INT(A422/12)+Assumptions!$B$12*(1+Assumptions!$B$11)^(INT(A422/12)+1)/12))*J422</f>
        <v>126.707119360188</v>
      </c>
      <c r="T422" s="32" t="n">
        <f aca="false">T421*(1-F421)*(1-(1-(1-MIN(1,G421*(1+Assumptions!$B$23)))^(1/12)))</f>
        <v>0.0810483264018083</v>
      </c>
      <c r="U422" s="47" t="n">
        <f aca="false">T422*(IF(C422&lt;Assumptions!$B$5,Assumptions!$B$12*(1+Assumptions!$B$11)^(INT(A422/12)+1)/12+Pricing_M!$B$13*IF(A422=0,Assumptions!$B$14*12,IF(A422&gt;=12,Assumptions!$B$15,0))-Pricing_M!$B$13,Assumptions!$B$9/12*(1+Assumptions!$B$10)^INT(A422/12)+Assumptions!$B$12*(1+Assumptions!$B$11)^(INT(A422/12)+1)/12))*J422</f>
        <v>71.9047468013851</v>
      </c>
      <c r="V422" s="32" t="n">
        <f aca="false">V421*(1-F421)*(1-(1-(1-MIN(1,G421*(1-Assumptions!$B$23)))^(1/12)))</f>
        <v>0.0986745500607504</v>
      </c>
      <c r="W422" s="47" t="n">
        <f aca="false">V422*(IF(C422&lt;Assumptions!$B$5,Assumptions!$B$12*(1+Assumptions!$B$11)^(INT(A422/12)+1)/12+Pricing_M!$B$13*IF(A422=0,Assumptions!$B$14*12,IF(A422&gt;=12,Assumptions!$B$15,0))-Pricing_M!$B$13,Assumptions!$B$9/12*(1+Assumptions!$B$10)^INT(A422/12)+Assumptions!$B$12*(1+Assumptions!$B$11)^(INT(A422/12)+1)/12))*J422</f>
        <v>87.5424435377429</v>
      </c>
      <c r="X422" s="47" t="n">
        <f aca="false">I422*(IF(C422&lt;Assumptions!$B$5,Assumptions!$B$12*(1+Assumptions!$B$11)*(1+Assumptions!$B$24)*(1+Assumptions!$B$11+Assumptions!$B$25)^(INT(A422/12))/12+Pricing_M!$B$13*IF(A422=0,Assumptions!$B$14*12,IF(A422&gt;=12,Assumptions!$B$15,0))-Pricing_M!$B$13,Assumptions!$B$9/12*(1+Assumptions!$B$10)^INT(A422/12)+Assumptions!$B$12*(1+Assumptions!$B$11)*(1+Assumptions!$B$24)*(1+Assumptions!$B$11+Assumptions!$B$25)^(INT(A422/12))/12))*J422</f>
        <v>79.6288513719668</v>
      </c>
    </row>
    <row r="423" customFormat="false" ht="15" hidden="false" customHeight="true" outlineLevel="0" collapsed="false">
      <c r="A423" s="1" t="n">
        <v>416</v>
      </c>
      <c r="B423" s="31" t="n">
        <f aca="false">Assumptions!$B$4+A423/12</f>
        <v>99.6666666666667</v>
      </c>
      <c r="C423" s="34" t="n">
        <f aca="false">Assumptions!$B$4+INT(A423/12)</f>
        <v>99</v>
      </c>
      <c r="D423" s="34" t="n">
        <f aca="false">INT(A423/12)+1</f>
        <v>35</v>
      </c>
      <c r="E423" s="32" t="n">
        <f aca="false">IFERROR(INDEX(Cohort_Survival!$G$5:$G$65,MATCH(C423,Cohort_Survival!$A$5:$A$65,0)),1)</f>
        <v>0.198070084054699</v>
      </c>
      <c r="F423" s="30" t="n">
        <f aca="false">1-(1-MIN(1,E423))^(1/12)</f>
        <v>0.0182263587865592</v>
      </c>
      <c r="G423" s="39" t="n">
        <f aca="false">IF(C423&lt;Assumptions!$B$5,IF(D423=1,Assumptions!$B$16,IF(D423=2,Assumptions!$B$17,IF(D423&lt;=5,Assumptions!$B$18,Assumptions!$B$19)))*(1-Assumptions!$B$20),0)</f>
        <v>0</v>
      </c>
      <c r="H423" s="30" t="n">
        <f aca="false">1-(1-G423)^(1/12)</f>
        <v>0</v>
      </c>
      <c r="I423" s="30" t="n">
        <f aca="false">I422*(1-F422)*(1-H422)</f>
        <v>0.0878385783108798</v>
      </c>
      <c r="J423" s="30" t="n">
        <f aca="false">INDEX(Discount_Monthly!$G$4:$G$664,MATCH(A423,Discount_Monthly!$A$4:$A$664,0))</f>
        <v>0.336424126027352</v>
      </c>
      <c r="K423" s="30" t="n">
        <f aca="false">IF(C423&lt;Assumptions!$B$5,I423*J423,0)</f>
        <v>0</v>
      </c>
      <c r="L423" s="30" t="n">
        <f aca="false">IF(C423&lt;Assumptions!$B$5,I423*(1-F423)*H423*A423*J423,0)</f>
        <v>0</v>
      </c>
      <c r="M423" s="30" t="n">
        <f aca="false">IF(A423=0,Assumptions!$B$14*12*I423*J423,IF(AND(A423&gt;=12,C423&lt;Assumptions!$B$5),Assumptions!$B$15*I423*J423,0))</f>
        <v>0</v>
      </c>
      <c r="N423" s="47" t="n">
        <f aca="false">IF(C423&gt;=Assumptions!$B$5,I423*Assumptions!$B$9/12*(1+Assumptions!$B$10)^INT(A423/12)*J423,0)</f>
        <v>77.2532941807883</v>
      </c>
      <c r="O423" s="47" t="n">
        <f aca="false">I423*Assumptions!$B$12/12*(1+Assumptions!$B$11)^(INT(A423/12)+1)*J423</f>
        <v>0.467537511032544</v>
      </c>
      <c r="P423" s="47" t="n">
        <f aca="false">O423+Pricing_M!$B$13*M423+N423-Pricing_M!$B$13*K423</f>
        <v>77.7208316918209</v>
      </c>
      <c r="Q423" s="47" t="n">
        <f aca="false">IF(C423&lt;Assumptions!$B$5,Pricing_M!$B$13*K423-Pricing_M!$B$13*M423-O423,-(N423+O423))</f>
        <v>-77.7208316918209</v>
      </c>
      <c r="R423" s="32" t="n">
        <f aca="false">R422*(1-(1-(1-MIN(1,E422*(1-Assumptions!$B$21)))^(1/12)))*(1-H422)</f>
        <v>0.140780955004069</v>
      </c>
      <c r="S423" s="47" t="n">
        <f aca="false">R423*(IF(C423&lt;Assumptions!$B$5,Assumptions!$B$12*(1+Assumptions!$B$11)^(INT(A423/12)+1)/12+Pricing_M!$B$13*IF(A423=0,Assumptions!$B$14*12,IF(A423&gt;=12,Assumptions!$B$15,0))-Pricing_M!$B$13,Assumptions!$B$9/12*(1+Assumptions!$B$10)^INT(A423/12)+Assumptions!$B$12*(1+Assumptions!$B$11)^(INT(A423/12)+1)/12))*J423</f>
        <v>124.565004576466</v>
      </c>
      <c r="T423" s="32" t="n">
        <f aca="false">T422*(1-F422)*(1-(1-(1-MIN(1,G422*(1+Assumptions!$B$23)))^(1/12)))</f>
        <v>0.0795711105257588</v>
      </c>
      <c r="U423" s="47" t="n">
        <f aca="false">T423*(IF(C423&lt;Assumptions!$B$5,Assumptions!$B$12*(1+Assumptions!$B$11)^(INT(A423/12)+1)/12+Pricing_M!$B$13*IF(A423=0,Assumptions!$B$14*12,IF(A423&gt;=12,Assumptions!$B$15,0))-Pricing_M!$B$13,Assumptions!$B$9/12*(1+Assumptions!$B$10)^INT(A423/12)+Assumptions!$B$12*(1+Assumptions!$B$11)^(INT(A423/12)+1)/12))*J423</f>
        <v>70.4056578285691</v>
      </c>
      <c r="V423" s="32" t="n">
        <f aca="false">V422*(1-F422)*(1-(1-(1-MIN(1,G422*(1-Assumptions!$B$23)))^(1/12)))</f>
        <v>0.0968760723082409</v>
      </c>
      <c r="W423" s="47" t="n">
        <f aca="false">V423*(IF(C423&lt;Assumptions!$B$5,Assumptions!$B$12*(1+Assumptions!$B$11)^(INT(A423/12)+1)/12+Pricing_M!$B$13*IF(A423=0,Assumptions!$B$14*12,IF(A423&gt;=12,Assumptions!$B$15,0))-Pricing_M!$B$13,Assumptions!$B$9/12*(1+Assumptions!$B$10)^INT(A423/12)+Assumptions!$B$12*(1+Assumptions!$B$11)^(INT(A423/12)+1)/12))*J423</f>
        <v>85.7173357722807</v>
      </c>
      <c r="X423" s="47" t="n">
        <f aca="false">I423*(IF(C423&lt;Assumptions!$B$5,Assumptions!$B$12*(1+Assumptions!$B$11)*(1+Assumptions!$B$24)*(1+Assumptions!$B$11+Assumptions!$B$25)^(INT(A423/12))/12+Pricing_M!$B$13*IF(A423=0,Assumptions!$B$14*12,IF(A423&gt;=12,Assumptions!$B$15,0))-Pricing_M!$B$13,Assumptions!$B$9/12*(1+Assumptions!$B$10)^INT(A423/12)+Assumptions!$B$12*(1+Assumptions!$B$11)*(1+Assumptions!$B$24)*(1+Assumptions!$B$11+Assumptions!$B$25)^(INT(A423/12))/12))*J423</f>
        <v>77.9687282463066</v>
      </c>
    </row>
    <row r="424" customFormat="false" ht="15" hidden="false" customHeight="true" outlineLevel="0" collapsed="false">
      <c r="A424" s="1" t="n">
        <v>417</v>
      </c>
      <c r="B424" s="31" t="n">
        <f aca="false">Assumptions!$B$4+A424/12</f>
        <v>99.75</v>
      </c>
      <c r="C424" s="34" t="n">
        <f aca="false">Assumptions!$B$4+INT(A424/12)</f>
        <v>99</v>
      </c>
      <c r="D424" s="34" t="n">
        <f aca="false">INT(A424/12)+1</f>
        <v>35</v>
      </c>
      <c r="E424" s="32" t="n">
        <f aca="false">IFERROR(INDEX(Cohort_Survival!$G$5:$G$65,MATCH(C424,Cohort_Survival!$A$5:$A$65,0)),1)</f>
        <v>0.198070084054699</v>
      </c>
      <c r="F424" s="30" t="n">
        <f aca="false">1-(1-MIN(1,E424))^(1/12)</f>
        <v>0.0182263587865592</v>
      </c>
      <c r="G424" s="39" t="n">
        <f aca="false">IF(C424&lt;Assumptions!$B$5,IF(D424=1,Assumptions!$B$16,IF(D424=2,Assumptions!$B$17,IF(D424&lt;=5,Assumptions!$B$18,Assumptions!$B$19)))*(1-Assumptions!$B$20),0)</f>
        <v>0</v>
      </c>
      <c r="H424" s="30" t="n">
        <f aca="false">1-(1-G424)^(1/12)</f>
        <v>0</v>
      </c>
      <c r="I424" s="30" t="n">
        <f aca="false">I423*(1-F423)*(1-H423)</f>
        <v>0.0862376008672844</v>
      </c>
      <c r="J424" s="30" t="n">
        <f aca="false">INDEX(Discount_Monthly!$G$4:$G$664,MATCH(A424,Discount_Monthly!$A$4:$A$664,0))</f>
        <v>0.335525679245716</v>
      </c>
      <c r="K424" s="30" t="n">
        <f aca="false">IF(C424&lt;Assumptions!$B$5,I424*J424,0)</f>
        <v>0</v>
      </c>
      <c r="L424" s="30" t="n">
        <f aca="false">IF(C424&lt;Assumptions!$B$5,I424*(1-F424)*H424*A424*J424,0)</f>
        <v>0</v>
      </c>
      <c r="M424" s="30" t="n">
        <f aca="false">IF(A424=0,Assumptions!$B$14*12*I424*J424,IF(AND(A424&gt;=12,C424&lt;Assumptions!$B$5),Assumptions!$B$15*I424*J424,0))</f>
        <v>0</v>
      </c>
      <c r="N424" s="47" t="n">
        <f aca="false">IF(C424&gt;=Assumptions!$B$5,I424*Assumptions!$B$9/12*(1+Assumptions!$B$10)^INT(A424/12)*J424,0)</f>
        <v>75.6426972929358</v>
      </c>
      <c r="O424" s="47" t="n">
        <f aca="false">I424*Assumptions!$B$12/12*(1+Assumptions!$B$11)^(INT(A424/12)+1)*J424</f>
        <v>0.457790166686798</v>
      </c>
      <c r="P424" s="47" t="n">
        <f aca="false">O424+Pricing_M!$B$13*M424+N424-Pricing_M!$B$13*K424</f>
        <v>76.1004874596226</v>
      </c>
      <c r="Q424" s="47" t="n">
        <f aca="false">IF(C424&lt;Assumptions!$B$5,Pricing_M!$B$13*K424-Pricing_M!$B$13*M424-O424,-(N424+O424))</f>
        <v>-76.1004874596226</v>
      </c>
      <c r="R424" s="32" t="n">
        <f aca="false">R423*(1-(1-(1-MIN(1,E423*(1-Assumptions!$B$21)))^(1/12)))*(1-H423)</f>
        <v>0.138771507584679</v>
      </c>
      <c r="S424" s="47" t="n">
        <f aca="false">R424*(IF(C424&lt;Assumptions!$B$5,Assumptions!$B$12*(1+Assumptions!$B$11)^(INT(A424/12)+1)/12+Pricing_M!$B$13*IF(A424=0,Assumptions!$B$14*12,IF(A424&gt;=12,Assumptions!$B$15,0))-Pricing_M!$B$13,Assumptions!$B$9/12*(1+Assumptions!$B$10)^INT(A424/12)+Assumptions!$B$12*(1+Assumptions!$B$11)^(INT(A424/12)+1)/12))*J424</f>
        <v>122.459104456686</v>
      </c>
      <c r="T424" s="32" t="n">
        <f aca="false">T423*(1-F423)*(1-(1-(1-MIN(1,G423*(1+Assumptions!$B$23)))^(1/12)))</f>
        <v>0.0781208189162713</v>
      </c>
      <c r="U424" s="47" t="n">
        <f aca="false">T424*(IF(C424&lt;Assumptions!$B$5,Assumptions!$B$12*(1+Assumptions!$B$11)^(INT(A424/12)+1)/12+Pricing_M!$B$13*IF(A424=0,Assumptions!$B$14*12,IF(A424&gt;=12,Assumptions!$B$15,0))-Pricing_M!$B$13,Assumptions!$B$9/12*(1+Assumptions!$B$10)^INT(A424/12)+Assumptions!$B$12*(1+Assumptions!$B$11)^(INT(A424/12)+1)/12))*J424</f>
        <v>68.9378222548454</v>
      </c>
      <c r="V424" s="32" t="n">
        <f aca="false">V423*(1-F423)*(1-(1-(1-MIN(1,G423*(1-Assumptions!$B$23)))^(1/12)))</f>
        <v>0.0951103742565182</v>
      </c>
      <c r="W424" s="47" t="n">
        <f aca="false">V424*(IF(C424&lt;Assumptions!$B$5,Assumptions!$B$12*(1+Assumptions!$B$11)^(INT(A424/12)+1)/12+Pricing_M!$B$13*IF(A424=0,Assumptions!$B$14*12,IF(A424&gt;=12,Assumptions!$B$15,0))-Pricing_M!$B$13,Assumptions!$B$9/12*(1+Assumptions!$B$10)^INT(A424/12)+Assumptions!$B$12*(1+Assumptions!$B$11)^(INT(A424/12)+1)/12))*J424</f>
        <v>83.930278330992</v>
      </c>
      <c r="X424" s="47" t="n">
        <f aca="false">I424*(IF(C424&lt;Assumptions!$B$5,Assumptions!$B$12*(1+Assumptions!$B$11)*(1+Assumptions!$B$24)*(1+Assumptions!$B$11+Assumptions!$B$25)^(INT(A424/12))/12+Pricing_M!$B$13*IF(A424=0,Assumptions!$B$14*12,IF(A424&gt;=12,Assumptions!$B$15,0))-Pricing_M!$B$13,Assumptions!$B$9/12*(1+Assumptions!$B$10)^INT(A424/12)+Assumptions!$B$12*(1+Assumptions!$B$11)*(1+Assumptions!$B$24)*(1+Assumptions!$B$11+Assumptions!$B$25)^(INT(A424/12))/12))*J424</f>
        <v>76.3432158018865</v>
      </c>
    </row>
    <row r="425" customFormat="false" ht="15" hidden="false" customHeight="true" outlineLevel="0" collapsed="false">
      <c r="A425" s="1" t="n">
        <v>418</v>
      </c>
      <c r="B425" s="31" t="n">
        <f aca="false">Assumptions!$B$4+A425/12</f>
        <v>99.8333333333333</v>
      </c>
      <c r="C425" s="34" t="n">
        <f aca="false">Assumptions!$B$4+INT(A425/12)</f>
        <v>99</v>
      </c>
      <c r="D425" s="34" t="n">
        <f aca="false">INT(A425/12)+1</f>
        <v>35</v>
      </c>
      <c r="E425" s="32" t="n">
        <f aca="false">IFERROR(INDEX(Cohort_Survival!$G$5:$G$65,MATCH(C425,Cohort_Survival!$A$5:$A$65,0)),1)</f>
        <v>0.198070084054699</v>
      </c>
      <c r="F425" s="30" t="n">
        <f aca="false">1-(1-MIN(1,E425))^(1/12)</f>
        <v>0.0182263587865592</v>
      </c>
      <c r="G425" s="39" t="n">
        <f aca="false">IF(C425&lt;Assumptions!$B$5,IF(D425=1,Assumptions!$B$16,IF(D425=2,Assumptions!$B$17,IF(D425&lt;=5,Assumptions!$B$18,Assumptions!$B$19)))*(1-Assumptions!$B$20),0)</f>
        <v>0</v>
      </c>
      <c r="H425" s="30" t="n">
        <f aca="false">1-(1-G425)^(1/12)</f>
        <v>0</v>
      </c>
      <c r="I425" s="30" t="n">
        <f aca="false">I424*(1-F424)*(1-H424)</f>
        <v>0.0846658034129852</v>
      </c>
      <c r="J425" s="30" t="n">
        <f aca="false">INDEX(Discount_Monthly!$G$4:$G$664,MATCH(A425,Discount_Monthly!$A$4:$A$664,0))</f>
        <v>0.334629631836054</v>
      </c>
      <c r="K425" s="30" t="n">
        <f aca="false">IF(C425&lt;Assumptions!$B$5,I425*J425,0)</f>
        <v>0</v>
      </c>
      <c r="L425" s="30" t="n">
        <f aca="false">IF(C425&lt;Assumptions!$B$5,I425*(1-F425)*H425*A425*J425,0)</f>
        <v>0</v>
      </c>
      <c r="M425" s="30" t="n">
        <f aca="false">IF(A425=0,Assumptions!$B$14*12*I425*J425,IF(AND(A425&gt;=12,C425&lt;Assumptions!$B$5),Assumptions!$B$15*I425*J425,0))</f>
        <v>0</v>
      </c>
      <c r="N425" s="47" t="n">
        <f aca="false">IF(C425&gt;=Assumptions!$B$5,I425*Assumptions!$B$9/12*(1+Assumptions!$B$10)^INT(A425/12)*J425,0)</f>
        <v>74.0656785503607</v>
      </c>
      <c r="O425" s="47" t="n">
        <f aca="false">I425*Assumptions!$B$12/12*(1+Assumptions!$B$11)^(INT(A425/12)+1)*J425</f>
        <v>0.448246037526044</v>
      </c>
      <c r="P425" s="47" t="n">
        <f aca="false">O425+Pricing_M!$B$13*M425+N425-Pricing_M!$B$13*K425</f>
        <v>74.5139245878868</v>
      </c>
      <c r="Q425" s="47" t="n">
        <f aca="false">IF(C425&lt;Assumptions!$B$5,Pricing_M!$B$13*K425-Pricing_M!$B$13*M425-O425,-(N425+O425))</f>
        <v>-74.5139245878868</v>
      </c>
      <c r="R425" s="32" t="n">
        <f aca="false">R424*(1-(1-(1-MIN(1,E424*(1-Assumptions!$B$21)))^(1/12)))*(1-H424)</f>
        <v>0.136790742162305</v>
      </c>
      <c r="S425" s="47" t="n">
        <f aca="false">R425*(IF(C425&lt;Assumptions!$B$5,Assumptions!$B$12*(1+Assumptions!$B$11)^(INT(A425/12)+1)/12+Pricing_M!$B$13*IF(A425=0,Assumptions!$B$14*12,IF(A425&gt;=12,Assumptions!$B$15,0))-Pricing_M!$B$13,Assumptions!$B$9/12*(1+Assumptions!$B$10)^INT(A425/12)+Assumptions!$B$12*(1+Assumptions!$B$11)^(INT(A425/12)+1)/12))*J425</f>
        <v>120.388806754532</v>
      </c>
      <c r="T425" s="32" t="n">
        <f aca="false">T424*(1-F424)*(1-(1-(1-MIN(1,G424*(1+Assumptions!$B$23)))^(1/12)))</f>
        <v>0.0766969608420035</v>
      </c>
      <c r="U425" s="47" t="n">
        <f aca="false">T425*(IF(C425&lt;Assumptions!$B$5,Assumptions!$B$12*(1+Assumptions!$B$11)^(INT(A425/12)+1)/12+Pricing_M!$B$13*IF(A425=0,Assumptions!$B$14*12,IF(A425&gt;=12,Assumptions!$B$15,0))-Pricing_M!$B$13,Assumptions!$B$9/12*(1+Assumptions!$B$10)^INT(A425/12)+Assumptions!$B$12*(1+Assumptions!$B$11)^(INT(A425/12)+1)/12))*J425</f>
        <v>67.5005885011734</v>
      </c>
      <c r="V425" s="32" t="n">
        <f aca="false">V424*(1-F424)*(1-(1-(1-MIN(1,G424*(1-Assumptions!$B$23)))^(1/12)))</f>
        <v>0.093376858450995</v>
      </c>
      <c r="W425" s="47" t="n">
        <f aca="false">V425*(IF(C425&lt;Assumptions!$B$5,Assumptions!$B$12*(1+Assumptions!$B$11)^(INT(A425/12)+1)/12+Pricing_M!$B$13*IF(A425=0,Assumptions!$B$14*12,IF(A425&gt;=12,Assumptions!$B$15,0))-Pricing_M!$B$13,Assumptions!$B$9/12*(1+Assumptions!$B$10)^INT(A425/12)+Assumptions!$B$12*(1+Assumptions!$B$11)^(INT(A425/12)+1)/12))*J425</f>
        <v>82.1804779307639</v>
      </c>
      <c r="X425" s="47" t="n">
        <f aca="false">I425*(IF(C425&lt;Assumptions!$B$5,Assumptions!$B$12*(1+Assumptions!$B$11)*(1+Assumptions!$B$24)*(1+Assumptions!$B$11+Assumptions!$B$25)^(INT(A425/12))/12+Pricing_M!$B$13*IF(A425=0,Assumptions!$B$14*12,IF(A425&gt;=12,Assumptions!$B$15,0))-Pricing_M!$B$13,Assumptions!$B$9/12*(1+Assumptions!$B$10)^INT(A425/12)+Assumptions!$B$12*(1+Assumptions!$B$11)*(1+Assumptions!$B$24)*(1+Assumptions!$B$11+Assumptions!$B$25)^(INT(A425/12))/12))*J425</f>
        <v>74.7515924661693</v>
      </c>
    </row>
    <row r="426" customFormat="false" ht="15" hidden="false" customHeight="true" outlineLevel="0" collapsed="false">
      <c r="A426" s="1" t="n">
        <v>419</v>
      </c>
      <c r="B426" s="31" t="n">
        <f aca="false">Assumptions!$B$4+A426/12</f>
        <v>99.9166666666667</v>
      </c>
      <c r="C426" s="34" t="n">
        <f aca="false">Assumptions!$B$4+INT(A426/12)</f>
        <v>99</v>
      </c>
      <c r="D426" s="34" t="n">
        <f aca="false">INT(A426/12)+1</f>
        <v>35</v>
      </c>
      <c r="E426" s="32" t="n">
        <f aca="false">IFERROR(INDEX(Cohort_Survival!$G$5:$G$65,MATCH(C426,Cohort_Survival!$A$5:$A$65,0)),1)</f>
        <v>0.198070084054699</v>
      </c>
      <c r="F426" s="30" t="n">
        <f aca="false">1-(1-MIN(1,E426))^(1/12)</f>
        <v>0.0182263587865592</v>
      </c>
      <c r="G426" s="39" t="n">
        <f aca="false">IF(C426&lt;Assumptions!$B$5,IF(D426=1,Assumptions!$B$16,IF(D426=2,Assumptions!$B$17,IF(D426&lt;=5,Assumptions!$B$18,Assumptions!$B$19)))*(1-Assumptions!$B$20),0)</f>
        <v>0</v>
      </c>
      <c r="H426" s="30" t="n">
        <f aca="false">1-(1-G426)^(1/12)</f>
        <v>0</v>
      </c>
      <c r="I426" s="30" t="n">
        <f aca="false">I425*(1-F425)*(1-H425)</f>
        <v>0.0831226541030278</v>
      </c>
      <c r="J426" s="30" t="n">
        <f aca="false">INDEX(Discount_Monthly!$G$4:$G$664,MATCH(A426,Discount_Monthly!$A$4:$A$664,0))</f>
        <v>0.333735977390656</v>
      </c>
      <c r="K426" s="30" t="n">
        <f aca="false">IF(C426&lt;Assumptions!$B$5,I426*J426,0)</f>
        <v>0</v>
      </c>
      <c r="L426" s="30" t="n">
        <f aca="false">IF(C426&lt;Assumptions!$B$5,I426*(1-F426)*H426*A426*J426,0)</f>
        <v>0</v>
      </c>
      <c r="M426" s="30" t="n">
        <f aca="false">IF(A426=0,Assumptions!$B$14*12*I426*J426,IF(AND(A426&gt;=12,C426&lt;Assumptions!$B$5),Assumptions!$B$15*I426*J426,0))</f>
        <v>0</v>
      </c>
      <c r="N426" s="47" t="n">
        <f aca="false">IF(C426&gt;=Assumptions!$B$5,I426*Assumptions!$B$9/12*(1+Assumptions!$B$10)^INT(A426/12)*J426,0)</f>
        <v>72.5215379071057</v>
      </c>
      <c r="O426" s="47" t="n">
        <f aca="false">I426*Assumptions!$B$12/12*(1+Assumptions!$B$11)^(INT(A426/12)+1)*J426</f>
        <v>0.438900886866938</v>
      </c>
      <c r="P426" s="47" t="n">
        <f aca="false">O426+Pricing_M!$B$13*M426+N426-Pricing_M!$B$13*K426</f>
        <v>72.9604387939726</v>
      </c>
      <c r="Q426" s="47" t="n">
        <f aca="false">IF(C426&lt;Assumptions!$B$5,Pricing_M!$B$13*K426-Pricing_M!$B$13*M426-O426,-(N426+O426))</f>
        <v>-72.9604387939726</v>
      </c>
      <c r="R426" s="32" t="n">
        <f aca="false">R425*(1-(1-(1-MIN(1,E425*(1-Assumptions!$B$21)))^(1/12)))*(1-H425)</f>
        <v>0.134838249342332</v>
      </c>
      <c r="S426" s="47" t="n">
        <f aca="false">R426*(IF(C426&lt;Assumptions!$B$5,Assumptions!$B$12*(1+Assumptions!$B$11)^(INT(A426/12)+1)/12+Pricing_M!$B$13*IF(A426=0,Assumptions!$B$14*12,IF(A426&gt;=12,Assumptions!$B$15,0))-Pricing_M!$B$13,Assumptions!$B$9/12*(1+Assumptions!$B$10)^INT(A426/12)+Assumptions!$B$12*(1+Assumptions!$B$11)^(INT(A426/12)+1)/12))*J426</f>
        <v>118.353509574345</v>
      </c>
      <c r="T426" s="32" t="n">
        <f aca="false">T425*(1-F425)*(1-(1-(1-MIN(1,G425*(1+Assumptions!$B$23)))^(1/12)))</f>
        <v>0.0752990545158585</v>
      </c>
      <c r="U426" s="47" t="n">
        <f aca="false">T426*(IF(C426&lt;Assumptions!$B$5,Assumptions!$B$12*(1+Assumptions!$B$11)^(INT(A426/12)+1)/12+Pricing_M!$B$13*IF(A426=0,Assumptions!$B$14*12,IF(A426&gt;=12,Assumptions!$B$15,0))-Pricing_M!$B$13,Assumptions!$B$9/12*(1+Assumptions!$B$10)^INT(A426/12)+Assumptions!$B$12*(1+Assumptions!$B$11)^(INT(A426/12)+1)/12))*J426</f>
        <v>66.0933185728027</v>
      </c>
      <c r="V426" s="32" t="n">
        <f aca="false">V425*(1-F425)*(1-(1-(1-MIN(1,G425*(1-Assumptions!$B$23)))^(1/12)))</f>
        <v>0.0916749383265054</v>
      </c>
      <c r="W426" s="47" t="n">
        <f aca="false">V426*(IF(C426&lt;Assumptions!$B$5,Assumptions!$B$12*(1+Assumptions!$B$11)^(INT(A426/12)+1)/12+Pricing_M!$B$13*IF(A426=0,Assumptions!$B$14*12,IF(A426&gt;=12,Assumptions!$B$15,0))-Pricing_M!$B$13,Assumptions!$B$9/12*(1+Assumptions!$B$10)^INT(A426/12)+Assumptions!$B$12*(1+Assumptions!$B$11)^(INT(A426/12)+1)/12))*J426</f>
        <v>80.4671578270571</v>
      </c>
      <c r="X426" s="47" t="n">
        <f aca="false">I426*(IF(C426&lt;Assumptions!$B$5,Assumptions!$B$12*(1+Assumptions!$B$11)*(1+Assumptions!$B$24)*(1+Assumptions!$B$11+Assumptions!$B$25)^(INT(A426/12))/12+Pricing_M!$B$13*IF(A426=0,Assumptions!$B$14*12,IF(A426&gt;=12,Assumptions!$B$15,0))-Pricing_M!$B$13,Assumptions!$B$9/12*(1+Assumptions!$B$10)^INT(A426/12)+Assumptions!$B$12*(1+Assumptions!$B$11)*(1+Assumptions!$B$24)*(1+Assumptions!$B$11+Assumptions!$B$25)^(INT(A426/12))/12))*J426</f>
        <v>73.1931517101508</v>
      </c>
    </row>
    <row r="427" customFormat="false" ht="15" hidden="false" customHeight="true" outlineLevel="0" collapsed="false">
      <c r="A427" s="1" t="n">
        <v>420</v>
      </c>
      <c r="B427" s="31" t="n">
        <f aca="false">Assumptions!$B$4+A427/12</f>
        <v>100</v>
      </c>
      <c r="C427" s="34" t="n">
        <f aca="false">Assumptions!$B$4+INT(A427/12)</f>
        <v>100</v>
      </c>
      <c r="D427" s="34" t="n">
        <f aca="false">INT(A427/12)+1</f>
        <v>36</v>
      </c>
      <c r="E427" s="32" t="n">
        <f aca="false">IFERROR(INDEX(Cohort_Survival!$G$5:$G$65,MATCH(C427,Cohort_Survival!$A$5:$A$65,0)),1)</f>
        <v>0.208678498082548</v>
      </c>
      <c r="F427" s="30" t="n">
        <f aca="false">1-(1-MIN(1,E427))^(1/12)</f>
        <v>0.0193152681401899</v>
      </c>
      <c r="G427" s="39" t="n">
        <f aca="false">IF(C427&lt;Assumptions!$B$5,IF(D427=1,Assumptions!$B$16,IF(D427=2,Assumptions!$B$17,IF(D427&lt;=5,Assumptions!$B$18,Assumptions!$B$19)))*(1-Assumptions!$B$20),0)</f>
        <v>0</v>
      </c>
      <c r="H427" s="30" t="n">
        <f aca="false">1-(1-G427)^(1/12)</f>
        <v>0</v>
      </c>
      <c r="I427" s="30" t="n">
        <f aca="false">I426*(1-F426)*(1-H426)</f>
        <v>0.081607630786055</v>
      </c>
      <c r="J427" s="30" t="n">
        <f aca="false">INDEX(Discount_Monthly!$G$4:$G$664,MATCH(A427,Discount_Monthly!$A$4:$A$664,0))</f>
        <v>0.332844709518926</v>
      </c>
      <c r="K427" s="30" t="n">
        <f aca="false">IF(C427&lt;Assumptions!$B$5,I427*J427,0)</f>
        <v>0</v>
      </c>
      <c r="L427" s="30" t="n">
        <f aca="false">IF(C427&lt;Assumptions!$B$5,I427*(1-F427)*H427*A427*J427,0)</f>
        <v>0</v>
      </c>
      <c r="M427" s="30" t="n">
        <f aca="false">IF(A427=0,Assumptions!$B$14*12*I427*J427,IF(AND(A427&gt;=12,C427&lt;Assumptions!$B$5),Assumptions!$B$15*I427*J427,0))</f>
        <v>0</v>
      </c>
      <c r="N427" s="47" t="n">
        <f aca="false">IF(C427&gt;=Assumptions!$B$5,I427*Assumptions!$B$9/12*(1+Assumptions!$B$10)^INT(A427/12)*J427,0)</f>
        <v>72.4297817101937</v>
      </c>
      <c r="O427" s="47" t="n">
        <f aca="false">I427*Assumptions!$B$12/12*(1+Assumptions!$B$11)^(INT(A427/12)+1)*J427</f>
        <v>0.440494330512464</v>
      </c>
      <c r="P427" s="47" t="n">
        <f aca="false">O427+Pricing_M!$B$13*M427+N427-Pricing_M!$B$13*K427</f>
        <v>72.8702760407062</v>
      </c>
      <c r="Q427" s="47" t="n">
        <f aca="false">IF(C427&lt;Assumptions!$B$5,Pricing_M!$B$13*K427-Pricing_M!$B$13*M427-O427,-(N427+O427))</f>
        <v>-72.8702760407062</v>
      </c>
      <c r="R427" s="32" t="n">
        <f aca="false">R426*(1-(1-(1-MIN(1,E426*(1-Assumptions!$B$21)))^(1/12)))*(1-H426)</f>
        <v>0.132913625573669</v>
      </c>
      <c r="S427" s="47" t="n">
        <f aca="false">R427*(IF(C427&lt;Assumptions!$B$5,Assumptions!$B$12*(1+Assumptions!$B$11)^(INT(A427/12)+1)/12+Pricing_M!$B$13*IF(A427=0,Assumptions!$B$14*12,IF(A427&gt;=12,Assumptions!$B$15,0))-Pricing_M!$B$13,Assumptions!$B$9/12*(1+Assumptions!$B$10)^INT(A427/12)+Assumptions!$B$12*(1+Assumptions!$B$11)^(INT(A427/12)+1)/12))*J427</f>
        <v>118.683173274764</v>
      </c>
      <c r="T427" s="32" t="n">
        <f aca="false">T426*(1-F426)*(1-(1-(1-MIN(1,G426*(1+Assumptions!$B$23)))^(1/12)))</f>
        <v>0.0739266269319638</v>
      </c>
      <c r="U427" s="47" t="n">
        <f aca="false">T427*(IF(C427&lt;Assumptions!$B$5,Assumptions!$B$12*(1+Assumptions!$B$11)^(INT(A427/12)+1)/12+Pricing_M!$B$13*IF(A427=0,Assumptions!$B$14*12,IF(A427&gt;=12,Assumptions!$B$15,0))-Pricing_M!$B$13,Assumptions!$B$9/12*(1+Assumptions!$B$10)^INT(A427/12)+Assumptions!$B$12*(1+Assumptions!$B$11)^(INT(A427/12)+1)/12))*J427</f>
        <v>66.0116420413352</v>
      </c>
      <c r="V427" s="32" t="n">
        <f aca="false">V426*(1-F426)*(1-(1-(1-MIN(1,G426*(1-Assumptions!$B$23)))^(1/12)))</f>
        <v>0.0900040380088309</v>
      </c>
      <c r="W427" s="47" t="n">
        <f aca="false">V427*(IF(C427&lt;Assumptions!$B$5,Assumptions!$B$12*(1+Assumptions!$B$11)^(INT(A427/12)+1)/12+Pricing_M!$B$13*IF(A427=0,Assumptions!$B$14*12,IF(A427&gt;=12,Assumptions!$B$15,0))-Pricing_M!$B$13,Assumptions!$B$9/12*(1+Assumptions!$B$10)^INT(A427/12)+Assumptions!$B$12*(1+Assumptions!$B$11)^(INT(A427/12)+1)/12))*J427</f>
        <v>80.3677184511824</v>
      </c>
      <c r="X427" s="47" t="n">
        <f aca="false">I427*(IF(C427&lt;Assumptions!$B$5,Assumptions!$B$12*(1+Assumptions!$B$11)*(1+Assumptions!$B$24)*(1+Assumptions!$B$11+Assumptions!$B$25)^(INT(A427/12))/12+Pricing_M!$B$13*IF(A427=0,Assumptions!$B$14*12,IF(A427&gt;=12,Assumptions!$B$15,0))-Pricing_M!$B$13,Assumptions!$B$9/12*(1+Assumptions!$B$10)^INT(A427/12)+Assumptions!$B$12*(1+Assumptions!$B$11)*(1+Assumptions!$B$24)*(1+Assumptions!$B$11+Assumptions!$B$25)^(INT(A427/12))/12))*J427</f>
        <v>73.1104099467644</v>
      </c>
    </row>
    <row r="428" customFormat="false" ht="15" hidden="false" customHeight="true" outlineLevel="0" collapsed="false">
      <c r="A428" s="1" t="n">
        <v>421</v>
      </c>
      <c r="B428" s="31" t="n">
        <f aca="false">Assumptions!$B$4+A428/12</f>
        <v>100.083333333333</v>
      </c>
      <c r="C428" s="34" t="n">
        <f aca="false">Assumptions!$B$4+INT(A428/12)</f>
        <v>100</v>
      </c>
      <c r="D428" s="34" t="n">
        <f aca="false">INT(A428/12)+1</f>
        <v>36</v>
      </c>
      <c r="E428" s="32" t="n">
        <f aca="false">IFERROR(INDEX(Cohort_Survival!$G$5:$G$65,MATCH(C428,Cohort_Survival!$A$5:$A$65,0)),1)</f>
        <v>0.208678498082548</v>
      </c>
      <c r="F428" s="30" t="n">
        <f aca="false">1-(1-MIN(1,E428))^(1/12)</f>
        <v>0.0193152681401899</v>
      </c>
      <c r="G428" s="39" t="n">
        <f aca="false">IF(C428&lt;Assumptions!$B$5,IF(D428=1,Assumptions!$B$16,IF(D428=2,Assumptions!$B$17,IF(D428&lt;=5,Assumptions!$B$18,Assumptions!$B$19)))*(1-Assumptions!$B$20),0)</f>
        <v>0</v>
      </c>
      <c r="H428" s="30" t="n">
        <f aca="false">1-(1-G428)^(1/12)</f>
        <v>0</v>
      </c>
      <c r="I428" s="30" t="n">
        <f aca="false">I427*(1-F427)*(1-H427)</f>
        <v>0.0800313575151367</v>
      </c>
      <c r="J428" s="30" t="n">
        <f aca="false">INDEX(Discount_Monthly!$G$4:$G$664,MATCH(A428,Discount_Monthly!$A$4:$A$664,0))</f>
        <v>0.331964400433261</v>
      </c>
      <c r="K428" s="30" t="n">
        <f aca="false">IF(C428&lt;Assumptions!$B$5,I428*J428,0)</f>
        <v>0</v>
      </c>
      <c r="L428" s="30" t="n">
        <f aca="false">IF(C428&lt;Assumptions!$B$5,I428*(1-F428)*H428*A428*J428,0)</f>
        <v>0</v>
      </c>
      <c r="M428" s="30" t="n">
        <f aca="false">IF(A428=0,Assumptions!$B$14*12*I428*J428,IF(AND(A428&gt;=12,C428&lt;Assumptions!$B$5),Assumptions!$B$15*I428*J428,0))</f>
        <v>0</v>
      </c>
      <c r="N428" s="47" t="n">
        <f aca="false">IF(C428&gt;=Assumptions!$B$5,I428*Assumptions!$B$9/12*(1+Assumptions!$B$10)^INT(A428/12)*J428,0)</f>
        <v>70.8429185470658</v>
      </c>
      <c r="O428" s="47" t="n">
        <f aca="false">I428*Assumptions!$B$12/12*(1+Assumptions!$B$11)^(INT(A428/12)+1)*J428</f>
        <v>0.430843545846927</v>
      </c>
      <c r="P428" s="47" t="n">
        <f aca="false">O428+Pricing_M!$B$13*M428+N428-Pricing_M!$B$13*K428</f>
        <v>71.2737620929127</v>
      </c>
      <c r="Q428" s="47" t="n">
        <f aca="false">IF(C428&lt;Assumptions!$B$5,Pricing_M!$B$13*K428-Pricing_M!$B$13*M428-O428,-(N428+O428))</f>
        <v>-71.2737620929127</v>
      </c>
      <c r="R428" s="32" t="n">
        <f aca="false">R427*(1-(1-(1-MIN(1,E427*(1-Assumptions!$B$21)))^(1/12)))*(1-H427)</f>
        <v>0.130905855515045</v>
      </c>
      <c r="S428" s="47" t="n">
        <f aca="false">R428*(IF(C428&lt;Assumptions!$B$5,Assumptions!$B$12*(1+Assumptions!$B$11)^(INT(A428/12)+1)/12+Pricing_M!$B$13*IF(A428=0,Assumptions!$B$14*12,IF(A428&gt;=12,Assumptions!$B$15,0))-Pricing_M!$B$13,Assumptions!$B$9/12*(1+Assumptions!$B$10)^INT(A428/12)+Assumptions!$B$12*(1+Assumptions!$B$11)^(INT(A428/12)+1)/12))*J428</f>
        <v>116.581213817145</v>
      </c>
      <c r="T428" s="32" t="n">
        <f aca="false">T427*(1-F427)*(1-(1-(1-MIN(1,G427*(1+Assumptions!$B$23)))^(1/12)))</f>
        <v>0.0724987143100731</v>
      </c>
      <c r="U428" s="47" t="n">
        <f aca="false">T428*(IF(C428&lt;Assumptions!$B$5,Assumptions!$B$12*(1+Assumptions!$B$11)^(INT(A428/12)+1)/12+Pricing_M!$B$13*IF(A428=0,Assumptions!$B$14*12,IF(A428&gt;=12,Assumptions!$B$15,0))-Pricing_M!$B$13,Assumptions!$B$9/12*(1+Assumptions!$B$10)^INT(A428/12)+Assumptions!$B$12*(1+Assumptions!$B$11)^(INT(A428/12)+1)/12))*J428</f>
        <v>64.5653938183029</v>
      </c>
      <c r="V428" s="32" t="n">
        <f aca="false">V427*(1-F427)*(1-(1-(1-MIN(1,G427*(1-Assumptions!$B$23)))^(1/12)))</f>
        <v>0.0882655858809904</v>
      </c>
      <c r="W428" s="47" t="n">
        <f aca="false">V428*(IF(C428&lt;Assumptions!$B$5,Assumptions!$B$12*(1+Assumptions!$B$11)^(INT(A428/12)+1)/12+Pricing_M!$B$13*IF(A428=0,Assumptions!$B$14*12,IF(A428&gt;=12,Assumptions!$B$15,0))-Pricing_M!$B$13,Assumptions!$B$9/12*(1+Assumptions!$B$10)^INT(A428/12)+Assumptions!$B$12*(1+Assumptions!$B$11)^(INT(A428/12)+1)/12))*J428</f>
        <v>78.6069431333014</v>
      </c>
      <c r="X428" s="47" t="n">
        <f aca="false">I428*(IF(C428&lt;Assumptions!$B$5,Assumptions!$B$12*(1+Assumptions!$B$11)*(1+Assumptions!$B$24)*(1+Assumptions!$B$11+Assumptions!$B$25)^(INT(A428/12))/12+Pricing_M!$B$13*IF(A428=0,Assumptions!$B$14*12,IF(A428&gt;=12,Assumptions!$B$15,0))-Pricing_M!$B$13,Assumptions!$B$9/12*(1+Assumptions!$B$10)^INT(A428/12)+Assumptions!$B$12*(1+Assumptions!$B$11)*(1+Assumptions!$B$24)*(1+Assumptions!$B$11+Assumptions!$B$25)^(INT(A428/12))/12))*J428</f>
        <v>71.5086349082877</v>
      </c>
    </row>
    <row r="429" customFormat="false" ht="15" hidden="false" customHeight="true" outlineLevel="0" collapsed="false">
      <c r="A429" s="1" t="n">
        <v>422</v>
      </c>
      <c r="B429" s="31" t="n">
        <f aca="false">Assumptions!$B$4+A429/12</f>
        <v>100.166666666667</v>
      </c>
      <c r="C429" s="34" t="n">
        <f aca="false">Assumptions!$B$4+INT(A429/12)</f>
        <v>100</v>
      </c>
      <c r="D429" s="34" t="n">
        <f aca="false">INT(A429/12)+1</f>
        <v>36</v>
      </c>
      <c r="E429" s="32" t="n">
        <f aca="false">IFERROR(INDEX(Cohort_Survival!$G$5:$G$65,MATCH(C429,Cohort_Survival!$A$5:$A$65,0)),1)</f>
        <v>0.208678498082548</v>
      </c>
      <c r="F429" s="30" t="n">
        <f aca="false">1-(1-MIN(1,E429))^(1/12)</f>
        <v>0.0193152681401899</v>
      </c>
      <c r="G429" s="39" t="n">
        <f aca="false">IF(C429&lt;Assumptions!$B$5,IF(D429=1,Assumptions!$B$16,IF(D429=2,Assumptions!$B$17,IF(D429&lt;=5,Assumptions!$B$18,Assumptions!$B$19)))*(1-Assumptions!$B$20),0)</f>
        <v>0</v>
      </c>
      <c r="H429" s="30" t="n">
        <f aca="false">1-(1-G429)^(1/12)</f>
        <v>0</v>
      </c>
      <c r="I429" s="30" t="n">
        <f aca="false">I428*(1-F428)*(1-H428)</f>
        <v>0.0784855303851084</v>
      </c>
      <c r="J429" s="30" t="n">
        <f aca="false">INDEX(Discount_Monthly!$G$4:$G$664,MATCH(A429,Discount_Monthly!$A$4:$A$664,0))</f>
        <v>0.331086419592762</v>
      </c>
      <c r="K429" s="30" t="n">
        <f aca="false">IF(C429&lt;Assumptions!$B$5,I429*J429,0)</f>
        <v>0</v>
      </c>
      <c r="L429" s="30" t="n">
        <f aca="false">IF(C429&lt;Assumptions!$B$5,I429*(1-F429)*H429*A429*J429,0)</f>
        <v>0</v>
      </c>
      <c r="M429" s="30" t="n">
        <f aca="false">IF(A429=0,Assumptions!$B$14*12*I429*J429,IF(AND(A429&gt;=12,C429&lt;Assumptions!$B$5),Assumptions!$B$15*I429*J429,0))</f>
        <v>0</v>
      </c>
      <c r="N429" s="47" t="n">
        <f aca="false">IF(C429&gt;=Assumptions!$B$5,I429*Assumptions!$B$9/12*(1+Assumptions!$B$10)^INT(A429/12)*J429,0)</f>
        <v>69.290821948727</v>
      </c>
      <c r="O429" s="47" t="n">
        <f aca="false">I429*Assumptions!$B$12/12*(1+Assumptions!$B$11)^(INT(A429/12)+1)*J429</f>
        <v>0.421404200099463</v>
      </c>
      <c r="P429" s="47" t="n">
        <f aca="false">O429+Pricing_M!$B$13*M429+N429-Pricing_M!$B$13*K429</f>
        <v>69.7122261488265</v>
      </c>
      <c r="Q429" s="47" t="n">
        <f aca="false">IF(C429&lt;Assumptions!$B$5,Pricing_M!$B$13*K429-Pricing_M!$B$13*M429-O429,-(N429+O429))</f>
        <v>-69.7122261488265</v>
      </c>
      <c r="R429" s="32" t="n">
        <f aca="false">R428*(1-(1-(1-MIN(1,E428*(1-Assumptions!$B$21)))^(1/12)))*(1-H428)</f>
        <v>0.128928414480935</v>
      </c>
      <c r="S429" s="47" t="n">
        <f aca="false">R429*(IF(C429&lt;Assumptions!$B$5,Assumptions!$B$12*(1+Assumptions!$B$11)^(INT(A429/12)+1)/12+Pricing_M!$B$13*IF(A429=0,Assumptions!$B$14*12,IF(A429&gt;=12,Assumptions!$B$15,0))-Pricing_M!$B$13,Assumptions!$B$9/12*(1+Assumptions!$B$10)^INT(A429/12)+Assumptions!$B$12*(1+Assumptions!$B$11)^(INT(A429/12)+1)/12))*J429</f>
        <v>114.516481486502</v>
      </c>
      <c r="T429" s="32" t="n">
        <f aca="false">T428*(1-F428)*(1-(1-(1-MIN(1,G428*(1+Assumptions!$B$23)))^(1/12)))</f>
        <v>0.071098382203355</v>
      </c>
      <c r="U429" s="47" t="n">
        <f aca="false">T429*(IF(C429&lt;Assumptions!$B$5,Assumptions!$B$12*(1+Assumptions!$B$11)^(INT(A429/12)+1)/12+Pricing_M!$B$13*IF(A429=0,Assumptions!$B$14*12,IF(A429&gt;=12,Assumptions!$B$15,0))-Pricing_M!$B$13,Assumptions!$B$9/12*(1+Assumptions!$B$10)^INT(A429/12)+Assumptions!$B$12*(1+Assumptions!$B$11)^(INT(A429/12)+1)/12))*J429</f>
        <v>63.1508314291318</v>
      </c>
      <c r="V429" s="32" t="n">
        <f aca="false">V428*(1-F428)*(1-(1-(1-MIN(1,G428*(1-Assumptions!$B$23)))^(1/12)))</f>
        <v>0.0865607124221482</v>
      </c>
      <c r="W429" s="47" t="n">
        <f aca="false">V429*(IF(C429&lt;Assumptions!$B$5,Assumptions!$B$12*(1+Assumptions!$B$11)^(INT(A429/12)+1)/12+Pricing_M!$B$13*IF(A429=0,Assumptions!$B$14*12,IF(A429&gt;=12,Assumptions!$B$15,0))-Pricing_M!$B$13,Assumptions!$B$9/12*(1+Assumptions!$B$10)^INT(A429/12)+Assumptions!$B$12*(1+Assumptions!$B$11)^(INT(A429/12)+1)/12))*J429</f>
        <v>76.8847446193885</v>
      </c>
      <c r="X429" s="47" t="n">
        <f aca="false">I429*(IF(C429&lt;Assumptions!$B$5,Assumptions!$B$12*(1+Assumptions!$B$11)*(1+Assumptions!$B$24)*(1+Assumptions!$B$11+Assumptions!$B$25)^(INT(A429/12))/12+Pricing_M!$B$13*IF(A429=0,Assumptions!$B$14*12,IF(A429&gt;=12,Assumptions!$B$15,0))-Pricing_M!$B$13,Assumptions!$B$9/12*(1+Assumptions!$B$10)^INT(A429/12)+Assumptions!$B$12*(1+Assumptions!$B$11)*(1+Assumptions!$B$24)*(1+Assumptions!$B$11+Assumptions!$B$25)^(INT(A429/12))/12))*J429</f>
        <v>69.9419531386869</v>
      </c>
    </row>
    <row r="430" customFormat="false" ht="15" hidden="false" customHeight="true" outlineLevel="0" collapsed="false">
      <c r="A430" s="1" t="n">
        <v>423</v>
      </c>
      <c r="B430" s="31" t="n">
        <f aca="false">Assumptions!$B$4+A430/12</f>
        <v>100.25</v>
      </c>
      <c r="C430" s="34" t="n">
        <f aca="false">Assumptions!$B$4+INT(A430/12)</f>
        <v>100</v>
      </c>
      <c r="D430" s="34" t="n">
        <f aca="false">INT(A430/12)+1</f>
        <v>36</v>
      </c>
      <c r="E430" s="32" t="n">
        <f aca="false">IFERROR(INDEX(Cohort_Survival!$G$5:$G$65,MATCH(C430,Cohort_Survival!$A$5:$A$65,0)),1)</f>
        <v>0.208678498082548</v>
      </c>
      <c r="F430" s="30" t="n">
        <f aca="false">1-(1-MIN(1,E430))^(1/12)</f>
        <v>0.0193152681401899</v>
      </c>
      <c r="G430" s="39" t="n">
        <f aca="false">IF(C430&lt;Assumptions!$B$5,IF(D430=1,Assumptions!$B$16,IF(D430=2,Assumptions!$B$17,IF(D430&lt;=5,Assumptions!$B$18,Assumptions!$B$19)))*(1-Assumptions!$B$20),0)</f>
        <v>0</v>
      </c>
      <c r="H430" s="30" t="n">
        <f aca="false">1-(1-G430)^(1/12)</f>
        <v>0</v>
      </c>
      <c r="I430" s="30" t="n">
        <f aca="false">I429*(1-F429)*(1-H429)</f>
        <v>0.0769695613205951</v>
      </c>
      <c r="J430" s="30" t="n">
        <f aca="false">INDEX(Discount_Monthly!$G$4:$G$664,MATCH(A430,Discount_Monthly!$A$4:$A$664,0))</f>
        <v>0.330210760839677</v>
      </c>
      <c r="K430" s="30" t="n">
        <f aca="false">IF(C430&lt;Assumptions!$B$5,I430*J430,0)</f>
        <v>0</v>
      </c>
      <c r="L430" s="30" t="n">
        <f aca="false">IF(C430&lt;Assumptions!$B$5,I430*(1-F430)*H430*A430*J430,0)</f>
        <v>0</v>
      </c>
      <c r="M430" s="30" t="n">
        <f aca="false">IF(A430=0,Assumptions!$B$14*12*I430*J430,IF(AND(A430&gt;=12,C430&lt;Assumptions!$B$5),Assumptions!$B$15*I430*J430,0))</f>
        <v>0</v>
      </c>
      <c r="N430" s="47" t="n">
        <f aca="false">IF(C430&gt;=Assumptions!$B$5,I430*Assumptions!$B$9/12*(1+Assumptions!$B$10)^INT(A430/12)*J430,0)</f>
        <v>67.7727302149531</v>
      </c>
      <c r="O430" s="47" t="n">
        <f aca="false">I430*Assumptions!$B$12/12*(1+Assumptions!$B$11)^(INT(A430/12)+1)*J430</f>
        <v>0.412171660857513</v>
      </c>
      <c r="P430" s="47" t="n">
        <f aca="false">O430+Pricing_M!$B$13*M430+N430-Pricing_M!$B$13*K430</f>
        <v>68.1849018758106</v>
      </c>
      <c r="Q430" s="47" t="n">
        <f aca="false">IF(C430&lt;Assumptions!$B$5,Pricing_M!$B$13*K430-Pricing_M!$B$13*M430-O430,-(N430+O430))</f>
        <v>-68.1849018758106</v>
      </c>
      <c r="R430" s="32" t="n">
        <f aca="false">R429*(1-(1-(1-MIN(1,E429*(1-Assumptions!$B$21)))^(1/12)))*(1-H429)</f>
        <v>0.126980844326382</v>
      </c>
      <c r="S430" s="47" t="n">
        <f aca="false">R430*(IF(C430&lt;Assumptions!$B$5,Assumptions!$B$12*(1+Assumptions!$B$11)^(INT(A430/12)+1)/12+Pricing_M!$B$13*IF(A430=0,Assumptions!$B$14*12,IF(A430&gt;=12,Assumptions!$B$15,0))-Pricing_M!$B$13,Assumptions!$B$9/12*(1+Assumptions!$B$10)^INT(A430/12)+Assumptions!$B$12*(1+Assumptions!$B$11)^(INT(A430/12)+1)/12))*J430</f>
        <v>112.48831696518</v>
      </c>
      <c r="T430" s="32" t="n">
        <f aca="false">T429*(1-F429)*(1-(1-(1-MIN(1,G429*(1+Assumptions!$B$23)))^(1/12)))</f>
        <v>0.0697250978867635</v>
      </c>
      <c r="U430" s="47" t="n">
        <f aca="false">T430*(IF(C430&lt;Assumptions!$B$5,Assumptions!$B$12*(1+Assumptions!$B$11)^(INT(A430/12)+1)/12+Pricing_M!$B$13*IF(A430=0,Assumptions!$B$14*12,IF(A430&gt;=12,Assumptions!$B$15,0))-Pricing_M!$B$13,Assumptions!$B$9/12*(1+Assumptions!$B$10)^INT(A430/12)+Assumptions!$B$12*(1+Assumptions!$B$11)^(INT(A430/12)+1)/12))*J430</f>
        <v>61.7672606692922</v>
      </c>
      <c r="V430" s="32" t="n">
        <f aca="false">V429*(1-F429)*(1-(1-(1-MIN(1,G429*(1-Assumptions!$B$23)))^(1/12)))</f>
        <v>0.0848887690513085</v>
      </c>
      <c r="W430" s="47" t="n">
        <f aca="false">V430*(IF(C430&lt;Assumptions!$B$5,Assumptions!$B$12*(1+Assumptions!$B$11)^(INT(A430/12)+1)/12+Pricing_M!$B$13*IF(A430=0,Assumptions!$B$14*12,IF(A430&gt;=12,Assumptions!$B$15,0))-Pricing_M!$B$13,Assumptions!$B$9/12*(1+Assumptions!$B$10)^INT(A430/12)+Assumptions!$B$12*(1+Assumptions!$B$11)^(INT(A430/12)+1)/12))*J430</f>
        <v>75.200277730738</v>
      </c>
      <c r="X430" s="47" t="n">
        <f aca="false">I430*(IF(C430&lt;Assumptions!$B$5,Assumptions!$B$12*(1+Assumptions!$B$11)*(1+Assumptions!$B$24)*(1+Assumptions!$B$11+Assumptions!$B$25)^(INT(A430/12))/12+Pricing_M!$B$13*IF(A430=0,Assumptions!$B$14*12,IF(A430&gt;=12,Assumptions!$B$15,0))-Pricing_M!$B$13,Assumptions!$B$9/12*(1+Assumptions!$B$10)^INT(A430/12)+Assumptions!$B$12*(1+Assumptions!$B$11)*(1+Assumptions!$B$24)*(1+Assumptions!$B$11+Assumptions!$B$25)^(INT(A430/12))/12))*J430</f>
        <v>68.4095957799821</v>
      </c>
    </row>
    <row r="431" customFormat="false" ht="15" hidden="false" customHeight="true" outlineLevel="0" collapsed="false">
      <c r="A431" s="1" t="n">
        <v>424</v>
      </c>
      <c r="B431" s="31" t="n">
        <f aca="false">Assumptions!$B$4+A431/12</f>
        <v>100.333333333333</v>
      </c>
      <c r="C431" s="34" t="n">
        <f aca="false">Assumptions!$B$4+INT(A431/12)</f>
        <v>100</v>
      </c>
      <c r="D431" s="34" t="n">
        <f aca="false">INT(A431/12)+1</f>
        <v>36</v>
      </c>
      <c r="E431" s="32" t="n">
        <f aca="false">IFERROR(INDEX(Cohort_Survival!$G$5:$G$65,MATCH(C431,Cohort_Survival!$A$5:$A$65,0)),1)</f>
        <v>0.208678498082548</v>
      </c>
      <c r="F431" s="30" t="n">
        <f aca="false">1-(1-MIN(1,E431))^(1/12)</f>
        <v>0.0193152681401899</v>
      </c>
      <c r="G431" s="39" t="n">
        <f aca="false">IF(C431&lt;Assumptions!$B$5,IF(D431=1,Assumptions!$B$16,IF(D431=2,Assumptions!$B$17,IF(D431&lt;=5,Assumptions!$B$18,Assumptions!$B$19)))*(1-Assumptions!$B$20),0)</f>
        <v>0</v>
      </c>
      <c r="H431" s="30" t="n">
        <f aca="false">1-(1-G431)^(1/12)</f>
        <v>0</v>
      </c>
      <c r="I431" s="30" t="n">
        <f aca="false">I430*(1-F430)*(1-H430)</f>
        <v>0.075482873605055</v>
      </c>
      <c r="J431" s="30" t="n">
        <f aca="false">INDEX(Discount_Monthly!$G$4:$G$664,MATCH(A431,Discount_Monthly!$A$4:$A$664,0))</f>
        <v>0.329337418032541</v>
      </c>
      <c r="K431" s="30" t="n">
        <f aca="false">IF(C431&lt;Assumptions!$B$5,I431*J431,0)</f>
        <v>0</v>
      </c>
      <c r="L431" s="30" t="n">
        <f aca="false">IF(C431&lt;Assumptions!$B$5,I431*(1-F431)*H431*A431*J431,0)</f>
        <v>0</v>
      </c>
      <c r="M431" s="30" t="n">
        <f aca="false">IF(A431=0,Assumptions!$B$14*12*I431*J431,IF(AND(A431&gt;=12,C431&lt;Assumptions!$B$5),Assumptions!$B$15*I431*J431,0))</f>
        <v>0</v>
      </c>
      <c r="N431" s="47" t="n">
        <f aca="false">IF(C431&gt;=Assumptions!$B$5,I431*Assumptions!$B$9/12*(1+Assumptions!$B$10)^INT(A431/12)*J431,0)</f>
        <v>66.2878983336003</v>
      </c>
      <c r="O431" s="47" t="n">
        <f aca="false">I431*Assumptions!$B$12/12*(1+Assumptions!$B$11)^(INT(A431/12)+1)*J431</f>
        <v>0.403141397199987</v>
      </c>
      <c r="P431" s="47" t="n">
        <f aca="false">O431+Pricing_M!$B$13*M431+N431-Pricing_M!$B$13*K431</f>
        <v>66.6910397308003</v>
      </c>
      <c r="Q431" s="47" t="n">
        <f aca="false">IF(C431&lt;Assumptions!$B$5,Pricing_M!$B$13*K431-Pricing_M!$B$13*M431-O431,-(N431+O431))</f>
        <v>-66.6910397308003</v>
      </c>
      <c r="R431" s="32" t="n">
        <f aca="false">R430*(1-(1-(1-MIN(1,E430*(1-Assumptions!$B$21)))^(1/12)))*(1-H430)</f>
        <v>0.125062693827086</v>
      </c>
      <c r="S431" s="47" t="n">
        <f aca="false">R431*(IF(C431&lt;Assumptions!$B$5,Assumptions!$B$12*(1+Assumptions!$B$11)^(INT(A431/12)+1)/12+Pricing_M!$B$13*IF(A431=0,Assumptions!$B$14*12,IF(A431&gt;=12,Assumptions!$B$15,0))-Pricing_M!$B$13,Assumptions!$B$9/12*(1+Assumptions!$B$10)^INT(A431/12)+Assumptions!$B$12*(1+Assumptions!$B$11)^(INT(A431/12)+1)/12))*J431</f>
        <v>110.496072612484</v>
      </c>
      <c r="T431" s="32" t="n">
        <f aca="false">T430*(1-F430)*(1-(1-(1-MIN(1,G430*(1+Assumptions!$B$23)))^(1/12)))</f>
        <v>0.0683783389249797</v>
      </c>
      <c r="U431" s="47" t="n">
        <f aca="false">T431*(IF(C431&lt;Assumptions!$B$5,Assumptions!$B$12*(1+Assumptions!$B$11)^(INT(A431/12)+1)/12+Pricing_M!$B$13*IF(A431=0,Assumptions!$B$14*12,IF(A431&gt;=12,Assumptions!$B$15,0))-Pricing_M!$B$13,Assumptions!$B$9/12*(1+Assumptions!$B$10)^INT(A431/12)+Assumptions!$B$12*(1+Assumptions!$B$11)^(INT(A431/12)+1)/12))*J431</f>
        <v>60.4140025435725</v>
      </c>
      <c r="V431" s="32" t="n">
        <f aca="false">V430*(1-F430)*(1-(1-(1-MIN(1,G430*(1-Assumptions!$B$23)))^(1/12)))</f>
        <v>0.0832491197149918</v>
      </c>
      <c r="W431" s="47" t="n">
        <f aca="false">V431*(IF(C431&lt;Assumptions!$B$5,Assumptions!$B$12*(1+Assumptions!$B$11)^(INT(A431/12)+1)/12+Pricing_M!$B$13*IF(A431=0,Assumptions!$B$14*12,IF(A431&gt;=12,Assumptions!$B$15,0))-Pricing_M!$B$13,Assumptions!$B$9/12*(1+Assumptions!$B$10)^INT(A431/12)+Assumptions!$B$12*(1+Assumptions!$B$11)^(INT(A431/12)+1)/12))*J431</f>
        <v>73.5527158056535</v>
      </c>
      <c r="X431" s="47" t="n">
        <f aca="false">I431*(IF(C431&lt;Assumptions!$B$5,Assumptions!$B$12*(1+Assumptions!$B$11)*(1+Assumptions!$B$24)*(1+Assumptions!$B$11+Assumptions!$B$25)^(INT(A431/12))/12+Pricing_M!$B$13*IF(A431=0,Assumptions!$B$14*12,IF(A431&gt;=12,Assumptions!$B$15,0))-Pricing_M!$B$13,Assumptions!$B$9/12*(1+Assumptions!$B$10)^INT(A431/12)+Assumptions!$B$12*(1+Assumptions!$B$11)*(1+Assumptions!$B$24)*(1+Assumptions!$B$11+Assumptions!$B$25)^(INT(A431/12))/12))*J431</f>
        <v>66.9108108190928</v>
      </c>
    </row>
    <row r="432" customFormat="false" ht="15" hidden="false" customHeight="true" outlineLevel="0" collapsed="false">
      <c r="A432" s="1" t="n">
        <v>425</v>
      </c>
      <c r="B432" s="31" t="n">
        <f aca="false">Assumptions!$B$4+A432/12</f>
        <v>100.416666666667</v>
      </c>
      <c r="C432" s="34" t="n">
        <f aca="false">Assumptions!$B$4+INT(A432/12)</f>
        <v>100</v>
      </c>
      <c r="D432" s="34" t="n">
        <f aca="false">INT(A432/12)+1</f>
        <v>36</v>
      </c>
      <c r="E432" s="32" t="n">
        <f aca="false">IFERROR(INDEX(Cohort_Survival!$G$5:$G$65,MATCH(C432,Cohort_Survival!$A$5:$A$65,0)),1)</f>
        <v>0.208678498082548</v>
      </c>
      <c r="F432" s="30" t="n">
        <f aca="false">1-(1-MIN(1,E432))^(1/12)</f>
        <v>0.0193152681401899</v>
      </c>
      <c r="G432" s="39" t="n">
        <f aca="false">IF(C432&lt;Assumptions!$B$5,IF(D432=1,Assumptions!$B$16,IF(D432=2,Assumptions!$B$17,IF(D432&lt;=5,Assumptions!$B$18,Assumptions!$B$19)))*(1-Assumptions!$B$20),0)</f>
        <v>0</v>
      </c>
      <c r="H432" s="30" t="n">
        <f aca="false">1-(1-G432)^(1/12)</f>
        <v>0</v>
      </c>
      <c r="I432" s="30" t="n">
        <f aca="false">I431*(1-F431)*(1-H431)</f>
        <v>0.0740249016613813</v>
      </c>
      <c r="J432" s="30" t="n">
        <f aca="false">INDEX(Discount_Monthly!$G$4:$G$664,MATCH(A432,Discount_Monthly!$A$4:$A$664,0))</f>
        <v>0.328466385046128</v>
      </c>
      <c r="K432" s="30" t="n">
        <f aca="false">IF(C432&lt;Assumptions!$B$5,I432*J432,0)</f>
        <v>0</v>
      </c>
      <c r="L432" s="30" t="n">
        <f aca="false">IF(C432&lt;Assumptions!$B$5,I432*(1-F432)*H432*A432*J432,0)</f>
        <v>0</v>
      </c>
      <c r="M432" s="30" t="n">
        <f aca="false">IF(A432=0,Assumptions!$B$14*12*I432*J432,IF(AND(A432&gt;=12,C432&lt;Assumptions!$B$5),Assumptions!$B$15*I432*J432,0))</f>
        <v>0</v>
      </c>
      <c r="N432" s="47" t="n">
        <f aca="false">IF(C432&gt;=Assumptions!$B$5,I432*Assumptions!$B$9/12*(1+Assumptions!$B$10)^INT(A432/12)*J432,0)</f>
        <v>64.8355976149865</v>
      </c>
      <c r="O432" s="47" t="n">
        <f aca="false">I432*Assumptions!$B$12/12*(1+Assumptions!$B$11)^(INT(A432/12)+1)*J432</f>
        <v>0.394308977473689</v>
      </c>
      <c r="P432" s="47" t="n">
        <f aca="false">O432+Pricing_M!$B$13*M432+N432-Pricing_M!$B$13*K432</f>
        <v>65.2299065924602</v>
      </c>
      <c r="Q432" s="47" t="n">
        <f aca="false">IF(C432&lt;Assumptions!$B$5,Pricing_M!$B$13*K432-Pricing_M!$B$13*M432-O432,-(N432+O432))</f>
        <v>-65.2299065924602</v>
      </c>
      <c r="R432" s="32" t="n">
        <f aca="false">R431*(1-(1-(1-MIN(1,E431*(1-Assumptions!$B$21)))^(1/12)))*(1-H431)</f>
        <v>0.123173518574864</v>
      </c>
      <c r="S432" s="47" t="n">
        <f aca="false">R432*(IF(C432&lt;Assumptions!$B$5,Assumptions!$B$12*(1+Assumptions!$B$11)^(INT(A432/12)+1)/12+Pricing_M!$B$13*IF(A432=0,Assumptions!$B$14*12,IF(A432&gt;=12,Assumptions!$B$15,0))-Pricing_M!$B$13,Assumptions!$B$9/12*(1+Assumptions!$B$10)^INT(A432/12)+Assumptions!$B$12*(1+Assumptions!$B$11)^(INT(A432/12)+1)/12))*J432</f>
        <v>108.539112257878</v>
      </c>
      <c r="T432" s="32" t="n">
        <f aca="false">T431*(1-F431)*(1-(1-(1-MIN(1,G431*(1+Assumptions!$B$23)))^(1/12)))</f>
        <v>0.0670575929736629</v>
      </c>
      <c r="U432" s="47" t="n">
        <f aca="false">T432*(IF(C432&lt;Assumptions!$B$5,Assumptions!$B$12*(1+Assumptions!$B$11)^(INT(A432/12)+1)/12+Pricing_M!$B$13*IF(A432=0,Assumptions!$B$14*12,IF(A432&gt;=12,Assumptions!$B$15,0))-Pricing_M!$B$13,Assumptions!$B$9/12*(1+Assumptions!$B$10)^INT(A432/12)+Assumptions!$B$12*(1+Assumptions!$B$11)^(INT(A432/12)+1)/12))*J432</f>
        <v>59.0903929328587</v>
      </c>
      <c r="V432" s="32" t="n">
        <f aca="false">V431*(1-F431)*(1-(1-(1-MIN(1,G431*(1-Assumptions!$B$23)))^(1/12)))</f>
        <v>0.081641140645262</v>
      </c>
      <c r="W432" s="47" t="n">
        <f aca="false">V432*(IF(C432&lt;Assumptions!$B$5,Assumptions!$B$12*(1+Assumptions!$B$11)^(INT(A432/12)+1)/12+Pricing_M!$B$13*IF(A432=0,Assumptions!$B$14*12,IF(A432&gt;=12,Assumptions!$B$15,0))-Pricing_M!$B$13,Assumptions!$B$9/12*(1+Assumptions!$B$10)^INT(A432/12)+Assumptions!$B$12*(1+Assumptions!$B$11)^(INT(A432/12)+1)/12))*J432</f>
        <v>71.9412502937592</v>
      </c>
      <c r="X432" s="47" t="n">
        <f aca="false">I432*(IF(C432&lt;Assumptions!$B$5,Assumptions!$B$12*(1+Assumptions!$B$11)*(1+Assumptions!$B$24)*(1+Assumptions!$B$11+Assumptions!$B$25)^(INT(A432/12))/12+Pricing_M!$B$13*IF(A432=0,Assumptions!$B$14*12,IF(A432&gt;=12,Assumptions!$B$15,0))-Pricing_M!$B$13,Assumptions!$B$9/12*(1+Assumptions!$B$10)^INT(A432/12)+Assumptions!$B$12*(1+Assumptions!$B$11)*(1+Assumptions!$B$24)*(1+Assumptions!$B$11+Assumptions!$B$25)^(INT(A432/12))/12))*J432</f>
        <v>65.444862718784</v>
      </c>
    </row>
    <row r="433" customFormat="false" ht="15" hidden="false" customHeight="true" outlineLevel="0" collapsed="false">
      <c r="A433" s="1" t="n">
        <v>426</v>
      </c>
      <c r="B433" s="31" t="n">
        <f aca="false">Assumptions!$B$4+A433/12</f>
        <v>100.5</v>
      </c>
      <c r="C433" s="34" t="n">
        <f aca="false">Assumptions!$B$4+INT(A433/12)</f>
        <v>100</v>
      </c>
      <c r="D433" s="34" t="n">
        <f aca="false">INT(A433/12)+1</f>
        <v>36</v>
      </c>
      <c r="E433" s="32" t="n">
        <f aca="false">IFERROR(INDEX(Cohort_Survival!$G$5:$G$65,MATCH(C433,Cohort_Survival!$A$5:$A$65,0)),1)</f>
        <v>0.208678498082548</v>
      </c>
      <c r="F433" s="30" t="n">
        <f aca="false">1-(1-MIN(1,E433))^(1/12)</f>
        <v>0.0193152681401899</v>
      </c>
      <c r="G433" s="39" t="n">
        <f aca="false">IF(C433&lt;Assumptions!$B$5,IF(D433=1,Assumptions!$B$16,IF(D433=2,Assumptions!$B$17,IF(D433&lt;=5,Assumptions!$B$18,Assumptions!$B$19)))*(1-Assumptions!$B$20),0)</f>
        <v>0</v>
      </c>
      <c r="H433" s="30" t="n">
        <f aca="false">1-(1-G433)^(1/12)</f>
        <v>0</v>
      </c>
      <c r="I433" s="30" t="n">
        <f aca="false">I432*(1-F432)*(1-H432)</f>
        <v>0.0725950908367405</v>
      </c>
      <c r="J433" s="30" t="n">
        <f aca="false">INDEX(Discount_Monthly!$G$4:$G$664,MATCH(A433,Discount_Monthly!$A$4:$A$664,0))</f>
        <v>0.327597655771417</v>
      </c>
      <c r="K433" s="30" t="n">
        <f aca="false">IF(C433&lt;Assumptions!$B$5,I433*J433,0)</f>
        <v>0</v>
      </c>
      <c r="L433" s="30" t="n">
        <f aca="false">IF(C433&lt;Assumptions!$B$5,I433*(1-F433)*H433*A433*J433,0)</f>
        <v>0</v>
      </c>
      <c r="M433" s="30" t="n">
        <f aca="false">IF(A433=0,Assumptions!$B$14*12*I433*J433,IF(AND(A433&gt;=12,C433&lt;Assumptions!$B$5),Assumptions!$B$15*I433*J433,0))</f>
        <v>0</v>
      </c>
      <c r="N433" s="47" t="n">
        <f aca="false">IF(C433&gt;=Assumptions!$B$5,I433*Assumptions!$B$9/12*(1+Assumptions!$B$10)^INT(A433/12)*J433,0)</f>
        <v>63.4151153342822</v>
      </c>
      <c r="O433" s="47" t="n">
        <f aca="false">I433*Assumptions!$B$12/12*(1+Assumptions!$B$11)^(INT(A433/12)+1)*J433</f>
        <v>0.385670067118454</v>
      </c>
      <c r="P433" s="47" t="n">
        <f aca="false">O433+Pricing_M!$B$13*M433+N433-Pricing_M!$B$13*K433</f>
        <v>63.8007854014007</v>
      </c>
      <c r="Q433" s="47" t="n">
        <f aca="false">IF(C433&lt;Assumptions!$B$5,Pricing_M!$B$13*K433-Pricing_M!$B$13*M433-O433,-(N433+O433))</f>
        <v>-63.8007854014007</v>
      </c>
      <c r="R433" s="32" t="n">
        <f aca="false">R432*(1-(1-(1-MIN(1,E432*(1-Assumptions!$B$21)))^(1/12)))*(1-H432)</f>
        <v>0.121312880874683</v>
      </c>
      <c r="S433" s="47" t="n">
        <f aca="false">R433*(IF(C433&lt;Assumptions!$B$5,Assumptions!$B$12*(1+Assumptions!$B$11)^(INT(A433/12)+1)/12+Pricing_M!$B$13*IF(A433=0,Assumptions!$B$14*12,IF(A433&gt;=12,Assumptions!$B$15,0))-Pricing_M!$B$13,Assumptions!$B$9/12*(1+Assumptions!$B$10)^INT(A433/12)+Assumptions!$B$12*(1+Assumptions!$B$11)^(INT(A433/12)+1)/12))*J433</f>
        <v>106.616810997834</v>
      </c>
      <c r="T433" s="32" t="n">
        <f aca="false">T432*(1-F432)*(1-(1-(1-MIN(1,G432*(1+Assumptions!$B$23)))^(1/12)))</f>
        <v>0.0657623575845409</v>
      </c>
      <c r="U433" s="47" t="n">
        <f aca="false">T433*(IF(C433&lt;Assumptions!$B$5,Assumptions!$B$12*(1+Assumptions!$B$11)^(INT(A433/12)+1)/12+Pricing_M!$B$13*IF(A433=0,Assumptions!$B$14*12,IF(A433&gt;=12,Assumptions!$B$15,0))-Pricing_M!$B$13,Assumptions!$B$9/12*(1+Assumptions!$B$10)^INT(A433/12)+Assumptions!$B$12*(1+Assumptions!$B$11)^(INT(A433/12)+1)/12))*J433</f>
        <v>57.7957822682139</v>
      </c>
      <c r="V433" s="32" t="n">
        <f aca="false">V432*(1-F432)*(1-(1-(1-MIN(1,G432*(1-Assumptions!$B$23)))^(1/12)))</f>
        <v>0.0800642201224278</v>
      </c>
      <c r="W433" s="47" t="n">
        <f aca="false">V433*(IF(C433&lt;Assumptions!$B$5,Assumptions!$B$12*(1+Assumptions!$B$11)^(INT(A433/12)+1)/12+Pricing_M!$B$13*IF(A433=0,Assumptions!$B$14*12,IF(A433&gt;=12,Assumptions!$B$15,0))-Pricing_M!$B$13,Assumptions!$B$9/12*(1+Assumptions!$B$10)^INT(A433/12)+Assumptions!$B$12*(1+Assumptions!$B$11)^(INT(A433/12)+1)/12))*J433</f>
        <v>70.3650903591992</v>
      </c>
      <c r="X433" s="47" t="n">
        <f aca="false">I433*(IF(C433&lt;Assumptions!$B$5,Assumptions!$B$12*(1+Assumptions!$B$11)*(1+Assumptions!$B$24)*(1+Assumptions!$B$11+Assumptions!$B$25)^(INT(A433/12))/12+Pricing_M!$B$13*IF(A433=0,Assumptions!$B$14*12,IF(A433&gt;=12,Assumptions!$B$15,0))-Pricing_M!$B$13,Assumptions!$B$9/12*(1+Assumptions!$B$10)^INT(A433/12)+Assumptions!$B$12*(1+Assumptions!$B$11)*(1+Assumptions!$B$24)*(1+Assumptions!$B$11+Assumptions!$B$25)^(INT(A433/12))/12))*J433</f>
        <v>64.0110320566962</v>
      </c>
    </row>
    <row r="434" customFormat="false" ht="15" hidden="false" customHeight="true" outlineLevel="0" collapsed="false">
      <c r="A434" s="1" t="n">
        <v>427</v>
      </c>
      <c r="B434" s="31" t="n">
        <f aca="false">Assumptions!$B$4+A434/12</f>
        <v>100.583333333333</v>
      </c>
      <c r="C434" s="34" t="n">
        <f aca="false">Assumptions!$B$4+INT(A434/12)</f>
        <v>100</v>
      </c>
      <c r="D434" s="34" t="n">
        <f aca="false">INT(A434/12)+1</f>
        <v>36</v>
      </c>
      <c r="E434" s="32" t="n">
        <f aca="false">IFERROR(INDEX(Cohort_Survival!$G$5:$G$65,MATCH(C434,Cohort_Survival!$A$5:$A$65,0)),1)</f>
        <v>0.208678498082548</v>
      </c>
      <c r="F434" s="30" t="n">
        <f aca="false">1-(1-MIN(1,E434))^(1/12)</f>
        <v>0.0193152681401899</v>
      </c>
      <c r="G434" s="39" t="n">
        <f aca="false">IF(C434&lt;Assumptions!$B$5,IF(D434=1,Assumptions!$B$16,IF(D434=2,Assumptions!$B$17,IF(D434&lt;=5,Assumptions!$B$18,Assumptions!$B$19)))*(1-Assumptions!$B$20),0)</f>
        <v>0</v>
      </c>
      <c r="H434" s="30" t="n">
        <f aca="false">1-(1-G434)^(1/12)</f>
        <v>0</v>
      </c>
      <c r="I434" s="30" t="n">
        <f aca="false">I433*(1-F433)*(1-H433)</f>
        <v>0.0711928971915674</v>
      </c>
      <c r="J434" s="30" t="n">
        <f aca="false">INDEX(Discount_Monthly!$G$4:$G$664,MATCH(A434,Discount_Monthly!$A$4:$A$664,0))</f>
        <v>0.32673122411554</v>
      </c>
      <c r="K434" s="30" t="n">
        <f aca="false">IF(C434&lt;Assumptions!$B$5,I434*J434,0)</f>
        <v>0</v>
      </c>
      <c r="L434" s="30" t="n">
        <f aca="false">IF(C434&lt;Assumptions!$B$5,I434*(1-F434)*H434*A434*J434,0)</f>
        <v>0</v>
      </c>
      <c r="M434" s="30" t="n">
        <f aca="false">IF(A434=0,Assumptions!$B$14*12*I434*J434,IF(AND(A434&gt;=12,C434&lt;Assumptions!$B$5),Assumptions!$B$15*I434*J434,0))</f>
        <v>0</v>
      </c>
      <c r="N434" s="47" t="n">
        <f aca="false">IF(C434&gt;=Assumptions!$B$5,I434*Assumptions!$B$9/12*(1+Assumptions!$B$10)^INT(A434/12)*J434,0)</f>
        <v>62.0257543817375</v>
      </c>
      <c r="O434" s="47" t="n">
        <f aca="false">I434*Assumptions!$B$12/12*(1+Assumptions!$B$11)^(INT(A434/12)+1)*J434</f>
        <v>0.37722042653994</v>
      </c>
      <c r="P434" s="47" t="n">
        <f aca="false">O434+Pricing_M!$B$13*M434+N434-Pricing_M!$B$13*K434</f>
        <v>62.4029748082774</v>
      </c>
      <c r="Q434" s="47" t="n">
        <f aca="false">IF(C434&lt;Assumptions!$B$5,Pricing_M!$B$13*K434-Pricing_M!$B$13*M434-O434,-(N434+O434))</f>
        <v>-62.4029748082774</v>
      </c>
      <c r="R434" s="32" t="n">
        <f aca="false">R433*(1-(1-(1-MIN(1,E433*(1-Assumptions!$B$21)))^(1/12)))*(1-H433)</f>
        <v>0.119480349643259</v>
      </c>
      <c r="S434" s="47" t="n">
        <f aca="false">R434*(IF(C434&lt;Assumptions!$B$5,Assumptions!$B$12*(1+Assumptions!$B$11)^(INT(A434/12)+1)/12+Pricing_M!$B$13*IF(A434=0,Assumptions!$B$14*12,IF(A434&gt;=12,Assumptions!$B$15,0))-Pricing_M!$B$13,Assumptions!$B$9/12*(1+Assumptions!$B$10)^INT(A434/12)+Assumptions!$B$12*(1+Assumptions!$B$11)^(INT(A434/12)+1)/12))*J434</f>
        <v>104.728554996292</v>
      </c>
      <c r="T434" s="32" t="n">
        <f aca="false">T433*(1-F433)*(1-(1-(1-MIN(1,G433*(1+Assumptions!$B$23)))^(1/12)))</f>
        <v>0.0644921400142645</v>
      </c>
      <c r="U434" s="47" t="n">
        <f aca="false">T434*(IF(C434&lt;Assumptions!$B$5,Assumptions!$B$12*(1+Assumptions!$B$11)^(INT(A434/12)+1)/12+Pricing_M!$B$13*IF(A434=0,Assumptions!$B$14*12,IF(A434&gt;=12,Assumptions!$B$15,0))-Pricing_M!$B$13,Assumptions!$B$9/12*(1+Assumptions!$B$10)^INT(A434/12)+Assumptions!$B$12*(1+Assumptions!$B$11)^(INT(A434/12)+1)/12))*J434</f>
        <v>56.5295352120988</v>
      </c>
      <c r="V434" s="32" t="n">
        <f aca="false">V433*(1-F433)*(1-(1-(1-MIN(1,G433*(1-Assumptions!$B$23)))^(1/12)))</f>
        <v>0.0785177582423279</v>
      </c>
      <c r="W434" s="47" t="n">
        <f aca="false">V434*(IF(C434&lt;Assumptions!$B$5,Assumptions!$B$12*(1+Assumptions!$B$11)^(INT(A434/12)+1)/12+Pricing_M!$B$13*IF(A434=0,Assumptions!$B$14*12,IF(A434&gt;=12,Assumptions!$B$15,0))-Pricing_M!$B$13,Assumptions!$B$9/12*(1+Assumptions!$B$10)^INT(A434/12)+Assumptions!$B$12*(1+Assumptions!$B$11)^(INT(A434/12)+1)/12))*J434</f>
        <v>68.8234624925303</v>
      </c>
      <c r="X434" s="47" t="n">
        <f aca="false">I434*(IF(C434&lt;Assumptions!$B$5,Assumptions!$B$12*(1+Assumptions!$B$11)*(1+Assumptions!$B$24)*(1+Assumptions!$B$11+Assumptions!$B$25)^(INT(A434/12))/12+Pricing_M!$B$13*IF(A434=0,Assumptions!$B$14*12,IF(A434&gt;=12,Assumptions!$B$15,0))-Pricing_M!$B$13,Assumptions!$B$9/12*(1+Assumptions!$B$10)^INT(A434/12)+Assumptions!$B$12*(1+Assumptions!$B$11)*(1+Assumptions!$B$24)*(1+Assumptions!$B$11+Assumptions!$B$25)^(INT(A434/12))/12))*J434</f>
        <v>62.6086151722853</v>
      </c>
    </row>
    <row r="435" customFormat="false" ht="15" hidden="false" customHeight="true" outlineLevel="0" collapsed="false">
      <c r="A435" s="1" t="n">
        <v>428</v>
      </c>
      <c r="B435" s="31" t="n">
        <f aca="false">Assumptions!$B$4+A435/12</f>
        <v>100.666666666667</v>
      </c>
      <c r="C435" s="34" t="n">
        <f aca="false">Assumptions!$B$4+INT(A435/12)</f>
        <v>100</v>
      </c>
      <c r="D435" s="34" t="n">
        <f aca="false">INT(A435/12)+1</f>
        <v>36</v>
      </c>
      <c r="E435" s="32" t="n">
        <f aca="false">IFERROR(INDEX(Cohort_Survival!$G$5:$G$65,MATCH(C435,Cohort_Survival!$A$5:$A$65,0)),1)</f>
        <v>0.208678498082548</v>
      </c>
      <c r="F435" s="30" t="n">
        <f aca="false">1-(1-MIN(1,E435))^(1/12)</f>
        <v>0.0193152681401899</v>
      </c>
      <c r="G435" s="39" t="n">
        <f aca="false">IF(C435&lt;Assumptions!$B$5,IF(D435=1,Assumptions!$B$16,IF(D435=2,Assumptions!$B$17,IF(D435&lt;=5,Assumptions!$B$18,Assumptions!$B$19)))*(1-Assumptions!$B$20),0)</f>
        <v>0</v>
      </c>
      <c r="H435" s="30" t="n">
        <f aca="false">1-(1-G435)^(1/12)</f>
        <v>0</v>
      </c>
      <c r="I435" s="30" t="n">
        <f aca="false">I434*(1-F434)*(1-H434)</f>
        <v>0.0698177872926353</v>
      </c>
      <c r="J435" s="30" t="n">
        <f aca="false">INDEX(Discount_Monthly!$G$4:$G$664,MATCH(A435,Discount_Monthly!$A$4:$A$664,0))</f>
        <v>0.325867084001745</v>
      </c>
      <c r="K435" s="30" t="n">
        <f aca="false">IF(C435&lt;Assumptions!$B$5,I435*J435,0)</f>
        <v>0</v>
      </c>
      <c r="L435" s="30" t="n">
        <f aca="false">IF(C435&lt;Assumptions!$B$5,I435*(1-F435)*H435*A435*J435,0)</f>
        <v>0</v>
      </c>
      <c r="M435" s="30" t="n">
        <f aca="false">IF(A435=0,Assumptions!$B$14*12*I435*J435,IF(AND(A435&gt;=12,C435&lt;Assumptions!$B$5),Assumptions!$B$15*I435*J435,0))</f>
        <v>0</v>
      </c>
      <c r="N435" s="47" t="n">
        <f aca="false">IF(C435&gt;=Assumptions!$B$5,I435*Assumptions!$B$9/12*(1+Assumptions!$B$10)^INT(A435/12)*J435,0)</f>
        <v>60.6668329205708</v>
      </c>
      <c r="O435" s="47" t="n">
        <f aca="false">I435*Assumptions!$B$12/12*(1+Assumptions!$B$11)^(INT(A435/12)+1)*J435</f>
        <v>0.368955909029025</v>
      </c>
      <c r="P435" s="47" t="n">
        <f aca="false">O435+Pricing_M!$B$13*M435+N435-Pricing_M!$B$13*K435</f>
        <v>61.0357888295998</v>
      </c>
      <c r="Q435" s="47" t="n">
        <f aca="false">IF(C435&lt;Assumptions!$B$5,Pricing_M!$B$13*K435-Pricing_M!$B$13*M435-O435,-(N435+O435))</f>
        <v>-61.0357888295998</v>
      </c>
      <c r="R435" s="32" t="n">
        <f aca="false">R434*(1-(1-(1-MIN(1,E434*(1-Assumptions!$B$21)))^(1/12)))*(1-H434)</f>
        <v>0.117675500309172</v>
      </c>
      <c r="S435" s="47" t="n">
        <f aca="false">R435*(IF(C435&lt;Assumptions!$B$5,Assumptions!$B$12*(1+Assumptions!$B$11)^(INT(A435/12)+1)/12+Pricing_M!$B$13*IF(A435=0,Assumptions!$B$14*12,IF(A435&gt;=12,Assumptions!$B$15,0))-Pricing_M!$B$13,Assumptions!$B$9/12*(1+Assumptions!$B$10)^INT(A435/12)+Assumptions!$B$12*(1+Assumptions!$B$11)^(INT(A435/12)+1)/12))*J435</f>
        <v>102.873741288644</v>
      </c>
      <c r="T435" s="32" t="n">
        <f aca="false">T434*(1-F434)*(1-(1-(1-MIN(1,G434*(1+Assumptions!$B$23)))^(1/12)))</f>
        <v>0.0632464570369543</v>
      </c>
      <c r="U435" s="47" t="n">
        <f aca="false">T435*(IF(C435&lt;Assumptions!$B$5,Assumptions!$B$12*(1+Assumptions!$B$11)^(INT(A435/12)+1)/12+Pricing_M!$B$13*IF(A435=0,Assumptions!$B$14*12,IF(A435&gt;=12,Assumptions!$B$15,0))-Pricing_M!$B$13,Assumptions!$B$9/12*(1+Assumptions!$B$10)^INT(A435/12)+Assumptions!$B$12*(1+Assumptions!$B$11)^(INT(A435/12)+1)/12))*J435</f>
        <v>55.2910303465761</v>
      </c>
      <c r="V435" s="32" t="n">
        <f aca="false">V434*(1-F434)*(1-(1-(1-MIN(1,G434*(1-Assumptions!$B$23)))^(1/12)))</f>
        <v>0.0770011666881107</v>
      </c>
      <c r="W435" s="47" t="n">
        <f aca="false">V435*(IF(C435&lt;Assumptions!$B$5,Assumptions!$B$12*(1+Assumptions!$B$11)^(INT(A435/12)+1)/12+Pricing_M!$B$13*IF(A435=0,Assumptions!$B$14*12,IF(A435&gt;=12,Assumptions!$B$15,0))-Pricing_M!$B$13,Assumptions!$B$9/12*(1+Assumptions!$B$10)^INT(A435/12)+Assumptions!$B$12*(1+Assumptions!$B$11)^(INT(A435/12)+1)/12))*J435</f>
        <v>67.3156101311177</v>
      </c>
      <c r="X435" s="47" t="n">
        <f aca="false">I435*(IF(C435&lt;Assumptions!$B$5,Assumptions!$B$12*(1+Assumptions!$B$11)*(1+Assumptions!$B$24)*(1+Assumptions!$B$11+Assumptions!$B$25)^(INT(A435/12))/12+Pricing_M!$B$13*IF(A435=0,Assumptions!$B$14*12,IF(A435&gt;=12,Assumptions!$B$15,0))-Pricing_M!$B$13,Assumptions!$B$9/12*(1+Assumptions!$B$10)^INT(A435/12)+Assumptions!$B$12*(1+Assumptions!$B$11)*(1+Assumptions!$B$24)*(1+Assumptions!$B$11+Assumptions!$B$25)^(INT(A435/12))/12))*J435</f>
        <v>61.236923821497</v>
      </c>
    </row>
    <row r="436" customFormat="false" ht="15" hidden="false" customHeight="true" outlineLevel="0" collapsed="false">
      <c r="A436" s="1" t="n">
        <v>429</v>
      </c>
      <c r="B436" s="31" t="n">
        <f aca="false">Assumptions!$B$4+A436/12</f>
        <v>100.75</v>
      </c>
      <c r="C436" s="34" t="n">
        <f aca="false">Assumptions!$B$4+INT(A436/12)</f>
        <v>100</v>
      </c>
      <c r="D436" s="34" t="n">
        <f aca="false">INT(A436/12)+1</f>
        <v>36</v>
      </c>
      <c r="E436" s="32" t="n">
        <f aca="false">IFERROR(INDEX(Cohort_Survival!$G$5:$G$65,MATCH(C436,Cohort_Survival!$A$5:$A$65,0)),1)</f>
        <v>0.208678498082548</v>
      </c>
      <c r="F436" s="30" t="n">
        <f aca="false">1-(1-MIN(1,E436))^(1/12)</f>
        <v>0.0193152681401899</v>
      </c>
      <c r="G436" s="39" t="n">
        <f aca="false">IF(C436&lt;Assumptions!$B$5,IF(D436=1,Assumptions!$B$16,IF(D436=2,Assumptions!$B$17,IF(D436&lt;=5,Assumptions!$B$18,Assumptions!$B$19)))*(1-Assumptions!$B$20),0)</f>
        <v>0</v>
      </c>
      <c r="H436" s="30" t="n">
        <f aca="false">1-(1-G436)^(1/12)</f>
        <v>0</v>
      </c>
      <c r="I436" s="30" t="n">
        <f aca="false">I435*(1-F435)*(1-H435)</f>
        <v>0.0684692380101233</v>
      </c>
      <c r="J436" s="30" t="n">
        <f aca="false">INDEX(Discount_Monthly!$G$4:$G$664,MATCH(A436,Discount_Monthly!$A$4:$A$664,0))</f>
        <v>0.325005229369353</v>
      </c>
      <c r="K436" s="30" t="n">
        <f aca="false">IF(C436&lt;Assumptions!$B$5,I436*J436,0)</f>
        <v>0</v>
      </c>
      <c r="L436" s="30" t="n">
        <f aca="false">IF(C436&lt;Assumptions!$B$5,I436*(1-F436)*H436*A436*J436,0)</f>
        <v>0</v>
      </c>
      <c r="M436" s="30" t="n">
        <f aca="false">IF(A436=0,Assumptions!$B$14*12*I436*J436,IF(AND(A436&gt;=12,C436&lt;Assumptions!$B$5),Assumptions!$B$15*I436*J436,0))</f>
        <v>0</v>
      </c>
      <c r="N436" s="47" t="n">
        <f aca="false">IF(C436&gt;=Assumptions!$B$5,I436*Assumptions!$B$9/12*(1+Assumptions!$B$10)^INT(A436/12)*J436,0)</f>
        <v>59.337684052354</v>
      </c>
      <c r="O436" s="47" t="n">
        <f aca="false">I436*Assumptions!$B$12/12*(1+Assumptions!$B$11)^(INT(A436/12)+1)*J436</f>
        <v>0.360872458726783</v>
      </c>
      <c r="P436" s="47" t="n">
        <f aca="false">O436+Pricing_M!$B$13*M436+N436-Pricing_M!$B$13*K436</f>
        <v>59.6985565110808</v>
      </c>
      <c r="Q436" s="47" t="n">
        <f aca="false">IF(C436&lt;Assumptions!$B$5,Pricing_M!$B$13*K436-Pricing_M!$B$13*M436-O436,-(N436+O436))</f>
        <v>-59.6985565110808</v>
      </c>
      <c r="R436" s="32" t="n">
        <f aca="false">R435*(1-(1-(1-MIN(1,E435*(1-Assumptions!$B$21)))^(1/12)))*(1-H435)</f>
        <v>0.115897914714507</v>
      </c>
      <c r="S436" s="47" t="n">
        <f aca="false">R436*(IF(C436&lt;Assumptions!$B$5,Assumptions!$B$12*(1+Assumptions!$B$11)^(INT(A436/12)+1)/12+Pricing_M!$B$13*IF(A436=0,Assumptions!$B$14*12,IF(A436&gt;=12,Assumptions!$B$15,0))-Pricing_M!$B$13,Assumptions!$B$9/12*(1+Assumptions!$B$10)^INT(A436/12)+Assumptions!$B$12*(1+Assumptions!$B$11)^(INT(A436/12)+1)/12))*J436</f>
        <v>101.051777589192</v>
      </c>
      <c r="T436" s="32" t="n">
        <f aca="false">T435*(1-F435)*(1-(1-(1-MIN(1,G435*(1+Assumptions!$B$23)))^(1/12)))</f>
        <v>0.0620248347603685</v>
      </c>
      <c r="U436" s="47" t="n">
        <f aca="false">T436*(IF(C436&lt;Assumptions!$B$5,Assumptions!$B$12*(1+Assumptions!$B$11)^(INT(A436/12)+1)/12+Pricing_M!$B$13*IF(A436=0,Assumptions!$B$14*12,IF(A436&gt;=12,Assumptions!$B$15,0))-Pricing_M!$B$13,Assumptions!$B$9/12*(1+Assumptions!$B$10)^INT(A436/12)+Assumptions!$B$12*(1+Assumptions!$B$11)^(INT(A436/12)+1)/12))*J436</f>
        <v>54.0796598683461</v>
      </c>
      <c r="V436" s="32" t="n">
        <f aca="false">V435*(1-F435)*(1-(1-(1-MIN(1,G435*(1-Assumptions!$B$23)))^(1/12)))</f>
        <v>0.0755138685064224</v>
      </c>
      <c r="W436" s="47" t="n">
        <f aca="false">V436*(IF(C436&lt;Assumptions!$B$5,Assumptions!$B$12*(1+Assumptions!$B$11)^(INT(A436/12)+1)/12+Pricing_M!$B$13*IF(A436=0,Assumptions!$B$14*12,IF(A436&gt;=12,Assumptions!$B$15,0))-Pricing_M!$B$13,Assumptions!$B$9/12*(1+Assumptions!$B$10)^INT(A436/12)+Assumptions!$B$12*(1+Assumptions!$B$11)^(INT(A436/12)+1)/12))*J436</f>
        <v>65.8407932878478</v>
      </c>
      <c r="X436" s="47" t="n">
        <f aca="false">I436*(IF(C436&lt;Assumptions!$B$5,Assumptions!$B$12*(1+Assumptions!$B$11)*(1+Assumptions!$B$24)*(1+Assumptions!$B$11+Assumptions!$B$25)^(INT(A436/12))/12+Pricing_M!$B$13*IF(A436=0,Assumptions!$B$14*12,IF(A436&gt;=12,Assumptions!$B$15,0))-Pricing_M!$B$13,Assumptions!$B$9/12*(1+Assumptions!$B$10)^INT(A436/12)+Assumptions!$B$12*(1+Assumptions!$B$11)*(1+Assumptions!$B$24)*(1+Assumptions!$B$11+Assumptions!$B$25)^(INT(A436/12))/12))*J436</f>
        <v>59.8952848390075</v>
      </c>
    </row>
    <row r="437" customFormat="false" ht="15" hidden="false" customHeight="true" outlineLevel="0" collapsed="false">
      <c r="A437" s="1" t="n">
        <v>430</v>
      </c>
      <c r="B437" s="31" t="n">
        <f aca="false">Assumptions!$B$4+A437/12</f>
        <v>100.833333333333</v>
      </c>
      <c r="C437" s="34" t="n">
        <f aca="false">Assumptions!$B$4+INT(A437/12)</f>
        <v>100</v>
      </c>
      <c r="D437" s="34" t="n">
        <f aca="false">INT(A437/12)+1</f>
        <v>36</v>
      </c>
      <c r="E437" s="32" t="n">
        <f aca="false">IFERROR(INDEX(Cohort_Survival!$G$5:$G$65,MATCH(C437,Cohort_Survival!$A$5:$A$65,0)),1)</f>
        <v>0.208678498082548</v>
      </c>
      <c r="F437" s="30" t="n">
        <f aca="false">1-(1-MIN(1,E437))^(1/12)</f>
        <v>0.0193152681401899</v>
      </c>
      <c r="G437" s="39" t="n">
        <f aca="false">IF(C437&lt;Assumptions!$B$5,IF(D437=1,Assumptions!$B$16,IF(D437=2,Assumptions!$B$17,IF(D437&lt;=5,Assumptions!$B$18,Assumptions!$B$19)))*(1-Assumptions!$B$20),0)</f>
        <v>0</v>
      </c>
      <c r="H437" s="30" t="n">
        <f aca="false">1-(1-G437)^(1/12)</f>
        <v>0</v>
      </c>
      <c r="I437" s="30" t="n">
        <f aca="false">I436*(1-F436)*(1-H436)</f>
        <v>0.0671467363186033</v>
      </c>
      <c r="J437" s="30" t="n">
        <f aca="false">INDEX(Discount_Monthly!$G$4:$G$664,MATCH(A437,Discount_Monthly!$A$4:$A$664,0))</f>
        <v>0.324145654173712</v>
      </c>
      <c r="K437" s="30" t="n">
        <f aca="false">IF(C437&lt;Assumptions!$B$5,I437*J437,0)</f>
        <v>0</v>
      </c>
      <c r="L437" s="30" t="n">
        <f aca="false">IF(C437&lt;Assumptions!$B$5,I437*(1-F437)*H437*A437*J437,0)</f>
        <v>0</v>
      </c>
      <c r="M437" s="30" t="n">
        <f aca="false">IF(A437=0,Assumptions!$B$14*12*I437*J437,IF(AND(A437&gt;=12,C437&lt;Assumptions!$B$5),Assumptions!$B$15*I437*J437,0))</f>
        <v>0</v>
      </c>
      <c r="N437" s="47" t="n">
        <f aca="false">IF(C437&gt;=Assumptions!$B$5,I437*Assumptions!$B$9/12*(1+Assumptions!$B$10)^INT(A437/12)*J437,0)</f>
        <v>58.0376554897282</v>
      </c>
      <c r="O437" s="47" t="n">
        <f aca="false">I437*Assumptions!$B$12/12*(1+Assumptions!$B$11)^(INT(A437/12)+1)*J437</f>
        <v>0.352966108634051</v>
      </c>
      <c r="P437" s="47" t="n">
        <f aca="false">O437+Pricing_M!$B$13*M437+N437-Pricing_M!$B$13*K437</f>
        <v>58.3906215983622</v>
      </c>
      <c r="Q437" s="47" t="n">
        <f aca="false">IF(C437&lt;Assumptions!$B$5,Pricing_M!$B$13*K437-Pricing_M!$B$13*M437-O437,-(N437+O437))</f>
        <v>-58.3906215983622</v>
      </c>
      <c r="R437" s="32" t="n">
        <f aca="false">R436*(1-(1-(1-MIN(1,E436*(1-Assumptions!$B$21)))^(1/12)))*(1-H436)</f>
        <v>0.11414718101797</v>
      </c>
      <c r="S437" s="47" t="n">
        <f aca="false">R437*(IF(C437&lt;Assumptions!$B$5,Assumptions!$B$12*(1+Assumptions!$B$11)^(INT(A437/12)+1)/12+Pricing_M!$B$13*IF(A437=0,Assumptions!$B$14*12,IF(A437&gt;=12,Assumptions!$B$15,0))-Pricing_M!$B$13,Assumptions!$B$9/12*(1+Assumptions!$B$10)^INT(A437/12)+Assumptions!$B$12*(1+Assumptions!$B$11)^(INT(A437/12)+1)/12))*J437</f>
        <v>99.2620821020222</v>
      </c>
      <c r="T437" s="32" t="n">
        <f aca="false">T436*(1-F436)*(1-(1-(1-MIN(1,G436*(1+Assumptions!$B$23)))^(1/12)))</f>
        <v>0.060826808445621</v>
      </c>
      <c r="U437" s="47" t="n">
        <f aca="false">T437*(IF(C437&lt;Assumptions!$B$5,Assumptions!$B$12*(1+Assumptions!$B$11)^(INT(A437/12)+1)/12+Pricing_M!$B$13*IF(A437=0,Assumptions!$B$14*12,IF(A437&gt;=12,Assumptions!$B$15,0))-Pricing_M!$B$13,Assumptions!$B$9/12*(1+Assumptions!$B$10)^INT(A437/12)+Assumptions!$B$12*(1+Assumptions!$B$11)^(INT(A437/12)+1)/12))*J437</f>
        <v>52.894829290464</v>
      </c>
      <c r="V437" s="32" t="n">
        <f aca="false">V436*(1-F436)*(1-(1-(1-MIN(1,G436*(1-Assumptions!$B$23)))^(1/12)))</f>
        <v>0.0740552978879178</v>
      </c>
      <c r="W437" s="47" t="n">
        <f aca="false">V437*(IF(C437&lt;Assumptions!$B$5,Assumptions!$B$12*(1+Assumptions!$B$11)^(INT(A437/12)+1)/12+Pricing_M!$B$13*IF(A437=0,Assumptions!$B$14*12,IF(A437&gt;=12,Assumptions!$B$15,0))-Pricing_M!$B$13,Assumptions!$B$9/12*(1+Assumptions!$B$10)^INT(A437/12)+Assumptions!$B$12*(1+Assumptions!$B$11)^(INT(A437/12)+1)/12))*J437</f>
        <v>64.3982881879753</v>
      </c>
      <c r="X437" s="47" t="n">
        <f aca="false">I437*(IF(C437&lt;Assumptions!$B$5,Assumptions!$B$12*(1+Assumptions!$B$11)*(1+Assumptions!$B$24)*(1+Assumptions!$B$11+Assumptions!$B$25)^(INT(A437/12))/12+Pricing_M!$B$13*IF(A437=0,Assumptions!$B$14*12,IF(A437&gt;=12,Assumptions!$B$15,0))-Pricing_M!$B$13,Assumptions!$B$9/12*(1+Assumptions!$B$10)^INT(A437/12)+Assumptions!$B$12*(1+Assumptions!$B$11)*(1+Assumptions!$B$24)*(1+Assumptions!$B$11+Assumptions!$B$25)^(INT(A437/12))/12))*J437</f>
        <v>58.5830398078631</v>
      </c>
    </row>
    <row r="438" customFormat="false" ht="15" hidden="false" customHeight="true" outlineLevel="0" collapsed="false">
      <c r="A438" s="1" t="n">
        <v>431</v>
      </c>
      <c r="B438" s="31" t="n">
        <f aca="false">Assumptions!$B$4+A438/12</f>
        <v>100.916666666667</v>
      </c>
      <c r="C438" s="34" t="n">
        <f aca="false">Assumptions!$B$4+INT(A438/12)</f>
        <v>100</v>
      </c>
      <c r="D438" s="34" t="n">
        <f aca="false">INT(A438/12)+1</f>
        <v>36</v>
      </c>
      <c r="E438" s="32" t="n">
        <f aca="false">IFERROR(INDEX(Cohort_Survival!$G$5:$G$65,MATCH(C438,Cohort_Survival!$A$5:$A$65,0)),1)</f>
        <v>0.208678498082548</v>
      </c>
      <c r="F438" s="30" t="n">
        <f aca="false">1-(1-MIN(1,E438))^(1/12)</f>
        <v>0.0193152681401899</v>
      </c>
      <c r="G438" s="39" t="n">
        <f aca="false">IF(C438&lt;Assumptions!$B$5,IF(D438=1,Assumptions!$B$16,IF(D438=2,Assumptions!$B$17,IF(D438&lt;=5,Assumptions!$B$18,Assumptions!$B$19)))*(1-Assumptions!$B$20),0)</f>
        <v>0</v>
      </c>
      <c r="H438" s="30" t="n">
        <f aca="false">1-(1-G438)^(1/12)</f>
        <v>0</v>
      </c>
      <c r="I438" s="30" t="n">
        <f aca="false">I437*(1-F437)*(1-H437)</f>
        <v>0.0658497791018709</v>
      </c>
      <c r="J438" s="30" t="n">
        <f aca="false">INDEX(Discount_Monthly!$G$4:$G$664,MATCH(A438,Discount_Monthly!$A$4:$A$664,0))</f>
        <v>0.323288352386159</v>
      </c>
      <c r="K438" s="30" t="n">
        <f aca="false">IF(C438&lt;Assumptions!$B$5,I438*J438,0)</f>
        <v>0</v>
      </c>
      <c r="L438" s="30" t="n">
        <f aca="false">IF(C438&lt;Assumptions!$B$5,I438*(1-F438)*H438*A438*J438,0)</f>
        <v>0</v>
      </c>
      <c r="M438" s="30" t="n">
        <f aca="false">IF(A438=0,Assumptions!$B$14*12*I438*J438,IF(AND(A438&gt;=12,C438&lt;Assumptions!$B$5),Assumptions!$B$15*I438*J438,0))</f>
        <v>0</v>
      </c>
      <c r="N438" s="47" t="n">
        <f aca="false">IF(C438&gt;=Assumptions!$B$5,I438*Assumptions!$B$9/12*(1+Assumptions!$B$10)^INT(A438/12)*J438,0)</f>
        <v>56.7661092362898</v>
      </c>
      <c r="O438" s="47" t="n">
        <f aca="false">I438*Assumptions!$B$12/12*(1+Assumptions!$B$11)^(INT(A438/12)+1)*J438</f>
        <v>0.345232978664599</v>
      </c>
      <c r="P438" s="47" t="n">
        <f aca="false">O438+Pricing_M!$B$13*M438+N438-Pricing_M!$B$13*K438</f>
        <v>57.1113422149544</v>
      </c>
      <c r="Q438" s="47" t="n">
        <f aca="false">IF(C438&lt;Assumptions!$B$5,Pricing_M!$B$13*K438-Pricing_M!$B$13*M438-O438,-(N438+O438))</f>
        <v>-57.1113422149544</v>
      </c>
      <c r="R438" s="32" t="n">
        <f aca="false">R437*(1-(1-(1-MIN(1,E437*(1-Assumptions!$B$21)))^(1/12)))*(1-H437)</f>
        <v>0.112422893599467</v>
      </c>
      <c r="S438" s="47" t="n">
        <f aca="false">R438*(IF(C438&lt;Assumptions!$B$5,Assumptions!$B$12*(1+Assumptions!$B$11)^(INT(A438/12)+1)/12+Pricing_M!$B$13*IF(A438=0,Assumptions!$B$14*12,IF(A438&gt;=12,Assumptions!$B$15,0))-Pricing_M!$B$13,Assumptions!$B$9/12*(1+Assumptions!$B$10)^INT(A438/12)+Assumptions!$B$12*(1+Assumptions!$B$11)^(INT(A438/12)+1)/12))*J438</f>
        <v>97.504083335219</v>
      </c>
      <c r="T438" s="32" t="n">
        <f aca="false">T437*(1-F437)*(1-(1-(1-MIN(1,G437*(1+Assumptions!$B$23)))^(1/12)))</f>
        <v>0.0596519223303819</v>
      </c>
      <c r="U438" s="47" t="n">
        <f aca="false">T438*(IF(C438&lt;Assumptions!$B$5,Assumptions!$B$12*(1+Assumptions!$B$11)^(INT(A438/12)+1)/12+Pricing_M!$B$13*IF(A438=0,Assumptions!$B$14*12,IF(A438&gt;=12,Assumptions!$B$15,0))-Pricing_M!$B$13,Assumptions!$B$9/12*(1+Assumptions!$B$10)^INT(A438/12)+Assumptions!$B$12*(1+Assumptions!$B$11)^(INT(A438/12)+1)/12))*J438</f>
        <v>51.7359571505917</v>
      </c>
      <c r="V438" s="32" t="n">
        <f aca="false">V437*(1-F437)*(1-(1-(1-MIN(1,G437*(1-Assumptions!$B$23)))^(1/12)))</f>
        <v>0.0726248999520111</v>
      </c>
      <c r="W438" s="47" t="n">
        <f aca="false">V438*(IF(C438&lt;Assumptions!$B$5,Assumptions!$B$12*(1+Assumptions!$B$11)^(INT(A438/12)+1)/12+Pricing_M!$B$13*IF(A438=0,Assumptions!$B$14*12,IF(A438&gt;=12,Assumptions!$B$15,0))-Pricing_M!$B$13,Assumptions!$B$9/12*(1+Assumptions!$B$10)^INT(A438/12)+Assumptions!$B$12*(1+Assumptions!$B$11)^(INT(A438/12)+1)/12))*J438</f>
        <v>62.9873869139264</v>
      </c>
      <c r="X438" s="47" t="n">
        <f aca="false">I438*(IF(C438&lt;Assumptions!$B$5,Assumptions!$B$12*(1+Assumptions!$B$11)*(1+Assumptions!$B$24)*(1+Assumptions!$B$11+Assumptions!$B$25)^(INT(A438/12))/12+Pricing_M!$B$13*IF(A438=0,Assumptions!$B$14*12,IF(A438&gt;=12,Assumptions!$B$15,0))-Pricing_M!$B$13,Assumptions!$B$9/12*(1+Assumptions!$B$10)^INT(A438/12)+Assumptions!$B$12*(1+Assumptions!$B$11)*(1+Assumptions!$B$24)*(1+Assumptions!$B$11+Assumptions!$B$25)^(INT(A438/12))/12))*J438</f>
        <v>57.2995447363589</v>
      </c>
    </row>
    <row r="439" customFormat="false" ht="15" hidden="false" customHeight="true" outlineLevel="0" collapsed="false">
      <c r="A439" s="1" t="n">
        <v>432</v>
      </c>
      <c r="B439" s="31" t="n">
        <f aca="false">Assumptions!$B$4+A439/12</f>
        <v>101</v>
      </c>
      <c r="C439" s="34" t="n">
        <f aca="false">Assumptions!$B$4+INT(A439/12)</f>
        <v>101</v>
      </c>
      <c r="D439" s="34" t="n">
        <f aca="false">INT(A439/12)+1</f>
        <v>37</v>
      </c>
      <c r="E439" s="32" t="n">
        <f aca="false">IFERROR(INDEX(Cohort_Survival!$G$5:$G$65,MATCH(C439,Cohort_Survival!$A$5:$A$65,0)),1)</f>
        <v>0.220124381667156</v>
      </c>
      <c r="F439" s="30" t="n">
        <f aca="false">1-(1-MIN(1,E439))^(1/12)</f>
        <v>0.0205052514543288</v>
      </c>
      <c r="G439" s="39" t="n">
        <f aca="false">IF(C439&lt;Assumptions!$B$5,IF(D439=1,Assumptions!$B$16,IF(D439=2,Assumptions!$B$17,IF(D439&lt;=5,Assumptions!$B$18,Assumptions!$B$19)))*(1-Assumptions!$B$20),0)</f>
        <v>0</v>
      </c>
      <c r="H439" s="30" t="n">
        <f aca="false">1-(1-G439)^(1/12)</f>
        <v>0</v>
      </c>
      <c r="I439" s="30" t="n">
        <f aca="false">I438*(1-F438)*(1-H438)</f>
        <v>0.064577872961546</v>
      </c>
      <c r="J439" s="30" t="n">
        <f aca="false">INDEX(Discount_Monthly!$G$4:$G$664,MATCH(A439,Discount_Monthly!$A$4:$A$664,0))</f>
        <v>0.322433317993974</v>
      </c>
      <c r="K439" s="30" t="n">
        <f aca="false">IF(C439&lt;Assumptions!$B$5,I439*J439,0)</f>
        <v>0</v>
      </c>
      <c r="L439" s="30" t="n">
        <f aca="false">IF(C439&lt;Assumptions!$B$5,I439*(1-F439)*H439*A439*J439,0)</f>
        <v>0</v>
      </c>
      <c r="M439" s="30" t="n">
        <f aca="false">IF(A439=0,Assumptions!$B$14*12*I439*J439,IF(AND(A439&gt;=12,C439&lt;Assumptions!$B$5),Assumptions!$B$15*I439*J439,0))</f>
        <v>0</v>
      </c>
      <c r="N439" s="47" t="n">
        <f aca="false">IF(C439&gt;=Assumptions!$B$5,I439*Assumptions!$B$9/12*(1+Assumptions!$B$10)^INT(A439/12)*J439,0)</f>
        <v>56.63286969896</v>
      </c>
      <c r="O439" s="47" t="n">
        <f aca="false">I439*Assumptions!$B$12/12*(1+Assumptions!$B$11)^(INT(A439/12)+1)*J439</f>
        <v>0.34611100558448</v>
      </c>
      <c r="P439" s="47" t="n">
        <f aca="false">O439+Pricing_M!$B$13*M439+N439-Pricing_M!$B$13*K439</f>
        <v>56.9789807045445</v>
      </c>
      <c r="Q439" s="47" t="n">
        <f aca="false">IF(C439&lt;Assumptions!$B$5,Pricing_M!$B$13*K439-Pricing_M!$B$13*M439-O439,-(N439+O439))</f>
        <v>-56.9789807045445</v>
      </c>
      <c r="R439" s="32" t="n">
        <f aca="false">R438*(1-(1-(1-MIN(1,E438*(1-Assumptions!$B$21)))^(1/12)))*(1-H438)</f>
        <v>0.110724652966134</v>
      </c>
      <c r="S439" s="47" t="n">
        <f aca="false">R439*(IF(C439&lt;Assumptions!$B$5,Assumptions!$B$12*(1+Assumptions!$B$11)^(INT(A439/12)+1)/12+Pricing_M!$B$13*IF(A439=0,Assumptions!$B$14*12,IF(A439&gt;=12,Assumptions!$B$15,0))-Pricing_M!$B$13,Assumptions!$B$9/12*(1+Assumptions!$B$10)^INT(A439/12)+Assumptions!$B$12*(1+Assumptions!$B$11)^(INT(A439/12)+1)/12))*J439</f>
        <v>97.6956591405775</v>
      </c>
      <c r="T439" s="32" t="n">
        <f aca="false">T438*(1-F438)*(1-(1-(1-MIN(1,G438*(1+Assumptions!$B$23)))^(1/12)))</f>
        <v>0.0584997294554928</v>
      </c>
      <c r="U439" s="47" t="n">
        <f aca="false">T439*(IF(C439&lt;Assumptions!$B$5,Assumptions!$B$12*(1+Assumptions!$B$11)^(INT(A439/12)+1)/12+Pricing_M!$B$13*IF(A439=0,Assumptions!$B$14*12,IF(A439&gt;=12,Assumptions!$B$15,0))-Pricing_M!$B$13,Assumptions!$B$9/12*(1+Assumptions!$B$10)^INT(A439/12)+Assumptions!$B$12*(1+Assumptions!$B$11)^(INT(A439/12)+1)/12))*J439</f>
        <v>51.616053657426</v>
      </c>
      <c r="V439" s="32" t="n">
        <f aca="false">V438*(1-F438)*(1-(1-(1-MIN(1,G438*(1-Assumptions!$B$23)))^(1/12)))</f>
        <v>0.0712221305357835</v>
      </c>
      <c r="W439" s="47" t="n">
        <f aca="false">V439*(IF(C439&lt;Assumptions!$B$5,Assumptions!$B$12*(1+Assumptions!$B$11)^(INT(A439/12)+1)/12+Pricing_M!$B$13*IF(A439=0,Assumptions!$B$14*12,IF(A439&gt;=12,Assumptions!$B$15,0))-Pricing_M!$B$13,Assumptions!$B$9/12*(1+Assumptions!$B$10)^INT(A439/12)+Assumptions!$B$12*(1+Assumptions!$B$11)^(INT(A439/12)+1)/12))*J439</f>
        <v>62.8414070551916</v>
      </c>
      <c r="X439" s="47" t="n">
        <f aca="false">I439*(IF(C439&lt;Assumptions!$B$5,Assumptions!$B$12*(1+Assumptions!$B$11)*(1+Assumptions!$B$24)*(1+Assumptions!$B$11+Assumptions!$B$25)^(INT(A439/12))/12+Pricing_M!$B$13*IF(A439=0,Assumptions!$B$14*12,IF(A439&gt;=12,Assumptions!$B$15,0))-Pricing_M!$B$13,Assumptions!$B$9/12*(1+Assumptions!$B$10)^INT(A439/12)+Assumptions!$B$12*(1+Assumptions!$B$11)*(1+Assumptions!$B$24)*(1+Assumptions!$B$11+Assumptions!$B$25)^(INT(A439/12))/12))*J439</f>
        <v>57.1728793638637</v>
      </c>
    </row>
    <row r="440" customFormat="false" ht="15" hidden="false" customHeight="true" outlineLevel="0" collapsed="false">
      <c r="A440" s="1" t="n">
        <v>433</v>
      </c>
      <c r="B440" s="31" t="n">
        <f aca="false">Assumptions!$B$4+A440/12</f>
        <v>101.083333333333</v>
      </c>
      <c r="C440" s="34" t="n">
        <f aca="false">Assumptions!$B$4+INT(A440/12)</f>
        <v>101</v>
      </c>
      <c r="D440" s="34" t="n">
        <f aca="false">INT(A440/12)+1</f>
        <v>37</v>
      </c>
      <c r="E440" s="32" t="n">
        <f aca="false">IFERROR(INDEX(Cohort_Survival!$G$5:$G$65,MATCH(C440,Cohort_Survival!$A$5:$A$65,0)),1)</f>
        <v>0.220124381667156</v>
      </c>
      <c r="F440" s="30" t="n">
        <f aca="false">1-(1-MIN(1,E440))^(1/12)</f>
        <v>0.0205052514543288</v>
      </c>
      <c r="G440" s="39" t="n">
        <f aca="false">IF(C440&lt;Assumptions!$B$5,IF(D440=1,Assumptions!$B$16,IF(D440=2,Assumptions!$B$17,IF(D440&lt;=5,Assumptions!$B$18,Assumptions!$B$19)))*(1-Assumptions!$B$20),0)</f>
        <v>0</v>
      </c>
      <c r="H440" s="30" t="n">
        <f aca="false">1-(1-G440)^(1/12)</f>
        <v>0</v>
      </c>
      <c r="I440" s="30" t="n">
        <f aca="false">I439*(1-F439)*(1-H439)</f>
        <v>0.0632536874380838</v>
      </c>
      <c r="J440" s="30" t="n">
        <f aca="false">INDEX(Discount_Monthly!$G$4:$G$664,MATCH(A440,Discount_Monthly!$A$4:$A$664,0))</f>
        <v>0.321570417506949</v>
      </c>
      <c r="K440" s="30" t="n">
        <f aca="false">IF(C440&lt;Assumptions!$B$5,I440*J440,0)</f>
        <v>0</v>
      </c>
      <c r="L440" s="30" t="n">
        <f aca="false">IF(C440&lt;Assumptions!$B$5,I440*(1-F440)*H440*A440*J440,0)</f>
        <v>0</v>
      </c>
      <c r="M440" s="30" t="n">
        <f aca="false">IF(A440=0,Assumptions!$B$14*12*I440*J440,IF(AND(A440&gt;=12,C440&lt;Assumptions!$B$5),Assumptions!$B$15*I440*J440,0))</f>
        <v>0</v>
      </c>
      <c r="N440" s="47" t="n">
        <f aca="false">IF(C440&gt;=Assumptions!$B$5,I440*Assumptions!$B$9/12*(1+Assumptions!$B$10)^INT(A440/12)*J440,0)</f>
        <v>55.3231446092877</v>
      </c>
      <c r="O440" s="47" t="n">
        <f aca="false">I440*Assumptions!$B$12/12*(1+Assumptions!$B$11)^(INT(A440/12)+1)*J440</f>
        <v>0.338106638681737</v>
      </c>
      <c r="P440" s="47" t="n">
        <f aca="false">O440+Pricing_M!$B$13*M440+N440-Pricing_M!$B$13*K440</f>
        <v>55.6612512479694</v>
      </c>
      <c r="Q440" s="47" t="n">
        <f aca="false">IF(C440&lt;Assumptions!$B$5,Pricing_M!$B$13*K440-Pricing_M!$B$13*M440-O440,-(N440+O440))</f>
        <v>-55.6612512479694</v>
      </c>
      <c r="R440" s="32" t="n">
        <f aca="false">R439*(1-(1-(1-MIN(1,E439*(1-Assumptions!$B$21)))^(1/12)))*(1-H439)</f>
        <v>0.108951669992464</v>
      </c>
      <c r="S440" s="47" t="n">
        <f aca="false">R440*(IF(C440&lt;Assumptions!$B$5,Assumptions!$B$12*(1+Assumptions!$B$11)^(INT(A440/12)+1)/12+Pricing_M!$B$13*IF(A440=0,Assumptions!$B$14*12,IF(A440&gt;=12,Assumptions!$B$15,0))-Pricing_M!$B$13,Assumptions!$B$9/12*(1+Assumptions!$B$10)^INT(A440/12)+Assumptions!$B$12*(1+Assumptions!$B$11)^(INT(A440/12)+1)/12))*J440</f>
        <v>95.8740355378104</v>
      </c>
      <c r="T440" s="32" t="n">
        <f aca="false">T439*(1-F439)*(1-(1-(1-MIN(1,G439*(1+Assumptions!$B$23)))^(1/12)))</f>
        <v>0.0573001777929977</v>
      </c>
      <c r="U440" s="47" t="n">
        <f aca="false">T440*(IF(C440&lt;Assumptions!$B$5,Assumptions!$B$12*(1+Assumptions!$B$11)^(INT(A440/12)+1)/12+Pricing_M!$B$13*IF(A440=0,Assumptions!$B$14*12,IF(A440&gt;=12,Assumptions!$B$15,0))-Pricing_M!$B$13,Assumptions!$B$9/12*(1+Assumptions!$B$10)^INT(A440/12)+Assumptions!$B$12*(1+Assumptions!$B$11)^(INT(A440/12)+1)/12))*J440</f>
        <v>50.4223504093943</v>
      </c>
      <c r="V440" s="32" t="n">
        <f aca="false">V439*(1-F439)*(1-(1-(1-MIN(1,G439*(1-Assumptions!$B$23)))^(1/12)))</f>
        <v>0.0697617028400342</v>
      </c>
      <c r="W440" s="47" t="n">
        <f aca="false">V440*(IF(C440&lt;Assumptions!$B$5,Assumptions!$B$12*(1+Assumptions!$B$11)^(INT(A440/12)+1)/12+Pricing_M!$B$13*IF(A440=0,Assumptions!$B$14*12,IF(A440&gt;=12,Assumptions!$B$15,0))-Pricing_M!$B$13,Assumptions!$B$9/12*(1+Assumptions!$B$10)^INT(A440/12)+Assumptions!$B$12*(1+Assumptions!$B$11)^(INT(A440/12)+1)/12))*J440</f>
        <v>61.3880996750782</v>
      </c>
      <c r="X440" s="47" t="n">
        <f aca="false">I440*(IF(C440&lt;Assumptions!$B$5,Assumptions!$B$12*(1+Assumptions!$B$11)*(1+Assumptions!$B$24)*(1+Assumptions!$B$11+Assumptions!$B$25)^(INT(A440/12))/12+Pricing_M!$B$13*IF(A440=0,Assumptions!$B$14*12,IF(A440&gt;=12,Assumptions!$B$15,0))-Pricing_M!$B$13,Assumptions!$B$9/12*(1+Assumptions!$B$10)^INT(A440/12)+Assumptions!$B$12*(1+Assumptions!$B$11)*(1+Assumptions!$B$24)*(1+Assumptions!$B$11+Assumptions!$B$25)^(INT(A440/12))/12))*J440</f>
        <v>55.8506656927271</v>
      </c>
    </row>
    <row r="441" customFormat="false" ht="15" hidden="false" customHeight="true" outlineLevel="0" collapsed="false">
      <c r="A441" s="1" t="n">
        <v>434</v>
      </c>
      <c r="B441" s="31" t="n">
        <f aca="false">Assumptions!$B$4+A441/12</f>
        <v>101.166666666667</v>
      </c>
      <c r="C441" s="34" t="n">
        <f aca="false">Assumptions!$B$4+INT(A441/12)</f>
        <v>101</v>
      </c>
      <c r="D441" s="34" t="n">
        <f aca="false">INT(A441/12)+1</f>
        <v>37</v>
      </c>
      <c r="E441" s="32" t="n">
        <f aca="false">IFERROR(INDEX(Cohort_Survival!$G$5:$G$65,MATCH(C441,Cohort_Survival!$A$5:$A$65,0)),1)</f>
        <v>0.220124381667156</v>
      </c>
      <c r="F441" s="30" t="n">
        <f aca="false">1-(1-MIN(1,E441))^(1/12)</f>
        <v>0.0205052514543288</v>
      </c>
      <c r="G441" s="39" t="n">
        <f aca="false">IF(C441&lt;Assumptions!$B$5,IF(D441=1,Assumptions!$B$16,IF(D441=2,Assumptions!$B$17,IF(D441&lt;=5,Assumptions!$B$18,Assumptions!$B$19)))*(1-Assumptions!$B$20),0)</f>
        <v>0</v>
      </c>
      <c r="H441" s="30" t="n">
        <f aca="false">1-(1-G441)^(1/12)</f>
        <v>0</v>
      </c>
      <c r="I441" s="30" t="n">
        <f aca="false">I440*(1-F440)*(1-H440)</f>
        <v>0.0619566546717523</v>
      </c>
      <c r="J441" s="30" t="n">
        <f aca="false">INDEX(Discount_Monthly!$G$4:$G$664,MATCH(A441,Discount_Monthly!$A$4:$A$664,0))</f>
        <v>0.320709826326094</v>
      </c>
      <c r="K441" s="30" t="n">
        <f aca="false">IF(C441&lt;Assumptions!$B$5,I441*J441,0)</f>
        <v>0</v>
      </c>
      <c r="L441" s="30" t="n">
        <f aca="false">IF(C441&lt;Assumptions!$B$5,I441*(1-F441)*H441*A441*J441,0)</f>
        <v>0</v>
      </c>
      <c r="M441" s="30" t="n">
        <f aca="false">IF(A441=0,Assumptions!$B$14*12*I441*J441,IF(AND(A441&gt;=12,C441&lt;Assumptions!$B$5),Assumptions!$B$15*I441*J441,0))</f>
        <v>0</v>
      </c>
      <c r="N441" s="47" t="n">
        <f aca="false">IF(C441&gt;=Assumptions!$B$5,I441*Assumptions!$B$9/12*(1+Assumptions!$B$10)^INT(A441/12)*J441,0)</f>
        <v>54.0437089931956</v>
      </c>
      <c r="O441" s="47" t="n">
        <f aca="false">I441*Assumptions!$B$12/12*(1+Assumptions!$B$11)^(INT(A441/12)+1)*J441</f>
        <v>0.330287385480899</v>
      </c>
      <c r="P441" s="47" t="n">
        <f aca="false">O441+Pricing_M!$B$13*M441+N441-Pricing_M!$B$13*K441</f>
        <v>54.3739963786765</v>
      </c>
      <c r="Q441" s="47" t="n">
        <f aca="false">IF(C441&lt;Assumptions!$B$5,Pricing_M!$B$13*K441-Pricing_M!$B$13*M441-O441,-(N441+O441))</f>
        <v>-54.3739963786765</v>
      </c>
      <c r="R441" s="32" t="n">
        <f aca="false">R440*(1-(1-(1-MIN(1,E440*(1-Assumptions!$B$21)))^(1/12)))*(1-H440)</f>
        <v>0.107207076980205</v>
      </c>
      <c r="S441" s="47" t="n">
        <f aca="false">R441*(IF(C441&lt;Assumptions!$B$5,Assumptions!$B$12*(1+Assumptions!$B$11)^(INT(A441/12)+1)/12+Pricing_M!$B$13*IF(A441=0,Assumptions!$B$14*12,IF(A441&gt;=12,Assumptions!$B$15,0))-Pricing_M!$B$13,Assumptions!$B$9/12*(1+Assumptions!$B$10)^INT(A441/12)+Assumptions!$B$12*(1+Assumptions!$B$11)^(INT(A441/12)+1)/12))*J441</f>
        <v>94.0863777486665</v>
      </c>
      <c r="T441" s="32" t="n">
        <f aca="false">T440*(1-F440)*(1-(1-(1-MIN(1,G440*(1+Assumptions!$B$23)))^(1/12)))</f>
        <v>0.0561252232389745</v>
      </c>
      <c r="U441" s="47" t="n">
        <f aca="false">T441*(IF(C441&lt;Assumptions!$B$5,Assumptions!$B$12*(1+Assumptions!$B$11)^(INT(A441/12)+1)/12+Pricing_M!$B$13*IF(A441=0,Assumptions!$B$14*12,IF(A441&gt;=12,Assumptions!$B$15,0))-Pricing_M!$B$13,Assumptions!$B$9/12*(1+Assumptions!$B$10)^INT(A441/12)+Assumptions!$B$12*(1+Assumptions!$B$11)^(INT(A441/12)+1)/12))*J441</f>
        <v>49.2562534455202</v>
      </c>
      <c r="V441" s="32" t="n">
        <f aca="false">V440*(1-F440)*(1-(1-(1-MIN(1,G440*(1-Assumptions!$B$23)))^(1/12)))</f>
        <v>0.0683312215814172</v>
      </c>
      <c r="W441" s="47" t="n">
        <f aca="false">V441*(IF(C441&lt;Assumptions!$B$5,Assumptions!$B$12*(1+Assumptions!$B$11)^(INT(A441/12)+1)/12+Pricing_M!$B$13*IF(A441=0,Assumptions!$B$14*12,IF(A441&gt;=12,Assumptions!$B$15,0))-Pricing_M!$B$13,Assumptions!$B$9/12*(1+Assumptions!$B$10)^INT(A441/12)+Assumptions!$B$12*(1+Assumptions!$B$11)^(INT(A441/12)+1)/12))*J441</f>
        <v>59.968402337134</v>
      </c>
      <c r="X441" s="47" t="n">
        <f aca="false">I441*(IF(C441&lt;Assumptions!$B$5,Assumptions!$B$12*(1+Assumptions!$B$11)*(1+Assumptions!$B$24)*(1+Assumptions!$B$11+Assumptions!$B$25)^(INT(A441/12))/12+Pricing_M!$B$13*IF(A441=0,Assumptions!$B$14*12,IF(A441&gt;=12,Assumptions!$B$15,0))-Pricing_M!$B$13,Assumptions!$B$9/12*(1+Assumptions!$B$10)^INT(A441/12)+Assumptions!$B$12*(1+Assumptions!$B$11)*(1+Assumptions!$B$24)*(1+Assumptions!$B$11+Assumptions!$B$25)^(INT(A441/12))/12))*J441</f>
        <v>54.5590303134588</v>
      </c>
    </row>
    <row r="442" customFormat="false" ht="15" hidden="false" customHeight="true" outlineLevel="0" collapsed="false">
      <c r="A442" s="1" t="n">
        <v>435</v>
      </c>
      <c r="B442" s="31" t="n">
        <f aca="false">Assumptions!$B$4+A442/12</f>
        <v>101.25</v>
      </c>
      <c r="C442" s="34" t="n">
        <f aca="false">Assumptions!$B$4+INT(A442/12)</f>
        <v>101</v>
      </c>
      <c r="D442" s="34" t="n">
        <f aca="false">INT(A442/12)+1</f>
        <v>37</v>
      </c>
      <c r="E442" s="32" t="n">
        <f aca="false">IFERROR(INDEX(Cohort_Survival!$G$5:$G$65,MATCH(C442,Cohort_Survival!$A$5:$A$65,0)),1)</f>
        <v>0.220124381667156</v>
      </c>
      <c r="F442" s="30" t="n">
        <f aca="false">1-(1-MIN(1,E442))^(1/12)</f>
        <v>0.0205052514543288</v>
      </c>
      <c r="G442" s="39" t="n">
        <f aca="false">IF(C442&lt;Assumptions!$B$5,IF(D442=1,Assumptions!$B$16,IF(D442=2,Assumptions!$B$17,IF(D442&lt;=5,Assumptions!$B$18,Assumptions!$B$19)))*(1-Assumptions!$B$20),0)</f>
        <v>0</v>
      </c>
      <c r="H442" s="30" t="n">
        <f aca="false">1-(1-G442)^(1/12)</f>
        <v>0</v>
      </c>
      <c r="I442" s="30" t="n">
        <f aca="false">I441*(1-F441)*(1-H441)</f>
        <v>0.060686217888439</v>
      </c>
      <c r="J442" s="30" t="n">
        <f aca="false">INDEX(Discount_Monthly!$G$4:$G$664,MATCH(A442,Discount_Monthly!$A$4:$A$664,0))</f>
        <v>0.319851538271212</v>
      </c>
      <c r="K442" s="30" t="n">
        <f aca="false">IF(C442&lt;Assumptions!$B$5,I442*J442,0)</f>
        <v>0</v>
      </c>
      <c r="L442" s="30" t="n">
        <f aca="false">IF(C442&lt;Assumptions!$B$5,I442*(1-F442)*H442*A442*J442,0)</f>
        <v>0</v>
      </c>
      <c r="M442" s="30" t="n">
        <f aca="false">IF(A442=0,Assumptions!$B$14*12*I442*J442,IF(AND(A442&gt;=12,C442&lt;Assumptions!$B$5),Assumptions!$B$15*I442*J442,0))</f>
        <v>0</v>
      </c>
      <c r="N442" s="47" t="n">
        <f aca="false">IF(C442&gt;=Assumptions!$B$5,I442*Assumptions!$B$9/12*(1+Assumptions!$B$10)^INT(A442/12)*J442,0)</f>
        <v>52.7938623584834</v>
      </c>
      <c r="O442" s="47" t="n">
        <f aca="false">I442*Assumptions!$B$12/12*(1+Assumptions!$B$11)^(INT(A442/12)+1)*J442</f>
        <v>0.322648964933501</v>
      </c>
      <c r="P442" s="47" t="n">
        <f aca="false">O442+Pricing_M!$B$13*M442+N442-Pricing_M!$B$13*K442</f>
        <v>53.1165113234169</v>
      </c>
      <c r="Q442" s="47" t="n">
        <f aca="false">IF(C442&lt;Assumptions!$B$5,Pricing_M!$B$13*K442-Pricing_M!$B$13*M442-O442,-(N442+O442))</f>
        <v>-53.1165113234169</v>
      </c>
      <c r="R442" s="32" t="n">
        <f aca="false">R441*(1-(1-(1-MIN(1,E441*(1-Assumptions!$B$21)))^(1/12)))*(1-H441)</f>
        <v>0.105490419333954</v>
      </c>
      <c r="S442" s="47" t="n">
        <f aca="false">R442*(IF(C442&lt;Assumptions!$B$5,Assumptions!$B$12*(1+Assumptions!$B$11)^(INT(A442/12)+1)/12+Pricing_M!$B$13*IF(A442=0,Assumptions!$B$14*12,IF(A442&gt;=12,Assumptions!$B$15,0))-Pricing_M!$B$13,Assumptions!$B$9/12*(1+Assumptions!$B$10)^INT(A442/12)+Assumptions!$B$12*(1+Assumptions!$B$11)^(INT(A442/12)+1)/12))*J442</f>
        <v>92.3320524499425</v>
      </c>
      <c r="T442" s="32" t="n">
        <f aca="false">T441*(1-F441)*(1-(1-(1-MIN(1,G441*(1+Assumptions!$B$23)))^(1/12)))</f>
        <v>0.054974361423529</v>
      </c>
      <c r="U442" s="47" t="n">
        <f aca="false">T442*(IF(C442&lt;Assumptions!$B$5,Assumptions!$B$12*(1+Assumptions!$B$11)^(INT(A442/12)+1)/12+Pricing_M!$B$13*IF(A442=0,Assumptions!$B$14*12,IF(A442&gt;=12,Assumptions!$B$15,0))-Pricing_M!$B$13,Assumptions!$B$9/12*(1+Assumptions!$B$10)^INT(A442/12)+Assumptions!$B$12*(1+Assumptions!$B$11)^(INT(A442/12)+1)/12))*J442</f>
        <v>48.117124326622</v>
      </c>
      <c r="V442" s="32" t="n">
        <f aca="false">V441*(1-F441)*(1-(1-(1-MIN(1,G441*(1-Assumptions!$B$23)))^(1/12)))</f>
        <v>0.0669300727007088</v>
      </c>
      <c r="W442" s="47" t="n">
        <f aca="false">V442*(IF(C442&lt;Assumptions!$B$5,Assumptions!$B$12*(1+Assumptions!$B$11)^(INT(A442/12)+1)/12+Pricing_M!$B$13*IF(A442=0,Assumptions!$B$14*12,IF(A442&gt;=12,Assumptions!$B$15,0))-Pricing_M!$B$13,Assumptions!$B$9/12*(1+Assumptions!$B$10)^INT(A442/12)+Assumptions!$B$12*(1+Assumptions!$B$11)^(INT(A442/12)+1)/12))*J442</f>
        <v>58.5815377557343</v>
      </c>
      <c r="X442" s="47" t="n">
        <f aca="false">I442*(IF(C442&lt;Assumptions!$B$5,Assumptions!$B$12*(1+Assumptions!$B$11)*(1+Assumptions!$B$24)*(1+Assumptions!$B$11+Assumptions!$B$25)^(INT(A442/12))/12+Pricing_M!$B$13*IF(A442=0,Assumptions!$B$14*12,IF(A442&gt;=12,Assumptions!$B$15,0))-Pricing_M!$B$13,Assumptions!$B$9/12*(1+Assumptions!$B$10)^INT(A442/12)+Assumptions!$B$12*(1+Assumptions!$B$11)*(1+Assumptions!$B$24)*(1+Assumptions!$B$11+Assumptions!$B$25)^(INT(A442/12))/12))*J442</f>
        <v>53.2972660544769</v>
      </c>
    </row>
    <row r="443" customFormat="false" ht="15" hidden="false" customHeight="true" outlineLevel="0" collapsed="false">
      <c r="A443" s="1" t="n">
        <v>436</v>
      </c>
      <c r="B443" s="31" t="n">
        <f aca="false">Assumptions!$B$4+A443/12</f>
        <v>101.333333333333</v>
      </c>
      <c r="C443" s="34" t="n">
        <f aca="false">Assumptions!$B$4+INT(A443/12)</f>
        <v>101</v>
      </c>
      <c r="D443" s="34" t="n">
        <f aca="false">INT(A443/12)+1</f>
        <v>37</v>
      </c>
      <c r="E443" s="32" t="n">
        <f aca="false">IFERROR(INDEX(Cohort_Survival!$G$5:$G$65,MATCH(C443,Cohort_Survival!$A$5:$A$65,0)),1)</f>
        <v>0.220124381667156</v>
      </c>
      <c r="F443" s="30" t="n">
        <f aca="false">1-(1-MIN(1,E443))^(1/12)</f>
        <v>0.0205052514543288</v>
      </c>
      <c r="G443" s="39" t="n">
        <f aca="false">IF(C443&lt;Assumptions!$B$5,IF(D443=1,Assumptions!$B$16,IF(D443=2,Assumptions!$B$17,IF(D443&lt;=5,Assumptions!$B$18,Assumptions!$B$19)))*(1-Assumptions!$B$20),0)</f>
        <v>0</v>
      </c>
      <c r="H443" s="30" t="n">
        <f aca="false">1-(1-G443)^(1/12)</f>
        <v>0</v>
      </c>
      <c r="I443" s="30" t="n">
        <f aca="false">I442*(1-F442)*(1-H442)</f>
        <v>0.0594418317308244</v>
      </c>
      <c r="J443" s="30" t="n">
        <f aca="false">INDEX(Discount_Monthly!$G$4:$G$664,MATCH(A443,Discount_Monthly!$A$4:$A$664,0))</f>
        <v>0.318995547178645</v>
      </c>
      <c r="K443" s="30" t="n">
        <f aca="false">IF(C443&lt;Assumptions!$B$5,I443*J443,0)</f>
        <v>0</v>
      </c>
      <c r="L443" s="30" t="n">
        <f aca="false">IF(C443&lt;Assumptions!$B$5,I443*(1-F443)*H443*A443*J443,0)</f>
        <v>0</v>
      </c>
      <c r="M443" s="30" t="n">
        <f aca="false">IF(A443=0,Assumptions!$B$14*12*I443*J443,IF(AND(A443&gt;=12,C443&lt;Assumptions!$B$5),Assumptions!$B$15*I443*J443,0))</f>
        <v>0</v>
      </c>
      <c r="N443" s="47" t="n">
        <f aca="false">IF(C443&gt;=Assumptions!$B$5,I443*Assumptions!$B$9/12*(1+Assumptions!$B$10)^INT(A443/12)*J443,0)</f>
        <v>51.572920412946</v>
      </c>
      <c r="O443" s="47" t="n">
        <f aca="false">I443*Assumptions!$B$12/12*(1+Assumptions!$B$11)^(INT(A443/12)+1)*J443</f>
        <v>0.315187194997129</v>
      </c>
      <c r="P443" s="47" t="n">
        <f aca="false">O443+Pricing_M!$B$13*M443+N443-Pricing_M!$B$13*K443</f>
        <v>51.8881076079431</v>
      </c>
      <c r="Q443" s="47" t="n">
        <f aca="false">IF(C443&lt;Assumptions!$B$5,Pricing_M!$B$13*K443-Pricing_M!$B$13*M443-O443,-(N443+O443))</f>
        <v>-51.8881076079431</v>
      </c>
      <c r="R443" s="32" t="n">
        <f aca="false">R442*(1-(1-(1-MIN(1,E442*(1-Assumptions!$B$21)))^(1/12)))*(1-H442)</f>
        <v>0.103801249737536</v>
      </c>
      <c r="S443" s="47" t="n">
        <f aca="false">R443*(IF(C443&lt;Assumptions!$B$5,Assumptions!$B$12*(1+Assumptions!$B$11)^(INT(A443/12)+1)/12+Pricing_M!$B$13*IF(A443=0,Assumptions!$B$14*12,IF(A443&gt;=12,Assumptions!$B$15,0))-Pricing_M!$B$13,Assumptions!$B$9/12*(1+Assumptions!$B$10)^INT(A443/12)+Assumptions!$B$12*(1+Assumptions!$B$11)^(INT(A443/12)+1)/12))*J443</f>
        <v>90.6104381273171</v>
      </c>
      <c r="T443" s="32" t="n">
        <f aca="false">T442*(1-F442)*(1-(1-(1-MIN(1,G442*(1+Assumptions!$B$23)))^(1/12)))</f>
        <v>0.0538470983189984</v>
      </c>
      <c r="U443" s="47" t="n">
        <f aca="false">T443*(IF(C443&lt;Assumptions!$B$5,Assumptions!$B$12*(1+Assumptions!$B$11)^(INT(A443/12)+1)/12+Pricing_M!$B$13*IF(A443=0,Assumptions!$B$14*12,IF(A443&gt;=12,Assumptions!$B$15,0))-Pricing_M!$B$13,Assumptions!$B$9/12*(1+Assumptions!$B$10)^INT(A443/12)+Assumptions!$B$12*(1+Assumptions!$B$11)^(INT(A443/12)+1)/12))*J443</f>
        <v>47.0043393784381</v>
      </c>
      <c r="V443" s="32" t="n">
        <f aca="false">V442*(1-F442)*(1-(1-(1-MIN(1,G442*(1-Assumptions!$B$23)))^(1/12)))</f>
        <v>0.0655576547301242</v>
      </c>
      <c r="W443" s="47" t="n">
        <f aca="false">V443*(IF(C443&lt;Assumptions!$B$5,Assumptions!$B$12*(1+Assumptions!$B$11)^(INT(A443/12)+1)/12+Pricing_M!$B$13*IF(A443=0,Assumptions!$B$14*12,IF(A443&gt;=12,Assumptions!$B$15,0))-Pricing_M!$B$13,Assumptions!$B$9/12*(1+Assumptions!$B$10)^INT(A443/12)+Assumptions!$B$12*(1+Assumptions!$B$11)^(INT(A443/12)+1)/12))*J443</f>
        <v>57.2267466212197</v>
      </c>
      <c r="X443" s="47" t="n">
        <f aca="false">I443*(IF(C443&lt;Assumptions!$B$5,Assumptions!$B$12*(1+Assumptions!$B$11)*(1+Assumptions!$B$24)*(1+Assumptions!$B$11+Assumptions!$B$25)^(INT(A443/12))/12+Pricing_M!$B$13*IF(A443=0,Assumptions!$B$14*12,IF(A443&gt;=12,Assumptions!$B$15,0))-Pricing_M!$B$13,Assumptions!$B$9/12*(1+Assumptions!$B$10)^INT(A443/12)+Assumptions!$B$12*(1+Assumptions!$B$11)*(1+Assumptions!$B$24)*(1+Assumptions!$B$11+Assumptions!$B$25)^(INT(A443/12))/12))*J443</f>
        <v>52.0646820986656</v>
      </c>
    </row>
    <row r="444" customFormat="false" ht="15" hidden="false" customHeight="true" outlineLevel="0" collapsed="false">
      <c r="A444" s="1" t="n">
        <v>437</v>
      </c>
      <c r="B444" s="31" t="n">
        <f aca="false">Assumptions!$B$4+A444/12</f>
        <v>101.416666666667</v>
      </c>
      <c r="C444" s="34" t="n">
        <f aca="false">Assumptions!$B$4+INT(A444/12)</f>
        <v>101</v>
      </c>
      <c r="D444" s="34" t="n">
        <f aca="false">INT(A444/12)+1</f>
        <v>37</v>
      </c>
      <c r="E444" s="32" t="n">
        <f aca="false">IFERROR(INDEX(Cohort_Survival!$G$5:$G$65,MATCH(C444,Cohort_Survival!$A$5:$A$65,0)),1)</f>
        <v>0.220124381667156</v>
      </c>
      <c r="F444" s="30" t="n">
        <f aca="false">1-(1-MIN(1,E444))^(1/12)</f>
        <v>0.0205052514543288</v>
      </c>
      <c r="G444" s="39" t="n">
        <f aca="false">IF(C444&lt;Assumptions!$B$5,IF(D444=1,Assumptions!$B$16,IF(D444=2,Assumptions!$B$17,IF(D444&lt;=5,Assumptions!$B$18,Assumptions!$B$19)))*(1-Assumptions!$B$20),0)</f>
        <v>0</v>
      </c>
      <c r="H444" s="30" t="n">
        <f aca="false">1-(1-G444)^(1/12)</f>
        <v>0</v>
      </c>
      <c r="I444" s="30" t="n">
        <f aca="false">I443*(1-F443)*(1-H443)</f>
        <v>0.0582229620242779</v>
      </c>
      <c r="J444" s="30" t="n">
        <f aca="false">INDEX(Discount_Monthly!$G$4:$G$664,MATCH(A444,Discount_Monthly!$A$4:$A$664,0))</f>
        <v>0.318141846901231</v>
      </c>
      <c r="K444" s="30" t="n">
        <f aca="false">IF(C444&lt;Assumptions!$B$5,I444*J444,0)</f>
        <v>0</v>
      </c>
      <c r="L444" s="30" t="n">
        <f aca="false">IF(C444&lt;Assumptions!$B$5,I444*(1-F444)*H444*A444*J444,0)</f>
        <v>0</v>
      </c>
      <c r="M444" s="30" t="n">
        <f aca="false">IF(A444=0,Assumptions!$B$14*12*I444*J444,IF(AND(A444&gt;=12,C444&lt;Assumptions!$B$5),Assumptions!$B$15*I444*J444,0))</f>
        <v>0</v>
      </c>
      <c r="N444" s="47" t="n">
        <f aca="false">IF(C444&gt;=Assumptions!$B$5,I444*Assumptions!$B$9/12*(1+Assumptions!$B$10)^INT(A444/12)*J444,0)</f>
        <v>50.3802146897227</v>
      </c>
      <c r="O444" s="47" t="n">
        <f aca="false">I444*Assumptions!$B$12/12*(1+Assumptions!$B$11)^(INT(A444/12)+1)*J444</f>
        <v>0.307897990345739</v>
      </c>
      <c r="P444" s="47" t="n">
        <f aca="false">O444+Pricing_M!$B$13*M444+N444-Pricing_M!$B$13*K444</f>
        <v>50.6881126800684</v>
      </c>
      <c r="Q444" s="47" t="n">
        <f aca="false">IF(C444&lt;Assumptions!$B$5,Pricing_M!$B$13*K444-Pricing_M!$B$13*M444-O444,-(N444+O444))</f>
        <v>-50.6881126800684</v>
      </c>
      <c r="R444" s="32" t="n">
        <f aca="false">R443*(1-(1-(1-MIN(1,E443*(1-Assumptions!$B$21)))^(1/12)))*(1-H443)</f>
        <v>0.102139128037443</v>
      </c>
      <c r="S444" s="47" t="n">
        <f aca="false">R444*(IF(C444&lt;Assumptions!$B$5,Assumptions!$B$12*(1+Assumptions!$B$11)^(INT(A444/12)+1)/12+Pricing_M!$B$13*IF(A444=0,Assumptions!$B$14*12,IF(A444&gt;=12,Assumptions!$B$15,0))-Pricing_M!$B$13,Assumptions!$B$9/12*(1+Assumptions!$B$10)^INT(A444/12)+Assumptions!$B$12*(1+Assumptions!$B$11)^(INT(A444/12)+1)/12))*J444</f>
        <v>88.9209248551636</v>
      </c>
      <c r="T444" s="32" t="n">
        <f aca="false">T443*(1-F443)*(1-(1-(1-MIN(1,G443*(1+Assumptions!$B$23)))^(1/12)))</f>
        <v>0.0527429500278814</v>
      </c>
      <c r="U444" s="47" t="n">
        <f aca="false">T444*(IF(C444&lt;Assumptions!$B$5,Assumptions!$B$12*(1+Assumptions!$B$11)^(INT(A444/12)+1)/12+Pricing_M!$B$13*IF(A444=0,Assumptions!$B$14*12,IF(A444&gt;=12,Assumptions!$B$15,0))-Pricing_M!$B$13,Assumptions!$B$9/12*(1+Assumptions!$B$10)^INT(A444/12)+Assumptions!$B$12*(1+Assumptions!$B$11)^(INT(A444/12)+1)/12))*J444</f>
        <v>45.9172893501655</v>
      </c>
      <c r="V444" s="32" t="n">
        <f aca="false">V443*(1-F443)*(1-(1-(1-MIN(1,G443*(1-Assumptions!$B$23)))^(1/12)))</f>
        <v>0.0642133785351269</v>
      </c>
      <c r="W444" s="47" t="n">
        <f aca="false">V444*(IF(C444&lt;Assumptions!$B$5,Assumptions!$B$12*(1+Assumptions!$B$11)^(INT(A444/12)+1)/12+Pricing_M!$B$13*IF(A444=0,Assumptions!$B$14*12,IF(A444&gt;=12,Assumptions!$B$15,0))-Pricing_M!$B$13,Assumptions!$B$9/12*(1+Assumptions!$B$10)^INT(A444/12)+Assumptions!$B$12*(1+Assumptions!$B$11)^(INT(A444/12)+1)/12))*J444</f>
        <v>55.9032871841729</v>
      </c>
      <c r="X444" s="47" t="n">
        <f aca="false">I444*(IF(C444&lt;Assumptions!$B$5,Assumptions!$B$12*(1+Assumptions!$B$11)*(1+Assumptions!$B$24)*(1+Assumptions!$B$11+Assumptions!$B$25)^(INT(A444/12))/12+Pricing_M!$B$13*IF(A444=0,Assumptions!$B$14*12,IF(A444&gt;=12,Assumptions!$B$15,0))-Pricing_M!$B$13,Assumptions!$B$9/12*(1+Assumptions!$B$10)^INT(A444/12)+Assumptions!$B$12*(1+Assumptions!$B$11)*(1+Assumptions!$B$24)*(1+Assumptions!$B$11+Assumptions!$B$25)^(INT(A444/12))/12))*J444</f>
        <v>50.8606036051527</v>
      </c>
    </row>
    <row r="445" customFormat="false" ht="15" hidden="false" customHeight="true" outlineLevel="0" collapsed="false">
      <c r="A445" s="1" t="n">
        <v>438</v>
      </c>
      <c r="B445" s="31" t="n">
        <f aca="false">Assumptions!$B$4+A445/12</f>
        <v>101.5</v>
      </c>
      <c r="C445" s="34" t="n">
        <f aca="false">Assumptions!$B$4+INT(A445/12)</f>
        <v>101</v>
      </c>
      <c r="D445" s="34" t="n">
        <f aca="false">INT(A445/12)+1</f>
        <v>37</v>
      </c>
      <c r="E445" s="32" t="n">
        <f aca="false">IFERROR(INDEX(Cohort_Survival!$G$5:$G$65,MATCH(C445,Cohort_Survival!$A$5:$A$65,0)),1)</f>
        <v>0.220124381667156</v>
      </c>
      <c r="F445" s="30" t="n">
        <f aca="false">1-(1-MIN(1,E445))^(1/12)</f>
        <v>0.0205052514543288</v>
      </c>
      <c r="G445" s="39" t="n">
        <f aca="false">IF(C445&lt;Assumptions!$B$5,IF(D445=1,Assumptions!$B$16,IF(D445=2,Assumptions!$B$17,IF(D445&lt;=5,Assumptions!$B$18,Assumptions!$B$19)))*(1-Assumptions!$B$20),0)</f>
        <v>0</v>
      </c>
      <c r="H445" s="30" t="n">
        <f aca="false">1-(1-G445)^(1/12)</f>
        <v>0</v>
      </c>
      <c r="I445" s="30" t="n">
        <f aca="false">I444*(1-F444)*(1-H444)</f>
        <v>0.0570290855475543</v>
      </c>
      <c r="J445" s="30" t="n">
        <f aca="false">INDEX(Discount_Monthly!$G$4:$G$664,MATCH(A445,Discount_Monthly!$A$4:$A$664,0))</f>
        <v>0.317290431308258</v>
      </c>
      <c r="K445" s="30" t="n">
        <f aca="false">IF(C445&lt;Assumptions!$B$5,I445*J445,0)</f>
        <v>0</v>
      </c>
      <c r="L445" s="30" t="n">
        <f aca="false">IF(C445&lt;Assumptions!$B$5,I445*(1-F445)*H445*A445*J445,0)</f>
        <v>0</v>
      </c>
      <c r="M445" s="30" t="n">
        <f aca="false">IF(A445=0,Assumptions!$B$14*12*I445*J445,IF(AND(A445&gt;=12,C445&lt;Assumptions!$B$5),Assumptions!$B$15*I445*J445,0))</f>
        <v>0</v>
      </c>
      <c r="N445" s="47" t="n">
        <f aca="false">IF(C445&gt;=Assumptions!$B$5,I445*Assumptions!$B$9/12*(1+Assumptions!$B$10)^INT(A445/12)*J445,0)</f>
        <v>49.2150921813109</v>
      </c>
      <c r="O445" s="47" t="n">
        <f aca="false">I445*Assumptions!$B$12/12*(1+Assumptions!$B$11)^(INT(A445/12)+1)*J445</f>
        <v>0.300777360132948</v>
      </c>
      <c r="P445" s="47" t="n">
        <f aca="false">O445+Pricing_M!$B$13*M445+N445-Pricing_M!$B$13*K445</f>
        <v>49.5158695414439</v>
      </c>
      <c r="Q445" s="47" t="n">
        <f aca="false">IF(C445&lt;Assumptions!$B$5,Pricing_M!$B$13*K445-Pricing_M!$B$13*M445-O445,-(N445+O445))</f>
        <v>-49.5158695414439</v>
      </c>
      <c r="R445" s="32" t="n">
        <f aca="false">R444*(1-(1-(1-MIN(1,E444*(1-Assumptions!$B$21)))^(1/12)))*(1-H444)</f>
        <v>0.100503621128144</v>
      </c>
      <c r="S445" s="47" t="n">
        <f aca="false">R445*(IF(C445&lt;Assumptions!$B$5,Assumptions!$B$12*(1+Assumptions!$B$11)^(INT(A445/12)+1)/12+Pricing_M!$B$13*IF(A445=0,Assumptions!$B$14*12,IF(A445&gt;=12,Assumptions!$B$15,0))-Pricing_M!$B$13,Assumptions!$B$9/12*(1+Assumptions!$B$10)^INT(A445/12)+Assumptions!$B$12*(1+Assumptions!$B$11)^(INT(A445/12)+1)/12))*J445</f>
        <v>87.2629140804682</v>
      </c>
      <c r="T445" s="32" t="n">
        <f aca="false">T444*(1-F444)*(1-(1-(1-MIN(1,G444*(1+Assumptions!$B$23)))^(1/12)))</f>
        <v>0.0516614425751165</v>
      </c>
      <c r="U445" s="47" t="n">
        <f aca="false">T445*(IF(C445&lt;Assumptions!$B$5,Assumptions!$B$12*(1+Assumptions!$B$11)^(INT(A445/12)+1)/12+Pricing_M!$B$13*IF(A445=0,Assumptions!$B$14*12,IF(A445&gt;=12,Assumptions!$B$15,0))-Pricing_M!$B$13,Assumptions!$B$9/12*(1+Assumptions!$B$10)^INT(A445/12)+Assumptions!$B$12*(1+Assumptions!$B$11)^(INT(A445/12)+1)/12))*J445</f>
        <v>44.8553790808937</v>
      </c>
      <c r="V445" s="32" t="n">
        <f aca="false">V444*(1-F444)*(1-(1-(1-MIN(1,G444*(1-Assumptions!$B$23)))^(1/12)))</f>
        <v>0.0628966670615322</v>
      </c>
      <c r="W445" s="47" t="n">
        <f aca="false">V445*(IF(C445&lt;Assumptions!$B$5,Assumptions!$B$12*(1+Assumptions!$B$11)^(INT(A445/12)+1)/12+Pricing_M!$B$13*IF(A445=0,Assumptions!$B$14*12,IF(A445&gt;=12,Assumptions!$B$15,0))-Pricing_M!$B$13,Assumptions!$B$9/12*(1+Assumptions!$B$10)^INT(A445/12)+Assumptions!$B$12*(1+Assumptions!$B$11)^(INT(A445/12)+1)/12))*J445</f>
        <v>54.6104348493103</v>
      </c>
      <c r="X445" s="47" t="n">
        <f aca="false">I445*(IF(C445&lt;Assumptions!$B$5,Assumptions!$B$12*(1+Assumptions!$B$11)*(1+Assumptions!$B$24)*(1+Assumptions!$B$11+Assumptions!$B$25)^(INT(A445/12))/12+Pricing_M!$B$13*IF(A445=0,Assumptions!$B$14*12,IF(A445&gt;=12,Assumptions!$B$15,0))-Pricing_M!$B$13,Assumptions!$B$9/12*(1+Assumptions!$B$10)^INT(A445/12)+Assumptions!$B$12*(1+Assumptions!$B$11)*(1+Assumptions!$B$24)*(1+Assumptions!$B$11+Assumptions!$B$25)^(INT(A445/12))/12))*J445</f>
        <v>49.6843713398332</v>
      </c>
    </row>
    <row r="446" customFormat="false" ht="15" hidden="false" customHeight="true" outlineLevel="0" collapsed="false">
      <c r="A446" s="1" t="n">
        <v>439</v>
      </c>
      <c r="B446" s="31" t="n">
        <f aca="false">Assumptions!$B$4+A446/12</f>
        <v>101.583333333333</v>
      </c>
      <c r="C446" s="34" t="n">
        <f aca="false">Assumptions!$B$4+INT(A446/12)</f>
        <v>101</v>
      </c>
      <c r="D446" s="34" t="n">
        <f aca="false">INT(A446/12)+1</f>
        <v>37</v>
      </c>
      <c r="E446" s="32" t="n">
        <f aca="false">IFERROR(INDEX(Cohort_Survival!$G$5:$G$65,MATCH(C446,Cohort_Survival!$A$5:$A$65,0)),1)</f>
        <v>0.220124381667156</v>
      </c>
      <c r="F446" s="30" t="n">
        <f aca="false">1-(1-MIN(1,E446))^(1/12)</f>
        <v>0.0205052514543288</v>
      </c>
      <c r="G446" s="39" t="n">
        <f aca="false">IF(C446&lt;Assumptions!$B$5,IF(D446=1,Assumptions!$B$16,IF(D446=2,Assumptions!$B$17,IF(D446&lt;=5,Assumptions!$B$18,Assumptions!$B$19)))*(1-Assumptions!$B$20),0)</f>
        <v>0</v>
      </c>
      <c r="H446" s="30" t="n">
        <f aca="false">1-(1-G446)^(1/12)</f>
        <v>0</v>
      </c>
      <c r="I446" s="30" t="n">
        <f aca="false">I445*(1-F445)*(1-H445)</f>
        <v>0.0558596898081913</v>
      </c>
      <c r="J446" s="30" t="n">
        <f aca="false">INDEX(Discount_Monthly!$G$4:$G$664,MATCH(A446,Discount_Monthly!$A$4:$A$664,0))</f>
        <v>0.316441294285423</v>
      </c>
      <c r="K446" s="30" t="n">
        <f aca="false">IF(C446&lt;Assumptions!$B$5,I446*J446,0)</f>
        <v>0</v>
      </c>
      <c r="L446" s="30" t="n">
        <f aca="false">IF(C446&lt;Assumptions!$B$5,I446*(1-F446)*H446*A446*J446,0)</f>
        <v>0</v>
      </c>
      <c r="M446" s="30" t="n">
        <f aca="false">IF(A446=0,Assumptions!$B$14*12*I446*J446,IF(AND(A446&gt;=12,C446&lt;Assumptions!$B$5),Assumptions!$B$15*I446*J446,0))</f>
        <v>0</v>
      </c>
      <c r="N446" s="47" t="n">
        <f aca="false">IF(C446&gt;=Assumptions!$B$5,I446*Assumptions!$B$9/12*(1+Assumptions!$B$10)^INT(A446/12)*J446,0)</f>
        <v>48.0769149820442</v>
      </c>
      <c r="O446" s="47" t="n">
        <f aca="false">I446*Assumptions!$B$12/12*(1+Assumptions!$B$11)^(INT(A446/12)+1)*J446</f>
        <v>0.293821405807031</v>
      </c>
      <c r="P446" s="47" t="n">
        <f aca="false">O446+Pricing_M!$B$13*M446+N446-Pricing_M!$B$13*K446</f>
        <v>48.3707363878513</v>
      </c>
      <c r="Q446" s="47" t="n">
        <f aca="false">IF(C446&lt;Assumptions!$B$5,Pricing_M!$B$13*K446-Pricing_M!$B$13*M446-O446,-(N446+O446))</f>
        <v>-48.3707363878513</v>
      </c>
      <c r="R446" s="32" t="n">
        <f aca="false">R445*(1-(1-(1-MIN(1,E445*(1-Assumptions!$B$21)))^(1/12)))*(1-H445)</f>
        <v>0.098894302839228</v>
      </c>
      <c r="S446" s="47" t="n">
        <f aca="false">R446*(IF(C446&lt;Assumptions!$B$5,Assumptions!$B$12*(1+Assumptions!$B$11)^(INT(A446/12)+1)/12+Pricing_M!$B$13*IF(A446=0,Assumptions!$B$14*12,IF(A446&gt;=12,Assumptions!$B$15,0))-Pricing_M!$B$13,Assumptions!$B$9/12*(1+Assumptions!$B$10)^INT(A446/12)+Assumptions!$B$12*(1+Assumptions!$B$11)^(INT(A446/12)+1)/12))*J446</f>
        <v>85.6358184107775</v>
      </c>
      <c r="T446" s="32" t="n">
        <f aca="false">T445*(1-F445)*(1-(1-(1-MIN(1,G445*(1+Assumptions!$B$23)))^(1/12)))</f>
        <v>0.0506021117046204</v>
      </c>
      <c r="U446" s="47" t="n">
        <f aca="false">T446*(IF(C446&lt;Assumptions!$B$5,Assumptions!$B$12*(1+Assumptions!$B$11)^(INT(A446/12)+1)/12+Pricing_M!$B$13*IF(A446=0,Assumptions!$B$14*12,IF(A446&gt;=12,Assumptions!$B$15,0))-Pricing_M!$B$13,Assumptions!$B$9/12*(1+Assumptions!$B$10)^INT(A446/12)+Assumptions!$B$12*(1+Assumptions!$B$11)^(INT(A446/12)+1)/12))*J446</f>
        <v>43.818027173754</v>
      </c>
      <c r="V446" s="32" t="n">
        <f aca="false">V445*(1-F445)*(1-(1-(1-MIN(1,G445*(1-Assumptions!$B$23)))^(1/12)))</f>
        <v>0.0616069550877963</v>
      </c>
      <c r="W446" s="47" t="n">
        <f aca="false">V446*(IF(C446&lt;Assumptions!$B$5,Assumptions!$B$12*(1+Assumptions!$B$11)^(INT(A446/12)+1)/12+Pricing_M!$B$13*IF(A446=0,Assumptions!$B$14*12,IF(A446&gt;=12,Assumptions!$B$15,0))-Pricing_M!$B$13,Assumptions!$B$9/12*(1+Assumptions!$B$10)^INT(A446/12)+Assumptions!$B$12*(1+Assumptions!$B$11)^(INT(A446/12)+1)/12))*J446</f>
        <v>53.3474817787656</v>
      </c>
      <c r="X446" s="47" t="n">
        <f aca="false">I446*(IF(C446&lt;Assumptions!$B$5,Assumptions!$B$12*(1+Assumptions!$B$11)*(1+Assumptions!$B$24)*(1+Assumptions!$B$11+Assumptions!$B$25)^(INT(A446/12))/12+Pricing_M!$B$13*IF(A446=0,Assumptions!$B$14*12,IF(A446&gt;=12,Assumptions!$B$15,0))-Pricing_M!$B$13,Assumptions!$B$9/12*(1+Assumptions!$B$10)^INT(A446/12)+Assumptions!$B$12*(1+Assumptions!$B$11)*(1+Assumptions!$B$24)*(1+Assumptions!$B$11+Assumptions!$B$25)^(INT(A446/12))/12))*J446</f>
        <v>48.5353413144384</v>
      </c>
    </row>
    <row r="447" customFormat="false" ht="15" hidden="false" customHeight="true" outlineLevel="0" collapsed="false">
      <c r="A447" s="1" t="n">
        <v>440</v>
      </c>
      <c r="B447" s="31" t="n">
        <f aca="false">Assumptions!$B$4+A447/12</f>
        <v>101.666666666667</v>
      </c>
      <c r="C447" s="34" t="n">
        <f aca="false">Assumptions!$B$4+INT(A447/12)</f>
        <v>101</v>
      </c>
      <c r="D447" s="34" t="n">
        <f aca="false">INT(A447/12)+1</f>
        <v>37</v>
      </c>
      <c r="E447" s="32" t="n">
        <f aca="false">IFERROR(INDEX(Cohort_Survival!$G$5:$G$65,MATCH(C447,Cohort_Survival!$A$5:$A$65,0)),1)</f>
        <v>0.220124381667156</v>
      </c>
      <c r="F447" s="30" t="n">
        <f aca="false">1-(1-MIN(1,E447))^(1/12)</f>
        <v>0.0205052514543288</v>
      </c>
      <c r="G447" s="39" t="n">
        <f aca="false">IF(C447&lt;Assumptions!$B$5,IF(D447=1,Assumptions!$B$16,IF(D447=2,Assumptions!$B$17,IF(D447&lt;=5,Assumptions!$B$18,Assumptions!$B$19)))*(1-Assumptions!$B$20),0)</f>
        <v>0</v>
      </c>
      <c r="H447" s="30" t="n">
        <f aca="false">1-(1-G447)^(1/12)</f>
        <v>0</v>
      </c>
      <c r="I447" s="30" t="n">
        <f aca="false">I446*(1-F446)*(1-H446)</f>
        <v>0.0547142728225135</v>
      </c>
      <c r="J447" s="30" t="n">
        <f aca="false">INDEX(Discount_Monthly!$G$4:$G$664,MATCH(A447,Discount_Monthly!$A$4:$A$664,0))</f>
        <v>0.315594429734786</v>
      </c>
      <c r="K447" s="30" t="n">
        <f aca="false">IF(C447&lt;Assumptions!$B$5,I447*J447,0)</f>
        <v>0</v>
      </c>
      <c r="L447" s="30" t="n">
        <f aca="false">IF(C447&lt;Assumptions!$B$5,I447*(1-F447)*H447*A447*J447,0)</f>
        <v>0</v>
      </c>
      <c r="M447" s="30" t="n">
        <f aca="false">IF(A447=0,Assumptions!$B$14*12*I447*J447,IF(AND(A447&gt;=12,C447&lt;Assumptions!$B$5),Assumptions!$B$15*I447*J447,0))</f>
        <v>0</v>
      </c>
      <c r="N447" s="47" t="n">
        <f aca="false">IF(C447&gt;=Assumptions!$B$5,I447*Assumptions!$B$9/12*(1+Assumptions!$B$10)^INT(A447/12)*J447,0)</f>
        <v>46.965059938838</v>
      </c>
      <c r="O447" s="47" t="n">
        <f aca="false">I447*Assumptions!$B$12/12*(1+Assumptions!$B$11)^(INT(A447/12)+1)*J447</f>
        <v>0.287026318976471</v>
      </c>
      <c r="P447" s="47" t="n">
        <f aca="false">O447+Pricing_M!$B$13*M447+N447-Pricing_M!$B$13*K447</f>
        <v>47.2520862578145</v>
      </c>
      <c r="Q447" s="47" t="n">
        <f aca="false">IF(C447&lt;Assumptions!$B$5,Pricing_M!$B$13*K447-Pricing_M!$B$13*M447-O447,-(N447+O447))</f>
        <v>-47.2520862578145</v>
      </c>
      <c r="R447" s="32" t="n">
        <f aca="false">R446*(1-(1-(1-MIN(1,E446*(1-Assumptions!$B$21)))^(1/12)))*(1-H446)</f>
        <v>0.0973107538243533</v>
      </c>
      <c r="S447" s="47" t="n">
        <f aca="false">R447*(IF(C447&lt;Assumptions!$B$5,Assumptions!$B$12*(1+Assumptions!$B$11)^(INT(A447/12)+1)/12+Pricing_M!$B$13*IF(A447=0,Assumptions!$B$14*12,IF(A447&gt;=12,Assumptions!$B$15,0))-Pricing_M!$B$13,Assumptions!$B$9/12*(1+Assumptions!$B$10)^INT(A447/12)+Assumptions!$B$12*(1+Assumptions!$B$11)^(INT(A447/12)+1)/12))*J447</f>
        <v>84.0390614060995</v>
      </c>
      <c r="T447" s="32" t="n">
        <f aca="false">T446*(1-F446)*(1-(1-(1-MIN(1,G446*(1+Assumptions!$B$23)))^(1/12)))</f>
        <v>0.0495645026799971</v>
      </c>
      <c r="U447" s="47" t="n">
        <f aca="false">T447*(IF(C447&lt;Assumptions!$B$5,Assumptions!$B$12*(1+Assumptions!$B$11)^(INT(A447/12)+1)/12+Pricing_M!$B$13*IF(A447=0,Assumptions!$B$14*12,IF(A447&gt;=12,Assumptions!$B$15,0))-Pricing_M!$B$13,Assumptions!$B$9/12*(1+Assumptions!$B$10)^INT(A447/12)+Assumptions!$B$12*(1+Assumptions!$B$11)^(INT(A447/12)+1)/12))*J447</f>
        <v>42.804665677604</v>
      </c>
      <c r="V447" s="32" t="n">
        <f aca="false">V446*(1-F446)*(1-(1-(1-MIN(1,G446*(1-Assumptions!$B$23)))^(1/12)))</f>
        <v>0.0603436889823855</v>
      </c>
      <c r="W447" s="47" t="n">
        <f aca="false">V447*(IF(C447&lt;Assumptions!$B$5,Assumptions!$B$12*(1+Assumptions!$B$11)^(INT(A447/12)+1)/12+Pricing_M!$B$13*IF(A447=0,Assumptions!$B$14*12,IF(A447&gt;=12,Assumptions!$B$15,0))-Pricing_M!$B$13,Assumptions!$B$9/12*(1+Assumptions!$B$10)^INT(A447/12)+Assumptions!$B$12*(1+Assumptions!$B$11)^(INT(A447/12)+1)/12))*J447</f>
        <v>52.1137365045478</v>
      </c>
      <c r="X447" s="47" t="n">
        <f aca="false">I447*(IF(C447&lt;Assumptions!$B$5,Assumptions!$B$12*(1+Assumptions!$B$11)*(1+Assumptions!$B$24)*(1+Assumptions!$B$11+Assumptions!$B$25)^(INT(A447/12))/12+Pricing_M!$B$13*IF(A447=0,Assumptions!$B$14*12,IF(A447&gt;=12,Assumptions!$B$15,0))-Pricing_M!$B$13,Assumptions!$B$9/12*(1+Assumptions!$B$10)^INT(A447/12)+Assumptions!$B$12*(1+Assumptions!$B$11)*(1+Assumptions!$B$24)*(1+Assumptions!$B$11+Assumptions!$B$25)^(INT(A447/12))/12))*J447</f>
        <v>47.4128844339513</v>
      </c>
    </row>
    <row r="448" customFormat="false" ht="15" hidden="false" customHeight="true" outlineLevel="0" collapsed="false">
      <c r="A448" s="1" t="n">
        <v>441</v>
      </c>
      <c r="B448" s="31" t="n">
        <f aca="false">Assumptions!$B$4+A448/12</f>
        <v>101.75</v>
      </c>
      <c r="C448" s="34" t="n">
        <f aca="false">Assumptions!$B$4+INT(A448/12)</f>
        <v>101</v>
      </c>
      <c r="D448" s="34" t="n">
        <f aca="false">INT(A448/12)+1</f>
        <v>37</v>
      </c>
      <c r="E448" s="32" t="n">
        <f aca="false">IFERROR(INDEX(Cohort_Survival!$G$5:$G$65,MATCH(C448,Cohort_Survival!$A$5:$A$65,0)),1)</f>
        <v>0.220124381667156</v>
      </c>
      <c r="F448" s="30" t="n">
        <f aca="false">1-(1-MIN(1,E448))^(1/12)</f>
        <v>0.0205052514543288</v>
      </c>
      <c r="G448" s="39" t="n">
        <f aca="false">IF(C448&lt;Assumptions!$B$5,IF(D448=1,Assumptions!$B$16,IF(D448=2,Assumptions!$B$17,IF(D448&lt;=5,Assumptions!$B$18,Assumptions!$B$19)))*(1-Assumptions!$B$20),0)</f>
        <v>0</v>
      </c>
      <c r="H448" s="30" t="n">
        <f aca="false">1-(1-G448)^(1/12)</f>
        <v>0</v>
      </c>
      <c r="I448" s="30" t="n">
        <f aca="false">I447*(1-F447)*(1-H447)</f>
        <v>0.0535923429001471</v>
      </c>
      <c r="J448" s="30" t="n">
        <f aca="false">INDEX(Discount_Monthly!$G$4:$G$664,MATCH(A448,Discount_Monthly!$A$4:$A$664,0))</f>
        <v>0.314749831574724</v>
      </c>
      <c r="K448" s="30" t="n">
        <f aca="false">IF(C448&lt;Assumptions!$B$5,I448*J448,0)</f>
        <v>0</v>
      </c>
      <c r="L448" s="30" t="n">
        <f aca="false">IF(C448&lt;Assumptions!$B$5,I448*(1-F448)*H448*A448*J448,0)</f>
        <v>0</v>
      </c>
      <c r="M448" s="30" t="n">
        <f aca="false">IF(A448=0,Assumptions!$B$14*12*I448*J448,IF(AND(A448&gt;=12,C448&lt;Assumptions!$B$5),Assumptions!$B$15*I448*J448,0))</f>
        <v>0</v>
      </c>
      <c r="N448" s="47" t="n">
        <f aca="false">IF(C448&gt;=Assumptions!$B$5,I448*Assumptions!$B$9/12*(1+Assumptions!$B$10)^INT(A448/12)*J448,0)</f>
        <v>45.8789183100131</v>
      </c>
      <c r="O448" s="47" t="n">
        <f aca="false">I448*Assumptions!$B$12/12*(1+Assumptions!$B$11)^(INT(A448/12)+1)*J448</f>
        <v>0.28038837932485</v>
      </c>
      <c r="P448" s="47" t="n">
        <f aca="false">O448+Pricing_M!$B$13*M448+N448-Pricing_M!$B$13*K448</f>
        <v>46.1593066893379</v>
      </c>
      <c r="Q448" s="47" t="n">
        <f aca="false">IF(C448&lt;Assumptions!$B$5,Pricing_M!$B$13*K448-Pricing_M!$B$13*M448-O448,-(N448+O448))</f>
        <v>-46.1593066893379</v>
      </c>
      <c r="R448" s="32" t="n">
        <f aca="false">R447*(1-(1-(1-MIN(1,E447*(1-Assumptions!$B$21)))^(1/12)))*(1-H447)</f>
        <v>0.0957525614519799</v>
      </c>
      <c r="S448" s="47" t="n">
        <f aca="false">R448*(IF(C448&lt;Assumptions!$B$5,Assumptions!$B$12*(1+Assumptions!$B$11)^(INT(A448/12)+1)/12+Pricing_M!$B$13*IF(A448=0,Assumptions!$B$14*12,IF(A448&gt;=12,Assumptions!$B$15,0))-Pricing_M!$B$13,Assumptions!$B$9/12*(1+Assumptions!$B$10)^INT(A448/12)+Assumptions!$B$12*(1+Assumptions!$B$11)^(INT(A448/12)+1)/12))*J448</f>
        <v>82.4720773746856</v>
      </c>
      <c r="T448" s="32" t="n">
        <f aca="false">T447*(1-F447)*(1-(1-(1-MIN(1,G447*(1+Assumptions!$B$23)))^(1/12)))</f>
        <v>0.048548170089335</v>
      </c>
      <c r="U448" s="47" t="n">
        <f aca="false">T448*(IF(C448&lt;Assumptions!$B$5,Assumptions!$B$12*(1+Assumptions!$B$11)^(INT(A448/12)+1)/12+Pricing_M!$B$13*IF(A448=0,Assumptions!$B$14*12,IF(A448&gt;=12,Assumptions!$B$15,0))-Pricing_M!$B$13,Assumptions!$B$9/12*(1+Assumptions!$B$10)^INT(A448/12)+Assumptions!$B$12*(1+Assumptions!$B$11)^(INT(A448/12)+1)/12))*J448</f>
        <v>41.8147397760736</v>
      </c>
      <c r="V448" s="32" t="n">
        <f aca="false">V447*(1-F447)*(1-(1-(1-MIN(1,G447*(1-Assumptions!$B$23)))^(1/12)))</f>
        <v>0.0591063264661198</v>
      </c>
      <c r="W448" s="47" t="n">
        <f aca="false">V448*(IF(C448&lt;Assumptions!$B$5,Assumptions!$B$12*(1+Assumptions!$B$11)^(INT(A448/12)+1)/12+Pricing_M!$B$13*IF(A448=0,Assumptions!$B$14*12,IF(A448&gt;=12,Assumptions!$B$15,0))-Pricing_M!$B$13,Assumptions!$B$9/12*(1+Assumptions!$B$10)^INT(A448/12)+Assumptions!$B$12*(1+Assumptions!$B$11)^(INT(A448/12)+1)/12))*J448</f>
        <v>50.9085235499616</v>
      </c>
      <c r="X448" s="47" t="n">
        <f aca="false">I448*(IF(C448&lt;Assumptions!$B$5,Assumptions!$B$12*(1+Assumptions!$B$11)*(1+Assumptions!$B$24)*(1+Assumptions!$B$11+Assumptions!$B$25)^(INT(A448/12))/12+Pricing_M!$B$13*IF(A448=0,Assumptions!$B$14*12,IF(A448&gt;=12,Assumptions!$B$15,0))-Pricing_M!$B$13,Assumptions!$B$9/12*(1+Assumptions!$B$10)^INT(A448/12)+Assumptions!$B$12*(1+Assumptions!$B$11)*(1+Assumptions!$B$24)*(1+Assumptions!$B$11+Assumptions!$B$25)^(INT(A448/12))/12))*J448</f>
        <v>46.3163861521766</v>
      </c>
    </row>
    <row r="449" customFormat="false" ht="15" hidden="false" customHeight="true" outlineLevel="0" collapsed="false">
      <c r="A449" s="1" t="n">
        <v>442</v>
      </c>
      <c r="B449" s="31" t="n">
        <f aca="false">Assumptions!$B$4+A449/12</f>
        <v>101.833333333333</v>
      </c>
      <c r="C449" s="34" t="n">
        <f aca="false">Assumptions!$B$4+INT(A449/12)</f>
        <v>101</v>
      </c>
      <c r="D449" s="34" t="n">
        <f aca="false">INT(A449/12)+1</f>
        <v>37</v>
      </c>
      <c r="E449" s="32" t="n">
        <f aca="false">IFERROR(INDEX(Cohort_Survival!$G$5:$G$65,MATCH(C449,Cohort_Survival!$A$5:$A$65,0)),1)</f>
        <v>0.220124381667156</v>
      </c>
      <c r="F449" s="30" t="n">
        <f aca="false">1-(1-MIN(1,E449))^(1/12)</f>
        <v>0.0205052514543288</v>
      </c>
      <c r="G449" s="39" t="n">
        <f aca="false">IF(C449&lt;Assumptions!$B$5,IF(D449=1,Assumptions!$B$16,IF(D449=2,Assumptions!$B$17,IF(D449&lt;=5,Assumptions!$B$18,Assumptions!$B$19)))*(1-Assumptions!$B$20),0)</f>
        <v>0</v>
      </c>
      <c r="H449" s="30" t="n">
        <f aca="false">1-(1-G449)^(1/12)</f>
        <v>0</v>
      </c>
      <c r="I449" s="30" t="n">
        <f aca="false">I448*(1-F448)*(1-H448)</f>
        <v>0.052493418432953</v>
      </c>
      <c r="J449" s="30" t="n">
        <f aca="false">INDEX(Discount_Monthly!$G$4:$G$664,MATCH(A449,Discount_Monthly!$A$4:$A$664,0))</f>
        <v>0.313907493739892</v>
      </c>
      <c r="K449" s="30" t="n">
        <f aca="false">IF(C449&lt;Assumptions!$B$5,I449*J449,0)</f>
        <v>0</v>
      </c>
      <c r="L449" s="30" t="n">
        <f aca="false">IF(C449&lt;Assumptions!$B$5,I449*(1-F449)*H449*A449*J449,0)</f>
        <v>0</v>
      </c>
      <c r="M449" s="30" t="n">
        <f aca="false">IF(A449=0,Assumptions!$B$14*12*I449*J449,IF(AND(A449&gt;=12,C449&lt;Assumptions!$B$5),Assumptions!$B$15*I449*J449,0))</f>
        <v>0</v>
      </c>
      <c r="N449" s="47" t="n">
        <f aca="false">IF(C449&gt;=Assumptions!$B$5,I449*Assumptions!$B$9/12*(1+Assumptions!$B$10)^INT(A449/12)*J449,0)</f>
        <v>44.8178954320084</v>
      </c>
      <c r="O449" s="47" t="n">
        <f aca="false">I449*Assumptions!$B$12/12*(1+Assumptions!$B$11)^(INT(A449/12)+1)*J449</f>
        <v>0.273903952573983</v>
      </c>
      <c r="P449" s="47" t="n">
        <f aca="false">O449+Pricing_M!$B$13*M449+N449-Pricing_M!$B$13*K449</f>
        <v>45.0917993845824</v>
      </c>
      <c r="Q449" s="47" t="n">
        <f aca="false">IF(C449&lt;Assumptions!$B$5,Pricing_M!$B$13*K449-Pricing_M!$B$13*M449-O449,-(N449+O449))</f>
        <v>-45.0917993845824</v>
      </c>
      <c r="R449" s="32" t="n">
        <f aca="false">R448*(1-(1-(1-MIN(1,E448*(1-Assumptions!$B$21)))^(1/12)))*(1-H448)</f>
        <v>0.0942193196978465</v>
      </c>
      <c r="S449" s="47" t="n">
        <f aca="false">R449*(IF(C449&lt;Assumptions!$B$5,Assumptions!$B$12*(1+Assumptions!$B$11)^(INT(A449/12)+1)/12+Pricing_M!$B$13*IF(A449=0,Assumptions!$B$14*12,IF(A449&gt;=12,Assumptions!$B$15,0))-Pricing_M!$B$13,Assumptions!$B$9/12*(1+Assumptions!$B$10)^INT(A449/12)+Assumptions!$B$12*(1+Assumptions!$B$11)^(INT(A449/12)+1)/12))*J449</f>
        <v>80.9343111726194</v>
      </c>
      <c r="T449" s="32" t="n">
        <f aca="false">T448*(1-F448)*(1-(1-(1-MIN(1,G448*(1+Assumptions!$B$23)))^(1/12)))</f>
        <v>0.0475526776540057</v>
      </c>
      <c r="U449" s="47" t="n">
        <f aca="false">T449*(IF(C449&lt;Assumptions!$B$5,Assumptions!$B$12*(1+Assumptions!$B$11)^(INT(A449/12)+1)/12+Pricing_M!$B$13*IF(A449=0,Assumptions!$B$14*12,IF(A449&gt;=12,Assumptions!$B$15,0))-Pricing_M!$B$13,Assumptions!$B$9/12*(1+Assumptions!$B$10)^INT(A449/12)+Assumptions!$B$12*(1+Assumptions!$B$11)^(INT(A449/12)+1)/12))*J449</f>
        <v>40.8477074838031</v>
      </c>
      <c r="V449" s="32" t="n">
        <f aca="false">V448*(1-F448)*(1-(1-(1-MIN(1,G448*(1-Assumptions!$B$23)))^(1/12)))</f>
        <v>0.0578943363793904</v>
      </c>
      <c r="W449" s="47" t="n">
        <f aca="false">V449*(IF(C449&lt;Assumptions!$B$5,Assumptions!$B$12*(1+Assumptions!$B$11)^(INT(A449/12)+1)/12+Pricing_M!$B$13*IF(A449=0,Assumptions!$B$14*12,IF(A449&gt;=12,Assumptions!$B$15,0))-Pricing_M!$B$13,Assumptions!$B$9/12*(1+Assumptions!$B$10)^INT(A449/12)+Assumptions!$B$12*(1+Assumptions!$B$11)^(INT(A449/12)+1)/12))*J449</f>
        <v>49.7311830597836</v>
      </c>
      <c r="X449" s="47" t="n">
        <f aca="false">I449*(IF(C449&lt;Assumptions!$B$5,Assumptions!$B$12*(1+Assumptions!$B$11)*(1+Assumptions!$B$24)*(1+Assumptions!$B$11+Assumptions!$B$25)^(INT(A449/12))/12+Pricing_M!$B$13*IF(A449=0,Assumptions!$B$14*12,IF(A449&gt;=12,Assumptions!$B$15,0))-Pricing_M!$B$13,Assumptions!$B$9/12*(1+Assumptions!$B$10)^INT(A449/12)+Assumptions!$B$12*(1+Assumptions!$B$11)*(1+Assumptions!$B$24)*(1+Assumptions!$B$11+Assumptions!$B$25)^(INT(A449/12))/12))*J449</f>
        <v>45.2452461352762</v>
      </c>
    </row>
    <row r="450" customFormat="false" ht="15" hidden="false" customHeight="true" outlineLevel="0" collapsed="false">
      <c r="A450" s="1" t="n">
        <v>443</v>
      </c>
      <c r="B450" s="31" t="n">
        <f aca="false">Assumptions!$B$4+A450/12</f>
        <v>101.916666666667</v>
      </c>
      <c r="C450" s="34" t="n">
        <f aca="false">Assumptions!$B$4+INT(A450/12)</f>
        <v>101</v>
      </c>
      <c r="D450" s="34" t="n">
        <f aca="false">INT(A450/12)+1</f>
        <v>37</v>
      </c>
      <c r="E450" s="32" t="n">
        <f aca="false">IFERROR(INDEX(Cohort_Survival!$G$5:$G$65,MATCH(C450,Cohort_Survival!$A$5:$A$65,0)),1)</f>
        <v>0.220124381667156</v>
      </c>
      <c r="F450" s="30" t="n">
        <f aca="false">1-(1-MIN(1,E450))^(1/12)</f>
        <v>0.0205052514543288</v>
      </c>
      <c r="G450" s="39" t="n">
        <f aca="false">IF(C450&lt;Assumptions!$B$5,IF(D450=1,Assumptions!$B$16,IF(D450=2,Assumptions!$B$17,IF(D450&lt;=5,Assumptions!$B$18,Assumptions!$B$19)))*(1-Assumptions!$B$20),0)</f>
        <v>0</v>
      </c>
      <c r="H450" s="30" t="n">
        <f aca="false">1-(1-G450)^(1/12)</f>
        <v>0</v>
      </c>
      <c r="I450" s="30" t="n">
        <f aca="false">I449*(1-F449)*(1-H449)</f>
        <v>0.051417027688288</v>
      </c>
      <c r="J450" s="30" t="n">
        <f aca="false">INDEX(Discount_Monthly!$G$4:$G$664,MATCH(A450,Discount_Monthly!$A$4:$A$664,0))</f>
        <v>0.313067410181177</v>
      </c>
      <c r="K450" s="30" t="n">
        <f aca="false">IF(C450&lt;Assumptions!$B$5,I450*J450,0)</f>
        <v>0</v>
      </c>
      <c r="L450" s="30" t="n">
        <f aca="false">IF(C450&lt;Assumptions!$B$5,I450*(1-F450)*H450*A450*J450,0)</f>
        <v>0</v>
      </c>
      <c r="M450" s="30" t="n">
        <f aca="false">IF(A450=0,Assumptions!$B$14*12*I450*J450,IF(AND(A450&gt;=12,C450&lt;Assumptions!$B$5),Assumptions!$B$15*I450*J450,0))</f>
        <v>0</v>
      </c>
      <c r="N450" s="47" t="n">
        <f aca="false">IF(C450&gt;=Assumptions!$B$5,I450*Assumptions!$B$9/12*(1+Assumptions!$B$10)^INT(A450/12)*J450,0)</f>
        <v>43.781410393803</v>
      </c>
      <c r="O450" s="47" t="n">
        <f aca="false">I450*Assumptions!$B$12/12*(1+Assumptions!$B$11)^(INT(A450/12)+1)*J450</f>
        <v>0.267569488494139</v>
      </c>
      <c r="P450" s="47" t="n">
        <f aca="false">O450+Pricing_M!$B$13*M450+N450-Pricing_M!$B$13*K450</f>
        <v>44.0489798822971</v>
      </c>
      <c r="Q450" s="47" t="n">
        <f aca="false">IF(C450&lt;Assumptions!$B$5,Pricing_M!$B$13*K450-Pricing_M!$B$13*M450-O450,-(N450+O450))</f>
        <v>-44.0489798822971</v>
      </c>
      <c r="R450" s="32" t="n">
        <f aca="false">R449*(1-(1-(1-MIN(1,E449*(1-Assumptions!$B$21)))^(1/12)))*(1-H449)</f>
        <v>0.0927106290391718</v>
      </c>
      <c r="S450" s="47" t="n">
        <f aca="false">R450*(IF(C450&lt;Assumptions!$B$5,Assumptions!$B$12*(1+Assumptions!$B$11)^(INT(A450/12)+1)/12+Pricing_M!$B$13*IF(A450=0,Assumptions!$B$14*12,IF(A450&gt;=12,Assumptions!$B$15,0))-Pricing_M!$B$13,Assumptions!$B$9/12*(1+Assumptions!$B$10)^INT(A450/12)+Assumptions!$B$12*(1+Assumptions!$B$11)^(INT(A450/12)+1)/12))*J450</f>
        <v>79.4252180071431</v>
      </c>
      <c r="T450" s="32" t="n">
        <f aca="false">T449*(1-F449)*(1-(1-(1-MIN(1,G449*(1+Assumptions!$B$23)))^(1/12)))</f>
        <v>0.0465775980413837</v>
      </c>
      <c r="U450" s="47" t="n">
        <f aca="false">T450*(IF(C450&lt;Assumptions!$B$5,Assumptions!$B$12*(1+Assumptions!$B$11)^(INT(A450/12)+1)/12+Pricing_M!$B$13*IF(A450=0,Assumptions!$B$14*12,IF(A450&gt;=12,Assumptions!$B$15,0))-Pricing_M!$B$13,Assumptions!$B$9/12*(1+Assumptions!$B$10)^INT(A450/12)+Assumptions!$B$12*(1+Assumptions!$B$11)^(INT(A450/12)+1)/12))*J450</f>
        <v>39.9030393497051</v>
      </c>
      <c r="V450" s="32" t="n">
        <f aca="false">V449*(1-F449)*(1-(1-(1-MIN(1,G449*(1-Assumptions!$B$23)))^(1/12)))</f>
        <v>0.0567071984541495</v>
      </c>
      <c r="W450" s="47" t="n">
        <f aca="false">V450*(IF(C450&lt;Assumptions!$B$5,Assumptions!$B$12*(1+Assumptions!$B$11)^(INT(A450/12)+1)/12+Pricing_M!$B$13*IF(A450=0,Assumptions!$B$14*12,IF(A450&gt;=12,Assumptions!$B$15,0))-Pricing_M!$B$13,Assumptions!$B$9/12*(1+Assumptions!$B$10)^INT(A450/12)+Assumptions!$B$12*(1+Assumptions!$B$11)^(INT(A450/12)+1)/12))*J450</f>
        <v>48.5810704389908</v>
      </c>
      <c r="X450" s="47" t="n">
        <f aca="false">I450*(IF(C450&lt;Assumptions!$B$5,Assumptions!$B$12*(1+Assumptions!$B$11)*(1+Assumptions!$B$24)*(1+Assumptions!$B$11+Assumptions!$B$25)^(INT(A450/12))/12+Pricing_M!$B$13*IF(A450=0,Assumptions!$B$14*12,IF(A450&gt;=12,Assumptions!$B$15,0))-Pricing_M!$B$13,Assumptions!$B$9/12*(1+Assumptions!$B$10)^INT(A450/12)+Assumptions!$B$12*(1+Assumptions!$B$11)*(1+Assumptions!$B$24)*(1+Assumptions!$B$11+Assumptions!$B$25)^(INT(A450/12))/12))*J450</f>
        <v>44.1988779330861</v>
      </c>
    </row>
    <row r="451" customFormat="false" ht="15" hidden="false" customHeight="true" outlineLevel="0" collapsed="false">
      <c r="A451" s="1" t="n">
        <v>444</v>
      </c>
      <c r="B451" s="31" t="n">
        <f aca="false">Assumptions!$B$4+A451/12</f>
        <v>102</v>
      </c>
      <c r="C451" s="34" t="n">
        <f aca="false">Assumptions!$B$4+INT(A451/12)</f>
        <v>102</v>
      </c>
      <c r="D451" s="34" t="n">
        <f aca="false">INT(A451/12)+1</f>
        <v>38</v>
      </c>
      <c r="E451" s="32" t="n">
        <f aca="false">IFERROR(INDEX(Cohort_Survival!$G$5:$G$65,MATCH(C451,Cohort_Survival!$A$5:$A$65,0)),1)</f>
        <v>0.232834154827819</v>
      </c>
      <c r="F451" s="30" t="n">
        <f aca="false">1-(1-MIN(1,E451))^(1/12)</f>
        <v>0.0218455426835347</v>
      </c>
      <c r="G451" s="39" t="n">
        <f aca="false">IF(C451&lt;Assumptions!$B$5,IF(D451=1,Assumptions!$B$16,IF(D451=2,Assumptions!$B$17,IF(D451&lt;=5,Assumptions!$B$18,Assumptions!$B$19)))*(1-Assumptions!$B$20),0)</f>
        <v>0</v>
      </c>
      <c r="H451" s="30" t="n">
        <f aca="false">1-(1-G451)^(1/12)</f>
        <v>0</v>
      </c>
      <c r="I451" s="30" t="n">
        <f aca="false">I450*(1-F450)*(1-H450)</f>
        <v>0.0503627086065054</v>
      </c>
      <c r="J451" s="30" t="n">
        <f aca="false">INDEX(Discount_Monthly!$G$4:$G$664,MATCH(A451,Discount_Monthly!$A$4:$A$664,0))</f>
        <v>0.312229574865653</v>
      </c>
      <c r="K451" s="30" t="n">
        <f aca="false">IF(C451&lt;Assumptions!$B$5,I451*J451,0)</f>
        <v>0</v>
      </c>
      <c r="L451" s="30" t="n">
        <f aca="false">IF(C451&lt;Assumptions!$B$5,I451*(1-F451)*H451*A451*J451,0)</f>
        <v>0</v>
      </c>
      <c r="M451" s="30" t="n">
        <f aca="false">IF(A451=0,Assumptions!$B$14*12*I451*J451,IF(AND(A451&gt;=12,C451&lt;Assumptions!$B$5),Assumptions!$B$15*I451*J451,0))</f>
        <v>0</v>
      </c>
      <c r="N451" s="47" t="n">
        <f aca="false">IF(C451&gt;=Assumptions!$B$5,I451*Assumptions!$B$9/12*(1+Assumptions!$B$10)^INT(A451/12)*J451,0)</f>
        <v>43.6242736332431</v>
      </c>
      <c r="O451" s="47" t="n">
        <f aca="false">I451*Assumptions!$B$12/12*(1+Assumptions!$B$11)^(INT(A451/12)+1)*J451</f>
        <v>0.267916056934298</v>
      </c>
      <c r="P451" s="47" t="n">
        <f aca="false">O451+Pricing_M!$B$13*M451+N451-Pricing_M!$B$13*K451</f>
        <v>43.8921896901774</v>
      </c>
      <c r="Q451" s="47" t="n">
        <f aca="false">IF(C451&lt;Assumptions!$B$5,Pricing_M!$B$13*K451-Pricing_M!$B$13*M451-O451,-(N451+O451))</f>
        <v>-43.8921896901774</v>
      </c>
      <c r="R451" s="32" t="n">
        <f aca="false">R450*(1-(1-(1-MIN(1,E450*(1-Assumptions!$B$21)))^(1/12)))*(1-H450)</f>
        <v>0.091226096350549</v>
      </c>
      <c r="S451" s="47" t="n">
        <f aca="false">R451*(IF(C451&lt;Assumptions!$B$5,Assumptions!$B$12*(1+Assumptions!$B$11)^(INT(A451/12)+1)/12+Pricing_M!$B$13*IF(A451=0,Assumptions!$B$14*12,IF(A451&gt;=12,Assumptions!$B$15,0))-Pricing_M!$B$13,Assumptions!$B$9/12*(1+Assumptions!$B$10)^INT(A451/12)+Assumptions!$B$12*(1+Assumptions!$B$11)^(INT(A451/12)+1)/12))*J451</f>
        <v>79.5055158172227</v>
      </c>
      <c r="T451" s="32" t="n">
        <f aca="false">T450*(1-F450)*(1-(1-(1-MIN(1,G450*(1+Assumptions!$B$23)))^(1/12)))</f>
        <v>0.0456225126814065</v>
      </c>
      <c r="U451" s="47" t="n">
        <f aca="false">T451*(IF(C451&lt;Assumptions!$B$5,Assumptions!$B$12*(1+Assumptions!$B$11)^(INT(A451/12)+1)/12+Pricing_M!$B$13*IF(A451=0,Assumptions!$B$14*12,IF(A451&gt;=12,Assumptions!$B$15,0))-Pricing_M!$B$13,Assumptions!$B$9/12*(1+Assumptions!$B$10)^INT(A451/12)+Assumptions!$B$12*(1+Assumptions!$B$11)^(INT(A451/12)+1)/12))*J451</f>
        <v>39.7610064303839</v>
      </c>
      <c r="V451" s="32" t="n">
        <f aca="false">V450*(1-F450)*(1-(1-(1-MIN(1,G450*(1-Assumptions!$B$23)))^(1/12)))</f>
        <v>0.0555444030905766</v>
      </c>
      <c r="W451" s="47" t="n">
        <f aca="false">V451*(IF(C451&lt;Assumptions!$B$5,Assumptions!$B$12*(1+Assumptions!$B$11)^(INT(A451/12)+1)/12+Pricing_M!$B$13*IF(A451=0,Assumptions!$B$14*12,IF(A451&gt;=12,Assumptions!$B$15,0))-Pricing_M!$B$13,Assumptions!$B$9/12*(1+Assumptions!$B$10)^INT(A451/12)+Assumptions!$B$12*(1+Assumptions!$B$11)^(INT(A451/12)+1)/12))*J451</f>
        <v>48.408148491925</v>
      </c>
      <c r="X451" s="47" t="n">
        <f aca="false">I451*(IF(C451&lt;Assumptions!$B$5,Assumptions!$B$12*(1+Assumptions!$B$11)*(1+Assumptions!$B$24)*(1+Assumptions!$B$11+Assumptions!$B$25)^(INT(A451/12))/12+Pricing_M!$B$13*IF(A451=0,Assumptions!$B$14*12,IF(A451&gt;=12,Assumptions!$B$15,0))-Pricing_M!$B$13,Assumptions!$B$9/12*(1+Assumptions!$B$10)^INT(A451/12)+Assumptions!$B$12*(1+Assumptions!$B$11)*(1+Assumptions!$B$24)*(1+Assumptions!$B$11+Assumptions!$B$25)^(INT(A451/12))/12))*J451</f>
        <v>44.0463600252818</v>
      </c>
    </row>
    <row r="452" customFormat="false" ht="15" hidden="false" customHeight="true" outlineLevel="0" collapsed="false">
      <c r="A452" s="1" t="n">
        <v>445</v>
      </c>
      <c r="B452" s="31" t="n">
        <f aca="false">Assumptions!$B$4+A452/12</f>
        <v>102.083333333333</v>
      </c>
      <c r="C452" s="34" t="n">
        <f aca="false">Assumptions!$B$4+INT(A452/12)</f>
        <v>102</v>
      </c>
      <c r="D452" s="34" t="n">
        <f aca="false">INT(A452/12)+1</f>
        <v>38</v>
      </c>
      <c r="E452" s="32" t="n">
        <f aca="false">IFERROR(INDEX(Cohort_Survival!$G$5:$G$65,MATCH(C452,Cohort_Survival!$A$5:$A$65,0)),1)</f>
        <v>0.232834154827819</v>
      </c>
      <c r="F452" s="30" t="n">
        <f aca="false">1-(1-MIN(1,E452))^(1/12)</f>
        <v>0.0218455426835347</v>
      </c>
      <c r="G452" s="39" t="n">
        <f aca="false">IF(C452&lt;Assumptions!$B$5,IF(D452=1,Assumptions!$B$16,IF(D452=2,Assumptions!$B$17,IF(D452&lt;=5,Assumptions!$B$18,Assumptions!$B$19)))*(1-Assumptions!$B$20),0)</f>
        <v>0</v>
      </c>
      <c r="H452" s="30" t="n">
        <f aca="false">1-(1-G452)^(1/12)</f>
        <v>0</v>
      </c>
      <c r="I452" s="30" t="n">
        <f aca="false">I451*(1-F451)*(1-H451)</f>
        <v>0.0492625079059836</v>
      </c>
      <c r="J452" s="30" t="n">
        <f aca="false">INDEX(Discount_Monthly!$G$4:$G$664,MATCH(A452,Discount_Monthly!$A$4:$A$664,0))</f>
        <v>0.311392976305297</v>
      </c>
      <c r="K452" s="30" t="n">
        <f aca="false">IF(C452&lt;Assumptions!$B$5,I452*J452,0)</f>
        <v>0</v>
      </c>
      <c r="L452" s="30" t="n">
        <f aca="false">IF(C452&lt;Assumptions!$B$5,I452*(1-F452)*H452*A452*J452,0)</f>
        <v>0</v>
      </c>
      <c r="M452" s="30" t="n">
        <f aca="false">IF(A452=0,Assumptions!$B$14*12*I452*J452,IF(AND(A452&gt;=12,C452&lt;Assumptions!$B$5),Assumptions!$B$15*I452*J452,0))</f>
        <v>0</v>
      </c>
      <c r="N452" s="47" t="n">
        <f aca="false">IF(C452&gt;=Assumptions!$B$5,I452*Assumptions!$B$9/12*(1+Assumptions!$B$10)^INT(A452/12)*J452,0)</f>
        <v>42.5569428262933</v>
      </c>
      <c r="O452" s="47" t="n">
        <f aca="false">I452*Assumptions!$B$12/12*(1+Assumptions!$B$11)^(INT(A452/12)+1)*J452</f>
        <v>0.261361103982036</v>
      </c>
      <c r="P452" s="47" t="n">
        <f aca="false">O452+Pricing_M!$B$13*M452+N452-Pricing_M!$B$13*K452</f>
        <v>42.8183039302753</v>
      </c>
      <c r="Q452" s="47" t="n">
        <f aca="false">IF(C452&lt;Assumptions!$B$5,Pricing_M!$B$13*K452-Pricing_M!$B$13*M452-O452,-(N452+O452))</f>
        <v>-42.8183039302753</v>
      </c>
      <c r="R452" s="32" t="n">
        <f aca="false">R451*(1-(1-(1-MIN(1,E451*(1-Assumptions!$B$21)))^(1/12)))*(1-H451)</f>
        <v>0.0896724917393234</v>
      </c>
      <c r="S452" s="47" t="n">
        <f aca="false">R452*(IF(C452&lt;Assumptions!$B$5,Assumptions!$B$12*(1+Assumptions!$B$11)^(INT(A452/12)+1)/12+Pricing_M!$B$13*IF(A452=0,Assumptions!$B$14*12,IF(A452&gt;=12,Assumptions!$B$15,0))-Pricing_M!$B$13,Assumptions!$B$9/12*(1+Assumptions!$B$10)^INT(A452/12)+Assumptions!$B$12*(1+Assumptions!$B$11)^(INT(A452/12)+1)/12))*J452</f>
        <v>77.9421139664121</v>
      </c>
      <c r="T452" s="32" t="n">
        <f aca="false">T451*(1-F451)*(1-(1-(1-MIN(1,G451*(1+Assumptions!$B$23)))^(1/12)))</f>
        <v>0.0446258641332947</v>
      </c>
      <c r="U452" s="47" t="n">
        <f aca="false">T452*(IF(C452&lt;Assumptions!$B$5,Assumptions!$B$12*(1+Assumptions!$B$11)^(INT(A452/12)+1)/12+Pricing_M!$B$13*IF(A452=0,Assumptions!$B$14*12,IF(A452&gt;=12,Assumptions!$B$15,0))-Pricing_M!$B$13,Assumptions!$B$9/12*(1+Assumptions!$B$10)^INT(A452/12)+Assumptions!$B$12*(1+Assumptions!$B$11)^(INT(A452/12)+1)/12))*J452</f>
        <v>38.7881960304845</v>
      </c>
      <c r="V452" s="32" t="n">
        <f aca="false">V451*(1-F451)*(1-(1-(1-MIN(1,G451*(1-Assumptions!$B$23)))^(1/12)))</f>
        <v>0.05433100546203</v>
      </c>
      <c r="W452" s="47" t="n">
        <f aca="false">V452*(IF(C452&lt;Assumptions!$B$5,Assumptions!$B$12*(1+Assumptions!$B$11)^(INT(A452/12)+1)/12+Pricing_M!$B$13*IF(A452=0,Assumptions!$B$14*12,IF(A452&gt;=12,Assumptions!$B$15,0))-Pricing_M!$B$13,Assumptions!$B$9/12*(1+Assumptions!$B$10)^INT(A452/12)+Assumptions!$B$12*(1+Assumptions!$B$11)^(INT(A452/12)+1)/12))*J452</f>
        <v>47.2237732831316</v>
      </c>
      <c r="X452" s="47" t="n">
        <f aca="false">I452*(IF(C452&lt;Assumptions!$B$5,Assumptions!$B$12*(1+Assumptions!$B$11)*(1+Assumptions!$B$24)*(1+Assumptions!$B$11+Assumptions!$B$25)^(INT(A452/12))/12+Pricing_M!$B$13*IF(A452=0,Assumptions!$B$14*12,IF(A452&gt;=12,Assumptions!$B$15,0))-Pricing_M!$B$13,Assumptions!$B$9/12*(1+Assumptions!$B$10)^INT(A452/12)+Assumptions!$B$12*(1+Assumptions!$B$11)*(1+Assumptions!$B$24)*(1+Assumptions!$B$11+Assumptions!$B$25)^(INT(A452/12))/12))*J452</f>
        <v>42.9687022656541</v>
      </c>
    </row>
    <row r="453" customFormat="false" ht="15" hidden="false" customHeight="true" outlineLevel="0" collapsed="false">
      <c r="A453" s="1" t="n">
        <v>446</v>
      </c>
      <c r="B453" s="31" t="n">
        <f aca="false">Assumptions!$B$4+A453/12</f>
        <v>102.166666666667</v>
      </c>
      <c r="C453" s="34" t="n">
        <f aca="false">Assumptions!$B$4+INT(A453/12)</f>
        <v>102</v>
      </c>
      <c r="D453" s="34" t="n">
        <f aca="false">INT(A453/12)+1</f>
        <v>38</v>
      </c>
      <c r="E453" s="32" t="n">
        <f aca="false">IFERROR(INDEX(Cohort_Survival!$G$5:$G$65,MATCH(C453,Cohort_Survival!$A$5:$A$65,0)),1)</f>
        <v>0.232834154827819</v>
      </c>
      <c r="F453" s="30" t="n">
        <f aca="false">1-(1-MIN(1,E453))^(1/12)</f>
        <v>0.0218455426835347</v>
      </c>
      <c r="G453" s="39" t="n">
        <f aca="false">IF(C453&lt;Assumptions!$B$5,IF(D453=1,Assumptions!$B$16,IF(D453=2,Assumptions!$B$17,IF(D453&lt;=5,Assumptions!$B$18,Assumptions!$B$19)))*(1-Assumptions!$B$20),0)</f>
        <v>0</v>
      </c>
      <c r="H453" s="30" t="n">
        <f aca="false">1-(1-G453)^(1/12)</f>
        <v>0</v>
      </c>
      <c r="I453" s="30" t="n">
        <f aca="false">I452*(1-F452)*(1-H452)</f>
        <v>0.0481863416868255</v>
      </c>
      <c r="J453" s="30" t="n">
        <f aca="false">INDEX(Discount_Monthly!$G$4:$G$664,MATCH(A453,Discount_Monthly!$A$4:$A$664,0))</f>
        <v>0.310558619355626</v>
      </c>
      <c r="K453" s="30" t="n">
        <f aca="false">IF(C453&lt;Assumptions!$B$5,I453*J453,0)</f>
        <v>0</v>
      </c>
      <c r="L453" s="30" t="n">
        <f aca="false">IF(C453&lt;Assumptions!$B$5,I453*(1-F453)*H453*A453*J453,0)</f>
        <v>0</v>
      </c>
      <c r="M453" s="30" t="n">
        <f aca="false">IF(A453=0,Assumptions!$B$14*12*I453*J453,IF(AND(A453&gt;=12,C453&lt;Assumptions!$B$5),Assumptions!$B$15*I453*J453,0))</f>
        <v>0</v>
      </c>
      <c r="N453" s="47" t="n">
        <f aca="false">IF(C453&gt;=Assumptions!$B$5,I453*Assumptions!$B$9/12*(1+Assumptions!$B$10)^INT(A453/12)*J453,0)</f>
        <v>41.5157258077596</v>
      </c>
      <c r="O453" s="47" t="n">
        <f aca="false">I453*Assumptions!$B$12/12*(1+Assumptions!$B$11)^(INT(A453/12)+1)*J453</f>
        <v>0.254966527412953</v>
      </c>
      <c r="P453" s="47" t="n">
        <f aca="false">O453+Pricing_M!$B$13*M453+N453-Pricing_M!$B$13*K453</f>
        <v>41.7706923351726</v>
      </c>
      <c r="Q453" s="47" t="n">
        <f aca="false">IF(C453&lt;Assumptions!$B$5,Pricing_M!$B$13*K453-Pricing_M!$B$13*M453-O453,-(N453+O453))</f>
        <v>-41.7706923351726</v>
      </c>
      <c r="R453" s="32" t="n">
        <f aca="false">R452*(1-(1-(1-MIN(1,E452*(1-Assumptions!$B$21)))^(1/12)))*(1-H452)</f>
        <v>0.0881453454265953</v>
      </c>
      <c r="S453" s="47" t="n">
        <f aca="false">R453*(IF(C453&lt;Assumptions!$B$5,Assumptions!$B$12*(1+Assumptions!$B$11)^(INT(A453/12)+1)/12+Pricing_M!$B$13*IF(A453=0,Assumptions!$B$14*12,IF(A453&gt;=12,Assumptions!$B$15,0))-Pricing_M!$B$13,Assumptions!$B$9/12*(1+Assumptions!$B$10)^INT(A453/12)+Assumptions!$B$12*(1+Assumptions!$B$11)^(INT(A453/12)+1)/12))*J453</f>
        <v>76.4094549555415</v>
      </c>
      <c r="T453" s="32" t="n">
        <f aca="false">T452*(1-F452)*(1-(1-(1-MIN(1,G452*(1+Assumptions!$B$23)))^(1/12)))</f>
        <v>0.0436509879135812</v>
      </c>
      <c r="U453" s="47" t="n">
        <f aca="false">T453*(IF(C453&lt;Assumptions!$B$5,Assumptions!$B$12*(1+Assumptions!$B$11)^(INT(A453/12)+1)/12+Pricing_M!$B$13*IF(A453=0,Assumptions!$B$14*12,IF(A453&gt;=12,Assumptions!$B$15,0))-Pricing_M!$B$13,Assumptions!$B$9/12*(1+Assumptions!$B$10)^INT(A453/12)+Assumptions!$B$12*(1+Assumptions!$B$11)^(INT(A453/12)+1)/12))*J453</f>
        <v>37.8391868408439</v>
      </c>
      <c r="V453" s="32" t="n">
        <f aca="false">V452*(1-F452)*(1-(1-(1-MIN(1,G452*(1-Assumptions!$B$23)))^(1/12)))</f>
        <v>0.0531441151631699</v>
      </c>
      <c r="W453" s="47" t="n">
        <f aca="false">V453*(IF(C453&lt;Assumptions!$B$5,Assumptions!$B$12*(1+Assumptions!$B$11)^(INT(A453/12)+1)/12+Pricing_M!$B$13*IF(A453=0,Assumptions!$B$14*12,IF(A453&gt;=12,Assumptions!$B$15,0))-Pricing_M!$B$13,Assumptions!$B$9/12*(1+Assumptions!$B$10)^INT(A453/12)+Assumptions!$B$12*(1+Assumptions!$B$11)^(INT(A453/12)+1)/12))*J453</f>
        <v>46.0683755229477</v>
      </c>
      <c r="X453" s="47" t="n">
        <f aca="false">I453*(IF(C453&lt;Assumptions!$B$5,Assumptions!$B$12*(1+Assumptions!$B$11)*(1+Assumptions!$B$24)*(1+Assumptions!$B$11+Assumptions!$B$25)^(INT(A453/12))/12+Pricing_M!$B$13*IF(A453=0,Assumptions!$B$14*12,IF(A453&gt;=12,Assumptions!$B$15,0))-Pricing_M!$B$13,Assumptions!$B$9/12*(1+Assumptions!$B$10)^INT(A453/12)+Assumptions!$B$12*(1+Assumptions!$B$11)*(1+Assumptions!$B$24)*(1+Assumptions!$B$11+Assumptions!$B$25)^(INT(A453/12))/12))*J453</f>
        <v>41.9174109582423</v>
      </c>
    </row>
    <row r="454" customFormat="false" ht="15" hidden="false" customHeight="true" outlineLevel="0" collapsed="false">
      <c r="A454" s="1" t="n">
        <v>447</v>
      </c>
      <c r="B454" s="31" t="n">
        <f aca="false">Assumptions!$B$4+A454/12</f>
        <v>102.25</v>
      </c>
      <c r="C454" s="34" t="n">
        <f aca="false">Assumptions!$B$4+INT(A454/12)</f>
        <v>102</v>
      </c>
      <c r="D454" s="34" t="n">
        <f aca="false">INT(A454/12)+1</f>
        <v>38</v>
      </c>
      <c r="E454" s="32" t="n">
        <f aca="false">IFERROR(INDEX(Cohort_Survival!$G$5:$G$65,MATCH(C454,Cohort_Survival!$A$5:$A$65,0)),1)</f>
        <v>0.232834154827819</v>
      </c>
      <c r="F454" s="30" t="n">
        <f aca="false">1-(1-MIN(1,E454))^(1/12)</f>
        <v>0.0218455426835347</v>
      </c>
      <c r="G454" s="39" t="n">
        <f aca="false">IF(C454&lt;Assumptions!$B$5,IF(D454=1,Assumptions!$B$16,IF(D454=2,Assumptions!$B$17,IF(D454&lt;=5,Assumptions!$B$18,Assumptions!$B$19)))*(1-Assumptions!$B$20),0)</f>
        <v>0</v>
      </c>
      <c r="H454" s="30" t="n">
        <f aca="false">1-(1-G454)^(1/12)</f>
        <v>0</v>
      </c>
      <c r="I454" s="30" t="n">
        <f aca="false">I453*(1-F453)*(1-H453)</f>
        <v>0.0471336849027426</v>
      </c>
      <c r="J454" s="30" t="n">
        <f aca="false">INDEX(Discount_Monthly!$G$4:$G$664,MATCH(A454,Discount_Monthly!$A$4:$A$664,0))</f>
        <v>0.309726498010392</v>
      </c>
      <c r="K454" s="30" t="n">
        <f aca="false">IF(C454&lt;Assumptions!$B$5,I454*J454,0)</f>
        <v>0</v>
      </c>
      <c r="L454" s="30" t="n">
        <f aca="false">IF(C454&lt;Assumptions!$B$5,I454*(1-F454)*H454*A454*J454,0)</f>
        <v>0</v>
      </c>
      <c r="M454" s="30" t="n">
        <f aca="false">IF(A454=0,Assumptions!$B$14*12*I454*J454,IF(AND(A454&gt;=12,C454&lt;Assumptions!$B$5),Assumptions!$B$15*I454*J454,0))</f>
        <v>0</v>
      </c>
      <c r="N454" s="47" t="n">
        <f aca="false">IF(C454&gt;=Assumptions!$B$5,I454*Assumptions!$B$9/12*(1+Assumptions!$B$10)^INT(A454/12)*J454,0)</f>
        <v>40.4999836661246</v>
      </c>
      <c r="O454" s="47" t="n">
        <f aca="false">I454*Assumptions!$B$12/12*(1+Assumptions!$B$11)^(INT(A454/12)+1)*J454</f>
        <v>0.248728403387399</v>
      </c>
      <c r="P454" s="47" t="n">
        <f aca="false">O454+Pricing_M!$B$13*M454+N454-Pricing_M!$B$13*K454</f>
        <v>40.748712069512</v>
      </c>
      <c r="Q454" s="47" t="n">
        <f aca="false">IF(C454&lt;Assumptions!$B$5,Pricing_M!$B$13*K454-Pricing_M!$B$13*M454-O454,-(N454+O454))</f>
        <v>-40.748712069512</v>
      </c>
      <c r="R454" s="32" t="n">
        <f aca="false">R453*(1-(1-(1-MIN(1,E453*(1-Assumptions!$B$21)))^(1/12)))*(1-H453)</f>
        <v>0.0866442068205257</v>
      </c>
      <c r="S454" s="47" t="n">
        <f aca="false">R454*(IF(C454&lt;Assumptions!$B$5,Assumptions!$B$12*(1+Assumptions!$B$11)^(INT(A454/12)+1)/12+Pricing_M!$B$13*IF(A454=0,Assumptions!$B$14*12,IF(A454&gt;=12,Assumptions!$B$15,0))-Pricing_M!$B$13,Assumptions!$B$9/12*(1+Assumptions!$B$10)^INT(A454/12)+Assumptions!$B$12*(1+Assumptions!$B$11)^(INT(A454/12)+1)/12))*J454</f>
        <v>74.9069342553231</v>
      </c>
      <c r="T454" s="32" t="n">
        <f aca="false">T453*(1-F453)*(1-(1-(1-MIN(1,G453*(1+Assumptions!$B$23)))^(1/12)))</f>
        <v>0.0426974083939366</v>
      </c>
      <c r="U454" s="47" t="n">
        <f aca="false">T454*(IF(C454&lt;Assumptions!$B$5,Assumptions!$B$12*(1+Assumptions!$B$11)^(INT(A454/12)+1)/12+Pricing_M!$B$13*IF(A454=0,Assumptions!$B$14*12,IF(A454&gt;=12,Assumptions!$B$15,0))-Pricing_M!$B$13,Assumptions!$B$9/12*(1+Assumptions!$B$10)^INT(A454/12)+Assumptions!$B$12*(1+Assumptions!$B$11)^(INT(A454/12)+1)/12))*J454</f>
        <v>36.9133965305066</v>
      </c>
      <c r="V454" s="32" t="n">
        <f aca="false">V453*(1-F453)*(1-(1-(1-MIN(1,G453*(1-Assumptions!$B$23)))^(1/12)))</f>
        <v>0.0519831531269941</v>
      </c>
      <c r="W454" s="47" t="n">
        <f aca="false">V454*(IF(C454&lt;Assumptions!$B$5,Assumptions!$B$12*(1+Assumptions!$B$11)^(INT(A454/12)+1)/12+Pricing_M!$B$13*IF(A454=0,Assumptions!$B$14*12,IF(A454&gt;=12,Assumptions!$B$15,0))-Pricing_M!$B$13,Assumptions!$B$9/12*(1+Assumptions!$B$10)^INT(A454/12)+Assumptions!$B$12*(1+Assumptions!$B$11)^(INT(A454/12)+1)/12))*J454</f>
        <v>44.9412462362769</v>
      </c>
      <c r="X454" s="47" t="n">
        <f aca="false">I454*(IF(C454&lt;Assumptions!$B$5,Assumptions!$B$12*(1+Assumptions!$B$11)*(1+Assumptions!$B$24)*(1+Assumptions!$B$11+Assumptions!$B$25)^(INT(A454/12))/12+Pricing_M!$B$13*IF(A454=0,Assumptions!$B$14*12,IF(A454&gt;=12,Assumptions!$B$15,0))-Pricing_M!$B$13,Assumptions!$B$9/12*(1+Assumptions!$B$10)^INT(A454/12)+Assumptions!$B$12*(1+Assumptions!$B$11)*(1+Assumptions!$B$24)*(1+Assumptions!$B$11+Assumptions!$B$25)^(INT(A454/12))/12))*J454</f>
        <v>40.8918410097443</v>
      </c>
    </row>
    <row r="455" customFormat="false" ht="15" hidden="false" customHeight="true" outlineLevel="0" collapsed="false">
      <c r="A455" s="1" t="n">
        <v>448</v>
      </c>
      <c r="B455" s="31" t="n">
        <f aca="false">Assumptions!$B$4+A455/12</f>
        <v>102.333333333333</v>
      </c>
      <c r="C455" s="34" t="n">
        <f aca="false">Assumptions!$B$4+INT(A455/12)</f>
        <v>102</v>
      </c>
      <c r="D455" s="34" t="n">
        <f aca="false">INT(A455/12)+1</f>
        <v>38</v>
      </c>
      <c r="E455" s="32" t="n">
        <f aca="false">IFERROR(INDEX(Cohort_Survival!$G$5:$G$65,MATCH(C455,Cohort_Survival!$A$5:$A$65,0)),1)</f>
        <v>0.232834154827819</v>
      </c>
      <c r="F455" s="30" t="n">
        <f aca="false">1-(1-MIN(1,E455))^(1/12)</f>
        <v>0.0218455426835347</v>
      </c>
      <c r="G455" s="39" t="n">
        <f aca="false">IF(C455&lt;Assumptions!$B$5,IF(D455=1,Assumptions!$B$16,IF(D455=2,Assumptions!$B$17,IF(D455&lt;=5,Assumptions!$B$18,Assumptions!$B$19)))*(1-Assumptions!$B$20),0)</f>
        <v>0</v>
      </c>
      <c r="H455" s="30" t="n">
        <f aca="false">1-(1-G455)^(1/12)</f>
        <v>0</v>
      </c>
      <c r="I455" s="30" t="n">
        <f aca="false">I454*(1-F454)*(1-H454)</f>
        <v>0.0461040239773674</v>
      </c>
      <c r="J455" s="30" t="n">
        <f aca="false">INDEX(Discount_Monthly!$G$4:$G$664,MATCH(A455,Discount_Monthly!$A$4:$A$664,0))</f>
        <v>0.30889660627944</v>
      </c>
      <c r="K455" s="30" t="n">
        <f aca="false">IF(C455&lt;Assumptions!$B$5,I455*J455,0)</f>
        <v>0</v>
      </c>
      <c r="L455" s="30" t="n">
        <f aca="false">IF(C455&lt;Assumptions!$B$5,I455*(1-F455)*H455*A455*J455,0)</f>
        <v>0</v>
      </c>
      <c r="M455" s="30" t="n">
        <f aca="false">IF(A455=0,Assumptions!$B$14*12*I455*J455,IF(AND(A455&gt;=12,C455&lt;Assumptions!$B$5),Assumptions!$B$15*I455*J455,0))</f>
        <v>0</v>
      </c>
      <c r="N455" s="47" t="n">
        <f aca="false">IF(C455&gt;=Assumptions!$B$5,I455*Assumptions!$B$9/12*(1+Assumptions!$B$10)^INT(A455/12)*J455,0)</f>
        <v>39.5090931217632</v>
      </c>
      <c r="O455" s="47" t="n">
        <f aca="false">I455*Assumptions!$B$12/12*(1+Assumptions!$B$11)^(INT(A455/12)+1)*J455</f>
        <v>0.242642904068128</v>
      </c>
      <c r="P455" s="47" t="n">
        <f aca="false">O455+Pricing_M!$B$13*M455+N455-Pricing_M!$B$13*K455</f>
        <v>39.7517360258313</v>
      </c>
      <c r="Q455" s="47" t="n">
        <f aca="false">IF(C455&lt;Assumptions!$B$5,Pricing_M!$B$13*K455-Pricing_M!$B$13*M455-O455,-(N455+O455))</f>
        <v>-39.7517360258313</v>
      </c>
      <c r="R455" s="32" t="n">
        <f aca="false">R454*(1-(1-(1-MIN(1,E454*(1-Assumptions!$B$21)))^(1/12)))*(1-H454)</f>
        <v>0.0851686330029735</v>
      </c>
      <c r="S455" s="47" t="n">
        <f aca="false">R455*(IF(C455&lt;Assumptions!$B$5,Assumptions!$B$12*(1+Assumptions!$B$11)^(INT(A455/12)+1)/12+Pricing_M!$B$13*IF(A455=0,Assumptions!$B$14*12,IF(A455&gt;=12,Assumptions!$B$15,0))-Pricing_M!$B$13,Assumptions!$B$9/12*(1+Assumptions!$B$10)^INT(A455/12)+Assumptions!$B$12*(1+Assumptions!$B$11)^(INT(A455/12)+1)/12))*J455</f>
        <v>73.4339592239737</v>
      </c>
      <c r="T455" s="32" t="n">
        <f aca="false">T454*(1-F454)*(1-(1-(1-MIN(1,G454*(1+Assumptions!$B$23)))^(1/12)))</f>
        <v>0.0417646603363905</v>
      </c>
      <c r="U455" s="47" t="n">
        <f aca="false">T455*(IF(C455&lt;Assumptions!$B$5,Assumptions!$B$12*(1+Assumptions!$B$11)^(INT(A455/12)+1)/12+Pricing_M!$B$13*IF(A455=0,Assumptions!$B$14*12,IF(A455&gt;=12,Assumptions!$B$15,0))-Pricing_M!$B$13,Assumptions!$B$9/12*(1+Assumptions!$B$10)^INT(A455/12)+Assumptions!$B$12*(1+Assumptions!$B$11)^(INT(A455/12)+1)/12))*J455</f>
        <v>36.010257016084</v>
      </c>
      <c r="V455" s="32" t="n">
        <f aca="false">V454*(1-F454)*(1-(1-(1-MIN(1,G454*(1-Assumptions!$B$23)))^(1/12)))</f>
        <v>0.0508475529365337</v>
      </c>
      <c r="W455" s="47" t="n">
        <f aca="false">V455*(IF(C455&lt;Assumptions!$B$5,Assumptions!$B$12*(1+Assumptions!$B$11)^(INT(A455/12)+1)/12+Pricing_M!$B$13*IF(A455=0,Assumptions!$B$14*12,IF(A455&gt;=12,Assumptions!$B$15,0))-Pricing_M!$B$13,Assumptions!$B$9/12*(1+Assumptions!$B$10)^INT(A455/12)+Assumptions!$B$12*(1+Assumptions!$B$11)^(INT(A455/12)+1)/12))*J455</f>
        <v>43.8416937941213</v>
      </c>
      <c r="X455" s="47" t="n">
        <f aca="false">I455*(IF(C455&lt;Assumptions!$B$5,Assumptions!$B$12*(1+Assumptions!$B$11)*(1+Assumptions!$B$24)*(1+Assumptions!$B$11+Assumptions!$B$25)^(INT(A455/12))/12+Pricing_M!$B$13*IF(A455=0,Assumptions!$B$14*12,IF(A455&gt;=12,Assumptions!$B$15,0))-Pricing_M!$B$13,Assumptions!$B$9/12*(1+Assumptions!$B$10)^INT(A455/12)+Assumptions!$B$12*(1+Assumptions!$B$11)*(1+Assumptions!$B$24)*(1+Assumptions!$B$11+Assumptions!$B$25)^(INT(A455/12))/12))*J455</f>
        <v>39.8913631099969</v>
      </c>
    </row>
    <row r="456" customFormat="false" ht="15" hidden="false" customHeight="true" outlineLevel="0" collapsed="false">
      <c r="A456" s="1" t="n">
        <v>449</v>
      </c>
      <c r="B456" s="31" t="n">
        <f aca="false">Assumptions!$B$4+A456/12</f>
        <v>102.416666666667</v>
      </c>
      <c r="C456" s="34" t="n">
        <f aca="false">Assumptions!$B$4+INT(A456/12)</f>
        <v>102</v>
      </c>
      <c r="D456" s="34" t="n">
        <f aca="false">INT(A456/12)+1</f>
        <v>38</v>
      </c>
      <c r="E456" s="32" t="n">
        <f aca="false">IFERROR(INDEX(Cohort_Survival!$G$5:$G$65,MATCH(C456,Cohort_Survival!$A$5:$A$65,0)),1)</f>
        <v>0.232834154827819</v>
      </c>
      <c r="F456" s="30" t="n">
        <f aca="false">1-(1-MIN(1,E456))^(1/12)</f>
        <v>0.0218455426835347</v>
      </c>
      <c r="G456" s="39" t="n">
        <f aca="false">IF(C456&lt;Assumptions!$B$5,IF(D456=1,Assumptions!$B$16,IF(D456=2,Assumptions!$B$17,IF(D456&lt;=5,Assumptions!$B$18,Assumptions!$B$19)))*(1-Assumptions!$B$20),0)</f>
        <v>0</v>
      </c>
      <c r="H456" s="30" t="n">
        <f aca="false">1-(1-G456)^(1/12)</f>
        <v>0</v>
      </c>
      <c r="I456" s="30" t="n">
        <f aca="false">I455*(1-F455)*(1-H455)</f>
        <v>0.0450968565536871</v>
      </c>
      <c r="J456" s="30" t="n">
        <f aca="false">INDEX(Discount_Monthly!$G$4:$G$664,MATCH(A456,Discount_Monthly!$A$4:$A$664,0))</f>
        <v>0.308068938188666</v>
      </c>
      <c r="K456" s="30" t="n">
        <f aca="false">IF(C456&lt;Assumptions!$B$5,I456*J456,0)</f>
        <v>0</v>
      </c>
      <c r="L456" s="30" t="n">
        <f aca="false">IF(C456&lt;Assumptions!$B$5,I456*(1-F456)*H456*A456*J456,0)</f>
        <v>0</v>
      </c>
      <c r="M456" s="30" t="n">
        <f aca="false">IF(A456=0,Assumptions!$B$14*12*I456*J456,IF(AND(A456&gt;=12,C456&lt;Assumptions!$B$5),Assumptions!$B$15*I456*J456,0))</f>
        <v>0</v>
      </c>
      <c r="N456" s="47" t="n">
        <f aca="false">IF(C456&gt;=Assumptions!$B$5,I456*Assumptions!$B$9/12*(1+Assumptions!$B$10)^INT(A456/12)*J456,0)</f>
        <v>38.5424461444856</v>
      </c>
      <c r="O456" s="47" t="n">
        <f aca="false">I456*Assumptions!$B$12/12*(1+Assumptions!$B$11)^(INT(A456/12)+1)*J456</f>
        <v>0.236706295271453</v>
      </c>
      <c r="P456" s="47" t="n">
        <f aca="false">O456+Pricing_M!$B$13*M456+N456-Pricing_M!$B$13*K456</f>
        <v>38.779152439757</v>
      </c>
      <c r="Q456" s="47" t="n">
        <f aca="false">IF(C456&lt;Assumptions!$B$5,Pricing_M!$B$13*K456-Pricing_M!$B$13*M456-O456,-(N456+O456))</f>
        <v>-38.779152439757</v>
      </c>
      <c r="R456" s="32" t="n">
        <f aca="false">R455*(1-(1-(1-MIN(1,E455*(1-Assumptions!$B$21)))^(1/12)))*(1-H455)</f>
        <v>0.0837181885988114</v>
      </c>
      <c r="S456" s="47" t="n">
        <f aca="false">R456*(IF(C456&lt;Assumptions!$B$5,Assumptions!$B$12*(1+Assumptions!$B$11)^(INT(A456/12)+1)/12+Pricing_M!$B$13*IF(A456=0,Assumptions!$B$14*12,IF(A456&gt;=12,Assumptions!$B$15,0))-Pricing_M!$B$13,Assumptions!$B$9/12*(1+Assumptions!$B$10)^INT(A456/12)+Assumptions!$B$12*(1+Assumptions!$B$11)^(INT(A456/12)+1)/12))*J456</f>
        <v>71.9899488734587</v>
      </c>
      <c r="T456" s="32" t="n">
        <f aca="false">T455*(1-F455)*(1-(1-(1-MIN(1,G455*(1+Assumptions!$B$23)))^(1/12)))</f>
        <v>0.0408522886663486</v>
      </c>
      <c r="U456" s="47" t="n">
        <f aca="false">T456*(IF(C456&lt;Assumptions!$B$5,Assumptions!$B$12*(1+Assumptions!$B$11)^(INT(A456/12)+1)/12+Pricing_M!$B$13*IF(A456=0,Assumptions!$B$14*12,IF(A456&gt;=12,Assumptions!$B$15,0))-Pricing_M!$B$13,Assumptions!$B$9/12*(1+Assumptions!$B$10)^INT(A456/12)+Assumptions!$B$12*(1+Assumptions!$B$11)^(INT(A456/12)+1)/12))*J456</f>
        <v>35.1292141131678</v>
      </c>
      <c r="V456" s="32" t="n">
        <f aca="false">V455*(1-F455)*(1-(1-(1-MIN(1,G455*(1-Assumptions!$B$23)))^(1/12)))</f>
        <v>0.0497367605485053</v>
      </c>
      <c r="W456" s="47" t="n">
        <f aca="false">V456*(IF(C456&lt;Assumptions!$B$5,Assumptions!$B$12*(1+Assumptions!$B$11)^(INT(A456/12)+1)/12+Pricing_M!$B$13*IF(A456=0,Assumptions!$B$14*12,IF(A456&gt;=12,Assumptions!$B$15,0))-Pricing_M!$B$13,Assumptions!$B$9/12*(1+Assumptions!$B$10)^INT(A456/12)+Assumptions!$B$12*(1+Assumptions!$B$11)^(INT(A456/12)+1)/12))*J456</f>
        <v>42.769043489185</v>
      </c>
      <c r="X456" s="47" t="n">
        <f aca="false">I456*(IF(C456&lt;Assumptions!$B$5,Assumptions!$B$12*(1+Assumptions!$B$11)*(1+Assumptions!$B$24)*(1+Assumptions!$B$11+Assumptions!$B$25)^(INT(A456/12))/12+Pricing_M!$B$13*IF(A456=0,Assumptions!$B$14*12,IF(A456&gt;=12,Assumptions!$B$15,0))-Pricing_M!$B$13,Assumptions!$B$9/12*(1+Assumptions!$B$10)^INT(A456/12)+Assumptions!$B$12*(1+Assumptions!$B$11)*(1+Assumptions!$B$24)*(1+Assumptions!$B$11+Assumptions!$B$25)^(INT(A456/12))/12))*J456</f>
        <v>38.9153633458181</v>
      </c>
    </row>
    <row r="457" customFormat="false" ht="15" hidden="false" customHeight="true" outlineLevel="0" collapsed="false">
      <c r="A457" s="1" t="n">
        <v>450</v>
      </c>
      <c r="B457" s="31" t="n">
        <f aca="false">Assumptions!$B$4+A457/12</f>
        <v>102.5</v>
      </c>
      <c r="C457" s="34" t="n">
        <f aca="false">Assumptions!$B$4+INT(A457/12)</f>
        <v>102</v>
      </c>
      <c r="D457" s="34" t="n">
        <f aca="false">INT(A457/12)+1</f>
        <v>38</v>
      </c>
      <c r="E457" s="32" t="n">
        <f aca="false">IFERROR(INDEX(Cohort_Survival!$G$5:$G$65,MATCH(C457,Cohort_Survival!$A$5:$A$65,0)),1)</f>
        <v>0.232834154827819</v>
      </c>
      <c r="F457" s="30" t="n">
        <f aca="false">1-(1-MIN(1,E457))^(1/12)</f>
        <v>0.0218455426835347</v>
      </c>
      <c r="G457" s="39" t="n">
        <f aca="false">IF(C457&lt;Assumptions!$B$5,IF(D457=1,Assumptions!$B$16,IF(D457=2,Assumptions!$B$17,IF(D457&lt;=5,Assumptions!$B$18,Assumptions!$B$19)))*(1-Assumptions!$B$20),0)</f>
        <v>0</v>
      </c>
      <c r="H457" s="30" t="n">
        <f aca="false">1-(1-G457)^(1/12)</f>
        <v>0</v>
      </c>
      <c r="I457" s="30" t="n">
        <f aca="false">I456*(1-F456)*(1-H456)</f>
        <v>0.0441116912489503</v>
      </c>
      <c r="J457" s="30" t="n">
        <f aca="false">INDEX(Discount_Monthly!$G$4:$G$664,MATCH(A457,Discount_Monthly!$A$4:$A$664,0))</f>
        <v>0.307243487779972</v>
      </c>
      <c r="K457" s="30" t="n">
        <f aca="false">IF(C457&lt;Assumptions!$B$5,I457*J457,0)</f>
        <v>0</v>
      </c>
      <c r="L457" s="30" t="n">
        <f aca="false">IF(C457&lt;Assumptions!$B$5,I457*(1-F457)*H457*A457*J457,0)</f>
        <v>0</v>
      </c>
      <c r="M457" s="30" t="n">
        <f aca="false">IF(A457=0,Assumptions!$B$14*12*I457*J457,IF(AND(A457&gt;=12,C457&lt;Assumptions!$B$5),Assumptions!$B$15*I457*J457,0))</f>
        <v>0</v>
      </c>
      <c r="N457" s="47" t="n">
        <f aca="false">IF(C457&gt;=Assumptions!$B$5,I457*Assumptions!$B$9/12*(1+Assumptions!$B$10)^INT(A457/12)*J457,0)</f>
        <v>37.5994495804382</v>
      </c>
      <c r="O457" s="47" t="n">
        <f aca="false">I457*Assumptions!$B$12/12*(1+Assumptions!$B$11)^(INT(A457/12)+1)*J457</f>
        <v>0.230914934175881</v>
      </c>
      <c r="P457" s="47" t="n">
        <f aca="false">O457+Pricing_M!$B$13*M457+N457-Pricing_M!$B$13*K457</f>
        <v>37.830364514614</v>
      </c>
      <c r="Q457" s="47" t="n">
        <f aca="false">IF(C457&lt;Assumptions!$B$5,Pricing_M!$B$13*K457-Pricing_M!$B$13*M457-O457,-(N457+O457))</f>
        <v>-37.830364514614</v>
      </c>
      <c r="R457" s="32" t="n">
        <f aca="false">R456*(1-(1-(1-MIN(1,E456*(1-Assumptions!$B$21)))^(1/12)))*(1-H456)</f>
        <v>0.0822924456474658</v>
      </c>
      <c r="S457" s="47" t="n">
        <f aca="false">R457*(IF(C457&lt;Assumptions!$B$5,Assumptions!$B$12*(1+Assumptions!$B$11)^(INT(A457/12)+1)/12+Pricing_M!$B$13*IF(A457=0,Assumptions!$B$14*12,IF(A457&gt;=12,Assumptions!$B$15,0))-Pricing_M!$B$13,Assumptions!$B$9/12*(1+Assumptions!$B$10)^INT(A457/12)+Assumptions!$B$12*(1+Assumptions!$B$11)^(INT(A457/12)+1)/12))*J457</f>
        <v>70.5743336403311</v>
      </c>
      <c r="T457" s="32" t="n">
        <f aca="false">T456*(1-F456)*(1-(1-(1-MIN(1,G456*(1+Assumptions!$B$23)))^(1/12)))</f>
        <v>0.0399598482505678</v>
      </c>
      <c r="U457" s="47" t="n">
        <f aca="false">T457*(IF(C457&lt;Assumptions!$B$5,Assumptions!$B$12*(1+Assumptions!$B$11)^(INT(A457/12)+1)/12+Pricing_M!$B$13*IF(A457=0,Assumptions!$B$14*12,IF(A457&gt;=12,Assumptions!$B$15,0))-Pricing_M!$B$13,Assumptions!$B$9/12*(1+Assumptions!$B$10)^INT(A457/12)+Assumptions!$B$12*(1+Assumptions!$B$11)^(INT(A457/12)+1)/12))*J457</f>
        <v>34.2697271962705</v>
      </c>
      <c r="V457" s="32" t="n">
        <f aca="false">V456*(1-F456)*(1-(1-(1-MIN(1,G456*(1-Assumptions!$B$23)))^(1/12)))</f>
        <v>0.0486502340230022</v>
      </c>
      <c r="W457" s="47" t="n">
        <f aca="false">V457*(IF(C457&lt;Assumptions!$B$5,Assumptions!$B$12*(1+Assumptions!$B$11)^(INT(A457/12)+1)/12+Pricing_M!$B$13*IF(A457=0,Assumptions!$B$14*12,IF(A457&gt;=12,Assumptions!$B$15,0))-Pricing_M!$B$13,Assumptions!$B$9/12*(1+Assumptions!$B$10)^INT(A457/12)+Assumptions!$B$12*(1+Assumptions!$B$11)^(INT(A457/12)+1)/12))*J457</f>
        <v>41.7226371218593</v>
      </c>
      <c r="X457" s="47" t="n">
        <f aca="false">I457*(IF(C457&lt;Assumptions!$B$5,Assumptions!$B$12*(1+Assumptions!$B$11)*(1+Assumptions!$B$24)*(1+Assumptions!$B$11+Assumptions!$B$25)^(INT(A457/12))/12+Pricing_M!$B$13*IF(A457=0,Assumptions!$B$14*12,IF(A457&gt;=12,Assumptions!$B$15,0))-Pricing_M!$B$13,Assumptions!$B$9/12*(1+Assumptions!$B$10)^INT(A457/12)+Assumptions!$B$12*(1+Assumptions!$B$11)*(1+Assumptions!$B$24)*(1+Assumptions!$B$11+Assumptions!$B$25)^(INT(A457/12))/12))*J457</f>
        <v>37.9632428242976</v>
      </c>
    </row>
    <row r="458" customFormat="false" ht="15" hidden="false" customHeight="true" outlineLevel="0" collapsed="false">
      <c r="A458" s="1" t="n">
        <v>451</v>
      </c>
      <c r="B458" s="31" t="n">
        <f aca="false">Assumptions!$B$4+A458/12</f>
        <v>102.583333333333</v>
      </c>
      <c r="C458" s="34" t="n">
        <f aca="false">Assumptions!$B$4+INT(A458/12)</f>
        <v>102</v>
      </c>
      <c r="D458" s="34" t="n">
        <f aca="false">INT(A458/12)+1</f>
        <v>38</v>
      </c>
      <c r="E458" s="32" t="n">
        <f aca="false">IFERROR(INDEX(Cohort_Survival!$G$5:$G$65,MATCH(C458,Cohort_Survival!$A$5:$A$65,0)),1)</f>
        <v>0.232834154827819</v>
      </c>
      <c r="F458" s="30" t="n">
        <f aca="false">1-(1-MIN(1,E458))^(1/12)</f>
        <v>0.0218455426835347</v>
      </c>
      <c r="G458" s="39" t="n">
        <f aca="false">IF(C458&lt;Assumptions!$B$5,IF(D458=1,Assumptions!$B$16,IF(D458=2,Assumptions!$B$17,IF(D458&lt;=5,Assumptions!$B$18,Assumptions!$B$19)))*(1-Assumptions!$B$20),0)</f>
        <v>0</v>
      </c>
      <c r="H458" s="30" t="n">
        <f aca="false">1-(1-G458)^(1/12)</f>
        <v>0</v>
      </c>
      <c r="I458" s="30" t="n">
        <f aca="false">I457*(1-F457)*(1-H457)</f>
        <v>0.0431480474149285</v>
      </c>
      <c r="J458" s="30" t="n">
        <f aca="false">INDEX(Discount_Monthly!$G$4:$G$664,MATCH(A458,Discount_Monthly!$A$4:$A$664,0))</f>
        <v>0.306420249111226</v>
      </c>
      <c r="K458" s="30" t="n">
        <f aca="false">IF(C458&lt;Assumptions!$B$5,I458*J458,0)</f>
        <v>0</v>
      </c>
      <c r="L458" s="30" t="n">
        <f aca="false">IF(C458&lt;Assumptions!$B$5,I458*(1-F458)*H458*A458*J458,0)</f>
        <v>0</v>
      </c>
      <c r="M458" s="30" t="n">
        <f aca="false">IF(A458=0,Assumptions!$B$14*12*I458*J458,IF(AND(A458&gt;=12,C458&lt;Assumptions!$B$5),Assumptions!$B$15*I458*J458,0))</f>
        <v>0</v>
      </c>
      <c r="N458" s="47" t="n">
        <f aca="false">IF(C458&gt;=Assumptions!$B$5,I458*Assumptions!$B$9/12*(1+Assumptions!$B$10)^INT(A458/12)*J458,0)</f>
        <v>36.6795247881323</v>
      </c>
      <c r="O458" s="47" t="n">
        <f aca="false">I458*Assumptions!$B$12/12*(1+Assumptions!$B$11)^(INT(A458/12)+1)*J458</f>
        <v>0.225265267086802</v>
      </c>
      <c r="P458" s="47" t="n">
        <f aca="false">O458+Pricing_M!$B$13*M458+N458-Pricing_M!$B$13*K458</f>
        <v>36.9047900552191</v>
      </c>
      <c r="Q458" s="47" t="n">
        <f aca="false">IF(C458&lt;Assumptions!$B$5,Pricing_M!$B$13*K458-Pricing_M!$B$13*M458-O458,-(N458+O458))</f>
        <v>-36.9047900552191</v>
      </c>
      <c r="R458" s="32" t="n">
        <f aca="false">R457*(1-(1-(1-MIN(1,E457*(1-Assumptions!$B$21)))^(1/12)))*(1-H457)</f>
        <v>0.080890983476645</v>
      </c>
      <c r="S458" s="47" t="n">
        <f aca="false">R458*(IF(C458&lt;Assumptions!$B$5,Assumptions!$B$12*(1+Assumptions!$B$11)^(INT(A458/12)+1)/12+Pricing_M!$B$13*IF(A458=0,Assumptions!$B$14*12,IF(A458&gt;=12,Assumptions!$B$15,0))-Pricing_M!$B$13,Assumptions!$B$9/12*(1+Assumptions!$B$10)^INT(A458/12)+Assumptions!$B$12*(1+Assumptions!$B$11)^(INT(A458/12)+1)/12))*J458</f>
        <v>69.1865551610785</v>
      </c>
      <c r="T458" s="32" t="n">
        <f aca="false">T457*(1-F457)*(1-(1-(1-MIN(1,G457*(1+Assumptions!$B$23)))^(1/12)))</f>
        <v>0.0390869036799824</v>
      </c>
      <c r="U458" s="47" t="n">
        <f aca="false">T458*(IF(C458&lt;Assumptions!$B$5,Assumptions!$B$12*(1+Assumptions!$B$11)^(INT(A458/12)+1)/12+Pricing_M!$B$13*IF(A458=0,Assumptions!$B$14*12,IF(A458&gt;=12,Assumptions!$B$15,0))-Pricing_M!$B$13,Assumptions!$B$9/12*(1+Assumptions!$B$10)^INT(A458/12)+Assumptions!$B$12*(1+Assumptions!$B$11)^(INT(A458/12)+1)/12))*J458</f>
        <v>33.4312688670877</v>
      </c>
      <c r="V458" s="32" t="n">
        <f aca="false">V457*(1-F457)*(1-(1-(1-MIN(1,G457*(1-Assumptions!$B$23)))^(1/12)))</f>
        <v>0.0475874432590888</v>
      </c>
      <c r="W458" s="47" t="n">
        <f aca="false">V458*(IF(C458&lt;Assumptions!$B$5,Assumptions!$B$12*(1+Assumptions!$B$11)^(INT(A458/12)+1)/12+Pricing_M!$B$13*IF(A458=0,Assumptions!$B$14*12,IF(A458&gt;=12,Assumptions!$B$15,0))-Pricing_M!$B$13,Assumptions!$B$9/12*(1+Assumptions!$B$10)^INT(A458/12)+Assumptions!$B$12*(1+Assumptions!$B$11)^(INT(A458/12)+1)/12))*J458</f>
        <v>40.7018325963391</v>
      </c>
      <c r="X458" s="47" t="n">
        <f aca="false">I458*(IF(C458&lt;Assumptions!$B$5,Assumptions!$B$12*(1+Assumptions!$B$11)*(1+Assumptions!$B$24)*(1+Assumptions!$B$11+Assumptions!$B$25)^(INT(A458/12))/12+Pricing_M!$B$13*IF(A458=0,Assumptions!$B$14*12,IF(A458&gt;=12,Assumptions!$B$15,0))-Pricing_M!$B$13,Assumptions!$B$9/12*(1+Assumptions!$B$10)^INT(A458/12)+Assumptions!$B$12*(1+Assumptions!$B$11)*(1+Assumptions!$B$24)*(1+Assumptions!$B$11+Assumptions!$B$25)^(INT(A458/12))/12))*J458</f>
        <v>37.0344173053046</v>
      </c>
    </row>
    <row r="459" customFormat="false" ht="15" hidden="false" customHeight="true" outlineLevel="0" collapsed="false">
      <c r="A459" s="1" t="n">
        <v>452</v>
      </c>
      <c r="B459" s="31" t="n">
        <f aca="false">Assumptions!$B$4+A459/12</f>
        <v>102.666666666667</v>
      </c>
      <c r="C459" s="34" t="n">
        <f aca="false">Assumptions!$B$4+INT(A459/12)</f>
        <v>102</v>
      </c>
      <c r="D459" s="34" t="n">
        <f aca="false">INT(A459/12)+1</f>
        <v>38</v>
      </c>
      <c r="E459" s="32" t="n">
        <f aca="false">IFERROR(INDEX(Cohort_Survival!$G$5:$G$65,MATCH(C459,Cohort_Survival!$A$5:$A$65,0)),1)</f>
        <v>0.232834154827819</v>
      </c>
      <c r="F459" s="30" t="n">
        <f aca="false">1-(1-MIN(1,E459))^(1/12)</f>
        <v>0.0218455426835347</v>
      </c>
      <c r="G459" s="39" t="n">
        <f aca="false">IF(C459&lt;Assumptions!$B$5,IF(D459=1,Assumptions!$B$16,IF(D459=2,Assumptions!$B$17,IF(D459&lt;=5,Assumptions!$B$18,Assumptions!$B$19)))*(1-Assumptions!$B$20),0)</f>
        <v>0</v>
      </c>
      <c r="H459" s="30" t="n">
        <f aca="false">1-(1-G459)^(1/12)</f>
        <v>0</v>
      </c>
      <c r="I459" s="30" t="n">
        <f aca="false">I458*(1-F458)*(1-H458)</f>
        <v>0.0422054549034145</v>
      </c>
      <c r="J459" s="30" t="n">
        <f aca="false">INDEX(Discount_Monthly!$G$4:$G$664,MATCH(A459,Discount_Monthly!$A$4:$A$664,0))</f>
        <v>0.305599216256217</v>
      </c>
      <c r="K459" s="30" t="n">
        <f aca="false">IF(C459&lt;Assumptions!$B$5,I459*J459,0)</f>
        <v>0</v>
      </c>
      <c r="L459" s="30" t="n">
        <f aca="false">IF(C459&lt;Assumptions!$B$5,I459*(1-F459)*H459*A459*J459,0)</f>
        <v>0</v>
      </c>
      <c r="M459" s="30" t="n">
        <f aca="false">IF(A459=0,Assumptions!$B$14*12*I459*J459,IF(AND(A459&gt;=12,C459&lt;Assumptions!$B$5),Assumptions!$B$15*I459*J459,0))</f>
        <v>0</v>
      </c>
      <c r="N459" s="47" t="n">
        <f aca="false">IF(C459&gt;=Assumptions!$B$5,I459*Assumptions!$B$9/12*(1+Assumptions!$B$10)^INT(A459/12)*J459,0)</f>
        <v>35.7821072833783</v>
      </c>
      <c r="O459" s="47" t="n">
        <f aca="false">I459*Assumptions!$B$12/12*(1+Assumptions!$B$11)^(INT(A459/12)+1)*J459</f>
        <v>0.219753827255875</v>
      </c>
      <c r="P459" s="47" t="n">
        <f aca="false">O459+Pricing_M!$B$13*M459+N459-Pricing_M!$B$13*K459</f>
        <v>36.0018611106341</v>
      </c>
      <c r="Q459" s="47" t="n">
        <f aca="false">IF(C459&lt;Assumptions!$B$5,Pricing_M!$B$13*K459-Pricing_M!$B$13*M459-O459,-(N459+O459))</f>
        <v>-36.0018611106341</v>
      </c>
      <c r="R459" s="32" t="n">
        <f aca="false">R458*(1-(1-(1-MIN(1,E458*(1-Assumptions!$B$21)))^(1/12)))*(1-H458)</f>
        <v>0.0795133885782183</v>
      </c>
      <c r="S459" s="47" t="n">
        <f aca="false">R459*(IF(C459&lt;Assumptions!$B$5,Assumptions!$B$12*(1+Assumptions!$B$11)^(INT(A459/12)+1)/12+Pricing_M!$B$13*IF(A459=0,Assumptions!$B$14*12,IF(A459&gt;=12,Assumptions!$B$15,0))-Pricing_M!$B$13,Assumptions!$B$9/12*(1+Assumptions!$B$10)^INT(A459/12)+Assumptions!$B$12*(1+Assumptions!$B$11)^(INT(A459/12)+1)/12))*J459</f>
        <v>67.8260660518863</v>
      </c>
      <c r="T459" s="32" t="n">
        <f aca="false">T458*(1-F458)*(1-(1-(1-MIN(1,G458*(1+Assumptions!$B$23)))^(1/12)))</f>
        <v>0.0382330290572742</v>
      </c>
      <c r="U459" s="47" t="n">
        <f aca="false">T459*(IF(C459&lt;Assumptions!$B$5,Assumptions!$B$12*(1+Assumptions!$B$11)^(INT(A459/12)+1)/12+Pricing_M!$B$13*IF(A459=0,Assumptions!$B$14*12,IF(A459&gt;=12,Assumptions!$B$15,0))-Pricing_M!$B$13,Assumptions!$B$9/12*(1+Assumptions!$B$10)^INT(A459/12)+Assumptions!$B$12*(1+Assumptions!$B$11)^(INT(A459/12)+1)/12))*J459</f>
        <v>32.6133246308753</v>
      </c>
      <c r="V459" s="32" t="n">
        <f aca="false">V458*(1-F458)*(1-(1-(1-MIN(1,G458*(1-Assumptions!$B$23)))^(1/12)))</f>
        <v>0.0465478697361721</v>
      </c>
      <c r="W459" s="47" t="n">
        <f aca="false">V459*(IF(C459&lt;Assumptions!$B$5,Assumptions!$B$12*(1+Assumptions!$B$11)^(INT(A459/12)+1)/12+Pricing_M!$B$13*IF(A459=0,Assumptions!$B$14*12,IF(A459&gt;=12,Assumptions!$B$15,0))-Pricing_M!$B$13,Assumptions!$B$9/12*(1+Assumptions!$B$10)^INT(A459/12)+Assumptions!$B$12*(1+Assumptions!$B$11)^(INT(A459/12)+1)/12))*J459</f>
        <v>39.7060035266195</v>
      </c>
      <c r="X459" s="47" t="n">
        <f aca="false">I459*(IF(C459&lt;Assumptions!$B$5,Assumptions!$B$12*(1+Assumptions!$B$11)*(1+Assumptions!$B$24)*(1+Assumptions!$B$11+Assumptions!$B$25)^(INT(A459/12))/12+Pricing_M!$B$13*IF(A459=0,Assumptions!$B$14*12,IF(A459&gt;=12,Assumptions!$B$15,0))-Pricing_M!$B$13,Assumptions!$B$9/12*(1+Assumptions!$B$10)^INT(A459/12)+Assumptions!$B$12*(1+Assumptions!$B$11)*(1+Assumptions!$B$24)*(1+Assumptions!$B$11+Assumptions!$B$25)^(INT(A459/12))/12))*J459</f>
        <v>36.1283168429863</v>
      </c>
    </row>
    <row r="460" customFormat="false" ht="15" hidden="false" customHeight="true" outlineLevel="0" collapsed="false">
      <c r="A460" s="1" t="n">
        <v>453</v>
      </c>
      <c r="B460" s="31" t="n">
        <f aca="false">Assumptions!$B$4+A460/12</f>
        <v>102.75</v>
      </c>
      <c r="C460" s="34" t="n">
        <f aca="false">Assumptions!$B$4+INT(A460/12)</f>
        <v>102</v>
      </c>
      <c r="D460" s="34" t="n">
        <f aca="false">INT(A460/12)+1</f>
        <v>38</v>
      </c>
      <c r="E460" s="32" t="n">
        <f aca="false">IFERROR(INDEX(Cohort_Survival!$G$5:$G$65,MATCH(C460,Cohort_Survival!$A$5:$A$65,0)),1)</f>
        <v>0.232834154827819</v>
      </c>
      <c r="F460" s="30" t="n">
        <f aca="false">1-(1-MIN(1,E460))^(1/12)</f>
        <v>0.0218455426835347</v>
      </c>
      <c r="G460" s="39" t="n">
        <f aca="false">IF(C460&lt;Assumptions!$B$5,IF(D460=1,Assumptions!$B$16,IF(D460=2,Assumptions!$B$17,IF(D460&lt;=5,Assumptions!$B$18,Assumptions!$B$19)))*(1-Assumptions!$B$20),0)</f>
        <v>0</v>
      </c>
      <c r="H460" s="30" t="n">
        <f aca="false">1-(1-G460)^(1/12)</f>
        <v>0</v>
      </c>
      <c r="I460" s="30" t="n">
        <f aca="false">I459*(1-F459)*(1-H459)</f>
        <v>0.0412834538368439</v>
      </c>
      <c r="J460" s="30" t="n">
        <f aca="false">INDEX(Discount_Monthly!$G$4:$G$664,MATCH(A460,Discount_Monthly!$A$4:$A$664,0))</f>
        <v>0.304780383304611</v>
      </c>
      <c r="K460" s="30" t="n">
        <f aca="false">IF(C460&lt;Assumptions!$B$5,I460*J460,0)</f>
        <v>0</v>
      </c>
      <c r="L460" s="30" t="n">
        <f aca="false">IF(C460&lt;Assumptions!$B$5,I460*(1-F460)*H460*A460*J460,0)</f>
        <v>0</v>
      </c>
      <c r="M460" s="30" t="n">
        <f aca="false">IF(A460=0,Assumptions!$B$14*12*I460*J460,IF(AND(A460&gt;=12,C460&lt;Assumptions!$B$5),Assumptions!$B$15*I460*J460,0))</f>
        <v>0</v>
      </c>
      <c r="N460" s="47" t="n">
        <f aca="false">IF(C460&gt;=Assumptions!$B$5,I460*Assumptions!$B$9/12*(1+Assumptions!$B$10)^INT(A460/12)*J460,0)</f>
        <v>34.9066463929068</v>
      </c>
      <c r="O460" s="47" t="n">
        <f aca="false">I460*Assumptions!$B$12/12*(1+Assumptions!$B$11)^(INT(A460/12)+1)*J460</f>
        <v>0.214377232753759</v>
      </c>
      <c r="P460" s="47" t="n">
        <f aca="false">O460+Pricing_M!$B$13*M460+N460-Pricing_M!$B$13*K460</f>
        <v>35.1210236256605</v>
      </c>
      <c r="Q460" s="47" t="n">
        <f aca="false">IF(C460&lt;Assumptions!$B$5,Pricing_M!$B$13*K460-Pricing_M!$B$13*M460-O460,-(N460+O460))</f>
        <v>-35.1210236256605</v>
      </c>
      <c r="R460" s="32" t="n">
        <f aca="false">R459*(1-(1-(1-MIN(1,E459*(1-Assumptions!$B$21)))^(1/12)))*(1-H459)</f>
        <v>0.078159254486208</v>
      </c>
      <c r="S460" s="47" t="n">
        <f aca="false">R460*(IF(C460&lt;Assumptions!$B$5,Assumptions!$B$12*(1+Assumptions!$B$11)^(INT(A460/12)+1)/12+Pricing_M!$B$13*IF(A460=0,Assumptions!$B$14*12,IF(A460&gt;=12,Assumptions!$B$15,0))-Pricing_M!$B$13,Assumptions!$B$9/12*(1+Assumptions!$B$10)^INT(A460/12)+Assumptions!$B$12*(1+Assumptions!$B$11)^(INT(A460/12)+1)/12))*J460</f>
        <v>66.4923296927324</v>
      </c>
      <c r="T460" s="32" t="n">
        <f aca="false">T459*(1-F459)*(1-(1-(1-MIN(1,G459*(1+Assumptions!$B$23)))^(1/12)))</f>
        <v>0.0373978077890827</v>
      </c>
      <c r="U460" s="47" t="n">
        <f aca="false">T460*(IF(C460&lt;Assumptions!$B$5,Assumptions!$B$12*(1+Assumptions!$B$11)^(INT(A460/12)+1)/12+Pricing_M!$B$13*IF(A460=0,Assumptions!$B$14*12,IF(A460&gt;=12,Assumptions!$B$15,0))-Pricing_M!$B$13,Assumptions!$B$9/12*(1+Assumptions!$B$10)^INT(A460/12)+Assumptions!$B$12*(1+Assumptions!$B$11)^(INT(A460/12)+1)/12))*J460</f>
        <v>31.8153925807457</v>
      </c>
      <c r="V460" s="32" t="n">
        <f aca="false">V459*(1-F459)*(1-(1-(1-MIN(1,G459*(1-Assumptions!$B$23)))^(1/12)))</f>
        <v>0.0455310062610229</v>
      </c>
      <c r="W460" s="47" t="n">
        <f aca="false">V460*(IF(C460&lt;Assumptions!$B$5,Assumptions!$B$12*(1+Assumptions!$B$11)^(INT(A460/12)+1)/12+Pricing_M!$B$13*IF(A460=0,Assumptions!$B$14*12,IF(A460&gt;=12,Assumptions!$B$15,0))-Pricing_M!$B$13,Assumptions!$B$9/12*(1+Assumptions!$B$10)^INT(A460/12)+Assumptions!$B$12*(1+Assumptions!$B$11)^(INT(A460/12)+1)/12))*J460</f>
        <v>38.7345388521333</v>
      </c>
      <c r="X460" s="47" t="n">
        <f aca="false">I460*(IF(C460&lt;Assumptions!$B$5,Assumptions!$B$12*(1+Assumptions!$B$11)*(1+Assumptions!$B$24)*(1+Assumptions!$B$11+Assumptions!$B$25)^(INT(A460/12))/12+Pricing_M!$B$13*IF(A460=0,Assumptions!$B$14*12,IF(A460&gt;=12,Assumptions!$B$15,0))-Pricing_M!$B$13,Assumptions!$B$9/12*(1+Assumptions!$B$10)^INT(A460/12)+Assumptions!$B$12*(1+Assumptions!$B$11)*(1+Assumptions!$B$24)*(1+Assumptions!$B$11+Assumptions!$B$25)^(INT(A460/12))/12))*J460</f>
        <v>35.2443854360372</v>
      </c>
    </row>
    <row r="461" customFormat="false" ht="15" hidden="false" customHeight="true" outlineLevel="0" collapsed="false">
      <c r="A461" s="1" t="n">
        <v>454</v>
      </c>
      <c r="B461" s="31" t="n">
        <f aca="false">Assumptions!$B$4+A461/12</f>
        <v>102.833333333333</v>
      </c>
      <c r="C461" s="34" t="n">
        <f aca="false">Assumptions!$B$4+INT(A461/12)</f>
        <v>102</v>
      </c>
      <c r="D461" s="34" t="n">
        <f aca="false">INT(A461/12)+1</f>
        <v>38</v>
      </c>
      <c r="E461" s="32" t="n">
        <f aca="false">IFERROR(INDEX(Cohort_Survival!$G$5:$G$65,MATCH(C461,Cohort_Survival!$A$5:$A$65,0)),1)</f>
        <v>0.232834154827819</v>
      </c>
      <c r="F461" s="30" t="n">
        <f aca="false">1-(1-MIN(1,E461))^(1/12)</f>
        <v>0.0218455426835347</v>
      </c>
      <c r="G461" s="39" t="n">
        <f aca="false">IF(C461&lt;Assumptions!$B$5,IF(D461=1,Assumptions!$B$16,IF(D461=2,Assumptions!$B$17,IF(D461&lt;=5,Assumptions!$B$18,Assumptions!$B$19)))*(1-Assumptions!$B$20),0)</f>
        <v>0</v>
      </c>
      <c r="H461" s="30" t="n">
        <f aca="false">1-(1-G461)^(1/12)</f>
        <v>0</v>
      </c>
      <c r="I461" s="30" t="n">
        <f aca="false">I460*(1-F460)*(1-H460)</f>
        <v>0.0403815943839274</v>
      </c>
      <c r="J461" s="30" t="n">
        <f aca="false">INDEX(Discount_Monthly!$G$4:$G$664,MATCH(A461,Discount_Monthly!$A$4:$A$664,0))</f>
        <v>0.303963744361912</v>
      </c>
      <c r="K461" s="30" t="n">
        <f aca="false">IF(C461&lt;Assumptions!$B$5,I461*J461,0)</f>
        <v>0</v>
      </c>
      <c r="L461" s="30" t="n">
        <f aca="false">IF(C461&lt;Assumptions!$B$5,I461*(1-F461)*H461*A461*J461,0)</f>
        <v>0</v>
      </c>
      <c r="M461" s="30" t="n">
        <f aca="false">IF(A461=0,Assumptions!$B$14*12*I461*J461,IF(AND(A461&gt;=12,C461&lt;Assumptions!$B$5),Assumptions!$B$15*I461*J461,0))</f>
        <v>0</v>
      </c>
      <c r="N461" s="47" t="n">
        <f aca="false">IF(C461&gt;=Assumptions!$B$5,I461*Assumptions!$B$9/12*(1+Assumptions!$B$10)^INT(A461/12)*J461,0)</f>
        <v>34.0526049164646</v>
      </c>
      <c r="O461" s="47" t="n">
        <f aca="false">I461*Assumptions!$B$12/12*(1+Assumptions!$B$11)^(INT(A461/12)+1)*J461</f>
        <v>0.209132184394893</v>
      </c>
      <c r="P461" s="47" t="n">
        <f aca="false">O461+Pricing_M!$B$13*M461+N461-Pricing_M!$B$13*K461</f>
        <v>34.2617371008595</v>
      </c>
      <c r="Q461" s="47" t="n">
        <f aca="false">IF(C461&lt;Assumptions!$B$5,Pricing_M!$B$13*K461-Pricing_M!$B$13*M461-O461,-(N461+O461))</f>
        <v>-34.2617371008595</v>
      </c>
      <c r="R461" s="32" t="n">
        <f aca="false">R460*(1-(1-(1-MIN(1,E460*(1-Assumptions!$B$21)))^(1/12)))*(1-H460)</f>
        <v>0.0768281816568596</v>
      </c>
      <c r="S461" s="47" t="n">
        <f aca="false">R461*(IF(C461&lt;Assumptions!$B$5,Assumptions!$B$12*(1+Assumptions!$B$11)^(INT(A461/12)+1)/12+Pricing_M!$B$13*IF(A461=0,Assumptions!$B$14*12,IF(A461&gt;=12,Assumptions!$B$15,0))-Pricing_M!$B$13,Assumptions!$B$9/12*(1+Assumptions!$B$10)^INT(A461/12)+Assumptions!$B$12*(1+Assumptions!$B$11)^(INT(A461/12)+1)/12))*J461</f>
        <v>65.184820015727</v>
      </c>
      <c r="T461" s="32" t="n">
        <f aca="false">T460*(1-F460)*(1-(1-(1-MIN(1,G460*(1+Assumptions!$B$23)))^(1/12)))</f>
        <v>0.0365808323827556</v>
      </c>
      <c r="U461" s="47" t="n">
        <f aca="false">T461*(IF(C461&lt;Assumptions!$B$5,Assumptions!$B$12*(1+Assumptions!$B$11)^(INT(A461/12)+1)/12+Pricing_M!$B$13*IF(A461=0,Assumptions!$B$14*12,IF(A461&gt;=12,Assumptions!$B$15,0))-Pricing_M!$B$13,Assumptions!$B$9/12*(1+Assumptions!$B$10)^INT(A461/12)+Assumptions!$B$12*(1+Assumptions!$B$11)^(INT(A461/12)+1)/12))*J461</f>
        <v>31.0369830896877</v>
      </c>
      <c r="V461" s="32" t="n">
        <f aca="false">V460*(1-F460)*(1-(1-(1-MIN(1,G460*(1-Assumptions!$B$23)))^(1/12)))</f>
        <v>0.0445363567203235</v>
      </c>
      <c r="W461" s="47" t="n">
        <f aca="false">V461*(IF(C461&lt;Assumptions!$B$5,Assumptions!$B$12*(1+Assumptions!$B$11)^(INT(A461/12)+1)/12+Pricing_M!$B$13*IF(A461=0,Assumptions!$B$14*12,IF(A461&gt;=12,Assumptions!$B$15,0))-Pricing_M!$B$13,Assumptions!$B$9/12*(1+Assumptions!$B$10)^INT(A461/12)+Assumptions!$B$12*(1+Assumptions!$B$11)^(INT(A461/12)+1)/12))*J461</f>
        <v>37.7868424627917</v>
      </c>
      <c r="X461" s="47" t="n">
        <f aca="false">I461*(IF(C461&lt;Assumptions!$B$5,Assumptions!$B$12*(1+Assumptions!$B$11)*(1+Assumptions!$B$24)*(1+Assumptions!$B$11+Assumptions!$B$25)^(INT(A461/12))/12+Pricing_M!$B$13*IF(A461=0,Assumptions!$B$14*12,IF(A461&gt;=12,Assumptions!$B$15,0))-Pricing_M!$B$13,Assumptions!$B$9/12*(1+Assumptions!$B$10)^INT(A461/12)+Assumptions!$B$12*(1+Assumptions!$B$11)*(1+Assumptions!$B$24)*(1+Assumptions!$B$11+Assumptions!$B$25)^(INT(A461/12))/12))*J461</f>
        <v>34.3820806865267</v>
      </c>
    </row>
    <row r="462" customFormat="false" ht="15" hidden="false" customHeight="true" outlineLevel="0" collapsed="false">
      <c r="A462" s="1" t="n">
        <v>455</v>
      </c>
      <c r="B462" s="31" t="n">
        <f aca="false">Assumptions!$B$4+A462/12</f>
        <v>102.916666666667</v>
      </c>
      <c r="C462" s="34" t="n">
        <f aca="false">Assumptions!$B$4+INT(A462/12)</f>
        <v>102</v>
      </c>
      <c r="D462" s="34" t="n">
        <f aca="false">INT(A462/12)+1</f>
        <v>38</v>
      </c>
      <c r="E462" s="32" t="n">
        <f aca="false">IFERROR(INDEX(Cohort_Survival!$G$5:$G$65,MATCH(C462,Cohort_Survival!$A$5:$A$65,0)),1)</f>
        <v>0.232834154827819</v>
      </c>
      <c r="F462" s="30" t="n">
        <f aca="false">1-(1-MIN(1,E462))^(1/12)</f>
        <v>0.0218455426835347</v>
      </c>
      <c r="G462" s="39" t="n">
        <f aca="false">IF(C462&lt;Assumptions!$B$5,IF(D462=1,Assumptions!$B$16,IF(D462=2,Assumptions!$B$17,IF(D462&lt;=5,Assumptions!$B$18,Assumptions!$B$19)))*(1-Assumptions!$B$20),0)</f>
        <v>0</v>
      </c>
      <c r="H462" s="30" t="n">
        <f aca="false">1-(1-G462)^(1/12)</f>
        <v>0</v>
      </c>
      <c r="I462" s="30" t="n">
        <f aca="false">I461*(1-F461)*(1-H461)</f>
        <v>0.0394994365401842</v>
      </c>
      <c r="J462" s="30" t="n">
        <f aca="false">INDEX(Discount_Monthly!$G$4:$G$664,MATCH(A462,Discount_Monthly!$A$4:$A$664,0))</f>
        <v>0.303149293549419</v>
      </c>
      <c r="K462" s="30" t="n">
        <f aca="false">IF(C462&lt;Assumptions!$B$5,I462*J462,0)</f>
        <v>0</v>
      </c>
      <c r="L462" s="30" t="n">
        <f aca="false">IF(C462&lt;Assumptions!$B$5,I462*(1-F462)*H462*A462*J462,0)</f>
        <v>0</v>
      </c>
      <c r="M462" s="30" t="n">
        <f aca="false">IF(A462=0,Assumptions!$B$14*12*I462*J462,IF(AND(A462&gt;=12,C462&lt;Assumptions!$B$5),Assumptions!$B$15*I462*J462,0))</f>
        <v>0</v>
      </c>
      <c r="N462" s="47" t="n">
        <f aca="false">IF(C462&gt;=Assumptions!$B$5,I462*Assumptions!$B$9/12*(1+Assumptions!$B$10)^INT(A462/12)*J462,0)</f>
        <v>33.219458797178</v>
      </c>
      <c r="O462" s="47" t="n">
        <f aca="false">I462*Assumptions!$B$12/12*(1+Assumptions!$B$11)^(INT(A462/12)+1)*J462</f>
        <v>0.204015463713056</v>
      </c>
      <c r="P462" s="47" t="n">
        <f aca="false">O462+Pricing_M!$B$13*M462+N462-Pricing_M!$B$13*K462</f>
        <v>33.4234742608911</v>
      </c>
      <c r="Q462" s="47" t="n">
        <f aca="false">IF(C462&lt;Assumptions!$B$5,Pricing_M!$B$13*K462-Pricing_M!$B$13*M462-O462,-(N462+O462))</f>
        <v>-33.4234742608911</v>
      </c>
      <c r="R462" s="32" t="n">
        <f aca="false">R461*(1-(1-(1-MIN(1,E461*(1-Assumptions!$B$21)))^(1/12)))*(1-H461)</f>
        <v>0.0755197773507549</v>
      </c>
      <c r="S462" s="47" t="n">
        <f aca="false">R462*(IF(C462&lt;Assumptions!$B$5,Assumptions!$B$12*(1+Assumptions!$B$11)^(INT(A462/12)+1)/12+Pricing_M!$B$13*IF(A462=0,Assumptions!$B$14*12,IF(A462&gt;=12,Assumptions!$B$15,0))-Pricing_M!$B$13,Assumptions!$B$9/12*(1+Assumptions!$B$10)^INT(A462/12)+Assumptions!$B$12*(1+Assumptions!$B$11)^(INT(A462/12)+1)/12))*J462</f>
        <v>63.9030212976151</v>
      </c>
      <c r="T462" s="32" t="n">
        <f aca="false">T461*(1-F461)*(1-(1-(1-MIN(1,G461*(1+Assumptions!$B$23)))^(1/12)))</f>
        <v>0.0357817042475389</v>
      </c>
      <c r="U462" s="47" t="n">
        <f aca="false">T462*(IF(C462&lt;Assumptions!$B$5,Assumptions!$B$12*(1+Assumptions!$B$11)^(INT(A462/12)+1)/12+Pricing_M!$B$13*IF(A462=0,Assumptions!$B$14*12,IF(A462&gt;=12,Assumptions!$B$15,0))-Pricing_M!$B$13,Assumptions!$B$9/12*(1+Assumptions!$B$10)^INT(A462/12)+Assumptions!$B$12*(1+Assumptions!$B$11)^(INT(A462/12)+1)/12))*J462</f>
        <v>30.2776185101211</v>
      </c>
      <c r="V462" s="32" t="n">
        <f aca="false">V461*(1-F461)*(1-(1-(1-MIN(1,G461*(1-Assumptions!$B$23)))^(1/12)))</f>
        <v>0.0435634358386205</v>
      </c>
      <c r="W462" s="47" t="n">
        <f aca="false">V462*(IF(C462&lt;Assumptions!$B$5,Assumptions!$B$12*(1+Assumptions!$B$11)^(INT(A462/12)+1)/12+Pricing_M!$B$13*IF(A462=0,Assumptions!$B$14*12,IF(A462&gt;=12,Assumptions!$B$15,0))-Pricing_M!$B$13,Assumptions!$B$9/12*(1+Assumptions!$B$10)^INT(A462/12)+Assumptions!$B$12*(1+Assumptions!$B$11)^(INT(A462/12)+1)/12))*J462</f>
        <v>36.8623328331996</v>
      </c>
      <c r="X462" s="47" t="n">
        <f aca="false">I462*(IF(C462&lt;Assumptions!$B$5,Assumptions!$B$12*(1+Assumptions!$B$11)*(1+Assumptions!$B$24)*(1+Assumptions!$B$11+Assumptions!$B$25)^(INT(A462/12))/12+Pricing_M!$B$13*IF(A462=0,Assumptions!$B$14*12,IF(A462&gt;=12,Assumptions!$B$15,0))-Pricing_M!$B$13,Assumptions!$B$9/12*(1+Assumptions!$B$10)^INT(A462/12)+Assumptions!$B$12*(1+Assumptions!$B$11)*(1+Assumptions!$B$24)*(1+Assumptions!$B$11+Assumptions!$B$25)^(INT(A462/12))/12))*J462</f>
        <v>33.5408734670717</v>
      </c>
    </row>
    <row r="463" customFormat="false" ht="15" hidden="false" customHeight="true" outlineLevel="0" collapsed="false">
      <c r="A463" s="1" t="n">
        <v>456</v>
      </c>
      <c r="B463" s="31" t="n">
        <f aca="false">Assumptions!$B$4+A463/12</f>
        <v>103</v>
      </c>
      <c r="C463" s="34" t="n">
        <f aca="false">Assumptions!$B$4+INT(A463/12)</f>
        <v>103</v>
      </c>
      <c r="D463" s="34" t="n">
        <f aca="false">INT(A463/12)+1</f>
        <v>39</v>
      </c>
      <c r="E463" s="32" t="n">
        <f aca="false">IFERROR(INDEX(Cohort_Survival!$G$5:$G$65,MATCH(C463,Cohort_Survival!$A$5:$A$65,0)),1)</f>
        <v>0.247394878598862</v>
      </c>
      <c r="F463" s="30" t="n">
        <f aca="false">1-(1-MIN(1,E463))^(1/12)</f>
        <v>0.0234062720018363</v>
      </c>
      <c r="G463" s="39" t="n">
        <f aca="false">IF(C463&lt;Assumptions!$B$5,IF(D463=1,Assumptions!$B$16,IF(D463=2,Assumptions!$B$17,IF(D463&lt;=5,Assumptions!$B$18,Assumptions!$B$19)))*(1-Assumptions!$B$20),0)</f>
        <v>0</v>
      </c>
      <c r="H463" s="30" t="n">
        <f aca="false">1-(1-G463)^(1/12)</f>
        <v>0</v>
      </c>
      <c r="I463" s="30" t="n">
        <f aca="false">I462*(1-F462)*(1-H462)</f>
        <v>0.03863654991327</v>
      </c>
      <c r="J463" s="30" t="n">
        <f aca="false">INDEX(Discount_Monthly!$G$4:$G$664,MATCH(A463,Discount_Monthly!$A$4:$A$664,0))</f>
        <v>0.302337025004181</v>
      </c>
      <c r="K463" s="30" t="n">
        <f aca="false">IF(C463&lt;Assumptions!$B$5,I463*J463,0)</f>
        <v>0</v>
      </c>
      <c r="L463" s="30" t="n">
        <f aca="false">IF(C463&lt;Assumptions!$B$5,I463*(1-F463)*H463*A463*J463,0)</f>
        <v>0</v>
      </c>
      <c r="M463" s="30" t="n">
        <f aca="false">IF(A463=0,Assumptions!$B$14*12*I463*J463,IF(AND(A463&gt;=12,C463&lt;Assumptions!$B$5),Assumptions!$B$15*I463*J463,0))</f>
        <v>0</v>
      </c>
      <c r="N463" s="47" t="n">
        <f aca="false">IF(C463&gt;=Assumptions!$B$5,I463*Assumptions!$B$9/12*(1+Assumptions!$B$10)^INT(A463/12)*J463,0)</f>
        <v>33.0548307359806</v>
      </c>
      <c r="O463" s="47" t="n">
        <f aca="false">I463*Assumptions!$B$12/12*(1+Assumptions!$B$11)^(INT(A463/12)+1)*J463</f>
        <v>0.203999529261103</v>
      </c>
      <c r="P463" s="47" t="n">
        <f aca="false">O463+Pricing_M!$B$13*M463+N463-Pricing_M!$B$13*K463</f>
        <v>33.2588302652417</v>
      </c>
      <c r="Q463" s="47" t="n">
        <f aca="false">IF(C463&lt;Assumptions!$B$5,Pricing_M!$B$13*K463-Pricing_M!$B$13*M463-O463,-(N463+O463))</f>
        <v>-33.2588302652417</v>
      </c>
      <c r="R463" s="32" t="n">
        <f aca="false">R462*(1-(1-(1-MIN(1,E462*(1-Assumptions!$B$21)))^(1/12)))*(1-H462)</f>
        <v>0.074233655516932</v>
      </c>
      <c r="S463" s="47" t="n">
        <f aca="false">R463*(IF(C463&lt;Assumptions!$B$5,Assumptions!$B$12*(1+Assumptions!$B$11)^(INT(A463/12)+1)/12+Pricing_M!$B$13*IF(A463=0,Assumptions!$B$14*12,IF(A463&gt;=12,Assumptions!$B$15,0))-Pricing_M!$B$13,Assumptions!$B$9/12*(1+Assumptions!$B$10)^INT(A463/12)+Assumptions!$B$12*(1+Assumptions!$B$11)^(INT(A463/12)+1)/12))*J463</f>
        <v>63.9012684711295</v>
      </c>
      <c r="T463" s="32" t="n">
        <f aca="false">T462*(1-F462)*(1-(1-(1-MIN(1,G462*(1+Assumptions!$B$23)))^(1/12)))</f>
        <v>0.0350000335001097</v>
      </c>
      <c r="U463" s="47" t="n">
        <f aca="false">T463*(IF(C463&lt;Assumptions!$B$5,Assumptions!$B$12*(1+Assumptions!$B$11)^(INT(A463/12)+1)/12+Pricing_M!$B$13*IF(A463=0,Assumptions!$B$14*12,IF(A463&gt;=12,Assumptions!$B$15,0))-Pricing_M!$B$13,Assumptions!$B$9/12*(1+Assumptions!$B$10)^INT(A463/12)+Assumptions!$B$12*(1+Assumptions!$B$11)^(INT(A463/12)+1)/12))*J463</f>
        <v>30.1284709962707</v>
      </c>
      <c r="V463" s="32" t="n">
        <f aca="false">V462*(1-F462)*(1-(1-(1-MIN(1,G462*(1-Assumptions!$B$23)))^(1/12)))</f>
        <v>0.0426117689415665</v>
      </c>
      <c r="W463" s="47" t="n">
        <f aca="false">V463*(IF(C463&lt;Assumptions!$B$5,Assumptions!$B$12*(1+Assumptions!$B$11)^(INT(A463/12)+1)/12+Pricing_M!$B$13*IF(A463=0,Assumptions!$B$14*12,IF(A463&gt;=12,Assumptions!$B$15,0))-Pricing_M!$B$13,Assumptions!$B$9/12*(1+Assumptions!$B$10)^INT(A463/12)+Assumptions!$B$12*(1+Assumptions!$B$11)^(INT(A463/12)+1)/12))*J463</f>
        <v>36.6807490241903</v>
      </c>
      <c r="X463" s="47" t="n">
        <f aca="false">I463*(IF(C463&lt;Assumptions!$B$5,Assumptions!$B$12*(1+Assumptions!$B$11)*(1+Assumptions!$B$24)*(1+Assumptions!$B$11+Assumptions!$B$25)^(INT(A463/12))/12+Pricing_M!$B$13*IF(A463=0,Assumptions!$B$14*12,IF(A463&gt;=12,Assumptions!$B$15,0))-Pricing_M!$B$13,Assumptions!$B$9/12*(1+Assumptions!$B$10)^INT(A463/12)+Assumptions!$B$12*(1+Assumptions!$B$11)*(1+Assumptions!$B$24)*(1+Assumptions!$B$11+Assumptions!$B$25)^(INT(A463/12))/12))*J463</f>
        <v>33.3793558100202</v>
      </c>
    </row>
    <row r="464" customFormat="false" ht="15" hidden="false" customHeight="true" outlineLevel="0" collapsed="false">
      <c r="A464" s="1" t="n">
        <v>457</v>
      </c>
      <c r="B464" s="31" t="n">
        <f aca="false">Assumptions!$B$4+A464/12</f>
        <v>103.083333333333</v>
      </c>
      <c r="C464" s="34" t="n">
        <f aca="false">Assumptions!$B$4+INT(A464/12)</f>
        <v>103</v>
      </c>
      <c r="D464" s="34" t="n">
        <f aca="false">INT(A464/12)+1</f>
        <v>39</v>
      </c>
      <c r="E464" s="32" t="n">
        <f aca="false">IFERROR(INDEX(Cohort_Survival!$G$5:$G$65,MATCH(C464,Cohort_Survival!$A$5:$A$65,0)),1)</f>
        <v>0.247394878598862</v>
      </c>
      <c r="F464" s="30" t="n">
        <f aca="false">1-(1-MIN(1,E464))^(1/12)</f>
        <v>0.0234062720018363</v>
      </c>
      <c r="G464" s="39" t="n">
        <f aca="false">IF(C464&lt;Assumptions!$B$5,IF(D464=1,Assumptions!$B$16,IF(D464=2,Assumptions!$B$17,IF(D464&lt;=5,Assumptions!$B$18,Assumptions!$B$19)))*(1-Assumptions!$B$20),0)</f>
        <v>0</v>
      </c>
      <c r="H464" s="30" t="n">
        <f aca="false">1-(1-G464)^(1/12)</f>
        <v>0</v>
      </c>
      <c r="I464" s="30" t="n">
        <f aca="false">I463*(1-F463)*(1-H463)</f>
        <v>0.0377322123167875</v>
      </c>
      <c r="J464" s="30" t="n">
        <f aca="false">INDEX(Discount_Monthly!$G$4:$G$664,MATCH(A464,Discount_Monthly!$A$4:$A$664,0))</f>
        <v>0.301535455221919</v>
      </c>
      <c r="K464" s="30" t="n">
        <f aca="false">IF(C464&lt;Assumptions!$B$5,I464*J464,0)</f>
        <v>0</v>
      </c>
      <c r="L464" s="30" t="n">
        <f aca="false">IF(C464&lt;Assumptions!$B$5,I464*(1-F464)*H464*A464*J464,0)</f>
        <v>0</v>
      </c>
      <c r="M464" s="30" t="n">
        <f aca="false">IF(A464=0,Assumptions!$B$14*12*I464*J464,IF(AND(A464&gt;=12,C464&lt;Assumptions!$B$5),Assumptions!$B$15*I464*J464,0))</f>
        <v>0</v>
      </c>
      <c r="N464" s="47" t="n">
        <f aca="false">IF(C464&gt;=Assumptions!$B$5,I464*Assumptions!$B$9/12*(1+Assumptions!$B$10)^INT(A464/12)*J464,0)</f>
        <v>32.1955551374044</v>
      </c>
      <c r="O464" s="47" t="n">
        <f aca="false">I464*Assumptions!$B$12/12*(1+Assumptions!$B$11)^(INT(A464/12)+1)*J464</f>
        <v>0.198696467236214</v>
      </c>
      <c r="P464" s="47" t="n">
        <f aca="false">O464+Pricing_M!$B$13*M464+N464-Pricing_M!$B$13*K464</f>
        <v>32.3942516046406</v>
      </c>
      <c r="Q464" s="47" t="n">
        <f aca="false">IF(C464&lt;Assumptions!$B$5,Pricing_M!$B$13*K464-Pricing_M!$B$13*M464-O464,-(N464+O464))</f>
        <v>-32.3942516046406</v>
      </c>
      <c r="R464" s="32" t="n">
        <f aca="false">R463*(1-(1-(1-MIN(1,E463*(1-Assumptions!$B$21)))^(1/12)))*(1-H463)</f>
        <v>0.0728818138601107</v>
      </c>
      <c r="S464" s="47" t="n">
        <f aca="false">R464*(IF(C464&lt;Assumptions!$B$5,Assumptions!$B$12*(1+Assumptions!$B$11)^(INT(A464/12)+1)/12+Pricing_M!$B$13*IF(A464=0,Assumptions!$B$14*12,IF(A464&gt;=12,Assumptions!$B$15,0))-Pricing_M!$B$13,Assumptions!$B$9/12*(1+Assumptions!$B$10)^INT(A464/12)+Assumptions!$B$12*(1+Assumptions!$B$11)^(INT(A464/12)+1)/12))*J464</f>
        <v>62.5712533303167</v>
      </c>
      <c r="T464" s="32" t="n">
        <f aca="false">T463*(1-F463)*(1-(1-(1-MIN(1,G463*(1+Assumptions!$B$23)))^(1/12)))</f>
        <v>0.0341808131959327</v>
      </c>
      <c r="U464" s="47" t="n">
        <f aca="false">T464*(IF(C464&lt;Assumptions!$B$5,Assumptions!$B$12*(1+Assumptions!$B$11)^(INT(A464/12)+1)/12+Pricing_M!$B$13*IF(A464=0,Assumptions!$B$14*12,IF(A464&gt;=12,Assumptions!$B$15,0))-Pricing_M!$B$13,Assumptions!$B$9/12*(1+Assumptions!$B$10)^INT(A464/12)+Assumptions!$B$12*(1+Assumptions!$B$11)^(INT(A464/12)+1)/12))*J464</f>
        <v>29.3452674713068</v>
      </c>
      <c r="V464" s="32" t="n">
        <f aca="false">V463*(1-F463)*(1-(1-(1-MIN(1,G463*(1-Assumptions!$B$23)))^(1/12)))</f>
        <v>0.0416143862872408</v>
      </c>
      <c r="W464" s="47" t="n">
        <f aca="false">V464*(IF(C464&lt;Assumptions!$B$5,Assumptions!$B$12*(1+Assumptions!$B$11)^(INT(A464/12)+1)/12+Pricing_M!$B$13*IF(A464=0,Assumptions!$B$14*12,IF(A464&gt;=12,Assumptions!$B$15,0))-Pricing_M!$B$13,Assumptions!$B$9/12*(1+Assumptions!$B$10)^INT(A464/12)+Assumptions!$B$12*(1+Assumptions!$B$11)^(INT(A464/12)+1)/12))*J464</f>
        <v>35.7272160042896</v>
      </c>
      <c r="X464" s="47" t="n">
        <f aca="false">I464*(IF(C464&lt;Assumptions!$B$5,Assumptions!$B$12*(1+Assumptions!$B$11)*(1+Assumptions!$B$24)*(1+Assumptions!$B$11+Assumptions!$B$25)^(INT(A464/12))/12+Pricing_M!$B$13*IF(A464=0,Assumptions!$B$14*12,IF(A464&gt;=12,Assumptions!$B$15,0))-Pricing_M!$B$13,Assumptions!$B$9/12*(1+Assumptions!$B$10)^INT(A464/12)+Assumptions!$B$12*(1+Assumptions!$B$11)*(1+Assumptions!$B$24)*(1+Assumptions!$B$11+Assumptions!$B$25)^(INT(A464/12))/12))*J464</f>
        <v>32.5116440321916</v>
      </c>
    </row>
    <row r="465" customFormat="false" ht="15" hidden="false" customHeight="true" outlineLevel="0" collapsed="false">
      <c r="A465" s="1" t="n">
        <v>458</v>
      </c>
      <c r="B465" s="31" t="n">
        <f aca="false">Assumptions!$B$4+A465/12</f>
        <v>103.166666666667</v>
      </c>
      <c r="C465" s="34" t="n">
        <f aca="false">Assumptions!$B$4+INT(A465/12)</f>
        <v>103</v>
      </c>
      <c r="D465" s="34" t="n">
        <f aca="false">INT(A465/12)+1</f>
        <v>39</v>
      </c>
      <c r="E465" s="32" t="n">
        <f aca="false">IFERROR(INDEX(Cohort_Survival!$G$5:$G$65,MATCH(C465,Cohort_Survival!$A$5:$A$65,0)),1)</f>
        <v>0.247394878598862</v>
      </c>
      <c r="F465" s="30" t="n">
        <f aca="false">1-(1-MIN(1,E465))^(1/12)</f>
        <v>0.0234062720018363</v>
      </c>
      <c r="G465" s="39" t="n">
        <f aca="false">IF(C465&lt;Assumptions!$B$5,IF(D465=1,Assumptions!$B$16,IF(D465=2,Assumptions!$B$17,IF(D465&lt;=5,Assumptions!$B$18,Assumptions!$B$19)))*(1-Assumptions!$B$20),0)</f>
        <v>0</v>
      </c>
      <c r="H465" s="30" t="n">
        <f aca="false">1-(1-G465)^(1/12)</f>
        <v>0</v>
      </c>
      <c r="I465" s="30" t="n">
        <f aca="false">I464*(1-F464)*(1-H464)</f>
        <v>0.0368490418920697</v>
      </c>
      <c r="J465" s="30" t="n">
        <f aca="false">INDEX(Discount_Monthly!$G$4:$G$664,MATCH(A465,Discount_Monthly!$A$4:$A$664,0))</f>
        <v>0.300736010598214</v>
      </c>
      <c r="K465" s="30" t="n">
        <f aca="false">IF(C465&lt;Assumptions!$B$5,I465*J465,0)</f>
        <v>0</v>
      </c>
      <c r="L465" s="30" t="n">
        <f aca="false">IF(C465&lt;Assumptions!$B$5,I465*(1-F465)*H465*A465*J465,0)</f>
        <v>0</v>
      </c>
      <c r="M465" s="30" t="n">
        <f aca="false">IF(A465=0,Assumptions!$B$14*12*I465*J465,IF(AND(A465&gt;=12,C465&lt;Assumptions!$B$5),Assumptions!$B$15*I465*J465,0))</f>
        <v>0</v>
      </c>
      <c r="N465" s="47" t="n">
        <f aca="false">IF(C465&gt;=Assumptions!$B$5,I465*Assumptions!$B$9/12*(1+Assumptions!$B$10)^INT(A465/12)*J465,0)</f>
        <v>31.3586168050573</v>
      </c>
      <c r="O465" s="47" t="n">
        <f aca="false">I465*Assumptions!$B$12/12*(1+Assumptions!$B$11)^(INT(A465/12)+1)*J465</f>
        <v>0.19353126075904</v>
      </c>
      <c r="P465" s="47" t="n">
        <f aca="false">O465+Pricing_M!$B$13*M465+N465-Pricing_M!$B$13*K465</f>
        <v>31.5521480658164</v>
      </c>
      <c r="Q465" s="47" t="n">
        <f aca="false">IF(C465&lt;Assumptions!$B$5,Pricing_M!$B$13*K465-Pricing_M!$B$13*M465-O465,-(N465+O465))</f>
        <v>-31.5521480658164</v>
      </c>
      <c r="R465" s="32" t="n">
        <f aca="false">R464*(1-(1-(1-MIN(1,E464*(1-Assumptions!$B$21)))^(1/12)))*(1-H464)</f>
        <v>0.0715545900919328</v>
      </c>
      <c r="S465" s="47" t="n">
        <f aca="false">R465*(IF(C465&lt;Assumptions!$B$5,Assumptions!$B$12*(1+Assumptions!$B$11)^(INT(A465/12)+1)/12+Pricing_M!$B$13*IF(A465=0,Assumptions!$B$14*12,IF(A465&gt;=12,Assumptions!$B$15,0))-Pricing_M!$B$13,Assumptions!$B$9/12*(1+Assumptions!$B$10)^INT(A465/12)+Assumptions!$B$12*(1+Assumptions!$B$11)^(INT(A465/12)+1)/12))*J465</f>
        <v>61.2689205863814</v>
      </c>
      <c r="T465" s="32" t="n">
        <f aca="false">T464*(1-F464)*(1-(1-(1-MIN(1,G464*(1+Assumptions!$B$23)))^(1/12)))</f>
        <v>0.0333807677850248</v>
      </c>
      <c r="U465" s="47" t="n">
        <f aca="false">T465*(IF(C465&lt;Assumptions!$B$5,Assumptions!$B$12*(1+Assumptions!$B$11)^(INT(A465/12)+1)/12+Pricing_M!$B$13*IF(A465=0,Assumptions!$B$14*12,IF(A465&gt;=12,Assumptions!$B$15,0))-Pricing_M!$B$13,Assumptions!$B$9/12*(1+Assumptions!$B$10)^INT(A465/12)+Assumptions!$B$12*(1+Assumptions!$B$11)^(INT(A465/12)+1)/12))*J465</f>
        <v>28.5824236838679</v>
      </c>
      <c r="V465" s="32" t="n">
        <f aca="false">V464*(1-F464)*(1-(1-(1-MIN(1,G464*(1-Assumptions!$B$23)))^(1/12)))</f>
        <v>0.0406403486426121</v>
      </c>
      <c r="W465" s="47" t="n">
        <f aca="false">V465*(IF(C465&lt;Assumptions!$B$5,Assumptions!$B$12*(1+Assumptions!$B$11)^(INT(A465/12)+1)/12+Pricing_M!$B$13*IF(A465=0,Assumptions!$B$14*12,IF(A465&gt;=12,Assumptions!$B$15,0))-Pricing_M!$B$13,Assumptions!$B$9/12*(1+Assumptions!$B$10)^INT(A465/12)+Assumptions!$B$12*(1+Assumptions!$B$11)^(INT(A465/12)+1)/12))*J465</f>
        <v>34.7984705158388</v>
      </c>
      <c r="X465" s="47" t="n">
        <f aca="false">I465*(IF(C465&lt;Assumptions!$B$5,Assumptions!$B$12*(1+Assumptions!$B$11)*(1+Assumptions!$B$24)*(1+Assumptions!$B$11+Assumptions!$B$25)^(INT(A465/12))/12+Pricing_M!$B$13*IF(A465=0,Assumptions!$B$14*12,IF(A465&gt;=12,Assumptions!$B$15,0))-Pricing_M!$B$13,Assumptions!$B$9/12*(1+Assumptions!$B$10)^INT(A465/12)+Assumptions!$B$12*(1+Assumptions!$B$11)*(1+Assumptions!$B$24)*(1+Assumptions!$B$11+Assumptions!$B$25)^(INT(A465/12))/12))*J465</f>
        <v>31.6664888229698</v>
      </c>
    </row>
    <row r="466" customFormat="false" ht="15" hidden="false" customHeight="true" outlineLevel="0" collapsed="false">
      <c r="A466" s="1" t="n">
        <v>459</v>
      </c>
      <c r="B466" s="31" t="n">
        <f aca="false">Assumptions!$B$4+A466/12</f>
        <v>103.25</v>
      </c>
      <c r="C466" s="34" t="n">
        <f aca="false">Assumptions!$B$4+INT(A466/12)</f>
        <v>103</v>
      </c>
      <c r="D466" s="34" t="n">
        <f aca="false">INT(A466/12)+1</f>
        <v>39</v>
      </c>
      <c r="E466" s="32" t="n">
        <f aca="false">IFERROR(INDEX(Cohort_Survival!$G$5:$G$65,MATCH(C466,Cohort_Survival!$A$5:$A$65,0)),1)</f>
        <v>0.247394878598862</v>
      </c>
      <c r="F466" s="30" t="n">
        <f aca="false">1-(1-MIN(1,E466))^(1/12)</f>
        <v>0.0234062720018363</v>
      </c>
      <c r="G466" s="39" t="n">
        <f aca="false">IF(C466&lt;Assumptions!$B$5,IF(D466=1,Assumptions!$B$16,IF(D466=2,Assumptions!$B$17,IF(D466&lt;=5,Assumptions!$B$18,Assumptions!$B$19)))*(1-Assumptions!$B$20),0)</f>
        <v>0</v>
      </c>
      <c r="H466" s="30" t="n">
        <f aca="false">1-(1-G466)^(1/12)</f>
        <v>0</v>
      </c>
      <c r="I466" s="30" t="n">
        <f aca="false">I465*(1-F465)*(1-H465)</f>
        <v>0.0359865431945369</v>
      </c>
      <c r="J466" s="30" t="n">
        <f aca="false">INDEX(Discount_Monthly!$G$4:$G$664,MATCH(A466,Discount_Monthly!$A$4:$A$664,0))</f>
        <v>0.299938685498748</v>
      </c>
      <c r="K466" s="30" t="n">
        <f aca="false">IF(C466&lt;Assumptions!$B$5,I466*J466,0)</f>
        <v>0</v>
      </c>
      <c r="L466" s="30" t="n">
        <f aca="false">IF(C466&lt;Assumptions!$B$5,I466*(1-F466)*H466*A466*J466,0)</f>
        <v>0</v>
      </c>
      <c r="M466" s="30" t="n">
        <f aca="false">IF(A466=0,Assumptions!$B$14*12*I466*J466,IF(AND(A466&gt;=12,C466&lt;Assumptions!$B$5),Assumptions!$B$15*I466*J466,0))</f>
        <v>0</v>
      </c>
      <c r="N466" s="47" t="n">
        <f aca="false">IF(C466&gt;=Assumptions!$B$5,I466*Assumptions!$B$9/12*(1+Assumptions!$B$10)^INT(A466/12)*J466,0)</f>
        <v>30.5434350713824</v>
      </c>
      <c r="O466" s="47" t="n">
        <f aca="false">I466*Assumptions!$B$12/12*(1+Assumptions!$B$11)^(INT(A466/12)+1)*J466</f>
        <v>0.18850032621092</v>
      </c>
      <c r="P466" s="47" t="n">
        <f aca="false">O466+Pricing_M!$B$13*M466+N466-Pricing_M!$B$13*K466</f>
        <v>30.7319353975933</v>
      </c>
      <c r="Q466" s="47" t="n">
        <f aca="false">IF(C466&lt;Assumptions!$B$5,Pricing_M!$B$13*K466-Pricing_M!$B$13*M466-O466,-(N466+O466))</f>
        <v>-30.7319353975933</v>
      </c>
      <c r="R466" s="32" t="n">
        <f aca="false">R465*(1-(1-(1-MIN(1,E465*(1-Assumptions!$B$21)))^(1/12)))*(1-H465)</f>
        <v>0.0702515359051295</v>
      </c>
      <c r="S466" s="47" t="n">
        <f aca="false">R466*(IF(C466&lt;Assumptions!$B$5,Assumptions!$B$12*(1+Assumptions!$B$11)^(INT(A466/12)+1)/12+Pricing_M!$B$13*IF(A466=0,Assumptions!$B$14*12,IF(A466&gt;=12,Assumptions!$B$15,0))-Pricing_M!$B$13,Assumptions!$B$9/12*(1+Assumptions!$B$10)^INT(A466/12)+Assumptions!$B$12*(1+Assumptions!$B$11)^(INT(A466/12)+1)/12))*J466</f>
        <v>59.9936940691181</v>
      </c>
      <c r="T466" s="32" t="n">
        <f aca="false">T465*(1-F465)*(1-(1-(1-MIN(1,G465*(1+Assumptions!$B$23)))^(1/12)))</f>
        <v>0.0325994484546184</v>
      </c>
      <c r="U466" s="47" t="n">
        <f aca="false">T466*(IF(C466&lt;Assumptions!$B$5,Assumptions!$B$12*(1+Assumptions!$B$11)^(INT(A466/12)+1)/12+Pricing_M!$B$13*IF(A466=0,Assumptions!$B$14*12,IF(A466&gt;=12,Assumptions!$B$15,0))-Pricing_M!$B$13,Assumptions!$B$9/12*(1+Assumptions!$B$10)^INT(A466/12)+Assumptions!$B$12*(1+Assumptions!$B$11)^(INT(A466/12)+1)/12))*J466</f>
        <v>27.8394103731696</v>
      </c>
      <c r="V466" s="32" t="n">
        <f aca="false">V465*(1-F465)*(1-(1-(1-MIN(1,G465*(1-Assumptions!$B$23)))^(1/12)))</f>
        <v>0.0396891095880337</v>
      </c>
      <c r="W466" s="47" t="n">
        <f aca="false">V466*(IF(C466&lt;Assumptions!$B$5,Assumptions!$B$12*(1+Assumptions!$B$11)^(INT(A466/12)+1)/12+Pricing_M!$B$13*IF(A466=0,Assumptions!$B$14*12,IF(A466&gt;=12,Assumptions!$B$15,0))-Pricing_M!$B$13,Assumptions!$B$9/12*(1+Assumptions!$B$10)^INT(A466/12)+Assumptions!$B$12*(1+Assumptions!$B$11)^(INT(A466/12)+1)/12))*J466</f>
        <v>33.8938681955043</v>
      </c>
      <c r="X466" s="47" t="n">
        <f aca="false">I466*(IF(C466&lt;Assumptions!$B$5,Assumptions!$B$12*(1+Assumptions!$B$11)*(1+Assumptions!$B$24)*(1+Assumptions!$B$11+Assumptions!$B$25)^(INT(A466/12))/12+Pricing_M!$B$13*IF(A466=0,Assumptions!$B$14*12,IF(A466&gt;=12,Assumptions!$B$15,0))-Pricing_M!$B$13,Assumptions!$B$9/12*(1+Assumptions!$B$10)^INT(A466/12)+Assumptions!$B$12*(1+Assumptions!$B$11)*(1+Assumptions!$B$24)*(1+Assumptions!$B$11+Assumptions!$B$25)^(INT(A466/12))/12))*J466</f>
        <v>30.8433038139313</v>
      </c>
    </row>
    <row r="467" customFormat="false" ht="15" hidden="false" customHeight="true" outlineLevel="0" collapsed="false">
      <c r="A467" s="1" t="n">
        <v>460</v>
      </c>
      <c r="B467" s="31" t="n">
        <f aca="false">Assumptions!$B$4+A467/12</f>
        <v>103.333333333333</v>
      </c>
      <c r="C467" s="34" t="n">
        <f aca="false">Assumptions!$B$4+INT(A467/12)</f>
        <v>103</v>
      </c>
      <c r="D467" s="34" t="n">
        <f aca="false">INT(A467/12)+1</f>
        <v>39</v>
      </c>
      <c r="E467" s="32" t="n">
        <f aca="false">IFERROR(INDEX(Cohort_Survival!$G$5:$G$65,MATCH(C467,Cohort_Survival!$A$5:$A$65,0)),1)</f>
        <v>0.247394878598862</v>
      </c>
      <c r="F467" s="30" t="n">
        <f aca="false">1-(1-MIN(1,E467))^(1/12)</f>
        <v>0.0234062720018363</v>
      </c>
      <c r="G467" s="39" t="n">
        <f aca="false">IF(C467&lt;Assumptions!$B$5,IF(D467=1,Assumptions!$B$16,IF(D467=2,Assumptions!$B$17,IF(D467&lt;=5,Assumptions!$B$18,Assumptions!$B$19)))*(1-Assumptions!$B$20),0)</f>
        <v>0</v>
      </c>
      <c r="H467" s="30" t="n">
        <f aca="false">1-(1-G467)^(1/12)</f>
        <v>0</v>
      </c>
      <c r="I467" s="30" t="n">
        <f aca="false">I466*(1-F466)*(1-H466)</f>
        <v>0.0351442323761197</v>
      </c>
      <c r="J467" s="30" t="n">
        <f aca="false">INDEX(Discount_Monthly!$G$4:$G$664,MATCH(A467,Discount_Monthly!$A$4:$A$664,0))</f>
        <v>0.299143474304142</v>
      </c>
      <c r="K467" s="30" t="n">
        <f aca="false">IF(C467&lt;Assumptions!$B$5,I467*J467,0)</f>
        <v>0</v>
      </c>
      <c r="L467" s="30" t="n">
        <f aca="false">IF(C467&lt;Assumptions!$B$5,I467*(1-F467)*H467*A467*J467,0)</f>
        <v>0</v>
      </c>
      <c r="M467" s="30" t="n">
        <f aca="false">IF(A467=0,Assumptions!$B$14*12*I467*J467,IF(AND(A467&gt;=12,C467&lt;Assumptions!$B$5),Assumptions!$B$15*I467*J467,0))</f>
        <v>0</v>
      </c>
      <c r="N467" s="47" t="n">
        <f aca="false">IF(C467&gt;=Assumptions!$B$5,I467*Assumptions!$B$9/12*(1+Assumptions!$B$10)^INT(A467/12)*J467,0)</f>
        <v>29.7494443635441</v>
      </c>
      <c r="O467" s="47" t="n">
        <f aca="false">I467*Assumptions!$B$12/12*(1+Assumptions!$B$11)^(INT(A467/12)+1)*J467</f>
        <v>0.183600173131013</v>
      </c>
      <c r="P467" s="47" t="n">
        <f aca="false">O467+Pricing_M!$B$13*M467+N467-Pricing_M!$B$13*K467</f>
        <v>29.9330445366752</v>
      </c>
      <c r="Q467" s="47" t="n">
        <f aca="false">IF(C467&lt;Assumptions!$B$5,Pricing_M!$B$13*K467-Pricing_M!$B$13*M467-O467,-(N467+O467))</f>
        <v>-29.9330445366752</v>
      </c>
      <c r="R467" s="32" t="n">
        <f aca="false">R466*(1-(1-(1-MIN(1,E466*(1-Assumptions!$B$21)))^(1/12)))*(1-H466)</f>
        <v>0.0689722111563897</v>
      </c>
      <c r="S467" s="47" t="n">
        <f aca="false">R467*(IF(C467&lt;Assumptions!$B$5,Assumptions!$B$12*(1+Assumptions!$B$11)^(INT(A467/12)+1)/12+Pricing_M!$B$13*IF(A467=0,Assumptions!$B$14*12,IF(A467&gt;=12,Assumptions!$B$15,0))-Pricing_M!$B$13,Assumptions!$B$9/12*(1+Assumptions!$B$10)^INT(A467/12)+Assumptions!$B$12*(1+Assumptions!$B$11)^(INT(A467/12)+1)/12))*J467</f>
        <v>58.7450096004949</v>
      </c>
      <c r="T467" s="32" t="n">
        <f aca="false">T466*(1-F466)*(1-(1-(1-MIN(1,G466*(1+Assumptions!$B$23)))^(1/12)))</f>
        <v>0.0318364168969797</v>
      </c>
      <c r="U467" s="47" t="n">
        <f aca="false">T467*(IF(C467&lt;Assumptions!$B$5,Assumptions!$B$12*(1+Assumptions!$B$11)^(INT(A467/12)+1)/12+Pricing_M!$B$13*IF(A467=0,Assumptions!$B$14*12,IF(A467&gt;=12,Assumptions!$B$15,0))-Pricing_M!$B$13,Assumptions!$B$9/12*(1+Assumptions!$B$10)^INT(A467/12)+Assumptions!$B$12*(1+Assumptions!$B$11)^(INT(A467/12)+1)/12))*J467</f>
        <v>27.1157120368059</v>
      </c>
      <c r="V467" s="32" t="n">
        <f aca="false">V466*(1-F466)*(1-(1-(1-MIN(1,G466*(1-Assumptions!$B$23)))^(1/12)))</f>
        <v>0.0387601354935055</v>
      </c>
      <c r="W467" s="47" t="n">
        <f aca="false">V467*(IF(C467&lt;Assumptions!$B$5,Assumptions!$B$12*(1+Assumptions!$B$11)^(INT(A467/12)+1)/12+Pricing_M!$B$13*IF(A467=0,Assumptions!$B$14*12,IF(A467&gt;=12,Assumptions!$B$15,0))-Pricing_M!$B$13,Assumptions!$B$9/12*(1+Assumptions!$B$10)^INT(A467/12)+Assumptions!$B$12*(1+Assumptions!$B$11)^(INT(A467/12)+1)/12))*J467</f>
        <v>33.012781430475</v>
      </c>
      <c r="X467" s="47" t="n">
        <f aca="false">I467*(IF(C467&lt;Assumptions!$B$5,Assumptions!$B$12*(1+Assumptions!$B$11)*(1+Assumptions!$B$24)*(1+Assumptions!$B$11+Assumptions!$B$25)^(INT(A467/12))/12+Pricing_M!$B$13*IF(A467=0,Assumptions!$B$14*12,IF(A467&gt;=12,Assumptions!$B$15,0))-Pricing_M!$B$13,Assumptions!$B$9/12*(1+Assumptions!$B$10)^INT(A467/12)+Assumptions!$B$12*(1+Assumptions!$B$11)*(1+Assumptions!$B$24)*(1+Assumptions!$B$11+Assumptions!$B$25)^(INT(A467/12))/12))*J467</f>
        <v>30.0415178795706</v>
      </c>
    </row>
    <row r="468" customFormat="false" ht="15" hidden="false" customHeight="true" outlineLevel="0" collapsed="false">
      <c r="A468" s="1" t="n">
        <v>461</v>
      </c>
      <c r="B468" s="31" t="n">
        <f aca="false">Assumptions!$B$4+A468/12</f>
        <v>103.416666666667</v>
      </c>
      <c r="C468" s="34" t="n">
        <f aca="false">Assumptions!$B$4+INT(A468/12)</f>
        <v>103</v>
      </c>
      <c r="D468" s="34" t="n">
        <f aca="false">INT(A468/12)+1</f>
        <v>39</v>
      </c>
      <c r="E468" s="32" t="n">
        <f aca="false">IFERROR(INDEX(Cohort_Survival!$G$5:$G$65,MATCH(C468,Cohort_Survival!$A$5:$A$65,0)),1)</f>
        <v>0.247394878598862</v>
      </c>
      <c r="F468" s="30" t="n">
        <f aca="false">1-(1-MIN(1,E468))^(1/12)</f>
        <v>0.0234062720018363</v>
      </c>
      <c r="G468" s="39" t="n">
        <f aca="false">IF(C468&lt;Assumptions!$B$5,IF(D468=1,Assumptions!$B$16,IF(D468=2,Assumptions!$B$17,IF(D468&lt;=5,Assumptions!$B$18,Assumptions!$B$19)))*(1-Assumptions!$B$20),0)</f>
        <v>0</v>
      </c>
      <c r="H468" s="30" t="n">
        <f aca="false">1-(1-G468)^(1/12)</f>
        <v>0</v>
      </c>
      <c r="I468" s="30" t="n">
        <f aca="false">I467*(1-F467)*(1-H467)</f>
        <v>0.0343216369138285</v>
      </c>
      <c r="J468" s="30" t="n">
        <f aca="false">INDEX(Discount_Monthly!$G$4:$G$664,MATCH(A468,Discount_Monthly!$A$4:$A$664,0))</f>
        <v>0.298350371409914</v>
      </c>
      <c r="K468" s="30" t="n">
        <f aca="false">IF(C468&lt;Assumptions!$B$5,I468*J468,0)</f>
        <v>0</v>
      </c>
      <c r="L468" s="30" t="n">
        <f aca="false">IF(C468&lt;Assumptions!$B$5,I468*(1-F468)*H468*A468*J468,0)</f>
        <v>0</v>
      </c>
      <c r="M468" s="30" t="n">
        <f aca="false">IF(A468=0,Assumptions!$B$14*12*I468*J468,IF(AND(A468&gt;=12,C468&lt;Assumptions!$B$5),Assumptions!$B$15*I468*J468,0))</f>
        <v>0</v>
      </c>
      <c r="N468" s="47" t="n">
        <f aca="false">IF(C468&gt;=Assumptions!$B$5,I468*Assumptions!$B$9/12*(1+Assumptions!$B$10)^INT(A468/12)*J468,0)</f>
        <v>28.9760938110342</v>
      </c>
      <c r="O468" s="47" t="n">
        <f aca="false">I468*Assumptions!$B$12/12*(1+Assumptions!$B$11)^(INT(A468/12)+1)*J468</f>
        <v>0.178827401794625</v>
      </c>
      <c r="P468" s="47" t="n">
        <f aca="false">O468+Pricing_M!$B$13*M468+N468-Pricing_M!$B$13*K468</f>
        <v>29.1549212128288</v>
      </c>
      <c r="Q468" s="47" t="n">
        <f aca="false">IF(C468&lt;Assumptions!$B$5,Pricing_M!$B$13*K468-Pricing_M!$B$13*M468-O468,-(N468+O468))</f>
        <v>-29.1549212128288</v>
      </c>
      <c r="R468" s="32" t="n">
        <f aca="false">R467*(1-(1-(1-MIN(1,E467*(1-Assumptions!$B$21)))^(1/12)))*(1-H467)</f>
        <v>0.0677161837176895</v>
      </c>
      <c r="S468" s="47" t="n">
        <f aca="false">R468*(IF(C468&lt;Assumptions!$B$5,Assumptions!$B$12*(1+Assumptions!$B$11)^(INT(A468/12)+1)/12+Pricing_M!$B$13*IF(A468=0,Assumptions!$B$14*12,IF(A468&gt;=12,Assumptions!$B$15,0))-Pricing_M!$B$13,Assumptions!$B$9/12*(1+Assumptions!$B$10)^INT(A468/12)+Assumptions!$B$12*(1+Assumptions!$B$11)^(INT(A468/12)+1)/12))*J468</f>
        <v>57.5223147450532</v>
      </c>
      <c r="T468" s="32" t="n">
        <f aca="false">T467*(1-F467)*(1-(1-(1-MIN(1,G467*(1+Assumptions!$B$23)))^(1/12)))</f>
        <v>0.0310912450635251</v>
      </c>
      <c r="U468" s="47" t="n">
        <f aca="false">T468*(IF(C468&lt;Assumptions!$B$5,Assumptions!$B$12*(1+Assumptions!$B$11)^(INT(A468/12)+1)/12+Pricing_M!$B$13*IF(A468=0,Assumptions!$B$14*12,IF(A468&gt;=12,Assumptions!$B$15,0))-Pricing_M!$B$13,Assumptions!$B$9/12*(1+Assumptions!$B$10)^INT(A468/12)+Assumptions!$B$12*(1+Assumptions!$B$11)^(INT(A468/12)+1)/12))*J468</f>
        <v>26.4108265730941</v>
      </c>
      <c r="V468" s="32" t="n">
        <f aca="false">V467*(1-F467)*(1-(1-(1-MIN(1,G467*(1-Assumptions!$B$23)))^(1/12)))</f>
        <v>0.0378529052193165</v>
      </c>
      <c r="W468" s="47" t="n">
        <f aca="false">V468*(IF(C468&lt;Assumptions!$B$5,Assumptions!$B$12*(1+Assumptions!$B$11)^(INT(A468/12)+1)/12+Pricing_M!$B$13*IF(A468=0,Assumptions!$B$14*12,IF(A468&gt;=12,Assumptions!$B$15,0))-Pricing_M!$B$13,Assumptions!$B$9/12*(1+Assumptions!$B$10)^INT(A468/12)+Assumptions!$B$12*(1+Assumptions!$B$11)^(INT(A468/12)+1)/12))*J468</f>
        <v>32.1545989230251</v>
      </c>
      <c r="X468" s="47" t="n">
        <f aca="false">I468*(IF(C468&lt;Assumptions!$B$5,Assumptions!$B$12*(1+Assumptions!$B$11)*(1+Assumptions!$B$24)*(1+Assumptions!$B$11+Assumptions!$B$25)^(INT(A468/12))/12+Pricing_M!$B$13*IF(A468=0,Assumptions!$B$14*12,IF(A468&gt;=12,Assumptions!$B$15,0))-Pricing_M!$B$13,Assumptions!$B$9/12*(1+Assumptions!$B$10)^INT(A468/12)+Assumptions!$B$12*(1+Assumptions!$B$11)*(1+Assumptions!$B$24)*(1+Assumptions!$B$11+Assumptions!$B$25)^(INT(A468/12))/12))*J468</f>
        <v>29.2605747410536</v>
      </c>
    </row>
    <row r="469" customFormat="false" ht="15" hidden="false" customHeight="true" outlineLevel="0" collapsed="false">
      <c r="A469" s="1" t="n">
        <v>462</v>
      </c>
      <c r="B469" s="31" t="n">
        <f aca="false">Assumptions!$B$4+A469/12</f>
        <v>103.5</v>
      </c>
      <c r="C469" s="34" t="n">
        <f aca="false">Assumptions!$B$4+INT(A469/12)</f>
        <v>103</v>
      </c>
      <c r="D469" s="34" t="n">
        <f aca="false">INT(A469/12)+1</f>
        <v>39</v>
      </c>
      <c r="E469" s="32" t="n">
        <f aca="false">IFERROR(INDEX(Cohort_Survival!$G$5:$G$65,MATCH(C469,Cohort_Survival!$A$5:$A$65,0)),1)</f>
        <v>0.247394878598862</v>
      </c>
      <c r="F469" s="30" t="n">
        <f aca="false">1-(1-MIN(1,E469))^(1/12)</f>
        <v>0.0234062720018363</v>
      </c>
      <c r="G469" s="39" t="n">
        <f aca="false">IF(C469&lt;Assumptions!$B$5,IF(D469=1,Assumptions!$B$16,IF(D469=2,Assumptions!$B$17,IF(D469&lt;=5,Assumptions!$B$18,Assumptions!$B$19)))*(1-Assumptions!$B$20),0)</f>
        <v>0</v>
      </c>
      <c r="H469" s="30" t="n">
        <f aca="false">1-(1-G469)^(1/12)</f>
        <v>0</v>
      </c>
      <c r="I469" s="30" t="n">
        <f aca="false">I468*(1-F468)*(1-H468)</f>
        <v>0.0335182953446752</v>
      </c>
      <c r="J469" s="30" t="n">
        <f aca="false">INDEX(Discount_Monthly!$G$4:$G$664,MATCH(A469,Discount_Monthly!$A$4:$A$664,0))</f>
        <v>0.297559371226441</v>
      </c>
      <c r="K469" s="30" t="n">
        <f aca="false">IF(C469&lt;Assumptions!$B$5,I469*J469,0)</f>
        <v>0</v>
      </c>
      <c r="L469" s="30" t="n">
        <f aca="false">IF(C469&lt;Assumptions!$B$5,I469*(1-F469)*H469*A469*J469,0)</f>
        <v>0</v>
      </c>
      <c r="M469" s="30" t="n">
        <f aca="false">IF(A469=0,Assumptions!$B$14*12*I469*J469,IF(AND(A469&gt;=12,C469&lt;Assumptions!$B$5),Assumptions!$B$15*I469*J469,0))</f>
        <v>0</v>
      </c>
      <c r="N469" s="47" t="n">
        <f aca="false">IF(C469&gt;=Assumptions!$B$5,I469*Assumptions!$B$9/12*(1+Assumptions!$B$10)^INT(A469/12)*J469,0)</f>
        <v>28.2228468634776</v>
      </c>
      <c r="O469" s="47" t="n">
        <f aca="false">I469*Assumptions!$B$12/12*(1+Assumptions!$B$11)^(INT(A469/12)+1)*J469</f>
        <v>0.174178700854474</v>
      </c>
      <c r="P469" s="47" t="n">
        <f aca="false">O469+Pricing_M!$B$13*M469+N469-Pricing_M!$B$13*K469</f>
        <v>28.3970255643321</v>
      </c>
      <c r="Q469" s="47" t="n">
        <f aca="false">IF(C469&lt;Assumptions!$B$5,Pricing_M!$B$13*K469-Pricing_M!$B$13*M469-O469,-(N469+O469))</f>
        <v>-28.3970255643321</v>
      </c>
      <c r="R469" s="32" t="n">
        <f aca="false">R468*(1-(1-(1-MIN(1,E468*(1-Assumptions!$B$21)))^(1/12)))*(1-H468)</f>
        <v>0.0664830293303286</v>
      </c>
      <c r="S469" s="47" t="n">
        <f aca="false">R469*(IF(C469&lt;Assumptions!$B$5,Assumptions!$B$12*(1+Assumptions!$B$11)^(INT(A469/12)+1)/12+Pricing_M!$B$13*IF(A469=0,Assumptions!$B$14*12,IF(A469&gt;=12,Assumptions!$B$15,0))-Pricing_M!$B$13,Assumptions!$B$9/12*(1+Assumptions!$B$10)^INT(A469/12)+Assumptions!$B$12*(1+Assumptions!$B$11)^(INT(A469/12)+1)/12))*J469</f>
        <v>56.3250685655022</v>
      </c>
      <c r="T469" s="32" t="n">
        <f aca="false">T468*(1-F468)*(1-(1-(1-MIN(1,G468*(1+Assumptions!$B$23)))^(1/12)))</f>
        <v>0.0303635149246925</v>
      </c>
      <c r="U469" s="47" t="n">
        <f aca="false">T469*(IF(C469&lt;Assumptions!$B$5,Assumptions!$B$12*(1+Assumptions!$B$11)^(INT(A469/12)+1)/12+Pricing_M!$B$13*IF(A469=0,Assumptions!$B$14*12,IF(A469&gt;=12,Assumptions!$B$15,0))-Pricing_M!$B$13,Assumptions!$B$9/12*(1+Assumptions!$B$10)^INT(A469/12)+Assumptions!$B$12*(1+Assumptions!$B$11)^(INT(A469/12)+1)/12))*J469</f>
        <v>25.7242649327168</v>
      </c>
      <c r="V469" s="32" t="n">
        <f aca="false">V468*(1-F468)*(1-(1-(1-MIN(1,G468*(1-Assumptions!$B$23)))^(1/12)))</f>
        <v>0.0369669098236934</v>
      </c>
      <c r="W469" s="47" t="n">
        <f aca="false">V469*(IF(C469&lt;Assumptions!$B$5,Assumptions!$B$12*(1+Assumptions!$B$11)^(INT(A469/12)+1)/12+Pricing_M!$B$13*IF(A469=0,Assumptions!$B$14*12,IF(A469&gt;=12,Assumptions!$B$15,0))-Pricing_M!$B$13,Assumptions!$B$9/12*(1+Assumptions!$B$10)^INT(A469/12)+Assumptions!$B$12*(1+Assumptions!$B$11)^(INT(A469/12)+1)/12))*J469</f>
        <v>31.3187252663954</v>
      </c>
      <c r="X469" s="47" t="n">
        <f aca="false">I469*(IF(C469&lt;Assumptions!$B$5,Assumptions!$B$12*(1+Assumptions!$B$11)*(1+Assumptions!$B$24)*(1+Assumptions!$B$11+Assumptions!$B$25)^(INT(A469/12))/12+Pricing_M!$B$13*IF(A469=0,Assumptions!$B$14*12,IF(A469&gt;=12,Assumptions!$B$15,0))-Pricing_M!$B$13,Assumptions!$B$9/12*(1+Assumptions!$B$10)^INT(A469/12)+Assumptions!$B$12*(1+Assumptions!$B$11)*(1+Assumptions!$B$24)*(1+Assumptions!$B$11+Assumptions!$B$25)^(INT(A469/12))/12))*J469</f>
        <v>28.4999325802715</v>
      </c>
    </row>
    <row r="470" customFormat="false" ht="15" hidden="false" customHeight="true" outlineLevel="0" collapsed="false">
      <c r="A470" s="1" t="n">
        <v>463</v>
      </c>
      <c r="B470" s="31" t="n">
        <f aca="false">Assumptions!$B$4+A470/12</f>
        <v>103.583333333333</v>
      </c>
      <c r="C470" s="34" t="n">
        <f aca="false">Assumptions!$B$4+INT(A470/12)</f>
        <v>103</v>
      </c>
      <c r="D470" s="34" t="n">
        <f aca="false">INT(A470/12)+1</f>
        <v>39</v>
      </c>
      <c r="E470" s="32" t="n">
        <f aca="false">IFERROR(INDEX(Cohort_Survival!$G$5:$G$65,MATCH(C470,Cohort_Survival!$A$5:$A$65,0)),1)</f>
        <v>0.247394878598862</v>
      </c>
      <c r="F470" s="30" t="n">
        <f aca="false">1-(1-MIN(1,E470))^(1/12)</f>
        <v>0.0234062720018363</v>
      </c>
      <c r="G470" s="39" t="n">
        <f aca="false">IF(C470&lt;Assumptions!$B$5,IF(D470=1,Assumptions!$B$16,IF(D470=2,Assumptions!$B$17,IF(D470&lt;=5,Assumptions!$B$18,Assumptions!$B$19)))*(1-Assumptions!$B$20),0)</f>
        <v>0</v>
      </c>
      <c r="H470" s="30" t="n">
        <f aca="false">1-(1-G470)^(1/12)</f>
        <v>0</v>
      </c>
      <c r="I470" s="30" t="n">
        <f aca="false">I469*(1-F469)*(1-H469)</f>
        <v>0.0327337570067998</v>
      </c>
      <c r="J470" s="30" t="n">
        <f aca="false">INDEX(Discount_Monthly!$G$4:$G$664,MATCH(A470,Discount_Monthly!$A$4:$A$664,0))</f>
        <v>0.296770468178921</v>
      </c>
      <c r="K470" s="30" t="n">
        <f aca="false">IF(C470&lt;Assumptions!$B$5,I470*J470,0)</f>
        <v>0</v>
      </c>
      <c r="L470" s="30" t="n">
        <f aca="false">IF(C470&lt;Assumptions!$B$5,I470*(1-F470)*H470*A470*J470,0)</f>
        <v>0</v>
      </c>
      <c r="M470" s="30" t="n">
        <f aca="false">IF(A470=0,Assumptions!$B$14*12*I470*J470,IF(AND(A470&gt;=12,C470&lt;Assumptions!$B$5),Assumptions!$B$15*I470*J470,0))</f>
        <v>0</v>
      </c>
      <c r="N470" s="47" t="n">
        <f aca="false">IF(C470&gt;=Assumptions!$B$5,I470*Assumptions!$B$9/12*(1+Assumptions!$B$10)^INT(A470/12)*J470,0)</f>
        <v>27.4891809183744</v>
      </c>
      <c r="O470" s="47" t="n">
        <f aca="false">I470*Assumptions!$B$12/12*(1+Assumptions!$B$11)^(INT(A470/12)+1)*J470</f>
        <v>0.169650845043279</v>
      </c>
      <c r="P470" s="47" t="n">
        <f aca="false">O470+Pricing_M!$B$13*M470+N470-Pricing_M!$B$13*K470</f>
        <v>27.6588317634177</v>
      </c>
      <c r="Q470" s="47" t="n">
        <f aca="false">IF(C470&lt;Assumptions!$B$5,Pricing_M!$B$13*K470-Pricing_M!$B$13*M470-O470,-(N470+O470))</f>
        <v>-27.6588317634177</v>
      </c>
      <c r="R470" s="32" t="n">
        <f aca="false">R469*(1-(1-(1-MIN(1,E469*(1-Assumptions!$B$21)))^(1/12)))*(1-H469)</f>
        <v>0.0652723314616252</v>
      </c>
      <c r="S470" s="47" t="n">
        <f aca="false">R470*(IF(C470&lt;Assumptions!$B$5,Assumptions!$B$12*(1+Assumptions!$B$11)^(INT(A470/12)+1)/12+Pricing_M!$B$13*IF(A470=0,Assumptions!$B$14*12,IF(A470&gt;=12,Assumptions!$B$15,0))-Pricing_M!$B$13,Assumptions!$B$9/12*(1+Assumptions!$B$10)^INT(A470/12)+Assumptions!$B$12*(1+Assumptions!$B$11)^(INT(A470/12)+1)/12))*J470</f>
        <v>55.1527413834012</v>
      </c>
      <c r="T470" s="32" t="n">
        <f aca="false">T469*(1-F469)*(1-(1-(1-MIN(1,G469*(1+Assumptions!$B$23)))^(1/12)))</f>
        <v>0.0296528182354334</v>
      </c>
      <c r="U470" s="47" t="n">
        <f aca="false">T470*(IF(C470&lt;Assumptions!$B$5,Assumptions!$B$12*(1+Assumptions!$B$11)^(INT(A470/12)+1)/12+Pricing_M!$B$13*IF(A470=0,Assumptions!$B$14*12,IF(A470&gt;=12,Assumptions!$B$15,0))-Pricing_M!$B$13,Assumptions!$B$9/12*(1+Assumptions!$B$10)^INT(A470/12)+Assumptions!$B$12*(1+Assumptions!$B$11)^(INT(A470/12)+1)/12))*J470</f>
        <v>25.0555507794196</v>
      </c>
      <c r="V470" s="32" t="n">
        <f aca="false">V469*(1-F469)*(1-(1-(1-MIN(1,G469*(1-Assumptions!$B$23)))^(1/12)))</f>
        <v>0.0361016522772927</v>
      </c>
      <c r="W470" s="47" t="n">
        <f aca="false">V470*(IF(C470&lt;Assumptions!$B$5,Assumptions!$B$12*(1+Assumptions!$B$11)^(INT(A470/12)+1)/12+Pricing_M!$B$13*IF(A470=0,Assumptions!$B$14*12,IF(A470&gt;=12,Assumptions!$B$15,0))-Pricing_M!$B$13,Assumptions!$B$9/12*(1+Assumptions!$B$10)^INT(A470/12)+Assumptions!$B$12*(1+Assumptions!$B$11)^(INT(A470/12)+1)/12))*J470</f>
        <v>30.5045805317006</v>
      </c>
      <c r="X470" s="47" t="n">
        <f aca="false">I470*(IF(C470&lt;Assumptions!$B$5,Assumptions!$B$12*(1+Assumptions!$B$11)*(1+Assumptions!$B$24)*(1+Assumptions!$B$11+Assumptions!$B$25)^(INT(A470/12))/12+Pricing_M!$B$13*IF(A470=0,Assumptions!$B$14*12,IF(A470&gt;=12,Assumptions!$B$15,0))-Pricing_M!$B$13,Assumptions!$B$9/12*(1+Assumptions!$B$10)^INT(A470/12)+Assumptions!$B$12*(1+Assumptions!$B$11)*(1+Assumptions!$B$24)*(1+Assumptions!$B$11+Assumptions!$B$25)^(INT(A470/12))/12))*J470</f>
        <v>27.7590636639277</v>
      </c>
    </row>
    <row r="471" customFormat="false" ht="15" hidden="false" customHeight="true" outlineLevel="0" collapsed="false">
      <c r="A471" s="1" t="n">
        <v>464</v>
      </c>
      <c r="B471" s="31" t="n">
        <f aca="false">Assumptions!$B$4+A471/12</f>
        <v>103.666666666667</v>
      </c>
      <c r="C471" s="34" t="n">
        <f aca="false">Assumptions!$B$4+INT(A471/12)</f>
        <v>103</v>
      </c>
      <c r="D471" s="34" t="n">
        <f aca="false">INT(A471/12)+1</f>
        <v>39</v>
      </c>
      <c r="E471" s="32" t="n">
        <f aca="false">IFERROR(INDEX(Cohort_Survival!$G$5:$G$65,MATCH(C471,Cohort_Survival!$A$5:$A$65,0)),1)</f>
        <v>0.247394878598862</v>
      </c>
      <c r="F471" s="30" t="n">
        <f aca="false">1-(1-MIN(1,E471))^(1/12)</f>
        <v>0.0234062720018363</v>
      </c>
      <c r="G471" s="39" t="n">
        <f aca="false">IF(C471&lt;Assumptions!$B$5,IF(D471=1,Assumptions!$B$16,IF(D471=2,Assumptions!$B$17,IF(D471&lt;=5,Assumptions!$B$18,Assumptions!$B$19)))*(1-Assumptions!$B$20),0)</f>
        <v>0</v>
      </c>
      <c r="H471" s="30" t="n">
        <f aca="false">1-(1-G471)^(1/12)</f>
        <v>0</v>
      </c>
      <c r="I471" s="30" t="n">
        <f aca="false">I470*(1-F470)*(1-H470)</f>
        <v>0.0319675817866566</v>
      </c>
      <c r="J471" s="30" t="n">
        <f aca="false">INDEX(Discount_Monthly!$G$4:$G$664,MATCH(A471,Discount_Monthly!$A$4:$A$664,0))</f>
        <v>0.295983656707329</v>
      </c>
      <c r="K471" s="30" t="n">
        <f aca="false">IF(C471&lt;Assumptions!$B$5,I471*J471,0)</f>
        <v>0</v>
      </c>
      <c r="L471" s="30" t="n">
        <f aca="false">IF(C471&lt;Assumptions!$B$5,I471*(1-F471)*H471*A471*J471,0)</f>
        <v>0</v>
      </c>
      <c r="M471" s="30" t="n">
        <f aca="false">IF(A471=0,Assumptions!$B$14*12*I471*J471,IF(AND(A471&gt;=12,C471&lt;Assumptions!$B$5),Assumptions!$B$15*I471*J471,0))</f>
        <v>0</v>
      </c>
      <c r="N471" s="47" t="n">
        <f aca="false">IF(C471&gt;=Assumptions!$B$5,I471*Assumptions!$B$9/12*(1+Assumptions!$B$10)^INT(A471/12)*J471,0)</f>
        <v>26.7745869585181</v>
      </c>
      <c r="O471" s="47" t="n">
        <f aca="false">I471*Assumptions!$B$12/12*(1+Assumptions!$B$11)^(INT(A471/12)+1)*J471</f>
        <v>0.165240692936077</v>
      </c>
      <c r="P471" s="47" t="n">
        <f aca="false">O471+Pricing_M!$B$13*M471+N471-Pricing_M!$B$13*K471</f>
        <v>26.9398276514542</v>
      </c>
      <c r="Q471" s="47" t="n">
        <f aca="false">IF(C471&lt;Assumptions!$B$5,Pricing_M!$B$13*K471-Pricing_M!$B$13*M471-O471,-(N471+O471))</f>
        <v>-26.9398276514542</v>
      </c>
      <c r="R471" s="32" t="n">
        <f aca="false">R470*(1-(1-(1-MIN(1,E470*(1-Assumptions!$B$21)))^(1/12)))*(1-H470)</f>
        <v>0.06408368116422</v>
      </c>
      <c r="S471" s="47" t="n">
        <f aca="false">R471*(IF(C471&lt;Assumptions!$B$5,Assumptions!$B$12*(1+Assumptions!$B$11)^(INT(A471/12)+1)/12+Pricing_M!$B$13*IF(A471=0,Assumptions!$B$14*12,IF(A471&gt;=12,Assumptions!$B$15,0))-Pricing_M!$B$13,Assumptions!$B$9/12*(1+Assumptions!$B$10)^INT(A471/12)+Assumptions!$B$12*(1+Assumptions!$B$11)^(INT(A471/12)+1)/12))*J471</f>
        <v>54.0048145448221</v>
      </c>
      <c r="T471" s="32" t="n">
        <f aca="false">T470*(1-F470)*(1-(1-(1-MIN(1,G470*(1+Assumptions!$B$23)))^(1/12)))</f>
        <v>0.0289587563061938</v>
      </c>
      <c r="U471" s="47" t="n">
        <f aca="false">T471*(IF(C471&lt;Assumptions!$B$5,Assumptions!$B$12*(1+Assumptions!$B$11)^(INT(A471/12)+1)/12+Pricing_M!$B$13*IF(A471=0,Assumptions!$B$14*12,IF(A471&gt;=12,Assumptions!$B$15,0))-Pricing_M!$B$13,Assumptions!$B$9/12*(1+Assumptions!$B$10)^INT(A471/12)+Assumptions!$B$12*(1+Assumptions!$B$11)^(INT(A471/12)+1)/12))*J471</f>
        <v>24.4042201595291</v>
      </c>
      <c r="V471" s="32" t="n">
        <f aca="false">V470*(1-F470)*(1-(1-(1-MIN(1,G470*(1-Assumptions!$B$23)))^(1/12)))</f>
        <v>0.0352566471843747</v>
      </c>
      <c r="W471" s="47" t="n">
        <f aca="false">V471*(IF(C471&lt;Assumptions!$B$5,Assumptions!$B$12*(1+Assumptions!$B$11)^(INT(A471/12)+1)/12+Pricing_M!$B$13*IF(A471=0,Assumptions!$B$14*12,IF(A471&gt;=12,Assumptions!$B$15,0))-Pricing_M!$B$13,Assumptions!$B$9/12*(1+Assumptions!$B$10)^INT(A471/12)+Assumptions!$B$12*(1+Assumptions!$B$11)^(INT(A471/12)+1)/12))*J471</f>
        <v>29.7115998655748</v>
      </c>
      <c r="X471" s="47" t="n">
        <f aca="false">I471*(IF(C471&lt;Assumptions!$B$5,Assumptions!$B$12*(1+Assumptions!$B$11)*(1+Assumptions!$B$24)*(1+Assumptions!$B$11+Assumptions!$B$25)^(INT(A471/12))/12+Pricing_M!$B$13*IF(A471=0,Assumptions!$B$14*12,IF(A471&gt;=12,Assumptions!$B$15,0))-Pricing_M!$B$13,Assumptions!$B$9/12*(1+Assumptions!$B$10)^INT(A471/12)+Assumptions!$B$12*(1+Assumptions!$B$11)*(1+Assumptions!$B$24)*(1+Assumptions!$B$11+Assumptions!$B$25)^(INT(A471/12))/12))*J471</f>
        <v>27.0374539773964</v>
      </c>
    </row>
    <row r="472" customFormat="false" ht="15" hidden="false" customHeight="true" outlineLevel="0" collapsed="false">
      <c r="A472" s="1" t="n">
        <v>465</v>
      </c>
      <c r="B472" s="31" t="n">
        <f aca="false">Assumptions!$B$4+A472/12</f>
        <v>103.75</v>
      </c>
      <c r="C472" s="34" t="n">
        <f aca="false">Assumptions!$B$4+INT(A472/12)</f>
        <v>103</v>
      </c>
      <c r="D472" s="34" t="n">
        <f aca="false">INT(A472/12)+1</f>
        <v>39</v>
      </c>
      <c r="E472" s="32" t="n">
        <f aca="false">IFERROR(INDEX(Cohort_Survival!$G$5:$G$65,MATCH(C472,Cohort_Survival!$A$5:$A$65,0)),1)</f>
        <v>0.247394878598862</v>
      </c>
      <c r="F472" s="30" t="n">
        <f aca="false">1-(1-MIN(1,E472))^(1/12)</f>
        <v>0.0234062720018363</v>
      </c>
      <c r="G472" s="39" t="n">
        <f aca="false">IF(C472&lt;Assumptions!$B$5,IF(D472=1,Assumptions!$B$16,IF(D472=2,Assumptions!$B$17,IF(D472&lt;=5,Assumptions!$B$18,Assumptions!$B$19)))*(1-Assumptions!$B$20),0)</f>
        <v>0</v>
      </c>
      <c r="H472" s="30" t="n">
        <f aca="false">1-(1-G472)^(1/12)</f>
        <v>0</v>
      </c>
      <c r="I472" s="30" t="n">
        <f aca="false">I471*(1-F471)*(1-H471)</f>
        <v>0.0312193398721172</v>
      </c>
      <c r="J472" s="30" t="n">
        <f aca="false">INDEX(Discount_Monthly!$G$4:$G$664,MATCH(A472,Discount_Monthly!$A$4:$A$664,0))</f>
        <v>0.295198931266385</v>
      </c>
      <c r="K472" s="30" t="n">
        <f aca="false">IF(C472&lt;Assumptions!$B$5,I472*J472,0)</f>
        <v>0</v>
      </c>
      <c r="L472" s="30" t="n">
        <f aca="false">IF(C472&lt;Assumptions!$B$5,I472*(1-F472)*H472*A472*J472,0)</f>
        <v>0</v>
      </c>
      <c r="M472" s="30" t="n">
        <f aca="false">IF(A472=0,Assumptions!$B$14*12*I472*J472,IF(AND(A472&gt;=12,C472&lt;Assumptions!$B$5),Assumptions!$B$15*I472*J472,0))</f>
        <v>0</v>
      </c>
      <c r="N472" s="47" t="n">
        <f aca="false">IF(C472&gt;=Assumptions!$B$5,I472*Assumptions!$B$9/12*(1+Assumptions!$B$10)^INT(A472/12)*J472,0)</f>
        <v>26.0785691988395</v>
      </c>
      <c r="O472" s="47" t="n">
        <f aca="false">I472*Assumptions!$B$12/12*(1+Assumptions!$B$11)^(INT(A472/12)+1)*J472</f>
        <v>0.160945184770692</v>
      </c>
      <c r="P472" s="47" t="n">
        <f aca="false">O472+Pricing_M!$B$13*M472+N472-Pricing_M!$B$13*K472</f>
        <v>26.2395143836102</v>
      </c>
      <c r="Q472" s="47" t="n">
        <f aca="false">IF(C472&lt;Assumptions!$B$5,Pricing_M!$B$13*K472-Pricing_M!$B$13*M472-O472,-(N472+O472))</f>
        <v>-26.2395143836102</v>
      </c>
      <c r="R472" s="32" t="n">
        <f aca="false">R471*(1-(1-(1-MIN(1,E471*(1-Assumptions!$B$21)))^(1/12)))*(1-H471)</f>
        <v>0.062916676937943</v>
      </c>
      <c r="S472" s="47" t="n">
        <f aca="false">R472*(IF(C472&lt;Assumptions!$B$5,Assumptions!$B$12*(1+Assumptions!$B$11)^(INT(A472/12)+1)/12+Pricing_M!$B$13*IF(A472=0,Assumptions!$B$14*12,IF(A472&gt;=12,Assumptions!$B$15,0))-Pricing_M!$B$13,Assumptions!$B$9/12*(1+Assumptions!$B$10)^INT(A472/12)+Assumptions!$B$12*(1+Assumptions!$B$11)^(INT(A472/12)+1)/12))*J472</f>
        <v>52.8807801908898</v>
      </c>
      <c r="T472" s="32" t="n">
        <f aca="false">T471*(1-F471)*(1-(1-(1-MIN(1,G471*(1+Assumptions!$B$23)))^(1/12)))</f>
        <v>0.0282809397792561</v>
      </c>
      <c r="U472" s="47" t="n">
        <f aca="false">T472*(IF(C472&lt;Assumptions!$B$5,Assumptions!$B$12*(1+Assumptions!$B$11)^(INT(A472/12)+1)/12+Pricing_M!$B$13*IF(A472=0,Assumptions!$B$14*12,IF(A472&gt;=12,Assumptions!$B$15,0))-Pricing_M!$B$13,Assumptions!$B$9/12*(1+Assumptions!$B$10)^INT(A472/12)+Assumptions!$B$12*(1+Assumptions!$B$11)^(INT(A472/12)+1)/12))*J472</f>
        <v>23.769821180062</v>
      </c>
      <c r="V472" s="32" t="n">
        <f aca="false">V471*(1-F471)*(1-(1-(1-MIN(1,G471*(1-Assumptions!$B$23)))^(1/12)))</f>
        <v>0.0344314205105044</v>
      </c>
      <c r="W472" s="47" t="n">
        <f aca="false">V472*(IF(C472&lt;Assumptions!$B$5,Assumptions!$B$12*(1+Assumptions!$B$11)^(INT(A472/12)+1)/12+Pricing_M!$B$13*IF(A472=0,Assumptions!$B$14*12,IF(A472&gt;=12,Assumptions!$B$15,0))-Pricing_M!$B$13,Assumptions!$B$9/12*(1+Assumptions!$B$10)^INT(A472/12)+Assumptions!$B$12*(1+Assumptions!$B$11)^(INT(A472/12)+1)/12))*J472</f>
        <v>28.9392330982764</v>
      </c>
      <c r="X472" s="47" t="n">
        <f aca="false">I472*(IF(C472&lt;Assumptions!$B$5,Assumptions!$B$12*(1+Assumptions!$B$11)*(1+Assumptions!$B$24)*(1+Assumptions!$B$11+Assumptions!$B$25)^(INT(A472/12))/12+Pricing_M!$B$13*IF(A472=0,Assumptions!$B$14*12,IF(A472&gt;=12,Assumptions!$B$15,0))-Pricing_M!$B$13,Assumptions!$B$9/12*(1+Assumptions!$B$10)^INT(A472/12)+Assumptions!$B$12*(1+Assumptions!$B$11)*(1+Assumptions!$B$24)*(1+Assumptions!$B$11+Assumptions!$B$25)^(INT(A472/12))/12))*J472</f>
        <v>26.3346028680995</v>
      </c>
    </row>
    <row r="473" customFormat="false" ht="15" hidden="false" customHeight="true" outlineLevel="0" collapsed="false">
      <c r="A473" s="1" t="n">
        <v>466</v>
      </c>
      <c r="B473" s="31" t="n">
        <f aca="false">Assumptions!$B$4+A473/12</f>
        <v>103.833333333333</v>
      </c>
      <c r="C473" s="34" t="n">
        <f aca="false">Assumptions!$B$4+INT(A473/12)</f>
        <v>103</v>
      </c>
      <c r="D473" s="34" t="n">
        <f aca="false">INT(A473/12)+1</f>
        <v>39</v>
      </c>
      <c r="E473" s="32" t="n">
        <f aca="false">IFERROR(INDEX(Cohort_Survival!$G$5:$G$65,MATCH(C473,Cohort_Survival!$A$5:$A$65,0)),1)</f>
        <v>0.247394878598862</v>
      </c>
      <c r="F473" s="30" t="n">
        <f aca="false">1-(1-MIN(1,E473))^(1/12)</f>
        <v>0.0234062720018363</v>
      </c>
      <c r="G473" s="39" t="n">
        <f aca="false">IF(C473&lt;Assumptions!$B$5,IF(D473=1,Assumptions!$B$16,IF(D473=2,Assumptions!$B$17,IF(D473&lt;=5,Assumptions!$B$18,Assumptions!$B$19)))*(1-Assumptions!$B$20),0)</f>
        <v>0</v>
      </c>
      <c r="H473" s="30" t="n">
        <f aca="false">1-(1-G473)^(1/12)</f>
        <v>0</v>
      </c>
      <c r="I473" s="30" t="n">
        <f aca="false">I472*(1-F472)*(1-H472)</f>
        <v>0.0304886115113527</v>
      </c>
      <c r="J473" s="30" t="n">
        <f aca="false">INDEX(Discount_Monthly!$G$4:$G$664,MATCH(A473,Discount_Monthly!$A$4:$A$664,0))</f>
        <v>0.294416286325509</v>
      </c>
      <c r="K473" s="30" t="n">
        <f aca="false">IF(C473&lt;Assumptions!$B$5,I473*J473,0)</f>
        <v>0</v>
      </c>
      <c r="L473" s="30" t="n">
        <f aca="false">IF(C473&lt;Assumptions!$B$5,I473*(1-F473)*H473*A473*J473,0)</f>
        <v>0</v>
      </c>
      <c r="M473" s="30" t="n">
        <f aca="false">IF(A473=0,Assumptions!$B$14*12*I473*J473,IF(AND(A473&gt;=12,C473&lt;Assumptions!$B$5),Assumptions!$B$15*I473*J473,0))</f>
        <v>0</v>
      </c>
      <c r="N473" s="47" t="n">
        <f aca="false">IF(C473&gt;=Assumptions!$B$5,I473*Assumptions!$B$9/12*(1+Assumptions!$B$10)^INT(A473/12)*J473,0)</f>
        <v>25.4006447424317</v>
      </c>
      <c r="O473" s="47" t="n">
        <f aca="false">I473*Assumptions!$B$12/12*(1+Assumptions!$B$11)^(INT(A473/12)+1)*J473</f>
        <v>0.156761340324886</v>
      </c>
      <c r="P473" s="47" t="n">
        <f aca="false">O473+Pricing_M!$B$13*M473+N473-Pricing_M!$B$13*K473</f>
        <v>25.5574060827565</v>
      </c>
      <c r="Q473" s="47" t="n">
        <f aca="false">IF(C473&lt;Assumptions!$B$5,Pricing_M!$B$13*K473-Pricing_M!$B$13*M473-O473,-(N473+O473))</f>
        <v>-25.5574060827565</v>
      </c>
      <c r="R473" s="32" t="n">
        <f aca="false">R472*(1-(1-(1-MIN(1,E472*(1-Assumptions!$B$21)))^(1/12)))*(1-H472)</f>
        <v>0.0617709245941953</v>
      </c>
      <c r="S473" s="47" t="n">
        <f aca="false">R473*(IF(C473&lt;Assumptions!$B$5,Assumptions!$B$12*(1+Assumptions!$B$11)^(INT(A473/12)+1)/12+Pricing_M!$B$13*IF(A473=0,Assumptions!$B$14*12,IF(A473&gt;=12,Assumptions!$B$15,0))-Pricing_M!$B$13,Assumptions!$B$9/12*(1+Assumptions!$B$10)^INT(A473/12)+Assumptions!$B$12*(1+Assumptions!$B$11)^(INT(A473/12)+1)/12))*J473</f>
        <v>51.7801410330982</v>
      </c>
      <c r="T473" s="32" t="n">
        <f aca="false">T472*(1-F472)*(1-(1-(1-MIN(1,G472*(1+Assumptions!$B$23)))^(1/12)))</f>
        <v>0.0276189884103153</v>
      </c>
      <c r="U473" s="47" t="n">
        <f aca="false">T473*(IF(C473&lt;Assumptions!$B$5,Assumptions!$B$12*(1+Assumptions!$B$11)^(INT(A473/12)+1)/12+Pricing_M!$B$13*IF(A473=0,Assumptions!$B$14*12,IF(A473&gt;=12,Assumptions!$B$15,0))-Pricing_M!$B$13,Assumptions!$B$9/12*(1+Assumptions!$B$10)^INT(A473/12)+Assumptions!$B$12*(1+Assumptions!$B$11)^(INT(A473/12)+1)/12))*J473</f>
        <v>23.1519136952019</v>
      </c>
      <c r="V473" s="32" t="n">
        <f aca="false">V472*(1-F472)*(1-(1-(1-MIN(1,G472*(1-Assumptions!$B$23)))^(1/12)))</f>
        <v>0.033625509316626</v>
      </c>
      <c r="W473" s="47" t="n">
        <f aca="false">V473*(IF(C473&lt;Assumptions!$B$5,Assumptions!$B$12*(1+Assumptions!$B$11)^(INT(A473/12)+1)/12+Pricing_M!$B$13*IF(A473=0,Assumptions!$B$14*12,IF(A473&gt;=12,Assumptions!$B$15,0))-Pricing_M!$B$13,Assumptions!$B$9/12*(1+Assumptions!$B$10)^INT(A473/12)+Assumptions!$B$12*(1+Assumptions!$B$11)^(INT(A473/12)+1)/12))*J473</f>
        <v>28.1869443619801</v>
      </c>
      <c r="X473" s="47" t="n">
        <f aca="false">I473*(IF(C473&lt;Assumptions!$B$5,Assumptions!$B$12*(1+Assumptions!$B$11)*(1+Assumptions!$B$24)*(1+Assumptions!$B$11+Assumptions!$B$25)^(INT(A473/12))/12+Pricing_M!$B$13*IF(A473=0,Assumptions!$B$14*12,IF(A473&gt;=12,Assumptions!$B$15,0))-Pricing_M!$B$13,Assumptions!$B$9/12*(1+Assumptions!$B$10)^INT(A473/12)+Assumptions!$B$12*(1+Assumptions!$B$11)*(1+Assumptions!$B$24)*(1+Assumptions!$B$11+Assumptions!$B$25)^(INT(A473/12))/12))*J473</f>
        <v>25.6500226981542</v>
      </c>
    </row>
    <row r="474" customFormat="false" ht="15" hidden="false" customHeight="true" outlineLevel="0" collapsed="false">
      <c r="A474" s="1" t="n">
        <v>467</v>
      </c>
      <c r="B474" s="31" t="n">
        <f aca="false">Assumptions!$B$4+A474/12</f>
        <v>103.916666666667</v>
      </c>
      <c r="C474" s="34" t="n">
        <f aca="false">Assumptions!$B$4+INT(A474/12)</f>
        <v>103</v>
      </c>
      <c r="D474" s="34" t="n">
        <f aca="false">INT(A474/12)+1</f>
        <v>39</v>
      </c>
      <c r="E474" s="32" t="n">
        <f aca="false">IFERROR(INDEX(Cohort_Survival!$G$5:$G$65,MATCH(C474,Cohort_Survival!$A$5:$A$65,0)),1)</f>
        <v>0.247394878598862</v>
      </c>
      <c r="F474" s="30" t="n">
        <f aca="false">1-(1-MIN(1,E474))^(1/12)</f>
        <v>0.0234062720018363</v>
      </c>
      <c r="G474" s="39" t="n">
        <f aca="false">IF(C474&lt;Assumptions!$B$5,IF(D474=1,Assumptions!$B$16,IF(D474=2,Assumptions!$B$17,IF(D474&lt;=5,Assumptions!$B$18,Assumptions!$B$19)))*(1-Assumptions!$B$20),0)</f>
        <v>0</v>
      </c>
      <c r="H474" s="30" t="n">
        <f aca="false">1-(1-G474)^(1/12)</f>
        <v>0</v>
      </c>
      <c r="I474" s="30" t="n">
        <f aca="false">I473*(1-F473)*(1-H473)</f>
        <v>0.0297749867773596</v>
      </c>
      <c r="J474" s="30" t="n">
        <f aca="false">INDEX(Discount_Monthly!$G$4:$G$664,MATCH(A474,Discount_Monthly!$A$4:$A$664,0))</f>
        <v>0.293635716368782</v>
      </c>
      <c r="K474" s="30" t="n">
        <f aca="false">IF(C474&lt;Assumptions!$B$5,I474*J474,0)</f>
        <v>0</v>
      </c>
      <c r="L474" s="30" t="n">
        <f aca="false">IF(C474&lt;Assumptions!$B$5,I474*(1-F474)*H474*A474*J474,0)</f>
        <v>0</v>
      </c>
      <c r="M474" s="30" t="n">
        <f aca="false">IF(A474=0,Assumptions!$B$14*12*I474*J474,IF(AND(A474&gt;=12,C474&lt;Assumptions!$B$5),Assumptions!$B$15*I474*J474,0))</f>
        <v>0</v>
      </c>
      <c r="N474" s="47" t="n">
        <f aca="false">IF(C474&gt;=Assumptions!$B$5,I474*Assumptions!$B$9/12*(1+Assumptions!$B$10)^INT(A474/12)*J474,0)</f>
        <v>24.7403432455156</v>
      </c>
      <c r="O474" s="47" t="n">
        <f aca="false">I474*Assumptions!$B$12/12*(1+Assumptions!$B$11)^(INT(A474/12)+1)*J474</f>
        <v>0.152686256848672</v>
      </c>
      <c r="P474" s="47" t="n">
        <f aca="false">O474+Pricing_M!$B$13*M474+N474-Pricing_M!$B$13*K474</f>
        <v>24.8930295023643</v>
      </c>
      <c r="Q474" s="47" t="n">
        <f aca="false">IF(C474&lt;Assumptions!$B$5,Pricing_M!$B$13*K474-Pricing_M!$B$13*M474-O474,-(N474+O474))</f>
        <v>-24.8930295023643</v>
      </c>
      <c r="R474" s="32" t="n">
        <f aca="false">R473*(1-(1-(1-MIN(1,E473*(1-Assumptions!$B$21)))^(1/12)))*(1-H473)</f>
        <v>0.0606460371228009</v>
      </c>
      <c r="S474" s="47" t="n">
        <f aca="false">R474*(IF(C474&lt;Assumptions!$B$5,Assumptions!$B$12*(1+Assumptions!$B$11)^(INT(A474/12)+1)/12+Pricing_M!$B$13*IF(A474=0,Assumptions!$B$14*12,IF(A474&gt;=12,Assumptions!$B$15,0))-Pricing_M!$B$13,Assumptions!$B$9/12*(1+Assumptions!$B$10)^INT(A474/12)+Assumptions!$B$12*(1+Assumptions!$B$11)^(INT(A474/12)+1)/12))*J474</f>
        <v>50.7024101333031</v>
      </c>
      <c r="T474" s="32" t="n">
        <f aca="false">T473*(1-F473)*(1-(1-(1-MIN(1,G473*(1+Assumptions!$B$23)))^(1/12)))</f>
        <v>0.0269725308551679</v>
      </c>
      <c r="U474" s="47" t="n">
        <f aca="false">T474*(IF(C474&lt;Assumptions!$B$5,Assumptions!$B$12*(1+Assumptions!$B$11)^(INT(A474/12)+1)/12+Pricing_M!$B$13*IF(A474=0,Assumptions!$B$14*12,IF(A474&gt;=12,Assumptions!$B$15,0))-Pricing_M!$B$13,Assumptions!$B$9/12*(1+Assumptions!$B$10)^INT(A474/12)+Assumptions!$B$12*(1+Assumptions!$B$11)^(INT(A474/12)+1)/12))*J474</f>
        <v>22.5500690009262</v>
      </c>
      <c r="V474" s="32" t="n">
        <f aca="false">V473*(1-F473)*(1-(1-(1-MIN(1,G473*(1-Assumptions!$B$23)))^(1/12)))</f>
        <v>0.0328384614993607</v>
      </c>
      <c r="W474" s="47" t="n">
        <f aca="false">V474*(IF(C474&lt;Assumptions!$B$5,Assumptions!$B$12*(1+Assumptions!$B$11)^(INT(A474/12)+1)/12+Pricing_M!$B$13*IF(A474=0,Assumptions!$B$14*12,IF(A474&gt;=12,Assumptions!$B$15,0))-Pricing_M!$B$13,Assumptions!$B$9/12*(1+Assumptions!$B$10)^INT(A474/12)+Assumptions!$B$12*(1+Assumptions!$B$11)^(INT(A474/12)+1)/12))*J474</f>
        <v>27.4542117189928</v>
      </c>
      <c r="X474" s="47" t="n">
        <f aca="false">I474*(IF(C474&lt;Assumptions!$B$5,Assumptions!$B$12*(1+Assumptions!$B$11)*(1+Assumptions!$B$24)*(1+Assumptions!$B$11+Assumptions!$B$25)^(INT(A474/12))/12+Pricing_M!$B$13*IF(A474=0,Assumptions!$B$14*12,IF(A474&gt;=12,Assumptions!$B$15,0))-Pricing_M!$B$13,Assumptions!$B$9/12*(1+Assumptions!$B$10)^INT(A474/12)+Assumptions!$B$12*(1+Assumptions!$B$11)*(1+Assumptions!$B$24)*(1+Assumptions!$B$11+Assumptions!$B$25)^(INT(A474/12))/12))*J474</f>
        <v>24.9832385060494</v>
      </c>
    </row>
    <row r="475" customFormat="false" ht="15" hidden="false" customHeight="true" outlineLevel="0" collapsed="false">
      <c r="A475" s="1" t="n">
        <v>468</v>
      </c>
      <c r="B475" s="31" t="n">
        <f aca="false">Assumptions!$B$4+A475/12</f>
        <v>104</v>
      </c>
      <c r="C475" s="34" t="n">
        <f aca="false">Assumptions!$B$4+INT(A475/12)</f>
        <v>104</v>
      </c>
      <c r="D475" s="34" t="n">
        <f aca="false">INT(A475/12)+1</f>
        <v>40</v>
      </c>
      <c r="E475" s="32" t="n">
        <f aca="false">IFERROR(INDEX(Cohort_Survival!$G$5:$G$65,MATCH(C475,Cohort_Survival!$A$5:$A$65,0)),1)</f>
        <v>0.237854565957446</v>
      </c>
      <c r="F475" s="30" t="n">
        <f aca="false">1-(1-MIN(1,E475))^(1/12)</f>
        <v>0.0223805778608968</v>
      </c>
      <c r="G475" s="39" t="n">
        <f aca="false">IF(C475&lt;Assumptions!$B$5,IF(D475=1,Assumptions!$B$16,IF(D475=2,Assumptions!$B$17,IF(D475&lt;=5,Assumptions!$B$18,Assumptions!$B$19)))*(1-Assumptions!$B$20),0)</f>
        <v>0</v>
      </c>
      <c r="H475" s="30" t="n">
        <f aca="false">1-(1-G475)^(1/12)</f>
        <v>0</v>
      </c>
      <c r="I475" s="30" t="n">
        <f aca="false">I474*(1-F474)*(1-H474)</f>
        <v>0.0290780653379977</v>
      </c>
      <c r="J475" s="30" t="n">
        <f aca="false">INDEX(Discount_Monthly!$G$4:$G$664,MATCH(A475,Discount_Monthly!$A$4:$A$664,0))</f>
        <v>0.292857215894912</v>
      </c>
      <c r="K475" s="30" t="n">
        <f aca="false">IF(C475&lt;Assumptions!$B$5,I475*J475,0)</f>
        <v>0</v>
      </c>
      <c r="L475" s="30" t="n">
        <f aca="false">IF(C475&lt;Assumptions!$B$5,I475*(1-F475)*H475*A475*J475,0)</f>
        <v>0</v>
      </c>
      <c r="M475" s="30" t="n">
        <f aca="false">IF(A475=0,Assumptions!$B$14*12*I475*J475,IF(AND(A475&gt;=12,C475&lt;Assumptions!$B$5),Assumptions!$B$15*I475*J475,0))</f>
        <v>0</v>
      </c>
      <c r="N475" s="47" t="n">
        <f aca="false">IF(C475&gt;=Assumptions!$B$5,I475*Assumptions!$B$9/12*(1+Assumptions!$B$10)^INT(A475/12)*J475,0)</f>
        <v>24.5791507229387</v>
      </c>
      <c r="O475" s="47" t="n">
        <f aca="false">I475*Assumptions!$B$12/12*(1+Assumptions!$B$11)^(INT(A475/12)+1)*J475</f>
        <v>0.152435034726648</v>
      </c>
      <c r="P475" s="47" t="n">
        <f aca="false">O475+Pricing_M!$B$13*M475+N475-Pricing_M!$B$13*K475</f>
        <v>24.7315857576654</v>
      </c>
      <c r="Q475" s="47" t="n">
        <f aca="false">IF(C475&lt;Assumptions!$B$5,Pricing_M!$B$13*K475-Pricing_M!$B$13*M475-O475,-(N475+O475))</f>
        <v>-24.7315857576654</v>
      </c>
      <c r="R475" s="32" t="n">
        <f aca="false">R474*(1-(1-(1-MIN(1,E474*(1-Assumptions!$B$21)))^(1/12)))*(1-H474)</f>
        <v>0.0595416345612831</v>
      </c>
      <c r="S475" s="47" t="n">
        <f aca="false">R475*(IF(C475&lt;Assumptions!$B$5,Assumptions!$B$12*(1+Assumptions!$B$11)^(INT(A475/12)+1)/12+Pricing_M!$B$13*IF(A475=0,Assumptions!$B$14*12,IF(A475&gt;=12,Assumptions!$B$15,0))-Pricing_M!$B$13,Assumptions!$B$9/12*(1+Assumptions!$B$10)^INT(A475/12)+Assumptions!$B$12*(1+Assumptions!$B$11)^(INT(A475/12)+1)/12))*J475</f>
        <v>50.6415755032947</v>
      </c>
      <c r="T475" s="32" t="n">
        <f aca="false">T474*(1-F474)*(1-(1-(1-MIN(1,G474*(1+Assumptions!$B$23)))^(1/12)))</f>
        <v>0.0263412044613939</v>
      </c>
      <c r="U475" s="47" t="n">
        <f aca="false">T475*(IF(C475&lt;Assumptions!$B$5,Assumptions!$B$12*(1+Assumptions!$B$11)^(INT(A475/12)+1)/12+Pricing_M!$B$13*IF(A475=0,Assumptions!$B$14*12,IF(A475&gt;=12,Assumptions!$B$15,0))-Pricing_M!$B$13,Assumptions!$B$9/12*(1+Assumptions!$B$10)^INT(A475/12)+Assumptions!$B$12*(1+Assumptions!$B$11)^(INT(A475/12)+1)/12))*J475</f>
        <v>22.4038205267346</v>
      </c>
      <c r="V475" s="32" t="n">
        <f aca="false">V474*(1-F474)*(1-(1-(1-MIN(1,G474*(1-Assumptions!$B$23)))^(1/12)))</f>
        <v>0.0320698355373849</v>
      </c>
      <c r="W475" s="47" t="n">
        <f aca="false">V475*(IF(C475&lt;Assumptions!$B$5,Assumptions!$B$12*(1+Assumptions!$B$11)^(INT(A475/12)+1)/12+Pricing_M!$B$13*IF(A475=0,Assumptions!$B$14*12,IF(A475&gt;=12,Assumptions!$B$15,0))-Pricing_M!$B$13,Assumptions!$B$9/12*(1+Assumptions!$B$10)^INT(A475/12)+Assumptions!$B$12*(1+Assumptions!$B$11)^(INT(A475/12)+1)/12))*J475</f>
        <v>27.2761574268364</v>
      </c>
      <c r="X475" s="47" t="n">
        <f aca="false">I475*(IF(C475&lt;Assumptions!$B$5,Assumptions!$B$12*(1+Assumptions!$B$11)*(1+Assumptions!$B$24)*(1+Assumptions!$B$11+Assumptions!$B$25)^(INT(A475/12))/12+Pricing_M!$B$13*IF(A475=0,Assumptions!$B$14*12,IF(A475&gt;=12,Assumptions!$B$15,0))-Pricing_M!$B$13,Assumptions!$B$9/12*(1+Assumptions!$B$10)^INT(A475/12)+Assumptions!$B$12*(1+Assumptions!$B$11)*(1+Assumptions!$B$24)*(1+Assumptions!$B$11+Assumptions!$B$25)^(INT(A475/12))/12))*J475</f>
        <v>24.8240121469508</v>
      </c>
    </row>
    <row r="476" customFormat="false" ht="15" hidden="false" customHeight="true" outlineLevel="0" collapsed="false">
      <c r="A476" s="1" t="n">
        <v>469</v>
      </c>
      <c r="B476" s="31" t="n">
        <f aca="false">Assumptions!$B$4+A476/12</f>
        <v>104.083333333333</v>
      </c>
      <c r="C476" s="34" t="n">
        <f aca="false">Assumptions!$B$4+INT(A476/12)</f>
        <v>104</v>
      </c>
      <c r="D476" s="34" t="n">
        <f aca="false">INT(A476/12)+1</f>
        <v>40</v>
      </c>
      <c r="E476" s="32" t="n">
        <f aca="false">IFERROR(INDEX(Cohort_Survival!$G$5:$G$65,MATCH(C476,Cohort_Survival!$A$5:$A$65,0)),1)</f>
        <v>0.237854565957446</v>
      </c>
      <c r="F476" s="30" t="n">
        <f aca="false">1-(1-MIN(1,E476))^(1/12)</f>
        <v>0.0223805778608968</v>
      </c>
      <c r="G476" s="39" t="n">
        <f aca="false">IF(C476&lt;Assumptions!$B$5,IF(D476=1,Assumptions!$B$16,IF(D476=2,Assumptions!$B$17,IF(D476&lt;=5,Assumptions!$B$18,Assumptions!$B$19)))*(1-Assumptions!$B$20),0)</f>
        <v>0</v>
      </c>
      <c r="H476" s="30" t="n">
        <f aca="false">1-(1-G476)^(1/12)</f>
        <v>0</v>
      </c>
      <c r="I476" s="30" t="n">
        <f aca="false">I475*(1-F475)*(1-H475)</f>
        <v>0.0284272814326564</v>
      </c>
      <c r="J476" s="30" t="n">
        <f aca="false">INDEX(Discount_Monthly!$G$4:$G$664,MATCH(A476,Discount_Monthly!$A$4:$A$664,0))</f>
        <v>0.292070873875044</v>
      </c>
      <c r="K476" s="30" t="n">
        <f aca="false">IF(C476&lt;Assumptions!$B$5,I476*J476,0)</f>
        <v>0</v>
      </c>
      <c r="L476" s="30" t="n">
        <f aca="false">IF(C476&lt;Assumptions!$B$5,I476*(1-F476)*H476*A476*J476,0)</f>
        <v>0</v>
      </c>
      <c r="M476" s="30" t="n">
        <f aca="false">IF(A476=0,Assumptions!$B$14*12*I476*J476,IF(AND(A476&gt;=12,C476&lt;Assumptions!$B$5),Assumptions!$B$15*I476*J476,0))</f>
        <v>0</v>
      </c>
      <c r="N476" s="47" t="n">
        <f aca="false">IF(C476&gt;=Assumptions!$B$5,I476*Assumptions!$B$9/12*(1+Assumptions!$B$10)^INT(A476/12)*J476,0)</f>
        <v>23.964535439981</v>
      </c>
      <c r="O476" s="47" t="n">
        <f aca="false">I476*Assumptions!$B$12/12*(1+Assumptions!$B$11)^(INT(A476/12)+1)*J476</f>
        <v>0.148623312220152</v>
      </c>
      <c r="P476" s="47" t="n">
        <f aca="false">O476+Pricing_M!$B$13*M476+N476-Pricing_M!$B$13*K476</f>
        <v>24.1131587522012</v>
      </c>
      <c r="Q476" s="47" t="n">
        <f aca="false">IF(C476&lt;Assumptions!$B$5,Pricing_M!$B$13*K476-Pricing_M!$B$13*M476-O476,-(N476+O476))</f>
        <v>-24.1131587522012</v>
      </c>
      <c r="R476" s="32" t="n">
        <f aca="false">R475*(1-(1-(1-MIN(1,E475*(1-Assumptions!$B$21)))^(1/12)))*(1-H475)</f>
        <v>0.0585034972753738</v>
      </c>
      <c r="S476" s="47" t="n">
        <f aca="false">R476*(IF(C476&lt;Assumptions!$B$5,Assumptions!$B$12*(1+Assumptions!$B$11)^(INT(A476/12)+1)/12+Pricing_M!$B$13*IF(A476=0,Assumptions!$B$14*12,IF(A476&gt;=12,Assumptions!$B$15,0))-Pricing_M!$B$13,Assumptions!$B$9/12*(1+Assumptions!$B$10)^INT(A476/12)+Assumptions!$B$12*(1+Assumptions!$B$11)^(INT(A476/12)+1)/12))*J476</f>
        <v>49.6250097182873</v>
      </c>
      <c r="T476" s="32" t="n">
        <f aca="false">T475*(1-F475)*(1-(1-(1-MIN(1,G475*(1+Assumptions!$B$23)))^(1/12)))</f>
        <v>0.0257516730839959</v>
      </c>
      <c r="U476" s="47" t="n">
        <f aca="false">T476*(IF(C476&lt;Assumptions!$B$5,Assumptions!$B$12*(1+Assumptions!$B$11)^(INT(A476/12)+1)/12+Pricing_M!$B$13*IF(A476=0,Assumptions!$B$14*12,IF(A476&gt;=12,Assumptions!$B$15,0))-Pricing_M!$B$13,Assumptions!$B$9/12*(1+Assumptions!$B$10)^INT(A476/12)+Assumptions!$B$12*(1+Assumptions!$B$11)^(INT(A476/12)+1)/12))*J476</f>
        <v>21.8436005806678</v>
      </c>
      <c r="V476" s="32" t="n">
        <f aca="false">V475*(1-F475)*(1-(1-(1-MIN(1,G475*(1-Assumptions!$B$23)))^(1/12)))</f>
        <v>0.0313520940861543</v>
      </c>
      <c r="W476" s="47" t="n">
        <f aca="false">V476*(IF(C476&lt;Assumptions!$B$5,Assumptions!$B$12*(1+Assumptions!$B$11)^(INT(A476/12)+1)/12+Pricing_M!$B$13*IF(A476=0,Assumptions!$B$14*12,IF(A476&gt;=12,Assumptions!$B$15,0))-Pricing_M!$B$13,Assumptions!$B$9/12*(1+Assumptions!$B$10)^INT(A476/12)+Assumptions!$B$12*(1+Assumptions!$B$11)^(INT(A476/12)+1)/12))*J476</f>
        <v>26.5941019968557</v>
      </c>
      <c r="X476" s="47" t="n">
        <f aca="false">I476*(IF(C476&lt;Assumptions!$B$5,Assumptions!$B$12*(1+Assumptions!$B$11)*(1+Assumptions!$B$24)*(1+Assumptions!$B$11+Assumptions!$B$25)^(INT(A476/12))/12+Pricing_M!$B$13*IF(A476=0,Assumptions!$B$14*12,IF(A476&gt;=12,Assumptions!$B$15,0))-Pricing_M!$B$13,Assumptions!$B$9/12*(1+Assumptions!$B$10)^INT(A476/12)+Assumptions!$B$12*(1+Assumptions!$B$11)*(1+Assumptions!$B$24)*(1+Assumptions!$B$11+Assumptions!$B$25)^(INT(A476/12))/12))*J476</f>
        <v>24.2032739684097</v>
      </c>
    </row>
    <row r="477" customFormat="false" ht="15" hidden="false" customHeight="true" outlineLevel="0" collapsed="false">
      <c r="A477" s="1" t="n">
        <v>470</v>
      </c>
      <c r="B477" s="31" t="n">
        <f aca="false">Assumptions!$B$4+A477/12</f>
        <v>104.166666666667</v>
      </c>
      <c r="C477" s="34" t="n">
        <f aca="false">Assumptions!$B$4+INT(A477/12)</f>
        <v>104</v>
      </c>
      <c r="D477" s="34" t="n">
        <f aca="false">INT(A477/12)+1</f>
        <v>40</v>
      </c>
      <c r="E477" s="32" t="n">
        <f aca="false">IFERROR(INDEX(Cohort_Survival!$G$5:$G$65,MATCH(C477,Cohort_Survival!$A$5:$A$65,0)),1)</f>
        <v>0.237854565957446</v>
      </c>
      <c r="F477" s="30" t="n">
        <f aca="false">1-(1-MIN(1,E477))^(1/12)</f>
        <v>0.0223805778608968</v>
      </c>
      <c r="G477" s="39" t="n">
        <f aca="false">IF(C477&lt;Assumptions!$B$5,IF(D477=1,Assumptions!$B$16,IF(D477=2,Assumptions!$B$17,IF(D477&lt;=5,Assumptions!$B$18,Assumptions!$B$19)))*(1-Assumptions!$B$20),0)</f>
        <v>0</v>
      </c>
      <c r="H477" s="30" t="n">
        <f aca="false">1-(1-G477)^(1/12)</f>
        <v>0</v>
      </c>
      <c r="I477" s="30" t="n">
        <f aca="false">I476*(1-F476)*(1-H476)</f>
        <v>0.0277910624471792</v>
      </c>
      <c r="J477" s="30" t="n">
        <f aca="false">INDEX(Discount_Monthly!$G$4:$G$664,MATCH(A477,Discount_Monthly!$A$4:$A$664,0))</f>
        <v>0.291286643238262</v>
      </c>
      <c r="K477" s="30" t="n">
        <f aca="false">IF(C477&lt;Assumptions!$B$5,I477*J477,0)</f>
        <v>0</v>
      </c>
      <c r="L477" s="30" t="n">
        <f aca="false">IF(C477&lt;Assumptions!$B$5,I477*(1-F477)*H477*A477*J477,0)</f>
        <v>0</v>
      </c>
      <c r="M477" s="30" t="n">
        <f aca="false">IF(A477=0,Assumptions!$B$14*12*I477*J477,IF(AND(A477&gt;=12,C477&lt;Assumptions!$B$5),Assumptions!$B$15*I477*J477,0))</f>
        <v>0</v>
      </c>
      <c r="N477" s="47" t="n">
        <f aca="false">IF(C477&gt;=Assumptions!$B$5,I477*Assumptions!$B$9/12*(1+Assumptions!$B$10)^INT(A477/12)*J477,0)</f>
        <v>23.3652889527276</v>
      </c>
      <c r="O477" s="47" t="n">
        <f aca="false">I477*Assumptions!$B$12/12*(1+Assumptions!$B$11)^(INT(A477/12)+1)*J477</f>
        <v>0.144906903946979</v>
      </c>
      <c r="P477" s="47" t="n">
        <f aca="false">O477+Pricing_M!$B$13*M477+N477-Pricing_M!$B$13*K477</f>
        <v>23.5101958566746</v>
      </c>
      <c r="Q477" s="47" t="n">
        <f aca="false">IF(C477&lt;Assumptions!$B$5,Pricing_M!$B$13*K477-Pricing_M!$B$13*M477-O477,-(N477+O477))</f>
        <v>-23.5101958566746</v>
      </c>
      <c r="R477" s="32" t="n">
        <f aca="false">R476*(1-(1-(1-MIN(1,E476*(1-Assumptions!$B$21)))^(1/12)))*(1-H476)</f>
        <v>0.0574834604167091</v>
      </c>
      <c r="S477" s="47" t="n">
        <f aca="false">R477*(IF(C477&lt;Assumptions!$B$5,Assumptions!$B$12*(1+Assumptions!$B$11)^(INT(A477/12)+1)/12+Pricing_M!$B$13*IF(A477=0,Assumptions!$B$14*12,IF(A477&gt;=12,Assumptions!$B$15,0))-Pricing_M!$B$13,Assumptions!$B$9/12*(1+Assumptions!$B$10)^INT(A477/12)+Assumptions!$B$12*(1+Assumptions!$B$11)^(INT(A477/12)+1)/12))*J477</f>
        <v>48.6288502098418</v>
      </c>
      <c r="T477" s="32" t="n">
        <f aca="false">T476*(1-F476)*(1-(1-(1-MIN(1,G476*(1+Assumptions!$B$23)))^(1/12)))</f>
        <v>0.0251753357594912</v>
      </c>
      <c r="U477" s="47" t="n">
        <f aca="false">T477*(IF(C477&lt;Assumptions!$B$5,Assumptions!$B$12*(1+Assumptions!$B$11)^(INT(A477/12)+1)/12+Pricing_M!$B$13*IF(A477=0,Assumptions!$B$14*12,IF(A477&gt;=12,Assumptions!$B$15,0))-Pricing_M!$B$13,Assumptions!$B$9/12*(1+Assumptions!$B$10)^INT(A477/12)+Assumptions!$B$12*(1+Assumptions!$B$11)^(INT(A477/12)+1)/12))*J477</f>
        <v>21.2973892447663</v>
      </c>
      <c r="V477" s="32" t="n">
        <f aca="false">V476*(1-F476)*(1-(1-(1-MIN(1,G476*(1-Assumptions!$B$23)))^(1/12)))</f>
        <v>0.0306504161033569</v>
      </c>
      <c r="W477" s="47" t="n">
        <f aca="false">V477*(IF(C477&lt;Assumptions!$B$5,Assumptions!$B$12*(1+Assumptions!$B$11)^(INT(A477/12)+1)/12+Pricing_M!$B$13*IF(A477=0,Assumptions!$B$14*12,IF(A477&gt;=12,Assumptions!$B$15,0))-Pricing_M!$B$13,Assumptions!$B$9/12*(1+Assumptions!$B$10)^INT(A477/12)+Assumptions!$B$12*(1+Assumptions!$B$11)^(INT(A477/12)+1)/12))*J477</f>
        <v>25.9291017408238</v>
      </c>
      <c r="X477" s="47" t="n">
        <f aca="false">I477*(IF(C477&lt;Assumptions!$B$5,Assumptions!$B$12*(1+Assumptions!$B$11)*(1+Assumptions!$B$24)*(1+Assumptions!$B$11+Assumptions!$B$25)^(INT(A477/12))/12+Pricing_M!$B$13*IF(A477=0,Assumptions!$B$14*12,IF(A477&gt;=12,Assumptions!$B$15,0))-Pricing_M!$B$13,Assumptions!$B$9/12*(1+Assumptions!$B$10)^INT(A477/12)+Assumptions!$B$12*(1+Assumptions!$B$11)*(1+Assumptions!$B$24)*(1+Assumptions!$B$11+Assumptions!$B$25)^(INT(A477/12))/12))*J477</f>
        <v>23.5980576919697</v>
      </c>
    </row>
    <row r="478" customFormat="false" ht="15" hidden="false" customHeight="true" outlineLevel="0" collapsed="false">
      <c r="A478" s="1" t="n">
        <v>471</v>
      </c>
      <c r="B478" s="31" t="n">
        <f aca="false">Assumptions!$B$4+A478/12</f>
        <v>104.25</v>
      </c>
      <c r="C478" s="34" t="n">
        <f aca="false">Assumptions!$B$4+INT(A478/12)</f>
        <v>104</v>
      </c>
      <c r="D478" s="34" t="n">
        <f aca="false">INT(A478/12)+1</f>
        <v>40</v>
      </c>
      <c r="E478" s="32" t="n">
        <f aca="false">IFERROR(INDEX(Cohort_Survival!$G$5:$G$65,MATCH(C478,Cohort_Survival!$A$5:$A$65,0)),1)</f>
        <v>0.237854565957446</v>
      </c>
      <c r="F478" s="30" t="n">
        <f aca="false">1-(1-MIN(1,E478))^(1/12)</f>
        <v>0.0223805778608968</v>
      </c>
      <c r="G478" s="39" t="n">
        <f aca="false">IF(C478&lt;Assumptions!$B$5,IF(D478=1,Assumptions!$B$16,IF(D478=2,Assumptions!$B$17,IF(D478&lt;=5,Assumptions!$B$18,Assumptions!$B$19)))*(1-Assumptions!$B$20),0)</f>
        <v>0</v>
      </c>
      <c r="H478" s="30" t="n">
        <f aca="false">1-(1-G478)^(1/12)</f>
        <v>0</v>
      </c>
      <c r="I478" s="30" t="n">
        <f aca="false">I477*(1-F477)*(1-H477)</f>
        <v>0.027169082410243</v>
      </c>
      <c r="J478" s="30" t="n">
        <f aca="false">INDEX(Discount_Monthly!$G$4:$G$664,MATCH(A478,Discount_Monthly!$A$4:$A$664,0))</f>
        <v>0.290504518315355</v>
      </c>
      <c r="K478" s="30" t="n">
        <f aca="false">IF(C478&lt;Assumptions!$B$5,I478*J478,0)</f>
        <v>0</v>
      </c>
      <c r="L478" s="30" t="n">
        <f aca="false">IF(C478&lt;Assumptions!$B$5,I478*(1-F478)*H478*A478*J478,0)</f>
        <v>0</v>
      </c>
      <c r="M478" s="30" t="n">
        <f aca="false">IF(A478=0,Assumptions!$B$14*12*I478*J478,IF(AND(A478&gt;=12,C478&lt;Assumptions!$B$5),Assumptions!$B$15*I478*J478,0))</f>
        <v>0</v>
      </c>
      <c r="N478" s="47" t="n">
        <f aca="false">IF(C478&gt;=Assumptions!$B$5,I478*Assumptions!$B$9/12*(1+Assumptions!$B$10)^INT(A478/12)*J478,0)</f>
        <v>22.7810269559262</v>
      </c>
      <c r="O478" s="47" t="n">
        <f aca="false">I478*Assumptions!$B$12/12*(1+Assumptions!$B$11)^(INT(A478/12)+1)*J478</f>
        <v>0.141283426521912</v>
      </c>
      <c r="P478" s="47" t="n">
        <f aca="false">O478+Pricing_M!$B$13*M478+N478-Pricing_M!$B$13*K478</f>
        <v>22.9223103824481</v>
      </c>
      <c r="Q478" s="47" t="n">
        <f aca="false">IF(C478&lt;Assumptions!$B$5,Pricing_M!$B$13*K478-Pricing_M!$B$13*M478-O478,-(N478+O478))</f>
        <v>-22.9223103824481</v>
      </c>
      <c r="R478" s="32" t="n">
        <f aca="false">R477*(1-(1-(1-MIN(1,E477*(1-Assumptions!$B$21)))^(1/12)))*(1-H477)</f>
        <v>0.0564812083955583</v>
      </c>
      <c r="S478" s="47" t="n">
        <f aca="false">R478*(IF(C478&lt;Assumptions!$B$5,Assumptions!$B$12*(1+Assumptions!$B$11)^(INT(A478/12)+1)/12+Pricing_M!$B$13*IF(A478=0,Assumptions!$B$14*12,IF(A478&gt;=12,Assumptions!$B$15,0))-Pricing_M!$B$13,Assumptions!$B$9/12*(1+Assumptions!$B$10)^INT(A478/12)+Assumptions!$B$12*(1+Assumptions!$B$11)^(INT(A478/12)+1)/12))*J478</f>
        <v>47.652687347682</v>
      </c>
      <c r="T478" s="32" t="n">
        <f aca="false">T477*(1-F477)*(1-(1-(1-MIN(1,G477*(1+Assumptions!$B$23)))^(1/12)))</f>
        <v>0.0246118971973517</v>
      </c>
      <c r="U478" s="47" t="n">
        <f aca="false">T478*(IF(C478&lt;Assumptions!$B$5,Assumptions!$B$12*(1+Assumptions!$B$11)^(INT(A478/12)+1)/12+Pricing_M!$B$13*IF(A478=0,Assumptions!$B$14*12,IF(A478&gt;=12,Assumptions!$B$15,0))-Pricing_M!$B$13,Assumptions!$B$9/12*(1+Assumptions!$B$10)^INT(A478/12)+Assumptions!$B$12*(1+Assumptions!$B$11)^(INT(A478/12)+1)/12))*J478</f>
        <v>20.7648362259707</v>
      </c>
      <c r="V478" s="32" t="n">
        <f aca="false">V477*(1-F477)*(1-(1-(1-MIN(1,G477*(1-Assumptions!$B$23)))^(1/12)))</f>
        <v>0.0299644420792869</v>
      </c>
      <c r="W478" s="47" t="n">
        <f aca="false">V478*(IF(C478&lt;Assumptions!$B$5,Assumptions!$B$12*(1+Assumptions!$B$11)^(INT(A478/12)+1)/12+Pricing_M!$B$13*IF(A478=0,Assumptions!$B$14*12,IF(A478&gt;=12,Assumptions!$B$15,0))-Pricing_M!$B$13,Assumptions!$B$9/12*(1+Assumptions!$B$10)^INT(A478/12)+Assumptions!$B$12*(1+Assumptions!$B$11)^(INT(A478/12)+1)/12))*J478</f>
        <v>25.2807301846657</v>
      </c>
      <c r="X478" s="47" t="n">
        <f aca="false">I478*(IF(C478&lt;Assumptions!$B$5,Assumptions!$B$12*(1+Assumptions!$B$11)*(1+Assumptions!$B$24)*(1+Assumptions!$B$11+Assumptions!$B$25)^(INT(A478/12))/12+Pricing_M!$B$13*IF(A478=0,Assumptions!$B$14*12,IF(A478&gt;=12,Assumptions!$B$15,0))-Pricing_M!$B$13,Assumptions!$B$9/12*(1+Assumptions!$B$10)^INT(A478/12)+Assumptions!$B$12*(1+Assumptions!$B$11)*(1+Assumptions!$B$24)*(1+Assumptions!$B$11+Assumptions!$B$25)^(INT(A478/12))/12))*J478</f>
        <v>23.007975183868</v>
      </c>
    </row>
    <row r="479" customFormat="false" ht="15" hidden="false" customHeight="true" outlineLevel="0" collapsed="false">
      <c r="A479" s="1" t="n">
        <v>472</v>
      </c>
      <c r="B479" s="31" t="n">
        <f aca="false">Assumptions!$B$4+A479/12</f>
        <v>104.333333333333</v>
      </c>
      <c r="C479" s="34" t="n">
        <f aca="false">Assumptions!$B$4+INT(A479/12)</f>
        <v>104</v>
      </c>
      <c r="D479" s="34" t="n">
        <f aca="false">INT(A479/12)+1</f>
        <v>40</v>
      </c>
      <c r="E479" s="32" t="n">
        <f aca="false">IFERROR(INDEX(Cohort_Survival!$G$5:$G$65,MATCH(C479,Cohort_Survival!$A$5:$A$65,0)),1)</f>
        <v>0.237854565957446</v>
      </c>
      <c r="F479" s="30" t="n">
        <f aca="false">1-(1-MIN(1,E479))^(1/12)</f>
        <v>0.0223805778608968</v>
      </c>
      <c r="G479" s="39" t="n">
        <f aca="false">IF(C479&lt;Assumptions!$B$5,IF(D479=1,Assumptions!$B$16,IF(D479=2,Assumptions!$B$17,IF(D479&lt;=5,Assumptions!$B$18,Assumptions!$B$19)))*(1-Assumptions!$B$20),0)</f>
        <v>0</v>
      </c>
      <c r="H479" s="30" t="n">
        <f aca="false">1-(1-G479)^(1/12)</f>
        <v>0</v>
      </c>
      <c r="I479" s="30" t="n">
        <f aca="false">I478*(1-F478)*(1-H478)</f>
        <v>0.0265610226459515</v>
      </c>
      <c r="J479" s="30" t="n">
        <f aca="false">INDEX(Discount_Monthly!$G$4:$G$664,MATCH(A479,Discount_Monthly!$A$4:$A$664,0))</f>
        <v>0.289724493452334</v>
      </c>
      <c r="K479" s="30" t="n">
        <f aca="false">IF(C479&lt;Assumptions!$B$5,I479*J479,0)</f>
        <v>0</v>
      </c>
      <c r="L479" s="30" t="n">
        <f aca="false">IF(C479&lt;Assumptions!$B$5,I479*(1-F479)*H479*A479*J479,0)</f>
        <v>0</v>
      </c>
      <c r="M479" s="30" t="n">
        <f aca="false">IF(A479=0,Assumptions!$B$14*12*I479*J479,IF(AND(A479&gt;=12,C479&lt;Assumptions!$B$5),Assumptions!$B$15*I479*J479,0))</f>
        <v>0</v>
      </c>
      <c r="N479" s="47" t="n">
        <f aca="false">IF(C479&gt;=Assumptions!$B$5,I479*Assumptions!$B$9/12*(1+Assumptions!$B$10)^INT(A479/12)*J479,0)</f>
        <v>22.2113747540901</v>
      </c>
      <c r="O479" s="47" t="n">
        <f aca="false">I479*Assumptions!$B$12/12*(1+Assumptions!$B$11)^(INT(A479/12)+1)*J479</f>
        <v>0.137750556157601</v>
      </c>
      <c r="P479" s="47" t="n">
        <f aca="false">O479+Pricing_M!$B$13*M479+N479-Pricing_M!$B$13*K479</f>
        <v>22.3491253102477</v>
      </c>
      <c r="Q479" s="47" t="n">
        <f aca="false">IF(C479&lt;Assumptions!$B$5,Pricing_M!$B$13*K479-Pricing_M!$B$13*M479-O479,-(N479+O479))</f>
        <v>-22.3491253102477</v>
      </c>
      <c r="R479" s="32" t="n">
        <f aca="false">R478*(1-(1-(1-MIN(1,E478*(1-Assumptions!$B$21)))^(1/12)))*(1-H478)</f>
        <v>0.0554964311246507</v>
      </c>
      <c r="S479" s="47" t="n">
        <f aca="false">R479*(IF(C479&lt;Assumptions!$B$5,Assumptions!$B$12*(1+Assumptions!$B$11)^(INT(A479/12)+1)/12+Pricing_M!$B$13*IF(A479=0,Assumptions!$B$14*12,IF(A479&gt;=12,Assumptions!$B$15,0))-Pricing_M!$B$13,Assumptions!$B$9/12*(1+Assumptions!$B$10)^INT(A479/12)+Assumptions!$B$12*(1+Assumptions!$B$11)^(INT(A479/12)+1)/12))*J479</f>
        <v>46.6961197243435</v>
      </c>
      <c r="T479" s="32" t="n">
        <f aca="false">T478*(1-F478)*(1-(1-(1-MIN(1,G478*(1+Assumptions!$B$23)))^(1/12)))</f>
        <v>0.0240610687158219</v>
      </c>
      <c r="U479" s="47" t="n">
        <f aca="false">T479*(IF(C479&lt;Assumptions!$B$5,Assumptions!$B$12*(1+Assumptions!$B$11)^(INT(A479/12)+1)/12+Pricing_M!$B$13*IF(A479=0,Assumptions!$B$14*12,IF(A479&gt;=12,Assumptions!$B$15,0))-Pricing_M!$B$13,Assumptions!$B$9/12*(1+Assumptions!$B$10)^INT(A479/12)+Assumptions!$B$12*(1+Assumptions!$B$11)^(INT(A479/12)+1)/12))*J479</f>
        <v>20.245599990494</v>
      </c>
      <c r="V479" s="32" t="n">
        <f aca="false">V478*(1-F478)*(1-(1-(1-MIN(1,G478*(1-Assumptions!$B$23)))^(1/12)))</f>
        <v>0.0292938205502731</v>
      </c>
      <c r="W479" s="47" t="n">
        <f aca="false">V479*(IF(C479&lt;Assumptions!$B$5,Assumptions!$B$12*(1+Assumptions!$B$11)^(INT(A479/12)+1)/12+Pricing_M!$B$13*IF(A479=0,Assumptions!$B$14*12,IF(A479&gt;=12,Assumptions!$B$15,0))-Pricing_M!$B$13,Assumptions!$B$9/12*(1+Assumptions!$B$10)^INT(A479/12)+Assumptions!$B$12*(1+Assumptions!$B$11)^(INT(A479/12)+1)/12))*J479</f>
        <v>24.6485715185274</v>
      </c>
      <c r="X479" s="47" t="n">
        <f aca="false">I479*(IF(C479&lt;Assumptions!$B$5,Assumptions!$B$12*(1+Assumptions!$B$11)*(1+Assumptions!$B$24)*(1+Assumptions!$B$11+Assumptions!$B$25)^(INT(A479/12))/12+Pricing_M!$B$13*IF(A479=0,Assumptions!$B$14*12,IF(A479&gt;=12,Assumptions!$B$15,0))-Pricing_M!$B$13,Assumptions!$B$9/12*(1+Assumptions!$B$10)^INT(A479/12)+Assumptions!$B$12*(1+Assumptions!$B$11)*(1+Assumptions!$B$24)*(1+Assumptions!$B$11+Assumptions!$B$25)^(INT(A479/12))/12))*J479</f>
        <v>22.4326480158418</v>
      </c>
    </row>
    <row r="480" customFormat="false" ht="15" hidden="false" customHeight="true" outlineLevel="0" collapsed="false">
      <c r="A480" s="1" t="n">
        <v>473</v>
      </c>
      <c r="B480" s="31" t="n">
        <f aca="false">Assumptions!$B$4+A480/12</f>
        <v>104.416666666667</v>
      </c>
      <c r="C480" s="34" t="n">
        <f aca="false">Assumptions!$B$4+INT(A480/12)</f>
        <v>104</v>
      </c>
      <c r="D480" s="34" t="n">
        <f aca="false">INT(A480/12)+1</f>
        <v>40</v>
      </c>
      <c r="E480" s="32" t="n">
        <f aca="false">IFERROR(INDEX(Cohort_Survival!$G$5:$G$65,MATCH(C480,Cohort_Survival!$A$5:$A$65,0)),1)</f>
        <v>0.237854565957446</v>
      </c>
      <c r="F480" s="30" t="n">
        <f aca="false">1-(1-MIN(1,E480))^(1/12)</f>
        <v>0.0223805778608968</v>
      </c>
      <c r="G480" s="39" t="n">
        <f aca="false">IF(C480&lt;Assumptions!$B$5,IF(D480=1,Assumptions!$B$16,IF(D480=2,Assumptions!$B$17,IF(D480&lt;=5,Assumptions!$B$18,Assumptions!$B$19)))*(1-Assumptions!$B$20),0)</f>
        <v>0</v>
      </c>
      <c r="H480" s="30" t="n">
        <f aca="false">1-(1-G480)^(1/12)</f>
        <v>0</v>
      </c>
      <c r="I480" s="30" t="n">
        <f aca="false">I479*(1-F479)*(1-H479)</f>
        <v>0.0259665716105587</v>
      </c>
      <c r="J480" s="30" t="n">
        <f aca="false">INDEX(Discount_Monthly!$G$4:$G$664,MATCH(A480,Discount_Monthly!$A$4:$A$664,0))</f>
        <v>0.288946563010394</v>
      </c>
      <c r="K480" s="30" t="n">
        <f aca="false">IF(C480&lt;Assumptions!$B$5,I480*J480,0)</f>
        <v>0</v>
      </c>
      <c r="L480" s="30" t="n">
        <f aca="false">IF(C480&lt;Assumptions!$B$5,I480*(1-F480)*H480*A480*J480,0)</f>
        <v>0</v>
      </c>
      <c r="M480" s="30" t="n">
        <f aca="false">IF(A480=0,Assumptions!$B$14*12*I480*J480,IF(AND(A480&gt;=12,C480&lt;Assumptions!$B$5),Assumptions!$B$15*I480*J480,0))</f>
        <v>0</v>
      </c>
      <c r="N480" s="47" t="n">
        <f aca="false">IF(C480&gt;=Assumptions!$B$5,I480*Assumptions!$B$9/12*(1+Assumptions!$B$10)^INT(A480/12)*J480,0)</f>
        <v>21.6559670212011</v>
      </c>
      <c r="O480" s="47" t="n">
        <f aca="false">I480*Assumptions!$B$12/12*(1+Assumptions!$B$11)^(INT(A480/12)+1)*J480</f>
        <v>0.134306027174288</v>
      </c>
      <c r="P480" s="47" t="n">
        <f aca="false">O480+Pricing_M!$B$13*M480+N480-Pricing_M!$B$13*K480</f>
        <v>21.7902730483754</v>
      </c>
      <c r="Q480" s="47" t="n">
        <f aca="false">IF(C480&lt;Assumptions!$B$5,Pricing_M!$B$13*K480-Pricing_M!$B$13*M480-O480,-(N480+O480))</f>
        <v>-21.7902730483754</v>
      </c>
      <c r="R480" s="32" t="n">
        <f aca="false">R479*(1-(1-(1-MIN(1,E479*(1-Assumptions!$B$21)))^(1/12)))*(1-H479)</f>
        <v>0.0545288239232378</v>
      </c>
      <c r="S480" s="47" t="n">
        <f aca="false">R480*(IF(C480&lt;Assumptions!$B$5,Assumptions!$B$12*(1+Assumptions!$B$11)^(INT(A480/12)+1)/12+Pricing_M!$B$13*IF(A480=0,Assumptions!$B$14*12,IF(A480&gt;=12,Assumptions!$B$15,0))-Pricing_M!$B$13,Assumptions!$B$9/12*(1+Assumptions!$B$10)^INT(A480/12)+Assumptions!$B$12*(1+Assumptions!$B$11)^(INT(A480/12)+1)/12))*J480</f>
        <v>45.7587539901102</v>
      </c>
      <c r="T480" s="32" t="n">
        <f aca="false">T479*(1-F479)*(1-(1-(1-MIN(1,G479*(1+Assumptions!$B$23)))^(1/12)))</f>
        <v>0.0235225680940111</v>
      </c>
      <c r="U480" s="47" t="n">
        <f aca="false">T480*(IF(C480&lt;Assumptions!$B$5,Assumptions!$B$12*(1+Assumptions!$B$11)^(INT(A480/12)+1)/12+Pricing_M!$B$13*IF(A480=0,Assumptions!$B$14*12,IF(A480&gt;=12,Assumptions!$B$15,0))-Pricing_M!$B$13,Assumptions!$B$9/12*(1+Assumptions!$B$10)^INT(A480/12)+Assumptions!$B$12*(1+Assumptions!$B$11)^(INT(A480/12)+1)/12))*J480</f>
        <v>19.7393475447904</v>
      </c>
      <c r="V480" s="32" t="n">
        <f aca="false">V479*(1-F479)*(1-(1-(1-MIN(1,G479*(1-Assumptions!$B$23)))^(1/12)))</f>
        <v>0.0286382079186045</v>
      </c>
      <c r="W480" s="47" t="n">
        <f aca="false">V480*(IF(C480&lt;Assumptions!$B$5,Assumptions!$B$12*(1+Assumptions!$B$11)^(INT(A480/12)+1)/12+Pricing_M!$B$13*IF(A480=0,Assumptions!$B$14*12,IF(A480&gt;=12,Assumptions!$B$15,0))-Pricing_M!$B$13,Assumptions!$B$9/12*(1+Assumptions!$B$10)^INT(A480/12)+Assumptions!$B$12*(1+Assumptions!$B$11)^(INT(A480/12)+1)/12))*J480</f>
        <v>24.0322203301105</v>
      </c>
      <c r="X480" s="47" t="n">
        <f aca="false">I480*(IF(C480&lt;Assumptions!$B$5,Assumptions!$B$12*(1+Assumptions!$B$11)*(1+Assumptions!$B$24)*(1+Assumptions!$B$11+Assumptions!$B$25)^(INT(A480/12))/12+Pricing_M!$B$13*IF(A480=0,Assumptions!$B$14*12,IF(A480&gt;=12,Assumptions!$B$15,0))-Pricing_M!$B$13,Assumptions!$B$9/12*(1+Assumptions!$B$10)^INT(A480/12)+Assumptions!$B$12*(1+Assumptions!$B$11)*(1+Assumptions!$B$24)*(1+Assumptions!$B$11+Assumptions!$B$25)^(INT(A480/12))/12))*J480</f>
        <v>21.8717072224368</v>
      </c>
    </row>
    <row r="481" customFormat="false" ht="15" hidden="false" customHeight="true" outlineLevel="0" collapsed="false">
      <c r="A481" s="1" t="n">
        <v>474</v>
      </c>
      <c r="B481" s="31" t="n">
        <f aca="false">Assumptions!$B$4+A481/12</f>
        <v>104.5</v>
      </c>
      <c r="C481" s="34" t="n">
        <f aca="false">Assumptions!$B$4+INT(A481/12)</f>
        <v>104</v>
      </c>
      <c r="D481" s="34" t="n">
        <f aca="false">INT(A481/12)+1</f>
        <v>40</v>
      </c>
      <c r="E481" s="32" t="n">
        <f aca="false">IFERROR(INDEX(Cohort_Survival!$G$5:$G$65,MATCH(C481,Cohort_Survival!$A$5:$A$65,0)),1)</f>
        <v>0.237854565957446</v>
      </c>
      <c r="F481" s="30" t="n">
        <f aca="false">1-(1-MIN(1,E481))^(1/12)</f>
        <v>0.0223805778608968</v>
      </c>
      <c r="G481" s="39" t="n">
        <f aca="false">IF(C481&lt;Assumptions!$B$5,IF(D481=1,Assumptions!$B$16,IF(D481=2,Assumptions!$B$17,IF(D481&lt;=5,Assumptions!$B$18,Assumptions!$B$19)))*(1-Assumptions!$B$20),0)</f>
        <v>0</v>
      </c>
      <c r="H481" s="30" t="n">
        <f aca="false">1-(1-G481)^(1/12)</f>
        <v>0</v>
      </c>
      <c r="I481" s="30" t="n">
        <f aca="false">I480*(1-F480)*(1-H480)</f>
        <v>0.0253854247328481</v>
      </c>
      <c r="J481" s="30" t="n">
        <f aca="false">INDEX(Discount_Monthly!$G$4:$G$664,MATCH(A481,Discount_Monthly!$A$4:$A$664,0))</f>
        <v>0.288170721365867</v>
      </c>
      <c r="K481" s="30" t="n">
        <f aca="false">IF(C481&lt;Assumptions!$B$5,I481*J481,0)</f>
        <v>0</v>
      </c>
      <c r="L481" s="30" t="n">
        <f aca="false">IF(C481&lt;Assumptions!$B$5,I481*(1-F481)*H481*A481*J481,0)</f>
        <v>0</v>
      </c>
      <c r="M481" s="30" t="n">
        <f aca="false">IF(A481=0,Assumptions!$B$14*12*I481*J481,IF(AND(A481&gt;=12,C481&lt;Assumptions!$B$5),Assumptions!$B$15*I481*J481,0))</f>
        <v>0</v>
      </c>
      <c r="N481" s="47" t="n">
        <f aca="false">IF(C481&gt;=Assumptions!$B$5,I481*Assumptions!$B$9/12*(1+Assumptions!$B$10)^INT(A481/12)*J481,0)</f>
        <v>21.1144475664204</v>
      </c>
      <c r="O481" s="47" t="n">
        <f aca="false">I481*Assumptions!$B$12/12*(1+Assumptions!$B$11)^(INT(A481/12)+1)*J481</f>
        <v>0.130947630546792</v>
      </c>
      <c r="P481" s="47" t="n">
        <f aca="false">O481+Pricing_M!$B$13*M481+N481-Pricing_M!$B$13*K481</f>
        <v>21.2453951969672</v>
      </c>
      <c r="Q481" s="47" t="n">
        <f aca="false">IF(C481&lt;Assumptions!$B$5,Pricing_M!$B$13*K481-Pricing_M!$B$13*M481-O481,-(N481+O481))</f>
        <v>-21.2453951969672</v>
      </c>
      <c r="R481" s="32" t="n">
        <f aca="false">R480*(1-(1-(1-MIN(1,E480*(1-Assumptions!$B$21)))^(1/12)))*(1-H480)</f>
        <v>0.0535780874228277</v>
      </c>
      <c r="S481" s="47" t="n">
        <f aca="false">R481*(IF(C481&lt;Assumptions!$B$5,Assumptions!$B$12*(1+Assumptions!$B$11)^(INT(A481/12)+1)/12+Pricing_M!$B$13*IF(A481=0,Assumptions!$B$14*12,IF(A481&gt;=12,Assumptions!$B$15,0))-Pricing_M!$B$13,Assumptions!$B$9/12*(1+Assumptions!$B$10)^INT(A481/12)+Assumptions!$B$12*(1+Assumptions!$B$11)^(INT(A481/12)+1)/12))*J481</f>
        <v>44.840204691266</v>
      </c>
      <c r="T481" s="32" t="n">
        <f aca="false">T480*(1-F480)*(1-(1-(1-MIN(1,G480*(1+Assumptions!$B$23)))^(1/12)))</f>
        <v>0.0229961194272948</v>
      </c>
      <c r="U481" s="47" t="n">
        <f aca="false">T481*(IF(C481&lt;Assumptions!$B$5,Assumptions!$B$12*(1+Assumptions!$B$11)^(INT(A481/12)+1)/12+Pricing_M!$B$13*IF(A481=0,Assumptions!$B$14*12,IF(A481&gt;=12,Assumptions!$B$15,0))-Pricing_M!$B$13,Assumptions!$B$9/12*(1+Assumptions!$B$10)^INT(A481/12)+Assumptions!$B$12*(1+Assumptions!$B$11)^(INT(A481/12)+1)/12))*J481</f>
        <v>19.2457542220024</v>
      </c>
      <c r="V481" s="32" t="n">
        <f aca="false">V480*(1-F480)*(1-(1-(1-MIN(1,G480*(1-Assumptions!$B$23)))^(1/12)))</f>
        <v>0.0279972682764857</v>
      </c>
      <c r="W481" s="47" t="n">
        <f aca="false">V481*(IF(C481&lt;Assumptions!$B$5,Assumptions!$B$12*(1+Assumptions!$B$11)^(INT(A481/12)+1)/12+Pricing_M!$B$13*IF(A481=0,Assumptions!$B$14*12,IF(A481&gt;=12,Assumptions!$B$15,0))-Pricing_M!$B$13,Assumptions!$B$9/12*(1+Assumptions!$B$10)^INT(A481/12)+Assumptions!$B$12*(1+Assumptions!$B$11)^(INT(A481/12)+1)/12))*J481</f>
        <v>23.4312813446757</v>
      </c>
      <c r="X481" s="47" t="n">
        <f aca="false">I481*(IF(C481&lt;Assumptions!$B$5,Assumptions!$B$12*(1+Assumptions!$B$11)*(1+Assumptions!$B$24)*(1+Assumptions!$B$11+Assumptions!$B$25)^(INT(A481/12))/12+Pricing_M!$B$13*IF(A481=0,Assumptions!$B$14*12,IF(A481&gt;=12,Assumptions!$B$15,0))-Pricing_M!$B$13,Assumptions!$B$9/12*(1+Assumptions!$B$10)^INT(A481/12)+Assumptions!$B$12*(1+Assumptions!$B$11)*(1+Assumptions!$B$24)*(1+Assumptions!$B$11+Assumptions!$B$25)^(INT(A481/12))/12))*J481</f>
        <v>21.3247930643842</v>
      </c>
    </row>
    <row r="482" customFormat="false" ht="15" hidden="false" customHeight="true" outlineLevel="0" collapsed="false">
      <c r="A482" s="1" t="n">
        <v>475</v>
      </c>
      <c r="B482" s="31" t="n">
        <f aca="false">Assumptions!$B$4+A482/12</f>
        <v>104.583333333333</v>
      </c>
      <c r="C482" s="34" t="n">
        <f aca="false">Assumptions!$B$4+INT(A482/12)</f>
        <v>104</v>
      </c>
      <c r="D482" s="34" t="n">
        <f aca="false">INT(A482/12)+1</f>
        <v>40</v>
      </c>
      <c r="E482" s="32" t="n">
        <f aca="false">IFERROR(INDEX(Cohort_Survival!$G$5:$G$65,MATCH(C482,Cohort_Survival!$A$5:$A$65,0)),1)</f>
        <v>0.237854565957446</v>
      </c>
      <c r="F482" s="30" t="n">
        <f aca="false">1-(1-MIN(1,E482))^(1/12)</f>
        <v>0.0223805778608968</v>
      </c>
      <c r="G482" s="39" t="n">
        <f aca="false">IF(C482&lt;Assumptions!$B$5,IF(D482=1,Assumptions!$B$16,IF(D482=2,Assumptions!$B$17,IF(D482&lt;=5,Assumptions!$B$18,Assumptions!$B$19)))*(1-Assumptions!$B$20),0)</f>
        <v>0</v>
      </c>
      <c r="H482" s="30" t="n">
        <f aca="false">1-(1-G482)^(1/12)</f>
        <v>0</v>
      </c>
      <c r="I482" s="30" t="n">
        <f aca="false">I481*(1-F481)*(1-H481)</f>
        <v>0.0248172842580826</v>
      </c>
      <c r="J482" s="30" t="n">
        <f aca="false">INDEX(Discount_Monthly!$G$4:$G$664,MATCH(A482,Discount_Monthly!$A$4:$A$664,0))</f>
        <v>0.287396962910186</v>
      </c>
      <c r="K482" s="30" t="n">
        <f aca="false">IF(C482&lt;Assumptions!$B$5,I482*J482,0)</f>
        <v>0</v>
      </c>
      <c r="L482" s="30" t="n">
        <f aca="false">IF(C482&lt;Assumptions!$B$5,I482*(1-F482)*H482*A482*J482,0)</f>
        <v>0</v>
      </c>
      <c r="M482" s="30" t="n">
        <f aca="false">IF(A482=0,Assumptions!$B$14*12*I482*J482,IF(AND(A482&gt;=12,C482&lt;Assumptions!$B$5),Assumptions!$B$15*I482*J482,0))</f>
        <v>0</v>
      </c>
      <c r="N482" s="47" t="n">
        <f aca="false">IF(C482&gt;=Assumptions!$B$5,I482*Assumptions!$B$9/12*(1+Assumptions!$B$10)^INT(A482/12)*J482,0)</f>
        <v>20.5864691056586</v>
      </c>
      <c r="O482" s="47" t="n">
        <f aca="false">I482*Assumptions!$B$12/12*(1+Assumptions!$B$11)^(INT(A482/12)+1)*J482</f>
        <v>0.127673212487829</v>
      </c>
      <c r="P482" s="47" t="n">
        <f aca="false">O482+Pricing_M!$B$13*M482+N482-Pricing_M!$B$13*K482</f>
        <v>20.7141423181464</v>
      </c>
      <c r="Q482" s="47" t="n">
        <f aca="false">IF(C482&lt;Assumptions!$B$5,Pricing_M!$B$13*K482-Pricing_M!$B$13*M482-O482,-(N482+O482))</f>
        <v>-20.7141423181464</v>
      </c>
      <c r="R482" s="32" t="n">
        <f aca="false">R481*(1-(1-(1-MIN(1,E481*(1-Assumptions!$B$21)))^(1/12)))*(1-H481)</f>
        <v>0.0526439274745633</v>
      </c>
      <c r="S482" s="47" t="n">
        <f aca="false">R482*(IF(C482&lt;Assumptions!$B$5,Assumptions!$B$12*(1+Assumptions!$B$11)^(INT(A482/12)+1)/12+Pricing_M!$B$13*IF(A482=0,Assumptions!$B$14*12,IF(A482&gt;=12,Assumptions!$B$15,0))-Pricing_M!$B$13,Assumptions!$B$9/12*(1+Assumptions!$B$10)^INT(A482/12)+Assumptions!$B$12*(1+Assumptions!$B$11)^(INT(A482/12)+1)/12))*J482</f>
        <v>43.9400941115921</v>
      </c>
      <c r="T482" s="32" t="n">
        <f aca="false">T481*(1-F481)*(1-(1-(1-MIN(1,G481*(1+Assumptions!$B$23)))^(1/12)))</f>
        <v>0.0224814529859538</v>
      </c>
      <c r="U482" s="47" t="n">
        <f aca="false">T482*(IF(C482&lt;Assumptions!$B$5,Assumptions!$B$12*(1+Assumptions!$B$11)^(INT(A482/12)+1)/12+Pricing_M!$B$13*IF(A482=0,Assumptions!$B$14*12,IF(A482&gt;=12,Assumptions!$B$15,0))-Pricing_M!$B$13,Assumptions!$B$9/12*(1+Assumptions!$B$10)^INT(A482/12)+Assumptions!$B$12*(1+Assumptions!$B$11)^(INT(A482/12)+1)/12))*J482</f>
        <v>18.7645034737473</v>
      </c>
      <c r="V482" s="32" t="n">
        <f aca="false">V481*(1-F481)*(1-(1-(1-MIN(1,G481*(1-Assumptions!$B$23)))^(1/12)))</f>
        <v>0.0273706732339314</v>
      </c>
      <c r="W482" s="47" t="n">
        <f aca="false">V482*(IF(C482&lt;Assumptions!$B$5,Assumptions!$B$12*(1+Assumptions!$B$11)^(INT(A482/12)+1)/12+Pricing_M!$B$13*IF(A482=0,Assumptions!$B$14*12,IF(A482&gt;=12,Assumptions!$B$15,0))-Pricing_M!$B$13,Assumptions!$B$9/12*(1+Assumptions!$B$10)^INT(A482/12)+Assumptions!$B$12*(1+Assumptions!$B$11)^(INT(A482/12)+1)/12))*J482</f>
        <v>22.8453691715476</v>
      </c>
      <c r="X482" s="47" t="n">
        <f aca="false">I482*(IF(C482&lt;Assumptions!$B$5,Assumptions!$B$12*(1+Assumptions!$B$11)*(1+Assumptions!$B$24)*(1+Assumptions!$B$11+Assumptions!$B$25)^(INT(A482/12))/12+Pricing_M!$B$13*IF(A482=0,Assumptions!$B$14*12,IF(A482&gt;=12,Assumptions!$B$15,0))-Pricing_M!$B$13,Assumptions!$B$9/12*(1+Assumptions!$B$10)^INT(A482/12)+Assumptions!$B$12*(1+Assumptions!$B$11)*(1+Assumptions!$B$24)*(1+Assumptions!$B$11+Assumptions!$B$25)^(INT(A482/12))/12))*J482</f>
        <v>20.7915547978948</v>
      </c>
    </row>
    <row r="483" customFormat="false" ht="15" hidden="false" customHeight="true" outlineLevel="0" collapsed="false">
      <c r="A483" s="1" t="n">
        <v>476</v>
      </c>
      <c r="B483" s="31" t="n">
        <f aca="false">Assumptions!$B$4+A483/12</f>
        <v>104.666666666667</v>
      </c>
      <c r="C483" s="34" t="n">
        <f aca="false">Assumptions!$B$4+INT(A483/12)</f>
        <v>104</v>
      </c>
      <c r="D483" s="34" t="n">
        <f aca="false">INT(A483/12)+1</f>
        <v>40</v>
      </c>
      <c r="E483" s="32" t="n">
        <f aca="false">IFERROR(INDEX(Cohort_Survival!$G$5:$G$65,MATCH(C483,Cohort_Survival!$A$5:$A$65,0)),1)</f>
        <v>0.237854565957446</v>
      </c>
      <c r="F483" s="30" t="n">
        <f aca="false">1-(1-MIN(1,E483))^(1/12)</f>
        <v>0.0223805778608968</v>
      </c>
      <c r="G483" s="39" t="n">
        <f aca="false">IF(C483&lt;Assumptions!$B$5,IF(D483=1,Assumptions!$B$16,IF(D483=2,Assumptions!$B$17,IF(D483&lt;=5,Assumptions!$B$18,Assumptions!$B$19)))*(1-Assumptions!$B$20),0)</f>
        <v>0</v>
      </c>
      <c r="H483" s="30" t="n">
        <f aca="false">1-(1-G483)^(1/12)</f>
        <v>0</v>
      </c>
      <c r="I483" s="30" t="n">
        <f aca="false">I482*(1-F482)*(1-H482)</f>
        <v>0.0242618590954486</v>
      </c>
      <c r="J483" s="30" t="n">
        <f aca="false">INDEX(Discount_Monthly!$G$4:$G$664,MATCH(A483,Discount_Monthly!$A$4:$A$664,0))</f>
        <v>0.286625282049846</v>
      </c>
      <c r="K483" s="30" t="n">
        <f aca="false">IF(C483&lt;Assumptions!$B$5,I483*J483,0)</f>
        <v>0</v>
      </c>
      <c r="L483" s="30" t="n">
        <f aca="false">IF(C483&lt;Assumptions!$B$5,I483*(1-F483)*H483*A483*J483,0)</f>
        <v>0</v>
      </c>
      <c r="M483" s="30" t="n">
        <f aca="false">IF(A483=0,Assumptions!$B$14*12*I483*J483,IF(AND(A483&gt;=12,C483&lt;Assumptions!$B$5),Assumptions!$B$15*I483*J483,0))</f>
        <v>0</v>
      </c>
      <c r="N483" s="47" t="n">
        <f aca="false">IF(C483&gt;=Assumptions!$B$5,I483*Assumptions!$B$9/12*(1+Assumptions!$B$10)^INT(A483/12)*J483,0)</f>
        <v>20.0716930388572</v>
      </c>
      <c r="O483" s="47" t="n">
        <f aca="false">I483*Assumptions!$B$12/12*(1+Assumptions!$B$11)^(INT(A483/12)+1)*J483</f>
        <v>0.124480673066762</v>
      </c>
      <c r="P483" s="47" t="n">
        <f aca="false">O483+Pricing_M!$B$13*M483+N483-Pricing_M!$B$13*K483</f>
        <v>20.1961737119239</v>
      </c>
      <c r="Q483" s="47" t="n">
        <f aca="false">IF(C483&lt;Assumptions!$B$5,Pricing_M!$B$13*K483-Pricing_M!$B$13*M483-O483,-(N483+O483))</f>
        <v>-20.1961737119239</v>
      </c>
      <c r="R483" s="32" t="n">
        <f aca="false">R482*(1-(1-(1-MIN(1,E482*(1-Assumptions!$B$21)))^(1/12)))*(1-H482)</f>
        <v>0.0517260550582158</v>
      </c>
      <c r="S483" s="47" t="n">
        <f aca="false">R483*(IF(C483&lt;Assumptions!$B$5,Assumptions!$B$12*(1+Assumptions!$B$11)^(INT(A483/12)+1)/12+Pricing_M!$B$13*IF(A483=0,Assumptions!$B$14*12,IF(A483&gt;=12,Assumptions!$B$15,0))-Pricing_M!$B$13,Assumptions!$B$9/12*(1+Assumptions!$B$10)^INT(A483/12)+Assumptions!$B$12*(1+Assumptions!$B$11)^(INT(A483/12)+1)/12))*J483</f>
        <v>43.0580521170467</v>
      </c>
      <c r="T483" s="32" t="n">
        <f aca="false">T482*(1-F482)*(1-(1-(1-MIN(1,G482*(1+Assumptions!$B$23)))^(1/12)))</f>
        <v>0.0219783050769756</v>
      </c>
      <c r="U483" s="47" t="n">
        <f aca="false">T483*(IF(C483&lt;Assumptions!$B$5,Assumptions!$B$12*(1+Assumptions!$B$11)^(INT(A483/12)+1)/12+Pricing_M!$B$13*IF(A483=0,Assumptions!$B$14*12,IF(A483&gt;=12,Assumptions!$B$15,0))-Pricing_M!$B$13,Assumptions!$B$9/12*(1+Assumptions!$B$10)^INT(A483/12)+Assumptions!$B$12*(1+Assumptions!$B$11)^(INT(A483/12)+1)/12))*J483</f>
        <v>18.2952866671098</v>
      </c>
      <c r="V483" s="32" t="n">
        <f aca="false">V482*(1-F482)*(1-(1-(1-MIN(1,G482*(1-Assumptions!$B$23)))^(1/12)))</f>
        <v>0.0267581017505142</v>
      </c>
      <c r="W483" s="47" t="n">
        <f aca="false">V483*(IF(C483&lt;Assumptions!$B$5,Assumptions!$B$12*(1+Assumptions!$B$11)^(INT(A483/12)+1)/12+Pricing_M!$B$13*IF(A483=0,Assumptions!$B$14*12,IF(A483&gt;=12,Assumptions!$B$15,0))-Pricing_M!$B$13,Assumptions!$B$9/12*(1+Assumptions!$B$10)^INT(A483/12)+Assumptions!$B$12*(1+Assumptions!$B$11)^(INT(A483/12)+1)/12))*J483</f>
        <v>22.2741080569584</v>
      </c>
      <c r="X483" s="47" t="n">
        <f aca="false">I483*(IF(C483&lt;Assumptions!$B$5,Assumptions!$B$12*(1+Assumptions!$B$11)*(1+Assumptions!$B$24)*(1+Assumptions!$B$11+Assumptions!$B$25)^(INT(A483/12))/12+Pricing_M!$B$13*IF(A483=0,Assumptions!$B$14*12,IF(A483&gt;=12,Assumptions!$B$15,0))-Pricing_M!$B$13,Assumptions!$B$9/12*(1+Assumptions!$B$10)^INT(A483/12)+Assumptions!$B$12*(1+Assumptions!$B$11)*(1+Assumptions!$B$24)*(1+Assumptions!$B$11+Assumptions!$B$25)^(INT(A483/12))/12))*J483</f>
        <v>20.2716504497225</v>
      </c>
    </row>
    <row r="484" customFormat="false" ht="15" hidden="false" customHeight="true" outlineLevel="0" collapsed="false">
      <c r="A484" s="1" t="n">
        <v>477</v>
      </c>
      <c r="B484" s="31" t="n">
        <f aca="false">Assumptions!$B$4+A484/12</f>
        <v>104.75</v>
      </c>
      <c r="C484" s="34" t="n">
        <f aca="false">Assumptions!$B$4+INT(A484/12)</f>
        <v>104</v>
      </c>
      <c r="D484" s="34" t="n">
        <f aca="false">INT(A484/12)+1</f>
        <v>40</v>
      </c>
      <c r="E484" s="32" t="n">
        <f aca="false">IFERROR(INDEX(Cohort_Survival!$G$5:$G$65,MATCH(C484,Cohort_Survival!$A$5:$A$65,0)),1)</f>
        <v>0.237854565957446</v>
      </c>
      <c r="F484" s="30" t="n">
        <f aca="false">1-(1-MIN(1,E484))^(1/12)</f>
        <v>0.0223805778608968</v>
      </c>
      <c r="G484" s="39" t="n">
        <f aca="false">IF(C484&lt;Assumptions!$B$5,IF(D484=1,Assumptions!$B$16,IF(D484=2,Assumptions!$B$17,IF(D484&lt;=5,Assumptions!$B$18,Assumptions!$B$19)))*(1-Assumptions!$B$20),0)</f>
        <v>0</v>
      </c>
      <c r="H484" s="30" t="n">
        <f aca="false">1-(1-G484)^(1/12)</f>
        <v>0</v>
      </c>
      <c r="I484" s="30" t="n">
        <f aca="false">I483*(1-F483)*(1-H483)</f>
        <v>0.0237188646689128</v>
      </c>
      <c r="J484" s="30" t="n">
        <f aca="false">INDEX(Discount_Monthly!$G$4:$G$664,MATCH(A484,Discount_Monthly!$A$4:$A$664,0))</f>
        <v>0.285855673206356</v>
      </c>
      <c r="K484" s="30" t="n">
        <f aca="false">IF(C484&lt;Assumptions!$B$5,I484*J484,0)</f>
        <v>0</v>
      </c>
      <c r="L484" s="30" t="n">
        <f aca="false">IF(C484&lt;Assumptions!$B$5,I484*(1-F484)*H484*A484*J484,0)</f>
        <v>0</v>
      </c>
      <c r="M484" s="30" t="n">
        <f aca="false">IF(A484=0,Assumptions!$B$14*12*I484*J484,IF(AND(A484&gt;=12,C484&lt;Assumptions!$B$5),Assumptions!$B$15*I484*J484,0))</f>
        <v>0</v>
      </c>
      <c r="N484" s="47" t="n">
        <f aca="false">IF(C484&gt;=Assumptions!$B$5,I484*Assumptions!$B$9/12*(1+Assumptions!$B$10)^INT(A484/12)*J484,0)</f>
        <v>19.5697892328398</v>
      </c>
      <c r="O484" s="47" t="n">
        <f aca="false">I484*Assumptions!$B$12/12*(1+Assumptions!$B$11)^(INT(A484/12)+1)*J484</f>
        <v>0.121367964862883</v>
      </c>
      <c r="P484" s="47" t="n">
        <f aca="false">O484+Pricing_M!$B$13*M484+N484-Pricing_M!$B$13*K484</f>
        <v>19.6911571977027</v>
      </c>
      <c r="Q484" s="47" t="n">
        <f aca="false">IF(C484&lt;Assumptions!$B$5,Pricing_M!$B$13*K484-Pricing_M!$B$13*M484-O484,-(N484+O484))</f>
        <v>-19.6911571977027</v>
      </c>
      <c r="R484" s="32" t="n">
        <f aca="false">R483*(1-(1-(1-MIN(1,E483*(1-Assumptions!$B$21)))^(1/12)))*(1-H483)</f>
        <v>0.0508241861927641</v>
      </c>
      <c r="S484" s="47" t="n">
        <f aca="false">R484*(IF(C484&lt;Assumptions!$B$5,Assumptions!$B$12*(1+Assumptions!$B$11)^(INT(A484/12)+1)/12+Pricing_M!$B$13*IF(A484=0,Assumptions!$B$14*12,IF(A484&gt;=12,Assumptions!$B$15,0))-Pricing_M!$B$13,Assumptions!$B$9/12*(1+Assumptions!$B$10)^INT(A484/12)+Assumptions!$B$12*(1+Assumptions!$B$11)^(INT(A484/12)+1)/12))*J484</f>
        <v>42.1937160035621</v>
      </c>
      <c r="T484" s="32" t="n">
        <f aca="false">T483*(1-F483)*(1-(1-(1-MIN(1,G483*(1+Assumptions!$B$23)))^(1/12)))</f>
        <v>0.0214864179089498</v>
      </c>
      <c r="U484" s="47" t="n">
        <f aca="false">T484*(IF(C484&lt;Assumptions!$B$5,Assumptions!$B$12*(1+Assumptions!$B$11)^(INT(A484/12)+1)/12+Pricing_M!$B$13*IF(A484=0,Assumptions!$B$14*12,IF(A484&gt;=12,Assumptions!$B$15,0))-Pricing_M!$B$13,Assumptions!$B$9/12*(1+Assumptions!$B$10)^INT(A484/12)+Assumptions!$B$12*(1+Assumptions!$B$11)^(INT(A484/12)+1)/12))*J484</f>
        <v>17.837802886712</v>
      </c>
      <c r="V484" s="32" t="n">
        <f aca="false">V483*(1-F483)*(1-(1-(1-MIN(1,G483*(1-Assumptions!$B$23)))^(1/12)))</f>
        <v>0.026159239970877</v>
      </c>
      <c r="W484" s="47" t="n">
        <f aca="false">V484*(IF(C484&lt;Assumptions!$B$5,Assumptions!$B$12*(1+Assumptions!$B$11)^(INT(A484/12)+1)/12+Pricing_M!$B$13*IF(A484=0,Assumptions!$B$14*12,IF(A484&gt;=12,Assumptions!$B$15,0))-Pricing_M!$B$13,Assumptions!$B$9/12*(1+Assumptions!$B$10)^INT(A484/12)+Assumptions!$B$12*(1+Assumptions!$B$11)^(INT(A484/12)+1)/12))*J484</f>
        <v>21.7171316430711</v>
      </c>
      <c r="X484" s="47" t="n">
        <f aca="false">I484*(IF(C484&lt;Assumptions!$B$5,Assumptions!$B$12*(1+Assumptions!$B$11)*(1+Assumptions!$B$24)*(1+Assumptions!$B$11+Assumptions!$B$25)^(INT(A484/12))/12+Pricing_M!$B$13*IF(A484=0,Assumptions!$B$14*12,IF(A484&gt;=12,Assumptions!$B$15,0))-Pricing_M!$B$13,Assumptions!$B$9/12*(1+Assumptions!$B$10)^INT(A484/12)+Assumptions!$B$12*(1+Assumptions!$B$11)*(1+Assumptions!$B$24)*(1+Assumptions!$B$11+Assumptions!$B$25)^(INT(A484/12))/12))*J484</f>
        <v>19.7647465978515</v>
      </c>
    </row>
    <row r="485" customFormat="false" ht="15" hidden="false" customHeight="true" outlineLevel="0" collapsed="false">
      <c r="A485" s="1" t="n">
        <v>478</v>
      </c>
      <c r="B485" s="31" t="n">
        <f aca="false">Assumptions!$B$4+A485/12</f>
        <v>104.833333333333</v>
      </c>
      <c r="C485" s="34" t="n">
        <f aca="false">Assumptions!$B$4+INT(A485/12)</f>
        <v>104</v>
      </c>
      <c r="D485" s="34" t="n">
        <f aca="false">INT(A485/12)+1</f>
        <v>40</v>
      </c>
      <c r="E485" s="32" t="n">
        <f aca="false">IFERROR(INDEX(Cohort_Survival!$G$5:$G$65,MATCH(C485,Cohort_Survival!$A$5:$A$65,0)),1)</f>
        <v>0.237854565957446</v>
      </c>
      <c r="F485" s="30" t="n">
        <f aca="false">1-(1-MIN(1,E485))^(1/12)</f>
        <v>0.0223805778608968</v>
      </c>
      <c r="G485" s="39" t="n">
        <f aca="false">IF(C485&lt;Assumptions!$B$5,IF(D485=1,Assumptions!$B$16,IF(D485=2,Assumptions!$B$17,IF(D485&lt;=5,Assumptions!$B$18,Assumptions!$B$19)))*(1-Assumptions!$B$20),0)</f>
        <v>0</v>
      </c>
      <c r="H485" s="30" t="n">
        <f aca="false">1-(1-G485)^(1/12)</f>
        <v>0</v>
      </c>
      <c r="I485" s="30" t="n">
        <f aca="false">I484*(1-F484)*(1-H484)</f>
        <v>0.0231880227714181</v>
      </c>
      <c r="J485" s="30" t="n">
        <f aca="false">INDEX(Discount_Monthly!$G$4:$G$664,MATCH(A485,Discount_Monthly!$A$4:$A$664,0))</f>
        <v>0.285088130816209</v>
      </c>
      <c r="K485" s="30" t="n">
        <f aca="false">IF(C485&lt;Assumptions!$B$5,I485*J485,0)</f>
        <v>0</v>
      </c>
      <c r="L485" s="30" t="n">
        <f aca="false">IF(C485&lt;Assumptions!$B$5,I485*(1-F485)*H485*A485*J485,0)</f>
        <v>0</v>
      </c>
      <c r="M485" s="30" t="n">
        <f aca="false">IF(A485=0,Assumptions!$B$14*12*I485*J485,IF(AND(A485&gt;=12,C485&lt;Assumptions!$B$5),Assumptions!$B$15*I485*J485,0))</f>
        <v>0</v>
      </c>
      <c r="N485" s="47" t="n">
        <f aca="false">IF(C485&gt;=Assumptions!$B$5,I485*Assumptions!$B$9/12*(1+Assumptions!$B$10)^INT(A485/12)*J485,0)</f>
        <v>19.0804358095932</v>
      </c>
      <c r="O485" s="47" t="n">
        <f aca="false">I485*Assumptions!$B$12/12*(1+Assumptions!$B$11)^(INT(A485/12)+1)*J485</f>
        <v>0.11833309165237</v>
      </c>
      <c r="P485" s="47" t="n">
        <f aca="false">O485+Pricing_M!$B$13*M485+N485-Pricing_M!$B$13*K485</f>
        <v>19.1987689012456</v>
      </c>
      <c r="Q485" s="47" t="n">
        <f aca="false">IF(C485&lt;Assumptions!$B$5,Pricing_M!$B$13*K485-Pricing_M!$B$13*M485-O485,-(N485+O485))</f>
        <v>-19.1987689012456</v>
      </c>
      <c r="R485" s="32" t="n">
        <f aca="false">R484*(1-(1-(1-MIN(1,E484*(1-Assumptions!$B$21)))^(1/12)))*(1-H484)</f>
        <v>0.0499380418485339</v>
      </c>
      <c r="S485" s="47" t="n">
        <f aca="false">R485*(IF(C485&lt;Assumptions!$B$5,Assumptions!$B$12*(1+Assumptions!$B$11)^(INT(A485/12)+1)/12+Pricing_M!$B$13*IF(A485=0,Assumptions!$B$14*12,IF(A485&gt;=12,Assumptions!$B$15,0))-Pricing_M!$B$13,Assumptions!$B$9/12*(1+Assumptions!$B$10)^INT(A485/12)+Assumptions!$B$12*(1+Assumptions!$B$11)^(INT(A485/12)+1)/12))*J485</f>
        <v>41.3467303478977</v>
      </c>
      <c r="T485" s="32" t="n">
        <f aca="false">T484*(1-F484)*(1-(1-(1-MIN(1,G484*(1+Assumptions!$B$23)))^(1/12)))</f>
        <v>0.0210055394599867</v>
      </c>
      <c r="U485" s="47" t="n">
        <f aca="false">T485*(IF(C485&lt;Assumptions!$B$5,Assumptions!$B$12*(1+Assumptions!$B$11)^(INT(A485/12)+1)/12+Pricing_M!$B$13*IF(A485=0,Assumptions!$B$14*12,IF(A485&gt;=12,Assumptions!$B$15,0))-Pricing_M!$B$13,Assumptions!$B$9/12*(1+Assumptions!$B$10)^INT(A485/12)+Assumptions!$B$12*(1+Assumptions!$B$11)^(INT(A485/12)+1)/12))*J485</f>
        <v>17.3917587417315</v>
      </c>
      <c r="V485" s="32" t="n">
        <f aca="false">V484*(1-F484)*(1-(1-(1-MIN(1,G484*(1-Assumptions!$B$23)))^(1/12)))</f>
        <v>0.0255737810639269</v>
      </c>
      <c r="W485" s="47" t="n">
        <f aca="false">V485*(IF(C485&lt;Assumptions!$B$5,Assumptions!$B$12*(1+Assumptions!$B$11)^(INT(A485/12)+1)/12+Pricing_M!$B$13*IF(A485=0,Assumptions!$B$14*12,IF(A485&gt;=12,Assumptions!$B$15,0))-Pricing_M!$B$13,Assumptions!$B$9/12*(1+Assumptions!$B$10)^INT(A485/12)+Assumptions!$B$12*(1+Assumptions!$B$11)^(INT(A485/12)+1)/12))*J485</f>
        <v>21.1740827330297</v>
      </c>
      <c r="X485" s="47" t="n">
        <f aca="false">I485*(IF(C485&lt;Assumptions!$B$5,Assumptions!$B$12*(1+Assumptions!$B$11)*(1+Assumptions!$B$24)*(1+Assumptions!$B$11+Assumptions!$B$25)^(INT(A485/12))/12+Pricing_M!$B$13*IF(A485=0,Assumptions!$B$14*12,IF(A485&gt;=12,Assumptions!$B$15,0))-Pricing_M!$B$13,Assumptions!$B$9/12*(1+Assumptions!$B$10)^INT(A485/12)+Assumptions!$B$12*(1+Assumptions!$B$11)*(1+Assumptions!$B$24)*(1+Assumptions!$B$11+Assumptions!$B$25)^(INT(A485/12))/12))*J485</f>
        <v>19.2705181576683</v>
      </c>
    </row>
    <row r="486" customFormat="false" ht="15" hidden="false" customHeight="true" outlineLevel="0" collapsed="false">
      <c r="A486" s="1" t="n">
        <v>479</v>
      </c>
      <c r="B486" s="31" t="n">
        <f aca="false">Assumptions!$B$4+A486/12</f>
        <v>104.916666666667</v>
      </c>
      <c r="C486" s="34" t="n">
        <f aca="false">Assumptions!$B$4+INT(A486/12)</f>
        <v>104</v>
      </c>
      <c r="D486" s="34" t="n">
        <f aca="false">INT(A486/12)+1</f>
        <v>40</v>
      </c>
      <c r="E486" s="32" t="n">
        <f aca="false">IFERROR(INDEX(Cohort_Survival!$G$5:$G$65,MATCH(C486,Cohort_Survival!$A$5:$A$65,0)),1)</f>
        <v>0.237854565957446</v>
      </c>
      <c r="F486" s="30" t="n">
        <f aca="false">1-(1-MIN(1,E486))^(1/12)</f>
        <v>0.0223805778608968</v>
      </c>
      <c r="G486" s="39" t="n">
        <f aca="false">IF(C486&lt;Assumptions!$B$5,IF(D486=1,Assumptions!$B$16,IF(D486=2,Assumptions!$B$17,IF(D486&lt;=5,Assumptions!$B$18,Assumptions!$B$19)))*(1-Assumptions!$B$20),0)</f>
        <v>0</v>
      </c>
      <c r="H486" s="30" t="n">
        <f aca="false">1-(1-G486)^(1/12)</f>
        <v>0</v>
      </c>
      <c r="I486" s="30" t="n">
        <f aca="false">I485*(1-F485)*(1-H485)</f>
        <v>0.0226690614223421</v>
      </c>
      <c r="J486" s="30" t="n">
        <f aca="false">INDEX(Discount_Monthly!$G$4:$G$664,MATCH(A486,Discount_Monthly!$A$4:$A$664,0))</f>
        <v>0.284322649330832</v>
      </c>
      <c r="K486" s="30" t="n">
        <f aca="false">IF(C486&lt;Assumptions!$B$5,I486*J486,0)</f>
        <v>0</v>
      </c>
      <c r="L486" s="30" t="n">
        <f aca="false">IF(C486&lt;Assumptions!$B$5,I486*(1-F486)*H486*A486*J486,0)</f>
        <v>0</v>
      </c>
      <c r="M486" s="30" t="n">
        <f aca="false">IF(A486=0,Assumptions!$B$14*12*I486*J486,IF(AND(A486&gt;=12,C486&lt;Assumptions!$B$5),Assumptions!$B$15*I486*J486,0))</f>
        <v>0</v>
      </c>
      <c r="N486" s="47" t="n">
        <f aca="false">IF(C486&gt;=Assumptions!$B$5,I486*Assumptions!$B$9/12*(1+Assumptions!$B$10)^INT(A486/12)*J486,0)</f>
        <v>18.6033189398422</v>
      </c>
      <c r="O486" s="47" t="n">
        <f aca="false">I486*Assumptions!$B$12/12*(1+Assumptions!$B$11)^(INT(A486/12)+1)*J486</f>
        <v>0.115374107128088</v>
      </c>
      <c r="P486" s="47" t="n">
        <f aca="false">O486+Pricing_M!$B$13*M486+N486-Pricing_M!$B$13*K486</f>
        <v>18.7186930469702</v>
      </c>
      <c r="Q486" s="47" t="n">
        <f aca="false">IF(C486&lt;Assumptions!$B$5,Pricing_M!$B$13*K486-Pricing_M!$B$13*M486-O486,-(N486+O486))</f>
        <v>-18.7186930469702</v>
      </c>
      <c r="R486" s="32" t="n">
        <f aca="false">R485*(1-(1-(1-MIN(1,E485*(1-Assumptions!$B$21)))^(1/12)))*(1-H485)</f>
        <v>0.0490673478608689</v>
      </c>
      <c r="S486" s="47" t="n">
        <f aca="false">R486*(IF(C486&lt;Assumptions!$B$5,Assumptions!$B$12*(1+Assumptions!$B$11)^(INT(A486/12)+1)/12+Pricing_M!$B$13*IF(A486=0,Assumptions!$B$14*12,IF(A486&gt;=12,Assumptions!$B$15,0))-Pricing_M!$B$13,Assumptions!$B$9/12*(1+Assumptions!$B$10)^INT(A486/12)+Assumptions!$B$12*(1+Assumptions!$B$11)^(INT(A486/12)+1)/12))*J486</f>
        <v>40.5167468614861</v>
      </c>
      <c r="T486" s="32" t="n">
        <f aca="false">T485*(1-F485)*(1-(1-(1-MIN(1,G485*(1+Assumptions!$B$23)))^(1/12)))</f>
        <v>0.0205354233485924</v>
      </c>
      <c r="U486" s="47" t="n">
        <f aca="false">T486*(IF(C486&lt;Assumptions!$B$5,Assumptions!$B$12*(1+Assumptions!$B$11)^(INT(A486/12)+1)/12+Pricing_M!$B$13*IF(A486=0,Assumptions!$B$14*12,IF(A486&gt;=12,Assumptions!$B$15,0))-Pricing_M!$B$13,Assumptions!$B$9/12*(1+Assumptions!$B$10)^INT(A486/12)+Assumptions!$B$12*(1+Assumptions!$B$11)^(INT(A486/12)+1)/12))*J486</f>
        <v>16.9568681777462</v>
      </c>
      <c r="V486" s="32" t="n">
        <f aca="false">V485*(1-F485)*(1-(1-(1-MIN(1,G485*(1-Assumptions!$B$23)))^(1/12)))</f>
        <v>0.0250014250656282</v>
      </c>
      <c r="W486" s="47" t="n">
        <f aca="false">V486*(IF(C486&lt;Assumptions!$B$5,Assumptions!$B$12*(1+Assumptions!$B$11)^(INT(A486/12)+1)/12+Pricing_M!$B$13*IF(A486=0,Assumptions!$B$14*12,IF(A486&gt;=12,Assumptions!$B$15,0))-Pricing_M!$B$13,Assumptions!$B$9/12*(1+Assumptions!$B$10)^INT(A486/12)+Assumptions!$B$12*(1+Assumptions!$B$11)^(INT(A486/12)+1)/12))*J486</f>
        <v>20.6446130618834</v>
      </c>
      <c r="X486" s="47" t="n">
        <f aca="false">I486*(IF(C486&lt;Assumptions!$B$5,Assumptions!$B$12*(1+Assumptions!$B$11)*(1+Assumptions!$B$24)*(1+Assumptions!$B$11+Assumptions!$B$25)^(INT(A486/12))/12+Pricing_M!$B$13*IF(A486=0,Assumptions!$B$14*12,IF(A486&gt;=12,Assumptions!$B$15,0))-Pricing_M!$B$13,Assumptions!$B$9/12*(1+Assumptions!$B$10)^INT(A486/12)+Assumptions!$B$12*(1+Assumptions!$B$11)*(1+Assumptions!$B$24)*(1+Assumptions!$B$11+Assumptions!$B$25)^(INT(A486/12))/12))*J486</f>
        <v>18.7886481734804</v>
      </c>
    </row>
    <row r="487" customFormat="false" ht="15" hidden="false" customHeight="true" outlineLevel="0" collapsed="false">
      <c r="A487" s="1" t="n">
        <v>480</v>
      </c>
      <c r="B487" s="31" t="n">
        <f aca="false">Assumptions!$B$4+A487/12</f>
        <v>105</v>
      </c>
      <c r="C487" s="34" t="n">
        <f aca="false">Assumptions!$B$4+INT(A487/12)</f>
        <v>105</v>
      </c>
      <c r="D487" s="34" t="n">
        <f aca="false">INT(A487/12)+1</f>
        <v>41</v>
      </c>
      <c r="E487" s="32" t="n">
        <f aca="false">IFERROR(INDEX(Cohort_Survival!$G$5:$G$65,MATCH(C487,Cohort_Survival!$A$5:$A$65,0)),1)</f>
        <v>0.122022072077009</v>
      </c>
      <c r="F487" s="30" t="n">
        <f aca="false">1-(1-MIN(1,E487))^(1/12)</f>
        <v>0.0107858959422681</v>
      </c>
      <c r="G487" s="39" t="n">
        <f aca="false">IF(C487&lt;Assumptions!$B$5,IF(D487=1,Assumptions!$B$16,IF(D487=2,Assumptions!$B$17,IF(D487&lt;=5,Assumptions!$B$18,Assumptions!$B$19)))*(1-Assumptions!$B$20),0)</f>
        <v>0</v>
      </c>
      <c r="H487" s="30" t="n">
        <f aca="false">1-(1-G487)^(1/12)</f>
        <v>0</v>
      </c>
      <c r="I487" s="30" t="n">
        <f aca="false">I486*(1-F486)*(1-H486)</f>
        <v>0.022161714728146</v>
      </c>
      <c r="J487" s="30" t="n">
        <f aca="false">INDEX(Discount_Monthly!$G$4:$G$664,MATCH(A487,Discount_Monthly!$A$4:$A$664,0))</f>
        <v>0.283559223216554</v>
      </c>
      <c r="K487" s="30" t="n">
        <f aca="false">IF(C487&lt;Assumptions!$B$5,I487*J487,0)</f>
        <v>0</v>
      </c>
      <c r="L487" s="30" t="n">
        <f aca="false">IF(C487&lt;Assumptions!$B$5,I487*(1-F487)*H487*A487*J487,0)</f>
        <v>0</v>
      </c>
      <c r="M487" s="30" t="n">
        <f aca="false">IF(A487=0,Assumptions!$B$14*12*I487*J487,IF(AND(A487&gt;=12,C487&lt;Assumptions!$B$5),Assumptions!$B$15*I487*J487,0))</f>
        <v>0</v>
      </c>
      <c r="N487" s="47" t="n">
        <f aca="false">IF(C487&gt;=Assumptions!$B$5,I487*Assumptions!$B$9/12*(1+Assumptions!$B$10)^INT(A487/12)*J487,0)</f>
        <v>18.5008952946219</v>
      </c>
      <c r="O487" s="47" t="n">
        <f aca="false">I487*Assumptions!$B$12/12*(1+Assumptions!$B$11)^(INT(A487/12)+1)*J487</f>
        <v>0.115301341492672</v>
      </c>
      <c r="P487" s="47" t="n">
        <f aca="false">O487+Pricing_M!$B$13*M487+N487-Pricing_M!$B$13*K487</f>
        <v>18.6161966361146</v>
      </c>
      <c r="Q487" s="47" t="n">
        <f aca="false">IF(C487&lt;Assumptions!$B$5,Pricing_M!$B$13*K487-Pricing_M!$B$13*M487-O487,-(N487+O487))</f>
        <v>-18.6161966361146</v>
      </c>
      <c r="R487" s="32" t="n">
        <f aca="false">R486*(1-(1-(1-MIN(1,E486*(1-Assumptions!$B$21)))^(1/12)))*(1-H486)</f>
        <v>0.0482118348453064</v>
      </c>
      <c r="S487" s="47" t="n">
        <f aca="false">R487*(IF(C487&lt;Assumptions!$B$5,Assumptions!$B$12*(1+Assumptions!$B$11)^(INT(A487/12)+1)/12+Pricing_M!$B$13*IF(A487=0,Assumptions!$B$14*12,IF(A487&gt;=12,Assumptions!$B$15,0))-Pricing_M!$B$13,Assumptions!$B$9/12*(1+Assumptions!$B$10)^INT(A487/12)+Assumptions!$B$12*(1+Assumptions!$B$11)^(INT(A487/12)+1)/12))*J487</f>
        <v>40.4987163077336</v>
      </c>
      <c r="T487" s="32" t="n">
        <f aca="false">T486*(1-F486)*(1-(1-(1-MIN(1,G486*(1+Assumptions!$B$23)))^(1/12)))</f>
        <v>0.0200758287074327</v>
      </c>
      <c r="U487" s="47" t="n">
        <f aca="false">T487*(IF(C487&lt;Assumptions!$B$5,Assumptions!$B$12*(1+Assumptions!$B$11)^(INT(A487/12)+1)/12+Pricing_M!$B$13*IF(A487=0,Assumptions!$B$14*12,IF(A487&gt;=12,Assumptions!$B$15,0))-Pricing_M!$B$13,Assumptions!$B$9/12*(1+Assumptions!$B$10)^INT(A487/12)+Assumptions!$B$12*(1+Assumptions!$B$11)^(INT(A487/12)+1)/12))*J487</f>
        <v>16.8640188466946</v>
      </c>
      <c r="V487" s="32" t="n">
        <f aca="false">V486*(1-F486)*(1-(1-(1-MIN(1,G486*(1-Assumptions!$B$23)))^(1/12)))</f>
        <v>0.0244418787253135</v>
      </c>
      <c r="W487" s="47" t="n">
        <f aca="false">V487*(IF(C487&lt;Assumptions!$B$5,Assumptions!$B$12*(1+Assumptions!$B$11)^(INT(A487/12)+1)/12+Pricing_M!$B$13*IF(A487=0,Assumptions!$B$14*12,IF(A487&gt;=12,Assumptions!$B$15,0))-Pricing_M!$B$13,Assumptions!$B$9/12*(1+Assumptions!$B$10)^INT(A487/12)+Assumptions!$B$12*(1+Assumptions!$B$11)^(INT(A487/12)+1)/12))*J487</f>
        <v>20.5315710489054</v>
      </c>
      <c r="X487" s="47" t="n">
        <f aca="false">I487*(IF(C487&lt;Assumptions!$B$5,Assumptions!$B$12*(1+Assumptions!$B$11)*(1+Assumptions!$B$24)*(1+Assumptions!$B$11+Assumptions!$B$25)^(INT(A487/12))/12+Pricing_M!$B$13*IF(A487=0,Assumptions!$B$14*12,IF(A487&gt;=12,Assumptions!$B$15,0))-Pricing_M!$B$13,Assumptions!$B$9/12*(1+Assumptions!$B$10)^INT(A487/12)+Assumptions!$B$12*(1+Assumptions!$B$11)*(1+Assumptions!$B$24)*(1+Assumptions!$B$11+Assumptions!$B$25)^(INT(A487/12))/12))*J487</f>
        <v>18.6879145921546</v>
      </c>
    </row>
    <row r="488" customFormat="false" ht="15" hidden="false" customHeight="true" outlineLevel="0" collapsed="false">
      <c r="A488" s="1" t="n">
        <v>481</v>
      </c>
      <c r="B488" s="31" t="n">
        <f aca="false">Assumptions!$B$4+A488/12</f>
        <v>105.083333333333</v>
      </c>
      <c r="C488" s="34" t="n">
        <f aca="false">Assumptions!$B$4+INT(A488/12)</f>
        <v>105</v>
      </c>
      <c r="D488" s="34" t="n">
        <f aca="false">INT(A488/12)+1</f>
        <v>41</v>
      </c>
      <c r="E488" s="32" t="n">
        <f aca="false">IFERROR(INDEX(Cohort_Survival!$G$5:$G$65,MATCH(C488,Cohort_Survival!$A$5:$A$65,0)),1)</f>
        <v>0.122022072077009</v>
      </c>
      <c r="F488" s="30" t="n">
        <f aca="false">1-(1-MIN(1,E488))^(1/12)</f>
        <v>0.0107858959422681</v>
      </c>
      <c r="G488" s="39" t="n">
        <f aca="false">IF(C488&lt;Assumptions!$B$5,IF(D488=1,Assumptions!$B$16,IF(D488=2,Assumptions!$B$17,IF(D488&lt;=5,Assumptions!$B$18,Assumptions!$B$19)))*(1-Assumptions!$B$20),0)</f>
        <v>0</v>
      </c>
      <c r="H488" s="30" t="n">
        <f aca="false">1-(1-G488)^(1/12)</f>
        <v>0</v>
      </c>
      <c r="I488" s="30" t="n">
        <f aca="false">I487*(1-F487)*(1-H487)</f>
        <v>0.021922680779186</v>
      </c>
      <c r="J488" s="30" t="n">
        <f aca="false">INDEX(Discount_Monthly!$G$4:$G$664,MATCH(A488,Discount_Monthly!$A$4:$A$664,0))</f>
        <v>0.282796933889181</v>
      </c>
      <c r="K488" s="30" t="n">
        <f aca="false">IF(C488&lt;Assumptions!$B$5,I488*J488,0)</f>
        <v>0</v>
      </c>
      <c r="L488" s="30" t="n">
        <f aca="false">IF(C488&lt;Assumptions!$B$5,I488*(1-F488)*H488*A488*J488,0)</f>
        <v>0</v>
      </c>
      <c r="M488" s="30" t="n">
        <f aca="false">IF(A488=0,Assumptions!$B$14*12*I488*J488,IF(AND(A488&gt;=12,C488&lt;Assumptions!$B$5),Assumptions!$B$15*I488*J488,0))</f>
        <v>0</v>
      </c>
      <c r="N488" s="47" t="n">
        <f aca="false">IF(C488&gt;=Assumptions!$B$5,I488*Assumptions!$B$9/12*(1+Assumptions!$B$10)^INT(A488/12)*J488,0)</f>
        <v>18.2521472424313</v>
      </c>
      <c r="O488" s="47" t="n">
        <f aca="false">I488*Assumptions!$B$12/12*(1+Assumptions!$B$11)^(INT(A488/12)+1)*J488</f>
        <v>0.113751093050392</v>
      </c>
      <c r="P488" s="47" t="n">
        <f aca="false">O488+Pricing_M!$B$13*M488+N488-Pricing_M!$B$13*K488</f>
        <v>18.3658983354817</v>
      </c>
      <c r="Q488" s="47" t="n">
        <f aca="false">IF(C488&lt;Assumptions!$B$5,Pricing_M!$B$13*K488-Pricing_M!$B$13*M488-O488,-(N488+O488))</f>
        <v>-18.3658983354817</v>
      </c>
      <c r="R488" s="32" t="n">
        <f aca="false">R487*(1-(1-(1-MIN(1,E487*(1-Assumptions!$B$21)))^(1/12)))*(1-H487)</f>
        <v>0.0478009149233929</v>
      </c>
      <c r="S488" s="47" t="n">
        <f aca="false">R488*(IF(C488&lt;Assumptions!$B$5,Assumptions!$B$12*(1+Assumptions!$B$11)^(INT(A488/12)+1)/12+Pricing_M!$B$13*IF(A488=0,Assumptions!$B$14*12,IF(A488&gt;=12,Assumptions!$B$15,0))-Pricing_M!$B$13,Assumptions!$B$9/12*(1+Assumptions!$B$10)^INT(A488/12)+Assumptions!$B$12*(1+Assumptions!$B$11)^(INT(A488/12)+1)/12))*J488</f>
        <v>40.0455926293264</v>
      </c>
      <c r="T488" s="32" t="n">
        <f aca="false">T487*(1-F487)*(1-(1-(1-MIN(1,G487*(1+Assumptions!$B$23)))^(1/12)))</f>
        <v>0.0198592929080396</v>
      </c>
      <c r="U488" s="47" t="n">
        <f aca="false">T488*(IF(C488&lt;Assumptions!$B$5,Assumptions!$B$12*(1+Assumptions!$B$11)^(INT(A488/12)+1)/12+Pricing_M!$B$13*IF(A488=0,Assumptions!$B$14*12,IF(A488&gt;=12,Assumptions!$B$15,0))-Pricing_M!$B$13,Assumptions!$B$9/12*(1+Assumptions!$B$10)^INT(A488/12)+Assumptions!$B$12*(1+Assumptions!$B$11)^(INT(A488/12)+1)/12))*J488</f>
        <v>16.6372789093337</v>
      </c>
      <c r="V488" s="32" t="n">
        <f aca="false">V487*(1-F487)*(1-(1-(1-MIN(1,G487*(1-Assumptions!$B$23)))^(1/12)))</f>
        <v>0.0241782511647487</v>
      </c>
      <c r="W488" s="47" t="n">
        <f aca="false">V488*(IF(C488&lt;Assumptions!$B$5,Assumptions!$B$12*(1+Assumptions!$B$11)^(INT(A488/12)+1)/12+Pricing_M!$B$13*IF(A488=0,Assumptions!$B$14*12,IF(A488&gt;=12,Assumptions!$B$15,0))-Pricing_M!$B$13,Assumptions!$B$9/12*(1+Assumptions!$B$10)^INT(A488/12)+Assumptions!$B$12*(1+Assumptions!$B$11)^(INT(A488/12)+1)/12))*J488</f>
        <v>20.2555201753937</v>
      </c>
      <c r="X488" s="47" t="n">
        <f aca="false">I488*(IF(C488&lt;Assumptions!$B$5,Assumptions!$B$12*(1+Assumptions!$B$11)*(1+Assumptions!$B$24)*(1+Assumptions!$B$11+Assumptions!$B$25)^(INT(A488/12))/12+Pricing_M!$B$13*IF(A488=0,Assumptions!$B$14*12,IF(A488&gt;=12,Assumptions!$B$15,0))-Pricing_M!$B$13,Assumptions!$B$9/12*(1+Assumptions!$B$10)^INT(A488/12)+Assumptions!$B$12*(1+Assumptions!$B$11)*(1+Assumptions!$B$24)*(1+Assumptions!$B$11+Assumptions!$B$25)^(INT(A488/12))/12))*J488</f>
        <v>18.4366520299771</v>
      </c>
    </row>
    <row r="489" customFormat="false" ht="15" hidden="false" customHeight="true" outlineLevel="0" collapsed="false">
      <c r="A489" s="1" t="n">
        <v>482</v>
      </c>
      <c r="B489" s="31" t="n">
        <f aca="false">Assumptions!$B$4+A489/12</f>
        <v>105.166666666667</v>
      </c>
      <c r="C489" s="34" t="n">
        <f aca="false">Assumptions!$B$4+INT(A489/12)</f>
        <v>105</v>
      </c>
      <c r="D489" s="34" t="n">
        <f aca="false">INT(A489/12)+1</f>
        <v>41</v>
      </c>
      <c r="E489" s="32" t="n">
        <f aca="false">IFERROR(INDEX(Cohort_Survival!$G$5:$G$65,MATCH(C489,Cohort_Survival!$A$5:$A$65,0)),1)</f>
        <v>0.122022072077009</v>
      </c>
      <c r="F489" s="30" t="n">
        <f aca="false">1-(1-MIN(1,E489))^(1/12)</f>
        <v>0.0107858959422681</v>
      </c>
      <c r="G489" s="39" t="n">
        <f aca="false">IF(C489&lt;Assumptions!$B$5,IF(D489=1,Assumptions!$B$16,IF(D489=2,Assumptions!$B$17,IF(D489&lt;=5,Assumptions!$B$18,Assumptions!$B$19)))*(1-Assumptions!$B$20),0)</f>
        <v>0</v>
      </c>
      <c r="H489" s="30" t="n">
        <f aca="false">1-(1-G489)^(1/12)</f>
        <v>0</v>
      </c>
      <c r="I489" s="30" t="n">
        <f aca="false">I488*(1-F488)*(1-H488)</f>
        <v>0.0216862250255261</v>
      </c>
      <c r="J489" s="30" t="n">
        <f aca="false">INDEX(Discount_Monthly!$G$4:$G$664,MATCH(A489,Discount_Monthly!$A$4:$A$664,0))</f>
        <v>0.282036693816324</v>
      </c>
      <c r="K489" s="30" t="n">
        <f aca="false">IF(C489&lt;Assumptions!$B$5,I489*J489,0)</f>
        <v>0</v>
      </c>
      <c r="L489" s="30" t="n">
        <f aca="false">IF(C489&lt;Assumptions!$B$5,I489*(1-F489)*H489*A489*J489,0)</f>
        <v>0</v>
      </c>
      <c r="M489" s="30" t="n">
        <f aca="false">IF(A489=0,Assumptions!$B$14*12*I489*J489,IF(AND(A489&gt;=12,C489&lt;Assumptions!$B$5),Assumptions!$B$15*I489*J489,0))</f>
        <v>0</v>
      </c>
      <c r="N489" s="47" t="n">
        <f aca="false">IF(C489&gt;=Assumptions!$B$5,I489*Assumptions!$B$9/12*(1+Assumptions!$B$10)^INT(A489/12)*J489,0)</f>
        <v>18.0067436550616</v>
      </c>
      <c r="O489" s="47" t="n">
        <f aca="false">I489*Assumptions!$B$12/12*(1+Assumptions!$B$11)^(INT(A489/12)+1)*J489</f>
        <v>0.112221687992948</v>
      </c>
      <c r="P489" s="47" t="n">
        <f aca="false">O489+Pricing_M!$B$13*M489+N489-Pricing_M!$B$13*K489</f>
        <v>18.1189653430545</v>
      </c>
      <c r="Q489" s="47" t="n">
        <f aca="false">IF(C489&lt;Assumptions!$B$5,Pricing_M!$B$13*K489-Pricing_M!$B$13*M489-O489,-(N489+O489))</f>
        <v>-18.1189653430545</v>
      </c>
      <c r="R489" s="32" t="n">
        <f aca="false">R488*(1-(1-(1-MIN(1,E488*(1-Assumptions!$B$21)))^(1/12)))*(1-H488)</f>
        <v>0.0473934973610717</v>
      </c>
      <c r="S489" s="47" t="n">
        <f aca="false">R489*(IF(C489&lt;Assumptions!$B$5,Assumptions!$B$12*(1+Assumptions!$B$11)^(INT(A489/12)+1)/12+Pricing_M!$B$13*IF(A489=0,Assumptions!$B$14*12,IF(A489&gt;=12,Assumptions!$B$15,0))-Pricing_M!$B$13,Assumptions!$B$9/12*(1+Assumptions!$B$10)^INT(A489/12)+Assumptions!$B$12*(1+Assumptions!$B$11)^(INT(A489/12)+1)/12))*J489</f>
        <v>39.5975387676109</v>
      </c>
      <c r="T489" s="32" t="n">
        <f aca="false">T488*(1-F488)*(1-(1-(1-MIN(1,G488*(1+Assumptions!$B$23)))^(1/12)))</f>
        <v>0.0196450926412464</v>
      </c>
      <c r="U489" s="47" t="n">
        <f aca="false">T489*(IF(C489&lt;Assumptions!$B$5,Assumptions!$B$12*(1+Assumptions!$B$11)^(INT(A489/12)+1)/12+Pricing_M!$B$13*IF(A489=0,Assumptions!$B$14*12,IF(A489&gt;=12,Assumptions!$B$15,0))-Pricing_M!$B$13,Assumptions!$B$9/12*(1+Assumptions!$B$10)^INT(A489/12)+Assumptions!$B$12*(1+Assumptions!$B$11)^(INT(A489/12)+1)/12))*J489</f>
        <v>16.4135875335087</v>
      </c>
      <c r="V489" s="32" t="n">
        <f aca="false">V488*(1-F488)*(1-(1-(1-MIN(1,G488*(1-Assumptions!$B$23)))^(1/12)))</f>
        <v>0.0239174670636197</v>
      </c>
      <c r="W489" s="47" t="n">
        <f aca="false">V489*(IF(C489&lt;Assumptions!$B$5,Assumptions!$B$12*(1+Assumptions!$B$11)^(INT(A489/12)+1)/12+Pricing_M!$B$13*IF(A489=0,Assumptions!$B$14*12,IF(A489&gt;=12,Assumptions!$B$15,0))-Pricing_M!$B$13,Assumptions!$B$9/12*(1+Assumptions!$B$10)^INT(A489/12)+Assumptions!$B$12*(1+Assumptions!$B$11)^(INT(A489/12)+1)/12))*J489</f>
        <v>19.9831808583228</v>
      </c>
      <c r="X489" s="47" t="n">
        <f aca="false">I489*(IF(C489&lt;Assumptions!$B$5,Assumptions!$B$12*(1+Assumptions!$B$11)*(1+Assumptions!$B$24)*(1+Assumptions!$B$11+Assumptions!$B$25)^(INT(A489/12))/12+Pricing_M!$B$13*IF(A489=0,Assumptions!$B$14*12,IF(A489&gt;=12,Assumptions!$B$15,0))-Pricing_M!$B$13,Assumptions!$B$9/12*(1+Assumptions!$B$10)^INT(A489/12)+Assumptions!$B$12*(1+Assumptions!$B$11)*(1+Assumptions!$B$24)*(1+Assumptions!$B$11+Assumptions!$B$25)^(INT(A489/12))/12))*J489</f>
        <v>18.1887677406851</v>
      </c>
    </row>
    <row r="490" customFormat="false" ht="15" hidden="false" customHeight="true" outlineLevel="0" collapsed="false">
      <c r="A490" s="1" t="n">
        <v>483</v>
      </c>
      <c r="B490" s="31" t="n">
        <f aca="false">Assumptions!$B$4+A490/12</f>
        <v>105.25</v>
      </c>
      <c r="C490" s="34" t="n">
        <f aca="false">Assumptions!$B$4+INT(A490/12)</f>
        <v>105</v>
      </c>
      <c r="D490" s="34" t="n">
        <f aca="false">INT(A490/12)+1</f>
        <v>41</v>
      </c>
      <c r="E490" s="32" t="n">
        <f aca="false">IFERROR(INDEX(Cohort_Survival!$G$5:$G$65,MATCH(C490,Cohort_Survival!$A$5:$A$65,0)),1)</f>
        <v>0.122022072077009</v>
      </c>
      <c r="F490" s="30" t="n">
        <f aca="false">1-(1-MIN(1,E490))^(1/12)</f>
        <v>0.0107858959422681</v>
      </c>
      <c r="G490" s="39" t="n">
        <f aca="false">IF(C490&lt;Assumptions!$B$5,IF(D490=1,Assumptions!$B$16,IF(D490=2,Assumptions!$B$17,IF(D490&lt;=5,Assumptions!$B$18,Assumptions!$B$19)))*(1-Assumptions!$B$20),0)</f>
        <v>0</v>
      </c>
      <c r="H490" s="30" t="n">
        <f aca="false">1-(1-G490)^(1/12)</f>
        <v>0</v>
      </c>
      <c r="I490" s="30" t="n">
        <f aca="false">I489*(1-F489)*(1-H489)</f>
        <v>0.0214523196590202</v>
      </c>
      <c r="J490" s="30" t="n">
        <f aca="false">INDEX(Discount_Monthly!$G$4:$G$664,MATCH(A490,Discount_Monthly!$A$4:$A$664,0))</f>
        <v>0.281278497488993</v>
      </c>
      <c r="K490" s="30" t="n">
        <f aca="false">IF(C490&lt;Assumptions!$B$5,I490*J490,0)</f>
        <v>0</v>
      </c>
      <c r="L490" s="30" t="n">
        <f aca="false">IF(C490&lt;Assumptions!$B$5,I490*(1-F490)*H490*A490*J490,0)</f>
        <v>0</v>
      </c>
      <c r="M490" s="30" t="n">
        <f aca="false">IF(A490=0,Assumptions!$B$14*12*I490*J490,IF(AND(A490&gt;=12,C490&lt;Assumptions!$B$5),Assumptions!$B$15*I490*J490,0))</f>
        <v>0</v>
      </c>
      <c r="N490" s="47" t="n">
        <f aca="false">IF(C490&gt;=Assumptions!$B$5,I490*Assumptions!$B$9/12*(1+Assumptions!$B$10)^INT(A490/12)*J490,0)</f>
        <v>17.7646395655479</v>
      </c>
      <c r="O490" s="47" t="n">
        <f aca="false">I490*Assumptions!$B$12/12*(1+Assumptions!$B$11)^(INT(A490/12)+1)*J490</f>
        <v>0.11071284607707</v>
      </c>
      <c r="P490" s="47" t="n">
        <f aca="false">O490+Pricing_M!$B$13*M490+N490-Pricing_M!$B$13*K490</f>
        <v>17.8753524116249</v>
      </c>
      <c r="Q490" s="47" t="n">
        <f aca="false">IF(C490&lt;Assumptions!$B$5,Pricing_M!$B$13*K490-Pricing_M!$B$13*M490-O490,-(N490+O490))</f>
        <v>-17.8753524116249</v>
      </c>
      <c r="R490" s="32" t="n">
        <f aca="false">R489*(1-(1-(1-MIN(1,E489*(1-Assumptions!$B$21)))^(1/12)))*(1-H489)</f>
        <v>0.0469895523069723</v>
      </c>
      <c r="S490" s="47" t="n">
        <f aca="false">R490*(IF(C490&lt;Assumptions!$B$5,Assumptions!$B$12*(1+Assumptions!$B$11)^(INT(A490/12)+1)/12+Pricing_M!$B$13*IF(A490=0,Assumptions!$B$14*12,IF(A490&gt;=12,Assumptions!$B$15,0))-Pricing_M!$B$13,Assumptions!$B$9/12*(1+Assumptions!$B$10)^INT(A490/12)+Assumptions!$B$12*(1+Assumptions!$B$11)^(INT(A490/12)+1)/12))*J490</f>
        <v>39.1544979984686</v>
      </c>
      <c r="T490" s="32" t="n">
        <f aca="false">T489*(1-F489)*(1-(1-(1-MIN(1,G489*(1+Assumptions!$B$23)))^(1/12)))</f>
        <v>0.0194332027162417</v>
      </c>
      <c r="U490" s="47" t="n">
        <f aca="false">T490*(IF(C490&lt;Assumptions!$B$5,Assumptions!$B$12*(1+Assumptions!$B$11)^(INT(A490/12)+1)/12+Pricing_M!$B$13*IF(A490=0,Assumptions!$B$14*12,IF(A490&gt;=12,Assumptions!$B$15,0))-Pricing_M!$B$13,Assumptions!$B$9/12*(1+Assumptions!$B$10)^INT(A490/12)+Assumptions!$B$12*(1+Assumptions!$B$11)^(INT(A490/12)+1)/12))*J490</f>
        <v>16.1929037307304</v>
      </c>
      <c r="V490" s="32" t="n">
        <f aca="false">V489*(1-F489)*(1-(1-(1-MIN(1,G489*(1-Assumptions!$B$23)))^(1/12)))</f>
        <v>0.0236594957526689</v>
      </c>
      <c r="W490" s="47" t="n">
        <f aca="false">V490*(IF(C490&lt;Assumptions!$B$5,Assumptions!$B$12*(1+Assumptions!$B$11)^(INT(A490/12)+1)/12+Pricing_M!$B$13*IF(A490=0,Assumptions!$B$14*12,IF(A490&gt;=12,Assumptions!$B$15,0))-Pricing_M!$B$13,Assumptions!$B$9/12*(1+Assumptions!$B$10)^INT(A490/12)+Assumptions!$B$12*(1+Assumptions!$B$11)^(INT(A490/12)+1)/12))*J490</f>
        <v>19.7145031951112</v>
      </c>
      <c r="X490" s="47" t="n">
        <f aca="false">I490*(IF(C490&lt;Assumptions!$B$5,Assumptions!$B$12*(1+Assumptions!$B$11)*(1+Assumptions!$B$24)*(1+Assumptions!$B$11+Assumptions!$B$25)^(INT(A490/12))/12+Pricing_M!$B$13*IF(A490=0,Assumptions!$B$14*12,IF(A490&gt;=12,Assumptions!$B$15,0))-Pricing_M!$B$13,Assumptions!$B$9/12*(1+Assumptions!$B$10)^INT(A490/12)+Assumptions!$B$12*(1+Assumptions!$B$11)*(1+Assumptions!$B$24)*(1+Assumptions!$B$11+Assumptions!$B$25)^(INT(A490/12))/12))*J490</f>
        <v>17.9442163027577</v>
      </c>
    </row>
    <row r="491" customFormat="false" ht="15" hidden="false" customHeight="true" outlineLevel="0" collapsed="false">
      <c r="A491" s="1" t="n">
        <v>484</v>
      </c>
      <c r="B491" s="31" t="n">
        <f aca="false">Assumptions!$B$4+A491/12</f>
        <v>105.333333333333</v>
      </c>
      <c r="C491" s="34" t="n">
        <f aca="false">Assumptions!$B$4+INT(A491/12)</f>
        <v>105</v>
      </c>
      <c r="D491" s="34" t="n">
        <f aca="false">INT(A491/12)+1</f>
        <v>41</v>
      </c>
      <c r="E491" s="32" t="n">
        <f aca="false">IFERROR(INDEX(Cohort_Survival!$G$5:$G$65,MATCH(C491,Cohort_Survival!$A$5:$A$65,0)),1)</f>
        <v>0.122022072077009</v>
      </c>
      <c r="F491" s="30" t="n">
        <f aca="false">1-(1-MIN(1,E491))^(1/12)</f>
        <v>0.0107858959422681</v>
      </c>
      <c r="G491" s="39" t="n">
        <f aca="false">IF(C491&lt;Assumptions!$B$5,IF(D491=1,Assumptions!$B$16,IF(D491=2,Assumptions!$B$17,IF(D491&lt;=5,Assumptions!$B$18,Assumptions!$B$19)))*(1-Assumptions!$B$20),0)</f>
        <v>0</v>
      </c>
      <c r="H491" s="30" t="n">
        <f aca="false">1-(1-G491)^(1/12)</f>
        <v>0</v>
      </c>
      <c r="I491" s="30" t="n">
        <f aca="false">I490*(1-F490)*(1-H490)</f>
        <v>0.0212209371714577</v>
      </c>
      <c r="J491" s="30" t="n">
        <f aca="false">INDEX(Discount_Monthly!$G$4:$G$664,MATCH(A491,Discount_Monthly!$A$4:$A$664,0))</f>
        <v>0.280522339413008</v>
      </c>
      <c r="K491" s="30" t="n">
        <f aca="false">IF(C491&lt;Assumptions!$B$5,I491*J491,0)</f>
        <v>0</v>
      </c>
      <c r="L491" s="30" t="n">
        <f aca="false">IF(C491&lt;Assumptions!$B$5,I491*(1-F491)*H491*A491*J491,0)</f>
        <v>0</v>
      </c>
      <c r="M491" s="30" t="n">
        <f aca="false">IF(A491=0,Assumptions!$B$14*12*I491*J491,IF(AND(A491&gt;=12,C491&lt;Assumptions!$B$5),Assumptions!$B$15*I491*J491,0))</f>
        <v>0</v>
      </c>
      <c r="N491" s="47" t="n">
        <f aca="false">IF(C491&gt;=Assumptions!$B$5,I491*Assumptions!$B$9/12*(1+Assumptions!$B$10)^INT(A491/12)*J491,0)</f>
        <v>17.5257906115146</v>
      </c>
      <c r="O491" s="47" t="n">
        <f aca="false">I491*Assumptions!$B$12/12*(1+Assumptions!$B$11)^(INT(A491/12)+1)*J491</f>
        <v>0.109224290827413</v>
      </c>
      <c r="P491" s="47" t="n">
        <f aca="false">O491+Pricing_M!$B$13*M491+N491-Pricing_M!$B$13*K491</f>
        <v>17.635014902342</v>
      </c>
      <c r="Q491" s="47" t="n">
        <f aca="false">IF(C491&lt;Assumptions!$B$5,Pricing_M!$B$13*K491-Pricing_M!$B$13*M491-O491,-(N491+O491))</f>
        <v>-17.635014902342</v>
      </c>
      <c r="R491" s="32" t="n">
        <f aca="false">R490*(1-(1-(1-MIN(1,E490*(1-Assumptions!$B$21)))^(1/12)))*(1-H490)</f>
        <v>0.0465890501641545</v>
      </c>
      <c r="S491" s="47" t="n">
        <f aca="false">R491*(IF(C491&lt;Assumptions!$B$5,Assumptions!$B$12*(1+Assumptions!$B$11)^(INT(A491/12)+1)/12+Pricing_M!$B$13*IF(A491=0,Assumptions!$B$14*12,IF(A491&gt;=12,Assumptions!$B$15,0))-Pricing_M!$B$13,Assumptions!$B$9/12*(1+Assumptions!$B$10)^INT(A491/12)+Assumptions!$B$12*(1+Assumptions!$B$11)^(INT(A491/12)+1)/12))*J491</f>
        <v>38.716414232444</v>
      </c>
      <c r="T491" s="32" t="n">
        <f aca="false">T490*(1-F490)*(1-(1-(1-MIN(1,G490*(1+Assumptions!$B$23)))^(1/12)))</f>
        <v>0.0192235982139193</v>
      </c>
      <c r="U491" s="47" t="n">
        <f aca="false">T491*(IF(C491&lt;Assumptions!$B$5,Assumptions!$B$12*(1+Assumptions!$B$11)^(INT(A491/12)+1)/12+Pricing_M!$B$13*IF(A491=0,Assumptions!$B$14*12,IF(A491&gt;=12,Assumptions!$B$15,0))-Pricing_M!$B$13,Assumptions!$B$9/12*(1+Assumptions!$B$10)^INT(A491/12)+Assumptions!$B$12*(1+Assumptions!$B$11)^(INT(A491/12)+1)/12))*J491</f>
        <v>15.9751870636077</v>
      </c>
      <c r="V491" s="32" t="n">
        <f aca="false">V490*(1-F490)*(1-(1-(1-MIN(1,G490*(1-Assumptions!$B$23)))^(1/12)))</f>
        <v>0.0234043068934341</v>
      </c>
      <c r="W491" s="47" t="n">
        <f aca="false">V491*(IF(C491&lt;Assumptions!$B$5,Assumptions!$B$12*(1+Assumptions!$B$11)^(INT(A491/12)+1)/12+Pricing_M!$B$13*IF(A491=0,Assumptions!$B$14*12,IF(A491&gt;=12,Assumptions!$B$15,0))-Pricing_M!$B$13,Assumptions!$B$9/12*(1+Assumptions!$B$10)^INT(A491/12)+Assumptions!$B$12*(1+Assumptions!$B$11)^(INT(A491/12)+1)/12))*J491</f>
        <v>19.4494379541271</v>
      </c>
      <c r="X491" s="47" t="n">
        <f aca="false">I491*(IF(C491&lt;Assumptions!$B$5,Assumptions!$B$12*(1+Assumptions!$B$11)*(1+Assumptions!$B$24)*(1+Assumptions!$B$11+Assumptions!$B$25)^(INT(A491/12))/12+Pricing_M!$B$13*IF(A491=0,Assumptions!$B$14*12,IF(A491&gt;=12,Assumptions!$B$15,0))-Pricing_M!$B$13,Assumptions!$B$9/12*(1+Assumptions!$B$10)^INT(A491/12)+Assumptions!$B$12*(1+Assumptions!$B$11)*(1+Assumptions!$B$24)*(1+Assumptions!$B$11+Assumptions!$B$25)^(INT(A491/12))/12))*J491</f>
        <v>17.7029529053752</v>
      </c>
    </row>
    <row r="492" customFormat="false" ht="15" hidden="false" customHeight="true" outlineLevel="0" collapsed="false">
      <c r="A492" s="1" t="n">
        <v>485</v>
      </c>
      <c r="B492" s="31" t="n">
        <f aca="false">Assumptions!$B$4+A492/12</f>
        <v>105.416666666667</v>
      </c>
      <c r="C492" s="34" t="n">
        <f aca="false">Assumptions!$B$4+INT(A492/12)</f>
        <v>105</v>
      </c>
      <c r="D492" s="34" t="n">
        <f aca="false">INT(A492/12)+1</f>
        <v>41</v>
      </c>
      <c r="E492" s="32" t="n">
        <f aca="false">IFERROR(INDEX(Cohort_Survival!$G$5:$G$65,MATCH(C492,Cohort_Survival!$A$5:$A$65,0)),1)</f>
        <v>0.122022072077009</v>
      </c>
      <c r="F492" s="30" t="n">
        <f aca="false">1-(1-MIN(1,E492))^(1/12)</f>
        <v>0.0107858959422681</v>
      </c>
      <c r="G492" s="39" t="n">
        <f aca="false">IF(C492&lt;Assumptions!$B$5,IF(D492=1,Assumptions!$B$16,IF(D492=2,Assumptions!$B$17,IF(D492&lt;=5,Assumptions!$B$18,Assumptions!$B$19)))*(1-Assumptions!$B$20),0)</f>
        <v>0</v>
      </c>
      <c r="H492" s="30" t="n">
        <f aca="false">1-(1-G492)^(1/12)</f>
        <v>0</v>
      </c>
      <c r="I492" s="30" t="n">
        <f aca="false">I491*(1-F491)*(1-H491)</f>
        <v>0.0209920503513289</v>
      </c>
      <c r="J492" s="30" t="n">
        <f aca="false">INDEX(Discount_Monthly!$G$4:$G$664,MATCH(A492,Discount_Monthly!$A$4:$A$664,0))</f>
        <v>0.279768214108959</v>
      </c>
      <c r="K492" s="30" t="n">
        <f aca="false">IF(C492&lt;Assumptions!$B$5,I492*J492,0)</f>
        <v>0</v>
      </c>
      <c r="L492" s="30" t="n">
        <f aca="false">IF(C492&lt;Assumptions!$B$5,I492*(1-F492)*H492*A492*J492,0)</f>
        <v>0</v>
      </c>
      <c r="M492" s="30" t="n">
        <f aca="false">IF(A492=0,Assumptions!$B$14*12*I492*J492,IF(AND(A492&gt;=12,C492&lt;Assumptions!$B$5),Assumptions!$B$15*I492*J492,0))</f>
        <v>0</v>
      </c>
      <c r="N492" s="47" t="n">
        <f aca="false">IF(C492&gt;=Assumptions!$B$5,I492*Assumptions!$B$9/12*(1+Assumptions!$B$10)^INT(A492/12)*J492,0)</f>
        <v>17.2901530270469</v>
      </c>
      <c r="O492" s="47" t="n">
        <f aca="false">I492*Assumptions!$B$12/12*(1+Assumptions!$B$11)^(INT(A492/12)+1)*J492</f>
        <v>0.107755749485897</v>
      </c>
      <c r="P492" s="47" t="n">
        <f aca="false">O492+Pricing_M!$B$13*M492+N492-Pricing_M!$B$13*K492</f>
        <v>17.3979087765328</v>
      </c>
      <c r="Q492" s="47" t="n">
        <f aca="false">IF(C492&lt;Assumptions!$B$5,Pricing_M!$B$13*K492-Pricing_M!$B$13*M492-O492,-(N492+O492))</f>
        <v>-17.3979087765328</v>
      </c>
      <c r="R492" s="32" t="n">
        <f aca="false">R491*(1-(1-(1-MIN(1,E491*(1-Assumptions!$B$21)))^(1/12)))*(1-H491)</f>
        <v>0.0461919615879386</v>
      </c>
      <c r="S492" s="47" t="n">
        <f aca="false">R492*(IF(C492&lt;Assumptions!$B$5,Assumptions!$B$12*(1+Assumptions!$B$11)^(INT(A492/12)+1)/12+Pricing_M!$B$13*IF(A492=0,Assumptions!$B$14*12,IF(A492&gt;=12,Assumptions!$B$15,0))-Pricing_M!$B$13,Assumptions!$B$9/12*(1+Assumptions!$B$10)^INT(A492/12)+Assumptions!$B$12*(1+Assumptions!$B$11)^(INT(A492/12)+1)/12))*J492</f>
        <v>38.2832320076436</v>
      </c>
      <c r="T492" s="32" t="n">
        <f aca="false">T491*(1-F491)*(1-(1-(1-MIN(1,G491*(1+Assumptions!$B$23)))^(1/12)))</f>
        <v>0.019016254483948</v>
      </c>
      <c r="U492" s="47" t="n">
        <f aca="false">T492*(IF(C492&lt;Assumptions!$B$5,Assumptions!$B$12*(1+Assumptions!$B$11)^(INT(A492/12)+1)/12+Pricing_M!$B$13*IF(A492=0,Assumptions!$B$14*12,IF(A492&gt;=12,Assumptions!$B$15,0))-Pricing_M!$B$13,Assumptions!$B$9/12*(1+Assumptions!$B$10)^INT(A492/12)+Assumptions!$B$12*(1+Assumptions!$B$11)^(INT(A492/12)+1)/12))*J492</f>
        <v>15.7603976384382</v>
      </c>
      <c r="V492" s="32" t="n">
        <f aca="false">V491*(1-F491)*(1-(1-(1-MIN(1,G491*(1-Assumptions!$B$23)))^(1/12)))</f>
        <v>0.0231518704746806</v>
      </c>
      <c r="W492" s="47" t="n">
        <f aca="false">V492*(IF(C492&lt;Assumptions!$B$5,Assumptions!$B$12*(1+Assumptions!$B$11)^(INT(A492/12)+1)/12+Pricing_M!$B$13*IF(A492=0,Assumptions!$B$14*12,IF(A492&gt;=12,Assumptions!$B$15,0))-Pricing_M!$B$13,Assumptions!$B$9/12*(1+Assumptions!$B$10)^INT(A492/12)+Assumptions!$B$12*(1+Assumptions!$B$11)^(INT(A492/12)+1)/12))*J492</f>
        <v>19.1879365656674</v>
      </c>
      <c r="X492" s="47" t="n">
        <f aca="false">I492*(IF(C492&lt;Assumptions!$B$5,Assumptions!$B$12*(1+Assumptions!$B$11)*(1+Assumptions!$B$24)*(1+Assumptions!$B$11+Assumptions!$B$25)^(INT(A492/12))/12+Pricing_M!$B$13*IF(A492=0,Assumptions!$B$14*12,IF(A492&gt;=12,Assumptions!$B$15,0))-Pricing_M!$B$13,Assumptions!$B$9/12*(1+Assumptions!$B$10)^INT(A492/12)+Assumptions!$B$12*(1+Assumptions!$B$11)*(1+Assumptions!$B$24)*(1+Assumptions!$B$11+Assumptions!$B$25)^(INT(A492/12))/12))*J492</f>
        <v>17.4649333402077</v>
      </c>
    </row>
    <row r="493" customFormat="false" ht="15" hidden="false" customHeight="true" outlineLevel="0" collapsed="false">
      <c r="A493" s="1" t="n">
        <v>486</v>
      </c>
      <c r="B493" s="31" t="n">
        <f aca="false">Assumptions!$B$4+A493/12</f>
        <v>105.5</v>
      </c>
      <c r="C493" s="34" t="n">
        <f aca="false">Assumptions!$B$4+INT(A493/12)</f>
        <v>105</v>
      </c>
      <c r="D493" s="34" t="n">
        <f aca="false">INT(A493/12)+1</f>
        <v>41</v>
      </c>
      <c r="E493" s="32" t="n">
        <f aca="false">IFERROR(INDEX(Cohort_Survival!$G$5:$G$65,MATCH(C493,Cohort_Survival!$A$5:$A$65,0)),1)</f>
        <v>0.122022072077009</v>
      </c>
      <c r="F493" s="30" t="n">
        <f aca="false">1-(1-MIN(1,E493))^(1/12)</f>
        <v>0.0107858959422681</v>
      </c>
      <c r="G493" s="39" t="n">
        <f aca="false">IF(C493&lt;Assumptions!$B$5,IF(D493=1,Assumptions!$B$16,IF(D493=2,Assumptions!$B$17,IF(D493&lt;=5,Assumptions!$B$18,Assumptions!$B$19)))*(1-Assumptions!$B$20),0)</f>
        <v>0</v>
      </c>
      <c r="H493" s="30" t="n">
        <f aca="false">1-(1-G493)^(1/12)</f>
        <v>0</v>
      </c>
      <c r="I493" s="30" t="n">
        <f aca="false">I492*(1-F492)*(1-H492)</f>
        <v>0.0207656322806247</v>
      </c>
      <c r="J493" s="30" t="n">
        <f aca="false">INDEX(Discount_Monthly!$G$4:$G$664,MATCH(A493,Discount_Monthly!$A$4:$A$664,0))</f>
        <v>0.279016116112166</v>
      </c>
      <c r="K493" s="30" t="n">
        <f aca="false">IF(C493&lt;Assumptions!$B$5,I493*J493,0)</f>
        <v>0</v>
      </c>
      <c r="L493" s="30" t="n">
        <f aca="false">IF(C493&lt;Assumptions!$B$5,I493*(1-F493)*H493*A493*J493,0)</f>
        <v>0</v>
      </c>
      <c r="M493" s="30" t="n">
        <f aca="false">IF(A493=0,Assumptions!$B$14*12*I493*J493,IF(AND(A493&gt;=12,C493&lt;Assumptions!$B$5),Assumptions!$B$15*I493*J493,0))</f>
        <v>0</v>
      </c>
      <c r="N493" s="47" t="n">
        <f aca="false">IF(C493&gt;=Assumptions!$B$5,I493*Assumptions!$B$9/12*(1+Assumptions!$B$10)^INT(A493/12)*J493,0)</f>
        <v>17.0576836346707</v>
      </c>
      <c r="O493" s="47" t="n">
        <f aca="false">I493*Assumptions!$B$12/12*(1+Assumptions!$B$11)^(INT(A493/12)+1)*J493</f>
        <v>0.106306952961722</v>
      </c>
      <c r="P493" s="47" t="n">
        <f aca="false">O493+Pricing_M!$B$13*M493+N493-Pricing_M!$B$13*K493</f>
        <v>17.1639905876324</v>
      </c>
      <c r="Q493" s="47" t="n">
        <f aca="false">IF(C493&lt;Assumptions!$B$5,Pricing_M!$B$13*K493-Pricing_M!$B$13*M493-O493,-(N493+O493))</f>
        <v>-17.1639905876324</v>
      </c>
      <c r="R493" s="32" t="n">
        <f aca="false">R492*(1-(1-(1-MIN(1,E492*(1-Assumptions!$B$21)))^(1/12)))*(1-H492)</f>
        <v>0.0457982574837566</v>
      </c>
      <c r="S493" s="47" t="n">
        <f aca="false">R493*(IF(C493&lt;Assumptions!$B$5,Assumptions!$B$12*(1+Assumptions!$B$11)^(INT(A493/12)+1)/12+Pricing_M!$B$13*IF(A493=0,Assumptions!$B$14*12,IF(A493&gt;=12,Assumptions!$B$15,0))-Pricing_M!$B$13,Assumptions!$B$9/12*(1+Assumptions!$B$10)^INT(A493/12)+Assumptions!$B$12*(1+Assumptions!$B$11)^(INT(A493/12)+1)/12))*J493</f>
        <v>37.8548964827147</v>
      </c>
      <c r="T493" s="32" t="n">
        <f aca="false">T492*(1-F492)*(1-(1-(1-MIN(1,G492*(1+Assumptions!$B$23)))^(1/12)))</f>
        <v>0.0188111471418725</v>
      </c>
      <c r="U493" s="47" t="n">
        <f aca="false">T493*(IF(C493&lt;Assumptions!$B$5,Assumptions!$B$12*(1+Assumptions!$B$11)^(INT(A493/12)+1)/12+Pricing_M!$B$13*IF(A493=0,Assumptions!$B$14*12,IF(A493&gt;=12,Assumptions!$B$15,0))-Pricing_M!$B$13,Assumptions!$B$9/12*(1+Assumptions!$B$10)^INT(A493/12)+Assumptions!$B$12*(1+Assumptions!$B$11)^(INT(A493/12)+1)/12))*J493</f>
        <v>15.5484960978975</v>
      </c>
      <c r="V493" s="32" t="n">
        <f aca="false">V492*(1-F492)*(1-(1-(1-MIN(1,G492*(1-Assumptions!$B$23)))^(1/12)))</f>
        <v>0.0229021568088718</v>
      </c>
      <c r="W493" s="47" t="n">
        <f aca="false">V493*(IF(C493&lt;Assumptions!$B$5,Assumptions!$B$12*(1+Assumptions!$B$11)^(INT(A493/12)+1)/12+Pricing_M!$B$13*IF(A493=0,Assumptions!$B$14*12,IF(A493&gt;=12,Assumptions!$B$15,0))-Pricing_M!$B$13,Assumptions!$B$9/12*(1+Assumptions!$B$10)^INT(A493/12)+Assumptions!$B$12*(1+Assumptions!$B$11)^(INT(A493/12)+1)/12))*J493</f>
        <v>18.9299511130577</v>
      </c>
      <c r="X493" s="47" t="n">
        <f aca="false">I493*(IF(C493&lt;Assumptions!$B$5,Assumptions!$B$12*(1+Assumptions!$B$11)*(1+Assumptions!$B$24)*(1+Assumptions!$B$11+Assumptions!$B$25)^(INT(A493/12))/12+Pricing_M!$B$13*IF(A493=0,Assumptions!$B$14*12,IF(A493&gt;=12,Assumptions!$B$15,0))-Pricing_M!$B$13,Assumptions!$B$9/12*(1+Assumptions!$B$10)^INT(A493/12)+Assumptions!$B$12*(1+Assumptions!$B$11)*(1+Assumptions!$B$24)*(1+Assumptions!$B$11+Assumptions!$B$25)^(INT(A493/12))/12))*J493</f>
        <v>17.2301139933149</v>
      </c>
    </row>
    <row r="494" customFormat="false" ht="15" hidden="false" customHeight="true" outlineLevel="0" collapsed="false">
      <c r="A494" s="1" t="n">
        <v>487</v>
      </c>
      <c r="B494" s="31" t="n">
        <f aca="false">Assumptions!$B$4+A494/12</f>
        <v>105.583333333333</v>
      </c>
      <c r="C494" s="34" t="n">
        <f aca="false">Assumptions!$B$4+INT(A494/12)</f>
        <v>105</v>
      </c>
      <c r="D494" s="34" t="n">
        <f aca="false">INT(A494/12)+1</f>
        <v>41</v>
      </c>
      <c r="E494" s="32" t="n">
        <f aca="false">IFERROR(INDEX(Cohort_Survival!$G$5:$G$65,MATCH(C494,Cohort_Survival!$A$5:$A$65,0)),1)</f>
        <v>0.122022072077009</v>
      </c>
      <c r="F494" s="30" t="n">
        <f aca="false">1-(1-MIN(1,E494))^(1/12)</f>
        <v>0.0107858959422681</v>
      </c>
      <c r="G494" s="39" t="n">
        <f aca="false">IF(C494&lt;Assumptions!$B$5,IF(D494=1,Assumptions!$B$16,IF(D494=2,Assumptions!$B$17,IF(D494&lt;=5,Assumptions!$B$18,Assumptions!$B$19)))*(1-Assumptions!$B$20),0)</f>
        <v>0</v>
      </c>
      <c r="H494" s="30" t="n">
        <f aca="false">1-(1-G494)^(1/12)</f>
        <v>0</v>
      </c>
      <c r="I494" s="30" t="n">
        <f aca="false">I493*(1-F493)*(1-H493)</f>
        <v>0.0205416563316704</v>
      </c>
      <c r="J494" s="30" t="n">
        <f aca="false">INDEX(Discount_Monthly!$G$4:$G$664,MATCH(A494,Discount_Monthly!$A$4:$A$664,0))</f>
        <v>0.27826603997264</v>
      </c>
      <c r="K494" s="30" t="n">
        <f aca="false">IF(C494&lt;Assumptions!$B$5,I494*J494,0)</f>
        <v>0</v>
      </c>
      <c r="L494" s="30" t="n">
        <f aca="false">IF(C494&lt;Assumptions!$B$5,I494*(1-F494)*H494*A494*J494,0)</f>
        <v>0</v>
      </c>
      <c r="M494" s="30" t="n">
        <f aca="false">IF(A494=0,Assumptions!$B$14*12*I494*J494,IF(AND(A494&gt;=12,C494&lt;Assumptions!$B$5),Assumptions!$B$15*I494*J494,0))</f>
        <v>0</v>
      </c>
      <c r="N494" s="47" t="n">
        <f aca="false">IF(C494&gt;=Assumptions!$B$5,I494*Assumptions!$B$9/12*(1+Assumptions!$B$10)^INT(A494/12)*J494,0)</f>
        <v>16.8283398374415</v>
      </c>
      <c r="O494" s="47" t="n">
        <f aca="false">I494*Assumptions!$B$12/12*(1+Assumptions!$B$11)^(INT(A494/12)+1)*J494</f>
        <v>0.10487763578207</v>
      </c>
      <c r="P494" s="47" t="n">
        <f aca="false">O494+Pricing_M!$B$13*M494+N494-Pricing_M!$B$13*K494</f>
        <v>16.9332174732236</v>
      </c>
      <c r="Q494" s="47" t="n">
        <f aca="false">IF(C494&lt;Assumptions!$B$5,Pricing_M!$B$13*K494-Pricing_M!$B$13*M494-O494,-(N494+O494))</f>
        <v>-16.9332174732236</v>
      </c>
      <c r="R494" s="32" t="n">
        <f aca="false">R493*(1-(1-(1-MIN(1,E493*(1-Assumptions!$B$21)))^(1/12)))*(1-H493)</f>
        <v>0.0454079090050194</v>
      </c>
      <c r="S494" s="47" t="n">
        <f aca="false">R494*(IF(C494&lt;Assumptions!$B$5,Assumptions!$B$12*(1+Assumptions!$B$11)^(INT(A494/12)+1)/12+Pricing_M!$B$13*IF(A494=0,Assumptions!$B$14*12,IF(A494&gt;=12,Assumptions!$B$15,0))-Pricing_M!$B$13,Assumptions!$B$9/12*(1+Assumptions!$B$10)^INT(A494/12)+Assumptions!$B$12*(1+Assumptions!$B$11)^(INT(A494/12)+1)/12))*J494</f>
        <v>37.4313534299019</v>
      </c>
      <c r="T494" s="32" t="n">
        <f aca="false">T493*(1-F493)*(1-(1-(1-MIN(1,G493*(1+Assumptions!$B$23)))^(1/12)))</f>
        <v>0.0186082520662455</v>
      </c>
      <c r="U494" s="47" t="n">
        <f aca="false">T494*(IF(C494&lt;Assumptions!$B$5,Assumptions!$B$12*(1+Assumptions!$B$11)^(INT(A494/12)+1)/12+Pricing_M!$B$13*IF(A494=0,Assumptions!$B$14*12,IF(A494&gt;=12,Assumptions!$B$15,0))-Pricing_M!$B$13,Assumptions!$B$9/12*(1+Assumptions!$B$10)^INT(A494/12)+Assumptions!$B$12*(1+Assumptions!$B$11)^(INT(A494/12)+1)/12))*J494</f>
        <v>15.3394436138283</v>
      </c>
      <c r="V494" s="32" t="n">
        <f aca="false">V493*(1-F493)*(1-(1-(1-MIN(1,G493*(1-Assumptions!$B$23)))^(1/12)))</f>
        <v>0.0226551365286778</v>
      </c>
      <c r="W494" s="47" t="n">
        <f aca="false">V494*(IF(C494&lt;Assumptions!$B$5,Assumptions!$B$12*(1+Assumptions!$B$11)^(INT(A494/12)+1)/12+Pricing_M!$B$13*IF(A494=0,Assumptions!$B$14*12,IF(A494&gt;=12,Assumptions!$B$15,0))-Pricing_M!$B$13,Assumptions!$B$9/12*(1+Assumptions!$B$10)^INT(A494/12)+Assumptions!$B$12*(1+Assumptions!$B$11)^(INT(A494/12)+1)/12))*J494</f>
        <v>18.6754343238726</v>
      </c>
      <c r="X494" s="47" t="n">
        <f aca="false">I494*(IF(C494&lt;Assumptions!$B$5,Assumptions!$B$12*(1+Assumptions!$B$11)*(1+Assumptions!$B$24)*(1+Assumptions!$B$11+Assumptions!$B$25)^(INT(A494/12))/12+Pricing_M!$B$13*IF(A494=0,Assumptions!$B$14*12,IF(A494&gt;=12,Assumptions!$B$15,0))-Pricing_M!$B$13,Assumptions!$B$9/12*(1+Assumptions!$B$10)^INT(A494/12)+Assumptions!$B$12*(1+Assumptions!$B$11)*(1+Assumptions!$B$24)*(1+Assumptions!$B$11+Assumptions!$B$25)^(INT(A494/12))/12))*J494</f>
        <v>16.998451837154</v>
      </c>
    </row>
    <row r="495" customFormat="false" ht="15" hidden="false" customHeight="true" outlineLevel="0" collapsed="false">
      <c r="A495" s="1" t="n">
        <v>488</v>
      </c>
      <c r="B495" s="31" t="n">
        <f aca="false">Assumptions!$B$4+A495/12</f>
        <v>105.666666666667</v>
      </c>
      <c r="C495" s="34" t="n">
        <f aca="false">Assumptions!$B$4+INT(A495/12)</f>
        <v>105</v>
      </c>
      <c r="D495" s="34" t="n">
        <f aca="false">INT(A495/12)+1</f>
        <v>41</v>
      </c>
      <c r="E495" s="32" t="n">
        <f aca="false">IFERROR(INDEX(Cohort_Survival!$G$5:$G$65,MATCH(C495,Cohort_Survival!$A$5:$A$65,0)),1)</f>
        <v>0.122022072077009</v>
      </c>
      <c r="F495" s="30" t="n">
        <f aca="false">1-(1-MIN(1,E495))^(1/12)</f>
        <v>0.0107858959422681</v>
      </c>
      <c r="G495" s="39" t="n">
        <f aca="false">IF(C495&lt;Assumptions!$B$5,IF(D495=1,Assumptions!$B$16,IF(D495=2,Assumptions!$B$17,IF(D495&lt;=5,Assumptions!$B$18,Assumptions!$B$19)))*(1-Assumptions!$B$20),0)</f>
        <v>0</v>
      </c>
      <c r="H495" s="30" t="n">
        <f aca="false">1-(1-G495)^(1/12)</f>
        <v>0</v>
      </c>
      <c r="I495" s="30" t="n">
        <f aca="false">I494*(1-F494)*(1-H494)</f>
        <v>0.0203200961639952</v>
      </c>
      <c r="J495" s="30" t="n">
        <f aca="false">INDEX(Discount_Monthly!$G$4:$G$664,MATCH(A495,Discount_Monthly!$A$4:$A$664,0))</f>
        <v>0.277517980255043</v>
      </c>
      <c r="K495" s="30" t="n">
        <f aca="false">IF(C495&lt;Assumptions!$B$5,I495*J495,0)</f>
        <v>0</v>
      </c>
      <c r="L495" s="30" t="n">
        <f aca="false">IF(C495&lt;Assumptions!$B$5,I495*(1-F495)*H495*A495*J495,0)</f>
        <v>0</v>
      </c>
      <c r="M495" s="30" t="n">
        <f aca="false">IF(A495=0,Assumptions!$B$14*12*I495*J495,IF(AND(A495&gt;=12,C495&lt;Assumptions!$B$5),Assumptions!$B$15*I495*J495,0))</f>
        <v>0</v>
      </c>
      <c r="N495" s="47" t="n">
        <f aca="false">IF(C495&gt;=Assumptions!$B$5,I495*Assumptions!$B$9/12*(1+Assumptions!$B$10)^INT(A495/12)*J495,0)</f>
        <v>16.6020796111387</v>
      </c>
      <c r="O495" s="47" t="n">
        <f aca="false">I495*Assumptions!$B$12/12*(1+Assumptions!$B$11)^(INT(A495/12)+1)*J495</f>
        <v>0.103467536043452</v>
      </c>
      <c r="P495" s="47" t="n">
        <f aca="false">O495+Pricing_M!$B$13*M495+N495-Pricing_M!$B$13*K495</f>
        <v>16.7055471471821</v>
      </c>
      <c r="Q495" s="47" t="n">
        <f aca="false">IF(C495&lt;Assumptions!$B$5,Pricing_M!$B$13*K495-Pricing_M!$B$13*M495-O495,-(N495+O495))</f>
        <v>-16.7055471471821</v>
      </c>
      <c r="R495" s="32" t="n">
        <f aca="false">R494*(1-(1-(1-MIN(1,E494*(1-Assumptions!$B$21)))^(1/12)))*(1-H494)</f>
        <v>0.0450208875510037</v>
      </c>
      <c r="S495" s="47" t="n">
        <f aca="false">R495*(IF(C495&lt;Assumptions!$B$5,Assumptions!$B$12*(1+Assumptions!$B$11)^(INT(A495/12)+1)/12+Pricing_M!$B$13*IF(A495=0,Assumptions!$B$14*12,IF(A495&gt;=12,Assumptions!$B$15,0))-Pricing_M!$B$13,Assumptions!$B$9/12*(1+Assumptions!$B$10)^INT(A495/12)+Assumptions!$B$12*(1+Assumptions!$B$11)^(INT(A495/12)+1)/12))*J495</f>
        <v>37.0125492281826</v>
      </c>
      <c r="T495" s="32" t="n">
        <f aca="false">T494*(1-F494)*(1-(1-(1-MIN(1,G494*(1+Assumptions!$B$23)))^(1/12)))</f>
        <v>0.0184075453957915</v>
      </c>
      <c r="U495" s="47" t="n">
        <f aca="false">T495*(IF(C495&lt;Assumptions!$B$5,Assumptions!$B$12*(1+Assumptions!$B$11)^(INT(A495/12)+1)/12+Pricing_M!$B$13*IF(A495=0,Assumptions!$B$14*12,IF(A495&gt;=12,Assumptions!$B$15,0))-Pricing_M!$B$13,Assumptions!$B$9/12*(1+Assumptions!$B$10)^INT(A495/12)+Assumptions!$B$12*(1+Assumptions!$B$11)^(INT(A495/12)+1)/12))*J495</f>
        <v>15.1332018801249</v>
      </c>
      <c r="V495" s="32" t="n">
        <f aca="false">V494*(1-F494)*(1-(1-(1-MIN(1,G494*(1-Assumptions!$B$23)))^(1/12)))</f>
        <v>0.0224107805835216</v>
      </c>
      <c r="W495" s="47" t="n">
        <f aca="false">V495*(IF(C495&lt;Assumptions!$B$5,Assumptions!$B$12*(1+Assumptions!$B$11)^(INT(A495/12)+1)/12+Pricing_M!$B$13*IF(A495=0,Assumptions!$B$14*12,IF(A495&gt;=12,Assumptions!$B$15,0))-Pricing_M!$B$13,Assumptions!$B$9/12*(1+Assumptions!$B$10)^INT(A495/12)+Assumptions!$B$12*(1+Assumptions!$B$11)^(INT(A495/12)+1)/12))*J495</f>
        <v>18.4243395612733</v>
      </c>
      <c r="X495" s="47" t="n">
        <f aca="false">I495*(IF(C495&lt;Assumptions!$B$5,Assumptions!$B$12*(1+Assumptions!$B$11)*(1+Assumptions!$B$24)*(1+Assumptions!$B$11+Assumptions!$B$25)^(INT(A495/12))/12+Pricing_M!$B$13*IF(A495=0,Assumptions!$B$14*12,IF(A495&gt;=12,Assumptions!$B$15,0))-Pricing_M!$B$13,Assumptions!$B$9/12*(1+Assumptions!$B$10)^INT(A495/12)+Assumptions!$B$12*(1+Assumptions!$B$11)*(1+Assumptions!$B$24)*(1+Assumptions!$B$11+Assumptions!$B$25)^(INT(A495/12))/12))*J495</f>
        <v>16.7699044226957</v>
      </c>
    </row>
    <row r="496" customFormat="false" ht="15" hidden="false" customHeight="true" outlineLevel="0" collapsed="false">
      <c r="A496" s="1" t="n">
        <v>489</v>
      </c>
      <c r="B496" s="31" t="n">
        <f aca="false">Assumptions!$B$4+A496/12</f>
        <v>105.75</v>
      </c>
      <c r="C496" s="34" t="n">
        <f aca="false">Assumptions!$B$4+INT(A496/12)</f>
        <v>105</v>
      </c>
      <c r="D496" s="34" t="n">
        <f aca="false">INT(A496/12)+1</f>
        <v>41</v>
      </c>
      <c r="E496" s="32" t="n">
        <f aca="false">IFERROR(INDEX(Cohort_Survival!$G$5:$G$65,MATCH(C496,Cohort_Survival!$A$5:$A$65,0)),1)</f>
        <v>0.122022072077009</v>
      </c>
      <c r="F496" s="30" t="n">
        <f aca="false">1-(1-MIN(1,E496))^(1/12)</f>
        <v>0.0107858959422681</v>
      </c>
      <c r="G496" s="39" t="n">
        <f aca="false">IF(C496&lt;Assumptions!$B$5,IF(D496=1,Assumptions!$B$16,IF(D496=2,Assumptions!$B$17,IF(D496&lt;=5,Assumptions!$B$18,Assumptions!$B$19)))*(1-Assumptions!$B$20),0)</f>
        <v>0</v>
      </c>
      <c r="H496" s="30" t="n">
        <f aca="false">1-(1-G496)^(1/12)</f>
        <v>0</v>
      </c>
      <c r="I496" s="30" t="n">
        <f aca="false">I495*(1-F495)*(1-H495)</f>
        <v>0.0201009257212335</v>
      </c>
      <c r="J496" s="30" t="n">
        <f aca="false">INDEX(Discount_Monthly!$G$4:$G$664,MATCH(A496,Discount_Monthly!$A$4:$A$664,0))</f>
        <v>0.276771931538649</v>
      </c>
      <c r="K496" s="30" t="n">
        <f aca="false">IF(C496&lt;Assumptions!$B$5,I496*J496,0)</f>
        <v>0</v>
      </c>
      <c r="L496" s="30" t="n">
        <f aca="false">IF(C496&lt;Assumptions!$B$5,I496*(1-F496)*H496*A496*J496,0)</f>
        <v>0</v>
      </c>
      <c r="M496" s="30" t="n">
        <f aca="false">IF(A496=0,Assumptions!$B$14*12*I496*J496,IF(AND(A496&gt;=12,C496&lt;Assumptions!$B$5),Assumptions!$B$15*I496*J496,0))</f>
        <v>0</v>
      </c>
      <c r="N496" s="47" t="n">
        <f aca="false">IF(C496&gt;=Assumptions!$B$5,I496*Assumptions!$B$9/12*(1+Assumptions!$B$10)^INT(A496/12)*J496,0)</f>
        <v>16.3788614965653</v>
      </c>
      <c r="O496" s="47" t="n">
        <f aca="false">I496*Assumptions!$B$12/12*(1+Assumptions!$B$11)^(INT(A496/12)+1)*J496</f>
        <v>0.102076395363722</v>
      </c>
      <c r="P496" s="47" t="n">
        <f aca="false">O496+Pricing_M!$B$13*M496+N496-Pricing_M!$B$13*K496</f>
        <v>16.480937891929</v>
      </c>
      <c r="Q496" s="47" t="n">
        <f aca="false">IF(C496&lt;Assumptions!$B$5,Pricing_M!$B$13*K496-Pricing_M!$B$13*M496-O496,-(N496+O496))</f>
        <v>-16.480937891929</v>
      </c>
      <c r="R496" s="32" t="n">
        <f aca="false">R495*(1-(1-(1-MIN(1,E495*(1-Assumptions!$B$21)))^(1/12)))*(1-H495)</f>
        <v>0.0446371647647565</v>
      </c>
      <c r="S496" s="47" t="n">
        <f aca="false">R496*(IF(C496&lt;Assumptions!$B$5,Assumptions!$B$12*(1+Assumptions!$B$11)^(INT(A496/12)+1)/12+Pricing_M!$B$13*IF(A496=0,Assumptions!$B$14*12,IF(A496&gt;=12,Assumptions!$B$15,0))-Pricing_M!$B$13,Assumptions!$B$9/12*(1+Assumptions!$B$10)^INT(A496/12)+Assumptions!$B$12*(1+Assumptions!$B$11)^(INT(A496/12)+1)/12))*J496</f>
        <v>36.5984308564775</v>
      </c>
      <c r="T496" s="32" t="n">
        <f aca="false">T495*(1-F495)*(1-(1-(1-MIN(1,G495*(1+Assumptions!$B$23)))^(1/12)))</f>
        <v>0.0182090035265999</v>
      </c>
      <c r="U496" s="47" t="n">
        <f aca="false">T496*(IF(C496&lt;Assumptions!$B$5,Assumptions!$B$12*(1+Assumptions!$B$11)^(INT(A496/12)+1)/12+Pricing_M!$B$13*IF(A496=0,Assumptions!$B$14*12,IF(A496&gt;=12,Assumptions!$B$15,0))-Pricing_M!$B$13,Assumptions!$B$9/12*(1+Assumptions!$B$10)^INT(A496/12)+Assumptions!$B$12*(1+Assumptions!$B$11)^(INT(A496/12)+1)/12))*J496</f>
        <v>14.9297331057146</v>
      </c>
      <c r="V496" s="32" t="n">
        <f aca="false">V495*(1-F495)*(1-(1-(1-MIN(1,G495*(1-Assumptions!$B$23)))^(1/12)))</f>
        <v>0.0221690602361628</v>
      </c>
      <c r="W496" s="47" t="n">
        <f aca="false">V496*(IF(C496&lt;Assumptions!$B$5,Assumptions!$B$12*(1+Assumptions!$B$11)^(INT(A496/12)+1)/12+Pricing_M!$B$13*IF(A496=0,Assumptions!$B$14*12,IF(A496&gt;=12,Assumptions!$B$15,0))-Pricing_M!$B$13,Assumptions!$B$9/12*(1+Assumptions!$B$10)^INT(A496/12)+Assumptions!$B$12*(1+Assumptions!$B$11)^(INT(A496/12)+1)/12))*J496</f>
        <v>18.1766208154622</v>
      </c>
      <c r="X496" s="47" t="n">
        <f aca="false">I496*(IF(C496&lt;Assumptions!$B$5,Assumptions!$B$12*(1+Assumptions!$B$11)*(1+Assumptions!$B$24)*(1+Assumptions!$B$11+Assumptions!$B$25)^(INT(A496/12))/12+Pricing_M!$B$13*IF(A496=0,Assumptions!$B$14*12,IF(A496&gt;=12,Assumptions!$B$15,0))-Pricing_M!$B$13,Assumptions!$B$9/12*(1+Assumptions!$B$10)^INT(A496/12)+Assumptions!$B$12*(1+Assumptions!$B$11)*(1+Assumptions!$B$24)*(1+Assumptions!$B$11+Assumptions!$B$25)^(INT(A496/12))/12))*J496</f>
        <v>16.5444298716462</v>
      </c>
    </row>
    <row r="497" customFormat="false" ht="15" hidden="false" customHeight="true" outlineLevel="0" collapsed="false">
      <c r="A497" s="1" t="n">
        <v>490</v>
      </c>
      <c r="B497" s="31" t="n">
        <f aca="false">Assumptions!$B$4+A497/12</f>
        <v>105.833333333333</v>
      </c>
      <c r="C497" s="34" t="n">
        <f aca="false">Assumptions!$B$4+INT(A497/12)</f>
        <v>105</v>
      </c>
      <c r="D497" s="34" t="n">
        <f aca="false">INT(A497/12)+1</f>
        <v>41</v>
      </c>
      <c r="E497" s="32" t="n">
        <f aca="false">IFERROR(INDEX(Cohort_Survival!$G$5:$G$65,MATCH(C497,Cohort_Survival!$A$5:$A$65,0)),1)</f>
        <v>0.122022072077009</v>
      </c>
      <c r="F497" s="30" t="n">
        <f aca="false">1-(1-MIN(1,E497))^(1/12)</f>
        <v>0.0107858959422681</v>
      </c>
      <c r="G497" s="39" t="n">
        <f aca="false">IF(C497&lt;Assumptions!$B$5,IF(D497=1,Assumptions!$B$16,IF(D497=2,Assumptions!$B$17,IF(D497&lt;=5,Assumptions!$B$18,Assumptions!$B$19)))*(1-Assumptions!$B$20),0)</f>
        <v>0</v>
      </c>
      <c r="H497" s="30" t="n">
        <f aca="false">1-(1-G497)^(1/12)</f>
        <v>0</v>
      </c>
      <c r="I497" s="30" t="n">
        <f aca="false">I496*(1-F496)*(1-H496)</f>
        <v>0.019884119228061</v>
      </c>
      <c r="J497" s="30" t="n">
        <f aca="false">INDEX(Discount_Monthly!$G$4:$G$664,MATCH(A497,Discount_Monthly!$A$4:$A$664,0))</f>
        <v>0.276027888417304</v>
      </c>
      <c r="K497" s="30" t="n">
        <f aca="false">IF(C497&lt;Assumptions!$B$5,I497*J497,0)</f>
        <v>0</v>
      </c>
      <c r="L497" s="30" t="n">
        <f aca="false">IF(C497&lt;Assumptions!$B$5,I497*(1-F497)*H497*A497*J497,0)</f>
        <v>0</v>
      </c>
      <c r="M497" s="30" t="n">
        <f aca="false">IF(A497=0,Assumptions!$B$14*12*I497*J497,IF(AND(A497&gt;=12,C497&lt;Assumptions!$B$5),Assumptions!$B$15*I497*J497,0))</f>
        <v>0</v>
      </c>
      <c r="N497" s="47" t="n">
        <f aca="false">IF(C497&gt;=Assumptions!$B$5,I497*Assumptions!$B$9/12*(1+Assumptions!$B$10)^INT(A497/12)*J497,0)</f>
        <v>16.1586445919512</v>
      </c>
      <c r="O497" s="47" t="n">
        <f aca="false">I497*Assumptions!$B$12/12*(1+Assumptions!$B$11)^(INT(A497/12)+1)*J497</f>
        <v>0.100703958834731</v>
      </c>
      <c r="P497" s="47" t="n">
        <f aca="false">O497+Pricing_M!$B$13*M497+N497-Pricing_M!$B$13*K497</f>
        <v>16.2593485507859</v>
      </c>
      <c r="Q497" s="47" t="n">
        <f aca="false">IF(C497&lt;Assumptions!$B$5,Pricing_M!$B$13*K497-Pricing_M!$B$13*M497-O497,-(N497+O497))</f>
        <v>-16.2593485507859</v>
      </c>
      <c r="R497" s="32" t="n">
        <f aca="false">R496*(1-(1-(1-MIN(1,E496*(1-Assumptions!$B$21)))^(1/12)))*(1-H496)</f>
        <v>0.0442567125310171</v>
      </c>
      <c r="S497" s="47" t="n">
        <f aca="false">R497*(IF(C497&lt;Assumptions!$B$5,Assumptions!$B$12*(1+Assumptions!$B$11)^(INT(A497/12)+1)/12+Pricing_M!$B$13*IF(A497=0,Assumptions!$B$14*12,IF(A497&gt;=12,Assumptions!$B$15,0))-Pricing_M!$B$13,Assumptions!$B$9/12*(1+Assumptions!$B$10)^INT(A497/12)+Assumptions!$B$12*(1+Assumptions!$B$11)^(INT(A497/12)+1)/12))*J497</f>
        <v>36.188945886939</v>
      </c>
      <c r="T497" s="32" t="n">
        <f aca="false">T496*(1-F496)*(1-(1-(1-MIN(1,G496*(1+Assumptions!$B$23)))^(1/12)))</f>
        <v>0.0180126031093496</v>
      </c>
      <c r="U497" s="47" t="n">
        <f aca="false">T497*(IF(C497&lt;Assumptions!$B$5,Assumptions!$B$12*(1+Assumptions!$B$11)^(INT(A497/12)+1)/12+Pricing_M!$B$13*IF(A497=0,Assumptions!$B$14*12,IF(A497&gt;=12,Assumptions!$B$15,0))-Pricing_M!$B$13,Assumptions!$B$9/12*(1+Assumptions!$B$10)^INT(A497/12)+Assumptions!$B$12*(1+Assumptions!$B$11)^(INT(A497/12)+1)/12))*J497</f>
        <v>14.729000007633</v>
      </c>
      <c r="V497" s="32" t="n">
        <f aca="false">V496*(1-F496)*(1-(1-(1-MIN(1,G496*(1-Assumptions!$B$23)))^(1/12)))</f>
        <v>0.0219299470593176</v>
      </c>
      <c r="W497" s="47" t="n">
        <f aca="false">V497*(IF(C497&lt;Assumptions!$B$5,Assumptions!$B$12*(1+Assumptions!$B$11)^(INT(A497/12)+1)/12+Pricing_M!$B$13*IF(A497=0,Assumptions!$B$14*12,IF(A497&gt;=12,Assumptions!$B$15,0))-Pricing_M!$B$13,Assumptions!$B$9/12*(1+Assumptions!$B$10)^INT(A497/12)+Assumptions!$B$12*(1+Assumptions!$B$11)^(INT(A497/12)+1)/12))*J497</f>
        <v>17.9322326952522</v>
      </c>
      <c r="X497" s="47" t="n">
        <f aca="false">I497*(IF(C497&lt;Assumptions!$B$5,Assumptions!$B$12*(1+Assumptions!$B$11)*(1+Assumptions!$B$24)*(1+Assumptions!$B$11+Assumptions!$B$25)^(INT(A497/12))/12+Pricing_M!$B$13*IF(A497=0,Assumptions!$B$14*12,IF(A497&gt;=12,Assumptions!$B$15,0))-Pricing_M!$B$13,Assumptions!$B$9/12*(1+Assumptions!$B$10)^INT(A497/12)+Assumptions!$B$12*(1+Assumptions!$B$11)*(1+Assumptions!$B$24)*(1+Assumptions!$B$11+Assumptions!$B$25)^(INT(A497/12))/12))*J497</f>
        <v>16.3219868687731</v>
      </c>
    </row>
    <row r="498" customFormat="false" ht="15" hidden="false" customHeight="true" outlineLevel="0" collapsed="false">
      <c r="A498" s="1" t="n">
        <v>491</v>
      </c>
      <c r="B498" s="31" t="n">
        <f aca="false">Assumptions!$B$4+A498/12</f>
        <v>105.916666666667</v>
      </c>
      <c r="C498" s="34" t="n">
        <f aca="false">Assumptions!$B$4+INT(A498/12)</f>
        <v>105</v>
      </c>
      <c r="D498" s="34" t="n">
        <f aca="false">INT(A498/12)+1</f>
        <v>41</v>
      </c>
      <c r="E498" s="32" t="n">
        <f aca="false">IFERROR(INDEX(Cohort_Survival!$G$5:$G$65,MATCH(C498,Cohort_Survival!$A$5:$A$65,0)),1)</f>
        <v>0.122022072077009</v>
      </c>
      <c r="F498" s="30" t="n">
        <f aca="false">1-(1-MIN(1,E498))^(1/12)</f>
        <v>0.0107858959422681</v>
      </c>
      <c r="G498" s="39" t="n">
        <f aca="false">IF(C498&lt;Assumptions!$B$5,IF(D498=1,Assumptions!$B$16,IF(D498=2,Assumptions!$B$17,IF(D498&lt;=5,Assumptions!$B$18,Assumptions!$B$19)))*(1-Assumptions!$B$20),0)</f>
        <v>0</v>
      </c>
      <c r="H498" s="30" t="n">
        <f aca="false">1-(1-G498)^(1/12)</f>
        <v>0</v>
      </c>
      <c r="I498" s="30" t="n">
        <f aca="false">I497*(1-F497)*(1-H497)</f>
        <v>0.0196696511871635</v>
      </c>
      <c r="J498" s="30" t="n">
        <f aca="false">INDEX(Discount_Monthly!$G$4:$G$664,MATCH(A498,Discount_Monthly!$A$4:$A$664,0))</f>
        <v>0.275285845499388</v>
      </c>
      <c r="K498" s="30" t="n">
        <f aca="false">IF(C498&lt;Assumptions!$B$5,I498*J498,0)</f>
        <v>0</v>
      </c>
      <c r="L498" s="30" t="n">
        <f aca="false">IF(C498&lt;Assumptions!$B$5,I498*(1-F498)*H498*A498*J498,0)</f>
        <v>0</v>
      </c>
      <c r="M498" s="30" t="n">
        <f aca="false">IF(A498=0,Assumptions!$B$14*12*I498*J498,IF(AND(A498&gt;=12,C498&lt;Assumptions!$B$5),Assumptions!$B$15*I498*J498,0))</f>
        <v>0</v>
      </c>
      <c r="N498" s="47" t="n">
        <f aca="false">IF(C498&gt;=Assumptions!$B$5,I498*Assumptions!$B$9/12*(1+Assumptions!$B$10)^INT(A498/12)*J498,0)</f>
        <v>15.9413885454583</v>
      </c>
      <c r="O498" s="47" t="n">
        <f aca="false">I498*Assumptions!$B$12/12*(1+Assumptions!$B$11)^(INT(A498/12)+1)*J498</f>
        <v>0.09934997497562</v>
      </c>
      <c r="P498" s="47" t="n">
        <f aca="false">O498+Pricing_M!$B$13*M498+N498-Pricing_M!$B$13*K498</f>
        <v>16.0407385204339</v>
      </c>
      <c r="Q498" s="47" t="n">
        <f aca="false">IF(C498&lt;Assumptions!$B$5,Pricing_M!$B$13*K498-Pricing_M!$B$13*M498-O498,-(N498+O498))</f>
        <v>-16.0407385204339</v>
      </c>
      <c r="R498" s="32" t="n">
        <f aca="false">R497*(1-(1-(1-MIN(1,E497*(1-Assumptions!$B$21)))^(1/12)))*(1-H497)</f>
        <v>0.0438795029741574</v>
      </c>
      <c r="S498" s="47" t="n">
        <f aca="false">R498*(IF(C498&lt;Assumptions!$B$5,Assumptions!$B$12*(1+Assumptions!$B$11)^(INT(A498/12)+1)/12+Pricing_M!$B$13*IF(A498=0,Assumptions!$B$14*12,IF(A498&gt;=12,Assumptions!$B$15,0))-Pricing_M!$B$13,Assumptions!$B$9/12*(1+Assumptions!$B$10)^INT(A498/12)+Assumptions!$B$12*(1+Assumptions!$B$11)^(INT(A498/12)+1)/12))*J498</f>
        <v>35.7840424783132</v>
      </c>
      <c r="T498" s="32" t="n">
        <f aca="false">T497*(1-F497)*(1-(1-(1-MIN(1,G497*(1+Assumptions!$B$23)))^(1/12)))</f>
        <v>0.0178183210465628</v>
      </c>
      <c r="U498" s="47" t="n">
        <f aca="false">T498*(IF(C498&lt;Assumptions!$B$5,Assumptions!$B$12*(1+Assumptions!$B$11)^(INT(A498/12)+1)/12+Pricing_M!$B$13*IF(A498=0,Assumptions!$B$14*12,IF(A498&gt;=12,Assumptions!$B$15,0))-Pricing_M!$B$13,Assumptions!$B$9/12*(1+Assumptions!$B$10)^INT(A498/12)+Assumptions!$B$12*(1+Assumptions!$B$11)^(INT(A498/12)+1)/12))*J498</f>
        <v>14.5309658041921</v>
      </c>
      <c r="V498" s="32" t="n">
        <f aca="false">V497*(1-F497)*(1-(1-(1-MIN(1,G497*(1-Assumptions!$B$23)))^(1/12)))</f>
        <v>0.0216934129323164</v>
      </c>
      <c r="W498" s="47" t="n">
        <f aca="false">V498*(IF(C498&lt;Assumptions!$B$5,Assumptions!$B$12*(1+Assumptions!$B$11)^(INT(A498/12)+1)/12+Pricing_M!$B$13*IF(A498=0,Assumptions!$B$14*12,IF(A498&gt;=12,Assumptions!$B$15,0))-Pricing_M!$B$13,Assumptions!$B$9/12*(1+Assumptions!$B$10)^INT(A498/12)+Assumptions!$B$12*(1+Assumptions!$B$11)^(INT(A498/12)+1)/12))*J498</f>
        <v>17.6911304197494</v>
      </c>
      <c r="X498" s="47" t="n">
        <f aca="false">I498*(IF(C498&lt;Assumptions!$B$5,Assumptions!$B$12*(1+Assumptions!$B$11)*(1+Assumptions!$B$24)*(1+Assumptions!$B$11+Assumptions!$B$25)^(INT(A498/12))/12+Pricing_M!$B$13*IF(A498=0,Assumptions!$B$14*12,IF(A498&gt;=12,Assumptions!$B$15,0))-Pricing_M!$B$13,Assumptions!$B$9/12*(1+Assumptions!$B$10)^INT(A498/12)+Assumptions!$B$12*(1+Assumptions!$B$11)*(1+Assumptions!$B$24)*(1+Assumptions!$B$11+Assumptions!$B$25)^(INT(A498/12))/12))*J498</f>
        <v>16.1025346543352</v>
      </c>
    </row>
    <row r="499" customFormat="false" ht="15" hidden="false" customHeight="true" outlineLevel="0" collapsed="false">
      <c r="A499" s="1" t="n">
        <v>492</v>
      </c>
      <c r="B499" s="31" t="n">
        <f aca="false">Assumptions!$B$4+A499/12</f>
        <v>106</v>
      </c>
      <c r="C499" s="34" t="n">
        <f aca="false">Assumptions!$B$4+INT(A499/12)</f>
        <v>106</v>
      </c>
      <c r="D499" s="34" t="n">
        <f aca="false">INT(A499/12)+1</f>
        <v>42</v>
      </c>
      <c r="E499" s="32" t="n">
        <f aca="false">IFERROR(INDEX(Cohort_Survival!$G$5:$G$65,MATCH(C499,Cohort_Survival!$A$5:$A$65,0)),1)</f>
        <v>0.334050814483618</v>
      </c>
      <c r="F499" s="30" t="n">
        <f aca="false">1-(1-MIN(1,E499))^(1/12)</f>
        <v>0.0333110424895741</v>
      </c>
      <c r="G499" s="39" t="n">
        <f aca="false">IF(C499&lt;Assumptions!$B$5,IF(D499=1,Assumptions!$B$16,IF(D499=2,Assumptions!$B$17,IF(D499&lt;=5,Assumptions!$B$18,Assumptions!$B$19)))*(1-Assumptions!$B$20),0)</f>
        <v>0</v>
      </c>
      <c r="H499" s="30" t="n">
        <f aca="false">1-(1-G499)^(1/12)</f>
        <v>0</v>
      </c>
      <c r="I499" s="30" t="n">
        <f aca="false">I498*(1-F498)*(1-H498)</f>
        <v>0.019457496376238</v>
      </c>
      <c r="J499" s="30" t="n">
        <f aca="false">INDEX(Discount_Monthly!$G$4:$G$664,MATCH(A499,Discount_Monthly!$A$4:$A$664,0))</f>
        <v>0.274545797407774</v>
      </c>
      <c r="K499" s="30" t="n">
        <f aca="false">IF(C499&lt;Assumptions!$B$5,I499*J499,0)</f>
        <v>0</v>
      </c>
      <c r="L499" s="30" t="n">
        <f aca="false">IF(C499&lt;Assumptions!$B$5,I499*(1-F499)*H499*A499*J499,0)</f>
        <v>0</v>
      </c>
      <c r="M499" s="30" t="n">
        <f aca="false">IF(A499=0,Assumptions!$B$14*12*I499*J499,IF(AND(A499&gt;=12,C499&lt;Assumptions!$B$5),Assumptions!$B$15*I499*J499,0))</f>
        <v>0</v>
      </c>
      <c r="N499" s="47" t="n">
        <f aca="false">IF(C499&gt;=Assumptions!$B$5,I499*Assumptions!$B$9/12*(1+Assumptions!$B$10)^INT(A499/12)*J499,0)</f>
        <v>16.0415946187423</v>
      </c>
      <c r="O499" s="47" t="n">
        <f aca="false">I499*Assumptions!$B$12/12*(1+Assumptions!$B$11)^(INT(A499/12)+1)*J499</f>
        <v>0.100464550578904</v>
      </c>
      <c r="P499" s="47" t="n">
        <f aca="false">O499+Pricing_M!$B$13*M499+N499-Pricing_M!$B$13*K499</f>
        <v>16.1420591693212</v>
      </c>
      <c r="Q499" s="47" t="n">
        <f aca="false">IF(C499&lt;Assumptions!$B$5,Pricing_M!$B$13*K499-Pricing_M!$B$13*M499-O499,-(N499+O499))</f>
        <v>-16.1420591693212</v>
      </c>
      <c r="R499" s="32" t="n">
        <f aca="false">R498*(1-(1-(1-MIN(1,E498*(1-Assumptions!$B$21)))^(1/12)))*(1-H498)</f>
        <v>0.0435055084561393</v>
      </c>
      <c r="S499" s="47" t="n">
        <f aca="false">R499*(IF(C499&lt;Assumptions!$B$5,Assumptions!$B$12*(1+Assumptions!$B$11)^(INT(A499/12)+1)/12+Pricing_M!$B$13*IF(A499=0,Assumptions!$B$14*12,IF(A499&gt;=12,Assumptions!$B$15,0))-Pricing_M!$B$13,Assumptions!$B$9/12*(1+Assumptions!$B$10)^INT(A499/12)+Assumptions!$B$12*(1+Assumptions!$B$11)^(INT(A499/12)+1)/12))*J499</f>
        <v>36.0924385188649</v>
      </c>
      <c r="T499" s="32" t="n">
        <f aca="false">T498*(1-F498)*(1-(1-(1-MIN(1,G498*(1+Assumptions!$B$23)))^(1/12)))</f>
        <v>0.0176261344898887</v>
      </c>
      <c r="U499" s="47" t="n">
        <f aca="false">T499*(IF(C499&lt;Assumptions!$B$5,Assumptions!$B$12*(1+Assumptions!$B$11)^(INT(A499/12)+1)/12+Pricing_M!$B$13*IF(A499=0,Assumptions!$B$14*12,IF(A499&gt;=12,Assumptions!$B$15,0))-Pricing_M!$B$13,Assumptions!$B$9/12*(1+Assumptions!$B$10)^INT(A499/12)+Assumptions!$B$12*(1+Assumptions!$B$11)^(INT(A499/12)+1)/12))*J499</f>
        <v>14.622750037341</v>
      </c>
      <c r="V499" s="32" t="n">
        <f aca="false">V498*(1-F498)*(1-(1-(1-MIN(1,G498*(1-Assumptions!$B$23)))^(1/12)))</f>
        <v>0.0214594300377958</v>
      </c>
      <c r="W499" s="47" t="n">
        <f aca="false">V499*(IF(C499&lt;Assumptions!$B$5,Assumptions!$B$12*(1+Assumptions!$B$11)^(INT(A499/12)+1)/12+Pricing_M!$B$13*IF(A499=0,Assumptions!$B$14*12,IF(A499&gt;=12,Assumptions!$B$15,0))-Pricing_M!$B$13,Assumptions!$B$9/12*(1+Assumptions!$B$10)^INT(A499/12)+Assumptions!$B$12*(1+Assumptions!$B$11)^(INT(A499/12)+1)/12))*J499</f>
        <v>17.8028756995191</v>
      </c>
      <c r="X499" s="47" t="n">
        <f aca="false">I499*(IF(C499&lt;Assumptions!$B$5,Assumptions!$B$12*(1+Assumptions!$B$11)*(1+Assumptions!$B$24)*(1+Assumptions!$B$11+Assumptions!$B$25)^(INT(A499/12))/12+Pricing_M!$B$13*IF(A499=0,Assumptions!$B$14*12,IF(A499&gt;=12,Assumptions!$B$15,0))-Pricing_M!$B$13,Assumptions!$B$9/12*(1+Assumptions!$B$10)^INT(A499/12)+Assumptions!$B$12*(1+Assumptions!$B$11)*(1+Assumptions!$B$24)*(1+Assumptions!$B$11+Assumptions!$B$25)^(INT(A499/12))/12))*J499</f>
        <v>16.2061383689784</v>
      </c>
    </row>
    <row r="500" customFormat="false" ht="15" hidden="false" customHeight="true" outlineLevel="0" collapsed="false">
      <c r="A500" s="1" t="n">
        <v>493</v>
      </c>
      <c r="B500" s="31" t="n">
        <f aca="false">Assumptions!$B$4+A500/12</f>
        <v>106.083333333333</v>
      </c>
      <c r="C500" s="34" t="n">
        <f aca="false">Assumptions!$B$4+INT(A500/12)</f>
        <v>106</v>
      </c>
      <c r="D500" s="34" t="n">
        <f aca="false">INT(A500/12)+1</f>
        <v>42</v>
      </c>
      <c r="E500" s="32" t="n">
        <f aca="false">IFERROR(INDEX(Cohort_Survival!$G$5:$G$65,MATCH(C500,Cohort_Survival!$A$5:$A$65,0)),1)</f>
        <v>0.334050814483618</v>
      </c>
      <c r="F500" s="30" t="n">
        <f aca="false">1-(1-MIN(1,E500))^(1/12)</f>
        <v>0.0333110424895741</v>
      </c>
      <c r="G500" s="39" t="n">
        <f aca="false">IF(C500&lt;Assumptions!$B$5,IF(D500=1,Assumptions!$B$16,IF(D500=2,Assumptions!$B$17,IF(D500&lt;=5,Assumptions!$B$18,Assumptions!$B$19)))*(1-Assumptions!$B$20),0)</f>
        <v>0</v>
      </c>
      <c r="H500" s="30" t="n">
        <f aca="false">1-(1-G500)^(1/12)</f>
        <v>0</v>
      </c>
      <c r="I500" s="30" t="n">
        <f aca="false">I499*(1-F499)*(1-H499)</f>
        <v>0.0188093468877084</v>
      </c>
      <c r="J500" s="30" t="n">
        <f aca="false">INDEX(Discount_Monthly!$G$4:$G$664,MATCH(A500,Discount_Monthly!$A$4:$A$664,0))</f>
        <v>0.27381614060409</v>
      </c>
      <c r="K500" s="30" t="n">
        <f aca="false">IF(C500&lt;Assumptions!$B$5,I500*J500,0)</f>
        <v>0</v>
      </c>
      <c r="L500" s="30" t="n">
        <f aca="false">IF(C500&lt;Assumptions!$B$5,I500*(1-F500)*H500*A500*J500,0)</f>
        <v>0</v>
      </c>
      <c r="M500" s="30" t="n">
        <f aca="false">IF(A500=0,Assumptions!$B$14*12*I500*J500,IF(AND(A500&gt;=12,C500&lt;Assumptions!$B$5),Assumptions!$B$15*I500*J500,0))</f>
        <v>0</v>
      </c>
      <c r="N500" s="47" t="n">
        <f aca="false">IF(C500&gt;=Assumptions!$B$5,I500*Assumptions!$B$9/12*(1+Assumptions!$B$10)^INT(A500/12)*J500,0)</f>
        <v>15.4660190085019</v>
      </c>
      <c r="O500" s="47" t="n">
        <f aca="false">I500*Assumptions!$B$12/12*(1+Assumptions!$B$11)^(INT(A500/12)+1)*J500</f>
        <v>0.0968598624926321</v>
      </c>
      <c r="P500" s="47" t="n">
        <f aca="false">O500+Pricing_M!$B$13*M500+N500-Pricing_M!$B$13*K500</f>
        <v>15.5628788709945</v>
      </c>
      <c r="Q500" s="47" t="n">
        <f aca="false">IF(C500&lt;Assumptions!$B$5,Pricing_M!$B$13*K500-Pricing_M!$B$13*M500-O500,-(N500+O500))</f>
        <v>-15.5628788709945</v>
      </c>
      <c r="R500" s="32" t="n">
        <f aca="false">R499*(1-(1-(1-MIN(1,E499*(1-Assumptions!$B$21)))^(1/12)))*(1-H499)</f>
        <v>0.0423926952742965</v>
      </c>
      <c r="S500" s="47" t="n">
        <f aca="false">R500*(IF(C500&lt;Assumptions!$B$5,Assumptions!$B$12*(1+Assumptions!$B$11)^(INT(A500/12)+1)/12+Pricing_M!$B$13*IF(A500=0,Assumptions!$B$14*12,IF(A500&gt;=12,Assumptions!$B$15,0))-Pricing_M!$B$13,Assumptions!$B$9/12*(1+Assumptions!$B$10)^INT(A500/12)+Assumptions!$B$12*(1+Assumptions!$B$11)^(INT(A500/12)+1)/12))*J500</f>
        <v>35.0757729924156</v>
      </c>
      <c r="T500" s="32" t="n">
        <f aca="false">T499*(1-F499)*(1-(1-(1-MIN(1,G499*(1+Assumptions!$B$23)))^(1/12)))</f>
        <v>0.017038989574969</v>
      </c>
      <c r="U500" s="47" t="n">
        <f aca="false">T500*(IF(C500&lt;Assumptions!$B$5,Assumptions!$B$12*(1+Assumptions!$B$11)^(INT(A500/12)+1)/12+Pricing_M!$B$13*IF(A500=0,Assumptions!$B$14*12,IF(A500&gt;=12,Assumptions!$B$15,0))-Pricing_M!$B$13,Assumptions!$B$9/12*(1+Assumptions!$B$10)^INT(A500/12)+Assumptions!$B$12*(1+Assumptions!$B$11)^(INT(A500/12)+1)/12))*J500</f>
        <v>14.0980828533004</v>
      </c>
      <c r="V500" s="32" t="n">
        <f aca="false">V499*(1-F499)*(1-(1-(1-MIN(1,G499*(1-Assumptions!$B$23)))^(1/12)))</f>
        <v>0.0207445940520047</v>
      </c>
      <c r="W500" s="47" t="n">
        <f aca="false">V500*(IF(C500&lt;Assumptions!$B$5,Assumptions!$B$12*(1+Assumptions!$B$11)^(INT(A500/12)+1)/12+Pricing_M!$B$13*IF(A500=0,Assumptions!$B$14*12,IF(A500&gt;=12,Assumptions!$B$15,0))-Pricing_M!$B$13,Assumptions!$B$9/12*(1+Assumptions!$B$10)^INT(A500/12)+Assumptions!$B$12*(1+Assumptions!$B$11)^(INT(A500/12)+1)/12))*J500</f>
        <v>17.1641049732714</v>
      </c>
      <c r="X500" s="47" t="n">
        <f aca="false">I500*(IF(C500&lt;Assumptions!$B$5,Assumptions!$B$12*(1+Assumptions!$B$11)*(1+Assumptions!$B$24)*(1+Assumptions!$B$11+Assumptions!$B$25)^(INT(A500/12))/12+Pricing_M!$B$13*IF(A500=0,Assumptions!$B$14*12,IF(A500&gt;=12,Assumptions!$B$15,0))-Pricing_M!$B$13,Assumptions!$B$9/12*(1+Assumptions!$B$10)^INT(A500/12)+Assumptions!$B$12*(1+Assumptions!$B$11)*(1+Assumptions!$B$24)*(1+Assumptions!$B$11+Assumptions!$B$25)^(INT(A500/12))/12))*J500</f>
        <v>15.6246588962041</v>
      </c>
    </row>
    <row r="501" customFormat="false" ht="15" hidden="false" customHeight="true" outlineLevel="0" collapsed="false">
      <c r="A501" s="1" t="n">
        <v>494</v>
      </c>
      <c r="B501" s="31" t="n">
        <f aca="false">Assumptions!$B$4+A501/12</f>
        <v>106.166666666667</v>
      </c>
      <c r="C501" s="34" t="n">
        <f aca="false">Assumptions!$B$4+INT(A501/12)</f>
        <v>106</v>
      </c>
      <c r="D501" s="34" t="n">
        <f aca="false">INT(A501/12)+1</f>
        <v>42</v>
      </c>
      <c r="E501" s="32" t="n">
        <f aca="false">IFERROR(INDEX(Cohort_Survival!$G$5:$G$65,MATCH(C501,Cohort_Survival!$A$5:$A$65,0)),1)</f>
        <v>0.334050814483618</v>
      </c>
      <c r="F501" s="30" t="n">
        <f aca="false">1-(1-MIN(1,E501))^(1/12)</f>
        <v>0.0333110424895741</v>
      </c>
      <c r="G501" s="39" t="n">
        <f aca="false">IF(C501&lt;Assumptions!$B$5,IF(D501=1,Assumptions!$B$16,IF(D501=2,Assumptions!$B$17,IF(D501&lt;=5,Assumptions!$B$18,Assumptions!$B$19)))*(1-Assumptions!$B$20),0)</f>
        <v>0</v>
      </c>
      <c r="H501" s="30" t="n">
        <f aca="false">1-(1-G501)^(1/12)</f>
        <v>0</v>
      </c>
      <c r="I501" s="30" t="n">
        <f aca="false">I500*(1-F500)*(1-H500)</f>
        <v>0.0181827879343308</v>
      </c>
      <c r="J501" s="30" t="n">
        <f aca="false">INDEX(Discount_Monthly!$G$4:$G$664,MATCH(A501,Discount_Monthly!$A$4:$A$664,0))</f>
        <v>0.273088422999826</v>
      </c>
      <c r="K501" s="30" t="n">
        <f aca="false">IF(C501&lt;Assumptions!$B$5,I501*J501,0)</f>
        <v>0</v>
      </c>
      <c r="L501" s="30" t="n">
        <f aca="false">IF(C501&lt;Assumptions!$B$5,I501*(1-F501)*H501*A501*J501,0)</f>
        <v>0</v>
      </c>
      <c r="M501" s="30" t="n">
        <f aca="false">IF(A501=0,Assumptions!$B$14*12*I501*J501,IF(AND(A501&gt;=12,C501&lt;Assumptions!$B$5),Assumptions!$B$15*I501*J501,0))</f>
        <v>0</v>
      </c>
      <c r="N501" s="47" t="n">
        <f aca="false">IF(C501&gt;=Assumptions!$B$5,I501*Assumptions!$B$9/12*(1+Assumptions!$B$10)^INT(A501/12)*J501,0)</f>
        <v>14.9110951658056</v>
      </c>
      <c r="O501" s="47" t="n">
        <f aca="false">I501*Assumptions!$B$12/12*(1+Assumptions!$B$11)^(INT(A501/12)+1)*J501</f>
        <v>0.0933845113329123</v>
      </c>
      <c r="P501" s="47" t="n">
        <f aca="false">O501+Pricing_M!$B$13*M501+N501-Pricing_M!$B$13*K501</f>
        <v>15.0044796771385</v>
      </c>
      <c r="Q501" s="47" t="n">
        <f aca="false">IF(C501&lt;Assumptions!$B$5,Pricing_M!$B$13*K501-Pricing_M!$B$13*M501-O501,-(N501+O501))</f>
        <v>-15.0044796771385</v>
      </c>
      <c r="R501" s="32" t="n">
        <f aca="false">R500*(1-(1-(1-MIN(1,E500*(1-Assumptions!$B$21)))^(1/12)))*(1-H500)</f>
        <v>0.04130834637713</v>
      </c>
      <c r="S501" s="47" t="n">
        <f aca="false">R501*(IF(C501&lt;Assumptions!$B$5,Assumptions!$B$12*(1+Assumptions!$B$11)^(INT(A501/12)+1)/12+Pricing_M!$B$13*IF(A501=0,Assumptions!$B$14*12,IF(A501&gt;=12,Assumptions!$B$15,0))-Pricing_M!$B$13,Assumptions!$B$9/12*(1+Assumptions!$B$10)^INT(A501/12)+Assumptions!$B$12*(1+Assumptions!$B$11)^(INT(A501/12)+1)/12))*J501</f>
        <v>34.0877452869363</v>
      </c>
      <c r="T501" s="32" t="n">
        <f aca="false">T500*(1-F500)*(1-(1-(1-MIN(1,G500*(1+Assumptions!$B$23)))^(1/12)))</f>
        <v>0.0164714030692578</v>
      </c>
      <c r="U501" s="47" t="n">
        <f aca="false">T501*(IF(C501&lt;Assumptions!$B$5,Assumptions!$B$12*(1+Assumptions!$B$11)^(INT(A501/12)+1)/12+Pricing_M!$B$13*IF(A501=0,Assumptions!$B$14*12,IF(A501&gt;=12,Assumptions!$B$15,0))-Pricing_M!$B$13,Assumptions!$B$9/12*(1+Assumptions!$B$10)^INT(A501/12)+Assumptions!$B$12*(1+Assumptions!$B$11)^(INT(A501/12)+1)/12))*J501</f>
        <v>13.5922408323315</v>
      </c>
      <c r="V501" s="32" t="n">
        <f aca="false">V500*(1-F500)*(1-(1-(1-MIN(1,G500*(1-Assumptions!$B$23)))^(1/12)))</f>
        <v>0.0200535699981094</v>
      </c>
      <c r="W501" s="47" t="n">
        <f aca="false">V501*(IF(C501&lt;Assumptions!$B$5,Assumptions!$B$12*(1+Assumptions!$B$11)^(INT(A501/12)+1)/12+Pricing_M!$B$13*IF(A501=0,Assumptions!$B$14*12,IF(A501&gt;=12,Assumptions!$B$15,0))-Pricing_M!$B$13,Assumptions!$B$9/12*(1+Assumptions!$B$10)^INT(A501/12)+Assumptions!$B$12*(1+Assumptions!$B$11)^(INT(A501/12)+1)/12))*J501</f>
        <v>16.548253467918</v>
      </c>
      <c r="X501" s="47" t="n">
        <f aca="false">I501*(IF(C501&lt;Assumptions!$B$5,Assumptions!$B$12*(1+Assumptions!$B$11)*(1+Assumptions!$B$24)*(1+Assumptions!$B$11+Assumptions!$B$25)^(INT(A501/12))/12+Pricing_M!$B$13*IF(A501=0,Assumptions!$B$14*12,IF(A501&gt;=12,Assumptions!$B$15,0))-Pricing_M!$B$13,Assumptions!$B$9/12*(1+Assumptions!$B$10)^INT(A501/12)+Assumptions!$B$12*(1+Assumptions!$B$11)*(1+Assumptions!$B$24)*(1+Assumptions!$B$11+Assumptions!$B$25)^(INT(A501/12))/12))*J501</f>
        <v>15.0640430227376</v>
      </c>
    </row>
    <row r="502" customFormat="false" ht="15" hidden="false" customHeight="true" outlineLevel="0" collapsed="false">
      <c r="A502" s="1" t="n">
        <v>495</v>
      </c>
      <c r="B502" s="31" t="n">
        <f aca="false">Assumptions!$B$4+A502/12</f>
        <v>106.25</v>
      </c>
      <c r="C502" s="34" t="n">
        <f aca="false">Assumptions!$B$4+INT(A502/12)</f>
        <v>106</v>
      </c>
      <c r="D502" s="34" t="n">
        <f aca="false">INT(A502/12)+1</f>
        <v>42</v>
      </c>
      <c r="E502" s="32" t="n">
        <f aca="false">IFERROR(INDEX(Cohort_Survival!$G$5:$G$65,MATCH(C502,Cohort_Survival!$A$5:$A$65,0)),1)</f>
        <v>0.334050814483618</v>
      </c>
      <c r="F502" s="30" t="n">
        <f aca="false">1-(1-MIN(1,E502))^(1/12)</f>
        <v>0.0333110424895741</v>
      </c>
      <c r="G502" s="39" t="n">
        <f aca="false">IF(C502&lt;Assumptions!$B$5,IF(D502=1,Assumptions!$B$16,IF(D502=2,Assumptions!$B$17,IF(D502&lt;=5,Assumptions!$B$18,Assumptions!$B$19)))*(1-Assumptions!$B$20),0)</f>
        <v>0</v>
      </c>
      <c r="H502" s="30" t="n">
        <f aca="false">1-(1-G502)^(1/12)</f>
        <v>0</v>
      </c>
      <c r="I502" s="30" t="n">
        <f aca="false">I501*(1-F501)*(1-H501)</f>
        <v>0.0175771003128714</v>
      </c>
      <c r="J502" s="30" t="n">
        <f aca="false">INDEX(Discount_Monthly!$G$4:$G$664,MATCH(A502,Discount_Monthly!$A$4:$A$664,0))</f>
        <v>0.272362639441198</v>
      </c>
      <c r="K502" s="30" t="n">
        <f aca="false">IF(C502&lt;Assumptions!$B$5,I502*J502,0)</f>
        <v>0</v>
      </c>
      <c r="L502" s="30" t="n">
        <f aca="false">IF(C502&lt;Assumptions!$B$5,I502*(1-F502)*H502*A502*J502,0)</f>
        <v>0</v>
      </c>
      <c r="M502" s="30" t="n">
        <f aca="false">IF(A502=0,Assumptions!$B$14*12*I502*J502,IF(AND(A502&gt;=12,C502&lt;Assumptions!$B$5),Assumptions!$B$15*I502*J502,0))</f>
        <v>0</v>
      </c>
      <c r="N502" s="47" t="n">
        <f aca="false">IF(C502&gt;=Assumptions!$B$5,I502*Assumptions!$B$9/12*(1+Assumptions!$B$10)^INT(A502/12)*J502,0)</f>
        <v>14.3760821011204</v>
      </c>
      <c r="O502" s="47" t="n">
        <f aca="false">I502*Assumptions!$B$12/12*(1+Assumptions!$B$11)^(INT(A502/12)+1)*J502</f>
        <v>0.0900338564650573</v>
      </c>
      <c r="P502" s="47" t="n">
        <f aca="false">O502+Pricing_M!$B$13*M502+N502-Pricing_M!$B$13*K502</f>
        <v>14.4661159575854</v>
      </c>
      <c r="Q502" s="47" t="n">
        <f aca="false">IF(C502&lt;Assumptions!$B$5,Pricing_M!$B$13*K502-Pricing_M!$B$13*M502-O502,-(N502+O502))</f>
        <v>-14.4661159575854</v>
      </c>
      <c r="R502" s="32" t="n">
        <f aca="false">R501*(1-(1-(1-MIN(1,E501*(1-Assumptions!$B$21)))^(1/12)))*(1-H501)</f>
        <v>0.0402517336860052</v>
      </c>
      <c r="S502" s="47" t="n">
        <f aca="false">R502*(IF(C502&lt;Assumptions!$B$5,Assumptions!$B$12*(1+Assumptions!$B$11)^(INT(A502/12)+1)/12+Pricing_M!$B$13*IF(A502=0,Assumptions!$B$14*12,IF(A502&gt;=12,Assumptions!$B$15,0))-Pricing_M!$B$13,Assumptions!$B$9/12*(1+Assumptions!$B$10)^INT(A502/12)+Assumptions!$B$12*(1+Assumptions!$B$11)^(INT(A502/12)+1)/12))*J502</f>
        <v>33.1275487214009</v>
      </c>
      <c r="T502" s="32" t="n">
        <f aca="false">T501*(1-F501)*(1-(1-(1-MIN(1,G501*(1+Assumptions!$B$23)))^(1/12)))</f>
        <v>0.0159227234617549</v>
      </c>
      <c r="U502" s="47" t="n">
        <f aca="false">T502*(IF(C502&lt;Assumptions!$B$5,Assumptions!$B$12*(1+Assumptions!$B$11)^(INT(A502/12)+1)/12+Pricing_M!$B$13*IF(A502=0,Assumptions!$B$14*12,IF(A502&gt;=12,Assumptions!$B$15,0))-Pricing_M!$B$13,Assumptions!$B$9/12*(1+Assumptions!$B$10)^INT(A502/12)+Assumptions!$B$12*(1+Assumptions!$B$11)^(INT(A502/12)+1)/12))*J502</f>
        <v>13.1045485238335</v>
      </c>
      <c r="V502" s="32" t="n">
        <f aca="false">V501*(1-F501)*(1-(1-(1-MIN(1,G501*(1-Assumptions!$B$23)))^(1/12)))</f>
        <v>0.0193855646758348</v>
      </c>
      <c r="W502" s="47" t="n">
        <f aca="false">V502*(IF(C502&lt;Assumptions!$B$5,Assumptions!$B$12*(1+Assumptions!$B$11)^(INT(A502/12)+1)/12+Pricing_M!$B$13*IF(A502=0,Assumptions!$B$14*12,IF(A502&gt;=12,Assumptions!$B$15,0))-Pricing_M!$B$13,Assumptions!$B$9/12*(1+Assumptions!$B$10)^INT(A502/12)+Assumptions!$B$12*(1+Assumptions!$B$11)^(INT(A502/12)+1)/12))*J502</f>
        <v>15.954498837248</v>
      </c>
      <c r="X502" s="47" t="n">
        <f aca="false">I502*(IF(C502&lt;Assumptions!$B$5,Assumptions!$B$12*(1+Assumptions!$B$11)*(1+Assumptions!$B$24)*(1+Assumptions!$B$11+Assumptions!$B$25)^(INT(A502/12))/12+Pricing_M!$B$13*IF(A502=0,Assumptions!$B$14*12,IF(A502&gt;=12,Assumptions!$B$15,0))-Pricing_M!$B$13,Assumptions!$B$9/12*(1+Assumptions!$B$10)^INT(A502/12)+Assumptions!$B$12*(1+Assumptions!$B$11)*(1+Assumptions!$B$24)*(1+Assumptions!$B$11+Assumptions!$B$25)^(INT(A502/12))/12))*J502</f>
        <v>14.52354215848</v>
      </c>
    </row>
    <row r="503" customFormat="false" ht="15" hidden="false" customHeight="true" outlineLevel="0" collapsed="false">
      <c r="A503" s="1" t="n">
        <v>496</v>
      </c>
      <c r="B503" s="31" t="n">
        <f aca="false">Assumptions!$B$4+A503/12</f>
        <v>106.333333333333</v>
      </c>
      <c r="C503" s="34" t="n">
        <f aca="false">Assumptions!$B$4+INT(A503/12)</f>
        <v>106</v>
      </c>
      <c r="D503" s="34" t="n">
        <f aca="false">INT(A503/12)+1</f>
        <v>42</v>
      </c>
      <c r="E503" s="32" t="n">
        <f aca="false">IFERROR(INDEX(Cohort_Survival!$G$5:$G$65,MATCH(C503,Cohort_Survival!$A$5:$A$65,0)),1)</f>
        <v>0.334050814483618</v>
      </c>
      <c r="F503" s="30" t="n">
        <f aca="false">1-(1-MIN(1,E503))^(1/12)</f>
        <v>0.0333110424895741</v>
      </c>
      <c r="G503" s="39" t="n">
        <f aca="false">IF(C503&lt;Assumptions!$B$5,IF(D503=1,Assumptions!$B$16,IF(D503=2,Assumptions!$B$17,IF(D503&lt;=5,Assumptions!$B$18,Assumptions!$B$19)))*(1-Assumptions!$B$20),0)</f>
        <v>0</v>
      </c>
      <c r="H503" s="30" t="n">
        <f aca="false">1-(1-G503)^(1/12)</f>
        <v>0</v>
      </c>
      <c r="I503" s="30" t="n">
        <f aca="false">I502*(1-F502)*(1-H502)</f>
        <v>0.0169915887775059</v>
      </c>
      <c r="J503" s="30" t="n">
        <f aca="false">INDEX(Discount_Monthly!$G$4:$G$664,MATCH(A503,Discount_Monthly!$A$4:$A$664,0))</f>
        <v>0.271638784788116</v>
      </c>
      <c r="K503" s="30" t="n">
        <f aca="false">IF(C503&lt;Assumptions!$B$5,I503*J503,0)</f>
        <v>0</v>
      </c>
      <c r="L503" s="30" t="n">
        <f aca="false">IF(C503&lt;Assumptions!$B$5,I503*(1-F503)*H503*A503*J503,0)</f>
        <v>0</v>
      </c>
      <c r="M503" s="30" t="n">
        <f aca="false">IF(A503=0,Assumptions!$B$14*12*I503*J503,IF(AND(A503&gt;=12,C503&lt;Assumptions!$B$5),Assumptions!$B$15*I503*J503,0))</f>
        <v>0</v>
      </c>
      <c r="N503" s="47" t="n">
        <f aca="false">IF(C503&gt;=Assumptions!$B$5,I503*Assumptions!$B$9/12*(1+Assumptions!$B$10)^INT(A503/12)*J503,0)</f>
        <v>13.8602654117651</v>
      </c>
      <c r="O503" s="47" t="n">
        <f aca="false">I503*Assumptions!$B$12/12*(1+Assumptions!$B$11)^(INT(A503/12)+1)*J503</f>
        <v>0.0868034237612768</v>
      </c>
      <c r="P503" s="47" t="n">
        <f aca="false">O503+Pricing_M!$B$13*M503+N503-Pricing_M!$B$13*K503</f>
        <v>13.9470688355264</v>
      </c>
      <c r="Q503" s="47" t="n">
        <f aca="false">IF(C503&lt;Assumptions!$B$5,Pricing_M!$B$13*K503-Pricing_M!$B$13*M503-O503,-(N503+O503))</f>
        <v>-13.9470688355264</v>
      </c>
      <c r="R503" s="32" t="n">
        <f aca="false">R502*(1-(1-(1-MIN(1,E502*(1-Assumptions!$B$21)))^(1/12)))*(1-H502)</f>
        <v>0.0392221477455726</v>
      </c>
      <c r="S503" s="47" t="n">
        <f aca="false">R503*(IF(C503&lt;Assumptions!$B$5,Assumptions!$B$12*(1+Assumptions!$B$11)^(INT(A503/12)+1)/12+Pricing_M!$B$13*IF(A503=0,Assumptions!$B$14*12,IF(A503&gt;=12,Assumptions!$B$15,0))-Pricing_M!$B$13,Assumptions!$B$9/12*(1+Assumptions!$B$10)^INT(A503/12)+Assumptions!$B$12*(1+Assumptions!$B$11)^(INT(A503/12)+1)/12))*J503</f>
        <v>32.1943993376813</v>
      </c>
      <c r="T503" s="32" t="n">
        <f aca="false">T502*(1-F502)*(1-(1-(1-MIN(1,G502*(1+Assumptions!$B$23)))^(1/12)))</f>
        <v>0.0153923209439706</v>
      </c>
      <c r="U503" s="47" t="n">
        <f aca="false">T503*(IF(C503&lt;Assumptions!$B$5,Assumptions!$B$12*(1+Assumptions!$B$11)^(INT(A503/12)+1)/12+Pricing_M!$B$13*IF(A503=0,Assumptions!$B$14*12,IF(A503&gt;=12,Assumptions!$B$15,0))-Pricing_M!$B$13,Assumptions!$B$9/12*(1+Assumptions!$B$10)^INT(A503/12)+Assumptions!$B$12*(1+Assumptions!$B$11)^(INT(A503/12)+1)/12))*J503</f>
        <v>12.6343547125076</v>
      </c>
      <c r="V503" s="32" t="n">
        <f aca="false">V502*(1-F502)*(1-(1-(1-MIN(1,G502*(1-Assumptions!$B$23)))^(1/12)))</f>
        <v>0.0187398113072336</v>
      </c>
      <c r="W503" s="47" t="n">
        <f aca="false">V503*(IF(C503&lt;Assumptions!$B$5,Assumptions!$B$12*(1+Assumptions!$B$11)^(INT(A503/12)+1)/12+Pricing_M!$B$13*IF(A503=0,Assumptions!$B$14*12,IF(A503&gt;=12,Assumptions!$B$15,0))-Pricing_M!$B$13,Assumptions!$B$9/12*(1+Assumptions!$B$10)^INT(A503/12)+Assumptions!$B$12*(1+Assumptions!$B$11)^(INT(A503/12)+1)/12))*J503</f>
        <v>15.3820482409961</v>
      </c>
      <c r="X503" s="47" t="n">
        <f aca="false">I503*(IF(C503&lt;Assumptions!$B$5,Assumptions!$B$12*(1+Assumptions!$B$11)*(1+Assumptions!$B$24)*(1+Assumptions!$B$11+Assumptions!$B$25)^(INT(A503/12))/12+Pricing_M!$B$13*IF(A503=0,Assumptions!$B$14*12,IF(A503&gt;=12,Assumptions!$B$15,0))-Pricing_M!$B$13,Assumptions!$B$9/12*(1+Assumptions!$B$10)^INT(A503/12)+Assumptions!$B$12*(1+Assumptions!$B$11)*(1+Assumptions!$B$24)*(1+Assumptions!$B$11+Assumptions!$B$25)^(INT(A503/12))/12))*J503</f>
        <v>14.0024345728942</v>
      </c>
    </row>
    <row r="504" customFormat="false" ht="15" hidden="false" customHeight="true" outlineLevel="0" collapsed="false">
      <c r="A504" s="1" t="n">
        <v>497</v>
      </c>
      <c r="B504" s="31" t="n">
        <f aca="false">Assumptions!$B$4+A504/12</f>
        <v>106.416666666667</v>
      </c>
      <c r="C504" s="34" t="n">
        <f aca="false">Assumptions!$B$4+INT(A504/12)</f>
        <v>106</v>
      </c>
      <c r="D504" s="34" t="n">
        <f aca="false">INT(A504/12)+1</f>
        <v>42</v>
      </c>
      <c r="E504" s="32" t="n">
        <f aca="false">IFERROR(INDEX(Cohort_Survival!$G$5:$G$65,MATCH(C504,Cohort_Survival!$A$5:$A$65,0)),1)</f>
        <v>0.334050814483618</v>
      </c>
      <c r="F504" s="30" t="n">
        <f aca="false">1-(1-MIN(1,E504))^(1/12)</f>
        <v>0.0333110424895741</v>
      </c>
      <c r="G504" s="39" t="n">
        <f aca="false">IF(C504&lt;Assumptions!$B$5,IF(D504=1,Assumptions!$B$16,IF(D504=2,Assumptions!$B$17,IF(D504&lt;=5,Assumptions!$B$18,Assumptions!$B$19)))*(1-Assumptions!$B$20),0)</f>
        <v>0</v>
      </c>
      <c r="H504" s="30" t="n">
        <f aca="false">1-(1-G504)^(1/12)</f>
        <v>0</v>
      </c>
      <c r="I504" s="30" t="n">
        <f aca="false">I503*(1-F503)*(1-H503)</f>
        <v>0.016425581241773</v>
      </c>
      <c r="J504" s="30" t="n">
        <f aca="false">INDEX(Discount_Monthly!$G$4:$G$664,MATCH(A504,Discount_Monthly!$A$4:$A$664,0))</f>
        <v>0.270916853914155</v>
      </c>
      <c r="K504" s="30" t="n">
        <f aca="false">IF(C504&lt;Assumptions!$B$5,I504*J504,0)</f>
        <v>0</v>
      </c>
      <c r="L504" s="30" t="n">
        <f aca="false">IF(C504&lt;Assumptions!$B$5,I504*(1-F504)*H504*A504*J504,0)</f>
        <v>0</v>
      </c>
      <c r="M504" s="30" t="n">
        <f aca="false">IF(A504=0,Assumptions!$B$14*12*I504*J504,IF(AND(A504&gt;=12,C504&lt;Assumptions!$B$5),Assumptions!$B$15*I504*J504,0))</f>
        <v>0</v>
      </c>
      <c r="N504" s="47" t="n">
        <f aca="false">IF(C504&gt;=Assumptions!$B$5,I504*Assumptions!$B$9/12*(1+Assumptions!$B$10)^INT(A504/12)*J504,0)</f>
        <v>13.3629563279693</v>
      </c>
      <c r="O504" s="47" t="n">
        <f aca="false">I504*Assumptions!$B$12/12*(1+Assumptions!$B$11)^(INT(A504/12)+1)*J504</f>
        <v>0.0836888996263768</v>
      </c>
      <c r="P504" s="47" t="n">
        <f aca="false">O504+Pricing_M!$B$13*M504+N504-Pricing_M!$B$13*K504</f>
        <v>13.4466452275957</v>
      </c>
      <c r="Q504" s="47" t="n">
        <f aca="false">IF(C504&lt;Assumptions!$B$5,Pricing_M!$B$13*K504-Pricing_M!$B$13*M504-O504,-(N504+O504))</f>
        <v>-13.4466452275957</v>
      </c>
      <c r="R504" s="32" t="n">
        <f aca="false">R503*(1-(1-(1-MIN(1,E503*(1-Assumptions!$B$21)))^(1/12)))*(1-H503)</f>
        <v>0.0382188972474095</v>
      </c>
      <c r="S504" s="47" t="n">
        <f aca="false">R504*(IF(C504&lt;Assumptions!$B$5,Assumptions!$B$12*(1+Assumptions!$B$11)^(INT(A504/12)+1)/12+Pricing_M!$B$13*IF(A504=0,Assumptions!$B$14*12,IF(A504&gt;=12,Assumptions!$B$15,0))-Pricing_M!$B$13,Assumptions!$B$9/12*(1+Assumptions!$B$10)^INT(A504/12)+Assumptions!$B$12*(1+Assumptions!$B$11)^(INT(A504/12)+1)/12))*J504</f>
        <v>31.2875352604798</v>
      </c>
      <c r="T504" s="32" t="n">
        <f aca="false">T503*(1-F503)*(1-(1-(1-MIN(1,G503*(1+Assumptions!$B$23)))^(1/12)))</f>
        <v>0.0148795866869929</v>
      </c>
      <c r="U504" s="47" t="n">
        <f aca="false">T504*(IF(C504&lt;Assumptions!$B$5,Assumptions!$B$12*(1+Assumptions!$B$11)^(INT(A504/12)+1)/12+Pricing_M!$B$13*IF(A504=0,Assumptions!$B$14*12,IF(A504&gt;=12,Assumptions!$B$15,0))-Pricing_M!$B$13,Assumptions!$B$9/12*(1+Assumptions!$B$10)^INT(A504/12)+Assumptions!$B$12*(1+Assumptions!$B$11)^(INT(A504/12)+1)/12))*J504</f>
        <v>12.1810315487899</v>
      </c>
      <c r="V504" s="32" t="n">
        <f aca="false">V503*(1-F503)*(1-(1-(1-MIN(1,G503*(1-Assumptions!$B$23)))^(1/12)))</f>
        <v>0.0181155686565318</v>
      </c>
      <c r="W504" s="47" t="n">
        <f aca="false">V504*(IF(C504&lt;Assumptions!$B$5,Assumptions!$B$12*(1+Assumptions!$B$11)^(INT(A504/12)+1)/12+Pricing_M!$B$13*IF(A504=0,Assumptions!$B$14*12,IF(A504&gt;=12,Assumptions!$B$15,0))-Pricing_M!$B$13,Assumptions!$B$9/12*(1+Assumptions!$B$10)^INT(A504/12)+Assumptions!$B$12*(1+Assumptions!$B$11)^(INT(A504/12)+1)/12))*J504</f>
        <v>14.8301372861641</v>
      </c>
      <c r="X504" s="47" t="n">
        <f aca="false">I504*(IF(C504&lt;Assumptions!$B$5,Assumptions!$B$12*(1+Assumptions!$B$11)*(1+Assumptions!$B$24)*(1+Assumptions!$B$11+Assumptions!$B$25)^(INT(A504/12))/12+Pricing_M!$B$13*IF(A504=0,Assumptions!$B$14*12,IF(A504&gt;=12,Assumptions!$B$15,0))-Pricing_M!$B$13,Assumptions!$B$9/12*(1+Assumptions!$B$10)^INT(A504/12)+Assumptions!$B$12*(1+Assumptions!$B$11)*(1+Assumptions!$B$24)*(1+Assumptions!$B$11+Assumptions!$B$25)^(INT(A504/12))/12))*J504</f>
        <v>13.5000244312784</v>
      </c>
    </row>
    <row r="505" customFormat="false" ht="15" hidden="false" customHeight="true" outlineLevel="0" collapsed="false">
      <c r="A505" s="1" t="n">
        <v>498</v>
      </c>
      <c r="B505" s="31" t="n">
        <f aca="false">Assumptions!$B$4+A505/12</f>
        <v>106.5</v>
      </c>
      <c r="C505" s="34" t="n">
        <f aca="false">Assumptions!$B$4+INT(A505/12)</f>
        <v>106</v>
      </c>
      <c r="D505" s="34" t="n">
        <f aca="false">INT(A505/12)+1</f>
        <v>42</v>
      </c>
      <c r="E505" s="32" t="n">
        <f aca="false">IFERROR(INDEX(Cohort_Survival!$G$5:$G$65,MATCH(C505,Cohort_Survival!$A$5:$A$65,0)),1)</f>
        <v>0.334050814483618</v>
      </c>
      <c r="F505" s="30" t="n">
        <f aca="false">1-(1-MIN(1,E505))^(1/12)</f>
        <v>0.0333110424895741</v>
      </c>
      <c r="G505" s="39" t="n">
        <f aca="false">IF(C505&lt;Assumptions!$B$5,IF(D505=1,Assumptions!$B$16,IF(D505=2,Assumptions!$B$17,IF(D505&lt;=5,Assumptions!$B$18,Assumptions!$B$19)))*(1-Assumptions!$B$20),0)</f>
        <v>0</v>
      </c>
      <c r="H505" s="30" t="n">
        <f aca="false">1-(1-G505)^(1/12)</f>
        <v>0</v>
      </c>
      <c r="I505" s="30" t="n">
        <f aca="false">I504*(1-F504)*(1-H504)</f>
        <v>0.0158784280071123</v>
      </c>
      <c r="J505" s="30" t="n">
        <f aca="false">INDEX(Discount_Monthly!$G$4:$G$664,MATCH(A505,Discount_Monthly!$A$4:$A$664,0))</f>
        <v>0.27019684170651</v>
      </c>
      <c r="K505" s="30" t="n">
        <f aca="false">IF(C505&lt;Assumptions!$B$5,I505*J505,0)</f>
        <v>0</v>
      </c>
      <c r="L505" s="30" t="n">
        <f aca="false">IF(C505&lt;Assumptions!$B$5,I505*(1-F505)*H505*A505*J505,0)</f>
        <v>0</v>
      </c>
      <c r="M505" s="30" t="n">
        <f aca="false">IF(A505=0,Assumptions!$B$14*12*I505*J505,IF(AND(A505&gt;=12,C505&lt;Assumptions!$B$5),Assumptions!$B$15*I505*J505,0))</f>
        <v>0</v>
      </c>
      <c r="N505" s="47" t="n">
        <f aca="false">IF(C505&gt;=Assumptions!$B$5,I505*Assumptions!$B$9/12*(1+Assumptions!$B$10)^INT(A505/12)*J505,0)</f>
        <v>12.8834907931589</v>
      </c>
      <c r="O505" s="47" t="n">
        <f aca="false">I505*Assumptions!$B$12/12*(1+Assumptions!$B$11)^(INT(A505/12)+1)*J505</f>
        <v>0.080686125237818</v>
      </c>
      <c r="P505" s="47" t="n">
        <f aca="false">O505+Pricing_M!$B$13*M505+N505-Pricing_M!$B$13*K505</f>
        <v>12.9641769183967</v>
      </c>
      <c r="Q505" s="47" t="n">
        <f aca="false">IF(C505&lt;Assumptions!$B$5,Pricing_M!$B$13*K505-Pricing_M!$B$13*M505-O505,-(N505+O505))</f>
        <v>-12.9641769183967</v>
      </c>
      <c r="R505" s="32" t="n">
        <f aca="false">R504*(1-(1-(1-MIN(1,E504*(1-Assumptions!$B$21)))^(1/12)))*(1-H504)</f>
        <v>0.0372413085658455</v>
      </c>
      <c r="S505" s="47" t="n">
        <f aca="false">R505*(IF(C505&lt;Assumptions!$B$5,Assumptions!$B$12*(1+Assumptions!$B$11)^(INT(A505/12)+1)/12+Pricing_M!$B$13*IF(A505=0,Assumptions!$B$14*12,IF(A505&gt;=12,Assumptions!$B$15,0))-Pricing_M!$B$13,Assumptions!$B$9/12*(1+Assumptions!$B$10)^INT(A505/12)+Assumptions!$B$12*(1+Assumptions!$B$11)^(INT(A505/12)+1)/12))*J505</f>
        <v>30.4062160752918</v>
      </c>
      <c r="T505" s="32" t="n">
        <f aca="false">T504*(1-F504)*(1-(1-(1-MIN(1,G504*(1+Assumptions!$B$23)))^(1/12)))</f>
        <v>0.0143839321426351</v>
      </c>
      <c r="U505" s="47" t="n">
        <f aca="false">T505*(IF(C505&lt;Assumptions!$B$5,Assumptions!$B$12*(1+Assumptions!$B$11)^(INT(A505/12)+1)/12+Pricing_M!$B$13*IF(A505=0,Assumptions!$B$14*12,IF(A505&gt;=12,Assumptions!$B$15,0))-Pricing_M!$B$13,Assumptions!$B$9/12*(1+Assumptions!$B$10)^INT(A505/12)+Assumptions!$B$12*(1+Assumptions!$B$11)^(INT(A505/12)+1)/12))*J505</f>
        <v>11.7439737104837</v>
      </c>
      <c r="V505" s="32" t="n">
        <f aca="false">V504*(1-F504)*(1-(1-(1-MIN(1,G504*(1-Assumptions!$B$23)))^(1/12)))</f>
        <v>0.0175121201792913</v>
      </c>
      <c r="W505" s="47" t="n">
        <f aca="false">V505*(IF(C505&lt;Assumptions!$B$5,Assumptions!$B$12*(1+Assumptions!$B$11)^(INT(A505/12)+1)/12+Pricing_M!$B$13*IF(A505=0,Assumptions!$B$14*12,IF(A505&gt;=12,Assumptions!$B$15,0))-Pricing_M!$B$13,Assumptions!$B$9/12*(1+Assumptions!$B$10)^INT(A505/12)+Assumptions!$B$12*(1+Assumptions!$B$11)^(INT(A505/12)+1)/12))*J505</f>
        <v>14.2980290063263</v>
      </c>
      <c r="X505" s="47" t="n">
        <f aca="false">I505*(IF(C505&lt;Assumptions!$B$5,Assumptions!$B$12*(1+Assumptions!$B$11)*(1+Assumptions!$B$24)*(1+Assumptions!$B$11+Assumptions!$B$25)^(INT(A505/12))/12+Pricing_M!$B$13*IF(A505=0,Assumptions!$B$14*12,IF(A505&gt;=12,Assumptions!$B$15,0))-Pricing_M!$B$13,Assumptions!$B$9/12*(1+Assumptions!$B$10)^INT(A505/12)+Assumptions!$B$12*(1+Assumptions!$B$11)*(1+Assumptions!$B$24)*(1+Assumptions!$B$11+Assumptions!$B$25)^(INT(A505/12))/12))*J505</f>
        <v>13.0156408656187</v>
      </c>
    </row>
    <row r="506" customFormat="false" ht="15" hidden="false" customHeight="true" outlineLevel="0" collapsed="false">
      <c r="A506" s="1" t="n">
        <v>499</v>
      </c>
      <c r="B506" s="31" t="n">
        <f aca="false">Assumptions!$B$4+A506/12</f>
        <v>106.583333333333</v>
      </c>
      <c r="C506" s="34" t="n">
        <f aca="false">Assumptions!$B$4+INT(A506/12)</f>
        <v>106</v>
      </c>
      <c r="D506" s="34" t="n">
        <f aca="false">INT(A506/12)+1</f>
        <v>42</v>
      </c>
      <c r="E506" s="32" t="n">
        <f aca="false">IFERROR(INDEX(Cohort_Survival!$G$5:$G$65,MATCH(C506,Cohort_Survival!$A$5:$A$65,0)),1)</f>
        <v>0.334050814483618</v>
      </c>
      <c r="F506" s="30" t="n">
        <f aca="false">1-(1-MIN(1,E506))^(1/12)</f>
        <v>0.0333110424895741</v>
      </c>
      <c r="G506" s="39" t="n">
        <f aca="false">IF(C506&lt;Assumptions!$B$5,IF(D506=1,Assumptions!$B$16,IF(D506=2,Assumptions!$B$17,IF(D506&lt;=5,Assumptions!$B$18,Assumptions!$B$19)))*(1-Assumptions!$B$20),0)</f>
        <v>0</v>
      </c>
      <c r="H506" s="30" t="n">
        <f aca="false">1-(1-G506)^(1/12)</f>
        <v>0</v>
      </c>
      <c r="I506" s="30" t="n">
        <f aca="false">I505*(1-F505)*(1-H505)</f>
        <v>0.0153495010170998</v>
      </c>
      <c r="J506" s="30" t="n">
        <f aca="false">INDEX(Discount_Monthly!$G$4:$G$664,MATCH(A506,Discount_Monthly!$A$4:$A$664,0))</f>
        <v>0.269478743065968</v>
      </c>
      <c r="K506" s="30" t="n">
        <f aca="false">IF(C506&lt;Assumptions!$B$5,I506*J506,0)</f>
        <v>0</v>
      </c>
      <c r="L506" s="30" t="n">
        <f aca="false">IF(C506&lt;Assumptions!$B$5,I506*(1-F506)*H506*A506*J506,0)</f>
        <v>0</v>
      </c>
      <c r="M506" s="30" t="n">
        <f aca="false">IF(A506=0,Assumptions!$B$14*12*I506*J506,IF(AND(A506&gt;=12,C506&lt;Assumptions!$B$5),Assumptions!$B$15*I506*J506,0))</f>
        <v>0</v>
      </c>
      <c r="N506" s="47" t="n">
        <f aca="false">IF(C506&gt;=Assumptions!$B$5,I506*Assumptions!$B$9/12*(1+Assumptions!$B$10)^INT(A506/12)*J506,0)</f>
        <v>12.421228577242</v>
      </c>
      <c r="O506" s="47" t="n">
        <f aca="false">I506*Assumptions!$B$12/12*(1+Assumptions!$B$11)^(INT(A506/12)+1)*J506</f>
        <v>0.0777910909924423</v>
      </c>
      <c r="P506" s="47" t="n">
        <f aca="false">O506+Pricing_M!$B$13*M506+N506-Pricing_M!$B$13*K506</f>
        <v>12.4990196682345</v>
      </c>
      <c r="Q506" s="47" t="n">
        <f aca="false">IF(C506&lt;Assumptions!$B$5,Pricing_M!$B$13*K506-Pricing_M!$B$13*M506-O506,-(N506+O506))</f>
        <v>-12.4990196682345</v>
      </c>
      <c r="R506" s="32" t="n">
        <f aca="false">R505*(1-(1-(1-MIN(1,E505*(1-Assumptions!$B$21)))^(1/12)))*(1-H505)</f>
        <v>0.0362887253056606</v>
      </c>
      <c r="S506" s="47" t="n">
        <f aca="false">R506*(IF(C506&lt;Assumptions!$B$5,Assumptions!$B$12*(1+Assumptions!$B$11)^(INT(A506/12)+1)/12+Pricing_M!$B$13*IF(A506=0,Assumptions!$B$14*12,IF(A506&gt;=12,Assumptions!$B$15,0))-Pricing_M!$B$13,Assumptions!$B$9/12*(1+Assumptions!$B$10)^INT(A506/12)+Assumptions!$B$12*(1+Assumptions!$B$11)^(INT(A506/12)+1)/12))*J506</f>
        <v>29.5497222238897</v>
      </c>
      <c r="T506" s="32" t="n">
        <f aca="false">T505*(1-F505)*(1-(1-(1-MIN(1,G505*(1+Assumptions!$B$23)))^(1/12)))</f>
        <v>0.0139047883678647</v>
      </c>
      <c r="U506" s="47" t="n">
        <f aca="false">T506*(IF(C506&lt;Assumptions!$B$5,Assumptions!$B$12*(1+Assumptions!$B$11)^(INT(A506/12)+1)/12+Pricing_M!$B$13*IF(A506=0,Assumptions!$B$14*12,IF(A506&gt;=12,Assumptions!$B$15,0))-Pricing_M!$B$13,Assumptions!$B$9/12*(1+Assumptions!$B$10)^INT(A506/12)+Assumptions!$B$12*(1+Assumptions!$B$11)^(INT(A506/12)+1)/12))*J506</f>
        <v>11.3225975944733</v>
      </c>
      <c r="V506" s="32" t="n">
        <f aca="false">V505*(1-F505)*(1-(1-(1-MIN(1,G505*(1-Assumptions!$B$23)))^(1/12)))</f>
        <v>0.0169287731999164</v>
      </c>
      <c r="W506" s="47" t="n">
        <f aca="false">V506*(IF(C506&lt;Assumptions!$B$5,Assumptions!$B$12*(1+Assumptions!$B$11)^(INT(A506/12)+1)/12+Pricing_M!$B$13*IF(A506=0,Assumptions!$B$14*12,IF(A506&gt;=12,Assumptions!$B$15,0))-Pricing_M!$B$13,Assumptions!$B$9/12*(1+Assumptions!$B$10)^INT(A506/12)+Assumptions!$B$12*(1+Assumptions!$B$11)^(INT(A506/12)+1)/12))*J506</f>
        <v>13.7850128775596</v>
      </c>
      <c r="X506" s="47" t="n">
        <f aca="false">I506*(IF(C506&lt;Assumptions!$B$5,Assumptions!$B$12*(1+Assumptions!$B$11)*(1+Assumptions!$B$24)*(1+Assumptions!$B$11+Assumptions!$B$25)^(INT(A506/12))/12+Pricing_M!$B$13*IF(A506=0,Assumptions!$B$14*12,IF(A506&gt;=12,Assumptions!$B$15,0))-Pricing_M!$B$13,Assumptions!$B$9/12*(1+Assumptions!$B$10)^INT(A506/12)+Assumptions!$B$12*(1+Assumptions!$B$11)*(1+Assumptions!$B$24)*(1+Assumptions!$B$11+Assumptions!$B$25)^(INT(A506/12))/12))*J506</f>
        <v>12.5486370787791</v>
      </c>
    </row>
    <row r="507" customFormat="false" ht="15" hidden="false" customHeight="true" outlineLevel="0" collapsed="false">
      <c r="A507" s="1" t="n">
        <v>500</v>
      </c>
      <c r="B507" s="31" t="n">
        <f aca="false">Assumptions!$B$4+A507/12</f>
        <v>106.666666666667</v>
      </c>
      <c r="C507" s="34" t="n">
        <f aca="false">Assumptions!$B$4+INT(A507/12)</f>
        <v>106</v>
      </c>
      <c r="D507" s="34" t="n">
        <f aca="false">INT(A507/12)+1</f>
        <v>42</v>
      </c>
      <c r="E507" s="32" t="n">
        <f aca="false">IFERROR(INDEX(Cohort_Survival!$G$5:$G$65,MATCH(C507,Cohort_Survival!$A$5:$A$65,0)),1)</f>
        <v>0.334050814483618</v>
      </c>
      <c r="F507" s="30" t="n">
        <f aca="false">1-(1-MIN(1,E507))^(1/12)</f>
        <v>0.0333110424895741</v>
      </c>
      <c r="G507" s="39" t="n">
        <f aca="false">IF(C507&lt;Assumptions!$B$5,IF(D507=1,Assumptions!$B$16,IF(D507=2,Assumptions!$B$17,IF(D507&lt;=5,Assumptions!$B$18,Assumptions!$B$19)))*(1-Assumptions!$B$20),0)</f>
        <v>0</v>
      </c>
      <c r="H507" s="30" t="n">
        <f aca="false">1-(1-G507)^(1/12)</f>
        <v>0</v>
      </c>
      <c r="I507" s="30" t="n">
        <f aca="false">I506*(1-F506)*(1-H506)</f>
        <v>0.0148381931365254</v>
      </c>
      <c r="J507" s="30" t="n">
        <f aca="false">INDEX(Discount_Monthly!$G$4:$G$664,MATCH(A507,Discount_Monthly!$A$4:$A$664,0))</f>
        <v>0.268762552906866</v>
      </c>
      <c r="K507" s="30" t="n">
        <f aca="false">IF(C507&lt;Assumptions!$B$5,I507*J507,0)</f>
        <v>0</v>
      </c>
      <c r="L507" s="30" t="n">
        <f aca="false">IF(C507&lt;Assumptions!$B$5,I507*(1-F507)*H507*A507*J507,0)</f>
        <v>0</v>
      </c>
      <c r="M507" s="30" t="n">
        <f aca="false">IF(A507=0,Assumptions!$B$14*12*I507*J507,IF(AND(A507&gt;=12,C507&lt;Assumptions!$B$5),Assumptions!$B$15*I507*J507,0))</f>
        <v>0</v>
      </c>
      <c r="N507" s="47" t="n">
        <f aca="false">IF(C507&gt;=Assumptions!$B$5,I507*Assumptions!$B$9/12*(1+Assumptions!$B$10)^INT(A507/12)*J507,0)</f>
        <v>11.9755524217102</v>
      </c>
      <c r="O507" s="47" t="n">
        <f aca="false">I507*Assumptions!$B$12/12*(1+Assumptions!$B$11)^(INT(A507/12)+1)*J507</f>
        <v>0.0749999311524517</v>
      </c>
      <c r="P507" s="47" t="n">
        <f aca="false">O507+Pricing_M!$B$13*M507+N507-Pricing_M!$B$13*K507</f>
        <v>12.0505523528626</v>
      </c>
      <c r="Q507" s="47" t="n">
        <f aca="false">IF(C507&lt;Assumptions!$B$5,Pricing_M!$B$13*K507-Pricing_M!$B$13*M507-O507,-(N507+O507))</f>
        <v>-12.0505523528626</v>
      </c>
      <c r="R507" s="32" t="n">
        <f aca="false">R506*(1-(1-(1-MIN(1,E506*(1-Assumptions!$B$21)))^(1/12)))*(1-H506)</f>
        <v>0.0353605078613542</v>
      </c>
      <c r="S507" s="47" t="n">
        <f aca="false">R507*(IF(C507&lt;Assumptions!$B$5,Assumptions!$B$12*(1+Assumptions!$B$11)^(INT(A507/12)+1)/12+Pricing_M!$B$13*IF(A507=0,Assumptions!$B$14*12,IF(A507&gt;=12,Assumptions!$B$15,0))-Pricing_M!$B$13,Assumptions!$B$9/12*(1+Assumptions!$B$10)^INT(A507/12)+Assumptions!$B$12*(1+Assumptions!$B$11)^(INT(A507/12)+1)/12))*J507</f>
        <v>28.7173544168357</v>
      </c>
      <c r="T507" s="32" t="n">
        <f aca="false">T506*(1-F506)*(1-(1-(1-MIN(1,G506*(1+Assumptions!$B$23)))^(1/12)))</f>
        <v>0.0134416053717342</v>
      </c>
      <c r="U507" s="47" t="n">
        <f aca="false">T507*(IF(C507&lt;Assumptions!$B$5,Assumptions!$B$12*(1+Assumptions!$B$11)^(INT(A507/12)+1)/12+Pricing_M!$B$13*IF(A507=0,Assumptions!$B$14*12,IF(A507&gt;=12,Assumptions!$B$15,0))-Pricing_M!$B$13,Assumptions!$B$9/12*(1+Assumptions!$B$10)^INT(A507/12)+Assumptions!$B$12*(1+Assumptions!$B$11)^(INT(A507/12)+1)/12))*J507</f>
        <v>10.9163405374391</v>
      </c>
      <c r="V507" s="32" t="n">
        <f aca="false">V506*(1-F506)*(1-(1-(1-MIN(1,G506*(1-Assumptions!$B$23)))^(1/12)))</f>
        <v>0.0163648581165576</v>
      </c>
      <c r="W507" s="47" t="n">
        <f aca="false">V507*(IF(C507&lt;Assumptions!$B$5,Assumptions!$B$12*(1+Assumptions!$B$11)^(INT(A507/12)+1)/12+Pricing_M!$B$13*IF(A507=0,Assumptions!$B$14*12,IF(A507&gt;=12,Assumptions!$B$15,0))-Pricing_M!$B$13,Assumptions!$B$9/12*(1+Assumptions!$B$10)^INT(A507/12)+Assumptions!$B$12*(1+Assumptions!$B$11)^(INT(A507/12)+1)/12))*J507</f>
        <v>13.2904038696806</v>
      </c>
      <c r="X507" s="47" t="n">
        <f aca="false">I507*(IF(C507&lt;Assumptions!$B$5,Assumptions!$B$12*(1+Assumptions!$B$11)*(1+Assumptions!$B$24)*(1+Assumptions!$B$11+Assumptions!$B$25)^(INT(A507/12))/12+Pricing_M!$B$13*IF(A507=0,Assumptions!$B$14*12,IF(A507&gt;=12,Assumptions!$B$15,0))-Pricing_M!$B$13,Assumptions!$B$9/12*(1+Assumptions!$B$10)^INT(A507/12)+Assumptions!$B$12*(1+Assumptions!$B$11)*(1+Assumptions!$B$24)*(1+Assumptions!$B$11+Assumptions!$B$25)^(INT(A507/12))/12))*J507</f>
        <v>12.0983894808336</v>
      </c>
    </row>
    <row r="508" customFormat="false" ht="15" hidden="false" customHeight="true" outlineLevel="0" collapsed="false">
      <c r="A508" s="1" t="n">
        <v>501</v>
      </c>
      <c r="B508" s="31" t="n">
        <f aca="false">Assumptions!$B$4+A508/12</f>
        <v>106.75</v>
      </c>
      <c r="C508" s="34" t="n">
        <f aca="false">Assumptions!$B$4+INT(A508/12)</f>
        <v>106</v>
      </c>
      <c r="D508" s="34" t="n">
        <f aca="false">INT(A508/12)+1</f>
        <v>42</v>
      </c>
      <c r="E508" s="32" t="n">
        <f aca="false">IFERROR(INDEX(Cohort_Survival!$G$5:$G$65,MATCH(C508,Cohort_Survival!$A$5:$A$65,0)),1)</f>
        <v>0.334050814483618</v>
      </c>
      <c r="F508" s="30" t="n">
        <f aca="false">1-(1-MIN(1,E508))^(1/12)</f>
        <v>0.0333110424895741</v>
      </c>
      <c r="G508" s="39" t="n">
        <f aca="false">IF(C508&lt;Assumptions!$B$5,IF(D508=1,Assumptions!$B$16,IF(D508=2,Assumptions!$B$17,IF(D508&lt;=5,Assumptions!$B$18,Assumptions!$B$19)))*(1-Assumptions!$B$20),0)</f>
        <v>0</v>
      </c>
      <c r="H508" s="30" t="n">
        <f aca="false">1-(1-G508)^(1/12)</f>
        <v>0</v>
      </c>
      <c r="I508" s="30" t="n">
        <f aca="false">I507*(1-F507)*(1-H507)</f>
        <v>0.0143439174544861</v>
      </c>
      <c r="J508" s="30" t="n">
        <f aca="false">INDEX(Discount_Monthly!$G$4:$G$664,MATCH(A508,Discount_Monthly!$A$4:$A$664,0))</f>
        <v>0.268048266157057</v>
      </c>
      <c r="K508" s="30" t="n">
        <f aca="false">IF(C508&lt;Assumptions!$B$5,I508*J508,0)</f>
        <v>0</v>
      </c>
      <c r="L508" s="30" t="n">
        <f aca="false">IF(C508&lt;Assumptions!$B$5,I508*(1-F508)*H508*A508*J508,0)</f>
        <v>0</v>
      </c>
      <c r="M508" s="30" t="n">
        <f aca="false">IF(A508=0,Assumptions!$B$14*12*I508*J508,IF(AND(A508&gt;=12,C508&lt;Assumptions!$B$5),Assumptions!$B$15*I508*J508,0))</f>
        <v>0</v>
      </c>
      <c r="N508" s="47" t="n">
        <f aca="false">IF(C508&gt;=Assumptions!$B$5,I508*Assumptions!$B$9/12*(1+Assumptions!$B$10)^INT(A508/12)*J508,0)</f>
        <v>11.5458672154128</v>
      </c>
      <c r="O508" s="47" t="n">
        <f aca="false">I508*Assumptions!$B$12/12*(1+Assumptions!$B$11)^(INT(A508/12)+1)*J508</f>
        <v>0.0723089186834901</v>
      </c>
      <c r="P508" s="47" t="n">
        <f aca="false">O508+Pricing_M!$B$13*M508+N508-Pricing_M!$B$13*K508</f>
        <v>11.6181761340963</v>
      </c>
      <c r="Q508" s="47" t="n">
        <f aca="false">IF(C508&lt;Assumptions!$B$5,Pricing_M!$B$13*K508-Pricing_M!$B$13*M508-O508,-(N508+O508))</f>
        <v>-11.6181761340963</v>
      </c>
      <c r="R508" s="32" t="n">
        <f aca="false">R507*(1-(1-(1-MIN(1,E507*(1-Assumptions!$B$21)))^(1/12)))*(1-H507)</f>
        <v>0.0344560329876852</v>
      </c>
      <c r="S508" s="47" t="n">
        <f aca="false">R508*(IF(C508&lt;Assumptions!$B$5,Assumptions!$B$12*(1+Assumptions!$B$11)^(INT(A508/12)+1)/12+Pricing_M!$B$13*IF(A508=0,Assumptions!$B$14*12,IF(A508&gt;=12,Assumptions!$B$15,0))-Pricing_M!$B$13,Assumptions!$B$9/12*(1+Assumptions!$B$10)^INT(A508/12)+Assumptions!$B$12*(1+Assumptions!$B$11)^(INT(A508/12)+1)/12))*J508</f>
        <v>27.9084330625425</v>
      </c>
      <c r="T508" s="32" t="n">
        <f aca="false">T507*(1-F507)*(1-(1-(1-MIN(1,G507*(1+Assumptions!$B$23)))^(1/12)))</f>
        <v>0.0129938514840683</v>
      </c>
      <c r="U508" s="47" t="n">
        <f aca="false">T508*(IF(C508&lt;Assumptions!$B$5,Assumptions!$B$12*(1+Assumptions!$B$11)^(INT(A508/12)+1)/12+Pricing_M!$B$13*IF(A508=0,Assumptions!$B$14*12,IF(A508&gt;=12,Assumptions!$B$15,0))-Pricing_M!$B$13,Assumptions!$B$9/12*(1+Assumptions!$B$10)^INT(A508/12)+Assumptions!$B$12*(1+Assumptions!$B$11)^(INT(A508/12)+1)/12))*J508</f>
        <v>10.5246600645335</v>
      </c>
      <c r="V508" s="32" t="n">
        <f aca="false">V507*(1-F507)*(1-(1-(1-MIN(1,G507*(1-Assumptions!$B$23)))^(1/12)))</f>
        <v>0.0158197276325011</v>
      </c>
      <c r="W508" s="47" t="n">
        <f aca="false">V508*(IF(C508&lt;Assumptions!$B$5,Assumptions!$B$12*(1+Assumptions!$B$11)^(INT(A508/12)+1)/12+Pricing_M!$B$13*IF(A508=0,Assumptions!$B$14*12,IF(A508&gt;=12,Assumptions!$B$15,0))-Pricing_M!$B$13,Assumptions!$B$9/12*(1+Assumptions!$B$10)^INT(A508/12)+Assumptions!$B$12*(1+Assumptions!$B$11)^(INT(A508/12)+1)/12))*J508</f>
        <v>12.8135415315253</v>
      </c>
      <c r="X508" s="47" t="n">
        <f aca="false">I508*(IF(C508&lt;Assumptions!$B$5,Assumptions!$B$12*(1+Assumptions!$B$11)*(1+Assumptions!$B$24)*(1+Assumptions!$B$11+Assumptions!$B$25)^(INT(A508/12))/12+Pricing_M!$B$13*IF(A508=0,Assumptions!$B$14*12,IF(A508&gt;=12,Assumptions!$B$15,0))-Pricing_M!$B$13,Assumptions!$B$9/12*(1+Assumptions!$B$10)^INT(A508/12)+Assumptions!$B$12*(1+Assumptions!$B$11)*(1+Assumptions!$B$24)*(1+Assumptions!$B$11+Assumptions!$B$25)^(INT(A508/12))/12))*J508</f>
        <v>11.6642968563871</v>
      </c>
    </row>
    <row r="509" customFormat="false" ht="15" hidden="false" customHeight="true" outlineLevel="0" collapsed="false">
      <c r="A509" s="1" t="n">
        <v>502</v>
      </c>
      <c r="B509" s="31" t="n">
        <f aca="false">Assumptions!$B$4+A509/12</f>
        <v>106.833333333333</v>
      </c>
      <c r="C509" s="34" t="n">
        <f aca="false">Assumptions!$B$4+INT(A509/12)</f>
        <v>106</v>
      </c>
      <c r="D509" s="34" t="n">
        <f aca="false">INT(A509/12)+1</f>
        <v>42</v>
      </c>
      <c r="E509" s="32" t="n">
        <f aca="false">IFERROR(INDEX(Cohort_Survival!$G$5:$G$65,MATCH(C509,Cohort_Survival!$A$5:$A$65,0)),1)</f>
        <v>0.334050814483618</v>
      </c>
      <c r="F509" s="30" t="n">
        <f aca="false">1-(1-MIN(1,E509))^(1/12)</f>
        <v>0.0333110424895741</v>
      </c>
      <c r="G509" s="39" t="n">
        <f aca="false">IF(C509&lt;Assumptions!$B$5,IF(D509=1,Assumptions!$B$16,IF(D509=2,Assumptions!$B$17,IF(D509&lt;=5,Assumptions!$B$18,Assumptions!$B$19)))*(1-Assumptions!$B$20),0)</f>
        <v>0</v>
      </c>
      <c r="H509" s="30" t="n">
        <f aca="false">1-(1-G509)^(1/12)</f>
        <v>0</v>
      </c>
      <c r="I509" s="30" t="n">
        <f aca="false">I508*(1-F508)*(1-H508)</f>
        <v>0.0138661066106928</v>
      </c>
      <c r="J509" s="30" t="n">
        <f aca="false">INDEX(Discount_Monthly!$G$4:$G$664,MATCH(A509,Discount_Monthly!$A$4:$A$664,0))</f>
        <v>0.267335877757876</v>
      </c>
      <c r="K509" s="30" t="n">
        <f aca="false">IF(C509&lt;Assumptions!$B$5,I509*J509,0)</f>
        <v>0</v>
      </c>
      <c r="L509" s="30" t="n">
        <f aca="false">IF(C509&lt;Assumptions!$B$5,I509*(1-F509)*H509*A509*J509,0)</f>
        <v>0</v>
      </c>
      <c r="M509" s="30" t="n">
        <f aca="false">IF(A509=0,Assumptions!$B$14*12*I509*J509,IF(AND(A509&gt;=12,C509&lt;Assumptions!$B$5),Assumptions!$B$15*I509*J509,0))</f>
        <v>0</v>
      </c>
      <c r="N509" s="47" t="n">
        <f aca="false">IF(C509&gt;=Assumptions!$B$5,I509*Assumptions!$B$9/12*(1+Assumptions!$B$10)^INT(A509/12)*J509,0)</f>
        <v>11.1315991999063</v>
      </c>
      <c r="O509" s="47" t="n">
        <f aca="false">I509*Assumptions!$B$12/12*(1+Assumptions!$B$11)^(INT(A509/12)+1)*J509</f>
        <v>0.0697144602779368</v>
      </c>
      <c r="P509" s="47" t="n">
        <f aca="false">O509+Pricing_M!$B$13*M509+N509-Pricing_M!$B$13*K509</f>
        <v>11.2013136601843</v>
      </c>
      <c r="Q509" s="47" t="n">
        <f aca="false">IF(C509&lt;Assumptions!$B$5,Pricing_M!$B$13*K509-Pricing_M!$B$13*M509-O509,-(N509+O509))</f>
        <v>-11.2013136601843</v>
      </c>
      <c r="R509" s="32" t="n">
        <f aca="false">R508*(1-(1-(1-MIN(1,E508*(1-Assumptions!$B$21)))^(1/12)))*(1-H508)</f>
        <v>0.0335746933811993</v>
      </c>
      <c r="S509" s="47" t="n">
        <f aca="false">R509*(IF(C509&lt;Assumptions!$B$5,Assumptions!$B$12*(1+Assumptions!$B$11)^(INT(A509/12)+1)/12+Pricing_M!$B$13*IF(A509=0,Assumptions!$B$14*12,IF(A509&gt;=12,Assumptions!$B$15,0))-Pricing_M!$B$13,Assumptions!$B$9/12*(1+Assumptions!$B$10)^INT(A509/12)+Assumptions!$B$12*(1+Assumptions!$B$11)^(INT(A509/12)+1)/12))*J509</f>
        <v>27.1222977124172</v>
      </c>
      <c r="T509" s="32" t="n">
        <f aca="false">T508*(1-F508)*(1-(1-(1-MIN(1,G508*(1+Assumptions!$B$23)))^(1/12)))</f>
        <v>0.0125610127451793</v>
      </c>
      <c r="U509" s="47" t="n">
        <f aca="false">T509*(IF(C509&lt;Assumptions!$B$5,Assumptions!$B$12*(1+Assumptions!$B$11)^(INT(A509/12)+1)/12+Pricing_M!$B$13*IF(A509=0,Assumptions!$B$14*12,IF(A509&gt;=12,Assumptions!$B$15,0))-Pricing_M!$B$13,Assumptions!$B$9/12*(1+Assumptions!$B$10)^INT(A509/12)+Assumptions!$B$12*(1+Assumptions!$B$11)^(INT(A509/12)+1)/12))*J509</f>
        <v>10.1470331650144</v>
      </c>
      <c r="V509" s="32" t="n">
        <f aca="false">V508*(1-F508)*(1-(1-(1-MIN(1,G508*(1-Assumptions!$B$23)))^(1/12)))</f>
        <v>0.0152927560131613</v>
      </c>
      <c r="W509" s="47" t="n">
        <f aca="false">V509*(IF(C509&lt;Assumptions!$B$5,Assumptions!$B$12*(1+Assumptions!$B$11)^(INT(A509/12)+1)/12+Pricing_M!$B$13*IF(A509=0,Assumptions!$B$14*12,IF(A509&gt;=12,Assumptions!$B$15,0))-Pricing_M!$B$13,Assumptions!$B$9/12*(1+Assumptions!$B$10)^INT(A509/12)+Assumptions!$B$12*(1+Assumptions!$B$11)^(INT(A509/12)+1)/12))*J509</f>
        <v>12.3537891090491</v>
      </c>
      <c r="X509" s="47" t="n">
        <f aca="false">I509*(IF(C509&lt;Assumptions!$B$5,Assumptions!$B$12*(1+Assumptions!$B$11)*(1+Assumptions!$B$24)*(1+Assumptions!$B$11+Assumptions!$B$25)^(INT(A509/12))/12+Pricing_M!$B$13*IF(A509=0,Assumptions!$B$14*12,IF(A509&gt;=12,Assumptions!$B$15,0))-Pricing_M!$B$13,Assumptions!$B$9/12*(1+Assumptions!$B$10)^INT(A509/12)+Assumptions!$B$12*(1+Assumptions!$B$11)*(1+Assumptions!$B$24)*(1+Assumptions!$B$11+Assumptions!$B$25)^(INT(A509/12))/12))*J509</f>
        <v>11.2457795617725</v>
      </c>
    </row>
    <row r="510" customFormat="false" ht="15" hidden="false" customHeight="true" outlineLevel="0" collapsed="false">
      <c r="A510" s="1" t="n">
        <v>503</v>
      </c>
      <c r="B510" s="31" t="n">
        <f aca="false">Assumptions!$B$4+A510/12</f>
        <v>106.916666666667</v>
      </c>
      <c r="C510" s="34" t="n">
        <f aca="false">Assumptions!$B$4+INT(A510/12)</f>
        <v>106</v>
      </c>
      <c r="D510" s="34" t="n">
        <f aca="false">INT(A510/12)+1</f>
        <v>42</v>
      </c>
      <c r="E510" s="32" t="n">
        <f aca="false">IFERROR(INDEX(Cohort_Survival!$G$5:$G$65,MATCH(C510,Cohort_Survival!$A$5:$A$65,0)),1)</f>
        <v>0.334050814483618</v>
      </c>
      <c r="F510" s="30" t="n">
        <f aca="false">1-(1-MIN(1,E510))^(1/12)</f>
        <v>0.0333110424895741</v>
      </c>
      <c r="G510" s="39" t="n">
        <f aca="false">IF(C510&lt;Assumptions!$B$5,IF(D510=1,Assumptions!$B$16,IF(D510=2,Assumptions!$B$17,IF(D510&lt;=5,Assumptions!$B$18,Assumptions!$B$19)))*(1-Assumptions!$B$20),0)</f>
        <v>0</v>
      </c>
      <c r="H510" s="30" t="n">
        <f aca="false">1-(1-G510)^(1/12)</f>
        <v>0</v>
      </c>
      <c r="I510" s="30" t="n">
        <f aca="false">I509*(1-F509)*(1-H509)</f>
        <v>0.013404212144219</v>
      </c>
      <c r="J510" s="30" t="n">
        <f aca="false">INDEX(Discount_Monthly!$G$4:$G$664,MATCH(A510,Discount_Monthly!$A$4:$A$664,0))</f>
        <v>0.266625382664101</v>
      </c>
      <c r="K510" s="30" t="n">
        <f aca="false">IF(C510&lt;Assumptions!$B$5,I510*J510,0)</f>
        <v>0</v>
      </c>
      <c r="L510" s="30" t="n">
        <f aca="false">IF(C510&lt;Assumptions!$B$5,I510*(1-F510)*H510*A510*J510,0)</f>
        <v>0</v>
      </c>
      <c r="M510" s="30" t="n">
        <f aca="false">IF(A510=0,Assumptions!$B$14*12*I510*J510,IF(AND(A510&gt;=12,C510&lt;Assumptions!$B$5),Assumptions!$B$15*I510*J510,0))</f>
        <v>0</v>
      </c>
      <c r="N510" s="47" t="n">
        <f aca="false">IF(C510&gt;=Assumptions!$B$5,I510*Assumptions!$B$9/12*(1+Assumptions!$B$10)^INT(A510/12)*J510,0)</f>
        <v>10.7321952033141</v>
      </c>
      <c r="O510" s="47" t="n">
        <f aca="false">I510*Assumptions!$B$12/12*(1+Assumptions!$B$11)^(INT(A510/12)+1)*J510</f>
        <v>0.067213091556764</v>
      </c>
      <c r="P510" s="47" t="n">
        <f aca="false">O510+Pricing_M!$B$13*M510+N510-Pricing_M!$B$13*K510</f>
        <v>10.7994082948709</v>
      </c>
      <c r="Q510" s="47" t="n">
        <f aca="false">IF(C510&lt;Assumptions!$B$5,Pricing_M!$B$13*K510-Pricing_M!$B$13*M510-O510,-(N510+O510))</f>
        <v>-10.7994082948709</v>
      </c>
      <c r="R510" s="32" t="n">
        <f aca="false">R509*(1-(1-(1-MIN(1,E509*(1-Assumptions!$B$21)))^(1/12)))*(1-H509)</f>
        <v>0.0327158972724583</v>
      </c>
      <c r="S510" s="47" t="n">
        <f aca="false">R510*(IF(C510&lt;Assumptions!$B$5,Assumptions!$B$12*(1+Assumptions!$B$11)^(INT(A510/12)+1)/12+Pricing_M!$B$13*IF(A510=0,Assumptions!$B$14*12,IF(A510&gt;=12,Assumptions!$B$15,0))-Pricing_M!$B$13,Assumptions!$B$9/12*(1+Assumptions!$B$10)^INT(A510/12)+Assumptions!$B$12*(1+Assumptions!$B$11)^(INT(A510/12)+1)/12))*J510</f>
        <v>26.3583065216337</v>
      </c>
      <c r="T510" s="32" t="n">
        <f aca="false">T509*(1-F509)*(1-(1-(1-MIN(1,G509*(1+Assumptions!$B$23)))^(1/12)))</f>
        <v>0.0121425923159125</v>
      </c>
      <c r="U510" s="47" t="n">
        <f aca="false">T510*(IF(C510&lt;Assumptions!$B$5,Assumptions!$B$12*(1+Assumptions!$B$11)^(INT(A510/12)+1)/12+Pricing_M!$B$13*IF(A510=0,Assumptions!$B$14*12,IF(A510&gt;=12,Assumptions!$B$15,0))-Pricing_M!$B$13,Assumptions!$B$9/12*(1+Assumptions!$B$10)^INT(A510/12)+Assumptions!$B$12*(1+Assumptions!$B$11)^(INT(A510/12)+1)/12))*J510</f>
        <v>9.78295559386951</v>
      </c>
      <c r="V510" s="32" t="n">
        <f aca="false">V509*(1-F509)*(1-(1-(1-MIN(1,G509*(1-Assumptions!$B$23)))^(1/12)))</f>
        <v>0.0147833383678242</v>
      </c>
      <c r="W510" s="47" t="n">
        <f aca="false">V510*(IF(C510&lt;Assumptions!$B$5,Assumptions!$B$12*(1+Assumptions!$B$11)^(INT(A510/12)+1)/12+Pricing_M!$B$13*IF(A510=0,Assumptions!$B$14*12,IF(A510&gt;=12,Assumptions!$B$15,0))-Pricing_M!$B$13,Assumptions!$B$9/12*(1+Assumptions!$B$10)^INT(A510/12)+Assumptions!$B$12*(1+Assumptions!$B$11)^(INT(A510/12)+1)/12))*J510</f>
        <v>11.9105326950692</v>
      </c>
      <c r="X510" s="47" t="n">
        <f aca="false">I510*(IF(C510&lt;Assumptions!$B$5,Assumptions!$B$12*(1+Assumptions!$B$11)*(1+Assumptions!$B$24)*(1+Assumptions!$B$11+Assumptions!$B$25)^(INT(A510/12))/12+Pricing_M!$B$13*IF(A510=0,Assumptions!$B$14*12,IF(A510&gt;=12,Assumptions!$B$15,0))-Pricing_M!$B$13,Assumptions!$B$9/12*(1+Assumptions!$B$10)^INT(A510/12)+Assumptions!$B$12*(1+Assumptions!$B$11)*(1+Assumptions!$B$24)*(1+Assumptions!$B$11+Assumptions!$B$25)^(INT(A510/12))/12))*J510</f>
        <v>10.8422787510529</v>
      </c>
    </row>
    <row r="511" customFormat="false" ht="15" hidden="false" customHeight="true" outlineLevel="0" collapsed="false">
      <c r="A511" s="1" t="n">
        <v>504</v>
      </c>
      <c r="B511" s="31" t="n">
        <f aca="false">Assumptions!$B$4+A511/12</f>
        <v>107</v>
      </c>
      <c r="C511" s="34" t="n">
        <f aca="false">Assumptions!$B$4+INT(A511/12)</f>
        <v>107</v>
      </c>
      <c r="D511" s="34" t="n">
        <f aca="false">INT(A511/12)+1</f>
        <v>43</v>
      </c>
      <c r="E511" s="32" t="n">
        <f aca="false">IFERROR(INDEX(Cohort_Survival!$G$5:$G$65,MATCH(C511,Cohort_Survival!$A$5:$A$65,0)),1)</f>
        <v>0.358228438027031</v>
      </c>
      <c r="F511" s="30" t="n">
        <f aca="false">1-(1-MIN(1,E511))^(1/12)</f>
        <v>0.0362855466069443</v>
      </c>
      <c r="G511" s="39" t="n">
        <f aca="false">IF(C511&lt;Assumptions!$B$5,IF(D511=1,Assumptions!$B$16,IF(D511=2,Assumptions!$B$17,IF(D511&lt;=5,Assumptions!$B$18,Assumptions!$B$19)))*(1-Assumptions!$B$20),0)</f>
        <v>0</v>
      </c>
      <c r="H511" s="30" t="n">
        <f aca="false">1-(1-G511)^(1/12)</f>
        <v>0</v>
      </c>
      <c r="I511" s="30" t="n">
        <f aca="false">I510*(1-F510)*(1-H510)</f>
        <v>0.0129577038639437</v>
      </c>
      <c r="J511" s="30" t="n">
        <f aca="false">INDEX(Discount_Monthly!$G$4:$G$664,MATCH(A511,Discount_Monthly!$A$4:$A$664,0))</f>
        <v>0.265916775843918</v>
      </c>
      <c r="K511" s="30" t="n">
        <f aca="false">IF(C511&lt;Assumptions!$B$5,I511*J511,0)</f>
        <v>0</v>
      </c>
      <c r="L511" s="30" t="n">
        <f aca="false">IF(C511&lt;Assumptions!$B$5,I511*(1-F511)*H511*A511*J511,0)</f>
        <v>0</v>
      </c>
      <c r="M511" s="30" t="n">
        <f aca="false">IF(A511=0,Assumptions!$B$14*12*I511*J511,IF(AND(A511&gt;=12,C511&lt;Assumptions!$B$5),Assumptions!$B$15*I511*J511,0))</f>
        <v>0</v>
      </c>
      <c r="N511" s="47" t="n">
        <f aca="false">IF(C511&gt;=Assumptions!$B$5,I511*Assumptions!$B$9/12*(1+Assumptions!$B$10)^INT(A511/12)*J511,0)</f>
        <v>10.5540643397103</v>
      </c>
      <c r="O511" s="47" t="n">
        <f aca="false">I511*Assumptions!$B$12/12*(1+Assumptions!$B$11)^(INT(A511/12)+1)*J511</f>
        <v>0.0664215092546426</v>
      </c>
      <c r="P511" s="47" t="n">
        <f aca="false">O511+Pricing_M!$B$13*M511+N511-Pricing_M!$B$13*K511</f>
        <v>10.620485848965</v>
      </c>
      <c r="Q511" s="47" t="n">
        <f aca="false">IF(C511&lt;Assumptions!$B$5,Pricing_M!$B$13*K511-Pricing_M!$B$13*M511-O511,-(N511+O511))</f>
        <v>-10.620485848965</v>
      </c>
      <c r="R511" s="32" t="n">
        <f aca="false">R510*(1-(1-(1-MIN(1,E510*(1-Assumptions!$B$21)))^(1/12)))*(1-H510)</f>
        <v>0.0318790680287015</v>
      </c>
      <c r="S511" s="47" t="n">
        <f aca="false">R511*(IF(C511&lt;Assumptions!$B$5,Assumptions!$B$12*(1+Assumptions!$B$11)^(INT(A511/12)+1)/12+Pricing_M!$B$13*IF(A511=0,Assumptions!$B$14*12,IF(A511&gt;=12,Assumptions!$B$15,0))-Pricing_M!$B$13,Assumptions!$B$9/12*(1+Assumptions!$B$10)^INT(A511/12)+Assumptions!$B$12*(1+Assumptions!$B$11)^(INT(A511/12)+1)/12))*J511</f>
        <v>26.1289495756366</v>
      </c>
      <c r="T511" s="32" t="n">
        <f aca="false">T510*(1-F510)*(1-(1-(1-MIN(1,G510*(1+Assumptions!$B$23)))^(1/12)))</f>
        <v>0.0117381099073436</v>
      </c>
      <c r="U511" s="47" t="n">
        <f aca="false">T511*(IF(C511&lt;Assumptions!$B$5,Assumptions!$B$12*(1+Assumptions!$B$11)^(INT(A511/12)+1)/12+Pricing_M!$B$13*IF(A511=0,Assumptions!$B$14*12,IF(A511&gt;=12,Assumptions!$B$15,0))-Pricing_M!$B$13,Assumptions!$B$9/12*(1+Assumptions!$B$10)^INT(A511/12)+Assumptions!$B$12*(1+Assumptions!$B$11)^(INT(A511/12)+1)/12))*J511</f>
        <v>9.62087353388521</v>
      </c>
      <c r="V511" s="32" t="n">
        <f aca="false">V510*(1-F510)*(1-(1-(1-MIN(1,G510*(1-Assumptions!$B$23)))^(1/12)))</f>
        <v>0.0142908899553159</v>
      </c>
      <c r="W511" s="47" t="n">
        <f aca="false">V511*(IF(C511&lt;Assumptions!$B$5,Assumptions!$B$12*(1+Assumptions!$B$11)^(INT(A511/12)+1)/12+Pricing_M!$B$13*IF(A511=0,Assumptions!$B$14*12,IF(A511&gt;=12,Assumptions!$B$15,0))-Pricing_M!$B$13,Assumptions!$B$9/12*(1+Assumptions!$B$10)^INT(A511/12)+Assumptions!$B$12*(1+Assumptions!$B$11)^(INT(A511/12)+1)/12))*J511</f>
        <v>11.7132013613834</v>
      </c>
      <c r="X511" s="47" t="n">
        <f aca="false">I511*(IF(C511&lt;Assumptions!$B$5,Assumptions!$B$12*(1+Assumptions!$B$11)*(1+Assumptions!$B$24)*(1+Assumptions!$B$11+Assumptions!$B$25)^(INT(A511/12))/12+Pricing_M!$B$13*IF(A511=0,Assumptions!$B$14*12,IF(A511&gt;=12,Assumptions!$B$15,0))-Pricing_M!$B$13,Assumptions!$B$9/12*(1+Assumptions!$B$10)^INT(A511/12)+Assumptions!$B$12*(1+Assumptions!$B$11)*(1+Assumptions!$B$24)*(1+Assumptions!$B$11+Assumptions!$B$25)^(INT(A511/12))/12))*J511</f>
        <v>10.6639127483129</v>
      </c>
    </row>
    <row r="512" customFormat="false" ht="15" hidden="false" customHeight="true" outlineLevel="0" collapsed="false">
      <c r="A512" s="1" t="n">
        <v>505</v>
      </c>
      <c r="B512" s="31" t="n">
        <f aca="false">Assumptions!$B$4+A512/12</f>
        <v>107.083333333333</v>
      </c>
      <c r="C512" s="34" t="n">
        <f aca="false">Assumptions!$B$4+INT(A512/12)</f>
        <v>107</v>
      </c>
      <c r="D512" s="34" t="n">
        <f aca="false">INT(A512/12)+1</f>
        <v>43</v>
      </c>
      <c r="E512" s="32" t="n">
        <f aca="false">IFERROR(INDEX(Cohort_Survival!$G$5:$G$65,MATCH(C512,Cohort_Survival!$A$5:$A$65,0)),1)</f>
        <v>0.358228438027031</v>
      </c>
      <c r="F512" s="30" t="n">
        <f aca="false">1-(1-MIN(1,E512))^(1/12)</f>
        <v>0.0362855466069443</v>
      </c>
      <c r="G512" s="39" t="n">
        <f aca="false">IF(C512&lt;Assumptions!$B$5,IF(D512=1,Assumptions!$B$16,IF(D512=2,Assumptions!$B$17,IF(D512&lt;=5,Assumptions!$B$18,Assumptions!$B$19)))*(1-Assumptions!$B$20),0)</f>
        <v>0</v>
      </c>
      <c r="H512" s="30" t="n">
        <f aca="false">1-(1-G512)^(1/12)</f>
        <v>0</v>
      </c>
      <c r="I512" s="30" t="n">
        <f aca="false">I511*(1-F511)*(1-H511)</f>
        <v>0.0124875264964696</v>
      </c>
      <c r="J512" s="30" t="n">
        <f aca="false">INDEX(Discount_Monthly!$G$4:$G$664,MATCH(A512,Discount_Monthly!$A$4:$A$664,0))</f>
        <v>0.265200416055272</v>
      </c>
      <c r="K512" s="30" t="n">
        <f aca="false">IF(C512&lt;Assumptions!$B$5,I512*J512,0)</f>
        <v>0</v>
      </c>
      <c r="L512" s="30" t="n">
        <f aca="false">IF(C512&lt;Assumptions!$B$5,I512*(1-F512)*H512*A512*J512,0)</f>
        <v>0</v>
      </c>
      <c r="M512" s="30" t="n">
        <f aca="false">IF(A512=0,Assumptions!$B$14*12*I512*J512,IF(AND(A512&gt;=12,C512&lt;Assumptions!$B$5),Assumptions!$B$15*I512*J512,0))</f>
        <v>0</v>
      </c>
      <c r="N512" s="47" t="n">
        <f aca="false">IF(C512&gt;=Assumptions!$B$5,I512*Assumptions!$B$9/12*(1+Assumptions!$B$10)^INT(A512/12)*J512,0)</f>
        <v>10.1437041563039</v>
      </c>
      <c r="O512" s="47" t="n">
        <f aca="false">I512*Assumptions!$B$12/12*(1+Assumptions!$B$11)^(INT(A512/12)+1)*J512</f>
        <v>0.0638389266738911</v>
      </c>
      <c r="P512" s="47" t="n">
        <f aca="false">O512+Pricing_M!$B$13*M512+N512-Pricing_M!$B$13*K512</f>
        <v>10.2075430829778</v>
      </c>
      <c r="Q512" s="47" t="n">
        <f aca="false">IF(C512&lt;Assumptions!$B$5,Pricing_M!$B$13*K512-Pricing_M!$B$13*M512-O512,-(N512+O512))</f>
        <v>-10.2075430829778</v>
      </c>
      <c r="R512" s="32" t="n">
        <f aca="false">R511*(1-(1-(1-MIN(1,E511*(1-Assumptions!$B$21)))^(1/12)))*(1-H511)</f>
        <v>0.0309944725635479</v>
      </c>
      <c r="S512" s="47" t="n">
        <f aca="false">R512*(IF(C512&lt;Assumptions!$B$5,Assumptions!$B$12*(1+Assumptions!$B$11)^(INT(A512/12)+1)/12+Pricing_M!$B$13*IF(A512=0,Assumptions!$B$14*12,IF(A512&gt;=12,Assumptions!$B$15,0))-Pricing_M!$B$13,Assumptions!$B$9/12*(1+Assumptions!$B$10)^INT(A512/12)+Assumptions!$B$12*(1+Assumptions!$B$11)^(INT(A512/12)+1)/12))*J512</f>
        <v>25.3354748929689</v>
      </c>
      <c r="T512" s="32" t="n">
        <f aca="false">T511*(1-F511)*(1-(1-(1-MIN(1,G511*(1+Assumptions!$B$23)))^(1/12)))</f>
        <v>0.0113121861732232</v>
      </c>
      <c r="U512" s="47" t="n">
        <f aca="false">T512*(IF(C512&lt;Assumptions!$B$5,Assumptions!$B$12*(1+Assumptions!$B$11)^(INT(A512/12)+1)/12+Pricing_M!$B$13*IF(A512=0,Assumptions!$B$14*12,IF(A512&gt;=12,Assumptions!$B$15,0))-Pricing_M!$B$13,Assumptions!$B$9/12*(1+Assumptions!$B$10)^INT(A512/12)+Assumptions!$B$12*(1+Assumptions!$B$11)^(INT(A512/12)+1)/12))*J512</f>
        <v>9.24679741488333</v>
      </c>
      <c r="V512" s="32" t="n">
        <f aca="false">V511*(1-F511)*(1-(1-(1-MIN(1,G511*(1-Assumptions!$B$23)))^(1/12)))</f>
        <v>0.0137723372017876</v>
      </c>
      <c r="W512" s="47" t="n">
        <f aca="false">V512*(IF(C512&lt;Assumptions!$B$5,Assumptions!$B$12*(1+Assumptions!$B$11)^(INT(A512/12)+1)/12+Pricing_M!$B$13*IF(A512=0,Assumptions!$B$14*12,IF(A512&gt;=12,Assumptions!$B$15,0))-Pricing_M!$B$13,Assumptions!$B$9/12*(1+Assumptions!$B$10)^INT(A512/12)+Assumptions!$B$12*(1+Assumptions!$B$11)^(INT(A512/12)+1)/12))*J512</f>
        <v>11.2577719358825</v>
      </c>
      <c r="X512" s="47" t="n">
        <f aca="false">I512*(IF(C512&lt;Assumptions!$B$5,Assumptions!$B$12*(1+Assumptions!$B$11)*(1+Assumptions!$B$24)*(1+Assumptions!$B$11+Assumptions!$B$25)^(INT(A512/12))/12+Pricing_M!$B$13*IF(A512=0,Assumptions!$B$14*12,IF(A512&gt;=12,Assumptions!$B$15,0))-Pricing_M!$B$13,Assumptions!$B$9/12*(1+Assumptions!$B$10)^INT(A512/12)+Assumptions!$B$12*(1+Assumptions!$B$11)*(1+Assumptions!$B$24)*(1+Assumptions!$B$11+Assumptions!$B$25)^(INT(A512/12))/12))*J512</f>
        <v>10.2492814697483</v>
      </c>
    </row>
    <row r="513" customFormat="false" ht="15" hidden="false" customHeight="true" outlineLevel="0" collapsed="false">
      <c r="A513" s="1" t="n">
        <v>506</v>
      </c>
      <c r="B513" s="31" t="n">
        <f aca="false">Assumptions!$B$4+A513/12</f>
        <v>107.166666666667</v>
      </c>
      <c r="C513" s="34" t="n">
        <f aca="false">Assumptions!$B$4+INT(A513/12)</f>
        <v>107</v>
      </c>
      <c r="D513" s="34" t="n">
        <f aca="false">INT(A513/12)+1</f>
        <v>43</v>
      </c>
      <c r="E513" s="32" t="n">
        <f aca="false">IFERROR(INDEX(Cohort_Survival!$G$5:$G$65,MATCH(C513,Cohort_Survival!$A$5:$A$65,0)),1)</f>
        <v>0.358228438027031</v>
      </c>
      <c r="F513" s="30" t="n">
        <f aca="false">1-(1-MIN(1,E513))^(1/12)</f>
        <v>0.0362855466069443</v>
      </c>
      <c r="G513" s="39" t="n">
        <f aca="false">IF(C513&lt;Assumptions!$B$5,IF(D513=1,Assumptions!$B$16,IF(D513=2,Assumptions!$B$17,IF(D513&lt;=5,Assumptions!$B$18,Assumptions!$B$19)))*(1-Assumptions!$B$20),0)</f>
        <v>0</v>
      </c>
      <c r="H513" s="30" t="n">
        <f aca="false">1-(1-G513)^(1/12)</f>
        <v>0</v>
      </c>
      <c r="I513" s="30" t="n">
        <f aca="false">I512*(1-F512)*(1-H512)</f>
        <v>0.0120344097717765</v>
      </c>
      <c r="J513" s="30" t="n">
        <f aca="false">INDEX(Discount_Monthly!$G$4:$G$664,MATCH(A513,Discount_Monthly!$A$4:$A$664,0))</f>
        <v>0.264485986086004</v>
      </c>
      <c r="K513" s="30" t="n">
        <f aca="false">IF(C513&lt;Assumptions!$B$5,I513*J513,0)</f>
        <v>0</v>
      </c>
      <c r="L513" s="30" t="n">
        <f aca="false">IF(C513&lt;Assumptions!$B$5,I513*(1-F513)*H513*A513*J513,0)</f>
        <v>0</v>
      </c>
      <c r="M513" s="30" t="n">
        <f aca="false">IF(A513=0,Assumptions!$B$14*12*I513*J513,IF(AND(A513&gt;=12,C513&lt;Assumptions!$B$5),Assumptions!$B$15*I513*J513,0))</f>
        <v>0</v>
      </c>
      <c r="N513" s="47" t="n">
        <f aca="false">IF(C513&gt;=Assumptions!$B$5,I513*Assumptions!$B$9/12*(1+Assumptions!$B$10)^INT(A513/12)*J513,0)</f>
        <v>9.74929948299343</v>
      </c>
      <c r="O513" s="47" t="n">
        <f aca="false">I513*Assumptions!$B$12/12*(1+Assumptions!$B$11)^(INT(A513/12)+1)*J513</f>
        <v>0.0613567593480962</v>
      </c>
      <c r="P513" s="47" t="n">
        <f aca="false">O513+Pricing_M!$B$13*M513+N513-Pricing_M!$B$13*K513</f>
        <v>9.81065624234152</v>
      </c>
      <c r="Q513" s="47" t="n">
        <f aca="false">IF(C513&lt;Assumptions!$B$5,Pricing_M!$B$13*K513-Pricing_M!$B$13*M513-O513,-(N513+O513))</f>
        <v>-9.81065624234152</v>
      </c>
      <c r="R513" s="32" t="n">
        <f aca="false">R512*(1-(1-(1-MIN(1,E512*(1-Assumptions!$B$21)))^(1/12)))*(1-H512)</f>
        <v>0.0301344232719608</v>
      </c>
      <c r="S513" s="47" t="n">
        <f aca="false">R513*(IF(C513&lt;Assumptions!$B$5,Assumptions!$B$12*(1+Assumptions!$B$11)^(INT(A513/12)+1)/12+Pricing_M!$B$13*IF(A513=0,Assumptions!$B$14*12,IF(A513&gt;=12,Assumptions!$B$15,0))-Pricing_M!$B$13,Assumptions!$B$9/12*(1+Assumptions!$B$10)^INT(A513/12)+Assumptions!$B$12*(1+Assumptions!$B$11)^(INT(A513/12)+1)/12))*J513</f>
        <v>24.5660961683194</v>
      </c>
      <c r="T513" s="32" t="n">
        <f aca="false">T512*(1-F512)*(1-(1-(1-MIN(1,G512*(1+Assumptions!$B$23)))^(1/12)))</f>
        <v>0.0109017173146083</v>
      </c>
      <c r="U513" s="47" t="n">
        <f aca="false">T513*(IF(C513&lt;Assumptions!$B$5,Assumptions!$B$12*(1+Assumptions!$B$11)^(INT(A513/12)+1)/12+Pricing_M!$B$13*IF(A513=0,Assumptions!$B$14*12,IF(A513&gt;=12,Assumptions!$B$15,0))-Pricing_M!$B$13,Assumptions!$B$9/12*(1+Assumptions!$B$10)^INT(A513/12)+Assumptions!$B$12*(1+Assumptions!$B$11)^(INT(A513/12)+1)/12))*J513</f>
        <v>8.88726601911418</v>
      </c>
      <c r="V513" s="32" t="n">
        <f aca="false">V512*(1-F512)*(1-(1-(1-MIN(1,G512*(1-Assumptions!$B$23)))^(1/12)))</f>
        <v>0.0132726004183656</v>
      </c>
      <c r="W513" s="47" t="n">
        <f aca="false">V513*(IF(C513&lt;Assumptions!$B$5,Assumptions!$B$12*(1+Assumptions!$B$11)^(INT(A513/12)+1)/12+Pricing_M!$B$13*IF(A513=0,Assumptions!$B$14*12,IF(A513&gt;=12,Assumptions!$B$15,0))-Pricing_M!$B$13,Assumptions!$B$9/12*(1+Assumptions!$B$10)^INT(A513/12)+Assumptions!$B$12*(1+Assumptions!$B$11)^(INT(A513/12)+1)/12))*J513</f>
        <v>10.8200503901673</v>
      </c>
      <c r="X513" s="47" t="n">
        <f aca="false">I513*(IF(C513&lt;Assumptions!$B$5,Assumptions!$B$12*(1+Assumptions!$B$11)*(1+Assumptions!$B$24)*(1+Assumptions!$B$11+Assumptions!$B$25)^(INT(A513/12))/12+Pricing_M!$B$13*IF(A513=0,Assumptions!$B$14*12,IF(A513&gt;=12,Assumptions!$B$15,0))-Pricing_M!$B$13,Assumptions!$B$9/12*(1+Assumptions!$B$10)^INT(A513/12)+Assumptions!$B$12*(1+Assumptions!$B$11)*(1+Assumptions!$B$24)*(1+Assumptions!$B$11+Assumptions!$B$25)^(INT(A513/12))/12))*J513</f>
        <v>9.85077176880917</v>
      </c>
    </row>
    <row r="514" customFormat="false" ht="15" hidden="false" customHeight="true" outlineLevel="0" collapsed="false">
      <c r="A514" s="1" t="n">
        <v>507</v>
      </c>
      <c r="B514" s="31" t="n">
        <f aca="false">Assumptions!$B$4+A514/12</f>
        <v>107.25</v>
      </c>
      <c r="C514" s="34" t="n">
        <f aca="false">Assumptions!$B$4+INT(A514/12)</f>
        <v>107</v>
      </c>
      <c r="D514" s="34" t="n">
        <f aca="false">INT(A514/12)+1</f>
        <v>43</v>
      </c>
      <c r="E514" s="32" t="n">
        <f aca="false">IFERROR(INDEX(Cohort_Survival!$G$5:$G$65,MATCH(C514,Cohort_Survival!$A$5:$A$65,0)),1)</f>
        <v>0.358228438027031</v>
      </c>
      <c r="F514" s="30" t="n">
        <f aca="false">1-(1-MIN(1,E514))^(1/12)</f>
        <v>0.0362855466069443</v>
      </c>
      <c r="G514" s="39" t="n">
        <f aca="false">IF(C514&lt;Assumptions!$B$5,IF(D514=1,Assumptions!$B$16,IF(D514=2,Assumptions!$B$17,IF(D514&lt;=5,Assumptions!$B$18,Assumptions!$B$19)))*(1-Assumptions!$B$20),0)</f>
        <v>0</v>
      </c>
      <c r="H514" s="30" t="n">
        <f aca="false">1-(1-G514)^(1/12)</f>
        <v>0</v>
      </c>
      <c r="I514" s="30" t="n">
        <f aca="false">I513*(1-F513)*(1-H513)</f>
        <v>0.0115977346351156</v>
      </c>
      <c r="J514" s="30" t="n">
        <f aca="false">INDEX(Discount_Monthly!$G$4:$G$664,MATCH(A514,Discount_Monthly!$A$4:$A$664,0))</f>
        <v>0.263773480737325</v>
      </c>
      <c r="K514" s="30" t="n">
        <f aca="false">IF(C514&lt;Assumptions!$B$5,I514*J514,0)</f>
        <v>0</v>
      </c>
      <c r="L514" s="30" t="n">
        <f aca="false">IF(C514&lt;Assumptions!$B$5,I514*(1-F514)*H514*A514*J514,0)</f>
        <v>0</v>
      </c>
      <c r="M514" s="30" t="n">
        <f aca="false">IF(A514=0,Assumptions!$B$14*12*I514*J514,IF(AND(A514&gt;=12,C514&lt;Assumptions!$B$5),Assumptions!$B$15*I514*J514,0))</f>
        <v>0</v>
      </c>
      <c r="N514" s="47" t="n">
        <f aca="false">IF(C514&gt;=Assumptions!$B$5,I514*Assumptions!$B$9/12*(1+Assumptions!$B$10)^INT(A514/12)*J514,0)</f>
        <v>9.37022994208943</v>
      </c>
      <c r="O514" s="47" t="n">
        <f aca="false">I514*Assumptions!$B$12/12*(1+Assumptions!$B$11)^(INT(A514/12)+1)*J514</f>
        <v>0.0589711029593463</v>
      </c>
      <c r="P514" s="47" t="n">
        <f aca="false">O514+Pricing_M!$B$13*M514+N514-Pricing_M!$B$13*K514</f>
        <v>9.42920104504878</v>
      </c>
      <c r="Q514" s="47" t="n">
        <f aca="false">IF(C514&lt;Assumptions!$B$5,Pricing_M!$B$13*K514-Pricing_M!$B$13*M514-O514,-(N514+O514))</f>
        <v>-9.42920104504878</v>
      </c>
      <c r="R514" s="32" t="n">
        <f aca="false">R513*(1-(1-(1-MIN(1,E513*(1-Assumptions!$B$21)))^(1/12)))*(1-H513)</f>
        <v>0.0292982390351005</v>
      </c>
      <c r="S514" s="47" t="n">
        <f aca="false">R514*(IF(C514&lt;Assumptions!$B$5,Assumptions!$B$12*(1+Assumptions!$B$11)^(INT(A514/12)+1)/12+Pricing_M!$B$13*IF(A514=0,Assumptions!$B$14*12,IF(A514&gt;=12,Assumptions!$B$15,0))-Pricing_M!$B$13,Assumptions!$B$9/12*(1+Assumptions!$B$10)^INT(A514/12)+Assumptions!$B$12*(1+Assumptions!$B$11)^(INT(A514/12)+1)/12))*J514</f>
        <v>23.8200816641728</v>
      </c>
      <c r="T514" s="32" t="n">
        <f aca="false">T513*(1-F513)*(1-(1-(1-MIN(1,G513*(1+Assumptions!$B$23)))^(1/12)))</f>
        <v>0.0105061425428934</v>
      </c>
      <c r="U514" s="47" t="n">
        <f aca="false">T514*(IF(C514&lt;Assumptions!$B$5,Assumptions!$B$12*(1+Assumptions!$B$11)^(INT(A514/12)+1)/12+Pricing_M!$B$13*IF(A514=0,Assumptions!$B$14*12,IF(A514&gt;=12,Assumptions!$B$15,0))-Pricing_M!$B$13,Assumptions!$B$9/12*(1+Assumptions!$B$10)^INT(A514/12)+Assumptions!$B$12*(1+Assumptions!$B$11)^(INT(A514/12)+1)/12))*J514</f>
        <v>8.54171382270931</v>
      </c>
      <c r="V514" s="32" t="n">
        <f aca="false">V513*(1-F513)*(1-(1-(1-MIN(1,G513*(1-Assumptions!$B$23)))^(1/12)))</f>
        <v>0.0127909968572896</v>
      </c>
      <c r="W514" s="47" t="n">
        <f aca="false">V514*(IF(C514&lt;Assumptions!$B$5,Assumptions!$B$12*(1+Assumptions!$B$11)^(INT(A514/12)+1)/12+Pricing_M!$B$13*IF(A514=0,Assumptions!$B$14*12,IF(A514&gt;=12,Assumptions!$B$15,0))-Pricing_M!$B$13,Assumptions!$B$9/12*(1+Assumptions!$B$10)^INT(A514/12)+Assumptions!$B$12*(1+Assumptions!$B$11)^(INT(A514/12)+1)/12))*J514</f>
        <v>10.3993482113991</v>
      </c>
      <c r="X514" s="47" t="n">
        <f aca="false">I514*(IF(C514&lt;Assumptions!$B$5,Assumptions!$B$12*(1+Assumptions!$B$11)*(1+Assumptions!$B$24)*(1+Assumptions!$B$11+Assumptions!$B$25)^(INT(A514/12))/12+Pricing_M!$B$13*IF(A514=0,Assumptions!$B$14*12,IF(A514&gt;=12,Assumptions!$B$15,0))-Pricing_M!$B$13,Assumptions!$B$9/12*(1+Assumptions!$B$10)^INT(A514/12)+Assumptions!$B$12*(1+Assumptions!$B$11)*(1+Assumptions!$B$24)*(1+Assumptions!$B$11+Assumptions!$B$25)^(INT(A514/12))/12))*J514</f>
        <v>9.46775681081488</v>
      </c>
    </row>
    <row r="515" customFormat="false" ht="15" hidden="false" customHeight="true" outlineLevel="0" collapsed="false">
      <c r="A515" s="1" t="n">
        <v>508</v>
      </c>
      <c r="B515" s="31" t="n">
        <f aca="false">Assumptions!$B$4+A515/12</f>
        <v>107.333333333333</v>
      </c>
      <c r="C515" s="34" t="n">
        <f aca="false">Assumptions!$B$4+INT(A515/12)</f>
        <v>107</v>
      </c>
      <c r="D515" s="34" t="n">
        <f aca="false">INT(A515/12)+1</f>
        <v>43</v>
      </c>
      <c r="E515" s="32" t="n">
        <f aca="false">IFERROR(INDEX(Cohort_Survival!$G$5:$G$65,MATCH(C515,Cohort_Survival!$A$5:$A$65,0)),1)</f>
        <v>0.358228438027031</v>
      </c>
      <c r="F515" s="30" t="n">
        <f aca="false">1-(1-MIN(1,E515))^(1/12)</f>
        <v>0.0362855466069443</v>
      </c>
      <c r="G515" s="39" t="n">
        <f aca="false">IF(C515&lt;Assumptions!$B$5,IF(D515=1,Assumptions!$B$16,IF(D515=2,Assumptions!$B$17,IF(D515&lt;=5,Assumptions!$B$18,Assumptions!$B$19)))*(1-Assumptions!$B$20),0)</f>
        <v>0</v>
      </c>
      <c r="H515" s="30" t="n">
        <f aca="false">1-(1-G515)^(1/12)</f>
        <v>0</v>
      </c>
      <c r="I515" s="30" t="n">
        <f aca="false">I514*(1-F514)*(1-H514)</f>
        <v>0.0111769044944781</v>
      </c>
      <c r="J515" s="30" t="n">
        <f aca="false">INDEX(Discount_Monthly!$G$4:$G$664,MATCH(A515,Discount_Monthly!$A$4:$A$664,0))</f>
        <v>0.263062894824452</v>
      </c>
      <c r="K515" s="30" t="n">
        <f aca="false">IF(C515&lt;Assumptions!$B$5,I515*J515,0)</f>
        <v>0</v>
      </c>
      <c r="L515" s="30" t="n">
        <f aca="false">IF(C515&lt;Assumptions!$B$5,I515*(1-F515)*H515*A515*J515,0)</f>
        <v>0</v>
      </c>
      <c r="M515" s="30" t="n">
        <f aca="false">IF(A515=0,Assumptions!$B$14*12*I515*J515,IF(AND(A515&gt;=12,C515&lt;Assumptions!$B$5),Assumptions!$B$15*I515*J515,0))</f>
        <v>0</v>
      </c>
      <c r="N515" s="47" t="n">
        <f aca="false">IF(C515&gt;=Assumptions!$B$5,I515*Assumptions!$B$9/12*(1+Assumptions!$B$10)^INT(A515/12)*J515,0)</f>
        <v>9.00589927725462</v>
      </c>
      <c r="O515" s="47" t="n">
        <f aca="false">I515*Assumptions!$B$12/12*(1+Assumptions!$B$11)^(INT(A515/12)+1)*J515</f>
        <v>0.056678204996329</v>
      </c>
      <c r="P515" s="47" t="n">
        <f aca="false">O515+Pricing_M!$B$13*M515+N515-Pricing_M!$B$13*K515</f>
        <v>9.06257748225095</v>
      </c>
      <c r="Q515" s="47" t="n">
        <f aca="false">IF(C515&lt;Assumptions!$B$5,Pricing_M!$B$13*K515-Pricing_M!$B$13*M515-O515,-(N515+O515))</f>
        <v>-9.06257748225095</v>
      </c>
      <c r="R515" s="32" t="n">
        <f aca="false">R514*(1-(1-(1-MIN(1,E514*(1-Assumptions!$B$21)))^(1/12)))*(1-H514)</f>
        <v>0.0284852576341354</v>
      </c>
      <c r="S515" s="47" t="n">
        <f aca="false">R515*(IF(C515&lt;Assumptions!$B$5,Assumptions!$B$12*(1+Assumptions!$B$11)^(INT(A515/12)+1)/12+Pricing_M!$B$13*IF(A515=0,Assumptions!$B$14*12,IF(A515&gt;=12,Assumptions!$B$15,0))-Pricing_M!$B$13,Assumptions!$B$9/12*(1+Assumptions!$B$10)^INT(A515/12)+Assumptions!$B$12*(1+Assumptions!$B$11)^(INT(A515/12)+1)/12))*J515</f>
        <v>23.0967218641592</v>
      </c>
      <c r="T515" s="32" t="n">
        <f aca="false">T514*(1-F514)*(1-(1-(1-MIN(1,G514*(1+Assumptions!$B$23)))^(1/12)))</f>
        <v>0.010124921417994</v>
      </c>
      <c r="U515" s="47" t="n">
        <f aca="false">T515*(IF(C515&lt;Assumptions!$B$5,Assumptions!$B$12*(1+Assumptions!$B$11)^(INT(A515/12)+1)/12+Pricing_M!$B$13*IF(A515=0,Assumptions!$B$14*12,IF(A515&gt;=12,Assumptions!$B$15,0))-Pricing_M!$B$13,Assumptions!$B$9/12*(1+Assumptions!$B$10)^INT(A515/12)+Assumptions!$B$12*(1+Assumptions!$B$11)^(INT(A515/12)+1)/12))*J515</f>
        <v>8.20959729034143</v>
      </c>
      <c r="V515" s="32" t="n">
        <f aca="false">V514*(1-F514)*(1-(1-(1-MIN(1,G514*(1-Assumptions!$B$23)))^(1/12)))</f>
        <v>0.0123268685446751</v>
      </c>
      <c r="W515" s="47" t="n">
        <f aca="false">V515*(IF(C515&lt;Assumptions!$B$5,Assumptions!$B$12*(1+Assumptions!$B$11)^(INT(A515/12)+1)/12+Pricing_M!$B$13*IF(A515=0,Assumptions!$B$14*12,IF(A515&gt;=12,Assumptions!$B$15,0))-Pricing_M!$B$13,Assumptions!$B$9/12*(1+Assumptions!$B$10)^INT(A515/12)+Assumptions!$B$12*(1+Assumptions!$B$11)^(INT(A515/12)+1)/12))*J515</f>
        <v>9.99500365730346</v>
      </c>
      <c r="X515" s="47" t="n">
        <f aca="false">I515*(IF(C515&lt;Assumptions!$B$5,Assumptions!$B$12*(1+Assumptions!$B$11)*(1+Assumptions!$B$24)*(1+Assumptions!$B$11+Assumptions!$B$25)^(INT(A515/12))/12+Pricing_M!$B$13*IF(A515=0,Assumptions!$B$14*12,IF(A515&gt;=12,Assumptions!$B$15,0))-Pricing_M!$B$13,Assumptions!$B$9/12*(1+Assumptions!$B$10)^INT(A515/12)+Assumptions!$B$12*(1+Assumptions!$B$11)*(1+Assumptions!$B$24)*(1+Assumptions!$B$11+Assumptions!$B$25)^(INT(A515/12))/12))*J515</f>
        <v>9.09963413349568</v>
      </c>
    </row>
    <row r="516" customFormat="false" ht="15" hidden="false" customHeight="true" outlineLevel="0" collapsed="false">
      <c r="A516" s="1" t="n">
        <v>509</v>
      </c>
      <c r="B516" s="31" t="n">
        <f aca="false">Assumptions!$B$4+A516/12</f>
        <v>107.416666666667</v>
      </c>
      <c r="C516" s="34" t="n">
        <f aca="false">Assumptions!$B$4+INT(A516/12)</f>
        <v>107</v>
      </c>
      <c r="D516" s="34" t="n">
        <f aca="false">INT(A516/12)+1</f>
        <v>43</v>
      </c>
      <c r="E516" s="32" t="n">
        <f aca="false">IFERROR(INDEX(Cohort_Survival!$G$5:$G$65,MATCH(C516,Cohort_Survival!$A$5:$A$65,0)),1)</f>
        <v>0.358228438027031</v>
      </c>
      <c r="F516" s="30" t="n">
        <f aca="false">1-(1-MIN(1,E516))^(1/12)</f>
        <v>0.0362855466069443</v>
      </c>
      <c r="G516" s="39" t="n">
        <f aca="false">IF(C516&lt;Assumptions!$B$5,IF(D516=1,Assumptions!$B$16,IF(D516=2,Assumptions!$B$17,IF(D516&lt;=5,Assumptions!$B$18,Assumptions!$B$19)))*(1-Assumptions!$B$20),0)</f>
        <v>0</v>
      </c>
      <c r="H516" s="30" t="n">
        <f aca="false">1-(1-G516)^(1/12)</f>
        <v>0</v>
      </c>
      <c r="I516" s="30" t="n">
        <f aca="false">I515*(1-F515)*(1-H515)</f>
        <v>0.0107713444055224</v>
      </c>
      <c r="J516" s="30" t="n">
        <f aca="false">INDEX(Discount_Monthly!$G$4:$G$664,MATCH(A516,Discount_Monthly!$A$4:$A$664,0))</f>
        <v>0.262354223176569</v>
      </c>
      <c r="K516" s="30" t="n">
        <f aca="false">IF(C516&lt;Assumptions!$B$5,I516*J516,0)</f>
        <v>0</v>
      </c>
      <c r="L516" s="30" t="n">
        <f aca="false">IF(C516&lt;Assumptions!$B$5,I516*(1-F516)*H516*A516*J516,0)</f>
        <v>0</v>
      </c>
      <c r="M516" s="30" t="n">
        <f aca="false">IF(A516=0,Assumptions!$B$14*12*I516*J516,IF(AND(A516&gt;=12,C516&lt;Assumptions!$B$5),Assumptions!$B$15*I516*J516,0))</f>
        <v>0</v>
      </c>
      <c r="N516" s="47" t="n">
        <f aca="false">IF(C516&gt;=Assumptions!$B$5,I516*Assumptions!$B$9/12*(1+Assumptions!$B$10)^INT(A516/12)*J516,0)</f>
        <v>8.65573441562414</v>
      </c>
      <c r="O516" s="47" t="n">
        <f aca="false">I516*Assumptions!$B$12/12*(1+Assumptions!$B$11)^(INT(A516/12)+1)*J516</f>
        <v>0.0544744588518292</v>
      </c>
      <c r="P516" s="47" t="n">
        <f aca="false">O516+Pricing_M!$B$13*M516+N516-Pricing_M!$B$13*K516</f>
        <v>8.71020887447597</v>
      </c>
      <c r="Q516" s="47" t="n">
        <f aca="false">IF(C516&lt;Assumptions!$B$5,Pricing_M!$B$13*K516-Pricing_M!$B$13*M516-O516,-(N516+O516))</f>
        <v>-8.71020887447597</v>
      </c>
      <c r="R516" s="32" t="n">
        <f aca="false">R515*(1-(1-(1-MIN(1,E515*(1-Assumptions!$B$21)))^(1/12)))*(1-H515)</f>
        <v>0.0276948352257952</v>
      </c>
      <c r="S516" s="47" t="n">
        <f aca="false">R516*(IF(C516&lt;Assumptions!$B$5,Assumptions!$B$12*(1+Assumptions!$B$11)^(INT(A516/12)+1)/12+Pricing_M!$B$13*IF(A516=0,Assumptions!$B$14*12,IF(A516&gt;=12,Assumptions!$B$15,0))-Pricing_M!$B$13,Assumptions!$B$9/12*(1+Assumptions!$B$10)^INT(A516/12)+Assumptions!$B$12*(1+Assumptions!$B$11)^(INT(A516/12)+1)/12))*J516</f>
        <v>22.3953287982506</v>
      </c>
      <c r="T516" s="32" t="n">
        <f aca="false">T515*(1-F515)*(1-(1-(1-MIN(1,G515*(1+Assumptions!$B$23)))^(1/12)))</f>
        <v>0.00975753310998973</v>
      </c>
      <c r="U516" s="47" t="n">
        <f aca="false">T516*(IF(C516&lt;Assumptions!$B$5,Assumptions!$B$12*(1+Assumptions!$B$11)^(INT(A516/12)+1)/12+Pricing_M!$B$13*IF(A516=0,Assumptions!$B$14*12,IF(A516&gt;=12,Assumptions!$B$15,0))-Pricing_M!$B$13,Assumptions!$B$9/12*(1+Assumptions!$B$10)^INT(A516/12)+Assumptions!$B$12*(1+Assumptions!$B$11)^(INT(A516/12)+1)/12))*J516</f>
        <v>7.89039402027214</v>
      </c>
      <c r="V516" s="32" t="n">
        <f aca="false">V515*(1-F515)*(1-(1-(1-MIN(1,G515*(1-Assumptions!$B$23)))^(1/12)))</f>
        <v>0.0118795813815797</v>
      </c>
      <c r="W516" s="47" t="n">
        <f aca="false">V516*(IF(C516&lt;Assumptions!$B$5,Assumptions!$B$12*(1+Assumptions!$B$11)^(INT(A516/12)+1)/12+Pricing_M!$B$13*IF(A516=0,Assumptions!$B$14*12,IF(A516&gt;=12,Assumptions!$B$15,0))-Pricing_M!$B$13,Assumptions!$B$9/12*(1+Assumptions!$B$10)^INT(A516/12)+Assumptions!$B$12*(1+Assumptions!$B$11)^(INT(A516/12)+1)/12))*J516</f>
        <v>9.6063807152842</v>
      </c>
      <c r="X516" s="47" t="n">
        <f aca="false">I516*(IF(C516&lt;Assumptions!$B$5,Assumptions!$B$12*(1+Assumptions!$B$11)*(1+Assumptions!$B$24)*(1+Assumptions!$B$11+Assumptions!$B$25)^(INT(A516/12))/12+Pricing_M!$B$13*IF(A516=0,Assumptions!$B$14*12,IF(A516&gt;=12,Assumptions!$B$15,0))-Pricing_M!$B$13,Assumptions!$B$9/12*(1+Assumptions!$B$10)^INT(A516/12)+Assumptions!$B$12*(1+Assumptions!$B$11)*(1+Assumptions!$B$24)*(1+Assumptions!$B$11+Assumptions!$B$25)^(INT(A516/12))/12))*J516</f>
        <v>8.74582469935166</v>
      </c>
    </row>
    <row r="517" customFormat="false" ht="15" hidden="false" customHeight="true" outlineLevel="0" collapsed="false">
      <c r="A517" s="1" t="n">
        <v>510</v>
      </c>
      <c r="B517" s="31" t="n">
        <f aca="false">Assumptions!$B$4+A517/12</f>
        <v>107.5</v>
      </c>
      <c r="C517" s="34" t="n">
        <f aca="false">Assumptions!$B$4+INT(A517/12)</f>
        <v>107</v>
      </c>
      <c r="D517" s="34" t="n">
        <f aca="false">INT(A517/12)+1</f>
        <v>43</v>
      </c>
      <c r="E517" s="32" t="n">
        <f aca="false">IFERROR(INDEX(Cohort_Survival!$G$5:$G$65,MATCH(C517,Cohort_Survival!$A$5:$A$65,0)),1)</f>
        <v>0.358228438027031</v>
      </c>
      <c r="F517" s="30" t="n">
        <f aca="false">1-(1-MIN(1,E517))^(1/12)</f>
        <v>0.0362855466069443</v>
      </c>
      <c r="G517" s="39" t="n">
        <f aca="false">IF(C517&lt;Assumptions!$B$5,IF(D517=1,Assumptions!$B$16,IF(D517=2,Assumptions!$B$17,IF(D517&lt;=5,Assumptions!$B$18,Assumptions!$B$19)))*(1-Assumptions!$B$20),0)</f>
        <v>0</v>
      </c>
      <c r="H517" s="30" t="n">
        <f aca="false">1-(1-G517)^(1/12)</f>
        <v>0</v>
      </c>
      <c r="I517" s="30" t="n">
        <f aca="false">I516*(1-F516)*(1-H516)</f>
        <v>0.0103805002860764</v>
      </c>
      <c r="J517" s="30" t="n">
        <f aca="false">INDEX(Discount_Monthly!$G$4:$G$664,MATCH(A517,Discount_Monthly!$A$4:$A$664,0))</f>
        <v>0.261647460636791</v>
      </c>
      <c r="K517" s="30" t="n">
        <f aca="false">IF(C517&lt;Assumptions!$B$5,I517*J517,0)</f>
        <v>0</v>
      </c>
      <c r="L517" s="30" t="n">
        <f aca="false">IF(C517&lt;Assumptions!$B$5,I517*(1-F517)*H517*A517*J517,0)</f>
        <v>0</v>
      </c>
      <c r="M517" s="30" t="n">
        <f aca="false">IF(A517=0,Assumptions!$B$14*12*I517*J517,IF(AND(A517&gt;=12,C517&lt;Assumptions!$B$5),Assumptions!$B$15*I517*J517,0))</f>
        <v>0</v>
      </c>
      <c r="N517" s="47" t="n">
        <f aca="false">IF(C517&gt;=Assumptions!$B$5,I517*Assumptions!$B$9/12*(1+Assumptions!$B$10)^INT(A517/12)*J517,0)</f>
        <v>8.3191845663923</v>
      </c>
      <c r="O517" s="47" t="n">
        <f aca="false">I517*Assumptions!$B$12/12*(1+Assumptions!$B$11)^(INT(A517/12)+1)*J517</f>
        <v>0.0523563981497267</v>
      </c>
      <c r="P517" s="47" t="n">
        <f aca="false">O517+Pricing_M!$B$13*M517+N517-Pricing_M!$B$13*K517</f>
        <v>8.37154096454203</v>
      </c>
      <c r="Q517" s="47" t="n">
        <f aca="false">IF(C517&lt;Assumptions!$B$5,Pricing_M!$B$13*K517-Pricing_M!$B$13*M517-O517,-(N517+O517))</f>
        <v>-8.37154096454203</v>
      </c>
      <c r="R517" s="32" t="n">
        <f aca="false">R516*(1-(1-(1-MIN(1,E516*(1-Assumptions!$B$21)))^(1/12)))*(1-H516)</f>
        <v>0.0269263458324773</v>
      </c>
      <c r="S517" s="47" t="n">
        <f aca="false">R517*(IF(C517&lt;Assumptions!$B$5,Assumptions!$B$12*(1+Assumptions!$B$11)^(INT(A517/12)+1)/12+Pricing_M!$B$13*IF(A517=0,Assumptions!$B$14*12,IF(A517&gt;=12,Assumptions!$B$15,0))-Pricing_M!$B$13,Assumptions!$B$9/12*(1+Assumptions!$B$10)^INT(A517/12)+Assumptions!$B$12*(1+Assumptions!$B$11)^(INT(A517/12)+1)/12))*J517</f>
        <v>21.7152353884489</v>
      </c>
      <c r="T517" s="32" t="n">
        <f aca="false">T516*(1-F516)*(1-(1-(1-MIN(1,G516*(1+Assumptions!$B$23)))^(1/12)))</f>
        <v>0.00940347568755839</v>
      </c>
      <c r="U517" s="47" t="n">
        <f aca="false">T517*(IF(C517&lt;Assumptions!$B$5,Assumptions!$B$12*(1+Assumptions!$B$11)^(INT(A517/12)+1)/12+Pricing_M!$B$13*IF(A517=0,Assumptions!$B$14*12,IF(A517&gt;=12,Assumptions!$B$15,0))-Pricing_M!$B$13,Assumptions!$B$9/12*(1+Assumptions!$B$10)^INT(A517/12)+Assumptions!$B$12*(1+Assumptions!$B$11)^(INT(A517/12)+1)/12))*J517</f>
        <v>7.58360192264157</v>
      </c>
      <c r="V517" s="32" t="n">
        <f aca="false">V516*(1-F516)*(1-(1-(1-MIN(1,G516*(1-Assumptions!$B$23)))^(1/12)))</f>
        <v>0.0114485242776874</v>
      </c>
      <c r="W517" s="47" t="n">
        <f aca="false">V517*(IF(C517&lt;Assumptions!$B$5,Assumptions!$B$12*(1+Assumptions!$B$11)^(INT(A517/12)+1)/12+Pricing_M!$B$13*IF(A517=0,Assumptions!$B$14*12,IF(A517&gt;=12,Assumptions!$B$15,0))-Pricing_M!$B$13,Assumptions!$B$9/12*(1+Assumptions!$B$10)^INT(A517/12)+Assumptions!$B$12*(1+Assumptions!$B$11)^(INT(A517/12)+1)/12))*J517</f>
        <v>9.23286810200938</v>
      </c>
      <c r="X517" s="47" t="n">
        <f aca="false">I517*(IF(C517&lt;Assumptions!$B$5,Assumptions!$B$12*(1+Assumptions!$B$11)*(1+Assumptions!$B$24)*(1+Assumptions!$B$11+Assumptions!$B$25)^(INT(A517/12))/12+Pricing_M!$B$13*IF(A517=0,Assumptions!$B$14*12,IF(A517&gt;=12,Assumptions!$B$15,0))-Pricing_M!$B$13,Assumptions!$B$9/12*(1+Assumptions!$B$10)^INT(A517/12)+Assumptions!$B$12*(1+Assumptions!$B$11)*(1+Assumptions!$B$24)*(1+Assumptions!$B$11+Assumptions!$B$25)^(INT(A517/12))/12))*J517</f>
        <v>8.40577198485734</v>
      </c>
    </row>
    <row r="518" customFormat="false" ht="15" hidden="false" customHeight="true" outlineLevel="0" collapsed="false">
      <c r="A518" s="1" t="n">
        <v>511</v>
      </c>
      <c r="B518" s="31" t="n">
        <f aca="false">Assumptions!$B$4+A518/12</f>
        <v>107.583333333333</v>
      </c>
      <c r="C518" s="34" t="n">
        <f aca="false">Assumptions!$B$4+INT(A518/12)</f>
        <v>107</v>
      </c>
      <c r="D518" s="34" t="n">
        <f aca="false">INT(A518/12)+1</f>
        <v>43</v>
      </c>
      <c r="E518" s="32" t="n">
        <f aca="false">IFERROR(INDEX(Cohort_Survival!$G$5:$G$65,MATCH(C518,Cohort_Survival!$A$5:$A$65,0)),1)</f>
        <v>0.358228438027031</v>
      </c>
      <c r="F518" s="30" t="n">
        <f aca="false">1-(1-MIN(1,E518))^(1/12)</f>
        <v>0.0362855466069443</v>
      </c>
      <c r="G518" s="39" t="n">
        <f aca="false">IF(C518&lt;Assumptions!$B$5,IF(D518=1,Assumptions!$B$16,IF(D518=2,Assumptions!$B$17,IF(D518&lt;=5,Assumptions!$B$18,Assumptions!$B$19)))*(1-Assumptions!$B$20),0)</f>
        <v>0</v>
      </c>
      <c r="H518" s="30" t="n">
        <f aca="false">1-(1-G518)^(1/12)</f>
        <v>0</v>
      </c>
      <c r="I518" s="30" t="n">
        <f aca="false">I517*(1-F517)*(1-H517)</f>
        <v>0.0100038381591425</v>
      </c>
      <c r="J518" s="30" t="n">
        <f aca="false">INDEX(Discount_Monthly!$G$4:$G$664,MATCH(A518,Discount_Monthly!$A$4:$A$664,0))</f>
        <v>0.260942602062124</v>
      </c>
      <c r="K518" s="30" t="n">
        <f aca="false">IF(C518&lt;Assumptions!$B$5,I518*J518,0)</f>
        <v>0</v>
      </c>
      <c r="L518" s="30" t="n">
        <f aca="false">IF(C518&lt;Assumptions!$B$5,I518*(1-F518)*H518*A518*J518,0)</f>
        <v>0</v>
      </c>
      <c r="M518" s="30" t="n">
        <f aca="false">IF(A518=0,Assumptions!$B$14*12*I518*J518,IF(AND(A518&gt;=12,C518&lt;Assumptions!$B$5),Assumptions!$B$15*I518*J518,0))</f>
        <v>0</v>
      </c>
      <c r="N518" s="47" t="n">
        <f aca="false">IF(C518&gt;=Assumptions!$B$5,I518*Assumptions!$B$9/12*(1+Assumptions!$B$10)^INT(A518/12)*J518,0)</f>
        <v>7.99572035444775</v>
      </c>
      <c r="O518" s="47" t="n">
        <f aca="false">I518*Assumptions!$B$12/12*(1+Assumptions!$B$11)^(INT(A518/12)+1)*J518</f>
        <v>0.05032069129257</v>
      </c>
      <c r="P518" s="47" t="n">
        <f aca="false">O518+Pricing_M!$B$13*M518+N518-Pricing_M!$B$13*K518</f>
        <v>8.04604104574032</v>
      </c>
      <c r="Q518" s="47" t="n">
        <f aca="false">IF(C518&lt;Assumptions!$B$5,Pricing_M!$B$13*K518-Pricing_M!$B$13*M518-O518,-(N518+O518))</f>
        <v>-8.04604104574032</v>
      </c>
      <c r="R518" s="32" t="n">
        <f aca="false">R517*(1-(1-(1-MIN(1,E517*(1-Assumptions!$B$21)))^(1/12)))*(1-H517)</f>
        <v>0.0261791808465021</v>
      </c>
      <c r="S518" s="47" t="n">
        <f aca="false">R518*(IF(C518&lt;Assumptions!$B$5,Assumptions!$B$12*(1+Assumptions!$B$11)^(INT(A518/12)+1)/12+Pricing_M!$B$13*IF(A518=0,Assumptions!$B$14*12,IF(A518&gt;=12,Assumptions!$B$15,0))-Pricing_M!$B$13,Assumptions!$B$9/12*(1+Assumptions!$B$10)^INT(A518/12)+Assumptions!$B$12*(1+Assumptions!$B$11)^(INT(A518/12)+1)/12))*J518</f>
        <v>21.0557948143445</v>
      </c>
      <c r="T518" s="32" t="n">
        <f aca="false">T517*(1-F517)*(1-(1-(1-MIN(1,G517*(1+Assumptions!$B$23)))^(1/12)))</f>
        <v>0.00906226543223023</v>
      </c>
      <c r="U518" s="47" t="n">
        <f aca="false">T518*(IF(C518&lt;Assumptions!$B$5,Assumptions!$B$12*(1+Assumptions!$B$11)^(INT(A518/12)+1)/12+Pricing_M!$B$13*IF(A518=0,Assumptions!$B$14*12,IF(A518&gt;=12,Assumptions!$B$15,0))-Pricing_M!$B$13,Assumptions!$B$9/12*(1+Assumptions!$B$10)^INT(A518/12)+Assumptions!$B$12*(1+Assumptions!$B$11)^(INT(A518/12)+1)/12))*J518</f>
        <v>7.28873842970765</v>
      </c>
      <c r="V518" s="32" t="n">
        <f aca="false">V517*(1-F517)*(1-(1-(1-MIN(1,G517*(1-Assumptions!$B$23)))^(1/12)))</f>
        <v>0.0110331083164286</v>
      </c>
      <c r="W518" s="47" t="n">
        <f aca="false">V518*(IF(C518&lt;Assumptions!$B$5,Assumptions!$B$12*(1+Assumptions!$B$11)^(INT(A518/12)+1)/12+Pricing_M!$B$13*IF(A518=0,Assumptions!$B$14*12,IF(A518&gt;=12,Assumptions!$B$15,0))-Pricing_M!$B$13,Assumptions!$B$9/12*(1+Assumptions!$B$10)^INT(A518/12)+Assumptions!$B$12*(1+Assumptions!$B$11)^(INT(A518/12)+1)/12))*J518</f>
        <v>8.87387830189492</v>
      </c>
      <c r="X518" s="47" t="n">
        <f aca="false">I518*(IF(C518&lt;Assumptions!$B$5,Assumptions!$B$12*(1+Assumptions!$B$11)*(1+Assumptions!$B$24)*(1+Assumptions!$B$11+Assumptions!$B$25)^(INT(A518/12))/12+Pricing_M!$B$13*IF(A518=0,Assumptions!$B$14*12,IF(A518&gt;=12,Assumptions!$B$15,0))-Pricing_M!$B$13,Assumptions!$B$9/12*(1+Assumptions!$B$10)^INT(A518/12)+Assumptions!$B$12*(1+Assumptions!$B$11)*(1+Assumptions!$B$24)*(1+Assumptions!$B$11+Assumptions!$B$25)^(INT(A518/12))/12))*J518</f>
        <v>8.07894110507959</v>
      </c>
    </row>
    <row r="519" customFormat="false" ht="15" hidden="false" customHeight="true" outlineLevel="0" collapsed="false">
      <c r="A519" s="1" t="n">
        <v>512</v>
      </c>
      <c r="B519" s="31" t="n">
        <f aca="false">Assumptions!$B$4+A519/12</f>
        <v>107.666666666667</v>
      </c>
      <c r="C519" s="34" t="n">
        <f aca="false">Assumptions!$B$4+INT(A519/12)</f>
        <v>107</v>
      </c>
      <c r="D519" s="34" t="n">
        <f aca="false">INT(A519/12)+1</f>
        <v>43</v>
      </c>
      <c r="E519" s="32" t="n">
        <f aca="false">IFERROR(INDEX(Cohort_Survival!$G$5:$G$65,MATCH(C519,Cohort_Survival!$A$5:$A$65,0)),1)</f>
        <v>0.358228438027031</v>
      </c>
      <c r="F519" s="30" t="n">
        <f aca="false">1-(1-MIN(1,E519))^(1/12)</f>
        <v>0.0362855466069443</v>
      </c>
      <c r="G519" s="39" t="n">
        <f aca="false">IF(C519&lt;Assumptions!$B$5,IF(D519=1,Assumptions!$B$16,IF(D519=2,Assumptions!$B$17,IF(D519&lt;=5,Assumptions!$B$18,Assumptions!$B$19)))*(1-Assumptions!$B$20),0)</f>
        <v>0</v>
      </c>
      <c r="H519" s="30" t="n">
        <f aca="false">1-(1-G519)^(1/12)</f>
        <v>0</v>
      </c>
      <c r="I519" s="30" t="n">
        <f aca="false">I518*(1-F518)*(1-H518)</f>
        <v>0.00964084342337064</v>
      </c>
      <c r="J519" s="30" t="n">
        <f aca="false">INDEX(Discount_Monthly!$G$4:$G$664,MATCH(A519,Discount_Monthly!$A$4:$A$664,0))</f>
        <v>0.260239642323429</v>
      </c>
      <c r="K519" s="30" t="n">
        <f aca="false">IF(C519&lt;Assumptions!$B$5,I519*J519,0)</f>
        <v>0</v>
      </c>
      <c r="L519" s="30" t="n">
        <f aca="false">IF(C519&lt;Assumptions!$B$5,I519*(1-F519)*H519*A519*J519,0)</f>
        <v>0</v>
      </c>
      <c r="M519" s="30" t="n">
        <f aca="false">IF(A519=0,Assumptions!$B$14*12*I519*J519,IF(AND(A519&gt;=12,C519&lt;Assumptions!$B$5),Assumptions!$B$15*I519*J519,0))</f>
        <v>0</v>
      </c>
      <c r="N519" s="47" t="n">
        <f aca="false">IF(C519&gt;=Assumptions!$B$5,I519*Assumptions!$B$9/12*(1+Assumptions!$B$10)^INT(A519/12)*J519,0)</f>
        <v>7.68483298769444</v>
      </c>
      <c r="O519" s="47" t="n">
        <f aca="false">I519*Assumptions!$B$12/12*(1+Assumptions!$B$11)^(INT(A519/12)+1)*J519</f>
        <v>0.0483641362211498</v>
      </c>
      <c r="P519" s="47" t="n">
        <f aca="false">O519+Pricing_M!$B$13*M519+N519-Pricing_M!$B$13*K519</f>
        <v>7.73319712391559</v>
      </c>
      <c r="Q519" s="47" t="n">
        <f aca="false">IF(C519&lt;Assumptions!$B$5,Pricing_M!$B$13*K519-Pricing_M!$B$13*M519-O519,-(N519+O519))</f>
        <v>-7.73319712391559</v>
      </c>
      <c r="R519" s="32" t="n">
        <f aca="false">R518*(1-(1-(1-MIN(1,E518*(1-Assumptions!$B$21)))^(1/12)))*(1-H518)</f>
        <v>0.0254527485481237</v>
      </c>
      <c r="S519" s="47" t="n">
        <f aca="false">R519*(IF(C519&lt;Assumptions!$B$5,Assumptions!$B$12*(1+Assumptions!$B$11)^(INT(A519/12)+1)/12+Pricing_M!$B$13*IF(A519=0,Assumptions!$B$14*12,IF(A519&gt;=12,Assumptions!$B$15,0))-Pricing_M!$B$13,Assumptions!$B$9/12*(1+Assumptions!$B$10)^INT(A519/12)+Assumptions!$B$12*(1+Assumptions!$B$11)^(INT(A519/12)+1)/12))*J519</f>
        <v>20.4163798979406</v>
      </c>
      <c r="T519" s="32" t="n">
        <f aca="false">T518*(1-F518)*(1-(1-(1-MIN(1,G518*(1+Assumptions!$B$23)))^(1/12)))</f>
        <v>0.00873343617752454</v>
      </c>
      <c r="U519" s="47" t="n">
        <f aca="false">T519*(IF(C519&lt;Assumptions!$B$5,Assumptions!$B$12*(1+Assumptions!$B$11)^(INT(A519/12)+1)/12+Pricing_M!$B$13*IF(A519=0,Assumptions!$B$14*12,IF(A519&gt;=12,Assumptions!$B$15,0))-Pricing_M!$B$13,Assumptions!$B$9/12*(1+Assumptions!$B$10)^INT(A519/12)+Assumptions!$B$12*(1+Assumptions!$B$11)^(INT(A519/12)+1)/12))*J519</f>
        <v>7.00533973679251</v>
      </c>
      <c r="V519" s="32" t="n">
        <f aca="false">V518*(1-F518)*(1-(1-(1-MIN(1,G518*(1-Assumptions!$B$23)))^(1/12)))</f>
        <v>0.0106327659503934</v>
      </c>
      <c r="W519" s="47" t="n">
        <f aca="false">V519*(IF(C519&lt;Assumptions!$B$5,Assumptions!$B$12*(1+Assumptions!$B$11)^(INT(A519/12)+1)/12+Pricing_M!$B$13*IF(A519=0,Assumptions!$B$14*12,IF(A519&gt;=12,Assumptions!$B$15,0))-Pricing_M!$B$13,Assumptions!$B$9/12*(1+Assumptions!$B$10)^INT(A519/12)+Assumptions!$B$12*(1+Assumptions!$B$11)^(INT(A519/12)+1)/12))*J519</f>
        <v>8.52884664297368</v>
      </c>
      <c r="X519" s="47" t="n">
        <f aca="false">I519*(IF(C519&lt;Assumptions!$B$5,Assumptions!$B$12*(1+Assumptions!$B$11)*(1+Assumptions!$B$24)*(1+Assumptions!$B$11+Assumptions!$B$25)^(INT(A519/12))/12+Pricing_M!$B$13*IF(A519=0,Assumptions!$B$14*12,IF(A519&gt;=12,Assumptions!$B$15,0))-Pricing_M!$B$13,Assumptions!$B$9/12*(1+Assumptions!$B$10)^INT(A519/12)+Assumptions!$B$12*(1+Assumptions!$B$11)*(1+Assumptions!$B$24)*(1+Assumptions!$B$11+Assumptions!$B$25)^(INT(A519/12))/12))*J519</f>
        <v>7.76481797233194</v>
      </c>
    </row>
    <row r="520" customFormat="false" ht="15" hidden="false" customHeight="true" outlineLevel="0" collapsed="false">
      <c r="A520" s="1" t="n">
        <v>513</v>
      </c>
      <c r="B520" s="31" t="n">
        <f aca="false">Assumptions!$B$4+A520/12</f>
        <v>107.75</v>
      </c>
      <c r="C520" s="34" t="n">
        <f aca="false">Assumptions!$B$4+INT(A520/12)</f>
        <v>107</v>
      </c>
      <c r="D520" s="34" t="n">
        <f aca="false">INT(A520/12)+1</f>
        <v>43</v>
      </c>
      <c r="E520" s="32" t="n">
        <f aca="false">IFERROR(INDEX(Cohort_Survival!$G$5:$G$65,MATCH(C520,Cohort_Survival!$A$5:$A$65,0)),1)</f>
        <v>0.358228438027031</v>
      </c>
      <c r="F520" s="30" t="n">
        <f aca="false">1-(1-MIN(1,E520))^(1/12)</f>
        <v>0.0362855466069443</v>
      </c>
      <c r="G520" s="39" t="n">
        <f aca="false">IF(C520&lt;Assumptions!$B$5,IF(D520=1,Assumptions!$B$16,IF(D520=2,Assumptions!$B$17,IF(D520&lt;=5,Assumptions!$B$18,Assumptions!$B$19)))*(1-Assumptions!$B$20),0)</f>
        <v>0</v>
      </c>
      <c r="H520" s="30" t="n">
        <f aca="false">1-(1-G520)^(1/12)</f>
        <v>0</v>
      </c>
      <c r="I520" s="30" t="n">
        <f aca="false">I519*(1-F519)*(1-H519)</f>
        <v>0.00929102015000168</v>
      </c>
      <c r="J520" s="30" t="n">
        <f aca="false">INDEX(Discount_Monthly!$G$4:$G$664,MATCH(A520,Discount_Monthly!$A$4:$A$664,0))</f>
        <v>0.259538576305384</v>
      </c>
      <c r="K520" s="30" t="n">
        <f aca="false">IF(C520&lt;Assumptions!$B$5,I520*J520,0)</f>
        <v>0</v>
      </c>
      <c r="L520" s="30" t="n">
        <f aca="false">IF(C520&lt;Assumptions!$B$5,I520*(1-F520)*H520*A520*J520,0)</f>
        <v>0</v>
      </c>
      <c r="M520" s="30" t="n">
        <f aca="false">IF(A520=0,Assumptions!$B$14*12*I520*J520,IF(AND(A520&gt;=12,C520&lt;Assumptions!$B$5),Assumptions!$B$15*I520*J520,0))</f>
        <v>0</v>
      </c>
      <c r="N520" s="47" t="n">
        <f aca="false">IF(C520&gt;=Assumptions!$B$5,I520*Assumptions!$B$9/12*(1+Assumptions!$B$10)^INT(A520/12)*J520,0)</f>
        <v>7.38603345674858</v>
      </c>
      <c r="O520" s="47" t="n">
        <f aca="false">I520*Assumptions!$B$12/12*(1+Assumptions!$B$11)^(INT(A520/12)+1)*J520</f>
        <v>0.0464836553778287</v>
      </c>
      <c r="P520" s="47" t="n">
        <f aca="false">O520+Pricing_M!$B$13*M520+N520-Pricing_M!$B$13*K520</f>
        <v>7.4325171121264</v>
      </c>
      <c r="Q520" s="47" t="n">
        <f aca="false">IF(C520&lt;Assumptions!$B$5,Pricing_M!$B$13*K520-Pricing_M!$B$13*M520-O520,-(N520+O520))</f>
        <v>-7.4325171121264</v>
      </c>
      <c r="R520" s="32" t="n">
        <f aca="false">R519*(1-(1-(1-MIN(1,E519*(1-Assumptions!$B$21)))^(1/12)))*(1-H519)</f>
        <v>0.0247464736369157</v>
      </c>
      <c r="S520" s="47" t="n">
        <f aca="false">R520*(IF(C520&lt;Assumptions!$B$5,Assumptions!$B$12*(1+Assumptions!$B$11)^(INT(A520/12)+1)/12+Pricing_M!$B$13*IF(A520=0,Assumptions!$B$14*12,IF(A520&gt;=12,Assumptions!$B$15,0))-Pricing_M!$B$13,Assumptions!$B$9/12*(1+Assumptions!$B$10)^INT(A520/12)+Assumptions!$B$12*(1+Assumptions!$B$11)^(INT(A520/12)+1)/12))*J520</f>
        <v>19.7963825071596</v>
      </c>
      <c r="T520" s="32" t="n">
        <f aca="false">T519*(1-F519)*(1-(1-(1-MIN(1,G519*(1+Assumptions!$B$23)))^(1/12)))</f>
        <v>0.0084165386720662</v>
      </c>
      <c r="U520" s="47" t="n">
        <f aca="false">T520*(IF(C520&lt;Assumptions!$B$5,Assumptions!$B$12*(1+Assumptions!$B$11)^(INT(A520/12)+1)/12+Pricing_M!$B$13*IF(A520=0,Assumptions!$B$14*12,IF(A520&gt;=12,Assumptions!$B$15,0))-Pricing_M!$B$13,Assumptions!$B$9/12*(1+Assumptions!$B$10)^INT(A520/12)+Assumptions!$B$12*(1+Assumptions!$B$11)^(INT(A520/12)+1)/12))*J520</f>
        <v>6.73296007274232</v>
      </c>
      <c r="V520" s="32" t="n">
        <f aca="false">V519*(1-F519)*(1-(1-(1-MIN(1,G519*(1-Assumptions!$B$23)))^(1/12)))</f>
        <v>0.0102469502259396</v>
      </c>
      <c r="W520" s="47" t="n">
        <f aca="false">V520*(IF(C520&lt;Assumptions!$B$5,Assumptions!$B$12*(1+Assumptions!$B$11)^(INT(A520/12)+1)/12+Pricing_M!$B$13*IF(A520=0,Assumptions!$B$14*12,IF(A520&gt;=12,Assumptions!$B$15,0))-Pricing_M!$B$13,Assumptions!$B$9/12*(1+Assumptions!$B$10)^INT(A520/12)+Assumptions!$B$12*(1+Assumptions!$B$11)^(INT(A520/12)+1)/12))*J520</f>
        <v>8.19723040869631</v>
      </c>
      <c r="X520" s="47" t="n">
        <f aca="false">I520*(IF(C520&lt;Assumptions!$B$5,Assumptions!$B$12*(1+Assumptions!$B$11)*(1+Assumptions!$B$24)*(1+Assumptions!$B$11+Assumptions!$B$25)^(INT(A520/12))/12+Pricing_M!$B$13*IF(A520=0,Assumptions!$B$14*12,IF(A520&gt;=12,Assumptions!$B$15,0))-Pricing_M!$B$13,Assumptions!$B$9/12*(1+Assumptions!$B$10)^INT(A520/12)+Assumptions!$B$12*(1+Assumptions!$B$11)*(1+Assumptions!$B$24)*(1+Assumptions!$B$11+Assumptions!$B$25)^(INT(A520/12))/12))*J520</f>
        <v>7.46290848754184</v>
      </c>
    </row>
    <row r="521" customFormat="false" ht="15" hidden="false" customHeight="true" outlineLevel="0" collapsed="false">
      <c r="A521" s="1" t="n">
        <v>514</v>
      </c>
      <c r="B521" s="31" t="n">
        <f aca="false">Assumptions!$B$4+A521/12</f>
        <v>107.833333333333</v>
      </c>
      <c r="C521" s="34" t="n">
        <f aca="false">Assumptions!$B$4+INT(A521/12)</f>
        <v>107</v>
      </c>
      <c r="D521" s="34" t="n">
        <f aca="false">INT(A521/12)+1</f>
        <v>43</v>
      </c>
      <c r="E521" s="32" t="n">
        <f aca="false">IFERROR(INDEX(Cohort_Survival!$G$5:$G$65,MATCH(C521,Cohort_Survival!$A$5:$A$65,0)),1)</f>
        <v>0.358228438027031</v>
      </c>
      <c r="F521" s="30" t="n">
        <f aca="false">1-(1-MIN(1,E521))^(1/12)</f>
        <v>0.0362855466069443</v>
      </c>
      <c r="G521" s="39" t="n">
        <f aca="false">IF(C521&lt;Assumptions!$B$5,IF(D521=1,Assumptions!$B$16,IF(D521=2,Assumptions!$B$17,IF(D521&lt;=5,Assumptions!$B$18,Assumptions!$B$19)))*(1-Assumptions!$B$20),0)</f>
        <v>0</v>
      </c>
      <c r="H521" s="30" t="n">
        <f aca="false">1-(1-G521)^(1/12)</f>
        <v>0</v>
      </c>
      <c r="I521" s="30" t="n">
        <f aca="false">I520*(1-F520)*(1-H520)</f>
        <v>0.00895389040532273</v>
      </c>
      <c r="J521" s="30" t="n">
        <f aca="false">INDEX(Discount_Monthly!$G$4:$G$664,MATCH(A521,Discount_Monthly!$A$4:$A$664,0))</f>
        <v>0.25883939890645</v>
      </c>
      <c r="K521" s="30" t="n">
        <f aca="false">IF(C521&lt;Assumptions!$B$5,I521*J521,0)</f>
        <v>0</v>
      </c>
      <c r="L521" s="30" t="n">
        <f aca="false">IF(C521&lt;Assumptions!$B$5,I521*(1-F521)*H521*A521*J521,0)</f>
        <v>0</v>
      </c>
      <c r="M521" s="30" t="n">
        <f aca="false">IF(A521=0,Assumptions!$B$14*12*I521*J521,IF(AND(A521&gt;=12,C521&lt;Assumptions!$B$5),Assumptions!$B$15*I521*J521,0))</f>
        <v>0</v>
      </c>
      <c r="N521" s="47" t="n">
        <f aca="false">IF(C521&gt;=Assumptions!$B$5,I521*Assumptions!$B$9/12*(1+Assumptions!$B$10)^INT(A521/12)*J521,0)</f>
        <v>7.09885176575271</v>
      </c>
      <c r="O521" s="47" t="n">
        <f aca="false">I521*Assumptions!$B$12/12*(1+Assumptions!$B$11)^(INT(A521/12)+1)*J521</f>
        <v>0.0446762908657065</v>
      </c>
      <c r="P521" s="47" t="n">
        <f aca="false">O521+Pricing_M!$B$13*M521+N521-Pricing_M!$B$13*K521</f>
        <v>7.14352805661841</v>
      </c>
      <c r="Q521" s="47" t="n">
        <f aca="false">IF(C521&lt;Assumptions!$B$5,Pricing_M!$B$13*K521-Pricing_M!$B$13*M521-O521,-(N521+O521))</f>
        <v>-7.14352805661841</v>
      </c>
      <c r="R521" s="32" t="n">
        <f aca="false">R520*(1-(1-(1-MIN(1,E520*(1-Assumptions!$B$21)))^(1/12)))*(1-H520)</f>
        <v>0.0240597967761602</v>
      </c>
      <c r="S521" s="47" t="n">
        <f aca="false">R521*(IF(C521&lt;Assumptions!$B$5,Assumptions!$B$12*(1+Assumptions!$B$11)^(INT(A521/12)+1)/12+Pricing_M!$B$13*IF(A521=0,Assumptions!$B$14*12,IF(A521&gt;=12,Assumptions!$B$15,0))-Pricing_M!$B$13,Assumptions!$B$9/12*(1+Assumptions!$B$10)^INT(A521/12)+Assumptions!$B$12*(1+Assumptions!$B$11)^(INT(A521/12)+1)/12))*J521</f>
        <v>19.1952129774636</v>
      </c>
      <c r="T521" s="32" t="n">
        <f aca="false">T520*(1-F520)*(1-(1-(1-MIN(1,G520*(1+Assumptions!$B$23)))^(1/12)))</f>
        <v>0.00811113996581179</v>
      </c>
      <c r="U521" s="47" t="n">
        <f aca="false">T521*(IF(C521&lt;Assumptions!$B$5,Assumptions!$B$12*(1+Assumptions!$B$11)^(INT(A521/12)+1)/12+Pricing_M!$B$13*IF(A521=0,Assumptions!$B$14*12,IF(A521&gt;=12,Assumptions!$B$15,0))-Pricing_M!$B$13,Assumptions!$B$9/12*(1+Assumptions!$B$10)^INT(A521/12)+Assumptions!$B$12*(1+Assumptions!$B$11)^(INT(A521/12)+1)/12))*J521</f>
        <v>6.4711709987528</v>
      </c>
      <c r="V521" s="32" t="n">
        <f aca="false">V520*(1-F520)*(1-(1-(1-MIN(1,G520*(1-Assumptions!$B$23)))^(1/12)))</f>
        <v>0.00987513403593727</v>
      </c>
      <c r="W521" s="47" t="n">
        <f aca="false">V521*(IF(C521&lt;Assumptions!$B$5,Assumptions!$B$12*(1+Assumptions!$B$11)^(INT(A521/12)+1)/12+Pricing_M!$B$13*IF(A521=0,Assumptions!$B$14*12,IF(A521&gt;=12,Assumptions!$B$15,0))-Pricing_M!$B$13,Assumptions!$B$9/12*(1+Assumptions!$B$10)^INT(A521/12)+Assumptions!$B$12*(1+Assumptions!$B$11)^(INT(A521/12)+1)/12))*J521</f>
        <v>7.87850798426683</v>
      </c>
      <c r="X521" s="47" t="n">
        <f aca="false">I521*(IF(C521&lt;Assumptions!$B$5,Assumptions!$B$12*(1+Assumptions!$B$11)*(1+Assumptions!$B$24)*(1+Assumptions!$B$11+Assumptions!$B$25)^(INT(A521/12))/12+Pricing_M!$B$13*IF(A521=0,Assumptions!$B$14*12,IF(A521&gt;=12,Assumptions!$B$15,0))-Pricing_M!$B$13,Assumptions!$B$9/12*(1+Assumptions!$B$10)^INT(A521/12)+Assumptions!$B$12*(1+Assumptions!$B$11)*(1+Assumptions!$B$24)*(1+Assumptions!$B$11+Assumptions!$B$25)^(INT(A521/12))/12))*J521</f>
        <v>7.17273776305894</v>
      </c>
    </row>
    <row r="522" customFormat="false" ht="15" hidden="false" customHeight="true" outlineLevel="0" collapsed="false">
      <c r="A522" s="1" t="n">
        <v>515</v>
      </c>
      <c r="B522" s="31" t="n">
        <f aca="false">Assumptions!$B$4+A522/12</f>
        <v>107.916666666667</v>
      </c>
      <c r="C522" s="34" t="n">
        <f aca="false">Assumptions!$B$4+INT(A522/12)</f>
        <v>107</v>
      </c>
      <c r="D522" s="34" t="n">
        <f aca="false">INT(A522/12)+1</f>
        <v>43</v>
      </c>
      <c r="E522" s="32" t="n">
        <f aca="false">IFERROR(INDEX(Cohort_Survival!$G$5:$G$65,MATCH(C522,Cohort_Survival!$A$5:$A$65,0)),1)</f>
        <v>0.358228438027031</v>
      </c>
      <c r="F522" s="30" t="n">
        <f aca="false">1-(1-MIN(1,E522))^(1/12)</f>
        <v>0.0362855466069443</v>
      </c>
      <c r="G522" s="39" t="n">
        <f aca="false">IF(C522&lt;Assumptions!$B$5,IF(D522=1,Assumptions!$B$16,IF(D522=2,Assumptions!$B$17,IF(D522&lt;=5,Assumptions!$B$18,Assumptions!$B$19)))*(1-Assumptions!$B$20),0)</f>
        <v>0</v>
      </c>
      <c r="H522" s="30" t="n">
        <f aca="false">1-(1-G522)^(1/12)</f>
        <v>0</v>
      </c>
      <c r="I522" s="30" t="n">
        <f aca="false">I521*(1-F521)*(1-H521)</f>
        <v>0.00862899359770692</v>
      </c>
      <c r="J522" s="30" t="n">
        <f aca="false">INDEX(Discount_Monthly!$G$4:$G$664,MATCH(A522,Discount_Monthly!$A$4:$A$664,0))</f>
        <v>0.258142105038828</v>
      </c>
      <c r="K522" s="30" t="n">
        <f aca="false">IF(C522&lt;Assumptions!$B$5,I522*J522,0)</f>
        <v>0</v>
      </c>
      <c r="L522" s="30" t="n">
        <f aca="false">IF(C522&lt;Assumptions!$B$5,I522*(1-F522)*H522*A522*J522,0)</f>
        <v>0</v>
      </c>
      <c r="M522" s="30" t="n">
        <f aca="false">IF(A522=0,Assumptions!$B$14*12*I522*J522,IF(AND(A522&gt;=12,C522&lt;Assumptions!$B$5),Assumptions!$B$15*I522*J522,0))</f>
        <v>0</v>
      </c>
      <c r="N522" s="47" t="n">
        <f aca="false">IF(C522&gt;=Assumptions!$B$5,I522*Assumptions!$B$9/12*(1+Assumptions!$B$10)^INT(A522/12)*J522,0)</f>
        <v>6.82283619309711</v>
      </c>
      <c r="O522" s="47" t="n">
        <f aca="false">I522*Assumptions!$B$12/12*(1+Assumptions!$B$11)^(INT(A522/12)+1)*J522</f>
        <v>0.0429391997960047</v>
      </c>
      <c r="P522" s="47" t="n">
        <f aca="false">O522+Pricing_M!$B$13*M522+N522-Pricing_M!$B$13*K522</f>
        <v>6.86577539289311</v>
      </c>
      <c r="Q522" s="47" t="n">
        <f aca="false">IF(C522&lt;Assumptions!$B$5,Pricing_M!$B$13*K522-Pricing_M!$B$13*M522-O522,-(N522+O522))</f>
        <v>-6.86577539289311</v>
      </c>
      <c r="R522" s="32" t="n">
        <f aca="false">R521*(1-(1-(1-MIN(1,E521*(1-Assumptions!$B$21)))^(1/12)))*(1-H521)</f>
        <v>0.0233921741498793</v>
      </c>
      <c r="S522" s="47" t="n">
        <f aca="false">R522*(IF(C522&lt;Assumptions!$B$5,Assumptions!$B$12*(1+Assumptions!$B$11)^(INT(A522/12)+1)/12+Pricing_M!$B$13*IF(A522=0,Assumptions!$B$14*12,IF(A522&gt;=12,Assumptions!$B$15,0))-Pricing_M!$B$13,Assumptions!$B$9/12*(1+Assumptions!$B$10)^INT(A522/12)+Assumptions!$B$12*(1+Assumptions!$B$11)^(INT(A522/12)+1)/12))*J522</f>
        <v>18.6122995510382</v>
      </c>
      <c r="T522" s="32" t="n">
        <f aca="false">T521*(1-F521)*(1-(1-(1-MIN(1,G521*(1+Assumptions!$B$23)))^(1/12)))</f>
        <v>0.00781682281854688</v>
      </c>
      <c r="U522" s="47" t="n">
        <f aca="false">T522*(IF(C522&lt;Assumptions!$B$5,Assumptions!$B$12*(1+Assumptions!$B$11)^(INT(A522/12)+1)/12+Pricing_M!$B$13*IF(A522=0,Assumptions!$B$14*12,IF(A522&gt;=12,Assumptions!$B$15,0))-Pricing_M!$B$13,Assumptions!$B$9/12*(1+Assumptions!$B$10)^INT(A522/12)+Assumptions!$B$12*(1+Assumptions!$B$11)^(INT(A522/12)+1)/12))*J522</f>
        <v>6.21956073445766</v>
      </c>
      <c r="V522" s="32" t="n">
        <f aca="false">V521*(1-F521)*(1-(1-(1-MIN(1,G521*(1-Assumptions!$B$23)))^(1/12)))</f>
        <v>0.00951680939962644</v>
      </c>
      <c r="W522" s="47" t="n">
        <f aca="false">V522*(IF(C522&lt;Assumptions!$B$5,Assumptions!$B$12*(1+Assumptions!$B$11)^(INT(A522/12)+1)/12+Pricing_M!$B$13*IF(A522=0,Assumptions!$B$14*12,IF(A522&gt;=12,Assumptions!$B$15,0))-Pricing_M!$B$13,Assumptions!$B$9/12*(1+Assumptions!$B$10)^INT(A522/12)+Assumptions!$B$12*(1+Assumptions!$B$11)^(INT(A522/12)+1)/12))*J522</f>
        <v>7.57217803617014</v>
      </c>
      <c r="X522" s="47" t="n">
        <f aca="false">I522*(IF(C522&lt;Assumptions!$B$5,Assumptions!$B$12*(1+Assumptions!$B$11)*(1+Assumptions!$B$24)*(1+Assumptions!$B$11+Assumptions!$B$25)^(INT(A522/12))/12+Pricing_M!$B$13*IF(A522=0,Assumptions!$B$14*12,IF(A522&gt;=12,Assumptions!$B$15,0))-Pricing_M!$B$13,Assumptions!$B$9/12*(1+Assumptions!$B$10)^INT(A522/12)+Assumptions!$B$12*(1+Assumptions!$B$11)*(1+Assumptions!$B$24)*(1+Assumptions!$B$11+Assumptions!$B$25)^(INT(A522/12))/12))*J522</f>
        <v>6.89384937568194</v>
      </c>
    </row>
    <row r="523" customFormat="false" ht="15" hidden="false" customHeight="true" outlineLevel="0" collapsed="false">
      <c r="A523" s="1" t="n">
        <v>516</v>
      </c>
      <c r="B523" s="31" t="n">
        <f aca="false">Assumptions!$B$4+A523/12</f>
        <v>108</v>
      </c>
      <c r="C523" s="34" t="n">
        <f aca="false">Assumptions!$B$4+INT(A523/12)</f>
        <v>108</v>
      </c>
      <c r="D523" s="34" t="n">
        <f aca="false">INT(A523/12)+1</f>
        <v>44</v>
      </c>
      <c r="E523" s="32" t="n">
        <f aca="false">IFERROR(INDEX(Cohort_Survival!$G$5:$G$65,MATCH(C523,Cohort_Survival!$A$5:$A$65,0)),1)</f>
        <v>0.383986985728216</v>
      </c>
      <c r="F523" s="30" t="n">
        <f aca="false">1-(1-MIN(1,E523))^(1/12)</f>
        <v>0.039569763970092</v>
      </c>
      <c r="G523" s="39" t="n">
        <f aca="false">IF(C523&lt;Assumptions!$B$5,IF(D523=1,Assumptions!$B$16,IF(D523=2,Assumptions!$B$17,IF(D523&lt;=5,Assumptions!$B$18,Assumptions!$B$19)))*(1-Assumptions!$B$20),0)</f>
        <v>0</v>
      </c>
      <c r="H523" s="30" t="n">
        <f aca="false">1-(1-G523)^(1/12)</f>
        <v>0</v>
      </c>
      <c r="I523" s="30" t="n">
        <f aca="false">I522*(1-F522)*(1-H522)</f>
        <v>0.0083158858483463</v>
      </c>
      <c r="J523" s="30" t="n">
        <f aca="false">INDEX(Discount_Monthly!$G$4:$G$664,MATCH(A523,Discount_Monthly!$A$4:$A$664,0))</f>
        <v>0.257446689628427</v>
      </c>
      <c r="K523" s="30" t="n">
        <f aca="false">IF(C523&lt;Assumptions!$B$5,I523*J523,0)</f>
        <v>0</v>
      </c>
      <c r="L523" s="30" t="n">
        <f aca="false">IF(C523&lt;Assumptions!$B$5,I523*(1-F523)*H523*A523*J523,0)</f>
        <v>0</v>
      </c>
      <c r="M523" s="30" t="n">
        <f aca="false">IF(A523=0,Assumptions!$B$14*12*I523*J523,IF(AND(A523&gt;=12,C523&lt;Assumptions!$B$5),Assumptions!$B$15*I523*J523,0))</f>
        <v>0</v>
      </c>
      <c r="N523" s="47" t="n">
        <f aca="false">IF(C523&gt;=Assumptions!$B$5,I523*Assumptions!$B$9/12*(1+Assumptions!$B$10)^INT(A523/12)*J523,0)</f>
        <v>6.68870363250329</v>
      </c>
      <c r="O523" s="47" t="n">
        <f aca="false">I523*Assumptions!$B$12/12*(1+Assumptions!$B$11)^(INT(A523/12)+1)*J523</f>
        <v>0.0423013910617612</v>
      </c>
      <c r="P523" s="47" t="n">
        <f aca="false">O523+Pricing_M!$B$13*M523+N523-Pricing_M!$B$13*K523</f>
        <v>6.73100502356506</v>
      </c>
      <c r="Q523" s="47" t="n">
        <f aca="false">IF(C523&lt;Assumptions!$B$5,Pricing_M!$B$13*K523-Pricing_M!$B$13*M523-O523,-(N523+O523))</f>
        <v>-6.73100502356506</v>
      </c>
      <c r="R523" s="32" t="n">
        <f aca="false">R522*(1-(1-(1-MIN(1,E522*(1-Assumptions!$B$21)))^(1/12)))*(1-H522)</f>
        <v>0.0227430770321581</v>
      </c>
      <c r="S523" s="47" t="n">
        <f aca="false">R523*(IF(C523&lt;Assumptions!$B$5,Assumptions!$B$12*(1+Assumptions!$B$11)^(INT(A523/12)+1)/12+Pricing_M!$B$13*IF(A523=0,Assumptions!$B$14*12,IF(A523&gt;=12,Assumptions!$B$15,0))-Pricing_M!$B$13,Assumptions!$B$9/12*(1+Assumptions!$B$10)^INT(A523/12)+Assumptions!$B$12*(1+Assumptions!$B$11)^(INT(A523/12)+1)/12))*J523</f>
        <v>18.4085939305222</v>
      </c>
      <c r="T523" s="32" t="n">
        <f aca="false">T522*(1-F522)*(1-(1-(1-MIN(1,G522*(1+Assumptions!$B$23)))^(1/12)))</f>
        <v>0.00753318512984627</v>
      </c>
      <c r="U523" s="47" t="n">
        <f aca="false">T523*(IF(C523&lt;Assumptions!$B$5,Assumptions!$B$12*(1+Assumptions!$B$11)^(INT(A523/12)+1)/12+Pricing_M!$B$13*IF(A523=0,Assumptions!$B$14*12,IF(A523&gt;=12,Assumptions!$B$15,0))-Pricing_M!$B$13,Assumptions!$B$9/12*(1+Assumptions!$B$10)^INT(A523/12)+Assumptions!$B$12*(1+Assumptions!$B$11)^(INT(A523/12)+1)/12))*J523</f>
        <v>6.09747510693935</v>
      </c>
      <c r="V523" s="32" t="n">
        <f aca="false">V522*(1-F522)*(1-(1-(1-MIN(1,G522*(1-Assumptions!$B$23)))^(1/12)))</f>
        <v>0.00917148676860689</v>
      </c>
      <c r="W523" s="47" t="n">
        <f aca="false">V523*(IF(C523&lt;Assumptions!$B$5,Assumptions!$B$12*(1+Assumptions!$B$11)^(INT(A523/12)+1)/12+Pricing_M!$B$13*IF(A523=0,Assumptions!$B$14*12,IF(A523&gt;=12,Assumptions!$B$15,0))-Pricing_M!$B$13,Assumptions!$B$9/12*(1+Assumptions!$B$10)^INT(A523/12)+Assumptions!$B$12*(1+Assumptions!$B$11)^(INT(A523/12)+1)/12))*J523</f>
        <v>7.42354147698284</v>
      </c>
      <c r="X523" s="47" t="n">
        <f aca="false">I523*(IF(C523&lt;Assumptions!$B$5,Assumptions!$B$12*(1+Assumptions!$B$11)*(1+Assumptions!$B$24)*(1+Assumptions!$B$11+Assumptions!$B$25)^(INT(A523/12))/12+Pricing_M!$B$13*IF(A523=0,Assumptions!$B$14*12,IF(A523&gt;=12,Assumptions!$B$15,0))-Pricing_M!$B$13,Assumptions!$B$9/12*(1+Assumptions!$B$10)^INT(A523/12)+Assumptions!$B$12*(1+Assumptions!$B$11)*(1+Assumptions!$B$24)*(1+Assumptions!$B$11+Assumptions!$B$25)^(INT(A523/12))/12))*J523</f>
        <v>6.75934452272127</v>
      </c>
    </row>
    <row r="524" customFormat="false" ht="15" hidden="false" customHeight="true" outlineLevel="0" collapsed="false">
      <c r="A524" s="1" t="n">
        <v>517</v>
      </c>
      <c r="B524" s="31" t="n">
        <f aca="false">Assumptions!$B$4+A524/12</f>
        <v>108.083333333333</v>
      </c>
      <c r="C524" s="34" t="n">
        <f aca="false">Assumptions!$B$4+INT(A524/12)</f>
        <v>108</v>
      </c>
      <c r="D524" s="34" t="n">
        <f aca="false">INT(A524/12)+1</f>
        <v>44</v>
      </c>
      <c r="E524" s="32" t="n">
        <f aca="false">IFERROR(INDEX(Cohort_Survival!$G$5:$G$65,MATCH(C524,Cohort_Survival!$A$5:$A$65,0)),1)</f>
        <v>0.383986985728216</v>
      </c>
      <c r="F524" s="30" t="n">
        <f aca="false">1-(1-MIN(1,E524))^(1/12)</f>
        <v>0.039569763970092</v>
      </c>
      <c r="G524" s="39" t="n">
        <f aca="false">IF(C524&lt;Assumptions!$B$5,IF(D524=1,Assumptions!$B$16,IF(D524=2,Assumptions!$B$17,IF(D524&lt;=5,Assumptions!$B$18,Assumptions!$B$19)))*(1-Assumptions!$B$20),0)</f>
        <v>0</v>
      </c>
      <c r="H524" s="30" t="n">
        <f aca="false">1-(1-G524)^(1/12)</f>
        <v>0</v>
      </c>
      <c r="I524" s="30" t="n">
        <f aca="false">I523*(1-F523)*(1-H523)</f>
        <v>0.00798682820812501</v>
      </c>
      <c r="J524" s="30" t="n">
        <f aca="false">INDEX(Discount_Monthly!$G$4:$G$664,MATCH(A524,Discount_Monthly!$A$4:$A$664,0))</f>
        <v>0.256761440539873</v>
      </c>
      <c r="K524" s="30" t="n">
        <f aca="false">IF(C524&lt;Assumptions!$B$5,I524*J524,0)</f>
        <v>0</v>
      </c>
      <c r="L524" s="30" t="n">
        <f aca="false">IF(C524&lt;Assumptions!$B$5,I524*(1-F524)*H524*A524*J524,0)</f>
        <v>0</v>
      </c>
      <c r="M524" s="30" t="n">
        <f aca="false">IF(A524=0,Assumptions!$B$14*12*I524*J524,IF(AND(A524&gt;=12,C524&lt;Assumptions!$B$5),Assumptions!$B$15*I524*J524,0))</f>
        <v>0</v>
      </c>
      <c r="N524" s="47" t="n">
        <f aca="false">IF(C524&gt;=Assumptions!$B$5,I524*Assumptions!$B$9/12*(1+Assumptions!$B$10)^INT(A524/12)*J524,0)</f>
        <v>6.40693427859141</v>
      </c>
      <c r="O524" s="47" t="n">
        <f aca="false">I524*Assumptions!$B$12/12*(1+Assumptions!$B$11)^(INT(A524/12)+1)*J524</f>
        <v>0.040519396181449</v>
      </c>
      <c r="P524" s="47" t="n">
        <f aca="false">O524+Pricing_M!$B$13*M524+N524-Pricing_M!$B$13*K524</f>
        <v>6.44745367477285</v>
      </c>
      <c r="Q524" s="47" t="n">
        <f aca="false">IF(C524&lt;Assumptions!$B$5,Pricing_M!$B$13*K524-Pricing_M!$B$13*M524-O524,-(N524+O524))</f>
        <v>-6.44745367477285</v>
      </c>
      <c r="R524" s="32" t="n">
        <f aca="false">R523*(1-(1-(1-MIN(1,E523*(1-Assumptions!$B$21)))^(1/12)))*(1-H523)</f>
        <v>0.022058048610858</v>
      </c>
      <c r="S524" s="47" t="n">
        <f aca="false">R524*(IF(C524&lt;Assumptions!$B$5,Assumptions!$B$12*(1+Assumptions!$B$11)^(INT(A524/12)+1)/12+Pricing_M!$B$13*IF(A524=0,Assumptions!$B$14*12,IF(A524&gt;=12,Assumptions!$B$15,0))-Pricing_M!$B$13,Assumptions!$B$9/12*(1+Assumptions!$B$10)^INT(A524/12)+Assumptions!$B$12*(1+Assumptions!$B$11)^(INT(A524/12)+1)/12))*J524</f>
        <v>17.8065989236774</v>
      </c>
      <c r="T524" s="32" t="n">
        <f aca="false">T523*(1-F523)*(1-(1-(1-MIN(1,G523*(1+Assumptions!$B$23)))^(1/12)))</f>
        <v>0.00723509877231524</v>
      </c>
      <c r="U524" s="47" t="n">
        <f aca="false">T524*(IF(C524&lt;Assumptions!$B$5,Assumptions!$B$12*(1+Assumptions!$B$11)^(INT(A524/12)+1)/12+Pricing_M!$B$13*IF(A524=0,Assumptions!$B$14*12,IF(A524&gt;=12,Assumptions!$B$15,0))-Pricing_M!$B$13,Assumptions!$B$9/12*(1+Assumptions!$B$10)^INT(A524/12)+Assumptions!$B$12*(1+Assumptions!$B$11)^(INT(A524/12)+1)/12))*J524</f>
        <v>5.84061193646978</v>
      </c>
      <c r="V524" s="32" t="n">
        <f aca="false">V523*(1-F523)*(1-(1-(1-MIN(1,G523*(1-Assumptions!$B$23)))^(1/12)))</f>
        <v>0.0088085732019183</v>
      </c>
      <c r="W524" s="47" t="n">
        <f aca="false">V524*(IF(C524&lt;Assumptions!$B$5,Assumptions!$B$12*(1+Assumptions!$B$11)^(INT(A524/12)+1)/12+Pricing_M!$B$13*IF(A524=0,Assumptions!$B$14*12,IF(A524&gt;=12,Assumptions!$B$15,0))-Pricing_M!$B$13,Assumptions!$B$9/12*(1+Assumptions!$B$10)^INT(A524/12)+Assumptions!$B$12*(1+Assumptions!$B$11)^(INT(A524/12)+1)/12))*J524</f>
        <v>7.11081623145948</v>
      </c>
      <c r="X524" s="47" t="n">
        <f aca="false">I524*(IF(C524&lt;Assumptions!$B$5,Assumptions!$B$12*(1+Assumptions!$B$11)*(1+Assumptions!$B$24)*(1+Assumptions!$B$11+Assumptions!$B$25)^(INT(A524/12))/12+Pricing_M!$B$13*IF(A524=0,Assumptions!$B$14*12,IF(A524&gt;=12,Assumptions!$B$15,0))-Pricing_M!$B$13,Assumptions!$B$9/12*(1+Assumptions!$B$10)^INT(A524/12)+Assumptions!$B$12*(1+Assumptions!$B$11)*(1+Assumptions!$B$24)*(1+Assumptions!$B$11+Assumptions!$B$25)^(INT(A524/12))/12))*J524</f>
        <v>6.47459933984609</v>
      </c>
    </row>
    <row r="525" customFormat="false" ht="15" hidden="false" customHeight="true" outlineLevel="0" collapsed="false">
      <c r="A525" s="1" t="n">
        <v>518</v>
      </c>
      <c r="B525" s="31" t="n">
        <f aca="false">Assumptions!$B$4+A525/12</f>
        <v>108.166666666667</v>
      </c>
      <c r="C525" s="34" t="n">
        <f aca="false">Assumptions!$B$4+INT(A525/12)</f>
        <v>108</v>
      </c>
      <c r="D525" s="34" t="n">
        <f aca="false">INT(A525/12)+1</f>
        <v>44</v>
      </c>
      <c r="E525" s="32" t="n">
        <f aca="false">IFERROR(INDEX(Cohort_Survival!$G$5:$G$65,MATCH(C525,Cohort_Survival!$A$5:$A$65,0)),1)</f>
        <v>0.383986985728216</v>
      </c>
      <c r="F525" s="30" t="n">
        <f aca="false">1-(1-MIN(1,E525))^(1/12)</f>
        <v>0.039569763970092</v>
      </c>
      <c r="G525" s="39" t="n">
        <f aca="false">IF(C525&lt;Assumptions!$B$5,IF(D525=1,Assumptions!$B$16,IF(D525=2,Assumptions!$B$17,IF(D525&lt;=5,Assumptions!$B$18,Assumptions!$B$19)))*(1-Assumptions!$B$20),0)</f>
        <v>0</v>
      </c>
      <c r="H525" s="30" t="n">
        <f aca="false">1-(1-G525)^(1/12)</f>
        <v>0</v>
      </c>
      <c r="I525" s="30" t="n">
        <f aca="false">I524*(1-F524)*(1-H524)</f>
        <v>0.00767079130105983</v>
      </c>
      <c r="J525" s="30" t="n">
        <f aca="false">INDEX(Discount_Monthly!$G$4:$G$664,MATCH(A525,Discount_Monthly!$A$4:$A$664,0))</f>
        <v>0.256078015387429</v>
      </c>
      <c r="K525" s="30" t="n">
        <f aca="false">IF(C525&lt;Assumptions!$B$5,I525*J525,0)</f>
        <v>0</v>
      </c>
      <c r="L525" s="30" t="n">
        <f aca="false">IF(C525&lt;Assumptions!$B$5,I525*(1-F525)*H525*A525*J525,0)</f>
        <v>0</v>
      </c>
      <c r="M525" s="30" t="n">
        <f aca="false">IF(A525=0,Assumptions!$B$14*12*I525*J525,IF(AND(A525&gt;=12,C525&lt;Assumptions!$B$5),Assumptions!$B$15*I525*J525,0))</f>
        <v>0</v>
      </c>
      <c r="N525" s="47" t="n">
        <f aca="false">IF(C525&gt;=Assumptions!$B$5,I525*Assumptions!$B$9/12*(1+Assumptions!$B$10)^INT(A525/12)*J525,0)</f>
        <v>6.13703478364862</v>
      </c>
      <c r="O525" s="47" t="n">
        <f aca="false">I525*Assumptions!$B$12/12*(1+Assumptions!$B$11)^(INT(A525/12)+1)*J525</f>
        <v>0.038812469890461</v>
      </c>
      <c r="P525" s="47" t="n">
        <f aca="false">O525+Pricing_M!$B$13*M525+N525-Pricing_M!$B$13*K525</f>
        <v>6.17584725353908</v>
      </c>
      <c r="Q525" s="47" t="n">
        <f aca="false">IF(C525&lt;Assumptions!$B$5,Pricing_M!$B$13*K525-Pricing_M!$B$13*M525-O525,-(N525+O525))</f>
        <v>-6.17584725353908</v>
      </c>
      <c r="R525" s="32" t="n">
        <f aca="false">R524*(1-(1-(1-MIN(1,E524*(1-Assumptions!$B$21)))^(1/12)))*(1-H524)</f>
        <v>0.0213936534546753</v>
      </c>
      <c r="S525" s="47" t="n">
        <f aca="false">R525*(IF(C525&lt;Assumptions!$B$5,Assumptions!$B$12*(1+Assumptions!$B$11)^(INT(A525/12)+1)/12+Pricing_M!$B$13*IF(A525=0,Assumptions!$B$14*12,IF(A525&gt;=12,Assumptions!$B$15,0))-Pricing_M!$B$13,Assumptions!$B$9/12*(1+Assumptions!$B$10)^INT(A525/12)+Assumptions!$B$12*(1+Assumptions!$B$11)^(INT(A525/12)+1)/12))*J525</f>
        <v>17.2242902649389</v>
      </c>
      <c r="T525" s="32" t="n">
        <f aca="false">T524*(1-F524)*(1-(1-(1-MIN(1,G524*(1+Assumptions!$B$23)))^(1/12)))</f>
        <v>0.00694880762159443</v>
      </c>
      <c r="U525" s="47" t="n">
        <f aca="false">T525*(IF(C525&lt;Assumptions!$B$5,Assumptions!$B$12*(1+Assumptions!$B$11)^(INT(A525/12)+1)/12+Pricing_M!$B$13*IF(A525=0,Assumptions!$B$14*12,IF(A525&gt;=12,Assumptions!$B$15,0))-Pricing_M!$B$13,Assumptions!$B$9/12*(1+Assumptions!$B$10)^INT(A525/12)+Assumptions!$B$12*(1+Assumptions!$B$11)^(INT(A525/12)+1)/12))*J525</f>
        <v>5.59456942327006</v>
      </c>
      <c r="V525" s="32" t="n">
        <f aca="false">V524*(1-F524)*(1-(1-(1-MIN(1,G524*(1-Assumptions!$B$23)))^(1/12)))</f>
        <v>0.00846002003940511</v>
      </c>
      <c r="W525" s="47" t="n">
        <f aca="false">V525*(IF(C525&lt;Assumptions!$B$5,Assumptions!$B$12*(1+Assumptions!$B$11)^(INT(A525/12)+1)/12+Pricing_M!$B$13*IF(A525=0,Assumptions!$B$14*12,IF(A525&gt;=12,Assumptions!$B$15,0))-Pricing_M!$B$13,Assumptions!$B$9/12*(1+Assumptions!$B$10)^INT(A525/12)+Assumptions!$B$12*(1+Assumptions!$B$11)^(INT(A525/12)+1)/12))*J525</f>
        <v>6.8112648975376</v>
      </c>
      <c r="X525" s="47" t="n">
        <f aca="false">I525*(IF(C525&lt;Assumptions!$B$5,Assumptions!$B$12*(1+Assumptions!$B$11)*(1+Assumptions!$B$24)*(1+Assumptions!$B$11+Assumptions!$B$25)^(INT(A525/12))/12+Pricing_M!$B$13*IF(A525=0,Assumptions!$B$14*12,IF(A525&gt;=12,Assumptions!$B$15,0))-Pricing_M!$B$13,Assumptions!$B$9/12*(1+Assumptions!$B$10)^INT(A525/12)+Assumptions!$B$12*(1+Assumptions!$B$11)*(1+Assumptions!$B$24)*(1+Assumptions!$B$11+Assumptions!$B$25)^(INT(A525/12))/12))*J525</f>
        <v>6.2018493761668</v>
      </c>
    </row>
    <row r="526" customFormat="false" ht="15" hidden="false" customHeight="true" outlineLevel="0" collapsed="false">
      <c r="A526" s="1" t="n">
        <v>519</v>
      </c>
      <c r="B526" s="31" t="n">
        <f aca="false">Assumptions!$B$4+A526/12</f>
        <v>108.25</v>
      </c>
      <c r="C526" s="34" t="n">
        <f aca="false">Assumptions!$B$4+INT(A526/12)</f>
        <v>108</v>
      </c>
      <c r="D526" s="34" t="n">
        <f aca="false">INT(A526/12)+1</f>
        <v>44</v>
      </c>
      <c r="E526" s="32" t="n">
        <f aca="false">IFERROR(INDEX(Cohort_Survival!$G$5:$G$65,MATCH(C526,Cohort_Survival!$A$5:$A$65,0)),1)</f>
        <v>0.383986985728216</v>
      </c>
      <c r="F526" s="30" t="n">
        <f aca="false">1-(1-MIN(1,E526))^(1/12)</f>
        <v>0.039569763970092</v>
      </c>
      <c r="G526" s="39" t="n">
        <f aca="false">IF(C526&lt;Assumptions!$B$5,IF(D526=1,Assumptions!$B$16,IF(D526=2,Assumptions!$B$17,IF(D526&lt;=5,Assumptions!$B$18,Assumptions!$B$19)))*(1-Assumptions!$B$20),0)</f>
        <v>0</v>
      </c>
      <c r="H526" s="30" t="n">
        <f aca="false">1-(1-G526)^(1/12)</f>
        <v>0</v>
      </c>
      <c r="I526" s="30" t="n">
        <f aca="false">I525*(1-F525)*(1-H525)</f>
        <v>0.00736725989981306</v>
      </c>
      <c r="J526" s="30" t="n">
        <f aca="false">INDEX(Discount_Monthly!$G$4:$G$664,MATCH(A526,Discount_Monthly!$A$4:$A$664,0))</f>
        <v>0.2553964093163</v>
      </c>
      <c r="K526" s="30" t="n">
        <f aca="false">IF(C526&lt;Assumptions!$B$5,I526*J526,0)</f>
        <v>0</v>
      </c>
      <c r="L526" s="30" t="n">
        <f aca="false">IF(C526&lt;Assumptions!$B$5,I526*(1-F526)*H526*A526*J526,0)</f>
        <v>0</v>
      </c>
      <c r="M526" s="30" t="n">
        <f aca="false">IF(A526=0,Assumptions!$B$14*12*I526*J526,IF(AND(A526&gt;=12,C526&lt;Assumptions!$B$5),Assumptions!$B$15*I526*J526,0))</f>
        <v>0</v>
      </c>
      <c r="N526" s="47" t="n">
        <f aca="false">IF(C526&gt;=Assumptions!$B$5,I526*Assumptions!$B$9/12*(1+Assumptions!$B$10)^INT(A526/12)*J526,0)</f>
        <v>5.87850511617757</v>
      </c>
      <c r="O526" s="47" t="n">
        <f aca="false">I526*Assumptions!$B$12/12*(1+Assumptions!$B$11)^(INT(A526/12)+1)*J526</f>
        <v>0.0371774498379031</v>
      </c>
      <c r="P526" s="47" t="n">
        <f aca="false">O526+Pricing_M!$B$13*M526+N526-Pricing_M!$B$13*K526</f>
        <v>5.91568256601547</v>
      </c>
      <c r="Q526" s="47" t="n">
        <f aca="false">IF(C526&lt;Assumptions!$B$5,Pricing_M!$B$13*K526-Pricing_M!$B$13*M526-O526,-(N526+O526))</f>
        <v>-5.91568256601547</v>
      </c>
      <c r="R526" s="32" t="n">
        <f aca="false">R525*(1-(1-(1-MIN(1,E525*(1-Assumptions!$B$21)))^(1/12)))*(1-H525)</f>
        <v>0.0207492700833673</v>
      </c>
      <c r="S526" s="47" t="n">
        <f aca="false">R526*(IF(C526&lt;Assumptions!$B$5,Assumptions!$B$12*(1+Assumptions!$B$11)^(INT(A526/12)+1)/12+Pricing_M!$B$13*IF(A526=0,Assumptions!$B$14*12,IF(A526&gt;=12,Assumptions!$B$15,0))-Pricing_M!$B$13,Assumptions!$B$9/12*(1+Assumptions!$B$10)^INT(A526/12)+Assumptions!$B$12*(1+Assumptions!$B$11)^(INT(A526/12)+1)/12))*J526</f>
        <v>16.6610241743796</v>
      </c>
      <c r="T526" s="32" t="n">
        <f aca="false">T525*(1-F525)*(1-(1-(1-MIN(1,G525*(1+Assumptions!$B$23)))^(1/12)))</f>
        <v>0.00667384494413436</v>
      </c>
      <c r="U526" s="47" t="n">
        <f aca="false">T526*(IF(C526&lt;Assumptions!$B$5,Assumptions!$B$12*(1+Assumptions!$B$11)^(INT(A526/12)+1)/12+Pricing_M!$B$13*IF(A526=0,Assumptions!$B$14*12,IF(A526&gt;=12,Assumptions!$B$15,0))-Pricing_M!$B$13,Assumptions!$B$9/12*(1+Assumptions!$B$10)^INT(A526/12)+Assumptions!$B$12*(1+Assumptions!$B$11)^(INT(A526/12)+1)/12))*J526</f>
        <v>5.35889173467437</v>
      </c>
      <c r="V526" s="32" t="n">
        <f aca="false">V525*(1-F525)*(1-(1-(1-MIN(1,G525*(1-Assumptions!$B$23)))^(1/12)))</f>
        <v>0.0081252590432636</v>
      </c>
      <c r="W526" s="47" t="n">
        <f aca="false">V526*(IF(C526&lt;Assumptions!$B$5,Assumptions!$B$12*(1+Assumptions!$B$11)^(INT(A526/12)+1)/12+Pricing_M!$B$13*IF(A526=0,Assumptions!$B$14*12,IF(A526&gt;=12,Assumptions!$B$15,0))-Pricing_M!$B$13,Assumptions!$B$9/12*(1+Assumptions!$B$10)^INT(A526/12)+Assumptions!$B$12*(1+Assumptions!$B$11)^(INT(A526/12)+1)/12))*J526</f>
        <v>6.52433250899886</v>
      </c>
      <c r="X526" s="47" t="n">
        <f aca="false">I526*(IF(C526&lt;Assumptions!$B$5,Assumptions!$B$12*(1+Assumptions!$B$11)*(1+Assumptions!$B$24)*(1+Assumptions!$B$11+Assumptions!$B$25)^(INT(A526/12))/12+Pricing_M!$B$13*IF(A526=0,Assumptions!$B$14*12,IF(A526&gt;=12,Assumptions!$B$15,0))-Pricing_M!$B$13,Assumptions!$B$9/12*(1+Assumptions!$B$10)^INT(A526/12)+Assumptions!$B$12*(1+Assumptions!$B$11)*(1+Assumptions!$B$24)*(1+Assumptions!$B$11+Assumptions!$B$25)^(INT(A526/12))/12))*J526</f>
        <v>5.94058931924193</v>
      </c>
    </row>
    <row r="527" customFormat="false" ht="15" hidden="false" customHeight="true" outlineLevel="0" collapsed="false">
      <c r="A527" s="1" t="n">
        <v>520</v>
      </c>
      <c r="B527" s="31" t="n">
        <f aca="false">Assumptions!$B$4+A527/12</f>
        <v>108.333333333333</v>
      </c>
      <c r="C527" s="34" t="n">
        <f aca="false">Assumptions!$B$4+INT(A527/12)</f>
        <v>108</v>
      </c>
      <c r="D527" s="34" t="n">
        <f aca="false">INT(A527/12)+1</f>
        <v>44</v>
      </c>
      <c r="E527" s="32" t="n">
        <f aca="false">IFERROR(INDEX(Cohort_Survival!$G$5:$G$65,MATCH(C527,Cohort_Survival!$A$5:$A$65,0)),1)</f>
        <v>0.383986985728216</v>
      </c>
      <c r="F527" s="30" t="n">
        <f aca="false">1-(1-MIN(1,E527))^(1/12)</f>
        <v>0.039569763970092</v>
      </c>
      <c r="G527" s="39" t="n">
        <f aca="false">IF(C527&lt;Assumptions!$B$5,IF(D527=1,Assumptions!$B$16,IF(D527=2,Assumptions!$B$17,IF(D527&lt;=5,Assumptions!$B$18,Assumptions!$B$19)))*(1-Assumptions!$B$20),0)</f>
        <v>0</v>
      </c>
      <c r="H527" s="30" t="n">
        <f aca="false">1-(1-G527)^(1/12)</f>
        <v>0</v>
      </c>
      <c r="I527" s="30" t="n">
        <f aca="false">I526*(1-F526)*(1-H526)</f>
        <v>0.00707573916447113</v>
      </c>
      <c r="J527" s="30" t="n">
        <f aca="false">INDEX(Discount_Monthly!$G$4:$G$664,MATCH(A527,Discount_Monthly!$A$4:$A$664,0))</f>
        <v>0.254716617484614</v>
      </c>
      <c r="K527" s="30" t="n">
        <f aca="false">IF(C527&lt;Assumptions!$B$5,I527*J527,0)</f>
        <v>0</v>
      </c>
      <c r="L527" s="30" t="n">
        <f aca="false">IF(C527&lt;Assumptions!$B$5,I527*(1-F527)*H527*A527*J527,0)</f>
        <v>0</v>
      </c>
      <c r="M527" s="30" t="n">
        <f aca="false">IF(A527=0,Assumptions!$B$14*12*I527*J527,IF(AND(A527&gt;=12,C527&lt;Assumptions!$B$5),Assumptions!$B$15*I527*J527,0))</f>
        <v>0</v>
      </c>
      <c r="N527" s="47" t="n">
        <f aca="false">IF(C527&gt;=Assumptions!$B$5,I527*Assumptions!$B$9/12*(1+Assumptions!$B$10)^INT(A527/12)*J527,0)</f>
        <v>5.63086630908436</v>
      </c>
      <c r="O527" s="47" t="n">
        <f aca="false">I527*Assumptions!$B$12/12*(1+Assumptions!$B$11)^(INT(A527/12)+1)*J527</f>
        <v>0.0356113068905593</v>
      </c>
      <c r="P527" s="47" t="n">
        <f aca="false">O527+Pricing_M!$B$13*M527+N527-Pricing_M!$B$13*K527</f>
        <v>5.66647761597492</v>
      </c>
      <c r="Q527" s="47" t="n">
        <f aca="false">IF(C527&lt;Assumptions!$B$5,Pricing_M!$B$13*K527-Pricing_M!$B$13*M527-O527,-(N527+O527))</f>
        <v>-5.66647761597492</v>
      </c>
      <c r="R527" s="32" t="n">
        <f aca="false">R526*(1-(1-(1-MIN(1,E526*(1-Assumptions!$B$21)))^(1/12)))*(1-H526)</f>
        <v>0.0201242957358663</v>
      </c>
      <c r="S527" s="47" t="n">
        <f aca="false">R527*(IF(C527&lt;Assumptions!$B$5,Assumptions!$B$12*(1+Assumptions!$B$11)^(INT(A527/12)+1)/12+Pricing_M!$B$13*IF(A527=0,Assumptions!$B$14*12,IF(A527&gt;=12,Assumptions!$B$15,0))-Pricing_M!$B$13,Assumptions!$B$9/12*(1+Assumptions!$B$10)^INT(A527/12)+Assumptions!$B$12*(1+Assumptions!$B$11)^(INT(A527/12)+1)/12))*J527</f>
        <v>16.1161779248641</v>
      </c>
      <c r="T527" s="32" t="n">
        <f aca="false">T526*(1-F526)*(1-(1-(1-MIN(1,G526*(1+Assumptions!$B$23)))^(1/12)))</f>
        <v>0.00640976247492197</v>
      </c>
      <c r="U527" s="47" t="n">
        <f aca="false">T527*(IF(C527&lt;Assumptions!$B$5,Assumptions!$B$12*(1+Assumptions!$B$11)^(INT(A527/12)+1)/12+Pricing_M!$B$13*IF(A527=0,Assumptions!$B$14*12,IF(A527&gt;=12,Assumptions!$B$15,0))-Pricing_M!$B$13,Assumptions!$B$9/12*(1+Assumptions!$B$10)^INT(A527/12)+Assumptions!$B$12*(1+Assumptions!$B$11)^(INT(A527/12)+1)/12))*J527</f>
        <v>5.13314224049356</v>
      </c>
      <c r="V527" s="32" t="n">
        <f aca="false">V526*(1-F526)*(1-(1-(1-MIN(1,G526*(1-Assumptions!$B$23)))^(1/12)))</f>
        <v>0.00780374446072581</v>
      </c>
      <c r="W527" s="47" t="n">
        <f aca="false">V527*(IF(C527&lt;Assumptions!$B$5,Assumptions!$B$12*(1+Assumptions!$B$11)^(INT(A527/12)+1)/12+Pricing_M!$B$13*IF(A527=0,Assumptions!$B$14*12,IF(A527&gt;=12,Assumptions!$B$15,0))-Pricing_M!$B$13,Assumptions!$B$9/12*(1+Assumptions!$B$10)^INT(A527/12)+Assumptions!$B$12*(1+Assumptions!$B$11)^(INT(A527/12)+1)/12))*J527</f>
        <v>6.24948747821687</v>
      </c>
      <c r="X527" s="47" t="n">
        <f aca="false">I527*(IF(C527&lt;Assumptions!$B$5,Assumptions!$B$12*(1+Assumptions!$B$11)*(1+Assumptions!$B$24)*(1+Assumptions!$B$11+Assumptions!$B$25)^(INT(A527/12))/12+Pricing_M!$B$13*IF(A527=0,Assumptions!$B$14*12,IF(A527&gt;=12,Assumptions!$B$15,0))-Pricing_M!$B$13,Assumptions!$B$9/12*(1+Assumptions!$B$10)^INT(A527/12)+Assumptions!$B$12*(1+Assumptions!$B$11)*(1+Assumptions!$B$24)*(1+Assumptions!$B$11+Assumptions!$B$25)^(INT(A527/12))/12))*J527</f>
        <v>5.69033514349933</v>
      </c>
    </row>
    <row r="528" customFormat="false" ht="15" hidden="false" customHeight="true" outlineLevel="0" collapsed="false">
      <c r="A528" s="1" t="n">
        <v>521</v>
      </c>
      <c r="B528" s="31" t="n">
        <f aca="false">Assumptions!$B$4+A528/12</f>
        <v>108.416666666667</v>
      </c>
      <c r="C528" s="34" t="n">
        <f aca="false">Assumptions!$B$4+INT(A528/12)</f>
        <v>108</v>
      </c>
      <c r="D528" s="34" t="n">
        <f aca="false">INT(A528/12)+1</f>
        <v>44</v>
      </c>
      <c r="E528" s="32" t="n">
        <f aca="false">IFERROR(INDEX(Cohort_Survival!$G$5:$G$65,MATCH(C528,Cohort_Survival!$A$5:$A$65,0)),1)</f>
        <v>0.383986985728216</v>
      </c>
      <c r="F528" s="30" t="n">
        <f aca="false">1-(1-MIN(1,E528))^(1/12)</f>
        <v>0.039569763970092</v>
      </c>
      <c r="G528" s="39" t="n">
        <f aca="false">IF(C528&lt;Assumptions!$B$5,IF(D528=1,Assumptions!$B$16,IF(D528=2,Assumptions!$B$17,IF(D528&lt;=5,Assumptions!$B$18,Assumptions!$B$19)))*(1-Assumptions!$B$20),0)</f>
        <v>0</v>
      </c>
      <c r="H528" s="30" t="n">
        <f aca="false">1-(1-G528)^(1/12)</f>
        <v>0</v>
      </c>
      <c r="I528" s="30" t="n">
        <f aca="false">I527*(1-F527)*(1-H527)</f>
        <v>0.00679575383581907</v>
      </c>
      <c r="J528" s="30" t="n">
        <f aca="false">INDEX(Discount_Monthly!$G$4:$G$664,MATCH(A528,Discount_Monthly!$A$4:$A$664,0))</f>
        <v>0.254038635063389</v>
      </c>
      <c r="K528" s="30" t="n">
        <f aca="false">IF(C528&lt;Assumptions!$B$5,I528*J528,0)</f>
        <v>0</v>
      </c>
      <c r="L528" s="30" t="n">
        <f aca="false">IF(C528&lt;Assumptions!$B$5,I528*(1-F528)*H528*A528*J528,0)</f>
        <v>0</v>
      </c>
      <c r="M528" s="30" t="n">
        <f aca="false">IF(A528=0,Assumptions!$B$14*12*I528*J528,IF(AND(A528&gt;=12,C528&lt;Assumptions!$B$5),Assumptions!$B$15*I528*J528,0))</f>
        <v>0</v>
      </c>
      <c r="N528" s="47" t="n">
        <f aca="false">IF(C528&gt;=Assumptions!$B$5,I528*Assumptions!$B$9/12*(1+Assumptions!$B$10)^INT(A528/12)*J528,0)</f>
        <v>5.39365957231628</v>
      </c>
      <c r="O528" s="47" t="n">
        <f aca="false">I528*Assumptions!$B$12/12*(1+Assumptions!$B$11)^(INT(A528/12)+1)*J528</f>
        <v>0.0341111395209437</v>
      </c>
      <c r="P528" s="47" t="n">
        <f aca="false">O528+Pricing_M!$B$13*M528+N528-Pricing_M!$B$13*K528</f>
        <v>5.42777071183723</v>
      </c>
      <c r="Q528" s="47" t="n">
        <f aca="false">IF(C528&lt;Assumptions!$B$5,Pricing_M!$B$13*K528-Pricing_M!$B$13*M528-O528,-(N528+O528))</f>
        <v>-5.42777071183723</v>
      </c>
      <c r="R528" s="32" t="n">
        <f aca="false">R527*(1-(1-(1-MIN(1,E527*(1-Assumptions!$B$21)))^(1/12)))*(1-H527)</f>
        <v>0.0195181458064515</v>
      </c>
      <c r="S528" s="47" t="n">
        <f aca="false">R528*(IF(C528&lt;Assumptions!$B$5,Assumptions!$B$12*(1+Assumptions!$B$11)^(INT(A528/12)+1)/12+Pricing_M!$B$13*IF(A528=0,Assumptions!$B$14*12,IF(A528&gt;=12,Assumptions!$B$15,0))-Pricing_M!$B$13,Assumptions!$B$9/12*(1+Assumptions!$B$10)^INT(A528/12)+Assumptions!$B$12*(1+Assumptions!$B$11)^(INT(A528/12)+1)/12))*J528</f>
        <v>15.5891491535843</v>
      </c>
      <c r="T528" s="32" t="n">
        <f aca="false">T527*(1-F527)*(1-(1-(1-MIN(1,G527*(1+Assumptions!$B$23)))^(1/12)))</f>
        <v>0.00615612968668495</v>
      </c>
      <c r="U528" s="47" t="n">
        <f aca="false">T528*(IF(C528&lt;Assumptions!$B$5,Assumptions!$B$12*(1+Assumptions!$B$11)^(INT(A528/12)+1)/12+Pricing_M!$B$13*IF(A528=0,Assumptions!$B$14*12,IF(A528&gt;=12,Assumptions!$B$15,0))-Pricing_M!$B$13,Assumptions!$B$9/12*(1+Assumptions!$B$10)^INT(A528/12)+Assumptions!$B$12*(1+Assumptions!$B$11)^(INT(A528/12)+1)/12))*J528</f>
        <v>4.91690270408875</v>
      </c>
      <c r="V528" s="32" t="n">
        <f aca="false">V527*(1-F527)*(1-(1-(1-MIN(1,G527*(1-Assumptions!$B$23)))^(1/12)))</f>
        <v>0.00749495213433197</v>
      </c>
      <c r="W528" s="47" t="n">
        <f aca="false">V528*(IF(C528&lt;Assumptions!$B$5,Assumptions!$B$12*(1+Assumptions!$B$11)^(INT(A528/12)+1)/12+Pricing_M!$B$13*IF(A528=0,Assumptions!$B$14*12,IF(A528&gt;=12,Assumptions!$B$15,0))-Pricing_M!$B$13,Assumptions!$B$9/12*(1+Assumptions!$B$10)^INT(A528/12)+Assumptions!$B$12*(1+Assumptions!$B$11)^(INT(A528/12)+1)/12))*J528</f>
        <v>5.98622061130704</v>
      </c>
      <c r="X528" s="47" t="n">
        <f aca="false">I528*(IF(C528&lt;Assumptions!$B$5,Assumptions!$B$12*(1+Assumptions!$B$11)*(1+Assumptions!$B$24)*(1+Assumptions!$B$11+Assumptions!$B$25)^(INT(A528/12))/12+Pricing_M!$B$13*IF(A528=0,Assumptions!$B$14*12,IF(A528&gt;=12,Assumptions!$B$15,0))-Pricing_M!$B$13,Assumptions!$B$9/12*(1+Assumptions!$B$10)^INT(A528/12)+Assumptions!$B$12*(1+Assumptions!$B$11)*(1+Assumptions!$B$24)*(1+Assumptions!$B$11+Assumptions!$B$25)^(INT(A528/12))/12))*J528</f>
        <v>5.45062321350224</v>
      </c>
    </row>
    <row r="529" customFormat="false" ht="15" hidden="false" customHeight="true" outlineLevel="0" collapsed="false">
      <c r="A529" s="1" t="n">
        <v>522</v>
      </c>
      <c r="B529" s="31" t="n">
        <f aca="false">Assumptions!$B$4+A529/12</f>
        <v>108.5</v>
      </c>
      <c r="C529" s="34" t="n">
        <f aca="false">Assumptions!$B$4+INT(A529/12)</f>
        <v>108</v>
      </c>
      <c r="D529" s="34" t="n">
        <f aca="false">INT(A529/12)+1</f>
        <v>44</v>
      </c>
      <c r="E529" s="32" t="n">
        <f aca="false">IFERROR(INDEX(Cohort_Survival!$G$5:$G$65,MATCH(C529,Cohort_Survival!$A$5:$A$65,0)),1)</f>
        <v>0.383986985728216</v>
      </c>
      <c r="F529" s="30" t="n">
        <f aca="false">1-(1-MIN(1,E529))^(1/12)</f>
        <v>0.039569763970092</v>
      </c>
      <c r="G529" s="39" t="n">
        <f aca="false">IF(C529&lt;Assumptions!$B$5,IF(D529=1,Assumptions!$B$16,IF(D529=2,Assumptions!$B$17,IF(D529&lt;=5,Assumptions!$B$18,Assumptions!$B$19)))*(1-Assumptions!$B$20),0)</f>
        <v>0</v>
      </c>
      <c r="H529" s="30" t="n">
        <f aca="false">1-(1-G529)^(1/12)</f>
        <v>0</v>
      </c>
      <c r="I529" s="30" t="n">
        <f aca="false">I528*(1-F528)*(1-H528)</f>
        <v>0.00652684746053687</v>
      </c>
      <c r="J529" s="30" t="n">
        <f aca="false">INDEX(Discount_Monthly!$G$4:$G$664,MATCH(A529,Discount_Monthly!$A$4:$A$664,0))</f>
        <v>0.253362457236493</v>
      </c>
      <c r="K529" s="30" t="n">
        <f aca="false">IF(C529&lt;Assumptions!$B$5,I529*J529,0)</f>
        <v>0</v>
      </c>
      <c r="L529" s="30" t="n">
        <f aca="false">IF(C529&lt;Assumptions!$B$5,I529*(1-F529)*H529*A529*J529,0)</f>
        <v>0</v>
      </c>
      <c r="M529" s="30" t="n">
        <f aca="false">IF(A529=0,Assumptions!$B$14*12*I529*J529,IF(AND(A529&gt;=12,C529&lt;Assumptions!$B$5),Assumptions!$B$15*I529*J529,0))</f>
        <v>0</v>
      </c>
      <c r="N529" s="47" t="n">
        <f aca="false">IF(C529&gt;=Assumptions!$B$5,I529*Assumptions!$B$9/12*(1+Assumptions!$B$10)^INT(A529/12)*J529,0)</f>
        <v>5.16644544288064</v>
      </c>
      <c r="O529" s="47" t="n">
        <f aca="false">I529*Assumptions!$B$12/12*(1+Assumptions!$B$11)^(INT(A529/12)+1)*J529</f>
        <v>0.0326741684317616</v>
      </c>
      <c r="P529" s="47" t="n">
        <f aca="false">O529+Pricing_M!$B$13*M529+N529-Pricing_M!$B$13*K529</f>
        <v>5.1991196113124</v>
      </c>
      <c r="Q529" s="47" t="n">
        <f aca="false">IF(C529&lt;Assumptions!$B$5,Pricing_M!$B$13*K529-Pricing_M!$B$13*M529-O529,-(N529+O529))</f>
        <v>-5.1991196113124</v>
      </c>
      <c r="R529" s="32" t="n">
        <f aca="false">R528*(1-(1-(1-MIN(1,E528*(1-Assumptions!$B$21)))^(1/12)))*(1-H528)</f>
        <v>0.0189302532979052</v>
      </c>
      <c r="S529" s="47" t="n">
        <f aca="false">R529*(IF(C529&lt;Assumptions!$B$5,Assumptions!$B$12*(1+Assumptions!$B$11)^(INT(A529/12)+1)/12+Pricing_M!$B$13*IF(A529=0,Assumptions!$B$14*12,IF(A529&gt;=12,Assumptions!$B$15,0))-Pricing_M!$B$13,Assumptions!$B$9/12*(1+Assumptions!$B$10)^INT(A529/12)+Assumptions!$B$12*(1+Assumptions!$B$11)^(INT(A529/12)+1)/12))*J529</f>
        <v>15.0793551961079</v>
      </c>
      <c r="T529" s="32" t="n">
        <f aca="false">T528*(1-F528)*(1-(1-(1-MIN(1,G528*(1+Assumptions!$B$23)))^(1/12)))</f>
        <v>0.00591253308801355</v>
      </c>
      <c r="U529" s="47" t="n">
        <f aca="false">T529*(IF(C529&lt;Assumptions!$B$5,Assumptions!$B$12*(1+Assumptions!$B$11)^(INT(A529/12)+1)/12+Pricing_M!$B$13*IF(A529=0,Assumptions!$B$14*12,IF(A529&gt;=12,Assumptions!$B$15,0))-Pricing_M!$B$13,Assumptions!$B$9/12*(1+Assumptions!$B$10)^INT(A529/12)+Assumptions!$B$12*(1+Assumptions!$B$11)^(INT(A529/12)+1)/12))*J529</f>
        <v>4.70977250752176</v>
      </c>
      <c r="V529" s="32" t="n">
        <f aca="false">V528*(1-F528)*(1-(1-(1-MIN(1,G528*(1-Assumptions!$B$23)))^(1/12)))</f>
        <v>0.00719837864740932</v>
      </c>
      <c r="W529" s="47" t="n">
        <f aca="false">V529*(IF(C529&lt;Assumptions!$B$5,Assumptions!$B$12*(1+Assumptions!$B$11)^(INT(A529/12)+1)/12+Pricing_M!$B$13*IF(A529=0,Assumptions!$B$14*12,IF(A529&gt;=12,Assumptions!$B$15,0))-Pricing_M!$B$13,Assumptions!$B$9/12*(1+Assumptions!$B$10)^INT(A529/12)+Assumptions!$B$12*(1+Assumptions!$B$11)^(INT(A529/12)+1)/12))*J529</f>
        <v>5.73404416476432</v>
      </c>
      <c r="X529" s="47" t="n">
        <f aca="false">I529*(IF(C529&lt;Assumptions!$B$5,Assumptions!$B$12*(1+Assumptions!$B$11)*(1+Assumptions!$B$24)*(1+Assumptions!$B$11+Assumptions!$B$25)^(INT(A529/12))/12+Pricing_M!$B$13*IF(A529=0,Assumptions!$B$14*12,IF(A529&gt;=12,Assumptions!$B$15,0))-Pricing_M!$B$13,Assumptions!$B$9/12*(1+Assumptions!$B$10)^INT(A529/12)+Assumptions!$B$12*(1+Assumptions!$B$11)*(1+Assumptions!$B$24)*(1+Assumptions!$B$11+Assumptions!$B$25)^(INT(A529/12))/12))*J529</f>
        <v>5.22100942499134</v>
      </c>
    </row>
    <row r="530" customFormat="false" ht="15" hidden="false" customHeight="true" outlineLevel="0" collapsed="false">
      <c r="A530" s="1" t="n">
        <v>523</v>
      </c>
      <c r="B530" s="31" t="n">
        <f aca="false">Assumptions!$B$4+A530/12</f>
        <v>108.583333333333</v>
      </c>
      <c r="C530" s="34" t="n">
        <f aca="false">Assumptions!$B$4+INT(A530/12)</f>
        <v>108</v>
      </c>
      <c r="D530" s="34" t="n">
        <f aca="false">INT(A530/12)+1</f>
        <v>44</v>
      </c>
      <c r="E530" s="32" t="n">
        <f aca="false">IFERROR(INDEX(Cohort_Survival!$G$5:$G$65,MATCH(C530,Cohort_Survival!$A$5:$A$65,0)),1)</f>
        <v>0.383986985728216</v>
      </c>
      <c r="F530" s="30" t="n">
        <f aca="false">1-(1-MIN(1,E530))^(1/12)</f>
        <v>0.039569763970092</v>
      </c>
      <c r="G530" s="39" t="n">
        <f aca="false">IF(C530&lt;Assumptions!$B$5,IF(D530=1,Assumptions!$B$16,IF(D530=2,Assumptions!$B$17,IF(D530&lt;=5,Assumptions!$B$18,Assumptions!$B$19)))*(1-Assumptions!$B$20),0)</f>
        <v>0</v>
      </c>
      <c r="H530" s="30" t="n">
        <f aca="false">1-(1-G530)^(1/12)</f>
        <v>0</v>
      </c>
      <c r="I530" s="30" t="n">
        <f aca="false">I529*(1-F529)*(1-H529)</f>
        <v>0.00626858164705463</v>
      </c>
      <c r="J530" s="30" t="n">
        <f aca="false">INDEX(Discount_Monthly!$G$4:$G$664,MATCH(A530,Discount_Monthly!$A$4:$A$664,0))</f>
        <v>0.252688079200615</v>
      </c>
      <c r="K530" s="30" t="n">
        <f aca="false">IF(C530&lt;Assumptions!$B$5,I530*J530,0)</f>
        <v>0</v>
      </c>
      <c r="L530" s="30" t="n">
        <f aca="false">IF(C530&lt;Assumptions!$B$5,I530*(1-F530)*H530*A530*J530,0)</f>
        <v>0</v>
      </c>
      <c r="M530" s="30" t="n">
        <f aca="false">IF(A530=0,Assumptions!$B$14*12*I530*J530,IF(AND(A530&gt;=12,C530&lt;Assumptions!$B$5),Assumptions!$B$15*I530*J530,0))</f>
        <v>0</v>
      </c>
      <c r="N530" s="47" t="n">
        <f aca="false">IF(C530&gt;=Assumptions!$B$5,I530*Assumptions!$B$9/12*(1+Assumptions!$B$10)^INT(A530/12)*J530,0)</f>
        <v>4.94880297067012</v>
      </c>
      <c r="O530" s="47" t="n">
        <f aca="false">I530*Assumptions!$B$12/12*(1+Assumptions!$B$11)^(INT(A530/12)+1)*J530</f>
        <v>0.0312977314068219</v>
      </c>
      <c r="P530" s="47" t="n">
        <f aca="false">O530+Pricing_M!$B$13*M530+N530-Pricing_M!$B$13*K530</f>
        <v>4.98010070207694</v>
      </c>
      <c r="Q530" s="47" t="n">
        <f aca="false">IF(C530&lt;Assumptions!$B$5,Pricing_M!$B$13*K530-Pricing_M!$B$13*M530-O530,-(N530+O530))</f>
        <v>-4.98010070207694</v>
      </c>
      <c r="R530" s="32" t="n">
        <f aca="false">R529*(1-(1-(1-MIN(1,E529*(1-Assumptions!$B$21)))^(1/12)))*(1-H529)</f>
        <v>0.0183600682911385</v>
      </c>
      <c r="S530" s="47" t="n">
        <f aca="false">R530*(IF(C530&lt;Assumptions!$B$5,Assumptions!$B$12*(1+Assumptions!$B$11)^(INT(A530/12)+1)/12+Pricing_M!$B$13*IF(A530=0,Assumptions!$B$14*12,IF(A530&gt;=12,Assumptions!$B$15,0))-Pricing_M!$B$13,Assumptions!$B$9/12*(1+Assumptions!$B$10)^INT(A530/12)+Assumptions!$B$12*(1+Assumptions!$B$11)^(INT(A530/12)+1)/12))*J530</f>
        <v>14.5862324422051</v>
      </c>
      <c r="T530" s="32" t="n">
        <f aca="false">T529*(1-F529)*(1-(1-(1-MIN(1,G529*(1+Assumptions!$B$23)))^(1/12)))</f>
        <v>0.0056785755492555</v>
      </c>
      <c r="U530" s="47" t="n">
        <f aca="false">T530*(IF(C530&lt;Assumptions!$B$5,Assumptions!$B$12*(1+Assumptions!$B$11)^(INT(A530/12)+1)/12+Pricing_M!$B$13*IF(A530=0,Assumptions!$B$14*12,IF(A530&gt;=12,Assumptions!$B$15,0))-Pricing_M!$B$13,Assumptions!$B$9/12*(1+Assumptions!$B$10)^INT(A530/12)+Assumptions!$B$12*(1+Assumptions!$B$11)^(INT(A530/12)+1)/12))*J530</f>
        <v>4.51136790934707</v>
      </c>
      <c r="V530" s="32" t="n">
        <f aca="false">V529*(1-F529)*(1-(1-(1-MIN(1,G529*(1-Assumptions!$B$23)))^(1/12)))</f>
        <v>0.00691354050336398</v>
      </c>
      <c r="W530" s="47" t="n">
        <f aca="false">V530*(IF(C530&lt;Assumptions!$B$5,Assumptions!$B$12*(1+Assumptions!$B$11)^(INT(A530/12)+1)/12+Pricing_M!$B$13*IF(A530=0,Assumptions!$B$14*12,IF(A530&gt;=12,Assumptions!$B$15,0))-Pricing_M!$B$13,Assumptions!$B$9/12*(1+Assumptions!$B$10)^INT(A530/12)+Assumptions!$B$12*(1+Assumptions!$B$11)^(INT(A530/12)+1)/12))*J530</f>
        <v>5.49249094184133</v>
      </c>
      <c r="X530" s="47" t="n">
        <f aca="false">I530*(IF(C530&lt;Assumptions!$B$5,Assumptions!$B$12*(1+Assumptions!$B$11)*(1+Assumptions!$B$24)*(1+Assumptions!$B$11+Assumptions!$B$25)^(INT(A530/12))/12+Pricing_M!$B$13*IF(A530=0,Assumptions!$B$14*12,IF(A530&gt;=12,Assumptions!$B$15,0))-Pricing_M!$B$13,Assumptions!$B$9/12*(1+Assumptions!$B$10)^INT(A530/12)+Assumptions!$B$12*(1+Assumptions!$B$11)*(1+Assumptions!$B$24)*(1+Assumptions!$B$11+Assumptions!$B$25)^(INT(A530/12))/12))*J530</f>
        <v>5.00106838211139</v>
      </c>
    </row>
    <row r="531" customFormat="false" ht="15" hidden="false" customHeight="true" outlineLevel="0" collapsed="false">
      <c r="A531" s="1" t="n">
        <v>524</v>
      </c>
      <c r="B531" s="31" t="n">
        <f aca="false">Assumptions!$B$4+A531/12</f>
        <v>108.666666666667</v>
      </c>
      <c r="C531" s="34" t="n">
        <f aca="false">Assumptions!$B$4+INT(A531/12)</f>
        <v>108</v>
      </c>
      <c r="D531" s="34" t="n">
        <f aca="false">INT(A531/12)+1</f>
        <v>44</v>
      </c>
      <c r="E531" s="32" t="n">
        <f aca="false">IFERROR(INDEX(Cohort_Survival!$G$5:$G$65,MATCH(C531,Cohort_Survival!$A$5:$A$65,0)),1)</f>
        <v>0.383986985728216</v>
      </c>
      <c r="F531" s="30" t="n">
        <f aca="false">1-(1-MIN(1,E531))^(1/12)</f>
        <v>0.039569763970092</v>
      </c>
      <c r="G531" s="39" t="n">
        <f aca="false">IF(C531&lt;Assumptions!$B$5,IF(D531=1,Assumptions!$B$16,IF(D531=2,Assumptions!$B$17,IF(D531&lt;=5,Assumptions!$B$18,Assumptions!$B$19)))*(1-Assumptions!$B$20),0)</f>
        <v>0</v>
      </c>
      <c r="H531" s="30" t="n">
        <f aca="false">1-(1-G531)^(1/12)</f>
        <v>0</v>
      </c>
      <c r="I531" s="30" t="n">
        <f aca="false">I530*(1-F530)*(1-H530)</f>
        <v>0.00602053535085342</v>
      </c>
      <c r="J531" s="30" t="n">
        <f aca="false">INDEX(Discount_Monthly!$G$4:$G$664,MATCH(A531,Discount_Monthly!$A$4:$A$664,0))</f>
        <v>0.252015496165228</v>
      </c>
      <c r="K531" s="30" t="n">
        <f aca="false">IF(C531&lt;Assumptions!$B$5,I531*J531,0)</f>
        <v>0</v>
      </c>
      <c r="L531" s="30" t="n">
        <f aca="false">IF(C531&lt;Assumptions!$B$5,I531*(1-F531)*H531*A531*J531,0)</f>
        <v>0</v>
      </c>
      <c r="M531" s="30" t="n">
        <f aca="false">IF(A531=0,Assumptions!$B$14*12*I531*J531,IF(AND(A531&gt;=12,C531&lt;Assumptions!$B$5),Assumptions!$B$15*I531*J531,0))</f>
        <v>0</v>
      </c>
      <c r="N531" s="47" t="n">
        <f aca="false">IF(C531&gt;=Assumptions!$B$5,I531*Assumptions!$B$9/12*(1+Assumptions!$B$10)^INT(A531/12)*J531,0)</f>
        <v>4.74032893858611</v>
      </c>
      <c r="O531" s="47" t="n">
        <f aca="false">I531*Assumptions!$B$12/12*(1+Assumptions!$B$11)^(INT(A531/12)+1)*J531</f>
        <v>0.0299792783788609</v>
      </c>
      <c r="P531" s="47" t="n">
        <f aca="false">O531+Pricing_M!$B$13*M531+N531-Pricing_M!$B$13*K531</f>
        <v>4.77030821696497</v>
      </c>
      <c r="Q531" s="47" t="n">
        <f aca="false">IF(C531&lt;Assumptions!$B$5,Pricing_M!$B$13*K531-Pricing_M!$B$13*M531-O531,-(N531+O531))</f>
        <v>-4.77030821696497</v>
      </c>
      <c r="R531" s="32" t="n">
        <f aca="false">R530*(1-(1-(1-MIN(1,E530*(1-Assumptions!$B$21)))^(1/12)))*(1-H530)</f>
        <v>0.0178070574307938</v>
      </c>
      <c r="S531" s="47" t="n">
        <f aca="false">R531*(IF(C531&lt;Assumptions!$B$5,Assumptions!$B$12*(1+Assumptions!$B$11)^(INT(A531/12)+1)/12+Pricing_M!$B$13*IF(A531=0,Assumptions!$B$14*12,IF(A531&gt;=12,Assumptions!$B$15,0))-Pricing_M!$B$13,Assumptions!$B$9/12*(1+Assumptions!$B$10)^INT(A531/12)+Assumptions!$B$12*(1+Assumptions!$B$11)^(INT(A531/12)+1)/12))*J531</f>
        <v>14.1092357127413</v>
      </c>
      <c r="T531" s="32" t="n">
        <f aca="false">T530*(1-F530)*(1-(1-(1-MIN(1,G530*(1+Assumptions!$B$23)))^(1/12)))</f>
        <v>0.00545387565508512</v>
      </c>
      <c r="U531" s="47" t="n">
        <f aca="false">T531*(IF(C531&lt;Assumptions!$B$5,Assumptions!$B$12*(1+Assumptions!$B$11)^(INT(A531/12)+1)/12+Pricing_M!$B$13*IF(A531=0,Assumptions!$B$14*12,IF(A531&gt;=12,Assumptions!$B$15,0))-Pricing_M!$B$13,Assumptions!$B$9/12*(1+Assumptions!$B$10)^INT(A531/12)+Assumptions!$B$12*(1+Assumptions!$B$11)^(INT(A531/12)+1)/12))*J531</f>
        <v>4.32132133367007</v>
      </c>
      <c r="V531" s="32" t="n">
        <f aca="false">V530*(1-F530)*(1-(1-(1-MIN(1,G530*(1-Assumptions!$B$23)))^(1/12)))</f>
        <v>0.0066399733374482</v>
      </c>
      <c r="W531" s="47" t="n">
        <f aca="false">V531*(IF(C531&lt;Assumptions!$B$5,Assumptions!$B$12*(1+Assumptions!$B$11)^(INT(A531/12)+1)/12+Pricing_M!$B$13*IF(A531=0,Assumptions!$B$14*12,IF(A531&gt;=12,Assumptions!$B$15,0))-Pricing_M!$B$13,Assumptions!$B$9/12*(1+Assumptions!$B$10)^INT(A531/12)+Assumptions!$B$12*(1+Assumptions!$B$11)^(INT(A531/12)+1)/12))*J531</f>
        <v>5.26111342699241</v>
      </c>
      <c r="X531" s="47" t="n">
        <f aca="false">I531*(IF(C531&lt;Assumptions!$B$5,Assumptions!$B$12*(1+Assumptions!$B$11)*(1+Assumptions!$B$24)*(1+Assumptions!$B$11+Assumptions!$B$25)^(INT(A531/12))/12+Pricing_M!$B$13*IF(A531=0,Assumptions!$B$14*12,IF(A531&gt;=12,Assumptions!$B$15,0))-Pricing_M!$B$13,Assumptions!$B$9/12*(1+Assumptions!$B$10)^INT(A531/12)+Assumptions!$B$12*(1+Assumptions!$B$11)*(1+Assumptions!$B$24)*(1+Assumptions!$B$11+Assumptions!$B$25)^(INT(A531/12))/12))*J531</f>
        <v>4.7903926092981</v>
      </c>
    </row>
    <row r="532" customFormat="false" ht="15" hidden="false" customHeight="true" outlineLevel="0" collapsed="false">
      <c r="A532" s="1" t="n">
        <v>525</v>
      </c>
      <c r="B532" s="31" t="n">
        <f aca="false">Assumptions!$B$4+A532/12</f>
        <v>108.75</v>
      </c>
      <c r="C532" s="34" t="n">
        <f aca="false">Assumptions!$B$4+INT(A532/12)</f>
        <v>108</v>
      </c>
      <c r="D532" s="34" t="n">
        <f aca="false">INT(A532/12)+1</f>
        <v>44</v>
      </c>
      <c r="E532" s="32" t="n">
        <f aca="false">IFERROR(INDEX(Cohort_Survival!$G$5:$G$65,MATCH(C532,Cohort_Survival!$A$5:$A$65,0)),1)</f>
        <v>0.383986985728216</v>
      </c>
      <c r="F532" s="30" t="n">
        <f aca="false">1-(1-MIN(1,E532))^(1/12)</f>
        <v>0.039569763970092</v>
      </c>
      <c r="G532" s="39" t="n">
        <f aca="false">IF(C532&lt;Assumptions!$B$5,IF(D532=1,Assumptions!$B$16,IF(D532=2,Assumptions!$B$17,IF(D532&lt;=5,Assumptions!$B$18,Assumptions!$B$19)))*(1-Assumptions!$B$20),0)</f>
        <v>0</v>
      </c>
      <c r="H532" s="30" t="n">
        <f aca="false">1-(1-G532)^(1/12)</f>
        <v>0</v>
      </c>
      <c r="I532" s="30" t="n">
        <f aca="false">I531*(1-F531)*(1-H531)</f>
        <v>0.00578230418804656</v>
      </c>
      <c r="J532" s="30" t="n">
        <f aca="false">INDEX(Discount_Monthly!$G$4:$G$664,MATCH(A532,Discount_Monthly!$A$4:$A$664,0))</f>
        <v>0.251344703352558</v>
      </c>
      <c r="K532" s="30" t="n">
        <f aca="false">IF(C532&lt;Assumptions!$B$5,I532*J532,0)</f>
        <v>0</v>
      </c>
      <c r="L532" s="30" t="n">
        <f aca="false">IF(C532&lt;Assumptions!$B$5,I532*(1-F532)*H532*A532*J532,0)</f>
        <v>0</v>
      </c>
      <c r="M532" s="30" t="n">
        <f aca="false">IF(A532=0,Assumptions!$B$14*12*I532*J532,IF(AND(A532&gt;=12,C532&lt;Assumptions!$B$5),Assumptions!$B$15*I532*J532,0))</f>
        <v>0</v>
      </c>
      <c r="N532" s="47" t="n">
        <f aca="false">IF(C532&gt;=Assumptions!$B$5,I532*Assumptions!$B$9/12*(1+Assumptions!$B$10)^INT(A532/12)*J532,0)</f>
        <v>4.54063711551525</v>
      </c>
      <c r="O532" s="47" t="n">
        <f aca="false">I532*Assumptions!$B$12/12*(1+Assumptions!$B$11)^(INT(A532/12)+1)*J532</f>
        <v>0.0287163667051387</v>
      </c>
      <c r="P532" s="47" t="n">
        <f aca="false">O532+Pricing_M!$B$13*M532+N532-Pricing_M!$B$13*K532</f>
        <v>4.56935348222039</v>
      </c>
      <c r="Q532" s="47" t="n">
        <f aca="false">IF(C532&lt;Assumptions!$B$5,Pricing_M!$B$13*K532-Pricing_M!$B$13*M532-O532,-(N532+O532))</f>
        <v>-4.56935348222039</v>
      </c>
      <c r="R532" s="32" t="n">
        <f aca="false">R531*(1-(1-(1-MIN(1,E531*(1-Assumptions!$B$21)))^(1/12)))*(1-H531)</f>
        <v>0.0172707034263392</v>
      </c>
      <c r="S532" s="47" t="n">
        <f aca="false">R532*(IF(C532&lt;Assumptions!$B$5,Assumptions!$B$12*(1+Assumptions!$B$11)^(INT(A532/12)+1)/12+Pricing_M!$B$13*IF(A532=0,Assumptions!$B$14*12,IF(A532&gt;=12,Assumptions!$B$15,0))-Pricing_M!$B$13,Assumptions!$B$9/12*(1+Assumptions!$B$10)^INT(A532/12)+Assumptions!$B$12*(1+Assumptions!$B$11)^(INT(A532/12)+1)/12))*J532</f>
        <v>13.647837656946</v>
      </c>
      <c r="T532" s="32" t="n">
        <f aca="false">T531*(1-F531)*(1-(1-(1-MIN(1,G531*(1+Assumptions!$B$23)))^(1/12)))</f>
        <v>0.00523806708269117</v>
      </c>
      <c r="U532" s="47" t="n">
        <f aca="false">T532*(IF(C532&lt;Assumptions!$B$5,Assumptions!$B$12*(1+Assumptions!$B$11)^(INT(A532/12)+1)/12+Pricing_M!$B$13*IF(A532=0,Assumptions!$B$14*12,IF(A532&gt;=12,Assumptions!$B$15,0))-Pricing_M!$B$13,Assumptions!$B$9/12*(1+Assumptions!$B$10)^INT(A532/12)+Assumptions!$B$12*(1+Assumptions!$B$11)^(INT(A532/12)+1)/12))*J532</f>
        <v>4.1392806891546</v>
      </c>
      <c r="V532" s="32" t="n">
        <f aca="false">V531*(1-F531)*(1-(1-(1-MIN(1,G531*(1-Assumptions!$B$23)))^(1/12)))</f>
        <v>0.00637723115971767</v>
      </c>
      <c r="W532" s="47" t="n">
        <f aca="false">V532*(IF(C532&lt;Assumptions!$B$5,Assumptions!$B$12*(1+Assumptions!$B$11)^(INT(A532/12)+1)/12+Pricing_M!$B$13*IF(A532=0,Assumptions!$B$14*12,IF(A532&gt;=12,Assumptions!$B$15,0))-Pricing_M!$B$13,Assumptions!$B$9/12*(1+Assumptions!$B$10)^INT(A532/12)+Assumptions!$B$12*(1+Assumptions!$B$11)^(INT(A532/12)+1)/12))*J532</f>
        <v>5.03948295678035</v>
      </c>
      <c r="X532" s="47" t="n">
        <f aca="false">I532*(IF(C532&lt;Assumptions!$B$5,Assumptions!$B$12*(1+Assumptions!$B$11)*(1+Assumptions!$B$24)*(1+Assumptions!$B$11+Assumptions!$B$25)^(INT(A532/12))/12+Pricing_M!$B$13*IF(A532=0,Assumptions!$B$14*12,IF(A532&gt;=12,Assumptions!$B$15,0))-Pricing_M!$B$13,Assumptions!$B$9/12*(1+Assumptions!$B$10)^INT(A532/12)+Assumptions!$B$12*(1+Assumptions!$B$11)*(1+Assumptions!$B$24)*(1+Assumptions!$B$11+Assumptions!$B$25)^(INT(A532/12))/12))*J532</f>
        <v>4.58859179636522</v>
      </c>
    </row>
    <row r="533" customFormat="false" ht="15" hidden="false" customHeight="true" outlineLevel="0" collapsed="false">
      <c r="A533" s="1" t="n">
        <v>526</v>
      </c>
      <c r="B533" s="31" t="n">
        <f aca="false">Assumptions!$B$4+A533/12</f>
        <v>108.833333333333</v>
      </c>
      <c r="C533" s="34" t="n">
        <f aca="false">Assumptions!$B$4+INT(A533/12)</f>
        <v>108</v>
      </c>
      <c r="D533" s="34" t="n">
        <f aca="false">INT(A533/12)+1</f>
        <v>44</v>
      </c>
      <c r="E533" s="32" t="n">
        <f aca="false">IFERROR(INDEX(Cohort_Survival!$G$5:$G$65,MATCH(C533,Cohort_Survival!$A$5:$A$65,0)),1)</f>
        <v>0.383986985728216</v>
      </c>
      <c r="F533" s="30" t="n">
        <f aca="false">1-(1-MIN(1,E533))^(1/12)</f>
        <v>0.039569763970092</v>
      </c>
      <c r="G533" s="39" t="n">
        <f aca="false">IF(C533&lt;Assumptions!$B$5,IF(D533=1,Assumptions!$B$16,IF(D533=2,Assumptions!$B$17,IF(D533&lt;=5,Assumptions!$B$18,Assumptions!$B$19)))*(1-Assumptions!$B$20),0)</f>
        <v>0</v>
      </c>
      <c r="H533" s="30" t="n">
        <f aca="false">1-(1-G533)^(1/12)</f>
        <v>0</v>
      </c>
      <c r="I533" s="30" t="n">
        <f aca="false">I532*(1-F532)*(1-H532)</f>
        <v>0.00555349977612228</v>
      </c>
      <c r="J533" s="30" t="n">
        <f aca="false">INDEX(Discount_Monthly!$G$4:$G$664,MATCH(A533,Discount_Monthly!$A$4:$A$664,0))</f>
        <v>0.250675695997545</v>
      </c>
      <c r="K533" s="30" t="n">
        <f aca="false">IF(C533&lt;Assumptions!$B$5,I533*J533,0)</f>
        <v>0</v>
      </c>
      <c r="L533" s="30" t="n">
        <f aca="false">IF(C533&lt;Assumptions!$B$5,I533*(1-F533)*H533*A533*J533,0)</f>
        <v>0</v>
      </c>
      <c r="M533" s="30" t="n">
        <f aca="false">IF(A533=0,Assumptions!$B$14*12*I533*J533,IF(AND(A533&gt;=12,C533&lt;Assumptions!$B$5),Assumptions!$B$15*I533*J533,0))</f>
        <v>0</v>
      </c>
      <c r="N533" s="47" t="n">
        <f aca="false">IF(C533&gt;=Assumptions!$B$5,I533*Assumptions!$B$9/12*(1+Assumptions!$B$10)^INT(A533/12)*J533,0)</f>
        <v>4.34935754077526</v>
      </c>
      <c r="O533" s="47" t="n">
        <f aca="false">I533*Assumptions!$B$12/12*(1+Assumptions!$B$11)^(INT(A533/12)+1)*J533</f>
        <v>0.027506656642058</v>
      </c>
      <c r="P533" s="47" t="n">
        <f aca="false">O533+Pricing_M!$B$13*M533+N533-Pricing_M!$B$13*K533</f>
        <v>4.37686419741731</v>
      </c>
      <c r="Q533" s="47" t="n">
        <f aca="false">IF(C533&lt;Assumptions!$B$5,Pricing_M!$B$13*K533-Pricing_M!$B$13*M533-O533,-(N533+O533))</f>
        <v>-4.37686419741731</v>
      </c>
      <c r="R533" s="32" t="n">
        <f aca="false">R532*(1-(1-(1-MIN(1,E532*(1-Assumptions!$B$21)))^(1/12)))*(1-H532)</f>
        <v>0.0167505045681917</v>
      </c>
      <c r="S533" s="47" t="n">
        <f aca="false">R533*(IF(C533&lt;Assumptions!$B$5,Assumptions!$B$12*(1+Assumptions!$B$11)^(INT(A533/12)+1)/12+Pricing_M!$B$13*IF(A533=0,Assumptions!$B$14*12,IF(A533&gt;=12,Assumptions!$B$15,0))-Pricing_M!$B$13,Assumptions!$B$9/12*(1+Assumptions!$B$10)^INT(A533/12)+Assumptions!$B$12*(1+Assumptions!$B$11)^(INT(A533/12)+1)/12))*J533</f>
        <v>13.2015281693926</v>
      </c>
      <c r="T533" s="32" t="n">
        <f aca="false">T532*(1-F532)*(1-(1-(1-MIN(1,G532*(1+Assumptions!$B$23)))^(1/12)))</f>
        <v>0.00503079800456957</v>
      </c>
      <c r="U533" s="47" t="n">
        <f aca="false">T533*(IF(C533&lt;Assumptions!$B$5,Assumptions!$B$12*(1+Assumptions!$B$11)^(INT(A533/12)+1)/12+Pricing_M!$B$13*IF(A533=0,Assumptions!$B$14*12,IF(A533&gt;=12,Assumptions!$B$15,0))-Pricing_M!$B$13,Assumptions!$B$9/12*(1+Assumptions!$B$10)^INT(A533/12)+Assumptions!$B$12*(1+Assumptions!$B$11)^(INT(A533/12)+1)/12))*J533</f>
        <v>3.96490871671806</v>
      </c>
      <c r="V533" s="32" t="n">
        <f aca="false">V532*(1-F532)*(1-(1-(1-MIN(1,G532*(1-Assumptions!$B$23)))^(1/12)))</f>
        <v>0.00612488562794492</v>
      </c>
      <c r="W533" s="47" t="n">
        <f aca="false">V533*(IF(C533&lt;Assumptions!$B$5,Assumptions!$B$12*(1+Assumptions!$B$11)^(INT(A533/12)+1)/12+Pricing_M!$B$13*IF(A533=0,Assumptions!$B$14*12,IF(A533&gt;=12,Assumptions!$B$15,0))-Pricing_M!$B$13,Assumptions!$B$9/12*(1+Assumptions!$B$10)^INT(A533/12)+Assumptions!$B$12*(1+Assumptions!$B$11)^(INT(A533/12)+1)/12))*J533</f>
        <v>4.82718892570956</v>
      </c>
      <c r="X533" s="47" t="n">
        <f aca="false">I533*(IF(C533&lt;Assumptions!$B$5,Assumptions!$B$12*(1+Assumptions!$B$11)*(1+Assumptions!$B$24)*(1+Assumptions!$B$11+Assumptions!$B$25)^(INT(A533/12))/12+Pricing_M!$B$13*IF(A533=0,Assumptions!$B$14*12,IF(A533&gt;=12,Assumptions!$B$15,0))-Pricing_M!$B$13,Assumptions!$B$9/12*(1+Assumptions!$B$10)^INT(A533/12)+Assumptions!$B$12*(1+Assumptions!$B$11)*(1+Assumptions!$B$24)*(1+Assumptions!$B$11+Assumptions!$B$25)^(INT(A533/12))/12))*J533</f>
        <v>4.39529207539323</v>
      </c>
    </row>
    <row r="534" customFormat="false" ht="15" hidden="false" customHeight="true" outlineLevel="0" collapsed="false">
      <c r="A534" s="1" t="n">
        <v>527</v>
      </c>
      <c r="B534" s="31" t="n">
        <f aca="false">Assumptions!$B$4+A534/12</f>
        <v>108.916666666667</v>
      </c>
      <c r="C534" s="34" t="n">
        <f aca="false">Assumptions!$B$4+INT(A534/12)</f>
        <v>108</v>
      </c>
      <c r="D534" s="34" t="n">
        <f aca="false">INT(A534/12)+1</f>
        <v>44</v>
      </c>
      <c r="E534" s="32" t="n">
        <f aca="false">IFERROR(INDEX(Cohort_Survival!$G$5:$G$65,MATCH(C534,Cohort_Survival!$A$5:$A$65,0)),1)</f>
        <v>0.383986985728216</v>
      </c>
      <c r="F534" s="30" t="n">
        <f aca="false">1-(1-MIN(1,E534))^(1/12)</f>
        <v>0.039569763970092</v>
      </c>
      <c r="G534" s="39" t="n">
        <f aca="false">IF(C534&lt;Assumptions!$B$5,IF(D534=1,Assumptions!$B$16,IF(D534=2,Assumptions!$B$17,IF(D534&lt;=5,Assumptions!$B$18,Assumptions!$B$19)))*(1-Assumptions!$B$20),0)</f>
        <v>0</v>
      </c>
      <c r="H534" s="30" t="n">
        <f aca="false">1-(1-G534)^(1/12)</f>
        <v>0</v>
      </c>
      <c r="I534" s="30" t="n">
        <f aca="false">I533*(1-F533)*(1-H533)</f>
        <v>0.00533374910077316</v>
      </c>
      <c r="J534" s="30" t="n">
        <f aca="false">INDEX(Discount_Monthly!$G$4:$G$664,MATCH(A534,Discount_Monthly!$A$4:$A$664,0))</f>
        <v>0.250008469347815</v>
      </c>
      <c r="K534" s="30" t="n">
        <f aca="false">IF(C534&lt;Assumptions!$B$5,I534*J534,0)</f>
        <v>0</v>
      </c>
      <c r="L534" s="30" t="n">
        <f aca="false">IF(C534&lt;Assumptions!$B$5,I534*(1-F534)*H534*A534*J534,0)</f>
        <v>0</v>
      </c>
      <c r="M534" s="30" t="n">
        <f aca="false">IF(A534=0,Assumptions!$B$14*12*I534*J534,IF(AND(A534&gt;=12,C534&lt;Assumptions!$B$5),Assumptions!$B$15*I534*J534,0))</f>
        <v>0</v>
      </c>
      <c r="N534" s="47" t="n">
        <f aca="false">IF(C534&gt;=Assumptions!$B$5,I534*Assumptions!$B$9/12*(1+Assumptions!$B$10)^INT(A534/12)*J534,0)</f>
        <v>4.16613583870421</v>
      </c>
      <c r="O534" s="47" t="n">
        <f aca="false">I534*Assumptions!$B$12/12*(1+Assumptions!$B$11)^(INT(A534/12)+1)*J534</f>
        <v>0.0263479070104185</v>
      </c>
      <c r="P534" s="47" t="n">
        <f aca="false">O534+Pricing_M!$B$13*M534+N534-Pricing_M!$B$13*K534</f>
        <v>4.19248374571463</v>
      </c>
      <c r="Q534" s="47" t="n">
        <f aca="false">IF(C534&lt;Assumptions!$B$5,Pricing_M!$B$13*K534-Pricing_M!$B$13*M534-O534,-(N534+O534))</f>
        <v>-4.19248374571463</v>
      </c>
      <c r="R534" s="32" t="n">
        <f aca="false">R533*(1-(1-(1-MIN(1,E533*(1-Assumptions!$B$21)))^(1/12)))*(1-H533)</f>
        <v>0.0162459742584142</v>
      </c>
      <c r="S534" s="47" t="n">
        <f aca="false">R534*(IF(C534&lt;Assumptions!$B$5,Assumptions!$B$12*(1+Assumptions!$B$11)^(INT(A534/12)+1)/12+Pricing_M!$B$13*IF(A534=0,Assumptions!$B$14*12,IF(A534&gt;=12,Assumptions!$B$15,0))-Pricing_M!$B$13,Assumptions!$B$9/12*(1+Assumptions!$B$10)^INT(A534/12)+Assumptions!$B$12*(1+Assumptions!$B$11)^(INT(A534/12)+1)/12))*J534</f>
        <v>12.7698138260434</v>
      </c>
      <c r="T534" s="32" t="n">
        <f aca="false">T533*(1-F533)*(1-(1-(1-MIN(1,G533*(1+Assumptions!$B$23)))^(1/12)))</f>
        <v>0.00483173051494755</v>
      </c>
      <c r="U534" s="47" t="n">
        <f aca="false">T534*(IF(C534&lt;Assumptions!$B$5,Assumptions!$B$12*(1+Assumptions!$B$11)^(INT(A534/12)+1)/12+Pricing_M!$B$13*IF(A534=0,Assumptions!$B$14*12,IF(A534&gt;=12,Assumptions!$B$15,0))-Pricing_M!$B$13,Assumptions!$B$9/12*(1+Assumptions!$B$10)^INT(A534/12)+Assumptions!$B$12*(1+Assumptions!$B$11)^(INT(A534/12)+1)/12))*J534</f>
        <v>3.79788236470564</v>
      </c>
      <c r="V534" s="32" t="n">
        <f aca="false">V533*(1-F533)*(1-(1-(1-MIN(1,G533*(1-Assumptions!$B$23)))^(1/12)))</f>
        <v>0.00588252534930333</v>
      </c>
      <c r="W534" s="47" t="n">
        <f aca="false">V534*(IF(C534&lt;Assumptions!$B$5,Assumptions!$B$12*(1+Assumptions!$B$11)^(INT(A534/12)+1)/12+Pricing_M!$B$13*IF(A534=0,Assumptions!$B$14*12,IF(A534&gt;=12,Assumptions!$B$15,0))-Pricing_M!$B$13,Assumptions!$B$9/12*(1+Assumptions!$B$10)^INT(A534/12)+Assumptions!$B$12*(1+Assumptions!$B$11)^(INT(A534/12)+1)/12))*J534</f>
        <v>4.62383802551446</v>
      </c>
      <c r="X534" s="47" t="n">
        <f aca="false">I534*(IF(C534&lt;Assumptions!$B$5,Assumptions!$B$12*(1+Assumptions!$B$11)*(1+Assumptions!$B$24)*(1+Assumptions!$B$11+Assumptions!$B$25)^(INT(A534/12))/12+Pricing_M!$B$13*IF(A534=0,Assumptions!$B$14*12,IF(A534&gt;=12,Assumptions!$B$15,0))-Pricing_M!$B$13,Assumptions!$B$9/12*(1+Assumptions!$B$10)^INT(A534/12)+Assumptions!$B$12*(1+Assumptions!$B$11)*(1+Assumptions!$B$24)*(1+Assumptions!$B$11+Assumptions!$B$25)^(INT(A534/12))/12))*J534</f>
        <v>4.21013532807984</v>
      </c>
    </row>
    <row r="535" customFormat="false" ht="15" hidden="false" customHeight="true" outlineLevel="0" collapsed="false">
      <c r="A535" s="1" t="n">
        <v>528</v>
      </c>
      <c r="B535" s="31" t="n">
        <f aca="false">Assumptions!$B$4+A535/12</f>
        <v>109</v>
      </c>
      <c r="C535" s="34" t="n">
        <f aca="false">Assumptions!$B$4+INT(A535/12)</f>
        <v>109</v>
      </c>
      <c r="D535" s="34" t="n">
        <f aca="false">INT(A535/12)+1</f>
        <v>45</v>
      </c>
      <c r="E535" s="32" t="n">
        <f aca="false">IFERROR(INDEX(Cohort_Survival!$G$5:$G$65,MATCH(C535,Cohort_Survival!$A$5:$A$65,0)),1)</f>
        <v>0.411411053924766</v>
      </c>
      <c r="F535" s="30" t="n">
        <f aca="false">1-(1-MIN(1,E535))^(1/12)</f>
        <v>0.0432076921593592</v>
      </c>
      <c r="G535" s="39" t="n">
        <f aca="false">IF(C535&lt;Assumptions!$B$5,IF(D535=1,Assumptions!$B$16,IF(D535=2,Assumptions!$B$17,IF(D535&lt;=5,Assumptions!$B$18,Assumptions!$B$19)))*(1-Assumptions!$B$20),0)</f>
        <v>0</v>
      </c>
      <c r="H535" s="30" t="n">
        <f aca="false">1-(1-G535)^(1/12)</f>
        <v>0</v>
      </c>
      <c r="I535" s="30" t="n">
        <f aca="false">I534*(1-F534)*(1-H534)</f>
        <v>0.00512269390777988</v>
      </c>
      <c r="J535" s="30" t="n">
        <f aca="false">INDEX(Discount_Monthly!$G$4:$G$664,MATCH(A535,Discount_Monthly!$A$4:$A$664,0))</f>
        <v>0.249343018663642</v>
      </c>
      <c r="K535" s="30" t="n">
        <f aca="false">IF(C535&lt;Assumptions!$B$5,I535*J535,0)</f>
        <v>0</v>
      </c>
      <c r="L535" s="30" t="n">
        <f aca="false">IF(C535&lt;Assumptions!$B$5,I535*(1-F535)*H535*A535*J535,0)</f>
        <v>0</v>
      </c>
      <c r="M535" s="30" t="n">
        <f aca="false">IF(A535=0,Assumptions!$B$14*12*I535*J535,IF(AND(A535&gt;=12,C535&lt;Assumptions!$B$5),Assumptions!$B$15*I535*J535,0))</f>
        <v>0</v>
      </c>
      <c r="N535" s="47" t="n">
        <f aca="false">IF(C535&gt;=Assumptions!$B$5,I535*Assumptions!$B$9/12*(1+Assumptions!$B$10)^INT(A535/12)*J535,0)</f>
        <v>4.07044521336609</v>
      </c>
      <c r="O535" s="47" t="n">
        <f aca="false">I535*Assumptions!$B$12/12*(1+Assumptions!$B$11)^(INT(A535/12)+1)*J535</f>
        <v>0.0258689203193603</v>
      </c>
      <c r="P535" s="47" t="n">
        <f aca="false">O535+Pricing_M!$B$13*M535+N535-Pricing_M!$B$13*K535</f>
        <v>4.09631413368545</v>
      </c>
      <c r="Q535" s="47" t="n">
        <f aca="false">IF(C535&lt;Assumptions!$B$5,Pricing_M!$B$13*K535-Pricing_M!$B$13*M535-O535,-(N535+O535))</f>
        <v>-4.09631413368545</v>
      </c>
      <c r="R535" s="32" t="n">
        <f aca="false">R534*(1-(1-(1-MIN(1,E534*(1-Assumptions!$B$21)))^(1/12)))*(1-H534)</f>
        <v>0.0157566405555477</v>
      </c>
      <c r="S535" s="47" t="n">
        <f aca="false">R535*(IF(C535&lt;Assumptions!$B$5,Assumptions!$B$12*(1+Assumptions!$B$11)^(INT(A535/12)+1)/12+Pricing_M!$B$13*IF(A535=0,Assumptions!$B$14*12,IF(A535&gt;=12,Assumptions!$B$15,0))-Pricing_M!$B$13,Assumptions!$B$9/12*(1+Assumptions!$B$10)^INT(A535/12)+Assumptions!$B$12*(1+Assumptions!$B$11)^(INT(A535/12)+1)/12))*J535</f>
        <v>12.5996498266406</v>
      </c>
      <c r="T535" s="32" t="n">
        <f aca="false">T534*(1-F534)*(1-(1-(1-MIN(1,G534*(1+Assumptions!$B$23)))^(1/12)))</f>
        <v>0.00464054007890398</v>
      </c>
      <c r="U535" s="47" t="n">
        <f aca="false">T535*(IF(C535&lt;Assumptions!$B$5,Assumptions!$B$12*(1+Assumptions!$B$11)^(INT(A535/12)+1)/12+Pricing_M!$B$13*IF(A535=0,Assumptions!$B$14*12,IF(A535&gt;=12,Assumptions!$B$15,0))-Pricing_M!$B$13,Assumptions!$B$9/12*(1+Assumptions!$B$10)^INT(A535/12)+Assumptions!$B$12*(1+Assumptions!$B$11)^(INT(A535/12)+1)/12))*J535</f>
        <v>3.71076434691498</v>
      </c>
      <c r="V535" s="32" t="n">
        <f aca="false">V534*(1-F534)*(1-(1-(1-MIN(1,G534*(1-Assumptions!$B$23)))^(1/12)))</f>
        <v>0.00564975520968332</v>
      </c>
      <c r="W535" s="47" t="n">
        <f aca="false">V535*(IF(C535&lt;Assumptions!$B$5,Assumptions!$B$12*(1+Assumptions!$B$11)^(INT(A535/12)+1)/12+Pricing_M!$B$13*IF(A535=0,Assumptions!$B$14*12,IF(A535&gt;=12,Assumptions!$B$15,0))-Pricing_M!$B$13,Assumptions!$B$9/12*(1+Assumptions!$B$10)^INT(A535/12)+Assumptions!$B$12*(1+Assumptions!$B$11)^(INT(A535/12)+1)/12))*J535</f>
        <v>4.51777376004079</v>
      </c>
      <c r="X535" s="47" t="n">
        <f aca="false">I535*(IF(C535&lt;Assumptions!$B$5,Assumptions!$B$12*(1+Assumptions!$B$11)*(1+Assumptions!$B$24)*(1+Assumptions!$B$11+Assumptions!$B$25)^(INT(A535/12))/12+Pricing_M!$B$13*IF(A535=0,Assumptions!$B$14*12,IF(A535&gt;=12,Assumptions!$B$15,0))-Pricing_M!$B$13,Assumptions!$B$9/12*(1+Assumptions!$B$10)^INT(A535/12)+Assumptions!$B$12*(1+Assumptions!$B$11)*(1+Assumptions!$B$24)*(1+Assumptions!$B$11+Assumptions!$B$25)^(INT(A535/12))/12))*J535</f>
        <v>4.11406628211679</v>
      </c>
    </row>
    <row r="536" customFormat="false" ht="15" hidden="false" customHeight="true" outlineLevel="0" collapsed="false">
      <c r="A536" s="1" t="n">
        <v>529</v>
      </c>
      <c r="B536" s="31" t="n">
        <f aca="false">Assumptions!$B$4+A536/12</f>
        <v>109.083333333333</v>
      </c>
      <c r="C536" s="34" t="n">
        <f aca="false">Assumptions!$B$4+INT(A536/12)</f>
        <v>109</v>
      </c>
      <c r="D536" s="34" t="n">
        <f aca="false">INT(A536/12)+1</f>
        <v>45</v>
      </c>
      <c r="E536" s="32" t="n">
        <f aca="false">IFERROR(INDEX(Cohort_Survival!$G$5:$G$65,MATCH(C536,Cohort_Survival!$A$5:$A$65,0)),1)</f>
        <v>0.411411053924766</v>
      </c>
      <c r="F536" s="30" t="n">
        <f aca="false">1-(1-MIN(1,E536))^(1/12)</f>
        <v>0.0432076921593592</v>
      </c>
      <c r="G536" s="39" t="n">
        <f aca="false">IF(C536&lt;Assumptions!$B$5,IF(D536=1,Assumptions!$B$16,IF(D536=2,Assumptions!$B$17,IF(D536&lt;=5,Assumptions!$B$18,Assumptions!$B$19)))*(1-Assumptions!$B$20),0)</f>
        <v>0</v>
      </c>
      <c r="H536" s="30" t="n">
        <f aca="false">1-(1-G536)^(1/12)</f>
        <v>0</v>
      </c>
      <c r="I536" s="30" t="n">
        <f aca="false">I535*(1-F535)*(1-H535)</f>
        <v>0.0049013541263859</v>
      </c>
      <c r="J536" s="30" t="n">
        <f aca="false">INDEX(Discount_Monthly!$G$4:$G$664,MATCH(A536,Discount_Monthly!$A$4:$A$664,0))</f>
        <v>0.248669902326911</v>
      </c>
      <c r="K536" s="30" t="n">
        <f aca="false">IF(C536&lt;Assumptions!$B$5,I536*J536,0)</f>
        <v>0</v>
      </c>
      <c r="L536" s="30" t="n">
        <f aca="false">IF(C536&lt;Assumptions!$B$5,I536*(1-F536)*H536*A536*J536,0)</f>
        <v>0</v>
      </c>
      <c r="M536" s="30" t="n">
        <f aca="false">IF(A536=0,Assumptions!$B$14*12*I536*J536,IF(AND(A536&gt;=12,C536&lt;Assumptions!$B$5),Assumptions!$B$15*I536*J536,0))</f>
        <v>0</v>
      </c>
      <c r="N536" s="47" t="n">
        <f aca="false">IF(C536&gt;=Assumptions!$B$5,I536*Assumptions!$B$9/12*(1+Assumptions!$B$10)^INT(A536/12)*J536,0)</f>
        <v>3.88405704404312</v>
      </c>
      <c r="O536" s="47" t="n">
        <f aca="false">I536*Assumptions!$B$12/12*(1+Assumptions!$B$11)^(INT(A536/12)+1)*J536</f>
        <v>0.0246843666776961</v>
      </c>
      <c r="P536" s="47" t="n">
        <f aca="false">O536+Pricing_M!$B$13*M536+N536-Pricing_M!$B$13*K536</f>
        <v>3.90874141072081</v>
      </c>
      <c r="Q536" s="47" t="n">
        <f aca="false">IF(C536&lt;Assumptions!$B$5,Pricing_M!$B$13*K536-Pricing_M!$B$13*M536-O536,-(N536+O536))</f>
        <v>-3.90874141072081</v>
      </c>
      <c r="R536" s="32" t="n">
        <f aca="false">R535*(1-(1-(1-MIN(1,E535*(1-Assumptions!$B$21)))^(1/12)))*(1-H535)</f>
        <v>0.0152411201909554</v>
      </c>
      <c r="S536" s="47" t="n">
        <f aca="false">R536*(IF(C536&lt;Assumptions!$B$5,Assumptions!$B$12*(1+Assumptions!$B$11)^(INT(A536/12)+1)/12+Pricing_M!$B$13*IF(A536=0,Assumptions!$B$14*12,IF(A536&gt;=12,Assumptions!$B$15,0))-Pricing_M!$B$13,Assumptions!$B$9/12*(1+Assumptions!$B$10)^INT(A536/12)+Assumptions!$B$12*(1+Assumptions!$B$11)^(INT(A536/12)+1)/12))*J536</f>
        <v>12.1545181392735</v>
      </c>
      <c r="T536" s="32" t="n">
        <f aca="false">T535*(1-F535)*(1-(1-(1-MIN(1,G535*(1+Assumptions!$B$23)))^(1/12)))</f>
        <v>0.00444003305172153</v>
      </c>
      <c r="U536" s="47" t="n">
        <f aca="false">T536*(IF(C536&lt;Assumptions!$B$5,Assumptions!$B$12*(1+Assumptions!$B$11)^(INT(A536/12)+1)/12+Pricing_M!$B$13*IF(A536=0,Assumptions!$B$14*12,IF(A536&gt;=12,Assumptions!$B$15,0))-Pricing_M!$B$13,Assumptions!$B$9/12*(1+Assumptions!$B$10)^INT(A536/12)+Assumptions!$B$12*(1+Assumptions!$B$11)^(INT(A536/12)+1)/12))*J536</f>
        <v>3.5408461838749</v>
      </c>
      <c r="V536" s="32" t="n">
        <f aca="false">V535*(1-F535)*(1-(1-(1-MIN(1,G535*(1-Assumptions!$B$23)))^(1/12)))</f>
        <v>0.00540564232580758</v>
      </c>
      <c r="W536" s="47" t="n">
        <f aca="false">V536*(IF(C536&lt;Assumptions!$B$5,Assumptions!$B$12*(1+Assumptions!$B$11)^(INT(A536/12)+1)/12+Pricing_M!$B$13*IF(A536=0,Assumptions!$B$14*12,IF(A536&gt;=12,Assumptions!$B$15,0))-Pricing_M!$B$13,Assumptions!$B$9/12*(1+Assumptions!$B$10)^INT(A536/12)+Assumptions!$B$12*(1+Assumptions!$B$11)^(INT(A536/12)+1)/12))*J536</f>
        <v>4.31090214369172</v>
      </c>
      <c r="X536" s="47" t="n">
        <f aca="false">I536*(IF(C536&lt;Assumptions!$B$5,Assumptions!$B$12*(1+Assumptions!$B$11)*(1+Assumptions!$B$24)*(1+Assumptions!$B$11+Assumptions!$B$25)^(INT(A536/12))/12+Pricing_M!$B$13*IF(A536=0,Assumptions!$B$14*12,IF(A536&gt;=12,Assumptions!$B$15,0))-Pricing_M!$B$13,Assumptions!$B$9/12*(1+Assumptions!$B$10)^INT(A536/12)+Assumptions!$B$12*(1+Assumptions!$B$11)*(1+Assumptions!$B$24)*(1+Assumptions!$B$11+Assumptions!$B$25)^(INT(A536/12))/12))*J536</f>
        <v>3.92568067744653</v>
      </c>
    </row>
    <row r="537" customFormat="false" ht="15" hidden="false" customHeight="true" outlineLevel="0" collapsed="false">
      <c r="A537" s="1" t="n">
        <v>530</v>
      </c>
      <c r="B537" s="31" t="n">
        <f aca="false">Assumptions!$B$4+A537/12</f>
        <v>109.166666666667</v>
      </c>
      <c r="C537" s="34" t="n">
        <f aca="false">Assumptions!$B$4+INT(A537/12)</f>
        <v>109</v>
      </c>
      <c r="D537" s="34" t="n">
        <f aca="false">INT(A537/12)+1</f>
        <v>45</v>
      </c>
      <c r="E537" s="32" t="n">
        <f aca="false">IFERROR(INDEX(Cohort_Survival!$G$5:$G$65,MATCH(C537,Cohort_Survival!$A$5:$A$65,0)),1)</f>
        <v>0.411411053924766</v>
      </c>
      <c r="F537" s="30" t="n">
        <f aca="false">1-(1-MIN(1,E537))^(1/12)</f>
        <v>0.0432076921593592</v>
      </c>
      <c r="G537" s="39" t="n">
        <f aca="false">IF(C537&lt;Assumptions!$B$5,IF(D537=1,Assumptions!$B$16,IF(D537=2,Assumptions!$B$17,IF(D537&lt;=5,Assumptions!$B$18,Assumptions!$B$19)))*(1-Assumptions!$B$20),0)</f>
        <v>0</v>
      </c>
      <c r="H537" s="30" t="n">
        <f aca="false">1-(1-G537)^(1/12)</f>
        <v>0</v>
      </c>
      <c r="I537" s="30" t="n">
        <f aca="false">I536*(1-F536)*(1-H536)</f>
        <v>0.00468957792612902</v>
      </c>
      <c r="J537" s="30" t="n">
        <f aca="false">INDEX(Discount_Monthly!$G$4:$G$664,MATCH(A537,Discount_Monthly!$A$4:$A$664,0))</f>
        <v>0.24799860310784</v>
      </c>
      <c r="K537" s="30" t="n">
        <f aca="false">IF(C537&lt;Assumptions!$B$5,I537*J537,0)</f>
        <v>0</v>
      </c>
      <c r="L537" s="30" t="n">
        <f aca="false">IF(C537&lt;Assumptions!$B$5,I537*(1-F537)*H537*A537*J537,0)</f>
        <v>0</v>
      </c>
      <c r="M537" s="30" t="n">
        <f aca="false">IF(A537=0,Assumptions!$B$14*12*I537*J537,IF(AND(A537&gt;=12,C537&lt;Assumptions!$B$5),Assumptions!$B$15*I537*J537,0))</f>
        <v>0</v>
      </c>
      <c r="N537" s="47" t="n">
        <f aca="false">IF(C537&gt;=Assumptions!$B$5,I537*Assumptions!$B$9/12*(1+Assumptions!$B$10)^INT(A537/12)*J537,0)</f>
        <v>3.70620370269166</v>
      </c>
      <c r="O537" s="47" t="n">
        <f aca="false">I537*Assumptions!$B$12/12*(1+Assumptions!$B$11)^(INT(A537/12)+1)*J537</f>
        <v>0.0235540544698706</v>
      </c>
      <c r="P537" s="47" t="n">
        <f aca="false">O537+Pricing_M!$B$13*M537+N537-Pricing_M!$B$13*K537</f>
        <v>3.72975775716153</v>
      </c>
      <c r="Q537" s="47" t="n">
        <f aca="false">IF(C537&lt;Assumptions!$B$5,Pricing_M!$B$13*K537-Pricing_M!$B$13*M537-O537,-(N537+O537))</f>
        <v>-3.72975775716153</v>
      </c>
      <c r="R537" s="32" t="n">
        <f aca="false">R536*(1-(1-(1-MIN(1,E536*(1-Assumptions!$B$21)))^(1/12)))*(1-H536)</f>
        <v>0.0147424664449404</v>
      </c>
      <c r="S537" s="47" t="n">
        <f aca="false">R537*(IF(C537&lt;Assumptions!$B$5,Assumptions!$B$12*(1+Assumptions!$B$11)^(INT(A537/12)+1)/12+Pricing_M!$B$13*IF(A537=0,Assumptions!$B$14*12,IF(A537&gt;=12,Assumptions!$B$15,0))-Pricing_M!$B$13,Assumptions!$B$9/12*(1+Assumptions!$B$10)^INT(A537/12)+Assumptions!$B$12*(1+Assumptions!$B$11)^(INT(A537/12)+1)/12))*J537</f>
        <v>11.7251124619008</v>
      </c>
      <c r="T537" s="32" t="n">
        <f aca="false">T536*(1-F536)*(1-(1-(1-MIN(1,G536*(1+Assumptions!$B$23)))^(1/12)))</f>
        <v>0.00424818947044536</v>
      </c>
      <c r="U537" s="47" t="n">
        <f aca="false">T537*(IF(C537&lt;Assumptions!$B$5,Assumptions!$B$12*(1+Assumptions!$B$11)^(INT(A537/12)+1)/12+Pricing_M!$B$13*IF(A537=0,Assumptions!$B$14*12,IF(A537&gt;=12,Assumptions!$B$15,0))-Pricing_M!$B$13,Assumptions!$B$9/12*(1+Assumptions!$B$10)^INT(A537/12)+Assumptions!$B$12*(1+Assumptions!$B$11)^(INT(A537/12)+1)/12))*J537</f>
        <v>3.37870867717182</v>
      </c>
      <c r="V537" s="32" t="n">
        <f aca="false">V536*(1-F536)*(1-(1-(1-MIN(1,G536*(1-Assumptions!$B$23)))^(1/12)))</f>
        <v>0.00517207699627049</v>
      </c>
      <c r="W537" s="47" t="n">
        <f aca="false">V537*(IF(C537&lt;Assumptions!$B$5,Assumptions!$B$12*(1+Assumptions!$B$11)^(INT(A537/12)+1)/12+Pricing_M!$B$13*IF(A537=0,Assumptions!$B$14*12,IF(A537&gt;=12,Assumptions!$B$15,0))-Pricing_M!$B$13,Assumptions!$B$9/12*(1+Assumptions!$B$10)^INT(A537/12)+Assumptions!$B$12*(1+Assumptions!$B$11)^(INT(A537/12)+1)/12))*J537</f>
        <v>4.11350330484856</v>
      </c>
      <c r="X537" s="47" t="n">
        <f aca="false">I537*(IF(C537&lt;Assumptions!$B$5,Assumptions!$B$12*(1+Assumptions!$B$11)*(1+Assumptions!$B$24)*(1+Assumptions!$B$11+Assumptions!$B$25)^(INT(A537/12))/12+Pricing_M!$B$13*IF(A537=0,Assumptions!$B$14*12,IF(A537&gt;=12,Assumptions!$B$15,0))-Pricing_M!$B$13,Assumptions!$B$9/12*(1+Assumptions!$B$10)^INT(A537/12)+Assumptions!$B$12*(1+Assumptions!$B$11)*(1+Assumptions!$B$24)*(1+Assumptions!$B$11+Assumptions!$B$25)^(INT(A537/12))/12))*J537</f>
        <v>3.7459213645308</v>
      </c>
    </row>
    <row r="538" customFormat="false" ht="15" hidden="false" customHeight="true" outlineLevel="0" collapsed="false">
      <c r="A538" s="1" t="n">
        <v>531</v>
      </c>
      <c r="B538" s="31" t="n">
        <f aca="false">Assumptions!$B$4+A538/12</f>
        <v>109.25</v>
      </c>
      <c r="C538" s="34" t="n">
        <f aca="false">Assumptions!$B$4+INT(A538/12)</f>
        <v>109</v>
      </c>
      <c r="D538" s="34" t="n">
        <f aca="false">INT(A538/12)+1</f>
        <v>45</v>
      </c>
      <c r="E538" s="32" t="n">
        <f aca="false">IFERROR(INDEX(Cohort_Survival!$G$5:$G$65,MATCH(C538,Cohort_Survival!$A$5:$A$65,0)),1)</f>
        <v>0.411411053924766</v>
      </c>
      <c r="F538" s="30" t="n">
        <f aca="false">1-(1-MIN(1,E538))^(1/12)</f>
        <v>0.0432076921593592</v>
      </c>
      <c r="G538" s="39" t="n">
        <f aca="false">IF(C538&lt;Assumptions!$B$5,IF(D538=1,Assumptions!$B$16,IF(D538=2,Assumptions!$B$17,IF(D538&lt;=5,Assumptions!$B$18,Assumptions!$B$19)))*(1-Assumptions!$B$20),0)</f>
        <v>0</v>
      </c>
      <c r="H538" s="30" t="n">
        <f aca="false">1-(1-G538)^(1/12)</f>
        <v>0</v>
      </c>
      <c r="I538" s="30" t="n">
        <f aca="false">I537*(1-F537)*(1-H537)</f>
        <v>0.00448695208673951</v>
      </c>
      <c r="J538" s="30" t="n">
        <f aca="false">INDEX(Discount_Monthly!$G$4:$G$664,MATCH(A538,Discount_Monthly!$A$4:$A$664,0))</f>
        <v>0.247329116101012</v>
      </c>
      <c r="K538" s="30" t="n">
        <f aca="false">IF(C538&lt;Assumptions!$B$5,I538*J538,0)</f>
        <v>0</v>
      </c>
      <c r="L538" s="30" t="n">
        <f aca="false">IF(C538&lt;Assumptions!$B$5,I538*(1-F538)*H538*A538*J538,0)</f>
        <v>0</v>
      </c>
      <c r="M538" s="30" t="n">
        <f aca="false">IF(A538=0,Assumptions!$B$14*12*I538*J538,IF(AND(A538&gt;=12,C538&lt;Assumptions!$B$5),Assumptions!$B$15*I538*J538,0))</f>
        <v>0</v>
      </c>
      <c r="N538" s="47" t="n">
        <f aca="false">IF(C538&gt;=Assumptions!$B$5,I538*Assumptions!$B$9/12*(1+Assumptions!$B$10)^INT(A538/12)*J538,0)</f>
        <v>3.5364943743326</v>
      </c>
      <c r="O538" s="47" t="n">
        <f aca="false">I538*Assumptions!$B$12/12*(1+Assumptions!$B$11)^(INT(A538/12)+1)*J538</f>
        <v>0.0224754999475405</v>
      </c>
      <c r="P538" s="47" t="n">
        <f aca="false">O538+Pricing_M!$B$13*M538+N538-Pricing_M!$B$13*K538</f>
        <v>3.55896987428014</v>
      </c>
      <c r="Q538" s="47" t="n">
        <f aca="false">IF(C538&lt;Assumptions!$B$5,Pricing_M!$B$13*K538-Pricing_M!$B$13*M538-O538,-(N538+O538))</f>
        <v>-3.55896987428014</v>
      </c>
      <c r="R538" s="32" t="n">
        <f aca="false">R537*(1-(1-(1-MIN(1,E537*(1-Assumptions!$B$21)))^(1/12)))*(1-H537)</f>
        <v>0.0142601274812576</v>
      </c>
      <c r="S538" s="47" t="n">
        <f aca="false">R538*(IF(C538&lt;Assumptions!$B$5,Assumptions!$B$12*(1+Assumptions!$B$11)^(INT(A538/12)+1)/12+Pricing_M!$B$13*IF(A538=0,Assumptions!$B$14*12,IF(A538&gt;=12,Assumptions!$B$15,0))-Pricing_M!$B$13,Assumptions!$B$9/12*(1+Assumptions!$B$10)^INT(A538/12)+Assumptions!$B$12*(1+Assumptions!$B$11)^(INT(A538/12)+1)/12))*J538</f>
        <v>11.3108772119894</v>
      </c>
      <c r="T538" s="32" t="n">
        <f aca="false">T537*(1-F537)*(1-(1-(1-MIN(1,G537*(1+Assumptions!$B$23)))^(1/12)))</f>
        <v>0.00406463500757173</v>
      </c>
      <c r="U538" s="47" t="n">
        <f aca="false">T538*(IF(C538&lt;Assumptions!$B$5,Assumptions!$B$12*(1+Assumptions!$B$11)^(INT(A538/12)+1)/12+Pricing_M!$B$13*IF(A538=0,Assumptions!$B$14*12,IF(A538&gt;=12,Assumptions!$B$15,0))-Pricing_M!$B$13,Assumptions!$B$9/12*(1+Assumptions!$B$10)^INT(A538/12)+Assumptions!$B$12*(1+Assumptions!$B$11)^(INT(A538/12)+1)/12))*J538</f>
        <v>3.2239955458058</v>
      </c>
      <c r="V538" s="32" t="n">
        <f aca="false">V537*(1-F537)*(1-(1-(1-MIN(1,G537*(1-Assumptions!$B$23)))^(1/12)))</f>
        <v>0.00494860348559113</v>
      </c>
      <c r="W538" s="47" t="n">
        <f aca="false">V538*(IF(C538&lt;Assumptions!$B$5,Assumptions!$B$12*(1+Assumptions!$B$11)^(INT(A538/12)+1)/12+Pricing_M!$B$13*IF(A538=0,Assumptions!$B$14*12,IF(A538&gt;=12,Assumptions!$B$15,0))-Pricing_M!$B$13,Assumptions!$B$9/12*(1+Assumptions!$B$10)^INT(A538/12)+Assumptions!$B$12*(1+Assumptions!$B$11)^(INT(A538/12)+1)/12))*J538</f>
        <v>3.92514347925084</v>
      </c>
      <c r="X538" s="47" t="n">
        <f aca="false">I538*(IF(C538&lt;Assumptions!$B$5,Assumptions!$B$12*(1+Assumptions!$B$11)*(1+Assumptions!$B$24)*(1+Assumptions!$B$11+Assumptions!$B$25)^(INT(A538/12))/12+Pricing_M!$B$13*IF(A538=0,Assumptions!$B$14*12,IF(A538&gt;=12,Assumptions!$B$15,0))-Pricing_M!$B$13,Assumptions!$B$9/12*(1+Assumptions!$B$10)^INT(A538/12)+Assumptions!$B$12*(1+Assumptions!$B$11)*(1+Assumptions!$B$24)*(1+Assumptions!$B$11+Assumptions!$B$25)^(INT(A538/12))/12))*J538</f>
        <v>3.57439334020804</v>
      </c>
    </row>
    <row r="539" customFormat="false" ht="15" hidden="false" customHeight="true" outlineLevel="0" collapsed="false">
      <c r="A539" s="1" t="n">
        <v>532</v>
      </c>
      <c r="B539" s="31" t="n">
        <f aca="false">Assumptions!$B$4+A539/12</f>
        <v>109.333333333333</v>
      </c>
      <c r="C539" s="34" t="n">
        <f aca="false">Assumptions!$B$4+INT(A539/12)</f>
        <v>109</v>
      </c>
      <c r="D539" s="34" t="n">
        <f aca="false">INT(A539/12)+1</f>
        <v>45</v>
      </c>
      <c r="E539" s="32" t="n">
        <f aca="false">IFERROR(INDEX(Cohort_Survival!$G$5:$G$65,MATCH(C539,Cohort_Survival!$A$5:$A$65,0)),1)</f>
        <v>0.411411053924766</v>
      </c>
      <c r="F539" s="30" t="n">
        <f aca="false">1-(1-MIN(1,E539))^(1/12)</f>
        <v>0.0432076921593592</v>
      </c>
      <c r="G539" s="39" t="n">
        <f aca="false">IF(C539&lt;Assumptions!$B$5,IF(D539=1,Assumptions!$B$16,IF(D539=2,Assumptions!$B$17,IF(D539&lt;=5,Assumptions!$B$18,Assumptions!$B$19)))*(1-Assumptions!$B$20),0)</f>
        <v>0</v>
      </c>
      <c r="H539" s="30" t="n">
        <f aca="false">1-(1-G539)^(1/12)</f>
        <v>0</v>
      </c>
      <c r="I539" s="30" t="n">
        <f aca="false">I538*(1-F538)*(1-H538)</f>
        <v>0.00429308124224187</v>
      </c>
      <c r="J539" s="30" t="n">
        <f aca="false">INDEX(Discount_Monthly!$G$4:$G$664,MATCH(A539,Discount_Monthly!$A$4:$A$664,0))</f>
        <v>0.246661436414253</v>
      </c>
      <c r="K539" s="30" t="n">
        <f aca="false">IF(C539&lt;Assumptions!$B$5,I539*J539,0)</f>
        <v>0</v>
      </c>
      <c r="L539" s="30" t="n">
        <f aca="false">IF(C539&lt;Assumptions!$B$5,I539*(1-F539)*H539*A539*J539,0)</f>
        <v>0</v>
      </c>
      <c r="M539" s="30" t="n">
        <f aca="false">IF(A539=0,Assumptions!$B$14*12*I539*J539,IF(AND(A539&gt;=12,C539&lt;Assumptions!$B$5),Assumptions!$B$15*I539*J539,0))</f>
        <v>0</v>
      </c>
      <c r="N539" s="47" t="n">
        <f aca="false">IF(C539&gt;=Assumptions!$B$5,I539*Assumptions!$B$9/12*(1+Assumptions!$B$10)^INT(A539/12)*J539,0)</f>
        <v>3.37455613964309</v>
      </c>
      <c r="O539" s="47" t="n">
        <f aca="false">I539*Assumptions!$B$12/12*(1+Assumptions!$B$11)^(INT(A539/12)+1)*J539</f>
        <v>0.0214463330947145</v>
      </c>
      <c r="P539" s="47" t="n">
        <f aca="false">O539+Pricing_M!$B$13*M539+N539-Pricing_M!$B$13*K539</f>
        <v>3.39600247273781</v>
      </c>
      <c r="Q539" s="47" t="n">
        <f aca="false">IF(C539&lt;Assumptions!$B$5,Pricing_M!$B$13*K539-Pricing_M!$B$13*M539-O539,-(N539+O539))</f>
        <v>-3.39600247273781</v>
      </c>
      <c r="R539" s="32" t="n">
        <f aca="false">R538*(1-(1-(1-MIN(1,E538*(1-Assumptions!$B$21)))^(1/12)))*(1-H538)</f>
        <v>0.0137935695184511</v>
      </c>
      <c r="S539" s="47" t="n">
        <f aca="false">R539*(IF(C539&lt;Assumptions!$B$5,Assumptions!$B$12*(1+Assumptions!$B$11)^(INT(A539/12)+1)/12+Pricing_M!$B$13*IF(A539=0,Assumptions!$B$14*12,IF(A539&gt;=12,Assumptions!$B$15,0))-Pricing_M!$B$13,Assumptions!$B$9/12*(1+Assumptions!$B$10)^INT(A539/12)+Assumptions!$B$12*(1+Assumptions!$B$11)^(INT(A539/12)+1)/12))*J539</f>
        <v>10.9112764351227</v>
      </c>
      <c r="T539" s="32" t="n">
        <f aca="false">T538*(1-F538)*(1-(1-(1-MIN(1,G538*(1+Assumptions!$B$23)))^(1/12)))</f>
        <v>0.00388901150942442</v>
      </c>
      <c r="U539" s="47" t="n">
        <f aca="false">T539*(IF(C539&lt;Assumptions!$B$5,Assumptions!$B$12*(1+Assumptions!$B$11)^(INT(A539/12)+1)/12+Pricing_M!$B$13*IF(A539=0,Assumptions!$B$14*12,IF(A539&gt;=12,Assumptions!$B$15,0))-Pricing_M!$B$13,Assumptions!$B$9/12*(1+Assumptions!$B$10)^INT(A539/12)+Assumptions!$B$12*(1+Assumptions!$B$11)^(INT(A539/12)+1)/12))*J539</f>
        <v>3.07636682310123</v>
      </c>
      <c r="V539" s="32" t="n">
        <f aca="false">V538*(1-F538)*(1-(1-(1-MIN(1,G538*(1-Assumptions!$B$23)))^(1/12)))</f>
        <v>0.00473478574956698</v>
      </c>
      <c r="W539" s="47" t="n">
        <f aca="false">V539*(IF(C539&lt;Assumptions!$B$5,Assumptions!$B$12*(1+Assumptions!$B$11)^(INT(A539/12)+1)/12+Pricing_M!$B$13*IF(A539=0,Assumptions!$B$14*12,IF(A539&gt;=12,Assumptions!$B$15,0))-Pricing_M!$B$13,Assumptions!$B$9/12*(1+Assumptions!$B$10)^INT(A539/12)+Assumptions!$B$12*(1+Assumptions!$B$11)^(INT(A539/12)+1)/12))*J539</f>
        <v>3.74540876496818</v>
      </c>
      <c r="X539" s="47" t="n">
        <f aca="false">I539*(IF(C539&lt;Assumptions!$B$5,Assumptions!$B$12*(1+Assumptions!$B$11)*(1+Assumptions!$B$24)*(1+Assumptions!$B$11+Assumptions!$B$25)^(INT(A539/12))/12+Pricing_M!$B$13*IF(A539=0,Assumptions!$B$14*12,IF(A539&gt;=12,Assumptions!$B$15,0))-Pricing_M!$B$13,Assumptions!$B$9/12*(1+Assumptions!$B$10)^INT(A539/12)+Assumptions!$B$12*(1+Assumptions!$B$11)*(1+Assumptions!$B$24)*(1+Assumptions!$B$11+Assumptions!$B$25)^(INT(A539/12))/12))*J539</f>
        <v>3.41071968875244</v>
      </c>
    </row>
    <row r="540" customFormat="false" ht="15" hidden="false" customHeight="true" outlineLevel="0" collapsed="false">
      <c r="A540" s="1" t="n">
        <v>533</v>
      </c>
      <c r="B540" s="31" t="n">
        <f aca="false">Assumptions!$B$4+A540/12</f>
        <v>109.416666666667</v>
      </c>
      <c r="C540" s="34" t="n">
        <f aca="false">Assumptions!$B$4+INT(A540/12)</f>
        <v>109</v>
      </c>
      <c r="D540" s="34" t="n">
        <f aca="false">INT(A540/12)+1</f>
        <v>45</v>
      </c>
      <c r="E540" s="32" t="n">
        <f aca="false">IFERROR(INDEX(Cohort_Survival!$G$5:$G$65,MATCH(C540,Cohort_Survival!$A$5:$A$65,0)),1)</f>
        <v>0.411411053924766</v>
      </c>
      <c r="F540" s="30" t="n">
        <f aca="false">1-(1-MIN(1,E540))^(1/12)</f>
        <v>0.0432076921593592</v>
      </c>
      <c r="G540" s="39" t="n">
        <f aca="false">IF(C540&lt;Assumptions!$B$5,IF(D540=1,Assumptions!$B$16,IF(D540=2,Assumptions!$B$17,IF(D540&lt;=5,Assumptions!$B$18,Assumptions!$B$19)))*(1-Assumptions!$B$20),0)</f>
        <v>0</v>
      </c>
      <c r="H540" s="30" t="n">
        <f aca="false">1-(1-G540)^(1/12)</f>
        <v>0</v>
      </c>
      <c r="I540" s="30" t="n">
        <f aca="false">I539*(1-F539)*(1-H539)</f>
        <v>0.00410758710951197</v>
      </c>
      <c r="J540" s="30" t="n">
        <f aca="false">INDEX(Discount_Monthly!$G$4:$G$664,MATCH(A540,Discount_Monthly!$A$4:$A$664,0))</f>
        <v>0.245995559168594</v>
      </c>
      <c r="K540" s="30" t="n">
        <f aca="false">IF(C540&lt;Assumptions!$B$5,I540*J540,0)</f>
        <v>0</v>
      </c>
      <c r="L540" s="30" t="n">
        <f aca="false">IF(C540&lt;Assumptions!$B$5,I540*(1-F540)*H540*A540*J540,0)</f>
        <v>0</v>
      </c>
      <c r="M540" s="30" t="n">
        <f aca="false">IF(A540=0,Assumptions!$B$14*12*I540*J540,IF(AND(A540&gt;=12,C540&lt;Assumptions!$B$5),Assumptions!$B$15*I540*J540,0))</f>
        <v>0</v>
      </c>
      <c r="N540" s="47" t="n">
        <f aca="false">IF(C540&gt;=Assumptions!$B$5,I540*Assumptions!$B$9/12*(1+Assumptions!$B$10)^INT(A540/12)*J540,0)</f>
        <v>3.22003315550359</v>
      </c>
      <c r="O540" s="47" t="n">
        <f aca="false">I540*Assumptions!$B$12/12*(1+Assumptions!$B$11)^(INT(A540/12)+1)*J540</f>
        <v>0.0204642924198791</v>
      </c>
      <c r="P540" s="47" t="n">
        <f aca="false">O540+Pricing_M!$B$13*M540+N540-Pricing_M!$B$13*K540</f>
        <v>3.24049744792347</v>
      </c>
      <c r="Q540" s="47" t="n">
        <f aca="false">IF(C540&lt;Assumptions!$B$5,Pricing_M!$B$13*K540-Pricing_M!$B$13*M540-O540,-(N540+O540))</f>
        <v>-3.24049744792347</v>
      </c>
      <c r="R540" s="32" t="n">
        <f aca="false">R539*(1-(1-(1-MIN(1,E539*(1-Assumptions!$B$21)))^(1/12)))*(1-H539)</f>
        <v>0.0133422762391437</v>
      </c>
      <c r="S540" s="47" t="n">
        <f aca="false">R540*(IF(C540&lt;Assumptions!$B$5,Assumptions!$B$12*(1+Assumptions!$B$11)^(INT(A540/12)+1)/12+Pricing_M!$B$13*IF(A540=0,Assumptions!$B$14*12,IF(A540&gt;=12,Assumptions!$B$15,0))-Pricing_M!$B$13,Assumptions!$B$9/12*(1+Assumptions!$B$10)^INT(A540/12)+Assumptions!$B$12*(1+Assumptions!$B$11)^(INT(A540/12)+1)/12))*J540</f>
        <v>10.5257931115604</v>
      </c>
      <c r="T540" s="32" t="n">
        <f aca="false">T539*(1-F539)*(1-(1-(1-MIN(1,G539*(1+Assumptions!$B$23)))^(1/12)))</f>
        <v>0.003720976297321</v>
      </c>
      <c r="U540" s="47" t="n">
        <f aca="false">T540*(IF(C540&lt;Assumptions!$B$5,Assumptions!$B$12*(1+Assumptions!$B$11)^(INT(A540/12)+1)/12+Pricing_M!$B$13*IF(A540=0,Assumptions!$B$14*12,IF(A540&gt;=12,Assumptions!$B$15,0))-Pricing_M!$B$13,Assumptions!$B$9/12*(1+Assumptions!$B$10)^INT(A540/12)+Assumptions!$B$12*(1+Assumptions!$B$11)^(INT(A540/12)+1)/12))*J540</f>
        <v>2.93549810966396</v>
      </c>
      <c r="V540" s="32" t="n">
        <f aca="false">V539*(1-F539)*(1-(1-(1-MIN(1,G539*(1-Assumptions!$B$23)))^(1/12)))</f>
        <v>0.00453020658445917</v>
      </c>
      <c r="W540" s="47" t="n">
        <f aca="false">V540*(IF(C540&lt;Assumptions!$B$5,Assumptions!$B$12*(1+Assumptions!$B$11)^(INT(A540/12)+1)/12+Pricing_M!$B$13*IF(A540=0,Assumptions!$B$14*12,IF(A540&gt;=12,Assumptions!$B$15,0))-Pricing_M!$B$13,Assumptions!$B$9/12*(1+Assumptions!$B$10)^INT(A540/12)+Assumptions!$B$12*(1+Assumptions!$B$11)^(INT(A540/12)+1)/12))*J540</f>
        <v>3.57390421289209</v>
      </c>
      <c r="X540" s="47" t="n">
        <f aca="false">I540*(IF(C540&lt;Assumptions!$B$5,Assumptions!$B$12*(1+Assumptions!$B$11)*(1+Assumptions!$B$24)*(1+Assumptions!$B$11+Assumptions!$B$25)^(INT(A540/12))/12+Pricing_M!$B$13*IF(A540=0,Assumptions!$B$14*12,IF(A540&gt;=12,Assumptions!$B$15,0))-Pricing_M!$B$13,Assumptions!$B$9/12*(1+Assumptions!$B$10)^INT(A540/12)+Assumptions!$B$12*(1+Assumptions!$B$11)*(1+Assumptions!$B$24)*(1+Assumptions!$B$11+Assumptions!$B$25)^(INT(A540/12))/12))*J540</f>
        <v>3.25454075363918</v>
      </c>
    </row>
    <row r="541" customFormat="false" ht="15" hidden="false" customHeight="true" outlineLevel="0" collapsed="false">
      <c r="A541" s="1" t="n">
        <v>534</v>
      </c>
      <c r="B541" s="31" t="n">
        <f aca="false">Assumptions!$B$4+A541/12</f>
        <v>109.5</v>
      </c>
      <c r="C541" s="34" t="n">
        <f aca="false">Assumptions!$B$4+INT(A541/12)</f>
        <v>109</v>
      </c>
      <c r="D541" s="34" t="n">
        <f aca="false">INT(A541/12)+1</f>
        <v>45</v>
      </c>
      <c r="E541" s="32" t="n">
        <f aca="false">IFERROR(INDEX(Cohort_Survival!$G$5:$G$65,MATCH(C541,Cohort_Survival!$A$5:$A$65,0)),1)</f>
        <v>0.411411053924766</v>
      </c>
      <c r="F541" s="30" t="n">
        <f aca="false">1-(1-MIN(1,E541))^(1/12)</f>
        <v>0.0432076921593592</v>
      </c>
      <c r="G541" s="39" t="n">
        <f aca="false">IF(C541&lt;Assumptions!$B$5,IF(D541=1,Assumptions!$B$16,IF(D541=2,Assumptions!$B$17,IF(D541&lt;=5,Assumptions!$B$18,Assumptions!$B$19)))*(1-Assumptions!$B$20),0)</f>
        <v>0</v>
      </c>
      <c r="H541" s="30" t="n">
        <f aca="false">1-(1-G541)^(1/12)</f>
        <v>0</v>
      </c>
      <c r="I541" s="30" t="n">
        <f aca="false">I540*(1-F540)*(1-H540)</f>
        <v>0.00393010775016642</v>
      </c>
      <c r="J541" s="30" t="n">
        <f aca="false">INDEX(Discount_Monthly!$G$4:$G$664,MATCH(A541,Discount_Monthly!$A$4:$A$664,0))</f>
        <v>0.245331479498238</v>
      </c>
      <c r="K541" s="30" t="n">
        <f aca="false">IF(C541&lt;Assumptions!$B$5,I541*J541,0)</f>
        <v>0</v>
      </c>
      <c r="L541" s="30" t="n">
        <f aca="false">IF(C541&lt;Assumptions!$B$5,I541*(1-F541)*H541*A541*J541,0)</f>
        <v>0</v>
      </c>
      <c r="M541" s="30" t="n">
        <f aca="false">IF(A541=0,Assumptions!$B$14*12*I541*J541,IF(AND(A541&gt;=12,C541&lt;Assumptions!$B$5),Assumptions!$B$15*I541*J541,0))</f>
        <v>0</v>
      </c>
      <c r="N541" s="47" t="n">
        <f aca="false">IF(C541&gt;=Assumptions!$B$5,I541*Assumptions!$B$9/12*(1+Assumptions!$B$10)^INT(A541/12)*J541,0)</f>
        <v>3.07258587306805</v>
      </c>
      <c r="O541" s="47" t="n">
        <f aca="false">I541*Assumptions!$B$12/12*(1+Assumptions!$B$11)^(INT(A541/12)+1)*J541</f>
        <v>0.0195272199865968</v>
      </c>
      <c r="P541" s="47" t="n">
        <f aca="false">O541+Pricing_M!$B$13*M541+N541-Pricing_M!$B$13*K541</f>
        <v>3.09211309305465</v>
      </c>
      <c r="Q541" s="47" t="n">
        <f aca="false">IF(C541&lt;Assumptions!$B$5,Pricing_M!$B$13*K541-Pricing_M!$B$13*M541-O541,-(N541+O541))</f>
        <v>-3.09211309305465</v>
      </c>
      <c r="R541" s="32" t="n">
        <f aca="false">R540*(1-(1-(1-MIN(1,E540*(1-Assumptions!$B$21)))^(1/12)))*(1-H540)</f>
        <v>0.0129057482186532</v>
      </c>
      <c r="S541" s="47" t="n">
        <f aca="false">R541*(IF(C541&lt;Assumptions!$B$5,Assumptions!$B$12*(1+Assumptions!$B$11)^(INT(A541/12)+1)/12+Pricing_M!$B$13*IF(A541=0,Assumptions!$B$14*12,IF(A541&gt;=12,Assumptions!$B$15,0))-Pricing_M!$B$13,Assumptions!$B$9/12*(1+Assumptions!$B$10)^INT(A541/12)+Assumptions!$B$12*(1+Assumptions!$B$11)^(INT(A541/12)+1)/12))*J541</f>
        <v>10.1539284872977</v>
      </c>
      <c r="T541" s="32" t="n">
        <f aca="false">T540*(1-F540)*(1-(1-(1-MIN(1,G540*(1+Assumptions!$B$23)))^(1/12)))</f>
        <v>0.00356020149893408</v>
      </c>
      <c r="U541" s="47" t="n">
        <f aca="false">T541*(IF(C541&lt;Assumptions!$B$5,Assumptions!$B$12*(1+Assumptions!$B$11)^(INT(A541/12)+1)/12+Pricing_M!$B$13*IF(A541=0,Assumptions!$B$14*12,IF(A541&gt;=12,Assumptions!$B$15,0))-Pricing_M!$B$13,Assumptions!$B$9/12*(1+Assumptions!$B$10)^INT(A541/12)+Assumptions!$B$12*(1+Assumptions!$B$11)^(INT(A541/12)+1)/12))*J541</f>
        <v>2.80107986054599</v>
      </c>
      <c r="V541" s="32" t="n">
        <f aca="false">V540*(1-F540)*(1-(1-(1-MIN(1,G540*(1-Assumptions!$B$23)))^(1/12)))</f>
        <v>0.00433446681293955</v>
      </c>
      <c r="W541" s="47" t="n">
        <f aca="false">V541*(IF(C541&lt;Assumptions!$B$5,Assumptions!$B$12*(1+Assumptions!$B$11)^(INT(A541/12)+1)/12+Pricing_M!$B$13*IF(A541=0,Assumptions!$B$14*12,IF(A541&gt;=12,Assumptions!$B$15,0))-Pricing_M!$B$13,Assumptions!$B$9/12*(1+Assumptions!$B$10)^INT(A541/12)+Assumptions!$B$12*(1+Assumptions!$B$11)^(INT(A541/12)+1)/12))*J541</f>
        <v>3.41025295887465</v>
      </c>
      <c r="X541" s="47" t="n">
        <f aca="false">I541*(IF(C541&lt;Assumptions!$B$5,Assumptions!$B$12*(1+Assumptions!$B$11)*(1+Assumptions!$B$24)*(1+Assumptions!$B$11+Assumptions!$B$25)^(INT(A541/12))/12+Pricing_M!$B$13*IF(A541=0,Assumptions!$B$14*12,IF(A541&gt;=12,Assumptions!$B$15,0))-Pricing_M!$B$13,Assumptions!$B$9/12*(1+Assumptions!$B$10)^INT(A541/12)+Assumptions!$B$12*(1+Assumptions!$B$11)*(1+Assumptions!$B$24)*(1+Assumptions!$B$11+Assumptions!$B$25)^(INT(A541/12))/12))*J541</f>
        <v>3.10551334723511</v>
      </c>
    </row>
    <row r="542" customFormat="false" ht="15" hidden="false" customHeight="true" outlineLevel="0" collapsed="false">
      <c r="A542" s="1" t="n">
        <v>535</v>
      </c>
      <c r="B542" s="31" t="n">
        <f aca="false">Assumptions!$B$4+A542/12</f>
        <v>109.583333333333</v>
      </c>
      <c r="C542" s="34" t="n">
        <f aca="false">Assumptions!$B$4+INT(A542/12)</f>
        <v>109</v>
      </c>
      <c r="D542" s="34" t="n">
        <f aca="false">INT(A542/12)+1</f>
        <v>45</v>
      </c>
      <c r="E542" s="32" t="n">
        <f aca="false">IFERROR(INDEX(Cohort_Survival!$G$5:$G$65,MATCH(C542,Cohort_Survival!$A$5:$A$65,0)),1)</f>
        <v>0.411411053924766</v>
      </c>
      <c r="F542" s="30" t="n">
        <f aca="false">1-(1-MIN(1,E542))^(1/12)</f>
        <v>0.0432076921593592</v>
      </c>
      <c r="G542" s="39" t="n">
        <f aca="false">IF(C542&lt;Assumptions!$B$5,IF(D542=1,Assumptions!$B$16,IF(D542=2,Assumptions!$B$17,IF(D542&lt;=5,Assumptions!$B$18,Assumptions!$B$19)))*(1-Assumptions!$B$20),0)</f>
        <v>0</v>
      </c>
      <c r="H542" s="30" t="n">
        <f aca="false">1-(1-G542)^(1/12)</f>
        <v>0</v>
      </c>
      <c r="I542" s="30" t="n">
        <f aca="false">I541*(1-F541)*(1-H541)</f>
        <v>0.00376029686434412</v>
      </c>
      <c r="J542" s="30" t="n">
        <f aca="false">INDEX(Discount_Monthly!$G$4:$G$664,MATCH(A542,Discount_Monthly!$A$4:$A$664,0))</f>
        <v>0.244669192550523</v>
      </c>
      <c r="K542" s="30" t="n">
        <f aca="false">IF(C542&lt;Assumptions!$B$5,I542*J542,0)</f>
        <v>0</v>
      </c>
      <c r="L542" s="30" t="n">
        <f aca="false">IF(C542&lt;Assumptions!$B$5,I542*(1-F542)*H542*A542*J542,0)</f>
        <v>0</v>
      </c>
      <c r="M542" s="30" t="n">
        <f aca="false">IF(A542=0,Assumptions!$B$14*12*I542*J542,IF(AND(A542&gt;=12,C542&lt;Assumptions!$B$5),Assumptions!$B$15*I542*J542,0))</f>
        <v>0</v>
      </c>
      <c r="N542" s="47" t="n">
        <f aca="false">IF(C542&gt;=Assumptions!$B$5,I542*Assumptions!$B$9/12*(1+Assumptions!$B$10)^INT(A542/12)*J542,0)</f>
        <v>2.93189029163921</v>
      </c>
      <c r="O542" s="47" t="n">
        <f aca="false">I542*Assumptions!$B$12/12*(1+Assumptions!$B$11)^(INT(A542/12)+1)*J542</f>
        <v>0.0186330566716559</v>
      </c>
      <c r="P542" s="47" t="n">
        <f aca="false">O542+Pricing_M!$B$13*M542+N542-Pricing_M!$B$13*K542</f>
        <v>2.95052334831087</v>
      </c>
      <c r="Q542" s="47" t="n">
        <f aca="false">IF(C542&lt;Assumptions!$B$5,Pricing_M!$B$13*K542-Pricing_M!$B$13*M542-O542,-(N542+O542))</f>
        <v>-2.95052334831087</v>
      </c>
      <c r="R542" s="32" t="n">
        <f aca="false">R541*(1-(1-(1-MIN(1,E541*(1-Assumptions!$B$21)))^(1/12)))*(1-H541)</f>
        <v>0.0124835023723028</v>
      </c>
      <c r="S542" s="47" t="n">
        <f aca="false">R542*(IF(C542&lt;Assumptions!$B$5,Assumptions!$B$12*(1+Assumptions!$B$11)^(INT(A542/12)+1)/12+Pricing_M!$B$13*IF(A542=0,Assumptions!$B$14*12,IF(A542&gt;=12,Assumptions!$B$15,0))-Pricing_M!$B$13,Assumptions!$B$9/12*(1+Assumptions!$B$10)^INT(A542/12)+Assumptions!$B$12*(1+Assumptions!$B$11)^(INT(A542/12)+1)/12))*J542</f>
        <v>9.79520142875685</v>
      </c>
      <c r="T542" s="32" t="n">
        <f aca="false">T541*(1-F541)*(1-(1-(1-MIN(1,G541*(1+Assumptions!$B$23)))^(1/12)))</f>
        <v>0.00340637340854285</v>
      </c>
      <c r="U542" s="47" t="n">
        <f aca="false">T542*(IF(C542&lt;Assumptions!$B$5,Assumptions!$B$12*(1+Assumptions!$B$11)^(INT(A542/12)+1)/12+Pricing_M!$B$13*IF(A542=0,Assumptions!$B$14*12,IF(A542&gt;=12,Assumptions!$B$15,0))-Pricing_M!$B$13,Assumptions!$B$9/12*(1+Assumptions!$B$10)^INT(A542/12)+Assumptions!$B$12*(1+Assumptions!$B$11)^(INT(A542/12)+1)/12))*J542</f>
        <v>2.67281670505129</v>
      </c>
      <c r="V542" s="32" t="n">
        <f aca="false">V541*(1-F541)*(1-(1-(1-MIN(1,G541*(1-Assumptions!$B$23)))^(1/12)))</f>
        <v>0.0041471845052111</v>
      </c>
      <c r="W542" s="47" t="n">
        <f aca="false">V542*(IF(C542&lt;Assumptions!$B$5,Assumptions!$B$12*(1+Assumptions!$B$11)^(INT(A542/12)+1)/12+Pricing_M!$B$13*IF(A542=0,Assumptions!$B$14*12,IF(A542&gt;=12,Assumptions!$B$15,0))-Pricing_M!$B$13,Assumptions!$B$9/12*(1+Assumptions!$B$10)^INT(A542/12)+Assumptions!$B$12*(1+Assumptions!$B$11)^(INT(A542/12)+1)/12))*J542</f>
        <v>3.2540953956072</v>
      </c>
      <c r="X542" s="47" t="n">
        <f aca="false">I542*(IF(C542&lt;Assumptions!$B$5,Assumptions!$B$12*(1+Assumptions!$B$11)*(1+Assumptions!$B$24)*(1+Assumptions!$B$11+Assumptions!$B$25)^(INT(A542/12))/12+Pricing_M!$B$13*IF(A542=0,Assumptions!$B$14*12,IF(A542&gt;=12,Assumptions!$B$15,0))-Pricing_M!$B$13,Assumptions!$B$9/12*(1+Assumptions!$B$10)^INT(A542/12)+Assumptions!$B$12*(1+Assumptions!$B$11)*(1+Assumptions!$B$24)*(1+Assumptions!$B$11+Assumptions!$B$25)^(INT(A542/12))/12))*J542</f>
        <v>2.96330999667815</v>
      </c>
    </row>
    <row r="543" customFormat="false" ht="15" hidden="false" customHeight="true" outlineLevel="0" collapsed="false">
      <c r="A543" s="1" t="n">
        <v>536</v>
      </c>
      <c r="B543" s="31" t="n">
        <f aca="false">Assumptions!$B$4+A543/12</f>
        <v>109.666666666667</v>
      </c>
      <c r="C543" s="34" t="n">
        <f aca="false">Assumptions!$B$4+INT(A543/12)</f>
        <v>109</v>
      </c>
      <c r="D543" s="34" t="n">
        <f aca="false">INT(A543/12)+1</f>
        <v>45</v>
      </c>
      <c r="E543" s="32" t="n">
        <f aca="false">IFERROR(INDEX(Cohort_Survival!$G$5:$G$65,MATCH(C543,Cohort_Survival!$A$5:$A$65,0)),1)</f>
        <v>0.411411053924766</v>
      </c>
      <c r="F543" s="30" t="n">
        <f aca="false">1-(1-MIN(1,E543))^(1/12)</f>
        <v>0.0432076921593592</v>
      </c>
      <c r="G543" s="39" t="n">
        <f aca="false">IF(C543&lt;Assumptions!$B$5,IF(D543=1,Assumptions!$B$16,IF(D543=2,Assumptions!$B$17,IF(D543&lt;=5,Assumptions!$B$18,Assumptions!$B$19)))*(1-Assumptions!$B$20),0)</f>
        <v>0</v>
      </c>
      <c r="H543" s="30" t="n">
        <f aca="false">1-(1-G543)^(1/12)</f>
        <v>0</v>
      </c>
      <c r="I543" s="30" t="n">
        <f aca="false">I542*(1-F542)*(1-H542)</f>
        <v>0.00359782311500173</v>
      </c>
      <c r="J543" s="30" t="n">
        <f aca="false">INDEX(Discount_Monthly!$G$4:$G$664,MATCH(A543,Discount_Monthly!$A$4:$A$664,0))</f>
        <v>0.244008693485888</v>
      </c>
      <c r="K543" s="30" t="n">
        <f aca="false">IF(C543&lt;Assumptions!$B$5,I543*J543,0)</f>
        <v>0</v>
      </c>
      <c r="L543" s="30" t="n">
        <f aca="false">IF(C543&lt;Assumptions!$B$5,I543*(1-F543)*H543*A543*J543,0)</f>
        <v>0</v>
      </c>
      <c r="M543" s="30" t="n">
        <f aca="false">IF(A543=0,Assumptions!$B$14*12*I543*J543,IF(AND(A543&gt;=12,C543&lt;Assumptions!$B$5),Assumptions!$B$15*I543*J543,0))</f>
        <v>0</v>
      </c>
      <c r="N543" s="47" t="n">
        <f aca="false">IF(C543&gt;=Assumptions!$B$5,I543*Assumptions!$B$9/12*(1+Assumptions!$B$10)^INT(A543/12)*J543,0)</f>
        <v>2.79763724670939</v>
      </c>
      <c r="O543" s="47" t="n">
        <f aca="false">I543*Assumptions!$B$12/12*(1+Assumptions!$B$11)^(INT(A543/12)+1)*J543</f>
        <v>0.0177798376403527</v>
      </c>
      <c r="P543" s="47" t="n">
        <f aca="false">O543+Pricing_M!$B$13*M543+N543-Pricing_M!$B$13*K543</f>
        <v>2.81541708434974</v>
      </c>
      <c r="Q543" s="47" t="n">
        <f aca="false">IF(C543&lt;Assumptions!$B$5,Pricing_M!$B$13*K543-Pricing_M!$B$13*M543-O543,-(N543+O543))</f>
        <v>-2.81541708434974</v>
      </c>
      <c r="R543" s="32" t="n">
        <f aca="false">R542*(1-(1-(1-MIN(1,E542*(1-Assumptions!$B$21)))^(1/12)))*(1-H542)</f>
        <v>0.0120750714208147</v>
      </c>
      <c r="S543" s="47" t="n">
        <f aca="false">R543*(IF(C543&lt;Assumptions!$B$5,Assumptions!$B$12*(1+Assumptions!$B$11)^(INT(A543/12)+1)/12+Pricing_M!$B$13*IF(A543=0,Assumptions!$B$14*12,IF(A543&gt;=12,Assumptions!$B$15,0))-Pricing_M!$B$13,Assumptions!$B$9/12*(1+Assumptions!$B$10)^INT(A543/12)+Assumptions!$B$12*(1+Assumptions!$B$11)^(INT(A543/12)+1)/12))*J543</f>
        <v>9.44914780027715</v>
      </c>
      <c r="T543" s="32" t="n">
        <f aca="false">T542*(1-F542)*(1-(1-(1-MIN(1,G542*(1+Assumptions!$B$23)))^(1/12)))</f>
        <v>0.0032591918749267</v>
      </c>
      <c r="U543" s="47" t="n">
        <f aca="false">T543*(IF(C543&lt;Assumptions!$B$5,Assumptions!$B$12*(1+Assumptions!$B$11)^(INT(A543/12)+1)/12+Pricing_M!$B$13*IF(A543=0,Assumptions!$B$14*12,IF(A543&gt;=12,Assumptions!$B$15,0))-Pricing_M!$B$13,Assumptions!$B$9/12*(1+Assumptions!$B$10)^INT(A543/12)+Assumptions!$B$12*(1+Assumptions!$B$11)^(INT(A543/12)+1)/12))*J543</f>
        <v>2.55042679768821</v>
      </c>
      <c r="V543" s="32" t="n">
        <f aca="false">V542*(1-F542)*(1-(1-(1-MIN(1,G542*(1-Assumptions!$B$23)))^(1/12)))</f>
        <v>0.00396799423378188</v>
      </c>
      <c r="W543" s="47" t="n">
        <f aca="false">V543*(IF(C543&lt;Assumptions!$B$5,Assumptions!$B$12*(1+Assumptions!$B$11)^(INT(A543/12)+1)/12+Pricing_M!$B$13*IF(A543=0,Assumptions!$B$14*12,IF(A543&gt;=12,Assumptions!$B$15,0))-Pricing_M!$B$13,Assumptions!$B$9/12*(1+Assumptions!$B$10)^INT(A543/12)+Assumptions!$B$12*(1+Assumptions!$B$11)^(INT(A543/12)+1)/12))*J543</f>
        <v>3.10508838241909</v>
      </c>
      <c r="X543" s="47" t="n">
        <f aca="false">I543*(IF(C543&lt;Assumptions!$B$5,Assumptions!$B$12*(1+Assumptions!$B$11)*(1+Assumptions!$B$24)*(1+Assumptions!$B$11+Assumptions!$B$25)^(INT(A543/12))/12+Pricing_M!$B$13*IF(A543=0,Assumptions!$B$14*12,IF(A543&gt;=12,Assumptions!$B$15,0))-Pricing_M!$B$13,Assumptions!$B$9/12*(1+Assumptions!$B$10)^INT(A543/12)+Assumptions!$B$12*(1+Assumptions!$B$11)*(1+Assumptions!$B$24)*(1+Assumptions!$B$11+Assumptions!$B$25)^(INT(A543/12))/12))*J543</f>
        <v>2.82761822428833</v>
      </c>
    </row>
    <row r="544" customFormat="false" ht="15" hidden="false" customHeight="true" outlineLevel="0" collapsed="false">
      <c r="A544" s="1" t="n">
        <v>537</v>
      </c>
      <c r="B544" s="31" t="n">
        <f aca="false">Assumptions!$B$4+A544/12</f>
        <v>109.75</v>
      </c>
      <c r="C544" s="34" t="n">
        <f aca="false">Assumptions!$B$4+INT(A544/12)</f>
        <v>109</v>
      </c>
      <c r="D544" s="34" t="n">
        <f aca="false">INT(A544/12)+1</f>
        <v>45</v>
      </c>
      <c r="E544" s="32" t="n">
        <f aca="false">IFERROR(INDEX(Cohort_Survival!$G$5:$G$65,MATCH(C544,Cohort_Survival!$A$5:$A$65,0)),1)</f>
        <v>0.411411053924766</v>
      </c>
      <c r="F544" s="30" t="n">
        <f aca="false">1-(1-MIN(1,E544))^(1/12)</f>
        <v>0.0432076921593592</v>
      </c>
      <c r="G544" s="39" t="n">
        <f aca="false">IF(C544&lt;Assumptions!$B$5,IF(D544=1,Assumptions!$B$16,IF(D544=2,Assumptions!$B$17,IF(D544&lt;=5,Assumptions!$B$18,Assumptions!$B$19)))*(1-Assumptions!$B$20),0)</f>
        <v>0</v>
      </c>
      <c r="H544" s="30" t="n">
        <f aca="false">1-(1-G544)^(1/12)</f>
        <v>0</v>
      </c>
      <c r="I544" s="30" t="n">
        <f aca="false">I543*(1-F543)*(1-H543)</f>
        <v>0.00344236948140491</v>
      </c>
      <c r="J544" s="30" t="n">
        <f aca="false">INDEX(Discount_Monthly!$G$4:$G$664,MATCH(A544,Discount_Monthly!$A$4:$A$664,0))</f>
        <v>0.243349977477835</v>
      </c>
      <c r="K544" s="30" t="n">
        <f aca="false">IF(C544&lt;Assumptions!$B$5,I544*J544,0)</f>
        <v>0</v>
      </c>
      <c r="L544" s="30" t="n">
        <f aca="false">IF(C544&lt;Assumptions!$B$5,I544*(1-F544)*H544*A544*J544,0)</f>
        <v>0</v>
      </c>
      <c r="M544" s="30" t="n">
        <f aca="false">IF(A544=0,Assumptions!$B$14*12*I544*J544,IF(AND(A544&gt;=12,C544&lt;Assumptions!$B$5),Assumptions!$B$15*I544*J544,0))</f>
        <v>0</v>
      </c>
      <c r="N544" s="47" t="n">
        <f aca="false">IF(C544&gt;=Assumptions!$B$5,I544*Assumptions!$B$9/12*(1+Assumptions!$B$10)^INT(A544/12)*J544,0)</f>
        <v>2.66953173060229</v>
      </c>
      <c r="O544" s="47" t="n">
        <f aca="false">I544*Assumptions!$B$12/12*(1+Assumptions!$B$11)^(INT(A544/12)+1)*J544</f>
        <v>0.016965688028963</v>
      </c>
      <c r="P544" s="47" t="n">
        <f aca="false">O544+Pricing_M!$B$13*M544+N544-Pricing_M!$B$13*K544</f>
        <v>2.68649741863125</v>
      </c>
      <c r="Q544" s="47" t="n">
        <f aca="false">IF(C544&lt;Assumptions!$B$5,Pricing_M!$B$13*K544-Pricing_M!$B$13*M544-O544,-(N544+O544))</f>
        <v>-2.68649741863125</v>
      </c>
      <c r="R544" s="32" t="n">
        <f aca="false">R543*(1-(1-(1-MIN(1,E543*(1-Assumptions!$B$21)))^(1/12)))*(1-H543)</f>
        <v>0.0116800033731943</v>
      </c>
      <c r="S544" s="47" t="n">
        <f aca="false">R544*(IF(C544&lt;Assumptions!$B$5,Assumptions!$B$12*(1+Assumptions!$B$11)^(INT(A544/12)+1)/12+Pricing_M!$B$13*IF(A544=0,Assumptions!$B$14*12,IF(A544&gt;=12,Assumptions!$B$15,0))-Pricing_M!$B$13,Assumptions!$B$9/12*(1+Assumptions!$B$10)^INT(A544/12)+Assumptions!$B$12*(1+Assumptions!$B$11)^(INT(A544/12)+1)/12))*J544</f>
        <v>9.11531986359714</v>
      </c>
      <c r="T544" s="32" t="n">
        <f aca="false">T543*(1-F543)*(1-(1-(1-MIN(1,G543*(1+Assumptions!$B$23)))^(1/12)))</f>
        <v>0.00311836971570659</v>
      </c>
      <c r="U544" s="47" t="n">
        <f aca="false">T544*(IF(C544&lt;Assumptions!$B$5,Assumptions!$B$12*(1+Assumptions!$B$11)^(INT(A544/12)+1)/12+Pricing_M!$B$13*IF(A544=0,Assumptions!$B$14*12,IF(A544&gt;=12,Assumptions!$B$15,0))-Pricing_M!$B$13,Assumptions!$B$9/12*(1+Assumptions!$B$10)^INT(A544/12)+Assumptions!$B$12*(1+Assumptions!$B$11)^(INT(A544/12)+1)/12))*J544</f>
        <v>2.43364119884207</v>
      </c>
      <c r="V544" s="32" t="n">
        <f aca="false">V543*(1-F543)*(1-(1-(1-MIN(1,G543*(1-Assumptions!$B$23)))^(1/12)))</f>
        <v>0.00379654636043852</v>
      </c>
      <c r="W544" s="47" t="n">
        <f aca="false">V544*(IF(C544&lt;Assumptions!$B$5,Assumptions!$B$12*(1+Assumptions!$B$11)^(INT(A544/12)+1)/12+Pricing_M!$B$13*IF(A544=0,Assumptions!$B$14*12,IF(A544&gt;=12,Assumptions!$B$15,0))-Pricing_M!$B$13,Assumptions!$B$9/12*(1+Assumptions!$B$10)^INT(A544/12)+Assumptions!$B$12*(1+Assumptions!$B$11)^(INT(A544/12)+1)/12))*J544</f>
        <v>2.96290449126028</v>
      </c>
      <c r="X544" s="47" t="n">
        <f aca="false">I544*(IF(C544&lt;Assumptions!$B$5,Assumptions!$B$12*(1+Assumptions!$B$11)*(1+Assumptions!$B$24)*(1+Assumptions!$B$11+Assumptions!$B$25)^(INT(A544/12))/12+Pricing_M!$B$13*IF(A544=0,Assumptions!$B$14*12,IF(A544&gt;=12,Assumptions!$B$15,0))-Pricing_M!$B$13,Assumptions!$B$9/12*(1+Assumptions!$B$10)^INT(A544/12)+Assumptions!$B$12*(1+Assumptions!$B$11)*(1+Assumptions!$B$24)*(1+Assumptions!$B$11+Assumptions!$B$25)^(INT(A544/12))/12))*J544</f>
        <v>2.69813986092926</v>
      </c>
    </row>
    <row r="545" customFormat="false" ht="15" hidden="false" customHeight="true" outlineLevel="0" collapsed="false">
      <c r="A545" s="1" t="n">
        <v>538</v>
      </c>
      <c r="B545" s="31" t="n">
        <f aca="false">Assumptions!$B$4+A545/12</f>
        <v>109.833333333333</v>
      </c>
      <c r="C545" s="34" t="n">
        <f aca="false">Assumptions!$B$4+INT(A545/12)</f>
        <v>109</v>
      </c>
      <c r="D545" s="34" t="n">
        <f aca="false">INT(A545/12)+1</f>
        <v>45</v>
      </c>
      <c r="E545" s="32" t="n">
        <f aca="false">IFERROR(INDEX(Cohort_Survival!$G$5:$G$65,MATCH(C545,Cohort_Survival!$A$5:$A$65,0)),1)</f>
        <v>0.411411053924766</v>
      </c>
      <c r="F545" s="30" t="n">
        <f aca="false">1-(1-MIN(1,E545))^(1/12)</f>
        <v>0.0432076921593592</v>
      </c>
      <c r="G545" s="39" t="n">
        <f aca="false">IF(C545&lt;Assumptions!$B$5,IF(D545=1,Assumptions!$B$16,IF(D545=2,Assumptions!$B$17,IF(D545&lt;=5,Assumptions!$B$18,Assumptions!$B$19)))*(1-Assumptions!$B$20),0)</f>
        <v>0</v>
      </c>
      <c r="H545" s="30" t="n">
        <f aca="false">1-(1-G545)^(1/12)</f>
        <v>0</v>
      </c>
      <c r="I545" s="30" t="n">
        <f aca="false">I544*(1-F544)*(1-H544)</f>
        <v>0.0032936326405536</v>
      </c>
      <c r="J545" s="30" t="n">
        <f aca="false">INDEX(Discount_Monthly!$G$4:$G$664,MATCH(A545,Discount_Monthly!$A$4:$A$664,0))</f>
        <v>0.242693039712898</v>
      </c>
      <c r="K545" s="30" t="n">
        <f aca="false">IF(C545&lt;Assumptions!$B$5,I545*J545,0)</f>
        <v>0</v>
      </c>
      <c r="L545" s="30" t="n">
        <f aca="false">IF(C545&lt;Assumptions!$B$5,I545*(1-F545)*H545*A545*J545,0)</f>
        <v>0</v>
      </c>
      <c r="M545" s="30" t="n">
        <f aca="false">IF(A545=0,Assumptions!$B$14*12*I545*J545,IF(AND(A545&gt;=12,C545&lt;Assumptions!$B$5),Assumptions!$B$15*I545*J545,0))</f>
        <v>0</v>
      </c>
      <c r="N545" s="47" t="n">
        <f aca="false">IF(C545&gt;=Assumptions!$B$5,I545*Assumptions!$B$9/12*(1+Assumptions!$B$10)^INT(A545/12)*J545,0)</f>
        <v>2.54729224422309</v>
      </c>
      <c r="O545" s="47" t="n">
        <f aca="false">I545*Assumptions!$B$12/12*(1+Assumptions!$B$11)^(INT(A545/12)+1)*J545</f>
        <v>0.0161888188249164</v>
      </c>
      <c r="P545" s="47" t="n">
        <f aca="false">O545+Pricing_M!$B$13*M545+N545-Pricing_M!$B$13*K545</f>
        <v>2.563481063048</v>
      </c>
      <c r="Q545" s="47" t="n">
        <f aca="false">IF(C545&lt;Assumptions!$B$5,Pricing_M!$B$13*K545-Pricing_M!$B$13*M545-O545,-(N545+O545))</f>
        <v>-2.563481063048</v>
      </c>
      <c r="R545" s="32" t="n">
        <f aca="false">R544*(1-(1-(1-MIN(1,E544*(1-Assumptions!$B$21)))^(1/12)))*(1-H544)</f>
        <v>0.0112978610265335</v>
      </c>
      <c r="S545" s="47" t="n">
        <f aca="false">R545*(IF(C545&lt;Assumptions!$B$5,Assumptions!$B$12*(1+Assumptions!$B$11)^(INT(A545/12)+1)/12+Pricing_M!$B$13*IF(A545=0,Assumptions!$B$14*12,IF(A545&gt;=12,Assumptions!$B$15,0))-Pricing_M!$B$13,Assumptions!$B$9/12*(1+Assumptions!$B$10)^INT(A545/12)+Assumptions!$B$12*(1+Assumptions!$B$11)^(INT(A545/12)+1)/12))*J545</f>
        <v>8.79328569855279</v>
      </c>
      <c r="T545" s="32" t="n">
        <f aca="false">T544*(1-F544)*(1-(1-(1-MIN(1,G544*(1+Assumptions!$B$23)))^(1/12)))</f>
        <v>0.00298363215699127</v>
      </c>
      <c r="U545" s="47" t="n">
        <f aca="false">T545*(IF(C545&lt;Assumptions!$B$5,Assumptions!$B$12*(1+Assumptions!$B$11)^(INT(A545/12)+1)/12+Pricing_M!$B$13*IF(A545=0,Assumptions!$B$14*12,IF(A545&gt;=12,Assumptions!$B$15,0))-Pricing_M!$B$13,Assumptions!$B$9/12*(1+Assumptions!$B$10)^INT(A545/12)+Assumptions!$B$12*(1+Assumptions!$B$11)^(INT(A545/12)+1)/12))*J545</f>
        <v>2.32220328380721</v>
      </c>
      <c r="V545" s="32" t="n">
        <f aca="false">V544*(1-F544)*(1-(1-(1-MIN(1,G544*(1-Assumptions!$B$23)))^(1/12)))</f>
        <v>0.00363250635402795</v>
      </c>
      <c r="W545" s="47" t="n">
        <f aca="false">V545*(IF(C545&lt;Assumptions!$B$5,Assumptions!$B$12*(1+Assumptions!$B$11)^(INT(A545/12)+1)/12+Pricing_M!$B$13*IF(A545=0,Assumptions!$B$14*12,IF(A545&gt;=12,Assumptions!$B$15,0))-Pricing_M!$B$13,Assumptions!$B$9/12*(1+Assumptions!$B$10)^INT(A545/12)+Assumptions!$B$12*(1+Assumptions!$B$11)^(INT(A545/12)+1)/12))*J545</f>
        <v>2.82723128721091</v>
      </c>
      <c r="X545" s="47" t="n">
        <f aca="false">I545*(IF(C545&lt;Assumptions!$B$5,Assumptions!$B$12*(1+Assumptions!$B$11)*(1+Assumptions!$B$24)*(1+Assumptions!$B$11+Assumptions!$B$25)^(INT(A545/12))/12+Pricing_M!$B$13*IF(A545=0,Assumptions!$B$14*12,IF(A545&gt;=12,Assumptions!$B$15,0))-Pricing_M!$B$13,Assumptions!$B$9/12*(1+Assumptions!$B$10)^INT(A545/12)+Assumptions!$B$12*(1+Assumptions!$B$11)*(1+Assumptions!$B$24)*(1+Assumptions!$B$11+Assumptions!$B$25)^(INT(A545/12))/12))*J545</f>
        <v>2.57459039081121</v>
      </c>
    </row>
    <row r="546" customFormat="false" ht="15" hidden="false" customHeight="true" outlineLevel="0" collapsed="false">
      <c r="A546" s="1" t="n">
        <v>539</v>
      </c>
      <c r="B546" s="31" t="n">
        <f aca="false">Assumptions!$B$4+A546/12</f>
        <v>109.916666666667</v>
      </c>
      <c r="C546" s="34" t="n">
        <f aca="false">Assumptions!$B$4+INT(A546/12)</f>
        <v>109</v>
      </c>
      <c r="D546" s="34" t="n">
        <f aca="false">INT(A546/12)+1</f>
        <v>45</v>
      </c>
      <c r="E546" s="32" t="n">
        <f aca="false">IFERROR(INDEX(Cohort_Survival!$G$5:$G$65,MATCH(C546,Cohort_Survival!$A$5:$A$65,0)),1)</f>
        <v>0.411411053924766</v>
      </c>
      <c r="F546" s="30" t="n">
        <f aca="false">1-(1-MIN(1,E546))^(1/12)</f>
        <v>0.0432076921593592</v>
      </c>
      <c r="G546" s="39" t="n">
        <f aca="false">IF(C546&lt;Assumptions!$B$5,IF(D546=1,Assumptions!$B$16,IF(D546=2,Assumptions!$B$17,IF(D546&lt;=5,Assumptions!$B$18,Assumptions!$B$19)))*(1-Assumptions!$B$20),0)</f>
        <v>0</v>
      </c>
      <c r="H546" s="30" t="n">
        <f aca="false">1-(1-G546)^(1/12)</f>
        <v>0</v>
      </c>
      <c r="I546" s="30" t="n">
        <f aca="false">I545*(1-F545)*(1-H545)</f>
        <v>0.00315132237533454</v>
      </c>
      <c r="J546" s="30" t="n">
        <f aca="false">INDEX(Discount_Monthly!$G$4:$G$664,MATCH(A546,Discount_Monthly!$A$4:$A$664,0))</f>
        <v>0.242037875390603</v>
      </c>
      <c r="K546" s="30" t="n">
        <f aca="false">IF(C546&lt;Assumptions!$B$5,I546*J546,0)</f>
        <v>0</v>
      </c>
      <c r="L546" s="30" t="n">
        <f aca="false">IF(C546&lt;Assumptions!$B$5,I546*(1-F546)*H546*A546*J546,0)</f>
        <v>0</v>
      </c>
      <c r="M546" s="30" t="n">
        <f aca="false">IF(A546=0,Assumptions!$B$14*12*I546*J546,IF(AND(A546&gt;=12,C546&lt;Assumptions!$B$5),Assumptions!$B$15*I546*J546,0))</f>
        <v>0</v>
      </c>
      <c r="N546" s="47" t="n">
        <f aca="false">IF(C546&gt;=Assumptions!$B$5,I546*Assumptions!$B$9/12*(1+Assumptions!$B$10)^INT(A546/12)*J546,0)</f>
        <v>2.43065017849222</v>
      </c>
      <c r="O546" s="47" t="n">
        <f aca="false">I546*Assumptions!$B$12/12*(1+Assumptions!$B$11)^(INT(A546/12)+1)*J546</f>
        <v>0.0154475229356192</v>
      </c>
      <c r="P546" s="47" t="n">
        <f aca="false">O546+Pricing_M!$B$13*M546+N546-Pricing_M!$B$13*K546</f>
        <v>2.44609770142784</v>
      </c>
      <c r="Q546" s="47" t="n">
        <f aca="false">IF(C546&lt;Assumptions!$B$5,Pricing_M!$B$13*K546-Pricing_M!$B$13*M546-O546,-(N546+O546))</f>
        <v>-2.44609770142784</v>
      </c>
      <c r="R546" s="32" t="n">
        <f aca="false">R545*(1-(1-(1-MIN(1,E545*(1-Assumptions!$B$21)))^(1/12)))*(1-H545)</f>
        <v>0.0109282214821789</v>
      </c>
      <c r="S546" s="47" t="n">
        <f aca="false">R546*(IF(C546&lt;Assumptions!$B$5,Assumptions!$B$12*(1+Assumptions!$B$11)^(INT(A546/12)+1)/12+Pricing_M!$B$13*IF(A546=0,Assumptions!$B$14*12,IF(A546&gt;=12,Assumptions!$B$15,0))-Pricing_M!$B$13,Assumptions!$B$9/12*(1+Assumptions!$B$10)^INT(A546/12)+Assumptions!$B$12*(1+Assumptions!$B$11)^(INT(A546/12)+1)/12))*J546</f>
        <v>8.48262864424155</v>
      </c>
      <c r="T546" s="32" t="n">
        <f aca="false">T545*(1-F545)*(1-(1-(1-MIN(1,G545*(1+Assumptions!$B$23)))^(1/12)))</f>
        <v>0.00285471629723522</v>
      </c>
      <c r="U546" s="47" t="n">
        <f aca="false">T546*(IF(C546&lt;Assumptions!$B$5,Assumptions!$B$12*(1+Assumptions!$B$11)^(INT(A546/12)+1)/12+Pricing_M!$B$13*IF(A546=0,Assumptions!$B$14*12,IF(A546&gt;=12,Assumptions!$B$15,0))-Pricing_M!$B$13,Assumptions!$B$9/12*(1+Assumptions!$B$10)^INT(A546/12)+Assumptions!$B$12*(1+Assumptions!$B$11)^(INT(A546/12)+1)/12))*J546</f>
        <v>2.21586817887979</v>
      </c>
      <c r="V546" s="32" t="n">
        <f aca="false">V545*(1-F545)*(1-(1-(1-MIN(1,G545*(1-Assumptions!$B$23)))^(1/12)))</f>
        <v>0.0034755541377162</v>
      </c>
      <c r="W546" s="47" t="n">
        <f aca="false">V546*(IF(C546&lt;Assumptions!$B$5,Assumptions!$B$12*(1+Assumptions!$B$11)^(INT(A546/12)+1)/12+Pricing_M!$B$13*IF(A546=0,Assumptions!$B$14*12,IF(A546&gt;=12,Assumptions!$B$15,0))-Pricing_M!$B$13,Assumptions!$B$9/12*(1+Assumptions!$B$10)^INT(A546/12)+Assumptions!$B$12*(1+Assumptions!$B$11)^(INT(A546/12)+1)/12))*J546</f>
        <v>2.69777064193665</v>
      </c>
      <c r="X546" s="47" t="n">
        <f aca="false">I546*(IF(C546&lt;Assumptions!$B$5,Assumptions!$B$12*(1+Assumptions!$B$11)*(1+Assumptions!$B$24)*(1+Assumptions!$B$11+Assumptions!$B$25)^(INT(A546/12))/12+Pricing_M!$B$13*IF(A546=0,Assumptions!$B$14*12,IF(A546&gt;=12,Assumptions!$B$15,0))-Pricing_M!$B$13,Assumptions!$B$9/12*(1+Assumptions!$B$10)^INT(A546/12)+Assumptions!$B$12*(1+Assumptions!$B$11)*(1+Assumptions!$B$24)*(1+Assumptions!$B$11+Assumptions!$B$25)^(INT(A546/12))/12))*J546</f>
        <v>2.45669832629599</v>
      </c>
    </row>
    <row r="547" customFormat="false" ht="15" hidden="false" customHeight="true" outlineLevel="0" collapsed="false">
      <c r="A547" s="1" t="n">
        <v>540</v>
      </c>
      <c r="B547" s="31" t="n">
        <f aca="false">Assumptions!$B$4+A547/12</f>
        <v>110</v>
      </c>
      <c r="C547" s="34" t="n">
        <f aca="false">Assumptions!$B$4+INT(A547/12)</f>
        <v>110</v>
      </c>
      <c r="D547" s="34" t="n">
        <f aca="false">INT(A547/12)+1</f>
        <v>46</v>
      </c>
      <c r="E547" s="32" t="n">
        <f aca="false">IFERROR(INDEX(Cohort_Survival!$G$5:$G$65,MATCH(C547,Cohort_Survival!$A$5:$A$65,0)),1)</f>
        <v>0.440590901801861</v>
      </c>
      <c r="F547" s="30" t="n">
        <f aca="false">1-(1-MIN(1,E547))^(1/12)</f>
        <v>0.0472532840759683</v>
      </c>
      <c r="G547" s="39" t="n">
        <f aca="false">IF(C547&lt;Assumptions!$B$5,IF(D547=1,Assumptions!$B$16,IF(D547=2,Assumptions!$B$17,IF(D547&lt;=5,Assumptions!$B$18,Assumptions!$B$19)))*(1-Assumptions!$B$20),0)</f>
        <v>0</v>
      </c>
      <c r="H547" s="30" t="n">
        <f aca="false">1-(1-G547)^(1/12)</f>
        <v>0</v>
      </c>
      <c r="I547" s="30" t="n">
        <f aca="false">I546*(1-F546)*(1-H546)</f>
        <v>0.00301516100824618</v>
      </c>
      <c r="J547" s="30" t="n">
        <f aca="false">INDEX(Discount_Monthly!$G$4:$G$664,MATCH(A547,Discount_Monthly!$A$4:$A$664,0))</f>
        <v>0.241384479723436</v>
      </c>
      <c r="K547" s="30" t="n">
        <f aca="false">IF(C547&lt;Assumptions!$B$5,I547*J547,0)</f>
        <v>0</v>
      </c>
      <c r="L547" s="30" t="n">
        <f aca="false">IF(C547&lt;Assumptions!$B$5,I547*(1-F547)*H547*A547*J547,0)</f>
        <v>0</v>
      </c>
      <c r="M547" s="30" t="n">
        <f aca="false">IF(A547=0,Assumptions!$B$14*12*I547*J547,IF(AND(A547&gt;=12,C547&lt;Assumptions!$B$5),Assumptions!$B$15*I547*J547,0))</f>
        <v>0</v>
      </c>
      <c r="N547" s="47" t="n">
        <f aca="false">IF(C547&gt;=Assumptions!$B$5,I547*Assumptions!$B$9/12*(1+Assumptions!$B$10)^INT(A547/12)*J547,0)</f>
        <v>2.3657362085858</v>
      </c>
      <c r="O547" s="47" t="n">
        <f aca="false">I547*Assumptions!$B$12/12*(1+Assumptions!$B$11)^(INT(A547/12)+1)*J547</f>
        <v>0.0151086757232215</v>
      </c>
      <c r="P547" s="47" t="n">
        <f aca="false">O547+Pricing_M!$B$13*M547+N547-Pricing_M!$B$13*K547</f>
        <v>2.38084488430902</v>
      </c>
      <c r="Q547" s="47" t="n">
        <f aca="false">IF(C547&lt;Assumptions!$B$5,Pricing_M!$B$13*K547-Pricing_M!$B$13*M547-O547,-(N547+O547))</f>
        <v>-2.38084488430902</v>
      </c>
      <c r="R547" s="32" t="n">
        <f aca="false">R546*(1-(1-(1-MIN(1,E546*(1-Assumptions!$B$21)))^(1/12)))*(1-H546)</f>
        <v>0.0105706756777304</v>
      </c>
      <c r="S547" s="47" t="n">
        <f aca="false">R547*(IF(C547&lt;Assumptions!$B$5,Assumptions!$B$12*(1+Assumptions!$B$11)^(INT(A547/12)+1)/12+Pricing_M!$B$13*IF(A547=0,Assumptions!$B$14*12,IF(A547&gt;=12,Assumptions!$B$15,0))-Pricing_M!$B$13,Assumptions!$B$9/12*(1+Assumptions!$B$10)^INT(A547/12)+Assumptions!$B$12*(1+Assumptions!$B$11)^(INT(A547/12)+1)/12))*J547</f>
        <v>8.34686407862948</v>
      </c>
      <c r="T547" s="32" t="n">
        <f aca="false">T546*(1-F546)*(1-(1-(1-MIN(1,G546*(1+Assumptions!$B$23)))^(1/12)))</f>
        <v>0.00273137059426198</v>
      </c>
      <c r="U547" s="47" t="n">
        <f aca="false">T547*(IF(C547&lt;Assumptions!$B$5,Assumptions!$B$12*(1+Assumptions!$B$11)^(INT(A547/12)+1)/12+Pricing_M!$B$13*IF(A547=0,Assumptions!$B$14*12,IF(A547&gt;=12,Assumptions!$B$15,0))-Pricing_M!$B$13,Assumptions!$B$9/12*(1+Assumptions!$B$10)^INT(A547/12)+Assumptions!$B$12*(1+Assumptions!$B$11)^(INT(A547/12)+1)/12))*J547</f>
        <v>2.1567570317856</v>
      </c>
      <c r="V547" s="32" t="n">
        <f aca="false">V546*(1-F546)*(1-(1-(1-MIN(1,G546*(1-Assumptions!$B$23)))^(1/12)))</f>
        <v>0.00332538346445057</v>
      </c>
      <c r="W547" s="47" t="n">
        <f aca="false">V547*(IF(C547&lt;Assumptions!$B$5,Assumptions!$B$12*(1+Assumptions!$B$11)^(INT(A547/12)+1)/12+Pricing_M!$B$13*IF(A547=0,Assumptions!$B$14*12,IF(A547&gt;=12,Assumptions!$B$15,0))-Pricing_M!$B$13,Assumptions!$B$9/12*(1+Assumptions!$B$10)^INT(A547/12)+Assumptions!$B$12*(1+Assumptions!$B$11)^(INT(A547/12)+1)/12))*J547</f>
        <v>2.62580412390917</v>
      </c>
      <c r="X547" s="47" t="n">
        <f aca="false">I547*(IF(C547&lt;Assumptions!$B$5,Assumptions!$B$12*(1+Assumptions!$B$11)*(1+Assumptions!$B$24)*(1+Assumptions!$B$11+Assumptions!$B$25)^(INT(A547/12))/12+Pricing_M!$B$13*IF(A547=0,Assumptions!$B$14*12,IF(A547&gt;=12,Assumptions!$B$15,0))-Pricing_M!$B$13,Assumptions!$B$9/12*(1+Assumptions!$B$10)^INT(A547/12)+Assumptions!$B$12*(1+Assumptions!$B$11)*(1+Assumptions!$B$24)*(1+Assumptions!$B$11+Assumptions!$B$25)^(INT(A547/12))/12))*J547</f>
        <v>2.39146153436498</v>
      </c>
    </row>
    <row r="548" customFormat="false" ht="15" hidden="false" customHeight="true" outlineLevel="0" collapsed="false">
      <c r="A548" s="1" t="n">
        <v>541</v>
      </c>
      <c r="B548" s="31" t="n">
        <f aca="false">Assumptions!$B$4+A548/12</f>
        <v>110.083333333333</v>
      </c>
      <c r="C548" s="34" t="n">
        <f aca="false">Assumptions!$B$4+INT(A548/12)</f>
        <v>110</v>
      </c>
      <c r="D548" s="34" t="n">
        <f aca="false">INT(A548/12)+1</f>
        <v>46</v>
      </c>
      <c r="E548" s="32" t="n">
        <f aca="false">IFERROR(INDEX(Cohort_Survival!$G$5:$G$65,MATCH(C548,Cohort_Survival!$A$5:$A$65,0)),1)</f>
        <v>0.440590901801861</v>
      </c>
      <c r="F548" s="30" t="n">
        <f aca="false">1-(1-MIN(1,E548))^(1/12)</f>
        <v>0.0472532840759683</v>
      </c>
      <c r="G548" s="39" t="n">
        <f aca="false">IF(C548&lt;Assumptions!$B$5,IF(D548=1,Assumptions!$B$16,IF(D548=2,Assumptions!$B$17,IF(D548&lt;=5,Assumptions!$B$18,Assumptions!$B$19)))*(1-Assumptions!$B$20),0)</f>
        <v>0</v>
      </c>
      <c r="H548" s="30" t="n">
        <f aca="false">1-(1-G548)^(1/12)</f>
        <v>0</v>
      </c>
      <c r="I548" s="30" t="n">
        <f aca="false">I547*(1-F547)*(1-H547)</f>
        <v>0.00287268474858874</v>
      </c>
      <c r="J548" s="30" t="n">
        <f aca="false">INDEX(Discount_Monthly!$G$4:$G$664,MATCH(A548,Discount_Monthly!$A$4:$A$664,0))</f>
        <v>0.24074101196156</v>
      </c>
      <c r="K548" s="30" t="n">
        <f aca="false">IF(C548&lt;Assumptions!$B$5,I548*J548,0)</f>
        <v>0</v>
      </c>
      <c r="L548" s="30" t="n">
        <f aca="false">IF(C548&lt;Assumptions!$B$5,I548*(1-F548)*H548*A548*J548,0)</f>
        <v>0</v>
      </c>
      <c r="M548" s="30" t="n">
        <f aca="false">IF(A548=0,Assumptions!$B$14*12*I548*J548,IF(AND(A548&gt;=12,C548&lt;Assumptions!$B$5),Assumptions!$B$15*I548*J548,0))</f>
        <v>0</v>
      </c>
      <c r="N548" s="47" t="n">
        <f aca="false">IF(C548&gt;=Assumptions!$B$5,I548*Assumptions!$B$9/12*(1+Assumptions!$B$10)^INT(A548/12)*J548,0)</f>
        <v>2.24793897040044</v>
      </c>
      <c r="O548" s="47" t="n">
        <f aca="false">I548*Assumptions!$B$12/12*(1+Assumptions!$B$11)^(INT(A548/12)+1)*J548</f>
        <v>0.0143563685697973</v>
      </c>
      <c r="P548" s="47" t="n">
        <f aca="false">O548+Pricing_M!$B$13*M548+N548-Pricing_M!$B$13*K548</f>
        <v>2.26229533897023</v>
      </c>
      <c r="Q548" s="47" t="n">
        <f aca="false">IF(C548&lt;Assumptions!$B$5,Pricing_M!$B$13*K548-Pricing_M!$B$13*M548-O548,-(N548+O548))</f>
        <v>-2.26229533897023</v>
      </c>
      <c r="R548" s="32" t="n">
        <f aca="false">R547*(1-(1-(1-MIN(1,E547*(1-Assumptions!$B$21)))^(1/12)))*(1-H547)</f>
        <v>0.0101946953929854</v>
      </c>
      <c r="S548" s="47" t="n">
        <f aca="false">R548*(IF(C548&lt;Assumptions!$B$5,Assumptions!$B$12*(1+Assumptions!$B$11)^(INT(A548/12)+1)/12+Pricing_M!$B$13*IF(A548=0,Assumptions!$B$14*12,IF(A548&gt;=12,Assumptions!$B$15,0))-Pricing_M!$B$13,Assumptions!$B$9/12*(1+Assumptions!$B$10)^INT(A548/12)+Assumptions!$B$12*(1+Assumptions!$B$11)^(INT(A548/12)+1)/12))*J548</f>
        <v>8.02852170991003</v>
      </c>
      <c r="T548" s="32" t="n">
        <f aca="false">T547*(1-F547)*(1-(1-(1-MIN(1,G547*(1+Assumptions!$B$23)))^(1/12)))</f>
        <v>0.00260230436365457</v>
      </c>
      <c r="U548" s="47" t="n">
        <f aca="false">T548*(IF(C548&lt;Assumptions!$B$5,Assumptions!$B$12*(1+Assumptions!$B$11)^(INT(A548/12)+1)/12+Pricing_M!$B$13*IF(A548=0,Assumptions!$B$14*12,IF(A548&gt;=12,Assumptions!$B$15,0))-Pricing_M!$B$13,Assumptions!$B$9/12*(1+Assumptions!$B$10)^INT(A548/12)+Assumptions!$B$12*(1+Assumptions!$B$11)^(INT(A548/12)+1)/12))*J548</f>
        <v>2.04936550568934</v>
      </c>
      <c r="V548" s="32" t="n">
        <f aca="false">V547*(1-F547)*(1-(1-(1-MIN(1,G547*(1-Assumptions!$B$23)))^(1/12)))</f>
        <v>0.00316824817494336</v>
      </c>
      <c r="W548" s="47" t="n">
        <f aca="false">V548*(IF(C548&lt;Assumptions!$B$5,Assumptions!$B$12*(1+Assumptions!$B$11)^(INT(A548/12)+1)/12+Pricing_M!$B$13*IF(A548=0,Assumptions!$B$14*12,IF(A548&gt;=12,Assumptions!$B$15,0))-Pricing_M!$B$13,Assumptions!$B$9/12*(1+Assumptions!$B$10)^INT(A548/12)+Assumptions!$B$12*(1+Assumptions!$B$11)^(INT(A548/12)+1)/12))*J548</f>
        <v>2.49505730915878</v>
      </c>
      <c r="X548" s="47" t="n">
        <f aca="false">I548*(IF(C548&lt;Assumptions!$B$5,Assumptions!$B$12*(1+Assumptions!$B$11)*(1+Assumptions!$B$24)*(1+Assumptions!$B$11+Assumptions!$B$25)^(INT(A548/12))/12+Pricing_M!$B$13*IF(A548=0,Assumptions!$B$14*12,IF(A548&gt;=12,Assumptions!$B$15,0))-Pricing_M!$B$13,Assumptions!$B$9/12*(1+Assumptions!$B$10)^INT(A548/12)+Assumptions!$B$12*(1+Assumptions!$B$11)*(1+Assumptions!$B$24)*(1+Assumptions!$B$11+Assumptions!$B$25)^(INT(A548/12))/12))*J548</f>
        <v>2.27238335356345</v>
      </c>
    </row>
    <row r="549" customFormat="false" ht="15" hidden="false" customHeight="true" outlineLevel="0" collapsed="false">
      <c r="A549" s="1" t="n">
        <v>542</v>
      </c>
      <c r="B549" s="31" t="n">
        <f aca="false">Assumptions!$B$4+A549/12</f>
        <v>110.166666666667</v>
      </c>
      <c r="C549" s="34" t="n">
        <f aca="false">Assumptions!$B$4+INT(A549/12)</f>
        <v>110</v>
      </c>
      <c r="D549" s="34" t="n">
        <f aca="false">INT(A549/12)+1</f>
        <v>46</v>
      </c>
      <c r="E549" s="32" t="n">
        <f aca="false">IFERROR(INDEX(Cohort_Survival!$G$5:$G$65,MATCH(C549,Cohort_Survival!$A$5:$A$65,0)),1)</f>
        <v>0.440590901801861</v>
      </c>
      <c r="F549" s="30" t="n">
        <f aca="false">1-(1-MIN(1,E549))^(1/12)</f>
        <v>0.0472532840759683</v>
      </c>
      <c r="G549" s="39" t="n">
        <f aca="false">IF(C549&lt;Assumptions!$B$5,IF(D549=1,Assumptions!$B$16,IF(D549=2,Assumptions!$B$17,IF(D549&lt;=5,Assumptions!$B$18,Assumptions!$B$19)))*(1-Assumptions!$B$20),0)</f>
        <v>0</v>
      </c>
      <c r="H549" s="30" t="n">
        <f aca="false">1-(1-G549)^(1/12)</f>
        <v>0</v>
      </c>
      <c r="I549" s="30" t="n">
        <f aca="false">I548*(1-F548)*(1-H548)</f>
        <v>0.00273694096010298</v>
      </c>
      <c r="J549" s="30" t="n">
        <f aca="false">INDEX(Discount_Monthly!$G$4:$G$664,MATCH(A549,Discount_Monthly!$A$4:$A$664,0))</f>
        <v>0.240099259516099</v>
      </c>
      <c r="K549" s="30" t="n">
        <f aca="false">IF(C549&lt;Assumptions!$B$5,I549*J549,0)</f>
        <v>0</v>
      </c>
      <c r="L549" s="30" t="n">
        <f aca="false">IF(C549&lt;Assumptions!$B$5,I549*(1-F549)*H549*A549*J549,0)</f>
        <v>0</v>
      </c>
      <c r="M549" s="30" t="n">
        <f aca="false">IF(A549=0,Assumptions!$B$14*12*I549*J549,IF(AND(A549&gt;=12,C549&lt;Assumptions!$B$5),Assumptions!$B$15*I549*J549,0))</f>
        <v>0</v>
      </c>
      <c r="N549" s="47" t="n">
        <f aca="false">IF(C549&gt;=Assumptions!$B$5,I549*Assumptions!$B$9/12*(1+Assumptions!$B$10)^INT(A549/12)*J549,0)</f>
        <v>2.13600721682563</v>
      </c>
      <c r="O549" s="47" t="n">
        <f aca="false">I549*Assumptions!$B$12/12*(1+Assumptions!$B$11)^(INT(A549/12)+1)*J549</f>
        <v>0.0136415210894418</v>
      </c>
      <c r="P549" s="47" t="n">
        <f aca="false">O549+Pricing_M!$B$13*M549+N549-Pricing_M!$B$13*K549</f>
        <v>2.14964873791507</v>
      </c>
      <c r="Q549" s="47" t="n">
        <f aca="false">IF(C549&lt;Assumptions!$B$5,Pricing_M!$B$13*K549-Pricing_M!$B$13*M549-O549,-(N549+O549))</f>
        <v>-2.14964873791507</v>
      </c>
      <c r="R549" s="32" t="n">
        <f aca="false">R548*(1-(1-(1-MIN(1,E548*(1-Assumptions!$B$21)))^(1/12)))*(1-H548)</f>
        <v>0.00983208806365273</v>
      </c>
      <c r="S549" s="47" t="n">
        <f aca="false">R549*(IF(C549&lt;Assumptions!$B$5,Assumptions!$B$12*(1+Assumptions!$B$11)^(INT(A549/12)+1)/12+Pricing_M!$B$13*IF(A549=0,Assumptions!$B$14*12,IF(A549&gt;=12,Assumptions!$B$15,0))-Pricing_M!$B$13,Assumptions!$B$9/12*(1+Assumptions!$B$10)^INT(A549/12)+Assumptions!$B$12*(1+Assumptions!$B$11)^(INT(A549/12)+1)/12))*J549</f>
        <v>7.72232065112055</v>
      </c>
      <c r="T549" s="32" t="n">
        <f aca="false">T548*(1-F548)*(1-(1-(1-MIN(1,G548*(1+Assumptions!$B$23)))^(1/12)))</f>
        <v>0.00247933693630667</v>
      </c>
      <c r="U549" s="47" t="n">
        <f aca="false">T549*(IF(C549&lt;Assumptions!$B$5,Assumptions!$B$12*(1+Assumptions!$B$11)^(INT(A549/12)+1)/12+Pricing_M!$B$13*IF(A549=0,Assumptions!$B$14*12,IF(A549&gt;=12,Assumptions!$B$15,0))-Pricing_M!$B$13,Assumptions!$B$9/12*(1+Assumptions!$B$10)^INT(A549/12)+Assumptions!$B$12*(1+Assumptions!$B$11)^(INT(A549/12)+1)/12))*J549</f>
        <v>1.94732133198713</v>
      </c>
      <c r="V549" s="32" t="n">
        <f aca="false">V548*(1-F548)*(1-(1-(1-MIN(1,G548*(1-Assumptions!$B$23)))^(1/12)))</f>
        <v>0.00301853804390959</v>
      </c>
      <c r="W549" s="47" t="n">
        <f aca="false">V549*(IF(C549&lt;Assumptions!$B$5,Assumptions!$B$12*(1+Assumptions!$B$11)^(INT(A549/12)+1)/12+Pricing_M!$B$13*IF(A549=0,Assumptions!$B$14*12,IF(A549&gt;=12,Assumptions!$B$15,0))-Pricing_M!$B$13,Assumptions!$B$9/12*(1+Assumptions!$B$10)^INT(A549/12)+Assumptions!$B$12*(1+Assumptions!$B$11)^(INT(A549/12)+1)/12))*J549</f>
        <v>2.37082077802465</v>
      </c>
      <c r="X549" s="47" t="n">
        <f aca="false">I549*(IF(C549&lt;Assumptions!$B$5,Assumptions!$B$12*(1+Assumptions!$B$11)*(1+Assumptions!$B$24)*(1+Assumptions!$B$11+Assumptions!$B$25)^(INT(A549/12))/12+Pricing_M!$B$13*IF(A549=0,Assumptions!$B$14*12,IF(A549&gt;=12,Assumptions!$B$15,0))-Pricing_M!$B$13,Assumptions!$B$9/12*(1+Assumptions!$B$10)^INT(A549/12)+Assumptions!$B$12*(1+Assumptions!$B$11)*(1+Assumptions!$B$24)*(1+Assumptions!$B$11+Assumptions!$B$25)^(INT(A549/12))/12))*J549</f>
        <v>2.15923443942133</v>
      </c>
    </row>
    <row r="550" customFormat="false" ht="15" hidden="false" customHeight="true" outlineLevel="0" collapsed="false">
      <c r="A550" s="1" t="n">
        <v>543</v>
      </c>
      <c r="B550" s="31" t="n">
        <f aca="false">Assumptions!$B$4+A550/12</f>
        <v>110.25</v>
      </c>
      <c r="C550" s="34" t="n">
        <f aca="false">Assumptions!$B$4+INT(A550/12)</f>
        <v>110</v>
      </c>
      <c r="D550" s="34" t="n">
        <f aca="false">INT(A550/12)+1</f>
        <v>46</v>
      </c>
      <c r="E550" s="32" t="n">
        <f aca="false">IFERROR(INDEX(Cohort_Survival!$G$5:$G$65,MATCH(C550,Cohort_Survival!$A$5:$A$65,0)),1)</f>
        <v>0.440590901801861</v>
      </c>
      <c r="F550" s="30" t="n">
        <f aca="false">1-(1-MIN(1,E550))^(1/12)</f>
        <v>0.0472532840759683</v>
      </c>
      <c r="G550" s="39" t="n">
        <f aca="false">IF(C550&lt;Assumptions!$B$5,IF(D550=1,Assumptions!$B$16,IF(D550=2,Assumptions!$B$17,IF(D550&lt;=5,Assumptions!$B$18,Assumptions!$B$19)))*(1-Assumptions!$B$20),0)</f>
        <v>0</v>
      </c>
      <c r="H550" s="30" t="n">
        <f aca="false">1-(1-G550)^(1/12)</f>
        <v>0</v>
      </c>
      <c r="I550" s="30" t="n">
        <f aca="false">I549*(1-F549)*(1-H549)</f>
        <v>0.00260761151141608</v>
      </c>
      <c r="J550" s="30" t="n">
        <f aca="false">INDEX(Discount_Monthly!$G$4:$G$664,MATCH(A550,Discount_Monthly!$A$4:$A$664,0))</f>
        <v>0.239459217814471</v>
      </c>
      <c r="K550" s="30" t="n">
        <f aca="false">IF(C550&lt;Assumptions!$B$5,I550*J550,0)</f>
        <v>0</v>
      </c>
      <c r="L550" s="30" t="n">
        <f aca="false">IF(C550&lt;Assumptions!$B$5,I550*(1-F550)*H550*A550*J550,0)</f>
        <v>0</v>
      </c>
      <c r="M550" s="30" t="n">
        <f aca="false">IF(A550=0,Assumptions!$B$14*12*I550*J550,IF(AND(A550&gt;=12,C550&lt;Assumptions!$B$5),Assumptions!$B$15*I550*J550,0))</f>
        <v>0</v>
      </c>
      <c r="N550" s="47" t="n">
        <f aca="false">IF(C550&gt;=Assumptions!$B$5,I550*Assumptions!$B$9/12*(1+Assumptions!$B$10)^INT(A550/12)*J550,0)</f>
        <v>2.02964888745108</v>
      </c>
      <c r="O550" s="47" t="n">
        <f aca="false">I550*Assumptions!$B$12/12*(1+Assumptions!$B$11)^(INT(A550/12)+1)*J550</f>
        <v>0.0129622680505139</v>
      </c>
      <c r="P550" s="47" t="n">
        <f aca="false">O550+Pricing_M!$B$13*M550+N550-Pricing_M!$B$13*K550</f>
        <v>2.0426111555016</v>
      </c>
      <c r="Q550" s="47" t="n">
        <f aca="false">IF(C550&lt;Assumptions!$B$5,Pricing_M!$B$13*K550-Pricing_M!$B$13*M550-O550,-(N550+O550))</f>
        <v>-2.0426111555016</v>
      </c>
      <c r="R550" s="32" t="n">
        <f aca="false">R549*(1-(1-(1-MIN(1,E549*(1-Assumptions!$B$21)))^(1/12)))*(1-H549)</f>
        <v>0.00948237803730139</v>
      </c>
      <c r="S550" s="47" t="n">
        <f aca="false">R550*(IF(C550&lt;Assumptions!$B$5,Assumptions!$B$12*(1+Assumptions!$B$11)^(INT(A550/12)+1)/12+Pricing_M!$B$13*IF(A550=0,Assumptions!$B$14*12,IF(A550&gt;=12,Assumptions!$B$15,0))-Pricing_M!$B$13,Assumptions!$B$9/12*(1+Assumptions!$B$10)^INT(A550/12)+Assumptions!$B$12*(1+Assumptions!$B$11)^(INT(A550/12)+1)/12))*J550</f>
        <v>7.42779784292209</v>
      </c>
      <c r="T550" s="32" t="n">
        <f aca="false">T549*(1-F549)*(1-(1-(1-MIN(1,G549*(1+Assumptions!$B$23)))^(1/12)))</f>
        <v>0.00236218012373533</v>
      </c>
      <c r="U550" s="47" t="n">
        <f aca="false">T550*(IF(C550&lt;Assumptions!$B$5,Assumptions!$B$12*(1+Assumptions!$B$11)^(INT(A550/12)+1)/12+Pricing_M!$B$13*IF(A550=0,Assumptions!$B$14*12,IF(A550&gt;=12,Assumptions!$B$15,0))-Pricing_M!$B$13,Assumptions!$B$9/12*(1+Assumptions!$B$10)^INT(A550/12)+Assumptions!$B$12*(1+Assumptions!$B$11)^(INT(A550/12)+1)/12))*J550</f>
        <v>1.85035824965571</v>
      </c>
      <c r="V550" s="32" t="n">
        <f aca="false">V549*(1-F549)*(1-(1-(1-MIN(1,G549*(1-Assumptions!$B$23)))^(1/12)))</f>
        <v>0.00287590220822662</v>
      </c>
      <c r="W550" s="47" t="n">
        <f aca="false">V550*(IF(C550&lt;Assumptions!$B$5,Assumptions!$B$12*(1+Assumptions!$B$11)^(INT(A550/12)+1)/12+Pricing_M!$B$13*IF(A550=0,Assumptions!$B$14*12,IF(A550&gt;=12,Assumptions!$B$15,0))-Pricing_M!$B$13,Assumptions!$B$9/12*(1+Assumptions!$B$10)^INT(A550/12)+Assumptions!$B$12*(1+Assumptions!$B$11)^(INT(A550/12)+1)/12))*J550</f>
        <v>2.25277036358275</v>
      </c>
      <c r="X550" s="47" t="n">
        <f aca="false">I550*(IF(C550&lt;Assumptions!$B$5,Assumptions!$B$12*(1+Assumptions!$B$11)*(1+Assumptions!$B$24)*(1+Assumptions!$B$11+Assumptions!$B$25)^(INT(A550/12))/12+Pricing_M!$B$13*IF(A550=0,Assumptions!$B$14*12,IF(A550&gt;=12,Assumptions!$B$15,0))-Pricing_M!$B$13,Assumptions!$B$9/12*(1+Assumptions!$B$10)^INT(A550/12)+Assumptions!$B$12*(1+Assumptions!$B$11)*(1+Assumptions!$B$24)*(1+Assumptions!$B$11+Assumptions!$B$25)^(INT(A550/12))/12))*J550</f>
        <v>2.05171955562514</v>
      </c>
    </row>
    <row r="551" customFormat="false" ht="15" hidden="false" customHeight="true" outlineLevel="0" collapsed="false">
      <c r="A551" s="1" t="n">
        <v>544</v>
      </c>
      <c r="B551" s="31" t="n">
        <f aca="false">Assumptions!$B$4+A551/12</f>
        <v>110.333333333333</v>
      </c>
      <c r="C551" s="34" t="n">
        <f aca="false">Assumptions!$B$4+INT(A551/12)</f>
        <v>110</v>
      </c>
      <c r="D551" s="34" t="n">
        <f aca="false">INT(A551/12)+1</f>
        <v>46</v>
      </c>
      <c r="E551" s="32" t="n">
        <f aca="false">IFERROR(INDEX(Cohort_Survival!$G$5:$G$65,MATCH(C551,Cohort_Survival!$A$5:$A$65,0)),1)</f>
        <v>0.440590901801861</v>
      </c>
      <c r="F551" s="30" t="n">
        <f aca="false">1-(1-MIN(1,E551))^(1/12)</f>
        <v>0.0472532840759683</v>
      </c>
      <c r="G551" s="39" t="n">
        <f aca="false">IF(C551&lt;Assumptions!$B$5,IF(D551=1,Assumptions!$B$16,IF(D551=2,Assumptions!$B$17,IF(D551&lt;=5,Assumptions!$B$18,Assumptions!$B$19)))*(1-Assumptions!$B$20),0)</f>
        <v>0</v>
      </c>
      <c r="H551" s="30" t="n">
        <f aca="false">1-(1-G551)^(1/12)</f>
        <v>0</v>
      </c>
      <c r="I551" s="30" t="n">
        <f aca="false">I550*(1-F550)*(1-H550)</f>
        <v>0.00248439330390737</v>
      </c>
      <c r="J551" s="30" t="n">
        <f aca="false">INDEX(Discount_Monthly!$G$4:$G$664,MATCH(A551,Discount_Monthly!$A$4:$A$664,0))</f>
        <v>0.238820882296279</v>
      </c>
      <c r="K551" s="30" t="n">
        <f aca="false">IF(C551&lt;Assumptions!$B$5,I551*J551,0)</f>
        <v>0</v>
      </c>
      <c r="L551" s="30" t="n">
        <f aca="false">IF(C551&lt;Assumptions!$B$5,I551*(1-F551)*H551*A551*J551,0)</f>
        <v>0</v>
      </c>
      <c r="M551" s="30" t="n">
        <f aca="false">IF(A551=0,Assumptions!$B$14*12*I551*J551,IF(AND(A551&gt;=12,C551&lt;Assumptions!$B$5),Assumptions!$B$15*I551*J551,0))</f>
        <v>0</v>
      </c>
      <c r="N551" s="47" t="n">
        <f aca="false">IF(C551&gt;=Assumptions!$B$5,I551*Assumptions!$B$9/12*(1+Assumptions!$B$10)^INT(A551/12)*J551,0)</f>
        <v>1.92858646444719</v>
      </c>
      <c r="O551" s="47" t="n">
        <f aca="false">I551*Assumptions!$B$12/12*(1+Assumptions!$B$11)^(INT(A551/12)+1)*J551</f>
        <v>0.0123168370969581</v>
      </c>
      <c r="P551" s="47" t="n">
        <f aca="false">O551+Pricing_M!$B$13*M551+N551-Pricing_M!$B$13*K551</f>
        <v>1.94090330154414</v>
      </c>
      <c r="Q551" s="47" t="n">
        <f aca="false">IF(C551&lt;Assumptions!$B$5,Pricing_M!$B$13*K551-Pricing_M!$B$13*M551-O551,-(N551+O551))</f>
        <v>-1.94090330154414</v>
      </c>
      <c r="R551" s="32" t="n">
        <f aca="false">R550*(1-(1-(1-MIN(1,E550*(1-Assumptions!$B$21)))^(1/12)))*(1-H550)</f>
        <v>0.00914510657961817</v>
      </c>
      <c r="S551" s="47" t="n">
        <f aca="false">R551*(IF(C551&lt;Assumptions!$B$5,Assumptions!$B$12*(1+Assumptions!$B$11)^(INT(A551/12)+1)/12+Pricing_M!$B$13*IF(A551=0,Assumptions!$B$14*12,IF(A551&gt;=12,Assumptions!$B$15,0))-Pricing_M!$B$13,Assumptions!$B$9/12*(1+Assumptions!$B$10)^INT(A551/12)+Assumptions!$B$12*(1+Assumptions!$B$11)^(INT(A551/12)+1)/12))*J551</f>
        <v>7.14450788666905</v>
      </c>
      <c r="T551" s="32" t="n">
        <f aca="false">T550*(1-F550)*(1-(1-(1-MIN(1,G550*(1+Assumptions!$B$23)))^(1/12)))</f>
        <v>0.00225055935530986</v>
      </c>
      <c r="U551" s="47" t="n">
        <f aca="false">T551*(IF(C551&lt;Assumptions!$B$5,Assumptions!$B$12*(1+Assumptions!$B$11)^(INT(A551/12)+1)/12+Pricing_M!$B$13*IF(A551=0,Assumptions!$B$14*12,IF(A551&gt;=12,Assumptions!$B$15,0))-Pricing_M!$B$13,Assumptions!$B$9/12*(1+Assumptions!$B$10)^INT(A551/12)+Assumptions!$B$12*(1+Assumptions!$B$11)^(INT(A551/12)+1)/12))*J551</f>
        <v>1.75822325562218</v>
      </c>
      <c r="V551" s="32" t="n">
        <f aca="false">V550*(1-F550)*(1-(1-(1-MIN(1,G550*(1-Assumptions!$B$23)))^(1/12)))</f>
        <v>0.00274000638420658</v>
      </c>
      <c r="W551" s="47" t="n">
        <f aca="false">V551*(IF(C551&lt;Assumptions!$B$5,Assumptions!$B$12*(1+Assumptions!$B$11)^(INT(A551/12)+1)/12+Pricing_M!$B$13*IF(A551=0,Assumptions!$B$14*12,IF(A551&gt;=12,Assumptions!$B$15,0))-Pricing_M!$B$13,Assumptions!$B$9/12*(1+Assumptions!$B$10)^INT(A551/12)+Assumptions!$B$12*(1+Assumptions!$B$11)^(INT(A551/12)+1)/12))*J551</f>
        <v>2.1405980401712</v>
      </c>
      <c r="X551" s="47" t="n">
        <f aca="false">I551*(IF(C551&lt;Assumptions!$B$5,Assumptions!$B$12*(1+Assumptions!$B$11)*(1+Assumptions!$B$24)*(1+Assumptions!$B$11+Assumptions!$B$25)^(INT(A551/12))/12+Pricing_M!$B$13*IF(A551=0,Assumptions!$B$14*12,IF(A551&gt;=12,Assumptions!$B$15,0))-Pricing_M!$B$13,Assumptions!$B$9/12*(1+Assumptions!$B$10)^INT(A551/12)+Assumptions!$B$12*(1+Assumptions!$B$11)*(1+Assumptions!$B$24)*(1+Assumptions!$B$11+Assumptions!$B$25)^(INT(A551/12))/12))*J551</f>
        <v>1.94955816657998</v>
      </c>
    </row>
    <row r="552" customFormat="false" ht="15" hidden="false" customHeight="true" outlineLevel="0" collapsed="false">
      <c r="A552" s="1" t="n">
        <v>545</v>
      </c>
      <c r="B552" s="31" t="n">
        <f aca="false">Assumptions!$B$4+A552/12</f>
        <v>110.416666666667</v>
      </c>
      <c r="C552" s="34" t="n">
        <f aca="false">Assumptions!$B$4+INT(A552/12)</f>
        <v>110</v>
      </c>
      <c r="D552" s="34" t="n">
        <f aca="false">INT(A552/12)+1</f>
        <v>46</v>
      </c>
      <c r="E552" s="32" t="n">
        <f aca="false">IFERROR(INDEX(Cohort_Survival!$G$5:$G$65,MATCH(C552,Cohort_Survival!$A$5:$A$65,0)),1)</f>
        <v>0.440590901801861</v>
      </c>
      <c r="F552" s="30" t="n">
        <f aca="false">1-(1-MIN(1,E552))^(1/12)</f>
        <v>0.0472532840759683</v>
      </c>
      <c r="G552" s="39" t="n">
        <f aca="false">IF(C552&lt;Assumptions!$B$5,IF(D552=1,Assumptions!$B$16,IF(D552=2,Assumptions!$B$17,IF(D552&lt;=5,Assumptions!$B$18,Assumptions!$B$19)))*(1-Assumptions!$B$20),0)</f>
        <v>0</v>
      </c>
      <c r="H552" s="30" t="n">
        <f aca="false">1-(1-G552)^(1/12)</f>
        <v>0</v>
      </c>
      <c r="I552" s="30" t="n">
        <f aca="false">I551*(1-F551)*(1-H551)</f>
        <v>0.0023669975613614</v>
      </c>
      <c r="J552" s="30" t="n">
        <f aca="false">INDEX(Discount_Monthly!$G$4:$G$664,MATCH(A552,Discount_Monthly!$A$4:$A$664,0))</f>
        <v>0.238184248413286</v>
      </c>
      <c r="K552" s="30" t="n">
        <f aca="false">IF(C552&lt;Assumptions!$B$5,I552*J552,0)</f>
        <v>0</v>
      </c>
      <c r="L552" s="30" t="n">
        <f aca="false">IF(C552&lt;Assumptions!$B$5,I552*(1-F552)*H552*A552*J552,0)</f>
        <v>0</v>
      </c>
      <c r="M552" s="30" t="n">
        <f aca="false">IF(A552=0,Assumptions!$B$14*12*I552*J552,IF(AND(A552&gt;=12,C552&lt;Assumptions!$B$5),Assumptions!$B$15*I552*J552,0))</f>
        <v>0</v>
      </c>
      <c r="N552" s="47" t="n">
        <f aca="false">IF(C552&gt;=Assumptions!$B$5,I552*Assumptions!$B$9/12*(1+Assumptions!$B$10)^INT(A552/12)*J552,0)</f>
        <v>1.83255624844548</v>
      </c>
      <c r="O552" s="47" t="n">
        <f aca="false">I552*Assumptions!$B$12/12*(1+Assumptions!$B$11)^(INT(A552/12)+1)*J552</f>
        <v>0.0117035441237454</v>
      </c>
      <c r="P552" s="47" t="n">
        <f aca="false">O552+Pricing_M!$B$13*M552+N552-Pricing_M!$B$13*K552</f>
        <v>1.84425979256922</v>
      </c>
      <c r="Q552" s="47" t="n">
        <f aca="false">IF(C552&lt;Assumptions!$B$5,Pricing_M!$B$13*K552-Pricing_M!$B$13*M552-O552,-(N552+O552))</f>
        <v>-1.84425979256922</v>
      </c>
      <c r="R552" s="32" t="n">
        <f aca="false">R551*(1-(1-(1-MIN(1,E551*(1-Assumptions!$B$21)))^(1/12)))*(1-H551)</f>
        <v>0.00881983127266004</v>
      </c>
      <c r="S552" s="47" t="n">
        <f aca="false">R552*(IF(C552&lt;Assumptions!$B$5,Assumptions!$B$12*(1+Assumptions!$B$11)^(INT(A552/12)+1)/12+Pricing_M!$B$13*IF(A552=0,Assumptions!$B$14*12,IF(A552&gt;=12,Assumptions!$B$15,0))-Pricing_M!$B$13,Assumptions!$B$9/12*(1+Assumptions!$B$10)^INT(A552/12)+Assumptions!$B$12*(1+Assumptions!$B$11)^(INT(A552/12)+1)/12))*J552</f>
        <v>6.87202237084519</v>
      </c>
      <c r="T552" s="32" t="n">
        <f aca="false">T551*(1-F551)*(1-(1-(1-MIN(1,G551*(1+Assumptions!$B$23)))^(1/12)))</f>
        <v>0.00214421303476357</v>
      </c>
      <c r="U552" s="47" t="n">
        <f aca="false">T552*(IF(C552&lt;Assumptions!$B$5,Assumptions!$B$12*(1+Assumptions!$B$11)^(INT(A552/12)+1)/12+Pricing_M!$B$13*IF(A552=0,Assumptions!$B$14*12,IF(A552&gt;=12,Assumptions!$B$15,0))-Pricing_M!$B$13,Assumptions!$B$9/12*(1+Assumptions!$B$10)^INT(A552/12)+Assumptions!$B$12*(1+Assumptions!$B$11)^(INT(A552/12)+1)/12))*J552</f>
        <v>1.67067594461011</v>
      </c>
      <c r="V552" s="32" t="n">
        <f aca="false">V551*(1-F551)*(1-(1-(1-MIN(1,G551*(1-Assumptions!$B$23)))^(1/12)))</f>
        <v>0.0026105320841637</v>
      </c>
      <c r="W552" s="47" t="n">
        <f aca="false">V552*(IF(C552&lt;Assumptions!$B$5,Assumptions!$B$12*(1+Assumptions!$B$11)^(INT(A552/12)+1)/12+Pricing_M!$B$13*IF(A552=0,Assumptions!$B$14*12,IF(A552&gt;=12,Assumptions!$B$15,0))-Pricing_M!$B$13,Assumptions!$B$9/12*(1+Assumptions!$B$10)^INT(A552/12)+Assumptions!$B$12*(1+Assumptions!$B$11)^(INT(A552/12)+1)/12))*J552</f>
        <v>2.03401111966754</v>
      </c>
      <c r="X552" s="47" t="n">
        <f aca="false">I552*(IF(C552&lt;Assumptions!$B$5,Assumptions!$B$12*(1+Assumptions!$B$11)*(1+Assumptions!$B$24)*(1+Assumptions!$B$11+Assumptions!$B$25)^(INT(A552/12))/12+Pricing_M!$B$13*IF(A552=0,Assumptions!$B$14*12,IF(A552&gt;=12,Assumptions!$B$15,0))-Pricing_M!$B$13,Assumptions!$B$9/12*(1+Assumptions!$B$10)^INT(A552/12)+Assumptions!$B$12*(1+Assumptions!$B$11)*(1+Assumptions!$B$24)*(1+Assumptions!$B$11+Assumptions!$B$25)^(INT(A552/12))/12))*J552</f>
        <v>1.85248370541589</v>
      </c>
    </row>
    <row r="553" customFormat="false" ht="15" hidden="false" customHeight="true" outlineLevel="0" collapsed="false">
      <c r="A553" s="1" t="n">
        <v>546</v>
      </c>
      <c r="B553" s="31" t="n">
        <f aca="false">Assumptions!$B$4+A553/12</f>
        <v>110.5</v>
      </c>
      <c r="C553" s="34" t="n">
        <f aca="false">Assumptions!$B$4+INT(A553/12)</f>
        <v>110</v>
      </c>
      <c r="D553" s="34" t="n">
        <f aca="false">INT(A553/12)+1</f>
        <v>46</v>
      </c>
      <c r="E553" s="32" t="n">
        <f aca="false">IFERROR(INDEX(Cohort_Survival!$G$5:$G$65,MATCH(C553,Cohort_Survival!$A$5:$A$65,0)),1)</f>
        <v>0.440590901801861</v>
      </c>
      <c r="F553" s="30" t="n">
        <f aca="false">1-(1-MIN(1,E553))^(1/12)</f>
        <v>0.0472532840759683</v>
      </c>
      <c r="G553" s="39" t="n">
        <f aca="false">IF(C553&lt;Assumptions!$B$5,IF(D553=1,Assumptions!$B$16,IF(D553=2,Assumptions!$B$17,IF(D553&lt;=5,Assumptions!$B$18,Assumptions!$B$19)))*(1-Assumptions!$B$20),0)</f>
        <v>0</v>
      </c>
      <c r="H553" s="30" t="n">
        <f aca="false">1-(1-G553)^(1/12)</f>
        <v>0</v>
      </c>
      <c r="I553" s="30" t="n">
        <f aca="false">I552*(1-F552)*(1-H552)</f>
        <v>0.00225514915318727</v>
      </c>
      <c r="J553" s="30" t="n">
        <f aca="false">INDEX(Discount_Monthly!$G$4:$G$664,MATCH(A553,Discount_Monthly!$A$4:$A$664,0))</f>
        <v>0.237549311629379</v>
      </c>
      <c r="K553" s="30" t="n">
        <f aca="false">IF(C553&lt;Assumptions!$B$5,I553*J553,0)</f>
        <v>0</v>
      </c>
      <c r="L553" s="30" t="n">
        <f aca="false">IF(C553&lt;Assumptions!$B$5,I553*(1-F553)*H553*A553*J553,0)</f>
        <v>0</v>
      </c>
      <c r="M553" s="30" t="n">
        <f aca="false">IF(A553=0,Assumptions!$B$14*12*I553*J553,IF(AND(A553&gt;=12,C553&lt;Assumptions!$B$5),Assumptions!$B$15*I553*J553,0))</f>
        <v>0</v>
      </c>
      <c r="N553" s="47" t="n">
        <f aca="false">IF(C553&gt;=Assumptions!$B$5,I553*Assumptions!$B$9/12*(1+Assumptions!$B$10)^INT(A553/12)*J553,0)</f>
        <v>1.74130767047522</v>
      </c>
      <c r="O553" s="47" t="n">
        <f aca="false">I553*Assumptions!$B$12/12*(1+Assumptions!$B$11)^(INT(A553/12)+1)*J553</f>
        <v>0.0111207888825844</v>
      </c>
      <c r="P553" s="47" t="n">
        <f aca="false">O553+Pricing_M!$B$13*M553+N553-Pricing_M!$B$13*K553</f>
        <v>1.7524284593578</v>
      </c>
      <c r="Q553" s="47" t="n">
        <f aca="false">IF(C553&lt;Assumptions!$B$5,Pricing_M!$B$13*K553-Pricing_M!$B$13*M553-O553,-(N553+O553))</f>
        <v>-1.7524284593578</v>
      </c>
      <c r="R553" s="32" t="n">
        <f aca="false">R552*(1-(1-(1-MIN(1,E552*(1-Assumptions!$B$21)))^(1/12)))*(1-H552)</f>
        <v>0.00850612543450968</v>
      </c>
      <c r="S553" s="47" t="n">
        <f aca="false">R553*(IF(C553&lt;Assumptions!$B$5,Assumptions!$B$12*(1+Assumptions!$B$11)^(INT(A553/12)+1)/12+Pricing_M!$B$13*IF(A553=0,Assumptions!$B$14*12,IF(A553&gt;=12,Assumptions!$B$15,0))-Pricing_M!$B$13,Assumptions!$B$9/12*(1+Assumptions!$B$10)^INT(A553/12)+Assumptions!$B$12*(1+Assumptions!$B$11)^(INT(A553/12)+1)/12))*J553</f>
        <v>6.60992922318881</v>
      </c>
      <c r="T553" s="32" t="n">
        <f aca="false">T552*(1-F552)*(1-(1-(1-MIN(1,G552*(1+Assumptions!$B$23)))^(1/12)))</f>
        <v>0.0020428919271125</v>
      </c>
      <c r="U553" s="47" t="n">
        <f aca="false">T553*(IF(C553&lt;Assumptions!$B$5,Assumptions!$B$12*(1+Assumptions!$B$11)^(INT(A553/12)+1)/12+Pricing_M!$B$13*IF(A553=0,Assumptions!$B$14*12,IF(A553&gt;=12,Assumptions!$B$15,0))-Pricing_M!$B$13,Assumptions!$B$9/12*(1+Assumptions!$B$10)^INT(A553/12)+Assumptions!$B$12*(1+Assumptions!$B$11)^(INT(A553/12)+1)/12))*J553</f>
        <v>1.58748788185673</v>
      </c>
      <c r="V553" s="32" t="n">
        <f aca="false">V552*(1-F552)*(1-(1-(1-MIN(1,G552*(1-Assumptions!$B$23)))^(1/12)))</f>
        <v>0.00248717587000128</v>
      </c>
      <c r="W553" s="47" t="n">
        <f aca="false">V553*(IF(C553&lt;Assumptions!$B$5,Assumptions!$B$12*(1+Assumptions!$B$11)^(INT(A553/12)+1)/12+Pricing_M!$B$13*IF(A553=0,Assumptions!$B$14*12,IF(A553&gt;=12,Assumptions!$B$15,0))-Pricing_M!$B$13,Assumptions!$B$9/12*(1+Assumptions!$B$10)^INT(A553/12)+Assumptions!$B$12*(1+Assumptions!$B$11)^(INT(A553/12)+1)/12))*J553</f>
        <v>1.93273148778568</v>
      </c>
      <c r="X553" s="47" t="n">
        <f aca="false">I553*(IF(C553&lt;Assumptions!$B$5,Assumptions!$B$12*(1+Assumptions!$B$11)*(1+Assumptions!$B$24)*(1+Assumptions!$B$11+Assumptions!$B$25)^(INT(A553/12))/12+Pricing_M!$B$13*IF(A553=0,Assumptions!$B$14*12,IF(A553&gt;=12,Assumptions!$B$15,0))-Pricing_M!$B$13,Assumptions!$B$9/12*(1+Assumptions!$B$10)^INT(A553/12)+Assumptions!$B$12*(1+Assumptions!$B$11)*(1+Assumptions!$B$24)*(1+Assumptions!$B$11+Assumptions!$B$25)^(INT(A553/12))/12))*J553</f>
        <v>1.76024287844228</v>
      </c>
    </row>
    <row r="554" customFormat="false" ht="15" hidden="false" customHeight="true" outlineLevel="0" collapsed="false">
      <c r="A554" s="1" t="n">
        <v>547</v>
      </c>
      <c r="B554" s="31" t="n">
        <f aca="false">Assumptions!$B$4+A554/12</f>
        <v>110.583333333333</v>
      </c>
      <c r="C554" s="34" t="n">
        <f aca="false">Assumptions!$B$4+INT(A554/12)</f>
        <v>110</v>
      </c>
      <c r="D554" s="34" t="n">
        <f aca="false">INT(A554/12)+1</f>
        <v>46</v>
      </c>
      <c r="E554" s="32" t="n">
        <f aca="false">IFERROR(INDEX(Cohort_Survival!$G$5:$G$65,MATCH(C554,Cohort_Survival!$A$5:$A$65,0)),1)</f>
        <v>0.440590901801861</v>
      </c>
      <c r="F554" s="30" t="n">
        <f aca="false">1-(1-MIN(1,E554))^(1/12)</f>
        <v>0.0472532840759683</v>
      </c>
      <c r="G554" s="39" t="n">
        <f aca="false">IF(C554&lt;Assumptions!$B$5,IF(D554=1,Assumptions!$B$16,IF(D554=2,Assumptions!$B$17,IF(D554&lt;=5,Assumptions!$B$18,Assumptions!$B$19)))*(1-Assumptions!$B$20),0)</f>
        <v>0</v>
      </c>
      <c r="H554" s="30" t="n">
        <f aca="false">1-(1-G554)^(1/12)</f>
        <v>0</v>
      </c>
      <c r="I554" s="30" t="n">
        <f aca="false">I553*(1-F553)*(1-H553)</f>
        <v>0.00214858594961803</v>
      </c>
      <c r="J554" s="30" t="n">
        <f aca="false">INDEX(Discount_Monthly!$G$4:$G$664,MATCH(A554,Discount_Monthly!$A$4:$A$664,0))</f>
        <v>0.236916067420537</v>
      </c>
      <c r="K554" s="30" t="n">
        <f aca="false">IF(C554&lt;Assumptions!$B$5,I554*J554,0)</f>
        <v>0</v>
      </c>
      <c r="L554" s="30" t="n">
        <f aca="false">IF(C554&lt;Assumptions!$B$5,I554*(1-F554)*H554*A554*J554,0)</f>
        <v>0</v>
      </c>
      <c r="M554" s="30" t="n">
        <f aca="false">IF(A554=0,Assumptions!$B$14*12*I554*J554,IF(AND(A554&gt;=12,C554&lt;Assumptions!$B$5),Assumptions!$B$15*I554*J554,0))</f>
        <v>0</v>
      </c>
      <c r="N554" s="47" t="n">
        <f aca="false">IF(C554&gt;=Assumptions!$B$5,I554*Assumptions!$B$9/12*(1+Assumptions!$B$10)^INT(A554/12)*J554,0)</f>
        <v>1.65460263816074</v>
      </c>
      <c r="O554" s="47" t="n">
        <f aca="false">I554*Assumptions!$B$12/12*(1+Assumptions!$B$11)^(INT(A554/12)+1)*J554</f>
        <v>0.0105670508064385</v>
      </c>
      <c r="P554" s="47" t="n">
        <f aca="false">O554+Pricing_M!$B$13*M554+N554-Pricing_M!$B$13*K554</f>
        <v>1.66516968896718</v>
      </c>
      <c r="Q554" s="47" t="n">
        <f aca="false">IF(C554&lt;Assumptions!$B$5,Pricing_M!$B$13*K554-Pricing_M!$B$13*M554-O554,-(N554+O554))</f>
        <v>-1.66516968896718</v>
      </c>
      <c r="R554" s="32" t="n">
        <f aca="false">R553*(1-(1-(1-MIN(1,E553*(1-Assumptions!$B$21)))^(1/12)))*(1-H553)</f>
        <v>0.00820357755957283</v>
      </c>
      <c r="S554" s="47" t="n">
        <f aca="false">R554*(IF(C554&lt;Assumptions!$B$5,Assumptions!$B$12*(1+Assumptions!$B$11)^(INT(A554/12)+1)/12+Pricing_M!$B$13*IF(A554=0,Assumptions!$B$14*12,IF(A554&gt;=12,Assumptions!$B$15,0))-Pricing_M!$B$13,Assumptions!$B$9/12*(1+Assumptions!$B$10)^INT(A554/12)+Assumptions!$B$12*(1+Assumptions!$B$11)^(INT(A554/12)+1)/12))*J554</f>
        <v>6.35783208752738</v>
      </c>
      <c r="T554" s="32" t="n">
        <f aca="false">T553*(1-F553)*(1-(1-(1-MIN(1,G553*(1+Assumptions!$B$23)))^(1/12)))</f>
        <v>0.00194635857454415</v>
      </c>
      <c r="U554" s="47" t="n">
        <f aca="false">T554*(IF(C554&lt;Assumptions!$B$5,Assumptions!$B$12*(1+Assumptions!$B$11)^(INT(A554/12)+1)/12+Pricing_M!$B$13*IF(A554=0,Assumptions!$B$14*12,IF(A554&gt;=12,Assumptions!$B$15,0))-Pricing_M!$B$13,Assumptions!$B$9/12*(1+Assumptions!$B$10)^INT(A554/12)+Assumptions!$B$12*(1+Assumptions!$B$11)^(INT(A554/12)+1)/12))*J554</f>
        <v>1.50844200706444</v>
      </c>
      <c r="V554" s="32" t="n">
        <f aca="false">V553*(1-F553)*(1-(1-(1-MIN(1,G553*(1-Assumptions!$B$23)))^(1/12)))</f>
        <v>0.00236964864206922</v>
      </c>
      <c r="W554" s="47" t="n">
        <f aca="false">V554*(IF(C554&lt;Assumptions!$B$5,Assumptions!$B$12*(1+Assumptions!$B$11)^(INT(A554/12)+1)/12+Pricing_M!$B$13*IF(A554=0,Assumptions!$B$14*12,IF(A554&gt;=12,Assumptions!$B$15,0))-Pricing_M!$B$13,Assumptions!$B$9/12*(1+Assumptions!$B$10)^INT(A554/12)+Assumptions!$B$12*(1+Assumptions!$B$11)^(INT(A554/12)+1)/12))*J554</f>
        <v>1.83649487840008</v>
      </c>
      <c r="X554" s="47" t="n">
        <f aca="false">I554*(IF(C554&lt;Assumptions!$B$5,Assumptions!$B$12*(1+Assumptions!$B$11)*(1+Assumptions!$B$24)*(1+Assumptions!$B$11+Assumptions!$B$25)^(INT(A554/12))/12+Pricing_M!$B$13*IF(A554=0,Assumptions!$B$14*12,IF(A554&gt;=12,Assumptions!$B$15,0))-Pricing_M!$B$13,Assumptions!$B$9/12*(1+Assumptions!$B$10)^INT(A554/12)+Assumptions!$B$12*(1+Assumptions!$B$11)*(1+Assumptions!$B$24)*(1+Assumptions!$B$11+Assumptions!$B$25)^(INT(A554/12))/12))*J554</f>
        <v>1.67259500423575</v>
      </c>
    </row>
    <row r="555" customFormat="false" ht="15" hidden="false" customHeight="true" outlineLevel="0" collapsed="false">
      <c r="A555" s="1" t="n">
        <v>548</v>
      </c>
      <c r="B555" s="31" t="n">
        <f aca="false">Assumptions!$B$4+A555/12</f>
        <v>110.666666666667</v>
      </c>
      <c r="C555" s="34" t="n">
        <f aca="false">Assumptions!$B$4+INT(A555/12)</f>
        <v>110</v>
      </c>
      <c r="D555" s="34" t="n">
        <f aca="false">INT(A555/12)+1</f>
        <v>46</v>
      </c>
      <c r="E555" s="32" t="n">
        <f aca="false">IFERROR(INDEX(Cohort_Survival!$G$5:$G$65,MATCH(C555,Cohort_Survival!$A$5:$A$65,0)),1)</f>
        <v>0.440590901801861</v>
      </c>
      <c r="F555" s="30" t="n">
        <f aca="false">1-(1-MIN(1,E555))^(1/12)</f>
        <v>0.0472532840759683</v>
      </c>
      <c r="G555" s="39" t="n">
        <f aca="false">IF(C555&lt;Assumptions!$B$5,IF(D555=1,Assumptions!$B$16,IF(D555=2,Assumptions!$B$17,IF(D555&lt;=5,Assumptions!$B$18,Assumptions!$B$19)))*(1-Assumptions!$B$20),0)</f>
        <v>0</v>
      </c>
      <c r="H555" s="30" t="n">
        <f aca="false">1-(1-G555)^(1/12)</f>
        <v>0</v>
      </c>
      <c r="I555" s="30" t="n">
        <f aca="false">I554*(1-F554)*(1-H554)</f>
        <v>0.0020470582073791</v>
      </c>
      <c r="J555" s="30" t="n">
        <f aca="false">INDEX(Discount_Monthly!$G$4:$G$664,MATCH(A555,Discount_Monthly!$A$4:$A$664,0))</f>
        <v>0.236284511274797</v>
      </c>
      <c r="K555" s="30" t="n">
        <f aca="false">IF(C555&lt;Assumptions!$B$5,I555*J555,0)</f>
        <v>0</v>
      </c>
      <c r="L555" s="30" t="n">
        <f aca="false">IF(C555&lt;Assumptions!$B$5,I555*(1-F555)*H555*A555*J555,0)</f>
        <v>0</v>
      </c>
      <c r="M555" s="30" t="n">
        <f aca="false">IF(A555=0,Assumptions!$B$14*12*I555*J555,IF(AND(A555&gt;=12,C555&lt;Assumptions!$B$5),Assumptions!$B$15*I555*J555,0))</f>
        <v>0</v>
      </c>
      <c r="N555" s="47" t="n">
        <f aca="false">IF(C555&gt;=Assumptions!$B$5,I555*Assumptions!$B$9/12*(1+Assumptions!$B$10)^INT(A555/12)*J555,0)</f>
        <v>1.57221491447363</v>
      </c>
      <c r="O555" s="47" t="n">
        <f aca="false">I555*Assumptions!$B$12/12*(1+Assumptions!$B$11)^(INT(A555/12)+1)*J555</f>
        <v>0.0100408850419524</v>
      </c>
      <c r="P555" s="47" t="n">
        <f aca="false">O555+Pricing_M!$B$13*M555+N555-Pricing_M!$B$13*K555</f>
        <v>1.58225579951558</v>
      </c>
      <c r="Q555" s="47" t="n">
        <f aca="false">IF(C555&lt;Assumptions!$B$5,Pricing_M!$B$13*K555-Pricing_M!$B$13*M555-O555,-(N555+O555))</f>
        <v>-1.58225579951558</v>
      </c>
      <c r="R555" s="32" t="n">
        <f aca="false">R554*(1-(1-(1-MIN(1,E554*(1-Assumptions!$B$21)))^(1/12)))*(1-H554)</f>
        <v>0.00791179077878319</v>
      </c>
      <c r="S555" s="47" t="n">
        <f aca="false">R555*(IF(C555&lt;Assumptions!$B$5,Assumptions!$B$12*(1+Assumptions!$B$11)^(INT(A555/12)+1)/12+Pricing_M!$B$13*IF(A555=0,Assumptions!$B$14*12,IF(A555&gt;=12,Assumptions!$B$15,0))-Pricing_M!$B$13,Assumptions!$B$9/12*(1+Assumptions!$B$10)^INT(A555/12)+Assumptions!$B$12*(1+Assumptions!$B$11)^(INT(A555/12)+1)/12))*J555</f>
        <v>6.11534972437905</v>
      </c>
      <c r="T555" s="32" t="n">
        <f aca="false">T554*(1-F554)*(1-(1-(1-MIN(1,G554*(1+Assumptions!$B$23)))^(1/12)))</f>
        <v>0.00185438673990752</v>
      </c>
      <c r="U555" s="47" t="n">
        <f aca="false">T555*(IF(C555&lt;Assumptions!$B$5,Assumptions!$B$12*(1+Assumptions!$B$11)^(INT(A555/12)+1)/12+Pricing_M!$B$13*IF(A555=0,Assumptions!$B$14*12,IF(A555&gt;=12,Assumptions!$B$15,0))-Pricing_M!$B$13,Assumptions!$B$9/12*(1+Assumptions!$B$10)^INT(A555/12)+Assumptions!$B$12*(1+Assumptions!$B$11)^(INT(A555/12)+1)/12))*J555</f>
        <v>1.43333206803147</v>
      </c>
      <c r="V555" s="32" t="n">
        <f aca="false">V554*(1-F554)*(1-(1-(1-MIN(1,G554*(1-Assumptions!$B$23)))^(1/12)))</f>
        <v>0.00225767496162529</v>
      </c>
      <c r="W555" s="47" t="n">
        <f aca="false">V555*(IF(C555&lt;Assumptions!$B$5,Assumptions!$B$12*(1+Assumptions!$B$11)^(INT(A555/12)+1)/12+Pricing_M!$B$13*IF(A555=0,Assumptions!$B$14*12,IF(A555&gt;=12,Assumptions!$B$15,0))-Pricing_M!$B$13,Assumptions!$B$9/12*(1+Assumptions!$B$10)^INT(A555/12)+Assumptions!$B$12*(1+Assumptions!$B$11)^(INT(A555/12)+1)/12))*J555</f>
        <v>1.74505018400349</v>
      </c>
      <c r="X555" s="47" t="n">
        <f aca="false">I555*(IF(C555&lt;Assumptions!$B$5,Assumptions!$B$12*(1+Assumptions!$B$11)*(1+Assumptions!$B$24)*(1+Assumptions!$B$11+Assumptions!$B$25)^(INT(A555/12))/12+Pricing_M!$B$13*IF(A555=0,Assumptions!$B$14*12,IF(A555&gt;=12,Assumptions!$B$15,0))-Pricing_M!$B$13,Assumptions!$B$9/12*(1+Assumptions!$B$10)^INT(A555/12)+Assumptions!$B$12*(1+Assumptions!$B$11)*(1+Assumptions!$B$24)*(1+Assumptions!$B$11+Assumptions!$B$25)^(INT(A555/12))/12))*J555</f>
        <v>1.58931138563679</v>
      </c>
    </row>
    <row r="556" customFormat="false" ht="15" hidden="false" customHeight="true" outlineLevel="0" collapsed="false">
      <c r="A556" s="1" t="n">
        <v>549</v>
      </c>
      <c r="B556" s="31" t="n">
        <f aca="false">Assumptions!$B$4+A556/12</f>
        <v>110.75</v>
      </c>
      <c r="C556" s="34" t="n">
        <f aca="false">Assumptions!$B$4+INT(A556/12)</f>
        <v>110</v>
      </c>
      <c r="D556" s="34" t="n">
        <f aca="false">INT(A556/12)+1</f>
        <v>46</v>
      </c>
      <c r="E556" s="32" t="n">
        <f aca="false">IFERROR(INDEX(Cohort_Survival!$G$5:$G$65,MATCH(C556,Cohort_Survival!$A$5:$A$65,0)),1)</f>
        <v>0.440590901801861</v>
      </c>
      <c r="F556" s="30" t="n">
        <f aca="false">1-(1-MIN(1,E556))^(1/12)</f>
        <v>0.0472532840759683</v>
      </c>
      <c r="G556" s="39" t="n">
        <f aca="false">IF(C556&lt;Assumptions!$B$5,IF(D556=1,Assumptions!$B$16,IF(D556=2,Assumptions!$B$17,IF(D556&lt;=5,Assumptions!$B$18,Assumptions!$B$19)))*(1-Assumptions!$B$20),0)</f>
        <v>0</v>
      </c>
      <c r="H556" s="30" t="n">
        <f aca="false">1-(1-G556)^(1/12)</f>
        <v>0</v>
      </c>
      <c r="I556" s="30" t="n">
        <f aca="false">I555*(1-F555)*(1-H555)</f>
        <v>0.00195032798438577</v>
      </c>
      <c r="J556" s="30" t="n">
        <f aca="false">INDEX(Discount_Monthly!$G$4:$G$664,MATCH(A556,Discount_Monthly!$A$4:$A$664,0))</f>
        <v>0.235654638692225</v>
      </c>
      <c r="K556" s="30" t="n">
        <f aca="false">IF(C556&lt;Assumptions!$B$5,I556*J556,0)</f>
        <v>0</v>
      </c>
      <c r="L556" s="30" t="n">
        <f aca="false">IF(C556&lt;Assumptions!$B$5,I556*(1-F556)*H556*A556*J556,0)</f>
        <v>0</v>
      </c>
      <c r="M556" s="30" t="n">
        <f aca="false">IF(A556=0,Assumptions!$B$14*12*I556*J556,IF(AND(A556&gt;=12,C556&lt;Assumptions!$B$5),Assumptions!$B$15*I556*J556,0))</f>
        <v>0</v>
      </c>
      <c r="N556" s="47" t="n">
        <f aca="false">IF(C556&gt;=Assumptions!$B$5,I556*Assumptions!$B$9/12*(1+Assumptions!$B$10)^INT(A556/12)*J556,0)</f>
        <v>1.49392952741877</v>
      </c>
      <c r="O556" s="47" t="n">
        <f aca="false">I556*Assumptions!$B$12/12*(1+Assumptions!$B$11)^(INT(A556/12)+1)*J556</f>
        <v>0.00954091867943658</v>
      </c>
      <c r="P556" s="47" t="n">
        <f aca="false">O556+Pricing_M!$B$13*M556+N556-Pricing_M!$B$13*K556</f>
        <v>1.50347044609821</v>
      </c>
      <c r="Q556" s="47" t="n">
        <f aca="false">IF(C556&lt;Assumptions!$B$5,Pricing_M!$B$13*K556-Pricing_M!$B$13*M556-O556,-(N556+O556))</f>
        <v>-1.50347044609821</v>
      </c>
      <c r="R556" s="32" t="n">
        <f aca="false">R555*(1-(1-(1-MIN(1,E555*(1-Assumptions!$B$21)))^(1/12)))*(1-H555)</f>
        <v>0.00763038233900701</v>
      </c>
      <c r="S556" s="47" t="n">
        <f aca="false">R556*(IF(C556&lt;Assumptions!$B$5,Assumptions!$B$12*(1+Assumptions!$B$11)^(INT(A556/12)+1)/12+Pricing_M!$B$13*IF(A556=0,Assumptions!$B$14*12,IF(A556&gt;=12,Assumptions!$B$15,0))-Pricing_M!$B$13,Assumptions!$B$9/12*(1+Assumptions!$B$10)^INT(A556/12)+Assumptions!$B$12*(1+Assumptions!$B$11)^(INT(A556/12)+1)/12))*J556</f>
        <v>5.88211543441487</v>
      </c>
      <c r="T556" s="32" t="n">
        <f aca="false">T555*(1-F555)*(1-(1-(1-MIN(1,G555*(1+Assumptions!$B$23)))^(1/12)))</f>
        <v>0.00176676087649996</v>
      </c>
      <c r="U556" s="47" t="n">
        <f aca="false">T556*(IF(C556&lt;Assumptions!$B$5,Assumptions!$B$12*(1+Assumptions!$B$11)^(INT(A556/12)+1)/12+Pricing_M!$B$13*IF(A556=0,Assumptions!$B$14*12,IF(A556&gt;=12,Assumptions!$B$15,0))-Pricing_M!$B$13,Assumptions!$B$9/12*(1+Assumptions!$B$10)^INT(A556/12)+Assumptions!$B$12*(1+Assumptions!$B$11)^(INT(A556/12)+1)/12))*J556</f>
        <v>1.36196208248369</v>
      </c>
      <c r="V556" s="32" t="n">
        <f aca="false">V555*(1-F555)*(1-(1-(1-MIN(1,G555*(1-Assumptions!$B$23)))^(1/12)))</f>
        <v>0.00215099240531241</v>
      </c>
      <c r="W556" s="47" t="n">
        <f aca="false">V556*(IF(C556&lt;Assumptions!$B$5,Assumptions!$B$12*(1+Assumptions!$B$11)^(INT(A556/12)+1)/12+Pricing_M!$B$13*IF(A556=0,Assumptions!$B$14*12,IF(A556&gt;=12,Assumptions!$B$15,0))-Pricing_M!$B$13,Assumptions!$B$9/12*(1+Assumptions!$B$10)^INT(A556/12)+Assumptions!$B$12*(1+Assumptions!$B$11)^(INT(A556/12)+1)/12))*J556</f>
        <v>1.65815880049909</v>
      </c>
      <c r="X556" s="47" t="n">
        <f aca="false">I556*(IF(C556&lt;Assumptions!$B$5,Assumptions!$B$12*(1+Assumptions!$B$11)*(1+Assumptions!$B$24)*(1+Assumptions!$B$11+Assumptions!$B$25)^(INT(A556/12))/12+Pricing_M!$B$13*IF(A556=0,Assumptions!$B$14*12,IF(A556&gt;=12,Assumptions!$B$15,0))-Pricing_M!$B$13,Assumptions!$B$9/12*(1+Assumptions!$B$10)^INT(A556/12)+Assumptions!$B$12*(1+Assumptions!$B$11)*(1+Assumptions!$B$24)*(1+Assumptions!$B$11+Assumptions!$B$25)^(INT(A556/12))/12))*J556</f>
        <v>1.51017471301661</v>
      </c>
    </row>
    <row r="557" customFormat="false" ht="15" hidden="false" customHeight="true" outlineLevel="0" collapsed="false">
      <c r="A557" s="1" t="n">
        <v>550</v>
      </c>
      <c r="B557" s="31" t="n">
        <f aca="false">Assumptions!$B$4+A557/12</f>
        <v>110.833333333333</v>
      </c>
      <c r="C557" s="34" t="n">
        <f aca="false">Assumptions!$B$4+INT(A557/12)</f>
        <v>110</v>
      </c>
      <c r="D557" s="34" t="n">
        <f aca="false">INT(A557/12)+1</f>
        <v>46</v>
      </c>
      <c r="E557" s="32" t="n">
        <f aca="false">IFERROR(INDEX(Cohort_Survival!$G$5:$G$65,MATCH(C557,Cohort_Survival!$A$5:$A$65,0)),1)</f>
        <v>0.440590901801861</v>
      </c>
      <c r="F557" s="30" t="n">
        <f aca="false">1-(1-MIN(1,E557))^(1/12)</f>
        <v>0.0472532840759683</v>
      </c>
      <c r="G557" s="39" t="n">
        <f aca="false">IF(C557&lt;Assumptions!$B$5,IF(D557=1,Assumptions!$B$16,IF(D557=2,Assumptions!$B$17,IF(D557&lt;=5,Assumptions!$B$18,Assumptions!$B$19)))*(1-Assumptions!$B$20),0)</f>
        <v>0</v>
      </c>
      <c r="H557" s="30" t="n">
        <f aca="false">1-(1-G557)^(1/12)</f>
        <v>0</v>
      </c>
      <c r="I557" s="30" t="n">
        <f aca="false">I556*(1-F556)*(1-H556)</f>
        <v>0.00185816858209828</v>
      </c>
      <c r="J557" s="30" t="n">
        <f aca="false">INDEX(Discount_Monthly!$G$4:$G$664,MATCH(A557,Discount_Monthly!$A$4:$A$664,0))</f>
        <v>0.235026445184885</v>
      </c>
      <c r="K557" s="30" t="n">
        <f aca="false">IF(C557&lt;Assumptions!$B$5,I557*J557,0)</f>
        <v>0</v>
      </c>
      <c r="L557" s="30" t="n">
        <f aca="false">IF(C557&lt;Assumptions!$B$5,I557*(1-F557)*H557*A557*J557,0)</f>
        <v>0</v>
      </c>
      <c r="M557" s="30" t="n">
        <f aca="false">IF(A557=0,Assumptions!$B$14*12*I557*J557,IF(AND(A557&gt;=12,C557&lt;Assumptions!$B$5),Assumptions!$B$15*I557*J557,0))</f>
        <v>0</v>
      </c>
      <c r="N557" s="47" t="n">
        <f aca="false">IF(C557&gt;=Assumptions!$B$5,I557*Assumptions!$B$9/12*(1+Assumptions!$B$10)^INT(A557/12)*J557,0)</f>
        <v>1.41954220911387</v>
      </c>
      <c r="O557" s="47" t="n">
        <f aca="false">I557*Assumptions!$B$12/12*(1+Assumptions!$B$11)^(INT(A557/12)+1)*J557</f>
        <v>0.00906584717057185</v>
      </c>
      <c r="P557" s="47" t="n">
        <f aca="false">O557+Pricing_M!$B$13*M557+N557-Pricing_M!$B$13*K557</f>
        <v>1.42860805628445</v>
      </c>
      <c r="Q557" s="47" t="n">
        <f aca="false">IF(C557&lt;Assumptions!$B$5,Pricing_M!$B$13*K557-Pricing_M!$B$13*M557-O557,-(N557+O557))</f>
        <v>-1.42860805628445</v>
      </c>
      <c r="R557" s="32" t="n">
        <f aca="false">R556*(1-(1-(1-MIN(1,E556*(1-Assumptions!$B$21)))^(1/12)))*(1-H556)</f>
        <v>0.00735898310096423</v>
      </c>
      <c r="S557" s="47" t="n">
        <f aca="false">R557*(IF(C557&lt;Assumptions!$B$5,Assumptions!$B$12*(1+Assumptions!$B$11)^(INT(A557/12)+1)/12+Pricing_M!$B$13*IF(A557=0,Assumptions!$B$14*12,IF(A557&gt;=12,Assumptions!$B$15,0))-Pricing_M!$B$13,Assumptions!$B$9/12*(1+Assumptions!$B$10)^INT(A557/12)+Assumptions!$B$12*(1+Assumptions!$B$11)^(INT(A557/12)+1)/12))*J557</f>
        <v>5.65777650390957</v>
      </c>
      <c r="T557" s="32" t="n">
        <f aca="false">T556*(1-F556)*(1-(1-(1-MIN(1,G556*(1+Assumptions!$B$23)))^(1/12)))</f>
        <v>0.0016832756229084</v>
      </c>
      <c r="U557" s="47" t="n">
        <f aca="false">T557*(IF(C557&lt;Assumptions!$B$5,Assumptions!$B$12*(1+Assumptions!$B$11)^(INT(A557/12)+1)/12+Pricing_M!$B$13*IF(A557=0,Assumptions!$B$14*12,IF(A557&gt;=12,Assumptions!$B$15,0))-Pricing_M!$B$13,Assumptions!$B$9/12*(1+Assumptions!$B$10)^INT(A557/12)+Assumptions!$B$12*(1+Assumptions!$B$11)^(INT(A557/12)+1)/12))*J557</f>
        <v>1.29414582670356</v>
      </c>
      <c r="V557" s="32" t="n">
        <f aca="false">V556*(1-F556)*(1-(1-(1-MIN(1,G556*(1-Assumptions!$B$23)))^(1/12)))</f>
        <v>0.00204935095013893</v>
      </c>
      <c r="W557" s="47" t="n">
        <f aca="false">V557*(IF(C557&lt;Assumptions!$B$5,Assumptions!$B$12*(1+Assumptions!$B$11)^(INT(A557/12)+1)/12+Pricing_M!$B$13*IF(A557=0,Assumptions!$B$14*12,IF(A557&gt;=12,Assumptions!$B$15,0))-Pricing_M!$B$13,Assumptions!$B$9/12*(1+Assumptions!$B$10)^INT(A557/12)+Assumptions!$B$12*(1+Assumptions!$B$11)^(INT(A557/12)+1)/12))*J557</f>
        <v>1.57559400461751</v>
      </c>
      <c r="X557" s="47" t="n">
        <f aca="false">I557*(IF(C557&lt;Assumptions!$B$5,Assumptions!$B$12*(1+Assumptions!$B$11)*(1+Assumptions!$B$24)*(1+Assumptions!$B$11+Assumptions!$B$25)^(INT(A557/12))/12+Pricing_M!$B$13*IF(A557=0,Assumptions!$B$14*12,IF(A557&gt;=12,Assumptions!$B$15,0))-Pricing_M!$B$13,Assumptions!$B$9/12*(1+Assumptions!$B$10)^INT(A557/12)+Assumptions!$B$12*(1+Assumptions!$B$11)*(1+Assumptions!$B$24)*(1+Assumptions!$B$11+Assumptions!$B$25)^(INT(A557/12))/12))*J557</f>
        <v>1.43497849725717</v>
      </c>
    </row>
    <row r="558" customFormat="false" ht="15" hidden="false" customHeight="true" outlineLevel="0" collapsed="false">
      <c r="A558" s="1" t="n">
        <v>551</v>
      </c>
      <c r="B558" s="31" t="n">
        <f aca="false">Assumptions!$B$4+A558/12</f>
        <v>110.916666666667</v>
      </c>
      <c r="C558" s="34" t="n">
        <f aca="false">Assumptions!$B$4+INT(A558/12)</f>
        <v>110</v>
      </c>
      <c r="D558" s="34" t="n">
        <f aca="false">INT(A558/12)+1</f>
        <v>46</v>
      </c>
      <c r="E558" s="32" t="n">
        <f aca="false">IFERROR(INDEX(Cohort_Survival!$G$5:$G$65,MATCH(C558,Cohort_Survival!$A$5:$A$65,0)),1)</f>
        <v>0.440590901801861</v>
      </c>
      <c r="F558" s="30" t="n">
        <f aca="false">1-(1-MIN(1,E558))^(1/12)</f>
        <v>0.0472532840759683</v>
      </c>
      <c r="G558" s="39" t="n">
        <f aca="false">IF(C558&lt;Assumptions!$B$5,IF(D558=1,Assumptions!$B$16,IF(D558=2,Assumptions!$B$17,IF(D558&lt;=5,Assumptions!$B$18,Assumptions!$B$19)))*(1-Assumptions!$B$20),0)</f>
        <v>0</v>
      </c>
      <c r="H558" s="30" t="n">
        <f aca="false">1-(1-G558)^(1/12)</f>
        <v>0</v>
      </c>
      <c r="I558" s="30" t="n">
        <f aca="false">I557*(1-F557)*(1-H557)</f>
        <v>0.00177036401422735</v>
      </c>
      <c r="J558" s="30" t="n">
        <f aca="false">INDEX(Discount_Monthly!$G$4:$G$664,MATCH(A558,Discount_Monthly!$A$4:$A$664,0))</f>
        <v>0.2343999262768</v>
      </c>
      <c r="K558" s="30" t="n">
        <f aca="false">IF(C558&lt;Assumptions!$B$5,I558*J558,0)</f>
        <v>0</v>
      </c>
      <c r="L558" s="30" t="n">
        <f aca="false">IF(C558&lt;Assumptions!$B$5,I558*(1-F558)*H558*A558*J558,0)</f>
        <v>0</v>
      </c>
      <c r="M558" s="30" t="n">
        <f aca="false">IF(A558=0,Assumptions!$B$14*12*I558*J558,IF(AND(A558&gt;=12,C558&lt;Assumptions!$B$5),Assumptions!$B$15*I558*J558,0))</f>
        <v>0</v>
      </c>
      <c r="N558" s="47" t="n">
        <f aca="false">IF(C558&gt;=Assumptions!$B$5,I558*Assumptions!$B$9/12*(1+Assumptions!$B$10)^INT(A558/12)*J558,0)</f>
        <v>1.34885886279898</v>
      </c>
      <c r="O558" s="47" t="n">
        <f aca="false">I558*Assumptions!$B$12/12*(1+Assumptions!$B$11)^(INT(A558/12)+1)*J558</f>
        <v>0.00861443092448821</v>
      </c>
      <c r="P558" s="47" t="n">
        <f aca="false">O558+Pricing_M!$B$13*M558+N558-Pricing_M!$B$13*K558</f>
        <v>1.35747329372346</v>
      </c>
      <c r="Q558" s="47" t="n">
        <f aca="false">IF(C558&lt;Assumptions!$B$5,Pricing_M!$B$13*K558-Pricing_M!$B$13*M558-O558,-(N558+O558))</f>
        <v>-1.35747329372346</v>
      </c>
      <c r="R558" s="32" t="n">
        <f aca="false">R557*(1-(1-(1-MIN(1,E557*(1-Assumptions!$B$21)))^(1/12)))*(1-H557)</f>
        <v>0.00709723705500772</v>
      </c>
      <c r="S558" s="47" t="n">
        <f aca="false">R558*(IF(C558&lt;Assumptions!$B$5,Assumptions!$B$12*(1+Assumptions!$B$11)^(INT(A558/12)+1)/12+Pricing_M!$B$13*IF(A558=0,Assumptions!$B$14*12,IF(A558&gt;=12,Assumptions!$B$15,0))-Pricing_M!$B$13,Assumptions!$B$9/12*(1+Assumptions!$B$10)^INT(A558/12)+Assumptions!$B$12*(1+Assumptions!$B$11)^(INT(A558/12)+1)/12))*J558</f>
        <v>5.4419936713424</v>
      </c>
      <c r="T558" s="32" t="n">
        <f aca="false">T557*(1-F557)*(1-(1-(1-MIN(1,G557*(1+Assumptions!$B$23)))^(1/12)))</f>
        <v>0.00160373532172096</v>
      </c>
      <c r="U558" s="47" t="n">
        <f aca="false">T558*(IF(C558&lt;Assumptions!$B$5,Assumptions!$B$12*(1+Assumptions!$B$11)^(INT(A558/12)+1)/12+Pricing_M!$B$13*IF(A558=0,Assumptions!$B$14*12,IF(A558&gt;=12,Assumptions!$B$15,0))-Pricing_M!$B$13,Assumptions!$B$9/12*(1+Assumptions!$B$10)^INT(A558/12)+Assumptions!$B$12*(1+Assumptions!$B$11)^(INT(A558/12)+1)/12))*J558</f>
        <v>1.22970634962174</v>
      </c>
      <c r="V558" s="32" t="n">
        <f aca="false">V557*(1-F557)*(1-(1-(1-MIN(1,G557*(1-Assumptions!$B$23)))^(1/12)))</f>
        <v>0.00195251238752066</v>
      </c>
      <c r="W558" s="47" t="n">
        <f aca="false">V558*(IF(C558&lt;Assumptions!$B$5,Assumptions!$B$12*(1+Assumptions!$B$11)^(INT(A558/12)+1)/12+Pricing_M!$B$13*IF(A558=0,Assumptions!$B$14*12,IF(A558&gt;=12,Assumptions!$B$15,0))-Pricing_M!$B$13,Assumptions!$B$9/12*(1+Assumptions!$B$10)^INT(A558/12)+Assumptions!$B$12*(1+Assumptions!$B$11)^(INT(A558/12)+1)/12))*J558</f>
        <v>1.49714036233407</v>
      </c>
      <c r="X558" s="47" t="n">
        <f aca="false">I558*(IF(C558&lt;Assumptions!$B$5,Assumptions!$B$12*(1+Assumptions!$B$11)*(1+Assumptions!$B$24)*(1+Assumptions!$B$11+Assumptions!$B$25)^(INT(A558/12))/12+Pricing_M!$B$13*IF(A558=0,Assumptions!$B$14*12,IF(A558&gt;=12,Assumptions!$B$15,0))-Pricing_M!$B$13,Assumptions!$B$9/12*(1+Assumptions!$B$10)^INT(A558/12)+Assumptions!$B$12*(1+Assumptions!$B$11)*(1+Assumptions!$B$24)*(1+Assumptions!$B$11+Assumptions!$B$25)^(INT(A558/12))/12))*J558</f>
        <v>1.3635265309649</v>
      </c>
    </row>
    <row r="559" customFormat="false" ht="15" hidden="false" customHeight="true" outlineLevel="0" collapsed="false">
      <c r="A559" s="1" t="n">
        <v>552</v>
      </c>
      <c r="B559" s="31" t="n">
        <f aca="false">Assumptions!$B$4+A559/12</f>
        <v>111</v>
      </c>
      <c r="C559" s="34" t="n">
        <f aca="false">Assumptions!$B$4+INT(A559/12)</f>
        <v>111</v>
      </c>
      <c r="D559" s="34" t="n">
        <f aca="false">INT(A559/12)+1</f>
        <v>47</v>
      </c>
      <c r="E559" s="32" t="n">
        <f aca="false">IFERROR(INDEX(Cohort_Survival!$G$5:$G$65,MATCH(C559,Cohort_Survival!$A$5:$A$65,0)),1)</f>
        <v>0.458238138888</v>
      </c>
      <c r="F559" s="30" t="n">
        <f aca="false">1-(1-MIN(1,E559))^(1/12)</f>
        <v>0.0497948738142981</v>
      </c>
      <c r="G559" s="39" t="n">
        <f aca="false">IF(C559&lt;Assumptions!$B$5,IF(D559=1,Assumptions!$B$16,IF(D559=2,Assumptions!$B$17,IF(D559&lt;=5,Assumptions!$B$18,Assumptions!$B$19)))*(1-Assumptions!$B$20),0)</f>
        <v>0</v>
      </c>
      <c r="H559" s="30" t="n">
        <f aca="false">1-(1-G559)^(1/12)</f>
        <v>0</v>
      </c>
      <c r="I559" s="30" t="n">
        <f aca="false">I558*(1-F558)*(1-H558)</f>
        <v>0.00168670850054519</v>
      </c>
      <c r="J559" s="30" t="n">
        <f aca="false">INDEX(Discount_Monthly!$G$4:$G$664,MATCH(A559,Discount_Monthly!$A$4:$A$664,0))</f>
        <v>0.23377507750393</v>
      </c>
      <c r="K559" s="30" t="n">
        <f aca="false">IF(C559&lt;Assumptions!$B$5,I559*J559,0)</f>
        <v>0</v>
      </c>
      <c r="L559" s="30" t="n">
        <f aca="false">IF(C559&lt;Assumptions!$B$5,I559*(1-F559)*H559*A559*J559,0)</f>
        <v>0</v>
      </c>
      <c r="M559" s="30" t="n">
        <f aca="false">IF(A559=0,Assumptions!$B$14*12*I559*J559,IF(AND(A559&gt;=12,C559&lt;Assumptions!$B$5),Assumptions!$B$15*I559*J559,0))</f>
        <v>0</v>
      </c>
      <c r="N559" s="47" t="n">
        <f aca="false">IF(C559&gt;=Assumptions!$B$5,I559*Assumptions!$B$9/12*(1+Assumptions!$B$10)^INT(A559/12)*J559,0)</f>
        <v>1.30732895751288</v>
      </c>
      <c r="O559" s="47" t="n">
        <f aca="false">I559*Assumptions!$B$12/12*(1+Assumptions!$B$11)^(INT(A559/12)+1)*J559</f>
        <v>0.00839012937516796</v>
      </c>
      <c r="P559" s="47" t="n">
        <f aca="false">O559+Pricing_M!$B$13*M559+N559-Pricing_M!$B$13*K559</f>
        <v>1.31571908688805</v>
      </c>
      <c r="Q559" s="47" t="n">
        <f aca="false">IF(C559&lt;Assumptions!$B$5,Pricing_M!$B$13*K559-Pricing_M!$B$13*M559-O559,-(N559+O559))</f>
        <v>-1.31571908688805</v>
      </c>
      <c r="R559" s="32" t="n">
        <f aca="false">R558*(1-(1-(1-MIN(1,E558*(1-Assumptions!$B$21)))^(1/12)))*(1-H558)</f>
        <v>0.00684480085412545</v>
      </c>
      <c r="S559" s="47" t="n">
        <f aca="false">R559*(IF(C559&lt;Assumptions!$B$5,Assumptions!$B$12*(1+Assumptions!$B$11)^(INT(A559/12)+1)/12+Pricing_M!$B$13*IF(A559=0,Assumptions!$B$14*12,IF(A559&gt;=12,Assumptions!$B$15,0))-Pricing_M!$B$13,Assumptions!$B$9/12*(1+Assumptions!$B$10)^INT(A559/12)+Assumptions!$B$12*(1+Assumptions!$B$11)^(INT(A559/12)+1)/12))*J559</f>
        <v>5.33929551360507</v>
      </c>
      <c r="T559" s="32" t="n">
        <f aca="false">T558*(1-F558)*(1-(1-(1-MIN(1,G558*(1+Assumptions!$B$23)))^(1/12)))</f>
        <v>0.00152795356098101</v>
      </c>
      <c r="U559" s="47" t="n">
        <f aca="false">T559*(IF(C559&lt;Assumptions!$B$5,Assumptions!$B$12*(1+Assumptions!$B$11)^(INT(A559/12)+1)/12+Pricing_M!$B$13*IF(A559=0,Assumptions!$B$14*12,IF(A559&gt;=12,Assumptions!$B$15,0))-Pricing_M!$B$13,Assumptions!$B$9/12*(1+Assumptions!$B$10)^INT(A559/12)+Assumptions!$B$12*(1+Assumptions!$B$11)^(INT(A559/12)+1)/12))*J559</f>
        <v>1.1918820966465</v>
      </c>
      <c r="V559" s="32" t="n">
        <f aca="false">V558*(1-F558)*(1-(1-(1-MIN(1,G558*(1-Assumptions!$B$23)))^(1/12)))</f>
        <v>0.0018602497650113</v>
      </c>
      <c r="W559" s="47" t="n">
        <f aca="false">V559*(IF(C559&lt;Assumptions!$B$5,Assumptions!$B$12*(1+Assumptions!$B$11)^(INT(A559/12)+1)/12+Pricing_M!$B$13*IF(A559=0,Assumptions!$B$14*12,IF(A559&gt;=12,Assumptions!$B$15,0))-Pricing_M!$B$13,Assumptions!$B$9/12*(1+Assumptions!$B$10)^INT(A559/12)+Assumptions!$B$12*(1+Assumptions!$B$11)^(INT(A559/12)+1)/12))*J559</f>
        <v>1.45109016846317</v>
      </c>
      <c r="X559" s="47" t="n">
        <f aca="false">I559*(IF(C559&lt;Assumptions!$B$5,Assumptions!$B$12*(1+Assumptions!$B$11)*(1+Assumptions!$B$24)*(1+Assumptions!$B$11+Assumptions!$B$25)^(INT(A559/12))/12+Pricing_M!$B$13*IF(A559=0,Assumptions!$B$14*12,IF(A559&gt;=12,Assumptions!$B$15,0))-Pricing_M!$B$13,Assumptions!$B$9/12*(1+Assumptions!$B$10)^INT(A559/12)+Assumptions!$B$12*(1+Assumptions!$B$11)*(1+Assumptions!$B$24)*(1+Assumptions!$B$11+Assumptions!$B$25)^(INT(A559/12))/12))*J559</f>
        <v>1.32175408384432</v>
      </c>
    </row>
    <row r="560" customFormat="false" ht="15" hidden="false" customHeight="true" outlineLevel="0" collapsed="false">
      <c r="A560" s="1" t="n">
        <v>553</v>
      </c>
      <c r="B560" s="31" t="n">
        <f aca="false">Assumptions!$B$4+A560/12</f>
        <v>111.083333333333</v>
      </c>
      <c r="C560" s="34" t="n">
        <f aca="false">Assumptions!$B$4+INT(A560/12)</f>
        <v>111</v>
      </c>
      <c r="D560" s="34" t="n">
        <f aca="false">INT(A560/12)+1</f>
        <v>47</v>
      </c>
      <c r="E560" s="32" t="n">
        <f aca="false">IFERROR(INDEX(Cohort_Survival!$G$5:$G$65,MATCH(C560,Cohort_Survival!$A$5:$A$65,0)),1)</f>
        <v>0.458238138888</v>
      </c>
      <c r="F560" s="30" t="n">
        <f aca="false">1-(1-MIN(1,E560))^(1/12)</f>
        <v>0.0497948738142981</v>
      </c>
      <c r="G560" s="39" t="n">
        <f aca="false">IF(C560&lt;Assumptions!$B$5,IF(D560=1,Assumptions!$B$16,IF(D560=2,Assumptions!$B$17,IF(D560&lt;=5,Assumptions!$B$18,Assumptions!$B$19)))*(1-Assumptions!$B$20),0)</f>
        <v>0</v>
      </c>
      <c r="H560" s="30" t="n">
        <f aca="false">1-(1-G560)^(1/12)</f>
        <v>0</v>
      </c>
      <c r="I560" s="30" t="n">
        <f aca="false">I559*(1-F559)*(1-H559)</f>
        <v>0.00160271906359904</v>
      </c>
      <c r="J560" s="30" t="n">
        <f aca="false">INDEX(Discount_Monthly!$G$4:$G$664,MATCH(A560,Discount_Monthly!$A$4:$A$664,0))</f>
        <v>0.23315151799752</v>
      </c>
      <c r="K560" s="30" t="n">
        <f aca="false">IF(C560&lt;Assumptions!$B$5,I560*J560,0)</f>
        <v>0</v>
      </c>
      <c r="L560" s="30" t="n">
        <f aca="false">IF(C560&lt;Assumptions!$B$5,I560*(1-F560)*H560*A560*J560,0)</f>
        <v>0</v>
      </c>
      <c r="M560" s="30" t="n">
        <f aca="false">IF(A560=0,Assumptions!$B$14*12*I560*J560,IF(AND(A560&gt;=12,C560&lt;Assumptions!$B$5),Assumptions!$B$15*I560*J560,0))</f>
        <v>0</v>
      </c>
      <c r="N560" s="47" t="n">
        <f aca="false">IF(C560&gt;=Assumptions!$B$5,I560*Assumptions!$B$9/12*(1+Assumptions!$B$10)^INT(A560/12)*J560,0)</f>
        <v>1.23891721541633</v>
      </c>
      <c r="O560" s="47" t="n">
        <f aca="false">I560*Assumptions!$B$12/12*(1+Assumptions!$B$11)^(INT(A560/12)+1)*J560</f>
        <v>0.00795107892526233</v>
      </c>
      <c r="P560" s="47" t="n">
        <f aca="false">O560+Pricing_M!$B$13*M560+N560-Pricing_M!$B$13*K560</f>
        <v>1.24686829434159</v>
      </c>
      <c r="Q560" s="47" t="n">
        <f aca="false">IF(C560&lt;Assumptions!$B$5,Pricing_M!$B$13*K560-Pricing_M!$B$13*M560-O560,-(N560+O560))</f>
        <v>-1.24686829434159</v>
      </c>
      <c r="R560" s="32" t="n">
        <f aca="false">R559*(1-(1-(1-MIN(1,E559*(1-Assumptions!$B$21)))^(1/12)))*(1-H559)</f>
        <v>0.00658922793337386</v>
      </c>
      <c r="S560" s="47" t="n">
        <f aca="false">R560*(IF(C560&lt;Assumptions!$B$5,Assumptions!$B$12*(1+Assumptions!$B$11)^(INT(A560/12)+1)/12+Pricing_M!$B$13*IF(A560=0,Assumptions!$B$14*12,IF(A560&gt;=12,Assumptions!$B$15,0))-Pricing_M!$B$13,Assumptions!$B$9/12*(1+Assumptions!$B$10)^INT(A560/12)+Assumptions!$B$12*(1+Assumptions!$B$11)^(INT(A560/12)+1)/12))*J560</f>
        <v>5.12622553815786</v>
      </c>
      <c r="T560" s="32" t="n">
        <f aca="false">T559*(1-F559)*(1-(1-(1-MIN(1,G559*(1+Assumptions!$B$23)))^(1/12)))</f>
        <v>0.00145186930621785</v>
      </c>
      <c r="U560" s="47" t="n">
        <f aca="false">T560*(IF(C560&lt;Assumptions!$B$5,Assumptions!$B$12*(1+Assumptions!$B$11)^(INT(A560/12)+1)/12+Pricing_M!$B$13*IF(A560=0,Assumptions!$B$14*12,IF(A560&gt;=12,Assumptions!$B$15,0))-Pricing_M!$B$13,Assumptions!$B$9/12*(1+Assumptions!$B$10)^INT(A560/12)+Assumptions!$B$12*(1+Assumptions!$B$11)^(INT(A560/12)+1)/12))*J560</f>
        <v>1.12951161970059</v>
      </c>
      <c r="V560" s="32" t="n">
        <f aca="false">V559*(1-F559)*(1-(1-(1-MIN(1,G559*(1-Assumptions!$B$23)))^(1/12)))</f>
        <v>0.00176761886269948</v>
      </c>
      <c r="W560" s="47" t="n">
        <f aca="false">V560*(IF(C560&lt;Assumptions!$B$5,Assumptions!$B$12*(1+Assumptions!$B$11)^(INT(A560/12)+1)/12+Pricing_M!$B$13*IF(A560=0,Assumptions!$B$14*12,IF(A560&gt;=12,Assumptions!$B$15,0))-Pricing_M!$B$13,Assumptions!$B$9/12*(1+Assumptions!$B$10)^INT(A560/12)+Assumptions!$B$12*(1+Assumptions!$B$11)^(INT(A560/12)+1)/12))*J560</f>
        <v>1.37515548821819</v>
      </c>
      <c r="X560" s="47" t="n">
        <f aca="false">I560*(IF(C560&lt;Assumptions!$B$5,Assumptions!$B$12*(1+Assumptions!$B$11)*(1+Assumptions!$B$24)*(1+Assumptions!$B$11+Assumptions!$B$25)^(INT(A560/12))/12+Pricing_M!$B$13*IF(A560=0,Assumptions!$B$14*12,IF(A560&gt;=12,Assumptions!$B$15,0))-Pricing_M!$B$13,Assumptions!$B$9/12*(1+Assumptions!$B$10)^INT(A560/12)+Assumptions!$B$12*(1+Assumptions!$B$11)*(1+Assumptions!$B$24)*(1+Assumptions!$B$11+Assumptions!$B$25)^(INT(A560/12))/12))*J560</f>
        <v>1.25258748351823</v>
      </c>
    </row>
    <row r="561" customFormat="false" ht="15" hidden="false" customHeight="true" outlineLevel="0" collapsed="false">
      <c r="A561" s="1" t="n">
        <v>554</v>
      </c>
      <c r="B561" s="31" t="n">
        <f aca="false">Assumptions!$B$4+A561/12</f>
        <v>111.166666666667</v>
      </c>
      <c r="C561" s="34" t="n">
        <f aca="false">Assumptions!$B$4+INT(A561/12)</f>
        <v>111</v>
      </c>
      <c r="D561" s="34" t="n">
        <f aca="false">INT(A561/12)+1</f>
        <v>47</v>
      </c>
      <c r="E561" s="32" t="n">
        <f aca="false">IFERROR(INDEX(Cohort_Survival!$G$5:$G$65,MATCH(C561,Cohort_Survival!$A$5:$A$65,0)),1)</f>
        <v>0.458238138888</v>
      </c>
      <c r="F561" s="30" t="n">
        <f aca="false">1-(1-MIN(1,E561))^(1/12)</f>
        <v>0.0497948738142981</v>
      </c>
      <c r="G561" s="39" t="n">
        <f aca="false">IF(C561&lt;Assumptions!$B$5,IF(D561=1,Assumptions!$B$16,IF(D561=2,Assumptions!$B$17,IF(D561&lt;=5,Assumptions!$B$18,Assumptions!$B$19)))*(1-Assumptions!$B$20),0)</f>
        <v>0</v>
      </c>
      <c r="H561" s="30" t="n">
        <f aca="false">1-(1-G561)^(1/12)</f>
        <v>0</v>
      </c>
      <c r="I561" s="30" t="n">
        <f aca="false">I560*(1-F560)*(1-H560)</f>
        <v>0.00152291187006736</v>
      </c>
      <c r="J561" s="30" t="n">
        <f aca="false">INDEX(Discount_Monthly!$G$4:$G$664,MATCH(A561,Discount_Monthly!$A$4:$A$664,0))</f>
        <v>0.23252962174137</v>
      </c>
      <c r="K561" s="30" t="n">
        <f aca="false">IF(C561&lt;Assumptions!$B$5,I561*J561,0)</f>
        <v>0</v>
      </c>
      <c r="L561" s="30" t="n">
        <f aca="false">IF(C561&lt;Assumptions!$B$5,I561*(1-F561)*H561*A561*J561,0)</f>
        <v>0</v>
      </c>
      <c r="M561" s="30" t="n">
        <f aca="false">IF(A561=0,Assumptions!$B$14*12*I561*J561,IF(AND(A561&gt;=12,C561&lt;Assumptions!$B$5),Assumptions!$B$15*I561*J561,0))</f>
        <v>0</v>
      </c>
      <c r="N561" s="47" t="n">
        <f aca="false">IF(C561&gt;=Assumptions!$B$5,I561*Assumptions!$B$9/12*(1+Assumptions!$B$10)^INT(A561/12)*J561,0)</f>
        <v>1.17408541884901</v>
      </c>
      <c r="O561" s="47" t="n">
        <f aca="false">I561*Assumptions!$B$12/12*(1+Assumptions!$B$11)^(INT(A561/12)+1)*J561</f>
        <v>0.00753500372269113</v>
      </c>
      <c r="P561" s="47" t="n">
        <f aca="false">O561+Pricing_M!$B$13*M561+N561-Pricing_M!$B$13*K561</f>
        <v>1.1816204225717</v>
      </c>
      <c r="Q561" s="47" t="n">
        <f aca="false">IF(C561&lt;Assumptions!$B$5,Pricing_M!$B$13*K561-Pricing_M!$B$13*M561-O561,-(N561+O561))</f>
        <v>-1.1816204225717</v>
      </c>
      <c r="R561" s="32" t="n">
        <f aca="false">R560*(1-(1-(1-MIN(1,E560*(1-Assumptions!$B$21)))^(1/12)))*(1-H560)</f>
        <v>0.00634319765954707</v>
      </c>
      <c r="S561" s="47" t="n">
        <f aca="false">R561*(IF(C561&lt;Assumptions!$B$5,Assumptions!$B$12*(1+Assumptions!$B$11)^(INT(A561/12)+1)/12+Pricing_M!$B$13*IF(A561=0,Assumptions!$B$14*12,IF(A561&gt;=12,Assumptions!$B$15,0))-Pricing_M!$B$13,Assumptions!$B$9/12*(1+Assumptions!$B$10)^INT(A561/12)+Assumptions!$B$12*(1+Assumptions!$B$11)^(INT(A561/12)+1)/12))*J561</f>
        <v>4.92165833509352</v>
      </c>
      <c r="T561" s="32" t="n">
        <f aca="false">T560*(1-F560)*(1-(1-(1-MIN(1,G560*(1+Assumptions!$B$23)))^(1/12)))</f>
        <v>0.00137957365731988</v>
      </c>
      <c r="U561" s="47" t="n">
        <f aca="false">T561*(IF(C561&lt;Assumptions!$B$5,Assumptions!$B$12*(1+Assumptions!$B$11)^(INT(A561/12)+1)/12+Pricing_M!$B$13*IF(A561=0,Assumptions!$B$14*12,IF(A561&gt;=12,Assumptions!$B$15,0))-Pricing_M!$B$13,Assumptions!$B$9/12*(1+Assumptions!$B$10)^INT(A561/12)+Assumptions!$B$12*(1+Assumptions!$B$11)^(INT(A561/12)+1)/12))*J561</f>
        <v>1.07040495249342</v>
      </c>
      <c r="V561" s="32" t="n">
        <f aca="false">V560*(1-F560)*(1-(1-(1-MIN(1,G560*(1-Assumptions!$B$23)))^(1/12)))</f>
        <v>0.00167960050447959</v>
      </c>
      <c r="W561" s="47" t="n">
        <f aca="false">V561*(IF(C561&lt;Assumptions!$B$5,Assumptions!$B$12*(1+Assumptions!$B$11)^(INT(A561/12)+1)/12+Pricing_M!$B$13*IF(A561=0,Assumptions!$B$14*12,IF(A561&gt;=12,Assumptions!$B$15,0))-Pricing_M!$B$13,Assumptions!$B$9/12*(1+Assumptions!$B$10)^INT(A561/12)+Assumptions!$B$12*(1+Assumptions!$B$11)^(INT(A561/12)+1)/12))*J561</f>
        <v>1.30319442435434</v>
      </c>
      <c r="X561" s="47" t="n">
        <f aca="false">I561*(IF(C561&lt;Assumptions!$B$5,Assumptions!$B$12*(1+Assumptions!$B$11)*(1+Assumptions!$B$24)*(1+Assumptions!$B$11+Assumptions!$B$25)^(INT(A561/12))/12+Pricing_M!$B$13*IF(A561=0,Assumptions!$B$14*12,IF(A561&gt;=12,Assumptions!$B$15,0))-Pricing_M!$B$13,Assumptions!$B$9/12*(1+Assumptions!$B$10)^INT(A561/12)+Assumptions!$B$12*(1+Assumptions!$B$11)*(1+Assumptions!$B$24)*(1+Assumptions!$B$11+Assumptions!$B$25)^(INT(A561/12))/12))*J561</f>
        <v>1.18704033000084</v>
      </c>
    </row>
    <row r="562" customFormat="false" ht="15" hidden="false" customHeight="true" outlineLevel="0" collapsed="false">
      <c r="A562" s="1" t="n">
        <v>555</v>
      </c>
      <c r="B562" s="31" t="n">
        <f aca="false">Assumptions!$B$4+A562/12</f>
        <v>111.25</v>
      </c>
      <c r="C562" s="34" t="n">
        <f aca="false">Assumptions!$B$4+INT(A562/12)</f>
        <v>111</v>
      </c>
      <c r="D562" s="34" t="n">
        <f aca="false">INT(A562/12)+1</f>
        <v>47</v>
      </c>
      <c r="E562" s="32" t="n">
        <f aca="false">IFERROR(INDEX(Cohort_Survival!$G$5:$G$65,MATCH(C562,Cohort_Survival!$A$5:$A$65,0)),1)</f>
        <v>0.458238138888</v>
      </c>
      <c r="F562" s="30" t="n">
        <f aca="false">1-(1-MIN(1,E562))^(1/12)</f>
        <v>0.0497948738142981</v>
      </c>
      <c r="G562" s="39" t="n">
        <f aca="false">IF(C562&lt;Assumptions!$B$5,IF(D562=1,Assumptions!$B$16,IF(D562=2,Assumptions!$B$17,IF(D562&lt;=5,Assumptions!$B$18,Assumptions!$B$19)))*(1-Assumptions!$B$20),0)</f>
        <v>0</v>
      </c>
      <c r="H562" s="30" t="n">
        <f aca="false">1-(1-G562)^(1/12)</f>
        <v>0</v>
      </c>
      <c r="I562" s="30" t="n">
        <f aca="false">I561*(1-F561)*(1-H561)</f>
        <v>0.00144707866566705</v>
      </c>
      <c r="J562" s="30" t="n">
        <f aca="false">INDEX(Discount_Monthly!$G$4:$G$664,MATCH(A562,Discount_Monthly!$A$4:$A$664,0))</f>
        <v>0.23190938429901</v>
      </c>
      <c r="K562" s="30" t="n">
        <f aca="false">IF(C562&lt;Assumptions!$B$5,I562*J562,0)</f>
        <v>0</v>
      </c>
      <c r="L562" s="30" t="n">
        <f aca="false">IF(C562&lt;Assumptions!$B$5,I562*(1-F562)*H562*A562*J562,0)</f>
        <v>0</v>
      </c>
      <c r="M562" s="30" t="n">
        <f aca="false">IF(A562=0,Assumptions!$B$14*12*I562*J562,IF(AND(A562&gt;=12,C562&lt;Assumptions!$B$5),Assumptions!$B$15*I562*J562,0))</f>
        <v>0</v>
      </c>
      <c r="N562" s="47" t="n">
        <f aca="false">IF(C562&gt;=Assumptions!$B$5,I562*Assumptions!$B$9/12*(1+Assumptions!$B$10)^INT(A562/12)*J562,0)</f>
        <v>1.11264623140347</v>
      </c>
      <c r="O562" s="47" t="n">
        <f aca="false">I562*Assumptions!$B$12/12*(1+Assumptions!$B$11)^(INT(A562/12)+1)*J562</f>
        <v>0.00714070148650876</v>
      </c>
      <c r="P562" s="47" t="n">
        <f aca="false">O562+Pricing_M!$B$13*M562+N562-Pricing_M!$B$13*K562</f>
        <v>1.11978693288998</v>
      </c>
      <c r="Q562" s="47" t="n">
        <f aca="false">IF(C562&lt;Assumptions!$B$5,Pricing_M!$B$13*K562-Pricing_M!$B$13*M562-O562,-(N562+O562))</f>
        <v>-1.11978693288998</v>
      </c>
      <c r="R562" s="32" t="n">
        <f aca="false">R561*(1-(1-(1-MIN(1,E561*(1-Assumptions!$B$21)))^(1/12)))*(1-H561)</f>
        <v>0.00610635372685939</v>
      </c>
      <c r="S562" s="47" t="n">
        <f aca="false">R562*(IF(C562&lt;Assumptions!$B$5,Assumptions!$B$12*(1+Assumptions!$B$11)^(INT(A562/12)+1)/12+Pricing_M!$B$13*IF(A562=0,Assumptions!$B$14*12,IF(A562&gt;=12,Assumptions!$B$15,0))-Pricing_M!$B$13,Assumptions!$B$9/12*(1+Assumptions!$B$10)^INT(A562/12)+Assumptions!$B$12*(1+Assumptions!$B$11)^(INT(A562/12)+1)/12))*J562</f>
        <v>4.72525459269981</v>
      </c>
      <c r="T562" s="32" t="n">
        <f aca="false">T561*(1-F561)*(1-(1-(1-MIN(1,G561*(1+Assumptions!$B$23)))^(1/12)))</f>
        <v>0.00131087796113611</v>
      </c>
      <c r="U562" s="47" t="n">
        <f aca="false">T562*(IF(C562&lt;Assumptions!$B$5,Assumptions!$B$12*(1+Assumptions!$B$11)^(INT(A562/12)+1)/12+Pricing_M!$B$13*IF(A562=0,Assumptions!$B$14*12,IF(A562&gt;=12,Assumptions!$B$15,0))-Pricing_M!$B$13,Assumptions!$B$9/12*(1+Assumptions!$B$10)^INT(A562/12)+Assumptions!$B$12*(1+Assumptions!$B$11)^(INT(A562/12)+1)/12))*J562</f>
        <v>1.01439130181428</v>
      </c>
      <c r="V562" s="32" t="n">
        <f aca="false">V561*(1-F561)*(1-(1-(1-MIN(1,G561*(1-Assumptions!$B$23)))^(1/12)))</f>
        <v>0.0015959650093006</v>
      </c>
      <c r="W562" s="47" t="n">
        <f aca="false">V562*(IF(C562&lt;Assumptions!$B$5,Assumptions!$B$12*(1+Assumptions!$B$11)^(INT(A562/12)+1)/12+Pricing_M!$B$13*IF(A562=0,Assumptions!$B$14*12,IF(A562&gt;=12,Assumptions!$B$15,0))-Pricing_M!$B$13,Assumptions!$B$9/12*(1+Assumptions!$B$10)^INT(A562/12)+Assumptions!$B$12*(1+Assumptions!$B$11)^(INT(A562/12)+1)/12))*J562</f>
        <v>1.23499903990405</v>
      </c>
      <c r="X562" s="47" t="n">
        <f aca="false">I562*(IF(C562&lt;Assumptions!$B$5,Assumptions!$B$12*(1+Assumptions!$B$11)*(1+Assumptions!$B$24)*(1+Assumptions!$B$11+Assumptions!$B$25)^(INT(A562/12))/12+Pricing_M!$B$13*IF(A562=0,Assumptions!$B$14*12,IF(A562&gt;=12,Assumptions!$B$15,0))-Pricing_M!$B$13,Assumptions!$B$9/12*(1+Assumptions!$B$10)^INT(A562/12)+Assumptions!$B$12*(1+Assumptions!$B$11)*(1+Assumptions!$B$24)*(1+Assumptions!$B$11+Assumptions!$B$25)^(INT(A562/12))/12))*J562</f>
        <v>1.12492321980639</v>
      </c>
    </row>
    <row r="563" customFormat="false" ht="15" hidden="false" customHeight="true" outlineLevel="0" collapsed="false">
      <c r="A563" s="1" t="n">
        <v>556</v>
      </c>
      <c r="B563" s="31" t="n">
        <f aca="false">Assumptions!$B$4+A563/12</f>
        <v>111.333333333333</v>
      </c>
      <c r="C563" s="34" t="n">
        <f aca="false">Assumptions!$B$4+INT(A563/12)</f>
        <v>111</v>
      </c>
      <c r="D563" s="34" t="n">
        <f aca="false">INT(A563/12)+1</f>
        <v>47</v>
      </c>
      <c r="E563" s="32" t="n">
        <f aca="false">IFERROR(INDEX(Cohort_Survival!$G$5:$G$65,MATCH(C563,Cohort_Survival!$A$5:$A$65,0)),1)</f>
        <v>0.458238138888</v>
      </c>
      <c r="F563" s="30" t="n">
        <f aca="false">1-(1-MIN(1,E563))^(1/12)</f>
        <v>0.0497948738142981</v>
      </c>
      <c r="G563" s="39" t="n">
        <f aca="false">IF(C563&lt;Assumptions!$B$5,IF(D563=1,Assumptions!$B$16,IF(D563=2,Assumptions!$B$17,IF(D563&lt;=5,Assumptions!$B$18,Assumptions!$B$19)))*(1-Assumptions!$B$20),0)</f>
        <v>0</v>
      </c>
      <c r="H563" s="30" t="n">
        <f aca="false">1-(1-G563)^(1/12)</f>
        <v>0</v>
      </c>
      <c r="I563" s="30" t="n">
        <f aca="false">I562*(1-F562)*(1-H562)</f>
        <v>0.0013750215661108</v>
      </c>
      <c r="J563" s="30" t="n">
        <f aca="false">INDEX(Discount_Monthly!$G$4:$G$664,MATCH(A563,Discount_Monthly!$A$4:$A$664,0))</f>
        <v>0.231290801245807</v>
      </c>
      <c r="K563" s="30" t="n">
        <f aca="false">IF(C563&lt;Assumptions!$B$5,I563*J563,0)</f>
        <v>0</v>
      </c>
      <c r="L563" s="30" t="n">
        <f aca="false">IF(C563&lt;Assumptions!$B$5,I563*(1-F563)*H563*A563*J563,0)</f>
        <v>0</v>
      </c>
      <c r="M563" s="30" t="n">
        <f aca="false">IF(A563=0,Assumptions!$B$14*12*I563*J563,IF(AND(A563&gt;=12,C563&lt;Assumptions!$B$5),Assumptions!$B$15*I563*J563,0))</f>
        <v>0</v>
      </c>
      <c r="N563" s="47" t="n">
        <f aca="false">IF(C563&gt;=Assumptions!$B$5,I563*Assumptions!$B$9/12*(1+Assumptions!$B$10)^INT(A563/12)*J563,0)</f>
        <v>1.05442211987435</v>
      </c>
      <c r="O563" s="47" t="n">
        <f aca="false">I563*Assumptions!$B$12/12*(1+Assumptions!$B$11)^(INT(A563/12)+1)*J563</f>
        <v>0.00676703285041211</v>
      </c>
      <c r="P563" s="47" t="n">
        <f aca="false">O563+Pricing_M!$B$13*M563+N563-Pricing_M!$B$13*K563</f>
        <v>1.06118915272477</v>
      </c>
      <c r="Q563" s="47" t="n">
        <f aca="false">IF(C563&lt;Assumptions!$B$5,Pricing_M!$B$13*K563-Pricing_M!$B$13*M563-O563,-(N563+O563))</f>
        <v>-1.06118915272477</v>
      </c>
      <c r="R563" s="32" t="n">
        <f aca="false">R562*(1-(1-(1-MIN(1,E562*(1-Assumptions!$B$21)))^(1/12)))*(1-H562)</f>
        <v>0.00587835313336145</v>
      </c>
      <c r="S563" s="47" t="n">
        <f aca="false">R563*(IF(C563&lt;Assumptions!$B$5,Assumptions!$B$12*(1+Assumptions!$B$11)^(INT(A563/12)+1)/12+Pricing_M!$B$13*IF(A563=0,Assumptions!$B$14*12,IF(A563&gt;=12,Assumptions!$B$15,0))-Pricing_M!$B$13,Assumptions!$B$9/12*(1+Assumptions!$B$10)^INT(A563/12)+Assumptions!$B$12*(1+Assumptions!$B$11)^(INT(A563/12)+1)/12))*J563</f>
        <v>4.53668853984079</v>
      </c>
      <c r="T563" s="32" t="n">
        <f aca="false">T562*(1-F562)*(1-(1-(1-MIN(1,G562*(1+Assumptions!$B$23)))^(1/12)))</f>
        <v>0.00124560295847539</v>
      </c>
      <c r="U563" s="47" t="n">
        <f aca="false">T563*(IF(C563&lt;Assumptions!$B$5,Assumptions!$B$12*(1+Assumptions!$B$11)^(INT(A563/12)+1)/12+Pricing_M!$B$13*IF(A563=0,Assumptions!$B$14*12,IF(A563&gt;=12,Assumptions!$B$15,0))-Pricing_M!$B$13,Assumptions!$B$9/12*(1+Assumptions!$B$10)^INT(A563/12)+Assumptions!$B$12*(1+Assumptions!$B$11)^(INT(A563/12)+1)/12))*J563</f>
        <v>0.96130881195899</v>
      </c>
      <c r="V563" s="32" t="n">
        <f aca="false">V562*(1-F562)*(1-(1-(1-MIN(1,G562*(1-Assumptions!$B$23)))^(1/12)))</f>
        <v>0.00151649413305044</v>
      </c>
      <c r="W563" s="47" t="n">
        <f aca="false">V563*(IF(C563&lt;Assumptions!$B$5,Assumptions!$B$12*(1+Assumptions!$B$11)^(INT(A563/12)+1)/12+Pricing_M!$B$13*IF(A563=0,Assumptions!$B$14*12,IF(A563&gt;=12,Assumptions!$B$15,0))-Pricing_M!$B$13,Assumptions!$B$9/12*(1+Assumptions!$B$10)^INT(A563/12)+Assumptions!$B$12*(1+Assumptions!$B$11)^(INT(A563/12)+1)/12))*J563</f>
        <v>1.17037227911682</v>
      </c>
      <c r="X563" s="47" t="n">
        <f aca="false">I563*(IF(C563&lt;Assumptions!$B$5,Assumptions!$B$12*(1+Assumptions!$B$11)*(1+Assumptions!$B$24)*(1+Assumptions!$B$11+Assumptions!$B$25)^(INT(A563/12))/12+Pricing_M!$B$13*IF(A563=0,Assumptions!$B$14*12,IF(A563&gt;=12,Assumptions!$B$15,0))-Pricing_M!$B$13,Assumptions!$B$9/12*(1+Assumptions!$B$10)^INT(A563/12)+Assumptions!$B$12*(1+Assumptions!$B$11)*(1+Assumptions!$B$24)*(1+Assumptions!$B$11+Assumptions!$B$25)^(INT(A563/12))/12))*J563</f>
        <v>1.06605666082018</v>
      </c>
    </row>
    <row r="564" customFormat="false" ht="15" hidden="false" customHeight="true" outlineLevel="0" collapsed="false">
      <c r="A564" s="1" t="n">
        <v>557</v>
      </c>
      <c r="B564" s="31" t="n">
        <f aca="false">Assumptions!$B$4+A564/12</f>
        <v>111.416666666667</v>
      </c>
      <c r="C564" s="34" t="n">
        <f aca="false">Assumptions!$B$4+INT(A564/12)</f>
        <v>111</v>
      </c>
      <c r="D564" s="34" t="n">
        <f aca="false">INT(A564/12)+1</f>
        <v>47</v>
      </c>
      <c r="E564" s="32" t="n">
        <f aca="false">IFERROR(INDEX(Cohort_Survival!$G$5:$G$65,MATCH(C564,Cohort_Survival!$A$5:$A$65,0)),1)</f>
        <v>0.458238138888</v>
      </c>
      <c r="F564" s="30" t="n">
        <f aca="false">1-(1-MIN(1,E564))^(1/12)</f>
        <v>0.0497948738142981</v>
      </c>
      <c r="G564" s="39" t="n">
        <f aca="false">IF(C564&lt;Assumptions!$B$5,IF(D564=1,Assumptions!$B$16,IF(D564=2,Assumptions!$B$17,IF(D564&lt;=5,Assumptions!$B$18,Assumptions!$B$19)))*(1-Assumptions!$B$20),0)</f>
        <v>0</v>
      </c>
      <c r="H564" s="30" t="n">
        <f aca="false">1-(1-G564)^(1/12)</f>
        <v>0</v>
      </c>
      <c r="I564" s="30" t="n">
        <f aca="false">I563*(1-F563)*(1-H563)</f>
        <v>0.00130655254073437</v>
      </c>
      <c r="J564" s="30" t="n">
        <f aca="false">INDEX(Discount_Monthly!$G$4:$G$664,MATCH(A564,Discount_Monthly!$A$4:$A$664,0))</f>
        <v>0.230673868168929</v>
      </c>
      <c r="K564" s="30" t="n">
        <f aca="false">IF(C564&lt;Assumptions!$B$5,I564*J564,0)</f>
        <v>0</v>
      </c>
      <c r="L564" s="30" t="n">
        <f aca="false">IF(C564&lt;Assumptions!$B$5,I564*(1-F564)*H564*A564*J564,0)</f>
        <v>0</v>
      </c>
      <c r="M564" s="30" t="n">
        <f aca="false">IF(A564=0,Assumptions!$B$14*12*I564*J564,IF(AND(A564&gt;=12,C564&lt;Assumptions!$B$5),Assumptions!$B$15*I564*J564,0))</f>
        <v>0</v>
      </c>
      <c r="N564" s="47" t="n">
        <f aca="false">IF(C564&gt;=Assumptions!$B$5,I564*Assumptions!$B$9/12*(1+Assumptions!$B$10)^INT(A564/12)*J564,0)</f>
        <v>0.999244841262721</v>
      </c>
      <c r="O564" s="47" t="n">
        <f aca="false">I564*Assumptions!$B$12/12*(1+Assumptions!$B$11)^(INT(A564/12)+1)*J564</f>
        <v>0.00641291807045496</v>
      </c>
      <c r="P564" s="47" t="n">
        <f aca="false">O564+Pricing_M!$B$13*M564+N564-Pricing_M!$B$13*K564</f>
        <v>1.00565775933318</v>
      </c>
      <c r="Q564" s="47" t="n">
        <f aca="false">IF(C564&lt;Assumptions!$B$5,Pricing_M!$B$13*K564-Pricing_M!$B$13*M564-O564,-(N564+O564))</f>
        <v>-1.00565775933318</v>
      </c>
      <c r="R564" s="32" t="n">
        <f aca="false">R563*(1-(1-(1-MIN(1,E563*(1-Assumptions!$B$21)))^(1/12)))*(1-H563)</f>
        <v>0.0056588656841982</v>
      </c>
      <c r="S564" s="47" t="n">
        <f aca="false">R564*(IF(C564&lt;Assumptions!$B$5,Assumptions!$B$12*(1+Assumptions!$B$11)^(INT(A564/12)+1)/12+Pricing_M!$B$13*IF(A564=0,Assumptions!$B$14*12,IF(A564&gt;=12,Assumptions!$B$15,0))-Pricing_M!$B$13,Assumptions!$B$9/12*(1+Assumptions!$B$10)^INT(A564/12)+Assumptions!$B$12*(1+Assumptions!$B$11)^(INT(A564/12)+1)/12))*J564</f>
        <v>4.35564740560642</v>
      </c>
      <c r="T564" s="32" t="n">
        <f aca="false">T563*(1-F563)*(1-(1-(1-MIN(1,G563*(1+Assumptions!$B$23)))^(1/12)))</f>
        <v>0.00118357831633539</v>
      </c>
      <c r="U564" s="47" t="n">
        <f aca="false">T564*(IF(C564&lt;Assumptions!$B$5,Assumptions!$B$12*(1+Assumptions!$B$11)^(INT(A564/12)+1)/12+Pricing_M!$B$13*IF(A564=0,Assumptions!$B$14*12,IF(A564&gt;=12,Assumptions!$B$15,0))-Pricing_M!$B$13,Assumptions!$B$9/12*(1+Assumptions!$B$10)^INT(A564/12)+Assumptions!$B$12*(1+Assumptions!$B$11)^(INT(A564/12)+1)/12))*J564</f>
        <v>0.911004097035522</v>
      </c>
      <c r="V564" s="32" t="n">
        <f aca="false">V563*(1-F563)*(1-(1-(1-MIN(1,G563*(1-Assumptions!$B$23)))^(1/12)))</f>
        <v>0.00144098049905507</v>
      </c>
      <c r="W564" s="47" t="n">
        <f aca="false">V564*(IF(C564&lt;Assumptions!$B$5,Assumptions!$B$12*(1+Assumptions!$B$11)^(INT(A564/12)+1)/12+Pricing_M!$B$13*IF(A564=0,Assumptions!$B$14*12,IF(A564&gt;=12,Assumptions!$B$15,0))-Pricing_M!$B$13,Assumptions!$B$9/12*(1+Assumptions!$B$10)^INT(A564/12)+Assumptions!$B$12*(1+Assumptions!$B$11)^(INT(A564/12)+1)/12))*J564</f>
        <v>1.10912739805167</v>
      </c>
      <c r="X564" s="47" t="n">
        <f aca="false">I564*(IF(C564&lt;Assumptions!$B$5,Assumptions!$B$12*(1+Assumptions!$B$11)*(1+Assumptions!$B$24)*(1+Assumptions!$B$11+Assumptions!$B$25)^(INT(A564/12))/12+Pricing_M!$B$13*IF(A564=0,Assumptions!$B$14*12,IF(A564&gt;=12,Assumptions!$B$15,0))-Pricing_M!$B$13,Assumptions!$B$9/12*(1+Assumptions!$B$10)^INT(A564/12)+Assumptions!$B$12*(1+Assumptions!$B$11)*(1+Assumptions!$B$24)*(1+Assumptions!$B$11+Assumptions!$B$25)^(INT(A564/12))/12))*J564</f>
        <v>1.01027055364247</v>
      </c>
    </row>
    <row r="565" customFormat="false" ht="15" hidden="false" customHeight="true" outlineLevel="0" collapsed="false">
      <c r="A565" s="1" t="n">
        <v>558</v>
      </c>
      <c r="B565" s="31" t="n">
        <f aca="false">Assumptions!$B$4+A565/12</f>
        <v>111.5</v>
      </c>
      <c r="C565" s="34" t="n">
        <f aca="false">Assumptions!$B$4+INT(A565/12)</f>
        <v>111</v>
      </c>
      <c r="D565" s="34" t="n">
        <f aca="false">INT(A565/12)+1</f>
        <v>47</v>
      </c>
      <c r="E565" s="32" t="n">
        <f aca="false">IFERROR(INDEX(Cohort_Survival!$G$5:$G$65,MATCH(C565,Cohort_Survival!$A$5:$A$65,0)),1)</f>
        <v>0.458238138888</v>
      </c>
      <c r="F565" s="30" t="n">
        <f aca="false">1-(1-MIN(1,E565))^(1/12)</f>
        <v>0.0497948738142981</v>
      </c>
      <c r="G565" s="39" t="n">
        <f aca="false">IF(C565&lt;Assumptions!$B$5,IF(D565=1,Assumptions!$B$16,IF(D565=2,Assumptions!$B$17,IF(D565&lt;=5,Assumptions!$B$18,Assumptions!$B$19)))*(1-Assumptions!$B$20),0)</f>
        <v>0</v>
      </c>
      <c r="H565" s="30" t="n">
        <f aca="false">1-(1-G565)^(1/12)</f>
        <v>0</v>
      </c>
      <c r="I565" s="30" t="n">
        <f aca="false">I564*(1-F564)*(1-H564)</f>
        <v>0.00124149292183676</v>
      </c>
      <c r="J565" s="30" t="n">
        <f aca="false">INDEX(Discount_Monthly!$G$4:$G$664,MATCH(A565,Discount_Monthly!$A$4:$A$664,0))</f>
        <v>0.230058580667316</v>
      </c>
      <c r="K565" s="30" t="n">
        <f aca="false">IF(C565&lt;Assumptions!$B$5,I565*J565,0)</f>
        <v>0</v>
      </c>
      <c r="L565" s="30" t="n">
        <f aca="false">IF(C565&lt;Assumptions!$B$5,I565*(1-F565)*H565*A565*J565,0)</f>
        <v>0</v>
      </c>
      <c r="M565" s="30" t="n">
        <f aca="false">IF(A565=0,Assumptions!$B$14*12*I565*J565,IF(AND(A565&gt;=12,C565&lt;Assumptions!$B$5),Assumptions!$B$15*I565*J565,0))</f>
        <v>0</v>
      </c>
      <c r="N565" s="47" t="n">
        <f aca="false">IF(C565&gt;=Assumptions!$B$5,I565*Assumptions!$B$9/12*(1+Assumptions!$B$10)^INT(A565/12)*J565,0)</f>
        <v>0.946954956625097</v>
      </c>
      <c r="O565" s="47" t="n">
        <f aca="false">I565*Assumptions!$B$12/12*(1+Assumptions!$B$11)^(INT(A565/12)+1)*J565</f>
        <v>0.00607733390504573</v>
      </c>
      <c r="P565" s="47" t="n">
        <f aca="false">O565+Pricing_M!$B$13*M565+N565-Pricing_M!$B$13*K565</f>
        <v>0.953032290530142</v>
      </c>
      <c r="Q565" s="47" t="n">
        <f aca="false">IF(C565&lt;Assumptions!$B$5,Pricing_M!$B$13*K565-Pricing_M!$B$13*M565-O565,-(N565+O565))</f>
        <v>-0.953032290530142</v>
      </c>
      <c r="R565" s="32" t="n">
        <f aca="false">R564*(1-(1-(1-MIN(1,E564*(1-Assumptions!$B$21)))^(1/12)))*(1-H564)</f>
        <v>0.00544757351341432</v>
      </c>
      <c r="S565" s="47" t="n">
        <f aca="false">R565*(IF(C565&lt;Assumptions!$B$5,Assumptions!$B$12*(1+Assumptions!$B$11)^(INT(A565/12)+1)/12+Pricing_M!$B$13*IF(A565=0,Assumptions!$B$14*12,IF(A565&gt;=12,Assumptions!$B$15,0))-Pricing_M!$B$13,Assumptions!$B$9/12*(1+Assumptions!$B$10)^INT(A565/12)+Assumptions!$B$12*(1+Assumptions!$B$11)^(INT(A565/12)+1)/12))*J565</f>
        <v>4.18183090052546</v>
      </c>
      <c r="T565" s="32" t="n">
        <f aca="false">T564*(1-F564)*(1-(1-(1-MIN(1,G564*(1+Assumptions!$B$23)))^(1/12)))</f>
        <v>0.00112464218342413</v>
      </c>
      <c r="U565" s="47" t="n">
        <f aca="false">T565*(IF(C565&lt;Assumptions!$B$5,Assumptions!$B$12*(1+Assumptions!$B$11)^(INT(A565/12)+1)/12+Pricing_M!$B$13*IF(A565=0,Assumptions!$B$14*12,IF(A565&gt;=12,Assumptions!$B$15,0))-Pricing_M!$B$13,Assumptions!$B$9/12*(1+Assumptions!$B$10)^INT(A565/12)+Assumptions!$B$12*(1+Assumptions!$B$11)^(INT(A565/12)+1)/12))*J565</f>
        <v>0.863331797743795</v>
      </c>
      <c r="V565" s="32" t="n">
        <f aca="false">V564*(1-F564)*(1-(1-(1-MIN(1,G564*(1-Assumptions!$B$23)))^(1/12)))</f>
        <v>0.00136922705693576</v>
      </c>
      <c r="W565" s="47" t="n">
        <f aca="false">V565*(IF(C565&lt;Assumptions!$B$5,Assumptions!$B$12*(1+Assumptions!$B$11)^(INT(A565/12)+1)/12+Pricing_M!$B$13*IF(A565=0,Assumptions!$B$14*12,IF(A565&gt;=12,Assumptions!$B$15,0))-Pricing_M!$B$13,Assumptions!$B$9/12*(1+Assumptions!$B$10)^INT(A565/12)+Assumptions!$B$12*(1+Assumptions!$B$11)^(INT(A565/12)+1)/12))*J565</f>
        <v>1.05108742496634</v>
      </c>
      <c r="X565" s="47" t="n">
        <f aca="false">I565*(IF(C565&lt;Assumptions!$B$5,Assumptions!$B$12*(1+Assumptions!$B$11)*(1+Assumptions!$B$24)*(1+Assumptions!$B$11+Assumptions!$B$25)^(INT(A565/12))/12+Pricing_M!$B$13*IF(A565=0,Assumptions!$B$14*12,IF(A565&gt;=12,Assumptions!$B$15,0))-Pricing_M!$B$13,Assumptions!$B$9/12*(1+Assumptions!$B$10)^INT(A565/12)+Assumptions!$B$12*(1+Assumptions!$B$11)*(1+Assumptions!$B$24)*(1+Assumptions!$B$11+Assumptions!$B$25)^(INT(A565/12))/12))*J565</f>
        <v>0.95740370007333</v>
      </c>
    </row>
    <row r="566" customFormat="false" ht="15" hidden="false" customHeight="true" outlineLevel="0" collapsed="false">
      <c r="A566" s="1" t="n">
        <v>559</v>
      </c>
      <c r="B566" s="31" t="n">
        <f aca="false">Assumptions!$B$4+A566/12</f>
        <v>111.583333333333</v>
      </c>
      <c r="C566" s="34" t="n">
        <f aca="false">Assumptions!$B$4+INT(A566/12)</f>
        <v>111</v>
      </c>
      <c r="D566" s="34" t="n">
        <f aca="false">INT(A566/12)+1</f>
        <v>47</v>
      </c>
      <c r="E566" s="32" t="n">
        <f aca="false">IFERROR(INDEX(Cohort_Survival!$G$5:$G$65,MATCH(C566,Cohort_Survival!$A$5:$A$65,0)),1)</f>
        <v>0.458238138888</v>
      </c>
      <c r="F566" s="30" t="n">
        <f aca="false">1-(1-MIN(1,E566))^(1/12)</f>
        <v>0.0497948738142981</v>
      </c>
      <c r="G566" s="39" t="n">
        <f aca="false">IF(C566&lt;Assumptions!$B$5,IF(D566=1,Assumptions!$B$16,IF(D566=2,Assumptions!$B$17,IF(D566&lt;=5,Assumptions!$B$18,Assumptions!$B$19)))*(1-Assumptions!$B$20),0)</f>
        <v>0</v>
      </c>
      <c r="H566" s="30" t="n">
        <f aca="false">1-(1-G566)^(1/12)</f>
        <v>0</v>
      </c>
      <c r="I566" s="30" t="n">
        <f aca="false">I565*(1-F565)*(1-H565)</f>
        <v>0.00117967293845255</v>
      </c>
      <c r="J566" s="30" t="n">
        <f aca="false">INDEX(Discount_Monthly!$G$4:$G$664,MATCH(A566,Discount_Monthly!$A$4:$A$664,0))</f>
        <v>0.229444934351644</v>
      </c>
      <c r="K566" s="30" t="n">
        <f aca="false">IF(C566&lt;Assumptions!$B$5,I566*J566,0)</f>
        <v>0</v>
      </c>
      <c r="L566" s="30" t="n">
        <f aca="false">IF(C566&lt;Assumptions!$B$5,I566*(1-F566)*H566*A566*J566,0)</f>
        <v>0</v>
      </c>
      <c r="M566" s="30" t="n">
        <f aca="false">IF(A566=0,Assumptions!$B$14*12*I566*J566,IF(AND(A566&gt;=12,C566&lt;Assumptions!$B$5),Assumptions!$B$15*I566*J566,0))</f>
        <v>0</v>
      </c>
      <c r="N566" s="47" t="n">
        <f aca="false">IF(C566&gt;=Assumptions!$B$5,I566*Assumptions!$B$9/12*(1+Assumptions!$B$10)^INT(A566/12)*J566,0)</f>
        <v>0.897401370362514</v>
      </c>
      <c r="O566" s="47" t="n">
        <f aca="false">I566*Assumptions!$B$12/12*(1+Assumptions!$B$11)^(INT(A566/12)+1)*J566</f>
        <v>0.00575931065821306</v>
      </c>
      <c r="P566" s="47" t="n">
        <f aca="false">O566+Pricing_M!$B$13*M566+N566-Pricing_M!$B$13*K566</f>
        <v>0.903160681020727</v>
      </c>
      <c r="Q566" s="47" t="n">
        <f aca="false">IF(C566&lt;Assumptions!$B$5,Pricing_M!$B$13*K566-Pricing_M!$B$13*M566-O566,-(N566+O566))</f>
        <v>-0.903160681020727</v>
      </c>
      <c r="R566" s="32" t="n">
        <f aca="false">R565*(1-(1-(1-MIN(1,E565*(1-Assumptions!$B$21)))^(1/12)))*(1-H565)</f>
        <v>0.00524417062361466</v>
      </c>
      <c r="S566" s="47" t="n">
        <f aca="false">R566*(IF(C566&lt;Assumptions!$B$5,Assumptions!$B$12*(1+Assumptions!$B$11)^(INT(A566/12)+1)/12+Pricing_M!$B$13*IF(A566=0,Assumptions!$B$14*12,IF(A566&gt;=12,Assumptions!$B$15,0))-Pricing_M!$B$13,Assumptions!$B$9/12*(1+Assumptions!$B$10)^INT(A566/12)+Assumptions!$B$12*(1+Assumptions!$B$11)^(INT(A566/12)+1)/12))*J566</f>
        <v>4.01495071848104</v>
      </c>
      <c r="T566" s="32" t="n">
        <f aca="false">T565*(1-F565)*(1-(1-(1-MIN(1,G565*(1+Assumptions!$B$23)))^(1/12)))</f>
        <v>0.00106864076781429</v>
      </c>
      <c r="U566" s="47" t="n">
        <f aca="false">T566*(IF(C566&lt;Assumptions!$B$5,Assumptions!$B$12*(1+Assumptions!$B$11)^(INT(A566/12)+1)/12+Pricing_M!$B$13*IF(A566=0,Assumptions!$B$14*12,IF(A566&gt;=12,Assumptions!$B$15,0))-Pricing_M!$B$13,Assumptions!$B$9/12*(1+Assumptions!$B$10)^INT(A566/12)+Assumptions!$B$12*(1+Assumptions!$B$11)^(INT(A566/12)+1)/12))*J566</f>
        <v>0.818154161348926</v>
      </c>
      <c r="V566" s="32" t="n">
        <f aca="false">V565*(1-F565)*(1-(1-(1-MIN(1,G565*(1-Assumptions!$B$23)))^(1/12)))</f>
        <v>0.00130104656841252</v>
      </c>
      <c r="W566" s="47" t="n">
        <f aca="false">V566*(IF(C566&lt;Assumptions!$B$5,Assumptions!$B$12*(1+Assumptions!$B$11)^(INT(A566/12)+1)/12+Pricing_M!$B$13*IF(A566=0,Assumptions!$B$14*12,IF(A566&gt;=12,Assumptions!$B$15,0))-Pricing_M!$B$13,Assumptions!$B$9/12*(1+Assumptions!$B$10)^INT(A566/12)+Assumptions!$B$12*(1+Assumptions!$B$11)^(INT(A566/12)+1)/12))*J566</f>
        <v>0.996084648943902</v>
      </c>
      <c r="X566" s="47" t="n">
        <f aca="false">I566*(IF(C566&lt;Assumptions!$B$5,Assumptions!$B$12*(1+Assumptions!$B$11)*(1+Assumptions!$B$24)*(1+Assumptions!$B$11+Assumptions!$B$25)^(INT(A566/12))/12+Pricing_M!$B$13*IF(A566=0,Assumptions!$B$14*12,IF(A566&gt;=12,Assumptions!$B$15,0))-Pricing_M!$B$13,Assumptions!$B$9/12*(1+Assumptions!$B$10)^INT(A566/12)+Assumptions!$B$12*(1+Assumptions!$B$11)*(1+Assumptions!$B$24)*(1+Assumptions!$B$11+Assumptions!$B$25)^(INT(A566/12))/12))*J566</f>
        <v>0.907303337318186</v>
      </c>
    </row>
    <row r="567" customFormat="false" ht="15" hidden="false" customHeight="true" outlineLevel="0" collapsed="false">
      <c r="A567" s="1" t="n">
        <v>560</v>
      </c>
      <c r="B567" s="31" t="n">
        <f aca="false">Assumptions!$B$4+A567/12</f>
        <v>111.666666666667</v>
      </c>
      <c r="C567" s="34" t="n">
        <f aca="false">Assumptions!$B$4+INT(A567/12)</f>
        <v>111</v>
      </c>
      <c r="D567" s="34" t="n">
        <f aca="false">INT(A567/12)+1</f>
        <v>47</v>
      </c>
      <c r="E567" s="32" t="n">
        <f aca="false">IFERROR(INDEX(Cohort_Survival!$G$5:$G$65,MATCH(C567,Cohort_Survival!$A$5:$A$65,0)),1)</f>
        <v>0.458238138888</v>
      </c>
      <c r="F567" s="30" t="n">
        <f aca="false">1-(1-MIN(1,E567))^(1/12)</f>
        <v>0.0497948738142981</v>
      </c>
      <c r="G567" s="39" t="n">
        <f aca="false">IF(C567&lt;Assumptions!$B$5,IF(D567=1,Assumptions!$B$16,IF(D567=2,Assumptions!$B$17,IF(D567&lt;=5,Assumptions!$B$18,Assumptions!$B$19)))*(1-Assumptions!$B$20),0)</f>
        <v>0</v>
      </c>
      <c r="H567" s="30" t="n">
        <f aca="false">1-(1-G567)^(1/12)</f>
        <v>0</v>
      </c>
      <c r="I567" s="30" t="n">
        <f aca="false">I566*(1-F566)*(1-H566)</f>
        <v>0.00112093127334016</v>
      </c>
      <c r="J567" s="30" t="n">
        <f aca="false">INDEX(Discount_Monthly!$G$4:$G$664,MATCH(A567,Discount_Monthly!$A$4:$A$664,0))</f>
        <v>0.228832924844301</v>
      </c>
      <c r="K567" s="30" t="n">
        <f aca="false">IF(C567&lt;Assumptions!$B$5,I567*J567,0)</f>
        <v>0</v>
      </c>
      <c r="L567" s="30" t="n">
        <f aca="false">IF(C567&lt;Assumptions!$B$5,I567*(1-F567)*H567*A567*J567,0)</f>
        <v>0</v>
      </c>
      <c r="M567" s="30" t="n">
        <f aca="false">IF(A567=0,Assumptions!$B$14*12*I567*J567,IF(AND(A567&gt;=12,C567&lt;Assumptions!$B$5),Assumptions!$B$15*I567*J567,0))</f>
        <v>0</v>
      </c>
      <c r="N567" s="47" t="n">
        <f aca="false">IF(C567&gt;=Assumptions!$B$5,I567*Assumptions!$B$9/12*(1+Assumptions!$B$10)^INT(A567/12)*J567,0)</f>
        <v>0.850440893618292</v>
      </c>
      <c r="O567" s="47" t="n">
        <f aca="false">I567*Assumptions!$B$12/12*(1+Assumptions!$B$11)^(INT(A567/12)+1)*J567</f>
        <v>0.00545792937759555</v>
      </c>
      <c r="P567" s="47" t="n">
        <f aca="false">O567+Pricing_M!$B$13*M567+N567-Pricing_M!$B$13*K567</f>
        <v>0.855898822995888</v>
      </c>
      <c r="Q567" s="47" t="n">
        <f aca="false">IF(C567&lt;Assumptions!$B$5,Pricing_M!$B$13*K567-Pricing_M!$B$13*M567-O567,-(N567+O567))</f>
        <v>-0.855898822995888</v>
      </c>
      <c r="R567" s="32" t="n">
        <f aca="false">R566*(1-(1-(1-MIN(1,E566*(1-Assumptions!$B$21)))^(1/12)))*(1-H566)</f>
        <v>0.00504836244281287</v>
      </c>
      <c r="S567" s="47" t="n">
        <f aca="false">R567*(IF(C567&lt;Assumptions!$B$5,Assumptions!$B$12*(1+Assumptions!$B$11)^(INT(A567/12)+1)/12+Pricing_M!$B$13*IF(A567=0,Assumptions!$B$14*12,IF(A567&gt;=12,Assumptions!$B$15,0))-Pricing_M!$B$13,Assumptions!$B$9/12*(1+Assumptions!$B$10)^INT(A567/12)+Assumptions!$B$12*(1+Assumptions!$B$11)^(INT(A567/12)+1)/12))*J567</f>
        <v>3.85473005850283</v>
      </c>
      <c r="T567" s="32" t="n">
        <f aca="false">T566*(1-F566)*(1-(1-(1-MIN(1,G566*(1+Assumptions!$B$23)))^(1/12)))</f>
        <v>0.00101542793562817</v>
      </c>
      <c r="U567" s="47" t="n">
        <f aca="false">T567*(IF(C567&lt;Assumptions!$B$5,Assumptions!$B$12*(1+Assumptions!$B$11)^(INT(A567/12)+1)/12+Pricing_M!$B$13*IF(A567=0,Assumptions!$B$14*12,IF(A567&gt;=12,Assumptions!$B$15,0))-Pricing_M!$B$13,Assumptions!$B$9/12*(1+Assumptions!$B$10)^INT(A567/12)+Assumptions!$B$12*(1+Assumptions!$B$11)^(INT(A567/12)+1)/12))*J567</f>
        <v>0.775340643634222</v>
      </c>
      <c r="V567" s="32" t="n">
        <f aca="false">V566*(1-F566)*(1-(1-(1-MIN(1,G566*(1-Assumptions!$B$23)))^(1/12)))</f>
        <v>0.00123626111871189</v>
      </c>
      <c r="W567" s="47" t="n">
        <f aca="false">V567*(IF(C567&lt;Assumptions!$B$5,Assumptions!$B$12*(1+Assumptions!$B$11)^(INT(A567/12)+1)/12+Pricing_M!$B$13*IF(A567=0,Assumptions!$B$14*12,IF(A567&gt;=12,Assumptions!$B$15,0))-Pricing_M!$B$13,Assumptions!$B$9/12*(1+Assumptions!$B$10)^INT(A567/12)+Assumptions!$B$12*(1+Assumptions!$B$11)^(INT(A567/12)+1)/12))*J567</f>
        <v>0.943960135279397</v>
      </c>
      <c r="X567" s="47" t="n">
        <f aca="false">I567*(IF(C567&lt;Assumptions!$B$5,Assumptions!$B$12*(1+Assumptions!$B$11)*(1+Assumptions!$B$24)*(1+Assumptions!$B$11+Assumptions!$B$25)^(INT(A567/12))/12+Pricing_M!$B$13*IF(A567=0,Assumptions!$B$14*12,IF(A567&gt;=12,Assumptions!$B$15,0))-Pricing_M!$B$13,Assumptions!$B$9/12*(1+Assumptions!$B$10)^INT(A567/12)+Assumptions!$B$12*(1+Assumptions!$B$11)*(1+Assumptions!$B$24)*(1+Assumptions!$B$11+Assumptions!$B$25)^(INT(A567/12))/12))*J567</f>
        <v>0.85982469656809</v>
      </c>
    </row>
    <row r="568" customFormat="false" ht="15" hidden="false" customHeight="true" outlineLevel="0" collapsed="false">
      <c r="A568" s="1" t="n">
        <v>561</v>
      </c>
      <c r="B568" s="31" t="n">
        <f aca="false">Assumptions!$B$4+A568/12</f>
        <v>111.75</v>
      </c>
      <c r="C568" s="34" t="n">
        <f aca="false">Assumptions!$B$4+INT(A568/12)</f>
        <v>111</v>
      </c>
      <c r="D568" s="34" t="n">
        <f aca="false">INT(A568/12)+1</f>
        <v>47</v>
      </c>
      <c r="E568" s="32" t="n">
        <f aca="false">IFERROR(INDEX(Cohort_Survival!$G$5:$G$65,MATCH(C568,Cohort_Survival!$A$5:$A$65,0)),1)</f>
        <v>0.458238138888</v>
      </c>
      <c r="F568" s="30" t="n">
        <f aca="false">1-(1-MIN(1,E568))^(1/12)</f>
        <v>0.0497948738142981</v>
      </c>
      <c r="G568" s="39" t="n">
        <f aca="false">IF(C568&lt;Assumptions!$B$5,IF(D568=1,Assumptions!$B$16,IF(D568=2,Assumptions!$B$17,IF(D568&lt;=5,Assumptions!$B$18,Assumptions!$B$19)))*(1-Assumptions!$B$20),0)</f>
        <v>0</v>
      </c>
      <c r="H568" s="30" t="n">
        <f aca="false">1-(1-G568)^(1/12)</f>
        <v>0</v>
      </c>
      <c r="I568" s="30" t="n">
        <f aca="false">I567*(1-F567)*(1-H567)</f>
        <v>0.00106511464202969</v>
      </c>
      <c r="J568" s="30" t="n">
        <f aca="false">INDEX(Discount_Monthly!$G$4:$G$664,MATCH(A568,Discount_Monthly!$A$4:$A$664,0))</f>
        <v>0.228222547779348</v>
      </c>
      <c r="K568" s="30" t="n">
        <f aca="false">IF(C568&lt;Assumptions!$B$5,I568*J568,0)</f>
        <v>0</v>
      </c>
      <c r="L568" s="30" t="n">
        <f aca="false">IF(C568&lt;Assumptions!$B$5,I568*(1-F568)*H568*A568*J568,0)</f>
        <v>0</v>
      </c>
      <c r="M568" s="30" t="n">
        <f aca="false">IF(A568=0,Assumptions!$B$14*12*I568*J568,IF(AND(A568&gt;=12,C568&lt;Assumptions!$B$5),Assumptions!$B$15*I568*J568,0))</f>
        <v>0</v>
      </c>
      <c r="N568" s="47" t="n">
        <f aca="false">IF(C568&gt;=Assumptions!$B$5,I568*Assumptions!$B$9/12*(1+Assumptions!$B$10)^INT(A568/12)*J568,0)</f>
        <v>0.805937830522941</v>
      </c>
      <c r="O568" s="47" t="n">
        <f aca="false">I568*Assumptions!$B$12/12*(1+Assumptions!$B$11)^(INT(A568/12)+1)*J568</f>
        <v>0.005172319199059</v>
      </c>
      <c r="P568" s="47" t="n">
        <f aca="false">O568+Pricing_M!$B$13*M568+N568-Pricing_M!$B$13*K568</f>
        <v>0.811110149722</v>
      </c>
      <c r="Q568" s="47" t="n">
        <f aca="false">IF(C568&lt;Assumptions!$B$5,Pricing_M!$B$13*K568-Pricing_M!$B$13*M568-O568,-(N568+O568))</f>
        <v>-0.811110149722</v>
      </c>
      <c r="R568" s="32" t="n">
        <f aca="false">R567*(1-(1-(1-MIN(1,E567*(1-Assumptions!$B$21)))^(1/12)))*(1-H567)</f>
        <v>0.00485986539782657</v>
      </c>
      <c r="S568" s="47" t="n">
        <f aca="false">R568*(IF(C568&lt;Assumptions!$B$5,Assumptions!$B$12*(1+Assumptions!$B$11)^(INT(A568/12)+1)/12+Pricing_M!$B$13*IF(A568=0,Assumptions!$B$14*12,IF(A568&gt;=12,Assumptions!$B$15,0))-Pricing_M!$B$13,Assumptions!$B$9/12*(1+Assumptions!$B$10)^INT(A568/12)+Assumptions!$B$12*(1+Assumptions!$B$11)^(INT(A568/12)+1)/12))*J568</f>
        <v>3.70090316564252</v>
      </c>
      <c r="T568" s="32" t="n">
        <f aca="false">T567*(1-F567)*(1-(1-(1-MIN(1,G567*(1+Assumptions!$B$23)))^(1/12)))</f>
        <v>0.000964864829706047</v>
      </c>
      <c r="U568" s="47" t="n">
        <f aca="false">T568*(IF(C568&lt;Assumptions!$B$5,Assumptions!$B$12*(1+Assumptions!$B$11)^(INT(A568/12)+1)/12+Pricing_M!$B$13*IF(A568=0,Assumptions!$B$14*12,IF(A568&gt;=12,Assumptions!$B$15,0))-Pricing_M!$B$13,Assumptions!$B$9/12*(1+Assumptions!$B$10)^INT(A568/12)+Assumptions!$B$12*(1+Assumptions!$B$11)^(INT(A568/12)+1)/12))*J568</f>
        <v>0.734767531683739</v>
      </c>
      <c r="V568" s="32" t="n">
        <f aca="false">V567*(1-F567)*(1-(1-(1-MIN(1,G567*(1-Assumptions!$B$23)))^(1/12)))</f>
        <v>0.00117470165230411</v>
      </c>
      <c r="W568" s="47" t="n">
        <f aca="false">V568*(IF(C568&lt;Assumptions!$B$5,Assumptions!$B$12*(1+Assumptions!$B$11)^(INT(A568/12)+1)/12+Pricing_M!$B$13*IF(A568=0,Assumptions!$B$14*12,IF(A568&gt;=12,Assumptions!$B$15,0))-Pricing_M!$B$13,Assumptions!$B$9/12*(1+Assumptions!$B$10)^INT(A568/12)+Assumptions!$B$12*(1+Assumptions!$B$11)^(INT(A568/12)+1)/12))*J568</f>
        <v>0.894563266225861</v>
      </c>
      <c r="X568" s="47" t="n">
        <f aca="false">I568*(IF(C568&lt;Assumptions!$B$5,Assumptions!$B$12*(1+Assumptions!$B$11)*(1+Assumptions!$B$24)*(1+Assumptions!$B$11+Assumptions!$B$25)^(INT(A568/12))/12+Pricing_M!$B$13*IF(A568=0,Assumptions!$B$14*12,IF(A568&gt;=12,Assumptions!$B$15,0))-Pricing_M!$B$13,Assumptions!$B$9/12*(1+Assumptions!$B$10)^INT(A568/12)+Assumptions!$B$12*(1+Assumptions!$B$11)*(1+Assumptions!$B$24)*(1+Assumptions!$B$11+Assumptions!$B$25)^(INT(A568/12))/12))*J568</f>
        <v>0.814830584679245</v>
      </c>
    </row>
    <row r="569" customFormat="false" ht="15" hidden="false" customHeight="true" outlineLevel="0" collapsed="false">
      <c r="A569" s="1" t="n">
        <v>562</v>
      </c>
      <c r="B569" s="31" t="n">
        <f aca="false">Assumptions!$B$4+A569/12</f>
        <v>111.833333333333</v>
      </c>
      <c r="C569" s="34" t="n">
        <f aca="false">Assumptions!$B$4+INT(A569/12)</f>
        <v>111</v>
      </c>
      <c r="D569" s="34" t="n">
        <f aca="false">INT(A569/12)+1</f>
        <v>47</v>
      </c>
      <c r="E569" s="32" t="n">
        <f aca="false">IFERROR(INDEX(Cohort_Survival!$G$5:$G$65,MATCH(C569,Cohort_Survival!$A$5:$A$65,0)),1)</f>
        <v>0.458238138888</v>
      </c>
      <c r="F569" s="30" t="n">
        <f aca="false">1-(1-MIN(1,E569))^(1/12)</f>
        <v>0.0497948738142981</v>
      </c>
      <c r="G569" s="39" t="n">
        <f aca="false">IF(C569&lt;Assumptions!$B$5,IF(D569=1,Assumptions!$B$16,IF(D569=2,Assumptions!$B$17,IF(D569&lt;=5,Assumptions!$B$18,Assumptions!$B$19)))*(1-Assumptions!$B$20),0)</f>
        <v>0</v>
      </c>
      <c r="H569" s="30" t="n">
        <f aca="false">1-(1-G569)^(1/12)</f>
        <v>0</v>
      </c>
      <c r="I569" s="30" t="n">
        <f aca="false">I568*(1-F568)*(1-H568)</f>
        <v>0.00101207739283206</v>
      </c>
      <c r="J569" s="30" t="n">
        <f aca="false">INDEX(Discount_Monthly!$G$4:$G$664,MATCH(A569,Discount_Monthly!$A$4:$A$664,0))</f>
        <v>0.227613798802493</v>
      </c>
      <c r="K569" s="30" t="n">
        <f aca="false">IF(C569&lt;Assumptions!$B$5,I569*J569,0)</f>
        <v>0</v>
      </c>
      <c r="L569" s="30" t="n">
        <f aca="false">IF(C569&lt;Assumptions!$B$5,I569*(1-F569)*H569*A569*J569,0)</f>
        <v>0</v>
      </c>
      <c r="M569" s="30" t="n">
        <f aca="false">IF(A569=0,Assumptions!$B$14*12*I569*J569,IF(AND(A569&gt;=12,C569&lt;Assumptions!$B$5),Assumptions!$B$15*I569*J569,0))</f>
        <v>0</v>
      </c>
      <c r="N569" s="47" t="n">
        <f aca="false">IF(C569&gt;=Assumptions!$B$5,I569*Assumptions!$B$9/12*(1+Assumptions!$B$10)^INT(A569/12)*J569,0)</f>
        <v>0.763763586090628</v>
      </c>
      <c r="O569" s="47" t="n">
        <f aca="false">I569*Assumptions!$B$12/12*(1+Assumptions!$B$11)^(INT(A569/12)+1)*J569</f>
        <v>0.00490165483026827</v>
      </c>
      <c r="P569" s="47" t="n">
        <f aca="false">O569+Pricing_M!$B$13*M569+N569-Pricing_M!$B$13*K569</f>
        <v>0.768665240920896</v>
      </c>
      <c r="Q569" s="47" t="n">
        <f aca="false">IF(C569&lt;Assumptions!$B$5,Pricing_M!$B$13*K569-Pricing_M!$B$13*M569-O569,-(N569+O569))</f>
        <v>-0.768665240920896</v>
      </c>
      <c r="R569" s="32" t="n">
        <f aca="false">R568*(1-(1-(1-MIN(1,E568*(1-Assumptions!$B$21)))^(1/12)))*(1-H568)</f>
        <v>0.00467840650360125</v>
      </c>
      <c r="S569" s="47" t="n">
        <f aca="false">R569*(IF(C569&lt;Assumptions!$B$5,Assumptions!$B$12*(1+Assumptions!$B$11)^(INT(A569/12)+1)/12+Pricing_M!$B$13*IF(A569=0,Assumptions!$B$14*12,IF(A569&gt;=12,Assumptions!$B$15,0))-Pricing_M!$B$13,Assumptions!$B$9/12*(1+Assumptions!$B$10)^INT(A569/12)+Assumptions!$B$12*(1+Assumptions!$B$11)^(INT(A569/12)+1)/12))*J569</f>
        <v>3.55321489017122</v>
      </c>
      <c r="T569" s="32" t="n">
        <f aca="false">T568*(1-F568)*(1-(1-(1-MIN(1,G568*(1+Assumptions!$B$23)))^(1/12)))</f>
        <v>0.00091681950726298</v>
      </c>
      <c r="U569" s="47" t="n">
        <f aca="false">T569*(IF(C569&lt;Assumptions!$B$5,Assumptions!$B$12*(1+Assumptions!$B$11)^(INT(A569/12)+1)/12+Pricing_M!$B$13*IF(A569=0,Assumptions!$B$14*12,IF(A569&gt;=12,Assumptions!$B$15,0))-Pricing_M!$B$13,Assumptions!$B$9/12*(1+Assumptions!$B$10)^INT(A569/12)+Assumptions!$B$12*(1+Assumptions!$B$11)^(INT(A569/12)+1)/12))*J569</f>
        <v>0.696317586404399</v>
      </c>
      <c r="V569" s="32" t="n">
        <f aca="false">V568*(1-F568)*(1-(1-(1-MIN(1,G568*(1-Assumptions!$B$23)))^(1/12)))</f>
        <v>0.00111620753175818</v>
      </c>
      <c r="W569" s="47" t="n">
        <f aca="false">V569*(IF(C569&lt;Assumptions!$B$5,Assumptions!$B$12*(1+Assumptions!$B$11)^(INT(A569/12)+1)/12+Pricing_M!$B$13*IF(A569=0,Assumptions!$B$14*12,IF(A569&gt;=12,Assumptions!$B$15,0))-Pricing_M!$B$13,Assumptions!$B$9/12*(1+Assumptions!$B$10)^INT(A569/12)+Assumptions!$B$12*(1+Assumptions!$B$11)^(INT(A569/12)+1)/12))*J569</f>
        <v>0.847751305772909</v>
      </c>
      <c r="X569" s="47" t="n">
        <f aca="false">I569*(IF(C569&lt;Assumptions!$B$5,Assumptions!$B$12*(1+Assumptions!$B$11)*(1+Assumptions!$B$24)*(1+Assumptions!$B$11+Assumptions!$B$25)^(INT(A569/12))/12+Pricing_M!$B$13*IF(A569=0,Assumptions!$B$14*12,IF(A569&gt;=12,Assumptions!$B$15,0))-Pricing_M!$B$13,Assumptions!$B$9/12*(1+Assumptions!$B$10)^INT(A569/12)+Assumptions!$B$12*(1+Assumptions!$B$11)*(1+Assumptions!$B$24)*(1+Assumptions!$B$11+Assumptions!$B$25)^(INT(A569/12))/12))*J569</f>
        <v>0.772190987742978</v>
      </c>
    </row>
    <row r="570" customFormat="false" ht="15" hidden="false" customHeight="true" outlineLevel="0" collapsed="false">
      <c r="A570" s="1" t="n">
        <v>563</v>
      </c>
      <c r="B570" s="31" t="n">
        <f aca="false">Assumptions!$B$4+A570/12</f>
        <v>111.916666666667</v>
      </c>
      <c r="C570" s="34" t="n">
        <f aca="false">Assumptions!$B$4+INT(A570/12)</f>
        <v>111</v>
      </c>
      <c r="D570" s="34" t="n">
        <f aca="false">INT(A570/12)+1</f>
        <v>47</v>
      </c>
      <c r="E570" s="32" t="n">
        <f aca="false">IFERROR(INDEX(Cohort_Survival!$G$5:$G$65,MATCH(C570,Cohort_Survival!$A$5:$A$65,0)),1)</f>
        <v>0.458238138888</v>
      </c>
      <c r="F570" s="30" t="n">
        <f aca="false">1-(1-MIN(1,E570))^(1/12)</f>
        <v>0.0497948738142981</v>
      </c>
      <c r="G570" s="39" t="n">
        <f aca="false">IF(C570&lt;Assumptions!$B$5,IF(D570=1,Assumptions!$B$16,IF(D570=2,Assumptions!$B$17,IF(D570&lt;=5,Assumptions!$B$18,Assumptions!$B$19)))*(1-Assumptions!$B$20),0)</f>
        <v>0</v>
      </c>
      <c r="H570" s="30" t="n">
        <f aca="false">1-(1-G570)^(1/12)</f>
        <v>0</v>
      </c>
      <c r="I570" s="30" t="n">
        <f aca="false">I569*(1-F569)*(1-H569)</f>
        <v>0.000961681126765684</v>
      </c>
      <c r="J570" s="30" t="n">
        <f aca="false">INDEX(Discount_Monthly!$G$4:$G$664,MATCH(A570,Discount_Monthly!$A$4:$A$664,0))</f>
        <v>0.227006673571058</v>
      </c>
      <c r="K570" s="30" t="n">
        <f aca="false">IF(C570&lt;Assumptions!$B$5,I570*J570,0)</f>
        <v>0</v>
      </c>
      <c r="L570" s="30" t="n">
        <f aca="false">IF(C570&lt;Assumptions!$B$5,I570*(1-F570)*H570*A570*J570,0)</f>
        <v>0</v>
      </c>
      <c r="M570" s="30" t="n">
        <f aca="false">IF(A570=0,Assumptions!$B$14*12*I570*J570,IF(AND(A570&gt;=12,C570&lt;Assumptions!$B$5),Assumptions!$B$15*I570*J570,0))</f>
        <v>0</v>
      </c>
      <c r="N570" s="47" t="n">
        <f aca="false">IF(C570&gt;=Assumptions!$B$5,I570*Assumptions!$B$9/12*(1+Assumptions!$B$10)^INT(A570/12)*J570,0)</f>
        <v>0.723796294634182</v>
      </c>
      <c r="O570" s="47" t="n">
        <f aca="false">I570*Assumptions!$B$12/12*(1+Assumptions!$B$11)^(INT(A570/12)+1)*J570</f>
        <v>0.00464515416594231</v>
      </c>
      <c r="P570" s="47" t="n">
        <f aca="false">O570+Pricing_M!$B$13*M570+N570-Pricing_M!$B$13*K570</f>
        <v>0.728441448800125</v>
      </c>
      <c r="Q570" s="47" t="n">
        <f aca="false">IF(C570&lt;Assumptions!$B$5,Pricing_M!$B$13*K570-Pricing_M!$B$13*M570-O570,-(N570+O570))</f>
        <v>-0.728441448800125</v>
      </c>
      <c r="R570" s="32" t="n">
        <f aca="false">R569*(1-(1-(1-MIN(1,E569*(1-Assumptions!$B$21)))^(1/12)))*(1-H569)</f>
        <v>0.004503722967868</v>
      </c>
      <c r="S570" s="47" t="n">
        <f aca="false">R570*(IF(C570&lt;Assumptions!$B$5,Assumptions!$B$12*(1+Assumptions!$B$11)^(INT(A570/12)+1)/12+Pricing_M!$B$13*IF(A570=0,Assumptions!$B$14*12,IF(A570&gt;=12,Assumptions!$B$15,0))-Pricing_M!$B$13,Assumptions!$B$9/12*(1+Assumptions!$B$10)^INT(A570/12)+Assumptions!$B$12*(1+Assumptions!$B$11)^(INT(A570/12)+1)/12))*J570</f>
        <v>3.41142026436744</v>
      </c>
      <c r="T570" s="32" t="n">
        <f aca="false">T569*(1-F569)*(1-(1-(1-MIN(1,G569*(1+Assumptions!$B$23)))^(1/12)))</f>
        <v>0.000871166595588333</v>
      </c>
      <c r="U570" s="47" t="n">
        <f aca="false">T570*(IF(C570&lt;Assumptions!$B$5,Assumptions!$B$12*(1+Assumptions!$B$11)^(INT(A570/12)+1)/12+Pricing_M!$B$13*IF(A570=0,Assumptions!$B$14*12,IF(A570&gt;=12,Assumptions!$B$15,0))-Pricing_M!$B$13,Assumptions!$B$9/12*(1+Assumptions!$B$10)^INT(A570/12)+Assumptions!$B$12*(1+Assumptions!$B$11)^(INT(A570/12)+1)/12))*J570</f>
        <v>0.659879703754713</v>
      </c>
      <c r="V570" s="32" t="n">
        <f aca="false">V569*(1-F569)*(1-(1-(1-MIN(1,G569*(1-Assumptions!$B$23)))^(1/12)))</f>
        <v>0.00106062611856371</v>
      </c>
      <c r="W570" s="47" t="n">
        <f aca="false">V570*(IF(C570&lt;Assumptions!$B$5,Assumptions!$B$12*(1+Assumptions!$B$11)^(INT(A570/12)+1)/12+Pricing_M!$B$13*IF(A570=0,Assumptions!$B$14*12,IF(A570&gt;=12,Assumptions!$B$15,0))-Pricing_M!$B$13,Assumptions!$B$9/12*(1+Assumptions!$B$10)^INT(A570/12)+Assumptions!$B$12*(1+Assumptions!$B$11)^(INT(A570/12)+1)/12))*J570</f>
        <v>0.803388987200172</v>
      </c>
      <c r="X570" s="47" t="n">
        <f aca="false">I570*(IF(C570&lt;Assumptions!$B$5,Assumptions!$B$12*(1+Assumptions!$B$11)*(1+Assumptions!$B$24)*(1+Assumptions!$B$11+Assumptions!$B$25)^(INT(A570/12))/12+Pricing_M!$B$13*IF(A570=0,Assumptions!$B$14*12,IF(A570&gt;=12,Assumptions!$B$15,0))-Pricing_M!$B$13,Assumptions!$B$9/12*(1+Assumptions!$B$10)^INT(A570/12)+Assumptions!$B$12*(1+Assumptions!$B$11)*(1+Assumptions!$B$24)*(1+Assumptions!$B$11+Assumptions!$B$25)^(INT(A570/12))/12))*J570</f>
        <v>0.731782695400664</v>
      </c>
    </row>
    <row r="571" customFormat="false" ht="15" hidden="false" customHeight="true" outlineLevel="0" collapsed="false">
      <c r="A571" s="1" t="n">
        <v>564</v>
      </c>
      <c r="B571" s="31" t="n">
        <f aca="false">Assumptions!$B$4+A571/12</f>
        <v>112</v>
      </c>
      <c r="C571" s="34" t="n">
        <f aca="false">Assumptions!$B$4+INT(A571/12)</f>
        <v>112</v>
      </c>
      <c r="D571" s="34" t="n">
        <f aca="false">INT(A571/12)+1</f>
        <v>48</v>
      </c>
      <c r="E571" s="32" t="n">
        <f aca="false">IFERROR(INDEX(Cohort_Survival!$G$5:$G$65,MATCH(C571,Cohort_Survival!$A$5:$A$65,0)),1)</f>
        <v>0.475813576891172</v>
      </c>
      <c r="F571" s="30" t="n">
        <f aca="false">1-(1-MIN(1,E571))^(1/12)</f>
        <v>0.0524027013092234</v>
      </c>
      <c r="G571" s="39" t="n">
        <f aca="false">IF(C571&lt;Assumptions!$B$5,IF(D571=1,Assumptions!$B$16,IF(D571=2,Assumptions!$B$17,IF(D571&lt;=5,Assumptions!$B$18,Assumptions!$B$19)))*(1-Assumptions!$B$20),0)</f>
        <v>0</v>
      </c>
      <c r="H571" s="30" t="n">
        <f aca="false">1-(1-G571)^(1/12)</f>
        <v>0</v>
      </c>
      <c r="I571" s="30" t="n">
        <f aca="false">I570*(1-F570)*(1-H570)</f>
        <v>0.000913794336408794</v>
      </c>
      <c r="J571" s="30" t="n">
        <f aca="false">INDEX(Discount_Monthly!$G$4:$G$664,MATCH(A571,Discount_Monthly!$A$4:$A$664,0))</f>
        <v>0.22640116775395</v>
      </c>
      <c r="K571" s="30" t="n">
        <f aca="false">IF(C571&lt;Assumptions!$B$5,I571*J571,0)</f>
        <v>0</v>
      </c>
      <c r="L571" s="30" t="n">
        <f aca="false">IF(C571&lt;Assumptions!$B$5,I571*(1-F571)*H571*A571*J571,0)</f>
        <v>0</v>
      </c>
      <c r="M571" s="30" t="n">
        <f aca="false">IF(A571=0,Assumptions!$B$14*12*I571*J571,IF(AND(A571&gt;=12,C571&lt;Assumptions!$B$5),Assumptions!$B$15*I571*J571,0))</f>
        <v>0</v>
      </c>
      <c r="N571" s="47" t="n">
        <f aca="false">IF(C571&gt;=Assumptions!$B$5,I571*Assumptions!$B$9/12*(1+Assumptions!$B$10)^INT(A571/12)*J571,0)</f>
        <v>0.699638876977422</v>
      </c>
      <c r="O571" s="47" t="n">
        <f aca="false">I571*Assumptions!$B$12/12*(1+Assumptions!$B$11)^(INT(A571/12)+1)*J571</f>
        <v>0.00451212792859896</v>
      </c>
      <c r="P571" s="47" t="n">
        <f aca="false">O571+Pricing_M!$B$13*M571+N571-Pricing_M!$B$13*K571</f>
        <v>0.704151004906021</v>
      </c>
      <c r="Q571" s="47" t="n">
        <f aca="false">IF(C571&lt;Assumptions!$B$5,Pricing_M!$B$13*K571-Pricing_M!$B$13*M571-O571,-(N571+O571))</f>
        <v>-0.704151004906021</v>
      </c>
      <c r="R571" s="32" t="n">
        <f aca="false">R570*(1-(1-(1-MIN(1,E570*(1-Assumptions!$B$21)))^(1/12)))*(1-H570)</f>
        <v>0.0043355618105627</v>
      </c>
      <c r="S571" s="47" t="n">
        <f aca="false">R571*(IF(C571&lt;Assumptions!$B$5,Assumptions!$B$12*(1+Assumptions!$B$11)^(INT(A571/12)+1)/12+Pricing_M!$B$13*IF(A571=0,Assumptions!$B$14*12,IF(A571&gt;=12,Assumptions!$B$15,0))-Pricing_M!$B$13,Assumptions!$B$9/12*(1+Assumptions!$B$10)^INT(A571/12)+Assumptions!$B$12*(1+Assumptions!$B$11)^(INT(A571/12)+1)/12))*J571</f>
        <v>3.34089420792181</v>
      </c>
      <c r="T571" s="32" t="n">
        <f aca="false">T570*(1-F570)*(1-(1-(1-MIN(1,G570*(1+Assumptions!$B$23)))^(1/12)))</f>
        <v>0.00082778696488978</v>
      </c>
      <c r="U571" s="47" t="n">
        <f aca="false">T571*(IF(C571&lt;Assumptions!$B$5,Assumptions!$B$12*(1+Assumptions!$B$11)^(INT(A571/12)+1)/12+Pricing_M!$B$13*IF(A571=0,Assumptions!$B$14*12,IF(A571&gt;=12,Assumptions!$B$15,0))-Pricing_M!$B$13,Assumptions!$B$9/12*(1+Assumptions!$B$10)^INT(A571/12)+Assumptions!$B$12*(1+Assumptions!$B$11)^(INT(A571/12)+1)/12))*J571</f>
        <v>0.637875504313132</v>
      </c>
      <c r="V571" s="32" t="n">
        <f aca="false">V570*(1-F570)*(1-(1-(1-MIN(1,G570*(1-Assumptions!$B$23)))^(1/12)))</f>
        <v>0.00100781237482568</v>
      </c>
      <c r="W571" s="47" t="n">
        <f aca="false">V571*(IF(C571&lt;Assumptions!$B$5,Assumptions!$B$12*(1+Assumptions!$B$11)^(INT(A571/12)+1)/12+Pricing_M!$B$13*IF(A571=0,Assumptions!$B$14*12,IF(A571&gt;=12,Assumptions!$B$15,0))-Pricing_M!$B$13,Assumptions!$B$9/12*(1+Assumptions!$B$10)^INT(A571/12)+Assumptions!$B$12*(1+Assumptions!$B$11)^(INT(A571/12)+1)/12))*J571</f>
        <v>0.776599359631791</v>
      </c>
      <c r="X571" s="47" t="n">
        <f aca="false">I571*(IF(C571&lt;Assumptions!$B$5,Assumptions!$B$12*(1+Assumptions!$B$11)*(1+Assumptions!$B$24)*(1+Assumptions!$B$11+Assumptions!$B$25)^(INT(A571/12))/12+Pricing_M!$B$13*IF(A571=0,Assumptions!$B$14*12,IF(A571&gt;=12,Assumptions!$B$15,0))-Pricing_M!$B$13,Assumptions!$B$9/12*(1+Assumptions!$B$10)^INT(A571/12)+Assumptions!$B$12*(1+Assumptions!$B$11)*(1+Assumptions!$B$24)*(1+Assumptions!$B$11+Assumptions!$B$25)^(INT(A571/12))/12))*J571</f>
        <v>0.707472250872275</v>
      </c>
    </row>
    <row r="572" customFormat="false" ht="15" hidden="false" customHeight="true" outlineLevel="0" collapsed="false">
      <c r="A572" s="1" t="n">
        <v>565</v>
      </c>
      <c r="B572" s="31" t="n">
        <f aca="false">Assumptions!$B$4+A572/12</f>
        <v>112.083333333333</v>
      </c>
      <c r="C572" s="34" t="n">
        <f aca="false">Assumptions!$B$4+INT(A572/12)</f>
        <v>112</v>
      </c>
      <c r="D572" s="34" t="n">
        <f aca="false">INT(A572/12)+1</f>
        <v>48</v>
      </c>
      <c r="E572" s="32" t="n">
        <f aca="false">IFERROR(INDEX(Cohort_Survival!$G$5:$G$65,MATCH(C572,Cohort_Survival!$A$5:$A$65,0)),1)</f>
        <v>0.475813576891172</v>
      </c>
      <c r="F572" s="30" t="n">
        <f aca="false">1-(1-MIN(1,E572))^(1/12)</f>
        <v>0.0524027013092234</v>
      </c>
      <c r="G572" s="39" t="n">
        <f aca="false">IF(C572&lt;Assumptions!$B$5,IF(D572=1,Assumptions!$B$16,IF(D572=2,Assumptions!$B$17,IF(D572&lt;=5,Assumptions!$B$18,Assumptions!$B$19)))*(1-Assumptions!$B$20),0)</f>
        <v>0</v>
      </c>
      <c r="H572" s="30" t="n">
        <f aca="false">1-(1-G572)^(1/12)</f>
        <v>0</v>
      </c>
      <c r="I572" s="30" t="n">
        <f aca="false">I571*(1-F571)*(1-H571)</f>
        <v>0.000865909044739904</v>
      </c>
      <c r="J572" s="30" t="n">
        <f aca="false">INDEX(Discount_Monthly!$G$4:$G$664,MATCH(A572,Discount_Monthly!$A$4:$A$664,0))</f>
        <v>0.2257881619053</v>
      </c>
      <c r="K572" s="30" t="n">
        <f aca="false">IF(C572&lt;Assumptions!$B$5,I572*J572,0)</f>
        <v>0</v>
      </c>
      <c r="L572" s="30" t="n">
        <f aca="false">IF(C572&lt;Assumptions!$B$5,I572*(1-F572)*H572*A572*J572,0)</f>
        <v>0</v>
      </c>
      <c r="M572" s="30" t="n">
        <f aca="false">IF(A572=0,Assumptions!$B$14*12*I572*J572,IF(AND(A572&gt;=12,C572&lt;Assumptions!$B$5),Assumptions!$B$15*I572*J572,0))</f>
        <v>0</v>
      </c>
      <c r="N572" s="47" t="n">
        <f aca="false">IF(C572&gt;=Assumptions!$B$5,I572*Assumptions!$B$9/12*(1+Assumptions!$B$10)^INT(A572/12)*J572,0)</f>
        <v>0.661180830315444</v>
      </c>
      <c r="O572" s="47" t="n">
        <f aca="false">I572*Assumptions!$B$12/12*(1+Assumptions!$B$11)^(INT(A572/12)+1)*J572</f>
        <v>0.00426410336602384</v>
      </c>
      <c r="P572" s="47" t="n">
        <f aca="false">O572+Pricing_M!$B$13*M572+N572-Pricing_M!$B$13*K572</f>
        <v>0.665444933681468</v>
      </c>
      <c r="Q572" s="47" t="n">
        <f aca="false">IF(C572&lt;Assumptions!$B$5,Pricing_M!$B$13*K572-Pricing_M!$B$13*M572-O572,-(N572+O572))</f>
        <v>-0.665444933681468</v>
      </c>
      <c r="R572" s="32" t="n">
        <f aca="false">R571*(1-(1-(1-MIN(1,E571*(1-Assumptions!$B$21)))^(1/12)))*(1-H571)</f>
        <v>0.00416587924466077</v>
      </c>
      <c r="S572" s="47" t="n">
        <f aca="false">R572*(IF(C572&lt;Assumptions!$B$5,Assumptions!$B$12*(1+Assumptions!$B$11)^(INT(A572/12)+1)/12+Pricing_M!$B$13*IF(A572=0,Assumptions!$B$14*12,IF(A572&gt;=12,Assumptions!$B$15,0))-Pricing_M!$B$13,Assumptions!$B$9/12*(1+Assumptions!$B$10)^INT(A572/12)+Assumptions!$B$12*(1+Assumptions!$B$11)^(INT(A572/12)+1)/12))*J572</f>
        <v>3.20144852918239</v>
      </c>
      <c r="T572" s="32" t="n">
        <f aca="false">T571*(1-F571)*(1-(1-(1-MIN(1,G571*(1+Assumptions!$B$23)))^(1/12)))</f>
        <v>0.000784408691820993</v>
      </c>
      <c r="U572" s="47" t="n">
        <f aca="false">T572*(IF(C572&lt;Assumptions!$B$5,Assumptions!$B$12*(1+Assumptions!$B$11)^(INT(A572/12)+1)/12+Pricing_M!$B$13*IF(A572=0,Assumptions!$B$14*12,IF(A572&gt;=12,Assumptions!$B$15,0))-Pricing_M!$B$13,Assumptions!$B$9/12*(1+Assumptions!$B$10)^INT(A572/12)+Assumptions!$B$12*(1+Assumptions!$B$11)^(INT(A572/12)+1)/12))*J572</f>
        <v>0.602812492927334</v>
      </c>
      <c r="V572" s="32" t="n">
        <f aca="false">V571*(1-F571)*(1-(1-(1-MIN(1,G571*(1-Assumptions!$B$23)))^(1/12)))</f>
        <v>0.000955000283971953</v>
      </c>
      <c r="W572" s="47" t="n">
        <f aca="false">V572*(IF(C572&lt;Assumptions!$B$5,Assumptions!$B$12*(1+Assumptions!$B$11)^(INT(A572/12)+1)/12+Pricing_M!$B$13*IF(A572=0,Assumptions!$B$14*12,IF(A572&gt;=12,Assumptions!$B$15,0))-Pricing_M!$B$13,Assumptions!$B$9/12*(1+Assumptions!$B$10)^INT(A572/12)+Assumptions!$B$12*(1+Assumptions!$B$11)^(INT(A572/12)+1)/12))*J572</f>
        <v>0.73391091650323</v>
      </c>
      <c r="X572" s="47" t="n">
        <f aca="false">I572*(IF(C572&lt;Assumptions!$B$5,Assumptions!$B$12*(1+Assumptions!$B$11)*(1+Assumptions!$B$24)*(1+Assumptions!$B$11+Assumptions!$B$25)^(INT(A572/12))/12+Pricing_M!$B$13*IF(A572=0,Assumptions!$B$14*12,IF(A572&gt;=12,Assumptions!$B$15,0))-Pricing_M!$B$13,Assumptions!$B$9/12*(1+Assumptions!$B$10)^INT(A572/12)+Assumptions!$B$12*(1+Assumptions!$B$11)*(1+Assumptions!$B$24)*(1+Assumptions!$B$11+Assumptions!$B$25)^(INT(A572/12))/12))*J572</f>
        <v>0.668583615990171</v>
      </c>
    </row>
    <row r="573" customFormat="false" ht="15" hidden="false" customHeight="true" outlineLevel="0" collapsed="false">
      <c r="A573" s="1" t="n">
        <v>566</v>
      </c>
      <c r="B573" s="31" t="n">
        <f aca="false">Assumptions!$B$4+A573/12</f>
        <v>112.166666666667</v>
      </c>
      <c r="C573" s="34" t="n">
        <f aca="false">Assumptions!$B$4+INT(A573/12)</f>
        <v>112</v>
      </c>
      <c r="D573" s="34" t="n">
        <f aca="false">INT(A573/12)+1</f>
        <v>48</v>
      </c>
      <c r="E573" s="32" t="n">
        <f aca="false">IFERROR(INDEX(Cohort_Survival!$G$5:$G$65,MATCH(C573,Cohort_Survival!$A$5:$A$65,0)),1)</f>
        <v>0.475813576891172</v>
      </c>
      <c r="F573" s="30" t="n">
        <f aca="false">1-(1-MIN(1,E573))^(1/12)</f>
        <v>0.0524027013092234</v>
      </c>
      <c r="G573" s="39" t="n">
        <f aca="false">IF(C573&lt;Assumptions!$B$5,IF(D573=1,Assumptions!$B$16,IF(D573=2,Assumptions!$B$17,IF(D573&lt;=5,Assumptions!$B$18,Assumptions!$B$19)))*(1-Assumptions!$B$20),0)</f>
        <v>0</v>
      </c>
      <c r="H573" s="30" t="n">
        <f aca="false">1-(1-G573)^(1/12)</f>
        <v>0</v>
      </c>
      <c r="I573" s="30" t="n">
        <f aca="false">I572*(1-F572)*(1-H572)</f>
        <v>0.000820533071707444</v>
      </c>
      <c r="J573" s="30" t="n">
        <f aca="false">INDEX(Discount_Monthly!$G$4:$G$664,MATCH(A573,Discount_Monthly!$A$4:$A$664,0))</f>
        <v>0.225176815836827</v>
      </c>
      <c r="K573" s="30" t="n">
        <f aca="false">IF(C573&lt;Assumptions!$B$5,I573*J573,0)</f>
        <v>0</v>
      </c>
      <c r="L573" s="30" t="n">
        <f aca="false">IF(C573&lt;Assumptions!$B$5,I573*(1-F573)*H573*A573*J573,0)</f>
        <v>0</v>
      </c>
      <c r="M573" s="30" t="n">
        <f aca="false">IF(A573=0,Assumptions!$B$14*12*I573*J573,IF(AND(A573&gt;=12,C573&lt;Assumptions!$B$5),Assumptions!$B$15*I573*J573,0))</f>
        <v>0</v>
      </c>
      <c r="N573" s="47" t="n">
        <f aca="false">IF(C573&gt;=Assumptions!$B$5,I573*Assumptions!$B$9/12*(1+Assumptions!$B$10)^INT(A573/12)*J573,0)</f>
        <v>0.624836761880985</v>
      </c>
      <c r="O573" s="47" t="n">
        <f aca="false">I573*Assumptions!$B$12/12*(1+Assumptions!$B$11)^(INT(A573/12)+1)*J573</f>
        <v>0.00402971232284668</v>
      </c>
      <c r="P573" s="47" t="n">
        <f aca="false">O573+Pricing_M!$B$13*M573+N573-Pricing_M!$B$13*K573</f>
        <v>0.628866474203831</v>
      </c>
      <c r="Q573" s="47" t="n">
        <f aca="false">IF(C573&lt;Assumptions!$B$5,Pricing_M!$B$13*K573-Pricing_M!$B$13*M573-O573,-(N573+O573))</f>
        <v>-0.628866474203831</v>
      </c>
      <c r="R573" s="32" t="n">
        <f aca="false">R572*(1-(1-(1-MIN(1,E572*(1-Assumptions!$B$21)))^(1/12)))*(1-H572)</f>
        <v>0.00400283761122137</v>
      </c>
      <c r="S573" s="47" t="n">
        <f aca="false">R573*(IF(C573&lt;Assumptions!$B$5,Assumptions!$B$12*(1+Assumptions!$B$11)^(INT(A573/12)+1)/12+Pricing_M!$B$13*IF(A573=0,Assumptions!$B$14*12,IF(A573&gt;=12,Assumptions!$B$15,0))-Pricing_M!$B$13,Assumptions!$B$9/12*(1+Assumptions!$B$10)^INT(A573/12)+Assumptions!$B$12*(1+Assumptions!$B$11)^(INT(A573/12)+1)/12))*J573</f>
        <v>3.06782317760956</v>
      </c>
      <c r="T573" s="32" t="n">
        <f aca="false">T572*(1-F572)*(1-(1-(1-MIN(1,G572*(1+Assumptions!$B$23)))^(1/12)))</f>
        <v>0.000743303557439139</v>
      </c>
      <c r="U573" s="47" t="n">
        <f aca="false">T573*(IF(C573&lt;Assumptions!$B$5,Assumptions!$B$12*(1+Assumptions!$B$11)^(INT(A573/12)+1)/12+Pricing_M!$B$13*IF(A573=0,Assumptions!$B$14*12,IF(A573&gt;=12,Assumptions!$B$15,0))-Pricing_M!$B$13,Assumptions!$B$9/12*(1+Assumptions!$B$10)^INT(A573/12)+Assumptions!$B$12*(1+Assumptions!$B$11)^(INT(A573/12)+1)/12))*J573</f>
        <v>0.569676840029403</v>
      </c>
      <c r="V573" s="32" t="n">
        <f aca="false">V572*(1-F572)*(1-(1-(1-MIN(1,G572*(1-Assumptions!$B$23)))^(1/12)))</f>
        <v>0.000904955689340747</v>
      </c>
      <c r="W573" s="47" t="n">
        <f aca="false">V573*(IF(C573&lt;Assumptions!$B$5,Assumptions!$B$12*(1+Assumptions!$B$11)^(INT(A573/12)+1)/12+Pricing_M!$B$13*IF(A573=0,Assumptions!$B$14*12,IF(A573&gt;=12,Assumptions!$B$15,0))-Pricing_M!$B$13,Assumptions!$B$9/12*(1+Assumptions!$B$10)^INT(A573/12)+Assumptions!$B$12*(1+Assumptions!$B$11)^(INT(A573/12)+1)/12))*J573</f>
        <v>0.693568989830212</v>
      </c>
      <c r="X573" s="47" t="n">
        <f aca="false">I573*(IF(C573&lt;Assumptions!$B$5,Assumptions!$B$12*(1+Assumptions!$B$11)*(1+Assumptions!$B$24)*(1+Assumptions!$B$11+Assumptions!$B$25)^(INT(A573/12))/12+Pricing_M!$B$13*IF(A573=0,Assumptions!$B$14*12,IF(A573&gt;=12,Assumptions!$B$15,0))-Pricing_M!$B$13,Assumptions!$B$9/12*(1+Assumptions!$B$10)^INT(A573/12)+Assumptions!$B$12*(1+Assumptions!$B$11)*(1+Assumptions!$B$24)*(1+Assumptions!$B$11+Assumptions!$B$25)^(INT(A573/12))/12))*J573</f>
        <v>0.631832628091577</v>
      </c>
    </row>
    <row r="574" customFormat="false" ht="15" hidden="false" customHeight="true" outlineLevel="0" collapsed="false">
      <c r="A574" s="1" t="n">
        <v>567</v>
      </c>
      <c r="B574" s="31" t="n">
        <f aca="false">Assumptions!$B$4+A574/12</f>
        <v>112.25</v>
      </c>
      <c r="C574" s="34" t="n">
        <f aca="false">Assumptions!$B$4+INT(A574/12)</f>
        <v>112</v>
      </c>
      <c r="D574" s="34" t="n">
        <f aca="false">INT(A574/12)+1</f>
        <v>48</v>
      </c>
      <c r="E574" s="32" t="n">
        <f aca="false">IFERROR(INDEX(Cohort_Survival!$G$5:$G$65,MATCH(C574,Cohort_Survival!$A$5:$A$65,0)),1)</f>
        <v>0.475813576891172</v>
      </c>
      <c r="F574" s="30" t="n">
        <f aca="false">1-(1-MIN(1,E574))^(1/12)</f>
        <v>0.0524027013092234</v>
      </c>
      <c r="G574" s="39" t="n">
        <f aca="false">IF(C574&lt;Assumptions!$B$5,IF(D574=1,Assumptions!$B$16,IF(D574=2,Assumptions!$B$17,IF(D574&lt;=5,Assumptions!$B$18,Assumptions!$B$19)))*(1-Assumptions!$B$20),0)</f>
        <v>0</v>
      </c>
      <c r="H574" s="30" t="n">
        <f aca="false">1-(1-G574)^(1/12)</f>
        <v>0</v>
      </c>
      <c r="I574" s="30" t="n">
        <f aca="false">I573*(1-F573)*(1-H573)</f>
        <v>0.000777534922236419</v>
      </c>
      <c r="J574" s="30" t="n">
        <f aca="false">INDEX(Discount_Monthly!$G$4:$G$664,MATCH(A574,Discount_Monthly!$A$4:$A$664,0))</f>
        <v>0.224567125054496</v>
      </c>
      <c r="K574" s="30" t="n">
        <f aca="false">IF(C574&lt;Assumptions!$B$5,I574*J574,0)</f>
        <v>0</v>
      </c>
      <c r="L574" s="30" t="n">
        <f aca="false">IF(C574&lt;Assumptions!$B$5,I574*(1-F574)*H574*A574*J574,0)</f>
        <v>0</v>
      </c>
      <c r="M574" s="30" t="n">
        <f aca="false">IF(A574=0,Assumptions!$B$14*12*I574*J574,IF(AND(A574&gt;=12,C574&lt;Assumptions!$B$5),Assumptions!$B$15*I574*J574,0))</f>
        <v>0</v>
      </c>
      <c r="N574" s="47" t="n">
        <f aca="false">IF(C574&gt;=Assumptions!$B$5,I574*Assumptions!$B$9/12*(1+Assumptions!$B$10)^INT(A574/12)*J574,0)</f>
        <v>0.590490469621823</v>
      </c>
      <c r="O574" s="47" t="n">
        <f aca="false">I574*Assumptions!$B$12/12*(1+Assumptions!$B$11)^(INT(A574/12)+1)*J574</f>
        <v>0.00380820538598819</v>
      </c>
      <c r="P574" s="47" t="n">
        <f aca="false">O574+Pricing_M!$B$13*M574+N574-Pricing_M!$B$13*K574</f>
        <v>0.594298675007811</v>
      </c>
      <c r="Q574" s="47" t="n">
        <f aca="false">IF(C574&lt;Assumptions!$B$5,Pricing_M!$B$13*K574-Pricing_M!$B$13*M574-O574,-(N574+O574))</f>
        <v>-0.594298675007811</v>
      </c>
      <c r="R574" s="32" t="n">
        <f aca="false">R573*(1-(1-(1-MIN(1,E573*(1-Assumptions!$B$21)))^(1/12)))*(1-H573)</f>
        <v>0.0038461770014923</v>
      </c>
      <c r="S574" s="47" t="n">
        <f aca="false">R574*(IF(C574&lt;Assumptions!$B$5,Assumptions!$B$12*(1+Assumptions!$B$11)^(INT(A574/12)+1)/12+Pricing_M!$B$13*IF(A574=0,Assumptions!$B$14*12,IF(A574&gt;=12,Assumptions!$B$15,0))-Pricing_M!$B$13,Assumptions!$B$9/12*(1+Assumptions!$B$10)^INT(A574/12)+Assumptions!$B$12*(1+Assumptions!$B$11)^(INT(A574/12)+1)/12))*J574</f>
        <v>2.93977521840154</v>
      </c>
      <c r="T574" s="32" t="n">
        <f aca="false">T573*(1-F573)*(1-(1-(1-MIN(1,G573*(1+Assumptions!$B$23)))^(1/12)))</f>
        <v>0.000704352443136572</v>
      </c>
      <c r="U574" s="47" t="n">
        <f aca="false">T574*(IF(C574&lt;Assumptions!$B$5,Assumptions!$B$12*(1+Assumptions!$B$11)^(INT(A574/12)+1)/12+Pricing_M!$B$13*IF(A574=0,Assumptions!$B$14*12,IF(A574&gt;=12,Assumptions!$B$15,0))-Pricing_M!$B$13,Assumptions!$B$9/12*(1+Assumptions!$B$10)^INT(A574/12)+Assumptions!$B$12*(1+Assumptions!$B$11)^(INT(A574/12)+1)/12))*J574</f>
        <v>0.538362601760157</v>
      </c>
      <c r="V574" s="32" t="n">
        <f aca="false">V573*(1-F573)*(1-(1-(1-MIN(1,G573*(1-Assumptions!$B$23)))^(1/12)))</f>
        <v>0.000857533566654142</v>
      </c>
      <c r="W574" s="47" t="n">
        <f aca="false">V574*(IF(C574&lt;Assumptions!$B$5,Assumptions!$B$12*(1+Assumptions!$B$11)^(INT(A574/12)+1)/12+Pricing_M!$B$13*IF(A574=0,Assumptions!$B$14*12,IF(A574&gt;=12,Assumptions!$B$15,0))-Pricing_M!$B$13,Assumptions!$B$9/12*(1+Assumptions!$B$10)^INT(A574/12)+Assumptions!$B$12*(1+Assumptions!$B$11)^(INT(A574/12)+1)/12))*J574</f>
        <v>0.655444595300531</v>
      </c>
      <c r="X574" s="47" t="n">
        <f aca="false">I574*(IF(C574&lt;Assumptions!$B$5,Assumptions!$B$12*(1+Assumptions!$B$11)*(1+Assumptions!$B$24)*(1+Assumptions!$B$11+Assumptions!$B$25)^(INT(A574/12))/12+Pricing_M!$B$13*IF(A574=0,Assumptions!$B$14*12,IF(A574&gt;=12,Assumptions!$B$15,0))-Pricing_M!$B$13,Assumptions!$B$9/12*(1+Assumptions!$B$10)^INT(A574/12)+Assumptions!$B$12*(1+Assumptions!$B$11)*(1+Assumptions!$B$24)*(1+Assumptions!$B$11+Assumptions!$B$25)^(INT(A574/12))/12))*J574</f>
        <v>0.597101784090051</v>
      </c>
    </row>
    <row r="575" customFormat="false" ht="15" hidden="false" customHeight="true" outlineLevel="0" collapsed="false">
      <c r="A575" s="1" t="n">
        <v>568</v>
      </c>
      <c r="B575" s="31" t="n">
        <f aca="false">Assumptions!$B$4+A575/12</f>
        <v>112.333333333333</v>
      </c>
      <c r="C575" s="34" t="n">
        <f aca="false">Assumptions!$B$4+INT(A575/12)</f>
        <v>112</v>
      </c>
      <c r="D575" s="34" t="n">
        <f aca="false">INT(A575/12)+1</f>
        <v>48</v>
      </c>
      <c r="E575" s="32" t="n">
        <f aca="false">IFERROR(INDEX(Cohort_Survival!$G$5:$G$65,MATCH(C575,Cohort_Survival!$A$5:$A$65,0)),1)</f>
        <v>0.475813576891172</v>
      </c>
      <c r="F575" s="30" t="n">
        <f aca="false">1-(1-MIN(1,E575))^(1/12)</f>
        <v>0.0524027013092234</v>
      </c>
      <c r="G575" s="39" t="n">
        <f aca="false">IF(C575&lt;Assumptions!$B$5,IF(D575=1,Assumptions!$B$16,IF(D575=2,Assumptions!$B$17,IF(D575&lt;=5,Assumptions!$B$18,Assumptions!$B$19)))*(1-Assumptions!$B$20),0)</f>
        <v>0</v>
      </c>
      <c r="H575" s="30" t="n">
        <f aca="false">1-(1-G575)^(1/12)</f>
        <v>0</v>
      </c>
      <c r="I575" s="30" t="n">
        <f aca="false">I574*(1-F574)*(1-H574)</f>
        <v>0.000736789991948974</v>
      </c>
      <c r="J575" s="30" t="n">
        <f aca="false">INDEX(Discount_Monthly!$G$4:$G$664,MATCH(A575,Discount_Monthly!$A$4:$A$664,0))</f>
        <v>0.22395908507644</v>
      </c>
      <c r="K575" s="30" t="n">
        <f aca="false">IF(C575&lt;Assumptions!$B$5,I575*J575,0)</f>
        <v>0</v>
      </c>
      <c r="L575" s="30" t="n">
        <f aca="false">IF(C575&lt;Assumptions!$B$5,I575*(1-F575)*H575*A575*J575,0)</f>
        <v>0</v>
      </c>
      <c r="M575" s="30" t="n">
        <f aca="false">IF(A575=0,Assumptions!$B$14*12*I575*J575,IF(AND(A575&gt;=12,C575&lt;Assumptions!$B$5),Assumptions!$B$15*I575*J575,0))</f>
        <v>0</v>
      </c>
      <c r="N575" s="47" t="n">
        <f aca="false">IF(C575&gt;=Assumptions!$B$5,I575*Assumptions!$B$9/12*(1+Assumptions!$B$10)^INT(A575/12)*J575,0)</f>
        <v>0.558032138929457</v>
      </c>
      <c r="O575" s="47" t="n">
        <f aca="false">I575*Assumptions!$B$12/12*(1+Assumptions!$B$11)^(INT(A575/12)+1)*J575</f>
        <v>0.00359887433642524</v>
      </c>
      <c r="P575" s="47" t="n">
        <f aca="false">O575+Pricing_M!$B$13*M575+N575-Pricing_M!$B$13*K575</f>
        <v>0.561631013265882</v>
      </c>
      <c r="Q575" s="47" t="n">
        <f aca="false">IF(C575&lt;Assumptions!$B$5,Pricing_M!$B$13*K575-Pricing_M!$B$13*M575-O575,-(N575+O575))</f>
        <v>-0.561631013265882</v>
      </c>
      <c r="R575" s="32" t="n">
        <f aca="false">R574*(1-(1-(1-MIN(1,E574*(1-Assumptions!$B$21)))^(1/12)))*(1-H574)</f>
        <v>0.00369564767887114</v>
      </c>
      <c r="S575" s="47" t="n">
        <f aca="false">R575*(IF(C575&lt;Assumptions!$B$5,Assumptions!$B$12*(1+Assumptions!$B$11)^(INT(A575/12)+1)/12+Pricing_M!$B$13*IF(A575=0,Assumptions!$B$14*12,IF(A575&gt;=12,Assumptions!$B$15,0))-Pricing_M!$B$13,Assumptions!$B$9/12*(1+Assumptions!$B$10)^INT(A575/12)+Assumptions!$B$12*(1+Assumptions!$B$11)^(INT(A575/12)+1)/12))*J575</f>
        <v>2.81707185661915</v>
      </c>
      <c r="T575" s="32" t="n">
        <f aca="false">T574*(1-F574)*(1-(1-(1-MIN(1,G574*(1+Assumptions!$B$23)))^(1/12)))</f>
        <v>0.000667442472442465</v>
      </c>
      <c r="U575" s="47" t="n">
        <f aca="false">T575*(IF(C575&lt;Assumptions!$B$5,Assumptions!$B$12*(1+Assumptions!$B$11)^(INT(A575/12)+1)/12+Pricing_M!$B$13*IF(A575=0,Assumptions!$B$14*12,IF(A575&gt;=12,Assumptions!$B$15,0))-Pricing_M!$B$13,Assumptions!$B$9/12*(1+Assumptions!$B$10)^INT(A575/12)+Assumptions!$B$12*(1+Assumptions!$B$11)^(INT(A575/12)+1)/12))*J575</f>
        <v>0.50876965782742</v>
      </c>
      <c r="V575" s="32" t="n">
        <f aca="false">V574*(1-F574)*(1-(1-(1-MIN(1,G574*(1-Assumptions!$B$23)))^(1/12)))</f>
        <v>0.000812596491298132</v>
      </c>
      <c r="W575" s="47" t="n">
        <f aca="false">V575*(IF(C575&lt;Assumptions!$B$5,Assumptions!$B$12*(1+Assumptions!$B$11)^(INT(A575/12)+1)/12+Pricing_M!$B$13*IF(A575=0,Assumptions!$B$14*12,IF(A575&gt;=12,Assumptions!$B$15,0))-Pricing_M!$B$13,Assumptions!$B$9/12*(1+Assumptions!$B$10)^INT(A575/12)+Assumptions!$B$12*(1+Assumptions!$B$11)^(INT(A575/12)+1)/12))*J575</f>
        <v>0.619415838666382</v>
      </c>
      <c r="X575" s="47" t="n">
        <f aca="false">I575*(IF(C575&lt;Assumptions!$B$5,Assumptions!$B$12*(1+Assumptions!$B$11)*(1+Assumptions!$B$24)*(1+Assumptions!$B$11+Assumptions!$B$25)^(INT(A575/12))/12+Pricing_M!$B$13*IF(A575=0,Assumptions!$B$14*12,IF(A575&gt;=12,Assumptions!$B$15,0))-Pricing_M!$B$13,Assumptions!$B$9/12*(1+Assumptions!$B$10)^INT(A575/12)+Assumptions!$B$12*(1+Assumptions!$B$11)*(1+Assumptions!$B$24)*(1+Assumptions!$B$11+Assumptions!$B$25)^(INT(A575/12))/12))*J575</f>
        <v>0.564280039858667</v>
      </c>
    </row>
    <row r="576" customFormat="false" ht="15" hidden="false" customHeight="true" outlineLevel="0" collapsed="false">
      <c r="A576" s="1" t="n">
        <v>569</v>
      </c>
      <c r="B576" s="31" t="n">
        <f aca="false">Assumptions!$B$4+A576/12</f>
        <v>112.416666666667</v>
      </c>
      <c r="C576" s="34" t="n">
        <f aca="false">Assumptions!$B$4+INT(A576/12)</f>
        <v>112</v>
      </c>
      <c r="D576" s="34" t="n">
        <f aca="false">INT(A576/12)+1</f>
        <v>48</v>
      </c>
      <c r="E576" s="32" t="n">
        <f aca="false">IFERROR(INDEX(Cohort_Survival!$G$5:$G$65,MATCH(C576,Cohort_Survival!$A$5:$A$65,0)),1)</f>
        <v>0.475813576891172</v>
      </c>
      <c r="F576" s="30" t="n">
        <f aca="false">1-(1-MIN(1,E576))^(1/12)</f>
        <v>0.0524027013092234</v>
      </c>
      <c r="G576" s="39" t="n">
        <f aca="false">IF(C576&lt;Assumptions!$B$5,IF(D576=1,Assumptions!$B$16,IF(D576=2,Assumptions!$B$17,IF(D576&lt;=5,Assumptions!$B$18,Assumptions!$B$19)))*(1-Assumptions!$B$20),0)</f>
        <v>0</v>
      </c>
      <c r="H576" s="30" t="n">
        <f aca="false">1-(1-G576)^(1/12)</f>
        <v>0</v>
      </c>
      <c r="I576" s="30" t="n">
        <f aca="false">I575*(1-F575)*(1-H575)</f>
        <v>0.000698180206073247</v>
      </c>
      <c r="J576" s="30" t="n">
        <f aca="false">INDEX(Discount_Monthly!$G$4:$G$664,MATCH(A576,Discount_Monthly!$A$4:$A$664,0))</f>
        <v>0.223352691432925</v>
      </c>
      <c r="K576" s="30" t="n">
        <f aca="false">IF(C576&lt;Assumptions!$B$5,I576*J576,0)</f>
        <v>0</v>
      </c>
      <c r="L576" s="30" t="n">
        <f aca="false">IF(C576&lt;Assumptions!$B$5,I576*(1-F576)*H576*A576*J576,0)</f>
        <v>0</v>
      </c>
      <c r="M576" s="30" t="n">
        <f aca="false">IF(A576=0,Assumptions!$B$14*12*I576*J576,IF(AND(A576&gt;=12,C576&lt;Assumptions!$B$5),Assumptions!$B$15*I576*J576,0))</f>
        <v>0</v>
      </c>
      <c r="N576" s="47" t="n">
        <f aca="false">IF(C576&gt;=Assumptions!$B$5,I576*Assumptions!$B$9/12*(1+Assumptions!$B$10)^INT(A576/12)*J576,0)</f>
        <v>0.527357991531378</v>
      </c>
      <c r="O576" s="47" t="n">
        <f aca="false">I576*Assumptions!$B$12/12*(1+Assumptions!$B$11)^(INT(A576/12)+1)*J576</f>
        <v>0.00340104988481847</v>
      </c>
      <c r="P576" s="47" t="n">
        <f aca="false">O576+Pricing_M!$B$13*M576+N576-Pricing_M!$B$13*K576</f>
        <v>0.530759041416196</v>
      </c>
      <c r="Q576" s="47" t="n">
        <f aca="false">IF(C576&lt;Assumptions!$B$5,Pricing_M!$B$13*K576-Pricing_M!$B$13*M576-O576,-(N576+O576))</f>
        <v>-0.530759041416196</v>
      </c>
      <c r="R576" s="32" t="n">
        <f aca="false">R575*(1-(1-(1-MIN(1,E575*(1-Assumptions!$B$21)))^(1/12)))*(1-H575)</f>
        <v>0.00355100968079379</v>
      </c>
      <c r="S576" s="47" t="n">
        <f aca="false">R576*(IF(C576&lt;Assumptions!$B$5,Assumptions!$B$12*(1+Assumptions!$B$11)^(INT(A576/12)+1)/12+Pricing_M!$B$13*IF(A576=0,Assumptions!$B$14*12,IF(A576&gt;=12,Assumptions!$B$15,0))-Pricing_M!$B$13,Assumptions!$B$9/12*(1+Assumptions!$B$10)^INT(A576/12)+Assumptions!$B$12*(1+Assumptions!$B$11)^(INT(A576/12)+1)/12))*J576</f>
        <v>2.69949001395783</v>
      </c>
      <c r="T576" s="32" t="n">
        <f aca="false">T575*(1-F575)*(1-(1-(1-MIN(1,G575*(1+Assumptions!$B$23)))^(1/12)))</f>
        <v>0.000632466683917973</v>
      </c>
      <c r="U576" s="47" t="n">
        <f aca="false">T576*(IF(C576&lt;Assumptions!$B$5,Assumptions!$B$12*(1+Assumptions!$B$11)^(INT(A576/12)+1)/12+Pricing_M!$B$13*IF(A576=0,Assumptions!$B$14*12,IF(A576&gt;=12,Assumptions!$B$15,0))-Pricing_M!$B$13,Assumptions!$B$9/12*(1+Assumptions!$B$10)^INT(A576/12)+Assumptions!$B$12*(1+Assumptions!$B$11)^(INT(A576/12)+1)/12))*J576</f>
        <v>0.48080339139372</v>
      </c>
      <c r="V576" s="32" t="n">
        <f aca="false">V575*(1-F575)*(1-(1-(1-MIN(1,G575*(1-Assumptions!$B$23)))^(1/12)))</f>
        <v>0.000770014240079713</v>
      </c>
      <c r="W576" s="47" t="n">
        <f aca="false">V576*(IF(C576&lt;Assumptions!$B$5,Assumptions!$B$12*(1+Assumptions!$B$11)^(INT(A576/12)+1)/12+Pricing_M!$B$13*IF(A576=0,Assumptions!$B$14*12,IF(A576&gt;=12,Assumptions!$B$15,0))-Pricing_M!$B$13,Assumptions!$B$9/12*(1+Assumptions!$B$10)^INT(A576/12)+Assumptions!$B$12*(1+Assumptions!$B$11)^(INT(A576/12)+1)/12))*J576</f>
        <v>0.585367526014699</v>
      </c>
      <c r="X576" s="47" t="n">
        <f aca="false">I576*(IF(C576&lt;Assumptions!$B$5,Assumptions!$B$12*(1+Assumptions!$B$11)*(1+Assumptions!$B$24)*(1+Assumptions!$B$11+Assumptions!$B$25)^(INT(A576/12))/12+Pricing_M!$B$13*IF(A576=0,Assumptions!$B$14*12,IF(A576&gt;=12,Assumptions!$B$15,0))-Pricing_M!$B$13,Assumptions!$B$9/12*(1+Assumptions!$B$10)^INT(A576/12)+Assumptions!$B$12*(1+Assumptions!$B$11)*(1+Assumptions!$B$24)*(1+Assumptions!$B$11+Assumptions!$B$25)^(INT(A576/12))/12))*J576</f>
        <v>0.533262455191189</v>
      </c>
    </row>
    <row r="577" customFormat="false" ht="15" hidden="false" customHeight="true" outlineLevel="0" collapsed="false">
      <c r="A577" s="1" t="n">
        <v>570</v>
      </c>
      <c r="B577" s="31" t="n">
        <f aca="false">Assumptions!$B$4+A577/12</f>
        <v>112.5</v>
      </c>
      <c r="C577" s="34" t="n">
        <f aca="false">Assumptions!$B$4+INT(A577/12)</f>
        <v>112</v>
      </c>
      <c r="D577" s="34" t="n">
        <f aca="false">INT(A577/12)+1</f>
        <v>48</v>
      </c>
      <c r="E577" s="32" t="n">
        <f aca="false">IFERROR(INDEX(Cohort_Survival!$G$5:$G$65,MATCH(C577,Cohort_Survival!$A$5:$A$65,0)),1)</f>
        <v>0.475813576891172</v>
      </c>
      <c r="F577" s="30" t="n">
        <f aca="false">1-(1-MIN(1,E577))^(1/12)</f>
        <v>0.0524027013092234</v>
      </c>
      <c r="G577" s="39" t="n">
        <f aca="false">IF(C577&lt;Assumptions!$B$5,IF(D577=1,Assumptions!$B$16,IF(D577=2,Assumptions!$B$17,IF(D577&lt;=5,Assumptions!$B$18,Assumptions!$B$19)))*(1-Assumptions!$B$20),0)</f>
        <v>0</v>
      </c>
      <c r="H577" s="30" t="n">
        <f aca="false">1-(1-G577)^(1/12)</f>
        <v>0</v>
      </c>
      <c r="I577" s="30" t="n">
        <f aca="false">I576*(1-F576)*(1-H576)</f>
        <v>0.000661593677274378</v>
      </c>
      <c r="J577" s="30" t="n">
        <f aca="false">INDEX(Discount_Monthly!$G$4:$G$664,MATCH(A577,Discount_Monthly!$A$4:$A$664,0))</f>
        <v>0.222747939666322</v>
      </c>
      <c r="K577" s="30" t="n">
        <f aca="false">IF(C577&lt;Assumptions!$B$5,I577*J577,0)</f>
        <v>0</v>
      </c>
      <c r="L577" s="30" t="n">
        <f aca="false">IF(C577&lt;Assumptions!$B$5,I577*(1-F577)*H577*A577*J577,0)</f>
        <v>0</v>
      </c>
      <c r="M577" s="30" t="n">
        <f aca="false">IF(A577=0,Assumptions!$B$14*12*I577*J577,IF(AND(A577&gt;=12,C577&lt;Assumptions!$B$5),Assumptions!$B$15*I577*J577,0))</f>
        <v>0</v>
      </c>
      <c r="N577" s="47" t="n">
        <f aca="false">IF(C577&gt;=Assumptions!$B$5,I577*Assumptions!$B$9/12*(1+Assumptions!$B$10)^INT(A577/12)*J577,0)</f>
        <v>0.498369953683197</v>
      </c>
      <c r="O577" s="47" t="n">
        <f aca="false">I577*Assumptions!$B$12/12*(1+Assumptions!$B$11)^(INT(A577/12)+1)*J577</f>
        <v>0.00321409953160892</v>
      </c>
      <c r="P577" s="47" t="n">
        <f aca="false">O577+Pricing_M!$B$13*M577+N577-Pricing_M!$B$13*K577</f>
        <v>0.501584053214806</v>
      </c>
      <c r="Q577" s="47" t="n">
        <f aca="false">IF(C577&lt;Assumptions!$B$5,Pricing_M!$B$13*K577-Pricing_M!$B$13*M577-O577,-(N577+O577))</f>
        <v>-0.501584053214806</v>
      </c>
      <c r="R577" s="32" t="n">
        <f aca="false">R576*(1-(1-(1-MIN(1,E576*(1-Assumptions!$B$21)))^(1/12)))*(1-H576)</f>
        <v>0.00341203243620424</v>
      </c>
      <c r="S577" s="47" t="n">
        <f aca="false">R577*(IF(C577&lt;Assumptions!$B$5,Assumptions!$B$12*(1+Assumptions!$B$11)^(INT(A577/12)+1)/12+Pricing_M!$B$13*IF(A577=0,Assumptions!$B$14*12,IF(A577&gt;=12,Assumptions!$B$15,0))-Pricing_M!$B$13,Assumptions!$B$9/12*(1+Assumptions!$B$10)^INT(A577/12)+Assumptions!$B$12*(1+Assumptions!$B$11)^(INT(A577/12)+1)/12))*J577</f>
        <v>2.58681592318475</v>
      </c>
      <c r="T577" s="32" t="n">
        <f aca="false">T576*(1-F576)*(1-(1-(1-MIN(1,G576*(1+Assumptions!$B$23)))^(1/12)))</f>
        <v>0.000599323721192584</v>
      </c>
      <c r="U577" s="47" t="n">
        <f aca="false">T577*(IF(C577&lt;Assumptions!$B$5,Assumptions!$B$12*(1+Assumptions!$B$11)^(INT(A577/12)+1)/12+Pricing_M!$B$13*IF(A577=0,Assumptions!$B$14*12,IF(A577&gt;=12,Assumptions!$B$15,0))-Pricing_M!$B$13,Assumptions!$B$9/12*(1+Assumptions!$B$10)^INT(A577/12)+Assumptions!$B$12*(1+Assumptions!$B$11)^(INT(A577/12)+1)/12))*J577</f>
        <v>0.454374386560055</v>
      </c>
      <c r="V577" s="32" t="n">
        <f aca="false">V576*(1-F576)*(1-(1-(1-MIN(1,G576*(1-Assumptions!$B$23)))^(1/12)))</f>
        <v>0.000729663413852967</v>
      </c>
      <c r="W577" s="47" t="n">
        <f aca="false">V577*(IF(C577&lt;Assumptions!$B$5,Assumptions!$B$12*(1+Assumptions!$B$11)^(INT(A577/12)+1)/12+Pricing_M!$B$13*IF(A577=0,Assumptions!$B$14*12,IF(A577&gt;=12,Assumptions!$B$15,0))-Pricing_M!$B$13,Assumptions!$B$9/12*(1+Assumptions!$B$10)^INT(A577/12)+Assumptions!$B$12*(1+Assumptions!$B$11)^(INT(A577/12)+1)/12))*J577</f>
        <v>0.553190795460308</v>
      </c>
      <c r="X577" s="47" t="n">
        <f aca="false">I577*(IF(C577&lt;Assumptions!$B$5,Assumptions!$B$12*(1+Assumptions!$B$11)*(1+Assumptions!$B$24)*(1+Assumptions!$B$11+Assumptions!$B$25)^(INT(A577/12))/12+Pricing_M!$B$13*IF(A577=0,Assumptions!$B$14*12,IF(A577&gt;=12,Assumptions!$B$15,0))-Pricing_M!$B$13,Assumptions!$B$9/12*(1+Assumptions!$B$10)^INT(A577/12)+Assumptions!$B$12*(1+Assumptions!$B$11)*(1+Assumptions!$B$24)*(1+Assumptions!$B$11+Assumptions!$B$25)^(INT(A577/12))/12))*J577</f>
        <v>0.50394985827916</v>
      </c>
    </row>
    <row r="578" customFormat="false" ht="15" hidden="false" customHeight="true" outlineLevel="0" collapsed="false">
      <c r="A578" s="1" t="n">
        <v>571</v>
      </c>
      <c r="B578" s="31" t="n">
        <f aca="false">Assumptions!$B$4+A578/12</f>
        <v>112.583333333333</v>
      </c>
      <c r="C578" s="34" t="n">
        <f aca="false">Assumptions!$B$4+INT(A578/12)</f>
        <v>112</v>
      </c>
      <c r="D578" s="34" t="n">
        <f aca="false">INT(A578/12)+1</f>
        <v>48</v>
      </c>
      <c r="E578" s="32" t="n">
        <f aca="false">IFERROR(INDEX(Cohort_Survival!$G$5:$G$65,MATCH(C578,Cohort_Survival!$A$5:$A$65,0)),1)</f>
        <v>0.475813576891172</v>
      </c>
      <c r="F578" s="30" t="n">
        <f aca="false">1-(1-MIN(1,E578))^(1/12)</f>
        <v>0.0524027013092234</v>
      </c>
      <c r="G578" s="39" t="n">
        <f aca="false">IF(C578&lt;Assumptions!$B$5,IF(D578=1,Assumptions!$B$16,IF(D578=2,Assumptions!$B$17,IF(D578&lt;=5,Assumptions!$B$18,Assumptions!$B$19)))*(1-Assumptions!$B$20),0)</f>
        <v>0</v>
      </c>
      <c r="H578" s="30" t="n">
        <f aca="false">1-(1-G578)^(1/12)</f>
        <v>0</v>
      </c>
      <c r="I578" s="30" t="n">
        <f aca="false">I577*(1-F577)*(1-H577)</f>
        <v>0.000626924381416098</v>
      </c>
      <c r="J578" s="30" t="n">
        <f aca="false">INDEX(Discount_Monthly!$G$4:$G$664,MATCH(A578,Discount_Monthly!$A$4:$A$664,0))</f>
        <v>0.222144825331069</v>
      </c>
      <c r="K578" s="30" t="n">
        <f aca="false">IF(C578&lt;Assumptions!$B$5,I578*J578,0)</f>
        <v>0</v>
      </c>
      <c r="L578" s="30" t="n">
        <f aca="false">IF(C578&lt;Assumptions!$B$5,I578*(1-F578)*H578*A578*J578,0)</f>
        <v>0</v>
      </c>
      <c r="M578" s="30" t="n">
        <f aca="false">IF(A578=0,Assumptions!$B$14*12*I578*J578,IF(AND(A578&gt;=12,C578&lt;Assumptions!$B$5),Assumptions!$B$15*I578*J578,0))</f>
        <v>0</v>
      </c>
      <c r="N578" s="47" t="n">
        <f aca="false">IF(C578&gt;=Assumptions!$B$5,I578*Assumptions!$B$9/12*(1+Assumptions!$B$10)^INT(A578/12)*J578,0)</f>
        <v>0.470975342599722</v>
      </c>
      <c r="O578" s="47" t="n">
        <f aca="false">I578*Assumptions!$B$12/12*(1+Assumptions!$B$11)^(INT(A578/12)+1)*J578</f>
        <v>0.00303742554474177</v>
      </c>
      <c r="P578" s="47" t="n">
        <f aca="false">O578+Pricing_M!$B$13*M578+N578-Pricing_M!$B$13*K578</f>
        <v>0.474012768144463</v>
      </c>
      <c r="Q578" s="47" t="n">
        <f aca="false">IF(C578&lt;Assumptions!$B$5,Pricing_M!$B$13*K578-Pricing_M!$B$13*M578-O578,-(N578+O578))</f>
        <v>-0.474012768144463</v>
      </c>
      <c r="R578" s="32" t="n">
        <f aca="false">R577*(1-(1-(1-MIN(1,E577*(1-Assumptions!$B$21)))^(1/12)))*(1-H577)</f>
        <v>0.0032784943979954</v>
      </c>
      <c r="S578" s="47" t="n">
        <f aca="false">R578*(IF(C578&lt;Assumptions!$B$5,Assumptions!$B$12*(1+Assumptions!$B$11)^(INT(A578/12)+1)/12+Pricing_M!$B$13*IF(A578=0,Assumptions!$B$14*12,IF(A578&gt;=12,Assumptions!$B$15,0))-Pricing_M!$B$13,Assumptions!$B$9/12*(1+Assumptions!$B$10)^INT(A578/12)+Assumptions!$B$12*(1+Assumptions!$B$11)^(INT(A578/12)+1)/12))*J578</f>
        <v>2.47884473950371</v>
      </c>
      <c r="T578" s="32" t="n">
        <f aca="false">T577*(1-F577)*(1-(1-(1-MIN(1,G577*(1+Assumptions!$B$23)))^(1/12)))</f>
        <v>0.000567917539243397</v>
      </c>
      <c r="U578" s="47" t="n">
        <f aca="false">T578*(IF(C578&lt;Assumptions!$B$5,Assumptions!$B$12*(1+Assumptions!$B$11)^(INT(A578/12)+1)/12+Pricing_M!$B$13*IF(A578=0,Assumptions!$B$14*12,IF(A578&gt;=12,Assumptions!$B$15,0))-Pricing_M!$B$13,Assumptions!$B$9/12*(1+Assumptions!$B$10)^INT(A578/12)+Assumptions!$B$12*(1+Assumptions!$B$11)^(INT(A578/12)+1)/12))*J578</f>
        <v>0.429398142478499</v>
      </c>
      <c r="V578" s="32" t="n">
        <f aca="false">V577*(1-F577)*(1-(1-(1-MIN(1,G577*(1-Assumptions!$B$23)))^(1/12)))</f>
        <v>0.000691427079920562</v>
      </c>
      <c r="W578" s="47" t="n">
        <f aca="false">V578*(IF(C578&lt;Assumptions!$B$5,Assumptions!$B$12*(1+Assumptions!$B$11)^(INT(A578/12)+1)/12+Pricing_M!$B$13*IF(A578=0,Assumptions!$B$14*12,IF(A578&gt;=12,Assumptions!$B$15,0))-Pricing_M!$B$13,Assumptions!$B$9/12*(1+Assumptions!$B$10)^INT(A578/12)+Assumptions!$B$12*(1+Assumptions!$B$11)^(INT(A578/12)+1)/12))*J578</f>
        <v>0.52278276908433</v>
      </c>
      <c r="X578" s="47" t="n">
        <f aca="false">I578*(IF(C578&lt;Assumptions!$B$5,Assumptions!$B$12*(1+Assumptions!$B$11)*(1+Assumptions!$B$24)*(1+Assumptions!$B$11+Assumptions!$B$25)^(INT(A578/12))/12+Pricing_M!$B$13*IF(A578=0,Assumptions!$B$14*12,IF(A578&gt;=12,Assumptions!$B$15,0))-Pricing_M!$B$13,Assumptions!$B$9/12*(1+Assumptions!$B$10)^INT(A578/12)+Assumptions!$B$12*(1+Assumptions!$B$11)*(1+Assumptions!$B$24)*(1+Assumptions!$B$11+Assumptions!$B$25)^(INT(A578/12))/12))*J578</f>
        <v>0.476248528632177</v>
      </c>
    </row>
    <row r="579" customFormat="false" ht="15" hidden="false" customHeight="true" outlineLevel="0" collapsed="false">
      <c r="A579" s="1" t="n">
        <v>572</v>
      </c>
      <c r="B579" s="31" t="n">
        <f aca="false">Assumptions!$B$4+A579/12</f>
        <v>112.666666666667</v>
      </c>
      <c r="C579" s="34" t="n">
        <f aca="false">Assumptions!$B$4+INT(A579/12)</f>
        <v>112</v>
      </c>
      <c r="D579" s="34" t="n">
        <f aca="false">INT(A579/12)+1</f>
        <v>48</v>
      </c>
      <c r="E579" s="32" t="n">
        <f aca="false">IFERROR(INDEX(Cohort_Survival!$G$5:$G$65,MATCH(C579,Cohort_Survival!$A$5:$A$65,0)),1)</f>
        <v>0.475813576891172</v>
      </c>
      <c r="F579" s="30" t="n">
        <f aca="false">1-(1-MIN(1,E579))^(1/12)</f>
        <v>0.0524027013092234</v>
      </c>
      <c r="G579" s="39" t="n">
        <f aca="false">IF(C579&lt;Assumptions!$B$5,IF(D579=1,Assumptions!$B$16,IF(D579=2,Assumptions!$B$17,IF(D579&lt;=5,Assumptions!$B$18,Assumptions!$B$19)))*(1-Assumptions!$B$20),0)</f>
        <v>0</v>
      </c>
      <c r="H579" s="30" t="n">
        <f aca="false">1-(1-G579)^(1/12)</f>
        <v>0</v>
      </c>
      <c r="I579" s="30" t="n">
        <f aca="false">I578*(1-F578)*(1-H578)</f>
        <v>0.000594071850313281</v>
      </c>
      <c r="J579" s="30" t="n">
        <f aca="false">INDEX(Discount_Monthly!$G$4:$G$664,MATCH(A579,Discount_Monthly!$A$4:$A$664,0))</f>
        <v>0.221543343993644</v>
      </c>
      <c r="K579" s="30" t="n">
        <f aca="false">IF(C579&lt;Assumptions!$B$5,I579*J579,0)</f>
        <v>0</v>
      </c>
      <c r="L579" s="30" t="n">
        <f aca="false">IF(C579&lt;Assumptions!$B$5,I579*(1-F579)*H579*A579*J579,0)</f>
        <v>0</v>
      </c>
      <c r="M579" s="30" t="n">
        <f aca="false">IF(A579=0,Assumptions!$B$14*12*I579*J579,IF(AND(A579&gt;=12,C579&lt;Assumptions!$B$5),Assumptions!$B$15*I579*J579,0))</f>
        <v>0</v>
      </c>
      <c r="N579" s="47" t="n">
        <f aca="false">IF(C579&gt;=Assumptions!$B$5,I579*Assumptions!$B$9/12*(1+Assumptions!$B$10)^INT(A579/12)*J579,0)</f>
        <v>0.445086570122424</v>
      </c>
      <c r="O579" s="47" t="n">
        <f aca="false">I579*Assumptions!$B$12/12*(1+Assumptions!$B$11)^(INT(A579/12)+1)*J579</f>
        <v>0.00287046304855142</v>
      </c>
      <c r="P579" s="47" t="n">
        <f aca="false">O579+Pricing_M!$B$13*M579+N579-Pricing_M!$B$13*K579</f>
        <v>0.447957033170975</v>
      </c>
      <c r="Q579" s="47" t="n">
        <f aca="false">IF(C579&lt;Assumptions!$B$5,Pricing_M!$B$13*K579-Pricing_M!$B$13*M579-O579,-(N579+O579))</f>
        <v>-0.447957033170975</v>
      </c>
      <c r="R579" s="32" t="n">
        <f aca="false">R578*(1-(1-(1-MIN(1,E578*(1-Assumptions!$B$21)))^(1/12)))*(1-H578)</f>
        <v>0.0031501826898353</v>
      </c>
      <c r="S579" s="47" t="n">
        <f aca="false">R579*(IF(C579&lt;Assumptions!$B$5,Assumptions!$B$12*(1+Assumptions!$B$11)^(INT(A579/12)+1)/12+Pricing_M!$B$13*IF(A579=0,Assumptions!$B$14*12,IF(A579&gt;=12,Assumptions!$B$15,0))-Pricing_M!$B$13,Assumptions!$B$9/12*(1+Assumptions!$B$10)^INT(A579/12)+Assumptions!$B$12*(1+Assumptions!$B$11)^(INT(A579/12)+1)/12))*J579</f>
        <v>2.37538016814132</v>
      </c>
      <c r="T579" s="32" t="n">
        <f aca="false">T578*(1-F578)*(1-(1-(1-MIN(1,G578*(1+Assumptions!$B$23)))^(1/12)))</f>
        <v>0.000538157126066156</v>
      </c>
      <c r="U579" s="47" t="n">
        <f aca="false">T579*(IF(C579&lt;Assumptions!$B$5,Assumptions!$B$12*(1+Assumptions!$B$11)^(INT(A579/12)+1)/12+Pricing_M!$B$13*IF(A579=0,Assumptions!$B$14*12,IF(A579&gt;=12,Assumptions!$B$15,0))-Pricing_M!$B$13,Assumptions!$B$9/12*(1+Assumptions!$B$10)^INT(A579/12)+Assumptions!$B$12*(1+Assumptions!$B$11)^(INT(A579/12)+1)/12))*J579</f>
        <v>0.405794803179592</v>
      </c>
      <c r="V579" s="32" t="n">
        <f aca="false">V578*(1-F578)*(1-(1-(1-MIN(1,G578*(1-Assumptions!$B$23)))^(1/12)))</f>
        <v>0.000655194433174376</v>
      </c>
      <c r="W579" s="47" t="n">
        <f aca="false">V579*(IF(C579&lt;Assumptions!$B$5,Assumptions!$B$12*(1+Assumptions!$B$11)^(INT(A579/12)+1)/12+Pricing_M!$B$13*IF(A579=0,Assumptions!$B$14*12,IF(A579&gt;=12,Assumptions!$B$15,0))-Pricing_M!$B$13,Assumptions!$B$9/12*(1+Assumptions!$B$10)^INT(A579/12)+Assumptions!$B$12*(1+Assumptions!$B$11)^(INT(A579/12)+1)/12))*J579</f>
        <v>0.494046224004987</v>
      </c>
      <c r="X579" s="47" t="n">
        <f aca="false">I579*(IF(C579&lt;Assumptions!$B$5,Assumptions!$B$12*(1+Assumptions!$B$11)*(1+Assumptions!$B$24)*(1+Assumptions!$B$11+Assumptions!$B$25)^(INT(A579/12))/12+Pricing_M!$B$13*IF(A579=0,Assumptions!$B$14*12,IF(A579&gt;=12,Assumptions!$B$15,0))-Pricing_M!$B$13,Assumptions!$B$9/12*(1+Assumptions!$B$10)^INT(A579/12)+Assumptions!$B$12*(1+Assumptions!$B$11)*(1+Assumptions!$B$24)*(1+Assumptions!$B$11+Assumptions!$B$25)^(INT(A579/12))/12))*J579</f>
        <v>0.450069897427517</v>
      </c>
    </row>
    <row r="580" customFormat="false" ht="15" hidden="false" customHeight="true" outlineLevel="0" collapsed="false">
      <c r="A580" s="1" t="n">
        <v>573</v>
      </c>
      <c r="B580" s="31" t="n">
        <f aca="false">Assumptions!$B$4+A580/12</f>
        <v>112.75</v>
      </c>
      <c r="C580" s="34" t="n">
        <f aca="false">Assumptions!$B$4+INT(A580/12)</f>
        <v>112</v>
      </c>
      <c r="D580" s="34" t="n">
        <f aca="false">INT(A580/12)+1</f>
        <v>48</v>
      </c>
      <c r="E580" s="32" t="n">
        <f aca="false">IFERROR(INDEX(Cohort_Survival!$G$5:$G$65,MATCH(C580,Cohort_Survival!$A$5:$A$65,0)),1)</f>
        <v>0.475813576891172</v>
      </c>
      <c r="F580" s="30" t="n">
        <f aca="false">1-(1-MIN(1,E580))^(1/12)</f>
        <v>0.0524027013092234</v>
      </c>
      <c r="G580" s="39" t="n">
        <f aca="false">IF(C580&lt;Assumptions!$B$5,IF(D580=1,Assumptions!$B$16,IF(D580=2,Assumptions!$B$17,IF(D580&lt;=5,Assumptions!$B$18,Assumptions!$B$19)))*(1-Assumptions!$B$20),0)</f>
        <v>0</v>
      </c>
      <c r="H580" s="30" t="n">
        <f aca="false">1-(1-G580)^(1/12)</f>
        <v>0</v>
      </c>
      <c r="I580" s="30" t="n">
        <f aca="false">I579*(1-F579)*(1-H579)</f>
        <v>0.000562940880585096</v>
      </c>
      <c r="J580" s="30" t="n">
        <f aca="false">INDEX(Discount_Monthly!$G$4:$G$664,MATCH(A580,Discount_Monthly!$A$4:$A$664,0))</f>
        <v>0.220943491232525</v>
      </c>
      <c r="K580" s="30" t="n">
        <f aca="false">IF(C580&lt;Assumptions!$B$5,I580*J580,0)</f>
        <v>0</v>
      </c>
      <c r="L580" s="30" t="n">
        <f aca="false">IF(C580&lt;Assumptions!$B$5,I580*(1-F580)*H580*A580*J580,0)</f>
        <v>0</v>
      </c>
      <c r="M580" s="30" t="n">
        <f aca="false">IF(A580=0,Assumptions!$B$14*12*I580*J580,IF(AND(A580&gt;=12,C580&lt;Assumptions!$B$5),Assumptions!$B$15*I580*J580,0))</f>
        <v>0</v>
      </c>
      <c r="N580" s="47" t="n">
        <f aca="false">IF(C580&gt;=Assumptions!$B$5,I580*Assumptions!$B$9/12*(1+Assumptions!$B$10)^INT(A580/12)*J580,0)</f>
        <v>0.420620862675837</v>
      </c>
      <c r="O580" s="47" t="n">
        <f aca="false">I580*Assumptions!$B$12/12*(1+Assumptions!$B$11)^(INT(A580/12)+1)*J580</f>
        <v>0.00271267821769756</v>
      </c>
      <c r="P580" s="47" t="n">
        <f aca="false">O580+Pricing_M!$B$13*M580+N580-Pricing_M!$B$13*K580</f>
        <v>0.423333540893535</v>
      </c>
      <c r="Q580" s="47" t="n">
        <f aca="false">IF(C580&lt;Assumptions!$B$5,Pricing_M!$B$13*K580-Pricing_M!$B$13*M580-O580,-(N580+O580))</f>
        <v>-0.423333540893535</v>
      </c>
      <c r="R580" s="32" t="n">
        <f aca="false">R579*(1-(1-(1-MIN(1,E579*(1-Assumptions!$B$21)))^(1/12)))*(1-H579)</f>
        <v>0.00302689276681568</v>
      </c>
      <c r="S580" s="47" t="n">
        <f aca="false">R580*(IF(C580&lt;Assumptions!$B$5,Assumptions!$B$12*(1+Assumptions!$B$11)^(INT(A580/12)+1)/12+Pricing_M!$B$13*IF(A580=0,Assumptions!$B$14*12,IF(A580&gt;=12,Assumptions!$B$15,0))-Pricing_M!$B$13,Assumptions!$B$9/12*(1+Assumptions!$B$10)^INT(A580/12)+Assumptions!$B$12*(1+Assumptions!$B$11)^(INT(A580/12)+1)/12))*J580</f>
        <v>2.27623410747732</v>
      </c>
      <c r="T580" s="32" t="n">
        <f aca="false">T579*(1-F579)*(1-(1-(1-MIN(1,G579*(1+Assumptions!$B$23)))^(1/12)))</f>
        <v>0.000509956238931481</v>
      </c>
      <c r="U580" s="47" t="n">
        <f aca="false">T580*(IF(C580&lt;Assumptions!$B$5,Assumptions!$B$12*(1+Assumptions!$B$11)^(INT(A580/12)+1)/12+Pricing_M!$B$13*IF(A580=0,Assumptions!$B$14*12,IF(A580&gt;=12,Assumptions!$B$15,0))-Pricing_M!$B$13,Assumptions!$B$9/12*(1+Assumptions!$B$10)^INT(A580/12)+Assumptions!$B$12*(1+Assumptions!$B$11)^(INT(A580/12)+1)/12))*J580</f>
        <v>0.383488902250687</v>
      </c>
      <c r="V580" s="32" t="n">
        <f aca="false">V579*(1-F579)*(1-(1-(1-MIN(1,G579*(1-Assumptions!$B$23)))^(1/12)))</f>
        <v>0.000620860474993273</v>
      </c>
      <c r="W580" s="47" t="n">
        <f aca="false">V580*(IF(C580&lt;Assumptions!$B$5,Assumptions!$B$12*(1+Assumptions!$B$11)^(INT(A580/12)+1)/12+Pricing_M!$B$13*IF(A580=0,Assumptions!$B$14*12,IF(A580&gt;=12,Assumptions!$B$15,0))-Pricing_M!$B$13,Assumptions!$B$9/12*(1+Assumptions!$B$10)^INT(A580/12)+Assumptions!$B$12*(1+Assumptions!$B$11)^(INT(A580/12)+1)/12))*J580</f>
        <v>0.466889281529118</v>
      </c>
      <c r="X580" s="47" t="n">
        <f aca="false">I580*(IF(C580&lt;Assumptions!$B$5,Assumptions!$B$12*(1+Assumptions!$B$11)*(1+Assumptions!$B$24)*(1+Assumptions!$B$11+Assumptions!$B$25)^(INT(A580/12))/12+Pricing_M!$B$13*IF(A580=0,Assumptions!$B$14*12,IF(A580&gt;=12,Assumptions!$B$15,0))-Pricing_M!$B$13,Assumptions!$B$9/12*(1+Assumptions!$B$10)^INT(A580/12)+Assumptions!$B$12*(1+Assumptions!$B$11)*(1+Assumptions!$B$24)*(1+Assumptions!$B$11+Assumptions!$B$25)^(INT(A580/12))/12))*J580</f>
        <v>0.425330264331089</v>
      </c>
    </row>
    <row r="581" customFormat="false" ht="15" hidden="false" customHeight="true" outlineLevel="0" collapsed="false">
      <c r="A581" s="1" t="n">
        <v>574</v>
      </c>
      <c r="B581" s="31" t="n">
        <f aca="false">Assumptions!$B$4+A581/12</f>
        <v>112.833333333333</v>
      </c>
      <c r="C581" s="34" t="n">
        <f aca="false">Assumptions!$B$4+INT(A581/12)</f>
        <v>112</v>
      </c>
      <c r="D581" s="34" t="n">
        <f aca="false">INT(A581/12)+1</f>
        <v>48</v>
      </c>
      <c r="E581" s="32" t="n">
        <f aca="false">IFERROR(INDEX(Cohort_Survival!$G$5:$G$65,MATCH(C581,Cohort_Survival!$A$5:$A$65,0)),1)</f>
        <v>0.475813576891172</v>
      </c>
      <c r="F581" s="30" t="n">
        <f aca="false">1-(1-MIN(1,E581))^(1/12)</f>
        <v>0.0524027013092234</v>
      </c>
      <c r="G581" s="39" t="n">
        <f aca="false">IF(C581&lt;Assumptions!$B$5,IF(D581=1,Assumptions!$B$16,IF(D581=2,Assumptions!$B$17,IF(D581&lt;=5,Assumptions!$B$18,Assumptions!$B$19)))*(1-Assumptions!$B$20),0)</f>
        <v>0</v>
      </c>
      <c r="H581" s="30" t="n">
        <f aca="false">1-(1-G581)^(1/12)</f>
        <v>0</v>
      </c>
      <c r="I581" s="30" t="n">
        <f aca="false">I580*(1-F580)*(1-H580)</f>
        <v>0.000533441257765044</v>
      </c>
      <c r="J581" s="30" t="n">
        <f aca="false">INDEX(Discount_Monthly!$G$4:$G$664,MATCH(A581,Discount_Monthly!$A$4:$A$664,0))</f>
        <v>0.220345262638165</v>
      </c>
      <c r="K581" s="30" t="n">
        <f aca="false">IF(C581&lt;Assumptions!$B$5,I581*J581,0)</f>
        <v>0</v>
      </c>
      <c r="L581" s="30" t="n">
        <f aca="false">IF(C581&lt;Assumptions!$B$5,I581*(1-F581)*H581*A581*J581,0)</f>
        <v>0</v>
      </c>
      <c r="M581" s="30" t="n">
        <f aca="false">IF(A581=0,Assumptions!$B$14*12*I581*J581,IF(AND(A581&gt;=12,C581&lt;Assumptions!$B$5),Assumptions!$B$15*I581*J581,0))</f>
        <v>0</v>
      </c>
      <c r="N581" s="47" t="n">
        <f aca="false">IF(C581&gt;=Assumptions!$B$5,I581*Assumptions!$B$9/12*(1+Assumptions!$B$10)^INT(A581/12)*J581,0)</f>
        <v>0.397499996617517</v>
      </c>
      <c r="O581" s="47" t="n">
        <f aca="false">I581*Assumptions!$B$12/12*(1+Assumptions!$B$11)^(INT(A581/12)+1)*J581</f>
        <v>0.00256356657037767</v>
      </c>
      <c r="P581" s="47" t="n">
        <f aca="false">O581+Pricing_M!$B$13*M581+N581-Pricing_M!$B$13*K581</f>
        <v>0.400063563187895</v>
      </c>
      <c r="Q581" s="47" t="n">
        <f aca="false">IF(C581&lt;Assumptions!$B$5,Pricing_M!$B$13*K581-Pricing_M!$B$13*M581-O581,-(N581+O581))</f>
        <v>-0.400063563187895</v>
      </c>
      <c r="R581" s="32" t="n">
        <f aca="false">R580*(1-(1-(1-MIN(1,E580*(1-Assumptions!$B$21)))^(1/12)))*(1-H580)</f>
        <v>0.00290842808938173</v>
      </c>
      <c r="S581" s="47" t="n">
        <f aca="false">R581*(IF(C581&lt;Assumptions!$B$5,Assumptions!$B$12*(1+Assumptions!$B$11)^(INT(A581/12)+1)/12+Pricing_M!$B$13*IF(A581=0,Assumptions!$B$14*12,IF(A581&gt;=12,Assumptions!$B$15,0))-Pricing_M!$B$13,Assumptions!$B$9/12*(1+Assumptions!$B$10)^INT(A581/12)+Assumptions!$B$12*(1+Assumptions!$B$11)^(INT(A581/12)+1)/12))*J581</f>
        <v>2.18122630707036</v>
      </c>
      <c r="T581" s="32" t="n">
        <f aca="false">T580*(1-F580)*(1-(1-(1-MIN(1,G580*(1+Assumptions!$B$23)))^(1/12)))</f>
        <v>0.00048323315446198</v>
      </c>
      <c r="U581" s="47" t="n">
        <f aca="false">T581*(IF(C581&lt;Assumptions!$B$5,Assumptions!$B$12*(1+Assumptions!$B$11)^(INT(A581/12)+1)/12+Pricing_M!$B$13*IF(A581=0,Assumptions!$B$14*12,IF(A581&gt;=12,Assumptions!$B$15,0))-Pricing_M!$B$13,Assumptions!$B$9/12*(1+Assumptions!$B$10)^INT(A581/12)+Assumptions!$B$12*(1+Assumptions!$B$11)^(INT(A581/12)+1)/12))*J581</f>
        <v>0.36240912154893</v>
      </c>
      <c r="V581" s="32" t="n">
        <f aca="false">V580*(1-F580)*(1-(1-(1-MIN(1,G580*(1-Assumptions!$B$23)))^(1/12)))</f>
        <v>0.000588325708967498</v>
      </c>
      <c r="W581" s="47" t="n">
        <f aca="false">V581*(IF(C581&lt;Assumptions!$B$5,Assumptions!$B$12*(1+Assumptions!$B$11)^(INT(A581/12)+1)/12+Pricing_M!$B$13*IF(A581=0,Assumptions!$B$14*12,IF(A581&gt;=12,Assumptions!$B$15,0))-Pricing_M!$B$13,Assumptions!$B$9/12*(1+Assumptions!$B$10)^INT(A581/12)+Assumptions!$B$12*(1+Assumptions!$B$11)^(INT(A581/12)+1)/12))*J581</f>
        <v>0.441225113390555</v>
      </c>
      <c r="X581" s="47" t="n">
        <f aca="false">I581*(IF(C581&lt;Assumptions!$B$5,Assumptions!$B$12*(1+Assumptions!$B$11)*(1+Assumptions!$B$24)*(1+Assumptions!$B$11+Assumptions!$B$25)^(INT(A581/12))/12+Pricing_M!$B$13*IF(A581=0,Assumptions!$B$14*12,IF(A581&gt;=12,Assumptions!$B$15,0))-Pricing_M!$B$13,Assumptions!$B$9/12*(1+Assumptions!$B$10)^INT(A581/12)+Assumptions!$B$12*(1+Assumptions!$B$11)*(1+Assumptions!$B$24)*(1+Assumptions!$B$11+Assumptions!$B$25)^(INT(A581/12))/12))*J581</f>
        <v>0.401950529884279</v>
      </c>
    </row>
    <row r="582" customFormat="false" ht="15" hidden="false" customHeight="true" outlineLevel="0" collapsed="false">
      <c r="A582" s="1" t="n">
        <v>575</v>
      </c>
      <c r="B582" s="31" t="n">
        <f aca="false">Assumptions!$B$4+A582/12</f>
        <v>112.916666666667</v>
      </c>
      <c r="C582" s="34" t="n">
        <f aca="false">Assumptions!$B$4+INT(A582/12)</f>
        <v>112</v>
      </c>
      <c r="D582" s="34" t="n">
        <f aca="false">INT(A582/12)+1</f>
        <v>48</v>
      </c>
      <c r="E582" s="32" t="n">
        <f aca="false">IFERROR(INDEX(Cohort_Survival!$G$5:$G$65,MATCH(C582,Cohort_Survival!$A$5:$A$65,0)),1)</f>
        <v>0.475813576891172</v>
      </c>
      <c r="F582" s="30" t="n">
        <f aca="false">1-(1-MIN(1,E582))^(1/12)</f>
        <v>0.0524027013092234</v>
      </c>
      <c r="G582" s="39" t="n">
        <f aca="false">IF(C582&lt;Assumptions!$B$5,IF(D582=1,Assumptions!$B$16,IF(D582=2,Assumptions!$B$17,IF(D582&lt;=5,Assumptions!$B$18,Assumptions!$B$19)))*(1-Assumptions!$B$20),0)</f>
        <v>0</v>
      </c>
      <c r="H582" s="30" t="n">
        <f aca="false">1-(1-G582)^(1/12)</f>
        <v>0</v>
      </c>
      <c r="I582" s="30" t="n">
        <f aca="false">I581*(1-F581)*(1-H581)</f>
        <v>0.000505487494868366</v>
      </c>
      <c r="J582" s="30" t="n">
        <f aca="false">INDEX(Discount_Monthly!$G$4:$G$664,MATCH(A582,Discount_Monthly!$A$4:$A$664,0))</f>
        <v>0.219748653812956</v>
      </c>
      <c r="K582" s="30" t="n">
        <f aca="false">IF(C582&lt;Assumptions!$B$5,I582*J582,0)</f>
        <v>0</v>
      </c>
      <c r="L582" s="30" t="n">
        <f aca="false">IF(C582&lt;Assumptions!$B$5,I582*(1-F582)*H582*A582*J582,0)</f>
        <v>0</v>
      </c>
      <c r="M582" s="30" t="n">
        <f aca="false">IF(A582=0,Assumptions!$B$14*12*I582*J582,IF(AND(A582&gt;=12,C582&lt;Assumptions!$B$5),Assumptions!$B$15*I582*J582,0))</f>
        <v>0</v>
      </c>
      <c r="N582" s="47" t="n">
        <f aca="false">IF(C582&gt;=Assumptions!$B$5,I582*Assumptions!$B$9/12*(1+Assumptions!$B$10)^INT(A582/12)*J582,0)</f>
        <v>0.375650048135387</v>
      </c>
      <c r="O582" s="47" t="n">
        <f aca="false">I582*Assumptions!$B$12/12*(1+Assumptions!$B$11)^(INT(A582/12)+1)*J582</f>
        <v>0.00242265135535903</v>
      </c>
      <c r="P582" s="47" t="n">
        <f aca="false">O582+Pricing_M!$B$13*M582+N582-Pricing_M!$B$13*K582</f>
        <v>0.378072699490746</v>
      </c>
      <c r="Q582" s="47" t="n">
        <f aca="false">IF(C582&lt;Assumptions!$B$5,Pricing_M!$B$13*K582-Pricing_M!$B$13*M582-O582,-(N582+O582))</f>
        <v>-0.378072699490746</v>
      </c>
      <c r="R582" s="32" t="n">
        <f aca="false">R581*(1-(1-(1-MIN(1,E581*(1-Assumptions!$B$21)))^(1/12)))*(1-H581)</f>
        <v>0.00279459981002351</v>
      </c>
      <c r="S582" s="47" t="n">
        <f aca="false">R582*(IF(C582&lt;Assumptions!$B$5,Assumptions!$B$12*(1+Assumptions!$B$11)^(INT(A582/12)+1)/12+Pricing_M!$B$13*IF(A582=0,Assumptions!$B$14*12,IF(A582&gt;=12,Assumptions!$B$15,0))-Pricing_M!$B$13,Assumptions!$B$9/12*(1+Assumptions!$B$10)^INT(A582/12)+Assumptions!$B$12*(1+Assumptions!$B$11)^(INT(A582/12)+1)/12))*J582</f>
        <v>2.09018403995741</v>
      </c>
      <c r="T582" s="32" t="n">
        <f aca="false">T581*(1-F581)*(1-(1-(1-MIN(1,G581*(1+Assumptions!$B$23)))^(1/12)))</f>
        <v>0.000457910431805995</v>
      </c>
      <c r="U582" s="47" t="n">
        <f aca="false">T582*(IF(C582&lt;Assumptions!$B$5,Assumptions!$B$12*(1+Assumptions!$B$11)^(INT(A582/12)+1)/12+Pricing_M!$B$13*IF(A582=0,Assumptions!$B$14*12,IF(A582&gt;=12,Assumptions!$B$15,0))-Pricing_M!$B$13,Assumptions!$B$9/12*(1+Assumptions!$B$10)^INT(A582/12)+Assumptions!$B$12*(1+Assumptions!$B$11)^(INT(A582/12)+1)/12))*J582</f>
        <v>0.342488063177406</v>
      </c>
      <c r="V582" s="32" t="n">
        <f aca="false">V581*(1-F581)*(1-(1-(1-MIN(1,G581*(1-Assumptions!$B$23)))^(1/12)))</f>
        <v>0.000557495852567937</v>
      </c>
      <c r="W582" s="47" t="n">
        <f aca="false">V582*(IF(C582&lt;Assumptions!$B$5,Assumptions!$B$12*(1+Assumptions!$B$11)^(INT(A582/12)+1)/12+Pricing_M!$B$13*IF(A582=0,Assumptions!$B$14*12,IF(A582&gt;=12,Assumptions!$B$15,0))-Pricing_M!$B$13,Assumptions!$B$9/12*(1+Assumptions!$B$10)^INT(A582/12)+Assumptions!$B$12*(1+Assumptions!$B$11)^(INT(A582/12)+1)/12))*J582</f>
        <v>0.416971664136108</v>
      </c>
      <c r="X582" s="47" t="n">
        <f aca="false">I582*(IF(C582&lt;Assumptions!$B$5,Assumptions!$B$12*(1+Assumptions!$B$11)*(1+Assumptions!$B$24)*(1+Assumptions!$B$11+Assumptions!$B$25)^(INT(A582/12))/12+Pricing_M!$B$13*IF(A582=0,Assumptions!$B$14*12,IF(A582&gt;=12,Assumptions!$B$15,0))-Pricing_M!$B$13,Assumptions!$B$9/12*(1+Assumptions!$B$10)^INT(A582/12)+Assumptions!$B$12*(1+Assumptions!$B$11)*(1+Assumptions!$B$24)*(1+Assumptions!$B$11+Assumptions!$B$25)^(INT(A582/12))/12))*J582</f>
        <v>0.379855942601081</v>
      </c>
    </row>
    <row r="583" customFormat="false" ht="15" hidden="false" customHeight="true" outlineLevel="0" collapsed="false">
      <c r="A583" s="1" t="n">
        <v>576</v>
      </c>
      <c r="B583" s="31" t="n">
        <f aca="false">Assumptions!$B$4+A583/12</f>
        <v>113</v>
      </c>
      <c r="C583" s="34" t="n">
        <f aca="false">Assumptions!$B$4+INT(A583/12)</f>
        <v>113</v>
      </c>
      <c r="D583" s="34" t="n">
        <f aca="false">INT(A583/12)+1</f>
        <v>49</v>
      </c>
      <c r="E583" s="32" t="n">
        <f aca="false">IFERROR(INDEX(Cohort_Survival!$G$5:$G$65,MATCH(C583,Cohort_Survival!$A$5:$A$65,0)),1)</f>
        <v>0.493263015190997</v>
      </c>
      <c r="F583" s="30" t="n">
        <f aca="false">1-(1-MIN(1,E583))^(1/12)</f>
        <v>0.0550723653111276</v>
      </c>
      <c r="G583" s="39" t="n">
        <f aca="false">IF(C583&lt;Assumptions!$B$5,IF(D583=1,Assumptions!$B$16,IF(D583=2,Assumptions!$B$17,IF(D583&lt;=5,Assumptions!$B$18,Assumptions!$B$19)))*(1-Assumptions!$B$20),0)</f>
        <v>0</v>
      </c>
      <c r="H583" s="30" t="n">
        <f aca="false">1-(1-G583)^(1/12)</f>
        <v>0</v>
      </c>
      <c r="I583" s="30" t="n">
        <f aca="false">I582*(1-F582)*(1-H582)</f>
        <v>0.000478998584659231</v>
      </c>
      <c r="J583" s="30" t="n">
        <f aca="false">INDEX(Discount_Monthly!$G$4:$G$664,MATCH(A583,Discount_Monthly!$A$4:$A$664,0))</f>
        <v>0.219153660371196</v>
      </c>
      <c r="K583" s="30" t="n">
        <f aca="false">IF(C583&lt;Assumptions!$B$5,I583*J583,0)</f>
        <v>0</v>
      </c>
      <c r="L583" s="30" t="n">
        <f aca="false">IF(C583&lt;Assumptions!$B$5,I583*(1-F583)*H583*A583*J583,0)</f>
        <v>0</v>
      </c>
      <c r="M583" s="30" t="n">
        <f aca="false">IF(A583=0,Assumptions!$B$14*12*I583*J583,IF(AND(A583&gt;=12,C583&lt;Assumptions!$B$5),Assumptions!$B$15*I583*J583,0))</f>
        <v>0</v>
      </c>
      <c r="N583" s="47" t="n">
        <f aca="false">IF(C583&gt;=Assumptions!$B$5,I583*Assumptions!$B$9/12*(1+Assumptions!$B$10)^INT(A583/12)*J583,0)</f>
        <v>0.362101180030696</v>
      </c>
      <c r="O583" s="47" t="n">
        <f aca="false">I583*Assumptions!$B$12/12*(1+Assumptions!$B$11)^(INT(A583/12)+1)*J583</f>
        <v>0.00234671907836481</v>
      </c>
      <c r="P583" s="47" t="n">
        <f aca="false">O583+Pricing_M!$B$13*M583+N583-Pricing_M!$B$13*K583</f>
        <v>0.364447899109061</v>
      </c>
      <c r="Q583" s="47" t="n">
        <f aca="false">IF(C583&lt;Assumptions!$B$5,Pricing_M!$B$13*K583-Pricing_M!$B$13*M583-O583,-(N583+O583))</f>
        <v>-0.364447899109061</v>
      </c>
      <c r="R583" s="32" t="n">
        <f aca="false">R582*(1-(1-(1-MIN(1,E582*(1-Assumptions!$B$21)))^(1/12)))*(1-H582)</f>
        <v>0.00268522647222942</v>
      </c>
      <c r="S583" s="47" t="n">
        <f aca="false">R583*(IF(C583&lt;Assumptions!$B$5,Assumptions!$B$12*(1+Assumptions!$B$11)^(INT(A583/12)+1)/12+Pricing_M!$B$13*IF(A583=0,Assumptions!$B$14*12,IF(A583&gt;=12,Assumptions!$B$15,0))-Pricing_M!$B$13,Assumptions!$B$9/12*(1+Assumptions!$B$10)^INT(A583/12)+Assumptions!$B$12*(1+Assumptions!$B$11)^(INT(A583/12)+1)/12))*J583</f>
        <v>2.04306479763872</v>
      </c>
      <c r="T583" s="32" t="n">
        <f aca="false">T582*(1-F582)*(1-(1-(1-MIN(1,G582*(1+Assumptions!$B$23)))^(1/12)))</f>
        <v>0.000433914688221688</v>
      </c>
      <c r="U583" s="47" t="n">
        <f aca="false">T583*(IF(C583&lt;Assumptions!$B$5,Assumptions!$B$12*(1+Assumptions!$B$11)^(INT(A583/12)+1)/12+Pricing_M!$B$13*IF(A583=0,Assumptions!$B$14*12,IF(A583&gt;=12,Assumptions!$B$15,0))-Pricing_M!$B$13,Assumptions!$B$9/12*(1+Assumptions!$B$10)^INT(A583/12)+Assumptions!$B$12*(1+Assumptions!$B$11)^(INT(A583/12)+1)/12))*J583</f>
        <v>0.330145644642062</v>
      </c>
      <c r="V583" s="32" t="n">
        <f aca="false">V582*(1-F582)*(1-(1-(1-MIN(1,G582*(1-Assumptions!$B$23)))^(1/12)))</f>
        <v>0.000528281563924689</v>
      </c>
      <c r="W583" s="47" t="n">
        <f aca="false">V583*(IF(C583&lt;Assumptions!$B$5,Assumptions!$B$12*(1+Assumptions!$B$11)^(INT(A583/12)+1)/12+Pricing_M!$B$13*IF(A583=0,Assumptions!$B$14*12,IF(A583&gt;=12,Assumptions!$B$15,0))-Pricing_M!$B$13,Assumptions!$B$9/12*(1+Assumptions!$B$10)^INT(A583/12)+Assumptions!$B$12*(1+Assumptions!$B$11)^(INT(A583/12)+1)/12))*J583</f>
        <v>0.401945041752832</v>
      </c>
      <c r="X583" s="47" t="n">
        <f aca="false">I583*(IF(C583&lt;Assumptions!$B$5,Assumptions!$B$12*(1+Assumptions!$B$11)*(1+Assumptions!$B$24)*(1+Assumptions!$B$11+Assumptions!$B$25)^(INT(A583/12))/12+Pricing_M!$B$13*IF(A583=0,Assumptions!$B$14*12,IF(A583&gt;=12,Assumptions!$B$15,0))-Pricing_M!$B$13,Assumptions!$B$9/12*(1+Assumptions!$B$10)^INT(A583/12)+Assumptions!$B$12*(1+Assumptions!$B$11)*(1+Assumptions!$B$24)*(1+Assumptions!$B$11+Assumptions!$B$25)^(INT(A583/12))/12))*J583</f>
        <v>0.366214997712338</v>
      </c>
    </row>
    <row r="584" customFormat="false" ht="15" hidden="false" customHeight="true" outlineLevel="0" collapsed="false">
      <c r="A584" s="1" t="n">
        <v>577</v>
      </c>
      <c r="B584" s="31" t="n">
        <f aca="false">Assumptions!$B$4+A584/12</f>
        <v>113.083333333333</v>
      </c>
      <c r="C584" s="34" t="n">
        <f aca="false">Assumptions!$B$4+INT(A584/12)</f>
        <v>113</v>
      </c>
      <c r="D584" s="34" t="n">
        <f aca="false">INT(A584/12)+1</f>
        <v>49</v>
      </c>
      <c r="E584" s="32" t="n">
        <f aca="false">IFERROR(INDEX(Cohort_Survival!$G$5:$G$65,MATCH(C584,Cohort_Survival!$A$5:$A$65,0)),1)</f>
        <v>0.493263015190997</v>
      </c>
      <c r="F584" s="30" t="n">
        <f aca="false">1-(1-MIN(1,E584))^(1/12)</f>
        <v>0.0550723653111276</v>
      </c>
      <c r="G584" s="39" t="n">
        <f aca="false">IF(C584&lt;Assumptions!$B$5,IF(D584=1,Assumptions!$B$16,IF(D584=2,Assumptions!$B$17,IF(D584&lt;=5,Assumptions!$B$18,Assumptions!$B$19)))*(1-Assumptions!$B$20),0)</f>
        <v>0</v>
      </c>
      <c r="H584" s="30" t="n">
        <f aca="false">1-(1-G584)^(1/12)</f>
        <v>0</v>
      </c>
      <c r="I584" s="30" t="n">
        <f aca="false">I583*(1-F583)*(1-H583)</f>
        <v>0.000452618999621365</v>
      </c>
      <c r="J584" s="30" t="n">
        <f aca="false">INDEX(Discount_Monthly!$G$4:$G$664,MATCH(A584,Discount_Monthly!$A$4:$A$664,0))</f>
        <v>0.218568219156186</v>
      </c>
      <c r="K584" s="30" t="n">
        <f aca="false">IF(C584&lt;Assumptions!$B$5,I584*J584,0)</f>
        <v>0</v>
      </c>
      <c r="L584" s="30" t="n">
        <f aca="false">IF(C584&lt;Assumptions!$B$5,I584*(1-F584)*H584*A584*J584,0)</f>
        <v>0</v>
      </c>
      <c r="M584" s="30" t="n">
        <f aca="false">IF(A584=0,Assumptions!$B$14*12*I584*J584,IF(AND(A584&gt;=12,C584&lt;Assumptions!$B$5),Assumptions!$B$15*I584*J584,0))</f>
        <v>0</v>
      </c>
      <c r="N584" s="47" t="n">
        <f aca="false">IF(C584&gt;=Assumptions!$B$5,I584*Assumptions!$B$9/12*(1+Assumptions!$B$10)^INT(A584/12)*J584,0)</f>
        <v>0.341245376082256</v>
      </c>
      <c r="O584" s="47" t="n">
        <f aca="false">I584*Assumptions!$B$12/12*(1+Assumptions!$B$11)^(INT(A584/12)+1)*J584</f>
        <v>0.0022115559921349</v>
      </c>
      <c r="P584" s="47" t="n">
        <f aca="false">O584+Pricing_M!$B$13*M584+N584-Pricing_M!$B$13*K584</f>
        <v>0.34345693207439</v>
      </c>
      <c r="Q584" s="47" t="n">
        <f aca="false">IF(C584&lt;Assumptions!$B$5,Pricing_M!$B$13*K584-Pricing_M!$B$13*M584-O584,-(N584+O584))</f>
        <v>-0.34345693207439</v>
      </c>
      <c r="R584" s="32" t="n">
        <f aca="false">R583*(1-(1-(1-MIN(1,E583*(1-Assumptions!$B$21)))^(1/12)))*(1-H583)</f>
        <v>0.00257523677537686</v>
      </c>
      <c r="S584" s="47" t="n">
        <f aca="false">R584*(IF(C584&lt;Assumptions!$B$5,Assumptions!$B$12*(1+Assumptions!$B$11)^(INT(A584/12)+1)/12+Pricing_M!$B$13*IF(A584=0,Assumptions!$B$14*12,IF(A584&gt;=12,Assumptions!$B$15,0))-Pricing_M!$B$13,Assumptions!$B$9/12*(1+Assumptions!$B$10)^INT(A584/12)+Assumptions!$B$12*(1+Assumptions!$B$11)^(INT(A584/12)+1)/12))*J584</f>
        <v>1.9541444857065</v>
      </c>
      <c r="T584" s="32" t="n">
        <f aca="false">T583*(1-F583)*(1-(1-(1-MIN(1,G583*(1+Assumptions!$B$23)))^(1/12)))</f>
        <v>0.000410017979998079</v>
      </c>
      <c r="U584" s="47" t="n">
        <f aca="false">T584*(IF(C584&lt;Assumptions!$B$5,Assumptions!$B$12*(1+Assumptions!$B$11)^(INT(A584/12)+1)/12+Pricing_M!$B$13*IF(A584=0,Assumptions!$B$14*12,IF(A584&gt;=12,Assumptions!$B$15,0))-Pricing_M!$B$13,Assumptions!$B$9/12*(1+Assumptions!$B$10)^INT(A584/12)+Assumptions!$B$12*(1+Assumptions!$B$11)^(INT(A584/12)+1)/12))*J584</f>
        <v>0.311130371511765</v>
      </c>
      <c r="V584" s="32" t="n">
        <f aca="false">V583*(1-F583)*(1-(1-(1-MIN(1,G583*(1-Assumptions!$B$23)))^(1/12)))</f>
        <v>0.000499187848649094</v>
      </c>
      <c r="W584" s="47" t="n">
        <f aca="false">V584*(IF(C584&lt;Assumptions!$B$5,Assumptions!$B$12*(1+Assumptions!$B$11)^(INT(A584/12)+1)/12+Pricing_M!$B$13*IF(A584=0,Assumptions!$B$14*12,IF(A584&gt;=12,Assumptions!$B$15,0))-Pricing_M!$B$13,Assumptions!$B$9/12*(1+Assumptions!$B$10)^INT(A584/12)+Assumptions!$B$12*(1+Assumptions!$B$11)^(INT(A584/12)+1)/12))*J584</f>
        <v>0.37879436605458</v>
      </c>
      <c r="X584" s="47" t="n">
        <f aca="false">I584*(IF(C584&lt;Assumptions!$B$5,Assumptions!$B$12*(1+Assumptions!$B$11)*(1+Assumptions!$B$24)*(1+Assumptions!$B$11+Assumptions!$B$25)^(INT(A584/12))/12+Pricing_M!$B$13*IF(A584=0,Assumptions!$B$14*12,IF(A584&gt;=12,Assumptions!$B$15,0))-Pricing_M!$B$13,Assumptions!$B$9/12*(1+Assumptions!$B$10)^INT(A584/12)+Assumptions!$B$12*(1+Assumptions!$B$11)*(1+Assumptions!$B$24)*(1+Assumptions!$B$11+Assumptions!$B$25)^(INT(A584/12))/12))*J584</f>
        <v>0.345122251771494</v>
      </c>
    </row>
    <row r="585" customFormat="false" ht="15" hidden="false" customHeight="true" outlineLevel="0" collapsed="false">
      <c r="A585" s="1" t="n">
        <v>578</v>
      </c>
      <c r="B585" s="31" t="n">
        <f aca="false">Assumptions!$B$4+A585/12</f>
        <v>113.166666666667</v>
      </c>
      <c r="C585" s="34" t="n">
        <f aca="false">Assumptions!$B$4+INT(A585/12)</f>
        <v>113</v>
      </c>
      <c r="D585" s="34" t="n">
        <f aca="false">INT(A585/12)+1</f>
        <v>49</v>
      </c>
      <c r="E585" s="32" t="n">
        <f aca="false">IFERROR(INDEX(Cohort_Survival!$G$5:$G$65,MATCH(C585,Cohort_Survival!$A$5:$A$65,0)),1)</f>
        <v>0.493263015190997</v>
      </c>
      <c r="F585" s="30" t="n">
        <f aca="false">1-(1-MIN(1,E585))^(1/12)</f>
        <v>0.0550723653111276</v>
      </c>
      <c r="G585" s="39" t="n">
        <f aca="false">IF(C585&lt;Assumptions!$B$5,IF(D585=1,Assumptions!$B$16,IF(D585=2,Assumptions!$B$17,IF(D585&lt;=5,Assumptions!$B$18,Assumptions!$B$19)))*(1-Assumptions!$B$20),0)</f>
        <v>0</v>
      </c>
      <c r="H585" s="30" t="n">
        <f aca="false">1-(1-G585)^(1/12)</f>
        <v>0</v>
      </c>
      <c r="I585" s="30" t="n">
        <f aca="false">I584*(1-F584)*(1-H584)</f>
        <v>0.00042769220072746</v>
      </c>
      <c r="J585" s="30" t="n">
        <f aca="false">INDEX(Discount_Monthly!$G$4:$G$664,MATCH(A585,Discount_Monthly!$A$4:$A$664,0))</f>
        <v>0.217984341873149</v>
      </c>
      <c r="K585" s="30" t="n">
        <f aca="false">IF(C585&lt;Assumptions!$B$5,I585*J585,0)</f>
        <v>0</v>
      </c>
      <c r="L585" s="30" t="n">
        <f aca="false">IF(C585&lt;Assumptions!$B$5,I585*(1-F585)*H585*A585*J585,0)</f>
        <v>0</v>
      </c>
      <c r="M585" s="30" t="n">
        <f aca="false">IF(A585=0,Assumptions!$B$14*12*I585*J585,IF(AND(A585&gt;=12,C585&lt;Assumptions!$B$5),Assumptions!$B$15*I585*J585,0))</f>
        <v>0</v>
      </c>
      <c r="N585" s="47" t="n">
        <f aca="false">IF(C585&gt;=Assumptions!$B$5,I585*Assumptions!$B$9/12*(1+Assumptions!$B$10)^INT(A585/12)*J585,0)</f>
        <v>0.321590795941754</v>
      </c>
      <c r="O585" s="47" t="n">
        <f aca="false">I585*Assumptions!$B$12/12*(1+Assumptions!$B$11)^(INT(A585/12)+1)*J585</f>
        <v>0.00208417784277605</v>
      </c>
      <c r="P585" s="47" t="n">
        <f aca="false">O585+Pricing_M!$B$13*M585+N585-Pricing_M!$B$13*K585</f>
        <v>0.32367497378453</v>
      </c>
      <c r="Q585" s="47" t="n">
        <f aca="false">IF(C585&lt;Assumptions!$B$5,Pricing_M!$B$13*K585-Pricing_M!$B$13*M585-O585,-(N585+O585))</f>
        <v>-0.32367497378453</v>
      </c>
      <c r="R585" s="32" t="n">
        <f aca="false">R584*(1-(1-(1-MIN(1,E584*(1-Assumptions!$B$21)))^(1/12)))*(1-H584)</f>
        <v>0.00246975237204007</v>
      </c>
      <c r="S585" s="47" t="n">
        <f aca="false">R585*(IF(C585&lt;Assumptions!$B$5,Assumptions!$B$12*(1+Assumptions!$B$11)^(INT(A585/12)+1)/12+Pricing_M!$B$13*IF(A585=0,Assumptions!$B$14*12,IF(A585&gt;=12,Assumptions!$B$15,0))-Pricing_M!$B$13,Assumptions!$B$9/12*(1+Assumptions!$B$10)^INT(A585/12)+Assumptions!$B$12*(1+Assumptions!$B$11)^(INT(A585/12)+1)/12))*J585</f>
        <v>1.86909425262995</v>
      </c>
      <c r="T585" s="32" t="n">
        <f aca="false">T584*(1-F584)*(1-(1-(1-MIN(1,G584*(1+Assumptions!$B$23)))^(1/12)))</f>
        <v>0.000387437320019494</v>
      </c>
      <c r="U585" s="47" t="n">
        <f aca="false">T585*(IF(C585&lt;Assumptions!$B$5,Assumptions!$B$12*(1+Assumptions!$B$11)^(INT(A585/12)+1)/12+Pricing_M!$B$13*IF(A585=0,Assumptions!$B$14*12,IF(A585&gt;=12,Assumptions!$B$15,0))-Pricing_M!$B$13,Assumptions!$B$9/12*(1+Assumptions!$B$10)^INT(A585/12)+Assumptions!$B$12*(1+Assumptions!$B$11)^(INT(A585/12)+1)/12))*J585</f>
        <v>0.293210313835884</v>
      </c>
      <c r="V585" s="32" t="n">
        <f aca="false">V584*(1-F584)*(1-(1-(1-MIN(1,G584*(1-Assumptions!$B$23)))^(1/12)))</f>
        <v>0.000471696393089416</v>
      </c>
      <c r="W585" s="47" t="n">
        <f aca="false">V585*(IF(C585&lt;Assumptions!$B$5,Assumptions!$B$12*(1+Assumptions!$B$11)^(INT(A585/12)+1)/12+Pricing_M!$B$13*IF(A585=0,Assumptions!$B$14*12,IF(A585&gt;=12,Assumptions!$B$15,0))-Pricing_M!$B$13,Assumptions!$B$9/12*(1+Assumptions!$B$10)^INT(A585/12)+Assumptions!$B$12*(1+Assumptions!$B$11)^(INT(A585/12)+1)/12))*J585</f>
        <v>0.356977091019634</v>
      </c>
      <c r="X585" s="47" t="n">
        <f aca="false">I585*(IF(C585&lt;Assumptions!$B$5,Assumptions!$B$12*(1+Assumptions!$B$11)*(1+Assumptions!$B$24)*(1+Assumptions!$B$11+Assumptions!$B$25)^(INT(A585/12))/12+Pricing_M!$B$13*IF(A585=0,Assumptions!$B$14*12,IF(A585&gt;=12,Assumptions!$B$15,0))-Pricing_M!$B$13,Assumptions!$B$9/12*(1+Assumptions!$B$10)^INT(A585/12)+Assumptions!$B$12*(1+Assumptions!$B$11)*(1+Assumptions!$B$24)*(1+Assumptions!$B$11+Assumptions!$B$25)^(INT(A585/12))/12))*J585</f>
        <v>0.32524437669641</v>
      </c>
    </row>
    <row r="586" customFormat="false" ht="15" hidden="false" customHeight="true" outlineLevel="0" collapsed="false">
      <c r="A586" s="1" t="n">
        <v>579</v>
      </c>
      <c r="B586" s="31" t="n">
        <f aca="false">Assumptions!$B$4+A586/12</f>
        <v>113.25</v>
      </c>
      <c r="C586" s="34" t="n">
        <f aca="false">Assumptions!$B$4+INT(A586/12)</f>
        <v>113</v>
      </c>
      <c r="D586" s="34" t="n">
        <f aca="false">INT(A586/12)+1</f>
        <v>49</v>
      </c>
      <c r="E586" s="32" t="n">
        <f aca="false">IFERROR(INDEX(Cohort_Survival!$G$5:$G$65,MATCH(C586,Cohort_Survival!$A$5:$A$65,0)),1)</f>
        <v>0.493263015190997</v>
      </c>
      <c r="F586" s="30" t="n">
        <f aca="false">1-(1-MIN(1,E586))^(1/12)</f>
        <v>0.0550723653111276</v>
      </c>
      <c r="G586" s="39" t="n">
        <f aca="false">IF(C586&lt;Assumptions!$B$5,IF(D586=1,Assumptions!$B$16,IF(D586=2,Assumptions!$B$17,IF(D586&lt;=5,Assumptions!$B$18,Assumptions!$B$19)))*(1-Assumptions!$B$20),0)</f>
        <v>0</v>
      </c>
      <c r="H586" s="30" t="n">
        <f aca="false">1-(1-G586)^(1/12)</f>
        <v>0</v>
      </c>
      <c r="I586" s="30" t="n">
        <f aca="false">I585*(1-F585)*(1-H585)</f>
        <v>0.000404138179608277</v>
      </c>
      <c r="J586" s="30" t="n">
        <f aca="false">INDEX(Discount_Monthly!$G$4:$G$664,MATCH(A586,Discount_Monthly!$A$4:$A$664,0))</f>
        <v>0.217402024344237</v>
      </c>
      <c r="K586" s="30" t="n">
        <f aca="false">IF(C586&lt;Assumptions!$B$5,I586*J586,0)</f>
        <v>0</v>
      </c>
      <c r="L586" s="30" t="n">
        <f aca="false">IF(C586&lt;Assumptions!$B$5,I586*(1-F586)*H586*A586*J586,0)</f>
        <v>0</v>
      </c>
      <c r="M586" s="30" t="n">
        <f aca="false">IF(A586=0,Assumptions!$B$14*12*I586*J586,IF(AND(A586&gt;=12,C586&lt;Assumptions!$B$5),Assumptions!$B$15*I586*J586,0))</f>
        <v>0</v>
      </c>
      <c r="N586" s="47" t="n">
        <f aca="false">IF(C586&gt;=Assumptions!$B$5,I586*Assumptions!$B$9/12*(1+Assumptions!$B$10)^INT(A586/12)*J586,0)</f>
        <v>0.303068253178387</v>
      </c>
      <c r="O586" s="47" t="n">
        <f aca="false">I586*Assumptions!$B$12/12*(1+Assumptions!$B$11)^(INT(A586/12)+1)*J586</f>
        <v>0.00196413624424015</v>
      </c>
      <c r="P586" s="47" t="n">
        <f aca="false">O586+Pricing_M!$B$13*M586+N586-Pricing_M!$B$13*K586</f>
        <v>0.305032389422627</v>
      </c>
      <c r="Q586" s="47" t="n">
        <f aca="false">IF(C586&lt;Assumptions!$B$5,Pricing_M!$B$13*K586-Pricing_M!$B$13*M586-O586,-(N586+O586))</f>
        <v>-0.305032389422627</v>
      </c>
      <c r="R586" s="32" t="n">
        <f aca="false">R585*(1-(1-(1-MIN(1,E585*(1-Assumptions!$B$21)))^(1/12)))*(1-H585)</f>
        <v>0.00236858872066431</v>
      </c>
      <c r="S586" s="47" t="n">
        <f aca="false">R586*(IF(C586&lt;Assumptions!$B$5,Assumptions!$B$12*(1+Assumptions!$B$11)^(INT(A586/12)+1)/12+Pricing_M!$B$13*IF(A586=0,Assumptions!$B$14*12,IF(A586&gt;=12,Assumptions!$B$15,0))-Pricing_M!$B$13,Assumptions!$B$9/12*(1+Assumptions!$B$10)^INT(A586/12)+Assumptions!$B$12*(1+Assumptions!$B$11)^(INT(A586/12)+1)/12))*J586</f>
        <v>1.78774566096185</v>
      </c>
      <c r="T586" s="32" t="n">
        <f aca="false">T585*(1-F585)*(1-(1-(1-MIN(1,G585*(1+Assumptions!$B$23)))^(1/12)))</f>
        <v>0.000366100230396216</v>
      </c>
      <c r="U586" s="47" t="n">
        <f aca="false">T586*(IF(C586&lt;Assumptions!$B$5,Assumptions!$B$12*(1+Assumptions!$B$11)^(INT(A586/12)+1)/12+Pricing_M!$B$13*IF(A586=0,Assumptions!$B$14*12,IF(A586&gt;=12,Assumptions!$B$15,0))-Pricing_M!$B$13,Assumptions!$B$9/12*(1+Assumptions!$B$10)^INT(A586/12)+Assumptions!$B$12*(1+Assumptions!$B$11)^(INT(A586/12)+1)/12))*J586</f>
        <v>0.276322390906432</v>
      </c>
      <c r="V586" s="32" t="n">
        <f aca="false">V585*(1-F585)*(1-(1-(1-MIN(1,G585*(1-Assumptions!$B$23)))^(1/12)))</f>
        <v>0.000445718957013254</v>
      </c>
      <c r="W586" s="47" t="n">
        <f aca="false">V586*(IF(C586&lt;Assumptions!$B$5,Assumptions!$B$12*(1+Assumptions!$B$11)^(INT(A586/12)+1)/12+Pricing_M!$B$13*IF(A586=0,Assumptions!$B$14*12,IF(A586&gt;=12,Assumptions!$B$15,0))-Pricing_M!$B$13,Assumptions!$B$9/12*(1+Assumptions!$B$10)^INT(A586/12)+Assumptions!$B$12*(1+Assumptions!$B$11)^(INT(A586/12)+1)/12))*J586</f>
        <v>0.33641641727712</v>
      </c>
      <c r="X586" s="47" t="n">
        <f aca="false">I586*(IF(C586&lt;Assumptions!$B$5,Assumptions!$B$12*(1+Assumptions!$B$11)*(1+Assumptions!$B$24)*(1+Assumptions!$B$11+Assumptions!$B$25)^(INT(A586/12))/12+Pricing_M!$B$13*IF(A586=0,Assumptions!$B$14*12,IF(A586&gt;=12,Assumptions!$B$15,0))-Pricing_M!$B$13,Assumptions!$B$9/12*(1+Assumptions!$B$10)^INT(A586/12)+Assumptions!$B$12*(1+Assumptions!$B$11)*(1+Assumptions!$B$24)*(1+Assumptions!$B$11+Assumptions!$B$25)^(INT(A586/12))/12))*J586</f>
        <v>0.306511400031882</v>
      </c>
    </row>
    <row r="587" customFormat="false" ht="15" hidden="false" customHeight="true" outlineLevel="0" collapsed="false">
      <c r="A587" s="1" t="n">
        <v>580</v>
      </c>
      <c r="B587" s="31" t="n">
        <f aca="false">Assumptions!$B$4+A587/12</f>
        <v>113.333333333333</v>
      </c>
      <c r="C587" s="34" t="n">
        <f aca="false">Assumptions!$B$4+INT(A587/12)</f>
        <v>113</v>
      </c>
      <c r="D587" s="34" t="n">
        <f aca="false">INT(A587/12)+1</f>
        <v>49</v>
      </c>
      <c r="E587" s="32" t="n">
        <f aca="false">IFERROR(INDEX(Cohort_Survival!$G$5:$G$65,MATCH(C587,Cohort_Survival!$A$5:$A$65,0)),1)</f>
        <v>0.493263015190997</v>
      </c>
      <c r="F587" s="30" t="n">
        <f aca="false">1-(1-MIN(1,E587))^(1/12)</f>
        <v>0.0550723653111276</v>
      </c>
      <c r="G587" s="39" t="n">
        <f aca="false">IF(C587&lt;Assumptions!$B$5,IF(D587=1,Assumptions!$B$16,IF(D587=2,Assumptions!$B$17,IF(D587&lt;=5,Assumptions!$B$18,Assumptions!$B$19)))*(1-Assumptions!$B$20),0)</f>
        <v>0</v>
      </c>
      <c r="H587" s="30" t="n">
        <f aca="false">1-(1-G587)^(1/12)</f>
        <v>0</v>
      </c>
      <c r="I587" s="30" t="n">
        <f aca="false">I586*(1-F586)*(1-H586)</f>
        <v>0.000381881334144716</v>
      </c>
      <c r="J587" s="30" t="n">
        <f aca="false">INDEX(Discount_Monthly!$G$4:$G$664,MATCH(A587,Discount_Monthly!$A$4:$A$664,0))</f>
        <v>0.216821262402766</v>
      </c>
      <c r="K587" s="30" t="n">
        <f aca="false">IF(C587&lt;Assumptions!$B$5,I587*J587,0)</f>
        <v>0</v>
      </c>
      <c r="L587" s="30" t="n">
        <f aca="false">IF(C587&lt;Assumptions!$B$5,I587*(1-F587)*H587*A587*J587,0)</f>
        <v>0</v>
      </c>
      <c r="M587" s="30" t="n">
        <f aca="false">IF(A587=0,Assumptions!$B$14*12*I587*J587,IF(AND(A587&gt;=12,C587&lt;Assumptions!$B$5),Assumptions!$B$15*I587*J587,0))</f>
        <v>0</v>
      </c>
      <c r="N587" s="47" t="n">
        <f aca="false">IF(C587&gt;=Assumptions!$B$5,I587*Assumptions!$B$9/12*(1+Assumptions!$B$10)^INT(A587/12)*J587,0)</f>
        <v>0.285612546265891</v>
      </c>
      <c r="O587" s="47" t="n">
        <f aca="false">I587*Assumptions!$B$12/12*(1+Assumptions!$B$11)^(INT(A587/12)+1)*J587</f>
        <v>0.00185100863599975</v>
      </c>
      <c r="P587" s="47" t="n">
        <f aca="false">O587+Pricing_M!$B$13*M587+N587-Pricing_M!$B$13*K587</f>
        <v>0.28746355490189</v>
      </c>
      <c r="Q587" s="47" t="n">
        <f aca="false">IF(C587&lt;Assumptions!$B$5,Pricing_M!$B$13*K587-Pricing_M!$B$13*M587-O587,-(N587+O587))</f>
        <v>-0.28746355490189</v>
      </c>
      <c r="R587" s="32" t="n">
        <f aca="false">R586*(1-(1-(1-MIN(1,E586*(1-Assumptions!$B$21)))^(1/12)))*(1-H586)</f>
        <v>0.00227156883871075</v>
      </c>
      <c r="S587" s="47" t="n">
        <f aca="false">R587*(IF(C587&lt;Assumptions!$B$5,Assumptions!$B$12*(1+Assumptions!$B$11)^(INT(A587/12)+1)/12+Pricing_M!$B$13*IF(A587=0,Assumptions!$B$14*12,IF(A587&gt;=12,Assumptions!$B$15,0))-Pricing_M!$B$13,Assumptions!$B$9/12*(1+Assumptions!$B$10)^INT(A587/12)+Assumptions!$B$12*(1+Assumptions!$B$11)^(INT(A587/12)+1)/12))*J587</f>
        <v>1.70993760415819</v>
      </c>
      <c r="T587" s="32" t="n">
        <f aca="false">T586*(1-F586)*(1-(1-(1-MIN(1,G586*(1+Assumptions!$B$23)))^(1/12)))</f>
        <v>0.000345938224767348</v>
      </c>
      <c r="U587" s="47" t="n">
        <f aca="false">T587*(IF(C587&lt;Assumptions!$B$5,Assumptions!$B$12*(1+Assumptions!$B$11)^(INT(A587/12)+1)/12+Pricing_M!$B$13*IF(A587=0,Assumptions!$B$14*12,IF(A587&gt;=12,Assumptions!$B$15,0))-Pricing_M!$B$13,Assumptions!$B$9/12*(1+Assumptions!$B$10)^INT(A587/12)+Assumptions!$B$12*(1+Assumptions!$B$11)^(INT(A587/12)+1)/12))*J587</f>
        <v>0.260407155250971</v>
      </c>
      <c r="V587" s="32" t="n">
        <f aca="false">V586*(1-F586)*(1-(1-(1-MIN(1,G586*(1-Assumptions!$B$23)))^(1/12)))</f>
        <v>0.000421172159786525</v>
      </c>
      <c r="W587" s="47" t="n">
        <f aca="false">V587*(IF(C587&lt;Assumptions!$B$5,Assumptions!$B$12*(1+Assumptions!$B$11)^(INT(A587/12)+1)/12+Pricing_M!$B$13*IF(A587=0,Assumptions!$B$14*12,IF(A587&gt;=12,Assumptions!$B$15,0))-Pricing_M!$B$13,Assumptions!$B$9/12*(1+Assumptions!$B$10)^INT(A587/12)+Assumptions!$B$12*(1+Assumptions!$B$11)^(INT(A587/12)+1)/12))*J587</f>
        <v>0.317039968840322</v>
      </c>
      <c r="X587" s="47" t="n">
        <f aca="false">I587*(IF(C587&lt;Assumptions!$B$5,Assumptions!$B$12*(1+Assumptions!$B$11)*(1+Assumptions!$B$24)*(1+Assumptions!$B$11+Assumptions!$B$25)^(INT(A587/12))/12+Pricing_M!$B$13*IF(A587=0,Assumptions!$B$14*12,IF(A587&gt;=12,Assumptions!$B$15,0))-Pricing_M!$B$13,Assumptions!$B$9/12*(1+Assumptions!$B$10)^INT(A587/12)+Assumptions!$B$12*(1+Assumptions!$B$11)*(1+Assumptions!$B$24)*(1+Assumptions!$B$11+Assumptions!$B$25)^(INT(A587/12))/12))*J587</f>
        <v>0.288857379499595</v>
      </c>
    </row>
    <row r="588" customFormat="false" ht="15" hidden="false" customHeight="true" outlineLevel="0" collapsed="false">
      <c r="A588" s="1" t="n">
        <v>581</v>
      </c>
      <c r="B588" s="31" t="n">
        <f aca="false">Assumptions!$B$4+A588/12</f>
        <v>113.416666666667</v>
      </c>
      <c r="C588" s="34" t="n">
        <f aca="false">Assumptions!$B$4+INT(A588/12)</f>
        <v>113</v>
      </c>
      <c r="D588" s="34" t="n">
        <f aca="false">INT(A588/12)+1</f>
        <v>49</v>
      </c>
      <c r="E588" s="32" t="n">
        <f aca="false">IFERROR(INDEX(Cohort_Survival!$G$5:$G$65,MATCH(C588,Cohort_Survival!$A$5:$A$65,0)),1)</f>
        <v>0.493263015190997</v>
      </c>
      <c r="F588" s="30" t="n">
        <f aca="false">1-(1-MIN(1,E588))^(1/12)</f>
        <v>0.0550723653111276</v>
      </c>
      <c r="G588" s="39" t="n">
        <f aca="false">IF(C588&lt;Assumptions!$B$5,IF(D588=1,Assumptions!$B$16,IF(D588=2,Assumptions!$B$17,IF(D588&lt;=5,Assumptions!$B$18,Assumptions!$B$19)))*(1-Assumptions!$B$20),0)</f>
        <v>0</v>
      </c>
      <c r="H588" s="30" t="n">
        <f aca="false">1-(1-G588)^(1/12)</f>
        <v>0</v>
      </c>
      <c r="I588" s="30" t="n">
        <f aca="false">I587*(1-F587)*(1-H587)</f>
        <v>0.000360850225805198</v>
      </c>
      <c r="J588" s="30" t="n">
        <f aca="false">INDEX(Discount_Monthly!$G$4:$G$664,MATCH(A588,Discount_Monthly!$A$4:$A$664,0))</f>
        <v>0.216242051893181</v>
      </c>
      <c r="K588" s="30" t="n">
        <f aca="false">IF(C588&lt;Assumptions!$B$5,I588*J588,0)</f>
        <v>0</v>
      </c>
      <c r="L588" s="30" t="n">
        <f aca="false">IF(C588&lt;Assumptions!$B$5,I588*(1-F588)*H588*A588*J588,0)</f>
        <v>0</v>
      </c>
      <c r="M588" s="30" t="n">
        <f aca="false">IF(A588=0,Assumptions!$B$14*12*I588*J588,IF(AND(A588&gt;=12,C588&lt;Assumptions!$B$5),Assumptions!$B$15*I588*J588,0))</f>
        <v>0</v>
      </c>
      <c r="N588" s="47" t="n">
        <f aca="false">IF(C588&gt;=Assumptions!$B$5,I588*Assumptions!$B$9/12*(1+Assumptions!$B$10)^INT(A588/12)*J588,0)</f>
        <v>0.269162229065512</v>
      </c>
      <c r="O588" s="47" t="n">
        <f aca="false">I588*Assumptions!$B$12/12*(1+Assumptions!$B$11)^(INT(A588/12)+1)*J588</f>
        <v>0.0017443967955854</v>
      </c>
      <c r="P588" s="47" t="n">
        <f aca="false">O588+Pricing_M!$B$13*M588+N588-Pricing_M!$B$13*K588</f>
        <v>0.270906625861097</v>
      </c>
      <c r="Q588" s="47" t="n">
        <f aca="false">IF(C588&lt;Assumptions!$B$5,Pricing_M!$B$13*K588-Pricing_M!$B$13*M588-O588,-(N588+O588))</f>
        <v>-0.270906625861097</v>
      </c>
      <c r="R588" s="32" t="n">
        <f aca="false">R587*(1-(1-(1-MIN(1,E587*(1-Assumptions!$B$21)))^(1/12)))*(1-H587)</f>
        <v>0.00217852299303127</v>
      </c>
      <c r="S588" s="47" t="n">
        <f aca="false">R588*(IF(C588&lt;Assumptions!$B$5,Assumptions!$B$12*(1+Assumptions!$B$11)^(INT(A588/12)+1)/12+Pricing_M!$B$13*IF(A588=0,Assumptions!$B$14*12,IF(A588&gt;=12,Assumptions!$B$15,0))-Pricing_M!$B$13,Assumptions!$B$9/12*(1+Assumptions!$B$10)^INT(A588/12)+Assumptions!$B$12*(1+Assumptions!$B$11)^(INT(A588/12)+1)/12))*J588</f>
        <v>1.63551598751533</v>
      </c>
      <c r="T588" s="32" t="n">
        <f aca="false">T587*(1-F587)*(1-(1-(1-MIN(1,G587*(1+Assumptions!$B$23)))^(1/12)))</f>
        <v>0.000326886588477877</v>
      </c>
      <c r="U588" s="47" t="n">
        <f aca="false">T588*(IF(C588&lt;Assumptions!$B$5,Assumptions!$B$12*(1+Assumptions!$B$11)^(INT(A588/12)+1)/12+Pricing_M!$B$13*IF(A588=0,Assumptions!$B$14*12,IF(A588&gt;=12,Assumptions!$B$15,0))-Pricing_M!$B$13,Assumptions!$B$9/12*(1+Assumptions!$B$10)^INT(A588/12)+Assumptions!$B$12*(1+Assumptions!$B$11)^(INT(A588/12)+1)/12))*J588</f>
        <v>0.245408583370523</v>
      </c>
      <c r="V588" s="32" t="n">
        <f aca="false">V587*(1-F587)*(1-(1-(1-MIN(1,G587*(1-Assumptions!$B$23)))^(1/12)))</f>
        <v>0.000397977212743885</v>
      </c>
      <c r="W588" s="47" t="n">
        <f aca="false">V588*(IF(C588&lt;Assumptions!$B$5,Assumptions!$B$12*(1+Assumptions!$B$11)^(INT(A588/12)+1)/12+Pricing_M!$B$13*IF(A588=0,Assumptions!$B$14*12,IF(A588&gt;=12,Assumptions!$B$15,0))-Pricing_M!$B$13,Assumptions!$B$9/12*(1+Assumptions!$B$10)^INT(A588/12)+Assumptions!$B$12*(1+Assumptions!$B$11)^(INT(A588/12)+1)/12))*J588</f>
        <v>0.298779538334702</v>
      </c>
      <c r="X588" s="47" t="n">
        <f aca="false">I588*(IF(C588&lt;Assumptions!$B$5,Assumptions!$B$12*(1+Assumptions!$B$11)*(1+Assumptions!$B$24)*(1+Assumptions!$B$11+Assumptions!$B$25)^(INT(A588/12))/12+Pricing_M!$B$13*IF(A588=0,Assumptions!$B$14*12,IF(A588&gt;=12,Assumptions!$B$15,0))-Pricing_M!$B$13,Assumptions!$B$9/12*(1+Assumptions!$B$10)^INT(A588/12)+Assumptions!$B$12*(1+Assumptions!$B$11)*(1+Assumptions!$B$24)*(1+Assumptions!$B$11+Assumptions!$B$25)^(INT(A588/12))/12))*J588</f>
        <v>0.272220170873561</v>
      </c>
    </row>
    <row r="589" customFormat="false" ht="15" hidden="false" customHeight="true" outlineLevel="0" collapsed="false">
      <c r="A589" s="1" t="n">
        <v>582</v>
      </c>
      <c r="B589" s="31" t="n">
        <f aca="false">Assumptions!$B$4+A589/12</f>
        <v>113.5</v>
      </c>
      <c r="C589" s="34" t="n">
        <f aca="false">Assumptions!$B$4+INT(A589/12)</f>
        <v>113</v>
      </c>
      <c r="D589" s="34" t="n">
        <f aca="false">INT(A589/12)+1</f>
        <v>49</v>
      </c>
      <c r="E589" s="32" t="n">
        <f aca="false">IFERROR(INDEX(Cohort_Survival!$G$5:$G$65,MATCH(C589,Cohort_Survival!$A$5:$A$65,0)),1)</f>
        <v>0.493263015190997</v>
      </c>
      <c r="F589" s="30" t="n">
        <f aca="false">1-(1-MIN(1,E589))^(1/12)</f>
        <v>0.0550723653111276</v>
      </c>
      <c r="G589" s="39" t="n">
        <f aca="false">IF(C589&lt;Assumptions!$B$5,IF(D589=1,Assumptions!$B$16,IF(D589=2,Assumptions!$B$17,IF(D589&lt;=5,Assumptions!$B$18,Assumptions!$B$19)))*(1-Assumptions!$B$20),0)</f>
        <v>0</v>
      </c>
      <c r="H589" s="30" t="n">
        <f aca="false">1-(1-G589)^(1/12)</f>
        <v>0</v>
      </c>
      <c r="I589" s="30" t="n">
        <f aca="false">I588*(1-F588)*(1-H588)</f>
        <v>0.000340977350347051</v>
      </c>
      <c r="J589" s="30" t="n">
        <f aca="false">INDEX(Discount_Monthly!$G$4:$G$664,MATCH(A589,Discount_Monthly!$A$4:$A$664,0))</f>
        <v>0.215664388671029</v>
      </c>
      <c r="K589" s="30" t="n">
        <f aca="false">IF(C589&lt;Assumptions!$B$5,I589*J589,0)</f>
        <v>0</v>
      </c>
      <c r="L589" s="30" t="n">
        <f aca="false">IF(C589&lt;Assumptions!$B$5,I589*(1-F589)*H589*A589*J589,0)</f>
        <v>0</v>
      </c>
      <c r="M589" s="30" t="n">
        <f aca="false">IF(A589=0,Assumptions!$B$14*12*I589*J589,IF(AND(A589&gt;=12,C589&lt;Assumptions!$B$5),Assumptions!$B$15*I589*J589,0))</f>
        <v>0</v>
      </c>
      <c r="N589" s="47" t="n">
        <f aca="false">IF(C589&gt;=Assumptions!$B$5,I589*Assumptions!$B$9/12*(1+Assumptions!$B$10)^INT(A589/12)*J589,0)</f>
        <v>0.253659394528381</v>
      </c>
      <c r="O589" s="47" t="n">
        <f aca="false">I589*Assumptions!$B$12/12*(1+Assumptions!$B$11)^(INT(A589/12)+1)*J589</f>
        <v>0.00164392543679575</v>
      </c>
      <c r="P589" s="47" t="n">
        <f aca="false">O589+Pricing_M!$B$13*M589+N589-Pricing_M!$B$13*K589</f>
        <v>0.255303319965177</v>
      </c>
      <c r="Q589" s="47" t="n">
        <f aca="false">IF(C589&lt;Assumptions!$B$5,Pricing_M!$B$13*K589-Pricing_M!$B$13*M589-O589,-(N589+O589))</f>
        <v>-0.255303319965177</v>
      </c>
      <c r="R589" s="32" t="n">
        <f aca="false">R588*(1-(1-(1-MIN(1,E588*(1-Assumptions!$B$21)))^(1/12)))*(1-H588)</f>
        <v>0.00208928840292576</v>
      </c>
      <c r="S589" s="47" t="n">
        <f aca="false">R589*(IF(C589&lt;Assumptions!$B$5,Assumptions!$B$12*(1+Assumptions!$B$11)^(INT(A589/12)+1)/12+Pricing_M!$B$13*IF(A589=0,Assumptions!$B$14*12,IF(A589&gt;=12,Assumptions!$B$15,0))-Pricing_M!$B$13,Assumptions!$B$9/12*(1+Assumptions!$B$10)^INT(A589/12)+Assumptions!$B$12*(1+Assumptions!$B$11)^(INT(A589/12)+1)/12))*J589</f>
        <v>1.5643334229936</v>
      </c>
      <c r="T589" s="32" t="n">
        <f aca="false">T588*(1-F588)*(1-(1-(1-MIN(1,G588*(1+Assumptions!$B$23)))^(1/12)))</f>
        <v>0.000308884170861916</v>
      </c>
      <c r="U589" s="47" t="n">
        <f aca="false">T589*(IF(C589&lt;Assumptions!$B$5,Assumptions!$B$12*(1+Assumptions!$B$11)^(INT(A589/12)+1)/12+Pricing_M!$B$13*IF(A589=0,Assumptions!$B$14*12,IF(A589&gt;=12,Assumptions!$B$15,0))-Pricing_M!$B$13,Assumptions!$B$9/12*(1+Assumptions!$B$10)^INT(A589/12)+Assumptions!$B$12*(1+Assumptions!$B$11)^(INT(A589/12)+1)/12))*J589</f>
        <v>0.231273878530272</v>
      </c>
      <c r="V589" s="32" t="n">
        <f aca="false">V588*(1-F588)*(1-(1-(1-MIN(1,G588*(1-Assumptions!$B$23)))^(1/12)))</f>
        <v>0.00037605966629815</v>
      </c>
      <c r="W589" s="47" t="n">
        <f aca="false">V589*(IF(C589&lt;Assumptions!$B$5,Assumptions!$B$12*(1+Assumptions!$B$11)^(INT(A589/12)+1)/12+Pricing_M!$B$13*IF(A589=0,Assumptions!$B$14*12,IF(A589&gt;=12,Assumptions!$B$15,0))-Pricing_M!$B$13,Assumptions!$B$9/12*(1+Assumptions!$B$10)^INT(A589/12)+Assumptions!$B$12*(1+Assumptions!$B$11)^(INT(A589/12)+1)/12))*J589</f>
        <v>0.281570846899933</v>
      </c>
      <c r="X589" s="47" t="n">
        <f aca="false">I589*(IF(C589&lt;Assumptions!$B$5,Assumptions!$B$12*(1+Assumptions!$B$11)*(1+Assumptions!$B$24)*(1+Assumptions!$B$11+Assumptions!$B$25)^(INT(A589/12))/12+Pricing_M!$B$13*IF(A589=0,Assumptions!$B$14*12,IF(A589&gt;=12,Assumptions!$B$15,0))-Pricing_M!$B$13,Assumptions!$B$9/12*(1+Assumptions!$B$10)^INT(A589/12)+Assumptions!$B$12*(1+Assumptions!$B$11)*(1+Assumptions!$B$24)*(1+Assumptions!$B$11+Assumptions!$B$25)^(INT(A589/12))/12))*J589</f>
        <v>0.256541209225138</v>
      </c>
    </row>
    <row r="590" customFormat="false" ht="15" hidden="false" customHeight="true" outlineLevel="0" collapsed="false">
      <c r="A590" s="1" t="n">
        <v>583</v>
      </c>
      <c r="B590" s="31" t="n">
        <f aca="false">Assumptions!$B$4+A590/12</f>
        <v>113.583333333333</v>
      </c>
      <c r="C590" s="34" t="n">
        <f aca="false">Assumptions!$B$4+INT(A590/12)</f>
        <v>113</v>
      </c>
      <c r="D590" s="34" t="n">
        <f aca="false">INT(A590/12)+1</f>
        <v>49</v>
      </c>
      <c r="E590" s="32" t="n">
        <f aca="false">IFERROR(INDEX(Cohort_Survival!$G$5:$G$65,MATCH(C590,Cohort_Survival!$A$5:$A$65,0)),1)</f>
        <v>0.493263015190997</v>
      </c>
      <c r="F590" s="30" t="n">
        <f aca="false">1-(1-MIN(1,E590))^(1/12)</f>
        <v>0.0550723653111276</v>
      </c>
      <c r="G590" s="39" t="n">
        <f aca="false">IF(C590&lt;Assumptions!$B$5,IF(D590=1,Assumptions!$B$16,IF(D590=2,Assumptions!$B$17,IF(D590&lt;=5,Assumptions!$B$18,Assumptions!$B$19)))*(1-Assumptions!$B$20),0)</f>
        <v>0</v>
      </c>
      <c r="H590" s="30" t="n">
        <f aca="false">1-(1-G590)^(1/12)</f>
        <v>0</v>
      </c>
      <c r="I590" s="30" t="n">
        <f aca="false">I589*(1-F589)*(1-H589)</f>
        <v>0.000322198921145918</v>
      </c>
      <c r="J590" s="30" t="n">
        <f aca="false">INDEX(Discount_Monthly!$G$4:$G$664,MATCH(A590,Discount_Monthly!$A$4:$A$664,0))</f>
        <v>0.215088268602927</v>
      </c>
      <c r="K590" s="30" t="n">
        <f aca="false">IF(C590&lt;Assumptions!$B$5,I590*J590,0)</f>
        <v>0</v>
      </c>
      <c r="L590" s="30" t="n">
        <f aca="false">IF(C590&lt;Assumptions!$B$5,I590*(1-F590)*H590*A590*J590,0)</f>
        <v>0</v>
      </c>
      <c r="M590" s="30" t="n">
        <f aca="false">IF(A590=0,Assumptions!$B$14*12*I590*J590,IF(AND(A590&gt;=12,C590&lt;Assumptions!$B$5),Assumptions!$B$15*I590*J590,0))</f>
        <v>0</v>
      </c>
      <c r="N590" s="47" t="n">
        <f aca="false">IF(C590&gt;=Assumptions!$B$5,I590*Assumptions!$B$9/12*(1+Assumptions!$B$10)^INT(A590/12)*J590,0)</f>
        <v>0.239049470855899</v>
      </c>
      <c r="O590" s="47" t="n">
        <f aca="false">I590*Assumptions!$B$12/12*(1+Assumptions!$B$11)^(INT(A590/12)+1)*J590</f>
        <v>0.00154924088864609</v>
      </c>
      <c r="P590" s="47" t="n">
        <f aca="false">O590+Pricing_M!$B$13*M590+N590-Pricing_M!$B$13*K590</f>
        <v>0.240598711744545</v>
      </c>
      <c r="Q590" s="47" t="n">
        <f aca="false">IF(C590&lt;Assumptions!$B$5,Pricing_M!$B$13*K590-Pricing_M!$B$13*M590-O590,-(N590+O590))</f>
        <v>-0.240598711744545</v>
      </c>
      <c r="R590" s="32" t="n">
        <f aca="false">R589*(1-(1-(1-MIN(1,E589*(1-Assumptions!$B$21)))^(1/12)))*(1-H589)</f>
        <v>0.0020037089553626</v>
      </c>
      <c r="S590" s="47" t="n">
        <f aca="false">R590*(IF(C590&lt;Assumptions!$B$5,Assumptions!$B$12*(1+Assumptions!$B$11)^(INT(A590/12)+1)/12+Pricing_M!$B$13*IF(A590=0,Assumptions!$B$14*12,IF(A590&gt;=12,Assumptions!$B$15,0))-Pricing_M!$B$13,Assumptions!$B$9/12*(1+Assumptions!$B$10)^INT(A590/12)+Assumptions!$B$12*(1+Assumptions!$B$11)^(INT(A590/12)+1)/12))*J590</f>
        <v>1.49624893732316</v>
      </c>
      <c r="T590" s="32" t="n">
        <f aca="false">T589*(1-F589)*(1-(1-(1-MIN(1,G589*(1+Assumptions!$B$23)))^(1/12)))</f>
        <v>0.000291873188965383</v>
      </c>
      <c r="U590" s="47" t="n">
        <f aca="false">T590*(IF(C590&lt;Assumptions!$B$5,Assumptions!$B$12*(1+Assumptions!$B$11)^(INT(A590/12)+1)/12+Pricing_M!$B$13*IF(A590=0,Assumptions!$B$14*12,IF(A590&gt;=12,Assumptions!$B$15,0))-Pricing_M!$B$13,Assumptions!$B$9/12*(1+Assumptions!$B$10)^INT(A590/12)+Assumptions!$B$12*(1+Assumptions!$B$11)^(INT(A590/12)+1)/12))*J590</f>
        <v>0.21795328490886</v>
      </c>
      <c r="V590" s="32" t="n">
        <f aca="false">V589*(1-F589)*(1-(1-(1-MIN(1,G589*(1-Assumptions!$B$23)))^(1/12)))</f>
        <v>0.000355349170976997</v>
      </c>
      <c r="W590" s="47" t="n">
        <f aca="false">V590*(IF(C590&lt;Assumptions!$B$5,Assumptions!$B$12*(1+Assumptions!$B$11)^(INT(A590/12)+1)/12+Pricing_M!$B$13*IF(A590=0,Assumptions!$B$14*12,IF(A590&gt;=12,Assumptions!$B$15,0))-Pricing_M!$B$13,Assumptions!$B$9/12*(1+Assumptions!$B$10)^INT(A590/12)+Assumptions!$B$12*(1+Assumptions!$B$11)^(INT(A590/12)+1)/12))*J590</f>
        <v>0.265353317920757</v>
      </c>
      <c r="X590" s="47" t="n">
        <f aca="false">I590*(IF(C590&lt;Assumptions!$B$5,Assumptions!$B$12*(1+Assumptions!$B$11)*(1+Assumptions!$B$24)*(1+Assumptions!$B$11+Assumptions!$B$25)^(INT(A590/12))/12+Pricing_M!$B$13*IF(A590=0,Assumptions!$B$14*12,IF(A590&gt;=12,Assumptions!$B$15,0))-Pricing_M!$B$13,Assumptions!$B$9/12*(1+Assumptions!$B$10)^INT(A590/12)+Assumptions!$B$12*(1+Assumptions!$B$11)*(1+Assumptions!$B$24)*(1+Assumptions!$B$11+Assumptions!$B$25)^(INT(A590/12))/12))*J590</f>
        <v>0.241765302767606</v>
      </c>
    </row>
    <row r="591" customFormat="false" ht="15" hidden="false" customHeight="true" outlineLevel="0" collapsed="false">
      <c r="A591" s="1" t="n">
        <v>584</v>
      </c>
      <c r="B591" s="31" t="n">
        <f aca="false">Assumptions!$B$4+A591/12</f>
        <v>113.666666666667</v>
      </c>
      <c r="C591" s="34" t="n">
        <f aca="false">Assumptions!$B$4+INT(A591/12)</f>
        <v>113</v>
      </c>
      <c r="D591" s="34" t="n">
        <f aca="false">INT(A591/12)+1</f>
        <v>49</v>
      </c>
      <c r="E591" s="32" t="n">
        <f aca="false">IFERROR(INDEX(Cohort_Survival!$G$5:$G$65,MATCH(C591,Cohort_Survival!$A$5:$A$65,0)),1)</f>
        <v>0.493263015190997</v>
      </c>
      <c r="F591" s="30" t="n">
        <f aca="false">1-(1-MIN(1,E591))^(1/12)</f>
        <v>0.0550723653111276</v>
      </c>
      <c r="G591" s="39" t="n">
        <f aca="false">IF(C591&lt;Assumptions!$B$5,IF(D591=1,Assumptions!$B$16,IF(D591=2,Assumptions!$B$17,IF(D591&lt;=5,Assumptions!$B$18,Assumptions!$B$19)))*(1-Assumptions!$B$20),0)</f>
        <v>0</v>
      </c>
      <c r="H591" s="30" t="n">
        <f aca="false">1-(1-G591)^(1/12)</f>
        <v>0</v>
      </c>
      <c r="I591" s="30" t="n">
        <f aca="false">I590*(1-F590)*(1-H590)</f>
        <v>0.000304454664457719</v>
      </c>
      <c r="J591" s="30" t="n">
        <f aca="false">INDEX(Discount_Monthly!$G$4:$G$664,MATCH(A591,Discount_Monthly!$A$4:$A$664,0))</f>
        <v>0.214513687566535</v>
      </c>
      <c r="K591" s="30" t="n">
        <f aca="false">IF(C591&lt;Assumptions!$B$5,I591*J591,0)</f>
        <v>0</v>
      </c>
      <c r="L591" s="30" t="n">
        <f aca="false">IF(C591&lt;Assumptions!$B$5,I591*(1-F591)*H591*A591*J591,0)</f>
        <v>0</v>
      </c>
      <c r="M591" s="30" t="n">
        <f aca="false">IF(A591=0,Assumptions!$B$14*12*I591*J591,IF(AND(A591&gt;=12,C591&lt;Assumptions!$B$5),Assumptions!$B$15*I591*J591,0))</f>
        <v>0</v>
      </c>
      <c r="N591" s="47" t="n">
        <f aca="false">IF(C591&gt;=Assumptions!$B$5,I591*Assumptions!$B$9/12*(1+Assumptions!$B$10)^INT(A591/12)*J591,0)</f>
        <v>0.225281029400595</v>
      </c>
      <c r="O591" s="47" t="n">
        <f aca="false">I591*Assumptions!$B$12/12*(1+Assumptions!$B$11)^(INT(A591/12)+1)*J591</f>
        <v>0.00146000985040486</v>
      </c>
      <c r="P591" s="47" t="n">
        <f aca="false">O591+Pricing_M!$B$13*M591+N591-Pricing_M!$B$13*K591</f>
        <v>0.226741039251</v>
      </c>
      <c r="Q591" s="47" t="n">
        <f aca="false">IF(C591&lt;Assumptions!$B$5,Pricing_M!$B$13*K591-Pricing_M!$B$13*M591-O591,-(N591+O591))</f>
        <v>-0.226741039251</v>
      </c>
      <c r="R591" s="32" t="n">
        <f aca="false">R590*(1-(1-(1-MIN(1,E590*(1-Assumptions!$B$21)))^(1/12)))*(1-H590)</f>
        <v>0.00192163493186389</v>
      </c>
      <c r="S591" s="47" t="n">
        <f aca="false">R591*(IF(C591&lt;Assumptions!$B$5,Assumptions!$B$12*(1+Assumptions!$B$11)^(INT(A591/12)+1)/12+Pricing_M!$B$13*IF(A591=0,Assumptions!$B$14*12,IF(A591&gt;=12,Assumptions!$B$15,0))-Pricing_M!$B$13,Assumptions!$B$9/12*(1+Assumptions!$B$10)^INT(A591/12)+Assumptions!$B$12*(1+Assumptions!$B$11)^(INT(A591/12)+1)/12))*J591</f>
        <v>1.43112769281403</v>
      </c>
      <c r="T591" s="32" t="n">
        <f aca="false">T590*(1-F590)*(1-(1-(1-MIN(1,G590*(1+Assumptions!$B$23)))^(1/12)))</f>
        <v>0.000275799042078158</v>
      </c>
      <c r="U591" s="47" t="n">
        <f aca="false">T591*(IF(C591&lt;Assumptions!$B$5,Assumptions!$B$12*(1+Assumptions!$B$11)^(INT(A591/12)+1)/12+Pricing_M!$B$13*IF(A591=0,Assumptions!$B$14*12,IF(A591&gt;=12,Assumptions!$B$15,0))-Pricing_M!$B$13,Assumptions!$B$9/12*(1+Assumptions!$B$10)^INT(A591/12)+Assumptions!$B$12*(1+Assumptions!$B$11)^(INT(A591/12)+1)/12))*J591</f>
        <v>0.205399912452044</v>
      </c>
      <c r="V591" s="32" t="n">
        <f aca="false">V590*(1-F590)*(1-(1-(1-MIN(1,G590*(1-Assumptions!$B$23)))^(1/12)))</f>
        <v>0.000335779251619946</v>
      </c>
      <c r="W591" s="47" t="n">
        <f aca="false">V591*(IF(C591&lt;Assumptions!$B$5,Assumptions!$B$12*(1+Assumptions!$B$11)^(INT(A591/12)+1)/12+Pricing_M!$B$13*IF(A591=0,Assumptions!$B$14*12,IF(A591&gt;=12,Assumptions!$B$15,0))-Pricing_M!$B$13,Assumptions!$B$9/12*(1+Assumptions!$B$10)^INT(A591/12)+Assumptions!$B$12*(1+Assumptions!$B$11)^(INT(A591/12)+1)/12))*J591</f>
        <v>0.25006986379019</v>
      </c>
      <c r="X591" s="47" t="n">
        <f aca="false">I591*(IF(C591&lt;Assumptions!$B$5,Assumptions!$B$12*(1+Assumptions!$B$11)*(1+Assumptions!$B$24)*(1+Assumptions!$B$11+Assumptions!$B$25)^(INT(A591/12))/12+Pricing_M!$B$13*IF(A591=0,Assumptions!$B$14*12,IF(A591&gt;=12,Assumptions!$B$15,0))-Pricing_M!$B$13,Assumptions!$B$9/12*(1+Assumptions!$B$10)^INT(A591/12)+Assumptions!$B$12*(1+Assumptions!$B$11)*(1+Assumptions!$B$24)*(1+Assumptions!$B$11+Assumptions!$B$25)^(INT(A591/12))/12))*J591</f>
        <v>0.227840438574595</v>
      </c>
    </row>
    <row r="592" customFormat="false" ht="15" hidden="false" customHeight="true" outlineLevel="0" collapsed="false">
      <c r="A592" s="1" t="n">
        <v>585</v>
      </c>
      <c r="B592" s="31" t="n">
        <f aca="false">Assumptions!$B$4+A592/12</f>
        <v>113.75</v>
      </c>
      <c r="C592" s="34" t="n">
        <f aca="false">Assumptions!$B$4+INT(A592/12)</f>
        <v>113</v>
      </c>
      <c r="D592" s="34" t="n">
        <f aca="false">INT(A592/12)+1</f>
        <v>49</v>
      </c>
      <c r="E592" s="32" t="n">
        <f aca="false">IFERROR(INDEX(Cohort_Survival!$G$5:$G$65,MATCH(C592,Cohort_Survival!$A$5:$A$65,0)),1)</f>
        <v>0.493263015190997</v>
      </c>
      <c r="F592" s="30" t="n">
        <f aca="false">1-(1-MIN(1,E592))^(1/12)</f>
        <v>0.0550723653111276</v>
      </c>
      <c r="G592" s="39" t="n">
        <f aca="false">IF(C592&lt;Assumptions!$B$5,IF(D592=1,Assumptions!$B$16,IF(D592=2,Assumptions!$B$17,IF(D592&lt;=5,Assumptions!$B$18,Assumptions!$B$19)))*(1-Assumptions!$B$20),0)</f>
        <v>0</v>
      </c>
      <c r="H592" s="30" t="n">
        <f aca="false">1-(1-G592)^(1/12)</f>
        <v>0</v>
      </c>
      <c r="I592" s="30" t="n">
        <f aca="false">I591*(1-F591)*(1-H591)</f>
        <v>0.000287687625956026</v>
      </c>
      <c r="J592" s="30" t="n">
        <f aca="false">INDEX(Discount_Monthly!$G$4:$G$664,MATCH(A592,Discount_Monthly!$A$4:$A$664,0))</f>
        <v>0.213940641450524</v>
      </c>
      <c r="K592" s="30" t="n">
        <f aca="false">IF(C592&lt;Assumptions!$B$5,I592*J592,0)</f>
        <v>0</v>
      </c>
      <c r="L592" s="30" t="n">
        <f aca="false">IF(C592&lt;Assumptions!$B$5,I592*(1-F592)*H592*A592*J592,0)</f>
        <v>0</v>
      </c>
      <c r="M592" s="30" t="n">
        <f aca="false">IF(A592=0,Assumptions!$B$14*12*I592*J592,IF(AND(A592&gt;=12,C592&lt;Assumptions!$B$5),Assumptions!$B$15*I592*J592,0))</f>
        <v>0</v>
      </c>
      <c r="N592" s="47" t="n">
        <f aca="false">IF(C592&gt;=Assumptions!$B$5,I592*Assumptions!$B$9/12*(1+Assumptions!$B$10)^INT(A592/12)*J592,0)</f>
        <v>0.212305603631247</v>
      </c>
      <c r="O592" s="47" t="n">
        <f aca="false">I592*Assumptions!$B$12/12*(1+Assumptions!$B$11)^(INT(A592/12)+1)*J592</f>
        <v>0.00137591821833602</v>
      </c>
      <c r="P592" s="47" t="n">
        <f aca="false">O592+Pricing_M!$B$13*M592+N592-Pricing_M!$B$13*K592</f>
        <v>0.213681521849583</v>
      </c>
      <c r="Q592" s="47" t="n">
        <f aca="false">IF(C592&lt;Assumptions!$B$5,Pricing_M!$B$13*K592-Pricing_M!$B$13*M592-O592,-(N592+O592))</f>
        <v>-0.213681521849583</v>
      </c>
      <c r="R592" s="32" t="n">
        <f aca="false">R591*(1-(1-(1-MIN(1,E591*(1-Assumptions!$B$21)))^(1/12)))*(1-H591)</f>
        <v>0.00184292274657789</v>
      </c>
      <c r="S592" s="47" t="n">
        <f aca="false">R592*(IF(C592&lt;Assumptions!$B$5,Assumptions!$B$12*(1+Assumptions!$B$11)^(INT(A592/12)+1)/12+Pricing_M!$B$13*IF(A592=0,Assumptions!$B$14*12,IF(A592&gt;=12,Assumptions!$B$15,0))-Pricing_M!$B$13,Assumptions!$B$9/12*(1+Assumptions!$B$10)^INT(A592/12)+Assumptions!$B$12*(1+Assumptions!$B$11)^(INT(A592/12)+1)/12))*J592</f>
        <v>1.36884072031715</v>
      </c>
      <c r="T592" s="32" t="n">
        <f aca="false">T591*(1-F591)*(1-(1-(1-MIN(1,G591*(1+Assumptions!$B$23)))^(1/12)))</f>
        <v>0.000260610136480371</v>
      </c>
      <c r="U592" s="47" t="n">
        <f aca="false">T592*(IF(C592&lt;Assumptions!$B$5,Assumptions!$B$12*(1+Assumptions!$B$11)^(INT(A592/12)+1)/12+Pricing_M!$B$13*IF(A592=0,Assumptions!$B$14*12,IF(A592&gt;=12,Assumptions!$B$15,0))-Pricing_M!$B$13,Assumptions!$B$9/12*(1+Assumptions!$B$10)^INT(A592/12)+Assumptions!$B$12*(1+Assumptions!$B$11)^(INT(A592/12)+1)/12))*J592</f>
        <v>0.193569571814205</v>
      </c>
      <c r="V592" s="32" t="n">
        <f aca="false">V591*(1-F591)*(1-(1-(1-MIN(1,G591*(1-Assumptions!$B$23)))^(1/12)))</f>
        <v>0.000317287094010835</v>
      </c>
      <c r="W592" s="47" t="n">
        <f aca="false">V592*(IF(C592&lt;Assumptions!$B$5,Assumptions!$B$12*(1+Assumptions!$B$11)^(INT(A592/12)+1)/12+Pricing_M!$B$13*IF(A592=0,Assumptions!$B$14*12,IF(A592&gt;=12,Assumptions!$B$15,0))-Pricing_M!$B$13,Assumptions!$B$9/12*(1+Assumptions!$B$10)^INT(A592/12)+Assumptions!$B$12*(1+Assumptions!$B$11)^(INT(A592/12)+1)/12))*J592</f>
        <v>0.23566668495443</v>
      </c>
      <c r="X592" s="47" t="n">
        <f aca="false">I592*(IF(C592&lt;Assumptions!$B$5,Assumptions!$B$12*(1+Assumptions!$B$11)*(1+Assumptions!$B$24)*(1+Assumptions!$B$11+Assumptions!$B$25)^(INT(A592/12))/12+Pricing_M!$B$13*IF(A592=0,Assumptions!$B$14*12,IF(A592&gt;=12,Assumptions!$B$15,0))-Pricing_M!$B$13,Assumptions!$B$9/12*(1+Assumptions!$B$10)^INT(A592/12)+Assumptions!$B$12*(1+Assumptions!$B$11)*(1+Assumptions!$B$24)*(1+Assumptions!$B$11+Assumptions!$B$25)^(INT(A592/12))/12))*J592</f>
        <v>0.21471759948847</v>
      </c>
    </row>
    <row r="593" customFormat="false" ht="15" hidden="false" customHeight="true" outlineLevel="0" collapsed="false">
      <c r="A593" s="1" t="n">
        <v>586</v>
      </c>
      <c r="B593" s="31" t="n">
        <f aca="false">Assumptions!$B$4+A593/12</f>
        <v>113.833333333333</v>
      </c>
      <c r="C593" s="34" t="n">
        <f aca="false">Assumptions!$B$4+INT(A593/12)</f>
        <v>113</v>
      </c>
      <c r="D593" s="34" t="n">
        <f aca="false">INT(A593/12)+1</f>
        <v>49</v>
      </c>
      <c r="E593" s="32" t="n">
        <f aca="false">IFERROR(INDEX(Cohort_Survival!$G$5:$G$65,MATCH(C593,Cohort_Survival!$A$5:$A$65,0)),1)</f>
        <v>0.493263015190997</v>
      </c>
      <c r="F593" s="30" t="n">
        <f aca="false">1-(1-MIN(1,E593))^(1/12)</f>
        <v>0.0550723653111276</v>
      </c>
      <c r="G593" s="39" t="n">
        <f aca="false">IF(C593&lt;Assumptions!$B$5,IF(D593=1,Assumptions!$B$16,IF(D593=2,Assumptions!$B$17,IF(D593&lt;=5,Assumptions!$B$18,Assumptions!$B$19)))*(1-Assumptions!$B$20),0)</f>
        <v>0</v>
      </c>
      <c r="H593" s="30" t="n">
        <f aca="false">1-(1-G593)^(1/12)</f>
        <v>0</v>
      </c>
      <c r="I593" s="30" t="n">
        <f aca="false">I592*(1-F592)*(1-H592)</f>
        <v>0.000271843987923885</v>
      </c>
      <c r="J593" s="30" t="n">
        <f aca="false">INDEX(Discount_Monthly!$G$4:$G$664,MATCH(A593,Discount_Monthly!$A$4:$A$664,0))</f>
        <v>0.213369126154551</v>
      </c>
      <c r="K593" s="30" t="n">
        <f aca="false">IF(C593&lt;Assumptions!$B$5,I593*J593,0)</f>
        <v>0</v>
      </c>
      <c r="L593" s="30" t="n">
        <f aca="false">IF(C593&lt;Assumptions!$B$5,I593*(1-F593)*H593*A593*J593,0)</f>
        <v>0</v>
      </c>
      <c r="M593" s="30" t="n">
        <f aca="false">IF(A593=0,Assumptions!$B$14*12*I593*J593,IF(AND(A593&gt;=12,C593&lt;Assumptions!$B$5),Assumptions!$B$15*I593*J593,0))</f>
        <v>0</v>
      </c>
      <c r="N593" s="47" t="n">
        <f aca="false">IF(C593&gt;=Assumptions!$B$5,I593*Assumptions!$B$9/12*(1+Assumptions!$B$10)^INT(A593/12)*J593,0)</f>
        <v>0.200077518524997</v>
      </c>
      <c r="O593" s="47" t="n">
        <f aca="false">I593*Assumptions!$B$12/12*(1+Assumptions!$B$11)^(INT(A593/12)+1)*J593</f>
        <v>0.00129666998001691</v>
      </c>
      <c r="P593" s="47" t="n">
        <f aca="false">O593+Pricing_M!$B$13*M593+N593-Pricing_M!$B$13*K593</f>
        <v>0.201374188505014</v>
      </c>
      <c r="Q593" s="47" t="n">
        <f aca="false">IF(C593&lt;Assumptions!$B$5,Pricing_M!$B$13*K593-Pricing_M!$B$13*M593-O593,-(N593+O593))</f>
        <v>-0.201374188505014</v>
      </c>
      <c r="R593" s="32" t="n">
        <f aca="false">R592*(1-(1-(1-MIN(1,E592*(1-Assumptions!$B$21)))^(1/12)))*(1-H592)</f>
        <v>0.00176743469508013</v>
      </c>
      <c r="S593" s="47" t="n">
        <f aca="false">R593*(IF(C593&lt;Assumptions!$B$5,Assumptions!$B$12*(1+Assumptions!$B$11)^(INT(A593/12)+1)/12+Pricing_M!$B$13*IF(A593=0,Assumptions!$B$14*12,IF(A593&gt;=12,Assumptions!$B$15,0))-Pricing_M!$B$13,Assumptions!$B$9/12*(1+Assumptions!$B$10)^INT(A593/12)+Assumptions!$B$12*(1+Assumptions!$B$11)^(INT(A593/12)+1)/12))*J593</f>
        <v>1.30926466380792</v>
      </c>
      <c r="T593" s="32" t="n">
        <f aca="false">T592*(1-F592)*(1-(1-(1-MIN(1,G592*(1+Assumptions!$B$23)))^(1/12)))</f>
        <v>0.000246257719840341</v>
      </c>
      <c r="U593" s="47" t="n">
        <f aca="false">T593*(IF(C593&lt;Assumptions!$B$5,Assumptions!$B$12*(1+Assumptions!$B$11)^(INT(A593/12)+1)/12+Pricing_M!$B$13*IF(A593=0,Assumptions!$B$14*12,IF(A593&gt;=12,Assumptions!$B$15,0))-Pricing_M!$B$13,Assumptions!$B$9/12*(1+Assumptions!$B$10)^INT(A593/12)+Assumptions!$B$12*(1+Assumptions!$B$11)^(INT(A593/12)+1)/12))*J593</f>
        <v>0.182420618806654</v>
      </c>
      <c r="V593" s="32" t="n">
        <f aca="false">V592*(1-F592)*(1-(1-(1-MIN(1,G592*(1-Assumptions!$B$23)))^(1/12)))</f>
        <v>0.000299813343260964</v>
      </c>
      <c r="W593" s="47" t="n">
        <f aca="false">V593*(IF(C593&lt;Assumptions!$B$5,Assumptions!$B$12*(1+Assumptions!$B$11)^(INT(A593/12)+1)/12+Pricing_M!$B$13*IF(A593=0,Assumptions!$B$14*12,IF(A593&gt;=12,Assumptions!$B$15,0))-Pricing_M!$B$13,Assumptions!$B$9/12*(1+Assumptions!$B$10)^INT(A593/12)+Assumptions!$B$12*(1+Assumptions!$B$11)^(INT(A593/12)+1)/12))*J593</f>
        <v>0.22209308053212</v>
      </c>
      <c r="X593" s="47" t="n">
        <f aca="false">I593*(IF(C593&lt;Assumptions!$B$5,Assumptions!$B$12*(1+Assumptions!$B$11)*(1+Assumptions!$B$24)*(1+Assumptions!$B$11+Assumptions!$B$25)^(INT(A593/12))/12+Pricing_M!$B$13*IF(A593=0,Assumptions!$B$14*12,IF(A593&gt;=12,Assumptions!$B$15,0))-Pricing_M!$B$13,Assumptions!$B$9/12*(1+Assumptions!$B$10)^INT(A593/12)+Assumptions!$B$12*(1+Assumptions!$B$11)*(1+Assumptions!$B$24)*(1+Assumptions!$B$11+Assumptions!$B$25)^(INT(A593/12))/12))*J593</f>
        <v>0.202350591574186</v>
      </c>
    </row>
    <row r="594" customFormat="false" ht="15" hidden="false" customHeight="true" outlineLevel="0" collapsed="false">
      <c r="A594" s="1" t="n">
        <v>587</v>
      </c>
      <c r="B594" s="31" t="n">
        <f aca="false">Assumptions!$B$4+A594/12</f>
        <v>113.916666666667</v>
      </c>
      <c r="C594" s="34" t="n">
        <f aca="false">Assumptions!$B$4+INT(A594/12)</f>
        <v>113</v>
      </c>
      <c r="D594" s="34" t="n">
        <f aca="false">INT(A594/12)+1</f>
        <v>49</v>
      </c>
      <c r="E594" s="32" t="n">
        <f aca="false">IFERROR(INDEX(Cohort_Survival!$G$5:$G$65,MATCH(C594,Cohort_Survival!$A$5:$A$65,0)),1)</f>
        <v>0.493263015190997</v>
      </c>
      <c r="F594" s="30" t="n">
        <f aca="false">1-(1-MIN(1,E594))^(1/12)</f>
        <v>0.0550723653111276</v>
      </c>
      <c r="G594" s="39" t="n">
        <f aca="false">IF(C594&lt;Assumptions!$B$5,IF(D594=1,Assumptions!$B$16,IF(D594=2,Assumptions!$B$17,IF(D594&lt;=5,Assumptions!$B$18,Assumptions!$B$19)))*(1-Assumptions!$B$20),0)</f>
        <v>0</v>
      </c>
      <c r="H594" s="30" t="n">
        <f aca="false">1-(1-G594)^(1/12)</f>
        <v>0</v>
      </c>
      <c r="I594" s="30" t="n">
        <f aca="false">I593*(1-F593)*(1-H593)</f>
        <v>0.000256872896513307</v>
      </c>
      <c r="J594" s="30" t="n">
        <f aca="false">INDEX(Discount_Monthly!$G$4:$G$664,MATCH(A594,Discount_Monthly!$A$4:$A$664,0))</f>
        <v>0.212799137589222</v>
      </c>
      <c r="K594" s="30" t="n">
        <f aca="false">IF(C594&lt;Assumptions!$B$5,I594*J594,0)</f>
        <v>0</v>
      </c>
      <c r="L594" s="30" t="n">
        <f aca="false">IF(C594&lt;Assumptions!$B$5,I594*(1-F594)*H594*A594*J594,0)</f>
        <v>0</v>
      </c>
      <c r="M594" s="30" t="n">
        <f aca="false">IF(A594=0,Assumptions!$B$14*12*I594*J594,IF(AND(A594&gt;=12,C594&lt;Assumptions!$B$5),Assumptions!$B$15*I594*J594,0))</f>
        <v>0</v>
      </c>
      <c r="N594" s="47" t="n">
        <f aca="false">IF(C594&gt;=Assumptions!$B$5,I594*Assumptions!$B$9/12*(1+Assumptions!$B$10)^INT(A594/12)*J594,0)</f>
        <v>0.18855372978591</v>
      </c>
      <c r="O594" s="47" t="n">
        <f aca="false">I594*Assumptions!$B$12/12*(1+Assumptions!$B$11)^(INT(A594/12)+1)*J594</f>
        <v>0.00122198617233981</v>
      </c>
      <c r="P594" s="47" t="n">
        <f aca="false">O594+Pricing_M!$B$13*M594+N594-Pricing_M!$B$13*K594</f>
        <v>0.18977571595825</v>
      </c>
      <c r="Q594" s="47" t="n">
        <f aca="false">IF(C594&lt;Assumptions!$B$5,Pricing_M!$B$13*K594-Pricing_M!$B$13*M594-O594,-(N594+O594))</f>
        <v>-0.18977571595825</v>
      </c>
      <c r="R594" s="32" t="n">
        <f aca="false">R593*(1-(1-(1-MIN(1,E593*(1-Assumptions!$B$21)))^(1/12)))*(1-H593)</f>
        <v>0.00169503871346404</v>
      </c>
      <c r="S594" s="47" t="n">
        <f aca="false">R594*(IF(C594&lt;Assumptions!$B$5,Assumptions!$B$12*(1+Assumptions!$B$11)^(INT(A594/12)+1)/12+Pricing_M!$B$13*IF(A594=0,Assumptions!$B$14*12,IF(A594&gt;=12,Assumptions!$B$15,0))-Pricing_M!$B$13,Assumptions!$B$9/12*(1+Assumptions!$B$10)^INT(A594/12)+Assumptions!$B$12*(1+Assumptions!$B$11)^(INT(A594/12)+1)/12))*J594</f>
        <v>1.25228153608618</v>
      </c>
      <c r="T594" s="32" t="n">
        <f aca="false">T593*(1-F593)*(1-(1-(1-MIN(1,G593*(1+Assumptions!$B$23)))^(1/12)))</f>
        <v>0.000232695724732608</v>
      </c>
      <c r="U594" s="47" t="n">
        <f aca="false">T594*(IF(C594&lt;Assumptions!$B$5,Assumptions!$B$12*(1+Assumptions!$B$11)^(INT(A594/12)+1)/12+Pricing_M!$B$13*IF(A594=0,Assumptions!$B$14*12,IF(A594&gt;=12,Assumptions!$B$15,0))-Pricing_M!$B$13,Assumptions!$B$9/12*(1+Assumptions!$B$10)^INT(A594/12)+Assumptions!$B$12*(1+Assumptions!$B$11)^(INT(A594/12)+1)/12))*J594</f>
        <v>0.171913807805204</v>
      </c>
      <c r="V594" s="32" t="n">
        <f aca="false">V593*(1-F593)*(1-(1-(1-MIN(1,G593*(1-Assumptions!$B$23)))^(1/12)))</f>
        <v>0.000283301913295746</v>
      </c>
      <c r="W594" s="47" t="n">
        <f aca="false">V594*(IF(C594&lt;Assumptions!$B$5,Assumptions!$B$12*(1+Assumptions!$B$11)^(INT(A594/12)+1)/12+Pricing_M!$B$13*IF(A594=0,Assumptions!$B$14*12,IF(A594&gt;=12,Assumptions!$B$15,0))-Pricing_M!$B$13,Assumptions!$B$9/12*(1+Assumptions!$B$10)^INT(A594/12)+Assumptions!$B$12*(1+Assumptions!$B$11)^(INT(A594/12)+1)/12))*J594</f>
        <v>0.209301269841278</v>
      </c>
      <c r="X594" s="47" t="n">
        <f aca="false">I594*(IF(C594&lt;Assumptions!$B$5,Assumptions!$B$12*(1+Assumptions!$B$11)*(1+Assumptions!$B$24)*(1+Assumptions!$B$11+Assumptions!$B$25)^(INT(A594/12))/12+Pricing_M!$B$13*IF(A594=0,Assumptions!$B$14*12,IF(A594&gt;=12,Assumptions!$B$15,0))-Pricing_M!$B$13,Assumptions!$B$9/12*(1+Assumptions!$B$10)^INT(A594/12)+Assumptions!$B$12*(1+Assumptions!$B$11)*(1+Assumptions!$B$24)*(1+Assumptions!$B$11+Assumptions!$B$25)^(INT(A594/12))/12))*J594</f>
        <v>0.190695881511202</v>
      </c>
    </row>
    <row r="595" customFormat="false" ht="15" hidden="false" customHeight="true" outlineLevel="0" collapsed="false">
      <c r="A595" s="1" t="n">
        <v>588</v>
      </c>
      <c r="B595" s="31" t="n">
        <f aca="false">Assumptions!$B$4+A595/12</f>
        <v>114</v>
      </c>
      <c r="C595" s="34" t="n">
        <f aca="false">Assumptions!$B$4+INT(A595/12)</f>
        <v>114</v>
      </c>
      <c r="D595" s="34" t="n">
        <f aca="false">INT(A595/12)+1</f>
        <v>50</v>
      </c>
      <c r="E595" s="32" t="n">
        <f aca="false">IFERROR(INDEX(Cohort_Survival!$G$5:$G$65,MATCH(C595,Cohort_Survival!$A$5:$A$65,0)),1)</f>
        <v>0.510534635206023</v>
      </c>
      <c r="F595" s="30" t="n">
        <f aca="false">1-(1-MIN(1,E595))^(1/12)</f>
        <v>0.05779913813902</v>
      </c>
      <c r="G595" s="39" t="n">
        <f aca="false">IF(C595&lt;Assumptions!$B$5,IF(D595=1,Assumptions!$B$16,IF(D595=2,Assumptions!$B$17,IF(D595&lt;=5,Assumptions!$B$18,Assumptions!$B$19)))*(1-Assumptions!$B$20),0)</f>
        <v>0</v>
      </c>
      <c r="H595" s="30" t="n">
        <f aca="false">1-(1-G595)^(1/12)</f>
        <v>0</v>
      </c>
      <c r="I595" s="30" t="n">
        <f aca="false">I594*(1-F594)*(1-H594)</f>
        <v>0.000242726298517999</v>
      </c>
      <c r="J595" s="30" t="n">
        <f aca="false">INDEX(Discount_Monthly!$G$4:$G$664,MATCH(A595,Discount_Monthly!$A$4:$A$664,0))</f>
        <v>0.212230671676072</v>
      </c>
      <c r="K595" s="30" t="n">
        <f aca="false">IF(C595&lt;Assumptions!$B$5,I595*J595,0)</f>
        <v>0</v>
      </c>
      <c r="L595" s="30" t="n">
        <f aca="false">IF(C595&lt;Assumptions!$B$5,I595*(1-F595)*H595*A595*J595,0)</f>
        <v>0</v>
      </c>
      <c r="M595" s="30" t="n">
        <f aca="false">IF(A595=0,Assumptions!$B$14*12*I595*J595,IF(AND(A595&gt;=12,C595&lt;Assumptions!$B$5),Assumptions!$B$15*I595*J595,0))</f>
        <v>0</v>
      </c>
      <c r="N595" s="47" t="n">
        <f aca="false">IF(C595&gt;=Assumptions!$B$5,I595*Assumptions!$B$9/12*(1+Assumptions!$B$10)^INT(A595/12)*J595,0)</f>
        <v>0.181247545770471</v>
      </c>
      <c r="O595" s="47" t="n">
        <f aca="false">I595*Assumptions!$B$12/12*(1+Assumptions!$B$11)^(INT(A595/12)+1)*J595</f>
        <v>0.00118039399701726</v>
      </c>
      <c r="P595" s="47" t="n">
        <f aca="false">O595+Pricing_M!$B$13*M595+N595-Pricing_M!$B$13*K595</f>
        <v>0.182427939767488</v>
      </c>
      <c r="Q595" s="47" t="n">
        <f aca="false">IF(C595&lt;Assumptions!$B$5,Pricing_M!$B$13*K595-Pricing_M!$B$13*M595-O595,-(N595+O595))</f>
        <v>-0.182427939767488</v>
      </c>
      <c r="R595" s="32" t="n">
        <f aca="false">R594*(1-(1-(1-MIN(1,E594*(1-Assumptions!$B$21)))^(1/12)))*(1-H594)</f>
        <v>0.00162560814729937</v>
      </c>
      <c r="S595" s="47" t="n">
        <f aca="false">R595*(IF(C595&lt;Assumptions!$B$5,Assumptions!$B$12*(1+Assumptions!$B$11)^(INT(A595/12)+1)/12+Pricing_M!$B$13*IF(A595=0,Assumptions!$B$14*12,IF(A595&gt;=12,Assumptions!$B$15,0))-Pricing_M!$B$13,Assumptions!$B$9/12*(1+Assumptions!$B$10)^INT(A595/12)+Assumptions!$B$12*(1+Assumptions!$B$11)^(INT(A595/12)+1)/12))*J595</f>
        <v>1.22177261793112</v>
      </c>
      <c r="T595" s="32" t="n">
        <f aca="false">T594*(1-F594)*(1-(1-(1-MIN(1,G594*(1+Assumptions!$B$23)))^(1/12)))</f>
        <v>0.000219880620773796</v>
      </c>
      <c r="U595" s="47" t="n">
        <f aca="false">T595*(IF(C595&lt;Assumptions!$B$5,Assumptions!$B$12*(1+Assumptions!$B$11)^(INT(A595/12)+1)/12+Pricing_M!$B$13*IF(A595=0,Assumptions!$B$14*12,IF(A595&gt;=12,Assumptions!$B$15,0))-Pricing_M!$B$13,Assumptions!$B$9/12*(1+Assumptions!$B$10)^INT(A595/12)+Assumptions!$B$12*(1+Assumptions!$B$11)^(INT(A595/12)+1)/12))*J595</f>
        <v>0.165257612741067</v>
      </c>
      <c r="V595" s="32" t="n">
        <f aca="false">V594*(1-F594)*(1-(1-(1-MIN(1,G594*(1-Assumptions!$B$23)))^(1/12)))</f>
        <v>0.000267699806833381</v>
      </c>
      <c r="W595" s="47" t="n">
        <f aca="false">V595*(IF(C595&lt;Assumptions!$B$5,Assumptions!$B$12*(1+Assumptions!$B$11)^(INT(A595/12)+1)/12+Pricing_M!$B$13*IF(A595=0,Assumptions!$B$14*12,IF(A595&gt;=12,Assumptions!$B$15,0))-Pricing_M!$B$13,Assumptions!$B$9/12*(1+Assumptions!$B$10)^INT(A595/12)+Assumptions!$B$12*(1+Assumptions!$B$11)^(INT(A595/12)+1)/12))*J595</f>
        <v>0.201197499137684</v>
      </c>
      <c r="X595" s="47" t="n">
        <f aca="false">I595*(IF(C595&lt;Assumptions!$B$5,Assumptions!$B$12*(1+Assumptions!$B$11)*(1+Assumptions!$B$24)*(1+Assumptions!$B$11+Assumptions!$B$25)^(INT(A595/12))/12+Pricing_M!$B$13*IF(A595=0,Assumptions!$B$14*12,IF(A595&gt;=12,Assumptions!$B$15,0))-Pricing_M!$B$13,Assumptions!$B$9/12*(1+Assumptions!$B$10)^INT(A595/12)+Assumptions!$B$12*(1+Assumptions!$B$11)*(1+Assumptions!$B$24)*(1+Assumptions!$B$11+Assumptions!$B$25)^(INT(A595/12))/12))*J595</f>
        <v>0.183336973783512</v>
      </c>
    </row>
    <row r="596" customFormat="false" ht="15" hidden="false" customHeight="true" outlineLevel="0" collapsed="false">
      <c r="A596" s="1" t="n">
        <v>589</v>
      </c>
      <c r="B596" s="31" t="n">
        <f aca="false">Assumptions!$B$4+A596/12</f>
        <v>114.083333333333</v>
      </c>
      <c r="C596" s="34" t="n">
        <f aca="false">Assumptions!$B$4+INT(A596/12)</f>
        <v>114</v>
      </c>
      <c r="D596" s="34" t="n">
        <f aca="false">INT(A596/12)+1</f>
        <v>50</v>
      </c>
      <c r="E596" s="32" t="n">
        <f aca="false">IFERROR(INDEX(Cohort_Survival!$G$5:$G$65,MATCH(C596,Cohort_Survival!$A$5:$A$65,0)),1)</f>
        <v>0.510534635206023</v>
      </c>
      <c r="F596" s="30" t="n">
        <f aca="false">1-(1-MIN(1,E596))^(1/12)</f>
        <v>0.05779913813902</v>
      </c>
      <c r="G596" s="39" t="n">
        <f aca="false">IF(C596&lt;Assumptions!$B$5,IF(D596=1,Assumptions!$B$16,IF(D596=2,Assumptions!$B$17,IF(D596&lt;=5,Assumptions!$B$18,Assumptions!$B$19)))*(1-Assumptions!$B$20),0)</f>
        <v>0</v>
      </c>
      <c r="H596" s="30" t="n">
        <f aca="false">1-(1-G596)^(1/12)</f>
        <v>0</v>
      </c>
      <c r="I596" s="30" t="n">
        <f aca="false">I595*(1-F595)*(1-H595)</f>
        <v>0.000228696927659984</v>
      </c>
      <c r="J596" s="30" t="n">
        <f aca="false">INDEX(Discount_Monthly!$G$4:$G$664,MATCH(A596,Discount_Monthly!$A$4:$A$664,0))</f>
        <v>0.211654838256215</v>
      </c>
      <c r="K596" s="30" t="n">
        <f aca="false">IF(C596&lt;Assumptions!$B$5,I596*J596,0)</f>
        <v>0</v>
      </c>
      <c r="L596" s="30" t="n">
        <f aca="false">IF(C596&lt;Assumptions!$B$5,I596*(1-F596)*H596*A596*J596,0)</f>
        <v>0</v>
      </c>
      <c r="M596" s="30" t="n">
        <f aca="false">IF(A596=0,Assumptions!$B$14*12*I596*J596,IF(AND(A596&gt;=12,C596&lt;Assumptions!$B$5),Assumptions!$B$15*I596*J596,0))</f>
        <v>0</v>
      </c>
      <c r="N596" s="47" t="n">
        <f aca="false">IF(C596&gt;=Assumptions!$B$5,I596*Assumptions!$B$9/12*(1+Assumptions!$B$10)^INT(A596/12)*J596,0)</f>
        <v>0.170308248974951</v>
      </c>
      <c r="O596" s="47" t="n">
        <f aca="false">I596*Assumptions!$B$12/12*(1+Assumptions!$B$11)^(INT(A596/12)+1)*J596</f>
        <v>0.00110915065844332</v>
      </c>
      <c r="P596" s="47" t="n">
        <f aca="false">O596+Pricing_M!$B$13*M596+N596-Pricing_M!$B$13*K596</f>
        <v>0.171417399633394</v>
      </c>
      <c r="Q596" s="47" t="n">
        <f aca="false">IF(C596&lt;Assumptions!$B$5,Pricing_M!$B$13*K596-Pricing_M!$B$13*M596-O596,-(N596+O596))</f>
        <v>-0.171417399633394</v>
      </c>
      <c r="R596" s="32" t="n">
        <f aca="false">R595*(1-(1-(1-MIN(1,E595*(1-Assumptions!$B$21)))^(1/12)))*(1-H595)</f>
        <v>0.00155602481695137</v>
      </c>
      <c r="S596" s="47" t="n">
        <f aca="false">R596*(IF(C596&lt;Assumptions!$B$5,Assumptions!$B$12*(1+Assumptions!$B$11)^(INT(A596/12)+1)/12+Pricing_M!$B$13*IF(A596=0,Assumptions!$B$14*12,IF(A596&gt;=12,Assumptions!$B$15,0))-Pricing_M!$B$13,Assumptions!$B$9/12*(1+Assumptions!$B$10)^INT(A596/12)+Assumptions!$B$12*(1+Assumptions!$B$11)^(INT(A596/12)+1)/12))*J596</f>
        <v>1.16630219135866</v>
      </c>
      <c r="T596" s="32" t="n">
        <f aca="false">T595*(1-F595)*(1-(1-(1-MIN(1,G595*(1+Assumptions!$B$23)))^(1/12)))</f>
        <v>0.000207171710399598</v>
      </c>
      <c r="U596" s="47" t="n">
        <f aca="false">T596*(IF(C596&lt;Assumptions!$B$5,Assumptions!$B$12*(1+Assumptions!$B$11)^(INT(A596/12)+1)/12+Pricing_M!$B$13*IF(A596=0,Assumptions!$B$14*12,IF(A596&gt;=12,Assumptions!$B$15,0))-Pricing_M!$B$13,Assumptions!$B$9/12*(1+Assumptions!$B$10)^INT(A596/12)+Assumptions!$B$12*(1+Assumptions!$B$11)^(INT(A596/12)+1)/12))*J596</f>
        <v>0.155283397278955</v>
      </c>
      <c r="V596" s="32" t="n">
        <f aca="false">V595*(1-F595)*(1-(1-(1-MIN(1,G595*(1-Assumptions!$B$23)))^(1/12)))</f>
        <v>0.00025222698871843</v>
      </c>
      <c r="W596" s="47" t="n">
        <f aca="false">V596*(IF(C596&lt;Assumptions!$B$5,Assumptions!$B$12*(1+Assumptions!$B$11)^(INT(A596/12)+1)/12+Pricing_M!$B$13*IF(A596=0,Assumptions!$B$14*12,IF(A596&gt;=12,Assumptions!$B$15,0))-Pricing_M!$B$13,Assumptions!$B$9/12*(1+Assumptions!$B$10)^INT(A596/12)+Assumptions!$B$12*(1+Assumptions!$B$11)^(INT(A596/12)+1)/12))*J596</f>
        <v>0.189054111770824</v>
      </c>
      <c r="X596" s="47" t="n">
        <f aca="false">I596*(IF(C596&lt;Assumptions!$B$5,Assumptions!$B$12*(1+Assumptions!$B$11)*(1+Assumptions!$B$24)*(1+Assumptions!$B$11+Assumptions!$B$25)^(INT(A596/12))/12+Pricing_M!$B$13*IF(A596=0,Assumptions!$B$14*12,IF(A596&gt;=12,Assumptions!$B$15,0))-Pricing_M!$B$13,Assumptions!$B$9/12*(1+Assumptions!$B$10)^INT(A596/12)+Assumptions!$B$12*(1+Assumptions!$B$11)*(1+Assumptions!$B$24)*(1+Assumptions!$B$11+Assumptions!$B$25)^(INT(A596/12))/12))*J596</f>
        <v>0.172271568393967</v>
      </c>
    </row>
    <row r="597" customFormat="false" ht="15" hidden="false" customHeight="true" outlineLevel="0" collapsed="false">
      <c r="A597" s="1" t="n">
        <v>590</v>
      </c>
      <c r="B597" s="31" t="n">
        <f aca="false">Assumptions!$B$4+A597/12</f>
        <v>114.166666666667</v>
      </c>
      <c r="C597" s="34" t="n">
        <f aca="false">Assumptions!$B$4+INT(A597/12)</f>
        <v>114</v>
      </c>
      <c r="D597" s="34" t="n">
        <f aca="false">INT(A597/12)+1</f>
        <v>50</v>
      </c>
      <c r="E597" s="32" t="n">
        <f aca="false">IFERROR(INDEX(Cohort_Survival!$G$5:$G$65,MATCH(C597,Cohort_Survival!$A$5:$A$65,0)),1)</f>
        <v>0.510534635206023</v>
      </c>
      <c r="F597" s="30" t="n">
        <f aca="false">1-(1-MIN(1,E597))^(1/12)</f>
        <v>0.05779913813902</v>
      </c>
      <c r="G597" s="39" t="n">
        <f aca="false">IF(C597&lt;Assumptions!$B$5,IF(D597=1,Assumptions!$B$16,IF(D597=2,Assumptions!$B$17,IF(D597&lt;=5,Assumptions!$B$18,Assumptions!$B$19)))*(1-Assumptions!$B$20),0)</f>
        <v>0</v>
      </c>
      <c r="H597" s="30" t="n">
        <f aca="false">1-(1-G597)^(1/12)</f>
        <v>0</v>
      </c>
      <c r="I597" s="30" t="n">
        <f aca="false">I596*(1-F596)*(1-H596)</f>
        <v>0.000215478442346195</v>
      </c>
      <c r="J597" s="30" t="n">
        <f aca="false">INDEX(Discount_Monthly!$G$4:$G$664,MATCH(A597,Discount_Monthly!$A$4:$A$664,0))</f>
        <v>0.21108056721245</v>
      </c>
      <c r="K597" s="30" t="n">
        <f aca="false">IF(C597&lt;Assumptions!$B$5,I597*J597,0)</f>
        <v>0</v>
      </c>
      <c r="L597" s="30" t="n">
        <f aca="false">IF(C597&lt;Assumptions!$B$5,I597*(1-F597)*H597*A597*J597,0)</f>
        <v>0</v>
      </c>
      <c r="M597" s="30" t="n">
        <f aca="false">IF(A597=0,Assumptions!$B$14*12*I597*J597,IF(AND(A597&gt;=12,C597&lt;Assumptions!$B$5),Assumptions!$B$15*I597*J597,0))</f>
        <v>0</v>
      </c>
      <c r="N597" s="47" t="n">
        <f aca="false">IF(C597&gt;=Assumptions!$B$5,I597*Assumptions!$B$9/12*(1+Assumptions!$B$10)^INT(A597/12)*J597,0)</f>
        <v>0.160029199543729</v>
      </c>
      <c r="O597" s="47" t="n">
        <f aca="false">I597*Assumptions!$B$12/12*(1+Assumptions!$B$11)^(INT(A597/12)+1)*J597</f>
        <v>0.00104220725133631</v>
      </c>
      <c r="P597" s="47" t="n">
        <f aca="false">O597+Pricing_M!$B$13*M597+N597-Pricing_M!$B$13*K597</f>
        <v>0.161071406795065</v>
      </c>
      <c r="Q597" s="47" t="n">
        <f aca="false">IF(C597&lt;Assumptions!$B$5,Pricing_M!$B$13*K597-Pricing_M!$B$13*M597-O597,-(N597+O597))</f>
        <v>-0.161071406795065</v>
      </c>
      <c r="R597" s="32" t="n">
        <f aca="false">R596*(1-(1-(1-MIN(1,E596*(1-Assumptions!$B$21)))^(1/12)))*(1-H596)</f>
        <v>0.00148941996568542</v>
      </c>
      <c r="S597" s="47" t="n">
        <f aca="false">R597*(IF(C597&lt;Assumptions!$B$5,Assumptions!$B$12*(1+Assumptions!$B$11)^(INT(A597/12)+1)/12+Pricing_M!$B$13*IF(A597=0,Assumptions!$B$14*12,IF(A597&gt;=12,Assumptions!$B$15,0))-Pricing_M!$B$13,Assumptions!$B$9/12*(1+Assumptions!$B$10)^INT(A597/12)+Assumptions!$B$12*(1+Assumptions!$B$11)^(INT(A597/12)+1)/12))*J597</f>
        <v>1.11335021067292</v>
      </c>
      <c r="T597" s="32" t="n">
        <f aca="false">T596*(1-F596)*(1-(1-(1-MIN(1,G596*(1+Assumptions!$B$23)))^(1/12)))</f>
        <v>0.000195197364091715</v>
      </c>
      <c r="U597" s="47" t="n">
        <f aca="false">T597*(IF(C597&lt;Assumptions!$B$5,Assumptions!$B$12*(1+Assumptions!$B$11)^(INT(A597/12)+1)/12+Pricing_M!$B$13*IF(A597=0,Assumptions!$B$14*12,IF(A597&gt;=12,Assumptions!$B$15,0))-Pricing_M!$B$13,Assumptions!$B$9/12*(1+Assumptions!$B$10)^INT(A597/12)+Assumptions!$B$12*(1+Assumptions!$B$11)^(INT(A597/12)+1)/12))*J597</f>
        <v>0.145911181158565</v>
      </c>
      <c r="V597" s="32" t="n">
        <f aca="false">V596*(1-F596)*(1-(1-(1-MIN(1,G596*(1-Assumptions!$B$23)))^(1/12)))</f>
        <v>0.000237648486155104</v>
      </c>
      <c r="W597" s="47" t="n">
        <f aca="false">V597*(IF(C597&lt;Assumptions!$B$5,Assumptions!$B$12*(1+Assumptions!$B$11)^(INT(A597/12)+1)/12+Pricing_M!$B$13*IF(A597=0,Assumptions!$B$14*12,IF(A597&gt;=12,Assumptions!$B$15,0))-Pricing_M!$B$13,Assumptions!$B$9/12*(1+Assumptions!$B$10)^INT(A597/12)+Assumptions!$B$12*(1+Assumptions!$B$11)^(INT(A597/12)+1)/12))*J597</f>
        <v>0.177643645326806</v>
      </c>
      <c r="X597" s="47" t="n">
        <f aca="false">I597*(IF(C597&lt;Assumptions!$B$5,Assumptions!$B$12*(1+Assumptions!$B$11)*(1+Assumptions!$B$24)*(1+Assumptions!$B$11+Assumptions!$B$25)^(INT(A597/12))/12+Pricing_M!$B$13*IF(A597=0,Assumptions!$B$14*12,IF(A597&gt;=12,Assumptions!$B$15,0))-Pricing_M!$B$13,Assumptions!$B$9/12*(1+Assumptions!$B$10)^INT(A597/12)+Assumptions!$B$12*(1+Assumptions!$B$11)*(1+Assumptions!$B$24)*(1+Assumptions!$B$11+Assumptions!$B$25)^(INT(A597/12))/12))*J597</f>
        <v>0.161874021723306</v>
      </c>
    </row>
    <row r="598" customFormat="false" ht="15" hidden="false" customHeight="true" outlineLevel="0" collapsed="false">
      <c r="A598" s="1" t="n">
        <v>591</v>
      </c>
      <c r="B598" s="31" t="n">
        <f aca="false">Assumptions!$B$4+A598/12</f>
        <v>114.25</v>
      </c>
      <c r="C598" s="34" t="n">
        <f aca="false">Assumptions!$B$4+INT(A598/12)</f>
        <v>114</v>
      </c>
      <c r="D598" s="34" t="n">
        <f aca="false">INT(A598/12)+1</f>
        <v>50</v>
      </c>
      <c r="E598" s="32" t="n">
        <f aca="false">IFERROR(INDEX(Cohort_Survival!$G$5:$G$65,MATCH(C598,Cohort_Survival!$A$5:$A$65,0)),1)</f>
        <v>0.510534635206023</v>
      </c>
      <c r="F598" s="30" t="n">
        <f aca="false">1-(1-MIN(1,E598))^(1/12)</f>
        <v>0.05779913813902</v>
      </c>
      <c r="G598" s="39" t="n">
        <f aca="false">IF(C598&lt;Assumptions!$B$5,IF(D598=1,Assumptions!$B$16,IF(D598=2,Assumptions!$B$17,IF(D598&lt;=5,Assumptions!$B$18,Assumptions!$B$19)))*(1-Assumptions!$B$20),0)</f>
        <v>0</v>
      </c>
      <c r="H598" s="30" t="n">
        <f aca="false">1-(1-G598)^(1/12)</f>
        <v>0</v>
      </c>
      <c r="I598" s="30" t="n">
        <f aca="false">I597*(1-F597)*(1-H597)</f>
        <v>0.000203023974091047</v>
      </c>
      <c r="J598" s="30" t="n">
        <f aca="false">INDEX(Discount_Monthly!$G$4:$G$664,MATCH(A598,Discount_Monthly!$A$4:$A$664,0))</f>
        <v>0.210507854305672</v>
      </c>
      <c r="K598" s="30" t="n">
        <f aca="false">IF(C598&lt;Assumptions!$B$5,I598*J598,0)</f>
        <v>0</v>
      </c>
      <c r="L598" s="30" t="n">
        <f aca="false">IF(C598&lt;Assumptions!$B$5,I598*(1-F598)*H598*A598*J598,0)</f>
        <v>0</v>
      </c>
      <c r="M598" s="30" t="n">
        <f aca="false">IF(A598=0,Assumptions!$B$14*12*I598*J598,IF(AND(A598&gt;=12,C598&lt;Assumptions!$B$5),Assumptions!$B$15*I598*J598,0))</f>
        <v>0</v>
      </c>
      <c r="N598" s="47" t="n">
        <f aca="false">IF(C598&gt;=Assumptions!$B$5,I598*Assumptions!$B$9/12*(1+Assumptions!$B$10)^INT(A598/12)*J598,0)</f>
        <v>0.15037054787859</v>
      </c>
      <c r="O598" s="47" t="n">
        <f aca="false">I598*Assumptions!$B$12/12*(1+Assumptions!$B$11)^(INT(A598/12)+1)*J598</f>
        <v>0.000979304250932383</v>
      </c>
      <c r="P598" s="47" t="n">
        <f aca="false">O598+Pricing_M!$B$13*M598+N598-Pricing_M!$B$13*K598</f>
        <v>0.151349852129522</v>
      </c>
      <c r="Q598" s="47" t="n">
        <f aca="false">IF(C598&lt;Assumptions!$B$5,Pricing_M!$B$13*K598-Pricing_M!$B$13*M598-O598,-(N598+O598))</f>
        <v>-0.151349852129522</v>
      </c>
      <c r="R598" s="32" t="n">
        <f aca="false">R597*(1-(1-(1-MIN(1,E597*(1-Assumptions!$B$21)))^(1/12)))*(1-H597)</f>
        <v>0.00142566610121854</v>
      </c>
      <c r="S598" s="47" t="n">
        <f aca="false">R598*(IF(C598&lt;Assumptions!$B$5,Assumptions!$B$12*(1+Assumptions!$B$11)^(INT(A598/12)+1)/12+Pricing_M!$B$13*IF(A598=0,Assumptions!$B$14*12,IF(A598&gt;=12,Assumptions!$B$15,0))-Pricing_M!$B$13,Assumptions!$B$9/12*(1+Assumptions!$B$10)^INT(A598/12)+Assumptions!$B$12*(1+Assumptions!$B$11)^(INT(A598/12)+1)/12))*J598</f>
        <v>1.06280233441167</v>
      </c>
      <c r="T598" s="32" t="n">
        <f aca="false">T597*(1-F597)*(1-(1-(1-MIN(1,G597*(1+Assumptions!$B$23)))^(1/12)))</f>
        <v>0.000183915124680205</v>
      </c>
      <c r="U598" s="47" t="n">
        <f aca="false">T598*(IF(C598&lt;Assumptions!$B$5,Assumptions!$B$12*(1+Assumptions!$B$11)^(INT(A598/12)+1)/12+Pricing_M!$B$13*IF(A598=0,Assumptions!$B$14*12,IF(A598&gt;=12,Assumptions!$B$15,0))-Pricing_M!$B$13,Assumptions!$B$9/12*(1+Assumptions!$B$10)^INT(A598/12)+Assumptions!$B$12*(1+Assumptions!$B$11)^(INT(A598/12)+1)/12))*J598</f>
        <v>0.137104630373597</v>
      </c>
      <c r="V598" s="32" t="n">
        <f aca="false">V597*(1-F597)*(1-(1-(1-MIN(1,G597*(1-Assumptions!$B$23)))^(1/12)))</f>
        <v>0.000223912608475296</v>
      </c>
      <c r="W598" s="47" t="n">
        <f aca="false">V598*(IF(C598&lt;Assumptions!$B$5,Assumptions!$B$12*(1+Assumptions!$B$11)^(INT(A598/12)+1)/12+Pricing_M!$B$13*IF(A598=0,Assumptions!$B$14*12,IF(A598&gt;=12,Assumptions!$B$15,0))-Pricing_M!$B$13,Assumptions!$B$9/12*(1+Assumptions!$B$10)^INT(A598/12)+Assumptions!$B$12*(1+Assumptions!$B$11)^(INT(A598/12)+1)/12))*J598</f>
        <v>0.166921863954224</v>
      </c>
      <c r="X598" s="47" t="n">
        <f aca="false">I598*(IF(C598&lt;Assumptions!$B$5,Assumptions!$B$12*(1+Assumptions!$B$11)*(1+Assumptions!$B$24)*(1+Assumptions!$B$11+Assumptions!$B$25)^(INT(A598/12))/12+Pricing_M!$B$13*IF(A598=0,Assumptions!$B$14*12,IF(A598&gt;=12,Assumptions!$B$15,0))-Pricing_M!$B$13,Assumptions!$B$9/12*(1+Assumptions!$B$10)^INT(A598/12)+Assumptions!$B$12*(1+Assumptions!$B$11)*(1+Assumptions!$B$24)*(1+Assumptions!$B$11+Assumptions!$B$25)^(INT(A598/12))/12))*J598</f>
        <v>0.152104024785757</v>
      </c>
    </row>
    <row r="599" customFormat="false" ht="15" hidden="false" customHeight="true" outlineLevel="0" collapsed="false">
      <c r="A599" s="1" t="n">
        <v>592</v>
      </c>
      <c r="B599" s="31" t="n">
        <f aca="false">Assumptions!$B$4+A599/12</f>
        <v>114.333333333333</v>
      </c>
      <c r="C599" s="34" t="n">
        <f aca="false">Assumptions!$B$4+INT(A599/12)</f>
        <v>114</v>
      </c>
      <c r="D599" s="34" t="n">
        <f aca="false">INT(A599/12)+1</f>
        <v>50</v>
      </c>
      <c r="E599" s="32" t="n">
        <f aca="false">IFERROR(INDEX(Cohort_Survival!$G$5:$G$65,MATCH(C599,Cohort_Survival!$A$5:$A$65,0)),1)</f>
        <v>0.510534635206023</v>
      </c>
      <c r="F599" s="30" t="n">
        <f aca="false">1-(1-MIN(1,E599))^(1/12)</f>
        <v>0.05779913813902</v>
      </c>
      <c r="G599" s="39" t="n">
        <f aca="false">IF(C599&lt;Assumptions!$B$5,IF(D599=1,Assumptions!$B$16,IF(D599=2,Assumptions!$B$17,IF(D599&lt;=5,Assumptions!$B$18,Assumptions!$B$19)))*(1-Assumptions!$B$20),0)</f>
        <v>0</v>
      </c>
      <c r="H599" s="30" t="n">
        <f aca="false">1-(1-G599)^(1/12)</f>
        <v>0</v>
      </c>
      <c r="I599" s="30" t="n">
        <f aca="false">I598*(1-F598)*(1-H598)</f>
        <v>0.000191289363367025</v>
      </c>
      <c r="J599" s="30" t="n">
        <f aca="false">INDEX(Discount_Monthly!$G$4:$G$664,MATCH(A599,Discount_Monthly!$A$4:$A$664,0))</f>
        <v>0.209936695308274</v>
      </c>
      <c r="K599" s="30" t="n">
        <f aca="false">IF(C599&lt;Assumptions!$B$5,I599*J599,0)</f>
        <v>0</v>
      </c>
      <c r="L599" s="30" t="n">
        <f aca="false">IF(C599&lt;Assumptions!$B$5,I599*(1-F599)*H599*A599*J599,0)</f>
        <v>0</v>
      </c>
      <c r="M599" s="30" t="n">
        <f aca="false">IF(A599=0,Assumptions!$B$14*12*I599*J599,IF(AND(A599&gt;=12,C599&lt;Assumptions!$B$5),Assumptions!$B$15*I599*J599,0))</f>
        <v>0</v>
      </c>
      <c r="N599" s="47" t="n">
        <f aca="false">IF(C599&gt;=Assumptions!$B$5,I599*Assumptions!$B$9/12*(1+Assumptions!$B$10)^INT(A599/12)*J599,0)</f>
        <v>0.141294849526061</v>
      </c>
      <c r="O599" s="47" t="n">
        <f aca="false">I599*Assumptions!$B$12/12*(1+Assumptions!$B$11)^(INT(A599/12)+1)*J599</f>
        <v>0.000920197796229651</v>
      </c>
      <c r="P599" s="47" t="n">
        <f aca="false">O599+Pricing_M!$B$13*M599+N599-Pricing_M!$B$13*K599</f>
        <v>0.142215047322291</v>
      </c>
      <c r="Q599" s="47" t="n">
        <f aca="false">IF(C599&lt;Assumptions!$B$5,Pricing_M!$B$13*K599-Pricing_M!$B$13*M599-O599,-(N599+O599))</f>
        <v>-0.142215047322291</v>
      </c>
      <c r="R599" s="32" t="n">
        <f aca="false">R598*(1-(1-(1-MIN(1,E598*(1-Assumptions!$B$21)))^(1/12)))*(1-H598)</f>
        <v>0.00136464118851013</v>
      </c>
      <c r="S599" s="47" t="n">
        <f aca="false">R599*(IF(C599&lt;Assumptions!$B$5,Assumptions!$B$12*(1+Assumptions!$B$11)^(INT(A599/12)+1)/12+Pricing_M!$B$13*IF(A599=0,Assumptions!$B$14*12,IF(A599&gt;=12,Assumptions!$B$15,0))-Pricing_M!$B$13,Assumptions!$B$9/12*(1+Assumptions!$B$10)^INT(A599/12)+Assumptions!$B$12*(1+Assumptions!$B$11)^(INT(A599/12)+1)/12))*J599</f>
        <v>1.01454941239754</v>
      </c>
      <c r="T599" s="32" t="n">
        <f aca="false">T598*(1-F598)*(1-(1-(1-MIN(1,G598*(1+Assumptions!$B$23)))^(1/12)))</f>
        <v>0.000173284988982959</v>
      </c>
      <c r="U599" s="47" t="n">
        <f aca="false">T599*(IF(C599&lt;Assumptions!$B$5,Assumptions!$B$12*(1+Assumptions!$B$11)^(INT(A599/12)+1)/12+Pricing_M!$B$13*IF(A599=0,Assumptions!$B$14*12,IF(A599&gt;=12,Assumptions!$B$15,0))-Pricing_M!$B$13,Assumptions!$B$9/12*(1+Assumptions!$B$10)^INT(A599/12)+Assumptions!$B$12*(1+Assumptions!$B$11)^(INT(A599/12)+1)/12))*J599</f>
        <v>0.128829603876983</v>
      </c>
      <c r="V599" s="32" t="n">
        <f aca="false">V598*(1-F598)*(1-(1-(1-MIN(1,G598*(1-Assumptions!$B$23)))^(1/12)))</f>
        <v>0.000210970652686964</v>
      </c>
      <c r="W599" s="47" t="n">
        <f aca="false">V599*(IF(C599&lt;Assumptions!$B$5,Assumptions!$B$12*(1+Assumptions!$B$11)^(INT(A599/12)+1)/12+Pricing_M!$B$13*IF(A599=0,Assumptions!$B$14*12,IF(A599&gt;=12,Assumptions!$B$15,0))-Pricing_M!$B$13,Assumptions!$B$9/12*(1+Assumptions!$B$10)^INT(A599/12)+Assumptions!$B$12*(1+Assumptions!$B$11)^(INT(A599/12)+1)/12))*J599</f>
        <v>0.156847201681174</v>
      </c>
      <c r="X599" s="47" t="n">
        <f aca="false">I599*(IF(C599&lt;Assumptions!$B$5,Assumptions!$B$12*(1+Assumptions!$B$11)*(1+Assumptions!$B$24)*(1+Assumptions!$B$11+Assumptions!$B$25)^(INT(A599/12))/12+Pricing_M!$B$13*IF(A599=0,Assumptions!$B$14*12,IF(A599&gt;=12,Assumptions!$B$15,0))-Pricing_M!$B$13,Assumptions!$B$9/12*(1+Assumptions!$B$10)^INT(A599/12)+Assumptions!$B$12*(1+Assumptions!$B$11)*(1+Assumptions!$B$24)*(1+Assumptions!$B$11+Assumptions!$B$25)^(INT(A599/12))/12))*J599</f>
        <v>0.142923701466888</v>
      </c>
    </row>
    <row r="600" customFormat="false" ht="15" hidden="false" customHeight="true" outlineLevel="0" collapsed="false">
      <c r="A600" s="1" t="n">
        <v>593</v>
      </c>
      <c r="B600" s="31" t="n">
        <f aca="false">Assumptions!$B$4+A600/12</f>
        <v>114.416666666667</v>
      </c>
      <c r="C600" s="34" t="n">
        <f aca="false">Assumptions!$B$4+INT(A600/12)</f>
        <v>114</v>
      </c>
      <c r="D600" s="34" t="n">
        <f aca="false">INT(A600/12)+1</f>
        <v>50</v>
      </c>
      <c r="E600" s="32" t="n">
        <f aca="false">IFERROR(INDEX(Cohort_Survival!$G$5:$G$65,MATCH(C600,Cohort_Survival!$A$5:$A$65,0)),1)</f>
        <v>0.510534635206023</v>
      </c>
      <c r="F600" s="30" t="n">
        <f aca="false">1-(1-MIN(1,E600))^(1/12)</f>
        <v>0.05779913813902</v>
      </c>
      <c r="G600" s="39" t="n">
        <f aca="false">IF(C600&lt;Assumptions!$B$5,IF(D600=1,Assumptions!$B$16,IF(D600=2,Assumptions!$B$17,IF(D600&lt;=5,Assumptions!$B$18,Assumptions!$B$19)))*(1-Assumptions!$B$20),0)</f>
        <v>0</v>
      </c>
      <c r="H600" s="30" t="n">
        <f aca="false">1-(1-G600)^(1/12)</f>
        <v>0</v>
      </c>
      <c r="I600" s="30" t="n">
        <f aca="false">I599*(1-F599)*(1-H599)</f>
        <v>0.000180233003029249</v>
      </c>
      <c r="J600" s="30" t="n">
        <f aca="false">INDEX(Discount_Monthly!$G$4:$G$664,MATCH(A600,Discount_Monthly!$A$4:$A$664,0))</f>
        <v>0.209367086004124</v>
      </c>
      <c r="K600" s="30" t="n">
        <f aca="false">IF(C600&lt;Assumptions!$B$5,I600*J600,0)</f>
        <v>0</v>
      </c>
      <c r="L600" s="30" t="n">
        <f aca="false">IF(C600&lt;Assumptions!$B$5,I600*(1-F600)*H600*A600*J600,0)</f>
        <v>0</v>
      </c>
      <c r="M600" s="30" t="n">
        <f aca="false">IF(A600=0,Assumptions!$B$14*12*I600*J600,IF(AND(A600&gt;=12,C600&lt;Assumptions!$B$5),Assumptions!$B$15*I600*J600,0))</f>
        <v>0</v>
      </c>
      <c r="N600" s="47" t="n">
        <f aca="false">IF(C600&gt;=Assumptions!$B$5,I600*Assumptions!$B$9/12*(1+Assumptions!$B$10)^INT(A600/12)*J600,0)</f>
        <v>0.132766920013563</v>
      </c>
      <c r="O600" s="47" t="n">
        <f aca="false">I600*Assumptions!$B$12/12*(1+Assumptions!$B$11)^(INT(A600/12)+1)*J600</f>
        <v>0.000864658744593125</v>
      </c>
      <c r="P600" s="47" t="n">
        <f aca="false">O600+Pricing_M!$B$13*M600+N600-Pricing_M!$B$13*K600</f>
        <v>0.133631578758156</v>
      </c>
      <c r="Q600" s="47" t="n">
        <f aca="false">IF(C600&lt;Assumptions!$B$5,Pricing_M!$B$13*K600-Pricing_M!$B$13*M600-O600,-(N600+O600))</f>
        <v>-0.133631578758156</v>
      </c>
      <c r="R600" s="32" t="n">
        <f aca="false">R599*(1-(1-(1-MIN(1,E599*(1-Assumptions!$B$21)))^(1/12)))*(1-H599)</f>
        <v>0.00130622841616747</v>
      </c>
      <c r="S600" s="47" t="n">
        <f aca="false">R600*(IF(C600&lt;Assumptions!$B$5,Assumptions!$B$12*(1+Assumptions!$B$11)^(INT(A600/12)+1)/12+Pricing_M!$B$13*IF(A600=0,Assumptions!$B$14*12,IF(A600&gt;=12,Assumptions!$B$15,0))-Pricing_M!$B$13,Assumptions!$B$9/12*(1+Assumptions!$B$10)^INT(A600/12)+Assumptions!$B$12*(1+Assumptions!$B$11)^(INT(A600/12)+1)/12))*J600</f>
        <v>0.968487250045413</v>
      </c>
      <c r="T600" s="32" t="n">
        <f aca="false">T599*(1-F599)*(1-(1-(1-MIN(1,G599*(1+Assumptions!$B$23)))^(1/12)))</f>
        <v>0.000163269265967314</v>
      </c>
      <c r="U600" s="47" t="n">
        <f aca="false">T600*(IF(C600&lt;Assumptions!$B$5,Assumptions!$B$12*(1+Assumptions!$B$11)^(INT(A600/12)+1)/12+Pricing_M!$B$13*IF(A600=0,Assumptions!$B$14*12,IF(A600&gt;=12,Assumptions!$B$15,0))-Pricing_M!$B$13,Assumptions!$B$9/12*(1+Assumptions!$B$10)^INT(A600/12)+Assumptions!$B$12*(1+Assumptions!$B$11)^(INT(A600/12)+1)/12))*J600</f>
        <v>0.121054021223608</v>
      </c>
      <c r="V600" s="32" t="n">
        <f aca="false">V599*(1-F599)*(1-(1-(1-MIN(1,G599*(1-Assumptions!$B$23)))^(1/12)))</f>
        <v>0.000198776730789031</v>
      </c>
      <c r="W600" s="47" t="n">
        <f aca="false">V600*(IF(C600&lt;Assumptions!$B$5,Assumptions!$B$12*(1+Assumptions!$B$11)^(INT(A600/12)+1)/12+Pricing_M!$B$13*IF(A600=0,Assumptions!$B$14*12,IF(A600&gt;=12,Assumptions!$B$15,0))-Pricing_M!$B$13,Assumptions!$B$9/12*(1+Assumptions!$B$10)^INT(A600/12)+Assumptions!$B$12*(1+Assumptions!$B$11)^(INT(A600/12)+1)/12))*J600</f>
        <v>0.147380601273188</v>
      </c>
      <c r="X600" s="47" t="n">
        <f aca="false">I600*(IF(C600&lt;Assumptions!$B$5,Assumptions!$B$12*(1+Assumptions!$B$11)*(1+Assumptions!$B$24)*(1+Assumptions!$B$11+Assumptions!$B$25)^(INT(A600/12))/12+Pricing_M!$B$13*IF(A600=0,Assumptions!$B$14*12,IF(A600&gt;=12,Assumptions!$B$15,0))-Pricing_M!$B$13,Assumptions!$B$9/12*(1+Assumptions!$B$10)^INT(A600/12)+Assumptions!$B$12*(1+Assumptions!$B$11)*(1+Assumptions!$B$24)*(1+Assumptions!$B$11+Assumptions!$B$25)^(INT(A600/12))/12))*J600</f>
        <v>0.134297461686292</v>
      </c>
    </row>
    <row r="601" customFormat="false" ht="15" hidden="false" customHeight="true" outlineLevel="0" collapsed="false">
      <c r="A601" s="1" t="n">
        <v>594</v>
      </c>
      <c r="B601" s="31" t="n">
        <f aca="false">Assumptions!$B$4+A601/12</f>
        <v>114.5</v>
      </c>
      <c r="C601" s="34" t="n">
        <f aca="false">Assumptions!$B$4+INT(A601/12)</f>
        <v>114</v>
      </c>
      <c r="D601" s="34" t="n">
        <f aca="false">INT(A601/12)+1</f>
        <v>50</v>
      </c>
      <c r="E601" s="32" t="n">
        <f aca="false">IFERROR(INDEX(Cohort_Survival!$G$5:$G$65,MATCH(C601,Cohort_Survival!$A$5:$A$65,0)),1)</f>
        <v>0.510534635206023</v>
      </c>
      <c r="F601" s="30" t="n">
        <f aca="false">1-(1-MIN(1,E601))^(1/12)</f>
        <v>0.05779913813902</v>
      </c>
      <c r="G601" s="39" t="n">
        <f aca="false">IF(C601&lt;Assumptions!$B$5,IF(D601=1,Assumptions!$B$16,IF(D601=2,Assumptions!$B$17,IF(D601&lt;=5,Assumptions!$B$18,Assumptions!$B$19)))*(1-Assumptions!$B$20),0)</f>
        <v>0</v>
      </c>
      <c r="H601" s="30" t="n">
        <f aca="false">1-(1-G601)^(1/12)</f>
        <v>0</v>
      </c>
      <c r="I601" s="30" t="n">
        <f aca="false">I600*(1-F600)*(1-H600)</f>
        <v>0.000169815690789951</v>
      </c>
      <c r="J601" s="30" t="n">
        <f aca="false">INDEX(Discount_Monthly!$G$4:$G$664,MATCH(A601,Discount_Monthly!$A$4:$A$664,0))</f>
        <v>0.208799022188526</v>
      </c>
      <c r="K601" s="30" t="n">
        <f aca="false">IF(C601&lt;Assumptions!$B$5,I601*J601,0)</f>
        <v>0</v>
      </c>
      <c r="L601" s="30" t="n">
        <f aca="false">IF(C601&lt;Assumptions!$B$5,I601*(1-F601)*H601*A601*J601,0)</f>
        <v>0</v>
      </c>
      <c r="M601" s="30" t="n">
        <f aca="false">IF(A601=0,Assumptions!$B$14*12*I601*J601,IF(AND(A601&gt;=12,C601&lt;Assumptions!$B$5),Assumptions!$B$15*I601*J601,0))</f>
        <v>0</v>
      </c>
      <c r="N601" s="47" t="n">
        <f aca="false">IF(C601&gt;=Assumptions!$B$5,I601*Assumptions!$B$9/12*(1+Assumptions!$B$10)^INT(A601/12)*J601,0)</f>
        <v>0.124753698446995</v>
      </c>
      <c r="O601" s="47" t="n">
        <f aca="false">I601*Assumptions!$B$12/12*(1+Assumptions!$B$11)^(INT(A601/12)+1)*J601</f>
        <v>0.000812471783419458</v>
      </c>
      <c r="P601" s="47" t="n">
        <f aca="false">O601+Pricing_M!$B$13*M601+N601-Pricing_M!$B$13*K601</f>
        <v>0.125566170230414</v>
      </c>
      <c r="Q601" s="47" t="n">
        <f aca="false">IF(C601&lt;Assumptions!$B$5,Pricing_M!$B$13*K601-Pricing_M!$B$13*M601-O601,-(N601+O601))</f>
        <v>-0.125566170230414</v>
      </c>
      <c r="R601" s="32" t="n">
        <f aca="false">R600*(1-(1-(1-MIN(1,E600*(1-Assumptions!$B$21)))^(1/12)))*(1-H600)</f>
        <v>0.00125031597285011</v>
      </c>
      <c r="S601" s="47" t="n">
        <f aca="false">R601*(IF(C601&lt;Assumptions!$B$5,Assumptions!$B$12*(1+Assumptions!$B$11)^(INT(A601/12)+1)/12+Pricing_M!$B$13*IF(A601=0,Assumptions!$B$14*12,IF(A601&gt;=12,Assumptions!$B$15,0))-Pricing_M!$B$13,Assumptions!$B$9/12*(1+Assumptions!$B$10)^INT(A601/12)+Assumptions!$B$12*(1+Assumptions!$B$11)^(INT(A601/12)+1)/12))*J601</f>
        <v>0.924516383370582</v>
      </c>
      <c r="T601" s="32" t="n">
        <f aca="false">T600*(1-F600)*(1-(1-(1-MIN(1,G600*(1+Assumptions!$B$23)))^(1/12)))</f>
        <v>0.000153832443109813</v>
      </c>
      <c r="U601" s="47" t="n">
        <f aca="false">T601*(IF(C601&lt;Assumptions!$B$5,Assumptions!$B$12*(1+Assumptions!$B$11)^(INT(A601/12)+1)/12+Pricing_M!$B$13*IF(A601=0,Assumptions!$B$14*12,IF(A601&gt;=12,Assumptions!$B$15,0))-Pricing_M!$B$13,Assumptions!$B$9/12*(1+Assumptions!$B$10)^INT(A601/12)+Assumptions!$B$12*(1+Assumptions!$B$11)^(INT(A601/12)+1)/12))*J601</f>
        <v>0.11374773820153</v>
      </c>
      <c r="V601" s="32" t="n">
        <f aca="false">V600*(1-F600)*(1-(1-(1-MIN(1,G600*(1-Assumptions!$B$23)))^(1/12)))</f>
        <v>0.000187287607067333</v>
      </c>
      <c r="W601" s="47" t="n">
        <f aca="false">V601*(IF(C601&lt;Assumptions!$B$5,Assumptions!$B$12*(1+Assumptions!$B$11)^(INT(A601/12)+1)/12+Pricing_M!$B$13*IF(A601=0,Assumptions!$B$14*12,IF(A601&gt;=12,Assumptions!$B$15,0))-Pricing_M!$B$13,Assumptions!$B$9/12*(1+Assumptions!$B$10)^INT(A601/12)+Assumptions!$B$12*(1+Assumptions!$B$11)^(INT(A601/12)+1)/12))*J601</f>
        <v>0.138485362816987</v>
      </c>
      <c r="X601" s="47" t="n">
        <f aca="false">I601*(IF(C601&lt;Assumptions!$B$5,Assumptions!$B$12*(1+Assumptions!$B$11)*(1+Assumptions!$B$24)*(1+Assumptions!$B$11+Assumptions!$B$25)^(INT(A601/12))/12+Pricing_M!$B$13*IF(A601=0,Assumptions!$B$14*12,IF(A601&gt;=12,Assumptions!$B$15,0))-Pricing_M!$B$13,Assumptions!$B$9/12*(1+Assumptions!$B$10)^INT(A601/12)+Assumptions!$B$12*(1+Assumptions!$B$11)*(1+Assumptions!$B$24)*(1+Assumptions!$B$11+Assumptions!$B$25)^(INT(A601/12))/12))*J601</f>
        <v>0.126191863422733</v>
      </c>
    </row>
    <row r="602" customFormat="false" ht="15" hidden="false" customHeight="true" outlineLevel="0" collapsed="false">
      <c r="A602" s="1" t="n">
        <v>595</v>
      </c>
      <c r="B602" s="31" t="n">
        <f aca="false">Assumptions!$B$4+A602/12</f>
        <v>114.583333333333</v>
      </c>
      <c r="C602" s="34" t="n">
        <f aca="false">Assumptions!$B$4+INT(A602/12)</f>
        <v>114</v>
      </c>
      <c r="D602" s="34" t="n">
        <f aca="false">INT(A602/12)+1</f>
        <v>50</v>
      </c>
      <c r="E602" s="32" t="n">
        <f aca="false">IFERROR(INDEX(Cohort_Survival!$G$5:$G$65,MATCH(C602,Cohort_Survival!$A$5:$A$65,0)),1)</f>
        <v>0.510534635206023</v>
      </c>
      <c r="F602" s="30" t="n">
        <f aca="false">1-(1-MIN(1,E602))^(1/12)</f>
        <v>0.05779913813902</v>
      </c>
      <c r="G602" s="39" t="n">
        <f aca="false">IF(C602&lt;Assumptions!$B$5,IF(D602=1,Assumptions!$B$16,IF(D602=2,Assumptions!$B$17,IF(D602&lt;=5,Assumptions!$B$18,Assumptions!$B$19)))*(1-Assumptions!$B$20),0)</f>
        <v>0</v>
      </c>
      <c r="H602" s="30" t="n">
        <f aca="false">1-(1-G602)^(1/12)</f>
        <v>0</v>
      </c>
      <c r="I602" s="30" t="n">
        <f aca="false">I601*(1-F601)*(1-H601)</f>
        <v>0.00016000049021981</v>
      </c>
      <c r="J602" s="30" t="n">
        <f aca="false">INDEX(Discount_Monthly!$G$4:$G$664,MATCH(A602,Discount_Monthly!$A$4:$A$664,0))</f>
        <v>0.208232499668195</v>
      </c>
      <c r="K602" s="30" t="n">
        <f aca="false">IF(C602&lt;Assumptions!$B$5,I602*J602,0)</f>
        <v>0</v>
      </c>
      <c r="L602" s="30" t="n">
        <f aca="false">IF(C602&lt;Assumptions!$B$5,I602*(1-F602)*H602*A602*J602,0)</f>
        <v>0</v>
      </c>
      <c r="M602" s="30" t="n">
        <f aca="false">IF(A602=0,Assumptions!$B$14*12*I602*J602,IF(AND(A602&gt;=12,C602&lt;Assumptions!$B$5),Assumptions!$B$15*I602*J602,0))</f>
        <v>0</v>
      </c>
      <c r="N602" s="47" t="n">
        <f aca="false">IF(C602&gt;=Assumptions!$B$5,I602*Assumptions!$B$9/12*(1+Assumptions!$B$10)^INT(A602/12)*J602,0)</f>
        <v>0.117224119340976</v>
      </c>
      <c r="O602" s="47" t="n">
        <f aca="false">I602*Assumptions!$B$12/12*(1+Assumptions!$B$11)^(INT(A602/12)+1)*J602</f>
        <v>0.00076343459541766</v>
      </c>
      <c r="P602" s="47" t="n">
        <f aca="false">O602+Pricing_M!$B$13*M602+N602-Pricing_M!$B$13*K602</f>
        <v>0.117987553936394</v>
      </c>
      <c r="Q602" s="47" t="n">
        <f aca="false">IF(C602&lt;Assumptions!$B$5,Pricing_M!$B$13*K602-Pricing_M!$B$13*M602-O602,-(N602+O602))</f>
        <v>-0.117987553936394</v>
      </c>
      <c r="R602" s="32" t="n">
        <f aca="false">R601*(1-(1-(1-MIN(1,E601*(1-Assumptions!$B$21)))^(1/12)))*(1-H601)</f>
        <v>0.0011967968332452</v>
      </c>
      <c r="S602" s="47" t="n">
        <f aca="false">R602*(IF(C602&lt;Assumptions!$B$5,Assumptions!$B$12*(1+Assumptions!$B$11)^(INT(A602/12)+1)/12+Pricing_M!$B$13*IF(A602=0,Assumptions!$B$14*12,IF(A602&gt;=12,Assumptions!$B$15,0))-Pricing_M!$B$13,Assumptions!$B$9/12*(1+Assumptions!$B$10)^INT(A602/12)+Assumptions!$B$12*(1+Assumptions!$B$11)^(INT(A602/12)+1)/12))*J602</f>
        <v>0.882541864211989</v>
      </c>
      <c r="T602" s="32" t="n">
        <f aca="false">T601*(1-F601)*(1-(1-(1-MIN(1,G601*(1+Assumptions!$B$23)))^(1/12)))</f>
        <v>0.000144941060480246</v>
      </c>
      <c r="U602" s="47" t="n">
        <f aca="false">T602*(IF(C602&lt;Assumptions!$B$5,Assumptions!$B$12*(1+Assumptions!$B$11)^(INT(A602/12)+1)/12+Pricing_M!$B$13*IF(A602=0,Assumptions!$B$14*12,IF(A602&gt;=12,Assumptions!$B$15,0))-Pricing_M!$B$13,Assumptions!$B$9/12*(1+Assumptions!$B$10)^INT(A602/12)+Assumptions!$B$12*(1+Assumptions!$B$11)^(INT(A602/12)+1)/12))*J602</f>
        <v>0.106882429969542</v>
      </c>
      <c r="V602" s="32" t="n">
        <f aca="false">V601*(1-F601)*(1-(1-(1-MIN(1,G601*(1-Assumptions!$B$23)))^(1/12)))</f>
        <v>0.000176462544794722</v>
      </c>
      <c r="W602" s="47" t="n">
        <f aca="false">V602*(IF(C602&lt;Assumptions!$B$5,Assumptions!$B$12*(1+Assumptions!$B$11)^(INT(A602/12)+1)/12+Pricing_M!$B$13*IF(A602=0,Assumptions!$B$14*12,IF(A602&gt;=12,Assumptions!$B$15,0))-Pricing_M!$B$13,Assumptions!$B$9/12*(1+Assumptions!$B$10)^INT(A602/12)+Assumptions!$B$12*(1+Assumptions!$B$11)^(INT(A602/12)+1)/12))*J602</f>
        <v>0.130127001443041</v>
      </c>
      <c r="X602" s="47" t="n">
        <f aca="false">I602*(IF(C602&lt;Assumptions!$B$5,Assumptions!$B$12*(1+Assumptions!$B$11)*(1+Assumptions!$B$24)*(1+Assumptions!$B$11+Assumptions!$B$25)^(INT(A602/12))/12+Pricing_M!$B$13*IF(A602=0,Assumptions!$B$14*12,IF(A602&gt;=12,Assumptions!$B$15,0))-Pricing_M!$B$13,Assumptions!$B$9/12*(1+Assumptions!$B$10)^INT(A602/12)+Assumptions!$B$12*(1+Assumptions!$B$11)*(1+Assumptions!$B$24)*(1+Assumptions!$B$11+Assumptions!$B$25)^(INT(A602/12))/12))*J602</f>
        <v>0.118575483066835</v>
      </c>
    </row>
    <row r="603" customFormat="false" ht="15" hidden="false" customHeight="true" outlineLevel="0" collapsed="false">
      <c r="A603" s="1" t="n">
        <v>596</v>
      </c>
      <c r="B603" s="31" t="n">
        <f aca="false">Assumptions!$B$4+A603/12</f>
        <v>114.666666666667</v>
      </c>
      <c r="C603" s="34" t="n">
        <f aca="false">Assumptions!$B$4+INT(A603/12)</f>
        <v>114</v>
      </c>
      <c r="D603" s="34" t="n">
        <f aca="false">INT(A603/12)+1</f>
        <v>50</v>
      </c>
      <c r="E603" s="32" t="n">
        <f aca="false">IFERROR(INDEX(Cohort_Survival!$G$5:$G$65,MATCH(C603,Cohort_Survival!$A$5:$A$65,0)),1)</f>
        <v>0.510534635206023</v>
      </c>
      <c r="F603" s="30" t="n">
        <f aca="false">1-(1-MIN(1,E603))^(1/12)</f>
        <v>0.05779913813902</v>
      </c>
      <c r="G603" s="39" t="n">
        <f aca="false">IF(C603&lt;Assumptions!$B$5,IF(D603=1,Assumptions!$B$16,IF(D603=2,Assumptions!$B$17,IF(D603&lt;=5,Assumptions!$B$18,Assumptions!$B$19)))*(1-Assumptions!$B$20),0)</f>
        <v>0</v>
      </c>
      <c r="H603" s="30" t="n">
        <f aca="false">1-(1-G603)^(1/12)</f>
        <v>0</v>
      </c>
      <c r="I603" s="30" t="n">
        <f aca="false">I602*(1-F602)*(1-H602)</f>
        <v>0.000150752599783284</v>
      </c>
      <c r="J603" s="30" t="n">
        <f aca="false">INDEX(Discount_Monthly!$G$4:$G$664,MATCH(A603,Discount_Monthly!$A$4:$A$664,0))</f>
        <v>0.207667514261221</v>
      </c>
      <c r="K603" s="30" t="n">
        <f aca="false">IF(C603&lt;Assumptions!$B$5,I603*J603,0)</f>
        <v>0</v>
      </c>
      <c r="L603" s="30" t="n">
        <f aca="false">IF(C603&lt;Assumptions!$B$5,I603*(1-F603)*H603*A603*J603,0)</f>
        <v>0</v>
      </c>
      <c r="M603" s="30" t="n">
        <f aca="false">IF(A603=0,Assumptions!$B$14*12*I603*J603,IF(AND(A603&gt;=12,C603&lt;Assumptions!$B$5),Assumptions!$B$15*I603*J603,0))</f>
        <v>0</v>
      </c>
      <c r="N603" s="47" t="n">
        <f aca="false">IF(C603&gt;=Assumptions!$B$5,I603*Assumptions!$B$9/12*(1+Assumptions!$B$10)^INT(A603/12)*J603,0)</f>
        <v>0.110148992184836</v>
      </c>
      <c r="O603" s="47" t="n">
        <f aca="false">I603*Assumptions!$B$12/12*(1+Assumptions!$B$11)^(INT(A603/12)+1)*J603</f>
        <v>0.000717357074269773</v>
      </c>
      <c r="P603" s="47" t="n">
        <f aca="false">O603+Pricing_M!$B$13*M603+N603-Pricing_M!$B$13*K603</f>
        <v>0.110866349259106</v>
      </c>
      <c r="Q603" s="47" t="n">
        <f aca="false">IF(C603&lt;Assumptions!$B$5,Pricing_M!$B$13*K603-Pricing_M!$B$13*M603-O603,-(N603+O603))</f>
        <v>-0.110866349259106</v>
      </c>
      <c r="R603" s="32" t="n">
        <f aca="false">R602*(1-(1-(1-MIN(1,E602*(1-Assumptions!$B$21)))^(1/12)))*(1-H602)</f>
        <v>0.00114556855320399</v>
      </c>
      <c r="S603" s="47" t="n">
        <f aca="false">R603*(IF(C603&lt;Assumptions!$B$5,Assumptions!$B$12*(1+Assumptions!$B$11)^(INT(A603/12)+1)/12+Pricing_M!$B$13*IF(A603=0,Assumptions!$B$14*12,IF(A603&gt;=12,Assumptions!$B$15,0))-Pricing_M!$B$13,Assumptions!$B$9/12*(1+Assumptions!$B$10)^INT(A603/12)+Assumptions!$B$12*(1+Assumptions!$B$11)^(INT(A603/12)+1)/12))*J603</f>
        <v>0.842473055206602</v>
      </c>
      <c r="T603" s="32" t="n">
        <f aca="false">T602*(1-F602)*(1-(1-(1-MIN(1,G602*(1+Assumptions!$B$23)))^(1/12)))</f>
        <v>0.000136563592103532</v>
      </c>
      <c r="U603" s="47" t="n">
        <f aca="false">T603*(IF(C603&lt;Assumptions!$B$5,Assumptions!$B$12*(1+Assumptions!$B$11)^(INT(A603/12)+1)/12+Pricing_M!$B$13*IF(A603=0,Assumptions!$B$14*12,IF(A603&gt;=12,Assumptions!$B$15,0))-Pricing_M!$B$13,Assumptions!$B$9/12*(1+Assumptions!$B$10)^INT(A603/12)+Assumptions!$B$12*(1+Assumptions!$B$11)^(INT(A603/12)+1)/12))*J603</f>
        <v>0.100431481248041</v>
      </c>
      <c r="V603" s="32" t="n">
        <f aca="false">V602*(1-F602)*(1-(1-(1-MIN(1,G602*(1-Assumptions!$B$23)))^(1/12)))</f>
        <v>0.000166263161791769</v>
      </c>
      <c r="W603" s="47" t="n">
        <f aca="false">V603*(IF(C603&lt;Assumptions!$B$5,Assumptions!$B$12*(1+Assumptions!$B$11)^(INT(A603/12)+1)/12+Pricing_M!$B$13*IF(A603=0,Assumptions!$B$14*12,IF(A603&gt;=12,Assumptions!$B$15,0))-Pricing_M!$B$13,Assumptions!$B$9/12*(1+Assumptions!$B$10)^INT(A603/12)+Assumptions!$B$12*(1+Assumptions!$B$11)^(INT(A603/12)+1)/12))*J603</f>
        <v>0.122273113635373</v>
      </c>
      <c r="X603" s="47" t="n">
        <f aca="false">I603*(IF(C603&lt;Assumptions!$B$5,Assumptions!$B$12*(1+Assumptions!$B$11)*(1+Assumptions!$B$24)*(1+Assumptions!$B$11+Assumptions!$B$25)^(INT(A603/12))/12+Pricing_M!$B$13*IF(A603=0,Assumptions!$B$14*12,IF(A603&gt;=12,Assumptions!$B$15,0))-Pricing_M!$B$13,Assumptions!$B$9/12*(1+Assumptions!$B$10)^INT(A603/12)+Assumptions!$B$12*(1+Assumptions!$B$11)*(1+Assumptions!$B$24)*(1+Assumptions!$B$11+Assumptions!$B$25)^(INT(A603/12))/12))*J603</f>
        <v>0.111418793598703</v>
      </c>
    </row>
    <row r="604" customFormat="false" ht="15" hidden="false" customHeight="true" outlineLevel="0" collapsed="false">
      <c r="A604" s="1" t="n">
        <v>597</v>
      </c>
      <c r="B604" s="31" t="n">
        <f aca="false">Assumptions!$B$4+A604/12</f>
        <v>114.75</v>
      </c>
      <c r="C604" s="34" t="n">
        <f aca="false">Assumptions!$B$4+INT(A604/12)</f>
        <v>114</v>
      </c>
      <c r="D604" s="34" t="n">
        <f aca="false">INT(A604/12)+1</f>
        <v>50</v>
      </c>
      <c r="E604" s="32" t="n">
        <f aca="false">IFERROR(INDEX(Cohort_Survival!$G$5:$G$65,MATCH(C604,Cohort_Survival!$A$5:$A$65,0)),1)</f>
        <v>0.510534635206023</v>
      </c>
      <c r="F604" s="30" t="n">
        <f aca="false">1-(1-MIN(1,E604))^(1/12)</f>
        <v>0.05779913813902</v>
      </c>
      <c r="G604" s="39" t="n">
        <f aca="false">IF(C604&lt;Assumptions!$B$5,IF(D604=1,Assumptions!$B$16,IF(D604=2,Assumptions!$B$17,IF(D604&lt;=5,Assumptions!$B$18,Assumptions!$B$19)))*(1-Assumptions!$B$20),0)</f>
        <v>0</v>
      </c>
      <c r="H604" s="30" t="n">
        <f aca="false">1-(1-G604)^(1/12)</f>
        <v>0</v>
      </c>
      <c r="I604" s="30" t="n">
        <f aca="false">I603*(1-F603)*(1-H603)</f>
        <v>0.000142039229443594</v>
      </c>
      <c r="J604" s="30" t="n">
        <f aca="false">INDEX(Discount_Monthly!$G$4:$G$664,MATCH(A604,Discount_Monthly!$A$4:$A$664,0))</f>
        <v>0.207104061797042</v>
      </c>
      <c r="K604" s="30" t="n">
        <f aca="false">IF(C604&lt;Assumptions!$B$5,I604*J604,0)</f>
        <v>0</v>
      </c>
      <c r="L604" s="30" t="n">
        <f aca="false">IF(C604&lt;Assumptions!$B$5,I604*(1-F604)*H604*A604*J604,0)</f>
        <v>0</v>
      </c>
      <c r="M604" s="30" t="n">
        <f aca="false">IF(A604=0,Assumptions!$B$14*12*I604*J604,IF(AND(A604&gt;=12,C604&lt;Assumptions!$B$5),Assumptions!$B$15*I604*J604,0))</f>
        <v>0</v>
      </c>
      <c r="N604" s="47" t="n">
        <f aca="false">IF(C604&gt;=Assumptions!$B$5,I604*Assumptions!$B$9/12*(1+Assumptions!$B$10)^INT(A604/12)*J604,0)</f>
        <v>0.103500888277469</v>
      </c>
      <c r="O604" s="47" t="n">
        <f aca="false">I604*Assumptions!$B$12/12*(1+Assumptions!$B$11)^(INT(A604/12)+1)*J604</f>
        <v>0.000674060587630771</v>
      </c>
      <c r="P604" s="47" t="n">
        <f aca="false">O604+Pricing_M!$B$13*M604+N604-Pricing_M!$B$13*K604</f>
        <v>0.1041749488651</v>
      </c>
      <c r="Q604" s="47" t="n">
        <f aca="false">IF(C604&lt;Assumptions!$B$5,Pricing_M!$B$13*K604-Pricing_M!$B$13*M604-O604,-(N604+O604))</f>
        <v>-0.1041749488651</v>
      </c>
      <c r="R604" s="32" t="n">
        <f aca="false">R603*(1-(1-(1-MIN(1,E603*(1-Assumptions!$B$21)))^(1/12)))*(1-H603)</f>
        <v>0.00109653307364743</v>
      </c>
      <c r="S604" s="47" t="n">
        <f aca="false">R604*(IF(C604&lt;Assumptions!$B$5,Assumptions!$B$12*(1+Assumptions!$B$11)^(INT(A604/12)+1)/12+Pricing_M!$B$13*IF(A604=0,Assumptions!$B$14*12,IF(A604&gt;=12,Assumptions!$B$15,0))-Pricing_M!$B$13,Assumptions!$B$9/12*(1+Assumptions!$B$10)^INT(A604/12)+Assumptions!$B$12*(1+Assumptions!$B$11)^(INT(A604/12)+1)/12))*J604</f>
        <v>0.804223434072313</v>
      </c>
      <c r="T604" s="32" t="n">
        <f aca="false">T603*(1-F603)*(1-(1-(1-MIN(1,G603*(1+Assumptions!$B$23)))^(1/12)))</f>
        <v>0.00012867033417878</v>
      </c>
      <c r="U604" s="47" t="n">
        <f aca="false">T604*(IF(C604&lt;Assumptions!$B$5,Assumptions!$B$12*(1+Assumptions!$B$11)^(INT(A604/12)+1)/12+Pricing_M!$B$13*IF(A604=0,Assumptions!$B$14*12,IF(A604&gt;=12,Assumptions!$B$15,0))-Pricing_M!$B$13,Assumptions!$B$9/12*(1+Assumptions!$B$10)^INT(A604/12)+Assumptions!$B$12*(1+Assumptions!$B$11)^(INT(A604/12)+1)/12))*J604</f>
        <v>0.09436988313748</v>
      </c>
      <c r="V604" s="32" t="n">
        <f aca="false">V603*(1-F603)*(1-(1-(1-MIN(1,G603*(1-Assumptions!$B$23)))^(1/12)))</f>
        <v>0.000156653294335936</v>
      </c>
      <c r="W604" s="47" t="n">
        <f aca="false">V604*(IF(C604&lt;Assumptions!$B$5,Assumptions!$B$12*(1+Assumptions!$B$11)^(INT(A604/12)+1)/12+Pricing_M!$B$13*IF(A604=0,Assumptions!$B$14*12,IF(A604&gt;=12,Assumptions!$B$15,0))-Pricing_M!$B$13,Assumptions!$B$9/12*(1+Assumptions!$B$10)^INT(A604/12)+Assumptions!$B$12*(1+Assumptions!$B$11)^(INT(A604/12)+1)/12))*J604</f>
        <v>0.114893251610297</v>
      </c>
      <c r="X604" s="47" t="n">
        <f aca="false">I604*(IF(C604&lt;Assumptions!$B$5,Assumptions!$B$12*(1+Assumptions!$B$11)*(1+Assumptions!$B$24)*(1+Assumptions!$B$11+Assumptions!$B$25)^(INT(A604/12))/12+Pricing_M!$B$13*IF(A604=0,Assumptions!$B$14*12,IF(A604&gt;=12,Assumptions!$B$15,0))-Pricing_M!$B$13,Assumptions!$B$9/12*(1+Assumptions!$B$10)^INT(A604/12)+Assumptions!$B$12*(1+Assumptions!$B$11)*(1+Assumptions!$B$24)*(1+Assumptions!$B$11+Assumptions!$B$25)^(INT(A604/12))/12))*J604</f>
        <v>0.104694050118212</v>
      </c>
    </row>
    <row r="605" customFormat="false" ht="15" hidden="false" customHeight="true" outlineLevel="0" collapsed="false">
      <c r="A605" s="1" t="n">
        <v>598</v>
      </c>
      <c r="B605" s="31" t="n">
        <f aca="false">Assumptions!$B$4+A605/12</f>
        <v>114.833333333333</v>
      </c>
      <c r="C605" s="34" t="n">
        <f aca="false">Assumptions!$B$4+INT(A605/12)</f>
        <v>114</v>
      </c>
      <c r="D605" s="34" t="n">
        <f aca="false">INT(A605/12)+1</f>
        <v>50</v>
      </c>
      <c r="E605" s="32" t="n">
        <f aca="false">IFERROR(INDEX(Cohort_Survival!$G$5:$G$65,MATCH(C605,Cohort_Survival!$A$5:$A$65,0)),1)</f>
        <v>0.510534635206023</v>
      </c>
      <c r="F605" s="30" t="n">
        <f aca="false">1-(1-MIN(1,E605))^(1/12)</f>
        <v>0.05779913813902</v>
      </c>
      <c r="G605" s="39" t="n">
        <f aca="false">IF(C605&lt;Assumptions!$B$5,IF(D605=1,Assumptions!$B$16,IF(D605=2,Assumptions!$B$17,IF(D605&lt;=5,Assumptions!$B$18,Assumptions!$B$19)))*(1-Assumptions!$B$20),0)</f>
        <v>0</v>
      </c>
      <c r="H605" s="30" t="n">
        <f aca="false">1-(1-G605)^(1/12)</f>
        <v>0</v>
      </c>
      <c r="I605" s="30" t="n">
        <f aca="false">I604*(1-F604)*(1-H604)</f>
        <v>0.000133829484399823</v>
      </c>
      <c r="J605" s="30" t="n">
        <f aca="false">INDEX(Discount_Monthly!$G$4:$G$664,MATCH(A605,Discount_Monthly!$A$4:$A$664,0))</f>
        <v>0.206542138116412</v>
      </c>
      <c r="K605" s="30" t="n">
        <f aca="false">IF(C605&lt;Assumptions!$B$5,I605*J605,0)</f>
        <v>0</v>
      </c>
      <c r="L605" s="30" t="n">
        <f aca="false">IF(C605&lt;Assumptions!$B$5,I605*(1-F605)*H605*A605*J605,0)</f>
        <v>0</v>
      </c>
      <c r="M605" s="30" t="n">
        <f aca="false">IF(A605=0,Assumptions!$B$14*12*I605*J605,IF(AND(A605&gt;=12,C605&lt;Assumptions!$B$5),Assumptions!$B$15*I605*J605,0))</f>
        <v>0</v>
      </c>
      <c r="N605" s="47" t="n">
        <f aca="false">IF(C605&gt;=Assumptions!$B$5,I605*Assumptions!$B$9/12*(1+Assumptions!$B$10)^INT(A605/12)*J605,0)</f>
        <v>0.0972540343923354</v>
      </c>
      <c r="O605" s="47" t="n">
        <f aca="false">I605*Assumptions!$B$12/12*(1+Assumptions!$B$11)^(INT(A605/12)+1)*J605</f>
        <v>0.000633377284610527</v>
      </c>
      <c r="P605" s="47" t="n">
        <f aca="false">O605+Pricing_M!$B$13*M605+N605-Pricing_M!$B$13*K605</f>
        <v>0.0978874116769459</v>
      </c>
      <c r="Q605" s="47" t="n">
        <f aca="false">IF(C605&lt;Assumptions!$B$5,Pricing_M!$B$13*K605-Pricing_M!$B$13*M605-O605,-(N605+O605))</f>
        <v>-0.0978874116769459</v>
      </c>
      <c r="R605" s="32" t="n">
        <f aca="false">R604*(1-(1-(1-MIN(1,E604*(1-Assumptions!$B$21)))^(1/12)))*(1-H604)</f>
        <v>0.00104959653286553</v>
      </c>
      <c r="S605" s="47" t="n">
        <f aca="false">R605*(IF(C605&lt;Assumptions!$B$5,Assumptions!$B$12*(1+Assumptions!$B$11)^(INT(A605/12)+1)/12+Pricing_M!$B$13*IF(A605=0,Assumptions!$B$14*12,IF(A605&gt;=12,Assumptions!$B$15,0))-Pricing_M!$B$13,Assumptions!$B$9/12*(1+Assumptions!$B$10)^INT(A605/12)+Assumptions!$B$12*(1+Assumptions!$B$11)^(INT(A605/12)+1)/12))*J605</f>
        <v>0.767710406776693</v>
      </c>
      <c r="T605" s="32" t="n">
        <f aca="false">T604*(1-F604)*(1-(1-(1-MIN(1,G604*(1+Assumptions!$B$23)))^(1/12)))</f>
        <v>0.000121233299759186</v>
      </c>
      <c r="U605" s="47" t="n">
        <f aca="false">T605*(IF(C605&lt;Assumptions!$B$5,Assumptions!$B$12*(1+Assumptions!$B$11)^(INT(A605/12)+1)/12+Pricing_M!$B$13*IF(A605=0,Assumptions!$B$14*12,IF(A605&gt;=12,Assumptions!$B$15,0))-Pricing_M!$B$13,Assumptions!$B$9/12*(1+Assumptions!$B$10)^INT(A605/12)+Assumptions!$B$12*(1+Assumptions!$B$11)^(INT(A605/12)+1)/12))*J605</f>
        <v>0.088674136164405</v>
      </c>
      <c r="V605" s="32" t="n">
        <f aca="false">V604*(1-F604)*(1-(1-(1-MIN(1,G604*(1-Assumptions!$B$23)))^(1/12)))</f>
        <v>0.000147598868936681</v>
      </c>
      <c r="W605" s="47" t="n">
        <f aca="false">V605*(IF(C605&lt;Assumptions!$B$5,Assumptions!$B$12*(1+Assumptions!$B$11)^(INT(A605/12)+1)/12+Pricing_M!$B$13*IF(A605=0,Assumptions!$B$14*12,IF(A605&gt;=12,Assumptions!$B$15,0))-Pricing_M!$B$13,Assumptions!$B$9/12*(1+Assumptions!$B$10)^INT(A605/12)+Assumptions!$B$12*(1+Assumptions!$B$11)^(INT(A605/12)+1)/12))*J605</f>
        <v>0.107958805277109</v>
      </c>
      <c r="X605" s="47" t="n">
        <f aca="false">I605*(IF(C605&lt;Assumptions!$B$5,Assumptions!$B$12*(1+Assumptions!$B$11)*(1+Assumptions!$B$24)*(1+Assumptions!$B$11+Assumptions!$B$25)^(INT(A605/12))/12+Pricing_M!$B$13*IF(A605=0,Assumptions!$B$14*12,IF(A605&gt;=12,Assumptions!$B$15,0))-Pricing_M!$B$13,Assumptions!$B$9/12*(1+Assumptions!$B$10)^INT(A605/12)+Assumptions!$B$12*(1+Assumptions!$B$11)*(1+Assumptions!$B$24)*(1+Assumptions!$B$11+Assumptions!$B$25)^(INT(A605/12))/12))*J605</f>
        <v>0.0983751822841694</v>
      </c>
    </row>
    <row r="606" customFormat="false" ht="15" hidden="false" customHeight="true" outlineLevel="0" collapsed="false">
      <c r="A606" s="1" t="n">
        <v>599</v>
      </c>
      <c r="B606" s="31" t="n">
        <f aca="false">Assumptions!$B$4+A606/12</f>
        <v>114.916666666667</v>
      </c>
      <c r="C606" s="34" t="n">
        <f aca="false">Assumptions!$B$4+INT(A606/12)</f>
        <v>114</v>
      </c>
      <c r="D606" s="34" t="n">
        <f aca="false">INT(A606/12)+1</f>
        <v>50</v>
      </c>
      <c r="E606" s="32" t="n">
        <f aca="false">IFERROR(INDEX(Cohort_Survival!$G$5:$G$65,MATCH(C606,Cohort_Survival!$A$5:$A$65,0)),1)</f>
        <v>0.510534635206023</v>
      </c>
      <c r="F606" s="30" t="n">
        <f aca="false">1-(1-MIN(1,E606))^(1/12)</f>
        <v>0.05779913813902</v>
      </c>
      <c r="G606" s="39" t="n">
        <f aca="false">IF(C606&lt;Assumptions!$B$5,IF(D606=1,Assumptions!$B$16,IF(D606=2,Assumptions!$B$17,IF(D606&lt;=5,Assumptions!$B$18,Assumptions!$B$19)))*(1-Assumptions!$B$20),0)</f>
        <v>0</v>
      </c>
      <c r="H606" s="30" t="n">
        <f aca="false">1-(1-G606)^(1/12)</f>
        <v>0</v>
      </c>
      <c r="I606" s="30" t="n">
        <f aca="false">I605*(1-F605)*(1-H605)</f>
        <v>0.000126094255543924</v>
      </c>
      <c r="J606" s="30" t="n">
        <f aca="false">INDEX(Discount_Monthly!$G$4:$G$664,MATCH(A606,Discount_Monthly!$A$4:$A$664,0))</f>
        <v>0.205981739071369</v>
      </c>
      <c r="K606" s="30" t="n">
        <f aca="false">IF(C606&lt;Assumptions!$B$5,I606*J606,0)</f>
        <v>0</v>
      </c>
      <c r="L606" s="30" t="n">
        <f aca="false">IF(C606&lt;Assumptions!$B$5,I606*(1-F606)*H606*A606*J606,0)</f>
        <v>0</v>
      </c>
      <c r="M606" s="30" t="n">
        <f aca="false">IF(A606=0,Assumptions!$B$14*12*I606*J606,IF(AND(A606&gt;=12,C606&lt;Assumptions!$B$5),Assumptions!$B$15*I606*J606,0))</f>
        <v>0</v>
      </c>
      <c r="N606" s="47" t="n">
        <f aca="false">IF(C606&gt;=Assumptions!$B$5,I606*Assumptions!$B$9/12*(1+Assumptions!$B$10)^INT(A606/12)*J606,0)</f>
        <v>0.0913842128603695</v>
      </c>
      <c r="O606" s="47" t="n">
        <f aca="false">I606*Assumptions!$B$12/12*(1+Assumptions!$B$11)^(INT(A606/12)+1)*J606</f>
        <v>0.000595149445053077</v>
      </c>
      <c r="P606" s="47" t="n">
        <f aca="false">O606+Pricing_M!$B$13*M606+N606-Pricing_M!$B$13*K606</f>
        <v>0.0919793623054226</v>
      </c>
      <c r="Q606" s="47" t="n">
        <f aca="false">IF(C606&lt;Assumptions!$B$5,Pricing_M!$B$13*K606-Pricing_M!$B$13*M606-O606,-(N606+O606))</f>
        <v>-0.0919793623054226</v>
      </c>
      <c r="R606" s="32" t="n">
        <f aca="false">R605*(1-(1-(1-MIN(1,E605*(1-Assumptions!$B$21)))^(1/12)))*(1-H605)</f>
        <v>0.00100466908685106</v>
      </c>
      <c r="S606" s="47" t="n">
        <f aca="false">R606*(IF(C606&lt;Assumptions!$B$5,Assumptions!$B$12*(1+Assumptions!$B$11)^(INT(A606/12)+1)/12+Pricing_M!$B$13*IF(A606=0,Assumptions!$B$14*12,IF(A606&gt;=12,Assumptions!$B$15,0))-Pricing_M!$B$13,Assumptions!$B$9/12*(1+Assumptions!$B$10)^INT(A606/12)+Assumptions!$B$12*(1+Assumptions!$B$11)^(INT(A606/12)+1)/12))*J606</f>
        <v>0.732855129188191</v>
      </c>
      <c r="T606" s="32" t="n">
        <f aca="false">T605*(1-F605)*(1-(1-(1-MIN(1,G605*(1+Assumptions!$B$23)))^(1/12)))</f>
        <v>0.000114226119519356</v>
      </c>
      <c r="U606" s="47" t="n">
        <f aca="false">T606*(IF(C606&lt;Assumptions!$B$5,Assumptions!$B$12*(1+Assumptions!$B$11)^(INT(A606/12)+1)/12+Pricing_M!$B$13*IF(A606=0,Assumptions!$B$14*12,IF(A606&gt;=12,Assumptions!$B$15,0))-Pricing_M!$B$13,Assumptions!$B$9/12*(1+Assumptions!$B$10)^INT(A606/12)+Assumptions!$B$12*(1+Assumptions!$B$11)^(INT(A606/12)+1)/12))*J606</f>
        <v>0.0833221591791981</v>
      </c>
      <c r="V606" s="32" t="n">
        <f aca="false">V605*(1-F605)*(1-(1-(1-MIN(1,G605*(1-Assumptions!$B$23)))^(1/12)))</f>
        <v>0.000139067781521846</v>
      </c>
      <c r="W606" s="47" t="n">
        <f aca="false">V606*(IF(C606&lt;Assumptions!$B$5,Assumptions!$B$12*(1+Assumptions!$B$11)^(INT(A606/12)+1)/12+Pricing_M!$B$13*IF(A606=0,Assumptions!$B$14*12,IF(A606&gt;=12,Assumptions!$B$15,0))-Pricing_M!$B$13,Assumptions!$B$9/12*(1+Assumptions!$B$10)^INT(A606/12)+Assumptions!$B$12*(1+Assumptions!$B$11)^(INT(A606/12)+1)/12))*J606</f>
        <v>0.101442891323098</v>
      </c>
      <c r="X606" s="47" t="n">
        <f aca="false">I606*(IF(C606&lt;Assumptions!$B$5,Assumptions!$B$12*(1+Assumptions!$B$11)*(1+Assumptions!$B$24)*(1+Assumptions!$B$11+Assumptions!$B$25)^(INT(A606/12))/12+Pricing_M!$B$13*IF(A606=0,Assumptions!$B$14*12,IF(A606&gt;=12,Assumptions!$B$15,0))-Pricing_M!$B$13,Assumptions!$B$9/12*(1+Assumptions!$B$10)^INT(A606/12)+Assumptions!$B$12*(1+Assumptions!$B$11)*(1+Assumptions!$B$24)*(1+Assumptions!$B$11+Assumptions!$B$25)^(INT(A606/12))/12))*J606</f>
        <v>0.0924376932453785</v>
      </c>
    </row>
    <row r="607" customFormat="false" ht="15" hidden="false" customHeight="true" outlineLevel="0" collapsed="false">
      <c r="A607" s="1" t="n">
        <v>600</v>
      </c>
      <c r="B607" s="31" t="n">
        <f aca="false">Assumptions!$B$4+A607/12</f>
        <v>115</v>
      </c>
      <c r="C607" s="34" t="n">
        <f aca="false">Assumptions!$B$4+INT(A607/12)</f>
        <v>115</v>
      </c>
      <c r="D607" s="34" t="n">
        <f aca="false">INT(A607/12)+1</f>
        <v>51</v>
      </c>
      <c r="E607" s="32" t="n">
        <f aca="false">IFERROR(INDEX(Cohort_Survival!$G$5:$G$65,MATCH(C607,Cohort_Survival!$A$5:$A$65,0)),1)</f>
        <v>0.527579551916928</v>
      </c>
      <c r="F607" s="30" t="n">
        <f aca="false">1-(1-MIN(1,E607))^(1/12)</f>
        <v>0.0605780056797317</v>
      </c>
      <c r="G607" s="39" t="n">
        <f aca="false">IF(C607&lt;Assumptions!$B$5,IF(D607=1,Assumptions!$B$16,IF(D607=2,Assumptions!$B$17,IF(D607&lt;=5,Assumptions!$B$18,Assumptions!$B$19)))*(1-Assumptions!$B$20),0)</f>
        <v>0</v>
      </c>
      <c r="H607" s="30" t="n">
        <f aca="false">1-(1-G607)^(1/12)</f>
        <v>0</v>
      </c>
      <c r="I607" s="30" t="n">
        <f aca="false">I606*(1-F606)*(1-H606)</f>
        <v>0.000118806116249204</v>
      </c>
      <c r="J607" s="30" t="n">
        <f aca="false">INDEX(Discount_Monthly!$G$4:$G$664,MATCH(A607,Discount_Monthly!$A$4:$A$664,0))</f>
        <v>0.205422860525207</v>
      </c>
      <c r="K607" s="30" t="n">
        <f aca="false">IF(C607&lt;Assumptions!$B$5,I607*J607,0)</f>
        <v>0</v>
      </c>
      <c r="L607" s="30" t="n">
        <f aca="false">IF(C607&lt;Assumptions!$B$5,I607*(1-F607)*H607*A607*J607,0)</f>
        <v>0</v>
      </c>
      <c r="M607" s="30" t="n">
        <f aca="false">IF(A607=0,Assumptions!$B$14*12*I607*J607,IF(AND(A607&gt;=12,C607&lt;Assumptions!$B$5),Assumptions!$B$15*I607*J607,0))</f>
        <v>0</v>
      </c>
      <c r="N607" s="47" t="n">
        <f aca="false">IF(C607&gt;=Assumptions!$B$5,I607*Assumptions!$B$9/12*(1+Assumptions!$B$10)^INT(A607/12)*J607,0)</f>
        <v>0.0875860410371091</v>
      </c>
      <c r="O607" s="47" t="n">
        <f aca="false">I607*Assumptions!$B$12/12*(1+Assumptions!$B$11)^(INT(A607/12)+1)*J607</f>
        <v>0.000573209589792772</v>
      </c>
      <c r="P607" s="47" t="n">
        <f aca="false">O607+Pricing_M!$B$13*M607+N607-Pricing_M!$B$13*K607</f>
        <v>0.0881592506269019</v>
      </c>
      <c r="Q607" s="47" t="n">
        <f aca="false">IF(C607&lt;Assumptions!$B$5,Pricing_M!$B$13*K607-Pricing_M!$B$13*M607-O607,-(N607+O607))</f>
        <v>-0.0881592506269019</v>
      </c>
      <c r="R607" s="32" t="n">
        <f aca="false">R606*(1-(1-(1-MIN(1,E606*(1-Assumptions!$B$21)))^(1/12)))*(1-H606)</f>
        <v>0.000961664737323828</v>
      </c>
      <c r="S607" s="47" t="n">
        <f aca="false">R607*(IF(C607&lt;Assumptions!$B$5,Assumptions!$B$12*(1+Assumptions!$B$11)^(INT(A607/12)+1)/12+Pricing_M!$B$13*IF(A607=0,Assumptions!$B$14*12,IF(A607&gt;=12,Assumptions!$B$15,0))-Pricing_M!$B$13,Assumptions!$B$9/12*(1+Assumptions!$B$10)^INT(A607/12)+Assumptions!$B$12*(1+Assumptions!$B$11)^(INT(A607/12)+1)/12))*J607</f>
        <v>0.713596616683892</v>
      </c>
      <c r="T607" s="32" t="n">
        <f aca="false">T606*(1-F606)*(1-(1-(1-MIN(1,G606*(1+Assumptions!$B$23)))^(1/12)))</f>
        <v>0.000107623948258172</v>
      </c>
      <c r="U607" s="47" t="n">
        <f aca="false">T607*(IF(C607&lt;Assumptions!$B$5,Assumptions!$B$12*(1+Assumptions!$B$11)^(INT(A607/12)+1)/12+Pricing_M!$B$13*IF(A607=0,Assumptions!$B$14*12,IF(A607&gt;=12,Assumptions!$B$15,0))-Pricing_M!$B$13,Assumptions!$B$9/12*(1+Assumptions!$B$10)^INT(A607/12)+Assumptions!$B$12*(1+Assumptions!$B$11)^(INT(A607/12)+1)/12))*J607</f>
        <v>0.0798616007954263</v>
      </c>
      <c r="V607" s="32" t="n">
        <f aca="false">V606*(1-F606)*(1-(1-(1-MIN(1,G606*(1-Assumptions!$B$23)))^(1/12)))</f>
        <v>0.000131029783606978</v>
      </c>
      <c r="W607" s="47" t="n">
        <f aca="false">V607*(IF(C607&lt;Assumptions!$B$5,Assumptions!$B$12*(1+Assumptions!$B$11)^(INT(A607/12)+1)/12+Pricing_M!$B$13*IF(A607=0,Assumptions!$B$14*12,IF(A607&gt;=12,Assumptions!$B$15,0))-Pricing_M!$B$13,Assumptions!$B$9/12*(1+Assumptions!$B$10)^INT(A607/12)+Assumptions!$B$12*(1+Assumptions!$B$11)^(INT(A607/12)+1)/12))*J607</f>
        <v>0.0972297378054701</v>
      </c>
      <c r="X607" s="47" t="n">
        <f aca="false">I607*(IF(C607&lt;Assumptions!$B$5,Assumptions!$B$12*(1+Assumptions!$B$11)*(1+Assumptions!$B$24)*(1+Assumptions!$B$11+Assumptions!$B$25)^(INT(A607/12))/12+Pricing_M!$B$13*IF(A607=0,Assumptions!$B$14*12,IF(A607&gt;=12,Assumptions!$B$15,0))-Pricing_M!$B$13,Assumptions!$B$9/12*(1+Assumptions!$B$10)^INT(A607/12)+Assumptions!$B$12*(1+Assumptions!$B$11)*(1+Assumptions!$B$24)*(1+Assumptions!$B$11+Assumptions!$B$25)^(INT(A607/12))/12))*J607</f>
        <v>0.0886105844200304</v>
      </c>
    </row>
    <row r="608" customFormat="false" ht="15" hidden="false" customHeight="true" outlineLevel="0" collapsed="false">
      <c r="A608" s="1" t="n">
        <v>601</v>
      </c>
      <c r="B608" s="31" t="n">
        <f aca="false">Assumptions!$B$4+A608/12</f>
        <v>115.083333333333</v>
      </c>
      <c r="C608" s="34" t="n">
        <f aca="false">Assumptions!$B$4+INT(A608/12)</f>
        <v>115</v>
      </c>
      <c r="D608" s="34" t="n">
        <f aca="false">INT(A608/12)+1</f>
        <v>51</v>
      </c>
      <c r="E608" s="32" t="n">
        <f aca="false">IFERROR(INDEX(Cohort_Survival!$G$5:$G$65,MATCH(C608,Cohort_Survival!$A$5:$A$65,0)),1)</f>
        <v>0.527579551916928</v>
      </c>
      <c r="F608" s="30" t="n">
        <f aca="false">1-(1-MIN(1,E608))^(1/12)</f>
        <v>0.0605780056797317</v>
      </c>
      <c r="G608" s="39" t="n">
        <f aca="false">IF(C608&lt;Assumptions!$B$5,IF(D608=1,Assumptions!$B$16,IF(D608=2,Assumptions!$B$17,IF(D608&lt;=5,Assumptions!$B$18,Assumptions!$B$19)))*(1-Assumptions!$B$20),0)</f>
        <v>0</v>
      </c>
      <c r="H608" s="30" t="n">
        <f aca="false">1-(1-G608)^(1/12)</f>
        <v>0</v>
      </c>
      <c r="I608" s="30" t="n">
        <f aca="false">I607*(1-F607)*(1-H607)</f>
        <v>0.000111609078664273</v>
      </c>
      <c r="J608" s="30" t="n">
        <f aca="false">INDEX(Discount_Monthly!$G$4:$G$664,MATCH(A608,Discount_Monthly!$A$4:$A$664,0))</f>
        <v>0.204873272588225</v>
      </c>
      <c r="K608" s="30" t="n">
        <f aca="false">IF(C608&lt;Assumptions!$B$5,I608*J608,0)</f>
        <v>0</v>
      </c>
      <c r="L608" s="30" t="n">
        <f aca="false">IF(C608&lt;Assumptions!$B$5,I608*(1-F608)*H608*A608*J608,0)</f>
        <v>0</v>
      </c>
      <c r="M608" s="30" t="n">
        <f aca="false">IF(A608=0,Assumptions!$B$14*12*I608*J608,IF(AND(A608&gt;=12,C608&lt;Assumptions!$B$5),Assumptions!$B$15*I608*J608,0))</f>
        <v>0</v>
      </c>
      <c r="N608" s="47" t="n">
        <f aca="false">IF(C608&gt;=Assumptions!$B$5,I608*Assumptions!$B$9/12*(1+Assumptions!$B$10)^INT(A608/12)*J608,0)</f>
        <v>0.0820601209097315</v>
      </c>
      <c r="O608" s="47" t="n">
        <f aca="false">I608*Assumptions!$B$12/12*(1+Assumptions!$B$11)^(INT(A608/12)+1)*J608</f>
        <v>0.000537045032382308</v>
      </c>
      <c r="P608" s="47" t="n">
        <f aca="false">O608+Pricing_M!$B$13*M608+N608-Pricing_M!$B$13*K608</f>
        <v>0.0825971659421138</v>
      </c>
      <c r="Q608" s="47" t="n">
        <f aca="false">IF(C608&lt;Assumptions!$B$5,Pricing_M!$B$13*K608-Pricing_M!$B$13*M608-O608,-(N608+O608))</f>
        <v>-0.0825971659421138</v>
      </c>
      <c r="R608" s="32" t="n">
        <f aca="false">R607*(1-(1-(1-MIN(1,E607*(1-Assumptions!$B$21)))^(1/12)))*(1-H607)</f>
        <v>0.000918714053010906</v>
      </c>
      <c r="S608" s="47" t="n">
        <f aca="false">R608*(IF(C608&lt;Assumptions!$B$5,Assumptions!$B$12*(1+Assumptions!$B$11)^(INT(A608/12)+1)/12+Pricing_M!$B$13*IF(A608=0,Assumptions!$B$14*12,IF(A608&gt;=12,Assumptions!$B$15,0))-Pricing_M!$B$13,Assumptions!$B$9/12*(1+Assumptions!$B$10)^INT(A608/12)+Assumptions!$B$12*(1+Assumptions!$B$11)^(INT(A608/12)+1)/12))*J608</f>
        <v>0.679901473948683</v>
      </c>
      <c r="T608" s="32" t="n">
        <f aca="false">T607*(1-F607)*(1-(1-(1-MIN(1,G607*(1+Assumptions!$B$23)))^(1/12)))</f>
        <v>0.000101104304109314</v>
      </c>
      <c r="U608" s="47" t="n">
        <f aca="false">T608*(IF(C608&lt;Assumptions!$B$5,Assumptions!$B$12*(1+Assumptions!$B$11)^(INT(A608/12)+1)/12+Pricing_M!$B$13*IF(A608=0,Assumptions!$B$14*12,IF(A608&gt;=12,Assumptions!$B$15,0))-Pricing_M!$B$13,Assumptions!$B$9/12*(1+Assumptions!$B$10)^INT(A608/12)+Assumptions!$B$12*(1+Assumptions!$B$11)^(INT(A608/12)+1)/12))*J608</f>
        <v>0.0748230259036457</v>
      </c>
      <c r="V608" s="32" t="n">
        <f aca="false">V607*(1-F607)*(1-(1-(1-MIN(1,G607*(1-Assumptions!$B$23)))^(1/12)))</f>
        <v>0.000123092260631421</v>
      </c>
      <c r="W608" s="47" t="n">
        <f aca="false">V608*(IF(C608&lt;Assumptions!$B$5,Assumptions!$B$12*(1+Assumptions!$B$11)^(INT(A608/12)+1)/12+Pricing_M!$B$13*IF(A608=0,Assumptions!$B$14*12,IF(A608&gt;=12,Assumptions!$B$15,0))-Pricing_M!$B$13,Assumptions!$B$9/12*(1+Assumptions!$B$10)^INT(A608/12)+Assumptions!$B$12*(1+Assumptions!$B$11)^(INT(A608/12)+1)/12))*J608</f>
        <v>0.0910953839888469</v>
      </c>
      <c r="X608" s="47" t="n">
        <f aca="false">I608*(IF(C608&lt;Assumptions!$B$5,Assumptions!$B$12*(1+Assumptions!$B$11)*(1+Assumptions!$B$24)*(1+Assumptions!$B$11+Assumptions!$B$25)^(INT(A608/12))/12+Pricing_M!$B$13*IF(A608=0,Assumptions!$B$14*12,IF(A608&gt;=12,Assumptions!$B$15,0))-Pricing_M!$B$13,Assumptions!$B$9/12*(1+Assumptions!$B$10)^INT(A608/12)+Assumptions!$B$12*(1+Assumptions!$B$11)*(1+Assumptions!$B$24)*(1+Assumptions!$B$11+Assumptions!$B$25)^(INT(A608/12))/12))*J608</f>
        <v>0.083020024484368</v>
      </c>
    </row>
    <row r="609" customFormat="false" ht="15" hidden="false" customHeight="true" outlineLevel="0" collapsed="false">
      <c r="A609" s="1" t="n">
        <v>602</v>
      </c>
      <c r="B609" s="31" t="n">
        <f aca="false">Assumptions!$B$4+A609/12</f>
        <v>115.166666666667</v>
      </c>
      <c r="C609" s="34" t="n">
        <f aca="false">Assumptions!$B$4+INT(A609/12)</f>
        <v>115</v>
      </c>
      <c r="D609" s="34" t="n">
        <f aca="false">INT(A609/12)+1</f>
        <v>51</v>
      </c>
      <c r="E609" s="32" t="n">
        <f aca="false">IFERROR(INDEX(Cohort_Survival!$G$5:$G$65,MATCH(C609,Cohort_Survival!$A$5:$A$65,0)),1)</f>
        <v>0.527579551916928</v>
      </c>
      <c r="F609" s="30" t="n">
        <f aca="false">1-(1-MIN(1,E609))^(1/12)</f>
        <v>0.0605780056797317</v>
      </c>
      <c r="G609" s="39" t="n">
        <f aca="false">IF(C609&lt;Assumptions!$B$5,IF(D609=1,Assumptions!$B$16,IF(D609=2,Assumptions!$B$17,IF(D609&lt;=5,Assumptions!$B$18,Assumptions!$B$19)))*(1-Assumptions!$B$20),0)</f>
        <v>0</v>
      </c>
      <c r="H609" s="30" t="n">
        <f aca="false">1-(1-G609)^(1/12)</f>
        <v>0</v>
      </c>
      <c r="I609" s="30" t="n">
        <f aca="false">I608*(1-F608)*(1-H608)</f>
        <v>0.000104848023263039</v>
      </c>
      <c r="J609" s="30" t="n">
        <f aca="false">INDEX(Discount_Monthly!$G$4:$G$664,MATCH(A609,Discount_Monthly!$A$4:$A$664,0))</f>
        <v>0.204325155017782</v>
      </c>
      <c r="K609" s="30" t="n">
        <f aca="false">IF(C609&lt;Assumptions!$B$5,I609*J609,0)</f>
        <v>0</v>
      </c>
      <c r="L609" s="30" t="n">
        <f aca="false">IF(C609&lt;Assumptions!$B$5,I609*(1-F609)*H609*A609*J609,0)</f>
        <v>0</v>
      </c>
      <c r="M609" s="30" t="n">
        <f aca="false">IF(A609=0,Assumptions!$B$14*12*I609*J609,IF(AND(A609&gt;=12,C609&lt;Assumptions!$B$5),Assumptions!$B$15*I609*J609,0))</f>
        <v>0</v>
      </c>
      <c r="N609" s="47" t="n">
        <f aca="false">IF(C609&gt;=Assumptions!$B$5,I609*Assumptions!$B$9/12*(1+Assumptions!$B$10)^INT(A609/12)*J609,0)</f>
        <v>0.0768828384521535</v>
      </c>
      <c r="O609" s="47" t="n">
        <f aca="false">I609*Assumptions!$B$12/12*(1+Assumptions!$B$11)^(INT(A609/12)+1)*J609</f>
        <v>0.000503162145125282</v>
      </c>
      <c r="P609" s="47" t="n">
        <f aca="false">O609+Pricing_M!$B$13*M609+N609-Pricing_M!$B$13*K609</f>
        <v>0.0773860005972788</v>
      </c>
      <c r="Q609" s="47" t="n">
        <f aca="false">IF(C609&lt;Assumptions!$B$5,Pricing_M!$B$13*K609-Pricing_M!$B$13*M609-O609,-(N609+O609))</f>
        <v>-0.0773860005972788</v>
      </c>
      <c r="R609" s="32" t="n">
        <f aca="false">R608*(1-(1-(1-MIN(1,E608*(1-Assumptions!$B$21)))^(1/12)))*(1-H608)</f>
        <v>0.000877681668508042</v>
      </c>
      <c r="S609" s="47" t="n">
        <f aca="false">R609*(IF(C609&lt;Assumptions!$B$5,Assumptions!$B$12*(1+Assumptions!$B$11)^(INT(A609/12)+1)/12+Pricing_M!$B$13*IF(A609=0,Assumptions!$B$14*12,IF(A609&gt;=12,Assumptions!$B$15,0))-Pricing_M!$B$13,Assumptions!$B$9/12*(1+Assumptions!$B$10)^INT(A609/12)+Assumptions!$B$12*(1+Assumptions!$B$11)^(INT(A609/12)+1)/12))*J609</f>
        <v>0.647797373852133</v>
      </c>
      <c r="T609" s="32" t="n">
        <f aca="false">T608*(1-F608)*(1-(1-(1-MIN(1,G608*(1+Assumptions!$B$23)))^(1/12)))</f>
        <v>9.49796070007344E-005</v>
      </c>
      <c r="U609" s="47" t="n">
        <f aca="false">T609*(IF(C609&lt;Assumptions!$B$5,Assumptions!$B$12*(1+Assumptions!$B$11)^(INT(A609/12)+1)/12+Pricing_M!$B$13*IF(A609=0,Assumptions!$B$14*12,IF(A609&gt;=12,Assumptions!$B$15,0))-Pricing_M!$B$13,Assumptions!$B$9/12*(1+Assumptions!$B$10)^INT(A609/12)+Assumptions!$B$12*(1+Assumptions!$B$11)^(INT(A609/12)+1)/12))*J609</f>
        <v>0.0701023414208629</v>
      </c>
      <c r="V609" s="32" t="n">
        <f aca="false">V608*(1-F608)*(1-(1-(1-MIN(1,G608*(1-Assumptions!$B$23)))^(1/12)))</f>
        <v>0.000115635576967759</v>
      </c>
      <c r="W609" s="47" t="n">
        <f aca="false">V609*(IF(C609&lt;Assumptions!$B$5,Assumptions!$B$12*(1+Assumptions!$B$11)^(INT(A609/12)+1)/12+Pricing_M!$B$13*IF(A609=0,Assumptions!$B$14*12,IF(A609&gt;=12,Assumptions!$B$15,0))-Pricing_M!$B$13,Assumptions!$B$9/12*(1+Assumptions!$B$10)^INT(A609/12)+Assumptions!$B$12*(1+Assumptions!$B$11)^(INT(A609/12)+1)/12))*J609</f>
        <v>0.0853480547348407</v>
      </c>
      <c r="X609" s="47" t="n">
        <f aca="false">I609*(IF(C609&lt;Assumptions!$B$5,Assumptions!$B$12*(1+Assumptions!$B$11)*(1+Assumptions!$B$24)*(1+Assumptions!$B$11+Assumptions!$B$25)^(INT(A609/12))/12+Pricing_M!$B$13*IF(A609=0,Assumptions!$B$14*12,IF(A609&gt;=12,Assumptions!$B$15,0))-Pricing_M!$B$13,Assumptions!$B$9/12*(1+Assumptions!$B$10)^INT(A609/12)+Assumptions!$B$12*(1+Assumptions!$B$11)*(1+Assumptions!$B$24)*(1+Assumptions!$B$11+Assumptions!$B$25)^(INT(A609/12))/12))*J609</f>
        <v>0.0777821804302089</v>
      </c>
    </row>
    <row r="610" customFormat="false" ht="15" hidden="false" customHeight="true" outlineLevel="0" collapsed="false">
      <c r="A610" s="1" t="n">
        <v>603</v>
      </c>
      <c r="B610" s="31" t="n">
        <f aca="false">Assumptions!$B$4+A610/12</f>
        <v>115.25</v>
      </c>
      <c r="C610" s="34" t="n">
        <f aca="false">Assumptions!$B$4+INT(A610/12)</f>
        <v>115</v>
      </c>
      <c r="D610" s="34" t="n">
        <f aca="false">INT(A610/12)+1</f>
        <v>51</v>
      </c>
      <c r="E610" s="32" t="n">
        <f aca="false">IFERROR(INDEX(Cohort_Survival!$G$5:$G$65,MATCH(C610,Cohort_Survival!$A$5:$A$65,0)),1)</f>
        <v>0.527579551916928</v>
      </c>
      <c r="F610" s="30" t="n">
        <f aca="false">1-(1-MIN(1,E610))^(1/12)</f>
        <v>0.0605780056797317</v>
      </c>
      <c r="G610" s="39" t="n">
        <f aca="false">IF(C610&lt;Assumptions!$B$5,IF(D610=1,Assumptions!$B$16,IF(D610=2,Assumptions!$B$17,IF(D610&lt;=5,Assumptions!$B$18,Assumptions!$B$19)))*(1-Assumptions!$B$20),0)</f>
        <v>0</v>
      </c>
      <c r="H610" s="30" t="n">
        <f aca="false">1-(1-G610)^(1/12)</f>
        <v>0</v>
      </c>
      <c r="I610" s="30" t="n">
        <f aca="false">I609*(1-F609)*(1-H609)</f>
        <v>9.8496539114302E-005</v>
      </c>
      <c r="J610" s="30" t="n">
        <f aca="false">INDEX(Discount_Monthly!$G$4:$G$664,MATCH(A610,Discount_Monthly!$A$4:$A$664,0))</f>
        <v>0.203778503880062</v>
      </c>
      <c r="K610" s="30" t="n">
        <f aca="false">IF(C610&lt;Assumptions!$B$5,I610*J610,0)</f>
        <v>0</v>
      </c>
      <c r="L610" s="30" t="n">
        <f aca="false">IF(C610&lt;Assumptions!$B$5,I610*(1-F610)*H610*A610*J610,0)</f>
        <v>0</v>
      </c>
      <c r="M610" s="30" t="n">
        <f aca="false">IF(A610=0,Assumptions!$B$14*12*I610*J610,IF(AND(A610&gt;=12,C610&lt;Assumptions!$B$5),Assumptions!$B$15*I610*J610,0))</f>
        <v>0</v>
      </c>
      <c r="N610" s="47" t="n">
        <f aca="false">IF(C610&gt;=Assumptions!$B$5,I610*Assumptions!$B$9/12*(1+Assumptions!$B$10)^INT(A610/12)*J610,0)</f>
        <v>0.0720321976488698</v>
      </c>
      <c r="O610" s="47" t="n">
        <f aca="false">I610*Assumptions!$B$12/12*(1+Assumptions!$B$11)^(INT(A610/12)+1)*J610</f>
        <v>0.000471416974409046</v>
      </c>
      <c r="P610" s="47" t="n">
        <f aca="false">O610+Pricing_M!$B$13*M610+N610-Pricing_M!$B$13*K610</f>
        <v>0.0725036146232789</v>
      </c>
      <c r="Q610" s="47" t="n">
        <f aca="false">IF(C610&lt;Assumptions!$B$5,Pricing_M!$B$13*K610-Pricing_M!$B$13*M610-O610,-(N610+O610))</f>
        <v>-0.0725036146232789</v>
      </c>
      <c r="R610" s="32" t="n">
        <f aca="false">R609*(1-(1-(1-MIN(1,E609*(1-Assumptions!$B$21)))^(1/12)))*(1-H609)</f>
        <v>0.000838481907085747</v>
      </c>
      <c r="S610" s="47" t="n">
        <f aca="false">R610*(IF(C610&lt;Assumptions!$B$5,Assumptions!$B$12*(1+Assumptions!$B$11)^(INT(A610/12)+1)/12+Pricing_M!$B$13*IF(A610=0,Assumptions!$B$14*12,IF(A610&gt;=12,Assumptions!$B$15,0))-Pricing_M!$B$13,Assumptions!$B$9/12*(1+Assumptions!$B$10)^INT(A610/12)+Assumptions!$B$12*(1+Assumptions!$B$11)^(INT(A610/12)+1)/12))*J610</f>
        <v>0.617209189344091</v>
      </c>
      <c r="T610" s="32" t="n">
        <f aca="false">T609*(1-F609)*(1-(1-(1-MIN(1,G609*(1+Assumptions!$B$23)))^(1/12)))</f>
        <v>8.92259318283852E-005</v>
      </c>
      <c r="U610" s="47" t="n">
        <f aca="false">T610*(IF(C610&lt;Assumptions!$B$5,Assumptions!$B$12*(1+Assumptions!$B$11)^(INT(A610/12)+1)/12+Pricing_M!$B$13*IF(A610=0,Assumptions!$B$14*12,IF(A610&gt;=12,Assumptions!$B$15,0))-Pricing_M!$B$13,Assumptions!$B$9/12*(1+Assumptions!$B$10)^INT(A610/12)+Assumptions!$B$12*(1+Assumptions!$B$11)^(INT(A610/12)+1)/12))*J610</f>
        <v>0.0656794912172589</v>
      </c>
      <c r="V610" s="32" t="n">
        <f aca="false">V609*(1-F609)*(1-(1-(1-MIN(1,G609*(1-Assumptions!$B$23)))^(1/12)))</f>
        <v>0.000108630604329427</v>
      </c>
      <c r="W610" s="47" t="n">
        <f aca="false">V610*(IF(C610&lt;Assumptions!$B$5,Assumptions!$B$12*(1+Assumptions!$B$11)^(INT(A610/12)+1)/12+Pricing_M!$B$13*IF(A610=0,Assumptions!$B$14*12,IF(A610&gt;=12,Assumptions!$B$15,0))-Pricing_M!$B$13,Assumptions!$B$9/12*(1+Assumptions!$B$10)^INT(A610/12)+Assumptions!$B$12*(1+Assumptions!$B$11)^(INT(A610/12)+1)/12))*J610</f>
        <v>0.0799633321476882</v>
      </c>
      <c r="X610" s="47" t="n">
        <f aca="false">I610*(IF(C610&lt;Assumptions!$B$5,Assumptions!$B$12*(1+Assumptions!$B$11)*(1+Assumptions!$B$24)*(1+Assumptions!$B$11+Assumptions!$B$25)^(INT(A610/12))/12+Pricing_M!$B$13*IF(A610=0,Assumptions!$B$14*12,IF(A610&gt;=12,Assumptions!$B$15,0))-Pricing_M!$B$13,Assumptions!$B$9/12*(1+Assumptions!$B$10)^INT(A610/12)+Assumptions!$B$12*(1+Assumptions!$B$11)*(1+Assumptions!$B$24)*(1+Assumptions!$B$11+Assumptions!$B$25)^(INT(A610/12))/12))*J610</f>
        <v>0.0728747989422329</v>
      </c>
    </row>
    <row r="611" customFormat="false" ht="15" hidden="false" customHeight="true" outlineLevel="0" collapsed="false">
      <c r="A611" s="1" t="n">
        <v>604</v>
      </c>
      <c r="B611" s="31" t="n">
        <f aca="false">Assumptions!$B$4+A611/12</f>
        <v>115.333333333333</v>
      </c>
      <c r="C611" s="34" t="n">
        <f aca="false">Assumptions!$B$4+INT(A611/12)</f>
        <v>115</v>
      </c>
      <c r="D611" s="34" t="n">
        <f aca="false">INT(A611/12)+1</f>
        <v>51</v>
      </c>
      <c r="E611" s="32" t="n">
        <f aca="false">IFERROR(INDEX(Cohort_Survival!$G$5:$G$65,MATCH(C611,Cohort_Survival!$A$5:$A$65,0)),1)</f>
        <v>0.527579551916928</v>
      </c>
      <c r="F611" s="30" t="n">
        <f aca="false">1-(1-MIN(1,E611))^(1/12)</f>
        <v>0.0605780056797317</v>
      </c>
      <c r="G611" s="39" t="n">
        <f aca="false">IF(C611&lt;Assumptions!$B$5,IF(D611=1,Assumptions!$B$16,IF(D611=2,Assumptions!$B$17,IF(D611&lt;=5,Assumptions!$B$18,Assumptions!$B$19)))*(1-Assumptions!$B$20),0)</f>
        <v>0</v>
      </c>
      <c r="H611" s="30" t="n">
        <f aca="false">1-(1-G611)^(1/12)</f>
        <v>0</v>
      </c>
      <c r="I611" s="30" t="n">
        <f aca="false">I610*(1-F610)*(1-H610)</f>
        <v>9.25298152084019E-005</v>
      </c>
      <c r="J611" s="30" t="n">
        <f aca="false">INDEX(Discount_Monthly!$G$4:$G$664,MATCH(A611,Discount_Monthly!$A$4:$A$664,0))</f>
        <v>0.203233315251774</v>
      </c>
      <c r="K611" s="30" t="n">
        <f aca="false">IF(C611&lt;Assumptions!$B$5,I611*J611,0)</f>
        <v>0</v>
      </c>
      <c r="L611" s="30" t="n">
        <f aca="false">IF(C611&lt;Assumptions!$B$5,I611*(1-F611)*H611*A611*J611,0)</f>
        <v>0</v>
      </c>
      <c r="M611" s="30" t="n">
        <f aca="false">IF(A611=0,Assumptions!$B$14*12*I611*J611,IF(AND(A611&gt;=12,C611&lt;Assumptions!$B$5),Assumptions!$B$15*I611*J611,0))</f>
        <v>0</v>
      </c>
      <c r="N611" s="47" t="n">
        <f aca="false">IF(C611&gt;=Assumptions!$B$5,I611*Assumptions!$B$9/12*(1+Assumptions!$B$10)^INT(A611/12)*J611,0)</f>
        <v>0.0674875902423255</v>
      </c>
      <c r="O611" s="47" t="n">
        <f aca="false">I611*Assumptions!$B$12/12*(1+Assumptions!$B$11)^(INT(A611/12)+1)*J611</f>
        <v>0.000441674648846337</v>
      </c>
      <c r="P611" s="47" t="n">
        <f aca="false">O611+Pricing_M!$B$13*M611+N611-Pricing_M!$B$13*K611</f>
        <v>0.0679292648911719</v>
      </c>
      <c r="Q611" s="47" t="n">
        <f aca="false">IF(C611&lt;Assumptions!$B$5,Pricing_M!$B$13*K611-Pricing_M!$B$13*M611-O611,-(N611+O611))</f>
        <v>-0.0679292648911719</v>
      </c>
      <c r="R611" s="32" t="n">
        <f aca="false">R610*(1-(1-(1-MIN(1,E610*(1-Assumptions!$B$21)))^(1/12)))*(1-H610)</f>
        <v>0.000801032918581128</v>
      </c>
      <c r="S611" s="47" t="n">
        <f aca="false">R611*(IF(C611&lt;Assumptions!$B$5,Assumptions!$B$12*(1+Assumptions!$B$11)^(INT(A611/12)+1)/12+Pricing_M!$B$13*IF(A611=0,Assumptions!$B$14*12,IF(A611&gt;=12,Assumptions!$B$15,0))-Pricing_M!$B$13,Assumptions!$B$9/12*(1+Assumptions!$B$10)^INT(A611/12)+Assumptions!$B$12*(1+Assumptions!$B$11)^(INT(A611/12)+1)/12))*J611</f>
        <v>0.588065340780072</v>
      </c>
      <c r="T611" s="32" t="n">
        <f aca="false">T610*(1-F610)*(1-(1-(1-MIN(1,G610*(1+Assumptions!$B$23)))^(1/12)))</f>
        <v>8.38208028233059E-005</v>
      </c>
      <c r="U611" s="47" t="n">
        <f aca="false">T611*(IF(C611&lt;Assumptions!$B$5,Assumptions!$B$12*(1+Assumptions!$B$11)^(INT(A611/12)+1)/12+Pricing_M!$B$13*IF(A611=0,Assumptions!$B$14*12,IF(A611&gt;=12,Assumptions!$B$15,0))-Pricing_M!$B$13,Assumptions!$B$9/12*(1+Assumptions!$B$10)^INT(A611/12)+Assumptions!$B$12*(1+Assumptions!$B$11)^(INT(A611/12)+1)/12))*J611</f>
        <v>0.0615356845309902</v>
      </c>
      <c r="V611" s="32" t="n">
        <f aca="false">V610*(1-F610)*(1-(1-(1-MIN(1,G610*(1-Assumptions!$B$23)))^(1/12)))</f>
        <v>0.000102049978963367</v>
      </c>
      <c r="W611" s="47" t="n">
        <f aca="false">V611*(IF(C611&lt;Assumptions!$B$5,Assumptions!$B$12*(1+Assumptions!$B$11)^(INT(A611/12)+1)/12+Pricing_M!$B$13*IF(A611=0,Assumptions!$B$14*12,IF(A611&gt;=12,Assumptions!$B$15,0))-Pricing_M!$B$13,Assumptions!$B$9/12*(1+Assumptions!$B$10)^INT(A611/12)+Assumptions!$B$12*(1+Assumptions!$B$11)^(INT(A611/12)+1)/12))*J611</f>
        <v>0.0749183388892318</v>
      </c>
      <c r="X611" s="47" t="n">
        <f aca="false">I611*(IF(C611&lt;Assumptions!$B$5,Assumptions!$B$12*(1+Assumptions!$B$11)*(1+Assumptions!$B$24)*(1+Assumptions!$B$11+Assumptions!$B$25)^(INT(A611/12))/12+Pricing_M!$B$13*IF(A611=0,Assumptions!$B$14*12,IF(A611&gt;=12,Assumptions!$B$15,0))-Pricing_M!$B$13,Assumptions!$B$9/12*(1+Assumptions!$B$10)^INT(A611/12)+Assumptions!$B$12*(1+Assumptions!$B$11)*(1+Assumptions!$B$24)*(1+Assumptions!$B$11+Assumptions!$B$25)^(INT(A611/12))/12))*J611</f>
        <v>0.0682770306964588</v>
      </c>
    </row>
    <row r="612" customFormat="false" ht="15" hidden="false" customHeight="true" outlineLevel="0" collapsed="false">
      <c r="A612" s="1" t="n">
        <v>605</v>
      </c>
      <c r="B612" s="31" t="n">
        <f aca="false">Assumptions!$B$4+A612/12</f>
        <v>115.416666666667</v>
      </c>
      <c r="C612" s="34" t="n">
        <f aca="false">Assumptions!$B$4+INT(A612/12)</f>
        <v>115</v>
      </c>
      <c r="D612" s="34" t="n">
        <f aca="false">INT(A612/12)+1</f>
        <v>51</v>
      </c>
      <c r="E612" s="32" t="n">
        <f aca="false">IFERROR(INDEX(Cohort_Survival!$G$5:$G$65,MATCH(C612,Cohort_Survival!$A$5:$A$65,0)),1)</f>
        <v>0.527579551916928</v>
      </c>
      <c r="F612" s="30" t="n">
        <f aca="false">1-(1-MIN(1,E612))^(1/12)</f>
        <v>0.0605780056797317</v>
      </c>
      <c r="G612" s="39" t="n">
        <f aca="false">IF(C612&lt;Assumptions!$B$5,IF(D612=1,Assumptions!$B$16,IF(D612=2,Assumptions!$B$17,IF(D612&lt;=5,Assumptions!$B$18,Assumptions!$B$19)))*(1-Assumptions!$B$20),0)</f>
        <v>0</v>
      </c>
      <c r="H612" s="30" t="n">
        <f aca="false">1-(1-G612)^(1/12)</f>
        <v>0</v>
      </c>
      <c r="I612" s="30" t="n">
        <f aca="false">I611*(1-F611)*(1-H611)</f>
        <v>8.69245435371628E-005</v>
      </c>
      <c r="J612" s="30" t="n">
        <f aca="false">INDEX(Discount_Monthly!$G$4:$G$664,MATCH(A612,Discount_Monthly!$A$4:$A$664,0))</f>
        <v>0.202689585220123</v>
      </c>
      <c r="K612" s="30" t="n">
        <f aca="false">IF(C612&lt;Assumptions!$B$5,I612*J612,0)</f>
        <v>0</v>
      </c>
      <c r="L612" s="30" t="n">
        <f aca="false">IF(C612&lt;Assumptions!$B$5,I612*(1-F612)*H612*A612*J612,0)</f>
        <v>0</v>
      </c>
      <c r="M612" s="30" t="n">
        <f aca="false">IF(A612=0,Assumptions!$B$14*12*I612*J612,IF(AND(A612&gt;=12,C612&lt;Assumptions!$B$5),Assumptions!$B$15*I612*J612,0))</f>
        <v>0</v>
      </c>
      <c r="N612" s="47" t="n">
        <f aca="false">IF(C612&gt;=Assumptions!$B$5,I612*Assumptions!$B$9/12*(1+Assumptions!$B$10)^INT(A612/12)*J612,0)</f>
        <v>0.0632297081774166</v>
      </c>
      <c r="O612" s="47" t="n">
        <f aca="false">I612*Assumptions!$B$12/12*(1+Assumptions!$B$11)^(INT(A612/12)+1)*J612</f>
        <v>0.000413808806265573</v>
      </c>
      <c r="P612" s="47" t="n">
        <f aca="false">O612+Pricing_M!$B$13*M612+N612-Pricing_M!$B$13*K612</f>
        <v>0.0636435169836822</v>
      </c>
      <c r="Q612" s="47" t="n">
        <f aca="false">IF(C612&lt;Assumptions!$B$5,Pricing_M!$B$13*K612-Pricing_M!$B$13*M612-O612,-(N612+O612))</f>
        <v>-0.0636435169836822</v>
      </c>
      <c r="R612" s="32" t="n">
        <f aca="false">R611*(1-(1-(1-MIN(1,E611*(1-Assumptions!$B$21)))^(1/12)))*(1-H611)</f>
        <v>0.000765256508492534</v>
      </c>
      <c r="S612" s="47" t="n">
        <f aca="false">R612*(IF(C612&lt;Assumptions!$B$5,Assumptions!$B$12*(1+Assumptions!$B$11)^(INT(A612/12)+1)/12+Pricing_M!$B$13*IF(A612=0,Assumptions!$B$14*12,IF(A612&gt;=12,Assumptions!$B$15,0))-Pricing_M!$B$13,Assumptions!$B$9/12*(1+Assumptions!$B$10)^INT(A612/12)+Assumptions!$B$12*(1+Assumptions!$B$11)^(INT(A612/12)+1)/12))*J612</f>
        <v>0.560297628417177</v>
      </c>
      <c r="T612" s="32" t="n">
        <f aca="false">T611*(1-F611)*(1-(1-(1-MIN(1,G611*(1+Assumptions!$B$23)))^(1/12)))</f>
        <v>7.87431057537961E-005</v>
      </c>
      <c r="U612" s="47" t="n">
        <f aca="false">T612*(IF(C612&lt;Assumptions!$B$5,Assumptions!$B$12*(1+Assumptions!$B$11)^(INT(A612/12)+1)/12+Pricing_M!$B$13*IF(A612=0,Assumptions!$B$14*12,IF(A612&gt;=12,Assumptions!$B$15,0))-Pricing_M!$B$13,Assumptions!$B$9/12*(1+Assumptions!$B$10)^INT(A612/12)+Assumptions!$B$12*(1+Assumptions!$B$11)^(INT(A612/12)+1)/12))*J612</f>
        <v>0.0576533161344361</v>
      </c>
      <c r="V612" s="32" t="n">
        <f aca="false">V611*(1-F611)*(1-(1-(1-MIN(1,G611*(1-Assumptions!$B$23)))^(1/12)))</f>
        <v>9.58679947581073E-005</v>
      </c>
      <c r="W612" s="47" t="n">
        <f aca="false">V612*(IF(C612&lt;Assumptions!$B$5,Assumptions!$B$12*(1+Assumptions!$B$11)^(INT(A612/12)+1)/12+Pricing_M!$B$13*IF(A612=0,Assumptions!$B$14*12,IF(A612&gt;=12,Assumptions!$B$15,0))-Pricing_M!$B$13,Assumptions!$B$9/12*(1+Assumptions!$B$10)^INT(A612/12)+Assumptions!$B$12*(1+Assumptions!$B$11)^(INT(A612/12)+1)/12))*J612</f>
        <v>0.070191640983086</v>
      </c>
      <c r="X612" s="47" t="n">
        <f aca="false">I612*(IF(C612&lt;Assumptions!$B$5,Assumptions!$B$12*(1+Assumptions!$B$11)*(1+Assumptions!$B$24)*(1+Assumptions!$B$11+Assumptions!$B$25)^(INT(A612/12))/12+Pricing_M!$B$13*IF(A612=0,Assumptions!$B$14*12,IF(A612&gt;=12,Assumptions!$B$15,0))-Pricing_M!$B$13,Assumptions!$B$9/12*(1+Assumptions!$B$10)^INT(A612/12)+Assumptions!$B$12*(1+Assumptions!$B$11)*(1+Assumptions!$B$24)*(1+Assumptions!$B$11+Assumptions!$B$25)^(INT(A612/12))/12))*J612</f>
        <v>0.0639693417805585</v>
      </c>
    </row>
    <row r="613" customFormat="false" ht="15" hidden="false" customHeight="true" outlineLevel="0" collapsed="false">
      <c r="A613" s="1" t="n">
        <v>606</v>
      </c>
      <c r="B613" s="31" t="n">
        <f aca="false">Assumptions!$B$4+A613/12</f>
        <v>115.5</v>
      </c>
      <c r="C613" s="34" t="n">
        <f aca="false">Assumptions!$B$4+INT(A613/12)</f>
        <v>115</v>
      </c>
      <c r="D613" s="34" t="n">
        <f aca="false">INT(A613/12)+1</f>
        <v>51</v>
      </c>
      <c r="E613" s="32" t="n">
        <f aca="false">IFERROR(INDEX(Cohort_Survival!$G$5:$G$65,MATCH(C613,Cohort_Survival!$A$5:$A$65,0)),1)</f>
        <v>0.527579551916928</v>
      </c>
      <c r="F613" s="30" t="n">
        <f aca="false">1-(1-MIN(1,E613))^(1/12)</f>
        <v>0.0605780056797317</v>
      </c>
      <c r="G613" s="39" t="n">
        <f aca="false">IF(C613&lt;Assumptions!$B$5,IF(D613=1,Assumptions!$B$16,IF(D613=2,Assumptions!$B$17,IF(D613&lt;=5,Assumptions!$B$18,Assumptions!$B$19)))*(1-Assumptions!$B$20),0)</f>
        <v>0</v>
      </c>
      <c r="H613" s="30" t="n">
        <f aca="false">1-(1-G613)^(1/12)</f>
        <v>0</v>
      </c>
      <c r="I613" s="30" t="n">
        <f aca="false">I612*(1-F612)*(1-H612)</f>
        <v>8.16588280450604E-005</v>
      </c>
      <c r="J613" s="30" t="n">
        <f aca="false">INDEX(Discount_Monthly!$G$4:$G$664,MATCH(A613,Discount_Monthly!$A$4:$A$664,0))</f>
        <v>0.202147309882782</v>
      </c>
      <c r="K613" s="30" t="n">
        <f aca="false">IF(C613&lt;Assumptions!$B$5,I613*J613,0)</f>
        <v>0</v>
      </c>
      <c r="L613" s="30" t="n">
        <f aca="false">IF(C613&lt;Assumptions!$B$5,I613*(1-F613)*H613*A613*J613,0)</f>
        <v>0</v>
      </c>
      <c r="M613" s="30" t="n">
        <f aca="false">IF(A613=0,Assumptions!$B$14*12*I613*J613,IF(AND(A613&gt;=12,C613&lt;Assumptions!$B$5),Assumptions!$B$15*I613*J613,0))</f>
        <v>0</v>
      </c>
      <c r="N613" s="47" t="n">
        <f aca="false">IF(C613&gt;=Assumptions!$B$5,I613*Assumptions!$B$9/12*(1+Assumptions!$B$10)^INT(A613/12)*J613,0)</f>
        <v>0.0592404615699833</v>
      </c>
      <c r="O613" s="47" t="n">
        <f aca="false">I613*Assumptions!$B$12/12*(1+Assumptions!$B$11)^(INT(A613/12)+1)*J613</f>
        <v>0.000387701056853082</v>
      </c>
      <c r="P613" s="47" t="n">
        <f aca="false">O613+Pricing_M!$B$13*M613+N613-Pricing_M!$B$13*K613</f>
        <v>0.0596281626268364</v>
      </c>
      <c r="Q613" s="47" t="n">
        <f aca="false">IF(C613&lt;Assumptions!$B$5,Pricing_M!$B$13*K613-Pricing_M!$B$13*M613-O613,-(N613+O613))</f>
        <v>-0.0596281626268364</v>
      </c>
      <c r="R613" s="32" t="n">
        <f aca="false">R612*(1-(1-(1-MIN(1,E612*(1-Assumptions!$B$21)))^(1/12)))*(1-H612)</f>
        <v>0.000731077974707319</v>
      </c>
      <c r="S613" s="47" t="n">
        <f aca="false">R613*(IF(C613&lt;Assumptions!$B$5,Assumptions!$B$12*(1+Assumptions!$B$11)^(INT(A613/12)+1)/12+Pricing_M!$B$13*IF(A613=0,Assumptions!$B$14*12,IF(A613&gt;=12,Assumptions!$B$15,0))-Pricing_M!$B$13,Assumptions!$B$9/12*(1+Assumptions!$B$10)^INT(A613/12)+Assumptions!$B$12*(1+Assumptions!$B$11)^(INT(A613/12)+1)/12))*J613</f>
        <v>0.533841072819354</v>
      </c>
      <c r="T613" s="32" t="n">
        <f aca="false">T612*(1-F612)*(1-(1-(1-MIN(1,G612*(1+Assumptions!$B$23)))^(1/12)))</f>
        <v>7.39730054462029E-005</v>
      </c>
      <c r="U613" s="47" t="n">
        <f aca="false">T613*(IF(C613&lt;Assumptions!$B$5,Assumptions!$B$12*(1+Assumptions!$B$11)^(INT(A613/12)+1)/12+Pricing_M!$B$13*IF(A613=0,Assumptions!$B$14*12,IF(A613&gt;=12,Assumptions!$B$15,0))-Pricing_M!$B$13,Assumptions!$B$9/12*(1+Assumptions!$B$10)^INT(A613/12)+Assumptions!$B$12*(1+Assumptions!$B$11)^(INT(A613/12)+1)/12))*J613</f>
        <v>0.0540158915372636</v>
      </c>
      <c r="V613" s="32" t="n">
        <f aca="false">V612*(1-F612)*(1-(1-(1-MIN(1,G612*(1-Assumptions!$B$23)))^(1/12)))</f>
        <v>9.00605028271462E-005</v>
      </c>
      <c r="W613" s="47" t="n">
        <f aca="false">V613*(IF(C613&lt;Assumptions!$B$5,Assumptions!$B$12*(1+Assumptions!$B$11)^(INT(A613/12)+1)/12+Pricing_M!$B$13*IF(A613=0,Assumptions!$B$14*12,IF(A613&gt;=12,Assumptions!$B$15,0))-Pricing_M!$B$13,Assumptions!$B$9/12*(1+Assumptions!$B$10)^INT(A613/12)+Assumptions!$B$12*(1+Assumptions!$B$11)^(INT(A613/12)+1)/12))*J613</f>
        <v>0.065763156751018</v>
      </c>
      <c r="X613" s="47" t="n">
        <f aca="false">I613*(IF(C613&lt;Assumptions!$B$5,Assumptions!$B$12*(1+Assumptions!$B$11)*(1+Assumptions!$B$24)*(1+Assumptions!$B$11+Assumptions!$B$25)^(INT(A613/12))/12+Pricing_M!$B$13*IF(A613=0,Assumptions!$B$14*12,IF(A613&gt;=12,Assumptions!$B$15,0))-Pricing_M!$B$13,Assumptions!$B$9/12*(1+Assumptions!$B$10)^INT(A613/12)+Assumptions!$B$12*(1+Assumptions!$B$11)*(1+Assumptions!$B$24)*(1+Assumptions!$B$11+Assumptions!$B$25)^(INT(A613/12))/12))*J613</f>
        <v>0.0599334307027817</v>
      </c>
    </row>
    <row r="614" customFormat="false" ht="15" hidden="false" customHeight="true" outlineLevel="0" collapsed="false">
      <c r="A614" s="1" t="n">
        <v>607</v>
      </c>
      <c r="B614" s="31" t="n">
        <f aca="false">Assumptions!$B$4+A614/12</f>
        <v>115.583333333333</v>
      </c>
      <c r="C614" s="34" t="n">
        <f aca="false">Assumptions!$B$4+INT(A614/12)</f>
        <v>115</v>
      </c>
      <c r="D614" s="34" t="n">
        <f aca="false">INT(A614/12)+1</f>
        <v>51</v>
      </c>
      <c r="E614" s="32" t="n">
        <f aca="false">IFERROR(INDEX(Cohort_Survival!$G$5:$G$65,MATCH(C614,Cohort_Survival!$A$5:$A$65,0)),1)</f>
        <v>0.527579551916928</v>
      </c>
      <c r="F614" s="30" t="n">
        <f aca="false">1-(1-MIN(1,E614))^(1/12)</f>
        <v>0.0605780056797317</v>
      </c>
      <c r="G614" s="39" t="n">
        <f aca="false">IF(C614&lt;Assumptions!$B$5,IF(D614=1,Assumptions!$B$16,IF(D614=2,Assumptions!$B$17,IF(D614&lt;=5,Assumptions!$B$18,Assumptions!$B$19)))*(1-Assumptions!$B$20),0)</f>
        <v>0</v>
      </c>
      <c r="H614" s="30" t="n">
        <f aca="false">1-(1-G614)^(1/12)</f>
        <v>0</v>
      </c>
      <c r="I614" s="30" t="n">
        <f aca="false">I613*(1-F613)*(1-H613)</f>
        <v>7.67120990959465E-005</v>
      </c>
      <c r="J614" s="30" t="n">
        <f aca="false">INDEX(Discount_Monthly!$G$4:$G$664,MATCH(A614,Discount_Monthly!$A$4:$A$664,0))</f>
        <v>0.201606485347865</v>
      </c>
      <c r="K614" s="30" t="n">
        <f aca="false">IF(C614&lt;Assumptions!$B$5,I614*J614,0)</f>
        <v>0</v>
      </c>
      <c r="L614" s="30" t="n">
        <f aca="false">IF(C614&lt;Assumptions!$B$5,I614*(1-F614)*H614*A614*J614,0)</f>
        <v>0</v>
      </c>
      <c r="M614" s="30" t="n">
        <f aca="false">IF(A614=0,Assumptions!$B$14*12*I614*J614,IF(AND(A614&gt;=12,C614&lt;Assumptions!$B$5),Assumptions!$B$15*I614*J614,0))</f>
        <v>0</v>
      </c>
      <c r="N614" s="47" t="n">
        <f aca="false">IF(C614&gt;=Assumptions!$B$5,I614*Assumptions!$B$9/12*(1+Assumptions!$B$10)^INT(A614/12)*J614,0)</f>
        <v>0.0555029018507808</v>
      </c>
      <c r="O614" s="47" t="n">
        <f aca="false">I614*Assumptions!$B$12/12*(1+Assumptions!$B$11)^(INT(A614/12)+1)*J614</f>
        <v>0.000363240480166412</v>
      </c>
      <c r="P614" s="47" t="n">
        <f aca="false">O614+Pricing_M!$B$13*M614+N614-Pricing_M!$B$13*K614</f>
        <v>0.0558661423309472</v>
      </c>
      <c r="Q614" s="47" t="n">
        <f aca="false">IF(C614&lt;Assumptions!$B$5,Pricing_M!$B$13*K614-Pricing_M!$B$13*M614-O614,-(N614+O614))</f>
        <v>-0.0558661423309472</v>
      </c>
      <c r="R614" s="32" t="n">
        <f aca="false">R613*(1-(1-(1-MIN(1,E613*(1-Assumptions!$B$21)))^(1/12)))*(1-H613)</f>
        <v>0.000698425951521809</v>
      </c>
      <c r="S614" s="47" t="n">
        <f aca="false">R614*(IF(C614&lt;Assumptions!$B$5,Assumptions!$B$12*(1+Assumptions!$B$11)^(INT(A614/12)+1)/12+Pricing_M!$B$13*IF(A614=0,Assumptions!$B$14*12,IF(A614&gt;=12,Assumptions!$B$15,0))-Pricing_M!$B$13,Assumptions!$B$9/12*(1+Assumptions!$B$10)^INT(A614/12)+Assumptions!$B$12*(1+Assumptions!$B$11)^(INT(A614/12)+1)/12))*J614</f>
        <v>0.508633762798526</v>
      </c>
      <c r="T614" s="32" t="n">
        <f aca="false">T613*(1-F613)*(1-(1-(1-MIN(1,G613*(1+Assumptions!$B$23)))^(1/12)))</f>
        <v>6.9491868302136E-005</v>
      </c>
      <c r="U614" s="47" t="n">
        <f aca="false">T614*(IF(C614&lt;Assumptions!$B$5,Assumptions!$B$12*(1+Assumptions!$B$11)^(INT(A614/12)+1)/12+Pricing_M!$B$13*IF(A614=0,Assumptions!$B$14*12,IF(A614&gt;=12,Assumptions!$B$15,0))-Pricing_M!$B$13,Assumptions!$B$9/12*(1+Assumptions!$B$10)^INT(A614/12)+Assumptions!$B$12*(1+Assumptions!$B$11)^(INT(A614/12)+1)/12))*J614</f>
        <v>0.0506079569085303</v>
      </c>
      <c r="V614" s="32" t="n">
        <f aca="false">V613*(1-F613)*(1-(1-(1-MIN(1,G613*(1-Assumptions!$B$23)))^(1/12)))</f>
        <v>8.46048171753638E-005</v>
      </c>
      <c r="W614" s="47" t="n">
        <f aca="false">V614*(IF(C614&lt;Assumptions!$B$5,Assumptions!$B$12*(1+Assumptions!$B$11)^(INT(A614/12)+1)/12+Pricing_M!$B$13*IF(A614=0,Assumptions!$B$14*12,IF(A614&gt;=12,Assumptions!$B$15,0))-Pricing_M!$B$13,Assumptions!$B$9/12*(1+Assumptions!$B$10)^INT(A614/12)+Assumptions!$B$12*(1+Assumptions!$B$11)^(INT(A614/12)+1)/12))*J614</f>
        <v>0.0616140714946542</v>
      </c>
      <c r="X614" s="47" t="n">
        <f aca="false">I614*(IF(C614&lt;Assumptions!$B$5,Assumptions!$B$12*(1+Assumptions!$B$11)*(1+Assumptions!$B$24)*(1+Assumptions!$B$11+Assumptions!$B$25)^(INT(A614/12))/12+Pricing_M!$B$13*IF(A614=0,Assumptions!$B$14*12,IF(A614&gt;=12,Assumptions!$B$15,0))-Pricing_M!$B$13,Assumptions!$B$9/12*(1+Assumptions!$B$10)^INT(A614/12)+Assumptions!$B$12*(1+Assumptions!$B$11)*(1+Assumptions!$B$24)*(1+Assumptions!$B$11+Assumptions!$B$25)^(INT(A614/12))/12))*J614</f>
        <v>0.0561521506368979</v>
      </c>
    </row>
    <row r="615" customFormat="false" ht="15" hidden="false" customHeight="true" outlineLevel="0" collapsed="false">
      <c r="A615" s="1" t="n">
        <v>608</v>
      </c>
      <c r="B615" s="31" t="n">
        <f aca="false">Assumptions!$B$4+A615/12</f>
        <v>115.666666666667</v>
      </c>
      <c r="C615" s="34" t="n">
        <f aca="false">Assumptions!$B$4+INT(A615/12)</f>
        <v>115</v>
      </c>
      <c r="D615" s="34" t="n">
        <f aca="false">INT(A615/12)+1</f>
        <v>51</v>
      </c>
      <c r="E615" s="32" t="n">
        <f aca="false">IFERROR(INDEX(Cohort_Survival!$G$5:$G$65,MATCH(C615,Cohort_Survival!$A$5:$A$65,0)),1)</f>
        <v>0.527579551916928</v>
      </c>
      <c r="F615" s="30" t="n">
        <f aca="false">1-(1-MIN(1,E615))^(1/12)</f>
        <v>0.0605780056797317</v>
      </c>
      <c r="G615" s="39" t="n">
        <f aca="false">IF(C615&lt;Assumptions!$B$5,IF(D615=1,Assumptions!$B$16,IF(D615=2,Assumptions!$B$17,IF(D615&lt;=5,Assumptions!$B$18,Assumptions!$B$19)))*(1-Assumptions!$B$20),0)</f>
        <v>0</v>
      </c>
      <c r="H615" s="30" t="n">
        <f aca="false">1-(1-G615)^(1/12)</f>
        <v>0</v>
      </c>
      <c r="I615" s="30" t="n">
        <f aca="false">I614*(1-F614)*(1-H614)</f>
        <v>7.20650331212081E-005</v>
      </c>
      <c r="J615" s="30" t="n">
        <f aca="false">INDEX(Discount_Monthly!$G$4:$G$664,MATCH(A615,Discount_Monthly!$A$4:$A$664,0))</f>
        <v>0.201067107733897</v>
      </c>
      <c r="K615" s="30" t="n">
        <f aca="false">IF(C615&lt;Assumptions!$B$5,I615*J615,0)</f>
        <v>0</v>
      </c>
      <c r="L615" s="30" t="n">
        <f aca="false">IF(C615&lt;Assumptions!$B$5,I615*(1-F615)*H615*A615*J615,0)</f>
        <v>0</v>
      </c>
      <c r="M615" s="30" t="n">
        <f aca="false">IF(A615=0,Assumptions!$B$14*12*I615*J615,IF(AND(A615&gt;=12,C615&lt;Assumptions!$B$5),Assumptions!$B$15*I615*J615,0))</f>
        <v>0</v>
      </c>
      <c r="N615" s="47" t="n">
        <f aca="false">IF(C615&gt;=Assumptions!$B$5,I615*Assumptions!$B$9/12*(1+Assumptions!$B$10)^INT(A615/12)*J615,0)</f>
        <v>0.0520011497583995</v>
      </c>
      <c r="O615" s="47" t="n">
        <f aca="false">I615*Assumptions!$B$12/12*(1+Assumptions!$B$11)^(INT(A615/12)+1)*J615</f>
        <v>0.000340323153881742</v>
      </c>
      <c r="P615" s="47" t="n">
        <f aca="false">O615+Pricing_M!$B$13*M615+N615-Pricing_M!$B$13*K615</f>
        <v>0.0523414729122812</v>
      </c>
      <c r="Q615" s="47" t="n">
        <f aca="false">IF(C615&lt;Assumptions!$B$5,Pricing_M!$B$13*K615-Pricing_M!$B$13*M615-O615,-(N615+O615))</f>
        <v>-0.0523414729122812</v>
      </c>
      <c r="R615" s="32" t="n">
        <f aca="false">R614*(1-(1-(1-MIN(1,E614*(1-Assumptions!$B$21)))^(1/12)))*(1-H614)</f>
        <v>0.000667232260627782</v>
      </c>
      <c r="S615" s="47" t="n">
        <f aca="false">R615*(IF(C615&lt;Assumptions!$B$5,Assumptions!$B$12*(1+Assumptions!$B$11)^(INT(A615/12)+1)/12+Pricing_M!$B$13*IF(A615=0,Assumptions!$B$14*12,IF(A615&gt;=12,Assumptions!$B$15,0))-Pricing_M!$B$13,Assumptions!$B$9/12*(1+Assumptions!$B$10)^INT(A615/12)+Assumptions!$B$12*(1+Assumptions!$B$11)^(INT(A615/12)+1)/12))*J615</f>
        <v>0.484616710535742</v>
      </c>
      <c r="T615" s="32" t="n">
        <f aca="false">T614*(1-F614)*(1-(1-(1-MIN(1,G614*(1+Assumptions!$B$23)))^(1/12)))</f>
        <v>6.5282189509434E-005</v>
      </c>
      <c r="U615" s="47" t="n">
        <f aca="false">T615*(IF(C615&lt;Assumptions!$B$5,Assumptions!$B$12*(1+Assumptions!$B$11)^(INT(A615/12)+1)/12+Pricing_M!$B$13*IF(A615=0,Assumptions!$B$14*12,IF(A615&gt;=12,Assumptions!$B$15,0))-Pricing_M!$B$13,Assumptions!$B$9/12*(1+Assumptions!$B$10)^INT(A615/12)+Assumptions!$B$12*(1+Assumptions!$B$11)^(INT(A615/12)+1)/12))*J615</f>
        <v>0.0474150334200965</v>
      </c>
      <c r="V615" s="32" t="n">
        <f aca="false">V614*(1-F614)*(1-(1-(1-MIN(1,G614*(1-Assumptions!$B$23)))^(1/12)))</f>
        <v>7.9479626079982E-005</v>
      </c>
      <c r="W615" s="47" t="n">
        <f aca="false">V615*(IF(C615&lt;Assumptions!$B$5,Assumptions!$B$12*(1+Assumptions!$B$11)^(INT(A615/12)+1)/12+Pricing_M!$B$13*IF(A615=0,Assumptions!$B$14*12,IF(A615&gt;=12,Assumptions!$B$15,0))-Pricing_M!$B$13,Assumptions!$B$9/12*(1+Assumptions!$B$10)^INT(A615/12)+Assumptions!$B$12*(1+Assumptions!$B$11)^(INT(A615/12)+1)/12))*J615</f>
        <v>0.0577267575600314</v>
      </c>
      <c r="X615" s="47" t="n">
        <f aca="false">I615*(IF(C615&lt;Assumptions!$B$5,Assumptions!$B$12*(1+Assumptions!$B$11)*(1+Assumptions!$B$24)*(1+Assumptions!$B$11+Assumptions!$B$25)^(INT(A615/12))/12+Pricing_M!$B$13*IF(A615=0,Assumptions!$B$14*12,IF(A615&gt;=12,Assumptions!$B$15,0))-Pricing_M!$B$13,Assumptions!$B$9/12*(1+Assumptions!$B$10)^INT(A615/12)+Assumptions!$B$12*(1+Assumptions!$B$11)*(1+Assumptions!$B$24)*(1+Assumptions!$B$11+Assumptions!$B$25)^(INT(A615/12))/12))*J615</f>
        <v>0.0526094365728097</v>
      </c>
    </row>
    <row r="616" customFormat="false" ht="15" hidden="false" customHeight="true" outlineLevel="0" collapsed="false">
      <c r="A616" s="1" t="n">
        <v>609</v>
      </c>
      <c r="B616" s="31" t="n">
        <f aca="false">Assumptions!$B$4+A616/12</f>
        <v>115.75</v>
      </c>
      <c r="C616" s="34" t="n">
        <f aca="false">Assumptions!$B$4+INT(A616/12)</f>
        <v>115</v>
      </c>
      <c r="D616" s="34" t="n">
        <f aca="false">INT(A616/12)+1</f>
        <v>51</v>
      </c>
      <c r="E616" s="32" t="n">
        <f aca="false">IFERROR(INDEX(Cohort_Survival!$G$5:$G$65,MATCH(C616,Cohort_Survival!$A$5:$A$65,0)),1)</f>
        <v>0.527579551916928</v>
      </c>
      <c r="F616" s="30" t="n">
        <f aca="false">1-(1-MIN(1,E616))^(1/12)</f>
        <v>0.0605780056797317</v>
      </c>
      <c r="G616" s="39" t="n">
        <f aca="false">IF(C616&lt;Assumptions!$B$5,IF(D616=1,Assumptions!$B$16,IF(D616=2,Assumptions!$B$17,IF(D616&lt;=5,Assumptions!$B$18,Assumptions!$B$19)))*(1-Assumptions!$B$20),0)</f>
        <v>0</v>
      </c>
      <c r="H616" s="30" t="n">
        <f aca="false">1-(1-G616)^(1/12)</f>
        <v>0</v>
      </c>
      <c r="I616" s="30" t="n">
        <f aca="false">I615*(1-F615)*(1-H615)</f>
        <v>6.76994771354815E-005</v>
      </c>
      <c r="J616" s="30" t="n">
        <f aca="false">INDEX(Discount_Monthly!$G$4:$G$664,MATCH(A616,Discount_Monthly!$A$4:$A$664,0))</f>
        <v>0.20052917316979</v>
      </c>
      <c r="K616" s="30" t="n">
        <f aca="false">IF(C616&lt;Assumptions!$B$5,I616*J616,0)</f>
        <v>0</v>
      </c>
      <c r="L616" s="30" t="n">
        <f aca="false">IF(C616&lt;Assumptions!$B$5,I616*(1-F616)*H616*A616*J616,0)</f>
        <v>0</v>
      </c>
      <c r="M616" s="30" t="n">
        <f aca="false">IF(A616=0,Assumptions!$B$14*12*I616*J616,IF(AND(A616&gt;=12,C616&lt;Assumptions!$B$5),Assumptions!$B$15*I616*J616,0))</f>
        <v>0</v>
      </c>
      <c r="N616" s="47" t="n">
        <f aca="false">IF(C616&gt;=Assumptions!$B$5,I616*Assumptions!$B$9/12*(1+Assumptions!$B$10)^INT(A616/12)*J616,0)</f>
        <v>0.0487203278752072</v>
      </c>
      <c r="O616" s="47" t="n">
        <f aca="false">I616*Assumptions!$B$12/12*(1+Assumptions!$B$11)^(INT(A616/12)+1)*J616</f>
        <v>0.000318851712273244</v>
      </c>
      <c r="P616" s="47" t="n">
        <f aca="false">O616+Pricing_M!$B$13*M616+N616-Pricing_M!$B$13*K616</f>
        <v>0.0490391795874805</v>
      </c>
      <c r="Q616" s="47" t="n">
        <f aca="false">IF(C616&lt;Assumptions!$B$5,Pricing_M!$B$13*K616-Pricing_M!$B$13*M616-O616,-(N616+O616))</f>
        <v>-0.0490391795874805</v>
      </c>
      <c r="R616" s="32" t="n">
        <f aca="false">R615*(1-(1-(1-MIN(1,E615*(1-Assumptions!$B$21)))^(1/12)))*(1-H615)</f>
        <v>0.000637431768754311</v>
      </c>
      <c r="S616" s="47" t="n">
        <f aca="false">R616*(IF(C616&lt;Assumptions!$B$5,Assumptions!$B$12*(1+Assumptions!$B$11)^(INT(A616/12)+1)/12+Pricing_M!$B$13*IF(A616=0,Assumptions!$B$14*12,IF(A616&gt;=12,Assumptions!$B$15,0))-Pricing_M!$B$13,Assumptions!$B$9/12*(1+Assumptions!$B$10)^INT(A616/12)+Assumptions!$B$12*(1+Assumptions!$B$11)^(INT(A616/12)+1)/12))*J616</f>
        <v>0.461733713543335</v>
      </c>
      <c r="T616" s="32" t="n">
        <f aca="false">T615*(1-F615)*(1-(1-(1-MIN(1,G615*(1+Assumptions!$B$23)))^(1/12)))</f>
        <v>6.13275246625462E-005</v>
      </c>
      <c r="U616" s="47" t="n">
        <f aca="false">T616*(IF(C616&lt;Assumptions!$B$5,Assumptions!$B$12*(1+Assumptions!$B$11)^(INT(A616/12)+1)/12+Pricing_M!$B$13*IF(A616=0,Assumptions!$B$14*12,IF(A616&gt;=12,Assumptions!$B$15,0))-Pricing_M!$B$13,Assumptions!$B$9/12*(1+Assumptions!$B$10)^INT(A616/12)+Assumptions!$B$12*(1+Assumptions!$B$11)^(INT(A616/12)+1)/12))*J616</f>
        <v>0.0444235557323976</v>
      </c>
      <c r="V616" s="32" t="n">
        <f aca="false">V615*(1-F615)*(1-(1-(1-MIN(1,G615*(1-Assumptions!$B$23)))^(1/12)))</f>
        <v>7.46649088398859E-005</v>
      </c>
      <c r="W616" s="47" t="n">
        <f aca="false">V616*(IF(C616&lt;Assumptions!$B$5,Assumptions!$B$12*(1+Assumptions!$B$11)^(INT(A616/12)+1)/12+Pricing_M!$B$13*IF(A616=0,Assumptions!$B$14*12,IF(A616&gt;=12,Assumptions!$B$15,0))-Pricing_M!$B$13,Assumptions!$B$9/12*(1+Assumptions!$B$10)^INT(A616/12)+Assumptions!$B$12*(1+Assumptions!$B$11)^(INT(A616/12)+1)/12))*J616</f>
        <v>0.0540846994453819</v>
      </c>
      <c r="X616" s="47" t="n">
        <f aca="false">I616*(IF(C616&lt;Assumptions!$B$5,Assumptions!$B$12*(1+Assumptions!$B$11)*(1+Assumptions!$B$24)*(1+Assumptions!$B$11+Assumptions!$B$25)^(INT(A616/12))/12+Pricing_M!$B$13*IF(A616=0,Assumptions!$B$14*12,IF(A616&gt;=12,Assumptions!$B$15,0))-Pricing_M!$B$13,Assumptions!$B$9/12*(1+Assumptions!$B$10)^INT(A616/12)+Assumptions!$B$12*(1+Assumptions!$B$11)*(1+Assumptions!$B$24)*(1+Assumptions!$B$11+Assumptions!$B$25)^(INT(A616/12))/12))*J616</f>
        <v>0.0492902370633294</v>
      </c>
    </row>
    <row r="617" customFormat="false" ht="15" hidden="false" customHeight="true" outlineLevel="0" collapsed="false">
      <c r="A617" s="1" t="n">
        <v>610</v>
      </c>
      <c r="B617" s="31" t="n">
        <f aca="false">Assumptions!$B$4+A617/12</f>
        <v>115.833333333333</v>
      </c>
      <c r="C617" s="34" t="n">
        <f aca="false">Assumptions!$B$4+INT(A617/12)</f>
        <v>115</v>
      </c>
      <c r="D617" s="34" t="n">
        <f aca="false">INT(A617/12)+1</f>
        <v>51</v>
      </c>
      <c r="E617" s="32" t="n">
        <f aca="false">IFERROR(INDEX(Cohort_Survival!$G$5:$G$65,MATCH(C617,Cohort_Survival!$A$5:$A$65,0)),1)</f>
        <v>0.527579551916928</v>
      </c>
      <c r="F617" s="30" t="n">
        <f aca="false">1-(1-MIN(1,E617))^(1/12)</f>
        <v>0.0605780056797317</v>
      </c>
      <c r="G617" s="39" t="n">
        <f aca="false">IF(C617&lt;Assumptions!$B$5,IF(D617=1,Assumptions!$B$16,IF(D617=2,Assumptions!$B$17,IF(D617&lt;=5,Assumptions!$B$18,Assumptions!$B$19)))*(1-Assumptions!$B$20),0)</f>
        <v>0</v>
      </c>
      <c r="H617" s="30" t="n">
        <f aca="false">1-(1-G617)^(1/12)</f>
        <v>0</v>
      </c>
      <c r="I617" s="30" t="n">
        <f aca="false">I616*(1-F616)*(1-H616)</f>
        <v>6.35983778250535E-005</v>
      </c>
      <c r="J617" s="30" t="n">
        <f aca="false">INDEX(Discount_Monthly!$G$4:$G$664,MATCH(A617,Discount_Monthly!$A$4:$A$664,0))</f>
        <v>0.199992677794809</v>
      </c>
      <c r="K617" s="30" t="n">
        <f aca="false">IF(C617&lt;Assumptions!$B$5,I617*J617,0)</f>
        <v>0</v>
      </c>
      <c r="L617" s="30" t="n">
        <f aca="false">IF(C617&lt;Assumptions!$B$5,I617*(1-F617)*H617*A617*J617,0)</f>
        <v>0</v>
      </c>
      <c r="M617" s="30" t="n">
        <f aca="false">IF(A617=0,Assumptions!$B$14*12*I617*J617,IF(AND(A617&gt;=12,C617&lt;Assumptions!$B$5),Assumptions!$B$15*I617*J617,0))</f>
        <v>0</v>
      </c>
      <c r="N617" s="47" t="n">
        <f aca="false">IF(C617&gt;=Assumptions!$B$5,I617*Assumptions!$B$9/12*(1+Assumptions!$B$10)^INT(A617/12)*J617,0)</f>
        <v>0.04564649741969</v>
      </c>
      <c r="O617" s="47" t="n">
        <f aca="false">I617*Assumptions!$B$12/12*(1+Assumptions!$B$11)^(INT(A617/12)+1)*J617</f>
        <v>0.000298734932548573</v>
      </c>
      <c r="P617" s="47" t="n">
        <f aca="false">O617+Pricing_M!$B$13*M617+N617-Pricing_M!$B$13*K617</f>
        <v>0.0459452323522386</v>
      </c>
      <c r="Q617" s="47" t="n">
        <f aca="false">IF(C617&lt;Assumptions!$B$5,Pricing_M!$B$13*K617-Pricing_M!$B$13*M617-O617,-(N617+O617))</f>
        <v>-0.0459452323522386</v>
      </c>
      <c r="R617" s="32" t="n">
        <f aca="false">R616*(1-(1-(1-MIN(1,E616*(1-Assumptions!$B$21)))^(1/12)))*(1-H616)</f>
        <v>0.00060896225166774</v>
      </c>
      <c r="S617" s="47" t="n">
        <f aca="false">R617*(IF(C617&lt;Assumptions!$B$5,Assumptions!$B$12*(1+Assumptions!$B$11)^(INT(A617/12)+1)/12+Pricing_M!$B$13*IF(A617=0,Assumptions!$B$14*12,IF(A617&gt;=12,Assumptions!$B$15,0))-Pricing_M!$B$13,Assumptions!$B$9/12*(1+Assumptions!$B$10)^INT(A617/12)+Assumptions!$B$12*(1+Assumptions!$B$11)^(INT(A617/12)+1)/12))*J617</f>
        <v>0.439931223145048</v>
      </c>
      <c r="T617" s="32" t="n">
        <f aca="false">T616*(1-F616)*(1-(1-(1-MIN(1,G616*(1+Assumptions!$B$23)))^(1/12)))</f>
        <v>5.76124255252146E-005</v>
      </c>
      <c r="U617" s="47" t="n">
        <f aca="false">T617*(IF(C617&lt;Assumptions!$B$5,Assumptions!$B$12*(1+Assumptions!$B$11)^(INT(A617/12)+1)/12+Pricing_M!$B$13*IF(A617=0,Assumptions!$B$14*12,IF(A617&gt;=12,Assumptions!$B$15,0))-Pricing_M!$B$13,Assumptions!$B$9/12*(1+Assumptions!$B$10)^INT(A617/12)+Assumptions!$B$12*(1+Assumptions!$B$11)^(INT(A617/12)+1)/12))*J617</f>
        <v>0.0416208143612317</v>
      </c>
      <c r="V617" s="32" t="n">
        <f aca="false">V616*(1-F616)*(1-(1-(1-MIN(1,G616*(1-Assumptions!$B$23)))^(1/12)))</f>
        <v>7.01418575681066E-005</v>
      </c>
      <c r="W617" s="47" t="n">
        <f aca="false">V617*(IF(C617&lt;Assumptions!$B$5,Assumptions!$B$12*(1+Assumptions!$B$11)^(INT(A617/12)+1)/12+Pricing_M!$B$13*IF(A617=0,Assumptions!$B$14*12,IF(A617&gt;=12,Assumptions!$B$15,0))-Pricing_M!$B$13,Assumptions!$B$9/12*(1+Assumptions!$B$10)^INT(A617/12)+Assumptions!$B$12*(1+Assumptions!$B$11)^(INT(A617/12)+1)/12))*J617</f>
        <v>0.0506724236339683</v>
      </c>
      <c r="X617" s="47" t="n">
        <f aca="false">I617*(IF(C617&lt;Assumptions!$B$5,Assumptions!$B$12*(1+Assumptions!$B$11)*(1+Assumptions!$B$24)*(1+Assumptions!$B$11+Assumptions!$B$25)^(INT(A617/12))/12+Pricing_M!$B$13*IF(A617=0,Assumptions!$B$14*12,IF(A617&gt;=12,Assumptions!$B$15,0))-Pricing_M!$B$13,Assumptions!$B$9/12*(1+Assumptions!$B$10)^INT(A617/12)+Assumptions!$B$12*(1+Assumptions!$B$11)*(1+Assumptions!$B$24)*(1+Assumptions!$B$11+Assumptions!$B$25)^(INT(A617/12))/12))*J617</f>
        <v>0.0461804502771443</v>
      </c>
    </row>
    <row r="618" customFormat="false" ht="15" hidden="false" customHeight="true" outlineLevel="0" collapsed="false">
      <c r="A618" s="1" t="n">
        <v>611</v>
      </c>
      <c r="B618" s="31" t="n">
        <f aca="false">Assumptions!$B$4+A618/12</f>
        <v>115.916666666667</v>
      </c>
      <c r="C618" s="34" t="n">
        <f aca="false">Assumptions!$B$4+INT(A618/12)</f>
        <v>115</v>
      </c>
      <c r="D618" s="34" t="n">
        <f aca="false">INT(A618/12)+1</f>
        <v>51</v>
      </c>
      <c r="E618" s="32" t="n">
        <f aca="false">IFERROR(INDEX(Cohort_Survival!$G$5:$G$65,MATCH(C618,Cohort_Survival!$A$5:$A$65,0)),1)</f>
        <v>0.527579551916928</v>
      </c>
      <c r="F618" s="30" t="n">
        <f aca="false">1-(1-MIN(1,E618))^(1/12)</f>
        <v>0.0605780056797317</v>
      </c>
      <c r="G618" s="39" t="n">
        <f aca="false">IF(C618&lt;Assumptions!$B$5,IF(D618=1,Assumptions!$B$16,IF(D618=2,Assumptions!$B$17,IF(D618&lt;=5,Assumptions!$B$18,Assumptions!$B$19)))*(1-Assumptions!$B$20),0)</f>
        <v>0</v>
      </c>
      <c r="H618" s="30" t="n">
        <f aca="false">1-(1-G618)^(1/12)</f>
        <v>0</v>
      </c>
      <c r="I618" s="30" t="n">
        <f aca="false">I617*(1-F617)*(1-H617)</f>
        <v>5.97457149319456E-005</v>
      </c>
      <c r="J618" s="30" t="n">
        <f aca="false">INDEX(Discount_Monthly!$G$4:$G$664,MATCH(A618,Discount_Monthly!$A$4:$A$664,0))</f>
        <v>0.199457617758551</v>
      </c>
      <c r="K618" s="30" t="n">
        <f aca="false">IF(C618&lt;Assumptions!$B$5,I618*J618,0)</f>
        <v>0</v>
      </c>
      <c r="L618" s="30" t="n">
        <f aca="false">IF(C618&lt;Assumptions!$B$5,I618*(1-F618)*H618*A618*J618,0)</f>
        <v>0</v>
      </c>
      <c r="M618" s="30" t="n">
        <f aca="false">IF(A618=0,Assumptions!$B$14*12*I618*J618,IF(AND(A618&gt;=12,C618&lt;Assumptions!$B$5),Assumptions!$B$15*I618*J618,0))</f>
        <v>0</v>
      </c>
      <c r="N618" s="47" t="n">
        <f aca="false">IF(C618&gt;=Assumptions!$B$5,I618*Assumptions!$B$9/12*(1+Assumptions!$B$10)^INT(A618/12)*J618,0)</f>
        <v>0.0427665990266471</v>
      </c>
      <c r="O618" s="47" t="n">
        <f aca="false">I618*Assumptions!$B$12/12*(1+Assumptions!$B$11)^(INT(A618/12)+1)*J618</f>
        <v>0.000279887347282999</v>
      </c>
      <c r="P618" s="47" t="n">
        <f aca="false">O618+Pricing_M!$B$13*M618+N618-Pricing_M!$B$13*K618</f>
        <v>0.0430464863739301</v>
      </c>
      <c r="Q618" s="47" t="n">
        <f aca="false">IF(C618&lt;Assumptions!$B$5,Pricing_M!$B$13*K618-Pricing_M!$B$13*M618-O618,-(N618+O618))</f>
        <v>-0.0430464863739301</v>
      </c>
      <c r="R618" s="32" t="n">
        <f aca="false">R617*(1-(1-(1-MIN(1,E617*(1-Assumptions!$B$21)))^(1/12)))*(1-H617)</f>
        <v>0.000581764264245788</v>
      </c>
      <c r="S618" s="47" t="n">
        <f aca="false">R618*(IF(C618&lt;Assumptions!$B$5,Assumptions!$B$12*(1+Assumptions!$B$11)^(INT(A618/12)+1)/12+Pricing_M!$B$13*IF(A618=0,Assumptions!$B$14*12,IF(A618&gt;=12,Assumptions!$B$15,0))-Pricing_M!$B$13,Assumptions!$B$9/12*(1+Assumptions!$B$10)^INT(A618/12)+Assumptions!$B$12*(1+Assumptions!$B$11)^(INT(A618/12)+1)/12))*J618</f>
        <v>0.419158219166368</v>
      </c>
      <c r="T618" s="32" t="n">
        <f aca="false">T617*(1-F617)*(1-(1-(1-MIN(1,G617*(1+Assumptions!$B$23)))^(1/12)))</f>
        <v>5.4122379684525E-005</v>
      </c>
      <c r="U618" s="47" t="n">
        <f aca="false">T618*(IF(C618&lt;Assumptions!$B$5,Assumptions!$B$12*(1+Assumptions!$B$11)^(INT(A618/12)+1)/12+Pricing_M!$B$13*IF(A618=0,Assumptions!$B$14*12,IF(A618&gt;=12,Assumptions!$B$15,0))-Pricing_M!$B$13,Assumptions!$B$9/12*(1+Assumptions!$B$10)^INT(A618/12)+Assumptions!$B$12*(1+Assumptions!$B$11)^(INT(A618/12)+1)/12))*J618</f>
        <v>0.0389949016807038</v>
      </c>
      <c r="V618" s="32" t="n">
        <f aca="false">V617*(1-F617)*(1-(1-(1-MIN(1,G617*(1-Assumptions!$B$23)))^(1/12)))</f>
        <v>6.58928037219589E-005</v>
      </c>
      <c r="W618" s="47" t="n">
        <f aca="false">V618*(IF(C618&lt;Assumptions!$B$5,Assumptions!$B$12*(1+Assumptions!$B$11)^(INT(A618/12)+1)/12+Pricing_M!$B$13*IF(A618=0,Assumptions!$B$14*12,IF(A618&gt;=12,Assumptions!$B$15,0))-Pricing_M!$B$13,Assumptions!$B$9/12*(1+Assumptions!$B$10)^INT(A618/12)+Assumptions!$B$12*(1+Assumptions!$B$11)^(INT(A618/12)+1)/12))*J618</f>
        <v>0.0474754328538585</v>
      </c>
      <c r="X618" s="47" t="n">
        <f aca="false">I618*(IF(C618&lt;Assumptions!$B$5,Assumptions!$B$12*(1+Assumptions!$B$11)*(1+Assumptions!$B$24)*(1+Assumptions!$B$11+Assumptions!$B$25)^(INT(A618/12))/12+Pricing_M!$B$13*IF(A618=0,Assumptions!$B$14*12,IF(A618&gt;=12,Assumptions!$B$15,0))-Pricing_M!$B$13,Assumptions!$B$9/12*(1+Assumptions!$B$10)^INT(A618/12)+Assumptions!$B$12*(1+Assumptions!$B$11)*(1+Assumptions!$B$24)*(1+Assumptions!$B$11+Assumptions!$B$25)^(INT(A618/12))/12))*J618</f>
        <v>0.0432668640862841</v>
      </c>
    </row>
    <row r="619" customFormat="false" ht="15" hidden="false" customHeight="true" outlineLevel="0" collapsed="false">
      <c r="A619" s="1" t="n">
        <v>612</v>
      </c>
      <c r="B619" s="31" t="n">
        <f aca="false">Assumptions!$B$4+A619/12</f>
        <v>116</v>
      </c>
      <c r="C619" s="34" t="n">
        <f aca="false">Assumptions!$B$4+INT(A619/12)</f>
        <v>116</v>
      </c>
      <c r="D619" s="34" t="n">
        <f aca="false">INT(A619/12)+1</f>
        <v>52</v>
      </c>
      <c r="E619" s="32" t="n">
        <f aca="false">IFERROR(INDEX(Cohort_Survival!$G$5:$G$65,MATCH(C619,Cohort_Survival!$A$5:$A$65,0)),1)</f>
        <v>0.544352264852119</v>
      </c>
      <c r="F619" s="30" t="n">
        <f aca="false">1-(1-MIN(1,E619))^(1/12)</f>
        <v>0.0634037067320352</v>
      </c>
      <c r="G619" s="39" t="n">
        <f aca="false">IF(C619&lt;Assumptions!$B$5,IF(D619=1,Assumptions!$B$16,IF(D619=2,Assumptions!$B$17,IF(D619&lt;=5,Assumptions!$B$18,Assumptions!$B$19)))*(1-Assumptions!$B$20),0)</f>
        <v>0</v>
      </c>
      <c r="H619" s="30" t="n">
        <f aca="false">1-(1-G619)^(1/12)</f>
        <v>0</v>
      </c>
      <c r="I619" s="30" t="n">
        <f aca="false">I618*(1-F618)*(1-H618)</f>
        <v>5.61264386734586E-005</v>
      </c>
      <c r="J619" s="30" t="n">
        <f aca="false">INDEX(Discount_Monthly!$G$4:$G$664,MATCH(A619,Discount_Monthly!$A$4:$A$664,0))</f>
        <v>0.198923989220914</v>
      </c>
      <c r="K619" s="30" t="n">
        <f aca="false">IF(C619&lt;Assumptions!$B$5,I619*J619,0)</f>
        <v>0</v>
      </c>
      <c r="L619" s="30" t="n">
        <f aca="false">IF(C619&lt;Assumptions!$B$5,I619*(1-F619)*H619*A619*J619,0)</f>
        <v>0</v>
      </c>
      <c r="M619" s="30" t="n">
        <f aca="false">IF(A619=0,Assumptions!$B$14*12*I619*J619,IF(AND(A619&gt;=12,C619&lt;Assumptions!$B$5),Assumptions!$B$15*I619*J619,0))</f>
        <v>0</v>
      </c>
      <c r="N619" s="47" t="n">
        <f aca="false">IF(C619&gt;=Assumptions!$B$5,I619*Assumptions!$B$9/12*(1+Assumptions!$B$10)^INT(A619/12)*J619,0)</f>
        <v>0.0408697652089163</v>
      </c>
      <c r="O619" s="47" t="n">
        <f aca="false">I619*Assumptions!$B$12/12*(1+Assumptions!$B$11)^(INT(A619/12)+1)*J619</f>
        <v>0.000268784603338233</v>
      </c>
      <c r="P619" s="47" t="n">
        <f aca="false">O619+Pricing_M!$B$13*M619+N619-Pricing_M!$B$13*K619</f>
        <v>0.0411385498122546</v>
      </c>
      <c r="Q619" s="47" t="n">
        <f aca="false">IF(C619&lt;Assumptions!$B$5,Pricing_M!$B$13*K619-Pricing_M!$B$13*M619-O619,-(N619+O619))</f>
        <v>-0.0411385498122546</v>
      </c>
      <c r="R619" s="32" t="n">
        <f aca="false">R618*(1-(1-(1-MIN(1,E618*(1-Assumptions!$B$21)))^(1/12)))*(1-H618)</f>
        <v>0.000555781016354536</v>
      </c>
      <c r="S619" s="47" t="n">
        <f aca="false">R619*(IF(C619&lt;Assumptions!$B$5,Assumptions!$B$12*(1+Assumptions!$B$11)^(INT(A619/12)+1)/12+Pricing_M!$B$13*IF(A619=0,Assumptions!$B$14*12,IF(A619&gt;=12,Assumptions!$B$15,0))-Pricing_M!$B$13,Assumptions!$B$9/12*(1+Assumptions!$B$10)^INT(A619/12)+Assumptions!$B$12*(1+Assumptions!$B$11)^(INT(A619/12)+1)/12))*J619</f>
        <v>0.407366395702185</v>
      </c>
      <c r="T619" s="32" t="n">
        <f aca="false">T618*(1-F618)*(1-(1-(1-MIN(1,G618*(1+Assumptions!$B$23)))^(1/12)))</f>
        <v>5.08437538605953E-005</v>
      </c>
      <c r="U619" s="47" t="n">
        <f aca="false">T619*(IF(C619&lt;Assumptions!$B$5,Assumptions!$B$12*(1+Assumptions!$B$11)^(INT(A619/12)+1)/12+Pricing_M!$B$13*IF(A619=0,Assumptions!$B$14*12,IF(A619&gt;=12,Assumptions!$B$15,0))-Pricing_M!$B$13,Assumptions!$B$9/12*(1+Assumptions!$B$10)^INT(A619/12)+Assumptions!$B$12*(1+Assumptions!$B$11)^(INT(A619/12)+1)/12))*J619</f>
        <v>0.0372665422975646</v>
      </c>
      <c r="V619" s="32" t="n">
        <f aca="false">V618*(1-F618)*(1-(1-(1-MIN(1,G618*(1-Assumptions!$B$23)))^(1/12)))</f>
        <v>6.19011490838367E-005</v>
      </c>
      <c r="W619" s="47" t="n">
        <f aca="false">V619*(IF(C619&lt;Assumptions!$B$5,Assumptions!$B$12*(1+Assumptions!$B$11)^(INT(A619/12)+1)/12+Pricing_M!$B$13*IF(A619=0,Assumptions!$B$14*12,IF(A619&gt;=12,Assumptions!$B$15,0))-Pricing_M!$B$13,Assumptions!$B$9/12*(1+Assumptions!$B$10)^INT(A619/12)+Assumptions!$B$12*(1+Assumptions!$B$11)^(INT(A619/12)+1)/12))*J619</f>
        <v>0.0453711934198566</v>
      </c>
      <c r="X619" s="47" t="n">
        <f aca="false">I619*(IF(C619&lt;Assumptions!$B$5,Assumptions!$B$12*(1+Assumptions!$B$11)*(1+Assumptions!$B$24)*(1+Assumptions!$B$11+Assumptions!$B$25)^(INT(A619/12))/12+Pricing_M!$B$13*IF(A619=0,Assumptions!$B$14*12,IF(A619&gt;=12,Assumptions!$B$15,0))-Pricing_M!$B$13,Assumptions!$B$9/12*(1+Assumptions!$B$10)^INT(A619/12)+Assumptions!$B$12*(1+Assumptions!$B$11)*(1+Assumptions!$B$24)*(1+Assumptions!$B$11+Assumptions!$B$25)^(INT(A619/12))/12))*J619</f>
        <v>0.0413548724722707</v>
      </c>
    </row>
    <row r="620" customFormat="false" ht="15" hidden="false" customHeight="true" outlineLevel="0" collapsed="false">
      <c r="A620" s="1" t="n">
        <v>613</v>
      </c>
      <c r="B620" s="31" t="n">
        <f aca="false">Assumptions!$B$4+A620/12</f>
        <v>116.083333333333</v>
      </c>
      <c r="C620" s="34" t="n">
        <f aca="false">Assumptions!$B$4+INT(A620/12)</f>
        <v>116</v>
      </c>
      <c r="D620" s="34" t="n">
        <f aca="false">INT(A620/12)+1</f>
        <v>52</v>
      </c>
      <c r="E620" s="32" t="n">
        <f aca="false">IFERROR(INDEX(Cohort_Survival!$G$5:$G$65,MATCH(C620,Cohort_Survival!$A$5:$A$65,0)),1)</f>
        <v>0.544352264852119</v>
      </c>
      <c r="F620" s="30" t="n">
        <f aca="false">1-(1-MIN(1,E620))^(1/12)</f>
        <v>0.0634037067320352</v>
      </c>
      <c r="G620" s="39" t="n">
        <f aca="false">IF(C620&lt;Assumptions!$B$5,IF(D620=1,Assumptions!$B$16,IF(D620=2,Assumptions!$B$17,IF(D620&lt;=5,Assumptions!$B$18,Assumptions!$B$19)))*(1-Assumptions!$B$20),0)</f>
        <v>0</v>
      </c>
      <c r="H620" s="30" t="n">
        <f aca="false">1-(1-G620)^(1/12)</f>
        <v>0</v>
      </c>
      <c r="I620" s="30" t="n">
        <f aca="false">I619*(1-F619)*(1-H619)</f>
        <v>5.25678144158931E-005</v>
      </c>
      <c r="J620" s="30" t="n">
        <f aca="false">INDEX(Discount_Monthly!$G$4:$G$664,MATCH(A620,Discount_Monthly!$A$4:$A$664,0))</f>
        <v>0.198391468084066</v>
      </c>
      <c r="K620" s="30" t="n">
        <f aca="false">IF(C620&lt;Assumptions!$B$5,I620*J620,0)</f>
        <v>0</v>
      </c>
      <c r="L620" s="30" t="n">
        <f aca="false">IF(C620&lt;Assumptions!$B$5,I620*(1-F620)*H620*A620*J620,0)</f>
        <v>0</v>
      </c>
      <c r="M620" s="30" t="n">
        <f aca="false">IF(A620=0,Assumptions!$B$14*12*I620*J620,IF(AND(A620&gt;=12,C620&lt;Assumptions!$B$5),Assumptions!$B$15*I620*J620,0))</f>
        <v>0</v>
      </c>
      <c r="N620" s="47" t="n">
        <f aca="false">IF(C620&gt;=Assumptions!$B$5,I620*Assumptions!$B$9/12*(1+Assumptions!$B$10)^INT(A620/12)*J620,0)</f>
        <v>0.0381759988243121</v>
      </c>
      <c r="O620" s="47" t="n">
        <f aca="false">I620*Assumptions!$B$12/12*(1+Assumptions!$B$11)^(INT(A620/12)+1)*J620</f>
        <v>0.000251068746017532</v>
      </c>
      <c r="P620" s="47" t="n">
        <f aca="false">O620+Pricing_M!$B$13*M620+N620-Pricing_M!$B$13*K620</f>
        <v>0.0384270675703297</v>
      </c>
      <c r="Q620" s="47" t="n">
        <f aca="false">IF(C620&lt;Assumptions!$B$5,Pricing_M!$B$13*K620-Pricing_M!$B$13*M620-O620,-(N620+O620))</f>
        <v>-0.0384270675703297</v>
      </c>
      <c r="R620" s="32" t="n">
        <f aca="false">R619*(1-(1-(1-MIN(1,E619*(1-Assumptions!$B$21)))^(1/12)))*(1-H619)</f>
        <v>0.000529919869161873</v>
      </c>
      <c r="S620" s="47" t="n">
        <f aca="false">R620*(IF(C620&lt;Assumptions!$B$5,Assumptions!$B$12*(1+Assumptions!$B$11)^(INT(A620/12)+1)/12+Pricing_M!$B$13*IF(A620=0,Assumptions!$B$14*12,IF(A620&gt;=12,Assumptions!$B$15,0))-Pricing_M!$B$13,Assumptions!$B$9/12*(1+Assumptions!$B$10)^INT(A620/12)+Assumptions!$B$12*(1+Assumptions!$B$11)^(INT(A620/12)+1)/12))*J620</f>
        <v>0.38737137629574</v>
      </c>
      <c r="T620" s="32" t="n">
        <f aca="false">T619*(1-F619)*(1-(1-(1-MIN(1,G619*(1+Assumptions!$B$23)))^(1/12)))</f>
        <v>4.76200714016623E-005</v>
      </c>
      <c r="U620" s="47" t="n">
        <f aca="false">T620*(IF(C620&lt;Assumptions!$B$5,Assumptions!$B$12*(1+Assumptions!$B$11)^(INT(A620/12)+1)/12+Pricing_M!$B$13*IF(A620=0,Assumptions!$B$14*12,IF(A620&gt;=12,Assumptions!$B$15,0))-Pricing_M!$B$13,Assumptions!$B$9/12*(1+Assumptions!$B$10)^INT(A620/12)+Assumptions!$B$12*(1+Assumptions!$B$11)^(INT(A620/12)+1)/12))*J620</f>
        <v>0.0348102678756673</v>
      </c>
      <c r="V620" s="32" t="n">
        <f aca="false">V619*(1-F619)*(1-(1-(1-MIN(1,G619*(1-Assumptions!$B$23)))^(1/12)))</f>
        <v>5.79763867809491E-005</v>
      </c>
      <c r="W620" s="47" t="n">
        <f aca="false">V620*(IF(C620&lt;Assumptions!$B$5,Assumptions!$B$12*(1+Assumptions!$B$11)^(INT(A620/12)+1)/12+Pricing_M!$B$13*IF(A620=0,Assumptions!$B$14*12,IF(A620&gt;=12,Assumptions!$B$15,0))-Pricing_M!$B$13,Assumptions!$B$9/12*(1+Assumptions!$B$10)^INT(A620/12)+Assumptions!$B$12*(1+Assumptions!$B$11)^(INT(A620/12)+1)/12))*J620</f>
        <v>0.04238073347865</v>
      </c>
      <c r="X620" s="47" t="n">
        <f aca="false">I620*(IF(C620&lt;Assumptions!$B$5,Assumptions!$B$12*(1+Assumptions!$B$11)*(1+Assumptions!$B$24)*(1+Assumptions!$B$11+Assumptions!$B$25)^(INT(A620/12))/12+Pricing_M!$B$13*IF(A620=0,Assumptions!$B$14*12,IF(A620&gt;=12,Assumptions!$B$15,0))-Pricing_M!$B$13,Assumptions!$B$9/12*(1+Assumptions!$B$10)^INT(A620/12)+Assumptions!$B$12*(1+Assumptions!$B$11)*(1+Assumptions!$B$24)*(1+Assumptions!$B$11+Assumptions!$B$25)^(INT(A620/12))/12))*J620</f>
        <v>0.0386291321912599</v>
      </c>
    </row>
    <row r="621" customFormat="false" ht="15" hidden="false" customHeight="true" outlineLevel="0" collapsed="false">
      <c r="A621" s="1" t="n">
        <v>614</v>
      </c>
      <c r="B621" s="31" t="n">
        <f aca="false">Assumptions!$B$4+A621/12</f>
        <v>116.166666666667</v>
      </c>
      <c r="C621" s="34" t="n">
        <f aca="false">Assumptions!$B$4+INT(A621/12)</f>
        <v>116</v>
      </c>
      <c r="D621" s="34" t="n">
        <f aca="false">INT(A621/12)+1</f>
        <v>52</v>
      </c>
      <c r="E621" s="32" t="n">
        <f aca="false">IFERROR(INDEX(Cohort_Survival!$G$5:$G$65,MATCH(C621,Cohort_Survival!$A$5:$A$65,0)),1)</f>
        <v>0.544352264852119</v>
      </c>
      <c r="F621" s="30" t="n">
        <f aca="false">1-(1-MIN(1,E621))^(1/12)</f>
        <v>0.0634037067320352</v>
      </c>
      <c r="G621" s="39" t="n">
        <f aca="false">IF(C621&lt;Assumptions!$B$5,IF(D621=1,Assumptions!$B$16,IF(D621=2,Assumptions!$B$17,IF(D621&lt;=5,Assumptions!$B$18,Assumptions!$B$19)))*(1-Assumptions!$B$20),0)</f>
        <v>0</v>
      </c>
      <c r="H621" s="30" t="n">
        <f aca="false">1-(1-G621)^(1/12)</f>
        <v>0</v>
      </c>
      <c r="I621" s="30" t="n">
        <f aca="false">I620*(1-F620)*(1-H620)</f>
        <v>4.92348201271237E-005</v>
      </c>
      <c r="J621" s="30" t="n">
        <f aca="false">INDEX(Discount_Monthly!$G$4:$G$664,MATCH(A621,Discount_Monthly!$A$4:$A$664,0))</f>
        <v>0.197860372510631</v>
      </c>
      <c r="K621" s="30" t="n">
        <f aca="false">IF(C621&lt;Assumptions!$B$5,I621*J621,0)</f>
        <v>0</v>
      </c>
      <c r="L621" s="30" t="n">
        <f aca="false">IF(C621&lt;Assumptions!$B$5,I621*(1-F621)*H621*A621*J621,0)</f>
        <v>0</v>
      </c>
      <c r="M621" s="30" t="n">
        <f aca="false">IF(A621=0,Assumptions!$B$14*12*I621*J621,IF(AND(A621&gt;=12,C621&lt;Assumptions!$B$5),Assumptions!$B$15*I621*J621,0))</f>
        <v>0</v>
      </c>
      <c r="N621" s="47" t="n">
        <f aca="false">IF(C621&gt;=Assumptions!$B$5,I621*Assumptions!$B$9/12*(1+Assumptions!$B$10)^INT(A621/12)*J621,0)</f>
        <v>0.0356597812290815</v>
      </c>
      <c r="O621" s="47" t="n">
        <f aca="false">I621*Assumptions!$B$12/12*(1+Assumptions!$B$11)^(INT(A621/12)+1)*J621</f>
        <v>0.000234520558260897</v>
      </c>
      <c r="P621" s="47" t="n">
        <f aca="false">O621+Pricing_M!$B$13*M621+N621-Pricing_M!$B$13*K621</f>
        <v>0.0358943017873424</v>
      </c>
      <c r="Q621" s="47" t="n">
        <f aca="false">IF(C621&lt;Assumptions!$B$5,Pricing_M!$B$13*K621-Pricing_M!$B$13*M621-O621,-(N621+O621))</f>
        <v>-0.0358943017873424</v>
      </c>
      <c r="R621" s="32" t="n">
        <f aca="false">R620*(1-(1-(1-MIN(1,E620*(1-Assumptions!$B$21)))^(1/12)))*(1-H620)</f>
        <v>0.000505262071695882</v>
      </c>
      <c r="S621" s="47" t="n">
        <f aca="false">R621*(IF(C621&lt;Assumptions!$B$5,Assumptions!$B$12*(1+Assumptions!$B$11)^(INT(A621/12)+1)/12+Pricing_M!$B$13*IF(A621=0,Assumptions!$B$14*12,IF(A621&gt;=12,Assumptions!$B$15,0))-Pricing_M!$B$13,Assumptions!$B$9/12*(1+Assumptions!$B$10)^INT(A621/12)+Assumptions!$B$12*(1+Assumptions!$B$11)^(INT(A621/12)+1)/12))*J621</f>
        <v>0.368357784923816</v>
      </c>
      <c r="T621" s="32" t="n">
        <f aca="false">T620*(1-F620)*(1-(1-(1-MIN(1,G620*(1+Assumptions!$B$23)))^(1/12)))</f>
        <v>4.46007823599527E-005</v>
      </c>
      <c r="U621" s="47" t="n">
        <f aca="false">T621*(IF(C621&lt;Assumptions!$B$5,Assumptions!$B$12*(1+Assumptions!$B$11)^(INT(A621/12)+1)/12+Pricing_M!$B$13*IF(A621=0,Assumptions!$B$14*12,IF(A621&gt;=12,Assumptions!$B$15,0))-Pricing_M!$B$13,Assumptions!$B$9/12*(1+Assumptions!$B$10)^INT(A621/12)+Assumptions!$B$12*(1+Assumptions!$B$11)^(INT(A621/12)+1)/12))*J621</f>
        <v>0.0325158889145158</v>
      </c>
      <c r="V621" s="32" t="n">
        <f aca="false">V620*(1-F620)*(1-(1-(1-MIN(1,G620*(1-Assumptions!$B$23)))^(1/12)))</f>
        <v>5.43004689561068E-005</v>
      </c>
      <c r="W621" s="47" t="n">
        <f aca="false">V621*(IF(C621&lt;Assumptions!$B$5,Assumptions!$B$12*(1+Assumptions!$B$11)^(INT(A621/12)+1)/12+Pricing_M!$B$13*IF(A621=0,Assumptions!$B$14*12,IF(A621&gt;=12,Assumptions!$B$15,0))-Pricing_M!$B$13,Assumptions!$B$9/12*(1+Assumptions!$B$10)^INT(A621/12)+Assumptions!$B$12*(1+Assumptions!$B$11)^(INT(A621/12)+1)/12))*J621</f>
        <v>0.0395873776906713</v>
      </c>
      <c r="X621" s="47" t="n">
        <f aca="false">I621*(IF(C621&lt;Assumptions!$B$5,Assumptions!$B$12*(1+Assumptions!$B$11)*(1+Assumptions!$B$24)*(1+Assumptions!$B$11+Assumptions!$B$25)^(INT(A621/12))/12+Pricing_M!$B$13*IF(A621=0,Assumptions!$B$14*12,IF(A621&gt;=12,Assumptions!$B$15,0))-Pricing_M!$B$13,Assumptions!$B$9/12*(1+Assumptions!$B$10)^INT(A621/12)+Assumptions!$B$12*(1+Assumptions!$B$11)*(1+Assumptions!$B$24)*(1+Assumptions!$B$11+Assumptions!$B$25)^(INT(A621/12))/12))*J621</f>
        <v>0.0360830481305532</v>
      </c>
    </row>
    <row r="622" customFormat="false" ht="15" hidden="false" customHeight="true" outlineLevel="0" collapsed="false">
      <c r="A622" s="1" t="n">
        <v>615</v>
      </c>
      <c r="B622" s="31" t="n">
        <f aca="false">Assumptions!$B$4+A622/12</f>
        <v>116.25</v>
      </c>
      <c r="C622" s="34" t="n">
        <f aca="false">Assumptions!$B$4+INT(A622/12)</f>
        <v>116</v>
      </c>
      <c r="D622" s="34" t="n">
        <f aca="false">INT(A622/12)+1</f>
        <v>52</v>
      </c>
      <c r="E622" s="32" t="n">
        <f aca="false">IFERROR(INDEX(Cohort_Survival!$G$5:$G$65,MATCH(C622,Cohort_Survival!$A$5:$A$65,0)),1)</f>
        <v>0.544352264852119</v>
      </c>
      <c r="F622" s="30" t="n">
        <f aca="false">1-(1-MIN(1,E622))^(1/12)</f>
        <v>0.0634037067320352</v>
      </c>
      <c r="G622" s="39" t="n">
        <f aca="false">IF(C622&lt;Assumptions!$B$5,IF(D622=1,Assumptions!$B$16,IF(D622=2,Assumptions!$B$17,IF(D622&lt;=5,Assumptions!$B$18,Assumptions!$B$19)))*(1-Assumptions!$B$20),0)</f>
        <v>0</v>
      </c>
      <c r="H622" s="30" t="n">
        <f aca="false">1-(1-G622)^(1/12)</f>
        <v>0</v>
      </c>
      <c r="I622" s="30" t="n">
        <f aca="false">I621*(1-F621)*(1-H621)</f>
        <v>4.61131500307791E-005</v>
      </c>
      <c r="J622" s="30" t="n">
        <f aca="false">INDEX(Discount_Monthly!$G$4:$G$664,MATCH(A622,Discount_Monthly!$A$4:$A$664,0))</f>
        <v>0.197330698684366</v>
      </c>
      <c r="K622" s="30" t="n">
        <f aca="false">IF(C622&lt;Assumptions!$B$5,I622*J622,0)</f>
        <v>0</v>
      </c>
      <c r="L622" s="30" t="n">
        <f aca="false">IF(C622&lt;Assumptions!$B$5,I622*(1-F622)*H622*A622*J622,0)</f>
        <v>0</v>
      </c>
      <c r="M622" s="30" t="n">
        <f aca="false">IF(A622=0,Assumptions!$B$14*12*I622*J622,IF(AND(A622&gt;=12,C622&lt;Assumptions!$B$5),Assumptions!$B$15*I622*J622,0))</f>
        <v>0</v>
      </c>
      <c r="N622" s="47" t="n">
        <f aca="false">IF(C622&gt;=Assumptions!$B$5,I622*Assumptions!$B$9/12*(1+Assumptions!$B$10)^INT(A622/12)*J622,0)</f>
        <v>0.0333094100080528</v>
      </c>
      <c r="O622" s="47" t="n">
        <f aca="false">I622*Assumptions!$B$12/12*(1+Assumptions!$B$11)^(INT(A622/12)+1)*J622</f>
        <v>0.000219063077819977</v>
      </c>
      <c r="P622" s="47" t="n">
        <f aca="false">O622+Pricing_M!$B$13*M622+N622-Pricing_M!$B$13*K622</f>
        <v>0.0335284730858727</v>
      </c>
      <c r="Q622" s="47" t="n">
        <f aca="false">IF(C622&lt;Assumptions!$B$5,Pricing_M!$B$13*K622-Pricing_M!$B$13*M622-O622,-(N622+O622))</f>
        <v>-0.0335284730858727</v>
      </c>
      <c r="R622" s="32" t="n">
        <f aca="false">R621*(1-(1-(1-MIN(1,E621*(1-Assumptions!$B$21)))^(1/12)))*(1-H621)</f>
        <v>0.000481751630672359</v>
      </c>
      <c r="S622" s="47" t="n">
        <f aca="false">R622*(IF(C622&lt;Assumptions!$B$5,Assumptions!$B$12*(1+Assumptions!$B$11)^(INT(A622/12)+1)/12+Pricing_M!$B$13*IF(A622=0,Assumptions!$B$14*12,IF(A622&gt;=12,Assumptions!$B$15,0))-Pricing_M!$B$13,Assumptions!$B$9/12*(1+Assumptions!$B$10)^INT(A622/12)+Assumptions!$B$12*(1+Assumptions!$B$11)^(INT(A622/12)+1)/12))*J622</f>
        <v>0.350277449540798</v>
      </c>
      <c r="T622" s="32" t="n">
        <f aca="false">T621*(1-F621)*(1-(1-(1-MIN(1,G621*(1+Assumptions!$B$23)))^(1/12)))</f>
        <v>4.1772927435183E-005</v>
      </c>
      <c r="U622" s="47" t="n">
        <f aca="false">T622*(IF(C622&lt;Assumptions!$B$5,Assumptions!$B$12*(1+Assumptions!$B$11)^(INT(A622/12)+1)/12+Pricing_M!$B$13*IF(A622=0,Assumptions!$B$14*12,IF(A622&gt;=12,Assumptions!$B$15,0))-Pricing_M!$B$13,Assumptions!$B$9/12*(1+Assumptions!$B$10)^INT(A622/12)+Assumptions!$B$12*(1+Assumptions!$B$11)^(INT(A622/12)+1)/12))*J622</f>
        <v>0.0303727347252096</v>
      </c>
      <c r="V622" s="32" t="n">
        <f aca="false">V621*(1-F621)*(1-(1-(1-MIN(1,G621*(1-Assumptions!$B$23)))^(1/12)))</f>
        <v>5.08576179470018E-005</v>
      </c>
      <c r="W622" s="47" t="n">
        <f aca="false">V622*(IF(C622&lt;Assumptions!$B$5,Assumptions!$B$12*(1+Assumptions!$B$11)^(INT(A622/12)+1)/12+Pricing_M!$B$13*IF(A622=0,Assumptions!$B$14*12,IF(A622&gt;=12,Assumptions!$B$15,0))-Pricing_M!$B$13,Assumptions!$B$9/12*(1+Assumptions!$B$10)^INT(A622/12)+Assumptions!$B$12*(1+Assumptions!$B$11)^(INT(A622/12)+1)/12))*J622</f>
        <v>0.0369781347275017</v>
      </c>
      <c r="X622" s="47" t="n">
        <f aca="false">I622*(IF(C622&lt;Assumptions!$B$5,Assumptions!$B$12*(1+Assumptions!$B$11)*(1+Assumptions!$B$24)*(1+Assumptions!$B$11+Assumptions!$B$25)^(INT(A622/12))/12+Pricing_M!$B$13*IF(A622=0,Assumptions!$B$14*12,IF(A622&gt;=12,Assumptions!$B$15,0))-Pricing_M!$B$13,Assumptions!$B$9/12*(1+Assumptions!$B$10)^INT(A622/12)+Assumptions!$B$12*(1+Assumptions!$B$11)*(1+Assumptions!$B$24)*(1+Assumptions!$B$11+Assumptions!$B$25)^(INT(A622/12))/12))*J622</f>
        <v>0.0337047789721355</v>
      </c>
    </row>
    <row r="623" customFormat="false" ht="15" hidden="false" customHeight="true" outlineLevel="0" collapsed="false">
      <c r="A623" s="1" t="n">
        <v>616</v>
      </c>
      <c r="B623" s="31" t="n">
        <f aca="false">Assumptions!$B$4+A623/12</f>
        <v>116.333333333333</v>
      </c>
      <c r="C623" s="34" t="n">
        <f aca="false">Assumptions!$B$4+INT(A623/12)</f>
        <v>116</v>
      </c>
      <c r="D623" s="34" t="n">
        <f aca="false">INT(A623/12)+1</f>
        <v>52</v>
      </c>
      <c r="E623" s="32" t="n">
        <f aca="false">IFERROR(INDEX(Cohort_Survival!$G$5:$G$65,MATCH(C623,Cohort_Survival!$A$5:$A$65,0)),1)</f>
        <v>0.544352264852119</v>
      </c>
      <c r="F623" s="30" t="n">
        <f aca="false">1-(1-MIN(1,E623))^(1/12)</f>
        <v>0.0634037067320352</v>
      </c>
      <c r="G623" s="39" t="n">
        <f aca="false">IF(C623&lt;Assumptions!$B$5,IF(D623=1,Assumptions!$B$16,IF(D623=2,Assumptions!$B$17,IF(D623&lt;=5,Assumptions!$B$18,Assumptions!$B$19)))*(1-Assumptions!$B$20),0)</f>
        <v>0</v>
      </c>
      <c r="H623" s="30" t="n">
        <f aca="false">1-(1-G623)^(1/12)</f>
        <v>0</v>
      </c>
      <c r="I623" s="30" t="n">
        <f aca="false">I622*(1-F622)*(1-H622)</f>
        <v>4.31894053897372E-005</v>
      </c>
      <c r="J623" s="30" t="n">
        <f aca="false">INDEX(Discount_Monthly!$G$4:$G$664,MATCH(A623,Discount_Monthly!$A$4:$A$664,0))</f>
        <v>0.196802442799241</v>
      </c>
      <c r="K623" s="30" t="n">
        <f aca="false">IF(C623&lt;Assumptions!$B$5,I623*J623,0)</f>
        <v>0</v>
      </c>
      <c r="L623" s="30" t="n">
        <f aca="false">IF(C623&lt;Assumptions!$B$5,I623*(1-F623)*H623*A623*J623,0)</f>
        <v>0</v>
      </c>
      <c r="M623" s="30" t="n">
        <f aca="false">IF(A623=0,Assumptions!$B$14*12*I623*J623,IF(AND(A623&gt;=12,C623&lt;Assumptions!$B$5),Assumptions!$B$15*I623*J623,0))</f>
        <v>0</v>
      </c>
      <c r="N623" s="47" t="n">
        <f aca="false">IF(C623&gt;=Assumptions!$B$5,I623*Assumptions!$B$9/12*(1+Assumptions!$B$10)^INT(A623/12)*J623,0)</f>
        <v>0.0311139540637373</v>
      </c>
      <c r="O623" s="47" t="n">
        <f aca="false">I623*Assumptions!$B$12/12*(1+Assumptions!$B$11)^(INT(A623/12)+1)*J623</f>
        <v>0.000204624415103837</v>
      </c>
      <c r="P623" s="47" t="n">
        <f aca="false">O623+Pricing_M!$B$13*M623+N623-Pricing_M!$B$13*K623</f>
        <v>0.0313185784788412</v>
      </c>
      <c r="Q623" s="47" t="n">
        <f aca="false">IF(C623&lt;Assumptions!$B$5,Pricing_M!$B$13*K623-Pricing_M!$B$13*M623-O623,-(N623+O623))</f>
        <v>-0.0313185784788412</v>
      </c>
      <c r="R623" s="32" t="n">
        <f aca="false">R622*(1-(1-(1-MIN(1,E622*(1-Assumptions!$B$21)))^(1/12)))*(1-H622)</f>
        <v>0.000459335158240749</v>
      </c>
      <c r="S623" s="47" t="n">
        <f aca="false">R623*(IF(C623&lt;Assumptions!$B$5,Assumptions!$B$12*(1+Assumptions!$B$11)^(INT(A623/12)+1)/12+Pricing_M!$B$13*IF(A623=0,Assumptions!$B$14*12,IF(A623&gt;=12,Assumptions!$B$15,0))-Pricing_M!$B$13,Assumptions!$B$9/12*(1+Assumptions!$B$10)^INT(A623/12)+Assumptions!$B$12*(1+Assumptions!$B$11)^(INT(A623/12)+1)/12))*J623</f>
        <v>0.333084562559692</v>
      </c>
      <c r="T623" s="32" t="n">
        <f aca="false">T622*(1-F622)*(1-(1-(1-MIN(1,G622*(1+Assumptions!$B$23)))^(1/12)))</f>
        <v>3.9124368994744E-005</v>
      </c>
      <c r="U623" s="47" t="n">
        <f aca="false">T623*(IF(C623&lt;Assumptions!$B$5,Assumptions!$B$12*(1+Assumptions!$B$11)^(INT(A623/12)+1)/12+Pricing_M!$B$13*IF(A623=0,Assumptions!$B$14*12,IF(A623&gt;=12,Assumptions!$B$15,0))-Pricing_M!$B$13,Assumptions!$B$9/12*(1+Assumptions!$B$10)^INT(A623/12)+Assumptions!$B$12*(1+Assumptions!$B$11)^(INT(A623/12)+1)/12))*J623</f>
        <v>0.0283708379344392</v>
      </c>
      <c r="V623" s="32" t="n">
        <f aca="false">V622*(1-F622)*(1-(1-(1-MIN(1,G622*(1-Assumptions!$B$23)))^(1/12)))</f>
        <v>4.76330564536002E-005</v>
      </c>
      <c r="W623" s="47" t="n">
        <f aca="false">V623*(IF(C623&lt;Assumptions!$B$5,Assumptions!$B$12*(1+Assumptions!$B$11)^(INT(A623/12)+1)/12+Pricing_M!$B$13*IF(A623=0,Assumptions!$B$14*12,IF(A623&gt;=12,Assumptions!$B$15,0))-Pricing_M!$B$13,Assumptions!$B$9/12*(1+Assumptions!$B$10)^INT(A623/12)+Assumptions!$B$12*(1+Assumptions!$B$11)^(INT(A623/12)+1)/12))*J623</f>
        <v>0.0345408695319439</v>
      </c>
      <c r="X623" s="47" t="n">
        <f aca="false">I623*(IF(C623&lt;Assumptions!$B$5,Assumptions!$B$12*(1+Assumptions!$B$11)*(1+Assumptions!$B$24)*(1+Assumptions!$B$11+Assumptions!$B$25)^(INT(A623/12))/12+Pricing_M!$B$13*IF(A623=0,Assumptions!$B$14*12,IF(A623&gt;=12,Assumptions!$B$15,0))-Pricing_M!$B$13,Assumptions!$B$9/12*(1+Assumptions!$B$10)^INT(A623/12)+Assumptions!$B$12*(1+Assumptions!$B$11)*(1+Assumptions!$B$24)*(1+Assumptions!$B$11+Assumptions!$B$25)^(INT(A623/12))/12))*J623</f>
        <v>0.0314832638708976</v>
      </c>
    </row>
    <row r="624" customFormat="false" ht="15" hidden="false" customHeight="true" outlineLevel="0" collapsed="false">
      <c r="A624" s="1" t="n">
        <v>617</v>
      </c>
      <c r="B624" s="31" t="n">
        <f aca="false">Assumptions!$B$4+A624/12</f>
        <v>116.416666666667</v>
      </c>
      <c r="C624" s="34" t="n">
        <f aca="false">Assumptions!$B$4+INT(A624/12)</f>
        <v>116</v>
      </c>
      <c r="D624" s="34" t="n">
        <f aca="false">INT(A624/12)+1</f>
        <v>52</v>
      </c>
      <c r="E624" s="32" t="n">
        <f aca="false">IFERROR(INDEX(Cohort_Survival!$G$5:$G$65,MATCH(C624,Cohort_Survival!$A$5:$A$65,0)),1)</f>
        <v>0.544352264852119</v>
      </c>
      <c r="F624" s="30" t="n">
        <f aca="false">1-(1-MIN(1,E624))^(1/12)</f>
        <v>0.0634037067320352</v>
      </c>
      <c r="G624" s="39" t="n">
        <f aca="false">IF(C624&lt;Assumptions!$B$5,IF(D624=1,Assumptions!$B$16,IF(D624=2,Assumptions!$B$17,IF(D624&lt;=5,Assumptions!$B$18,Assumptions!$B$19)))*(1-Assumptions!$B$20),0)</f>
        <v>0</v>
      </c>
      <c r="H624" s="30" t="n">
        <f aca="false">1-(1-G624)^(1/12)</f>
        <v>0</v>
      </c>
      <c r="I624" s="30" t="n">
        <f aca="false">I623*(1-F623)*(1-H623)</f>
        <v>4.04510369964753E-005</v>
      </c>
      <c r="J624" s="30" t="n">
        <f aca="false">INDEX(Discount_Monthly!$G$4:$G$664,MATCH(A624,Discount_Monthly!$A$4:$A$664,0))</f>
        <v>0.196275601059416</v>
      </c>
      <c r="K624" s="30" t="n">
        <f aca="false">IF(C624&lt;Assumptions!$B$5,I624*J624,0)</f>
        <v>0</v>
      </c>
      <c r="L624" s="30" t="n">
        <f aca="false">IF(C624&lt;Assumptions!$B$5,I624*(1-F624)*H624*A624*J624,0)</f>
        <v>0</v>
      </c>
      <c r="M624" s="30" t="n">
        <f aca="false">IF(A624=0,Assumptions!$B$14*12*I624*J624,IF(AND(A624&gt;=12,C624&lt;Assumptions!$B$5),Assumptions!$B$15*I624*J624,0))</f>
        <v>0</v>
      </c>
      <c r="N624" s="47" t="n">
        <f aca="false">IF(C624&gt;=Assumptions!$B$5,I624*Assumptions!$B$9/12*(1+Assumptions!$B$10)^INT(A624/12)*J624,0)</f>
        <v>0.0290632027780233</v>
      </c>
      <c r="O624" s="47" t="n">
        <f aca="false">I624*Assumptions!$B$12/12*(1+Assumptions!$B$11)^(INT(A624/12)+1)*J624</f>
        <v>0.000191137418835119</v>
      </c>
      <c r="P624" s="47" t="n">
        <f aca="false">O624+Pricing_M!$B$13*M624+N624-Pricing_M!$B$13*K624</f>
        <v>0.0292543401968585</v>
      </c>
      <c r="Q624" s="47" t="n">
        <f aca="false">IF(C624&lt;Assumptions!$B$5,Pricing_M!$B$13*K624-Pricing_M!$B$13*M624-O624,-(N624+O624))</f>
        <v>-0.0292543401968585</v>
      </c>
      <c r="R624" s="32" t="n">
        <f aca="false">R623*(1-(1-(1-MIN(1,E623*(1-Assumptions!$B$21)))^(1/12)))*(1-H623)</f>
        <v>0.000437961750750249</v>
      </c>
      <c r="S624" s="47" t="n">
        <f aca="false">R624*(IF(C624&lt;Assumptions!$B$5,Assumptions!$B$12*(1+Assumptions!$B$11)^(INT(A624/12)+1)/12+Pricing_M!$B$13*IF(A624=0,Assumptions!$B$14*12,IF(A624&gt;=12,Assumptions!$B$15,0))-Pricing_M!$B$13,Assumptions!$B$9/12*(1+Assumptions!$B$10)^INT(A624/12)+Assumptions!$B$12*(1+Assumptions!$B$11)^(INT(A624/12)+1)/12))*J624</f>
        <v>0.316735564795926</v>
      </c>
      <c r="T624" s="32" t="n">
        <f aca="false">T623*(1-F623)*(1-(1-(1-MIN(1,G623*(1+Assumptions!$B$23)))^(1/12)))</f>
        <v>3.66437389769254E-005</v>
      </c>
      <c r="U624" s="47" t="n">
        <f aca="false">T624*(IF(C624&lt;Assumptions!$B$5,Assumptions!$B$12*(1+Assumptions!$B$11)^(INT(A624/12)+1)/12+Pricing_M!$B$13*IF(A624=0,Assumptions!$B$14*12,IF(A624&gt;=12,Assumptions!$B$15,0))-Pricing_M!$B$13,Assumptions!$B$9/12*(1+Assumptions!$B$10)^INT(A624/12)+Assumptions!$B$12*(1+Assumptions!$B$11)^(INT(A624/12)+1)/12))*J624</f>
        <v>0.0265008881282639</v>
      </c>
      <c r="V624" s="32" t="n">
        <f aca="false">V623*(1-F623)*(1-(1-(1-MIN(1,G623*(1-Assumptions!$B$23)))^(1/12)))</f>
        <v>4.46129441114656E-005</v>
      </c>
      <c r="W624" s="47" t="n">
        <f aca="false">V624*(IF(C624&lt;Assumptions!$B$5,Assumptions!$B$12*(1+Assumptions!$B$11)^(INT(A624/12)+1)/12+Pricing_M!$B$13*IF(A624=0,Assumptions!$B$14*12,IF(A624&gt;=12,Assumptions!$B$15,0))-Pricing_M!$B$13,Assumptions!$B$9/12*(1+Assumptions!$B$10)^INT(A624/12)+Assumptions!$B$12*(1+Assumptions!$B$11)^(INT(A624/12)+1)/12))*J624</f>
        <v>0.032264246880345</v>
      </c>
      <c r="X624" s="47" t="n">
        <f aca="false">I624*(IF(C624&lt;Assumptions!$B$5,Assumptions!$B$12*(1+Assumptions!$B$11)*(1+Assumptions!$B$24)*(1+Assumptions!$B$11+Assumptions!$B$25)^(INT(A624/12))/12+Pricing_M!$B$13*IF(A624=0,Assumptions!$B$14*12,IF(A624&gt;=12,Assumptions!$B$15,0))-Pricing_M!$B$13,Assumptions!$B$9/12*(1+Assumptions!$B$10)^INT(A624/12)+Assumptions!$B$12*(1+Assumptions!$B$11)*(1+Assumptions!$B$24)*(1+Assumptions!$B$11+Assumptions!$B$25)^(INT(A624/12))/12))*J624</f>
        <v>0.0294081710129004</v>
      </c>
    </row>
    <row r="625" customFormat="false" ht="15" hidden="false" customHeight="true" outlineLevel="0" collapsed="false">
      <c r="A625" s="1" t="n">
        <v>618</v>
      </c>
      <c r="B625" s="31" t="n">
        <f aca="false">Assumptions!$B$4+A625/12</f>
        <v>116.5</v>
      </c>
      <c r="C625" s="34" t="n">
        <f aca="false">Assumptions!$B$4+INT(A625/12)</f>
        <v>116</v>
      </c>
      <c r="D625" s="34" t="n">
        <f aca="false">INT(A625/12)+1</f>
        <v>52</v>
      </c>
      <c r="E625" s="32" t="n">
        <f aca="false">IFERROR(INDEX(Cohort_Survival!$G$5:$G$65,MATCH(C625,Cohort_Survival!$A$5:$A$65,0)),1)</f>
        <v>0.544352264852119</v>
      </c>
      <c r="F625" s="30" t="n">
        <f aca="false">1-(1-MIN(1,E625))^(1/12)</f>
        <v>0.0634037067320352</v>
      </c>
      <c r="G625" s="39" t="n">
        <f aca="false">IF(C625&lt;Assumptions!$B$5,IF(D625=1,Assumptions!$B$16,IF(D625=2,Assumptions!$B$17,IF(D625&lt;=5,Assumptions!$B$18,Assumptions!$B$19)))*(1-Assumptions!$B$20),0)</f>
        <v>0</v>
      </c>
      <c r="H625" s="30" t="n">
        <f aca="false">1-(1-G625)^(1/12)</f>
        <v>0</v>
      </c>
      <c r="I625" s="30" t="n">
        <f aca="false">I624*(1-F624)*(1-H624)</f>
        <v>3.78862913097441E-005</v>
      </c>
      <c r="J625" s="30" t="n">
        <f aca="false">INDEX(Discount_Monthly!$G$4:$G$664,MATCH(A625,Discount_Monthly!$A$4:$A$664,0))</f>
        <v>0.195750169679213</v>
      </c>
      <c r="K625" s="30" t="n">
        <f aca="false">IF(C625&lt;Assumptions!$B$5,I625*J625,0)</f>
        <v>0</v>
      </c>
      <c r="L625" s="30" t="n">
        <f aca="false">IF(C625&lt;Assumptions!$B$5,I625*(1-F625)*H625*A625*J625,0)</f>
        <v>0</v>
      </c>
      <c r="M625" s="30" t="n">
        <f aca="false">IF(A625=0,Assumptions!$B$14*12*I625*J625,IF(AND(A625&gt;=12,C625&lt;Assumptions!$B$5),Assumptions!$B$15*I625*J625,0))</f>
        <v>0</v>
      </c>
      <c r="N625" s="47" t="n">
        <f aca="false">IF(C625&gt;=Assumptions!$B$5,I625*Assumptions!$B$9/12*(1+Assumptions!$B$10)^INT(A625/12)*J625,0)</f>
        <v>0.0271476185246718</v>
      </c>
      <c r="O625" s="47" t="n">
        <f aca="false">I625*Assumptions!$B$12/12*(1+Assumptions!$B$11)^(INT(A625/12)+1)*J625</f>
        <v>0.000178539363743143</v>
      </c>
      <c r="P625" s="47" t="n">
        <f aca="false">O625+Pricing_M!$B$13*M625+N625-Pricing_M!$B$13*K625</f>
        <v>0.027326157888415</v>
      </c>
      <c r="Q625" s="47" t="n">
        <f aca="false">IF(C625&lt;Assumptions!$B$5,Pricing_M!$B$13*K625-Pricing_M!$B$13*M625-O625,-(N625+O625))</f>
        <v>-0.027326157888415</v>
      </c>
      <c r="R625" s="32" t="n">
        <f aca="false">R624*(1-(1-(1-MIN(1,E624*(1-Assumptions!$B$21)))^(1/12)))*(1-H624)</f>
        <v>0.000417582873157057</v>
      </c>
      <c r="S625" s="47" t="n">
        <f aca="false">R625*(IF(C625&lt;Assumptions!$B$5,Assumptions!$B$12*(1+Assumptions!$B$11)^(INT(A625/12)+1)/12+Pricing_M!$B$13*IF(A625=0,Assumptions!$B$14*12,IF(A625&gt;=12,Assumptions!$B$15,0))-Pricing_M!$B$13,Assumptions!$B$9/12*(1+Assumptions!$B$10)^INT(A625/12)+Assumptions!$B$12*(1+Assumptions!$B$11)^(INT(A625/12)+1)/12))*J625</f>
        <v>0.301189035107611</v>
      </c>
      <c r="T625" s="32" t="n">
        <f aca="false">T624*(1-F624)*(1-(1-(1-MIN(1,G624*(1+Assumptions!$B$23)))^(1/12)))</f>
        <v>3.43203900972671E-005</v>
      </c>
      <c r="U625" s="47" t="n">
        <f aca="false">T625*(IF(C625&lt;Assumptions!$B$5,Assumptions!$B$12*(1+Assumptions!$B$11)^(INT(A625/12)+1)/12+Pricing_M!$B$13*IF(A625=0,Assumptions!$B$14*12,IF(A625&gt;=12,Assumptions!$B$15,0))-Pricing_M!$B$13,Assumptions!$B$9/12*(1+Assumptions!$B$10)^INT(A625/12)+Assumptions!$B$12*(1+Assumptions!$B$11)^(INT(A625/12)+1)/12))*J625</f>
        <v>0.0247541885512744</v>
      </c>
      <c r="V625" s="32" t="n">
        <f aca="false">V624*(1-F624)*(1-(1-(1-MIN(1,G624*(1-Assumptions!$B$23)))^(1/12)))</f>
        <v>4.17843180865696E-005</v>
      </c>
      <c r="W625" s="47" t="n">
        <f aca="false">V625*(IF(C625&lt;Assumptions!$B$5,Assumptions!$B$12*(1+Assumptions!$B$11)^(INT(A625/12)+1)/12+Pricing_M!$B$13*IF(A625=0,Assumptions!$B$14*12,IF(A625&gt;=12,Assumptions!$B$15,0))-Pricing_M!$B$13,Assumptions!$B$9/12*(1+Assumptions!$B$10)^INT(A625/12)+Assumptions!$B$12*(1+Assumptions!$B$11)^(INT(A625/12)+1)/12))*J625</f>
        <v>0.030137678664781</v>
      </c>
      <c r="X625" s="47" t="n">
        <f aca="false">I625*(IF(C625&lt;Assumptions!$B$5,Assumptions!$B$12*(1+Assumptions!$B$11)*(1+Assumptions!$B$24)*(1+Assumptions!$B$11+Assumptions!$B$25)^(INT(A625/12))/12+Pricing_M!$B$13*IF(A625=0,Assumptions!$B$14*12,IF(A625&gt;=12,Assumptions!$B$15,0))-Pricing_M!$B$13,Assumptions!$B$9/12*(1+Assumptions!$B$10)^INT(A625/12)+Assumptions!$B$12*(1+Assumptions!$B$11)*(1+Assumptions!$B$24)*(1+Assumptions!$B$11+Assumptions!$B$25)^(INT(A625/12))/12))*J625</f>
        <v>0.0274698495642134</v>
      </c>
    </row>
    <row r="626" customFormat="false" ht="15" hidden="false" customHeight="true" outlineLevel="0" collapsed="false">
      <c r="A626" s="1" t="n">
        <v>619</v>
      </c>
      <c r="B626" s="31" t="n">
        <f aca="false">Assumptions!$B$4+A626/12</f>
        <v>116.583333333333</v>
      </c>
      <c r="C626" s="34" t="n">
        <f aca="false">Assumptions!$B$4+INT(A626/12)</f>
        <v>116</v>
      </c>
      <c r="D626" s="34" t="n">
        <f aca="false">INT(A626/12)+1</f>
        <v>52</v>
      </c>
      <c r="E626" s="32" t="n">
        <f aca="false">IFERROR(INDEX(Cohort_Survival!$G$5:$G$65,MATCH(C626,Cohort_Survival!$A$5:$A$65,0)),1)</f>
        <v>0.544352264852119</v>
      </c>
      <c r="F626" s="30" t="n">
        <f aca="false">1-(1-MIN(1,E626))^(1/12)</f>
        <v>0.0634037067320352</v>
      </c>
      <c r="G626" s="39" t="n">
        <f aca="false">IF(C626&lt;Assumptions!$B$5,IF(D626=1,Assumptions!$B$16,IF(D626=2,Assumptions!$B$17,IF(D626&lt;=5,Assumptions!$B$18,Assumptions!$B$19)))*(1-Assumptions!$B$20),0)</f>
        <v>0</v>
      </c>
      <c r="H626" s="30" t="n">
        <f aca="false">1-(1-G626)^(1/12)</f>
        <v>0</v>
      </c>
      <c r="I626" s="30" t="n">
        <f aca="false">I625*(1-F625)*(1-H625)</f>
        <v>3.54841600063766E-005</v>
      </c>
      <c r="J626" s="30" t="n">
        <f aca="false">INDEX(Discount_Monthly!$G$4:$G$664,MATCH(A626,Discount_Monthly!$A$4:$A$664,0))</f>
        <v>0.195226144883088</v>
      </c>
      <c r="K626" s="30" t="n">
        <f aca="false">IF(C626&lt;Assumptions!$B$5,I626*J626,0)</f>
        <v>0</v>
      </c>
      <c r="L626" s="30" t="n">
        <f aca="false">IF(C626&lt;Assumptions!$B$5,I626*(1-F626)*H626*A626*J626,0)</f>
        <v>0</v>
      </c>
      <c r="M626" s="30" t="n">
        <f aca="false">IF(A626=0,Assumptions!$B$14*12*I626*J626,IF(AND(A626&gt;=12,C626&lt;Assumptions!$B$5),Assumptions!$B$15*I626*J626,0))</f>
        <v>0</v>
      </c>
      <c r="N626" s="47" t="n">
        <f aca="false">IF(C626&gt;=Assumptions!$B$5,I626*Assumptions!$B$9/12*(1+Assumptions!$B$10)^INT(A626/12)*J626,0)</f>
        <v>0.0253582923117611</v>
      </c>
      <c r="O626" s="47" t="n">
        <f aca="false">I626*Assumptions!$B$12/12*(1+Assumptions!$B$11)^(INT(A626/12)+1)*J626</f>
        <v>0.000166771658841453</v>
      </c>
      <c r="P626" s="47" t="n">
        <f aca="false">O626+Pricing_M!$B$13*M626+N626-Pricing_M!$B$13*K626</f>
        <v>0.0255250639706026</v>
      </c>
      <c r="Q626" s="47" t="n">
        <f aca="false">IF(C626&lt;Assumptions!$B$5,Pricing_M!$B$13*K626-Pricing_M!$B$13*M626-O626,-(N626+O626))</f>
        <v>-0.0255250639706026</v>
      </c>
      <c r="R626" s="32" t="n">
        <f aca="false">R625*(1-(1-(1-MIN(1,E625*(1-Assumptions!$B$21)))^(1/12)))*(1-H625)</f>
        <v>0.000398152248810289</v>
      </c>
      <c r="S626" s="47" t="n">
        <f aca="false">R626*(IF(C626&lt;Assumptions!$B$5,Assumptions!$B$12*(1+Assumptions!$B$11)^(INT(A626/12)+1)/12+Pricing_M!$B$13*IF(A626=0,Assumptions!$B$14*12,IF(A626&gt;=12,Assumptions!$B$15,0))-Pricing_M!$B$13,Assumptions!$B$9/12*(1+Assumptions!$B$10)^INT(A626/12)+Assumptions!$B$12*(1+Assumptions!$B$11)^(INT(A626/12)+1)/12))*J626</f>
        <v>0.286405585452653</v>
      </c>
      <c r="T626" s="32" t="n">
        <f aca="false">T625*(1-F625)*(1-(1-(1-MIN(1,G625*(1+Assumptions!$B$23)))^(1/12)))</f>
        <v>3.2144350148611E-005</v>
      </c>
      <c r="U626" s="47" t="n">
        <f aca="false">T626*(IF(C626&lt;Assumptions!$B$5,Assumptions!$B$12*(1+Assumptions!$B$11)^(INT(A626/12)+1)/12+Pricing_M!$B$13*IF(A626=0,Assumptions!$B$14*12,IF(A626&gt;=12,Assumptions!$B$15,0))-Pricing_M!$B$13,Assumptions!$B$9/12*(1+Assumptions!$B$10)^INT(A626/12)+Assumptions!$B$12*(1+Assumptions!$B$11)^(INT(A626/12)+1)/12))*J626</f>
        <v>0.0231226156597563</v>
      </c>
      <c r="V626" s="32" t="n">
        <f aca="false">V625*(1-F625)*(1-(1-(1-MIN(1,G625*(1-Assumptions!$B$23)))^(1/12)))</f>
        <v>3.91350374366107E-005</v>
      </c>
      <c r="W626" s="47" t="n">
        <f aca="false">V626*(IF(C626&lt;Assumptions!$B$5,Assumptions!$B$12*(1+Assumptions!$B$11)^(INT(A626/12)+1)/12+Pricing_M!$B$13*IF(A626=0,Assumptions!$B$14*12,IF(A626&gt;=12,Assumptions!$B$15,0))-Pricing_M!$B$13,Assumptions!$B$9/12*(1+Assumptions!$B$10)^INT(A626/12)+Assumptions!$B$12*(1+Assumptions!$B$11)^(INT(A626/12)+1)/12))*J626</f>
        <v>0.0281512746499256</v>
      </c>
      <c r="X626" s="47" t="n">
        <f aca="false">I626*(IF(C626&lt;Assumptions!$B$5,Assumptions!$B$12*(1+Assumptions!$B$11)*(1+Assumptions!$B$24)*(1+Assumptions!$B$11+Assumptions!$B$25)^(INT(A626/12))/12+Pricing_M!$B$13*IF(A626=0,Assumptions!$B$14*12,IF(A626&gt;=12,Assumptions!$B$15,0))-Pricing_M!$B$13,Assumptions!$B$9/12*(1+Assumptions!$B$10)^INT(A626/12)+Assumptions!$B$12*(1+Assumptions!$B$11)*(1+Assumptions!$B$24)*(1+Assumptions!$B$11+Assumptions!$B$25)^(INT(A626/12))/12))*J626</f>
        <v>0.025659284786854</v>
      </c>
    </row>
    <row r="627" customFormat="false" ht="15" hidden="false" customHeight="true" outlineLevel="0" collapsed="false">
      <c r="A627" s="1" t="n">
        <v>620</v>
      </c>
      <c r="B627" s="31" t="n">
        <f aca="false">Assumptions!$B$4+A627/12</f>
        <v>116.666666666667</v>
      </c>
      <c r="C627" s="34" t="n">
        <f aca="false">Assumptions!$B$4+INT(A627/12)</f>
        <v>116</v>
      </c>
      <c r="D627" s="34" t="n">
        <f aca="false">INT(A627/12)+1</f>
        <v>52</v>
      </c>
      <c r="E627" s="32" t="n">
        <f aca="false">IFERROR(INDEX(Cohort_Survival!$G$5:$G$65,MATCH(C627,Cohort_Survival!$A$5:$A$65,0)),1)</f>
        <v>0.544352264852119</v>
      </c>
      <c r="F627" s="30" t="n">
        <f aca="false">1-(1-MIN(1,E627))^(1/12)</f>
        <v>0.0634037067320352</v>
      </c>
      <c r="G627" s="39" t="n">
        <f aca="false">IF(C627&lt;Assumptions!$B$5,IF(D627=1,Assumptions!$B$16,IF(D627=2,Assumptions!$B$17,IF(D627&lt;=5,Assumptions!$B$18,Assumptions!$B$19)))*(1-Assumptions!$B$20),0)</f>
        <v>0</v>
      </c>
      <c r="H627" s="30" t="n">
        <f aca="false">1-(1-G627)^(1/12)</f>
        <v>0</v>
      </c>
      <c r="I627" s="30" t="n">
        <f aca="false">I626*(1-F626)*(1-H626)</f>
        <v>3.32343327316997E-005</v>
      </c>
      <c r="J627" s="30" t="n">
        <f aca="false">INDEX(Discount_Monthly!$G$4:$G$664,MATCH(A627,Discount_Monthly!$A$4:$A$664,0))</f>
        <v>0.194703522905604</v>
      </c>
      <c r="K627" s="30" t="n">
        <f aca="false">IF(C627&lt;Assumptions!$B$5,I627*J627,0)</f>
        <v>0</v>
      </c>
      <c r="L627" s="30" t="n">
        <f aca="false">IF(C627&lt;Assumptions!$B$5,I627*(1-F627)*H627*A627*J627,0)</f>
        <v>0</v>
      </c>
      <c r="M627" s="30" t="n">
        <f aca="false">IF(A627=0,Assumptions!$B$14*12*I627*J627,IF(AND(A627&gt;=12,C627&lt;Assumptions!$B$5),Assumptions!$B$15*I627*J627,0))</f>
        <v>0</v>
      </c>
      <c r="N627" s="47" t="n">
        <f aca="false">IF(C627&gt;=Assumptions!$B$5,I627*Assumptions!$B$9/12*(1+Assumptions!$B$10)^INT(A627/12)*J627,0)</f>
        <v>0.0236869023477815</v>
      </c>
      <c r="O627" s="47" t="n">
        <f aca="false">I627*Assumptions!$B$12/12*(1+Assumptions!$B$11)^(INT(A627/12)+1)*J627</f>
        <v>0.000155779574933083</v>
      </c>
      <c r="P627" s="47" t="n">
        <f aca="false">O627+Pricing_M!$B$13*M627+N627-Pricing_M!$B$13*K627</f>
        <v>0.0238426819227145</v>
      </c>
      <c r="Q627" s="47" t="n">
        <f aca="false">IF(C627&lt;Assumptions!$B$5,Pricing_M!$B$13*K627-Pricing_M!$B$13*M627-O627,-(N627+O627))</f>
        <v>-0.0238426819227145</v>
      </c>
      <c r="R627" s="32" t="n">
        <f aca="false">R626*(1-(1-(1-MIN(1,E626*(1-Assumptions!$B$21)))^(1/12)))*(1-H626)</f>
        <v>0.000379625754366289</v>
      </c>
      <c r="S627" s="47" t="n">
        <f aca="false">R627*(IF(C627&lt;Assumptions!$B$5,Assumptions!$B$12*(1+Assumptions!$B$11)^(INT(A627/12)+1)/12+Pricing_M!$B$13*IF(A627=0,Assumptions!$B$14*12,IF(A627&gt;=12,Assumptions!$B$15,0))-Pricing_M!$B$13,Assumptions!$B$9/12*(1+Assumptions!$B$10)^INT(A627/12)+Assumptions!$B$12*(1+Assumptions!$B$11)^(INT(A627/12)+1)/12))*J627</f>
        <v>0.272347761096844</v>
      </c>
      <c r="T627" s="32" t="n">
        <f aca="false">T626*(1-F626)*(1-(1-(1-MIN(1,G626*(1+Assumptions!$B$23)))^(1/12)))</f>
        <v>3.01062791986966E-005</v>
      </c>
      <c r="U627" s="47" t="n">
        <f aca="false">T627*(IF(C627&lt;Assumptions!$B$5,Assumptions!$B$12*(1+Assumptions!$B$11)^(INT(A627/12)+1)/12+Pricing_M!$B$13*IF(A627=0,Assumptions!$B$14*12,IF(A627&gt;=12,Assumptions!$B$15,0))-Pricing_M!$B$13,Assumptions!$B$9/12*(1+Assumptions!$B$10)^INT(A627/12)+Assumptions!$B$12*(1+Assumptions!$B$11)^(INT(A627/12)+1)/12))*J627</f>
        <v>0.0215985813407438</v>
      </c>
      <c r="V627" s="32" t="n">
        <f aca="false">V626*(1-F626)*(1-(1-(1-MIN(1,G626*(1-Assumptions!$B$23)))^(1/12)))</f>
        <v>3.66537310000326E-005</v>
      </c>
      <c r="W627" s="47" t="n">
        <f aca="false">V627*(IF(C627&lt;Assumptions!$B$5,Assumptions!$B$12*(1+Assumptions!$B$11)^(INT(A627/12)+1)/12+Pricing_M!$B$13*IF(A627=0,Assumptions!$B$14*12,IF(A627&gt;=12,Assumptions!$B$15,0))-Pricing_M!$B$13,Assumptions!$B$9/12*(1+Assumptions!$B$10)^INT(A627/12)+Assumptions!$B$12*(1+Assumptions!$B$11)^(INT(A627/12)+1)/12))*J627</f>
        <v>0.0262957964755811</v>
      </c>
      <c r="X627" s="47" t="n">
        <f aca="false">I627*(IF(C627&lt;Assumptions!$B$5,Assumptions!$B$12*(1+Assumptions!$B$11)*(1+Assumptions!$B$24)*(1+Assumptions!$B$11+Assumptions!$B$25)^(INT(A627/12))/12+Pricing_M!$B$13*IF(A627=0,Assumptions!$B$14*12,IF(A627&gt;=12,Assumptions!$B$15,0))-Pricing_M!$B$13,Assumptions!$B$9/12*(1+Assumptions!$B$10)^INT(A627/12)+Assumptions!$B$12*(1+Assumptions!$B$11)*(1+Assumptions!$B$24)*(1+Assumptions!$B$11+Assumptions!$B$25)^(INT(A627/12))/12))*J627</f>
        <v>0.023968056113078</v>
      </c>
    </row>
    <row r="628" customFormat="false" ht="15" hidden="false" customHeight="true" outlineLevel="0" collapsed="false">
      <c r="A628" s="1" t="n">
        <v>621</v>
      </c>
      <c r="B628" s="31" t="n">
        <f aca="false">Assumptions!$B$4+A628/12</f>
        <v>116.75</v>
      </c>
      <c r="C628" s="34" t="n">
        <f aca="false">Assumptions!$B$4+INT(A628/12)</f>
        <v>116</v>
      </c>
      <c r="D628" s="34" t="n">
        <f aca="false">INT(A628/12)+1</f>
        <v>52</v>
      </c>
      <c r="E628" s="32" t="n">
        <f aca="false">IFERROR(INDEX(Cohort_Survival!$G$5:$G$65,MATCH(C628,Cohort_Survival!$A$5:$A$65,0)),1)</f>
        <v>0.544352264852119</v>
      </c>
      <c r="F628" s="30" t="n">
        <f aca="false">1-(1-MIN(1,E628))^(1/12)</f>
        <v>0.0634037067320352</v>
      </c>
      <c r="G628" s="39" t="n">
        <f aca="false">IF(C628&lt;Assumptions!$B$5,IF(D628=1,Assumptions!$B$16,IF(D628=2,Assumptions!$B$17,IF(D628&lt;=5,Assumptions!$B$18,Assumptions!$B$19)))*(1-Assumptions!$B$20),0)</f>
        <v>0</v>
      </c>
      <c r="H628" s="30" t="n">
        <f aca="false">1-(1-G628)^(1/12)</f>
        <v>0</v>
      </c>
      <c r="I628" s="30" t="n">
        <f aca="false">I627*(1-F627)*(1-H627)</f>
        <v>3.11271528457442E-005</v>
      </c>
      <c r="J628" s="30" t="n">
        <f aca="false">INDEX(Discount_Monthly!$G$4:$G$664,MATCH(A628,Discount_Monthly!$A$4:$A$664,0))</f>
        <v>0.194182299991404</v>
      </c>
      <c r="K628" s="30" t="n">
        <f aca="false">IF(C628&lt;Assumptions!$B$5,I628*J628,0)</f>
        <v>0</v>
      </c>
      <c r="L628" s="30" t="n">
        <f aca="false">IF(C628&lt;Assumptions!$B$5,I628*(1-F628)*H628*A628*J628,0)</f>
        <v>0</v>
      </c>
      <c r="M628" s="30" t="n">
        <f aca="false">IF(A628=0,Assumptions!$B$14*12*I628*J628,IF(AND(A628&gt;=12,C628&lt;Assumptions!$B$5),Assumptions!$B$15*I628*J628,0))</f>
        <v>0</v>
      </c>
      <c r="N628" s="47" t="n">
        <f aca="false">IF(C628&gt;=Assumptions!$B$5,I628*Assumptions!$B$9/12*(1+Assumptions!$B$10)^INT(A628/12)*J628,0)</f>
        <v>0.0221256753386785</v>
      </c>
      <c r="O628" s="47" t="n">
        <f aca="false">I628*Assumptions!$B$12/12*(1+Assumptions!$B$11)^(INT(A628/12)+1)*J628</f>
        <v>0.000145511990076219</v>
      </c>
      <c r="P628" s="47" t="n">
        <f aca="false">O628+Pricing_M!$B$13*M628+N628-Pricing_M!$B$13*K628</f>
        <v>0.0222711873287547</v>
      </c>
      <c r="Q628" s="47" t="n">
        <f aca="false">IF(C628&lt;Assumptions!$B$5,Pricing_M!$B$13*K628-Pricing_M!$B$13*M628-O628,-(N628+O628))</f>
        <v>-0.0222711873287547</v>
      </c>
      <c r="R628" s="32" t="n">
        <f aca="false">R627*(1-(1-(1-MIN(1,E627*(1-Assumptions!$B$21)))^(1/12)))*(1-H627)</f>
        <v>0.000361961319592702</v>
      </c>
      <c r="S628" s="47" t="n">
        <f aca="false">R628*(IF(C628&lt;Assumptions!$B$5,Assumptions!$B$12*(1+Assumptions!$B$11)^(INT(A628/12)+1)/12+Pricing_M!$B$13*IF(A628=0,Assumptions!$B$14*12,IF(A628&gt;=12,Assumptions!$B$15,0))-Pricing_M!$B$13,Assumptions!$B$9/12*(1+Assumptions!$B$10)^INT(A628/12)+Assumptions!$B$12*(1+Assumptions!$B$11)^(INT(A628/12)+1)/12))*J628</f>
        <v>0.258979945720108</v>
      </c>
      <c r="T628" s="32" t="n">
        <f aca="false">T627*(1-F627)*(1-(1-(1-MIN(1,G627*(1+Assumptions!$B$23)))^(1/12)))</f>
        <v>2.81974295015896E-005</v>
      </c>
      <c r="U628" s="47" t="n">
        <f aca="false">T628*(IF(C628&lt;Assumptions!$B$5,Assumptions!$B$12*(1+Assumptions!$B$11)^(INT(A628/12)+1)/12+Pricing_M!$B$13*IF(A628=0,Assumptions!$B$14*12,IF(A628&gt;=12,Assumptions!$B$15,0))-Pricing_M!$B$13,Assumptions!$B$9/12*(1+Assumptions!$B$10)^INT(A628/12)+Assumptions!$B$12*(1+Assumptions!$B$11)^(INT(A628/12)+1)/12))*J628</f>
        <v>0.0201749976212527</v>
      </c>
      <c r="V628" s="32" t="n">
        <f aca="false">V627*(1-F627)*(1-(1-(1-MIN(1,G627*(1-Assumptions!$B$23)))^(1/12)))</f>
        <v>3.43297485890716E-005</v>
      </c>
      <c r="W628" s="47" t="n">
        <f aca="false">V628*(IF(C628&lt;Assumptions!$B$5,Assumptions!$B$12*(1+Assumptions!$B$11)^(INT(A628/12)+1)/12+Pricing_M!$B$13*IF(A628=0,Assumptions!$B$14*12,IF(A628&gt;=12,Assumptions!$B$15,0))-Pricing_M!$B$13,Assumptions!$B$9/12*(1+Assumptions!$B$10)^INT(A628/12)+Assumptions!$B$12*(1+Assumptions!$B$11)^(INT(A628/12)+1)/12))*J628</f>
        <v>0.0245626146909483</v>
      </c>
      <c r="X628" s="47" t="n">
        <f aca="false">I628*(IF(C628&lt;Assumptions!$B$5,Assumptions!$B$12*(1+Assumptions!$B$11)*(1+Assumptions!$B$24)*(1+Assumptions!$B$11+Assumptions!$B$25)^(INT(A628/12))/12+Pricing_M!$B$13*IF(A628=0,Assumptions!$B$14*12,IF(A628&gt;=12,Assumptions!$B$15,0))-Pricing_M!$B$13,Assumptions!$B$9/12*(1+Assumptions!$B$10)^INT(A628/12)+Assumptions!$B$12*(1+Assumptions!$B$11)*(1+Assumptions!$B$24)*(1+Assumptions!$B$11+Assumptions!$B$25)^(INT(A628/12))/12))*J628</f>
        <v>0.0223882979830355</v>
      </c>
    </row>
    <row r="629" customFormat="false" ht="15" hidden="false" customHeight="true" outlineLevel="0" collapsed="false">
      <c r="A629" s="1" t="n">
        <v>622</v>
      </c>
      <c r="B629" s="31" t="n">
        <f aca="false">Assumptions!$B$4+A629/12</f>
        <v>116.833333333333</v>
      </c>
      <c r="C629" s="34" t="n">
        <f aca="false">Assumptions!$B$4+INT(A629/12)</f>
        <v>116</v>
      </c>
      <c r="D629" s="34" t="n">
        <f aca="false">INT(A629/12)+1</f>
        <v>52</v>
      </c>
      <c r="E629" s="32" t="n">
        <f aca="false">IFERROR(INDEX(Cohort_Survival!$G$5:$G$65,MATCH(C629,Cohort_Survival!$A$5:$A$65,0)),1)</f>
        <v>0.544352264852119</v>
      </c>
      <c r="F629" s="30" t="n">
        <f aca="false">1-(1-MIN(1,E629))^(1/12)</f>
        <v>0.0634037067320352</v>
      </c>
      <c r="G629" s="39" t="n">
        <f aca="false">IF(C629&lt;Assumptions!$B$5,IF(D629=1,Assumptions!$B$16,IF(D629=2,Assumptions!$B$17,IF(D629&lt;=5,Assumptions!$B$18,Assumptions!$B$19)))*(1-Assumptions!$B$20),0)</f>
        <v>0</v>
      </c>
      <c r="H629" s="30" t="n">
        <f aca="false">1-(1-G629)^(1/12)</f>
        <v>0</v>
      </c>
      <c r="I629" s="30" t="n">
        <f aca="false">I628*(1-F628)*(1-H628)</f>
        <v>2.91535759753094E-005</v>
      </c>
      <c r="J629" s="30" t="n">
        <f aca="false">INDEX(Discount_Monthly!$G$4:$G$664,MATCH(A629,Discount_Monthly!$A$4:$A$664,0))</f>
        <v>0.193662472395183</v>
      </c>
      <c r="K629" s="30" t="n">
        <f aca="false">IF(C629&lt;Assumptions!$B$5,I629*J629,0)</f>
        <v>0</v>
      </c>
      <c r="L629" s="30" t="n">
        <f aca="false">IF(C629&lt;Assumptions!$B$5,I629*(1-F629)*H629*A629*J629,0)</f>
        <v>0</v>
      </c>
      <c r="M629" s="30" t="n">
        <f aca="false">IF(A629=0,Assumptions!$B$14*12*I629*J629,IF(AND(A629&gt;=12,C629&lt;Assumptions!$B$5),Assumptions!$B$15*I629*J629,0))</f>
        <v>0</v>
      </c>
      <c r="N629" s="47" t="n">
        <f aca="false">IF(C629&gt;=Assumptions!$B$5,I629*Assumptions!$B$9/12*(1+Assumptions!$B$10)^INT(A629/12)*J629,0)</f>
        <v>0.0206673503358475</v>
      </c>
      <c r="O629" s="47" t="n">
        <f aca="false">I629*Assumptions!$B$12/12*(1+Assumptions!$B$11)^(INT(A629/12)+1)*J629</f>
        <v>0.000135921151826464</v>
      </c>
      <c r="P629" s="47" t="n">
        <f aca="false">O629+Pricing_M!$B$13*M629+N629-Pricing_M!$B$13*K629</f>
        <v>0.0208032714876739</v>
      </c>
      <c r="Q629" s="47" t="n">
        <f aca="false">IF(C629&lt;Assumptions!$B$5,Pricing_M!$B$13*K629-Pricing_M!$B$13*M629-O629,-(N629+O629))</f>
        <v>-0.0208032714876739</v>
      </c>
      <c r="R629" s="32" t="n">
        <f aca="false">R628*(1-(1-(1-MIN(1,E628*(1-Assumptions!$B$21)))^(1/12)))*(1-H628)</f>
        <v>0.000345118831834778</v>
      </c>
      <c r="S629" s="47" t="n">
        <f aca="false">R629*(IF(C629&lt;Assumptions!$B$5,Assumptions!$B$12*(1+Assumptions!$B$11)^(INT(A629/12)+1)/12+Pricing_M!$B$13*IF(A629=0,Assumptions!$B$14*12,IF(A629&gt;=12,Assumptions!$B$15,0))-Pricing_M!$B$13,Assumptions!$B$9/12*(1+Assumptions!$B$10)^INT(A629/12)+Assumptions!$B$12*(1+Assumptions!$B$11)^(INT(A629/12)+1)/12))*J629</f>
        <v>0.246268271180465</v>
      </c>
      <c r="T629" s="32" t="n">
        <f aca="false">T628*(1-F628)*(1-(1-(1-MIN(1,G628*(1+Assumptions!$B$23)))^(1/12)))</f>
        <v>2.64096079508736E-005</v>
      </c>
      <c r="U629" s="47" t="n">
        <f aca="false">T629*(IF(C629&lt;Assumptions!$B$5,Assumptions!$B$12*(1+Assumptions!$B$11)^(INT(A629/12)+1)/12+Pricing_M!$B$13*IF(A629=0,Assumptions!$B$14*12,IF(A629&gt;=12,Assumptions!$B$15,0))-Pricing_M!$B$13,Assumptions!$B$9/12*(1+Assumptions!$B$10)^INT(A629/12)+Assumptions!$B$12*(1+Assumptions!$B$11)^(INT(A629/12)+1)/12))*J629</f>
        <v>0.0188452437035634</v>
      </c>
      <c r="V629" s="32" t="n">
        <f aca="false">V628*(1-F628)*(1-(1-(1-MIN(1,G628*(1-Assumptions!$B$23)))^(1/12)))</f>
        <v>3.21531152773456E-005</v>
      </c>
      <c r="W629" s="47" t="n">
        <f aca="false">V629*(IF(C629&lt;Assumptions!$B$5,Assumptions!$B$12*(1+Assumptions!$B$11)^(INT(A629/12)+1)/12+Pricing_M!$B$13*IF(A629=0,Assumptions!$B$14*12,IF(A629&gt;=12,Assumptions!$B$15,0))-Pricing_M!$B$13,Assumptions!$B$9/12*(1+Assumptions!$B$10)^INT(A629/12)+Assumptions!$B$12*(1+Assumptions!$B$11)^(INT(A629/12)+1)/12))*J629</f>
        <v>0.0229436686208097</v>
      </c>
      <c r="X629" s="47" t="n">
        <f aca="false">I629*(IF(C629&lt;Assumptions!$B$5,Assumptions!$B$12*(1+Assumptions!$B$11)*(1+Assumptions!$B$24)*(1+Assumptions!$B$11+Assumptions!$B$25)^(INT(A629/12))/12+Pricing_M!$B$13*IF(A629=0,Assumptions!$B$14*12,IF(A629&gt;=12,Assumptions!$B$15,0))-Pricing_M!$B$13,Assumptions!$B$9/12*(1+Assumptions!$B$10)^INT(A629/12)+Assumptions!$B$12*(1+Assumptions!$B$11)*(1+Assumptions!$B$24)*(1+Assumptions!$B$11+Assumptions!$B$25)^(INT(A629/12))/12))*J629</f>
        <v>0.020912663263655</v>
      </c>
    </row>
    <row r="630" customFormat="false" ht="15" hidden="false" customHeight="true" outlineLevel="0" collapsed="false">
      <c r="A630" s="1" t="n">
        <v>623</v>
      </c>
      <c r="B630" s="31" t="n">
        <f aca="false">Assumptions!$B$4+A630/12</f>
        <v>116.916666666667</v>
      </c>
      <c r="C630" s="34" t="n">
        <f aca="false">Assumptions!$B$4+INT(A630/12)</f>
        <v>116</v>
      </c>
      <c r="D630" s="34" t="n">
        <f aca="false">INT(A630/12)+1</f>
        <v>52</v>
      </c>
      <c r="E630" s="32" t="n">
        <f aca="false">IFERROR(INDEX(Cohort_Survival!$G$5:$G$65,MATCH(C630,Cohort_Survival!$A$5:$A$65,0)),1)</f>
        <v>0.544352264852119</v>
      </c>
      <c r="F630" s="30" t="n">
        <f aca="false">1-(1-MIN(1,E630))^(1/12)</f>
        <v>0.0634037067320352</v>
      </c>
      <c r="G630" s="39" t="n">
        <f aca="false">IF(C630&lt;Assumptions!$B$5,IF(D630=1,Assumptions!$B$16,IF(D630=2,Assumptions!$B$17,IF(D630&lt;=5,Assumptions!$B$18,Assumptions!$B$19)))*(1-Assumptions!$B$20),0)</f>
        <v>0</v>
      </c>
      <c r="H630" s="30" t="n">
        <f aca="false">1-(1-G630)^(1/12)</f>
        <v>0</v>
      </c>
      <c r="I630" s="30" t="n">
        <f aca="false">I629*(1-F629)*(1-H629)</f>
        <v>2.73051311939807E-005</v>
      </c>
      <c r="J630" s="30" t="n">
        <f aca="false">INDEX(Discount_Monthly!$G$4:$G$664,MATCH(A630,Discount_Monthly!$A$4:$A$664,0))</f>
        <v>0.193144036381666</v>
      </c>
      <c r="K630" s="30" t="n">
        <f aca="false">IF(C630&lt;Assumptions!$B$5,I630*J630,0)</f>
        <v>0</v>
      </c>
      <c r="L630" s="30" t="n">
        <f aca="false">IF(C630&lt;Assumptions!$B$5,I630*(1-F630)*H630*A630*J630,0)</f>
        <v>0</v>
      </c>
      <c r="M630" s="30" t="n">
        <f aca="false">IF(A630=0,Assumptions!$B$14*12*I630*J630,IF(AND(A630&gt;=12,C630&lt;Assumptions!$B$5),Assumptions!$B$15*I630*J630,0))</f>
        <v>0</v>
      </c>
      <c r="N630" s="47" t="n">
        <f aca="false">IF(C630&gt;=Assumptions!$B$5,I630*Assumptions!$B$9/12*(1+Assumptions!$B$10)^INT(A630/12)*J630,0)</f>
        <v>0.0193051449669407</v>
      </c>
      <c r="O630" s="47" t="n">
        <f aca="false">I630*Assumptions!$B$12/12*(1+Assumptions!$B$11)^(INT(A630/12)+1)*J630</f>
        <v>0.000126962455149955</v>
      </c>
      <c r="P630" s="47" t="n">
        <f aca="false">O630+Pricing_M!$B$13*M630+N630-Pricing_M!$B$13*K630</f>
        <v>0.0194321074220907</v>
      </c>
      <c r="Q630" s="47" t="n">
        <f aca="false">IF(C630&lt;Assumptions!$B$5,Pricing_M!$B$13*K630-Pricing_M!$B$13*M630-O630,-(N630+O630))</f>
        <v>-0.0194321074220907</v>
      </c>
      <c r="R630" s="32" t="n">
        <f aca="false">R629*(1-(1-(1-MIN(1,E629*(1-Assumptions!$B$21)))^(1/12)))*(1-H629)</f>
        <v>0.000329060044926976</v>
      </c>
      <c r="S630" s="47" t="n">
        <f aca="false">R630*(IF(C630&lt;Assumptions!$B$5,Assumptions!$B$12*(1+Assumptions!$B$11)^(INT(A630/12)+1)/12+Pricing_M!$B$13*IF(A630=0,Assumptions!$B$14*12,IF(A630&gt;=12,Assumptions!$B$15,0))-Pricing_M!$B$13,Assumptions!$B$9/12*(1+Assumptions!$B$10)^INT(A630/12)+Assumptions!$B$12*(1+Assumptions!$B$11)^(INT(A630/12)+1)/12))*J630</f>
        <v>0.234180531707116</v>
      </c>
      <c r="T630" s="32" t="n">
        <f aca="false">T629*(1-F629)*(1-(1-(1-MIN(1,G629*(1+Assumptions!$B$23)))^(1/12)))</f>
        <v>2.47351409134484E-005</v>
      </c>
      <c r="U630" s="47" t="n">
        <f aca="false">T630*(IF(C630&lt;Assumptions!$B$5,Assumptions!$B$12*(1+Assumptions!$B$11)^(INT(A630/12)+1)/12+Pricing_M!$B$13*IF(A630=0,Assumptions!$B$14*12,IF(A630&gt;=12,Assumptions!$B$15,0))-Pricing_M!$B$13,Assumptions!$B$9/12*(1+Assumptions!$B$10)^INT(A630/12)+Assumptions!$B$12*(1+Assumptions!$B$11)^(INT(A630/12)+1)/12))*J630</f>
        <v>0.0176031351732394</v>
      </c>
      <c r="V630" s="32" t="n">
        <f aca="false">V629*(1-F629)*(1-(1-(1-MIN(1,G629*(1-Assumptions!$B$23)))^(1/12)))</f>
        <v>3.01144885857795E-005</v>
      </c>
      <c r="W630" s="47" t="n">
        <f aca="false">V630*(IF(C630&lt;Assumptions!$B$5,Assumptions!$B$12*(1+Assumptions!$B$11)^(INT(A630/12)+1)/12+Pricing_M!$B$13*IF(A630=0,Assumptions!$B$14*12,IF(A630&gt;=12,Assumptions!$B$15,0))-Pricing_M!$B$13,Assumptions!$B$9/12*(1+Assumptions!$B$10)^INT(A630/12)+Assumptions!$B$12*(1+Assumptions!$B$11)^(INT(A630/12)+1)/12))*J630</f>
        <v>0.0214314288769721</v>
      </c>
      <c r="X630" s="47" t="n">
        <f aca="false">I630*(IF(C630&lt;Assumptions!$B$5,Assumptions!$B$12*(1+Assumptions!$B$11)*(1+Assumptions!$B$24)*(1+Assumptions!$B$11+Assumptions!$B$25)^(INT(A630/12))/12+Pricing_M!$B$13*IF(A630=0,Assumptions!$B$14*12,IF(A630&gt;=12,Assumptions!$B$15,0))-Pricing_M!$B$13,Assumptions!$B$9/12*(1+Assumptions!$B$10)^INT(A630/12)+Assumptions!$B$12*(1+Assumptions!$B$11)*(1+Assumptions!$B$24)*(1+Assumptions!$B$11+Assumptions!$B$25)^(INT(A630/12))/12))*J630</f>
        <v>0.0195342890786257</v>
      </c>
    </row>
    <row r="631" customFormat="false" ht="15" hidden="false" customHeight="true" outlineLevel="0" collapsed="false">
      <c r="A631" s="1" t="n">
        <v>624</v>
      </c>
      <c r="B631" s="31" t="n">
        <f aca="false">Assumptions!$B$4+A631/12</f>
        <v>117</v>
      </c>
      <c r="C631" s="34" t="n">
        <f aca="false">Assumptions!$B$4+INT(A631/12)</f>
        <v>117</v>
      </c>
      <c r="D631" s="34" t="n">
        <f aca="false">INT(A631/12)+1</f>
        <v>53</v>
      </c>
      <c r="E631" s="32" t="n">
        <f aca="false">IFERROR(INDEX(Cohort_Survival!$G$5:$G$65,MATCH(C631,Cohort_Survival!$A$5:$A$65,0)),1)</f>
        <v>0.560811007209681</v>
      </c>
      <c r="F631" s="30" t="n">
        <f aca="false">1-(1-MIN(1,E631))^(1/12)</f>
        <v>0.0662707710869291</v>
      </c>
      <c r="G631" s="39" t="n">
        <f aca="false">IF(C631&lt;Assumptions!$B$5,IF(D631=1,Assumptions!$B$16,IF(D631=2,Assumptions!$B$17,IF(D631&lt;=5,Assumptions!$B$18,Assumptions!$B$19)))*(1-Assumptions!$B$20),0)</f>
        <v>0</v>
      </c>
      <c r="H631" s="30" t="n">
        <f aca="false">1-(1-G631)^(1/12)</f>
        <v>0</v>
      </c>
      <c r="I631" s="30" t="n">
        <f aca="false">I630*(1-F630)*(1-H630)</f>
        <v>2.55738846634778E-005</v>
      </c>
      <c r="J631" s="30" t="n">
        <f aca="false">INDEX(Discount_Monthly!$G$4:$G$664,MATCH(A631,Discount_Monthly!$A$4:$A$664,0))</f>
        <v>0.192626988225572</v>
      </c>
      <c r="K631" s="30" t="n">
        <f aca="false">IF(C631&lt;Assumptions!$B$5,I631*J631,0)</f>
        <v>0</v>
      </c>
      <c r="L631" s="30" t="n">
        <f aca="false">IF(C631&lt;Assumptions!$B$5,I631*(1-F631)*H631*A631*J631,0)</f>
        <v>0</v>
      </c>
      <c r="M631" s="30" t="n">
        <f aca="false">IF(A631=0,Assumptions!$B$14*12*I631*J631,IF(AND(A631&gt;=12,C631&lt;Assumptions!$B$5),Assumptions!$B$15*I631*J631,0))</f>
        <v>0</v>
      </c>
      <c r="N631" s="47" t="n">
        <f aca="false">IF(C631&gt;=Assumptions!$B$5,I631*Assumptions!$B$9/12*(1+Assumptions!$B$10)^INT(A631/12)*J631,0)</f>
        <v>0.0183933783702855</v>
      </c>
      <c r="O631" s="47" t="n">
        <f aca="false">I631*Assumptions!$B$12/12*(1+Assumptions!$B$11)^(INT(A631/12)+1)*J631</f>
        <v>0.000121559090848802</v>
      </c>
      <c r="P631" s="47" t="n">
        <f aca="false">O631+Pricing_M!$B$13*M631+N631-Pricing_M!$B$13*K631</f>
        <v>0.0185149374611343</v>
      </c>
      <c r="Q631" s="47" t="n">
        <f aca="false">IF(C631&lt;Assumptions!$B$5,Pricing_M!$B$13*K631-Pricing_M!$B$13*M631-O631,-(N631+O631))</f>
        <v>-0.0185149374611343</v>
      </c>
      <c r="R631" s="32" t="n">
        <f aca="false">R630*(1-(1-(1-MIN(1,E630*(1-Assumptions!$B$21)))^(1/12)))*(1-H630)</f>
        <v>0.000313748492343013</v>
      </c>
      <c r="S631" s="47" t="n">
        <f aca="false">R631*(IF(C631&lt;Assumptions!$B$5,Assumptions!$B$12*(1+Assumptions!$B$11)^(INT(A631/12)+1)/12+Pricing_M!$B$13*IF(A631=0,Assumptions!$B$14*12,IF(A631&gt;=12,Assumptions!$B$15,0))-Pricing_M!$B$13,Assumptions!$B$9/12*(1+Assumptions!$B$10)^INT(A631/12)+Assumptions!$B$12*(1+Assumptions!$B$11)^(INT(A631/12)+1)/12))*J631</f>
        <v>0.227147099108957</v>
      </c>
      <c r="T631" s="32" t="n">
        <f aca="false">T630*(1-F630)*(1-(1-(1-MIN(1,G630*(1+Assumptions!$B$23)))^(1/12)))</f>
        <v>2.31668412929966E-005</v>
      </c>
      <c r="U631" s="47" t="n">
        <f aca="false">T631*(IF(C631&lt;Assumptions!$B$5,Assumptions!$B$12*(1+Assumptions!$B$11)^(INT(A631/12)+1)/12+Pricing_M!$B$13*IF(A631=0,Assumptions!$B$14*12,IF(A631&gt;=12,Assumptions!$B$15,0))-Pricing_M!$B$13,Assumptions!$B$9/12*(1+Assumptions!$B$10)^INT(A631/12)+Assumptions!$B$12*(1+Assumptions!$B$11)^(INT(A631/12)+1)/12))*J631</f>
        <v>0.016772290301458</v>
      </c>
      <c r="V631" s="32" t="n">
        <f aca="false">V630*(1-F630)*(1-(1-(1-MIN(1,G630*(1-Assumptions!$B$23)))^(1/12)))</f>
        <v>2.82051183831015E-005</v>
      </c>
      <c r="W631" s="47" t="n">
        <f aca="false">V631*(IF(C631&lt;Assumptions!$B$5,Assumptions!$B$12*(1+Assumptions!$B$11)^(INT(A631/12)+1)/12+Pricing_M!$B$13*IF(A631=0,Assumptions!$B$14*12,IF(A631&gt;=12,Assumptions!$B$15,0))-Pricing_M!$B$13,Assumptions!$B$9/12*(1+Assumptions!$B$10)^INT(A631/12)+Assumptions!$B$12*(1+Assumptions!$B$11)^(INT(A631/12)+1)/12))*J631</f>
        <v>0.0204198935679409</v>
      </c>
      <c r="X631" s="47" t="n">
        <f aca="false">I631*(IF(C631&lt;Assumptions!$B$5,Assumptions!$B$12*(1+Assumptions!$B$11)*(1+Assumptions!$B$24)*(1+Assumptions!$B$11+Assumptions!$B$25)^(INT(A631/12))/12+Pricing_M!$B$13*IF(A631=0,Assumptions!$B$14*12,IF(A631&gt;=12,Assumptions!$B$15,0))-Pricing_M!$B$13,Assumptions!$B$9/12*(1+Assumptions!$B$10)^INT(A631/12)+Assumptions!$B$12*(1+Assumptions!$B$11)*(1+Assumptions!$B$24)*(1+Assumptions!$B$11+Assumptions!$B$25)^(INT(A631/12))/12))*J631</f>
        <v>0.0186149108033406</v>
      </c>
    </row>
    <row r="632" customFormat="false" ht="15" hidden="false" customHeight="true" outlineLevel="0" collapsed="false">
      <c r="A632" s="1" t="n">
        <v>625</v>
      </c>
      <c r="B632" s="31" t="n">
        <f aca="false">Assumptions!$B$4+A632/12</f>
        <v>117.083333333333</v>
      </c>
      <c r="C632" s="34" t="n">
        <f aca="false">Assumptions!$B$4+INT(A632/12)</f>
        <v>117</v>
      </c>
      <c r="D632" s="34" t="n">
        <f aca="false">INT(A632/12)+1</f>
        <v>53</v>
      </c>
      <c r="E632" s="32" t="n">
        <f aca="false">IFERROR(INDEX(Cohort_Survival!$G$5:$G$65,MATCH(C632,Cohort_Survival!$A$5:$A$65,0)),1)</f>
        <v>0.560811007209681</v>
      </c>
      <c r="F632" s="30" t="n">
        <f aca="false">1-(1-MIN(1,E632))^(1/12)</f>
        <v>0.0662707710869291</v>
      </c>
      <c r="G632" s="39" t="n">
        <f aca="false">IF(C632&lt;Assumptions!$B$5,IF(D632=1,Assumptions!$B$16,IF(D632=2,Assumptions!$B$17,IF(D632&lt;=5,Assumptions!$B$18,Assumptions!$B$19)))*(1-Assumptions!$B$20),0)</f>
        <v>0</v>
      </c>
      <c r="H632" s="30" t="n">
        <f aca="false">1-(1-G632)^(1/12)</f>
        <v>0</v>
      </c>
      <c r="I632" s="30" t="n">
        <f aca="false">I631*(1-F631)*(1-H631)</f>
        <v>2.3879083607141E-005</v>
      </c>
      <c r="J632" s="30" t="n">
        <f aca="false">INDEX(Discount_Monthly!$G$4:$G$664,MATCH(A632,Discount_Monthly!$A$4:$A$664,0))</f>
        <v>0.192111014086784</v>
      </c>
      <c r="K632" s="30" t="n">
        <f aca="false">IF(C632&lt;Assumptions!$B$5,I632*J632,0)</f>
        <v>0</v>
      </c>
      <c r="L632" s="30" t="n">
        <f aca="false">IF(C632&lt;Assumptions!$B$5,I632*(1-F632)*H632*A632*J632,0)</f>
        <v>0</v>
      </c>
      <c r="M632" s="30" t="n">
        <f aca="false">IF(A632=0,Assumptions!$B$14*12*I632*J632,IF(AND(A632&gt;=12,C632&lt;Assumptions!$B$5),Assumptions!$B$15*I632*J632,0))</f>
        <v>0</v>
      </c>
      <c r="N632" s="47" t="n">
        <f aca="false">IF(C632&gt;=Assumptions!$B$5,I632*Assumptions!$B$9/12*(1+Assumptions!$B$10)^INT(A632/12)*J632,0)</f>
        <v>0.0171284312501965</v>
      </c>
      <c r="O632" s="47" t="n">
        <f aca="false">I632*Assumptions!$B$12/12*(1+Assumptions!$B$11)^(INT(A632/12)+1)*J632</f>
        <v>0.00011319924423475</v>
      </c>
      <c r="P632" s="47" t="n">
        <f aca="false">O632+Pricing_M!$B$13*M632+N632-Pricing_M!$B$13*K632</f>
        <v>0.0172416304944313</v>
      </c>
      <c r="Q632" s="47" t="n">
        <f aca="false">IF(C632&lt;Assumptions!$B$5,Pricing_M!$B$13*K632-Pricing_M!$B$13*M632-O632,-(N632+O632))</f>
        <v>-0.0172416304944313</v>
      </c>
      <c r="R632" s="32" t="n">
        <f aca="false">R631*(1-(1-(1-MIN(1,E631*(1-Assumptions!$B$21)))^(1/12)))*(1-H631)</f>
        <v>0.000298561639924069</v>
      </c>
      <c r="S632" s="47" t="n">
        <f aca="false">R632*(IF(C632&lt;Assumptions!$B$5,Assumptions!$B$12*(1+Assumptions!$B$11)^(INT(A632/12)+1)/12+Pricing_M!$B$13*IF(A632=0,Assumptions!$B$14*12,IF(A632&gt;=12,Assumptions!$B$15,0))-Pricing_M!$B$13,Assumptions!$B$9/12*(1+Assumptions!$B$10)^INT(A632/12)+Assumptions!$B$12*(1+Assumptions!$B$11)^(INT(A632/12)+1)/12))*J632</f>
        <v>0.21557315850441</v>
      </c>
      <c r="T632" s="32" t="n">
        <f aca="false">T631*(1-F631)*(1-(1-(1-MIN(1,G631*(1+Assumptions!$B$23)))^(1/12)))</f>
        <v>2.16315568568612E-005</v>
      </c>
      <c r="U632" s="47" t="n">
        <f aca="false">T632*(IF(C632&lt;Assumptions!$B$5,Assumptions!$B$12*(1+Assumptions!$B$11)^(INT(A632/12)+1)/12+Pricing_M!$B$13*IF(A632=0,Assumptions!$B$14*12,IF(A632&gt;=12,Assumptions!$B$15,0))-Pricing_M!$B$13,Assumptions!$B$9/12*(1+Assumptions!$B$10)^INT(A632/12)+Assumptions!$B$12*(1+Assumptions!$B$11)^(INT(A632/12)+1)/12))*J632</f>
        <v>0.0156188284475769</v>
      </c>
      <c r="V632" s="32" t="n">
        <f aca="false">V631*(1-F631)*(1-(1-(1-MIN(1,G631*(1-Assumptions!$B$23)))^(1/12)))</f>
        <v>2.63359434392552E-005</v>
      </c>
      <c r="W632" s="47" t="n">
        <f aca="false">V632*(IF(C632&lt;Assumptions!$B$5,Assumptions!$B$12*(1+Assumptions!$B$11)^(INT(A632/12)+1)/12+Pricing_M!$B$13*IF(A632=0,Assumptions!$B$14*12,IF(A632&gt;=12,Assumptions!$B$15,0))-Pricing_M!$B$13,Assumptions!$B$9/12*(1+Assumptions!$B$10)^INT(A632/12)+Assumptions!$B$12*(1+Assumptions!$B$11)^(INT(A632/12)+1)/12))*J632</f>
        <v>0.019015579197775</v>
      </c>
      <c r="X632" s="47" t="n">
        <f aca="false">I632*(IF(C632&lt;Assumptions!$B$5,Assumptions!$B$12*(1+Assumptions!$B$11)*(1+Assumptions!$B$24)*(1+Assumptions!$B$11+Assumptions!$B$25)^(INT(A632/12))/12+Pricing_M!$B$13*IF(A632=0,Assumptions!$B$14*12,IF(A632&gt;=12,Assumptions!$B$15,0))-Pricing_M!$B$13,Assumptions!$B$9/12*(1+Assumptions!$B$10)^INT(A632/12)+Assumptions!$B$12*(1+Assumptions!$B$11)*(1+Assumptions!$B$24)*(1+Assumptions!$B$11+Assumptions!$B$25)^(INT(A632/12))/12))*J632</f>
        <v>0.0173347284824333</v>
      </c>
    </row>
    <row r="633" customFormat="false" ht="15" hidden="false" customHeight="true" outlineLevel="0" collapsed="false">
      <c r="A633" s="1" t="n">
        <v>626</v>
      </c>
      <c r="B633" s="31" t="n">
        <f aca="false">Assumptions!$B$4+A633/12</f>
        <v>117.166666666667</v>
      </c>
      <c r="C633" s="34" t="n">
        <f aca="false">Assumptions!$B$4+INT(A633/12)</f>
        <v>117</v>
      </c>
      <c r="D633" s="34" t="n">
        <f aca="false">INT(A633/12)+1</f>
        <v>53</v>
      </c>
      <c r="E633" s="32" t="n">
        <f aca="false">IFERROR(INDEX(Cohort_Survival!$G$5:$G$65,MATCH(C633,Cohort_Survival!$A$5:$A$65,0)),1)</f>
        <v>0.560811007209681</v>
      </c>
      <c r="F633" s="30" t="n">
        <f aca="false">1-(1-MIN(1,E633))^(1/12)</f>
        <v>0.0662707710869291</v>
      </c>
      <c r="G633" s="39" t="n">
        <f aca="false">IF(C633&lt;Assumptions!$B$5,IF(D633=1,Assumptions!$B$16,IF(D633=2,Assumptions!$B$17,IF(D633&lt;=5,Assumptions!$B$18,Assumptions!$B$19)))*(1-Assumptions!$B$20),0)</f>
        <v>0</v>
      </c>
      <c r="H633" s="30" t="n">
        <f aca="false">1-(1-G633)^(1/12)</f>
        <v>0</v>
      </c>
      <c r="I633" s="30" t="n">
        <f aca="false">I632*(1-F632)*(1-H632)</f>
        <v>2.22965983236465E-005</v>
      </c>
      <c r="J633" s="30" t="n">
        <f aca="false">INDEX(Discount_Monthly!$G$4:$G$664,MATCH(A633,Discount_Monthly!$A$4:$A$664,0))</f>
        <v>0.191596422045668</v>
      </c>
      <c r="K633" s="30" t="n">
        <f aca="false">IF(C633&lt;Assumptions!$B$5,I633*J633,0)</f>
        <v>0</v>
      </c>
      <c r="L633" s="30" t="n">
        <f aca="false">IF(C633&lt;Assumptions!$B$5,I633*(1-F633)*H633*A633*J633,0)</f>
        <v>0</v>
      </c>
      <c r="M633" s="30" t="n">
        <f aca="false">IF(A633=0,Assumptions!$B$14*12*I633*J633,IF(AND(A633&gt;=12,C633&lt;Assumptions!$B$5),Assumptions!$B$15*I633*J633,0))</f>
        <v>0</v>
      </c>
      <c r="N633" s="47" t="n">
        <f aca="false">IF(C633&gt;=Assumptions!$B$5,I633*Assumptions!$B$9/12*(1+Assumptions!$B$10)^INT(A633/12)*J633,0)</f>
        <v>0.0159504769154682</v>
      </c>
      <c r="O633" s="47" t="n">
        <f aca="false">I633*Assumptions!$B$12/12*(1+Assumptions!$B$11)^(INT(A633/12)+1)*J633</f>
        <v>0.000105414319947958</v>
      </c>
      <c r="P633" s="47" t="n">
        <f aca="false">O633+Pricing_M!$B$13*M633+N633-Pricing_M!$B$13*K633</f>
        <v>0.0160558912354161</v>
      </c>
      <c r="Q633" s="47" t="n">
        <f aca="false">IF(C633&lt;Assumptions!$B$5,Pricing_M!$B$13*K633-Pricing_M!$B$13*M633-O633,-(N633+O633))</f>
        <v>-0.0160558912354161</v>
      </c>
      <c r="R633" s="32" t="n">
        <f aca="false">R632*(1-(1-(1-MIN(1,E632*(1-Assumptions!$B$21)))^(1/12)))*(1-H632)</f>
        <v>0.000284109900157532</v>
      </c>
      <c r="S633" s="47" t="n">
        <f aca="false">R633*(IF(C633&lt;Assumptions!$B$5,Assumptions!$B$12*(1+Assumptions!$B$11)^(INT(A633/12)+1)/12+Pricing_M!$B$13*IF(A633=0,Assumptions!$B$14*12,IF(A633&gt;=12,Assumptions!$B$15,0))-Pricing_M!$B$13,Assumptions!$B$9/12*(1+Assumptions!$B$10)^INT(A633/12)+Assumptions!$B$12*(1+Assumptions!$B$11)^(INT(A633/12)+1)/12))*J633</f>
        <v>0.204588950727809</v>
      </c>
      <c r="T633" s="32" t="n">
        <f aca="false">T632*(1-F632)*(1-(1-(1-MIN(1,G632*(1+Assumptions!$B$23)))^(1/12)))</f>
        <v>2.01980169041462E-005</v>
      </c>
      <c r="U633" s="47" t="n">
        <f aca="false">T633*(IF(C633&lt;Assumptions!$B$5,Assumptions!$B$12*(1+Assumptions!$B$11)^(INT(A633/12)+1)/12+Pricing_M!$B$13*IF(A633=0,Assumptions!$B$14*12,IF(A633&gt;=12,Assumptions!$B$15,0))-Pricing_M!$B$13,Assumptions!$B$9/12*(1+Assumptions!$B$10)^INT(A633/12)+Assumptions!$B$12*(1+Assumptions!$B$11)^(INT(A633/12)+1)/12))*J633</f>
        <v>0.0145446923282525</v>
      </c>
      <c r="V633" s="32" t="n">
        <f aca="false">V632*(1-F632)*(1-(1-(1-MIN(1,G632*(1-Assumptions!$B$23)))^(1/12)))</f>
        <v>2.4590640160234E-005</v>
      </c>
      <c r="W633" s="47" t="n">
        <f aca="false">V633*(IF(C633&lt;Assumptions!$B$5,Assumptions!$B$12*(1+Assumptions!$B$11)^(INT(A633/12)+1)/12+Pricing_M!$B$13*IF(A633=0,Assumptions!$B$14*12,IF(A633&gt;=12,Assumptions!$B$15,0))-Pricing_M!$B$13,Assumptions!$B$9/12*(1+Assumptions!$B$10)^INT(A633/12)+Assumptions!$B$12*(1+Assumptions!$B$11)^(INT(A633/12)+1)/12))*J633</f>
        <v>0.0177078421600861</v>
      </c>
      <c r="X633" s="47" t="n">
        <f aca="false">I633*(IF(C633&lt;Assumptions!$B$5,Assumptions!$B$12*(1+Assumptions!$B$11)*(1+Assumptions!$B$24)*(1+Assumptions!$B$11+Assumptions!$B$25)^(INT(A633/12))/12+Pricing_M!$B$13*IF(A633=0,Assumptions!$B$14*12,IF(A633&gt;=12,Assumptions!$B$15,0))-Pricing_M!$B$13,Assumptions!$B$9/12*(1+Assumptions!$B$10)^INT(A633/12)+Assumptions!$B$12*(1+Assumptions!$B$11)*(1+Assumptions!$B$24)*(1+Assumptions!$B$11+Assumptions!$B$25)^(INT(A633/12))/12))*J633</f>
        <v>0.0161425867002145</v>
      </c>
    </row>
    <row r="634" customFormat="false" ht="15" hidden="false" customHeight="true" outlineLevel="0" collapsed="false">
      <c r="A634" s="1" t="n">
        <v>627</v>
      </c>
      <c r="B634" s="31" t="n">
        <f aca="false">Assumptions!$B$4+A634/12</f>
        <v>117.25</v>
      </c>
      <c r="C634" s="34" t="n">
        <f aca="false">Assumptions!$B$4+INT(A634/12)</f>
        <v>117</v>
      </c>
      <c r="D634" s="34" t="n">
        <f aca="false">INT(A634/12)+1</f>
        <v>53</v>
      </c>
      <c r="E634" s="32" t="n">
        <f aca="false">IFERROR(INDEX(Cohort_Survival!$G$5:$G$65,MATCH(C634,Cohort_Survival!$A$5:$A$65,0)),1)</f>
        <v>0.560811007209681</v>
      </c>
      <c r="F634" s="30" t="n">
        <f aca="false">1-(1-MIN(1,E634))^(1/12)</f>
        <v>0.0662707710869291</v>
      </c>
      <c r="G634" s="39" t="n">
        <f aca="false">IF(C634&lt;Assumptions!$B$5,IF(D634=1,Assumptions!$B$16,IF(D634=2,Assumptions!$B$17,IF(D634&lt;=5,Assumptions!$B$18,Assumptions!$B$19)))*(1-Assumptions!$B$20),0)</f>
        <v>0</v>
      </c>
      <c r="H634" s="30" t="n">
        <f aca="false">1-(1-G634)^(1/12)</f>
        <v>0</v>
      </c>
      <c r="I634" s="30" t="n">
        <f aca="false">I633*(1-F633)*(1-H633)</f>
        <v>2.08189855601229E-005</v>
      </c>
      <c r="J634" s="30" t="n">
        <f aca="false">INDEX(Discount_Monthly!$G$4:$G$664,MATCH(A634,Discount_Monthly!$A$4:$A$664,0))</f>
        <v>0.191083208400112</v>
      </c>
      <c r="K634" s="30" t="n">
        <f aca="false">IF(C634&lt;Assumptions!$B$5,I634*J634,0)</f>
        <v>0</v>
      </c>
      <c r="L634" s="30" t="n">
        <f aca="false">IF(C634&lt;Assumptions!$B$5,I634*(1-F634)*H634*A634*J634,0)</f>
        <v>0</v>
      </c>
      <c r="M634" s="30" t="n">
        <f aca="false">IF(A634=0,Assumptions!$B$14*12*I634*J634,IF(AND(A634&gt;=12,C634&lt;Assumptions!$B$5),Assumptions!$B$15*I634*J634,0))</f>
        <v>0</v>
      </c>
      <c r="N634" s="47" t="n">
        <f aca="false">IF(C634&gt;=Assumptions!$B$5,I634*Assumptions!$B$9/12*(1+Assumptions!$B$10)^INT(A634/12)*J634,0)</f>
        <v>0.0148535327091302</v>
      </c>
      <c r="O634" s="47" t="n">
        <f aca="false">I634*Assumptions!$B$12/12*(1+Assumptions!$B$11)^(INT(A634/12)+1)*J634</f>
        <v>9.81647795019398E-005</v>
      </c>
      <c r="P634" s="47" t="n">
        <f aca="false">O634+Pricing_M!$B$13*M634+N634-Pricing_M!$B$13*K634</f>
        <v>0.0149516974886322</v>
      </c>
      <c r="Q634" s="47" t="n">
        <f aca="false">IF(C634&lt;Assumptions!$B$5,Pricing_M!$B$13*K634-Pricing_M!$B$13*M634-O634,-(N634+O634))</f>
        <v>-0.0149516974886322</v>
      </c>
      <c r="R634" s="32" t="n">
        <f aca="false">R633*(1-(1-(1-MIN(1,E633*(1-Assumptions!$B$21)))^(1/12)))*(1-H633)</f>
        <v>0.000270357690251338</v>
      </c>
      <c r="S634" s="47" t="n">
        <f aca="false">R634*(IF(C634&lt;Assumptions!$B$5,Assumptions!$B$12*(1+Assumptions!$B$11)^(INT(A634/12)+1)/12+Pricing_M!$B$13*IF(A634=0,Assumptions!$B$14*12,IF(A634&gt;=12,Assumptions!$B$15,0))-Pricing_M!$B$13,Assumptions!$B$9/12*(1+Assumptions!$B$10)^INT(A634/12)+Assumptions!$B$12*(1+Assumptions!$B$11)^(INT(A634/12)+1)/12))*J634</f>
        <v>0.194164426825197</v>
      </c>
      <c r="T634" s="32" t="n">
        <f aca="false">T633*(1-F633)*(1-(1-(1-MIN(1,G633*(1+Assumptions!$B$23)))^(1/12)))</f>
        <v>1.88594787494816E-005</v>
      </c>
      <c r="U634" s="47" t="n">
        <f aca="false">T634*(IF(C634&lt;Assumptions!$B$5,Assumptions!$B$12*(1+Assumptions!$B$11)^(INT(A634/12)+1)/12+Pricing_M!$B$13*IF(A634=0,Assumptions!$B$14*12,IF(A634&gt;=12,Assumptions!$B$15,0))-Pricing_M!$B$13,Assumptions!$B$9/12*(1+Assumptions!$B$10)^INT(A634/12)+Assumptions!$B$12*(1+Assumptions!$B$11)^(INT(A634/12)+1)/12))*J634</f>
        <v>0.0135444265639748</v>
      </c>
      <c r="V634" s="32" t="n">
        <f aca="false">V633*(1-F633)*(1-(1-(1-MIN(1,G633*(1-Assumptions!$B$23)))^(1/12)))</f>
        <v>2.29609994752941E-005</v>
      </c>
      <c r="W634" s="47" t="n">
        <f aca="false">V634*(IF(C634&lt;Assumptions!$B$5,Assumptions!$B$12*(1+Assumptions!$B$11)^(INT(A634/12)+1)/12+Pricing_M!$B$13*IF(A634=0,Assumptions!$B$14*12,IF(A634&gt;=12,Assumptions!$B$15,0))-Pricing_M!$B$13,Assumptions!$B$9/12*(1+Assumptions!$B$10)^INT(A634/12)+Assumptions!$B$12*(1+Assumptions!$B$11)^(INT(A634/12)+1)/12))*J634</f>
        <v>0.0164900406506268</v>
      </c>
      <c r="X634" s="47" t="n">
        <f aca="false">I634*(IF(C634&lt;Assumptions!$B$5,Assumptions!$B$12*(1+Assumptions!$B$11)*(1+Assumptions!$B$24)*(1+Assumptions!$B$11+Assumptions!$B$25)^(INT(A634/12))/12+Pricing_M!$B$13*IF(A634=0,Assumptions!$B$14*12,IF(A634&gt;=12,Assumptions!$B$15,0))-Pricing_M!$B$13,Assumptions!$B$9/12*(1+Assumptions!$B$10)^INT(A634/12)+Assumptions!$B$12*(1+Assumptions!$B$11)*(1+Assumptions!$B$24)*(1+Assumptions!$B$11+Assumptions!$B$25)^(INT(A634/12))/12))*J634</f>
        <v>0.015032430743753</v>
      </c>
    </row>
    <row r="635" customFormat="false" ht="15" hidden="false" customHeight="true" outlineLevel="0" collapsed="false">
      <c r="A635" s="1" t="n">
        <v>628</v>
      </c>
      <c r="B635" s="31" t="n">
        <f aca="false">Assumptions!$B$4+A635/12</f>
        <v>117.333333333333</v>
      </c>
      <c r="C635" s="34" t="n">
        <f aca="false">Assumptions!$B$4+INT(A635/12)</f>
        <v>117</v>
      </c>
      <c r="D635" s="34" t="n">
        <f aca="false">INT(A635/12)+1</f>
        <v>53</v>
      </c>
      <c r="E635" s="32" t="n">
        <f aca="false">IFERROR(INDEX(Cohort_Survival!$G$5:$G$65,MATCH(C635,Cohort_Survival!$A$5:$A$65,0)),1)</f>
        <v>0.560811007209681</v>
      </c>
      <c r="F635" s="30" t="n">
        <f aca="false">1-(1-MIN(1,E635))^(1/12)</f>
        <v>0.0662707710869291</v>
      </c>
      <c r="G635" s="39" t="n">
        <f aca="false">IF(C635&lt;Assumptions!$B$5,IF(D635=1,Assumptions!$B$16,IF(D635=2,Assumptions!$B$17,IF(D635&lt;=5,Assumptions!$B$18,Assumptions!$B$19)))*(1-Assumptions!$B$20),0)</f>
        <v>0</v>
      </c>
      <c r="H635" s="30" t="n">
        <f aca="false">1-(1-G635)^(1/12)</f>
        <v>0</v>
      </c>
      <c r="I635" s="30" t="n">
        <f aca="false">I634*(1-F634)*(1-H634)</f>
        <v>1.94392953338059E-005</v>
      </c>
      <c r="J635" s="30" t="n">
        <f aca="false">INDEX(Discount_Monthly!$G$4:$G$664,MATCH(A635,Discount_Monthly!$A$4:$A$664,0))</f>
        <v>0.19057136945792</v>
      </c>
      <c r="K635" s="30" t="n">
        <f aca="false">IF(C635&lt;Assumptions!$B$5,I635*J635,0)</f>
        <v>0</v>
      </c>
      <c r="L635" s="30" t="n">
        <f aca="false">IF(C635&lt;Assumptions!$B$5,I635*(1-F635)*H635*A635*J635,0)</f>
        <v>0</v>
      </c>
      <c r="M635" s="30" t="n">
        <f aca="false">IF(A635=0,Assumptions!$B$14*12*I635*J635,IF(AND(A635&gt;=12,C635&lt;Assumptions!$B$5),Assumptions!$B$15*I635*J635,0))</f>
        <v>0</v>
      </c>
      <c r="N635" s="47" t="n">
        <f aca="false">IF(C635&gt;=Assumptions!$B$5,I635*Assumptions!$B$9/12*(1+Assumptions!$B$10)^INT(A635/12)*J635,0)</f>
        <v>0.0138320274127506</v>
      </c>
      <c r="O635" s="47" t="n">
        <f aca="false">I635*Assumptions!$B$12/12*(1+Assumptions!$B$11)^(INT(A635/12)+1)*J635</f>
        <v>9.1413803546063E-005</v>
      </c>
      <c r="P635" s="47" t="n">
        <f aca="false">O635+Pricing_M!$B$13*M635+N635-Pricing_M!$B$13*K635</f>
        <v>0.0139234412162967</v>
      </c>
      <c r="Q635" s="47" t="n">
        <f aca="false">IF(C635&lt;Assumptions!$B$5,Pricing_M!$B$13*K635-Pricing_M!$B$13*M635-O635,-(N635+O635))</f>
        <v>-0.0139234412162967</v>
      </c>
      <c r="R635" s="32" t="n">
        <f aca="false">R634*(1-(1-(1-MIN(1,E634*(1-Assumptions!$B$21)))^(1/12)))*(1-H634)</f>
        <v>0.000257271149782214</v>
      </c>
      <c r="S635" s="47" t="n">
        <f aca="false">R635*(IF(C635&lt;Assumptions!$B$5,Assumptions!$B$12*(1+Assumptions!$B$11)^(INT(A635/12)+1)/12+Pricing_M!$B$13*IF(A635=0,Assumptions!$B$14*12,IF(A635&gt;=12,Assumptions!$B$15,0))-Pricing_M!$B$13,Assumptions!$B$9/12*(1+Assumptions!$B$10)^INT(A635/12)+Assumptions!$B$12*(1+Assumptions!$B$11)^(INT(A635/12)+1)/12))*J635</f>
        <v>0.184271068942106</v>
      </c>
      <c r="T635" s="32" t="n">
        <f aca="false">T634*(1-F634)*(1-(1-(1-MIN(1,G634*(1+Assumptions!$B$23)))^(1/12)))</f>
        <v>1.76096465504559E-005</v>
      </c>
      <c r="U635" s="47" t="n">
        <f aca="false">T635*(IF(C635&lt;Assumptions!$B$5,Assumptions!$B$12*(1+Assumptions!$B$11)^(INT(A635/12)+1)/12+Pricing_M!$B$13*IF(A635=0,Assumptions!$B$14*12,IF(A635&gt;=12,Assumptions!$B$15,0))-Pricing_M!$B$13,Assumptions!$B$9/12*(1+Assumptions!$B$10)^INT(A635/12)+Assumptions!$B$12*(1+Assumptions!$B$11)^(INT(A635/12)+1)/12))*J635</f>
        <v>0.0126129509519125</v>
      </c>
      <c r="V635" s="32" t="n">
        <f aca="false">V634*(1-F634)*(1-(1-(1-MIN(1,G634*(1-Assumptions!$B$23)))^(1/12)))</f>
        <v>2.14393563351398E-005</v>
      </c>
      <c r="W635" s="47" t="n">
        <f aca="false">V635*(IF(C635&lt;Assumptions!$B$5,Assumptions!$B$12*(1+Assumptions!$B$11)^(INT(A635/12)+1)/12+Pricing_M!$B$13*IF(A635=0,Assumptions!$B$14*12,IF(A635&gt;=12,Assumptions!$B$15,0))-Pricing_M!$B$13,Assumptions!$B$9/12*(1+Assumptions!$B$10)^INT(A635/12)+Assumptions!$B$12*(1+Assumptions!$B$11)^(INT(A635/12)+1)/12))*J635</f>
        <v>0.0153559896344819</v>
      </c>
      <c r="X635" s="47" t="n">
        <f aca="false">I635*(IF(C635&lt;Assumptions!$B$5,Assumptions!$B$12*(1+Assumptions!$B$11)*(1+Assumptions!$B$24)*(1+Assumptions!$B$11+Assumptions!$B$25)^(INT(A635/12))/12+Pricing_M!$B$13*IF(A635=0,Assumptions!$B$14*12,IF(A635&gt;=12,Assumptions!$B$15,0))-Pricing_M!$B$13,Assumptions!$B$9/12*(1+Assumptions!$B$10)^INT(A635/12)+Assumptions!$B$12*(1+Assumptions!$B$11)*(1+Assumptions!$B$24)*(1+Assumptions!$B$11+Assumptions!$B$25)^(INT(A635/12))/12))*J635</f>
        <v>0.0139986222940793</v>
      </c>
    </row>
    <row r="636" customFormat="false" ht="15" hidden="false" customHeight="true" outlineLevel="0" collapsed="false">
      <c r="A636" s="1" t="n">
        <v>629</v>
      </c>
      <c r="B636" s="31" t="n">
        <f aca="false">Assumptions!$B$4+A636/12</f>
        <v>117.416666666667</v>
      </c>
      <c r="C636" s="34" t="n">
        <f aca="false">Assumptions!$B$4+INT(A636/12)</f>
        <v>117</v>
      </c>
      <c r="D636" s="34" t="n">
        <f aca="false">INT(A636/12)+1</f>
        <v>53</v>
      </c>
      <c r="E636" s="32" t="n">
        <f aca="false">IFERROR(INDEX(Cohort_Survival!$G$5:$G$65,MATCH(C636,Cohort_Survival!$A$5:$A$65,0)),1)</f>
        <v>0.560811007209681</v>
      </c>
      <c r="F636" s="30" t="n">
        <f aca="false">1-(1-MIN(1,E636))^(1/12)</f>
        <v>0.0662707710869291</v>
      </c>
      <c r="G636" s="39" t="n">
        <f aca="false">IF(C636&lt;Assumptions!$B$5,IF(D636=1,Assumptions!$B$16,IF(D636=2,Assumptions!$B$17,IF(D636&lt;=5,Assumptions!$B$18,Assumptions!$B$19)))*(1-Assumptions!$B$20),0)</f>
        <v>0</v>
      </c>
      <c r="H636" s="30" t="n">
        <f aca="false">1-(1-G636)^(1/12)</f>
        <v>0</v>
      </c>
      <c r="I636" s="30" t="n">
        <f aca="false">I635*(1-F635)*(1-H635)</f>
        <v>1.81510382426481E-005</v>
      </c>
      <c r="J636" s="30" t="n">
        <f aca="false">INDEX(Discount_Monthly!$G$4:$G$664,MATCH(A636,Discount_Monthly!$A$4:$A$664,0))</f>
        <v>0.190060901536787</v>
      </c>
      <c r="K636" s="30" t="n">
        <f aca="false">IF(C636&lt;Assumptions!$B$5,I636*J636,0)</f>
        <v>0</v>
      </c>
      <c r="L636" s="30" t="n">
        <f aca="false">IF(C636&lt;Assumptions!$B$5,I636*(1-F636)*H636*A636*J636,0)</f>
        <v>0</v>
      </c>
      <c r="M636" s="30" t="n">
        <f aca="false">IF(A636=0,Assumptions!$B$14*12*I636*J636,IF(AND(A636&gt;=12,C636&lt;Assumptions!$B$5),Assumptions!$B$15*I636*J636,0))</f>
        <v>0</v>
      </c>
      <c r="N636" s="47" t="n">
        <f aca="false">IF(C636&gt;=Assumptions!$B$5,I636*Assumptions!$B$9/12*(1+Assumptions!$B$10)^INT(A636/12)*J636,0)</f>
        <v>0.0128807729510354</v>
      </c>
      <c r="O636" s="47" t="n">
        <f aca="false">I636*Assumptions!$B$12/12*(1+Assumptions!$B$11)^(INT(A636/12)+1)*J636</f>
        <v>8.51271048654784E-005</v>
      </c>
      <c r="P636" s="47" t="n">
        <f aca="false">O636+Pricing_M!$B$13*M636+N636-Pricing_M!$B$13*K636</f>
        <v>0.0129659000559009</v>
      </c>
      <c r="Q636" s="47" t="n">
        <f aca="false">IF(C636&lt;Assumptions!$B$5,Pricing_M!$B$13*K636-Pricing_M!$B$13*M636-O636,-(N636+O636))</f>
        <v>-0.0129659000559009</v>
      </c>
      <c r="R636" s="32" t="n">
        <f aca="false">R635*(1-(1-(1-MIN(1,E635*(1-Assumptions!$B$21)))^(1/12)))*(1-H635)</f>
        <v>0.000244818057325206</v>
      </c>
      <c r="S636" s="47" t="n">
        <f aca="false">R636*(IF(C636&lt;Assumptions!$B$5,Assumptions!$B$12*(1+Assumptions!$B$11)^(INT(A636/12)+1)/12+Pricing_M!$B$13*IF(A636=0,Assumptions!$B$14*12,IF(A636&gt;=12,Assumptions!$B$15,0))-Pricing_M!$B$13,Assumptions!$B$9/12*(1+Assumptions!$B$10)^INT(A636/12)+Assumptions!$B$12*(1+Assumptions!$B$11)^(INT(A636/12)+1)/12))*J636</f>
        <v>0.174881812308679</v>
      </c>
      <c r="T636" s="32" t="n">
        <f aca="false">T635*(1-F635)*(1-(1-(1-MIN(1,G635*(1+Assumptions!$B$23)))^(1/12)))</f>
        <v>1.64426416949889E-005</v>
      </c>
      <c r="U636" s="47" t="n">
        <f aca="false">T636*(IF(C636&lt;Assumptions!$B$5,Assumptions!$B$12*(1+Assumptions!$B$11)^(INT(A636/12)+1)/12+Pricing_M!$B$13*IF(A636=0,Assumptions!$B$14*12,IF(A636&gt;=12,Assumptions!$B$15,0))-Pricing_M!$B$13,Assumptions!$B$9/12*(1+Assumptions!$B$10)^INT(A636/12)+Assumptions!$B$12*(1+Assumptions!$B$11)^(INT(A636/12)+1)/12))*J636</f>
        <v>0.0117455346643087</v>
      </c>
      <c r="V636" s="32" t="n">
        <f aca="false">V635*(1-F635)*(1-(1-(1-MIN(1,G635*(1-Assumptions!$B$23)))^(1/12)))</f>
        <v>2.00185536592026E-005</v>
      </c>
      <c r="W636" s="47" t="n">
        <f aca="false">V636*(IF(C636&lt;Assumptions!$B$5,Assumptions!$B$12*(1+Assumptions!$B$11)^(INT(A636/12)+1)/12+Pricing_M!$B$13*IF(A636=0,Assumptions!$B$14*12,IF(A636&gt;=12,Assumptions!$B$15,0))-Pricing_M!$B$13,Assumptions!$B$9/12*(1+Assumptions!$B$10)^INT(A636/12)+Assumptions!$B$12*(1+Assumptions!$B$11)^(INT(A636/12)+1)/12))*J636</f>
        <v>0.0142999294331851</v>
      </c>
      <c r="X636" s="47" t="n">
        <f aca="false">I636*(IF(C636&lt;Assumptions!$B$5,Assumptions!$B$12*(1+Assumptions!$B$11)*(1+Assumptions!$B$24)*(1+Assumptions!$B$11+Assumptions!$B$25)^(INT(A636/12))/12+Pricing_M!$B$13*IF(A636=0,Assumptions!$B$14*12,IF(A636&gt;=12,Assumptions!$B$15,0))-Pricing_M!$B$13,Assumptions!$B$9/12*(1+Assumptions!$B$10)^INT(A636/12)+Assumptions!$B$12*(1+Assumptions!$B$11)*(1+Assumptions!$B$24)*(1+Assumptions!$B$11+Assumptions!$B$25)^(INT(A636/12))/12))*J636</f>
        <v>0.0130359107899918</v>
      </c>
    </row>
    <row r="637" customFormat="false" ht="15" hidden="false" customHeight="true" outlineLevel="0" collapsed="false">
      <c r="A637" s="1" t="n">
        <v>630</v>
      </c>
      <c r="B637" s="31" t="n">
        <f aca="false">Assumptions!$B$4+A637/12</f>
        <v>117.5</v>
      </c>
      <c r="C637" s="34" t="n">
        <f aca="false">Assumptions!$B$4+INT(A637/12)</f>
        <v>117</v>
      </c>
      <c r="D637" s="34" t="n">
        <f aca="false">INT(A637/12)+1</f>
        <v>53</v>
      </c>
      <c r="E637" s="32" t="n">
        <f aca="false">IFERROR(INDEX(Cohort_Survival!$G$5:$G$65,MATCH(C637,Cohort_Survival!$A$5:$A$65,0)),1)</f>
        <v>0.560811007209681</v>
      </c>
      <c r="F637" s="30" t="n">
        <f aca="false">1-(1-MIN(1,E637))^(1/12)</f>
        <v>0.0662707710869291</v>
      </c>
      <c r="G637" s="39" t="n">
        <f aca="false">IF(C637&lt;Assumptions!$B$5,IF(D637=1,Assumptions!$B$16,IF(D637=2,Assumptions!$B$17,IF(D637&lt;=5,Assumptions!$B$18,Assumptions!$B$19)))*(1-Assumptions!$B$20),0)</f>
        <v>0</v>
      </c>
      <c r="H637" s="30" t="n">
        <f aca="false">1-(1-G637)^(1/12)</f>
        <v>0</v>
      </c>
      <c r="I637" s="30" t="n">
        <f aca="false">I636*(1-F636)*(1-H636)</f>
        <v>1.69481549422794E-005</v>
      </c>
      <c r="J637" s="30" t="n">
        <f aca="false">INDEX(Discount_Monthly!$G$4:$G$664,MATCH(A637,Discount_Monthly!$A$4:$A$664,0))</f>
        <v>0.189551800964271</v>
      </c>
      <c r="K637" s="30" t="n">
        <f aca="false">IF(C637&lt;Assumptions!$B$5,I637*J637,0)</f>
        <v>0</v>
      </c>
      <c r="L637" s="30" t="n">
        <f aca="false">IF(C637&lt;Assumptions!$B$5,I637*(1-F637)*H637*A637*J637,0)</f>
        <v>0</v>
      </c>
      <c r="M637" s="30" t="n">
        <f aca="false">IF(A637=0,Assumptions!$B$14*12*I637*J637,IF(AND(A637&gt;=12,C637&lt;Assumptions!$B$5),Assumptions!$B$15*I637*J637,0))</f>
        <v>0</v>
      </c>
      <c r="N637" s="47" t="n">
        <f aca="false">IF(C637&gt;=Assumptions!$B$5,I637*Assumptions!$B$9/12*(1+Assumptions!$B$10)^INT(A637/12)*J637,0)</f>
        <v>0.0119949380423569</v>
      </c>
      <c r="O637" s="47" t="n">
        <f aca="false">I637*Assumptions!$B$12/12*(1+Assumptions!$B$11)^(INT(A637/12)+1)*J637</f>
        <v>7.92727542413944E-005</v>
      </c>
      <c r="P637" s="47" t="n">
        <f aca="false">O637+Pricing_M!$B$13*M637+N637-Pricing_M!$B$13*K637</f>
        <v>0.0120742107965983</v>
      </c>
      <c r="Q637" s="47" t="n">
        <f aca="false">IF(C637&lt;Assumptions!$B$5,Pricing_M!$B$13*K637-Pricing_M!$B$13*M637-O637,-(N637+O637))</f>
        <v>-0.0120742107965983</v>
      </c>
      <c r="R637" s="32" t="n">
        <f aca="false">R636*(1-(1-(1-MIN(1,E636*(1-Assumptions!$B$21)))^(1/12)))*(1-H636)</f>
        <v>0.000232967751118712</v>
      </c>
      <c r="S637" s="47" t="n">
        <f aca="false">R637*(IF(C637&lt;Assumptions!$B$5,Assumptions!$B$12*(1+Assumptions!$B$11)^(INT(A637/12)+1)/12+Pricing_M!$B$13*IF(A637=0,Assumptions!$B$14*12,IF(A637&gt;=12,Assumptions!$B$15,0))-Pricing_M!$B$13,Assumptions!$B$9/12*(1+Assumptions!$B$10)^INT(A637/12)+Assumptions!$B$12*(1+Assumptions!$B$11)^(INT(A637/12)+1)/12))*J637</f>
        <v>0.165970971199916</v>
      </c>
      <c r="T637" s="32" t="n">
        <f aca="false">T636*(1-F636)*(1-(1-(1-MIN(1,G636*(1+Assumptions!$B$23)))^(1/12)))</f>
        <v>1.53529751511559E-005</v>
      </c>
      <c r="U637" s="47" t="n">
        <f aca="false">T637*(IF(C637&lt;Assumptions!$B$5,Assumptions!$B$12*(1+Assumptions!$B$11)^(INT(A637/12)+1)/12+Pricing_M!$B$13*IF(A637=0,Assumptions!$B$14*12,IF(A637&gt;=12,Assumptions!$B$15,0))-Pricing_M!$B$13,Assumptions!$B$9/12*(1+Assumptions!$B$10)^INT(A637/12)+Assumptions!$B$12*(1+Assumptions!$B$11)^(INT(A637/12)+1)/12))*J637</f>
        <v>0.0109377722213023</v>
      </c>
      <c r="V637" s="32" t="n">
        <f aca="false">V636*(1-F636)*(1-(1-(1-MIN(1,G636*(1-Assumptions!$B$23)))^(1/12)))</f>
        <v>1.86919086721622E-005</v>
      </c>
      <c r="W637" s="47" t="n">
        <f aca="false">V637*(IF(C637&lt;Assumptions!$B$5,Assumptions!$B$12*(1+Assumptions!$B$11)^(INT(A637/12)+1)/12+Pricing_M!$B$13*IF(A637=0,Assumptions!$B$14*12,IF(A637&gt;=12,Assumptions!$B$15,0))-Pricing_M!$B$13,Assumptions!$B$9/12*(1+Assumptions!$B$10)^INT(A637/12)+Assumptions!$B$12*(1+Assumptions!$B$11)^(INT(A637/12)+1)/12))*J637</f>
        <v>0.0133164964721579</v>
      </c>
      <c r="X637" s="47" t="n">
        <f aca="false">I637*(IF(C637&lt;Assumptions!$B$5,Assumptions!$B$12*(1+Assumptions!$B$11)*(1+Assumptions!$B$24)*(1+Assumptions!$B$11+Assumptions!$B$25)^(INT(A637/12))/12+Pricing_M!$B$13*IF(A637=0,Assumptions!$B$14*12,IF(A637&gt;=12,Assumptions!$B$15,0))-Pricing_M!$B$13,Assumptions!$B$9/12*(1+Assumptions!$B$10)^INT(A637/12)+Assumptions!$B$12*(1+Assumptions!$B$11)*(1+Assumptions!$B$24)*(1+Assumptions!$B$11+Assumptions!$B$25)^(INT(A637/12))/12))*J637</f>
        <v>0.0121394067612281</v>
      </c>
    </row>
    <row r="638" customFormat="false" ht="15" hidden="false" customHeight="true" outlineLevel="0" collapsed="false">
      <c r="A638" s="1" t="n">
        <v>631</v>
      </c>
      <c r="B638" s="31" t="n">
        <f aca="false">Assumptions!$B$4+A638/12</f>
        <v>117.583333333333</v>
      </c>
      <c r="C638" s="34" t="n">
        <f aca="false">Assumptions!$B$4+INT(A638/12)</f>
        <v>117</v>
      </c>
      <c r="D638" s="34" t="n">
        <f aca="false">INT(A638/12)+1</f>
        <v>53</v>
      </c>
      <c r="E638" s="32" t="n">
        <f aca="false">IFERROR(INDEX(Cohort_Survival!$G$5:$G$65,MATCH(C638,Cohort_Survival!$A$5:$A$65,0)),1)</f>
        <v>0.560811007209681</v>
      </c>
      <c r="F638" s="30" t="n">
        <f aca="false">1-(1-MIN(1,E638))^(1/12)</f>
        <v>0.0662707710869291</v>
      </c>
      <c r="G638" s="39" t="n">
        <f aca="false">IF(C638&lt;Assumptions!$B$5,IF(D638=1,Assumptions!$B$16,IF(D638=2,Assumptions!$B$17,IF(D638&lt;=5,Assumptions!$B$18,Assumptions!$B$19)))*(1-Assumptions!$B$20),0)</f>
        <v>0</v>
      </c>
      <c r="H638" s="30" t="n">
        <f aca="false">1-(1-G638)^(1/12)</f>
        <v>0</v>
      </c>
      <c r="I638" s="30" t="n">
        <f aca="false">I637*(1-F637)*(1-H637)</f>
        <v>1.58249876457538E-005</v>
      </c>
      <c r="J638" s="30" t="n">
        <f aca="false">INDEX(Discount_Monthly!$G$4:$G$664,MATCH(A638,Discount_Monthly!$A$4:$A$664,0))</f>
        <v>0.189044064077768</v>
      </c>
      <c r="K638" s="30" t="n">
        <f aca="false">IF(C638&lt;Assumptions!$B$5,I638*J638,0)</f>
        <v>0</v>
      </c>
      <c r="L638" s="30" t="n">
        <f aca="false">IF(C638&lt;Assumptions!$B$5,I638*(1-F638)*H638*A638*J638,0)</f>
        <v>0</v>
      </c>
      <c r="M638" s="30" t="n">
        <f aca="false">IF(A638=0,Assumptions!$B$14*12*I638*J638,IF(AND(A638&gt;=12,C638&lt;Assumptions!$B$5),Assumptions!$B$15*I638*J638,0))</f>
        <v>0</v>
      </c>
      <c r="N638" s="47" t="n">
        <f aca="false">IF(C638&gt;=Assumptions!$B$5,I638*Assumptions!$B$9/12*(1+Assumptions!$B$10)^INT(A638/12)*J638,0)</f>
        <v>0.011170023661384</v>
      </c>
      <c r="O638" s="47" t="n">
        <f aca="false">I638*Assumptions!$B$12/12*(1+Assumptions!$B$11)^(INT(A638/12)+1)*J638</f>
        <v>7.38210182872663E-005</v>
      </c>
      <c r="P638" s="47" t="n">
        <f aca="false">O638+Pricing_M!$B$13*M638+N638-Pricing_M!$B$13*K638</f>
        <v>0.0112438446796713</v>
      </c>
      <c r="Q638" s="47" t="n">
        <f aca="false">IF(C638&lt;Assumptions!$B$5,Pricing_M!$B$13*K638-Pricing_M!$B$13*M638-O638,-(N638+O638))</f>
        <v>-0.0112438446796713</v>
      </c>
      <c r="R638" s="32" t="n">
        <f aca="false">R637*(1-(1-(1-MIN(1,E637*(1-Assumptions!$B$21)))^(1/12)))*(1-H637)</f>
        <v>0.000221691053569693</v>
      </c>
      <c r="S638" s="47" t="n">
        <f aca="false">R638*(IF(C638&lt;Assumptions!$B$5,Assumptions!$B$12*(1+Assumptions!$B$11)^(INT(A638/12)+1)/12+Pricing_M!$B$13*IF(A638=0,Assumptions!$B$14*12,IF(A638&gt;=12,Assumptions!$B$15,0))-Pricing_M!$B$13,Assumptions!$B$9/12*(1+Assumptions!$B$10)^INT(A638/12)+Assumptions!$B$12*(1+Assumptions!$B$11)^(INT(A638/12)+1)/12))*J638</f>
        <v>0.157514168668507</v>
      </c>
      <c r="T638" s="32" t="n">
        <f aca="false">T637*(1-F637)*(1-(1-(1-MIN(1,G637*(1+Assumptions!$B$23)))^(1/12)))</f>
        <v>1.43355216494104E-005</v>
      </c>
      <c r="U638" s="47" t="n">
        <f aca="false">T638*(IF(C638&lt;Assumptions!$B$5,Assumptions!$B$12*(1+Assumptions!$B$11)^(INT(A638/12)+1)/12+Pricing_M!$B$13*IF(A638=0,Assumptions!$B$14*12,IF(A638&gt;=12,Assumptions!$B$15,0))-Pricing_M!$B$13,Assumptions!$B$9/12*(1+Assumptions!$B$10)^INT(A638/12)+Assumptions!$B$12*(1+Assumptions!$B$11)^(INT(A638/12)+1)/12))*J638</f>
        <v>0.0101855611161431</v>
      </c>
      <c r="V638" s="32" t="n">
        <f aca="false">V637*(1-F637)*(1-(1-(1-MIN(1,G637*(1-Assumptions!$B$23)))^(1/12)))</f>
        <v>1.74531814713716E-005</v>
      </c>
      <c r="W638" s="47" t="n">
        <f aca="false">V638*(IF(C638&lt;Assumptions!$B$5,Assumptions!$B$12*(1+Assumptions!$B$11)^(INT(A638/12)+1)/12+Pricing_M!$B$13*IF(A638=0,Assumptions!$B$14*12,IF(A638&gt;=12,Assumptions!$B$15,0))-Pricing_M!$B$13,Assumptions!$B$9/12*(1+Assumptions!$B$10)^INT(A638/12)+Assumptions!$B$12*(1+Assumptions!$B$11)^(INT(A638/12)+1)/12))*J638</f>
        <v>0.0124006960399033</v>
      </c>
      <c r="X638" s="47" t="n">
        <f aca="false">I638*(IF(C638&lt;Assumptions!$B$5,Assumptions!$B$12*(1+Assumptions!$B$11)*(1+Assumptions!$B$24)*(1+Assumptions!$B$11+Assumptions!$B$25)^(INT(A638/12))/12+Pricing_M!$B$13*IF(A638=0,Assumptions!$B$14*12,IF(A638&gt;=12,Assumptions!$B$15,0))-Pricing_M!$B$13,Assumptions!$B$9/12*(1+Assumptions!$B$10)^INT(A638/12)+Assumptions!$B$12*(1+Assumptions!$B$11)*(1+Assumptions!$B$24)*(1+Assumptions!$B$11+Assumptions!$B$25)^(INT(A638/12))/12))*J638</f>
        <v>0.0113045569955641</v>
      </c>
    </row>
    <row r="639" customFormat="false" ht="15" hidden="false" customHeight="true" outlineLevel="0" collapsed="false">
      <c r="A639" s="1" t="n">
        <v>632</v>
      </c>
      <c r="B639" s="31" t="n">
        <f aca="false">Assumptions!$B$4+A639/12</f>
        <v>117.666666666667</v>
      </c>
      <c r="C639" s="34" t="n">
        <f aca="false">Assumptions!$B$4+INT(A639/12)</f>
        <v>117</v>
      </c>
      <c r="D639" s="34" t="n">
        <f aca="false">INT(A639/12)+1</f>
        <v>53</v>
      </c>
      <c r="E639" s="32" t="n">
        <f aca="false">IFERROR(INDEX(Cohort_Survival!$G$5:$G$65,MATCH(C639,Cohort_Survival!$A$5:$A$65,0)),1)</f>
        <v>0.560811007209681</v>
      </c>
      <c r="F639" s="30" t="n">
        <f aca="false">1-(1-MIN(1,E639))^(1/12)</f>
        <v>0.0662707710869291</v>
      </c>
      <c r="G639" s="39" t="n">
        <f aca="false">IF(C639&lt;Assumptions!$B$5,IF(D639=1,Assumptions!$B$16,IF(D639=2,Assumptions!$B$17,IF(D639&lt;=5,Assumptions!$B$18,Assumptions!$B$19)))*(1-Assumptions!$B$20),0)</f>
        <v>0</v>
      </c>
      <c r="H639" s="30" t="n">
        <f aca="false">1-(1-G639)^(1/12)</f>
        <v>0</v>
      </c>
      <c r="I639" s="30" t="n">
        <f aca="false">I638*(1-F638)*(1-H638)</f>
        <v>1.47762535120286E-005</v>
      </c>
      <c r="J639" s="30" t="n">
        <f aca="false">INDEX(Discount_Monthly!$G$4:$G$664,MATCH(A639,Discount_Monthly!$A$4:$A$664,0))</f>
        <v>0.188537687224483</v>
      </c>
      <c r="K639" s="30" t="n">
        <f aca="false">IF(C639&lt;Assumptions!$B$5,I639*J639,0)</f>
        <v>0</v>
      </c>
      <c r="L639" s="30" t="n">
        <f aca="false">IF(C639&lt;Assumptions!$B$5,I639*(1-F639)*H639*A639*J639,0)</f>
        <v>0</v>
      </c>
      <c r="M639" s="30" t="n">
        <f aca="false">IF(A639=0,Assumptions!$B$14*12*I639*J639,IF(AND(A639&gt;=12,C639&lt;Assumptions!$B$5),Assumptions!$B$15*I639*J639,0))</f>
        <v>0</v>
      </c>
      <c r="N639" s="47" t="n">
        <f aca="false">IF(C639&gt;=Assumptions!$B$5,I639*Assumptions!$B$9/12*(1+Assumptions!$B$10)^INT(A639/12)*J639,0)</f>
        <v>0.0104018401891939</v>
      </c>
      <c r="O639" s="47" t="n">
        <f aca="false">I639*Assumptions!$B$12/12*(1+Assumptions!$B$11)^(INT(A639/12)+1)*J639</f>
        <v>6.87442084372953E-005</v>
      </c>
      <c r="P639" s="47" t="n">
        <f aca="false">O639+Pricing_M!$B$13*M639+N639-Pricing_M!$B$13*K639</f>
        <v>0.0104705843976312</v>
      </c>
      <c r="Q639" s="47" t="n">
        <f aca="false">IF(C639&lt;Assumptions!$B$5,Pricing_M!$B$13*K639-Pricing_M!$B$13*M639-O639,-(N639+O639))</f>
        <v>-0.0104705843976312</v>
      </c>
      <c r="R639" s="32" t="n">
        <f aca="false">R638*(1-(1-(1-MIN(1,E638*(1-Assumptions!$B$21)))^(1/12)))*(1-H638)</f>
        <v>0.000210960199413166</v>
      </c>
      <c r="S639" s="47" t="n">
        <f aca="false">R639*(IF(C639&lt;Assumptions!$B$5,Assumptions!$B$12*(1+Assumptions!$B$11)^(INT(A639/12)+1)/12+Pricing_M!$B$13*IF(A639=0,Assumptions!$B$14*12,IF(A639&gt;=12,Assumptions!$B$15,0))-Pricing_M!$B$13,Assumptions!$B$9/12*(1+Assumptions!$B$10)^INT(A639/12)+Assumptions!$B$12*(1+Assumptions!$B$11)^(INT(A639/12)+1)/12))*J639</f>
        <v>0.149488269858021</v>
      </c>
      <c r="T639" s="32" t="n">
        <f aca="false">T638*(1-F638)*(1-(1-(1-MIN(1,G638*(1+Assumptions!$B$23)))^(1/12)))</f>
        <v>1.33854955757706E-005</v>
      </c>
      <c r="U639" s="47" t="n">
        <f aca="false">T639*(IF(C639&lt;Assumptions!$B$5,Assumptions!$B$12*(1+Assumptions!$B$11)^(INT(A639/12)+1)/12+Pricing_M!$B$13*IF(A639=0,Assumptions!$B$14*12,IF(A639&gt;=12,Assumptions!$B$15,0))-Pricing_M!$B$13,Assumptions!$B$9/12*(1+Assumptions!$B$10)^INT(A639/12)+Assumptions!$B$12*(1+Assumptions!$B$11)^(INT(A639/12)+1)/12))*J639</f>
        <v>0.00948508097916242</v>
      </c>
      <c r="V639" s="32" t="n">
        <f aca="false">V638*(1-F638)*(1-(1-(1-MIN(1,G638*(1-Assumptions!$B$23)))^(1/12)))</f>
        <v>1.62965456773437E-005</v>
      </c>
      <c r="W639" s="47" t="n">
        <f aca="false">V639*(IF(C639&lt;Assumptions!$B$5,Assumptions!$B$12*(1+Assumptions!$B$11)^(INT(A639/12)+1)/12+Pricing_M!$B$13*IF(A639=0,Assumptions!$B$14*12,IF(A639&gt;=12,Assumptions!$B$15,0))-Pricing_M!$B$13,Assumptions!$B$9/12*(1+Assumptions!$B$10)^INT(A639/12)+Assumptions!$B$12*(1+Assumptions!$B$11)^(INT(A639/12)+1)/12))*J639</f>
        <v>0.0115478769205992</v>
      </c>
      <c r="X639" s="47" t="n">
        <f aca="false">I639*(IF(C639&lt;Assumptions!$B$5,Assumptions!$B$12*(1+Assumptions!$B$11)*(1+Assumptions!$B$24)*(1+Assumptions!$B$11+Assumptions!$B$25)^(INT(A639/12))/12+Pricing_M!$B$13*IF(A639=0,Assumptions!$B$14*12,IF(A639&gt;=12,Assumptions!$B$15,0))-Pricing_M!$B$13,Assumptions!$B$9/12*(1+Assumptions!$B$10)^INT(A639/12)+Assumptions!$B$12*(1+Assumptions!$B$11)*(1+Assumptions!$B$24)*(1+Assumptions!$B$11+Assumptions!$B$25)^(INT(A639/12))/12))*J639</f>
        <v>0.0105271214137179</v>
      </c>
    </row>
    <row r="640" customFormat="false" ht="15" hidden="false" customHeight="true" outlineLevel="0" collapsed="false">
      <c r="A640" s="1" t="n">
        <v>633</v>
      </c>
      <c r="B640" s="31" t="n">
        <f aca="false">Assumptions!$B$4+A640/12</f>
        <v>117.75</v>
      </c>
      <c r="C640" s="34" t="n">
        <f aca="false">Assumptions!$B$4+INT(A640/12)</f>
        <v>117</v>
      </c>
      <c r="D640" s="34" t="n">
        <f aca="false">INT(A640/12)+1</f>
        <v>53</v>
      </c>
      <c r="E640" s="32" t="n">
        <f aca="false">IFERROR(INDEX(Cohort_Survival!$G$5:$G$65,MATCH(C640,Cohort_Survival!$A$5:$A$65,0)),1)</f>
        <v>0.560811007209681</v>
      </c>
      <c r="F640" s="30" t="n">
        <f aca="false">1-(1-MIN(1,E640))^(1/12)</f>
        <v>0.0662707710869291</v>
      </c>
      <c r="G640" s="39" t="n">
        <f aca="false">IF(C640&lt;Assumptions!$B$5,IF(D640=1,Assumptions!$B$16,IF(D640=2,Assumptions!$B$17,IF(D640&lt;=5,Assumptions!$B$18,Assumptions!$B$19)))*(1-Assumptions!$B$20),0)</f>
        <v>0</v>
      </c>
      <c r="H640" s="30" t="n">
        <f aca="false">1-(1-G640)^(1/12)</f>
        <v>0</v>
      </c>
      <c r="I640" s="30" t="n">
        <f aca="false">I639*(1-F639)*(1-H639)</f>
        <v>1.37970197980105E-005</v>
      </c>
      <c r="J640" s="30" t="n">
        <f aca="false">INDEX(Discount_Monthly!$G$4:$G$664,MATCH(A640,Discount_Monthly!$A$4:$A$664,0))</f>
        <v>0.188032666761407</v>
      </c>
      <c r="K640" s="30" t="n">
        <f aca="false">IF(C640&lt;Assumptions!$B$5,I640*J640,0)</f>
        <v>0</v>
      </c>
      <c r="L640" s="30" t="n">
        <f aca="false">IF(C640&lt;Assumptions!$B$5,I640*(1-F640)*H640*A640*J640,0)</f>
        <v>0</v>
      </c>
      <c r="M640" s="30" t="n">
        <f aca="false">IF(A640=0,Assumptions!$B$14*12*I640*J640,IF(AND(A640&gt;=12,C640&lt;Assumptions!$B$5),Assumptions!$B$15*I640*J640,0))</f>
        <v>0</v>
      </c>
      <c r="N640" s="47" t="n">
        <f aca="false">IF(C640&gt;=Assumptions!$B$5,I640*Assumptions!$B$9/12*(1+Assumptions!$B$10)^INT(A640/12)*J640,0)</f>
        <v>0.00968648613481296</v>
      </c>
      <c r="O640" s="47" t="n">
        <f aca="false">I640*Assumptions!$B$12/12*(1+Assumptions!$B$11)^(INT(A640/12)+1)*J640</f>
        <v>6.40165403202718E-005</v>
      </c>
      <c r="P640" s="47" t="n">
        <f aca="false">O640+Pricing_M!$B$13*M640+N640-Pricing_M!$B$13*K640</f>
        <v>0.00975050267513323</v>
      </c>
      <c r="Q640" s="47" t="n">
        <f aca="false">IF(C640&lt;Assumptions!$B$5,Pricing_M!$B$13*K640-Pricing_M!$B$13*M640-O640,-(N640+O640))</f>
        <v>-0.00975050267513323</v>
      </c>
      <c r="R640" s="32" t="n">
        <f aca="false">R639*(1-(1-(1-MIN(1,E639*(1-Assumptions!$B$21)))^(1/12)))*(1-H639)</f>
        <v>0.000200748767349117</v>
      </c>
      <c r="S640" s="47" t="n">
        <f aca="false">R640*(IF(C640&lt;Assumptions!$B$5,Assumptions!$B$12*(1+Assumptions!$B$11)^(INT(A640/12)+1)/12+Pricing_M!$B$13*IF(A640=0,Assumptions!$B$14*12,IF(A640&gt;=12,Assumptions!$B$15,0))-Pricing_M!$B$13,Assumptions!$B$9/12*(1+Assumptions!$B$10)^INT(A640/12)+Assumptions!$B$12*(1+Assumptions!$B$11)^(INT(A640/12)+1)/12))*J640</f>
        <v>0.141871318714025</v>
      </c>
      <c r="T640" s="32" t="n">
        <f aca="false">T639*(1-F639)*(1-(1-(1-MIN(1,G639*(1+Assumptions!$B$23)))^(1/12)))</f>
        <v>1.24984284625836E-005</v>
      </c>
      <c r="U640" s="47" t="n">
        <f aca="false">T640*(IF(C640&lt;Assumptions!$B$5,Assumptions!$B$12*(1+Assumptions!$B$11)^(INT(A640/12)+1)/12+Pricing_M!$B$13*IF(A640=0,Assumptions!$B$14*12,IF(A640&gt;=12,Assumptions!$B$15,0))-Pricing_M!$B$13,Assumptions!$B$9/12*(1+Assumptions!$B$10)^INT(A640/12)+Assumptions!$B$12*(1+Assumptions!$B$11)^(INT(A640/12)+1)/12))*J640</f>
        <v>0.00883277417467757</v>
      </c>
      <c r="V640" s="32" t="n">
        <f aca="false">V639*(1-F639)*(1-(1-(1-MIN(1,G639*(1-Assumptions!$B$23)))^(1/12)))</f>
        <v>1.52165610292527E-005</v>
      </c>
      <c r="W640" s="47" t="n">
        <f aca="false">V640*(IF(C640&lt;Assumptions!$B$5,Assumptions!$B$12*(1+Assumptions!$B$11)^(INT(A640/12)+1)/12+Pricing_M!$B$13*IF(A640=0,Assumptions!$B$14*12,IF(A640&gt;=12,Assumptions!$B$15,0))-Pricing_M!$B$13,Assumptions!$B$9/12*(1+Assumptions!$B$10)^INT(A640/12)+Assumptions!$B$12*(1+Assumptions!$B$11)^(INT(A640/12)+1)/12))*J640</f>
        <v>0.0107537077712573</v>
      </c>
      <c r="X640" s="47" t="n">
        <f aca="false">I640*(IF(C640&lt;Assumptions!$B$5,Assumptions!$B$12*(1+Assumptions!$B$11)*(1+Assumptions!$B$24)*(1+Assumptions!$B$11+Assumptions!$B$25)^(INT(A640/12))/12+Pricing_M!$B$13*IF(A640=0,Assumptions!$B$14*12,IF(A640&gt;=12,Assumptions!$B$15,0))-Pricing_M!$B$13,Assumptions!$B$9/12*(1+Assumptions!$B$10)^INT(A640/12)+Assumptions!$B$12*(1+Assumptions!$B$11)*(1+Assumptions!$B$24)*(1+Assumptions!$B$11+Assumptions!$B$25)^(INT(A640/12))/12))*J640</f>
        <v>0.00980315153461068</v>
      </c>
    </row>
    <row r="641" customFormat="false" ht="15" hidden="false" customHeight="true" outlineLevel="0" collapsed="false">
      <c r="A641" s="1" t="n">
        <v>634</v>
      </c>
      <c r="B641" s="31" t="n">
        <f aca="false">Assumptions!$B$4+A641/12</f>
        <v>117.833333333333</v>
      </c>
      <c r="C641" s="34" t="n">
        <f aca="false">Assumptions!$B$4+INT(A641/12)</f>
        <v>117</v>
      </c>
      <c r="D641" s="34" t="n">
        <f aca="false">INT(A641/12)+1</f>
        <v>53</v>
      </c>
      <c r="E641" s="32" t="n">
        <f aca="false">IFERROR(INDEX(Cohort_Survival!$G$5:$G$65,MATCH(C641,Cohort_Survival!$A$5:$A$65,0)),1)</f>
        <v>0.560811007209681</v>
      </c>
      <c r="F641" s="30" t="n">
        <f aca="false">1-(1-MIN(1,E641))^(1/12)</f>
        <v>0.0662707710869291</v>
      </c>
      <c r="G641" s="39" t="n">
        <f aca="false">IF(C641&lt;Assumptions!$B$5,IF(D641=1,Assumptions!$B$16,IF(D641=2,Assumptions!$B$17,IF(D641&lt;=5,Assumptions!$B$18,Assumptions!$B$19)))*(1-Assumptions!$B$20),0)</f>
        <v>0</v>
      </c>
      <c r="H641" s="30" t="n">
        <f aca="false">1-(1-G641)^(1/12)</f>
        <v>0</v>
      </c>
      <c r="I641" s="30" t="n">
        <f aca="false">I640*(1-F640)*(1-H640)</f>
        <v>1.28826806572947E-005</v>
      </c>
      <c r="J641" s="30" t="n">
        <f aca="false">INDEX(Discount_Monthly!$G$4:$G$664,MATCH(A641,Discount_Monthly!$A$4:$A$664,0))</f>
        <v>0.187528999055288</v>
      </c>
      <c r="K641" s="30" t="n">
        <f aca="false">IF(C641&lt;Assumptions!$B$5,I641*J641,0)</f>
        <v>0</v>
      </c>
      <c r="L641" s="30" t="n">
        <f aca="false">IF(C641&lt;Assumptions!$B$5,I641*(1-F641)*H641*A641*J641,0)</f>
        <v>0</v>
      </c>
      <c r="M641" s="30" t="n">
        <f aca="false">IF(A641=0,Assumptions!$B$14*12*I641*J641,IF(AND(A641&gt;=12,C641&lt;Assumptions!$B$5),Assumptions!$B$15*I641*J641,0))</f>
        <v>0</v>
      </c>
      <c r="N641" s="47" t="n">
        <f aca="false">IF(C641&gt;=Assumptions!$B$5,I641*Assumptions!$B$9/12*(1+Assumptions!$B$10)^INT(A641/12)*J641,0)</f>
        <v>0.00902032832011767</v>
      </c>
      <c r="O641" s="47" t="n">
        <f aca="false">I641*Assumptions!$B$12/12*(1+Assumptions!$B$11)^(INT(A641/12)+1)*J641</f>
        <v>5.96140028045426E-005</v>
      </c>
      <c r="P641" s="47" t="n">
        <f aca="false">O641+Pricing_M!$B$13*M641+N641-Pricing_M!$B$13*K641</f>
        <v>0.00907994232292221</v>
      </c>
      <c r="Q641" s="47" t="n">
        <f aca="false">IF(C641&lt;Assumptions!$B$5,Pricing_M!$B$13*K641-Pricing_M!$B$13*M641-O641,-(N641+O641))</f>
        <v>-0.00907994232292221</v>
      </c>
      <c r="R641" s="32" t="n">
        <f aca="false">R640*(1-(1-(1-MIN(1,E640*(1-Assumptions!$B$21)))^(1/12)))*(1-H640)</f>
        <v>0.000191031614988484</v>
      </c>
      <c r="S641" s="47" t="n">
        <f aca="false">R641*(IF(C641&lt;Assumptions!$B$5,Assumptions!$B$12*(1+Assumptions!$B$11)^(INT(A641/12)+1)/12+Pricing_M!$B$13*IF(A641=0,Assumptions!$B$14*12,IF(A641&gt;=12,Assumptions!$B$15,0))-Pricing_M!$B$13,Assumptions!$B$9/12*(1+Assumptions!$B$10)^INT(A641/12)+Assumptions!$B$12*(1+Assumptions!$B$11)^(INT(A641/12)+1)/12))*J641</f>
        <v>0.134642477919992</v>
      </c>
      <c r="T641" s="32" t="n">
        <f aca="false">T640*(1-F640)*(1-(1-(1-MIN(1,G640*(1+Assumptions!$B$23)))^(1/12)))</f>
        <v>1.16701479709933E-005</v>
      </c>
      <c r="U641" s="47" t="n">
        <f aca="false">T641*(IF(C641&lt;Assumptions!$B$5,Assumptions!$B$12*(1+Assumptions!$B$11)^(INT(A641/12)+1)/12+Pricing_M!$B$13*IF(A641=0,Assumptions!$B$14*12,IF(A641&gt;=12,Assumptions!$B$15,0))-Pricing_M!$B$13,Assumptions!$B$9/12*(1+Assumptions!$B$10)^INT(A641/12)+Assumptions!$B$12*(1+Assumptions!$B$11)^(INT(A641/12)+1)/12))*J641</f>
        <v>0.00822532773228262</v>
      </c>
      <c r="V641" s="32" t="n">
        <f aca="false">V640*(1-F640)*(1-(1-(1-MIN(1,G640*(1-Assumptions!$B$23)))^(1/12)))</f>
        <v>1.42081477965528E-005</v>
      </c>
      <c r="W641" s="47" t="n">
        <f aca="false">V641*(IF(C641&lt;Assumptions!$B$5,Assumptions!$B$12*(1+Assumptions!$B$11)^(INT(A641/12)+1)/12+Pricing_M!$B$13*IF(A641=0,Assumptions!$B$14*12,IF(A641&gt;=12,Assumptions!$B$15,0))-Pricing_M!$B$13,Assumptions!$B$9/12*(1+Assumptions!$B$10)^INT(A641/12)+Assumptions!$B$12*(1+Assumptions!$B$11)^(INT(A641/12)+1)/12))*J641</f>
        <v>0.0100141551234683</v>
      </c>
      <c r="X641" s="47" t="n">
        <f aca="false">I641*(IF(C641&lt;Assumptions!$B$5,Assumptions!$B$12*(1+Assumptions!$B$11)*(1+Assumptions!$B$24)*(1+Assumptions!$B$11+Assumptions!$B$25)^(INT(A641/12))/12+Pricing_M!$B$13*IF(A641=0,Assumptions!$B$14*12,IF(A641&gt;=12,Assumptions!$B$15,0))-Pricing_M!$B$13,Assumptions!$B$9/12*(1+Assumptions!$B$10)^INT(A641/12)+Assumptions!$B$12*(1+Assumptions!$B$11)*(1+Assumptions!$B$24)*(1+Assumptions!$B$11+Assumptions!$B$25)^(INT(A641/12))/12))*J641</f>
        <v>0.00912897042161112</v>
      </c>
    </row>
    <row r="642" customFormat="false" ht="15" hidden="false" customHeight="true" outlineLevel="0" collapsed="false">
      <c r="A642" s="1" t="n">
        <v>635</v>
      </c>
      <c r="B642" s="31" t="n">
        <f aca="false">Assumptions!$B$4+A642/12</f>
        <v>117.916666666667</v>
      </c>
      <c r="C642" s="34" t="n">
        <f aca="false">Assumptions!$B$4+INT(A642/12)</f>
        <v>117</v>
      </c>
      <c r="D642" s="34" t="n">
        <f aca="false">INT(A642/12)+1</f>
        <v>53</v>
      </c>
      <c r="E642" s="32" t="n">
        <f aca="false">IFERROR(INDEX(Cohort_Survival!$G$5:$G$65,MATCH(C642,Cohort_Survival!$A$5:$A$65,0)),1)</f>
        <v>0.560811007209681</v>
      </c>
      <c r="F642" s="30" t="n">
        <f aca="false">1-(1-MIN(1,E642))^(1/12)</f>
        <v>0.0662707710869291</v>
      </c>
      <c r="G642" s="39" t="n">
        <f aca="false">IF(C642&lt;Assumptions!$B$5,IF(D642=1,Assumptions!$B$16,IF(D642=2,Assumptions!$B$17,IF(D642&lt;=5,Assumptions!$B$18,Assumptions!$B$19)))*(1-Assumptions!$B$20),0)</f>
        <v>0</v>
      </c>
      <c r="H642" s="30" t="n">
        <f aca="false">1-(1-G642)^(1/12)</f>
        <v>0</v>
      </c>
      <c r="I642" s="30" t="n">
        <f aca="false">I641*(1-F641)*(1-H641)</f>
        <v>1.20289354764691E-005</v>
      </c>
      <c r="J642" s="30" t="n">
        <f aca="false">INDEX(Discount_Monthly!$G$4:$G$664,MATCH(A642,Discount_Monthly!$A$4:$A$664,0))</f>
        <v>0.187026680482607</v>
      </c>
      <c r="K642" s="30" t="n">
        <f aca="false">IF(C642&lt;Assumptions!$B$5,I642*J642,0)</f>
        <v>0</v>
      </c>
      <c r="L642" s="30" t="n">
        <f aca="false">IF(C642&lt;Assumptions!$B$5,I642*(1-F642)*H642*A642*J642,0)</f>
        <v>0</v>
      </c>
      <c r="M642" s="30" t="n">
        <f aca="false">IF(A642=0,Assumptions!$B$14*12*I642*J642,IF(AND(A642&gt;=12,C642&lt;Assumptions!$B$5),Assumptions!$B$15*I642*J642,0))</f>
        <v>0</v>
      </c>
      <c r="N642" s="47" t="n">
        <f aca="false">IF(C642&gt;=Assumptions!$B$5,I642*Assumptions!$B$9/12*(1+Assumptions!$B$10)^INT(A642/12)*J642,0)</f>
        <v>0.0083999834274566</v>
      </c>
      <c r="O642" s="47" t="n">
        <f aca="false">I642*Assumptions!$B$12/12*(1+Assumptions!$B$11)^(INT(A642/12)+1)*J642</f>
        <v>5.55142360490019E-005</v>
      </c>
      <c r="P642" s="47" t="n">
        <f aca="false">O642+Pricing_M!$B$13*M642+N642-Pricing_M!$B$13*K642</f>
        <v>0.0084554976635056</v>
      </c>
      <c r="Q642" s="47" t="n">
        <f aca="false">IF(C642&lt;Assumptions!$B$5,Pricing_M!$B$13*K642-Pricing_M!$B$13*M642-O642,-(N642+O642))</f>
        <v>-0.0084554976635056</v>
      </c>
      <c r="R642" s="32" t="n">
        <f aca="false">R641*(1-(1-(1-MIN(1,E641*(1-Assumptions!$B$21)))^(1/12)))*(1-H641)</f>
        <v>0.000181784816948063</v>
      </c>
      <c r="S642" s="47" t="n">
        <f aca="false">R642*(IF(C642&lt;Assumptions!$B$5,Assumptions!$B$12*(1+Assumptions!$B$11)^(INT(A642/12)+1)/12+Pricing_M!$B$13*IF(A642=0,Assumptions!$B$14*12,IF(A642&gt;=12,Assumptions!$B$15,0))-Pricing_M!$B$13,Assumptions!$B$9/12*(1+Assumptions!$B$10)^INT(A642/12)+Assumptions!$B$12*(1+Assumptions!$B$11)^(INT(A642/12)+1)/12))*J642</f>
        <v>0.127781971893686</v>
      </c>
      <c r="T642" s="32" t="n">
        <f aca="false">T641*(1-F641)*(1-(1-(1-MIN(1,G641*(1+Assumptions!$B$23)))^(1/12)))</f>
        <v>1.0896758266257E-005</v>
      </c>
      <c r="U642" s="47" t="n">
        <f aca="false">T642*(IF(C642&lt;Assumptions!$B$5,Assumptions!$B$12*(1+Assumptions!$B$11)^(INT(A642/12)+1)/12+Pricing_M!$B$13*IF(A642=0,Assumptions!$B$14*12,IF(A642&gt;=12,Assumptions!$B$15,0))-Pricing_M!$B$13,Assumptions!$B$9/12*(1+Assumptions!$B$10)^INT(A642/12)+Assumptions!$B$12*(1+Assumptions!$B$11)^(INT(A642/12)+1)/12))*J642</f>
        <v>0.00765965652075864</v>
      </c>
      <c r="V642" s="32" t="n">
        <f aca="false">V641*(1-F641)*(1-(1-(1-MIN(1,G641*(1-Assumptions!$B$23)))^(1/12)))</f>
        <v>1.32665628863582E-005</v>
      </c>
      <c r="W642" s="47" t="n">
        <f aca="false">V642*(IF(C642&lt;Assumptions!$B$5,Assumptions!$B$12*(1+Assumptions!$B$11)^(INT(A642/12)+1)/12+Pricing_M!$B$13*IF(A642=0,Assumptions!$B$14*12,IF(A642&gt;=12,Assumptions!$B$15,0))-Pricing_M!$B$13,Assumptions!$B$9/12*(1+Assumptions!$B$10)^INT(A642/12)+Assumptions!$B$12*(1+Assumptions!$B$11)^(INT(A642/12)+1)/12))*J642</f>
        <v>0.00932546289800859</v>
      </c>
      <c r="X642" s="47" t="n">
        <f aca="false">I642*(IF(C642&lt;Assumptions!$B$5,Assumptions!$B$12*(1+Assumptions!$B$11)*(1+Assumptions!$B$24)*(1+Assumptions!$B$11+Assumptions!$B$25)^(INT(A642/12))/12+Pricing_M!$B$13*IF(A642=0,Assumptions!$B$14*12,IF(A642&gt;=12,Assumptions!$B$15,0))-Pricing_M!$B$13,Assumptions!$B$9/12*(1+Assumptions!$B$10)^INT(A642/12)+Assumptions!$B$12*(1+Assumptions!$B$11)*(1+Assumptions!$B$24)*(1+Assumptions!$B$11+Assumptions!$B$25)^(INT(A642/12))/12))*J642</f>
        <v>0.0085011540079147</v>
      </c>
    </row>
    <row r="643" customFormat="false" ht="15" hidden="false" customHeight="true" outlineLevel="0" collapsed="false">
      <c r="A643" s="1" t="n">
        <v>636</v>
      </c>
      <c r="B643" s="31" t="n">
        <f aca="false">Assumptions!$B$4+A643/12</f>
        <v>118</v>
      </c>
      <c r="C643" s="34" t="n">
        <f aca="false">Assumptions!$B$4+INT(A643/12)</f>
        <v>118</v>
      </c>
      <c r="D643" s="34" t="n">
        <f aca="false">INT(A643/12)+1</f>
        <v>54</v>
      </c>
      <c r="E643" s="32" t="n">
        <f aca="false">IFERROR(INDEX(Cohort_Survival!$G$5:$G$65,MATCH(C643,Cohort_Survival!$A$5:$A$65,0)),1)</f>
        <v>0.576917996204382</v>
      </c>
      <c r="F643" s="30" t="n">
        <f aca="false">1-(1-MIN(1,E643))^(1/12)</f>
        <v>0.0691735560366207</v>
      </c>
      <c r="G643" s="39" t="n">
        <f aca="false">IF(C643&lt;Assumptions!$B$5,IF(D643=1,Assumptions!$B$16,IF(D643=2,Assumptions!$B$17,IF(D643&lt;=5,Assumptions!$B$18,Assumptions!$B$19)))*(1-Assumptions!$B$20),0)</f>
        <v>0</v>
      </c>
      <c r="H643" s="30" t="n">
        <f aca="false">1-(1-G643)^(1/12)</f>
        <v>0</v>
      </c>
      <c r="I643" s="30" t="n">
        <f aca="false">I642*(1-F642)*(1-H642)</f>
        <v>1.12317686470886E-005</v>
      </c>
      <c r="J643" s="30" t="n">
        <f aca="false">INDEX(Discount_Monthly!$G$4:$G$664,MATCH(A643,Discount_Monthly!$A$4:$A$664,0))</f>
        <v>0.186525707429552</v>
      </c>
      <c r="K643" s="30" t="n">
        <f aca="false">IF(C643&lt;Assumptions!$B$5,I643*J643,0)</f>
        <v>0</v>
      </c>
      <c r="L643" s="30" t="n">
        <f aca="false">IF(C643&lt;Assumptions!$B$5,I643*(1-F643)*H643*A643*J643,0)</f>
        <v>0</v>
      </c>
      <c r="M643" s="30" t="n">
        <f aca="false">IF(A643=0,Assumptions!$B$14*12*I643*J643,IF(AND(A643&gt;=12,C643&lt;Assumptions!$B$5),Assumptions!$B$15*I643*J643,0))</f>
        <v>0</v>
      </c>
      <c r="N643" s="47" t="n">
        <f aca="false">IF(C643&gt;=Assumptions!$B$5,I643*Assumptions!$B$9/12*(1+Assumptions!$B$10)^INT(A643/12)*J643,0)</f>
        <v>0.00797874683260282</v>
      </c>
      <c r="O643" s="47" t="n">
        <f aca="false">I643*Assumptions!$B$12/12*(1+Assumptions!$B$11)^(INT(A643/12)+1)*J643</f>
        <v>5.29888283892622E-005</v>
      </c>
      <c r="P643" s="47" t="n">
        <f aca="false">O643+Pricing_M!$B$13*M643+N643-Pricing_M!$B$13*K643</f>
        <v>0.00803173566099208</v>
      </c>
      <c r="Q643" s="47" t="n">
        <f aca="false">IF(C643&lt;Assumptions!$B$5,Pricing_M!$B$13*K643-Pricing_M!$B$13*M643-O643,-(N643+O643))</f>
        <v>-0.00803173566099208</v>
      </c>
      <c r="R643" s="32" t="n">
        <f aca="false">R642*(1-(1-(1-MIN(1,E642*(1-Assumptions!$B$21)))^(1/12)))*(1-H642)</f>
        <v>0.00017298560594189</v>
      </c>
      <c r="S643" s="47" t="n">
        <f aca="false">R643*(IF(C643&lt;Assumptions!$B$5,Assumptions!$B$12*(1+Assumptions!$B$11)^(INT(A643/12)+1)/12+Pricing_M!$B$13*IF(A643=0,Assumptions!$B$14*12,IF(A643&gt;=12,Assumptions!$B$15,0))-Pricing_M!$B$13,Assumptions!$B$9/12*(1+Assumptions!$B$10)^INT(A643/12)+Assumptions!$B$12*(1+Assumptions!$B$11)^(INT(A643/12)+1)/12))*J643</f>
        <v>0.123700434342719</v>
      </c>
      <c r="T643" s="32" t="n">
        <f aca="false">T642*(1-F642)*(1-(1-(1-MIN(1,G642*(1+Assumptions!$B$23)))^(1/12)))</f>
        <v>1.01746216936043E-005</v>
      </c>
      <c r="U643" s="47" t="n">
        <f aca="false">T643*(IF(C643&lt;Assumptions!$B$5,Assumptions!$B$12*(1+Assumptions!$B$11)^(INT(A643/12)+1)/12+Pricing_M!$B$13*IF(A643=0,Assumptions!$B$14*12,IF(A643&gt;=12,Assumptions!$B$15,0))-Pricing_M!$B$13,Assumptions!$B$9/12*(1+Assumptions!$B$10)^INT(A643/12)+Assumptions!$B$12*(1+Assumptions!$B$11)^(INT(A643/12)+1)/12))*J643</f>
        <v>0.0072757794841873</v>
      </c>
      <c r="V643" s="32" t="n">
        <f aca="false">V642*(1-F642)*(1-(1-(1-MIN(1,G642*(1-Assumptions!$B$23)))^(1/12)))</f>
        <v>1.2387377534206E-005</v>
      </c>
      <c r="W643" s="47" t="n">
        <f aca="false">V643*(IF(C643&lt;Assumptions!$B$5,Assumptions!$B$12*(1+Assumptions!$B$11)^(INT(A643/12)+1)/12+Pricing_M!$B$13*IF(A643=0,Assumptions!$B$14*12,IF(A643&gt;=12,Assumptions!$B$15,0))-Pricing_M!$B$13,Assumptions!$B$9/12*(1+Assumptions!$B$10)^INT(A643/12)+Assumptions!$B$12*(1+Assumptions!$B$11)^(INT(A643/12)+1)/12))*J643</f>
        <v>0.00885810107150348</v>
      </c>
      <c r="X643" s="47" t="n">
        <f aca="false">I643*(IF(C643&lt;Assumptions!$B$5,Assumptions!$B$12*(1+Assumptions!$B$11)*(1+Assumptions!$B$24)*(1+Assumptions!$B$11+Assumptions!$B$25)^(INT(A643/12))/12+Pricing_M!$B$13*IF(A643=0,Assumptions!$B$14*12,IF(A643&gt;=12,Assumptions!$B$15,0))-Pricing_M!$B$13,Assumptions!$B$9/12*(1+Assumptions!$B$10)^INT(A643/12)+Assumptions!$B$12*(1+Assumptions!$B$11)*(1+Assumptions!$B$24)*(1+Assumptions!$B$11+Assumptions!$B$25)^(INT(A643/12))/12))*J643</f>
        <v>0.00807625717368479</v>
      </c>
    </row>
    <row r="644" customFormat="false" ht="15" hidden="false" customHeight="true" outlineLevel="0" collapsed="false">
      <c r="A644" s="1" t="n">
        <v>637</v>
      </c>
      <c r="B644" s="31" t="n">
        <f aca="false">Assumptions!$B$4+A644/12</f>
        <v>118.083333333333</v>
      </c>
      <c r="C644" s="34" t="n">
        <f aca="false">Assumptions!$B$4+INT(A644/12)</f>
        <v>118</v>
      </c>
      <c r="D644" s="34" t="n">
        <f aca="false">INT(A644/12)+1</f>
        <v>54</v>
      </c>
      <c r="E644" s="32" t="n">
        <f aca="false">IFERROR(INDEX(Cohort_Survival!$G$5:$G$65,MATCH(C644,Cohort_Survival!$A$5:$A$65,0)),1)</f>
        <v>0.576917996204382</v>
      </c>
      <c r="F644" s="30" t="n">
        <f aca="false">1-(1-MIN(1,E644))^(1/12)</f>
        <v>0.0691735560366207</v>
      </c>
      <c r="G644" s="39" t="n">
        <f aca="false">IF(C644&lt;Assumptions!$B$5,IF(D644=1,Assumptions!$B$16,IF(D644=2,Assumptions!$B$17,IF(D644&lt;=5,Assumptions!$B$18,Assumptions!$B$19)))*(1-Assumptions!$B$20),0)</f>
        <v>0</v>
      </c>
      <c r="H644" s="30" t="n">
        <f aca="false">1-(1-G644)^(1/12)</f>
        <v>0</v>
      </c>
      <c r="I644" s="30" t="n">
        <f aca="false">I643*(1-F643)*(1-H643)</f>
        <v>1.04548272691889E-005</v>
      </c>
      <c r="J644" s="30" t="n">
        <f aca="false">INDEX(Discount_Monthly!$G$4:$G$664,MATCH(A644,Discount_Monthly!$A$4:$A$664,0))</f>
        <v>0.186017666193641</v>
      </c>
      <c r="K644" s="30" t="n">
        <f aca="false">IF(C644&lt;Assumptions!$B$5,I644*J644,0)</f>
        <v>0</v>
      </c>
      <c r="L644" s="30" t="n">
        <f aca="false">IF(C644&lt;Assumptions!$B$5,I644*(1-F644)*H644*A644*J644,0)</f>
        <v>0</v>
      </c>
      <c r="M644" s="30" t="n">
        <f aca="false">IF(A644=0,Assumptions!$B$14*12*I644*J644,IF(AND(A644&gt;=12,C644&lt;Assumptions!$B$5),Assumptions!$B$15*I644*J644,0))</f>
        <v>0</v>
      </c>
      <c r="N644" s="47" t="n">
        <f aca="false">IF(C644&gt;=Assumptions!$B$5,I644*Assumptions!$B$9/12*(1+Assumptions!$B$10)^INT(A644/12)*J644,0)</f>
        <v>0.00740660004212784</v>
      </c>
      <c r="O644" s="47" t="n">
        <f aca="false">I644*Assumptions!$B$12/12*(1+Assumptions!$B$11)^(INT(A644/12)+1)*J644</f>
        <v>4.91890602389479E-005</v>
      </c>
      <c r="P644" s="47" t="n">
        <f aca="false">O644+Pricing_M!$B$13*M644+N644-Pricing_M!$B$13*K644</f>
        <v>0.00745578910236679</v>
      </c>
      <c r="Q644" s="47" t="n">
        <f aca="false">IF(C644&lt;Assumptions!$B$5,Pricing_M!$B$13*K644-Pricing_M!$B$13*M644-O644,-(N644+O644))</f>
        <v>-0.00745578910236679</v>
      </c>
      <c r="R644" s="32" t="n">
        <f aca="false">R643*(1-(1-(1-MIN(1,E643*(1-Assumptions!$B$21)))^(1/12)))*(1-H643)</f>
        <v>0.000164288235174827</v>
      </c>
      <c r="S644" s="47" t="n">
        <f aca="false">R644*(IF(C644&lt;Assumptions!$B$5,Assumptions!$B$12*(1+Assumptions!$B$11)^(INT(A644/12)+1)/12+Pricing_M!$B$13*IF(A644=0,Assumptions!$B$14*12,IF(A644&gt;=12,Assumptions!$B$15,0))-Pricing_M!$B$13,Assumptions!$B$9/12*(1+Assumptions!$B$10)^INT(A644/12)+Assumptions!$B$12*(1+Assumptions!$B$11)^(INT(A644/12)+1)/12))*J644</f>
        <v>0.117161039769008</v>
      </c>
      <c r="T644" s="32" t="n">
        <f aca="false">T643*(1-F643)*(1-(1-(1-MIN(1,G643*(1+Assumptions!$B$23)))^(1/12)))</f>
        <v>9.47080692973036E-006</v>
      </c>
      <c r="U644" s="47" t="n">
        <f aca="false">T644*(IF(C644&lt;Assumptions!$B$5,Assumptions!$B$12*(1+Assumptions!$B$11)^(INT(A644/12)+1)/12+Pricing_M!$B$13*IF(A644=0,Assumptions!$B$14*12,IF(A644&gt;=12,Assumptions!$B$15,0))-Pricing_M!$B$13,Assumptions!$B$9/12*(1+Assumptions!$B$10)^INT(A644/12)+Assumptions!$B$12*(1+Assumptions!$B$11)^(INT(A644/12)+1)/12))*J644</f>
        <v>0.00675404167655674</v>
      </c>
      <c r="V644" s="32" t="n">
        <f aca="false">V643*(1-F643)*(1-(1-(1-MIN(1,G643*(1-Assumptions!$B$23)))^(1/12)))</f>
        <v>1.15304985801969E-005</v>
      </c>
      <c r="W644" s="47" t="n">
        <f aca="false">V644*(IF(C644&lt;Assumptions!$B$5,Assumptions!$B$12*(1+Assumptions!$B$11)^(INT(A644/12)+1)/12+Pricing_M!$B$13*IF(A644=0,Assumptions!$B$14*12,IF(A644&gt;=12,Assumptions!$B$15,0))-Pricing_M!$B$13,Assumptions!$B$9/12*(1+Assumptions!$B$10)^INT(A644/12)+Assumptions!$B$12*(1+Assumptions!$B$11)^(INT(A644/12)+1)/12))*J644</f>
        <v>0.00822289679643434</v>
      </c>
      <c r="X644" s="47" t="n">
        <f aca="false">I644*(IF(C644&lt;Assumptions!$B$5,Assumptions!$B$12*(1+Assumptions!$B$11)*(1+Assumptions!$B$24)*(1+Assumptions!$B$11+Assumptions!$B$25)^(INT(A644/12))/12+Pricing_M!$B$13*IF(A644=0,Assumptions!$B$14*12,IF(A644&gt;=12,Assumptions!$B$15,0))-Pricing_M!$B$13,Assumptions!$B$9/12*(1+Assumptions!$B$10)^INT(A644/12)+Assumptions!$B$12*(1+Assumptions!$B$11)*(1+Assumptions!$B$24)*(1+Assumptions!$B$11+Assumptions!$B$25)^(INT(A644/12))/12))*J644</f>
        <v>0.00749711802841292</v>
      </c>
    </row>
    <row r="645" customFormat="false" ht="15" hidden="false" customHeight="true" outlineLevel="0" collapsed="false">
      <c r="A645" s="1" t="n">
        <v>638</v>
      </c>
      <c r="B645" s="31" t="n">
        <f aca="false">Assumptions!$B$4+A645/12</f>
        <v>118.166666666667</v>
      </c>
      <c r="C645" s="34" t="n">
        <f aca="false">Assumptions!$B$4+INT(A645/12)</f>
        <v>118</v>
      </c>
      <c r="D645" s="34" t="n">
        <f aca="false">INT(A645/12)+1</f>
        <v>54</v>
      </c>
      <c r="E645" s="32" t="n">
        <f aca="false">IFERROR(INDEX(Cohort_Survival!$G$5:$G$65,MATCH(C645,Cohort_Survival!$A$5:$A$65,0)),1)</f>
        <v>0.576917996204382</v>
      </c>
      <c r="F645" s="30" t="n">
        <f aca="false">1-(1-MIN(1,E645))^(1/12)</f>
        <v>0.0691735560366207</v>
      </c>
      <c r="G645" s="39" t="n">
        <f aca="false">IF(C645&lt;Assumptions!$B$5,IF(D645=1,Assumptions!$B$16,IF(D645=2,Assumptions!$B$17,IF(D645&lt;=5,Assumptions!$B$18,Assumptions!$B$19)))*(1-Assumptions!$B$20),0)</f>
        <v>0</v>
      </c>
      <c r="H645" s="30" t="n">
        <f aca="false">1-(1-G645)^(1/12)</f>
        <v>0</v>
      </c>
      <c r="I645" s="30" t="n">
        <f aca="false">I644*(1-F644)*(1-H644)</f>
        <v>9.73162968923044E-006</v>
      </c>
      <c r="J645" s="30" t="n">
        <f aca="false">INDEX(Discount_Monthly!$G$4:$G$664,MATCH(A645,Discount_Monthly!$A$4:$A$664,0))</f>
        <v>0.185511008712822</v>
      </c>
      <c r="K645" s="30" t="n">
        <f aca="false">IF(C645&lt;Assumptions!$B$5,I645*J645,0)</f>
        <v>0</v>
      </c>
      <c r="L645" s="30" t="n">
        <f aca="false">IF(C645&lt;Assumptions!$B$5,I645*(1-F645)*H645*A645*J645,0)</f>
        <v>0</v>
      </c>
      <c r="M645" s="30" t="n">
        <f aca="false">IF(A645=0,Assumptions!$B$14*12*I645*J645,IF(AND(A645&gt;=12,C645&lt;Assumptions!$B$5),Assumptions!$B$15*I645*J645,0))</f>
        <v>0</v>
      </c>
      <c r="N645" s="47" t="n">
        <f aca="false">IF(C645&gt;=Assumptions!$B$5,I645*Assumptions!$B$9/12*(1+Assumptions!$B$10)^INT(A645/12)*J645,0)</f>
        <v>0.00687548124222818</v>
      </c>
      <c r="O645" s="47" t="n">
        <f aca="false">I645*Assumptions!$B$12/12*(1+Assumptions!$B$11)^(INT(A645/12)+1)*J645</f>
        <v>4.56617691075644E-005</v>
      </c>
      <c r="P645" s="47" t="n">
        <f aca="false">O645+Pricing_M!$B$13*M645+N645-Pricing_M!$B$13*K645</f>
        <v>0.00692114301133574</v>
      </c>
      <c r="Q645" s="47" t="n">
        <f aca="false">IF(C645&lt;Assumptions!$B$5,Pricing_M!$B$13*K645-Pricing_M!$B$13*M645-O645,-(N645+O645))</f>
        <v>-0.00692114301133574</v>
      </c>
      <c r="R645" s="32" t="n">
        <f aca="false">R644*(1-(1-(1-MIN(1,E644*(1-Assumptions!$B$21)))^(1/12)))*(1-H644)</f>
        <v>0.000156028150838897</v>
      </c>
      <c r="S645" s="47" t="n">
        <f aca="false">R645*(IF(C645&lt;Assumptions!$B$5,Assumptions!$B$12*(1+Assumptions!$B$11)^(INT(A645/12)+1)/12+Pricing_M!$B$13*IF(A645=0,Assumptions!$B$14*12,IF(A645&gt;=12,Assumptions!$B$15,0))-Pricing_M!$B$13,Assumptions!$B$9/12*(1+Assumptions!$B$10)^INT(A645/12)+Assumptions!$B$12*(1+Assumptions!$B$11)^(INT(A645/12)+1)/12))*J645</f>
        <v>0.110967348762288</v>
      </c>
      <c r="T645" s="32" t="n">
        <f aca="false">T644*(1-F644)*(1-(1-(1-MIN(1,G644*(1+Assumptions!$B$23)))^(1/12)))</f>
        <v>8.81567753586465E-006</v>
      </c>
      <c r="U645" s="47" t="n">
        <f aca="false">T645*(IF(C645&lt;Assumptions!$B$5,Assumptions!$B$12*(1+Assumptions!$B$11)^(INT(A645/12)+1)/12+Pricing_M!$B$13*IF(A645=0,Assumptions!$B$14*12,IF(A645&gt;=12,Assumptions!$B$15,0))-Pricing_M!$B$13,Assumptions!$B$9/12*(1+Assumptions!$B$10)^INT(A645/12)+Assumptions!$B$12*(1+Assumptions!$B$11)^(INT(A645/12)+1)/12))*J645</f>
        <v>0.0062697170891183</v>
      </c>
      <c r="V645" s="32" t="n">
        <f aca="false">V644*(1-F644)*(1-(1-(1-MIN(1,G644*(1-Assumptions!$B$23)))^(1/12)))</f>
        <v>1.07328929905294E-005</v>
      </c>
      <c r="W645" s="47" t="n">
        <f aca="false">V645*(IF(C645&lt;Assumptions!$B$5,Assumptions!$B$12*(1+Assumptions!$B$11)^(INT(A645/12)+1)/12+Pricing_M!$B$13*IF(A645=0,Assumptions!$B$14*12,IF(A645&gt;=12,Assumptions!$B$15,0))-Pricing_M!$B$13,Assumptions!$B$9/12*(1+Assumptions!$B$10)^INT(A645/12)+Assumptions!$B$12*(1+Assumptions!$B$11)^(INT(A645/12)+1)/12))*J645</f>
        <v>0.00763324229188703</v>
      </c>
      <c r="X645" s="47" t="n">
        <f aca="false">I645*(IF(C645&lt;Assumptions!$B$5,Assumptions!$B$12*(1+Assumptions!$B$11)*(1+Assumptions!$B$24)*(1+Assumptions!$B$11+Assumptions!$B$25)^(INT(A645/12))/12+Pricing_M!$B$13*IF(A645=0,Assumptions!$B$14*12,IF(A645&gt;=12,Assumptions!$B$15,0))-Pricing_M!$B$13,Assumptions!$B$9/12*(1+Assumptions!$B$10)^INT(A645/12)+Assumptions!$B$12*(1+Assumptions!$B$11)*(1+Assumptions!$B$24)*(1+Assumptions!$B$11+Assumptions!$B$25)^(INT(A645/12))/12))*J645</f>
        <v>0.00695950828746451</v>
      </c>
    </row>
    <row r="646" customFormat="false" ht="15" hidden="false" customHeight="true" outlineLevel="0" collapsed="false">
      <c r="A646" s="1" t="n">
        <v>639</v>
      </c>
      <c r="B646" s="31" t="n">
        <f aca="false">Assumptions!$B$4+A646/12</f>
        <v>118.25</v>
      </c>
      <c r="C646" s="34" t="n">
        <f aca="false">Assumptions!$B$4+INT(A646/12)</f>
        <v>118</v>
      </c>
      <c r="D646" s="34" t="n">
        <f aca="false">INT(A646/12)+1</f>
        <v>54</v>
      </c>
      <c r="E646" s="32" t="n">
        <f aca="false">IFERROR(INDEX(Cohort_Survival!$G$5:$G$65,MATCH(C646,Cohort_Survival!$A$5:$A$65,0)),1)</f>
        <v>0.576917996204382</v>
      </c>
      <c r="F646" s="30" t="n">
        <f aca="false">1-(1-MIN(1,E646))^(1/12)</f>
        <v>0.0691735560366207</v>
      </c>
      <c r="G646" s="39" t="n">
        <f aca="false">IF(C646&lt;Assumptions!$B$5,IF(D646=1,Assumptions!$B$16,IF(D646=2,Assumptions!$B$17,IF(D646&lt;=5,Assumptions!$B$18,Assumptions!$B$19)))*(1-Assumptions!$B$20),0)</f>
        <v>0</v>
      </c>
      <c r="H646" s="30" t="n">
        <f aca="false">1-(1-G646)^(1/12)</f>
        <v>0</v>
      </c>
      <c r="I646" s="30" t="n">
        <f aca="false">I645*(1-F645)*(1-H645)</f>
        <v>9.05845825759482E-006</v>
      </c>
      <c r="J646" s="30" t="n">
        <f aca="false">INDEX(Discount_Monthly!$G$4:$G$664,MATCH(A646,Discount_Monthly!$A$4:$A$664,0))</f>
        <v>0.185005731218152</v>
      </c>
      <c r="K646" s="30" t="n">
        <f aca="false">IF(C646&lt;Assumptions!$B$5,I646*J646,0)</f>
        <v>0</v>
      </c>
      <c r="L646" s="30" t="n">
        <f aca="false">IF(C646&lt;Assumptions!$B$5,I646*(1-F646)*H646*A646*J646,0)</f>
        <v>0</v>
      </c>
      <c r="M646" s="30" t="n">
        <f aca="false">IF(A646=0,Assumptions!$B$14*12*I646*J646,IF(AND(A646&gt;=12,C646&lt;Assumptions!$B$5),Assumptions!$B$15*I646*J646,0))</f>
        <v>0</v>
      </c>
      <c r="N646" s="47" t="n">
        <f aca="false">IF(C646&gt;=Assumptions!$B$5,I646*Assumptions!$B$9/12*(1+Assumptions!$B$10)^INT(A646/12)*J646,0)</f>
        <v>0.00638244836272416</v>
      </c>
      <c r="O646" s="47" t="n">
        <f aca="false">I646*Assumptions!$B$12/12*(1+Assumptions!$B$11)^(INT(A646/12)+1)*J646</f>
        <v>4.23874159803854E-005</v>
      </c>
      <c r="P646" s="47" t="n">
        <f aca="false">O646+Pricing_M!$B$13*M646+N646-Pricing_M!$B$13*K646</f>
        <v>0.00642483577870454</v>
      </c>
      <c r="Q646" s="47" t="n">
        <f aca="false">IF(C646&lt;Assumptions!$B$5,Pricing_M!$B$13*K646-Pricing_M!$B$13*M646-O646,-(N646+O646))</f>
        <v>-0.00642483577870454</v>
      </c>
      <c r="R646" s="32" t="n">
        <f aca="false">R645*(1-(1-(1-MIN(1,E645*(1-Assumptions!$B$21)))^(1/12)))*(1-H645)</f>
        <v>0.000148183367045724</v>
      </c>
      <c r="S646" s="47" t="n">
        <f aca="false">R646*(IF(C646&lt;Assumptions!$B$5,Assumptions!$B$12*(1+Assumptions!$B$11)^(INT(A646/12)+1)/12+Pricing_M!$B$13*IF(A646=0,Assumptions!$B$14*12,IF(A646&gt;=12,Assumptions!$B$15,0))-Pricing_M!$B$13,Assumptions!$B$9/12*(1+Assumptions!$B$10)^INT(A646/12)+Assumptions!$B$12*(1+Assumptions!$B$11)^(INT(A646/12)+1)/12))*J646</f>
        <v>0.105101085784223</v>
      </c>
      <c r="T646" s="32" t="n">
        <f aca="false">T645*(1-F645)*(1-(1-(1-MIN(1,G645*(1+Assumptions!$B$23)))^(1/12)))</f>
        <v>8.20586577183673E-006</v>
      </c>
      <c r="U646" s="47" t="n">
        <f aca="false">T646*(IF(C646&lt;Assumptions!$B$5,Assumptions!$B$12*(1+Assumptions!$B$11)^(INT(A646/12)+1)/12+Pricing_M!$B$13*IF(A646=0,Assumptions!$B$14*12,IF(A646&gt;=12,Assumptions!$B$15,0))-Pricing_M!$B$13,Assumptions!$B$9/12*(1+Assumptions!$B$10)^INT(A646/12)+Assumptions!$B$12*(1+Assumptions!$B$11)^(INT(A646/12)+1)/12))*J646</f>
        <v>0.00582012286273338</v>
      </c>
      <c r="V646" s="32" t="n">
        <f aca="false">V645*(1-F645)*(1-(1-(1-MIN(1,G645*(1-Assumptions!$B$23)))^(1/12)))</f>
        <v>9.990460615814E-006</v>
      </c>
      <c r="W646" s="47" t="n">
        <f aca="false">V646*(IF(C646&lt;Assumptions!$B$5,Assumptions!$B$12*(1+Assumptions!$B$11)^(INT(A646/12)+1)/12+Pricing_M!$B$13*IF(A646=0,Assumptions!$B$14*12,IF(A646&gt;=12,Assumptions!$B$15,0))-Pricing_M!$B$13,Assumptions!$B$9/12*(1+Assumptions!$B$10)^INT(A646/12)+Assumptions!$B$12*(1+Assumptions!$B$11)^(INT(A646/12)+1)/12))*J646</f>
        <v>0.00708587123602457</v>
      </c>
      <c r="X646" s="47" t="n">
        <f aca="false">I646*(IF(C646&lt;Assumptions!$B$5,Assumptions!$B$12*(1+Assumptions!$B$11)*(1+Assumptions!$B$24)*(1+Assumptions!$B$11+Assumptions!$B$25)^(INT(A646/12))/12+Pricing_M!$B$13*IF(A646=0,Assumptions!$B$14*12,IF(A646&gt;=12,Assumptions!$B$15,0))-Pricing_M!$B$13,Assumptions!$B$9/12*(1+Assumptions!$B$10)^INT(A646/12)+Assumptions!$B$12*(1+Assumptions!$B$11)*(1+Assumptions!$B$24)*(1+Assumptions!$B$11+Assumptions!$B$25)^(INT(A646/12))/12))*J646</f>
        <v>0.00646044992485472</v>
      </c>
    </row>
    <row r="647" customFormat="false" ht="15" hidden="false" customHeight="true" outlineLevel="0" collapsed="false">
      <c r="A647" s="1" t="n">
        <v>640</v>
      </c>
      <c r="B647" s="31" t="n">
        <f aca="false">Assumptions!$B$4+A647/12</f>
        <v>118.333333333333</v>
      </c>
      <c r="C647" s="34" t="n">
        <f aca="false">Assumptions!$B$4+INT(A647/12)</f>
        <v>118</v>
      </c>
      <c r="D647" s="34" t="n">
        <f aca="false">INT(A647/12)+1</f>
        <v>54</v>
      </c>
      <c r="E647" s="32" t="n">
        <f aca="false">IFERROR(INDEX(Cohort_Survival!$G$5:$G$65,MATCH(C647,Cohort_Survival!$A$5:$A$65,0)),1)</f>
        <v>0.576917996204382</v>
      </c>
      <c r="F647" s="30" t="n">
        <f aca="false">1-(1-MIN(1,E647))^(1/12)</f>
        <v>0.0691735560366207</v>
      </c>
      <c r="G647" s="39" t="n">
        <f aca="false">IF(C647&lt;Assumptions!$B$5,IF(D647=1,Assumptions!$B$16,IF(D647=2,Assumptions!$B$17,IF(D647&lt;=5,Assumptions!$B$18,Assumptions!$B$19)))*(1-Assumptions!$B$20),0)</f>
        <v>0</v>
      </c>
      <c r="H647" s="30" t="n">
        <f aca="false">1-(1-G647)^(1/12)</f>
        <v>0</v>
      </c>
      <c r="I647" s="30" t="n">
        <f aca="false">I646*(1-F646)*(1-H646)</f>
        <v>8.43185248770769E-006</v>
      </c>
      <c r="J647" s="30" t="n">
        <f aca="false">INDEX(Discount_Monthly!$G$4:$G$664,MATCH(A647,Discount_Monthly!$A$4:$A$664,0))</f>
        <v>0.184501829950955</v>
      </c>
      <c r="K647" s="30" t="n">
        <f aca="false">IF(C647&lt;Assumptions!$B$5,I647*J647,0)</f>
        <v>0</v>
      </c>
      <c r="L647" s="30" t="n">
        <f aca="false">IF(C647&lt;Assumptions!$B$5,I647*(1-F647)*H647*A647*J647,0)</f>
        <v>0</v>
      </c>
      <c r="M647" s="30" t="n">
        <f aca="false">IF(A647=0,Assumptions!$B$14*12*I647*J647,IF(AND(A647&gt;=12,C647&lt;Assumptions!$B$5),Assumptions!$B$15*I647*J647,0))</f>
        <v>0</v>
      </c>
      <c r="N647" s="47" t="n">
        <f aca="false">IF(C647&gt;=Assumptions!$B$5,I647*Assumptions!$B$9/12*(1+Assumptions!$B$10)^INT(A647/12)*J647,0)</f>
        <v>0.00592477030591663</v>
      </c>
      <c r="O647" s="47" t="n">
        <f aca="false">I647*Assumptions!$B$12/12*(1+Assumptions!$B$11)^(INT(A647/12)+1)*J647</f>
        <v>3.9347862963036E-005</v>
      </c>
      <c r="P647" s="47" t="n">
        <f aca="false">O647+Pricing_M!$B$13*M647+N647-Pricing_M!$B$13*K647</f>
        <v>0.00596411816887967</v>
      </c>
      <c r="Q647" s="47" t="n">
        <f aca="false">IF(C647&lt;Assumptions!$B$5,Pricing_M!$B$13*K647-Pricing_M!$B$13*M647-O647,-(N647+O647))</f>
        <v>-0.00596411816887967</v>
      </c>
      <c r="R647" s="32" t="n">
        <f aca="false">R646*(1-(1-(1-MIN(1,E646*(1-Assumptions!$B$21)))^(1/12)))*(1-H646)</f>
        <v>0.000140733003313487</v>
      </c>
      <c r="S647" s="47" t="n">
        <f aca="false">R647*(IF(C647&lt;Assumptions!$B$5,Assumptions!$B$12*(1+Assumptions!$B$11)^(INT(A647/12)+1)/12+Pricing_M!$B$13*IF(A647=0,Assumptions!$B$14*12,IF(A647&gt;=12,Assumptions!$B$15,0))-Pricing_M!$B$13,Assumptions!$B$9/12*(1+Assumptions!$B$10)^INT(A647/12)+Assumptions!$B$12*(1+Assumptions!$B$11)^(INT(A647/12)+1)/12))*J647</f>
        <v>0.0995449414285424</v>
      </c>
      <c r="T647" s="32" t="n">
        <f aca="false">T646*(1-F646)*(1-(1-(1-MIN(1,G646*(1+Assumptions!$B$23)))^(1/12)))</f>
        <v>7.6382368560396E-006</v>
      </c>
      <c r="U647" s="47" t="n">
        <f aca="false">T647*(IF(C647&lt;Assumptions!$B$5,Assumptions!$B$12*(1+Assumptions!$B$11)^(INT(A647/12)+1)/12+Pricing_M!$B$13*IF(A647=0,Assumptions!$B$14*12,IF(A647&gt;=12,Assumptions!$B$15,0))-Pricing_M!$B$13,Assumptions!$B$9/12*(1+Assumptions!$B$10)^INT(A647/12)+Assumptions!$B$12*(1+Assumptions!$B$11)^(INT(A647/12)+1)/12))*J647</f>
        <v>0.00540276852301728</v>
      </c>
      <c r="V647" s="32" t="n">
        <f aca="false">V646*(1-F646)*(1-(1-(1-MIN(1,G646*(1-Assumptions!$B$23)))^(1/12)))</f>
        <v>9.29938492857434E-006</v>
      </c>
      <c r="W647" s="47" t="n">
        <f aca="false">V647*(IF(C647&lt;Assumptions!$B$5,Assumptions!$B$12*(1+Assumptions!$B$11)^(INT(A647/12)+1)/12+Pricing_M!$B$13*IF(A647=0,Assumptions!$B$14*12,IF(A647&gt;=12,Assumptions!$B$15,0))-Pricing_M!$B$13,Assumptions!$B$9/12*(1+Assumptions!$B$10)^INT(A647/12)+Assumptions!$B$12*(1+Assumptions!$B$11)^(INT(A647/12)+1)/12))*J647</f>
        <v>0.00657775153120523</v>
      </c>
      <c r="X647" s="47" t="n">
        <f aca="false">I647*(IF(C647&lt;Assumptions!$B$5,Assumptions!$B$12*(1+Assumptions!$B$11)*(1+Assumptions!$B$24)*(1+Assumptions!$B$11+Assumptions!$B$25)^(INT(A647/12))/12+Pricing_M!$B$13*IF(A647=0,Assumptions!$B$14*12,IF(A647&gt;=12,Assumptions!$B$15,0))-Pricing_M!$B$13,Assumptions!$B$9/12*(1+Assumptions!$B$10)^INT(A647/12)+Assumptions!$B$12*(1+Assumptions!$B$11)*(1+Assumptions!$B$24)*(1+Assumptions!$B$11+Assumptions!$B$25)^(INT(A647/12))/12))*J647</f>
        <v>0.00599717846542879</v>
      </c>
    </row>
    <row r="648" customFormat="false" ht="15" hidden="false" customHeight="true" outlineLevel="0" collapsed="false">
      <c r="A648" s="1" t="n">
        <v>641</v>
      </c>
      <c r="B648" s="31" t="n">
        <f aca="false">Assumptions!$B$4+A648/12</f>
        <v>118.416666666667</v>
      </c>
      <c r="C648" s="34" t="n">
        <f aca="false">Assumptions!$B$4+INT(A648/12)</f>
        <v>118</v>
      </c>
      <c r="D648" s="34" t="n">
        <f aca="false">INT(A648/12)+1</f>
        <v>54</v>
      </c>
      <c r="E648" s="32" t="n">
        <f aca="false">IFERROR(INDEX(Cohort_Survival!$G$5:$G$65,MATCH(C648,Cohort_Survival!$A$5:$A$65,0)),1)</f>
        <v>0.576917996204382</v>
      </c>
      <c r="F648" s="30" t="n">
        <f aca="false">1-(1-MIN(1,E648))^(1/12)</f>
        <v>0.0691735560366207</v>
      </c>
      <c r="G648" s="39" t="n">
        <f aca="false">IF(C648&lt;Assumptions!$B$5,IF(D648=1,Assumptions!$B$16,IF(D648=2,Assumptions!$B$17,IF(D648&lt;=5,Assumptions!$B$18,Assumptions!$B$19)))*(1-Assumptions!$B$20),0)</f>
        <v>0</v>
      </c>
      <c r="H648" s="30" t="n">
        <f aca="false">1-(1-G648)^(1/12)</f>
        <v>0</v>
      </c>
      <c r="I648" s="30" t="n">
        <f aca="false">I647*(1-F647)*(1-H647)</f>
        <v>7.84859126715672E-006</v>
      </c>
      <c r="J648" s="30" t="n">
        <f aca="false">INDEX(Discount_Monthly!$G$4:$G$664,MATCH(A648,Discount_Monthly!$A$4:$A$664,0))</f>
        <v>0.183999301162791</v>
      </c>
      <c r="K648" s="30" t="n">
        <f aca="false">IF(C648&lt;Assumptions!$B$5,I648*J648,0)</f>
        <v>0</v>
      </c>
      <c r="L648" s="30" t="n">
        <f aca="false">IF(C648&lt;Assumptions!$B$5,I648*(1-F648)*H648*A648*J648,0)</f>
        <v>0</v>
      </c>
      <c r="M648" s="30" t="n">
        <f aca="false">IF(A648=0,Assumptions!$B$14*12*I648*J648,IF(AND(A648&gt;=12,C648&lt;Assumptions!$B$5),Assumptions!$B$15*I648*J648,0))</f>
        <v>0</v>
      </c>
      <c r="N648" s="47" t="n">
        <f aca="false">IF(C648&gt;=Assumptions!$B$5,I648*Assumptions!$B$9/12*(1+Assumptions!$B$10)^INT(A648/12)*J648,0)</f>
        <v>0.00549991181799218</v>
      </c>
      <c r="O648" s="47" t="n">
        <f aca="false">I648*Assumptions!$B$12/12*(1+Assumptions!$B$11)^(INT(A648/12)+1)*J648</f>
        <v>3.65262728087578E-005</v>
      </c>
      <c r="P648" s="47" t="n">
        <f aca="false">O648+Pricing_M!$B$13*M648+N648-Pricing_M!$B$13*K648</f>
        <v>0.00553643809080094</v>
      </c>
      <c r="Q648" s="47" t="n">
        <f aca="false">IF(C648&lt;Assumptions!$B$5,Pricing_M!$B$13*K648-Pricing_M!$B$13*M648-O648,-(N648+O648))</f>
        <v>-0.00553643809080094</v>
      </c>
      <c r="R648" s="32" t="n">
        <f aca="false">R647*(1-(1-(1-MIN(1,E647*(1-Assumptions!$B$21)))^(1/12)))*(1-H647)</f>
        <v>0.000133657228989288</v>
      </c>
      <c r="S648" s="47" t="n">
        <f aca="false">R648*(IF(C648&lt;Assumptions!$B$5,Assumptions!$B$12*(1+Assumptions!$B$11)^(INT(A648/12)+1)/12+Pricing_M!$B$13*IF(A648=0,Assumptions!$B$14*12,IF(A648&gt;=12,Assumptions!$B$15,0))-Pricing_M!$B$13,Assumptions!$B$9/12*(1+Assumptions!$B$10)^INT(A648/12)+Assumptions!$B$12*(1+Assumptions!$B$11)^(INT(A648/12)+1)/12))*J648</f>
        <v>0.0942825213466961</v>
      </c>
      <c r="T648" s="32" t="n">
        <f aca="false">T647*(1-F647)*(1-(1-(1-MIN(1,G647*(1+Assumptions!$B$23)))^(1/12)))</f>
        <v>7.10987285085736E-006</v>
      </c>
      <c r="U648" s="47" t="n">
        <f aca="false">T648*(IF(C648&lt;Assumptions!$B$5,Assumptions!$B$12*(1+Assumptions!$B$11)^(INT(A648/12)+1)/12+Pricing_M!$B$13*IF(A648=0,Assumptions!$B$14*12,IF(A648&gt;=12,Assumptions!$B$15,0))-Pricing_M!$B$13,Assumptions!$B$9/12*(1+Assumptions!$B$10)^INT(A648/12)+Assumptions!$B$12*(1+Assumptions!$B$11)^(INT(A648/12)+1)/12))*J648</f>
        <v>0.00501534218464891</v>
      </c>
      <c r="V648" s="32" t="n">
        <f aca="false">V647*(1-F647)*(1-(1-(1-MIN(1,G647*(1-Assumptions!$B$23)))^(1/12)))</f>
        <v>8.65611340411149E-006</v>
      </c>
      <c r="W648" s="47" t="n">
        <f aca="false">V648*(IF(C648&lt;Assumptions!$B$5,Assumptions!$B$12*(1+Assumptions!$B$11)^(INT(A648/12)+1)/12+Pricing_M!$B$13*IF(A648=0,Assumptions!$B$14*12,IF(A648&gt;=12,Assumptions!$B$15,0))-Pricing_M!$B$13,Assumptions!$B$9/12*(1+Assumptions!$B$10)^INT(A648/12)+Assumptions!$B$12*(1+Assumptions!$B$11)^(INT(A648/12)+1)/12))*J648</f>
        <v>0.00610606850803388</v>
      </c>
      <c r="X648" s="47" t="n">
        <f aca="false">I648*(IF(C648&lt;Assumptions!$B$5,Assumptions!$B$12*(1+Assumptions!$B$11)*(1+Assumptions!$B$24)*(1+Assumptions!$B$11+Assumptions!$B$25)^(INT(A648/12))/12+Pricing_M!$B$13*IF(A648=0,Assumptions!$B$14*12,IF(A648&gt;=12,Assumptions!$B$15,0))-Pricing_M!$B$13,Assumptions!$B$9/12*(1+Assumptions!$B$10)^INT(A648/12)+Assumptions!$B$12*(1+Assumptions!$B$11)*(1+Assumptions!$B$24)*(1+Assumptions!$B$11+Assumptions!$B$25)^(INT(A648/12))/12))*J648</f>
        <v>0.00556712767137679</v>
      </c>
    </row>
    <row r="649" customFormat="false" ht="15" hidden="false" customHeight="true" outlineLevel="0" collapsed="false">
      <c r="A649" s="1" t="n">
        <v>642</v>
      </c>
      <c r="B649" s="31" t="n">
        <f aca="false">Assumptions!$B$4+A649/12</f>
        <v>118.5</v>
      </c>
      <c r="C649" s="34" t="n">
        <f aca="false">Assumptions!$B$4+INT(A649/12)</f>
        <v>118</v>
      </c>
      <c r="D649" s="34" t="n">
        <f aca="false">INT(A649/12)+1</f>
        <v>54</v>
      </c>
      <c r="E649" s="32" t="n">
        <f aca="false">IFERROR(INDEX(Cohort_Survival!$G$5:$G$65,MATCH(C649,Cohort_Survival!$A$5:$A$65,0)),1)</f>
        <v>0.576917996204382</v>
      </c>
      <c r="F649" s="30" t="n">
        <f aca="false">1-(1-MIN(1,E649))^(1/12)</f>
        <v>0.0691735560366207</v>
      </c>
      <c r="G649" s="39" t="n">
        <f aca="false">IF(C649&lt;Assumptions!$B$5,IF(D649=1,Assumptions!$B$16,IF(D649=2,Assumptions!$B$17,IF(D649&lt;=5,Assumptions!$B$18,Assumptions!$B$19)))*(1-Assumptions!$B$20),0)</f>
        <v>0</v>
      </c>
      <c r="H649" s="30" t="n">
        <f aca="false">1-(1-G649)^(1/12)</f>
        <v>0</v>
      </c>
      <c r="I649" s="30" t="n">
        <f aca="false">I648*(1-F648)*(1-H648)</f>
        <v>7.30567629932953E-006</v>
      </c>
      <c r="J649" s="30" t="n">
        <f aca="false">INDEX(Discount_Monthly!$G$4:$G$664,MATCH(A649,Discount_Monthly!$A$4:$A$664,0))</f>
        <v>0.183498141115429</v>
      </c>
      <c r="K649" s="30" t="n">
        <f aca="false">IF(C649&lt;Assumptions!$B$5,I649*J649,0)</f>
        <v>0</v>
      </c>
      <c r="L649" s="30" t="n">
        <f aca="false">IF(C649&lt;Assumptions!$B$5,I649*(1-F649)*H649*A649*J649,0)</f>
        <v>0</v>
      </c>
      <c r="M649" s="30" t="n">
        <f aca="false">IF(A649=0,Assumptions!$B$14*12*I649*J649,IF(AND(A649&gt;=12,C649&lt;Assumptions!$B$5),Assumptions!$B$15*I649*J649,0))</f>
        <v>0</v>
      </c>
      <c r="N649" s="47" t="n">
        <f aca="false">IF(C649&gt;=Assumptions!$B$5,I649*Assumptions!$B$9/12*(1+Assumptions!$B$10)^INT(A649/12)*J649,0)</f>
        <v>0.00510551944528255</v>
      </c>
      <c r="O649" s="47" t="n">
        <f aca="false">I649*Assumptions!$B$12/12*(1+Assumptions!$B$11)^(INT(A649/12)+1)*J649</f>
        <v>3.39070156504596E-005</v>
      </c>
      <c r="P649" s="47" t="n">
        <f aca="false">O649+Pricing_M!$B$13*M649+N649-Pricing_M!$B$13*K649</f>
        <v>0.00513942646093301</v>
      </c>
      <c r="Q649" s="47" t="n">
        <f aca="false">IF(C649&lt;Assumptions!$B$5,Pricing_M!$B$13*K649-Pricing_M!$B$13*M649-O649,-(N649+O649))</f>
        <v>-0.00513942646093301</v>
      </c>
      <c r="R649" s="32" t="n">
        <f aca="false">R648*(1-(1-(1-MIN(1,E648*(1-Assumptions!$B$21)))^(1/12)))*(1-H648)</f>
        <v>0.000126937210465847</v>
      </c>
      <c r="S649" s="47" t="n">
        <f aca="false">R649*(IF(C649&lt;Assumptions!$B$5,Assumptions!$B$12*(1+Assumptions!$B$11)^(INT(A649/12)+1)/12+Pricing_M!$B$13*IF(A649=0,Assumptions!$B$14*12,IF(A649&gt;=12,Assumptions!$B$15,0))-Pricing_M!$B$13,Assumptions!$B$9/12*(1+Assumptions!$B$10)^INT(A649/12)+Assumptions!$B$12*(1+Assumptions!$B$11)^(INT(A649/12)+1)/12))*J649</f>
        <v>0.0892982978735414</v>
      </c>
      <c r="T649" s="32" t="n">
        <f aca="false">T648*(1-F648)*(1-(1-(1-MIN(1,G648*(1+Assumptions!$B$23)))^(1/12)))</f>
        <v>6.61805766279533E-006</v>
      </c>
      <c r="U649" s="47" t="n">
        <f aca="false">T649*(IF(C649&lt;Assumptions!$B$5,Assumptions!$B$12*(1+Assumptions!$B$11)^(INT(A649/12)+1)/12+Pricing_M!$B$13*IF(A649=0,Assumptions!$B$14*12,IF(A649&gt;=12,Assumptions!$B$15,0))-Pricing_M!$B$13,Assumptions!$B$9/12*(1+Assumptions!$B$10)^INT(A649/12)+Assumptions!$B$12*(1+Assumptions!$B$11)^(INT(A649/12)+1)/12))*J649</f>
        <v>0.00465569774495379</v>
      </c>
      <c r="V649" s="32" t="n">
        <f aca="false">V648*(1-F648)*(1-(1-(1-MIN(1,G648*(1-Assumptions!$B$23)))^(1/12)))</f>
        <v>8.05733925849284E-006</v>
      </c>
      <c r="W649" s="47" t="n">
        <f aca="false">V649*(IF(C649&lt;Assumptions!$B$5,Assumptions!$B$12*(1+Assumptions!$B$11)^(INT(A649/12)+1)/12+Pricing_M!$B$13*IF(A649=0,Assumptions!$B$14*12,IF(A649&gt;=12,Assumptions!$B$15,0))-Pricing_M!$B$13,Assumptions!$B$9/12*(1+Assumptions!$B$10)^INT(A649/12)+Assumptions!$B$12*(1+Assumptions!$B$11)^(INT(A649/12)+1)/12))*J649</f>
        <v>0.00566820933383168</v>
      </c>
      <c r="X649" s="47" t="n">
        <f aca="false">I649*(IF(C649&lt;Assumptions!$B$5,Assumptions!$B$12*(1+Assumptions!$B$11)*(1+Assumptions!$B$24)*(1+Assumptions!$B$11+Assumptions!$B$25)^(INT(A649/12))/12+Pricing_M!$B$13*IF(A649=0,Assumptions!$B$14*12,IF(A649&gt;=12,Assumptions!$B$15,0))-Pricing_M!$B$13,Assumptions!$B$9/12*(1+Assumptions!$B$10)^INT(A649/12)+Assumptions!$B$12*(1+Assumptions!$B$11)*(1+Assumptions!$B$24)*(1+Assumptions!$B$11+Assumptions!$B$25)^(INT(A649/12))/12))*J649</f>
        <v>0.00516791532686083</v>
      </c>
    </row>
    <row r="650" customFormat="false" ht="15" hidden="false" customHeight="true" outlineLevel="0" collapsed="false">
      <c r="A650" s="1" t="n">
        <v>643</v>
      </c>
      <c r="B650" s="31" t="n">
        <f aca="false">Assumptions!$B$4+A650/12</f>
        <v>118.583333333333</v>
      </c>
      <c r="C650" s="34" t="n">
        <f aca="false">Assumptions!$B$4+INT(A650/12)</f>
        <v>118</v>
      </c>
      <c r="D650" s="34" t="n">
        <f aca="false">INT(A650/12)+1</f>
        <v>54</v>
      </c>
      <c r="E650" s="32" t="n">
        <f aca="false">IFERROR(INDEX(Cohort_Survival!$G$5:$G$65,MATCH(C650,Cohort_Survival!$A$5:$A$65,0)),1)</f>
        <v>0.576917996204382</v>
      </c>
      <c r="F650" s="30" t="n">
        <f aca="false">1-(1-MIN(1,E650))^(1/12)</f>
        <v>0.0691735560366207</v>
      </c>
      <c r="G650" s="39" t="n">
        <f aca="false">IF(C650&lt;Assumptions!$B$5,IF(D650=1,Assumptions!$B$16,IF(D650=2,Assumptions!$B$17,IF(D650&lt;=5,Assumptions!$B$18,Assumptions!$B$19)))*(1-Assumptions!$B$20),0)</f>
        <v>0</v>
      </c>
      <c r="H650" s="30" t="n">
        <f aca="false">1-(1-G650)^(1/12)</f>
        <v>0</v>
      </c>
      <c r="I650" s="30" t="n">
        <f aca="false">I649*(1-F649)*(1-H649)</f>
        <v>6.80031669045244E-006</v>
      </c>
      <c r="J650" s="30" t="n">
        <f aca="false">INDEX(Discount_Monthly!$G$4:$G$664,MATCH(A650,Discount_Monthly!$A$4:$A$664,0))</f>
        <v>0.182998346080824</v>
      </c>
      <c r="K650" s="30" t="n">
        <f aca="false">IF(C650&lt;Assumptions!$B$5,I650*J650,0)</f>
        <v>0</v>
      </c>
      <c r="L650" s="30" t="n">
        <f aca="false">IF(C650&lt;Assumptions!$B$5,I650*(1-F650)*H650*A650*J650,0)</f>
        <v>0</v>
      </c>
      <c r="M650" s="30" t="n">
        <f aca="false">IF(A650=0,Assumptions!$B$14*12*I650*J650,IF(AND(A650&gt;=12,C650&lt;Assumptions!$B$5),Assumptions!$B$15*I650*J650,0))</f>
        <v>0</v>
      </c>
      <c r="N650" s="47" t="n">
        <f aca="false">IF(C650&gt;=Assumptions!$B$5,I650*Assumptions!$B$9/12*(1+Assumptions!$B$10)^INT(A650/12)*J650,0)</f>
        <v>0.00473940849758464</v>
      </c>
      <c r="O650" s="47" t="n">
        <f aca="false">I650*Assumptions!$B$12/12*(1+Assumptions!$B$11)^(INT(A650/12)+1)*J650</f>
        <v>3.14755824209048E-005</v>
      </c>
      <c r="P650" s="47" t="n">
        <f aca="false">O650+Pricing_M!$B$13*M650+N650-Pricing_M!$B$13*K650</f>
        <v>0.00477088408000554</v>
      </c>
      <c r="Q650" s="47" t="n">
        <f aca="false">IF(C650&lt;Assumptions!$B$5,Pricing_M!$B$13*K650-Pricing_M!$B$13*M650-O650,-(N650+O650))</f>
        <v>-0.00477088408000554</v>
      </c>
      <c r="R650" s="32" t="n">
        <f aca="false">R649*(1-(1-(1-MIN(1,E649*(1-Assumptions!$B$21)))^(1/12)))*(1-H649)</f>
        <v>0.000120555061052046</v>
      </c>
      <c r="S650" s="47" t="n">
        <f aca="false">R650*(IF(C650&lt;Assumptions!$B$5,Assumptions!$B$12*(1+Assumptions!$B$11)^(INT(A650/12)+1)/12+Pricing_M!$B$13*IF(A650=0,Assumptions!$B$14*12,IF(A650&gt;=12,Assumptions!$B$15,0))-Pricing_M!$B$13,Assumptions!$B$9/12*(1+Assumptions!$B$10)^INT(A650/12)+Assumptions!$B$12*(1+Assumptions!$B$11)^(INT(A650/12)+1)/12))*J650</f>
        <v>0.0845775642103271</v>
      </c>
      <c r="T650" s="32" t="n">
        <f aca="false">T649*(1-F649)*(1-(1-(1-MIN(1,G649*(1+Assumptions!$B$23)))^(1/12)))</f>
        <v>6.16026308020437E-006</v>
      </c>
      <c r="U650" s="47" t="n">
        <f aca="false">T650*(IF(C650&lt;Assumptions!$B$5,Assumptions!$B$12*(1+Assumptions!$B$11)^(INT(A650/12)+1)/12+Pricing_M!$B$13*IF(A650=0,Assumptions!$B$14*12,IF(A650&gt;=12,Assumptions!$B$15,0))-Pricing_M!$B$13,Assumptions!$B$9/12*(1+Assumptions!$B$10)^INT(A650/12)+Assumptions!$B$12*(1+Assumptions!$B$11)^(INT(A650/12)+1)/12))*J650</f>
        <v>0.00432184299582047</v>
      </c>
      <c r="V650" s="32" t="n">
        <f aca="false">V649*(1-F649)*(1-(1-(1-MIN(1,G649*(1-Assumptions!$B$23)))^(1/12)))</f>
        <v>7.49998444978943E-006</v>
      </c>
      <c r="W650" s="47" t="n">
        <f aca="false">V650*(IF(C650&lt;Assumptions!$B$5,Assumptions!$B$12*(1+Assumptions!$B$11)^(INT(A650/12)+1)/12+Pricing_M!$B$13*IF(A650=0,Assumptions!$B$14*12,IF(A650&gt;=12,Assumptions!$B$15,0))-Pricing_M!$B$13,Assumptions!$B$9/12*(1+Assumptions!$B$10)^INT(A650/12)+Assumptions!$B$12*(1+Assumptions!$B$11)^(INT(A650/12)+1)/12))*J650</f>
        <v>0.00526174853915647</v>
      </c>
      <c r="X650" s="47" t="n">
        <f aca="false">I650*(IF(C650&lt;Assumptions!$B$5,Assumptions!$B$12*(1+Assumptions!$B$11)*(1+Assumptions!$B$24)*(1+Assumptions!$B$11+Assumptions!$B$25)^(INT(A650/12))/12+Pricing_M!$B$13*IF(A650=0,Assumptions!$B$14*12,IF(A650&gt;=12,Assumptions!$B$15,0))-Pricing_M!$B$13,Assumptions!$B$9/12*(1+Assumptions!$B$10)^INT(A650/12)+Assumptions!$B$12*(1+Assumptions!$B$11)*(1+Assumptions!$B$24)*(1+Assumptions!$B$11+Assumptions!$B$25)^(INT(A650/12))/12))*J650</f>
        <v>0.00479733004201037</v>
      </c>
    </row>
    <row r="651" customFormat="false" ht="15" hidden="false" customHeight="true" outlineLevel="0" collapsed="false">
      <c r="A651" s="1" t="n">
        <v>644</v>
      </c>
      <c r="B651" s="31" t="n">
        <f aca="false">Assumptions!$B$4+A651/12</f>
        <v>118.666666666667</v>
      </c>
      <c r="C651" s="34" t="n">
        <f aca="false">Assumptions!$B$4+INT(A651/12)</f>
        <v>118</v>
      </c>
      <c r="D651" s="34" t="n">
        <f aca="false">INT(A651/12)+1</f>
        <v>54</v>
      </c>
      <c r="E651" s="32" t="n">
        <f aca="false">IFERROR(INDEX(Cohort_Survival!$G$5:$G$65,MATCH(C651,Cohort_Survival!$A$5:$A$65,0)),1)</f>
        <v>0.576917996204382</v>
      </c>
      <c r="F651" s="30" t="n">
        <f aca="false">1-(1-MIN(1,E651))^(1/12)</f>
        <v>0.0691735560366207</v>
      </c>
      <c r="G651" s="39" t="n">
        <f aca="false">IF(C651&lt;Assumptions!$B$5,IF(D651=1,Assumptions!$B$16,IF(D651=2,Assumptions!$B$17,IF(D651&lt;=5,Assumptions!$B$18,Assumptions!$B$19)))*(1-Assumptions!$B$20),0)</f>
        <v>0</v>
      </c>
      <c r="H651" s="30" t="n">
        <f aca="false">1-(1-G651)^(1/12)</f>
        <v>0</v>
      </c>
      <c r="I651" s="30" t="n">
        <f aca="false">I650*(1-F650)*(1-H650)</f>
        <v>6.32991460279867E-006</v>
      </c>
      <c r="J651" s="30" t="n">
        <f aca="false">INDEX(Discount_Monthly!$G$4:$G$664,MATCH(A651,Discount_Monthly!$A$4:$A$664,0))</f>
        <v>0.18249991234108</v>
      </c>
      <c r="K651" s="30" t="n">
        <f aca="false">IF(C651&lt;Assumptions!$B$5,I651*J651,0)</f>
        <v>0</v>
      </c>
      <c r="L651" s="30" t="n">
        <f aca="false">IF(C651&lt;Assumptions!$B$5,I651*(1-F651)*H651*A651*J651,0)</f>
        <v>0</v>
      </c>
      <c r="M651" s="30" t="n">
        <f aca="false">IF(A651=0,Assumptions!$B$14*12*I651*J651,IF(AND(A651&gt;=12,C651&lt;Assumptions!$B$5),Assumptions!$B$15*I651*J651,0))</f>
        <v>0</v>
      </c>
      <c r="N651" s="47" t="n">
        <f aca="false">IF(C651&gt;=Assumptions!$B$5,I651*Assumptions!$B$9/12*(1+Assumptions!$B$10)^INT(A651/12)*J651,0)</f>
        <v>0.00439955094632576</v>
      </c>
      <c r="O651" s="47" t="n">
        <f aca="false">I651*Assumptions!$B$12/12*(1+Assumptions!$B$11)^(INT(A651/12)+1)*J651</f>
        <v>2.92185044814389E-005</v>
      </c>
      <c r="P651" s="47" t="n">
        <f aca="false">O651+Pricing_M!$B$13*M651+N651-Pricing_M!$B$13*K651</f>
        <v>0.0044287694508072</v>
      </c>
      <c r="Q651" s="47" t="n">
        <f aca="false">IF(C651&lt;Assumptions!$B$5,Pricing_M!$B$13*K651-Pricing_M!$B$13*M651-O651,-(N651+O651))</f>
        <v>-0.0044287694508072</v>
      </c>
      <c r="R651" s="32" t="n">
        <f aca="false">R650*(1-(1-(1-MIN(1,E650*(1-Assumptions!$B$21)))^(1/12)))*(1-H650)</f>
        <v>0.000114493793363867</v>
      </c>
      <c r="S651" s="47" t="n">
        <f aca="false">R651*(IF(C651&lt;Assumptions!$B$5,Assumptions!$B$12*(1+Assumptions!$B$11)^(INT(A651/12)+1)/12+Pricing_M!$B$13*IF(A651=0,Assumptions!$B$14*12,IF(A651&gt;=12,Assumptions!$B$15,0))-Pricing_M!$B$13,Assumptions!$B$9/12*(1+Assumptions!$B$10)^INT(A651/12)+Assumptions!$B$12*(1+Assumptions!$B$11)^(INT(A651/12)+1)/12))*J651</f>
        <v>0.0801063910297836</v>
      </c>
      <c r="T651" s="32" t="n">
        <f aca="false">T650*(1-F650)*(1-(1-(1-MIN(1,G650*(1+Assumptions!$B$23)))^(1/12)))</f>
        <v>5.73413577682553E-006</v>
      </c>
      <c r="U651" s="47" t="n">
        <f aca="false">T651*(IF(C651&lt;Assumptions!$B$5,Assumptions!$B$12*(1+Assumptions!$B$11)^(INT(A651/12)+1)/12+Pricing_M!$B$13*IF(A651=0,Assumptions!$B$14*12,IF(A651&gt;=12,Assumptions!$B$15,0))-Pricing_M!$B$13,Assumptions!$B$9/12*(1+Assumptions!$B$10)^INT(A651/12)+Assumptions!$B$12*(1+Assumptions!$B$11)^(INT(A651/12)+1)/12))*J651</f>
        <v>0.00401192858809777</v>
      </c>
      <c r="V651" s="32" t="n">
        <f aca="false">V650*(1-F650)*(1-(1-(1-MIN(1,G650*(1-Assumptions!$B$23)))^(1/12)))</f>
        <v>6.98118385517813E-006</v>
      </c>
      <c r="W651" s="47" t="n">
        <f aca="false">V651*(IF(C651&lt;Assumptions!$B$5,Assumptions!$B$12*(1+Assumptions!$B$11)^(INT(A651/12)+1)/12+Pricing_M!$B$13*IF(A651=0,Assumptions!$B$14*12,IF(A651&gt;=12,Assumptions!$B$15,0))-Pricing_M!$B$13,Assumptions!$B$9/12*(1+Assumptions!$B$10)^INT(A651/12)+Assumptions!$B$12*(1+Assumptions!$B$11)^(INT(A651/12)+1)/12))*J651</f>
        <v>0.00488443458219981</v>
      </c>
      <c r="X651" s="47" t="n">
        <f aca="false">I651*(IF(C651&lt;Assumptions!$B$5,Assumptions!$B$12*(1+Assumptions!$B$11)*(1+Assumptions!$B$24)*(1+Assumptions!$B$11+Assumptions!$B$25)^(INT(A651/12))/12+Pricing_M!$B$13*IF(A651=0,Assumptions!$B$14*12,IF(A651&gt;=12,Assumptions!$B$15,0))-Pricing_M!$B$13,Assumptions!$B$9/12*(1+Assumptions!$B$10)^INT(A651/12)+Assumptions!$B$12*(1+Assumptions!$B$11)*(1+Assumptions!$B$24)*(1+Assumptions!$B$11+Assumptions!$B$25)^(INT(A651/12))/12))*J651</f>
        <v>0.00445331900318787</v>
      </c>
    </row>
    <row r="652" customFormat="false" ht="15" hidden="false" customHeight="true" outlineLevel="0" collapsed="false">
      <c r="A652" s="1" t="n">
        <v>645</v>
      </c>
      <c r="B652" s="31" t="n">
        <f aca="false">Assumptions!$B$4+A652/12</f>
        <v>118.75</v>
      </c>
      <c r="C652" s="34" t="n">
        <f aca="false">Assumptions!$B$4+INT(A652/12)</f>
        <v>118</v>
      </c>
      <c r="D652" s="34" t="n">
        <f aca="false">INT(A652/12)+1</f>
        <v>54</v>
      </c>
      <c r="E652" s="32" t="n">
        <f aca="false">IFERROR(INDEX(Cohort_Survival!$G$5:$G$65,MATCH(C652,Cohort_Survival!$A$5:$A$65,0)),1)</f>
        <v>0.576917996204382</v>
      </c>
      <c r="F652" s="30" t="n">
        <f aca="false">1-(1-MIN(1,E652))^(1/12)</f>
        <v>0.0691735560366207</v>
      </c>
      <c r="G652" s="39" t="n">
        <f aca="false">IF(C652&lt;Assumptions!$B$5,IF(D652=1,Assumptions!$B$16,IF(D652=2,Assumptions!$B$17,IF(D652&lt;=5,Assumptions!$B$18,Assumptions!$B$19)))*(1-Assumptions!$B$20),0)</f>
        <v>0</v>
      </c>
      <c r="H652" s="30" t="n">
        <f aca="false">1-(1-G652)^(1/12)</f>
        <v>0</v>
      </c>
      <c r="I652" s="30" t="n">
        <f aca="false">I651*(1-F651)*(1-H651)</f>
        <v>5.89205190031495E-006</v>
      </c>
      <c r="J652" s="30" t="n">
        <f aca="false">INDEX(Discount_Monthly!$G$4:$G$664,MATCH(A652,Discount_Monthly!$A$4:$A$664,0))</f>
        <v>0.18200283618843</v>
      </c>
      <c r="K652" s="30" t="n">
        <f aca="false">IF(C652&lt;Assumptions!$B$5,I652*J652,0)</f>
        <v>0</v>
      </c>
      <c r="L652" s="30" t="n">
        <f aca="false">IF(C652&lt;Assumptions!$B$5,I652*(1-F652)*H652*A652*J652,0)</f>
        <v>0</v>
      </c>
      <c r="M652" s="30" t="n">
        <f aca="false">IF(A652=0,Assumptions!$B$14*12*I652*J652,IF(AND(A652&gt;=12,C652&lt;Assumptions!$B$5),Assumptions!$B$15*I652*J652,0))</f>
        <v>0</v>
      </c>
      <c r="N652" s="47" t="n">
        <f aca="false">IF(C652&gt;=Assumptions!$B$5,I652*Assumptions!$B$9/12*(1+Assumptions!$B$10)^INT(A652/12)*J652,0)</f>
        <v>0.00408406419053779</v>
      </c>
      <c r="O652" s="47" t="n">
        <f aca="false">I652*Assumptions!$B$12/12*(1+Assumptions!$B$11)^(INT(A652/12)+1)*J652</f>
        <v>2.7123279014048E-005</v>
      </c>
      <c r="P652" s="47" t="n">
        <f aca="false">O652+Pricing_M!$B$13*M652+N652-Pricing_M!$B$13*K652</f>
        <v>0.00411118746955184</v>
      </c>
      <c r="Q652" s="47" t="n">
        <f aca="false">IF(C652&lt;Assumptions!$B$5,Pricing_M!$B$13*K652-Pricing_M!$B$13*M652-O652,-(N652+O652))</f>
        <v>-0.00411118746955184</v>
      </c>
      <c r="R652" s="32" t="n">
        <f aca="false">R651*(1-(1-(1-MIN(1,E651*(1-Assumptions!$B$21)))^(1/12)))*(1-H651)</f>
        <v>0.000108737274109036</v>
      </c>
      <c r="S652" s="47" t="n">
        <f aca="false">R652*(IF(C652&lt;Assumptions!$B$5,Assumptions!$B$12*(1+Assumptions!$B$11)^(INT(A652/12)+1)/12+Pricing_M!$B$13*IF(A652=0,Assumptions!$B$14*12,IF(A652&gt;=12,Assumptions!$B$15,0))-Pricing_M!$B$13,Assumptions!$B$9/12*(1+Assumptions!$B$10)^INT(A652/12)+Assumptions!$B$12*(1+Assumptions!$B$11)^(INT(A652/12)+1)/12))*J652</f>
        <v>0.0758715853752745</v>
      </c>
      <c r="T652" s="32" t="n">
        <f aca="false">T651*(1-F651)*(1-(1-(1-MIN(1,G651*(1+Assumptions!$B$23)))^(1/12)))</f>
        <v>5.3374852143457E-006</v>
      </c>
      <c r="U652" s="47" t="n">
        <f aca="false">T652*(IF(C652&lt;Assumptions!$B$5,Assumptions!$B$12*(1+Assumptions!$B$11)^(INT(A652/12)+1)/12+Pricing_M!$B$13*IF(A652=0,Assumptions!$B$14*12,IF(A652&gt;=12,Assumptions!$B$15,0))-Pricing_M!$B$13,Assumptions!$B$9/12*(1+Assumptions!$B$10)^INT(A652/12)+Assumptions!$B$12*(1+Assumptions!$B$11)^(INT(A652/12)+1)/12))*J652</f>
        <v>0.00372423778734252</v>
      </c>
      <c r="V652" s="32" t="n">
        <f aca="false">V651*(1-F651)*(1-(1-(1-MIN(1,G651*(1-Assumptions!$B$23)))^(1/12)))</f>
        <v>6.49827054257002E-006</v>
      </c>
      <c r="W652" s="47" t="n">
        <f aca="false">V652*(IF(C652&lt;Assumptions!$B$5,Assumptions!$B$12*(1+Assumptions!$B$11)^(INT(A652/12)+1)/12+Pricing_M!$B$13*IF(A652=0,Assumptions!$B$14*12,IF(A652&gt;=12,Assumptions!$B$15,0))-Pricing_M!$B$13,Assumptions!$B$9/12*(1+Assumptions!$B$10)^INT(A652/12)+Assumptions!$B$12*(1+Assumptions!$B$11)^(INT(A652/12)+1)/12))*J652</f>
        <v>0.00453417737663574</v>
      </c>
      <c r="X652" s="47" t="n">
        <f aca="false">I652*(IF(C652&lt;Assumptions!$B$5,Assumptions!$B$12*(1+Assumptions!$B$11)*(1+Assumptions!$B$24)*(1+Assumptions!$B$11+Assumptions!$B$25)^(INT(A652/12))/12+Pricing_M!$B$13*IF(A652=0,Assumptions!$B$14*12,IF(A652&gt;=12,Assumptions!$B$15,0))-Pricing_M!$B$13,Assumptions!$B$9/12*(1+Assumptions!$B$10)^INT(A652/12)+Assumptions!$B$12*(1+Assumptions!$B$11)*(1+Assumptions!$B$24)*(1+Assumptions!$B$11+Assumptions!$B$25)^(INT(A652/12))/12))*J652</f>
        <v>0.00413397660166891</v>
      </c>
    </row>
    <row r="653" customFormat="false" ht="15" hidden="false" customHeight="true" outlineLevel="0" collapsed="false">
      <c r="A653" s="1" t="n">
        <v>646</v>
      </c>
      <c r="B653" s="31" t="n">
        <f aca="false">Assumptions!$B$4+A653/12</f>
        <v>118.833333333333</v>
      </c>
      <c r="C653" s="34" t="n">
        <f aca="false">Assumptions!$B$4+INT(A653/12)</f>
        <v>118</v>
      </c>
      <c r="D653" s="34" t="n">
        <f aca="false">INT(A653/12)+1</f>
        <v>54</v>
      </c>
      <c r="E653" s="32" t="n">
        <f aca="false">IFERROR(INDEX(Cohort_Survival!$G$5:$G$65,MATCH(C653,Cohort_Survival!$A$5:$A$65,0)),1)</f>
        <v>0.576917996204382</v>
      </c>
      <c r="F653" s="30" t="n">
        <f aca="false">1-(1-MIN(1,E653))^(1/12)</f>
        <v>0.0691735560366207</v>
      </c>
      <c r="G653" s="39" t="n">
        <f aca="false">IF(C653&lt;Assumptions!$B$5,IF(D653=1,Assumptions!$B$16,IF(D653=2,Assumptions!$B$17,IF(D653&lt;=5,Assumptions!$B$18,Assumptions!$B$19)))*(1-Assumptions!$B$20),0)</f>
        <v>0</v>
      </c>
      <c r="H653" s="30" t="n">
        <f aca="false">1-(1-G653)^(1/12)</f>
        <v>0</v>
      </c>
      <c r="I653" s="30" t="n">
        <f aca="false">I652*(1-F652)*(1-H652)</f>
        <v>5.48447771801784E-006</v>
      </c>
      <c r="J653" s="30" t="n">
        <f aca="false">INDEX(Discount_Monthly!$G$4:$G$664,MATCH(A653,Discount_Monthly!$A$4:$A$664,0))</f>
        <v>0.181507113925206</v>
      </c>
      <c r="K653" s="30" t="n">
        <f aca="false">IF(C653&lt;Assumptions!$B$5,I653*J653,0)</f>
        <v>0</v>
      </c>
      <c r="L653" s="30" t="n">
        <f aca="false">IF(C653&lt;Assumptions!$B$5,I653*(1-F653)*H653*A653*J653,0)</f>
        <v>0</v>
      </c>
      <c r="M653" s="30" t="n">
        <f aca="false">IF(A653=0,Assumptions!$B$14*12*I653*J653,IF(AND(A653&gt;=12,C653&lt;Assumptions!$B$5),Assumptions!$B$15*I653*J653,0))</f>
        <v>0</v>
      </c>
      <c r="N653" s="47" t="n">
        <f aca="false">IF(C653&gt;=Assumptions!$B$5,I653*Assumptions!$B$9/12*(1+Assumptions!$B$10)^INT(A653/12)*J653,0)</f>
        <v>0.00379120062841024</v>
      </c>
      <c r="O653" s="47" t="n">
        <f aca="false">I653*Assumptions!$B$12/12*(1+Assumptions!$B$11)^(INT(A653/12)+1)*J653</f>
        <v>2.51782997634678E-005</v>
      </c>
      <c r="P653" s="47" t="n">
        <f aca="false">O653+Pricing_M!$B$13*M653+N653-Pricing_M!$B$13*K653</f>
        <v>0.00381637892817371</v>
      </c>
      <c r="Q653" s="47" t="n">
        <f aca="false">IF(C653&lt;Assumptions!$B$5,Pricing_M!$B$13*K653-Pricing_M!$B$13*M653-O653,-(N653+O653))</f>
        <v>-0.00381637892817371</v>
      </c>
      <c r="R653" s="32" t="n">
        <f aca="false">R652*(1-(1-(1-MIN(1,E652*(1-Assumptions!$B$21)))^(1/12)))*(1-H652)</f>
        <v>0.000103270181144991</v>
      </c>
      <c r="S653" s="47" t="n">
        <f aca="false">R653*(IF(C653&lt;Assumptions!$B$5,Assumptions!$B$12*(1+Assumptions!$B$11)^(INT(A653/12)+1)/12+Pricing_M!$B$13*IF(A653=0,Assumptions!$B$14*12,IF(A653&gt;=12,Assumptions!$B$15,0))-Pricing_M!$B$13,Assumptions!$B$9/12*(1+Assumptions!$B$10)^INT(A653/12)+Assumptions!$B$12*(1+Assumptions!$B$11)^(INT(A653/12)+1)/12))*J653</f>
        <v>0.0718606517327351</v>
      </c>
      <c r="T653" s="32" t="n">
        <f aca="false">T652*(1-F652)*(1-(1-(1-MIN(1,G652*(1+Assumptions!$B$23)))^(1/12)))</f>
        <v>4.96827238177652E-006</v>
      </c>
      <c r="U653" s="47" t="n">
        <f aca="false">T653*(IF(C653&lt;Assumptions!$B$5,Assumptions!$B$12*(1+Assumptions!$B$11)^(INT(A653/12)+1)/12+Pricing_M!$B$13*IF(A653=0,Assumptions!$B$14*12,IF(A653&gt;=12,Assumptions!$B$15,0))-Pricing_M!$B$13,Assumptions!$B$9/12*(1+Assumptions!$B$10)^INT(A653/12)+Assumptions!$B$12*(1+Assumptions!$B$11)^(INT(A653/12)+1)/12))*J653</f>
        <v>0.0034571769641708</v>
      </c>
      <c r="V653" s="32" t="n">
        <f aca="false">V652*(1-F652)*(1-(1-(1-MIN(1,G652*(1-Assumptions!$B$23)))^(1/12)))</f>
        <v>6.04876206105243E-006</v>
      </c>
      <c r="W653" s="47" t="n">
        <f aca="false">V653*(IF(C653&lt;Assumptions!$B$5,Assumptions!$B$12*(1+Assumptions!$B$11)^(INT(A653/12)+1)/12+Pricing_M!$B$13*IF(A653=0,Assumptions!$B$14*12,IF(A653&gt;=12,Assumptions!$B$15,0))-Pricing_M!$B$13,Assumptions!$B$9/12*(1+Assumptions!$B$10)^INT(A653/12)+Assumptions!$B$12*(1+Assumptions!$B$11)^(INT(A653/12)+1)/12))*J653</f>
        <v>0.00420903671383317</v>
      </c>
      <c r="X653" s="47" t="n">
        <f aca="false">I653*(IF(C653&lt;Assumptions!$B$5,Assumptions!$B$12*(1+Assumptions!$B$11)*(1+Assumptions!$B$24)*(1+Assumptions!$B$11+Assumptions!$B$25)^(INT(A653/12))/12+Pricing_M!$B$13*IF(A653=0,Assumptions!$B$14*12,IF(A653&gt;=12,Assumptions!$B$15,0))-Pricing_M!$B$13,Assumptions!$B$9/12*(1+Assumptions!$B$10)^INT(A653/12)+Assumptions!$B$12*(1+Assumptions!$B$11)*(1+Assumptions!$B$24)*(1+Assumptions!$B$11+Assumptions!$B$25)^(INT(A653/12))/12))*J653</f>
        <v>0.00383753387774657</v>
      </c>
    </row>
    <row r="654" customFormat="false" ht="15" hidden="false" customHeight="true" outlineLevel="0" collapsed="false">
      <c r="A654" s="1" t="n">
        <v>647</v>
      </c>
      <c r="B654" s="31" t="n">
        <f aca="false">Assumptions!$B$4+A654/12</f>
        <v>118.916666666667</v>
      </c>
      <c r="C654" s="34" t="n">
        <f aca="false">Assumptions!$B$4+INT(A654/12)</f>
        <v>118</v>
      </c>
      <c r="D654" s="34" t="n">
        <f aca="false">INT(A654/12)+1</f>
        <v>54</v>
      </c>
      <c r="E654" s="32" t="n">
        <f aca="false">IFERROR(INDEX(Cohort_Survival!$G$5:$G$65,MATCH(C654,Cohort_Survival!$A$5:$A$65,0)),1)</f>
        <v>0.576917996204382</v>
      </c>
      <c r="F654" s="30" t="n">
        <f aca="false">1-(1-MIN(1,E654))^(1/12)</f>
        <v>0.0691735560366207</v>
      </c>
      <c r="G654" s="39" t="n">
        <f aca="false">IF(C654&lt;Assumptions!$B$5,IF(D654=1,Assumptions!$B$16,IF(D654=2,Assumptions!$B$17,IF(D654&lt;=5,Assumptions!$B$18,Assumptions!$B$19)))*(1-Assumptions!$B$20),0)</f>
        <v>0</v>
      </c>
      <c r="H654" s="30" t="n">
        <f aca="false">1-(1-G654)^(1/12)</f>
        <v>0</v>
      </c>
      <c r="I654" s="30" t="n">
        <f aca="false">I653*(1-F653)*(1-H653)</f>
        <v>5.10509689125893E-006</v>
      </c>
      <c r="J654" s="30" t="n">
        <f aca="false">INDEX(Discount_Monthly!$G$4:$G$664,MATCH(A654,Discount_Monthly!$A$4:$A$664,0))</f>
        <v>0.181012741863811</v>
      </c>
      <c r="K654" s="30" t="n">
        <f aca="false">IF(C654&lt;Assumptions!$B$5,I654*J654,0)</f>
        <v>0</v>
      </c>
      <c r="L654" s="30" t="n">
        <f aca="false">IF(C654&lt;Assumptions!$B$5,I654*(1-F654)*H654*A654*J654,0)</f>
        <v>0</v>
      </c>
      <c r="M654" s="30" t="n">
        <f aca="false">IF(A654=0,Assumptions!$B$14*12*I654*J654,IF(AND(A654&gt;=12,C654&lt;Assumptions!$B$5),Assumptions!$B$15*I654*J654,0))</f>
        <v>0</v>
      </c>
      <c r="N654" s="47" t="n">
        <f aca="false">IF(C654&gt;=Assumptions!$B$5,I654*Assumptions!$B$9/12*(1+Assumptions!$B$10)^INT(A654/12)*J654,0)</f>
        <v>0.00351933797665544</v>
      </c>
      <c r="O654" s="47" t="n">
        <f aca="false">I654*Assumptions!$B$12/12*(1+Assumptions!$B$11)^(INT(A654/12)+1)*J654</f>
        <v>2.33727927456965E-005</v>
      </c>
      <c r="P654" s="47" t="n">
        <f aca="false">O654+Pricing_M!$B$13*M654+N654-Pricing_M!$B$13*K654</f>
        <v>0.00354271076940113</v>
      </c>
      <c r="Q654" s="47" t="n">
        <f aca="false">IF(C654&lt;Assumptions!$B$5,Pricing_M!$B$13*K654-Pricing_M!$B$13*M654-O654,-(N654+O654))</f>
        <v>-0.00354271076940113</v>
      </c>
      <c r="R654" s="32" t="n">
        <f aca="false">R653*(1-(1-(1-MIN(1,E653*(1-Assumptions!$B$21)))^(1/12)))*(1-H653)</f>
        <v>9.80779626958937E-005</v>
      </c>
      <c r="S654" s="47" t="n">
        <f aca="false">R654*(IF(C654&lt;Assumptions!$B$5,Assumptions!$B$12*(1+Assumptions!$B$11)^(INT(A654/12)+1)/12+Pricing_M!$B$13*IF(A654=0,Assumptions!$B$14*12,IF(A654&gt;=12,Assumptions!$B$15,0))-Pricing_M!$B$13,Assumptions!$B$9/12*(1+Assumptions!$B$10)^INT(A654/12)+Assumptions!$B$12*(1+Assumptions!$B$11)^(INT(A654/12)+1)/12))*J654</f>
        <v>0.0680617551605334</v>
      </c>
      <c r="T654" s="32" t="n">
        <f aca="false">T653*(1-F653)*(1-(1-(1-MIN(1,G653*(1+Assumptions!$B$23)))^(1/12)))</f>
        <v>4.62459931377051E-006</v>
      </c>
      <c r="U654" s="47" t="n">
        <f aca="false">T654*(IF(C654&lt;Assumptions!$B$5,Assumptions!$B$12*(1+Assumptions!$B$11)^(INT(A654/12)+1)/12+Pricing_M!$B$13*IF(A654=0,Assumptions!$B$14*12,IF(A654&gt;=12,Assumptions!$B$15,0))-Pricing_M!$B$13,Assumptions!$B$9/12*(1+Assumptions!$B$10)^INT(A654/12)+Assumptions!$B$12*(1+Assumptions!$B$11)^(INT(A654/12)+1)/12))*J654</f>
        <v>0.00320926676653528</v>
      </c>
      <c r="V654" s="32" t="n">
        <f aca="false">V653*(1-F653)*(1-(1-(1-MIN(1,G653*(1-Assumptions!$B$23)))^(1/12)))</f>
        <v>5.63034767967003E-006</v>
      </c>
      <c r="W654" s="47" t="n">
        <f aca="false">V654*(IF(C654&lt;Assumptions!$B$5,Assumptions!$B$12*(1+Assumptions!$B$11)^(INT(A654/12)+1)/12+Pricing_M!$B$13*IF(A654=0,Assumptions!$B$14*12,IF(A654&gt;=12,Assumptions!$B$15,0))-Pricing_M!$B$13,Assumptions!$B$9/12*(1+Assumptions!$B$10)^INT(A654/12)+Assumptions!$B$12*(1+Assumptions!$B$11)^(INT(A654/12)+1)/12))*J654</f>
        <v>0.00390721151529816</v>
      </c>
      <c r="X654" s="47" t="n">
        <f aca="false">I654*(IF(C654&lt;Assumptions!$B$5,Assumptions!$B$12*(1+Assumptions!$B$11)*(1+Assumptions!$B$24)*(1+Assumptions!$B$11+Assumptions!$B$25)^(INT(A654/12))/12+Pricing_M!$B$13*IF(A654=0,Assumptions!$B$14*12,IF(A654&gt;=12,Assumptions!$B$15,0))-Pricing_M!$B$13,Assumptions!$B$9/12*(1+Assumptions!$B$10)^INT(A654/12)+Assumptions!$B$12*(1+Assumptions!$B$11)*(1+Assumptions!$B$24)*(1+Assumptions!$B$11+Assumptions!$B$25)^(INT(A654/12))/12))*J654</f>
        <v>0.00356234872178701</v>
      </c>
    </row>
    <row r="655" customFormat="false" ht="15" hidden="false" customHeight="true" outlineLevel="0" collapsed="false">
      <c r="A655" s="1" t="n">
        <v>648</v>
      </c>
      <c r="B655" s="31" t="n">
        <f aca="false">Assumptions!$B$4+A655/12</f>
        <v>119</v>
      </c>
      <c r="C655" s="34" t="n">
        <f aca="false">Assumptions!$B$4+INT(A655/12)</f>
        <v>119</v>
      </c>
      <c r="D655" s="34" t="n">
        <f aca="false">INT(A655/12)+1</f>
        <v>55</v>
      </c>
      <c r="E655" s="32" t="n">
        <f aca="false">IFERROR(INDEX(Cohort_Survival!$G$5:$G$65,MATCH(C655,Cohort_Survival!$A$5:$A$65,0)),1)</f>
        <v>0.592639591024509</v>
      </c>
      <c r="F655" s="30" t="n">
        <f aca="false">1-(1-MIN(1,E655))^(1/12)</f>
        <v>0.0721062812564244</v>
      </c>
      <c r="G655" s="39" t="n">
        <f aca="false">IF(C655&lt;Assumptions!$B$5,IF(D655=1,Assumptions!$B$16,IF(D655=2,Assumptions!$B$17,IF(D655&lt;=5,Assumptions!$B$18,Assumptions!$B$19)))*(1-Assumptions!$B$20),0)</f>
        <v>0</v>
      </c>
      <c r="H655" s="30" t="n">
        <f aca="false">1-(1-G655)^(1/12)</f>
        <v>0</v>
      </c>
      <c r="I655" s="30" t="n">
        <f aca="false">I654*(1-F654)*(1-H654)</f>
        <v>4.75195918537905E-006</v>
      </c>
      <c r="J655" s="30" t="n">
        <f aca="false">INDEX(Discount_Monthly!$G$4:$G$664,MATCH(A655,Discount_Monthly!$A$4:$A$664,0))</f>
        <v>0.180519716326691</v>
      </c>
      <c r="K655" s="30" t="n">
        <f aca="false">IF(C655&lt;Assumptions!$B$5,I655*J655,0)</f>
        <v>0</v>
      </c>
      <c r="L655" s="30" t="n">
        <f aca="false">IF(C655&lt;Assumptions!$B$5,I655*(1-F655)*H655*A655*J655,0)</f>
        <v>0</v>
      </c>
      <c r="M655" s="30" t="n">
        <f aca="false">IF(A655=0,Assumptions!$B$14*12*I655*J655,IF(AND(A655&gt;=12,C655&lt;Assumptions!$B$5),Assumptions!$B$15*I655*J655,0))</f>
        <v>0</v>
      </c>
      <c r="N655" s="47" t="n">
        <f aca="false">IF(C655&gt;=Assumptions!$B$5,I655*Assumptions!$B$9/12*(1+Assumptions!$B$10)^INT(A655/12)*J655,0)</f>
        <v>0.0033323096897421</v>
      </c>
      <c r="O655" s="47" t="n">
        <f aca="false">I655*Assumptions!$B$12/12*(1+Assumptions!$B$11)^(INT(A655/12)+1)*J655</f>
        <v>2.22391754809458E-005</v>
      </c>
      <c r="P655" s="47" t="n">
        <f aca="false">O655+Pricing_M!$B$13*M655+N655-Pricing_M!$B$13*K655</f>
        <v>0.00335454886522305</v>
      </c>
      <c r="Q655" s="47" t="n">
        <f aca="false">IF(C655&lt;Assumptions!$B$5,Pricing_M!$B$13*K655-Pricing_M!$B$13*M655-O655,-(N655+O655))</f>
        <v>-0.00335454886522305</v>
      </c>
      <c r="R655" s="32" t="n">
        <f aca="false">R654*(1-(1-(1-MIN(1,E654*(1-Assumptions!$B$21)))^(1/12)))*(1-H654)</f>
        <v>9.31467986201329E-005</v>
      </c>
      <c r="S655" s="47" t="n">
        <f aca="false">R655*(IF(C655&lt;Assumptions!$B$5,Assumptions!$B$12*(1+Assumptions!$B$11)^(INT(A655/12)+1)/12+Pricing_M!$B$13*IF(A655=0,Assumptions!$B$14*12,IF(A655&gt;=12,Assumptions!$B$15,0))-Pricing_M!$B$13,Assumptions!$B$9/12*(1+Assumptions!$B$10)^INT(A655/12)+Assumptions!$B$12*(1+Assumptions!$B$11)^(INT(A655/12)+1)/12))*J655</f>
        <v>0.0657550865697096</v>
      </c>
      <c r="T655" s="32" t="n">
        <f aca="false">T654*(1-F654)*(1-(1-(1-MIN(1,G654*(1+Assumptions!$B$23)))^(1/12)))</f>
        <v>4.30469933399249E-006</v>
      </c>
      <c r="U655" s="47" t="n">
        <f aca="false">T655*(IF(C655&lt;Assumptions!$B$5,Assumptions!$B$12*(1+Assumptions!$B$11)^(INT(A655/12)+1)/12+Pricing_M!$B$13*IF(A655=0,Assumptions!$B$14*12,IF(A655&gt;=12,Assumptions!$B$15,0))-Pricing_M!$B$13,Assumptions!$B$9/12*(1+Assumptions!$B$10)^INT(A655/12)+Assumptions!$B$12*(1+Assumptions!$B$11)^(INT(A655/12)+1)/12))*J655</f>
        <v>0.00303881487669365</v>
      </c>
      <c r="V655" s="32" t="n">
        <f aca="false">V654*(1-F654)*(1-(1-(1-MIN(1,G654*(1-Assumptions!$B$23)))^(1/12)))</f>
        <v>5.24087650894472E-006</v>
      </c>
      <c r="W655" s="47" t="n">
        <f aca="false">V655*(IF(C655&lt;Assumptions!$B$5,Assumptions!$B$12*(1+Assumptions!$B$11)^(INT(A655/12)+1)/12+Pricing_M!$B$13*IF(A655=0,Assumptions!$B$14*12,IF(A655&gt;=12,Assumptions!$B$15,0))-Pricing_M!$B$13,Assumptions!$B$9/12*(1+Assumptions!$B$10)^INT(A655/12)+Assumptions!$B$12*(1+Assumptions!$B$11)^(INT(A655/12)+1)/12))*J655</f>
        <v>0.0036996900983383</v>
      </c>
      <c r="X655" s="47" t="n">
        <f aca="false">I655*(IF(C655&lt;Assumptions!$B$5,Assumptions!$B$12*(1+Assumptions!$B$11)*(1+Assumptions!$B$24)*(1+Assumptions!$B$11+Assumptions!$B$25)^(INT(A655/12))/12+Pricing_M!$B$13*IF(A655=0,Assumptions!$B$14*12,IF(A655&gt;=12,Assumptions!$B$15,0))-Pricing_M!$B$13,Assumptions!$B$9/12*(1+Assumptions!$B$10)^INT(A655/12)+Assumptions!$B$12*(1+Assumptions!$B$11)*(1+Assumptions!$B$24)*(1+Assumptions!$B$11+Assumptions!$B$25)^(INT(A655/12))/12))*J655</f>
        <v>0.00337363361092366</v>
      </c>
    </row>
    <row r="656" customFormat="false" ht="15" hidden="false" customHeight="true" outlineLevel="0" collapsed="false">
      <c r="A656" s="1" t="n">
        <v>649</v>
      </c>
      <c r="B656" s="31" t="n">
        <f aca="false">Assumptions!$B$4+A656/12</f>
        <v>119.083333333333</v>
      </c>
      <c r="C656" s="34" t="n">
        <f aca="false">Assumptions!$B$4+INT(A656/12)</f>
        <v>119</v>
      </c>
      <c r="D656" s="34" t="n">
        <f aca="false">INT(A656/12)+1</f>
        <v>55</v>
      </c>
      <c r="E656" s="32" t="n">
        <f aca="false">IFERROR(INDEX(Cohort_Survival!$G$5:$G$65,MATCH(C656,Cohort_Survival!$A$5:$A$65,0)),1)</f>
        <v>0.592639591024509</v>
      </c>
      <c r="F656" s="30" t="n">
        <f aca="false">1-(1-MIN(1,E656))^(1/12)</f>
        <v>0.0721062812564244</v>
      </c>
      <c r="G656" s="39" t="n">
        <f aca="false">IF(C656&lt;Assumptions!$B$5,IF(D656=1,Assumptions!$B$16,IF(D656=2,Assumptions!$B$17,IF(D656&lt;=5,Assumptions!$B$18,Assumptions!$B$19)))*(1-Assumptions!$B$20),0)</f>
        <v>0</v>
      </c>
      <c r="H656" s="30" t="n">
        <f aca="false">1-(1-G656)^(1/12)</f>
        <v>0</v>
      </c>
      <c r="I656" s="30" t="n">
        <f aca="false">I655*(1-F655)*(1-H655)</f>
        <v>4.40931307983906E-006</v>
      </c>
      <c r="J656" s="30" t="n">
        <f aca="false">INDEX(Discount_Monthly!$G$4:$G$664,MATCH(A656,Discount_Monthly!$A$4:$A$664,0))</f>
        <v>0.180035446423738</v>
      </c>
      <c r="K656" s="30" t="n">
        <f aca="false">IF(C656&lt;Assumptions!$B$5,I656*J656,0)</f>
        <v>0</v>
      </c>
      <c r="L656" s="30" t="n">
        <f aca="false">IF(C656&lt;Assumptions!$B$5,I656*(1-F656)*H656*A656*J656,0)</f>
        <v>0</v>
      </c>
      <c r="M656" s="30" t="n">
        <f aca="false">IF(A656=0,Assumptions!$B$14*12*I656*J656,IF(AND(A656&gt;=12,C656&lt;Assumptions!$B$5),Assumptions!$B$15*I656*J656,0))</f>
        <v>0</v>
      </c>
      <c r="N656" s="47" t="n">
        <f aca="false">IF(C656&gt;=Assumptions!$B$5,I656*Assumptions!$B$9/12*(1+Assumptions!$B$10)^INT(A656/12)*J656,0)</f>
        <v>0.00308373442031382</v>
      </c>
      <c r="O656" s="47" t="n">
        <f aca="false">I656*Assumptions!$B$12/12*(1+Assumptions!$B$11)^(INT(A656/12)+1)*J656</f>
        <v>2.05802333201808E-005</v>
      </c>
      <c r="P656" s="47" t="n">
        <f aca="false">O656+Pricing_M!$B$13*M656+N656-Pricing_M!$B$13*K656</f>
        <v>0.003104314653634</v>
      </c>
      <c r="Q656" s="47" t="n">
        <f aca="false">IF(C656&lt;Assumptions!$B$5,Pricing_M!$B$13*K656-Pricing_M!$B$13*M656-O656,-(N656+O656))</f>
        <v>-0.003104314653634</v>
      </c>
      <c r="R656" s="32" t="n">
        <f aca="false">R655*(1-(1-(1-MIN(1,E655*(1-Assumptions!$B$21)))^(1/12)))*(1-H655)</f>
        <v>8.82895006913774E-005</v>
      </c>
      <c r="S656" s="47" t="n">
        <f aca="false">R656*(IF(C656&lt;Assumptions!$B$5,Assumptions!$B$12*(1+Assumptions!$B$11)^(INT(A656/12)+1)/12+Pricing_M!$B$13*IF(A656=0,Assumptions!$B$14*12,IF(A656&gt;=12,Assumptions!$B$15,0))-Pricing_M!$B$13,Assumptions!$B$9/12*(1+Assumptions!$B$10)^INT(A656/12)+Assumptions!$B$12*(1+Assumptions!$B$11)^(INT(A656/12)+1)/12))*J656</f>
        <v>0.0621589771004139</v>
      </c>
      <c r="T656" s="32" t="n">
        <f aca="false">T655*(1-F655)*(1-(1-(1-MIN(1,G655*(1+Assumptions!$B$23)))^(1/12)))</f>
        <v>3.99430347309128E-006</v>
      </c>
      <c r="U656" s="47" t="n">
        <f aca="false">T656*(IF(C656&lt;Assumptions!$B$5,Assumptions!$B$12*(1+Assumptions!$B$11)^(INT(A656/12)+1)/12+Pricing_M!$B$13*IF(A656=0,Assumptions!$B$14*12,IF(A656&gt;=12,Assumptions!$B$15,0))-Pricing_M!$B$13,Assumptions!$B$9/12*(1+Assumptions!$B$10)^INT(A656/12)+Assumptions!$B$12*(1+Assumptions!$B$11)^(INT(A656/12)+1)/12))*J656</f>
        <v>0.00281213299624236</v>
      </c>
      <c r="V656" s="32" t="n">
        <f aca="false">V655*(1-F655)*(1-(1-(1-MIN(1,G655*(1-Assumptions!$B$23)))^(1/12)))</f>
        <v>4.86297639336057E-006</v>
      </c>
      <c r="W656" s="47" t="n">
        <f aca="false">V656*(IF(C656&lt;Assumptions!$B$5,Assumptions!$B$12*(1+Assumptions!$B$11)^(INT(A656/12)+1)/12+Pricing_M!$B$13*IF(A656=0,Assumptions!$B$14*12,IF(A656&gt;=12,Assumptions!$B$15,0))-Pricing_M!$B$13,Assumptions!$B$9/12*(1+Assumptions!$B$10)^INT(A656/12)+Assumptions!$B$12*(1+Assumptions!$B$11)^(INT(A656/12)+1)/12))*J656</f>
        <v>0.00342370990783363</v>
      </c>
      <c r="X656" s="47" t="n">
        <f aca="false">I656*(IF(C656&lt;Assumptions!$B$5,Assumptions!$B$12*(1+Assumptions!$B$11)*(1+Assumptions!$B$24)*(1+Assumptions!$B$11+Assumptions!$B$25)^(INT(A656/12))/12+Pricing_M!$B$13*IF(A656=0,Assumptions!$B$14*12,IF(A656&gt;=12,Assumptions!$B$15,0))-Pricing_M!$B$13,Assumptions!$B$9/12*(1+Assumptions!$B$10)^INT(A656/12)+Assumptions!$B$12*(1+Assumptions!$B$11)*(1+Assumptions!$B$24)*(1+Assumptions!$B$11+Assumptions!$B$25)^(INT(A656/12))/12))*J656</f>
        <v>0.00312197576340452</v>
      </c>
    </row>
    <row r="657" customFormat="false" ht="15" hidden="false" customHeight="true" outlineLevel="0" collapsed="false">
      <c r="A657" s="1" t="n">
        <v>650</v>
      </c>
      <c r="B657" s="31" t="n">
        <f aca="false">Assumptions!$B$4+A657/12</f>
        <v>119.166666666667</v>
      </c>
      <c r="C657" s="34" t="n">
        <f aca="false">Assumptions!$B$4+INT(A657/12)</f>
        <v>119</v>
      </c>
      <c r="D657" s="34" t="n">
        <f aca="false">INT(A657/12)+1</f>
        <v>55</v>
      </c>
      <c r="E657" s="32" t="n">
        <f aca="false">IFERROR(INDEX(Cohort_Survival!$G$5:$G$65,MATCH(C657,Cohort_Survival!$A$5:$A$65,0)),1)</f>
        <v>0.592639591024509</v>
      </c>
      <c r="F657" s="30" t="n">
        <f aca="false">1-(1-MIN(1,E657))^(1/12)</f>
        <v>0.0721062812564244</v>
      </c>
      <c r="G657" s="39" t="n">
        <f aca="false">IF(C657&lt;Assumptions!$B$5,IF(D657=1,Assumptions!$B$16,IF(D657=2,Assumptions!$B$17,IF(D657&lt;=5,Assumptions!$B$18,Assumptions!$B$19)))*(1-Assumptions!$B$20),0)</f>
        <v>0</v>
      </c>
      <c r="H657" s="30" t="n">
        <f aca="false">1-(1-G657)^(1/12)</f>
        <v>0</v>
      </c>
      <c r="I657" s="30" t="n">
        <f aca="false">I656*(1-F656)*(1-H656)</f>
        <v>4.09137391075656E-006</v>
      </c>
      <c r="J657" s="30" t="n">
        <f aca="false">INDEX(Discount_Monthly!$G$4:$G$664,MATCH(A657,Discount_Monthly!$A$4:$A$664,0))</f>
        <v>0.179552475643914</v>
      </c>
      <c r="K657" s="30" t="n">
        <f aca="false">IF(C657&lt;Assumptions!$B$5,I657*J657,0)</f>
        <v>0</v>
      </c>
      <c r="L657" s="30" t="n">
        <f aca="false">IF(C657&lt;Assumptions!$B$5,I657*(1-F657)*H657*A657*J657,0)</f>
        <v>0</v>
      </c>
      <c r="M657" s="30" t="n">
        <f aca="false">IF(A657=0,Assumptions!$B$14*12*I657*J657,IF(AND(A657&gt;=12,C657&lt;Assumptions!$B$5),Assumptions!$B$15*I657*J657,0))</f>
        <v>0</v>
      </c>
      <c r="N657" s="47" t="n">
        <f aca="false">IF(C657&gt;=Assumptions!$B$5,I657*Assumptions!$B$9/12*(1+Assumptions!$B$10)^INT(A657/12)*J657,0)</f>
        <v>0.0028537017445591</v>
      </c>
      <c r="O657" s="47" t="n">
        <f aca="false">I657*Assumptions!$B$12/12*(1+Assumptions!$B$11)^(INT(A657/12)+1)*J657</f>
        <v>1.9045040760435E-005</v>
      </c>
      <c r="P657" s="47" t="n">
        <f aca="false">O657+Pricing_M!$B$13*M657+N657-Pricing_M!$B$13*K657</f>
        <v>0.00287274678531953</v>
      </c>
      <c r="Q657" s="47" t="n">
        <f aca="false">IF(C657&lt;Assumptions!$B$5,Pricing_M!$B$13*K657-Pricing_M!$B$13*M657-O657,-(N657+O657))</f>
        <v>-0.00287274678531953</v>
      </c>
      <c r="R657" s="32" t="n">
        <f aca="false">R656*(1-(1-(1-MIN(1,E656*(1-Assumptions!$B$21)))^(1/12)))*(1-H656)</f>
        <v>8.36854948082766E-005</v>
      </c>
      <c r="S657" s="47" t="n">
        <f aca="false">R657*(IF(C657&lt;Assumptions!$B$5,Assumptions!$B$12*(1+Assumptions!$B$11)^(INT(A657/12)+1)/12+Pricing_M!$B$13*IF(A657=0,Assumptions!$B$14*12,IF(A657&gt;=12,Assumptions!$B$15,0))-Pricing_M!$B$13,Assumptions!$B$9/12*(1+Assumptions!$B$10)^INT(A657/12)+Assumptions!$B$12*(1+Assumptions!$B$11)^(INT(A657/12)+1)/12))*J657</f>
        <v>0.0587595368774046</v>
      </c>
      <c r="T657" s="32" t="n">
        <f aca="false">T656*(1-F656)*(1-(1-(1-MIN(1,G656*(1+Assumptions!$B$23)))^(1/12)))</f>
        <v>3.70628910343705E-006</v>
      </c>
      <c r="U657" s="47" t="n">
        <f aca="false">T657*(IF(C657&lt;Assumptions!$B$5,Assumptions!$B$12*(1+Assumptions!$B$11)^(INT(A657/12)+1)/12+Pricing_M!$B$13*IF(A657=0,Assumptions!$B$14*12,IF(A657&gt;=12,Assumptions!$B$15,0))-Pricing_M!$B$13,Assumptions!$B$9/12*(1+Assumptions!$B$10)^INT(A657/12)+Assumptions!$B$12*(1+Assumptions!$B$11)^(INT(A657/12)+1)/12))*J657</f>
        <v>0.00260236056141707</v>
      </c>
      <c r="V657" s="32" t="n">
        <f aca="false">V656*(1-F656)*(1-(1-(1-MIN(1,G656*(1-Assumptions!$B$23)))^(1/12)))</f>
        <v>4.51232524979756E-006</v>
      </c>
      <c r="W657" s="47" t="n">
        <f aca="false">V657*(IF(C657&lt;Assumptions!$B$5,Assumptions!$B$12*(1+Assumptions!$B$11)^(INT(A657/12)+1)/12+Pricing_M!$B$13*IF(A657=0,Assumptions!$B$14*12,IF(A657&gt;=12,Assumptions!$B$15,0))-Pricing_M!$B$13,Assumptions!$B$9/12*(1+Assumptions!$B$10)^INT(A657/12)+Assumptions!$B$12*(1+Assumptions!$B$11)^(INT(A657/12)+1)/12))*J657</f>
        <v>0.00316831659447989</v>
      </c>
      <c r="X657" s="47" t="n">
        <f aca="false">I657*(IF(C657&lt;Assumptions!$B$5,Assumptions!$B$12*(1+Assumptions!$B$11)*(1+Assumptions!$B$24)*(1+Assumptions!$B$11+Assumptions!$B$25)^(INT(A657/12))/12+Pricing_M!$B$13*IF(A657=0,Assumptions!$B$14*12,IF(A657&gt;=12,Assumptions!$B$15,0))-Pricing_M!$B$13,Assumptions!$B$9/12*(1+Assumptions!$B$10)^INT(A657/12)+Assumptions!$B$12*(1+Assumptions!$B$11)*(1+Assumptions!$B$24)*(1+Assumptions!$B$11+Assumptions!$B$25)^(INT(A657/12))/12))*J657</f>
        <v>0.00288909045597774</v>
      </c>
    </row>
    <row r="658" customFormat="false" ht="15" hidden="false" customHeight="true" outlineLevel="0" collapsed="false">
      <c r="A658" s="1" t="n">
        <v>651</v>
      </c>
      <c r="B658" s="31" t="n">
        <f aca="false">Assumptions!$B$4+A658/12</f>
        <v>119.25</v>
      </c>
      <c r="C658" s="34" t="n">
        <f aca="false">Assumptions!$B$4+INT(A658/12)</f>
        <v>119</v>
      </c>
      <c r="D658" s="34" t="n">
        <f aca="false">INT(A658/12)+1</f>
        <v>55</v>
      </c>
      <c r="E658" s="32" t="n">
        <f aca="false">IFERROR(INDEX(Cohort_Survival!$G$5:$G$65,MATCH(C658,Cohort_Survival!$A$5:$A$65,0)),1)</f>
        <v>0.592639591024509</v>
      </c>
      <c r="F658" s="30" t="n">
        <f aca="false">1-(1-MIN(1,E658))^(1/12)</f>
        <v>0.0721062812564244</v>
      </c>
      <c r="G658" s="39" t="n">
        <f aca="false">IF(C658&lt;Assumptions!$B$5,IF(D658=1,Assumptions!$B$16,IF(D658=2,Assumptions!$B$17,IF(D658&lt;=5,Assumptions!$B$18,Assumptions!$B$19)))*(1-Assumptions!$B$20),0)</f>
        <v>0</v>
      </c>
      <c r="H658" s="30" t="n">
        <f aca="false">1-(1-G658)^(1/12)</f>
        <v>0</v>
      </c>
      <c r="I658" s="30" t="n">
        <f aca="false">I657*(1-F657)*(1-H657)</f>
        <v>3.79636015282235E-006</v>
      </c>
      <c r="J658" s="30" t="n">
        <f aca="false">INDEX(Discount_Monthly!$G$4:$G$664,MATCH(A658,Discount_Monthly!$A$4:$A$664,0))</f>
        <v>0.179070800502137</v>
      </c>
      <c r="K658" s="30" t="n">
        <f aca="false">IF(C658&lt;Assumptions!$B$5,I658*J658,0)</f>
        <v>0</v>
      </c>
      <c r="L658" s="30" t="n">
        <f aca="false">IF(C658&lt;Assumptions!$B$5,I658*(1-F658)*H658*A658*J658,0)</f>
        <v>0</v>
      </c>
      <c r="M658" s="30" t="n">
        <f aca="false">IF(A658=0,Assumptions!$B$14*12*I658*J658,IF(AND(A658&gt;=12,C658&lt;Assumptions!$B$5),Assumptions!$B$15*I658*J658,0))</f>
        <v>0</v>
      </c>
      <c r="N658" s="47" t="n">
        <f aca="false">IF(C658&gt;=Assumptions!$B$5,I658*Assumptions!$B$9/12*(1+Assumptions!$B$10)^INT(A658/12)*J658,0)</f>
        <v>0.00264082846864319</v>
      </c>
      <c r="O658" s="47" t="n">
        <f aca="false">I658*Assumptions!$B$12/12*(1+Assumptions!$B$11)^(INT(A658/12)+1)*J658</f>
        <v>1.76243666397581E-005</v>
      </c>
      <c r="P658" s="47" t="n">
        <f aca="false">O658+Pricing_M!$B$13*M658+N658-Pricing_M!$B$13*K658</f>
        <v>0.00265845283528295</v>
      </c>
      <c r="Q658" s="47" t="n">
        <f aca="false">IF(C658&lt;Assumptions!$B$5,Pricing_M!$B$13*K658-Pricing_M!$B$13*M658-O658,-(N658+O658))</f>
        <v>-0.00265845283528295</v>
      </c>
      <c r="R658" s="32" t="n">
        <f aca="false">R657*(1-(1-(1-MIN(1,E657*(1-Assumptions!$B$21)))^(1/12)))*(1-H657)</f>
        <v>7.93215726271522E-005</v>
      </c>
      <c r="S658" s="47" t="n">
        <f aca="false">R658*(IF(C658&lt;Assumptions!$B$5,Assumptions!$B$12*(1+Assumptions!$B$11)^(INT(A658/12)+1)/12+Pricing_M!$B$13*IF(A658=0,Assumptions!$B$14*12,IF(A658&gt;=12,Assumptions!$B$15,0))-Pricing_M!$B$13,Assumptions!$B$9/12*(1+Assumptions!$B$10)^INT(A658/12)+Assumptions!$B$12*(1+Assumptions!$B$11)^(INT(A658/12)+1)/12))*J658</f>
        <v>0.0555460101679196</v>
      </c>
      <c r="T658" s="32" t="n">
        <f aca="false">T657*(1-F657)*(1-(1-(1-MIN(1,G657*(1+Assumptions!$B$23)))^(1/12)))</f>
        <v>3.43904237892699E-006</v>
      </c>
      <c r="U658" s="47" t="n">
        <f aca="false">T658*(IF(C658&lt;Assumptions!$B$5,Assumptions!$B$12*(1+Assumptions!$B$11)^(INT(A658/12)+1)/12+Pricing_M!$B$13*IF(A658=0,Assumptions!$B$14*12,IF(A658&gt;=12,Assumptions!$B$15,0))-Pricing_M!$B$13,Assumptions!$B$9/12*(1+Assumptions!$B$10)^INT(A658/12)+Assumptions!$B$12*(1+Assumptions!$B$11)^(INT(A658/12)+1)/12))*J658</f>
        <v>0.00240823620385958</v>
      </c>
      <c r="V658" s="32" t="n">
        <f aca="false">V657*(1-F657)*(1-(1-(1-MIN(1,G657*(1-Assumptions!$B$23)))^(1/12)))</f>
        <v>4.18695825621519E-006</v>
      </c>
      <c r="W658" s="47" t="n">
        <f aca="false">V658*(IF(C658&lt;Assumptions!$B$5,Assumptions!$B$12*(1+Assumptions!$B$11)^(INT(A658/12)+1)/12+Pricing_M!$B$13*IF(A658=0,Assumptions!$B$14*12,IF(A658&gt;=12,Assumptions!$B$15,0))-Pricing_M!$B$13,Assumptions!$B$9/12*(1+Assumptions!$B$10)^INT(A658/12)+Assumptions!$B$12*(1+Assumptions!$B$11)^(INT(A658/12)+1)/12))*J658</f>
        <v>0.00293197447011753</v>
      </c>
      <c r="X658" s="47" t="n">
        <f aca="false">I658*(IF(C658&lt;Assumptions!$B$5,Assumptions!$B$12*(1+Assumptions!$B$11)*(1+Assumptions!$B$24)*(1+Assumptions!$B$11+Assumptions!$B$25)^(INT(A658/12))/12+Pricing_M!$B$13*IF(A658=0,Assumptions!$B$14*12,IF(A658&gt;=12,Assumptions!$B$15,0))-Pricing_M!$B$13,Assumptions!$B$9/12*(1+Assumptions!$B$10)^INT(A658/12)+Assumptions!$B$12*(1+Assumptions!$B$11)*(1+Assumptions!$B$24)*(1+Assumptions!$B$11+Assumptions!$B$25)^(INT(A658/12))/12))*J658</f>
        <v>0.00267357734184311</v>
      </c>
    </row>
    <row r="659" customFormat="false" ht="15" hidden="false" customHeight="true" outlineLevel="0" collapsed="false">
      <c r="A659" s="1" t="n">
        <v>652</v>
      </c>
      <c r="B659" s="31" t="n">
        <f aca="false">Assumptions!$B$4+A659/12</f>
        <v>119.333333333333</v>
      </c>
      <c r="C659" s="34" t="n">
        <f aca="false">Assumptions!$B$4+INT(A659/12)</f>
        <v>119</v>
      </c>
      <c r="D659" s="34" t="n">
        <f aca="false">INT(A659/12)+1</f>
        <v>55</v>
      </c>
      <c r="E659" s="32" t="n">
        <f aca="false">IFERROR(INDEX(Cohort_Survival!$G$5:$G$65,MATCH(C659,Cohort_Survival!$A$5:$A$65,0)),1)</f>
        <v>0.592639591024509</v>
      </c>
      <c r="F659" s="30" t="n">
        <f aca="false">1-(1-MIN(1,E659))^(1/12)</f>
        <v>0.0721062812564244</v>
      </c>
      <c r="G659" s="39" t="n">
        <f aca="false">IF(C659&lt;Assumptions!$B$5,IF(D659=1,Assumptions!$B$16,IF(D659=2,Assumptions!$B$17,IF(D659&lt;=5,Assumptions!$B$18,Assumptions!$B$19)))*(1-Assumptions!$B$20),0)</f>
        <v>0</v>
      </c>
      <c r="H659" s="30" t="n">
        <f aca="false">1-(1-G659)^(1/12)</f>
        <v>0</v>
      </c>
      <c r="I659" s="30" t="n">
        <f aca="false">I658*(1-F658)*(1-H658)</f>
        <v>3.52261873989226E-006</v>
      </c>
      <c r="J659" s="30" t="n">
        <f aca="false">INDEX(Discount_Monthly!$G$4:$G$664,MATCH(A659,Discount_Monthly!$A$4:$A$664,0))</f>
        <v>0.178590417522673</v>
      </c>
      <c r="K659" s="30" t="n">
        <f aca="false">IF(C659&lt;Assumptions!$B$5,I659*J659,0)</f>
        <v>0</v>
      </c>
      <c r="L659" s="30" t="n">
        <f aca="false">IF(C659&lt;Assumptions!$B$5,I659*(1-F659)*H659*A659*J659,0)</f>
        <v>0</v>
      </c>
      <c r="M659" s="30" t="n">
        <f aca="false">IF(A659=0,Assumptions!$B$14*12*I659*J659,IF(AND(A659&gt;=12,C659&lt;Assumptions!$B$5),Assumptions!$B$15*I659*J659,0))</f>
        <v>0</v>
      </c>
      <c r="N659" s="47" t="n">
        <f aca="false">IF(C659&gt;=Assumptions!$B$5,I659*Assumptions!$B$9/12*(1+Assumptions!$B$10)^INT(A659/12)*J659,0)</f>
        <v>0.00244383457875126</v>
      </c>
      <c r="O659" s="47" t="n">
        <f aca="false">I659*Assumptions!$B$12/12*(1+Assumptions!$B$11)^(INT(A659/12)+1)*J659</f>
        <v>1.63096683992354E-005</v>
      </c>
      <c r="P659" s="47" t="n">
        <f aca="false">O659+Pricing_M!$B$13*M659+N659-Pricing_M!$B$13*K659</f>
        <v>0.0024601442471505</v>
      </c>
      <c r="Q659" s="47" t="n">
        <f aca="false">IF(C659&lt;Assumptions!$B$5,Pricing_M!$B$13*K659-Pricing_M!$B$13*M659-O659,-(N659+O659))</f>
        <v>-0.0024601442471505</v>
      </c>
      <c r="R659" s="32" t="n">
        <f aca="false">R658*(1-(1-(1-MIN(1,E658*(1-Assumptions!$B$21)))^(1/12)))*(1-H658)</f>
        <v>7.51852145758276E-005</v>
      </c>
      <c r="S659" s="47" t="n">
        <f aca="false">R659*(IF(C659&lt;Assumptions!$B$5,Assumptions!$B$12*(1+Assumptions!$B$11)^(INT(A659/12)+1)/12+Pricing_M!$B$13*IF(A659=0,Assumptions!$B$14*12,IF(A659&gt;=12,Assumptions!$B$15,0))-Pricing_M!$B$13,Assumptions!$B$9/12*(1+Assumptions!$B$10)^INT(A659/12)+Assumptions!$B$12*(1+Assumptions!$B$11)^(INT(A659/12)+1)/12))*J659</f>
        <v>0.0525082294642978</v>
      </c>
      <c r="T659" s="32" t="n">
        <f aca="false">T658*(1-F658)*(1-(1-(1-MIN(1,G658*(1+Assumptions!$B$23)))^(1/12)))</f>
        <v>3.19106582189932E-006</v>
      </c>
      <c r="U659" s="47" t="n">
        <f aca="false">T659*(IF(C659&lt;Assumptions!$B$5,Assumptions!$B$12*(1+Assumptions!$B$11)^(INT(A659/12)+1)/12+Pricing_M!$B$13*IF(A659=0,Assumptions!$B$14*12,IF(A659&gt;=12,Assumptions!$B$15,0))-Pricing_M!$B$13,Assumptions!$B$9/12*(1+Assumptions!$B$10)^INT(A659/12)+Assumptions!$B$12*(1+Assumptions!$B$11)^(INT(A659/12)+1)/12))*J659</f>
        <v>0.00222859264760066</v>
      </c>
      <c r="V659" s="32" t="n">
        <f aca="false">V658*(1-F658)*(1-(1-(1-MIN(1,G658*(1-Assumptions!$B$23)))^(1/12)))</f>
        <v>3.88505226658363E-006</v>
      </c>
      <c r="W659" s="47" t="n">
        <f aca="false">V659*(IF(C659&lt;Assumptions!$B$5,Assumptions!$B$12*(1+Assumptions!$B$11)^(INT(A659/12)+1)/12+Pricing_M!$B$13*IF(A659=0,Assumptions!$B$14*12,IF(A659&gt;=12,Assumptions!$B$15,0))-Pricing_M!$B$13,Assumptions!$B$9/12*(1+Assumptions!$B$10)^INT(A659/12)+Assumptions!$B$12*(1+Assumptions!$B$11)^(INT(A659/12)+1)/12))*J659</f>
        <v>0.00271326240199558</v>
      </c>
      <c r="X659" s="47" t="n">
        <f aca="false">I659*(IF(C659&lt;Assumptions!$B$5,Assumptions!$B$12*(1+Assumptions!$B$11)*(1+Assumptions!$B$24)*(1+Assumptions!$B$11+Assumptions!$B$25)^(INT(A659/12))/12+Pricing_M!$B$13*IF(A659=0,Assumptions!$B$14*12,IF(A659&gt;=12,Assumptions!$B$15,0))-Pricing_M!$B$13,Assumptions!$B$9/12*(1+Assumptions!$B$10)^INT(A659/12)+Assumptions!$B$12*(1+Assumptions!$B$11)*(1+Assumptions!$B$24)*(1+Assumptions!$B$11+Assumptions!$B$25)^(INT(A659/12))/12))*J659</f>
        <v>0.00247414053375417</v>
      </c>
    </row>
    <row r="660" customFormat="false" ht="15" hidden="false" customHeight="true" outlineLevel="0" collapsed="false">
      <c r="A660" s="1" t="n">
        <v>653</v>
      </c>
      <c r="B660" s="31" t="n">
        <f aca="false">Assumptions!$B$4+A660/12</f>
        <v>119.416666666667</v>
      </c>
      <c r="C660" s="34" t="n">
        <f aca="false">Assumptions!$B$4+INT(A660/12)</f>
        <v>119</v>
      </c>
      <c r="D660" s="34" t="n">
        <f aca="false">INT(A660/12)+1</f>
        <v>55</v>
      </c>
      <c r="E660" s="32" t="n">
        <f aca="false">IFERROR(INDEX(Cohort_Survival!$G$5:$G$65,MATCH(C660,Cohort_Survival!$A$5:$A$65,0)),1)</f>
        <v>0.592639591024509</v>
      </c>
      <c r="F660" s="30" t="n">
        <f aca="false">1-(1-MIN(1,E660))^(1/12)</f>
        <v>0.0721062812564244</v>
      </c>
      <c r="G660" s="39" t="n">
        <f aca="false">IF(C660&lt;Assumptions!$B$5,IF(D660=1,Assumptions!$B$16,IF(D660=2,Assumptions!$B$17,IF(D660&lt;=5,Assumptions!$B$18,Assumptions!$B$19)))*(1-Assumptions!$B$20),0)</f>
        <v>0</v>
      </c>
      <c r="H660" s="30" t="n">
        <f aca="false">1-(1-G660)^(1/12)</f>
        <v>0</v>
      </c>
      <c r="I660" s="30" t="n">
        <f aca="false">I659*(1-F659)*(1-H659)</f>
        <v>3.26861580227443E-006</v>
      </c>
      <c r="J660" s="30" t="n">
        <f aca="false">INDEX(Discount_Monthly!$G$4:$G$664,MATCH(A660,Discount_Monthly!$A$4:$A$664,0))</f>
        <v>0.178111323239112</v>
      </c>
      <c r="K660" s="30" t="n">
        <f aca="false">IF(C660&lt;Assumptions!$B$5,I660*J660,0)</f>
        <v>0</v>
      </c>
      <c r="L660" s="30" t="n">
        <f aca="false">IF(C660&lt;Assumptions!$B$5,I660*(1-F660)*H660*A660*J660,0)</f>
        <v>0</v>
      </c>
      <c r="M660" s="30" t="n">
        <f aca="false">IF(A660=0,Assumptions!$B$14*12*I660*J660,IF(AND(A660&gt;=12,C660&lt;Assumptions!$B$5),Assumptions!$B$15*I660*J660,0))</f>
        <v>0</v>
      </c>
      <c r="N660" s="47" t="n">
        <f aca="false">IF(C660&gt;=Assumptions!$B$5,I660*Assumptions!$B$9/12*(1+Assumptions!$B$10)^INT(A660/12)*J660,0)</f>
        <v>0.00226153554432441</v>
      </c>
      <c r="O660" s="47" t="n">
        <f aca="false">I660*Assumptions!$B$12/12*(1+Assumptions!$B$11)^(INT(A660/12)+1)*J660</f>
        <v>1.50930407163085E-005</v>
      </c>
      <c r="P660" s="47" t="n">
        <f aca="false">O660+Pricing_M!$B$13*M660+N660-Pricing_M!$B$13*K660</f>
        <v>0.00227662858504072</v>
      </c>
      <c r="Q660" s="47" t="n">
        <f aca="false">IF(C660&lt;Assumptions!$B$5,Pricing_M!$B$13*K660-Pricing_M!$B$13*M660-O660,-(N660+O660))</f>
        <v>-0.00227662858504072</v>
      </c>
      <c r="R660" s="32" t="n">
        <f aca="false">R659*(1-(1-(1-MIN(1,E659*(1-Assumptions!$B$21)))^(1/12)))*(1-H659)</f>
        <v>7.12645539364691E-005</v>
      </c>
      <c r="S660" s="47" t="n">
        <f aca="false">R660*(IF(C660&lt;Assumptions!$B$5,Assumptions!$B$12*(1+Assumptions!$B$11)^(INT(A660/12)+1)/12+Pricing_M!$B$13*IF(A660=0,Assumptions!$B$14*12,IF(A660&gt;=12,Assumptions!$B$15,0))-Pricing_M!$B$13,Assumptions!$B$9/12*(1+Assumptions!$B$10)^INT(A660/12)+Assumptions!$B$12*(1+Assumptions!$B$11)^(INT(A660/12)+1)/12))*J660</f>
        <v>0.0496365833142721</v>
      </c>
      <c r="T660" s="32" t="n">
        <f aca="false">T659*(1-F659)*(1-(1-(1-MIN(1,G659*(1+Assumptions!$B$23)))^(1/12)))</f>
        <v>2.96096993223769E-006</v>
      </c>
      <c r="U660" s="47" t="n">
        <f aca="false">T660*(IF(C660&lt;Assumptions!$B$5,Assumptions!$B$12*(1+Assumptions!$B$11)^(INT(A660/12)+1)/12+Pricing_M!$B$13*IF(A660=0,Assumptions!$B$14*12,IF(A660&gt;=12,Assumptions!$B$15,0))-Pricing_M!$B$13,Assumptions!$B$9/12*(1+Assumptions!$B$10)^INT(A660/12)+Assumptions!$B$12*(1+Assumptions!$B$11)^(INT(A660/12)+1)/12))*J660</f>
        <v>0.00206234969019232</v>
      </c>
      <c r="V660" s="32" t="n">
        <f aca="false">V659*(1-F659)*(1-(1-(1-MIN(1,G659*(1-Assumptions!$B$23)))^(1/12)))</f>
        <v>3.60491559515344E-006</v>
      </c>
      <c r="W660" s="47" t="n">
        <f aca="false">V660*(IF(C660&lt;Assumptions!$B$5,Assumptions!$B$12*(1+Assumptions!$B$11)^(INT(A660/12)+1)/12+Pricing_M!$B$13*IF(A660=0,Assumptions!$B$14*12,IF(A660&gt;=12,Assumptions!$B$15,0))-Pricing_M!$B$13,Assumptions!$B$9/12*(1+Assumptions!$B$10)^INT(A660/12)+Assumptions!$B$12*(1+Assumptions!$B$11)^(INT(A660/12)+1)/12))*J660</f>
        <v>0.00251086526745499</v>
      </c>
      <c r="X660" s="47" t="n">
        <f aca="false">I660*(IF(C660&lt;Assumptions!$B$5,Assumptions!$B$12*(1+Assumptions!$B$11)*(1+Assumptions!$B$24)*(1+Assumptions!$B$11+Assumptions!$B$25)^(INT(A660/12))/12+Pricing_M!$B$13*IF(A660=0,Assumptions!$B$14*12,IF(A660&gt;=12,Assumptions!$B$15,0))-Pricing_M!$B$13,Assumptions!$B$9/12*(1+Assumptions!$B$10)^INT(A660/12)+Assumptions!$B$12*(1+Assumptions!$B$11)*(1+Assumptions!$B$24)*(1+Assumptions!$B$11+Assumptions!$B$25)^(INT(A660/12))/12))*J660</f>
        <v>0.00228958081180679</v>
      </c>
    </row>
    <row r="661" customFormat="false" ht="15" hidden="false" customHeight="true" outlineLevel="0" collapsed="false">
      <c r="A661" s="1" t="n">
        <v>654</v>
      </c>
      <c r="B661" s="31" t="n">
        <f aca="false">Assumptions!$B$4+A661/12</f>
        <v>119.5</v>
      </c>
      <c r="C661" s="34" t="n">
        <f aca="false">Assumptions!$B$4+INT(A661/12)</f>
        <v>119</v>
      </c>
      <c r="D661" s="34" t="n">
        <f aca="false">INT(A661/12)+1</f>
        <v>55</v>
      </c>
      <c r="E661" s="32" t="n">
        <f aca="false">IFERROR(INDEX(Cohort_Survival!$G$5:$G$65,MATCH(C661,Cohort_Survival!$A$5:$A$65,0)),1)</f>
        <v>0.592639591024509</v>
      </c>
      <c r="F661" s="30" t="n">
        <f aca="false">1-(1-MIN(1,E661))^(1/12)</f>
        <v>0.0721062812564244</v>
      </c>
      <c r="G661" s="39" t="n">
        <f aca="false">IF(C661&lt;Assumptions!$B$5,IF(D661=1,Assumptions!$B$16,IF(D661=2,Assumptions!$B$17,IF(D661&lt;=5,Assumptions!$B$18,Assumptions!$B$19)))*(1-Assumptions!$B$20),0)</f>
        <v>0</v>
      </c>
      <c r="H661" s="30" t="n">
        <f aca="false">1-(1-G661)^(1/12)</f>
        <v>0</v>
      </c>
      <c r="I661" s="30" t="n">
        <f aca="false">I660*(1-F660)*(1-H660)</f>
        <v>3.03292807191644E-006</v>
      </c>
      <c r="J661" s="30" t="n">
        <f aca="false">INDEX(Discount_Monthly!$G$4:$G$664,MATCH(A661,Discount_Monthly!$A$4:$A$664,0))</f>
        <v>0.177633514194343</v>
      </c>
      <c r="K661" s="30" t="n">
        <f aca="false">IF(C661&lt;Assumptions!$B$5,I661*J661,0)</f>
        <v>0</v>
      </c>
      <c r="L661" s="30" t="n">
        <f aca="false">IF(C661&lt;Assumptions!$B$5,I661*(1-F661)*H661*A661*J661,0)</f>
        <v>0</v>
      </c>
      <c r="M661" s="30" t="n">
        <f aca="false">IF(A661=0,Assumptions!$B$14*12*I661*J661,IF(AND(A661&gt;=12,C661&lt;Assumptions!$B$5),Assumptions!$B$15*I661*J661,0))</f>
        <v>0</v>
      </c>
      <c r="N661" s="47" t="n">
        <f aca="false">IF(C661&gt;=Assumptions!$B$5,I661*Assumptions!$B$9/12*(1+Assumptions!$B$10)^INT(A661/12)*J661,0)</f>
        <v>0.00209283519543949</v>
      </c>
      <c r="O661" s="47" t="n">
        <f aca="false">I661*Assumptions!$B$12/12*(1+Assumptions!$B$11)^(INT(A661/12)+1)*J661</f>
        <v>1.39671679698175E-005</v>
      </c>
      <c r="P661" s="47" t="n">
        <f aca="false">O661+Pricing_M!$B$13*M661+N661-Pricing_M!$B$13*K661</f>
        <v>0.00210680236340931</v>
      </c>
      <c r="Q661" s="47" t="n">
        <f aca="false">IF(C661&lt;Assumptions!$B$5,Pricing_M!$B$13*K661-Pricing_M!$B$13*M661-O661,-(N661+O661))</f>
        <v>-0.00210680236340931</v>
      </c>
      <c r="R661" s="32" t="n">
        <f aca="false">R660*(1-(1-(1-MIN(1,E660*(1-Assumptions!$B$21)))^(1/12)))*(1-H660)</f>
        <v>6.75483428013879E-005</v>
      </c>
      <c r="S661" s="47" t="n">
        <f aca="false">R661*(IF(C661&lt;Assumptions!$B$5,Assumptions!$B$12*(1+Assumptions!$B$11)^(INT(A661/12)+1)/12+Pricing_M!$B$13*IF(A661=0,Assumptions!$B$14*12,IF(A661&gt;=12,Assumptions!$B$15,0))-Pricing_M!$B$13,Assumptions!$B$9/12*(1+Assumptions!$B$10)^INT(A661/12)+Assumptions!$B$12*(1+Assumptions!$B$11)^(INT(A661/12)+1)/12))*J661</f>
        <v>0.0469219859106066</v>
      </c>
      <c r="T661" s="32" t="n">
        <f aca="false">T660*(1-F660)*(1-(1-(1-MIN(1,G660*(1+Assumptions!$B$23)))^(1/12)))</f>
        <v>2.74746540151194E-006</v>
      </c>
      <c r="U661" s="47" t="n">
        <f aca="false">T661*(IF(C661&lt;Assumptions!$B$5,Assumptions!$B$12*(1+Assumptions!$B$11)^(INT(A661/12)+1)/12+Pricing_M!$B$13*IF(A661=0,Assumptions!$B$14*12,IF(A661&gt;=12,Assumptions!$B$15,0))-Pricing_M!$B$13,Assumptions!$B$9/12*(1+Assumptions!$B$10)^INT(A661/12)+Assumptions!$B$12*(1+Assumptions!$B$11)^(INT(A661/12)+1)/12))*J661</f>
        <v>0.00190850770741593</v>
      </c>
      <c r="V661" s="32" t="n">
        <f aca="false">V660*(1-F660)*(1-(1-(1-MIN(1,G660*(1-Assumptions!$B$23)))^(1/12)))</f>
        <v>3.34497853734364E-006</v>
      </c>
      <c r="W661" s="47" t="n">
        <f aca="false">V661*(IF(C661&lt;Assumptions!$B$5,Assumptions!$B$12*(1+Assumptions!$B$11)^(INT(A661/12)+1)/12+Pricing_M!$B$13*IF(A661=0,Assumptions!$B$14*12,IF(A661&gt;=12,Assumptions!$B$15,0))-Pricing_M!$B$13,Assumptions!$B$9/12*(1+Assumptions!$B$10)^INT(A661/12)+Assumptions!$B$12*(1+Assumptions!$B$11)^(INT(A661/12)+1)/12))*J661</f>
        <v>0.00232356604605398</v>
      </c>
      <c r="X661" s="47" t="n">
        <f aca="false">I661*(IF(C661&lt;Assumptions!$B$5,Assumptions!$B$12*(1+Assumptions!$B$11)*(1+Assumptions!$B$24)*(1+Assumptions!$B$11+Assumptions!$B$25)^(INT(A661/12))/12+Pricing_M!$B$13*IF(A661=0,Assumptions!$B$14*12,IF(A661&gt;=12,Assumptions!$B$15,0))-Pricing_M!$B$13,Assumptions!$B$9/12*(1+Assumptions!$B$10)^INT(A661/12)+Assumptions!$B$12*(1+Assumptions!$B$11)*(1+Assumptions!$B$24)*(1+Assumptions!$B$11+Assumptions!$B$25)^(INT(A661/12))/12))*J661</f>
        <v>0.00211878841249148</v>
      </c>
    </row>
    <row r="662" customFormat="false" ht="15" hidden="false" customHeight="true" outlineLevel="0" collapsed="false">
      <c r="A662" s="1" t="n">
        <v>655</v>
      </c>
      <c r="B662" s="31" t="n">
        <f aca="false">Assumptions!$B$4+A662/12</f>
        <v>119.583333333333</v>
      </c>
      <c r="C662" s="34" t="n">
        <f aca="false">Assumptions!$B$4+INT(A662/12)</f>
        <v>119</v>
      </c>
      <c r="D662" s="34" t="n">
        <f aca="false">INT(A662/12)+1</f>
        <v>55</v>
      </c>
      <c r="E662" s="32" t="n">
        <f aca="false">IFERROR(INDEX(Cohort_Survival!$G$5:$G$65,MATCH(C662,Cohort_Survival!$A$5:$A$65,0)),1)</f>
        <v>0.592639591024509</v>
      </c>
      <c r="F662" s="30" t="n">
        <f aca="false">1-(1-MIN(1,E662))^(1/12)</f>
        <v>0.0721062812564244</v>
      </c>
      <c r="G662" s="39" t="n">
        <f aca="false">IF(C662&lt;Assumptions!$B$5,IF(D662=1,Assumptions!$B$16,IF(D662=2,Assumptions!$B$17,IF(D662&lt;=5,Assumptions!$B$18,Assumptions!$B$19)))*(1-Assumptions!$B$20),0)</f>
        <v>0</v>
      </c>
      <c r="H662" s="30" t="n">
        <f aca="false">1-(1-G662)^(1/12)</f>
        <v>0</v>
      </c>
      <c r="I662" s="30" t="n">
        <f aca="false">I661*(1-F661)*(1-H661)</f>
        <v>2.81423490733233E-006</v>
      </c>
      <c r="J662" s="30" t="n">
        <f aca="false">INDEX(Discount_Monthly!$G$4:$G$664,MATCH(A662,Discount_Monthly!$A$4:$A$664,0))</f>
        <v>0.17715698694053</v>
      </c>
      <c r="K662" s="30" t="n">
        <f aca="false">IF(C662&lt;Assumptions!$B$5,I662*J662,0)</f>
        <v>0</v>
      </c>
      <c r="L662" s="30" t="n">
        <f aca="false">IF(C662&lt;Assumptions!$B$5,I662*(1-F662)*H662*A662*J662,0)</f>
        <v>0</v>
      </c>
      <c r="M662" s="30" t="n">
        <f aca="false">IF(A662=0,Assumptions!$B$14*12*I662*J662,IF(AND(A662&gt;=12,C662&lt;Assumptions!$B$5),Assumptions!$B$15*I662*J662,0))</f>
        <v>0</v>
      </c>
      <c r="N662" s="47" t="n">
        <f aca="false">IF(C662&gt;=Assumptions!$B$5,I662*Assumptions!$B$9/12*(1+Assumptions!$B$10)^INT(A662/12)*J662,0)</f>
        <v>0.00193671913150439</v>
      </c>
      <c r="O662" s="47" t="n">
        <f aca="false">I662*Assumptions!$B$12/12*(1+Assumptions!$B$11)^(INT(A662/12)+1)*J662</f>
        <v>1.29252802509374E-005</v>
      </c>
      <c r="P662" s="47" t="n">
        <f aca="false">O662+Pricing_M!$B$13*M662+N662-Pricing_M!$B$13*K662</f>
        <v>0.00194964441175532</v>
      </c>
      <c r="Q662" s="47" t="n">
        <f aca="false">IF(C662&lt;Assumptions!$B$5,Pricing_M!$B$13*K662-Pricing_M!$B$13*M662-O662,-(N662+O662))</f>
        <v>-0.00194964441175532</v>
      </c>
      <c r="R662" s="32" t="n">
        <f aca="false">R661*(1-(1-(1-MIN(1,E661*(1-Assumptions!$B$21)))^(1/12)))*(1-H661)</f>
        <v>6.40259198041349E-005</v>
      </c>
      <c r="S662" s="47" t="n">
        <f aca="false">R662*(IF(C662&lt;Assumptions!$B$5,Assumptions!$B$12*(1+Assumptions!$B$11)^(INT(A662/12)+1)/12+Pricing_M!$B$13*IF(A662=0,Assumptions!$B$14*12,IF(A662&gt;=12,Assumptions!$B$15,0))-Pricing_M!$B$13,Assumptions!$B$9/12*(1+Assumptions!$B$10)^INT(A662/12)+Assumptions!$B$12*(1+Assumptions!$B$11)^(INT(A662/12)+1)/12))*J662</f>
        <v>0.0443558483438587</v>
      </c>
      <c r="T662" s="32" t="n">
        <f aca="false">T661*(1-F661)*(1-(1-(1-MIN(1,G661*(1+Assumptions!$B$23)))^(1/12)))</f>
        <v>2.54935588852823E-006</v>
      </c>
      <c r="U662" s="47" t="n">
        <f aca="false">T662*(IF(C662&lt;Assumptions!$B$5,Assumptions!$B$12*(1+Assumptions!$B$11)^(INT(A662/12)+1)/12+Pricing_M!$B$13*IF(A662=0,Assumptions!$B$14*12,IF(A662&gt;=12,Assumptions!$B$15,0))-Pricing_M!$B$13,Assumptions!$B$9/12*(1+Assumptions!$B$10)^INT(A662/12)+Assumptions!$B$12*(1+Assumptions!$B$11)^(INT(A662/12)+1)/12))*J662</f>
        <v>0.00176614164250989</v>
      </c>
      <c r="V662" s="32" t="n">
        <f aca="false">V661*(1-F661)*(1-(1-(1-MIN(1,G661*(1-Assumptions!$B$23)))^(1/12)))</f>
        <v>3.10378457413323E-006</v>
      </c>
      <c r="W662" s="47" t="n">
        <f aca="false">V662*(IF(C662&lt;Assumptions!$B$5,Assumptions!$B$12*(1+Assumptions!$B$11)^(INT(A662/12)+1)/12+Pricing_M!$B$13*IF(A662=0,Assumptions!$B$14*12,IF(A662&gt;=12,Assumptions!$B$15,0))-Pricing_M!$B$13,Assumptions!$B$9/12*(1+Assumptions!$B$10)^INT(A662/12)+Assumptions!$B$12*(1+Assumptions!$B$11)^(INT(A662/12)+1)/12))*J662</f>
        <v>0.00215023850158527</v>
      </c>
      <c r="X662" s="47" t="n">
        <f aca="false">I662*(IF(C662&lt;Assumptions!$B$5,Assumptions!$B$12*(1+Assumptions!$B$11)*(1+Assumptions!$B$24)*(1+Assumptions!$B$11+Assumptions!$B$25)^(INT(A662/12))/12+Pricing_M!$B$13*IF(A662=0,Assumptions!$B$14*12,IF(A662&gt;=12,Assumptions!$B$15,0))-Pricing_M!$B$13,Assumptions!$B$9/12*(1+Assumptions!$B$10)^INT(A662/12)+Assumptions!$B$12*(1+Assumptions!$B$11)*(1+Assumptions!$B$24)*(1+Assumptions!$B$11+Assumptions!$B$25)^(INT(A662/12))/12))*J662</f>
        <v>0.00196073635564999</v>
      </c>
    </row>
    <row r="663" customFormat="false" ht="15" hidden="false" customHeight="true" outlineLevel="0" collapsed="false">
      <c r="A663" s="1" t="n">
        <v>656</v>
      </c>
      <c r="B663" s="31" t="n">
        <f aca="false">Assumptions!$B$4+A663/12</f>
        <v>119.666666666667</v>
      </c>
      <c r="C663" s="34" t="n">
        <f aca="false">Assumptions!$B$4+INT(A663/12)</f>
        <v>119</v>
      </c>
      <c r="D663" s="34" t="n">
        <f aca="false">INT(A663/12)+1</f>
        <v>55</v>
      </c>
      <c r="E663" s="32" t="n">
        <f aca="false">IFERROR(INDEX(Cohort_Survival!$G$5:$G$65,MATCH(C663,Cohort_Survival!$A$5:$A$65,0)),1)</f>
        <v>0.592639591024509</v>
      </c>
      <c r="F663" s="30" t="n">
        <f aca="false">1-(1-MIN(1,E663))^(1/12)</f>
        <v>0.0721062812564244</v>
      </c>
      <c r="G663" s="39" t="n">
        <f aca="false">IF(C663&lt;Assumptions!$B$5,IF(D663=1,Assumptions!$B$16,IF(D663=2,Assumptions!$B$17,IF(D663&lt;=5,Assumptions!$B$18,Assumptions!$B$19)))*(1-Assumptions!$B$20),0)</f>
        <v>0</v>
      </c>
      <c r="H663" s="30" t="n">
        <f aca="false">1-(1-G663)^(1/12)</f>
        <v>0</v>
      </c>
      <c r="I663" s="30" t="n">
        <f aca="false">I662*(1-F662)*(1-H662)</f>
        <v>2.61131089358258E-006</v>
      </c>
      <c r="J663" s="30" t="n">
        <f aca="false">INDEX(Discount_Monthly!$G$4:$G$664,MATCH(A663,Discount_Monthly!$A$4:$A$664,0))</f>
        <v>0.176681738039086</v>
      </c>
      <c r="K663" s="30" t="n">
        <f aca="false">IF(C663&lt;Assumptions!$B$5,I663*J663,0)</f>
        <v>0</v>
      </c>
      <c r="L663" s="30" t="n">
        <f aca="false">IF(C663&lt;Assumptions!$B$5,I663*(1-F663)*H663*A663*J663,0)</f>
        <v>0</v>
      </c>
      <c r="M663" s="30" t="n">
        <f aca="false">IF(A663=0,Assumptions!$B$14*12*I663*J663,IF(AND(A663&gt;=12,C663&lt;Assumptions!$B$5),Assumptions!$B$15*I663*J663,0))</f>
        <v>0</v>
      </c>
      <c r="N663" s="47" t="n">
        <f aca="false">IF(C663&gt;=Assumptions!$B$5,I663*Assumptions!$B$9/12*(1+Assumptions!$B$10)^INT(A663/12)*J663,0)</f>
        <v>0.00179224862163474</v>
      </c>
      <c r="O663" s="47" t="n">
        <f aca="false">I663*Assumptions!$B$12/12*(1+Assumptions!$B$11)^(INT(A663/12)+1)*J663</f>
        <v>1.19611126554996E-005</v>
      </c>
      <c r="P663" s="47" t="n">
        <f aca="false">O663+Pricing_M!$B$13*M663+N663-Pricing_M!$B$13*K663</f>
        <v>0.00180420973429024</v>
      </c>
      <c r="Q663" s="47" t="n">
        <f aca="false">IF(C663&lt;Assumptions!$B$5,Pricing_M!$B$13*K663-Pricing_M!$B$13*M663-O663,-(N663+O663))</f>
        <v>-0.00180420973429024</v>
      </c>
      <c r="R663" s="32" t="n">
        <f aca="false">R662*(1-(1-(1-MIN(1,E662*(1-Assumptions!$B$21)))^(1/12)))*(1-H662)</f>
        <v>6.06871795333117E-005</v>
      </c>
      <c r="S663" s="47" t="n">
        <f aca="false">R663*(IF(C663&lt;Assumptions!$B$5,Assumptions!$B$12*(1+Assumptions!$B$11)^(INT(A663/12)+1)/12+Pricing_M!$B$13*IF(A663=0,Assumptions!$B$14*12,IF(A663&gt;=12,Assumptions!$B$15,0))-Pricing_M!$B$13,Assumptions!$B$9/12*(1+Assumptions!$B$10)^INT(A663/12)+Assumptions!$B$12*(1+Assumptions!$B$11)^(INT(A663/12)+1)/12))*J663</f>
        <v>0.0419300514273131</v>
      </c>
      <c r="T663" s="32" t="n">
        <f aca="false">T662*(1-F662)*(1-(1-(1-MIN(1,G662*(1+Assumptions!$B$23)))^(1/12)))</f>
        <v>2.36553131580729E-006</v>
      </c>
      <c r="U663" s="47" t="n">
        <f aca="false">T663*(IF(C663&lt;Assumptions!$B$5,Assumptions!$B$12*(1+Assumptions!$B$11)^(INT(A663/12)+1)/12+Pricing_M!$B$13*IF(A663=0,Assumptions!$B$14*12,IF(A663&gt;=12,Assumptions!$B$15,0))-Pricing_M!$B$13,Assumptions!$B$9/12*(1+Assumptions!$B$10)^INT(A663/12)+Assumptions!$B$12*(1+Assumptions!$B$11)^(INT(A663/12)+1)/12))*J663</f>
        <v>0.00163439544377367</v>
      </c>
      <c r="V663" s="32" t="n">
        <f aca="false">V662*(1-F662)*(1-(1-(1-MIN(1,G662*(1-Assumptions!$B$23)))^(1/12)))</f>
        <v>2.87998221067143E-006</v>
      </c>
      <c r="W663" s="47" t="n">
        <f aca="false">V663*(IF(C663&lt;Assumptions!$B$5,Assumptions!$B$12*(1+Assumptions!$B$11)^(INT(A663/12)+1)/12+Pricing_M!$B$13*IF(A663=0,Assumptions!$B$14*12,IF(A663&gt;=12,Assumptions!$B$15,0))-Pricing_M!$B$13,Assumptions!$B$9/12*(1+Assumptions!$B$10)^INT(A663/12)+Assumptions!$B$12*(1+Assumptions!$B$11)^(INT(A663/12)+1)/12))*J663</f>
        <v>0.00198984040998173</v>
      </c>
      <c r="X663" s="47" t="n">
        <f aca="false">I663*(IF(C663&lt;Assumptions!$B$5,Assumptions!$B$12*(1+Assumptions!$B$11)*(1+Assumptions!$B$24)*(1+Assumptions!$B$11+Assumptions!$B$25)^(INT(A663/12))/12+Pricing_M!$B$13*IF(A663=0,Assumptions!$B$14*12,IF(A663&gt;=12,Assumptions!$B$15,0))-Pricing_M!$B$13,Assumptions!$B$9/12*(1+Assumptions!$B$10)^INT(A663/12)+Assumptions!$B$12*(1+Assumptions!$B$11)*(1+Assumptions!$B$24)*(1+Assumptions!$B$11+Assumptions!$B$25)^(INT(A663/12))/12))*J663</f>
        <v>0.00181447426921071</v>
      </c>
    </row>
    <row r="664" customFormat="false" ht="15" hidden="false" customHeight="true" outlineLevel="0" collapsed="false">
      <c r="A664" s="1" t="n">
        <v>657</v>
      </c>
      <c r="B664" s="31" t="n">
        <f aca="false">Assumptions!$B$4+A664/12</f>
        <v>119.75</v>
      </c>
      <c r="C664" s="34" t="n">
        <f aca="false">Assumptions!$B$4+INT(A664/12)</f>
        <v>119</v>
      </c>
      <c r="D664" s="34" t="n">
        <f aca="false">INT(A664/12)+1</f>
        <v>55</v>
      </c>
      <c r="E664" s="32" t="n">
        <f aca="false">IFERROR(INDEX(Cohort_Survival!$G$5:$G$65,MATCH(C664,Cohort_Survival!$A$5:$A$65,0)),1)</f>
        <v>0.592639591024509</v>
      </c>
      <c r="F664" s="30" t="n">
        <f aca="false">1-(1-MIN(1,E664))^(1/12)</f>
        <v>0.0721062812564244</v>
      </c>
      <c r="G664" s="39" t="n">
        <f aca="false">IF(C664&lt;Assumptions!$B$5,IF(D664=1,Assumptions!$B$16,IF(D664=2,Assumptions!$B$17,IF(D664&lt;=5,Assumptions!$B$18,Assumptions!$B$19)))*(1-Assumptions!$B$20),0)</f>
        <v>0</v>
      </c>
      <c r="H664" s="30" t="n">
        <f aca="false">1-(1-G664)^(1/12)</f>
        <v>0</v>
      </c>
      <c r="I664" s="30" t="n">
        <f aca="false">I663*(1-F663)*(1-H663)</f>
        <v>2.42301897584195E-006</v>
      </c>
      <c r="J664" s="30" t="n">
        <f aca="false">INDEX(Discount_Monthly!$G$4:$G$664,MATCH(A664,Discount_Monthly!$A$4:$A$664,0))</f>
        <v>0.176207764060648</v>
      </c>
      <c r="K664" s="30" t="n">
        <f aca="false">IF(C664&lt;Assumptions!$B$5,I664*J664,0)</f>
        <v>0</v>
      </c>
      <c r="L664" s="30" t="n">
        <f aca="false">IF(C664&lt;Assumptions!$B$5,I664*(1-F664)*H664*A664*J664,0)</f>
        <v>0</v>
      </c>
      <c r="M664" s="30" t="n">
        <f aca="false">IF(A664=0,Assumptions!$B$14*12*I664*J664,IF(AND(A664&gt;=12,C664&lt;Assumptions!$B$5),Assumptions!$B$15*I664*J664,0))</f>
        <v>0</v>
      </c>
      <c r="N664" s="47" t="n">
        <f aca="false">IF(C664&gt;=Assumptions!$B$5,I664*Assumptions!$B$9/12*(1+Assumptions!$B$10)^INT(A664/12)*J664,0)</f>
        <v>0.00165855496003518</v>
      </c>
      <c r="O664" s="47" t="n">
        <f aca="false">I664*Assumptions!$B$12/12*(1+Assumptions!$B$11)^(INT(A664/12)+1)*J664</f>
        <v>1.10688676129229E-005</v>
      </c>
      <c r="P664" s="47" t="n">
        <f aca="false">O664+Pricing_M!$B$13*M664+N664-Pricing_M!$B$13*K664</f>
        <v>0.0016696238276481</v>
      </c>
      <c r="Q664" s="47" t="n">
        <f aca="false">IF(C664&lt;Assumptions!$B$5,Pricing_M!$B$13*K664-Pricing_M!$B$13*M664-O664,-(N664+O664))</f>
        <v>-0.0016696238276481</v>
      </c>
      <c r="R664" s="32" t="n">
        <f aca="false">R663*(1-(1-(1-MIN(1,E663*(1-Assumptions!$B$21)))^(1/12)))*(1-H663)</f>
        <v>5.75225435413512E-005</v>
      </c>
      <c r="S664" s="47" t="n">
        <f aca="false">R664*(IF(C664&lt;Assumptions!$B$5,Assumptions!$B$12*(1+Assumptions!$B$11)^(INT(A664/12)+1)/12+Pricing_M!$B$13*IF(A664=0,Assumptions!$B$14*12,IF(A664&gt;=12,Assumptions!$B$15,0))-Pricing_M!$B$13,Assumptions!$B$9/12*(1+Assumptions!$B$10)^INT(A664/12)+Assumptions!$B$12*(1+Assumptions!$B$11)^(INT(A664/12)+1)/12))*J664</f>
        <v>0.039636920008104</v>
      </c>
      <c r="T664" s="32" t="n">
        <f aca="false">T663*(1-F663)*(1-(1-(1-MIN(1,G663*(1+Assumptions!$B$23)))^(1/12)))</f>
        <v>2.19496164942881E-006</v>
      </c>
      <c r="U664" s="47" t="n">
        <f aca="false">T664*(IF(C664&lt;Assumptions!$B$5,Assumptions!$B$12*(1+Assumptions!$B$11)^(INT(A664/12)+1)/12+Pricing_M!$B$13*IF(A664=0,Assumptions!$B$14*12,IF(A664&gt;=12,Assumptions!$B$15,0))-Pricing_M!$B$13,Assumptions!$B$9/12*(1+Assumptions!$B$10)^INT(A664/12)+Assumptions!$B$12*(1+Assumptions!$B$11)^(INT(A664/12)+1)/12))*J664</f>
        <v>0.00151247691710161</v>
      </c>
      <c r="V664" s="32" t="n">
        <f aca="false">V663*(1-F663)*(1-(1-(1-MIN(1,G663*(1-Assumptions!$B$23)))^(1/12)))</f>
        <v>2.67231740337526E-006</v>
      </c>
      <c r="W664" s="47" t="n">
        <f aca="false">V664*(IF(C664&lt;Assumptions!$B$5,Assumptions!$B$12*(1+Assumptions!$B$11)^(INT(A664/12)+1)/12+Pricing_M!$B$13*IF(A664=0,Assumptions!$B$14*12,IF(A664&gt;=12,Assumptions!$B$15,0))-Pricing_M!$B$13,Assumptions!$B$9/12*(1+Assumptions!$B$10)^INT(A664/12)+Assumptions!$B$12*(1+Assumptions!$B$11)^(INT(A664/12)+1)/12))*J664</f>
        <v>0.00184140729238972</v>
      </c>
      <c r="X664" s="47" t="n">
        <f aca="false">I664*(IF(C664&lt;Assumptions!$B$5,Assumptions!$B$12*(1+Assumptions!$B$11)*(1+Assumptions!$B$24)*(1+Assumptions!$B$11+Assumptions!$B$25)^(INT(A664/12))/12+Pricing_M!$B$13*IF(A664=0,Assumptions!$B$14*12,IF(A664&gt;=12,Assumptions!$B$15,0))-Pricing_M!$B$13,Assumptions!$B$9/12*(1+Assumptions!$B$10)^INT(A664/12)+Assumptions!$B$12*(1+Assumptions!$B$11)*(1+Assumptions!$B$24)*(1+Assumptions!$B$11+Assumptions!$B$25)^(INT(A664/12))/12))*J664</f>
        <v>0.00167912267457106</v>
      </c>
    </row>
    <row r="665" customFormat="false" ht="15" hidden="false" customHeight="true" outlineLevel="0" collapsed="false">
      <c r="A665" s="1" t="n">
        <v>658</v>
      </c>
      <c r="B665" s="31" t="n">
        <f aca="false">Assumptions!$B$4+A665/12</f>
        <v>119.833333333333</v>
      </c>
      <c r="C665" s="34" t="n">
        <f aca="false">Assumptions!$B$4+INT(A665/12)</f>
        <v>119</v>
      </c>
      <c r="D665" s="34" t="n">
        <f aca="false">INT(A665/12)+1</f>
        <v>55</v>
      </c>
      <c r="E665" s="32" t="n">
        <f aca="false">IFERROR(INDEX(Cohort_Survival!$G$5:$G$65,MATCH(C665,Cohort_Survival!$A$5:$A$65,0)),1)</f>
        <v>0.592639591024509</v>
      </c>
      <c r="F665" s="30" t="n">
        <f aca="false">1-(1-MIN(1,E665))^(1/12)</f>
        <v>0.0721062812564244</v>
      </c>
      <c r="G665" s="39" t="n">
        <f aca="false">IF(C665&lt;Assumptions!$B$5,IF(D665=1,Assumptions!$B$16,IF(D665=2,Assumptions!$B$17,IF(D665&lt;=5,Assumptions!$B$18,Assumptions!$B$19)))*(1-Assumptions!$B$20),0)</f>
        <v>0</v>
      </c>
      <c r="H665" s="30" t="n">
        <f aca="false">1-(1-G665)^(1/12)</f>
        <v>0</v>
      </c>
      <c r="I665" s="30" t="n">
        <f aca="false">I664*(1-F664)*(1-H664)</f>
        <v>2.24830408808023E-006</v>
      </c>
      <c r="J665" s="30" t="n">
        <f aca="false">INDEX(Discount_Monthly!$G$4:$G$664,MATCH(A665,Discount_Monthly!$A$4:$A$664,0))</f>
        <v>0.175735061585053</v>
      </c>
      <c r="K665" s="30" t="n">
        <f aca="false">IF(C665&lt;Assumptions!$B$5,I665*J665,0)</f>
        <v>0</v>
      </c>
      <c r="L665" s="30" t="n">
        <f aca="false">IF(C665&lt;Assumptions!$B$5,I665*(1-F665)*H665*A665*J665,0)</f>
        <v>0</v>
      </c>
      <c r="M665" s="30" t="n">
        <f aca="false">IF(A665=0,Assumptions!$B$14*12*I665*J665,IF(AND(A665&gt;=12,C665&lt;Assumptions!$B$5),Assumptions!$B$15*I665*J665,0))</f>
        <v>0</v>
      </c>
      <c r="N665" s="47" t="n">
        <f aca="false">IF(C665&gt;=Assumptions!$B$5,I665*Assumptions!$B$9/12*(1+Assumptions!$B$10)^INT(A665/12)*J665,0)</f>
        <v>0.00153483424244357</v>
      </c>
      <c r="O665" s="47" t="n">
        <f aca="false">I665*Assumptions!$B$12/12*(1+Assumptions!$B$11)^(INT(A665/12)+1)*J665</f>
        <v>1.02431800252361E-005</v>
      </c>
      <c r="P665" s="47" t="n">
        <f aca="false">O665+Pricing_M!$B$13*M665+N665-Pricing_M!$B$13*K665</f>
        <v>0.00154507742246881</v>
      </c>
      <c r="Q665" s="47" t="n">
        <f aca="false">IF(C665&lt;Assumptions!$B$5,Pricing_M!$B$13*K665-Pricing_M!$B$13*M665-O665,-(N665+O665))</f>
        <v>-0.00154507742246881</v>
      </c>
      <c r="R665" s="32" t="n">
        <f aca="false">R664*(1-(1-(1-MIN(1,E664*(1-Assumptions!$B$21)))^(1/12)))*(1-H664)</f>
        <v>5.45229328650937E-005</v>
      </c>
      <c r="S665" s="47" t="n">
        <f aca="false">R665*(IF(C665&lt;Assumptions!$B$5,Assumptions!$B$12*(1+Assumptions!$B$11)^(INT(A665/12)+1)/12+Pricing_M!$B$13*IF(A665=0,Assumptions!$B$14*12,IF(A665&gt;=12,Assumptions!$B$15,0))-Pricing_M!$B$13,Assumptions!$B$9/12*(1+Assumptions!$B$10)^INT(A665/12)+Assumptions!$B$12*(1+Assumptions!$B$11)^(INT(A665/12)+1)/12))*J665</f>
        <v>0.0374691986832488</v>
      </c>
      <c r="T665" s="32" t="n">
        <f aca="false">T664*(1-F664)*(1-(1-(1-MIN(1,G664*(1+Assumptions!$B$23)))^(1/12)))</f>
        <v>2.03669112738803E-006</v>
      </c>
      <c r="U665" s="47" t="n">
        <f aca="false">T665*(IF(C665&lt;Assumptions!$B$5,Assumptions!$B$12*(1+Assumptions!$B$11)^(INT(A665/12)+1)/12+Pricing_M!$B$13*IF(A665=0,Assumptions!$B$14*12,IF(A665&gt;=12,Assumptions!$B$15,0))-Pricing_M!$B$13,Assumptions!$B$9/12*(1+Assumptions!$B$10)^INT(A665/12)+Assumptions!$B$12*(1+Assumptions!$B$11)^(INT(A665/12)+1)/12))*J665</f>
        <v>0.00139965296249441</v>
      </c>
      <c r="V665" s="32" t="n">
        <f aca="false">V664*(1-F664)*(1-(1-(1-MIN(1,G664*(1-Assumptions!$B$23)))^(1/12)))</f>
        <v>2.47962653308104E-006</v>
      </c>
      <c r="W665" s="47" t="n">
        <f aca="false">V665*(IF(C665&lt;Assumptions!$B$5,Assumptions!$B$12*(1+Assumptions!$B$11)^(INT(A665/12)+1)/12+Pricing_M!$B$13*IF(A665=0,Assumptions!$B$14*12,IF(A665&gt;=12,Assumptions!$B$15,0))-Pricing_M!$B$13,Assumptions!$B$9/12*(1+Assumptions!$B$10)^INT(A665/12)+Assumptions!$B$12*(1+Assumptions!$B$11)^(INT(A665/12)+1)/12))*J665</f>
        <v>0.00170404661572692</v>
      </c>
      <c r="X665" s="47" t="n">
        <f aca="false">I665*(IF(C665&lt;Assumptions!$B$5,Assumptions!$B$12*(1+Assumptions!$B$11)*(1+Assumptions!$B$24)*(1+Assumptions!$B$11+Assumptions!$B$25)^(INT(A665/12))/12+Pricing_M!$B$13*IF(A665=0,Assumptions!$B$14*12,IF(A665&gt;=12,Assumptions!$B$15,0))-Pricing_M!$B$13,Assumptions!$B$9/12*(1+Assumptions!$B$10)^INT(A665/12)+Assumptions!$B$12*(1+Assumptions!$B$11)*(1+Assumptions!$B$24)*(1+Assumptions!$B$11+Assumptions!$B$25)^(INT(A665/12))/12))*J665</f>
        <v>0.00155386769826454</v>
      </c>
    </row>
    <row r="666" customFormat="false" ht="15" hidden="false" customHeight="true" outlineLevel="0" collapsed="false">
      <c r="A666" s="1" t="n">
        <v>659</v>
      </c>
      <c r="B666" s="31" t="n">
        <f aca="false">Assumptions!$B$4+A666/12</f>
        <v>119.916666666667</v>
      </c>
      <c r="C666" s="34" t="n">
        <f aca="false">Assumptions!$B$4+INT(A666/12)</f>
        <v>119</v>
      </c>
      <c r="D666" s="34" t="n">
        <f aca="false">INT(A666/12)+1</f>
        <v>55</v>
      </c>
      <c r="E666" s="32" t="n">
        <f aca="false">IFERROR(INDEX(Cohort_Survival!$G$5:$G$65,MATCH(C666,Cohort_Survival!$A$5:$A$65,0)),1)</f>
        <v>0.592639591024509</v>
      </c>
      <c r="F666" s="30" t="n">
        <f aca="false">1-(1-MIN(1,E666))^(1/12)</f>
        <v>0.0721062812564244</v>
      </c>
      <c r="G666" s="39" t="n">
        <f aca="false">IF(C666&lt;Assumptions!$B$5,IF(D666=1,Assumptions!$B$16,IF(D666=2,Assumptions!$B$17,IF(D666&lt;=5,Assumptions!$B$18,Assumptions!$B$19)))*(1-Assumptions!$B$20),0)</f>
        <v>0</v>
      </c>
      <c r="H666" s="30" t="n">
        <f aca="false">1-(1-G666)^(1/12)</f>
        <v>0</v>
      </c>
      <c r="I666" s="30" t="n">
        <f aca="false">I665*(1-F665)*(1-H665)</f>
        <v>2.08618724115515E-006</v>
      </c>
      <c r="J666" s="30" t="n">
        <f aca="false">INDEX(Discount_Monthly!$G$4:$G$664,MATCH(A666,Discount_Monthly!$A$4:$A$664,0))</f>
        <v>0.175263627201313</v>
      </c>
      <c r="K666" s="30" t="n">
        <f aca="false">IF(C666&lt;Assumptions!$B$5,I666*J666,0)</f>
        <v>0</v>
      </c>
      <c r="L666" s="30" t="n">
        <f aca="false">IF(C666&lt;Assumptions!$B$5,I666*(1-F666)*H666*A666*J666,0)</f>
        <v>0</v>
      </c>
      <c r="M666" s="30" t="n">
        <f aca="false">IF(A666=0,Assumptions!$B$14*12*I666*J666,IF(AND(A666&gt;=12,C666&lt;Assumptions!$B$5),Assumptions!$B$15*I666*J666,0))</f>
        <v>0</v>
      </c>
      <c r="N666" s="47" t="n">
        <f aca="false">IF(C666&gt;=Assumptions!$B$5,I666*Assumptions!$B$9/12*(1+Assumptions!$B$10)^INT(A666/12)*J666,0)</f>
        <v>0.001420342532229</v>
      </c>
      <c r="O666" s="47" t="n">
        <f aca="false">I666*Assumptions!$B$12/12*(1+Assumptions!$B$11)^(INT(A666/12)+1)*J666</f>
        <v>9.47908500657282E-006</v>
      </c>
      <c r="P666" s="47" t="n">
        <f aca="false">O666+Pricing_M!$B$13*M666+N666-Pricing_M!$B$13*K666</f>
        <v>0.00142982161723558</v>
      </c>
      <c r="Q666" s="47" t="n">
        <f aca="false">IF(C666&lt;Assumptions!$B$5,Pricing_M!$B$13*K666-Pricing_M!$B$13*M666-O666,-(N666+O666))</f>
        <v>-0.00142982161723558</v>
      </c>
      <c r="R666" s="32" t="n">
        <f aca="false">R665*(1-(1-(1-MIN(1,E665*(1-Assumptions!$B$21)))^(1/12)))*(1-H665)</f>
        <v>5.16797419793249E-005</v>
      </c>
      <c r="S666" s="47" t="n">
        <f aca="false">R666*(IF(C666&lt;Assumptions!$B$5,Assumptions!$B$12*(1+Assumptions!$B$11)^(INT(A666/12)+1)/12+Pricing_M!$B$13*IF(A666=0,Assumptions!$B$14*12,IF(A666&gt;=12,Assumptions!$B$15,0))-Pricing_M!$B$13,Assumptions!$B$9/12*(1+Assumptions!$B$10)^INT(A666/12)+Assumptions!$B$12*(1+Assumptions!$B$11)^(INT(A666/12)+1)/12))*J666</f>
        <v>0.0354200288437581</v>
      </c>
      <c r="T666" s="32" t="n">
        <f aca="false">T665*(1-F665)*(1-(1-(1-MIN(1,G665*(1+Assumptions!$B$23)))^(1/12)))</f>
        <v>1.88983290412412E-006</v>
      </c>
      <c r="U666" s="47" t="n">
        <f aca="false">T666*(IF(C666&lt;Assumptions!$B$5,Assumptions!$B$12*(1+Assumptions!$B$11)^(INT(A666/12)+1)/12+Pricing_M!$B$13*IF(A666=0,Assumptions!$B$14*12,IF(A666&gt;=12,Assumptions!$B$15,0))-Pricing_M!$B$13,Assumptions!$B$9/12*(1+Assumptions!$B$10)^INT(A666/12)+Assumptions!$B$12*(1+Assumptions!$B$11)^(INT(A666/12)+1)/12))*J666</f>
        <v>0.00129524516590541</v>
      </c>
      <c r="V666" s="32" t="n">
        <f aca="false">V665*(1-F665)*(1-(1-(1-MIN(1,G665*(1-Assumptions!$B$23)))^(1/12)))</f>
        <v>2.30082988487581E-006</v>
      </c>
      <c r="W666" s="47" t="n">
        <f aca="false">V666*(IF(C666&lt;Assumptions!$B$5,Assumptions!$B$12*(1+Assumptions!$B$11)^(INT(A666/12)+1)/12+Pricing_M!$B$13*IF(A666=0,Assumptions!$B$14*12,IF(A666&gt;=12,Assumptions!$B$15,0))-Pricing_M!$B$13,Assumptions!$B$9/12*(1+Assumptions!$B$10)^INT(A666/12)+Assumptions!$B$12*(1+Assumptions!$B$11)^(INT(A666/12)+1)/12))*J666</f>
        <v>0.00157693242585238</v>
      </c>
      <c r="X666" s="47" t="n">
        <f aca="false">I666*(IF(C666&lt;Assumptions!$B$5,Assumptions!$B$12*(1+Assumptions!$B$11)*(1+Assumptions!$B$24)*(1+Assumptions!$B$11+Assumptions!$B$25)^(INT(A666/12))/12+Pricing_M!$B$13*IF(A666=0,Assumptions!$B$14*12,IF(A666&gt;=12,Assumptions!$B$15,0))-Pricing_M!$B$13,Assumptions!$B$9/12*(1+Assumptions!$B$10)^INT(A666/12)+Assumptions!$B$12*(1+Assumptions!$B$11)*(1+Assumptions!$B$24)*(1+Assumptions!$B$11+Assumptions!$B$25)^(INT(A666/12))/12))*J666</f>
        <v>0.00143795617811351</v>
      </c>
    </row>
    <row r="667" customFormat="false" ht="15" hidden="false" customHeight="true" outlineLevel="0" collapsed="false">
      <c r="A667" s="1" t="n">
        <v>660</v>
      </c>
      <c r="B667" s="31" t="n">
        <f aca="false">Assumptions!$B$4+A667/12</f>
        <v>120</v>
      </c>
      <c r="C667" s="34" t="n">
        <f aca="false">Assumptions!$B$4+INT(A667/12)</f>
        <v>120</v>
      </c>
      <c r="D667" s="34" t="n">
        <f aca="false">INT(A667/12)+1</f>
        <v>56</v>
      </c>
      <c r="E667" s="32" t="n">
        <f aca="false">IFERROR(INDEX(Cohort_Survival!$G$5:$G$65,MATCH(C667,Cohort_Survival!$A$5:$A$65,0)),1)</f>
        <v>0.607946366970808</v>
      </c>
      <c r="F667" s="30" t="n">
        <f aca="false">1-(1-MIN(1,E667))^(1/12)</f>
        <v>0.0750630621889945</v>
      </c>
      <c r="G667" s="39" t="n">
        <f aca="false">IF(C667&lt;Assumptions!$B$5,IF(D667=1,Assumptions!$B$16,IF(D667=2,Assumptions!$B$17,IF(D667&lt;=5,Assumptions!$B$18,Assumptions!$B$19)))*(1-Assumptions!$B$20),0)</f>
        <v>0</v>
      </c>
      <c r="H667" s="30" t="n">
        <f aca="false">1-(1-G667)^(1/12)</f>
        <v>0</v>
      </c>
      <c r="I667" s="30" t="n">
        <f aca="false">I666*(1-F666)*(1-H666)</f>
        <v>1.93576003719085E-006</v>
      </c>
      <c r="J667" s="30" t="n">
        <f aca="false">INDEX(Discount_Monthly!$G$4:$G$664,MATCH(A667,Discount_Monthly!$A$4:$A$664,0))</f>
        <v>0.174793457507591</v>
      </c>
      <c r="K667" s="30" t="n">
        <f aca="false">IF(C667&lt;Assumptions!$B$5,I667*J667,0)</f>
        <v>0</v>
      </c>
      <c r="L667" s="30" t="n">
        <f aca="false">IF(C667&lt;Assumptions!$B$5,I667*(1-F667)*H667*A667*J667,0)</f>
        <v>0</v>
      </c>
      <c r="M667" s="30" t="n">
        <f aca="false">IF(A667=0,Assumptions!$B$14*12*I667*J667,IF(AND(A667&gt;=12,C667&lt;Assumptions!$B$5),Assumptions!$B$15*I667*J667,0))</f>
        <v>0</v>
      </c>
      <c r="N667" s="47" t="n">
        <f aca="false">IF(C667&gt;=Assumptions!$B$5,I667*Assumptions!$B$9/12*(1+Assumptions!$B$10)^INT(A667/12)*J667,0)</f>
        <v>0.00134067921481855</v>
      </c>
      <c r="O667" s="47" t="n">
        <f aca="false">I667*Assumptions!$B$12/12*(1+Assumptions!$B$11)^(INT(A667/12)+1)*J667</f>
        <v>8.99128772988214E-006</v>
      </c>
      <c r="P667" s="47" t="n">
        <f aca="false">O667+Pricing_M!$B$13*M667+N667-Pricing_M!$B$13*K667</f>
        <v>0.00134967050254843</v>
      </c>
      <c r="Q667" s="47" t="n">
        <f aca="false">IF(C667&lt;Assumptions!$B$5,Pricing_M!$B$13*K667-Pricing_M!$B$13*M667-O667,-(N667+O667))</f>
        <v>-0.00134967050254843</v>
      </c>
      <c r="R667" s="32" t="n">
        <f aca="false">R666*(1-(1-(1-MIN(1,E666*(1-Assumptions!$B$21)))^(1/12)))*(1-H666)</f>
        <v>4.89848141085506E-005</v>
      </c>
      <c r="S667" s="47" t="n">
        <f aca="false">R667*(IF(C667&lt;Assumptions!$B$5,Assumptions!$B$12*(1+Assumptions!$B$11)^(INT(A667/12)+1)/12+Pricing_M!$B$13*IF(A667=0,Assumptions!$B$14*12,IF(A667&gt;=12,Assumptions!$B$15,0))-Pricing_M!$B$13,Assumptions!$B$9/12*(1+Assumptions!$B$10)^INT(A667/12)+Assumptions!$B$12*(1+Assumptions!$B$11)^(INT(A667/12)+1)/12))*J667</f>
        <v>0.0341536953986671</v>
      </c>
      <c r="T667" s="32" t="n">
        <f aca="false">T666*(1-F666)*(1-(1-(1-MIN(1,G666*(1+Assumptions!$B$23)))^(1/12)))</f>
        <v>1.7535640812117E-006</v>
      </c>
      <c r="U667" s="47" t="n">
        <f aca="false">T667*(IF(C667&lt;Assumptions!$B$5,Assumptions!$B$12*(1+Assumptions!$B$11)^(INT(A667/12)+1)/12+Pricing_M!$B$13*IF(A667=0,Assumptions!$B$14*12,IF(A667&gt;=12,Assumptions!$B$15,0))-Pricing_M!$B$13,Assumptions!$B$9/12*(1+Assumptions!$B$10)^INT(A667/12)+Assumptions!$B$12*(1+Assumptions!$B$11)^(INT(A667/12)+1)/12))*J667</f>
        <v>0.00122263796610578</v>
      </c>
      <c r="V667" s="32" t="n">
        <f aca="false">V666*(1-F666)*(1-(1-(1-MIN(1,G666*(1-Assumptions!$B$23)))^(1/12)))</f>
        <v>2.13492559807377E-006</v>
      </c>
      <c r="W667" s="47" t="n">
        <f aca="false">V667*(IF(C667&lt;Assumptions!$B$5,Assumptions!$B$12*(1+Assumptions!$B$11)^(INT(A667/12)+1)/12+Pricing_M!$B$13*IF(A667=0,Assumptions!$B$14*12,IF(A667&gt;=12,Assumptions!$B$15,0))-Pricing_M!$B$13,Assumptions!$B$9/12*(1+Assumptions!$B$10)^INT(A667/12)+Assumptions!$B$12*(1+Assumptions!$B$11)^(INT(A667/12)+1)/12))*J667</f>
        <v>0.00148853476128024</v>
      </c>
      <c r="X667" s="47" t="n">
        <f aca="false">I667*(IF(C667&lt;Assumptions!$B$5,Assumptions!$B$12*(1+Assumptions!$B$11)*(1+Assumptions!$B$24)*(1+Assumptions!$B$11+Assumptions!$B$25)^(INT(A667/12))/12+Pricing_M!$B$13*IF(A667=0,Assumptions!$B$14*12,IF(A667&gt;=12,Assumptions!$B$15,0))-Pricing_M!$B$13,Assumptions!$B$9/12*(1+Assumptions!$B$10)^INT(A667/12)+Assumptions!$B$12*(1+Assumptions!$B$11)*(1+Assumptions!$B$24)*(1+Assumptions!$B$11+Assumptions!$B$25)^(INT(A667/12))/12))*J667</f>
        <v>0.00135754945334025</v>
      </c>
    </row>
    <row r="677" customFormat="false" ht="15" hidden="false" customHeight="true" outlineLevel="0" collapsed="false">
      <c r="A677" s="1" t="s">
        <v>709</v>
      </c>
    </row>
    <row r="678" customFormat="false" ht="15" hidden="false" customHeight="true" outlineLevel="0" collapsed="false">
      <c r="A678" s="1" t="s">
        <v>710</v>
      </c>
      <c r="B678" s="1" t="s">
        <v>711</v>
      </c>
    </row>
    <row r="679" customFormat="false" ht="15" hidden="false" customHeight="true" outlineLevel="0" collapsed="false">
      <c r="A679" s="1" t="s">
        <v>712</v>
      </c>
      <c r="B679" s="1" t="s">
        <v>713</v>
      </c>
    </row>
    <row r="680" customFormat="false" ht="15" hidden="false" customHeight="true" outlineLevel="0" collapsed="false">
      <c r="A680" s="1" t="s">
        <v>714</v>
      </c>
      <c r="B680" s="1" t="s">
        <v>715</v>
      </c>
    </row>
    <row r="681" customFormat="false" ht="15" hidden="false" customHeight="true" outlineLevel="0" collapsed="false">
      <c r="A681" s="1" t="s">
        <v>716</v>
      </c>
      <c r="B681" s="1" t="s">
        <v>688</v>
      </c>
    </row>
    <row r="682" customFormat="false" ht="15" hidden="false" customHeight="true" outlineLevel="0" collapsed="false">
      <c r="A682" s="1" t="s">
        <v>717</v>
      </c>
      <c r="B682" s="1" t="s">
        <v>718</v>
      </c>
    </row>
    <row r="683" customFormat="false" ht="15" hidden="false" customHeight="true" outlineLevel="0" collapsed="false">
      <c r="A683" s="1" t="s">
        <v>719</v>
      </c>
      <c r="B683" s="1" t="s">
        <v>720</v>
      </c>
    </row>
    <row r="684" customFormat="false" ht="15" hidden="false" customHeight="true" outlineLevel="0" collapsed="false">
      <c r="A684" s="1" t="s">
        <v>721</v>
      </c>
      <c r="B684" s="1" t="s">
        <v>722</v>
      </c>
    </row>
    <row r="685" customFormat="false" ht="15" hidden="false" customHeight="true" outlineLevel="0" collapsed="false">
      <c r="A685" s="1" t="s">
        <v>723</v>
      </c>
      <c r="B685" s="1" t="s">
        <v>724</v>
      </c>
    </row>
    <row r="686" customFormat="false" ht="15" hidden="false" customHeight="true" outlineLevel="0" collapsed="false">
      <c r="A686" s="1" t="s">
        <v>725</v>
      </c>
      <c r="B686" s="1" t="s">
        <v>726</v>
      </c>
    </row>
    <row r="687" customFormat="false" ht="15" hidden="false" customHeight="true" outlineLevel="0" collapsed="false">
      <c r="A687" s="1" t="s">
        <v>727</v>
      </c>
      <c r="B687" s="1" t="s">
        <v>728</v>
      </c>
    </row>
    <row r="688" customFormat="false" ht="15" hidden="false" customHeight="true" outlineLevel="0" collapsed="false">
      <c r="A688" s="1" t="s">
        <v>729</v>
      </c>
      <c r="B688" s="1" t="s">
        <v>730</v>
      </c>
    </row>
    <row r="689" customFormat="false" ht="15" hidden="false" customHeight="true" outlineLevel="0" collapsed="false">
      <c r="A689" s="1" t="s">
        <v>731</v>
      </c>
      <c r="B689" s="1" t="s">
        <v>732</v>
      </c>
    </row>
    <row r="690" customFormat="false" ht="15" hidden="false" customHeight="true" outlineLevel="0" collapsed="false">
      <c r="A690" s="1" t="s">
        <v>733</v>
      </c>
      <c r="B690" s="1" t="s">
        <v>734</v>
      </c>
    </row>
    <row r="691" customFormat="false" ht="15" hidden="false" customHeight="true" outlineLevel="0" collapsed="false">
      <c r="A691" s="1" t="s">
        <v>735</v>
      </c>
      <c r="B691" s="1" t="s">
        <v>736</v>
      </c>
    </row>
    <row r="692" customFormat="false" ht="15" hidden="false" customHeight="true" outlineLevel="0" collapsed="false">
      <c r="A692" s="1" t="s">
        <v>737</v>
      </c>
      <c r="B692" s="1" t="s">
        <v>738</v>
      </c>
    </row>
    <row r="693" customFormat="false" ht="15" hidden="false" customHeight="true" outlineLevel="0" collapsed="false">
      <c r="A693" s="1" t="s">
        <v>739</v>
      </c>
      <c r="B693" s="1" t="s">
        <v>740</v>
      </c>
    </row>
    <row r="694" customFormat="false" ht="15" hidden="false" customHeight="true" outlineLevel="0" collapsed="false">
      <c r="A694" s="1" t="s">
        <v>741</v>
      </c>
      <c r="B694" s="1" t="s">
        <v>742</v>
      </c>
    </row>
    <row r="695" customFormat="false" ht="15" hidden="false" customHeight="true" outlineLevel="0" collapsed="false">
      <c r="A695" s="1" t="s">
        <v>743</v>
      </c>
      <c r="B695" s="1" t="s">
        <v>744</v>
      </c>
    </row>
    <row r="696" customFormat="false" ht="15" hidden="false" customHeight="true" outlineLevel="0" collapsed="false">
      <c r="A696" s="1" t="s">
        <v>745</v>
      </c>
      <c r="B696" s="1" t="s">
        <v>746</v>
      </c>
    </row>
    <row r="697" customFormat="false" ht="15" hidden="false" customHeight="true" outlineLevel="0" collapsed="false">
      <c r="A697" s="1" t="s">
        <v>747</v>
      </c>
      <c r="B697" s="1" t="s">
        <v>748</v>
      </c>
    </row>
    <row r="698" customFormat="false" ht="15" hidden="false" customHeight="true" outlineLevel="0" collapsed="false">
      <c r="A698" s="1" t="s">
        <v>749</v>
      </c>
      <c r="B698" s="1" t="s">
        <v>750</v>
      </c>
    </row>
    <row r="699" customFormat="false" ht="15" hidden="false" customHeight="true" outlineLevel="0" collapsed="false">
      <c r="A699" s="1" t="s">
        <v>751</v>
      </c>
      <c r="B699" s="1" t="s">
        <v>752</v>
      </c>
    </row>
    <row r="700" customFormat="false" ht="15" hidden="false" customHeight="true" outlineLevel="0" collapsed="false">
      <c r="A700" s="1" t="s">
        <v>753</v>
      </c>
      <c r="B700" s="1" t="s">
        <v>754</v>
      </c>
    </row>
    <row r="701" customFormat="false" ht="15" hidden="false" customHeight="true" outlineLevel="0" collapsed="false">
      <c r="A701" s="1" t="s">
        <v>755</v>
      </c>
      <c r="B701" s="1" t="s">
        <v>756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2"/>
    <col collapsed="false" customWidth="true" hidden="false" outlineLevel="0" max="2" min="2" style="1" width="18"/>
    <col collapsed="false" customWidth="true" hidden="false" outlineLevel="0" max="3" min="3" style="1" width="36"/>
  </cols>
  <sheetData>
    <row r="1" customFormat="false" ht="15.75" hidden="false" customHeight="true" outlineLevel="0" collapsed="false">
      <c r="A1" s="15" t="s">
        <v>757</v>
      </c>
    </row>
    <row r="2" customFormat="false" ht="15" hidden="false" customHeight="true" outlineLevel="0" collapsed="false">
      <c r="A2" s="7" t="s">
        <v>758</v>
      </c>
    </row>
    <row r="4" customFormat="false" ht="15" hidden="false" customHeight="true" outlineLevel="0" collapsed="false">
      <c r="A4" s="1" t="s">
        <v>759</v>
      </c>
      <c r="B4" s="45" t="n">
        <f aca="false">SUM(Projection_M!K7:K667)</f>
        <v>123.953504928361</v>
      </c>
      <c r="C4" s="7" t="s">
        <v>760</v>
      </c>
    </row>
    <row r="5" customFormat="false" ht="15" hidden="false" customHeight="true" outlineLevel="0" collapsed="false">
      <c r="A5" s="1" t="s">
        <v>761</v>
      </c>
      <c r="B5" s="45" t="n">
        <f aca="false">SUM(Projection_M!L7:L667)</f>
        <v>8.14123450002051</v>
      </c>
      <c r="C5" s="7" t="s">
        <v>762</v>
      </c>
    </row>
    <row r="6" customFormat="false" ht="15" hidden="false" customHeight="true" outlineLevel="0" collapsed="false">
      <c r="A6" s="1" t="s">
        <v>763</v>
      </c>
      <c r="B6" s="39" t="n">
        <f aca="false">B4</f>
        <v>123.953504928361</v>
      </c>
      <c r="C6" s="7" t="s">
        <v>764</v>
      </c>
    </row>
    <row r="7" customFormat="false" ht="15" hidden="false" customHeight="true" outlineLevel="0" collapsed="false">
      <c r="A7" s="1" t="s">
        <v>765</v>
      </c>
      <c r="B7" s="45" t="n">
        <f aca="false">SUM(Projection_M!M7:M667)</f>
        <v>17.6170984852997</v>
      </c>
      <c r="C7" s="7" t="s">
        <v>766</v>
      </c>
    </row>
    <row r="8" customFormat="false" ht="15" hidden="false" customHeight="true" outlineLevel="0" collapsed="false">
      <c r="A8" s="1" t="s">
        <v>767</v>
      </c>
      <c r="B8" s="39" t="n">
        <f aca="false">B7/B4</f>
        <v>0.142126666732671</v>
      </c>
      <c r="C8" s="7" t="s">
        <v>768</v>
      </c>
    </row>
    <row r="9" customFormat="false" ht="15" hidden="false" customHeight="true" outlineLevel="0" collapsed="false">
      <c r="A9" s="1" t="s">
        <v>769</v>
      </c>
      <c r="B9" s="48" t="n">
        <f aca="false">SUM(Projection_M!N7:N667)</f>
        <v>101385.611039404</v>
      </c>
      <c r="C9" s="7" t="s">
        <v>770</v>
      </c>
    </row>
    <row r="10" customFormat="false" ht="15" hidden="false" customHeight="true" outlineLevel="0" collapsed="false">
      <c r="A10" s="1" t="s">
        <v>771</v>
      </c>
      <c r="B10" s="48" t="n">
        <f aca="false">SUM(Projection_M!O7:O667)</f>
        <v>1567.1290905166</v>
      </c>
      <c r="C10" s="7" t="s">
        <v>772</v>
      </c>
    </row>
    <row r="11" customFormat="false" ht="15" hidden="false" customHeight="true" outlineLevel="0" collapsed="false">
      <c r="A11" s="1" t="s">
        <v>392</v>
      </c>
      <c r="B11" s="39" t="n">
        <f aca="false">Assumptions!B13</f>
        <v>0.03</v>
      </c>
      <c r="C11" s="7"/>
    </row>
    <row r="13" customFormat="false" ht="15" hidden="false" customHeight="true" outlineLevel="0" collapsed="false">
      <c r="A13" s="3" t="s">
        <v>773</v>
      </c>
      <c r="B13" s="49" t="n">
        <f aca="false">(B9+B10)/(B6*(1-B11-B8))</f>
        <v>1003.26394475892</v>
      </c>
    </row>
    <row r="14" customFormat="false" ht="15" hidden="false" customHeight="true" outlineLevel="0" collapsed="false">
      <c r="A14" s="3" t="s">
        <v>774</v>
      </c>
      <c r="B14" s="50" t="n">
        <f aca="false">12*B13</f>
        <v>12039.167337107</v>
      </c>
    </row>
    <row r="16" customFormat="false" ht="15" hidden="false" customHeight="true" outlineLevel="0" collapsed="false">
      <c r="A16" s="1" t="s">
        <v>775</v>
      </c>
      <c r="B16" s="48" t="n">
        <f aca="false">Pricing!B14</f>
        <v>12316.0657114102</v>
      </c>
    </row>
    <row r="17" customFormat="false" ht="15" hidden="false" customHeight="true" outlineLevel="0" collapsed="false">
      <c r="A17" s="1" t="s">
        <v>776</v>
      </c>
      <c r="B17" s="48" t="n">
        <f aca="false">B14-B16</f>
        <v>-276.898374303179</v>
      </c>
    </row>
    <row r="18" customFormat="false" ht="15" hidden="false" customHeight="true" outlineLevel="0" collapsed="false">
      <c r="A18" s="1" t="s">
        <v>777</v>
      </c>
      <c r="B18" s="18" t="n">
        <f aca="false">B17/B16</f>
        <v>-0.0224826970553304</v>
      </c>
    </row>
    <row r="20" customFormat="false" ht="15" hidden="false" customHeight="true" outlineLevel="0" collapsed="false">
      <c r="A20" s="7" t="s">
        <v>778</v>
      </c>
    </row>
    <row r="21" customFormat="false" ht="15" hidden="false" customHeight="true" outlineLevel="0" collapsed="false">
      <c r="A21" s="7" t="s">
        <v>779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6"/>
    <col collapsed="false" customWidth="true" hidden="false" outlineLevel="0" max="6" min="2" style="1" width="15"/>
  </cols>
  <sheetData>
    <row r="1" customFormat="false" ht="15.75" hidden="false" customHeight="true" outlineLevel="0" collapsed="false">
      <c r="A1" s="15" t="s">
        <v>780</v>
      </c>
    </row>
    <row r="2" customFormat="false" ht="15" hidden="false" customHeight="true" outlineLevel="0" collapsed="false">
      <c r="A2" s="7" t="s">
        <v>781</v>
      </c>
    </row>
    <row r="4" customFormat="false" ht="15" hidden="false" customHeight="true" outlineLevel="0" collapsed="false">
      <c r="A4" s="8" t="s">
        <v>611</v>
      </c>
      <c r="B4" s="8" t="n">
        <v>0</v>
      </c>
      <c r="C4" s="8" t="n">
        <v>5</v>
      </c>
      <c r="D4" s="8" t="n">
        <v>10</v>
      </c>
      <c r="E4" s="8" t="n">
        <v>15</v>
      </c>
      <c r="F4" s="8" t="n">
        <v>20</v>
      </c>
    </row>
    <row r="5" customFormat="false" ht="15" hidden="false" customHeight="true" outlineLevel="0" collapsed="false">
      <c r="A5" s="3" t="s">
        <v>782</v>
      </c>
      <c r="B5" s="48" t="n">
        <f aca="false">SUMIFS(Projection_M!$Q$7:$Q$667,Projection_M!$A$7:$A$667,"&lt;"&amp;0)/INDEX(Discount_Monthly!$G$4:$G$664,MATCH(0,Discount_Monthly!$A$4:$A$664,0))</f>
        <v>0</v>
      </c>
      <c r="C5" s="48" t="n">
        <f aca="false">SUMIFS(Projection_M!$Q$7:$Q$667,Projection_M!$A$7:$A$667,"&lt;"&amp;60)/INDEX(Discount_Monthly!$G$4:$G$664,MATCH(60,Discount_Monthly!$A$4:$A$664,0))</f>
        <v>43259.0137845103</v>
      </c>
      <c r="D5" s="48" t="n">
        <f aca="false">SUMIFS(Projection_M!$Q$7:$Q$667,Projection_M!$A$7:$A$667,"&lt;"&amp;120)/INDEX(Discount_Monthly!$G$4:$G$664,MATCH(120,Discount_Monthly!$A$4:$A$664,0))</f>
        <v>101990.334739447</v>
      </c>
      <c r="E5" s="48" t="n">
        <f aca="false">SUMIFS(Projection_M!$Q$7:$Q$667,Projection_M!$A$7:$A$667,"&lt;"&amp;180)/INDEX(Discount_Monthly!$G$4:$G$664,MATCH(180,Discount_Monthly!$A$4:$A$664,0))</f>
        <v>167254.036126921</v>
      </c>
      <c r="F5" s="48" t="n">
        <f aca="false">SUMIFS(Projection_M!$Q$7:$Q$667,Projection_M!$A$7:$A$667,"&lt;"&amp;240)/INDEX(Discount_Monthly!$G$4:$G$664,MATCH(240,Discount_Monthly!$A$4:$A$664,0))</f>
        <v>119326.291761207</v>
      </c>
    </row>
    <row r="6" customFormat="false" ht="15" hidden="false" customHeight="true" outlineLevel="0" collapsed="false">
      <c r="A6" s="3" t="s">
        <v>783</v>
      </c>
      <c r="B6" s="48" t="n">
        <f aca="false">SUMIFS(Projection_M!$P$7:$P$667,Projection_M!$A$7:$A$667,"&gt;="&amp;0)/INDEX(Discount_Monthly!$G$4:$G$664,MATCH(0,Discount_Monthly!$A$4:$A$664,0))</f>
        <v>-3730.74246963365</v>
      </c>
      <c r="C6" s="48" t="n">
        <f aca="false">SUMIFS(Projection_M!$P$7:$P$667,Projection_M!$A$7:$A$667,"&gt;="&amp;60)/INDEX(Discount_Monthly!$G$4:$G$664,MATCH(60,Discount_Monthly!$A$4:$A$664,0))</f>
        <v>39003.1087263498</v>
      </c>
      <c r="D6" s="48" t="n">
        <f aca="false">SUMIFS(Projection_M!$P$7:$P$667,Projection_M!$A$7:$A$667,"&gt;="&amp;120)/INDEX(Discount_Monthly!$G$4:$G$664,MATCH(120,Discount_Monthly!$A$4:$A$664,0))</f>
        <v>97019.6839366047</v>
      </c>
      <c r="E6" s="48" t="n">
        <f aca="false">SUMIFS(Projection_M!$P$7:$P$667,Projection_M!$A$7:$A$667,"&gt;="&amp;180)/INDEX(Discount_Monthly!$G$4:$G$664,MATCH(180,Discount_Monthly!$A$4:$A$664,0))</f>
        <v>161350.427845915</v>
      </c>
      <c r="F6" s="48" t="n">
        <f aca="false">SUMIFS(Projection_M!$P$7:$P$667,Projection_M!$A$7:$A$667,"&gt;="&amp;240)/INDEX(Discount_Monthly!$G$4:$G$664,MATCH(240,Discount_Monthly!$A$4:$A$664,0))</f>
        <v>112363.559565922</v>
      </c>
    </row>
    <row r="7" customFormat="false" ht="15" hidden="false" customHeight="true" outlineLevel="0" collapsed="false">
      <c r="A7" s="3" t="s">
        <v>784</v>
      </c>
      <c r="B7" s="48" t="n">
        <f aca="false">B5-B6</f>
        <v>3730.74246963365</v>
      </c>
      <c r="C7" s="48" t="n">
        <f aca="false">C5-C6</f>
        <v>4255.90505816053</v>
      </c>
      <c r="D7" s="48" t="n">
        <f aca="false">D5-D6</f>
        <v>4970.65080284211</v>
      </c>
      <c r="E7" s="48" t="n">
        <f aca="false">E5-E6</f>
        <v>5903.60828100599</v>
      </c>
      <c r="F7" s="48" t="n">
        <f aca="false">F5-F6</f>
        <v>6962.73219528508</v>
      </c>
    </row>
    <row r="9" customFormat="false" ht="15" hidden="false" customHeight="true" outlineLevel="0" collapsed="false">
      <c r="A9" s="6" t="s">
        <v>785</v>
      </c>
    </row>
    <row r="10" customFormat="false" ht="15" hidden="false" customHeight="true" outlineLevel="0" collapsed="false">
      <c r="A10" s="1" t="s">
        <v>786</v>
      </c>
      <c r="B10" s="48" t="n">
        <f aca="false">ANAV!B5</f>
        <v>0</v>
      </c>
      <c r="C10" s="48" t="n">
        <f aca="false">ANAV!C5</f>
        <v>45721.6171278948</v>
      </c>
      <c r="D10" s="48" t="n">
        <f aca="false">ANAV!D5</f>
        <v>107289.117619107</v>
      </c>
      <c r="E10" s="48" t="n">
        <f aca="false">ANAV!E5</f>
        <v>175975.362518548</v>
      </c>
      <c r="F10" s="48" t="n">
        <f aca="false">ANAV!F5</f>
        <v>127165.207527775</v>
      </c>
    </row>
    <row r="11" customFormat="false" ht="15" hidden="false" customHeight="true" outlineLevel="0" collapsed="false">
      <c r="A11" s="1" t="s">
        <v>787</v>
      </c>
      <c r="B11" s="48" t="n">
        <f aca="false">Reserving!B5</f>
        <v>-3913.27258476668</v>
      </c>
      <c r="C11" s="48" t="n">
        <f aca="false">Reserving!C5</f>
        <v>41257.4878766723</v>
      </c>
      <c r="D11" s="48" t="n">
        <f aca="false">Reserving!D5</f>
        <v>102075.273009479</v>
      </c>
      <c r="E11" s="48" t="n">
        <f aca="false">Reserving!E5</f>
        <v>169782.914600927</v>
      </c>
      <c r="F11" s="48" t="n">
        <f aca="false">Reserving!F5</f>
        <v>119861.817053451</v>
      </c>
    </row>
    <row r="12" customFormat="false" ht="15" hidden="false" customHeight="true" outlineLevel="0" collapsed="false">
      <c r="A12" s="1" t="s">
        <v>788</v>
      </c>
      <c r="B12" s="48" t="n">
        <f aca="false">OwnFunds_SCR!B7</f>
        <v>3913.27258476668</v>
      </c>
      <c r="C12" s="48" t="n">
        <f aca="false">OwnFunds_SCR!C7</f>
        <v>4464.12925122245</v>
      </c>
      <c r="D12" s="48" t="n">
        <f aca="false">OwnFunds_SCR!D7</f>
        <v>5213.84460962823</v>
      </c>
      <c r="E12" s="48" t="n">
        <f aca="false">OwnFunds_SCR!E7</f>
        <v>6192.44791762077</v>
      </c>
      <c r="F12" s="48" t="n">
        <f aca="false">OwnFunds_SCR!F7</f>
        <v>7303.39047432478</v>
      </c>
    </row>
    <row r="14" customFormat="false" ht="15" hidden="false" customHeight="true" outlineLevel="0" collapsed="false">
      <c r="A14" s="6" t="s">
        <v>789</v>
      </c>
    </row>
    <row r="15" customFormat="false" ht="15" hidden="false" customHeight="true" outlineLevel="0" collapsed="false">
      <c r="A15" s="1" t="s">
        <v>790</v>
      </c>
      <c r="B15" s="48" t="n">
        <f aca="false">B6-B11</f>
        <v>182.53011513303</v>
      </c>
      <c r="C15" s="48" t="n">
        <f aca="false">C6-C11</f>
        <v>-2254.37915032255</v>
      </c>
      <c r="D15" s="48" t="n">
        <f aca="false">D6-D11</f>
        <v>-5055.58907287382</v>
      </c>
      <c r="E15" s="48" t="n">
        <f aca="false">E6-E11</f>
        <v>-8432.48675501187</v>
      </c>
      <c r="F15" s="48" t="n">
        <f aca="false">F6-F11</f>
        <v>-7498.25748752899</v>
      </c>
    </row>
    <row r="16" customFormat="false" ht="15" hidden="false" customHeight="true" outlineLevel="0" collapsed="false">
      <c r="A16" s="1" t="s">
        <v>791</v>
      </c>
      <c r="B16" s="48" t="n">
        <f aca="false">B7-B12</f>
        <v>-182.53011513303</v>
      </c>
      <c r="C16" s="48" t="n">
        <f aca="false">C7-C12</f>
        <v>-208.22419306192</v>
      </c>
      <c r="D16" s="48" t="n">
        <f aca="false">D7-D12</f>
        <v>-243.193806786119</v>
      </c>
      <c r="E16" s="48" t="n">
        <f aca="false">E7-E12</f>
        <v>-288.839636614779</v>
      </c>
      <c r="F16" s="48" t="n">
        <f aca="false">F7-F12</f>
        <v>-340.658279039708</v>
      </c>
    </row>
    <row r="17" customFormat="false" ht="15" hidden="false" customHeight="true" outlineLevel="0" collapsed="false">
      <c r="A17" s="1" t="s">
        <v>792</v>
      </c>
      <c r="B17" s="18" t="n">
        <f aca="false">IF(B11=0,"",B15/ABS(B11))</f>
        <v>0.0466438540068919</v>
      </c>
      <c r="C17" s="18" t="n">
        <f aca="false">IF(C11=0,"",C15/ABS(C11))</f>
        <v>-0.0546416969705326</v>
      </c>
      <c r="D17" s="18" t="n">
        <f aca="false">IF(D11=0,"",D15/ABS(D11))</f>
        <v>-0.0495280485059723</v>
      </c>
      <c r="E17" s="18" t="n">
        <f aca="false">IF(E11=0,"",E15/ABS(E11))</f>
        <v>-0.0496662857675187</v>
      </c>
      <c r="F17" s="18" t="n">
        <f aca="false">IF(F11=0,"",F15/ABS(F11))</f>
        <v>-0.062557515578003</v>
      </c>
    </row>
    <row r="19" customFormat="false" ht="15" hidden="false" customHeight="true" outlineLevel="0" collapsed="false">
      <c r="A19" s="6" t="s">
        <v>793</v>
      </c>
    </row>
    <row r="20" customFormat="false" ht="15" hidden="false" customHeight="true" outlineLevel="0" collapsed="false">
      <c r="A20" s="1" t="s">
        <v>794</v>
      </c>
      <c r="B20" s="32" t="n">
        <f aca="false">Projection_M!I187</f>
        <v>0.687680981645693</v>
      </c>
    </row>
    <row r="21" customFormat="false" ht="15" hidden="false" customHeight="true" outlineLevel="0" collapsed="false">
      <c r="A21" s="1" t="s">
        <v>795</v>
      </c>
      <c r="B21" s="32" t="n">
        <f aca="false">Projection!F19</f>
        <v>0.687680981645694</v>
      </c>
    </row>
    <row r="22" customFormat="false" ht="15" hidden="false" customHeight="true" outlineLevel="0" collapsed="false">
      <c r="A22" s="1" t="s">
        <v>796</v>
      </c>
      <c r="B22" s="27" t="n">
        <f aca="false">B20-B21</f>
        <v>0</v>
      </c>
    </row>
    <row r="23" customFormat="false" ht="15" hidden="false" customHeight="true" outlineLevel="0" collapsed="false">
      <c r="A23" s="1" t="s">
        <v>797</v>
      </c>
      <c r="B23" s="28" t="str">
        <f aca="false">IF(ABS(B22)&lt;0.000001,"PASS — monthly compounding reproduces the annual in-force exactly at integer years","FAIL")</f>
        <v>PASS — monthly compounding reproduces the annual in-force exactly at integer years</v>
      </c>
    </row>
    <row r="25" customFormat="false" ht="15" hidden="false" customHeight="true" outlineLevel="0" collapsed="false">
      <c r="A25" s="1" t="s">
        <v>798</v>
      </c>
      <c r="B25" s="27" t="n">
        <f aca="false">INDEX(Discount_Monthly!$G$4:$G$664,MATCH(180,Discount_Monthly!$A$4:$A$664,0))-Discount!C19</f>
        <v>0</v>
      </c>
    </row>
    <row r="26" customFormat="false" ht="15" hidden="false" customHeight="true" outlineLevel="0" collapsed="false">
      <c r="B26" s="28" t="str">
        <f aca="false">IF(ABS(B25)&lt;0.000000001,"PASS — the monthly curve ties to the annual curve at vesting","FAIL")</f>
        <v>PASS — the monthly curve ties to the annual curve at vesting</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17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15" min="2" style="1" width="14"/>
  </cols>
  <sheetData>
    <row r="1" customFormat="false" ht="15.75" hidden="false" customHeight="true" outlineLevel="0" collapsed="false">
      <c r="A1" s="15" t="s">
        <v>799</v>
      </c>
    </row>
    <row r="2" customFormat="false" ht="15" hidden="false" customHeight="true" outlineLevel="0" collapsed="false">
      <c r="A2" s="7" t="s">
        <v>800</v>
      </c>
    </row>
    <row r="3" customFormat="false" ht="15" hidden="false" customHeight="true" outlineLevel="0" collapsed="false">
      <c r="A3" s="7" t="s">
        <v>801</v>
      </c>
    </row>
    <row r="5" customFormat="false" ht="15" hidden="false" customHeight="true" outlineLevel="0" collapsed="false">
      <c r="A5" s="8" t="s">
        <v>802</v>
      </c>
      <c r="B5" s="8" t="s">
        <v>686</v>
      </c>
      <c r="C5" s="8" t="s">
        <v>803</v>
      </c>
      <c r="D5" s="8" t="s">
        <v>804</v>
      </c>
      <c r="E5" s="8" t="s">
        <v>805</v>
      </c>
      <c r="F5" s="8" t="s">
        <v>806</v>
      </c>
      <c r="G5" s="8" t="s">
        <v>807</v>
      </c>
      <c r="H5" s="8" t="s">
        <v>808</v>
      </c>
      <c r="I5" s="8" t="s">
        <v>809</v>
      </c>
      <c r="J5" s="8" t="s">
        <v>810</v>
      </c>
      <c r="K5" s="8" t="s">
        <v>811</v>
      </c>
      <c r="L5" s="8" t="s">
        <v>812</v>
      </c>
      <c r="M5" s="8" t="s">
        <v>813</v>
      </c>
      <c r="N5" s="8" t="s">
        <v>814</v>
      </c>
      <c r="O5" s="8" t="s">
        <v>815</v>
      </c>
    </row>
    <row r="6" customFormat="false" ht="15" hidden="false" customHeight="true" outlineLevel="0" collapsed="false">
      <c r="A6" s="1" t="n">
        <v>0</v>
      </c>
      <c r="B6" s="34" t="n">
        <f aca="false">12*A6</f>
        <v>0</v>
      </c>
      <c r="C6" s="12" t="n">
        <f aca="false">SUMIFS(Projection_M!$Q$7:$Q$667,Projection_M!$A$7:$A$667,"&lt;"&amp;B6)/INDEX(Discount_Monthly!$G$4:$G$664,MATCH(B6,Discount_Monthly!$A$4:$A$664,0))</f>
        <v>0</v>
      </c>
      <c r="D6" s="12" t="n">
        <f aca="false">SUMIFS(Projection_M!$P$7:$P$667,Projection_M!$A$7:$A$667,"&gt;="&amp;B6)/INDEX(Discount_Monthly!$G$4:$G$664,MATCH(B6,Discount_Monthly!$A$4:$A$664,0))</f>
        <v>-3730.74246963365</v>
      </c>
      <c r="E6" s="12" t="n">
        <f aca="false">(INDEX(Projection_M!$I$7:$I$667,B6+1)/INDEX(Projection_M!$R$7:$R$667,B6+1))*SUMIFS(Projection_M!$S$7:$S$667,Projection_M!$A$7:$A$667,"&gt;="&amp;B6)/INDEX(Discount_Monthly!$G$4:$G$664,MATCH(B6,Discount_Monthly!$A$4:$A$664,0))</f>
        <v>10739.4085702371</v>
      </c>
      <c r="F6" s="12" t="n">
        <f aca="false">(INDEX(Projection_M!$I$7:$I$667,B6+1)/INDEX(Projection_M!$T$7:$T$667,B6+1))*SUMIFS(Projection_M!$U$7:$U$667,Projection_M!$A$7:$A$667,"&gt;="&amp;B6)/INDEX(Discount_Monthly!$G$4:$G$664,MATCH(B6,Discount_Monthly!$A$4:$A$664,0))</f>
        <v>-6991.09662232916</v>
      </c>
      <c r="G6" s="12" t="n">
        <f aca="false">(INDEX(Projection_M!$I$7:$I$667,B6+1)/INDEX(Projection_M!$V$7:$V$667,B6+1))*SUMIFS(Projection_M!$W$7:$W$667,Projection_M!$A$7:$A$667,"&gt;="&amp;B6)/INDEX(Discount_Monthly!$G$4:$G$664,MATCH(B6,Discount_Monthly!$A$4:$A$664,0))</f>
        <v>70.5456792194314</v>
      </c>
      <c r="H6" s="12" t="n">
        <f aca="false">SUMIFS(Projection_M!$X$7:$X$667,Projection_M!$A$7:$A$667,"&gt;="&amp;B6)/INDEX(Discount_Monthly!$G$4:$G$664,MATCH(B6,Discount_Monthly!$A$4:$A$664,0))</f>
        <v>-3349.03790804354</v>
      </c>
      <c r="I6" s="12" t="n">
        <f aca="false">MAX(0,E6-D6)</f>
        <v>14470.1510398707</v>
      </c>
      <c r="J6" s="12" t="n">
        <f aca="false">MAX(MAX(0,F6-D6),MAX(0,G6-D6),IF(A6&lt;Assumptions!$B$6,MAX(0,-Assumptions!$B$22*D6),0))</f>
        <v>3801.28814885309</v>
      </c>
      <c r="K6" s="12" t="n">
        <f aca="false">MAX(0,H6-D6)</f>
        <v>381.704561590117</v>
      </c>
      <c r="L6" s="12" t="n">
        <f aca="false">SQRT(I6^2+J6^2+K6^2+2*Assumptions!$B$26*I6*J6+2*Assumptions!$B$27*I6*K6+2*Assumptions!$B$28*J6*K6)</f>
        <v>15990.4971237718</v>
      </c>
      <c r="M6" s="12" t="n">
        <f aca="false">L6*INDEX(Discount_Monthly!$G$4:$G$664,MATCH(B6,Discount_Monthly!$A$4:$A$664,0))</f>
        <v>15990.4971237718</v>
      </c>
      <c r="N6" s="12" t="n">
        <f aca="false">Assumptions!$B$29*SUM(M6:M61)/INDEX(Discount_Monthly!$G$4:$G$664,MATCH(B6,Discount_Monthly!$A$4:$A$664,0))</f>
        <v>20350.4097071485</v>
      </c>
      <c r="O6" s="12" t="n">
        <f aca="false">C6-D6-N6</f>
        <v>-16619.6672375148</v>
      </c>
    </row>
    <row r="7" customFormat="false" ht="15" hidden="false" customHeight="true" outlineLevel="0" collapsed="false">
      <c r="A7" s="1" t="n">
        <v>1</v>
      </c>
      <c r="B7" s="34" t="n">
        <f aca="false">12*A7</f>
        <v>12</v>
      </c>
      <c r="C7" s="12" t="n">
        <f aca="false">SUMIFS(Projection_M!$Q$7:$Q$667,Projection_M!$A$7:$A$667,"&lt;"&amp;B7)/INDEX(Discount_Monthly!$G$4:$G$664,MATCH(B7,Discount_Monthly!$A$4:$A$664,0))</f>
        <v>-481.255465858688</v>
      </c>
      <c r="D7" s="12" t="n">
        <f aca="false">SUMIFS(Projection_M!$P$7:$P$667,Projection_M!$A$7:$A$667,"&gt;="&amp;B7)/INDEX(Discount_Monthly!$G$4:$G$664,MATCH(B7,Discount_Monthly!$A$4:$A$664,0))</f>
        <v>-4308.84801000403</v>
      </c>
      <c r="E7" s="12" t="n">
        <f aca="false">(INDEX(Projection_M!$I$7:$I$667,B7+1)/INDEX(Projection_M!$R$7:$R$667,B7+1))*SUMIFS(Projection_M!$S$7:$S$667,Projection_M!$A$7:$A$667,"&gt;="&amp;B7)/INDEX(Discount_Monthly!$G$4:$G$664,MATCH(B7,Discount_Monthly!$A$4:$A$664,0))</f>
        <v>10531.5709086747</v>
      </c>
      <c r="F7" s="12" t="n">
        <f aca="false">(INDEX(Projection_M!$I$7:$I$667,B7+1)/INDEX(Projection_M!$T$7:$T$667,B7+1))*SUMIFS(Projection_M!$U$7:$U$667,Projection_M!$A$7:$A$667,"&gt;="&amp;B7)/INDEX(Discount_Monthly!$G$4:$G$664,MATCH(B7,Discount_Monthly!$A$4:$A$664,0))</f>
        <v>-7935.8148921768</v>
      </c>
      <c r="G7" s="12" t="n">
        <f aca="false">(INDEX(Projection_M!$I$7:$I$667,B7+1)/INDEX(Projection_M!$V$7:$V$667,B7+1))*SUMIFS(Projection_M!$W$7:$W$667,Projection_M!$A$7:$A$667,"&gt;="&amp;B7)/INDEX(Discount_Monthly!$G$4:$G$664,MATCH(B7,Discount_Monthly!$A$4:$A$664,0))</f>
        <v>-289.56884234893</v>
      </c>
      <c r="H7" s="12" t="n">
        <f aca="false">SUMIFS(Projection_M!$X$7:$X$667,Projection_M!$A$7:$A$667,"&gt;="&amp;B7)/INDEX(Discount_Monthly!$G$4:$G$664,MATCH(B7,Discount_Monthly!$A$4:$A$664,0))</f>
        <v>-3925.37492795747</v>
      </c>
      <c r="I7" s="12" t="n">
        <f aca="false">MAX(0,E7-D7)</f>
        <v>14840.4189186787</v>
      </c>
      <c r="J7" s="12" t="n">
        <f aca="false">MAX(MAX(0,F7-D7),MAX(0,G7-D7),IF(A7&lt;Assumptions!$B$6,MAX(0,-Assumptions!$B$22*D7),0))</f>
        <v>4019.2791676551</v>
      </c>
      <c r="K7" s="12" t="n">
        <f aca="false">MAX(0,H7-D7)</f>
        <v>383.473082046557</v>
      </c>
      <c r="L7" s="12" t="n">
        <f aca="false">SQRT(I7^2+J7^2+K7^2+2*Assumptions!$B$26*I7*J7+2*Assumptions!$B$27*I7*K7+2*Assumptions!$B$28*J7*K7)</f>
        <v>16454.4923827649</v>
      </c>
      <c r="M7" s="12" t="n">
        <f aca="false">L7*INDEX(Discount_Monthly!$G$4:$G$664,MATCH(B7,Discount_Monthly!$A$4:$A$664,0))</f>
        <v>16038.1422109682</v>
      </c>
      <c r="N7" s="12" t="n">
        <f aca="false">Assumptions!$B$29*SUM(M7:M61)/INDEX(Discount_Monthly!$G$4:$G$664,MATCH(B7,Discount_Monthly!$A$4:$A$664,0))</f>
        <v>19894.3697173998</v>
      </c>
      <c r="O7" s="12" t="n">
        <f aca="false">C7-D7-N7</f>
        <v>-16066.7771732544</v>
      </c>
    </row>
    <row r="8" customFormat="false" ht="15" hidden="false" customHeight="true" outlineLevel="0" collapsed="false">
      <c r="A8" s="1" t="n">
        <v>2</v>
      </c>
      <c r="B8" s="34" t="n">
        <f aca="false">12*A8</f>
        <v>24</v>
      </c>
      <c r="C8" s="12" t="n">
        <f aca="false">SUMIFS(Projection_M!$Q$7:$Q$667,Projection_M!$A$7:$A$667,"&lt;"&amp;B8)/INDEX(Discount_Monthly!$G$4:$G$664,MATCH(B8,Discount_Monthly!$A$4:$A$664,0))</f>
        <v>10359.8755117604</v>
      </c>
      <c r="D8" s="12" t="n">
        <f aca="false">SUMIFS(Projection_M!$P$7:$P$667,Projection_M!$A$7:$A$667,"&gt;="&amp;B8)/INDEX(Discount_Monthly!$G$4:$G$664,MATCH(B8,Discount_Monthly!$A$4:$A$664,0))</f>
        <v>6430.62177387573</v>
      </c>
      <c r="E8" s="12" t="n">
        <f aca="false">(INDEX(Projection_M!$I$7:$I$667,B8+1)/INDEX(Projection_M!$R$7:$R$667,B8+1))*SUMIFS(Projection_M!$S$7:$S$667,Projection_M!$A$7:$A$667,"&gt;="&amp;B8)/INDEX(Discount_Monthly!$G$4:$G$664,MATCH(B8,Discount_Monthly!$A$4:$A$664,0))</f>
        <v>21646.2333592198</v>
      </c>
      <c r="F8" s="12" t="n">
        <f aca="false">(INDEX(Projection_M!$I$7:$I$667,B8+1)/INDEX(Projection_M!$T$7:$T$667,B8+1))*SUMIFS(Projection_M!$U$7:$U$667,Projection_M!$A$7:$A$667,"&gt;="&amp;B8)/INDEX(Discount_Monthly!$G$4:$G$664,MATCH(B8,Discount_Monthly!$A$4:$A$664,0))</f>
        <v>2682.32339322736</v>
      </c>
      <c r="G8" s="12" t="n">
        <f aca="false">(INDEX(Projection_M!$I$7:$I$667,B8+1)/INDEX(Projection_M!$V$7:$V$667,B8+1))*SUMIFS(Projection_M!$W$7:$W$667,Projection_M!$A$7:$A$667,"&gt;="&amp;B8)/INDEX(Discount_Monthly!$G$4:$G$664,MATCH(B8,Discount_Monthly!$A$4:$A$664,0))</f>
        <v>10494.7863912612</v>
      </c>
      <c r="H8" s="12" t="n">
        <f aca="false">SUMIFS(Projection_M!$X$7:$X$667,Projection_M!$A$7:$A$667,"&gt;="&amp;B8)/INDEX(Discount_Monthly!$G$4:$G$664,MATCH(B8,Discount_Monthly!$A$4:$A$664,0))</f>
        <v>6815.38220227229</v>
      </c>
      <c r="I8" s="12" t="n">
        <f aca="false">MAX(0,E8-D8)</f>
        <v>15215.6115853441</v>
      </c>
      <c r="J8" s="12" t="n">
        <f aca="false">MAX(MAX(0,F8-D8),MAX(0,G8-D8),IF(A8&lt;Assumptions!$B$6,MAX(0,-Assumptions!$B$22*D8),0))</f>
        <v>4064.16461738551</v>
      </c>
      <c r="K8" s="12" t="n">
        <f aca="false">MAX(0,H8-D8)</f>
        <v>384.760428396562</v>
      </c>
      <c r="L8" s="12" t="n">
        <f aca="false">SQRT(I8^2+J8^2+K8^2+2*Assumptions!$B$26*I8*J8+2*Assumptions!$B$27*I8*K8+2*Assumptions!$B$28*J8*K8)</f>
        <v>16840.14839585</v>
      </c>
      <c r="M8" s="12" t="n">
        <f aca="false">L8*INDEX(Discount_Monthly!$G$4:$G$664,MATCH(B8,Discount_Monthly!$A$4:$A$664,0))</f>
        <v>15989.3610864524</v>
      </c>
      <c r="N8" s="12" t="n">
        <f aca="false">Assumptions!$B$29*SUM(M8:M61)/INDEX(Discount_Monthly!$G$4:$G$664,MATCH(B8,Discount_Monthly!$A$4:$A$664,0))</f>
        <v>19409.274413649</v>
      </c>
      <c r="O8" s="12" t="n">
        <f aca="false">C8-D8-N8</f>
        <v>-15480.0206757644</v>
      </c>
    </row>
    <row r="9" customFormat="false" ht="15" hidden="false" customHeight="true" outlineLevel="0" collapsed="false">
      <c r="A9" s="1" t="n">
        <v>3</v>
      </c>
      <c r="B9" s="34" t="n">
        <f aca="false">12*A9</f>
        <v>36</v>
      </c>
      <c r="C9" s="12" t="n">
        <f aca="false">SUMIFS(Projection_M!$Q$7:$Q$667,Projection_M!$A$7:$A$667,"&lt;"&amp;B9)/INDEX(Discount_Monthly!$G$4:$G$664,MATCH(B9,Discount_Monthly!$A$4:$A$664,0))</f>
        <v>21224.3623053581</v>
      </c>
      <c r="D9" s="12" t="n">
        <f aca="false">SUMIFS(Projection_M!$P$7:$P$667,Projection_M!$A$7:$A$667,"&gt;="&amp;B9)/INDEX(Discount_Monthly!$G$4:$G$664,MATCH(B9,Discount_Monthly!$A$4:$A$664,0))</f>
        <v>17192.1621149464</v>
      </c>
      <c r="E9" s="12" t="n">
        <f aca="false">(INDEX(Projection_M!$I$7:$I$667,B9+1)/INDEX(Projection_M!$R$7:$R$667,B9+1))*SUMIFS(Projection_M!$S$7:$S$667,Projection_M!$A$7:$A$667,"&gt;="&amp;B9)/INDEX(Discount_Monthly!$G$4:$G$664,MATCH(B9,Discount_Monthly!$A$4:$A$664,0))</f>
        <v>32771.7543638878</v>
      </c>
      <c r="F9" s="12" t="n">
        <f aca="false">(INDEX(Projection_M!$I$7:$I$667,B9+1)/INDEX(Projection_M!$T$7:$T$667,B9+1))*SUMIFS(Projection_M!$U$7:$U$667,Projection_M!$A$7:$A$667,"&gt;="&amp;B9)/INDEX(Discount_Monthly!$G$4:$G$664,MATCH(B9,Discount_Monthly!$A$4:$A$664,0))</f>
        <v>13403.4996142534</v>
      </c>
      <c r="G9" s="12" t="n">
        <f aca="false">(INDEX(Projection_M!$I$7:$I$667,B9+1)/INDEX(Projection_M!$V$7:$V$667,B9+1))*SUMIFS(Projection_M!$W$7:$W$667,Projection_M!$A$7:$A$667,"&gt;="&amp;B9)/INDEX(Discount_Monthly!$G$4:$G$664,MATCH(B9,Discount_Monthly!$A$4:$A$664,0))</f>
        <v>21251.9910782557</v>
      </c>
      <c r="H9" s="12" t="n">
        <f aca="false">SUMIFS(Projection_M!$X$7:$X$667,Projection_M!$A$7:$A$667,"&gt;="&amp;B9)/INDEX(Discount_Monthly!$G$4:$G$664,MATCH(B9,Discount_Monthly!$A$4:$A$664,0))</f>
        <v>17577.2294032133</v>
      </c>
      <c r="I9" s="12" t="n">
        <f aca="false">MAX(0,E9-D9)</f>
        <v>15579.5922489414</v>
      </c>
      <c r="J9" s="12" t="n">
        <f aca="false">MAX(MAX(0,F9-D9),MAX(0,G9-D9),IF(A9&lt;Assumptions!$B$6,MAX(0,-Assumptions!$B$22*D9),0))</f>
        <v>4059.82896330924</v>
      </c>
      <c r="K9" s="12" t="n">
        <f aca="false">MAX(0,H9-D9)</f>
        <v>385.067288266862</v>
      </c>
      <c r="L9" s="12" t="n">
        <f aca="false">SQRT(I9^2+J9^2+K9^2+2*Assumptions!$B$26*I9*J9+2*Assumptions!$B$27*I9*K9+2*Assumptions!$B$28*J9*K9)</f>
        <v>17191.3444964326</v>
      </c>
      <c r="M9" s="12" t="n">
        <f aca="false">L9*INDEX(Discount_Monthly!$G$4:$G$664,MATCH(B9,Discount_Monthly!$A$4:$A$664,0))</f>
        <v>15906.0750940533</v>
      </c>
      <c r="N9" s="12" t="n">
        <f aca="false">Assumptions!$B$29*SUM(M9:M61)/INDEX(Discount_Monthly!$G$4:$G$664,MATCH(B9,Discount_Monthly!$A$4:$A$664,0))</f>
        <v>18880.9158077709</v>
      </c>
      <c r="O9" s="12" t="n">
        <f aca="false">C9-D9-N9</f>
        <v>-14848.7156173592</v>
      </c>
    </row>
    <row r="10" customFormat="false" ht="15" hidden="false" customHeight="true" outlineLevel="0" collapsed="false">
      <c r="A10" s="1" t="n">
        <v>4</v>
      </c>
      <c r="B10" s="34" t="n">
        <f aca="false">12*A10</f>
        <v>48</v>
      </c>
      <c r="C10" s="12" t="n">
        <f aca="false">SUMIFS(Projection_M!$Q$7:$Q$667,Projection_M!$A$7:$A$667,"&lt;"&amp;B10)/INDEX(Discount_Monthly!$G$4:$G$664,MATCH(B10,Discount_Monthly!$A$4:$A$664,0))</f>
        <v>32177.3289061583</v>
      </c>
      <c r="D10" s="12" t="n">
        <f aca="false">SUMIFS(Projection_M!$P$7:$P$667,Projection_M!$A$7:$A$667,"&gt;="&amp;B10)/INDEX(Discount_Monthly!$G$4:$G$664,MATCH(B10,Discount_Monthly!$A$4:$A$664,0))</f>
        <v>28037.3879871581</v>
      </c>
      <c r="E10" s="12" t="n">
        <f aca="false">(INDEX(Projection_M!$I$7:$I$667,B10+1)/INDEX(Projection_M!$R$7:$R$667,B10+1))*SUMIFS(Projection_M!$S$7:$S$667,Projection_M!$A$7:$A$667,"&gt;="&amp;B10)/INDEX(Discount_Monthly!$G$4:$G$664,MATCH(B10,Discount_Monthly!$A$4:$A$664,0))</f>
        <v>43979.8724750949</v>
      </c>
      <c r="F10" s="12" t="n">
        <f aca="false">(INDEX(Projection_M!$I$7:$I$667,B10+1)/INDEX(Projection_M!$T$7:$T$667,B10+1))*SUMIFS(Projection_M!$U$7:$U$667,Projection_M!$A$7:$A$667,"&gt;="&amp;B10)/INDEX(Discount_Monthly!$G$4:$G$664,MATCH(B10,Discount_Monthly!$A$4:$A$664,0))</f>
        <v>24279.2741665207</v>
      </c>
      <c r="G10" s="12" t="n">
        <f aca="false">(INDEX(Projection_M!$I$7:$I$667,B10+1)/INDEX(Projection_M!$V$7:$V$667,B10+1))*SUMIFS(Projection_M!$W$7:$W$667,Projection_M!$A$7:$A$667,"&gt;="&amp;B10)/INDEX(Discount_Monthly!$G$4:$G$664,MATCH(B10,Discount_Monthly!$A$4:$A$664,0))</f>
        <v>32021.655096236</v>
      </c>
      <c r="H10" s="12" t="n">
        <f aca="false">SUMIFS(Projection_M!$X$7:$X$667,Projection_M!$A$7:$A$667,"&gt;="&amp;B10)/INDEX(Discount_Monthly!$G$4:$G$664,MATCH(B10,Discount_Monthly!$A$4:$A$664,0))</f>
        <v>28422.0359444866</v>
      </c>
      <c r="I10" s="12" t="n">
        <f aca="false">MAX(0,E10-D10)</f>
        <v>15942.4844879369</v>
      </c>
      <c r="J10" s="12" t="n">
        <f aca="false">MAX(MAX(0,F10-D10),MAX(0,G10-D10),IF(A10&lt;Assumptions!$B$6,MAX(0,-Assumptions!$B$22*D10),0))</f>
        <v>3984.26710907795</v>
      </c>
      <c r="K10" s="12" t="n">
        <f aca="false">MAX(0,H10-D10)</f>
        <v>384.647957328511</v>
      </c>
      <c r="L10" s="12" t="n">
        <f aca="false">SQRT(I10^2+J10^2+K10^2+2*Assumptions!$B$26*I10*J10+2*Assumptions!$B$27*I10*K10+2*Assumptions!$B$28*J10*K10)</f>
        <v>17508.3800118193</v>
      </c>
      <c r="M10" s="12" t="n">
        <f aca="false">L10*INDEX(Discount_Monthly!$G$4:$G$664,MATCH(B10,Discount_Monthly!$A$4:$A$664,0))</f>
        <v>15777.8234430344</v>
      </c>
      <c r="N10" s="12" t="n">
        <f aca="false">Assumptions!$B$29*SUM(M10:M61)/INDEX(Discount_Monthly!$G$4:$G$664,MATCH(B10,Discount_Monthly!$A$4:$A$664,0))</f>
        <v>18326.3735477479</v>
      </c>
      <c r="O10" s="12" t="n">
        <f aca="false">C10-D10-N10</f>
        <v>-14186.4326287476</v>
      </c>
    </row>
    <row r="11" customFormat="false" ht="15" hidden="false" customHeight="true" outlineLevel="0" collapsed="false">
      <c r="A11" s="1" t="n">
        <v>5</v>
      </c>
      <c r="B11" s="34" t="n">
        <f aca="false">12*A11</f>
        <v>60</v>
      </c>
      <c r="C11" s="12" t="n">
        <f aca="false">SUMIFS(Projection_M!$Q$7:$Q$667,Projection_M!$A$7:$A$667,"&lt;"&amp;B11)/INDEX(Discount_Monthly!$G$4:$G$664,MATCH(B11,Discount_Monthly!$A$4:$A$664,0))</f>
        <v>43259.0137845103</v>
      </c>
      <c r="D11" s="12" t="n">
        <f aca="false">SUMIFS(Projection_M!$P$7:$P$667,Projection_M!$A$7:$A$667,"&gt;="&amp;B11)/INDEX(Discount_Monthly!$G$4:$G$664,MATCH(B11,Discount_Monthly!$A$4:$A$664,0))</f>
        <v>39003.1087263498</v>
      </c>
      <c r="E11" s="12" t="n">
        <f aca="false">(INDEX(Projection_M!$I$7:$I$667,B11+1)/INDEX(Projection_M!$R$7:$R$667,B11+1))*SUMIFS(Projection_M!$S$7:$S$667,Projection_M!$A$7:$A$667,"&gt;="&amp;B11)/INDEX(Discount_Monthly!$G$4:$G$664,MATCH(B11,Discount_Monthly!$A$4:$A$664,0))</f>
        <v>55316.2895493894</v>
      </c>
      <c r="F11" s="12" t="n">
        <f aca="false">(INDEX(Projection_M!$I$7:$I$667,B11+1)/INDEX(Projection_M!$T$7:$T$667,B11+1))*SUMIFS(Projection_M!$U$7:$U$667,Projection_M!$A$7:$A$667,"&gt;="&amp;B11)/INDEX(Discount_Monthly!$G$4:$G$664,MATCH(B11,Discount_Monthly!$A$4:$A$664,0))</f>
        <v>35346.7400902163</v>
      </c>
      <c r="G11" s="12" t="n">
        <f aca="false">(INDEX(Projection_M!$I$7:$I$667,B11+1)/INDEX(Projection_M!$V$7:$V$667,B11+1))*SUMIFS(Projection_M!$W$7:$W$667,Projection_M!$A$7:$A$667,"&gt;="&amp;B11)/INDEX(Discount_Monthly!$G$4:$G$664,MATCH(B11,Discount_Monthly!$A$4:$A$664,0))</f>
        <v>42841.3779264305</v>
      </c>
      <c r="H11" s="12" t="n">
        <f aca="false">SUMIFS(Projection_M!$X$7:$X$667,Projection_M!$A$7:$A$667,"&gt;="&amp;B11)/INDEX(Discount_Monthly!$G$4:$G$664,MATCH(B11,Discount_Monthly!$A$4:$A$664,0))</f>
        <v>39386.872814862</v>
      </c>
      <c r="I11" s="12" t="n">
        <f aca="false">MAX(0,E11-D11)</f>
        <v>16313.1808230397</v>
      </c>
      <c r="J11" s="12" t="n">
        <f aca="false">MAX(MAX(0,F11-D11),MAX(0,G11-D11),IF(A11&lt;Assumptions!$B$6,MAX(0,-Assumptions!$B$22*D11),0))</f>
        <v>3838.26920008074</v>
      </c>
      <c r="K11" s="12" t="n">
        <f aca="false">MAX(0,H11-D11)</f>
        <v>383.764088512231</v>
      </c>
      <c r="L11" s="12" t="n">
        <f aca="false">SQRT(I11^2+J11^2+K11^2+2*Assumptions!$B$26*I11*J11+2*Assumptions!$B$27*I11*K11+2*Assumptions!$B$28*J11*K11)</f>
        <v>17801.9616900216</v>
      </c>
      <c r="M11" s="12" t="n">
        <f aca="false">L11*INDEX(Discount_Monthly!$G$4:$G$664,MATCH(B11,Discount_Monthly!$A$4:$A$664,0))</f>
        <v>15605.2669437274</v>
      </c>
      <c r="N11" s="12" t="n">
        <f aca="false">Assumptions!$B$29*SUM(M11:M61)/INDEX(Discount_Monthly!$G$4:$G$664,MATCH(B11,Discount_Monthly!$A$4:$A$664,0))</f>
        <v>17759.786222796</v>
      </c>
      <c r="O11" s="12" t="n">
        <f aca="false">C11-D11-N11</f>
        <v>-13503.8811646355</v>
      </c>
    </row>
    <row r="12" customFormat="false" ht="15" hidden="false" customHeight="true" outlineLevel="0" collapsed="false">
      <c r="A12" s="1" t="n">
        <v>6</v>
      </c>
      <c r="B12" s="34" t="n">
        <f aca="false">12*A12</f>
        <v>72</v>
      </c>
      <c r="C12" s="12" t="n">
        <f aca="false">SUMIFS(Projection_M!$Q$7:$Q$667,Projection_M!$A$7:$A$667,"&lt;"&amp;B12)/INDEX(Discount_Monthly!$G$4:$G$664,MATCH(B12,Discount_Monthly!$A$4:$A$664,0))</f>
        <v>54497.23891328</v>
      </c>
      <c r="D12" s="12" t="n">
        <f aca="false">SUMIFS(Projection_M!$P$7:$P$667,Projection_M!$A$7:$A$667,"&gt;="&amp;B12)/INDEX(Discount_Monthly!$G$4:$G$664,MATCH(B12,Discount_Monthly!$A$4:$A$664,0))</f>
        <v>50118.2871234892</v>
      </c>
      <c r="E12" s="12" t="n">
        <f aca="false">(INDEX(Projection_M!$I$7:$I$667,B12+1)/INDEX(Projection_M!$R$7:$R$667,B12+1))*SUMIFS(Projection_M!$S$7:$S$667,Projection_M!$A$7:$A$667,"&gt;="&amp;B12)/INDEX(Discount_Monthly!$G$4:$G$664,MATCH(B12,Discount_Monthly!$A$4:$A$664,0))</f>
        <v>66796.4461029741</v>
      </c>
      <c r="F12" s="12" t="n">
        <f aca="false">(INDEX(Projection_M!$I$7:$I$667,B12+1)/INDEX(Projection_M!$T$7:$T$667,B12+1))*SUMIFS(Projection_M!$U$7:$U$667,Projection_M!$A$7:$A$667,"&gt;="&amp;B12)/INDEX(Discount_Monthly!$G$4:$G$664,MATCH(B12,Discount_Monthly!$A$4:$A$664,0))</f>
        <v>46549.0873458363</v>
      </c>
      <c r="G12" s="12" t="n">
        <f aca="false">(INDEX(Projection_M!$I$7:$I$667,B12+1)/INDEX(Projection_M!$V$7:$V$667,B12+1))*SUMIFS(Projection_M!$W$7:$W$667,Projection_M!$A$7:$A$667,"&gt;="&amp;B12)/INDEX(Discount_Monthly!$G$4:$G$664,MATCH(B12,Discount_Monthly!$A$4:$A$664,0))</f>
        <v>53841.128303098</v>
      </c>
      <c r="H12" s="12" t="n">
        <f aca="false">SUMIFS(Projection_M!$X$7:$X$667,Projection_M!$A$7:$A$667,"&gt;="&amp;B12)/INDEX(Discount_Monthly!$G$4:$G$664,MATCH(B12,Discount_Monthly!$A$4:$A$664,0))</f>
        <v>50500.509636938</v>
      </c>
      <c r="I12" s="12" t="n">
        <f aca="false">MAX(0,E12-D12)</f>
        <v>16678.1589794849</v>
      </c>
      <c r="J12" s="12" t="n">
        <f aca="false">MAX(MAX(0,F12-D12),MAX(0,G12-D12),IF(A12&lt;Assumptions!$B$6,MAX(0,-Assumptions!$B$22*D12),0))</f>
        <v>3722.8411796088</v>
      </c>
      <c r="K12" s="12" t="n">
        <f aca="false">MAX(0,H12-D12)</f>
        <v>382.222513448782</v>
      </c>
      <c r="L12" s="12" t="n">
        <f aca="false">SQRT(I12^2+J12^2+K12^2+2*Assumptions!$B$26*I12*J12+2*Assumptions!$B$27*I12*K12+2*Assumptions!$B$28*J12*K12)</f>
        <v>18105.856334431</v>
      </c>
      <c r="M12" s="12" t="n">
        <f aca="false">L12*INDEX(Discount_Monthly!$G$4:$G$664,MATCH(B12,Discount_Monthly!$A$4:$A$664,0))</f>
        <v>15425.6750059296</v>
      </c>
      <c r="N12" s="12" t="n">
        <f aca="false">Assumptions!$B$29*SUM(M12:M61)/INDEX(Discount_Monthly!$G$4:$G$664,MATCH(B12,Discount_Monthly!$A$4:$A$664,0))</f>
        <v>17174.2580596825</v>
      </c>
      <c r="O12" s="12" t="n">
        <f aca="false">C12-D12-N12</f>
        <v>-12795.3062698916</v>
      </c>
    </row>
    <row r="13" customFormat="false" ht="15" hidden="false" customHeight="true" outlineLevel="0" collapsed="false">
      <c r="A13" s="1" t="n">
        <v>7</v>
      </c>
      <c r="B13" s="34" t="n">
        <f aca="false">12*A13</f>
        <v>84</v>
      </c>
      <c r="C13" s="12" t="n">
        <f aca="false">SUMIFS(Projection_M!$Q$7:$Q$667,Projection_M!$A$7:$A$667,"&lt;"&amp;B13)/INDEX(Discount_Monthly!$G$4:$G$664,MATCH(B13,Discount_Monthly!$A$4:$A$664,0))</f>
        <v>65952.9116946564</v>
      </c>
      <c r="D13" s="12" t="n">
        <f aca="false">SUMIFS(Projection_M!$P$7:$P$667,Projection_M!$A$7:$A$667,"&gt;="&amp;B13)/INDEX(Discount_Monthly!$G$4:$G$664,MATCH(B13,Discount_Monthly!$A$4:$A$664,0))</f>
        <v>61441.9609515311</v>
      </c>
      <c r="E13" s="12" t="n">
        <f aca="false">(INDEX(Projection_M!$I$7:$I$667,B13+1)/INDEX(Projection_M!$R$7:$R$667,B13+1))*SUMIFS(Projection_M!$S$7:$S$667,Projection_M!$A$7:$A$667,"&gt;="&amp;B13)/INDEX(Discount_Monthly!$G$4:$G$664,MATCH(B13,Discount_Monthly!$A$4:$A$664,0))</f>
        <v>78482.4234744182</v>
      </c>
      <c r="F13" s="12" t="n">
        <f aca="false">(INDEX(Projection_M!$I$7:$I$667,B13+1)/INDEX(Projection_M!$T$7:$T$667,B13+1))*SUMIFS(Projection_M!$U$7:$U$667,Projection_M!$A$7:$A$667,"&gt;="&amp;B13)/INDEX(Discount_Monthly!$G$4:$G$664,MATCH(B13,Discount_Monthly!$A$4:$A$664,0))</f>
        <v>58011.0566289137</v>
      </c>
      <c r="G13" s="12" t="n">
        <f aca="false">(INDEX(Projection_M!$I$7:$I$667,B13+1)/INDEX(Projection_M!$V$7:$V$667,B13+1))*SUMIFS(Projection_M!$W$7:$W$667,Projection_M!$A$7:$A$667,"&gt;="&amp;B13)/INDEX(Discount_Monthly!$G$4:$G$664,MATCH(B13,Discount_Monthly!$A$4:$A$664,0))</f>
        <v>64999.0166509029</v>
      </c>
      <c r="H13" s="12" t="n">
        <f aca="false">SUMIFS(Projection_M!$X$7:$X$667,Projection_M!$A$7:$A$667,"&gt;="&amp;B13)/INDEX(Discount_Monthly!$G$4:$G$664,MATCH(B13,Discount_Monthly!$A$4:$A$664,0))</f>
        <v>61822.0492740773</v>
      </c>
      <c r="I13" s="12" t="n">
        <f aca="false">MAX(0,E13-D13)</f>
        <v>17040.4625228872</v>
      </c>
      <c r="J13" s="12" t="n">
        <f aca="false">MAX(MAX(0,F13-D13),MAX(0,G13-D13),IF(A13&lt;Assumptions!$B$6,MAX(0,-Assumptions!$B$22*D13),0))</f>
        <v>3557.05569937185</v>
      </c>
      <c r="K13" s="12" t="n">
        <f aca="false">MAX(0,H13-D13)</f>
        <v>380.088322546231</v>
      </c>
      <c r="L13" s="12" t="n">
        <f aca="false">SQRT(I13^2+J13^2+K13^2+2*Assumptions!$B$26*I13*J13+2*Assumptions!$B$27*I13*K13+2*Assumptions!$B$28*J13*K13)</f>
        <v>18386.730222789</v>
      </c>
      <c r="M13" s="12" t="n">
        <f aca="false">L13*INDEX(Discount_Monthly!$G$4:$G$664,MATCH(B13,Discount_Monthly!$A$4:$A$664,0))</f>
        <v>15206.5848700291</v>
      </c>
      <c r="N13" s="12" t="n">
        <f aca="false">Assumptions!$B$29*SUM(M13:M61)/INDEX(Discount_Monthly!$G$4:$G$664,MATCH(B13,Discount_Monthly!$A$4:$A$664,0))</f>
        <v>16572.8599161428</v>
      </c>
      <c r="O13" s="12" t="n">
        <f aca="false">C13-D13-N13</f>
        <v>-12061.9091730176</v>
      </c>
    </row>
    <row r="14" customFormat="false" ht="15" hidden="false" customHeight="true" outlineLevel="0" collapsed="false">
      <c r="A14" s="1" t="n">
        <v>8</v>
      </c>
      <c r="B14" s="34" t="n">
        <f aca="false">12*A14</f>
        <v>96</v>
      </c>
      <c r="C14" s="12" t="n">
        <f aca="false">SUMIFS(Projection_M!$Q$7:$Q$667,Projection_M!$A$7:$A$667,"&lt;"&amp;B14)/INDEX(Discount_Monthly!$G$4:$G$664,MATCH(B14,Discount_Monthly!$A$4:$A$664,0))</f>
        <v>77652.1144516253</v>
      </c>
      <c r="D14" s="12" t="n">
        <f aca="false">SUMIFS(Projection_M!$P$7:$P$667,Projection_M!$A$7:$A$667,"&gt;="&amp;B14)/INDEX(Discount_Monthly!$G$4:$G$664,MATCH(B14,Discount_Monthly!$A$4:$A$664,0))</f>
        <v>72999.7621635481</v>
      </c>
      <c r="E14" s="12" t="n">
        <f aca="false">(INDEX(Projection_M!$I$7:$I$667,B14+1)/INDEX(Projection_M!$R$7:$R$667,B14+1))*SUMIFS(Projection_M!$S$7:$S$667,Projection_M!$A$7:$A$667,"&gt;="&amp;B14)/INDEX(Discount_Monthly!$G$4:$G$664,MATCH(B14,Discount_Monthly!$A$4:$A$664,0))</f>
        <v>90393.1933093372</v>
      </c>
      <c r="F14" s="12" t="n">
        <f aca="false">(INDEX(Projection_M!$I$7:$I$667,B14+1)/INDEX(Projection_M!$T$7:$T$667,B14+1))*SUMIFS(Projection_M!$U$7:$U$667,Projection_M!$A$7:$A$667,"&gt;="&amp;B14)/INDEX(Discount_Monthly!$G$4:$G$664,MATCH(B14,Discount_Monthly!$A$4:$A$664,0))</f>
        <v>69761.5388647528</v>
      </c>
      <c r="G14" s="12" t="n">
        <f aca="false">(INDEX(Projection_M!$I$7:$I$667,B14+1)/INDEX(Projection_M!$V$7:$V$667,B14+1))*SUMIFS(Projection_M!$W$7:$W$667,Projection_M!$A$7:$A$667,"&gt;="&amp;B14)/INDEX(Discount_Monthly!$G$4:$G$664,MATCH(B14,Discount_Monthly!$A$4:$A$664,0))</f>
        <v>76337.860618723</v>
      </c>
      <c r="H14" s="12" t="n">
        <f aca="false">SUMIFS(Projection_M!$X$7:$X$667,Projection_M!$A$7:$A$667,"&gt;="&amp;B14)/INDEX(Discount_Monthly!$G$4:$G$664,MATCH(B14,Discount_Monthly!$A$4:$A$664,0))</f>
        <v>73377.0811872909</v>
      </c>
      <c r="I14" s="12" t="n">
        <f aca="false">MAX(0,E14-D14)</f>
        <v>17393.4311457891</v>
      </c>
      <c r="J14" s="12" t="n">
        <f aca="false">MAX(MAX(0,F14-D14),MAX(0,G14-D14),IF(A14&lt;Assumptions!$B$6,MAX(0,-Assumptions!$B$22*D14),0))</f>
        <v>3338.09845517491</v>
      </c>
      <c r="K14" s="12" t="n">
        <f aca="false">MAX(0,H14-D14)</f>
        <v>377.319023742792</v>
      </c>
      <c r="L14" s="12" t="n">
        <f aca="false">SQRT(I14^2+J14^2+K14^2+2*Assumptions!$B$26*I14*J14+2*Assumptions!$B$27*I14*K14+2*Assumptions!$B$28*J14*K14)</f>
        <v>18638.3522625902</v>
      </c>
      <c r="M14" s="12" t="n">
        <f aca="false">L14*INDEX(Discount_Monthly!$G$4:$G$664,MATCH(B14,Discount_Monthly!$A$4:$A$664,0))</f>
        <v>14946.1794903704</v>
      </c>
      <c r="N14" s="12" t="n">
        <f aca="false">Assumptions!$B$29*SUM(M14:M61)/INDEX(Discount_Monthly!$G$4:$G$664,MATCH(B14,Discount_Monthly!$A$4:$A$664,0))</f>
        <v>15954.5723426926</v>
      </c>
      <c r="O14" s="12" t="n">
        <f aca="false">C14-D14-N14</f>
        <v>-11302.2200546154</v>
      </c>
    </row>
    <row r="15" customFormat="false" ht="15" hidden="false" customHeight="true" outlineLevel="0" collapsed="false">
      <c r="A15" s="1" t="n">
        <v>9</v>
      </c>
      <c r="B15" s="34" t="n">
        <f aca="false">12*A15</f>
        <v>108</v>
      </c>
      <c r="C15" s="12" t="n">
        <f aca="false">SUMIFS(Projection_M!$Q$7:$Q$667,Projection_M!$A$7:$A$667,"&lt;"&amp;B15)/INDEX(Discount_Monthly!$G$4:$G$664,MATCH(B15,Discount_Monthly!$A$4:$A$664,0))</f>
        <v>89610.8251880398</v>
      </c>
      <c r="D15" s="12" t="n">
        <f aca="false">SUMIFS(Projection_M!$P$7:$P$667,Projection_M!$A$7:$A$667,"&gt;="&amp;B15)/INDEX(Discount_Monthly!$G$4:$G$664,MATCH(B15,Discount_Monthly!$A$4:$A$664,0))</f>
        <v>84807.7440472768</v>
      </c>
      <c r="E15" s="12" t="n">
        <f aca="false">(INDEX(Projection_M!$I$7:$I$667,B15+1)/INDEX(Projection_M!$R$7:$R$667,B15+1))*SUMIFS(Projection_M!$S$7:$S$667,Projection_M!$A$7:$A$667,"&gt;="&amp;B15)/INDEX(Discount_Monthly!$G$4:$G$664,MATCH(B15,Discount_Monthly!$A$4:$A$664,0))</f>
        <v>102534.449453502</v>
      </c>
      <c r="F15" s="12" t="n">
        <f aca="false">(INDEX(Projection_M!$I$7:$I$667,B15+1)/INDEX(Projection_M!$T$7:$T$667,B15+1))*SUMIFS(Projection_M!$U$7:$U$667,Projection_M!$A$7:$A$667,"&gt;="&amp;B15)/INDEX(Discount_Monthly!$G$4:$G$664,MATCH(B15,Discount_Monthly!$A$4:$A$664,0))</f>
        <v>81820.6093919379</v>
      </c>
      <c r="G15" s="12" t="n">
        <f aca="false">(INDEX(Projection_M!$I$7:$I$667,B15+1)/INDEX(Projection_M!$V$7:$V$667,B15+1))*SUMIFS(Projection_M!$W$7:$W$667,Projection_M!$A$7:$A$667,"&gt;="&amp;B15)/INDEX(Discount_Monthly!$G$4:$G$664,MATCH(B15,Discount_Monthly!$A$4:$A$664,0))</f>
        <v>87870.1784549416</v>
      </c>
      <c r="H15" s="12" t="n">
        <f aca="false">SUMIFS(Projection_M!$X$7:$X$667,Projection_M!$A$7:$A$667,"&gt;="&amp;B15)/INDEX(Discount_Monthly!$G$4:$G$664,MATCH(B15,Discount_Monthly!$A$4:$A$664,0))</f>
        <v>85181.5730583627</v>
      </c>
      <c r="I15" s="12" t="n">
        <f aca="false">MAX(0,E15-D15)</f>
        <v>17726.7054062256</v>
      </c>
      <c r="J15" s="12" t="n">
        <f aca="false">MAX(MAX(0,F15-D15),MAX(0,G15-D15),IF(A15&lt;Assumptions!$B$6,MAX(0,-Assumptions!$B$22*D15),0))</f>
        <v>3062.43440766477</v>
      </c>
      <c r="K15" s="12" t="n">
        <f aca="false">MAX(0,H15-D15)</f>
        <v>373.829011085865</v>
      </c>
      <c r="L15" s="12" t="n">
        <f aca="false">SQRT(I15^2+J15^2+K15^2+2*Assumptions!$B$26*I15*J15+2*Assumptions!$B$27*I15*K15+2*Assumptions!$B$28*J15*K15)</f>
        <v>18850.8880076565</v>
      </c>
      <c r="M15" s="12" t="n">
        <f aca="false">L15*INDEX(Discount_Monthly!$G$4:$G$664,MATCH(B15,Discount_Monthly!$A$4:$A$664,0))</f>
        <v>14642.2278573667</v>
      </c>
      <c r="N15" s="12" t="n">
        <f aca="false">Assumptions!$B$29*SUM(M15:M61)/INDEX(Discount_Monthly!$G$4:$G$664,MATCH(B15,Discount_Monthly!$A$4:$A$664,0))</f>
        <v>15316.9429185113</v>
      </c>
      <c r="O15" s="12" t="n">
        <f aca="false">C15-D15-N15</f>
        <v>-10513.8617777484</v>
      </c>
    </row>
    <row r="16" customFormat="false" ht="15" hidden="false" customHeight="true" outlineLevel="0" collapsed="false">
      <c r="A16" s="1" t="n">
        <v>10</v>
      </c>
      <c r="B16" s="34" t="n">
        <f aca="false">12*A16</f>
        <v>120</v>
      </c>
      <c r="C16" s="12" t="n">
        <f aca="false">SUMIFS(Projection_M!$Q$7:$Q$667,Projection_M!$A$7:$A$667,"&lt;"&amp;B16)/INDEX(Discount_Monthly!$G$4:$G$664,MATCH(B16,Discount_Monthly!$A$4:$A$664,0))</f>
        <v>101990.334739447</v>
      </c>
      <c r="D16" s="12" t="n">
        <f aca="false">SUMIFS(Projection_M!$P$7:$P$667,Projection_M!$A$7:$A$667,"&gt;="&amp;B16)/INDEX(Discount_Monthly!$G$4:$G$664,MATCH(B16,Discount_Monthly!$A$4:$A$664,0))</f>
        <v>97019.6839366047</v>
      </c>
      <c r="E16" s="12" t="n">
        <f aca="false">(INDEX(Projection_M!$I$7:$I$667,B16+1)/INDEX(Projection_M!$R$7:$R$667,B16+1))*SUMIFS(Projection_M!$S$7:$S$667,Projection_M!$A$7:$A$667,"&gt;="&amp;B16)/INDEX(Discount_Monthly!$G$4:$G$664,MATCH(B16,Discount_Monthly!$A$4:$A$664,0))</f>
        <v>115075.236086447</v>
      </c>
      <c r="F16" s="12" t="n">
        <f aca="false">(INDEX(Projection_M!$I$7:$I$667,B16+1)/INDEX(Projection_M!$T$7:$T$667,B16+1))*SUMIFS(Projection_M!$U$7:$U$667,Projection_M!$A$7:$A$667,"&gt;="&amp;B16)/INDEX(Discount_Monthly!$G$4:$G$664,MATCH(B16,Discount_Monthly!$A$4:$A$664,0))</f>
        <v>94342.2418446379</v>
      </c>
      <c r="G16" s="12" t="n">
        <f aca="false">(INDEX(Projection_M!$I$7:$I$667,B16+1)/INDEX(Projection_M!$V$7:$V$667,B16+1))*SUMIFS(Projection_M!$W$7:$W$667,Projection_M!$A$7:$A$667,"&gt;="&amp;B16)/INDEX(Discount_Monthly!$G$4:$G$664,MATCH(B16,Discount_Monthly!$A$4:$A$664,0))</f>
        <v>99750.1884921283</v>
      </c>
      <c r="H16" s="12" t="n">
        <f aca="false">SUMIFS(Projection_M!$X$7:$X$667,Projection_M!$A$7:$A$667,"&gt;="&amp;B16)/INDEX(Discount_Monthly!$G$4:$G$664,MATCH(B16,Discount_Monthly!$A$4:$A$664,0))</f>
        <v>97389.7981941653</v>
      </c>
      <c r="I16" s="12" t="n">
        <f aca="false">MAX(0,E16-D16)</f>
        <v>18055.5521498424</v>
      </c>
      <c r="J16" s="12" t="n">
        <f aca="false">MAX(MAX(0,F16-D16),MAX(0,G16-D16),IF(A16&lt;Assumptions!$B$6,MAX(0,-Assumptions!$B$22*D16),0))</f>
        <v>2730.50455552358</v>
      </c>
      <c r="K16" s="12" t="n">
        <f aca="false">MAX(0,H16-D16)</f>
        <v>370.114257560592</v>
      </c>
      <c r="L16" s="12" t="n">
        <f aca="false">SQRT(I16^2+J16^2+K16^2+2*Assumptions!$B$26*I16*J16+2*Assumptions!$B$27*I16*K16+2*Assumptions!$B$28*J16*K16)</f>
        <v>19042.0034169624</v>
      </c>
      <c r="M16" s="12" t="n">
        <f aca="false">L16*INDEX(Discount_Monthly!$G$4:$G$664,MATCH(B16,Discount_Monthly!$A$4:$A$664,0))</f>
        <v>14292.0542344177</v>
      </c>
      <c r="N16" s="12" t="n">
        <f aca="false">Assumptions!$B$29*SUM(M16:M61)/INDEX(Discount_Monthly!$G$4:$G$664,MATCH(B16,Discount_Monthly!$A$4:$A$664,0))</f>
        <v>14680.8062682888</v>
      </c>
      <c r="O16" s="12" t="n">
        <f aca="false">C16-D16-N16</f>
        <v>-9710.1554654467</v>
      </c>
    </row>
    <row r="17" customFormat="false" ht="15" hidden="false" customHeight="true" outlineLevel="0" collapsed="false">
      <c r="A17" s="1" t="n">
        <v>11</v>
      </c>
      <c r="B17" s="34" t="n">
        <f aca="false">12*A17</f>
        <v>132</v>
      </c>
      <c r="C17" s="12" t="n">
        <f aca="false">SUMIFS(Projection_M!$Q$7:$Q$667,Projection_M!$A$7:$A$667,"&lt;"&amp;B17)/INDEX(Discount_Monthly!$G$4:$G$664,MATCH(B17,Discount_Monthly!$A$4:$A$664,0))</f>
        <v>114324.980065754</v>
      </c>
      <c r="D17" s="12" t="n">
        <f aca="false">SUMIFS(Projection_M!$P$7:$P$667,Projection_M!$A$7:$A$667,"&gt;="&amp;B17)/INDEX(Discount_Monthly!$G$4:$G$664,MATCH(B17,Discount_Monthly!$A$4:$A$664,0))</f>
        <v>109193.206540733</v>
      </c>
      <c r="E17" s="12" t="n">
        <f aca="false">(INDEX(Projection_M!$I$7:$I$667,B17+1)/INDEX(Projection_M!$R$7:$R$667,B17+1))*SUMIFS(Projection_M!$S$7:$S$667,Projection_M!$A$7:$A$667,"&gt;="&amp;B17)/INDEX(Discount_Monthly!$G$4:$G$664,MATCH(B17,Discount_Monthly!$A$4:$A$664,0))</f>
        <v>127461.382948321</v>
      </c>
      <c r="F17" s="12" t="n">
        <f aca="false">(INDEX(Projection_M!$I$7:$I$667,B17+1)/INDEX(Projection_M!$T$7:$T$667,B17+1))*SUMIFS(Projection_M!$U$7:$U$667,Projection_M!$A$7:$A$667,"&gt;="&amp;B17)/INDEX(Discount_Monthly!$G$4:$G$664,MATCH(B17,Discount_Monthly!$A$4:$A$664,0))</f>
        <v>106901.01724334</v>
      </c>
      <c r="G17" s="12" t="n">
        <f aca="false">(INDEX(Projection_M!$I$7:$I$667,B17+1)/INDEX(Projection_M!$V$7:$V$667,B17+1))*SUMIFS(Projection_M!$W$7:$W$667,Projection_M!$A$7:$A$667,"&gt;="&amp;B17)/INDEX(Discount_Monthly!$G$4:$G$664,MATCH(B17,Discount_Monthly!$A$4:$A$664,0))</f>
        <v>111518.942359035</v>
      </c>
      <c r="H17" s="12" t="n">
        <f aca="false">SUMIFS(Projection_M!$X$7:$X$667,Projection_M!$A$7:$A$667,"&gt;="&amp;B17)/INDEX(Discount_Monthly!$G$4:$G$664,MATCH(B17,Discount_Monthly!$A$4:$A$664,0))</f>
        <v>109557.575718708</v>
      </c>
      <c r="I17" s="12" t="n">
        <f aca="false">MAX(0,E17-D17)</f>
        <v>18268.1764075883</v>
      </c>
      <c r="J17" s="12" t="n">
        <f aca="false">MAX(MAX(0,F17-D17),MAX(0,G17-D17),IF(A17&lt;Assumptions!$B$6,MAX(0,-Assumptions!$B$22*D17),0))</f>
        <v>2325.73581830259</v>
      </c>
      <c r="K17" s="12" t="n">
        <f aca="false">MAX(0,H17-D17)</f>
        <v>364.369177975794</v>
      </c>
      <c r="L17" s="12" t="n">
        <f aca="false">SQRT(I17^2+J17^2+K17^2+2*Assumptions!$B$26*I17*J17+2*Assumptions!$B$27*I17*K17+2*Assumptions!$B$28*J17*K17)</f>
        <v>19096.7841275681</v>
      </c>
      <c r="M17" s="12" t="n">
        <f aca="false">L17*INDEX(Discount_Monthly!$G$4:$G$664,MATCH(B17,Discount_Monthly!$A$4:$A$664,0))</f>
        <v>13883.1503827603</v>
      </c>
      <c r="N17" s="12" t="n">
        <f aca="false">Assumptions!$B$29*SUM(M17:M61)/INDEX(Discount_Monthly!$G$4:$G$664,MATCH(B17,Discount_Monthly!$A$4:$A$664,0))</f>
        <v>13977.1270904688</v>
      </c>
      <c r="O17" s="12" t="n">
        <f aca="false">C17-D17-N17</f>
        <v>-8845.3535654471</v>
      </c>
    </row>
    <row r="18" customFormat="false" ht="15" hidden="false" customHeight="true" outlineLevel="0" collapsed="false">
      <c r="A18" s="1" t="n">
        <v>12</v>
      </c>
      <c r="B18" s="34" t="n">
        <f aca="false">12*A18</f>
        <v>144</v>
      </c>
      <c r="C18" s="12" t="n">
        <f aca="false">SUMIFS(Projection_M!$Q$7:$Q$667,Projection_M!$A$7:$A$667,"&lt;"&amp;B18)/INDEX(Discount_Monthly!$G$4:$G$664,MATCH(B18,Discount_Monthly!$A$4:$A$664,0))</f>
        <v>127207.736302801</v>
      </c>
      <c r="D18" s="12" t="n">
        <f aca="false">SUMIFS(Projection_M!$P$7:$P$667,Projection_M!$A$7:$A$667,"&gt;="&amp;B18)/INDEX(Discount_Monthly!$G$4:$G$664,MATCH(B18,Discount_Monthly!$A$4:$A$664,0))</f>
        <v>121893.545144704</v>
      </c>
      <c r="E18" s="12" t="n">
        <f aca="false">(INDEX(Projection_M!$I$7:$I$667,B18+1)/INDEX(Projection_M!$R$7:$R$667,B18+1))*SUMIFS(Projection_M!$S$7:$S$667,Projection_M!$A$7:$A$667,"&gt;="&amp;B18)/INDEX(Discount_Monthly!$G$4:$G$664,MATCH(B18,Discount_Monthly!$A$4:$A$664,0))</f>
        <v>140350.360723872</v>
      </c>
      <c r="F18" s="12" t="n">
        <f aca="false">(INDEX(Projection_M!$I$7:$I$667,B18+1)/INDEX(Projection_M!$T$7:$T$667,B18+1))*SUMIFS(Projection_M!$U$7:$U$667,Projection_M!$A$7:$A$667,"&gt;="&amp;B18)/INDEX(Discount_Monthly!$G$4:$G$664,MATCH(B18,Discount_Monthly!$A$4:$A$664,0))</f>
        <v>120052.761069466</v>
      </c>
      <c r="G18" s="12" t="n">
        <f aca="false">(INDEX(Projection_M!$I$7:$I$667,B18+1)/INDEX(Projection_M!$V$7:$V$667,B18+1))*SUMIFS(Projection_M!$W$7:$W$667,Projection_M!$A$7:$A$667,"&gt;="&amp;B18)/INDEX(Discount_Monthly!$G$4:$G$664,MATCH(B18,Discount_Monthly!$A$4:$A$664,0))</f>
        <v>123752.051167969</v>
      </c>
      <c r="H18" s="12" t="n">
        <f aca="false">SUMIFS(Projection_M!$X$7:$X$667,Projection_M!$A$7:$A$667,"&gt;="&amp;B18)/INDEX(Discount_Monthly!$G$4:$G$664,MATCH(B18,Discount_Monthly!$A$4:$A$664,0))</f>
        <v>122252.108637171</v>
      </c>
      <c r="I18" s="12" t="n">
        <f aca="false">MAX(0,E18-D18)</f>
        <v>18456.8155791684</v>
      </c>
      <c r="J18" s="12" t="n">
        <f aca="false">MAX(MAX(0,F18-D18),MAX(0,G18-D18),IF(A18&lt;Assumptions!$B$6,MAX(0,-Assumptions!$B$22*D18),0))</f>
        <v>1858.50602326552</v>
      </c>
      <c r="K18" s="12" t="n">
        <f aca="false">MAX(0,H18-D18)</f>
        <v>358.563492467321</v>
      </c>
      <c r="L18" s="12" t="n">
        <f aca="false">SQRT(I18^2+J18^2+K18^2+2*Assumptions!$B$26*I18*J18+2*Assumptions!$B$27*I18*K18+2*Assumptions!$B$28*J18*K18)</f>
        <v>19114.4727298346</v>
      </c>
      <c r="M18" s="12" t="n">
        <f aca="false">L18*INDEX(Discount_Monthly!$G$4:$G$664,MATCH(B18,Discount_Monthly!$A$4:$A$664,0))</f>
        <v>13419.0082886259</v>
      </c>
      <c r="N18" s="12" t="n">
        <f aca="false">Assumptions!$B$29*SUM(M18:M61)/INDEX(Discount_Monthly!$G$4:$G$664,MATCH(B18,Discount_Monthly!$A$4:$A$664,0))</f>
        <v>13287.4311747715</v>
      </c>
      <c r="O18" s="12" t="n">
        <f aca="false">C18-D18-N18</f>
        <v>-7973.24001667438</v>
      </c>
    </row>
    <row r="19" customFormat="false" ht="15" hidden="false" customHeight="true" outlineLevel="0" collapsed="false">
      <c r="A19" s="1" t="n">
        <v>13</v>
      </c>
      <c r="B19" s="34" t="n">
        <f aca="false">12*A19</f>
        <v>156</v>
      </c>
      <c r="C19" s="12" t="n">
        <f aca="false">SUMIFS(Projection_M!$Q$7:$Q$667,Projection_M!$A$7:$A$667,"&lt;"&amp;B19)/INDEX(Discount_Monthly!$G$4:$G$664,MATCH(B19,Discount_Monthly!$A$4:$A$664,0))</f>
        <v>140275.757781492</v>
      </c>
      <c r="D19" s="12" t="n">
        <f aca="false">SUMIFS(Projection_M!$P$7:$P$667,Projection_M!$A$7:$A$667,"&gt;="&amp;B19)/INDEX(Discount_Monthly!$G$4:$G$664,MATCH(B19,Discount_Monthly!$A$4:$A$664,0))</f>
        <v>134774.173631829</v>
      </c>
      <c r="E19" s="12" t="n">
        <f aca="false">(INDEX(Projection_M!$I$7:$I$667,B19+1)/INDEX(Projection_M!$R$7:$R$667,B19+1))*SUMIFS(Projection_M!$S$7:$S$667,Projection_M!$A$7:$A$667,"&gt;="&amp;B19)/INDEX(Discount_Monthly!$G$4:$G$664,MATCH(B19,Discount_Monthly!$A$4:$A$664,0))</f>
        <v>153316.020180241</v>
      </c>
      <c r="F19" s="12" t="n">
        <f aca="false">(INDEX(Projection_M!$I$7:$I$667,B19+1)/INDEX(Projection_M!$T$7:$T$667,B19+1))*SUMIFS(Projection_M!$U$7:$U$667,Projection_M!$A$7:$A$667,"&gt;="&amp;B19)/INDEX(Discount_Monthly!$G$4:$G$664,MATCH(B19,Discount_Monthly!$A$4:$A$664,0))</f>
        <v>133463.440827801</v>
      </c>
      <c r="G19" s="12" t="n">
        <f aca="false">(INDEX(Projection_M!$I$7:$I$667,B19+1)/INDEX(Projection_M!$V$7:$V$667,B19+1))*SUMIFS(Projection_M!$W$7:$W$667,Projection_M!$A$7:$A$667,"&gt;="&amp;B19)/INDEX(Discount_Monthly!$G$4:$G$664,MATCH(B19,Discount_Monthly!$A$4:$A$664,0))</f>
        <v>136091.157527914</v>
      </c>
      <c r="H19" s="12" t="n">
        <f aca="false">SUMIFS(Projection_M!$X$7:$X$667,Projection_M!$A$7:$A$667,"&gt;="&amp;B19)/INDEX(Discount_Monthly!$G$4:$G$664,MATCH(B19,Discount_Monthly!$A$4:$A$664,0))</f>
        <v>135125.66779073</v>
      </c>
      <c r="I19" s="12" t="n">
        <f aca="false">MAX(0,E19-D19)</f>
        <v>18541.8465484118</v>
      </c>
      <c r="J19" s="12" t="n">
        <f aca="false">MAX(MAX(0,F19-D19),MAX(0,G19-D19),IF(A19&lt;Assumptions!$B$6,MAX(0,-Assumptions!$B$22*D19),0))</f>
        <v>1316.98389608556</v>
      </c>
      <c r="K19" s="12" t="n">
        <f aca="false">MAX(0,H19-D19)</f>
        <v>351.494158900954</v>
      </c>
      <c r="L19" s="12" t="n">
        <f aca="false">SQRT(I19^2+J19^2+K19^2+2*Assumptions!$B$26*I19*J19+2*Assumptions!$B$27*I19*K19+2*Assumptions!$B$28*J19*K19)</f>
        <v>19015.5018953079</v>
      </c>
      <c r="M19" s="12" t="n">
        <f aca="false">L19*INDEX(Discount_Monthly!$G$4:$G$664,MATCH(B19,Discount_Monthly!$A$4:$A$664,0))</f>
        <v>12894.8205775547</v>
      </c>
      <c r="N19" s="12" t="n">
        <f aca="false">Assumptions!$B$29*SUM(M19:M61)/INDEX(Discount_Monthly!$G$4:$G$664,MATCH(B19,Discount_Monthly!$A$4:$A$664,0))</f>
        <v>12568.6724360892</v>
      </c>
      <c r="O19" s="12" t="n">
        <f aca="false">C19-D19-N19</f>
        <v>-7067.08828642612</v>
      </c>
    </row>
    <row r="20" customFormat="false" ht="15" hidden="false" customHeight="true" outlineLevel="0" collapsed="false">
      <c r="A20" s="1" t="n">
        <v>14</v>
      </c>
      <c r="B20" s="34" t="n">
        <f aca="false">12*A20</f>
        <v>168</v>
      </c>
      <c r="C20" s="12" t="n">
        <f aca="false">SUMIFS(Projection_M!$Q$7:$Q$667,Projection_M!$A$7:$A$667,"&lt;"&amp;B20)/INDEX(Discount_Monthly!$G$4:$G$664,MATCH(B20,Discount_Monthly!$A$4:$A$664,0))</f>
        <v>153453.007642036</v>
      </c>
      <c r="D20" s="12" t="n">
        <f aca="false">SUMIFS(Projection_M!$P$7:$P$667,Projection_M!$A$7:$A$667,"&gt;="&amp;B20)/INDEX(Discount_Monthly!$G$4:$G$664,MATCH(B20,Discount_Monthly!$A$4:$A$664,0))</f>
        <v>147761.410009117</v>
      </c>
      <c r="E20" s="12" t="n">
        <f aca="false">(INDEX(Projection_M!$I$7:$I$667,B20+1)/INDEX(Projection_M!$R$7:$R$667,B20+1))*SUMIFS(Projection_M!$S$7:$S$667,Projection_M!$A$7:$A$667,"&gt;="&amp;B20)/INDEX(Discount_Monthly!$G$4:$G$664,MATCH(B20,Discount_Monthly!$A$4:$A$664,0))</f>
        <v>166253.159093591</v>
      </c>
      <c r="F20" s="12" t="n">
        <f aca="false">(INDEX(Projection_M!$I$7:$I$667,B20+1)/INDEX(Projection_M!$T$7:$T$667,B20+1))*SUMIFS(Projection_M!$U$7:$U$667,Projection_M!$A$7:$A$667,"&gt;="&amp;B20)/INDEX(Discount_Monthly!$G$4:$G$664,MATCH(B20,Discount_Monthly!$A$4:$A$664,0))</f>
        <v>147063.342810161</v>
      </c>
      <c r="G20" s="12" t="n">
        <f aca="false">(INDEX(Projection_M!$I$7:$I$667,B20+1)/INDEX(Projection_M!$V$7:$V$667,B20+1))*SUMIFS(Projection_M!$W$7:$W$667,Projection_M!$A$7:$A$667,"&gt;="&amp;B20)/INDEX(Discount_Monthly!$G$4:$G$664,MATCH(B20,Discount_Monthly!$A$4:$A$664,0))</f>
        <v>148459.504328214</v>
      </c>
      <c r="H20" s="12" t="n">
        <f aca="false">SUMIFS(Projection_M!$X$7:$X$667,Projection_M!$A$7:$A$667,"&gt;="&amp;B20)/INDEX(Discount_Monthly!$G$4:$G$664,MATCH(B20,Discount_Monthly!$A$4:$A$664,0))</f>
        <v>148104.418685367</v>
      </c>
      <c r="I20" s="12" t="n">
        <f aca="false">MAX(0,E20-D20)</f>
        <v>18491.7490844744</v>
      </c>
      <c r="J20" s="12" t="n">
        <f aca="false">MAX(MAX(0,F20-D20),MAX(0,G20-D20),IF(A20&lt;Assumptions!$B$6,MAX(0,-Assumptions!$B$22*D20),0))</f>
        <v>698.094319097349</v>
      </c>
      <c r="K20" s="12" t="n">
        <f aca="false">MAX(0,H20-D20)</f>
        <v>343.008676250785</v>
      </c>
      <c r="L20" s="12" t="n">
        <f aca="false">SQRT(I20^2+J20^2+K20^2+2*Assumptions!$B$26*I20*J20+2*Assumptions!$B$27*I20*K20+2*Assumptions!$B$28*J20*K20)</f>
        <v>18772.7231621395</v>
      </c>
      <c r="M20" s="12" t="n">
        <f aca="false">L20*INDEX(Discount_Monthly!$G$4:$G$664,MATCH(B20,Discount_Monthly!$A$4:$A$664,0))</f>
        <v>12305.190930326</v>
      </c>
      <c r="N20" s="12" t="n">
        <f aca="false">Assumptions!$B$29*SUM(M20:M61)/INDEX(Discount_Monthly!$G$4:$G$664,MATCH(B20,Discount_Monthly!$A$4:$A$664,0))</f>
        <v>11822.4332087342</v>
      </c>
      <c r="O20" s="12" t="n">
        <f aca="false">C20-D20-N20</f>
        <v>-6130.83557581441</v>
      </c>
    </row>
    <row r="21" customFormat="false" ht="15" hidden="false" customHeight="true" outlineLevel="0" collapsed="false">
      <c r="A21" s="1" t="n">
        <v>15</v>
      </c>
      <c r="B21" s="34" t="n">
        <f aca="false">12*A21</f>
        <v>180</v>
      </c>
      <c r="C21" s="12" t="n">
        <f aca="false">SUMIFS(Projection_M!$Q$7:$Q$667,Projection_M!$A$7:$A$667,"&lt;"&amp;B21)/INDEX(Discount_Monthly!$G$4:$G$664,MATCH(B21,Discount_Monthly!$A$4:$A$664,0))</f>
        <v>167254.036126921</v>
      </c>
      <c r="D21" s="12" t="n">
        <f aca="false">SUMIFS(Projection_M!$P$7:$P$667,Projection_M!$A$7:$A$667,"&gt;="&amp;B21)/INDEX(Discount_Monthly!$G$4:$G$664,MATCH(B21,Discount_Monthly!$A$4:$A$664,0))</f>
        <v>161350.427845915</v>
      </c>
      <c r="E21" s="12" t="n">
        <f aca="false">(INDEX(Projection_M!$I$7:$I$667,B21+1)/INDEX(Projection_M!$R$7:$R$667,B21+1))*SUMIFS(Projection_M!$S$7:$S$667,Projection_M!$A$7:$A$667,"&gt;="&amp;B21)/INDEX(Discount_Monthly!$G$4:$G$664,MATCH(B21,Discount_Monthly!$A$4:$A$664,0))</f>
        <v>179690.265260682</v>
      </c>
      <c r="F21" s="12" t="n">
        <f aca="false">(INDEX(Projection_M!$I$7:$I$667,B21+1)/INDEX(Projection_M!$T$7:$T$667,B21+1))*SUMIFS(Projection_M!$U$7:$U$667,Projection_M!$A$7:$A$667,"&gt;="&amp;B21)/INDEX(Discount_Monthly!$G$4:$G$664,MATCH(B21,Discount_Monthly!$A$4:$A$664,0))</f>
        <v>161350.427845915</v>
      </c>
      <c r="G21" s="12" t="n">
        <f aca="false">(INDEX(Projection_M!$I$7:$I$667,B21+1)/INDEX(Projection_M!$V$7:$V$667,B21+1))*SUMIFS(Projection_M!$W$7:$W$667,Projection_M!$A$7:$A$667,"&gt;="&amp;B21)/INDEX(Discount_Monthly!$G$4:$G$664,MATCH(B21,Discount_Monthly!$A$4:$A$664,0))</f>
        <v>161350.427845915</v>
      </c>
      <c r="H21" s="12" t="n">
        <f aca="false">SUMIFS(Projection_M!$X$7:$X$667,Projection_M!$A$7:$A$667,"&gt;="&amp;B21)/INDEX(Discount_Monthly!$G$4:$G$664,MATCH(B21,Discount_Monthly!$A$4:$A$664,0))</f>
        <v>161684.687850378</v>
      </c>
      <c r="I21" s="12" t="n">
        <f aca="false">MAX(0,E21-D21)</f>
        <v>18339.8374147667</v>
      </c>
      <c r="J21" s="12" t="n">
        <f aca="false">MAX(MAX(0,F21-D21),MAX(0,G21-D21),IF(A21&lt;Assumptions!$B$6,MAX(0,-Assumptions!$B$22*D21),0))</f>
        <v>0</v>
      </c>
      <c r="K21" s="12" t="n">
        <f aca="false">MAX(0,H21-D21)</f>
        <v>334.2600044625</v>
      </c>
      <c r="L21" s="12" t="n">
        <f aca="false">SQRT(I21^2+J21^2+K21^2+2*Assumptions!$B$26*I21*J21+2*Assumptions!$B$27*I21*K21+2*Assumptions!$B$28*J21*K21)</f>
        <v>18426.2449570907</v>
      </c>
      <c r="M21" s="12" t="n">
        <f aca="false">L21*INDEX(Discount_Monthly!$G$4:$G$664,MATCH(B21,Discount_Monthly!$A$4:$A$664,0))</f>
        <v>11644.3319653277</v>
      </c>
      <c r="N21" s="12" t="n">
        <f aca="false">Assumptions!$B$29*SUM(M21:M61)/INDEX(Discount_Monthly!$G$4:$G$664,MATCH(B21,Discount_Monthly!$A$4:$A$664,0))</f>
        <v>11094.495856923</v>
      </c>
      <c r="O21" s="12" t="n">
        <f aca="false">C21-D21-N21</f>
        <v>-5190.88757591698</v>
      </c>
    </row>
    <row r="22" customFormat="false" ht="15" hidden="false" customHeight="true" outlineLevel="0" collapsed="false">
      <c r="A22" s="1" t="n">
        <v>16</v>
      </c>
      <c r="B22" s="34" t="n">
        <f aca="false">12*A22</f>
        <v>192</v>
      </c>
      <c r="C22" s="12" t="n">
        <f aca="false">SUMIFS(Projection_M!$Q$7:$Q$667,Projection_M!$A$7:$A$667,"&lt;"&amp;B22)/INDEX(Discount_Monthly!$G$4:$G$664,MATCH(B22,Discount_Monthly!$A$4:$A$664,0))</f>
        <v>158316.398494613</v>
      </c>
      <c r="D22" s="12" t="n">
        <f aca="false">SUMIFS(Projection_M!$P$7:$P$667,Projection_M!$A$7:$A$667,"&gt;="&amp;B22)/INDEX(Discount_Monthly!$G$4:$G$664,MATCH(B22,Discount_Monthly!$A$4:$A$664,0))</f>
        <v>152199.068170383</v>
      </c>
      <c r="E22" s="12" t="n">
        <f aca="false">(INDEX(Projection_M!$I$7:$I$667,B22+1)/INDEX(Projection_M!$R$7:$R$667,B22+1))*SUMIFS(Projection_M!$S$7:$S$667,Projection_M!$A$7:$A$667,"&gt;="&amp;B22)/INDEX(Discount_Monthly!$G$4:$G$664,MATCH(B22,Discount_Monthly!$A$4:$A$664,0))</f>
        <v>170218.45294309</v>
      </c>
      <c r="F22" s="12" t="n">
        <f aca="false">(INDEX(Projection_M!$I$7:$I$667,B22+1)/INDEX(Projection_M!$T$7:$T$667,B22+1))*SUMIFS(Projection_M!$U$7:$U$667,Projection_M!$A$7:$A$667,"&gt;="&amp;B22)/INDEX(Discount_Monthly!$G$4:$G$664,MATCH(B22,Discount_Monthly!$A$4:$A$664,0))</f>
        <v>152199.068170383</v>
      </c>
      <c r="G22" s="12" t="n">
        <f aca="false">(INDEX(Projection_M!$I$7:$I$667,B22+1)/INDEX(Projection_M!$V$7:$V$667,B22+1))*SUMIFS(Projection_M!$W$7:$W$667,Projection_M!$A$7:$A$667,"&gt;="&amp;B22)/INDEX(Discount_Monthly!$G$4:$G$664,MATCH(B22,Discount_Monthly!$A$4:$A$664,0))</f>
        <v>152199.068170383</v>
      </c>
      <c r="H22" s="12" t="n">
        <f aca="false">SUMIFS(Projection_M!$X$7:$X$667,Projection_M!$A$7:$A$667,"&gt;="&amp;B22)/INDEX(Discount_Monthly!$G$4:$G$664,MATCH(B22,Discount_Monthly!$A$4:$A$664,0))</f>
        <v>152523.025340809</v>
      </c>
      <c r="I22" s="12" t="n">
        <f aca="false">MAX(0,E22-D22)</f>
        <v>18019.3847727073</v>
      </c>
      <c r="J22" s="12" t="n">
        <f aca="false">MAX(MAX(0,F22-D22),MAX(0,G22-D22),IF(A22&lt;Assumptions!$B$6,MAX(0,-Assumptions!$B$22*D22),0))</f>
        <v>0</v>
      </c>
      <c r="K22" s="12" t="n">
        <f aca="false">MAX(0,H22-D22)</f>
        <v>323.957170425681</v>
      </c>
      <c r="L22" s="12" t="n">
        <f aca="false">SQRT(I22^2+J22^2+K22^2+2*Assumptions!$B$26*I22*J22+2*Assumptions!$B$27*I22*K22+2*Assumptions!$B$28*J22*K22)</f>
        <v>18103.0917328239</v>
      </c>
      <c r="M22" s="12" t="n">
        <f aca="false">L22*INDEX(Discount_Monthly!$G$4:$G$664,MATCH(B22,Discount_Monthly!$A$4:$A$664,0))</f>
        <v>11040.4326037149</v>
      </c>
      <c r="N22" s="12" t="n">
        <f aca="false">Assumptions!$B$29*SUM(M22:M61)/INDEX(Discount_Monthly!$G$4:$G$664,MATCH(B22,Discount_Monthly!$A$4:$A$664,0))</f>
        <v>10350.5394339819</v>
      </c>
      <c r="O22" s="12" t="n">
        <f aca="false">C22-D22-N22</f>
        <v>-4233.20910975207</v>
      </c>
    </row>
    <row r="23" customFormat="false" ht="15" hidden="false" customHeight="true" outlineLevel="0" collapsed="false">
      <c r="A23" s="1" t="n">
        <v>17</v>
      </c>
      <c r="B23" s="34" t="n">
        <f aca="false">12*A23</f>
        <v>204</v>
      </c>
      <c r="C23" s="12" t="n">
        <f aca="false">SUMIFS(Projection_M!$Q$7:$Q$667,Projection_M!$A$7:$A$667,"&lt;"&amp;B23)/INDEX(Discount_Monthly!$G$4:$G$664,MATCH(B23,Discount_Monthly!$A$4:$A$664,0))</f>
        <v>148902.999887749</v>
      </c>
      <c r="D23" s="12" t="n">
        <f aca="false">SUMIFS(Projection_M!$P$7:$P$667,Projection_M!$A$7:$A$667,"&gt;="&amp;B23)/INDEX(Discount_Monthly!$G$4:$G$664,MATCH(B23,Discount_Monthly!$A$4:$A$664,0))</f>
        <v>142575.944148983</v>
      </c>
      <c r="E23" s="12" t="n">
        <f aca="false">(INDEX(Projection_M!$I$7:$I$667,B23+1)/INDEX(Projection_M!$R$7:$R$667,B23+1))*SUMIFS(Projection_M!$S$7:$S$667,Projection_M!$A$7:$A$667,"&gt;="&amp;B23)/INDEX(Discount_Monthly!$G$4:$G$664,MATCH(B23,Discount_Monthly!$A$4:$A$664,0))</f>
        <v>160167.956273366</v>
      </c>
      <c r="F23" s="12" t="n">
        <f aca="false">(INDEX(Projection_M!$I$7:$I$667,B23+1)/INDEX(Projection_M!$T$7:$T$667,B23+1))*SUMIFS(Projection_M!$U$7:$U$667,Projection_M!$A$7:$A$667,"&gt;="&amp;B23)/INDEX(Discount_Monthly!$G$4:$G$664,MATCH(B23,Discount_Monthly!$A$4:$A$664,0))</f>
        <v>142575.944148983</v>
      </c>
      <c r="G23" s="12" t="n">
        <f aca="false">(INDEX(Projection_M!$I$7:$I$667,B23+1)/INDEX(Projection_M!$V$7:$V$667,B23+1))*SUMIFS(Projection_M!$W$7:$W$667,Projection_M!$A$7:$A$667,"&gt;="&amp;B23)/INDEX(Discount_Monthly!$G$4:$G$664,MATCH(B23,Discount_Monthly!$A$4:$A$664,0))</f>
        <v>142575.944148983</v>
      </c>
      <c r="H23" s="12" t="n">
        <f aca="false">SUMIFS(Projection_M!$X$7:$X$667,Projection_M!$A$7:$A$667,"&gt;="&amp;B23)/INDEX(Discount_Monthly!$G$4:$G$664,MATCH(B23,Discount_Monthly!$A$4:$A$664,0))</f>
        <v>142887.706902797</v>
      </c>
      <c r="I23" s="12" t="n">
        <f aca="false">MAX(0,E23-D23)</f>
        <v>17592.0121243824</v>
      </c>
      <c r="J23" s="12" t="n">
        <f aca="false">MAX(MAX(0,F23-D23),MAX(0,G23-D23),IF(A23&lt;Assumptions!$B$6,MAX(0,-Assumptions!$B$22*D23),0))</f>
        <v>0</v>
      </c>
      <c r="K23" s="12" t="n">
        <f aca="false">MAX(0,H23-D23)</f>
        <v>311.762753813557</v>
      </c>
      <c r="L23" s="12" t="n">
        <f aca="false">SQRT(I23^2+J23^2+K23^2+2*Assumptions!$B$26*I23*J23+2*Assumptions!$B$27*I23*K23+2*Assumptions!$B$28*J23*K23)</f>
        <v>17672.5310488224</v>
      </c>
      <c r="M23" s="12" t="n">
        <f aca="false">L23*INDEX(Discount_Monthly!$G$4:$G$664,MATCH(B23,Discount_Monthly!$A$4:$A$664,0))</f>
        <v>10420.591322723</v>
      </c>
      <c r="N23" s="12" t="n">
        <f aca="false">Assumptions!$B$29*SUM(M23:M61)/INDEX(Discount_Monthly!$G$4:$G$664,MATCH(B23,Discount_Monthly!$A$4:$A$664,0))</f>
        <v>9581.97131625671</v>
      </c>
      <c r="O23" s="12" t="n">
        <f aca="false">C23-D23-N23</f>
        <v>-3254.91557749154</v>
      </c>
    </row>
    <row r="24" customFormat="false" ht="15" hidden="false" customHeight="true" outlineLevel="0" collapsed="false">
      <c r="A24" s="1" t="n">
        <v>18</v>
      </c>
      <c r="B24" s="34" t="n">
        <f aca="false">12*A24</f>
        <v>216</v>
      </c>
      <c r="C24" s="12" t="n">
        <f aca="false">SUMIFS(Projection_M!$Q$7:$Q$667,Projection_M!$A$7:$A$667,"&lt;"&amp;B24)/INDEX(Discount_Monthly!$G$4:$G$664,MATCH(B24,Discount_Monthly!$A$4:$A$664,0))</f>
        <v>139199.173681695</v>
      </c>
      <c r="D24" s="12" t="n">
        <f aca="false">SUMIFS(Projection_M!$P$7:$P$667,Projection_M!$A$7:$A$667,"&gt;="&amp;B24)/INDEX(Discount_Monthly!$G$4:$G$664,MATCH(B24,Discount_Monthly!$A$4:$A$664,0))</f>
        <v>132662.178628754</v>
      </c>
      <c r="E24" s="12" t="n">
        <f aca="false">(INDEX(Projection_M!$I$7:$I$667,B24+1)/INDEX(Projection_M!$R$7:$R$667,B24+1))*SUMIFS(Projection_M!$S$7:$S$667,Projection_M!$A$7:$A$667,"&gt;="&amp;B24)/INDEX(Discount_Monthly!$G$4:$G$664,MATCH(B24,Discount_Monthly!$A$4:$A$664,0))</f>
        <v>149734.538640173</v>
      </c>
      <c r="F24" s="12" t="n">
        <f aca="false">(INDEX(Projection_M!$I$7:$I$667,B24+1)/INDEX(Projection_M!$T$7:$T$667,B24+1))*SUMIFS(Projection_M!$U$7:$U$667,Projection_M!$A$7:$A$667,"&gt;="&amp;B24)/INDEX(Discount_Monthly!$G$4:$G$664,MATCH(B24,Discount_Monthly!$A$4:$A$664,0))</f>
        <v>132662.178628754</v>
      </c>
      <c r="G24" s="12" t="n">
        <f aca="false">(INDEX(Projection_M!$I$7:$I$667,B24+1)/INDEX(Projection_M!$V$7:$V$667,B24+1))*SUMIFS(Projection_M!$W$7:$W$667,Projection_M!$A$7:$A$667,"&gt;="&amp;B24)/INDEX(Discount_Monthly!$G$4:$G$664,MATCH(B24,Discount_Monthly!$A$4:$A$664,0))</f>
        <v>132662.178628754</v>
      </c>
      <c r="H24" s="12" t="n">
        <f aca="false">SUMIFS(Projection_M!$X$7:$X$667,Projection_M!$A$7:$A$667,"&gt;="&amp;B24)/INDEX(Discount_Monthly!$G$4:$G$664,MATCH(B24,Discount_Monthly!$A$4:$A$664,0))</f>
        <v>132960.16483448</v>
      </c>
      <c r="I24" s="12" t="n">
        <f aca="false">MAX(0,E24-D24)</f>
        <v>17072.3600114192</v>
      </c>
      <c r="J24" s="12" t="n">
        <f aca="false">MAX(MAX(0,F24-D24),MAX(0,G24-D24),IF(A24&lt;Assumptions!$B$6,MAX(0,-Assumptions!$B$22*D24),0))</f>
        <v>0</v>
      </c>
      <c r="K24" s="12" t="n">
        <f aca="false">MAX(0,H24-D24)</f>
        <v>297.986205726309</v>
      </c>
      <c r="L24" s="12" t="n">
        <f aca="false">SQRT(I24^2+J24^2+K24^2+2*Assumptions!$B$26*I24*J24+2*Assumptions!$B$27*I24*K24+2*Assumptions!$B$28*J24*K24)</f>
        <v>17149.2838343065</v>
      </c>
      <c r="M24" s="12" t="n">
        <f aca="false">L24*INDEX(Discount_Monthly!$G$4:$G$664,MATCH(B24,Discount_Monthly!$A$4:$A$664,0))</f>
        <v>9787.30456521679</v>
      </c>
      <c r="N24" s="12" t="n">
        <f aca="false">Assumptions!$B$29*SUM(M24:M61)/INDEX(Discount_Monthly!$G$4:$G$664,MATCH(B24,Discount_Monthly!$A$4:$A$664,0))</f>
        <v>8804.377029294</v>
      </c>
      <c r="O24" s="12" t="n">
        <f aca="false">C24-D24-N24</f>
        <v>-2267.381976353</v>
      </c>
    </row>
    <row r="25" customFormat="false" ht="15" hidden="false" customHeight="true" outlineLevel="0" collapsed="false">
      <c r="A25" s="1" t="n">
        <v>19</v>
      </c>
      <c r="B25" s="34" t="n">
        <f aca="false">12*A25</f>
        <v>228</v>
      </c>
      <c r="C25" s="12" t="n">
        <f aca="false">SUMIFS(Projection_M!$Q$7:$Q$667,Projection_M!$A$7:$A$667,"&lt;"&amp;B25)/INDEX(Discount_Monthly!$G$4:$G$664,MATCH(B25,Discount_Monthly!$A$4:$A$664,0))</f>
        <v>129290.941040569</v>
      </c>
      <c r="D25" s="12" t="n">
        <f aca="false">SUMIFS(Projection_M!$P$7:$P$667,Projection_M!$A$7:$A$667,"&gt;="&amp;B25)/INDEX(Discount_Monthly!$G$4:$G$664,MATCH(B25,Discount_Monthly!$A$4:$A$664,0))</f>
        <v>122543.323031683</v>
      </c>
      <c r="E25" s="12" t="n">
        <f aca="false">(INDEX(Projection_M!$I$7:$I$667,B25+1)/INDEX(Projection_M!$R$7:$R$667,B25+1))*SUMIFS(Projection_M!$S$7:$S$667,Projection_M!$A$7:$A$667,"&gt;="&amp;B25)/INDEX(Discount_Monthly!$G$4:$G$664,MATCH(B25,Discount_Monthly!$A$4:$A$664,0))</f>
        <v>139008.337423736</v>
      </c>
      <c r="F25" s="12" t="n">
        <f aca="false">(INDEX(Projection_M!$I$7:$I$667,B25+1)/INDEX(Projection_M!$T$7:$T$667,B25+1))*SUMIFS(Projection_M!$U$7:$U$667,Projection_M!$A$7:$A$667,"&gt;="&amp;B25)/INDEX(Discount_Monthly!$G$4:$G$664,MATCH(B25,Discount_Monthly!$A$4:$A$664,0))</f>
        <v>122543.323031683</v>
      </c>
      <c r="G25" s="12" t="n">
        <f aca="false">(INDEX(Projection_M!$I$7:$I$667,B25+1)/INDEX(Projection_M!$V$7:$V$667,B25+1))*SUMIFS(Projection_M!$W$7:$W$667,Projection_M!$A$7:$A$667,"&gt;="&amp;B25)/INDEX(Discount_Monthly!$G$4:$G$664,MATCH(B25,Discount_Monthly!$A$4:$A$664,0))</f>
        <v>122543.323031683</v>
      </c>
      <c r="H25" s="12" t="n">
        <f aca="false">SUMIFS(Projection_M!$X$7:$X$667,Projection_M!$A$7:$A$667,"&gt;="&amp;B25)/INDEX(Discount_Monthly!$G$4:$G$664,MATCH(B25,Discount_Monthly!$A$4:$A$664,0))</f>
        <v>122826.073709187</v>
      </c>
      <c r="I25" s="12" t="n">
        <f aca="false">MAX(0,E25-D25)</f>
        <v>16465.0143920531</v>
      </c>
      <c r="J25" s="12" t="n">
        <f aca="false">MAX(MAX(0,F25-D25),MAX(0,G25-D25),IF(A25&lt;Assumptions!$B$6,MAX(0,-Assumptions!$B$22*D25),0))</f>
        <v>0</v>
      </c>
      <c r="K25" s="12" t="n">
        <f aca="false">MAX(0,H25-D25)</f>
        <v>282.750677504824</v>
      </c>
      <c r="L25" s="12" t="n">
        <f aca="false">SQRT(I25^2+J25^2+K25^2+2*Assumptions!$B$26*I25*J25+2*Assumptions!$B$27*I25*K25+2*Assumptions!$B$28*J25*K25)</f>
        <v>16537.9682507672</v>
      </c>
      <c r="M25" s="12" t="n">
        <f aca="false">L25*INDEX(Discount_Monthly!$G$4:$G$664,MATCH(B25,Discount_Monthly!$A$4:$A$664,0))</f>
        <v>9143.80458901689</v>
      </c>
      <c r="N25" s="12" t="n">
        <f aca="false">Assumptions!$B$29*SUM(M25:M61)/INDEX(Discount_Monthly!$G$4:$G$664,MATCH(B25,Discount_Monthly!$A$4:$A$664,0))</f>
        <v>8025.94519172763</v>
      </c>
      <c r="O25" s="12" t="n">
        <f aca="false">C25-D25-N25</f>
        <v>-1278.32718284105</v>
      </c>
    </row>
    <row r="26" customFormat="false" ht="15" hidden="false" customHeight="true" outlineLevel="0" collapsed="false">
      <c r="A26" s="1" t="n">
        <v>20</v>
      </c>
      <c r="B26" s="34" t="n">
        <f aca="false">12*A26</f>
        <v>240</v>
      </c>
      <c r="C26" s="12" t="n">
        <f aca="false">SUMIFS(Projection_M!$Q$7:$Q$667,Projection_M!$A$7:$A$667,"&lt;"&amp;B26)/INDEX(Discount_Monthly!$G$4:$G$664,MATCH(B26,Discount_Monthly!$A$4:$A$664,0))</f>
        <v>119326.291761207</v>
      </c>
      <c r="D26" s="12" t="n">
        <f aca="false">SUMIFS(Projection_M!$P$7:$P$667,Projection_M!$A$7:$A$667,"&gt;="&amp;B26)/INDEX(Discount_Monthly!$G$4:$G$664,MATCH(B26,Discount_Monthly!$A$4:$A$664,0))</f>
        <v>112363.559565922</v>
      </c>
      <c r="E26" s="12" t="n">
        <f aca="false">(INDEX(Projection_M!$I$7:$I$667,B26+1)/INDEX(Projection_M!$R$7:$R$667,B26+1))*SUMIFS(Projection_M!$S$7:$S$667,Projection_M!$A$7:$A$667,"&gt;="&amp;B26)/INDEX(Discount_Monthly!$G$4:$G$664,MATCH(B26,Discount_Monthly!$A$4:$A$664,0))</f>
        <v>128147.497774025</v>
      </c>
      <c r="F26" s="12" t="n">
        <f aca="false">(INDEX(Projection_M!$I$7:$I$667,B26+1)/INDEX(Projection_M!$T$7:$T$667,B26+1))*SUMIFS(Projection_M!$U$7:$U$667,Projection_M!$A$7:$A$667,"&gt;="&amp;B26)/INDEX(Discount_Monthly!$G$4:$G$664,MATCH(B26,Discount_Monthly!$A$4:$A$664,0))</f>
        <v>112363.559565922</v>
      </c>
      <c r="G26" s="12" t="n">
        <f aca="false">(INDEX(Projection_M!$I$7:$I$667,B26+1)/INDEX(Projection_M!$V$7:$V$667,B26+1))*SUMIFS(Projection_M!$W$7:$W$667,Projection_M!$A$7:$A$667,"&gt;="&amp;B26)/INDEX(Discount_Monthly!$G$4:$G$664,MATCH(B26,Discount_Monthly!$A$4:$A$664,0))</f>
        <v>112363.559565922</v>
      </c>
      <c r="H26" s="12" t="n">
        <f aca="false">SUMIFS(Projection_M!$X$7:$X$667,Projection_M!$A$7:$A$667,"&gt;="&amp;B26)/INDEX(Discount_Monthly!$G$4:$G$664,MATCH(B26,Discount_Monthly!$A$4:$A$664,0))</f>
        <v>112629.891704717</v>
      </c>
      <c r="I26" s="12" t="n">
        <f aca="false">MAX(0,E26-D26)</f>
        <v>15783.9382081033</v>
      </c>
      <c r="J26" s="12" t="n">
        <f aca="false">MAX(MAX(0,F26-D26),MAX(0,G26-D26),IF(A26&lt;Assumptions!$B$6,MAX(0,-Assumptions!$B$22*D26),0))</f>
        <v>0</v>
      </c>
      <c r="K26" s="12" t="n">
        <f aca="false">MAX(0,H26-D26)</f>
        <v>266.332138795377</v>
      </c>
      <c r="L26" s="12" t="n">
        <f aca="false">SQRT(I26^2+J26^2+K26^2+2*Assumptions!$B$26*I26*J26+2*Assumptions!$B$27*I26*K26+2*Assumptions!$B$28*J26*K26)</f>
        <v>15852.6188112932</v>
      </c>
      <c r="M26" s="12" t="n">
        <f aca="false">L26*INDEX(Discount_Monthly!$G$4:$G$664,MATCH(B26,Discount_Monthly!$A$4:$A$664,0))</f>
        <v>8494.08487867078</v>
      </c>
      <c r="N26" s="12" t="n">
        <f aca="false">Assumptions!$B$29*SUM(M26:M61)/INDEX(Discount_Monthly!$G$4:$G$664,MATCH(B26,Discount_Monthly!$A$4:$A$664,0))</f>
        <v>7257.90053326733</v>
      </c>
      <c r="O26" s="12" t="n">
        <f aca="false">C26-D26-N26</f>
        <v>-295.16833798225</v>
      </c>
    </row>
    <row r="27" customFormat="false" ht="15" hidden="false" customHeight="true" outlineLevel="0" collapsed="false">
      <c r="A27" s="1" t="n">
        <v>21</v>
      </c>
      <c r="B27" s="34" t="n">
        <f aca="false">12*A27</f>
        <v>252</v>
      </c>
      <c r="C27" s="12" t="n">
        <f aca="false">SUMIFS(Projection_M!$Q$7:$Q$667,Projection_M!$A$7:$A$667,"&lt;"&amp;B27)/INDEX(Discount_Monthly!$G$4:$G$664,MATCH(B27,Discount_Monthly!$A$4:$A$664,0))</f>
        <v>109424.628109618</v>
      </c>
      <c r="D27" s="12" t="n">
        <f aca="false">SUMIFS(Projection_M!$P$7:$P$667,Projection_M!$A$7:$A$667,"&gt;="&amp;B27)/INDEX(Discount_Monthly!$G$4:$G$664,MATCH(B27,Discount_Monthly!$A$4:$A$664,0))</f>
        <v>102239.784615569</v>
      </c>
      <c r="E27" s="12" t="n">
        <f aca="false">(INDEX(Projection_M!$I$7:$I$667,B27+1)/INDEX(Projection_M!$R$7:$R$667,B27+1))*SUMIFS(Projection_M!$S$7:$S$667,Projection_M!$A$7:$A$667,"&gt;="&amp;B27)/INDEX(Discount_Monthly!$G$4:$G$664,MATCH(B27,Discount_Monthly!$A$4:$A$664,0))</f>
        <v>117236.977254261</v>
      </c>
      <c r="F27" s="12" t="n">
        <f aca="false">(INDEX(Projection_M!$I$7:$I$667,B27+1)/INDEX(Projection_M!$T$7:$T$667,B27+1))*SUMIFS(Projection_M!$U$7:$U$667,Projection_M!$A$7:$A$667,"&gt;="&amp;B27)/INDEX(Discount_Monthly!$G$4:$G$664,MATCH(B27,Discount_Monthly!$A$4:$A$664,0))</f>
        <v>102239.784615569</v>
      </c>
      <c r="G27" s="12" t="n">
        <f aca="false">(INDEX(Projection_M!$I$7:$I$667,B27+1)/INDEX(Projection_M!$V$7:$V$667,B27+1))*SUMIFS(Projection_M!$W$7:$W$667,Projection_M!$A$7:$A$667,"&gt;="&amp;B27)/INDEX(Discount_Monthly!$G$4:$G$664,MATCH(B27,Discount_Monthly!$A$4:$A$664,0))</f>
        <v>102239.784615569</v>
      </c>
      <c r="H27" s="12" t="n">
        <f aca="false">SUMIFS(Projection_M!$X$7:$X$667,Projection_M!$A$7:$A$667,"&gt;="&amp;B27)/INDEX(Discount_Monthly!$G$4:$G$664,MATCH(B27,Discount_Monthly!$A$4:$A$664,0))</f>
        <v>102488.748219081</v>
      </c>
      <c r="I27" s="12" t="n">
        <f aca="false">MAX(0,E27-D27)</f>
        <v>14997.1926386925</v>
      </c>
      <c r="J27" s="12" t="n">
        <f aca="false">MAX(MAX(0,F27-D27),MAX(0,G27-D27),IF(A27&lt;Assumptions!$B$6,MAX(0,-Assumptions!$B$22*D27),0))</f>
        <v>0</v>
      </c>
      <c r="K27" s="12" t="n">
        <f aca="false">MAX(0,H27-D27)</f>
        <v>248.963603512384</v>
      </c>
      <c r="L27" s="12" t="n">
        <f aca="false">SQRT(I27^2+J27^2+K27^2+2*Assumptions!$B$26*I27*J27+2*Assumptions!$B$27*I27*K27+2*Assumptions!$B$28*J27*K27)</f>
        <v>15061.3627364483</v>
      </c>
      <c r="M27" s="12" t="n">
        <f aca="false">L27*INDEX(Discount_Monthly!$G$4:$G$664,MATCH(B27,Discount_Monthly!$A$4:$A$664,0))</f>
        <v>7820.63877354639</v>
      </c>
      <c r="N27" s="12" t="n">
        <f aca="false">Assumptions!$B$29*SUM(M27:M61)/INDEX(Discount_Monthly!$G$4:$G$664,MATCH(B27,Discount_Monthly!$A$4:$A$664,0))</f>
        <v>6507.92864757749</v>
      </c>
      <c r="O27" s="12" t="n">
        <f aca="false">C27-D27-N27</f>
        <v>676.914846471958</v>
      </c>
    </row>
    <row r="28" customFormat="false" ht="15" hidden="false" customHeight="true" outlineLevel="0" collapsed="false">
      <c r="A28" s="1" t="n">
        <v>22</v>
      </c>
      <c r="B28" s="34" t="n">
        <f aca="false">12*A28</f>
        <v>264</v>
      </c>
      <c r="C28" s="12" t="n">
        <f aca="false">SUMIFS(Projection_M!$Q$7:$Q$667,Projection_M!$A$7:$A$667,"&lt;"&amp;B28)/INDEX(Discount_Monthly!$G$4:$G$664,MATCH(B28,Discount_Monthly!$A$4:$A$664,0))</f>
        <v>99671.3698743141</v>
      </c>
      <c r="D28" s="12" t="n">
        <f aca="false">SUMIFS(Projection_M!$P$7:$P$667,Projection_M!$A$7:$A$667,"&gt;="&amp;B28)/INDEX(Discount_Monthly!$G$4:$G$664,MATCH(B28,Discount_Monthly!$A$4:$A$664,0))</f>
        <v>92257.1860150539</v>
      </c>
      <c r="E28" s="12" t="n">
        <f aca="false">(INDEX(Projection_M!$I$7:$I$667,B28+1)/INDEX(Projection_M!$R$7:$R$667,B28+1))*SUMIFS(Projection_M!$S$7:$S$667,Projection_M!$A$7:$A$667,"&gt;="&amp;B28)/INDEX(Discount_Monthly!$G$4:$G$664,MATCH(B28,Discount_Monthly!$A$4:$A$664,0))</f>
        <v>106391.392094847</v>
      </c>
      <c r="F28" s="12" t="n">
        <f aca="false">(INDEX(Projection_M!$I$7:$I$667,B28+1)/INDEX(Projection_M!$T$7:$T$667,B28+1))*SUMIFS(Projection_M!$U$7:$U$667,Projection_M!$A$7:$A$667,"&gt;="&amp;B28)/INDEX(Discount_Monthly!$G$4:$G$664,MATCH(B28,Discount_Monthly!$A$4:$A$664,0))</f>
        <v>92257.1860150539</v>
      </c>
      <c r="G28" s="12" t="n">
        <f aca="false">(INDEX(Projection_M!$I$7:$I$667,B28+1)/INDEX(Projection_M!$V$7:$V$667,B28+1))*SUMIFS(Projection_M!$W$7:$W$667,Projection_M!$A$7:$A$667,"&gt;="&amp;B28)/INDEX(Discount_Monthly!$G$4:$G$664,MATCH(B28,Discount_Monthly!$A$4:$A$664,0))</f>
        <v>92257.1860150539</v>
      </c>
      <c r="H28" s="12" t="n">
        <f aca="false">SUMIFS(Projection_M!$X$7:$X$667,Projection_M!$A$7:$A$667,"&gt;="&amp;B28)/INDEX(Discount_Monthly!$G$4:$G$664,MATCH(B28,Discount_Monthly!$A$4:$A$664,0))</f>
        <v>92488.0072297282</v>
      </c>
      <c r="I28" s="12" t="n">
        <f aca="false">MAX(0,E28-D28)</f>
        <v>14134.2060797928</v>
      </c>
      <c r="J28" s="12" t="n">
        <f aca="false">MAX(MAX(0,F28-D28),MAX(0,G28-D28),IF(A28&lt;Assumptions!$B$6,MAX(0,-Assumptions!$B$22*D28),0))</f>
        <v>0</v>
      </c>
      <c r="K28" s="12" t="n">
        <f aca="false">MAX(0,H28-D28)</f>
        <v>230.821214674259</v>
      </c>
      <c r="L28" s="12" t="n">
        <f aca="false">SQRT(I28^2+J28^2+K28^2+2*Assumptions!$B$26*I28*J28+2*Assumptions!$B$27*I28*K28+2*Assumptions!$B$28*J28*K28)</f>
        <v>14193.6710278593</v>
      </c>
      <c r="M28" s="12" t="n">
        <f aca="false">L28*INDEX(Discount_Monthly!$G$4:$G$664,MATCH(B28,Discount_Monthly!$A$4:$A$664,0))</f>
        <v>7142.11197197466</v>
      </c>
      <c r="N28" s="12" t="n">
        <f aca="false">Assumptions!$B$29*SUM(M28:M61)/INDEX(Discount_Monthly!$G$4:$G$664,MATCH(B28,Discount_Monthly!$A$4:$A$664,0))</f>
        <v>5783.13456939688</v>
      </c>
      <c r="O28" s="12" t="n">
        <f aca="false">C28-D28-N28</f>
        <v>1631.04928986329</v>
      </c>
    </row>
    <row r="29" customFormat="false" ht="15" hidden="false" customHeight="true" outlineLevel="0" collapsed="false">
      <c r="A29" s="1" t="n">
        <v>23</v>
      </c>
      <c r="B29" s="34" t="n">
        <f aca="false">12*A29</f>
        <v>276</v>
      </c>
      <c r="C29" s="12" t="n">
        <f aca="false">SUMIFS(Projection_M!$Q$7:$Q$667,Projection_M!$A$7:$A$667,"&lt;"&amp;B29)/INDEX(Discount_Monthly!$G$4:$G$664,MATCH(B29,Discount_Monthly!$A$4:$A$664,0))</f>
        <v>90150.7519930078</v>
      </c>
      <c r="D29" s="12" t="n">
        <f aca="false">SUMIFS(Projection_M!$P$7:$P$667,Projection_M!$A$7:$A$667,"&gt;="&amp;B29)/INDEX(Discount_Monthly!$G$4:$G$664,MATCH(B29,Discount_Monthly!$A$4:$A$664,0))</f>
        <v>82499.7589194569</v>
      </c>
      <c r="E29" s="12" t="n">
        <f aca="false">(INDEX(Projection_M!$I$7:$I$667,B29+1)/INDEX(Projection_M!$R$7:$R$667,B29+1))*SUMIFS(Projection_M!$S$7:$S$667,Projection_M!$A$7:$A$667,"&gt;="&amp;B29)/INDEX(Discount_Monthly!$G$4:$G$664,MATCH(B29,Discount_Monthly!$A$4:$A$664,0))</f>
        <v>95700.9582444996</v>
      </c>
      <c r="F29" s="12" t="n">
        <f aca="false">(INDEX(Projection_M!$I$7:$I$667,B29+1)/INDEX(Projection_M!$T$7:$T$667,B29+1))*SUMIFS(Projection_M!$U$7:$U$667,Projection_M!$A$7:$A$667,"&gt;="&amp;B29)/INDEX(Discount_Monthly!$G$4:$G$664,MATCH(B29,Discount_Monthly!$A$4:$A$664,0))</f>
        <v>82499.758919457</v>
      </c>
      <c r="G29" s="12" t="n">
        <f aca="false">(INDEX(Projection_M!$I$7:$I$667,B29+1)/INDEX(Projection_M!$V$7:$V$667,B29+1))*SUMIFS(Projection_M!$W$7:$W$667,Projection_M!$A$7:$A$667,"&gt;="&amp;B29)/INDEX(Discount_Monthly!$G$4:$G$664,MATCH(B29,Discount_Monthly!$A$4:$A$664,0))</f>
        <v>82499.7589194569</v>
      </c>
      <c r="H29" s="12" t="n">
        <f aca="false">SUMIFS(Projection_M!$X$7:$X$667,Projection_M!$A$7:$A$667,"&gt;="&amp;B29)/INDEX(Discount_Monthly!$G$4:$G$664,MATCH(B29,Discount_Monthly!$A$4:$A$664,0))</f>
        <v>82711.8601104474</v>
      </c>
      <c r="I29" s="12" t="n">
        <f aca="false">MAX(0,E29-D29)</f>
        <v>13201.1993250427</v>
      </c>
      <c r="J29" s="12" t="n">
        <f aca="false">MAX(MAX(0,F29-D29),MAX(0,G29-D29),IF(A29&lt;Assumptions!$B$6,MAX(0,-Assumptions!$B$22*D29),0))</f>
        <v>0</v>
      </c>
      <c r="K29" s="12" t="n">
        <f aca="false">MAX(0,H29-D29)</f>
        <v>212.101190990419</v>
      </c>
      <c r="L29" s="12" t="n">
        <f aca="false">SQRT(I29^2+J29^2+K29^2+2*Assumptions!$B$26*I29*J29+2*Assumptions!$B$27*I29*K29+2*Assumptions!$B$28*J29*K29)</f>
        <v>13255.8155382609</v>
      </c>
      <c r="M29" s="12" t="n">
        <f aca="false">L29*INDEX(Discount_Monthly!$G$4:$G$664,MATCH(B29,Discount_Monthly!$A$4:$A$664,0))</f>
        <v>6463.7405265965</v>
      </c>
      <c r="N29" s="12" t="n">
        <f aca="false">Assumptions!$B$29*SUM(M29:M61)/INDEX(Discount_Monthly!$G$4:$G$664,MATCH(B29,Discount_Monthly!$A$4:$A$664,0))</f>
        <v>5089.02699565483</v>
      </c>
      <c r="O29" s="12" t="n">
        <f aca="false">C29-D29-N29</f>
        <v>2561.96607789601</v>
      </c>
    </row>
    <row r="30" customFormat="false" ht="15" hidden="false" customHeight="true" outlineLevel="0" collapsed="false">
      <c r="A30" s="1" t="n">
        <v>24</v>
      </c>
      <c r="B30" s="34" t="n">
        <f aca="false">12*A30</f>
        <v>288</v>
      </c>
      <c r="C30" s="12" t="n">
        <f aca="false">SUMIFS(Projection_M!$Q$7:$Q$667,Projection_M!$A$7:$A$667,"&lt;"&amp;B30)/INDEX(Discount_Monthly!$G$4:$G$664,MATCH(B30,Discount_Monthly!$A$4:$A$664,0))</f>
        <v>80971.2773179664</v>
      </c>
      <c r="D30" s="12" t="n">
        <f aca="false">SUMIFS(Projection_M!$P$7:$P$667,Projection_M!$A$7:$A$667,"&gt;="&amp;B30)/INDEX(Discount_Monthly!$G$4:$G$664,MATCH(B30,Discount_Monthly!$A$4:$A$664,0))</f>
        <v>73073.9214486304</v>
      </c>
      <c r="E30" s="12" t="n">
        <f aca="false">(INDEX(Projection_M!$I$7:$I$667,B30+1)/INDEX(Projection_M!$R$7:$R$667,B30+1))*SUMIFS(Projection_M!$S$7:$S$667,Projection_M!$A$7:$A$667,"&gt;="&amp;B30)/INDEX(Discount_Monthly!$G$4:$G$664,MATCH(B30,Discount_Monthly!$A$4:$A$664,0))</f>
        <v>85283.7529915989</v>
      </c>
      <c r="F30" s="12" t="n">
        <f aca="false">(INDEX(Projection_M!$I$7:$I$667,B30+1)/INDEX(Projection_M!$T$7:$T$667,B30+1))*SUMIFS(Projection_M!$U$7:$U$667,Projection_M!$A$7:$A$667,"&gt;="&amp;B30)/INDEX(Discount_Monthly!$G$4:$G$664,MATCH(B30,Discount_Monthly!$A$4:$A$664,0))</f>
        <v>73073.9214486304</v>
      </c>
      <c r="G30" s="12" t="n">
        <f aca="false">(INDEX(Projection_M!$I$7:$I$667,B30+1)/INDEX(Projection_M!$V$7:$V$667,B30+1))*SUMIFS(Projection_M!$W$7:$W$667,Projection_M!$A$7:$A$667,"&gt;="&amp;B30)/INDEX(Discount_Monthly!$G$4:$G$664,MATCH(B30,Discount_Monthly!$A$4:$A$664,0))</f>
        <v>73073.9214486304</v>
      </c>
      <c r="H30" s="12" t="n">
        <f aca="false">SUMIFS(Projection_M!$X$7:$X$667,Projection_M!$A$7:$A$667,"&gt;="&amp;B30)/INDEX(Discount_Monthly!$G$4:$G$664,MATCH(B30,Discount_Monthly!$A$4:$A$664,0))</f>
        <v>73267.0005132152</v>
      </c>
      <c r="I30" s="12" t="n">
        <f aca="false">MAX(0,E30-D30)</f>
        <v>12209.8315429685</v>
      </c>
      <c r="J30" s="12" t="n">
        <f aca="false">MAX(MAX(0,F30-D30),MAX(0,G30-D30),IF(A30&lt;Assumptions!$B$6,MAX(0,-Assumptions!$B$22*D30),0))</f>
        <v>0</v>
      </c>
      <c r="K30" s="12" t="n">
        <f aca="false">MAX(0,H30-D30)</f>
        <v>193.079064584803</v>
      </c>
      <c r="L30" s="12" t="n">
        <f aca="false">SQRT(I30^2+J30^2+K30^2+2*Assumptions!$B$26*I30*J30+2*Assumptions!$B$27*I30*K30+2*Assumptions!$B$28*J30*K30)</f>
        <v>12259.5267958995</v>
      </c>
      <c r="M30" s="12" t="n">
        <f aca="false">L30*INDEX(Discount_Monthly!$G$4:$G$664,MATCH(B30,Discount_Monthly!$A$4:$A$664,0))</f>
        <v>5791.44944609406</v>
      </c>
      <c r="N30" s="12" t="n">
        <f aca="false">Assumptions!$B$29*SUM(M30:M61)/INDEX(Discount_Monthly!$G$4:$G$664,MATCH(B30,Discount_Monthly!$A$4:$A$664,0))</f>
        <v>4431.93495651303</v>
      </c>
      <c r="O30" s="12" t="n">
        <f aca="false">C30-D30-N30</f>
        <v>3465.42091282303</v>
      </c>
    </row>
    <row r="31" customFormat="false" ht="15" hidden="false" customHeight="true" outlineLevel="0" collapsed="false">
      <c r="A31" s="1" t="n">
        <v>25</v>
      </c>
      <c r="B31" s="34" t="n">
        <f aca="false">12*A31</f>
        <v>300</v>
      </c>
      <c r="C31" s="12" t="n">
        <f aca="false">SUMIFS(Projection_M!$Q$7:$Q$667,Projection_M!$A$7:$A$667,"&lt;"&amp;B31)/INDEX(Discount_Monthly!$G$4:$G$664,MATCH(B31,Discount_Monthly!$A$4:$A$664,0))</f>
        <v>72184.3754796224</v>
      </c>
      <c r="D31" s="12" t="n">
        <f aca="false">SUMIFS(Projection_M!$P$7:$P$667,Projection_M!$A$7:$A$667,"&gt;="&amp;B31)/INDEX(Discount_Monthly!$G$4:$G$664,MATCH(B31,Discount_Monthly!$A$4:$A$664,0))</f>
        <v>64034.3829663771</v>
      </c>
      <c r="E31" s="12" t="n">
        <f aca="false">(INDEX(Projection_M!$I$7:$I$667,B31+1)/INDEX(Projection_M!$R$7:$R$667,B31+1))*SUMIFS(Projection_M!$S$7:$S$667,Projection_M!$A$7:$A$667,"&gt;="&amp;B31)/INDEX(Discount_Monthly!$G$4:$G$664,MATCH(B31,Discount_Monthly!$A$4:$A$664,0))</f>
        <v>75200.0740869754</v>
      </c>
      <c r="F31" s="12" t="n">
        <f aca="false">(INDEX(Projection_M!$I$7:$I$667,B31+1)/INDEX(Projection_M!$T$7:$T$667,B31+1))*SUMIFS(Projection_M!$U$7:$U$667,Projection_M!$A$7:$A$667,"&gt;="&amp;B31)/INDEX(Discount_Monthly!$G$4:$G$664,MATCH(B31,Discount_Monthly!$A$4:$A$664,0))</f>
        <v>64034.3829663771</v>
      </c>
      <c r="G31" s="12" t="n">
        <f aca="false">(INDEX(Projection_M!$I$7:$I$667,B31+1)/INDEX(Projection_M!$V$7:$V$667,B31+1))*SUMIFS(Projection_M!$W$7:$W$667,Projection_M!$A$7:$A$667,"&gt;="&amp;B31)/INDEX(Discount_Monthly!$G$4:$G$664,MATCH(B31,Discount_Monthly!$A$4:$A$664,0))</f>
        <v>64034.3829663771</v>
      </c>
      <c r="H31" s="12" t="n">
        <f aca="false">SUMIFS(Projection_M!$X$7:$X$667,Projection_M!$A$7:$A$667,"&gt;="&amp;B31)/INDEX(Discount_Monthly!$G$4:$G$664,MATCH(B31,Discount_Monthly!$A$4:$A$664,0))</f>
        <v>64208.3022962548</v>
      </c>
      <c r="I31" s="12" t="n">
        <f aca="false">MAX(0,E31-D31)</f>
        <v>11165.6911205983</v>
      </c>
      <c r="J31" s="12" t="n">
        <f aca="false">MAX(MAX(0,F31-D31),MAX(0,G31-D31),IF(A31&lt;Assumptions!$B$6,MAX(0,-Assumptions!$B$22*D31),0))</f>
        <v>0</v>
      </c>
      <c r="K31" s="12" t="n">
        <f aca="false">MAX(0,H31-D31)</f>
        <v>173.919329877725</v>
      </c>
      <c r="L31" s="12" t="n">
        <f aca="false">SQRT(I31^2+J31^2+K31^2+2*Assumptions!$B$26*I31*J31+2*Assumptions!$B$27*I31*K31+2*Assumptions!$B$28*J31*K31)</f>
        <v>11210.4358029727</v>
      </c>
      <c r="M31" s="12" t="n">
        <f aca="false">L31*INDEX(Discount_Monthly!$G$4:$G$664,MATCH(B31,Discount_Monthly!$A$4:$A$664,0))</f>
        <v>5131.69170220476</v>
      </c>
      <c r="N31" s="12" t="n">
        <f aca="false">Assumptions!$B$29*SUM(M31:M61)/INDEX(Discount_Monthly!$G$4:$G$664,MATCH(B31,Discount_Monthly!$A$4:$A$664,0))</f>
        <v>3814.61011977334</v>
      </c>
      <c r="O31" s="12" t="n">
        <f aca="false">C31-D31-N31</f>
        <v>4335.38239347196</v>
      </c>
    </row>
    <row r="32" customFormat="false" ht="15" hidden="false" customHeight="true" outlineLevel="0" collapsed="false">
      <c r="A32" s="1" t="n">
        <v>26</v>
      </c>
      <c r="B32" s="34" t="n">
        <f aca="false">12*A32</f>
        <v>312</v>
      </c>
      <c r="C32" s="12" t="n">
        <f aca="false">SUMIFS(Projection_M!$Q$7:$Q$667,Projection_M!$A$7:$A$667,"&lt;"&amp;B32)/INDEX(Discount_Monthly!$G$4:$G$664,MATCH(B32,Discount_Monthly!$A$4:$A$664,0))</f>
        <v>63930.5243885435</v>
      </c>
      <c r="D32" s="12" t="n">
        <f aca="false">SUMIFS(Projection_M!$P$7:$P$667,Projection_M!$A$7:$A$667,"&gt;="&amp;B32)/INDEX(Discount_Monthly!$G$4:$G$664,MATCH(B32,Discount_Monthly!$A$4:$A$664,0))</f>
        <v>55517.5305898414</v>
      </c>
      <c r="E32" s="12" t="n">
        <f aca="false">(INDEX(Projection_M!$I$7:$I$667,B32+1)/INDEX(Projection_M!$R$7:$R$667,B32+1))*SUMIFS(Projection_M!$S$7:$S$667,Projection_M!$A$7:$A$667,"&gt;="&amp;B32)/INDEX(Discount_Monthly!$G$4:$G$664,MATCH(B32,Discount_Monthly!$A$4:$A$664,0))</f>
        <v>65555.8317953945</v>
      </c>
      <c r="F32" s="12" t="n">
        <f aca="false">(INDEX(Projection_M!$I$7:$I$667,B32+1)/INDEX(Projection_M!$T$7:$T$667,B32+1))*SUMIFS(Projection_M!$U$7:$U$667,Projection_M!$A$7:$A$667,"&gt;="&amp;B32)/INDEX(Discount_Monthly!$G$4:$G$664,MATCH(B32,Discount_Monthly!$A$4:$A$664,0))</f>
        <v>55517.5305898414</v>
      </c>
      <c r="G32" s="12" t="n">
        <f aca="false">(INDEX(Projection_M!$I$7:$I$667,B32+1)/INDEX(Projection_M!$V$7:$V$667,B32+1))*SUMIFS(Projection_M!$W$7:$W$667,Projection_M!$A$7:$A$667,"&gt;="&amp;B32)/INDEX(Discount_Monthly!$G$4:$G$664,MATCH(B32,Discount_Monthly!$A$4:$A$664,0))</f>
        <v>55517.5305898413</v>
      </c>
      <c r="H32" s="12" t="n">
        <f aca="false">SUMIFS(Projection_M!$X$7:$X$667,Projection_M!$A$7:$A$667,"&gt;="&amp;B32)/INDEX(Discount_Monthly!$G$4:$G$664,MATCH(B32,Discount_Monthly!$A$4:$A$664,0))</f>
        <v>55672.5535559838</v>
      </c>
      <c r="I32" s="12" t="n">
        <f aca="false">MAX(0,E32-D32)</f>
        <v>10038.3012055532</v>
      </c>
      <c r="J32" s="12" t="n">
        <f aca="false">MAX(MAX(0,F32-D32),MAX(0,G32-D32),IF(A32&lt;Assumptions!$B$6,MAX(0,-Assumptions!$B$22*D32),0))</f>
        <v>0</v>
      </c>
      <c r="K32" s="12" t="n">
        <f aca="false">MAX(0,H32-D32)</f>
        <v>155.022966142453</v>
      </c>
      <c r="L32" s="12" t="n">
        <f aca="false">SQRT(I32^2+J32^2+K32^2+2*Assumptions!$B$26*I32*J32+2*Assumptions!$B$27*I32*K32+2*Assumptions!$B$28*J32*K32)</f>
        <v>10078.1747765853</v>
      </c>
      <c r="M32" s="12" t="n">
        <f aca="false">L32*INDEX(Discount_Monthly!$G$4:$G$664,MATCH(B32,Discount_Monthly!$A$4:$A$664,0))</f>
        <v>4469.16704743058</v>
      </c>
      <c r="N32" s="12" t="n">
        <f aca="false">Assumptions!$B$29*SUM(M32:M61)/INDEX(Discount_Monthly!$G$4:$G$664,MATCH(B32,Discount_Monthly!$A$4:$A$664,0))</f>
        <v>3243.37619030821</v>
      </c>
      <c r="O32" s="12" t="n">
        <f aca="false">C32-D32-N32</f>
        <v>5169.61760839391</v>
      </c>
    </row>
    <row r="33" customFormat="false" ht="15" hidden="false" customHeight="true" outlineLevel="0" collapsed="false">
      <c r="A33" s="1" t="n">
        <v>27</v>
      </c>
      <c r="B33" s="34" t="n">
        <f aca="false">12*A33</f>
        <v>324</v>
      </c>
      <c r="C33" s="12" t="n">
        <f aca="false">SUMIFS(Projection_M!$Q$7:$Q$667,Projection_M!$A$7:$A$667,"&lt;"&amp;B33)/INDEX(Discount_Monthly!$G$4:$G$664,MATCH(B33,Discount_Monthly!$A$4:$A$664,0))</f>
        <v>56277.042623521</v>
      </c>
      <c r="D33" s="12" t="n">
        <f aca="false">SUMIFS(Projection_M!$P$7:$P$667,Projection_M!$A$7:$A$667,"&gt;="&amp;B33)/INDEX(Discount_Monthly!$G$4:$G$664,MATCH(B33,Discount_Monthly!$A$4:$A$664,0))</f>
        <v>47594.496217282</v>
      </c>
      <c r="E33" s="12" t="n">
        <f aca="false">(INDEX(Projection_M!$I$7:$I$667,B33+1)/INDEX(Projection_M!$R$7:$R$667,B33+1))*SUMIFS(Projection_M!$S$7:$S$667,Projection_M!$A$7:$A$667,"&gt;="&amp;B33)/INDEX(Discount_Monthly!$G$4:$G$664,MATCH(B33,Discount_Monthly!$A$4:$A$664,0))</f>
        <v>56484.0751005903</v>
      </c>
      <c r="F33" s="12" t="n">
        <f aca="false">(INDEX(Projection_M!$I$7:$I$667,B33+1)/INDEX(Projection_M!$T$7:$T$667,B33+1))*SUMIFS(Projection_M!$U$7:$U$667,Projection_M!$A$7:$A$667,"&gt;="&amp;B33)/INDEX(Discount_Monthly!$G$4:$G$664,MATCH(B33,Discount_Monthly!$A$4:$A$664,0))</f>
        <v>47594.496217282</v>
      </c>
      <c r="G33" s="12" t="n">
        <f aca="false">(INDEX(Projection_M!$I$7:$I$667,B33+1)/INDEX(Projection_M!$V$7:$V$667,B33+1))*SUMIFS(Projection_M!$W$7:$W$667,Projection_M!$A$7:$A$667,"&gt;="&amp;B33)/INDEX(Discount_Monthly!$G$4:$G$664,MATCH(B33,Discount_Monthly!$A$4:$A$664,0))</f>
        <v>47594.496217282</v>
      </c>
      <c r="H33" s="12" t="n">
        <f aca="false">SUMIFS(Projection_M!$X$7:$X$667,Projection_M!$A$7:$A$667,"&gt;="&amp;B33)/INDEX(Discount_Monthly!$G$4:$G$664,MATCH(B33,Discount_Monthly!$A$4:$A$664,0))</f>
        <v>47731.1411569492</v>
      </c>
      <c r="I33" s="12" t="n">
        <f aca="false">MAX(0,E33-D33)</f>
        <v>8889.57888330832</v>
      </c>
      <c r="J33" s="12" t="n">
        <f aca="false">MAX(MAX(0,F33-D33),MAX(0,G33-D33),IF(A33&lt;Assumptions!$B$6,MAX(0,-Assumptions!$B$22*D33),0))</f>
        <v>0</v>
      </c>
      <c r="K33" s="12" t="n">
        <f aca="false">MAX(0,H33-D33)</f>
        <v>136.644939667203</v>
      </c>
      <c r="L33" s="12" t="n">
        <f aca="false">SQRT(I33^2+J33^2+K33^2+2*Assumptions!$B$26*I33*J33+2*Assumptions!$B$27*I33*K33+2*Assumptions!$B$28*J33*K33)</f>
        <v>8924.72086662581</v>
      </c>
      <c r="M33" s="12" t="n">
        <f aca="false">L33*INDEX(Discount_Monthly!$G$4:$G$664,MATCH(B33,Discount_Monthly!$A$4:$A$664,0))</f>
        <v>3834.80071500927</v>
      </c>
      <c r="N33" s="12" t="n">
        <f aca="false">Assumptions!$B$29*SUM(M33:M61)/INDEX(Discount_Monthly!$G$4:$G$664,MATCH(B33,Discount_Monthly!$A$4:$A$664,0))</f>
        <v>2723.22928343331</v>
      </c>
      <c r="O33" s="12" t="n">
        <f aca="false">C33-D33-N33</f>
        <v>5959.31712280572</v>
      </c>
    </row>
    <row r="34" customFormat="false" ht="15" hidden="false" customHeight="true" outlineLevel="0" collapsed="false">
      <c r="A34" s="1" t="n">
        <v>28</v>
      </c>
      <c r="B34" s="34" t="n">
        <f aca="false">12*A34</f>
        <v>336</v>
      </c>
      <c r="C34" s="12" t="n">
        <f aca="false">SUMIFS(Projection_M!$Q$7:$Q$667,Projection_M!$A$7:$A$667,"&lt;"&amp;B34)/INDEX(Discount_Monthly!$G$4:$G$664,MATCH(B34,Discount_Monthly!$A$4:$A$664,0))</f>
        <v>49321.9067056102</v>
      </c>
      <c r="D34" s="12" t="n">
        <f aca="false">SUMIFS(Projection_M!$P$7:$P$667,Projection_M!$A$7:$A$667,"&gt;="&amp;B34)/INDEX(Discount_Monthly!$G$4:$G$664,MATCH(B34,Discount_Monthly!$A$4:$A$664,0))</f>
        <v>40358.5654760144</v>
      </c>
      <c r="E34" s="12" t="n">
        <f aca="false">(INDEX(Projection_M!$I$7:$I$667,B34+1)/INDEX(Projection_M!$R$7:$R$667,B34+1))*SUMIFS(Projection_M!$S$7:$S$667,Projection_M!$A$7:$A$667,"&gt;="&amp;B34)/INDEX(Discount_Monthly!$G$4:$G$664,MATCH(B34,Discount_Monthly!$A$4:$A$664,0))</f>
        <v>48113.9892828313</v>
      </c>
      <c r="F34" s="12" t="n">
        <f aca="false">(INDEX(Projection_M!$I$7:$I$667,B34+1)/INDEX(Projection_M!$T$7:$T$667,B34+1))*SUMIFS(Projection_M!$U$7:$U$667,Projection_M!$A$7:$A$667,"&gt;="&amp;B34)/INDEX(Discount_Monthly!$G$4:$G$664,MATCH(B34,Discount_Monthly!$A$4:$A$664,0))</f>
        <v>40358.5654760144</v>
      </c>
      <c r="G34" s="12" t="n">
        <f aca="false">(INDEX(Projection_M!$I$7:$I$667,B34+1)/INDEX(Projection_M!$V$7:$V$667,B34+1))*SUMIFS(Projection_M!$W$7:$W$667,Projection_M!$A$7:$A$667,"&gt;="&amp;B34)/INDEX(Discount_Monthly!$G$4:$G$664,MATCH(B34,Discount_Monthly!$A$4:$A$664,0))</f>
        <v>40358.5654760144</v>
      </c>
      <c r="H34" s="12" t="n">
        <f aca="false">SUMIFS(Projection_M!$X$7:$X$667,Projection_M!$A$7:$A$667,"&gt;="&amp;B34)/INDEX(Discount_Monthly!$G$4:$G$664,MATCH(B34,Discount_Monthly!$A$4:$A$664,0))</f>
        <v>40477.706689742</v>
      </c>
      <c r="I34" s="12" t="n">
        <f aca="false">MAX(0,E34-D34)</f>
        <v>7755.4238068169</v>
      </c>
      <c r="J34" s="12" t="n">
        <f aca="false">MAX(MAX(0,F34-D34),MAX(0,G34-D34),IF(A34&lt;Assumptions!$B$6,MAX(0,-Assumptions!$B$22*D34),0))</f>
        <v>0</v>
      </c>
      <c r="K34" s="12" t="n">
        <f aca="false">MAX(0,H34-D34)</f>
        <v>119.141213727642</v>
      </c>
      <c r="L34" s="12" t="n">
        <f aca="false">SQRT(I34^2+J34^2+K34^2+2*Assumptions!$B$26*I34*J34+2*Assumptions!$B$27*I34*K34+2*Assumptions!$B$28*J34*K34)</f>
        <v>7786.06372660853</v>
      </c>
      <c r="M34" s="12" t="n">
        <f aca="false">L34*INDEX(Discount_Monthly!$G$4:$G$664,MATCH(B34,Discount_Monthly!$A$4:$A$664,0))</f>
        <v>3240.73332388822</v>
      </c>
      <c r="N34" s="12" t="n">
        <f aca="false">Assumptions!$B$29*SUM(M34:M61)/INDEX(Discount_Monthly!$G$4:$G$664,MATCH(B34,Discount_Monthly!$A$4:$A$664,0))</f>
        <v>2258.49805874484</v>
      </c>
      <c r="O34" s="12" t="n">
        <f aca="false">C34-D34-N34</f>
        <v>6704.843170851</v>
      </c>
    </row>
    <row r="35" customFormat="false" ht="15" hidden="false" customHeight="true" outlineLevel="0" collapsed="false">
      <c r="A35" s="1" t="n">
        <v>29</v>
      </c>
      <c r="B35" s="34" t="n">
        <f aca="false">12*A35</f>
        <v>348</v>
      </c>
      <c r="C35" s="12" t="n">
        <f aca="false">SUMIFS(Projection_M!$Q$7:$Q$667,Projection_M!$A$7:$A$667,"&lt;"&amp;B35)/INDEX(Discount_Monthly!$G$4:$G$664,MATCH(B35,Discount_Monthly!$A$4:$A$664,0))</f>
        <v>43091.0805294699</v>
      </c>
      <c r="D35" s="12" t="n">
        <f aca="false">SUMIFS(Projection_M!$P$7:$P$667,Projection_M!$A$7:$A$667,"&gt;="&amp;B35)/INDEX(Discount_Monthly!$G$4:$G$664,MATCH(B35,Discount_Monthly!$A$4:$A$664,0))</f>
        <v>33837.5048998299</v>
      </c>
      <c r="E35" s="12" t="n">
        <f aca="false">(INDEX(Projection_M!$I$7:$I$667,B35+1)/INDEX(Projection_M!$R$7:$R$667,B35+1))*SUMIFS(Projection_M!$S$7:$S$667,Projection_M!$A$7:$A$667,"&gt;="&amp;B35)/INDEX(Discount_Monthly!$G$4:$G$664,MATCH(B35,Discount_Monthly!$A$4:$A$664,0))</f>
        <v>40507.2517511503</v>
      </c>
      <c r="F35" s="12" t="n">
        <f aca="false">(INDEX(Projection_M!$I$7:$I$667,B35+1)/INDEX(Projection_M!$T$7:$T$667,B35+1))*SUMIFS(Projection_M!$U$7:$U$667,Projection_M!$A$7:$A$667,"&gt;="&amp;B35)/INDEX(Discount_Monthly!$G$4:$G$664,MATCH(B35,Discount_Monthly!$A$4:$A$664,0))</f>
        <v>33837.5048998299</v>
      </c>
      <c r="G35" s="12" t="n">
        <f aca="false">(INDEX(Projection_M!$I$7:$I$667,B35+1)/INDEX(Projection_M!$V$7:$V$667,B35+1))*SUMIFS(Projection_M!$W$7:$W$667,Projection_M!$A$7:$A$667,"&gt;="&amp;B35)/INDEX(Discount_Monthly!$G$4:$G$664,MATCH(B35,Discount_Monthly!$A$4:$A$664,0))</f>
        <v>33837.5048998299</v>
      </c>
      <c r="H35" s="12" t="n">
        <f aca="false">SUMIFS(Projection_M!$X$7:$X$667,Projection_M!$A$7:$A$667,"&gt;="&amp;B35)/INDEX(Discount_Monthly!$G$4:$G$664,MATCH(B35,Discount_Monthly!$A$4:$A$664,0))</f>
        <v>33940.2143965368</v>
      </c>
      <c r="I35" s="12" t="n">
        <f aca="false">MAX(0,E35-D35)</f>
        <v>6669.74685132044</v>
      </c>
      <c r="J35" s="12" t="n">
        <f aca="false">MAX(MAX(0,F35-D35),MAX(0,G35-D35),IF(A35&lt;Assumptions!$B$6,MAX(0,-Assumptions!$B$22*D35),0))</f>
        <v>0</v>
      </c>
      <c r="K35" s="12" t="n">
        <f aca="false">MAX(0,H35-D35)</f>
        <v>102.709496706862</v>
      </c>
      <c r="L35" s="12" t="n">
        <f aca="false">SQRT(I35^2+J35^2+K35^2+2*Assumptions!$B$26*I35*J35+2*Assumptions!$B$27*I35*K35+2*Assumptions!$B$28*J35*K35)</f>
        <v>6696.16274238787</v>
      </c>
      <c r="M35" s="12" t="n">
        <f aca="false">L35*INDEX(Discount_Monthly!$G$4:$G$664,MATCH(B35,Discount_Monthly!$A$4:$A$664,0))</f>
        <v>2699.67629016687</v>
      </c>
      <c r="N35" s="12" t="n">
        <f aca="false">Assumptions!$B$29*SUM(M35:M61)/INDEX(Discount_Monthly!$G$4:$G$664,MATCH(B35,Discount_Monthly!$A$4:$A$664,0))</f>
        <v>1849.33791967839</v>
      </c>
      <c r="O35" s="12" t="n">
        <f aca="false">C35-D35-N35</f>
        <v>7404.23770996158</v>
      </c>
    </row>
    <row r="36" customFormat="false" ht="15" hidden="false" customHeight="true" outlineLevel="0" collapsed="false">
      <c r="A36" s="1" t="n">
        <v>30</v>
      </c>
      <c r="B36" s="34" t="n">
        <f aca="false">12*A36</f>
        <v>360</v>
      </c>
      <c r="C36" s="12" t="n">
        <f aca="false">SUMIFS(Projection_M!$Q$7:$Q$667,Projection_M!$A$7:$A$667,"&lt;"&amp;B36)/INDEX(Discount_Monthly!$G$4:$G$664,MATCH(B36,Discount_Monthly!$A$4:$A$664,0))</f>
        <v>37596.0039406143</v>
      </c>
      <c r="D36" s="12" t="n">
        <f aca="false">SUMIFS(Projection_M!$P$7:$P$667,Projection_M!$A$7:$A$667,"&gt;="&amp;B36)/INDEX(Discount_Monthly!$G$4:$G$664,MATCH(B36,Discount_Monthly!$A$4:$A$664,0))</f>
        <v>28042.425828311</v>
      </c>
      <c r="E36" s="12" t="n">
        <f aca="false">(INDEX(Projection_M!$I$7:$I$667,B36+1)/INDEX(Projection_M!$R$7:$R$667,B36+1))*SUMIFS(Projection_M!$S$7:$S$667,Projection_M!$A$7:$A$667,"&gt;="&amp;B36)/INDEX(Discount_Monthly!$G$4:$G$664,MATCH(B36,Discount_Monthly!$A$4:$A$664,0))</f>
        <v>33703.0198031561</v>
      </c>
      <c r="F36" s="12" t="n">
        <f aca="false">(INDEX(Projection_M!$I$7:$I$667,B36+1)/INDEX(Projection_M!$T$7:$T$667,B36+1))*SUMIFS(Projection_M!$U$7:$U$667,Projection_M!$A$7:$A$667,"&gt;="&amp;B36)/INDEX(Discount_Monthly!$G$4:$G$664,MATCH(B36,Discount_Monthly!$A$4:$A$664,0))</f>
        <v>28042.425828311</v>
      </c>
      <c r="G36" s="12" t="n">
        <f aca="false">(INDEX(Projection_M!$I$7:$I$667,B36+1)/INDEX(Projection_M!$V$7:$V$667,B36+1))*SUMIFS(Projection_M!$W$7:$W$667,Projection_M!$A$7:$A$667,"&gt;="&amp;B36)/INDEX(Discount_Monthly!$G$4:$G$664,MATCH(B36,Discount_Monthly!$A$4:$A$664,0))</f>
        <v>28042.425828311</v>
      </c>
      <c r="H36" s="12" t="n">
        <f aca="false">SUMIFS(Projection_M!$X$7:$X$667,Projection_M!$A$7:$A$667,"&gt;="&amp;B36)/INDEX(Discount_Monthly!$G$4:$G$664,MATCH(B36,Discount_Monthly!$A$4:$A$664,0))</f>
        <v>28129.9441963658</v>
      </c>
      <c r="I36" s="12" t="n">
        <f aca="false">MAX(0,E36-D36)</f>
        <v>5660.59397484509</v>
      </c>
      <c r="J36" s="12" t="n">
        <f aca="false">MAX(MAX(0,F36-D36),MAX(0,G36-D36),IF(A36&lt;Assumptions!$B$6,MAX(0,-Assumptions!$B$22*D36),0))</f>
        <v>0</v>
      </c>
      <c r="K36" s="12" t="n">
        <f aca="false">MAX(0,H36-D36)</f>
        <v>87.5183680547998</v>
      </c>
      <c r="L36" s="12" t="n">
        <f aca="false">SQRT(I36^2+J36^2+K36^2+2*Assumptions!$B$26*I36*J36+2*Assumptions!$B$27*I36*K36+2*Assumptions!$B$28*J36*K36)</f>
        <v>5683.10536469711</v>
      </c>
      <c r="M36" s="12" t="n">
        <f aca="false">L36*INDEX(Discount_Monthly!$G$4:$G$664,MATCH(B36,Discount_Monthly!$A$4:$A$664,0))</f>
        <v>2219.29441453707</v>
      </c>
      <c r="N36" s="12" t="n">
        <f aca="false">Assumptions!$B$29*SUM(M36:M61)/INDEX(Discount_Monthly!$G$4:$G$664,MATCH(B36,Discount_Monthly!$A$4:$A$664,0))</f>
        <v>1494.49855887808</v>
      </c>
      <c r="O36" s="12" t="n">
        <f aca="false">C36-D36-N36</f>
        <v>8059.07955342527</v>
      </c>
    </row>
    <row r="37" customFormat="false" ht="15" hidden="false" customHeight="true" outlineLevel="0" collapsed="false">
      <c r="A37" s="1" t="n">
        <v>31</v>
      </c>
      <c r="B37" s="34" t="n">
        <f aca="false">12*A37</f>
        <v>372</v>
      </c>
      <c r="C37" s="12" t="n">
        <f aca="false">SUMIFS(Projection_M!$Q$7:$Q$667,Projection_M!$A$7:$A$667,"&lt;"&amp;B37)/INDEX(Discount_Monthly!$G$4:$G$664,MATCH(B37,Discount_Monthly!$A$4:$A$664,0))</f>
        <v>32827.3895875081</v>
      </c>
      <c r="D37" s="12" t="n">
        <f aca="false">SUMIFS(Projection_M!$P$7:$P$667,Projection_M!$A$7:$A$667,"&gt;="&amp;B37)/INDEX(Discount_Monthly!$G$4:$G$664,MATCH(B37,Discount_Monthly!$A$4:$A$664,0))</f>
        <v>22966.6635083207</v>
      </c>
      <c r="E37" s="12" t="n">
        <f aca="false">(INDEX(Projection_M!$I$7:$I$667,B37+1)/INDEX(Projection_M!$R$7:$R$667,B37+1))*SUMIFS(Projection_M!$S$7:$S$667,Projection_M!$A$7:$A$667,"&gt;="&amp;B37)/INDEX(Discount_Monthly!$G$4:$G$664,MATCH(B37,Discount_Monthly!$A$4:$A$664,0))</f>
        <v>27672.3284770253</v>
      </c>
      <c r="F37" s="12" t="n">
        <f aca="false">(INDEX(Projection_M!$I$7:$I$667,B37+1)/INDEX(Projection_M!$T$7:$T$667,B37+1))*SUMIFS(Projection_M!$U$7:$U$667,Projection_M!$A$7:$A$667,"&gt;="&amp;B37)/INDEX(Discount_Monthly!$G$4:$G$664,MATCH(B37,Discount_Monthly!$A$4:$A$664,0))</f>
        <v>22966.6635083207</v>
      </c>
      <c r="G37" s="12" t="n">
        <f aca="false">(INDEX(Projection_M!$I$7:$I$667,B37+1)/INDEX(Projection_M!$V$7:$V$667,B37+1))*SUMIFS(Projection_M!$W$7:$W$667,Projection_M!$A$7:$A$667,"&gt;="&amp;B37)/INDEX(Discount_Monthly!$G$4:$G$664,MATCH(B37,Discount_Monthly!$A$4:$A$664,0))</f>
        <v>22966.6635083206</v>
      </c>
      <c r="H37" s="12" t="n">
        <f aca="false">SUMIFS(Projection_M!$X$7:$X$667,Projection_M!$A$7:$A$667,"&gt;="&amp;B37)/INDEX(Discount_Monthly!$G$4:$G$664,MATCH(B37,Discount_Monthly!$A$4:$A$664,0))</f>
        <v>23040.3530529554</v>
      </c>
      <c r="I37" s="12" t="n">
        <f aca="false">MAX(0,E37-D37)</f>
        <v>4705.66496870466</v>
      </c>
      <c r="J37" s="12" t="n">
        <f aca="false">MAX(MAX(0,F37-D37),MAX(0,G37-D37),IF(A37&lt;Assumptions!$B$6,MAX(0,-Assumptions!$B$22*D37),0))</f>
        <v>0</v>
      </c>
      <c r="K37" s="12" t="n">
        <f aca="false">MAX(0,H37-D37)</f>
        <v>73.6895446347626</v>
      </c>
      <c r="L37" s="12" t="n">
        <f aca="false">SQRT(I37^2+J37^2+K37^2+2*Assumptions!$B$26*I37*J37+2*Assumptions!$B$27*I37*K37+2*Assumptions!$B$28*J37*K37)</f>
        <v>4724.62613346882</v>
      </c>
      <c r="M37" s="12" t="n">
        <f aca="false">L37*INDEX(Discount_Monthly!$G$4:$G$664,MATCH(B37,Discount_Monthly!$A$4:$A$664,0))</f>
        <v>1787.5319958919</v>
      </c>
      <c r="N37" s="12" t="n">
        <f aca="false">Assumptions!$B$29*SUM(M37:M61)/INDEX(Discount_Monthly!$G$4:$G$664,MATCH(B37,Discount_Monthly!$A$4:$A$664,0))</f>
        <v>1190.59770740372</v>
      </c>
      <c r="O37" s="12" t="n">
        <f aca="false">C37-D37-N37</f>
        <v>8670.12837178367</v>
      </c>
    </row>
    <row r="38" customFormat="false" ht="15" hidden="false" customHeight="true" outlineLevel="0" collapsed="false">
      <c r="A38" s="1" t="n">
        <v>32</v>
      </c>
      <c r="B38" s="34" t="n">
        <f aca="false">12*A38</f>
        <v>384</v>
      </c>
      <c r="C38" s="12" t="n">
        <f aca="false">SUMIFS(Projection_M!$Q$7:$Q$667,Projection_M!$A$7:$A$667,"&lt;"&amp;B38)/INDEX(Discount_Monthly!$G$4:$G$664,MATCH(B38,Discount_Monthly!$A$4:$A$664,0))</f>
        <v>28786.7732045927</v>
      </c>
      <c r="D38" s="12" t="n">
        <f aca="false">SUMIFS(Projection_M!$P$7:$P$667,Projection_M!$A$7:$A$667,"&gt;="&amp;B38)/INDEX(Discount_Monthly!$G$4:$G$664,MATCH(B38,Discount_Monthly!$A$4:$A$664,0))</f>
        <v>18605.6702387438</v>
      </c>
      <c r="E38" s="12" t="n">
        <f aca="false">(INDEX(Projection_M!$I$7:$I$667,B38+1)/INDEX(Projection_M!$R$7:$R$667,B38+1))*SUMIFS(Projection_M!$S$7:$S$667,Projection_M!$A$7:$A$667,"&gt;="&amp;B38)/INDEX(Discount_Monthly!$G$4:$G$664,MATCH(B38,Discount_Monthly!$A$4:$A$664,0))</f>
        <v>22465.5010469004</v>
      </c>
      <c r="F38" s="12" t="n">
        <f aca="false">(INDEX(Projection_M!$I$7:$I$667,B38+1)/INDEX(Projection_M!$T$7:$T$667,B38+1))*SUMIFS(Projection_M!$U$7:$U$667,Projection_M!$A$7:$A$667,"&gt;="&amp;B38)/INDEX(Discount_Monthly!$G$4:$G$664,MATCH(B38,Discount_Monthly!$A$4:$A$664,0))</f>
        <v>18605.6702387438</v>
      </c>
      <c r="G38" s="12" t="n">
        <f aca="false">(INDEX(Projection_M!$I$7:$I$667,B38+1)/INDEX(Projection_M!$V$7:$V$667,B38+1))*SUMIFS(Projection_M!$W$7:$W$667,Projection_M!$A$7:$A$667,"&gt;="&amp;B38)/INDEX(Discount_Monthly!$G$4:$G$664,MATCH(B38,Discount_Monthly!$A$4:$A$664,0))</f>
        <v>18605.6702387438</v>
      </c>
      <c r="H38" s="12" t="n">
        <f aca="false">SUMIFS(Projection_M!$X$7:$X$667,Projection_M!$A$7:$A$667,"&gt;="&amp;B38)/INDEX(Discount_Monthly!$G$4:$G$664,MATCH(B38,Discount_Monthly!$A$4:$A$664,0))</f>
        <v>18667.0300549961</v>
      </c>
      <c r="I38" s="12" t="n">
        <f aca="false">MAX(0,E38-D38)</f>
        <v>3859.83080815657</v>
      </c>
      <c r="J38" s="12" t="n">
        <f aca="false">MAX(MAX(0,F38-D38),MAX(0,G38-D38),IF(A38&lt;Assumptions!$B$6,MAX(0,-Assumptions!$B$22*D38),0))</f>
        <v>0</v>
      </c>
      <c r="K38" s="12" t="n">
        <f aca="false">MAX(0,H38-D38)</f>
        <v>61.3598162522649</v>
      </c>
      <c r="L38" s="12" t="n">
        <f aca="false">SQRT(I38^2+J38^2+K38^2+2*Assumptions!$B$26*I38*J38+2*Assumptions!$B$27*I38*K38+2*Assumptions!$B$28*J38*K38)</f>
        <v>3875.62616221195</v>
      </c>
      <c r="M38" s="12" t="n">
        <f aca="false">L38*INDEX(Discount_Monthly!$G$4:$G$664,MATCH(B38,Discount_Monthly!$A$4:$A$664,0))</f>
        <v>1420.17649446117</v>
      </c>
      <c r="N38" s="12" t="n">
        <f aca="false">Assumptions!$B$29*SUM(M38:M61)/INDEX(Discount_Monthly!$G$4:$G$664,MATCH(B38,Discount_Monthly!$A$4:$A$664,0))</f>
        <v>936.592647175808</v>
      </c>
      <c r="O38" s="12" t="n">
        <f aca="false">C38-D38-N38</f>
        <v>9244.51031867302</v>
      </c>
    </row>
    <row r="39" customFormat="false" ht="15" hidden="false" customHeight="true" outlineLevel="0" collapsed="false">
      <c r="A39" s="1" t="n">
        <v>33</v>
      </c>
      <c r="B39" s="34" t="n">
        <f aca="false">12*A39</f>
        <v>396</v>
      </c>
      <c r="C39" s="12" t="n">
        <f aca="false">SUMIFS(Projection_M!$Q$7:$Q$667,Projection_M!$A$7:$A$667,"&lt;"&amp;B39)/INDEX(Discount_Monthly!$G$4:$G$664,MATCH(B39,Discount_Monthly!$A$4:$A$664,0))</f>
        <v>25412.5573859622</v>
      </c>
      <c r="D39" s="12" t="n">
        <f aca="false">SUMIFS(Projection_M!$P$7:$P$667,Projection_M!$A$7:$A$667,"&gt;="&amp;B39)/INDEX(Discount_Monthly!$G$4:$G$664,MATCH(B39,Discount_Monthly!$A$4:$A$664,0))</f>
        <v>14900.2610563799</v>
      </c>
      <c r="E39" s="12" t="n">
        <f aca="false">(INDEX(Projection_M!$I$7:$I$667,B39+1)/INDEX(Projection_M!$R$7:$R$667,B39+1))*SUMIFS(Projection_M!$S$7:$S$667,Projection_M!$A$7:$A$667,"&gt;="&amp;B39)/INDEX(Discount_Monthly!$G$4:$G$664,MATCH(B39,Discount_Monthly!$A$4:$A$664,0))</f>
        <v>18023.167652318</v>
      </c>
      <c r="F39" s="12" t="n">
        <f aca="false">(INDEX(Projection_M!$I$7:$I$667,B39+1)/INDEX(Projection_M!$T$7:$T$667,B39+1))*SUMIFS(Projection_M!$U$7:$U$667,Projection_M!$A$7:$A$667,"&gt;="&amp;B39)/INDEX(Discount_Monthly!$G$4:$G$664,MATCH(B39,Discount_Monthly!$A$4:$A$664,0))</f>
        <v>14900.2610563799</v>
      </c>
      <c r="G39" s="12" t="n">
        <f aca="false">(INDEX(Projection_M!$I$7:$I$667,B39+1)/INDEX(Projection_M!$V$7:$V$667,B39+1))*SUMIFS(Projection_M!$W$7:$W$667,Projection_M!$A$7:$A$667,"&gt;="&amp;B39)/INDEX(Discount_Monthly!$G$4:$G$664,MATCH(B39,Discount_Monthly!$A$4:$A$664,0))</f>
        <v>14900.2610563799</v>
      </c>
      <c r="H39" s="12" t="n">
        <f aca="false">SUMIFS(Projection_M!$X$7:$X$667,Projection_M!$A$7:$A$667,"&gt;="&amp;B39)/INDEX(Discount_Monthly!$G$4:$G$664,MATCH(B39,Discount_Monthly!$A$4:$A$664,0))</f>
        <v>14950.7564513762</v>
      </c>
      <c r="I39" s="12" t="n">
        <f aca="false">MAX(0,E39-D39)</f>
        <v>3122.90659593814</v>
      </c>
      <c r="J39" s="12" t="n">
        <f aca="false">MAX(MAX(0,F39-D39),MAX(0,G39-D39),IF(A39&lt;Assumptions!$B$6,MAX(0,-Assumptions!$B$22*D39),0))</f>
        <v>0</v>
      </c>
      <c r="K39" s="12" t="n">
        <f aca="false">MAX(0,H39-D39)</f>
        <v>50.4953949962965</v>
      </c>
      <c r="L39" s="12" t="n">
        <f aca="false">SQRT(I39^2+J39^2+K39^2+2*Assumptions!$B$26*I39*J39+2*Assumptions!$B$27*I39*K39+2*Assumptions!$B$28*J39*K39)</f>
        <v>3135.91160476806</v>
      </c>
      <c r="M39" s="12" t="n">
        <f aca="false">L39*INDEX(Discount_Monthly!$G$4:$G$664,MATCH(B39,Discount_Monthly!$A$4:$A$664,0))</f>
        <v>1112.91370012113</v>
      </c>
      <c r="N39" s="12" t="n">
        <f aca="false">Assumptions!$B$29*SUM(M39:M61)/INDEX(Discount_Monthly!$G$4:$G$664,MATCH(B39,Discount_Monthly!$A$4:$A$664,0))</f>
        <v>726.958133245021</v>
      </c>
      <c r="O39" s="12" t="n">
        <f aca="false">C39-D39-N39</f>
        <v>9785.33819633732</v>
      </c>
    </row>
    <row r="40" customFormat="false" ht="15" hidden="false" customHeight="true" outlineLevel="0" collapsed="false">
      <c r="A40" s="1" t="n">
        <v>34</v>
      </c>
      <c r="B40" s="34" t="n">
        <f aca="false">12*A40</f>
        <v>408</v>
      </c>
      <c r="C40" s="12" t="n">
        <f aca="false">SUMIFS(Projection_M!$Q$7:$Q$667,Projection_M!$A$7:$A$667,"&lt;"&amp;B40)/INDEX(Discount_Monthly!$G$4:$G$664,MATCH(B40,Discount_Monthly!$A$4:$A$664,0))</f>
        <v>22645.3623346147</v>
      </c>
      <c r="D40" s="12" t="n">
        <f aca="false">SUMIFS(Projection_M!$P$7:$P$667,Projection_M!$A$7:$A$667,"&gt;="&amp;B40)/INDEX(Discount_Monthly!$G$4:$G$664,MATCH(B40,Discount_Monthly!$A$4:$A$664,0))</f>
        <v>11790.6782270482</v>
      </c>
      <c r="E40" s="12" t="n">
        <f aca="false">(INDEX(Projection_M!$I$7:$I$667,B40+1)/INDEX(Projection_M!$R$7:$R$667,B40+1))*SUMIFS(Projection_M!$S$7:$S$667,Projection_M!$A$7:$A$667,"&gt;="&amp;B40)/INDEX(Discount_Monthly!$G$4:$G$664,MATCH(B40,Discount_Monthly!$A$4:$A$664,0))</f>
        <v>14281.7609383612</v>
      </c>
      <c r="F40" s="12" t="n">
        <f aca="false">(INDEX(Projection_M!$I$7:$I$667,B40+1)/INDEX(Projection_M!$T$7:$T$667,B40+1))*SUMIFS(Projection_M!$U$7:$U$667,Projection_M!$A$7:$A$667,"&gt;="&amp;B40)/INDEX(Discount_Monthly!$G$4:$G$664,MATCH(B40,Discount_Monthly!$A$4:$A$664,0))</f>
        <v>11790.6782270482</v>
      </c>
      <c r="G40" s="12" t="n">
        <f aca="false">(INDEX(Projection_M!$I$7:$I$667,B40+1)/INDEX(Projection_M!$V$7:$V$667,B40+1))*SUMIFS(Projection_M!$W$7:$W$667,Projection_M!$A$7:$A$667,"&gt;="&amp;B40)/INDEX(Discount_Monthly!$G$4:$G$664,MATCH(B40,Discount_Monthly!$A$4:$A$664,0))</f>
        <v>11790.6782270482</v>
      </c>
      <c r="H40" s="12" t="n">
        <f aca="false">SUMIFS(Projection_M!$X$7:$X$667,Projection_M!$A$7:$A$667,"&gt;="&amp;B40)/INDEX(Discount_Monthly!$G$4:$G$664,MATCH(B40,Discount_Monthly!$A$4:$A$664,0))</f>
        <v>11831.7258711715</v>
      </c>
      <c r="I40" s="12" t="n">
        <f aca="false">MAX(0,E40-D40)</f>
        <v>2491.08271131302</v>
      </c>
      <c r="J40" s="12" t="n">
        <f aca="false">MAX(MAX(0,F40-D40),MAX(0,G40-D40),IF(A40&lt;Assumptions!$B$6,MAX(0,-Assumptions!$B$22*D40),0))</f>
        <v>0</v>
      </c>
      <c r="K40" s="12" t="n">
        <f aca="false">MAX(0,H40-D40)</f>
        <v>41.0476441232877</v>
      </c>
      <c r="L40" s="12" t="n">
        <f aca="false">SQRT(I40^2+J40^2+K40^2+2*Assumptions!$B$26*I40*J40+2*Assumptions!$B$27*I40*K40+2*Assumptions!$B$28*J40*K40)</f>
        <v>2501.66035304525</v>
      </c>
      <c r="M40" s="12" t="n">
        <f aca="false">L40*INDEX(Discount_Monthly!$G$4:$G$664,MATCH(B40,Discount_Monthly!$A$4:$A$664,0))</f>
        <v>859.817792136284</v>
      </c>
      <c r="N40" s="12" t="n">
        <f aca="false">Assumptions!$B$29*SUM(M40:M61)/INDEX(Discount_Monthly!$G$4:$G$664,MATCH(B40,Discount_Monthly!$A$4:$A$664,0))</f>
        <v>556.352382095831</v>
      </c>
      <c r="O40" s="12" t="n">
        <f aca="false">C40-D40-N40</f>
        <v>10298.3317254707</v>
      </c>
    </row>
    <row r="41" customFormat="false" ht="15" hidden="false" customHeight="true" outlineLevel="0" collapsed="false">
      <c r="A41" s="1" t="n">
        <v>35</v>
      </c>
      <c r="B41" s="34" t="n">
        <f aca="false">12*A41</f>
        <v>420</v>
      </c>
      <c r="C41" s="12" t="n">
        <f aca="false">SUMIFS(Projection_M!$Q$7:$Q$667,Projection_M!$A$7:$A$667,"&lt;"&amp;B41)/INDEX(Discount_Monthly!$G$4:$G$664,MATCH(B41,Discount_Monthly!$A$4:$A$664,0))</f>
        <v>20422.4125168354</v>
      </c>
      <c r="D41" s="12" t="n">
        <f aca="false">SUMIFS(Projection_M!$P$7:$P$667,Projection_M!$A$7:$A$667,"&gt;="&amp;B41)/INDEX(Discount_Monthly!$G$4:$G$664,MATCH(B41,Discount_Monthly!$A$4:$A$664,0))</f>
        <v>9213.75465646011</v>
      </c>
      <c r="E41" s="12" t="n">
        <f aca="false">(INDEX(Projection_M!$I$7:$I$667,B41+1)/INDEX(Projection_M!$R$7:$R$667,B41+1))*SUMIFS(Projection_M!$S$7:$S$667,Projection_M!$A$7:$A$667,"&gt;="&amp;B41)/INDEX(Discount_Monthly!$G$4:$G$664,MATCH(B41,Discount_Monthly!$A$4:$A$664,0))</f>
        <v>11170.8362594703</v>
      </c>
      <c r="F41" s="12" t="n">
        <f aca="false">(INDEX(Projection_M!$I$7:$I$667,B41+1)/INDEX(Projection_M!$T$7:$T$667,B41+1))*SUMIFS(Projection_M!$U$7:$U$667,Projection_M!$A$7:$A$667,"&gt;="&amp;B41)/INDEX(Discount_Monthly!$G$4:$G$664,MATCH(B41,Discount_Monthly!$A$4:$A$664,0))</f>
        <v>9213.7546564601</v>
      </c>
      <c r="G41" s="12" t="n">
        <f aca="false">(INDEX(Projection_M!$I$7:$I$667,B41+1)/INDEX(Projection_M!$V$7:$V$667,B41+1))*SUMIFS(Projection_M!$W$7:$W$667,Projection_M!$A$7:$A$667,"&gt;="&amp;B41)/INDEX(Discount_Monthly!$G$4:$G$664,MATCH(B41,Discount_Monthly!$A$4:$A$664,0))</f>
        <v>9213.75465646011</v>
      </c>
      <c r="H41" s="12" t="n">
        <f aca="false">SUMIFS(Projection_M!$X$7:$X$667,Projection_M!$A$7:$A$667,"&gt;="&amp;B41)/INDEX(Discount_Monthly!$G$4:$G$664,MATCH(B41,Discount_Monthly!$A$4:$A$664,0))</f>
        <v>9246.69519649211</v>
      </c>
      <c r="I41" s="12" t="n">
        <f aca="false">MAX(0,E41-D41)</f>
        <v>1957.08160301023</v>
      </c>
      <c r="J41" s="12" t="n">
        <f aca="false">MAX(MAX(0,F41-D41),MAX(0,G41-D41),IF(A41&lt;Assumptions!$B$6,MAX(0,-Assumptions!$B$22*D41),0))</f>
        <v>0</v>
      </c>
      <c r="K41" s="12" t="n">
        <f aca="false">MAX(0,H41-D41)</f>
        <v>32.9405400320084</v>
      </c>
      <c r="L41" s="12" t="n">
        <f aca="false">SQRT(I41^2+J41^2+K41^2+2*Assumptions!$B$26*I41*J41+2*Assumptions!$B$27*I41*K41+2*Assumptions!$B$28*J41*K41)</f>
        <v>1965.57552448733</v>
      </c>
      <c r="M41" s="12" t="n">
        <f aca="false">L41*INDEX(Discount_Monthly!$G$4:$G$664,MATCH(B41,Discount_Monthly!$A$4:$A$664,0))</f>
        <v>654.231414485497</v>
      </c>
      <c r="N41" s="12" t="n">
        <f aca="false">Assumptions!$B$29*SUM(M41:M61)/INDEX(Discount_Monthly!$G$4:$G$664,MATCH(B41,Discount_Monthly!$A$4:$A$664,0))</f>
        <v>419.500757164716</v>
      </c>
      <c r="O41" s="12" t="n">
        <f aca="false">C41-D41-N41</f>
        <v>10789.1571032106</v>
      </c>
    </row>
    <row r="42" customFormat="false" ht="15" hidden="false" customHeight="true" outlineLevel="0" collapsed="false">
      <c r="A42" s="1" t="n">
        <v>36</v>
      </c>
      <c r="B42" s="34" t="n">
        <f aca="false">12*A42</f>
        <v>432</v>
      </c>
      <c r="C42" s="12" t="n">
        <f aca="false">SUMIFS(Projection_M!$Q$7:$Q$667,Projection_M!$A$7:$A$667,"&lt;"&amp;B42)/INDEX(Discount_Monthly!$G$4:$G$664,MATCH(B42,Discount_Monthly!$A$4:$A$664,0))</f>
        <v>18673.9069568149</v>
      </c>
      <c r="D42" s="12" t="n">
        <f aca="false">SUMIFS(Projection_M!$P$7:$P$667,Projection_M!$A$7:$A$667,"&gt;="&amp;B42)/INDEX(Discount_Monthly!$G$4:$G$664,MATCH(B42,Discount_Monthly!$A$4:$A$664,0))</f>
        <v>7103.32084975702</v>
      </c>
      <c r="E42" s="12" t="n">
        <f aca="false">(INDEX(Projection_M!$I$7:$I$667,B42+1)/INDEX(Projection_M!$R$7:$R$667,B42+1))*SUMIFS(Projection_M!$S$7:$S$667,Projection_M!$A$7:$A$667,"&gt;="&amp;B42)/INDEX(Discount_Monthly!$G$4:$G$664,MATCH(B42,Discount_Monthly!$A$4:$A$664,0))</f>
        <v>8614.37522528246</v>
      </c>
      <c r="F42" s="12" t="n">
        <f aca="false">(INDEX(Projection_M!$I$7:$I$667,B42+1)/INDEX(Projection_M!$T$7:$T$667,B42+1))*SUMIFS(Projection_M!$U$7:$U$667,Projection_M!$A$7:$A$667,"&gt;="&amp;B42)/INDEX(Discount_Monthly!$G$4:$G$664,MATCH(B42,Discount_Monthly!$A$4:$A$664,0))</f>
        <v>7103.32084975701</v>
      </c>
      <c r="G42" s="12" t="n">
        <f aca="false">(INDEX(Projection_M!$I$7:$I$667,B42+1)/INDEX(Projection_M!$V$7:$V$667,B42+1))*SUMIFS(Projection_M!$W$7:$W$667,Projection_M!$A$7:$A$667,"&gt;="&amp;B42)/INDEX(Discount_Monthly!$G$4:$G$664,MATCH(B42,Discount_Monthly!$A$4:$A$664,0))</f>
        <v>7103.32084975702</v>
      </c>
      <c r="H42" s="12" t="n">
        <f aca="false">SUMIFS(Projection_M!$X$7:$X$667,Projection_M!$A$7:$A$667,"&gt;="&amp;B42)/INDEX(Discount_Monthly!$G$4:$G$664,MATCH(B42,Discount_Monthly!$A$4:$A$664,0))</f>
        <v>7129.38998749542</v>
      </c>
      <c r="I42" s="12" t="n">
        <f aca="false">MAX(0,E42-D42)</f>
        <v>1511.05437552544</v>
      </c>
      <c r="J42" s="12" t="n">
        <f aca="false">MAX(MAX(0,F42-D42),MAX(0,G42-D42),IF(A42&lt;Assumptions!$B$6,MAX(0,-Assumptions!$B$22*D42),0))</f>
        <v>0</v>
      </c>
      <c r="K42" s="12" t="n">
        <f aca="false">MAX(0,H42-D42)</f>
        <v>26.0691377384064</v>
      </c>
      <c r="L42" s="12" t="n">
        <f aca="false">SQRT(I42^2+J42^2+K42^2+2*Assumptions!$B$26*I42*J42+2*Assumptions!$B$27*I42*K42+2*Assumptions!$B$28*J42*K42)</f>
        <v>1517.78156137828</v>
      </c>
      <c r="M42" s="12" t="n">
        <f aca="false">L42*INDEX(Discount_Monthly!$G$4:$G$664,MATCH(B42,Discount_Monthly!$A$4:$A$664,0))</f>
        <v>489.383344825274</v>
      </c>
      <c r="N42" s="12" t="n">
        <f aca="false">Assumptions!$B$29*SUM(M42:M61)/INDEX(Discount_Monthly!$G$4:$G$664,MATCH(B42,Discount_Monthly!$A$4:$A$664,0))</f>
        <v>311.303817536021</v>
      </c>
      <c r="O42" s="12" t="n">
        <f aca="false">C42-D42-N42</f>
        <v>11259.2822895219</v>
      </c>
    </row>
    <row r="43" customFormat="false" ht="15" hidden="false" customHeight="true" outlineLevel="0" collapsed="false">
      <c r="A43" s="1" t="n">
        <v>37</v>
      </c>
      <c r="B43" s="34" t="n">
        <f aca="false">12*A43</f>
        <v>444</v>
      </c>
      <c r="C43" s="12" t="n">
        <f aca="false">SUMIFS(Projection_M!$Q$7:$Q$667,Projection_M!$A$7:$A$667,"&lt;"&amp;B43)/INDEX(Discount_Monthly!$G$4:$G$664,MATCH(B43,Discount_Monthly!$A$4:$A$664,0))</f>
        <v>17352.4370464966</v>
      </c>
      <c r="D43" s="12" t="n">
        <f aca="false">SUMIFS(Projection_M!$P$7:$P$667,Projection_M!$A$7:$A$667,"&gt;="&amp;B43)/INDEX(Discount_Monthly!$G$4:$G$664,MATCH(B43,Discount_Monthly!$A$4:$A$664,0))</f>
        <v>5403.72119778517</v>
      </c>
      <c r="E43" s="12" t="n">
        <f aca="false">(INDEX(Projection_M!$I$7:$I$667,B43+1)/INDEX(Projection_M!$R$7:$R$667,B43+1))*SUMIFS(Projection_M!$S$7:$S$667,Projection_M!$A$7:$A$667,"&gt;="&amp;B43)/INDEX(Discount_Monthly!$G$4:$G$664,MATCH(B43,Discount_Monthly!$A$4:$A$664,0))</f>
        <v>6547.57769235858</v>
      </c>
      <c r="F43" s="12" t="n">
        <f aca="false">(INDEX(Projection_M!$I$7:$I$667,B43+1)/INDEX(Projection_M!$T$7:$T$667,B43+1))*SUMIFS(Projection_M!$U$7:$U$667,Projection_M!$A$7:$A$667,"&gt;="&amp;B43)/INDEX(Discount_Monthly!$G$4:$G$664,MATCH(B43,Discount_Monthly!$A$4:$A$664,0))</f>
        <v>5403.72119778517</v>
      </c>
      <c r="G43" s="12" t="n">
        <f aca="false">(INDEX(Projection_M!$I$7:$I$667,B43+1)/INDEX(Projection_M!$V$7:$V$667,B43+1))*SUMIFS(Projection_M!$W$7:$W$667,Projection_M!$A$7:$A$667,"&gt;="&amp;B43)/INDEX(Discount_Monthly!$G$4:$G$664,MATCH(B43,Discount_Monthly!$A$4:$A$664,0))</f>
        <v>5403.72119778517</v>
      </c>
      <c r="H43" s="12" t="n">
        <f aca="false">SUMIFS(Projection_M!$X$7:$X$667,Projection_M!$A$7:$A$667,"&gt;="&amp;B43)/INDEX(Discount_Monthly!$G$4:$G$664,MATCH(B43,Discount_Monthly!$A$4:$A$664,0))</f>
        <v>5424.06860475265</v>
      </c>
      <c r="I43" s="12" t="n">
        <f aca="false">MAX(0,E43-D43)</f>
        <v>1143.85649457341</v>
      </c>
      <c r="J43" s="12" t="n">
        <f aca="false">MAX(MAX(0,F43-D43),MAX(0,G43-D43),IF(A43&lt;Assumptions!$B$6,MAX(0,-Assumptions!$B$22*D43),0))</f>
        <v>0</v>
      </c>
      <c r="K43" s="12" t="n">
        <f aca="false">MAX(0,H43-D43)</f>
        <v>20.347406967483</v>
      </c>
      <c r="L43" s="12" t="n">
        <f aca="false">SQRT(I43^2+J43^2+K43^2+2*Assumptions!$B$26*I43*J43+2*Assumptions!$B$27*I43*K43+2*Assumptions!$B$28*J43*K43)</f>
        <v>1149.11224601943</v>
      </c>
      <c r="M43" s="12" t="n">
        <f aca="false">L43*INDEX(Discount_Monthly!$G$4:$G$664,MATCH(B43,Discount_Monthly!$A$4:$A$664,0))</f>
        <v>358.786828047563</v>
      </c>
      <c r="N43" s="12" t="n">
        <f aca="false">Assumptions!$B$29*SUM(M43:M61)/INDEX(Discount_Monthly!$G$4:$G$664,MATCH(B43,Discount_Monthly!$A$4:$A$664,0))</f>
        <v>227.43432339287</v>
      </c>
      <c r="O43" s="12" t="n">
        <f aca="false">C43-D43-N43</f>
        <v>11721.2815253185</v>
      </c>
    </row>
    <row r="44" customFormat="false" ht="15" hidden="false" customHeight="true" outlineLevel="0" collapsed="false">
      <c r="A44" s="1" t="n">
        <v>38</v>
      </c>
      <c r="B44" s="34" t="n">
        <f aca="false">12*A44</f>
        <v>456</v>
      </c>
      <c r="C44" s="12" t="n">
        <f aca="false">SUMIFS(Projection_M!$Q$7:$Q$667,Projection_M!$A$7:$A$667,"&lt;"&amp;B44)/INDEX(Discount_Monthly!$G$4:$G$664,MATCH(B44,Discount_Monthly!$A$4:$A$664,0))</f>
        <v>16394.4194551874</v>
      </c>
      <c r="D44" s="12" t="n">
        <f aca="false">SUMIFS(Projection_M!$P$7:$P$667,Projection_M!$A$7:$A$667,"&gt;="&amp;B44)/INDEX(Discount_Monthly!$G$4:$G$664,MATCH(B44,Discount_Monthly!$A$4:$A$664,0))</f>
        <v>4054.73836722917</v>
      </c>
      <c r="E44" s="12" t="n">
        <f aca="false">(INDEX(Projection_M!$I$7:$I$667,B44+1)/INDEX(Projection_M!$R$7:$R$667,B44+1))*SUMIFS(Projection_M!$S$7:$S$667,Projection_M!$A$7:$A$667,"&gt;="&amp;B44)/INDEX(Discount_Monthly!$G$4:$G$664,MATCH(B44,Discount_Monthly!$A$4:$A$664,0))</f>
        <v>4898.9293900782</v>
      </c>
      <c r="F44" s="12" t="n">
        <f aca="false">(INDEX(Projection_M!$I$7:$I$667,B44+1)/INDEX(Projection_M!$T$7:$T$667,B44+1))*SUMIFS(Projection_M!$U$7:$U$667,Projection_M!$A$7:$A$667,"&gt;="&amp;B44)/INDEX(Discount_Monthly!$G$4:$G$664,MATCH(B44,Discount_Monthly!$A$4:$A$664,0))</f>
        <v>4054.73836722917</v>
      </c>
      <c r="G44" s="12" t="n">
        <f aca="false">(INDEX(Projection_M!$I$7:$I$667,B44+1)/INDEX(Projection_M!$V$7:$V$667,B44+1))*SUMIFS(Projection_M!$W$7:$W$667,Projection_M!$A$7:$A$667,"&gt;="&amp;B44)/INDEX(Discount_Monthly!$G$4:$G$664,MATCH(B44,Discount_Monthly!$A$4:$A$664,0))</f>
        <v>4054.73836722917</v>
      </c>
      <c r="H44" s="12" t="n">
        <f aca="false">SUMIFS(Projection_M!$X$7:$X$667,Projection_M!$A$7:$A$667,"&gt;="&amp;B44)/INDEX(Discount_Monthly!$G$4:$G$664,MATCH(B44,Discount_Monthly!$A$4:$A$664,0))</f>
        <v>4070.39222936746</v>
      </c>
      <c r="I44" s="12" t="n">
        <f aca="false">MAX(0,E44-D44)</f>
        <v>844.191022849031</v>
      </c>
      <c r="J44" s="12" t="n">
        <f aca="false">MAX(MAX(0,F44-D44),MAX(0,G44-D44),IF(A44&lt;Assumptions!$B$6,MAX(0,-Assumptions!$B$22*D44),0))</f>
        <v>0</v>
      </c>
      <c r="K44" s="12" t="n">
        <f aca="false">MAX(0,H44-D44)</f>
        <v>15.6538621382961</v>
      </c>
      <c r="L44" s="12" t="n">
        <f aca="false">SQRT(I44^2+J44^2+K44^2+2*Assumptions!$B$26*I44*J44+2*Assumptions!$B$27*I44*K44+2*Assumptions!$B$28*J44*K44)</f>
        <v>848.239913823778</v>
      </c>
      <c r="M44" s="12" t="n">
        <f aca="false">L44*INDEX(Discount_Monthly!$G$4:$G$664,MATCH(B44,Discount_Monthly!$A$4:$A$664,0))</f>
        <v>256.454332035284</v>
      </c>
      <c r="N44" s="12" t="n">
        <f aca="false">Assumptions!$B$29*SUM(M44:M61)/INDEX(Discount_Monthly!$G$4:$G$664,MATCH(B44,Discount_Monthly!$A$4:$A$664,0))</f>
        <v>163.673345728249</v>
      </c>
      <c r="O44" s="12" t="n">
        <f aca="false">C44-D44-N44</f>
        <v>12176.00774223</v>
      </c>
    </row>
    <row r="45" customFormat="false" ht="15" hidden="false" customHeight="true" outlineLevel="0" collapsed="false">
      <c r="A45" s="1" t="n">
        <v>39</v>
      </c>
      <c r="B45" s="34" t="n">
        <f aca="false">12*A45</f>
        <v>468</v>
      </c>
      <c r="C45" s="12" t="n">
        <f aca="false">SUMIFS(Projection_M!$Q$7:$Q$667,Projection_M!$A$7:$A$667,"&lt;"&amp;B45)/INDEX(Discount_Monthly!$G$4:$G$664,MATCH(B45,Discount_Monthly!$A$4:$A$664,0))</f>
        <v>15741.217864939</v>
      </c>
      <c r="D45" s="12" t="n">
        <f aca="false">SUMIFS(Projection_M!$P$7:$P$667,Projection_M!$A$7:$A$667,"&gt;="&amp;B45)/INDEX(Discount_Monthly!$G$4:$G$664,MATCH(B45,Discount_Monthly!$A$4:$A$664,0))</f>
        <v>3002.10041402269</v>
      </c>
      <c r="E45" s="12" t="n">
        <f aca="false">(INDEX(Projection_M!$I$7:$I$667,B45+1)/INDEX(Projection_M!$R$7:$R$667,B45+1))*SUMIFS(Projection_M!$S$7:$S$667,Projection_M!$A$7:$A$667,"&gt;="&amp;B45)/INDEX(Discount_Monthly!$G$4:$G$664,MATCH(B45,Discount_Monthly!$A$4:$A$664,0))</f>
        <v>3603.47528100632</v>
      </c>
      <c r="F45" s="12" t="n">
        <f aca="false">(INDEX(Projection_M!$I$7:$I$667,B45+1)/INDEX(Projection_M!$T$7:$T$667,B45+1))*SUMIFS(Projection_M!$U$7:$U$667,Projection_M!$A$7:$A$667,"&gt;="&amp;B45)/INDEX(Discount_Monthly!$G$4:$G$664,MATCH(B45,Discount_Monthly!$A$4:$A$664,0))</f>
        <v>3002.10041402269</v>
      </c>
      <c r="G45" s="12" t="n">
        <f aca="false">(INDEX(Projection_M!$I$7:$I$667,B45+1)/INDEX(Projection_M!$V$7:$V$667,B45+1))*SUMIFS(Projection_M!$W$7:$W$667,Projection_M!$A$7:$A$667,"&gt;="&amp;B45)/INDEX(Discount_Monthly!$G$4:$G$664,MATCH(B45,Discount_Monthly!$A$4:$A$664,0))</f>
        <v>3002.10041402269</v>
      </c>
      <c r="H45" s="12" t="n">
        <f aca="false">SUMIFS(Projection_M!$X$7:$X$667,Projection_M!$A$7:$A$667,"&gt;="&amp;B45)/INDEX(Discount_Monthly!$G$4:$G$664,MATCH(B45,Discount_Monthly!$A$4:$A$664,0))</f>
        <v>3013.97073360894</v>
      </c>
      <c r="I45" s="12" t="n">
        <f aca="false">MAX(0,E45-D45)</f>
        <v>601.374866983636</v>
      </c>
      <c r="J45" s="12" t="n">
        <f aca="false">MAX(MAX(0,F45-D45),MAX(0,G45-D45),IF(A45&lt;Assumptions!$B$6,MAX(0,-Assumptions!$B$22*D45),0))</f>
        <v>0</v>
      </c>
      <c r="K45" s="12" t="n">
        <f aca="false">MAX(0,H45-D45)</f>
        <v>11.8703195862531</v>
      </c>
      <c r="L45" s="12" t="n">
        <f aca="false">SQRT(I45^2+J45^2+K45^2+2*Assumptions!$B$26*I45*J45+2*Assumptions!$B$27*I45*K45+2*Assumptions!$B$28*J45*K45)</f>
        <v>604.451727648936</v>
      </c>
      <c r="M45" s="12" t="n">
        <f aca="false">L45*INDEX(Discount_Monthly!$G$4:$G$664,MATCH(B45,Discount_Monthly!$A$4:$A$664,0))</f>
        <v>177.018050102137</v>
      </c>
      <c r="N45" s="12" t="n">
        <f aca="false">Assumptions!$B$29*SUM(M45:M61)/INDEX(Discount_Monthly!$G$4:$G$664,MATCH(B45,Discount_Monthly!$A$4:$A$664,0))</f>
        <v>116.429613638333</v>
      </c>
      <c r="O45" s="12" t="n">
        <f aca="false">C45-D45-N45</f>
        <v>12622.687837278</v>
      </c>
    </row>
    <row r="46" customFormat="false" ht="15" hidden="false" customHeight="true" outlineLevel="0" collapsed="false">
      <c r="A46" s="1" t="n">
        <v>40</v>
      </c>
      <c r="B46" s="34" t="n">
        <f aca="false">12*A46</f>
        <v>480</v>
      </c>
      <c r="C46" s="12" t="n">
        <f aca="false">SUMIFS(Projection_M!$Q$7:$Q$667,Projection_M!$A$7:$A$667,"&lt;"&amp;B46)/INDEX(Discount_Monthly!$G$4:$G$664,MATCH(B46,Discount_Monthly!$A$4:$A$664,0))</f>
        <v>15343.3494770088</v>
      </c>
      <c r="D46" s="12" t="n">
        <f aca="false">SUMIFS(Projection_M!$P$7:$P$667,Projection_M!$A$7:$A$667,"&gt;="&amp;B46)/INDEX(Discount_Monthly!$G$4:$G$664,MATCH(B46,Discount_Monthly!$A$4:$A$664,0))</f>
        <v>2186.51251253281</v>
      </c>
      <c r="E46" s="12" t="n">
        <f aca="false">(INDEX(Projection_M!$I$7:$I$667,B46+1)/INDEX(Projection_M!$R$7:$R$667,B46+1))*SUMIFS(Projection_M!$S$7:$S$667,Projection_M!$A$7:$A$667,"&gt;="&amp;B46)/INDEX(Discount_Monthly!$G$4:$G$664,MATCH(B46,Discount_Monthly!$A$4:$A$664,0))</f>
        <v>2619.66082607177</v>
      </c>
      <c r="F46" s="12" t="n">
        <f aca="false">(INDEX(Projection_M!$I$7:$I$667,B46+1)/INDEX(Projection_M!$T$7:$T$667,B46+1))*SUMIFS(Projection_M!$U$7:$U$667,Projection_M!$A$7:$A$667,"&gt;="&amp;B46)/INDEX(Discount_Monthly!$G$4:$G$664,MATCH(B46,Discount_Monthly!$A$4:$A$664,0))</f>
        <v>2186.51251253281</v>
      </c>
      <c r="G46" s="12" t="n">
        <f aca="false">(INDEX(Projection_M!$I$7:$I$667,B46+1)/INDEX(Projection_M!$V$7:$V$667,B46+1))*SUMIFS(Projection_M!$W$7:$W$667,Projection_M!$A$7:$A$667,"&gt;="&amp;B46)/INDEX(Discount_Monthly!$G$4:$G$664,MATCH(B46,Discount_Monthly!$A$4:$A$664,0))</f>
        <v>2186.51251253281</v>
      </c>
      <c r="H46" s="12" t="n">
        <f aca="false">SUMIFS(Projection_M!$X$7:$X$667,Projection_M!$A$7:$A$667,"&gt;="&amp;B46)/INDEX(Discount_Monthly!$G$4:$G$664,MATCH(B46,Discount_Monthly!$A$4:$A$664,0))</f>
        <v>2195.35617745563</v>
      </c>
      <c r="I46" s="12" t="n">
        <f aca="false">MAX(0,E46-D46)</f>
        <v>433.148313538961</v>
      </c>
      <c r="J46" s="12" t="n">
        <f aca="false">MAX(MAX(0,F46-D46),MAX(0,G46-D46),IF(A46&lt;Assumptions!$B$6,MAX(0,-Assumptions!$B$22*D46),0))</f>
        <v>0</v>
      </c>
      <c r="K46" s="12" t="n">
        <f aca="false">MAX(0,H46-D46)</f>
        <v>8.84366492282243</v>
      </c>
      <c r="L46" s="12" t="n">
        <f aca="false">SQRT(I46^2+J46^2+K46^2+2*Assumptions!$B$26*I46*J46+2*Assumptions!$B$27*I46*K46+2*Assumptions!$B$28*J46*K46)</f>
        <v>435.443430544457</v>
      </c>
      <c r="M46" s="12" t="n">
        <f aca="false">L46*INDEX(Discount_Monthly!$G$4:$G$664,MATCH(B46,Discount_Monthly!$A$4:$A$664,0))</f>
        <v>123.474000919938</v>
      </c>
      <c r="N46" s="12" t="n">
        <f aca="false">Assumptions!$B$29*SUM(M46:M61)/INDEX(Discount_Monthly!$G$4:$G$664,MATCH(B46,Discount_Monthly!$A$4:$A$664,0))</f>
        <v>82.7910629229844</v>
      </c>
      <c r="O46" s="12" t="n">
        <f aca="false">C46-D46-N46</f>
        <v>13074.045901553</v>
      </c>
    </row>
    <row r="47" customFormat="false" ht="15" hidden="false" customHeight="true" outlineLevel="0" collapsed="false">
      <c r="A47" s="1" t="n">
        <v>41</v>
      </c>
      <c r="B47" s="34" t="n">
        <f aca="false">12*A47</f>
        <v>492</v>
      </c>
      <c r="C47" s="12" t="n">
        <f aca="false">SUMIFS(Projection_M!$Q$7:$Q$667,Projection_M!$A$7:$A$667,"&lt;"&amp;B47)/INDEX(Discount_Monthly!$G$4:$G$664,MATCH(B47,Discount_Monthly!$A$4:$A$664,0))</f>
        <v>15090.9435940507</v>
      </c>
      <c r="D47" s="12" t="n">
        <f aca="false">SUMIFS(Projection_M!$P$7:$P$667,Projection_M!$A$7:$A$667,"&gt;="&amp;B47)/INDEX(Discount_Monthly!$G$4:$G$664,MATCH(B47,Discount_Monthly!$A$4:$A$664,0))</f>
        <v>1502.16348938752</v>
      </c>
      <c r="E47" s="12" t="n">
        <f aca="false">(INDEX(Projection_M!$I$7:$I$667,B47+1)/INDEX(Projection_M!$R$7:$R$667,B47+1))*SUMIFS(Projection_M!$S$7:$S$667,Projection_M!$A$7:$A$667,"&gt;="&amp;B47)/INDEX(Discount_Monthly!$G$4:$G$664,MATCH(B47,Discount_Monthly!$A$4:$A$664,0))</f>
        <v>1887.75649752954</v>
      </c>
      <c r="F47" s="12" t="n">
        <f aca="false">(INDEX(Projection_M!$I$7:$I$667,B47+1)/INDEX(Projection_M!$T$7:$T$667,B47+1))*SUMIFS(Projection_M!$U$7:$U$667,Projection_M!$A$7:$A$667,"&gt;="&amp;B47)/INDEX(Discount_Monthly!$G$4:$G$664,MATCH(B47,Discount_Monthly!$A$4:$A$664,0))</f>
        <v>1502.16348938752</v>
      </c>
      <c r="G47" s="12" t="n">
        <f aca="false">(INDEX(Projection_M!$I$7:$I$667,B47+1)/INDEX(Projection_M!$V$7:$V$667,B47+1))*SUMIFS(Projection_M!$W$7:$W$667,Projection_M!$A$7:$A$667,"&gt;="&amp;B47)/INDEX(Discount_Monthly!$G$4:$G$664,MATCH(B47,Discount_Monthly!$A$4:$A$664,0))</f>
        <v>1502.16348938752</v>
      </c>
      <c r="H47" s="12" t="n">
        <f aca="false">SUMIFS(Projection_M!$X$7:$X$667,Projection_M!$A$7:$A$667,"&gt;="&amp;B47)/INDEX(Discount_Monthly!$G$4:$G$664,MATCH(B47,Discount_Monthly!$A$4:$A$664,0))</f>
        <v>1508.38453079223</v>
      </c>
      <c r="I47" s="12" t="n">
        <f aca="false">MAX(0,E47-D47)</f>
        <v>385.593008142017</v>
      </c>
      <c r="J47" s="12" t="n">
        <f aca="false">MAX(MAX(0,F47-D47),MAX(0,G47-D47),IF(A47&lt;Assumptions!$B$6,MAX(0,-Assumptions!$B$22*D47),0))</f>
        <v>0</v>
      </c>
      <c r="K47" s="12" t="n">
        <f aca="false">MAX(0,H47-D47)</f>
        <v>6.22104140471402</v>
      </c>
      <c r="L47" s="12" t="n">
        <f aca="false">SQRT(I47^2+J47^2+K47^2+2*Assumptions!$B$26*I47*J47+2*Assumptions!$B$27*I47*K47+2*Assumptions!$B$28*J47*K47)</f>
        <v>387.195124347761</v>
      </c>
      <c r="M47" s="12" t="n">
        <f aca="false">L47*INDEX(Discount_Monthly!$G$4:$G$664,MATCH(B47,Discount_Monthly!$A$4:$A$664,0))</f>
        <v>106.302794166458</v>
      </c>
      <c r="N47" s="12" t="n">
        <f aca="false">Assumptions!$B$29*SUM(M47:M61)/INDEX(Discount_Monthly!$G$4:$G$664,MATCH(B47,Discount_Monthly!$A$4:$A$664,0))</f>
        <v>58.5247692305891</v>
      </c>
      <c r="O47" s="12" t="n">
        <f aca="false">C47-D47-N47</f>
        <v>13530.2553354326</v>
      </c>
    </row>
    <row r="48" customFormat="false" ht="15" hidden="false" customHeight="true" outlineLevel="0" collapsed="false">
      <c r="A48" s="1" t="n">
        <v>42</v>
      </c>
      <c r="B48" s="34" t="n">
        <f aca="false">12*A48</f>
        <v>504</v>
      </c>
      <c r="C48" s="12" t="n">
        <f aca="false">SUMIFS(Projection_M!$Q$7:$Q$667,Projection_M!$A$7:$A$667,"&lt;"&amp;B48)/INDEX(Discount_Monthly!$G$4:$G$664,MATCH(B48,Discount_Monthly!$A$4:$A$664,0))</f>
        <v>14980.0750075118</v>
      </c>
      <c r="D48" s="12" t="n">
        <f aca="false">SUMIFS(Projection_M!$P$7:$P$667,Projection_M!$A$7:$A$667,"&gt;="&amp;B48)/INDEX(Discount_Monthly!$G$4:$G$664,MATCH(B48,Discount_Monthly!$A$4:$A$664,0))</f>
        <v>950.3378546236</v>
      </c>
      <c r="E48" s="12" t="n">
        <f aca="false">(INDEX(Projection_M!$I$7:$I$667,B48+1)/INDEX(Projection_M!$R$7:$R$667,B48+1))*SUMIFS(Projection_M!$S$7:$S$667,Projection_M!$A$7:$A$667,"&gt;="&amp;B48)/INDEX(Discount_Monthly!$G$4:$G$664,MATCH(B48,Discount_Monthly!$A$4:$A$664,0))</f>
        <v>1202.80443515493</v>
      </c>
      <c r="F48" s="12" t="n">
        <f aca="false">(INDEX(Projection_M!$I$7:$I$667,B48+1)/INDEX(Projection_M!$T$7:$T$667,B48+1))*SUMIFS(Projection_M!$U$7:$U$667,Projection_M!$A$7:$A$667,"&gt;="&amp;B48)/INDEX(Discount_Monthly!$G$4:$G$664,MATCH(B48,Discount_Monthly!$A$4:$A$664,0))</f>
        <v>950.3378546236</v>
      </c>
      <c r="G48" s="12" t="n">
        <f aca="false">(INDEX(Projection_M!$I$7:$I$667,B48+1)/INDEX(Projection_M!$V$7:$V$667,B48+1))*SUMIFS(Projection_M!$W$7:$W$667,Projection_M!$A$7:$A$667,"&gt;="&amp;B48)/INDEX(Discount_Monthly!$G$4:$G$664,MATCH(B48,Discount_Monthly!$A$4:$A$664,0))</f>
        <v>950.3378546236</v>
      </c>
      <c r="H48" s="12" t="n">
        <f aca="false">SUMIFS(Projection_M!$X$7:$X$667,Projection_M!$A$7:$A$667,"&gt;="&amp;B48)/INDEX(Discount_Monthly!$G$4:$G$664,MATCH(B48,Discount_Monthly!$A$4:$A$664,0))</f>
        <v>954.376680273264</v>
      </c>
      <c r="I48" s="12" t="n">
        <f aca="false">MAX(0,E48-D48)</f>
        <v>252.466580531334</v>
      </c>
      <c r="J48" s="12" t="n">
        <f aca="false">MAX(MAX(0,F48-D48),MAX(0,G48-D48),IF(A48&lt;Assumptions!$B$6,MAX(0,-Assumptions!$B$22*D48),0))</f>
        <v>0</v>
      </c>
      <c r="K48" s="12" t="n">
        <f aca="false">MAX(0,H48-D48)</f>
        <v>4.03882564966386</v>
      </c>
      <c r="L48" s="12" t="n">
        <f aca="false">SQRT(I48^2+J48^2+K48^2+2*Assumptions!$B$26*I48*J48+2*Assumptions!$B$27*I48*K48+2*Assumptions!$B$28*J48*K48)</f>
        <v>253.506450900917</v>
      </c>
      <c r="M48" s="12" t="n">
        <f aca="false">L48*INDEX(Discount_Monthly!$G$4:$G$664,MATCH(B48,Discount_Monthly!$A$4:$A$664,0))</f>
        <v>67.4116180792065</v>
      </c>
      <c r="N48" s="12" t="n">
        <f aca="false">Assumptions!$B$29*SUM(M48:M61)/INDEX(Discount_Monthly!$G$4:$G$664,MATCH(B48,Discount_Monthly!$A$4:$A$664,0))</f>
        <v>36.4383245689543</v>
      </c>
      <c r="O48" s="12" t="n">
        <f aca="false">C48-D48-N48</f>
        <v>13993.2988283192</v>
      </c>
    </row>
    <row r="49" customFormat="false" ht="15" hidden="false" customHeight="true" outlineLevel="0" collapsed="false">
      <c r="A49" s="1" t="n">
        <v>43</v>
      </c>
      <c r="B49" s="34" t="n">
        <f aca="false">12*A49</f>
        <v>516</v>
      </c>
      <c r="C49" s="12" t="n">
        <f aca="false">SUMIFS(Projection_M!$Q$7:$Q$667,Projection_M!$A$7:$A$667,"&lt;"&amp;B49)/INDEX(Discount_Monthly!$G$4:$G$664,MATCH(B49,Discount_Monthly!$A$4:$A$664,0))</f>
        <v>15071.1589309062</v>
      </c>
      <c r="D49" s="12" t="n">
        <f aca="false">SUMIFS(Projection_M!$P$7:$P$667,Projection_M!$A$7:$A$667,"&gt;="&amp;B49)/INDEX(Discount_Monthly!$G$4:$G$664,MATCH(B49,Discount_Monthly!$A$4:$A$664,0))</f>
        <v>579.838514169635</v>
      </c>
      <c r="E49" s="12" t="n">
        <f aca="false">(INDEX(Projection_M!$I$7:$I$667,B49+1)/INDEX(Projection_M!$R$7:$R$667,B49+1))*SUMIFS(Projection_M!$S$7:$S$667,Projection_M!$A$7:$A$667,"&gt;="&amp;B49)/INDEX(Discount_Monthly!$G$4:$G$664,MATCH(B49,Discount_Monthly!$A$4:$A$664,0))</f>
        <v>739.627066513398</v>
      </c>
      <c r="F49" s="12" t="n">
        <f aca="false">(INDEX(Projection_M!$I$7:$I$667,B49+1)/INDEX(Projection_M!$T$7:$T$667,B49+1))*SUMIFS(Projection_M!$U$7:$U$667,Projection_M!$A$7:$A$667,"&gt;="&amp;B49)/INDEX(Discount_Monthly!$G$4:$G$664,MATCH(B49,Discount_Monthly!$A$4:$A$664,0))</f>
        <v>579.838514169635</v>
      </c>
      <c r="G49" s="12" t="n">
        <f aca="false">(INDEX(Projection_M!$I$7:$I$667,B49+1)/INDEX(Projection_M!$V$7:$V$667,B49+1))*SUMIFS(Projection_M!$W$7:$W$667,Projection_M!$A$7:$A$667,"&gt;="&amp;B49)/INDEX(Discount_Monthly!$G$4:$G$664,MATCH(B49,Discount_Monthly!$A$4:$A$664,0))</f>
        <v>579.838514169635</v>
      </c>
      <c r="H49" s="12" t="n">
        <f aca="false">SUMIFS(Projection_M!$X$7:$X$667,Projection_M!$A$7:$A$667,"&gt;="&amp;B49)/INDEX(Discount_Monthly!$G$4:$G$664,MATCH(B49,Discount_Monthly!$A$4:$A$664,0))</f>
        <v>582.367408398983</v>
      </c>
      <c r="I49" s="12" t="n">
        <f aca="false">MAX(0,E49-D49)</f>
        <v>159.788552343763</v>
      </c>
      <c r="J49" s="12" t="n">
        <f aca="false">MAX(MAX(0,F49-D49),MAX(0,G49-D49),IF(A49&lt;Assumptions!$B$6,MAX(0,-Assumptions!$B$22*D49),0))</f>
        <v>0</v>
      </c>
      <c r="K49" s="12" t="n">
        <f aca="false">MAX(0,H49-D49)</f>
        <v>2.52889422934811</v>
      </c>
      <c r="L49" s="12" t="n">
        <f aca="false">SQRT(I49^2+J49^2+K49^2+2*Assumptions!$B$26*I49*J49+2*Assumptions!$B$27*I49*K49+2*Assumptions!$B$28*J49*K49)</f>
        <v>160.439461916661</v>
      </c>
      <c r="M49" s="12" t="n">
        <f aca="false">L49*INDEX(Discount_Monthly!$G$4:$G$664,MATCH(B49,Discount_Monthly!$A$4:$A$664,0))</f>
        <v>41.3046083562105</v>
      </c>
      <c r="N49" s="12" t="n">
        <f aca="false">Assumptions!$B$29*SUM(M49:M61)/INDEX(Discount_Monthly!$G$4:$G$664,MATCH(B49,Discount_Monthly!$A$4:$A$664,0))</f>
        <v>21.9263440905976</v>
      </c>
      <c r="O49" s="12" t="n">
        <f aca="false">C49-D49-N49</f>
        <v>14469.3940726459</v>
      </c>
    </row>
    <row r="50" customFormat="false" ht="15" hidden="false" customHeight="true" outlineLevel="0" collapsed="false">
      <c r="A50" s="1" t="n">
        <v>44</v>
      </c>
      <c r="B50" s="34" t="n">
        <f aca="false">12*A50</f>
        <v>528</v>
      </c>
      <c r="C50" s="12" t="n">
        <f aca="false">SUMIFS(Projection_M!$Q$7:$Q$667,Projection_M!$A$7:$A$667,"&lt;"&amp;B50)/INDEX(Discount_Monthly!$G$4:$G$664,MATCH(B50,Discount_Monthly!$A$4:$A$664,0))</f>
        <v>15302.4838203767</v>
      </c>
      <c r="D50" s="12" t="n">
        <f aca="false">SUMIFS(Projection_M!$P$7:$P$667,Projection_M!$A$7:$A$667,"&gt;="&amp;B50)/INDEX(Discount_Monthly!$G$4:$G$664,MATCH(B50,Discount_Monthly!$A$4:$A$664,0))</f>
        <v>340.194161622202</v>
      </c>
      <c r="E50" s="12" t="n">
        <f aca="false">(INDEX(Projection_M!$I$7:$I$667,B50+1)/INDEX(Projection_M!$R$7:$R$667,B50+1))*SUMIFS(Projection_M!$S$7:$S$667,Projection_M!$A$7:$A$667,"&gt;="&amp;B50)/INDEX(Discount_Monthly!$G$4:$G$664,MATCH(B50,Discount_Monthly!$A$4:$A$664,0))</f>
        <v>437.535117599458</v>
      </c>
      <c r="F50" s="12" t="n">
        <f aca="false">(INDEX(Projection_M!$I$7:$I$667,B50+1)/INDEX(Projection_M!$T$7:$T$667,B50+1))*SUMIFS(Projection_M!$U$7:$U$667,Projection_M!$A$7:$A$667,"&gt;="&amp;B50)/INDEX(Discount_Monthly!$G$4:$G$664,MATCH(B50,Discount_Monthly!$A$4:$A$664,0))</f>
        <v>340.194161622202</v>
      </c>
      <c r="G50" s="12" t="n">
        <f aca="false">(INDEX(Projection_M!$I$7:$I$667,B50+1)/INDEX(Projection_M!$V$7:$V$667,B50+1))*SUMIFS(Projection_M!$W$7:$W$667,Projection_M!$A$7:$A$667,"&gt;="&amp;B50)/INDEX(Discount_Monthly!$G$4:$G$664,MATCH(B50,Discount_Monthly!$A$4:$A$664,0))</f>
        <v>340.194161622202</v>
      </c>
      <c r="H50" s="12" t="n">
        <f aca="false">SUMIFS(Projection_M!$X$7:$X$667,Projection_M!$A$7:$A$667,"&gt;="&amp;B50)/INDEX(Discount_Monthly!$G$4:$G$664,MATCH(B50,Discount_Monthly!$A$4:$A$664,0))</f>
        <v>341.716930216227</v>
      </c>
      <c r="I50" s="12" t="n">
        <f aca="false">MAX(0,E50-D50)</f>
        <v>97.3409559772565</v>
      </c>
      <c r="J50" s="12" t="n">
        <f aca="false">MAX(MAX(0,F50-D50),MAX(0,G50-D50),IF(A50&lt;Assumptions!$B$6,MAX(0,-Assumptions!$B$22*D50),0))</f>
        <v>0</v>
      </c>
      <c r="K50" s="12" t="n">
        <f aca="false">MAX(0,H50-D50)</f>
        <v>1.52276859402565</v>
      </c>
      <c r="L50" s="12" t="n">
        <f aca="false">SQRT(I50^2+J50^2+K50^2+2*Assumptions!$B$26*I50*J50+2*Assumptions!$B$27*I50*K50+2*Assumptions!$B$28*J50*K50)</f>
        <v>97.7327704001807</v>
      </c>
      <c r="M50" s="12" t="n">
        <f aca="false">L50*INDEX(Discount_Monthly!$G$4:$G$664,MATCH(B50,Discount_Monthly!$A$4:$A$664,0))</f>
        <v>24.3689839939417</v>
      </c>
      <c r="N50" s="12" t="n">
        <f aca="false">Assumptions!$B$29*SUM(M50:M61)/INDEX(Discount_Monthly!$G$4:$G$664,MATCH(B50,Discount_Monthly!$A$4:$A$664,0))</f>
        <v>12.6997267353901</v>
      </c>
      <c r="O50" s="12" t="n">
        <f aca="false">C50-D50-N50</f>
        <v>14949.5899320191</v>
      </c>
    </row>
    <row r="51" customFormat="false" ht="15" hidden="false" customHeight="true" outlineLevel="0" collapsed="false">
      <c r="A51" s="1" t="n">
        <v>45</v>
      </c>
      <c r="B51" s="34" t="n">
        <f aca="false">12*A51</f>
        <v>540</v>
      </c>
      <c r="C51" s="12" t="n">
        <f aca="false">SUMIFS(Projection_M!$Q$7:$Q$667,Projection_M!$A$7:$A$667,"&lt;"&amp;B51)/INDEX(Discount_Monthly!$G$4:$G$664,MATCH(B51,Discount_Monthly!$A$4:$A$664,0))</f>
        <v>15647.580574967</v>
      </c>
      <c r="D51" s="12" t="n">
        <f aca="false">SUMIFS(Projection_M!$P$7:$P$667,Projection_M!$A$7:$A$667,"&gt;="&amp;B51)/INDEX(Discount_Monthly!$G$4:$G$664,MATCH(B51,Discount_Monthly!$A$4:$A$664,0))</f>
        <v>191.978483614148</v>
      </c>
      <c r="E51" s="12" t="n">
        <f aca="false">(INDEX(Projection_M!$I$7:$I$667,B51+1)/INDEX(Projection_M!$R$7:$R$667,B51+1))*SUMIFS(Projection_M!$S$7:$S$667,Projection_M!$A$7:$A$667,"&gt;="&amp;B51)/INDEX(Discount_Monthly!$G$4:$G$664,MATCH(B51,Discount_Monthly!$A$4:$A$664,0))</f>
        <v>248.798635121051</v>
      </c>
      <c r="F51" s="12" t="n">
        <f aca="false">(INDEX(Projection_M!$I$7:$I$667,B51+1)/INDEX(Projection_M!$T$7:$T$667,B51+1))*SUMIFS(Projection_M!$U$7:$U$667,Projection_M!$A$7:$A$667,"&gt;="&amp;B51)/INDEX(Discount_Monthly!$G$4:$G$664,MATCH(B51,Discount_Monthly!$A$4:$A$664,0))</f>
        <v>191.978483614148</v>
      </c>
      <c r="G51" s="12" t="n">
        <f aca="false">(INDEX(Projection_M!$I$7:$I$667,B51+1)/INDEX(Projection_M!$V$7:$V$667,B51+1))*SUMIFS(Projection_M!$W$7:$W$667,Projection_M!$A$7:$A$667,"&gt;="&amp;B51)/INDEX(Discount_Monthly!$G$4:$G$664,MATCH(B51,Discount_Monthly!$A$4:$A$664,0))</f>
        <v>191.978483614148</v>
      </c>
      <c r="H51" s="12" t="n">
        <f aca="false">SUMIFS(Projection_M!$X$7:$X$667,Projection_M!$A$7:$A$667,"&gt;="&amp;B51)/INDEX(Discount_Monthly!$G$4:$G$664,MATCH(B51,Discount_Monthly!$A$4:$A$664,0))</f>
        <v>192.860529844312</v>
      </c>
      <c r="I51" s="12" t="n">
        <f aca="false">MAX(0,E51-D51)</f>
        <v>56.8201515069037</v>
      </c>
      <c r="J51" s="12" t="n">
        <f aca="false">MAX(MAX(0,F51-D51),MAX(0,G51-D51),IF(A51&lt;Assumptions!$B$6,MAX(0,-Assumptions!$B$22*D51),0))</f>
        <v>0</v>
      </c>
      <c r="K51" s="12" t="n">
        <f aca="false">MAX(0,H51-D51)</f>
        <v>0.882046230164548</v>
      </c>
      <c r="L51" s="12" t="n">
        <f aca="false">SQRT(I51^2+J51^2+K51^2+2*Assumptions!$B$26*I51*J51+2*Assumptions!$B$27*I51*K51+2*Assumptions!$B$28*J51*K51)</f>
        <v>57.0470562170973</v>
      </c>
      <c r="M51" s="12" t="n">
        <f aca="false">L51*INDEX(Discount_Monthly!$G$4:$G$664,MATCH(B51,Discount_Monthly!$A$4:$A$664,0))</f>
        <v>13.7702739847176</v>
      </c>
      <c r="N51" s="12" t="n">
        <f aca="false">Assumptions!$B$29*SUM(M51:M61)/INDEX(Discount_Monthly!$G$4:$G$664,MATCH(B51,Discount_Monthly!$A$4:$A$664,0))</f>
        <v>7.06113815901452</v>
      </c>
      <c r="O51" s="12" t="n">
        <f aca="false">C51-D51-N51</f>
        <v>15448.5409531938</v>
      </c>
    </row>
    <row r="52" customFormat="false" ht="15" hidden="false" customHeight="true" outlineLevel="0" collapsed="false">
      <c r="A52" s="1" t="n">
        <v>46</v>
      </c>
      <c r="B52" s="34" t="n">
        <f aca="false">12*A52</f>
        <v>552</v>
      </c>
      <c r="C52" s="12" t="n">
        <f aca="false">SUMIFS(Projection_M!$Q$7:$Q$667,Projection_M!$A$7:$A$667,"&lt;"&amp;B52)/INDEX(Discount_Monthly!$G$4:$G$664,MATCH(B52,Discount_Monthly!$A$4:$A$664,0))</f>
        <v>16063.1884594331</v>
      </c>
      <c r="D52" s="12" t="n">
        <f aca="false">SUMIFS(Projection_M!$P$7:$P$667,Projection_M!$A$7:$A$667,"&gt;="&amp;B52)/INDEX(Discount_Monthly!$G$4:$G$664,MATCH(B52,Discount_Monthly!$A$4:$A$664,0))</f>
        <v>104.504969868435</v>
      </c>
      <c r="E52" s="12" t="n">
        <f aca="false">(INDEX(Projection_M!$I$7:$I$667,B52+1)/INDEX(Projection_M!$R$7:$R$667,B52+1))*SUMIFS(Projection_M!$S$7:$S$667,Projection_M!$A$7:$A$667,"&gt;="&amp;B52)/INDEX(Discount_Monthly!$G$4:$G$664,MATCH(B52,Discount_Monthly!$A$4:$A$664,0))</f>
        <v>135.915633863682</v>
      </c>
      <c r="F52" s="12" t="n">
        <f aca="false">(INDEX(Projection_M!$I$7:$I$667,B52+1)/INDEX(Projection_M!$T$7:$T$667,B52+1))*SUMIFS(Projection_M!$U$7:$U$667,Projection_M!$A$7:$A$667,"&gt;="&amp;B52)/INDEX(Discount_Monthly!$G$4:$G$664,MATCH(B52,Discount_Monthly!$A$4:$A$664,0))</f>
        <v>104.504969868435</v>
      </c>
      <c r="G52" s="12" t="n">
        <f aca="false">(INDEX(Projection_M!$I$7:$I$667,B52+1)/INDEX(Projection_M!$V$7:$V$667,B52+1))*SUMIFS(Projection_M!$W$7:$W$667,Projection_M!$A$7:$A$667,"&gt;="&amp;B52)/INDEX(Discount_Monthly!$G$4:$G$664,MATCH(B52,Discount_Monthly!$A$4:$A$664,0))</f>
        <v>104.504969868435</v>
      </c>
      <c r="H52" s="12" t="n">
        <f aca="false">SUMIFS(Projection_M!$X$7:$X$667,Projection_M!$A$7:$A$667,"&gt;="&amp;B52)/INDEX(Discount_Monthly!$G$4:$G$664,MATCH(B52,Discount_Monthly!$A$4:$A$664,0))</f>
        <v>104.997800249766</v>
      </c>
      <c r="I52" s="12" t="n">
        <f aca="false">MAX(0,E52-D52)</f>
        <v>31.4106639952472</v>
      </c>
      <c r="J52" s="12" t="n">
        <f aca="false">MAX(MAX(0,F52-D52),MAX(0,G52-D52),IF(A52&lt;Assumptions!$B$6,MAX(0,-Assumptions!$B$22*D52),0))</f>
        <v>0</v>
      </c>
      <c r="K52" s="12" t="n">
        <f aca="false">MAX(0,H52-D52)</f>
        <v>0.492830381331245</v>
      </c>
      <c r="L52" s="12" t="n">
        <f aca="false">SQRT(I52^2+J52^2+K52^2+2*Assumptions!$B$26*I52*J52+2*Assumptions!$B$27*I52*K52+2*Assumptions!$B$28*J52*K52)</f>
        <v>31.537481813937</v>
      </c>
      <c r="M52" s="12" t="n">
        <f aca="false">L52*INDEX(Discount_Monthly!$G$4:$G$664,MATCH(B52,Discount_Monthly!$A$4:$A$664,0))</f>
        <v>7.37267725533189</v>
      </c>
      <c r="N52" s="12" t="n">
        <f aca="false">Assumptions!$B$29*SUM(M52:M61)/INDEX(Discount_Monthly!$G$4:$G$664,MATCH(B52,Discount_Monthly!$A$4:$A$664,0))</f>
        <v>3.75674229718178</v>
      </c>
      <c r="O52" s="12" t="n">
        <f aca="false">C52-D52-N52</f>
        <v>15954.9267472675</v>
      </c>
    </row>
    <row r="53" customFormat="false" ht="15" hidden="false" customHeight="true" outlineLevel="0" collapsed="false">
      <c r="A53" s="1" t="n">
        <v>47</v>
      </c>
      <c r="B53" s="34" t="n">
        <f aca="false">12*A53</f>
        <v>564</v>
      </c>
      <c r="C53" s="12" t="n">
        <f aca="false">SUMIFS(Projection_M!$Q$7:$Q$667,Projection_M!$A$7:$A$667,"&lt;"&amp;B53)/INDEX(Discount_Monthly!$G$4:$G$664,MATCH(B53,Discount_Monthly!$A$4:$A$664,0))</f>
        <v>16533.5806962336</v>
      </c>
      <c r="D53" s="12" t="n">
        <f aca="false">SUMIFS(Projection_M!$P$7:$P$667,Projection_M!$A$7:$A$667,"&gt;="&amp;B53)/INDEX(Discount_Monthly!$G$4:$G$664,MATCH(B53,Discount_Monthly!$A$4:$A$664,0))</f>
        <v>55.1212136916307</v>
      </c>
      <c r="E53" s="12" t="n">
        <f aca="false">(INDEX(Projection_M!$I$7:$I$667,B53+1)/INDEX(Projection_M!$R$7:$R$667,B53+1))*SUMIFS(Projection_M!$S$7:$S$667,Projection_M!$A$7:$A$667,"&gt;="&amp;B53)/INDEX(Discount_Monthly!$G$4:$G$664,MATCH(B53,Discount_Monthly!$A$4:$A$664,0))</f>
        <v>71.8861488942207</v>
      </c>
      <c r="F53" s="12" t="n">
        <f aca="false">(INDEX(Projection_M!$I$7:$I$667,B53+1)/INDEX(Projection_M!$T$7:$T$667,B53+1))*SUMIFS(Projection_M!$U$7:$U$667,Projection_M!$A$7:$A$667,"&gt;="&amp;B53)/INDEX(Discount_Monthly!$G$4:$G$664,MATCH(B53,Discount_Monthly!$A$4:$A$664,0))</f>
        <v>55.1212136916307</v>
      </c>
      <c r="G53" s="12" t="n">
        <f aca="false">(INDEX(Projection_M!$I$7:$I$667,B53+1)/INDEX(Projection_M!$V$7:$V$667,B53+1))*SUMIFS(Projection_M!$W$7:$W$667,Projection_M!$A$7:$A$667,"&gt;="&amp;B53)/INDEX(Discount_Monthly!$G$4:$G$664,MATCH(B53,Discount_Monthly!$A$4:$A$664,0))</f>
        <v>55.1212136916307</v>
      </c>
      <c r="H53" s="12" t="n">
        <f aca="false">SUMIFS(Projection_M!$X$7:$X$667,Projection_M!$A$7:$A$667,"&gt;="&amp;B53)/INDEX(Discount_Monthly!$G$4:$G$664,MATCH(B53,Discount_Monthly!$A$4:$A$664,0))</f>
        <v>55.3879676598865</v>
      </c>
      <c r="I53" s="12" t="n">
        <f aca="false">MAX(0,E53-D53)</f>
        <v>16.76493520259</v>
      </c>
      <c r="J53" s="12" t="n">
        <f aca="false">MAX(MAX(0,F53-D53),MAX(0,G53-D53),IF(A53&lt;Assumptions!$B$6,MAX(0,-Assumptions!$B$22*D53),0))</f>
        <v>0</v>
      </c>
      <c r="K53" s="12" t="n">
        <f aca="false">MAX(0,H53-D53)</f>
        <v>0.266753968255841</v>
      </c>
      <c r="L53" s="12" t="n">
        <f aca="false">SQRT(I53^2+J53^2+K53^2+2*Assumptions!$B$26*I53*J53+2*Assumptions!$B$27*I53*K53+2*Assumptions!$B$28*J53*K53)</f>
        <v>16.8336052740654</v>
      </c>
      <c r="M53" s="12" t="n">
        <f aca="false">L53*INDEX(Discount_Monthly!$G$4:$G$664,MATCH(B53,Discount_Monthly!$A$4:$A$664,0))</f>
        <v>3.81114789155747</v>
      </c>
      <c r="N53" s="12" t="n">
        <f aca="false">Assumptions!$B$29*SUM(M53:M61)/INDEX(Discount_Monthly!$G$4:$G$664,MATCH(B53,Discount_Monthly!$A$4:$A$664,0))</f>
        <v>1.92522013331552</v>
      </c>
      <c r="O53" s="12" t="n">
        <f aca="false">C53-D53-N53</f>
        <v>16476.5342624087</v>
      </c>
    </row>
    <row r="54" customFormat="false" ht="15" hidden="false" customHeight="true" outlineLevel="0" collapsed="false">
      <c r="A54" s="1" t="n">
        <v>48</v>
      </c>
      <c r="B54" s="34" t="n">
        <f aca="false">12*A54</f>
        <v>576</v>
      </c>
      <c r="C54" s="12" t="n">
        <f aca="false">SUMIFS(Projection_M!$Q$7:$Q$667,Projection_M!$A$7:$A$667,"&lt;"&amp;B54)/INDEX(Discount_Monthly!$G$4:$G$664,MATCH(B54,Discount_Monthly!$A$4:$A$664,0))</f>
        <v>17051.5600590535</v>
      </c>
      <c r="D54" s="12" t="n">
        <f aca="false">SUMIFS(Projection_M!$P$7:$P$667,Projection_M!$A$7:$A$667,"&gt;="&amp;B54)/INDEX(Discount_Monthly!$G$4:$G$664,MATCH(B54,Discount_Monthly!$A$4:$A$664,0))</f>
        <v>28.1507155151648</v>
      </c>
      <c r="E54" s="12" t="n">
        <f aca="false">(INDEX(Projection_M!$I$7:$I$667,B54+1)/INDEX(Projection_M!$R$7:$R$667,B54+1))*SUMIFS(Projection_M!$S$7:$S$667,Projection_M!$A$7:$A$667,"&gt;="&amp;B54)/INDEX(Discount_Monthly!$G$4:$G$664,MATCH(B54,Discount_Monthly!$A$4:$A$664,0))</f>
        <v>36.761176639381</v>
      </c>
      <c r="F54" s="12" t="n">
        <f aca="false">(INDEX(Projection_M!$I$7:$I$667,B54+1)/INDEX(Projection_M!$T$7:$T$667,B54+1))*SUMIFS(Projection_M!$U$7:$U$667,Projection_M!$A$7:$A$667,"&gt;="&amp;B54)/INDEX(Discount_Monthly!$G$4:$G$664,MATCH(B54,Discount_Monthly!$A$4:$A$664,0))</f>
        <v>28.1507155151648</v>
      </c>
      <c r="G54" s="12" t="n">
        <f aca="false">(INDEX(Projection_M!$I$7:$I$667,B54+1)/INDEX(Projection_M!$V$7:$V$667,B54+1))*SUMIFS(Projection_M!$W$7:$W$667,Projection_M!$A$7:$A$667,"&gt;="&amp;B54)/INDEX(Discount_Monthly!$G$4:$G$664,MATCH(B54,Discount_Monthly!$A$4:$A$664,0))</f>
        <v>28.1507155151648</v>
      </c>
      <c r="H54" s="12" t="n">
        <f aca="false">SUMIFS(Projection_M!$X$7:$X$667,Projection_M!$A$7:$A$667,"&gt;="&amp;B54)/INDEX(Discount_Monthly!$G$4:$G$664,MATCH(B54,Discount_Monthly!$A$4:$A$664,0))</f>
        <v>28.2904823582038</v>
      </c>
      <c r="I54" s="12" t="n">
        <f aca="false">MAX(0,E54-D54)</f>
        <v>8.61046112421619</v>
      </c>
      <c r="J54" s="12" t="n">
        <f aca="false">MAX(MAX(0,F54-D54),MAX(0,G54-D54),IF(A54&lt;Assumptions!$B$6,MAX(0,-Assumptions!$B$22*D54),0))</f>
        <v>0</v>
      </c>
      <c r="K54" s="12" t="n">
        <f aca="false">MAX(0,H54-D54)</f>
        <v>0.139766843038991</v>
      </c>
      <c r="L54" s="12" t="n">
        <f aca="false">SQRT(I54^2+J54^2+K54^2+2*Assumptions!$B$26*I54*J54+2*Assumptions!$B$27*I54*K54+2*Assumptions!$B$28*J54*K54)</f>
        <v>8.64646193690068</v>
      </c>
      <c r="M54" s="12" t="n">
        <f aca="false">L54*INDEX(Discount_Monthly!$G$4:$G$664,MATCH(B54,Discount_Monthly!$A$4:$A$664,0))</f>
        <v>1.894903782732</v>
      </c>
      <c r="N54" s="12" t="n">
        <f aca="false">Assumptions!$B$29*SUM(M54:M61)/INDEX(Discount_Monthly!$G$4:$G$664,MATCH(B54,Discount_Monthly!$A$4:$A$664,0))</f>
        <v>0.945470007307411</v>
      </c>
      <c r="O54" s="12" t="n">
        <f aca="false">C54-D54-N54</f>
        <v>17022.4638735311</v>
      </c>
    </row>
    <row r="55" customFormat="false" ht="15" hidden="false" customHeight="true" outlineLevel="0" collapsed="false">
      <c r="A55" s="1" t="n">
        <v>49</v>
      </c>
      <c r="B55" s="34" t="n">
        <f aca="false">12*A55</f>
        <v>588</v>
      </c>
      <c r="C55" s="12" t="n">
        <f aca="false">SUMIFS(Projection_M!$Q$7:$Q$667,Projection_M!$A$7:$A$667,"&lt;"&amp;B55)/INDEX(Discount_Monthly!$G$4:$G$664,MATCH(B55,Discount_Monthly!$A$4:$A$664,0))</f>
        <v>17592.6001440884</v>
      </c>
      <c r="D55" s="12" t="n">
        <f aca="false">SUMIFS(Projection_M!$P$7:$P$667,Projection_M!$A$7:$A$667,"&gt;="&amp;B55)/INDEX(Discount_Monthly!$G$4:$G$664,MATCH(B55,Discount_Monthly!$A$4:$A$664,0))</f>
        <v>13.8852478367842</v>
      </c>
      <c r="E55" s="12" t="n">
        <f aca="false">(INDEX(Projection_M!$I$7:$I$667,B55+1)/INDEX(Projection_M!$R$7:$R$667,B55+1))*SUMIFS(Projection_M!$S$7:$S$667,Projection_M!$A$7:$A$667,"&gt;="&amp;B55)/INDEX(Discount_Monthly!$G$4:$G$664,MATCH(B55,Discount_Monthly!$A$4:$A$664,0))</f>
        <v>18.1104217055281</v>
      </c>
      <c r="F55" s="12" t="n">
        <f aca="false">(INDEX(Projection_M!$I$7:$I$667,B55+1)/INDEX(Projection_M!$T$7:$T$667,B55+1))*SUMIFS(Projection_M!$U$7:$U$667,Projection_M!$A$7:$A$667,"&gt;="&amp;B55)/INDEX(Discount_Monthly!$G$4:$G$664,MATCH(B55,Discount_Monthly!$A$4:$A$664,0))</f>
        <v>13.8852478367842</v>
      </c>
      <c r="G55" s="12" t="n">
        <f aca="false">(INDEX(Projection_M!$I$7:$I$667,B55+1)/INDEX(Projection_M!$V$7:$V$667,B55+1))*SUMIFS(Projection_M!$W$7:$W$667,Projection_M!$A$7:$A$667,"&gt;="&amp;B55)/INDEX(Discount_Monthly!$G$4:$G$664,MATCH(B55,Discount_Monthly!$A$4:$A$664,0))</f>
        <v>13.8852478367841</v>
      </c>
      <c r="H55" s="12" t="n">
        <f aca="false">SUMIFS(Projection_M!$X$7:$X$667,Projection_M!$A$7:$A$667,"&gt;="&amp;B55)/INDEX(Discount_Monthly!$G$4:$G$664,MATCH(B55,Discount_Monthly!$A$4:$A$664,0))</f>
        <v>13.9559524518744</v>
      </c>
      <c r="I55" s="12" t="n">
        <f aca="false">MAX(0,E55-D55)</f>
        <v>4.22517386874392</v>
      </c>
      <c r="J55" s="12" t="n">
        <f aca="false">MAX(MAX(0,F55-D55),MAX(0,G55-D55),IF(A55&lt;Assumptions!$B$6,MAX(0,-Assumptions!$B$22*D55),0))</f>
        <v>0</v>
      </c>
      <c r="K55" s="12" t="n">
        <f aca="false">MAX(0,H55-D55)</f>
        <v>0.0707046150902908</v>
      </c>
      <c r="L55" s="12" t="n">
        <f aca="false">SQRT(I55^2+J55^2+K55^2+2*Assumptions!$B$26*I55*J55+2*Assumptions!$B$27*I55*K55+2*Assumptions!$B$28*J55*K55)</f>
        <v>4.24340229176437</v>
      </c>
      <c r="M55" s="12" t="n">
        <f aca="false">L55*INDEX(Discount_Monthly!$G$4:$G$664,MATCH(B55,Discount_Monthly!$A$4:$A$664,0))</f>
        <v>0.900580118572933</v>
      </c>
      <c r="N55" s="12" t="n">
        <f aca="false">Assumptions!$B$29*SUM(M55:M61)/INDEX(Discount_Monthly!$G$4:$G$664,MATCH(B55,Discount_Monthly!$A$4:$A$664,0))</f>
        <v>0.440600716052029</v>
      </c>
      <c r="O55" s="12" t="n">
        <f aca="false">C55-D55-N55</f>
        <v>17578.2742955356</v>
      </c>
    </row>
    <row r="56" customFormat="false" ht="15" hidden="false" customHeight="true" outlineLevel="0" collapsed="false">
      <c r="A56" s="1" t="n">
        <v>50</v>
      </c>
      <c r="B56" s="34" t="n">
        <f aca="false">12*A56</f>
        <v>600</v>
      </c>
      <c r="C56" s="12" t="n">
        <f aca="false">SUMIFS(Projection_M!$Q$7:$Q$667,Projection_M!$A$7:$A$667,"&lt;"&amp;B56)/INDEX(Discount_Monthly!$G$4:$G$664,MATCH(B56,Discount_Monthly!$A$4:$A$664,0))</f>
        <v>18167.8843364651</v>
      </c>
      <c r="D56" s="12" t="n">
        <f aca="false">SUMIFS(Projection_M!$P$7:$P$667,Projection_M!$A$7:$A$667,"&gt;="&amp;B56)/INDEX(Discount_Monthly!$G$4:$G$664,MATCH(B56,Discount_Monthly!$A$4:$A$664,0))</f>
        <v>6.60248061312386</v>
      </c>
      <c r="E56" s="12" t="n">
        <f aca="false">(INDEX(Projection_M!$I$7:$I$667,B56+1)/INDEX(Projection_M!$R$7:$R$667,B56+1))*SUMIFS(Projection_M!$S$7:$S$667,Projection_M!$A$7:$A$667,"&gt;="&amp;B56)/INDEX(Discount_Monthly!$G$4:$G$664,MATCH(B56,Discount_Monthly!$A$4:$A$664,0))</f>
        <v>8.5640102810674</v>
      </c>
      <c r="F56" s="12" t="n">
        <f aca="false">(INDEX(Projection_M!$I$7:$I$667,B56+1)/INDEX(Projection_M!$T$7:$T$667,B56+1))*SUMIFS(Projection_M!$U$7:$U$667,Projection_M!$A$7:$A$667,"&gt;="&amp;B56)/INDEX(Discount_Monthly!$G$4:$G$664,MATCH(B56,Discount_Monthly!$A$4:$A$664,0))</f>
        <v>6.60248061312386</v>
      </c>
      <c r="G56" s="12" t="n">
        <f aca="false">(INDEX(Projection_M!$I$7:$I$667,B56+1)/INDEX(Projection_M!$V$7:$V$667,B56+1))*SUMIFS(Projection_M!$W$7:$W$667,Projection_M!$A$7:$A$667,"&gt;="&amp;B56)/INDEX(Discount_Monthly!$G$4:$G$664,MATCH(B56,Discount_Monthly!$A$4:$A$664,0))</f>
        <v>6.60248061312386</v>
      </c>
      <c r="H56" s="12" t="n">
        <f aca="false">SUMIFS(Projection_M!$X$7:$X$667,Projection_M!$A$7:$A$667,"&gt;="&amp;B56)/INDEX(Discount_Monthly!$G$4:$G$664,MATCH(B56,Discount_Monthly!$A$4:$A$664,0))</f>
        <v>6.63694557499156</v>
      </c>
      <c r="I56" s="12" t="n">
        <f aca="false">MAX(0,E56-D56)</f>
        <v>1.96152966794354</v>
      </c>
      <c r="J56" s="12" t="n">
        <f aca="false">MAX(MAX(0,F56-D56),MAX(0,G56-D56),IF(A56&lt;Assumptions!$B$6,MAX(0,-Assumptions!$B$22*D56),0))</f>
        <v>0</v>
      </c>
      <c r="K56" s="12" t="n">
        <f aca="false">MAX(0,H56-D56)</f>
        <v>0.0344649618676973</v>
      </c>
      <c r="L56" s="12" t="n">
        <f aca="false">SQRT(I56^2+J56^2+K56^2+2*Assumptions!$B$26*I56*J56+2*Assumptions!$B$27*I56*K56+2*Assumptions!$B$28*J56*K56)</f>
        <v>1.97042850528083</v>
      </c>
      <c r="M56" s="12" t="n">
        <f aca="false">L56*INDEX(Discount_Monthly!$G$4:$G$664,MATCH(B56,Discount_Monthly!$A$4:$A$664,0))</f>
        <v>0.404771060015195</v>
      </c>
      <c r="N56" s="12" t="n">
        <f aca="false">Assumptions!$B$29*SUM(M56:M61)/INDEX(Discount_Monthly!$G$4:$G$664,MATCH(B56,Discount_Monthly!$A$4:$A$664,0))</f>
        <v>0.192160593486919</v>
      </c>
      <c r="O56" s="12" t="n">
        <f aca="false">C56-D56-N56</f>
        <v>18161.0896952585</v>
      </c>
    </row>
    <row r="57" customFormat="false" ht="15" hidden="false" customHeight="true" outlineLevel="0" collapsed="false">
      <c r="A57" s="1" t="n">
        <v>51</v>
      </c>
      <c r="B57" s="34" t="n">
        <f aca="false">12*A57</f>
        <v>612</v>
      </c>
      <c r="C57" s="12" t="n">
        <f aca="false">SUMIFS(Projection_M!$Q$7:$Q$667,Projection_M!$A$7:$A$667,"&lt;"&amp;B57)/INDEX(Discount_Monthly!$G$4:$G$664,MATCH(B57,Discount_Monthly!$A$4:$A$664,0))</f>
        <v>18757.620431863</v>
      </c>
      <c r="D57" s="12" t="n">
        <f aca="false">SUMIFS(Projection_M!$P$7:$P$667,Projection_M!$A$7:$A$667,"&gt;="&amp;B57)/INDEX(Discount_Monthly!$G$4:$G$664,MATCH(B57,Discount_Monthly!$A$4:$A$664,0))</f>
        <v>3.00725400996074</v>
      </c>
      <c r="E57" s="12" t="n">
        <f aca="false">(INDEX(Projection_M!$I$7:$I$667,B57+1)/INDEX(Projection_M!$R$7:$R$667,B57+1))*SUMIFS(Projection_M!$S$7:$S$667,Projection_M!$A$7:$A$667,"&gt;="&amp;B57)/INDEX(Discount_Monthly!$G$4:$G$664,MATCH(B57,Discount_Monthly!$A$4:$A$664,0))</f>
        <v>3.85075840675058</v>
      </c>
      <c r="F57" s="12" t="n">
        <f aca="false">(INDEX(Projection_M!$I$7:$I$667,B57+1)/INDEX(Projection_M!$T$7:$T$667,B57+1))*SUMIFS(Projection_M!$U$7:$U$667,Projection_M!$A$7:$A$667,"&gt;="&amp;B57)/INDEX(Discount_Monthly!$G$4:$G$664,MATCH(B57,Discount_Monthly!$A$4:$A$664,0))</f>
        <v>3.00725400996074</v>
      </c>
      <c r="G57" s="12" t="n">
        <f aca="false">(INDEX(Projection_M!$I$7:$I$667,B57+1)/INDEX(Projection_M!$V$7:$V$667,B57+1))*SUMIFS(Projection_M!$W$7:$W$667,Projection_M!$A$7:$A$667,"&gt;="&amp;B57)/INDEX(Discount_Monthly!$G$4:$G$664,MATCH(B57,Discount_Monthly!$A$4:$A$664,0))</f>
        <v>3.00725400996074</v>
      </c>
      <c r="H57" s="12" t="n">
        <f aca="false">SUMIFS(Projection_M!$X$7:$X$667,Projection_M!$A$7:$A$667,"&gt;="&amp;B57)/INDEX(Discount_Monthly!$G$4:$G$664,MATCH(B57,Discount_Monthly!$A$4:$A$664,0))</f>
        <v>3.02333477941605</v>
      </c>
      <c r="I57" s="12" t="n">
        <f aca="false">MAX(0,E57-D57)</f>
        <v>0.84350439678984</v>
      </c>
      <c r="J57" s="12" t="n">
        <f aca="false">MAX(MAX(0,F57-D57),MAX(0,G57-D57),IF(A57&lt;Assumptions!$B$6,MAX(0,-Assumptions!$B$22*D57),0))</f>
        <v>0</v>
      </c>
      <c r="K57" s="12" t="n">
        <f aca="false">MAX(0,H57-D57)</f>
        <v>0.0160807694553062</v>
      </c>
      <c r="L57" s="12" t="n">
        <f aca="false">SQRT(I57^2+J57^2+K57^2+2*Assumptions!$B$26*I57*J57+2*Assumptions!$B$27*I57*K57+2*Assumptions!$B$28*J57*K57)</f>
        <v>0.847667599014923</v>
      </c>
      <c r="M57" s="12" t="n">
        <f aca="false">L57*INDEX(Discount_Monthly!$G$4:$G$664,MATCH(B57,Discount_Monthly!$A$4:$A$664,0))</f>
        <v>0.168621420329363</v>
      </c>
      <c r="N57" s="12" t="n">
        <f aca="false">Assumptions!$B$29*SUM(M57:M61)/INDEX(Discount_Monthly!$G$4:$G$664,MATCH(B57,Discount_Monthly!$A$4:$A$664,0))</f>
        <v>0.0763503449376618</v>
      </c>
      <c r="O57" s="12" t="n">
        <f aca="false">C57-D57-N57</f>
        <v>18754.5368275081</v>
      </c>
    </row>
    <row r="58" customFormat="false" ht="15" hidden="false" customHeight="true" outlineLevel="0" collapsed="false">
      <c r="A58" s="1" t="n">
        <v>52</v>
      </c>
      <c r="B58" s="34" t="n">
        <f aca="false">12*A58</f>
        <v>624</v>
      </c>
      <c r="C58" s="12" t="n">
        <f aca="false">SUMIFS(Projection_M!$Q$7:$Q$667,Projection_M!$A$7:$A$667,"&lt;"&amp;B58)/INDEX(Discount_Monthly!$G$4:$G$664,MATCH(B58,Discount_Monthly!$A$4:$A$664,0))</f>
        <v>19368.9988987829</v>
      </c>
      <c r="D58" s="12" t="n">
        <f aca="false">SUMIFS(Projection_M!$P$7:$P$667,Projection_M!$A$7:$A$667,"&gt;="&amp;B58)/INDEX(Discount_Monthly!$G$4:$G$664,MATCH(B58,Discount_Monthly!$A$4:$A$664,0))</f>
        <v>1.29500640386961</v>
      </c>
      <c r="E58" s="12" t="n">
        <f aca="false">(INDEX(Projection_M!$I$7:$I$667,B58+1)/INDEX(Projection_M!$R$7:$R$667,B58+1))*SUMIFS(Projection_M!$S$7:$S$667,Projection_M!$A$7:$A$667,"&gt;="&amp;B58)/INDEX(Discount_Monthly!$G$4:$G$664,MATCH(B58,Discount_Monthly!$A$4:$A$664,0))</f>
        <v>1.6175809769199</v>
      </c>
      <c r="F58" s="12" t="n">
        <f aca="false">(INDEX(Projection_M!$I$7:$I$667,B58+1)/INDEX(Projection_M!$T$7:$T$667,B58+1))*SUMIFS(Projection_M!$U$7:$U$667,Projection_M!$A$7:$A$667,"&gt;="&amp;B58)/INDEX(Discount_Monthly!$G$4:$G$664,MATCH(B58,Discount_Monthly!$A$4:$A$664,0))</f>
        <v>1.29500640386961</v>
      </c>
      <c r="G58" s="12" t="n">
        <f aca="false">(INDEX(Projection_M!$I$7:$I$667,B58+1)/INDEX(Projection_M!$V$7:$V$667,B58+1))*SUMIFS(Projection_M!$W$7:$W$667,Projection_M!$A$7:$A$667,"&gt;="&amp;B58)/INDEX(Discount_Monthly!$G$4:$G$664,MATCH(B58,Discount_Monthly!$A$4:$A$664,0))</f>
        <v>1.29500640386961</v>
      </c>
      <c r="H58" s="12" t="n">
        <f aca="false">SUMIFS(Projection_M!$X$7:$X$667,Projection_M!$A$7:$A$667,"&gt;="&amp;B58)/INDEX(Discount_Monthly!$G$4:$G$664,MATCH(B58,Discount_Monthly!$A$4:$A$664,0))</f>
        <v>1.30209224544683</v>
      </c>
      <c r="I58" s="12" t="n">
        <f aca="false">MAX(0,E58-D58)</f>
        <v>0.322574573050283</v>
      </c>
      <c r="J58" s="12" t="n">
        <f aca="false">MAX(MAX(0,F58-D58),MAX(0,G58-D58),IF(A58&lt;Assumptions!$B$6,MAX(0,-Assumptions!$B$22*D58),0))</f>
        <v>0</v>
      </c>
      <c r="K58" s="12" t="n">
        <f aca="false">MAX(0,H58-D58)</f>
        <v>0.0070858415772177</v>
      </c>
      <c r="L58" s="12" t="n">
        <f aca="false">SQRT(I58^2+J58^2+K58^2+2*Assumptions!$B$26*I58*J58+2*Assumptions!$B$27*I58*K58+2*Assumptions!$B$28*J58*K58)</f>
        <v>0.324418588385694</v>
      </c>
      <c r="M58" s="12" t="n">
        <f aca="false">L58*INDEX(Discount_Monthly!$G$4:$G$664,MATCH(B58,Discount_Monthly!$A$4:$A$664,0))</f>
        <v>0.0624917756051277</v>
      </c>
      <c r="N58" s="12" t="n">
        <f aca="false">Assumptions!$B$29*SUM(M58:M61)/INDEX(Discount_Monthly!$G$4:$G$664,MATCH(B58,Discount_Monthly!$A$4:$A$664,0))</f>
        <v>0.026323569819266</v>
      </c>
      <c r="O58" s="12" t="n">
        <f aca="false">C58-D58-N58</f>
        <v>19367.6775688092</v>
      </c>
    </row>
    <row r="59" customFormat="false" ht="15" hidden="false" customHeight="true" outlineLevel="0" collapsed="false">
      <c r="A59" s="1" t="n">
        <v>53</v>
      </c>
      <c r="B59" s="34" t="n">
        <f aca="false">12*A59</f>
        <v>636</v>
      </c>
      <c r="C59" s="12" t="n">
        <f aca="false">SUMIFS(Projection_M!$Q$7:$Q$667,Projection_M!$A$7:$A$667,"&lt;"&amp;B59)/INDEX(Discount_Monthly!$G$4:$G$664,MATCH(B59,Discount_Monthly!$A$4:$A$664,0))</f>
        <v>20001.7319121847</v>
      </c>
      <c r="D59" s="12" t="n">
        <f aca="false">SUMIFS(Projection_M!$P$7:$P$667,Projection_M!$A$7:$A$667,"&gt;="&amp;B59)/INDEX(Discount_Monthly!$G$4:$G$664,MATCH(B59,Discount_Monthly!$A$4:$A$664,0))</f>
        <v>0.507839397198026</v>
      </c>
      <c r="E59" s="12" t="n">
        <f aca="false">(INDEX(Projection_M!$I$7:$I$667,B59+1)/INDEX(Projection_M!$R$7:$R$667,B59+1))*SUMIFS(Projection_M!$S$7:$S$667,Projection_M!$A$7:$A$667,"&gt;="&amp;B59)/INDEX(Discount_Monthly!$G$4:$G$664,MATCH(B59,Discount_Monthly!$A$4:$A$664,0))</f>
        <v>0.607353581192251</v>
      </c>
      <c r="F59" s="12" t="n">
        <f aca="false">(INDEX(Projection_M!$I$7:$I$667,B59+1)/INDEX(Projection_M!$T$7:$T$667,B59+1))*SUMIFS(Projection_M!$U$7:$U$667,Projection_M!$A$7:$A$667,"&gt;="&amp;B59)/INDEX(Discount_Monthly!$G$4:$G$664,MATCH(B59,Discount_Monthly!$A$4:$A$664,0))</f>
        <v>0.507839397198025</v>
      </c>
      <c r="G59" s="12" t="n">
        <f aca="false">(INDEX(Projection_M!$I$7:$I$667,B59+1)/INDEX(Projection_M!$V$7:$V$667,B59+1))*SUMIFS(Projection_M!$W$7:$W$667,Projection_M!$A$7:$A$667,"&gt;="&amp;B59)/INDEX(Discount_Monthly!$G$4:$G$664,MATCH(B59,Discount_Monthly!$A$4:$A$664,0))</f>
        <v>0.507839397198026</v>
      </c>
      <c r="H59" s="12" t="n">
        <f aca="false">SUMIFS(Projection_M!$X$7:$X$667,Projection_M!$A$7:$A$667,"&gt;="&amp;B59)/INDEX(Discount_Monthly!$G$4:$G$664,MATCH(B59,Discount_Monthly!$A$4:$A$664,0))</f>
        <v>0.510677900631001</v>
      </c>
      <c r="I59" s="12" t="n">
        <f aca="false">MAX(0,E59-D59)</f>
        <v>0.0995141839942259</v>
      </c>
      <c r="J59" s="12" t="n">
        <f aca="false">MAX(MAX(0,F59-D59),MAX(0,G59-D59),IF(A59&lt;Assumptions!$B$6,MAX(0,-Assumptions!$B$22*D59),0))</f>
        <v>0</v>
      </c>
      <c r="K59" s="12" t="n">
        <f aca="false">MAX(0,H59-D59)</f>
        <v>0.0028385034329752</v>
      </c>
      <c r="L59" s="12" t="n">
        <f aca="false">SQRT(I59^2+J59^2+K59^2+2*Assumptions!$B$26*I59*J59+2*Assumptions!$B$27*I59*K59+2*Assumptions!$B$28*J59*K59)</f>
        <v>0.100261486096229</v>
      </c>
      <c r="M59" s="12" t="n">
        <f aca="false">L59*INDEX(Discount_Monthly!$G$4:$G$664,MATCH(B59,Discount_Monthly!$A$4:$A$664,0))</f>
        <v>0.0187013446220373</v>
      </c>
      <c r="N59" s="12" t="n">
        <f aca="false">Assumptions!$B$29*SUM(M59:M61)/INDEX(Discount_Monthly!$G$4:$G$664,MATCH(B59,Discount_Monthly!$A$4:$A$664,0))</f>
        <v>0.00708279547912758</v>
      </c>
      <c r="O59" s="12" t="n">
        <f aca="false">C59-D59-N59</f>
        <v>20001.216989992</v>
      </c>
    </row>
    <row r="60" customFormat="false" ht="15" hidden="false" customHeight="true" outlineLevel="0" collapsed="false">
      <c r="A60" s="1" t="n">
        <v>54</v>
      </c>
      <c r="B60" s="34" t="n">
        <f aca="false">12*A60</f>
        <v>648</v>
      </c>
      <c r="C60" s="12" t="n">
        <f aca="false">SUMIFS(Projection_M!$Q$7:$Q$667,Projection_M!$A$7:$A$667,"&lt;"&amp;B60)/INDEX(Discount_Monthly!$G$4:$G$664,MATCH(B60,Discount_Monthly!$A$4:$A$664,0))</f>
        <v>20666.8342230708</v>
      </c>
      <c r="D60" s="12" t="n">
        <f aca="false">SUMIFS(Projection_M!$P$7:$P$667,Projection_M!$A$7:$A$667,"&gt;="&amp;B60)/INDEX(Discount_Monthly!$G$4:$G$664,MATCH(B60,Discount_Monthly!$A$4:$A$664,0))</f>
        <v>0.158329995374475</v>
      </c>
      <c r="E60" s="12" t="n">
        <f aca="false">(INDEX(Projection_M!$I$7:$I$667,B60+1)/INDEX(Projection_M!$R$7:$R$667,B60+1))*SUMIFS(Projection_M!$S$7:$S$667,Projection_M!$A$7:$A$667,"&gt;="&amp;B60)/INDEX(Discount_Monthly!$G$4:$G$664,MATCH(B60,Discount_Monthly!$A$4:$A$664,0))</f>
        <v>0.176416895197912</v>
      </c>
      <c r="F60" s="12" t="n">
        <f aca="false">(INDEX(Projection_M!$I$7:$I$667,B60+1)/INDEX(Projection_M!$T$7:$T$667,B60+1))*SUMIFS(Projection_M!$U$7:$U$667,Projection_M!$A$7:$A$667,"&gt;="&amp;B60)/INDEX(Discount_Monthly!$G$4:$G$664,MATCH(B60,Discount_Monthly!$A$4:$A$664,0))</f>
        <v>0.158329995374475</v>
      </c>
      <c r="G60" s="12" t="n">
        <f aca="false">(INDEX(Projection_M!$I$7:$I$667,B60+1)/INDEX(Projection_M!$V$7:$V$667,B60+1))*SUMIFS(Projection_M!$W$7:$W$667,Projection_M!$A$7:$A$667,"&gt;="&amp;B60)/INDEX(Discount_Monthly!$G$4:$G$664,MATCH(B60,Discount_Monthly!$A$4:$A$664,0))</f>
        <v>0.158329995374475</v>
      </c>
      <c r="H60" s="12" t="n">
        <f aca="false">SUMIFS(Projection_M!$X$7:$X$667,Projection_M!$A$7:$A$667,"&gt;="&amp;B60)/INDEX(Discount_Monthly!$G$4:$G$664,MATCH(B60,Discount_Monthly!$A$4:$A$664,0))</f>
        <v>0.159231878623894</v>
      </c>
      <c r="I60" s="12" t="n">
        <f aca="false">MAX(0,E60-D60)</f>
        <v>0.0180868998234374</v>
      </c>
      <c r="J60" s="12" t="n">
        <f aca="false">MAX(MAX(0,F60-D60),MAX(0,G60-D60),IF(A60&lt;Assumptions!$B$6,MAX(0,-Assumptions!$B$22*D60),0))</f>
        <v>0</v>
      </c>
      <c r="K60" s="12" t="n">
        <f aca="false">MAX(0,H60-D60)</f>
        <v>0.000901883249419533</v>
      </c>
      <c r="L60" s="12" t="n">
        <f aca="false">SQRT(I60^2+J60^2+K60^2+2*Assumptions!$B$26*I60*J60+2*Assumptions!$B$27*I60*K60+2*Assumptions!$B$28*J60*K60)</f>
        <v>0.0183331796099582</v>
      </c>
      <c r="M60" s="12" t="n">
        <f aca="false">L60*INDEX(Discount_Monthly!$G$4:$G$664,MATCH(B60,Discount_Monthly!$A$4:$A$664,0))</f>
        <v>0.00330950038255594</v>
      </c>
      <c r="N60" s="12" t="n">
        <f aca="false">Assumptions!$B$29*SUM(M60:M61)/INDEX(Discount_Monthly!$G$4:$G$664,MATCH(B60,Discount_Monthly!$A$4:$A$664,0))</f>
        <v>0.00110260953236073</v>
      </c>
      <c r="O60" s="12" t="n">
        <f aca="false">C60-D60-N60</f>
        <v>20666.6747904659</v>
      </c>
    </row>
    <row r="61" customFormat="false" ht="15" hidden="false" customHeight="true" outlineLevel="0" collapsed="false">
      <c r="A61" s="1" t="n">
        <v>55</v>
      </c>
      <c r="B61" s="34" t="n">
        <f aca="false">12*A61</f>
        <v>660</v>
      </c>
      <c r="C61" s="12" t="n">
        <f aca="false">SUMIFS(Projection_M!$Q$7:$Q$667,Projection_M!$A$7:$A$667,"&lt;"&amp;B61)/INDEX(Discount_Monthly!$G$4:$G$664,MATCH(B61,Discount_Monthly!$A$4:$A$664,0))</f>
        <v>21343.726890591</v>
      </c>
      <c r="D61" s="12" t="n">
        <f aca="false">SUMIFS(Projection_M!$P$7:$P$667,Projection_M!$A$7:$A$667,"&gt;="&amp;B61)/INDEX(Discount_Monthly!$G$4:$G$664,MATCH(B61,Discount_Monthly!$A$4:$A$664,0))</f>
        <v>0.00772151613563575</v>
      </c>
      <c r="E61" s="12" t="n">
        <f aca="false">(INDEX(Projection_M!$I$7:$I$667,B61+1)/INDEX(Projection_M!$R$7:$R$667,B61+1))*SUMIFS(Projection_M!$S$7:$S$667,Projection_M!$A$7:$A$667,"&gt;="&amp;B61)/INDEX(Discount_Monthly!$G$4:$G$664,MATCH(B61,Discount_Monthly!$A$4:$A$664,0))</f>
        <v>0.00772151613563576</v>
      </c>
      <c r="F61" s="12" t="n">
        <f aca="false">(INDEX(Projection_M!$I$7:$I$667,B61+1)/INDEX(Projection_M!$T$7:$T$667,B61+1))*SUMIFS(Projection_M!$U$7:$U$667,Projection_M!$A$7:$A$667,"&gt;="&amp;B61)/INDEX(Discount_Monthly!$G$4:$G$664,MATCH(B61,Discount_Monthly!$A$4:$A$664,0))</f>
        <v>0.00772151613563575</v>
      </c>
      <c r="G61" s="12" t="n">
        <f aca="false">(INDEX(Projection_M!$I$7:$I$667,B61+1)/INDEX(Projection_M!$V$7:$V$667,B61+1))*SUMIFS(Projection_M!$W$7:$W$667,Projection_M!$A$7:$A$667,"&gt;="&amp;B61)/INDEX(Discount_Monthly!$G$4:$G$664,MATCH(B61,Discount_Monthly!$A$4:$A$664,0))</f>
        <v>0.00772151613563575</v>
      </c>
      <c r="H61" s="12" t="n">
        <f aca="false">SUMIFS(Projection_M!$X$7:$X$667,Projection_M!$A$7:$A$667,"&gt;="&amp;B61)/INDEX(Discount_Monthly!$G$4:$G$664,MATCH(B61,Discount_Monthly!$A$4:$A$664,0))</f>
        <v>0.00776659191195009</v>
      </c>
      <c r="I61" s="12" t="n">
        <f aca="false">MAX(0,E61-D61)</f>
        <v>0</v>
      </c>
      <c r="J61" s="12" t="n">
        <f aca="false">MAX(MAX(0,F61-D61),MAX(0,G61-D61),IF(A61&lt;Assumptions!$B$6,MAX(0,-Assumptions!$B$22*D61),0))</f>
        <v>0</v>
      </c>
      <c r="K61" s="12" t="n">
        <f aca="false">MAX(0,H61-D61)</f>
        <v>4.50757763143335E-005</v>
      </c>
      <c r="L61" s="12" t="n">
        <f aca="false">SQRT(I61^2+J61^2+K61^2+2*Assumptions!$B$26*I61*J61+2*Assumptions!$B$27*I61*K61+2*Assumptions!$B$28*J61*K61)</f>
        <v>4.50757763143335E-005</v>
      </c>
      <c r="M61" s="12" t="n">
        <f aca="false">L61*INDEX(Discount_Monthly!$G$4:$G$664,MATCH(B61,Discount_Monthly!$A$4:$A$664,0))</f>
        <v>7.87895079182113E-006</v>
      </c>
      <c r="N61" s="12" t="n">
        <f aca="false">Assumptions!$B$29*SUM(M61:M61)/INDEX(Discount_Monthly!$G$4:$G$664,MATCH(B61,Discount_Monthly!$A$4:$A$664,0))</f>
        <v>2.70454657886001E-006</v>
      </c>
      <c r="O61" s="12" t="n">
        <f aca="false">C61-D61-N61</f>
        <v>21343.7191663704</v>
      </c>
    </row>
    <row r="64" customFormat="false" ht="15" hidden="false" customHeight="true" outlineLevel="0" collapsed="false">
      <c r="A64" s="6" t="s">
        <v>816</v>
      </c>
    </row>
    <row r="65" customFormat="false" ht="15" hidden="false" customHeight="true" outlineLevel="0" collapsed="false">
      <c r="A65" s="8" t="s">
        <v>802</v>
      </c>
      <c r="B65" s="8" t="s">
        <v>817</v>
      </c>
      <c r="C65" s="8" t="s">
        <v>812</v>
      </c>
      <c r="D65" s="8" t="s">
        <v>814</v>
      </c>
      <c r="E65" s="8" t="s">
        <v>693</v>
      </c>
      <c r="F65" s="8" t="s">
        <v>818</v>
      </c>
    </row>
    <row r="66" customFormat="false" ht="15" hidden="false" customHeight="true" outlineLevel="0" collapsed="false">
      <c r="A66" s="1" t="n">
        <v>0</v>
      </c>
      <c r="B66" s="12" t="n">
        <f aca="false">C6-D6</f>
        <v>3730.74246963365</v>
      </c>
      <c r="C66" s="12" t="n">
        <f aca="false">L6</f>
        <v>15990.4971237718</v>
      </c>
      <c r="D66" s="12" t="n">
        <f aca="false">N6</f>
        <v>20350.4097071485</v>
      </c>
      <c r="E66" s="32" t="n">
        <f aca="false">INDEX(Projection_M!$I$7:$I$667,12*A66+1)</f>
        <v>1</v>
      </c>
      <c r="F66" s="12" t="n">
        <f aca="false">IF(E66&lt;=0,0,MAX(0,(C66+D66-B66)/E66))</f>
        <v>32610.1643612866</v>
      </c>
    </row>
    <row r="67" customFormat="false" ht="15" hidden="false" customHeight="true" outlineLevel="0" collapsed="false">
      <c r="A67" s="1" t="n">
        <v>1</v>
      </c>
      <c r="B67" s="12" t="n">
        <f aca="false">C7-D7</f>
        <v>3827.59254414534</v>
      </c>
      <c r="C67" s="12" t="n">
        <f aca="false">L7</f>
        <v>16454.4923827649</v>
      </c>
      <c r="D67" s="12" t="n">
        <f aca="false">N7</f>
        <v>19894.3697173998</v>
      </c>
      <c r="E67" s="32" t="n">
        <f aca="false">INDEX(Projection_M!$I$7:$I$667,12*A67+1)</f>
        <v>0.954429784274804</v>
      </c>
      <c r="F67" s="12" t="n">
        <f aca="false">IF(E67&lt;=0,0,MAX(0,(C67+D67-B67)/E67))</f>
        <v>34074.0304754107</v>
      </c>
    </row>
    <row r="68" customFormat="false" ht="15" hidden="false" customHeight="true" outlineLevel="0" collapsed="false">
      <c r="A68" s="1" t="n">
        <v>2</v>
      </c>
      <c r="B68" s="12" t="n">
        <f aca="false">C8-D8</f>
        <v>3929.25373788467</v>
      </c>
      <c r="C68" s="12" t="n">
        <f aca="false">L8</f>
        <v>16840.14839585</v>
      </c>
      <c r="D68" s="12" t="n">
        <f aca="false">N8</f>
        <v>19409.274413649</v>
      </c>
      <c r="E68" s="32" t="n">
        <f aca="false">INDEX(Projection_M!$I$7:$I$667,12*A68+1)</f>
        <v>0.928451921141693</v>
      </c>
      <c r="F68" s="12" t="n">
        <f aca="false">IF(E68&lt;=0,0,MAX(0,(C68+D68-B68)/E68))</f>
        <v>34810.816086062</v>
      </c>
    </row>
    <row r="69" customFormat="false" ht="15" hidden="false" customHeight="true" outlineLevel="0" collapsed="false">
      <c r="A69" s="1" t="n">
        <v>3</v>
      </c>
      <c r="B69" s="12" t="n">
        <f aca="false">C9-D9</f>
        <v>4032.20019041167</v>
      </c>
      <c r="C69" s="12" t="n">
        <f aca="false">L9</f>
        <v>17191.3444964326</v>
      </c>
      <c r="D69" s="12" t="n">
        <f aca="false">N9</f>
        <v>18880.9158077709</v>
      </c>
      <c r="E69" s="32" t="n">
        <f aca="false">INDEX(Projection_M!$I$7:$I$667,12*A69+1)</f>
        <v>0.910458495120299</v>
      </c>
      <c r="F69" s="12" t="n">
        <f aca="false">IF(E69&lt;=0,0,MAX(0,(C69+D69-B69)/E69))</f>
        <v>35191.1265428507</v>
      </c>
    </row>
    <row r="70" customFormat="false" ht="15" hidden="false" customHeight="true" outlineLevel="0" collapsed="false">
      <c r="A70" s="1" t="n">
        <v>4</v>
      </c>
      <c r="B70" s="12" t="n">
        <f aca="false">C10-D10</f>
        <v>4139.94091900023</v>
      </c>
      <c r="C70" s="12" t="n">
        <f aca="false">L10</f>
        <v>17508.3800118193</v>
      </c>
      <c r="D70" s="12" t="n">
        <f aca="false">N10</f>
        <v>18326.3735477479</v>
      </c>
      <c r="E70" s="32" t="n">
        <f aca="false">INDEX(Projection_M!$I$7:$I$667,12*A70+1)</f>
        <v>0.892281765345281</v>
      </c>
      <c r="F70" s="12" t="n">
        <f aca="false">IF(E70&lt;=0,0,MAX(0,(C70+D70-B70)/E70))</f>
        <v>35521.0807522242</v>
      </c>
    </row>
    <row r="71" customFormat="false" ht="15" hidden="false" customHeight="true" outlineLevel="0" collapsed="false">
      <c r="A71" s="1" t="n">
        <v>5</v>
      </c>
      <c r="B71" s="12" t="n">
        <f aca="false">C11-D11</f>
        <v>4255.90505816053</v>
      </c>
      <c r="C71" s="12" t="n">
        <f aca="false">L11</f>
        <v>17801.9616900216</v>
      </c>
      <c r="D71" s="12" t="n">
        <f aca="false">N11</f>
        <v>17759.786222796</v>
      </c>
      <c r="E71" s="32" t="n">
        <f aca="false">INDEX(Projection_M!$I$7:$I$667,12*A71+1)</f>
        <v>0.873874922230058</v>
      </c>
      <c r="F71" s="12" t="n">
        <f aca="false">IF(E71&lt;=0,0,MAX(0,(C71+D71-B71)/E71))</f>
        <v>35824.16894945</v>
      </c>
    </row>
    <row r="72" customFormat="false" ht="15" hidden="false" customHeight="true" outlineLevel="0" collapsed="false">
      <c r="A72" s="1" t="n">
        <v>6</v>
      </c>
      <c r="B72" s="12" t="n">
        <f aca="false">C12-D12</f>
        <v>4378.95178979084</v>
      </c>
      <c r="C72" s="12" t="n">
        <f aca="false">L12</f>
        <v>18105.856334431</v>
      </c>
      <c r="D72" s="12" t="n">
        <f aca="false">N12</f>
        <v>17174.2580596825</v>
      </c>
      <c r="E72" s="32" t="n">
        <f aca="false">INDEX(Projection_M!$I$7:$I$667,12*A72+1)</f>
        <v>0.858567656672853</v>
      </c>
      <c r="F72" s="12" t="n">
        <f aca="false">IF(E72&lt;=0,0,MAX(0,(C72+D72-B72)/E72))</f>
        <v>35991.5288727178</v>
      </c>
    </row>
    <row r="73" customFormat="false" ht="15" hidden="false" customHeight="true" outlineLevel="0" collapsed="false">
      <c r="A73" s="1" t="n">
        <v>7</v>
      </c>
      <c r="B73" s="12" t="n">
        <f aca="false">C13-D13</f>
        <v>4510.95074312528</v>
      </c>
      <c r="C73" s="12" t="n">
        <f aca="false">L13</f>
        <v>18386.730222789</v>
      </c>
      <c r="D73" s="12" t="n">
        <f aca="false">N13</f>
        <v>16572.8599161428</v>
      </c>
      <c r="E73" s="32" t="n">
        <f aca="false">INDEX(Projection_M!$I$7:$I$667,12*A73+1)</f>
        <v>0.842760216260172</v>
      </c>
      <c r="F73" s="12" t="n">
        <f aca="false">IF(E73&lt;=0,0,MAX(0,(C73+D73-B73)/E73))</f>
        <v>36129.6591940769</v>
      </c>
    </row>
    <row r="74" customFormat="false" ht="15" hidden="false" customHeight="true" outlineLevel="0" collapsed="false">
      <c r="A74" s="1" t="n">
        <v>8</v>
      </c>
      <c r="B74" s="12" t="n">
        <f aca="false">C14-D14</f>
        <v>4652.35228807721</v>
      </c>
      <c r="C74" s="12" t="n">
        <f aca="false">L14</f>
        <v>18638.3522625902</v>
      </c>
      <c r="D74" s="12" t="n">
        <f aca="false">N14</f>
        <v>15954.5723426926</v>
      </c>
      <c r="E74" s="32" t="n">
        <f aca="false">INDEX(Projection_M!$I$7:$I$667,12*A74+1)</f>
        <v>0.82638791973043</v>
      </c>
      <c r="F74" s="12" t="n">
        <f aca="false">IF(E74&lt;=0,0,MAX(0,(C74+D74-B74)/E74))</f>
        <v>36230.6510082725</v>
      </c>
    </row>
    <row r="75" customFormat="false" ht="15" hidden="false" customHeight="true" outlineLevel="0" collapsed="false">
      <c r="A75" s="1" t="n">
        <v>9</v>
      </c>
      <c r="B75" s="12" t="n">
        <f aca="false">C15-D15</f>
        <v>4803.08114076294</v>
      </c>
      <c r="C75" s="12" t="n">
        <f aca="false">L15</f>
        <v>18850.8880076565</v>
      </c>
      <c r="D75" s="12" t="n">
        <f aca="false">N15</f>
        <v>15316.9429185113</v>
      </c>
      <c r="E75" s="32" t="n">
        <f aca="false">INDEX(Projection_M!$I$7:$I$667,12*A75+1)</f>
        <v>0.809383922915231</v>
      </c>
      <c r="F75" s="12" t="n">
        <f aca="false">IF(E75&lt;=0,0,MAX(0,(C75+D75-B75)/E75))</f>
        <v>36280.3719644433</v>
      </c>
    </row>
    <row r="76" customFormat="false" ht="15" hidden="false" customHeight="true" outlineLevel="0" collapsed="false">
      <c r="A76" s="1" t="n">
        <v>10</v>
      </c>
      <c r="B76" s="12" t="n">
        <f aca="false">C16-D16</f>
        <v>4970.65080284211</v>
      </c>
      <c r="C76" s="12" t="n">
        <f aca="false">L16</f>
        <v>19042.0034169624</v>
      </c>
      <c r="D76" s="12" t="n">
        <f aca="false">N16</f>
        <v>14680.8062682888</v>
      </c>
      <c r="E76" s="32" t="n">
        <f aca="false">INDEX(Projection_M!$I$7:$I$667,12*A76+1)</f>
        <v>0.791679736545108</v>
      </c>
      <c r="F76" s="12" t="n">
        <f aca="false">IF(E76&lt;=0,0,MAX(0,(C76+D76-B76)/E76))</f>
        <v>36317.9168989264</v>
      </c>
    </row>
    <row r="77" customFormat="false" ht="15" hidden="false" customHeight="true" outlineLevel="0" collapsed="false">
      <c r="A77" s="1" t="n">
        <v>11</v>
      </c>
      <c r="B77" s="12" t="n">
        <f aca="false">C17-D17</f>
        <v>5131.77352502171</v>
      </c>
      <c r="C77" s="12" t="n">
        <f aca="false">L17</f>
        <v>19096.7841275681</v>
      </c>
      <c r="D77" s="12" t="n">
        <f aca="false">N17</f>
        <v>13977.1270904688</v>
      </c>
      <c r="E77" s="32" t="n">
        <f aca="false">INDEX(Projection_M!$I$7:$I$667,12*A77+1)</f>
        <v>0.77280380599472</v>
      </c>
      <c r="F77" s="12" t="n">
        <f aca="false">IF(E77&lt;=0,0,MAX(0,(C77+D77-B77)/E77))</f>
        <v>36156.8324020471</v>
      </c>
    </row>
    <row r="78" customFormat="false" ht="15" hidden="false" customHeight="true" outlineLevel="0" collapsed="false">
      <c r="A78" s="1" t="n">
        <v>12</v>
      </c>
      <c r="B78" s="12" t="n">
        <f aca="false">C18-D18</f>
        <v>5314.19115809717</v>
      </c>
      <c r="C78" s="12" t="n">
        <f aca="false">L18</f>
        <v>19114.4727298346</v>
      </c>
      <c r="D78" s="12" t="n">
        <f aca="false">N18</f>
        <v>13287.4311747715</v>
      </c>
      <c r="E78" s="32" t="n">
        <f aca="false">INDEX(Projection_M!$I$7:$I$667,12*A78+1)</f>
        <v>0.753048807736933</v>
      </c>
      <c r="F78" s="12" t="n">
        <f aca="false">IF(E78&lt;=0,0,MAX(0,(C78+D78-B78)/E78))</f>
        <v>35970.7265561088</v>
      </c>
    </row>
    <row r="79" customFormat="false" ht="15" hidden="false" customHeight="true" outlineLevel="0" collapsed="false">
      <c r="A79" s="1" t="n">
        <v>13</v>
      </c>
      <c r="B79" s="12" t="n">
        <f aca="false">C19-D19</f>
        <v>5501.58414966308</v>
      </c>
      <c r="C79" s="12" t="n">
        <f aca="false">L19</f>
        <v>19015.5018953079</v>
      </c>
      <c r="D79" s="12" t="n">
        <f aca="false">N19</f>
        <v>12568.6724360892</v>
      </c>
      <c r="E79" s="32" t="n">
        <f aca="false">INDEX(Projection_M!$I$7:$I$667,12*A79+1)</f>
        <v>0.732331393340357</v>
      </c>
      <c r="F79" s="12" t="n">
        <f aca="false">IF(E79&lt;=0,0,MAX(0,(C79+D79-B79)/E79))</f>
        <v>35615.8296898408</v>
      </c>
    </row>
    <row r="80" customFormat="false" ht="15" hidden="false" customHeight="true" outlineLevel="0" collapsed="false">
      <c r="A80" s="1" t="n">
        <v>14</v>
      </c>
      <c r="B80" s="12" t="n">
        <f aca="false">C20-D20</f>
        <v>5691.59763291976</v>
      </c>
      <c r="C80" s="12" t="n">
        <f aca="false">L20</f>
        <v>18772.7231621395</v>
      </c>
      <c r="D80" s="12" t="n">
        <f aca="false">N20</f>
        <v>11822.4332087342</v>
      </c>
      <c r="E80" s="32" t="n">
        <f aca="false">INDEX(Projection_M!$I$7:$I$667,12*A80+1)</f>
        <v>0.710568694818407</v>
      </c>
      <c r="F80" s="12" t="n">
        <f aca="false">IF(E80&lt;=0,0,MAX(0,(C80+D80-B80)/E80))</f>
        <v>35047.3626541038</v>
      </c>
    </row>
    <row r="81" customFormat="false" ht="15" hidden="false" customHeight="true" outlineLevel="0" collapsed="false">
      <c r="A81" s="1" t="n">
        <v>15</v>
      </c>
      <c r="B81" s="12" t="n">
        <f aca="false">C21-D21</f>
        <v>5903.60828100599</v>
      </c>
      <c r="C81" s="12" t="n">
        <f aca="false">L21</f>
        <v>18426.2449570907</v>
      </c>
      <c r="D81" s="12" t="n">
        <f aca="false">N21</f>
        <v>11094.495856923</v>
      </c>
      <c r="E81" s="32" t="n">
        <f aca="false">INDEX(Projection_M!$I$7:$I$667,12*A81+1)</f>
        <v>0.687680981645693</v>
      </c>
      <c r="F81" s="12" t="n">
        <f aca="false">IF(E81&lt;=0,0,MAX(0,(C81+D81-B81)/E81))</f>
        <v>34343.1520768386</v>
      </c>
    </row>
    <row r="82" customFormat="false" ht="15" hidden="false" customHeight="true" outlineLevel="0" collapsed="false">
      <c r="A82" s="1" t="n">
        <v>16</v>
      </c>
      <c r="B82" s="12" t="n">
        <f aca="false">C22-D22</f>
        <v>6117.33032422978</v>
      </c>
      <c r="C82" s="12" t="n">
        <f aca="false">L22</f>
        <v>18103.0917328239</v>
      </c>
      <c r="D82" s="12" t="n">
        <f aca="false">N22</f>
        <v>10350.5394339819</v>
      </c>
      <c r="E82" s="32" t="n">
        <f aca="false">INDEX(Projection_M!$I$7:$I$667,12*A82+1)</f>
        <v>0.669076087760705</v>
      </c>
      <c r="F82" s="12" t="n">
        <f aca="false">IF(E82&lt;=0,0,MAX(0,(C82+D82-B82)/E82))</f>
        <v>33383.7978238501</v>
      </c>
    </row>
    <row r="83" customFormat="false" ht="15" hidden="false" customHeight="true" outlineLevel="0" collapsed="false">
      <c r="A83" s="1" t="n">
        <v>17</v>
      </c>
      <c r="B83" s="12" t="n">
        <f aca="false">C23-D23</f>
        <v>6327.05573876516</v>
      </c>
      <c r="C83" s="12" t="n">
        <f aca="false">L23</f>
        <v>17672.5310488224</v>
      </c>
      <c r="D83" s="12" t="n">
        <f aca="false">N23</f>
        <v>9581.97131625671</v>
      </c>
      <c r="E83" s="32" t="n">
        <f aca="false">INDEX(Projection_M!$I$7:$I$667,12*A83+1)</f>
        <v>0.648760986342386</v>
      </c>
      <c r="F83" s="12" t="n">
        <f aca="false">IF(E83&lt;=0,0,MAX(0,(C83+D83-B83)/E83))</f>
        <v>32257.5602831787</v>
      </c>
    </row>
    <row r="84" customFormat="false" ht="15" hidden="false" customHeight="true" outlineLevel="0" collapsed="false">
      <c r="A84" s="1" t="n">
        <v>18</v>
      </c>
      <c r="B84" s="12" t="n">
        <f aca="false">C24-D24</f>
        <v>6536.995052941</v>
      </c>
      <c r="C84" s="12" t="n">
        <f aca="false">L24</f>
        <v>17149.2838343065</v>
      </c>
      <c r="D84" s="12" t="n">
        <f aca="false">N24</f>
        <v>8804.377029294</v>
      </c>
      <c r="E84" s="32" t="n">
        <f aca="false">INDEX(Projection_M!$I$7:$I$667,12*A84+1)</f>
        <v>0.626650275234802</v>
      </c>
      <c r="F84" s="12" t="n">
        <f aca="false">IF(E84&lt;=0,0,MAX(0,(C84+D84-B84)/E84))</f>
        <v>30984.8516437405</v>
      </c>
    </row>
    <row r="85" customFormat="false" ht="15" hidden="false" customHeight="true" outlineLevel="0" collapsed="false">
      <c r="A85" s="1" t="n">
        <v>19</v>
      </c>
      <c r="B85" s="12" t="n">
        <f aca="false">C25-D25</f>
        <v>6747.61800888658</v>
      </c>
      <c r="C85" s="12" t="n">
        <f aca="false">L25</f>
        <v>16537.9682507672</v>
      </c>
      <c r="D85" s="12" t="n">
        <f aca="false">N25</f>
        <v>8025.94519172763</v>
      </c>
      <c r="E85" s="32" t="n">
        <f aca="false">INDEX(Projection_M!$I$7:$I$667,12*A85+1)</f>
        <v>0.602681224544386</v>
      </c>
      <c r="F85" s="12" t="n">
        <f aca="false">IF(E85&lt;=0,0,MAX(0,(C85+D85-B85)/E85))</f>
        <v>29561.7230270895</v>
      </c>
    </row>
    <row r="86" customFormat="false" ht="15" hidden="false" customHeight="true" outlineLevel="0" collapsed="false">
      <c r="A86" s="1" t="n">
        <v>20</v>
      </c>
      <c r="B86" s="12" t="n">
        <f aca="false">C26-D26</f>
        <v>6962.73219528508</v>
      </c>
      <c r="C86" s="12" t="n">
        <f aca="false">L26</f>
        <v>15852.6188112932</v>
      </c>
      <c r="D86" s="12" t="n">
        <f aca="false">N26</f>
        <v>7257.90053326733</v>
      </c>
      <c r="E86" s="32" t="n">
        <f aca="false">INDEX(Projection_M!$I$7:$I$667,12*A86+1)</f>
        <v>0.576822222557123</v>
      </c>
      <c r="F86" s="12" t="n">
        <f aca="false">IF(E86&lt;=0,0,MAX(0,(C86+D86-B86)/E86))</f>
        <v>27994.3915435338</v>
      </c>
    </row>
    <row r="87" customFormat="false" ht="15" hidden="false" customHeight="true" outlineLevel="0" collapsed="false">
      <c r="A87" s="1" t="n">
        <v>21</v>
      </c>
      <c r="B87" s="12" t="n">
        <f aca="false">C27-D27</f>
        <v>7184.84349404945</v>
      </c>
      <c r="C87" s="12" t="n">
        <f aca="false">L27</f>
        <v>15061.3627364483</v>
      </c>
      <c r="D87" s="12" t="n">
        <f aca="false">N27</f>
        <v>6507.92864757749</v>
      </c>
      <c r="E87" s="32" t="n">
        <f aca="false">INDEX(Projection_M!$I$7:$I$667,12*A87+1)</f>
        <v>0.548167803044826</v>
      </c>
      <c r="F87" s="12" t="n">
        <f aca="false">IF(E87&lt;=0,0,MAX(0,(C87+D87-B87)/E87))</f>
        <v>26240.9572581192</v>
      </c>
    </row>
    <row r="88" customFormat="false" ht="15" hidden="false" customHeight="true" outlineLevel="0" collapsed="false">
      <c r="A88" s="1" t="n">
        <v>22</v>
      </c>
      <c r="B88" s="12" t="n">
        <f aca="false">C28-D28</f>
        <v>7414.18385926017</v>
      </c>
      <c r="C88" s="12" t="n">
        <f aca="false">L28</f>
        <v>14193.6710278593</v>
      </c>
      <c r="D88" s="12" t="n">
        <f aca="false">N28</f>
        <v>5783.13456939688</v>
      </c>
      <c r="E88" s="32" t="n">
        <f aca="false">INDEX(Projection_M!$I$7:$I$667,12*A88+1)</f>
        <v>0.517281065049268</v>
      </c>
      <c r="F88" s="12" t="n">
        <f aca="false">IF(E88&lt;=0,0,MAX(0,(C88+D88-B88)/E88))</f>
        <v>24285.8720080919</v>
      </c>
    </row>
    <row r="89" customFormat="false" ht="15" hidden="false" customHeight="true" outlineLevel="0" collapsed="false">
      <c r="A89" s="1" t="n">
        <v>23</v>
      </c>
      <c r="B89" s="12" t="n">
        <f aca="false">C29-D29</f>
        <v>7650.99307355084</v>
      </c>
      <c r="C89" s="12" t="n">
        <f aca="false">L29</f>
        <v>13255.8155382609</v>
      </c>
      <c r="D89" s="12" t="n">
        <f aca="false">N29</f>
        <v>5089.02699565483</v>
      </c>
      <c r="E89" s="32" t="n">
        <f aca="false">INDEX(Projection_M!$I$7:$I$667,12*A89+1)</f>
        <v>0.48422667925503</v>
      </c>
      <c r="F89" s="12" t="n">
        <f aca="false">IF(E89&lt;=0,0,MAX(0,(C89+D89-B89)/E89))</f>
        <v>22084.3871651539</v>
      </c>
    </row>
    <row r="90" customFormat="false" ht="15" hidden="false" customHeight="true" outlineLevel="0" collapsed="false">
      <c r="A90" s="1" t="n">
        <v>24</v>
      </c>
      <c r="B90" s="12" t="n">
        <f aca="false">C30-D30</f>
        <v>7897.35586933605</v>
      </c>
      <c r="C90" s="12" t="n">
        <f aca="false">L30</f>
        <v>12259.5267958995</v>
      </c>
      <c r="D90" s="12" t="n">
        <f aca="false">N30</f>
        <v>4431.93495651303</v>
      </c>
      <c r="E90" s="32" t="n">
        <f aca="false">INDEX(Projection_M!$I$7:$I$667,12*A90+1)</f>
        <v>0.449154499373438</v>
      </c>
      <c r="F90" s="12" t="n">
        <f aca="false">IF(E90&lt;=0,0,MAX(0,(C90+D90-B90)/E90))</f>
        <v>19579.2447706615</v>
      </c>
    </row>
    <row r="91" customFormat="false" ht="15" hidden="false" customHeight="true" outlineLevel="0" collapsed="false">
      <c r="A91" s="1" t="n">
        <v>25</v>
      </c>
      <c r="B91" s="12" t="n">
        <f aca="false">C31-D31</f>
        <v>8149.9925132453</v>
      </c>
      <c r="C91" s="12" t="n">
        <f aca="false">L31</f>
        <v>11210.4358029727</v>
      </c>
      <c r="D91" s="12" t="n">
        <f aca="false">N31</f>
        <v>3814.61011977334</v>
      </c>
      <c r="E91" s="32" t="n">
        <f aca="false">INDEX(Projection_M!$I$7:$I$667,12*A91+1)</f>
        <v>0.412314462599518</v>
      </c>
      <c r="F91" s="12" t="n">
        <f aca="false">IF(E91&lt;=0,0,MAX(0,(C91+D91-B91)/E91))</f>
        <v>16674.2960364659</v>
      </c>
    </row>
    <row r="92" customFormat="false" ht="15" hidden="false" customHeight="true" outlineLevel="0" collapsed="false">
      <c r="A92" s="1" t="n">
        <v>26</v>
      </c>
      <c r="B92" s="12" t="n">
        <f aca="false">C32-D32</f>
        <v>8412.99379870213</v>
      </c>
      <c r="C92" s="12" t="n">
        <f aca="false">L32</f>
        <v>10078.1747765853</v>
      </c>
      <c r="D92" s="12" t="n">
        <f aca="false">N32</f>
        <v>3243.37619030821</v>
      </c>
      <c r="E92" s="32" t="n">
        <f aca="false">INDEX(Projection_M!$I$7:$I$667,12*A92+1)</f>
        <v>0.372847430397581</v>
      </c>
      <c r="F92" s="12" t="n">
        <f aca="false">IF(E92&lt;=0,0,MAX(0,(C92+D92-B92)/E92))</f>
        <v>13165.0556447638</v>
      </c>
    </row>
    <row r="93" customFormat="false" ht="15" hidden="false" customHeight="true" outlineLevel="0" collapsed="false">
      <c r="A93" s="1" t="n">
        <v>27</v>
      </c>
      <c r="B93" s="12" t="n">
        <f aca="false">C33-D33</f>
        <v>8682.54640623902</v>
      </c>
      <c r="C93" s="12" t="n">
        <f aca="false">L33</f>
        <v>8924.72086662581</v>
      </c>
      <c r="D93" s="12" t="n">
        <f aca="false">N33</f>
        <v>2723.22928343331</v>
      </c>
      <c r="E93" s="32" t="n">
        <f aca="false">INDEX(Projection_M!$I$7:$I$667,12*A93+1)</f>
        <v>0.332624074601596</v>
      </c>
      <c r="F93" s="12" t="n">
        <f aca="false">IF(E93&lt;=0,0,MAX(0,(C93+D93-B93)/E93))</f>
        <v>8915.18074081661</v>
      </c>
    </row>
    <row r="94" customFormat="false" ht="15" hidden="false" customHeight="true" outlineLevel="0" collapsed="false">
      <c r="A94" s="1" t="n">
        <v>28</v>
      </c>
      <c r="B94" s="12" t="n">
        <f aca="false">C34-D34</f>
        <v>8963.34122959584</v>
      </c>
      <c r="C94" s="12" t="n">
        <f aca="false">L34</f>
        <v>7786.06372660853</v>
      </c>
      <c r="D94" s="12" t="n">
        <f aca="false">N34</f>
        <v>2258.49805874484</v>
      </c>
      <c r="E94" s="32" t="n">
        <f aca="false">INDEX(Projection_M!$I$7:$I$667,12*A94+1)</f>
        <v>0.292623682400674</v>
      </c>
      <c r="F94" s="12" t="n">
        <f aca="false">IF(E94&lt;=0,0,MAX(0,(C94+D94-B94)/E94))</f>
        <v>3694.91815182978</v>
      </c>
    </row>
    <row r="95" customFormat="false" ht="15" hidden="false" customHeight="true" outlineLevel="0" collapsed="false">
      <c r="A95" s="1" t="n">
        <v>29</v>
      </c>
      <c r="B95" s="12" t="n">
        <f aca="false">C35-D35</f>
        <v>9253.57562963997</v>
      </c>
      <c r="C95" s="12" t="n">
        <f aca="false">L35</f>
        <v>6696.16274238787</v>
      </c>
      <c r="D95" s="12" t="n">
        <f aca="false">N35</f>
        <v>1849.33791967839</v>
      </c>
      <c r="E95" s="32" t="n">
        <f aca="false">INDEX(Projection_M!$I$7:$I$667,12*A95+1)</f>
        <v>0.254005885445968</v>
      </c>
      <c r="F95" s="12" t="n">
        <f aca="false">IF(E95&lt;=0,0,MAX(0,(C95+D95-B95)/E95))</f>
        <v>0</v>
      </c>
    </row>
    <row r="96" customFormat="false" ht="15" hidden="false" customHeight="true" outlineLevel="0" collapsed="false">
      <c r="A96" s="1" t="n">
        <v>30</v>
      </c>
      <c r="B96" s="12" t="n">
        <f aca="false">C36-D36</f>
        <v>9553.57811230334</v>
      </c>
      <c r="C96" s="12" t="n">
        <f aca="false">L36</f>
        <v>5683.10536469711</v>
      </c>
      <c r="D96" s="12" t="n">
        <f aca="false">N36</f>
        <v>1494.49855887808</v>
      </c>
      <c r="E96" s="32" t="n">
        <f aca="false">INDEX(Projection_M!$I$7:$I$667,12*A96+1)</f>
        <v>0.217698687470757</v>
      </c>
      <c r="F96" s="12" t="n">
        <f aca="false">IF(E96&lt;=0,0,MAX(0,(C96+D96-B96)/E96))</f>
        <v>0</v>
      </c>
    </row>
    <row r="97" customFormat="false" ht="15" hidden="false" customHeight="true" outlineLevel="0" collapsed="false">
      <c r="A97" s="1" t="n">
        <v>31</v>
      </c>
      <c r="B97" s="12" t="n">
        <f aca="false">C37-D37</f>
        <v>9860.72607918739</v>
      </c>
      <c r="C97" s="12" t="n">
        <f aca="false">L37</f>
        <v>4724.62613346882</v>
      </c>
      <c r="D97" s="12" t="n">
        <f aca="false">N37</f>
        <v>1190.59770740372</v>
      </c>
      <c r="E97" s="32" t="n">
        <f aca="false">INDEX(Projection_M!$I$7:$I$667,12*A97+1)</f>
        <v>0.183301739410897</v>
      </c>
      <c r="F97" s="12" t="n">
        <f aca="false">IF(E97&lt;=0,0,MAX(0,(C97+D97-B97)/E97))</f>
        <v>0</v>
      </c>
    </row>
    <row r="98" customFormat="false" ht="15" hidden="false" customHeight="true" outlineLevel="0" collapsed="false">
      <c r="A98" s="1" t="n">
        <v>32</v>
      </c>
      <c r="B98" s="12" t="n">
        <f aca="false">C38-D38</f>
        <v>10181.1029658488</v>
      </c>
      <c r="C98" s="12" t="n">
        <f aca="false">L38</f>
        <v>3875.62616221195</v>
      </c>
      <c r="D98" s="12" t="n">
        <f aca="false">N38</f>
        <v>936.592647175808</v>
      </c>
      <c r="E98" s="32" t="n">
        <f aca="false">INDEX(Projection_M!$I$7:$I$667,12*A98+1)</f>
        <v>0.152474042651336</v>
      </c>
      <c r="F98" s="12" t="n">
        <f aca="false">IF(E98&lt;=0,0,MAX(0,(C98+D98-B98)/E98))</f>
        <v>0</v>
      </c>
    </row>
    <row r="99" customFormat="false" ht="15" hidden="false" customHeight="true" outlineLevel="0" collapsed="false">
      <c r="A99" s="1" t="n">
        <v>33</v>
      </c>
      <c r="B99" s="12" t="n">
        <f aca="false">C39-D39</f>
        <v>10512.2963295823</v>
      </c>
      <c r="C99" s="12" t="n">
        <f aca="false">L39</f>
        <v>3135.91160476806</v>
      </c>
      <c r="D99" s="12" t="n">
        <f aca="false">N39</f>
        <v>726.958133245021</v>
      </c>
      <c r="E99" s="32" t="n">
        <f aca="false">INDEX(Projection_M!$I$7:$I$667,12*A99+1)</f>
        <v>0.125320113771467</v>
      </c>
      <c r="F99" s="12" t="n">
        <f aca="false">IF(E99&lt;=0,0,MAX(0,(C99+D99-B99)/E99))</f>
        <v>0</v>
      </c>
    </row>
    <row r="100" customFormat="false" ht="15" hidden="false" customHeight="true" outlineLevel="0" collapsed="false">
      <c r="A100" s="1" t="n">
        <v>34</v>
      </c>
      <c r="B100" s="12" t="n">
        <f aca="false">C40-D40</f>
        <v>10854.6841075665</v>
      </c>
      <c r="C100" s="12" t="n">
        <f aca="false">L40</f>
        <v>2501.66035304525</v>
      </c>
      <c r="D100" s="12" t="n">
        <f aca="false">N40</f>
        <v>556.352382095831</v>
      </c>
      <c r="E100" s="32" t="n">
        <f aca="false">INDEX(Projection_M!$I$7:$I$667,12*A100+1)</f>
        <v>0.10176404342</v>
      </c>
      <c r="F100" s="12" t="n">
        <f aca="false">IF(E100&lt;=0,0,MAX(0,(C100+D100-B100)/E100))</f>
        <v>0</v>
      </c>
    </row>
    <row r="101" customFormat="false" ht="15" hidden="false" customHeight="true" outlineLevel="0" collapsed="false">
      <c r="A101" s="1" t="n">
        <v>35</v>
      </c>
      <c r="B101" s="12" t="n">
        <f aca="false">C41-D41</f>
        <v>11208.6578603753</v>
      </c>
      <c r="C101" s="12" t="n">
        <f aca="false">L41</f>
        <v>1965.57552448733</v>
      </c>
      <c r="D101" s="12" t="n">
        <f aca="false">N41</f>
        <v>419.500757164716</v>
      </c>
      <c r="E101" s="32" t="n">
        <f aca="false">INDEX(Projection_M!$I$7:$I$667,12*A101+1)</f>
        <v>0.081607630786055</v>
      </c>
      <c r="F101" s="12" t="n">
        <f aca="false">IF(E101&lt;=0,0,MAX(0,(C101+D101-B101)/E101))</f>
        <v>0</v>
      </c>
    </row>
    <row r="102" customFormat="false" ht="15" hidden="false" customHeight="true" outlineLevel="0" collapsed="false">
      <c r="A102" s="1" t="n">
        <v>36</v>
      </c>
      <c r="B102" s="12" t="n">
        <f aca="false">C42-D42</f>
        <v>11570.5861070579</v>
      </c>
      <c r="C102" s="12" t="n">
        <f aca="false">L42</f>
        <v>1517.78156137828</v>
      </c>
      <c r="D102" s="12" t="n">
        <f aca="false">N42</f>
        <v>311.303817536021</v>
      </c>
      <c r="E102" s="32" t="n">
        <f aca="false">INDEX(Projection_M!$I$7:$I$667,12*A102+1)</f>
        <v>0.064577872961546</v>
      </c>
      <c r="F102" s="12" t="n">
        <f aca="false">IF(E102&lt;=0,0,MAX(0,(C102+D102-B102)/E102))</f>
        <v>0</v>
      </c>
    </row>
    <row r="103" customFormat="false" ht="15" hidden="false" customHeight="true" outlineLevel="0" collapsed="false">
      <c r="A103" s="1" t="n">
        <v>37</v>
      </c>
      <c r="B103" s="12" t="n">
        <f aca="false">C43-D43</f>
        <v>11948.7158487114</v>
      </c>
      <c r="C103" s="12" t="n">
        <f aca="false">L43</f>
        <v>1149.11224601943</v>
      </c>
      <c r="D103" s="12" t="n">
        <f aca="false">N43</f>
        <v>227.43432339287</v>
      </c>
      <c r="E103" s="32" t="n">
        <f aca="false">INDEX(Projection_M!$I$7:$I$667,12*A103+1)</f>
        <v>0.0503627086065054</v>
      </c>
      <c r="F103" s="12" t="n">
        <f aca="false">IF(E103&lt;=0,0,MAX(0,(C103+D103-B103)/E103))</f>
        <v>0</v>
      </c>
    </row>
    <row r="104" customFormat="false" ht="15" hidden="false" customHeight="true" outlineLevel="0" collapsed="false">
      <c r="A104" s="1" t="n">
        <v>38</v>
      </c>
      <c r="B104" s="12" t="n">
        <f aca="false">C44-D44</f>
        <v>12339.6810879582</v>
      </c>
      <c r="C104" s="12" t="n">
        <f aca="false">L44</f>
        <v>848.239913823778</v>
      </c>
      <c r="D104" s="12" t="n">
        <f aca="false">N44</f>
        <v>163.673345728249</v>
      </c>
      <c r="E104" s="32" t="n">
        <f aca="false">INDEX(Projection_M!$I$7:$I$667,12*A104+1)</f>
        <v>0.03863654991327</v>
      </c>
      <c r="F104" s="12" t="n">
        <f aca="false">IF(E104&lt;=0,0,MAX(0,(C104+D104-B104)/E104))</f>
        <v>0</v>
      </c>
    </row>
    <row r="105" customFormat="false" ht="15" hidden="false" customHeight="true" outlineLevel="0" collapsed="false">
      <c r="A105" s="1" t="n">
        <v>39</v>
      </c>
      <c r="B105" s="12" t="n">
        <f aca="false">C45-D45</f>
        <v>12739.1174509164</v>
      </c>
      <c r="C105" s="12" t="n">
        <f aca="false">L45</f>
        <v>604.451727648936</v>
      </c>
      <c r="D105" s="12" t="n">
        <f aca="false">N45</f>
        <v>116.429613638333</v>
      </c>
      <c r="E105" s="32" t="n">
        <f aca="false">INDEX(Projection_M!$I$7:$I$667,12*A105+1)</f>
        <v>0.0290780653379977</v>
      </c>
      <c r="F105" s="12" t="n">
        <f aca="false">IF(E105&lt;=0,0,MAX(0,(C105+D105-B105)/E105))</f>
        <v>0</v>
      </c>
    </row>
    <row r="106" customFormat="false" ht="15" hidden="false" customHeight="true" outlineLevel="0" collapsed="false">
      <c r="A106" s="1" t="n">
        <v>40</v>
      </c>
      <c r="B106" s="12" t="n">
        <f aca="false">C46-D46</f>
        <v>13156.836964476</v>
      </c>
      <c r="C106" s="12" t="n">
        <f aca="false">L46</f>
        <v>435.443430544457</v>
      </c>
      <c r="D106" s="12" t="n">
        <f aca="false">N46</f>
        <v>82.7910629229844</v>
      </c>
      <c r="E106" s="32" t="n">
        <f aca="false">INDEX(Projection_M!$I$7:$I$667,12*A106+1)</f>
        <v>0.022161714728146</v>
      </c>
      <c r="F106" s="12" t="n">
        <f aca="false">IF(E106&lt;=0,0,MAX(0,(C106+D106-B106)/E106))</f>
        <v>0</v>
      </c>
    </row>
    <row r="107" customFormat="false" ht="15" hidden="false" customHeight="true" outlineLevel="0" collapsed="false">
      <c r="A107" s="1" t="n">
        <v>41</v>
      </c>
      <c r="B107" s="12" t="n">
        <f aca="false">C47-D47</f>
        <v>13588.7801046632</v>
      </c>
      <c r="C107" s="12" t="n">
        <f aca="false">L47</f>
        <v>387.195124347761</v>
      </c>
      <c r="D107" s="12" t="n">
        <f aca="false">N47</f>
        <v>58.5247692305891</v>
      </c>
      <c r="E107" s="32" t="n">
        <f aca="false">INDEX(Projection_M!$I$7:$I$667,12*A107+1)</f>
        <v>0.019457496376238</v>
      </c>
      <c r="F107" s="12" t="n">
        <f aca="false">IF(E107&lt;=0,0,MAX(0,(C107+D107-B107)/E107))</f>
        <v>0</v>
      </c>
    </row>
    <row r="108" customFormat="false" ht="15" hidden="false" customHeight="true" outlineLevel="0" collapsed="false">
      <c r="A108" s="1" t="n">
        <v>42</v>
      </c>
      <c r="B108" s="12" t="n">
        <f aca="false">C48-D48</f>
        <v>14029.7371528882</v>
      </c>
      <c r="C108" s="12" t="n">
        <f aca="false">L48</f>
        <v>253.506450900917</v>
      </c>
      <c r="D108" s="12" t="n">
        <f aca="false">N48</f>
        <v>36.4383245689543</v>
      </c>
      <c r="E108" s="32" t="n">
        <f aca="false">INDEX(Projection_M!$I$7:$I$667,12*A108+1)</f>
        <v>0.0129577038639437</v>
      </c>
      <c r="F108" s="12" t="n">
        <f aca="false">IF(E108&lt;=0,0,MAX(0,(C108+D108-B108)/E108))</f>
        <v>0</v>
      </c>
    </row>
    <row r="109" customFormat="false" ht="15" hidden="false" customHeight="true" outlineLevel="0" collapsed="false">
      <c r="A109" s="1" t="n">
        <v>43</v>
      </c>
      <c r="B109" s="12" t="n">
        <f aca="false">C49-D49</f>
        <v>14491.3204167365</v>
      </c>
      <c r="C109" s="12" t="n">
        <f aca="false">L49</f>
        <v>160.439461916661</v>
      </c>
      <c r="D109" s="12" t="n">
        <f aca="false">N49</f>
        <v>21.9263440905976</v>
      </c>
      <c r="E109" s="32" t="n">
        <f aca="false">INDEX(Projection_M!$I$7:$I$667,12*A109+1)</f>
        <v>0.0083158858483463</v>
      </c>
      <c r="F109" s="12" t="n">
        <f aca="false">IF(E109&lt;=0,0,MAX(0,(C109+D109-B109)/E109))</f>
        <v>0</v>
      </c>
    </row>
    <row r="110" customFormat="false" ht="15" hidden="false" customHeight="true" outlineLevel="0" collapsed="false">
      <c r="A110" s="1" t="n">
        <v>44</v>
      </c>
      <c r="B110" s="12" t="n">
        <f aca="false">C50-D50</f>
        <v>14962.2896587545</v>
      </c>
      <c r="C110" s="12" t="n">
        <f aca="false">L50</f>
        <v>97.7327704001807</v>
      </c>
      <c r="D110" s="12" t="n">
        <f aca="false">N50</f>
        <v>12.6997267353901</v>
      </c>
      <c r="E110" s="32" t="n">
        <f aca="false">INDEX(Projection_M!$I$7:$I$667,12*A110+1)</f>
        <v>0.00512269390777988</v>
      </c>
      <c r="F110" s="12" t="n">
        <f aca="false">IF(E110&lt;=0,0,MAX(0,(C110+D110-B110)/E110))</f>
        <v>0</v>
      </c>
    </row>
    <row r="111" customFormat="false" ht="15" hidden="false" customHeight="true" outlineLevel="0" collapsed="false">
      <c r="A111" s="1" t="n">
        <v>45</v>
      </c>
      <c r="B111" s="12" t="n">
        <f aca="false">C51-D51</f>
        <v>15455.6020913528</v>
      </c>
      <c r="C111" s="12" t="n">
        <f aca="false">L51</f>
        <v>57.0470562170973</v>
      </c>
      <c r="D111" s="12" t="n">
        <f aca="false">N51</f>
        <v>7.06113815901452</v>
      </c>
      <c r="E111" s="32" t="n">
        <f aca="false">INDEX(Projection_M!$I$7:$I$667,12*A111+1)</f>
        <v>0.00301516100824618</v>
      </c>
      <c r="F111" s="12" t="n">
        <f aca="false">IF(E111&lt;=0,0,MAX(0,(C111+D111-B111)/E111))</f>
        <v>0</v>
      </c>
    </row>
    <row r="112" customFormat="false" ht="15" hidden="false" customHeight="true" outlineLevel="0" collapsed="false">
      <c r="A112" s="1" t="n">
        <v>46</v>
      </c>
      <c r="B112" s="12" t="n">
        <f aca="false">C52-D52</f>
        <v>15958.6834895646</v>
      </c>
      <c r="C112" s="12" t="n">
        <f aca="false">L52</f>
        <v>31.537481813937</v>
      </c>
      <c r="D112" s="12" t="n">
        <f aca="false">N52</f>
        <v>3.75674229718178</v>
      </c>
      <c r="E112" s="32" t="n">
        <f aca="false">INDEX(Projection_M!$I$7:$I$667,12*A112+1)</f>
        <v>0.00168670850054519</v>
      </c>
      <c r="F112" s="12" t="n">
        <f aca="false">IF(E112&lt;=0,0,MAX(0,(C112+D112-B112)/E112))</f>
        <v>0</v>
      </c>
    </row>
    <row r="113" customFormat="false" ht="15" hidden="false" customHeight="true" outlineLevel="0" collapsed="false">
      <c r="A113" s="1" t="n">
        <v>47</v>
      </c>
      <c r="B113" s="12" t="n">
        <f aca="false">C53-D53</f>
        <v>16478.459482542</v>
      </c>
      <c r="C113" s="12" t="n">
        <f aca="false">L53</f>
        <v>16.8336052740654</v>
      </c>
      <c r="D113" s="12" t="n">
        <f aca="false">N53</f>
        <v>1.92522013331552</v>
      </c>
      <c r="E113" s="32" t="n">
        <f aca="false">INDEX(Projection_M!$I$7:$I$667,12*A113+1)</f>
        <v>0.000913794336408794</v>
      </c>
      <c r="F113" s="12" t="n">
        <f aca="false">IF(E113&lt;=0,0,MAX(0,(C113+D113-B113)/E113))</f>
        <v>0</v>
      </c>
    </row>
    <row r="114" customFormat="false" ht="15" hidden="false" customHeight="true" outlineLevel="0" collapsed="false">
      <c r="A114" s="1" t="n">
        <v>48</v>
      </c>
      <c r="B114" s="12" t="n">
        <f aca="false">C54-D54</f>
        <v>17023.4093435384</v>
      </c>
      <c r="C114" s="12" t="n">
        <f aca="false">L54</f>
        <v>8.64646193690068</v>
      </c>
      <c r="D114" s="12" t="n">
        <f aca="false">N54</f>
        <v>0.945470007307411</v>
      </c>
      <c r="E114" s="32" t="n">
        <f aca="false">INDEX(Projection_M!$I$7:$I$667,12*A114+1)</f>
        <v>0.000478998584659231</v>
      </c>
      <c r="F114" s="12" t="n">
        <f aca="false">IF(E114&lt;=0,0,MAX(0,(C114+D114-B114)/E114))</f>
        <v>0</v>
      </c>
    </row>
    <row r="115" customFormat="false" ht="15" hidden="false" customHeight="true" outlineLevel="0" collapsed="false">
      <c r="A115" s="1" t="n">
        <v>49</v>
      </c>
      <c r="B115" s="12" t="n">
        <f aca="false">C55-D55</f>
        <v>17578.7148962517</v>
      </c>
      <c r="C115" s="12" t="n">
        <f aca="false">L55</f>
        <v>4.24340229176437</v>
      </c>
      <c r="D115" s="12" t="n">
        <f aca="false">N55</f>
        <v>0.440600716052029</v>
      </c>
      <c r="E115" s="32" t="n">
        <f aca="false">INDEX(Projection_M!$I$7:$I$667,12*A115+1)</f>
        <v>0.000242726298517999</v>
      </c>
      <c r="F115" s="12" t="n">
        <f aca="false">IF(E115&lt;=0,0,MAX(0,(C115+D115-B115)/E115))</f>
        <v>0</v>
      </c>
    </row>
    <row r="116" customFormat="false" ht="15" hidden="false" customHeight="true" outlineLevel="0" collapsed="false">
      <c r="A116" s="1" t="n">
        <v>50</v>
      </c>
      <c r="B116" s="12" t="n">
        <f aca="false">C56-D56</f>
        <v>18161.281855852</v>
      </c>
      <c r="C116" s="12" t="n">
        <f aca="false">L56</f>
        <v>1.97042850528083</v>
      </c>
      <c r="D116" s="12" t="n">
        <f aca="false">N56</f>
        <v>0.192160593486919</v>
      </c>
      <c r="E116" s="32" t="n">
        <f aca="false">INDEX(Projection_M!$I$7:$I$667,12*A116+1)</f>
        <v>0.000118806116249204</v>
      </c>
      <c r="F116" s="12" t="n">
        <f aca="false">IF(E116&lt;=0,0,MAX(0,(C116+D116-B116)/E116))</f>
        <v>0</v>
      </c>
    </row>
    <row r="117" customFormat="false" ht="15" hidden="false" customHeight="true" outlineLevel="0" collapsed="false">
      <c r="A117" s="1" t="n">
        <v>51</v>
      </c>
      <c r="B117" s="12" t="n">
        <f aca="false">C57-D57</f>
        <v>18754.613177853</v>
      </c>
      <c r="C117" s="12" t="n">
        <f aca="false">L57</f>
        <v>0.847667599014923</v>
      </c>
      <c r="D117" s="12" t="n">
        <f aca="false">N57</f>
        <v>0.0763503449376618</v>
      </c>
      <c r="E117" s="32" t="n">
        <f aca="false">INDEX(Projection_M!$I$7:$I$667,12*A117+1)</f>
        <v>5.61264386734586E-005</v>
      </c>
      <c r="F117" s="12" t="n">
        <f aca="false">IF(E117&lt;=0,0,MAX(0,(C117+D117-B117)/E117))</f>
        <v>0</v>
      </c>
    </row>
    <row r="118" customFormat="false" ht="15" hidden="false" customHeight="true" outlineLevel="0" collapsed="false">
      <c r="A118" s="1" t="n">
        <v>52</v>
      </c>
      <c r="B118" s="12" t="n">
        <f aca="false">C58-D58</f>
        <v>19367.703892379</v>
      </c>
      <c r="C118" s="12" t="n">
        <f aca="false">L58</f>
        <v>0.324418588385694</v>
      </c>
      <c r="D118" s="12" t="n">
        <f aca="false">N58</f>
        <v>0.026323569819266</v>
      </c>
      <c r="E118" s="32" t="n">
        <f aca="false">INDEX(Projection_M!$I$7:$I$667,12*A118+1)</f>
        <v>2.55738846634778E-005</v>
      </c>
      <c r="F118" s="12" t="n">
        <f aca="false">IF(E118&lt;=0,0,MAX(0,(C118+D118-B118)/E118))</f>
        <v>0</v>
      </c>
    </row>
    <row r="119" customFormat="false" ht="15" hidden="false" customHeight="true" outlineLevel="0" collapsed="false">
      <c r="A119" s="1" t="n">
        <v>53</v>
      </c>
      <c r="B119" s="12" t="n">
        <f aca="false">C59-D59</f>
        <v>20001.2240727875</v>
      </c>
      <c r="C119" s="12" t="n">
        <f aca="false">L59</f>
        <v>0.100261486096229</v>
      </c>
      <c r="D119" s="12" t="n">
        <f aca="false">N59</f>
        <v>0.00708279547912758</v>
      </c>
      <c r="E119" s="32" t="n">
        <f aca="false">INDEX(Projection_M!$I$7:$I$667,12*A119+1)</f>
        <v>1.12317686470886E-005</v>
      </c>
      <c r="F119" s="12" t="n">
        <f aca="false">IF(E119&lt;=0,0,MAX(0,(C119+D119-B119)/E119))</f>
        <v>0</v>
      </c>
    </row>
    <row r="120" customFormat="false" ht="15" hidden="false" customHeight="true" outlineLevel="0" collapsed="false">
      <c r="A120" s="1" t="n">
        <v>54</v>
      </c>
      <c r="B120" s="12" t="n">
        <f aca="false">C60-D60</f>
        <v>20666.6758930755</v>
      </c>
      <c r="C120" s="12" t="n">
        <f aca="false">L60</f>
        <v>0.0183331796099582</v>
      </c>
      <c r="D120" s="12" t="n">
        <f aca="false">N60</f>
        <v>0.00110260953236073</v>
      </c>
      <c r="E120" s="32" t="n">
        <f aca="false">INDEX(Projection_M!$I$7:$I$667,12*A120+1)</f>
        <v>4.75195918537905E-006</v>
      </c>
      <c r="F120" s="12" t="n">
        <f aca="false">IF(E120&lt;=0,0,MAX(0,(C120+D120-B120)/E120))</f>
        <v>0</v>
      </c>
    </row>
    <row r="121" customFormat="false" ht="15" hidden="false" customHeight="true" outlineLevel="0" collapsed="false">
      <c r="A121" s="1" t="n">
        <v>55</v>
      </c>
      <c r="B121" s="12" t="n">
        <f aca="false">C61-D61</f>
        <v>21343.7191690749</v>
      </c>
      <c r="C121" s="12" t="n">
        <f aca="false">L61</f>
        <v>4.50757763143335E-005</v>
      </c>
      <c r="D121" s="12" t="n">
        <f aca="false">N61</f>
        <v>2.70454657886001E-006</v>
      </c>
      <c r="E121" s="32" t="n">
        <f aca="false">INDEX(Projection_M!$I$7:$I$667,12*A121+1)</f>
        <v>1.93576003719085E-006</v>
      </c>
      <c r="F121" s="12" t="n">
        <f aca="false">IF(E121&lt;=0,0,MAX(0,(C121+D121-B121)/E121))</f>
        <v>0</v>
      </c>
    </row>
    <row r="124" customFormat="false" ht="15" hidden="false" customHeight="true" outlineLevel="0" collapsed="false">
      <c r="A124" s="6" t="s">
        <v>819</v>
      </c>
    </row>
    <row r="125" customFormat="false" ht="15" hidden="false" customHeight="true" outlineLevel="0" collapsed="false">
      <c r="A125" s="1" t="s">
        <v>820</v>
      </c>
      <c r="B125" s="49" t="n">
        <f aca="false">MAX(F66:F121)</f>
        <v>36317.9168989264</v>
      </c>
    </row>
    <row r="126" customFormat="false" ht="15" hidden="false" customHeight="true" outlineLevel="0" collapsed="false">
      <c r="A126" s="1" t="s">
        <v>821</v>
      </c>
      <c r="B126" s="21" t="n">
        <f aca="false">INDEX(A66:A121,MATCH(B125,F66:F121,0))</f>
        <v>10</v>
      </c>
    </row>
    <row r="127" customFormat="false" ht="15" hidden="false" customHeight="true" outlineLevel="0" collapsed="false">
      <c r="A127" s="1" t="s">
        <v>822</v>
      </c>
      <c r="B127" s="48" t="n">
        <f aca="false">Trajectory!B164</f>
        <v>36779.6909834719</v>
      </c>
    </row>
    <row r="128" customFormat="false" ht="15" hidden="false" customHeight="true" outlineLevel="0" collapsed="false">
      <c r="A128" s="1" t="s">
        <v>823</v>
      </c>
      <c r="B128" s="34" t="n">
        <f aca="false">Trajectory!B165</f>
        <v>8</v>
      </c>
    </row>
    <row r="129" customFormat="false" ht="15" hidden="false" customHeight="true" outlineLevel="0" collapsed="false">
      <c r="A129" s="1" t="s">
        <v>824</v>
      </c>
      <c r="B129" s="50" t="n">
        <f aca="false">B125-B127</f>
        <v>-461.774084545497</v>
      </c>
    </row>
    <row r="130" customFormat="false" ht="15" hidden="false" customHeight="true" outlineLevel="0" collapsed="false">
      <c r="A130" s="1" t="s">
        <v>825</v>
      </c>
      <c r="B130" s="51" t="n">
        <f aca="false">B129/B127</f>
        <v>-0.0125551376914235</v>
      </c>
    </row>
    <row r="132" customFormat="false" ht="15" hidden="false" customHeight="true" outlineLevel="0" collapsed="false">
      <c r="A132" s="6" t="s">
        <v>826</v>
      </c>
    </row>
    <row r="133" customFormat="false" ht="15" hidden="false" customHeight="true" outlineLevel="0" collapsed="false">
      <c r="A133" s="7" t="s">
        <v>827</v>
      </c>
    </row>
    <row r="134" customFormat="false" ht="15" hidden="false" customHeight="true" outlineLevel="0" collapsed="false">
      <c r="B134" s="8" t="s">
        <v>828</v>
      </c>
      <c r="C134" s="8" t="s">
        <v>829</v>
      </c>
      <c r="D134" s="8" t="s">
        <v>830</v>
      </c>
      <c r="E134" s="8" t="s">
        <v>831</v>
      </c>
      <c r="F134" s="8" t="s">
        <v>832</v>
      </c>
    </row>
    <row r="135" customFormat="false" ht="15" hidden="false" customHeight="true" outlineLevel="0" collapsed="false">
      <c r="A135" s="1" t="s">
        <v>833</v>
      </c>
      <c r="B135" s="12" t="n">
        <f aca="false">L6</f>
        <v>15990.4971237718</v>
      </c>
      <c r="C135" s="12" t="n">
        <f aca="false">L11</f>
        <v>17801.9616900216</v>
      </c>
      <c r="D135" s="12" t="n">
        <f aca="false">L16</f>
        <v>19042.0034169624</v>
      </c>
      <c r="E135" s="12" t="n">
        <f aca="false">L21</f>
        <v>18426.2449570907</v>
      </c>
      <c r="F135" s="12" t="n">
        <f aca="false">L26</f>
        <v>15852.6188112932</v>
      </c>
    </row>
    <row r="136" customFormat="false" ht="15" hidden="false" customHeight="true" outlineLevel="0" collapsed="false">
      <c r="A136" s="1" t="s">
        <v>834</v>
      </c>
      <c r="B136" s="12" t="n">
        <f aca="false">RiskMargin!J4</f>
        <v>16652.8497463172</v>
      </c>
      <c r="C136" s="12" t="n">
        <f aca="false">RiskMargin!J9</f>
        <v>18332.0884072738</v>
      </c>
      <c r="D136" s="12" t="n">
        <f aca="false">RiskMargin!J14</f>
        <v>19457.0144705602</v>
      </c>
      <c r="E136" s="12" t="n">
        <f aca="false">RiskMargin!J19</f>
        <v>18584.8360127642</v>
      </c>
      <c r="F136" s="12" t="n">
        <f aca="false">RiskMargin!J24</f>
        <v>15983.5105361247</v>
      </c>
    </row>
    <row r="137" customFormat="false" ht="15" hidden="false" customHeight="true" outlineLevel="0" collapsed="false">
      <c r="A137" s="1" t="s">
        <v>835</v>
      </c>
      <c r="B137" s="12" t="n">
        <f aca="false">B135-B136</f>
        <v>-662.352622545439</v>
      </c>
      <c r="C137" s="12" t="n">
        <f aca="false">C135-C136</f>
        <v>-530.126717252184</v>
      </c>
      <c r="D137" s="12" t="n">
        <f aca="false">D135-D136</f>
        <v>-415.01105359778</v>
      </c>
      <c r="E137" s="12" t="n">
        <f aca="false">E135-E136</f>
        <v>-158.591055673543</v>
      </c>
      <c r="F137" s="12" t="n">
        <f aca="false">F135-F136</f>
        <v>-130.891724831479</v>
      </c>
    </row>
    <row r="138" customFormat="false" ht="15" hidden="false" customHeight="true" outlineLevel="0" collapsed="false">
      <c r="A138" s="1" t="s">
        <v>836</v>
      </c>
      <c r="B138" s="27" t="n">
        <f aca="false">INDEX(Projection_M!$I$7:$I$667,12*0+1)-Projection!F4</f>
        <v>0</v>
      </c>
      <c r="C138" s="27" t="n">
        <f aca="false">INDEX(Projection_M!$I$7:$I$667,12*5+1)-Projection!F9</f>
        <v>0</v>
      </c>
      <c r="D138" s="27" t="n">
        <f aca="false">INDEX(Projection_M!$I$7:$I$667,12*10+1)-Projection!F14</f>
        <v>0</v>
      </c>
      <c r="E138" s="27" t="n">
        <f aca="false">INDEX(Projection_M!$I$7:$I$667,12*15+1)-Projection!F19</f>
        <v>0</v>
      </c>
      <c r="F138" s="27" t="n">
        <f aca="false">INDEX(Projection_M!$I$7:$I$667,12*20+1)-Projection!F24</f>
        <v>0</v>
      </c>
    </row>
    <row r="139" customFormat="false" ht="15" hidden="false" customHeight="true" outlineLevel="0" collapsed="false">
      <c r="A139" s="3" t="s">
        <v>458</v>
      </c>
      <c r="B139" s="28" t="str">
        <f aca="false">IF(MAX(ABS(B138:F138))&lt;0.000001,"In-force ties exactly at every annual date; SCR differences are cashflow timing alone","in-force does not tie — investigate")</f>
        <v>In-force ties exactly at every annual date; SCR differences are cashflow timing alone</v>
      </c>
    </row>
    <row r="141" customFormat="false" ht="15" hidden="false" customHeight="true" outlineLevel="0" collapsed="false">
      <c r="A141" s="6" t="s">
        <v>837</v>
      </c>
    </row>
    <row r="142" customFormat="false" ht="15" hidden="false" customHeight="true" outlineLevel="0" collapsed="false">
      <c r="A142" s="52" t="s">
        <v>838</v>
      </c>
    </row>
    <row r="143" customFormat="false" ht="15" hidden="false" customHeight="true" outlineLevel="0" collapsed="false">
      <c r="A143" s="7" t="s">
        <v>839</v>
      </c>
    </row>
    <row r="144" customFormat="false" ht="15" hidden="false" customHeight="true" outlineLevel="0" collapsed="false">
      <c r="B144" s="3" t="s">
        <v>840</v>
      </c>
      <c r="C144" s="3" t="s">
        <v>841</v>
      </c>
      <c r="D144" s="3" t="s">
        <v>842</v>
      </c>
    </row>
    <row r="145" customFormat="false" ht="15" hidden="false" customHeight="true" outlineLevel="0" collapsed="false">
      <c r="A145" s="1" t="s">
        <v>843</v>
      </c>
      <c r="B145" s="12" t="n">
        <f aca="false">B74</f>
        <v>4652.35228807721</v>
      </c>
      <c r="C145" s="12" t="n">
        <f aca="false">Trajectory!C114</f>
        <v>4879.97303802019</v>
      </c>
      <c r="D145" s="12" t="n">
        <f aca="false">B145-C145</f>
        <v>-227.620749942987</v>
      </c>
    </row>
    <row r="146" customFormat="false" ht="15" hidden="false" customHeight="true" outlineLevel="0" collapsed="false">
      <c r="A146" s="1" t="s">
        <v>844</v>
      </c>
      <c r="B146" s="12" t="n">
        <f aca="false">C74</f>
        <v>18638.3522625902</v>
      </c>
      <c r="C146" s="12" t="n">
        <f aca="false">Trajectory!D114</f>
        <v>19110.2370052548</v>
      </c>
      <c r="D146" s="12" t="n">
        <f aca="false">B146-C146</f>
        <v>-471.884742664672</v>
      </c>
    </row>
    <row r="147" customFormat="false" ht="15" hidden="false" customHeight="true" outlineLevel="0" collapsed="false">
      <c r="A147" s="1" t="s">
        <v>845</v>
      </c>
      <c r="B147" s="12" t="n">
        <f aca="false">D74</f>
        <v>15954.5723426926</v>
      </c>
      <c r="C147" s="12" t="n">
        <f aca="false">Trajectory!E114</f>
        <v>16164.0283529247</v>
      </c>
      <c r="D147" s="12" t="n">
        <f aca="false">B147-C147</f>
        <v>-209.456010232079</v>
      </c>
    </row>
    <row r="149" customFormat="false" ht="15" hidden="false" customHeight="true" outlineLevel="0" collapsed="false">
      <c r="A149" s="7" t="s">
        <v>846</v>
      </c>
    </row>
    <row r="150" customFormat="false" ht="15" hidden="false" customHeight="true" outlineLevel="0" collapsed="false">
      <c r="A150" s="3" t="s">
        <v>847</v>
      </c>
    </row>
    <row r="152" customFormat="false" ht="15" hidden="false" customHeight="true" outlineLevel="0" collapsed="false">
      <c r="A152" s="7" t="s">
        <v>848</v>
      </c>
    </row>
    <row r="153" customFormat="false" ht="15" hidden="false" customHeight="true" outlineLevel="0" collapsed="false">
      <c r="A153" s="3" t="s">
        <v>849</v>
      </c>
    </row>
    <row r="163" customFormat="false" ht="15" hidden="false" customHeight="true" outlineLevel="0" collapsed="false">
      <c r="A163" s="1" t="s">
        <v>850</v>
      </c>
    </row>
    <row r="164" customFormat="false" ht="15" hidden="false" customHeight="true" outlineLevel="0" collapsed="false">
      <c r="A164" s="1" t="s">
        <v>710</v>
      </c>
      <c r="B164" s="1" t="s">
        <v>611</v>
      </c>
    </row>
    <row r="165" customFormat="false" ht="15" hidden="false" customHeight="true" outlineLevel="0" collapsed="false">
      <c r="A165" s="1" t="s">
        <v>712</v>
      </c>
      <c r="B165" s="1" t="s">
        <v>851</v>
      </c>
    </row>
    <row r="166" customFormat="false" ht="15" hidden="false" customHeight="true" outlineLevel="0" collapsed="false">
      <c r="A166" s="1" t="s">
        <v>714</v>
      </c>
      <c r="B166" s="1" t="s">
        <v>852</v>
      </c>
    </row>
    <row r="167" customFormat="false" ht="15" hidden="false" customHeight="true" outlineLevel="0" collapsed="false">
      <c r="A167" s="1" t="s">
        <v>716</v>
      </c>
      <c r="B167" s="1" t="s">
        <v>853</v>
      </c>
    </row>
    <row r="168" customFormat="false" ht="15" hidden="false" customHeight="true" outlineLevel="0" collapsed="false">
      <c r="A168" s="1" t="s">
        <v>717</v>
      </c>
      <c r="B168" s="1" t="s">
        <v>854</v>
      </c>
    </row>
    <row r="169" customFormat="false" ht="15" hidden="false" customHeight="true" outlineLevel="0" collapsed="false">
      <c r="A169" s="1" t="s">
        <v>719</v>
      </c>
      <c r="B169" s="1" t="s">
        <v>855</v>
      </c>
    </row>
    <row r="170" customFormat="false" ht="15" hidden="false" customHeight="true" outlineLevel="0" collapsed="false">
      <c r="A170" s="1" t="s">
        <v>721</v>
      </c>
      <c r="B170" s="1" t="s">
        <v>856</v>
      </c>
    </row>
    <row r="171" customFormat="false" ht="15" hidden="false" customHeight="true" outlineLevel="0" collapsed="false">
      <c r="A171" s="1" t="s">
        <v>723</v>
      </c>
      <c r="B171" s="1" t="s">
        <v>857</v>
      </c>
    </row>
    <row r="172" customFormat="false" ht="15" hidden="false" customHeight="true" outlineLevel="0" collapsed="false">
      <c r="A172" s="1" t="s">
        <v>858</v>
      </c>
      <c r="B172" s="1" t="s">
        <v>859</v>
      </c>
    </row>
    <row r="173" customFormat="false" ht="15" hidden="false" customHeight="true" outlineLevel="0" collapsed="false">
      <c r="A173" s="1" t="s">
        <v>860</v>
      </c>
      <c r="B173" s="1" t="s">
        <v>861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5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8"/>
    <col collapsed="false" customWidth="true" hidden="false" outlineLevel="0" max="6" min="2" style="1" width="17"/>
  </cols>
  <sheetData>
    <row r="1" customFormat="false" ht="15.75" hidden="false" customHeight="true" outlineLevel="0" collapsed="false">
      <c r="A1" s="15" t="s">
        <v>862</v>
      </c>
    </row>
    <row r="2" customFormat="false" ht="15" hidden="false" customHeight="true" outlineLevel="0" collapsed="false">
      <c r="A2" s="7" t="s">
        <v>863</v>
      </c>
    </row>
    <row r="4" customFormat="false" ht="15" hidden="false" customHeight="true" outlineLevel="0" collapsed="false">
      <c r="A4" s="6" t="s">
        <v>864</v>
      </c>
    </row>
    <row r="5" customFormat="false" ht="15" hidden="false" customHeight="true" outlineLevel="0" collapsed="false">
      <c r="A5" s="7" t="s">
        <v>865</v>
      </c>
    </row>
    <row r="7" customFormat="false" ht="15" hidden="false" customHeight="true" outlineLevel="0" collapsed="false">
      <c r="A7" s="1" t="s">
        <v>794</v>
      </c>
      <c r="B7" s="30" t="n">
        <f aca="false">Projection_M!I187</f>
        <v>0.687680981645693</v>
      </c>
    </row>
    <row r="8" customFormat="false" ht="15" hidden="false" customHeight="true" outlineLevel="0" collapsed="false">
      <c r="A8" s="1" t="s">
        <v>795</v>
      </c>
      <c r="B8" s="30" t="n">
        <f aca="false">Projection!F19</f>
        <v>0.687680981645694</v>
      </c>
    </row>
    <row r="9" customFormat="false" ht="15" hidden="false" customHeight="true" outlineLevel="0" collapsed="false">
      <c r="A9" s="1" t="s">
        <v>866</v>
      </c>
      <c r="B9" s="27" t="n">
        <f aca="false">B7-B8</f>
        <v>0</v>
      </c>
    </row>
    <row r="11" customFormat="false" ht="15" hidden="false" customHeight="true" outlineLevel="0" collapsed="false">
      <c r="A11" s="1" t="s">
        <v>867</v>
      </c>
      <c r="B11" s="30" t="n">
        <f aca="false">INDEX(Discount_Monthly!$G$4:$G$664,MATCH(180,Discount_Monthly!$A$4:$A$664,0))</f>
        <v>0.631942752983253</v>
      </c>
    </row>
    <row r="12" customFormat="false" ht="15" hidden="false" customHeight="true" outlineLevel="0" collapsed="false">
      <c r="A12" s="1" t="s">
        <v>868</v>
      </c>
      <c r="B12" s="30" t="n">
        <f aca="false">Discount!C19</f>
        <v>0.631942752983253</v>
      </c>
    </row>
    <row r="13" customFormat="false" ht="15" hidden="false" customHeight="true" outlineLevel="0" collapsed="false">
      <c r="A13" s="1" t="s">
        <v>866</v>
      </c>
      <c r="B13" s="27" t="n">
        <f aca="false">B11-B12</f>
        <v>0</v>
      </c>
    </row>
    <row r="15" customFormat="false" ht="15" hidden="false" customHeight="true" outlineLevel="0" collapsed="false">
      <c r="A15" s="1" t="s">
        <v>869</v>
      </c>
      <c r="B15" s="48" t="n">
        <f aca="false">SUMPRODUCT((MOD(Projection_M!$A$7:$A$667,12)=0)*(Projection_M!$C$7:$C$667&gt;=Assumptions!$B$5)*Projection_M!$I$7:$I$667*Assumptions!$B$9*(1+Assumptions!$B$10)^(Projection_M!$A$7:$A$667/12)*Projection_M!$J$7:$J$667)</f>
        <v>106683.77934613</v>
      </c>
    </row>
    <row r="16" customFormat="false" ht="15" hidden="false" customHeight="true" outlineLevel="0" collapsed="false">
      <c r="A16" s="1" t="s">
        <v>870</v>
      </c>
      <c r="B16" s="48" t="n">
        <f aca="false">Pricing!B8</f>
        <v>106683.779346131</v>
      </c>
    </row>
    <row r="17" customFormat="false" ht="15" hidden="false" customHeight="true" outlineLevel="0" collapsed="false">
      <c r="A17" s="1" t="s">
        <v>866</v>
      </c>
      <c r="B17" s="27" t="n">
        <f aca="false">B15-B16</f>
        <v>0</v>
      </c>
    </row>
    <row r="19" customFormat="false" ht="15" hidden="false" customHeight="true" outlineLevel="0" collapsed="false">
      <c r="A19" s="3" t="s">
        <v>871</v>
      </c>
      <c r="B19" s="28" t="str">
        <f aca="false">IF(AND(ABS(B9)&lt;0.000001,ABS(B13)&lt;0.000000001,ABS(B17)&lt;0.01),"PASS — the monthly grid reproduces the annual model exactly when annual timing is imposed on it. The grid, decrements and curve are correct.","FAIL")</f>
        <v>PASS — the monthly grid reproduces the annual model exactly when annual timing is imposed on it. The grid, decrements and curve are correct.</v>
      </c>
    </row>
    <row r="20" customFormat="false" ht="15" hidden="false" customHeight="true" outlineLevel="0" collapsed="false">
      <c r="A20" s="7" t="s">
        <v>872</v>
      </c>
    </row>
    <row r="22" customFormat="false" ht="15" hidden="false" customHeight="true" outlineLevel="0" collapsed="false">
      <c r="A22" s="6" t="s">
        <v>873</v>
      </c>
    </row>
    <row r="24" customFormat="false" ht="15" hidden="false" customHeight="true" outlineLevel="0" collapsed="false">
      <c r="A24" s="3" t="s">
        <v>874</v>
      </c>
    </row>
    <row r="25" customFormat="false" ht="15" hidden="false" customHeight="true" outlineLevel="0" collapsed="false">
      <c r="A25" s="1" t="s">
        <v>875</v>
      </c>
      <c r="B25" s="48" t="n">
        <f aca="false">Pricing_M!B9</f>
        <v>101385.611039404</v>
      </c>
    </row>
    <row r="26" customFormat="false" ht="15" hidden="false" customHeight="true" outlineLevel="0" collapsed="false">
      <c r="A26" s="1" t="s">
        <v>876</v>
      </c>
      <c r="B26" s="48" t="n">
        <f aca="false">B15</f>
        <v>106683.77934613</v>
      </c>
    </row>
    <row r="27" customFormat="false" ht="15" hidden="false" customHeight="true" outlineLevel="0" collapsed="false">
      <c r="A27" s="1" t="s">
        <v>877</v>
      </c>
      <c r="B27" s="48" t="n">
        <f aca="false">B25-B26</f>
        <v>-5298.16830672669</v>
      </c>
    </row>
    <row r="28" customFormat="false" ht="15" hidden="false" customHeight="true" outlineLevel="0" collapsed="false">
      <c r="A28" s="1" t="s">
        <v>878</v>
      </c>
      <c r="B28" s="18" t="n">
        <f aca="false">B27/B26</f>
        <v>-0.0496623604750356</v>
      </c>
    </row>
    <row r="29" customFormat="false" ht="15" hidden="false" customHeight="true" outlineLevel="0" collapsed="false">
      <c r="A29" s="7" t="s">
        <v>879</v>
      </c>
    </row>
    <row r="31" customFormat="false" ht="15" hidden="false" customHeight="true" outlineLevel="0" collapsed="false">
      <c r="A31" s="3" t="s">
        <v>880</v>
      </c>
    </row>
    <row r="32" customFormat="false" ht="15" hidden="false" customHeight="true" outlineLevel="0" collapsed="false">
      <c r="A32" s="1" t="s">
        <v>881</v>
      </c>
      <c r="B32" s="48" t="n">
        <f aca="false">Pricing_M!B14</f>
        <v>12039.167337107</v>
      </c>
    </row>
    <row r="33" customFormat="false" ht="15" hidden="false" customHeight="true" outlineLevel="0" collapsed="false">
      <c r="A33" s="1" t="s">
        <v>882</v>
      </c>
      <c r="B33" s="48" t="n">
        <f aca="false">Pricing!B14</f>
        <v>12316.0657114102</v>
      </c>
    </row>
    <row r="34" customFormat="false" ht="15" hidden="false" customHeight="true" outlineLevel="0" collapsed="false">
      <c r="A34" s="1" t="s">
        <v>883</v>
      </c>
      <c r="B34" s="48" t="n">
        <f aca="false">B32-B33</f>
        <v>-276.898374303179</v>
      </c>
    </row>
    <row r="35" customFormat="false" ht="15" hidden="false" customHeight="true" outlineLevel="0" collapsed="false">
      <c r="A35" s="1" t="s">
        <v>884</v>
      </c>
      <c r="B35" s="18" t="n">
        <f aca="false">B34/B33</f>
        <v>-0.0224826970553304</v>
      </c>
    </row>
    <row r="36" customFormat="false" ht="15" hidden="false" customHeight="true" outlineLevel="0" collapsed="false">
      <c r="A36" s="7" t="s">
        <v>885</v>
      </c>
    </row>
    <row r="38" customFormat="false" ht="15" hidden="false" customHeight="true" outlineLevel="0" collapsed="false">
      <c r="A38" s="3" t="s">
        <v>886</v>
      </c>
    </row>
    <row r="39" customFormat="false" ht="15" hidden="false" customHeight="true" outlineLevel="0" collapsed="false">
      <c r="A39" s="1" t="s">
        <v>887</v>
      </c>
      <c r="B39" s="48" t="n">
        <f aca="false">Pricing_M!B13*Pricing_M!B7</f>
        <v>17674.5997215681</v>
      </c>
    </row>
    <row r="40" customFormat="false" ht="15" hidden="false" customHeight="true" outlineLevel="0" collapsed="false">
      <c r="A40" s="1" t="s">
        <v>888</v>
      </c>
      <c r="B40" s="48" t="n">
        <f aca="false">Assumptions!B14*12*Pricing_M!B13</f>
        <v>12039.167337107</v>
      </c>
    </row>
    <row r="41" customFormat="false" ht="15" hidden="false" customHeight="true" outlineLevel="0" collapsed="false">
      <c r="A41" s="1" t="s">
        <v>889</v>
      </c>
      <c r="B41" s="53" t="n">
        <f aca="false">B40/B39</f>
        <v>0.681156435040266</v>
      </c>
    </row>
    <row r="42" customFormat="false" ht="15" hidden="false" customHeight="true" outlineLevel="0" collapsed="false">
      <c r="A42" s="7" t="s">
        <v>890</v>
      </c>
    </row>
    <row r="44" customFormat="false" ht="15" hidden="false" customHeight="true" outlineLevel="0" collapsed="false">
      <c r="A44" s="6" t="s">
        <v>891</v>
      </c>
    </row>
    <row r="45" customFormat="false" ht="15" hidden="false" customHeight="true" outlineLevel="0" collapsed="false">
      <c r="A45" s="1" t="s">
        <v>892</v>
      </c>
      <c r="B45" s="48" t="n">
        <f aca="false">ANAV!E5</f>
        <v>175975.362518548</v>
      </c>
    </row>
    <row r="46" customFormat="false" ht="15" hidden="false" customHeight="true" outlineLevel="0" collapsed="false">
      <c r="A46" s="1" t="s">
        <v>893</v>
      </c>
      <c r="B46" s="48" t="n">
        <f aca="false">Reserving_OF_M!E5</f>
        <v>167254.036126921</v>
      </c>
    </row>
    <row r="47" customFormat="false" ht="15" hidden="false" customHeight="true" outlineLevel="0" collapsed="false">
      <c r="A47" s="1" t="s">
        <v>894</v>
      </c>
      <c r="B47" s="48" t="n">
        <f aca="false">B46-B45</f>
        <v>-8721.32639162664</v>
      </c>
    </row>
    <row r="48" customFormat="false" ht="15" hidden="false" customHeight="true" outlineLevel="0" collapsed="false">
      <c r="A48" s="1" t="s">
        <v>895</v>
      </c>
      <c r="B48" s="48" t="n">
        <f aca="false">B35*(SUMIFS(Projection!$AC$4:$AC$59,Projection!$B$4:$B$59,"&lt;"&amp;Assumptions!$B$5)/Discount!C19)</f>
        <v>-3992.46460708513</v>
      </c>
    </row>
    <row r="49" customFormat="false" ht="15" hidden="false" customHeight="true" outlineLevel="0" collapsed="false">
      <c r="A49" s="1" t="s">
        <v>896</v>
      </c>
      <c r="B49" s="48" t="n">
        <f aca="false">B47-B48</f>
        <v>-4728.86178454152</v>
      </c>
    </row>
    <row r="50" customFormat="false" ht="15" hidden="false" customHeight="true" outlineLevel="0" collapsed="false">
      <c r="A50" s="7" t="s">
        <v>897</v>
      </c>
    </row>
    <row r="51" customFormat="false" ht="15" hidden="false" customHeight="true" outlineLevel="0" collapsed="false">
      <c r="A51" s="7" t="s">
        <v>898</v>
      </c>
    </row>
    <row r="53" customFormat="false" ht="15" hidden="false" customHeight="true" outlineLevel="0" collapsed="false">
      <c r="A53" s="6" t="s">
        <v>899</v>
      </c>
    </row>
    <row r="54" customFormat="false" ht="15" hidden="false" customHeight="true" outlineLevel="0" collapsed="false">
      <c r="A54" s="3" t="s">
        <v>900</v>
      </c>
    </row>
    <row r="55" customFormat="false" ht="15" hidden="false" customHeight="true" outlineLevel="0" collapsed="false">
      <c r="A55" s="7" t="s">
        <v>901</v>
      </c>
    </row>
    <row r="56" customFormat="false" ht="15" hidden="false" customHeight="true" outlineLevel="0" collapsed="false">
      <c r="A56" s="7" t="s">
        <v>902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19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 min="1" style="1" width="8"/>
    <col collapsed="false" customWidth="true" hidden="false" outlineLevel="0" max="11" min="3" style="1" width="15"/>
  </cols>
  <sheetData>
    <row r="1" customFormat="false" ht="15.75" hidden="false" customHeight="true" outlineLevel="0" collapsed="false">
      <c r="A1" s="15" t="s">
        <v>903</v>
      </c>
    </row>
    <row r="2" customFormat="false" ht="15" hidden="false" customHeight="true" outlineLevel="0" collapsed="false">
      <c r="A2" s="7" t="s">
        <v>904</v>
      </c>
    </row>
    <row r="4" customFormat="false" ht="15" hidden="false" customHeight="true" outlineLevel="0" collapsed="false">
      <c r="A4" s="8" t="s">
        <v>905</v>
      </c>
      <c r="B4" s="8" t="s">
        <v>463</v>
      </c>
      <c r="C4" s="8" t="s">
        <v>906</v>
      </c>
      <c r="D4" s="8" t="s">
        <v>907</v>
      </c>
      <c r="E4" s="8" t="s">
        <v>908</v>
      </c>
      <c r="F4" s="8" t="s">
        <v>909</v>
      </c>
      <c r="G4" s="8" t="s">
        <v>910</v>
      </c>
      <c r="H4" s="8" t="s">
        <v>911</v>
      </c>
      <c r="I4" s="8" t="s">
        <v>912</v>
      </c>
      <c r="J4" s="8" t="s">
        <v>913</v>
      </c>
      <c r="K4" s="8" t="s">
        <v>914</v>
      </c>
    </row>
    <row r="5" customFormat="false" ht="15" hidden="false" customHeight="true" outlineLevel="0" collapsed="false">
      <c r="A5" s="3" t="n">
        <v>0</v>
      </c>
      <c r="B5" s="34" t="n">
        <f aca="false">Assumptions!$B$4+A5</f>
        <v>65</v>
      </c>
      <c r="C5" s="12" t="n">
        <f aca="false">SUMIFS(Projection_M!$Q$7:$Q$667,Projection_M!$A$7:$A$667,"&lt;"&amp;12*A5)/INDEX(Discount_Monthly!$G$4:$G$664,MATCH(12*A5,Discount_Monthly!$A$4:$A$664,0))</f>
        <v>0</v>
      </c>
      <c r="D5" s="12" t="n">
        <f aca="false">SUMIFS(Projection_M!$P$7:$P$667,Projection_M!$A$7:$A$667,"&gt;="&amp;12*A5)/INDEX(Discount_Monthly!$G$4:$G$664,MATCH(12*A5,Discount_Monthly!$A$4:$A$664,0))</f>
        <v>-3730.74246963365</v>
      </c>
      <c r="E5" s="12" t="n">
        <f aca="false">C5-D5</f>
        <v>3730.74246963365</v>
      </c>
      <c r="F5" s="12" t="n">
        <f aca="false">SUMIFS(Projection!$N$4:$N$59,Projection!$B$4:$B$59,"&lt;"&amp;(Assumptions!$B$4+A5))/Discount!C4</f>
        <v>0</v>
      </c>
      <c r="G5" s="12" t="n">
        <f aca="false">SUMIFS(Projection!$P$4:$P$59,Projection!$B$4:$B$59,"&gt;="&amp;(Assumptions!$B$4+A5))/Discount!C4</f>
        <v>-3913.27258476668</v>
      </c>
      <c r="H5" s="12" t="n">
        <f aca="false">F5-G5</f>
        <v>3913.27258476668</v>
      </c>
      <c r="I5" s="12" t="n">
        <f aca="false">E5-H5</f>
        <v>-182.53011513303</v>
      </c>
      <c r="J5" s="34" t="n">
        <f aca="false">IF(E5&lt;0,A5,999)</f>
        <v>999</v>
      </c>
      <c r="K5" s="34" t="n">
        <f aca="false">IF(H5&lt;0,A5,999)</f>
        <v>999</v>
      </c>
    </row>
    <row r="6" customFormat="false" ht="15" hidden="false" customHeight="true" outlineLevel="0" collapsed="false">
      <c r="A6" s="3" t="n">
        <v>1</v>
      </c>
      <c r="B6" s="34" t="n">
        <f aca="false">Assumptions!$B$4+A6</f>
        <v>66</v>
      </c>
      <c r="C6" s="12" t="n">
        <f aca="false">SUMIFS(Projection_M!$Q$7:$Q$667,Projection_M!$A$7:$A$667,"&lt;"&amp;12*A6)/INDEX(Discount_Monthly!$G$4:$G$664,MATCH(12*A6,Discount_Monthly!$A$4:$A$664,0))</f>
        <v>-481.255465858688</v>
      </c>
      <c r="D6" s="12" t="n">
        <f aca="false">SUMIFS(Projection_M!$P$7:$P$667,Projection_M!$A$7:$A$667,"&gt;="&amp;12*A6)/INDEX(Discount_Monthly!$G$4:$G$664,MATCH(12*A6,Discount_Monthly!$A$4:$A$664,0))</f>
        <v>-4308.84801000403</v>
      </c>
      <c r="E6" s="12" t="n">
        <f aca="false">C6-D6</f>
        <v>3827.59254414534</v>
      </c>
      <c r="F6" s="12" t="n">
        <f aca="false">SUMIFS(Projection!$N$4:$N$59,Projection!$B$4:$B$59,"&lt;"&amp;(Assumptions!$B$4+A6))/Discount!C5</f>
        <v>-84.12872</v>
      </c>
      <c r="G6" s="12" t="n">
        <f aca="false">SUMIFS(Projection!$P$4:$P$59,Projection!$B$4:$B$59,"&gt;="&amp;(Assumptions!$B$4+A6))/Discount!C5</f>
        <v>-4098.98986106723</v>
      </c>
      <c r="H6" s="12" t="n">
        <f aca="false">F6-G6</f>
        <v>4014.86114106723</v>
      </c>
      <c r="I6" s="12" t="n">
        <f aca="false">E6-H6</f>
        <v>-187.268596921882</v>
      </c>
      <c r="J6" s="34" t="n">
        <f aca="false">IF(E6&lt;0,A6,999)</f>
        <v>999</v>
      </c>
      <c r="K6" s="34" t="n">
        <f aca="false">IF(H6&lt;0,A6,999)</f>
        <v>999</v>
      </c>
    </row>
    <row r="7" customFormat="false" ht="15" hidden="false" customHeight="true" outlineLevel="0" collapsed="false">
      <c r="A7" s="3" t="n">
        <v>2</v>
      </c>
      <c r="B7" s="34" t="n">
        <f aca="false">Assumptions!$B$4+A7</f>
        <v>67</v>
      </c>
      <c r="C7" s="12" t="n">
        <f aca="false">SUMIFS(Projection_M!$Q$7:$Q$667,Projection_M!$A$7:$A$667,"&lt;"&amp;12*A7)/INDEX(Discount_Monthly!$G$4:$G$664,MATCH(12*A7,Discount_Monthly!$A$4:$A$664,0))</f>
        <v>10359.8755117604</v>
      </c>
      <c r="D7" s="12" t="n">
        <f aca="false">SUMIFS(Projection_M!$P$7:$P$667,Projection_M!$A$7:$A$667,"&gt;="&amp;12*A7)/INDEX(Discount_Monthly!$G$4:$G$664,MATCH(12*A7,Discount_Monthly!$A$4:$A$664,0))</f>
        <v>6430.62177387573</v>
      </c>
      <c r="E7" s="12" t="n">
        <f aca="false">C7-D7</f>
        <v>3929.25373788467</v>
      </c>
      <c r="F7" s="12" t="n">
        <f aca="false">SUMIFS(Projection!$N$4:$N$59,Projection!$B$4:$B$59,"&lt;"&amp;(Assumptions!$B$4+A7))/Discount!C6</f>
        <v>11294.9638842895</v>
      </c>
      <c r="G7" s="12" t="n">
        <f aca="false">SUMIFS(Projection!$P$4:$P$59,Projection!$B$4:$B$59,"&gt;="&amp;(Assumptions!$B$4+A7))/Discount!C6</f>
        <v>7173.467679121</v>
      </c>
      <c r="H7" s="12" t="n">
        <f aca="false">F7-G7</f>
        <v>4121.49620516851</v>
      </c>
      <c r="I7" s="12" t="n">
        <f aca="false">E7-H7</f>
        <v>-192.242467283841</v>
      </c>
      <c r="J7" s="34" t="n">
        <f aca="false">IF(E7&lt;0,A7,999)</f>
        <v>999</v>
      </c>
      <c r="K7" s="34" t="n">
        <f aca="false">IF(H7&lt;0,A7,999)</f>
        <v>999</v>
      </c>
    </row>
    <row r="8" customFormat="false" ht="15" hidden="false" customHeight="true" outlineLevel="0" collapsed="false">
      <c r="A8" s="3" t="n">
        <v>3</v>
      </c>
      <c r="B8" s="34" t="n">
        <f aca="false">Assumptions!$B$4+A8</f>
        <v>68</v>
      </c>
      <c r="C8" s="12" t="n">
        <f aca="false">SUMIFS(Projection_M!$Q$7:$Q$667,Projection_M!$A$7:$A$667,"&lt;"&amp;12*A8)/INDEX(Discount_Monthly!$G$4:$G$664,MATCH(12*A8,Discount_Monthly!$A$4:$A$664,0))</f>
        <v>21224.3623053581</v>
      </c>
      <c r="D8" s="12" t="n">
        <f aca="false">SUMIFS(Projection_M!$P$7:$P$667,Projection_M!$A$7:$A$667,"&gt;="&amp;12*A8)/INDEX(Discount_Monthly!$G$4:$G$664,MATCH(12*A8,Discount_Monthly!$A$4:$A$664,0))</f>
        <v>17192.1621149464</v>
      </c>
      <c r="E8" s="12" t="n">
        <f aca="false">C8-D8</f>
        <v>4032.20019041167</v>
      </c>
      <c r="F8" s="12" t="n">
        <f aca="false">SUMIFS(Projection!$N$4:$N$59,Projection!$B$4:$B$59,"&lt;"&amp;(Assumptions!$B$4+A8))/Discount!C7</f>
        <v>22656.5541658744</v>
      </c>
      <c r="G8" s="12" t="n">
        <f aca="false">SUMIFS(Projection!$P$4:$P$59,Projection!$B$4:$B$59,"&gt;="&amp;(Assumptions!$B$4+A8))/Discount!C7</f>
        <v>18427.0747553113</v>
      </c>
      <c r="H8" s="12" t="n">
        <f aca="false">F8-G8</f>
        <v>4229.47941056313</v>
      </c>
      <c r="I8" s="12" t="n">
        <f aca="false">E8-H8</f>
        <v>-197.279220151464</v>
      </c>
      <c r="J8" s="34" t="n">
        <f aca="false">IF(E8&lt;0,A8,999)</f>
        <v>999</v>
      </c>
      <c r="K8" s="34" t="n">
        <f aca="false">IF(H8&lt;0,A8,999)</f>
        <v>999</v>
      </c>
    </row>
    <row r="9" customFormat="false" ht="15" hidden="false" customHeight="true" outlineLevel="0" collapsed="false">
      <c r="A9" s="3" t="n">
        <v>4</v>
      </c>
      <c r="B9" s="34" t="n">
        <f aca="false">Assumptions!$B$4+A9</f>
        <v>69</v>
      </c>
      <c r="C9" s="12" t="n">
        <f aca="false">SUMIFS(Projection_M!$Q$7:$Q$667,Projection_M!$A$7:$A$667,"&lt;"&amp;12*A9)/INDEX(Discount_Monthly!$G$4:$G$664,MATCH(12*A9,Discount_Monthly!$A$4:$A$664,0))</f>
        <v>32177.3289061583</v>
      </c>
      <c r="D9" s="12" t="n">
        <f aca="false">SUMIFS(Projection_M!$P$7:$P$667,Projection_M!$A$7:$A$667,"&gt;="&amp;12*A9)/INDEX(Discount_Monthly!$G$4:$G$664,MATCH(12*A9,Discount_Monthly!$A$4:$A$664,0))</f>
        <v>28037.3879871581</v>
      </c>
      <c r="E9" s="12" t="n">
        <f aca="false">C9-D9</f>
        <v>4139.94091900023</v>
      </c>
      <c r="F9" s="12" t="n">
        <f aca="false">SUMIFS(Projection!$N$4:$N$59,Projection!$B$4:$B$59,"&lt;"&amp;(Assumptions!$B$4+A9))/Discount!C8</f>
        <v>34116.6346702511</v>
      </c>
      <c r="G9" s="12" t="n">
        <f aca="false">SUMIFS(Projection!$P$4:$P$59,Projection!$B$4:$B$59,"&gt;="&amp;(Assumptions!$B$4+A9))/Discount!C8</f>
        <v>29774.1432137266</v>
      </c>
      <c r="H9" s="12" t="n">
        <f aca="false">F9-G9</f>
        <v>4342.49145652453</v>
      </c>
      <c r="I9" s="12" t="n">
        <f aca="false">E9-H9</f>
        <v>-202.550537524301</v>
      </c>
      <c r="J9" s="34" t="n">
        <f aca="false">IF(E9&lt;0,A9,999)</f>
        <v>999</v>
      </c>
      <c r="K9" s="34" t="n">
        <f aca="false">IF(H9&lt;0,A9,999)</f>
        <v>999</v>
      </c>
    </row>
    <row r="10" customFormat="false" ht="15" hidden="false" customHeight="true" outlineLevel="0" collapsed="false">
      <c r="A10" s="3" t="n">
        <v>5</v>
      </c>
      <c r="B10" s="34" t="n">
        <f aca="false">Assumptions!$B$4+A10</f>
        <v>70</v>
      </c>
      <c r="C10" s="12" t="n">
        <f aca="false">SUMIFS(Projection_M!$Q$7:$Q$667,Projection_M!$A$7:$A$667,"&lt;"&amp;12*A10)/INDEX(Discount_Monthly!$G$4:$G$664,MATCH(12*A10,Discount_Monthly!$A$4:$A$664,0))</f>
        <v>43259.0137845103</v>
      </c>
      <c r="D10" s="12" t="n">
        <f aca="false">SUMIFS(Projection_M!$P$7:$P$667,Projection_M!$A$7:$A$667,"&gt;="&amp;12*A10)/INDEX(Discount_Monthly!$G$4:$G$664,MATCH(12*A10,Discount_Monthly!$A$4:$A$664,0))</f>
        <v>39003.1087263498</v>
      </c>
      <c r="E10" s="12" t="n">
        <f aca="false">C10-D10</f>
        <v>4255.90505816053</v>
      </c>
      <c r="F10" s="12" t="n">
        <f aca="false">SUMIFS(Projection!$N$4:$N$59,Projection!$B$4:$B$59,"&lt;"&amp;(Assumptions!$B$4+A10))/Discount!C9</f>
        <v>45721.6171278948</v>
      </c>
      <c r="G10" s="12" t="n">
        <f aca="false">SUMIFS(Projection!$P$4:$P$59,Projection!$B$4:$B$59,"&gt;="&amp;(Assumptions!$B$4+A10))/Discount!C9</f>
        <v>41257.4878766723</v>
      </c>
      <c r="H10" s="12" t="n">
        <f aca="false">F10-G10</f>
        <v>4464.12925122245</v>
      </c>
      <c r="I10" s="12" t="n">
        <f aca="false">E10-H10</f>
        <v>-208.22419306192</v>
      </c>
      <c r="J10" s="34" t="n">
        <f aca="false">IF(E10&lt;0,A10,999)</f>
        <v>999</v>
      </c>
      <c r="K10" s="34" t="n">
        <f aca="false">IF(H10&lt;0,A10,999)</f>
        <v>999</v>
      </c>
    </row>
    <row r="11" customFormat="false" ht="15" hidden="false" customHeight="true" outlineLevel="0" collapsed="false">
      <c r="A11" s="3" t="n">
        <v>6</v>
      </c>
      <c r="B11" s="34" t="n">
        <f aca="false">Assumptions!$B$4+A11</f>
        <v>71</v>
      </c>
      <c r="C11" s="12" t="n">
        <f aca="false">SUMIFS(Projection_M!$Q$7:$Q$667,Projection_M!$A$7:$A$667,"&lt;"&amp;12*A11)/INDEX(Discount_Monthly!$G$4:$G$664,MATCH(12*A11,Discount_Monthly!$A$4:$A$664,0))</f>
        <v>54497.23891328</v>
      </c>
      <c r="D11" s="12" t="n">
        <f aca="false">SUMIFS(Projection_M!$P$7:$P$667,Projection_M!$A$7:$A$667,"&gt;="&amp;12*A11)/INDEX(Discount_Monthly!$G$4:$G$664,MATCH(12*A11,Discount_Monthly!$A$4:$A$664,0))</f>
        <v>50118.2871234892</v>
      </c>
      <c r="E11" s="12" t="n">
        <f aca="false">C11-D11</f>
        <v>4378.95178979084</v>
      </c>
      <c r="F11" s="12" t="n">
        <f aca="false">SUMIFS(Projection!$N$4:$N$59,Projection!$B$4:$B$59,"&lt;"&amp;(Assumptions!$B$4+A11))/Discount!C10</f>
        <v>57480.2809740323</v>
      </c>
      <c r="G11" s="12" t="n">
        <f aca="false">SUMIFS(Projection!$P$4:$P$59,Projection!$B$4:$B$59,"&gt;="&amp;(Assumptions!$B$4+A11))/Discount!C10</f>
        <v>52887.0848130852</v>
      </c>
      <c r="H11" s="12" t="n">
        <f aca="false">F11-G11</f>
        <v>4593.19616094708</v>
      </c>
      <c r="I11" s="12" t="n">
        <f aca="false">E11-H11</f>
        <v>-214.244371156237</v>
      </c>
      <c r="J11" s="34" t="n">
        <f aca="false">IF(E11&lt;0,A11,999)</f>
        <v>999</v>
      </c>
      <c r="K11" s="34" t="n">
        <f aca="false">IF(H11&lt;0,A11,999)</f>
        <v>999</v>
      </c>
    </row>
    <row r="12" customFormat="false" ht="15" hidden="false" customHeight="true" outlineLevel="0" collapsed="false">
      <c r="A12" s="3" t="n">
        <v>7</v>
      </c>
      <c r="B12" s="34" t="n">
        <f aca="false">Assumptions!$B$4+A12</f>
        <v>72</v>
      </c>
      <c r="C12" s="12" t="n">
        <f aca="false">SUMIFS(Projection_M!$Q$7:$Q$667,Projection_M!$A$7:$A$667,"&lt;"&amp;12*A12)/INDEX(Discount_Monthly!$G$4:$G$664,MATCH(12*A12,Discount_Monthly!$A$4:$A$664,0))</f>
        <v>65952.9116946564</v>
      </c>
      <c r="D12" s="12" t="n">
        <f aca="false">SUMIFS(Projection_M!$P$7:$P$667,Projection_M!$A$7:$A$667,"&gt;="&amp;12*A12)/INDEX(Discount_Monthly!$G$4:$G$664,MATCH(12*A12,Discount_Monthly!$A$4:$A$664,0))</f>
        <v>61441.9609515311</v>
      </c>
      <c r="E12" s="12" t="n">
        <f aca="false">C12-D12</f>
        <v>4510.95074312528</v>
      </c>
      <c r="F12" s="12" t="n">
        <f aca="false">SUMIFS(Projection!$N$4:$N$59,Projection!$B$4:$B$59,"&lt;"&amp;(Assumptions!$B$4+A12))/Discount!C11</f>
        <v>69477.1349123797</v>
      </c>
      <c r="G12" s="12" t="n">
        <f aca="false">SUMIFS(Projection!$P$4:$P$59,Projection!$B$4:$B$59,"&gt;="&amp;(Assumptions!$B$4+A12))/Discount!C11</f>
        <v>64745.4816240629</v>
      </c>
      <c r="H12" s="12" t="n">
        <f aca="false">F12-G12</f>
        <v>4731.65328831676</v>
      </c>
      <c r="I12" s="12" t="n">
        <f aca="false">E12-H12</f>
        <v>-220.702545191481</v>
      </c>
      <c r="J12" s="34" t="n">
        <f aca="false">IF(E12&lt;0,A12,999)</f>
        <v>999</v>
      </c>
      <c r="K12" s="34" t="n">
        <f aca="false">IF(H12&lt;0,A12,999)</f>
        <v>999</v>
      </c>
    </row>
    <row r="13" customFormat="false" ht="15" hidden="false" customHeight="true" outlineLevel="0" collapsed="false">
      <c r="A13" s="3" t="n">
        <v>8</v>
      </c>
      <c r="B13" s="34" t="n">
        <f aca="false">Assumptions!$B$4+A13</f>
        <v>73</v>
      </c>
      <c r="C13" s="12" t="n">
        <f aca="false">SUMIFS(Projection_M!$Q$7:$Q$667,Projection_M!$A$7:$A$667,"&lt;"&amp;12*A13)/INDEX(Discount_Monthly!$G$4:$G$664,MATCH(12*A13,Discount_Monthly!$A$4:$A$664,0))</f>
        <v>77652.1144516253</v>
      </c>
      <c r="D13" s="12" t="n">
        <f aca="false">SUMIFS(Projection_M!$P$7:$P$667,Projection_M!$A$7:$A$667,"&gt;="&amp;12*A13)/INDEX(Discount_Monthly!$G$4:$G$664,MATCH(12*A13,Discount_Monthly!$A$4:$A$664,0))</f>
        <v>72999.7621635481</v>
      </c>
      <c r="E13" s="12" t="n">
        <f aca="false">C13-D13</f>
        <v>4652.35228807721</v>
      </c>
      <c r="F13" s="12" t="n">
        <f aca="false">SUMIFS(Projection!$N$4:$N$59,Projection!$B$4:$B$59,"&lt;"&amp;(Assumptions!$B$4+A13))/Discount!C12</f>
        <v>81739.8704827017</v>
      </c>
      <c r="G13" s="12" t="n">
        <f aca="false">SUMIFS(Projection!$P$4:$P$59,Projection!$B$4:$B$59,"&gt;="&amp;(Assumptions!$B$4+A13))/Discount!C12</f>
        <v>76859.8974446815</v>
      </c>
      <c r="H13" s="12" t="n">
        <f aca="false">F13-G13</f>
        <v>4879.97303802019</v>
      </c>
      <c r="I13" s="12" t="n">
        <f aca="false">E13-H13</f>
        <v>-227.620749942987</v>
      </c>
      <c r="J13" s="34" t="n">
        <f aca="false">IF(E13&lt;0,A13,999)</f>
        <v>999</v>
      </c>
      <c r="K13" s="34" t="n">
        <f aca="false">IF(H13&lt;0,A13,999)</f>
        <v>999</v>
      </c>
    </row>
    <row r="14" customFormat="false" ht="15" hidden="false" customHeight="true" outlineLevel="0" collapsed="false">
      <c r="A14" s="3" t="n">
        <v>9</v>
      </c>
      <c r="B14" s="34" t="n">
        <f aca="false">Assumptions!$B$4+A14</f>
        <v>74</v>
      </c>
      <c r="C14" s="12" t="n">
        <f aca="false">SUMIFS(Projection_M!$Q$7:$Q$667,Projection_M!$A$7:$A$667,"&lt;"&amp;12*A14)/INDEX(Discount_Monthly!$G$4:$G$664,MATCH(12*A14,Discount_Monthly!$A$4:$A$664,0))</f>
        <v>89610.8251880398</v>
      </c>
      <c r="D14" s="12" t="n">
        <f aca="false">SUMIFS(Projection_M!$P$7:$P$667,Projection_M!$A$7:$A$667,"&gt;="&amp;12*A14)/INDEX(Discount_Monthly!$G$4:$G$664,MATCH(12*A14,Discount_Monthly!$A$4:$A$664,0))</f>
        <v>84807.7440472768</v>
      </c>
      <c r="E14" s="12" t="n">
        <f aca="false">C14-D14</f>
        <v>4803.08114076294</v>
      </c>
      <c r="F14" s="12" t="n">
        <f aca="false">SUMIFS(Projection!$N$4:$N$59,Projection!$B$4:$B$59,"&lt;"&amp;(Assumptions!$B$4+A14))/Discount!C13</f>
        <v>94285.088782548</v>
      </c>
      <c r="G14" s="12" t="n">
        <f aca="false">SUMIFS(Projection!$P$4:$P$59,Projection!$B$4:$B$59,"&gt;="&amp;(Assumptions!$B$4+A14))/Discount!C13</f>
        <v>89247.0123397098</v>
      </c>
      <c r="H14" s="12" t="n">
        <f aca="false">F14-G14</f>
        <v>5038.07644283825</v>
      </c>
      <c r="I14" s="12" t="n">
        <f aca="false">E14-H14</f>
        <v>-234.995302075316</v>
      </c>
      <c r="J14" s="34" t="n">
        <f aca="false">IF(E14&lt;0,A14,999)</f>
        <v>999</v>
      </c>
      <c r="K14" s="34" t="n">
        <f aca="false">IF(H14&lt;0,A14,999)</f>
        <v>999</v>
      </c>
    </row>
    <row r="15" customFormat="false" ht="15" hidden="false" customHeight="true" outlineLevel="0" collapsed="false">
      <c r="A15" s="3" t="n">
        <v>10</v>
      </c>
      <c r="B15" s="34" t="n">
        <f aca="false">Assumptions!$B$4+A15</f>
        <v>75</v>
      </c>
      <c r="C15" s="12" t="n">
        <f aca="false">SUMIFS(Projection_M!$Q$7:$Q$667,Projection_M!$A$7:$A$667,"&lt;"&amp;12*A15)/INDEX(Discount_Monthly!$G$4:$G$664,MATCH(12*A15,Discount_Monthly!$A$4:$A$664,0))</f>
        <v>101990.334739447</v>
      </c>
      <c r="D15" s="12" t="n">
        <f aca="false">SUMIFS(Projection_M!$P$7:$P$667,Projection_M!$A$7:$A$667,"&gt;="&amp;12*A15)/INDEX(Discount_Monthly!$G$4:$G$664,MATCH(12*A15,Discount_Monthly!$A$4:$A$664,0))</f>
        <v>97019.6839366047</v>
      </c>
      <c r="E15" s="12" t="n">
        <f aca="false">C15-D15</f>
        <v>4970.65080284211</v>
      </c>
      <c r="F15" s="12" t="n">
        <f aca="false">SUMIFS(Projection!$N$4:$N$59,Projection!$B$4:$B$59,"&lt;"&amp;(Assumptions!$B$4+A15))/Discount!C14</f>
        <v>107289.117619107</v>
      </c>
      <c r="G15" s="12" t="n">
        <f aca="false">SUMIFS(Projection!$P$4:$P$59,Projection!$B$4:$B$59,"&gt;="&amp;(Assumptions!$B$4+A15))/Discount!C14</f>
        <v>102075.273009479</v>
      </c>
      <c r="H15" s="12" t="n">
        <f aca="false">F15-G15</f>
        <v>5213.84460962823</v>
      </c>
      <c r="I15" s="12" t="n">
        <f aca="false">E15-H15</f>
        <v>-243.193806786119</v>
      </c>
      <c r="J15" s="34" t="n">
        <f aca="false">IF(E15&lt;0,A15,999)</f>
        <v>999</v>
      </c>
      <c r="K15" s="34" t="n">
        <f aca="false">IF(H15&lt;0,A15,999)</f>
        <v>999</v>
      </c>
    </row>
    <row r="16" customFormat="false" ht="15" hidden="false" customHeight="true" outlineLevel="0" collapsed="false">
      <c r="A16" s="3" t="n">
        <v>11</v>
      </c>
      <c r="B16" s="34" t="n">
        <f aca="false">Assumptions!$B$4+A16</f>
        <v>76</v>
      </c>
      <c r="C16" s="12" t="n">
        <f aca="false">SUMIFS(Projection_M!$Q$7:$Q$667,Projection_M!$A$7:$A$667,"&lt;"&amp;12*A16)/INDEX(Discount_Monthly!$G$4:$G$664,MATCH(12*A16,Discount_Monthly!$A$4:$A$664,0))</f>
        <v>114324.980065754</v>
      </c>
      <c r="D16" s="12" t="n">
        <f aca="false">SUMIFS(Projection_M!$P$7:$P$667,Projection_M!$A$7:$A$667,"&gt;="&amp;12*A16)/INDEX(Discount_Monthly!$G$4:$G$664,MATCH(12*A16,Discount_Monthly!$A$4:$A$664,0))</f>
        <v>109193.206540733</v>
      </c>
      <c r="E16" s="12" t="n">
        <f aca="false">C16-D16</f>
        <v>5131.77352502171</v>
      </c>
      <c r="F16" s="12" t="n">
        <f aca="false">SUMIFS(Projection!$N$4:$N$59,Projection!$B$4:$B$59,"&lt;"&amp;(Assumptions!$B$4+A16))/Discount!C15</f>
        <v>120244.195142928</v>
      </c>
      <c r="G16" s="12" t="n">
        <f aca="false">SUMIFS(Projection!$P$4:$P$59,Projection!$B$4:$B$59,"&gt;="&amp;(Assumptions!$B$4+A16))/Discount!C15</f>
        <v>114861.344729061</v>
      </c>
      <c r="H16" s="12" t="n">
        <f aca="false">F16-G16</f>
        <v>5382.85041386707</v>
      </c>
      <c r="I16" s="12" t="n">
        <f aca="false">E16-H16</f>
        <v>-251.07688884536</v>
      </c>
      <c r="J16" s="34" t="n">
        <f aca="false">IF(E16&lt;0,A16,999)</f>
        <v>999</v>
      </c>
      <c r="K16" s="34" t="n">
        <f aca="false">IF(H16&lt;0,A16,999)</f>
        <v>999</v>
      </c>
    </row>
    <row r="17" customFormat="false" ht="15" hidden="false" customHeight="true" outlineLevel="0" collapsed="false">
      <c r="A17" s="3" t="n">
        <v>12</v>
      </c>
      <c r="B17" s="34" t="n">
        <f aca="false">Assumptions!$B$4+A17</f>
        <v>77</v>
      </c>
      <c r="C17" s="12" t="n">
        <f aca="false">SUMIFS(Projection_M!$Q$7:$Q$667,Projection_M!$A$7:$A$667,"&lt;"&amp;12*A17)/INDEX(Discount_Monthly!$G$4:$G$664,MATCH(12*A17,Discount_Monthly!$A$4:$A$664,0))</f>
        <v>127207.736302801</v>
      </c>
      <c r="D17" s="12" t="n">
        <f aca="false">SUMIFS(Projection_M!$P$7:$P$667,Projection_M!$A$7:$A$667,"&gt;="&amp;12*A17)/INDEX(Discount_Monthly!$G$4:$G$664,MATCH(12*A17,Discount_Monthly!$A$4:$A$664,0))</f>
        <v>121893.545144704</v>
      </c>
      <c r="E17" s="12" t="n">
        <f aca="false">C17-D17</f>
        <v>5314.19115809717</v>
      </c>
      <c r="F17" s="12" t="n">
        <f aca="false">SUMIFS(Projection!$N$4:$N$59,Projection!$B$4:$B$59,"&lt;"&amp;(Assumptions!$B$4+A17))/Discount!C16</f>
        <v>133795.798400466</v>
      </c>
      <c r="G17" s="12" t="n">
        <f aca="false">SUMIFS(Projection!$P$4:$P$59,Projection!$B$4:$B$59,"&gt;="&amp;(Assumptions!$B$4+A17))/Discount!C16</f>
        <v>128221.605397744</v>
      </c>
      <c r="H17" s="12" t="n">
        <f aca="false">F17-G17</f>
        <v>5574.19300272237</v>
      </c>
      <c r="I17" s="12" t="n">
        <f aca="false">E17-H17</f>
        <v>-260.001844625207</v>
      </c>
      <c r="J17" s="34" t="n">
        <f aca="false">IF(E17&lt;0,A17,999)</f>
        <v>999</v>
      </c>
      <c r="K17" s="34" t="n">
        <f aca="false">IF(H17&lt;0,A17,999)</f>
        <v>999</v>
      </c>
    </row>
    <row r="18" customFormat="false" ht="15" hidden="false" customHeight="true" outlineLevel="0" collapsed="false">
      <c r="A18" s="3" t="n">
        <v>13</v>
      </c>
      <c r="B18" s="34" t="n">
        <f aca="false">Assumptions!$B$4+A18</f>
        <v>78</v>
      </c>
      <c r="C18" s="12" t="n">
        <f aca="false">SUMIFS(Projection_M!$Q$7:$Q$667,Projection_M!$A$7:$A$667,"&lt;"&amp;12*A18)/INDEX(Discount_Monthly!$G$4:$G$664,MATCH(12*A18,Discount_Monthly!$A$4:$A$664,0))</f>
        <v>140275.757781492</v>
      </c>
      <c r="D18" s="12" t="n">
        <f aca="false">SUMIFS(Projection_M!$P$7:$P$667,Projection_M!$A$7:$A$667,"&gt;="&amp;12*A18)/INDEX(Discount_Monthly!$G$4:$G$664,MATCH(12*A18,Discount_Monthly!$A$4:$A$664,0))</f>
        <v>134774.173631829</v>
      </c>
      <c r="E18" s="12" t="n">
        <f aca="false">C18-D18</f>
        <v>5501.58414966308</v>
      </c>
      <c r="F18" s="12" t="n">
        <f aca="false">SUMIFS(Projection!$N$4:$N$59,Projection!$B$4:$B$59,"&lt;"&amp;(Assumptions!$B$4+A18))/Discount!C17</f>
        <v>147549.394897885</v>
      </c>
      <c r="G18" s="12" t="n">
        <f aca="false">SUMIFS(Projection!$P$4:$P$59,Projection!$B$4:$B$59,"&gt;="&amp;(Assumptions!$B$4+A18))/Discount!C17</f>
        <v>141778.640523682</v>
      </c>
      <c r="H18" s="12" t="n">
        <f aca="false">F18-G18</f>
        <v>5770.75437420304</v>
      </c>
      <c r="I18" s="12" t="n">
        <f aca="false">E18-H18</f>
        <v>-269.170224539965</v>
      </c>
      <c r="J18" s="34" t="n">
        <f aca="false">IF(E18&lt;0,A18,999)</f>
        <v>999</v>
      </c>
      <c r="K18" s="34" t="n">
        <f aca="false">IF(H18&lt;0,A18,999)</f>
        <v>999</v>
      </c>
    </row>
    <row r="19" customFormat="false" ht="15" hidden="false" customHeight="true" outlineLevel="0" collapsed="false">
      <c r="A19" s="3" t="n">
        <v>14</v>
      </c>
      <c r="B19" s="34" t="n">
        <f aca="false">Assumptions!$B$4+A19</f>
        <v>79</v>
      </c>
      <c r="C19" s="12" t="n">
        <f aca="false">SUMIFS(Projection_M!$Q$7:$Q$667,Projection_M!$A$7:$A$667,"&lt;"&amp;12*A19)/INDEX(Discount_Monthly!$G$4:$G$664,MATCH(12*A19,Discount_Monthly!$A$4:$A$664,0))</f>
        <v>153453.007642036</v>
      </c>
      <c r="D19" s="12" t="n">
        <f aca="false">SUMIFS(Projection_M!$P$7:$P$667,Projection_M!$A$7:$A$667,"&gt;="&amp;12*A19)/INDEX(Discount_Monthly!$G$4:$G$664,MATCH(12*A19,Discount_Monthly!$A$4:$A$664,0))</f>
        <v>147761.410009117</v>
      </c>
      <c r="E19" s="12" t="n">
        <f aca="false">C19-D19</f>
        <v>5691.59763291976</v>
      </c>
      <c r="F19" s="12" t="n">
        <f aca="false">SUMIFS(Projection!$N$4:$N$59,Projection!$B$4:$B$59,"&lt;"&amp;(Assumptions!$B$4+A19))/Discount!C18</f>
        <v>161424.21635222</v>
      </c>
      <c r="G19" s="12" t="n">
        <f aca="false">SUMIFS(Projection!$P$4:$P$59,Projection!$B$4:$B$59,"&gt;="&amp;(Assumptions!$B$4+A19))/Discount!C18</f>
        <v>155454.151904803</v>
      </c>
      <c r="H19" s="12" t="n">
        <f aca="false">F19-G19</f>
        <v>5970.06444741681</v>
      </c>
      <c r="I19" s="12" t="n">
        <f aca="false">E19-H19</f>
        <v>-278.466814497049</v>
      </c>
      <c r="J19" s="34" t="n">
        <f aca="false">IF(E19&lt;0,A19,999)</f>
        <v>999</v>
      </c>
      <c r="K19" s="34" t="n">
        <f aca="false">IF(H19&lt;0,A19,999)</f>
        <v>999</v>
      </c>
    </row>
    <row r="20" customFormat="false" ht="15" hidden="false" customHeight="true" outlineLevel="0" collapsed="false">
      <c r="A20" s="3" t="n">
        <v>15</v>
      </c>
      <c r="B20" s="34" t="n">
        <f aca="false">Assumptions!$B$4+A20</f>
        <v>80</v>
      </c>
      <c r="C20" s="12" t="n">
        <f aca="false">SUMIFS(Projection_M!$Q$7:$Q$667,Projection_M!$A$7:$A$667,"&lt;"&amp;12*A20)/INDEX(Discount_Monthly!$G$4:$G$664,MATCH(12*A20,Discount_Monthly!$A$4:$A$664,0))</f>
        <v>167254.036126921</v>
      </c>
      <c r="D20" s="12" t="n">
        <f aca="false">SUMIFS(Projection_M!$P$7:$P$667,Projection_M!$A$7:$A$667,"&gt;="&amp;12*A20)/INDEX(Discount_Monthly!$G$4:$G$664,MATCH(12*A20,Discount_Monthly!$A$4:$A$664,0))</f>
        <v>161350.427845915</v>
      </c>
      <c r="E20" s="12" t="n">
        <f aca="false">C20-D20</f>
        <v>5903.60828100599</v>
      </c>
      <c r="F20" s="12" t="n">
        <f aca="false">SUMIFS(Projection!$N$4:$N$59,Projection!$B$4:$B$59,"&lt;"&amp;(Assumptions!$B$4+A20))/Discount!C19</f>
        <v>175975.362518548</v>
      </c>
      <c r="G20" s="12" t="n">
        <f aca="false">SUMIFS(Projection!$P$4:$P$59,Projection!$B$4:$B$59,"&gt;="&amp;(Assumptions!$B$4+A20))/Discount!C19</f>
        <v>169782.914600927</v>
      </c>
      <c r="H20" s="12" t="n">
        <f aca="false">F20-G20</f>
        <v>6192.44791762077</v>
      </c>
      <c r="I20" s="12" t="n">
        <f aca="false">E20-H20</f>
        <v>-288.839636614779</v>
      </c>
      <c r="J20" s="34" t="n">
        <f aca="false">IF(E20&lt;0,A20,999)</f>
        <v>999</v>
      </c>
      <c r="K20" s="34" t="n">
        <f aca="false">IF(H20&lt;0,A20,999)</f>
        <v>999</v>
      </c>
    </row>
    <row r="21" customFormat="false" ht="15" hidden="false" customHeight="true" outlineLevel="0" collapsed="false">
      <c r="A21" s="3" t="n">
        <v>16</v>
      </c>
      <c r="B21" s="34" t="n">
        <f aca="false">Assumptions!$B$4+A21</f>
        <v>81</v>
      </c>
      <c r="C21" s="12" t="n">
        <f aca="false">SUMIFS(Projection_M!$Q$7:$Q$667,Projection_M!$A$7:$A$667,"&lt;"&amp;12*A21)/INDEX(Discount_Monthly!$G$4:$G$664,MATCH(12*A21,Discount_Monthly!$A$4:$A$664,0))</f>
        <v>158316.398494613</v>
      </c>
      <c r="D21" s="12" t="n">
        <f aca="false">SUMIFS(Projection_M!$P$7:$P$667,Projection_M!$A$7:$A$667,"&gt;="&amp;12*A21)/INDEX(Discount_Monthly!$G$4:$G$664,MATCH(12*A21,Discount_Monthly!$A$4:$A$664,0))</f>
        <v>152199.068170383</v>
      </c>
      <c r="E21" s="12" t="n">
        <f aca="false">C21-D21</f>
        <v>6117.33032422978</v>
      </c>
      <c r="F21" s="12" t="n">
        <f aca="false">SUMIFS(Projection!$N$4:$N$59,Projection!$B$4:$B$59,"&lt;"&amp;(Assumptions!$B$4+A21))/Discount!C20</f>
        <v>166916.841796054</v>
      </c>
      <c r="G21" s="12" t="n">
        <f aca="false">SUMIFS(Projection!$P$4:$P$59,Projection!$B$4:$B$59,"&gt;="&amp;(Assumptions!$B$4+A21))/Discount!C20</f>
        <v>160500.215281461</v>
      </c>
      <c r="H21" s="12" t="n">
        <f aca="false">F21-G21</f>
        <v>6416.62651459317</v>
      </c>
      <c r="I21" s="12" t="n">
        <f aca="false">E21-H21</f>
        <v>-299.296190363384</v>
      </c>
      <c r="J21" s="34" t="n">
        <f aca="false">IF(E21&lt;0,A21,999)</f>
        <v>999</v>
      </c>
      <c r="K21" s="34" t="n">
        <f aca="false">IF(H21&lt;0,A21,999)</f>
        <v>999</v>
      </c>
    </row>
    <row r="22" customFormat="false" ht="15" hidden="false" customHeight="true" outlineLevel="0" collapsed="false">
      <c r="A22" s="3" t="n">
        <v>17</v>
      </c>
      <c r="B22" s="34" t="n">
        <f aca="false">Assumptions!$B$4+A22</f>
        <v>82</v>
      </c>
      <c r="C22" s="12" t="n">
        <f aca="false">SUMIFS(Projection_M!$Q$7:$Q$667,Projection_M!$A$7:$A$667,"&lt;"&amp;12*A22)/INDEX(Discount_Monthly!$G$4:$G$664,MATCH(12*A22,Discount_Monthly!$A$4:$A$664,0))</f>
        <v>148902.999887749</v>
      </c>
      <c r="D22" s="12" t="n">
        <f aca="false">SUMIFS(Projection_M!$P$7:$P$667,Projection_M!$A$7:$A$667,"&gt;="&amp;12*A22)/INDEX(Discount_Monthly!$G$4:$G$664,MATCH(12*A22,Discount_Monthly!$A$4:$A$664,0))</f>
        <v>142575.944148983</v>
      </c>
      <c r="E22" s="12" t="n">
        <f aca="false">C22-D22</f>
        <v>6327.05573876516</v>
      </c>
      <c r="F22" s="12" t="n">
        <f aca="false">SUMIFS(Projection!$N$4:$N$59,Projection!$B$4:$B$59,"&lt;"&amp;(Assumptions!$B$4+A22))/Discount!C21</f>
        <v>157355.345876953</v>
      </c>
      <c r="G22" s="12" t="n">
        <f aca="false">SUMIFS(Projection!$P$4:$P$59,Projection!$B$4:$B$59,"&gt;="&amp;(Assumptions!$B$4+A22))/Discount!C21</f>
        <v>150718.732932927</v>
      </c>
      <c r="H22" s="12" t="n">
        <f aca="false">F22-G22</f>
        <v>6636.61294402659</v>
      </c>
      <c r="I22" s="12" t="n">
        <f aca="false">E22-H22</f>
        <v>-309.55720526143</v>
      </c>
      <c r="J22" s="34" t="n">
        <f aca="false">IF(E22&lt;0,A22,999)</f>
        <v>999</v>
      </c>
      <c r="K22" s="34" t="n">
        <f aca="false">IF(H22&lt;0,A22,999)</f>
        <v>999</v>
      </c>
    </row>
    <row r="23" customFormat="false" ht="15" hidden="false" customHeight="true" outlineLevel="0" collapsed="false">
      <c r="A23" s="3" t="n">
        <v>18</v>
      </c>
      <c r="B23" s="34" t="n">
        <f aca="false">Assumptions!$B$4+A23</f>
        <v>83</v>
      </c>
      <c r="C23" s="12" t="n">
        <f aca="false">SUMIFS(Projection_M!$Q$7:$Q$667,Projection_M!$A$7:$A$667,"&lt;"&amp;12*A23)/INDEX(Discount_Monthly!$G$4:$G$664,MATCH(12*A23,Discount_Monthly!$A$4:$A$664,0))</f>
        <v>139199.173681695</v>
      </c>
      <c r="D23" s="12" t="n">
        <f aca="false">SUMIFS(Projection_M!$P$7:$P$667,Projection_M!$A$7:$A$667,"&gt;="&amp;12*A23)/INDEX(Discount_Monthly!$G$4:$G$664,MATCH(12*A23,Discount_Monthly!$A$4:$A$664,0))</f>
        <v>132662.178628754</v>
      </c>
      <c r="E23" s="12" t="n">
        <f aca="false">C23-D23</f>
        <v>6536.995052941</v>
      </c>
      <c r="F23" s="12" t="n">
        <f aca="false">SUMIFS(Projection!$N$4:$N$59,Projection!$B$4:$B$59,"&lt;"&amp;(Assumptions!$B$4+A23))/Discount!C22</f>
        <v>147475.919175267</v>
      </c>
      <c r="G23" s="12" t="n">
        <f aca="false">SUMIFS(Projection!$P$4:$P$59,Projection!$B$4:$B$59,"&gt;="&amp;(Assumptions!$B$4+A23))/Discount!C22</f>
        <v>140619.095436923</v>
      </c>
      <c r="H23" s="12" t="n">
        <f aca="false">F23-G23</f>
        <v>6856.82373834329</v>
      </c>
      <c r="I23" s="12" t="n">
        <f aca="false">E23-H23</f>
        <v>-319.828685402288</v>
      </c>
      <c r="J23" s="34" t="n">
        <f aca="false">IF(E23&lt;0,A23,999)</f>
        <v>999</v>
      </c>
      <c r="K23" s="34" t="n">
        <f aca="false">IF(H23&lt;0,A23,999)</f>
        <v>999</v>
      </c>
    </row>
    <row r="24" customFormat="false" ht="15" hidden="false" customHeight="true" outlineLevel="0" collapsed="false">
      <c r="A24" s="3" t="n">
        <v>19</v>
      </c>
      <c r="B24" s="34" t="n">
        <f aca="false">Assumptions!$B$4+A24</f>
        <v>84</v>
      </c>
      <c r="C24" s="12" t="n">
        <f aca="false">SUMIFS(Projection_M!$Q$7:$Q$667,Projection_M!$A$7:$A$667,"&lt;"&amp;12*A24)/INDEX(Discount_Monthly!$G$4:$G$664,MATCH(12*A24,Discount_Monthly!$A$4:$A$664,0))</f>
        <v>129290.941040569</v>
      </c>
      <c r="D24" s="12" t="n">
        <f aca="false">SUMIFS(Projection_M!$P$7:$P$667,Projection_M!$A$7:$A$667,"&gt;="&amp;12*A24)/INDEX(Discount_Monthly!$G$4:$G$664,MATCH(12*A24,Discount_Monthly!$A$4:$A$664,0))</f>
        <v>122543.323031683</v>
      </c>
      <c r="E24" s="12" t="n">
        <f aca="false">C24-D24</f>
        <v>6747.61800888658</v>
      </c>
      <c r="F24" s="12" t="n">
        <f aca="false">SUMIFS(Projection!$N$4:$N$59,Projection!$B$4:$B$59,"&lt;"&amp;(Assumptions!$B$4+A24))/Discount!C23</f>
        <v>137363.316866717</v>
      </c>
      <c r="G24" s="12" t="n">
        <f aca="false">SUMIFS(Projection!$P$4:$P$59,Projection!$B$4:$B$59,"&gt;="&amp;(Assumptions!$B$4+A24))/Discount!C23</f>
        <v>130285.565244465</v>
      </c>
      <c r="H24" s="12" t="n">
        <f aca="false">F24-G24</f>
        <v>7077.75162225196</v>
      </c>
      <c r="I24" s="12" t="n">
        <f aca="false">E24-H24</f>
        <v>-330.133613365382</v>
      </c>
      <c r="J24" s="34" t="n">
        <f aca="false">IF(E24&lt;0,A24,999)</f>
        <v>999</v>
      </c>
      <c r="K24" s="34" t="n">
        <f aca="false">IF(H24&lt;0,A24,999)</f>
        <v>999</v>
      </c>
    </row>
    <row r="25" customFormat="false" ht="15" hidden="false" customHeight="true" outlineLevel="0" collapsed="false">
      <c r="A25" s="3" t="n">
        <v>20</v>
      </c>
      <c r="B25" s="34" t="n">
        <f aca="false">Assumptions!$B$4+A25</f>
        <v>85</v>
      </c>
      <c r="C25" s="12" t="n">
        <f aca="false">SUMIFS(Projection_M!$Q$7:$Q$667,Projection_M!$A$7:$A$667,"&lt;"&amp;12*A25)/INDEX(Discount_Monthly!$G$4:$G$664,MATCH(12*A25,Discount_Monthly!$A$4:$A$664,0))</f>
        <v>119326.291761207</v>
      </c>
      <c r="D25" s="12" t="n">
        <f aca="false">SUMIFS(Projection_M!$P$7:$P$667,Projection_M!$A$7:$A$667,"&gt;="&amp;12*A25)/INDEX(Discount_Monthly!$G$4:$G$664,MATCH(12*A25,Discount_Monthly!$A$4:$A$664,0))</f>
        <v>112363.559565922</v>
      </c>
      <c r="E25" s="12" t="n">
        <f aca="false">C25-D25</f>
        <v>6962.73219528508</v>
      </c>
      <c r="F25" s="12" t="n">
        <f aca="false">SUMIFS(Projection!$N$4:$N$59,Projection!$B$4:$B$59,"&lt;"&amp;(Assumptions!$B$4+A25))/Discount!C24</f>
        <v>127165.207527775</v>
      </c>
      <c r="G25" s="12" t="n">
        <f aca="false">SUMIFS(Projection!$P$4:$P$59,Projection!$B$4:$B$59,"&gt;="&amp;(Assumptions!$B$4+A25))/Discount!C24</f>
        <v>119861.817053451</v>
      </c>
      <c r="H25" s="12" t="n">
        <f aca="false">F25-G25</f>
        <v>7303.39047432478</v>
      </c>
      <c r="I25" s="12" t="n">
        <f aca="false">E25-H25</f>
        <v>-340.658279039708</v>
      </c>
      <c r="J25" s="34" t="n">
        <f aca="false">IF(E25&lt;0,A25,999)</f>
        <v>999</v>
      </c>
      <c r="K25" s="34" t="n">
        <f aca="false">IF(H25&lt;0,A25,999)</f>
        <v>999</v>
      </c>
    </row>
    <row r="26" customFormat="false" ht="15" hidden="false" customHeight="true" outlineLevel="0" collapsed="false">
      <c r="A26" s="3" t="n">
        <v>21</v>
      </c>
      <c r="B26" s="34" t="n">
        <f aca="false">Assumptions!$B$4+A26</f>
        <v>86</v>
      </c>
      <c r="C26" s="12" t="n">
        <f aca="false">SUMIFS(Projection_M!$Q$7:$Q$667,Projection_M!$A$7:$A$667,"&lt;"&amp;12*A26)/INDEX(Discount_Monthly!$G$4:$G$664,MATCH(12*A26,Discount_Monthly!$A$4:$A$664,0))</f>
        <v>109424.628109618</v>
      </c>
      <c r="D26" s="12" t="n">
        <f aca="false">SUMIFS(Projection_M!$P$7:$P$667,Projection_M!$A$7:$A$667,"&gt;="&amp;12*A26)/INDEX(Discount_Monthly!$G$4:$G$664,MATCH(12*A26,Discount_Monthly!$A$4:$A$664,0))</f>
        <v>102239.784615569</v>
      </c>
      <c r="E26" s="12" t="n">
        <f aca="false">C26-D26</f>
        <v>7184.84349404945</v>
      </c>
      <c r="F26" s="12" t="n">
        <f aca="false">SUMIFS(Projection!$N$4:$N$59,Projection!$B$4:$B$59,"&lt;"&amp;(Assumptions!$B$4+A26))/Discount!C25</f>
        <v>116990.284377484</v>
      </c>
      <c r="G26" s="12" t="n">
        <f aca="false">SUMIFS(Projection!$P$4:$P$59,Projection!$B$4:$B$59,"&gt;="&amp;(Assumptions!$B$4+A26))/Discount!C25</f>
        <v>109453.915598359</v>
      </c>
      <c r="H26" s="12" t="n">
        <f aca="false">F26-G26</f>
        <v>7536.36877912506</v>
      </c>
      <c r="I26" s="12" t="n">
        <f aca="false">E26-H26</f>
        <v>-351.525285075608</v>
      </c>
      <c r="J26" s="34" t="n">
        <f aca="false">IF(E26&lt;0,A26,999)</f>
        <v>999</v>
      </c>
      <c r="K26" s="34" t="n">
        <f aca="false">IF(H26&lt;0,A26,999)</f>
        <v>999</v>
      </c>
    </row>
    <row r="27" customFormat="false" ht="15" hidden="false" customHeight="true" outlineLevel="0" collapsed="false">
      <c r="A27" s="3" t="n">
        <v>22</v>
      </c>
      <c r="B27" s="34" t="n">
        <f aca="false">Assumptions!$B$4+A27</f>
        <v>87</v>
      </c>
      <c r="C27" s="12" t="n">
        <f aca="false">SUMIFS(Projection_M!$Q$7:$Q$667,Projection_M!$A$7:$A$667,"&lt;"&amp;12*A27)/INDEX(Discount_Monthly!$G$4:$G$664,MATCH(12*A27,Discount_Monthly!$A$4:$A$664,0))</f>
        <v>99671.3698743141</v>
      </c>
      <c r="D27" s="12" t="n">
        <f aca="false">SUMIFS(Projection_M!$P$7:$P$667,Projection_M!$A$7:$A$667,"&gt;="&amp;12*A27)/INDEX(Discount_Monthly!$G$4:$G$664,MATCH(12*A27,Discount_Monthly!$A$4:$A$664,0))</f>
        <v>92257.1860150539</v>
      </c>
      <c r="E27" s="12" t="n">
        <f aca="false">C27-D27</f>
        <v>7414.18385926017</v>
      </c>
      <c r="F27" s="12" t="n">
        <f aca="false">SUMIFS(Projection!$N$4:$N$59,Projection!$B$4:$B$59,"&lt;"&amp;(Assumptions!$B$4+A27))/Discount!C26</f>
        <v>106928.951733912</v>
      </c>
      <c r="G27" s="12" t="n">
        <f aca="false">SUMIFS(Projection!$P$4:$P$59,Projection!$B$4:$B$59,"&gt;="&amp;(Assumptions!$B$4+A27))/Discount!C26</f>
        <v>99152.0218946052</v>
      </c>
      <c r="H27" s="12" t="n">
        <f aca="false">F27-G27</f>
        <v>7776.92983930663</v>
      </c>
      <c r="I27" s="12" t="n">
        <f aca="false">E27-H27</f>
        <v>-362.745980046457</v>
      </c>
      <c r="J27" s="34" t="n">
        <f aca="false">IF(E27&lt;0,A27,999)</f>
        <v>999</v>
      </c>
      <c r="K27" s="34" t="n">
        <f aca="false">IF(H27&lt;0,A27,999)</f>
        <v>999</v>
      </c>
    </row>
    <row r="28" customFormat="false" ht="15" hidden="false" customHeight="true" outlineLevel="0" collapsed="false">
      <c r="A28" s="3" t="n">
        <v>23</v>
      </c>
      <c r="B28" s="34" t="n">
        <f aca="false">Assumptions!$B$4+A28</f>
        <v>88</v>
      </c>
      <c r="C28" s="12" t="n">
        <f aca="false">SUMIFS(Projection_M!$Q$7:$Q$667,Projection_M!$A$7:$A$667,"&lt;"&amp;12*A28)/INDEX(Discount_Monthly!$G$4:$G$664,MATCH(12*A28,Discount_Monthly!$A$4:$A$664,0))</f>
        <v>90150.7519930078</v>
      </c>
      <c r="D28" s="12" t="n">
        <f aca="false">SUMIFS(Projection_M!$P$7:$P$667,Projection_M!$A$7:$A$667,"&gt;="&amp;12*A28)/INDEX(Discount_Monthly!$G$4:$G$664,MATCH(12*A28,Discount_Monthly!$A$4:$A$664,0))</f>
        <v>82499.7589194569</v>
      </c>
      <c r="E28" s="12" t="n">
        <f aca="false">C28-D28</f>
        <v>7650.99307355084</v>
      </c>
      <c r="F28" s="12" t="n">
        <f aca="false">SUMIFS(Projection!$N$4:$N$59,Projection!$B$4:$B$59,"&lt;"&amp;(Assumptions!$B$4+A28))/Discount!C27</f>
        <v>97064.9304678306</v>
      </c>
      <c r="G28" s="12" t="n">
        <f aca="false">SUMIFS(Projection!$P$4:$P$59,Projection!$B$4:$B$59,"&gt;="&amp;(Assumptions!$B$4+A28))/Discount!C27</f>
        <v>89039.6052987347</v>
      </c>
      <c r="H28" s="12" t="n">
        <f aca="false">F28-G28</f>
        <v>8025.32516909599</v>
      </c>
      <c r="I28" s="12" t="n">
        <f aca="false">E28-H28</f>
        <v>-374.332095545149</v>
      </c>
      <c r="J28" s="34" t="n">
        <f aca="false">IF(E28&lt;0,A28,999)</f>
        <v>999</v>
      </c>
      <c r="K28" s="34" t="n">
        <f aca="false">IF(H28&lt;0,A28,999)</f>
        <v>999</v>
      </c>
    </row>
    <row r="29" customFormat="false" ht="15" hidden="false" customHeight="true" outlineLevel="0" collapsed="false">
      <c r="A29" s="3" t="n">
        <v>24</v>
      </c>
      <c r="B29" s="34" t="n">
        <f aca="false">Assumptions!$B$4+A29</f>
        <v>89</v>
      </c>
      <c r="C29" s="12" t="n">
        <f aca="false">SUMIFS(Projection_M!$Q$7:$Q$667,Projection_M!$A$7:$A$667,"&lt;"&amp;12*A29)/INDEX(Discount_Monthly!$G$4:$G$664,MATCH(12*A29,Discount_Monthly!$A$4:$A$664,0))</f>
        <v>80971.2773179664</v>
      </c>
      <c r="D29" s="12" t="n">
        <f aca="false">SUMIFS(Projection_M!$P$7:$P$667,Projection_M!$A$7:$A$667,"&gt;="&amp;12*A29)/INDEX(Discount_Monthly!$G$4:$G$664,MATCH(12*A29,Discount_Monthly!$A$4:$A$664,0))</f>
        <v>73073.9214486304</v>
      </c>
      <c r="E29" s="12" t="n">
        <f aca="false">C29-D29</f>
        <v>7897.35586933605</v>
      </c>
      <c r="F29" s="12" t="n">
        <f aca="false">SUMIFS(Projection!$N$4:$N$59,Projection!$B$4:$B$59,"&lt;"&amp;(Assumptions!$B$4+A29))/Discount!C28</f>
        <v>87507.4856659584</v>
      </c>
      <c r="G29" s="12" t="n">
        <f aca="false">SUMIFS(Projection!$P$4:$P$59,Projection!$B$4:$B$59,"&gt;="&amp;(Assumptions!$B$4+A29))/Discount!C28</f>
        <v>79223.7441675393</v>
      </c>
      <c r="H29" s="12" t="n">
        <f aca="false">F29-G29</f>
        <v>8283.74149841917</v>
      </c>
      <c r="I29" s="12" t="n">
        <f aca="false">E29-H29</f>
        <v>-386.385629083117</v>
      </c>
      <c r="J29" s="34" t="n">
        <f aca="false">IF(E29&lt;0,A29,999)</f>
        <v>999</v>
      </c>
      <c r="K29" s="34" t="n">
        <f aca="false">IF(H29&lt;0,A29,999)</f>
        <v>999</v>
      </c>
    </row>
    <row r="30" customFormat="false" ht="15" hidden="false" customHeight="true" outlineLevel="0" collapsed="false">
      <c r="A30" s="3" t="n">
        <v>25</v>
      </c>
      <c r="B30" s="34" t="n">
        <f aca="false">Assumptions!$B$4+A30</f>
        <v>90</v>
      </c>
      <c r="C30" s="12" t="n">
        <f aca="false">SUMIFS(Projection_M!$Q$7:$Q$667,Projection_M!$A$7:$A$667,"&lt;"&amp;12*A30)/INDEX(Discount_Monthly!$G$4:$G$664,MATCH(12*A30,Discount_Monthly!$A$4:$A$664,0))</f>
        <v>72184.3754796224</v>
      </c>
      <c r="D30" s="12" t="n">
        <f aca="false">SUMIFS(Projection_M!$P$7:$P$667,Projection_M!$A$7:$A$667,"&gt;="&amp;12*A30)/INDEX(Discount_Monthly!$G$4:$G$664,MATCH(12*A30,Discount_Monthly!$A$4:$A$664,0))</f>
        <v>64034.3829663771</v>
      </c>
      <c r="E30" s="12" t="n">
        <f aca="false">C30-D30</f>
        <v>8149.9925132453</v>
      </c>
      <c r="F30" s="12" t="n">
        <f aca="false">SUMIFS(Projection!$N$4:$N$59,Projection!$B$4:$B$59,"&lt;"&amp;(Assumptions!$B$4+A30))/Discount!C29</f>
        <v>78309.3433809199</v>
      </c>
      <c r="G30" s="12" t="n">
        <f aca="false">SUMIFS(Projection!$P$4:$P$59,Projection!$B$4:$B$59,"&gt;="&amp;(Assumptions!$B$4+A30))/Discount!C29</f>
        <v>69760.6047510813</v>
      </c>
      <c r="H30" s="12" t="n">
        <f aca="false">F30-G30</f>
        <v>8548.73862983858</v>
      </c>
      <c r="I30" s="12" t="n">
        <f aca="false">E30-H30</f>
        <v>-398.746116593284</v>
      </c>
      <c r="J30" s="34" t="n">
        <f aca="false">IF(E30&lt;0,A30,999)</f>
        <v>999</v>
      </c>
      <c r="K30" s="34" t="n">
        <f aca="false">IF(H30&lt;0,A30,999)</f>
        <v>999</v>
      </c>
    </row>
    <row r="31" customFormat="false" ht="15" hidden="false" customHeight="true" outlineLevel="0" collapsed="false">
      <c r="A31" s="3" t="n">
        <v>26</v>
      </c>
      <c r="B31" s="34" t="n">
        <f aca="false">Assumptions!$B$4+A31</f>
        <v>91</v>
      </c>
      <c r="C31" s="12" t="n">
        <f aca="false">SUMIFS(Projection_M!$Q$7:$Q$667,Projection_M!$A$7:$A$667,"&lt;"&amp;12*A31)/INDEX(Discount_Monthly!$G$4:$G$664,MATCH(12*A31,Discount_Monthly!$A$4:$A$664,0))</f>
        <v>63930.5243885435</v>
      </c>
      <c r="D31" s="12" t="n">
        <f aca="false">SUMIFS(Projection_M!$P$7:$P$667,Projection_M!$A$7:$A$667,"&gt;="&amp;12*A31)/INDEX(Discount_Monthly!$G$4:$G$664,MATCH(12*A31,Discount_Monthly!$A$4:$A$664,0))</f>
        <v>55517.5305898414</v>
      </c>
      <c r="E31" s="12" t="n">
        <f aca="false">C31-D31</f>
        <v>8412.99379870213</v>
      </c>
      <c r="F31" s="12" t="n">
        <f aca="false">SUMIFS(Projection!$N$4:$N$59,Projection!$B$4:$B$59,"&lt;"&amp;(Assumptions!$B$4+A31))/Discount!C30</f>
        <v>69599.2985604393</v>
      </c>
      <c r="G31" s="12" t="n">
        <f aca="false">SUMIFS(Projection!$P$4:$P$59,Projection!$B$4:$B$59,"&gt;="&amp;(Assumptions!$B$4+A31))/Discount!C30</f>
        <v>60774.6910577118</v>
      </c>
      <c r="H31" s="12" t="n">
        <f aca="false">F31-G31</f>
        <v>8824.60750272747</v>
      </c>
      <c r="I31" s="12" t="n">
        <f aca="false">E31-H31</f>
        <v>-411.613704025345</v>
      </c>
      <c r="J31" s="34" t="n">
        <f aca="false">IF(E31&lt;0,A31,999)</f>
        <v>999</v>
      </c>
      <c r="K31" s="34" t="n">
        <f aca="false">IF(H31&lt;0,A31,999)</f>
        <v>999</v>
      </c>
    </row>
    <row r="32" customFormat="false" ht="15" hidden="false" customHeight="true" outlineLevel="0" collapsed="false">
      <c r="A32" s="3" t="n">
        <v>27</v>
      </c>
      <c r="B32" s="34" t="n">
        <f aca="false">Assumptions!$B$4+A32</f>
        <v>92</v>
      </c>
      <c r="C32" s="12" t="n">
        <f aca="false">SUMIFS(Projection_M!$Q$7:$Q$667,Projection_M!$A$7:$A$667,"&lt;"&amp;12*A32)/INDEX(Discount_Monthly!$G$4:$G$664,MATCH(12*A32,Discount_Monthly!$A$4:$A$664,0))</f>
        <v>56277.042623521</v>
      </c>
      <c r="D32" s="12" t="n">
        <f aca="false">SUMIFS(Projection_M!$P$7:$P$667,Projection_M!$A$7:$A$667,"&gt;="&amp;12*A32)/INDEX(Discount_Monthly!$G$4:$G$664,MATCH(12*A32,Discount_Monthly!$A$4:$A$664,0))</f>
        <v>47594.496217282</v>
      </c>
      <c r="E32" s="12" t="n">
        <f aca="false">C32-D32</f>
        <v>8682.54640623902</v>
      </c>
      <c r="F32" s="12" t="n">
        <f aca="false">SUMIFS(Projection!$N$4:$N$59,Projection!$B$4:$B$59,"&lt;"&amp;(Assumptions!$B$4+A32))/Discount!C31</f>
        <v>61466.5764602692</v>
      </c>
      <c r="G32" s="12" t="n">
        <f aca="false">SUMIFS(Projection!$P$4:$P$59,Projection!$B$4:$B$59,"&gt;="&amp;(Assumptions!$B$4+A32))/Discount!C31</f>
        <v>52359.2282329239</v>
      </c>
      <c r="H32" s="12" t="n">
        <f aca="false">F32-G32</f>
        <v>9107.34822734524</v>
      </c>
      <c r="I32" s="12" t="n">
        <f aca="false">E32-H32</f>
        <v>-424.801821106215</v>
      </c>
      <c r="J32" s="34" t="n">
        <f aca="false">IF(E32&lt;0,A32,999)</f>
        <v>999</v>
      </c>
      <c r="K32" s="34" t="n">
        <f aca="false">IF(H32&lt;0,A32,999)</f>
        <v>999</v>
      </c>
    </row>
    <row r="33" customFormat="false" ht="15" hidden="false" customHeight="true" outlineLevel="0" collapsed="false">
      <c r="A33" s="3" t="n">
        <v>28</v>
      </c>
      <c r="B33" s="34" t="n">
        <f aca="false">Assumptions!$B$4+A33</f>
        <v>93</v>
      </c>
      <c r="C33" s="12" t="n">
        <f aca="false">SUMIFS(Projection_M!$Q$7:$Q$667,Projection_M!$A$7:$A$667,"&lt;"&amp;12*A33)/INDEX(Discount_Monthly!$G$4:$G$664,MATCH(12*A33,Discount_Monthly!$A$4:$A$664,0))</f>
        <v>49321.9067056102</v>
      </c>
      <c r="D33" s="12" t="n">
        <f aca="false">SUMIFS(Projection_M!$P$7:$P$667,Projection_M!$A$7:$A$667,"&gt;="&amp;12*A33)/INDEX(Discount_Monthly!$G$4:$G$664,MATCH(12*A33,Discount_Monthly!$A$4:$A$664,0))</f>
        <v>40358.5654760144</v>
      </c>
      <c r="E33" s="12" t="n">
        <f aca="false">C33-D33</f>
        <v>8963.34122959584</v>
      </c>
      <c r="F33" s="12" t="n">
        <f aca="false">SUMIFS(Projection!$N$4:$N$59,Projection!$B$4:$B$59,"&lt;"&amp;(Assumptions!$B$4+A33))/Discount!C32</f>
        <v>54021.7666043738</v>
      </c>
      <c r="G33" s="12" t="n">
        <f aca="false">SUMIFS(Projection!$P$4:$P$59,Projection!$B$4:$B$59,"&gt;="&amp;(Assumptions!$B$4+A33))/Discount!C32</f>
        <v>44619.885400515</v>
      </c>
      <c r="H33" s="12" t="n">
        <f aca="false">F33-G33</f>
        <v>9401.88120385879</v>
      </c>
      <c r="I33" s="12" t="n">
        <f aca="false">E33-H33</f>
        <v>-438.539974262945</v>
      </c>
      <c r="J33" s="34" t="n">
        <f aca="false">IF(E33&lt;0,A33,999)</f>
        <v>999</v>
      </c>
      <c r="K33" s="34" t="n">
        <f aca="false">IF(H33&lt;0,A33,999)</f>
        <v>999</v>
      </c>
    </row>
    <row r="34" customFormat="false" ht="15" hidden="false" customHeight="true" outlineLevel="0" collapsed="false">
      <c r="A34" s="3" t="n">
        <v>29</v>
      </c>
      <c r="B34" s="34" t="n">
        <f aca="false">Assumptions!$B$4+A34</f>
        <v>94</v>
      </c>
      <c r="C34" s="12" t="n">
        <f aca="false">SUMIFS(Projection_M!$Q$7:$Q$667,Projection_M!$A$7:$A$667,"&lt;"&amp;12*A34)/INDEX(Discount_Monthly!$G$4:$G$664,MATCH(12*A34,Discount_Monthly!$A$4:$A$664,0))</f>
        <v>43091.0805294699</v>
      </c>
      <c r="D34" s="12" t="n">
        <f aca="false">SUMIFS(Projection_M!$P$7:$P$667,Projection_M!$A$7:$A$667,"&gt;="&amp;12*A34)/INDEX(Discount_Monthly!$G$4:$G$664,MATCH(12*A34,Discount_Monthly!$A$4:$A$664,0))</f>
        <v>33837.5048998299</v>
      </c>
      <c r="E34" s="12" t="n">
        <f aca="false">C34-D34</f>
        <v>9253.57562963997</v>
      </c>
      <c r="F34" s="12" t="n">
        <f aca="false">SUMIFS(Projection!$N$4:$N$59,Projection!$B$4:$B$59,"&lt;"&amp;(Assumptions!$B$4+A34))/Discount!C33</f>
        <v>47306.1590243693</v>
      </c>
      <c r="G34" s="12" t="n">
        <f aca="false">SUMIFS(Projection!$P$4:$P$59,Projection!$B$4:$B$59,"&gt;="&amp;(Assumptions!$B$4+A34))/Discount!C33</f>
        <v>37599.8434270638</v>
      </c>
      <c r="H34" s="12" t="n">
        <f aca="false">F34-G34</f>
        <v>9706.31559730552</v>
      </c>
      <c r="I34" s="12" t="n">
        <f aca="false">E34-H34</f>
        <v>-452.739967665548</v>
      </c>
      <c r="J34" s="34" t="n">
        <f aca="false">IF(E34&lt;0,A34,999)</f>
        <v>999</v>
      </c>
      <c r="K34" s="34" t="n">
        <f aca="false">IF(H34&lt;0,A34,999)</f>
        <v>999</v>
      </c>
    </row>
    <row r="35" customFormat="false" ht="15" hidden="false" customHeight="true" outlineLevel="0" collapsed="false">
      <c r="A35" s="3" t="n">
        <v>30</v>
      </c>
      <c r="B35" s="34" t="n">
        <f aca="false">Assumptions!$B$4+A35</f>
        <v>95</v>
      </c>
      <c r="C35" s="12" t="n">
        <f aca="false">SUMIFS(Projection_M!$Q$7:$Q$667,Projection_M!$A$7:$A$667,"&lt;"&amp;12*A35)/INDEX(Discount_Monthly!$G$4:$G$664,MATCH(12*A35,Discount_Monthly!$A$4:$A$664,0))</f>
        <v>37596.0039406143</v>
      </c>
      <c r="D35" s="12" t="n">
        <f aca="false">SUMIFS(Projection_M!$P$7:$P$667,Projection_M!$A$7:$A$667,"&gt;="&amp;12*A35)/INDEX(Discount_Monthly!$G$4:$G$664,MATCH(12*A35,Discount_Monthly!$A$4:$A$664,0))</f>
        <v>28042.425828311</v>
      </c>
      <c r="E35" s="12" t="n">
        <f aca="false">C35-D35</f>
        <v>9553.57811230334</v>
      </c>
      <c r="F35" s="12" t="n">
        <f aca="false">SUMIFS(Projection!$N$4:$N$59,Projection!$B$4:$B$59,"&lt;"&amp;(Assumptions!$B$4+A35))/Discount!C34</f>
        <v>41344.6443645608</v>
      </c>
      <c r="G35" s="12" t="n">
        <f aca="false">SUMIFS(Projection!$P$4:$P$59,Projection!$B$4:$B$59,"&gt;="&amp;(Assumptions!$B$4+A35))/Discount!C34</f>
        <v>31323.648378479</v>
      </c>
      <c r="H35" s="12" t="n">
        <f aca="false">F35-G35</f>
        <v>10020.9959860818</v>
      </c>
      <c r="I35" s="12" t="n">
        <f aca="false">E35-H35</f>
        <v>-467.417873778461</v>
      </c>
      <c r="J35" s="34" t="n">
        <f aca="false">IF(E35&lt;0,A35,999)</f>
        <v>999</v>
      </c>
      <c r="K35" s="34" t="n">
        <f aca="false">IF(H35&lt;0,A35,999)</f>
        <v>999</v>
      </c>
    </row>
    <row r="36" customFormat="false" ht="15" hidden="false" customHeight="true" outlineLevel="0" collapsed="false">
      <c r="A36" s="3" t="n">
        <v>31</v>
      </c>
      <c r="B36" s="34" t="n">
        <f aca="false">Assumptions!$B$4+A36</f>
        <v>96</v>
      </c>
      <c r="C36" s="12" t="n">
        <f aca="false">SUMIFS(Projection_M!$Q$7:$Q$667,Projection_M!$A$7:$A$667,"&lt;"&amp;12*A36)/INDEX(Discount_Monthly!$G$4:$G$664,MATCH(12*A36,Discount_Monthly!$A$4:$A$664,0))</f>
        <v>32827.3895875081</v>
      </c>
      <c r="D36" s="12" t="n">
        <f aca="false">SUMIFS(Projection_M!$P$7:$P$667,Projection_M!$A$7:$A$667,"&gt;="&amp;12*A36)/INDEX(Discount_Monthly!$G$4:$G$664,MATCH(12*A36,Discount_Monthly!$A$4:$A$664,0))</f>
        <v>22966.6635083207</v>
      </c>
      <c r="E36" s="12" t="n">
        <f aca="false">C36-D36</f>
        <v>9860.72607918739</v>
      </c>
      <c r="F36" s="12" t="n">
        <f aca="false">SUMIFS(Projection!$N$4:$N$59,Projection!$B$4:$B$59,"&lt;"&amp;(Assumptions!$B$4+A36))/Discount!C35</f>
        <v>36123.0876151242</v>
      </c>
      <c r="G36" s="12" t="n">
        <f aca="false">SUMIFS(Projection!$P$4:$P$59,Projection!$B$4:$B$59,"&gt;="&amp;(Assumptions!$B$4+A36))/Discount!C35</f>
        <v>25779.9161564501</v>
      </c>
      <c r="H36" s="12" t="n">
        <f aca="false">F36-G36</f>
        <v>10343.171458674</v>
      </c>
      <c r="I36" s="12" t="n">
        <f aca="false">E36-H36</f>
        <v>-482.445379486657</v>
      </c>
      <c r="J36" s="34" t="n">
        <f aca="false">IF(E36&lt;0,A36,999)</f>
        <v>999</v>
      </c>
      <c r="K36" s="34" t="n">
        <f aca="false">IF(H36&lt;0,A36,999)</f>
        <v>999</v>
      </c>
    </row>
    <row r="37" customFormat="false" ht="15" hidden="false" customHeight="true" outlineLevel="0" collapsed="false">
      <c r="A37" s="3" t="n">
        <v>32</v>
      </c>
      <c r="B37" s="34" t="n">
        <f aca="false">Assumptions!$B$4+A37</f>
        <v>97</v>
      </c>
      <c r="C37" s="12" t="n">
        <f aca="false">SUMIFS(Projection_M!$Q$7:$Q$667,Projection_M!$A$7:$A$667,"&lt;"&amp;12*A37)/INDEX(Discount_Monthly!$G$4:$G$664,MATCH(12*A37,Discount_Monthly!$A$4:$A$664,0))</f>
        <v>28786.7732045927</v>
      </c>
      <c r="D37" s="12" t="n">
        <f aca="false">SUMIFS(Projection_M!$P$7:$P$667,Projection_M!$A$7:$A$667,"&gt;="&amp;12*A37)/INDEX(Discount_Monthly!$G$4:$G$664,MATCH(12*A37,Discount_Monthly!$A$4:$A$664,0))</f>
        <v>18605.6702387438</v>
      </c>
      <c r="E37" s="12" t="n">
        <f aca="false">C37-D37</f>
        <v>10181.1029658488</v>
      </c>
      <c r="F37" s="12" t="n">
        <f aca="false">SUMIFS(Projection!$N$4:$N$59,Projection!$B$4:$B$59,"&lt;"&amp;(Assumptions!$B$4+A37))/Discount!C36</f>
        <v>31668.6543202215</v>
      </c>
      <c r="G37" s="12" t="n">
        <f aca="false">SUMIFS(Projection!$P$4:$P$59,Projection!$B$4:$B$59,"&gt;="&amp;(Assumptions!$B$4+A37))/Discount!C36</f>
        <v>20989.4312317258</v>
      </c>
      <c r="H37" s="12" t="n">
        <f aca="false">F37-G37</f>
        <v>10679.2230884957</v>
      </c>
      <c r="I37" s="12" t="n">
        <f aca="false">E37-H37</f>
        <v>-498.120122646837</v>
      </c>
      <c r="J37" s="34" t="n">
        <f aca="false">IF(E37&lt;0,A37,999)</f>
        <v>999</v>
      </c>
      <c r="K37" s="34" t="n">
        <f aca="false">IF(H37&lt;0,A37,999)</f>
        <v>999</v>
      </c>
    </row>
    <row r="38" customFormat="false" ht="15" hidden="false" customHeight="true" outlineLevel="0" collapsed="false">
      <c r="A38" s="3" t="n">
        <v>33</v>
      </c>
      <c r="B38" s="34" t="n">
        <f aca="false">Assumptions!$B$4+A38</f>
        <v>98</v>
      </c>
      <c r="C38" s="12" t="n">
        <f aca="false">SUMIFS(Projection_M!$Q$7:$Q$667,Projection_M!$A$7:$A$667,"&lt;"&amp;12*A38)/INDEX(Discount_Monthly!$G$4:$G$664,MATCH(12*A38,Discount_Monthly!$A$4:$A$664,0))</f>
        <v>25412.5573859622</v>
      </c>
      <c r="D38" s="12" t="n">
        <f aca="false">SUMIFS(Projection_M!$P$7:$P$667,Projection_M!$A$7:$A$667,"&gt;="&amp;12*A38)/INDEX(Discount_Monthly!$G$4:$G$664,MATCH(12*A38,Discount_Monthly!$A$4:$A$664,0))</f>
        <v>14900.2610563799</v>
      </c>
      <c r="E38" s="12" t="n">
        <f aca="false">C38-D38</f>
        <v>10512.2963295823</v>
      </c>
      <c r="F38" s="12" t="n">
        <f aca="false">SUMIFS(Projection!$N$4:$N$59,Projection!$B$4:$B$59,"&lt;"&amp;(Assumptions!$B$4+A38))/Discount!C37</f>
        <v>27923.338664704</v>
      </c>
      <c r="G38" s="12" t="n">
        <f aca="false">SUMIFS(Projection!$P$4:$P$59,Projection!$B$4:$B$59,"&gt;="&amp;(Assumptions!$B$4+A38))/Discount!C37</f>
        <v>16896.718262911</v>
      </c>
      <c r="H38" s="12" t="n">
        <f aca="false">F38-G38</f>
        <v>11026.620401793</v>
      </c>
      <c r="I38" s="12" t="n">
        <f aca="false">E38-H38</f>
        <v>-514.32407221066</v>
      </c>
      <c r="J38" s="34" t="n">
        <f aca="false">IF(E38&lt;0,A38,999)</f>
        <v>999</v>
      </c>
      <c r="K38" s="34" t="n">
        <f aca="false">IF(H38&lt;0,A38,999)</f>
        <v>999</v>
      </c>
    </row>
    <row r="39" customFormat="false" ht="15" hidden="false" customHeight="true" outlineLevel="0" collapsed="false">
      <c r="A39" s="3" t="n">
        <v>34</v>
      </c>
      <c r="B39" s="34" t="n">
        <f aca="false">Assumptions!$B$4+A39</f>
        <v>99</v>
      </c>
      <c r="C39" s="12" t="n">
        <f aca="false">SUMIFS(Projection_M!$Q$7:$Q$667,Projection_M!$A$7:$A$667,"&lt;"&amp;12*A39)/INDEX(Discount_Monthly!$G$4:$G$664,MATCH(12*A39,Discount_Monthly!$A$4:$A$664,0))</f>
        <v>22645.3623346147</v>
      </c>
      <c r="D39" s="12" t="n">
        <f aca="false">SUMIFS(Projection_M!$P$7:$P$667,Projection_M!$A$7:$A$667,"&gt;="&amp;12*A39)/INDEX(Discount_Monthly!$G$4:$G$664,MATCH(12*A39,Discount_Monthly!$A$4:$A$664,0))</f>
        <v>11790.6782270482</v>
      </c>
      <c r="E39" s="12" t="n">
        <f aca="false">C39-D39</f>
        <v>10854.6841075665</v>
      </c>
      <c r="F39" s="12" t="n">
        <f aca="false">SUMIFS(Projection!$N$4:$N$59,Projection!$B$4:$B$59,"&lt;"&amp;(Assumptions!$B$4+A39))/Discount!C38</f>
        <v>24828.9955413215</v>
      </c>
      <c r="G39" s="12" t="n">
        <f aca="false">SUMIFS(Projection!$P$4:$P$59,Projection!$B$4:$B$59,"&gt;="&amp;(Assumptions!$B$4+A39))/Discount!C38</f>
        <v>13443.2357146417</v>
      </c>
      <c r="H39" s="12" t="n">
        <f aca="false">F39-G39</f>
        <v>11385.7598266797</v>
      </c>
      <c r="I39" s="12" t="n">
        <f aca="false">E39-H39</f>
        <v>-531.0757191132</v>
      </c>
      <c r="J39" s="34" t="n">
        <f aca="false">IF(E39&lt;0,A39,999)</f>
        <v>999</v>
      </c>
      <c r="K39" s="34" t="n">
        <f aca="false">IF(H39&lt;0,A39,999)</f>
        <v>999</v>
      </c>
    </row>
    <row r="40" customFormat="false" ht="15" hidden="false" customHeight="true" outlineLevel="0" collapsed="false">
      <c r="A40" s="3" t="n">
        <v>35</v>
      </c>
      <c r="B40" s="34" t="n">
        <f aca="false">Assumptions!$B$4+A40</f>
        <v>100</v>
      </c>
      <c r="C40" s="12" t="n">
        <f aca="false">SUMIFS(Projection_M!$Q$7:$Q$667,Projection_M!$A$7:$A$667,"&lt;"&amp;12*A40)/INDEX(Discount_Monthly!$G$4:$G$664,MATCH(12*A40,Discount_Monthly!$A$4:$A$664,0))</f>
        <v>20422.4125168354</v>
      </c>
      <c r="D40" s="12" t="n">
        <f aca="false">SUMIFS(Projection_M!$P$7:$P$667,Projection_M!$A$7:$A$667,"&gt;="&amp;12*A40)/INDEX(Discount_Monthly!$G$4:$G$664,MATCH(12*A40,Discount_Monthly!$A$4:$A$664,0))</f>
        <v>9213.75465646011</v>
      </c>
      <c r="E40" s="12" t="n">
        <f aca="false">C40-D40</f>
        <v>11208.6578603753</v>
      </c>
      <c r="F40" s="12" t="n">
        <f aca="false">SUMIFS(Projection!$N$4:$N$59,Projection!$B$4:$B$59,"&lt;"&amp;(Assumptions!$B$4+A40))/Discount!C39</f>
        <v>22322.1974861492</v>
      </c>
      <c r="G40" s="12" t="n">
        <f aca="false">SUMIFS(Projection!$P$4:$P$59,Projection!$B$4:$B$59,"&gt;="&amp;(Assumptions!$B$4+A40))/Discount!C39</f>
        <v>10565.1454049468</v>
      </c>
      <c r="H40" s="12" t="n">
        <f aca="false">F40-G40</f>
        <v>11757.0520812024</v>
      </c>
      <c r="I40" s="12" t="n">
        <f aca="false">E40-H40</f>
        <v>-548.39422082704</v>
      </c>
      <c r="J40" s="34" t="n">
        <f aca="false">IF(E40&lt;0,A40,999)</f>
        <v>999</v>
      </c>
      <c r="K40" s="34" t="n">
        <f aca="false">IF(H40&lt;0,A40,999)</f>
        <v>999</v>
      </c>
    </row>
    <row r="41" customFormat="false" ht="15" hidden="false" customHeight="true" outlineLevel="0" collapsed="false">
      <c r="A41" s="3" t="n">
        <v>36</v>
      </c>
      <c r="B41" s="34" t="n">
        <f aca="false">Assumptions!$B$4+A41</f>
        <v>101</v>
      </c>
      <c r="C41" s="12" t="n">
        <f aca="false">SUMIFS(Projection_M!$Q$7:$Q$667,Projection_M!$A$7:$A$667,"&lt;"&amp;12*A41)/INDEX(Discount_Monthly!$G$4:$G$664,MATCH(12*A41,Discount_Monthly!$A$4:$A$664,0))</f>
        <v>18673.9069568149</v>
      </c>
      <c r="D41" s="12" t="n">
        <f aca="false">SUMIFS(Projection_M!$P$7:$P$667,Projection_M!$A$7:$A$667,"&gt;="&amp;12*A41)/INDEX(Discount_Monthly!$G$4:$G$664,MATCH(12*A41,Discount_Monthly!$A$4:$A$664,0))</f>
        <v>7103.32084975702</v>
      </c>
      <c r="E41" s="12" t="n">
        <f aca="false">C41-D41</f>
        <v>11570.5861070579</v>
      </c>
      <c r="F41" s="12" t="n">
        <f aca="false">SUMIFS(Projection!$N$4:$N$59,Projection!$B$4:$B$59,"&lt;"&amp;(Assumptions!$B$4+A41))/Discount!C40</f>
        <v>20330.969722352</v>
      </c>
      <c r="G41" s="12" t="n">
        <f aca="false">SUMIFS(Projection!$P$4:$P$59,Projection!$B$4:$B$59,"&gt;="&amp;(Assumptions!$B$4+A41))/Discount!C40</f>
        <v>8194.28171159302</v>
      </c>
      <c r="H41" s="12" t="n">
        <f aca="false">F41-G41</f>
        <v>12136.688010759</v>
      </c>
      <c r="I41" s="12" t="n">
        <f aca="false">E41-H41</f>
        <v>-566.101903701047</v>
      </c>
      <c r="J41" s="34" t="n">
        <f aca="false">IF(E41&lt;0,A41,999)</f>
        <v>999</v>
      </c>
      <c r="K41" s="34" t="n">
        <f aca="false">IF(H41&lt;0,A41,999)</f>
        <v>999</v>
      </c>
    </row>
    <row r="42" customFormat="false" ht="15" hidden="false" customHeight="true" outlineLevel="0" collapsed="false">
      <c r="A42" s="3" t="n">
        <v>37</v>
      </c>
      <c r="B42" s="34" t="n">
        <f aca="false">Assumptions!$B$4+A42</f>
        <v>102</v>
      </c>
      <c r="C42" s="12" t="n">
        <f aca="false">SUMIFS(Projection_M!$Q$7:$Q$667,Projection_M!$A$7:$A$667,"&lt;"&amp;12*A42)/INDEX(Discount_Monthly!$G$4:$G$664,MATCH(12*A42,Discount_Monthly!$A$4:$A$664,0))</f>
        <v>17352.4370464966</v>
      </c>
      <c r="D42" s="12" t="n">
        <f aca="false">SUMIFS(Projection_M!$P$7:$P$667,Projection_M!$A$7:$A$667,"&gt;="&amp;12*A42)/INDEX(Discount_Monthly!$G$4:$G$664,MATCH(12*A42,Discount_Monthly!$A$4:$A$664,0))</f>
        <v>5403.72119778517</v>
      </c>
      <c r="E42" s="12" t="n">
        <f aca="false">C42-D42</f>
        <v>11948.7158487114</v>
      </c>
      <c r="F42" s="12" t="n">
        <f aca="false">SUMIFS(Projection!$N$4:$N$59,Projection!$B$4:$B$59,"&lt;"&amp;(Assumptions!$B$4+A42))/Discount!C41</f>
        <v>18805.5031612072</v>
      </c>
      <c r="G42" s="12" t="n">
        <f aca="false">SUMIFS(Projection!$P$4:$P$59,Projection!$B$4:$B$59,"&gt;="&amp;(Assumptions!$B$4+A42))/Discount!C41</f>
        <v>6272.18505240699</v>
      </c>
      <c r="H42" s="12" t="n">
        <f aca="false">F42-G42</f>
        <v>12533.3181088002</v>
      </c>
      <c r="I42" s="12" t="n">
        <f aca="false">E42-H42</f>
        <v>-584.602260088826</v>
      </c>
      <c r="J42" s="34" t="n">
        <f aca="false">IF(E42&lt;0,A42,999)</f>
        <v>999</v>
      </c>
      <c r="K42" s="34" t="n">
        <f aca="false">IF(H42&lt;0,A42,999)</f>
        <v>999</v>
      </c>
    </row>
    <row r="43" customFormat="false" ht="15" hidden="false" customHeight="true" outlineLevel="0" collapsed="false">
      <c r="A43" s="3" t="n">
        <v>38</v>
      </c>
      <c r="B43" s="34" t="n">
        <f aca="false">Assumptions!$B$4+A43</f>
        <v>103</v>
      </c>
      <c r="C43" s="12" t="n">
        <f aca="false">SUMIFS(Projection_M!$Q$7:$Q$667,Projection_M!$A$7:$A$667,"&lt;"&amp;12*A43)/INDEX(Discount_Monthly!$G$4:$G$664,MATCH(12*A43,Discount_Monthly!$A$4:$A$664,0))</f>
        <v>16394.4194551874</v>
      </c>
      <c r="D43" s="12" t="n">
        <f aca="false">SUMIFS(Projection_M!$P$7:$P$667,Projection_M!$A$7:$A$667,"&gt;="&amp;12*A43)/INDEX(Discount_Monthly!$G$4:$G$664,MATCH(12*A43,Discount_Monthly!$A$4:$A$664,0))</f>
        <v>4054.73836722917</v>
      </c>
      <c r="E43" s="12" t="n">
        <f aca="false">C43-D43</f>
        <v>12339.6810879582</v>
      </c>
      <c r="F43" s="12" t="n">
        <f aca="false">SUMIFS(Projection!$N$4:$N$59,Projection!$B$4:$B$59,"&lt;"&amp;(Assumptions!$B$4+A43))/Discount!C42</f>
        <v>17678.7079941743</v>
      </c>
      <c r="G43" s="12" t="n">
        <f aca="false">SUMIFS(Projection!$P$4:$P$59,Projection!$B$4:$B$59,"&gt;="&amp;(Assumptions!$B$4+A43))/Discount!C42</f>
        <v>4735.29630084112</v>
      </c>
      <c r="H43" s="12" t="n">
        <f aca="false">F43-G43</f>
        <v>12943.4116933332</v>
      </c>
      <c r="I43" s="12" t="n">
        <f aca="false">E43-H43</f>
        <v>-603.730605374949</v>
      </c>
      <c r="J43" s="34" t="n">
        <f aca="false">IF(E43&lt;0,A43,999)</f>
        <v>999</v>
      </c>
      <c r="K43" s="34" t="n">
        <f aca="false">IF(H43&lt;0,A43,999)</f>
        <v>999</v>
      </c>
    </row>
    <row r="44" customFormat="false" ht="15" hidden="false" customHeight="true" outlineLevel="0" collapsed="false">
      <c r="A44" s="3" t="n">
        <v>39</v>
      </c>
      <c r="B44" s="34" t="n">
        <f aca="false">Assumptions!$B$4+A44</f>
        <v>104</v>
      </c>
      <c r="C44" s="12" t="n">
        <f aca="false">SUMIFS(Projection_M!$Q$7:$Q$667,Projection_M!$A$7:$A$667,"&lt;"&amp;12*A44)/INDEX(Discount_Monthly!$G$4:$G$664,MATCH(12*A44,Discount_Monthly!$A$4:$A$664,0))</f>
        <v>15741.217864939</v>
      </c>
      <c r="D44" s="12" t="n">
        <f aca="false">SUMIFS(Projection_M!$P$7:$P$667,Projection_M!$A$7:$A$667,"&gt;="&amp;12*A44)/INDEX(Discount_Monthly!$G$4:$G$664,MATCH(12*A44,Discount_Monthly!$A$4:$A$664,0))</f>
        <v>3002.10041402269</v>
      </c>
      <c r="E44" s="12" t="n">
        <f aca="false">C44-D44</f>
        <v>12739.1174509164</v>
      </c>
      <c r="F44" s="12" t="n">
        <f aca="false">SUMIFS(Projection!$N$4:$N$59,Projection!$B$4:$B$59,"&lt;"&amp;(Assumptions!$B$4+A44))/Discount!C43</f>
        <v>16888.1685314803</v>
      </c>
      <c r="G44" s="12" t="n">
        <f aca="false">SUMIFS(Projection!$P$4:$P$59,Projection!$B$4:$B$59,"&gt;="&amp;(Assumptions!$B$4+A44))/Discount!C43</f>
        <v>3525.77767213776</v>
      </c>
      <c r="H44" s="12" t="n">
        <f aca="false">F44-G44</f>
        <v>13362.3908593426</v>
      </c>
      <c r="I44" s="12" t="n">
        <f aca="false">E44-H44</f>
        <v>-623.273408426219</v>
      </c>
      <c r="J44" s="34" t="n">
        <f aca="false">IF(E44&lt;0,A44,999)</f>
        <v>999</v>
      </c>
      <c r="K44" s="34" t="n">
        <f aca="false">IF(H44&lt;0,A44,999)</f>
        <v>999</v>
      </c>
    </row>
    <row r="45" customFormat="false" ht="15" hidden="false" customHeight="true" outlineLevel="0" collapsed="false">
      <c r="A45" s="3" t="n">
        <v>40</v>
      </c>
      <c r="B45" s="34" t="n">
        <f aca="false">Assumptions!$B$4+A45</f>
        <v>105</v>
      </c>
      <c r="C45" s="12" t="n">
        <f aca="false">SUMIFS(Projection_M!$Q$7:$Q$667,Projection_M!$A$7:$A$667,"&lt;"&amp;12*A45)/INDEX(Discount_Monthly!$G$4:$G$664,MATCH(12*A45,Discount_Monthly!$A$4:$A$664,0))</f>
        <v>15343.3494770088</v>
      </c>
      <c r="D45" s="12" t="n">
        <f aca="false">SUMIFS(Projection_M!$P$7:$P$667,Projection_M!$A$7:$A$667,"&gt;="&amp;12*A45)/INDEX(Discount_Monthly!$G$4:$G$664,MATCH(12*A45,Discount_Monthly!$A$4:$A$664,0))</f>
        <v>2186.51251253281</v>
      </c>
      <c r="E45" s="12" t="n">
        <f aca="false">C45-D45</f>
        <v>13156.836964476</v>
      </c>
      <c r="F45" s="12" t="n">
        <f aca="false">SUMIFS(Projection!$N$4:$N$59,Projection!$B$4:$B$59,"&lt;"&amp;(Assumptions!$B$4+A45))/Discount!C44</f>
        <v>16395.3157152322</v>
      </c>
      <c r="G45" s="12" t="n">
        <f aca="false">SUMIFS(Projection!$P$4:$P$59,Projection!$B$4:$B$59,"&gt;="&amp;(Assumptions!$B$4+A45))/Discount!C44</f>
        <v>2594.76801878815</v>
      </c>
      <c r="H45" s="12" t="n">
        <f aca="false">F45-G45</f>
        <v>13800.5476964441</v>
      </c>
      <c r="I45" s="12" t="n">
        <f aca="false">E45-H45</f>
        <v>-643.710731968105</v>
      </c>
      <c r="J45" s="34" t="n">
        <f aca="false">IF(E45&lt;0,A45,999)</f>
        <v>999</v>
      </c>
      <c r="K45" s="34" t="n">
        <f aca="false">IF(H45&lt;0,A45,999)</f>
        <v>999</v>
      </c>
    </row>
    <row r="46" customFormat="false" ht="15" hidden="false" customHeight="true" outlineLevel="0" collapsed="false">
      <c r="A46" s="3" t="n">
        <v>41</v>
      </c>
      <c r="B46" s="34" t="n">
        <f aca="false">Assumptions!$B$4+A46</f>
        <v>106</v>
      </c>
      <c r="C46" s="12" t="n">
        <f aca="false">SUMIFS(Projection_M!$Q$7:$Q$667,Projection_M!$A$7:$A$667,"&lt;"&amp;12*A46)/INDEX(Discount_Monthly!$G$4:$G$664,MATCH(12*A46,Discount_Monthly!$A$4:$A$664,0))</f>
        <v>15090.9435940507</v>
      </c>
      <c r="D46" s="12" t="n">
        <f aca="false">SUMIFS(Projection_M!$P$7:$P$667,Projection_M!$A$7:$A$667,"&gt;="&amp;12*A46)/INDEX(Discount_Monthly!$G$4:$G$664,MATCH(12*A46,Discount_Monthly!$A$4:$A$664,0))</f>
        <v>1502.16348938752</v>
      </c>
      <c r="E46" s="12" t="n">
        <f aca="false">C46-D46</f>
        <v>13588.7801046632</v>
      </c>
      <c r="F46" s="12" t="n">
        <f aca="false">SUMIFS(Projection!$N$4:$N$59,Projection!$B$4:$B$59,"&lt;"&amp;(Assumptions!$B$4+A46))/Discount!C45</f>
        <v>16119.8920936122</v>
      </c>
      <c r="G46" s="12" t="n">
        <f aca="false">SUMIFS(Projection!$P$4:$P$59,Projection!$B$4:$B$59,"&gt;="&amp;(Assumptions!$B$4+A46))/Discount!C45</f>
        <v>1866.26802901059</v>
      </c>
      <c r="H46" s="12" t="n">
        <f aca="false">F46-G46</f>
        <v>14253.6240646016</v>
      </c>
      <c r="I46" s="12" t="n">
        <f aca="false">E46-H46</f>
        <v>-664.843959938416</v>
      </c>
      <c r="J46" s="34" t="n">
        <f aca="false">IF(E46&lt;0,A46,999)</f>
        <v>999</v>
      </c>
      <c r="K46" s="34" t="n">
        <f aca="false">IF(H46&lt;0,A46,999)</f>
        <v>999</v>
      </c>
    </row>
    <row r="47" customFormat="false" ht="15" hidden="false" customHeight="true" outlineLevel="0" collapsed="false">
      <c r="A47" s="3" t="n">
        <v>42</v>
      </c>
      <c r="B47" s="34" t="n">
        <f aca="false">Assumptions!$B$4+A47</f>
        <v>107</v>
      </c>
      <c r="C47" s="12" t="n">
        <f aca="false">SUMIFS(Projection_M!$Q$7:$Q$667,Projection_M!$A$7:$A$667,"&lt;"&amp;12*A47)/INDEX(Discount_Monthly!$G$4:$G$664,MATCH(12*A47,Discount_Monthly!$A$4:$A$664,0))</f>
        <v>14980.0750075118</v>
      </c>
      <c r="D47" s="12" t="n">
        <f aca="false">SUMIFS(Projection_M!$P$7:$P$667,Projection_M!$A$7:$A$667,"&gt;="&amp;12*A47)/INDEX(Discount_Monthly!$G$4:$G$664,MATCH(12*A47,Discount_Monthly!$A$4:$A$664,0))</f>
        <v>950.3378546236</v>
      </c>
      <c r="E47" s="12" t="n">
        <f aca="false">C47-D47</f>
        <v>14029.7371528882</v>
      </c>
      <c r="F47" s="12" t="n">
        <f aca="false">SUMIFS(Projection!$N$4:$N$59,Projection!$B$4:$B$59,"&lt;"&amp;(Assumptions!$B$4+A47))/Discount!C46</f>
        <v>15914.5428320782</v>
      </c>
      <c r="G47" s="12" t="n">
        <f aca="false">SUMIFS(Projection!$P$4:$P$59,Projection!$B$4:$B$59,"&gt;="&amp;(Assumptions!$B$4+A47))/Discount!C46</f>
        <v>1198.387477278</v>
      </c>
      <c r="H47" s="12" t="n">
        <f aca="false">F47-G47</f>
        <v>14716.1553548002</v>
      </c>
      <c r="I47" s="12" t="n">
        <f aca="false">E47-H47</f>
        <v>-686.418201912064</v>
      </c>
      <c r="J47" s="34" t="n">
        <f aca="false">IF(E47&lt;0,A47,999)</f>
        <v>999</v>
      </c>
      <c r="K47" s="34" t="n">
        <f aca="false">IF(H47&lt;0,A47,999)</f>
        <v>999</v>
      </c>
    </row>
    <row r="48" customFormat="false" ht="15" hidden="false" customHeight="true" outlineLevel="0" collapsed="false">
      <c r="A48" s="3" t="n">
        <v>43</v>
      </c>
      <c r="B48" s="34" t="n">
        <f aca="false">Assumptions!$B$4+A48</f>
        <v>108</v>
      </c>
      <c r="C48" s="12" t="n">
        <f aca="false">SUMIFS(Projection_M!$Q$7:$Q$667,Projection_M!$A$7:$A$667,"&lt;"&amp;12*A48)/INDEX(Discount_Monthly!$G$4:$G$664,MATCH(12*A48,Discount_Monthly!$A$4:$A$664,0))</f>
        <v>15071.1589309062</v>
      </c>
      <c r="D48" s="12" t="n">
        <f aca="false">SUMIFS(Projection_M!$P$7:$P$667,Projection_M!$A$7:$A$667,"&gt;="&amp;12*A48)/INDEX(Discount_Monthly!$G$4:$G$664,MATCH(12*A48,Discount_Monthly!$A$4:$A$664,0))</f>
        <v>579.838514169635</v>
      </c>
      <c r="E48" s="12" t="n">
        <f aca="false">C48-D48</f>
        <v>14491.3204167365</v>
      </c>
      <c r="F48" s="12" t="n">
        <f aca="false">SUMIFS(Projection!$N$4:$N$59,Projection!$B$4:$B$59,"&lt;"&amp;(Assumptions!$B$4+A48))/Discount!C47</f>
        <v>15943.0991117914</v>
      </c>
      <c r="G48" s="12" t="n">
        <f aca="false">SUMIFS(Projection!$P$4:$P$59,Projection!$B$4:$B$59,"&gt;="&amp;(Assumptions!$B$4+A48))/Discount!C47</f>
        <v>742.777093999178</v>
      </c>
      <c r="H48" s="12" t="n">
        <f aca="false">F48-G48</f>
        <v>15200.3220177922</v>
      </c>
      <c r="I48" s="12" t="n">
        <f aca="false">E48-H48</f>
        <v>-709.001601055663</v>
      </c>
      <c r="J48" s="34" t="n">
        <f aca="false">IF(E48&lt;0,A48,999)</f>
        <v>999</v>
      </c>
      <c r="K48" s="34" t="n">
        <f aca="false">IF(H48&lt;0,A48,999)</f>
        <v>999</v>
      </c>
    </row>
    <row r="49" customFormat="false" ht="15" hidden="false" customHeight="true" outlineLevel="0" collapsed="false">
      <c r="A49" s="3" t="n">
        <v>44</v>
      </c>
      <c r="B49" s="34" t="n">
        <f aca="false">Assumptions!$B$4+A49</f>
        <v>109</v>
      </c>
      <c r="C49" s="12" t="n">
        <f aca="false">SUMIFS(Projection_M!$Q$7:$Q$667,Projection_M!$A$7:$A$667,"&lt;"&amp;12*A49)/INDEX(Discount_Monthly!$G$4:$G$664,MATCH(12*A49,Discount_Monthly!$A$4:$A$664,0))</f>
        <v>15302.4838203767</v>
      </c>
      <c r="D49" s="12" t="n">
        <f aca="false">SUMIFS(Projection_M!$P$7:$P$667,Projection_M!$A$7:$A$667,"&gt;="&amp;12*A49)/INDEX(Discount_Monthly!$G$4:$G$664,MATCH(12*A49,Discount_Monthly!$A$4:$A$664,0))</f>
        <v>340.194161622202</v>
      </c>
      <c r="E49" s="12" t="n">
        <f aca="false">C49-D49</f>
        <v>14962.2896587545</v>
      </c>
      <c r="F49" s="12" t="n">
        <f aca="false">SUMIFS(Projection!$N$4:$N$59,Projection!$B$4:$B$59,"&lt;"&amp;(Assumptions!$B$4+A49))/Discount!C48</f>
        <v>16137.3117644562</v>
      </c>
      <c r="G49" s="12" t="n">
        <f aca="false">SUMIFS(Projection!$P$4:$P$59,Projection!$B$4:$B$59,"&gt;="&amp;(Assumptions!$B$4+A49))/Discount!C48</f>
        <v>442.977887614849</v>
      </c>
      <c r="H49" s="12" t="n">
        <f aca="false">F49-G49</f>
        <v>15694.3338768414</v>
      </c>
      <c r="I49" s="12" t="n">
        <f aca="false">E49-H49</f>
        <v>-732.044218086827</v>
      </c>
      <c r="J49" s="34" t="n">
        <f aca="false">IF(E49&lt;0,A49,999)</f>
        <v>999</v>
      </c>
      <c r="K49" s="34" t="n">
        <f aca="false">IF(H49&lt;0,A49,999)</f>
        <v>999</v>
      </c>
    </row>
    <row r="50" customFormat="false" ht="15" hidden="false" customHeight="true" outlineLevel="0" collapsed="false">
      <c r="A50" s="3" t="n">
        <v>45</v>
      </c>
      <c r="B50" s="34" t="n">
        <f aca="false">Assumptions!$B$4+A50</f>
        <v>110</v>
      </c>
      <c r="C50" s="12" t="n">
        <f aca="false">SUMIFS(Projection_M!$Q$7:$Q$667,Projection_M!$A$7:$A$667,"&lt;"&amp;12*A50)/INDEX(Discount_Monthly!$G$4:$G$664,MATCH(12*A50,Discount_Monthly!$A$4:$A$664,0))</f>
        <v>15647.580574967</v>
      </c>
      <c r="D50" s="12" t="n">
        <f aca="false">SUMIFS(Projection_M!$P$7:$P$667,Projection_M!$A$7:$A$667,"&gt;="&amp;12*A50)/INDEX(Discount_Monthly!$G$4:$G$664,MATCH(12*A50,Discount_Monthly!$A$4:$A$664,0))</f>
        <v>191.978483614148</v>
      </c>
      <c r="E50" s="12" t="n">
        <f aca="false">C50-D50</f>
        <v>15455.6020913528</v>
      </c>
      <c r="F50" s="12" t="n">
        <f aca="false">SUMIFS(Projection!$N$4:$N$59,Projection!$B$4:$B$59,"&lt;"&amp;(Assumptions!$B$4+A50))/Discount!C49</f>
        <v>16465.7241568117</v>
      </c>
      <c r="G50" s="12" t="n">
        <f aca="false">SUMIFS(Projection!$P$4:$P$59,Projection!$B$4:$B$59,"&gt;="&amp;(Assumptions!$B$4+A50))/Discount!C49</f>
        <v>253.942068542003</v>
      </c>
      <c r="H50" s="12" t="n">
        <f aca="false">F50-G50</f>
        <v>16211.7820882697</v>
      </c>
      <c r="I50" s="12" t="n">
        <f aca="false">E50-H50</f>
        <v>-756.179996916815</v>
      </c>
      <c r="J50" s="34" t="n">
        <f aca="false">IF(E50&lt;0,A50,999)</f>
        <v>999</v>
      </c>
      <c r="K50" s="34" t="n">
        <f aca="false">IF(H50&lt;0,A50,999)</f>
        <v>999</v>
      </c>
    </row>
    <row r="51" customFormat="false" ht="15" hidden="false" customHeight="true" outlineLevel="0" collapsed="false">
      <c r="A51" s="3" t="n">
        <v>46</v>
      </c>
      <c r="B51" s="34" t="n">
        <f aca="false">Assumptions!$B$4+A51</f>
        <v>111</v>
      </c>
      <c r="C51" s="12" t="n">
        <f aca="false">SUMIFS(Projection_M!$Q$7:$Q$667,Projection_M!$A$7:$A$667,"&lt;"&amp;12*A51)/INDEX(Discount_Monthly!$G$4:$G$664,MATCH(12*A51,Discount_Monthly!$A$4:$A$664,0))</f>
        <v>16063.1884594331</v>
      </c>
      <c r="D51" s="12" t="n">
        <f aca="false">SUMIFS(Projection_M!$P$7:$P$667,Projection_M!$A$7:$A$667,"&gt;="&amp;12*A51)/INDEX(Discount_Monthly!$G$4:$G$664,MATCH(12*A51,Discount_Monthly!$A$4:$A$664,0))</f>
        <v>104.504969868435</v>
      </c>
      <c r="E51" s="12" t="n">
        <f aca="false">C51-D51</f>
        <v>15958.6834895646</v>
      </c>
      <c r="F51" s="12" t="n">
        <f aca="false">SUMIFS(Projection!$N$4:$N$59,Projection!$B$4:$B$59,"&lt;"&amp;(Assumptions!$B$4+A51))/Discount!C50</f>
        <v>16879.4730489761</v>
      </c>
      <c r="G51" s="12" t="n">
        <f aca="false">SUMIFS(Projection!$P$4:$P$59,Projection!$B$4:$B$59,"&gt;="&amp;(Assumptions!$B$4+A51))/Discount!C50</f>
        <v>139.995827753051</v>
      </c>
      <c r="H51" s="12" t="n">
        <f aca="false">F51-G51</f>
        <v>16739.4772212231</v>
      </c>
      <c r="I51" s="12" t="n">
        <f aca="false">E51-H51</f>
        <v>-780.793731658443</v>
      </c>
      <c r="J51" s="34" t="n">
        <f aca="false">IF(E51&lt;0,A51,999)</f>
        <v>999</v>
      </c>
      <c r="K51" s="34" t="n">
        <f aca="false">IF(H51&lt;0,A51,999)</f>
        <v>999</v>
      </c>
    </row>
    <row r="52" customFormat="false" ht="15" hidden="false" customHeight="true" outlineLevel="0" collapsed="false">
      <c r="A52" s="3" t="n">
        <v>47</v>
      </c>
      <c r="B52" s="34" t="n">
        <f aca="false">Assumptions!$B$4+A52</f>
        <v>112</v>
      </c>
      <c r="C52" s="12" t="n">
        <f aca="false">SUMIFS(Projection_M!$Q$7:$Q$667,Projection_M!$A$7:$A$667,"&lt;"&amp;12*A52)/INDEX(Discount_Monthly!$G$4:$G$664,MATCH(12*A52,Discount_Monthly!$A$4:$A$664,0))</f>
        <v>16533.5806962336</v>
      </c>
      <c r="D52" s="12" t="n">
        <f aca="false">SUMIFS(Projection_M!$P$7:$P$667,Projection_M!$A$7:$A$667,"&gt;="&amp;12*A52)/INDEX(Discount_Monthly!$G$4:$G$664,MATCH(12*A52,Discount_Monthly!$A$4:$A$664,0))</f>
        <v>55.1212136916307</v>
      </c>
      <c r="E52" s="12" t="n">
        <f aca="false">C52-D52</f>
        <v>16478.459482542</v>
      </c>
      <c r="F52" s="12" t="n">
        <f aca="false">SUMIFS(Projection!$N$4:$N$59,Projection!$B$4:$B$59,"&lt;"&amp;(Assumptions!$B$4+A52))/Discount!C51</f>
        <v>17359.5018532702</v>
      </c>
      <c r="G52" s="12" t="n">
        <f aca="false">SUMIFS(Projection!$P$4:$P$59,Projection!$B$4:$B$59,"&gt;="&amp;(Assumptions!$B$4+A52))/Discount!C51</f>
        <v>74.8181054390519</v>
      </c>
      <c r="H52" s="12" t="n">
        <f aca="false">F52-G52</f>
        <v>17284.6837478311</v>
      </c>
      <c r="I52" s="12" t="n">
        <f aca="false">E52-H52</f>
        <v>-806.224265289151</v>
      </c>
      <c r="J52" s="34" t="n">
        <f aca="false">IF(E52&lt;0,A52,999)</f>
        <v>999</v>
      </c>
      <c r="K52" s="34" t="n">
        <f aca="false">IF(H52&lt;0,A52,999)</f>
        <v>999</v>
      </c>
    </row>
    <row r="53" customFormat="false" ht="15" hidden="false" customHeight="true" outlineLevel="0" collapsed="false">
      <c r="A53" s="3" t="n">
        <v>48</v>
      </c>
      <c r="B53" s="34" t="n">
        <f aca="false">Assumptions!$B$4+A53</f>
        <v>113</v>
      </c>
      <c r="C53" s="12" t="n">
        <f aca="false">SUMIFS(Projection_M!$Q$7:$Q$667,Projection_M!$A$7:$A$667,"&lt;"&amp;12*A53)/INDEX(Discount_Monthly!$G$4:$G$664,MATCH(12*A53,Discount_Monthly!$A$4:$A$664,0))</f>
        <v>17051.5600590535</v>
      </c>
      <c r="D53" s="12" t="n">
        <f aca="false">SUMIFS(Projection_M!$P$7:$P$667,Projection_M!$A$7:$A$667,"&gt;="&amp;12*A53)/INDEX(Discount_Monthly!$G$4:$G$664,MATCH(12*A53,Discount_Monthly!$A$4:$A$664,0))</f>
        <v>28.1507155151648</v>
      </c>
      <c r="E53" s="12" t="n">
        <f aca="false">C53-D53</f>
        <v>17023.4093435384</v>
      </c>
      <c r="F53" s="12" t="n">
        <f aca="false">SUMIFS(Projection!$N$4:$N$59,Projection!$B$4:$B$59,"&lt;"&amp;(Assumptions!$B$4+A53))/Discount!C52</f>
        <v>17895.0316070733</v>
      </c>
      <c r="G53" s="12" t="n">
        <f aca="false">SUMIFS(Projection!$P$4:$P$59,Projection!$B$4:$B$59,"&gt;="&amp;(Assumptions!$B$4+A53))/Discount!C52</f>
        <v>38.7358092367186</v>
      </c>
      <c r="H53" s="12" t="n">
        <f aca="false">F53-G53</f>
        <v>17856.2957978366</v>
      </c>
      <c r="I53" s="12" t="n">
        <f aca="false">E53-H53</f>
        <v>-832.88645429819</v>
      </c>
      <c r="J53" s="34" t="n">
        <f aca="false">IF(E53&lt;0,A53,999)</f>
        <v>999</v>
      </c>
      <c r="K53" s="34" t="n">
        <f aca="false">IF(H53&lt;0,A53,999)</f>
        <v>999</v>
      </c>
    </row>
    <row r="54" customFormat="false" ht="15" hidden="false" customHeight="true" outlineLevel="0" collapsed="false">
      <c r="A54" s="3" t="n">
        <v>49</v>
      </c>
      <c r="B54" s="34" t="n">
        <f aca="false">Assumptions!$B$4+A54</f>
        <v>114</v>
      </c>
      <c r="C54" s="12" t="n">
        <f aca="false">SUMIFS(Projection_M!$Q$7:$Q$667,Projection_M!$A$7:$A$667,"&lt;"&amp;12*A54)/INDEX(Discount_Monthly!$G$4:$G$664,MATCH(12*A54,Discount_Monthly!$A$4:$A$664,0))</f>
        <v>17592.6001440884</v>
      </c>
      <c r="D54" s="12" t="n">
        <f aca="false">SUMIFS(Projection_M!$P$7:$P$667,Projection_M!$A$7:$A$667,"&gt;="&amp;12*A54)/INDEX(Discount_Monthly!$G$4:$G$664,MATCH(12*A54,Discount_Monthly!$A$4:$A$664,0))</f>
        <v>13.8852478367842</v>
      </c>
      <c r="E54" s="12" t="n">
        <f aca="false">C54-D54</f>
        <v>17578.7148962517</v>
      </c>
      <c r="F54" s="12" t="n">
        <f aca="false">SUMIFS(Projection!$N$4:$N$59,Projection!$B$4:$B$59,"&lt;"&amp;(Assumptions!$B$4+A54))/Discount!C53</f>
        <v>18458.1628726039</v>
      </c>
      <c r="G54" s="12" t="n">
        <f aca="false">SUMIFS(Projection!$P$4:$P$59,Projection!$B$4:$B$59,"&gt;="&amp;(Assumptions!$B$4+A54))/Discount!C53</f>
        <v>19.3926710020517</v>
      </c>
      <c r="H54" s="12" t="n">
        <f aca="false">F54-G54</f>
        <v>18438.7702016018</v>
      </c>
      <c r="I54" s="12" t="n">
        <f aca="false">E54-H54</f>
        <v>-860.055305350164</v>
      </c>
      <c r="J54" s="34" t="n">
        <f aca="false">IF(E54&lt;0,A54,999)</f>
        <v>999</v>
      </c>
      <c r="K54" s="34" t="n">
        <f aca="false">IF(H54&lt;0,A54,999)</f>
        <v>999</v>
      </c>
    </row>
    <row r="55" customFormat="false" ht="15" hidden="false" customHeight="true" outlineLevel="0" collapsed="false">
      <c r="A55" s="3" t="n">
        <v>50</v>
      </c>
      <c r="B55" s="34" t="n">
        <f aca="false">Assumptions!$B$4+A55</f>
        <v>115</v>
      </c>
      <c r="C55" s="12" t="n">
        <f aca="false">SUMIFS(Projection_M!$Q$7:$Q$667,Projection_M!$A$7:$A$667,"&lt;"&amp;12*A55)/INDEX(Discount_Monthly!$G$4:$G$664,MATCH(12*A55,Discount_Monthly!$A$4:$A$664,0))</f>
        <v>18167.8843364651</v>
      </c>
      <c r="D55" s="12" t="n">
        <f aca="false">SUMIFS(Projection_M!$P$7:$P$667,Projection_M!$A$7:$A$667,"&gt;="&amp;12*A55)/INDEX(Discount_Monthly!$G$4:$G$664,MATCH(12*A55,Discount_Monthly!$A$4:$A$664,0))</f>
        <v>6.60248061312386</v>
      </c>
      <c r="E55" s="12" t="n">
        <f aca="false">C55-D55</f>
        <v>18161.281855852</v>
      </c>
      <c r="F55" s="12" t="n">
        <f aca="false">SUMIFS(Projection!$N$4:$N$59,Projection!$B$4:$B$59,"&lt;"&amp;(Assumptions!$B$4+A55))/Discount!C54</f>
        <v>19059.2184291067</v>
      </c>
      <c r="G55" s="12" t="n">
        <f aca="false">SUMIFS(Projection!$P$4:$P$59,Projection!$B$4:$B$59,"&gt;="&amp;(Assumptions!$B$4+A55))/Discount!C54</f>
        <v>9.37862665441879</v>
      </c>
      <c r="H55" s="12" t="n">
        <f aca="false">F55-G55</f>
        <v>19049.8398024523</v>
      </c>
      <c r="I55" s="12" t="n">
        <f aca="false">E55-H55</f>
        <v>-888.557946600286</v>
      </c>
      <c r="J55" s="34" t="n">
        <f aca="false">IF(E55&lt;0,A55,999)</f>
        <v>999</v>
      </c>
      <c r="K55" s="34" t="n">
        <f aca="false">IF(H55&lt;0,A55,999)</f>
        <v>999</v>
      </c>
    </row>
    <row r="56" customFormat="false" ht="15" hidden="false" customHeight="true" outlineLevel="0" collapsed="false">
      <c r="A56" s="3" t="n">
        <v>51</v>
      </c>
      <c r="B56" s="34" t="n">
        <f aca="false">Assumptions!$B$4+A56</f>
        <v>116</v>
      </c>
      <c r="C56" s="12" t="n">
        <f aca="false">SUMIFS(Projection_M!$Q$7:$Q$667,Projection_M!$A$7:$A$667,"&lt;"&amp;12*A56)/INDEX(Discount_Monthly!$G$4:$G$664,MATCH(12*A56,Discount_Monthly!$A$4:$A$664,0))</f>
        <v>18757.620431863</v>
      </c>
      <c r="D56" s="12" t="n">
        <f aca="false">SUMIFS(Projection_M!$P$7:$P$667,Projection_M!$A$7:$A$667,"&gt;="&amp;12*A56)/INDEX(Discount_Monthly!$G$4:$G$664,MATCH(12*A56,Discount_Monthly!$A$4:$A$664,0))</f>
        <v>3.00725400996074</v>
      </c>
      <c r="E56" s="12" t="n">
        <f aca="false">C56-D56</f>
        <v>18754.613177853</v>
      </c>
      <c r="F56" s="12" t="n">
        <f aca="false">SUMIFS(Projection!$N$4:$N$59,Projection!$B$4:$B$59,"&lt;"&amp;(Assumptions!$B$4+A56))/Discount!C55</f>
        <v>19676.5672828302</v>
      </c>
      <c r="G56" s="12" t="n">
        <f aca="false">SUMIFS(Projection!$P$4:$P$59,Projection!$B$4:$B$59,"&gt;="&amp;(Assumptions!$B$4+A56))/Discount!C55</f>
        <v>4.36686048288086</v>
      </c>
      <c r="H56" s="12" t="n">
        <f aca="false">F56-G56</f>
        <v>19672.2004223473</v>
      </c>
      <c r="I56" s="12" t="n">
        <f aca="false">E56-H56</f>
        <v>-917.587244494309</v>
      </c>
      <c r="J56" s="34" t="n">
        <f aca="false">IF(E56&lt;0,A56,999)</f>
        <v>999</v>
      </c>
      <c r="K56" s="34" t="n">
        <f aca="false">IF(H56&lt;0,A56,999)</f>
        <v>999</v>
      </c>
    </row>
    <row r="57" customFormat="false" ht="15" hidden="false" customHeight="true" outlineLevel="0" collapsed="false">
      <c r="A57" s="3" t="n">
        <v>52</v>
      </c>
      <c r="B57" s="34" t="n">
        <f aca="false">Assumptions!$B$4+A57</f>
        <v>117</v>
      </c>
      <c r="C57" s="12" t="n">
        <f aca="false">SUMIFS(Projection_M!$Q$7:$Q$667,Projection_M!$A$7:$A$667,"&lt;"&amp;12*A57)/INDEX(Discount_Monthly!$G$4:$G$664,MATCH(12*A57,Discount_Monthly!$A$4:$A$664,0))</f>
        <v>19368.9988987829</v>
      </c>
      <c r="D57" s="12" t="n">
        <f aca="false">SUMIFS(Projection_M!$P$7:$P$667,Projection_M!$A$7:$A$667,"&gt;="&amp;12*A57)/INDEX(Discount_Monthly!$G$4:$G$664,MATCH(12*A57,Discount_Monthly!$A$4:$A$664,0))</f>
        <v>1.29500640386961</v>
      </c>
      <c r="E57" s="12" t="n">
        <f aca="false">C57-D57</f>
        <v>19367.703892379</v>
      </c>
      <c r="F57" s="12" t="n">
        <f aca="false">SUMIFS(Projection!$N$4:$N$59,Projection!$B$4:$B$59,"&lt;"&amp;(Assumptions!$B$4+A57))/Discount!C56</f>
        <v>20317.2340050999</v>
      </c>
      <c r="G57" s="12" t="n">
        <f aca="false">SUMIFS(Projection!$P$4:$P$59,Projection!$B$4:$B$59,"&gt;="&amp;(Assumptions!$B$4+A57))/Discount!C56</f>
        <v>1.94682330515196</v>
      </c>
      <c r="H57" s="12" t="n">
        <f aca="false">F57-G57</f>
        <v>20315.2871817948</v>
      </c>
      <c r="I57" s="12" t="n">
        <f aca="false">E57-H57</f>
        <v>-947.583289415747</v>
      </c>
      <c r="J57" s="34" t="n">
        <f aca="false">IF(E57&lt;0,A57,999)</f>
        <v>999</v>
      </c>
      <c r="K57" s="34" t="n">
        <f aca="false">IF(H57&lt;0,A57,999)</f>
        <v>999</v>
      </c>
    </row>
    <row r="58" customFormat="false" ht="15" hidden="false" customHeight="true" outlineLevel="0" collapsed="false">
      <c r="A58" s="3" t="n">
        <v>53</v>
      </c>
      <c r="B58" s="34" t="n">
        <f aca="false">Assumptions!$B$4+A58</f>
        <v>118</v>
      </c>
      <c r="C58" s="12" t="n">
        <f aca="false">SUMIFS(Projection_M!$Q$7:$Q$667,Projection_M!$A$7:$A$667,"&lt;"&amp;12*A58)/INDEX(Discount_Monthly!$G$4:$G$664,MATCH(12*A58,Discount_Monthly!$A$4:$A$664,0))</f>
        <v>20001.7319121847</v>
      </c>
      <c r="D58" s="12" t="n">
        <f aca="false">SUMIFS(Projection_M!$P$7:$P$667,Projection_M!$A$7:$A$667,"&gt;="&amp;12*A58)/INDEX(Discount_Monthly!$G$4:$G$664,MATCH(12*A58,Discount_Monthly!$A$4:$A$664,0))</f>
        <v>0.507839397198026</v>
      </c>
      <c r="E58" s="12" t="n">
        <f aca="false">C58-D58</f>
        <v>20001.2240727875</v>
      </c>
      <c r="F58" s="12" t="n">
        <f aca="false">SUMIFS(Projection!$N$4:$N$59,Projection!$B$4:$B$59,"&lt;"&amp;(Assumptions!$B$4+A58))/Discount!C57</f>
        <v>20980.6222968225</v>
      </c>
      <c r="G58" s="12" t="n">
        <f aca="false">SUMIFS(Projection!$P$4:$P$59,Projection!$B$4:$B$59,"&gt;="&amp;(Assumptions!$B$4+A58))/Discount!C57</f>
        <v>0.819358695652638</v>
      </c>
      <c r="H58" s="12" t="n">
        <f aca="false">F58-G58</f>
        <v>20979.8029381268</v>
      </c>
      <c r="I58" s="12" t="n">
        <f aca="false">E58-H58</f>
        <v>-978.578865339376</v>
      </c>
      <c r="J58" s="34" t="n">
        <f aca="false">IF(E58&lt;0,A58,999)</f>
        <v>999</v>
      </c>
      <c r="K58" s="34" t="n">
        <f aca="false">IF(H58&lt;0,A58,999)</f>
        <v>999</v>
      </c>
    </row>
    <row r="59" customFormat="false" ht="15" hidden="false" customHeight="true" outlineLevel="0" collapsed="false">
      <c r="A59" s="3" t="n">
        <v>54</v>
      </c>
      <c r="B59" s="34" t="n">
        <f aca="false">Assumptions!$B$4+A59</f>
        <v>119</v>
      </c>
      <c r="C59" s="12" t="n">
        <f aca="false">SUMIFS(Projection_M!$Q$7:$Q$667,Projection_M!$A$7:$A$667,"&lt;"&amp;12*A59)/INDEX(Discount_Monthly!$G$4:$G$664,MATCH(12*A59,Discount_Monthly!$A$4:$A$664,0))</f>
        <v>20666.8342230708</v>
      </c>
      <c r="D59" s="12" t="n">
        <f aca="false">SUMIFS(Projection_M!$P$7:$P$667,Projection_M!$A$7:$A$667,"&gt;="&amp;12*A59)/INDEX(Discount_Monthly!$G$4:$G$664,MATCH(12*A59,Discount_Monthly!$A$4:$A$664,0))</f>
        <v>0.158329995374475</v>
      </c>
      <c r="E59" s="12" t="n">
        <f aca="false">C59-D59</f>
        <v>20666.6758930755</v>
      </c>
      <c r="F59" s="12" t="n">
        <f aca="false">SUMIFS(Projection!$N$4:$N$59,Projection!$B$4:$B$59,"&lt;"&amp;(Assumptions!$B$4+A59))/Discount!C58</f>
        <v>21678.1253318449</v>
      </c>
      <c r="G59" s="12" t="n">
        <f aca="false">SUMIFS(Projection!$P$4:$P$59,Projection!$B$4:$B$59,"&gt;="&amp;(Assumptions!$B$4+A59))/Discount!C58</f>
        <v>0.31271172790399</v>
      </c>
      <c r="H59" s="12" t="n">
        <f aca="false">F59-G59</f>
        <v>21677.812620117</v>
      </c>
      <c r="I59" s="12" t="n">
        <f aca="false">E59-H59</f>
        <v>-1011.13672704152</v>
      </c>
      <c r="J59" s="34" t="n">
        <f aca="false">IF(E59&lt;0,A59,999)</f>
        <v>999</v>
      </c>
      <c r="K59" s="34" t="n">
        <f aca="false">IF(H59&lt;0,A59,999)</f>
        <v>999</v>
      </c>
    </row>
    <row r="60" customFormat="false" ht="15" hidden="false" customHeight="true" outlineLevel="0" collapsed="false">
      <c r="A60" s="3" t="n">
        <v>55</v>
      </c>
      <c r="B60" s="34" t="n">
        <f aca="false">Assumptions!$B$4+A60</f>
        <v>120</v>
      </c>
      <c r="C60" s="12" t="n">
        <f aca="false">SUMIFS(Projection_M!$Q$7:$Q$667,Projection_M!$A$7:$A$667,"&lt;"&amp;12*A60)/INDEX(Discount_Monthly!$G$4:$G$664,MATCH(12*A60,Discount_Monthly!$A$4:$A$664,0))</f>
        <v>21343.726890591</v>
      </c>
      <c r="D60" s="12" t="n">
        <f aca="false">SUMIFS(Projection_M!$P$7:$P$667,Projection_M!$A$7:$A$667,"&gt;="&amp;12*A60)/INDEX(Discount_Monthly!$G$4:$G$664,MATCH(12*A60,Discount_Monthly!$A$4:$A$664,0))</f>
        <v>0.00772151613563575</v>
      </c>
      <c r="E60" s="12" t="n">
        <f aca="false">C60-D60</f>
        <v>21343.7191690749</v>
      </c>
      <c r="F60" s="12" t="n">
        <f aca="false">SUMIFS(Projection!$N$4:$N$59,Projection!$B$4:$B$59,"&lt;"&amp;(Assumptions!$B$4+A60))/Discount!C59</f>
        <v>22388.0735389811</v>
      </c>
      <c r="G60" s="12" t="n">
        <f aca="false">SUMIFS(Projection!$P$4:$P$59,Projection!$B$4:$B$59,"&gt;="&amp;(Assumptions!$B$4+A60))/Discount!C59</f>
        <v>0.0926581936276291</v>
      </c>
      <c r="H60" s="12" t="n">
        <f aca="false">F60-G60</f>
        <v>22387.9808807875</v>
      </c>
      <c r="I60" s="12" t="n">
        <f aca="false">E60-H60</f>
        <v>-1044.26171171257</v>
      </c>
      <c r="J60" s="34" t="n">
        <f aca="false">IF(E60&lt;0,A60,999)</f>
        <v>999</v>
      </c>
      <c r="K60" s="34" t="n">
        <f aca="false">IF(H60&lt;0,A60,999)</f>
        <v>999</v>
      </c>
    </row>
    <row r="62" customFormat="false" ht="15" hidden="false" customHeight="true" outlineLevel="0" collapsed="false">
      <c r="A62" s="6" t="s">
        <v>915</v>
      </c>
    </row>
    <row r="63" customFormat="false" ht="15" hidden="false" customHeight="true" outlineLevel="0" collapsed="false">
      <c r="A63" s="1" t="s">
        <v>916</v>
      </c>
      <c r="C63" s="21" t="str">
        <f aca="false">IF(MIN(J5:J60)=999,"never — own funds stay positive throughout",MIN(J5:J60))</f>
        <v>never — own funds stay positive throughout</v>
      </c>
    </row>
    <row r="64" customFormat="false" ht="15" hidden="false" customHeight="true" outlineLevel="0" collapsed="false">
      <c r="A64" s="1" t="s">
        <v>917</v>
      </c>
      <c r="C64" s="21" t="str">
        <f aca="false">IF(MIN(K5:K60)=999,"never — own funds stay positive throughout",MIN(K5:K60))</f>
        <v>never — own funds stay positive throughout</v>
      </c>
    </row>
    <row r="65" customFormat="false" ht="15" hidden="false" customHeight="true" outlineLevel="0" collapsed="false">
      <c r="A65" s="1" t="s">
        <v>918</v>
      </c>
      <c r="C65" s="54" t="str">
        <f aca="false">IF(AND(MIN(E5:E60)&gt;0,MIN(H5:H60)&gt;0),"yes","no — see the curve")</f>
        <v>yes</v>
      </c>
    </row>
    <row r="67" customFormat="false" ht="15" hidden="false" customHeight="true" outlineLevel="0" collapsed="false">
      <c r="A67" s="1" t="s">
        <v>919</v>
      </c>
      <c r="C67" s="12" t="n">
        <f aca="false">MAX(E5:E60)</f>
        <v>21343.7191690749</v>
      </c>
    </row>
    <row r="68" customFormat="false" ht="15" hidden="false" customHeight="true" outlineLevel="0" collapsed="false">
      <c r="A68" s="1" t="s">
        <v>920</v>
      </c>
      <c r="C68" s="34" t="n">
        <f aca="false">INDEX(A5:A60,MATCH(C67,E5:E60,0))</f>
        <v>55</v>
      </c>
    </row>
    <row r="69" customFormat="false" ht="15" hidden="false" customHeight="true" outlineLevel="0" collapsed="false">
      <c r="A69" s="1" t="s">
        <v>921</v>
      </c>
      <c r="C69" s="12" t="n">
        <f aca="false">MAX(H5:H60)</f>
        <v>22387.9808807875</v>
      </c>
    </row>
    <row r="70" customFormat="false" ht="15" hidden="false" customHeight="true" outlineLevel="0" collapsed="false">
      <c r="A70" s="1" t="s">
        <v>922</v>
      </c>
      <c r="C70" s="34" t="n">
        <f aca="false">INDEX(A5:A60,MATCH(C69,H5:H60,0))</f>
        <v>55</v>
      </c>
    </row>
    <row r="72" customFormat="false" ht="15" hidden="false" customHeight="true" outlineLevel="0" collapsed="false">
      <c r="A72" s="1" t="s">
        <v>923</v>
      </c>
      <c r="C72" s="12" t="n">
        <f aca="false">MIN(E5:E60)</f>
        <v>3730.74246963365</v>
      </c>
    </row>
    <row r="73" customFormat="false" ht="15" hidden="false" customHeight="true" outlineLevel="0" collapsed="false">
      <c r="A73" s="1" t="s">
        <v>924</v>
      </c>
      <c r="C73" s="34" t="n">
        <f aca="false">INDEX(A5:A60,MATCH(C72,E5:E60,0))</f>
        <v>0</v>
      </c>
    </row>
    <row r="74" customFormat="false" ht="15" hidden="false" customHeight="true" outlineLevel="0" collapsed="false">
      <c r="A74" s="1" t="s">
        <v>925</v>
      </c>
      <c r="C74" s="12" t="n">
        <f aca="false">MIN(H5:H60)</f>
        <v>3913.27258476668</v>
      </c>
    </row>
    <row r="75" customFormat="false" ht="15" hidden="false" customHeight="true" outlineLevel="0" collapsed="false">
      <c r="A75" s="1" t="s">
        <v>926</v>
      </c>
      <c r="C75" s="34" t="n">
        <f aca="false">INDEX(A5:A60,MATCH(C74,H5:H60,0))</f>
        <v>0</v>
      </c>
    </row>
    <row r="77" customFormat="false" ht="15" hidden="false" customHeight="true" outlineLevel="0" collapsed="false">
      <c r="A77" s="1" t="s">
        <v>927</v>
      </c>
      <c r="C77" s="12" t="n">
        <f aca="false">E60</f>
        <v>21343.7191690749</v>
      </c>
    </row>
    <row r="78" customFormat="false" ht="15" hidden="false" customHeight="true" outlineLevel="0" collapsed="false">
      <c r="A78" s="1" t="s">
        <v>928</v>
      </c>
      <c r="C78" s="12" t="n">
        <f aca="false">H60</f>
        <v>22387.9808807875</v>
      </c>
    </row>
    <row r="80" customFormat="false" ht="15" hidden="false" customHeight="true" outlineLevel="0" collapsed="false">
      <c r="A80" s="6" t="s">
        <v>929</v>
      </c>
    </row>
    <row r="81" customFormat="false" ht="15" hidden="false" customHeight="true" outlineLevel="0" collapsed="false">
      <c r="A81" s="7" t="s">
        <v>930</v>
      </c>
    </row>
    <row r="82" customFormat="false" ht="15" hidden="false" customHeight="true" outlineLevel="0" collapsed="false">
      <c r="A82" s="7" t="s">
        <v>931</v>
      </c>
    </row>
    <row r="83" customFormat="false" ht="15" hidden="false" customHeight="true" outlineLevel="0" collapsed="false">
      <c r="A83" s="7"/>
    </row>
    <row r="85" customFormat="false" ht="15" hidden="false" customHeight="true" outlineLevel="0" collapsed="false">
      <c r="A85" s="3" t="s">
        <v>932</v>
      </c>
    </row>
    <row r="86" customFormat="false" ht="15" hidden="false" customHeight="true" outlineLevel="0" collapsed="false">
      <c r="A86" s="1" t="s">
        <v>933</v>
      </c>
      <c r="C86" s="27" t="n">
        <f aca="false">H5-OwnFunds_SCR!B7</f>
        <v>0</v>
      </c>
    </row>
    <row r="87" customFormat="false" ht="15" hidden="false" customHeight="true" outlineLevel="0" collapsed="false">
      <c r="A87" s="1" t="s">
        <v>934</v>
      </c>
      <c r="C87" s="27" t="n">
        <f aca="false">H20-OwnFunds_SCR!E7</f>
        <v>0</v>
      </c>
    </row>
    <row r="88" customFormat="false" ht="15" hidden="false" customHeight="true" outlineLevel="0" collapsed="false">
      <c r="A88" s="1" t="s">
        <v>935</v>
      </c>
      <c r="C88" s="27" t="n">
        <f aca="false">H25-OwnFunds_SCR!F7</f>
        <v>0</v>
      </c>
    </row>
    <row r="89" customFormat="false" ht="15" hidden="false" customHeight="true" outlineLevel="0" collapsed="false">
      <c r="A89" s="3" t="s">
        <v>458</v>
      </c>
      <c r="C89" s="28" t="str">
        <f aca="false">IF(AND(ABS(C86)&lt;0.01,ABS(C87)&lt;0.01,ABS(C88)&lt;0.01),"PASS — the full annual curve reproduces the reported timepoints exactly","FAIL")</f>
        <v>PASS — the full annual curve reproduces the reported timepoints exactly</v>
      </c>
    </row>
    <row r="99" customFormat="false" ht="15" hidden="false" customHeight="true" outlineLevel="0" collapsed="false">
      <c r="A99" s="6" t="s">
        <v>936</v>
      </c>
    </row>
    <row r="100" customFormat="false" ht="15" hidden="false" customHeight="true" outlineLevel="0" collapsed="false">
      <c r="A100" s="7" t="s">
        <v>937</v>
      </c>
    </row>
    <row r="101" customFormat="false" ht="15" hidden="false" customHeight="true" outlineLevel="0" collapsed="false">
      <c r="A101" s="7" t="s">
        <v>938</v>
      </c>
    </row>
    <row r="103" customFormat="false" ht="15" hidden="false" customHeight="true" outlineLevel="0" collapsed="false">
      <c r="A103" s="1" t="s">
        <v>939</v>
      </c>
      <c r="B103" s="54" t="n">
        <f aca="false">Assumptions!$B$6</f>
        <v>15</v>
      </c>
      <c r="C103" s="7" t="s">
        <v>940</v>
      </c>
    </row>
    <row r="105" customFormat="false" ht="15" hidden="false" customHeight="true" outlineLevel="0" collapsed="false">
      <c r="A105" s="8" t="s">
        <v>802</v>
      </c>
      <c r="B105" s="8" t="s">
        <v>463</v>
      </c>
      <c r="C105" s="8" t="s">
        <v>941</v>
      </c>
      <c r="D105" s="8" t="s">
        <v>942</v>
      </c>
      <c r="E105" s="8" t="s">
        <v>943</v>
      </c>
      <c r="F105" s="8" t="s">
        <v>693</v>
      </c>
      <c r="G105" s="8" t="s">
        <v>818</v>
      </c>
      <c r="H105" s="8" t="s">
        <v>944</v>
      </c>
    </row>
    <row r="106" customFormat="false" ht="15" hidden="false" customHeight="true" outlineLevel="0" collapsed="false">
      <c r="A106" s="1" t="n">
        <v>0</v>
      </c>
      <c r="B106" s="34" t="n">
        <f aca="false">Assumptions!$B$4+A106</f>
        <v>65</v>
      </c>
      <c r="C106" s="12" t="n">
        <f aca="false">H5</f>
        <v>3913.27258476668</v>
      </c>
      <c r="D106" s="12" t="n">
        <f aca="false">RiskMargin!J4</f>
        <v>16652.8497463172</v>
      </c>
      <c r="E106" s="12" t="n">
        <f aca="false">RiskMargin!L4</f>
        <v>20767.4548564818</v>
      </c>
      <c r="F106" s="32" t="n">
        <f aca="false">Projection!F4</f>
        <v>1</v>
      </c>
      <c r="G106" s="12" t="n">
        <f aca="false">IF(F106&lt;=0,0,MAX(0,(D106+E106-C106)/F106))</f>
        <v>33507.0320180323</v>
      </c>
      <c r="H106" s="5" t="str">
        <f aca="false">IF(A106=$B$103,"vesting","")</f>
        <v/>
      </c>
    </row>
    <row r="107" customFormat="false" ht="15" hidden="false" customHeight="true" outlineLevel="0" collapsed="false">
      <c r="A107" s="1" t="n">
        <v>1</v>
      </c>
      <c r="B107" s="34" t="n">
        <f aca="false">Assumptions!$B$4+A107</f>
        <v>66</v>
      </c>
      <c r="C107" s="12" t="n">
        <f aca="false">H6</f>
        <v>4014.86114106723</v>
      </c>
      <c r="D107" s="12" t="n">
        <f aca="false">RiskMargin!J5</f>
        <v>17066.051332807</v>
      </c>
      <c r="E107" s="12" t="n">
        <f aca="false">RiskMargin!L5</f>
        <v>20281.4685210122</v>
      </c>
      <c r="F107" s="32" t="n">
        <f aca="false">Projection!F5</f>
        <v>0.954429784274803</v>
      </c>
      <c r="G107" s="12" t="n">
        <f aca="false">IF(F107&lt;=0,0,MAX(0,(D107+E107-C107)/F107))</f>
        <v>34924.1602283806</v>
      </c>
      <c r="H107" s="5" t="str">
        <f aca="false">IF(A107=$B$103,"vesting","")</f>
        <v/>
      </c>
    </row>
    <row r="108" customFormat="false" ht="15" hidden="false" customHeight="true" outlineLevel="0" collapsed="false">
      <c r="A108" s="1" t="n">
        <v>2</v>
      </c>
      <c r="B108" s="34" t="n">
        <f aca="false">Assumptions!$B$4+A108</f>
        <v>67</v>
      </c>
      <c r="C108" s="12" t="n">
        <f aca="false">H7</f>
        <v>4121.49620516851</v>
      </c>
      <c r="D108" s="12" t="n">
        <f aca="false">RiskMargin!J6</f>
        <v>17426.2697968519</v>
      </c>
      <c r="E108" s="12" t="n">
        <f aca="false">RiskMargin!L6</f>
        <v>19768.9864748786</v>
      </c>
      <c r="F108" s="32" t="n">
        <f aca="false">Projection!F6</f>
        <v>0.928451921141693</v>
      </c>
      <c r="G108" s="12" t="n">
        <f aca="false">IF(F108&lt;=0,0,MAX(0,(D108+E108-C108)/F108))</f>
        <v>35622.4800804893</v>
      </c>
      <c r="H108" s="5" t="str">
        <f aca="false">IF(A108=$B$103,"vesting","")</f>
        <v/>
      </c>
    </row>
    <row r="109" customFormat="false" ht="15" hidden="false" customHeight="true" outlineLevel="0" collapsed="false">
      <c r="A109" s="1" t="n">
        <v>3</v>
      </c>
      <c r="B109" s="34" t="n">
        <f aca="false">Assumptions!$B$4+A109</f>
        <v>68</v>
      </c>
      <c r="C109" s="12" t="n">
        <f aca="false">H8</f>
        <v>4229.47941056313</v>
      </c>
      <c r="D109" s="12" t="n">
        <f aca="false">RiskMargin!J7</f>
        <v>17761.8298453481</v>
      </c>
      <c r="E109" s="12" t="n">
        <f aca="false">RiskMargin!L7</f>
        <v>19213.9636584817</v>
      </c>
      <c r="F109" s="32" t="n">
        <f aca="false">Projection!F7</f>
        <v>0.910458495120298</v>
      </c>
      <c r="G109" s="12" t="n">
        <f aca="false">IF(F109&lt;=0,0,MAX(0,(D109+E109-C109)/F109))</f>
        <v>35966.8389814298</v>
      </c>
      <c r="H109" s="5" t="str">
        <f aca="false">IF(A109=$B$103,"vesting","")</f>
        <v/>
      </c>
    </row>
    <row r="110" customFormat="false" ht="15" hidden="false" customHeight="true" outlineLevel="0" collapsed="false">
      <c r="A110" s="1" t="n">
        <v>4</v>
      </c>
      <c r="B110" s="34" t="n">
        <f aca="false">Assumptions!$B$4+A110</f>
        <v>69</v>
      </c>
      <c r="C110" s="12" t="n">
        <f aca="false">H9</f>
        <v>4342.49145652453</v>
      </c>
      <c r="D110" s="12" t="n">
        <f aca="false">RiskMargin!J8</f>
        <v>18060.0661681813</v>
      </c>
      <c r="E110" s="12" t="n">
        <f aca="false">RiskMargin!L8</f>
        <v>18633.1767391431</v>
      </c>
      <c r="F110" s="32" t="n">
        <f aca="false">Projection!F8</f>
        <v>0.89228176534528</v>
      </c>
      <c r="G110" s="12" t="n">
        <f aca="false">IF(F110&lt;=0,0,MAX(0,(D110+E110-C110)/F110))</f>
        <v>36256.205951134</v>
      </c>
      <c r="H110" s="5" t="str">
        <f aca="false">IF(A110=$B$103,"vesting","")</f>
        <v/>
      </c>
    </row>
    <row r="111" customFormat="false" ht="15" hidden="false" customHeight="true" outlineLevel="0" collapsed="false">
      <c r="A111" s="1" t="n">
        <v>5</v>
      </c>
      <c r="B111" s="34" t="n">
        <f aca="false">Assumptions!$B$4+A111</f>
        <v>70</v>
      </c>
      <c r="C111" s="12" t="n">
        <f aca="false">H10</f>
        <v>4464.12925122245</v>
      </c>
      <c r="D111" s="12" t="n">
        <f aca="false">RiskMargin!J9</f>
        <v>18332.0884072738</v>
      </c>
      <c r="E111" s="12" t="n">
        <f aca="false">RiskMargin!L9</f>
        <v>18041.1549289459</v>
      </c>
      <c r="F111" s="32" t="n">
        <f aca="false">Projection!F9</f>
        <v>0.873874922230056</v>
      </c>
      <c r="G111" s="12" t="n">
        <f aca="false">IF(F111&lt;=0,0,MAX(0,(D111+E111-C111)/F111))</f>
        <v>36514.5094260948</v>
      </c>
      <c r="H111" s="5" t="str">
        <f aca="false">IF(A111=$B$103,"vesting","")</f>
        <v/>
      </c>
    </row>
    <row r="112" customFormat="false" ht="15" hidden="false" customHeight="true" outlineLevel="0" collapsed="false">
      <c r="A112" s="1" t="n">
        <v>6</v>
      </c>
      <c r="B112" s="34" t="n">
        <f aca="false">Assumptions!$B$4+A112</f>
        <v>71</v>
      </c>
      <c r="C112" s="12" t="n">
        <f aca="false">H11</f>
        <v>4593.19616094708</v>
      </c>
      <c r="D112" s="12" t="n">
        <f aca="false">RiskMargin!J10</f>
        <v>18619.6410483728</v>
      </c>
      <c r="E112" s="12" t="n">
        <f aca="false">RiskMargin!L10</f>
        <v>17431.0344736795</v>
      </c>
      <c r="F112" s="32" t="n">
        <f aca="false">Projection!F10</f>
        <v>0.858567656672851</v>
      </c>
      <c r="G112" s="12" t="n">
        <f aca="false">IF(F112&lt;=0,0,MAX(0,(D112+E112-C112)/F112))</f>
        <v>36639.4880084469</v>
      </c>
      <c r="H112" s="5" t="str">
        <f aca="false">IF(A112=$B$103,"vesting","")</f>
        <v/>
      </c>
    </row>
    <row r="113" customFormat="false" ht="15" hidden="false" customHeight="true" outlineLevel="0" collapsed="false">
      <c r="A113" s="1" t="n">
        <v>7</v>
      </c>
      <c r="B113" s="34" t="n">
        <f aca="false">Assumptions!$B$4+A113</f>
        <v>72</v>
      </c>
      <c r="C113" s="12" t="n">
        <f aca="false">H12</f>
        <v>4731.65328831676</v>
      </c>
      <c r="D113" s="12" t="n">
        <f aca="false">RiskMargin!J11</f>
        <v>18881.2375975217</v>
      </c>
      <c r="E113" s="12" t="n">
        <f aca="false">RiskMargin!L11</f>
        <v>16805.6202552002</v>
      </c>
      <c r="F113" s="32" t="n">
        <f aca="false">Projection!F11</f>
        <v>0.84276021626017</v>
      </c>
      <c r="G113" s="12" t="n">
        <f aca="false">IF(F113&lt;=0,0,MAX(0,(D113+E113-C113)/F113))</f>
        <v>36730.7378387791</v>
      </c>
      <c r="H113" s="5" t="str">
        <f aca="false">IF(A113=$B$103,"vesting","")</f>
        <v/>
      </c>
    </row>
    <row r="114" customFormat="false" ht="15" hidden="false" customHeight="true" outlineLevel="0" collapsed="false">
      <c r="A114" s="1" t="n">
        <v>8</v>
      </c>
      <c r="B114" s="34" t="n">
        <f aca="false">Assumptions!$B$4+A114</f>
        <v>73</v>
      </c>
      <c r="C114" s="12" t="n">
        <f aca="false">H13</f>
        <v>4879.97303802019</v>
      </c>
      <c r="D114" s="12" t="n">
        <f aca="false">RiskMargin!J12</f>
        <v>19110.2370052548</v>
      </c>
      <c r="E114" s="12" t="n">
        <f aca="false">RiskMargin!L12</f>
        <v>16164.0283529247</v>
      </c>
      <c r="F114" s="32" t="n">
        <f aca="false">Projection!F12</f>
        <v>0.826387919730429</v>
      </c>
      <c r="G114" s="12" t="n">
        <f aca="false">IF(F114&lt;=0,0,MAX(0,(D114+E114-C114)/F114))</f>
        <v>36779.6909834719</v>
      </c>
      <c r="H114" s="5" t="str">
        <f aca="false">IF(A114=$B$103,"vesting","")</f>
        <v/>
      </c>
    </row>
    <row r="115" customFormat="false" ht="15" hidden="false" customHeight="true" outlineLevel="0" collapsed="false">
      <c r="A115" s="1" t="n">
        <v>9</v>
      </c>
      <c r="B115" s="34" t="n">
        <f aca="false">Assumptions!$B$4+A115</f>
        <v>74</v>
      </c>
      <c r="C115" s="12" t="n">
        <f aca="false">H14</f>
        <v>5038.07644283825</v>
      </c>
      <c r="D115" s="12" t="n">
        <f aca="false">RiskMargin!J13</f>
        <v>19296.2679614037</v>
      </c>
      <c r="E115" s="12" t="n">
        <f aca="false">RiskMargin!L13</f>
        <v>15503.9545883517</v>
      </c>
      <c r="F115" s="32" t="n">
        <f aca="false">Projection!F13</f>
        <v>0.809383922915231</v>
      </c>
      <c r="G115" s="12" t="n">
        <f aca="false">IF(F115&lt;=0,0,MAX(0,(D115+E115-C115)/F115))</f>
        <v>36771.3581457364</v>
      </c>
      <c r="H115" s="5" t="str">
        <f aca="false">IF(A115=$B$103,"vesting","")</f>
        <v/>
      </c>
    </row>
    <row r="116" customFormat="false" ht="15" hidden="false" customHeight="true" outlineLevel="0" collapsed="false">
      <c r="A116" s="1" t="n">
        <v>10</v>
      </c>
      <c r="B116" s="34" t="n">
        <f aca="false">Assumptions!$B$4+A116</f>
        <v>75</v>
      </c>
      <c r="C116" s="12" t="n">
        <f aca="false">H15</f>
        <v>5213.84460962823</v>
      </c>
      <c r="D116" s="12" t="n">
        <f aca="false">RiskMargin!J14</f>
        <v>19457.0144705602</v>
      </c>
      <c r="E116" s="12" t="n">
        <f aca="false">RiskMargin!L14</f>
        <v>14846.6872913244</v>
      </c>
      <c r="F116" s="32" t="n">
        <f aca="false">Projection!F14</f>
        <v>0.791679736545108</v>
      </c>
      <c r="G116" s="12" t="n">
        <f aca="false">IF(F116&lt;=0,0,MAX(0,(D116+E116-C116)/F116))</f>
        <v>36744.4760923207</v>
      </c>
      <c r="H116" s="5" t="str">
        <f aca="false">IF(A116=$B$103,"vesting","")</f>
        <v/>
      </c>
    </row>
    <row r="117" customFormat="false" ht="15" hidden="false" customHeight="true" outlineLevel="0" collapsed="false">
      <c r="A117" s="1" t="n">
        <v>11</v>
      </c>
      <c r="B117" s="34" t="n">
        <f aca="false">Assumptions!$B$4+A117</f>
        <v>76</v>
      </c>
      <c r="C117" s="12" t="n">
        <f aca="false">H16</f>
        <v>5382.85041386707</v>
      </c>
      <c r="D117" s="12" t="n">
        <f aca="false">RiskMargin!J15</f>
        <v>19473.9663297575</v>
      </c>
      <c r="E117" s="12" t="n">
        <f aca="false">RiskMargin!L15</f>
        <v>14122.6773024566</v>
      </c>
      <c r="F117" s="32" t="n">
        <f aca="false">Projection!F15</f>
        <v>0.77280380599472</v>
      </c>
      <c r="G117" s="12" t="n">
        <f aca="false">IF(F117&lt;=0,0,MAX(0,(D117+E117-C117)/F117))</f>
        <v>36508.3517957465</v>
      </c>
      <c r="H117" s="5" t="str">
        <f aca="false">IF(A117=$B$103,"vesting","")</f>
        <v/>
      </c>
    </row>
    <row r="118" customFormat="false" ht="15" hidden="false" customHeight="true" outlineLevel="0" collapsed="false">
      <c r="A118" s="1" t="n">
        <v>12</v>
      </c>
      <c r="B118" s="34" t="n">
        <f aca="false">Assumptions!$B$4+A118</f>
        <v>77</v>
      </c>
      <c r="C118" s="12" t="n">
        <f aca="false">H17</f>
        <v>5574.19300272237</v>
      </c>
      <c r="D118" s="12" t="n">
        <f aca="false">RiskMargin!J16</f>
        <v>19448.5906719559</v>
      </c>
      <c r="E118" s="12" t="n">
        <f aca="false">RiskMargin!L16</f>
        <v>13414.7198298511</v>
      </c>
      <c r="F118" s="32" t="n">
        <f aca="false">Projection!F16</f>
        <v>0.753048807736933</v>
      </c>
      <c r="G118" s="12" t="n">
        <f aca="false">IF(F118&lt;=0,0,MAX(0,(D118+E118-C118)/F118))</f>
        <v>36238.1790113898</v>
      </c>
      <c r="H118" s="5" t="str">
        <f aca="false">IF(A118=$B$103,"vesting","")</f>
        <v/>
      </c>
    </row>
    <row r="119" customFormat="false" ht="15" hidden="false" customHeight="true" outlineLevel="0" collapsed="false">
      <c r="A119" s="1" t="n">
        <v>13</v>
      </c>
      <c r="B119" s="34" t="n">
        <f aca="false">Assumptions!$B$4+A119</f>
        <v>78</v>
      </c>
      <c r="C119" s="12" t="n">
        <f aca="false">H18</f>
        <v>5770.75437420304</v>
      </c>
      <c r="D119" s="12" t="n">
        <f aca="false">RiskMargin!J17</f>
        <v>19299.2613253291</v>
      </c>
      <c r="E119" s="12" t="n">
        <f aca="false">RiskMargin!L17</f>
        <v>12679.6956475612</v>
      </c>
      <c r="F119" s="32" t="n">
        <f aca="false">Projection!F17</f>
        <v>0.732331393340358</v>
      </c>
      <c r="G119" s="12" t="n">
        <f aca="false">IF(F119&lt;=0,0,MAX(0,(D119+E119-C119)/F119))</f>
        <v>35787.3536994565</v>
      </c>
      <c r="H119" s="5" t="str">
        <f aca="false">IF(A119=$B$103,"vesting","")</f>
        <v/>
      </c>
    </row>
    <row r="120" customFormat="false" ht="15" hidden="false" customHeight="true" outlineLevel="0" collapsed="false">
      <c r="A120" s="1" t="n">
        <v>14</v>
      </c>
      <c r="B120" s="34" t="n">
        <f aca="false">Assumptions!$B$4+A120</f>
        <v>79</v>
      </c>
      <c r="C120" s="12" t="n">
        <f aca="false">H19</f>
        <v>5970.06444741681</v>
      </c>
      <c r="D120" s="12" t="n">
        <f aca="false">RiskMargin!J18</f>
        <v>18998.0018950061</v>
      </c>
      <c r="E120" s="12" t="n">
        <f aca="false">RiskMargin!L18</f>
        <v>11919.6773411596</v>
      </c>
      <c r="F120" s="32" t="n">
        <f aca="false">Projection!F18</f>
        <v>0.710568694818408</v>
      </c>
      <c r="G120" s="12" t="n">
        <f aca="false">IF(F120&lt;=0,0,MAX(0,(D120+E120-C120)/F120))</f>
        <v>35109.3637683046</v>
      </c>
      <c r="H120" s="5" t="str">
        <f aca="false">IF(A120=$B$103,"vesting","")</f>
        <v/>
      </c>
    </row>
    <row r="121" customFormat="false" ht="15" hidden="false" customHeight="true" outlineLevel="0" collapsed="false">
      <c r="A121" s="1" t="n">
        <v>15</v>
      </c>
      <c r="B121" s="34" t="n">
        <f aca="false">Assumptions!$B$4+A121</f>
        <v>80</v>
      </c>
      <c r="C121" s="12" t="n">
        <f aca="false">H20</f>
        <v>6192.44791762077</v>
      </c>
      <c r="D121" s="12" t="n">
        <f aca="false">RiskMargin!J19</f>
        <v>18584.8360127642</v>
      </c>
      <c r="E121" s="12" t="n">
        <f aca="false">RiskMargin!L19</f>
        <v>11181.3420912797</v>
      </c>
      <c r="F121" s="32" t="n">
        <f aca="false">Projection!F19</f>
        <v>0.687680981645694</v>
      </c>
      <c r="G121" s="12" t="n">
        <f aca="false">IF(F121&lt;=0,0,MAX(0,(D121+E121-C121)/F121))</f>
        <v>34280.0380054262</v>
      </c>
      <c r="H121" s="5" t="str">
        <f aca="false">IF(A121=$B$103,"vesting","")</f>
        <v>vesting</v>
      </c>
    </row>
    <row r="122" customFormat="false" ht="15" hidden="false" customHeight="true" outlineLevel="0" collapsed="false">
      <c r="A122" s="1" t="n">
        <v>16</v>
      </c>
      <c r="B122" s="34" t="n">
        <f aca="false">Assumptions!$B$4+A122</f>
        <v>81</v>
      </c>
      <c r="C122" s="12" t="n">
        <f aca="false">H21</f>
        <v>6416.62651459317</v>
      </c>
      <c r="D122" s="12" t="n">
        <f aca="false">RiskMargin!J20</f>
        <v>18257.9921869559</v>
      </c>
      <c r="E122" s="12" t="n">
        <f aca="false">RiskMargin!L20</f>
        <v>10430.6697285436</v>
      </c>
      <c r="F122" s="32" t="n">
        <f aca="false">Projection!F20</f>
        <v>0.669076087760706</v>
      </c>
      <c r="G122" s="12" t="n">
        <f aca="false">IF(F122&lt;=0,0,MAX(0,(D122+E122-C122)/F122))</f>
        <v>33287.7468023815</v>
      </c>
      <c r="H122" s="5" t="str">
        <f aca="false">IF(A122=$B$103,"vesting","")</f>
        <v/>
      </c>
    </row>
    <row r="123" customFormat="false" ht="15" hidden="false" customHeight="true" outlineLevel="0" collapsed="false">
      <c r="A123" s="1" t="n">
        <v>17</v>
      </c>
      <c r="B123" s="34" t="n">
        <f aca="false">Assumptions!$B$4+A123</f>
        <v>82</v>
      </c>
      <c r="C123" s="12" t="n">
        <f aca="false">H22</f>
        <v>6636.61294402659</v>
      </c>
      <c r="D123" s="12" t="n">
        <f aca="false">RiskMargin!J21</f>
        <v>17822.7061358166</v>
      </c>
      <c r="E123" s="12" t="n">
        <f aca="false">RiskMargin!L21</f>
        <v>9655.23612097806</v>
      </c>
      <c r="F123" s="32" t="n">
        <f aca="false">Projection!F21</f>
        <v>0.648760986342387</v>
      </c>
      <c r="G123" s="12" t="n">
        <f aca="false">IF(F123&lt;=0,0,MAX(0,(D123+E123-C123)/F123))</f>
        <v>32124.8190805496</v>
      </c>
      <c r="H123" s="5" t="str">
        <f aca="false">IF(A123=$B$103,"vesting","")</f>
        <v/>
      </c>
    </row>
    <row r="124" customFormat="false" ht="15" hidden="false" customHeight="true" outlineLevel="0" collapsed="false">
      <c r="A124" s="1" t="n">
        <v>18</v>
      </c>
      <c r="B124" s="34" t="n">
        <f aca="false">Assumptions!$B$4+A124</f>
        <v>83</v>
      </c>
      <c r="C124" s="12" t="n">
        <f aca="false">H23</f>
        <v>6856.82373834329</v>
      </c>
      <c r="D124" s="12" t="n">
        <f aca="false">RiskMargin!J22</f>
        <v>17293.8358236351</v>
      </c>
      <c r="E124" s="12" t="n">
        <f aca="false">RiskMargin!L22</f>
        <v>8870.76336368321</v>
      </c>
      <c r="F124" s="32" t="n">
        <f aca="false">Projection!F22</f>
        <v>0.626650275234803</v>
      </c>
      <c r="G124" s="12" t="n">
        <f aca="false">IF(F124&lt;=0,0,MAX(0,(D124+E124-C124)/F124))</f>
        <v>30811.0858831754</v>
      </c>
      <c r="H124" s="5" t="str">
        <f aca="false">IF(A124=$B$103,"vesting","")</f>
        <v/>
      </c>
    </row>
    <row r="125" customFormat="false" ht="15" hidden="false" customHeight="true" outlineLevel="0" collapsed="false">
      <c r="A125" s="1" t="n">
        <v>19</v>
      </c>
      <c r="B125" s="34" t="n">
        <f aca="false">Assumptions!$B$4+A125</f>
        <v>84</v>
      </c>
      <c r="C125" s="12" t="n">
        <f aca="false">H24</f>
        <v>7077.75162225196</v>
      </c>
      <c r="D125" s="12" t="n">
        <f aca="false">RiskMargin!J23</f>
        <v>16676.0463761568</v>
      </c>
      <c r="E125" s="12" t="n">
        <f aca="false">RiskMargin!L23</f>
        <v>8085.51793515636</v>
      </c>
      <c r="F125" s="32" t="n">
        <f aca="false">Projection!F23</f>
        <v>0.602681224544387</v>
      </c>
      <c r="G125" s="12" t="n">
        <f aca="false">IF(F125&lt;=0,0,MAX(0,(D125+E125-C125)/F125))</f>
        <v>29341.9007742106</v>
      </c>
      <c r="H125" s="5" t="str">
        <f aca="false">IF(A125=$B$103,"vesting","")</f>
        <v/>
      </c>
    </row>
    <row r="126" customFormat="false" ht="15" hidden="false" customHeight="true" outlineLevel="0" collapsed="false">
      <c r="A126" s="1" t="n">
        <v>20</v>
      </c>
      <c r="B126" s="34" t="n">
        <f aca="false">Assumptions!$B$4+A126</f>
        <v>85</v>
      </c>
      <c r="C126" s="12" t="n">
        <f aca="false">H25</f>
        <v>7303.39047432478</v>
      </c>
      <c r="D126" s="12" t="n">
        <f aca="false">RiskMargin!J24</f>
        <v>15983.5105361247</v>
      </c>
      <c r="E126" s="12" t="n">
        <f aca="false">RiskMargin!L24</f>
        <v>7310.82365333955</v>
      </c>
      <c r="F126" s="32" t="n">
        <f aca="false">Projection!F24</f>
        <v>0.576822222557124</v>
      </c>
      <c r="G126" s="12" t="n">
        <f aca="false">IF(F126&lt;=0,0,MAX(0,(D126+E126-C126)/F126))</f>
        <v>27722.4820573827</v>
      </c>
      <c r="H126" s="5" t="str">
        <f aca="false">IF(A126=$B$103,"vesting","")</f>
        <v/>
      </c>
    </row>
    <row r="127" customFormat="false" ht="15" hidden="false" customHeight="true" outlineLevel="0" collapsed="false">
      <c r="A127" s="1" t="n">
        <v>21</v>
      </c>
      <c r="B127" s="34" t="n">
        <f aca="false">Assumptions!$B$4+A127</f>
        <v>86</v>
      </c>
      <c r="C127" s="12" t="n">
        <f aca="false">H26</f>
        <v>7536.36877912506</v>
      </c>
      <c r="D127" s="12" t="n">
        <f aca="false">RiskMargin!J25</f>
        <v>15184.0989030088</v>
      </c>
      <c r="E127" s="12" t="n">
        <f aca="false">RiskMargin!L25</f>
        <v>6554.43598584625</v>
      </c>
      <c r="F127" s="32" t="n">
        <f aca="false">Projection!F25</f>
        <v>0.548167803044827</v>
      </c>
      <c r="G127" s="12" t="n">
        <f aca="false">IF(F127&lt;=0,0,MAX(0,(D127+E127-C127)/F127))</f>
        <v>25908.4280960014</v>
      </c>
      <c r="H127" s="5" t="str">
        <f aca="false">IF(A127=$B$103,"vesting","")</f>
        <v/>
      </c>
    </row>
    <row r="128" customFormat="false" ht="15" hidden="false" customHeight="true" outlineLevel="0" collapsed="false">
      <c r="A128" s="1" t="n">
        <v>22</v>
      </c>
      <c r="B128" s="34" t="n">
        <f aca="false">Assumptions!$B$4+A128</f>
        <v>87</v>
      </c>
      <c r="C128" s="12" t="n">
        <f aca="false">H27</f>
        <v>7776.92983930663</v>
      </c>
      <c r="D128" s="12" t="n">
        <f aca="false">RiskMargin!J26</f>
        <v>14307.5710736408</v>
      </c>
      <c r="E128" s="12" t="n">
        <f aca="false">RiskMargin!L26</f>
        <v>5823.52718847984</v>
      </c>
      <c r="F128" s="32" t="n">
        <f aca="false">Projection!F26</f>
        <v>0.517281065049269</v>
      </c>
      <c r="G128" s="12" t="n">
        <f aca="false">IF(F128&lt;=0,0,MAX(0,(D128+E128-C128)/F128))</f>
        <v>23882.893184264</v>
      </c>
      <c r="H128" s="5" t="str">
        <f aca="false">IF(A128=$B$103,"vesting","")</f>
        <v/>
      </c>
    </row>
    <row r="129" customFormat="false" ht="15" hidden="false" customHeight="true" outlineLevel="0" collapsed="false">
      <c r="A129" s="1" t="n">
        <v>23</v>
      </c>
      <c r="B129" s="34" t="n">
        <f aca="false">Assumptions!$B$4+A129</f>
        <v>88</v>
      </c>
      <c r="C129" s="12" t="n">
        <f aca="false">H28</f>
        <v>8025.32516909599</v>
      </c>
      <c r="D129" s="12" t="n">
        <f aca="false">RiskMargin!J27</f>
        <v>13360.2925246973</v>
      </c>
      <c r="E129" s="12" t="n">
        <f aca="false">RiskMargin!L27</f>
        <v>5123.65747501966</v>
      </c>
      <c r="F129" s="32" t="n">
        <f aca="false">Projection!F27</f>
        <v>0.484226679255031</v>
      </c>
      <c r="G129" s="12" t="n">
        <f aca="false">IF(F129&lt;=0,0,MAX(0,(D129+E129-C129)/F129))</f>
        <v>21598.6133740323</v>
      </c>
      <c r="H129" s="5" t="str">
        <f aca="false">IF(A129=$B$103,"vesting","")</f>
        <v/>
      </c>
    </row>
    <row r="130" customFormat="false" ht="15" hidden="false" customHeight="true" outlineLevel="0" collapsed="false">
      <c r="A130" s="1" t="n">
        <v>24</v>
      </c>
      <c r="B130" s="34" t="n">
        <f aca="false">Assumptions!$B$4+A130</f>
        <v>89</v>
      </c>
      <c r="C130" s="12" t="n">
        <f aca="false">H29</f>
        <v>8283.74149841917</v>
      </c>
      <c r="D130" s="12" t="n">
        <f aca="false">RiskMargin!J28</f>
        <v>12354.1496093505</v>
      </c>
      <c r="E130" s="12" t="n">
        <f aca="false">RiskMargin!L28</f>
        <v>4461.21007162474</v>
      </c>
      <c r="F130" s="32" t="n">
        <f aca="false">Projection!F28</f>
        <v>0.449154499373439</v>
      </c>
      <c r="G130" s="12" t="n">
        <f aca="false">IF(F130&lt;=0,0,MAX(0,(D130+E130-C130)/F130))</f>
        <v>18994.8407384486</v>
      </c>
      <c r="H130" s="5" t="str">
        <f aca="false">IF(A130=$B$103,"vesting","")</f>
        <v/>
      </c>
    </row>
    <row r="131" customFormat="false" ht="15" hidden="false" customHeight="true" outlineLevel="0" collapsed="false">
      <c r="A131" s="1" t="n">
        <v>25</v>
      </c>
      <c r="B131" s="34" t="n">
        <f aca="false">Assumptions!$B$4+A131</f>
        <v>90</v>
      </c>
      <c r="C131" s="12" t="n">
        <f aca="false">H30</f>
        <v>8548.73862983858</v>
      </c>
      <c r="D131" s="12" t="n">
        <f aca="false">RiskMargin!J29</f>
        <v>11294.876214783</v>
      </c>
      <c r="E131" s="12" t="n">
        <f aca="false">RiskMargin!L29</f>
        <v>3838.96275866848</v>
      </c>
      <c r="F131" s="32" t="n">
        <f aca="false">Projection!F29</f>
        <v>0.412314462599519</v>
      </c>
      <c r="G131" s="12" t="n">
        <f aca="false">IF(F131&lt;=0,0,MAX(0,(D131+E131-C131)/F131))</f>
        <v>15971.0632076687</v>
      </c>
      <c r="H131" s="5" t="str">
        <f aca="false">IF(A131=$B$103,"vesting","")</f>
        <v/>
      </c>
    </row>
    <row r="132" customFormat="false" ht="15" hidden="false" customHeight="true" outlineLevel="0" collapsed="false">
      <c r="A132" s="1" t="n">
        <v>26</v>
      </c>
      <c r="B132" s="34" t="n">
        <f aca="false">Assumptions!$B$4+A132</f>
        <v>91</v>
      </c>
      <c r="C132" s="12" t="n">
        <f aca="false">H31</f>
        <v>8824.60750272747</v>
      </c>
      <c r="D132" s="12" t="n">
        <f aca="false">RiskMargin!J30</f>
        <v>10152.015154342</v>
      </c>
      <c r="E132" s="12" t="n">
        <f aca="false">RiskMargin!L30</f>
        <v>3263.28477305697</v>
      </c>
      <c r="F132" s="32" t="n">
        <f aca="false">Projection!F30</f>
        <v>0.372847430397582</v>
      </c>
      <c r="G132" s="12" t="n">
        <f aca="false">IF(F132&lt;=0,0,MAX(0,(D132+E132-C132)/F132))</f>
        <v>12312.522630976</v>
      </c>
      <c r="H132" s="5" t="str">
        <f aca="false">IF(A132=$B$103,"vesting","")</f>
        <v/>
      </c>
    </row>
    <row r="133" customFormat="false" ht="15" hidden="false" customHeight="true" outlineLevel="0" collapsed="false">
      <c r="A133" s="1" t="n">
        <v>27</v>
      </c>
      <c r="B133" s="34" t="n">
        <f aca="false">Assumptions!$B$4+A133</f>
        <v>92</v>
      </c>
      <c r="C133" s="12" t="n">
        <f aca="false">H32</f>
        <v>9107.34822734524</v>
      </c>
      <c r="D133" s="12" t="n">
        <f aca="false">RiskMargin!J31</f>
        <v>8988.08306707725</v>
      </c>
      <c r="E133" s="12" t="n">
        <f aca="false">RiskMargin!L31</f>
        <v>2739.20336429233</v>
      </c>
      <c r="F133" s="32" t="n">
        <f aca="false">Projection!F31</f>
        <v>0.332624074601597</v>
      </c>
      <c r="G133" s="12" t="n">
        <f aca="false">IF(F133&lt;=0,0,MAX(0,(D133+E133-C133)/F133))</f>
        <v>7876.57419915379</v>
      </c>
      <c r="H133" s="5" t="str">
        <f aca="false">IF(A133=$B$103,"vesting","")</f>
        <v/>
      </c>
    </row>
    <row r="134" customFormat="false" ht="15" hidden="false" customHeight="true" outlineLevel="0" collapsed="false">
      <c r="A134" s="1" t="n">
        <v>28</v>
      </c>
      <c r="B134" s="34" t="n">
        <f aca="false">Assumptions!$B$4+A134</f>
        <v>93</v>
      </c>
      <c r="C134" s="12" t="n">
        <f aca="false">H33</f>
        <v>9401.88120385879</v>
      </c>
      <c r="D134" s="12" t="n">
        <f aca="false">RiskMargin!J32</f>
        <v>7839.4260291593</v>
      </c>
      <c r="E134" s="12" t="n">
        <f aca="false">RiskMargin!L32</f>
        <v>2271.06406312207</v>
      </c>
      <c r="F134" s="32" t="n">
        <f aca="false">Projection!F32</f>
        <v>0.292623682400675</v>
      </c>
      <c r="G134" s="12" t="n">
        <f aca="false">IF(F134&lt;=0,0,MAX(0,(D134+E134-C134)/F134))</f>
        <v>2421.57053936706</v>
      </c>
      <c r="H134" s="5" t="str">
        <f aca="false">IF(A134=$B$103,"vesting","")</f>
        <v/>
      </c>
    </row>
    <row r="135" customFormat="false" ht="15" hidden="false" customHeight="true" outlineLevel="0" collapsed="false">
      <c r="A135" s="1" t="n">
        <v>29</v>
      </c>
      <c r="B135" s="34" t="n">
        <f aca="false">Assumptions!$B$4+A135</f>
        <v>94</v>
      </c>
      <c r="C135" s="12" t="n">
        <f aca="false">H34</f>
        <v>9706.31559730552</v>
      </c>
      <c r="D135" s="12" t="n">
        <f aca="false">RiskMargin!J33</f>
        <v>6740.2637682629</v>
      </c>
      <c r="E135" s="12" t="n">
        <f aca="false">RiskMargin!L33</f>
        <v>1859.00540231706</v>
      </c>
      <c r="F135" s="32" t="n">
        <f aca="false">Projection!F33</f>
        <v>0.254005885445969</v>
      </c>
      <c r="G135" s="12" t="n">
        <f aca="false">IF(F135&lt;=0,0,MAX(0,(D135+E135-C135)/F135))</f>
        <v>0</v>
      </c>
      <c r="H135" s="5" t="str">
        <f aca="false">IF(A135=$B$103,"vesting","")</f>
        <v/>
      </c>
    </row>
    <row r="136" customFormat="false" ht="15" hidden="false" customHeight="true" outlineLevel="0" collapsed="false">
      <c r="A136" s="1" t="n">
        <v>30</v>
      </c>
      <c r="B136" s="34" t="n">
        <f aca="false">Assumptions!$B$4+A136</f>
        <v>95</v>
      </c>
      <c r="C136" s="12" t="n">
        <f aca="false">H35</f>
        <v>10020.9959860818</v>
      </c>
      <c r="D136" s="12" t="n">
        <f aca="false">RiskMargin!J34</f>
        <v>5718.8691306031</v>
      </c>
      <c r="E136" s="12" t="n">
        <f aca="false">RiskMargin!L34</f>
        <v>1501.74761562012</v>
      </c>
      <c r="F136" s="32" t="n">
        <f aca="false">Projection!F34</f>
        <v>0.217698687470758</v>
      </c>
      <c r="G136" s="12" t="n">
        <f aca="false">IF(F136&lt;=0,0,MAX(0,(D136+E136-C136)/F136))</f>
        <v>0</v>
      </c>
      <c r="H136" s="5" t="str">
        <f aca="false">IF(A136=$B$103,"vesting","")</f>
        <v/>
      </c>
    </row>
    <row r="137" customFormat="false" ht="15" hidden="false" customHeight="true" outlineLevel="0" collapsed="false">
      <c r="A137" s="1" t="n">
        <v>31</v>
      </c>
      <c r="B137" s="34" t="n">
        <f aca="false">Assumptions!$B$4+A137</f>
        <v>96</v>
      </c>
      <c r="C137" s="12" t="n">
        <f aca="false">H36</f>
        <v>10343.171458674</v>
      </c>
      <c r="D137" s="12" t="n">
        <f aca="false">RiskMargin!J35</f>
        <v>4752.92978191932</v>
      </c>
      <c r="E137" s="12" t="n">
        <f aca="false">RiskMargin!L35</f>
        <v>1195.86500729122</v>
      </c>
      <c r="F137" s="32" t="n">
        <f aca="false">Projection!F35</f>
        <v>0.183301739410898</v>
      </c>
      <c r="G137" s="12" t="n">
        <f aca="false">IF(F137&lt;=0,0,MAX(0,(D137+E137-C137)/F137))</f>
        <v>0</v>
      </c>
      <c r="H137" s="5" t="str">
        <f aca="false">IF(A137=$B$103,"vesting","")</f>
        <v/>
      </c>
    </row>
    <row r="138" customFormat="false" ht="15" hidden="false" customHeight="true" outlineLevel="0" collapsed="false">
      <c r="A138" s="1" t="n">
        <v>32</v>
      </c>
      <c r="B138" s="34" t="n">
        <f aca="false">Assumptions!$B$4+A138</f>
        <v>97</v>
      </c>
      <c r="C138" s="12" t="n">
        <f aca="false">H37</f>
        <v>10679.2230884957</v>
      </c>
      <c r="D138" s="12" t="n">
        <f aca="false">RiskMargin!J36</f>
        <v>3897.55434626227</v>
      </c>
      <c r="E138" s="12" t="n">
        <f aca="false">RiskMargin!L36</f>
        <v>940.277688283721</v>
      </c>
      <c r="F138" s="32" t="n">
        <f aca="false">Projection!F36</f>
        <v>0.152474042651336</v>
      </c>
      <c r="G138" s="12" t="n">
        <f aca="false">IF(F138&lt;=0,0,MAX(0,(D138+E138-C138)/F138))</f>
        <v>0</v>
      </c>
      <c r="H138" s="5" t="str">
        <f aca="false">IF(A138=$B$103,"vesting","")</f>
        <v/>
      </c>
    </row>
    <row r="139" customFormat="false" ht="15" hidden="false" customHeight="true" outlineLevel="0" collapsed="false">
      <c r="A139" s="1" t="n">
        <v>33</v>
      </c>
      <c r="B139" s="34" t="n">
        <f aca="false">Assumptions!$B$4+A139</f>
        <v>98</v>
      </c>
      <c r="C139" s="12" t="n">
        <f aca="false">H38</f>
        <v>11026.620401793</v>
      </c>
      <c r="D139" s="12" t="n">
        <f aca="false">RiskMargin!J37</f>
        <v>3152.47759853877</v>
      </c>
      <c r="E139" s="12" t="n">
        <f aca="false">RiskMargin!L37</f>
        <v>729.404558752574</v>
      </c>
      <c r="F139" s="32" t="n">
        <f aca="false">Projection!F37</f>
        <v>0.125320113771468</v>
      </c>
      <c r="G139" s="12" t="n">
        <f aca="false">IF(F139&lt;=0,0,MAX(0,(D139+E139-C139)/F139))</f>
        <v>0</v>
      </c>
      <c r="H139" s="5" t="str">
        <f aca="false">IF(A139=$B$103,"vesting","")</f>
        <v/>
      </c>
    </row>
    <row r="140" customFormat="false" ht="15" hidden="false" customHeight="true" outlineLevel="0" collapsed="false">
      <c r="A140" s="1" t="n">
        <v>34</v>
      </c>
      <c r="B140" s="34" t="n">
        <f aca="false">Assumptions!$B$4+A140</f>
        <v>99</v>
      </c>
      <c r="C140" s="12" t="n">
        <f aca="false">H39</f>
        <v>11385.7598266797</v>
      </c>
      <c r="D140" s="12" t="n">
        <f aca="false">RiskMargin!J38</f>
        <v>2513.79415706926</v>
      </c>
      <c r="E140" s="12" t="n">
        <f aca="false">RiskMargin!L38</f>
        <v>557.852155106822</v>
      </c>
      <c r="F140" s="32" t="n">
        <f aca="false">Projection!F38</f>
        <v>0.101764043420001</v>
      </c>
      <c r="G140" s="12" t="n">
        <f aca="false">IF(F140&lt;=0,0,MAX(0,(D140+E140-C140)/F140))</f>
        <v>0</v>
      </c>
      <c r="H140" s="5" t="str">
        <f aca="false">IF(A140=$B$103,"vesting","")</f>
        <v/>
      </c>
    </row>
    <row r="141" customFormat="false" ht="15" hidden="false" customHeight="true" outlineLevel="0" collapsed="false">
      <c r="A141" s="1" t="n">
        <v>35</v>
      </c>
      <c r="B141" s="34" t="n">
        <f aca="false">Assumptions!$B$4+A141</f>
        <v>100</v>
      </c>
      <c r="C141" s="12" t="n">
        <f aca="false">H40</f>
        <v>11757.0520812024</v>
      </c>
      <c r="D141" s="12" t="n">
        <f aca="false">RiskMargin!J39</f>
        <v>1974.1075306776</v>
      </c>
      <c r="E141" s="12" t="n">
        <f aca="false">RiskMargin!L39</f>
        <v>420.297668709236</v>
      </c>
      <c r="F141" s="32" t="n">
        <f aca="false">Projection!F39</f>
        <v>0.0816076307860552</v>
      </c>
      <c r="G141" s="12" t="n">
        <f aca="false">IF(F141&lt;=0,0,MAX(0,(D141+E141-C141)/F141))</f>
        <v>0</v>
      </c>
      <c r="H141" s="5" t="str">
        <f aca="false">IF(A141=$B$103,"vesting","")</f>
        <v/>
      </c>
    </row>
    <row r="142" customFormat="false" ht="15" hidden="false" customHeight="true" outlineLevel="0" collapsed="false">
      <c r="A142" s="1" t="n">
        <v>36</v>
      </c>
      <c r="B142" s="34" t="n">
        <f aca="false">Assumptions!$B$4+A142</f>
        <v>101</v>
      </c>
      <c r="C142" s="12" t="n">
        <f aca="false">H41</f>
        <v>12136.688010759</v>
      </c>
      <c r="D142" s="12" t="n">
        <f aca="false">RiskMargin!J40</f>
        <v>1523.42845227198</v>
      </c>
      <c r="E142" s="12" t="n">
        <f aca="false">RiskMargin!L40</f>
        <v>311.598011091505</v>
      </c>
      <c r="F142" s="32" t="n">
        <f aca="false">Projection!F40</f>
        <v>0.0645778729615461</v>
      </c>
      <c r="G142" s="12" t="n">
        <f aca="false">IF(F142&lt;=0,0,MAX(0,(D142+E142-C142)/F142))</f>
        <v>0</v>
      </c>
      <c r="H142" s="5" t="str">
        <f aca="false">IF(A142=$B$103,"vesting","")</f>
        <v/>
      </c>
    </row>
    <row r="143" customFormat="false" ht="15" hidden="false" customHeight="true" outlineLevel="0" collapsed="false">
      <c r="A143" s="1" t="n">
        <v>37</v>
      </c>
      <c r="B143" s="34" t="n">
        <f aca="false">Assumptions!$B$4+A143</f>
        <v>102</v>
      </c>
      <c r="C143" s="12" t="n">
        <f aca="false">H42</f>
        <v>12533.3181088002</v>
      </c>
      <c r="D143" s="12" t="n">
        <f aca="false">RiskMargin!J41</f>
        <v>1152.50534854903</v>
      </c>
      <c r="E143" s="12" t="n">
        <f aca="false">RiskMargin!L41</f>
        <v>227.38824530494</v>
      </c>
      <c r="F143" s="32" t="n">
        <f aca="false">Projection!F41</f>
        <v>0.0503627086065056</v>
      </c>
      <c r="G143" s="12" t="n">
        <f aca="false">IF(F143&lt;=0,0,MAX(0,(D143+E143-C143)/F143))</f>
        <v>0</v>
      </c>
      <c r="H143" s="5" t="str">
        <f aca="false">IF(A143=$B$103,"vesting","")</f>
        <v/>
      </c>
    </row>
    <row r="144" customFormat="false" ht="15" hidden="false" customHeight="true" outlineLevel="0" collapsed="false">
      <c r="A144" s="1" t="n">
        <v>38</v>
      </c>
      <c r="B144" s="34" t="n">
        <f aca="false">Assumptions!$B$4+A144</f>
        <v>103</v>
      </c>
      <c r="C144" s="12" t="n">
        <f aca="false">H43</f>
        <v>12943.4116933332</v>
      </c>
      <c r="D144" s="12" t="n">
        <f aca="false">RiskMargin!J42</f>
        <v>849.90440574043</v>
      </c>
      <c r="E144" s="12" t="n">
        <f aca="false">RiskMargin!L42</f>
        <v>163.415512406572</v>
      </c>
      <c r="F144" s="32" t="n">
        <f aca="false">Projection!F42</f>
        <v>0.0386365499132701</v>
      </c>
      <c r="G144" s="12" t="n">
        <f aca="false">IF(F144&lt;=0,0,MAX(0,(D144+E144-C144)/F144))</f>
        <v>0</v>
      </c>
      <c r="H144" s="5" t="str">
        <f aca="false">IF(A144=$B$103,"vesting","")</f>
        <v/>
      </c>
    </row>
    <row r="145" customFormat="false" ht="15" hidden="false" customHeight="true" outlineLevel="0" collapsed="false">
      <c r="A145" s="1" t="n">
        <v>39</v>
      </c>
      <c r="B145" s="34" t="n">
        <f aca="false">Assumptions!$B$4+A145</f>
        <v>104</v>
      </c>
      <c r="C145" s="12" t="n">
        <f aca="false">H44</f>
        <v>13362.3908593426</v>
      </c>
      <c r="D145" s="12" t="n">
        <f aca="false">RiskMargin!J43</f>
        <v>604.82080713681</v>
      </c>
      <c r="E145" s="12" t="n">
        <f aca="false">RiskMargin!L43</f>
        <v>116.060331935146</v>
      </c>
      <c r="F145" s="32" t="n">
        <f aca="false">Projection!F43</f>
        <v>0.0290780653379978</v>
      </c>
      <c r="G145" s="12" t="n">
        <f aca="false">IF(F145&lt;=0,0,MAX(0,(D145+E145-C145)/F145))</f>
        <v>0</v>
      </c>
      <c r="H145" s="5" t="str">
        <f aca="false">IF(A145=$B$103,"vesting","")</f>
        <v/>
      </c>
    </row>
    <row r="146" customFormat="false" ht="15" hidden="false" customHeight="true" outlineLevel="0" collapsed="false">
      <c r="A146" s="1" t="n">
        <v>40</v>
      </c>
      <c r="B146" s="34" t="n">
        <f aca="false">Assumptions!$B$4+A146</f>
        <v>105</v>
      </c>
      <c r="C146" s="12" t="n">
        <f aca="false">H45</f>
        <v>13800.5476964441</v>
      </c>
      <c r="D146" s="12" t="n">
        <f aca="false">RiskMargin!J44</f>
        <v>434.718259312719</v>
      </c>
      <c r="E146" s="12" t="n">
        <f aca="false">RiskMargin!L44</f>
        <v>82.3868014581249</v>
      </c>
      <c r="F146" s="32" t="n">
        <f aca="false">Projection!F44</f>
        <v>0.022161714728146</v>
      </c>
      <c r="G146" s="12" t="n">
        <f aca="false">IF(F146&lt;=0,0,MAX(0,(D146+E146-C146)/F146))</f>
        <v>0</v>
      </c>
      <c r="H146" s="5" t="str">
        <f aca="false">IF(A146=$B$103,"vesting","")</f>
        <v/>
      </c>
    </row>
    <row r="147" customFormat="false" ht="15" hidden="false" customHeight="true" outlineLevel="0" collapsed="false">
      <c r="A147" s="1" t="n">
        <v>41</v>
      </c>
      <c r="B147" s="34" t="n">
        <f aca="false">Assumptions!$B$4+A147</f>
        <v>106</v>
      </c>
      <c r="C147" s="12" t="n">
        <f aca="false">H46</f>
        <v>14253.6240646016</v>
      </c>
      <c r="D147" s="12" t="n">
        <f aca="false">RiskMargin!J45</f>
        <v>385.617905254834</v>
      </c>
      <c r="E147" s="12" t="n">
        <f aca="false">RiskMargin!L45</f>
        <v>58.1521744633497</v>
      </c>
      <c r="F147" s="32" t="n">
        <f aca="false">Projection!F45</f>
        <v>0.0194574963762381</v>
      </c>
      <c r="G147" s="12" t="n">
        <f aca="false">IF(F147&lt;=0,0,MAX(0,(D147+E147-C147)/F147))</f>
        <v>0</v>
      </c>
      <c r="H147" s="5" t="str">
        <f aca="false">IF(A147=$B$103,"vesting","")</f>
        <v/>
      </c>
    </row>
    <row r="148" customFormat="false" ht="15" hidden="false" customHeight="true" outlineLevel="0" collapsed="false">
      <c r="A148" s="1" t="n">
        <v>42</v>
      </c>
      <c r="B148" s="34" t="n">
        <f aca="false">Assumptions!$B$4+A148</f>
        <v>107</v>
      </c>
      <c r="C148" s="12" t="n">
        <f aca="false">H47</f>
        <v>14716.1553548002</v>
      </c>
      <c r="D148" s="12" t="n">
        <f aca="false">RiskMargin!J46</f>
        <v>252.006106973022</v>
      </c>
      <c r="E148" s="12" t="n">
        <f aca="false">RiskMargin!L46</f>
        <v>36.1513430694748</v>
      </c>
      <c r="F148" s="32" t="n">
        <f aca="false">Projection!F46</f>
        <v>0.0129577038639437</v>
      </c>
      <c r="G148" s="12" t="n">
        <f aca="false">IF(F148&lt;=0,0,MAX(0,(D148+E148-C148)/F148))</f>
        <v>0</v>
      </c>
      <c r="H148" s="5" t="str">
        <f aca="false">IF(A148=$B$103,"vesting","")</f>
        <v/>
      </c>
    </row>
    <row r="149" customFormat="false" ht="15" hidden="false" customHeight="true" outlineLevel="0" collapsed="false">
      <c r="A149" s="1" t="n">
        <v>43</v>
      </c>
      <c r="B149" s="34" t="n">
        <f aca="false">Assumptions!$B$4+A149</f>
        <v>108</v>
      </c>
      <c r="C149" s="12" t="n">
        <f aca="false">H48</f>
        <v>15200.3220177922</v>
      </c>
      <c r="D149" s="12" t="n">
        <f aca="false">RiskMargin!J47</f>
        <v>159.174615899891</v>
      </c>
      <c r="E149" s="12" t="n">
        <f aca="false">RiskMargin!L47</f>
        <v>21.7229031454207</v>
      </c>
      <c r="F149" s="32" t="n">
        <f aca="false">Projection!F47</f>
        <v>0.00831588584834634</v>
      </c>
      <c r="G149" s="12" t="n">
        <f aca="false">IF(F149&lt;=0,0,MAX(0,(D149+E149-C149)/F149))</f>
        <v>0</v>
      </c>
      <c r="H149" s="5" t="str">
        <f aca="false">IF(A149=$B$103,"vesting","")</f>
        <v/>
      </c>
    </row>
    <row r="150" customFormat="false" ht="15" hidden="false" customHeight="true" outlineLevel="0" collapsed="false">
      <c r="A150" s="1" t="n">
        <v>44</v>
      </c>
      <c r="B150" s="34" t="n">
        <f aca="false">Assumptions!$B$4+A150</f>
        <v>109</v>
      </c>
      <c r="C150" s="12" t="n">
        <f aca="false">H49</f>
        <v>15694.3338768414</v>
      </c>
      <c r="D150" s="12" t="n">
        <f aca="false">RiskMargin!J48</f>
        <v>96.7687825050688</v>
      </c>
      <c r="E150" s="12" t="n">
        <f aca="false">RiskMargin!L48</f>
        <v>12.5680311585409</v>
      </c>
      <c r="F150" s="32" t="n">
        <f aca="false">Projection!F48</f>
        <v>0.0051226939077799</v>
      </c>
      <c r="G150" s="12" t="n">
        <f aca="false">IF(F150&lt;=0,0,MAX(0,(D150+E150-C150)/F150))</f>
        <v>0</v>
      </c>
      <c r="H150" s="5" t="str">
        <f aca="false">IF(A150=$B$103,"vesting","")</f>
        <v/>
      </c>
    </row>
    <row r="151" customFormat="false" ht="15" hidden="false" customHeight="true" outlineLevel="0" collapsed="false">
      <c r="A151" s="1" t="n">
        <v>45</v>
      </c>
      <c r="B151" s="34" t="n">
        <f aca="false">Assumptions!$B$4+A151</f>
        <v>110</v>
      </c>
      <c r="C151" s="12" t="n">
        <f aca="false">H50</f>
        <v>16211.7820882697</v>
      </c>
      <c r="D151" s="12" t="n">
        <f aca="false">RiskMargin!J49</f>
        <v>56.3896320487537</v>
      </c>
      <c r="E151" s="12" t="n">
        <f aca="false">RiskMargin!L49</f>
        <v>6.98484678521129</v>
      </c>
      <c r="F151" s="32" t="n">
        <f aca="false">Projection!F49</f>
        <v>0.0030151610082462</v>
      </c>
      <c r="G151" s="12" t="n">
        <f aca="false">IF(F151&lt;=0,0,MAX(0,(D151+E151-C151)/F151))</f>
        <v>0</v>
      </c>
      <c r="H151" s="5" t="str">
        <f aca="false">IF(A151=$B$103,"vesting","")</f>
        <v/>
      </c>
    </row>
    <row r="152" customFormat="false" ht="15" hidden="false" customHeight="true" outlineLevel="0" collapsed="false">
      <c r="A152" s="1" t="n">
        <v>46</v>
      </c>
      <c r="B152" s="34" t="n">
        <f aca="false">Assumptions!$B$4+A152</f>
        <v>111</v>
      </c>
      <c r="C152" s="12" t="n">
        <f aca="false">H51</f>
        <v>16739.4772212231</v>
      </c>
      <c r="D152" s="12" t="n">
        <f aca="false">RiskMargin!J50</f>
        <v>31.1516315041992</v>
      </c>
      <c r="E152" s="12" t="n">
        <f aca="false">RiskMargin!L50</f>
        <v>3.71869703496715</v>
      </c>
      <c r="F152" s="32" t="n">
        <f aca="false">Projection!F50</f>
        <v>0.0016867085005452</v>
      </c>
      <c r="G152" s="12" t="n">
        <f aca="false">IF(F152&lt;=0,0,MAX(0,(D152+E152-C152)/F152))</f>
        <v>0</v>
      </c>
      <c r="H152" s="5" t="str">
        <f aca="false">IF(A152=$B$103,"vesting","")</f>
        <v/>
      </c>
    </row>
    <row r="153" customFormat="false" ht="15" hidden="false" customHeight="true" outlineLevel="0" collapsed="false">
      <c r="A153" s="1" t="n">
        <v>47</v>
      </c>
      <c r="B153" s="34" t="n">
        <f aca="false">Assumptions!$B$4+A153</f>
        <v>112</v>
      </c>
      <c r="C153" s="12" t="n">
        <f aca="false">H52</f>
        <v>17284.6837478311</v>
      </c>
      <c r="D153" s="12" t="n">
        <f aca="false">RiskMargin!J51</f>
        <v>16.6293529360109</v>
      </c>
      <c r="E153" s="12" t="n">
        <f aca="false">RiskMargin!L51</f>
        <v>1.90984078260989</v>
      </c>
      <c r="F153" s="32" t="n">
        <f aca="false">Projection!F51</f>
        <v>0.000913794336408797</v>
      </c>
      <c r="G153" s="12" t="n">
        <f aca="false">IF(F153&lt;=0,0,MAX(0,(D153+E153-C153)/F153))</f>
        <v>0</v>
      </c>
      <c r="H153" s="5" t="str">
        <f aca="false">IF(A153=$B$103,"vesting","")</f>
        <v/>
      </c>
    </row>
    <row r="154" customFormat="false" ht="15" hidden="false" customHeight="true" outlineLevel="0" collapsed="false">
      <c r="A154" s="1" t="n">
        <v>48</v>
      </c>
      <c r="B154" s="34" t="n">
        <f aca="false">Assumptions!$B$4+A154</f>
        <v>113</v>
      </c>
      <c r="C154" s="12" t="n">
        <f aca="false">H53</f>
        <v>17856.2957978366</v>
      </c>
      <c r="D154" s="12" t="n">
        <f aca="false">RiskMargin!J52</f>
        <v>8.55567104344096</v>
      </c>
      <c r="E154" s="12" t="n">
        <f aca="false">RiskMargin!L52</f>
        <v>0.942242477880193</v>
      </c>
      <c r="F154" s="32" t="n">
        <f aca="false">Projection!F52</f>
        <v>0.000478998584659233</v>
      </c>
      <c r="G154" s="12" t="n">
        <f aca="false">IF(F154&lt;=0,0,MAX(0,(D154+E154-C154)/F154))</f>
        <v>0</v>
      </c>
      <c r="H154" s="5" t="str">
        <f aca="false">IF(A154=$B$103,"vesting","")</f>
        <v/>
      </c>
    </row>
    <row r="155" customFormat="false" ht="15" hidden="false" customHeight="true" outlineLevel="0" collapsed="false">
      <c r="A155" s="1" t="n">
        <v>49</v>
      </c>
      <c r="B155" s="34" t="n">
        <f aca="false">Assumptions!$B$4+A155</f>
        <v>114</v>
      </c>
      <c r="C155" s="12" t="n">
        <f aca="false">H54</f>
        <v>18438.7702016018</v>
      </c>
      <c r="D155" s="12" t="n">
        <f aca="false">RiskMargin!J53</f>
        <v>4.21734449125674</v>
      </c>
      <c r="E155" s="12" t="n">
        <f aca="false">RiskMargin!L53</f>
        <v>0.442893054412133</v>
      </c>
      <c r="F155" s="32" t="n">
        <f aca="false">Projection!F53</f>
        <v>0.000242726298517999</v>
      </c>
      <c r="G155" s="12" t="n">
        <f aca="false">IF(F155&lt;=0,0,MAX(0,(D155+E155-C155)/F155))</f>
        <v>0</v>
      </c>
      <c r="H155" s="5" t="str">
        <f aca="false">IF(A155=$B$103,"vesting","")</f>
        <v/>
      </c>
    </row>
    <row r="156" customFormat="false" ht="15" hidden="false" customHeight="true" outlineLevel="0" collapsed="false">
      <c r="A156" s="1" t="n">
        <v>50</v>
      </c>
      <c r="B156" s="34" t="n">
        <f aca="false">Assumptions!$B$4+A156</f>
        <v>115</v>
      </c>
      <c r="C156" s="12" t="n">
        <f aca="false">H55</f>
        <v>19049.8398024523</v>
      </c>
      <c r="D156" s="12" t="n">
        <f aca="false">RiskMargin!J54</f>
        <v>1.9770576438495</v>
      </c>
      <c r="E156" s="12" t="n">
        <f aca="false">RiskMargin!L54</f>
        <v>0.196144183132344</v>
      </c>
      <c r="F156" s="32" t="n">
        <f aca="false">Projection!F54</f>
        <v>0.000118806116249204</v>
      </c>
      <c r="G156" s="12" t="n">
        <f aca="false">IF(F156&lt;=0,0,MAX(0,(D156+E156-C156)/F156))</f>
        <v>0</v>
      </c>
      <c r="H156" s="5" t="str">
        <f aca="false">IF(A156=$B$103,"vesting","")</f>
        <v/>
      </c>
    </row>
    <row r="157" customFormat="false" ht="15" hidden="false" customHeight="true" outlineLevel="0" collapsed="false">
      <c r="A157" s="1" t="n">
        <v>51</v>
      </c>
      <c r="B157" s="34" t="n">
        <f aca="false">Assumptions!$B$4+A157</f>
        <v>116</v>
      </c>
      <c r="C157" s="12" t="n">
        <f aca="false">H56</f>
        <v>19672.2004223473</v>
      </c>
      <c r="D157" s="12" t="n">
        <f aca="false">RiskMargin!J55</f>
        <v>0.866942736813442</v>
      </c>
      <c r="E157" s="12" t="n">
        <f aca="false">RiskMargin!L55</f>
        <v>0.0800533361482794</v>
      </c>
      <c r="F157" s="32" t="n">
        <f aca="false">Projection!F55</f>
        <v>5.61264386734587E-005</v>
      </c>
      <c r="G157" s="12" t="n">
        <f aca="false">IF(F157&lt;=0,0,MAX(0,(D157+E157-C157)/F157))</f>
        <v>0</v>
      </c>
      <c r="H157" s="5" t="str">
        <f aca="false">IF(A157=$B$103,"vesting","")</f>
        <v/>
      </c>
    </row>
    <row r="158" customFormat="false" ht="15" hidden="false" customHeight="true" outlineLevel="0" collapsed="false">
      <c r="A158" s="1" t="n">
        <v>52</v>
      </c>
      <c r="B158" s="34" t="n">
        <f aca="false">Assumptions!$B$4+A158</f>
        <v>117</v>
      </c>
      <c r="C158" s="12" t="n">
        <f aca="false">H57</f>
        <v>20315.2871817948</v>
      </c>
      <c r="D158" s="12" t="n">
        <f aca="false">RiskMargin!J56</f>
        <v>0.344871380463849</v>
      </c>
      <c r="E158" s="12" t="n">
        <f aca="false">RiskMargin!L56</f>
        <v>0.0289532976165618</v>
      </c>
      <c r="F158" s="32" t="n">
        <f aca="false">Projection!F56</f>
        <v>2.55738846634779E-005</v>
      </c>
      <c r="G158" s="12" t="n">
        <f aca="false">IF(F158&lt;=0,0,MAX(0,(D158+E158-C158)/F158))</f>
        <v>0</v>
      </c>
      <c r="H158" s="5" t="str">
        <f aca="false">IF(A158=$B$103,"vesting","")</f>
        <v/>
      </c>
    </row>
    <row r="159" customFormat="false" ht="15" hidden="false" customHeight="true" outlineLevel="0" collapsed="false">
      <c r="A159" s="1" t="n">
        <v>53</v>
      </c>
      <c r="B159" s="34" t="n">
        <f aca="false">Assumptions!$B$4+A159</f>
        <v>118</v>
      </c>
      <c r="C159" s="12" t="n">
        <f aca="false">H58</f>
        <v>20979.8029381268</v>
      </c>
      <c r="D159" s="12" t="n">
        <f aca="false">RiskMargin!J57</f>
        <v>0.115927255075471</v>
      </c>
      <c r="E159" s="12" t="n">
        <f aca="false">RiskMargin!L57</f>
        <v>0.00853123368552913</v>
      </c>
      <c r="F159" s="32" t="n">
        <f aca="false">Projection!F57</f>
        <v>1.12317686470886E-005</v>
      </c>
      <c r="G159" s="12" t="n">
        <f aca="false">IF(F159&lt;=0,0,MAX(0,(D159+E159-C159)/F159))</f>
        <v>0</v>
      </c>
      <c r="H159" s="5" t="str">
        <f aca="false">IF(A159=$B$103,"vesting","")</f>
        <v/>
      </c>
    </row>
    <row r="160" customFormat="false" ht="15" hidden="false" customHeight="true" outlineLevel="0" collapsed="false">
      <c r="A160" s="1" t="n">
        <v>54</v>
      </c>
      <c r="B160" s="34" t="n">
        <f aca="false">Assumptions!$B$4+A160</f>
        <v>119</v>
      </c>
      <c r="C160" s="12" t="n">
        <f aca="false">H59</f>
        <v>21677.812620117</v>
      </c>
      <c r="D160" s="12" t="n">
        <f aca="false">RiskMargin!J58</f>
        <v>0.0266099057336336</v>
      </c>
      <c r="E160" s="12" t="n">
        <f aca="false">RiskMargin!L58</f>
        <v>0.00162801941317691</v>
      </c>
      <c r="F160" s="32" t="n">
        <f aca="false">Projection!F58</f>
        <v>4.75195918537906E-006</v>
      </c>
      <c r="G160" s="12" t="n">
        <f aca="false">IF(F160&lt;=0,0,MAX(0,(D160+E160-C160)/F160))</f>
        <v>0</v>
      </c>
      <c r="H160" s="5" t="str">
        <f aca="false">IF(A160=$B$103,"vesting","")</f>
        <v/>
      </c>
    </row>
    <row r="161" customFormat="false" ht="15" hidden="false" customHeight="true" outlineLevel="0" collapsed="false">
      <c r="A161" s="1" t="n">
        <v>55</v>
      </c>
      <c r="B161" s="34" t="n">
        <f aca="false">Assumptions!$B$4+A161</f>
        <v>120</v>
      </c>
      <c r="C161" s="12" t="n">
        <f aca="false">H60</f>
        <v>22387.9808807875</v>
      </c>
      <c r="D161" s="12" t="n">
        <f aca="false">RiskMargin!J59</f>
        <v>0.00054090931577197</v>
      </c>
      <c r="E161" s="12" t="n">
        <f aca="false">RiskMargin!L59</f>
        <v>3.24545589463182E-005</v>
      </c>
      <c r="F161" s="32" t="n">
        <f aca="false">Projection!F59</f>
        <v>1.93576003719086E-006</v>
      </c>
      <c r="G161" s="12" t="n">
        <f aca="false">IF(F161&lt;=0,0,MAX(0,(D161+E161-C161)/F161))</f>
        <v>0</v>
      </c>
      <c r="H161" s="5" t="str">
        <f aca="false">IF(A161=$B$103,"vesting","")</f>
        <v/>
      </c>
    </row>
    <row r="163" customFormat="false" ht="15" hidden="false" customHeight="true" outlineLevel="0" collapsed="false">
      <c r="A163" s="6" t="s">
        <v>945</v>
      </c>
    </row>
    <row r="164" customFormat="false" ht="15" hidden="false" customHeight="true" outlineLevel="0" collapsed="false">
      <c r="A164" s="1" t="s">
        <v>946</v>
      </c>
      <c r="B164" s="49" t="n">
        <f aca="false">MAX(G106:G161)</f>
        <v>36779.6909834719</v>
      </c>
    </row>
    <row r="165" customFormat="false" ht="15" hidden="false" customHeight="true" outlineLevel="0" collapsed="false">
      <c r="A165" s="1" t="s">
        <v>947</v>
      </c>
      <c r="B165" s="21" t="n">
        <f aca="false">INDEX(A106:A161,MATCH(B164,G106:G161,0))</f>
        <v>8</v>
      </c>
    </row>
    <row r="166" customFormat="false" ht="15" hidden="false" customHeight="true" outlineLevel="0" collapsed="false">
      <c r="A166" s="1" t="s">
        <v>948</v>
      </c>
      <c r="B166" s="34" t="n">
        <f aca="false">Assumptions!$B$4+B165</f>
        <v>73</v>
      </c>
    </row>
    <row r="167" customFormat="false" ht="15" hidden="false" customHeight="true" outlineLevel="0" collapsed="false">
      <c r="A167" s="1" t="s">
        <v>949</v>
      </c>
      <c r="B167" s="5" t="str">
        <f aca="false">IF(B165&lt;$B$103,$B$103-B165&amp;" years before vesting",IF(B165=$B$103,"at vesting",B165-$B$103&amp;" years after vesting"))</f>
        <v>7 years before vesting</v>
      </c>
    </row>
    <row r="169" customFormat="false" ht="15" hidden="false" customHeight="true" outlineLevel="0" collapsed="false">
      <c r="A169" s="1" t="s">
        <v>950</v>
      </c>
      <c r="B169" s="48" t="n">
        <f aca="false">Frontier!B23</f>
        <v>36744.4760923207</v>
      </c>
    </row>
    <row r="170" customFormat="false" ht="15" hidden="false" customHeight="true" outlineLevel="0" collapsed="false">
      <c r="A170" s="1" t="s">
        <v>951</v>
      </c>
      <c r="B170" s="50" t="n">
        <f aca="false">B164-B169</f>
        <v>35.2148911512049</v>
      </c>
    </row>
    <row r="171" customFormat="false" ht="15" hidden="false" customHeight="true" outlineLevel="0" collapsed="false">
      <c r="A171" s="1" t="s">
        <v>952</v>
      </c>
      <c r="B171" s="51" t="n">
        <f aca="false">B170/B164</f>
        <v>0.000957454785768317</v>
      </c>
    </row>
    <row r="172" customFormat="false" ht="15" hidden="false" customHeight="true" outlineLevel="0" collapsed="false">
      <c r="A172" s="3" t="s">
        <v>458</v>
      </c>
      <c r="B172" s="4" t="str">
        <f aca="false">IF(ABS(B170)&lt;1,"The sampled grid happens to catch the peak at this entry age","The sampled grid understates the requirement; the exact profile governs")</f>
        <v>The sampled grid understates the requirement; the exact profile governs</v>
      </c>
    </row>
    <row r="174" customFormat="false" ht="15" hidden="false" customHeight="true" outlineLevel="0" collapsed="false">
      <c r="A174" s="1" t="s">
        <v>953</v>
      </c>
      <c r="B174" s="12" t="n">
        <f aca="false">INDEX(G106:G161,$B$103+1)</f>
        <v>34280.0380054262</v>
      </c>
    </row>
    <row r="175" customFormat="false" ht="15" hidden="false" customHeight="true" outlineLevel="0" collapsed="false">
      <c r="A175" s="1" t="s">
        <v>954</v>
      </c>
      <c r="B175" s="12" t="n">
        <f aca="false">INDEX(C106:C161,$B$103+1)</f>
        <v>6192.44791762077</v>
      </c>
    </row>
    <row r="176" customFormat="false" ht="15" hidden="false" customHeight="true" outlineLevel="0" collapsed="false">
      <c r="A176" s="1" t="s">
        <v>955</v>
      </c>
      <c r="B176" s="12" t="n">
        <f aca="false">INDEX(F106:F161,$B$103+1)*0+SUMIFS(Projection!$N$4:$N$59,Projection!$B$4:$B$59,"&lt;"&amp;Assumptions!$B$5)/INDEX(Discount!$C$4:$C$64,$B$103+1)</f>
        <v>175975.362518548</v>
      </c>
    </row>
    <row r="177" customFormat="false" ht="15" hidden="false" customHeight="true" outlineLevel="0" collapsed="false">
      <c r="A177" s="1" t="s">
        <v>956</v>
      </c>
      <c r="B177" s="12" t="n">
        <f aca="false">INDEX(RiskMargin!$B$4:$B$59,$B$103+1)</f>
        <v>169782.914600927</v>
      </c>
    </row>
    <row r="178" customFormat="false" ht="15" hidden="false" customHeight="true" outlineLevel="0" collapsed="false">
      <c r="A178" s="1" t="s">
        <v>957</v>
      </c>
      <c r="B178" s="28" t="str">
        <f aca="false">IF(B176&gt;=B177,"yes","no")</f>
        <v>yes</v>
      </c>
    </row>
    <row r="180" customFormat="false" ht="15" hidden="false" customHeight="true" outlineLevel="0" collapsed="false">
      <c r="A180" s="7" t="s">
        <v>958</v>
      </c>
    </row>
    <row r="190" customFormat="false" ht="15" hidden="false" customHeight="true" outlineLevel="0" collapsed="false">
      <c r="A190" s="1" t="s">
        <v>959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S5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6"/>
    <col collapsed="false" customWidth="true" hidden="false" outlineLevel="0" max="9" min="2" style="1" width="16"/>
    <col collapsed="false" customWidth="true" hidden="false" outlineLevel="0" max="11" min="11" style="1" width="17"/>
    <col collapsed="false" customWidth="true" hidden="false" outlineLevel="0" max="12" min="12" style="1" width="19"/>
  </cols>
  <sheetData>
    <row r="1" customFormat="false" ht="15.75" hidden="false" customHeight="true" outlineLevel="0" collapsed="false">
      <c r="A1" s="15" t="s">
        <v>960</v>
      </c>
    </row>
    <row r="2" customFormat="false" ht="15" hidden="false" customHeight="true" outlineLevel="0" collapsed="false">
      <c r="A2" s="7" t="s">
        <v>961</v>
      </c>
    </row>
    <row r="4" customFormat="false" ht="15" hidden="false" customHeight="true" outlineLevel="0" collapsed="false">
      <c r="A4" s="6" t="s">
        <v>962</v>
      </c>
    </row>
    <row r="5" customFormat="false" ht="15" hidden="false" customHeight="true" outlineLevel="0" collapsed="false">
      <c r="A5" s="8" t="s">
        <v>963</v>
      </c>
      <c r="B5" s="8" t="s">
        <v>964</v>
      </c>
      <c r="C5" s="8" t="s">
        <v>965</v>
      </c>
      <c r="D5" s="8" t="s">
        <v>966</v>
      </c>
      <c r="E5" s="8" t="s">
        <v>967</v>
      </c>
    </row>
    <row r="6" customFormat="false" ht="15" hidden="false" customHeight="true" outlineLevel="0" collapsed="false">
      <c r="A6" s="3" t="s">
        <v>968</v>
      </c>
      <c r="B6" s="55" t="n">
        <v>1</v>
      </c>
      <c r="C6" s="55" t="n">
        <v>0.05</v>
      </c>
      <c r="D6" s="55" t="n">
        <v>0.05</v>
      </c>
      <c r="E6" s="7" t="s">
        <v>969</v>
      </c>
    </row>
    <row r="7" customFormat="false" ht="15" hidden="false" customHeight="true" outlineLevel="0" collapsed="false">
      <c r="A7" s="3" t="s">
        <v>970</v>
      </c>
      <c r="B7" s="55" t="n">
        <v>0</v>
      </c>
      <c r="C7" s="55" t="n">
        <v>0</v>
      </c>
      <c r="D7" s="55" t="n">
        <v>0</v>
      </c>
      <c r="E7" s="7" t="s">
        <v>971</v>
      </c>
    </row>
    <row r="8" customFormat="false" ht="15" hidden="false" customHeight="true" outlineLevel="0" collapsed="false">
      <c r="A8" s="3" t="s">
        <v>972</v>
      </c>
      <c r="B8" s="55" t="n">
        <v>0.2</v>
      </c>
      <c r="C8" s="55" t="n">
        <v>0.2</v>
      </c>
      <c r="D8" s="55" t="n">
        <v>0.2</v>
      </c>
      <c r="E8" s="7" t="s">
        <v>973</v>
      </c>
    </row>
    <row r="9" customFormat="false" ht="15" hidden="false" customHeight="true" outlineLevel="0" collapsed="false">
      <c r="A9" s="3" t="s">
        <v>974</v>
      </c>
      <c r="B9" s="55" t="n">
        <v>1</v>
      </c>
      <c r="C9" s="55" t="n">
        <v>0.2</v>
      </c>
      <c r="D9" s="55" t="n">
        <v>0.03</v>
      </c>
      <c r="E9" s="7" t="s">
        <v>975</v>
      </c>
    </row>
    <row r="11" customFormat="false" ht="15" hidden="false" customHeight="true" outlineLevel="0" collapsed="false">
      <c r="A11" s="7" t="s">
        <v>976</v>
      </c>
    </row>
    <row r="13" customFormat="false" ht="15" hidden="false" customHeight="true" outlineLevel="0" collapsed="false">
      <c r="A13" s="6" t="s">
        <v>977</v>
      </c>
    </row>
    <row r="14" customFormat="false" ht="15" hidden="false" customHeight="true" outlineLevel="0" collapsed="false">
      <c r="A14" s="8" t="s">
        <v>463</v>
      </c>
      <c r="B14" s="8" t="s">
        <v>688</v>
      </c>
      <c r="C14" s="8" t="s">
        <v>978</v>
      </c>
      <c r="D14" s="8" t="s">
        <v>979</v>
      </c>
      <c r="E14" s="8" t="s">
        <v>980</v>
      </c>
      <c r="F14" s="8" t="s">
        <v>981</v>
      </c>
      <c r="G14" s="8" t="s">
        <v>982</v>
      </c>
      <c r="H14" s="8" t="s">
        <v>983</v>
      </c>
      <c r="I14" s="8" t="s">
        <v>984</v>
      </c>
      <c r="J14" s="8" t="s">
        <v>985</v>
      </c>
      <c r="K14" s="8" t="s">
        <v>986</v>
      </c>
      <c r="L14" s="8" t="s">
        <v>987</v>
      </c>
    </row>
    <row r="15" customFormat="false" ht="15" hidden="false" customHeight="true" outlineLevel="0" collapsed="false">
      <c r="A15" s="3" t="n">
        <v>65</v>
      </c>
      <c r="B15" s="34" t="n">
        <f aca="false">A15-Assumptions!$B$4+1</f>
        <v>1</v>
      </c>
      <c r="C15" s="56" t="n">
        <f aca="false">IF(A15&gt;=Assumptions!$B$5,0,IF(B15=1,$B$6,IF(B15&lt;=4,$C$6,$D$6)))</f>
        <v>1</v>
      </c>
      <c r="D15" s="56" t="n">
        <f aca="false">IF(A15&gt;=Assumptions!$B$5,0,IF(B15=1,$B$7,IF(B15&lt;=4,$C$7,$D$7)))</f>
        <v>0</v>
      </c>
      <c r="E15" s="56" t="n">
        <f aca="false">IF(A15&gt;=Assumptions!$B$5,0,IF(B15=1,$B$8,IF(B15&lt;=4,$C$8,$D$8)))</f>
        <v>0.2</v>
      </c>
      <c r="F15" s="56" t="n">
        <f aca="false">IF(A15&gt;=Assumptions!$B$5,0,IF(B15=1,$B$9,IF(B15&lt;=4,$C$9,$D$9)))</f>
        <v>1</v>
      </c>
      <c r="G15" s="30" t="n">
        <f aca="false">Projection!$F4*C15*Projection!$H4</f>
        <v>1</v>
      </c>
      <c r="H15" s="30" t="n">
        <f aca="false">Projection!$F4*D15*Projection!$H4</f>
        <v>0</v>
      </c>
      <c r="I15" s="30" t="n">
        <f aca="false">Projection!$F4*E15*Projection!$H4</f>
        <v>0.2</v>
      </c>
      <c r="J15" s="30" t="n">
        <f aca="false">Projection!$F4*F15*Projection!$H4</f>
        <v>1</v>
      </c>
      <c r="K15" s="18" t="n">
        <f aca="false">IF(A15&gt;=Assumptions!$B$5,0,IF(B15=1,$B$266,$B$267))</f>
        <v>1</v>
      </c>
      <c r="L15" s="30" t="n">
        <f aca="false">Projection!$F4*K15*Projection!$H4</f>
        <v>1</v>
      </c>
    </row>
    <row r="16" customFormat="false" ht="15" hidden="false" customHeight="true" outlineLevel="0" collapsed="false">
      <c r="A16" s="3" t="n">
        <v>66</v>
      </c>
      <c r="B16" s="34" t="n">
        <f aca="false">A16-Assumptions!$B$4+1</f>
        <v>2</v>
      </c>
      <c r="C16" s="56" t="n">
        <f aca="false">IF(A16&gt;=Assumptions!$B$5,0,IF(B16=1,$B$6,IF(B16&lt;=4,$C$6,$D$6)))</f>
        <v>0.05</v>
      </c>
      <c r="D16" s="56" t="n">
        <f aca="false">IF(A16&gt;=Assumptions!$B$5,0,IF(B16=1,$B$7,IF(B16&lt;=4,$C$7,$D$7)))</f>
        <v>0</v>
      </c>
      <c r="E16" s="56" t="n">
        <f aca="false">IF(A16&gt;=Assumptions!$B$5,0,IF(B16=1,$B$8,IF(B16&lt;=4,$C$8,$D$8)))</f>
        <v>0.2</v>
      </c>
      <c r="F16" s="56" t="n">
        <f aca="false">IF(A16&gt;=Assumptions!$B$5,0,IF(B16=1,$B$9,IF(B16&lt;=4,$C$9,$D$9)))</f>
        <v>0.2</v>
      </c>
      <c r="G16" s="30" t="n">
        <f aca="false">Projection!$F5*C16*Projection!$H5</f>
        <v>0.0465139861337091</v>
      </c>
      <c r="H16" s="30" t="n">
        <f aca="false">Projection!$F5*D16*Projection!$H5</f>
        <v>0</v>
      </c>
      <c r="I16" s="30" t="n">
        <f aca="false">Projection!$F5*E16*Projection!$H5</f>
        <v>0.186055944534836</v>
      </c>
      <c r="J16" s="30" t="n">
        <f aca="false">Projection!$F5*F16*Projection!$H5</f>
        <v>0.186055944534836</v>
      </c>
      <c r="K16" s="18" t="n">
        <f aca="false">IF(A16&gt;=Assumptions!$B$5,0,IF(B16=1,$B$266,$B$267))</f>
        <v>0.01</v>
      </c>
      <c r="L16" s="30" t="n">
        <f aca="false">Projection!$F5*K16*Projection!$H5</f>
        <v>0.00930279722674182</v>
      </c>
    </row>
    <row r="17" customFormat="false" ht="15" hidden="false" customHeight="true" outlineLevel="0" collapsed="false">
      <c r="A17" s="3" t="n">
        <v>67</v>
      </c>
      <c r="B17" s="34" t="n">
        <f aca="false">A17-Assumptions!$B$4+1</f>
        <v>3</v>
      </c>
      <c r="C17" s="56" t="n">
        <f aca="false">IF(A17&gt;=Assumptions!$B$5,0,IF(B17=1,$B$6,IF(B17&lt;=4,$C$6,$D$6)))</f>
        <v>0.05</v>
      </c>
      <c r="D17" s="56" t="n">
        <f aca="false">IF(A17&gt;=Assumptions!$B$5,0,IF(B17=1,$B$7,IF(B17&lt;=4,$C$7,$D$7)))</f>
        <v>0</v>
      </c>
      <c r="E17" s="56" t="n">
        <f aca="false">IF(A17&gt;=Assumptions!$B$5,0,IF(B17=1,$B$8,IF(B17&lt;=4,$C$8,$D$8)))</f>
        <v>0.2</v>
      </c>
      <c r="F17" s="56" t="n">
        <f aca="false">IF(A17&gt;=Assumptions!$B$5,0,IF(B17=1,$B$9,IF(B17&lt;=4,$C$9,$D$9)))</f>
        <v>0.2</v>
      </c>
      <c r="G17" s="30" t="n">
        <f aca="false">Projection!$F6*C17*Projection!$H6</f>
        <v>0.0440772630667654</v>
      </c>
      <c r="H17" s="30" t="n">
        <f aca="false">Projection!$F6*D17*Projection!$H6</f>
        <v>0</v>
      </c>
      <c r="I17" s="30" t="n">
        <f aca="false">Projection!$F6*E17*Projection!$H6</f>
        <v>0.176309052267061</v>
      </c>
      <c r="J17" s="30" t="n">
        <f aca="false">Projection!$F6*F17*Projection!$H6</f>
        <v>0.176309052267061</v>
      </c>
      <c r="K17" s="18" t="n">
        <f aca="false">IF(A17&gt;=Assumptions!$B$5,0,IF(B17=1,$B$266,$B$267))</f>
        <v>0.01</v>
      </c>
      <c r="L17" s="30" t="n">
        <f aca="false">Projection!$F6*K17*Projection!$H6</f>
        <v>0.00881545261335307</v>
      </c>
    </row>
    <row r="18" customFormat="false" ht="15" hidden="false" customHeight="true" outlineLevel="0" collapsed="false">
      <c r="A18" s="3" t="n">
        <v>68</v>
      </c>
      <c r="B18" s="34" t="n">
        <f aca="false">A18-Assumptions!$B$4+1</f>
        <v>4</v>
      </c>
      <c r="C18" s="56" t="n">
        <f aca="false">IF(A18&gt;=Assumptions!$B$5,0,IF(B18=1,$B$6,IF(B18&lt;=4,$C$6,$D$6)))</f>
        <v>0.05</v>
      </c>
      <c r="D18" s="56" t="n">
        <f aca="false">IF(A18&gt;=Assumptions!$B$5,0,IF(B18=1,$B$7,IF(B18&lt;=4,$C$7,$D$7)))</f>
        <v>0</v>
      </c>
      <c r="E18" s="56" t="n">
        <f aca="false">IF(A18&gt;=Assumptions!$B$5,0,IF(B18=1,$B$8,IF(B18&lt;=4,$C$8,$D$8)))</f>
        <v>0.2</v>
      </c>
      <c r="F18" s="56" t="n">
        <f aca="false">IF(A18&gt;=Assumptions!$B$5,0,IF(B18=1,$B$9,IF(B18&lt;=4,$C$9,$D$9)))</f>
        <v>0.2</v>
      </c>
      <c r="G18" s="30" t="n">
        <f aca="false">Projection!$F7*C18*Projection!$H7</f>
        <v>0.0421195130968591</v>
      </c>
      <c r="H18" s="30" t="n">
        <f aca="false">Projection!$F7*D18*Projection!$H7</f>
        <v>0</v>
      </c>
      <c r="I18" s="30" t="n">
        <f aca="false">Projection!$F7*E18*Projection!$H7</f>
        <v>0.168478052387436</v>
      </c>
      <c r="J18" s="30" t="n">
        <f aca="false">Projection!$F7*F18*Projection!$H7</f>
        <v>0.168478052387436</v>
      </c>
      <c r="K18" s="18" t="n">
        <f aca="false">IF(A18&gt;=Assumptions!$B$5,0,IF(B18=1,$B$266,$B$267))</f>
        <v>0.01</v>
      </c>
      <c r="L18" s="30" t="n">
        <f aca="false">Projection!$F7*K18*Projection!$H7</f>
        <v>0.00842390261937182</v>
      </c>
    </row>
    <row r="19" customFormat="false" ht="15" hidden="false" customHeight="true" outlineLevel="0" collapsed="false">
      <c r="A19" s="3" t="n">
        <v>69</v>
      </c>
      <c r="B19" s="34" t="n">
        <f aca="false">A19-Assumptions!$B$4+1</f>
        <v>5</v>
      </c>
      <c r="C19" s="56" t="n">
        <f aca="false">IF(A19&gt;=Assumptions!$B$5,0,IF(B19=1,$B$6,IF(B19&lt;=4,$C$6,$D$6)))</f>
        <v>0.05</v>
      </c>
      <c r="D19" s="56" t="n">
        <f aca="false">IF(A19&gt;=Assumptions!$B$5,0,IF(B19=1,$B$7,IF(B19&lt;=4,$C$7,$D$7)))</f>
        <v>0</v>
      </c>
      <c r="E19" s="56" t="n">
        <f aca="false">IF(A19&gt;=Assumptions!$B$5,0,IF(B19=1,$B$8,IF(B19&lt;=4,$C$8,$D$8)))</f>
        <v>0.2</v>
      </c>
      <c r="F19" s="56" t="n">
        <f aca="false">IF(A19&gt;=Assumptions!$B$5,0,IF(B19=1,$B$9,IF(B19&lt;=4,$C$9,$D$9)))</f>
        <v>0.03</v>
      </c>
      <c r="G19" s="30" t="n">
        <f aca="false">Projection!$F8*C19*Projection!$H8</f>
        <v>0.0402043596996214</v>
      </c>
      <c r="H19" s="30" t="n">
        <f aca="false">Projection!$F8*D19*Projection!$H8</f>
        <v>0</v>
      </c>
      <c r="I19" s="30" t="n">
        <f aca="false">Projection!$F8*E19*Projection!$H8</f>
        <v>0.160817438798486</v>
      </c>
      <c r="J19" s="30" t="n">
        <f aca="false">Projection!$F8*F19*Projection!$H8</f>
        <v>0.0241226158197729</v>
      </c>
      <c r="K19" s="18" t="n">
        <f aca="false">IF(A19&gt;=Assumptions!$B$5,0,IF(B19=1,$B$266,$B$267))</f>
        <v>0.01</v>
      </c>
      <c r="L19" s="30" t="n">
        <f aca="false">Projection!$F8*K19*Projection!$H8</f>
        <v>0.00804087193992429</v>
      </c>
    </row>
    <row r="20" customFormat="false" ht="15" hidden="false" customHeight="true" outlineLevel="0" collapsed="false">
      <c r="A20" s="3" t="n">
        <v>70</v>
      </c>
      <c r="B20" s="34" t="n">
        <f aca="false">A20-Assumptions!$B$4+1</f>
        <v>6</v>
      </c>
      <c r="C20" s="56" t="n">
        <f aca="false">IF(A20&gt;=Assumptions!$B$5,0,IF(B20=1,$B$6,IF(B20&lt;=4,$C$6,$D$6)))</f>
        <v>0.05</v>
      </c>
      <c r="D20" s="56" t="n">
        <f aca="false">IF(A20&gt;=Assumptions!$B$5,0,IF(B20=1,$B$7,IF(B20&lt;=4,$C$7,$D$7)))</f>
        <v>0</v>
      </c>
      <c r="E20" s="56" t="n">
        <f aca="false">IF(A20&gt;=Assumptions!$B$5,0,IF(B20=1,$B$8,IF(B20&lt;=4,$C$8,$D$8)))</f>
        <v>0.2</v>
      </c>
      <c r="F20" s="56" t="n">
        <f aca="false">IF(A20&gt;=Assumptions!$B$5,0,IF(B20=1,$B$9,IF(B20&lt;=4,$C$9,$D$9)))</f>
        <v>0.03</v>
      </c>
      <c r="G20" s="30" t="n">
        <f aca="false">Projection!$F9*C20*Projection!$H9</f>
        <v>0.0383021030892144</v>
      </c>
      <c r="H20" s="30" t="n">
        <f aca="false">Projection!$F9*D20*Projection!$H9</f>
        <v>0</v>
      </c>
      <c r="I20" s="30" t="n">
        <f aca="false">Projection!$F9*E20*Projection!$H9</f>
        <v>0.153208412356858</v>
      </c>
      <c r="J20" s="30" t="n">
        <f aca="false">Projection!$F9*F20*Projection!$H9</f>
        <v>0.0229812618535286</v>
      </c>
      <c r="K20" s="18" t="n">
        <f aca="false">IF(A20&gt;=Assumptions!$B$5,0,IF(B20=1,$B$266,$B$267))</f>
        <v>0.01</v>
      </c>
      <c r="L20" s="30" t="n">
        <f aca="false">Projection!$F9*K20*Projection!$H9</f>
        <v>0.00766042061784288</v>
      </c>
    </row>
    <row r="21" customFormat="false" ht="15" hidden="false" customHeight="true" outlineLevel="0" collapsed="false">
      <c r="A21" s="3" t="n">
        <v>71</v>
      </c>
      <c r="B21" s="34" t="n">
        <f aca="false">A21-Assumptions!$B$4+1</f>
        <v>7</v>
      </c>
      <c r="C21" s="56" t="n">
        <f aca="false">IF(A21&gt;=Assumptions!$B$5,0,IF(B21=1,$B$6,IF(B21&lt;=4,$C$6,$D$6)))</f>
        <v>0.05</v>
      </c>
      <c r="D21" s="56" t="n">
        <f aca="false">IF(A21&gt;=Assumptions!$B$5,0,IF(B21=1,$B$7,IF(B21&lt;=4,$C$7,$D$7)))</f>
        <v>0</v>
      </c>
      <c r="E21" s="56" t="n">
        <f aca="false">IF(A21&gt;=Assumptions!$B$5,0,IF(B21=1,$B$8,IF(B21&lt;=4,$C$8,$D$8)))</f>
        <v>0.2</v>
      </c>
      <c r="F21" s="56" t="n">
        <f aca="false">IF(A21&gt;=Assumptions!$B$5,0,IF(B21=1,$B$9,IF(B21&lt;=4,$C$9,$D$9)))</f>
        <v>0.03</v>
      </c>
      <c r="G21" s="30" t="n">
        <f aca="false">Projection!$F10*C21*Projection!$H10</f>
        <v>0.0365737620961139</v>
      </c>
      <c r="H21" s="30" t="n">
        <f aca="false">Projection!$F10*D21*Projection!$H10</f>
        <v>0</v>
      </c>
      <c r="I21" s="30" t="n">
        <f aca="false">Projection!$F10*E21*Projection!$H10</f>
        <v>0.146295048384456</v>
      </c>
      <c r="J21" s="30" t="n">
        <f aca="false">Projection!$F10*F21*Projection!$H10</f>
        <v>0.0219442572576684</v>
      </c>
      <c r="K21" s="18" t="n">
        <f aca="false">IF(A21&gt;=Assumptions!$B$5,0,IF(B21=1,$B$266,$B$267))</f>
        <v>0.01</v>
      </c>
      <c r="L21" s="30" t="n">
        <f aca="false">Projection!$F10*K21*Projection!$H10</f>
        <v>0.00731475241922279</v>
      </c>
    </row>
    <row r="22" customFormat="false" ht="15" hidden="false" customHeight="true" outlineLevel="0" collapsed="false">
      <c r="A22" s="3" t="n">
        <v>72</v>
      </c>
      <c r="B22" s="34" t="n">
        <f aca="false">A22-Assumptions!$B$4+1</f>
        <v>8</v>
      </c>
      <c r="C22" s="56" t="n">
        <f aca="false">IF(A22&gt;=Assumptions!$B$5,0,IF(B22=1,$B$6,IF(B22&lt;=4,$C$6,$D$6)))</f>
        <v>0.05</v>
      </c>
      <c r="D22" s="56" t="n">
        <f aca="false">IF(A22&gt;=Assumptions!$B$5,0,IF(B22=1,$B$7,IF(B22&lt;=4,$C$7,$D$7)))</f>
        <v>0</v>
      </c>
      <c r="E22" s="56" t="n">
        <f aca="false">IF(A22&gt;=Assumptions!$B$5,0,IF(B22=1,$B$8,IF(B22&lt;=4,$C$8,$D$8)))</f>
        <v>0.2</v>
      </c>
      <c r="F22" s="56" t="n">
        <f aca="false">IF(A22&gt;=Assumptions!$B$5,0,IF(B22=1,$B$9,IF(B22&lt;=4,$C$9,$D$9)))</f>
        <v>0.03</v>
      </c>
      <c r="G22" s="30" t="n">
        <f aca="false">Projection!$F11*C22*Projection!$H11</f>
        <v>0.0348498743342645</v>
      </c>
      <c r="H22" s="30" t="n">
        <f aca="false">Projection!$F11*D22*Projection!$H11</f>
        <v>0</v>
      </c>
      <c r="I22" s="30" t="n">
        <f aca="false">Projection!$F11*E22*Projection!$H11</f>
        <v>0.139399497337058</v>
      </c>
      <c r="J22" s="30" t="n">
        <f aca="false">Projection!$F11*F22*Projection!$H11</f>
        <v>0.0209099246005587</v>
      </c>
      <c r="K22" s="18" t="n">
        <f aca="false">IF(A22&gt;=Assumptions!$B$5,0,IF(B22=1,$B$266,$B$267))</f>
        <v>0.01</v>
      </c>
      <c r="L22" s="30" t="n">
        <f aca="false">Projection!$F11*K22*Projection!$H11</f>
        <v>0.00696997486685291</v>
      </c>
    </row>
    <row r="23" customFormat="false" ht="15" hidden="false" customHeight="true" outlineLevel="0" collapsed="false">
      <c r="A23" s="3" t="n">
        <v>73</v>
      </c>
      <c r="B23" s="34" t="n">
        <f aca="false">A23-Assumptions!$B$4+1</f>
        <v>9</v>
      </c>
      <c r="C23" s="56" t="n">
        <f aca="false">IF(A23&gt;=Assumptions!$B$5,0,IF(B23=1,$B$6,IF(B23&lt;=4,$C$6,$D$6)))</f>
        <v>0.05</v>
      </c>
      <c r="D23" s="56" t="n">
        <f aca="false">IF(A23&gt;=Assumptions!$B$5,0,IF(B23=1,$B$7,IF(B23&lt;=4,$C$7,$D$7)))</f>
        <v>0</v>
      </c>
      <c r="E23" s="56" t="n">
        <f aca="false">IF(A23&gt;=Assumptions!$B$5,0,IF(B23=1,$B$8,IF(B23&lt;=4,$C$8,$D$8)))</f>
        <v>0.2</v>
      </c>
      <c r="F23" s="56" t="n">
        <f aca="false">IF(A23&gt;=Assumptions!$B$5,0,IF(B23=1,$B$9,IF(B23&lt;=4,$C$9,$D$9)))</f>
        <v>0.03</v>
      </c>
      <c r="G23" s="30" t="n">
        <f aca="false">Projection!$F12*C23*Projection!$H12</f>
        <v>0.0331342116592456</v>
      </c>
      <c r="H23" s="30" t="n">
        <f aca="false">Projection!$F12*D23*Projection!$H12</f>
        <v>0</v>
      </c>
      <c r="I23" s="30" t="n">
        <f aca="false">Projection!$F12*E23*Projection!$H12</f>
        <v>0.132536846636982</v>
      </c>
      <c r="J23" s="30" t="n">
        <f aca="false">Projection!$F12*F23*Projection!$H12</f>
        <v>0.0198805269955474</v>
      </c>
      <c r="K23" s="18" t="n">
        <f aca="false">IF(A23&gt;=Assumptions!$B$5,0,IF(B23=1,$B$266,$B$267))</f>
        <v>0.01</v>
      </c>
      <c r="L23" s="30" t="n">
        <f aca="false">Projection!$F12*K23*Projection!$H12</f>
        <v>0.00662684233184912</v>
      </c>
    </row>
    <row r="24" customFormat="false" ht="15" hidden="false" customHeight="true" outlineLevel="0" collapsed="false">
      <c r="A24" s="3" t="n">
        <v>74</v>
      </c>
      <c r="B24" s="34" t="n">
        <f aca="false">A24-Assumptions!$B$4+1</f>
        <v>10</v>
      </c>
      <c r="C24" s="56" t="n">
        <f aca="false">IF(A24&gt;=Assumptions!$B$5,0,IF(B24=1,$B$6,IF(B24&lt;=4,$C$6,$D$6)))</f>
        <v>0.05</v>
      </c>
      <c r="D24" s="56" t="n">
        <f aca="false">IF(A24&gt;=Assumptions!$B$5,0,IF(B24=1,$B$7,IF(B24&lt;=4,$C$7,$D$7)))</f>
        <v>0</v>
      </c>
      <c r="E24" s="56" t="n">
        <f aca="false">IF(A24&gt;=Assumptions!$B$5,0,IF(B24=1,$B$8,IF(B24&lt;=4,$C$8,$D$8)))</f>
        <v>0.2</v>
      </c>
      <c r="F24" s="56" t="n">
        <f aca="false">IF(A24&gt;=Assumptions!$B$5,0,IF(B24=1,$B$9,IF(B24&lt;=4,$C$9,$D$9)))</f>
        <v>0.03</v>
      </c>
      <c r="G24" s="30" t="n">
        <f aca="false">Projection!$F13*C24*Projection!$H13</f>
        <v>0.0314340200275994</v>
      </c>
      <c r="H24" s="30" t="n">
        <f aca="false">Projection!$F13*D24*Projection!$H13</f>
        <v>0</v>
      </c>
      <c r="I24" s="30" t="n">
        <f aca="false">Projection!$F13*E24*Projection!$H13</f>
        <v>0.125736080110398</v>
      </c>
      <c r="J24" s="30" t="n">
        <f aca="false">Projection!$F13*F24*Projection!$H13</f>
        <v>0.0188604120165596</v>
      </c>
      <c r="K24" s="18" t="n">
        <f aca="false">IF(A24&gt;=Assumptions!$B$5,0,IF(B24=1,$B$266,$B$267))</f>
        <v>0.01</v>
      </c>
      <c r="L24" s="30" t="n">
        <f aca="false">Projection!$F13*K24*Projection!$H13</f>
        <v>0.00628680400551988</v>
      </c>
    </row>
    <row r="25" customFormat="false" ht="15" hidden="false" customHeight="true" outlineLevel="0" collapsed="false">
      <c r="A25" s="3" t="n">
        <v>75</v>
      </c>
      <c r="B25" s="34" t="n">
        <f aca="false">A25-Assumptions!$B$4+1</f>
        <v>11</v>
      </c>
      <c r="C25" s="56" t="n">
        <f aca="false">IF(A25&gt;=Assumptions!$B$5,0,IF(B25=1,$B$6,IF(B25&lt;=4,$C$6,$D$6)))</f>
        <v>0.05</v>
      </c>
      <c r="D25" s="56" t="n">
        <f aca="false">IF(A25&gt;=Assumptions!$B$5,0,IF(B25=1,$B$7,IF(B25&lt;=4,$C$7,$D$7)))</f>
        <v>0</v>
      </c>
      <c r="E25" s="56" t="n">
        <f aca="false">IF(A25&gt;=Assumptions!$B$5,0,IF(B25=1,$B$8,IF(B25&lt;=4,$C$8,$D$8)))</f>
        <v>0.2</v>
      </c>
      <c r="F25" s="56" t="n">
        <f aca="false">IF(A25&gt;=Assumptions!$B$5,0,IF(B25=1,$B$9,IF(B25&lt;=4,$C$9,$D$9)))</f>
        <v>0.03</v>
      </c>
      <c r="G25" s="30" t="n">
        <f aca="false">Projection!$F14*C25*Projection!$H14</f>
        <v>0.0297099246419447</v>
      </c>
      <c r="H25" s="30" t="n">
        <f aca="false">Projection!$F14*D25*Projection!$H14</f>
        <v>0</v>
      </c>
      <c r="I25" s="30" t="n">
        <f aca="false">Projection!$F14*E25*Projection!$H14</f>
        <v>0.118839698567779</v>
      </c>
      <c r="J25" s="30" t="n">
        <f aca="false">Projection!$F14*F25*Projection!$H14</f>
        <v>0.0178259547851668</v>
      </c>
      <c r="K25" s="18" t="n">
        <f aca="false">IF(A25&gt;=Assumptions!$B$5,0,IF(B25=1,$B$266,$B$267))</f>
        <v>0.01</v>
      </c>
      <c r="L25" s="30" t="n">
        <f aca="false">Projection!$F14*K25*Projection!$H14</f>
        <v>0.00594198492838894</v>
      </c>
    </row>
    <row r="26" customFormat="false" ht="15" hidden="false" customHeight="true" outlineLevel="0" collapsed="false">
      <c r="A26" s="3" t="n">
        <v>76</v>
      </c>
      <c r="B26" s="34" t="n">
        <f aca="false">A26-Assumptions!$B$4+1</f>
        <v>12</v>
      </c>
      <c r="C26" s="56" t="n">
        <f aca="false">IF(A26&gt;=Assumptions!$B$5,0,IF(B26=1,$B$6,IF(B26&lt;=4,$C$6,$D$6)))</f>
        <v>0.05</v>
      </c>
      <c r="D26" s="56" t="n">
        <f aca="false">IF(A26&gt;=Assumptions!$B$5,0,IF(B26=1,$B$7,IF(B26&lt;=4,$C$7,$D$7)))</f>
        <v>0</v>
      </c>
      <c r="E26" s="56" t="n">
        <f aca="false">IF(A26&gt;=Assumptions!$B$5,0,IF(B26=1,$B$8,IF(B26&lt;=4,$C$8,$D$8)))</f>
        <v>0.2</v>
      </c>
      <c r="F26" s="56" t="n">
        <f aca="false">IF(A26&gt;=Assumptions!$B$5,0,IF(B26=1,$B$9,IF(B26&lt;=4,$C$9,$D$9)))</f>
        <v>0.03</v>
      </c>
      <c r="G26" s="30" t="n">
        <f aca="false">Projection!$F15*C26*Projection!$H15</f>
        <v>0.0280909900413701</v>
      </c>
      <c r="H26" s="30" t="n">
        <f aca="false">Projection!$F15*D26*Projection!$H15</f>
        <v>0</v>
      </c>
      <c r="I26" s="30" t="n">
        <f aca="false">Projection!$F15*E26*Projection!$H15</f>
        <v>0.11236396016548</v>
      </c>
      <c r="J26" s="30" t="n">
        <f aca="false">Projection!$F15*F26*Projection!$H15</f>
        <v>0.0168545940248221</v>
      </c>
      <c r="K26" s="18" t="n">
        <f aca="false">IF(A26&gt;=Assumptions!$B$5,0,IF(B26=1,$B$266,$B$267))</f>
        <v>0.01</v>
      </c>
      <c r="L26" s="30" t="n">
        <f aca="false">Projection!$F15*K26*Projection!$H15</f>
        <v>0.00561819800827402</v>
      </c>
    </row>
    <row r="27" customFormat="false" ht="15" hidden="false" customHeight="true" outlineLevel="0" collapsed="false">
      <c r="A27" s="3" t="n">
        <v>77</v>
      </c>
      <c r="B27" s="34" t="n">
        <f aca="false">A27-Assumptions!$B$4+1</f>
        <v>13</v>
      </c>
      <c r="C27" s="56" t="n">
        <f aca="false">IF(A27&gt;=Assumptions!$B$5,0,IF(B27=1,$B$6,IF(B27&lt;=4,$C$6,$D$6)))</f>
        <v>0.05</v>
      </c>
      <c r="D27" s="56" t="n">
        <f aca="false">IF(A27&gt;=Assumptions!$B$5,0,IF(B27=1,$B$7,IF(B27&lt;=4,$C$7,$D$7)))</f>
        <v>0</v>
      </c>
      <c r="E27" s="56" t="n">
        <f aca="false">IF(A27&gt;=Assumptions!$B$5,0,IF(B27=1,$B$8,IF(B27&lt;=4,$C$8,$D$8)))</f>
        <v>0.2</v>
      </c>
      <c r="F27" s="56" t="n">
        <f aca="false">IF(A27&gt;=Assumptions!$B$5,0,IF(B27=1,$B$9,IF(B27&lt;=4,$C$9,$D$9)))</f>
        <v>0.03</v>
      </c>
      <c r="G27" s="30" t="n">
        <f aca="false">Projection!$F16*C27*Projection!$H16</f>
        <v>0.0264332904589862</v>
      </c>
      <c r="H27" s="30" t="n">
        <f aca="false">Projection!$F16*D27*Projection!$H16</f>
        <v>0</v>
      </c>
      <c r="I27" s="30" t="n">
        <f aca="false">Projection!$F16*E27*Projection!$H16</f>
        <v>0.105733161835945</v>
      </c>
      <c r="J27" s="30" t="n">
        <f aca="false">Projection!$F16*F27*Projection!$H16</f>
        <v>0.0158599742753917</v>
      </c>
      <c r="K27" s="18" t="n">
        <f aca="false">IF(A27&gt;=Assumptions!$B$5,0,IF(B27=1,$B$266,$B$267))</f>
        <v>0.01</v>
      </c>
      <c r="L27" s="30" t="n">
        <f aca="false">Projection!$F16*K27*Projection!$H16</f>
        <v>0.00528665809179724</v>
      </c>
    </row>
    <row r="28" customFormat="false" ht="15" hidden="false" customHeight="true" outlineLevel="0" collapsed="false">
      <c r="A28" s="3" t="n">
        <v>78</v>
      </c>
      <c r="B28" s="34" t="n">
        <f aca="false">A28-Assumptions!$B$4+1</f>
        <v>14</v>
      </c>
      <c r="C28" s="56" t="n">
        <f aca="false">IF(A28&gt;=Assumptions!$B$5,0,IF(B28=1,$B$6,IF(B28&lt;=4,$C$6,$D$6)))</f>
        <v>0.05</v>
      </c>
      <c r="D28" s="56" t="n">
        <f aca="false">IF(A28&gt;=Assumptions!$B$5,0,IF(B28=1,$B$7,IF(B28&lt;=4,$C$7,$D$7)))</f>
        <v>0</v>
      </c>
      <c r="E28" s="56" t="n">
        <f aca="false">IF(A28&gt;=Assumptions!$B$5,0,IF(B28=1,$B$8,IF(B28&lt;=4,$C$8,$D$8)))</f>
        <v>0.2</v>
      </c>
      <c r="F28" s="56" t="n">
        <f aca="false">IF(A28&gt;=Assumptions!$B$5,0,IF(B28=1,$B$9,IF(B28&lt;=4,$C$9,$D$9)))</f>
        <v>0.03</v>
      </c>
      <c r="G28" s="30" t="n">
        <f aca="false">Projection!$F17*C28*Projection!$H17</f>
        <v>0.0248304829723289</v>
      </c>
      <c r="H28" s="30" t="n">
        <f aca="false">Projection!$F17*D28*Projection!$H17</f>
        <v>0</v>
      </c>
      <c r="I28" s="30" t="n">
        <f aca="false">Projection!$F17*E28*Projection!$H17</f>
        <v>0.0993219318893155</v>
      </c>
      <c r="J28" s="30" t="n">
        <f aca="false">Projection!$F17*F28*Projection!$H17</f>
        <v>0.0148982897833973</v>
      </c>
      <c r="K28" s="18" t="n">
        <f aca="false">IF(A28&gt;=Assumptions!$B$5,0,IF(B28=1,$B$266,$B$267))</f>
        <v>0.01</v>
      </c>
      <c r="L28" s="30" t="n">
        <f aca="false">Projection!$F17*K28*Projection!$H17</f>
        <v>0.00496609659446578</v>
      </c>
    </row>
    <row r="29" customFormat="false" ht="15" hidden="false" customHeight="true" outlineLevel="0" collapsed="false">
      <c r="A29" s="3" t="n">
        <v>79</v>
      </c>
      <c r="B29" s="34" t="n">
        <f aca="false">A29-Assumptions!$B$4+1</f>
        <v>15</v>
      </c>
      <c r="C29" s="56" t="n">
        <f aca="false">IF(A29&gt;=Assumptions!$B$5,0,IF(B29=1,$B$6,IF(B29&lt;=4,$C$6,$D$6)))</f>
        <v>0.05</v>
      </c>
      <c r="D29" s="56" t="n">
        <f aca="false">IF(A29&gt;=Assumptions!$B$5,0,IF(B29=1,$B$7,IF(B29&lt;=4,$C$7,$D$7)))</f>
        <v>0</v>
      </c>
      <c r="E29" s="56" t="n">
        <f aca="false">IF(A29&gt;=Assumptions!$B$5,0,IF(B29=1,$B$8,IF(B29&lt;=4,$C$8,$D$8)))</f>
        <v>0.2</v>
      </c>
      <c r="F29" s="56" t="n">
        <f aca="false">IF(A29&gt;=Assumptions!$B$5,0,IF(B29=1,$B$9,IF(B29&lt;=4,$C$9,$D$9)))</f>
        <v>0.03</v>
      </c>
      <c r="G29" s="30" t="n">
        <f aca="false">Projection!$F18*C29*Projection!$H18</f>
        <v>0.0232882661277592</v>
      </c>
      <c r="H29" s="30" t="n">
        <f aca="false">Projection!$F18*D29*Projection!$H18</f>
        <v>0</v>
      </c>
      <c r="I29" s="30" t="n">
        <f aca="false">Projection!$F18*E29*Projection!$H18</f>
        <v>0.0931530645110367</v>
      </c>
      <c r="J29" s="30" t="n">
        <f aca="false">Projection!$F18*F29*Projection!$H18</f>
        <v>0.0139729596766555</v>
      </c>
      <c r="K29" s="18" t="n">
        <f aca="false">IF(A29&gt;=Assumptions!$B$5,0,IF(B29=1,$B$266,$B$267))</f>
        <v>0.01</v>
      </c>
      <c r="L29" s="30" t="n">
        <f aca="false">Projection!$F18*K29*Projection!$H18</f>
        <v>0.00465765322555183</v>
      </c>
    </row>
    <row r="30" customFormat="false" ht="15" hidden="false" customHeight="true" outlineLevel="0" collapsed="false">
      <c r="A30" s="3" t="n">
        <v>80</v>
      </c>
      <c r="B30" s="34" t="n">
        <f aca="false">A30-Assumptions!$B$4+1</f>
        <v>16</v>
      </c>
      <c r="C30" s="56" t="n">
        <f aca="false">IF(A30&gt;=Assumptions!$B$5,0,IF(B30=1,$B$6,IF(B30&lt;=4,$C$6,$D$6)))</f>
        <v>0</v>
      </c>
      <c r="D30" s="56" t="n">
        <f aca="false">IF(A30&gt;=Assumptions!$B$5,0,IF(B30=1,$B$7,IF(B30&lt;=4,$C$7,$D$7)))</f>
        <v>0</v>
      </c>
      <c r="E30" s="56" t="n">
        <f aca="false">IF(A30&gt;=Assumptions!$B$5,0,IF(B30=1,$B$8,IF(B30&lt;=4,$C$8,$D$8)))</f>
        <v>0</v>
      </c>
      <c r="F30" s="56" t="n">
        <f aca="false">IF(A30&gt;=Assumptions!$B$5,0,IF(B30=1,$B$9,IF(B30&lt;=4,$C$9,$D$9)))</f>
        <v>0</v>
      </c>
      <c r="G30" s="30" t="n">
        <f aca="false">Projection!$F19*C30*Projection!$H19</f>
        <v>0</v>
      </c>
      <c r="H30" s="30" t="n">
        <f aca="false">Projection!$F19*D30*Projection!$H19</f>
        <v>0</v>
      </c>
      <c r="I30" s="30" t="n">
        <f aca="false">Projection!$F19*E30*Projection!$H19</f>
        <v>0</v>
      </c>
      <c r="J30" s="30" t="n">
        <f aca="false">Projection!$F19*F30*Projection!$H19</f>
        <v>0</v>
      </c>
      <c r="K30" s="18" t="n">
        <f aca="false">IF(A30&gt;=Assumptions!$B$5,0,IF(B30=1,$B$266,$B$267))</f>
        <v>0</v>
      </c>
      <c r="L30" s="30" t="n">
        <f aca="false">Projection!$F19*K30*Projection!$H19</f>
        <v>0</v>
      </c>
    </row>
    <row r="31" customFormat="false" ht="15" hidden="false" customHeight="true" outlineLevel="0" collapsed="false">
      <c r="A31" s="3" t="n">
        <v>81</v>
      </c>
      <c r="B31" s="34" t="n">
        <f aca="false">A31-Assumptions!$B$4+1</f>
        <v>17</v>
      </c>
      <c r="C31" s="56" t="n">
        <f aca="false">IF(A31&gt;=Assumptions!$B$5,0,IF(B31=1,$B$6,IF(B31&lt;=4,$C$6,$D$6)))</f>
        <v>0</v>
      </c>
      <c r="D31" s="56" t="n">
        <f aca="false">IF(A31&gt;=Assumptions!$B$5,0,IF(B31=1,$B$7,IF(B31&lt;=4,$C$7,$D$7)))</f>
        <v>0</v>
      </c>
      <c r="E31" s="56" t="n">
        <f aca="false">IF(A31&gt;=Assumptions!$B$5,0,IF(B31=1,$B$8,IF(B31&lt;=4,$C$8,$D$8)))</f>
        <v>0</v>
      </c>
      <c r="F31" s="56" t="n">
        <f aca="false">IF(A31&gt;=Assumptions!$B$5,0,IF(B31=1,$B$9,IF(B31&lt;=4,$C$9,$D$9)))</f>
        <v>0</v>
      </c>
      <c r="G31" s="30" t="n">
        <f aca="false">Projection!$F20*C31*Projection!$H20</f>
        <v>0</v>
      </c>
      <c r="H31" s="30" t="n">
        <f aca="false">Projection!$F20*D31*Projection!$H20</f>
        <v>0</v>
      </c>
      <c r="I31" s="30" t="n">
        <f aca="false">Projection!$F20*E31*Projection!$H20</f>
        <v>0</v>
      </c>
      <c r="J31" s="30" t="n">
        <f aca="false">Projection!$F20*F31*Projection!$H20</f>
        <v>0</v>
      </c>
      <c r="K31" s="18" t="n">
        <f aca="false">IF(A31&gt;=Assumptions!$B$5,0,IF(B31=1,$B$266,$B$267))</f>
        <v>0</v>
      </c>
      <c r="L31" s="30" t="n">
        <f aca="false">Projection!$F20*K31*Projection!$H20</f>
        <v>0</v>
      </c>
    </row>
    <row r="32" customFormat="false" ht="15" hidden="false" customHeight="true" outlineLevel="0" collapsed="false">
      <c r="A32" s="3" t="n">
        <v>82</v>
      </c>
      <c r="B32" s="34" t="n">
        <f aca="false">A32-Assumptions!$B$4+1</f>
        <v>18</v>
      </c>
      <c r="C32" s="56" t="n">
        <f aca="false">IF(A32&gt;=Assumptions!$B$5,0,IF(B32=1,$B$6,IF(B32&lt;=4,$C$6,$D$6)))</f>
        <v>0</v>
      </c>
      <c r="D32" s="56" t="n">
        <f aca="false">IF(A32&gt;=Assumptions!$B$5,0,IF(B32=1,$B$7,IF(B32&lt;=4,$C$7,$D$7)))</f>
        <v>0</v>
      </c>
      <c r="E32" s="56" t="n">
        <f aca="false">IF(A32&gt;=Assumptions!$B$5,0,IF(B32=1,$B$8,IF(B32&lt;=4,$C$8,$D$8)))</f>
        <v>0</v>
      </c>
      <c r="F32" s="56" t="n">
        <f aca="false">IF(A32&gt;=Assumptions!$B$5,0,IF(B32=1,$B$9,IF(B32&lt;=4,$C$9,$D$9)))</f>
        <v>0</v>
      </c>
      <c r="G32" s="30" t="n">
        <f aca="false">Projection!$F21*C32*Projection!$H21</f>
        <v>0</v>
      </c>
      <c r="H32" s="30" t="n">
        <f aca="false">Projection!$F21*D32*Projection!$H21</f>
        <v>0</v>
      </c>
      <c r="I32" s="30" t="n">
        <f aca="false">Projection!$F21*E32*Projection!$H21</f>
        <v>0</v>
      </c>
      <c r="J32" s="30" t="n">
        <f aca="false">Projection!$F21*F32*Projection!$H21</f>
        <v>0</v>
      </c>
      <c r="K32" s="18" t="n">
        <f aca="false">IF(A32&gt;=Assumptions!$B$5,0,IF(B32=1,$B$266,$B$267))</f>
        <v>0</v>
      </c>
      <c r="L32" s="30" t="n">
        <f aca="false">Projection!$F21*K32*Projection!$H21</f>
        <v>0</v>
      </c>
    </row>
    <row r="33" customFormat="false" ht="15" hidden="false" customHeight="true" outlineLevel="0" collapsed="false">
      <c r="A33" s="3" t="n">
        <v>83</v>
      </c>
      <c r="B33" s="34" t="n">
        <f aca="false">A33-Assumptions!$B$4+1</f>
        <v>19</v>
      </c>
      <c r="C33" s="56" t="n">
        <f aca="false">IF(A33&gt;=Assumptions!$B$5,0,IF(B33=1,$B$6,IF(B33&lt;=4,$C$6,$D$6)))</f>
        <v>0</v>
      </c>
      <c r="D33" s="56" t="n">
        <f aca="false">IF(A33&gt;=Assumptions!$B$5,0,IF(B33=1,$B$7,IF(B33&lt;=4,$C$7,$D$7)))</f>
        <v>0</v>
      </c>
      <c r="E33" s="56" t="n">
        <f aca="false">IF(A33&gt;=Assumptions!$B$5,0,IF(B33=1,$B$8,IF(B33&lt;=4,$C$8,$D$8)))</f>
        <v>0</v>
      </c>
      <c r="F33" s="56" t="n">
        <f aca="false">IF(A33&gt;=Assumptions!$B$5,0,IF(B33=1,$B$9,IF(B33&lt;=4,$C$9,$D$9)))</f>
        <v>0</v>
      </c>
      <c r="G33" s="30" t="n">
        <f aca="false">Projection!$F22*C33*Projection!$H22</f>
        <v>0</v>
      </c>
      <c r="H33" s="30" t="n">
        <f aca="false">Projection!$F22*D33*Projection!$H22</f>
        <v>0</v>
      </c>
      <c r="I33" s="30" t="n">
        <f aca="false">Projection!$F22*E33*Projection!$H22</f>
        <v>0</v>
      </c>
      <c r="J33" s="30" t="n">
        <f aca="false">Projection!$F22*F33*Projection!$H22</f>
        <v>0</v>
      </c>
      <c r="K33" s="18" t="n">
        <f aca="false">IF(A33&gt;=Assumptions!$B$5,0,IF(B33=1,$B$266,$B$267))</f>
        <v>0</v>
      </c>
      <c r="L33" s="30" t="n">
        <f aca="false">Projection!$F22*K33*Projection!$H22</f>
        <v>0</v>
      </c>
    </row>
    <row r="34" customFormat="false" ht="15" hidden="false" customHeight="true" outlineLevel="0" collapsed="false">
      <c r="A34" s="3" t="n">
        <v>84</v>
      </c>
      <c r="B34" s="34" t="n">
        <f aca="false">A34-Assumptions!$B$4+1</f>
        <v>20</v>
      </c>
      <c r="C34" s="56" t="n">
        <f aca="false">IF(A34&gt;=Assumptions!$B$5,0,IF(B34=1,$B$6,IF(B34&lt;=4,$C$6,$D$6)))</f>
        <v>0</v>
      </c>
      <c r="D34" s="56" t="n">
        <f aca="false">IF(A34&gt;=Assumptions!$B$5,0,IF(B34=1,$B$7,IF(B34&lt;=4,$C$7,$D$7)))</f>
        <v>0</v>
      </c>
      <c r="E34" s="56" t="n">
        <f aca="false">IF(A34&gt;=Assumptions!$B$5,0,IF(B34=1,$B$8,IF(B34&lt;=4,$C$8,$D$8)))</f>
        <v>0</v>
      </c>
      <c r="F34" s="56" t="n">
        <f aca="false">IF(A34&gt;=Assumptions!$B$5,0,IF(B34=1,$B$9,IF(B34&lt;=4,$C$9,$D$9)))</f>
        <v>0</v>
      </c>
      <c r="G34" s="30" t="n">
        <f aca="false">Projection!$F23*C34*Projection!$H23</f>
        <v>0</v>
      </c>
      <c r="H34" s="30" t="n">
        <f aca="false">Projection!$F23*D34*Projection!$H23</f>
        <v>0</v>
      </c>
      <c r="I34" s="30" t="n">
        <f aca="false">Projection!$F23*E34*Projection!$H23</f>
        <v>0</v>
      </c>
      <c r="J34" s="30" t="n">
        <f aca="false">Projection!$F23*F34*Projection!$H23</f>
        <v>0</v>
      </c>
      <c r="K34" s="18" t="n">
        <f aca="false">IF(A34&gt;=Assumptions!$B$5,0,IF(B34=1,$B$266,$B$267))</f>
        <v>0</v>
      </c>
      <c r="L34" s="30" t="n">
        <f aca="false">Projection!$F23*K34*Projection!$H23</f>
        <v>0</v>
      </c>
    </row>
    <row r="35" customFormat="false" ht="15" hidden="false" customHeight="true" outlineLevel="0" collapsed="false">
      <c r="A35" s="3" t="n">
        <v>85</v>
      </c>
      <c r="B35" s="34" t="n">
        <f aca="false">A35-Assumptions!$B$4+1</f>
        <v>21</v>
      </c>
      <c r="C35" s="56" t="n">
        <f aca="false">IF(A35&gt;=Assumptions!$B$5,0,IF(B35=1,$B$6,IF(B35&lt;=4,$C$6,$D$6)))</f>
        <v>0</v>
      </c>
      <c r="D35" s="56" t="n">
        <f aca="false">IF(A35&gt;=Assumptions!$B$5,0,IF(B35=1,$B$7,IF(B35&lt;=4,$C$7,$D$7)))</f>
        <v>0</v>
      </c>
      <c r="E35" s="56" t="n">
        <f aca="false">IF(A35&gt;=Assumptions!$B$5,0,IF(B35=1,$B$8,IF(B35&lt;=4,$C$8,$D$8)))</f>
        <v>0</v>
      </c>
      <c r="F35" s="56" t="n">
        <f aca="false">IF(A35&gt;=Assumptions!$B$5,0,IF(B35=1,$B$9,IF(B35&lt;=4,$C$9,$D$9)))</f>
        <v>0</v>
      </c>
      <c r="G35" s="30" t="n">
        <f aca="false">Projection!$F24*C35*Projection!$H24</f>
        <v>0</v>
      </c>
      <c r="H35" s="30" t="n">
        <f aca="false">Projection!$F24*D35*Projection!$H24</f>
        <v>0</v>
      </c>
      <c r="I35" s="30" t="n">
        <f aca="false">Projection!$F24*E35*Projection!$H24</f>
        <v>0</v>
      </c>
      <c r="J35" s="30" t="n">
        <f aca="false">Projection!$F24*F35*Projection!$H24</f>
        <v>0</v>
      </c>
      <c r="K35" s="18" t="n">
        <f aca="false">IF(A35&gt;=Assumptions!$B$5,0,IF(B35=1,$B$266,$B$267))</f>
        <v>0</v>
      </c>
      <c r="L35" s="30" t="n">
        <f aca="false">Projection!$F24*K35*Projection!$H24</f>
        <v>0</v>
      </c>
    </row>
    <row r="36" customFormat="false" ht="15" hidden="false" customHeight="true" outlineLevel="0" collapsed="false">
      <c r="A36" s="3" t="n">
        <v>86</v>
      </c>
      <c r="B36" s="34" t="n">
        <f aca="false">A36-Assumptions!$B$4+1</f>
        <v>22</v>
      </c>
      <c r="C36" s="56" t="n">
        <f aca="false">IF(A36&gt;=Assumptions!$B$5,0,IF(B36=1,$B$6,IF(B36&lt;=4,$C$6,$D$6)))</f>
        <v>0</v>
      </c>
      <c r="D36" s="56" t="n">
        <f aca="false">IF(A36&gt;=Assumptions!$B$5,0,IF(B36=1,$B$7,IF(B36&lt;=4,$C$7,$D$7)))</f>
        <v>0</v>
      </c>
      <c r="E36" s="56" t="n">
        <f aca="false">IF(A36&gt;=Assumptions!$B$5,0,IF(B36=1,$B$8,IF(B36&lt;=4,$C$8,$D$8)))</f>
        <v>0</v>
      </c>
      <c r="F36" s="56" t="n">
        <f aca="false">IF(A36&gt;=Assumptions!$B$5,0,IF(B36=1,$B$9,IF(B36&lt;=4,$C$9,$D$9)))</f>
        <v>0</v>
      </c>
      <c r="G36" s="30" t="n">
        <f aca="false">Projection!$F25*C36*Projection!$H25</f>
        <v>0</v>
      </c>
      <c r="H36" s="30" t="n">
        <f aca="false">Projection!$F25*D36*Projection!$H25</f>
        <v>0</v>
      </c>
      <c r="I36" s="30" t="n">
        <f aca="false">Projection!$F25*E36*Projection!$H25</f>
        <v>0</v>
      </c>
      <c r="J36" s="30" t="n">
        <f aca="false">Projection!$F25*F36*Projection!$H25</f>
        <v>0</v>
      </c>
      <c r="K36" s="18" t="n">
        <f aca="false">IF(A36&gt;=Assumptions!$B$5,0,IF(B36=1,$B$266,$B$267))</f>
        <v>0</v>
      </c>
      <c r="L36" s="30" t="n">
        <f aca="false">Projection!$F25*K36*Projection!$H25</f>
        <v>0</v>
      </c>
    </row>
    <row r="37" customFormat="false" ht="15" hidden="false" customHeight="true" outlineLevel="0" collapsed="false">
      <c r="A37" s="3" t="n">
        <v>87</v>
      </c>
      <c r="B37" s="34" t="n">
        <f aca="false">A37-Assumptions!$B$4+1</f>
        <v>23</v>
      </c>
      <c r="C37" s="56" t="n">
        <f aca="false">IF(A37&gt;=Assumptions!$B$5,0,IF(B37=1,$B$6,IF(B37&lt;=4,$C$6,$D$6)))</f>
        <v>0</v>
      </c>
      <c r="D37" s="56" t="n">
        <f aca="false">IF(A37&gt;=Assumptions!$B$5,0,IF(B37=1,$B$7,IF(B37&lt;=4,$C$7,$D$7)))</f>
        <v>0</v>
      </c>
      <c r="E37" s="56" t="n">
        <f aca="false">IF(A37&gt;=Assumptions!$B$5,0,IF(B37=1,$B$8,IF(B37&lt;=4,$C$8,$D$8)))</f>
        <v>0</v>
      </c>
      <c r="F37" s="56" t="n">
        <f aca="false">IF(A37&gt;=Assumptions!$B$5,0,IF(B37=1,$B$9,IF(B37&lt;=4,$C$9,$D$9)))</f>
        <v>0</v>
      </c>
      <c r="G37" s="30" t="n">
        <f aca="false">Projection!$F26*C37*Projection!$H26</f>
        <v>0</v>
      </c>
      <c r="H37" s="30" t="n">
        <f aca="false">Projection!$F26*D37*Projection!$H26</f>
        <v>0</v>
      </c>
      <c r="I37" s="30" t="n">
        <f aca="false">Projection!$F26*E37*Projection!$H26</f>
        <v>0</v>
      </c>
      <c r="J37" s="30" t="n">
        <f aca="false">Projection!$F26*F37*Projection!$H26</f>
        <v>0</v>
      </c>
      <c r="K37" s="18" t="n">
        <f aca="false">IF(A37&gt;=Assumptions!$B$5,0,IF(B37=1,$B$266,$B$267))</f>
        <v>0</v>
      </c>
      <c r="L37" s="30" t="n">
        <f aca="false">Projection!$F26*K37*Projection!$H26</f>
        <v>0</v>
      </c>
    </row>
    <row r="38" customFormat="false" ht="15" hidden="false" customHeight="true" outlineLevel="0" collapsed="false">
      <c r="A38" s="3" t="n">
        <v>88</v>
      </c>
      <c r="B38" s="34" t="n">
        <f aca="false">A38-Assumptions!$B$4+1</f>
        <v>24</v>
      </c>
      <c r="C38" s="56" t="n">
        <f aca="false">IF(A38&gt;=Assumptions!$B$5,0,IF(B38=1,$B$6,IF(B38&lt;=4,$C$6,$D$6)))</f>
        <v>0</v>
      </c>
      <c r="D38" s="56" t="n">
        <f aca="false">IF(A38&gt;=Assumptions!$B$5,0,IF(B38=1,$B$7,IF(B38&lt;=4,$C$7,$D$7)))</f>
        <v>0</v>
      </c>
      <c r="E38" s="56" t="n">
        <f aca="false">IF(A38&gt;=Assumptions!$B$5,0,IF(B38=1,$B$8,IF(B38&lt;=4,$C$8,$D$8)))</f>
        <v>0</v>
      </c>
      <c r="F38" s="56" t="n">
        <f aca="false">IF(A38&gt;=Assumptions!$B$5,0,IF(B38=1,$B$9,IF(B38&lt;=4,$C$9,$D$9)))</f>
        <v>0</v>
      </c>
      <c r="G38" s="30" t="n">
        <f aca="false">Projection!$F27*C38*Projection!$H27</f>
        <v>0</v>
      </c>
      <c r="H38" s="30" t="n">
        <f aca="false">Projection!$F27*D38*Projection!$H27</f>
        <v>0</v>
      </c>
      <c r="I38" s="30" t="n">
        <f aca="false">Projection!$F27*E38*Projection!$H27</f>
        <v>0</v>
      </c>
      <c r="J38" s="30" t="n">
        <f aca="false">Projection!$F27*F38*Projection!$H27</f>
        <v>0</v>
      </c>
      <c r="K38" s="18" t="n">
        <f aca="false">IF(A38&gt;=Assumptions!$B$5,0,IF(B38=1,$B$266,$B$267))</f>
        <v>0</v>
      </c>
      <c r="L38" s="30" t="n">
        <f aca="false">Projection!$F27*K38*Projection!$H27</f>
        <v>0</v>
      </c>
    </row>
    <row r="39" customFormat="false" ht="15" hidden="false" customHeight="true" outlineLevel="0" collapsed="false">
      <c r="A39" s="3" t="n">
        <v>89</v>
      </c>
      <c r="B39" s="34" t="n">
        <f aca="false">A39-Assumptions!$B$4+1</f>
        <v>25</v>
      </c>
      <c r="C39" s="56" t="n">
        <f aca="false">IF(A39&gt;=Assumptions!$B$5,0,IF(B39=1,$B$6,IF(B39&lt;=4,$C$6,$D$6)))</f>
        <v>0</v>
      </c>
      <c r="D39" s="56" t="n">
        <f aca="false">IF(A39&gt;=Assumptions!$B$5,0,IF(B39=1,$B$7,IF(B39&lt;=4,$C$7,$D$7)))</f>
        <v>0</v>
      </c>
      <c r="E39" s="56" t="n">
        <f aca="false">IF(A39&gt;=Assumptions!$B$5,0,IF(B39=1,$B$8,IF(B39&lt;=4,$C$8,$D$8)))</f>
        <v>0</v>
      </c>
      <c r="F39" s="56" t="n">
        <f aca="false">IF(A39&gt;=Assumptions!$B$5,0,IF(B39=1,$B$9,IF(B39&lt;=4,$C$9,$D$9)))</f>
        <v>0</v>
      </c>
      <c r="G39" s="30" t="n">
        <f aca="false">Projection!$F28*C39*Projection!$H28</f>
        <v>0</v>
      </c>
      <c r="H39" s="30" t="n">
        <f aca="false">Projection!$F28*D39*Projection!$H28</f>
        <v>0</v>
      </c>
      <c r="I39" s="30" t="n">
        <f aca="false">Projection!$F28*E39*Projection!$H28</f>
        <v>0</v>
      </c>
      <c r="J39" s="30" t="n">
        <f aca="false">Projection!$F28*F39*Projection!$H28</f>
        <v>0</v>
      </c>
      <c r="K39" s="18" t="n">
        <f aca="false">IF(A39&gt;=Assumptions!$B$5,0,IF(B39=1,$B$266,$B$267))</f>
        <v>0</v>
      </c>
      <c r="L39" s="30" t="n">
        <f aca="false">Projection!$F28*K39*Projection!$H28</f>
        <v>0</v>
      </c>
    </row>
    <row r="40" customFormat="false" ht="15" hidden="false" customHeight="true" outlineLevel="0" collapsed="false">
      <c r="A40" s="3" t="n">
        <v>90</v>
      </c>
      <c r="B40" s="34" t="n">
        <f aca="false">A40-Assumptions!$B$4+1</f>
        <v>26</v>
      </c>
      <c r="C40" s="56" t="n">
        <f aca="false">IF(A40&gt;=Assumptions!$B$5,0,IF(B40=1,$B$6,IF(B40&lt;=4,$C$6,$D$6)))</f>
        <v>0</v>
      </c>
      <c r="D40" s="56" t="n">
        <f aca="false">IF(A40&gt;=Assumptions!$B$5,0,IF(B40=1,$B$7,IF(B40&lt;=4,$C$7,$D$7)))</f>
        <v>0</v>
      </c>
      <c r="E40" s="56" t="n">
        <f aca="false">IF(A40&gt;=Assumptions!$B$5,0,IF(B40=1,$B$8,IF(B40&lt;=4,$C$8,$D$8)))</f>
        <v>0</v>
      </c>
      <c r="F40" s="56" t="n">
        <f aca="false">IF(A40&gt;=Assumptions!$B$5,0,IF(B40=1,$B$9,IF(B40&lt;=4,$C$9,$D$9)))</f>
        <v>0</v>
      </c>
      <c r="G40" s="30" t="n">
        <f aca="false">Projection!$F29*C40*Projection!$H29</f>
        <v>0</v>
      </c>
      <c r="H40" s="30" t="n">
        <f aca="false">Projection!$F29*D40*Projection!$H29</f>
        <v>0</v>
      </c>
      <c r="I40" s="30" t="n">
        <f aca="false">Projection!$F29*E40*Projection!$H29</f>
        <v>0</v>
      </c>
      <c r="J40" s="30" t="n">
        <f aca="false">Projection!$F29*F40*Projection!$H29</f>
        <v>0</v>
      </c>
      <c r="K40" s="18" t="n">
        <f aca="false">IF(A40&gt;=Assumptions!$B$5,0,IF(B40=1,$B$266,$B$267))</f>
        <v>0</v>
      </c>
      <c r="L40" s="30" t="n">
        <f aca="false">Projection!$F29*K40*Projection!$H29</f>
        <v>0</v>
      </c>
    </row>
    <row r="41" customFormat="false" ht="15" hidden="false" customHeight="true" outlineLevel="0" collapsed="false">
      <c r="A41" s="3" t="n">
        <v>91</v>
      </c>
      <c r="B41" s="34" t="n">
        <f aca="false">A41-Assumptions!$B$4+1</f>
        <v>27</v>
      </c>
      <c r="C41" s="56" t="n">
        <f aca="false">IF(A41&gt;=Assumptions!$B$5,0,IF(B41=1,$B$6,IF(B41&lt;=4,$C$6,$D$6)))</f>
        <v>0</v>
      </c>
      <c r="D41" s="56" t="n">
        <f aca="false">IF(A41&gt;=Assumptions!$B$5,0,IF(B41=1,$B$7,IF(B41&lt;=4,$C$7,$D$7)))</f>
        <v>0</v>
      </c>
      <c r="E41" s="56" t="n">
        <f aca="false">IF(A41&gt;=Assumptions!$B$5,0,IF(B41=1,$B$8,IF(B41&lt;=4,$C$8,$D$8)))</f>
        <v>0</v>
      </c>
      <c r="F41" s="56" t="n">
        <f aca="false">IF(A41&gt;=Assumptions!$B$5,0,IF(B41=1,$B$9,IF(B41&lt;=4,$C$9,$D$9)))</f>
        <v>0</v>
      </c>
      <c r="G41" s="30" t="n">
        <f aca="false">Projection!$F30*C41*Projection!$H30</f>
        <v>0</v>
      </c>
      <c r="H41" s="30" t="n">
        <f aca="false">Projection!$F30*D41*Projection!$H30</f>
        <v>0</v>
      </c>
      <c r="I41" s="30" t="n">
        <f aca="false">Projection!$F30*E41*Projection!$H30</f>
        <v>0</v>
      </c>
      <c r="J41" s="30" t="n">
        <f aca="false">Projection!$F30*F41*Projection!$H30</f>
        <v>0</v>
      </c>
      <c r="K41" s="18" t="n">
        <f aca="false">IF(A41&gt;=Assumptions!$B$5,0,IF(B41=1,$B$266,$B$267))</f>
        <v>0</v>
      </c>
      <c r="L41" s="30" t="n">
        <f aca="false">Projection!$F30*K41*Projection!$H30</f>
        <v>0</v>
      </c>
    </row>
    <row r="42" customFormat="false" ht="15" hidden="false" customHeight="true" outlineLevel="0" collapsed="false">
      <c r="A42" s="3" t="n">
        <v>92</v>
      </c>
      <c r="B42" s="34" t="n">
        <f aca="false">A42-Assumptions!$B$4+1</f>
        <v>28</v>
      </c>
      <c r="C42" s="56" t="n">
        <f aca="false">IF(A42&gt;=Assumptions!$B$5,0,IF(B42=1,$B$6,IF(B42&lt;=4,$C$6,$D$6)))</f>
        <v>0</v>
      </c>
      <c r="D42" s="56" t="n">
        <f aca="false">IF(A42&gt;=Assumptions!$B$5,0,IF(B42=1,$B$7,IF(B42&lt;=4,$C$7,$D$7)))</f>
        <v>0</v>
      </c>
      <c r="E42" s="56" t="n">
        <f aca="false">IF(A42&gt;=Assumptions!$B$5,0,IF(B42=1,$B$8,IF(B42&lt;=4,$C$8,$D$8)))</f>
        <v>0</v>
      </c>
      <c r="F42" s="56" t="n">
        <f aca="false">IF(A42&gt;=Assumptions!$B$5,0,IF(B42=1,$B$9,IF(B42&lt;=4,$C$9,$D$9)))</f>
        <v>0</v>
      </c>
      <c r="G42" s="30" t="n">
        <f aca="false">Projection!$F31*C42*Projection!$H31</f>
        <v>0</v>
      </c>
      <c r="H42" s="30" t="n">
        <f aca="false">Projection!$F31*D42*Projection!$H31</f>
        <v>0</v>
      </c>
      <c r="I42" s="30" t="n">
        <f aca="false">Projection!$F31*E42*Projection!$H31</f>
        <v>0</v>
      </c>
      <c r="J42" s="30" t="n">
        <f aca="false">Projection!$F31*F42*Projection!$H31</f>
        <v>0</v>
      </c>
      <c r="K42" s="18" t="n">
        <f aca="false">IF(A42&gt;=Assumptions!$B$5,0,IF(B42=1,$B$266,$B$267))</f>
        <v>0</v>
      </c>
      <c r="L42" s="30" t="n">
        <f aca="false">Projection!$F31*K42*Projection!$H31</f>
        <v>0</v>
      </c>
    </row>
    <row r="43" customFormat="false" ht="15" hidden="false" customHeight="true" outlineLevel="0" collapsed="false">
      <c r="A43" s="3" t="n">
        <v>93</v>
      </c>
      <c r="B43" s="34" t="n">
        <f aca="false">A43-Assumptions!$B$4+1</f>
        <v>29</v>
      </c>
      <c r="C43" s="56" t="n">
        <f aca="false">IF(A43&gt;=Assumptions!$B$5,0,IF(B43=1,$B$6,IF(B43&lt;=4,$C$6,$D$6)))</f>
        <v>0</v>
      </c>
      <c r="D43" s="56" t="n">
        <f aca="false">IF(A43&gt;=Assumptions!$B$5,0,IF(B43=1,$B$7,IF(B43&lt;=4,$C$7,$D$7)))</f>
        <v>0</v>
      </c>
      <c r="E43" s="56" t="n">
        <f aca="false">IF(A43&gt;=Assumptions!$B$5,0,IF(B43=1,$B$8,IF(B43&lt;=4,$C$8,$D$8)))</f>
        <v>0</v>
      </c>
      <c r="F43" s="56" t="n">
        <f aca="false">IF(A43&gt;=Assumptions!$B$5,0,IF(B43=1,$B$9,IF(B43&lt;=4,$C$9,$D$9)))</f>
        <v>0</v>
      </c>
      <c r="G43" s="30" t="n">
        <f aca="false">Projection!$F32*C43*Projection!$H32</f>
        <v>0</v>
      </c>
      <c r="H43" s="30" t="n">
        <f aca="false">Projection!$F32*D43*Projection!$H32</f>
        <v>0</v>
      </c>
      <c r="I43" s="30" t="n">
        <f aca="false">Projection!$F32*E43*Projection!$H32</f>
        <v>0</v>
      </c>
      <c r="J43" s="30" t="n">
        <f aca="false">Projection!$F32*F43*Projection!$H32</f>
        <v>0</v>
      </c>
      <c r="K43" s="18" t="n">
        <f aca="false">IF(A43&gt;=Assumptions!$B$5,0,IF(B43=1,$B$266,$B$267))</f>
        <v>0</v>
      </c>
      <c r="L43" s="30" t="n">
        <f aca="false">Projection!$F32*K43*Projection!$H32</f>
        <v>0</v>
      </c>
    </row>
    <row r="44" customFormat="false" ht="15" hidden="false" customHeight="true" outlineLevel="0" collapsed="false">
      <c r="A44" s="3" t="n">
        <v>94</v>
      </c>
      <c r="B44" s="34" t="n">
        <f aca="false">A44-Assumptions!$B$4+1</f>
        <v>30</v>
      </c>
      <c r="C44" s="56" t="n">
        <f aca="false">IF(A44&gt;=Assumptions!$B$5,0,IF(B44=1,$B$6,IF(B44&lt;=4,$C$6,$D$6)))</f>
        <v>0</v>
      </c>
      <c r="D44" s="56" t="n">
        <f aca="false">IF(A44&gt;=Assumptions!$B$5,0,IF(B44=1,$B$7,IF(B44&lt;=4,$C$7,$D$7)))</f>
        <v>0</v>
      </c>
      <c r="E44" s="56" t="n">
        <f aca="false">IF(A44&gt;=Assumptions!$B$5,0,IF(B44=1,$B$8,IF(B44&lt;=4,$C$8,$D$8)))</f>
        <v>0</v>
      </c>
      <c r="F44" s="56" t="n">
        <f aca="false">IF(A44&gt;=Assumptions!$B$5,0,IF(B44=1,$B$9,IF(B44&lt;=4,$C$9,$D$9)))</f>
        <v>0</v>
      </c>
      <c r="G44" s="30" t="n">
        <f aca="false">Projection!$F33*C44*Projection!$H33</f>
        <v>0</v>
      </c>
      <c r="H44" s="30" t="n">
        <f aca="false">Projection!$F33*D44*Projection!$H33</f>
        <v>0</v>
      </c>
      <c r="I44" s="30" t="n">
        <f aca="false">Projection!$F33*E44*Projection!$H33</f>
        <v>0</v>
      </c>
      <c r="J44" s="30" t="n">
        <f aca="false">Projection!$F33*F44*Projection!$H33</f>
        <v>0</v>
      </c>
      <c r="K44" s="18" t="n">
        <f aca="false">IF(A44&gt;=Assumptions!$B$5,0,IF(B44=1,$B$266,$B$267))</f>
        <v>0</v>
      </c>
      <c r="L44" s="30" t="n">
        <f aca="false">Projection!$F33*K44*Projection!$H33</f>
        <v>0</v>
      </c>
    </row>
    <row r="45" customFormat="false" ht="15" hidden="false" customHeight="true" outlineLevel="0" collapsed="false">
      <c r="A45" s="3" t="n">
        <v>95</v>
      </c>
      <c r="B45" s="34" t="n">
        <f aca="false">A45-Assumptions!$B$4+1</f>
        <v>31</v>
      </c>
      <c r="C45" s="56" t="n">
        <f aca="false">IF(A45&gt;=Assumptions!$B$5,0,IF(B45=1,$B$6,IF(B45&lt;=4,$C$6,$D$6)))</f>
        <v>0</v>
      </c>
      <c r="D45" s="56" t="n">
        <f aca="false">IF(A45&gt;=Assumptions!$B$5,0,IF(B45=1,$B$7,IF(B45&lt;=4,$C$7,$D$7)))</f>
        <v>0</v>
      </c>
      <c r="E45" s="56" t="n">
        <f aca="false">IF(A45&gt;=Assumptions!$B$5,0,IF(B45=1,$B$8,IF(B45&lt;=4,$C$8,$D$8)))</f>
        <v>0</v>
      </c>
      <c r="F45" s="56" t="n">
        <f aca="false">IF(A45&gt;=Assumptions!$B$5,0,IF(B45=1,$B$9,IF(B45&lt;=4,$C$9,$D$9)))</f>
        <v>0</v>
      </c>
      <c r="G45" s="30" t="n">
        <f aca="false">Projection!$F34*C45*Projection!$H34</f>
        <v>0</v>
      </c>
      <c r="H45" s="30" t="n">
        <f aca="false">Projection!$F34*D45*Projection!$H34</f>
        <v>0</v>
      </c>
      <c r="I45" s="30" t="n">
        <f aca="false">Projection!$F34*E45*Projection!$H34</f>
        <v>0</v>
      </c>
      <c r="J45" s="30" t="n">
        <f aca="false">Projection!$F34*F45*Projection!$H34</f>
        <v>0</v>
      </c>
      <c r="K45" s="18" t="n">
        <f aca="false">IF(A45&gt;=Assumptions!$B$5,0,IF(B45=1,$B$266,$B$267))</f>
        <v>0</v>
      </c>
      <c r="L45" s="30" t="n">
        <f aca="false">Projection!$F34*K45*Projection!$H34</f>
        <v>0</v>
      </c>
    </row>
    <row r="46" customFormat="false" ht="15" hidden="false" customHeight="true" outlineLevel="0" collapsed="false">
      <c r="A46" s="3" t="n">
        <v>96</v>
      </c>
      <c r="B46" s="34" t="n">
        <f aca="false">A46-Assumptions!$B$4+1</f>
        <v>32</v>
      </c>
      <c r="C46" s="56" t="n">
        <f aca="false">IF(A46&gt;=Assumptions!$B$5,0,IF(B46=1,$B$6,IF(B46&lt;=4,$C$6,$D$6)))</f>
        <v>0</v>
      </c>
      <c r="D46" s="56" t="n">
        <f aca="false">IF(A46&gt;=Assumptions!$B$5,0,IF(B46=1,$B$7,IF(B46&lt;=4,$C$7,$D$7)))</f>
        <v>0</v>
      </c>
      <c r="E46" s="56" t="n">
        <f aca="false">IF(A46&gt;=Assumptions!$B$5,0,IF(B46=1,$B$8,IF(B46&lt;=4,$C$8,$D$8)))</f>
        <v>0</v>
      </c>
      <c r="F46" s="56" t="n">
        <f aca="false">IF(A46&gt;=Assumptions!$B$5,0,IF(B46=1,$B$9,IF(B46&lt;=4,$C$9,$D$9)))</f>
        <v>0</v>
      </c>
      <c r="G46" s="30" t="n">
        <f aca="false">Projection!$F35*C46*Projection!$H35</f>
        <v>0</v>
      </c>
      <c r="H46" s="30" t="n">
        <f aca="false">Projection!$F35*D46*Projection!$H35</f>
        <v>0</v>
      </c>
      <c r="I46" s="30" t="n">
        <f aca="false">Projection!$F35*E46*Projection!$H35</f>
        <v>0</v>
      </c>
      <c r="J46" s="30" t="n">
        <f aca="false">Projection!$F35*F46*Projection!$H35</f>
        <v>0</v>
      </c>
      <c r="K46" s="18" t="n">
        <f aca="false">IF(A46&gt;=Assumptions!$B$5,0,IF(B46=1,$B$266,$B$267))</f>
        <v>0</v>
      </c>
      <c r="L46" s="30" t="n">
        <f aca="false">Projection!$F35*K46*Projection!$H35</f>
        <v>0</v>
      </c>
    </row>
    <row r="47" customFormat="false" ht="15" hidden="false" customHeight="true" outlineLevel="0" collapsed="false">
      <c r="A47" s="3" t="n">
        <v>97</v>
      </c>
      <c r="B47" s="34" t="n">
        <f aca="false">A47-Assumptions!$B$4+1</f>
        <v>33</v>
      </c>
      <c r="C47" s="56" t="n">
        <f aca="false">IF(A47&gt;=Assumptions!$B$5,0,IF(B47=1,$B$6,IF(B47&lt;=4,$C$6,$D$6)))</f>
        <v>0</v>
      </c>
      <c r="D47" s="56" t="n">
        <f aca="false">IF(A47&gt;=Assumptions!$B$5,0,IF(B47=1,$B$7,IF(B47&lt;=4,$C$7,$D$7)))</f>
        <v>0</v>
      </c>
      <c r="E47" s="56" t="n">
        <f aca="false">IF(A47&gt;=Assumptions!$B$5,0,IF(B47=1,$B$8,IF(B47&lt;=4,$C$8,$D$8)))</f>
        <v>0</v>
      </c>
      <c r="F47" s="56" t="n">
        <f aca="false">IF(A47&gt;=Assumptions!$B$5,0,IF(B47=1,$B$9,IF(B47&lt;=4,$C$9,$D$9)))</f>
        <v>0</v>
      </c>
      <c r="G47" s="30" t="n">
        <f aca="false">Projection!$F36*C47*Projection!$H36</f>
        <v>0</v>
      </c>
      <c r="H47" s="30" t="n">
        <f aca="false">Projection!$F36*D47*Projection!$H36</f>
        <v>0</v>
      </c>
      <c r="I47" s="30" t="n">
        <f aca="false">Projection!$F36*E47*Projection!$H36</f>
        <v>0</v>
      </c>
      <c r="J47" s="30" t="n">
        <f aca="false">Projection!$F36*F47*Projection!$H36</f>
        <v>0</v>
      </c>
      <c r="K47" s="18" t="n">
        <f aca="false">IF(A47&gt;=Assumptions!$B$5,0,IF(B47=1,$B$266,$B$267))</f>
        <v>0</v>
      </c>
      <c r="L47" s="30" t="n">
        <f aca="false">Projection!$F36*K47*Projection!$H36</f>
        <v>0</v>
      </c>
    </row>
    <row r="48" customFormat="false" ht="15" hidden="false" customHeight="true" outlineLevel="0" collapsed="false">
      <c r="A48" s="3" t="n">
        <v>98</v>
      </c>
      <c r="B48" s="34" t="n">
        <f aca="false">A48-Assumptions!$B$4+1</f>
        <v>34</v>
      </c>
      <c r="C48" s="56" t="n">
        <f aca="false">IF(A48&gt;=Assumptions!$B$5,0,IF(B48=1,$B$6,IF(B48&lt;=4,$C$6,$D$6)))</f>
        <v>0</v>
      </c>
      <c r="D48" s="56" t="n">
        <f aca="false">IF(A48&gt;=Assumptions!$B$5,0,IF(B48=1,$B$7,IF(B48&lt;=4,$C$7,$D$7)))</f>
        <v>0</v>
      </c>
      <c r="E48" s="56" t="n">
        <f aca="false">IF(A48&gt;=Assumptions!$B$5,0,IF(B48=1,$B$8,IF(B48&lt;=4,$C$8,$D$8)))</f>
        <v>0</v>
      </c>
      <c r="F48" s="56" t="n">
        <f aca="false">IF(A48&gt;=Assumptions!$B$5,0,IF(B48=1,$B$9,IF(B48&lt;=4,$C$9,$D$9)))</f>
        <v>0</v>
      </c>
      <c r="G48" s="30" t="n">
        <f aca="false">Projection!$F37*C48*Projection!$H37</f>
        <v>0</v>
      </c>
      <c r="H48" s="30" t="n">
        <f aca="false">Projection!$F37*D48*Projection!$H37</f>
        <v>0</v>
      </c>
      <c r="I48" s="30" t="n">
        <f aca="false">Projection!$F37*E48*Projection!$H37</f>
        <v>0</v>
      </c>
      <c r="J48" s="30" t="n">
        <f aca="false">Projection!$F37*F48*Projection!$H37</f>
        <v>0</v>
      </c>
      <c r="K48" s="18" t="n">
        <f aca="false">IF(A48&gt;=Assumptions!$B$5,0,IF(B48=1,$B$266,$B$267))</f>
        <v>0</v>
      </c>
      <c r="L48" s="30" t="n">
        <f aca="false">Projection!$F37*K48*Projection!$H37</f>
        <v>0</v>
      </c>
    </row>
    <row r="49" customFormat="false" ht="15" hidden="false" customHeight="true" outlineLevel="0" collapsed="false">
      <c r="A49" s="3" t="n">
        <v>99</v>
      </c>
      <c r="B49" s="34" t="n">
        <f aca="false">A49-Assumptions!$B$4+1</f>
        <v>35</v>
      </c>
      <c r="C49" s="56" t="n">
        <f aca="false">IF(A49&gt;=Assumptions!$B$5,0,IF(B49=1,$B$6,IF(B49&lt;=4,$C$6,$D$6)))</f>
        <v>0</v>
      </c>
      <c r="D49" s="56" t="n">
        <f aca="false">IF(A49&gt;=Assumptions!$B$5,0,IF(B49=1,$B$7,IF(B49&lt;=4,$C$7,$D$7)))</f>
        <v>0</v>
      </c>
      <c r="E49" s="56" t="n">
        <f aca="false">IF(A49&gt;=Assumptions!$B$5,0,IF(B49=1,$B$8,IF(B49&lt;=4,$C$8,$D$8)))</f>
        <v>0</v>
      </c>
      <c r="F49" s="56" t="n">
        <f aca="false">IF(A49&gt;=Assumptions!$B$5,0,IF(B49=1,$B$9,IF(B49&lt;=4,$C$9,$D$9)))</f>
        <v>0</v>
      </c>
      <c r="G49" s="30" t="n">
        <f aca="false">Projection!$F38*C49*Projection!$H38</f>
        <v>0</v>
      </c>
      <c r="H49" s="30" t="n">
        <f aca="false">Projection!$F38*D49*Projection!$H38</f>
        <v>0</v>
      </c>
      <c r="I49" s="30" t="n">
        <f aca="false">Projection!$F38*E49*Projection!$H38</f>
        <v>0</v>
      </c>
      <c r="J49" s="30" t="n">
        <f aca="false">Projection!$F38*F49*Projection!$H38</f>
        <v>0</v>
      </c>
      <c r="K49" s="18" t="n">
        <f aca="false">IF(A49&gt;=Assumptions!$B$5,0,IF(B49=1,$B$266,$B$267))</f>
        <v>0</v>
      </c>
      <c r="L49" s="30" t="n">
        <f aca="false">Projection!$F38*K49*Projection!$H38</f>
        <v>0</v>
      </c>
    </row>
    <row r="50" customFormat="false" ht="15" hidden="false" customHeight="true" outlineLevel="0" collapsed="false">
      <c r="A50" s="3" t="n">
        <v>100</v>
      </c>
      <c r="B50" s="34" t="n">
        <f aca="false">A50-Assumptions!$B$4+1</f>
        <v>36</v>
      </c>
      <c r="C50" s="56" t="n">
        <f aca="false">IF(A50&gt;=Assumptions!$B$5,0,IF(B50=1,$B$6,IF(B50&lt;=4,$C$6,$D$6)))</f>
        <v>0</v>
      </c>
      <c r="D50" s="56" t="n">
        <f aca="false">IF(A50&gt;=Assumptions!$B$5,0,IF(B50=1,$B$7,IF(B50&lt;=4,$C$7,$D$7)))</f>
        <v>0</v>
      </c>
      <c r="E50" s="56" t="n">
        <f aca="false">IF(A50&gt;=Assumptions!$B$5,0,IF(B50=1,$B$8,IF(B50&lt;=4,$C$8,$D$8)))</f>
        <v>0</v>
      </c>
      <c r="F50" s="56" t="n">
        <f aca="false">IF(A50&gt;=Assumptions!$B$5,0,IF(B50=1,$B$9,IF(B50&lt;=4,$C$9,$D$9)))</f>
        <v>0</v>
      </c>
      <c r="G50" s="30" t="n">
        <f aca="false">Projection!$F39*C50*Projection!$H39</f>
        <v>0</v>
      </c>
      <c r="H50" s="30" t="n">
        <f aca="false">Projection!$F39*D50*Projection!$H39</f>
        <v>0</v>
      </c>
      <c r="I50" s="30" t="n">
        <f aca="false">Projection!$F39*E50*Projection!$H39</f>
        <v>0</v>
      </c>
      <c r="J50" s="30" t="n">
        <f aca="false">Projection!$F39*F50*Projection!$H39</f>
        <v>0</v>
      </c>
      <c r="K50" s="18" t="n">
        <f aca="false">IF(A50&gt;=Assumptions!$B$5,0,IF(B50=1,$B$266,$B$267))</f>
        <v>0</v>
      </c>
      <c r="L50" s="30" t="n">
        <f aca="false">Projection!$F39*K50*Projection!$H39</f>
        <v>0</v>
      </c>
    </row>
    <row r="51" customFormat="false" ht="15" hidden="false" customHeight="true" outlineLevel="0" collapsed="false">
      <c r="A51" s="3" t="n">
        <v>101</v>
      </c>
      <c r="B51" s="34" t="n">
        <f aca="false">A51-Assumptions!$B$4+1</f>
        <v>37</v>
      </c>
      <c r="C51" s="56" t="n">
        <f aca="false">IF(A51&gt;=Assumptions!$B$5,0,IF(B51=1,$B$6,IF(B51&lt;=4,$C$6,$D$6)))</f>
        <v>0</v>
      </c>
      <c r="D51" s="56" t="n">
        <f aca="false">IF(A51&gt;=Assumptions!$B$5,0,IF(B51=1,$B$7,IF(B51&lt;=4,$C$7,$D$7)))</f>
        <v>0</v>
      </c>
      <c r="E51" s="56" t="n">
        <f aca="false">IF(A51&gt;=Assumptions!$B$5,0,IF(B51=1,$B$8,IF(B51&lt;=4,$C$8,$D$8)))</f>
        <v>0</v>
      </c>
      <c r="F51" s="56" t="n">
        <f aca="false">IF(A51&gt;=Assumptions!$B$5,0,IF(B51=1,$B$9,IF(B51&lt;=4,$C$9,$D$9)))</f>
        <v>0</v>
      </c>
      <c r="G51" s="30" t="n">
        <f aca="false">Projection!$F40*C51*Projection!$H40</f>
        <v>0</v>
      </c>
      <c r="H51" s="30" t="n">
        <f aca="false">Projection!$F40*D51*Projection!$H40</f>
        <v>0</v>
      </c>
      <c r="I51" s="30" t="n">
        <f aca="false">Projection!$F40*E51*Projection!$H40</f>
        <v>0</v>
      </c>
      <c r="J51" s="30" t="n">
        <f aca="false">Projection!$F40*F51*Projection!$H40</f>
        <v>0</v>
      </c>
      <c r="K51" s="18" t="n">
        <f aca="false">IF(A51&gt;=Assumptions!$B$5,0,IF(B51=1,$B$266,$B$267))</f>
        <v>0</v>
      </c>
      <c r="L51" s="30" t="n">
        <f aca="false">Projection!$F40*K51*Projection!$H40</f>
        <v>0</v>
      </c>
    </row>
    <row r="52" customFormat="false" ht="15" hidden="false" customHeight="true" outlineLevel="0" collapsed="false">
      <c r="A52" s="3" t="n">
        <v>102</v>
      </c>
      <c r="B52" s="34" t="n">
        <f aca="false">A52-Assumptions!$B$4+1</f>
        <v>38</v>
      </c>
      <c r="C52" s="56" t="n">
        <f aca="false">IF(A52&gt;=Assumptions!$B$5,0,IF(B52=1,$B$6,IF(B52&lt;=4,$C$6,$D$6)))</f>
        <v>0</v>
      </c>
      <c r="D52" s="56" t="n">
        <f aca="false">IF(A52&gt;=Assumptions!$B$5,0,IF(B52=1,$B$7,IF(B52&lt;=4,$C$7,$D$7)))</f>
        <v>0</v>
      </c>
      <c r="E52" s="56" t="n">
        <f aca="false">IF(A52&gt;=Assumptions!$B$5,0,IF(B52=1,$B$8,IF(B52&lt;=4,$C$8,$D$8)))</f>
        <v>0</v>
      </c>
      <c r="F52" s="56" t="n">
        <f aca="false">IF(A52&gt;=Assumptions!$B$5,0,IF(B52=1,$B$9,IF(B52&lt;=4,$C$9,$D$9)))</f>
        <v>0</v>
      </c>
      <c r="G52" s="30" t="n">
        <f aca="false">Projection!$F41*C52*Projection!$H41</f>
        <v>0</v>
      </c>
      <c r="H52" s="30" t="n">
        <f aca="false">Projection!$F41*D52*Projection!$H41</f>
        <v>0</v>
      </c>
      <c r="I52" s="30" t="n">
        <f aca="false">Projection!$F41*E52*Projection!$H41</f>
        <v>0</v>
      </c>
      <c r="J52" s="30" t="n">
        <f aca="false">Projection!$F41*F52*Projection!$H41</f>
        <v>0</v>
      </c>
      <c r="K52" s="18" t="n">
        <f aca="false">IF(A52&gt;=Assumptions!$B$5,0,IF(B52=1,$B$266,$B$267))</f>
        <v>0</v>
      </c>
      <c r="L52" s="30" t="n">
        <f aca="false">Projection!$F41*K52*Projection!$H41</f>
        <v>0</v>
      </c>
    </row>
    <row r="53" customFormat="false" ht="15" hidden="false" customHeight="true" outlineLevel="0" collapsed="false">
      <c r="A53" s="3" t="n">
        <v>103</v>
      </c>
      <c r="B53" s="34" t="n">
        <f aca="false">A53-Assumptions!$B$4+1</f>
        <v>39</v>
      </c>
      <c r="C53" s="56" t="n">
        <f aca="false">IF(A53&gt;=Assumptions!$B$5,0,IF(B53=1,$B$6,IF(B53&lt;=4,$C$6,$D$6)))</f>
        <v>0</v>
      </c>
      <c r="D53" s="56" t="n">
        <f aca="false">IF(A53&gt;=Assumptions!$B$5,0,IF(B53=1,$B$7,IF(B53&lt;=4,$C$7,$D$7)))</f>
        <v>0</v>
      </c>
      <c r="E53" s="56" t="n">
        <f aca="false">IF(A53&gt;=Assumptions!$B$5,0,IF(B53=1,$B$8,IF(B53&lt;=4,$C$8,$D$8)))</f>
        <v>0</v>
      </c>
      <c r="F53" s="56" t="n">
        <f aca="false">IF(A53&gt;=Assumptions!$B$5,0,IF(B53=1,$B$9,IF(B53&lt;=4,$C$9,$D$9)))</f>
        <v>0</v>
      </c>
      <c r="G53" s="30" t="n">
        <f aca="false">Projection!$F42*C53*Projection!$H42</f>
        <v>0</v>
      </c>
      <c r="H53" s="30" t="n">
        <f aca="false">Projection!$F42*D53*Projection!$H42</f>
        <v>0</v>
      </c>
      <c r="I53" s="30" t="n">
        <f aca="false">Projection!$F42*E53*Projection!$H42</f>
        <v>0</v>
      </c>
      <c r="J53" s="30" t="n">
        <f aca="false">Projection!$F42*F53*Projection!$H42</f>
        <v>0</v>
      </c>
      <c r="K53" s="18" t="n">
        <f aca="false">IF(A53&gt;=Assumptions!$B$5,0,IF(B53=1,$B$266,$B$267))</f>
        <v>0</v>
      </c>
      <c r="L53" s="30" t="n">
        <f aca="false">Projection!$F42*K53*Projection!$H42</f>
        <v>0</v>
      </c>
    </row>
    <row r="54" customFormat="false" ht="15" hidden="false" customHeight="true" outlineLevel="0" collapsed="false">
      <c r="A54" s="3" t="n">
        <v>104</v>
      </c>
      <c r="B54" s="34" t="n">
        <f aca="false">A54-Assumptions!$B$4+1</f>
        <v>40</v>
      </c>
      <c r="C54" s="56" t="n">
        <f aca="false">IF(A54&gt;=Assumptions!$B$5,0,IF(B54=1,$B$6,IF(B54&lt;=4,$C$6,$D$6)))</f>
        <v>0</v>
      </c>
      <c r="D54" s="56" t="n">
        <f aca="false">IF(A54&gt;=Assumptions!$B$5,0,IF(B54=1,$B$7,IF(B54&lt;=4,$C$7,$D$7)))</f>
        <v>0</v>
      </c>
      <c r="E54" s="56" t="n">
        <f aca="false">IF(A54&gt;=Assumptions!$B$5,0,IF(B54=1,$B$8,IF(B54&lt;=4,$C$8,$D$8)))</f>
        <v>0</v>
      </c>
      <c r="F54" s="56" t="n">
        <f aca="false">IF(A54&gt;=Assumptions!$B$5,0,IF(B54=1,$B$9,IF(B54&lt;=4,$C$9,$D$9)))</f>
        <v>0</v>
      </c>
      <c r="G54" s="30" t="n">
        <f aca="false">Projection!$F43*C54*Projection!$H43</f>
        <v>0</v>
      </c>
      <c r="H54" s="30" t="n">
        <f aca="false">Projection!$F43*D54*Projection!$H43</f>
        <v>0</v>
      </c>
      <c r="I54" s="30" t="n">
        <f aca="false">Projection!$F43*E54*Projection!$H43</f>
        <v>0</v>
      </c>
      <c r="J54" s="30" t="n">
        <f aca="false">Projection!$F43*F54*Projection!$H43</f>
        <v>0</v>
      </c>
      <c r="K54" s="18" t="n">
        <f aca="false">IF(A54&gt;=Assumptions!$B$5,0,IF(B54=1,$B$266,$B$267))</f>
        <v>0</v>
      </c>
      <c r="L54" s="30" t="n">
        <f aca="false">Projection!$F43*K54*Projection!$H43</f>
        <v>0</v>
      </c>
    </row>
    <row r="55" customFormat="false" ht="15" hidden="false" customHeight="true" outlineLevel="0" collapsed="false">
      <c r="A55" s="3" t="n">
        <v>105</v>
      </c>
      <c r="B55" s="34" t="n">
        <f aca="false">A55-Assumptions!$B$4+1</f>
        <v>41</v>
      </c>
      <c r="C55" s="56" t="n">
        <f aca="false">IF(A55&gt;=Assumptions!$B$5,0,IF(B55=1,$B$6,IF(B55&lt;=4,$C$6,$D$6)))</f>
        <v>0</v>
      </c>
      <c r="D55" s="56" t="n">
        <f aca="false">IF(A55&gt;=Assumptions!$B$5,0,IF(B55=1,$B$7,IF(B55&lt;=4,$C$7,$D$7)))</f>
        <v>0</v>
      </c>
      <c r="E55" s="56" t="n">
        <f aca="false">IF(A55&gt;=Assumptions!$B$5,0,IF(B55=1,$B$8,IF(B55&lt;=4,$C$8,$D$8)))</f>
        <v>0</v>
      </c>
      <c r="F55" s="56" t="n">
        <f aca="false">IF(A55&gt;=Assumptions!$B$5,0,IF(B55=1,$B$9,IF(B55&lt;=4,$C$9,$D$9)))</f>
        <v>0</v>
      </c>
      <c r="G55" s="30" t="n">
        <f aca="false">Projection!$F44*C55*Projection!$H44</f>
        <v>0</v>
      </c>
      <c r="H55" s="30" t="n">
        <f aca="false">Projection!$F44*D55*Projection!$H44</f>
        <v>0</v>
      </c>
      <c r="I55" s="30" t="n">
        <f aca="false">Projection!$F44*E55*Projection!$H44</f>
        <v>0</v>
      </c>
      <c r="J55" s="30" t="n">
        <f aca="false">Projection!$F44*F55*Projection!$H44</f>
        <v>0</v>
      </c>
      <c r="K55" s="18" t="n">
        <f aca="false">IF(A55&gt;=Assumptions!$B$5,0,IF(B55=1,$B$266,$B$267))</f>
        <v>0</v>
      </c>
      <c r="L55" s="30" t="n">
        <f aca="false">Projection!$F44*K55*Projection!$H44</f>
        <v>0</v>
      </c>
    </row>
    <row r="56" customFormat="false" ht="15" hidden="false" customHeight="true" outlineLevel="0" collapsed="false">
      <c r="A56" s="3" t="n">
        <v>106</v>
      </c>
      <c r="B56" s="34" t="n">
        <f aca="false">A56-Assumptions!$B$4+1</f>
        <v>42</v>
      </c>
      <c r="C56" s="56" t="n">
        <f aca="false">IF(A56&gt;=Assumptions!$B$5,0,IF(B56=1,$B$6,IF(B56&lt;=4,$C$6,$D$6)))</f>
        <v>0</v>
      </c>
      <c r="D56" s="56" t="n">
        <f aca="false">IF(A56&gt;=Assumptions!$B$5,0,IF(B56=1,$B$7,IF(B56&lt;=4,$C$7,$D$7)))</f>
        <v>0</v>
      </c>
      <c r="E56" s="56" t="n">
        <f aca="false">IF(A56&gt;=Assumptions!$B$5,0,IF(B56=1,$B$8,IF(B56&lt;=4,$C$8,$D$8)))</f>
        <v>0</v>
      </c>
      <c r="F56" s="56" t="n">
        <f aca="false">IF(A56&gt;=Assumptions!$B$5,0,IF(B56=1,$B$9,IF(B56&lt;=4,$C$9,$D$9)))</f>
        <v>0</v>
      </c>
      <c r="G56" s="30" t="n">
        <f aca="false">Projection!$F45*C56*Projection!$H45</f>
        <v>0</v>
      </c>
      <c r="H56" s="30" t="n">
        <f aca="false">Projection!$F45*D56*Projection!$H45</f>
        <v>0</v>
      </c>
      <c r="I56" s="30" t="n">
        <f aca="false">Projection!$F45*E56*Projection!$H45</f>
        <v>0</v>
      </c>
      <c r="J56" s="30" t="n">
        <f aca="false">Projection!$F45*F56*Projection!$H45</f>
        <v>0</v>
      </c>
      <c r="K56" s="18" t="n">
        <f aca="false">IF(A56&gt;=Assumptions!$B$5,0,IF(B56=1,$B$266,$B$267))</f>
        <v>0</v>
      </c>
      <c r="L56" s="30" t="n">
        <f aca="false">Projection!$F45*K56*Projection!$H45</f>
        <v>0</v>
      </c>
    </row>
    <row r="57" customFormat="false" ht="15" hidden="false" customHeight="true" outlineLevel="0" collapsed="false">
      <c r="A57" s="3" t="n">
        <v>107</v>
      </c>
      <c r="B57" s="34" t="n">
        <f aca="false">A57-Assumptions!$B$4+1</f>
        <v>43</v>
      </c>
      <c r="C57" s="56" t="n">
        <f aca="false">IF(A57&gt;=Assumptions!$B$5,0,IF(B57=1,$B$6,IF(B57&lt;=4,$C$6,$D$6)))</f>
        <v>0</v>
      </c>
      <c r="D57" s="56" t="n">
        <f aca="false">IF(A57&gt;=Assumptions!$B$5,0,IF(B57=1,$B$7,IF(B57&lt;=4,$C$7,$D$7)))</f>
        <v>0</v>
      </c>
      <c r="E57" s="56" t="n">
        <f aca="false">IF(A57&gt;=Assumptions!$B$5,0,IF(B57=1,$B$8,IF(B57&lt;=4,$C$8,$D$8)))</f>
        <v>0</v>
      </c>
      <c r="F57" s="56" t="n">
        <f aca="false">IF(A57&gt;=Assumptions!$B$5,0,IF(B57=1,$B$9,IF(B57&lt;=4,$C$9,$D$9)))</f>
        <v>0</v>
      </c>
      <c r="G57" s="30" t="n">
        <f aca="false">Projection!$F46*C57*Projection!$H46</f>
        <v>0</v>
      </c>
      <c r="H57" s="30" t="n">
        <f aca="false">Projection!$F46*D57*Projection!$H46</f>
        <v>0</v>
      </c>
      <c r="I57" s="30" t="n">
        <f aca="false">Projection!$F46*E57*Projection!$H46</f>
        <v>0</v>
      </c>
      <c r="J57" s="30" t="n">
        <f aca="false">Projection!$F46*F57*Projection!$H46</f>
        <v>0</v>
      </c>
      <c r="K57" s="18" t="n">
        <f aca="false">IF(A57&gt;=Assumptions!$B$5,0,IF(B57=1,$B$266,$B$267))</f>
        <v>0</v>
      </c>
      <c r="L57" s="30" t="n">
        <f aca="false">Projection!$F46*K57*Projection!$H46</f>
        <v>0</v>
      </c>
    </row>
    <row r="58" customFormat="false" ht="15" hidden="false" customHeight="true" outlineLevel="0" collapsed="false">
      <c r="A58" s="3" t="n">
        <v>108</v>
      </c>
      <c r="B58" s="34" t="n">
        <f aca="false">A58-Assumptions!$B$4+1</f>
        <v>44</v>
      </c>
      <c r="C58" s="56" t="n">
        <f aca="false">IF(A58&gt;=Assumptions!$B$5,0,IF(B58=1,$B$6,IF(B58&lt;=4,$C$6,$D$6)))</f>
        <v>0</v>
      </c>
      <c r="D58" s="56" t="n">
        <f aca="false">IF(A58&gt;=Assumptions!$B$5,0,IF(B58=1,$B$7,IF(B58&lt;=4,$C$7,$D$7)))</f>
        <v>0</v>
      </c>
      <c r="E58" s="56" t="n">
        <f aca="false">IF(A58&gt;=Assumptions!$B$5,0,IF(B58=1,$B$8,IF(B58&lt;=4,$C$8,$D$8)))</f>
        <v>0</v>
      </c>
      <c r="F58" s="56" t="n">
        <f aca="false">IF(A58&gt;=Assumptions!$B$5,0,IF(B58=1,$B$9,IF(B58&lt;=4,$C$9,$D$9)))</f>
        <v>0</v>
      </c>
      <c r="G58" s="30" t="n">
        <f aca="false">Projection!$F47*C58*Projection!$H47</f>
        <v>0</v>
      </c>
      <c r="H58" s="30" t="n">
        <f aca="false">Projection!$F47*D58*Projection!$H47</f>
        <v>0</v>
      </c>
      <c r="I58" s="30" t="n">
        <f aca="false">Projection!$F47*E58*Projection!$H47</f>
        <v>0</v>
      </c>
      <c r="J58" s="30" t="n">
        <f aca="false">Projection!$F47*F58*Projection!$H47</f>
        <v>0</v>
      </c>
      <c r="K58" s="18" t="n">
        <f aca="false">IF(A58&gt;=Assumptions!$B$5,0,IF(B58=1,$B$266,$B$267))</f>
        <v>0</v>
      </c>
      <c r="L58" s="30" t="n">
        <f aca="false">Projection!$F47*K58*Projection!$H47</f>
        <v>0</v>
      </c>
    </row>
    <row r="59" customFormat="false" ht="15" hidden="false" customHeight="true" outlineLevel="0" collapsed="false">
      <c r="A59" s="3" t="n">
        <v>109</v>
      </c>
      <c r="B59" s="34" t="n">
        <f aca="false">A59-Assumptions!$B$4+1</f>
        <v>45</v>
      </c>
      <c r="C59" s="56" t="n">
        <f aca="false">IF(A59&gt;=Assumptions!$B$5,0,IF(B59=1,$B$6,IF(B59&lt;=4,$C$6,$D$6)))</f>
        <v>0</v>
      </c>
      <c r="D59" s="56" t="n">
        <f aca="false">IF(A59&gt;=Assumptions!$B$5,0,IF(B59=1,$B$7,IF(B59&lt;=4,$C$7,$D$7)))</f>
        <v>0</v>
      </c>
      <c r="E59" s="56" t="n">
        <f aca="false">IF(A59&gt;=Assumptions!$B$5,0,IF(B59=1,$B$8,IF(B59&lt;=4,$C$8,$D$8)))</f>
        <v>0</v>
      </c>
      <c r="F59" s="56" t="n">
        <f aca="false">IF(A59&gt;=Assumptions!$B$5,0,IF(B59=1,$B$9,IF(B59&lt;=4,$C$9,$D$9)))</f>
        <v>0</v>
      </c>
      <c r="G59" s="30" t="n">
        <f aca="false">Projection!$F48*C59*Projection!$H48</f>
        <v>0</v>
      </c>
      <c r="H59" s="30" t="n">
        <f aca="false">Projection!$F48*D59*Projection!$H48</f>
        <v>0</v>
      </c>
      <c r="I59" s="30" t="n">
        <f aca="false">Projection!$F48*E59*Projection!$H48</f>
        <v>0</v>
      </c>
      <c r="J59" s="30" t="n">
        <f aca="false">Projection!$F48*F59*Projection!$H48</f>
        <v>0</v>
      </c>
      <c r="K59" s="18" t="n">
        <f aca="false">IF(A59&gt;=Assumptions!$B$5,0,IF(B59=1,$B$266,$B$267))</f>
        <v>0</v>
      </c>
      <c r="L59" s="30" t="n">
        <f aca="false">Projection!$F48*K59*Projection!$H48</f>
        <v>0</v>
      </c>
    </row>
    <row r="60" customFormat="false" ht="15" hidden="false" customHeight="true" outlineLevel="0" collapsed="false">
      <c r="A60" s="3" t="n">
        <v>110</v>
      </c>
      <c r="B60" s="34" t="n">
        <f aca="false">A60-Assumptions!$B$4+1</f>
        <v>46</v>
      </c>
      <c r="C60" s="56" t="n">
        <f aca="false">IF(A60&gt;=Assumptions!$B$5,0,IF(B60=1,$B$6,IF(B60&lt;=4,$C$6,$D$6)))</f>
        <v>0</v>
      </c>
      <c r="D60" s="56" t="n">
        <f aca="false">IF(A60&gt;=Assumptions!$B$5,0,IF(B60=1,$B$7,IF(B60&lt;=4,$C$7,$D$7)))</f>
        <v>0</v>
      </c>
      <c r="E60" s="56" t="n">
        <f aca="false">IF(A60&gt;=Assumptions!$B$5,0,IF(B60=1,$B$8,IF(B60&lt;=4,$C$8,$D$8)))</f>
        <v>0</v>
      </c>
      <c r="F60" s="56" t="n">
        <f aca="false">IF(A60&gt;=Assumptions!$B$5,0,IF(B60=1,$B$9,IF(B60&lt;=4,$C$9,$D$9)))</f>
        <v>0</v>
      </c>
      <c r="G60" s="30" t="n">
        <f aca="false">Projection!$F49*C60*Projection!$H49</f>
        <v>0</v>
      </c>
      <c r="H60" s="30" t="n">
        <f aca="false">Projection!$F49*D60*Projection!$H49</f>
        <v>0</v>
      </c>
      <c r="I60" s="30" t="n">
        <f aca="false">Projection!$F49*E60*Projection!$H49</f>
        <v>0</v>
      </c>
      <c r="J60" s="30" t="n">
        <f aca="false">Projection!$F49*F60*Projection!$H49</f>
        <v>0</v>
      </c>
      <c r="K60" s="18" t="n">
        <f aca="false">IF(A60&gt;=Assumptions!$B$5,0,IF(B60=1,$B$266,$B$267))</f>
        <v>0</v>
      </c>
      <c r="L60" s="30" t="n">
        <f aca="false">Projection!$F49*K60*Projection!$H49</f>
        <v>0</v>
      </c>
    </row>
    <row r="61" customFormat="false" ht="15" hidden="false" customHeight="true" outlineLevel="0" collapsed="false">
      <c r="A61" s="3" t="n">
        <v>111</v>
      </c>
      <c r="B61" s="34" t="n">
        <f aca="false">A61-Assumptions!$B$4+1</f>
        <v>47</v>
      </c>
      <c r="C61" s="56" t="n">
        <f aca="false">IF(A61&gt;=Assumptions!$B$5,0,IF(B61=1,$B$6,IF(B61&lt;=4,$C$6,$D$6)))</f>
        <v>0</v>
      </c>
      <c r="D61" s="56" t="n">
        <f aca="false">IF(A61&gt;=Assumptions!$B$5,0,IF(B61=1,$B$7,IF(B61&lt;=4,$C$7,$D$7)))</f>
        <v>0</v>
      </c>
      <c r="E61" s="56" t="n">
        <f aca="false">IF(A61&gt;=Assumptions!$B$5,0,IF(B61=1,$B$8,IF(B61&lt;=4,$C$8,$D$8)))</f>
        <v>0</v>
      </c>
      <c r="F61" s="56" t="n">
        <f aca="false">IF(A61&gt;=Assumptions!$B$5,0,IF(B61=1,$B$9,IF(B61&lt;=4,$C$9,$D$9)))</f>
        <v>0</v>
      </c>
      <c r="G61" s="30" t="n">
        <f aca="false">Projection!$F50*C61*Projection!$H50</f>
        <v>0</v>
      </c>
      <c r="H61" s="30" t="n">
        <f aca="false">Projection!$F50*D61*Projection!$H50</f>
        <v>0</v>
      </c>
      <c r="I61" s="30" t="n">
        <f aca="false">Projection!$F50*E61*Projection!$H50</f>
        <v>0</v>
      </c>
      <c r="J61" s="30" t="n">
        <f aca="false">Projection!$F50*F61*Projection!$H50</f>
        <v>0</v>
      </c>
      <c r="K61" s="18" t="n">
        <f aca="false">IF(A61&gt;=Assumptions!$B$5,0,IF(B61=1,$B$266,$B$267))</f>
        <v>0</v>
      </c>
      <c r="L61" s="30" t="n">
        <f aca="false">Projection!$F50*K61*Projection!$H50</f>
        <v>0</v>
      </c>
    </row>
    <row r="62" customFormat="false" ht="15" hidden="false" customHeight="true" outlineLevel="0" collapsed="false">
      <c r="A62" s="3" t="n">
        <v>112</v>
      </c>
      <c r="B62" s="34" t="n">
        <f aca="false">A62-Assumptions!$B$4+1</f>
        <v>48</v>
      </c>
      <c r="C62" s="56" t="n">
        <f aca="false">IF(A62&gt;=Assumptions!$B$5,0,IF(B62=1,$B$6,IF(B62&lt;=4,$C$6,$D$6)))</f>
        <v>0</v>
      </c>
      <c r="D62" s="56" t="n">
        <f aca="false">IF(A62&gt;=Assumptions!$B$5,0,IF(B62=1,$B$7,IF(B62&lt;=4,$C$7,$D$7)))</f>
        <v>0</v>
      </c>
      <c r="E62" s="56" t="n">
        <f aca="false">IF(A62&gt;=Assumptions!$B$5,0,IF(B62=1,$B$8,IF(B62&lt;=4,$C$8,$D$8)))</f>
        <v>0</v>
      </c>
      <c r="F62" s="56" t="n">
        <f aca="false">IF(A62&gt;=Assumptions!$B$5,0,IF(B62=1,$B$9,IF(B62&lt;=4,$C$9,$D$9)))</f>
        <v>0</v>
      </c>
      <c r="G62" s="30" t="n">
        <f aca="false">Projection!$F51*C62*Projection!$H51</f>
        <v>0</v>
      </c>
      <c r="H62" s="30" t="n">
        <f aca="false">Projection!$F51*D62*Projection!$H51</f>
        <v>0</v>
      </c>
      <c r="I62" s="30" t="n">
        <f aca="false">Projection!$F51*E62*Projection!$H51</f>
        <v>0</v>
      </c>
      <c r="J62" s="30" t="n">
        <f aca="false">Projection!$F51*F62*Projection!$H51</f>
        <v>0</v>
      </c>
      <c r="K62" s="18" t="n">
        <f aca="false">IF(A62&gt;=Assumptions!$B$5,0,IF(B62=1,$B$266,$B$267))</f>
        <v>0</v>
      </c>
      <c r="L62" s="30" t="n">
        <f aca="false">Projection!$F51*K62*Projection!$H51</f>
        <v>0</v>
      </c>
    </row>
    <row r="63" customFormat="false" ht="15" hidden="false" customHeight="true" outlineLevel="0" collapsed="false">
      <c r="A63" s="3" t="n">
        <v>113</v>
      </c>
      <c r="B63" s="34" t="n">
        <f aca="false">A63-Assumptions!$B$4+1</f>
        <v>49</v>
      </c>
      <c r="C63" s="56" t="n">
        <f aca="false">IF(A63&gt;=Assumptions!$B$5,0,IF(B63=1,$B$6,IF(B63&lt;=4,$C$6,$D$6)))</f>
        <v>0</v>
      </c>
      <c r="D63" s="56" t="n">
        <f aca="false">IF(A63&gt;=Assumptions!$B$5,0,IF(B63=1,$B$7,IF(B63&lt;=4,$C$7,$D$7)))</f>
        <v>0</v>
      </c>
      <c r="E63" s="56" t="n">
        <f aca="false">IF(A63&gt;=Assumptions!$B$5,0,IF(B63=1,$B$8,IF(B63&lt;=4,$C$8,$D$8)))</f>
        <v>0</v>
      </c>
      <c r="F63" s="56" t="n">
        <f aca="false">IF(A63&gt;=Assumptions!$B$5,0,IF(B63=1,$B$9,IF(B63&lt;=4,$C$9,$D$9)))</f>
        <v>0</v>
      </c>
      <c r="G63" s="30" t="n">
        <f aca="false">Projection!$F52*C63*Projection!$H52</f>
        <v>0</v>
      </c>
      <c r="H63" s="30" t="n">
        <f aca="false">Projection!$F52*D63*Projection!$H52</f>
        <v>0</v>
      </c>
      <c r="I63" s="30" t="n">
        <f aca="false">Projection!$F52*E63*Projection!$H52</f>
        <v>0</v>
      </c>
      <c r="J63" s="30" t="n">
        <f aca="false">Projection!$F52*F63*Projection!$H52</f>
        <v>0</v>
      </c>
      <c r="K63" s="18" t="n">
        <f aca="false">IF(A63&gt;=Assumptions!$B$5,0,IF(B63=1,$B$266,$B$267))</f>
        <v>0</v>
      </c>
      <c r="L63" s="30" t="n">
        <f aca="false">Projection!$F52*K63*Projection!$H52</f>
        <v>0</v>
      </c>
    </row>
    <row r="64" customFormat="false" ht="15" hidden="false" customHeight="true" outlineLevel="0" collapsed="false">
      <c r="A64" s="3" t="n">
        <v>114</v>
      </c>
      <c r="B64" s="34" t="n">
        <f aca="false">A64-Assumptions!$B$4+1</f>
        <v>50</v>
      </c>
      <c r="C64" s="56" t="n">
        <f aca="false">IF(A64&gt;=Assumptions!$B$5,0,IF(B64=1,$B$6,IF(B64&lt;=4,$C$6,$D$6)))</f>
        <v>0</v>
      </c>
      <c r="D64" s="56" t="n">
        <f aca="false">IF(A64&gt;=Assumptions!$B$5,0,IF(B64=1,$B$7,IF(B64&lt;=4,$C$7,$D$7)))</f>
        <v>0</v>
      </c>
      <c r="E64" s="56" t="n">
        <f aca="false">IF(A64&gt;=Assumptions!$B$5,0,IF(B64=1,$B$8,IF(B64&lt;=4,$C$8,$D$8)))</f>
        <v>0</v>
      </c>
      <c r="F64" s="56" t="n">
        <f aca="false">IF(A64&gt;=Assumptions!$B$5,0,IF(B64=1,$B$9,IF(B64&lt;=4,$C$9,$D$9)))</f>
        <v>0</v>
      </c>
      <c r="G64" s="30" t="n">
        <f aca="false">Projection!$F53*C64*Projection!$H53</f>
        <v>0</v>
      </c>
      <c r="H64" s="30" t="n">
        <f aca="false">Projection!$F53*D64*Projection!$H53</f>
        <v>0</v>
      </c>
      <c r="I64" s="30" t="n">
        <f aca="false">Projection!$F53*E64*Projection!$H53</f>
        <v>0</v>
      </c>
      <c r="J64" s="30" t="n">
        <f aca="false">Projection!$F53*F64*Projection!$H53</f>
        <v>0</v>
      </c>
      <c r="K64" s="18" t="n">
        <f aca="false">IF(A64&gt;=Assumptions!$B$5,0,IF(B64=1,$B$266,$B$267))</f>
        <v>0</v>
      </c>
      <c r="L64" s="30" t="n">
        <f aca="false">Projection!$F53*K64*Projection!$H53</f>
        <v>0</v>
      </c>
    </row>
    <row r="65" customFormat="false" ht="15" hidden="false" customHeight="true" outlineLevel="0" collapsed="false">
      <c r="A65" s="3" t="n">
        <v>115</v>
      </c>
      <c r="B65" s="34" t="n">
        <f aca="false">A65-Assumptions!$B$4+1</f>
        <v>51</v>
      </c>
      <c r="C65" s="56" t="n">
        <f aca="false">IF(A65&gt;=Assumptions!$B$5,0,IF(B65=1,$B$6,IF(B65&lt;=4,$C$6,$D$6)))</f>
        <v>0</v>
      </c>
      <c r="D65" s="56" t="n">
        <f aca="false">IF(A65&gt;=Assumptions!$B$5,0,IF(B65=1,$B$7,IF(B65&lt;=4,$C$7,$D$7)))</f>
        <v>0</v>
      </c>
      <c r="E65" s="56" t="n">
        <f aca="false">IF(A65&gt;=Assumptions!$B$5,0,IF(B65=1,$B$8,IF(B65&lt;=4,$C$8,$D$8)))</f>
        <v>0</v>
      </c>
      <c r="F65" s="56" t="n">
        <f aca="false">IF(A65&gt;=Assumptions!$B$5,0,IF(B65=1,$B$9,IF(B65&lt;=4,$C$9,$D$9)))</f>
        <v>0</v>
      </c>
      <c r="G65" s="30" t="n">
        <f aca="false">Projection!$F54*C65*Projection!$H54</f>
        <v>0</v>
      </c>
      <c r="H65" s="30" t="n">
        <f aca="false">Projection!$F54*D65*Projection!$H54</f>
        <v>0</v>
      </c>
      <c r="I65" s="30" t="n">
        <f aca="false">Projection!$F54*E65*Projection!$H54</f>
        <v>0</v>
      </c>
      <c r="J65" s="30" t="n">
        <f aca="false">Projection!$F54*F65*Projection!$H54</f>
        <v>0</v>
      </c>
      <c r="K65" s="18" t="n">
        <f aca="false">IF(A65&gt;=Assumptions!$B$5,0,IF(B65=1,$B$266,$B$267))</f>
        <v>0</v>
      </c>
      <c r="L65" s="30" t="n">
        <f aca="false">Projection!$F54*K65*Projection!$H54</f>
        <v>0</v>
      </c>
    </row>
    <row r="66" customFormat="false" ht="15" hidden="false" customHeight="true" outlineLevel="0" collapsed="false">
      <c r="A66" s="3" t="n">
        <v>116</v>
      </c>
      <c r="B66" s="34" t="n">
        <f aca="false">A66-Assumptions!$B$4+1</f>
        <v>52</v>
      </c>
      <c r="C66" s="56" t="n">
        <f aca="false">IF(A66&gt;=Assumptions!$B$5,0,IF(B66=1,$B$6,IF(B66&lt;=4,$C$6,$D$6)))</f>
        <v>0</v>
      </c>
      <c r="D66" s="56" t="n">
        <f aca="false">IF(A66&gt;=Assumptions!$B$5,0,IF(B66=1,$B$7,IF(B66&lt;=4,$C$7,$D$7)))</f>
        <v>0</v>
      </c>
      <c r="E66" s="56" t="n">
        <f aca="false">IF(A66&gt;=Assumptions!$B$5,0,IF(B66=1,$B$8,IF(B66&lt;=4,$C$8,$D$8)))</f>
        <v>0</v>
      </c>
      <c r="F66" s="56" t="n">
        <f aca="false">IF(A66&gt;=Assumptions!$B$5,0,IF(B66=1,$B$9,IF(B66&lt;=4,$C$9,$D$9)))</f>
        <v>0</v>
      </c>
      <c r="G66" s="30" t="n">
        <f aca="false">Projection!$F55*C66*Projection!$H55</f>
        <v>0</v>
      </c>
      <c r="H66" s="30" t="n">
        <f aca="false">Projection!$F55*D66*Projection!$H55</f>
        <v>0</v>
      </c>
      <c r="I66" s="30" t="n">
        <f aca="false">Projection!$F55*E66*Projection!$H55</f>
        <v>0</v>
      </c>
      <c r="J66" s="30" t="n">
        <f aca="false">Projection!$F55*F66*Projection!$H55</f>
        <v>0</v>
      </c>
      <c r="K66" s="18" t="n">
        <f aca="false">IF(A66&gt;=Assumptions!$B$5,0,IF(B66=1,$B$266,$B$267))</f>
        <v>0</v>
      </c>
      <c r="L66" s="30" t="n">
        <f aca="false">Projection!$F55*K66*Projection!$H55</f>
        <v>0</v>
      </c>
    </row>
    <row r="67" customFormat="false" ht="15" hidden="false" customHeight="true" outlineLevel="0" collapsed="false">
      <c r="A67" s="3" t="n">
        <v>117</v>
      </c>
      <c r="B67" s="34" t="n">
        <f aca="false">A67-Assumptions!$B$4+1</f>
        <v>53</v>
      </c>
      <c r="C67" s="56" t="n">
        <f aca="false">IF(A67&gt;=Assumptions!$B$5,0,IF(B67=1,$B$6,IF(B67&lt;=4,$C$6,$D$6)))</f>
        <v>0</v>
      </c>
      <c r="D67" s="56" t="n">
        <f aca="false">IF(A67&gt;=Assumptions!$B$5,0,IF(B67=1,$B$7,IF(B67&lt;=4,$C$7,$D$7)))</f>
        <v>0</v>
      </c>
      <c r="E67" s="56" t="n">
        <f aca="false">IF(A67&gt;=Assumptions!$B$5,0,IF(B67=1,$B$8,IF(B67&lt;=4,$C$8,$D$8)))</f>
        <v>0</v>
      </c>
      <c r="F67" s="56" t="n">
        <f aca="false">IF(A67&gt;=Assumptions!$B$5,0,IF(B67=1,$B$9,IF(B67&lt;=4,$C$9,$D$9)))</f>
        <v>0</v>
      </c>
      <c r="G67" s="30" t="n">
        <f aca="false">Projection!$F56*C67*Projection!$H56</f>
        <v>0</v>
      </c>
      <c r="H67" s="30" t="n">
        <f aca="false">Projection!$F56*D67*Projection!$H56</f>
        <v>0</v>
      </c>
      <c r="I67" s="30" t="n">
        <f aca="false">Projection!$F56*E67*Projection!$H56</f>
        <v>0</v>
      </c>
      <c r="J67" s="30" t="n">
        <f aca="false">Projection!$F56*F67*Projection!$H56</f>
        <v>0</v>
      </c>
      <c r="K67" s="18" t="n">
        <f aca="false">IF(A67&gt;=Assumptions!$B$5,0,IF(B67=1,$B$266,$B$267))</f>
        <v>0</v>
      </c>
      <c r="L67" s="30" t="n">
        <f aca="false">Projection!$F56*K67*Projection!$H56</f>
        <v>0</v>
      </c>
    </row>
    <row r="68" customFormat="false" ht="15" hidden="false" customHeight="true" outlineLevel="0" collapsed="false">
      <c r="A68" s="3" t="n">
        <v>118</v>
      </c>
      <c r="B68" s="34" t="n">
        <f aca="false">A68-Assumptions!$B$4+1</f>
        <v>54</v>
      </c>
      <c r="C68" s="56" t="n">
        <f aca="false">IF(A68&gt;=Assumptions!$B$5,0,IF(B68=1,$B$6,IF(B68&lt;=4,$C$6,$D$6)))</f>
        <v>0</v>
      </c>
      <c r="D68" s="56" t="n">
        <f aca="false">IF(A68&gt;=Assumptions!$B$5,0,IF(B68=1,$B$7,IF(B68&lt;=4,$C$7,$D$7)))</f>
        <v>0</v>
      </c>
      <c r="E68" s="56" t="n">
        <f aca="false">IF(A68&gt;=Assumptions!$B$5,0,IF(B68=1,$B$8,IF(B68&lt;=4,$C$8,$D$8)))</f>
        <v>0</v>
      </c>
      <c r="F68" s="56" t="n">
        <f aca="false">IF(A68&gt;=Assumptions!$B$5,0,IF(B68=1,$B$9,IF(B68&lt;=4,$C$9,$D$9)))</f>
        <v>0</v>
      </c>
      <c r="G68" s="30" t="n">
        <f aca="false">Projection!$F57*C68*Projection!$H57</f>
        <v>0</v>
      </c>
      <c r="H68" s="30" t="n">
        <f aca="false">Projection!$F57*D68*Projection!$H57</f>
        <v>0</v>
      </c>
      <c r="I68" s="30" t="n">
        <f aca="false">Projection!$F57*E68*Projection!$H57</f>
        <v>0</v>
      </c>
      <c r="J68" s="30" t="n">
        <f aca="false">Projection!$F57*F68*Projection!$H57</f>
        <v>0</v>
      </c>
      <c r="K68" s="18" t="n">
        <f aca="false">IF(A68&gt;=Assumptions!$B$5,0,IF(B68=1,$B$266,$B$267))</f>
        <v>0</v>
      </c>
      <c r="L68" s="30" t="n">
        <f aca="false">Projection!$F57*K68*Projection!$H57</f>
        <v>0</v>
      </c>
    </row>
    <row r="69" customFormat="false" ht="15" hidden="false" customHeight="true" outlineLevel="0" collapsed="false">
      <c r="A69" s="3" t="n">
        <v>119</v>
      </c>
      <c r="B69" s="34" t="n">
        <f aca="false">A69-Assumptions!$B$4+1</f>
        <v>55</v>
      </c>
      <c r="C69" s="56" t="n">
        <f aca="false">IF(A69&gt;=Assumptions!$B$5,0,IF(B69=1,$B$6,IF(B69&lt;=4,$C$6,$D$6)))</f>
        <v>0</v>
      </c>
      <c r="D69" s="56" t="n">
        <f aca="false">IF(A69&gt;=Assumptions!$B$5,0,IF(B69=1,$B$7,IF(B69&lt;=4,$C$7,$D$7)))</f>
        <v>0</v>
      </c>
      <c r="E69" s="56" t="n">
        <f aca="false">IF(A69&gt;=Assumptions!$B$5,0,IF(B69=1,$B$8,IF(B69&lt;=4,$C$8,$D$8)))</f>
        <v>0</v>
      </c>
      <c r="F69" s="56" t="n">
        <f aca="false">IF(A69&gt;=Assumptions!$B$5,0,IF(B69=1,$B$9,IF(B69&lt;=4,$C$9,$D$9)))</f>
        <v>0</v>
      </c>
      <c r="G69" s="30" t="n">
        <f aca="false">Projection!$F58*C69*Projection!$H58</f>
        <v>0</v>
      </c>
      <c r="H69" s="30" t="n">
        <f aca="false">Projection!$F58*D69*Projection!$H58</f>
        <v>0</v>
      </c>
      <c r="I69" s="30" t="n">
        <f aca="false">Projection!$F58*E69*Projection!$H58</f>
        <v>0</v>
      </c>
      <c r="J69" s="30" t="n">
        <f aca="false">Projection!$F58*F69*Projection!$H58</f>
        <v>0</v>
      </c>
      <c r="K69" s="18" t="n">
        <f aca="false">IF(A69&gt;=Assumptions!$B$5,0,IF(B69=1,$B$266,$B$267))</f>
        <v>0</v>
      </c>
      <c r="L69" s="30" t="n">
        <f aca="false">Projection!$F58*K69*Projection!$H58</f>
        <v>0</v>
      </c>
    </row>
    <row r="70" customFormat="false" ht="15" hidden="false" customHeight="true" outlineLevel="0" collapsed="false">
      <c r="A70" s="3" t="n">
        <v>120</v>
      </c>
      <c r="B70" s="34" t="n">
        <f aca="false">A70-Assumptions!$B$4+1</f>
        <v>56</v>
      </c>
      <c r="C70" s="56" t="n">
        <f aca="false">IF(A70&gt;=Assumptions!$B$5,0,IF(B70=1,$B$6,IF(B70&lt;=4,$C$6,$D$6)))</f>
        <v>0</v>
      </c>
      <c r="D70" s="56" t="n">
        <f aca="false">IF(A70&gt;=Assumptions!$B$5,0,IF(B70=1,$B$7,IF(B70&lt;=4,$C$7,$D$7)))</f>
        <v>0</v>
      </c>
      <c r="E70" s="56" t="n">
        <f aca="false">IF(A70&gt;=Assumptions!$B$5,0,IF(B70=1,$B$8,IF(B70&lt;=4,$C$8,$D$8)))</f>
        <v>0</v>
      </c>
      <c r="F70" s="56" t="n">
        <f aca="false">IF(A70&gt;=Assumptions!$B$5,0,IF(B70=1,$B$9,IF(B70&lt;=4,$C$9,$D$9)))</f>
        <v>0</v>
      </c>
      <c r="G70" s="30" t="n">
        <f aca="false">Projection!$F59*C70*Projection!$H59</f>
        <v>0</v>
      </c>
      <c r="H70" s="30" t="n">
        <f aca="false">Projection!$F59*D70*Projection!$H59</f>
        <v>0</v>
      </c>
      <c r="I70" s="30" t="n">
        <f aca="false">Projection!$F59*E70*Projection!$H59</f>
        <v>0</v>
      </c>
      <c r="J70" s="30" t="n">
        <f aca="false">Projection!$F59*F70*Projection!$H59</f>
        <v>0</v>
      </c>
      <c r="K70" s="18" t="n">
        <f aca="false">IF(A70&gt;=Assumptions!$B$5,0,IF(B70=1,$B$266,$B$267))</f>
        <v>0</v>
      </c>
      <c r="L70" s="30" t="n">
        <f aca="false">Projection!$F59*K70*Projection!$H59</f>
        <v>0</v>
      </c>
    </row>
    <row r="72" customFormat="false" ht="15" hidden="false" customHeight="true" outlineLevel="0" collapsed="false">
      <c r="A72" s="6" t="s">
        <v>988</v>
      </c>
    </row>
    <row r="73" customFormat="false" ht="15" hidden="false" customHeight="true" outlineLevel="0" collapsed="false">
      <c r="B73" s="8" t="s">
        <v>968</v>
      </c>
      <c r="C73" s="8" t="s">
        <v>970</v>
      </c>
      <c r="D73" s="8" t="s">
        <v>972</v>
      </c>
      <c r="E73" s="8" t="s">
        <v>974</v>
      </c>
    </row>
    <row r="74" customFormat="false" ht="15" hidden="false" customHeight="true" outlineLevel="0" collapsed="false">
      <c r="A74" s="1" t="s">
        <v>989</v>
      </c>
      <c r="B74" s="45" t="n">
        <f aca="false">SUM(G15:G70)</f>
        <v>1.47956204744578</v>
      </c>
      <c r="C74" s="45" t="n">
        <f aca="false">SUM(H15:H70)</f>
        <v>0</v>
      </c>
      <c r="D74" s="45" t="n">
        <f aca="false">SUM(I15:I70)</f>
        <v>2.11824818978313</v>
      </c>
      <c r="E74" s="45" t="n">
        <f aca="false">SUM(J15:J70)</f>
        <v>1.7389538202784</v>
      </c>
    </row>
    <row r="75" customFormat="false" ht="15" hidden="false" customHeight="true" outlineLevel="0" collapsed="false">
      <c r="A75" s="1" t="s">
        <v>990</v>
      </c>
      <c r="B75" s="45" t="n">
        <f aca="false">B74/Pricing!$B$5</f>
        <v>0.139696760236322</v>
      </c>
      <c r="C75" s="45" t="n">
        <f aca="false">C74/Pricing!$B$5</f>
        <v>0</v>
      </c>
      <c r="D75" s="45" t="n">
        <f aca="false">D74/Pricing!$B$5</f>
        <v>0.2</v>
      </c>
      <c r="E75" s="45" t="n">
        <f aca="false">E74/Pricing!$B$5</f>
        <v>0.164187919873208</v>
      </c>
    </row>
    <row r="76" customFormat="false" ht="15" hidden="false" customHeight="true" outlineLevel="0" collapsed="false">
      <c r="A76" s="1" t="s">
        <v>991</v>
      </c>
      <c r="B76" s="48" t="n">
        <f aca="false">(Pricing!$B$8+Pricing!$B$9)/(Pricing!$B$7*(1-Assumptions!$B$13-B75))</f>
        <v>12316.0657114102</v>
      </c>
      <c r="C76" s="48" t="n">
        <f aca="false">(Pricing!$B$8+Pricing!$B$9)/(Pricing!$B$7*(1-Assumptions!$B$13-C75))</f>
        <v>10542.3394446662</v>
      </c>
      <c r="D76" s="48" t="n">
        <f aca="false">(Pricing!$B$8+Pricing!$B$9)/(Pricing!$B$7*(1-Assumptions!$B$13-D75))</f>
        <v>13280.6094302938</v>
      </c>
      <c r="E76" s="48" t="n">
        <f aca="false">(Pricing!$B$8+Pricing!$B$9)/(Pricing!$B$7*(1-Assumptions!$B$13-E75))</f>
        <v>12690.3896249821</v>
      </c>
    </row>
    <row r="77" customFormat="false" ht="15" hidden="false" customHeight="true" outlineLevel="0" collapsed="false">
      <c r="A77" s="1" t="s">
        <v>992</v>
      </c>
      <c r="B77" s="48" t="n">
        <f aca="false">B76/12</f>
        <v>1026.33880928418</v>
      </c>
      <c r="C77" s="48" t="n">
        <f aca="false">C76/12</f>
        <v>878.528287055519</v>
      </c>
      <c r="D77" s="48" t="n">
        <f aca="false">D76/12</f>
        <v>1106.71745252449</v>
      </c>
      <c r="E77" s="48" t="n">
        <f aca="false">E76/12</f>
        <v>1057.5324687485</v>
      </c>
    </row>
    <row r="78" customFormat="false" ht="15" hidden="false" customHeight="true" outlineLevel="0" collapsed="false">
      <c r="A78" s="1" t="s">
        <v>993</v>
      </c>
      <c r="B78" s="48" t="n">
        <f aca="false">(Pricing!$B$8+Pricing!$B$9)/Pricing!$B$7</f>
        <v>10226.0692613262</v>
      </c>
      <c r="C78" s="48" t="n">
        <f aca="false">(Pricing!$B$8+Pricing!$B$9)/Pricing!$B$7</f>
        <v>10226.0692613262</v>
      </c>
      <c r="D78" s="48" t="n">
        <f aca="false">(Pricing!$B$8+Pricing!$B$9)/Pricing!$B$7</f>
        <v>10226.0692613262</v>
      </c>
      <c r="E78" s="48" t="n">
        <f aca="false">(Pricing!$B$8+Pricing!$B$9)/Pricing!$B$7</f>
        <v>10226.0692613262</v>
      </c>
    </row>
    <row r="79" customFormat="false" ht="15" hidden="false" customHeight="true" outlineLevel="0" collapsed="false">
      <c r="A79" s="1" t="s">
        <v>994</v>
      </c>
      <c r="B79" s="48" t="n">
        <f aca="false">B76-B78</f>
        <v>2089.99645008396</v>
      </c>
      <c r="C79" s="48" t="n">
        <f aca="false">C76-C78</f>
        <v>316.270183339988</v>
      </c>
      <c r="D79" s="48" t="n">
        <f aca="false">D76-D78</f>
        <v>3054.54016896758</v>
      </c>
      <c r="E79" s="48" t="n">
        <f aca="false">E76-E78</f>
        <v>2464.32036365581</v>
      </c>
    </row>
    <row r="80" customFormat="false" ht="15" hidden="false" customHeight="true" outlineLevel="0" collapsed="false">
      <c r="A80" s="1" t="s">
        <v>995</v>
      </c>
      <c r="B80" s="53" t="n">
        <f aca="false">B79/B78</f>
        <v>0.204379258214892</v>
      </c>
      <c r="C80" s="53" t="n">
        <f aca="false">C79/C78</f>
        <v>0.0309278350515465</v>
      </c>
      <c r="D80" s="53" t="n">
        <f aca="false">D79/D78</f>
        <v>0.298701298701299</v>
      </c>
      <c r="E80" s="53" t="n">
        <f aca="false">E79/E78</f>
        <v>0.240984126029301</v>
      </c>
    </row>
    <row r="82" customFormat="false" ht="15" hidden="false" customHeight="true" outlineLevel="0" collapsed="false">
      <c r="A82" s="3" t="s">
        <v>996</v>
      </c>
      <c r="B82" s="27" t="n">
        <f aca="false">B76-Pricing!B14</f>
        <v>0</v>
      </c>
      <c r="C82" s="28" t="str">
        <f aca="false">IF(ABS(B82)&lt;0.01,"PASS — model 1 recovers the published premium exactly","FAIL")</f>
        <v>PASS — model 1 recovers the published premium exactly</v>
      </c>
    </row>
    <row r="85" customFormat="false" ht="15" hidden="false" customHeight="true" outlineLevel="0" collapsed="false">
      <c r="A85" s="6" t="s">
        <v>997</v>
      </c>
    </row>
    <row r="86" customFormat="false" ht="15" hidden="false" customHeight="true" outlineLevel="0" collapsed="false">
      <c r="A86" s="7" t="s">
        <v>998</v>
      </c>
    </row>
    <row r="87" customFormat="false" ht="15" hidden="false" customHeight="true" outlineLevel="0" collapsed="false">
      <c r="A87" s="3" t="s">
        <v>999</v>
      </c>
      <c r="C87" s="8" t="s">
        <v>828</v>
      </c>
      <c r="D87" s="8" t="s">
        <v>829</v>
      </c>
      <c r="E87" s="8" t="s">
        <v>830</v>
      </c>
      <c r="F87" s="8" t="s">
        <v>831</v>
      </c>
      <c r="G87" s="8" t="s">
        <v>832</v>
      </c>
    </row>
    <row r="88" customFormat="false" ht="15" hidden="false" customHeight="true" outlineLevel="0" collapsed="false">
      <c r="A88" s="1" t="str">
        <f aca="false">$A$6</f>
        <v>Heaped + trail</v>
      </c>
      <c r="C88" s="12" t="n">
        <f aca="false">($B$76*(SUMIFS(Projection!$I$4:$I$59,Projection!$B$4:$B$59,"&lt;"&amp;(Assumptions!$B$4+0))-SUMIFS($G$15:$G$70,$A$15:$A$70,"&lt;"&amp;(Assumptions!$B$4+0)))-SUMIFS(Projection!$L$4:$L$59,Projection!$B$4:$B$59,"&lt;"&amp;(Assumptions!$B$4+0))-SUMIFS(Projection!$K$4:$K$59,Projection!$B$4:$B$59,"&lt;"&amp;(Assumptions!$B$4+0)))/Discount!C4</f>
        <v>0</v>
      </c>
      <c r="D88" s="12" t="n">
        <f aca="false">($B$76*(SUMIFS(Projection!$I$4:$I$59,Projection!$B$4:$B$59,"&lt;"&amp;(Assumptions!$B$4+5))-SUMIFS($G$15:$G$70,$A$15:$A$70,"&lt;"&amp;(Assumptions!$B$4+5)))-SUMIFS(Projection!$L$4:$L$59,Projection!$B$4:$B$59,"&lt;"&amp;(Assumptions!$B$4+5))-SUMIFS(Projection!$K$4:$K$59,Projection!$B$4:$B$59,"&lt;"&amp;(Assumptions!$B$4+5)))/Discount!C9</f>
        <v>45721.6171278948</v>
      </c>
      <c r="E88" s="12" t="n">
        <f aca="false">($B$76*(SUMIFS(Projection!$I$4:$I$59,Projection!$B$4:$B$59,"&lt;"&amp;(Assumptions!$B$4+10))-SUMIFS($G$15:$G$70,$A$15:$A$70,"&lt;"&amp;(Assumptions!$B$4+10)))-SUMIFS(Projection!$L$4:$L$59,Projection!$B$4:$B$59,"&lt;"&amp;(Assumptions!$B$4+10))-SUMIFS(Projection!$K$4:$K$59,Projection!$B$4:$B$59,"&lt;"&amp;(Assumptions!$B$4+10)))/Discount!C14</f>
        <v>107289.117619107</v>
      </c>
      <c r="F88" s="12" t="n">
        <f aca="false">($B$76*(SUMIFS(Projection!$I$4:$I$59,Projection!$B$4:$B$59,"&lt;"&amp;(Assumptions!$B$4+15))-SUMIFS($G$15:$G$70,$A$15:$A$70,"&lt;"&amp;(Assumptions!$B$4+15)))-SUMIFS(Projection!$L$4:$L$59,Projection!$B$4:$B$59,"&lt;"&amp;(Assumptions!$B$4+15))-SUMIFS(Projection!$K$4:$K$59,Projection!$B$4:$B$59,"&lt;"&amp;(Assumptions!$B$4+15)))/Discount!C19</f>
        <v>175975.362518548</v>
      </c>
      <c r="G88" s="12" t="n">
        <f aca="false">($B$76*(SUMIFS(Projection!$I$4:$I$59,Projection!$B$4:$B$59,"&lt;"&amp;(Assumptions!$B$4+20))-SUMIFS($G$15:$G$70,$A$15:$A$70,"&lt;"&amp;(Assumptions!$B$4+20)))-SUMIFS(Projection!$L$4:$L$59,Projection!$B$4:$B$59,"&lt;"&amp;(Assumptions!$B$4+20))-SUMIFS(Projection!$K$4:$K$59,Projection!$B$4:$B$59,"&lt;"&amp;(Assumptions!$B$4+20)))/Discount!C24</f>
        <v>127165.207527775</v>
      </c>
    </row>
    <row r="89" customFormat="false" ht="15" hidden="false" customHeight="true" outlineLevel="0" collapsed="false">
      <c r="A89" s="1" t="str">
        <f aca="false">$A$7</f>
        <v>Zero commission</v>
      </c>
      <c r="C89" s="12" t="n">
        <f aca="false">($C$76*(SUMIFS(Projection!$I$4:$I$59,Projection!$B$4:$B$59,"&lt;"&amp;(Assumptions!$B$4+0))-SUMIFS($H$15:$H$70,$A$15:$A$70,"&lt;"&amp;(Assumptions!$B$4+0)))-SUMIFS(Projection!$L$4:$L$59,Projection!$B$4:$B$59,"&lt;"&amp;(Assumptions!$B$4+0))-SUMIFS(Projection!$K$4:$K$59,Projection!$B$4:$B$59,"&lt;"&amp;(Assumptions!$B$4+0)))/Discount!C4</f>
        <v>0</v>
      </c>
      <c r="D89" s="12" t="n">
        <f aca="false">($C$76*(SUMIFS(Projection!$I$4:$I$59,Projection!$B$4:$B$59,"&lt;"&amp;(Assumptions!$B$4+5))-SUMIFS($H$15:$H$70,$A$15:$A$70,"&lt;"&amp;(Assumptions!$B$4+5)))-SUMIFS(Projection!$L$4:$L$59,Projection!$B$4:$B$59,"&lt;"&amp;(Assumptions!$B$4+5))-SUMIFS(Projection!$K$4:$K$59,Projection!$B$4:$B$59,"&lt;"&amp;(Assumptions!$B$4+5)))/Discount!C9</f>
        <v>53179.8231135185</v>
      </c>
      <c r="E89" s="12" t="n">
        <f aca="false">($C$76*(SUMIFS(Projection!$I$4:$I$59,Projection!$B$4:$B$59,"&lt;"&amp;(Assumptions!$B$4+10))-SUMIFS($H$15:$H$70,$A$15:$A$70,"&lt;"&amp;(Assumptions!$B$4+10)))-SUMIFS(Projection!$L$4:$L$59,Projection!$B$4:$B$59,"&lt;"&amp;(Assumptions!$B$4+10))-SUMIFS(Projection!$K$4:$K$59,Projection!$B$4:$B$59,"&lt;"&amp;(Assumptions!$B$4+10)))/Discount!C14</f>
        <v>110622.004071555</v>
      </c>
      <c r="F89" s="12" t="n">
        <f aca="false">($C$76*(SUMIFS(Projection!$I$4:$I$59,Projection!$B$4:$B$59,"&lt;"&amp;(Assumptions!$B$4+15))-SUMIFS($H$15:$H$70,$A$15:$A$70,"&lt;"&amp;(Assumptions!$B$4+15)))-SUMIFS(Projection!$L$4:$L$59,Projection!$B$4:$B$59,"&lt;"&amp;(Assumptions!$B$4+15))-SUMIFS(Projection!$K$4:$K$59,Projection!$B$4:$B$59,"&lt;"&amp;(Assumptions!$B$4+15)))/Discount!C19</f>
        <v>175083.543021616</v>
      </c>
      <c r="G89" s="12" t="n">
        <f aca="false">($C$76*(SUMIFS(Projection!$I$4:$I$59,Projection!$B$4:$B$59,"&lt;"&amp;(Assumptions!$B$4+20))-SUMIFS($H$15:$H$70,$A$15:$A$70,"&lt;"&amp;(Assumptions!$B$4+20)))-SUMIFS(Projection!$L$4:$L$59,Projection!$B$4:$B$59,"&lt;"&amp;(Assumptions!$B$4+20))-SUMIFS(Projection!$K$4:$K$59,Projection!$B$4:$B$59,"&lt;"&amp;(Assumptions!$B$4+20)))/Discount!C24</f>
        <v>126113.393107153</v>
      </c>
    </row>
    <row r="90" customFormat="false" ht="15" hidden="false" customHeight="true" outlineLevel="0" collapsed="false">
      <c r="A90" s="1" t="str">
        <f aca="false">$A$8</f>
        <v>Level 20% flat</v>
      </c>
      <c r="C90" s="12" t="n">
        <f aca="false">($D$76*(SUMIFS(Projection!$I$4:$I$59,Projection!$B$4:$B$59,"&lt;"&amp;(Assumptions!$B$4+0))-SUMIFS($I$15:$I$70,$A$15:$A$70,"&lt;"&amp;(Assumptions!$B$4+0)))-SUMIFS(Projection!$L$4:$L$59,Projection!$B$4:$B$59,"&lt;"&amp;(Assumptions!$B$4+0))-SUMIFS(Projection!$K$4:$K$59,Projection!$B$4:$B$59,"&lt;"&amp;(Assumptions!$B$4+0)))/Discount!C4</f>
        <v>0</v>
      </c>
      <c r="D90" s="12" t="n">
        <f aca="false">($D$76*(SUMIFS(Projection!$I$4:$I$59,Projection!$B$4:$B$59,"&lt;"&amp;(Assumptions!$B$4+5))-SUMIFS($I$15:$I$70,$A$15:$A$70,"&lt;"&amp;(Assumptions!$B$4+5)))-SUMIFS(Projection!$L$4:$L$59,Projection!$B$4:$B$59,"&lt;"&amp;(Assumptions!$B$4+5))-SUMIFS(Projection!$K$4:$K$59,Projection!$B$4:$B$59,"&lt;"&amp;(Assumptions!$B$4+5)))/Discount!C9</f>
        <v>53597.6185648756</v>
      </c>
      <c r="E90" s="12" t="n">
        <f aca="false">($D$76*(SUMIFS(Projection!$I$4:$I$59,Projection!$B$4:$B$59,"&lt;"&amp;(Assumptions!$B$4+10))-SUMIFS($I$15:$I$70,$A$15:$A$70,"&lt;"&amp;(Assumptions!$B$4+10)))-SUMIFS(Projection!$L$4:$L$59,Projection!$B$4:$B$59,"&lt;"&amp;(Assumptions!$B$4+10))-SUMIFS(Projection!$K$4:$K$59,Projection!$B$4:$B$59,"&lt;"&amp;(Assumptions!$B$4+10)))/Discount!C14</f>
        <v>111491.494252264</v>
      </c>
      <c r="F90" s="12" t="n">
        <f aca="false">($D$76*(SUMIFS(Projection!$I$4:$I$59,Projection!$B$4:$B$59,"&lt;"&amp;(Assumptions!$B$4+15))-SUMIFS($I$15:$I$70,$A$15:$A$70,"&lt;"&amp;(Assumptions!$B$4+15)))-SUMIFS(Projection!$L$4:$L$59,Projection!$B$4:$B$59,"&lt;"&amp;(Assumptions!$B$4+15))-SUMIFS(Projection!$K$4:$K$59,Projection!$B$4:$B$59,"&lt;"&amp;(Assumptions!$B$4+15)))/Discount!C19</f>
        <v>176460.329624392</v>
      </c>
      <c r="G90" s="12" t="n">
        <f aca="false">($D$76*(SUMIFS(Projection!$I$4:$I$59,Projection!$B$4:$B$59,"&lt;"&amp;(Assumptions!$B$4+20))-SUMIFS($I$15:$I$70,$A$15:$A$70,"&lt;"&amp;(Assumptions!$B$4+20)))-SUMIFS(Projection!$L$4:$L$59,Projection!$B$4:$B$59,"&lt;"&amp;(Assumptions!$B$4+20))-SUMIFS(Projection!$K$4:$K$59,Projection!$B$4:$B$59,"&lt;"&amp;(Assumptions!$B$4+20)))/Discount!C24</f>
        <v>127737.179095127</v>
      </c>
    </row>
    <row r="91" customFormat="false" ht="15" hidden="false" customHeight="true" outlineLevel="0" collapsed="false">
      <c r="A91" s="1" t="str">
        <f aca="false">$A$9</f>
        <v>Industry reference</v>
      </c>
      <c r="C91" s="12" t="n">
        <f aca="false">($E$76*(SUMIFS(Projection!$I$4:$I$59,Projection!$B$4:$B$59,"&lt;"&amp;(Assumptions!$B$4+0))-SUMIFS($J$15:$J$70,$A$15:$A$70,"&lt;"&amp;(Assumptions!$B$4+0)))-SUMIFS(Projection!$L$4:$L$59,Projection!$B$4:$B$59,"&lt;"&amp;(Assumptions!$B$4+0))-SUMIFS(Projection!$K$4:$K$59,Projection!$B$4:$B$59,"&lt;"&amp;(Assumptions!$B$4+0)))/Discount!C4</f>
        <v>0</v>
      </c>
      <c r="D91" s="12" t="n">
        <f aca="false">($E$76*(SUMIFS(Projection!$I$4:$I$59,Projection!$B$4:$B$59,"&lt;"&amp;(Assumptions!$B$4+5))-SUMIFS($J$15:$J$70,$A$15:$A$70,"&lt;"&amp;(Assumptions!$B$4+5)))-SUMIFS(Projection!$L$4:$L$59,Projection!$B$4:$B$59,"&lt;"&amp;(Assumptions!$B$4+5))-SUMIFS(Projection!$K$4:$K$59,Projection!$B$4:$B$59,"&lt;"&amp;(Assumptions!$B$4+5)))/Discount!C9</f>
        <v>41593.6732571415</v>
      </c>
      <c r="E91" s="12" t="n">
        <f aca="false">($E$76*(SUMIFS(Projection!$I$4:$I$59,Projection!$B$4:$B$59,"&lt;"&amp;(Assumptions!$B$4+10))-SUMIFS($J$15:$J$70,$A$15:$A$70,"&lt;"&amp;(Assumptions!$B$4+10)))-SUMIFS(Projection!$L$4:$L$59,Projection!$B$4:$B$59,"&lt;"&amp;(Assumptions!$B$4+10))-SUMIFS(Projection!$K$4:$K$59,Projection!$B$4:$B$59,"&lt;"&amp;(Assumptions!$B$4+10)))/Discount!C14</f>
        <v>105298.292216432</v>
      </c>
      <c r="F91" s="12" t="n">
        <f aca="false">($E$76*(SUMIFS(Projection!$I$4:$I$59,Projection!$B$4:$B$59,"&lt;"&amp;(Assumptions!$B$4+15))-SUMIFS($J$15:$J$70,$A$15:$A$70,"&lt;"&amp;(Assumptions!$B$4+15)))-SUMIFS(Projection!$L$4:$L$59,Projection!$B$4:$B$59,"&lt;"&amp;(Assumptions!$B$4+15))-SUMIFS(Projection!$K$4:$K$59,Projection!$B$4:$B$59,"&lt;"&amp;(Assumptions!$B$4+15)))/Discount!C19</f>
        <v>176163.57045714</v>
      </c>
      <c r="G91" s="12" t="n">
        <f aca="false">($E$76*(SUMIFS(Projection!$I$4:$I$59,Projection!$B$4:$B$59,"&lt;"&amp;(Assumptions!$B$4+20))-SUMIFS($J$15:$J$70,$A$15:$A$70,"&lt;"&amp;(Assumptions!$B$4+20)))-SUMIFS(Projection!$L$4:$L$59,Projection!$B$4:$B$59,"&lt;"&amp;(Assumptions!$B$4+20))-SUMIFS(Projection!$K$4:$K$59,Projection!$B$4:$B$59,"&lt;"&amp;(Assumptions!$B$4+20)))/Discount!C24</f>
        <v>127387.180499401</v>
      </c>
    </row>
    <row r="92" customFormat="false" ht="15" hidden="false" customHeight="true" outlineLevel="0" collapsed="false">
      <c r="A92" s="3" t="s">
        <v>1000</v>
      </c>
    </row>
    <row r="93" customFormat="false" ht="15" hidden="false" customHeight="true" outlineLevel="0" collapsed="false">
      <c r="A93" s="1" t="str">
        <f aca="false">$A$6</f>
        <v>Heaped + trail</v>
      </c>
      <c r="C93" s="12" t="n">
        <f aca="false">(SUMIFS(Projection!$L$4:$L$59,Projection!$B$4:$B$59,"&gt;="&amp;(Assumptions!$B$4+0))+$B$76*SUMIFS($G$15:$G$70,$A$15:$A$70,"&gt;="&amp;(Assumptions!$B$4+0))-$B$76*SUMIFS(Projection!$I$4:$I$59,Projection!$B$4:$B$59,"&gt;="&amp;(Assumptions!$B$4+0))+SUMIFS(Projection!$K$4:$K$59,Projection!$B$4:$B$59,"&gt;="&amp;(Assumptions!$B$4+0)))/Discount!C4</f>
        <v>-3913.27258476669</v>
      </c>
      <c r="D93" s="12" t="n">
        <f aca="false">(SUMIFS(Projection!$L$4:$L$59,Projection!$B$4:$B$59,"&gt;="&amp;(Assumptions!$B$4+5))+$B$76*SUMIFS($G$15:$G$70,$A$15:$A$70,"&gt;="&amp;(Assumptions!$B$4+5))-$B$76*SUMIFS(Projection!$I$4:$I$59,Projection!$B$4:$B$59,"&gt;="&amp;(Assumptions!$B$4+5))+SUMIFS(Projection!$K$4:$K$59,Projection!$B$4:$B$59,"&gt;="&amp;(Assumptions!$B$4+5)))/Discount!C9</f>
        <v>41257.4878766723</v>
      </c>
      <c r="E93" s="12" t="n">
        <f aca="false">(SUMIFS(Projection!$L$4:$L$59,Projection!$B$4:$B$59,"&gt;="&amp;(Assumptions!$B$4+10))+$B$76*SUMIFS($G$15:$G$70,$A$15:$A$70,"&gt;="&amp;(Assumptions!$B$4+10))-$B$76*SUMIFS(Projection!$I$4:$I$59,Projection!$B$4:$B$59,"&gt;="&amp;(Assumptions!$B$4+10))+SUMIFS(Projection!$K$4:$K$59,Projection!$B$4:$B$59,"&gt;="&amp;(Assumptions!$B$4+10)))/Discount!C14</f>
        <v>102075.273009479</v>
      </c>
      <c r="F93" s="12" t="n">
        <f aca="false">(SUMIFS(Projection!$L$4:$L$59,Projection!$B$4:$B$59,"&gt;="&amp;(Assumptions!$B$4+15))+$B$76*SUMIFS($G$15:$G$70,$A$15:$A$70,"&gt;="&amp;(Assumptions!$B$4+15))-$B$76*SUMIFS(Projection!$I$4:$I$59,Projection!$B$4:$B$59,"&gt;="&amp;(Assumptions!$B$4+15))+SUMIFS(Projection!$K$4:$K$59,Projection!$B$4:$B$59,"&gt;="&amp;(Assumptions!$B$4+15)))/Discount!C19</f>
        <v>169782.914600927</v>
      </c>
      <c r="G93" s="12" t="n">
        <f aca="false">(SUMIFS(Projection!$L$4:$L$59,Projection!$B$4:$B$59,"&gt;="&amp;(Assumptions!$B$4+20))+$B$76*SUMIFS($G$15:$G$70,$A$15:$A$70,"&gt;="&amp;(Assumptions!$B$4+20))-$B$76*SUMIFS(Projection!$I$4:$I$59,Projection!$B$4:$B$59,"&gt;="&amp;(Assumptions!$B$4+20))+SUMIFS(Projection!$K$4:$K$59,Projection!$B$4:$B$59,"&gt;="&amp;(Assumptions!$B$4+20)))/Discount!C24</f>
        <v>119861.817053451</v>
      </c>
    </row>
    <row r="94" customFormat="false" ht="15" hidden="false" customHeight="true" outlineLevel="0" collapsed="false">
      <c r="A94" s="1" t="str">
        <f aca="false">$A$7</f>
        <v>Zero commission</v>
      </c>
      <c r="C94" s="12" t="n">
        <f aca="false">(SUMIFS(Projection!$L$4:$L$59,Projection!$B$4:$B$59,"&gt;="&amp;(Assumptions!$B$4+0))+$C$76*SUMIFS($H$15:$H$70,$A$15:$A$70,"&gt;="&amp;(Assumptions!$B$4+0))-$C$76*SUMIFS(Projection!$I$4:$I$59,Projection!$B$4:$B$59,"&gt;="&amp;(Assumptions!$B$4+0))+SUMIFS(Projection!$K$4:$K$59,Projection!$B$4:$B$59,"&gt;="&amp;(Assumptions!$B$4+0)))/Discount!C4</f>
        <v>-3349.69371671154</v>
      </c>
      <c r="D94" s="12" t="n">
        <f aca="false">(SUMIFS(Projection!$L$4:$L$59,Projection!$B$4:$B$59,"&gt;="&amp;(Assumptions!$B$4+5))+$C$76*SUMIFS($H$15:$H$70,$A$15:$A$70,"&gt;="&amp;(Assumptions!$B$4+5))-$C$76*SUMIFS(Projection!$I$4:$I$59,Projection!$B$4:$B$59,"&gt;="&amp;(Assumptions!$B$4+5))+SUMIFS(Projection!$K$4:$K$59,Projection!$B$4:$B$59,"&gt;="&amp;(Assumptions!$B$4+5)))/Discount!C9</f>
        <v>49358.6056083496</v>
      </c>
      <c r="E94" s="12" t="n">
        <f aca="false">(SUMIFS(Projection!$L$4:$L$59,Projection!$B$4:$B$59,"&gt;="&amp;(Assumptions!$B$4+10))+$C$76*SUMIFS($H$15:$H$70,$A$15:$A$70,"&gt;="&amp;(Assumptions!$B$4+10))-$C$76*SUMIFS(Projection!$I$4:$I$59,Projection!$B$4:$B$59,"&gt;="&amp;(Assumptions!$B$4+10))+SUMIFS(Projection!$K$4:$K$59,Projection!$B$4:$B$59,"&gt;="&amp;(Assumptions!$B$4+10)))/Discount!C14</f>
        <v>106159.043173618</v>
      </c>
      <c r="F94" s="12" t="n">
        <f aca="false">(SUMIFS(Projection!$L$4:$L$59,Projection!$B$4:$B$59,"&gt;="&amp;(Assumptions!$B$4+15))+$C$76*SUMIFS($H$15:$H$70,$A$15:$A$70,"&gt;="&amp;(Assumptions!$B$4+15))-$C$76*SUMIFS(Projection!$I$4:$I$59,Projection!$B$4:$B$59,"&gt;="&amp;(Assumptions!$B$4+15))+SUMIFS(Projection!$K$4:$K$59,Projection!$B$4:$B$59,"&gt;="&amp;(Assumptions!$B$4+15)))/Discount!C19</f>
        <v>169782.914600927</v>
      </c>
      <c r="G94" s="12" t="n">
        <f aca="false">(SUMIFS(Projection!$L$4:$L$59,Projection!$B$4:$B$59,"&gt;="&amp;(Assumptions!$B$4+20))+$C$76*SUMIFS($H$15:$H$70,$A$15:$A$70,"&gt;="&amp;(Assumptions!$B$4+20))-$C$76*SUMIFS(Projection!$I$4:$I$59,Projection!$B$4:$B$59,"&gt;="&amp;(Assumptions!$B$4+20))+SUMIFS(Projection!$K$4:$K$59,Projection!$B$4:$B$59,"&gt;="&amp;(Assumptions!$B$4+20)))/Discount!C24</f>
        <v>119861.817053451</v>
      </c>
    </row>
    <row r="95" customFormat="false" ht="15" hidden="false" customHeight="true" outlineLevel="0" collapsed="false">
      <c r="A95" s="1" t="str">
        <f aca="false">$A$8</f>
        <v>Level 20% flat</v>
      </c>
      <c r="C95" s="12" t="n">
        <f aca="false">(SUMIFS(Projection!$L$4:$L$59,Projection!$B$4:$B$59,"&gt;="&amp;(Assumptions!$B$4+0))+$D$76*SUMIFS($I$15:$I$70,$A$15:$A$70,"&gt;="&amp;(Assumptions!$B$4+0))-$D$76*SUMIFS(Projection!$I$4:$I$59,Projection!$B$4:$B$59,"&gt;="&amp;(Assumptions!$B$4+0))+SUMIFS(Projection!$K$4:$K$59,Projection!$B$4:$B$59,"&gt;="&amp;(Assumptions!$B$4+0)))/Discount!C4</f>
        <v>-4219.74403274049</v>
      </c>
      <c r="D95" s="12" t="n">
        <f aca="false">(SUMIFS(Projection!$L$4:$L$59,Projection!$B$4:$B$59,"&gt;="&amp;(Assumptions!$B$4+5))+$D$76*SUMIFS($I$15:$I$70,$A$15:$A$70,"&gt;="&amp;(Assumptions!$B$4+5))-$D$76*SUMIFS(Projection!$I$4:$I$59,Projection!$B$4:$B$59,"&gt;="&amp;(Assumptions!$B$4+5))+SUMIFS(Projection!$K$4:$K$59,Projection!$B$4:$B$59,"&gt;="&amp;(Assumptions!$B$4+5)))/Discount!C9</f>
        <v>48783.8770323901</v>
      </c>
      <c r="E95" s="12" t="n">
        <f aca="false">(SUMIFS(Projection!$L$4:$L$59,Projection!$B$4:$B$59,"&gt;="&amp;(Assumptions!$B$4+10))+$D$76*SUMIFS($I$15:$I$70,$A$15:$A$70,"&gt;="&amp;(Assumptions!$B$4+10))-$D$76*SUMIFS(Projection!$I$4:$I$59,Projection!$B$4:$B$59,"&gt;="&amp;(Assumptions!$B$4+10))+SUMIFS(Projection!$K$4:$K$59,Projection!$B$4:$B$59,"&gt;="&amp;(Assumptions!$B$4+10)))/Discount!C14</f>
        <v>105869.322731487</v>
      </c>
      <c r="F95" s="12" t="n">
        <f aca="false">(SUMIFS(Projection!$L$4:$L$59,Projection!$B$4:$B$59,"&gt;="&amp;(Assumptions!$B$4+15))+$D$76*SUMIFS($I$15:$I$70,$A$15:$A$70,"&gt;="&amp;(Assumptions!$B$4+15))-$D$76*SUMIFS(Projection!$I$4:$I$59,Projection!$B$4:$B$59,"&gt;="&amp;(Assumptions!$B$4+15))+SUMIFS(Projection!$K$4:$K$59,Projection!$B$4:$B$59,"&gt;="&amp;(Assumptions!$B$4+15)))/Discount!C19</f>
        <v>169782.914600927</v>
      </c>
      <c r="G95" s="12" t="n">
        <f aca="false">(SUMIFS(Projection!$L$4:$L$59,Projection!$B$4:$B$59,"&gt;="&amp;(Assumptions!$B$4+20))+$D$76*SUMIFS($I$15:$I$70,$A$15:$A$70,"&gt;="&amp;(Assumptions!$B$4+20))-$D$76*SUMIFS(Projection!$I$4:$I$59,Projection!$B$4:$B$59,"&gt;="&amp;(Assumptions!$B$4+20))+SUMIFS(Projection!$K$4:$K$59,Projection!$B$4:$B$59,"&gt;="&amp;(Assumptions!$B$4+20)))/Discount!C24</f>
        <v>119861.817053451</v>
      </c>
    </row>
    <row r="96" customFormat="false" ht="15" hidden="false" customHeight="true" outlineLevel="0" collapsed="false">
      <c r="A96" s="1" t="str">
        <f aca="false">$A$9</f>
        <v>Industry reference</v>
      </c>
      <c r="C96" s="12" t="n">
        <f aca="false">(SUMIFS(Projection!$L$4:$L$59,Projection!$B$4:$B$59,"&gt;="&amp;(Assumptions!$B$4+0))+$E$76*SUMIFS($J$15:$J$70,$A$15:$A$70,"&gt;="&amp;(Assumptions!$B$4+0))-$E$76*SUMIFS(Projection!$I$4:$I$59,Projection!$B$4:$B$59,"&gt;="&amp;(Assumptions!$B$4+0))+SUMIFS(Projection!$K$4:$K$59,Projection!$B$4:$B$59,"&gt;="&amp;(Assumptions!$B$4+0)))/Discount!C4</f>
        <v>-4032.20922761413</v>
      </c>
      <c r="D96" s="12" t="n">
        <f aca="false">(SUMIFS(Projection!$L$4:$L$59,Projection!$B$4:$B$59,"&gt;="&amp;(Assumptions!$B$4+5))+$E$76*SUMIFS($J$15:$J$70,$A$15:$A$70,"&gt;="&amp;(Assumptions!$B$4+5))-$E$76*SUMIFS(Projection!$I$4:$I$59,Projection!$B$4:$B$59,"&gt;="&amp;(Assumptions!$B$4+5))+SUMIFS(Projection!$K$4:$K$59,Projection!$B$4:$B$59,"&gt;="&amp;(Assumptions!$B$4+5)))/Discount!C9</f>
        <v>36993.8650991022</v>
      </c>
      <c r="E96" s="12" t="n">
        <f aca="false">(SUMIFS(Projection!$L$4:$L$59,Projection!$B$4:$B$59,"&gt;="&amp;(Assumptions!$B$4+10))+$E$76*SUMIFS($J$15:$J$70,$A$15:$A$70,"&gt;="&amp;(Assumptions!$B$4+10))-$E$76*SUMIFS(Projection!$I$4:$I$59,Projection!$B$4:$B$59,"&gt;="&amp;(Assumptions!$B$4+10))+SUMIFS(Projection!$K$4:$K$59,Projection!$B$4:$B$59,"&gt;="&amp;(Assumptions!$B$4+10)))/Discount!C14</f>
        <v>99925.9824958863</v>
      </c>
      <c r="F96" s="12" t="n">
        <f aca="false">(SUMIFS(Projection!$L$4:$L$59,Projection!$B$4:$B$59,"&gt;="&amp;(Assumptions!$B$4+15))+$E$76*SUMIFS($J$15:$J$70,$A$15:$A$70,"&gt;="&amp;(Assumptions!$B$4+15))-$E$76*SUMIFS(Projection!$I$4:$I$59,Projection!$B$4:$B$59,"&gt;="&amp;(Assumptions!$B$4+15))+SUMIFS(Projection!$K$4:$K$59,Projection!$B$4:$B$59,"&gt;="&amp;(Assumptions!$B$4+15)))/Discount!C19</f>
        <v>169782.914600927</v>
      </c>
      <c r="G96" s="12" t="n">
        <f aca="false">(SUMIFS(Projection!$L$4:$L$59,Projection!$B$4:$B$59,"&gt;="&amp;(Assumptions!$B$4+20))+$E$76*SUMIFS($J$15:$J$70,$A$15:$A$70,"&gt;="&amp;(Assumptions!$B$4+20))-$E$76*SUMIFS(Projection!$I$4:$I$59,Projection!$B$4:$B$59,"&gt;="&amp;(Assumptions!$B$4+20))+SUMIFS(Projection!$K$4:$K$59,Projection!$B$4:$B$59,"&gt;="&amp;(Assumptions!$B$4+20)))/Discount!C24</f>
        <v>119861.817053451</v>
      </c>
    </row>
    <row r="97" customFormat="false" ht="15" hidden="false" customHeight="true" outlineLevel="0" collapsed="false">
      <c r="A97" s="3" t="s">
        <v>1001</v>
      </c>
    </row>
    <row r="98" customFormat="false" ht="15" hidden="false" customHeight="true" outlineLevel="0" collapsed="false">
      <c r="A98" s="1" t="str">
        <f aca="false">$A$6</f>
        <v>Heaped + trail</v>
      </c>
      <c r="C98" s="12" t="n">
        <f aca="false">C88-C93</f>
        <v>3913.27258476669</v>
      </c>
      <c r="D98" s="12" t="n">
        <f aca="false">D88-D93</f>
        <v>4464.12925122246</v>
      </c>
      <c r="E98" s="12" t="n">
        <f aca="false">E88-E93</f>
        <v>5213.84460962821</v>
      </c>
      <c r="F98" s="12" t="n">
        <f aca="false">F88-F93</f>
        <v>6192.4479176208</v>
      </c>
      <c r="G98" s="12" t="n">
        <f aca="false">G88-G93</f>
        <v>7303.3904743248</v>
      </c>
    </row>
    <row r="99" customFormat="false" ht="15" hidden="false" customHeight="true" outlineLevel="0" collapsed="false">
      <c r="A99" s="1" t="str">
        <f aca="false">$A$7</f>
        <v>Zero commission</v>
      </c>
      <c r="C99" s="12" t="n">
        <f aca="false">C89-C94</f>
        <v>3349.69371671154</v>
      </c>
      <c r="D99" s="12" t="n">
        <f aca="false">D89-D94</f>
        <v>3821.2175051689</v>
      </c>
      <c r="E99" s="12" t="n">
        <f aca="false">E89-E94</f>
        <v>4462.96089793685</v>
      </c>
      <c r="F99" s="12" t="n">
        <f aca="false">F89-F94</f>
        <v>5300.62842068909</v>
      </c>
      <c r="G99" s="12" t="n">
        <f aca="false">G89-G94</f>
        <v>6251.57605370217</v>
      </c>
    </row>
    <row r="100" customFormat="false" ht="15" hidden="false" customHeight="true" outlineLevel="0" collapsed="false">
      <c r="A100" s="1" t="str">
        <f aca="false">$A$8</f>
        <v>Level 20% flat</v>
      </c>
      <c r="C100" s="12" t="n">
        <f aca="false">C90-C95</f>
        <v>4219.74403274049</v>
      </c>
      <c r="D100" s="12" t="n">
        <f aca="false">D90-D95</f>
        <v>4813.74153248547</v>
      </c>
      <c r="E100" s="12" t="n">
        <f aca="false">E90-E95</f>
        <v>5622.17152077757</v>
      </c>
      <c r="F100" s="12" t="n">
        <f aca="false">F90-F95</f>
        <v>6677.41502346547</v>
      </c>
      <c r="G100" s="12" t="n">
        <f aca="false">G90-G95</f>
        <v>7875.36204167675</v>
      </c>
    </row>
    <row r="101" customFormat="false" ht="15" hidden="false" customHeight="true" outlineLevel="0" collapsed="false">
      <c r="A101" s="1" t="str">
        <f aca="false">$A$9</f>
        <v>Industry reference</v>
      </c>
      <c r="C101" s="12" t="n">
        <f aca="false">C91-C96</f>
        <v>4032.20922761413</v>
      </c>
      <c r="D101" s="12" t="n">
        <f aca="false">D91-D96</f>
        <v>4599.80815803928</v>
      </c>
      <c r="E101" s="12" t="n">
        <f aca="false">E91-E96</f>
        <v>5372.3097205462</v>
      </c>
      <c r="F101" s="12" t="n">
        <f aca="false">F91-F96</f>
        <v>6380.65585621324</v>
      </c>
      <c r="G101" s="12" t="n">
        <f aca="false">G91-G96</f>
        <v>7525.36344595</v>
      </c>
    </row>
    <row r="103" customFormat="false" ht="15" hidden="false" customHeight="true" outlineLevel="0" collapsed="false">
      <c r="A103" s="3" t="s">
        <v>1002</v>
      </c>
    </row>
    <row r="104" customFormat="false" ht="15" hidden="false" customHeight="true" outlineLevel="0" collapsed="false">
      <c r="A104" s="1" t="s">
        <v>1003</v>
      </c>
      <c r="C104" s="27" t="n">
        <f aca="false">C88-ANAV!B5</f>
        <v>0</v>
      </c>
      <c r="D104" s="27" t="n">
        <f aca="false">D88-ANAV!C5</f>
        <v>0</v>
      </c>
      <c r="E104" s="27" t="n">
        <f aca="false">E88-ANAV!D5</f>
        <v>0</v>
      </c>
      <c r="F104" s="27" t="n">
        <f aca="false">F88-ANAV!E5</f>
        <v>0</v>
      </c>
      <c r="G104" s="27" t="n">
        <f aca="false">G88-ANAV!F5</f>
        <v>0</v>
      </c>
    </row>
    <row r="105" customFormat="false" ht="15" hidden="false" customHeight="true" outlineLevel="0" collapsed="false">
      <c r="A105" s="1" t="s">
        <v>1004</v>
      </c>
      <c r="C105" s="27" t="n">
        <f aca="false">C93-Reserving!B5</f>
        <v>0</v>
      </c>
      <c r="D105" s="27" t="n">
        <f aca="false">D93-Reserving!C5</f>
        <v>0</v>
      </c>
      <c r="E105" s="27" t="n">
        <f aca="false">E93-Reserving!D5</f>
        <v>0</v>
      </c>
      <c r="F105" s="27" t="n">
        <f aca="false">F93-Reserving!E5</f>
        <v>0</v>
      </c>
      <c r="G105" s="27" t="n">
        <f aca="false">G93-Reserving!F5</f>
        <v>0</v>
      </c>
    </row>
    <row r="106" customFormat="false" ht="15" hidden="false" customHeight="true" outlineLevel="0" collapsed="false">
      <c r="A106" s="1" t="s">
        <v>1005</v>
      </c>
      <c r="C106" s="27" t="n">
        <f aca="false">C98-OwnFunds_SCR!B7</f>
        <v>0</v>
      </c>
      <c r="D106" s="27" t="n">
        <f aca="false">D98-OwnFunds_SCR!C7</f>
        <v>0</v>
      </c>
      <c r="E106" s="27" t="n">
        <f aca="false">E98-OwnFunds_SCR!D7</f>
        <v>0</v>
      </c>
      <c r="F106" s="27" t="n">
        <f aca="false">F98-OwnFunds_SCR!E7</f>
        <v>2.91038304567337E-011</v>
      </c>
      <c r="G106" s="27" t="n">
        <f aca="false">G98-OwnFunds_SCR!F7</f>
        <v>0</v>
      </c>
    </row>
    <row r="107" customFormat="false" ht="15" hidden="false" customHeight="true" outlineLevel="0" collapsed="false">
      <c r="A107" s="3" t="s">
        <v>458</v>
      </c>
      <c r="C107" s="28" t="str">
        <f aca="false">IF(MAX(ABS(C104:G104),ABS(C105:G105),ABS(C106:G106))&lt;0.05,"PASS — model 1 reproduces the published trajectory exactly","FAIL")</f>
        <v>PASS — model 1 reproduces the published trajectory exactly</v>
      </c>
    </row>
    <row r="109" customFormat="false" ht="15" hidden="false" customHeight="true" outlineLevel="0" collapsed="false">
      <c r="A109" s="6" t="s">
        <v>1006</v>
      </c>
    </row>
    <row r="110" customFormat="false" ht="15" hidden="false" customHeight="true" outlineLevel="0" collapsed="false">
      <c r="A110" s="7" t="s">
        <v>1007</v>
      </c>
    </row>
    <row r="111" customFormat="false" ht="15" hidden="false" customHeight="true" outlineLevel="0" collapsed="false">
      <c r="A111" s="7" t="s">
        <v>1008</v>
      </c>
    </row>
    <row r="112" customFormat="false" ht="15" hidden="false" customHeight="true" outlineLevel="0" collapsed="false">
      <c r="C112" s="8" t="s">
        <v>1009</v>
      </c>
      <c r="D112" s="8" t="s">
        <v>1010</v>
      </c>
      <c r="E112" s="8" t="s">
        <v>1011</v>
      </c>
      <c r="F112" s="8" t="s">
        <v>831</v>
      </c>
      <c r="G112" s="8" t="s">
        <v>832</v>
      </c>
      <c r="H112" s="8" t="s">
        <v>1012</v>
      </c>
      <c r="I112" s="8" t="s">
        <v>1013</v>
      </c>
    </row>
    <row r="113" customFormat="false" ht="15" hidden="false" customHeight="true" outlineLevel="0" collapsed="false">
      <c r="A113" s="1" t="str">
        <f aca="false">$A$6</f>
        <v>Heaped + trail</v>
      </c>
      <c r="C113" s="12" t="n">
        <f aca="false">MAX(0,(OwnFunds_SCR!B23+OwnFunds_SCR!B30-C98)/Projection!F4)</f>
        <v>33507.0320180323</v>
      </c>
      <c r="D113" s="12" t="n">
        <f aca="false">MAX(0,(OwnFunds_SCR!C23+OwnFunds_SCR!C30-D98)/Projection!F9)</f>
        <v>36514.5094260948</v>
      </c>
      <c r="E113" s="12" t="n">
        <f aca="false">MAX(0,(OwnFunds_SCR!D23+OwnFunds_SCR!D30-E98)/Projection!F14)</f>
        <v>36744.4760923207</v>
      </c>
      <c r="F113" s="12" t="n">
        <f aca="false">MAX(0,(OwnFunds_SCR!E23+OwnFunds_SCR!E30-F98)/Projection!F19)</f>
        <v>34280.0380054261</v>
      </c>
      <c r="G113" s="12" t="n">
        <f aca="false">MAX(0,(OwnFunds_SCR!F23+OwnFunds_SCR!F30-G98)/Projection!F24)</f>
        <v>27722.4820573827</v>
      </c>
      <c r="H113" s="57" t="n">
        <f aca="false">MAX(C113:G113)</f>
        <v>36744.4760923207</v>
      </c>
      <c r="I113" s="5" t="str">
        <f aca="false">INDEX($C$112:$G$112,MATCH(H113,C113:G113,0))</f>
        <v>t=10 (approx)</v>
      </c>
    </row>
    <row r="114" customFormat="false" ht="15" hidden="false" customHeight="true" outlineLevel="0" collapsed="false">
      <c r="A114" s="1" t="str">
        <f aca="false">$A$7</f>
        <v>Zero commission</v>
      </c>
      <c r="C114" s="12" t="n">
        <f aca="false">MAX(0,(OwnFunds_SCR!B23+OwnFunds_SCR!B30-C99)/Projection!F4)</f>
        <v>34070.6108860875</v>
      </c>
      <c r="D114" s="12" t="n">
        <f aca="false">MAX(0,(OwnFunds_SCR!C23+OwnFunds_SCR!C30-D99)/Projection!F9)</f>
        <v>37250.2116755802</v>
      </c>
      <c r="E114" s="12" t="n">
        <f aca="false">MAX(0,(OwnFunds_SCR!D23+OwnFunds_SCR!D30-E99)/Projection!F14)</f>
        <v>37692.9451221941</v>
      </c>
      <c r="F114" s="12" t="n">
        <f aca="false">MAX(0,(OwnFunds_SCR!E23+OwnFunds_SCR!E30-F99)/Projection!F19)</f>
        <v>35576.8886101898</v>
      </c>
      <c r="G114" s="12" t="n">
        <f aca="false">MAX(0,(OwnFunds_SCR!F23+OwnFunds_SCR!F30-G99)/Projection!F24)</f>
        <v>29545.9458205501</v>
      </c>
      <c r="H114" s="58" t="n">
        <f aca="false">MAX(C114:G114)</f>
        <v>37692.9451221941</v>
      </c>
      <c r="I114" s="5" t="str">
        <f aca="false">INDEX($C$112:$G$112,MATCH(H114,C114:G114,0))</f>
        <v>t=10 (approx)</v>
      </c>
    </row>
    <row r="115" customFormat="false" ht="15" hidden="false" customHeight="true" outlineLevel="0" collapsed="false">
      <c r="A115" s="1" t="str">
        <f aca="false">$A$8</f>
        <v>Level 20% flat</v>
      </c>
      <c r="C115" s="12" t="n">
        <f aca="false">MAX(0,(OwnFunds_SCR!B23+OwnFunds_SCR!B30-C100)/Projection!F4)</f>
        <v>33200.5605700585</v>
      </c>
      <c r="D115" s="12" t="n">
        <f aca="false">MAX(0,(OwnFunds_SCR!C23+OwnFunds_SCR!C30-D100)/Projection!F9)</f>
        <v>36114.4381202713</v>
      </c>
      <c r="E115" s="12" t="n">
        <f aca="false">MAX(0,(OwnFunds_SCR!D23+OwnFunds_SCR!D30-E100)/Projection!F14)</f>
        <v>36228.7032459279</v>
      </c>
      <c r="F115" s="12" t="n">
        <f aca="false">MAX(0,(OwnFunds_SCR!E23+OwnFunds_SCR!E30-F100)/Projection!F19)</f>
        <v>33574.8169526582</v>
      </c>
      <c r="G115" s="12" t="n">
        <f aca="false">MAX(0,(OwnFunds_SCR!F23+OwnFunds_SCR!F30-G100)/Projection!F24)</f>
        <v>26730.8913297988</v>
      </c>
      <c r="H115" s="58" t="n">
        <f aca="false">MAX(C115:G115)</f>
        <v>36228.7032459279</v>
      </c>
      <c r="I115" s="5" t="str">
        <f aca="false">INDEX($C$112:$G$112,MATCH(H115,C115:G115,0))</f>
        <v>t=10 (approx)</v>
      </c>
    </row>
    <row r="116" customFormat="false" ht="15" hidden="false" customHeight="true" outlineLevel="0" collapsed="false">
      <c r="A116" s="1" t="str">
        <f aca="false">$A$9</f>
        <v>Industry reference</v>
      </c>
      <c r="C116" s="12" t="n">
        <f aca="false">MAX(0,(OwnFunds_SCR!B23+OwnFunds_SCR!B30-C101)/Projection!F4)</f>
        <v>33388.0953751849</v>
      </c>
      <c r="D116" s="12" t="n">
        <f aca="false">MAX(0,(OwnFunds_SCR!C23+OwnFunds_SCR!C30-D101)/Projection!F9)</f>
        <v>36359.2481829062</v>
      </c>
      <c r="E116" s="12" t="n">
        <f aca="false">MAX(0,(OwnFunds_SCR!D23+OwnFunds_SCR!D30-E101)/Projection!F14)</f>
        <v>36544.3129409818</v>
      </c>
      <c r="F116" s="12" t="n">
        <f aca="false">MAX(0,(OwnFunds_SCR!E23+OwnFunds_SCR!E30-F101)/Projection!F19)</f>
        <v>34006.353050315</v>
      </c>
      <c r="G116" s="12" t="n">
        <f aca="false">MAX(0,(OwnFunds_SCR!F23+OwnFunds_SCR!F30-G101)/Projection!F24)</f>
        <v>27337.6616344781</v>
      </c>
      <c r="H116" s="58" t="n">
        <f aca="false">MAX(C116:G116)</f>
        <v>36544.3129409818</v>
      </c>
      <c r="I116" s="5" t="str">
        <f aca="false">INDEX($C$112:$G$112,MATCH(H116,C116:G116,0))</f>
        <v>t=10 (approx)</v>
      </c>
    </row>
    <row r="118" customFormat="false" ht="15" hidden="false" customHeight="true" outlineLevel="0" collapsed="false">
      <c r="A118" s="1" t="s">
        <v>1014</v>
      </c>
    </row>
    <row r="119" customFormat="false" ht="15" hidden="false" customHeight="true" outlineLevel="0" collapsed="false">
      <c r="C119" s="7" t="str">
        <f aca="false">$A$6</f>
        <v>Heaped + trail</v>
      </c>
      <c r="D119" s="7" t="str">
        <f aca="false">$A$7</f>
        <v>Zero commission</v>
      </c>
      <c r="E119" s="7" t="str">
        <f aca="false">$A$8</f>
        <v>Level 20% flat</v>
      </c>
      <c r="F119" s="7" t="str">
        <f aca="false">$A$9</f>
        <v>Industry reference</v>
      </c>
    </row>
    <row r="120" customFormat="false" ht="15" hidden="false" customHeight="true" outlineLevel="0" collapsed="false">
      <c r="A120" s="1" t="s">
        <v>1015</v>
      </c>
      <c r="C120" s="12" t="n">
        <f aca="false">H113-$H$113</f>
        <v>0</v>
      </c>
      <c r="D120" s="12" t="n">
        <f aca="false">H114-$H$113</f>
        <v>948.469029873391</v>
      </c>
      <c r="E120" s="12" t="n">
        <f aca="false">H115-$H$113</f>
        <v>-515.772846392785</v>
      </c>
      <c r="F120" s="12" t="n">
        <f aca="false">H116-$H$113</f>
        <v>-200.163151338857</v>
      </c>
    </row>
    <row r="122" customFormat="false" ht="15" hidden="false" customHeight="true" outlineLevel="0" collapsed="false">
      <c r="A122" s="6" t="s">
        <v>1016</v>
      </c>
    </row>
    <row r="123" customFormat="false" ht="15" hidden="false" customHeight="true" outlineLevel="0" collapsed="false">
      <c r="A123" s="7" t="s">
        <v>1017</v>
      </c>
    </row>
    <row r="124" customFormat="false" ht="15" hidden="false" customHeight="true" outlineLevel="0" collapsed="false">
      <c r="A124" s="1" t="str">
        <f aca="false">$A$6</f>
        <v>Heaped + trail</v>
      </c>
      <c r="C124" s="5" t="str">
        <f aca="false">IF(C98&lt;0,0,IF(D98&lt;0,"between 0 and 5",IF(E98&lt;0,"between 5 and 10",IF(F98&lt;0,"between 10 and 15",IF(G98&lt;0,"between 15 and 20","stays positive")))))</f>
        <v>stays positive</v>
      </c>
    </row>
    <row r="125" customFormat="false" ht="15" hidden="false" customHeight="true" outlineLevel="0" collapsed="false">
      <c r="A125" s="1" t="str">
        <f aca="false">$A$7</f>
        <v>Zero commission</v>
      </c>
      <c r="C125" s="5" t="str">
        <f aca="false">IF(C99&lt;0,0,IF(D99&lt;0,"between 0 and 5",IF(E99&lt;0,"between 5 and 10",IF(F99&lt;0,"between 10 and 15",IF(G99&lt;0,"between 15 and 20","stays positive")))))</f>
        <v>stays positive</v>
      </c>
    </row>
    <row r="126" customFormat="false" ht="15" hidden="false" customHeight="true" outlineLevel="0" collapsed="false">
      <c r="A126" s="1" t="str">
        <f aca="false">$A$8</f>
        <v>Level 20% flat</v>
      </c>
      <c r="C126" s="5" t="str">
        <f aca="false">IF(C100&lt;0,0,IF(D100&lt;0,"between 0 and 5",IF(E100&lt;0,"between 5 and 10",IF(F100&lt;0,"between 10 and 15",IF(G100&lt;0,"between 15 and 20","stays positive")))))</f>
        <v>stays positive</v>
      </c>
    </row>
    <row r="127" customFormat="false" ht="15" hidden="false" customHeight="true" outlineLevel="0" collapsed="false">
      <c r="A127" s="1" t="str">
        <f aca="false">$A$9</f>
        <v>Industry reference</v>
      </c>
      <c r="C127" s="5" t="str">
        <f aca="false">IF(C101&lt;0,0,IF(D101&lt;0,"between 0 and 5",IF(E101&lt;0,"between 5 and 10",IF(F101&lt;0,"between 10 and 15",IF(G101&lt;0,"between 15 and 20","stays positive")))))</f>
        <v>stays positive</v>
      </c>
    </row>
    <row r="129" customFormat="false" ht="15" hidden="false" customHeight="true" outlineLevel="0" collapsed="false">
      <c r="A129" s="6" t="s">
        <v>1018</v>
      </c>
    </row>
    <row r="130" customFormat="false" ht="15" hidden="false" customHeight="true" outlineLevel="0" collapsed="false">
      <c r="A130" s="6" t="s">
        <v>1019</v>
      </c>
    </row>
    <row r="131" customFormat="false" ht="15" hidden="false" customHeight="true" outlineLevel="0" collapsed="false">
      <c r="A131" s="7" t="s">
        <v>1020</v>
      </c>
    </row>
    <row r="132" customFormat="false" ht="15" hidden="false" customHeight="true" outlineLevel="0" collapsed="false">
      <c r="A132" s="7" t="s">
        <v>1021</v>
      </c>
      <c r="C132" s="8" t="str">
        <f aca="false">$A$6</f>
        <v>Heaped + trail</v>
      </c>
      <c r="D132" s="8" t="str">
        <f aca="false">$A$7</f>
        <v>Zero commission</v>
      </c>
      <c r="E132" s="8" t="str">
        <f aca="false">$A$8</f>
        <v>Level 20% flat</v>
      </c>
      <c r="F132" s="8" t="str">
        <f aca="false">$A$9</f>
        <v>Industry reference</v>
      </c>
    </row>
    <row r="133" customFormat="false" ht="15" hidden="false" customHeight="true" outlineLevel="0" collapsed="false">
      <c r="A133" s="1" t="s">
        <v>1022</v>
      </c>
      <c r="C133" s="48" t="n">
        <f aca="false">B76</f>
        <v>12316.0657114102</v>
      </c>
      <c r="D133" s="48" t="n">
        <f aca="false">C76</f>
        <v>10542.3394446662</v>
      </c>
      <c r="E133" s="48" t="n">
        <f aca="false">D76</f>
        <v>13280.6094302938</v>
      </c>
      <c r="F133" s="48" t="n">
        <f aca="false">E76</f>
        <v>12690.3896249821</v>
      </c>
    </row>
    <row r="134" customFormat="false" ht="15" hidden="false" customHeight="true" outlineLevel="0" collapsed="false">
      <c r="A134" s="1" t="s">
        <v>1023</v>
      </c>
      <c r="C134" s="59" t="n">
        <f aca="false">Fairness!$B$3*Pricing!$B$14/C133</f>
        <v>0.895188484380065</v>
      </c>
      <c r="D134" s="59" t="n">
        <f aca="false">Fairness!$B$3*Pricing!$B$14/D133</f>
        <v>1.04580204949677</v>
      </c>
      <c r="E134" s="59" t="n">
        <f aca="false">Fairness!$B$3*Pricing!$B$14/E133</f>
        <v>0.830172760940735</v>
      </c>
      <c r="F134" s="59" t="n">
        <f aca="false">Fairness!$B$3*Pricing!$B$14/F133</f>
        <v>0.868783427737994</v>
      </c>
    </row>
    <row r="135" customFormat="false" ht="15" hidden="false" customHeight="true" outlineLevel="0" collapsed="false">
      <c r="A135" s="1" t="s">
        <v>1024</v>
      </c>
      <c r="C135" s="37" t="n">
        <f aca="false">Assumptions!$B$59</f>
        <v>0.9</v>
      </c>
      <c r="D135" s="37" t="n">
        <f aca="false">Assumptions!$B$59</f>
        <v>0.9</v>
      </c>
      <c r="E135" s="37" t="n">
        <f aca="false">Assumptions!$B$59</f>
        <v>0.9</v>
      </c>
      <c r="F135" s="37" t="n">
        <f aca="false">Assumptions!$B$59</f>
        <v>0.9</v>
      </c>
    </row>
    <row r="136" customFormat="false" ht="15" hidden="false" customHeight="true" outlineLevel="0" collapsed="false">
      <c r="A136" s="1" t="s">
        <v>1025</v>
      </c>
      <c r="C136" s="58" t="str">
        <f aca="false">IF(C134&gt;=C135,"yes","NO — breaches the floor")</f>
        <v>NO — breaches the floor</v>
      </c>
      <c r="D136" s="58" t="str">
        <f aca="false">IF(D134&gt;=D135,"yes","NO — breaches the floor")</f>
        <v>yes</v>
      </c>
      <c r="E136" s="58" t="str">
        <f aca="false">IF(E134&gt;=E135,"yes","NO — breaches the floor")</f>
        <v>NO — breaches the floor</v>
      </c>
      <c r="F136" s="58" t="str">
        <f aca="false">IF(F134&gt;=F135,"yes","NO — breaches the floor")</f>
        <v>NO — breaches the floor</v>
      </c>
    </row>
    <row r="137" customFormat="false" ht="15" hidden="false" customHeight="true" outlineLevel="0" collapsed="false">
      <c r="A137" s="1" t="s">
        <v>1026</v>
      </c>
      <c r="C137" s="12" t="n">
        <f aca="false">H113</f>
        <v>36744.4760923207</v>
      </c>
      <c r="D137" s="12" t="n">
        <f aca="false">H114</f>
        <v>37692.9451221941</v>
      </c>
      <c r="E137" s="12" t="n">
        <f aca="false">H115</f>
        <v>36228.7032459279</v>
      </c>
      <c r="F137" s="12" t="n">
        <f aca="false">H116</f>
        <v>36544.3129409818</v>
      </c>
    </row>
    <row r="138" customFormat="false" ht="15" hidden="false" customHeight="true" outlineLevel="0" collapsed="false">
      <c r="A138" s="1" t="s">
        <v>1027</v>
      </c>
      <c r="C138" s="58" t="n">
        <f aca="false">IF(C136="yes",C137,1000000000000000)</f>
        <v>1000000000000000</v>
      </c>
      <c r="D138" s="58" t="n">
        <f aca="false">IF(D136="yes",D137,1000000000000000)</f>
        <v>37692.9451221941</v>
      </c>
      <c r="E138" s="58" t="n">
        <f aca="false">IF(E136="yes",E137,1000000000000000)</f>
        <v>1000000000000000</v>
      </c>
      <c r="F138" s="58" t="n">
        <f aca="false">IF(F136="yes",F137,1000000000000000)</f>
        <v>1000000000000000</v>
      </c>
    </row>
    <row r="139" customFormat="false" ht="15" hidden="false" customHeight="true" outlineLevel="0" collapsed="false">
      <c r="A139" s="1" t="s">
        <v>1028</v>
      </c>
      <c r="C139" s="27" t="n">
        <f aca="false">C98-Assumptions!$B$13*C133*Pricing!$B$5</f>
        <v>-1.9554136088118E-011</v>
      </c>
      <c r="D139" s="27" t="n">
        <f aca="false">C99-Assumptions!$B$13*D133*Pricing!$B$5</f>
        <v>1.22781784739345E-011</v>
      </c>
      <c r="E139" s="27" t="n">
        <f aca="false">C100-Assumptions!$B$13*E133*Pricing!$B$5</f>
        <v>0</v>
      </c>
      <c r="F139" s="27" t="n">
        <f aca="false">C101-Assumptions!$B$13*F133*Pricing!$B$5</f>
        <v>0</v>
      </c>
    </row>
    <row r="140" customFormat="false" ht="15" hidden="false" customHeight="true" outlineLevel="0" collapsed="false">
      <c r="A140" s="3" t="s">
        <v>1029</v>
      </c>
      <c r="B140" s="57" t="n">
        <f aca="false">MIN(C138:F138)</f>
        <v>37692.9451221941</v>
      </c>
      <c r="C140" s="9" t="str">
        <f aca="false">IF(SUMPRODUCT(MAX(ABS(C139:F139)))&lt;0.05,"PASS — own funds at inception equal the provider margin under every model, so there is no commission-on-forfeiture windfall and the ranking is economics, not an artefact","review")</f>
        <v>PASS — own funds at inception equal the provider margin under every model, so there is no commission-on-forfeiture windfall and the ranking is economics, not an artefact</v>
      </c>
    </row>
    <row r="141" customFormat="false" ht="15" hidden="false" customHeight="true" outlineLevel="0" collapsed="false">
      <c r="A141" s="1" t="s">
        <v>1030</v>
      </c>
      <c r="B141" s="4" t="str">
        <f aca="false">INDEX(C132:F132,MATCH(B140,C138:F138,0))</f>
        <v>Zero commission</v>
      </c>
    </row>
    <row r="142" customFormat="false" ht="15" hidden="false" customHeight="true" outlineLevel="0" collapsed="false">
      <c r="A142" s="6" t="s">
        <v>1031</v>
      </c>
    </row>
    <row r="143" customFormat="false" ht="15" hidden="false" customHeight="true" outlineLevel="0" collapsed="false">
      <c r="A143" s="6" t="s">
        <v>1032</v>
      </c>
    </row>
    <row r="144" customFormat="false" ht="15" hidden="false" customHeight="true" outlineLevel="0" collapsed="false">
      <c r="A144" s="7" t="s">
        <v>1033</v>
      </c>
    </row>
    <row r="145" customFormat="false" ht="15" hidden="false" customHeight="true" outlineLevel="0" collapsed="false">
      <c r="A145" s="7" t="s">
        <v>1034</v>
      </c>
      <c r="C145" s="8" t="str">
        <f aca="false">$A$6</f>
        <v>Heaped + trail</v>
      </c>
      <c r="D145" s="8" t="str">
        <f aca="false">$A$7</f>
        <v>Zero commission</v>
      </c>
      <c r="E145" s="8" t="str">
        <f aca="false">$A$8</f>
        <v>Level 20% flat</v>
      </c>
      <c r="F145" s="8" t="str">
        <f aca="false">$A$9</f>
        <v>Industry reference</v>
      </c>
    </row>
    <row r="146" customFormat="false" ht="15" hidden="false" customHeight="true" outlineLevel="0" collapsed="false">
      <c r="A146" s="7" t="s">
        <v>1035</v>
      </c>
      <c r="C146" s="48" t="n">
        <f aca="false">(Pricing!$B$8+Pricing!$B$9)/(Pricing!$B$7*(1-Assumptions!$B$13)-$B$75*Pricing!$B$5)</f>
        <v>12316.0657114102</v>
      </c>
      <c r="D146" s="48" t="n">
        <f aca="false">(Pricing!$B$8+Pricing!$B$9)/(Pricing!$B$7*(1-Assumptions!$B$13)-$C$75*Pricing!$B$5)</f>
        <v>10542.3394446662</v>
      </c>
      <c r="E146" s="48" t="n">
        <f aca="false">(Pricing!$B$8+Pricing!$B$9)/(Pricing!$B$7*(1-Assumptions!$B$13)-$D$75*Pricing!$B$5)</f>
        <v>13280.6094302938</v>
      </c>
      <c r="F146" s="48" t="n">
        <f aca="false">(Pricing!$B$8+Pricing!$B$9)/(Pricing!$B$7*(1-Assumptions!$B$13)-$E$75*Pricing!$B$5)</f>
        <v>12690.3896249821</v>
      </c>
    </row>
    <row r="147" customFormat="false" ht="15" hidden="false" customHeight="true" outlineLevel="0" collapsed="false">
      <c r="A147" s="3" t="s">
        <v>1036</v>
      </c>
      <c r="C147" s="12" t="n">
        <f aca="false">(C$146*(SUMIFS(Projection!$I$4:$I$59,Projection!$B$4:$B$59,"&lt;"&amp;(Assumptions!$B$4+0))-C$146/C$146*SUMIFS($G$15:$G$70,$A$15:$A$70,"&lt;"&amp;(Assumptions!$B$4+0)))-SUMIFS(Projection!$L$4:$L$59,Projection!$B$4:$B$59,"&lt;"&amp;(Assumptions!$B$4+0))-SUMIFS(Projection!$K$4:$K$59,Projection!$B$4:$B$59,"&lt;"&amp;(Assumptions!$B$4+0)))/Discount!C4-(SUMIFS(Projection!$L$4:$L$59,Projection!$B$4:$B$59,"&gt;="&amp;(Assumptions!$B$4+0))+C$146*SUMIFS($G$15:$G$70,$A$15:$A$70,"&gt;="&amp;(Assumptions!$B$4+0))-C$146*SUMIFS(Projection!$I$4:$I$59,Projection!$B$4:$B$59,"&gt;="&amp;(Assumptions!$B$4+0))-C$146*SUMIFS(Projection!$J$4:$J$59,Projection!$B$4:$B$59,"&gt;="&amp;(Assumptions!$B$4+0))+SUMIFS(Projection!$K$4:$K$59,Projection!$B$4:$B$59,"&gt;="&amp;(Assumptions!$B$4+0)))/Discount!C4</f>
        <v>13339.8524092221</v>
      </c>
      <c r="D147" s="12" t="n">
        <f aca="false">(D$146*(SUMIFS(Projection!$I$4:$I$59,Projection!$B$4:$B$59,"&lt;"&amp;(Assumptions!$B$4+0))-D$146/D$146*SUMIFS($H$15:$H$70,$A$15:$A$70,"&lt;"&amp;(Assumptions!$B$4+0)))-SUMIFS(Projection!$L$4:$L$59,Projection!$B$4:$B$59,"&lt;"&amp;(Assumptions!$B$4+0))-SUMIFS(Projection!$K$4:$K$59,Projection!$B$4:$B$59,"&lt;"&amp;(Assumptions!$B$4+0)))/Discount!C4-(SUMIFS(Projection!$L$4:$L$59,Projection!$B$4:$B$59,"&gt;="&amp;(Assumptions!$B$4+0))+D$146*SUMIFS($H$15:$H$70,$A$15:$A$70,"&gt;="&amp;(Assumptions!$B$4+0))-D$146*SUMIFS(Projection!$I$4:$I$59,Projection!$B$4:$B$59,"&gt;="&amp;(Assumptions!$B$4+0))-D$146*SUMIFS(Projection!$J$4:$J$59,Projection!$B$4:$B$59,"&gt;="&amp;(Assumptions!$B$4+0))+SUMIFS(Projection!$K$4:$K$59,Projection!$B$4:$B$59,"&gt;="&amp;(Assumptions!$B$4+0)))/Discount!C4</f>
        <v>11418.6831683983</v>
      </c>
      <c r="E147" s="12" t="n">
        <f aca="false">(E$146*(SUMIFS(Projection!$I$4:$I$59,Projection!$B$4:$B$59,"&lt;"&amp;(Assumptions!$B$4+0))-E$146/E$146*SUMIFS($I$15:$I$70,$A$15:$A$70,"&lt;"&amp;(Assumptions!$B$4+0)))-SUMIFS(Projection!$L$4:$L$59,Projection!$B$4:$B$59,"&lt;"&amp;(Assumptions!$B$4+0))-SUMIFS(Projection!$K$4:$K$59,Projection!$B$4:$B$59,"&lt;"&amp;(Assumptions!$B$4+0)))/Discount!C4-(SUMIFS(Projection!$L$4:$L$59,Projection!$B$4:$B$59,"&gt;="&amp;(Assumptions!$B$4+0))+E$146*SUMIFS($I$15:$I$70,$A$15:$A$70,"&gt;="&amp;(Assumptions!$B$4+0))-E$146*SUMIFS(Projection!$I$4:$I$59,Projection!$B$4:$B$59,"&gt;="&amp;(Assumptions!$B$4+0))-E$146*SUMIFS(Projection!$J$4:$J$59,Projection!$B$4:$B$59,"&gt;="&amp;(Assumptions!$B$4+0))+SUMIFS(Projection!$K$4:$K$59,Projection!$B$4:$B$59,"&gt;="&amp;(Assumptions!$B$4+0)))/Discount!C4</f>
        <v>14384.5749004499</v>
      </c>
      <c r="F147" s="12" t="n">
        <f aca="false">(F$146*(SUMIFS(Projection!$I$4:$I$59,Projection!$B$4:$B$59,"&lt;"&amp;(Assumptions!$B$4+0))-F$146/F$146*SUMIFS($J$15:$J$70,$A$15:$A$70,"&lt;"&amp;(Assumptions!$B$4+0)))-SUMIFS(Projection!$L$4:$L$59,Projection!$B$4:$B$59,"&lt;"&amp;(Assumptions!$B$4+0))-SUMIFS(Projection!$K$4:$K$59,Projection!$B$4:$B$59,"&lt;"&amp;(Assumptions!$B$4+0)))/Discount!C4-(SUMIFS(Projection!$L$4:$L$59,Projection!$B$4:$B$59,"&gt;="&amp;(Assumptions!$B$4+0))+F$146*SUMIFS($J$15:$J$70,$A$15:$A$70,"&gt;="&amp;(Assumptions!$B$4+0))-F$146*SUMIFS(Projection!$I$4:$I$59,Projection!$B$4:$B$59,"&gt;="&amp;(Assumptions!$B$4+0))-F$146*SUMIFS(Projection!$J$4:$J$59,Projection!$B$4:$B$59,"&gt;="&amp;(Assumptions!$B$4+0))+SUMIFS(Projection!$K$4:$K$59,Projection!$B$4:$B$59,"&gt;="&amp;(Assumptions!$B$4+0)))/Discount!C4</f>
        <v>13745.2924155761</v>
      </c>
    </row>
    <row r="148" customFormat="false" ht="15" hidden="false" customHeight="true" outlineLevel="0" collapsed="false">
      <c r="A148" s="1" t="s">
        <v>954</v>
      </c>
      <c r="C148" s="12" t="n">
        <f aca="false">(C$146*(SUMIFS(Projection!$I$4:$I$59,Projection!$B$4:$B$59,"&lt;"&amp;(Assumptions!$B$4+15))-C$146/C$146*SUMIFS($G$15:$G$70,$A$15:$A$70,"&lt;"&amp;(Assumptions!$B$4+15)))-SUMIFS(Projection!$L$4:$L$59,Projection!$B$4:$B$59,"&lt;"&amp;(Assumptions!$B$4+15))-SUMIFS(Projection!$K$4:$K$59,Projection!$B$4:$B$59,"&lt;"&amp;(Assumptions!$B$4+15)))/Discount!C19-(SUMIFS(Projection!$L$4:$L$59,Projection!$B$4:$B$59,"&gt;="&amp;(Assumptions!$B$4+15))+C$146*SUMIFS($G$15:$G$70,$A$15:$A$70,"&gt;="&amp;(Assumptions!$B$4+15))-C$146*SUMIFS(Projection!$I$4:$I$59,Projection!$B$4:$B$59,"&gt;="&amp;(Assumptions!$B$4+15))-C$146*SUMIFS(Projection!$J$4:$J$59,Projection!$B$4:$B$59,"&gt;="&amp;(Assumptions!$B$4+15))+SUMIFS(Projection!$K$4:$K$59,Projection!$B$4:$B$59,"&gt;="&amp;(Assumptions!$B$4+15)))/Discount!C19</f>
        <v>6192.44791762083</v>
      </c>
      <c r="D148" s="12" t="n">
        <f aca="false">(D$146*(SUMIFS(Projection!$I$4:$I$59,Projection!$B$4:$B$59,"&lt;"&amp;(Assumptions!$B$4+15))-D$146/D$146*SUMIFS($H$15:$H$70,$A$15:$A$70,"&lt;"&amp;(Assumptions!$B$4+15)))-SUMIFS(Projection!$L$4:$L$59,Projection!$B$4:$B$59,"&lt;"&amp;(Assumptions!$B$4+15))-SUMIFS(Projection!$K$4:$K$59,Projection!$B$4:$B$59,"&lt;"&amp;(Assumptions!$B$4+15)))/Discount!C19-(SUMIFS(Projection!$L$4:$L$59,Projection!$B$4:$B$59,"&gt;="&amp;(Assumptions!$B$4+15))+D$146*SUMIFS($H$15:$H$70,$A$15:$A$70,"&gt;="&amp;(Assumptions!$B$4+15))-D$146*SUMIFS(Projection!$I$4:$I$59,Projection!$B$4:$B$59,"&gt;="&amp;(Assumptions!$B$4+15))-D$146*SUMIFS(Projection!$J$4:$J$59,Projection!$B$4:$B$59,"&gt;="&amp;(Assumptions!$B$4+15))+SUMIFS(Projection!$K$4:$K$59,Projection!$B$4:$B$59,"&gt;="&amp;(Assumptions!$B$4+15)))/Discount!C19</f>
        <v>5300.62842068909</v>
      </c>
      <c r="E148" s="12" t="n">
        <f aca="false">(E$146*(SUMIFS(Projection!$I$4:$I$59,Projection!$B$4:$B$59,"&lt;"&amp;(Assumptions!$B$4+15))-E$146/E$146*SUMIFS($I$15:$I$70,$A$15:$A$70,"&lt;"&amp;(Assumptions!$B$4+15)))-SUMIFS(Projection!$L$4:$L$59,Projection!$B$4:$B$59,"&lt;"&amp;(Assumptions!$B$4+15))-SUMIFS(Projection!$K$4:$K$59,Projection!$B$4:$B$59,"&lt;"&amp;(Assumptions!$B$4+15)))/Discount!C19-(SUMIFS(Projection!$L$4:$L$59,Projection!$B$4:$B$59,"&gt;="&amp;(Assumptions!$B$4+15))+E$146*SUMIFS($I$15:$I$70,$A$15:$A$70,"&gt;="&amp;(Assumptions!$B$4+15))-E$146*SUMIFS(Projection!$I$4:$I$59,Projection!$B$4:$B$59,"&gt;="&amp;(Assumptions!$B$4+15))-E$146*SUMIFS(Projection!$J$4:$J$59,Projection!$B$4:$B$59,"&gt;="&amp;(Assumptions!$B$4+15))+SUMIFS(Projection!$K$4:$K$59,Projection!$B$4:$B$59,"&gt;="&amp;(Assumptions!$B$4+15)))/Discount!C19</f>
        <v>6677.41502346547</v>
      </c>
      <c r="F148" s="12" t="n">
        <f aca="false">(F$146*(SUMIFS(Projection!$I$4:$I$59,Projection!$B$4:$B$59,"&lt;"&amp;(Assumptions!$B$4+15))-F$146/F$146*SUMIFS($J$15:$J$70,$A$15:$A$70,"&lt;"&amp;(Assumptions!$B$4+15)))-SUMIFS(Projection!$L$4:$L$59,Projection!$B$4:$B$59,"&lt;"&amp;(Assumptions!$B$4+15))-SUMIFS(Projection!$K$4:$K$59,Projection!$B$4:$B$59,"&lt;"&amp;(Assumptions!$B$4+15)))/Discount!C19-(SUMIFS(Projection!$L$4:$L$59,Projection!$B$4:$B$59,"&gt;="&amp;(Assumptions!$B$4+15))+F$146*SUMIFS($J$15:$J$70,$A$15:$A$70,"&gt;="&amp;(Assumptions!$B$4+15))-F$146*SUMIFS(Projection!$I$4:$I$59,Projection!$B$4:$B$59,"&gt;="&amp;(Assumptions!$B$4+15))-F$146*SUMIFS(Projection!$J$4:$J$59,Projection!$B$4:$B$59,"&gt;="&amp;(Assumptions!$B$4+15))+SUMIFS(Projection!$K$4:$K$59,Projection!$B$4:$B$59,"&gt;="&amp;(Assumptions!$B$4+15)))/Discount!C19</f>
        <v>6380.65585621327</v>
      </c>
    </row>
    <row r="149" customFormat="false" ht="15" hidden="false" customHeight="true" outlineLevel="0" collapsed="false">
      <c r="A149" s="1" t="s">
        <v>1037</v>
      </c>
      <c r="C149" s="12" t="n">
        <f aca="false">(C$146*(SUMIFS(Projection!$I$4:$I$59,Projection!$B$4:$B$59,"&lt;"&amp;(Assumptions!$B$4+20))-C$146/C$146*SUMIFS($G$15:$G$70,$A$15:$A$70,"&lt;"&amp;(Assumptions!$B$4+20)))-SUMIFS(Projection!$L$4:$L$59,Projection!$B$4:$B$59,"&lt;"&amp;(Assumptions!$B$4+20))-SUMIFS(Projection!$K$4:$K$59,Projection!$B$4:$B$59,"&lt;"&amp;(Assumptions!$B$4+20)))/Discount!C24-(SUMIFS(Projection!$L$4:$L$59,Projection!$B$4:$B$59,"&gt;="&amp;(Assumptions!$B$4+20))+C$146*SUMIFS($G$15:$G$70,$A$15:$A$70,"&gt;="&amp;(Assumptions!$B$4+20))-C$146*SUMIFS(Projection!$I$4:$I$59,Projection!$B$4:$B$59,"&gt;="&amp;(Assumptions!$B$4+20))-C$146*SUMIFS(Projection!$J$4:$J$59,Projection!$B$4:$B$59,"&gt;="&amp;(Assumptions!$B$4+20))+SUMIFS(Projection!$K$4:$K$59,Projection!$B$4:$B$59,"&gt;="&amp;(Assumptions!$B$4+20)))/Discount!C24</f>
        <v>7303.39047432486</v>
      </c>
      <c r="D149" s="12" t="n">
        <f aca="false">(D$146*(SUMIFS(Projection!$I$4:$I$59,Projection!$B$4:$B$59,"&lt;"&amp;(Assumptions!$B$4+20))-D$146/D$146*SUMIFS($H$15:$H$70,$A$15:$A$70,"&lt;"&amp;(Assumptions!$B$4+20)))-SUMIFS(Projection!$L$4:$L$59,Projection!$B$4:$B$59,"&lt;"&amp;(Assumptions!$B$4+20))-SUMIFS(Projection!$K$4:$K$59,Projection!$B$4:$B$59,"&lt;"&amp;(Assumptions!$B$4+20)))/Discount!C24-(SUMIFS(Projection!$L$4:$L$59,Projection!$B$4:$B$59,"&gt;="&amp;(Assumptions!$B$4+20))+D$146*SUMIFS($H$15:$H$70,$A$15:$A$70,"&gt;="&amp;(Assumptions!$B$4+20))-D$146*SUMIFS(Projection!$I$4:$I$59,Projection!$B$4:$B$59,"&gt;="&amp;(Assumptions!$B$4+20))-D$146*SUMIFS(Projection!$J$4:$J$59,Projection!$B$4:$B$59,"&gt;="&amp;(Assumptions!$B$4+20))+SUMIFS(Projection!$K$4:$K$59,Projection!$B$4:$B$59,"&gt;="&amp;(Assumptions!$B$4+20)))/Discount!C24</f>
        <v>6251.57605370217</v>
      </c>
      <c r="E149" s="12" t="n">
        <f aca="false">(E$146*(SUMIFS(Projection!$I$4:$I$59,Projection!$B$4:$B$59,"&lt;"&amp;(Assumptions!$B$4+20))-E$146/E$146*SUMIFS($I$15:$I$70,$A$15:$A$70,"&lt;"&amp;(Assumptions!$B$4+20)))-SUMIFS(Projection!$L$4:$L$59,Projection!$B$4:$B$59,"&lt;"&amp;(Assumptions!$B$4+20))-SUMIFS(Projection!$K$4:$K$59,Projection!$B$4:$B$59,"&lt;"&amp;(Assumptions!$B$4+20)))/Discount!C24-(SUMIFS(Projection!$L$4:$L$59,Projection!$B$4:$B$59,"&gt;="&amp;(Assumptions!$B$4+20))+E$146*SUMIFS($I$15:$I$70,$A$15:$A$70,"&gt;="&amp;(Assumptions!$B$4+20))-E$146*SUMIFS(Projection!$I$4:$I$59,Projection!$B$4:$B$59,"&gt;="&amp;(Assumptions!$B$4+20))-E$146*SUMIFS(Projection!$J$4:$J$59,Projection!$B$4:$B$59,"&gt;="&amp;(Assumptions!$B$4+20))+SUMIFS(Projection!$K$4:$K$59,Projection!$B$4:$B$59,"&gt;="&amp;(Assumptions!$B$4+20)))/Discount!C24</f>
        <v>7875.36204167675</v>
      </c>
      <c r="F149" s="12" t="n">
        <f aca="false">(F$146*(SUMIFS(Projection!$I$4:$I$59,Projection!$B$4:$B$59,"&lt;"&amp;(Assumptions!$B$4+20))-F$146/F$146*SUMIFS($J$15:$J$70,$A$15:$A$70,"&lt;"&amp;(Assumptions!$B$4+20)))-SUMIFS(Projection!$L$4:$L$59,Projection!$B$4:$B$59,"&lt;"&amp;(Assumptions!$B$4+20))-SUMIFS(Projection!$K$4:$K$59,Projection!$B$4:$B$59,"&lt;"&amp;(Assumptions!$B$4+20)))/Discount!C24-(SUMIFS(Projection!$L$4:$L$59,Projection!$B$4:$B$59,"&gt;="&amp;(Assumptions!$B$4+20))+F$146*SUMIFS($J$15:$J$70,$A$15:$A$70,"&gt;="&amp;(Assumptions!$B$4+20))-F$146*SUMIFS(Projection!$I$4:$I$59,Projection!$B$4:$B$59,"&gt;="&amp;(Assumptions!$B$4+20))-F$146*SUMIFS(Projection!$J$4:$J$59,Projection!$B$4:$B$59,"&gt;="&amp;(Assumptions!$B$4+20))+SUMIFS(Projection!$K$4:$K$59,Projection!$B$4:$B$59,"&gt;="&amp;(Assumptions!$B$4+20)))/Discount!C24</f>
        <v>7525.36344595</v>
      </c>
    </row>
    <row r="150" customFormat="false" ht="15" hidden="false" customHeight="true" outlineLevel="0" collapsed="false">
      <c r="A150" s="1" t="s">
        <v>1026</v>
      </c>
      <c r="C150" s="12" t="n">
        <f aca="false">MAX((OwnFunds_SCR!E23+OwnFunds_SCR!E30-C148)/Projection!F19,(OwnFunds_SCR!F23+OwnFunds_SCR!F30-C149)/Projection!F24)</f>
        <v>34280.0380054261</v>
      </c>
      <c r="D150" s="12" t="n">
        <f aca="false">MAX((OwnFunds_SCR!E23+OwnFunds_SCR!E30-D148)/Projection!F19,(OwnFunds_SCR!F23+OwnFunds_SCR!F30-D149)/Projection!F24)</f>
        <v>35576.8886101898</v>
      </c>
      <c r="E150" s="12" t="n">
        <f aca="false">MAX((OwnFunds_SCR!E23+OwnFunds_SCR!E30-E148)/Projection!F19,(OwnFunds_SCR!F23+OwnFunds_SCR!F30-E149)/Projection!F24)</f>
        <v>33574.8169526582</v>
      </c>
      <c r="F150" s="12" t="n">
        <f aca="false">MAX((OwnFunds_SCR!E23+OwnFunds_SCR!E30-F148)/Projection!F19,(OwnFunds_SCR!F23+OwnFunds_SCR!F30-F149)/Projection!F24)</f>
        <v>34006.353050315</v>
      </c>
    </row>
    <row r="151" customFormat="false" ht="15" hidden="false" customHeight="true" outlineLevel="0" collapsed="false">
      <c r="A151" s="1" t="s">
        <v>1038</v>
      </c>
      <c r="C151" s="12" t="n">
        <f aca="false">C150-$C$150</f>
        <v>0</v>
      </c>
      <c r="D151" s="12" t="n">
        <f aca="false">D150-$C$150</f>
        <v>1296.85060476374</v>
      </c>
      <c r="E151" s="12" t="n">
        <f aca="false">E150-$C$150</f>
        <v>-705.221052767898</v>
      </c>
      <c r="F151" s="12" t="n">
        <f aca="false">F150-$C$150</f>
        <v>-273.684955111079</v>
      </c>
    </row>
    <row r="153" customFormat="false" ht="15" hidden="false" customHeight="true" outlineLevel="0" collapsed="false">
      <c r="A153" s="6" t="s">
        <v>1039</v>
      </c>
    </row>
    <row r="154" customFormat="false" ht="15" hidden="false" customHeight="true" outlineLevel="0" collapsed="false">
      <c r="A154" s="7" t="s">
        <v>1040</v>
      </c>
    </row>
    <row r="155" customFormat="false" ht="15" hidden="false" customHeight="true" outlineLevel="0" collapsed="false">
      <c r="A155" s="7" t="s">
        <v>1041</v>
      </c>
    </row>
    <row r="160" customFormat="false" ht="15" hidden="false" customHeight="true" outlineLevel="0" collapsed="false">
      <c r="A160" s="6" t="s">
        <v>1042</v>
      </c>
    </row>
    <row r="161" customFormat="false" ht="15" hidden="false" customHeight="true" outlineLevel="0" collapsed="false">
      <c r="A161" s="7" t="s">
        <v>1043</v>
      </c>
    </row>
    <row r="162" customFormat="false" ht="15" hidden="false" customHeight="true" outlineLevel="0" collapsed="false">
      <c r="A162" s="7" t="s">
        <v>1044</v>
      </c>
    </row>
    <row r="163" customFormat="false" ht="15" hidden="false" customHeight="true" outlineLevel="0" collapsed="false">
      <c r="A163" s="7" t="s">
        <v>1045</v>
      </c>
    </row>
    <row r="165" customFormat="false" ht="15" hidden="false" customHeight="true" outlineLevel="0" collapsed="false">
      <c r="A165" s="3" t="s">
        <v>1046</v>
      </c>
    </row>
    <row r="166" customFormat="false" ht="15" hidden="false" customHeight="true" outlineLevel="0" collapsed="false">
      <c r="A166" s="7" t="s">
        <v>1047</v>
      </c>
    </row>
    <row r="167" customFormat="false" ht="15" hidden="false" customHeight="true" outlineLevel="0" collapsed="false">
      <c r="A167" s="7" t="s">
        <v>1048</v>
      </c>
    </row>
    <row r="168" customFormat="false" ht="15" hidden="false" customHeight="true" outlineLevel="0" collapsed="false">
      <c r="A168" s="1" t="s">
        <v>1049</v>
      </c>
      <c r="B168" s="11" t="n">
        <f aca="false">Fairness!B3</f>
        <v>0.895188484380065</v>
      </c>
    </row>
    <row r="169" customFormat="false" ht="15" hidden="false" customHeight="true" outlineLevel="0" collapsed="false">
      <c r="A169" s="1" t="s">
        <v>1050</v>
      </c>
      <c r="B169" s="48" t="n">
        <f aca="false">Pricing!B14</f>
        <v>12316.0657114102</v>
      </c>
    </row>
    <row r="170" customFormat="false" ht="15" hidden="false" customHeight="true" outlineLevel="0" collapsed="false">
      <c r="A170" s="1" t="s">
        <v>1051</v>
      </c>
      <c r="B170" s="48" t="n">
        <f aca="false">B168*B169</f>
        <v>11025.2001977226</v>
      </c>
    </row>
    <row r="171" customFormat="false" ht="15" hidden="false" customHeight="true" outlineLevel="0" collapsed="false">
      <c r="A171" s="1" t="s">
        <v>1024</v>
      </c>
      <c r="B171" s="37" t="n">
        <f aca="false">Assumptions!$B$59</f>
        <v>0.9</v>
      </c>
    </row>
    <row r="172" customFormat="false" ht="15" hidden="false" customHeight="true" outlineLevel="0" collapsed="false">
      <c r="A172" s="1" t="s">
        <v>1052</v>
      </c>
      <c r="B172" s="49" t="n">
        <f aca="false">B170/B171</f>
        <v>12250.222441914</v>
      </c>
    </row>
    <row r="173" customFormat="false" ht="15" hidden="false" customHeight="true" outlineLevel="0" collapsed="false">
      <c r="A173" s="1" t="s">
        <v>1053</v>
      </c>
      <c r="B173" s="50" t="n">
        <f aca="false">B169-B172</f>
        <v>65.8432694962248</v>
      </c>
    </row>
    <row r="174" customFormat="false" ht="15" hidden="false" customHeight="true" outlineLevel="0" collapsed="false">
      <c r="A174" s="1" t="s">
        <v>1054</v>
      </c>
      <c r="B174" s="51" t="n">
        <f aca="false">B173/B169</f>
        <v>0.00534612846659501</v>
      </c>
    </row>
    <row r="176" customFormat="false" ht="15" hidden="false" customHeight="true" outlineLevel="0" collapsed="false">
      <c r="A176" s="3" t="s">
        <v>1055</v>
      </c>
    </row>
    <row r="177" customFormat="false" ht="15" hidden="false" customHeight="true" outlineLevel="0" collapsed="false">
      <c r="A177" s="7" t="s">
        <v>1056</v>
      </c>
    </row>
    <row r="178" customFormat="false" ht="15" hidden="false" customHeight="true" outlineLevel="0" collapsed="false">
      <c r="A178" s="1" t="s">
        <v>1057</v>
      </c>
      <c r="B178" s="48" t="n">
        <f aca="false">Pricing!B8+Pricing!B9</f>
        <v>108306.763507006</v>
      </c>
    </row>
    <row r="179" customFormat="false" ht="15" hidden="false" customHeight="true" outlineLevel="0" collapsed="false">
      <c r="A179" s="1" t="s">
        <v>1058</v>
      </c>
      <c r="B179" s="32" t="n">
        <f aca="false">Pricing!B5</f>
        <v>10.5912409489156</v>
      </c>
    </row>
    <row r="180" customFormat="false" ht="15" hidden="false" customHeight="true" outlineLevel="0" collapsed="false">
      <c r="A180" s="1" t="s">
        <v>1059</v>
      </c>
      <c r="B180" s="18" t="n">
        <f aca="false">Assumptions!B13</f>
        <v>0.03</v>
      </c>
    </row>
    <row r="181" customFormat="false" ht="15" hidden="false" customHeight="true" outlineLevel="0" collapsed="false">
      <c r="A181" s="1" t="s">
        <v>1060</v>
      </c>
      <c r="B181" s="60" t="n">
        <f aca="false">1-B180-B178/(B179*B172)</f>
        <v>0.135233993928316</v>
      </c>
    </row>
    <row r="182" customFormat="false" ht="15" hidden="false" customHeight="true" outlineLevel="0" collapsed="false">
      <c r="A182" s="1" t="s">
        <v>1061</v>
      </c>
      <c r="B182" s="39" t="n">
        <f aca="false">Pricing!B11</f>
        <v>0.139696760236322</v>
      </c>
    </row>
    <row r="183" customFormat="false" ht="15" hidden="false" customHeight="true" outlineLevel="0" collapsed="false">
      <c r="A183" s="1" t="s">
        <v>1062</v>
      </c>
      <c r="B183" s="61" t="n">
        <f aca="false">B182-B181</f>
        <v>0.00446276630800571</v>
      </c>
    </row>
    <row r="185" customFormat="false" ht="15" hidden="false" customHeight="true" outlineLevel="0" collapsed="false">
      <c r="A185" s="3" t="s">
        <v>1063</v>
      </c>
    </row>
    <row r="186" customFormat="false" ht="15" hidden="false" customHeight="true" outlineLevel="0" collapsed="false">
      <c r="A186" s="7" t="s">
        <v>1064</v>
      </c>
    </row>
    <row r="187" customFormat="false" ht="15" hidden="false" customHeight="true" outlineLevel="0" collapsed="false">
      <c r="A187" s="8" t="s">
        <v>1065</v>
      </c>
      <c r="B187" s="8" t="s">
        <v>1066</v>
      </c>
      <c r="C187" s="8" t="s">
        <v>1067</v>
      </c>
      <c r="D187" s="8" t="s">
        <v>1068</v>
      </c>
      <c r="E187" s="8" t="s">
        <v>1069</v>
      </c>
      <c r="F187" s="8" t="s">
        <v>1070</v>
      </c>
    </row>
    <row r="188" customFormat="false" ht="15" hidden="false" customHeight="true" outlineLevel="0" collapsed="false">
      <c r="A188" s="62" t="n">
        <v>0</v>
      </c>
      <c r="B188" s="63" t="n">
        <f aca="false">($B$181*$B$179-A188*$B$194)/($B$179-$B$194)</f>
        <v>0.149333732913979</v>
      </c>
      <c r="C188" s="39" t="n">
        <f aca="false">(A188*$B$194+B188*($B$179-$B$194))/$B$179</f>
        <v>0.135233993928316</v>
      </c>
      <c r="D188" s="48" t="n">
        <f aca="false">(Pricing!$B$8+Pricing!$B$9)/(Pricing!$B$5*(1-Assumptions!$B$13-C188))</f>
        <v>12250.222441914</v>
      </c>
      <c r="E188" s="11" t="n">
        <f aca="false">$B$170/D188</f>
        <v>0.9</v>
      </c>
      <c r="F188" s="5" t="str">
        <f aca="false">IF(E188&gt;=0.9,"yes","no")</f>
        <v>yes</v>
      </c>
    </row>
    <row r="189" customFormat="false" ht="15" hidden="false" customHeight="true" outlineLevel="0" collapsed="false">
      <c r="A189" s="62" t="n">
        <v>0.25</v>
      </c>
      <c r="B189" s="63" t="n">
        <f aca="false">($B$181*$B$179-A189*$B$194)/($B$179-$B$194)</f>
        <v>0.123268284101721</v>
      </c>
      <c r="C189" s="39" t="n">
        <f aca="false">(A189*$B$194+B189*($B$179-$B$194))/$B$179</f>
        <v>0.135233993928316</v>
      </c>
      <c r="D189" s="48" t="n">
        <f aca="false">(Pricing!$B$8+Pricing!$B$9)/(Pricing!$B$5*(1-Assumptions!$B$13-C189))</f>
        <v>12250.222441914</v>
      </c>
      <c r="E189" s="11" t="n">
        <f aca="false">$B$170/D189</f>
        <v>0.9</v>
      </c>
      <c r="F189" s="5" t="str">
        <f aca="false">IF(E189&gt;=0.9,"yes","no")</f>
        <v>yes</v>
      </c>
    </row>
    <row r="190" customFormat="false" ht="15" hidden="false" customHeight="true" outlineLevel="0" collapsed="false">
      <c r="A190" s="62" t="n">
        <v>0.5</v>
      </c>
      <c r="B190" s="63" t="n">
        <f aca="false">($B$181*$B$179-A190*$B$194)/($B$179-$B$194)</f>
        <v>0.0972028352894621</v>
      </c>
      <c r="C190" s="39" t="n">
        <f aca="false">(A190*$B$194+B190*($B$179-$B$194))/$B$179</f>
        <v>0.135233993928316</v>
      </c>
      <c r="D190" s="48" t="n">
        <f aca="false">(Pricing!$B$8+Pricing!$B$9)/(Pricing!$B$5*(1-Assumptions!$B$13-C190))</f>
        <v>12250.222441914</v>
      </c>
      <c r="E190" s="11" t="n">
        <f aca="false">$B$170/D190</f>
        <v>0.9</v>
      </c>
      <c r="F190" s="5" t="str">
        <f aca="false">IF(E190&gt;=0.9,"yes","no")</f>
        <v>yes</v>
      </c>
    </row>
    <row r="191" customFormat="false" ht="15" hidden="false" customHeight="true" outlineLevel="0" collapsed="false">
      <c r="A191" s="62" t="n">
        <v>0.75</v>
      </c>
      <c r="B191" s="63" t="n">
        <f aca="false">($B$181*$B$179-A191*$B$194)/($B$179-$B$194)</f>
        <v>0.0711373864772034</v>
      </c>
      <c r="C191" s="39" t="n">
        <f aca="false">(A191*$B$194+B191*($B$179-$B$194))/$B$179</f>
        <v>0.135233993928316</v>
      </c>
      <c r="D191" s="48" t="n">
        <f aca="false">(Pricing!$B$8+Pricing!$B$9)/(Pricing!$B$5*(1-Assumptions!$B$13-C191))</f>
        <v>12250.222441914</v>
      </c>
      <c r="E191" s="11" t="n">
        <f aca="false">$B$170/D191</f>
        <v>0.9</v>
      </c>
      <c r="F191" s="5" t="str">
        <f aca="false">IF(E191&gt;=0.9,"yes","no")</f>
        <v>yes</v>
      </c>
    </row>
    <row r="192" customFormat="false" ht="15" hidden="false" customHeight="true" outlineLevel="0" collapsed="false">
      <c r="A192" s="62" t="n">
        <v>1</v>
      </c>
      <c r="B192" s="63" t="n">
        <f aca="false">($B$181*$B$179-A192*$B$194)/($B$179-$B$194)</f>
        <v>0.0450719376649447</v>
      </c>
      <c r="C192" s="39" t="n">
        <f aca="false">(A192*$B$194+B192*($B$179-$B$194))/$B$179</f>
        <v>0.135233993928316</v>
      </c>
      <c r="D192" s="48" t="n">
        <f aca="false">(Pricing!$B$8+Pricing!$B$9)/(Pricing!$B$5*(1-Assumptions!$B$13-C192))</f>
        <v>12250.222441914</v>
      </c>
      <c r="E192" s="11" t="n">
        <f aca="false">$B$170/D192</f>
        <v>0.9</v>
      </c>
      <c r="F192" s="5" t="str">
        <f aca="false">IF(E192&gt;=0.9,"yes","no")</f>
        <v>yes</v>
      </c>
    </row>
    <row r="194" customFormat="false" ht="15" hidden="false" customHeight="true" outlineLevel="0" collapsed="false">
      <c r="A194" s="1" t="s">
        <v>1071</v>
      </c>
      <c r="B194" s="32" t="n">
        <f aca="false">Pricing!B10</f>
        <v>1</v>
      </c>
    </row>
    <row r="196" customFormat="false" ht="15" hidden="false" customHeight="true" outlineLevel="0" collapsed="false">
      <c r="A196" s="6" t="s">
        <v>1072</v>
      </c>
    </row>
    <row r="197" customFormat="false" ht="15" hidden="false" customHeight="true" outlineLevel="0" collapsed="false">
      <c r="A197" s="7" t="s">
        <v>1073</v>
      </c>
    </row>
    <row r="198" customFormat="false" ht="15" hidden="false" customHeight="true" outlineLevel="0" collapsed="false">
      <c r="A198" s="7" t="s">
        <v>1074</v>
      </c>
    </row>
    <row r="200" customFormat="false" ht="15" hidden="false" customHeight="true" outlineLevel="0" collapsed="false">
      <c r="A200" s="3" t="s">
        <v>1075</v>
      </c>
    </row>
    <row r="201" customFormat="false" ht="15" hidden="false" customHeight="true" outlineLevel="0" collapsed="false">
      <c r="A201" s="1" t="s">
        <v>1076</v>
      </c>
      <c r="B201" s="39" t="n">
        <f aca="false">B181</f>
        <v>0.135233993928316</v>
      </c>
      <c r="C201" s="7" t="s">
        <v>1077</v>
      </c>
      <c r="D201" s="7" t="s">
        <v>1078</v>
      </c>
    </row>
    <row r="202" customFormat="false" ht="15" hidden="false" customHeight="true" outlineLevel="0" collapsed="false">
      <c r="A202" s="1" t="str">
        <f aca="false">$A$6</f>
        <v>Heaped + trail</v>
      </c>
      <c r="B202" s="39" t="n">
        <f aca="false">B75</f>
        <v>0.139696760236322</v>
      </c>
      <c r="C202" s="39" t="n">
        <f aca="false">B202-$B$181</f>
        <v>0.00446276630800571</v>
      </c>
      <c r="D202" s="5" t="str">
        <f aca="false">IF(B202&lt;=$B$181,"within what the product can carry","exceeds it by "&amp;TEXT(C202,"0.00%"))</f>
        <v>exceeds it by 0.45%</v>
      </c>
    </row>
    <row r="203" customFormat="false" ht="15" hidden="false" customHeight="true" outlineLevel="0" collapsed="false">
      <c r="A203" s="1" t="str">
        <f aca="false">$A$7</f>
        <v>Zero commission</v>
      </c>
      <c r="B203" s="39" t="n">
        <f aca="false">C75</f>
        <v>0</v>
      </c>
      <c r="C203" s="39" t="n">
        <f aca="false">B203-$B$181</f>
        <v>-0.135233993928316</v>
      </c>
      <c r="D203" s="5" t="str">
        <f aca="false">IF(B203&lt;=$B$181,"within what the product can carry","exceeds it by "&amp;TEXT(C203,"0.00%"))</f>
        <v>within what the product can carry</v>
      </c>
    </row>
    <row r="204" customFormat="false" ht="15" hidden="false" customHeight="true" outlineLevel="0" collapsed="false">
      <c r="A204" s="1" t="str">
        <f aca="false">$A$8</f>
        <v>Level 20% flat</v>
      </c>
      <c r="B204" s="39" t="n">
        <f aca="false">D75</f>
        <v>0.2</v>
      </c>
      <c r="C204" s="39" t="n">
        <f aca="false">B204-$B$181</f>
        <v>0.0647660060716839</v>
      </c>
      <c r="D204" s="5" t="str">
        <f aca="false">IF(B204&lt;=$B$181,"within what the product can carry","exceeds it by "&amp;TEXT(C204,"0.00%"))</f>
        <v>exceeds it by 6.48%</v>
      </c>
    </row>
    <row r="205" customFormat="false" ht="15" hidden="false" customHeight="true" outlineLevel="0" collapsed="false">
      <c r="A205" s="1" t="str">
        <f aca="false">$A$9</f>
        <v>Industry reference</v>
      </c>
      <c r="B205" s="39" t="n">
        <f aca="false">E75</f>
        <v>0.164187919873208</v>
      </c>
      <c r="C205" s="39" t="n">
        <f aca="false">B205-$B$181</f>
        <v>0.0289539259448921</v>
      </c>
      <c r="D205" s="5" t="str">
        <f aca="false">IF(B205&lt;=$B$181,"within what the product can carry","exceeds it by "&amp;TEXT(C205,"0.00%"))</f>
        <v>exceeds it by 2.90%</v>
      </c>
    </row>
    <row r="207" customFormat="false" ht="15" hidden="false" customHeight="true" outlineLevel="0" collapsed="false">
      <c r="A207" s="6" t="s">
        <v>1079</v>
      </c>
    </row>
    <row r="208" customFormat="false" ht="15" hidden="false" customHeight="true" outlineLevel="0" collapsed="false">
      <c r="A208" s="7" t="s">
        <v>1080</v>
      </c>
    </row>
    <row r="209" customFormat="false" ht="15" hidden="false" customHeight="true" outlineLevel="0" collapsed="false">
      <c r="A209" s="1" t="s">
        <v>1081</v>
      </c>
      <c r="B209" s="64" t="n">
        <f aca="false">B192</f>
        <v>0.0450719376649447</v>
      </c>
    </row>
    <row r="210" customFormat="false" ht="15" hidden="false" customHeight="true" outlineLevel="0" collapsed="false">
      <c r="A210" s="1" t="s">
        <v>1082</v>
      </c>
      <c r="B210" s="23" t="n">
        <f aca="false">Assumptions!B15</f>
        <v>0.05</v>
      </c>
    </row>
    <row r="211" customFormat="false" ht="15" hidden="false" customHeight="true" outlineLevel="0" collapsed="false">
      <c r="A211" s="1" t="s">
        <v>1062</v>
      </c>
      <c r="B211" s="63" t="n">
        <f aca="false">B210-B209</f>
        <v>0.0049280623350553</v>
      </c>
    </row>
    <row r="212" customFormat="false" ht="15" hidden="false" customHeight="true" outlineLevel="0" collapsed="false">
      <c r="A212" s="1" t="s">
        <v>1083</v>
      </c>
      <c r="B212" s="65" t="n">
        <f aca="false">B211/B210</f>
        <v>0.098561246701106</v>
      </c>
    </row>
    <row r="214" customFormat="false" ht="15" hidden="false" customHeight="true" outlineLevel="0" collapsed="false">
      <c r="A214" s="3" t="s">
        <v>1084</v>
      </c>
    </row>
    <row r="215" customFormat="false" ht="15" hidden="false" customHeight="true" outlineLevel="0" collapsed="false">
      <c r="A215" s="7" t="s">
        <v>1085</v>
      </c>
    </row>
    <row r="220" customFormat="false" ht="15" hidden="false" customHeight="true" outlineLevel="0" collapsed="false">
      <c r="A220" s="6" t="s">
        <v>1086</v>
      </c>
    </row>
    <row r="221" customFormat="false" ht="15" hidden="false" customHeight="true" outlineLevel="0" collapsed="false">
      <c r="A221" s="7" t="s">
        <v>1087</v>
      </c>
    </row>
    <row r="222" customFormat="false" ht="15" hidden="false" customHeight="true" outlineLevel="0" collapsed="false">
      <c r="A222" s="7" t="s">
        <v>1088</v>
      </c>
    </row>
    <row r="224" customFormat="false" ht="15" hidden="false" customHeight="true" outlineLevel="0" collapsed="false">
      <c r="A224" s="1" t="s">
        <v>1024</v>
      </c>
      <c r="B224" s="37" t="n">
        <f aca="false">Assumptions!$B$59</f>
        <v>0.9</v>
      </c>
    </row>
    <row r="225" customFormat="false" ht="15" hidden="false" customHeight="true" outlineLevel="0" collapsed="false">
      <c r="A225" s="1" t="s">
        <v>1089</v>
      </c>
      <c r="B225" s="48" t="n">
        <f aca="false">Fairness!B3*Pricing!B14</f>
        <v>11025.2001977226</v>
      </c>
    </row>
    <row r="226" customFormat="false" ht="15" hidden="false" customHeight="true" outlineLevel="0" collapsed="false">
      <c r="A226" s="1" t="s">
        <v>1071</v>
      </c>
      <c r="B226" s="32" t="n">
        <f aca="false">Pricing!B10</f>
        <v>1</v>
      </c>
    </row>
    <row r="227" customFormat="false" ht="15" hidden="false" customHeight="true" outlineLevel="0" collapsed="false">
      <c r="A227" s="1" t="s">
        <v>1090</v>
      </c>
      <c r="B227" s="32" t="n">
        <f aca="false">Pricing!B5</f>
        <v>10.5912409489156</v>
      </c>
    </row>
    <row r="229" customFormat="false" ht="15" hidden="false" customHeight="true" outlineLevel="0" collapsed="false">
      <c r="A229" s="3" t="s">
        <v>1091</v>
      </c>
    </row>
    <row r="230" customFormat="false" ht="15" hidden="false" customHeight="true" outlineLevel="0" collapsed="false">
      <c r="A230" s="8" t="s">
        <v>1092</v>
      </c>
      <c r="B230" s="66" t="n">
        <v>1</v>
      </c>
      <c r="C230" s="66" t="n">
        <v>0.75</v>
      </c>
      <c r="D230" s="66" t="n">
        <v>0.5</v>
      </c>
      <c r="E230" s="66" t="n">
        <v>0.25</v>
      </c>
      <c r="F230" s="66" t="n">
        <v>0</v>
      </c>
    </row>
    <row r="231" customFormat="false" ht="15" hidden="false" customHeight="true" outlineLevel="0" collapsed="false">
      <c r="A231" s="67" t="n">
        <v>0.05</v>
      </c>
      <c r="B231" s="11" t="n">
        <f aca="false">$B$225/((Pricing!$B$8+Pricing!$B$9)/(Pricing!$B$5*(1-Assumptions!$B$13-((1*$B$226)+($A231*($B$227-$B$226)))/$B$227)))</f>
        <v>0.895188484380065</v>
      </c>
      <c r="C231" s="11" t="n">
        <f aca="false">$B$225/((Pricing!$B$8+Pricing!$B$9)/(Pricing!$B$5*(1-Assumptions!$B$13-((0.75*$B$226)+($A231*($B$227-$B$226)))/$B$227)))</f>
        <v>0.920637495689985</v>
      </c>
      <c r="D231" s="11" t="n">
        <f aca="false">$B$225/((Pricing!$B$8+Pricing!$B$9)/(Pricing!$B$5*(1-Assumptions!$B$13-((0.5*$B$226)+($A231*($B$227-$B$226)))/$B$227)))</f>
        <v>0.946086506999905</v>
      </c>
      <c r="E231" s="11" t="n">
        <f aca="false">$B$225/((Pricing!$B$8+Pricing!$B$9)/(Pricing!$B$5*(1-Assumptions!$B$13-((0.25*$B$226)+($A231*($B$227-$B$226)))/$B$227)))</f>
        <v>0.971535518309825</v>
      </c>
      <c r="F231" s="11" t="n">
        <f aca="false">$B$225/((Pricing!$B$8+Pricing!$B$9)/(Pricing!$B$5*(1-Assumptions!$B$13-((0*$B$226)+($A231*($B$227-$B$226)))/$B$227)))</f>
        <v>0.996984529619745</v>
      </c>
    </row>
    <row r="232" customFormat="false" ht="15" hidden="false" customHeight="true" outlineLevel="0" collapsed="false">
      <c r="A232" s="67" t="n">
        <v>0.0475</v>
      </c>
      <c r="B232" s="11" t="n">
        <f aca="false">$B$225/((Pricing!$B$8+Pricing!$B$9)/(Pricing!$B$5*(1-Assumptions!$B$13-((1*$B$226)+($A232*($B$227-$B$226)))/$B$227)))</f>
        <v>0.897629360373916</v>
      </c>
      <c r="C232" s="11" t="n">
        <f aca="false">$B$225/((Pricing!$B$8+Pricing!$B$9)/(Pricing!$B$5*(1-Assumptions!$B$13-((0.75*$B$226)+($A232*($B$227-$B$226)))/$B$227)))</f>
        <v>0.923078371683836</v>
      </c>
      <c r="D232" s="11" t="n">
        <f aca="false">$B$225/((Pricing!$B$8+Pricing!$B$9)/(Pricing!$B$5*(1-Assumptions!$B$13-((0.5*$B$226)+($A232*($B$227-$B$226)))/$B$227)))</f>
        <v>0.948527382993756</v>
      </c>
      <c r="E232" s="11" t="n">
        <f aca="false">$B$225/((Pricing!$B$8+Pricing!$B$9)/(Pricing!$B$5*(1-Assumptions!$B$13-((0.25*$B$226)+($A232*($B$227-$B$226)))/$B$227)))</f>
        <v>0.973976394303676</v>
      </c>
      <c r="F232" s="11" t="n">
        <f aca="false">$B$225/((Pricing!$B$8+Pricing!$B$9)/(Pricing!$B$5*(1-Assumptions!$B$13-((0*$B$226)+($A232*($B$227-$B$226)))/$B$227)))</f>
        <v>0.999425405613597</v>
      </c>
    </row>
    <row r="233" customFormat="false" ht="15" hidden="false" customHeight="true" outlineLevel="0" collapsed="false">
      <c r="A233" s="67" t="n">
        <v>0.045</v>
      </c>
      <c r="B233" s="11" t="n">
        <f aca="false">$B$225/((Pricing!$B$8+Pricing!$B$9)/(Pricing!$B$5*(1-Assumptions!$B$13-((1*$B$226)+($A233*($B$227-$B$226)))/$B$227)))</f>
        <v>0.900070236367767</v>
      </c>
      <c r="C233" s="11" t="n">
        <f aca="false">$B$225/((Pricing!$B$8+Pricing!$B$9)/(Pricing!$B$5*(1-Assumptions!$B$13-((0.75*$B$226)+($A233*($B$227-$B$226)))/$B$227)))</f>
        <v>0.925519247677687</v>
      </c>
      <c r="D233" s="11" t="n">
        <f aca="false">$B$225/((Pricing!$B$8+Pricing!$B$9)/(Pricing!$B$5*(1-Assumptions!$B$13-((0.5*$B$226)+($A233*($B$227-$B$226)))/$B$227)))</f>
        <v>0.950968258987607</v>
      </c>
      <c r="E233" s="11" t="n">
        <f aca="false">$B$225/((Pricing!$B$8+Pricing!$B$9)/(Pricing!$B$5*(1-Assumptions!$B$13-((0.25*$B$226)+($A233*($B$227-$B$226)))/$B$227)))</f>
        <v>0.976417270297528</v>
      </c>
      <c r="F233" s="11" t="n">
        <f aca="false">$B$225/((Pricing!$B$8+Pricing!$B$9)/(Pricing!$B$5*(1-Assumptions!$B$13-((0*$B$226)+($A233*($B$227-$B$226)))/$B$227)))</f>
        <v>1.00186628160745</v>
      </c>
    </row>
    <row r="234" customFormat="false" ht="15" hidden="false" customHeight="true" outlineLevel="0" collapsed="false">
      <c r="A234" s="67" t="n">
        <v>0.04</v>
      </c>
      <c r="B234" s="11" t="n">
        <f aca="false">$B$225/((Pricing!$B$8+Pricing!$B$9)/(Pricing!$B$5*(1-Assumptions!$B$13-((1*$B$226)+($A234*($B$227-$B$226)))/$B$227)))</f>
        <v>0.904951988355469</v>
      </c>
      <c r="C234" s="11" t="n">
        <f aca="false">$B$225/((Pricing!$B$8+Pricing!$B$9)/(Pricing!$B$5*(1-Assumptions!$B$13-((0.75*$B$226)+($A234*($B$227-$B$226)))/$B$227)))</f>
        <v>0.93040099966539</v>
      </c>
      <c r="D234" s="11" t="n">
        <f aca="false">$B$225/((Pricing!$B$8+Pricing!$B$9)/(Pricing!$B$5*(1-Assumptions!$B$13-((0.5*$B$226)+($A234*($B$227-$B$226)))/$B$227)))</f>
        <v>0.95585001097531</v>
      </c>
      <c r="E234" s="11" t="n">
        <f aca="false">$B$225/((Pricing!$B$8+Pricing!$B$9)/(Pricing!$B$5*(1-Assumptions!$B$13-((0.25*$B$226)+($A234*($B$227-$B$226)))/$B$227)))</f>
        <v>0.98129902228523</v>
      </c>
      <c r="F234" s="11" t="n">
        <f aca="false">$B$225/((Pricing!$B$8+Pricing!$B$9)/(Pricing!$B$5*(1-Assumptions!$B$13-((0*$B$226)+($A234*($B$227-$B$226)))/$B$227)))</f>
        <v>1.00674803359515</v>
      </c>
    </row>
    <row r="235" customFormat="false" ht="15" hidden="false" customHeight="true" outlineLevel="0" collapsed="false">
      <c r="A235" s="67" t="n">
        <v>0.035</v>
      </c>
      <c r="B235" s="11" t="n">
        <f aca="false">$B$225/((Pricing!$B$8+Pricing!$B$9)/(Pricing!$B$5*(1-Assumptions!$B$13-((1*$B$226)+($A235*($B$227-$B$226)))/$B$227)))</f>
        <v>0.909833740343172</v>
      </c>
      <c r="C235" s="11" t="n">
        <f aca="false">$B$225/((Pricing!$B$8+Pricing!$B$9)/(Pricing!$B$5*(1-Assumptions!$B$13-((0.75*$B$226)+($A235*($B$227-$B$226)))/$B$227)))</f>
        <v>0.935282751653092</v>
      </c>
      <c r="D235" s="11" t="n">
        <f aca="false">$B$225/((Pricing!$B$8+Pricing!$B$9)/(Pricing!$B$5*(1-Assumptions!$B$13-((0.5*$B$226)+($A235*($B$227-$B$226)))/$B$227)))</f>
        <v>0.960731762963012</v>
      </c>
      <c r="E235" s="11" t="n">
        <f aca="false">$B$225/((Pricing!$B$8+Pricing!$B$9)/(Pricing!$B$5*(1-Assumptions!$B$13-((0.25*$B$226)+($A235*($B$227-$B$226)))/$B$227)))</f>
        <v>0.986180774272932</v>
      </c>
      <c r="F235" s="11" t="n">
        <f aca="false">$B$225/((Pricing!$B$8+Pricing!$B$9)/(Pricing!$B$5*(1-Assumptions!$B$13-((0*$B$226)+($A235*($B$227-$B$226)))/$B$227)))</f>
        <v>1.01162978558285</v>
      </c>
    </row>
    <row r="236" customFormat="false" ht="15" hidden="false" customHeight="true" outlineLevel="0" collapsed="false">
      <c r="A236" s="67" t="n">
        <v>0.03</v>
      </c>
      <c r="B236" s="11" t="n">
        <f aca="false">$B$225/((Pricing!$B$8+Pricing!$B$9)/(Pricing!$B$5*(1-Assumptions!$B$13-((1*$B$226)+($A236*($B$227-$B$226)))/$B$227)))</f>
        <v>0.914715492330875</v>
      </c>
      <c r="C236" s="11" t="n">
        <f aca="false">$B$225/((Pricing!$B$8+Pricing!$B$9)/(Pricing!$B$5*(1-Assumptions!$B$13-((0.75*$B$226)+($A236*($B$227-$B$226)))/$B$227)))</f>
        <v>0.940164503640795</v>
      </c>
      <c r="D236" s="11" t="n">
        <f aca="false">$B$225/((Pricing!$B$8+Pricing!$B$9)/(Pricing!$B$5*(1-Assumptions!$B$13-((0.5*$B$226)+($A236*($B$227-$B$226)))/$B$227)))</f>
        <v>0.965613514950715</v>
      </c>
      <c r="E236" s="11" t="n">
        <f aca="false">$B$225/((Pricing!$B$8+Pricing!$B$9)/(Pricing!$B$5*(1-Assumptions!$B$13-((0.25*$B$226)+($A236*($B$227-$B$226)))/$B$227)))</f>
        <v>0.991062526260635</v>
      </c>
      <c r="F236" s="11" t="n">
        <f aca="false">$B$225/((Pricing!$B$8+Pricing!$B$9)/(Pricing!$B$5*(1-Assumptions!$B$13-((0*$B$226)+($A236*($B$227-$B$226)))/$B$227)))</f>
        <v>1.01651153757056</v>
      </c>
    </row>
    <row r="237" customFormat="false" ht="15" hidden="false" customHeight="true" outlineLevel="0" collapsed="false">
      <c r="A237" s="67" t="n">
        <v>0.025</v>
      </c>
      <c r="B237" s="11" t="n">
        <f aca="false">$B$225/((Pricing!$B$8+Pricing!$B$9)/(Pricing!$B$5*(1-Assumptions!$B$13-((1*$B$226)+($A237*($B$227-$B$226)))/$B$227)))</f>
        <v>0.919597244318577</v>
      </c>
      <c r="C237" s="11" t="n">
        <f aca="false">$B$225/((Pricing!$B$8+Pricing!$B$9)/(Pricing!$B$5*(1-Assumptions!$B$13-((0.75*$B$226)+($A237*($B$227-$B$226)))/$B$227)))</f>
        <v>0.945046255628497</v>
      </c>
      <c r="D237" s="11" t="n">
        <f aca="false">$B$225/((Pricing!$B$8+Pricing!$B$9)/(Pricing!$B$5*(1-Assumptions!$B$13-((0.5*$B$226)+($A237*($B$227-$B$226)))/$B$227)))</f>
        <v>0.970495266938417</v>
      </c>
      <c r="E237" s="11" t="n">
        <f aca="false">$B$225/((Pricing!$B$8+Pricing!$B$9)/(Pricing!$B$5*(1-Assumptions!$B$13-((0.25*$B$226)+($A237*($B$227-$B$226)))/$B$227)))</f>
        <v>0.995944278248337</v>
      </c>
      <c r="F237" s="11" t="n">
        <f aca="false">$B$225/((Pricing!$B$8+Pricing!$B$9)/(Pricing!$B$5*(1-Assumptions!$B$13-((0*$B$226)+($A237*($B$227-$B$226)))/$B$227)))</f>
        <v>1.02139328955826</v>
      </c>
    </row>
    <row r="238" customFormat="false" ht="15" hidden="false" customHeight="true" outlineLevel="0" collapsed="false">
      <c r="A238" s="67" t="n">
        <v>0.02</v>
      </c>
      <c r="B238" s="11" t="n">
        <f aca="false">$B$225/((Pricing!$B$8+Pricing!$B$9)/(Pricing!$B$5*(1-Assumptions!$B$13-((1*$B$226)+($A238*($B$227-$B$226)))/$B$227)))</f>
        <v>0.92447899630628</v>
      </c>
      <c r="C238" s="11" t="n">
        <f aca="false">$B$225/((Pricing!$B$8+Pricing!$B$9)/(Pricing!$B$5*(1-Assumptions!$B$13-((0.75*$B$226)+($A238*($B$227-$B$226)))/$B$227)))</f>
        <v>0.949928007616199</v>
      </c>
      <c r="D238" s="11" t="n">
        <f aca="false">$B$225/((Pricing!$B$8+Pricing!$B$9)/(Pricing!$B$5*(1-Assumptions!$B$13-((0.5*$B$226)+($A238*($B$227-$B$226)))/$B$227)))</f>
        <v>0.97537701892612</v>
      </c>
      <c r="E238" s="11" t="n">
        <f aca="false">$B$225/((Pricing!$B$8+Pricing!$B$9)/(Pricing!$B$5*(1-Assumptions!$B$13-((0.25*$B$226)+($A238*($B$227-$B$226)))/$B$227)))</f>
        <v>1.00082603023604</v>
      </c>
      <c r="F238" s="11" t="n">
        <f aca="false">$B$225/((Pricing!$B$8+Pricing!$B$9)/(Pricing!$B$5*(1-Assumptions!$B$13-((0*$B$226)+($A238*($B$227-$B$226)))/$B$227)))</f>
        <v>1.02627504154596</v>
      </c>
    </row>
    <row r="239" customFormat="false" ht="15" hidden="false" customHeight="true" outlineLevel="0" collapsed="false">
      <c r="A239" s="67" t="n">
        <v>0.015</v>
      </c>
      <c r="B239" s="11" t="n">
        <f aca="false">$B$225/((Pricing!$B$8+Pricing!$B$9)/(Pricing!$B$5*(1-Assumptions!$B$13-((1*$B$226)+($A239*($B$227-$B$226)))/$B$227)))</f>
        <v>0.929360748293982</v>
      </c>
      <c r="C239" s="11" t="n">
        <f aca="false">$B$225/((Pricing!$B$8+Pricing!$B$9)/(Pricing!$B$5*(1-Assumptions!$B$13-((0.75*$B$226)+($A239*($B$227-$B$226)))/$B$227)))</f>
        <v>0.954809759603902</v>
      </c>
      <c r="D239" s="11" t="n">
        <f aca="false">$B$225/((Pricing!$B$8+Pricing!$B$9)/(Pricing!$B$5*(1-Assumptions!$B$13-((0.5*$B$226)+($A239*($B$227-$B$226)))/$B$227)))</f>
        <v>0.980258770913822</v>
      </c>
      <c r="E239" s="11" t="n">
        <f aca="false">$B$225/((Pricing!$B$8+Pricing!$B$9)/(Pricing!$B$5*(1-Assumptions!$B$13-((0.25*$B$226)+($A239*($B$227-$B$226)))/$B$227)))</f>
        <v>1.00570778222374</v>
      </c>
      <c r="F239" s="11" t="n">
        <f aca="false">$B$225/((Pricing!$B$8+Pricing!$B$9)/(Pricing!$B$5*(1-Assumptions!$B$13-((0*$B$226)+($A239*($B$227-$B$226)))/$B$227)))</f>
        <v>1.03115679353366</v>
      </c>
    </row>
    <row r="240" customFormat="false" ht="15" hidden="false" customHeight="true" outlineLevel="0" collapsed="false">
      <c r="A240" s="67" t="n">
        <v>0.01</v>
      </c>
      <c r="B240" s="11" t="n">
        <f aca="false">$B$225/((Pricing!$B$8+Pricing!$B$9)/(Pricing!$B$5*(1-Assumptions!$B$13-((1*$B$226)+($A240*($B$227-$B$226)))/$B$227)))</f>
        <v>0.934242500281684</v>
      </c>
      <c r="C240" s="11" t="n">
        <f aca="false">$B$225/((Pricing!$B$8+Pricing!$B$9)/(Pricing!$B$5*(1-Assumptions!$B$13-((0.75*$B$226)+($A240*($B$227-$B$226)))/$B$227)))</f>
        <v>0.959691511591605</v>
      </c>
      <c r="D240" s="11" t="n">
        <f aca="false">$B$225/((Pricing!$B$8+Pricing!$B$9)/(Pricing!$B$5*(1-Assumptions!$B$13-((0.5*$B$226)+($A240*($B$227-$B$226)))/$B$227)))</f>
        <v>0.985140522901525</v>
      </c>
      <c r="E240" s="11" t="n">
        <f aca="false">$B$225/((Pricing!$B$8+Pricing!$B$9)/(Pricing!$B$5*(1-Assumptions!$B$13-((0.25*$B$226)+($A240*($B$227-$B$226)))/$B$227)))</f>
        <v>1.01058953421144</v>
      </c>
      <c r="F240" s="11" t="n">
        <f aca="false">$B$225/((Pricing!$B$8+Pricing!$B$9)/(Pricing!$B$5*(1-Assumptions!$B$13-((0*$B$226)+($A240*($B$227-$B$226)))/$B$227)))</f>
        <v>1.03603854552137</v>
      </c>
    </row>
    <row r="241" customFormat="false" ht="15" hidden="false" customHeight="true" outlineLevel="0" collapsed="false">
      <c r="A241" s="67" t="n">
        <v>0.0075</v>
      </c>
      <c r="B241" s="11" t="n">
        <f aca="false">$B$225/((Pricing!$B$8+Pricing!$B$9)/(Pricing!$B$5*(1-Assumptions!$B$13-((1*$B$226)+($A241*($B$227-$B$226)))/$B$227)))</f>
        <v>0.936683376275536</v>
      </c>
      <c r="C241" s="11" t="n">
        <f aca="false">$B$225/((Pricing!$B$8+Pricing!$B$9)/(Pricing!$B$5*(1-Assumptions!$B$13-((0.75*$B$226)+($A241*($B$227-$B$226)))/$B$227)))</f>
        <v>0.962132387585456</v>
      </c>
      <c r="D241" s="11" t="n">
        <f aca="false">$B$225/((Pricing!$B$8+Pricing!$B$9)/(Pricing!$B$5*(1-Assumptions!$B$13-((0.5*$B$226)+($A241*($B$227-$B$226)))/$B$227)))</f>
        <v>0.987581398895376</v>
      </c>
      <c r="E241" s="11" t="n">
        <f aca="false">$B$225/((Pricing!$B$8+Pricing!$B$9)/(Pricing!$B$5*(1-Assumptions!$B$13-((0.25*$B$226)+($A241*($B$227-$B$226)))/$B$227)))</f>
        <v>1.0130304102053</v>
      </c>
      <c r="F241" s="11" t="n">
        <f aca="false">$B$225/((Pricing!$B$8+Pricing!$B$9)/(Pricing!$B$5*(1-Assumptions!$B$13-((0*$B$226)+($A241*($B$227-$B$226)))/$B$227)))</f>
        <v>1.03847942151522</v>
      </c>
    </row>
    <row r="242" customFormat="false" ht="15" hidden="false" customHeight="true" outlineLevel="0" collapsed="false">
      <c r="A242" s="67" t="n">
        <v>0.005</v>
      </c>
      <c r="B242" s="11" t="n">
        <f aca="false">$B$225/((Pricing!$B$8+Pricing!$B$9)/(Pricing!$B$5*(1-Assumptions!$B$13-((1*$B$226)+($A242*($B$227-$B$226)))/$B$227)))</f>
        <v>0.939124252269387</v>
      </c>
      <c r="C242" s="11" t="n">
        <f aca="false">$B$225/((Pricing!$B$8+Pricing!$B$9)/(Pricing!$B$5*(1-Assumptions!$B$13-((0.75*$B$226)+($A242*($B$227-$B$226)))/$B$227)))</f>
        <v>0.964573263579307</v>
      </c>
      <c r="D242" s="11" t="n">
        <f aca="false">$B$225/((Pricing!$B$8+Pricing!$B$9)/(Pricing!$B$5*(1-Assumptions!$B$13-((0.5*$B$226)+($A242*($B$227-$B$226)))/$B$227)))</f>
        <v>0.990022274889227</v>
      </c>
      <c r="E242" s="11" t="n">
        <f aca="false">$B$225/((Pricing!$B$8+Pricing!$B$9)/(Pricing!$B$5*(1-Assumptions!$B$13-((0.25*$B$226)+($A242*($B$227-$B$226)))/$B$227)))</f>
        <v>1.01547128619915</v>
      </c>
      <c r="F242" s="11" t="n">
        <f aca="false">$B$225/((Pricing!$B$8+Pricing!$B$9)/(Pricing!$B$5*(1-Assumptions!$B$13-((0*$B$226)+($A242*($B$227-$B$226)))/$B$227)))</f>
        <v>1.04092029750907</v>
      </c>
    </row>
    <row r="243" customFormat="false" ht="15" hidden="false" customHeight="true" outlineLevel="0" collapsed="false">
      <c r="A243" s="67" t="n">
        <v>0.0025</v>
      </c>
      <c r="B243" s="11" t="n">
        <f aca="false">$B$225/((Pricing!$B$8+Pricing!$B$9)/(Pricing!$B$5*(1-Assumptions!$B$13-((1*$B$226)+($A243*($B$227-$B$226)))/$B$227)))</f>
        <v>0.941565128263238</v>
      </c>
      <c r="C243" s="11" t="n">
        <f aca="false">$B$225/((Pricing!$B$8+Pricing!$B$9)/(Pricing!$B$5*(1-Assumptions!$B$13-((0.75*$B$226)+($A243*($B$227-$B$226)))/$B$227)))</f>
        <v>0.967014139573158</v>
      </c>
      <c r="D243" s="11" t="n">
        <f aca="false">$B$225/((Pricing!$B$8+Pricing!$B$9)/(Pricing!$B$5*(1-Assumptions!$B$13-((0.5*$B$226)+($A243*($B$227-$B$226)))/$B$227)))</f>
        <v>0.992463150883078</v>
      </c>
      <c r="E243" s="11" t="n">
        <f aca="false">$B$225/((Pricing!$B$8+Pricing!$B$9)/(Pricing!$B$5*(1-Assumptions!$B$13-((0.25*$B$226)+($A243*($B$227-$B$226)))/$B$227)))</f>
        <v>1.017912162193</v>
      </c>
      <c r="F243" s="11" t="n">
        <f aca="false">$B$225/((Pricing!$B$8+Pricing!$B$9)/(Pricing!$B$5*(1-Assumptions!$B$13-((0*$B$226)+($A243*($B$227-$B$226)))/$B$227)))</f>
        <v>1.04336117350292</v>
      </c>
    </row>
    <row r="244" customFormat="false" ht="15" hidden="false" customHeight="true" outlineLevel="0" collapsed="false">
      <c r="A244" s="67" t="n">
        <v>0</v>
      </c>
      <c r="B244" s="11" t="n">
        <f aca="false">$B$225/((Pricing!$B$8+Pricing!$B$9)/(Pricing!$B$5*(1-Assumptions!$B$13-((1*$B$226)+($A244*($B$227-$B$226)))/$B$227)))</f>
        <v>0.944006004257089</v>
      </c>
      <c r="C244" s="11" t="n">
        <f aca="false">$B$225/((Pricing!$B$8+Pricing!$B$9)/(Pricing!$B$5*(1-Assumptions!$B$13-((0.75*$B$226)+($A244*($B$227-$B$226)))/$B$227)))</f>
        <v>0.969455015567009</v>
      </c>
      <c r="D244" s="11" t="n">
        <f aca="false">$B$225/((Pricing!$B$8+Pricing!$B$9)/(Pricing!$B$5*(1-Assumptions!$B$13-((0.5*$B$226)+($A244*($B$227-$B$226)))/$B$227)))</f>
        <v>0.99490402687693</v>
      </c>
      <c r="E244" s="11" t="n">
        <f aca="false">$B$225/((Pricing!$B$8+Pricing!$B$9)/(Pricing!$B$5*(1-Assumptions!$B$13-((0.25*$B$226)+($A244*($B$227-$B$226)))/$B$227)))</f>
        <v>1.02035303818685</v>
      </c>
      <c r="F244" s="11" t="n">
        <f aca="false">$B$225/((Pricing!$B$8+Pricing!$B$9)/(Pricing!$B$5*(1-Assumptions!$B$13-((0*$B$226)+($A244*($B$227-$B$226)))/$B$227)))</f>
        <v>1.04580204949677</v>
      </c>
    </row>
    <row r="246" customFormat="false" ht="15" hidden="false" customHeight="true" outlineLevel="0" collapsed="false">
      <c r="A246" s="3" t="s">
        <v>1093</v>
      </c>
    </row>
    <row r="247" customFormat="false" ht="15" hidden="false" customHeight="true" outlineLevel="0" collapsed="false">
      <c r="A247" s="8" t="s">
        <v>1092</v>
      </c>
      <c r="B247" s="66" t="n">
        <v>1</v>
      </c>
      <c r="C247" s="66" t="n">
        <v>0.75</v>
      </c>
      <c r="D247" s="66" t="n">
        <v>0.5</v>
      </c>
      <c r="E247" s="66" t="n">
        <v>0.25</v>
      </c>
      <c r="F247" s="66" t="n">
        <v>0</v>
      </c>
    </row>
    <row r="248" customFormat="false" ht="15" hidden="false" customHeight="true" outlineLevel="0" collapsed="false">
      <c r="A248" s="17" t="n">
        <f aca="false">A231</f>
        <v>0.05</v>
      </c>
      <c r="B248" s="11" t="n">
        <f aca="false">B231-$B$224</f>
        <v>-0.00481151561993543</v>
      </c>
      <c r="C248" s="11" t="n">
        <f aca="false">C231-$B$224</f>
        <v>0.0206374956899845</v>
      </c>
      <c r="D248" s="11" t="n">
        <f aca="false">D231-$B$224</f>
        <v>0.0460865069999048</v>
      </c>
      <c r="E248" s="11" t="n">
        <f aca="false">E231-$B$224</f>
        <v>0.0715355183098249</v>
      </c>
      <c r="F248" s="11" t="n">
        <f aca="false">F231-$B$224</f>
        <v>0.096984529619745</v>
      </c>
    </row>
    <row r="249" customFormat="false" ht="15" hidden="false" customHeight="true" outlineLevel="0" collapsed="false">
      <c r="A249" s="17" t="n">
        <f aca="false">A232</f>
        <v>0.0475</v>
      </c>
      <c r="B249" s="11" t="n">
        <f aca="false">B232-$B$224</f>
        <v>-0.0023706396260843</v>
      </c>
      <c r="C249" s="11" t="n">
        <f aca="false">C232-$B$224</f>
        <v>0.0230783716838359</v>
      </c>
      <c r="D249" s="11" t="n">
        <f aca="false">D232-$B$224</f>
        <v>0.048527382993756</v>
      </c>
      <c r="E249" s="11" t="n">
        <f aca="false">E232-$B$224</f>
        <v>0.0739763943036761</v>
      </c>
      <c r="F249" s="11" t="n">
        <f aca="false">F232-$B$224</f>
        <v>0.0994254056135965</v>
      </c>
    </row>
    <row r="250" customFormat="false" ht="15" hidden="false" customHeight="true" outlineLevel="0" collapsed="false">
      <c r="A250" s="17" t="n">
        <f aca="false">A233</f>
        <v>0.045</v>
      </c>
      <c r="B250" s="11" t="n">
        <f aca="false">B233-$B$224</f>
        <v>7.02363677670403E-005</v>
      </c>
      <c r="C250" s="11" t="n">
        <f aca="false">C233-$B$224</f>
        <v>0.0255192476776869</v>
      </c>
      <c r="D250" s="11" t="n">
        <f aca="false">D233-$B$224</f>
        <v>0.0509682589876073</v>
      </c>
      <c r="E250" s="11" t="n">
        <f aca="false">E233-$B$224</f>
        <v>0.0764172702975275</v>
      </c>
      <c r="F250" s="11" t="n">
        <f aca="false">F233-$B$224</f>
        <v>0.101866281607447</v>
      </c>
    </row>
    <row r="251" customFormat="false" ht="15" hidden="false" customHeight="true" outlineLevel="0" collapsed="false">
      <c r="A251" s="17" t="n">
        <f aca="false">A234</f>
        <v>0.04</v>
      </c>
      <c r="B251" s="11" t="n">
        <f aca="false">B234-$B$224</f>
        <v>0.00495198835546939</v>
      </c>
      <c r="C251" s="11" t="n">
        <f aca="false">C234-$B$224</f>
        <v>0.0304009996653895</v>
      </c>
      <c r="D251" s="11" t="n">
        <f aca="false">D234-$B$224</f>
        <v>0.0558500109753097</v>
      </c>
      <c r="E251" s="11" t="n">
        <f aca="false">E234-$B$224</f>
        <v>0.0812990222852299</v>
      </c>
      <c r="F251" s="11" t="n">
        <f aca="false">F234-$B$224</f>
        <v>0.10674803359515</v>
      </c>
    </row>
    <row r="252" customFormat="false" ht="15" hidden="false" customHeight="true" outlineLevel="0" collapsed="false">
      <c r="A252" s="17" t="n">
        <f aca="false">A235</f>
        <v>0.035</v>
      </c>
      <c r="B252" s="11" t="n">
        <f aca="false">B235-$B$224</f>
        <v>0.00983374034317197</v>
      </c>
      <c r="C252" s="11" t="n">
        <f aca="false">C235-$B$224</f>
        <v>0.0352827516530921</v>
      </c>
      <c r="D252" s="11" t="n">
        <f aca="false">D235-$B$224</f>
        <v>0.0607317629630122</v>
      </c>
      <c r="E252" s="11" t="n">
        <f aca="false">E235-$B$224</f>
        <v>0.0861807742729324</v>
      </c>
      <c r="F252" s="11" t="n">
        <f aca="false">F235-$B$224</f>
        <v>0.111629785582853</v>
      </c>
    </row>
    <row r="253" customFormat="false" ht="15" hidden="false" customHeight="true" outlineLevel="0" collapsed="false">
      <c r="A253" s="17" t="n">
        <f aca="false">A236</f>
        <v>0.03</v>
      </c>
      <c r="B253" s="11" t="n">
        <f aca="false">B236-$B$224</f>
        <v>0.0147154923308744</v>
      </c>
      <c r="C253" s="11" t="n">
        <f aca="false">C236-$B$224</f>
        <v>0.0401645036407945</v>
      </c>
      <c r="D253" s="11" t="n">
        <f aca="false">D236-$B$224</f>
        <v>0.0656135149507147</v>
      </c>
      <c r="E253" s="11" t="n">
        <f aca="false">E236-$B$224</f>
        <v>0.0910625262606348</v>
      </c>
      <c r="F253" s="11" t="n">
        <f aca="false">F236-$B$224</f>
        <v>0.116511537570555</v>
      </c>
    </row>
    <row r="254" customFormat="false" ht="15" hidden="false" customHeight="true" outlineLevel="0" collapsed="false">
      <c r="A254" s="17" t="n">
        <f aca="false">A237</f>
        <v>0.025</v>
      </c>
      <c r="B254" s="11" t="n">
        <f aca="false">B237-$B$224</f>
        <v>0.0195972443185768</v>
      </c>
      <c r="C254" s="11" t="n">
        <f aca="false">C237-$B$224</f>
        <v>0.045046255628497</v>
      </c>
      <c r="D254" s="11" t="n">
        <f aca="false">D237-$B$224</f>
        <v>0.070495266938417</v>
      </c>
      <c r="E254" s="11" t="n">
        <f aca="false">E237-$B$224</f>
        <v>0.0959442782483373</v>
      </c>
      <c r="F254" s="11" t="n">
        <f aca="false">F237-$B$224</f>
        <v>0.121393289558257</v>
      </c>
    </row>
    <row r="255" customFormat="false" ht="15" hidden="false" customHeight="true" outlineLevel="0" collapsed="false">
      <c r="A255" s="17" t="n">
        <f aca="false">A238</f>
        <v>0.02</v>
      </c>
      <c r="B255" s="11" t="n">
        <f aca="false">B238-$B$224</f>
        <v>0.0244789963062795</v>
      </c>
      <c r="C255" s="11" t="n">
        <f aca="false">C238-$B$224</f>
        <v>0.0499280076161993</v>
      </c>
      <c r="D255" s="11" t="n">
        <f aca="false">D238-$B$224</f>
        <v>0.0753770189261197</v>
      </c>
      <c r="E255" s="11" t="n">
        <f aca="false">E238-$B$224</f>
        <v>0.10082603023604</v>
      </c>
      <c r="F255" s="11" t="n">
        <f aca="false">F238-$B$224</f>
        <v>0.12627504154596</v>
      </c>
    </row>
    <row r="256" customFormat="false" ht="15" hidden="false" customHeight="true" outlineLevel="0" collapsed="false">
      <c r="A256" s="17" t="n">
        <f aca="false">A239</f>
        <v>0.015</v>
      </c>
      <c r="B256" s="11" t="n">
        <f aca="false">B239-$B$224</f>
        <v>0.0293607482939818</v>
      </c>
      <c r="C256" s="11" t="n">
        <f aca="false">C239-$B$224</f>
        <v>0.054809759603902</v>
      </c>
      <c r="D256" s="11" t="n">
        <f aca="false">D239-$B$224</f>
        <v>0.0802587709138222</v>
      </c>
      <c r="E256" s="11" t="n">
        <f aca="false">E239-$B$224</f>
        <v>0.105707782223742</v>
      </c>
      <c r="F256" s="11" t="n">
        <f aca="false">F239-$B$224</f>
        <v>0.131156793533662</v>
      </c>
    </row>
    <row r="257" customFormat="false" ht="15" hidden="false" customHeight="true" outlineLevel="0" collapsed="false">
      <c r="A257" s="17" t="n">
        <f aca="false">A240</f>
        <v>0.01</v>
      </c>
      <c r="B257" s="11" t="n">
        <f aca="false">B240-$B$224</f>
        <v>0.0342425002816842</v>
      </c>
      <c r="C257" s="11" t="n">
        <f aca="false">C240-$B$224</f>
        <v>0.0596915115916045</v>
      </c>
      <c r="D257" s="11" t="n">
        <f aca="false">D240-$B$224</f>
        <v>0.0851405229015246</v>
      </c>
      <c r="E257" s="11" t="n">
        <f aca="false">E240-$B$224</f>
        <v>0.110589534211445</v>
      </c>
      <c r="F257" s="11" t="n">
        <f aca="false">F240-$B$224</f>
        <v>0.136038545521365</v>
      </c>
    </row>
    <row r="258" customFormat="false" ht="15" hidden="false" customHeight="true" outlineLevel="0" collapsed="false">
      <c r="A258" s="17" t="n">
        <f aca="false">A241</f>
        <v>0.0075</v>
      </c>
      <c r="B258" s="11" t="n">
        <f aca="false">B241-$B$224</f>
        <v>0.0366833762755356</v>
      </c>
      <c r="C258" s="11" t="n">
        <f aca="false">C241-$B$224</f>
        <v>0.0621323875854555</v>
      </c>
      <c r="D258" s="11" t="n">
        <f aca="false">D241-$B$224</f>
        <v>0.0875813988953758</v>
      </c>
      <c r="E258" s="11" t="n">
        <f aca="false">E241-$B$224</f>
        <v>0.113030410205296</v>
      </c>
      <c r="F258" s="11" t="n">
        <f aca="false">F241-$B$224</f>
        <v>0.138479421515216</v>
      </c>
    </row>
    <row r="259" customFormat="false" ht="15" hidden="false" customHeight="true" outlineLevel="0" collapsed="false">
      <c r="A259" s="17" t="n">
        <f aca="false">A242</f>
        <v>0.005</v>
      </c>
      <c r="B259" s="11" t="n">
        <f aca="false">B242-$B$224</f>
        <v>0.0391242522693867</v>
      </c>
      <c r="C259" s="11" t="n">
        <f aca="false">C242-$B$224</f>
        <v>0.0645732635793068</v>
      </c>
      <c r="D259" s="11" t="n">
        <f aca="false">D242-$B$224</f>
        <v>0.090022274889227</v>
      </c>
      <c r="E259" s="11" t="n">
        <f aca="false">E242-$B$224</f>
        <v>0.115471286199147</v>
      </c>
      <c r="F259" s="11" t="n">
        <f aca="false">F242-$B$224</f>
        <v>0.140920297509067</v>
      </c>
    </row>
    <row r="260" customFormat="false" ht="15" hidden="false" customHeight="true" outlineLevel="0" collapsed="false">
      <c r="A260" s="17" t="n">
        <f aca="false">A243</f>
        <v>0.0025</v>
      </c>
      <c r="B260" s="11" t="n">
        <f aca="false">B243-$B$224</f>
        <v>0.0415651282632379</v>
      </c>
      <c r="C260" s="11" t="n">
        <f aca="false">C243-$B$224</f>
        <v>0.0670141395731582</v>
      </c>
      <c r="D260" s="11" t="n">
        <f aca="false">D243-$B$224</f>
        <v>0.0924631508830783</v>
      </c>
      <c r="E260" s="11" t="n">
        <f aca="false">E243-$B$224</f>
        <v>0.117912162192999</v>
      </c>
      <c r="F260" s="11" t="n">
        <f aca="false">F243-$B$224</f>
        <v>0.143361173502918</v>
      </c>
    </row>
    <row r="261" customFormat="false" ht="15" hidden="false" customHeight="true" outlineLevel="0" collapsed="false">
      <c r="A261" s="17" t="n">
        <f aca="false">A244</f>
        <v>0</v>
      </c>
      <c r="B261" s="11" t="n">
        <f aca="false">B244-$B$224</f>
        <v>0.0440060042570891</v>
      </c>
      <c r="C261" s="11" t="n">
        <f aca="false">C244-$B$224</f>
        <v>0.0694550155670093</v>
      </c>
      <c r="D261" s="11" t="n">
        <f aca="false">D244-$B$224</f>
        <v>0.0949040268769295</v>
      </c>
      <c r="E261" s="11" t="n">
        <f aca="false">E244-$B$224</f>
        <v>0.12035303818685</v>
      </c>
      <c r="F261" s="11" t="n">
        <f aca="false">F244-$B$224</f>
        <v>0.14580204949677</v>
      </c>
    </row>
    <row r="263" customFormat="false" ht="15" hidden="false" customHeight="true" outlineLevel="0" collapsed="false">
      <c r="A263" s="7" t="s">
        <v>1094</v>
      </c>
    </row>
    <row r="265" customFormat="false" ht="15" hidden="false" customHeight="true" outlineLevel="0" collapsed="false">
      <c r="A265" s="6" t="s">
        <v>1095</v>
      </c>
    </row>
    <row r="266" customFormat="false" ht="15" hidden="false" customHeight="true" outlineLevel="0" collapsed="false">
      <c r="A266" s="1" t="s">
        <v>1096</v>
      </c>
      <c r="B266" s="68" t="n">
        <v>1</v>
      </c>
    </row>
    <row r="267" customFormat="false" ht="15" hidden="false" customHeight="true" outlineLevel="0" collapsed="false">
      <c r="A267" s="1" t="s">
        <v>1097</v>
      </c>
      <c r="B267" s="69" t="n">
        <v>0.01</v>
      </c>
    </row>
    <row r="268" customFormat="false" ht="15" hidden="false" customHeight="true" outlineLevel="0" collapsed="false">
      <c r="A268" s="1" t="s">
        <v>767</v>
      </c>
      <c r="B268" s="39" t="n">
        <f aca="false">SUM(L15:L70)/Pricing!B5</f>
        <v>0.103473465930483</v>
      </c>
    </row>
    <row r="269" customFormat="false" ht="15" hidden="false" customHeight="true" outlineLevel="0" collapsed="false">
      <c r="A269" s="1" t="s">
        <v>1022</v>
      </c>
      <c r="B269" s="50" t="n">
        <f aca="false">(Pricing!$B$8+Pricing!$B$9)/(Pricing!$B$5*(1-Assumptions!$B$13-$B$268))</f>
        <v>11801.2188424294</v>
      </c>
    </row>
    <row r="270" customFormat="false" ht="15" hidden="false" customHeight="true" outlineLevel="0" collapsed="false">
      <c r="A270" s="1" t="s">
        <v>1023</v>
      </c>
      <c r="B270" s="59" t="n">
        <f aca="false">$B$225/$B$269</f>
        <v>0.934242500281684</v>
      </c>
    </row>
    <row r="271" customFormat="false" ht="15" hidden="false" customHeight="true" outlineLevel="0" collapsed="false">
      <c r="A271" s="1" t="s">
        <v>1098</v>
      </c>
      <c r="B271" s="70" t="n">
        <f aca="false">$B$270-$B$224</f>
        <v>0.0342425002816842</v>
      </c>
    </row>
    <row r="272" customFormat="false" ht="15" hidden="false" customHeight="true" outlineLevel="0" collapsed="false">
      <c r="A272" s="1" t="s">
        <v>1099</v>
      </c>
      <c r="B272" s="48" t="n">
        <f aca="false">$B$269-Pricing!B14</f>
        <v>-514.846868980787</v>
      </c>
    </row>
    <row r="274" customFormat="false" ht="15" hidden="false" customHeight="true" outlineLevel="0" collapsed="false">
      <c r="A274" s="3" t="s">
        <v>1100</v>
      </c>
    </row>
    <row r="275" customFormat="false" ht="15" hidden="false" customHeight="true" outlineLevel="0" collapsed="false">
      <c r="A275" s="7" t="s">
        <v>1101</v>
      </c>
    </row>
    <row r="276" customFormat="false" ht="15" hidden="false" customHeight="true" outlineLevel="0" collapsed="false">
      <c r="B276" s="8" t="s">
        <v>828</v>
      </c>
      <c r="C276" s="8" t="s">
        <v>829</v>
      </c>
      <c r="D276" s="8" t="s">
        <v>830</v>
      </c>
      <c r="E276" s="8" t="s">
        <v>831</v>
      </c>
      <c r="F276" s="8" t="s">
        <v>832</v>
      </c>
    </row>
    <row r="277" customFormat="false" ht="15" hidden="false" customHeight="true" outlineLevel="0" collapsed="false">
      <c r="A277" s="1" t="s">
        <v>1102</v>
      </c>
      <c r="B277" s="12" t="n">
        <f aca="false">($B$269*(SUMIFS(Projection!$I$4:$I$59,Projection!$B$4:$B$59,"&lt;"&amp;(Assumptions!$B$4+0))-SUMIFS($L$15:$L$70,$A$15:$A$70,"&lt;"&amp;(Assumptions!$B$4+0)))-SUMIFS(Projection!$L$4:$L$59,Projection!$B$4:$B$59,"&lt;"&amp;(Assumptions!$B$4+0))-SUMIFS(Projection!$K$4:$K$59,Projection!$B$4:$B$59,"&lt;"&amp;(Assumptions!$B$4+0)))/Discount!C4</f>
        <v>0</v>
      </c>
      <c r="C277" s="12" t="n">
        <f aca="false">($B$269*(SUMIFS(Projection!$I$4:$I$59,Projection!$B$4:$B$59,"&lt;"&amp;(Assumptions!$B$4+5))-SUMIFS($L$15:$L$70,$A$15:$A$70,"&lt;"&amp;(Assumptions!$B$4+5)))-SUMIFS(Projection!$L$4:$L$59,Projection!$B$4:$B$59,"&lt;"&amp;(Assumptions!$B$4+5))-SUMIFS(Projection!$K$4:$K$59,Projection!$B$4:$B$59,"&lt;"&amp;(Assumptions!$B$4+5)))/Discount!C9</f>
        <v>45654.3301522227</v>
      </c>
      <c r="D277" s="12" t="n">
        <f aca="false">($B$269*(SUMIFS(Projection!$I$4:$I$59,Projection!$B$4:$B$59,"&lt;"&amp;(Assumptions!$B$4+10))-SUMIFS($L$15:$L$70,$A$15:$A$70,"&lt;"&amp;(Assumptions!$B$4+10)))-SUMIFS(Projection!$L$4:$L$59,Projection!$B$4:$B$59,"&lt;"&amp;(Assumptions!$B$4+10))-SUMIFS(Projection!$K$4:$K$59,Projection!$B$4:$B$59,"&lt;"&amp;(Assumptions!$B$4+10)))/Discount!C14</f>
        <v>107131.316366235</v>
      </c>
      <c r="E277" s="12" t="n">
        <f aca="false">($B$269*(SUMIFS(Projection!$I$4:$I$59,Projection!$B$4:$B$59,"&lt;"&amp;(Assumptions!$B$4+15))-SUMIFS($L$15:$L$70,$A$15:$A$70,"&lt;"&amp;(Assumptions!$B$4+15)))-SUMIFS(Projection!$L$4:$L$59,Projection!$B$4:$B$59,"&lt;"&amp;(Assumptions!$B$4+15))-SUMIFS(Projection!$K$4:$K$59,Projection!$B$4:$B$59,"&lt;"&amp;(Assumptions!$B$4+15)))/Discount!C19</f>
        <v>175716.500435768</v>
      </c>
      <c r="F277" s="12" t="n">
        <f aca="false">($B$269*(SUMIFS(Projection!$I$4:$I$59,Projection!$B$4:$B$59,"&lt;"&amp;(Assumptions!$B$4+20))-SUMIFS($L$15:$L$70,$A$15:$A$70,"&lt;"&amp;(Assumptions!$B$4+20)))-SUMIFS(Projection!$L$4:$L$59,Projection!$B$4:$B$59,"&lt;"&amp;(Assumptions!$B$4+20))-SUMIFS(Projection!$K$4:$K$59,Projection!$B$4:$B$59,"&lt;"&amp;(Assumptions!$B$4+20)))/Discount!C24</f>
        <v>126859.904859963</v>
      </c>
    </row>
    <row r="278" customFormat="false" ht="15" hidden="false" customHeight="true" outlineLevel="0" collapsed="false">
      <c r="A278" s="1" t="s">
        <v>1103</v>
      </c>
      <c r="B278" s="12" t="n">
        <f aca="false">(SUMIFS(Projection!$L$4:$L$59,Projection!$B$4:$B$59,"&gt;="&amp;(Assumptions!$B$4+0))+$B$269*SUMIFS($L$15:$L$70,$A$15:$A$70,"&gt;="&amp;(Assumptions!$B$4+0))-$B$269*SUMIFS(Projection!$I$4:$I$59,Projection!$B$4:$B$59,"&gt;="&amp;(Assumptions!$B$4+0))+SUMIFS(Projection!$K$4:$K$59,Projection!$B$4:$B$59,"&gt;="&amp;(Assumptions!$B$4+0)))/Discount!C4</f>
        <v>-3749.68656753161</v>
      </c>
      <c r="C278" s="12" t="n">
        <f aca="false">(SUMIFS(Projection!$L$4:$L$59,Projection!$B$4:$B$59,"&gt;="&amp;(Assumptions!$B$4+5))+$B$269*SUMIFS($L$15:$L$70,$A$15:$A$70,"&gt;="&amp;(Assumptions!$B$4+5))-$B$269*SUMIFS(Projection!$I$4:$I$59,Projection!$B$4:$B$59,"&gt;="&amp;(Assumptions!$B$4+5))+SUMIFS(Projection!$K$4:$K$59,Projection!$B$4:$B$59,"&gt;="&amp;(Assumptions!$B$4+5)))/Discount!C9</f>
        <v>41376.8143067398</v>
      </c>
      <c r="D278" s="12" t="n">
        <f aca="false">(SUMIFS(Projection!$L$4:$L$59,Projection!$B$4:$B$59,"&gt;="&amp;(Assumptions!$B$4+10))+$B$269*SUMIFS($L$15:$L$70,$A$15:$A$70,"&gt;="&amp;(Assumptions!$B$4+10))-$B$269*SUMIFS(Projection!$I$4:$I$59,Projection!$B$4:$B$59,"&gt;="&amp;(Assumptions!$B$4+10))+SUMIFS(Projection!$K$4:$K$59,Projection!$B$4:$B$59,"&gt;="&amp;(Assumptions!$B$4+10)))/Discount!C14</f>
        <v>102135.425414498</v>
      </c>
      <c r="E278" s="12" t="n">
        <f aca="false">(SUMIFS(Projection!$L$4:$L$59,Projection!$B$4:$B$59,"&gt;="&amp;(Assumptions!$B$4+15))+$B$269*SUMIFS($L$15:$L$70,$A$15:$A$70,"&gt;="&amp;(Assumptions!$B$4+15))-$B$269*SUMIFS(Projection!$I$4:$I$59,Projection!$B$4:$B$59,"&gt;="&amp;(Assumptions!$B$4+15))+SUMIFS(Projection!$K$4:$K$59,Projection!$B$4:$B$59,"&gt;="&amp;(Assumptions!$B$4+15)))/Discount!C19</f>
        <v>169782.914600927</v>
      </c>
      <c r="F278" s="12" t="n">
        <f aca="false">(SUMIFS(Projection!$L$4:$L$59,Projection!$B$4:$B$59,"&gt;="&amp;(Assumptions!$B$4+20))+$B$269*SUMIFS($L$15:$L$70,$A$15:$A$70,"&gt;="&amp;(Assumptions!$B$4+20))-$B$269*SUMIFS(Projection!$I$4:$I$59,Projection!$B$4:$B$59,"&gt;="&amp;(Assumptions!$B$4+20))+SUMIFS(Projection!$K$4:$K$59,Projection!$B$4:$B$59,"&gt;="&amp;(Assumptions!$B$4+20)))/Discount!C24</f>
        <v>119861.817053451</v>
      </c>
    </row>
    <row r="279" customFormat="false" ht="15" hidden="false" customHeight="true" outlineLevel="0" collapsed="false">
      <c r="A279" s="1" t="s">
        <v>791</v>
      </c>
      <c r="B279" s="12" t="n">
        <f aca="false">B277-B278</f>
        <v>3749.68656753161</v>
      </c>
      <c r="C279" s="12" t="n">
        <f aca="false">C277-C278</f>
        <v>4277.51584548299</v>
      </c>
      <c r="D279" s="12" t="n">
        <f aca="false">D277-D278</f>
        <v>4995.89095173791</v>
      </c>
      <c r="E279" s="12" t="n">
        <f aca="false">E277-E278</f>
        <v>5933.5858348406</v>
      </c>
      <c r="F279" s="12" t="n">
        <f aca="false">F277-F278</f>
        <v>6998.08780651212</v>
      </c>
    </row>
    <row r="280" customFormat="false" ht="15" hidden="false" customHeight="true" outlineLevel="0" collapsed="false">
      <c r="A280" s="1" t="s">
        <v>1104</v>
      </c>
      <c r="B280" s="12" t="n">
        <f aca="false">MAX(0,(OwnFunds_SCR!B23+OwnFunds_SCR!B30-B279)/Projection!F4)</f>
        <v>33670.6180352674</v>
      </c>
      <c r="C280" s="12" t="n">
        <f aca="false">MAX(0,(OwnFunds_SCR!C23+OwnFunds_SCR!C30-C279)/Projection!F9)</f>
        <v>36728.0564692612</v>
      </c>
      <c r="D280" s="12" t="n">
        <f aca="false">MAX(0,(OwnFunds_SCR!D23+OwnFunds_SCR!D30-D279)/Projection!F14)</f>
        <v>37019.7814308676</v>
      </c>
      <c r="E280" s="12" t="n">
        <f aca="false">MAX(0,(OwnFunds_SCR!E23+OwnFunds_SCR!E30-E279)/Projection!F19)</f>
        <v>34656.4655782241</v>
      </c>
      <c r="F280" s="12" t="n">
        <f aca="false">MAX(0,(OwnFunds_SCR!F23+OwnFunds_SCR!F30-F279)/Projection!F24)</f>
        <v>28251.7658746032</v>
      </c>
    </row>
    <row r="282" customFormat="false" ht="15" hidden="false" customHeight="true" outlineLevel="0" collapsed="false">
      <c r="A282" s="3" t="s">
        <v>1105</v>
      </c>
      <c r="B282" s="57" t="n">
        <f aca="false">MAX(J326:J381)</f>
        <v>37031.5635173234</v>
      </c>
    </row>
    <row r="283" customFormat="false" ht="15" hidden="false" customHeight="true" outlineLevel="0" collapsed="false">
      <c r="A283" s="1" t="s">
        <v>1106</v>
      </c>
      <c r="B283" s="12" t="n">
        <f aca="false">Trajectory!$B$164</f>
        <v>36779.6909834719</v>
      </c>
    </row>
    <row r="284" customFormat="false" ht="15" hidden="false" customHeight="true" outlineLevel="0" collapsed="false">
      <c r="A284" s="1" t="s">
        <v>1107</v>
      </c>
      <c r="B284" s="58" t="n">
        <f aca="false">$B$282-$B$283</f>
        <v>251.872533851551</v>
      </c>
    </row>
    <row r="286" customFormat="false" ht="15" hidden="false" customHeight="true" outlineLevel="0" collapsed="false">
      <c r="A286" s="6" t="s">
        <v>1108</v>
      </c>
    </row>
    <row r="287" customFormat="false" ht="15" hidden="false" customHeight="true" outlineLevel="0" collapsed="false">
      <c r="A287" s="3" t="s">
        <v>1109</v>
      </c>
    </row>
    <row r="289" customFormat="false" ht="15" hidden="false" customHeight="true" outlineLevel="0" collapsed="false">
      <c r="A289" s="6" t="s">
        <v>1110</v>
      </c>
    </row>
    <row r="290" customFormat="false" ht="15" hidden="false" customHeight="true" outlineLevel="0" collapsed="false">
      <c r="A290" s="7" t="s">
        <v>1111</v>
      </c>
    </row>
    <row r="291" customFormat="false" ht="15" hidden="false" customHeight="true" outlineLevel="0" collapsed="false">
      <c r="A291" s="7" t="s">
        <v>1112</v>
      </c>
    </row>
    <row r="293" customFormat="false" ht="15" hidden="false" customHeight="true" outlineLevel="0" collapsed="false">
      <c r="A293" s="1" t="s">
        <v>1113</v>
      </c>
      <c r="B293" s="11" t="n">
        <f aca="false">($B$282-$B$283)/($B$269-Pricing!B14)</f>
        <v>-0.489218346321438</v>
      </c>
    </row>
    <row r="295" customFormat="false" ht="15" hidden="false" customHeight="true" outlineLevel="0" collapsed="false">
      <c r="A295" s="8" t="s">
        <v>964</v>
      </c>
      <c r="B295" s="8" t="s">
        <v>1114</v>
      </c>
      <c r="C295" s="8" t="s">
        <v>1115</v>
      </c>
      <c r="D295" s="8" t="s">
        <v>1068</v>
      </c>
      <c r="E295" s="8" t="s">
        <v>1069</v>
      </c>
      <c r="F295" s="8" t="s">
        <v>1116</v>
      </c>
      <c r="G295" s="8" t="s">
        <v>1117</v>
      </c>
      <c r="H295" s="8" t="s">
        <v>1118</v>
      </c>
      <c r="I295" s="8" t="s">
        <v>1078</v>
      </c>
    </row>
    <row r="296" customFormat="false" ht="15" hidden="false" customHeight="true" outlineLevel="0" collapsed="false">
      <c r="A296" s="71" t="n">
        <v>1</v>
      </c>
      <c r="B296" s="17" t="n">
        <v>0.05</v>
      </c>
      <c r="C296" s="39" t="n">
        <f aca="false">((1*$B$226)+(0.05*($B$227-$B$226)))/$B$227</f>
        <v>0.139696760236322</v>
      </c>
      <c r="D296" s="48" t="n">
        <f aca="false">(Pricing!$B$8+Pricing!$B$9)/(Pricing!$B$5*(1-Assumptions!$B$13-C296))</f>
        <v>12316.0657114102</v>
      </c>
      <c r="E296" s="11" t="n">
        <f aca="false">$B$225/D296</f>
        <v>0.895188484380065</v>
      </c>
      <c r="F296" s="11" t="n">
        <f aca="false">E296-$B$224</f>
        <v>-0.00481151561993543</v>
      </c>
      <c r="G296" s="12" t="n">
        <f aca="false">$B$283+$B$293*(D296-Pricing!B14)</f>
        <v>36779.6909834719</v>
      </c>
      <c r="H296" s="12" t="n">
        <f aca="false">G296-$B$283</f>
        <v>0</v>
      </c>
      <c r="I296" s="5" t="str">
        <f aca="false">IF(F296&lt;=0,"outside the constraint",IF(F296&lt;0.01,"on the boundary","clear of the boundary"))</f>
        <v>outside the constraint</v>
      </c>
      <c r="J296" s="7" t="s">
        <v>1119</v>
      </c>
    </row>
    <row r="297" customFormat="false" ht="15" hidden="false" customHeight="true" outlineLevel="0" collapsed="false">
      <c r="A297" s="71" t="n">
        <v>1</v>
      </c>
      <c r="B297" s="17" t="n">
        <v>0.045</v>
      </c>
      <c r="C297" s="39" t="n">
        <f aca="false">((1*$B$226)+(0.045*($B$227-$B$226)))/$B$227</f>
        <v>0.135168848448092</v>
      </c>
      <c r="D297" s="48" t="n">
        <f aca="false">(Pricing!$B$8+Pricing!$B$9)/(Pricing!$B$5*(1-Assumptions!$B$13-C297))</f>
        <v>12249.2665041506</v>
      </c>
      <c r="E297" s="11" t="n">
        <f aca="false">$B$225/D297</f>
        <v>0.900070236367767</v>
      </c>
      <c r="F297" s="11" t="n">
        <f aca="false">E297-$B$224</f>
        <v>7.02363677670403E-005</v>
      </c>
      <c r="G297" s="12" t="n">
        <f aca="false">$B$283+$B$293*(D297-Pricing!B14)</f>
        <v>36812.370381183</v>
      </c>
      <c r="H297" s="12" t="n">
        <f aca="false">G297-$B$283</f>
        <v>32.6793977111374</v>
      </c>
      <c r="I297" s="5" t="str">
        <f aca="false">IF(F297&lt;=0,"outside the constraint",IF(F297&lt;0.01,"on the boundary","clear of the boundary"))</f>
        <v>on the boundary</v>
      </c>
      <c r="J297" s="7" t="s">
        <v>1120</v>
      </c>
    </row>
    <row r="298" customFormat="false" ht="15" hidden="false" customHeight="true" outlineLevel="0" collapsed="false">
      <c r="A298" s="71" t="n">
        <v>1</v>
      </c>
      <c r="B298" s="17" t="n">
        <v>0.03</v>
      </c>
      <c r="C298" s="39" t="n">
        <f aca="false">((1*$B$226)+(0.03*($B$227-$B$226)))/$B$227</f>
        <v>0.121585113083402</v>
      </c>
      <c r="D298" s="48" t="n">
        <f aca="false">(Pricing!$B$8+Pricing!$B$9)/(Pricing!$B$5*(1-Assumptions!$B$13-C298))</f>
        <v>12053.1468966686</v>
      </c>
      <c r="E298" s="11" t="n">
        <f aca="false">$B$225/D298</f>
        <v>0.914715492330875</v>
      </c>
      <c r="F298" s="11" t="n">
        <f aca="false">E298-$B$224</f>
        <v>0.0147154923308744</v>
      </c>
      <c r="G298" s="12" t="n">
        <f aca="false">$B$283+$B$293*(D298-Pricing!B14)</f>
        <v>36908.3156912365</v>
      </c>
      <c r="H298" s="12" t="n">
        <f aca="false">G298-$B$283</f>
        <v>128.624707764677</v>
      </c>
      <c r="I298" s="5" t="str">
        <f aca="false">IF(F298&lt;=0,"outside the constraint",IF(F298&lt;0.01,"on the boundary","clear of the boundary"))</f>
        <v>clear of the boundary</v>
      </c>
    </row>
    <row r="299" customFormat="false" ht="15" hidden="false" customHeight="true" outlineLevel="0" collapsed="false">
      <c r="A299" s="71" t="n">
        <v>1</v>
      </c>
      <c r="B299" s="17" t="n">
        <v>0.02</v>
      </c>
      <c r="C299" s="39" t="n">
        <f aca="false">((1*$B$226)+(0.02*($B$227-$B$226)))/$B$227</f>
        <v>0.112529289506943</v>
      </c>
      <c r="D299" s="48" t="n">
        <f aca="false">(Pricing!$B$8+Pricing!$B$9)/(Pricing!$B$5*(1-Assumptions!$B$13-C299))</f>
        <v>11925.8525523818</v>
      </c>
      <c r="E299" s="11" t="n">
        <f aca="false">$B$225/D299</f>
        <v>0.92447899630628</v>
      </c>
      <c r="F299" s="11" t="n">
        <f aca="false">E299-$B$224</f>
        <v>0.0244789963062795</v>
      </c>
      <c r="G299" s="12" t="n">
        <f aca="false">$B$283+$B$293*(D299-Pricing!B14)</f>
        <v>36970.5904198446</v>
      </c>
      <c r="H299" s="12" t="n">
        <f aca="false">G299-$B$283</f>
        <v>190.899436372754</v>
      </c>
      <c r="I299" s="5" t="str">
        <f aca="false">IF(F299&lt;=0,"outside the constraint",IF(F299&lt;0.01,"on the boundary","clear of the boundary"))</f>
        <v>clear of the boundary</v>
      </c>
    </row>
    <row r="300" customFormat="false" ht="15" hidden="false" customHeight="true" outlineLevel="0" collapsed="false">
      <c r="A300" s="68" t="n">
        <v>1</v>
      </c>
      <c r="B300" s="69" t="n">
        <v>0.01</v>
      </c>
      <c r="C300" s="39" t="n">
        <f aca="false">((1*$B$226)+(0.01*($B$227-$B$226)))/$B$227</f>
        <v>0.103473465930483</v>
      </c>
      <c r="D300" s="48" t="n">
        <f aca="false">(Pricing!$B$8+Pricing!$B$9)/(Pricing!$B$5*(1-Assumptions!$B$13-C300))</f>
        <v>11801.2188424294</v>
      </c>
      <c r="E300" s="11" t="n">
        <f aca="false">$B$225/D300</f>
        <v>0.934242500281684</v>
      </c>
      <c r="F300" s="11" t="n">
        <f aca="false">E300-$B$224</f>
        <v>0.0342425002816842</v>
      </c>
      <c r="G300" s="12" t="n">
        <f aca="false">$B$283+$B$293*(D300-Pricing!B14)</f>
        <v>37031.5635173234</v>
      </c>
      <c r="H300" s="12" t="n">
        <f aca="false">G300-$B$283</f>
        <v>251.872533851551</v>
      </c>
      <c r="I300" s="5" t="str">
        <f aca="false">IF(F300&lt;=0,"outside the constraint",IF(F300&lt;0.01,"on the boundary","clear of the boundary"))</f>
        <v>clear of the boundary</v>
      </c>
      <c r="J300" s="3" t="s">
        <v>1121</v>
      </c>
    </row>
    <row r="301" customFormat="false" ht="15" hidden="false" customHeight="true" outlineLevel="0" collapsed="false">
      <c r="A301" s="71" t="n">
        <v>1</v>
      </c>
      <c r="B301" s="17" t="n">
        <v>0.005</v>
      </c>
      <c r="C301" s="39" t="n">
        <f aca="false">((1*$B$226)+(0.005*($B$227-$B$226)))/$B$227</f>
        <v>0.0989455541422529</v>
      </c>
      <c r="D301" s="48" t="n">
        <f aca="false">(Pricing!$B$8+Pricing!$B$9)/(Pricing!$B$5*(1-Assumptions!$B$13-C301))</f>
        <v>11739.8737931432</v>
      </c>
      <c r="E301" s="11" t="n">
        <f aca="false">$B$225/D301</f>
        <v>0.939124252269387</v>
      </c>
      <c r="F301" s="11" t="n">
        <f aca="false">E301-$B$224</f>
        <v>0.0391242522693867</v>
      </c>
      <c r="G301" s="12" t="n">
        <f aca="false">$B$283+$B$293*(D301-Pricing!B14)</f>
        <v>37061.5746408902</v>
      </c>
      <c r="H301" s="12" t="n">
        <f aca="false">G301-$B$283</f>
        <v>281.883657418359</v>
      </c>
      <c r="I301" s="5" t="str">
        <f aca="false">IF(F301&lt;=0,"outside the constraint",IF(F301&lt;0.01,"on the boundary","clear of the boundary"))</f>
        <v>clear of the boundary</v>
      </c>
    </row>
    <row r="302" customFormat="false" ht="15" hidden="false" customHeight="true" outlineLevel="0" collapsed="false">
      <c r="A302" s="71" t="n">
        <v>0.5</v>
      </c>
      <c r="B302" s="17" t="n">
        <v>0.025</v>
      </c>
      <c r="C302" s="39" t="n">
        <f aca="false">((0.5*$B$226)+(0.025*($B$227-$B$226)))/$B$227</f>
        <v>0.0698483801181609</v>
      </c>
      <c r="D302" s="48" t="n">
        <f aca="false">(Pricing!$B$8+Pricing!$B$9)/(Pricing!$B$5*(1-Assumptions!$B$13-C302))</f>
        <v>11360.3853344935</v>
      </c>
      <c r="E302" s="11" t="n">
        <f aca="false">$B$225/D302</f>
        <v>0.970495266938417</v>
      </c>
      <c r="F302" s="11" t="n">
        <f aca="false">E302-$B$224</f>
        <v>0.070495266938417</v>
      </c>
      <c r="G302" s="12" t="n">
        <f aca="false">$B$283+$B$293*(D302-Pricing!B14)</f>
        <v>37247.2273570789</v>
      </c>
      <c r="H302" s="12" t="n">
        <f aca="false">G302-$B$283</f>
        <v>467.536373607021</v>
      </c>
      <c r="I302" s="5" t="str">
        <f aca="false">IF(F302&lt;=0,"outside the constraint",IF(F302&lt;0.01,"on the boundary","clear of the boundary"))</f>
        <v>clear of the boundary</v>
      </c>
      <c r="J302" s="7" t="s">
        <v>1122</v>
      </c>
    </row>
    <row r="303" customFormat="false" ht="15" hidden="false" customHeight="true" outlineLevel="0" collapsed="false">
      <c r="A303" s="71" t="n">
        <v>0.5</v>
      </c>
      <c r="B303" s="17" t="n">
        <v>0.01</v>
      </c>
      <c r="C303" s="39" t="n">
        <f aca="false">((0.5*$B$226)+(0.01*($B$227-$B$226)))/$B$227</f>
        <v>0.0562646447534713</v>
      </c>
      <c r="D303" s="48" t="n">
        <f aca="false">(Pricing!$B$8+Pricing!$B$9)/(Pricing!$B$5*(1-Assumptions!$B$13-C303))</f>
        <v>11191.5000362082</v>
      </c>
      <c r="E303" s="11" t="n">
        <f aca="false">$B$225/D303</f>
        <v>0.985140522901525</v>
      </c>
      <c r="F303" s="11" t="n">
        <f aca="false">E303-$B$224</f>
        <v>0.0851405229015246</v>
      </c>
      <c r="G303" s="12" t="n">
        <f aca="false">$B$283+$B$293*(D303-Pricing!B14)</f>
        <v>37329.849143424</v>
      </c>
      <c r="H303" s="12" t="n">
        <f aca="false">G303-$B$283</f>
        <v>550.158159952174</v>
      </c>
      <c r="I303" s="5" t="str">
        <f aca="false">IF(F303&lt;=0,"outside the constraint",IF(F303&lt;0.01,"on the boundary","clear of the boundary"))</f>
        <v>clear of the boundary</v>
      </c>
    </row>
    <row r="305" customFormat="false" ht="15" hidden="false" customHeight="true" outlineLevel="0" collapsed="false">
      <c r="A305" s="6" t="s">
        <v>1123</v>
      </c>
    </row>
    <row r="306" customFormat="false" ht="15" hidden="false" customHeight="true" outlineLevel="0" collapsed="false">
      <c r="A306" s="3" t="s">
        <v>1124</v>
      </c>
    </row>
    <row r="307" customFormat="false" ht="15" hidden="false" customHeight="true" outlineLevel="0" collapsed="false">
      <c r="A307" s="3" t="s">
        <v>1125</v>
      </c>
    </row>
    <row r="309" customFormat="false" ht="15" hidden="false" customHeight="true" outlineLevel="0" collapsed="false">
      <c r="A309" s="7" t="s">
        <v>1126</v>
      </c>
    </row>
    <row r="310" customFormat="false" ht="15" hidden="false" customHeight="true" outlineLevel="0" collapsed="false">
      <c r="A310" s="7" t="s">
        <v>1127</v>
      </c>
    </row>
    <row r="320" customFormat="false" ht="15" hidden="false" customHeight="true" outlineLevel="0" collapsed="false">
      <c r="A320" s="1" t="s">
        <v>1128</v>
      </c>
    </row>
    <row r="321" customFormat="false" ht="15" hidden="false" customHeight="true" outlineLevel="0" collapsed="false">
      <c r="A321" s="1" t="s">
        <v>1129</v>
      </c>
    </row>
    <row r="322" customFormat="false" ht="15" hidden="false" customHeight="true" outlineLevel="0" collapsed="false">
      <c r="A322" s="1" t="s">
        <v>1130</v>
      </c>
    </row>
    <row r="323" customFormat="false" ht="15" hidden="false" customHeight="true" outlineLevel="0" collapsed="false">
      <c r="A323" s="1" t="s">
        <v>1131</v>
      </c>
    </row>
    <row r="325" customFormat="false" ht="15" hidden="false" customHeight="true" outlineLevel="0" collapsed="false">
      <c r="A325" s="1" t="s">
        <v>802</v>
      </c>
      <c r="B325" s="1" t="s">
        <v>463</v>
      </c>
      <c r="C325" s="1" t="s">
        <v>1132</v>
      </c>
      <c r="D325" s="1" t="s">
        <v>1133</v>
      </c>
      <c r="E325" s="1" t="s">
        <v>1134</v>
      </c>
      <c r="F325" s="1" t="s">
        <v>1135</v>
      </c>
      <c r="G325" s="1" t="s">
        <v>1136</v>
      </c>
      <c r="H325" s="1" t="s">
        <v>1137</v>
      </c>
      <c r="I325" s="1" t="s">
        <v>1138</v>
      </c>
      <c r="J325" s="1" t="s">
        <v>1139</v>
      </c>
      <c r="K325" s="1" t="s">
        <v>812</v>
      </c>
      <c r="L325" s="1" t="s">
        <v>1140</v>
      </c>
      <c r="M325" s="1" t="s">
        <v>693</v>
      </c>
    </row>
    <row r="326" customFormat="false" ht="15" hidden="false" customHeight="true" outlineLevel="0" collapsed="false">
      <c r="A326" s="1" t="n">
        <v>0</v>
      </c>
      <c r="B326" s="1" t="n">
        <f aca="false">Assumptions!$B$4+0</f>
        <v>65</v>
      </c>
      <c r="C326" s="1" t="n">
        <f aca="false">(Pricing!$B$14*(SUMIFS(Projection!$I$4:$I$59,Projection!$B$4:$B$59,"&lt;"&amp;(Assumptions!$B$4+0))-SUMIFS($G$15:$G$70,$A$15:$A$70,"&lt;"&amp;(Assumptions!$B$4+0)))-SUMIFS(Projection!$L$4:$L$59,Projection!$B$4:$B$59,"&lt;"&amp;(Assumptions!$B$4+0))-SUMIFS(Projection!$K$4:$K$59,Projection!$B$4:$B$59,"&lt;"&amp;(Assumptions!$B$4+0)))/Discount!C4</f>
        <v>0</v>
      </c>
      <c r="D326" s="1" t="n">
        <f aca="false">(SUMIFS(Projection!$L$4:$L$59,Projection!$B$4:$B$59,"&gt;="&amp;(Assumptions!$B$4+0))+Pricing!$B$14*SUMIFS($G$15:$G$70,$A$15:$A$70,"&gt;="&amp;(Assumptions!$B$4+0))-Pricing!$B$14*SUMIFS(Projection!$I$4:$I$59,Projection!$B$4:$B$59,"&gt;="&amp;(Assumptions!$B$4+0))+SUMIFS(Projection!$K$4:$K$59,Projection!$B$4:$B$59,"&gt;="&amp;(Assumptions!$B$4+0)))/Discount!C4</f>
        <v>-3913.27258476669</v>
      </c>
      <c r="E326" s="1" t="n">
        <f aca="false">C326-D326</f>
        <v>3913.27258476669</v>
      </c>
      <c r="F326" s="1" t="n">
        <f aca="false">IF(M326&lt;=0,0,MAX(0,(K326+L326-E326)/M326))</f>
        <v>33507.0320180323</v>
      </c>
      <c r="G326" s="1" t="n">
        <f aca="false">($B$269*(SUMIFS(Projection!$I$4:$I$59,Projection!$B$4:$B$59,"&lt;"&amp;(Assumptions!$B$4+0))-SUMIFS($L$15:$L$70,$A$15:$A$70,"&lt;"&amp;(Assumptions!$B$4+0)))-SUMIFS(Projection!$L$4:$L$59,Projection!$B$4:$B$59,"&lt;"&amp;(Assumptions!$B$4+0))-SUMIFS(Projection!$K$4:$K$59,Projection!$B$4:$B$59,"&lt;"&amp;(Assumptions!$B$4+0)))/Discount!C4</f>
        <v>0</v>
      </c>
      <c r="H326" s="1" t="n">
        <f aca="false">(SUMIFS(Projection!$L$4:$L$59,Projection!$B$4:$B$59,"&gt;="&amp;(Assumptions!$B$4+0))+$B$269*SUMIFS($L$15:$L$70,$A$15:$A$70,"&gt;="&amp;(Assumptions!$B$4+0))-$B$269*SUMIFS(Projection!$I$4:$I$59,Projection!$B$4:$B$59,"&gt;="&amp;(Assumptions!$B$4+0))+SUMIFS(Projection!$K$4:$K$59,Projection!$B$4:$B$59,"&gt;="&amp;(Assumptions!$B$4+0)))/Discount!C4</f>
        <v>-3749.68656753161</v>
      </c>
      <c r="I326" s="1" t="n">
        <f aca="false">G326-H326</f>
        <v>3749.68656753161</v>
      </c>
      <c r="J326" s="1" t="n">
        <f aca="false">IF(M326&lt;=0,0,MAX(0,(K326+L326-I326)/M326))</f>
        <v>33670.6180352674</v>
      </c>
      <c r="K326" s="72" t="n">
        <f aca="false">RiskMargin!J4</f>
        <v>16652.8497463172</v>
      </c>
      <c r="L326" s="72" t="n">
        <f aca="false">RiskMargin!L4</f>
        <v>20767.4548564818</v>
      </c>
      <c r="M326" s="73" t="n">
        <f aca="false">Projection!F4</f>
        <v>1</v>
      </c>
    </row>
    <row r="327" customFormat="false" ht="15" hidden="false" customHeight="true" outlineLevel="0" collapsed="false">
      <c r="A327" s="1" t="n">
        <v>1</v>
      </c>
      <c r="B327" s="1" t="n">
        <f aca="false">Assumptions!$B$4+1</f>
        <v>66</v>
      </c>
      <c r="C327" s="1" t="n">
        <f aca="false">(Pricing!$B$14*(SUMIFS(Projection!$I$4:$I$59,Projection!$B$4:$B$59,"&lt;"&amp;(Assumptions!$B$4+1))-SUMIFS($G$15:$G$70,$A$15:$A$70,"&lt;"&amp;(Assumptions!$B$4+1)))-SUMIFS(Projection!$L$4:$L$59,Projection!$B$4:$B$59,"&lt;"&amp;(Assumptions!$B$4+1))-SUMIFS(Projection!$K$4:$K$59,Projection!$B$4:$B$59,"&lt;"&amp;(Assumptions!$B$4+1)))/Discount!C5</f>
        <v>-84.12872</v>
      </c>
      <c r="D327" s="1" t="n">
        <f aca="false">(SUMIFS(Projection!$L$4:$L$59,Projection!$B$4:$B$59,"&gt;="&amp;(Assumptions!$B$4+1))+Pricing!$B$14*SUMIFS($G$15:$G$70,$A$15:$A$70,"&gt;="&amp;(Assumptions!$B$4+1))-Pricing!$B$14*SUMIFS(Projection!$I$4:$I$59,Projection!$B$4:$B$59,"&gt;="&amp;(Assumptions!$B$4+1))+SUMIFS(Projection!$K$4:$K$59,Projection!$B$4:$B$59,"&gt;="&amp;(Assumptions!$B$4+1)))/Discount!C5</f>
        <v>-4098.98986106723</v>
      </c>
      <c r="E327" s="1" t="n">
        <f aca="false">C327-D327</f>
        <v>4014.86114106723</v>
      </c>
      <c r="F327" s="1" t="n">
        <f aca="false">IF(M327&lt;=0,0,MAX(0,(K327+L327-E327)/M327))</f>
        <v>34924.1602283806</v>
      </c>
      <c r="G327" s="1" t="n">
        <f aca="false">($B$269*(SUMIFS(Projection!$I$4:$I$59,Projection!$B$4:$B$59,"&lt;"&amp;(Assumptions!$B$4+1))-SUMIFS($L$15:$L$70,$A$15:$A$70,"&lt;"&amp;(Assumptions!$B$4+1)))-SUMIFS(Projection!$L$4:$L$59,Projection!$B$4:$B$59,"&lt;"&amp;(Assumptions!$B$4+1))-SUMIFS(Projection!$K$4:$K$59,Projection!$B$4:$B$59,"&lt;"&amp;(Assumptions!$B$4+1)))/Discount!C5</f>
        <v>-84.12872</v>
      </c>
      <c r="H327" s="1" t="n">
        <f aca="false">(SUMIFS(Projection!$L$4:$L$59,Projection!$B$4:$B$59,"&gt;="&amp;(Assumptions!$B$4+1))+$B$269*SUMIFS($L$15:$L$70,$A$15:$A$70,"&gt;="&amp;(Assumptions!$B$4+1))-$B$269*SUMIFS(Projection!$I$4:$I$59,Projection!$B$4:$B$59,"&gt;="&amp;(Assumptions!$B$4+1))+SUMIFS(Projection!$K$4:$K$59,Projection!$B$4:$B$59,"&gt;="&amp;(Assumptions!$B$4+1)))/Discount!C5</f>
        <v>-3931.15715082473</v>
      </c>
      <c r="I327" s="1" t="n">
        <f aca="false">G327-H327</f>
        <v>3847.02843082473</v>
      </c>
      <c r="J327" s="1" t="n">
        <f aca="false">IF(M327&lt;=0,0,MAX(0,(K327+L327-I327)/M327))</f>
        <v>35100.0062811837</v>
      </c>
      <c r="K327" s="72" t="n">
        <f aca="false">RiskMargin!J5</f>
        <v>17066.051332807</v>
      </c>
      <c r="L327" s="72" t="n">
        <f aca="false">RiskMargin!L5</f>
        <v>20281.4685210122</v>
      </c>
      <c r="M327" s="73" t="n">
        <f aca="false">Projection!F5</f>
        <v>0.954429784274803</v>
      </c>
    </row>
    <row r="328" customFormat="false" ht="15" hidden="false" customHeight="true" outlineLevel="0" collapsed="false">
      <c r="A328" s="1" t="n">
        <v>2</v>
      </c>
      <c r="B328" s="1" t="n">
        <f aca="false">Assumptions!$B$4+2</f>
        <v>67</v>
      </c>
      <c r="C328" s="1" t="n">
        <f aca="false">(Pricing!$B$14*(SUMIFS(Projection!$I$4:$I$59,Projection!$B$4:$B$59,"&lt;"&amp;(Assumptions!$B$4+2))-SUMIFS($G$15:$G$70,$A$15:$A$70,"&lt;"&amp;(Assumptions!$B$4+2)))-SUMIFS(Projection!$L$4:$L$59,Projection!$B$4:$B$59,"&lt;"&amp;(Assumptions!$B$4+2))-SUMIFS(Projection!$K$4:$K$59,Projection!$B$4:$B$59,"&lt;"&amp;(Assumptions!$B$4+2)))/Discount!C6</f>
        <v>11294.9638842895</v>
      </c>
      <c r="D328" s="1" t="n">
        <f aca="false">(SUMIFS(Projection!$L$4:$L$59,Projection!$B$4:$B$59,"&gt;="&amp;(Assumptions!$B$4+2))+Pricing!$B$14*SUMIFS($G$15:$G$70,$A$15:$A$70,"&gt;="&amp;(Assumptions!$B$4+2))-Pricing!$B$14*SUMIFS(Projection!$I$4:$I$59,Projection!$B$4:$B$59,"&gt;="&amp;(Assumptions!$B$4+2))+SUMIFS(Projection!$K$4:$K$59,Projection!$B$4:$B$59,"&gt;="&amp;(Assumptions!$B$4+2)))/Discount!C6</f>
        <v>7173.46767912099</v>
      </c>
      <c r="E328" s="1" t="n">
        <f aca="false">C328-D328</f>
        <v>4121.49620516852</v>
      </c>
      <c r="F328" s="1" t="n">
        <f aca="false">IF(M328&lt;=0,0,MAX(0,(K328+L328-E328)/M328))</f>
        <v>35622.4800804893</v>
      </c>
      <c r="G328" s="1" t="n">
        <f aca="false">($B$269*(SUMIFS(Projection!$I$4:$I$59,Projection!$B$4:$B$59,"&lt;"&amp;(Assumptions!$B$4+2))-SUMIFS($L$15:$L$70,$A$15:$A$70,"&lt;"&amp;(Assumptions!$B$4+2)))-SUMIFS(Projection!$L$4:$L$59,Projection!$B$4:$B$59,"&lt;"&amp;(Assumptions!$B$4+2))-SUMIFS(Projection!$K$4:$K$59,Projection!$B$4:$B$59,"&lt;"&amp;(Assumptions!$B$4+2)))/Discount!C6</f>
        <v>11278.2529882958</v>
      </c>
      <c r="H328" s="1" t="n">
        <f aca="false">(SUMIFS(Projection!$L$4:$L$59,Projection!$B$4:$B$59,"&gt;="&amp;(Assumptions!$B$4+2))+$B$269*SUMIFS($L$15:$L$70,$A$15:$A$70,"&gt;="&amp;(Assumptions!$B$4+2))-$B$269*SUMIFS(Projection!$I$4:$I$59,Projection!$B$4:$B$59,"&gt;="&amp;(Assumptions!$B$4+2))+SUMIFS(Projection!$K$4:$K$59,Projection!$B$4:$B$59,"&gt;="&amp;(Assumptions!$B$4+2)))/Discount!C6</f>
        <v>7329.04714487663</v>
      </c>
      <c r="I328" s="1" t="n">
        <f aca="false">G328-H328</f>
        <v>3949.2058434192</v>
      </c>
      <c r="J328" s="1" t="n">
        <f aca="false">IF(M328&lt;=0,0,MAX(0,(K328+L328-I328)/M328))</f>
        <v>35808.0474295637</v>
      </c>
      <c r="K328" s="72" t="n">
        <f aca="false">RiskMargin!J6</f>
        <v>17426.2697968519</v>
      </c>
      <c r="L328" s="72" t="n">
        <f aca="false">RiskMargin!L6</f>
        <v>19768.9864748786</v>
      </c>
      <c r="M328" s="73" t="n">
        <f aca="false">Projection!F6</f>
        <v>0.928451921141693</v>
      </c>
    </row>
    <row r="329" customFormat="false" ht="15" hidden="false" customHeight="true" outlineLevel="0" collapsed="false">
      <c r="A329" s="1" t="n">
        <v>3</v>
      </c>
      <c r="B329" s="1" t="n">
        <f aca="false">Assumptions!$B$4+3</f>
        <v>68</v>
      </c>
      <c r="C329" s="1" t="n">
        <f aca="false">(Pricing!$B$14*(SUMIFS(Projection!$I$4:$I$59,Projection!$B$4:$B$59,"&lt;"&amp;(Assumptions!$B$4+3))-SUMIFS($G$15:$G$70,$A$15:$A$70,"&lt;"&amp;(Assumptions!$B$4+3)))-SUMIFS(Projection!$L$4:$L$59,Projection!$B$4:$B$59,"&lt;"&amp;(Assumptions!$B$4+3))-SUMIFS(Projection!$K$4:$K$59,Projection!$B$4:$B$59,"&lt;"&amp;(Assumptions!$B$4+3)))/Discount!C7</f>
        <v>22656.5541658744</v>
      </c>
      <c r="D329" s="1" t="n">
        <f aca="false">(SUMIFS(Projection!$L$4:$L$59,Projection!$B$4:$B$59,"&gt;="&amp;(Assumptions!$B$4+3))+Pricing!$B$14*SUMIFS($G$15:$G$70,$A$15:$A$70,"&gt;="&amp;(Assumptions!$B$4+3))-Pricing!$B$14*SUMIFS(Projection!$I$4:$I$59,Projection!$B$4:$B$59,"&gt;="&amp;(Assumptions!$B$4+3))+SUMIFS(Projection!$K$4:$K$59,Projection!$B$4:$B$59,"&gt;="&amp;(Assumptions!$B$4+3)))/Discount!C7</f>
        <v>18427.0747553113</v>
      </c>
      <c r="E329" s="1" t="n">
        <f aca="false">C329-D329</f>
        <v>4229.47941056314</v>
      </c>
      <c r="F329" s="1" t="n">
        <f aca="false">IF(M329&lt;=0,0,MAX(0,(K329+L329-E329)/M329))</f>
        <v>35966.8389814298</v>
      </c>
      <c r="G329" s="1" t="n">
        <f aca="false">($B$269*(SUMIFS(Projection!$I$4:$I$59,Projection!$B$4:$B$59,"&lt;"&amp;(Assumptions!$B$4+3))-SUMIFS($L$15:$L$70,$A$15:$A$70,"&lt;"&amp;(Assumptions!$B$4+3)))-SUMIFS(Projection!$L$4:$L$59,Projection!$B$4:$B$59,"&lt;"&amp;(Assumptions!$B$4+3))-SUMIFS(Projection!$K$4:$K$59,Projection!$B$4:$B$59,"&lt;"&amp;(Assumptions!$B$4+3)))/Discount!C7</f>
        <v>22623.1550910812</v>
      </c>
      <c r="H329" s="1" t="n">
        <f aca="false">(SUMIFS(Projection!$L$4:$L$59,Projection!$B$4:$B$59,"&gt;="&amp;(Assumptions!$B$4+3))+$B$269*SUMIFS($L$15:$L$70,$A$15:$A$70,"&gt;="&amp;(Assumptions!$B$4+3))-$B$269*SUMIFS(Projection!$I$4:$I$59,Projection!$B$4:$B$59,"&gt;="&amp;(Assumptions!$B$4+3))+SUMIFS(Projection!$K$4:$K$59,Projection!$B$4:$B$59,"&gt;="&amp;(Assumptions!$B$4+3)))/Discount!C7</f>
        <v>18570.4800499466</v>
      </c>
      <c r="I329" s="1" t="n">
        <f aca="false">G329-H329</f>
        <v>4052.67504113455</v>
      </c>
      <c r="J329" s="1" t="n">
        <f aca="false">IF(M329&lt;=0,0,MAX(0,(K329+L329-I329)/M329))</f>
        <v>36161.031655095</v>
      </c>
      <c r="K329" s="72" t="n">
        <f aca="false">RiskMargin!J7</f>
        <v>17761.8298453481</v>
      </c>
      <c r="L329" s="72" t="n">
        <f aca="false">RiskMargin!L7</f>
        <v>19213.9636584817</v>
      </c>
      <c r="M329" s="73" t="n">
        <f aca="false">Projection!F7</f>
        <v>0.910458495120298</v>
      </c>
    </row>
    <row r="330" customFormat="false" ht="15" hidden="false" customHeight="true" outlineLevel="0" collapsed="false">
      <c r="A330" s="1" t="n">
        <v>4</v>
      </c>
      <c r="B330" s="1" t="n">
        <f aca="false">Assumptions!$B$4+4</f>
        <v>69</v>
      </c>
      <c r="C330" s="1" t="n">
        <f aca="false">(Pricing!$B$14*(SUMIFS(Projection!$I$4:$I$59,Projection!$B$4:$B$59,"&lt;"&amp;(Assumptions!$B$4+4))-SUMIFS($G$15:$G$70,$A$15:$A$70,"&lt;"&amp;(Assumptions!$B$4+4)))-SUMIFS(Projection!$L$4:$L$59,Projection!$B$4:$B$59,"&lt;"&amp;(Assumptions!$B$4+4))-SUMIFS(Projection!$K$4:$K$59,Projection!$B$4:$B$59,"&lt;"&amp;(Assumptions!$B$4+4)))/Discount!C8</f>
        <v>34116.6346702511</v>
      </c>
      <c r="D330" s="1" t="n">
        <f aca="false">(SUMIFS(Projection!$L$4:$L$59,Projection!$B$4:$B$59,"&gt;="&amp;(Assumptions!$B$4+4))+Pricing!$B$14*SUMIFS($G$15:$G$70,$A$15:$A$70,"&gt;="&amp;(Assumptions!$B$4+4))-Pricing!$B$14*SUMIFS(Projection!$I$4:$I$59,Projection!$B$4:$B$59,"&gt;="&amp;(Assumptions!$B$4+4))+SUMIFS(Projection!$K$4:$K$59,Projection!$B$4:$B$59,"&gt;="&amp;(Assumptions!$B$4+4)))/Discount!C8</f>
        <v>29774.1432137266</v>
      </c>
      <c r="E330" s="1" t="n">
        <f aca="false">C330-D330</f>
        <v>4342.49145652455</v>
      </c>
      <c r="F330" s="1" t="n">
        <f aca="false">IF(M330&lt;=0,0,MAX(0,(K330+L330-E330)/M330))</f>
        <v>36256.205951134</v>
      </c>
      <c r="G330" s="1" t="n">
        <f aca="false">($B$269*(SUMIFS(Projection!$I$4:$I$59,Projection!$B$4:$B$59,"&lt;"&amp;(Assumptions!$B$4+4))-SUMIFS($L$15:$L$70,$A$15:$A$70,"&lt;"&amp;(Assumptions!$B$4+4)))-SUMIFS(Projection!$L$4:$L$59,Projection!$B$4:$B$59,"&lt;"&amp;(Assumptions!$B$4+4))-SUMIFS(Projection!$K$4:$K$59,Projection!$B$4:$B$59,"&lt;"&amp;(Assumptions!$B$4+4)))/Discount!C8</f>
        <v>34066.3996722488</v>
      </c>
      <c r="H330" s="1" t="n">
        <f aca="false">(SUMIFS(Projection!$L$4:$L$59,Projection!$B$4:$B$59,"&gt;="&amp;(Assumptions!$B$4+4))+$B$269*SUMIFS($L$15:$L$70,$A$15:$A$70,"&gt;="&amp;(Assumptions!$B$4+4))-$B$269*SUMIFS(Projection!$I$4:$I$59,Projection!$B$4:$B$59,"&gt;="&amp;(Assumptions!$B$4+4))+SUMIFS(Projection!$K$4:$K$59,Projection!$B$4:$B$59,"&gt;="&amp;(Assumptions!$B$4+4)))/Discount!C8</f>
        <v>29905.4368127905</v>
      </c>
      <c r="I330" s="1" t="n">
        <f aca="false">G330-H330</f>
        <v>4160.96285945836</v>
      </c>
      <c r="J330" s="1" t="n">
        <f aca="false">IF(M330&lt;=0,0,MAX(0,(K330+L330-I330)/M330))</f>
        <v>36459.6490832437</v>
      </c>
      <c r="K330" s="72" t="n">
        <f aca="false">RiskMargin!J8</f>
        <v>18060.0661681813</v>
      </c>
      <c r="L330" s="72" t="n">
        <f aca="false">RiskMargin!L8</f>
        <v>18633.1767391431</v>
      </c>
      <c r="M330" s="73" t="n">
        <f aca="false">Projection!F8</f>
        <v>0.89228176534528</v>
      </c>
    </row>
    <row r="331" customFormat="false" ht="15" hidden="false" customHeight="true" outlineLevel="0" collapsed="false">
      <c r="A331" s="1" t="n">
        <v>5</v>
      </c>
      <c r="B331" s="1" t="n">
        <f aca="false">Assumptions!$B$4+5</f>
        <v>70</v>
      </c>
      <c r="C331" s="1" t="n">
        <f aca="false">(Pricing!$B$14*(SUMIFS(Projection!$I$4:$I$59,Projection!$B$4:$B$59,"&lt;"&amp;(Assumptions!$B$4+5))-SUMIFS($G$15:$G$70,$A$15:$A$70,"&lt;"&amp;(Assumptions!$B$4+5)))-SUMIFS(Projection!$L$4:$L$59,Projection!$B$4:$B$59,"&lt;"&amp;(Assumptions!$B$4+5))-SUMIFS(Projection!$K$4:$K$59,Projection!$B$4:$B$59,"&lt;"&amp;(Assumptions!$B$4+5)))/Discount!C9</f>
        <v>45721.6171278948</v>
      </c>
      <c r="D331" s="1" t="n">
        <f aca="false">(SUMIFS(Projection!$L$4:$L$59,Projection!$B$4:$B$59,"&gt;="&amp;(Assumptions!$B$4+5))+Pricing!$B$14*SUMIFS($G$15:$G$70,$A$15:$A$70,"&gt;="&amp;(Assumptions!$B$4+5))-Pricing!$B$14*SUMIFS(Projection!$I$4:$I$59,Projection!$B$4:$B$59,"&gt;="&amp;(Assumptions!$B$4+5))+SUMIFS(Projection!$K$4:$K$59,Projection!$B$4:$B$59,"&gt;="&amp;(Assumptions!$B$4+5)))/Discount!C9</f>
        <v>41257.4878766723</v>
      </c>
      <c r="E331" s="1" t="n">
        <f aca="false">C331-D331</f>
        <v>4464.12925122246</v>
      </c>
      <c r="F331" s="1" t="n">
        <f aca="false">IF(M331&lt;=0,0,MAX(0,(K331+L331-E331)/M331))</f>
        <v>36514.5094260948</v>
      </c>
      <c r="G331" s="1" t="n">
        <f aca="false">($B$269*(SUMIFS(Projection!$I$4:$I$59,Projection!$B$4:$B$59,"&lt;"&amp;(Assumptions!$B$4+5))-SUMIFS($L$15:$L$70,$A$15:$A$70,"&lt;"&amp;(Assumptions!$B$4+5)))-SUMIFS(Projection!$L$4:$L$59,Projection!$B$4:$B$59,"&lt;"&amp;(Assumptions!$B$4+5))-SUMIFS(Projection!$K$4:$K$59,Projection!$B$4:$B$59,"&lt;"&amp;(Assumptions!$B$4+5)))/Discount!C9</f>
        <v>45654.3301522227</v>
      </c>
      <c r="H331" s="1" t="n">
        <f aca="false">(SUMIFS(Projection!$L$4:$L$59,Projection!$B$4:$B$59,"&gt;="&amp;(Assumptions!$B$4+5))+$B$269*SUMIFS($L$15:$L$70,$A$15:$A$70,"&gt;="&amp;(Assumptions!$B$4+5))-$B$269*SUMIFS(Projection!$I$4:$I$59,Projection!$B$4:$B$59,"&gt;="&amp;(Assumptions!$B$4+5))+SUMIFS(Projection!$K$4:$K$59,Projection!$B$4:$B$59,"&gt;="&amp;(Assumptions!$B$4+5)))/Discount!C9</f>
        <v>41376.8143067398</v>
      </c>
      <c r="I331" s="1" t="n">
        <f aca="false">G331-H331</f>
        <v>4277.51584548299</v>
      </c>
      <c r="J331" s="1" t="n">
        <f aca="false">IF(M331&lt;=0,0,MAX(0,(K331+L331-I331)/M331))</f>
        <v>36728.0564692612</v>
      </c>
      <c r="K331" s="72" t="n">
        <f aca="false">RiskMargin!J9</f>
        <v>18332.0884072738</v>
      </c>
      <c r="L331" s="72" t="n">
        <f aca="false">RiskMargin!L9</f>
        <v>18041.1549289459</v>
      </c>
      <c r="M331" s="73" t="n">
        <f aca="false">Projection!F9</f>
        <v>0.873874922230056</v>
      </c>
    </row>
    <row r="332" customFormat="false" ht="15" hidden="false" customHeight="true" outlineLevel="0" collapsed="false">
      <c r="A332" s="1" t="n">
        <v>6</v>
      </c>
      <c r="B332" s="1" t="n">
        <f aca="false">Assumptions!$B$4+6</f>
        <v>71</v>
      </c>
      <c r="C332" s="1" t="n">
        <f aca="false">(Pricing!$B$14*(SUMIFS(Projection!$I$4:$I$59,Projection!$B$4:$B$59,"&lt;"&amp;(Assumptions!$B$4+6))-SUMIFS($G$15:$G$70,$A$15:$A$70,"&lt;"&amp;(Assumptions!$B$4+6)))-SUMIFS(Projection!$L$4:$L$59,Projection!$B$4:$B$59,"&lt;"&amp;(Assumptions!$B$4+6))-SUMIFS(Projection!$K$4:$K$59,Projection!$B$4:$B$59,"&lt;"&amp;(Assumptions!$B$4+6)))/Discount!C10</f>
        <v>57480.2809740322</v>
      </c>
      <c r="D332" s="1" t="n">
        <f aca="false">(SUMIFS(Projection!$L$4:$L$59,Projection!$B$4:$B$59,"&gt;="&amp;(Assumptions!$B$4+6))+Pricing!$B$14*SUMIFS($G$15:$G$70,$A$15:$A$70,"&gt;="&amp;(Assumptions!$B$4+6))-Pricing!$B$14*SUMIFS(Projection!$I$4:$I$59,Projection!$B$4:$B$59,"&gt;="&amp;(Assumptions!$B$4+6))+SUMIFS(Projection!$K$4:$K$59,Projection!$B$4:$B$59,"&gt;="&amp;(Assumptions!$B$4+6)))/Discount!C10</f>
        <v>52887.0848130852</v>
      </c>
      <c r="E332" s="1" t="n">
        <f aca="false">C332-D332</f>
        <v>4593.19616094707</v>
      </c>
      <c r="F332" s="1" t="n">
        <f aca="false">IF(M332&lt;=0,0,MAX(0,(K332+L332-E332)/M332))</f>
        <v>36639.4880084469</v>
      </c>
      <c r="G332" s="1" t="n">
        <f aca="false">($B$269*(SUMIFS(Projection!$I$4:$I$59,Projection!$B$4:$B$59,"&lt;"&amp;(Assumptions!$B$4+6))-SUMIFS($L$15:$L$70,$A$15:$A$70,"&lt;"&amp;(Assumptions!$B$4+6)))-SUMIFS(Projection!$L$4:$L$59,Projection!$B$4:$B$59,"&lt;"&amp;(Assumptions!$B$4+6))-SUMIFS(Projection!$K$4:$K$59,Projection!$B$4:$B$59,"&lt;"&amp;(Assumptions!$B$4+6)))/Discount!C10</f>
        <v>57395.713063824</v>
      </c>
      <c r="H332" s="1" t="n">
        <f aca="false">(SUMIFS(Projection!$L$4:$L$59,Projection!$B$4:$B$59,"&gt;="&amp;(Assumptions!$B$4+6))+$B$269*SUMIFS($L$15:$L$70,$A$15:$A$70,"&gt;="&amp;(Assumptions!$B$4+6))-$B$269*SUMIFS(Projection!$I$4:$I$59,Projection!$B$4:$B$59,"&gt;="&amp;(Assumptions!$B$4+6))+SUMIFS(Projection!$K$4:$K$59,Projection!$B$4:$B$59,"&gt;="&amp;(Assumptions!$B$4+6)))/Discount!C10</f>
        <v>52994.5256756043</v>
      </c>
      <c r="I332" s="1" t="n">
        <f aca="false">G332-H332</f>
        <v>4401.18738821967</v>
      </c>
      <c r="J332" s="1" t="n">
        <f aca="false">IF(M332&lt;=0,0,MAX(0,(K332+L332-I332)/M332))</f>
        <v>36863.1264966139</v>
      </c>
      <c r="K332" s="72" t="n">
        <f aca="false">RiskMargin!J10</f>
        <v>18619.6410483728</v>
      </c>
      <c r="L332" s="72" t="n">
        <f aca="false">RiskMargin!L10</f>
        <v>17431.0344736795</v>
      </c>
      <c r="M332" s="73" t="n">
        <f aca="false">Projection!F10</f>
        <v>0.858567656672851</v>
      </c>
    </row>
    <row r="333" customFormat="false" ht="15" hidden="false" customHeight="true" outlineLevel="0" collapsed="false">
      <c r="A333" s="1" t="n">
        <v>7</v>
      </c>
      <c r="B333" s="1" t="n">
        <f aca="false">Assumptions!$B$4+7</f>
        <v>72</v>
      </c>
      <c r="C333" s="1" t="n">
        <f aca="false">(Pricing!$B$14*(SUMIFS(Projection!$I$4:$I$59,Projection!$B$4:$B$59,"&lt;"&amp;(Assumptions!$B$4+7))-SUMIFS($G$15:$G$70,$A$15:$A$70,"&lt;"&amp;(Assumptions!$B$4+7)))-SUMIFS(Projection!$L$4:$L$59,Projection!$B$4:$B$59,"&lt;"&amp;(Assumptions!$B$4+7))-SUMIFS(Projection!$K$4:$K$59,Projection!$B$4:$B$59,"&lt;"&amp;(Assumptions!$B$4+7)))/Discount!C11</f>
        <v>69477.1349123797</v>
      </c>
      <c r="D333" s="1" t="n">
        <f aca="false">(SUMIFS(Projection!$L$4:$L$59,Projection!$B$4:$B$59,"&gt;="&amp;(Assumptions!$B$4+7))+Pricing!$B$14*SUMIFS($G$15:$G$70,$A$15:$A$70,"&gt;="&amp;(Assumptions!$B$4+7))-Pricing!$B$14*SUMIFS(Projection!$I$4:$I$59,Projection!$B$4:$B$59,"&gt;="&amp;(Assumptions!$B$4+7))+SUMIFS(Projection!$K$4:$K$59,Projection!$B$4:$B$59,"&gt;="&amp;(Assumptions!$B$4+7)))/Discount!C11</f>
        <v>64745.4816240629</v>
      </c>
      <c r="E333" s="1" t="n">
        <f aca="false">C333-D333</f>
        <v>4731.65328831677</v>
      </c>
      <c r="F333" s="1" t="n">
        <f aca="false">IF(M333&lt;=0,0,MAX(0,(K333+L333-E333)/M333))</f>
        <v>36730.737838779</v>
      </c>
      <c r="G333" s="1" t="n">
        <f aca="false">($B$269*(SUMIFS(Projection!$I$4:$I$59,Projection!$B$4:$B$59,"&lt;"&amp;(Assumptions!$B$4+7))-SUMIFS($L$15:$L$70,$A$15:$A$70,"&lt;"&amp;(Assumptions!$B$4+7)))-SUMIFS(Projection!$L$4:$L$59,Projection!$B$4:$B$59,"&lt;"&amp;(Assumptions!$B$4+7))-SUMIFS(Projection!$K$4:$K$59,Projection!$B$4:$B$59,"&lt;"&amp;(Assumptions!$B$4+7)))/Discount!C11</f>
        <v>69374.9328421771</v>
      </c>
      <c r="H333" s="1" t="n">
        <f aca="false">(SUMIFS(Projection!$L$4:$L$59,Projection!$B$4:$B$59,"&gt;="&amp;(Assumptions!$B$4+7))+$B$269*SUMIFS($L$15:$L$70,$A$15:$A$70,"&gt;="&amp;(Assumptions!$B$4+7))-$B$269*SUMIFS(Projection!$I$4:$I$59,Projection!$B$4:$B$59,"&gt;="&amp;(Assumptions!$B$4+7))+SUMIFS(Projection!$K$4:$K$59,Projection!$B$4:$B$59,"&gt;="&amp;(Assumptions!$B$4+7)))/Discount!C11</f>
        <v>64841.0762316043</v>
      </c>
      <c r="I333" s="1" t="n">
        <f aca="false">G333-H333</f>
        <v>4533.85661057288</v>
      </c>
      <c r="J333" s="1" t="n">
        <f aca="false">IF(M333&lt;=0,0,MAX(0,(K333+L333-I333)/M333))</f>
        <v>36965.4388532878</v>
      </c>
      <c r="K333" s="72" t="n">
        <f aca="false">RiskMargin!J11</f>
        <v>18881.2375975217</v>
      </c>
      <c r="L333" s="72" t="n">
        <f aca="false">RiskMargin!L11</f>
        <v>16805.6202552002</v>
      </c>
      <c r="M333" s="73" t="n">
        <f aca="false">Projection!F11</f>
        <v>0.84276021626017</v>
      </c>
    </row>
    <row r="334" customFormat="false" ht="15" hidden="false" customHeight="true" outlineLevel="0" collapsed="false">
      <c r="A334" s="1" t="n">
        <v>8</v>
      </c>
      <c r="B334" s="1" t="n">
        <f aca="false">Assumptions!$B$4+8</f>
        <v>73</v>
      </c>
      <c r="C334" s="1" t="n">
        <f aca="false">(Pricing!$B$14*(SUMIFS(Projection!$I$4:$I$59,Projection!$B$4:$B$59,"&lt;"&amp;(Assumptions!$B$4+8))-SUMIFS($G$15:$G$70,$A$15:$A$70,"&lt;"&amp;(Assumptions!$B$4+8)))-SUMIFS(Projection!$L$4:$L$59,Projection!$B$4:$B$59,"&lt;"&amp;(Assumptions!$B$4+8))-SUMIFS(Projection!$K$4:$K$59,Projection!$B$4:$B$59,"&lt;"&amp;(Assumptions!$B$4+8)))/Discount!C12</f>
        <v>81739.8704827017</v>
      </c>
      <c r="D334" s="1" t="n">
        <f aca="false">(SUMIFS(Projection!$L$4:$L$59,Projection!$B$4:$B$59,"&gt;="&amp;(Assumptions!$B$4+8))+Pricing!$B$14*SUMIFS($G$15:$G$70,$A$15:$A$70,"&gt;="&amp;(Assumptions!$B$4+8))-Pricing!$B$14*SUMIFS(Projection!$I$4:$I$59,Projection!$B$4:$B$59,"&gt;="&amp;(Assumptions!$B$4+8))+SUMIFS(Projection!$K$4:$K$59,Projection!$B$4:$B$59,"&gt;="&amp;(Assumptions!$B$4+8)))/Discount!C12</f>
        <v>76859.8974446815</v>
      </c>
      <c r="E334" s="1" t="n">
        <f aca="false">C334-D334</f>
        <v>4879.97303802021</v>
      </c>
      <c r="F334" s="1" t="n">
        <f aca="false">IF(M334&lt;=0,0,MAX(0,(K334+L334-E334)/M334))</f>
        <v>36779.6909834718</v>
      </c>
      <c r="G334" s="1" t="n">
        <f aca="false">($B$269*(SUMIFS(Projection!$I$4:$I$59,Projection!$B$4:$B$59,"&lt;"&amp;(Assumptions!$B$4+8))-SUMIFS($L$15:$L$70,$A$15:$A$70,"&lt;"&amp;(Assumptions!$B$4+8)))-SUMIFS(Projection!$L$4:$L$59,Projection!$B$4:$B$59,"&lt;"&amp;(Assumptions!$B$4+8))-SUMIFS(Projection!$K$4:$K$59,Projection!$B$4:$B$59,"&lt;"&amp;(Assumptions!$B$4+8)))/Discount!C12</f>
        <v>81619.6402622083</v>
      </c>
      <c r="H334" s="1" t="n">
        <f aca="false">(SUMIFS(Projection!$L$4:$L$59,Projection!$B$4:$B$59,"&gt;="&amp;(Assumptions!$B$4+8))+$B$269*SUMIFS($L$15:$L$70,$A$15:$A$70,"&gt;="&amp;(Assumptions!$B$4+8))-$B$269*SUMIFS(Projection!$I$4:$I$59,Projection!$B$4:$B$59,"&gt;="&amp;(Assumptions!$B$4+8))+SUMIFS(Projection!$K$4:$K$59,Projection!$B$4:$B$59,"&gt;="&amp;(Assumptions!$B$4+8)))/Discount!C12</f>
        <v>76943.6640928478</v>
      </c>
      <c r="I334" s="1" t="n">
        <f aca="false">G334-H334</f>
        <v>4675.97616936048</v>
      </c>
      <c r="J334" s="1" t="n">
        <f aca="false">IF(M334&lt;=0,0,MAX(0,(K334+L334-I334)/M334))</f>
        <v>37026.544626645</v>
      </c>
      <c r="K334" s="72" t="n">
        <f aca="false">RiskMargin!J12</f>
        <v>19110.2370052548</v>
      </c>
      <c r="L334" s="72" t="n">
        <f aca="false">RiskMargin!L12</f>
        <v>16164.0283529247</v>
      </c>
      <c r="M334" s="73" t="n">
        <f aca="false">Projection!F12</f>
        <v>0.826387919730429</v>
      </c>
    </row>
    <row r="335" customFormat="false" ht="15" hidden="false" customHeight="true" outlineLevel="0" collapsed="false">
      <c r="A335" s="1" t="n">
        <v>9</v>
      </c>
      <c r="B335" s="1" t="n">
        <f aca="false">Assumptions!$B$4+9</f>
        <v>74</v>
      </c>
      <c r="C335" s="1" t="n">
        <f aca="false">(Pricing!$B$14*(SUMIFS(Projection!$I$4:$I$59,Projection!$B$4:$B$59,"&lt;"&amp;(Assumptions!$B$4+9))-SUMIFS($G$15:$G$70,$A$15:$A$70,"&lt;"&amp;(Assumptions!$B$4+9)))-SUMIFS(Projection!$L$4:$L$59,Projection!$B$4:$B$59,"&lt;"&amp;(Assumptions!$B$4+9))-SUMIFS(Projection!$K$4:$K$59,Projection!$B$4:$B$59,"&lt;"&amp;(Assumptions!$B$4+9)))/Discount!C13</f>
        <v>94285.088782548</v>
      </c>
      <c r="D335" s="1" t="n">
        <f aca="false">(SUMIFS(Projection!$L$4:$L$59,Projection!$B$4:$B$59,"&gt;="&amp;(Assumptions!$B$4+9))+Pricing!$B$14*SUMIFS($G$15:$G$70,$A$15:$A$70,"&gt;="&amp;(Assumptions!$B$4+9))-Pricing!$B$14*SUMIFS(Projection!$I$4:$I$59,Projection!$B$4:$B$59,"&gt;="&amp;(Assumptions!$B$4+9))+SUMIFS(Projection!$K$4:$K$59,Projection!$B$4:$B$59,"&gt;="&amp;(Assumptions!$B$4+9)))/Discount!C13</f>
        <v>89247.0123397098</v>
      </c>
      <c r="E335" s="1" t="n">
        <f aca="false">C335-D335</f>
        <v>5038.07644283827</v>
      </c>
      <c r="F335" s="1" t="n">
        <f aca="false">IF(M335&lt;=0,0,MAX(0,(K335+L335-E335)/M335))</f>
        <v>36771.3581457364</v>
      </c>
      <c r="G335" s="1" t="n">
        <f aca="false">($B$269*(SUMIFS(Projection!$I$4:$I$59,Projection!$B$4:$B$59,"&lt;"&amp;(Assumptions!$B$4+9))-SUMIFS($L$15:$L$70,$A$15:$A$70,"&lt;"&amp;(Assumptions!$B$4+9)))-SUMIFS(Projection!$L$4:$L$59,Projection!$B$4:$B$59,"&lt;"&amp;(Assumptions!$B$4+9))-SUMIFS(Projection!$K$4:$K$59,Projection!$B$4:$B$59,"&lt;"&amp;(Assumptions!$B$4+9)))/Discount!C13</f>
        <v>94146.4119638928</v>
      </c>
      <c r="H335" s="1" t="n">
        <f aca="false">(SUMIFS(Projection!$L$4:$L$59,Projection!$B$4:$B$59,"&gt;="&amp;(Assumptions!$B$4+9))+$B$269*SUMIFS($L$15:$L$70,$A$15:$A$70,"&gt;="&amp;(Assumptions!$B$4+9))-$B$269*SUMIFS(Projection!$I$4:$I$59,Projection!$B$4:$B$59,"&gt;="&amp;(Assumptions!$B$4+9))+SUMIFS(Projection!$K$4:$K$59,Projection!$B$4:$B$59,"&gt;="&amp;(Assumptions!$B$4+9)))/Discount!C13</f>
        <v>89318.9415654732</v>
      </c>
      <c r="I335" s="1" t="n">
        <f aca="false">G335-H335</f>
        <v>4827.47039841957</v>
      </c>
      <c r="J335" s="1" t="n">
        <f aca="false">IF(M335&lt;=0,0,MAX(0,(K335+L335-I335)/M335))</f>
        <v>37031.5635173234</v>
      </c>
      <c r="K335" s="72" t="n">
        <f aca="false">RiskMargin!J13</f>
        <v>19296.2679614037</v>
      </c>
      <c r="L335" s="72" t="n">
        <f aca="false">RiskMargin!L13</f>
        <v>15503.9545883517</v>
      </c>
      <c r="M335" s="73" t="n">
        <f aca="false">Projection!F13</f>
        <v>0.809383922915231</v>
      </c>
    </row>
    <row r="336" customFormat="false" ht="15" hidden="false" customHeight="true" outlineLevel="0" collapsed="false">
      <c r="A336" s="1" t="n">
        <v>10</v>
      </c>
      <c r="B336" s="1" t="n">
        <f aca="false">Assumptions!$B$4+10</f>
        <v>75</v>
      </c>
      <c r="C336" s="1" t="n">
        <f aca="false">(Pricing!$B$14*(SUMIFS(Projection!$I$4:$I$59,Projection!$B$4:$B$59,"&lt;"&amp;(Assumptions!$B$4+10))-SUMIFS($G$15:$G$70,$A$15:$A$70,"&lt;"&amp;(Assumptions!$B$4+10)))-SUMIFS(Projection!$L$4:$L$59,Projection!$B$4:$B$59,"&lt;"&amp;(Assumptions!$B$4+10))-SUMIFS(Projection!$K$4:$K$59,Projection!$B$4:$B$59,"&lt;"&amp;(Assumptions!$B$4+10)))/Discount!C14</f>
        <v>107289.117619107</v>
      </c>
      <c r="D336" s="1" t="n">
        <f aca="false">(SUMIFS(Projection!$L$4:$L$59,Projection!$B$4:$B$59,"&gt;="&amp;(Assumptions!$B$4+10))+Pricing!$B$14*SUMIFS($G$15:$G$70,$A$15:$A$70,"&gt;="&amp;(Assumptions!$B$4+10))-Pricing!$B$14*SUMIFS(Projection!$I$4:$I$59,Projection!$B$4:$B$59,"&gt;="&amp;(Assumptions!$B$4+10))+SUMIFS(Projection!$K$4:$K$59,Projection!$B$4:$B$59,"&gt;="&amp;(Assumptions!$B$4+10)))/Discount!C14</f>
        <v>102075.273009479</v>
      </c>
      <c r="E336" s="1" t="n">
        <f aca="false">C336-D336</f>
        <v>5213.84460962821</v>
      </c>
      <c r="F336" s="1" t="n">
        <f aca="false">IF(M336&lt;=0,0,MAX(0,(K336+L336-E336)/M336))</f>
        <v>36744.4760923207</v>
      </c>
      <c r="G336" s="1" t="n">
        <f aca="false">($B$269*(SUMIFS(Projection!$I$4:$I$59,Projection!$B$4:$B$59,"&lt;"&amp;(Assumptions!$B$4+10))-SUMIFS($L$15:$L$70,$A$15:$A$70,"&lt;"&amp;(Assumptions!$B$4+10)))-SUMIFS(Projection!$L$4:$L$59,Projection!$B$4:$B$59,"&lt;"&amp;(Assumptions!$B$4+10))-SUMIFS(Projection!$K$4:$K$59,Projection!$B$4:$B$59,"&lt;"&amp;(Assumptions!$B$4+10)))/Discount!C14</f>
        <v>107131.316366235</v>
      </c>
      <c r="H336" s="1" t="n">
        <f aca="false">(SUMIFS(Projection!$L$4:$L$59,Projection!$B$4:$B$59,"&gt;="&amp;(Assumptions!$B$4+10))+$B$269*SUMIFS($L$15:$L$70,$A$15:$A$70,"&gt;="&amp;(Assumptions!$B$4+10))-$B$269*SUMIFS(Projection!$I$4:$I$59,Projection!$B$4:$B$59,"&gt;="&amp;(Assumptions!$B$4+10))+SUMIFS(Projection!$K$4:$K$59,Projection!$B$4:$B$59,"&gt;="&amp;(Assumptions!$B$4+10)))/Discount!C14</f>
        <v>102135.425414498</v>
      </c>
      <c r="I336" s="1" t="n">
        <f aca="false">G336-H336</f>
        <v>4995.89095173791</v>
      </c>
      <c r="J336" s="1" t="n">
        <f aca="false">IF(M336&lt;=0,0,MAX(0,(K336+L336-I336)/M336))</f>
        <v>37019.7814308676</v>
      </c>
      <c r="K336" s="72" t="n">
        <f aca="false">RiskMargin!J14</f>
        <v>19457.0144705602</v>
      </c>
      <c r="L336" s="72" t="n">
        <f aca="false">RiskMargin!L14</f>
        <v>14846.6872913244</v>
      </c>
      <c r="M336" s="73" t="n">
        <f aca="false">Projection!F14</f>
        <v>0.791679736545108</v>
      </c>
    </row>
    <row r="337" customFormat="false" ht="15" hidden="false" customHeight="true" outlineLevel="0" collapsed="false">
      <c r="A337" s="1" t="n">
        <v>11</v>
      </c>
      <c r="B337" s="1" t="n">
        <f aca="false">Assumptions!$B$4+11</f>
        <v>76</v>
      </c>
      <c r="C337" s="1" t="n">
        <f aca="false">(Pricing!$B$14*(SUMIFS(Projection!$I$4:$I$59,Projection!$B$4:$B$59,"&lt;"&amp;(Assumptions!$B$4+11))-SUMIFS($G$15:$G$70,$A$15:$A$70,"&lt;"&amp;(Assumptions!$B$4+11)))-SUMIFS(Projection!$L$4:$L$59,Projection!$B$4:$B$59,"&lt;"&amp;(Assumptions!$B$4+11))-SUMIFS(Projection!$K$4:$K$59,Projection!$B$4:$B$59,"&lt;"&amp;(Assumptions!$B$4+11)))/Discount!C15</f>
        <v>120244.195142928</v>
      </c>
      <c r="D337" s="1" t="n">
        <f aca="false">(SUMIFS(Projection!$L$4:$L$59,Projection!$B$4:$B$59,"&gt;="&amp;(Assumptions!$B$4+11))+Pricing!$B$14*SUMIFS($G$15:$G$70,$A$15:$A$70,"&gt;="&amp;(Assumptions!$B$4+11))-Pricing!$B$14*SUMIFS(Projection!$I$4:$I$59,Projection!$B$4:$B$59,"&gt;="&amp;(Assumptions!$B$4+11))+SUMIFS(Projection!$K$4:$K$59,Projection!$B$4:$B$59,"&gt;="&amp;(Assumptions!$B$4+11)))/Discount!C15</f>
        <v>114861.344729061</v>
      </c>
      <c r="E337" s="1" t="n">
        <f aca="false">C337-D337</f>
        <v>5382.85041386707</v>
      </c>
      <c r="F337" s="1" t="n">
        <f aca="false">IF(M337&lt;=0,0,MAX(0,(K337+L337-E337)/M337))</f>
        <v>36508.3517957465</v>
      </c>
      <c r="G337" s="1" t="n">
        <f aca="false">($B$269*(SUMIFS(Projection!$I$4:$I$59,Projection!$B$4:$B$59,"&lt;"&amp;(Assumptions!$B$4+11))-SUMIFS($L$15:$L$70,$A$15:$A$70,"&lt;"&amp;(Assumptions!$B$4+11)))-SUMIFS(Projection!$L$4:$L$59,Projection!$B$4:$B$59,"&lt;"&amp;(Assumptions!$B$4+11))-SUMIFS(Projection!$K$4:$K$59,Projection!$B$4:$B$59,"&lt;"&amp;(Assumptions!$B$4+11)))/Discount!C15</f>
        <v>120067.338395012</v>
      </c>
      <c r="H337" s="1" t="n">
        <f aca="false">(SUMIFS(Projection!$L$4:$L$59,Projection!$B$4:$B$59,"&gt;="&amp;(Assumptions!$B$4+11))+$B$269*SUMIFS($L$15:$L$70,$A$15:$A$70,"&gt;="&amp;(Assumptions!$B$4+11))-$B$269*SUMIFS(Projection!$I$4:$I$59,Projection!$B$4:$B$59,"&gt;="&amp;(Assumptions!$B$4+11))+SUMIFS(Projection!$K$4:$K$59,Projection!$B$4:$B$59,"&gt;="&amp;(Assumptions!$B$4+11)))/Discount!C15</f>
        <v>114909.506566357</v>
      </c>
      <c r="I337" s="1" t="n">
        <f aca="false">G337-H337</f>
        <v>5157.83182865413</v>
      </c>
      <c r="J337" s="1" t="n">
        <f aca="false">IF(M337&lt;=0,0,MAX(0,(K337+L337-I337)/M337))</f>
        <v>36799.5234792546</v>
      </c>
      <c r="K337" s="72" t="n">
        <f aca="false">RiskMargin!J15</f>
        <v>19473.9663297575</v>
      </c>
      <c r="L337" s="72" t="n">
        <f aca="false">RiskMargin!L15</f>
        <v>14122.6773024566</v>
      </c>
      <c r="M337" s="73" t="n">
        <f aca="false">Projection!F15</f>
        <v>0.77280380599472</v>
      </c>
    </row>
    <row r="338" customFormat="false" ht="15" hidden="false" customHeight="true" outlineLevel="0" collapsed="false">
      <c r="A338" s="1" t="n">
        <v>12</v>
      </c>
      <c r="B338" s="1" t="n">
        <f aca="false">Assumptions!$B$4+12</f>
        <v>77</v>
      </c>
      <c r="C338" s="1" t="n">
        <f aca="false">(Pricing!$B$14*(SUMIFS(Projection!$I$4:$I$59,Projection!$B$4:$B$59,"&lt;"&amp;(Assumptions!$B$4+12))-SUMIFS($G$15:$G$70,$A$15:$A$70,"&lt;"&amp;(Assumptions!$B$4+12)))-SUMIFS(Projection!$L$4:$L$59,Projection!$B$4:$B$59,"&lt;"&amp;(Assumptions!$B$4+12))-SUMIFS(Projection!$K$4:$K$59,Projection!$B$4:$B$59,"&lt;"&amp;(Assumptions!$B$4+12)))/Discount!C16</f>
        <v>133795.798400466</v>
      </c>
      <c r="D338" s="1" t="n">
        <f aca="false">(SUMIFS(Projection!$L$4:$L$59,Projection!$B$4:$B$59,"&gt;="&amp;(Assumptions!$B$4+12))+Pricing!$B$14*SUMIFS($G$15:$G$70,$A$15:$A$70,"&gt;="&amp;(Assumptions!$B$4+12))-Pricing!$B$14*SUMIFS(Projection!$I$4:$I$59,Projection!$B$4:$B$59,"&gt;="&amp;(Assumptions!$B$4+12))+SUMIFS(Projection!$K$4:$K$59,Projection!$B$4:$B$59,"&gt;="&amp;(Assumptions!$B$4+12)))/Discount!C16</f>
        <v>128221.605397744</v>
      </c>
      <c r="E338" s="1" t="n">
        <f aca="false">C338-D338</f>
        <v>5574.19300272239</v>
      </c>
      <c r="F338" s="1" t="n">
        <f aca="false">IF(M338&lt;=0,0,MAX(0,(K338+L338-E338)/M338))</f>
        <v>36238.1790113898</v>
      </c>
      <c r="G338" s="1" t="n">
        <f aca="false">($B$269*(SUMIFS(Projection!$I$4:$I$59,Projection!$B$4:$B$59,"&lt;"&amp;(Assumptions!$B$4+12))-SUMIFS($L$15:$L$70,$A$15:$A$70,"&lt;"&amp;(Assumptions!$B$4+12)))-SUMIFS(Projection!$L$4:$L$59,Projection!$B$4:$B$59,"&lt;"&amp;(Assumptions!$B$4+12))-SUMIFS(Projection!$K$4:$K$59,Projection!$B$4:$B$59,"&lt;"&amp;(Assumptions!$B$4+12)))/Discount!C16</f>
        <v>133599.00567998</v>
      </c>
      <c r="H338" s="1" t="n">
        <f aca="false">(SUMIFS(Projection!$L$4:$L$59,Projection!$B$4:$B$59,"&gt;="&amp;(Assumptions!$B$4+12))+$B$269*SUMIFS($L$15:$L$70,$A$15:$A$70,"&gt;="&amp;(Assumptions!$B$4+12))-$B$269*SUMIFS(Projection!$I$4:$I$59,Projection!$B$4:$B$59,"&gt;="&amp;(Assumptions!$B$4+12))+SUMIFS(Projection!$K$4:$K$59,Projection!$B$4:$B$59,"&gt;="&amp;(Assumptions!$B$4+12)))/Discount!C16</f>
        <v>128257.829931451</v>
      </c>
      <c r="I338" s="1" t="n">
        <f aca="false">G338-H338</f>
        <v>5341.17574852837</v>
      </c>
      <c r="J338" s="1" t="n">
        <f aca="false">IF(M338&lt;=0,0,MAX(0,(K338+L338-I338)/M338))</f>
        <v>36547.6108195275</v>
      </c>
      <c r="K338" s="72" t="n">
        <f aca="false">RiskMargin!J16</f>
        <v>19448.5906719559</v>
      </c>
      <c r="L338" s="72" t="n">
        <f aca="false">RiskMargin!L16</f>
        <v>13414.7198298511</v>
      </c>
      <c r="M338" s="73" t="n">
        <f aca="false">Projection!F16</f>
        <v>0.753048807736933</v>
      </c>
    </row>
    <row r="339" customFormat="false" ht="15" hidden="false" customHeight="true" outlineLevel="0" collapsed="false">
      <c r="A339" s="1" t="n">
        <v>13</v>
      </c>
      <c r="B339" s="1" t="n">
        <f aca="false">Assumptions!$B$4+13</f>
        <v>78</v>
      </c>
      <c r="C339" s="1" t="n">
        <f aca="false">(Pricing!$B$14*(SUMIFS(Projection!$I$4:$I$59,Projection!$B$4:$B$59,"&lt;"&amp;(Assumptions!$B$4+13))-SUMIFS($G$15:$G$70,$A$15:$A$70,"&lt;"&amp;(Assumptions!$B$4+13)))-SUMIFS(Projection!$L$4:$L$59,Projection!$B$4:$B$59,"&lt;"&amp;(Assumptions!$B$4+13))-SUMIFS(Projection!$K$4:$K$59,Projection!$B$4:$B$59,"&lt;"&amp;(Assumptions!$B$4+13)))/Discount!C17</f>
        <v>147549.394897885</v>
      </c>
      <c r="D339" s="1" t="n">
        <f aca="false">(SUMIFS(Projection!$L$4:$L$59,Projection!$B$4:$B$59,"&gt;="&amp;(Assumptions!$B$4+13))+Pricing!$B$14*SUMIFS($G$15:$G$70,$A$15:$A$70,"&gt;="&amp;(Assumptions!$B$4+13))-Pricing!$B$14*SUMIFS(Projection!$I$4:$I$59,Projection!$B$4:$B$59,"&gt;="&amp;(Assumptions!$B$4+13))+SUMIFS(Projection!$K$4:$K$59,Projection!$B$4:$B$59,"&gt;="&amp;(Assumptions!$B$4+13)))/Discount!C17</f>
        <v>141778.640523682</v>
      </c>
      <c r="E339" s="1" t="n">
        <f aca="false">C339-D339</f>
        <v>5770.75437420301</v>
      </c>
      <c r="F339" s="1" t="n">
        <f aca="false">IF(M339&lt;=0,0,MAX(0,(K339+L339-E339)/M339))</f>
        <v>35787.3536994565</v>
      </c>
      <c r="G339" s="1" t="n">
        <f aca="false">($B$269*(SUMIFS(Projection!$I$4:$I$59,Projection!$B$4:$B$59,"&lt;"&amp;(Assumptions!$B$4+13))-SUMIFS($L$15:$L$70,$A$15:$A$70,"&lt;"&amp;(Assumptions!$B$4+13)))-SUMIFS(Projection!$L$4:$L$59,Projection!$B$4:$B$59,"&lt;"&amp;(Assumptions!$B$4+13))-SUMIFS(Projection!$K$4:$K$59,Projection!$B$4:$B$59,"&lt;"&amp;(Assumptions!$B$4+13)))/Discount!C17</f>
        <v>147332.365987637</v>
      </c>
      <c r="H339" s="1" t="n">
        <f aca="false">(SUMIFS(Projection!$L$4:$L$59,Projection!$B$4:$B$59,"&gt;="&amp;(Assumptions!$B$4+13))+$B$269*SUMIFS($L$15:$L$70,$A$15:$A$70,"&gt;="&amp;(Assumptions!$B$4+13))-$B$269*SUMIFS(Projection!$I$4:$I$59,Projection!$B$4:$B$59,"&gt;="&amp;(Assumptions!$B$4+13))+SUMIFS(Projection!$K$4:$K$59,Projection!$B$4:$B$59,"&gt;="&amp;(Assumptions!$B$4+13)))/Discount!C17</f>
        <v>141802.84569669</v>
      </c>
      <c r="I339" s="1" t="n">
        <f aca="false">G339-H339</f>
        <v>5529.52029094679</v>
      </c>
      <c r="J339" s="1" t="n">
        <f aca="false">IF(M339&lt;=0,0,MAX(0,(K339+L339-I339)/M339))</f>
        <v>36116.7593284517</v>
      </c>
      <c r="K339" s="72" t="n">
        <f aca="false">RiskMargin!J17</f>
        <v>19299.2613253291</v>
      </c>
      <c r="L339" s="72" t="n">
        <f aca="false">RiskMargin!L17</f>
        <v>12679.6956475612</v>
      </c>
      <c r="M339" s="73" t="n">
        <f aca="false">Projection!F17</f>
        <v>0.732331393340358</v>
      </c>
    </row>
    <row r="340" customFormat="false" ht="15" hidden="false" customHeight="true" outlineLevel="0" collapsed="false">
      <c r="A340" s="1" t="n">
        <v>14</v>
      </c>
      <c r="B340" s="1" t="n">
        <f aca="false">Assumptions!$B$4+14</f>
        <v>79</v>
      </c>
      <c r="C340" s="1" t="n">
        <f aca="false">(Pricing!$B$14*(SUMIFS(Projection!$I$4:$I$59,Projection!$B$4:$B$59,"&lt;"&amp;(Assumptions!$B$4+14))-SUMIFS($G$15:$G$70,$A$15:$A$70,"&lt;"&amp;(Assumptions!$B$4+14)))-SUMIFS(Projection!$L$4:$L$59,Projection!$B$4:$B$59,"&lt;"&amp;(Assumptions!$B$4+14))-SUMIFS(Projection!$K$4:$K$59,Projection!$B$4:$B$59,"&lt;"&amp;(Assumptions!$B$4+14)))/Discount!C18</f>
        <v>161424.21635222</v>
      </c>
      <c r="D340" s="1" t="n">
        <f aca="false">(SUMIFS(Projection!$L$4:$L$59,Projection!$B$4:$B$59,"&gt;="&amp;(Assumptions!$B$4+14))+Pricing!$B$14*SUMIFS($G$15:$G$70,$A$15:$A$70,"&gt;="&amp;(Assumptions!$B$4+14))-Pricing!$B$14*SUMIFS(Projection!$I$4:$I$59,Projection!$B$4:$B$59,"&gt;="&amp;(Assumptions!$B$4+14))+SUMIFS(Projection!$K$4:$K$59,Projection!$B$4:$B$59,"&gt;="&amp;(Assumptions!$B$4+14)))/Discount!C18</f>
        <v>155454.151904803</v>
      </c>
      <c r="E340" s="1" t="n">
        <f aca="false">C340-D340</f>
        <v>5970.06444741681</v>
      </c>
      <c r="F340" s="1" t="n">
        <f aca="false">IF(M340&lt;=0,0,MAX(0,(K340+L340-E340)/M340))</f>
        <v>35109.3637683046</v>
      </c>
      <c r="G340" s="1" t="n">
        <f aca="false">($B$269*(SUMIFS(Projection!$I$4:$I$59,Projection!$B$4:$B$59,"&lt;"&amp;(Assumptions!$B$4+14))-SUMIFS($L$15:$L$70,$A$15:$A$70,"&lt;"&amp;(Assumptions!$B$4+14)))-SUMIFS(Projection!$L$4:$L$59,Projection!$B$4:$B$59,"&lt;"&amp;(Assumptions!$B$4+14))-SUMIFS(Projection!$K$4:$K$59,Projection!$B$4:$B$59,"&lt;"&amp;(Assumptions!$B$4+14)))/Discount!C18</f>
        <v>161186.769833817</v>
      </c>
      <c r="H340" s="1" t="n">
        <f aca="false">(SUMIFS(Projection!$L$4:$L$59,Projection!$B$4:$B$59,"&gt;="&amp;(Assumptions!$B$4+14))+$B$269*SUMIFS($L$15:$L$70,$A$15:$A$70,"&gt;="&amp;(Assumptions!$B$4+14))-$B$269*SUMIFS(Projection!$I$4:$I$59,Projection!$B$4:$B$59,"&gt;="&amp;(Assumptions!$B$4+14))+SUMIFS(Projection!$K$4:$K$59,Projection!$B$4:$B$59,"&gt;="&amp;(Assumptions!$B$4+14)))/Discount!C18</f>
        <v>155466.271202335</v>
      </c>
      <c r="I340" s="1" t="n">
        <f aca="false">G340-H340</f>
        <v>5720.49863148277</v>
      </c>
      <c r="J340" s="1" t="n">
        <f aca="false">IF(M340&lt;=0,0,MAX(0,(K340+L340-I340)/M340))</f>
        <v>35460.5835979339</v>
      </c>
      <c r="K340" s="72" t="n">
        <f aca="false">RiskMargin!J18</f>
        <v>18998.0018950061</v>
      </c>
      <c r="L340" s="72" t="n">
        <f aca="false">RiskMargin!L18</f>
        <v>11919.6773411596</v>
      </c>
      <c r="M340" s="73" t="n">
        <f aca="false">Projection!F18</f>
        <v>0.710568694818408</v>
      </c>
    </row>
    <row r="341" customFormat="false" ht="15" hidden="false" customHeight="true" outlineLevel="0" collapsed="false">
      <c r="A341" s="1" t="n">
        <v>15</v>
      </c>
      <c r="B341" s="1" t="n">
        <f aca="false">Assumptions!$B$4+15</f>
        <v>80</v>
      </c>
      <c r="C341" s="1" t="n">
        <f aca="false">(Pricing!$B$14*(SUMIFS(Projection!$I$4:$I$59,Projection!$B$4:$B$59,"&lt;"&amp;(Assumptions!$B$4+15))-SUMIFS($G$15:$G$70,$A$15:$A$70,"&lt;"&amp;(Assumptions!$B$4+15)))-SUMIFS(Projection!$L$4:$L$59,Projection!$B$4:$B$59,"&lt;"&amp;(Assumptions!$B$4+15))-SUMIFS(Projection!$K$4:$K$59,Projection!$B$4:$B$59,"&lt;"&amp;(Assumptions!$B$4+15)))/Discount!C19</f>
        <v>175975.362518548</v>
      </c>
      <c r="D341" s="1" t="n">
        <f aca="false">(SUMIFS(Projection!$L$4:$L$59,Projection!$B$4:$B$59,"&gt;="&amp;(Assumptions!$B$4+15))+Pricing!$B$14*SUMIFS($G$15:$G$70,$A$15:$A$70,"&gt;="&amp;(Assumptions!$B$4+15))-Pricing!$B$14*SUMIFS(Projection!$I$4:$I$59,Projection!$B$4:$B$59,"&gt;="&amp;(Assumptions!$B$4+15))+SUMIFS(Projection!$K$4:$K$59,Projection!$B$4:$B$59,"&gt;="&amp;(Assumptions!$B$4+15)))/Discount!C19</f>
        <v>169782.914600927</v>
      </c>
      <c r="E341" s="1" t="n">
        <f aca="false">C341-D341</f>
        <v>6192.4479176208</v>
      </c>
      <c r="F341" s="1" t="n">
        <f aca="false">IF(M341&lt;=0,0,MAX(0,(K341+L341-E341)/M341))</f>
        <v>34280.0380054261</v>
      </c>
      <c r="G341" s="1" t="n">
        <f aca="false">($B$269*(SUMIFS(Projection!$I$4:$I$59,Projection!$B$4:$B$59,"&lt;"&amp;(Assumptions!$B$4+15))-SUMIFS($L$15:$L$70,$A$15:$A$70,"&lt;"&amp;(Assumptions!$B$4+15)))-SUMIFS(Projection!$L$4:$L$59,Projection!$B$4:$B$59,"&lt;"&amp;(Assumptions!$B$4+15))-SUMIFS(Projection!$K$4:$K$59,Projection!$B$4:$B$59,"&lt;"&amp;(Assumptions!$B$4+15)))/Discount!C19</f>
        <v>175716.500435768</v>
      </c>
      <c r="H341" s="1" t="n">
        <f aca="false">(SUMIFS(Projection!$L$4:$L$59,Projection!$B$4:$B$59,"&gt;="&amp;(Assumptions!$B$4+15))+$B$269*SUMIFS($L$15:$L$70,$A$15:$A$70,"&gt;="&amp;(Assumptions!$B$4+15))-$B$269*SUMIFS(Projection!$I$4:$I$59,Projection!$B$4:$B$59,"&gt;="&amp;(Assumptions!$B$4+15))+SUMIFS(Projection!$K$4:$K$59,Projection!$B$4:$B$59,"&gt;="&amp;(Assumptions!$B$4+15)))/Discount!C19</f>
        <v>169782.914600927</v>
      </c>
      <c r="I341" s="1" t="n">
        <f aca="false">G341-H341</f>
        <v>5933.5858348406</v>
      </c>
      <c r="J341" s="1" t="n">
        <f aca="false">IF(M341&lt;=0,0,MAX(0,(K341+L341-I341)/M341))</f>
        <v>34656.4655782241</v>
      </c>
      <c r="K341" s="72" t="n">
        <f aca="false">RiskMargin!J19</f>
        <v>18584.8360127642</v>
      </c>
      <c r="L341" s="72" t="n">
        <f aca="false">RiskMargin!L19</f>
        <v>11181.3420912797</v>
      </c>
      <c r="M341" s="73" t="n">
        <f aca="false">Projection!F19</f>
        <v>0.687680981645694</v>
      </c>
    </row>
    <row r="342" customFormat="false" ht="15" hidden="false" customHeight="true" outlineLevel="0" collapsed="false">
      <c r="A342" s="1" t="n">
        <v>16</v>
      </c>
      <c r="B342" s="1" t="n">
        <f aca="false">Assumptions!$B$4+16</f>
        <v>81</v>
      </c>
      <c r="C342" s="1" t="n">
        <f aca="false">(Pricing!$B$14*(SUMIFS(Projection!$I$4:$I$59,Projection!$B$4:$B$59,"&lt;"&amp;(Assumptions!$B$4+16))-SUMIFS($G$15:$G$70,$A$15:$A$70,"&lt;"&amp;(Assumptions!$B$4+16)))-SUMIFS(Projection!$L$4:$L$59,Projection!$B$4:$B$59,"&lt;"&amp;(Assumptions!$B$4+16))-SUMIFS(Projection!$K$4:$K$59,Projection!$B$4:$B$59,"&lt;"&amp;(Assumptions!$B$4+16)))/Discount!C20</f>
        <v>166916.841796054</v>
      </c>
      <c r="D342" s="1" t="n">
        <f aca="false">(SUMIFS(Projection!$L$4:$L$59,Projection!$B$4:$B$59,"&gt;="&amp;(Assumptions!$B$4+16))+Pricing!$B$14*SUMIFS($G$15:$G$70,$A$15:$A$70,"&gt;="&amp;(Assumptions!$B$4+16))-Pricing!$B$14*SUMIFS(Projection!$I$4:$I$59,Projection!$B$4:$B$59,"&gt;="&amp;(Assumptions!$B$4+16))+SUMIFS(Projection!$K$4:$K$59,Projection!$B$4:$B$59,"&gt;="&amp;(Assumptions!$B$4+16)))/Discount!C20</f>
        <v>160500.215281461</v>
      </c>
      <c r="E342" s="1" t="n">
        <f aca="false">C342-D342</f>
        <v>6416.62651459317</v>
      </c>
      <c r="F342" s="1" t="n">
        <f aca="false">IF(M342&lt;=0,0,MAX(0,(K342+L342-E342)/M342))</f>
        <v>33287.7468023815</v>
      </c>
      <c r="G342" s="1" t="n">
        <f aca="false">($B$269*(SUMIFS(Projection!$I$4:$I$59,Projection!$B$4:$B$59,"&lt;"&amp;(Assumptions!$B$4+16))-SUMIFS($L$15:$L$70,$A$15:$A$70,"&lt;"&amp;(Assumptions!$B$4+16)))-SUMIFS(Projection!$L$4:$L$59,Projection!$B$4:$B$59,"&lt;"&amp;(Assumptions!$B$4+16))-SUMIFS(Projection!$K$4:$K$59,Projection!$B$4:$B$59,"&lt;"&amp;(Assumptions!$B$4+16)))/Discount!C20</f>
        <v>166648.608404981</v>
      </c>
      <c r="H342" s="1" t="n">
        <f aca="false">(SUMIFS(Projection!$L$4:$L$59,Projection!$B$4:$B$59,"&gt;="&amp;(Assumptions!$B$4+16))+$B$269*SUMIFS($L$15:$L$70,$A$15:$A$70,"&gt;="&amp;(Assumptions!$B$4+16))-$B$269*SUMIFS(Projection!$I$4:$I$59,Projection!$B$4:$B$59,"&gt;="&amp;(Assumptions!$B$4+16))+SUMIFS(Projection!$K$4:$K$59,Projection!$B$4:$B$59,"&gt;="&amp;(Assumptions!$B$4+16)))/Discount!C20</f>
        <v>160500.215281461</v>
      </c>
      <c r="I342" s="1" t="n">
        <f aca="false">G342-H342</f>
        <v>6148.39312351955</v>
      </c>
      <c r="J342" s="1" t="n">
        <f aca="false">IF(M342&lt;=0,0,MAX(0,(K342+L342-I342)/M342))</f>
        <v>33688.6479793632</v>
      </c>
      <c r="K342" s="72" t="n">
        <f aca="false">RiskMargin!J20</f>
        <v>18257.9921869559</v>
      </c>
      <c r="L342" s="72" t="n">
        <f aca="false">RiskMargin!L20</f>
        <v>10430.6697285436</v>
      </c>
      <c r="M342" s="73" t="n">
        <f aca="false">Projection!F20</f>
        <v>0.669076087760706</v>
      </c>
    </row>
    <row r="343" customFormat="false" ht="15" hidden="false" customHeight="true" outlineLevel="0" collapsed="false">
      <c r="A343" s="1" t="n">
        <v>17</v>
      </c>
      <c r="B343" s="1" t="n">
        <f aca="false">Assumptions!$B$4+17</f>
        <v>82</v>
      </c>
      <c r="C343" s="1" t="n">
        <f aca="false">(Pricing!$B$14*(SUMIFS(Projection!$I$4:$I$59,Projection!$B$4:$B$59,"&lt;"&amp;(Assumptions!$B$4+17))-SUMIFS($G$15:$G$70,$A$15:$A$70,"&lt;"&amp;(Assumptions!$B$4+17)))-SUMIFS(Projection!$L$4:$L$59,Projection!$B$4:$B$59,"&lt;"&amp;(Assumptions!$B$4+17))-SUMIFS(Projection!$K$4:$K$59,Projection!$B$4:$B$59,"&lt;"&amp;(Assumptions!$B$4+17)))/Discount!C21</f>
        <v>157355.345876953</v>
      </c>
      <c r="D343" s="1" t="n">
        <f aca="false">(SUMIFS(Projection!$L$4:$L$59,Projection!$B$4:$B$59,"&gt;="&amp;(Assumptions!$B$4+17))+Pricing!$B$14*SUMIFS($G$15:$G$70,$A$15:$A$70,"&gt;="&amp;(Assumptions!$B$4+17))-Pricing!$B$14*SUMIFS(Projection!$I$4:$I$59,Projection!$B$4:$B$59,"&gt;="&amp;(Assumptions!$B$4+17))+SUMIFS(Projection!$K$4:$K$59,Projection!$B$4:$B$59,"&gt;="&amp;(Assumptions!$B$4+17)))/Discount!C21</f>
        <v>150718.732932927</v>
      </c>
      <c r="E343" s="1" t="n">
        <f aca="false">C343-D343</f>
        <v>6636.61294402662</v>
      </c>
      <c r="F343" s="1" t="n">
        <f aca="false">IF(M343&lt;=0,0,MAX(0,(K343+L343-E343)/M343))</f>
        <v>32124.8190805495</v>
      </c>
      <c r="G343" s="1" t="n">
        <f aca="false">($B$269*(SUMIFS(Projection!$I$4:$I$59,Projection!$B$4:$B$59,"&lt;"&amp;(Assumptions!$B$4+17))-SUMIFS($L$15:$L$70,$A$15:$A$70,"&lt;"&amp;(Assumptions!$B$4+17)))-SUMIFS(Projection!$L$4:$L$59,Projection!$B$4:$B$59,"&lt;"&amp;(Assumptions!$B$4+17))-SUMIFS(Projection!$K$4:$K$59,Projection!$B$4:$B$59,"&lt;"&amp;(Assumptions!$B$4+17)))/Discount!C21</f>
        <v>157077.916422212</v>
      </c>
      <c r="H343" s="1" t="n">
        <f aca="false">(SUMIFS(Projection!$L$4:$L$59,Projection!$B$4:$B$59,"&gt;="&amp;(Assumptions!$B$4+17))+$B$269*SUMIFS($L$15:$L$70,$A$15:$A$70,"&gt;="&amp;(Assumptions!$B$4+17))-$B$269*SUMIFS(Projection!$I$4:$I$59,Projection!$B$4:$B$59,"&gt;="&amp;(Assumptions!$B$4+17))+SUMIFS(Projection!$K$4:$K$59,Projection!$B$4:$B$59,"&gt;="&amp;(Assumptions!$B$4+17)))/Discount!C21</f>
        <v>150718.732932927</v>
      </c>
      <c r="I343" s="1" t="n">
        <f aca="false">G343-H343</f>
        <v>6359.18348928576</v>
      </c>
      <c r="J343" s="1" t="n">
        <f aca="false">IF(M343&lt;=0,0,MAX(0,(K343+L343-I343)/M343))</f>
        <v>32552.4487632544</v>
      </c>
      <c r="K343" s="72" t="n">
        <f aca="false">RiskMargin!J21</f>
        <v>17822.7061358166</v>
      </c>
      <c r="L343" s="72" t="n">
        <f aca="false">RiskMargin!L21</f>
        <v>9655.23612097806</v>
      </c>
      <c r="M343" s="73" t="n">
        <f aca="false">Projection!F21</f>
        <v>0.648760986342387</v>
      </c>
    </row>
    <row r="344" customFormat="false" ht="15" hidden="false" customHeight="true" outlineLevel="0" collapsed="false">
      <c r="A344" s="1" t="n">
        <v>18</v>
      </c>
      <c r="B344" s="1" t="n">
        <f aca="false">Assumptions!$B$4+18</f>
        <v>83</v>
      </c>
      <c r="C344" s="1" t="n">
        <f aca="false">(Pricing!$B$14*(SUMIFS(Projection!$I$4:$I$59,Projection!$B$4:$B$59,"&lt;"&amp;(Assumptions!$B$4+18))-SUMIFS($G$15:$G$70,$A$15:$A$70,"&lt;"&amp;(Assumptions!$B$4+18)))-SUMIFS(Projection!$L$4:$L$59,Projection!$B$4:$B$59,"&lt;"&amp;(Assumptions!$B$4+18))-SUMIFS(Projection!$K$4:$K$59,Projection!$B$4:$B$59,"&lt;"&amp;(Assumptions!$B$4+18)))/Discount!C22</f>
        <v>147475.919175267</v>
      </c>
      <c r="D344" s="1" t="n">
        <f aca="false">(SUMIFS(Projection!$L$4:$L$59,Projection!$B$4:$B$59,"&gt;="&amp;(Assumptions!$B$4+18))+Pricing!$B$14*SUMIFS($G$15:$G$70,$A$15:$A$70,"&gt;="&amp;(Assumptions!$B$4+18))-Pricing!$B$14*SUMIFS(Projection!$I$4:$I$59,Projection!$B$4:$B$59,"&gt;="&amp;(Assumptions!$B$4+18))+SUMIFS(Projection!$K$4:$K$59,Projection!$B$4:$B$59,"&gt;="&amp;(Assumptions!$B$4+18)))/Discount!C22</f>
        <v>140619.095436923</v>
      </c>
      <c r="E344" s="1" t="n">
        <f aca="false">C344-D344</f>
        <v>6856.82373834332</v>
      </c>
      <c r="F344" s="1" t="n">
        <f aca="false">IF(M344&lt;=0,0,MAX(0,(K344+L344-E344)/M344))</f>
        <v>30811.0858831754</v>
      </c>
      <c r="G344" s="1" t="n">
        <f aca="false">($B$269*(SUMIFS(Projection!$I$4:$I$59,Projection!$B$4:$B$59,"&lt;"&amp;(Assumptions!$B$4+18))-SUMIFS($L$15:$L$70,$A$15:$A$70,"&lt;"&amp;(Assumptions!$B$4+18)))-SUMIFS(Projection!$L$4:$L$59,Projection!$B$4:$B$59,"&lt;"&amp;(Assumptions!$B$4+18))-SUMIFS(Projection!$K$4:$K$59,Projection!$B$4:$B$59,"&lt;"&amp;(Assumptions!$B$4+18)))/Discount!C22</f>
        <v>147189.284277763</v>
      </c>
      <c r="H344" s="1" t="n">
        <f aca="false">(SUMIFS(Projection!$L$4:$L$59,Projection!$B$4:$B$59,"&gt;="&amp;(Assumptions!$B$4+18))+$B$269*SUMIFS($L$15:$L$70,$A$15:$A$70,"&gt;="&amp;(Assumptions!$B$4+18))-$B$269*SUMIFS(Projection!$I$4:$I$59,Projection!$B$4:$B$59,"&gt;="&amp;(Assumptions!$B$4+18))+SUMIFS(Projection!$K$4:$K$59,Projection!$B$4:$B$59,"&gt;="&amp;(Assumptions!$B$4+18)))/Discount!C22</f>
        <v>140619.095436923</v>
      </c>
      <c r="I344" s="1" t="n">
        <f aca="false">G344-H344</f>
        <v>6570.1888408396</v>
      </c>
      <c r="J344" s="1" t="n">
        <f aca="false">IF(M344&lt;=0,0,MAX(0,(K344+L344-I344)/M344))</f>
        <v>31268.493960426</v>
      </c>
      <c r="K344" s="72" t="n">
        <f aca="false">RiskMargin!J22</f>
        <v>17293.8358236351</v>
      </c>
      <c r="L344" s="72" t="n">
        <f aca="false">RiskMargin!L22</f>
        <v>8870.76336368321</v>
      </c>
      <c r="M344" s="73" t="n">
        <f aca="false">Projection!F22</f>
        <v>0.626650275234803</v>
      </c>
    </row>
    <row r="345" customFormat="false" ht="15" hidden="false" customHeight="true" outlineLevel="0" collapsed="false">
      <c r="A345" s="1" t="n">
        <v>19</v>
      </c>
      <c r="B345" s="1" t="n">
        <f aca="false">Assumptions!$B$4+19</f>
        <v>84</v>
      </c>
      <c r="C345" s="1" t="n">
        <f aca="false">(Pricing!$B$14*(SUMIFS(Projection!$I$4:$I$59,Projection!$B$4:$B$59,"&lt;"&amp;(Assumptions!$B$4+19))-SUMIFS($G$15:$G$70,$A$15:$A$70,"&lt;"&amp;(Assumptions!$B$4+19)))-SUMIFS(Projection!$L$4:$L$59,Projection!$B$4:$B$59,"&lt;"&amp;(Assumptions!$B$4+19))-SUMIFS(Projection!$K$4:$K$59,Projection!$B$4:$B$59,"&lt;"&amp;(Assumptions!$B$4+19)))/Discount!C23</f>
        <v>137363.316866717</v>
      </c>
      <c r="D345" s="1" t="n">
        <f aca="false">(SUMIFS(Projection!$L$4:$L$59,Projection!$B$4:$B$59,"&gt;="&amp;(Assumptions!$B$4+19))+Pricing!$B$14*SUMIFS($G$15:$G$70,$A$15:$A$70,"&gt;="&amp;(Assumptions!$B$4+19))-Pricing!$B$14*SUMIFS(Projection!$I$4:$I$59,Projection!$B$4:$B$59,"&gt;="&amp;(Assumptions!$B$4+19))+SUMIFS(Projection!$K$4:$K$59,Projection!$B$4:$B$59,"&gt;="&amp;(Assumptions!$B$4+19)))/Discount!C23</f>
        <v>130285.565244465</v>
      </c>
      <c r="E345" s="1" t="n">
        <f aca="false">C345-D345</f>
        <v>7077.75162225199</v>
      </c>
      <c r="F345" s="1" t="n">
        <f aca="false">IF(M345&lt;=0,0,MAX(0,(K345+L345-E345)/M345))</f>
        <v>29341.9007742106</v>
      </c>
      <c r="G345" s="1" t="n">
        <f aca="false">($B$269*(SUMIFS(Projection!$I$4:$I$59,Projection!$B$4:$B$59,"&lt;"&amp;(Assumptions!$B$4+19))-SUMIFS($L$15:$L$70,$A$15:$A$70,"&lt;"&amp;(Assumptions!$B$4+19)))-SUMIFS(Projection!$L$4:$L$59,Projection!$B$4:$B$59,"&lt;"&amp;(Assumptions!$B$4+19))-SUMIFS(Projection!$K$4:$K$59,Projection!$B$4:$B$59,"&lt;"&amp;(Assumptions!$B$4+19)))/Discount!C23</f>
        <v>137067.446550048</v>
      </c>
      <c r="H345" s="1" t="n">
        <f aca="false">(SUMIFS(Projection!$L$4:$L$59,Projection!$B$4:$B$59,"&gt;="&amp;(Assumptions!$B$4+19))+$B$269*SUMIFS($L$15:$L$70,$A$15:$A$70,"&gt;="&amp;(Assumptions!$B$4+19))-$B$269*SUMIFS(Projection!$I$4:$I$59,Projection!$B$4:$B$59,"&gt;="&amp;(Assumptions!$B$4+19))+SUMIFS(Projection!$K$4:$K$59,Projection!$B$4:$B$59,"&gt;="&amp;(Assumptions!$B$4+19)))/Discount!C23</f>
        <v>130285.565244465</v>
      </c>
      <c r="I345" s="1" t="n">
        <f aca="false">G345-H345</f>
        <v>6781.8813055839</v>
      </c>
      <c r="J345" s="1" t="n">
        <f aca="false">IF(M345&lt;=0,0,MAX(0,(K345+L345-I345)/M345))</f>
        <v>29832.8241755356</v>
      </c>
      <c r="K345" s="72" t="n">
        <f aca="false">RiskMargin!J23</f>
        <v>16676.0463761568</v>
      </c>
      <c r="L345" s="72" t="n">
        <f aca="false">RiskMargin!L23</f>
        <v>8085.51793515636</v>
      </c>
      <c r="M345" s="73" t="n">
        <f aca="false">Projection!F23</f>
        <v>0.602681224544387</v>
      </c>
    </row>
    <row r="346" customFormat="false" ht="15" hidden="false" customHeight="true" outlineLevel="0" collapsed="false">
      <c r="A346" s="1" t="n">
        <v>20</v>
      </c>
      <c r="B346" s="1" t="n">
        <f aca="false">Assumptions!$B$4+20</f>
        <v>85</v>
      </c>
      <c r="C346" s="1" t="n">
        <f aca="false">(Pricing!$B$14*(SUMIFS(Projection!$I$4:$I$59,Projection!$B$4:$B$59,"&lt;"&amp;(Assumptions!$B$4+20))-SUMIFS($G$15:$G$70,$A$15:$A$70,"&lt;"&amp;(Assumptions!$B$4+20)))-SUMIFS(Projection!$L$4:$L$59,Projection!$B$4:$B$59,"&lt;"&amp;(Assumptions!$B$4+20))-SUMIFS(Projection!$K$4:$K$59,Projection!$B$4:$B$59,"&lt;"&amp;(Assumptions!$B$4+20)))/Discount!C24</f>
        <v>127165.207527775</v>
      </c>
      <c r="D346" s="1" t="n">
        <f aca="false">(SUMIFS(Projection!$L$4:$L$59,Projection!$B$4:$B$59,"&gt;="&amp;(Assumptions!$B$4+20))+Pricing!$B$14*SUMIFS($G$15:$G$70,$A$15:$A$70,"&gt;="&amp;(Assumptions!$B$4+20))-Pricing!$B$14*SUMIFS(Projection!$I$4:$I$59,Projection!$B$4:$B$59,"&gt;="&amp;(Assumptions!$B$4+20))+SUMIFS(Projection!$K$4:$K$59,Projection!$B$4:$B$59,"&gt;="&amp;(Assumptions!$B$4+20)))/Discount!C24</f>
        <v>119861.817053451</v>
      </c>
      <c r="E346" s="1" t="n">
        <f aca="false">C346-D346</f>
        <v>7303.3904743248</v>
      </c>
      <c r="F346" s="1" t="n">
        <f aca="false">IF(M346&lt;=0,0,MAX(0,(K346+L346-E346)/M346))</f>
        <v>27722.4820573827</v>
      </c>
      <c r="G346" s="1" t="n">
        <f aca="false">($B$269*(SUMIFS(Projection!$I$4:$I$59,Projection!$B$4:$B$59,"&lt;"&amp;(Assumptions!$B$4+20))-SUMIFS($L$15:$L$70,$A$15:$A$70,"&lt;"&amp;(Assumptions!$B$4+20)))-SUMIFS(Projection!$L$4:$L$59,Projection!$B$4:$B$59,"&lt;"&amp;(Assumptions!$B$4+20))-SUMIFS(Projection!$K$4:$K$59,Projection!$B$4:$B$59,"&lt;"&amp;(Assumptions!$B$4+20)))/Discount!C24</f>
        <v>126859.904859963</v>
      </c>
      <c r="H346" s="1" t="n">
        <f aca="false">(SUMIFS(Projection!$L$4:$L$59,Projection!$B$4:$B$59,"&gt;="&amp;(Assumptions!$B$4+20))+$B$269*SUMIFS($L$15:$L$70,$A$15:$A$70,"&gt;="&amp;(Assumptions!$B$4+20))-$B$269*SUMIFS(Projection!$I$4:$I$59,Projection!$B$4:$B$59,"&gt;="&amp;(Assumptions!$B$4+20))+SUMIFS(Projection!$K$4:$K$59,Projection!$B$4:$B$59,"&gt;="&amp;(Assumptions!$B$4+20)))/Discount!C24</f>
        <v>119861.817053451</v>
      </c>
      <c r="I346" s="1" t="n">
        <f aca="false">G346-H346</f>
        <v>6998.08780651212</v>
      </c>
      <c r="J346" s="1" t="n">
        <f aca="false">IF(M346&lt;=0,0,MAX(0,(K346+L346-I346)/M346))</f>
        <v>28251.7658746032</v>
      </c>
      <c r="K346" s="72" t="n">
        <f aca="false">RiskMargin!J24</f>
        <v>15983.5105361247</v>
      </c>
      <c r="L346" s="72" t="n">
        <f aca="false">RiskMargin!L24</f>
        <v>7310.82365333955</v>
      </c>
      <c r="M346" s="73" t="n">
        <f aca="false">Projection!F24</f>
        <v>0.576822222557124</v>
      </c>
    </row>
    <row r="347" customFormat="false" ht="15" hidden="false" customHeight="true" outlineLevel="0" collapsed="false">
      <c r="A347" s="1" t="n">
        <v>21</v>
      </c>
      <c r="B347" s="1" t="n">
        <f aca="false">Assumptions!$B$4+21</f>
        <v>86</v>
      </c>
      <c r="C347" s="1" t="n">
        <f aca="false">(Pricing!$B$14*(SUMIFS(Projection!$I$4:$I$59,Projection!$B$4:$B$59,"&lt;"&amp;(Assumptions!$B$4+21))-SUMIFS($G$15:$G$70,$A$15:$A$70,"&lt;"&amp;(Assumptions!$B$4+21)))-SUMIFS(Projection!$L$4:$L$59,Projection!$B$4:$B$59,"&lt;"&amp;(Assumptions!$B$4+21))-SUMIFS(Projection!$K$4:$K$59,Projection!$B$4:$B$59,"&lt;"&amp;(Assumptions!$B$4+21)))/Discount!C25</f>
        <v>116990.284377484</v>
      </c>
      <c r="D347" s="1" t="n">
        <f aca="false">(SUMIFS(Projection!$L$4:$L$59,Projection!$B$4:$B$59,"&gt;="&amp;(Assumptions!$B$4+21))+Pricing!$B$14*SUMIFS($G$15:$G$70,$A$15:$A$70,"&gt;="&amp;(Assumptions!$B$4+21))-Pricing!$B$14*SUMIFS(Projection!$I$4:$I$59,Projection!$B$4:$B$59,"&gt;="&amp;(Assumptions!$B$4+21))+SUMIFS(Projection!$K$4:$K$59,Projection!$B$4:$B$59,"&gt;="&amp;(Assumptions!$B$4+21)))/Discount!C25</f>
        <v>109453.915598359</v>
      </c>
      <c r="E347" s="1" t="n">
        <f aca="false">C347-D347</f>
        <v>7536.36877912507</v>
      </c>
      <c r="F347" s="1" t="n">
        <f aca="false">IF(M347&lt;=0,0,MAX(0,(K347+L347-E347)/M347))</f>
        <v>25908.4280960014</v>
      </c>
      <c r="G347" s="1" t="n">
        <f aca="false">($B$269*(SUMIFS(Projection!$I$4:$I$59,Projection!$B$4:$B$59,"&lt;"&amp;(Assumptions!$B$4+21))-SUMIFS($L$15:$L$70,$A$15:$A$70,"&lt;"&amp;(Assumptions!$B$4+21)))-SUMIFS(Projection!$L$4:$L$59,Projection!$B$4:$B$59,"&lt;"&amp;(Assumptions!$B$4+21))-SUMIFS(Projection!$K$4:$K$59,Projection!$B$4:$B$59,"&lt;"&amp;(Assumptions!$B$4+21)))/Discount!C25</f>
        <v>116675.242548353</v>
      </c>
      <c r="H347" s="1" t="n">
        <f aca="false">(SUMIFS(Projection!$L$4:$L$59,Projection!$B$4:$B$59,"&gt;="&amp;(Assumptions!$B$4+21))+$B$269*SUMIFS($L$15:$L$70,$A$15:$A$70,"&gt;="&amp;(Assumptions!$B$4+21))-$B$269*SUMIFS(Projection!$I$4:$I$59,Projection!$B$4:$B$59,"&gt;="&amp;(Assumptions!$B$4+21))+SUMIFS(Projection!$K$4:$K$59,Projection!$B$4:$B$59,"&gt;="&amp;(Assumptions!$B$4+21)))/Discount!C25</f>
        <v>109453.915598359</v>
      </c>
      <c r="I347" s="1" t="n">
        <f aca="false">G347-H347</f>
        <v>7221.32694999436</v>
      </c>
      <c r="J347" s="1" t="n">
        <f aca="false">IF(M347&lt;=0,0,MAX(0,(K347+L347-I347)/M347))</f>
        <v>26483.1459604597</v>
      </c>
      <c r="K347" s="72" t="n">
        <f aca="false">RiskMargin!J25</f>
        <v>15184.0989030088</v>
      </c>
      <c r="L347" s="72" t="n">
        <f aca="false">RiskMargin!L25</f>
        <v>6554.43598584625</v>
      </c>
      <c r="M347" s="73" t="n">
        <f aca="false">Projection!F25</f>
        <v>0.548167803044827</v>
      </c>
    </row>
    <row r="348" customFormat="false" ht="15" hidden="false" customHeight="true" outlineLevel="0" collapsed="false">
      <c r="A348" s="1" t="n">
        <v>22</v>
      </c>
      <c r="B348" s="1" t="n">
        <f aca="false">Assumptions!$B$4+22</f>
        <v>87</v>
      </c>
      <c r="C348" s="1" t="n">
        <f aca="false">(Pricing!$B$14*(SUMIFS(Projection!$I$4:$I$59,Projection!$B$4:$B$59,"&lt;"&amp;(Assumptions!$B$4+22))-SUMIFS($G$15:$G$70,$A$15:$A$70,"&lt;"&amp;(Assumptions!$B$4+22)))-SUMIFS(Projection!$L$4:$L$59,Projection!$B$4:$B$59,"&lt;"&amp;(Assumptions!$B$4+22))-SUMIFS(Projection!$K$4:$K$59,Projection!$B$4:$B$59,"&lt;"&amp;(Assumptions!$B$4+22)))/Discount!C26</f>
        <v>106928.951733912</v>
      </c>
      <c r="D348" s="1" t="n">
        <f aca="false">(SUMIFS(Projection!$L$4:$L$59,Projection!$B$4:$B$59,"&gt;="&amp;(Assumptions!$B$4+22))+Pricing!$B$14*SUMIFS($G$15:$G$70,$A$15:$A$70,"&gt;="&amp;(Assumptions!$B$4+22))-Pricing!$B$14*SUMIFS(Projection!$I$4:$I$59,Projection!$B$4:$B$59,"&gt;="&amp;(Assumptions!$B$4+22))+SUMIFS(Projection!$K$4:$K$59,Projection!$B$4:$B$59,"&gt;="&amp;(Assumptions!$B$4+22)))/Discount!C26</f>
        <v>99152.0218946052</v>
      </c>
      <c r="E348" s="1" t="n">
        <f aca="false">C348-D348</f>
        <v>7776.92983930663</v>
      </c>
      <c r="F348" s="1" t="n">
        <f aca="false">IF(M348&lt;=0,0,MAX(0,(K348+L348-E348)/M348))</f>
        <v>23882.893184264</v>
      </c>
      <c r="G348" s="1" t="n">
        <f aca="false">($B$269*(SUMIFS(Projection!$I$4:$I$59,Projection!$B$4:$B$59,"&lt;"&amp;(Assumptions!$B$4+22))-SUMIFS($L$15:$L$70,$A$15:$A$70,"&lt;"&amp;(Assumptions!$B$4+22)))-SUMIFS(Projection!$L$4:$L$59,Projection!$B$4:$B$59,"&lt;"&amp;(Assumptions!$B$4+22))-SUMIFS(Projection!$K$4:$K$59,Projection!$B$4:$B$59,"&lt;"&amp;(Assumptions!$B$4+22)))/Discount!C26</f>
        <v>106603.853762541</v>
      </c>
      <c r="H348" s="1" t="n">
        <f aca="false">(SUMIFS(Projection!$L$4:$L$59,Projection!$B$4:$B$59,"&gt;="&amp;(Assumptions!$B$4+22))+$B$269*SUMIFS($L$15:$L$70,$A$15:$A$70,"&gt;="&amp;(Assumptions!$B$4+22))-$B$269*SUMIFS(Projection!$I$4:$I$59,Projection!$B$4:$B$59,"&gt;="&amp;(Assumptions!$B$4+22))+SUMIFS(Projection!$K$4:$K$59,Projection!$B$4:$B$59,"&gt;="&amp;(Assumptions!$B$4+22)))/Discount!C26</f>
        <v>99152.0218946052</v>
      </c>
      <c r="I348" s="1" t="n">
        <f aca="false">G348-H348</f>
        <v>7451.83186793575</v>
      </c>
      <c r="J348" s="1" t="n">
        <f aca="false">IF(M348&lt;=0,0,MAX(0,(K348+L348-I348)/M348))</f>
        <v>24511.3677087276</v>
      </c>
      <c r="K348" s="72" t="n">
        <f aca="false">RiskMargin!J26</f>
        <v>14307.5710736408</v>
      </c>
      <c r="L348" s="72" t="n">
        <f aca="false">RiskMargin!L26</f>
        <v>5823.52718847984</v>
      </c>
      <c r="M348" s="73" t="n">
        <f aca="false">Projection!F26</f>
        <v>0.517281065049269</v>
      </c>
    </row>
    <row r="349" customFormat="false" ht="15" hidden="false" customHeight="true" outlineLevel="0" collapsed="false">
      <c r="A349" s="1" t="n">
        <v>23</v>
      </c>
      <c r="B349" s="1" t="n">
        <f aca="false">Assumptions!$B$4+23</f>
        <v>88</v>
      </c>
      <c r="C349" s="1" t="n">
        <f aca="false">(Pricing!$B$14*(SUMIFS(Projection!$I$4:$I$59,Projection!$B$4:$B$59,"&lt;"&amp;(Assumptions!$B$4+23))-SUMIFS($G$15:$G$70,$A$15:$A$70,"&lt;"&amp;(Assumptions!$B$4+23)))-SUMIFS(Projection!$L$4:$L$59,Projection!$B$4:$B$59,"&lt;"&amp;(Assumptions!$B$4+23))-SUMIFS(Projection!$K$4:$K$59,Projection!$B$4:$B$59,"&lt;"&amp;(Assumptions!$B$4+23)))/Discount!C27</f>
        <v>97064.9304678307</v>
      </c>
      <c r="D349" s="1" t="n">
        <f aca="false">(SUMIFS(Projection!$L$4:$L$59,Projection!$B$4:$B$59,"&gt;="&amp;(Assumptions!$B$4+23))+Pricing!$B$14*SUMIFS($G$15:$G$70,$A$15:$A$70,"&gt;="&amp;(Assumptions!$B$4+23))-Pricing!$B$14*SUMIFS(Projection!$I$4:$I$59,Projection!$B$4:$B$59,"&gt;="&amp;(Assumptions!$B$4+23))+SUMIFS(Projection!$K$4:$K$59,Projection!$B$4:$B$59,"&gt;="&amp;(Assumptions!$B$4+23)))/Discount!C27</f>
        <v>89039.6052987346</v>
      </c>
      <c r="E349" s="1" t="n">
        <f aca="false">C349-D349</f>
        <v>8025.32516909603</v>
      </c>
      <c r="F349" s="1" t="n">
        <f aca="false">IF(M349&lt;=0,0,MAX(0,(K349+L349-E349)/M349))</f>
        <v>21598.6133740322</v>
      </c>
      <c r="G349" s="1" t="n">
        <f aca="false">($B$269*(SUMIFS(Projection!$I$4:$I$59,Projection!$B$4:$B$59,"&lt;"&amp;(Assumptions!$B$4+23))-SUMIFS($L$15:$L$70,$A$15:$A$70,"&lt;"&amp;(Assumptions!$B$4+23)))-SUMIFS(Projection!$L$4:$L$59,Projection!$B$4:$B$59,"&lt;"&amp;(Assumptions!$B$4+23))-SUMIFS(Projection!$K$4:$K$59,Projection!$B$4:$B$59,"&lt;"&amp;(Assumptions!$B$4+23)))/Discount!C27</f>
        <v>96729.4488592815</v>
      </c>
      <c r="H349" s="1" t="n">
        <f aca="false">(SUMIFS(Projection!$L$4:$L$59,Projection!$B$4:$B$59,"&gt;="&amp;(Assumptions!$B$4+23))+$B$269*SUMIFS($L$15:$L$70,$A$15:$A$70,"&gt;="&amp;(Assumptions!$B$4+23))-$B$269*SUMIFS(Projection!$I$4:$I$59,Projection!$B$4:$B$59,"&gt;="&amp;(Assumptions!$B$4+23))+SUMIFS(Projection!$K$4:$K$59,Projection!$B$4:$B$59,"&gt;="&amp;(Assumptions!$B$4+23)))/Discount!C27</f>
        <v>89039.6052987346</v>
      </c>
      <c r="I349" s="1" t="n">
        <f aca="false">G349-H349</f>
        <v>7689.84356054684</v>
      </c>
      <c r="J349" s="1" t="n">
        <f aca="false">IF(M349&lt;=0,0,MAX(0,(K349+L349-I349)/M349))</f>
        <v>22291.4327144811</v>
      </c>
      <c r="K349" s="72" t="n">
        <f aca="false">RiskMargin!J27</f>
        <v>13360.2925246973</v>
      </c>
      <c r="L349" s="72" t="n">
        <f aca="false">RiskMargin!L27</f>
        <v>5123.65747501966</v>
      </c>
      <c r="M349" s="73" t="n">
        <f aca="false">Projection!F27</f>
        <v>0.484226679255031</v>
      </c>
    </row>
    <row r="350" customFormat="false" ht="15" hidden="false" customHeight="true" outlineLevel="0" collapsed="false">
      <c r="A350" s="1" t="n">
        <v>24</v>
      </c>
      <c r="B350" s="1" t="n">
        <f aca="false">Assumptions!$B$4+24</f>
        <v>89</v>
      </c>
      <c r="C350" s="1" t="n">
        <f aca="false">(Pricing!$B$14*(SUMIFS(Projection!$I$4:$I$59,Projection!$B$4:$B$59,"&lt;"&amp;(Assumptions!$B$4+24))-SUMIFS($G$15:$G$70,$A$15:$A$70,"&lt;"&amp;(Assumptions!$B$4+24)))-SUMIFS(Projection!$L$4:$L$59,Projection!$B$4:$B$59,"&lt;"&amp;(Assumptions!$B$4+24))-SUMIFS(Projection!$K$4:$K$59,Projection!$B$4:$B$59,"&lt;"&amp;(Assumptions!$B$4+24)))/Discount!C28</f>
        <v>87507.4856659585</v>
      </c>
      <c r="D350" s="1" t="n">
        <f aca="false">(SUMIFS(Projection!$L$4:$L$59,Projection!$B$4:$B$59,"&gt;="&amp;(Assumptions!$B$4+24))+Pricing!$B$14*SUMIFS($G$15:$G$70,$A$15:$A$70,"&gt;="&amp;(Assumptions!$B$4+24))-Pricing!$B$14*SUMIFS(Projection!$I$4:$I$59,Projection!$B$4:$B$59,"&gt;="&amp;(Assumptions!$B$4+24))+SUMIFS(Projection!$K$4:$K$59,Projection!$B$4:$B$59,"&gt;="&amp;(Assumptions!$B$4+24)))/Discount!C28</f>
        <v>79223.7441675393</v>
      </c>
      <c r="E350" s="1" t="n">
        <f aca="false">C350-D350</f>
        <v>8283.74149841919</v>
      </c>
      <c r="F350" s="1" t="n">
        <f aca="false">IF(M350&lt;=0,0,MAX(0,(K350+L350-E350)/M350))</f>
        <v>18994.8407384486</v>
      </c>
      <c r="G350" s="1" t="n">
        <f aca="false">($B$269*(SUMIFS(Projection!$I$4:$I$59,Projection!$B$4:$B$59,"&lt;"&amp;(Assumptions!$B$4+24))-SUMIFS($L$15:$L$70,$A$15:$A$70,"&lt;"&amp;(Assumptions!$B$4+24)))-SUMIFS(Projection!$L$4:$L$59,Projection!$B$4:$B$59,"&lt;"&amp;(Assumptions!$B$4+24))-SUMIFS(Projection!$K$4:$K$59,Projection!$B$4:$B$59,"&lt;"&amp;(Assumptions!$B$4+24)))/Discount!C28</f>
        <v>87161.2015137104</v>
      </c>
      <c r="H350" s="1" t="n">
        <f aca="false">(SUMIFS(Projection!$L$4:$L$59,Projection!$B$4:$B$59,"&gt;="&amp;(Assumptions!$B$4+24))+$B$269*SUMIFS($L$15:$L$70,$A$15:$A$70,"&gt;="&amp;(Assumptions!$B$4+24))-$B$269*SUMIFS(Projection!$I$4:$I$59,Projection!$B$4:$B$59,"&gt;="&amp;(Assumptions!$B$4+24))+SUMIFS(Projection!$K$4:$K$59,Projection!$B$4:$B$59,"&gt;="&amp;(Assumptions!$B$4+24)))/Discount!C28</f>
        <v>79223.7441675393</v>
      </c>
      <c r="I350" s="1" t="n">
        <f aca="false">G350-H350</f>
        <v>7937.45734617114</v>
      </c>
      <c r="J350" s="1" t="n">
        <f aca="false">IF(M350&lt;=0,0,MAX(0,(K350+L350-I350)/M350))</f>
        <v>19765.809642759</v>
      </c>
      <c r="K350" s="72" t="n">
        <f aca="false">RiskMargin!J28</f>
        <v>12354.1496093505</v>
      </c>
      <c r="L350" s="72" t="n">
        <f aca="false">RiskMargin!L28</f>
        <v>4461.21007162474</v>
      </c>
      <c r="M350" s="73" t="n">
        <f aca="false">Projection!F28</f>
        <v>0.449154499373439</v>
      </c>
    </row>
    <row r="351" customFormat="false" ht="15" hidden="false" customHeight="true" outlineLevel="0" collapsed="false">
      <c r="A351" s="1" t="n">
        <v>25</v>
      </c>
      <c r="B351" s="1" t="n">
        <f aca="false">Assumptions!$B$4+25</f>
        <v>90</v>
      </c>
      <c r="C351" s="1" t="n">
        <f aca="false">(Pricing!$B$14*(SUMIFS(Projection!$I$4:$I$59,Projection!$B$4:$B$59,"&lt;"&amp;(Assumptions!$B$4+25))-SUMIFS($G$15:$G$70,$A$15:$A$70,"&lt;"&amp;(Assumptions!$B$4+25)))-SUMIFS(Projection!$L$4:$L$59,Projection!$B$4:$B$59,"&lt;"&amp;(Assumptions!$B$4+25))-SUMIFS(Projection!$K$4:$K$59,Projection!$B$4:$B$59,"&lt;"&amp;(Assumptions!$B$4+25)))/Discount!C29</f>
        <v>78309.3433809199</v>
      </c>
      <c r="D351" s="1" t="n">
        <f aca="false">(SUMIFS(Projection!$L$4:$L$59,Projection!$B$4:$B$59,"&gt;="&amp;(Assumptions!$B$4+25))+Pricing!$B$14*SUMIFS($G$15:$G$70,$A$15:$A$70,"&gt;="&amp;(Assumptions!$B$4+25))-Pricing!$B$14*SUMIFS(Projection!$I$4:$I$59,Projection!$B$4:$B$59,"&gt;="&amp;(Assumptions!$B$4+25))+SUMIFS(Projection!$K$4:$K$59,Projection!$B$4:$B$59,"&gt;="&amp;(Assumptions!$B$4+25)))/Discount!C29</f>
        <v>69760.6047510813</v>
      </c>
      <c r="E351" s="1" t="n">
        <f aca="false">C351-D351</f>
        <v>8548.7386298386</v>
      </c>
      <c r="F351" s="1" t="n">
        <f aca="false">IF(M351&lt;=0,0,MAX(0,(K351+L351-E351)/M351))</f>
        <v>15971.0632076687</v>
      </c>
      <c r="G351" s="1" t="n">
        <f aca="false">($B$269*(SUMIFS(Projection!$I$4:$I$59,Projection!$B$4:$B$59,"&lt;"&amp;(Assumptions!$B$4+25))-SUMIFS($L$15:$L$70,$A$15:$A$70,"&lt;"&amp;(Assumptions!$B$4+25)))-SUMIFS(Projection!$L$4:$L$59,Projection!$B$4:$B$59,"&lt;"&amp;(Assumptions!$B$4+25))-SUMIFS(Projection!$K$4:$K$59,Projection!$B$4:$B$59,"&lt;"&amp;(Assumptions!$B$4+25)))/Discount!C29</f>
        <v>77951.9815885718</v>
      </c>
      <c r="H351" s="1" t="n">
        <f aca="false">(SUMIFS(Projection!$L$4:$L$59,Projection!$B$4:$B$59,"&gt;="&amp;(Assumptions!$B$4+25))+$B$269*SUMIFS($L$15:$L$70,$A$15:$A$70,"&gt;="&amp;(Assumptions!$B$4+25))-$B$269*SUMIFS(Projection!$I$4:$I$59,Projection!$B$4:$B$59,"&gt;="&amp;(Assumptions!$B$4+25))+SUMIFS(Projection!$K$4:$K$59,Projection!$B$4:$B$59,"&gt;="&amp;(Assumptions!$B$4+25)))/Discount!C29</f>
        <v>69760.6047510813</v>
      </c>
      <c r="I351" s="1" t="n">
        <f aca="false">G351-H351</f>
        <v>8191.37683749045</v>
      </c>
      <c r="J351" s="1" t="n">
        <f aca="false">IF(M351&lt;=0,0,MAX(0,(K351+L351-I351)/M351))</f>
        <v>16837.7846660795</v>
      </c>
      <c r="K351" s="72" t="n">
        <f aca="false">RiskMargin!J29</f>
        <v>11294.876214783</v>
      </c>
      <c r="L351" s="72" t="n">
        <f aca="false">RiskMargin!L29</f>
        <v>3838.96275866848</v>
      </c>
      <c r="M351" s="73" t="n">
        <f aca="false">Projection!F29</f>
        <v>0.412314462599519</v>
      </c>
    </row>
    <row r="352" customFormat="false" ht="15" hidden="false" customHeight="true" outlineLevel="0" collapsed="false">
      <c r="A352" s="1" t="n">
        <v>26</v>
      </c>
      <c r="B352" s="1" t="n">
        <f aca="false">Assumptions!$B$4+26</f>
        <v>91</v>
      </c>
      <c r="C352" s="1" t="n">
        <f aca="false">(Pricing!$B$14*(SUMIFS(Projection!$I$4:$I$59,Projection!$B$4:$B$59,"&lt;"&amp;(Assumptions!$B$4+26))-SUMIFS($G$15:$G$70,$A$15:$A$70,"&lt;"&amp;(Assumptions!$B$4+26)))-SUMIFS(Projection!$L$4:$L$59,Projection!$B$4:$B$59,"&lt;"&amp;(Assumptions!$B$4+26))-SUMIFS(Projection!$K$4:$K$59,Projection!$B$4:$B$59,"&lt;"&amp;(Assumptions!$B$4+26)))/Discount!C30</f>
        <v>69599.2985604393</v>
      </c>
      <c r="D352" s="1" t="n">
        <f aca="false">(SUMIFS(Projection!$L$4:$L$59,Projection!$B$4:$B$59,"&gt;="&amp;(Assumptions!$B$4+26))+Pricing!$B$14*SUMIFS($G$15:$G$70,$A$15:$A$70,"&gt;="&amp;(Assumptions!$B$4+26))-Pricing!$B$14*SUMIFS(Projection!$I$4:$I$59,Projection!$B$4:$B$59,"&gt;="&amp;(Assumptions!$B$4+26))+SUMIFS(Projection!$K$4:$K$59,Projection!$B$4:$B$59,"&gt;="&amp;(Assumptions!$B$4+26)))/Discount!C30</f>
        <v>60774.6910577118</v>
      </c>
      <c r="E352" s="1" t="n">
        <f aca="false">C352-D352</f>
        <v>8824.60750272749</v>
      </c>
      <c r="F352" s="1" t="n">
        <f aca="false">IF(M352&lt;=0,0,MAX(0,(K352+L352-E352)/M352))</f>
        <v>12312.5226309759</v>
      </c>
      <c r="G352" s="1" t="n">
        <f aca="false">($B$269*(SUMIFS(Projection!$I$4:$I$59,Projection!$B$4:$B$59,"&lt;"&amp;(Assumptions!$B$4+26))-SUMIFS($L$15:$L$70,$A$15:$A$70,"&lt;"&amp;(Assumptions!$B$4+26)))-SUMIFS(Projection!$L$4:$L$59,Projection!$B$4:$B$59,"&lt;"&amp;(Assumptions!$B$4+26))-SUMIFS(Projection!$K$4:$K$59,Projection!$B$4:$B$59,"&lt;"&amp;(Assumptions!$B$4+26)))/Discount!C30</f>
        <v>69230.4046580177</v>
      </c>
      <c r="H352" s="1" t="n">
        <f aca="false">(SUMIFS(Projection!$L$4:$L$59,Projection!$B$4:$B$59,"&gt;="&amp;(Assumptions!$B$4+26))+$B$269*SUMIFS($L$15:$L$70,$A$15:$A$70,"&gt;="&amp;(Assumptions!$B$4+26))-$B$269*SUMIFS(Projection!$I$4:$I$59,Projection!$B$4:$B$59,"&gt;="&amp;(Assumptions!$B$4+26))+SUMIFS(Projection!$K$4:$K$59,Projection!$B$4:$B$59,"&gt;="&amp;(Assumptions!$B$4+26)))/Discount!C30</f>
        <v>60774.6910577118</v>
      </c>
      <c r="I352" s="1" t="n">
        <f aca="false">G352-H352</f>
        <v>8455.71360030587</v>
      </c>
      <c r="J352" s="1" t="n">
        <f aca="false">IF(M352&lt;=0,0,MAX(0,(K352+L352-I352)/M352))</f>
        <v>13301.919023029</v>
      </c>
      <c r="K352" s="72" t="n">
        <f aca="false">RiskMargin!J30</f>
        <v>10152.015154342</v>
      </c>
      <c r="L352" s="72" t="n">
        <f aca="false">RiskMargin!L30</f>
        <v>3263.28477305697</v>
      </c>
      <c r="M352" s="73" t="n">
        <f aca="false">Projection!F30</f>
        <v>0.372847430397582</v>
      </c>
    </row>
    <row r="353" customFormat="false" ht="15" hidden="false" customHeight="true" outlineLevel="0" collapsed="false">
      <c r="A353" s="1" t="n">
        <v>27</v>
      </c>
      <c r="B353" s="1" t="n">
        <f aca="false">Assumptions!$B$4+27</f>
        <v>92</v>
      </c>
      <c r="C353" s="1" t="n">
        <f aca="false">(Pricing!$B$14*(SUMIFS(Projection!$I$4:$I$59,Projection!$B$4:$B$59,"&lt;"&amp;(Assumptions!$B$4+27))-SUMIFS($G$15:$G$70,$A$15:$A$70,"&lt;"&amp;(Assumptions!$B$4+27)))-SUMIFS(Projection!$L$4:$L$59,Projection!$B$4:$B$59,"&lt;"&amp;(Assumptions!$B$4+27))-SUMIFS(Projection!$K$4:$K$59,Projection!$B$4:$B$59,"&lt;"&amp;(Assumptions!$B$4+27)))/Discount!C31</f>
        <v>61466.5764602692</v>
      </c>
      <c r="D353" s="1" t="n">
        <f aca="false">(SUMIFS(Projection!$L$4:$L$59,Projection!$B$4:$B$59,"&gt;="&amp;(Assumptions!$B$4+27))+Pricing!$B$14*SUMIFS($G$15:$G$70,$A$15:$A$70,"&gt;="&amp;(Assumptions!$B$4+27))-Pricing!$B$14*SUMIFS(Projection!$I$4:$I$59,Projection!$B$4:$B$59,"&gt;="&amp;(Assumptions!$B$4+27))+SUMIFS(Projection!$K$4:$K$59,Projection!$B$4:$B$59,"&gt;="&amp;(Assumptions!$B$4+27)))/Discount!C31</f>
        <v>52359.2282329239</v>
      </c>
      <c r="E353" s="1" t="n">
        <f aca="false">C353-D353</f>
        <v>9107.34822734525</v>
      </c>
      <c r="F353" s="1" t="n">
        <f aca="false">IF(M353&lt;=0,0,MAX(0,(K353+L353-E353)/M353))</f>
        <v>7876.57419915374</v>
      </c>
      <c r="G353" s="1" t="n">
        <f aca="false">($B$269*(SUMIFS(Projection!$I$4:$I$59,Projection!$B$4:$B$59,"&lt;"&amp;(Assumptions!$B$4+27))-SUMIFS($L$15:$L$70,$A$15:$A$70,"&lt;"&amp;(Assumptions!$B$4+27)))-SUMIFS(Projection!$L$4:$L$59,Projection!$B$4:$B$59,"&lt;"&amp;(Assumptions!$B$4+27))-SUMIFS(Projection!$K$4:$K$59,Projection!$B$4:$B$59,"&lt;"&amp;(Assumptions!$B$4+27)))/Discount!C31</f>
        <v>61085.8631846635</v>
      </c>
      <c r="H353" s="1" t="n">
        <f aca="false">(SUMIFS(Projection!$L$4:$L$59,Projection!$B$4:$B$59,"&gt;="&amp;(Assumptions!$B$4+27))+$B$269*SUMIFS($L$15:$L$70,$A$15:$A$70,"&gt;="&amp;(Assumptions!$B$4+27))-$B$269*SUMIFS(Projection!$I$4:$I$59,Projection!$B$4:$B$59,"&gt;="&amp;(Assumptions!$B$4+27))+SUMIFS(Projection!$K$4:$K$59,Projection!$B$4:$B$59,"&gt;="&amp;(Assumptions!$B$4+27)))/Discount!C31</f>
        <v>52359.2282329239</v>
      </c>
      <c r="I353" s="1" t="n">
        <f aca="false">G353-H353</f>
        <v>8726.63495173955</v>
      </c>
      <c r="J353" s="1" t="n">
        <f aca="false">IF(M353&lt;=0,0,MAX(0,(K353+L353-I353)/M353))</f>
        <v>9021.14942589194</v>
      </c>
      <c r="K353" s="72" t="n">
        <f aca="false">RiskMargin!J31</f>
        <v>8988.08306707725</v>
      </c>
      <c r="L353" s="72" t="n">
        <f aca="false">RiskMargin!L31</f>
        <v>2739.20336429233</v>
      </c>
      <c r="M353" s="73" t="n">
        <f aca="false">Projection!F31</f>
        <v>0.332624074601597</v>
      </c>
    </row>
    <row r="354" customFormat="false" ht="15" hidden="false" customHeight="true" outlineLevel="0" collapsed="false">
      <c r="A354" s="1" t="n">
        <v>28</v>
      </c>
      <c r="B354" s="1" t="n">
        <f aca="false">Assumptions!$B$4+28</f>
        <v>93</v>
      </c>
      <c r="C354" s="1" t="n">
        <f aca="false">(Pricing!$B$14*(SUMIFS(Projection!$I$4:$I$59,Projection!$B$4:$B$59,"&lt;"&amp;(Assumptions!$B$4+28))-SUMIFS($G$15:$G$70,$A$15:$A$70,"&lt;"&amp;(Assumptions!$B$4+28)))-SUMIFS(Projection!$L$4:$L$59,Projection!$B$4:$B$59,"&lt;"&amp;(Assumptions!$B$4+28))-SUMIFS(Projection!$K$4:$K$59,Projection!$B$4:$B$59,"&lt;"&amp;(Assumptions!$B$4+28)))/Discount!C32</f>
        <v>54021.7666043738</v>
      </c>
      <c r="D354" s="1" t="n">
        <f aca="false">(SUMIFS(Projection!$L$4:$L$59,Projection!$B$4:$B$59,"&gt;="&amp;(Assumptions!$B$4+28))+Pricing!$B$14*SUMIFS($G$15:$G$70,$A$15:$A$70,"&gt;="&amp;(Assumptions!$B$4+28))-Pricing!$B$14*SUMIFS(Projection!$I$4:$I$59,Projection!$B$4:$B$59,"&gt;="&amp;(Assumptions!$B$4+28))+SUMIFS(Projection!$K$4:$K$59,Projection!$B$4:$B$59,"&gt;="&amp;(Assumptions!$B$4+28)))/Discount!C32</f>
        <v>44619.885400515</v>
      </c>
      <c r="E354" s="1" t="n">
        <f aca="false">C354-D354</f>
        <v>9401.8812038588</v>
      </c>
      <c r="F354" s="1" t="n">
        <f aca="false">IF(M354&lt;=0,0,MAX(0,(K354+L354-E354)/M354))</f>
        <v>2421.57053936701</v>
      </c>
      <c r="G354" s="1" t="n">
        <f aca="false">($B$269*(SUMIFS(Projection!$I$4:$I$59,Projection!$B$4:$B$59,"&lt;"&amp;(Assumptions!$B$4+28))-SUMIFS($L$15:$L$70,$A$15:$A$70,"&lt;"&amp;(Assumptions!$B$4+28)))-SUMIFS(Projection!$L$4:$L$59,Projection!$B$4:$B$59,"&lt;"&amp;(Assumptions!$B$4+28))-SUMIFS(Projection!$K$4:$K$59,Projection!$B$4:$B$59,"&lt;"&amp;(Assumptions!$B$4+28)))/Discount!C32</f>
        <v>53628.7410056348</v>
      </c>
      <c r="H354" s="1" t="n">
        <f aca="false">(SUMIFS(Projection!$L$4:$L$59,Projection!$B$4:$B$59,"&gt;="&amp;(Assumptions!$B$4+28))+$B$269*SUMIFS($L$15:$L$70,$A$15:$A$70,"&gt;="&amp;(Assumptions!$B$4+28))-$B$269*SUMIFS(Projection!$I$4:$I$59,Projection!$B$4:$B$59,"&gt;="&amp;(Assumptions!$B$4+28))+SUMIFS(Projection!$K$4:$K$59,Projection!$B$4:$B$59,"&gt;="&amp;(Assumptions!$B$4+28)))/Discount!C32</f>
        <v>44619.885400515</v>
      </c>
      <c r="I354" s="1" t="n">
        <f aca="false">G354-H354</f>
        <v>9008.85560511983</v>
      </c>
      <c r="J354" s="1" t="n">
        <f aca="false">IF(M354&lt;=0,0,MAX(0,(K354+L354-I354)/M354))</f>
        <v>3764.67987185373</v>
      </c>
      <c r="K354" s="72" t="n">
        <f aca="false">RiskMargin!J32</f>
        <v>7839.4260291593</v>
      </c>
      <c r="L354" s="72" t="n">
        <f aca="false">RiskMargin!L32</f>
        <v>2271.06406312207</v>
      </c>
      <c r="M354" s="73" t="n">
        <f aca="false">Projection!F32</f>
        <v>0.292623682400675</v>
      </c>
    </row>
    <row r="355" customFormat="false" ht="15" hidden="false" customHeight="true" outlineLevel="0" collapsed="false">
      <c r="A355" s="1" t="n">
        <v>29</v>
      </c>
      <c r="B355" s="1" t="n">
        <f aca="false">Assumptions!$B$4+29</f>
        <v>94</v>
      </c>
      <c r="C355" s="1" t="n">
        <f aca="false">(Pricing!$B$14*(SUMIFS(Projection!$I$4:$I$59,Projection!$B$4:$B$59,"&lt;"&amp;(Assumptions!$B$4+29))-SUMIFS($G$15:$G$70,$A$15:$A$70,"&lt;"&amp;(Assumptions!$B$4+29)))-SUMIFS(Projection!$L$4:$L$59,Projection!$B$4:$B$59,"&lt;"&amp;(Assumptions!$B$4+29))-SUMIFS(Projection!$K$4:$K$59,Projection!$B$4:$B$59,"&lt;"&amp;(Assumptions!$B$4+29)))/Discount!C33</f>
        <v>47306.1590243694</v>
      </c>
      <c r="D355" s="1" t="n">
        <f aca="false">(SUMIFS(Projection!$L$4:$L$59,Projection!$B$4:$B$59,"&gt;="&amp;(Assumptions!$B$4+29))+Pricing!$B$14*SUMIFS($G$15:$G$70,$A$15:$A$70,"&gt;="&amp;(Assumptions!$B$4+29))-Pricing!$B$14*SUMIFS(Projection!$I$4:$I$59,Projection!$B$4:$B$59,"&gt;="&amp;(Assumptions!$B$4+29))+SUMIFS(Projection!$K$4:$K$59,Projection!$B$4:$B$59,"&gt;="&amp;(Assumptions!$B$4+29)))/Discount!C33</f>
        <v>37599.8434270638</v>
      </c>
      <c r="E355" s="1" t="n">
        <f aca="false">C355-D355</f>
        <v>9706.31559730556</v>
      </c>
      <c r="F355" s="1" t="n">
        <f aca="false">IF(M355&lt;=0,0,MAX(0,(K355+L355-E355)/M355))</f>
        <v>0</v>
      </c>
      <c r="G355" s="1" t="n">
        <f aca="false">($B$269*(SUMIFS(Projection!$I$4:$I$59,Projection!$B$4:$B$59,"&lt;"&amp;(Assumptions!$B$4+29))-SUMIFS($L$15:$L$70,$A$15:$A$70,"&lt;"&amp;(Assumptions!$B$4+29)))-SUMIFS(Projection!$L$4:$L$59,Projection!$B$4:$B$59,"&lt;"&amp;(Assumptions!$B$4+29))-SUMIFS(Projection!$K$4:$K$59,Projection!$B$4:$B$59,"&lt;"&amp;(Assumptions!$B$4+29)))/Discount!C33</f>
        <v>46900.4071948722</v>
      </c>
      <c r="H355" s="1" t="n">
        <f aca="false">(SUMIFS(Projection!$L$4:$L$59,Projection!$B$4:$B$59,"&gt;="&amp;(Assumptions!$B$4+29))+$B$269*SUMIFS($L$15:$L$70,$A$15:$A$70,"&gt;="&amp;(Assumptions!$B$4+29))-$B$269*SUMIFS(Projection!$I$4:$I$59,Projection!$B$4:$B$59,"&gt;="&amp;(Assumptions!$B$4+29))+SUMIFS(Projection!$K$4:$K$59,Projection!$B$4:$B$59,"&gt;="&amp;(Assumptions!$B$4+29)))/Discount!C33</f>
        <v>37599.8434270638</v>
      </c>
      <c r="I355" s="1" t="n">
        <f aca="false">G355-H355</f>
        <v>9300.56376780841</v>
      </c>
      <c r="J355" s="1" t="n">
        <f aca="false">IF(M355&lt;=0,0,MAX(0,(K355+L355-I355)/M355))</f>
        <v>0</v>
      </c>
      <c r="K355" s="72" t="n">
        <f aca="false">RiskMargin!J33</f>
        <v>6740.2637682629</v>
      </c>
      <c r="L355" s="72" t="n">
        <f aca="false">RiskMargin!L33</f>
        <v>1859.00540231706</v>
      </c>
      <c r="M355" s="73" t="n">
        <f aca="false">Projection!F33</f>
        <v>0.254005885445969</v>
      </c>
    </row>
    <row r="356" customFormat="false" ht="15" hidden="false" customHeight="true" outlineLevel="0" collapsed="false">
      <c r="A356" s="1" t="n">
        <v>30</v>
      </c>
      <c r="B356" s="1" t="n">
        <f aca="false">Assumptions!$B$4+30</f>
        <v>95</v>
      </c>
      <c r="C356" s="1" t="n">
        <f aca="false">(Pricing!$B$14*(SUMIFS(Projection!$I$4:$I$59,Projection!$B$4:$B$59,"&lt;"&amp;(Assumptions!$B$4+30))-SUMIFS($G$15:$G$70,$A$15:$A$70,"&lt;"&amp;(Assumptions!$B$4+30)))-SUMIFS(Projection!$L$4:$L$59,Projection!$B$4:$B$59,"&lt;"&amp;(Assumptions!$B$4+30))-SUMIFS(Projection!$K$4:$K$59,Projection!$B$4:$B$59,"&lt;"&amp;(Assumptions!$B$4+30)))/Discount!C34</f>
        <v>41344.6443645608</v>
      </c>
      <c r="D356" s="1" t="n">
        <f aca="false">(SUMIFS(Projection!$L$4:$L$59,Projection!$B$4:$B$59,"&gt;="&amp;(Assumptions!$B$4+30))+Pricing!$B$14*SUMIFS($G$15:$G$70,$A$15:$A$70,"&gt;="&amp;(Assumptions!$B$4+30))-Pricing!$B$14*SUMIFS(Projection!$I$4:$I$59,Projection!$B$4:$B$59,"&gt;="&amp;(Assumptions!$B$4+30))+SUMIFS(Projection!$K$4:$K$59,Projection!$B$4:$B$59,"&gt;="&amp;(Assumptions!$B$4+30)))/Discount!C34</f>
        <v>31323.648378479</v>
      </c>
      <c r="E356" s="1" t="n">
        <f aca="false">C356-D356</f>
        <v>10020.9959860818</v>
      </c>
      <c r="F356" s="1" t="n">
        <f aca="false">IF(M356&lt;=0,0,MAX(0,(K356+L356-E356)/M356))</f>
        <v>0</v>
      </c>
      <c r="G356" s="1" t="n">
        <f aca="false">($B$269*(SUMIFS(Projection!$I$4:$I$59,Projection!$B$4:$B$59,"&lt;"&amp;(Assumptions!$B$4+30))-SUMIFS($L$15:$L$70,$A$15:$A$70,"&lt;"&amp;(Assumptions!$B$4+30)))-SUMIFS(Projection!$L$4:$L$59,Projection!$B$4:$B$59,"&lt;"&amp;(Assumptions!$B$4+30))-SUMIFS(Projection!$K$4:$K$59,Projection!$B$4:$B$59,"&lt;"&amp;(Assumptions!$B$4+30)))/Discount!C34</f>
        <v>40925.7379923154</v>
      </c>
      <c r="H356" s="1" t="n">
        <f aca="false">(SUMIFS(Projection!$L$4:$L$59,Projection!$B$4:$B$59,"&gt;="&amp;(Assumptions!$B$4+30))+$B$269*SUMIFS($L$15:$L$70,$A$15:$A$70,"&gt;="&amp;(Assumptions!$B$4+30))-$B$269*SUMIFS(Projection!$I$4:$I$59,Projection!$B$4:$B$59,"&gt;="&amp;(Assumptions!$B$4+30))+SUMIFS(Projection!$K$4:$K$59,Projection!$B$4:$B$59,"&gt;="&amp;(Assumptions!$B$4+30)))/Discount!C34</f>
        <v>31323.648378479</v>
      </c>
      <c r="I356" s="1" t="n">
        <f aca="false">G356-H356</f>
        <v>9602.08961383644</v>
      </c>
      <c r="J356" s="1" t="n">
        <f aca="false">IF(M356&lt;=0,0,MAX(0,(K356+L356-I356)/M356))</f>
        <v>0</v>
      </c>
      <c r="K356" s="72" t="n">
        <f aca="false">RiskMargin!J34</f>
        <v>5718.8691306031</v>
      </c>
      <c r="L356" s="72" t="n">
        <f aca="false">RiskMargin!L34</f>
        <v>1501.74761562012</v>
      </c>
      <c r="M356" s="73" t="n">
        <f aca="false">Projection!F34</f>
        <v>0.217698687470758</v>
      </c>
    </row>
    <row r="357" customFormat="false" ht="15" hidden="false" customHeight="true" outlineLevel="0" collapsed="false">
      <c r="A357" s="1" t="n">
        <v>31</v>
      </c>
      <c r="B357" s="1" t="n">
        <f aca="false">Assumptions!$B$4+31</f>
        <v>96</v>
      </c>
      <c r="C357" s="1" t="n">
        <f aca="false">(Pricing!$B$14*(SUMIFS(Projection!$I$4:$I$59,Projection!$B$4:$B$59,"&lt;"&amp;(Assumptions!$B$4+31))-SUMIFS($G$15:$G$70,$A$15:$A$70,"&lt;"&amp;(Assumptions!$B$4+31)))-SUMIFS(Projection!$L$4:$L$59,Projection!$B$4:$B$59,"&lt;"&amp;(Assumptions!$B$4+31))-SUMIFS(Projection!$K$4:$K$59,Projection!$B$4:$B$59,"&lt;"&amp;(Assumptions!$B$4+31)))/Discount!C35</f>
        <v>36123.0876151242</v>
      </c>
      <c r="D357" s="1" t="n">
        <f aca="false">(SUMIFS(Projection!$L$4:$L$59,Projection!$B$4:$B$59,"&gt;="&amp;(Assumptions!$B$4+31))+Pricing!$B$14*SUMIFS($G$15:$G$70,$A$15:$A$70,"&gt;="&amp;(Assumptions!$B$4+31))-Pricing!$B$14*SUMIFS(Projection!$I$4:$I$59,Projection!$B$4:$B$59,"&gt;="&amp;(Assumptions!$B$4+31))+SUMIFS(Projection!$K$4:$K$59,Projection!$B$4:$B$59,"&gt;="&amp;(Assumptions!$B$4+31)))/Discount!C35</f>
        <v>25779.9161564501</v>
      </c>
      <c r="E357" s="1" t="n">
        <f aca="false">C357-D357</f>
        <v>10343.1714586741</v>
      </c>
      <c r="F357" s="1" t="n">
        <f aca="false">IF(M357&lt;=0,0,MAX(0,(K357+L357-E357)/M357))</f>
        <v>0</v>
      </c>
      <c r="G357" s="1" t="n">
        <f aca="false">($B$269*(SUMIFS(Projection!$I$4:$I$59,Projection!$B$4:$B$59,"&lt;"&amp;(Assumptions!$B$4+31))-SUMIFS($L$15:$L$70,$A$15:$A$70,"&lt;"&amp;(Assumptions!$B$4+31)))-SUMIFS(Projection!$L$4:$L$59,Projection!$B$4:$B$59,"&lt;"&amp;(Assumptions!$B$4+31))-SUMIFS(Projection!$K$4:$K$59,Projection!$B$4:$B$59,"&lt;"&amp;(Assumptions!$B$4+31)))/Discount!C35</f>
        <v>35690.7133841313</v>
      </c>
      <c r="H357" s="1" t="n">
        <f aca="false">(SUMIFS(Projection!$L$4:$L$59,Projection!$B$4:$B$59,"&gt;="&amp;(Assumptions!$B$4+31))+$B$269*SUMIFS($L$15:$L$70,$A$15:$A$70,"&gt;="&amp;(Assumptions!$B$4+31))-$B$269*SUMIFS(Projection!$I$4:$I$59,Projection!$B$4:$B$59,"&gt;="&amp;(Assumptions!$B$4+31))+SUMIFS(Projection!$K$4:$K$59,Projection!$B$4:$B$59,"&gt;="&amp;(Assumptions!$B$4+31)))/Discount!C35</f>
        <v>25779.9161564501</v>
      </c>
      <c r="I357" s="1" t="n">
        <f aca="false">G357-H357</f>
        <v>9910.79722768117</v>
      </c>
      <c r="J357" s="1" t="n">
        <f aca="false">IF(M357&lt;=0,0,MAX(0,(K357+L357-I357)/M357))</f>
        <v>0</v>
      </c>
      <c r="K357" s="72" t="n">
        <f aca="false">RiskMargin!J35</f>
        <v>4752.92978191932</v>
      </c>
      <c r="L357" s="72" t="n">
        <f aca="false">RiskMargin!L35</f>
        <v>1195.86500729122</v>
      </c>
      <c r="M357" s="73" t="n">
        <f aca="false">Projection!F35</f>
        <v>0.183301739410898</v>
      </c>
    </row>
    <row r="358" customFormat="false" ht="15" hidden="false" customHeight="true" outlineLevel="0" collapsed="false">
      <c r="A358" s="1" t="n">
        <v>32</v>
      </c>
      <c r="B358" s="1" t="n">
        <f aca="false">Assumptions!$B$4+32</f>
        <v>97</v>
      </c>
      <c r="C358" s="1" t="n">
        <f aca="false">(Pricing!$B$14*(SUMIFS(Projection!$I$4:$I$59,Projection!$B$4:$B$59,"&lt;"&amp;(Assumptions!$B$4+32))-SUMIFS($G$15:$G$70,$A$15:$A$70,"&lt;"&amp;(Assumptions!$B$4+32)))-SUMIFS(Projection!$L$4:$L$59,Projection!$B$4:$B$59,"&lt;"&amp;(Assumptions!$B$4+32))-SUMIFS(Projection!$K$4:$K$59,Projection!$B$4:$B$59,"&lt;"&amp;(Assumptions!$B$4+32)))/Discount!C36</f>
        <v>31668.6543202215</v>
      </c>
      <c r="D358" s="1" t="n">
        <f aca="false">(SUMIFS(Projection!$L$4:$L$59,Projection!$B$4:$B$59,"&gt;="&amp;(Assumptions!$B$4+32))+Pricing!$B$14*SUMIFS($G$15:$G$70,$A$15:$A$70,"&gt;="&amp;(Assumptions!$B$4+32))-Pricing!$B$14*SUMIFS(Projection!$I$4:$I$59,Projection!$B$4:$B$59,"&gt;="&amp;(Assumptions!$B$4+32))+SUMIFS(Projection!$K$4:$K$59,Projection!$B$4:$B$59,"&gt;="&amp;(Assumptions!$B$4+32)))/Discount!C36</f>
        <v>20989.4312317258</v>
      </c>
      <c r="E358" s="1" t="n">
        <f aca="false">C358-D358</f>
        <v>10679.2230884957</v>
      </c>
      <c r="F358" s="1" t="n">
        <f aca="false">IF(M358&lt;=0,0,MAX(0,(K358+L358-E358)/M358))</f>
        <v>0</v>
      </c>
      <c r="G358" s="1" t="n">
        <f aca="false">($B$269*(SUMIFS(Projection!$I$4:$I$59,Projection!$B$4:$B$59,"&lt;"&amp;(Assumptions!$B$4+32))-SUMIFS($L$15:$L$70,$A$15:$A$70,"&lt;"&amp;(Assumptions!$B$4+32)))-SUMIFS(Projection!$L$4:$L$59,Projection!$B$4:$B$59,"&lt;"&amp;(Assumptions!$B$4+32))-SUMIFS(Projection!$K$4:$K$59,Projection!$B$4:$B$59,"&lt;"&amp;(Assumptions!$B$4+32)))/Discount!C36</f>
        <v>31222.2321673123</v>
      </c>
      <c r="H358" s="1" t="n">
        <f aca="false">(SUMIFS(Projection!$L$4:$L$59,Projection!$B$4:$B$59,"&gt;="&amp;(Assumptions!$B$4+32))+$B$269*SUMIFS($L$15:$L$70,$A$15:$A$70,"&gt;="&amp;(Assumptions!$B$4+32))-$B$269*SUMIFS(Projection!$I$4:$I$59,Projection!$B$4:$B$59,"&gt;="&amp;(Assumptions!$B$4+32))+SUMIFS(Projection!$K$4:$K$59,Projection!$B$4:$B$59,"&gt;="&amp;(Assumptions!$B$4+32)))/Discount!C36</f>
        <v>20989.4312317258</v>
      </c>
      <c r="I358" s="1" t="n">
        <f aca="false">G358-H358</f>
        <v>10232.8009355865</v>
      </c>
      <c r="J358" s="1" t="n">
        <f aca="false">IF(M358&lt;=0,0,MAX(0,(K358+L358-I358)/M358))</f>
        <v>0</v>
      </c>
      <c r="K358" s="72" t="n">
        <f aca="false">RiskMargin!J36</f>
        <v>3897.55434626227</v>
      </c>
      <c r="L358" s="74" t="n">
        <f aca="false">RiskMargin!L36</f>
        <v>940.277688283721</v>
      </c>
      <c r="M358" s="73" t="n">
        <f aca="false">Projection!F36</f>
        <v>0.152474042651336</v>
      </c>
    </row>
    <row r="359" customFormat="false" ht="15" hidden="false" customHeight="true" outlineLevel="0" collapsed="false">
      <c r="A359" s="1" t="n">
        <v>33</v>
      </c>
      <c r="B359" s="1" t="n">
        <f aca="false">Assumptions!$B$4+33</f>
        <v>98</v>
      </c>
      <c r="C359" s="1" t="n">
        <f aca="false">(Pricing!$B$14*(SUMIFS(Projection!$I$4:$I$59,Projection!$B$4:$B$59,"&lt;"&amp;(Assumptions!$B$4+33))-SUMIFS($G$15:$G$70,$A$15:$A$70,"&lt;"&amp;(Assumptions!$B$4+33)))-SUMIFS(Projection!$L$4:$L$59,Projection!$B$4:$B$59,"&lt;"&amp;(Assumptions!$B$4+33))-SUMIFS(Projection!$K$4:$K$59,Projection!$B$4:$B$59,"&lt;"&amp;(Assumptions!$B$4+33)))/Discount!C37</f>
        <v>27923.338664704</v>
      </c>
      <c r="D359" s="1" t="n">
        <f aca="false">(SUMIFS(Projection!$L$4:$L$59,Projection!$B$4:$B$59,"&gt;="&amp;(Assumptions!$B$4+33))+Pricing!$B$14*SUMIFS($G$15:$G$70,$A$15:$A$70,"&gt;="&amp;(Assumptions!$B$4+33))-Pricing!$B$14*SUMIFS(Projection!$I$4:$I$59,Projection!$B$4:$B$59,"&gt;="&amp;(Assumptions!$B$4+33))+SUMIFS(Projection!$K$4:$K$59,Projection!$B$4:$B$59,"&gt;="&amp;(Assumptions!$B$4+33)))/Discount!C37</f>
        <v>16896.718262911</v>
      </c>
      <c r="E359" s="1" t="n">
        <f aca="false">C359-D359</f>
        <v>11026.620401793</v>
      </c>
      <c r="F359" s="1" t="n">
        <f aca="false">IF(M359&lt;=0,0,MAX(0,(K359+L359-E359)/M359))</f>
        <v>0</v>
      </c>
      <c r="G359" s="1" t="n">
        <f aca="false">($B$269*(SUMIFS(Projection!$I$4:$I$59,Projection!$B$4:$B$59,"&lt;"&amp;(Assumptions!$B$4+33))-SUMIFS($L$15:$L$70,$A$15:$A$70,"&lt;"&amp;(Assumptions!$B$4+33)))-SUMIFS(Projection!$L$4:$L$59,Projection!$B$4:$B$59,"&lt;"&amp;(Assumptions!$B$4+33))-SUMIFS(Projection!$K$4:$K$59,Projection!$B$4:$B$59,"&lt;"&amp;(Assumptions!$B$4+33)))/Discount!C37</f>
        <v>27462.39430777</v>
      </c>
      <c r="H359" s="1" t="n">
        <f aca="false">(SUMIFS(Projection!$L$4:$L$59,Projection!$B$4:$B$59,"&gt;="&amp;(Assumptions!$B$4+33))+$B$269*SUMIFS($L$15:$L$70,$A$15:$A$70,"&gt;="&amp;(Assumptions!$B$4+33))-$B$269*SUMIFS(Projection!$I$4:$I$59,Projection!$B$4:$B$59,"&gt;="&amp;(Assumptions!$B$4+33))+SUMIFS(Projection!$K$4:$K$59,Projection!$B$4:$B$59,"&gt;="&amp;(Assumptions!$B$4+33)))/Discount!C37</f>
        <v>16896.718262911</v>
      </c>
      <c r="I359" s="1" t="n">
        <f aca="false">G359-H359</f>
        <v>10565.676044859</v>
      </c>
      <c r="J359" s="1" t="n">
        <f aca="false">IF(M359&lt;=0,0,MAX(0,(K359+L359-I359)/M359))</f>
        <v>0</v>
      </c>
      <c r="K359" s="72" t="n">
        <f aca="false">RiskMargin!J37</f>
        <v>3152.47759853877</v>
      </c>
      <c r="L359" s="74" t="n">
        <f aca="false">RiskMargin!L37</f>
        <v>729.404558752574</v>
      </c>
      <c r="M359" s="73" t="n">
        <f aca="false">Projection!F37</f>
        <v>0.125320113771468</v>
      </c>
    </row>
    <row r="360" customFormat="false" ht="15" hidden="false" customHeight="true" outlineLevel="0" collapsed="false">
      <c r="A360" s="1" t="n">
        <v>34</v>
      </c>
      <c r="B360" s="1" t="n">
        <f aca="false">Assumptions!$B$4+34</f>
        <v>99</v>
      </c>
      <c r="C360" s="1" t="n">
        <f aca="false">(Pricing!$B$14*(SUMIFS(Projection!$I$4:$I$59,Projection!$B$4:$B$59,"&lt;"&amp;(Assumptions!$B$4+34))-SUMIFS($G$15:$G$70,$A$15:$A$70,"&lt;"&amp;(Assumptions!$B$4+34)))-SUMIFS(Projection!$L$4:$L$59,Projection!$B$4:$B$59,"&lt;"&amp;(Assumptions!$B$4+34))-SUMIFS(Projection!$K$4:$K$59,Projection!$B$4:$B$59,"&lt;"&amp;(Assumptions!$B$4+34)))/Discount!C38</f>
        <v>24828.9955413215</v>
      </c>
      <c r="D360" s="1" t="n">
        <f aca="false">(SUMIFS(Projection!$L$4:$L$59,Projection!$B$4:$B$59,"&gt;="&amp;(Assumptions!$B$4+34))+Pricing!$B$14*SUMIFS($G$15:$G$70,$A$15:$A$70,"&gt;="&amp;(Assumptions!$B$4+34))-Pricing!$B$14*SUMIFS(Projection!$I$4:$I$59,Projection!$B$4:$B$59,"&gt;="&amp;(Assumptions!$B$4+34))+SUMIFS(Projection!$K$4:$K$59,Projection!$B$4:$B$59,"&gt;="&amp;(Assumptions!$B$4+34)))/Discount!C38</f>
        <v>13443.2357146417</v>
      </c>
      <c r="E360" s="1" t="n">
        <f aca="false">C360-D360</f>
        <v>11385.7598266798</v>
      </c>
      <c r="F360" s="1" t="n">
        <f aca="false">IF(M360&lt;=0,0,MAX(0,(K360+L360-E360)/M360))</f>
        <v>0</v>
      </c>
      <c r="G360" s="1" t="n">
        <f aca="false">($B$269*(SUMIFS(Projection!$I$4:$I$59,Projection!$B$4:$B$59,"&lt;"&amp;(Assumptions!$B$4+34))-SUMIFS($L$15:$L$70,$A$15:$A$70,"&lt;"&amp;(Assumptions!$B$4+34)))-SUMIFS(Projection!$L$4:$L$59,Projection!$B$4:$B$59,"&lt;"&amp;(Assumptions!$B$4+34))-SUMIFS(Projection!$K$4:$K$59,Projection!$B$4:$B$59,"&lt;"&amp;(Assumptions!$B$4+34)))/Discount!C38</f>
        <v>24353.0381264222</v>
      </c>
      <c r="H360" s="1" t="n">
        <f aca="false">(SUMIFS(Projection!$L$4:$L$59,Projection!$B$4:$B$59,"&gt;="&amp;(Assumptions!$B$4+34))+$B$269*SUMIFS($L$15:$L$70,$A$15:$A$70,"&gt;="&amp;(Assumptions!$B$4+34))-$B$269*SUMIFS(Projection!$I$4:$I$59,Projection!$B$4:$B$59,"&gt;="&amp;(Assumptions!$B$4+34))+SUMIFS(Projection!$K$4:$K$59,Projection!$B$4:$B$59,"&gt;="&amp;(Assumptions!$B$4+34)))/Discount!C38</f>
        <v>13443.2357146417</v>
      </c>
      <c r="I360" s="1" t="n">
        <f aca="false">G360-H360</f>
        <v>10909.8024117804</v>
      </c>
      <c r="J360" s="1" t="n">
        <f aca="false">IF(M360&lt;=0,0,MAX(0,(K360+L360-I360)/M360))</f>
        <v>0</v>
      </c>
      <c r="K360" s="72" t="n">
        <f aca="false">RiskMargin!J38</f>
        <v>2513.79415706926</v>
      </c>
      <c r="L360" s="74" t="n">
        <f aca="false">RiskMargin!L38</f>
        <v>557.852155106822</v>
      </c>
      <c r="M360" s="73" t="n">
        <f aca="false">Projection!F38</f>
        <v>0.101764043420001</v>
      </c>
    </row>
    <row r="361" customFormat="false" ht="15" hidden="false" customHeight="true" outlineLevel="0" collapsed="false">
      <c r="A361" s="1" t="n">
        <v>35</v>
      </c>
      <c r="B361" s="1" t="n">
        <f aca="false">Assumptions!$B$4+35</f>
        <v>100</v>
      </c>
      <c r="C361" s="1" t="n">
        <f aca="false">(Pricing!$B$14*(SUMIFS(Projection!$I$4:$I$59,Projection!$B$4:$B$59,"&lt;"&amp;(Assumptions!$B$4+35))-SUMIFS($G$15:$G$70,$A$15:$A$70,"&lt;"&amp;(Assumptions!$B$4+35)))-SUMIFS(Projection!$L$4:$L$59,Projection!$B$4:$B$59,"&lt;"&amp;(Assumptions!$B$4+35))-SUMIFS(Projection!$K$4:$K$59,Projection!$B$4:$B$59,"&lt;"&amp;(Assumptions!$B$4+35)))/Discount!C39</f>
        <v>22322.1974861492</v>
      </c>
      <c r="D361" s="1" t="n">
        <f aca="false">(SUMIFS(Projection!$L$4:$L$59,Projection!$B$4:$B$59,"&gt;="&amp;(Assumptions!$B$4+35))+Pricing!$B$14*SUMIFS($G$15:$G$70,$A$15:$A$70,"&gt;="&amp;(Assumptions!$B$4+35))-Pricing!$B$14*SUMIFS(Projection!$I$4:$I$59,Projection!$B$4:$B$59,"&gt;="&amp;(Assumptions!$B$4+35))+SUMIFS(Projection!$K$4:$K$59,Projection!$B$4:$B$59,"&gt;="&amp;(Assumptions!$B$4+35)))/Discount!C39</f>
        <v>10565.1454049468</v>
      </c>
      <c r="E361" s="1" t="n">
        <f aca="false">C361-D361</f>
        <v>11757.0520812024</v>
      </c>
      <c r="F361" s="1" t="n">
        <f aca="false">IF(M361&lt;=0,0,MAX(0,(K361+L361-E361)/M361))</f>
        <v>0</v>
      </c>
      <c r="G361" s="1" t="n">
        <f aca="false">($B$269*(SUMIFS(Projection!$I$4:$I$59,Projection!$B$4:$B$59,"&lt;"&amp;(Assumptions!$B$4+35))-SUMIFS($L$15:$L$70,$A$15:$A$70,"&lt;"&amp;(Assumptions!$B$4+35)))-SUMIFS(Projection!$L$4:$L$59,Projection!$B$4:$B$59,"&lt;"&amp;(Assumptions!$B$4+35))-SUMIFS(Projection!$K$4:$K$59,Projection!$B$4:$B$59,"&lt;"&amp;(Assumptions!$B$4+35)))/Discount!C39</f>
        <v>21830.7189901517</v>
      </c>
      <c r="H361" s="1" t="n">
        <f aca="false">(SUMIFS(Projection!$L$4:$L$59,Projection!$B$4:$B$59,"&gt;="&amp;(Assumptions!$B$4+35))+$B$269*SUMIFS($L$15:$L$70,$A$15:$A$70,"&gt;="&amp;(Assumptions!$B$4+35))-$B$269*SUMIFS(Projection!$I$4:$I$59,Projection!$B$4:$B$59,"&gt;="&amp;(Assumptions!$B$4+35))+SUMIFS(Projection!$K$4:$K$59,Projection!$B$4:$B$59,"&gt;="&amp;(Assumptions!$B$4+35)))/Discount!C39</f>
        <v>10565.1454049468</v>
      </c>
      <c r="I361" s="1" t="n">
        <f aca="false">G361-H361</f>
        <v>11265.5735852048</v>
      </c>
      <c r="J361" s="1" t="n">
        <f aca="false">IF(M361&lt;=0,0,MAX(0,(K361+L361-I361)/M361))</f>
        <v>0</v>
      </c>
      <c r="K361" s="72" t="n">
        <f aca="false">RiskMargin!J39</f>
        <v>1974.1075306776</v>
      </c>
      <c r="L361" s="74" t="n">
        <f aca="false">RiskMargin!L39</f>
        <v>420.297668709236</v>
      </c>
      <c r="M361" s="73" t="n">
        <f aca="false">Projection!F39</f>
        <v>0.0816076307860552</v>
      </c>
    </row>
    <row r="362" customFormat="false" ht="15" hidden="false" customHeight="true" outlineLevel="0" collapsed="false">
      <c r="A362" s="1" t="n">
        <v>36</v>
      </c>
      <c r="B362" s="1" t="n">
        <f aca="false">Assumptions!$B$4+36</f>
        <v>101</v>
      </c>
      <c r="C362" s="1" t="n">
        <f aca="false">(Pricing!$B$14*(SUMIFS(Projection!$I$4:$I$59,Projection!$B$4:$B$59,"&lt;"&amp;(Assumptions!$B$4+36))-SUMIFS($G$15:$G$70,$A$15:$A$70,"&lt;"&amp;(Assumptions!$B$4+36)))-SUMIFS(Projection!$L$4:$L$59,Projection!$B$4:$B$59,"&lt;"&amp;(Assumptions!$B$4+36))-SUMIFS(Projection!$K$4:$K$59,Projection!$B$4:$B$59,"&lt;"&amp;(Assumptions!$B$4+36)))/Discount!C40</f>
        <v>20330.969722352</v>
      </c>
      <c r="D362" s="1" t="n">
        <f aca="false">(SUMIFS(Projection!$L$4:$L$59,Projection!$B$4:$B$59,"&gt;="&amp;(Assumptions!$B$4+36))+Pricing!$B$14*SUMIFS($G$15:$G$70,$A$15:$A$70,"&gt;="&amp;(Assumptions!$B$4+36))-Pricing!$B$14*SUMIFS(Projection!$I$4:$I$59,Projection!$B$4:$B$59,"&gt;="&amp;(Assumptions!$B$4+36))+SUMIFS(Projection!$K$4:$K$59,Projection!$B$4:$B$59,"&gt;="&amp;(Assumptions!$B$4+36)))/Discount!C40</f>
        <v>8194.28171159302</v>
      </c>
      <c r="E362" s="1" t="n">
        <f aca="false">C362-D362</f>
        <v>12136.688010759</v>
      </c>
      <c r="F362" s="1" t="n">
        <f aca="false">IF(M362&lt;=0,0,MAX(0,(K362+L362-E362)/M362))</f>
        <v>0</v>
      </c>
      <c r="G362" s="1" t="n">
        <f aca="false">($B$269*(SUMIFS(Projection!$I$4:$I$59,Projection!$B$4:$B$59,"&lt;"&amp;(Assumptions!$B$4+36))-SUMIFS($L$15:$L$70,$A$15:$A$70,"&lt;"&amp;(Assumptions!$B$4+36)))-SUMIFS(Projection!$L$4:$L$59,Projection!$B$4:$B$59,"&lt;"&amp;(Assumptions!$B$4+36))-SUMIFS(Projection!$K$4:$K$59,Projection!$B$4:$B$59,"&lt;"&amp;(Assumptions!$B$4+36)))/Discount!C40</f>
        <v>19823.6213557103</v>
      </c>
      <c r="H362" s="1" t="n">
        <f aca="false">(SUMIFS(Projection!$L$4:$L$59,Projection!$B$4:$B$59,"&gt;="&amp;(Assumptions!$B$4+36))+$B$269*SUMIFS($L$15:$L$70,$A$15:$A$70,"&gt;="&amp;(Assumptions!$B$4+36))-$B$269*SUMIFS(Projection!$I$4:$I$59,Projection!$B$4:$B$59,"&gt;="&amp;(Assumptions!$B$4+36))+SUMIFS(Projection!$K$4:$K$59,Projection!$B$4:$B$59,"&gt;="&amp;(Assumptions!$B$4+36)))/Discount!C40</f>
        <v>8194.28171159302</v>
      </c>
      <c r="I362" s="1" t="n">
        <f aca="false">G362-H362</f>
        <v>11629.3396441173</v>
      </c>
      <c r="J362" s="1" t="n">
        <f aca="false">IF(M362&lt;=0,0,MAX(0,(K362+L362-I362)/M362))</f>
        <v>0</v>
      </c>
      <c r="K362" s="72" t="n">
        <f aca="false">RiskMargin!J40</f>
        <v>1523.42845227198</v>
      </c>
      <c r="L362" s="74" t="n">
        <f aca="false">RiskMargin!L40</f>
        <v>311.598011091505</v>
      </c>
      <c r="M362" s="73" t="n">
        <f aca="false">Projection!F40</f>
        <v>0.0645778729615461</v>
      </c>
    </row>
    <row r="363" customFormat="false" ht="15" hidden="false" customHeight="true" outlineLevel="0" collapsed="false">
      <c r="A363" s="1" t="n">
        <v>37</v>
      </c>
      <c r="B363" s="1" t="n">
        <f aca="false">Assumptions!$B$4+37</f>
        <v>102</v>
      </c>
      <c r="C363" s="1" t="n">
        <f aca="false">(Pricing!$B$14*(SUMIFS(Projection!$I$4:$I$59,Projection!$B$4:$B$59,"&lt;"&amp;(Assumptions!$B$4+37))-SUMIFS($G$15:$G$70,$A$15:$A$70,"&lt;"&amp;(Assumptions!$B$4+37)))-SUMIFS(Projection!$L$4:$L$59,Projection!$B$4:$B$59,"&lt;"&amp;(Assumptions!$B$4+37))-SUMIFS(Projection!$K$4:$K$59,Projection!$B$4:$B$59,"&lt;"&amp;(Assumptions!$B$4+37)))/Discount!C41</f>
        <v>18805.5031612072</v>
      </c>
      <c r="D363" s="1" t="n">
        <f aca="false">(SUMIFS(Projection!$L$4:$L$59,Projection!$B$4:$B$59,"&gt;="&amp;(Assumptions!$B$4+37))+Pricing!$B$14*SUMIFS($G$15:$G$70,$A$15:$A$70,"&gt;="&amp;(Assumptions!$B$4+37))-Pricing!$B$14*SUMIFS(Projection!$I$4:$I$59,Projection!$B$4:$B$59,"&gt;="&amp;(Assumptions!$B$4+37))+SUMIFS(Projection!$K$4:$K$59,Projection!$B$4:$B$59,"&gt;="&amp;(Assumptions!$B$4+37)))/Discount!C41</f>
        <v>6272.18505240699</v>
      </c>
      <c r="E363" s="1" t="n">
        <f aca="false">C363-D363</f>
        <v>12533.3181088002</v>
      </c>
      <c r="F363" s="1" t="n">
        <f aca="false">IF(M363&lt;=0,0,MAX(0,(K363+L363-E363)/M363))</f>
        <v>0</v>
      </c>
      <c r="G363" s="1" t="n">
        <f aca="false">($B$269*(SUMIFS(Projection!$I$4:$I$59,Projection!$B$4:$B$59,"&lt;"&amp;(Assumptions!$B$4+37))-SUMIFS($L$15:$L$70,$A$15:$A$70,"&lt;"&amp;(Assumptions!$B$4+37)))-SUMIFS(Projection!$L$4:$L$59,Projection!$B$4:$B$59,"&lt;"&amp;(Assumptions!$B$4+37))-SUMIFS(Projection!$K$4:$K$59,Projection!$B$4:$B$59,"&lt;"&amp;(Assumptions!$B$4+37)))/Discount!C41</f>
        <v>18281.5745189398</v>
      </c>
      <c r="H363" s="1" t="n">
        <f aca="false">(SUMIFS(Projection!$L$4:$L$59,Projection!$B$4:$B$59,"&gt;="&amp;(Assumptions!$B$4+37))+$B$269*SUMIFS($L$15:$L$70,$A$15:$A$70,"&gt;="&amp;(Assumptions!$B$4+37))-$B$269*SUMIFS(Projection!$I$4:$I$59,Projection!$B$4:$B$59,"&gt;="&amp;(Assumptions!$B$4+37))+SUMIFS(Projection!$K$4:$K$59,Projection!$B$4:$B$59,"&gt;="&amp;(Assumptions!$B$4+37)))/Discount!C41</f>
        <v>6272.18505240699</v>
      </c>
      <c r="I363" s="1" t="n">
        <f aca="false">G363-H363</f>
        <v>12009.3894665328</v>
      </c>
      <c r="J363" s="1" t="n">
        <f aca="false">IF(M363&lt;=0,0,MAX(0,(K363+L363-I363)/M363))</f>
        <v>0</v>
      </c>
      <c r="K363" s="72" t="n">
        <f aca="false">RiskMargin!J41</f>
        <v>1152.50534854903</v>
      </c>
      <c r="L363" s="74" t="n">
        <f aca="false">RiskMargin!L41</f>
        <v>227.38824530494</v>
      </c>
      <c r="M363" s="73" t="n">
        <f aca="false">Projection!F41</f>
        <v>0.0503627086065056</v>
      </c>
    </row>
    <row r="364" customFormat="false" ht="15" hidden="false" customHeight="true" outlineLevel="0" collapsed="false">
      <c r="A364" s="1" t="n">
        <v>38</v>
      </c>
      <c r="B364" s="1" t="n">
        <f aca="false">Assumptions!$B$4+38</f>
        <v>103</v>
      </c>
      <c r="C364" s="1" t="n">
        <f aca="false">(Pricing!$B$14*(SUMIFS(Projection!$I$4:$I$59,Projection!$B$4:$B$59,"&lt;"&amp;(Assumptions!$B$4+38))-SUMIFS($G$15:$G$70,$A$15:$A$70,"&lt;"&amp;(Assumptions!$B$4+38)))-SUMIFS(Projection!$L$4:$L$59,Projection!$B$4:$B$59,"&lt;"&amp;(Assumptions!$B$4+38))-SUMIFS(Projection!$K$4:$K$59,Projection!$B$4:$B$59,"&lt;"&amp;(Assumptions!$B$4+38)))/Discount!C42</f>
        <v>17678.7079941744</v>
      </c>
      <c r="D364" s="1" t="n">
        <f aca="false">(SUMIFS(Projection!$L$4:$L$59,Projection!$B$4:$B$59,"&gt;="&amp;(Assumptions!$B$4+38))+Pricing!$B$14*SUMIFS($G$15:$G$70,$A$15:$A$70,"&gt;="&amp;(Assumptions!$B$4+38))-Pricing!$B$14*SUMIFS(Projection!$I$4:$I$59,Projection!$B$4:$B$59,"&gt;="&amp;(Assumptions!$B$4+38))+SUMIFS(Projection!$K$4:$K$59,Projection!$B$4:$B$59,"&gt;="&amp;(Assumptions!$B$4+38)))/Discount!C42</f>
        <v>4735.29630084112</v>
      </c>
      <c r="E364" s="1" t="n">
        <f aca="false">C364-D364</f>
        <v>12943.4116933332</v>
      </c>
      <c r="F364" s="1" t="n">
        <f aca="false">IF(M364&lt;=0,0,MAX(0,(K364+L364-E364)/M364))</f>
        <v>0</v>
      </c>
      <c r="G364" s="1" t="n">
        <f aca="false">($B$269*(SUMIFS(Projection!$I$4:$I$59,Projection!$B$4:$B$59,"&lt;"&amp;(Assumptions!$B$4+38))-SUMIFS($L$15:$L$70,$A$15:$A$70,"&lt;"&amp;(Assumptions!$B$4+38)))-SUMIFS(Projection!$L$4:$L$59,Projection!$B$4:$B$59,"&lt;"&amp;(Assumptions!$B$4+38))-SUMIFS(Projection!$K$4:$K$59,Projection!$B$4:$B$59,"&lt;"&amp;(Assumptions!$B$4+38)))/Discount!C42</f>
        <v>17137.6362639328</v>
      </c>
      <c r="H364" s="1" t="n">
        <f aca="false">(SUMIFS(Projection!$L$4:$L$59,Projection!$B$4:$B$59,"&gt;="&amp;(Assumptions!$B$4+38))+$B$269*SUMIFS($L$15:$L$70,$A$15:$A$70,"&gt;="&amp;(Assumptions!$B$4+38))-$B$269*SUMIFS(Projection!$I$4:$I$59,Projection!$B$4:$B$59,"&gt;="&amp;(Assumptions!$B$4+38))+SUMIFS(Projection!$K$4:$K$59,Projection!$B$4:$B$59,"&gt;="&amp;(Assumptions!$B$4+38)))/Discount!C42</f>
        <v>4735.29630084112</v>
      </c>
      <c r="I364" s="1" t="n">
        <f aca="false">G364-H364</f>
        <v>12402.3399630917</v>
      </c>
      <c r="J364" s="1" t="n">
        <f aca="false">IF(M364&lt;=0,0,MAX(0,(K364+L364-I364)/M364))</f>
        <v>0</v>
      </c>
      <c r="K364" s="74" t="n">
        <f aca="false">RiskMargin!J42</f>
        <v>849.90440574043</v>
      </c>
      <c r="L364" s="74" t="n">
        <f aca="false">RiskMargin!L42</f>
        <v>163.415512406572</v>
      </c>
      <c r="M364" s="73" t="n">
        <f aca="false">Projection!F42</f>
        <v>0.0386365499132701</v>
      </c>
    </row>
    <row r="365" customFormat="false" ht="15" hidden="false" customHeight="true" outlineLevel="0" collapsed="false">
      <c r="A365" s="1" t="n">
        <v>39</v>
      </c>
      <c r="B365" s="1" t="n">
        <f aca="false">Assumptions!$B$4+39</f>
        <v>104</v>
      </c>
      <c r="C365" s="1" t="n">
        <f aca="false">(Pricing!$B$14*(SUMIFS(Projection!$I$4:$I$59,Projection!$B$4:$B$59,"&lt;"&amp;(Assumptions!$B$4+39))-SUMIFS($G$15:$G$70,$A$15:$A$70,"&lt;"&amp;(Assumptions!$B$4+39)))-SUMIFS(Projection!$L$4:$L$59,Projection!$B$4:$B$59,"&lt;"&amp;(Assumptions!$B$4+39))-SUMIFS(Projection!$K$4:$K$59,Projection!$B$4:$B$59,"&lt;"&amp;(Assumptions!$B$4+39)))/Discount!C43</f>
        <v>16888.1685314803</v>
      </c>
      <c r="D365" s="1" t="n">
        <f aca="false">(SUMIFS(Projection!$L$4:$L$59,Projection!$B$4:$B$59,"&gt;="&amp;(Assumptions!$B$4+39))+Pricing!$B$14*SUMIFS($G$15:$G$70,$A$15:$A$70,"&gt;="&amp;(Assumptions!$B$4+39))-Pricing!$B$14*SUMIFS(Projection!$I$4:$I$59,Projection!$B$4:$B$59,"&gt;="&amp;(Assumptions!$B$4+39))+SUMIFS(Projection!$K$4:$K$59,Projection!$B$4:$B$59,"&gt;="&amp;(Assumptions!$B$4+39)))/Discount!C43</f>
        <v>3525.77767213776</v>
      </c>
      <c r="E365" s="1" t="n">
        <f aca="false">C365-D365</f>
        <v>13362.3908593426</v>
      </c>
      <c r="F365" s="1" t="n">
        <f aca="false">IF(M365&lt;=0,0,MAX(0,(K365+L365-E365)/M365))</f>
        <v>0</v>
      </c>
      <c r="G365" s="1" t="n">
        <f aca="false">($B$269*(SUMIFS(Projection!$I$4:$I$59,Projection!$B$4:$B$59,"&lt;"&amp;(Assumptions!$B$4+39))-SUMIFS($L$15:$L$70,$A$15:$A$70,"&lt;"&amp;(Assumptions!$B$4+39)))-SUMIFS(Projection!$L$4:$L$59,Projection!$B$4:$B$59,"&lt;"&amp;(Assumptions!$B$4+39))-SUMIFS(Projection!$K$4:$K$59,Projection!$B$4:$B$59,"&lt;"&amp;(Assumptions!$B$4+39)))/Discount!C43</f>
        <v>16329.5822704753</v>
      </c>
      <c r="H365" s="1" t="n">
        <f aca="false">(SUMIFS(Projection!$L$4:$L$59,Projection!$B$4:$B$59,"&gt;="&amp;(Assumptions!$B$4+39))+$B$269*SUMIFS($L$15:$L$70,$A$15:$A$70,"&gt;="&amp;(Assumptions!$B$4+39))-$B$269*SUMIFS(Projection!$I$4:$I$59,Projection!$B$4:$B$59,"&gt;="&amp;(Assumptions!$B$4+39))+SUMIFS(Projection!$K$4:$K$59,Projection!$B$4:$B$59,"&gt;="&amp;(Assumptions!$B$4+39)))/Discount!C43</f>
        <v>3525.77767213776</v>
      </c>
      <c r="I365" s="1" t="n">
        <f aca="false">G365-H365</f>
        <v>12803.8045983375</v>
      </c>
      <c r="J365" s="1" t="n">
        <f aca="false">IF(M365&lt;=0,0,MAX(0,(K365+L365-I365)/M365))</f>
        <v>0</v>
      </c>
      <c r="K365" s="74" t="n">
        <f aca="false">RiskMargin!J43</f>
        <v>604.82080713681</v>
      </c>
      <c r="L365" s="74" t="n">
        <f aca="false">RiskMargin!L43</f>
        <v>116.060331935146</v>
      </c>
      <c r="M365" s="73" t="n">
        <f aca="false">Projection!F43</f>
        <v>0.0290780653379978</v>
      </c>
    </row>
    <row r="366" customFormat="false" ht="15" hidden="false" customHeight="true" outlineLevel="0" collapsed="false">
      <c r="A366" s="1" t="n">
        <v>40</v>
      </c>
      <c r="B366" s="1" t="n">
        <f aca="false">Assumptions!$B$4+40</f>
        <v>105</v>
      </c>
      <c r="C366" s="1" t="n">
        <f aca="false">(Pricing!$B$14*(SUMIFS(Projection!$I$4:$I$59,Projection!$B$4:$B$59,"&lt;"&amp;(Assumptions!$B$4+40))-SUMIFS($G$15:$G$70,$A$15:$A$70,"&lt;"&amp;(Assumptions!$B$4+40)))-SUMIFS(Projection!$L$4:$L$59,Projection!$B$4:$B$59,"&lt;"&amp;(Assumptions!$B$4+40))-SUMIFS(Projection!$K$4:$K$59,Projection!$B$4:$B$59,"&lt;"&amp;(Assumptions!$B$4+40)))/Discount!C44</f>
        <v>16395.3157152323</v>
      </c>
      <c r="D366" s="1" t="n">
        <f aca="false">(SUMIFS(Projection!$L$4:$L$59,Projection!$B$4:$B$59,"&gt;="&amp;(Assumptions!$B$4+40))+Pricing!$B$14*SUMIFS($G$15:$G$70,$A$15:$A$70,"&gt;="&amp;(Assumptions!$B$4+40))-Pricing!$B$14*SUMIFS(Projection!$I$4:$I$59,Projection!$B$4:$B$59,"&gt;="&amp;(Assumptions!$B$4+40))+SUMIFS(Projection!$K$4:$K$59,Projection!$B$4:$B$59,"&gt;="&amp;(Assumptions!$B$4+40)))/Discount!C44</f>
        <v>2594.76801878814</v>
      </c>
      <c r="E366" s="1" t="n">
        <f aca="false">C366-D366</f>
        <v>13800.5476964441</v>
      </c>
      <c r="F366" s="1" t="n">
        <f aca="false">IF(M366&lt;=0,0,MAX(0,(K366+L366-E366)/M366))</f>
        <v>0</v>
      </c>
      <c r="G366" s="1" t="n">
        <f aca="false">($B$269*(SUMIFS(Projection!$I$4:$I$59,Projection!$B$4:$B$59,"&lt;"&amp;(Assumptions!$B$4+40))-SUMIFS($L$15:$L$70,$A$15:$A$70,"&lt;"&amp;(Assumptions!$B$4+40)))-SUMIFS(Projection!$L$4:$L$59,Projection!$B$4:$B$59,"&lt;"&amp;(Assumptions!$B$4+40))-SUMIFS(Projection!$K$4:$K$59,Projection!$B$4:$B$59,"&lt;"&amp;(Assumptions!$B$4+40)))/Discount!C44</f>
        <v>15818.4132418108</v>
      </c>
      <c r="H366" s="1" t="n">
        <f aca="false">(SUMIFS(Projection!$L$4:$L$59,Projection!$B$4:$B$59,"&gt;="&amp;(Assumptions!$B$4+40))+$B$269*SUMIFS($L$15:$L$70,$A$15:$A$70,"&gt;="&amp;(Assumptions!$B$4+40))-$B$269*SUMIFS(Projection!$I$4:$I$59,Projection!$B$4:$B$59,"&gt;="&amp;(Assumptions!$B$4+40))+SUMIFS(Projection!$K$4:$K$59,Projection!$B$4:$B$59,"&gt;="&amp;(Assumptions!$B$4+40)))/Discount!C44</f>
        <v>2594.76801878814</v>
      </c>
      <c r="I366" s="1" t="n">
        <f aca="false">G366-H366</f>
        <v>13223.6452230227</v>
      </c>
      <c r="J366" s="1" t="n">
        <f aca="false">IF(M366&lt;=0,0,MAX(0,(K366+L366-I366)/M366))</f>
        <v>0</v>
      </c>
      <c r="K366" s="74" t="n">
        <f aca="false">RiskMargin!J44</f>
        <v>434.718259312719</v>
      </c>
      <c r="L366" s="74" t="n">
        <f aca="false">RiskMargin!L44</f>
        <v>82.3868014581249</v>
      </c>
      <c r="M366" s="73" t="n">
        <f aca="false">Projection!F44</f>
        <v>0.022161714728146</v>
      </c>
    </row>
    <row r="367" customFormat="false" ht="15" hidden="false" customHeight="true" outlineLevel="0" collapsed="false">
      <c r="A367" s="1" t="n">
        <v>41</v>
      </c>
      <c r="B367" s="1" t="n">
        <f aca="false">Assumptions!$B$4+41</f>
        <v>106</v>
      </c>
      <c r="C367" s="1" t="n">
        <f aca="false">(Pricing!$B$14*(SUMIFS(Projection!$I$4:$I$59,Projection!$B$4:$B$59,"&lt;"&amp;(Assumptions!$B$4+41))-SUMIFS($G$15:$G$70,$A$15:$A$70,"&lt;"&amp;(Assumptions!$B$4+41)))-SUMIFS(Projection!$L$4:$L$59,Projection!$B$4:$B$59,"&lt;"&amp;(Assumptions!$B$4+41))-SUMIFS(Projection!$K$4:$K$59,Projection!$B$4:$B$59,"&lt;"&amp;(Assumptions!$B$4+41)))/Discount!C45</f>
        <v>16119.8920936123</v>
      </c>
      <c r="D367" s="1" t="n">
        <f aca="false">(SUMIFS(Projection!$L$4:$L$59,Projection!$B$4:$B$59,"&gt;="&amp;(Assumptions!$B$4+41))+Pricing!$B$14*SUMIFS($G$15:$G$70,$A$15:$A$70,"&gt;="&amp;(Assumptions!$B$4+41))-Pricing!$B$14*SUMIFS(Projection!$I$4:$I$59,Projection!$B$4:$B$59,"&gt;="&amp;(Assumptions!$B$4+41))+SUMIFS(Projection!$K$4:$K$59,Projection!$B$4:$B$59,"&gt;="&amp;(Assumptions!$B$4+41)))/Discount!C45</f>
        <v>1866.26802901059</v>
      </c>
      <c r="E367" s="1" t="n">
        <f aca="false">C367-D367</f>
        <v>14253.6240646017</v>
      </c>
      <c r="F367" s="1" t="n">
        <f aca="false">IF(M367&lt;=0,0,MAX(0,(K367+L367-E367)/M367))</f>
        <v>0</v>
      </c>
      <c r="G367" s="1" t="n">
        <f aca="false">($B$269*(SUMIFS(Projection!$I$4:$I$59,Projection!$B$4:$B$59,"&lt;"&amp;(Assumptions!$B$4+41))-SUMIFS($L$15:$L$70,$A$15:$A$70,"&lt;"&amp;(Assumptions!$B$4+41)))-SUMIFS(Projection!$L$4:$L$59,Projection!$B$4:$B$59,"&lt;"&amp;(Assumptions!$B$4+41))-SUMIFS(Projection!$K$4:$K$59,Projection!$B$4:$B$59,"&lt;"&amp;(Assumptions!$B$4+41)))/Discount!C45</f>
        <v>15524.0497285874</v>
      </c>
      <c r="H367" s="1" t="n">
        <f aca="false">(SUMIFS(Projection!$L$4:$L$59,Projection!$B$4:$B$59,"&gt;="&amp;(Assumptions!$B$4+41))+$B$269*SUMIFS($L$15:$L$70,$A$15:$A$70,"&gt;="&amp;(Assumptions!$B$4+41))-$B$269*SUMIFS(Projection!$I$4:$I$59,Projection!$B$4:$B$59,"&gt;="&amp;(Assumptions!$B$4+41))+SUMIFS(Projection!$K$4:$K$59,Projection!$B$4:$B$59,"&gt;="&amp;(Assumptions!$B$4+41)))/Discount!C45</f>
        <v>1866.26802901059</v>
      </c>
      <c r="I367" s="1" t="n">
        <f aca="false">G367-H367</f>
        <v>13657.7816995768</v>
      </c>
      <c r="J367" s="1" t="n">
        <f aca="false">IF(M367&lt;=0,0,MAX(0,(K367+L367-I367)/M367))</f>
        <v>0</v>
      </c>
      <c r="K367" s="74" t="n">
        <f aca="false">RiskMargin!J45</f>
        <v>385.617905254834</v>
      </c>
      <c r="L367" s="74" t="n">
        <f aca="false">RiskMargin!L45</f>
        <v>58.1521744633497</v>
      </c>
      <c r="M367" s="73" t="n">
        <f aca="false">Projection!F45</f>
        <v>0.0194574963762381</v>
      </c>
    </row>
    <row r="368" customFormat="false" ht="15" hidden="false" customHeight="true" outlineLevel="0" collapsed="false">
      <c r="A368" s="1" t="n">
        <v>42</v>
      </c>
      <c r="B368" s="1" t="n">
        <f aca="false">Assumptions!$B$4+42</f>
        <v>107</v>
      </c>
      <c r="C368" s="1" t="n">
        <f aca="false">(Pricing!$B$14*(SUMIFS(Projection!$I$4:$I$59,Projection!$B$4:$B$59,"&lt;"&amp;(Assumptions!$B$4+42))-SUMIFS($G$15:$G$70,$A$15:$A$70,"&lt;"&amp;(Assumptions!$B$4+42)))-SUMIFS(Projection!$L$4:$L$59,Projection!$B$4:$B$59,"&lt;"&amp;(Assumptions!$B$4+42))-SUMIFS(Projection!$K$4:$K$59,Projection!$B$4:$B$59,"&lt;"&amp;(Assumptions!$B$4+42)))/Discount!C46</f>
        <v>15914.5428320783</v>
      </c>
      <c r="D368" s="1" t="n">
        <f aca="false">(SUMIFS(Projection!$L$4:$L$59,Projection!$B$4:$B$59,"&gt;="&amp;(Assumptions!$B$4+42))+Pricing!$B$14*SUMIFS($G$15:$G$70,$A$15:$A$70,"&gt;="&amp;(Assumptions!$B$4+42))-Pricing!$B$14*SUMIFS(Projection!$I$4:$I$59,Projection!$B$4:$B$59,"&gt;="&amp;(Assumptions!$B$4+42))+SUMIFS(Projection!$K$4:$K$59,Projection!$B$4:$B$59,"&gt;="&amp;(Assumptions!$B$4+42)))/Discount!C46</f>
        <v>1198.387477278</v>
      </c>
      <c r="E368" s="1" t="n">
        <f aca="false">C368-D368</f>
        <v>14716.1553548003</v>
      </c>
      <c r="F368" s="1" t="n">
        <f aca="false">IF(M368&lt;=0,0,MAX(0,(K368+L368-E368)/M368))</f>
        <v>0</v>
      </c>
      <c r="G368" s="1" t="n">
        <f aca="false">($B$269*(SUMIFS(Projection!$I$4:$I$59,Projection!$B$4:$B$59,"&lt;"&amp;(Assumptions!$B$4+42))-SUMIFS($L$15:$L$70,$A$15:$A$70,"&lt;"&amp;(Assumptions!$B$4+42)))-SUMIFS(Projection!$L$4:$L$59,Projection!$B$4:$B$59,"&lt;"&amp;(Assumptions!$B$4+42))-SUMIFS(Projection!$K$4:$K$59,Projection!$B$4:$B$59,"&lt;"&amp;(Assumptions!$B$4+42)))/Discount!C46</f>
        <v>15299.3653325921</v>
      </c>
      <c r="H368" s="1" t="n">
        <f aca="false">(SUMIFS(Projection!$L$4:$L$59,Projection!$B$4:$B$59,"&gt;="&amp;(Assumptions!$B$4+42))+$B$269*SUMIFS($L$15:$L$70,$A$15:$A$70,"&gt;="&amp;(Assumptions!$B$4+42))-$B$269*SUMIFS(Projection!$I$4:$I$59,Projection!$B$4:$B$59,"&gt;="&amp;(Assumptions!$B$4+42))+SUMIFS(Projection!$K$4:$K$59,Projection!$B$4:$B$59,"&gt;="&amp;(Assumptions!$B$4+42)))/Discount!C46</f>
        <v>1198.387477278</v>
      </c>
      <c r="I368" s="1" t="n">
        <f aca="false">G368-H368</f>
        <v>14100.9778553141</v>
      </c>
      <c r="J368" s="1" t="n">
        <f aca="false">IF(M368&lt;=0,0,MAX(0,(K368+L368-I368)/M368))</f>
        <v>0</v>
      </c>
      <c r="K368" s="74" t="n">
        <f aca="false">RiskMargin!J46</f>
        <v>252.006106973022</v>
      </c>
      <c r="L368" s="74" t="n">
        <f aca="false">RiskMargin!L46</f>
        <v>36.1513430694748</v>
      </c>
      <c r="M368" s="73" t="n">
        <f aca="false">Projection!F46</f>
        <v>0.0129577038639437</v>
      </c>
    </row>
    <row r="369" customFormat="false" ht="15" hidden="false" customHeight="true" outlineLevel="0" collapsed="false">
      <c r="A369" s="1" t="n">
        <v>43</v>
      </c>
      <c r="B369" s="1" t="n">
        <f aca="false">Assumptions!$B$4+43</f>
        <v>108</v>
      </c>
      <c r="C369" s="1" t="n">
        <f aca="false">(Pricing!$B$14*(SUMIFS(Projection!$I$4:$I$59,Projection!$B$4:$B$59,"&lt;"&amp;(Assumptions!$B$4+43))-SUMIFS($G$15:$G$70,$A$15:$A$70,"&lt;"&amp;(Assumptions!$B$4+43)))-SUMIFS(Projection!$L$4:$L$59,Projection!$B$4:$B$59,"&lt;"&amp;(Assumptions!$B$4+43))-SUMIFS(Projection!$K$4:$K$59,Projection!$B$4:$B$59,"&lt;"&amp;(Assumptions!$B$4+43)))/Discount!C47</f>
        <v>15943.0991117914</v>
      </c>
      <c r="D369" s="1" t="n">
        <f aca="false">(SUMIFS(Projection!$L$4:$L$59,Projection!$B$4:$B$59,"&gt;="&amp;(Assumptions!$B$4+43))+Pricing!$B$14*SUMIFS($G$15:$G$70,$A$15:$A$70,"&gt;="&amp;(Assumptions!$B$4+43))-Pricing!$B$14*SUMIFS(Projection!$I$4:$I$59,Projection!$B$4:$B$59,"&gt;="&amp;(Assumptions!$B$4+43))+SUMIFS(Projection!$K$4:$K$59,Projection!$B$4:$B$59,"&gt;="&amp;(Assumptions!$B$4+43)))/Discount!C47</f>
        <v>742.777093999178</v>
      </c>
      <c r="E369" s="1" t="n">
        <f aca="false">C369-D369</f>
        <v>15200.3220177922</v>
      </c>
      <c r="F369" s="1" t="n">
        <f aca="false">IF(M369&lt;=0,0,MAX(0,(K369+L369-E369)/M369))</f>
        <v>0</v>
      </c>
      <c r="G369" s="1" t="n">
        <f aca="false">($B$269*(SUMIFS(Projection!$I$4:$I$59,Projection!$B$4:$B$59,"&lt;"&amp;(Assumptions!$B$4+43))-SUMIFS($L$15:$L$70,$A$15:$A$70,"&lt;"&amp;(Assumptions!$B$4+43)))-SUMIFS(Projection!$L$4:$L$59,Projection!$B$4:$B$59,"&lt;"&amp;(Assumptions!$B$4+43))-SUMIFS(Projection!$K$4:$K$59,Projection!$B$4:$B$59,"&lt;"&amp;(Assumptions!$B$4+43)))/Discount!C47</f>
        <v>15307.6820572113</v>
      </c>
      <c r="H369" s="1" t="n">
        <f aca="false">(SUMIFS(Projection!$L$4:$L$59,Projection!$B$4:$B$59,"&gt;="&amp;(Assumptions!$B$4+43))+$B$269*SUMIFS($L$15:$L$70,$A$15:$A$70,"&gt;="&amp;(Assumptions!$B$4+43))-$B$269*SUMIFS(Projection!$I$4:$I$59,Projection!$B$4:$B$59,"&gt;="&amp;(Assumptions!$B$4+43))+SUMIFS(Projection!$K$4:$K$59,Projection!$B$4:$B$59,"&gt;="&amp;(Assumptions!$B$4+43)))/Discount!C47</f>
        <v>742.777093999178</v>
      </c>
      <c r="I369" s="1" t="n">
        <f aca="false">G369-H369</f>
        <v>14564.9049632121</v>
      </c>
      <c r="J369" s="1" t="n">
        <f aca="false">IF(M369&lt;=0,0,MAX(0,(K369+L369-I369)/M369))</f>
        <v>0</v>
      </c>
      <c r="K369" s="74" t="n">
        <f aca="false">RiskMargin!J47</f>
        <v>159.174615899891</v>
      </c>
      <c r="L369" s="74" t="n">
        <f aca="false">RiskMargin!L47</f>
        <v>21.7229031454207</v>
      </c>
      <c r="M369" s="73" t="n">
        <f aca="false">Projection!F47</f>
        <v>0.00831588584834634</v>
      </c>
    </row>
    <row r="370" customFormat="false" ht="15" hidden="false" customHeight="true" outlineLevel="0" collapsed="false">
      <c r="A370" s="1" t="n">
        <v>44</v>
      </c>
      <c r="B370" s="1" t="n">
        <f aca="false">Assumptions!$B$4+44</f>
        <v>109</v>
      </c>
      <c r="C370" s="1" t="n">
        <f aca="false">(Pricing!$B$14*(SUMIFS(Projection!$I$4:$I$59,Projection!$B$4:$B$59,"&lt;"&amp;(Assumptions!$B$4+44))-SUMIFS($G$15:$G$70,$A$15:$A$70,"&lt;"&amp;(Assumptions!$B$4+44)))-SUMIFS(Projection!$L$4:$L$59,Projection!$B$4:$B$59,"&lt;"&amp;(Assumptions!$B$4+44))-SUMIFS(Projection!$K$4:$K$59,Projection!$B$4:$B$59,"&lt;"&amp;(Assumptions!$B$4+44)))/Discount!C48</f>
        <v>16137.3117644563</v>
      </c>
      <c r="D370" s="1" t="n">
        <f aca="false">(SUMIFS(Projection!$L$4:$L$59,Projection!$B$4:$B$59,"&gt;="&amp;(Assumptions!$B$4+44))+Pricing!$B$14*SUMIFS($G$15:$G$70,$A$15:$A$70,"&gt;="&amp;(Assumptions!$B$4+44))-Pricing!$B$14*SUMIFS(Projection!$I$4:$I$59,Projection!$B$4:$B$59,"&gt;="&amp;(Assumptions!$B$4+44))+SUMIFS(Projection!$K$4:$K$59,Projection!$B$4:$B$59,"&gt;="&amp;(Assumptions!$B$4+44)))/Discount!C48</f>
        <v>442.977887614849</v>
      </c>
      <c r="E370" s="1" t="n">
        <f aca="false">C370-D370</f>
        <v>15694.3338768414</v>
      </c>
      <c r="F370" s="1" t="n">
        <f aca="false">IF(M370&lt;=0,0,MAX(0,(K370+L370-E370)/M370))</f>
        <v>0</v>
      </c>
      <c r="G370" s="1" t="n">
        <f aca="false">($B$269*(SUMIFS(Projection!$I$4:$I$59,Projection!$B$4:$B$59,"&lt;"&amp;(Assumptions!$B$4+44))-SUMIFS($L$15:$L$70,$A$15:$A$70,"&lt;"&amp;(Assumptions!$B$4+44)))-SUMIFS(Projection!$L$4:$L$59,Projection!$B$4:$B$59,"&lt;"&amp;(Assumptions!$B$4+44))-SUMIFS(Projection!$K$4:$K$59,Projection!$B$4:$B$59,"&lt;"&amp;(Assumptions!$B$4+44)))/Discount!C48</f>
        <v>15481.2435973512</v>
      </c>
      <c r="H370" s="1" t="n">
        <f aca="false">(SUMIFS(Projection!$L$4:$L$59,Projection!$B$4:$B$59,"&gt;="&amp;(Assumptions!$B$4+44))+$B$269*SUMIFS($L$15:$L$70,$A$15:$A$70,"&gt;="&amp;(Assumptions!$B$4+44))-$B$269*SUMIFS(Projection!$I$4:$I$59,Projection!$B$4:$B$59,"&gt;="&amp;(Assumptions!$B$4+44))+SUMIFS(Projection!$K$4:$K$59,Projection!$B$4:$B$59,"&gt;="&amp;(Assumptions!$B$4+44)))/Discount!C48</f>
        <v>442.977887614849</v>
      </c>
      <c r="I370" s="1" t="n">
        <f aca="false">G370-H370</f>
        <v>15038.2657097364</v>
      </c>
      <c r="J370" s="1" t="n">
        <f aca="false">IF(M370&lt;=0,0,MAX(0,(K370+L370-I370)/M370))</f>
        <v>0</v>
      </c>
      <c r="K370" s="74" t="n">
        <f aca="false">RiskMargin!J48</f>
        <v>96.7687825050688</v>
      </c>
      <c r="L370" s="74" t="n">
        <f aca="false">RiskMargin!L48</f>
        <v>12.5680311585409</v>
      </c>
      <c r="M370" s="73" t="n">
        <f aca="false">Projection!F48</f>
        <v>0.0051226939077799</v>
      </c>
    </row>
    <row r="371" customFormat="false" ht="15" hidden="false" customHeight="true" outlineLevel="0" collapsed="false">
      <c r="A371" s="1" t="n">
        <v>45</v>
      </c>
      <c r="B371" s="1" t="n">
        <f aca="false">Assumptions!$B$4+45</f>
        <v>110</v>
      </c>
      <c r="C371" s="1" t="n">
        <f aca="false">(Pricing!$B$14*(SUMIFS(Projection!$I$4:$I$59,Projection!$B$4:$B$59,"&lt;"&amp;(Assumptions!$B$4+45))-SUMIFS($G$15:$G$70,$A$15:$A$70,"&lt;"&amp;(Assumptions!$B$4+45)))-SUMIFS(Projection!$L$4:$L$59,Projection!$B$4:$B$59,"&lt;"&amp;(Assumptions!$B$4+45))-SUMIFS(Projection!$K$4:$K$59,Projection!$B$4:$B$59,"&lt;"&amp;(Assumptions!$B$4+45)))/Discount!C49</f>
        <v>16465.7241568117</v>
      </c>
      <c r="D371" s="1" t="n">
        <f aca="false">(SUMIFS(Projection!$L$4:$L$59,Projection!$B$4:$B$59,"&gt;="&amp;(Assumptions!$B$4+45))+Pricing!$B$14*SUMIFS($G$15:$G$70,$A$15:$A$70,"&gt;="&amp;(Assumptions!$B$4+45))-Pricing!$B$14*SUMIFS(Projection!$I$4:$I$59,Projection!$B$4:$B$59,"&gt;="&amp;(Assumptions!$B$4+45))+SUMIFS(Projection!$K$4:$K$59,Projection!$B$4:$B$59,"&gt;="&amp;(Assumptions!$B$4+45)))/Discount!C49</f>
        <v>253.942068542003</v>
      </c>
      <c r="E371" s="1" t="n">
        <f aca="false">C371-D371</f>
        <v>16211.7820882697</v>
      </c>
      <c r="F371" s="1" t="n">
        <f aca="false">IF(M371&lt;=0,0,MAX(0,(K371+L371-E371)/M371))</f>
        <v>0</v>
      </c>
      <c r="G371" s="1" t="n">
        <f aca="false">($B$269*(SUMIFS(Projection!$I$4:$I$59,Projection!$B$4:$B$59,"&lt;"&amp;(Assumptions!$B$4+45))-SUMIFS($L$15:$L$70,$A$15:$A$70,"&lt;"&amp;(Assumptions!$B$4+45)))-SUMIFS(Projection!$L$4:$L$59,Projection!$B$4:$B$59,"&lt;"&amp;(Assumptions!$B$4+45))-SUMIFS(Projection!$K$4:$K$59,Projection!$B$4:$B$59,"&lt;"&amp;(Assumptions!$B$4+45)))/Discount!C49</f>
        <v>15788.0251704373</v>
      </c>
      <c r="H371" s="1" t="n">
        <f aca="false">(SUMIFS(Projection!$L$4:$L$59,Projection!$B$4:$B$59,"&gt;="&amp;(Assumptions!$B$4+45))+$B$269*SUMIFS($L$15:$L$70,$A$15:$A$70,"&gt;="&amp;(Assumptions!$B$4+45))-$B$269*SUMIFS(Projection!$I$4:$I$59,Projection!$B$4:$B$59,"&gt;="&amp;(Assumptions!$B$4+45))+SUMIFS(Projection!$K$4:$K$59,Projection!$B$4:$B$59,"&gt;="&amp;(Assumptions!$B$4+45)))/Discount!C49</f>
        <v>253.942068542003</v>
      </c>
      <c r="I371" s="1" t="n">
        <f aca="false">G371-H371</f>
        <v>15534.0831018953</v>
      </c>
      <c r="J371" s="1" t="n">
        <f aca="false">IF(M371&lt;=0,0,MAX(0,(K371+L371-I371)/M371))</f>
        <v>0</v>
      </c>
      <c r="K371" s="74" t="n">
        <f aca="false">RiskMargin!J49</f>
        <v>56.3896320487537</v>
      </c>
      <c r="L371" s="73" t="n">
        <f aca="false">RiskMargin!L49</f>
        <v>6.98484678521129</v>
      </c>
      <c r="M371" s="73" t="n">
        <f aca="false">Projection!F49</f>
        <v>0.0030151610082462</v>
      </c>
    </row>
    <row r="372" customFormat="false" ht="15" hidden="false" customHeight="true" outlineLevel="0" collapsed="false">
      <c r="A372" s="1" t="n">
        <v>46</v>
      </c>
      <c r="B372" s="1" t="n">
        <f aca="false">Assumptions!$B$4+46</f>
        <v>111</v>
      </c>
      <c r="C372" s="1" t="n">
        <f aca="false">(Pricing!$B$14*(SUMIFS(Projection!$I$4:$I$59,Projection!$B$4:$B$59,"&lt;"&amp;(Assumptions!$B$4+46))-SUMIFS($G$15:$G$70,$A$15:$A$70,"&lt;"&amp;(Assumptions!$B$4+46)))-SUMIFS(Projection!$L$4:$L$59,Projection!$B$4:$B$59,"&lt;"&amp;(Assumptions!$B$4+46))-SUMIFS(Projection!$K$4:$K$59,Projection!$B$4:$B$59,"&lt;"&amp;(Assumptions!$B$4+46)))/Discount!C50</f>
        <v>16879.4730489762</v>
      </c>
      <c r="D372" s="1" t="n">
        <f aca="false">(SUMIFS(Projection!$L$4:$L$59,Projection!$B$4:$B$59,"&gt;="&amp;(Assumptions!$B$4+46))+Pricing!$B$14*SUMIFS($G$15:$G$70,$A$15:$A$70,"&gt;="&amp;(Assumptions!$B$4+46))-Pricing!$B$14*SUMIFS(Projection!$I$4:$I$59,Projection!$B$4:$B$59,"&gt;="&amp;(Assumptions!$B$4+46))+SUMIFS(Projection!$K$4:$K$59,Projection!$B$4:$B$59,"&gt;="&amp;(Assumptions!$B$4+46)))/Discount!C50</f>
        <v>139.995827753051</v>
      </c>
      <c r="E372" s="1" t="n">
        <f aca="false">C372-D372</f>
        <v>16739.4772212231</v>
      </c>
      <c r="F372" s="1" t="n">
        <f aca="false">IF(M372&lt;=0,0,MAX(0,(K372+L372-E372)/M372))</f>
        <v>0</v>
      </c>
      <c r="G372" s="1" t="n">
        <f aca="false">($B$269*(SUMIFS(Projection!$I$4:$I$59,Projection!$B$4:$B$59,"&lt;"&amp;(Assumptions!$B$4+46))-SUMIFS($L$15:$L$70,$A$15:$A$70,"&lt;"&amp;(Assumptions!$B$4+46)))-SUMIFS(Projection!$L$4:$L$59,Projection!$B$4:$B$59,"&lt;"&amp;(Assumptions!$B$4+46))-SUMIFS(Projection!$K$4:$K$59,Projection!$B$4:$B$59,"&lt;"&amp;(Assumptions!$B$4+46)))/Discount!C50</f>
        <v>16179.7148926246</v>
      </c>
      <c r="H372" s="1" t="n">
        <f aca="false">(SUMIFS(Projection!$L$4:$L$59,Projection!$B$4:$B$59,"&gt;="&amp;(Assumptions!$B$4+46))+$B$269*SUMIFS($L$15:$L$70,$A$15:$A$70,"&gt;="&amp;(Assumptions!$B$4+46))-$B$269*SUMIFS(Projection!$I$4:$I$59,Projection!$B$4:$B$59,"&gt;="&amp;(Assumptions!$B$4+46))+SUMIFS(Projection!$K$4:$K$59,Projection!$B$4:$B$59,"&gt;="&amp;(Assumptions!$B$4+46)))/Discount!C50</f>
        <v>139.995827753051</v>
      </c>
      <c r="I372" s="1" t="n">
        <f aca="false">G372-H372</f>
        <v>16039.7190648716</v>
      </c>
      <c r="J372" s="1" t="n">
        <f aca="false">IF(M372&lt;=0,0,MAX(0,(K372+L372-I372)/M372))</f>
        <v>0</v>
      </c>
      <c r="K372" s="74" t="n">
        <f aca="false">RiskMargin!J50</f>
        <v>31.1516315041992</v>
      </c>
      <c r="L372" s="73" t="n">
        <f aca="false">RiskMargin!L50</f>
        <v>3.71869703496715</v>
      </c>
      <c r="M372" s="73" t="n">
        <f aca="false">Projection!F50</f>
        <v>0.0016867085005452</v>
      </c>
    </row>
    <row r="373" customFormat="false" ht="15" hidden="false" customHeight="true" outlineLevel="0" collapsed="false">
      <c r="A373" s="1" t="n">
        <v>47</v>
      </c>
      <c r="B373" s="1" t="n">
        <f aca="false">Assumptions!$B$4+47</f>
        <v>112</v>
      </c>
      <c r="C373" s="1" t="n">
        <f aca="false">(Pricing!$B$14*(SUMIFS(Projection!$I$4:$I$59,Projection!$B$4:$B$59,"&lt;"&amp;(Assumptions!$B$4+47))-SUMIFS($G$15:$G$70,$A$15:$A$70,"&lt;"&amp;(Assumptions!$B$4+47)))-SUMIFS(Projection!$L$4:$L$59,Projection!$B$4:$B$59,"&lt;"&amp;(Assumptions!$B$4+47))-SUMIFS(Projection!$K$4:$K$59,Projection!$B$4:$B$59,"&lt;"&amp;(Assumptions!$B$4+47)))/Discount!C51</f>
        <v>17359.5018532702</v>
      </c>
      <c r="D373" s="1" t="n">
        <f aca="false">(SUMIFS(Projection!$L$4:$L$59,Projection!$B$4:$B$59,"&gt;="&amp;(Assumptions!$B$4+47))+Pricing!$B$14*SUMIFS($G$15:$G$70,$A$15:$A$70,"&gt;="&amp;(Assumptions!$B$4+47))-Pricing!$B$14*SUMIFS(Projection!$I$4:$I$59,Projection!$B$4:$B$59,"&gt;="&amp;(Assumptions!$B$4+47))+SUMIFS(Projection!$K$4:$K$59,Projection!$B$4:$B$59,"&gt;="&amp;(Assumptions!$B$4+47)))/Discount!C51</f>
        <v>74.8181054390519</v>
      </c>
      <c r="E373" s="1" t="n">
        <f aca="false">C373-D373</f>
        <v>17284.6837478311</v>
      </c>
      <c r="F373" s="1" t="n">
        <f aca="false">IF(M373&lt;=0,0,MAX(0,(K373+L373-E373)/M373))</f>
        <v>0</v>
      </c>
      <c r="G373" s="1" t="n">
        <f aca="false">($B$269*(SUMIFS(Projection!$I$4:$I$59,Projection!$B$4:$B$59,"&lt;"&amp;(Assumptions!$B$4+47))-SUMIFS($L$15:$L$70,$A$15:$A$70,"&lt;"&amp;(Assumptions!$B$4+47)))-SUMIFS(Projection!$L$4:$L$59,Projection!$B$4:$B$59,"&lt;"&amp;(Assumptions!$B$4+47))-SUMIFS(Projection!$K$4:$K$59,Projection!$B$4:$B$59,"&lt;"&amp;(Assumptions!$B$4+47)))/Discount!C51</f>
        <v>16636.9525004644</v>
      </c>
      <c r="H373" s="1" t="n">
        <f aca="false">(SUMIFS(Projection!$L$4:$L$59,Projection!$B$4:$B$59,"&gt;="&amp;(Assumptions!$B$4+47))+$B$269*SUMIFS($L$15:$L$70,$A$15:$A$70,"&gt;="&amp;(Assumptions!$B$4+47))-$B$269*SUMIFS(Projection!$I$4:$I$59,Projection!$B$4:$B$59,"&gt;="&amp;(Assumptions!$B$4+47))+SUMIFS(Projection!$K$4:$K$59,Projection!$B$4:$B$59,"&gt;="&amp;(Assumptions!$B$4+47)))/Discount!C51</f>
        <v>74.8181054390519</v>
      </c>
      <c r="I373" s="1" t="n">
        <f aca="false">G373-H373</f>
        <v>16562.1343950253</v>
      </c>
      <c r="J373" s="1" t="n">
        <f aca="false">IF(M373&lt;=0,0,MAX(0,(K373+L373-I373)/M373))</f>
        <v>0</v>
      </c>
      <c r="K373" s="74" t="n">
        <f aca="false">RiskMargin!J51</f>
        <v>16.6293529360109</v>
      </c>
      <c r="L373" s="73" t="n">
        <f aca="false">RiskMargin!L51</f>
        <v>1.90984078260989</v>
      </c>
      <c r="M373" s="75" t="n">
        <f aca="false">Projection!F51</f>
        <v>0.000913794336408797</v>
      </c>
    </row>
    <row r="374" customFormat="false" ht="15" hidden="false" customHeight="true" outlineLevel="0" collapsed="false">
      <c r="A374" s="1" t="n">
        <v>48</v>
      </c>
      <c r="B374" s="1" t="n">
        <f aca="false">Assumptions!$B$4+48</f>
        <v>113</v>
      </c>
      <c r="C374" s="1" t="n">
        <f aca="false">(Pricing!$B$14*(SUMIFS(Projection!$I$4:$I$59,Projection!$B$4:$B$59,"&lt;"&amp;(Assumptions!$B$4+48))-SUMIFS($G$15:$G$70,$A$15:$A$70,"&lt;"&amp;(Assumptions!$B$4+48)))-SUMIFS(Projection!$L$4:$L$59,Projection!$B$4:$B$59,"&lt;"&amp;(Assumptions!$B$4+48))-SUMIFS(Projection!$K$4:$K$59,Projection!$B$4:$B$59,"&lt;"&amp;(Assumptions!$B$4+48)))/Discount!C52</f>
        <v>17895.0316070734</v>
      </c>
      <c r="D374" s="1" t="n">
        <f aca="false">(SUMIFS(Projection!$L$4:$L$59,Projection!$B$4:$B$59,"&gt;="&amp;(Assumptions!$B$4+48))+Pricing!$B$14*SUMIFS($G$15:$G$70,$A$15:$A$70,"&gt;="&amp;(Assumptions!$B$4+48))-Pricing!$B$14*SUMIFS(Projection!$I$4:$I$59,Projection!$B$4:$B$59,"&gt;="&amp;(Assumptions!$B$4+48))+SUMIFS(Projection!$K$4:$K$59,Projection!$B$4:$B$59,"&gt;="&amp;(Assumptions!$B$4+48)))/Discount!C52</f>
        <v>38.7358092367186</v>
      </c>
      <c r="E374" s="1" t="n">
        <f aca="false">C374-D374</f>
        <v>17856.2957978367</v>
      </c>
      <c r="F374" s="1" t="n">
        <f aca="false">IF(M374&lt;=0,0,MAX(0,(K374+L374-E374)/M374))</f>
        <v>0</v>
      </c>
      <c r="G374" s="1" t="n">
        <f aca="false">($B$269*(SUMIFS(Projection!$I$4:$I$59,Projection!$B$4:$B$59,"&lt;"&amp;(Assumptions!$B$4+48))-SUMIFS($L$15:$L$70,$A$15:$A$70,"&lt;"&amp;(Assumptions!$B$4+48)))-SUMIFS(Projection!$L$4:$L$59,Projection!$B$4:$B$59,"&lt;"&amp;(Assumptions!$B$4+48))-SUMIFS(Projection!$K$4:$K$59,Projection!$B$4:$B$59,"&lt;"&amp;(Assumptions!$B$4+48)))/Discount!C52</f>
        <v>17148.5872312048</v>
      </c>
      <c r="H374" s="1" t="n">
        <f aca="false">(SUMIFS(Projection!$L$4:$L$59,Projection!$B$4:$B$59,"&gt;="&amp;(Assumptions!$B$4+48))+$B$269*SUMIFS($L$15:$L$70,$A$15:$A$70,"&gt;="&amp;(Assumptions!$B$4+48))-$B$269*SUMIFS(Projection!$I$4:$I$59,Projection!$B$4:$B$59,"&gt;="&amp;(Assumptions!$B$4+48))+SUMIFS(Projection!$K$4:$K$59,Projection!$B$4:$B$59,"&gt;="&amp;(Assumptions!$B$4+48)))/Discount!C52</f>
        <v>38.7358092367186</v>
      </c>
      <c r="I374" s="1" t="n">
        <f aca="false">G374-H374</f>
        <v>17109.8514219681</v>
      </c>
      <c r="J374" s="1" t="n">
        <f aca="false">IF(M374&lt;=0,0,MAX(0,(K374+L374-I374)/M374))</f>
        <v>0</v>
      </c>
      <c r="K374" s="73" t="n">
        <f aca="false">RiskMargin!J52</f>
        <v>8.55567104344096</v>
      </c>
      <c r="L374" s="73" t="n">
        <f aca="false">RiskMargin!L52</f>
        <v>0.942242477880193</v>
      </c>
      <c r="M374" s="75" t="n">
        <f aca="false">Projection!F52</f>
        <v>0.000478998584659233</v>
      </c>
    </row>
    <row r="375" customFormat="false" ht="15" hidden="false" customHeight="true" outlineLevel="0" collapsed="false">
      <c r="A375" s="1" t="n">
        <v>49</v>
      </c>
      <c r="B375" s="1" t="n">
        <f aca="false">Assumptions!$B$4+49</f>
        <v>114</v>
      </c>
      <c r="C375" s="1" t="n">
        <f aca="false">(Pricing!$B$14*(SUMIFS(Projection!$I$4:$I$59,Projection!$B$4:$B$59,"&lt;"&amp;(Assumptions!$B$4+49))-SUMIFS($G$15:$G$70,$A$15:$A$70,"&lt;"&amp;(Assumptions!$B$4+49)))-SUMIFS(Projection!$L$4:$L$59,Projection!$B$4:$B$59,"&lt;"&amp;(Assumptions!$B$4+49))-SUMIFS(Projection!$K$4:$K$59,Projection!$B$4:$B$59,"&lt;"&amp;(Assumptions!$B$4+49)))/Discount!C53</f>
        <v>18458.1628726039</v>
      </c>
      <c r="D375" s="1" t="n">
        <f aca="false">(SUMIFS(Projection!$L$4:$L$59,Projection!$B$4:$B$59,"&gt;="&amp;(Assumptions!$B$4+49))+Pricing!$B$14*SUMIFS($G$15:$G$70,$A$15:$A$70,"&gt;="&amp;(Assumptions!$B$4+49))-Pricing!$B$14*SUMIFS(Projection!$I$4:$I$59,Projection!$B$4:$B$59,"&gt;="&amp;(Assumptions!$B$4+49))+SUMIFS(Projection!$K$4:$K$59,Projection!$B$4:$B$59,"&gt;="&amp;(Assumptions!$B$4+49)))/Discount!C53</f>
        <v>19.3926710020517</v>
      </c>
      <c r="E375" s="1" t="n">
        <f aca="false">C375-D375</f>
        <v>18438.7702016018</v>
      </c>
      <c r="F375" s="1" t="n">
        <f aca="false">IF(M375&lt;=0,0,MAX(0,(K375+L375-E375)/M375))</f>
        <v>0</v>
      </c>
      <c r="G375" s="1" t="n">
        <f aca="false">($B$269*(SUMIFS(Projection!$I$4:$I$59,Projection!$B$4:$B$59,"&lt;"&amp;(Assumptions!$B$4+49))-SUMIFS($L$15:$L$70,$A$15:$A$70,"&lt;"&amp;(Assumptions!$B$4+49)))-SUMIFS(Projection!$L$4:$L$59,Projection!$B$4:$B$59,"&lt;"&amp;(Assumptions!$B$4+49))-SUMIFS(Projection!$K$4:$K$59,Projection!$B$4:$B$59,"&lt;"&amp;(Assumptions!$B$4+49)))/Discount!C53</f>
        <v>17687.3693961323</v>
      </c>
      <c r="H375" s="1" t="n">
        <f aca="false">(SUMIFS(Projection!$L$4:$L$59,Projection!$B$4:$B$59,"&gt;="&amp;(Assumptions!$B$4+49))+$B$269*SUMIFS($L$15:$L$70,$A$15:$A$70,"&gt;="&amp;(Assumptions!$B$4+49))-$B$269*SUMIFS(Projection!$I$4:$I$59,Projection!$B$4:$B$59,"&gt;="&amp;(Assumptions!$B$4+49))+SUMIFS(Projection!$K$4:$K$59,Projection!$B$4:$B$59,"&gt;="&amp;(Assumptions!$B$4+49)))/Discount!C53</f>
        <v>19.3926710020517</v>
      </c>
      <c r="I375" s="1" t="n">
        <f aca="false">G375-H375</f>
        <v>17667.9767251302</v>
      </c>
      <c r="J375" s="1" t="n">
        <f aca="false">IF(M375&lt;=0,0,MAX(0,(K375+L375-I375)/M375))</f>
        <v>0</v>
      </c>
      <c r="K375" s="73" t="n">
        <f aca="false">RiskMargin!J53</f>
        <v>4.21734449125674</v>
      </c>
      <c r="L375" s="73" t="n">
        <f aca="false">RiskMargin!L53</f>
        <v>0.442893054412133</v>
      </c>
      <c r="M375" s="75" t="n">
        <f aca="false">Projection!F53</f>
        <v>0.000242726298517999</v>
      </c>
    </row>
    <row r="376" customFormat="false" ht="15" hidden="false" customHeight="true" outlineLevel="0" collapsed="false">
      <c r="A376" s="1" t="n">
        <v>50</v>
      </c>
      <c r="B376" s="1" t="n">
        <f aca="false">Assumptions!$B$4+50</f>
        <v>115</v>
      </c>
      <c r="C376" s="1" t="n">
        <f aca="false">(Pricing!$B$14*(SUMIFS(Projection!$I$4:$I$59,Projection!$B$4:$B$59,"&lt;"&amp;(Assumptions!$B$4+50))-SUMIFS($G$15:$G$70,$A$15:$A$70,"&lt;"&amp;(Assumptions!$B$4+50)))-SUMIFS(Projection!$L$4:$L$59,Projection!$B$4:$B$59,"&lt;"&amp;(Assumptions!$B$4+50))-SUMIFS(Projection!$K$4:$K$59,Projection!$B$4:$B$59,"&lt;"&amp;(Assumptions!$B$4+50)))/Discount!C54</f>
        <v>19059.2184291067</v>
      </c>
      <c r="D376" s="1" t="n">
        <f aca="false">(SUMIFS(Projection!$L$4:$L$59,Projection!$B$4:$B$59,"&gt;="&amp;(Assumptions!$B$4+50))+Pricing!$B$14*SUMIFS($G$15:$G$70,$A$15:$A$70,"&gt;="&amp;(Assumptions!$B$4+50))-Pricing!$B$14*SUMIFS(Projection!$I$4:$I$59,Projection!$B$4:$B$59,"&gt;="&amp;(Assumptions!$B$4+50))+SUMIFS(Projection!$K$4:$K$59,Projection!$B$4:$B$59,"&gt;="&amp;(Assumptions!$B$4+50)))/Discount!C54</f>
        <v>9.37862665441879</v>
      </c>
      <c r="E376" s="1" t="n">
        <f aca="false">C376-D376</f>
        <v>19049.8398024523</v>
      </c>
      <c r="F376" s="1" t="n">
        <f aca="false">IF(M376&lt;=0,0,MAX(0,(K376+L376-E376)/M376))</f>
        <v>0</v>
      </c>
      <c r="G376" s="1" t="n">
        <f aca="false">($B$269*(SUMIFS(Projection!$I$4:$I$59,Projection!$B$4:$B$59,"&lt;"&amp;(Assumptions!$B$4+50))-SUMIFS($L$15:$L$70,$A$15:$A$70,"&lt;"&amp;(Assumptions!$B$4+50)))-SUMIFS(Projection!$L$4:$L$59,Projection!$B$4:$B$59,"&lt;"&amp;(Assumptions!$B$4+50))-SUMIFS(Projection!$K$4:$K$59,Projection!$B$4:$B$59,"&lt;"&amp;(Assumptions!$B$4+50)))/Discount!C54</f>
        <v>18262.8804907835</v>
      </c>
      <c r="H376" s="1" t="n">
        <f aca="false">(SUMIFS(Projection!$L$4:$L$59,Projection!$B$4:$B$59,"&gt;="&amp;(Assumptions!$B$4+50))+$B$269*SUMIFS($L$15:$L$70,$A$15:$A$70,"&gt;="&amp;(Assumptions!$B$4+50))-$B$269*SUMIFS(Projection!$I$4:$I$59,Projection!$B$4:$B$59,"&gt;="&amp;(Assumptions!$B$4+50))+SUMIFS(Projection!$K$4:$K$59,Projection!$B$4:$B$59,"&gt;="&amp;(Assumptions!$B$4+50)))/Discount!C54</f>
        <v>9.37862665441879</v>
      </c>
      <c r="I376" s="1" t="n">
        <f aca="false">G376-H376</f>
        <v>18253.5018641291</v>
      </c>
      <c r="J376" s="1" t="n">
        <f aca="false">IF(M376&lt;=0,0,MAX(0,(K376+L376-I376)/M376))</f>
        <v>0</v>
      </c>
      <c r="K376" s="73" t="n">
        <f aca="false">RiskMargin!J54</f>
        <v>1.9770576438495</v>
      </c>
      <c r="L376" s="73" t="n">
        <f aca="false">RiskMargin!L54</f>
        <v>0.196144183132344</v>
      </c>
      <c r="M376" s="75" t="n">
        <f aca="false">Projection!F54</f>
        <v>0.000118806116249204</v>
      </c>
    </row>
    <row r="377" customFormat="false" ht="15" hidden="false" customHeight="true" outlineLevel="0" collapsed="false">
      <c r="A377" s="1" t="n">
        <v>51</v>
      </c>
      <c r="B377" s="1" t="n">
        <f aca="false">Assumptions!$B$4+51</f>
        <v>116</v>
      </c>
      <c r="C377" s="1" t="n">
        <f aca="false">(Pricing!$B$14*(SUMIFS(Projection!$I$4:$I$59,Projection!$B$4:$B$59,"&lt;"&amp;(Assumptions!$B$4+51))-SUMIFS($G$15:$G$70,$A$15:$A$70,"&lt;"&amp;(Assumptions!$B$4+51)))-SUMIFS(Projection!$L$4:$L$59,Projection!$B$4:$B$59,"&lt;"&amp;(Assumptions!$B$4+51))-SUMIFS(Projection!$K$4:$K$59,Projection!$B$4:$B$59,"&lt;"&amp;(Assumptions!$B$4+51)))/Discount!C55</f>
        <v>19676.5672828303</v>
      </c>
      <c r="D377" s="1" t="n">
        <f aca="false">(SUMIFS(Projection!$L$4:$L$59,Projection!$B$4:$B$59,"&gt;="&amp;(Assumptions!$B$4+51))+Pricing!$B$14*SUMIFS($G$15:$G$70,$A$15:$A$70,"&gt;="&amp;(Assumptions!$B$4+51))-Pricing!$B$14*SUMIFS(Projection!$I$4:$I$59,Projection!$B$4:$B$59,"&gt;="&amp;(Assumptions!$B$4+51))+SUMIFS(Projection!$K$4:$K$59,Projection!$B$4:$B$59,"&gt;="&amp;(Assumptions!$B$4+51)))/Discount!C55</f>
        <v>4.36686048288086</v>
      </c>
      <c r="E377" s="1" t="n">
        <f aca="false">C377-D377</f>
        <v>19672.2004223474</v>
      </c>
      <c r="F377" s="1" t="n">
        <f aca="false">IF(M377&lt;=0,0,MAX(0,(K377+L377-E377)/M377))</f>
        <v>0</v>
      </c>
      <c r="G377" s="1" t="n">
        <f aca="false">($B$269*(SUMIFS(Projection!$I$4:$I$59,Projection!$B$4:$B$59,"&lt;"&amp;(Assumptions!$B$4+51))-SUMIFS($L$15:$L$70,$A$15:$A$70,"&lt;"&amp;(Assumptions!$B$4+51)))-SUMIFS(Projection!$L$4:$L$59,Projection!$B$4:$B$59,"&lt;"&amp;(Assumptions!$B$4+51))-SUMIFS(Projection!$K$4:$K$59,Projection!$B$4:$B$59,"&lt;"&amp;(Assumptions!$B$4+51)))/Discount!C55</f>
        <v>18854.212885677</v>
      </c>
      <c r="H377" s="1" t="n">
        <f aca="false">(SUMIFS(Projection!$L$4:$L$59,Projection!$B$4:$B$59,"&gt;="&amp;(Assumptions!$B$4+51))+$B$269*SUMIFS($L$15:$L$70,$A$15:$A$70,"&gt;="&amp;(Assumptions!$B$4+51))-$B$269*SUMIFS(Projection!$I$4:$I$59,Projection!$B$4:$B$59,"&gt;="&amp;(Assumptions!$B$4+51))+SUMIFS(Projection!$K$4:$K$59,Projection!$B$4:$B$59,"&gt;="&amp;(Assumptions!$B$4+51)))/Discount!C55</f>
        <v>4.36686048288086</v>
      </c>
      <c r="I377" s="1" t="n">
        <f aca="false">G377-H377</f>
        <v>18849.8460251941</v>
      </c>
      <c r="J377" s="1" t="n">
        <f aca="false">IF(M377&lt;=0,0,MAX(0,(K377+L377-I377)/M377))</f>
        <v>0</v>
      </c>
      <c r="K377" s="73" t="n">
        <f aca="false">RiskMargin!J55</f>
        <v>0.866942736813442</v>
      </c>
      <c r="L377" s="73" t="n">
        <f aca="false">RiskMargin!L55</f>
        <v>0.0800533361482794</v>
      </c>
      <c r="M377" s="75" t="n">
        <f aca="false">Projection!F55</f>
        <v>5.61264386734587E-005</v>
      </c>
    </row>
    <row r="378" customFormat="false" ht="15" hidden="false" customHeight="true" outlineLevel="0" collapsed="false">
      <c r="A378" s="1" t="n">
        <v>52</v>
      </c>
      <c r="B378" s="1" t="n">
        <f aca="false">Assumptions!$B$4+52</f>
        <v>117</v>
      </c>
      <c r="C378" s="1" t="n">
        <f aca="false">(Pricing!$B$14*(SUMIFS(Projection!$I$4:$I$59,Projection!$B$4:$B$59,"&lt;"&amp;(Assumptions!$B$4+52))-SUMIFS($G$15:$G$70,$A$15:$A$70,"&lt;"&amp;(Assumptions!$B$4+52)))-SUMIFS(Projection!$L$4:$L$59,Projection!$B$4:$B$59,"&lt;"&amp;(Assumptions!$B$4+52))-SUMIFS(Projection!$K$4:$K$59,Projection!$B$4:$B$59,"&lt;"&amp;(Assumptions!$B$4+52)))/Discount!C56</f>
        <v>20317.2340051</v>
      </c>
      <c r="D378" s="1" t="n">
        <f aca="false">(SUMIFS(Projection!$L$4:$L$59,Projection!$B$4:$B$59,"&gt;="&amp;(Assumptions!$B$4+52))+Pricing!$B$14*SUMIFS($G$15:$G$70,$A$15:$A$70,"&gt;="&amp;(Assumptions!$B$4+52))-Pricing!$B$14*SUMIFS(Projection!$I$4:$I$59,Projection!$B$4:$B$59,"&gt;="&amp;(Assumptions!$B$4+52))+SUMIFS(Projection!$K$4:$K$59,Projection!$B$4:$B$59,"&gt;="&amp;(Assumptions!$B$4+52)))/Discount!C56</f>
        <v>1.94682330515196</v>
      </c>
      <c r="E378" s="1" t="n">
        <f aca="false">C378-D378</f>
        <v>20315.2871817948</v>
      </c>
      <c r="F378" s="1" t="n">
        <f aca="false">IF(M378&lt;=0,0,MAX(0,(K378+L378-E378)/M378))</f>
        <v>0</v>
      </c>
      <c r="G378" s="1" t="n">
        <f aca="false">($B$269*(SUMIFS(Projection!$I$4:$I$59,Projection!$B$4:$B$59,"&lt;"&amp;(Assumptions!$B$4+52))-SUMIFS($L$15:$L$70,$A$15:$A$70,"&lt;"&amp;(Assumptions!$B$4+52)))-SUMIFS(Projection!$L$4:$L$59,Projection!$B$4:$B$59,"&lt;"&amp;(Assumptions!$B$4+52))-SUMIFS(Projection!$K$4:$K$59,Projection!$B$4:$B$59,"&lt;"&amp;(Assumptions!$B$4+52)))/Discount!C56</f>
        <v>19467.9967370411</v>
      </c>
      <c r="H378" s="1" t="n">
        <f aca="false">(SUMIFS(Projection!$L$4:$L$59,Projection!$B$4:$B$59,"&gt;="&amp;(Assumptions!$B$4+52))+$B$269*SUMIFS($L$15:$L$70,$A$15:$A$70,"&gt;="&amp;(Assumptions!$B$4+52))-$B$269*SUMIFS(Projection!$I$4:$I$59,Projection!$B$4:$B$59,"&gt;="&amp;(Assumptions!$B$4+52))+SUMIFS(Projection!$K$4:$K$59,Projection!$B$4:$B$59,"&gt;="&amp;(Assumptions!$B$4+52)))/Discount!C56</f>
        <v>1.94682330515196</v>
      </c>
      <c r="I378" s="1" t="n">
        <f aca="false">G378-H378</f>
        <v>19466.0499137359</v>
      </c>
      <c r="J378" s="1" t="n">
        <f aca="false">IF(M378&lt;=0,0,MAX(0,(K378+L378-I378)/M378))</f>
        <v>0</v>
      </c>
      <c r="K378" s="73" t="n">
        <f aca="false">RiskMargin!J56</f>
        <v>0.344871380463849</v>
      </c>
      <c r="L378" s="73" t="n">
        <f aca="false">RiskMargin!L56</f>
        <v>0.0289532976165618</v>
      </c>
      <c r="M378" s="75" t="n">
        <f aca="false">Projection!F56</f>
        <v>2.55738846634779E-005</v>
      </c>
    </row>
    <row r="379" customFormat="false" ht="15" hidden="false" customHeight="true" outlineLevel="0" collapsed="false">
      <c r="A379" s="1" t="n">
        <v>53</v>
      </c>
      <c r="B379" s="1" t="n">
        <f aca="false">Assumptions!$B$4+53</f>
        <v>118</v>
      </c>
      <c r="C379" s="1" t="n">
        <f aca="false">(Pricing!$B$14*(SUMIFS(Projection!$I$4:$I$59,Projection!$B$4:$B$59,"&lt;"&amp;(Assumptions!$B$4+53))-SUMIFS($G$15:$G$70,$A$15:$A$70,"&lt;"&amp;(Assumptions!$B$4+53)))-SUMIFS(Projection!$L$4:$L$59,Projection!$B$4:$B$59,"&lt;"&amp;(Assumptions!$B$4+53))-SUMIFS(Projection!$K$4:$K$59,Projection!$B$4:$B$59,"&lt;"&amp;(Assumptions!$B$4+53)))/Discount!C57</f>
        <v>20980.6222968226</v>
      </c>
      <c r="D379" s="1" t="n">
        <f aca="false">(SUMIFS(Projection!$L$4:$L$59,Projection!$B$4:$B$59,"&gt;="&amp;(Assumptions!$B$4+53))+Pricing!$B$14*SUMIFS($G$15:$G$70,$A$15:$A$70,"&gt;="&amp;(Assumptions!$B$4+53))-Pricing!$B$14*SUMIFS(Projection!$I$4:$I$59,Projection!$B$4:$B$59,"&gt;="&amp;(Assumptions!$B$4+53))+SUMIFS(Projection!$K$4:$K$59,Projection!$B$4:$B$59,"&gt;="&amp;(Assumptions!$B$4+53)))/Discount!C57</f>
        <v>0.819358695652638</v>
      </c>
      <c r="E379" s="1" t="n">
        <f aca="false">C379-D379</f>
        <v>20979.8029381269</v>
      </c>
      <c r="F379" s="1" t="n">
        <f aca="false">IF(M379&lt;=0,0,MAX(0,(K379+L379-E379)/M379))</f>
        <v>0</v>
      </c>
      <c r="G379" s="1" t="n">
        <f aca="false">($B$269*(SUMIFS(Projection!$I$4:$I$59,Projection!$B$4:$B$59,"&lt;"&amp;(Assumptions!$B$4+53))-SUMIFS($L$15:$L$70,$A$15:$A$70,"&lt;"&amp;(Assumptions!$B$4+53)))-SUMIFS(Projection!$L$4:$L$59,Projection!$B$4:$B$59,"&lt;"&amp;(Assumptions!$B$4+53))-SUMIFS(Projection!$K$4:$K$59,Projection!$B$4:$B$59,"&lt;"&amp;(Assumptions!$B$4+53)))/Discount!C57</f>
        <v>20103.6063643304</v>
      </c>
      <c r="H379" s="1" t="n">
        <f aca="false">(SUMIFS(Projection!$L$4:$L$59,Projection!$B$4:$B$59,"&gt;="&amp;(Assumptions!$B$4+53))+$B$269*SUMIFS($L$15:$L$70,$A$15:$A$70,"&gt;="&amp;(Assumptions!$B$4+53))-$B$269*SUMIFS(Projection!$I$4:$I$59,Projection!$B$4:$B$59,"&gt;="&amp;(Assumptions!$B$4+53))+SUMIFS(Projection!$K$4:$K$59,Projection!$B$4:$B$59,"&gt;="&amp;(Assumptions!$B$4+53)))/Discount!C57</f>
        <v>0.819358695652638</v>
      </c>
      <c r="I379" s="1" t="n">
        <f aca="false">G379-H379</f>
        <v>20102.7870056347</v>
      </c>
      <c r="J379" s="1" t="n">
        <f aca="false">IF(M379&lt;=0,0,MAX(0,(K379+L379-I379)/M379))</f>
        <v>0</v>
      </c>
      <c r="K379" s="73" t="n">
        <f aca="false">RiskMargin!J57</f>
        <v>0.115927255075471</v>
      </c>
      <c r="L379" s="73" t="n">
        <f aca="false">RiskMargin!L57</f>
        <v>0.00853123368552913</v>
      </c>
      <c r="M379" s="75" t="n">
        <f aca="false">Projection!F57</f>
        <v>1.12317686470886E-005</v>
      </c>
    </row>
    <row r="380" customFormat="false" ht="15" hidden="false" customHeight="true" outlineLevel="0" collapsed="false">
      <c r="A380" s="1" t="n">
        <v>54</v>
      </c>
      <c r="B380" s="1" t="n">
        <f aca="false">Assumptions!$B$4+54</f>
        <v>119</v>
      </c>
      <c r="C380" s="1" t="n">
        <f aca="false">(Pricing!$B$14*(SUMIFS(Projection!$I$4:$I$59,Projection!$B$4:$B$59,"&lt;"&amp;(Assumptions!$B$4+54))-SUMIFS($G$15:$G$70,$A$15:$A$70,"&lt;"&amp;(Assumptions!$B$4+54)))-SUMIFS(Projection!$L$4:$L$59,Projection!$B$4:$B$59,"&lt;"&amp;(Assumptions!$B$4+54))-SUMIFS(Projection!$K$4:$K$59,Projection!$B$4:$B$59,"&lt;"&amp;(Assumptions!$B$4+54)))/Discount!C58</f>
        <v>21678.125331845</v>
      </c>
      <c r="D380" s="1" t="n">
        <f aca="false">(SUMIFS(Projection!$L$4:$L$59,Projection!$B$4:$B$59,"&gt;="&amp;(Assumptions!$B$4+54))+Pricing!$B$14*SUMIFS($G$15:$G$70,$A$15:$A$70,"&gt;="&amp;(Assumptions!$B$4+54))-Pricing!$B$14*SUMIFS(Projection!$I$4:$I$59,Projection!$B$4:$B$59,"&gt;="&amp;(Assumptions!$B$4+54))+SUMIFS(Projection!$K$4:$K$59,Projection!$B$4:$B$59,"&gt;="&amp;(Assumptions!$B$4+54)))/Discount!C58</f>
        <v>0.31271172790399</v>
      </c>
      <c r="E380" s="1" t="n">
        <f aca="false">C380-D380</f>
        <v>21677.8126201171</v>
      </c>
      <c r="F380" s="1" t="n">
        <f aca="false">IF(M380&lt;=0,0,MAX(0,(K380+L380-E380)/M380))</f>
        <v>0</v>
      </c>
      <c r="G380" s="1" t="n">
        <f aca="false">($B$269*(SUMIFS(Projection!$I$4:$I$59,Projection!$B$4:$B$59,"&lt;"&amp;(Assumptions!$B$4+54))-SUMIFS($L$15:$L$70,$A$15:$A$70,"&lt;"&amp;(Assumptions!$B$4+54)))-SUMIFS(Projection!$L$4:$L$59,Projection!$B$4:$B$59,"&lt;"&amp;(Assumptions!$B$4+54))-SUMIFS(Projection!$K$4:$K$59,Projection!$B$4:$B$59,"&lt;"&amp;(Assumptions!$B$4+54)))/Discount!C58</f>
        <v>20771.930592767</v>
      </c>
      <c r="H380" s="1" t="n">
        <f aca="false">(SUMIFS(Projection!$L$4:$L$59,Projection!$B$4:$B$59,"&gt;="&amp;(Assumptions!$B$4+54))+$B$269*SUMIFS($L$15:$L$70,$A$15:$A$70,"&gt;="&amp;(Assumptions!$B$4+54))-$B$269*SUMIFS(Projection!$I$4:$I$59,Projection!$B$4:$B$59,"&gt;="&amp;(Assumptions!$B$4+54))+SUMIFS(Projection!$K$4:$K$59,Projection!$B$4:$B$59,"&gt;="&amp;(Assumptions!$B$4+54)))/Discount!C58</f>
        <v>0.31271172790399</v>
      </c>
      <c r="I380" s="1" t="n">
        <f aca="false">G380-H380</f>
        <v>20771.6178810391</v>
      </c>
      <c r="J380" s="1" t="n">
        <f aca="false">IF(M380&lt;=0,0,MAX(0,(K380+L380-I380)/M380))</f>
        <v>0</v>
      </c>
      <c r="K380" s="73" t="n">
        <f aca="false">RiskMargin!J58</f>
        <v>0.0266099057336336</v>
      </c>
      <c r="L380" s="73" t="n">
        <f aca="false">RiskMargin!L58</f>
        <v>0.00162801941317691</v>
      </c>
      <c r="M380" s="75" t="n">
        <f aca="false">Projection!F58</f>
        <v>4.75195918537906E-006</v>
      </c>
    </row>
    <row r="381" customFormat="false" ht="15" hidden="false" customHeight="true" outlineLevel="0" collapsed="false">
      <c r="A381" s="1" t="n">
        <v>55</v>
      </c>
      <c r="B381" s="1" t="n">
        <f aca="false">Assumptions!$B$4+55</f>
        <v>120</v>
      </c>
      <c r="C381" s="1" t="n">
        <f aca="false">(Pricing!$B$14*(SUMIFS(Projection!$I$4:$I$59,Projection!$B$4:$B$59,"&lt;"&amp;(Assumptions!$B$4+55))-SUMIFS($G$15:$G$70,$A$15:$A$70,"&lt;"&amp;(Assumptions!$B$4+55)))-SUMIFS(Projection!$L$4:$L$59,Projection!$B$4:$B$59,"&lt;"&amp;(Assumptions!$B$4+55))-SUMIFS(Projection!$K$4:$K$59,Projection!$B$4:$B$59,"&lt;"&amp;(Assumptions!$B$4+55)))/Discount!C59</f>
        <v>22388.0735389811</v>
      </c>
      <c r="D381" s="1" t="n">
        <f aca="false">(SUMIFS(Projection!$L$4:$L$59,Projection!$B$4:$B$59,"&gt;="&amp;(Assumptions!$B$4+55))+Pricing!$B$14*SUMIFS($G$15:$G$70,$A$15:$A$70,"&gt;="&amp;(Assumptions!$B$4+55))-Pricing!$B$14*SUMIFS(Projection!$I$4:$I$59,Projection!$B$4:$B$59,"&gt;="&amp;(Assumptions!$B$4+55))+SUMIFS(Projection!$K$4:$K$59,Projection!$B$4:$B$59,"&gt;="&amp;(Assumptions!$B$4+55)))/Discount!C59</f>
        <v>0.0926581936276291</v>
      </c>
      <c r="E381" s="1" t="n">
        <f aca="false">C381-D381</f>
        <v>22387.9808807875</v>
      </c>
      <c r="F381" s="1" t="n">
        <f aca="false">IF(M381&lt;=0,0,MAX(0,(K381+L381-E381)/M381))</f>
        <v>0</v>
      </c>
      <c r="G381" s="1" t="n">
        <f aca="false">($B$269*(SUMIFS(Projection!$I$4:$I$59,Projection!$B$4:$B$59,"&lt;"&amp;(Assumptions!$B$4+55))-SUMIFS($L$15:$L$70,$A$15:$A$70,"&lt;"&amp;(Assumptions!$B$4+55)))-SUMIFS(Projection!$L$4:$L$59,Projection!$B$4:$B$59,"&lt;"&amp;(Assumptions!$B$4+55))-SUMIFS(Projection!$K$4:$K$59,Projection!$B$4:$B$59,"&lt;"&amp;(Assumptions!$B$4+55)))/Discount!C59</f>
        <v>21452.191729858</v>
      </c>
      <c r="H381" s="1" t="n">
        <f aca="false">(SUMIFS(Projection!$L$4:$L$59,Projection!$B$4:$B$59,"&gt;="&amp;(Assumptions!$B$4+55))+$B$269*SUMIFS($L$15:$L$70,$A$15:$A$70,"&gt;="&amp;(Assumptions!$B$4+55))-$B$269*SUMIFS(Projection!$I$4:$I$59,Projection!$B$4:$B$59,"&gt;="&amp;(Assumptions!$B$4+55))+SUMIFS(Projection!$K$4:$K$59,Projection!$B$4:$B$59,"&gt;="&amp;(Assumptions!$B$4+55)))/Discount!C59</f>
        <v>0.0926581936276291</v>
      </c>
      <c r="I381" s="1" t="n">
        <f aca="false">G381-H381</f>
        <v>21452.0990716644</v>
      </c>
      <c r="J381" s="1" t="n">
        <f aca="false">IF(M381&lt;=0,0,MAX(0,(K381+L381-I381)/M381))</f>
        <v>0</v>
      </c>
      <c r="K381" s="75" t="n">
        <f aca="false">RiskMargin!J59</f>
        <v>0.00054090931577197</v>
      </c>
      <c r="L381" s="75" t="n">
        <f aca="false">RiskMargin!L59</f>
        <v>3.24545589463182E-005</v>
      </c>
      <c r="M381" s="75" t="n">
        <f aca="false">Projection!F59</f>
        <v>1.93576003719086E-006</v>
      </c>
    </row>
    <row r="383" customFormat="false" ht="15" hidden="false" customHeight="true" outlineLevel="0" collapsed="false">
      <c r="A383" s="1" t="s">
        <v>1141</v>
      </c>
    </row>
    <row r="384" customFormat="false" ht="15" hidden="false" customHeight="true" outlineLevel="0" collapsed="false">
      <c r="A384" s="1" t="s">
        <v>1142</v>
      </c>
      <c r="B384" s="1" t="n">
        <f aca="false">MAX(F326:F381)</f>
        <v>36779.6909834718</v>
      </c>
    </row>
    <row r="385" customFormat="false" ht="15" hidden="false" customHeight="true" outlineLevel="0" collapsed="false">
      <c r="A385" s="1" t="s">
        <v>1143</v>
      </c>
      <c r="B385" s="1" t="n">
        <f aca="false">INDEX(A326:A381,MATCH(MAX(F326:F381),F326:F381,0))</f>
        <v>8</v>
      </c>
    </row>
    <row r="386" customFormat="false" ht="15" hidden="false" customHeight="true" outlineLevel="0" collapsed="false">
      <c r="A386" s="1" t="s">
        <v>1144</v>
      </c>
      <c r="B386" s="74" t="n">
        <f aca="false">Trajectory!$B$164</f>
        <v>36779.6909834719</v>
      </c>
    </row>
    <row r="387" customFormat="false" ht="15" hidden="false" customHeight="true" outlineLevel="0" collapsed="false">
      <c r="A387" s="1" t="s">
        <v>1145</v>
      </c>
      <c r="B387" s="76" t="n">
        <f aca="false">Trajectory!$B$165</f>
        <v>8</v>
      </c>
    </row>
    <row r="388" customFormat="false" ht="15" hidden="false" customHeight="true" outlineLevel="0" collapsed="false">
      <c r="A388" s="1" t="s">
        <v>1146</v>
      </c>
      <c r="B388" s="1" t="n">
        <f aca="false">B384-B386</f>
        <v>0</v>
      </c>
    </row>
    <row r="389" customFormat="false" ht="15" hidden="false" customHeight="true" outlineLevel="0" collapsed="false">
      <c r="A389" s="1" t="s">
        <v>1147</v>
      </c>
      <c r="B389" s="1" t="str">
        <f aca="false">IF(AND(ABS(B388)&lt;0.01,B385=B387),"PASS — the control reproduces the annual requirement and binds at the same duration, so the machinery is the same calculation","FAIL — the control does not reproduce the annual requirement")</f>
        <v>PASS — the control reproduces the annual requirement and binds at the same duration, so the machinery is the same calculation</v>
      </c>
    </row>
    <row r="391" customFormat="false" ht="15" hidden="false" customHeight="true" outlineLevel="0" collapsed="false">
      <c r="A391" s="1" t="s">
        <v>1148</v>
      </c>
    </row>
    <row r="392" customFormat="false" ht="15" hidden="false" customHeight="true" outlineLevel="0" collapsed="false">
      <c r="A392" s="1" t="s">
        <v>1149</v>
      </c>
      <c r="B392" s="1" t="n">
        <f aca="false">MAX(J326:J381)</f>
        <v>37031.5635173234</v>
      </c>
    </row>
    <row r="393" customFormat="false" ht="15" hidden="false" customHeight="true" outlineLevel="0" collapsed="false">
      <c r="A393" s="1" t="s">
        <v>1150</v>
      </c>
      <c r="B393" s="1" t="n">
        <f aca="false">INDEX(A326:A381,MATCH(MAX(J326:J381),J326:J381,0))</f>
        <v>9</v>
      </c>
    </row>
    <row r="394" customFormat="false" ht="15" hidden="false" customHeight="true" outlineLevel="0" collapsed="false">
      <c r="A394" s="1" t="s">
        <v>1151</v>
      </c>
      <c r="B394" s="1" t="n">
        <f aca="false">B392-B386</f>
        <v>251.872533851551</v>
      </c>
    </row>
    <row r="395" customFormat="false" ht="15" hidden="false" customHeight="true" outlineLevel="0" collapsed="false">
      <c r="A395" s="1" t="s">
        <v>1152</v>
      </c>
      <c r="B395" s="1" t="n">
        <f aca="false">MAX(B280:F280)-$B$283</f>
        <v>240.090447395763</v>
      </c>
    </row>
    <row r="396" customFormat="false" ht="15" hidden="false" customHeight="true" outlineLevel="0" collapsed="false">
      <c r="A396" s="1" t="s">
        <v>1153</v>
      </c>
      <c r="B396" s="1" t="n">
        <f aca="false">B395-B394</f>
        <v>-11.7820864557871</v>
      </c>
    </row>
    <row r="398" customFormat="false" ht="15" hidden="false" customHeight="true" outlineLevel="0" collapsed="false">
      <c r="A398" s="1" t="s">
        <v>1154</v>
      </c>
    </row>
    <row r="399" customFormat="false" ht="15" hidden="false" customHeight="true" outlineLevel="0" collapsed="false">
      <c r="A399" s="1" t="s">
        <v>1155</v>
      </c>
      <c r="B399" s="1" t="n">
        <f aca="false">MAX(ABS(I326-B279),ABS(I331-C279),ABS(I336-D279),ABS(I341-E279),ABS(I346-F279))</f>
        <v>0</v>
      </c>
    </row>
    <row r="400" customFormat="false" ht="15" hidden="false" customHeight="true" outlineLevel="0" collapsed="false">
      <c r="A400" s="1" t="s">
        <v>1147</v>
      </c>
      <c r="B400" s="1" t="str">
        <f aca="false">IF(B399&lt;0.01,"PASS — the annual profile reproduces the existing five-timepoint own funds for this structure","FAIL")</f>
        <v>PASS — the annual profile reproduces the existing five-timepoint own funds for this structure</v>
      </c>
    </row>
    <row r="410" customFormat="false" ht="15" hidden="false" customHeight="true" outlineLevel="0" collapsed="false">
      <c r="A410" s="1" t="s">
        <v>1156</v>
      </c>
    </row>
    <row r="411" customFormat="false" ht="15" hidden="false" customHeight="true" outlineLevel="0" collapsed="false">
      <c r="A411" s="1" t="s">
        <v>1157</v>
      </c>
    </row>
    <row r="412" customFormat="false" ht="15" hidden="false" customHeight="true" outlineLevel="0" collapsed="false">
      <c r="A412" s="1" t="s">
        <v>1158</v>
      </c>
    </row>
    <row r="414" customFormat="false" ht="15" hidden="false" customHeight="true" outlineLevel="0" collapsed="false">
      <c r="A414" s="1" t="s">
        <v>802</v>
      </c>
      <c r="B414" s="1" t="s">
        <v>463</v>
      </c>
      <c r="C414" s="1" t="s">
        <v>1159</v>
      </c>
      <c r="D414" s="1" t="s">
        <v>1160</v>
      </c>
      <c r="E414" s="1" t="s">
        <v>1161</v>
      </c>
      <c r="F414" s="1" t="s">
        <v>1162</v>
      </c>
      <c r="G414" s="1" t="s">
        <v>1163</v>
      </c>
    </row>
    <row r="415" customFormat="false" ht="15" hidden="false" customHeight="true" outlineLevel="0" collapsed="false">
      <c r="A415" s="1" t="n">
        <v>0</v>
      </c>
      <c r="B415" s="76" t="n">
        <f aca="false">Projection!B4</f>
        <v>65</v>
      </c>
      <c r="C415" s="1" t="n">
        <f aca="false">IF(Projection!B4&lt;Assumptions!$B$5,($B$269*IF(Projection!B4=Assumptions!$B$4,$B$266,$B$267)-$B$269)-(Pricing!$B$14*IF(Projection!B4=Assumptions!$B$4,Assumptions!$B$14,Assumptions!$B$15)-Pricing!$B$14),0)</f>
        <v>0</v>
      </c>
      <c r="D415" s="1" t="n">
        <f aca="false">Projection!F4*C415*Projection!H4</f>
        <v>0</v>
      </c>
      <c r="E415" s="1" t="n">
        <f aca="false">Projection!Q4*C415*Projection!H4</f>
        <v>0</v>
      </c>
      <c r="F415" s="1" t="n">
        <f aca="false">Projection!S4*C415*Projection!H4</f>
        <v>0</v>
      </c>
      <c r="G415" s="1" t="n">
        <f aca="false">Projection!U4*C415*Projection!H4</f>
        <v>0</v>
      </c>
    </row>
    <row r="416" customFormat="false" ht="15" hidden="false" customHeight="true" outlineLevel="0" collapsed="false">
      <c r="A416" s="1" t="n">
        <v>1</v>
      </c>
      <c r="B416" s="76" t="n">
        <f aca="false">Projection!B5</f>
        <v>66</v>
      </c>
      <c r="C416" s="1" t="n">
        <f aca="false">IF(Projection!B5&lt;Assumptions!$B$5,($B$269*IF(Projection!B5=Assumptions!$B$4,$B$266,$B$267)-$B$269)-(Pricing!$B$14*IF(Projection!B5=Assumptions!$B$4,Assumptions!$B$14,Assumptions!$B$15)-Pricing!$B$14),0)</f>
        <v>17.0557718345717</v>
      </c>
      <c r="D416" s="1" t="n">
        <f aca="false">Projection!F5*C416*Projection!H5</f>
        <v>15.8666386922595</v>
      </c>
      <c r="E416" s="1" t="n">
        <f aca="false">Projection!Q5*C416*Projection!H5</f>
        <v>15.8831638716773</v>
      </c>
      <c r="F416" s="1" t="n">
        <f aca="false">Projection!S5*C416*Projection!H5</f>
        <v>15.5309155679601</v>
      </c>
      <c r="G416" s="1" t="n">
        <f aca="false">Projection!U5*C416*Projection!H5</f>
        <v>16.2023618165589</v>
      </c>
    </row>
    <row r="417" customFormat="false" ht="15" hidden="false" customHeight="true" outlineLevel="0" collapsed="false">
      <c r="A417" s="1" t="n">
        <v>2</v>
      </c>
      <c r="B417" s="76" t="n">
        <f aca="false">Projection!B6</f>
        <v>67</v>
      </c>
      <c r="C417" s="1" t="n">
        <f aca="false">IF(Projection!B6&lt;Assumptions!$B$5,($B$269*IF(Projection!B6=Assumptions!$B$4,$B$266,$B$267)-$B$269)-(Pricing!$B$14*IF(Projection!B6=Assumptions!$B$4,Assumptions!$B$14,Assumptions!$B$15)-Pricing!$B$14),0)</f>
        <v>17.0557718345717</v>
      </c>
      <c r="D417" s="1" t="n">
        <f aca="false">Projection!F6*C417*Projection!H6</f>
        <v>15.0354348391829</v>
      </c>
      <c r="E417" s="1" t="n">
        <f aca="false">Projection!Q6*C417*Projection!H6</f>
        <v>15.068170084818</v>
      </c>
      <c r="F417" s="1" t="n">
        <f aca="false">Projection!S6*C417*Projection!H6</f>
        <v>14.5540745334545</v>
      </c>
      <c r="G417" s="1" t="n">
        <f aca="false">Projection!U6*C417*Projection!H6</f>
        <v>15.523851817974</v>
      </c>
    </row>
    <row r="418" customFormat="false" ht="15" hidden="false" customHeight="true" outlineLevel="0" collapsed="false">
      <c r="A418" s="1" t="n">
        <v>3</v>
      </c>
      <c r="B418" s="76" t="n">
        <f aca="false">Projection!B7</f>
        <v>68</v>
      </c>
      <c r="C418" s="1" t="n">
        <f aca="false">IF(Projection!B7&lt;Assumptions!$B$5,($B$269*IF(Projection!B7=Assumptions!$B$4,$B$266,$B$267)-$B$269)-(Pricing!$B$14*IF(Projection!B7=Assumptions!$B$4,Assumptions!$B$14,Assumptions!$B$15)-Pricing!$B$14),0)</f>
        <v>17.0557718345717</v>
      </c>
      <c r="D418" s="1" t="n">
        <f aca="false">Projection!F7*C418*Projection!H7</f>
        <v>14.3676161032657</v>
      </c>
      <c r="E418" s="1" t="n">
        <f aca="false">Projection!Q7*C418*Projection!H7</f>
        <v>14.4167525489509</v>
      </c>
      <c r="F418" s="1" t="n">
        <f aca="false">Projection!S7*C418*Projection!H7</f>
        <v>13.813903631589</v>
      </c>
      <c r="G418" s="1" t="n">
        <f aca="false">Projection!U7*C418*Projection!H7</f>
        <v>14.9343174608328</v>
      </c>
    </row>
    <row r="419" customFormat="false" ht="15" hidden="false" customHeight="true" outlineLevel="0" collapsed="false">
      <c r="A419" s="1" t="n">
        <v>4</v>
      </c>
      <c r="B419" s="76" t="n">
        <f aca="false">Projection!B8</f>
        <v>69</v>
      </c>
      <c r="C419" s="1" t="n">
        <f aca="false">IF(Projection!B8&lt;Assumptions!$B$5,($B$269*IF(Projection!B8=Assumptions!$B$4,$B$266,$B$267)-$B$269)-(Pricing!$B$14*IF(Projection!B8=Assumptions!$B$4,Assumptions!$B$14,Assumptions!$B$15)-Pricing!$B$14),0)</f>
        <v>17.0557718345717</v>
      </c>
      <c r="D419" s="1" t="n">
        <f aca="false">Projection!F8*C419*Projection!H8</f>
        <v>13.7143277158359</v>
      </c>
      <c r="E419" s="1" t="n">
        <f aca="false">Projection!Q8*C419*Projection!H8</f>
        <v>13.7799455815501</v>
      </c>
      <c r="F419" s="1" t="n">
        <f aca="false">Projection!S8*C419*Projection!H8</f>
        <v>13.0969248201757</v>
      </c>
      <c r="G419" s="1" t="n">
        <f aca="false">Projection!U8*C419*Projection!H8</f>
        <v>14.3513367333364</v>
      </c>
    </row>
    <row r="420" customFormat="false" ht="15" hidden="false" customHeight="true" outlineLevel="0" collapsed="false">
      <c r="A420" s="1" t="n">
        <v>5</v>
      </c>
      <c r="B420" s="76" t="n">
        <f aca="false">Projection!B9</f>
        <v>70</v>
      </c>
      <c r="C420" s="1" t="n">
        <f aca="false">IF(Projection!B9&lt;Assumptions!$B$5,($B$269*IF(Projection!B9=Assumptions!$B$4,$B$266,$B$267)-$B$269)-(Pricing!$B$14*IF(Projection!B9=Assumptions!$B$4,Assumptions!$B$14,Assumptions!$B$15)-Pricing!$B$14),0)</f>
        <v>17.0557718345717</v>
      </c>
      <c r="D420" s="1" t="n">
        <f aca="false">Projection!F9*C420*Projection!H9</f>
        <v>13.0654386214777</v>
      </c>
      <c r="E420" s="1" t="n">
        <f aca="false">Projection!Q9*C420*Projection!H9</f>
        <v>13.1475999613076</v>
      </c>
      <c r="F420" s="1" t="n">
        <f aca="false">Projection!S9*C420*Projection!H9</f>
        <v>12.3931558251627</v>
      </c>
      <c r="G420" s="1" t="n">
        <f aca="false">Projection!U9*C420*Projection!H9</f>
        <v>13.7644541516691</v>
      </c>
    </row>
    <row r="421" customFormat="false" ht="15" hidden="false" customHeight="true" outlineLevel="0" collapsed="false">
      <c r="A421" s="1" t="n">
        <v>6</v>
      </c>
      <c r="B421" s="76" t="n">
        <f aca="false">Projection!B10</f>
        <v>71</v>
      </c>
      <c r="C421" s="1" t="n">
        <f aca="false">IF(Projection!B10&lt;Assumptions!$B$5,($B$269*IF(Projection!B10=Assumptions!$B$4,$B$266,$B$267)-$B$269)-(Pricing!$B$14*IF(Projection!B10=Assumptions!$B$4,Assumptions!$B$14,Assumptions!$B$15)-Pricing!$B$14),0)</f>
        <v>17.0557718345717</v>
      </c>
      <c r="D421" s="1" t="n">
        <f aca="false">Projection!F10*C421*Projection!H10</f>
        <v>12.4758748288645</v>
      </c>
      <c r="E421" s="1" t="n">
        <f aca="false">Projection!Q10*C421*Projection!H10</f>
        <v>12.5758383039317</v>
      </c>
      <c r="F421" s="1" t="n">
        <f aca="false">Projection!S10*C421*Projection!H10</f>
        <v>11.7795892106246</v>
      </c>
      <c r="G421" s="1" t="n">
        <f aca="false">Projection!U10*C421*Projection!H10</f>
        <v>13.2036994705739</v>
      </c>
    </row>
    <row r="422" customFormat="false" ht="15" hidden="false" customHeight="true" outlineLevel="0" collapsed="false">
      <c r="A422" s="1" t="n">
        <v>7</v>
      </c>
      <c r="B422" s="76" t="n">
        <f aca="false">Projection!B11</f>
        <v>72</v>
      </c>
      <c r="C422" s="1" t="n">
        <f aca="false">IF(Projection!B11&lt;Assumptions!$B$5,($B$269*IF(Projection!B11=Assumptions!$B$4,$B$266,$B$267)-$B$269)-(Pricing!$B$14*IF(Projection!B11=Assumptions!$B$4,Assumptions!$B$14,Assumptions!$B$15)-Pricing!$B$14),0)</f>
        <v>17.0557718345717</v>
      </c>
      <c r="D422" s="1" t="n">
        <f aca="false">Projection!F11*C422*Projection!H11</f>
        <v>11.8878301021743</v>
      </c>
      <c r="E422" s="1" t="n">
        <f aca="false">Projection!Q11*C422*Projection!H11</f>
        <v>12.0058162928141</v>
      </c>
      <c r="F422" s="1" t="n">
        <f aca="false">Projection!S11*C422*Projection!H11</f>
        <v>11.1728237250134</v>
      </c>
      <c r="G422" s="1" t="n">
        <f aca="false">Projection!U11*C422*Projection!H11</f>
        <v>12.6391199110154</v>
      </c>
    </row>
    <row r="423" customFormat="false" ht="15" hidden="false" customHeight="true" outlineLevel="0" collapsed="false">
      <c r="A423" s="1" t="n">
        <v>8</v>
      </c>
      <c r="B423" s="76" t="n">
        <f aca="false">Projection!B12</f>
        <v>73</v>
      </c>
      <c r="C423" s="1" t="n">
        <f aca="false">IF(Projection!B12&lt;Assumptions!$B$5,($B$269*IF(Projection!B12=Assumptions!$B$4,$B$266,$B$267)-$B$269)-(Pricing!$B$14*IF(Projection!B12=Assumptions!$B$4,Assumptions!$B$14,Assumptions!$B$15)-Pricing!$B$14),0)</f>
        <v>17.0557718345717</v>
      </c>
      <c r="D423" s="1" t="n">
        <f aca="false">Projection!F12*C423*Projection!H12</f>
        <v>11.30259107957</v>
      </c>
      <c r="E423" s="1" t="n">
        <f aca="false">Projection!Q12*C423*Projection!H12</f>
        <v>11.4388119311261</v>
      </c>
      <c r="F423" s="1" t="n">
        <f aca="false">Projection!S12*C423*Projection!H12</f>
        <v>10.5740069900268</v>
      </c>
      <c r="G423" s="1" t="n">
        <f aca="false">Projection!U12*C423*Projection!H12</f>
        <v>12.072073818982</v>
      </c>
    </row>
    <row r="424" customFormat="false" ht="15" hidden="false" customHeight="true" outlineLevel="0" collapsed="false">
      <c r="A424" s="1" t="n">
        <v>9</v>
      </c>
      <c r="B424" s="76" t="n">
        <f aca="false">Projection!B13</f>
        <v>74</v>
      </c>
      <c r="C424" s="1" t="n">
        <f aca="false">IF(Projection!B13&lt;Assumptions!$B$5,($B$269*IF(Projection!B13=Assumptions!$B$4,$B$266,$B$267)-$B$269)-(Pricing!$B$14*IF(Projection!B13=Assumptions!$B$4,Assumptions!$B$14,Assumptions!$B$15)-Pricing!$B$14),0)</f>
        <v>17.0557718345717</v>
      </c>
      <c r="D424" s="1" t="n">
        <f aca="false">Projection!F13*C424*Projection!H13</f>
        <v>10.7226294686819</v>
      </c>
      <c r="E424" s="1" t="n">
        <f aca="false">Projection!Q13*C424*Projection!H13</f>
        <v>10.8772916145312</v>
      </c>
      <c r="F424" s="1" t="n">
        <f aca="false">Projection!S13*C424*Projection!H13</f>
        <v>9.98536850762335</v>
      </c>
      <c r="G424" s="1" t="n">
        <f aca="false">Projection!U13*C424*Projection!H13</f>
        <v>11.5052163112801</v>
      </c>
    </row>
    <row r="425" customFormat="false" ht="15" hidden="false" customHeight="true" outlineLevel="0" collapsed="false">
      <c r="A425" s="1" t="n">
        <v>10</v>
      </c>
      <c r="B425" s="76" t="n">
        <f aca="false">Projection!B14</f>
        <v>75</v>
      </c>
      <c r="C425" s="1" t="n">
        <f aca="false">IF(Projection!B14&lt;Assumptions!$B$5,($B$269*IF(Projection!B14=Assumptions!$B$4,$B$266,$B$267)-$B$269)-(Pricing!$B$14*IF(Projection!B14=Assumptions!$B$4,Assumptions!$B$14,Assumptions!$B$15)-Pricing!$B$14),0)</f>
        <v>17.0557718345717</v>
      </c>
      <c r="D425" s="1" t="n">
        <f aca="false">Projection!F14*C425*Projection!H14</f>
        <v>10.1345139183066</v>
      </c>
      <c r="E425" s="1" t="n">
        <f aca="false">Projection!Q14*C425*Projection!H14</f>
        <v>10.3075448995211</v>
      </c>
      <c r="F425" s="1" t="n">
        <f aca="false">Projection!S14*C425*Projection!H14</f>
        <v>9.39435445226344</v>
      </c>
      <c r="G425" s="1" t="n">
        <f aca="false">Projection!U14*C425*Projection!H14</f>
        <v>10.9241092688771</v>
      </c>
    </row>
    <row r="426" customFormat="false" ht="15" hidden="false" customHeight="true" outlineLevel="0" collapsed="false">
      <c r="A426" s="1" t="n">
        <v>11</v>
      </c>
      <c r="B426" s="76" t="n">
        <f aca="false">Projection!B15</f>
        <v>76</v>
      </c>
      <c r="C426" s="1" t="n">
        <f aca="false">IF(Projection!B15&lt;Assumptions!$B$5,($B$269*IF(Projection!B15=Assumptions!$B$4,$B$266,$B$267)-$B$269)-(Pricing!$B$14*IF(Projection!B15=Assumptions!$B$4,Assumptions!$B$14,Assumptions!$B$15)-Pricing!$B$14),0)</f>
        <v>17.0557718345717</v>
      </c>
      <c r="D426" s="1" t="n">
        <f aca="false">Projection!F15*C426*Projection!H15</f>
        <v>9.58227033505669</v>
      </c>
      <c r="E426" s="1" t="n">
        <f aca="false">Projection!Q15*C426*Projection!H15</f>
        <v>9.77531097570448</v>
      </c>
      <c r="F426" s="1" t="n">
        <f aca="false">Projection!S15*C426*Projection!H15</f>
        <v>8.84165690341684</v>
      </c>
      <c r="G426" s="1" t="n">
        <f aca="false">Projection!U15*C426*Projection!H15</f>
        <v>10.376267363512</v>
      </c>
    </row>
    <row r="427" customFormat="false" ht="15" hidden="false" customHeight="true" outlineLevel="0" collapsed="false">
      <c r="A427" s="1" t="n">
        <v>12</v>
      </c>
      <c r="B427" s="76" t="n">
        <f aca="false">Projection!B16</f>
        <v>77</v>
      </c>
      <c r="C427" s="1" t="n">
        <f aca="false">IF(Projection!B16&lt;Assumptions!$B$5,($B$269*IF(Projection!B16=Assumptions!$B$4,$B$266,$B$267)-$B$269)-(Pricing!$B$14*IF(Projection!B16=Assumptions!$B$4,Assumptions!$B$14,Assumptions!$B$15)-Pricing!$B$14),0)</f>
        <v>17.0557718345717</v>
      </c>
      <c r="D427" s="1" t="n">
        <f aca="false">Projection!F16*C427*Projection!H16</f>
        <v>9.01680341810861</v>
      </c>
      <c r="E427" s="1" t="n">
        <f aca="false">Projection!Q16*C427*Projection!H16</f>
        <v>9.22953328155059</v>
      </c>
      <c r="F427" s="1" t="n">
        <f aca="false">Projection!S16*C427*Projection!H16</f>
        <v>8.28169173947139</v>
      </c>
      <c r="G427" s="1" t="n">
        <f aca="false">Projection!U16*C427*Projection!H16</f>
        <v>9.80877920109641</v>
      </c>
    </row>
    <row r="428" customFormat="false" ht="15" hidden="false" customHeight="true" outlineLevel="0" collapsed="false">
      <c r="A428" s="1" t="n">
        <v>13</v>
      </c>
      <c r="B428" s="76" t="n">
        <f aca="false">Projection!B17</f>
        <v>78</v>
      </c>
      <c r="C428" s="1" t="n">
        <f aca="false">IF(Projection!B17&lt;Assumptions!$B$5,($B$269*IF(Projection!B17=Assumptions!$B$4,$B$266,$B$267)-$B$269)-(Pricing!$B$14*IF(Projection!B17=Assumptions!$B$4,Assumptions!$B$14,Assumptions!$B$15)-Pricing!$B$14),0)</f>
        <v>17.0557718345717</v>
      </c>
      <c r="D428" s="1" t="n">
        <f aca="false">Projection!F17*C428*Projection!H17</f>
        <v>8.47006104236519</v>
      </c>
      <c r="E428" s="1" t="n">
        <f aca="false">Projection!Q17*C428*Projection!H17</f>
        <v>8.70271991639496</v>
      </c>
      <c r="F428" s="1" t="n">
        <f aca="false">Projection!S17*C428*Projection!H17</f>
        <v>7.74380165190884</v>
      </c>
      <c r="G428" s="1" t="n">
        <f aca="false">Projection!U17*C428*Projection!H17</f>
        <v>9.25632340354441</v>
      </c>
    </row>
    <row r="429" customFormat="false" ht="15" hidden="false" customHeight="true" outlineLevel="0" collapsed="false">
      <c r="A429" s="1" t="n">
        <v>14</v>
      </c>
      <c r="B429" s="76" t="n">
        <f aca="false">Projection!B18</f>
        <v>79</v>
      </c>
      <c r="C429" s="1" t="n">
        <f aca="false">IF(Projection!B18&lt;Assumptions!$B$5,($B$269*IF(Projection!B18=Assumptions!$B$4,$B$266,$B$267)-$B$269)-(Pricing!$B$14*IF(Projection!B18=Assumptions!$B$4,Assumptions!$B$14,Assumptions!$B$15)-Pricing!$B$14),0)</f>
        <v>17.0557718345717</v>
      </c>
      <c r="D429" s="1" t="n">
        <f aca="false">Projection!F18*C429*Projection!H18</f>
        <v>7.94398706995691</v>
      </c>
      <c r="E429" s="1" t="n">
        <f aca="false">Projection!Q18*C429*Projection!H18</f>
        <v>8.19688234257809</v>
      </c>
      <c r="F429" s="1" t="n">
        <f aca="false">Projection!S18*C429*Projection!H18</f>
        <v>7.22948613901902</v>
      </c>
      <c r="G429" s="1" t="n">
        <f aca="false">Projection!U18*C429*Projection!H18</f>
        <v>8.72127800935171</v>
      </c>
    </row>
    <row r="430" customFormat="false" ht="15" hidden="false" customHeight="true" outlineLevel="0" collapsed="false">
      <c r="A430" s="1" t="n">
        <v>15</v>
      </c>
      <c r="B430" s="76" t="n">
        <f aca="false">Projection!B19</f>
        <v>80</v>
      </c>
      <c r="C430" s="1" t="n">
        <f aca="false">IF(Projection!B19&lt;Assumptions!$B$5,($B$269*IF(Projection!B19=Assumptions!$B$4,$B$266,$B$267)-$B$269)-(Pricing!$B$14*IF(Projection!B19=Assumptions!$B$4,Assumptions!$B$14,Assumptions!$B$15)-Pricing!$B$14),0)</f>
        <v>0</v>
      </c>
      <c r="D430" s="1" t="n">
        <f aca="false">Projection!F19*C430*Projection!H19</f>
        <v>0</v>
      </c>
      <c r="E430" s="1" t="n">
        <f aca="false">Projection!Q19*C430*Projection!H19</f>
        <v>0</v>
      </c>
      <c r="F430" s="1" t="n">
        <f aca="false">Projection!S19*C430*Projection!H19</f>
        <v>0</v>
      </c>
      <c r="G430" s="1" t="n">
        <f aca="false">Projection!U19*C430*Projection!H19</f>
        <v>0</v>
      </c>
    </row>
    <row r="431" customFormat="false" ht="15" hidden="false" customHeight="true" outlineLevel="0" collapsed="false">
      <c r="A431" s="1" t="n">
        <v>16</v>
      </c>
      <c r="B431" s="76" t="n">
        <f aca="false">Projection!B20</f>
        <v>81</v>
      </c>
      <c r="C431" s="1" t="n">
        <f aca="false">IF(Projection!B20&lt;Assumptions!$B$5,($B$269*IF(Projection!B20=Assumptions!$B$4,$B$266,$B$267)-$B$269)-(Pricing!$B$14*IF(Projection!B20=Assumptions!$B$4,Assumptions!$B$14,Assumptions!$B$15)-Pricing!$B$14),0)</f>
        <v>0</v>
      </c>
      <c r="D431" s="1" t="n">
        <f aca="false">Projection!F20*C431*Projection!H20</f>
        <v>0</v>
      </c>
      <c r="E431" s="1" t="n">
        <f aca="false">Projection!Q20*C431*Projection!H20</f>
        <v>0</v>
      </c>
      <c r="F431" s="1" t="n">
        <f aca="false">Projection!S20*C431*Projection!H20</f>
        <v>0</v>
      </c>
      <c r="G431" s="1" t="n">
        <f aca="false">Projection!U20*C431*Projection!H20</f>
        <v>0</v>
      </c>
    </row>
    <row r="432" customFormat="false" ht="15" hidden="false" customHeight="true" outlineLevel="0" collapsed="false">
      <c r="A432" s="1" t="n">
        <v>17</v>
      </c>
      <c r="B432" s="76" t="n">
        <f aca="false">Projection!B21</f>
        <v>82</v>
      </c>
      <c r="C432" s="1" t="n">
        <f aca="false">IF(Projection!B21&lt;Assumptions!$B$5,($B$269*IF(Projection!B21=Assumptions!$B$4,$B$266,$B$267)-$B$269)-(Pricing!$B$14*IF(Projection!B21=Assumptions!$B$4,Assumptions!$B$14,Assumptions!$B$15)-Pricing!$B$14),0)</f>
        <v>0</v>
      </c>
      <c r="D432" s="1" t="n">
        <f aca="false">Projection!F21*C432*Projection!H21</f>
        <v>0</v>
      </c>
      <c r="E432" s="1" t="n">
        <f aca="false">Projection!Q21*C432*Projection!H21</f>
        <v>0</v>
      </c>
      <c r="F432" s="1" t="n">
        <f aca="false">Projection!S21*C432*Projection!H21</f>
        <v>0</v>
      </c>
      <c r="G432" s="1" t="n">
        <f aca="false">Projection!U21*C432*Projection!H21</f>
        <v>0</v>
      </c>
    </row>
    <row r="433" customFormat="false" ht="15" hidden="false" customHeight="true" outlineLevel="0" collapsed="false">
      <c r="A433" s="1" t="n">
        <v>18</v>
      </c>
      <c r="B433" s="76" t="n">
        <f aca="false">Projection!B22</f>
        <v>83</v>
      </c>
      <c r="C433" s="1" t="n">
        <f aca="false">IF(Projection!B22&lt;Assumptions!$B$5,($B$269*IF(Projection!B22=Assumptions!$B$4,$B$266,$B$267)-$B$269)-(Pricing!$B$14*IF(Projection!B22=Assumptions!$B$4,Assumptions!$B$14,Assumptions!$B$15)-Pricing!$B$14),0)</f>
        <v>0</v>
      </c>
      <c r="D433" s="1" t="n">
        <f aca="false">Projection!F22*C433*Projection!H22</f>
        <v>0</v>
      </c>
      <c r="E433" s="1" t="n">
        <f aca="false">Projection!Q22*C433*Projection!H22</f>
        <v>0</v>
      </c>
      <c r="F433" s="1" t="n">
        <f aca="false">Projection!S22*C433*Projection!H22</f>
        <v>0</v>
      </c>
      <c r="G433" s="1" t="n">
        <f aca="false">Projection!U22*C433*Projection!H22</f>
        <v>0</v>
      </c>
    </row>
    <row r="434" customFormat="false" ht="15" hidden="false" customHeight="true" outlineLevel="0" collapsed="false">
      <c r="A434" s="1" t="n">
        <v>19</v>
      </c>
      <c r="B434" s="76" t="n">
        <f aca="false">Projection!B23</f>
        <v>84</v>
      </c>
      <c r="C434" s="1" t="n">
        <f aca="false">IF(Projection!B23&lt;Assumptions!$B$5,($B$269*IF(Projection!B23=Assumptions!$B$4,$B$266,$B$267)-$B$269)-(Pricing!$B$14*IF(Projection!B23=Assumptions!$B$4,Assumptions!$B$14,Assumptions!$B$15)-Pricing!$B$14),0)</f>
        <v>0</v>
      </c>
      <c r="D434" s="1" t="n">
        <f aca="false">Projection!F23*C434*Projection!H23</f>
        <v>0</v>
      </c>
      <c r="E434" s="1" t="n">
        <f aca="false">Projection!Q23*C434*Projection!H23</f>
        <v>0</v>
      </c>
      <c r="F434" s="1" t="n">
        <f aca="false">Projection!S23*C434*Projection!H23</f>
        <v>0</v>
      </c>
      <c r="G434" s="1" t="n">
        <f aca="false">Projection!U23*C434*Projection!H23</f>
        <v>0</v>
      </c>
    </row>
    <row r="435" customFormat="false" ht="15" hidden="false" customHeight="true" outlineLevel="0" collapsed="false">
      <c r="A435" s="1" t="n">
        <v>20</v>
      </c>
      <c r="B435" s="76" t="n">
        <f aca="false">Projection!B24</f>
        <v>85</v>
      </c>
      <c r="C435" s="1" t="n">
        <f aca="false">IF(Projection!B24&lt;Assumptions!$B$5,($B$269*IF(Projection!B24=Assumptions!$B$4,$B$266,$B$267)-$B$269)-(Pricing!$B$14*IF(Projection!B24=Assumptions!$B$4,Assumptions!$B$14,Assumptions!$B$15)-Pricing!$B$14),0)</f>
        <v>0</v>
      </c>
      <c r="D435" s="1" t="n">
        <f aca="false">Projection!F24*C435*Projection!H24</f>
        <v>0</v>
      </c>
      <c r="E435" s="1" t="n">
        <f aca="false">Projection!Q24*C435*Projection!H24</f>
        <v>0</v>
      </c>
      <c r="F435" s="1" t="n">
        <f aca="false">Projection!S24*C435*Projection!H24</f>
        <v>0</v>
      </c>
      <c r="G435" s="1" t="n">
        <f aca="false">Projection!U24*C435*Projection!H24</f>
        <v>0</v>
      </c>
    </row>
    <row r="436" customFormat="false" ht="15" hidden="false" customHeight="true" outlineLevel="0" collapsed="false">
      <c r="A436" s="1" t="n">
        <v>21</v>
      </c>
      <c r="B436" s="76" t="n">
        <f aca="false">Projection!B25</f>
        <v>86</v>
      </c>
      <c r="C436" s="1" t="n">
        <f aca="false">IF(Projection!B25&lt;Assumptions!$B$5,($B$269*IF(Projection!B25=Assumptions!$B$4,$B$266,$B$267)-$B$269)-(Pricing!$B$14*IF(Projection!B25=Assumptions!$B$4,Assumptions!$B$14,Assumptions!$B$15)-Pricing!$B$14),0)</f>
        <v>0</v>
      </c>
      <c r="D436" s="1" t="n">
        <f aca="false">Projection!F25*C436*Projection!H25</f>
        <v>0</v>
      </c>
      <c r="E436" s="1" t="n">
        <f aca="false">Projection!Q25*C436*Projection!H25</f>
        <v>0</v>
      </c>
      <c r="F436" s="1" t="n">
        <f aca="false">Projection!S25*C436*Projection!H25</f>
        <v>0</v>
      </c>
      <c r="G436" s="1" t="n">
        <f aca="false">Projection!U25*C436*Projection!H25</f>
        <v>0</v>
      </c>
    </row>
    <row r="437" customFormat="false" ht="15" hidden="false" customHeight="true" outlineLevel="0" collapsed="false">
      <c r="A437" s="1" t="n">
        <v>22</v>
      </c>
      <c r="B437" s="76" t="n">
        <f aca="false">Projection!B26</f>
        <v>87</v>
      </c>
      <c r="C437" s="1" t="n">
        <f aca="false">IF(Projection!B26&lt;Assumptions!$B$5,($B$269*IF(Projection!B26=Assumptions!$B$4,$B$266,$B$267)-$B$269)-(Pricing!$B$14*IF(Projection!B26=Assumptions!$B$4,Assumptions!$B$14,Assumptions!$B$15)-Pricing!$B$14),0)</f>
        <v>0</v>
      </c>
      <c r="D437" s="1" t="n">
        <f aca="false">Projection!F26*C437*Projection!H26</f>
        <v>0</v>
      </c>
      <c r="E437" s="1" t="n">
        <f aca="false">Projection!Q26*C437*Projection!H26</f>
        <v>0</v>
      </c>
      <c r="F437" s="1" t="n">
        <f aca="false">Projection!S26*C437*Projection!H26</f>
        <v>0</v>
      </c>
      <c r="G437" s="1" t="n">
        <f aca="false">Projection!U26*C437*Projection!H26</f>
        <v>0</v>
      </c>
    </row>
    <row r="438" customFormat="false" ht="15" hidden="false" customHeight="true" outlineLevel="0" collapsed="false">
      <c r="A438" s="1" t="n">
        <v>23</v>
      </c>
      <c r="B438" s="76" t="n">
        <f aca="false">Projection!B27</f>
        <v>88</v>
      </c>
      <c r="C438" s="1" t="n">
        <f aca="false">IF(Projection!B27&lt;Assumptions!$B$5,($B$269*IF(Projection!B27=Assumptions!$B$4,$B$266,$B$267)-$B$269)-(Pricing!$B$14*IF(Projection!B27=Assumptions!$B$4,Assumptions!$B$14,Assumptions!$B$15)-Pricing!$B$14),0)</f>
        <v>0</v>
      </c>
      <c r="D438" s="1" t="n">
        <f aca="false">Projection!F27*C438*Projection!H27</f>
        <v>0</v>
      </c>
      <c r="E438" s="1" t="n">
        <f aca="false">Projection!Q27*C438*Projection!H27</f>
        <v>0</v>
      </c>
      <c r="F438" s="1" t="n">
        <f aca="false">Projection!S27*C438*Projection!H27</f>
        <v>0</v>
      </c>
      <c r="G438" s="1" t="n">
        <f aca="false">Projection!U27*C438*Projection!H27</f>
        <v>0</v>
      </c>
    </row>
    <row r="439" customFormat="false" ht="15" hidden="false" customHeight="true" outlineLevel="0" collapsed="false">
      <c r="A439" s="1" t="n">
        <v>24</v>
      </c>
      <c r="B439" s="76" t="n">
        <f aca="false">Projection!B28</f>
        <v>89</v>
      </c>
      <c r="C439" s="1" t="n">
        <f aca="false">IF(Projection!B28&lt;Assumptions!$B$5,($B$269*IF(Projection!B28=Assumptions!$B$4,$B$266,$B$267)-$B$269)-(Pricing!$B$14*IF(Projection!B28=Assumptions!$B$4,Assumptions!$B$14,Assumptions!$B$15)-Pricing!$B$14),0)</f>
        <v>0</v>
      </c>
      <c r="D439" s="1" t="n">
        <f aca="false">Projection!F28*C439*Projection!H28</f>
        <v>0</v>
      </c>
      <c r="E439" s="1" t="n">
        <f aca="false">Projection!Q28*C439*Projection!H28</f>
        <v>0</v>
      </c>
      <c r="F439" s="1" t="n">
        <f aca="false">Projection!S28*C439*Projection!H28</f>
        <v>0</v>
      </c>
      <c r="G439" s="1" t="n">
        <f aca="false">Projection!U28*C439*Projection!H28</f>
        <v>0</v>
      </c>
    </row>
    <row r="440" customFormat="false" ht="15" hidden="false" customHeight="true" outlineLevel="0" collapsed="false">
      <c r="A440" s="1" t="n">
        <v>25</v>
      </c>
      <c r="B440" s="76" t="n">
        <f aca="false">Projection!B29</f>
        <v>90</v>
      </c>
      <c r="C440" s="1" t="n">
        <f aca="false">IF(Projection!B29&lt;Assumptions!$B$5,($B$269*IF(Projection!B29=Assumptions!$B$4,$B$266,$B$267)-$B$269)-(Pricing!$B$14*IF(Projection!B29=Assumptions!$B$4,Assumptions!$B$14,Assumptions!$B$15)-Pricing!$B$14),0)</f>
        <v>0</v>
      </c>
      <c r="D440" s="1" t="n">
        <f aca="false">Projection!F29*C440*Projection!H29</f>
        <v>0</v>
      </c>
      <c r="E440" s="1" t="n">
        <f aca="false">Projection!Q29*C440*Projection!H29</f>
        <v>0</v>
      </c>
      <c r="F440" s="1" t="n">
        <f aca="false">Projection!S29*C440*Projection!H29</f>
        <v>0</v>
      </c>
      <c r="G440" s="1" t="n">
        <f aca="false">Projection!U29*C440*Projection!H29</f>
        <v>0</v>
      </c>
    </row>
    <row r="441" customFormat="false" ht="15" hidden="false" customHeight="true" outlineLevel="0" collapsed="false">
      <c r="A441" s="1" t="n">
        <v>26</v>
      </c>
      <c r="B441" s="76" t="n">
        <f aca="false">Projection!B30</f>
        <v>91</v>
      </c>
      <c r="C441" s="1" t="n">
        <f aca="false">IF(Projection!B30&lt;Assumptions!$B$5,($B$269*IF(Projection!B30=Assumptions!$B$4,$B$266,$B$267)-$B$269)-(Pricing!$B$14*IF(Projection!B30=Assumptions!$B$4,Assumptions!$B$14,Assumptions!$B$15)-Pricing!$B$14),0)</f>
        <v>0</v>
      </c>
      <c r="D441" s="1" t="n">
        <f aca="false">Projection!F30*C441*Projection!H30</f>
        <v>0</v>
      </c>
      <c r="E441" s="1" t="n">
        <f aca="false">Projection!Q30*C441*Projection!H30</f>
        <v>0</v>
      </c>
      <c r="F441" s="1" t="n">
        <f aca="false">Projection!S30*C441*Projection!H30</f>
        <v>0</v>
      </c>
      <c r="G441" s="1" t="n">
        <f aca="false">Projection!U30*C441*Projection!H30</f>
        <v>0</v>
      </c>
    </row>
    <row r="442" customFormat="false" ht="15" hidden="false" customHeight="true" outlineLevel="0" collapsed="false">
      <c r="A442" s="1" t="n">
        <v>27</v>
      </c>
      <c r="B442" s="76" t="n">
        <f aca="false">Projection!B31</f>
        <v>92</v>
      </c>
      <c r="C442" s="1" t="n">
        <f aca="false">IF(Projection!B31&lt;Assumptions!$B$5,($B$269*IF(Projection!B31=Assumptions!$B$4,$B$266,$B$267)-$B$269)-(Pricing!$B$14*IF(Projection!B31=Assumptions!$B$4,Assumptions!$B$14,Assumptions!$B$15)-Pricing!$B$14),0)</f>
        <v>0</v>
      </c>
      <c r="D442" s="1" t="n">
        <f aca="false">Projection!F31*C442*Projection!H31</f>
        <v>0</v>
      </c>
      <c r="E442" s="1" t="n">
        <f aca="false">Projection!Q31*C442*Projection!H31</f>
        <v>0</v>
      </c>
      <c r="F442" s="1" t="n">
        <f aca="false">Projection!S31*C442*Projection!H31</f>
        <v>0</v>
      </c>
      <c r="G442" s="1" t="n">
        <f aca="false">Projection!U31*C442*Projection!H31</f>
        <v>0</v>
      </c>
    </row>
    <row r="443" customFormat="false" ht="15" hidden="false" customHeight="true" outlineLevel="0" collapsed="false">
      <c r="A443" s="1" t="n">
        <v>28</v>
      </c>
      <c r="B443" s="76" t="n">
        <f aca="false">Projection!B32</f>
        <v>93</v>
      </c>
      <c r="C443" s="1" t="n">
        <f aca="false">IF(Projection!B32&lt;Assumptions!$B$5,($B$269*IF(Projection!B32=Assumptions!$B$4,$B$266,$B$267)-$B$269)-(Pricing!$B$14*IF(Projection!B32=Assumptions!$B$4,Assumptions!$B$14,Assumptions!$B$15)-Pricing!$B$14),0)</f>
        <v>0</v>
      </c>
      <c r="D443" s="1" t="n">
        <f aca="false">Projection!F32*C443*Projection!H32</f>
        <v>0</v>
      </c>
      <c r="E443" s="1" t="n">
        <f aca="false">Projection!Q32*C443*Projection!H32</f>
        <v>0</v>
      </c>
      <c r="F443" s="1" t="n">
        <f aca="false">Projection!S32*C443*Projection!H32</f>
        <v>0</v>
      </c>
      <c r="G443" s="1" t="n">
        <f aca="false">Projection!U32*C443*Projection!H32</f>
        <v>0</v>
      </c>
    </row>
    <row r="444" customFormat="false" ht="15" hidden="false" customHeight="true" outlineLevel="0" collapsed="false">
      <c r="A444" s="1" t="n">
        <v>29</v>
      </c>
      <c r="B444" s="76" t="n">
        <f aca="false">Projection!B33</f>
        <v>94</v>
      </c>
      <c r="C444" s="1" t="n">
        <f aca="false">IF(Projection!B33&lt;Assumptions!$B$5,($B$269*IF(Projection!B33=Assumptions!$B$4,$B$266,$B$267)-$B$269)-(Pricing!$B$14*IF(Projection!B33=Assumptions!$B$4,Assumptions!$B$14,Assumptions!$B$15)-Pricing!$B$14),0)</f>
        <v>0</v>
      </c>
      <c r="D444" s="1" t="n">
        <f aca="false">Projection!F33*C444*Projection!H33</f>
        <v>0</v>
      </c>
      <c r="E444" s="1" t="n">
        <f aca="false">Projection!Q33*C444*Projection!H33</f>
        <v>0</v>
      </c>
      <c r="F444" s="1" t="n">
        <f aca="false">Projection!S33*C444*Projection!H33</f>
        <v>0</v>
      </c>
      <c r="G444" s="1" t="n">
        <f aca="false">Projection!U33*C444*Projection!H33</f>
        <v>0</v>
      </c>
    </row>
    <row r="445" customFormat="false" ht="15" hidden="false" customHeight="true" outlineLevel="0" collapsed="false">
      <c r="A445" s="1" t="n">
        <v>30</v>
      </c>
      <c r="B445" s="76" t="n">
        <f aca="false">Projection!B34</f>
        <v>95</v>
      </c>
      <c r="C445" s="1" t="n">
        <f aca="false">IF(Projection!B34&lt;Assumptions!$B$5,($B$269*IF(Projection!B34=Assumptions!$B$4,$B$266,$B$267)-$B$269)-(Pricing!$B$14*IF(Projection!B34=Assumptions!$B$4,Assumptions!$B$14,Assumptions!$B$15)-Pricing!$B$14),0)</f>
        <v>0</v>
      </c>
      <c r="D445" s="1" t="n">
        <f aca="false">Projection!F34*C445*Projection!H34</f>
        <v>0</v>
      </c>
      <c r="E445" s="1" t="n">
        <f aca="false">Projection!Q34*C445*Projection!H34</f>
        <v>0</v>
      </c>
      <c r="F445" s="1" t="n">
        <f aca="false">Projection!S34*C445*Projection!H34</f>
        <v>0</v>
      </c>
      <c r="G445" s="1" t="n">
        <f aca="false">Projection!U34*C445*Projection!H34</f>
        <v>0</v>
      </c>
    </row>
    <row r="446" customFormat="false" ht="15" hidden="false" customHeight="true" outlineLevel="0" collapsed="false">
      <c r="A446" s="1" t="n">
        <v>31</v>
      </c>
      <c r="B446" s="76" t="n">
        <f aca="false">Projection!B35</f>
        <v>96</v>
      </c>
      <c r="C446" s="1" t="n">
        <f aca="false">IF(Projection!B35&lt;Assumptions!$B$5,($B$269*IF(Projection!B35=Assumptions!$B$4,$B$266,$B$267)-$B$269)-(Pricing!$B$14*IF(Projection!B35=Assumptions!$B$4,Assumptions!$B$14,Assumptions!$B$15)-Pricing!$B$14),0)</f>
        <v>0</v>
      </c>
      <c r="D446" s="1" t="n">
        <f aca="false">Projection!F35*C446*Projection!H35</f>
        <v>0</v>
      </c>
      <c r="E446" s="1" t="n">
        <f aca="false">Projection!Q35*C446*Projection!H35</f>
        <v>0</v>
      </c>
      <c r="F446" s="1" t="n">
        <f aca="false">Projection!S35*C446*Projection!H35</f>
        <v>0</v>
      </c>
      <c r="G446" s="1" t="n">
        <f aca="false">Projection!U35*C446*Projection!H35</f>
        <v>0</v>
      </c>
    </row>
    <row r="447" customFormat="false" ht="15" hidden="false" customHeight="true" outlineLevel="0" collapsed="false">
      <c r="A447" s="1" t="n">
        <v>32</v>
      </c>
      <c r="B447" s="76" t="n">
        <f aca="false">Projection!B36</f>
        <v>97</v>
      </c>
      <c r="C447" s="1" t="n">
        <f aca="false">IF(Projection!B36&lt;Assumptions!$B$5,($B$269*IF(Projection!B36=Assumptions!$B$4,$B$266,$B$267)-$B$269)-(Pricing!$B$14*IF(Projection!B36=Assumptions!$B$4,Assumptions!$B$14,Assumptions!$B$15)-Pricing!$B$14),0)</f>
        <v>0</v>
      </c>
      <c r="D447" s="1" t="n">
        <f aca="false">Projection!F36*C447*Projection!H36</f>
        <v>0</v>
      </c>
      <c r="E447" s="1" t="n">
        <f aca="false">Projection!Q36*C447*Projection!H36</f>
        <v>0</v>
      </c>
      <c r="F447" s="1" t="n">
        <f aca="false">Projection!S36*C447*Projection!H36</f>
        <v>0</v>
      </c>
      <c r="G447" s="1" t="n">
        <f aca="false">Projection!U36*C447*Projection!H36</f>
        <v>0</v>
      </c>
    </row>
    <row r="448" customFormat="false" ht="15" hidden="false" customHeight="true" outlineLevel="0" collapsed="false">
      <c r="A448" s="1" t="n">
        <v>33</v>
      </c>
      <c r="B448" s="76" t="n">
        <f aca="false">Projection!B37</f>
        <v>98</v>
      </c>
      <c r="C448" s="1" t="n">
        <f aca="false">IF(Projection!B37&lt;Assumptions!$B$5,($B$269*IF(Projection!B37=Assumptions!$B$4,$B$266,$B$267)-$B$269)-(Pricing!$B$14*IF(Projection!B37=Assumptions!$B$4,Assumptions!$B$14,Assumptions!$B$15)-Pricing!$B$14),0)</f>
        <v>0</v>
      </c>
      <c r="D448" s="1" t="n">
        <f aca="false">Projection!F37*C448*Projection!H37</f>
        <v>0</v>
      </c>
      <c r="E448" s="1" t="n">
        <f aca="false">Projection!Q37*C448*Projection!H37</f>
        <v>0</v>
      </c>
      <c r="F448" s="1" t="n">
        <f aca="false">Projection!S37*C448*Projection!H37</f>
        <v>0</v>
      </c>
      <c r="G448" s="1" t="n">
        <f aca="false">Projection!U37*C448*Projection!H37</f>
        <v>0</v>
      </c>
    </row>
    <row r="449" customFormat="false" ht="15" hidden="false" customHeight="true" outlineLevel="0" collapsed="false">
      <c r="A449" s="1" t="n">
        <v>34</v>
      </c>
      <c r="B449" s="76" t="n">
        <f aca="false">Projection!B38</f>
        <v>99</v>
      </c>
      <c r="C449" s="1" t="n">
        <f aca="false">IF(Projection!B38&lt;Assumptions!$B$5,($B$269*IF(Projection!B38=Assumptions!$B$4,$B$266,$B$267)-$B$269)-(Pricing!$B$14*IF(Projection!B38=Assumptions!$B$4,Assumptions!$B$14,Assumptions!$B$15)-Pricing!$B$14),0)</f>
        <v>0</v>
      </c>
      <c r="D449" s="1" t="n">
        <f aca="false">Projection!F38*C449*Projection!H38</f>
        <v>0</v>
      </c>
      <c r="E449" s="1" t="n">
        <f aca="false">Projection!Q38*C449*Projection!H38</f>
        <v>0</v>
      </c>
      <c r="F449" s="1" t="n">
        <f aca="false">Projection!S38*C449*Projection!H38</f>
        <v>0</v>
      </c>
      <c r="G449" s="1" t="n">
        <f aca="false">Projection!U38*C449*Projection!H38</f>
        <v>0</v>
      </c>
    </row>
    <row r="450" customFormat="false" ht="15" hidden="false" customHeight="true" outlineLevel="0" collapsed="false">
      <c r="A450" s="1" t="n">
        <v>35</v>
      </c>
      <c r="B450" s="76" t="n">
        <f aca="false">Projection!B39</f>
        <v>100</v>
      </c>
      <c r="C450" s="1" t="n">
        <f aca="false">IF(Projection!B39&lt;Assumptions!$B$5,($B$269*IF(Projection!B39=Assumptions!$B$4,$B$266,$B$267)-$B$269)-(Pricing!$B$14*IF(Projection!B39=Assumptions!$B$4,Assumptions!$B$14,Assumptions!$B$15)-Pricing!$B$14),0)</f>
        <v>0</v>
      </c>
      <c r="D450" s="1" t="n">
        <f aca="false">Projection!F39*C450*Projection!H39</f>
        <v>0</v>
      </c>
      <c r="E450" s="1" t="n">
        <f aca="false">Projection!Q39*C450*Projection!H39</f>
        <v>0</v>
      </c>
      <c r="F450" s="1" t="n">
        <f aca="false">Projection!S39*C450*Projection!H39</f>
        <v>0</v>
      </c>
      <c r="G450" s="1" t="n">
        <f aca="false">Projection!U39*C450*Projection!H39</f>
        <v>0</v>
      </c>
    </row>
    <row r="451" customFormat="false" ht="15" hidden="false" customHeight="true" outlineLevel="0" collapsed="false">
      <c r="A451" s="1" t="n">
        <v>36</v>
      </c>
      <c r="B451" s="76" t="n">
        <f aca="false">Projection!B40</f>
        <v>101</v>
      </c>
      <c r="C451" s="1" t="n">
        <f aca="false">IF(Projection!B40&lt;Assumptions!$B$5,($B$269*IF(Projection!B40=Assumptions!$B$4,$B$266,$B$267)-$B$269)-(Pricing!$B$14*IF(Projection!B40=Assumptions!$B$4,Assumptions!$B$14,Assumptions!$B$15)-Pricing!$B$14),0)</f>
        <v>0</v>
      </c>
      <c r="D451" s="1" t="n">
        <f aca="false">Projection!F40*C451*Projection!H40</f>
        <v>0</v>
      </c>
      <c r="E451" s="1" t="n">
        <f aca="false">Projection!Q40*C451*Projection!H40</f>
        <v>0</v>
      </c>
      <c r="F451" s="1" t="n">
        <f aca="false">Projection!S40*C451*Projection!H40</f>
        <v>0</v>
      </c>
      <c r="G451" s="1" t="n">
        <f aca="false">Projection!U40*C451*Projection!H40</f>
        <v>0</v>
      </c>
    </row>
    <row r="452" customFormat="false" ht="15" hidden="false" customHeight="true" outlineLevel="0" collapsed="false">
      <c r="A452" s="1" t="n">
        <v>37</v>
      </c>
      <c r="B452" s="76" t="n">
        <f aca="false">Projection!B41</f>
        <v>102</v>
      </c>
      <c r="C452" s="1" t="n">
        <f aca="false">IF(Projection!B41&lt;Assumptions!$B$5,($B$269*IF(Projection!B41=Assumptions!$B$4,$B$266,$B$267)-$B$269)-(Pricing!$B$14*IF(Projection!B41=Assumptions!$B$4,Assumptions!$B$14,Assumptions!$B$15)-Pricing!$B$14),0)</f>
        <v>0</v>
      </c>
      <c r="D452" s="1" t="n">
        <f aca="false">Projection!F41*C452*Projection!H41</f>
        <v>0</v>
      </c>
      <c r="E452" s="1" t="n">
        <f aca="false">Projection!Q41*C452*Projection!H41</f>
        <v>0</v>
      </c>
      <c r="F452" s="1" t="n">
        <f aca="false">Projection!S41*C452*Projection!H41</f>
        <v>0</v>
      </c>
      <c r="G452" s="1" t="n">
        <f aca="false">Projection!U41*C452*Projection!H41</f>
        <v>0</v>
      </c>
    </row>
    <row r="453" customFormat="false" ht="15" hidden="false" customHeight="true" outlineLevel="0" collapsed="false">
      <c r="A453" s="1" t="n">
        <v>38</v>
      </c>
      <c r="B453" s="76" t="n">
        <f aca="false">Projection!B42</f>
        <v>103</v>
      </c>
      <c r="C453" s="1" t="n">
        <f aca="false">IF(Projection!B42&lt;Assumptions!$B$5,($B$269*IF(Projection!B42=Assumptions!$B$4,$B$266,$B$267)-$B$269)-(Pricing!$B$14*IF(Projection!B42=Assumptions!$B$4,Assumptions!$B$14,Assumptions!$B$15)-Pricing!$B$14),0)</f>
        <v>0</v>
      </c>
      <c r="D453" s="1" t="n">
        <f aca="false">Projection!F42*C453*Projection!H42</f>
        <v>0</v>
      </c>
      <c r="E453" s="1" t="n">
        <f aca="false">Projection!Q42*C453*Projection!H42</f>
        <v>0</v>
      </c>
      <c r="F453" s="1" t="n">
        <f aca="false">Projection!S42*C453*Projection!H42</f>
        <v>0</v>
      </c>
      <c r="G453" s="1" t="n">
        <f aca="false">Projection!U42*C453*Projection!H42</f>
        <v>0</v>
      </c>
    </row>
    <row r="454" customFormat="false" ht="15" hidden="false" customHeight="true" outlineLevel="0" collapsed="false">
      <c r="A454" s="1" t="n">
        <v>39</v>
      </c>
      <c r="B454" s="76" t="n">
        <f aca="false">Projection!B43</f>
        <v>104</v>
      </c>
      <c r="C454" s="1" t="n">
        <f aca="false">IF(Projection!B43&lt;Assumptions!$B$5,($B$269*IF(Projection!B43=Assumptions!$B$4,$B$266,$B$267)-$B$269)-(Pricing!$B$14*IF(Projection!B43=Assumptions!$B$4,Assumptions!$B$14,Assumptions!$B$15)-Pricing!$B$14),0)</f>
        <v>0</v>
      </c>
      <c r="D454" s="1" t="n">
        <f aca="false">Projection!F43*C454*Projection!H43</f>
        <v>0</v>
      </c>
      <c r="E454" s="1" t="n">
        <f aca="false">Projection!Q43*C454*Projection!H43</f>
        <v>0</v>
      </c>
      <c r="F454" s="1" t="n">
        <f aca="false">Projection!S43*C454*Projection!H43</f>
        <v>0</v>
      </c>
      <c r="G454" s="1" t="n">
        <f aca="false">Projection!U43*C454*Projection!H43</f>
        <v>0</v>
      </c>
    </row>
    <row r="455" customFormat="false" ht="15" hidden="false" customHeight="true" outlineLevel="0" collapsed="false">
      <c r="A455" s="1" t="n">
        <v>40</v>
      </c>
      <c r="B455" s="76" t="n">
        <f aca="false">Projection!B44</f>
        <v>105</v>
      </c>
      <c r="C455" s="1" t="n">
        <f aca="false">IF(Projection!B44&lt;Assumptions!$B$5,($B$269*IF(Projection!B44=Assumptions!$B$4,$B$266,$B$267)-$B$269)-(Pricing!$B$14*IF(Projection!B44=Assumptions!$B$4,Assumptions!$B$14,Assumptions!$B$15)-Pricing!$B$14),0)</f>
        <v>0</v>
      </c>
      <c r="D455" s="1" t="n">
        <f aca="false">Projection!F44*C455*Projection!H44</f>
        <v>0</v>
      </c>
      <c r="E455" s="1" t="n">
        <f aca="false">Projection!Q44*C455*Projection!H44</f>
        <v>0</v>
      </c>
      <c r="F455" s="1" t="n">
        <f aca="false">Projection!S44*C455*Projection!H44</f>
        <v>0</v>
      </c>
      <c r="G455" s="1" t="n">
        <f aca="false">Projection!U44*C455*Projection!H44</f>
        <v>0</v>
      </c>
    </row>
    <row r="456" customFormat="false" ht="15" hidden="false" customHeight="true" outlineLevel="0" collapsed="false">
      <c r="A456" s="1" t="n">
        <v>41</v>
      </c>
      <c r="B456" s="76" t="n">
        <f aca="false">Projection!B45</f>
        <v>106</v>
      </c>
      <c r="C456" s="1" t="n">
        <f aca="false">IF(Projection!B45&lt;Assumptions!$B$5,($B$269*IF(Projection!B45=Assumptions!$B$4,$B$266,$B$267)-$B$269)-(Pricing!$B$14*IF(Projection!B45=Assumptions!$B$4,Assumptions!$B$14,Assumptions!$B$15)-Pricing!$B$14),0)</f>
        <v>0</v>
      </c>
      <c r="D456" s="1" t="n">
        <f aca="false">Projection!F45*C456*Projection!H45</f>
        <v>0</v>
      </c>
      <c r="E456" s="1" t="n">
        <f aca="false">Projection!Q45*C456*Projection!H45</f>
        <v>0</v>
      </c>
      <c r="F456" s="1" t="n">
        <f aca="false">Projection!S45*C456*Projection!H45</f>
        <v>0</v>
      </c>
      <c r="G456" s="1" t="n">
        <f aca="false">Projection!U45*C456*Projection!H45</f>
        <v>0</v>
      </c>
    </row>
    <row r="457" customFormat="false" ht="15" hidden="false" customHeight="true" outlineLevel="0" collapsed="false">
      <c r="A457" s="1" t="n">
        <v>42</v>
      </c>
      <c r="B457" s="76" t="n">
        <f aca="false">Projection!B46</f>
        <v>107</v>
      </c>
      <c r="C457" s="1" t="n">
        <f aca="false">IF(Projection!B46&lt;Assumptions!$B$5,($B$269*IF(Projection!B46=Assumptions!$B$4,$B$266,$B$267)-$B$269)-(Pricing!$B$14*IF(Projection!B46=Assumptions!$B$4,Assumptions!$B$14,Assumptions!$B$15)-Pricing!$B$14),0)</f>
        <v>0</v>
      </c>
      <c r="D457" s="1" t="n">
        <f aca="false">Projection!F46*C457*Projection!H46</f>
        <v>0</v>
      </c>
      <c r="E457" s="1" t="n">
        <f aca="false">Projection!Q46*C457*Projection!H46</f>
        <v>0</v>
      </c>
      <c r="F457" s="1" t="n">
        <f aca="false">Projection!S46*C457*Projection!H46</f>
        <v>0</v>
      </c>
      <c r="G457" s="1" t="n">
        <f aca="false">Projection!U46*C457*Projection!H46</f>
        <v>0</v>
      </c>
    </row>
    <row r="458" customFormat="false" ht="15" hidden="false" customHeight="true" outlineLevel="0" collapsed="false">
      <c r="A458" s="1" t="n">
        <v>43</v>
      </c>
      <c r="B458" s="76" t="n">
        <f aca="false">Projection!B47</f>
        <v>108</v>
      </c>
      <c r="C458" s="1" t="n">
        <f aca="false">IF(Projection!B47&lt;Assumptions!$B$5,($B$269*IF(Projection!B47=Assumptions!$B$4,$B$266,$B$267)-$B$269)-(Pricing!$B$14*IF(Projection!B47=Assumptions!$B$4,Assumptions!$B$14,Assumptions!$B$15)-Pricing!$B$14),0)</f>
        <v>0</v>
      </c>
      <c r="D458" s="1" t="n">
        <f aca="false">Projection!F47*C458*Projection!H47</f>
        <v>0</v>
      </c>
      <c r="E458" s="1" t="n">
        <f aca="false">Projection!Q47*C458*Projection!H47</f>
        <v>0</v>
      </c>
      <c r="F458" s="1" t="n">
        <f aca="false">Projection!S47*C458*Projection!H47</f>
        <v>0</v>
      </c>
      <c r="G458" s="1" t="n">
        <f aca="false">Projection!U47*C458*Projection!H47</f>
        <v>0</v>
      </c>
    </row>
    <row r="459" customFormat="false" ht="15" hidden="false" customHeight="true" outlineLevel="0" collapsed="false">
      <c r="A459" s="1" t="n">
        <v>44</v>
      </c>
      <c r="B459" s="76" t="n">
        <f aca="false">Projection!B48</f>
        <v>109</v>
      </c>
      <c r="C459" s="1" t="n">
        <f aca="false">IF(Projection!B48&lt;Assumptions!$B$5,($B$269*IF(Projection!B48=Assumptions!$B$4,$B$266,$B$267)-$B$269)-(Pricing!$B$14*IF(Projection!B48=Assumptions!$B$4,Assumptions!$B$14,Assumptions!$B$15)-Pricing!$B$14),0)</f>
        <v>0</v>
      </c>
      <c r="D459" s="1" t="n">
        <f aca="false">Projection!F48*C459*Projection!H48</f>
        <v>0</v>
      </c>
      <c r="E459" s="1" t="n">
        <f aca="false">Projection!Q48*C459*Projection!H48</f>
        <v>0</v>
      </c>
      <c r="F459" s="1" t="n">
        <f aca="false">Projection!S48*C459*Projection!H48</f>
        <v>0</v>
      </c>
      <c r="G459" s="1" t="n">
        <f aca="false">Projection!U48*C459*Projection!H48</f>
        <v>0</v>
      </c>
    </row>
    <row r="460" customFormat="false" ht="15" hidden="false" customHeight="true" outlineLevel="0" collapsed="false">
      <c r="A460" s="1" t="n">
        <v>45</v>
      </c>
      <c r="B460" s="76" t="n">
        <f aca="false">Projection!B49</f>
        <v>110</v>
      </c>
      <c r="C460" s="1" t="n">
        <f aca="false">IF(Projection!B49&lt;Assumptions!$B$5,($B$269*IF(Projection!B49=Assumptions!$B$4,$B$266,$B$267)-$B$269)-(Pricing!$B$14*IF(Projection!B49=Assumptions!$B$4,Assumptions!$B$14,Assumptions!$B$15)-Pricing!$B$14),0)</f>
        <v>0</v>
      </c>
      <c r="D460" s="1" t="n">
        <f aca="false">Projection!F49*C460*Projection!H49</f>
        <v>0</v>
      </c>
      <c r="E460" s="1" t="n">
        <f aca="false">Projection!Q49*C460*Projection!H49</f>
        <v>0</v>
      </c>
      <c r="F460" s="1" t="n">
        <f aca="false">Projection!S49*C460*Projection!H49</f>
        <v>0</v>
      </c>
      <c r="G460" s="1" t="n">
        <f aca="false">Projection!U49*C460*Projection!H49</f>
        <v>0</v>
      </c>
    </row>
    <row r="461" customFormat="false" ht="15" hidden="false" customHeight="true" outlineLevel="0" collapsed="false">
      <c r="A461" s="1" t="n">
        <v>46</v>
      </c>
      <c r="B461" s="76" t="n">
        <f aca="false">Projection!B50</f>
        <v>111</v>
      </c>
      <c r="C461" s="1" t="n">
        <f aca="false">IF(Projection!B50&lt;Assumptions!$B$5,($B$269*IF(Projection!B50=Assumptions!$B$4,$B$266,$B$267)-$B$269)-(Pricing!$B$14*IF(Projection!B50=Assumptions!$B$4,Assumptions!$B$14,Assumptions!$B$15)-Pricing!$B$14),0)</f>
        <v>0</v>
      </c>
      <c r="D461" s="1" t="n">
        <f aca="false">Projection!F50*C461*Projection!H50</f>
        <v>0</v>
      </c>
      <c r="E461" s="1" t="n">
        <f aca="false">Projection!Q50*C461*Projection!H50</f>
        <v>0</v>
      </c>
      <c r="F461" s="1" t="n">
        <f aca="false">Projection!S50*C461*Projection!H50</f>
        <v>0</v>
      </c>
      <c r="G461" s="1" t="n">
        <f aca="false">Projection!U50*C461*Projection!H50</f>
        <v>0</v>
      </c>
    </row>
    <row r="462" customFormat="false" ht="15" hidden="false" customHeight="true" outlineLevel="0" collapsed="false">
      <c r="A462" s="1" t="n">
        <v>47</v>
      </c>
      <c r="B462" s="76" t="n">
        <f aca="false">Projection!B51</f>
        <v>112</v>
      </c>
      <c r="C462" s="1" t="n">
        <f aca="false">IF(Projection!B51&lt;Assumptions!$B$5,($B$269*IF(Projection!B51=Assumptions!$B$4,$B$266,$B$267)-$B$269)-(Pricing!$B$14*IF(Projection!B51=Assumptions!$B$4,Assumptions!$B$14,Assumptions!$B$15)-Pricing!$B$14),0)</f>
        <v>0</v>
      </c>
      <c r="D462" s="1" t="n">
        <f aca="false">Projection!F51*C462*Projection!H51</f>
        <v>0</v>
      </c>
      <c r="E462" s="1" t="n">
        <f aca="false">Projection!Q51*C462*Projection!H51</f>
        <v>0</v>
      </c>
      <c r="F462" s="1" t="n">
        <f aca="false">Projection!S51*C462*Projection!H51</f>
        <v>0</v>
      </c>
      <c r="G462" s="1" t="n">
        <f aca="false">Projection!U51*C462*Projection!H51</f>
        <v>0</v>
      </c>
    </row>
    <row r="463" customFormat="false" ht="15" hidden="false" customHeight="true" outlineLevel="0" collapsed="false">
      <c r="A463" s="1" t="n">
        <v>48</v>
      </c>
      <c r="B463" s="76" t="n">
        <f aca="false">Projection!B52</f>
        <v>113</v>
      </c>
      <c r="C463" s="1" t="n">
        <f aca="false">IF(Projection!B52&lt;Assumptions!$B$5,($B$269*IF(Projection!B52=Assumptions!$B$4,$B$266,$B$267)-$B$269)-(Pricing!$B$14*IF(Projection!B52=Assumptions!$B$4,Assumptions!$B$14,Assumptions!$B$15)-Pricing!$B$14),0)</f>
        <v>0</v>
      </c>
      <c r="D463" s="1" t="n">
        <f aca="false">Projection!F52*C463*Projection!H52</f>
        <v>0</v>
      </c>
      <c r="E463" s="1" t="n">
        <f aca="false">Projection!Q52*C463*Projection!H52</f>
        <v>0</v>
      </c>
      <c r="F463" s="1" t="n">
        <f aca="false">Projection!S52*C463*Projection!H52</f>
        <v>0</v>
      </c>
      <c r="G463" s="1" t="n">
        <f aca="false">Projection!U52*C463*Projection!H52</f>
        <v>0</v>
      </c>
    </row>
    <row r="464" customFormat="false" ht="15" hidden="false" customHeight="true" outlineLevel="0" collapsed="false">
      <c r="A464" s="1" t="n">
        <v>49</v>
      </c>
      <c r="B464" s="76" t="n">
        <f aca="false">Projection!B53</f>
        <v>114</v>
      </c>
      <c r="C464" s="1" t="n">
        <f aca="false">IF(Projection!B53&lt;Assumptions!$B$5,($B$269*IF(Projection!B53=Assumptions!$B$4,$B$266,$B$267)-$B$269)-(Pricing!$B$14*IF(Projection!B53=Assumptions!$B$4,Assumptions!$B$14,Assumptions!$B$15)-Pricing!$B$14),0)</f>
        <v>0</v>
      </c>
      <c r="D464" s="1" t="n">
        <f aca="false">Projection!F53*C464*Projection!H53</f>
        <v>0</v>
      </c>
      <c r="E464" s="1" t="n">
        <f aca="false">Projection!Q53*C464*Projection!H53</f>
        <v>0</v>
      </c>
      <c r="F464" s="1" t="n">
        <f aca="false">Projection!S53*C464*Projection!H53</f>
        <v>0</v>
      </c>
      <c r="G464" s="1" t="n">
        <f aca="false">Projection!U53*C464*Projection!H53</f>
        <v>0</v>
      </c>
    </row>
    <row r="465" customFormat="false" ht="15" hidden="false" customHeight="true" outlineLevel="0" collapsed="false">
      <c r="A465" s="1" t="n">
        <v>50</v>
      </c>
      <c r="B465" s="76" t="n">
        <f aca="false">Projection!B54</f>
        <v>115</v>
      </c>
      <c r="C465" s="1" t="n">
        <f aca="false">IF(Projection!B54&lt;Assumptions!$B$5,($B$269*IF(Projection!B54=Assumptions!$B$4,$B$266,$B$267)-$B$269)-(Pricing!$B$14*IF(Projection!B54=Assumptions!$B$4,Assumptions!$B$14,Assumptions!$B$15)-Pricing!$B$14),0)</f>
        <v>0</v>
      </c>
      <c r="D465" s="1" t="n">
        <f aca="false">Projection!F54*C465*Projection!H54</f>
        <v>0</v>
      </c>
      <c r="E465" s="1" t="n">
        <f aca="false">Projection!Q54*C465*Projection!H54</f>
        <v>0</v>
      </c>
      <c r="F465" s="1" t="n">
        <f aca="false">Projection!S54*C465*Projection!H54</f>
        <v>0</v>
      </c>
      <c r="G465" s="1" t="n">
        <f aca="false">Projection!U54*C465*Projection!H54</f>
        <v>0</v>
      </c>
    </row>
    <row r="466" customFormat="false" ht="15" hidden="false" customHeight="true" outlineLevel="0" collapsed="false">
      <c r="A466" s="1" t="n">
        <v>51</v>
      </c>
      <c r="B466" s="76" t="n">
        <f aca="false">Projection!B55</f>
        <v>116</v>
      </c>
      <c r="C466" s="1" t="n">
        <f aca="false">IF(Projection!B55&lt;Assumptions!$B$5,($B$269*IF(Projection!B55=Assumptions!$B$4,$B$266,$B$267)-$B$269)-(Pricing!$B$14*IF(Projection!B55=Assumptions!$B$4,Assumptions!$B$14,Assumptions!$B$15)-Pricing!$B$14),0)</f>
        <v>0</v>
      </c>
      <c r="D466" s="1" t="n">
        <f aca="false">Projection!F55*C466*Projection!H55</f>
        <v>0</v>
      </c>
      <c r="E466" s="1" t="n">
        <f aca="false">Projection!Q55*C466*Projection!H55</f>
        <v>0</v>
      </c>
      <c r="F466" s="1" t="n">
        <f aca="false">Projection!S55*C466*Projection!H55</f>
        <v>0</v>
      </c>
      <c r="G466" s="1" t="n">
        <f aca="false">Projection!U55*C466*Projection!H55</f>
        <v>0</v>
      </c>
    </row>
    <row r="467" customFormat="false" ht="15" hidden="false" customHeight="true" outlineLevel="0" collapsed="false">
      <c r="A467" s="1" t="n">
        <v>52</v>
      </c>
      <c r="B467" s="76" t="n">
        <f aca="false">Projection!B56</f>
        <v>117</v>
      </c>
      <c r="C467" s="1" t="n">
        <f aca="false">IF(Projection!B56&lt;Assumptions!$B$5,($B$269*IF(Projection!B56=Assumptions!$B$4,$B$266,$B$267)-$B$269)-(Pricing!$B$14*IF(Projection!B56=Assumptions!$B$4,Assumptions!$B$14,Assumptions!$B$15)-Pricing!$B$14),0)</f>
        <v>0</v>
      </c>
      <c r="D467" s="1" t="n">
        <f aca="false">Projection!F56*C467*Projection!H56</f>
        <v>0</v>
      </c>
      <c r="E467" s="1" t="n">
        <f aca="false">Projection!Q56*C467*Projection!H56</f>
        <v>0</v>
      </c>
      <c r="F467" s="1" t="n">
        <f aca="false">Projection!S56*C467*Projection!H56</f>
        <v>0</v>
      </c>
      <c r="G467" s="1" t="n">
        <f aca="false">Projection!U56*C467*Projection!H56</f>
        <v>0</v>
      </c>
    </row>
    <row r="468" customFormat="false" ht="15" hidden="false" customHeight="true" outlineLevel="0" collapsed="false">
      <c r="A468" s="1" t="n">
        <v>53</v>
      </c>
      <c r="B468" s="76" t="n">
        <f aca="false">Projection!B57</f>
        <v>118</v>
      </c>
      <c r="C468" s="1" t="n">
        <f aca="false">IF(Projection!B57&lt;Assumptions!$B$5,($B$269*IF(Projection!B57=Assumptions!$B$4,$B$266,$B$267)-$B$269)-(Pricing!$B$14*IF(Projection!B57=Assumptions!$B$4,Assumptions!$B$14,Assumptions!$B$15)-Pricing!$B$14),0)</f>
        <v>0</v>
      </c>
      <c r="D468" s="1" t="n">
        <f aca="false">Projection!F57*C468*Projection!H57</f>
        <v>0</v>
      </c>
      <c r="E468" s="1" t="n">
        <f aca="false">Projection!Q57*C468*Projection!H57</f>
        <v>0</v>
      </c>
      <c r="F468" s="1" t="n">
        <f aca="false">Projection!S57*C468*Projection!H57</f>
        <v>0</v>
      </c>
      <c r="G468" s="1" t="n">
        <f aca="false">Projection!U57*C468*Projection!H57</f>
        <v>0</v>
      </c>
    </row>
    <row r="469" customFormat="false" ht="15" hidden="false" customHeight="true" outlineLevel="0" collapsed="false">
      <c r="A469" s="1" t="n">
        <v>54</v>
      </c>
      <c r="B469" s="76" t="n">
        <f aca="false">Projection!B58</f>
        <v>119</v>
      </c>
      <c r="C469" s="1" t="n">
        <f aca="false">IF(Projection!B58&lt;Assumptions!$B$5,($B$269*IF(Projection!B58=Assumptions!$B$4,$B$266,$B$267)-$B$269)-(Pricing!$B$14*IF(Projection!B58=Assumptions!$B$4,Assumptions!$B$14,Assumptions!$B$15)-Pricing!$B$14),0)</f>
        <v>0</v>
      </c>
      <c r="D469" s="1" t="n">
        <f aca="false">Projection!F58*C469*Projection!H58</f>
        <v>0</v>
      </c>
      <c r="E469" s="1" t="n">
        <f aca="false">Projection!Q58*C469*Projection!H58</f>
        <v>0</v>
      </c>
      <c r="F469" s="1" t="n">
        <f aca="false">Projection!S58*C469*Projection!H58</f>
        <v>0</v>
      </c>
      <c r="G469" s="1" t="n">
        <f aca="false">Projection!U58*C469*Projection!H58</f>
        <v>0</v>
      </c>
    </row>
    <row r="470" customFormat="false" ht="15" hidden="false" customHeight="true" outlineLevel="0" collapsed="false">
      <c r="A470" s="1" t="n">
        <v>55</v>
      </c>
      <c r="B470" s="76" t="n">
        <f aca="false">Projection!B59</f>
        <v>120</v>
      </c>
      <c r="C470" s="1" t="n">
        <f aca="false">IF(Projection!B59&lt;Assumptions!$B$5,($B$269*IF(Projection!B59=Assumptions!$B$4,$B$266,$B$267)-$B$269)-(Pricing!$B$14*IF(Projection!B59=Assumptions!$B$4,Assumptions!$B$14,Assumptions!$B$15)-Pricing!$B$14),0)</f>
        <v>0</v>
      </c>
      <c r="D470" s="1" t="n">
        <f aca="false">Projection!F59*C470*Projection!H59</f>
        <v>0</v>
      </c>
      <c r="E470" s="1" t="n">
        <f aca="false">Projection!Q59*C470*Projection!H59</f>
        <v>0</v>
      </c>
      <c r="F470" s="1" t="n">
        <f aca="false">Projection!S59*C470*Projection!H59</f>
        <v>0</v>
      </c>
      <c r="G470" s="1" t="n">
        <f aca="false">Projection!U59*C470*Projection!H59</f>
        <v>0</v>
      </c>
    </row>
    <row r="473" customFormat="false" ht="15" hidden="false" customHeight="true" outlineLevel="0" collapsed="false">
      <c r="A473" s="1" t="s">
        <v>1164</v>
      </c>
    </row>
    <row r="474" customFormat="false" ht="15" hidden="false" customHeight="true" outlineLevel="0" collapsed="false">
      <c r="A474" s="1" t="s">
        <v>802</v>
      </c>
      <c r="B474" s="1" t="s">
        <v>804</v>
      </c>
      <c r="C474" s="1" t="s">
        <v>805</v>
      </c>
      <c r="D474" s="1" t="s">
        <v>806</v>
      </c>
      <c r="E474" s="1" t="s">
        <v>807</v>
      </c>
      <c r="F474" s="1" t="s">
        <v>808</v>
      </c>
      <c r="G474" s="1" t="s">
        <v>809</v>
      </c>
      <c r="H474" s="1" t="s">
        <v>810</v>
      </c>
      <c r="I474" s="1" t="s">
        <v>811</v>
      </c>
      <c r="J474" s="1" t="s">
        <v>812</v>
      </c>
      <c r="K474" s="1" t="s">
        <v>1165</v>
      </c>
      <c r="L474" s="1" t="s">
        <v>814</v>
      </c>
      <c r="M474" s="1" t="s">
        <v>693</v>
      </c>
      <c r="N474" s="1" t="s">
        <v>815</v>
      </c>
      <c r="O474" s="1" t="s">
        <v>1166</v>
      </c>
      <c r="P474" s="1" t="s">
        <v>1167</v>
      </c>
      <c r="Q474" s="1" t="s">
        <v>1168</v>
      </c>
      <c r="R474" s="1" t="s">
        <v>1169</v>
      </c>
      <c r="S474" s="1" t="s">
        <v>1168</v>
      </c>
    </row>
    <row r="475" customFormat="false" ht="15" hidden="false" customHeight="true" outlineLevel="0" collapsed="false">
      <c r="A475" s="1" t="n">
        <v>0</v>
      </c>
      <c r="B475" s="1" t="n">
        <f aca="false">(SUMIFS(Projection!$P$4:$P$59,Projection!$B$4:$B$59,"&gt;="&amp;(Assumptions!$B$4+0))+SUMIFS($D$415:$D$470,$B$415:$B$470,"&gt;="&amp;(Assumptions!$B$4+0)))/Discount!C4</f>
        <v>-3749.68656753158</v>
      </c>
      <c r="C475" s="1" t="n">
        <f aca="false">(Projection!F4/Projection!Q4)*(SUMIFS(Projection!$R$4:$R$59,Projection!$B$4:$B$59,"&gt;="&amp;(Assumptions!$B$4+0))+SUMIFS($E$415:$E$470,$B$415:$B$470,"&gt;="&amp;(Assumptions!$B$4+0)))/Discount!C4</f>
        <v>11075.874926896</v>
      </c>
      <c r="D475" s="1" t="n">
        <f aca="false">(Projection!F4/Projection!S4)*(SUMIFS(Projection!$T$4:$T$59,Projection!$B$4:$B$59,"&gt;="&amp;(Assumptions!$B$4+0))+SUMIFS($F$415:$F$470,$B$415:$B$470,"&gt;="&amp;(Assumptions!$B$4+0)))/Discount!C4</f>
        <v>-7604.35882716495</v>
      </c>
      <c r="E475" s="1" t="n">
        <f aca="false">(Projection!F4/Projection!U4)*(SUMIFS(Projection!$V$4:$V$59,Projection!$B$4:$B$59,"&gt;="&amp;(Assumptions!$B$4+0))+SUMIFS($G$415:$G$470,$B$415:$B$470,"&gt;="&amp;(Assumptions!$B$4+0)))/Discount!C4</f>
        <v>704.145580746866</v>
      </c>
      <c r="F475" s="1" t="n">
        <f aca="false">(SUMIFS(Projection!$W$4:$W$59,Projection!$B$4:$B$59,"&gt;="&amp;(Assumptions!$B$4+0))+SUMIFS($D$415:$D$470,$B$415:$B$470,"&gt;="&amp;(Assumptions!$B$4+0)))/Discount!C4</f>
        <v>-3351.1105273924</v>
      </c>
      <c r="G475" s="1" t="n">
        <f aca="false">MAX(0,C475-B475)</f>
        <v>14825.5614944276</v>
      </c>
      <c r="H475" s="1" t="n">
        <f aca="false">MAX(MAX(0,D475-B475),MAX(0,E475-B475),IF(A475&lt;Assumptions!$B$6,MAX(0,-Assumptions!$B$22*B475),0))</f>
        <v>4453.83214827844</v>
      </c>
      <c r="I475" s="1" t="n">
        <f aca="false">MAX(0,F475-B475)</f>
        <v>398.576040139176</v>
      </c>
      <c r="J475" s="1" t="n">
        <f aca="false">SQRT(G475^2+H475^2+I475^2+2*Assumptions!$B$26*G475*H475+2*Assumptions!$B$27*G475*I475+2*Assumptions!$B$28*H475*I475)</f>
        <v>16659.4653595995</v>
      </c>
      <c r="K475" s="1" t="n">
        <f aca="false">J475*Discount!C4</f>
        <v>16659.4653595995</v>
      </c>
      <c r="L475" s="1" t="n">
        <f aca="false">Assumptions!$B$29*SUM(K475:K530)/Discount!C4</f>
        <v>20769.0926479518</v>
      </c>
      <c r="M475" s="73" t="n">
        <f aca="false">Projection!F4</f>
        <v>1</v>
      </c>
      <c r="N475" s="1" t="n">
        <f aca="false">I326</f>
        <v>3749.68656753161</v>
      </c>
      <c r="O475" s="1" t="n">
        <f aca="false">IF(M475&lt;=0,0,MAX(0,(J475+L475-N475)/M475))</f>
        <v>33678.8714400197</v>
      </c>
      <c r="P475" s="1" t="n">
        <f aca="false">SQRT(MAX(0,RiskMargin!C4-RiskMargin!B4)^2+MAX(MAX(0,RiskMargin!D4-RiskMargin!B4),MAX(0,RiskMargin!E4-RiskMargin!B4),IF(0&lt;Assumptions!$B$6,MAX(0,-Assumptions!$B$22*RiskMargin!B4),0))^2+MAX(0,RiskMargin!F4-RiskMargin!B4)^2+2*Assumptions!$B$26*MAX(0,RiskMargin!C4-RiskMargin!B4)*MAX(MAX(0,RiskMargin!D4-RiskMargin!B4),MAX(0,RiskMargin!E4-RiskMargin!B4),IF(0&lt;Assumptions!$B$6,MAX(0,-Assumptions!$B$22*RiskMargin!B4),0))+2*Assumptions!$B$27*MAX(0,RiskMargin!C4-RiskMargin!B4)*MAX(0,RiskMargin!F4-RiskMargin!B4)+2*Assumptions!$B$28*MAX(MAX(0,RiskMargin!D4-RiskMargin!B4),MAX(0,RiskMargin!E4-RiskMargin!B4),IF(0&lt;Assumptions!$B$6,MAX(0,-Assumptions!$B$22*RiskMargin!B4),0))*MAX(0,RiskMargin!F4-RiskMargin!B4))</f>
        <v>16652.8497463172</v>
      </c>
      <c r="Q475" s="1" t="n">
        <f aca="false">P475-RiskMargin!J4</f>
        <v>0</v>
      </c>
      <c r="R475" s="1" t="n">
        <f aca="false">SUMIFS(Projection!$P$4:$P$59,Projection!$B$4:$B$59,"&gt;="&amp;(Assumptions!$B$4+0))/Discount!C4</f>
        <v>-3913.27258476668</v>
      </c>
      <c r="S475" s="1" t="n">
        <f aca="false">R475-RiskMargin!B4</f>
        <v>0</v>
      </c>
    </row>
    <row r="476" customFormat="false" ht="15" hidden="false" customHeight="true" outlineLevel="0" collapsed="false">
      <c r="A476" s="1" t="n">
        <v>1</v>
      </c>
      <c r="B476" s="1" t="n">
        <f aca="false">(SUMIFS(Projection!$P$4:$P$59,Projection!$B$4:$B$59,"&gt;="&amp;(Assumptions!$B$4+1))+SUMIFS($D$415:$D$470,$B$415:$B$470,"&gt;="&amp;(Assumptions!$B$4+1)))/Discount!C5</f>
        <v>-3931.1571508247</v>
      </c>
      <c r="C476" s="1" t="n">
        <f aca="false">(Projection!F5/Projection!Q5)*(SUMIFS(Projection!$R$4:$R$59,Projection!$B$4:$B$59,"&gt;="&amp;(Assumptions!$B$4+1))+SUMIFS($E$415:$E$470,$B$415:$B$470,"&gt;="&amp;(Assumptions!$B$4+1)))/Discount!C5</f>
        <v>11267.5407229187</v>
      </c>
      <c r="D476" s="1" t="n">
        <f aca="false">(Projection!F5/Projection!S5)*(SUMIFS(Projection!$T$4:$T$59,Projection!$B$4:$B$59,"&gt;="&amp;(Assumptions!$B$4+1))+SUMIFS($F$415:$F$470,$B$415:$B$470,"&gt;="&amp;(Assumptions!$B$4+1)))/Discount!C5</f>
        <v>-8056.36172527317</v>
      </c>
      <c r="E476" s="1" t="n">
        <f aca="false">(Projection!F5/Projection!U5)*(SUMIFS(Projection!$V$4:$V$59,Projection!$B$4:$B$59,"&gt;="&amp;(Assumptions!$B$4+1))+SUMIFS($G$415:$G$470,$B$415:$B$470,"&gt;="&amp;(Assumptions!$B$4+1)))/Discount!C5</f>
        <v>625.070575619188</v>
      </c>
      <c r="F476" s="1" t="n">
        <f aca="false">(SUMIFS(Projection!$W$4:$W$59,Projection!$B$4:$B$59,"&gt;="&amp;(Assumptions!$B$4+1))+SUMIFS($D$415:$D$470,$B$415:$B$470,"&gt;="&amp;(Assumptions!$B$4+1)))/Discount!C5</f>
        <v>-3530.64694868351</v>
      </c>
      <c r="G476" s="1" t="n">
        <f aca="false">MAX(0,C476-B476)</f>
        <v>15198.6978737434</v>
      </c>
      <c r="H476" s="1" t="n">
        <f aca="false">MAX(MAX(0,D476-B476),MAX(0,E476-B476),IF(A476&lt;Assumptions!$B$6,MAX(0,-Assumptions!$B$22*B476),0))</f>
        <v>4556.22772644388</v>
      </c>
      <c r="I476" s="1" t="n">
        <f aca="false">MAX(0,F476-B476)</f>
        <v>400.510202141188</v>
      </c>
      <c r="J476" s="1" t="n">
        <f aca="false">SQRT(G476^2+H476^2+I476^2+2*Assumptions!$B$26*G476*H476+2*Assumptions!$B$27*G476*I476+2*Assumptions!$B$28*H476*I476)</f>
        <v>17070.8181810431</v>
      </c>
      <c r="K476" s="1" t="n">
        <f aca="false">J476*Discount!C5</f>
        <v>16638.8730370025</v>
      </c>
      <c r="L476" s="1" t="n">
        <f aca="false">Assumptions!$B$29*SUM(K476:K530)/Discount!C5</f>
        <v>20282.7415882726</v>
      </c>
      <c r="M476" s="73" t="n">
        <f aca="false">Projection!F5</f>
        <v>0.954429784274803</v>
      </c>
      <c r="N476" s="1" t="n">
        <f aca="false">I327</f>
        <v>3847.02843082473</v>
      </c>
      <c r="O476" s="1" t="n">
        <f aca="false">IF(M476&lt;=0,0,MAX(0,(J476+L476-N476)/M476))</f>
        <v>35106.3345785567</v>
      </c>
      <c r="P476" s="1" t="n">
        <f aca="false">SQRT(MAX(0,RiskMargin!C5-RiskMargin!B5)^2+MAX(MAX(0,RiskMargin!D5-RiskMargin!B5),MAX(0,RiskMargin!E5-RiskMargin!B5),IF(1&lt;Assumptions!$B$6,MAX(0,-Assumptions!$B$22*RiskMargin!B5),0))^2+MAX(0,RiskMargin!F5-RiskMargin!B5)^2+2*Assumptions!$B$26*MAX(0,RiskMargin!C5-RiskMargin!B5)*MAX(MAX(0,RiskMargin!D5-RiskMargin!B5),MAX(0,RiskMargin!E5-RiskMargin!B5),IF(1&lt;Assumptions!$B$6,MAX(0,-Assumptions!$B$22*RiskMargin!B5),0))+2*Assumptions!$B$27*MAX(0,RiskMargin!C5-RiskMargin!B5)*MAX(0,RiskMargin!F5-RiskMargin!B5)+2*Assumptions!$B$28*MAX(MAX(0,RiskMargin!D5-RiskMargin!B5),MAX(0,RiskMargin!E5-RiskMargin!B5),IF(1&lt;Assumptions!$B$6,MAX(0,-Assumptions!$B$22*RiskMargin!B5),0))*MAX(0,RiskMargin!F5-RiskMargin!B5))</f>
        <v>17066.051332807</v>
      </c>
      <c r="Q476" s="1" t="n">
        <f aca="false">P476-RiskMargin!J5</f>
        <v>0</v>
      </c>
      <c r="R476" s="1" t="n">
        <f aca="false">SUMIFS(Projection!$P$4:$P$59,Projection!$B$4:$B$59,"&gt;="&amp;(Assumptions!$B$4+1))/Discount!C5</f>
        <v>-4098.98986106723</v>
      </c>
      <c r="S476" s="1" t="n">
        <f aca="false">R476-RiskMargin!B5</f>
        <v>0</v>
      </c>
    </row>
    <row r="477" customFormat="false" ht="15" hidden="false" customHeight="true" outlineLevel="0" collapsed="false">
      <c r="A477" s="1" t="n">
        <v>2</v>
      </c>
      <c r="B477" s="1" t="n">
        <f aca="false">(SUMIFS(Projection!$P$4:$P$59,Projection!$B$4:$B$59,"&gt;="&amp;(Assumptions!$B$4+2))+SUMIFS($D$415:$D$470,$B$415:$B$470,"&gt;="&amp;(Assumptions!$B$4+2)))/Discount!C6</f>
        <v>7329.04714487664</v>
      </c>
      <c r="C477" s="1" t="n">
        <f aca="false">(Projection!F6/Projection!Q6)*(SUMIFS(Projection!$R$4:$R$59,Projection!$B$4:$B$59,"&gt;="&amp;(Assumptions!$B$4+2))+SUMIFS($E$415:$E$470,$B$415:$B$470,"&gt;="&amp;(Assumptions!$B$4+2)))/Discount!C6</f>
        <v>22905.4370887288</v>
      </c>
      <c r="D477" s="1" t="n">
        <f aca="false">(Projection!F6/Projection!S6)*(SUMIFS(Projection!$T$4:$T$59,Projection!$B$4:$B$59,"&gt;="&amp;(Assumptions!$B$4+2))+SUMIFS($F$415:$F$470,$B$415:$B$470,"&gt;="&amp;(Assumptions!$B$4+2)))/Discount!C6</f>
        <v>3128.97924341096</v>
      </c>
      <c r="E477" s="1" t="n">
        <f aca="false">(Projection!F6/Projection!U6)*(SUMIFS(Projection!$V$4:$V$59,Projection!$B$4:$B$59,"&gt;="&amp;(Assumptions!$B$4+2))+SUMIFS($G$415:$G$470,$B$415:$B$470,"&gt;="&amp;(Assumptions!$B$4+2)))/Discount!C6</f>
        <v>11874.5915332115</v>
      </c>
      <c r="F477" s="1" t="n">
        <f aca="false">(SUMIFS(Projection!$W$4:$W$59,Projection!$B$4:$B$59,"&gt;="&amp;(Assumptions!$B$4+2))+SUMIFS($D$415:$D$470,$B$415:$B$470,"&gt;="&amp;(Assumptions!$B$4+2)))/Discount!C6</f>
        <v>7731.07612509933</v>
      </c>
      <c r="G477" s="1" t="n">
        <f aca="false">MAX(0,C477-B477)</f>
        <v>15576.3899438522</v>
      </c>
      <c r="H477" s="1" t="n">
        <f aca="false">MAX(MAX(0,D477-B477),MAX(0,E477-B477),IF(A477&lt;Assumptions!$B$6,MAX(0,-Assumptions!$B$22*B477),0))</f>
        <v>4545.54438833486</v>
      </c>
      <c r="I477" s="1" t="n">
        <f aca="false">MAX(0,F477-B477)</f>
        <v>402.028980222689</v>
      </c>
      <c r="J477" s="1" t="n">
        <f aca="false">SQRT(G477^2+H477^2+I477^2+2*Assumptions!$B$26*G477*H477+2*Assumptions!$B$27*G477*I477+2*Assumptions!$B$28*H477*I477)</f>
        <v>17430.0783525903</v>
      </c>
      <c r="K477" s="1" t="n">
        <f aca="false">J477*Discount!C6</f>
        <v>16549.4869756257</v>
      </c>
      <c r="L477" s="1" t="n">
        <f aca="false">Assumptions!$B$29*SUM(K477:K530)/Discount!C6</f>
        <v>19769.9997475485</v>
      </c>
      <c r="M477" s="73" t="n">
        <f aca="false">Projection!F6</f>
        <v>0.928451921141693</v>
      </c>
      <c r="N477" s="1" t="n">
        <f aca="false">I328</f>
        <v>3949.2058434192</v>
      </c>
      <c r="O477" s="1" t="n">
        <f aca="false">IF(M477&lt;=0,0,MAX(0,(J477+L477-N477)/M477))</f>
        <v>35813.2408362426</v>
      </c>
      <c r="P477" s="1" t="n">
        <f aca="false">SQRT(MAX(0,RiskMargin!C6-RiskMargin!B6)^2+MAX(MAX(0,RiskMargin!D6-RiskMargin!B6),MAX(0,RiskMargin!E6-RiskMargin!B6),IF(2&lt;Assumptions!$B$6,MAX(0,-Assumptions!$B$22*RiskMargin!B6),0))^2+MAX(0,RiskMargin!F6-RiskMargin!B6)^2+2*Assumptions!$B$26*MAX(0,RiskMargin!C6-RiskMargin!B6)*MAX(MAX(0,RiskMargin!D6-RiskMargin!B6),MAX(0,RiskMargin!E6-RiskMargin!B6),IF(2&lt;Assumptions!$B$6,MAX(0,-Assumptions!$B$22*RiskMargin!B6),0))+2*Assumptions!$B$27*MAX(0,RiskMargin!C6-RiskMargin!B6)*MAX(0,RiskMargin!F6-RiskMargin!B6)+2*Assumptions!$B$28*MAX(MAX(0,RiskMargin!D6-RiskMargin!B6),MAX(0,RiskMargin!E6-RiskMargin!B6),IF(2&lt;Assumptions!$B$6,MAX(0,-Assumptions!$B$22*RiskMargin!B6),0))*MAX(0,RiskMargin!F6-RiskMargin!B6))</f>
        <v>17426.2697968519</v>
      </c>
      <c r="Q477" s="1" t="n">
        <f aca="false">P477-RiskMargin!J6</f>
        <v>0</v>
      </c>
      <c r="R477" s="1" t="n">
        <f aca="false">SUMIFS(Projection!$P$4:$P$59,Projection!$B$4:$B$59,"&gt;="&amp;(Assumptions!$B$4+2))/Discount!C6</f>
        <v>7173.467679121</v>
      </c>
      <c r="S477" s="1" t="n">
        <f aca="false">R477-RiskMargin!B6</f>
        <v>0</v>
      </c>
    </row>
    <row r="478" customFormat="false" ht="15" hidden="false" customHeight="true" outlineLevel="0" collapsed="false">
      <c r="A478" s="1" t="n">
        <v>3</v>
      </c>
      <c r="B478" s="1" t="n">
        <f aca="false">(SUMIFS(Projection!$P$4:$P$59,Projection!$B$4:$B$59,"&gt;="&amp;(Assumptions!$B$4+3))+SUMIFS($D$415:$D$470,$B$415:$B$470,"&gt;="&amp;(Assumptions!$B$4+3)))/Discount!C7</f>
        <v>18570.4800499467</v>
      </c>
      <c r="C478" s="1" t="n">
        <f aca="false">(Projection!F7/Projection!Q7)*(SUMIFS(Projection!$R$4:$R$59,Projection!$B$4:$B$59,"&gt;="&amp;(Assumptions!$B$4+3))+SUMIFS($E$415:$E$470,$B$415:$B$470,"&gt;="&amp;(Assumptions!$B$4+3)))/Discount!C7</f>
        <v>34512.1750214668</v>
      </c>
      <c r="D478" s="1" t="n">
        <f aca="false">(Projection!F7/Projection!S7)*(SUMIFS(Projection!$T$4:$T$59,Projection!$B$4:$B$59,"&gt;="&amp;(Assumptions!$B$4+3))+SUMIFS($F$415:$F$470,$B$415:$B$470,"&gt;="&amp;(Assumptions!$B$4+3)))/Discount!C7</f>
        <v>14357.1322266241</v>
      </c>
      <c r="E478" s="1" t="n">
        <f aca="false">(Projection!F7/Projection!U7)*(SUMIFS(Projection!$V$4:$V$59,Projection!$B$4:$B$59,"&gt;="&amp;(Assumptions!$B$4+3))+SUMIFS($G$415:$G$470,$B$415:$B$470,"&gt;="&amp;(Assumptions!$B$4+3)))/Discount!C7</f>
        <v>23079.5697801113</v>
      </c>
      <c r="F478" s="1" t="n">
        <f aca="false">(SUMIFS(Projection!$W$4:$W$59,Projection!$B$4:$B$59,"&gt;="&amp;(Assumptions!$B$4+3))+SUMIFS($D$415:$D$470,$B$415:$B$470,"&gt;="&amp;(Assumptions!$B$4+3)))/Discount!C7</f>
        <v>18973.0635191727</v>
      </c>
      <c r="G478" s="1" t="n">
        <f aca="false">MAX(0,C478-B478)</f>
        <v>15941.6949715202</v>
      </c>
      <c r="H478" s="1" t="n">
        <f aca="false">MAX(MAX(0,D478-B478),MAX(0,E478-B478),IF(A478&lt;Assumptions!$B$6,MAX(0,-Assumptions!$B$22*B478),0))</f>
        <v>4509.08973016462</v>
      </c>
      <c r="I478" s="1" t="n">
        <f aca="false">MAX(0,F478-B478)</f>
        <v>402.583469226054</v>
      </c>
      <c r="J478" s="1" t="n">
        <f aca="false">SQRT(G478^2+H478^2+I478^2+2*Assumptions!$B$26*G478*H478+2*Assumptions!$B$27*G478*I478+2*Assumptions!$B$28*H478*I478)</f>
        <v>17765.0523547841</v>
      </c>
      <c r="K478" s="1" t="n">
        <f aca="false">J478*Discount!C7</f>
        <v>16436.8910682711</v>
      </c>
      <c r="L478" s="1" t="n">
        <f aca="false">Assumptions!$B$29*SUM(K478:K530)/Discount!C7</f>
        <v>19214.7689785025</v>
      </c>
      <c r="M478" s="73" t="n">
        <f aca="false">Projection!F7</f>
        <v>0.910458495120298</v>
      </c>
      <c r="N478" s="1" t="n">
        <f aca="false">I329</f>
        <v>4052.67504113455</v>
      </c>
      <c r="O478" s="1" t="n">
        <f aca="false">IF(M478&lt;=0,0,MAX(0,(J478+L478-N478)/M478))</f>
        <v>36165.4556123412</v>
      </c>
      <c r="P478" s="1" t="n">
        <f aca="false">SQRT(MAX(0,RiskMargin!C7-RiskMargin!B7)^2+MAX(MAX(0,RiskMargin!D7-RiskMargin!B7),MAX(0,RiskMargin!E7-RiskMargin!B7),IF(3&lt;Assumptions!$B$6,MAX(0,-Assumptions!$B$22*RiskMargin!B7),0))^2+MAX(0,RiskMargin!F7-RiskMargin!B7)^2+2*Assumptions!$B$26*MAX(0,RiskMargin!C7-RiskMargin!B7)*MAX(MAX(0,RiskMargin!D7-RiskMargin!B7),MAX(0,RiskMargin!E7-RiskMargin!B7),IF(3&lt;Assumptions!$B$6,MAX(0,-Assumptions!$B$22*RiskMargin!B7),0))+2*Assumptions!$B$27*MAX(0,RiskMargin!C7-RiskMargin!B7)*MAX(0,RiskMargin!F7-RiskMargin!B7)+2*Assumptions!$B$28*MAX(MAX(0,RiskMargin!D7-RiskMargin!B7),MAX(0,RiskMargin!E7-RiskMargin!B7),IF(3&lt;Assumptions!$B$6,MAX(0,-Assumptions!$B$22*RiskMargin!B7),0))*MAX(0,RiskMargin!F7-RiskMargin!B7))</f>
        <v>17761.8298453481</v>
      </c>
      <c r="Q478" s="1" t="n">
        <f aca="false">P478-RiskMargin!J7</f>
        <v>0</v>
      </c>
      <c r="R478" s="1" t="n">
        <f aca="false">SUMIFS(Projection!$P$4:$P$59,Projection!$B$4:$B$59,"&gt;="&amp;(Assumptions!$B$4+3))/Discount!C7</f>
        <v>18427.0747553113</v>
      </c>
      <c r="S478" s="1" t="n">
        <f aca="false">R478-RiskMargin!B7</f>
        <v>0</v>
      </c>
    </row>
    <row r="479" customFormat="false" ht="15" hidden="false" customHeight="true" outlineLevel="0" collapsed="false">
      <c r="A479" s="1" t="n">
        <v>4</v>
      </c>
      <c r="B479" s="1" t="n">
        <f aca="false">(SUMIFS(Projection!$P$4:$P$59,Projection!$B$4:$B$59,"&gt;="&amp;(Assumptions!$B$4+4))+SUMIFS($D$415:$D$470,$B$415:$B$470,"&gt;="&amp;(Assumptions!$B$4+4)))/Discount!C8</f>
        <v>29905.4368127905</v>
      </c>
      <c r="C479" s="1" t="n">
        <f aca="false">(Projection!F8/Projection!Q8)*(SUMIFS(Projection!$R$4:$R$59,Projection!$B$4:$B$59,"&gt;="&amp;(Assumptions!$B$4+4))+SUMIFS($E$415:$E$470,$B$415:$B$470,"&gt;="&amp;(Assumptions!$B$4+4)))/Discount!C8</f>
        <v>46210.2480795303</v>
      </c>
      <c r="D479" s="1" t="n">
        <f aca="false">(Projection!F8/Projection!S8)*(SUMIFS(Projection!$T$4:$T$59,Projection!$B$4:$B$59,"&gt;="&amp;(Assumptions!$B$4+4))+SUMIFS($F$415:$F$470,$B$415:$B$470,"&gt;="&amp;(Assumptions!$B$4+4)))/Discount!C8</f>
        <v>25753.0743581758</v>
      </c>
      <c r="E479" s="1" t="n">
        <f aca="false">(Projection!F8/Projection!U8)*(SUMIFS(Projection!$V$4:$V$59,Projection!$B$4:$B$59,"&gt;="&amp;(Assumptions!$B$4+4))+SUMIFS($G$415:$G$470,$B$415:$B$470,"&gt;="&amp;(Assumptions!$B$4+4)))/Discount!C8</f>
        <v>34303.814536524</v>
      </c>
      <c r="F479" s="1" t="n">
        <f aca="false">(SUMIFS(Projection!$W$4:$W$59,Projection!$B$4:$B$59,"&gt;="&amp;(Assumptions!$B$4+4))+SUMIFS($D$415:$D$470,$B$415:$B$470,"&gt;="&amp;(Assumptions!$B$4+4)))/Discount!C8</f>
        <v>30307.8391148219</v>
      </c>
      <c r="G479" s="1" t="n">
        <f aca="false">MAX(0,C479-B479)</f>
        <v>16304.8112667399</v>
      </c>
      <c r="H479" s="1" t="n">
        <f aca="false">MAX(MAX(0,D479-B479),MAX(0,E479-B479),IF(A479&lt;Assumptions!$B$6,MAX(0,-Assumptions!$B$22*B479),0))</f>
        <v>4398.37772373348</v>
      </c>
      <c r="I479" s="1" t="n">
        <f aca="false">MAX(0,F479-B479)</f>
        <v>402.402302031423</v>
      </c>
      <c r="J479" s="1" t="n">
        <f aca="false">SQRT(G479^2+H479^2+I479^2+2*Assumptions!$B$26*G479*H479+2*Assumptions!$B$27*G479*I479+2*Assumptions!$B$28*H479*I479)</f>
        <v>18062.7336830606</v>
      </c>
      <c r="K479" s="1" t="n">
        <f aca="false">J479*Discount!C8</f>
        <v>16277.383901737</v>
      </c>
      <c r="L479" s="1" t="n">
        <f aca="false">Assumptions!$B$29*SUM(K479:K530)/Discount!C8</f>
        <v>18633.8050604731</v>
      </c>
      <c r="M479" s="73" t="n">
        <f aca="false">Projection!F8</f>
        <v>0.89228176534528</v>
      </c>
      <c r="N479" s="1" t="n">
        <f aca="false">I330</f>
        <v>4160.96285945836</v>
      </c>
      <c r="O479" s="1" t="n">
        <f aca="false">IF(M479&lt;=0,0,MAX(0,(J479+L479-N479)/M479))</f>
        <v>36463.3428001135</v>
      </c>
      <c r="P479" s="1" t="n">
        <f aca="false">SQRT(MAX(0,RiskMargin!C8-RiskMargin!B8)^2+MAX(MAX(0,RiskMargin!D8-RiskMargin!B8),MAX(0,RiskMargin!E8-RiskMargin!B8),IF(4&lt;Assumptions!$B$6,MAX(0,-Assumptions!$B$22*RiskMargin!B8),0))^2+MAX(0,RiskMargin!F8-RiskMargin!B8)^2+2*Assumptions!$B$26*MAX(0,RiskMargin!C8-RiskMargin!B8)*MAX(MAX(0,RiskMargin!D8-RiskMargin!B8),MAX(0,RiskMargin!E8-RiskMargin!B8),IF(4&lt;Assumptions!$B$6,MAX(0,-Assumptions!$B$22*RiskMargin!B8),0))+2*Assumptions!$B$27*MAX(0,RiskMargin!C8-RiskMargin!B8)*MAX(0,RiskMargin!F8-RiskMargin!B8)+2*Assumptions!$B$28*MAX(MAX(0,RiskMargin!D8-RiskMargin!B8),MAX(0,RiskMargin!E8-RiskMargin!B8),IF(4&lt;Assumptions!$B$6,MAX(0,-Assumptions!$B$22*RiskMargin!B8),0))*MAX(0,RiskMargin!F8-RiskMargin!B8))</f>
        <v>18060.0661681813</v>
      </c>
      <c r="Q479" s="1" t="n">
        <f aca="false">P479-RiskMargin!J8</f>
        <v>0</v>
      </c>
      <c r="R479" s="1" t="n">
        <f aca="false">SUMIFS(Projection!$P$4:$P$59,Projection!$B$4:$B$59,"&gt;="&amp;(Assumptions!$B$4+4))/Discount!C8</f>
        <v>29774.1432137266</v>
      </c>
      <c r="S479" s="1" t="n">
        <f aca="false">R479-RiskMargin!B8</f>
        <v>0</v>
      </c>
    </row>
    <row r="480" customFormat="false" ht="15" hidden="false" customHeight="true" outlineLevel="0" collapsed="false">
      <c r="A480" s="1" t="n">
        <v>5</v>
      </c>
      <c r="B480" s="1" t="n">
        <f aca="false">(SUMIFS(Projection!$P$4:$P$59,Projection!$B$4:$B$59,"&gt;="&amp;(Assumptions!$B$4+5))+SUMIFS($D$415:$D$470,$B$415:$B$470,"&gt;="&amp;(Assumptions!$B$4+5)))/Discount!C9</f>
        <v>41376.8143067398</v>
      </c>
      <c r="C480" s="1" t="n">
        <f aca="false">(Projection!F9/Projection!Q9)*(SUMIFS(Projection!$R$4:$R$59,Projection!$B$4:$B$59,"&gt;="&amp;(Assumptions!$B$4+5))+SUMIFS($E$415:$E$470,$B$415:$B$470,"&gt;="&amp;(Assumptions!$B$4+5)))/Discount!C9</f>
        <v>58051.4569844849</v>
      </c>
      <c r="D480" s="1" t="n">
        <f aca="false">(Projection!F9/Projection!S9)*(SUMIFS(Projection!$T$4:$T$59,Projection!$B$4:$B$59,"&gt;="&amp;(Assumptions!$B$4+5))+SUMIFS($F$415:$F$470,$B$415:$B$470,"&gt;="&amp;(Assumptions!$B$4+5)))/Discount!C9</f>
        <v>37359.9321601889</v>
      </c>
      <c r="E480" s="1" t="n">
        <f aca="false">(Projection!F9/Projection!U9)*(SUMIFS(Projection!$V$4:$V$59,Projection!$B$4:$B$59,"&gt;="&amp;(Assumptions!$B$4+5))+SUMIFS($G$415:$G$470,$B$415:$B$470,"&gt;="&amp;(Assumptions!$B$4+5)))/Discount!C9</f>
        <v>45591.1276004322</v>
      </c>
      <c r="F480" s="1" t="n">
        <f aca="false">(SUMIFS(Projection!$W$4:$W$59,Projection!$B$4:$B$59,"&gt;="&amp;(Assumptions!$B$4+5))+SUMIFS($D$415:$D$470,$B$415:$B$470,"&gt;="&amp;(Assumptions!$B$4+5)))/Discount!C9</f>
        <v>41778.5693217431</v>
      </c>
      <c r="G480" s="1" t="n">
        <f aca="false">MAX(0,C480-B480)</f>
        <v>16674.6426777451</v>
      </c>
      <c r="H480" s="1" t="n">
        <f aca="false">MAX(MAX(0,D480-B480),MAX(0,E480-B480),IF(A480&lt;Assumptions!$B$6,MAX(0,-Assumptions!$B$22*B480),0))</f>
        <v>4214.31329369247</v>
      </c>
      <c r="I480" s="1" t="n">
        <f aca="false">MAX(0,F480-B480)</f>
        <v>401.755015003371</v>
      </c>
      <c r="J480" s="1" t="n">
        <f aca="false">SQRT(G480^2+H480^2+I480^2+2*Assumptions!$B$26*G480*H480+2*Assumptions!$B$27*G480*I480+2*Assumptions!$B$28*H480*I480)</f>
        <v>18334.2389635423</v>
      </c>
      <c r="K480" s="1" t="n">
        <f aca="false">J480*Discount!C9</f>
        <v>16071.8632147455</v>
      </c>
      <c r="L480" s="1" t="n">
        <f aca="false">Assumptions!$B$29*SUM(K480:K530)/Discount!C9</f>
        <v>18041.6363161351</v>
      </c>
      <c r="M480" s="73" t="n">
        <f aca="false">Projection!F9</f>
        <v>0.873874922230056</v>
      </c>
      <c r="N480" s="1" t="n">
        <f aca="false">I331</f>
        <v>4277.51584548299</v>
      </c>
      <c r="O480" s="1" t="n">
        <f aca="false">IF(M480&lt;=0,0,MAX(0,(J480+L480-N480)/M480))</f>
        <v>36731.0682772337</v>
      </c>
      <c r="P480" s="1" t="n">
        <f aca="false">SQRT(MAX(0,RiskMargin!C9-RiskMargin!B9)^2+MAX(MAX(0,RiskMargin!D9-RiskMargin!B9),MAX(0,RiskMargin!E9-RiskMargin!B9),IF(5&lt;Assumptions!$B$6,MAX(0,-Assumptions!$B$22*RiskMargin!B9),0))^2+MAX(0,RiskMargin!F9-RiskMargin!B9)^2+2*Assumptions!$B$26*MAX(0,RiskMargin!C9-RiskMargin!B9)*MAX(MAX(0,RiskMargin!D9-RiskMargin!B9),MAX(0,RiskMargin!E9-RiskMargin!B9),IF(5&lt;Assumptions!$B$6,MAX(0,-Assumptions!$B$22*RiskMargin!B9),0))+2*Assumptions!$B$27*MAX(0,RiskMargin!C9-RiskMargin!B9)*MAX(0,RiskMargin!F9-RiskMargin!B9)+2*Assumptions!$B$28*MAX(MAX(0,RiskMargin!D9-RiskMargin!B9),MAX(0,RiskMargin!E9-RiskMargin!B9),IF(5&lt;Assumptions!$B$6,MAX(0,-Assumptions!$B$22*RiskMargin!B9),0))*MAX(0,RiskMargin!F9-RiskMargin!B9))</f>
        <v>18332.0884072738</v>
      </c>
      <c r="Q480" s="1" t="n">
        <f aca="false">P480-RiskMargin!J9</f>
        <v>0</v>
      </c>
      <c r="R480" s="1" t="n">
        <f aca="false">SUMIFS(Projection!$P$4:$P$59,Projection!$B$4:$B$59,"&gt;="&amp;(Assumptions!$B$4+5))/Discount!C9</f>
        <v>41257.4878766723</v>
      </c>
      <c r="S480" s="1" t="n">
        <f aca="false">R480-RiskMargin!B9</f>
        <v>0</v>
      </c>
    </row>
    <row r="481" customFormat="false" ht="15" hidden="false" customHeight="true" outlineLevel="0" collapsed="false">
      <c r="A481" s="1" t="n">
        <v>6</v>
      </c>
      <c r="B481" s="1" t="n">
        <f aca="false">(SUMIFS(Projection!$P$4:$P$59,Projection!$B$4:$B$59,"&gt;="&amp;(Assumptions!$B$4+6))+SUMIFS($D$415:$D$470,$B$415:$B$470,"&gt;="&amp;(Assumptions!$B$4+6)))/Discount!C10</f>
        <v>52994.5256756043</v>
      </c>
      <c r="C481" s="1" t="n">
        <f aca="false">(Projection!F10/Projection!Q10)*(SUMIFS(Projection!$R$4:$R$59,Projection!$B$4:$B$59,"&gt;="&amp;(Assumptions!$B$4+6))+SUMIFS($E$415:$E$470,$B$415:$B$470,"&gt;="&amp;(Assumptions!$B$4+6)))/Discount!C10</f>
        <v>70031.2796796932</v>
      </c>
      <c r="D481" s="1" t="n">
        <f aca="false">(Projection!F10/Projection!S10)*(SUMIFS(Projection!$T$4:$T$59,Projection!$B$4:$B$59,"&gt;="&amp;(Assumptions!$B$4+6))+SUMIFS($F$415:$F$470,$B$415:$B$470,"&gt;="&amp;(Assumptions!$B$4+6)))/Discount!C10</f>
        <v>49086.9039494152</v>
      </c>
      <c r="E481" s="1" t="n">
        <f aca="false">(Projection!F10/Projection!U10)*(SUMIFS(Projection!$V$4:$V$59,Projection!$B$4:$B$59,"&gt;="&amp;(Assumptions!$B$4+6))+SUMIFS($G$415:$G$470,$B$415:$B$470,"&gt;="&amp;(Assumptions!$B$4+6)))/Discount!C10</f>
        <v>57068.6362777336</v>
      </c>
      <c r="F481" s="1" t="n">
        <f aca="false">(SUMIFS(Projection!$W$4:$W$59,Projection!$B$4:$B$59,"&gt;="&amp;(Assumptions!$B$4+6))+SUMIFS($D$415:$D$470,$B$415:$B$470,"&gt;="&amp;(Assumptions!$B$4+6)))/Discount!C10</f>
        <v>53394.9901224798</v>
      </c>
      <c r="G481" s="1" t="n">
        <f aca="false">MAX(0,C481-B481)</f>
        <v>17036.7540040888</v>
      </c>
      <c r="H481" s="1" t="n">
        <f aca="false">MAX(MAX(0,D481-B481),MAX(0,E481-B481),IF(A481&lt;Assumptions!$B$6,MAX(0,-Assumptions!$B$22*B481),0))</f>
        <v>4074.11060212926</v>
      </c>
      <c r="I481" s="1" t="n">
        <f aca="false">MAX(0,F481-B481)</f>
        <v>400.464446875492</v>
      </c>
      <c r="J481" s="1" t="n">
        <f aca="false">SQRT(G481^2+H481^2+I481^2+2*Assumptions!$B$26*G481*H481+2*Assumptions!$B$27*G481*I481+2*Assumptions!$B$28*H481*I481)</f>
        <v>18621.4228674284</v>
      </c>
      <c r="K481" s="1" t="n">
        <f aca="false">J481*Discount!C10</f>
        <v>15864.9230389998</v>
      </c>
      <c r="L481" s="1" t="n">
        <f aca="false">Assumptions!$B$29*SUM(K481:K530)/Discount!C10</f>
        <v>17431.3970147465</v>
      </c>
      <c r="M481" s="73" t="n">
        <f aca="false">Projection!F10</f>
        <v>0.858567656672851</v>
      </c>
      <c r="N481" s="1" t="n">
        <f aca="false">I332</f>
        <v>4401.18738821967</v>
      </c>
      <c r="O481" s="1" t="n">
        <f aca="false">IF(M481&lt;=0,0,MAX(0,(J481+L481-N481)/M481))</f>
        <v>36865.6240984113</v>
      </c>
      <c r="P481" s="1" t="n">
        <f aca="false">SQRT(MAX(0,RiskMargin!C10-RiskMargin!B10)^2+MAX(MAX(0,RiskMargin!D10-RiskMargin!B10),MAX(0,RiskMargin!E10-RiskMargin!B10),IF(6&lt;Assumptions!$B$6,MAX(0,-Assumptions!$B$22*RiskMargin!B10),0))^2+MAX(0,RiskMargin!F10-RiskMargin!B10)^2+2*Assumptions!$B$26*MAX(0,RiskMargin!C10-RiskMargin!B10)*MAX(MAX(0,RiskMargin!D10-RiskMargin!B10),MAX(0,RiskMargin!E10-RiskMargin!B10),IF(6&lt;Assumptions!$B$6,MAX(0,-Assumptions!$B$22*RiskMargin!B10),0))+2*Assumptions!$B$27*MAX(0,RiskMargin!C10-RiskMargin!B10)*MAX(0,RiskMargin!F10-RiskMargin!B10)+2*Assumptions!$B$28*MAX(MAX(0,RiskMargin!D10-RiskMargin!B10),MAX(0,RiskMargin!E10-RiskMargin!B10),IF(6&lt;Assumptions!$B$6,MAX(0,-Assumptions!$B$22*RiskMargin!B10),0))*MAX(0,RiskMargin!F10-RiskMargin!B10))</f>
        <v>18619.6410483728</v>
      </c>
      <c r="Q481" s="1" t="n">
        <f aca="false">P481-RiskMargin!J10</f>
        <v>0</v>
      </c>
      <c r="R481" s="1" t="n">
        <f aca="false">SUMIFS(Projection!$P$4:$P$59,Projection!$B$4:$B$59,"&gt;="&amp;(Assumptions!$B$4+6))/Discount!C10</f>
        <v>52887.0848130852</v>
      </c>
      <c r="S481" s="1" t="n">
        <f aca="false">R481-RiskMargin!B10</f>
        <v>0</v>
      </c>
    </row>
    <row r="482" customFormat="false" ht="15" hidden="false" customHeight="true" outlineLevel="0" collapsed="false">
      <c r="A482" s="1" t="n">
        <v>7</v>
      </c>
      <c r="B482" s="1" t="n">
        <f aca="false">(SUMIFS(Projection!$P$4:$P$59,Projection!$B$4:$B$59,"&gt;="&amp;(Assumptions!$B$4+7))+SUMIFS($D$415:$D$470,$B$415:$B$470,"&gt;="&amp;(Assumptions!$B$4+7)))/Discount!C11</f>
        <v>64841.0762316043</v>
      </c>
      <c r="C482" s="1" t="n">
        <f aca="false">(Projection!F11/Projection!Q11)*(SUMIFS(Projection!$R$4:$R$59,Projection!$B$4:$B$59,"&gt;="&amp;(Assumptions!$B$4+7))+SUMIFS($E$415:$E$470,$B$415:$B$470,"&gt;="&amp;(Assumptions!$B$4+7)))/Discount!C11</f>
        <v>82235.3675482913</v>
      </c>
      <c r="D482" s="1" t="n">
        <f aca="false">(Projection!F11/Projection!S11)*(SUMIFS(Projection!$T$4:$T$59,Projection!$B$4:$B$59,"&gt;="&amp;(Assumptions!$B$4+7))+SUMIFS($F$415:$F$470,$B$415:$B$470,"&gt;="&amp;(Assumptions!$B$4+7)))/Discount!C11</f>
        <v>61096.2039551745</v>
      </c>
      <c r="E482" s="1" t="n">
        <f aca="false">(Projection!F11/Projection!U11)*(SUMIFS(Projection!$V$4:$V$59,Projection!$B$4:$B$59,"&gt;="&amp;(Assumptions!$B$4+7))+SUMIFS($G$415:$G$470,$B$415:$B$470,"&gt;="&amp;(Assumptions!$B$4+7)))/Discount!C11</f>
        <v>68722.4379892908</v>
      </c>
      <c r="F482" s="1" t="n">
        <f aca="false">(SUMIFS(Projection!$W$4:$W$59,Projection!$B$4:$B$59,"&gt;="&amp;(Assumptions!$B$4+7))+SUMIFS($D$415:$D$470,$B$415:$B$470,"&gt;="&amp;(Assumptions!$B$4+7)))/Discount!C11</f>
        <v>65239.6521579196</v>
      </c>
      <c r="G482" s="1" t="n">
        <f aca="false">MAX(0,C482-B482)</f>
        <v>17394.291316687</v>
      </c>
      <c r="H482" s="1" t="n">
        <f aca="false">MAX(MAX(0,D482-B482),MAX(0,E482-B482),IF(A482&lt;Assumptions!$B$6,MAX(0,-Assumptions!$B$22*B482),0))</f>
        <v>3881.36175768656</v>
      </c>
      <c r="I482" s="1" t="n">
        <f aca="false">MAX(0,F482-B482)</f>
        <v>398.575926315294</v>
      </c>
      <c r="J482" s="1" t="n">
        <f aca="false">SQRT(G482^2+H482^2+I482^2+2*Assumptions!$B$26*G482*H482+2*Assumptions!$B$27*G482*I482+2*Assumptions!$B$28*H482*I482)</f>
        <v>18882.6762159704</v>
      </c>
      <c r="K482" s="1" t="n">
        <f aca="false">J482*Discount!C11</f>
        <v>15616.7526782736</v>
      </c>
      <c r="L482" s="1" t="n">
        <f aca="false">Assumptions!$B$29*SUM(K482:K530)/Discount!C11</f>
        <v>16805.8835928826</v>
      </c>
      <c r="M482" s="73" t="n">
        <f aca="false">Projection!F11</f>
        <v>0.84276021626017</v>
      </c>
      <c r="N482" s="1" t="n">
        <f aca="false">I333</f>
        <v>4533.85661057288</v>
      </c>
      <c r="O482" s="1" t="n">
        <f aca="false">IF(M482&lt;=0,0,MAX(0,(J482+L482-N482)/M482))</f>
        <v>36967.458355512</v>
      </c>
      <c r="P482" s="1" t="n">
        <f aca="false">SQRT(MAX(0,RiskMargin!C11-RiskMargin!B11)^2+MAX(MAX(0,RiskMargin!D11-RiskMargin!B11),MAX(0,RiskMargin!E11-RiskMargin!B11),IF(7&lt;Assumptions!$B$6,MAX(0,-Assumptions!$B$22*RiskMargin!B11),0))^2+MAX(0,RiskMargin!F11-RiskMargin!B11)^2+2*Assumptions!$B$26*MAX(0,RiskMargin!C11-RiskMargin!B11)*MAX(MAX(0,RiskMargin!D11-RiskMargin!B11),MAX(0,RiskMargin!E11-RiskMargin!B11),IF(7&lt;Assumptions!$B$6,MAX(0,-Assumptions!$B$22*RiskMargin!B11),0))+2*Assumptions!$B$27*MAX(0,RiskMargin!C11-RiskMargin!B11)*MAX(0,RiskMargin!F11-RiskMargin!B11)+2*Assumptions!$B$28*MAX(MAX(0,RiskMargin!D11-RiskMargin!B11),MAX(0,RiskMargin!E11-RiskMargin!B11),IF(7&lt;Assumptions!$B$6,MAX(0,-Assumptions!$B$22*RiskMargin!B11),0))*MAX(0,RiskMargin!F11-RiskMargin!B11))</f>
        <v>18881.2375975217</v>
      </c>
      <c r="Q482" s="1" t="n">
        <f aca="false">P482-RiskMargin!J11</f>
        <v>0</v>
      </c>
      <c r="R482" s="1" t="n">
        <f aca="false">SUMIFS(Projection!$P$4:$P$59,Projection!$B$4:$B$59,"&gt;="&amp;(Assumptions!$B$4+7))/Discount!C11</f>
        <v>64745.4816240629</v>
      </c>
      <c r="S482" s="1" t="n">
        <f aca="false">R482-RiskMargin!B11</f>
        <v>0</v>
      </c>
    </row>
    <row r="483" customFormat="false" ht="15" hidden="false" customHeight="true" outlineLevel="0" collapsed="false">
      <c r="A483" s="1" t="n">
        <v>8</v>
      </c>
      <c r="B483" s="1" t="n">
        <f aca="false">(SUMIFS(Projection!$P$4:$P$59,Projection!$B$4:$B$59,"&gt;="&amp;(Assumptions!$B$4+8))+SUMIFS($D$415:$D$470,$B$415:$B$470,"&gt;="&amp;(Assumptions!$B$4+8)))/Discount!C12</f>
        <v>76943.6640928479</v>
      </c>
      <c r="C483" s="1" t="n">
        <f aca="false">(Projection!F12/Projection!Q12)*(SUMIFS(Projection!$R$4:$R$59,Projection!$B$4:$B$59,"&gt;="&amp;(Assumptions!$B$4+8))+SUMIFS($E$415:$E$470,$B$415:$B$470,"&gt;="&amp;(Assumptions!$B$4+8)))/Discount!C12</f>
        <v>94683.7676924026</v>
      </c>
      <c r="D483" s="1" t="n">
        <f aca="false">(Projection!F12/Projection!S12)*(SUMIFS(Projection!$T$4:$T$59,Projection!$B$4:$B$59,"&gt;="&amp;(Assumptions!$B$4+8))+SUMIFS($F$415:$F$470,$B$415:$B$470,"&gt;="&amp;(Assumptions!$B$4+8)))/Discount!C12</f>
        <v>73418.5260898263</v>
      </c>
      <c r="E483" s="1" t="n">
        <f aca="false">(Projection!F12/Projection!U12)*(SUMIFS(Projection!$V$4:$V$59,Projection!$B$4:$B$59,"&gt;="&amp;(Assumptions!$B$4+8))+SUMIFS($G$415:$G$470,$B$415:$B$470,"&gt;="&amp;(Assumptions!$B$4+8)))/Discount!C12</f>
        <v>80576.7012123108</v>
      </c>
      <c r="F483" s="1" t="n">
        <f aca="false">(SUMIFS(Projection!$W$4:$W$59,Projection!$B$4:$B$59,"&gt;="&amp;(Assumptions!$B$4+8))+SUMIFS($D$415:$D$470,$B$415:$B$470,"&gt;="&amp;(Assumptions!$B$4+8)))/Discount!C12</f>
        <v>77339.7081091258</v>
      </c>
      <c r="G483" s="1" t="n">
        <f aca="false">MAX(0,C483-B483)</f>
        <v>17740.1035995547</v>
      </c>
      <c r="H483" s="1" t="n">
        <f aca="false">MAX(MAX(0,D483-B483),MAX(0,E483-B483),IF(A483&lt;Assumptions!$B$6,MAX(0,-Assumptions!$B$22*B483),0))</f>
        <v>3633.03711946297</v>
      </c>
      <c r="I483" s="1" t="n">
        <f aca="false">MAX(0,F483-B483)</f>
        <v>396.044016277941</v>
      </c>
      <c r="J483" s="1" t="n">
        <f aca="false">SQRT(G483^2+H483^2+I483^2+2*Assumptions!$B$26*G483*H483+2*Assumptions!$B$27*G483*I483+2*Assumptions!$B$28*H483*I483)</f>
        <v>19111.3601370694</v>
      </c>
      <c r="K483" s="1" t="n">
        <f aca="false">J483*Discount!C12</f>
        <v>15325.4866572661</v>
      </c>
      <c r="L483" s="1" t="n">
        <f aca="false">Assumptions!$B$29*SUM(K483:K530)/Discount!C12</f>
        <v>16164.2109224375</v>
      </c>
      <c r="M483" s="73" t="n">
        <f aca="false">Projection!F12</f>
        <v>0.826387919730429</v>
      </c>
      <c r="N483" s="1" t="n">
        <f aca="false">I334</f>
        <v>4675.97616936048</v>
      </c>
      <c r="O483" s="1" t="n">
        <f aca="false">IF(M483&lt;=0,0,MAX(0,(J483+L483-N483)/M483))</f>
        <v>37028.1246368269</v>
      </c>
      <c r="P483" s="1" t="n">
        <f aca="false">SQRT(MAX(0,RiskMargin!C12-RiskMargin!B12)^2+MAX(MAX(0,RiskMargin!D12-RiskMargin!B12),MAX(0,RiskMargin!E12-RiskMargin!B12),IF(8&lt;Assumptions!$B$6,MAX(0,-Assumptions!$B$22*RiskMargin!B12),0))^2+MAX(0,RiskMargin!F12-RiskMargin!B12)^2+2*Assumptions!$B$26*MAX(0,RiskMargin!C12-RiskMargin!B12)*MAX(MAX(0,RiskMargin!D12-RiskMargin!B12),MAX(0,RiskMargin!E12-RiskMargin!B12),IF(8&lt;Assumptions!$B$6,MAX(0,-Assumptions!$B$22*RiskMargin!B12),0))+2*Assumptions!$B$27*MAX(0,RiskMargin!C12-RiskMargin!B12)*MAX(0,RiskMargin!F12-RiskMargin!B12)+2*Assumptions!$B$28*MAX(MAX(0,RiskMargin!D12-RiskMargin!B12),MAX(0,RiskMargin!E12-RiskMargin!B12),IF(8&lt;Assumptions!$B$6,MAX(0,-Assumptions!$B$22*RiskMargin!B12),0))*MAX(0,RiskMargin!F12-RiskMargin!B12))</f>
        <v>19110.2370052548</v>
      </c>
      <c r="Q483" s="1" t="n">
        <f aca="false">P483-RiskMargin!J12</f>
        <v>0</v>
      </c>
      <c r="R483" s="1" t="n">
        <f aca="false">SUMIFS(Projection!$P$4:$P$59,Projection!$B$4:$B$59,"&gt;="&amp;(Assumptions!$B$4+8))/Discount!C12</f>
        <v>76859.8974446815</v>
      </c>
      <c r="S483" s="1" t="n">
        <f aca="false">R483-RiskMargin!B12</f>
        <v>0</v>
      </c>
    </row>
    <row r="484" customFormat="false" ht="15" hidden="false" customHeight="true" outlineLevel="0" collapsed="false">
      <c r="A484" s="1" t="n">
        <v>9</v>
      </c>
      <c r="B484" s="1" t="n">
        <f aca="false">(SUMIFS(Projection!$P$4:$P$59,Projection!$B$4:$B$59,"&gt;="&amp;(Assumptions!$B$4+9))+SUMIFS($D$415:$D$470,$B$415:$B$470,"&gt;="&amp;(Assumptions!$B$4+9)))/Discount!C13</f>
        <v>89318.9415654732</v>
      </c>
      <c r="C484" s="1" t="n">
        <f aca="false">(Projection!F13/Projection!Q13)*(SUMIFS(Projection!$R$4:$R$59,Projection!$B$4:$B$59,"&gt;="&amp;(Assumptions!$B$4+9))+SUMIFS($E$415:$E$470,$B$415:$B$470,"&gt;="&amp;(Assumptions!$B$4+9)))/Discount!C13</f>
        <v>107382.148757156</v>
      </c>
      <c r="D484" s="1" t="n">
        <f aca="false">(Projection!F13/Projection!S13)*(SUMIFS(Projection!$T$4:$T$59,Projection!$B$4:$B$59,"&gt;="&amp;(Assumptions!$B$4+9))+SUMIFS($F$415:$F$470,$B$415:$B$470,"&gt;="&amp;(Assumptions!$B$4+9)))/Discount!C13</f>
        <v>86074.8318117454</v>
      </c>
      <c r="E484" s="1" t="n">
        <f aca="false">(Projection!F13/Projection!U13)*(SUMIFS(Projection!$V$4:$V$59,Projection!$B$4:$B$59,"&gt;="&amp;(Assumptions!$B$4+9))+SUMIFS($G$415:$G$470,$B$415:$B$470,"&gt;="&amp;(Assumptions!$B$4+9)))/Discount!C13</f>
        <v>92644.2806978179</v>
      </c>
      <c r="F484" s="1" t="n">
        <f aca="false">(SUMIFS(Projection!$W$4:$W$59,Projection!$B$4:$B$59,"&gt;="&amp;(Assumptions!$B$4+9))+SUMIFS($D$415:$D$470,$B$415:$B$470,"&gt;="&amp;(Assumptions!$B$4+9)))/Discount!C13</f>
        <v>89711.7200643295</v>
      </c>
      <c r="G484" s="1" t="n">
        <f aca="false">MAX(0,C484-B484)</f>
        <v>18063.2071916831</v>
      </c>
      <c r="H484" s="1" t="n">
        <f aca="false">MAX(MAX(0,D484-B484),MAX(0,E484-B484),IF(A484&lt;Assumptions!$B$6,MAX(0,-Assumptions!$B$22*B484),0))</f>
        <v>3325.33913234469</v>
      </c>
      <c r="I484" s="1" t="n">
        <f aca="false">MAX(0,F484-B484)</f>
        <v>392.778498856249</v>
      </c>
      <c r="J484" s="1" t="n">
        <f aca="false">SQRT(G484^2+H484^2+I484^2+2*Assumptions!$B$26*G484*H484+2*Assumptions!$B$27*G484*I484+2*Assumptions!$B$28*H484*I484)</f>
        <v>19297.1058872631</v>
      </c>
      <c r="K484" s="1" t="n">
        <f aca="false">J484*Discount!C13</f>
        <v>14988.8228753084</v>
      </c>
      <c r="L484" s="1" t="n">
        <f aca="false">Assumptions!$B$29*SUM(K484:K530)/Discount!C13</f>
        <v>15504.0735016573</v>
      </c>
      <c r="M484" s="73" t="n">
        <f aca="false">Projection!F13</f>
        <v>0.809383922915231</v>
      </c>
      <c r="N484" s="1" t="n">
        <f aca="false">I335</f>
        <v>4827.47039841957</v>
      </c>
      <c r="O484" s="1" t="n">
        <f aca="false">IF(M484&lt;=0,0,MAX(0,(J484+L484-N484)/M484))</f>
        <v>37032.745699398</v>
      </c>
      <c r="P484" s="1" t="n">
        <f aca="false">SQRT(MAX(0,RiskMargin!C13-RiskMargin!B13)^2+MAX(MAX(0,RiskMargin!D13-RiskMargin!B13),MAX(0,RiskMargin!E13-RiskMargin!B13),IF(9&lt;Assumptions!$B$6,MAX(0,-Assumptions!$B$22*RiskMargin!B13),0))^2+MAX(0,RiskMargin!F13-RiskMargin!B13)^2+2*Assumptions!$B$26*MAX(0,RiskMargin!C13-RiskMargin!B13)*MAX(MAX(0,RiskMargin!D13-RiskMargin!B13),MAX(0,RiskMargin!E13-RiskMargin!B13),IF(9&lt;Assumptions!$B$6,MAX(0,-Assumptions!$B$22*RiskMargin!B13),0))+2*Assumptions!$B$27*MAX(0,RiskMargin!C13-RiskMargin!B13)*MAX(0,RiskMargin!F13-RiskMargin!B13)+2*Assumptions!$B$28*MAX(MAX(0,RiskMargin!D13-RiskMargin!B13),MAX(0,RiskMargin!E13-RiskMargin!B13),IF(9&lt;Assumptions!$B$6,MAX(0,-Assumptions!$B$22*RiskMargin!B13),0))*MAX(0,RiskMargin!F13-RiskMargin!B13))</f>
        <v>19296.2679614037</v>
      </c>
      <c r="Q484" s="1" t="n">
        <f aca="false">P484-RiskMargin!J13</f>
        <v>0</v>
      </c>
      <c r="R484" s="1" t="n">
        <f aca="false">SUMIFS(Projection!$P$4:$P$59,Projection!$B$4:$B$59,"&gt;="&amp;(Assumptions!$B$4+9))/Discount!C13</f>
        <v>89247.0123397098</v>
      </c>
      <c r="S484" s="1" t="n">
        <f aca="false">R484-RiskMargin!B13</f>
        <v>0</v>
      </c>
    </row>
    <row r="485" customFormat="false" ht="15" hidden="false" customHeight="true" outlineLevel="0" collapsed="false">
      <c r="A485" s="1" t="n">
        <v>10</v>
      </c>
      <c r="B485" s="1" t="n">
        <f aca="false">(SUMIFS(Projection!$P$4:$P$59,Projection!$B$4:$B$59,"&gt;="&amp;(Assumptions!$B$4+10))+SUMIFS($D$415:$D$470,$B$415:$B$470,"&gt;="&amp;(Assumptions!$B$4+10)))/Discount!C14</f>
        <v>102135.425414498</v>
      </c>
      <c r="C485" s="1" t="n">
        <f aca="false">(Projection!F14/Projection!Q14)*(SUMIFS(Projection!$R$4:$R$59,Projection!$B$4:$B$59,"&gt;="&amp;(Assumptions!$B$4+10))+SUMIFS($E$415:$E$470,$B$415:$B$470,"&gt;="&amp;(Assumptions!$B$4+10)))/Discount!C14</f>
        <v>120514.054775359</v>
      </c>
      <c r="D485" s="1" t="n">
        <f aca="false">(Projection!F14/Projection!S14)*(SUMIFS(Projection!$T$4:$T$59,Projection!$B$4:$B$59,"&gt;="&amp;(Assumptions!$B$4+10))+SUMIFS($F$415:$F$470,$B$415:$B$470,"&gt;="&amp;(Assumptions!$B$4+10)))/Discount!C14</f>
        <v>99233.7955953862</v>
      </c>
      <c r="E485" s="1" t="n">
        <f aca="false">(Projection!F14/Projection!U14)*(SUMIFS(Projection!$V$4:$V$59,Projection!$B$4:$B$59,"&gt;="&amp;(Assumptions!$B$4+10))+SUMIFS($G$415:$G$470,$B$415:$B$470,"&gt;="&amp;(Assumptions!$B$4+10)))/Discount!C14</f>
        <v>105094.208780055</v>
      </c>
      <c r="F485" s="1" t="n">
        <f aca="false">(SUMIFS(Projection!$W$4:$W$59,Projection!$B$4:$B$59,"&gt;="&amp;(Assumptions!$B$4+10))+SUMIFS($D$415:$D$470,$B$415:$B$470,"&gt;="&amp;(Assumptions!$B$4+10)))/Discount!C14</f>
        <v>102524.713644272</v>
      </c>
      <c r="G485" s="1" t="n">
        <f aca="false">MAX(0,C485-B485)</f>
        <v>18378.6293608611</v>
      </c>
      <c r="H485" s="1" t="n">
        <f aca="false">MAX(MAX(0,D485-B485),MAX(0,E485-B485),IF(A485&lt;Assumptions!$B$6,MAX(0,-Assumptions!$B$22*B485),0))</f>
        <v>2958.78336555771</v>
      </c>
      <c r="I485" s="1" t="n">
        <f aca="false">MAX(0,F485-B485)</f>
        <v>389.288229774218</v>
      </c>
      <c r="J485" s="1" t="n">
        <f aca="false">SQRT(G485^2+H485^2+I485^2+2*Assumptions!$B$26*G485*H485+2*Assumptions!$B$27*G485*I485+2*Assumptions!$B$28*H485*I485)</f>
        <v>19457.601715392</v>
      </c>
      <c r="K485" s="1" t="n">
        <f aca="false">J485*Discount!C14</f>
        <v>14603.9832521173</v>
      </c>
      <c r="L485" s="1" t="n">
        <f aca="false">Assumptions!$B$29*SUM(K485:K530)/Discount!C14</f>
        <v>14846.7583237092</v>
      </c>
      <c r="M485" s="73" t="n">
        <f aca="false">Projection!F14</f>
        <v>0.791679736545108</v>
      </c>
      <c r="N485" s="1" t="n">
        <f aca="false">I336</f>
        <v>4995.89095173791</v>
      </c>
      <c r="O485" s="1" t="n">
        <f aca="false">IF(M485&lt;=0,0,MAX(0,(J485+L485-N485)/M485))</f>
        <v>37020.6129252032</v>
      </c>
      <c r="P485" s="1" t="n">
        <f aca="false">SQRT(MAX(0,RiskMargin!C14-RiskMargin!B14)^2+MAX(MAX(0,RiskMargin!D14-RiskMargin!B14),MAX(0,RiskMargin!E14-RiskMargin!B14),IF(10&lt;Assumptions!$B$6,MAX(0,-Assumptions!$B$22*RiskMargin!B14),0))^2+MAX(0,RiskMargin!F14-RiskMargin!B14)^2+2*Assumptions!$B$26*MAX(0,RiskMargin!C14-RiskMargin!B14)*MAX(MAX(0,RiskMargin!D14-RiskMargin!B14),MAX(0,RiskMargin!E14-RiskMargin!B14),IF(10&lt;Assumptions!$B$6,MAX(0,-Assumptions!$B$22*RiskMargin!B14),0))+2*Assumptions!$B$27*MAX(0,RiskMargin!C14-RiskMargin!B14)*MAX(0,RiskMargin!F14-RiskMargin!B14)+2*Assumptions!$B$28*MAX(MAX(0,RiskMargin!D14-RiskMargin!B14),MAX(0,RiskMargin!E14-RiskMargin!B14),IF(10&lt;Assumptions!$B$6,MAX(0,-Assumptions!$B$22*RiskMargin!B14),0))*MAX(0,RiskMargin!F14-RiskMargin!B14))</f>
        <v>19457.0144705602</v>
      </c>
      <c r="Q485" s="1" t="n">
        <f aca="false">P485-RiskMargin!J14</f>
        <v>0</v>
      </c>
      <c r="R485" s="1" t="n">
        <f aca="false">SUMIFS(Projection!$P$4:$P$59,Projection!$B$4:$B$59,"&gt;="&amp;(Assumptions!$B$4+10))/Discount!C14</f>
        <v>102075.273009479</v>
      </c>
      <c r="S485" s="1" t="n">
        <f aca="false">R485-RiskMargin!B14</f>
        <v>0</v>
      </c>
    </row>
    <row r="486" customFormat="false" ht="15" hidden="false" customHeight="true" outlineLevel="0" collapsed="false">
      <c r="A486" s="1" t="n">
        <v>11</v>
      </c>
      <c r="B486" s="1" t="n">
        <f aca="false">(SUMIFS(Projection!$P$4:$P$59,Projection!$B$4:$B$59,"&gt;="&amp;(Assumptions!$B$4+11))+SUMIFS($D$415:$D$470,$B$415:$B$470,"&gt;="&amp;(Assumptions!$B$4+11)))/Discount!C15</f>
        <v>114909.506566357</v>
      </c>
      <c r="C486" s="1" t="n">
        <f aca="false">(Projection!F15/Projection!Q15)*(SUMIFS(Projection!$R$4:$R$59,Projection!$B$4:$B$59,"&gt;="&amp;(Assumptions!$B$4+11))+SUMIFS($E$415:$E$470,$B$415:$B$470,"&gt;="&amp;(Assumptions!$B$4+11)))/Discount!C15</f>
        <v>133480.684405424</v>
      </c>
      <c r="D486" s="1" t="n">
        <f aca="false">(Projection!F15/Projection!S15)*(SUMIFS(Projection!$T$4:$T$59,Projection!$B$4:$B$59,"&gt;="&amp;(Assumptions!$B$4+11))+SUMIFS($F$415:$F$470,$B$415:$B$470,"&gt;="&amp;(Assumptions!$B$4+11)))/Discount!C15</f>
        <v>112430.075718672</v>
      </c>
      <c r="E486" s="1" t="n">
        <f aca="false">(Projection!F15/Projection!U15)*(SUMIFS(Projection!$V$4:$V$59,Projection!$B$4:$B$59,"&gt;="&amp;(Assumptions!$B$4+11))+SUMIFS($G$415:$G$470,$B$415:$B$470,"&gt;="&amp;(Assumptions!$B$4+11)))/Discount!C15</f>
        <v>117425.007926064</v>
      </c>
      <c r="F486" s="1" t="n">
        <f aca="false">(SUMIFS(Projection!$W$4:$W$59,Projection!$B$4:$B$59,"&gt;="&amp;(Assumptions!$B$4+11))+SUMIFS($D$415:$D$470,$B$415:$B$470,"&gt;="&amp;(Assumptions!$B$4+11)))/Discount!C15</f>
        <v>115293.212053482</v>
      </c>
      <c r="G486" s="1" t="n">
        <f aca="false">MAX(0,C486-B486)</f>
        <v>18571.1778390667</v>
      </c>
      <c r="H486" s="1" t="n">
        <f aca="false">MAX(MAX(0,D486-B486),MAX(0,E486-B486),IF(A486&lt;Assumptions!$B$6,MAX(0,-Assumptions!$B$22*B486),0))</f>
        <v>2515.50135970666</v>
      </c>
      <c r="I486" s="1" t="n">
        <f aca="false">MAX(0,F486-B486)</f>
        <v>383.705487124797</v>
      </c>
      <c r="J486" s="1" t="n">
        <f aca="false">SQRT(G486^2+H486^2+I486^2+2*Assumptions!$B$26*G486*H486+2*Assumptions!$B$27*G486*I486+2*Assumptions!$B$28*H486*I486)</f>
        <v>19474.3338260578</v>
      </c>
      <c r="K486" s="1" t="n">
        <f aca="false">J486*Discount!C15</f>
        <v>14157.624828619</v>
      </c>
      <c r="L486" s="1" t="n">
        <f aca="false">Assumptions!$B$29*SUM(K486:K530)/Discount!C15</f>
        <v>14122.7142605271</v>
      </c>
      <c r="M486" s="73" t="n">
        <f aca="false">Projection!F15</f>
        <v>0.77280380599472</v>
      </c>
      <c r="N486" s="1" t="n">
        <f aca="false">I337</f>
        <v>5157.83182865413</v>
      </c>
      <c r="O486" s="1" t="n">
        <f aca="false">IF(M486&lt;=0,0,MAX(0,(J486+L486-N486)/M486))</f>
        <v>36800.046838958</v>
      </c>
      <c r="P486" s="1" t="n">
        <f aca="false">SQRT(MAX(0,RiskMargin!C15-RiskMargin!B15)^2+MAX(MAX(0,RiskMargin!D15-RiskMargin!B15),MAX(0,RiskMargin!E15-RiskMargin!B15),IF(11&lt;Assumptions!$B$6,MAX(0,-Assumptions!$B$22*RiskMargin!B15),0))^2+MAX(0,RiskMargin!F15-RiskMargin!B15)^2+2*Assumptions!$B$26*MAX(0,RiskMargin!C15-RiskMargin!B15)*MAX(MAX(0,RiskMargin!D15-RiskMargin!B15),MAX(0,RiskMargin!E15-RiskMargin!B15),IF(11&lt;Assumptions!$B$6,MAX(0,-Assumptions!$B$22*RiskMargin!B15),0))+2*Assumptions!$B$27*MAX(0,RiskMargin!C15-RiskMargin!B15)*MAX(0,RiskMargin!F15-RiskMargin!B15)+2*Assumptions!$B$28*MAX(MAX(0,RiskMargin!D15-RiskMargin!B15),MAX(0,RiskMargin!E15-RiskMargin!B15),IF(11&lt;Assumptions!$B$6,MAX(0,-Assumptions!$B$22*RiskMargin!B15),0))*MAX(0,RiskMargin!F15-RiskMargin!B15))</f>
        <v>19473.9663297575</v>
      </c>
      <c r="Q486" s="1" t="n">
        <f aca="false">P486-RiskMargin!J15</f>
        <v>0</v>
      </c>
      <c r="R486" s="1" t="n">
        <f aca="false">SUMIFS(Projection!$P$4:$P$59,Projection!$B$4:$B$59,"&gt;="&amp;(Assumptions!$B$4+11))/Discount!C15</f>
        <v>114861.344729061</v>
      </c>
      <c r="S486" s="1" t="n">
        <f aca="false">R486-RiskMargin!B15</f>
        <v>0</v>
      </c>
    </row>
    <row r="487" customFormat="false" ht="15" hidden="false" customHeight="true" outlineLevel="0" collapsed="false">
      <c r="A487" s="1" t="n">
        <v>12</v>
      </c>
      <c r="B487" s="1" t="n">
        <f aca="false">(SUMIFS(Projection!$P$4:$P$59,Projection!$B$4:$B$59,"&gt;="&amp;(Assumptions!$B$4+12))+SUMIFS($D$415:$D$470,$B$415:$B$470,"&gt;="&amp;(Assumptions!$B$4+12)))/Discount!C16</f>
        <v>128257.829931452</v>
      </c>
      <c r="C487" s="1" t="n">
        <f aca="false">(Projection!F16/Projection!Q16)*(SUMIFS(Projection!$R$4:$R$59,Projection!$B$4:$B$59,"&gt;="&amp;(Assumptions!$B$4+12))+SUMIFS($E$415:$E$470,$B$415:$B$470,"&gt;="&amp;(Assumptions!$B$4+12)))/Discount!C16</f>
        <v>146992.475127724</v>
      </c>
      <c r="D487" s="1" t="n">
        <f aca="false">(Projection!F16/Projection!S16)*(SUMIFS(Projection!$T$4:$T$59,Projection!$B$4:$B$59,"&gt;="&amp;(Assumptions!$B$4+12))+SUMIFS($F$415:$F$470,$B$415:$B$470,"&gt;="&amp;(Assumptions!$B$4+12)))/Discount!C16</f>
        <v>126270.068527662</v>
      </c>
      <c r="E487" s="1" t="n">
        <f aca="false">(Projection!F16/Projection!U16)*(SUMIFS(Projection!$V$4:$V$59,Projection!$B$4:$B$59,"&gt;="&amp;(Assumptions!$B$4+12))+SUMIFS($G$415:$G$470,$B$415:$B$470,"&gt;="&amp;(Assumptions!$B$4+12)))/Discount!C16</f>
        <v>130264.601995227</v>
      </c>
      <c r="F487" s="1" t="n">
        <f aca="false">(SUMIFS(Projection!$W$4:$W$59,Projection!$B$4:$B$59,"&gt;="&amp;(Assumptions!$B$4+12))+SUMIFS($D$415:$D$470,$B$415:$B$470,"&gt;="&amp;(Assumptions!$B$4+12)))/Discount!C16</f>
        <v>128635.889740447</v>
      </c>
      <c r="G487" s="1" t="n">
        <f aca="false">MAX(0,C487-B487)</f>
        <v>18734.645196272</v>
      </c>
      <c r="H487" s="1" t="n">
        <f aca="false">MAX(MAX(0,D487-B487),MAX(0,E487-B487),IF(A487&lt;Assumptions!$B$6,MAX(0,-Assumptions!$B$22*B487),0))</f>
        <v>2006.7720637755</v>
      </c>
      <c r="I487" s="1" t="n">
        <f aca="false">MAX(0,F487-B487)</f>
        <v>378.059808995298</v>
      </c>
      <c r="J487" s="1" t="n">
        <f aca="false">SQRT(G487^2+H487^2+I487^2+2*Assumptions!$B$26*G487*H487+2*Assumptions!$B$27*G487*I487+2*Assumptions!$B$28*H487*I487)</f>
        <v>19448.7830807743</v>
      </c>
      <c r="K487" s="1" t="n">
        <f aca="false">J487*Discount!C16</f>
        <v>13653.7054960059</v>
      </c>
      <c r="L487" s="1" t="n">
        <f aca="false">Assumptions!$B$29*SUM(K487:K530)/Discount!C16</f>
        <v>13414.7352680842</v>
      </c>
      <c r="M487" s="73" t="n">
        <f aca="false">Projection!F16</f>
        <v>0.753048807736933</v>
      </c>
      <c r="N487" s="1" t="n">
        <f aca="false">I338</f>
        <v>5341.17574852837</v>
      </c>
      <c r="O487" s="1" t="n">
        <f aca="false">IF(M487&lt;=0,0,MAX(0,(J487+L487-N487)/M487))</f>
        <v>36547.8868269381</v>
      </c>
      <c r="P487" s="1" t="n">
        <f aca="false">SQRT(MAX(0,RiskMargin!C16-RiskMargin!B16)^2+MAX(MAX(0,RiskMargin!D16-RiskMargin!B16),MAX(0,RiskMargin!E16-RiskMargin!B16),IF(12&lt;Assumptions!$B$6,MAX(0,-Assumptions!$B$22*RiskMargin!B16),0))^2+MAX(0,RiskMargin!F16-RiskMargin!B16)^2+2*Assumptions!$B$26*MAX(0,RiskMargin!C16-RiskMargin!B16)*MAX(MAX(0,RiskMargin!D16-RiskMargin!B16),MAX(0,RiskMargin!E16-RiskMargin!B16),IF(12&lt;Assumptions!$B$6,MAX(0,-Assumptions!$B$22*RiskMargin!B16),0))+2*Assumptions!$B$27*MAX(0,RiskMargin!C16-RiskMargin!B16)*MAX(0,RiskMargin!F16-RiskMargin!B16)+2*Assumptions!$B$28*MAX(MAX(0,RiskMargin!D16-RiskMargin!B16),MAX(0,RiskMargin!E16-RiskMargin!B16),IF(12&lt;Assumptions!$B$6,MAX(0,-Assumptions!$B$22*RiskMargin!B16),0))*MAX(0,RiskMargin!F16-RiskMargin!B16))</f>
        <v>19448.5906719559</v>
      </c>
      <c r="Q487" s="1" t="n">
        <f aca="false">P487-RiskMargin!J16</f>
        <v>0</v>
      </c>
      <c r="R487" s="1" t="n">
        <f aca="false">SUMIFS(Projection!$P$4:$P$59,Projection!$B$4:$B$59,"&gt;="&amp;(Assumptions!$B$4+12))/Discount!C16</f>
        <v>128221.605397744</v>
      </c>
      <c r="S487" s="1" t="n">
        <f aca="false">R487-RiskMargin!B16</f>
        <v>0</v>
      </c>
    </row>
    <row r="488" customFormat="false" ht="15" hidden="false" customHeight="true" outlineLevel="0" collapsed="false">
      <c r="A488" s="1" t="n">
        <v>13</v>
      </c>
      <c r="B488" s="1" t="n">
        <f aca="false">(SUMIFS(Projection!$P$4:$P$59,Projection!$B$4:$B$59,"&gt;="&amp;(Assumptions!$B$4+13))+SUMIFS($D$415:$D$470,$B$415:$B$470,"&gt;="&amp;(Assumptions!$B$4+13)))/Discount!C17</f>
        <v>141802.84569669</v>
      </c>
      <c r="C488" s="1" t="n">
        <f aca="false">(Projection!F17/Projection!Q17)*(SUMIFS(Projection!$R$4:$R$59,Projection!$B$4:$B$59,"&gt;="&amp;(Assumptions!$B$4+13))+SUMIFS($E$415:$E$470,$B$415:$B$470,"&gt;="&amp;(Assumptions!$B$4+13)))/Discount!C17</f>
        <v>160590.060232371</v>
      </c>
      <c r="D488" s="1" t="n">
        <f aca="false">(Projection!F17/Projection!S17)*(SUMIFS(Projection!$T$4:$T$59,Projection!$B$4:$B$59,"&gt;="&amp;(Assumptions!$B$4+13))+SUMIFS($F$415:$F$470,$B$415:$B$470,"&gt;="&amp;(Assumptions!$B$4+13)))/Discount!C17</f>
        <v>140389.629389351</v>
      </c>
      <c r="E488" s="1" t="n">
        <f aca="false">(Projection!F17/Projection!U17)*(SUMIFS(Projection!$V$4:$V$59,Projection!$B$4:$B$59,"&gt;="&amp;(Assumptions!$B$4+13))+SUMIFS($G$415:$G$470,$B$415:$B$470,"&gt;="&amp;(Assumptions!$B$4+13)))/Discount!C17</f>
        <v>143222.734024095</v>
      </c>
      <c r="F488" s="1" t="n">
        <f aca="false">(SUMIFS(Projection!$W$4:$W$59,Projection!$B$4:$B$59,"&gt;="&amp;(Assumptions!$B$4+13))+SUMIFS($D$415:$D$470,$B$415:$B$470,"&gt;="&amp;(Assumptions!$B$4+13)))/Discount!C17</f>
        <v>142173.953595852</v>
      </c>
      <c r="G488" s="1" t="n">
        <f aca="false">MAX(0,C488-B488)</f>
        <v>18787.2145356806</v>
      </c>
      <c r="H488" s="1" t="n">
        <f aca="false">MAX(MAX(0,D488-B488),MAX(0,E488-B488),IF(A488&lt;Assumptions!$B$6,MAX(0,-Assumptions!$B$22*B488),0))</f>
        <v>1419.88832740416</v>
      </c>
      <c r="I488" s="1" t="n">
        <f aca="false">MAX(0,F488-B488)</f>
        <v>371.107899161172</v>
      </c>
      <c r="J488" s="1" t="n">
        <f aca="false">SQRT(G488^2+H488^2+I488^2+2*Assumptions!$B$26*G488*H488+2*Assumptions!$B$27*G488*I488+2*Assumptions!$B$28*H488*I488)</f>
        <v>19299.3285087738</v>
      </c>
      <c r="K488" s="1" t="n">
        <f aca="false">J488*Discount!C17</f>
        <v>13087.2895050608</v>
      </c>
      <c r="L488" s="1" t="n">
        <f aca="false">Assumptions!$B$29*SUM(K488:K530)/Discount!C17</f>
        <v>12679.6996785679</v>
      </c>
      <c r="M488" s="73" t="n">
        <f aca="false">Projection!F17</f>
        <v>0.732331393340358</v>
      </c>
      <c r="N488" s="1" t="n">
        <f aca="false">I339</f>
        <v>5529.52029094679</v>
      </c>
      <c r="O488" s="1" t="n">
        <f aca="false">IF(M488&lt;=0,0,MAX(0,(J488+L488-N488)/M488))</f>
        <v>36116.8565719294</v>
      </c>
      <c r="P488" s="1" t="n">
        <f aca="false">SQRT(MAX(0,RiskMargin!C17-RiskMargin!B17)^2+MAX(MAX(0,RiskMargin!D17-RiskMargin!B17),MAX(0,RiskMargin!E17-RiskMargin!B17),IF(13&lt;Assumptions!$B$6,MAX(0,-Assumptions!$B$22*RiskMargin!B17),0))^2+MAX(0,RiskMargin!F17-RiskMargin!B17)^2+2*Assumptions!$B$26*MAX(0,RiskMargin!C17-RiskMargin!B17)*MAX(MAX(0,RiskMargin!D17-RiskMargin!B17),MAX(0,RiskMargin!E17-RiskMargin!B17),IF(13&lt;Assumptions!$B$6,MAX(0,-Assumptions!$B$22*RiskMargin!B17),0))+2*Assumptions!$B$27*MAX(0,RiskMargin!C17-RiskMargin!B17)*MAX(0,RiskMargin!F17-RiskMargin!B17)+2*Assumptions!$B$28*MAX(MAX(0,RiskMargin!D17-RiskMargin!B17),MAX(0,RiskMargin!E17-RiskMargin!B17),IF(13&lt;Assumptions!$B$6,MAX(0,-Assumptions!$B$22*RiskMargin!B17),0))*MAX(0,RiskMargin!F17-RiskMargin!B17))</f>
        <v>19299.2613253291</v>
      </c>
      <c r="Q488" s="1" t="n">
        <f aca="false">P488-RiskMargin!J17</f>
        <v>0</v>
      </c>
      <c r="R488" s="1" t="n">
        <f aca="false">SUMIFS(Projection!$P$4:$P$59,Projection!$B$4:$B$59,"&gt;="&amp;(Assumptions!$B$4+13))/Discount!C17</f>
        <v>141778.640523682</v>
      </c>
      <c r="S488" s="1" t="n">
        <f aca="false">R488-RiskMargin!B17</f>
        <v>0</v>
      </c>
    </row>
    <row r="489" customFormat="false" ht="15" hidden="false" customHeight="true" outlineLevel="0" collapsed="false">
      <c r="A489" s="1" t="n">
        <v>14</v>
      </c>
      <c r="B489" s="1" t="n">
        <f aca="false">(SUMIFS(Projection!$P$4:$P$59,Projection!$B$4:$B$59,"&gt;="&amp;(Assumptions!$B$4+14))+SUMIFS($D$415:$D$470,$B$415:$B$470,"&gt;="&amp;(Assumptions!$B$4+14)))/Discount!C18</f>
        <v>155466.271202335</v>
      </c>
      <c r="C489" s="1" t="n">
        <f aca="false">(Projection!F18/Projection!Q18)*(SUMIFS(Projection!$R$4:$R$59,Projection!$B$4:$B$59,"&gt;="&amp;(Assumptions!$B$4+14))+SUMIFS($E$415:$E$470,$B$415:$B$470,"&gt;="&amp;(Assumptions!$B$4+14)))/Discount!C18</f>
        <v>174162.22233973</v>
      </c>
      <c r="D489" s="1" t="n">
        <f aca="false">(Projection!F18/Projection!S18)*(SUMIFS(Projection!$T$4:$T$59,Projection!$B$4:$B$59,"&gt;="&amp;(Assumptions!$B$4+14))+SUMIFS($F$415:$F$470,$B$415:$B$470,"&gt;="&amp;(Assumptions!$B$4+14)))/Discount!C18</f>
        <v>154714.66179059</v>
      </c>
      <c r="E489" s="1" t="n">
        <f aca="false">(Projection!F18/Projection!U18)*(SUMIFS(Projection!$V$4:$V$59,Projection!$B$4:$B$59,"&gt;="&amp;(Assumptions!$B$4+14))+SUMIFS($G$415:$G$470,$B$415:$B$470,"&gt;="&amp;(Assumptions!$B$4+14)))/Discount!C18</f>
        <v>156217.88061408</v>
      </c>
      <c r="F489" s="1" t="n">
        <f aca="false">(SUMIFS(Projection!$W$4:$W$59,Projection!$B$4:$B$59,"&gt;="&amp;(Assumptions!$B$4+14))+SUMIFS($D$415:$D$470,$B$415:$B$470,"&gt;="&amp;(Assumptions!$B$4+14)))/Discount!C18</f>
        <v>155828.959487052</v>
      </c>
      <c r="G489" s="1" t="n">
        <f aca="false">MAX(0,C489-B489)</f>
        <v>18695.9511373949</v>
      </c>
      <c r="H489" s="1" t="n">
        <f aca="false">MAX(MAX(0,D489-B489),MAX(0,E489-B489),IF(A489&lt;Assumptions!$B$6,MAX(0,-Assumptions!$B$22*B489),0))</f>
        <v>751.609411745129</v>
      </c>
      <c r="I489" s="1" t="n">
        <f aca="false">MAX(0,F489-B489)</f>
        <v>362.688284716831</v>
      </c>
      <c r="J489" s="1" t="n">
        <f aca="false">SQRT(G489^2+H489^2+I489^2+2*Assumptions!$B$26*G489*H489+2*Assumptions!$B$27*G489*I489+2*Assumptions!$B$28*H489*I489)</f>
        <v>18998.0018950062</v>
      </c>
      <c r="K489" s="1" t="n">
        <f aca="false">J489*Discount!C18</f>
        <v>12452.8571903845</v>
      </c>
      <c r="L489" s="1" t="n">
        <f aca="false">Assumptions!$B$29*SUM(K489:K530)/Discount!C18</f>
        <v>11919.6773411596</v>
      </c>
      <c r="M489" s="73" t="n">
        <f aca="false">Projection!F18</f>
        <v>0.710568694818408</v>
      </c>
      <c r="N489" s="1" t="n">
        <f aca="false">I340</f>
        <v>5720.49863148277</v>
      </c>
      <c r="O489" s="1" t="n">
        <f aca="false">IF(M489&lt;=0,0,MAX(0,(J489+L489-N489)/M489))</f>
        <v>35460.583597934</v>
      </c>
      <c r="P489" s="1" t="n">
        <f aca="false">SQRT(MAX(0,RiskMargin!C18-RiskMargin!B18)^2+MAX(MAX(0,RiskMargin!D18-RiskMargin!B18),MAX(0,RiskMargin!E18-RiskMargin!B18),IF(14&lt;Assumptions!$B$6,MAX(0,-Assumptions!$B$22*RiskMargin!B18),0))^2+MAX(0,RiskMargin!F18-RiskMargin!B18)^2+2*Assumptions!$B$26*MAX(0,RiskMargin!C18-RiskMargin!B18)*MAX(MAX(0,RiskMargin!D18-RiskMargin!B18),MAX(0,RiskMargin!E18-RiskMargin!B18),IF(14&lt;Assumptions!$B$6,MAX(0,-Assumptions!$B$22*RiskMargin!B18),0))+2*Assumptions!$B$27*MAX(0,RiskMargin!C18-RiskMargin!B18)*MAX(0,RiskMargin!F18-RiskMargin!B18)+2*Assumptions!$B$28*MAX(MAX(0,RiskMargin!D18-RiskMargin!B18),MAX(0,RiskMargin!E18-RiskMargin!B18),IF(14&lt;Assumptions!$B$6,MAX(0,-Assumptions!$B$22*RiskMargin!B18),0))*MAX(0,RiskMargin!F18-RiskMargin!B18))</f>
        <v>18998.0018950061</v>
      </c>
      <c r="Q489" s="1" t="n">
        <f aca="false">P489-RiskMargin!J18</f>
        <v>0</v>
      </c>
      <c r="R489" s="1" t="n">
        <f aca="false">SUMIFS(Projection!$P$4:$P$59,Projection!$B$4:$B$59,"&gt;="&amp;(Assumptions!$B$4+14))/Discount!C18</f>
        <v>155454.151904803</v>
      </c>
      <c r="S489" s="1" t="n">
        <f aca="false">R489-RiskMargin!B18</f>
        <v>0</v>
      </c>
    </row>
    <row r="490" customFormat="false" ht="15" hidden="false" customHeight="true" outlineLevel="0" collapsed="false">
      <c r="A490" s="1" t="n">
        <v>15</v>
      </c>
      <c r="B490" s="1" t="n">
        <f aca="false">(SUMIFS(Projection!$P$4:$P$59,Projection!$B$4:$B$59,"&gt;="&amp;(Assumptions!$B$4+15))+SUMIFS($D$415:$D$470,$B$415:$B$470,"&gt;="&amp;(Assumptions!$B$4+15)))/Discount!C19</f>
        <v>169782.914600927</v>
      </c>
      <c r="C490" s="1" t="n">
        <f aca="false">(Projection!F19/Projection!Q19)*(SUMIFS(Projection!$R$4:$R$59,Projection!$B$4:$B$59,"&gt;="&amp;(Assumptions!$B$4+15))+SUMIFS($E$415:$E$470,$B$415:$B$470,"&gt;="&amp;(Assumptions!$B$4+15)))/Discount!C19</f>
        <v>188276.094351444</v>
      </c>
      <c r="D490" s="1" t="n">
        <f aca="false">(Projection!F19/Projection!S19)*(SUMIFS(Projection!$T$4:$T$59,Projection!$B$4:$B$59,"&gt;="&amp;(Assumptions!$B$4+15))+SUMIFS($F$415:$F$470,$B$415:$B$470,"&gt;="&amp;(Assumptions!$B$4+15)))/Discount!C19</f>
        <v>169782.914600927</v>
      </c>
      <c r="E490" s="1" t="n">
        <f aca="false">(Projection!F19/Projection!U19)*(SUMIFS(Projection!$V$4:$V$59,Projection!$B$4:$B$59,"&gt;="&amp;(Assumptions!$B$4+15))+SUMIFS($G$415:$G$470,$B$415:$B$470,"&gt;="&amp;(Assumptions!$B$4+15)))/Discount!C19</f>
        <v>169782.914600927</v>
      </c>
      <c r="F490" s="1" t="n">
        <f aca="false">(SUMIFS(Projection!$W$4:$W$59,Projection!$B$4:$B$59,"&gt;="&amp;(Assumptions!$B$4+15))+SUMIFS($D$415:$D$470,$B$415:$B$470,"&gt;="&amp;(Assumptions!$B$4+15)))/Discount!C19</f>
        <v>170136.896872445</v>
      </c>
      <c r="G490" s="1" t="n">
        <f aca="false">MAX(0,C490-B490)</f>
        <v>18493.1797505175</v>
      </c>
      <c r="H490" s="1" t="n">
        <f aca="false">MAX(MAX(0,D490-B490),MAX(0,E490-B490),IF(A490&lt;Assumptions!$B$6,MAX(0,-Assumptions!$B$22*B490),0))</f>
        <v>0</v>
      </c>
      <c r="I490" s="1" t="n">
        <f aca="false">MAX(0,F490-B490)</f>
        <v>353.982271517714</v>
      </c>
      <c r="J490" s="1" t="n">
        <f aca="false">SQRT(G490^2+H490^2+I490^2+2*Assumptions!$B$26*G490*H490+2*Assumptions!$B$27*G490*I490+2*Assumptions!$B$28*H490*I490)</f>
        <v>18584.8360127642</v>
      </c>
      <c r="K490" s="1" t="n">
        <f aca="false">J490*Discount!C19</f>
        <v>11744.5524336485</v>
      </c>
      <c r="L490" s="1" t="n">
        <f aca="false">Assumptions!$B$29*SUM(K490:K530)/Discount!C19</f>
        <v>11181.3420912797</v>
      </c>
      <c r="M490" s="73" t="n">
        <f aca="false">Projection!F19</f>
        <v>0.687680981645694</v>
      </c>
      <c r="N490" s="1" t="n">
        <f aca="false">I341</f>
        <v>5933.5858348406</v>
      </c>
      <c r="O490" s="1" t="n">
        <f aca="false">IF(M490&lt;=0,0,MAX(0,(J490+L490-N490)/M490))</f>
        <v>34656.4655782241</v>
      </c>
      <c r="P490" s="1" t="n">
        <f aca="false">SQRT(MAX(0,RiskMargin!C19-RiskMargin!B19)^2+MAX(MAX(0,RiskMargin!D19-RiskMargin!B19),MAX(0,RiskMargin!E19-RiskMargin!B19),IF(15&lt;Assumptions!$B$6,MAX(0,-Assumptions!$B$22*RiskMargin!B19),0))^2+MAX(0,RiskMargin!F19-RiskMargin!B19)^2+2*Assumptions!$B$26*MAX(0,RiskMargin!C19-RiskMargin!B19)*MAX(MAX(0,RiskMargin!D19-RiskMargin!B19),MAX(0,RiskMargin!E19-RiskMargin!B19),IF(15&lt;Assumptions!$B$6,MAX(0,-Assumptions!$B$22*RiskMargin!B19),0))+2*Assumptions!$B$27*MAX(0,RiskMargin!C19-RiskMargin!B19)*MAX(0,RiskMargin!F19-RiskMargin!B19)+2*Assumptions!$B$28*MAX(MAX(0,RiskMargin!D19-RiskMargin!B19),MAX(0,RiskMargin!E19-RiskMargin!B19),IF(15&lt;Assumptions!$B$6,MAX(0,-Assumptions!$B$22*RiskMargin!B19),0))*MAX(0,RiskMargin!F19-RiskMargin!B19))</f>
        <v>18584.8360127642</v>
      </c>
      <c r="Q490" s="1" t="n">
        <f aca="false">P490-RiskMargin!J19</f>
        <v>0</v>
      </c>
      <c r="R490" s="1" t="n">
        <f aca="false">SUMIFS(Projection!$P$4:$P$59,Projection!$B$4:$B$59,"&gt;="&amp;(Assumptions!$B$4+15))/Discount!C19</f>
        <v>169782.914600927</v>
      </c>
      <c r="S490" s="1" t="n">
        <f aca="false">R490-RiskMargin!B19</f>
        <v>0</v>
      </c>
    </row>
    <row r="491" customFormat="false" ht="15" hidden="false" customHeight="true" outlineLevel="0" collapsed="false">
      <c r="A491" s="1" t="n">
        <v>16</v>
      </c>
      <c r="B491" s="1" t="n">
        <f aca="false">(SUMIFS(Projection!$P$4:$P$59,Projection!$B$4:$B$59,"&gt;="&amp;(Assumptions!$B$4+16))+SUMIFS($D$415:$D$470,$B$415:$B$470,"&gt;="&amp;(Assumptions!$B$4+16)))/Discount!C20</f>
        <v>160500.215281461</v>
      </c>
      <c r="C491" s="1" t="n">
        <f aca="false">(Projection!F20/Projection!Q20)*(SUMIFS(Projection!$R$4:$R$59,Projection!$B$4:$B$59,"&gt;="&amp;(Assumptions!$B$4+16))+SUMIFS($E$415:$E$470,$B$415:$B$470,"&gt;="&amp;(Assumptions!$B$4+16)))/Discount!C20</f>
        <v>178669.23842239</v>
      </c>
      <c r="D491" s="1" t="n">
        <f aca="false">(Projection!F20/Projection!S20)*(SUMIFS(Projection!$T$4:$T$59,Projection!$B$4:$B$59,"&gt;="&amp;(Assumptions!$B$4+16))+SUMIFS($F$415:$F$470,$B$415:$B$470,"&gt;="&amp;(Assumptions!$B$4+16)))/Discount!C20</f>
        <v>160500.215281461</v>
      </c>
      <c r="E491" s="1" t="n">
        <f aca="false">(Projection!F20/Projection!U20)*(SUMIFS(Projection!$V$4:$V$59,Projection!$B$4:$B$59,"&gt;="&amp;(Assumptions!$B$4+16))+SUMIFS($G$415:$G$470,$B$415:$B$470,"&gt;="&amp;(Assumptions!$B$4+16)))/Discount!C20</f>
        <v>160500.215281461</v>
      </c>
      <c r="F491" s="1" t="n">
        <f aca="false">(SUMIFS(Projection!$W$4:$W$59,Projection!$B$4:$B$59,"&gt;="&amp;(Assumptions!$B$4+16))+SUMIFS($D$415:$D$470,$B$415:$B$470,"&gt;="&amp;(Assumptions!$B$4+16)))/Discount!C20</f>
        <v>160843.956264729</v>
      </c>
      <c r="G491" s="1" t="n">
        <f aca="false">MAX(0,C491-B491)</f>
        <v>18169.0231409292</v>
      </c>
      <c r="H491" s="1" t="n">
        <f aca="false">MAX(MAX(0,D491-B491),MAX(0,E491-B491),IF(A491&lt;Assumptions!$B$6,MAX(0,-Assumptions!$B$22*B491),0))</f>
        <v>0</v>
      </c>
      <c r="I491" s="1" t="n">
        <f aca="false">MAX(0,F491-B491)</f>
        <v>343.740983268275</v>
      </c>
      <c r="J491" s="1" t="n">
        <f aca="false">SQRT(G491^2+H491^2+I491^2+2*Assumptions!$B$26*G491*H491+2*Assumptions!$B$27*G491*I491+2*Assumptions!$B$28*H491*I491)</f>
        <v>18257.9921869559</v>
      </c>
      <c r="K491" s="1" t="n">
        <f aca="false">J491*Discount!C20</f>
        <v>11134.900888435</v>
      </c>
      <c r="L491" s="1" t="n">
        <f aca="false">Assumptions!$B$29*SUM(K491:K530)/Discount!C20</f>
        <v>10430.6697285436</v>
      </c>
      <c r="M491" s="73" t="n">
        <f aca="false">Projection!F20</f>
        <v>0.669076087760706</v>
      </c>
      <c r="N491" s="1" t="n">
        <f aca="false">I342</f>
        <v>6148.39312351955</v>
      </c>
      <c r="O491" s="1" t="n">
        <f aca="false">IF(M491&lt;=0,0,MAX(0,(J491+L491-N491)/M491))</f>
        <v>33688.6479793632</v>
      </c>
      <c r="P491" s="1" t="n">
        <f aca="false">SQRT(MAX(0,RiskMargin!C20-RiskMargin!B20)^2+MAX(MAX(0,RiskMargin!D20-RiskMargin!B20),MAX(0,RiskMargin!E20-RiskMargin!B20),IF(16&lt;Assumptions!$B$6,MAX(0,-Assumptions!$B$22*RiskMargin!B20),0))^2+MAX(0,RiskMargin!F20-RiskMargin!B20)^2+2*Assumptions!$B$26*MAX(0,RiskMargin!C20-RiskMargin!B20)*MAX(MAX(0,RiskMargin!D20-RiskMargin!B20),MAX(0,RiskMargin!E20-RiskMargin!B20),IF(16&lt;Assumptions!$B$6,MAX(0,-Assumptions!$B$22*RiskMargin!B20),0))+2*Assumptions!$B$27*MAX(0,RiskMargin!C20-RiskMargin!B20)*MAX(0,RiskMargin!F20-RiskMargin!B20)+2*Assumptions!$B$28*MAX(MAX(0,RiskMargin!D20-RiskMargin!B20),MAX(0,RiskMargin!E20-RiskMargin!B20),IF(16&lt;Assumptions!$B$6,MAX(0,-Assumptions!$B$22*RiskMargin!B20),0))*MAX(0,RiskMargin!F20-RiskMargin!B20))</f>
        <v>18257.9921869559</v>
      </c>
      <c r="Q491" s="1" t="n">
        <f aca="false">P491-RiskMargin!J20</f>
        <v>0</v>
      </c>
      <c r="R491" s="1" t="n">
        <f aca="false">SUMIFS(Projection!$P$4:$P$59,Projection!$B$4:$B$59,"&gt;="&amp;(Assumptions!$B$4+16))/Discount!C20</f>
        <v>160500.215281461</v>
      </c>
      <c r="S491" s="1" t="n">
        <f aca="false">R491-RiskMargin!B20</f>
        <v>0</v>
      </c>
    </row>
    <row r="492" customFormat="false" ht="15" hidden="false" customHeight="true" outlineLevel="0" collapsed="false">
      <c r="A492" s="1" t="n">
        <v>17</v>
      </c>
      <c r="B492" s="1" t="n">
        <f aca="false">(SUMIFS(Projection!$P$4:$P$59,Projection!$B$4:$B$59,"&gt;="&amp;(Assumptions!$B$4+17))+SUMIFS($D$415:$D$470,$B$415:$B$470,"&gt;="&amp;(Assumptions!$B$4+17)))/Discount!C21</f>
        <v>150718.732932927</v>
      </c>
      <c r="C492" s="1" t="n">
        <f aca="false">(Projection!F21/Projection!Q21)*(SUMIFS(Projection!$R$4:$R$59,Projection!$B$4:$B$59,"&gt;="&amp;(Assumptions!$B$4+17))+SUMIFS($E$415:$E$470,$B$415:$B$470,"&gt;="&amp;(Assumptions!$B$4+17)))/Discount!C21</f>
        <v>168455.665730934</v>
      </c>
      <c r="D492" s="1" t="n">
        <f aca="false">(Projection!F21/Projection!S21)*(SUMIFS(Projection!$T$4:$T$59,Projection!$B$4:$B$59,"&gt;="&amp;(Assumptions!$B$4+17))+SUMIFS($F$415:$F$470,$B$415:$B$470,"&gt;="&amp;(Assumptions!$B$4+17)))/Discount!C21</f>
        <v>150718.732932927</v>
      </c>
      <c r="E492" s="1" t="n">
        <f aca="false">(Projection!F21/Projection!U21)*(SUMIFS(Projection!$V$4:$V$59,Projection!$B$4:$B$59,"&gt;="&amp;(Assumptions!$B$4+17))+SUMIFS($G$415:$G$470,$B$415:$B$470,"&gt;="&amp;(Assumptions!$B$4+17)))/Discount!C21</f>
        <v>150718.732932927</v>
      </c>
      <c r="F492" s="1" t="n">
        <f aca="false">(SUMIFS(Projection!$W$4:$W$59,Projection!$B$4:$B$59,"&gt;="&amp;(Assumptions!$B$4+17))+SUMIFS($D$415:$D$470,$B$415:$B$470,"&gt;="&amp;(Assumptions!$B$4+17)))/Discount!C21</f>
        <v>151050.262315657</v>
      </c>
      <c r="G492" s="1" t="n">
        <f aca="false">MAX(0,C492-B492)</f>
        <v>17736.9327980075</v>
      </c>
      <c r="H492" s="1" t="n">
        <f aca="false">MAX(MAX(0,D492-B492),MAX(0,E492-B492),IF(A492&lt;Assumptions!$B$6,MAX(0,-Assumptions!$B$22*B492),0))</f>
        <v>0</v>
      </c>
      <c r="I492" s="1" t="n">
        <f aca="false">MAX(0,F492-B492)</f>
        <v>331.529382730281</v>
      </c>
      <c r="J492" s="1" t="n">
        <f aca="false">SQRT(G492^2+H492^2+I492^2+2*Assumptions!$B$26*G492*H492+2*Assumptions!$B$27*G492*I492+2*Assumptions!$B$28*H492*I492)</f>
        <v>17822.7061358166</v>
      </c>
      <c r="K492" s="1" t="n">
        <f aca="false">J492*Discount!C21</f>
        <v>10509.1419216213</v>
      </c>
      <c r="L492" s="1" t="n">
        <f aca="false">Assumptions!$B$29*SUM(K492:K530)/Discount!C21</f>
        <v>9655.23612097806</v>
      </c>
      <c r="M492" s="73" t="n">
        <f aca="false">Projection!F21</f>
        <v>0.648760986342387</v>
      </c>
      <c r="N492" s="1" t="n">
        <f aca="false">I343</f>
        <v>6359.18348928576</v>
      </c>
      <c r="O492" s="1" t="n">
        <f aca="false">IF(M492&lt;=0,0,MAX(0,(J492+L492-N492)/M492))</f>
        <v>32552.4487632544</v>
      </c>
      <c r="P492" s="1" t="n">
        <f aca="false">SQRT(MAX(0,RiskMargin!C21-RiskMargin!B21)^2+MAX(MAX(0,RiskMargin!D21-RiskMargin!B21),MAX(0,RiskMargin!E21-RiskMargin!B21),IF(17&lt;Assumptions!$B$6,MAX(0,-Assumptions!$B$22*RiskMargin!B21),0))^2+MAX(0,RiskMargin!F21-RiskMargin!B21)^2+2*Assumptions!$B$26*MAX(0,RiskMargin!C21-RiskMargin!B21)*MAX(MAX(0,RiskMargin!D21-RiskMargin!B21),MAX(0,RiskMargin!E21-RiskMargin!B21),IF(17&lt;Assumptions!$B$6,MAX(0,-Assumptions!$B$22*RiskMargin!B21),0))+2*Assumptions!$B$27*MAX(0,RiskMargin!C21-RiskMargin!B21)*MAX(0,RiskMargin!F21-RiskMargin!B21)+2*Assumptions!$B$28*MAX(MAX(0,RiskMargin!D21-RiskMargin!B21),MAX(0,RiskMargin!E21-RiskMargin!B21),IF(17&lt;Assumptions!$B$6,MAX(0,-Assumptions!$B$22*RiskMargin!B21),0))*MAX(0,RiskMargin!F21-RiskMargin!B21))</f>
        <v>17822.7061358166</v>
      </c>
      <c r="Q492" s="1" t="n">
        <f aca="false">P492-RiskMargin!J21</f>
        <v>0</v>
      </c>
      <c r="R492" s="1" t="n">
        <f aca="false">SUMIFS(Projection!$P$4:$P$59,Projection!$B$4:$B$59,"&gt;="&amp;(Assumptions!$B$4+17))/Discount!C21</f>
        <v>150718.732932927</v>
      </c>
      <c r="S492" s="1" t="n">
        <f aca="false">R492-RiskMargin!B21</f>
        <v>0</v>
      </c>
    </row>
    <row r="493" customFormat="false" ht="15" hidden="false" customHeight="true" outlineLevel="0" collapsed="false">
      <c r="A493" s="1" t="n">
        <v>18</v>
      </c>
      <c r="B493" s="1" t="n">
        <f aca="false">(SUMIFS(Projection!$P$4:$P$59,Projection!$B$4:$B$59,"&gt;="&amp;(Assumptions!$B$4+18))+SUMIFS($D$415:$D$470,$B$415:$B$470,"&gt;="&amp;(Assumptions!$B$4+18)))/Discount!C22</f>
        <v>140619.095436923</v>
      </c>
      <c r="C493" s="1" t="n">
        <f aca="false">(Projection!F22/Projection!Q22)*(SUMIFS(Projection!$R$4:$R$59,Projection!$B$4:$B$59,"&gt;="&amp;(Assumptions!$B$4+18))+SUMIFS($E$415:$E$470,$B$415:$B$470,"&gt;="&amp;(Assumptions!$B$4+18)))/Discount!C22</f>
        <v>157830.781591033</v>
      </c>
      <c r="D493" s="1" t="n">
        <f aca="false">(Projection!F22/Projection!S22)*(SUMIFS(Projection!$T$4:$T$59,Projection!$B$4:$B$59,"&gt;="&amp;(Assumptions!$B$4+18))+SUMIFS($F$415:$F$470,$B$415:$B$470,"&gt;="&amp;(Assumptions!$B$4+18)))/Discount!C22</f>
        <v>140619.095436923</v>
      </c>
      <c r="E493" s="1" t="n">
        <f aca="false">(Projection!F22/Projection!U22)*(SUMIFS(Projection!$V$4:$V$59,Projection!$B$4:$B$59,"&gt;="&amp;(Assumptions!$B$4+18))+SUMIFS($G$415:$G$470,$B$415:$B$470,"&gt;="&amp;(Assumptions!$B$4+18)))/Discount!C22</f>
        <v>140619.095436923</v>
      </c>
      <c r="F493" s="1" t="n">
        <f aca="false">(SUMIFS(Projection!$W$4:$W$59,Projection!$B$4:$B$59,"&gt;="&amp;(Assumptions!$B$4+18))+SUMIFS($D$415:$D$470,$B$415:$B$470,"&gt;="&amp;(Assumptions!$B$4+18)))/Discount!C22</f>
        <v>140936.75297401</v>
      </c>
      <c r="G493" s="1" t="n">
        <f aca="false">MAX(0,C493-B493)</f>
        <v>17211.6861541095</v>
      </c>
      <c r="H493" s="1" t="n">
        <f aca="false">MAX(MAX(0,D493-B493),MAX(0,E493-B493),IF(A493&lt;Assumptions!$B$6,MAX(0,-Assumptions!$B$22*B493),0))</f>
        <v>0</v>
      </c>
      <c r="I493" s="1" t="n">
        <f aca="false">MAX(0,F493-B493)</f>
        <v>317.657537086634</v>
      </c>
      <c r="J493" s="1" t="n">
        <f aca="false">SQRT(G493^2+H493^2+I493^2+2*Assumptions!$B$26*G493*H493+2*Assumptions!$B$27*G493*I493+2*Assumptions!$B$28*H493*I493)</f>
        <v>17293.8358236351</v>
      </c>
      <c r="K493" s="1" t="n">
        <f aca="false">J493*Discount!C22</f>
        <v>9869.80214113522</v>
      </c>
      <c r="L493" s="1" t="n">
        <f aca="false">Assumptions!$B$29*SUM(K493:K530)/Discount!C22</f>
        <v>8870.76336368321</v>
      </c>
      <c r="M493" s="73" t="n">
        <f aca="false">Projection!F22</f>
        <v>0.626650275234803</v>
      </c>
      <c r="N493" s="1" t="n">
        <f aca="false">I344</f>
        <v>6570.1888408396</v>
      </c>
      <c r="O493" s="1" t="n">
        <f aca="false">IF(M493&lt;=0,0,MAX(0,(J493+L493-N493)/M493))</f>
        <v>31268.493960426</v>
      </c>
      <c r="P493" s="1" t="n">
        <f aca="false">SQRT(MAX(0,RiskMargin!C22-RiskMargin!B22)^2+MAX(MAX(0,RiskMargin!D22-RiskMargin!B22),MAX(0,RiskMargin!E22-RiskMargin!B22),IF(18&lt;Assumptions!$B$6,MAX(0,-Assumptions!$B$22*RiskMargin!B22),0))^2+MAX(0,RiskMargin!F22-RiskMargin!B22)^2+2*Assumptions!$B$26*MAX(0,RiskMargin!C22-RiskMargin!B22)*MAX(MAX(0,RiskMargin!D22-RiskMargin!B22),MAX(0,RiskMargin!E22-RiskMargin!B22),IF(18&lt;Assumptions!$B$6,MAX(0,-Assumptions!$B$22*RiskMargin!B22),0))+2*Assumptions!$B$27*MAX(0,RiskMargin!C22-RiskMargin!B22)*MAX(0,RiskMargin!F22-RiskMargin!B22)+2*Assumptions!$B$28*MAX(MAX(0,RiskMargin!D22-RiskMargin!B22),MAX(0,RiskMargin!E22-RiskMargin!B22),IF(18&lt;Assumptions!$B$6,MAX(0,-Assumptions!$B$22*RiskMargin!B22),0))*MAX(0,RiskMargin!F22-RiskMargin!B22))</f>
        <v>17293.8358236351</v>
      </c>
      <c r="Q493" s="1" t="n">
        <f aca="false">P493-RiskMargin!J22</f>
        <v>0</v>
      </c>
      <c r="R493" s="1" t="n">
        <f aca="false">SUMIFS(Projection!$P$4:$P$59,Projection!$B$4:$B$59,"&gt;="&amp;(Assumptions!$B$4+18))/Discount!C22</f>
        <v>140619.095436923</v>
      </c>
      <c r="S493" s="1" t="n">
        <f aca="false">R493-RiskMargin!B22</f>
        <v>0</v>
      </c>
    </row>
    <row r="494" customFormat="false" ht="15" hidden="false" customHeight="true" outlineLevel="0" collapsed="false">
      <c r="A494" s="1" t="n">
        <v>19</v>
      </c>
      <c r="B494" s="1" t="n">
        <f aca="false">(SUMIFS(Projection!$P$4:$P$59,Projection!$B$4:$B$59,"&gt;="&amp;(Assumptions!$B$4+19))+SUMIFS($D$415:$D$470,$B$415:$B$470,"&gt;="&amp;(Assumptions!$B$4+19)))/Discount!C23</f>
        <v>130285.565244465</v>
      </c>
      <c r="C494" s="1" t="n">
        <f aca="false">(Projection!F23/Projection!Q23)*(SUMIFS(Projection!$R$4:$R$59,Projection!$B$4:$B$59,"&gt;="&amp;(Assumptions!$B$4+19))+SUMIFS($E$415:$E$470,$B$415:$B$470,"&gt;="&amp;(Assumptions!$B$4+19)))/Discount!C23</f>
        <v>146883.482877945</v>
      </c>
      <c r="D494" s="1" t="n">
        <f aca="false">(Projection!F23/Projection!S23)*(SUMIFS(Projection!$T$4:$T$59,Projection!$B$4:$B$59,"&gt;="&amp;(Assumptions!$B$4+19))+SUMIFS($F$415:$F$470,$B$415:$B$470,"&gt;="&amp;(Assumptions!$B$4+19)))/Discount!C23</f>
        <v>130285.565244465</v>
      </c>
      <c r="E494" s="1" t="n">
        <f aca="false">(Projection!F23/Projection!U23)*(SUMIFS(Projection!$V$4:$V$59,Projection!$B$4:$B$59,"&gt;="&amp;(Assumptions!$B$4+19))+SUMIFS($G$415:$G$470,$B$415:$B$470,"&gt;="&amp;(Assumptions!$B$4+19)))/Discount!C23</f>
        <v>130285.565244465</v>
      </c>
      <c r="F494" s="1" t="n">
        <f aca="false">(SUMIFS(Projection!$W$4:$W$59,Projection!$B$4:$B$59,"&gt;="&amp;(Assumptions!$B$4+19))+SUMIFS($D$415:$D$470,$B$415:$B$470,"&gt;="&amp;(Assumptions!$B$4+19)))/Discount!C23</f>
        <v>130587.808236742</v>
      </c>
      <c r="G494" s="1" t="n">
        <f aca="false">MAX(0,C494-B494)</f>
        <v>16597.9176334801</v>
      </c>
      <c r="H494" s="1" t="n">
        <f aca="false">MAX(MAX(0,D494-B494),MAX(0,E494-B494),IF(A494&lt;Assumptions!$B$6,MAX(0,-Assumptions!$B$22*B494),0))</f>
        <v>0</v>
      </c>
      <c r="I494" s="1" t="n">
        <f aca="false">MAX(0,F494-B494)</f>
        <v>302.242992277752</v>
      </c>
      <c r="J494" s="1" t="n">
        <f aca="false">SQRT(G494^2+H494^2+I494^2+2*Assumptions!$B$26*G494*H494+2*Assumptions!$B$27*G494*I494+2*Assumptions!$B$28*H494*I494)</f>
        <v>16676.0463761568</v>
      </c>
      <c r="K494" s="1" t="n">
        <f aca="false">J494*Discount!C23</f>
        <v>9220.14766680223</v>
      </c>
      <c r="L494" s="1" t="n">
        <f aca="false">Assumptions!$B$29*SUM(K494:K530)/Discount!C23</f>
        <v>8085.51793515636</v>
      </c>
      <c r="M494" s="73" t="n">
        <f aca="false">Projection!F23</f>
        <v>0.602681224544387</v>
      </c>
      <c r="N494" s="1" t="n">
        <f aca="false">I345</f>
        <v>6781.8813055839</v>
      </c>
      <c r="O494" s="1" t="n">
        <f aca="false">IF(M494&lt;=0,0,MAX(0,(J494+L494-N494)/M494))</f>
        <v>29832.8241755356</v>
      </c>
      <c r="P494" s="1" t="n">
        <f aca="false">SQRT(MAX(0,RiskMargin!C23-RiskMargin!B23)^2+MAX(MAX(0,RiskMargin!D23-RiskMargin!B23),MAX(0,RiskMargin!E23-RiskMargin!B23),IF(19&lt;Assumptions!$B$6,MAX(0,-Assumptions!$B$22*RiskMargin!B23),0))^2+MAX(0,RiskMargin!F23-RiskMargin!B23)^2+2*Assumptions!$B$26*MAX(0,RiskMargin!C23-RiskMargin!B23)*MAX(MAX(0,RiskMargin!D23-RiskMargin!B23),MAX(0,RiskMargin!E23-RiskMargin!B23),IF(19&lt;Assumptions!$B$6,MAX(0,-Assumptions!$B$22*RiskMargin!B23),0))+2*Assumptions!$B$27*MAX(0,RiskMargin!C23-RiskMargin!B23)*MAX(0,RiskMargin!F23-RiskMargin!B23)+2*Assumptions!$B$28*MAX(MAX(0,RiskMargin!D23-RiskMargin!B23),MAX(0,RiskMargin!E23-RiskMargin!B23),IF(19&lt;Assumptions!$B$6,MAX(0,-Assumptions!$B$22*RiskMargin!B23),0))*MAX(0,RiskMargin!F23-RiskMargin!B23))</f>
        <v>16676.0463761568</v>
      </c>
      <c r="Q494" s="1" t="n">
        <f aca="false">P494-RiskMargin!J23</f>
        <v>0</v>
      </c>
      <c r="R494" s="1" t="n">
        <f aca="false">SUMIFS(Projection!$P$4:$P$59,Projection!$B$4:$B$59,"&gt;="&amp;(Assumptions!$B$4+19))/Discount!C23</f>
        <v>130285.565244465</v>
      </c>
      <c r="S494" s="1" t="n">
        <f aca="false">R494-RiskMargin!B23</f>
        <v>0</v>
      </c>
    </row>
    <row r="495" customFormat="false" ht="15" hidden="false" customHeight="true" outlineLevel="0" collapsed="false">
      <c r="A495" s="1" t="n">
        <v>20</v>
      </c>
      <c r="B495" s="1" t="n">
        <f aca="false">(SUMIFS(Projection!$P$4:$P$59,Projection!$B$4:$B$59,"&gt;="&amp;(Assumptions!$B$4+20))+SUMIFS($D$415:$D$470,$B$415:$B$470,"&gt;="&amp;(Assumptions!$B$4+20)))/Discount!C24</f>
        <v>119861.817053451</v>
      </c>
      <c r="C495" s="1" t="n">
        <f aca="false">(Projection!F24/Projection!Q24)*(SUMIFS(Projection!$R$4:$R$59,Projection!$B$4:$B$59,"&gt;="&amp;(Assumptions!$B$4+20))+SUMIFS($E$415:$E$470,$B$415:$B$470,"&gt;="&amp;(Assumptions!$B$4+20)))/Discount!C24</f>
        <v>135771.546018255</v>
      </c>
      <c r="D495" s="1" t="n">
        <f aca="false">(Projection!F24/Projection!S24)*(SUMIFS(Projection!$T$4:$T$59,Projection!$B$4:$B$59,"&gt;="&amp;(Assumptions!$B$4+20))+SUMIFS($F$415:$F$470,$B$415:$B$470,"&gt;="&amp;(Assumptions!$B$4+20)))/Discount!C24</f>
        <v>119861.817053451</v>
      </c>
      <c r="E495" s="1" t="n">
        <f aca="false">(Projection!F24/Projection!U24)*(SUMIFS(Projection!$V$4:$V$59,Projection!$B$4:$B$59,"&gt;="&amp;(Assumptions!$B$4+20))+SUMIFS($G$415:$G$470,$B$415:$B$470,"&gt;="&amp;(Assumptions!$B$4+20)))/Discount!C24</f>
        <v>119861.817053451</v>
      </c>
      <c r="F495" s="1" t="n">
        <f aca="false">(SUMIFS(Projection!$W$4:$W$59,Projection!$B$4:$B$59,"&gt;="&amp;(Assumptions!$B$4+20))+SUMIFS($D$415:$D$470,$B$415:$B$470,"&gt;="&amp;(Assumptions!$B$4+20)))/Discount!C24</f>
        <v>120147.376784822</v>
      </c>
      <c r="G495" s="1" t="n">
        <f aca="false">MAX(0,C495-B495)</f>
        <v>15909.7289648044</v>
      </c>
      <c r="H495" s="1" t="n">
        <f aca="false">MAX(MAX(0,D495-B495),MAX(0,E495-B495),IF(A495&lt;Assumptions!$B$6,MAX(0,-Assumptions!$B$22*B495),0))</f>
        <v>0</v>
      </c>
      <c r="I495" s="1" t="n">
        <f aca="false">MAX(0,F495-B495)</f>
        <v>285.559731371701</v>
      </c>
      <c r="J495" s="1" t="n">
        <f aca="false">SQRT(G495^2+H495^2+I495^2+2*Assumptions!$B$26*G495*H495+2*Assumptions!$B$27*G495*I495+2*Assumptions!$B$28*H495*I495)</f>
        <v>15983.5105361247</v>
      </c>
      <c r="K495" s="1" t="n">
        <f aca="false">J495*Discount!C24</f>
        <v>8564.21874323089</v>
      </c>
      <c r="L495" s="1" t="n">
        <f aca="false">Assumptions!$B$29*SUM(K495:K530)/Discount!C24</f>
        <v>7310.82365333955</v>
      </c>
      <c r="M495" s="73" t="n">
        <f aca="false">Projection!F24</f>
        <v>0.576822222557124</v>
      </c>
      <c r="N495" s="1" t="n">
        <f aca="false">I346</f>
        <v>6998.08780651212</v>
      </c>
      <c r="O495" s="1" t="n">
        <f aca="false">IF(M495&lt;=0,0,MAX(0,(J495+L495-N495)/M495))</f>
        <v>28251.7658746032</v>
      </c>
      <c r="P495" s="1" t="n">
        <f aca="false">SQRT(MAX(0,RiskMargin!C24-RiskMargin!B24)^2+MAX(MAX(0,RiskMargin!D24-RiskMargin!B24),MAX(0,RiskMargin!E24-RiskMargin!B24),IF(20&lt;Assumptions!$B$6,MAX(0,-Assumptions!$B$22*RiskMargin!B24),0))^2+MAX(0,RiskMargin!F24-RiskMargin!B24)^2+2*Assumptions!$B$26*MAX(0,RiskMargin!C24-RiskMargin!B24)*MAX(MAX(0,RiskMargin!D24-RiskMargin!B24),MAX(0,RiskMargin!E24-RiskMargin!B24),IF(20&lt;Assumptions!$B$6,MAX(0,-Assumptions!$B$22*RiskMargin!B24),0))+2*Assumptions!$B$27*MAX(0,RiskMargin!C24-RiskMargin!B24)*MAX(0,RiskMargin!F24-RiskMargin!B24)+2*Assumptions!$B$28*MAX(MAX(0,RiskMargin!D24-RiskMargin!B24),MAX(0,RiskMargin!E24-RiskMargin!B24),IF(20&lt;Assumptions!$B$6,MAX(0,-Assumptions!$B$22*RiskMargin!B24),0))*MAX(0,RiskMargin!F24-RiskMargin!B24))</f>
        <v>15983.5105361247</v>
      </c>
      <c r="Q495" s="1" t="n">
        <f aca="false">P495-RiskMargin!J24</f>
        <v>0</v>
      </c>
      <c r="R495" s="1" t="n">
        <f aca="false">SUMIFS(Projection!$P$4:$P$59,Projection!$B$4:$B$59,"&gt;="&amp;(Assumptions!$B$4+20))/Discount!C24</f>
        <v>119861.817053451</v>
      </c>
      <c r="S495" s="1" t="n">
        <f aca="false">R495-RiskMargin!B24</f>
        <v>0</v>
      </c>
    </row>
    <row r="496" customFormat="false" ht="15" hidden="false" customHeight="true" outlineLevel="0" collapsed="false">
      <c r="A496" s="1" t="n">
        <v>21</v>
      </c>
      <c r="B496" s="1" t="n">
        <f aca="false">(SUMIFS(Projection!$P$4:$P$59,Projection!$B$4:$B$59,"&gt;="&amp;(Assumptions!$B$4+21))+SUMIFS($D$415:$D$470,$B$415:$B$470,"&gt;="&amp;(Assumptions!$B$4+21)))/Discount!C25</f>
        <v>109453.915598359</v>
      </c>
      <c r="C496" s="1" t="n">
        <f aca="false">(Projection!F25/Projection!Q25)*(SUMIFS(Projection!$R$4:$R$59,Projection!$B$4:$B$59,"&gt;="&amp;(Assumptions!$B$4+21))+SUMIFS($E$415:$E$470,$B$415:$B$470,"&gt;="&amp;(Assumptions!$B$4+21)))/Discount!C25</f>
        <v>124568.845788614</v>
      </c>
      <c r="D496" s="1" t="n">
        <f aca="false">(Projection!F25/Projection!S25)*(SUMIFS(Projection!$T$4:$T$59,Projection!$B$4:$B$59,"&gt;="&amp;(Assumptions!$B$4+21))+SUMIFS($F$415:$F$470,$B$415:$B$470,"&gt;="&amp;(Assumptions!$B$4+21)))/Discount!C25</f>
        <v>109453.915598359</v>
      </c>
      <c r="E496" s="1" t="n">
        <f aca="false">(Projection!F25/Projection!U25)*(SUMIFS(Projection!$V$4:$V$59,Projection!$B$4:$B$59,"&gt;="&amp;(Assumptions!$B$4+21))+SUMIFS($G$415:$G$470,$B$415:$B$470,"&gt;="&amp;(Assumptions!$B$4+21)))/Discount!C25</f>
        <v>109453.915598359</v>
      </c>
      <c r="F496" s="1" t="n">
        <f aca="false">(SUMIFS(Projection!$W$4:$W$59,Projection!$B$4:$B$59,"&gt;="&amp;(Assumptions!$B$4+21))+SUMIFS($D$415:$D$470,$B$415:$B$470,"&gt;="&amp;(Assumptions!$B$4+21)))/Discount!C25</f>
        <v>109721.732754687</v>
      </c>
      <c r="G496" s="1" t="n">
        <f aca="false">MAX(0,C496-B496)</f>
        <v>15114.9301902556</v>
      </c>
      <c r="H496" s="1" t="n">
        <f aca="false">MAX(MAX(0,D496-B496),MAX(0,E496-B496),IF(A496&lt;Assumptions!$B$6,MAX(0,-Assumptions!$B$22*B496),0))</f>
        <v>0</v>
      </c>
      <c r="I496" s="1" t="n">
        <f aca="false">MAX(0,F496-B496)</f>
        <v>267.817156328398</v>
      </c>
      <c r="J496" s="1" t="n">
        <f aca="false">SQRT(G496^2+H496^2+I496^2+2*Assumptions!$B$26*G496*H496+2*Assumptions!$B$27*G496*I496+2*Assumptions!$B$28*H496*I496)</f>
        <v>15184.0989030088</v>
      </c>
      <c r="K496" s="1" t="n">
        <f aca="false">J496*Discount!C25</f>
        <v>7884.36974131572</v>
      </c>
      <c r="L496" s="1" t="n">
        <f aca="false">Assumptions!$B$29*SUM(K496:K530)/Discount!C25</f>
        <v>6554.43598584625</v>
      </c>
      <c r="M496" s="73" t="n">
        <f aca="false">Projection!F25</f>
        <v>0.548167803044827</v>
      </c>
      <c r="N496" s="1" t="n">
        <f aca="false">I347</f>
        <v>7221.32694999436</v>
      </c>
      <c r="O496" s="1" t="n">
        <f aca="false">IF(M496&lt;=0,0,MAX(0,(J496+L496-N496)/M496))</f>
        <v>26483.1459604597</v>
      </c>
      <c r="P496" s="1" t="n">
        <f aca="false">SQRT(MAX(0,RiskMargin!C25-RiskMargin!B25)^2+MAX(MAX(0,RiskMargin!D25-RiskMargin!B25),MAX(0,RiskMargin!E25-RiskMargin!B25),IF(21&lt;Assumptions!$B$6,MAX(0,-Assumptions!$B$22*RiskMargin!B25),0))^2+MAX(0,RiskMargin!F25-RiskMargin!B25)^2+2*Assumptions!$B$26*MAX(0,RiskMargin!C25-RiskMargin!B25)*MAX(MAX(0,RiskMargin!D25-RiskMargin!B25),MAX(0,RiskMargin!E25-RiskMargin!B25),IF(21&lt;Assumptions!$B$6,MAX(0,-Assumptions!$B$22*RiskMargin!B25),0))+2*Assumptions!$B$27*MAX(0,RiskMargin!C25-RiskMargin!B25)*MAX(0,RiskMargin!F25-RiskMargin!B25)+2*Assumptions!$B$28*MAX(MAX(0,RiskMargin!D25-RiskMargin!B25),MAX(0,RiskMargin!E25-RiskMargin!B25),IF(21&lt;Assumptions!$B$6,MAX(0,-Assumptions!$B$22*RiskMargin!B25),0))*MAX(0,RiskMargin!F25-RiskMargin!B25))</f>
        <v>15184.0989030088</v>
      </c>
      <c r="Q496" s="1" t="n">
        <f aca="false">P496-RiskMargin!J25</f>
        <v>0</v>
      </c>
      <c r="R496" s="1" t="n">
        <f aca="false">SUMIFS(Projection!$P$4:$P$59,Projection!$B$4:$B$59,"&gt;="&amp;(Assumptions!$B$4+21))/Discount!C25</f>
        <v>109453.915598359</v>
      </c>
      <c r="S496" s="1" t="n">
        <f aca="false">R496-RiskMargin!B25</f>
        <v>0</v>
      </c>
    </row>
    <row r="497" customFormat="false" ht="15" hidden="false" customHeight="true" outlineLevel="0" collapsed="false">
      <c r="A497" s="1" t="n">
        <v>22</v>
      </c>
      <c r="B497" s="1" t="n">
        <f aca="false">(SUMIFS(Projection!$P$4:$P$59,Projection!$B$4:$B$59,"&gt;="&amp;(Assumptions!$B$4+22))+SUMIFS($D$415:$D$470,$B$415:$B$470,"&gt;="&amp;(Assumptions!$B$4+22)))/Discount!C26</f>
        <v>99152.0218946052</v>
      </c>
      <c r="C497" s="1" t="n">
        <f aca="false">(Projection!F26/Projection!Q26)*(SUMIFS(Projection!$R$4:$R$59,Projection!$B$4:$B$59,"&gt;="&amp;(Assumptions!$B$4+22))+SUMIFS($E$415:$E$470,$B$415:$B$470,"&gt;="&amp;(Assumptions!$B$4+22)))/Discount!C26</f>
        <v>113395.259817791</v>
      </c>
      <c r="D497" s="1" t="n">
        <f aca="false">(Projection!F26/Projection!S26)*(SUMIFS(Projection!$T$4:$T$59,Projection!$B$4:$B$59,"&gt;="&amp;(Assumptions!$B$4+22))+SUMIFS($F$415:$F$470,$B$415:$B$470,"&gt;="&amp;(Assumptions!$B$4+22)))/Discount!C26</f>
        <v>99152.0218946053</v>
      </c>
      <c r="E497" s="1" t="n">
        <f aca="false">(Projection!F26/Projection!U26)*(SUMIFS(Projection!$V$4:$V$59,Projection!$B$4:$B$59,"&gt;="&amp;(Assumptions!$B$4+22))+SUMIFS($G$415:$G$470,$B$415:$B$470,"&gt;="&amp;(Assumptions!$B$4+22)))/Discount!C26</f>
        <v>99152.0218946052</v>
      </c>
      <c r="F497" s="1" t="n">
        <f aca="false">(SUMIFS(Projection!$W$4:$W$59,Projection!$B$4:$B$59,"&gt;="&amp;(Assumptions!$B$4+22))+SUMIFS($D$415:$D$470,$B$415:$B$470,"&gt;="&amp;(Assumptions!$B$4+22)))/Discount!C26</f>
        <v>99401.2160423298</v>
      </c>
      <c r="G497" s="1" t="n">
        <f aca="false">MAX(0,C497-B497)</f>
        <v>14243.2379231855</v>
      </c>
      <c r="H497" s="1" t="n">
        <f aca="false">MAX(MAX(0,D497-B497),MAX(0,E497-B497),IF(A497&lt;Assumptions!$B$6,MAX(0,-Assumptions!$B$22*B497),0))</f>
        <v>0</v>
      </c>
      <c r="I497" s="1" t="n">
        <f aca="false">MAX(0,F497-B497)</f>
        <v>249.194147724586</v>
      </c>
      <c r="J497" s="1" t="n">
        <f aca="false">SQRT(G497^2+H497^2+I497^2+2*Assumptions!$B$26*G497*H497+2*Assumptions!$B$27*G497*I497+2*Assumptions!$B$28*H497*I497)</f>
        <v>14307.5710736408</v>
      </c>
      <c r="K497" s="1" t="n">
        <f aca="false">J497*Discount!C26</f>
        <v>7199.42532515777</v>
      </c>
      <c r="L497" s="1" t="n">
        <f aca="false">Assumptions!$B$29*SUM(K497:K530)/Discount!C26</f>
        <v>5823.52718847984</v>
      </c>
      <c r="M497" s="73" t="n">
        <f aca="false">Projection!F26</f>
        <v>0.517281065049269</v>
      </c>
      <c r="N497" s="1" t="n">
        <f aca="false">I348</f>
        <v>7451.83186793575</v>
      </c>
      <c r="O497" s="1" t="n">
        <f aca="false">IF(M497&lt;=0,0,MAX(0,(J497+L497-N497)/M497))</f>
        <v>24511.3677087276</v>
      </c>
      <c r="P497" s="1" t="n">
        <f aca="false">SQRT(MAX(0,RiskMargin!C26-RiskMargin!B26)^2+MAX(MAX(0,RiskMargin!D26-RiskMargin!B26),MAX(0,RiskMargin!E26-RiskMargin!B26),IF(22&lt;Assumptions!$B$6,MAX(0,-Assumptions!$B$22*RiskMargin!B26),0))^2+MAX(0,RiskMargin!F26-RiskMargin!B26)^2+2*Assumptions!$B$26*MAX(0,RiskMargin!C26-RiskMargin!B26)*MAX(MAX(0,RiskMargin!D26-RiskMargin!B26),MAX(0,RiskMargin!E26-RiskMargin!B26),IF(22&lt;Assumptions!$B$6,MAX(0,-Assumptions!$B$22*RiskMargin!B26),0))+2*Assumptions!$B$27*MAX(0,RiskMargin!C26-RiskMargin!B26)*MAX(0,RiskMargin!F26-RiskMargin!B26)+2*Assumptions!$B$28*MAX(MAX(0,RiskMargin!D26-RiskMargin!B26),MAX(0,RiskMargin!E26-RiskMargin!B26),IF(22&lt;Assumptions!$B$6,MAX(0,-Assumptions!$B$22*RiskMargin!B26),0))*MAX(0,RiskMargin!F26-RiskMargin!B26))</f>
        <v>14307.5710736408</v>
      </c>
      <c r="Q497" s="1" t="n">
        <f aca="false">P497-RiskMargin!J26</f>
        <v>0</v>
      </c>
      <c r="R497" s="1" t="n">
        <f aca="false">SUMIFS(Projection!$P$4:$P$59,Projection!$B$4:$B$59,"&gt;="&amp;(Assumptions!$B$4+22))/Discount!C26</f>
        <v>99152.0218946052</v>
      </c>
      <c r="S497" s="1" t="n">
        <f aca="false">R497-RiskMargin!B26</f>
        <v>0</v>
      </c>
    </row>
    <row r="498" customFormat="false" ht="15" hidden="false" customHeight="true" outlineLevel="0" collapsed="false">
      <c r="A498" s="1" t="n">
        <v>23</v>
      </c>
      <c r="B498" s="1" t="n">
        <f aca="false">(SUMIFS(Projection!$P$4:$P$59,Projection!$B$4:$B$59,"&gt;="&amp;(Assumptions!$B$4+23))+SUMIFS($D$415:$D$470,$B$415:$B$470,"&gt;="&amp;(Assumptions!$B$4+23)))/Discount!C27</f>
        <v>89039.6052987347</v>
      </c>
      <c r="C498" s="1" t="n">
        <f aca="false">(Projection!F27/Projection!Q27)*(SUMIFS(Projection!$R$4:$R$59,Projection!$B$4:$B$59,"&gt;="&amp;(Assumptions!$B$4+23))+SUMIFS($E$415:$E$470,$B$415:$B$470,"&gt;="&amp;(Assumptions!$B$4+23)))/Discount!C27</f>
        <v>102340.573736475</v>
      </c>
      <c r="D498" s="1" t="n">
        <f aca="false">(Projection!F27/Projection!S27)*(SUMIFS(Projection!$T$4:$T$59,Projection!$B$4:$B$59,"&gt;="&amp;(Assumptions!$B$4+23))+SUMIFS($F$415:$F$470,$B$415:$B$470,"&gt;="&amp;(Assumptions!$B$4+23)))/Discount!C27</f>
        <v>89039.6052987347</v>
      </c>
      <c r="E498" s="1" t="n">
        <f aca="false">(Projection!F27/Projection!U27)*(SUMIFS(Projection!$V$4:$V$59,Projection!$B$4:$B$59,"&gt;="&amp;(Assumptions!$B$4+23))+SUMIFS($G$415:$G$470,$B$415:$B$470,"&gt;="&amp;(Assumptions!$B$4+23)))/Discount!C27</f>
        <v>89039.6052987346</v>
      </c>
      <c r="F498" s="1" t="n">
        <f aca="false">(SUMIFS(Projection!$W$4:$W$59,Projection!$B$4:$B$59,"&gt;="&amp;(Assumptions!$B$4+23))+SUMIFS($D$415:$D$470,$B$415:$B$470,"&gt;="&amp;(Assumptions!$B$4+23)))/Discount!C27</f>
        <v>89269.4848538941</v>
      </c>
      <c r="G498" s="1" t="n">
        <f aca="false">MAX(0,C498-B498)</f>
        <v>13300.9684377407</v>
      </c>
      <c r="H498" s="1" t="n">
        <f aca="false">MAX(MAX(0,D498-B498),MAX(0,E498-B498),IF(A498&lt;Assumptions!$B$6,MAX(0,-Assumptions!$B$22*B498),0))</f>
        <v>0</v>
      </c>
      <c r="I498" s="1" t="n">
        <f aca="false">MAX(0,F498-B498)</f>
        <v>229.879555159438</v>
      </c>
      <c r="J498" s="1" t="n">
        <f aca="false">SQRT(G498^2+H498^2+I498^2+2*Assumptions!$B$26*G498*H498+2*Assumptions!$B$27*G498*I498+2*Assumptions!$B$28*H498*I498)</f>
        <v>13360.2925246973</v>
      </c>
      <c r="K498" s="1" t="n">
        <f aca="false">J498*Discount!C27</f>
        <v>6514.68511988663</v>
      </c>
      <c r="L498" s="1" t="n">
        <f aca="false">Assumptions!$B$29*SUM(K498:K530)/Discount!C27</f>
        <v>5123.65747501966</v>
      </c>
      <c r="M498" s="73" t="n">
        <f aca="false">Projection!F27</f>
        <v>0.484226679255031</v>
      </c>
      <c r="N498" s="1" t="n">
        <f aca="false">I349</f>
        <v>7689.84356054684</v>
      </c>
      <c r="O498" s="1" t="n">
        <f aca="false">IF(M498&lt;=0,0,MAX(0,(J498+L498-N498)/M498))</f>
        <v>22291.4327144811</v>
      </c>
      <c r="P498" s="1" t="n">
        <f aca="false">SQRT(MAX(0,RiskMargin!C27-RiskMargin!B27)^2+MAX(MAX(0,RiskMargin!D27-RiskMargin!B27),MAX(0,RiskMargin!E27-RiskMargin!B27),IF(23&lt;Assumptions!$B$6,MAX(0,-Assumptions!$B$22*RiskMargin!B27),0))^2+MAX(0,RiskMargin!F27-RiskMargin!B27)^2+2*Assumptions!$B$26*MAX(0,RiskMargin!C27-RiskMargin!B27)*MAX(MAX(0,RiskMargin!D27-RiskMargin!B27),MAX(0,RiskMargin!E27-RiskMargin!B27),IF(23&lt;Assumptions!$B$6,MAX(0,-Assumptions!$B$22*RiskMargin!B27),0))+2*Assumptions!$B$27*MAX(0,RiskMargin!C27-RiskMargin!B27)*MAX(0,RiskMargin!F27-RiskMargin!B27)+2*Assumptions!$B$28*MAX(MAX(0,RiskMargin!D27-RiskMargin!B27),MAX(0,RiskMargin!E27-RiskMargin!B27),IF(23&lt;Assumptions!$B$6,MAX(0,-Assumptions!$B$22*RiskMargin!B27),0))*MAX(0,RiskMargin!F27-RiskMargin!B27))</f>
        <v>13360.2925246973</v>
      </c>
      <c r="Q498" s="1" t="n">
        <f aca="false">P498-RiskMargin!J27</f>
        <v>0</v>
      </c>
      <c r="R498" s="1" t="n">
        <f aca="false">SUMIFS(Projection!$P$4:$P$59,Projection!$B$4:$B$59,"&gt;="&amp;(Assumptions!$B$4+23))/Discount!C27</f>
        <v>89039.6052987347</v>
      </c>
      <c r="S498" s="1" t="n">
        <f aca="false">R498-RiskMargin!B27</f>
        <v>0</v>
      </c>
    </row>
    <row r="499" customFormat="false" ht="15" hidden="false" customHeight="true" outlineLevel="0" collapsed="false">
      <c r="A499" s="1" t="n">
        <v>24</v>
      </c>
      <c r="B499" s="1" t="n">
        <f aca="false">(SUMIFS(Projection!$P$4:$P$59,Projection!$B$4:$B$59,"&gt;="&amp;(Assumptions!$B$4+24))+SUMIFS($D$415:$D$470,$B$415:$B$470,"&gt;="&amp;(Assumptions!$B$4+24)))/Discount!C28</f>
        <v>79223.7441675393</v>
      </c>
      <c r="C499" s="1" t="n">
        <f aca="false">(Projection!F28/Projection!Q28)*(SUMIFS(Projection!$R$4:$R$59,Projection!$B$4:$B$59,"&gt;="&amp;(Assumptions!$B$4+24))+SUMIFS($E$415:$E$470,$B$415:$B$470,"&gt;="&amp;(Assumptions!$B$4+24)))/Discount!C28</f>
        <v>91523.6818777394</v>
      </c>
      <c r="D499" s="1" t="n">
        <f aca="false">(Projection!F28/Projection!S28)*(SUMIFS(Projection!$T$4:$T$59,Projection!$B$4:$B$59,"&gt;="&amp;(Assumptions!$B$4+24))+SUMIFS($F$415:$F$470,$B$415:$B$470,"&gt;="&amp;(Assumptions!$B$4+24)))/Discount!C28</f>
        <v>79223.7441675393</v>
      </c>
      <c r="E499" s="1" t="n">
        <f aca="false">(Projection!F28/Projection!U28)*(SUMIFS(Projection!$V$4:$V$59,Projection!$B$4:$B$59,"&gt;="&amp;(Assumptions!$B$4+24))+SUMIFS($G$415:$G$470,$B$415:$B$470,"&gt;="&amp;(Assumptions!$B$4+24)))/Discount!C28</f>
        <v>79223.7441675393</v>
      </c>
      <c r="F499" s="1" t="n">
        <f aca="false">(SUMIFS(Projection!$W$4:$W$59,Projection!$B$4:$B$59,"&gt;="&amp;(Assumptions!$B$4+24))+SUMIFS($D$415:$D$470,$B$415:$B$470,"&gt;="&amp;(Assumptions!$B$4+24)))/Discount!C28</f>
        <v>79433.8889802303</v>
      </c>
      <c r="G499" s="1" t="n">
        <f aca="false">MAX(0,C499-B499)</f>
        <v>12299.9377102001</v>
      </c>
      <c r="H499" s="1" t="n">
        <f aca="false">MAX(MAX(0,D499-B499),MAX(0,E499-B499),IF(A499&lt;Assumptions!$B$6,MAX(0,-Assumptions!$B$22*B499),0))</f>
        <v>0</v>
      </c>
      <c r="I499" s="1" t="n">
        <f aca="false">MAX(0,F499-B499)</f>
        <v>210.144812691025</v>
      </c>
      <c r="J499" s="1" t="n">
        <f aca="false">SQRT(G499^2+H499^2+I499^2+2*Assumptions!$B$26*G499*H499+2*Assumptions!$B$27*G499*I499+2*Assumptions!$B$28*H499*I499)</f>
        <v>12354.1496093505</v>
      </c>
      <c r="K499" s="1" t="n">
        <f aca="false">J499*Discount!C28</f>
        <v>5836.14964127061</v>
      </c>
      <c r="L499" s="1" t="n">
        <f aca="false">Assumptions!$B$29*SUM(K499:K530)/Discount!C28</f>
        <v>4461.21007162474</v>
      </c>
      <c r="M499" s="73" t="n">
        <f aca="false">Projection!F28</f>
        <v>0.449154499373439</v>
      </c>
      <c r="N499" s="1" t="n">
        <f aca="false">I350</f>
        <v>7937.45734617114</v>
      </c>
      <c r="O499" s="1" t="n">
        <f aca="false">IF(M499&lt;=0,0,MAX(0,(J499+L499-N499)/M499))</f>
        <v>19765.809642759</v>
      </c>
      <c r="P499" s="1" t="n">
        <f aca="false">SQRT(MAX(0,RiskMargin!C28-RiskMargin!B28)^2+MAX(MAX(0,RiskMargin!D28-RiskMargin!B28),MAX(0,RiskMargin!E28-RiskMargin!B28),IF(24&lt;Assumptions!$B$6,MAX(0,-Assumptions!$B$22*RiskMargin!B28),0))^2+MAX(0,RiskMargin!F28-RiskMargin!B28)^2+2*Assumptions!$B$26*MAX(0,RiskMargin!C28-RiskMargin!B28)*MAX(MAX(0,RiskMargin!D28-RiskMargin!B28),MAX(0,RiskMargin!E28-RiskMargin!B28),IF(24&lt;Assumptions!$B$6,MAX(0,-Assumptions!$B$22*RiskMargin!B28),0))+2*Assumptions!$B$27*MAX(0,RiskMargin!C28-RiskMargin!B28)*MAX(0,RiskMargin!F28-RiskMargin!B28)+2*Assumptions!$B$28*MAX(MAX(0,RiskMargin!D28-RiskMargin!B28),MAX(0,RiskMargin!E28-RiskMargin!B28),IF(24&lt;Assumptions!$B$6,MAX(0,-Assumptions!$B$22*RiskMargin!B28),0))*MAX(0,RiskMargin!F28-RiskMargin!B28))</f>
        <v>12354.1496093505</v>
      </c>
      <c r="Q499" s="1" t="n">
        <f aca="false">P499-RiskMargin!J28</f>
        <v>0</v>
      </c>
      <c r="R499" s="1" t="n">
        <f aca="false">SUMIFS(Projection!$P$4:$P$59,Projection!$B$4:$B$59,"&gt;="&amp;(Assumptions!$B$4+24))/Discount!C28</f>
        <v>79223.7441675393</v>
      </c>
      <c r="S499" s="1" t="n">
        <f aca="false">R499-RiskMargin!B28</f>
        <v>0</v>
      </c>
    </row>
    <row r="500" customFormat="false" ht="15" hidden="false" customHeight="true" outlineLevel="0" collapsed="false">
      <c r="A500" s="1" t="n">
        <v>25</v>
      </c>
      <c r="B500" s="1" t="n">
        <f aca="false">(SUMIFS(Projection!$P$4:$P$59,Projection!$B$4:$B$59,"&gt;="&amp;(Assumptions!$B$4+25))+SUMIFS($D$415:$D$470,$B$415:$B$470,"&gt;="&amp;(Assumptions!$B$4+25)))/Discount!C29</f>
        <v>69760.6047510813</v>
      </c>
      <c r="C500" s="1" t="n">
        <f aca="false">(Projection!F29/Projection!Q29)*(SUMIFS(Projection!$R$4:$R$59,Projection!$B$4:$B$59,"&gt;="&amp;(Assumptions!$B$4+25))+SUMIFS($E$415:$E$470,$B$415:$B$470,"&gt;="&amp;(Assumptions!$B$4+25)))/Discount!C29</f>
        <v>81006.4429255893</v>
      </c>
      <c r="D500" s="1" t="n">
        <f aca="false">(Projection!F29/Projection!S29)*(SUMIFS(Projection!$T$4:$T$59,Projection!$B$4:$B$59,"&gt;="&amp;(Assumptions!$B$4+25))+SUMIFS($F$415:$F$470,$B$415:$B$470,"&gt;="&amp;(Assumptions!$B$4+25)))/Discount!C29</f>
        <v>69760.6047510813</v>
      </c>
      <c r="E500" s="1" t="n">
        <f aca="false">(Projection!F29/Projection!U29)*(SUMIFS(Projection!$V$4:$V$59,Projection!$B$4:$B$59,"&gt;="&amp;(Assumptions!$B$4+25))+SUMIFS($G$415:$G$470,$B$415:$B$470,"&gt;="&amp;(Assumptions!$B$4+25)))/Discount!C29</f>
        <v>69760.6047510813</v>
      </c>
      <c r="F500" s="1" t="n">
        <f aca="false">(SUMIFS(Projection!$W$4:$W$59,Projection!$B$4:$B$59,"&gt;="&amp;(Assumptions!$B$4+25))+SUMIFS($D$415:$D$470,$B$415:$B$470,"&gt;="&amp;(Assumptions!$B$4+25)))/Discount!C29</f>
        <v>69950.7543135009</v>
      </c>
      <c r="G500" s="1" t="n">
        <f aca="false">MAX(0,C500-B500)</f>
        <v>11245.8381745079</v>
      </c>
      <c r="H500" s="1" t="n">
        <f aca="false">MAX(MAX(0,D500-B500),MAX(0,E500-B500),IF(A500&lt;Assumptions!$B$6,MAX(0,-Assumptions!$B$22*B500),0))</f>
        <v>0</v>
      </c>
      <c r="I500" s="1" t="n">
        <f aca="false">MAX(0,F500-B500)</f>
        <v>190.149562419523</v>
      </c>
      <c r="J500" s="1" t="n">
        <f aca="false">SQRT(G500^2+H500^2+I500^2+2*Assumptions!$B$26*G500*H500+2*Assumptions!$B$27*G500*I500+2*Assumptions!$B$28*H500*I500)</f>
        <v>11294.876214783</v>
      </c>
      <c r="K500" s="1" t="n">
        <f aca="false">J500*Discount!C29</f>
        <v>5170.3451647671</v>
      </c>
      <c r="L500" s="1" t="n">
        <f aca="false">Assumptions!$B$29*SUM(K500:K530)/Discount!C29</f>
        <v>3838.96275866848</v>
      </c>
      <c r="M500" s="73" t="n">
        <f aca="false">Projection!F29</f>
        <v>0.412314462599519</v>
      </c>
      <c r="N500" s="1" t="n">
        <f aca="false">I351</f>
        <v>8191.37683749045</v>
      </c>
      <c r="O500" s="1" t="n">
        <f aca="false">IF(M500&lt;=0,0,MAX(0,(J500+L500-N500)/M500))</f>
        <v>16837.7846660795</v>
      </c>
      <c r="P500" s="1" t="n">
        <f aca="false">SQRT(MAX(0,RiskMargin!C29-RiskMargin!B29)^2+MAX(MAX(0,RiskMargin!D29-RiskMargin!B29),MAX(0,RiskMargin!E29-RiskMargin!B29),IF(25&lt;Assumptions!$B$6,MAX(0,-Assumptions!$B$22*RiskMargin!B29),0))^2+MAX(0,RiskMargin!F29-RiskMargin!B29)^2+2*Assumptions!$B$26*MAX(0,RiskMargin!C29-RiskMargin!B29)*MAX(MAX(0,RiskMargin!D29-RiskMargin!B29),MAX(0,RiskMargin!E29-RiskMargin!B29),IF(25&lt;Assumptions!$B$6,MAX(0,-Assumptions!$B$22*RiskMargin!B29),0))+2*Assumptions!$B$27*MAX(0,RiskMargin!C29-RiskMargin!B29)*MAX(0,RiskMargin!F29-RiskMargin!B29)+2*Assumptions!$B$28*MAX(MAX(0,RiskMargin!D29-RiskMargin!B29),MAX(0,RiskMargin!E29-RiskMargin!B29),IF(25&lt;Assumptions!$B$6,MAX(0,-Assumptions!$B$22*RiskMargin!B29),0))*MAX(0,RiskMargin!F29-RiskMargin!B29))</f>
        <v>11294.876214783</v>
      </c>
      <c r="Q500" s="1" t="n">
        <f aca="false">P500-RiskMargin!J29</f>
        <v>0</v>
      </c>
      <c r="R500" s="1" t="n">
        <f aca="false">SUMIFS(Projection!$P$4:$P$59,Projection!$B$4:$B$59,"&gt;="&amp;(Assumptions!$B$4+25))/Discount!C29</f>
        <v>69760.6047510813</v>
      </c>
      <c r="S500" s="1" t="n">
        <f aca="false">R500-RiskMargin!B29</f>
        <v>0</v>
      </c>
    </row>
    <row r="501" customFormat="false" ht="15" hidden="false" customHeight="true" outlineLevel="0" collapsed="false">
      <c r="A501" s="1" t="n">
        <v>26</v>
      </c>
      <c r="B501" s="1" t="n">
        <f aca="false">(SUMIFS(Projection!$P$4:$P$59,Projection!$B$4:$B$59,"&gt;="&amp;(Assumptions!$B$4+26))+SUMIFS($D$415:$D$470,$B$415:$B$470,"&gt;="&amp;(Assumptions!$B$4+26)))/Discount!C30</f>
        <v>60774.6910577118</v>
      </c>
      <c r="C501" s="1" t="n">
        <f aca="false">(Projection!F30/Projection!Q30)*(SUMIFS(Projection!$R$4:$R$59,Projection!$B$4:$B$59,"&gt;="&amp;(Assumptions!$B$4+26))+SUMIFS($E$415:$E$470,$B$415:$B$470,"&gt;="&amp;(Assumptions!$B$4+26)))/Discount!C30</f>
        <v>70882.8019012963</v>
      </c>
      <c r="D501" s="1" t="n">
        <f aca="false">(Projection!F30/Projection!S30)*(SUMIFS(Projection!$T$4:$T$59,Projection!$B$4:$B$59,"&gt;="&amp;(Assumptions!$B$4+26))+SUMIFS($F$415:$F$470,$B$415:$B$470,"&gt;="&amp;(Assumptions!$B$4+26)))/Discount!C30</f>
        <v>60774.6910577118</v>
      </c>
      <c r="E501" s="1" t="n">
        <f aca="false">(Projection!F30/Projection!U30)*(SUMIFS(Projection!$V$4:$V$59,Projection!$B$4:$B$59,"&gt;="&amp;(Assumptions!$B$4+26))+SUMIFS($G$415:$G$470,$B$415:$B$470,"&gt;="&amp;(Assumptions!$B$4+26)))/Discount!C30</f>
        <v>60774.6910577118</v>
      </c>
      <c r="F501" s="1" t="n">
        <f aca="false">(SUMIFS(Projection!$W$4:$W$59,Projection!$B$4:$B$59,"&gt;="&amp;(Assumptions!$B$4+26))+SUMIFS($D$415:$D$470,$B$415:$B$470,"&gt;="&amp;(Assumptions!$B$4+26)))/Discount!C30</f>
        <v>60944.9538242087</v>
      </c>
      <c r="G501" s="1" t="n">
        <f aca="false">MAX(0,C501-B501)</f>
        <v>10108.1108435845</v>
      </c>
      <c r="H501" s="1" t="n">
        <f aca="false">MAX(MAX(0,D501-B501),MAX(0,E501-B501),IF(A501&lt;Assumptions!$B$6,MAX(0,-Assumptions!$B$22*B501),0))</f>
        <v>0</v>
      </c>
      <c r="I501" s="1" t="n">
        <f aca="false">MAX(0,F501-B501)</f>
        <v>170.26276649689</v>
      </c>
      <c r="J501" s="1" t="n">
        <f aca="false">SQRT(G501^2+H501^2+I501^2+2*Assumptions!$B$26*G501*H501+2*Assumptions!$B$27*G501*I501+2*Assumptions!$B$28*H501*I501)</f>
        <v>10152.015154342</v>
      </c>
      <c r="K501" s="1" t="n">
        <f aca="false">J501*Discount!C30</f>
        <v>4501.91156619074</v>
      </c>
      <c r="L501" s="1" t="n">
        <f aca="false">Assumptions!$B$29*SUM(K501:K530)/Discount!C30</f>
        <v>3263.28477305697</v>
      </c>
      <c r="M501" s="73" t="n">
        <f aca="false">Projection!F30</f>
        <v>0.372847430397582</v>
      </c>
      <c r="N501" s="1" t="n">
        <f aca="false">I352</f>
        <v>8455.71360030587</v>
      </c>
      <c r="O501" s="1" t="n">
        <f aca="false">IF(M501&lt;=0,0,MAX(0,(J501+L501-N501)/M501))</f>
        <v>13301.919023029</v>
      </c>
      <c r="P501" s="1" t="n">
        <f aca="false">SQRT(MAX(0,RiskMargin!C30-RiskMargin!B30)^2+MAX(MAX(0,RiskMargin!D30-RiskMargin!B30),MAX(0,RiskMargin!E30-RiskMargin!B30),IF(26&lt;Assumptions!$B$6,MAX(0,-Assumptions!$B$22*RiskMargin!B30),0))^2+MAX(0,RiskMargin!F30-RiskMargin!B30)^2+2*Assumptions!$B$26*MAX(0,RiskMargin!C30-RiskMargin!B30)*MAX(MAX(0,RiskMargin!D30-RiskMargin!B30),MAX(0,RiskMargin!E30-RiskMargin!B30),IF(26&lt;Assumptions!$B$6,MAX(0,-Assumptions!$B$22*RiskMargin!B30),0))+2*Assumptions!$B$27*MAX(0,RiskMargin!C30-RiskMargin!B30)*MAX(0,RiskMargin!F30-RiskMargin!B30)+2*Assumptions!$B$28*MAX(MAX(0,RiskMargin!D30-RiskMargin!B30),MAX(0,RiskMargin!E30-RiskMargin!B30),IF(26&lt;Assumptions!$B$6,MAX(0,-Assumptions!$B$22*RiskMargin!B30),0))*MAX(0,RiskMargin!F30-RiskMargin!B30))</f>
        <v>10152.015154342</v>
      </c>
      <c r="Q501" s="1" t="n">
        <f aca="false">P501-RiskMargin!J30</f>
        <v>0</v>
      </c>
      <c r="R501" s="1" t="n">
        <f aca="false">SUMIFS(Projection!$P$4:$P$59,Projection!$B$4:$B$59,"&gt;="&amp;(Assumptions!$B$4+26))/Discount!C30</f>
        <v>60774.6910577118</v>
      </c>
      <c r="S501" s="1" t="n">
        <f aca="false">R501-RiskMargin!B30</f>
        <v>0</v>
      </c>
    </row>
    <row r="502" customFormat="false" ht="15" hidden="false" customHeight="true" outlineLevel="0" collapsed="false">
      <c r="A502" s="1" t="n">
        <v>27</v>
      </c>
      <c r="B502" s="1" t="n">
        <f aca="false">(SUMIFS(Projection!$P$4:$P$59,Projection!$B$4:$B$59,"&gt;="&amp;(Assumptions!$B$4+27))+SUMIFS($D$415:$D$470,$B$415:$B$470,"&gt;="&amp;(Assumptions!$B$4+27)))/Discount!C31</f>
        <v>52359.2282329239</v>
      </c>
      <c r="C502" s="1" t="n">
        <f aca="false">(Projection!F31/Projection!Q31)*(SUMIFS(Projection!$R$4:$R$59,Projection!$B$4:$B$59,"&gt;="&amp;(Assumptions!$B$4+27))+SUMIFS($E$415:$E$470,$B$415:$B$470,"&gt;="&amp;(Assumptions!$B$4+27)))/Discount!C31</f>
        <v>61308.4298103841</v>
      </c>
      <c r="D502" s="1" t="n">
        <f aca="false">(Projection!F31/Projection!S31)*(SUMIFS(Projection!$T$4:$T$59,Projection!$B$4:$B$59,"&gt;="&amp;(Assumptions!$B$4+27))+SUMIFS($F$415:$F$470,$B$415:$B$470,"&gt;="&amp;(Assumptions!$B$4+27)))/Discount!C31</f>
        <v>52359.2282329239</v>
      </c>
      <c r="E502" s="1" t="n">
        <f aca="false">(Projection!F31/Projection!U31)*(SUMIFS(Projection!$V$4:$V$59,Projection!$B$4:$B$59,"&gt;="&amp;(Assumptions!$B$4+27))+SUMIFS($G$415:$G$470,$B$415:$B$470,"&gt;="&amp;(Assumptions!$B$4+27)))/Discount!C31</f>
        <v>52359.2282329239</v>
      </c>
      <c r="F502" s="1" t="n">
        <f aca="false">(SUMIFS(Projection!$W$4:$W$59,Projection!$B$4:$B$59,"&gt;="&amp;(Assumptions!$B$4+27))+SUMIFS($D$415:$D$470,$B$415:$B$470,"&gt;="&amp;(Assumptions!$B$4+27)))/Discount!C31</f>
        <v>52510.0110450848</v>
      </c>
      <c r="G502" s="1" t="n">
        <f aca="false">MAX(0,C502-B502)</f>
        <v>8949.20157746018</v>
      </c>
      <c r="H502" s="1" t="n">
        <f aca="false">MAX(MAX(0,D502-B502),MAX(0,E502-B502),IF(A502&lt;Assumptions!$B$6,MAX(0,-Assumptions!$B$22*B502),0))</f>
        <v>0</v>
      </c>
      <c r="I502" s="1" t="n">
        <f aca="false">MAX(0,F502-B502)</f>
        <v>150.782812160884</v>
      </c>
      <c r="J502" s="1" t="n">
        <f aca="false">SQRT(G502^2+H502^2+I502^2+2*Assumptions!$B$26*G502*H502+2*Assumptions!$B$27*G502*I502+2*Assumptions!$B$28*H502*I502)</f>
        <v>8988.08306707725</v>
      </c>
      <c r="K502" s="1" t="n">
        <f aca="false">J502*Discount!C31</f>
        <v>3862.02637452591</v>
      </c>
      <c r="L502" s="1" t="n">
        <f aca="false">Assumptions!$B$29*SUM(K502:K530)/Discount!C31</f>
        <v>2739.20336429233</v>
      </c>
      <c r="M502" s="73" t="n">
        <f aca="false">Projection!F31</f>
        <v>0.332624074601597</v>
      </c>
      <c r="N502" s="1" t="n">
        <f aca="false">I353</f>
        <v>8726.63495173955</v>
      </c>
      <c r="O502" s="1" t="n">
        <f aca="false">IF(M502&lt;=0,0,MAX(0,(J502+L502-N502)/M502))</f>
        <v>9021.14942589194</v>
      </c>
      <c r="P502" s="1" t="n">
        <f aca="false">SQRT(MAX(0,RiskMargin!C31-RiskMargin!B31)^2+MAX(MAX(0,RiskMargin!D31-RiskMargin!B31),MAX(0,RiskMargin!E31-RiskMargin!B31),IF(27&lt;Assumptions!$B$6,MAX(0,-Assumptions!$B$22*RiskMargin!B31),0))^2+MAX(0,RiskMargin!F31-RiskMargin!B31)^2+2*Assumptions!$B$26*MAX(0,RiskMargin!C31-RiskMargin!B31)*MAX(MAX(0,RiskMargin!D31-RiskMargin!B31),MAX(0,RiskMargin!E31-RiskMargin!B31),IF(27&lt;Assumptions!$B$6,MAX(0,-Assumptions!$B$22*RiskMargin!B31),0))+2*Assumptions!$B$27*MAX(0,RiskMargin!C31-RiskMargin!B31)*MAX(0,RiskMargin!F31-RiskMargin!B31)+2*Assumptions!$B$28*MAX(MAX(0,RiskMargin!D31-RiskMargin!B31),MAX(0,RiskMargin!E31-RiskMargin!B31),IF(27&lt;Assumptions!$B$6,MAX(0,-Assumptions!$B$22*RiskMargin!B31),0))*MAX(0,RiskMargin!F31-RiskMargin!B31))</f>
        <v>8988.08306707725</v>
      </c>
      <c r="Q502" s="1" t="n">
        <f aca="false">P502-RiskMargin!J31</f>
        <v>0</v>
      </c>
      <c r="R502" s="1" t="n">
        <f aca="false">SUMIFS(Projection!$P$4:$P$59,Projection!$B$4:$B$59,"&gt;="&amp;(Assumptions!$B$4+27))/Discount!C31</f>
        <v>52359.2282329239</v>
      </c>
      <c r="S502" s="1" t="n">
        <f aca="false">R502-RiskMargin!B31</f>
        <v>0</v>
      </c>
    </row>
    <row r="503" customFormat="false" ht="15" hidden="false" customHeight="true" outlineLevel="0" collapsed="false">
      <c r="A503" s="1" t="n">
        <v>28</v>
      </c>
      <c r="B503" s="1" t="n">
        <f aca="false">(SUMIFS(Projection!$P$4:$P$59,Projection!$B$4:$B$59,"&gt;="&amp;(Assumptions!$B$4+28))+SUMIFS($D$415:$D$470,$B$415:$B$470,"&gt;="&amp;(Assumptions!$B$4+28)))/Discount!C32</f>
        <v>44619.885400515</v>
      </c>
      <c r="C503" s="1" t="n">
        <f aca="false">(Projection!F32/Projection!Q32)*(SUMIFS(Projection!$R$4:$R$59,Projection!$B$4:$B$59,"&gt;="&amp;(Assumptions!$B$4+28))+SUMIFS($E$415:$E$470,$B$415:$B$470,"&gt;="&amp;(Assumptions!$B$4+28)))/Discount!C32</f>
        <v>52425.2446139043</v>
      </c>
      <c r="D503" s="1" t="n">
        <f aca="false">(Projection!F32/Projection!S32)*(SUMIFS(Projection!$T$4:$T$59,Projection!$B$4:$B$59,"&gt;="&amp;(Assumptions!$B$4+28))+SUMIFS($F$415:$F$470,$B$415:$B$470,"&gt;="&amp;(Assumptions!$B$4+28)))/Discount!C32</f>
        <v>44619.885400515</v>
      </c>
      <c r="E503" s="1" t="n">
        <f aca="false">(Projection!F32/Projection!U32)*(SUMIFS(Projection!$V$4:$V$59,Projection!$B$4:$B$59,"&gt;="&amp;(Assumptions!$B$4+28))+SUMIFS($G$415:$G$470,$B$415:$B$470,"&gt;="&amp;(Assumptions!$B$4+28)))/Discount!C32</f>
        <v>44619.885400515</v>
      </c>
      <c r="F503" s="1" t="n">
        <f aca="false">(SUMIFS(Projection!$W$4:$W$59,Projection!$B$4:$B$59,"&gt;="&amp;(Assumptions!$B$4+28))+SUMIFS($D$415:$D$470,$B$415:$B$470,"&gt;="&amp;(Assumptions!$B$4+28)))/Discount!C32</f>
        <v>44751.9790721666</v>
      </c>
      <c r="G503" s="1" t="n">
        <f aca="false">MAX(0,C503-B503)</f>
        <v>7805.35921338931</v>
      </c>
      <c r="H503" s="1" t="n">
        <f aca="false">MAX(MAX(0,D503-B503),MAX(0,E503-B503),IF(A503&lt;Assumptions!$B$6,MAX(0,-Assumptions!$B$22*B503),0))</f>
        <v>0</v>
      </c>
      <c r="I503" s="1" t="n">
        <f aca="false">MAX(0,F503-B503)</f>
        <v>132.093671651681</v>
      </c>
      <c r="J503" s="1" t="n">
        <f aca="false">SQRT(G503^2+H503^2+I503^2+2*Assumptions!$B$26*G503*H503+2*Assumptions!$B$27*G503*I503+2*Assumptions!$B$28*H503*I503)</f>
        <v>7839.4260291593</v>
      </c>
      <c r="K503" s="1" t="n">
        <f aca="false">J503*Discount!C32</f>
        <v>3262.94390399492</v>
      </c>
      <c r="L503" s="1" t="n">
        <f aca="false">Assumptions!$B$29*SUM(K503:K530)/Discount!C32</f>
        <v>2271.06406312207</v>
      </c>
      <c r="M503" s="73" t="n">
        <f aca="false">Projection!F32</f>
        <v>0.292623682400675</v>
      </c>
      <c r="N503" s="1" t="n">
        <f aca="false">I354</f>
        <v>9008.85560511983</v>
      </c>
      <c r="O503" s="1" t="n">
        <f aca="false">IF(M503&lt;=0,0,MAX(0,(J503+L503-N503)/M503))</f>
        <v>3764.67987185373</v>
      </c>
      <c r="P503" s="1" t="n">
        <f aca="false">SQRT(MAX(0,RiskMargin!C32-RiskMargin!B32)^2+MAX(MAX(0,RiskMargin!D32-RiskMargin!B32),MAX(0,RiskMargin!E32-RiskMargin!B32),IF(28&lt;Assumptions!$B$6,MAX(0,-Assumptions!$B$22*RiskMargin!B32),0))^2+MAX(0,RiskMargin!F32-RiskMargin!B32)^2+2*Assumptions!$B$26*MAX(0,RiskMargin!C32-RiskMargin!B32)*MAX(MAX(0,RiskMargin!D32-RiskMargin!B32),MAX(0,RiskMargin!E32-RiskMargin!B32),IF(28&lt;Assumptions!$B$6,MAX(0,-Assumptions!$B$22*RiskMargin!B32),0))+2*Assumptions!$B$27*MAX(0,RiskMargin!C32-RiskMargin!B32)*MAX(0,RiskMargin!F32-RiskMargin!B32)+2*Assumptions!$B$28*MAX(MAX(0,RiskMargin!D32-RiskMargin!B32),MAX(0,RiskMargin!E32-RiskMargin!B32),IF(28&lt;Assumptions!$B$6,MAX(0,-Assumptions!$B$22*RiskMargin!B32),0))*MAX(0,RiskMargin!F32-RiskMargin!B32))</f>
        <v>7839.4260291593</v>
      </c>
      <c r="Q503" s="1" t="n">
        <f aca="false">P503-RiskMargin!J32</f>
        <v>0</v>
      </c>
      <c r="R503" s="1" t="n">
        <f aca="false">SUMIFS(Projection!$P$4:$P$59,Projection!$B$4:$B$59,"&gt;="&amp;(Assumptions!$B$4+28))/Discount!C32</f>
        <v>44619.885400515</v>
      </c>
      <c r="S503" s="1" t="n">
        <f aca="false">R503-RiskMargin!B32</f>
        <v>0</v>
      </c>
    </row>
    <row r="504" customFormat="false" ht="15" hidden="false" customHeight="true" outlineLevel="0" collapsed="false">
      <c r="A504" s="1" t="n">
        <v>29</v>
      </c>
      <c r="B504" s="1" t="n">
        <f aca="false">(SUMIFS(Projection!$P$4:$P$59,Projection!$B$4:$B$59,"&gt;="&amp;(Assumptions!$B$4+29))+SUMIFS($D$415:$D$470,$B$415:$B$470,"&gt;="&amp;(Assumptions!$B$4+29)))/Discount!C33</f>
        <v>37599.8434270638</v>
      </c>
      <c r="C504" s="1" t="n">
        <f aca="false">(Projection!F33/Projection!Q33)*(SUMIFS(Projection!$R$4:$R$59,Projection!$B$4:$B$59,"&gt;="&amp;(Assumptions!$B$4+29))+SUMIFS($E$415:$E$470,$B$415:$B$470,"&gt;="&amp;(Assumptions!$B$4+29)))/Discount!C33</f>
        <v>44310.5888995635</v>
      </c>
      <c r="D504" s="1" t="n">
        <f aca="false">(Projection!F33/Projection!S33)*(SUMIFS(Projection!$T$4:$T$59,Projection!$B$4:$B$59,"&gt;="&amp;(Assumptions!$B$4+29))+SUMIFS($F$415:$F$470,$B$415:$B$470,"&gt;="&amp;(Assumptions!$B$4+29)))/Discount!C33</f>
        <v>37599.8434270638</v>
      </c>
      <c r="E504" s="1" t="n">
        <f aca="false">(Projection!F33/Projection!U33)*(SUMIFS(Projection!$V$4:$V$59,Projection!$B$4:$B$59,"&gt;="&amp;(Assumptions!$B$4+29))+SUMIFS($G$415:$G$470,$B$415:$B$470,"&gt;="&amp;(Assumptions!$B$4+29)))/Discount!C33</f>
        <v>37599.8434270638</v>
      </c>
      <c r="F504" s="1" t="n">
        <f aca="false">(SUMIFS(Projection!$W$4:$W$59,Projection!$B$4:$B$59,"&gt;="&amp;(Assumptions!$B$4+29))+SUMIFS($D$415:$D$470,$B$415:$B$470,"&gt;="&amp;(Assumptions!$B$4+29)))/Discount!C33</f>
        <v>37714.2738014739</v>
      </c>
      <c r="G504" s="1" t="n">
        <f aca="false">MAX(0,C504-B504)</f>
        <v>6710.74547249973</v>
      </c>
      <c r="H504" s="1" t="n">
        <f aca="false">MAX(MAX(0,D504-B504),MAX(0,E504-B504),IF(A504&lt;Assumptions!$B$6,MAX(0,-Assumptions!$B$22*B504),0))</f>
        <v>0</v>
      </c>
      <c r="I504" s="1" t="n">
        <f aca="false">MAX(0,F504-B504)</f>
        <v>114.430374410047</v>
      </c>
      <c r="J504" s="1" t="n">
        <f aca="false">SQRT(G504^2+H504^2+I504^2+2*Assumptions!$B$26*G504*H504+2*Assumptions!$B$27*G504*I504+2*Assumptions!$B$28*H504*I504)</f>
        <v>6740.2637682629</v>
      </c>
      <c r="K504" s="1" t="n">
        <f aca="false">J504*Discount!C33</f>
        <v>2717.45639774597</v>
      </c>
      <c r="L504" s="1" t="n">
        <f aca="false">Assumptions!$B$29*SUM(K504:K530)/Discount!C33</f>
        <v>1859.00540231706</v>
      </c>
      <c r="M504" s="73" t="n">
        <f aca="false">Projection!F33</f>
        <v>0.254005885445969</v>
      </c>
      <c r="N504" s="1" t="n">
        <f aca="false">I355</f>
        <v>9300.56376780841</v>
      </c>
      <c r="O504" s="1" t="n">
        <f aca="false">IF(M504&lt;=0,0,MAX(0,(J504+L504-N504)/M504))</f>
        <v>0</v>
      </c>
      <c r="P504" s="1" t="n">
        <f aca="false">SQRT(MAX(0,RiskMargin!C33-RiskMargin!B33)^2+MAX(MAX(0,RiskMargin!D33-RiskMargin!B33),MAX(0,RiskMargin!E33-RiskMargin!B33),IF(29&lt;Assumptions!$B$6,MAX(0,-Assumptions!$B$22*RiskMargin!B33),0))^2+MAX(0,RiskMargin!F33-RiskMargin!B33)^2+2*Assumptions!$B$26*MAX(0,RiskMargin!C33-RiskMargin!B33)*MAX(MAX(0,RiskMargin!D33-RiskMargin!B33),MAX(0,RiskMargin!E33-RiskMargin!B33),IF(29&lt;Assumptions!$B$6,MAX(0,-Assumptions!$B$22*RiskMargin!B33),0))+2*Assumptions!$B$27*MAX(0,RiskMargin!C33-RiskMargin!B33)*MAX(0,RiskMargin!F33-RiskMargin!B33)+2*Assumptions!$B$28*MAX(MAX(0,RiskMargin!D33-RiskMargin!B33),MAX(0,RiskMargin!E33-RiskMargin!B33),IF(29&lt;Assumptions!$B$6,MAX(0,-Assumptions!$B$22*RiskMargin!B33),0))*MAX(0,RiskMargin!F33-RiskMargin!B33))</f>
        <v>6740.2637682629</v>
      </c>
      <c r="Q504" s="1" t="n">
        <f aca="false">P504-RiskMargin!J33</f>
        <v>0</v>
      </c>
      <c r="R504" s="1" t="n">
        <f aca="false">SUMIFS(Projection!$P$4:$P$59,Projection!$B$4:$B$59,"&gt;="&amp;(Assumptions!$B$4+29))/Discount!C33</f>
        <v>37599.8434270638</v>
      </c>
      <c r="S504" s="1" t="n">
        <f aca="false">R504-RiskMargin!B33</f>
        <v>0</v>
      </c>
    </row>
    <row r="505" customFormat="false" ht="15" hidden="false" customHeight="true" outlineLevel="0" collapsed="false">
      <c r="A505" s="1" t="n">
        <v>30</v>
      </c>
      <c r="B505" s="1" t="n">
        <f aca="false">(SUMIFS(Projection!$P$4:$P$59,Projection!$B$4:$B$59,"&gt;="&amp;(Assumptions!$B$4+30))+SUMIFS($D$415:$D$470,$B$415:$B$470,"&gt;="&amp;(Assumptions!$B$4+30)))/Discount!C34</f>
        <v>31323.648378479</v>
      </c>
      <c r="C505" s="1" t="n">
        <f aca="false">(Projection!F34/Projection!Q34)*(SUMIFS(Projection!$R$4:$R$59,Projection!$B$4:$B$59,"&gt;="&amp;(Assumptions!$B$4+30))+SUMIFS($E$415:$E$470,$B$415:$B$470,"&gt;="&amp;(Assumptions!$B$4+30)))/Discount!C34</f>
        <v>37017.2306405122</v>
      </c>
      <c r="D505" s="1" t="n">
        <f aca="false">(Projection!F34/Projection!S34)*(SUMIFS(Projection!$T$4:$T$59,Projection!$B$4:$B$59,"&gt;="&amp;(Assumptions!$B$4+30))+SUMIFS($F$415:$F$470,$B$415:$B$470,"&gt;="&amp;(Assumptions!$B$4+30)))/Discount!C34</f>
        <v>31323.648378479</v>
      </c>
      <c r="E505" s="1" t="n">
        <f aca="false">(Projection!F34/Projection!U34)*(SUMIFS(Projection!$V$4:$V$59,Projection!$B$4:$B$59,"&gt;="&amp;(Assumptions!$B$4+30))+SUMIFS($G$415:$G$470,$B$415:$B$470,"&gt;="&amp;(Assumptions!$B$4+30)))/Discount!C34</f>
        <v>31323.648378479</v>
      </c>
      <c r="F505" s="1" t="n">
        <f aca="false">(SUMIFS(Projection!$W$4:$W$59,Projection!$B$4:$B$59,"&gt;="&amp;(Assumptions!$B$4+30))+SUMIFS($D$415:$D$470,$B$415:$B$470,"&gt;="&amp;(Assumptions!$B$4+30)))/Discount!C34</f>
        <v>31421.6469415036</v>
      </c>
      <c r="G505" s="1" t="n">
        <f aca="false">MAX(0,C505-B505)</f>
        <v>5693.58226203322</v>
      </c>
      <c r="H505" s="1" t="n">
        <f aca="false">MAX(MAX(0,D505-B505),MAX(0,E505-B505),IF(A505&lt;Assumptions!$B$6,MAX(0,-Assumptions!$B$22*B505),0))</f>
        <v>0</v>
      </c>
      <c r="I505" s="1" t="n">
        <f aca="false">MAX(0,F505-B505)</f>
        <v>97.998563024652</v>
      </c>
      <c r="J505" s="1" t="n">
        <f aca="false">SQRT(G505^2+H505^2+I505^2+2*Assumptions!$B$26*G505*H505+2*Assumptions!$B$27*G505*I505+2*Assumptions!$B$28*H505*I505)</f>
        <v>5718.8691306031</v>
      </c>
      <c r="K505" s="1" t="n">
        <f aca="false">J505*Discount!C34</f>
        <v>2233.26042797947</v>
      </c>
      <c r="L505" s="1" t="n">
        <f aca="false">Assumptions!$B$29*SUM(K505:K530)/Discount!C34</f>
        <v>1501.74761562012</v>
      </c>
      <c r="M505" s="73" t="n">
        <f aca="false">Projection!F34</f>
        <v>0.217698687470758</v>
      </c>
      <c r="N505" s="1" t="n">
        <f aca="false">I356</f>
        <v>9602.08961383644</v>
      </c>
      <c r="O505" s="1" t="n">
        <f aca="false">IF(M505&lt;=0,0,MAX(0,(J505+L505-N505)/M505))</f>
        <v>0</v>
      </c>
      <c r="P505" s="1" t="n">
        <f aca="false">SQRT(MAX(0,RiskMargin!C34-RiskMargin!B34)^2+MAX(MAX(0,RiskMargin!D34-RiskMargin!B34),MAX(0,RiskMargin!E34-RiskMargin!B34),IF(30&lt;Assumptions!$B$6,MAX(0,-Assumptions!$B$22*RiskMargin!B34),0))^2+MAX(0,RiskMargin!F34-RiskMargin!B34)^2+2*Assumptions!$B$26*MAX(0,RiskMargin!C34-RiskMargin!B34)*MAX(MAX(0,RiskMargin!D34-RiskMargin!B34),MAX(0,RiskMargin!E34-RiskMargin!B34),IF(30&lt;Assumptions!$B$6,MAX(0,-Assumptions!$B$22*RiskMargin!B34),0))+2*Assumptions!$B$27*MAX(0,RiskMargin!C34-RiskMargin!B34)*MAX(0,RiskMargin!F34-RiskMargin!B34)+2*Assumptions!$B$28*MAX(MAX(0,RiskMargin!D34-RiskMargin!B34),MAX(0,RiskMargin!E34-RiskMargin!B34),IF(30&lt;Assumptions!$B$6,MAX(0,-Assumptions!$B$22*RiskMargin!B34),0))*MAX(0,RiskMargin!F34-RiskMargin!B34))</f>
        <v>5718.8691306031</v>
      </c>
      <c r="Q505" s="1" t="n">
        <f aca="false">P505-RiskMargin!J34</f>
        <v>0</v>
      </c>
      <c r="R505" s="1" t="n">
        <f aca="false">SUMIFS(Projection!$P$4:$P$59,Projection!$B$4:$B$59,"&gt;="&amp;(Assumptions!$B$4+30))/Discount!C34</f>
        <v>31323.648378479</v>
      </c>
      <c r="S505" s="1" t="n">
        <f aca="false">R505-RiskMargin!B34</f>
        <v>0</v>
      </c>
    </row>
    <row r="506" customFormat="false" ht="15" hidden="false" customHeight="true" outlineLevel="0" collapsed="false">
      <c r="A506" s="1" t="n">
        <v>31</v>
      </c>
      <c r="B506" s="1" t="n">
        <f aca="false">(SUMIFS(Projection!$P$4:$P$59,Projection!$B$4:$B$59,"&gt;="&amp;(Assumptions!$B$4+31))+SUMIFS($D$415:$D$470,$B$415:$B$470,"&gt;="&amp;(Assumptions!$B$4+31)))/Discount!C35</f>
        <v>25779.9161564501</v>
      </c>
      <c r="C506" s="1" t="n">
        <f aca="false">(Projection!F35/Projection!Q35)*(SUMIFS(Projection!$R$4:$R$59,Projection!$B$4:$B$59,"&gt;="&amp;(Assumptions!$B$4+31))+SUMIFS($E$415:$E$470,$B$415:$B$470,"&gt;="&amp;(Assumptions!$B$4+31)))/Discount!C35</f>
        <v>30511.4404455449</v>
      </c>
      <c r="D506" s="1" t="n">
        <f aca="false">(Projection!F35/Projection!S35)*(SUMIFS(Projection!$T$4:$T$59,Projection!$B$4:$B$59,"&gt;="&amp;(Assumptions!$B$4+31))+SUMIFS($F$415:$F$470,$B$415:$B$470,"&gt;="&amp;(Assumptions!$B$4+31)))/Discount!C35</f>
        <v>25779.9161564501</v>
      </c>
      <c r="E506" s="1" t="n">
        <f aca="false">(Projection!F35/Projection!U35)*(SUMIFS(Projection!$V$4:$V$59,Projection!$B$4:$B$59,"&gt;="&amp;(Assumptions!$B$4+31))+SUMIFS($G$415:$G$470,$B$415:$B$470,"&gt;="&amp;(Assumptions!$B$4+31)))/Discount!C35</f>
        <v>25779.9161564501</v>
      </c>
      <c r="F506" s="1" t="n">
        <f aca="false">(SUMIFS(Projection!$W$4:$W$59,Projection!$B$4:$B$59,"&gt;="&amp;(Assumptions!$B$4+31))+SUMIFS($D$415:$D$470,$B$415:$B$470,"&gt;="&amp;(Assumptions!$B$4+31)))/Discount!C35</f>
        <v>25862.8261588427</v>
      </c>
      <c r="G506" s="1" t="n">
        <f aca="false">MAX(0,C506-B506)</f>
        <v>4731.52428909482</v>
      </c>
      <c r="H506" s="1" t="n">
        <f aca="false">MAX(MAX(0,D506-B506),MAX(0,E506-B506),IF(A506&lt;Assumptions!$B$6,MAX(0,-Assumptions!$B$22*B506),0))</f>
        <v>0</v>
      </c>
      <c r="I506" s="1" t="n">
        <f aca="false">MAX(0,F506-B506)</f>
        <v>82.9100023925494</v>
      </c>
      <c r="J506" s="1" t="n">
        <f aca="false">SQRT(G506^2+H506^2+I506^2+2*Assumptions!$B$26*G506*H506+2*Assumptions!$B$27*G506*I506+2*Assumptions!$B$28*H506*I506)</f>
        <v>4752.92978191932</v>
      </c>
      <c r="K506" s="1" t="n">
        <f aca="false">J506*Discount!C35</f>
        <v>1798.2404997558</v>
      </c>
      <c r="L506" s="1" t="n">
        <f aca="false">Assumptions!$B$29*SUM(K506:K530)/Discount!C35</f>
        <v>1195.86500729122</v>
      </c>
      <c r="M506" s="73" t="n">
        <f aca="false">Projection!F35</f>
        <v>0.183301739410898</v>
      </c>
      <c r="N506" s="1" t="n">
        <f aca="false">I357</f>
        <v>9910.79722768117</v>
      </c>
      <c r="O506" s="1" t="n">
        <f aca="false">IF(M506&lt;=0,0,MAX(0,(J506+L506-N506)/M506))</f>
        <v>0</v>
      </c>
      <c r="P506" s="1" t="n">
        <f aca="false">SQRT(MAX(0,RiskMargin!C35-RiskMargin!B35)^2+MAX(MAX(0,RiskMargin!D35-RiskMargin!B35),MAX(0,RiskMargin!E35-RiskMargin!B35),IF(31&lt;Assumptions!$B$6,MAX(0,-Assumptions!$B$22*RiskMargin!B35),0))^2+MAX(0,RiskMargin!F35-RiskMargin!B35)^2+2*Assumptions!$B$26*MAX(0,RiskMargin!C35-RiskMargin!B35)*MAX(MAX(0,RiskMargin!D35-RiskMargin!B35),MAX(0,RiskMargin!E35-RiskMargin!B35),IF(31&lt;Assumptions!$B$6,MAX(0,-Assumptions!$B$22*RiskMargin!B35),0))+2*Assumptions!$B$27*MAX(0,RiskMargin!C35-RiskMargin!B35)*MAX(0,RiskMargin!F35-RiskMargin!B35)+2*Assumptions!$B$28*MAX(MAX(0,RiskMargin!D35-RiskMargin!B35),MAX(0,RiskMargin!E35-RiskMargin!B35),IF(31&lt;Assumptions!$B$6,MAX(0,-Assumptions!$B$22*RiskMargin!B35),0))*MAX(0,RiskMargin!F35-RiskMargin!B35))</f>
        <v>4752.92978191932</v>
      </c>
      <c r="Q506" s="1" t="n">
        <f aca="false">P506-RiskMargin!J35</f>
        <v>0</v>
      </c>
      <c r="R506" s="1" t="n">
        <f aca="false">SUMIFS(Projection!$P$4:$P$59,Projection!$B$4:$B$59,"&gt;="&amp;(Assumptions!$B$4+31))/Discount!C35</f>
        <v>25779.9161564501</v>
      </c>
      <c r="S506" s="1" t="n">
        <f aca="false">R506-RiskMargin!B35</f>
        <v>0</v>
      </c>
    </row>
    <row r="507" customFormat="false" ht="15" hidden="false" customHeight="true" outlineLevel="0" collapsed="false">
      <c r="A507" s="1" t="n">
        <v>32</v>
      </c>
      <c r="B507" s="1" t="n">
        <f aca="false">(SUMIFS(Projection!$P$4:$P$59,Projection!$B$4:$B$59,"&gt;="&amp;(Assumptions!$B$4+32))+SUMIFS($D$415:$D$470,$B$415:$B$470,"&gt;="&amp;(Assumptions!$B$4+32)))/Discount!C36</f>
        <v>20989.4312317258</v>
      </c>
      <c r="C507" s="1" t="n">
        <f aca="false">(Projection!F36/Projection!Q36)*(SUMIFS(Projection!$R$4:$R$59,Projection!$B$4:$B$59,"&gt;="&amp;(Assumptions!$B$4+32))+SUMIFS($E$415:$E$470,$B$415:$B$470,"&gt;="&amp;(Assumptions!$B$4+32)))/Discount!C36</f>
        <v>24869.0621178486</v>
      </c>
      <c r="D507" s="1" t="n">
        <f aca="false">(Projection!F36/Projection!S36)*(SUMIFS(Projection!$T$4:$T$59,Projection!$B$4:$B$59,"&gt;="&amp;(Assumptions!$B$4+32))+SUMIFS($F$415:$F$470,$B$415:$B$470,"&gt;="&amp;(Assumptions!$B$4+32)))/Discount!C36</f>
        <v>20989.4312317258</v>
      </c>
      <c r="E507" s="1" t="n">
        <f aca="false">(Projection!F36/Projection!U36)*(SUMIFS(Projection!$V$4:$V$59,Projection!$B$4:$B$59,"&gt;="&amp;(Assumptions!$B$4+32))+SUMIFS($G$415:$G$470,$B$415:$B$470,"&gt;="&amp;(Assumptions!$B$4+32)))/Discount!C36</f>
        <v>20989.4312317258</v>
      </c>
      <c r="F507" s="1" t="n">
        <f aca="false">(SUMIFS(Projection!$W$4:$W$59,Projection!$B$4:$B$59,"&gt;="&amp;(Assumptions!$B$4+32))+SUMIFS($D$415:$D$470,$B$415:$B$470,"&gt;="&amp;(Assumptions!$B$4+32)))/Discount!C36</f>
        <v>21058.8093504696</v>
      </c>
      <c r="G507" s="1" t="n">
        <f aca="false">MAX(0,C507-B507)</f>
        <v>3879.63088612277</v>
      </c>
      <c r="H507" s="1" t="n">
        <f aca="false">MAX(MAX(0,D507-B507),MAX(0,E507-B507),IF(A507&lt;Assumptions!$B$6,MAX(0,-Assumptions!$B$22*B507),0))</f>
        <v>0</v>
      </c>
      <c r="I507" s="1" t="n">
        <f aca="false">MAX(0,F507-B507)</f>
        <v>69.3781187437744</v>
      </c>
      <c r="J507" s="1" t="n">
        <f aca="false">SQRT(G507^2+H507^2+I507^2+2*Assumptions!$B$26*G507*H507+2*Assumptions!$B$27*G507*I507+2*Assumptions!$B$28*H507*I507)</f>
        <v>3897.55434626227</v>
      </c>
      <c r="K507" s="1" t="n">
        <f aca="false">J507*Discount!C36</f>
        <v>1428.21181320737</v>
      </c>
      <c r="L507" s="1" t="n">
        <f aca="false">Assumptions!$B$29*SUM(K507:K530)/Discount!C36</f>
        <v>940.277688283721</v>
      </c>
      <c r="M507" s="73" t="n">
        <f aca="false">Projection!F36</f>
        <v>0.152474042651336</v>
      </c>
      <c r="N507" s="1" t="n">
        <f aca="false">I358</f>
        <v>10232.8009355865</v>
      </c>
      <c r="O507" s="1" t="n">
        <f aca="false">IF(M507&lt;=0,0,MAX(0,(J507+L507-N507)/M507))</f>
        <v>0</v>
      </c>
      <c r="P507" s="1" t="n">
        <f aca="false">SQRT(MAX(0,RiskMargin!C36-RiskMargin!B36)^2+MAX(MAX(0,RiskMargin!D36-RiskMargin!B36),MAX(0,RiskMargin!E36-RiskMargin!B36),IF(32&lt;Assumptions!$B$6,MAX(0,-Assumptions!$B$22*RiskMargin!B36),0))^2+MAX(0,RiskMargin!F36-RiskMargin!B36)^2+2*Assumptions!$B$26*MAX(0,RiskMargin!C36-RiskMargin!B36)*MAX(MAX(0,RiskMargin!D36-RiskMargin!B36),MAX(0,RiskMargin!E36-RiskMargin!B36),IF(32&lt;Assumptions!$B$6,MAX(0,-Assumptions!$B$22*RiskMargin!B36),0))+2*Assumptions!$B$27*MAX(0,RiskMargin!C36-RiskMargin!B36)*MAX(0,RiskMargin!F36-RiskMargin!B36)+2*Assumptions!$B$28*MAX(MAX(0,RiskMargin!D36-RiskMargin!B36),MAX(0,RiskMargin!E36-RiskMargin!B36),IF(32&lt;Assumptions!$B$6,MAX(0,-Assumptions!$B$22*RiskMargin!B36),0))*MAX(0,RiskMargin!F36-RiskMargin!B36))</f>
        <v>3897.55434626227</v>
      </c>
      <c r="Q507" s="1" t="n">
        <f aca="false">P507-RiskMargin!J36</f>
        <v>0</v>
      </c>
      <c r="R507" s="1" t="n">
        <f aca="false">SUMIFS(Projection!$P$4:$P$59,Projection!$B$4:$B$59,"&gt;="&amp;(Assumptions!$B$4+32))/Discount!C36</f>
        <v>20989.4312317258</v>
      </c>
      <c r="S507" s="1" t="n">
        <f aca="false">R507-RiskMargin!B36</f>
        <v>0</v>
      </c>
    </row>
    <row r="508" customFormat="false" ht="15" hidden="false" customHeight="true" outlineLevel="0" collapsed="false">
      <c r="A508" s="1" t="n">
        <v>33</v>
      </c>
      <c r="B508" s="1" t="n">
        <f aca="false">(SUMIFS(Projection!$P$4:$P$59,Projection!$B$4:$B$59,"&gt;="&amp;(Assumptions!$B$4+33))+SUMIFS($D$415:$D$470,$B$415:$B$470,"&gt;="&amp;(Assumptions!$B$4+33)))/Discount!C37</f>
        <v>16896.718262911</v>
      </c>
      <c r="C508" s="1" t="n">
        <f aca="false">(Projection!F37/Projection!Q37)*(SUMIFS(Projection!$R$4:$R$59,Projection!$B$4:$B$59,"&gt;="&amp;(Assumptions!$B$4+33))+SUMIFS($E$415:$E$470,$B$415:$B$470,"&gt;="&amp;(Assumptions!$B$4+33)))/Discount!C37</f>
        <v>20034.3592018655</v>
      </c>
      <c r="D508" s="1" t="n">
        <f aca="false">(Projection!F37/Projection!S37)*(SUMIFS(Projection!$T$4:$T$59,Projection!$B$4:$B$59,"&gt;="&amp;(Assumptions!$B$4+33))+SUMIFS($F$415:$F$470,$B$415:$B$470,"&gt;="&amp;(Assumptions!$B$4+33)))/Discount!C37</f>
        <v>16896.718262911</v>
      </c>
      <c r="E508" s="1" t="n">
        <f aca="false">(Projection!F37/Projection!U37)*(SUMIFS(Projection!$V$4:$V$59,Projection!$B$4:$B$59,"&gt;="&amp;(Assumptions!$B$4+33))+SUMIFS($G$415:$G$470,$B$415:$B$470,"&gt;="&amp;(Assumptions!$B$4+33)))/Discount!C37</f>
        <v>16896.718262911</v>
      </c>
      <c r="F508" s="1" t="n">
        <f aca="false">(SUMIFS(Projection!$W$4:$W$59,Projection!$B$4:$B$59,"&gt;="&amp;(Assumptions!$B$4+33))+SUMIFS($D$415:$D$470,$B$415:$B$470,"&gt;="&amp;(Assumptions!$B$4+33)))/Discount!C37</f>
        <v>16954.1059634561</v>
      </c>
      <c r="G508" s="1" t="n">
        <f aca="false">MAX(0,C508-B508)</f>
        <v>3137.64093895452</v>
      </c>
      <c r="H508" s="1" t="n">
        <f aca="false">MAX(MAX(0,D508-B508),MAX(0,E508-B508),IF(A508&lt;Assumptions!$B$6,MAX(0,-Assumptions!$B$22*B508),0))</f>
        <v>0</v>
      </c>
      <c r="I508" s="1" t="n">
        <f aca="false">MAX(0,F508-B508)</f>
        <v>57.3877005451541</v>
      </c>
      <c r="J508" s="1" t="n">
        <f aca="false">SQRT(G508^2+H508^2+I508^2+2*Assumptions!$B$26*G508*H508+2*Assumptions!$B$27*G508*I508+2*Assumptions!$B$28*H508*I508)</f>
        <v>3152.47759853877</v>
      </c>
      <c r="K508" s="1" t="n">
        <f aca="false">J508*Discount!C37</f>
        <v>1118.79285863934</v>
      </c>
      <c r="L508" s="1" t="n">
        <f aca="false">Assumptions!$B$29*SUM(K508:K530)/Discount!C37</f>
        <v>729.404558752574</v>
      </c>
      <c r="M508" s="73" t="n">
        <f aca="false">Projection!F37</f>
        <v>0.125320113771468</v>
      </c>
      <c r="N508" s="1" t="n">
        <f aca="false">I359</f>
        <v>10565.676044859</v>
      </c>
      <c r="O508" s="1" t="n">
        <f aca="false">IF(M508&lt;=0,0,MAX(0,(J508+L508-N508)/M508))</f>
        <v>0</v>
      </c>
      <c r="P508" s="1" t="n">
        <f aca="false">SQRT(MAX(0,RiskMargin!C37-RiskMargin!B37)^2+MAX(MAX(0,RiskMargin!D37-RiskMargin!B37),MAX(0,RiskMargin!E37-RiskMargin!B37),IF(33&lt;Assumptions!$B$6,MAX(0,-Assumptions!$B$22*RiskMargin!B37),0))^2+MAX(0,RiskMargin!F37-RiskMargin!B37)^2+2*Assumptions!$B$26*MAX(0,RiskMargin!C37-RiskMargin!B37)*MAX(MAX(0,RiskMargin!D37-RiskMargin!B37),MAX(0,RiskMargin!E37-RiskMargin!B37),IF(33&lt;Assumptions!$B$6,MAX(0,-Assumptions!$B$22*RiskMargin!B37),0))+2*Assumptions!$B$27*MAX(0,RiskMargin!C37-RiskMargin!B37)*MAX(0,RiskMargin!F37-RiskMargin!B37)+2*Assumptions!$B$28*MAX(MAX(0,RiskMargin!D37-RiskMargin!B37),MAX(0,RiskMargin!E37-RiskMargin!B37),IF(33&lt;Assumptions!$B$6,MAX(0,-Assumptions!$B$22*RiskMargin!B37),0))*MAX(0,RiskMargin!F37-RiskMargin!B37))</f>
        <v>3152.47759853877</v>
      </c>
      <c r="Q508" s="1" t="n">
        <f aca="false">P508-RiskMargin!J37</f>
        <v>0</v>
      </c>
      <c r="R508" s="1" t="n">
        <f aca="false">SUMIFS(Projection!$P$4:$P$59,Projection!$B$4:$B$59,"&gt;="&amp;(Assumptions!$B$4+33))/Discount!C37</f>
        <v>16896.718262911</v>
      </c>
      <c r="S508" s="1" t="n">
        <f aca="false">R508-RiskMargin!B37</f>
        <v>0</v>
      </c>
    </row>
    <row r="509" customFormat="false" ht="15" hidden="false" customHeight="true" outlineLevel="0" collapsed="false">
      <c r="A509" s="1" t="n">
        <v>34</v>
      </c>
      <c r="B509" s="1" t="n">
        <f aca="false">(SUMIFS(Projection!$P$4:$P$59,Projection!$B$4:$B$59,"&gt;="&amp;(Assumptions!$B$4+34))+SUMIFS($D$415:$D$470,$B$415:$B$470,"&gt;="&amp;(Assumptions!$B$4+34)))/Discount!C38</f>
        <v>13443.2357146417</v>
      </c>
      <c r="C509" s="1" t="n">
        <f aca="false">(Projection!F38/Projection!Q38)*(SUMIFS(Projection!$R$4:$R$59,Projection!$B$4:$B$59,"&gt;="&amp;(Assumptions!$B$4+34))+SUMIFS($E$415:$E$470,$B$415:$B$470,"&gt;="&amp;(Assumptions!$B$4+34)))/Discount!C38</f>
        <v>15944.8939645914</v>
      </c>
      <c r="D509" s="1" t="n">
        <f aca="false">(Projection!F38/Projection!S38)*(SUMIFS(Projection!$T$4:$T$59,Projection!$B$4:$B$59,"&gt;="&amp;(Assumptions!$B$4+34))+SUMIFS($F$415:$F$470,$B$415:$B$470,"&gt;="&amp;(Assumptions!$B$4+34)))/Discount!C38</f>
        <v>13443.2357146417</v>
      </c>
      <c r="E509" s="1" t="n">
        <f aca="false">(Projection!F38/Projection!U38)*(SUMIFS(Projection!$V$4:$V$59,Projection!$B$4:$B$59,"&gt;="&amp;(Assumptions!$B$4+34))+SUMIFS($G$415:$G$470,$B$415:$B$470,"&gt;="&amp;(Assumptions!$B$4+34)))/Discount!C38</f>
        <v>13443.2357146417</v>
      </c>
      <c r="F509" s="1" t="n">
        <f aca="false">(SUMIFS(Projection!$W$4:$W$59,Projection!$B$4:$B$59,"&gt;="&amp;(Assumptions!$B$4+34))+SUMIFS($D$415:$D$470,$B$415:$B$470,"&gt;="&amp;(Assumptions!$B$4+34)))/Discount!C38</f>
        <v>13490.1383686121</v>
      </c>
      <c r="G509" s="1" t="n">
        <f aca="false">MAX(0,C509-B509)</f>
        <v>2501.65824994968</v>
      </c>
      <c r="H509" s="1" t="n">
        <f aca="false">MAX(MAX(0,D509-B509),MAX(0,E509-B509),IF(A509&lt;Assumptions!$B$6,MAX(0,-Assumptions!$B$22*B509),0))</f>
        <v>0</v>
      </c>
      <c r="I509" s="1" t="n">
        <f aca="false">MAX(0,F509-B509)</f>
        <v>46.9026539703918</v>
      </c>
      <c r="J509" s="1" t="n">
        <f aca="false">SQRT(G509^2+H509^2+I509^2+2*Assumptions!$B$26*G509*H509+2*Assumptions!$B$27*G509*I509+2*Assumptions!$B$28*H509*I509)</f>
        <v>2513.79415706926</v>
      </c>
      <c r="K509" s="1" t="n">
        <f aca="false">J509*Discount!C38</f>
        <v>863.988166653126</v>
      </c>
      <c r="L509" s="1" t="n">
        <f aca="false">Assumptions!$B$29*SUM(K509:K530)/Discount!C38</f>
        <v>557.852155106822</v>
      </c>
      <c r="M509" s="73" t="n">
        <f aca="false">Projection!F38</f>
        <v>0.101764043420001</v>
      </c>
      <c r="N509" s="1" t="n">
        <f aca="false">I360</f>
        <v>10909.8024117804</v>
      </c>
      <c r="O509" s="1" t="n">
        <f aca="false">IF(M509&lt;=0,0,MAX(0,(J509+L509-N509)/M509))</f>
        <v>0</v>
      </c>
      <c r="P509" s="1" t="n">
        <f aca="false">SQRT(MAX(0,RiskMargin!C38-RiskMargin!B38)^2+MAX(MAX(0,RiskMargin!D38-RiskMargin!B38),MAX(0,RiskMargin!E38-RiskMargin!B38),IF(34&lt;Assumptions!$B$6,MAX(0,-Assumptions!$B$22*RiskMargin!B38),0))^2+MAX(0,RiskMargin!F38-RiskMargin!B38)^2+2*Assumptions!$B$26*MAX(0,RiskMargin!C38-RiskMargin!B38)*MAX(MAX(0,RiskMargin!D38-RiskMargin!B38),MAX(0,RiskMargin!E38-RiskMargin!B38),IF(34&lt;Assumptions!$B$6,MAX(0,-Assumptions!$B$22*RiskMargin!B38),0))+2*Assumptions!$B$27*MAX(0,RiskMargin!C38-RiskMargin!B38)*MAX(0,RiskMargin!F38-RiskMargin!B38)+2*Assumptions!$B$28*MAX(MAX(0,RiskMargin!D38-RiskMargin!B38),MAX(0,RiskMargin!E38-RiskMargin!B38),IF(34&lt;Assumptions!$B$6,MAX(0,-Assumptions!$B$22*RiskMargin!B38),0))*MAX(0,RiskMargin!F38-RiskMargin!B38))</f>
        <v>2513.79415706926</v>
      </c>
      <c r="Q509" s="1" t="n">
        <f aca="false">P509-RiskMargin!J38</f>
        <v>0</v>
      </c>
      <c r="R509" s="1" t="n">
        <f aca="false">SUMIFS(Projection!$P$4:$P$59,Projection!$B$4:$B$59,"&gt;="&amp;(Assumptions!$B$4+34))/Discount!C38</f>
        <v>13443.2357146417</v>
      </c>
      <c r="S509" s="1" t="n">
        <f aca="false">R509-RiskMargin!B38</f>
        <v>0</v>
      </c>
    </row>
    <row r="510" customFormat="false" ht="15" hidden="false" customHeight="true" outlineLevel="0" collapsed="false">
      <c r="A510" s="1" t="n">
        <v>35</v>
      </c>
      <c r="B510" s="1" t="n">
        <f aca="false">(SUMIFS(Projection!$P$4:$P$59,Projection!$B$4:$B$59,"&gt;="&amp;(Assumptions!$B$4+35))+SUMIFS($D$415:$D$470,$B$415:$B$470,"&gt;="&amp;(Assumptions!$B$4+35)))/Discount!C39</f>
        <v>10565.1454049468</v>
      </c>
      <c r="C510" s="1" t="n">
        <f aca="false">(Projection!F39/Projection!Q39)*(SUMIFS(Projection!$R$4:$R$59,Projection!$B$4:$B$59,"&gt;="&amp;(Assumptions!$B$4+35))+SUMIFS($E$415:$E$470,$B$415:$B$470,"&gt;="&amp;(Assumptions!$B$4+35)))/Discount!C39</f>
        <v>12529.4491591102</v>
      </c>
      <c r="D510" s="1" t="n">
        <f aca="false">(Projection!F39/Projection!S39)*(SUMIFS(Projection!$T$4:$T$59,Projection!$B$4:$B$59,"&gt;="&amp;(Assumptions!$B$4+35))+SUMIFS($F$415:$F$470,$B$415:$B$470,"&gt;="&amp;(Assumptions!$B$4+35)))/Discount!C39</f>
        <v>10565.1454049468</v>
      </c>
      <c r="E510" s="1" t="n">
        <f aca="false">(Projection!F39/Projection!U39)*(SUMIFS(Projection!$V$4:$V$59,Projection!$B$4:$B$59,"&gt;="&amp;(Assumptions!$B$4+35))+SUMIFS($G$415:$G$470,$B$415:$B$470,"&gt;="&amp;(Assumptions!$B$4+35)))/Discount!C39</f>
        <v>10565.1454049468</v>
      </c>
      <c r="F510" s="1" t="n">
        <f aca="false">(SUMIFS(Projection!$W$4:$W$59,Projection!$B$4:$B$59,"&gt;="&amp;(Assumptions!$B$4+35))+SUMIFS($D$415:$D$470,$B$415:$B$470,"&gt;="&amp;(Assumptions!$B$4+35)))/Discount!C39</f>
        <v>10602.9994064468</v>
      </c>
      <c r="G510" s="1" t="n">
        <f aca="false">MAX(0,C510-B510)</f>
        <v>1964.30375416336</v>
      </c>
      <c r="H510" s="1" t="n">
        <f aca="false">MAX(MAX(0,D510-B510),MAX(0,E510-B510),IF(A510&lt;Assumptions!$B$6,MAX(0,-Assumptions!$B$22*B510),0))</f>
        <v>0</v>
      </c>
      <c r="I510" s="1" t="n">
        <f aca="false">MAX(0,F510-B510)</f>
        <v>37.8540014999198</v>
      </c>
      <c r="J510" s="1" t="n">
        <f aca="false">SQRT(G510^2+H510^2+I510^2+2*Assumptions!$B$26*G510*H510+2*Assumptions!$B$27*G510*I510+2*Assumptions!$B$28*H510*I510)</f>
        <v>1974.1075306776</v>
      </c>
      <c r="K510" s="1" t="n">
        <f aca="false">J510*Discount!C39</f>
        <v>657.071247607511</v>
      </c>
      <c r="L510" s="1" t="n">
        <f aca="false">Assumptions!$B$29*SUM(K510:K530)/Discount!C39</f>
        <v>420.297668709236</v>
      </c>
      <c r="M510" s="73" t="n">
        <f aca="false">Projection!F39</f>
        <v>0.0816076307860552</v>
      </c>
      <c r="N510" s="1" t="n">
        <f aca="false">I361</f>
        <v>11265.5735852048</v>
      </c>
      <c r="O510" s="1" t="n">
        <f aca="false">IF(M510&lt;=0,0,MAX(0,(J510+L510-N510)/M510))</f>
        <v>0</v>
      </c>
      <c r="P510" s="1" t="n">
        <f aca="false">SQRT(MAX(0,RiskMargin!C39-RiskMargin!B39)^2+MAX(MAX(0,RiskMargin!D39-RiskMargin!B39),MAX(0,RiskMargin!E39-RiskMargin!B39),IF(35&lt;Assumptions!$B$6,MAX(0,-Assumptions!$B$22*RiskMargin!B39),0))^2+MAX(0,RiskMargin!F39-RiskMargin!B39)^2+2*Assumptions!$B$26*MAX(0,RiskMargin!C39-RiskMargin!B39)*MAX(MAX(0,RiskMargin!D39-RiskMargin!B39),MAX(0,RiskMargin!E39-RiskMargin!B39),IF(35&lt;Assumptions!$B$6,MAX(0,-Assumptions!$B$22*RiskMargin!B39),0))+2*Assumptions!$B$27*MAX(0,RiskMargin!C39-RiskMargin!B39)*MAX(0,RiskMargin!F39-RiskMargin!B39)+2*Assumptions!$B$28*MAX(MAX(0,RiskMargin!D39-RiskMargin!B39),MAX(0,RiskMargin!E39-RiskMargin!B39),IF(35&lt;Assumptions!$B$6,MAX(0,-Assumptions!$B$22*RiskMargin!B39),0))*MAX(0,RiskMargin!F39-RiskMargin!B39))</f>
        <v>1974.1075306776</v>
      </c>
      <c r="Q510" s="1" t="n">
        <f aca="false">P510-RiskMargin!J39</f>
        <v>0</v>
      </c>
      <c r="R510" s="1" t="n">
        <f aca="false">SUMIFS(Projection!$P$4:$P$59,Projection!$B$4:$B$59,"&gt;="&amp;(Assumptions!$B$4+35))/Discount!C39</f>
        <v>10565.1454049468</v>
      </c>
      <c r="S510" s="1" t="n">
        <f aca="false">R510-RiskMargin!B39</f>
        <v>0</v>
      </c>
    </row>
    <row r="511" customFormat="false" ht="15" hidden="false" customHeight="true" outlineLevel="0" collapsed="false">
      <c r="A511" s="1" t="n">
        <v>36</v>
      </c>
      <c r="B511" s="1" t="n">
        <f aca="false">(SUMIFS(Projection!$P$4:$P$59,Projection!$B$4:$B$59,"&gt;="&amp;(Assumptions!$B$4+36))+SUMIFS($D$415:$D$470,$B$415:$B$470,"&gt;="&amp;(Assumptions!$B$4+36)))/Discount!C40</f>
        <v>8194.28171159302</v>
      </c>
      <c r="C511" s="1" t="n">
        <f aca="false">(Projection!F40/Projection!Q40)*(SUMIFS(Projection!$R$4:$R$59,Projection!$B$4:$B$59,"&gt;="&amp;(Assumptions!$B$4+36))+SUMIFS($E$415:$E$470,$B$415:$B$470,"&gt;="&amp;(Assumptions!$B$4+36)))/Discount!C40</f>
        <v>9709.89582517969</v>
      </c>
      <c r="D511" s="1" t="n">
        <f aca="false">(Projection!F40/Projection!S40)*(SUMIFS(Projection!$T$4:$T$59,Projection!$B$4:$B$59,"&gt;="&amp;(Assumptions!$B$4+36))+SUMIFS($F$415:$F$470,$B$415:$B$470,"&gt;="&amp;(Assumptions!$B$4+36)))/Discount!C40</f>
        <v>8194.28171159302</v>
      </c>
      <c r="E511" s="1" t="n">
        <f aca="false">(Projection!F40/Projection!U40)*(SUMIFS(Projection!$V$4:$V$59,Projection!$B$4:$B$59,"&gt;="&amp;(Assumptions!$B$4+36))+SUMIFS($G$415:$G$470,$B$415:$B$470,"&gt;="&amp;(Assumptions!$B$4+36)))/Discount!C40</f>
        <v>8194.28171159302</v>
      </c>
      <c r="F511" s="1" t="n">
        <f aca="false">(SUMIFS(Projection!$W$4:$W$59,Projection!$B$4:$B$59,"&gt;="&amp;(Assumptions!$B$4+36))+SUMIFS($D$415:$D$470,$B$415:$B$470,"&gt;="&amp;(Assumptions!$B$4+36)))/Discount!C40</f>
        <v>8224.42095812353</v>
      </c>
      <c r="G511" s="1" t="n">
        <f aca="false">MAX(0,C511-B511)</f>
        <v>1515.61411358667</v>
      </c>
      <c r="H511" s="1" t="n">
        <f aca="false">MAX(MAX(0,D511-B511),MAX(0,E511-B511),IF(A511&lt;Assumptions!$B$6,MAX(0,-Assumptions!$B$22*B511),0))</f>
        <v>0</v>
      </c>
      <c r="I511" s="1" t="n">
        <f aca="false">MAX(0,F511-B511)</f>
        <v>30.1392465305107</v>
      </c>
      <c r="J511" s="1" t="n">
        <f aca="false">SQRT(G511^2+H511^2+I511^2+2*Assumptions!$B$26*G511*H511+2*Assumptions!$B$27*G511*I511+2*Assumptions!$B$28*H511*I511)</f>
        <v>1523.42845227198</v>
      </c>
      <c r="K511" s="1" t="n">
        <f aca="false">J511*Discount!C40</f>
        <v>491.204090592478</v>
      </c>
      <c r="L511" s="1" t="n">
        <f aca="false">Assumptions!$B$29*SUM(K511:K530)/Discount!C40</f>
        <v>311.598011091505</v>
      </c>
      <c r="M511" s="73" t="n">
        <f aca="false">Projection!F40</f>
        <v>0.0645778729615461</v>
      </c>
      <c r="N511" s="1" t="n">
        <f aca="false">I362</f>
        <v>11629.3396441173</v>
      </c>
      <c r="O511" s="1" t="n">
        <f aca="false">IF(M511&lt;=0,0,MAX(0,(J511+L511-N511)/M511))</f>
        <v>0</v>
      </c>
      <c r="P511" s="1" t="n">
        <f aca="false">SQRT(MAX(0,RiskMargin!C40-RiskMargin!B40)^2+MAX(MAX(0,RiskMargin!D40-RiskMargin!B40),MAX(0,RiskMargin!E40-RiskMargin!B40),IF(36&lt;Assumptions!$B$6,MAX(0,-Assumptions!$B$22*RiskMargin!B40),0))^2+MAX(0,RiskMargin!F40-RiskMargin!B40)^2+2*Assumptions!$B$26*MAX(0,RiskMargin!C40-RiskMargin!B40)*MAX(MAX(0,RiskMargin!D40-RiskMargin!B40),MAX(0,RiskMargin!E40-RiskMargin!B40),IF(36&lt;Assumptions!$B$6,MAX(0,-Assumptions!$B$22*RiskMargin!B40),0))+2*Assumptions!$B$27*MAX(0,RiskMargin!C40-RiskMargin!B40)*MAX(0,RiskMargin!F40-RiskMargin!B40)+2*Assumptions!$B$28*MAX(MAX(0,RiskMargin!D40-RiskMargin!B40),MAX(0,RiskMargin!E40-RiskMargin!B40),IF(36&lt;Assumptions!$B$6,MAX(0,-Assumptions!$B$22*RiskMargin!B40),0))*MAX(0,RiskMargin!F40-RiskMargin!B40))</f>
        <v>1523.42845227198</v>
      </c>
      <c r="Q511" s="1" t="n">
        <f aca="false">P511-RiskMargin!J40</f>
        <v>0</v>
      </c>
      <c r="R511" s="1" t="n">
        <f aca="false">SUMIFS(Projection!$P$4:$P$59,Projection!$B$4:$B$59,"&gt;="&amp;(Assumptions!$B$4+36))/Discount!C40</f>
        <v>8194.28171159302</v>
      </c>
      <c r="S511" s="1" t="n">
        <f aca="false">R511-RiskMargin!B40</f>
        <v>0</v>
      </c>
    </row>
    <row r="512" customFormat="false" ht="15" hidden="false" customHeight="true" outlineLevel="0" collapsed="false">
      <c r="A512" s="1" t="n">
        <v>37</v>
      </c>
      <c r="B512" s="1" t="n">
        <f aca="false">(SUMIFS(Projection!$P$4:$P$59,Projection!$B$4:$B$59,"&gt;="&amp;(Assumptions!$B$4+37))+SUMIFS($D$415:$D$470,$B$415:$B$470,"&gt;="&amp;(Assumptions!$B$4+37)))/Discount!C41</f>
        <v>6272.18505240699</v>
      </c>
      <c r="C512" s="1" t="n">
        <f aca="false">(Projection!F41/Projection!Q41)*(SUMIFS(Projection!$R$4:$R$59,Projection!$B$4:$B$59,"&gt;="&amp;(Assumptions!$B$4+37))+SUMIFS($E$415:$E$470,$B$415:$B$470,"&gt;="&amp;(Assumptions!$B$4+37)))/Discount!C41</f>
        <v>7418.54445306019</v>
      </c>
      <c r="D512" s="1" t="n">
        <f aca="false">(Projection!F41/Projection!S41)*(SUMIFS(Projection!$T$4:$T$59,Projection!$B$4:$B$59,"&gt;="&amp;(Assumptions!$B$4+37))+SUMIFS($F$415:$F$470,$B$415:$B$470,"&gt;="&amp;(Assumptions!$B$4+37)))/Discount!C41</f>
        <v>6272.18505240699</v>
      </c>
      <c r="E512" s="1" t="n">
        <f aca="false">(Projection!F41/Projection!U41)*(SUMIFS(Projection!$V$4:$V$59,Projection!$B$4:$B$59,"&gt;="&amp;(Assumptions!$B$4+37))+SUMIFS($G$415:$G$470,$B$415:$B$470,"&gt;="&amp;(Assumptions!$B$4+37)))/Discount!C41</f>
        <v>6272.18505240699</v>
      </c>
      <c r="F512" s="1" t="n">
        <f aca="false">(SUMIFS(Projection!$W$4:$W$59,Projection!$B$4:$B$59,"&gt;="&amp;(Assumptions!$B$4+37))+SUMIFS($D$415:$D$470,$B$415:$B$470,"&gt;="&amp;(Assumptions!$B$4+37)))/Discount!C41</f>
        <v>6295.85709997654</v>
      </c>
      <c r="G512" s="1" t="n">
        <f aca="false">MAX(0,C512-B512)</f>
        <v>1146.3594006532</v>
      </c>
      <c r="H512" s="1" t="n">
        <f aca="false">MAX(MAX(0,D512-B512),MAX(0,E512-B512),IF(A512&lt;Assumptions!$B$6,MAX(0,-Assumptions!$B$22*B512),0))</f>
        <v>0</v>
      </c>
      <c r="I512" s="1" t="n">
        <f aca="false">MAX(0,F512-B512)</f>
        <v>23.6720475695529</v>
      </c>
      <c r="J512" s="1" t="n">
        <f aca="false">SQRT(G512^2+H512^2+I512^2+2*Assumptions!$B$26*G512*H512+2*Assumptions!$B$27*G512*I512+2*Assumptions!$B$28*H512*I512)</f>
        <v>1152.50534854903</v>
      </c>
      <c r="K512" s="1" t="n">
        <f aca="false">J512*Discount!C41</f>
        <v>359.846255007856</v>
      </c>
      <c r="L512" s="1" t="n">
        <f aca="false">Assumptions!$B$29*SUM(K512:K530)/Discount!C41</f>
        <v>227.38824530494</v>
      </c>
      <c r="M512" s="73" t="n">
        <f aca="false">Projection!F41</f>
        <v>0.0503627086065056</v>
      </c>
      <c r="N512" s="1" t="n">
        <f aca="false">I363</f>
        <v>12009.3894665328</v>
      </c>
      <c r="O512" s="1" t="n">
        <f aca="false">IF(M512&lt;=0,0,MAX(0,(J512+L512-N512)/M512))</f>
        <v>0</v>
      </c>
      <c r="P512" s="1" t="n">
        <f aca="false">SQRT(MAX(0,RiskMargin!C41-RiskMargin!B41)^2+MAX(MAX(0,RiskMargin!D41-RiskMargin!B41),MAX(0,RiskMargin!E41-RiskMargin!B41),IF(37&lt;Assumptions!$B$6,MAX(0,-Assumptions!$B$22*RiskMargin!B41),0))^2+MAX(0,RiskMargin!F41-RiskMargin!B41)^2+2*Assumptions!$B$26*MAX(0,RiskMargin!C41-RiskMargin!B41)*MAX(MAX(0,RiskMargin!D41-RiskMargin!B41),MAX(0,RiskMargin!E41-RiskMargin!B41),IF(37&lt;Assumptions!$B$6,MAX(0,-Assumptions!$B$22*RiskMargin!B41),0))+2*Assumptions!$B$27*MAX(0,RiskMargin!C41-RiskMargin!B41)*MAX(0,RiskMargin!F41-RiskMargin!B41)+2*Assumptions!$B$28*MAX(MAX(0,RiskMargin!D41-RiskMargin!B41),MAX(0,RiskMargin!E41-RiskMargin!B41),IF(37&lt;Assumptions!$B$6,MAX(0,-Assumptions!$B$22*RiskMargin!B41),0))*MAX(0,RiskMargin!F41-RiskMargin!B41))</f>
        <v>1152.50534854903</v>
      </c>
      <c r="Q512" s="1" t="n">
        <f aca="false">P512-RiskMargin!J41</f>
        <v>0</v>
      </c>
      <c r="R512" s="1" t="n">
        <f aca="false">SUMIFS(Projection!$P$4:$P$59,Projection!$B$4:$B$59,"&gt;="&amp;(Assumptions!$B$4+37))/Discount!C41</f>
        <v>6272.18505240699</v>
      </c>
      <c r="S512" s="1" t="n">
        <f aca="false">R512-RiskMargin!B41</f>
        <v>0</v>
      </c>
    </row>
    <row r="513" customFormat="false" ht="15" hidden="false" customHeight="true" outlineLevel="0" collapsed="false">
      <c r="A513" s="1" t="n">
        <v>38</v>
      </c>
      <c r="B513" s="1" t="n">
        <f aca="false">(SUMIFS(Projection!$P$4:$P$59,Projection!$B$4:$B$59,"&gt;="&amp;(Assumptions!$B$4+38))+SUMIFS($D$415:$D$470,$B$415:$B$470,"&gt;="&amp;(Assumptions!$B$4+38)))/Discount!C42</f>
        <v>4735.29630084112</v>
      </c>
      <c r="C513" s="1" t="n">
        <f aca="false">(Projection!F42/Projection!Q42)*(SUMIFS(Projection!$R$4:$R$59,Projection!$B$4:$B$59,"&gt;="&amp;(Assumptions!$B$4+38))+SUMIFS($E$415:$E$470,$B$415:$B$470,"&gt;="&amp;(Assumptions!$B$4+38)))/Discount!C42</f>
        <v>5580.43356426446</v>
      </c>
      <c r="D513" s="1" t="n">
        <f aca="false">(Projection!F42/Projection!S42)*(SUMIFS(Projection!$T$4:$T$59,Projection!$B$4:$B$59,"&gt;="&amp;(Assumptions!$B$4+38))+SUMIFS($F$415:$F$470,$B$415:$B$470,"&gt;="&amp;(Assumptions!$B$4+38)))/Discount!C42</f>
        <v>4735.29630084113</v>
      </c>
      <c r="E513" s="1" t="n">
        <f aca="false">(Projection!F42/Projection!U42)*(SUMIFS(Projection!$V$4:$V$59,Projection!$B$4:$B$59,"&gt;="&amp;(Assumptions!$B$4+38))+SUMIFS($G$415:$G$470,$B$415:$B$470,"&gt;="&amp;(Assumptions!$B$4+38)))/Discount!C42</f>
        <v>4735.29630084112</v>
      </c>
      <c r="F513" s="1" t="n">
        <f aca="false">(SUMIFS(Projection!$W$4:$W$59,Projection!$B$4:$B$59,"&gt;="&amp;(Assumptions!$B$4+38))+SUMIFS($D$415:$D$470,$B$415:$B$470,"&gt;="&amp;(Assumptions!$B$4+38)))/Discount!C42</f>
        <v>4753.62375950257</v>
      </c>
      <c r="G513" s="1" t="n">
        <f aca="false">MAX(0,C513-B513)</f>
        <v>845.137263423338</v>
      </c>
      <c r="H513" s="1" t="n">
        <f aca="false">MAX(MAX(0,D513-B513),MAX(0,E513-B513),IF(A513&lt;Assumptions!$B$6,MAX(0,-Assumptions!$B$22*B513),0))</f>
        <v>0</v>
      </c>
      <c r="I513" s="1" t="n">
        <f aca="false">MAX(0,F513-B513)</f>
        <v>18.3274586614425</v>
      </c>
      <c r="J513" s="1" t="n">
        <f aca="false">SQRT(G513^2+H513^2+I513^2+2*Assumptions!$B$26*G513*H513+2*Assumptions!$B$27*G513*I513+2*Assumptions!$B$28*H513*I513)</f>
        <v>849.90440574043</v>
      </c>
      <c r="K513" s="1" t="n">
        <f aca="false">J513*Discount!C42</f>
        <v>256.957569569508</v>
      </c>
      <c r="L513" s="1" t="n">
        <f aca="false">Assumptions!$B$29*SUM(K513:K530)/Discount!C42</f>
        <v>163.415512406572</v>
      </c>
      <c r="M513" s="73" t="n">
        <f aca="false">Projection!F42</f>
        <v>0.0386365499132701</v>
      </c>
      <c r="N513" s="1" t="n">
        <f aca="false">I364</f>
        <v>12402.3399630917</v>
      </c>
      <c r="O513" s="1" t="n">
        <f aca="false">IF(M513&lt;=0,0,MAX(0,(J513+L513-N513)/M513))</f>
        <v>0</v>
      </c>
      <c r="P513" s="1" t="n">
        <f aca="false">SQRT(MAX(0,RiskMargin!C42-RiskMargin!B42)^2+MAX(MAX(0,RiskMargin!D42-RiskMargin!B42),MAX(0,RiskMargin!E42-RiskMargin!B42),IF(38&lt;Assumptions!$B$6,MAX(0,-Assumptions!$B$22*RiskMargin!B42),0))^2+MAX(0,RiskMargin!F42-RiskMargin!B42)^2+2*Assumptions!$B$26*MAX(0,RiskMargin!C42-RiskMargin!B42)*MAX(MAX(0,RiskMargin!D42-RiskMargin!B42),MAX(0,RiskMargin!E42-RiskMargin!B42),IF(38&lt;Assumptions!$B$6,MAX(0,-Assumptions!$B$22*RiskMargin!B42),0))+2*Assumptions!$B$27*MAX(0,RiskMargin!C42-RiskMargin!B42)*MAX(0,RiskMargin!F42-RiskMargin!B42)+2*Assumptions!$B$28*MAX(MAX(0,RiskMargin!D42-RiskMargin!B42),MAX(0,RiskMargin!E42-RiskMargin!B42),IF(38&lt;Assumptions!$B$6,MAX(0,-Assumptions!$B$22*RiskMargin!B42),0))*MAX(0,RiskMargin!F42-RiskMargin!B42))</f>
        <v>849.90440574043</v>
      </c>
      <c r="Q513" s="1" t="n">
        <f aca="false">P513-RiskMargin!J42</f>
        <v>0</v>
      </c>
      <c r="R513" s="1" t="n">
        <f aca="false">SUMIFS(Projection!$P$4:$P$59,Projection!$B$4:$B$59,"&gt;="&amp;(Assumptions!$B$4+38))/Discount!C42</f>
        <v>4735.29630084112</v>
      </c>
      <c r="S513" s="1" t="n">
        <f aca="false">R513-RiskMargin!B42</f>
        <v>0</v>
      </c>
    </row>
    <row r="514" customFormat="false" ht="15" hidden="false" customHeight="true" outlineLevel="0" collapsed="false">
      <c r="A514" s="1" t="n">
        <v>39</v>
      </c>
      <c r="B514" s="1" t="n">
        <f aca="false">(SUMIFS(Projection!$P$4:$P$59,Projection!$B$4:$B$59,"&gt;="&amp;(Assumptions!$B$4+39))+SUMIFS($D$415:$D$470,$B$415:$B$470,"&gt;="&amp;(Assumptions!$B$4+39)))/Discount!C43</f>
        <v>3525.77767213776</v>
      </c>
      <c r="C514" s="1" t="n">
        <f aca="false">(Projection!F43/Projection!Q43)*(SUMIFS(Projection!$R$4:$R$59,Projection!$B$4:$B$59,"&gt;="&amp;(Assumptions!$B$4+39))+SUMIFS($E$415:$E$470,$B$415:$B$470,"&gt;="&amp;(Assumptions!$B$4+39)))/Discount!C43</f>
        <v>4126.9514153593</v>
      </c>
      <c r="D514" s="1" t="n">
        <f aca="false">(Projection!F43/Projection!S43)*(SUMIFS(Projection!$T$4:$T$59,Projection!$B$4:$B$59,"&gt;="&amp;(Assumptions!$B$4+39))+SUMIFS($F$415:$F$470,$B$415:$B$470,"&gt;="&amp;(Assumptions!$B$4+39)))/Discount!C43</f>
        <v>3525.77767213776</v>
      </c>
      <c r="E514" s="1" t="n">
        <f aca="false">(Projection!F43/Projection!U43)*(SUMIFS(Projection!$V$4:$V$59,Projection!$B$4:$B$59,"&gt;="&amp;(Assumptions!$B$4+39))+SUMIFS($G$415:$G$470,$B$415:$B$470,"&gt;="&amp;(Assumptions!$B$4+39)))/Discount!C43</f>
        <v>3525.77767213776</v>
      </c>
      <c r="F514" s="1" t="n">
        <f aca="false">(SUMIFS(Projection!$W$4:$W$59,Projection!$B$4:$B$59,"&gt;="&amp;(Assumptions!$B$4+39))+SUMIFS($D$415:$D$470,$B$415:$B$470,"&gt;="&amp;(Assumptions!$B$4+39)))/Discount!C43</f>
        <v>3539.7597854954</v>
      </c>
      <c r="G514" s="1" t="n">
        <f aca="false">MAX(0,C514-B514)</f>
        <v>601.173743221539</v>
      </c>
      <c r="H514" s="1" t="n">
        <f aca="false">MAX(MAX(0,D514-B514),MAX(0,E514-B514),IF(A514&lt;Assumptions!$B$6,MAX(0,-Assumptions!$B$22*B514),0))</f>
        <v>0</v>
      </c>
      <c r="I514" s="1" t="n">
        <f aca="false">MAX(0,F514-B514)</f>
        <v>13.9821133576379</v>
      </c>
      <c r="J514" s="1" t="n">
        <f aca="false">SQRT(G514^2+H514^2+I514^2+2*Assumptions!$B$26*G514*H514+2*Assumptions!$B$27*G514*I514+2*Assumptions!$B$28*H514*I514)</f>
        <v>604.82080713681</v>
      </c>
      <c r="K514" s="1" t="n">
        <f aca="false">J514*Discount!C43</f>
        <v>177.1261376934</v>
      </c>
      <c r="L514" s="1" t="n">
        <f aca="false">Assumptions!$B$29*SUM(K514:K530)/Discount!C43</f>
        <v>116.060331935146</v>
      </c>
      <c r="M514" s="73" t="n">
        <f aca="false">Projection!F43</f>
        <v>0.0290780653379978</v>
      </c>
      <c r="N514" s="1" t="n">
        <f aca="false">I365</f>
        <v>12803.8045983375</v>
      </c>
      <c r="O514" s="1" t="n">
        <f aca="false">IF(M514&lt;=0,0,MAX(0,(J514+L514-N514)/M514))</f>
        <v>0</v>
      </c>
      <c r="P514" s="1" t="n">
        <f aca="false">SQRT(MAX(0,RiskMargin!C43-RiskMargin!B43)^2+MAX(MAX(0,RiskMargin!D43-RiskMargin!B43),MAX(0,RiskMargin!E43-RiskMargin!B43),IF(39&lt;Assumptions!$B$6,MAX(0,-Assumptions!$B$22*RiskMargin!B43),0))^2+MAX(0,RiskMargin!F43-RiskMargin!B43)^2+2*Assumptions!$B$26*MAX(0,RiskMargin!C43-RiskMargin!B43)*MAX(MAX(0,RiskMargin!D43-RiskMargin!B43),MAX(0,RiskMargin!E43-RiskMargin!B43),IF(39&lt;Assumptions!$B$6,MAX(0,-Assumptions!$B$22*RiskMargin!B43),0))+2*Assumptions!$B$27*MAX(0,RiskMargin!C43-RiskMargin!B43)*MAX(0,RiskMargin!F43-RiskMargin!B43)+2*Assumptions!$B$28*MAX(MAX(0,RiskMargin!D43-RiskMargin!B43),MAX(0,RiskMargin!E43-RiskMargin!B43),IF(39&lt;Assumptions!$B$6,MAX(0,-Assumptions!$B$22*RiskMargin!B43),0))*MAX(0,RiskMargin!F43-RiskMargin!B43))</f>
        <v>604.82080713681</v>
      </c>
      <c r="Q514" s="1" t="n">
        <f aca="false">P514-RiskMargin!J43</f>
        <v>0</v>
      </c>
      <c r="R514" s="1" t="n">
        <f aca="false">SUMIFS(Projection!$P$4:$P$59,Projection!$B$4:$B$59,"&gt;="&amp;(Assumptions!$B$4+39))/Discount!C43</f>
        <v>3525.77767213776</v>
      </c>
      <c r="S514" s="1" t="n">
        <f aca="false">R514-RiskMargin!B43</f>
        <v>0</v>
      </c>
    </row>
    <row r="515" customFormat="false" ht="15" hidden="false" customHeight="true" outlineLevel="0" collapsed="false">
      <c r="A515" s="1" t="n">
        <v>40</v>
      </c>
      <c r="B515" s="1" t="n">
        <f aca="false">(SUMIFS(Projection!$P$4:$P$59,Projection!$B$4:$B$59,"&gt;="&amp;(Assumptions!$B$4+40))+SUMIFS($D$415:$D$470,$B$415:$B$470,"&gt;="&amp;(Assumptions!$B$4+40)))/Discount!C44</f>
        <v>2594.76801878815</v>
      </c>
      <c r="C515" s="1" t="n">
        <f aca="false">(Projection!F44/Projection!Q44)*(SUMIFS(Projection!$R$4:$R$59,Projection!$B$4:$B$59,"&gt;="&amp;(Assumptions!$B$4+40))+SUMIFS($E$415:$E$470,$B$415:$B$470,"&gt;="&amp;(Assumptions!$B$4+40)))/Discount!C44</f>
        <v>3026.73442409825</v>
      </c>
      <c r="D515" s="1" t="n">
        <f aca="false">(Projection!F44/Projection!S44)*(SUMIFS(Projection!$T$4:$T$59,Projection!$B$4:$B$59,"&gt;="&amp;(Assumptions!$B$4+40))+SUMIFS($F$415:$F$470,$B$415:$B$470,"&gt;="&amp;(Assumptions!$B$4+40)))/Discount!C44</f>
        <v>2594.76801878814</v>
      </c>
      <c r="E515" s="1" t="n">
        <f aca="false">(Projection!F44/Projection!U44)*(SUMIFS(Projection!$V$4:$V$59,Projection!$B$4:$B$59,"&gt;="&amp;(Assumptions!$B$4+40))+SUMIFS($G$415:$G$470,$B$415:$B$470,"&gt;="&amp;(Assumptions!$B$4+40)))/Discount!C44</f>
        <v>2594.76801878815</v>
      </c>
      <c r="F515" s="1" t="n">
        <f aca="false">(SUMIFS(Projection!$W$4:$W$59,Projection!$B$4:$B$59,"&gt;="&amp;(Assumptions!$B$4+40))+SUMIFS($D$415:$D$470,$B$415:$B$470,"&gt;="&amp;(Assumptions!$B$4+40)))/Discount!C44</f>
        <v>2605.29719884779</v>
      </c>
      <c r="G515" s="1" t="n">
        <f aca="false">MAX(0,C515-B515)</f>
        <v>431.96640531011</v>
      </c>
      <c r="H515" s="1" t="n">
        <f aca="false">MAX(MAX(0,D515-B515),MAX(0,E515-B515),IF(A515&lt;Assumptions!$B$6,MAX(0,-Assumptions!$B$22*B515),0))</f>
        <v>0</v>
      </c>
      <c r="I515" s="1" t="n">
        <f aca="false">MAX(0,F515-B515)</f>
        <v>10.5291800596442</v>
      </c>
      <c r="J515" s="1" t="n">
        <f aca="false">SQRT(G515^2+H515^2+I515^2+2*Assumptions!$B$26*G515*H515+2*Assumptions!$B$27*G515*I515+2*Assumptions!$B$28*H515*I515)</f>
        <v>434.718259312719</v>
      </c>
      <c r="K515" s="1" t="n">
        <f aca="false">J515*Discount!C44</f>
        <v>123.268371928767</v>
      </c>
      <c r="L515" s="1" t="n">
        <f aca="false">Assumptions!$B$29*SUM(K515:K530)/Discount!C44</f>
        <v>82.3868014581249</v>
      </c>
      <c r="M515" s="73" t="n">
        <f aca="false">Projection!F44</f>
        <v>0.022161714728146</v>
      </c>
      <c r="N515" s="1" t="n">
        <f aca="false">I366</f>
        <v>13223.6452230227</v>
      </c>
      <c r="O515" s="1" t="n">
        <f aca="false">IF(M515&lt;=0,0,MAX(0,(J515+L515-N515)/M515))</f>
        <v>0</v>
      </c>
      <c r="P515" s="1" t="n">
        <f aca="false">SQRT(MAX(0,RiskMargin!C44-RiskMargin!B44)^2+MAX(MAX(0,RiskMargin!D44-RiskMargin!B44),MAX(0,RiskMargin!E44-RiskMargin!B44),IF(40&lt;Assumptions!$B$6,MAX(0,-Assumptions!$B$22*RiskMargin!B44),0))^2+MAX(0,RiskMargin!F44-RiskMargin!B44)^2+2*Assumptions!$B$26*MAX(0,RiskMargin!C44-RiskMargin!B44)*MAX(MAX(0,RiskMargin!D44-RiskMargin!B44),MAX(0,RiskMargin!E44-RiskMargin!B44),IF(40&lt;Assumptions!$B$6,MAX(0,-Assumptions!$B$22*RiskMargin!B44),0))+2*Assumptions!$B$27*MAX(0,RiskMargin!C44-RiskMargin!B44)*MAX(0,RiskMargin!F44-RiskMargin!B44)+2*Assumptions!$B$28*MAX(MAX(0,RiskMargin!D44-RiskMargin!B44),MAX(0,RiskMargin!E44-RiskMargin!B44),IF(40&lt;Assumptions!$B$6,MAX(0,-Assumptions!$B$22*RiskMargin!B44),0))*MAX(0,RiskMargin!F44-RiskMargin!B44))</f>
        <v>434.718259312719</v>
      </c>
      <c r="Q515" s="1" t="n">
        <f aca="false">P515-RiskMargin!J44</f>
        <v>0</v>
      </c>
      <c r="R515" s="1" t="n">
        <f aca="false">SUMIFS(Projection!$P$4:$P$59,Projection!$B$4:$B$59,"&gt;="&amp;(Assumptions!$B$4+40))/Discount!C44</f>
        <v>2594.76801878815</v>
      </c>
      <c r="S515" s="1" t="n">
        <f aca="false">R515-RiskMargin!B44</f>
        <v>0</v>
      </c>
    </row>
    <row r="516" customFormat="false" ht="15" hidden="false" customHeight="true" outlineLevel="0" collapsed="false">
      <c r="A516" s="1" t="n">
        <v>41</v>
      </c>
      <c r="B516" s="1" t="n">
        <f aca="false">(SUMIFS(Projection!$P$4:$P$59,Projection!$B$4:$B$59,"&gt;="&amp;(Assumptions!$B$4+41))+SUMIFS($D$415:$D$470,$B$415:$B$470,"&gt;="&amp;(Assumptions!$B$4+41)))/Discount!C45</f>
        <v>1866.26802901059</v>
      </c>
      <c r="C516" s="1" t="n">
        <f aca="false">(Projection!F45/Projection!Q45)*(SUMIFS(Projection!$R$4:$R$59,Projection!$B$4:$B$59,"&gt;="&amp;(Assumptions!$B$4+41))+SUMIFS($E$415:$E$470,$B$415:$B$470,"&gt;="&amp;(Assumptions!$B$4+41)))/Discount!C45</f>
        <v>2249.87805960485</v>
      </c>
      <c r="D516" s="1" t="n">
        <f aca="false">(Projection!F45/Projection!S45)*(SUMIFS(Projection!$T$4:$T$59,Projection!$B$4:$B$59,"&gt;="&amp;(Assumptions!$B$4+41))+SUMIFS($F$415:$F$470,$B$415:$B$470,"&gt;="&amp;(Assumptions!$B$4+41)))/Discount!C45</f>
        <v>1866.26802901059</v>
      </c>
      <c r="E516" s="1" t="n">
        <f aca="false">(Projection!F45/Projection!U45)*(SUMIFS(Projection!$V$4:$V$59,Projection!$B$4:$B$59,"&gt;="&amp;(Assumptions!$B$4+41))+SUMIFS($G$415:$G$470,$B$415:$B$470,"&gt;="&amp;(Assumptions!$B$4+41)))/Discount!C45</f>
        <v>1866.26802901059</v>
      </c>
      <c r="F516" s="1" t="n">
        <f aca="false">(SUMIFS(Projection!$W$4:$W$59,Projection!$B$4:$B$59,"&gt;="&amp;(Assumptions!$B$4+41))+SUMIFS($D$415:$D$470,$B$415:$B$470,"&gt;="&amp;(Assumptions!$B$4+41)))/Discount!C45</f>
        <v>1874.00819719529</v>
      </c>
      <c r="G516" s="1" t="n">
        <f aca="false">MAX(0,C516-B516)</f>
        <v>383.610030594259</v>
      </c>
      <c r="H516" s="1" t="n">
        <f aca="false">MAX(MAX(0,D516-B516),MAX(0,E516-B516),IF(A516&lt;Assumptions!$B$6,MAX(0,-Assumptions!$B$22*B516),0))</f>
        <v>0</v>
      </c>
      <c r="I516" s="1" t="n">
        <f aca="false">MAX(0,F516-B516)</f>
        <v>7.74016818470523</v>
      </c>
      <c r="J516" s="1" t="n">
        <f aca="false">SQRT(G516^2+H516^2+I516^2+2*Assumptions!$B$26*G516*H516+2*Assumptions!$B$27*G516*I516+2*Assumptions!$B$28*H516*I516)</f>
        <v>385.617905254834</v>
      </c>
      <c r="K516" s="1" t="n">
        <f aca="false">J516*Discount!C45</f>
        <v>105.869775292904</v>
      </c>
      <c r="L516" s="1" t="n">
        <f aca="false">Assumptions!$B$29*SUM(K516:K530)/Discount!C45</f>
        <v>58.1521744633497</v>
      </c>
      <c r="M516" s="73" t="n">
        <f aca="false">Projection!F45</f>
        <v>0.0194574963762381</v>
      </c>
      <c r="N516" s="1" t="n">
        <f aca="false">I367</f>
        <v>13657.7816995768</v>
      </c>
      <c r="O516" s="1" t="n">
        <f aca="false">IF(M516&lt;=0,0,MAX(0,(J516+L516-N516)/M516))</f>
        <v>0</v>
      </c>
      <c r="P516" s="1" t="n">
        <f aca="false">SQRT(MAX(0,RiskMargin!C45-RiskMargin!B45)^2+MAX(MAX(0,RiskMargin!D45-RiskMargin!B45),MAX(0,RiskMargin!E45-RiskMargin!B45),IF(41&lt;Assumptions!$B$6,MAX(0,-Assumptions!$B$22*RiskMargin!B45),0))^2+MAX(0,RiskMargin!F45-RiskMargin!B45)^2+2*Assumptions!$B$26*MAX(0,RiskMargin!C45-RiskMargin!B45)*MAX(MAX(0,RiskMargin!D45-RiskMargin!B45),MAX(0,RiskMargin!E45-RiskMargin!B45),IF(41&lt;Assumptions!$B$6,MAX(0,-Assumptions!$B$22*RiskMargin!B45),0))+2*Assumptions!$B$27*MAX(0,RiskMargin!C45-RiskMargin!B45)*MAX(0,RiskMargin!F45-RiskMargin!B45)+2*Assumptions!$B$28*MAX(MAX(0,RiskMargin!D45-RiskMargin!B45),MAX(0,RiskMargin!E45-RiskMargin!B45),IF(41&lt;Assumptions!$B$6,MAX(0,-Assumptions!$B$22*RiskMargin!B45),0))*MAX(0,RiskMargin!F45-RiskMargin!B45))</f>
        <v>385.617905254834</v>
      </c>
      <c r="Q516" s="1" t="n">
        <f aca="false">P516-RiskMargin!J45</f>
        <v>0</v>
      </c>
      <c r="R516" s="1" t="n">
        <f aca="false">SUMIFS(Projection!$P$4:$P$59,Projection!$B$4:$B$59,"&gt;="&amp;(Assumptions!$B$4+41))/Discount!C45</f>
        <v>1866.26802901059</v>
      </c>
      <c r="S516" s="1" t="n">
        <f aca="false">R516-RiskMargin!B45</f>
        <v>0</v>
      </c>
    </row>
    <row r="517" customFormat="false" ht="15" hidden="false" customHeight="true" outlineLevel="0" collapsed="false">
      <c r="A517" s="1" t="n">
        <v>42</v>
      </c>
      <c r="B517" s="1" t="n">
        <f aca="false">(SUMIFS(Projection!$P$4:$P$59,Projection!$B$4:$B$59,"&gt;="&amp;(Assumptions!$B$4+42))+SUMIFS($D$415:$D$470,$B$415:$B$470,"&gt;="&amp;(Assumptions!$B$4+42)))/Discount!C46</f>
        <v>1198.387477278</v>
      </c>
      <c r="C517" s="1" t="n">
        <f aca="false">(Projection!F46/Projection!Q46)*(SUMIFS(Projection!$R$4:$R$59,Projection!$B$4:$B$59,"&gt;="&amp;(Assumptions!$B$4+42))+SUMIFS($E$415:$E$470,$B$415:$B$470,"&gt;="&amp;(Assumptions!$B$4+42)))/Discount!C46</f>
        <v>1449.07029548477</v>
      </c>
      <c r="D517" s="1" t="n">
        <f aca="false">(Projection!F46/Projection!S46)*(SUMIFS(Projection!$T$4:$T$59,Projection!$B$4:$B$59,"&gt;="&amp;(Assumptions!$B$4+42))+SUMIFS($F$415:$F$470,$B$415:$B$470,"&gt;="&amp;(Assumptions!$B$4+42)))/Discount!C46</f>
        <v>1198.387477278</v>
      </c>
      <c r="E517" s="1" t="n">
        <f aca="false">(Projection!F46/Projection!U46)*(SUMIFS(Projection!$V$4:$V$59,Projection!$B$4:$B$59,"&gt;="&amp;(Assumptions!$B$4+42))+SUMIFS($G$415:$G$470,$B$415:$B$470,"&gt;="&amp;(Assumptions!$B$4+42)))/Discount!C46</f>
        <v>1198.38747727799</v>
      </c>
      <c r="F517" s="1" t="n">
        <f aca="false">(SUMIFS(Projection!$W$4:$W$59,Projection!$B$4:$B$59,"&gt;="&amp;(Assumptions!$B$4+42))+SUMIFS($D$415:$D$470,$B$415:$B$470,"&gt;="&amp;(Assumptions!$B$4+42)))/Discount!C46</f>
        <v>1203.48711887131</v>
      </c>
      <c r="G517" s="1" t="n">
        <f aca="false">MAX(0,C517-B517)</f>
        <v>250.682818206772</v>
      </c>
      <c r="H517" s="1" t="n">
        <f aca="false">MAX(MAX(0,D517-B517),MAX(0,E517-B517),IF(A517&lt;Assumptions!$B$6,MAX(0,-Assumptions!$B$22*B517),0))</f>
        <v>0</v>
      </c>
      <c r="I517" s="1" t="n">
        <f aca="false">MAX(0,F517-B517)</f>
        <v>5.09964159331526</v>
      </c>
      <c r="J517" s="1" t="n">
        <f aca="false">SQRT(G517^2+H517^2+I517^2+2*Assumptions!$B$26*G517*H517+2*Assumptions!$B$27*G517*I517+2*Assumptions!$B$28*H517*I517)</f>
        <v>252.006106973022</v>
      </c>
      <c r="K517" s="1" t="n">
        <f aca="false">J517*Discount!C46</f>
        <v>67.0126514592436</v>
      </c>
      <c r="L517" s="1" t="n">
        <f aca="false">Assumptions!$B$29*SUM(K517:K530)/Discount!C46</f>
        <v>36.1513430694748</v>
      </c>
      <c r="M517" s="73" t="n">
        <f aca="false">Projection!F46</f>
        <v>0.0129577038639437</v>
      </c>
      <c r="N517" s="1" t="n">
        <f aca="false">I368</f>
        <v>14100.9778553141</v>
      </c>
      <c r="O517" s="1" t="n">
        <f aca="false">IF(M517&lt;=0,0,MAX(0,(J517+L517-N517)/M517))</f>
        <v>0</v>
      </c>
      <c r="P517" s="1" t="n">
        <f aca="false">SQRT(MAX(0,RiskMargin!C46-RiskMargin!B46)^2+MAX(MAX(0,RiskMargin!D46-RiskMargin!B46),MAX(0,RiskMargin!E46-RiskMargin!B46),IF(42&lt;Assumptions!$B$6,MAX(0,-Assumptions!$B$22*RiskMargin!B46),0))^2+MAX(0,RiskMargin!F46-RiskMargin!B46)^2+2*Assumptions!$B$26*MAX(0,RiskMargin!C46-RiskMargin!B46)*MAX(MAX(0,RiskMargin!D46-RiskMargin!B46),MAX(0,RiskMargin!E46-RiskMargin!B46),IF(42&lt;Assumptions!$B$6,MAX(0,-Assumptions!$B$22*RiskMargin!B46),0))+2*Assumptions!$B$27*MAX(0,RiskMargin!C46-RiskMargin!B46)*MAX(0,RiskMargin!F46-RiskMargin!B46)+2*Assumptions!$B$28*MAX(MAX(0,RiskMargin!D46-RiskMargin!B46),MAX(0,RiskMargin!E46-RiskMargin!B46),IF(42&lt;Assumptions!$B$6,MAX(0,-Assumptions!$B$22*RiskMargin!B46),0))*MAX(0,RiskMargin!F46-RiskMargin!B46))</f>
        <v>252.006106973022</v>
      </c>
      <c r="Q517" s="1" t="n">
        <f aca="false">P517-RiskMargin!J46</f>
        <v>0</v>
      </c>
      <c r="R517" s="1" t="n">
        <f aca="false">SUMIFS(Projection!$P$4:$P$59,Projection!$B$4:$B$59,"&gt;="&amp;(Assumptions!$B$4+42))/Discount!C46</f>
        <v>1198.387477278</v>
      </c>
      <c r="S517" s="1" t="n">
        <f aca="false">R517-RiskMargin!B46</f>
        <v>0</v>
      </c>
    </row>
    <row r="518" customFormat="false" ht="15" hidden="false" customHeight="true" outlineLevel="0" collapsed="false">
      <c r="A518" s="1" t="n">
        <v>43</v>
      </c>
      <c r="B518" s="1" t="n">
        <f aca="false">(SUMIFS(Projection!$P$4:$P$59,Projection!$B$4:$B$59,"&gt;="&amp;(Assumptions!$B$4+43))+SUMIFS($D$415:$D$470,$B$415:$B$470,"&gt;="&amp;(Assumptions!$B$4+43)))/Discount!C47</f>
        <v>742.777093999178</v>
      </c>
      <c r="C518" s="1" t="n">
        <f aca="false">(Projection!F47/Projection!Q47)*(SUMIFS(Projection!$R$4:$R$59,Projection!$B$4:$B$59,"&gt;="&amp;(Assumptions!$B$4+43))+SUMIFS($E$415:$E$470,$B$415:$B$470,"&gt;="&amp;(Assumptions!$B$4+43)))/Discount!C47</f>
        <v>901.109924984323</v>
      </c>
      <c r="D518" s="1" t="n">
        <f aca="false">(Projection!F47/Projection!S47)*(SUMIFS(Projection!$T$4:$T$59,Projection!$B$4:$B$59,"&gt;="&amp;(Assumptions!$B$4+43))+SUMIFS($F$415:$F$470,$B$415:$B$470,"&gt;="&amp;(Assumptions!$B$4+43)))/Discount!C47</f>
        <v>742.777093999178</v>
      </c>
      <c r="E518" s="1" t="n">
        <f aca="false">(Projection!F47/Projection!U47)*(SUMIFS(Projection!$V$4:$V$59,Projection!$B$4:$B$59,"&gt;="&amp;(Assumptions!$B$4+43))+SUMIFS($G$415:$G$470,$B$415:$B$470,"&gt;="&amp;(Assumptions!$B$4+43)))/Discount!C47</f>
        <v>742.777093999178</v>
      </c>
      <c r="F518" s="1" t="n">
        <f aca="false">(SUMIFS(Projection!$W$4:$W$59,Projection!$B$4:$B$59,"&gt;="&amp;(Assumptions!$B$4+43))+SUMIFS($D$415:$D$470,$B$415:$B$470,"&gt;="&amp;(Assumptions!$B$4+43)))/Discount!C47</f>
        <v>746.020318681864</v>
      </c>
      <c r="G518" s="1" t="n">
        <f aca="false">MAX(0,C518-B518)</f>
        <v>158.332830985144</v>
      </c>
      <c r="H518" s="1" t="n">
        <f aca="false">MAX(MAX(0,D518-B518),MAX(0,E518-B518),IF(A518&lt;Assumptions!$B$6,MAX(0,-Assumptions!$B$22*B518),0))</f>
        <v>0</v>
      </c>
      <c r="I518" s="1" t="n">
        <f aca="false">MAX(0,F518-B518)</f>
        <v>3.24322468268531</v>
      </c>
      <c r="J518" s="1" t="n">
        <f aca="false">SQRT(G518^2+H518^2+I518^2+2*Assumptions!$B$26*G518*H518+2*Assumptions!$B$27*G518*I518+2*Assumptions!$B$28*H518*I518)</f>
        <v>159.174615899891</v>
      </c>
      <c r="K518" s="1" t="n">
        <f aca="false">J518*Discount!C47</f>
        <v>40.9789779363033</v>
      </c>
      <c r="L518" s="1" t="n">
        <f aca="false">Assumptions!$B$29*SUM(K518:K530)/Discount!C47</f>
        <v>21.7229031454207</v>
      </c>
      <c r="M518" s="73" t="n">
        <f aca="false">Projection!F47</f>
        <v>0.00831588584834634</v>
      </c>
      <c r="N518" s="1" t="n">
        <f aca="false">I369</f>
        <v>14564.9049632121</v>
      </c>
      <c r="O518" s="1" t="n">
        <f aca="false">IF(M518&lt;=0,0,MAX(0,(J518+L518-N518)/M518))</f>
        <v>0</v>
      </c>
      <c r="P518" s="1" t="n">
        <f aca="false">SQRT(MAX(0,RiskMargin!C47-RiskMargin!B47)^2+MAX(MAX(0,RiskMargin!D47-RiskMargin!B47),MAX(0,RiskMargin!E47-RiskMargin!B47),IF(43&lt;Assumptions!$B$6,MAX(0,-Assumptions!$B$22*RiskMargin!B47),0))^2+MAX(0,RiskMargin!F47-RiskMargin!B47)^2+2*Assumptions!$B$26*MAX(0,RiskMargin!C47-RiskMargin!B47)*MAX(MAX(0,RiskMargin!D47-RiskMargin!B47),MAX(0,RiskMargin!E47-RiskMargin!B47),IF(43&lt;Assumptions!$B$6,MAX(0,-Assumptions!$B$22*RiskMargin!B47),0))+2*Assumptions!$B$27*MAX(0,RiskMargin!C47-RiskMargin!B47)*MAX(0,RiskMargin!F47-RiskMargin!B47)+2*Assumptions!$B$28*MAX(MAX(0,RiskMargin!D47-RiskMargin!B47),MAX(0,RiskMargin!E47-RiskMargin!B47),IF(43&lt;Assumptions!$B$6,MAX(0,-Assumptions!$B$22*RiskMargin!B47),0))*MAX(0,RiskMargin!F47-RiskMargin!B47))</f>
        <v>159.174615899891</v>
      </c>
      <c r="Q518" s="1" t="n">
        <f aca="false">P518-RiskMargin!J47</f>
        <v>0</v>
      </c>
      <c r="R518" s="1" t="n">
        <f aca="false">SUMIFS(Projection!$P$4:$P$59,Projection!$B$4:$B$59,"&gt;="&amp;(Assumptions!$B$4+43))/Discount!C47</f>
        <v>742.777093999178</v>
      </c>
      <c r="S518" s="1" t="n">
        <f aca="false">R518-RiskMargin!B47</f>
        <v>0</v>
      </c>
    </row>
    <row r="519" customFormat="false" ht="15" hidden="false" customHeight="true" outlineLevel="0" collapsed="false">
      <c r="A519" s="1" t="n">
        <v>44</v>
      </c>
      <c r="B519" s="1" t="n">
        <f aca="false">(SUMIFS(Projection!$P$4:$P$59,Projection!$B$4:$B$59,"&gt;="&amp;(Assumptions!$B$4+44))+SUMIFS($D$415:$D$470,$B$415:$B$470,"&gt;="&amp;(Assumptions!$B$4+44)))/Discount!C48</f>
        <v>442.977887614849</v>
      </c>
      <c r="C519" s="1" t="n">
        <f aca="false">(Projection!F48/Projection!Q48)*(SUMIFS(Projection!$R$4:$R$59,Projection!$B$4:$B$59,"&gt;="&amp;(Assumptions!$B$4+44))+SUMIFS($E$415:$E$470,$B$415:$B$470,"&gt;="&amp;(Assumptions!$B$4+44)))/Discount!C48</f>
        <v>539.231399108432</v>
      </c>
      <c r="D519" s="1" t="n">
        <f aca="false">(Projection!F48/Projection!S48)*(SUMIFS(Projection!$T$4:$T$59,Projection!$B$4:$B$59,"&gt;="&amp;(Assumptions!$B$4+44))+SUMIFS($F$415:$F$470,$B$415:$B$470,"&gt;="&amp;(Assumptions!$B$4+44)))/Discount!C48</f>
        <v>442.977887614849</v>
      </c>
      <c r="E519" s="1" t="n">
        <f aca="false">(Projection!F48/Projection!U48)*(SUMIFS(Projection!$V$4:$V$59,Projection!$B$4:$B$59,"&gt;="&amp;(Assumptions!$B$4+44))+SUMIFS($G$415:$G$470,$B$415:$B$470,"&gt;="&amp;(Assumptions!$B$4+44)))/Discount!C48</f>
        <v>442.977887614849</v>
      </c>
      <c r="F519" s="1" t="n">
        <f aca="false">(SUMIFS(Projection!$W$4:$W$59,Projection!$B$4:$B$59,"&gt;="&amp;(Assumptions!$B$4+44))+SUMIFS($D$415:$D$470,$B$415:$B$470,"&gt;="&amp;(Assumptions!$B$4+44)))/Discount!C48</f>
        <v>444.962637262368</v>
      </c>
      <c r="G519" s="1" t="n">
        <f aca="false">MAX(0,C519-B519)</f>
        <v>96.253511493583</v>
      </c>
      <c r="H519" s="1" t="n">
        <f aca="false">MAX(MAX(0,D519-B519),MAX(0,E519-B519),IF(A519&lt;Assumptions!$B$6,MAX(0,-Assumptions!$B$22*B519),0))</f>
        <v>0</v>
      </c>
      <c r="I519" s="1" t="n">
        <f aca="false">MAX(0,F519-B519)</f>
        <v>1.98474964751898</v>
      </c>
      <c r="J519" s="1" t="n">
        <f aca="false">SQRT(G519^2+H519^2+I519^2+2*Assumptions!$B$26*G519*H519+2*Assumptions!$B$27*G519*I519+2*Assumptions!$B$28*H519*I519)</f>
        <v>96.7687825050688</v>
      </c>
      <c r="K519" s="1" t="n">
        <f aca="false">J519*Discount!C48</f>
        <v>24.1286203422193</v>
      </c>
      <c r="L519" s="1" t="n">
        <f aca="false">Assumptions!$B$29*SUM(K519:K530)/Discount!C48</f>
        <v>12.5680311585409</v>
      </c>
      <c r="M519" s="73" t="n">
        <f aca="false">Projection!F48</f>
        <v>0.0051226939077799</v>
      </c>
      <c r="N519" s="1" t="n">
        <f aca="false">I370</f>
        <v>15038.2657097364</v>
      </c>
      <c r="O519" s="1" t="n">
        <f aca="false">IF(M519&lt;=0,0,MAX(0,(J519+L519-N519)/M519))</f>
        <v>0</v>
      </c>
      <c r="P519" s="1" t="n">
        <f aca="false">SQRT(MAX(0,RiskMargin!C48-RiskMargin!B48)^2+MAX(MAX(0,RiskMargin!D48-RiskMargin!B48),MAX(0,RiskMargin!E48-RiskMargin!B48),IF(44&lt;Assumptions!$B$6,MAX(0,-Assumptions!$B$22*RiskMargin!B48),0))^2+MAX(0,RiskMargin!F48-RiskMargin!B48)^2+2*Assumptions!$B$26*MAX(0,RiskMargin!C48-RiskMargin!B48)*MAX(MAX(0,RiskMargin!D48-RiskMargin!B48),MAX(0,RiskMargin!E48-RiskMargin!B48),IF(44&lt;Assumptions!$B$6,MAX(0,-Assumptions!$B$22*RiskMargin!B48),0))+2*Assumptions!$B$27*MAX(0,RiskMargin!C48-RiskMargin!B48)*MAX(0,RiskMargin!F48-RiskMargin!B48)+2*Assumptions!$B$28*MAX(MAX(0,RiskMargin!D48-RiskMargin!B48),MAX(0,RiskMargin!E48-RiskMargin!B48),IF(44&lt;Assumptions!$B$6,MAX(0,-Assumptions!$B$22*RiskMargin!B48),0))*MAX(0,RiskMargin!F48-RiskMargin!B48))</f>
        <v>96.7687825050688</v>
      </c>
      <c r="Q519" s="1" t="n">
        <f aca="false">P519-RiskMargin!J48</f>
        <v>0</v>
      </c>
      <c r="R519" s="1" t="n">
        <f aca="false">SUMIFS(Projection!$P$4:$P$59,Projection!$B$4:$B$59,"&gt;="&amp;(Assumptions!$B$4+44))/Discount!C48</f>
        <v>442.977887614849</v>
      </c>
      <c r="S519" s="1" t="n">
        <f aca="false">R519-RiskMargin!B48</f>
        <v>0</v>
      </c>
    </row>
    <row r="520" customFormat="false" ht="15" hidden="false" customHeight="true" outlineLevel="0" collapsed="false">
      <c r="A520" s="1" t="n">
        <v>45</v>
      </c>
      <c r="B520" s="1" t="n">
        <f aca="false">(SUMIFS(Projection!$P$4:$P$59,Projection!$B$4:$B$59,"&gt;="&amp;(Assumptions!$B$4+45))+SUMIFS($D$415:$D$470,$B$415:$B$470,"&gt;="&amp;(Assumptions!$B$4+45)))/Discount!C49</f>
        <v>253.942068542003</v>
      </c>
      <c r="C520" s="1" t="n">
        <f aca="false">(Projection!F49/Projection!Q49)*(SUMIFS(Projection!$R$4:$R$59,Projection!$B$4:$B$59,"&gt;="&amp;(Assumptions!$B$4+45))+SUMIFS($E$415:$E$470,$B$415:$B$470,"&gt;="&amp;(Assumptions!$B$4+45)))/Discount!C49</f>
        <v>310.02844767277</v>
      </c>
      <c r="D520" s="1" t="n">
        <f aca="false">(Projection!F49/Projection!S49)*(SUMIFS(Projection!$T$4:$T$59,Projection!$B$4:$B$59,"&gt;="&amp;(Assumptions!$B$4+45))+SUMIFS($F$415:$F$470,$B$415:$B$470,"&gt;="&amp;(Assumptions!$B$4+45)))/Discount!C49</f>
        <v>253.942068542003</v>
      </c>
      <c r="E520" s="1" t="n">
        <f aca="false">(Projection!F49/Projection!U49)*(SUMIFS(Projection!$V$4:$V$59,Projection!$B$4:$B$59,"&gt;="&amp;(Assumptions!$B$4+45))+SUMIFS($G$415:$G$470,$B$415:$B$470,"&gt;="&amp;(Assumptions!$B$4+45)))/Discount!C49</f>
        <v>253.942068542003</v>
      </c>
      <c r="F520" s="1" t="n">
        <f aca="false">(SUMIFS(Projection!$W$4:$W$59,Projection!$B$4:$B$59,"&gt;="&amp;(Assumptions!$B$4+45))+SUMIFS($D$415:$D$470,$B$415:$B$470,"&gt;="&amp;(Assumptions!$B$4+45)))/Discount!C49</f>
        <v>255.109739667963</v>
      </c>
      <c r="G520" s="1" t="n">
        <f aca="false">MAX(0,C520-B520)</f>
        <v>56.0863791307667</v>
      </c>
      <c r="H520" s="1" t="n">
        <f aca="false">MAX(MAX(0,D520-B520),MAX(0,E520-B520),IF(A520&lt;Assumptions!$B$6,MAX(0,-Assumptions!$B$22*B520),0))</f>
        <v>0</v>
      </c>
      <c r="I520" s="1" t="n">
        <f aca="false">MAX(0,F520-B520)</f>
        <v>1.16767112595986</v>
      </c>
      <c r="J520" s="1" t="n">
        <f aca="false">SQRT(G520^2+H520^2+I520^2+2*Assumptions!$B$26*G520*H520+2*Assumptions!$B$27*G520*I520+2*Assumptions!$B$28*H520*I520)</f>
        <v>56.3896320487537</v>
      </c>
      <c r="K520" s="1" t="n">
        <f aca="false">J520*Discount!C49</f>
        <v>13.6115819938844</v>
      </c>
      <c r="L520" s="1" t="n">
        <f aca="false">Assumptions!$B$29*SUM(K520:K530)/Discount!C49</f>
        <v>6.98484678521129</v>
      </c>
      <c r="M520" s="73" t="n">
        <f aca="false">Projection!F49</f>
        <v>0.0030151610082462</v>
      </c>
      <c r="N520" s="1" t="n">
        <f aca="false">I371</f>
        <v>15534.0831018953</v>
      </c>
      <c r="O520" s="1" t="n">
        <f aca="false">IF(M520&lt;=0,0,MAX(0,(J520+L520-N520)/M520))</f>
        <v>0</v>
      </c>
      <c r="P520" s="1" t="n">
        <f aca="false">SQRT(MAX(0,RiskMargin!C49-RiskMargin!B49)^2+MAX(MAX(0,RiskMargin!D49-RiskMargin!B49),MAX(0,RiskMargin!E49-RiskMargin!B49),IF(45&lt;Assumptions!$B$6,MAX(0,-Assumptions!$B$22*RiskMargin!B49),0))^2+MAX(0,RiskMargin!F49-RiskMargin!B49)^2+2*Assumptions!$B$26*MAX(0,RiskMargin!C49-RiskMargin!B49)*MAX(MAX(0,RiskMargin!D49-RiskMargin!B49),MAX(0,RiskMargin!E49-RiskMargin!B49),IF(45&lt;Assumptions!$B$6,MAX(0,-Assumptions!$B$22*RiskMargin!B49),0))+2*Assumptions!$B$27*MAX(0,RiskMargin!C49-RiskMargin!B49)*MAX(0,RiskMargin!F49-RiskMargin!B49)+2*Assumptions!$B$28*MAX(MAX(0,RiskMargin!D49-RiskMargin!B49),MAX(0,RiskMargin!E49-RiskMargin!B49),IF(45&lt;Assumptions!$B$6,MAX(0,-Assumptions!$B$22*RiskMargin!B49),0))*MAX(0,RiskMargin!F49-RiskMargin!B49))</f>
        <v>56.3896320487537</v>
      </c>
      <c r="Q520" s="1" t="n">
        <f aca="false">P520-RiskMargin!J49</f>
        <v>0</v>
      </c>
      <c r="R520" s="1" t="n">
        <f aca="false">SUMIFS(Projection!$P$4:$P$59,Projection!$B$4:$B$59,"&gt;="&amp;(Assumptions!$B$4+45))/Discount!C49</f>
        <v>253.942068542003</v>
      </c>
      <c r="S520" s="1" t="n">
        <f aca="false">R520-RiskMargin!B49</f>
        <v>0</v>
      </c>
    </row>
    <row r="521" customFormat="false" ht="15" hidden="false" customHeight="true" outlineLevel="0" collapsed="false">
      <c r="A521" s="1" t="n">
        <v>46</v>
      </c>
      <c r="B521" s="1" t="n">
        <f aca="false">(SUMIFS(Projection!$P$4:$P$59,Projection!$B$4:$B$59,"&gt;="&amp;(Assumptions!$B$4+46))+SUMIFS($D$415:$D$470,$B$415:$B$470,"&gt;="&amp;(Assumptions!$B$4+46)))/Discount!C50</f>
        <v>139.995827753051</v>
      </c>
      <c r="C521" s="1" t="n">
        <f aca="false">(Projection!F50/Projection!Q50)*(SUMIFS(Projection!$R$4:$R$59,Projection!$B$4:$B$59,"&gt;="&amp;(Assumptions!$B$4+46))+SUMIFS($E$415:$E$470,$B$415:$B$470,"&gt;="&amp;(Assumptions!$B$4+46)))/Discount!C50</f>
        <v>170.975711912</v>
      </c>
      <c r="D521" s="1" t="n">
        <f aca="false">(Projection!F50/Projection!S50)*(SUMIFS(Projection!$T$4:$T$59,Projection!$B$4:$B$59,"&gt;="&amp;(Assumptions!$B$4+46))+SUMIFS($F$415:$F$470,$B$415:$B$470,"&gt;="&amp;(Assumptions!$B$4+46)))/Discount!C50</f>
        <v>139.995827753051</v>
      </c>
      <c r="E521" s="1" t="n">
        <f aca="false">(Projection!F50/Projection!U50)*(SUMIFS(Projection!$V$4:$V$59,Projection!$B$4:$B$59,"&gt;="&amp;(Assumptions!$B$4+46))+SUMIFS($G$415:$G$470,$B$415:$B$470,"&gt;="&amp;(Assumptions!$B$4+46)))/Discount!C50</f>
        <v>139.995827753051</v>
      </c>
      <c r="F521" s="1" t="n">
        <f aca="false">(SUMIFS(Projection!$W$4:$W$59,Projection!$B$4:$B$59,"&gt;="&amp;(Assumptions!$B$4+46))+SUMIFS($D$415:$D$470,$B$415:$B$470,"&gt;="&amp;(Assumptions!$B$4+46)))/Discount!C50</f>
        <v>140.656539272027</v>
      </c>
      <c r="G521" s="1" t="n">
        <f aca="false">MAX(0,C521-B521)</f>
        <v>30.9798841589495</v>
      </c>
      <c r="H521" s="1" t="n">
        <f aca="false">MAX(MAX(0,D521-B521),MAX(0,E521-B521),IF(A521&lt;Assumptions!$B$6,MAX(0,-Assumptions!$B$22*B521),0))</f>
        <v>0</v>
      </c>
      <c r="I521" s="1" t="n">
        <f aca="false">MAX(0,F521-B521)</f>
        <v>0.660711518975916</v>
      </c>
      <c r="J521" s="1" t="n">
        <f aca="false">SQRT(G521^2+H521^2+I521^2+2*Assumptions!$B$26*G521*H521+2*Assumptions!$B$27*G521*I521+2*Assumptions!$B$28*H521*I521)</f>
        <v>31.1516315041992</v>
      </c>
      <c r="K521" s="1" t="n">
        <f aca="false">J521*Discount!C50</f>
        <v>7.28247506926803</v>
      </c>
      <c r="L521" s="1" t="n">
        <f aca="false">Assumptions!$B$29*SUM(K521:K530)/Discount!C50</f>
        <v>3.71869703496715</v>
      </c>
      <c r="M521" s="73" t="n">
        <f aca="false">Projection!F50</f>
        <v>0.0016867085005452</v>
      </c>
      <c r="N521" s="1" t="n">
        <f aca="false">I372</f>
        <v>16039.7190648716</v>
      </c>
      <c r="O521" s="1" t="n">
        <f aca="false">IF(M521&lt;=0,0,MAX(0,(J521+L521-N521)/M521))</f>
        <v>0</v>
      </c>
      <c r="P521" s="1" t="n">
        <f aca="false">SQRT(MAX(0,RiskMargin!C50-RiskMargin!B50)^2+MAX(MAX(0,RiskMargin!D50-RiskMargin!B50),MAX(0,RiskMargin!E50-RiskMargin!B50),IF(46&lt;Assumptions!$B$6,MAX(0,-Assumptions!$B$22*RiskMargin!B50),0))^2+MAX(0,RiskMargin!F50-RiskMargin!B50)^2+2*Assumptions!$B$26*MAX(0,RiskMargin!C50-RiskMargin!B50)*MAX(MAX(0,RiskMargin!D50-RiskMargin!B50),MAX(0,RiskMargin!E50-RiskMargin!B50),IF(46&lt;Assumptions!$B$6,MAX(0,-Assumptions!$B$22*RiskMargin!B50),0))+2*Assumptions!$B$27*MAX(0,RiskMargin!C50-RiskMargin!B50)*MAX(0,RiskMargin!F50-RiskMargin!B50)+2*Assumptions!$B$28*MAX(MAX(0,RiskMargin!D50-RiskMargin!B50),MAX(0,RiskMargin!E50-RiskMargin!B50),IF(46&lt;Assumptions!$B$6,MAX(0,-Assumptions!$B$22*RiskMargin!B50),0))*MAX(0,RiskMargin!F50-RiskMargin!B50))</f>
        <v>31.1516315041992</v>
      </c>
      <c r="Q521" s="1" t="n">
        <f aca="false">P521-RiskMargin!J50</f>
        <v>0</v>
      </c>
      <c r="R521" s="1" t="n">
        <f aca="false">SUMIFS(Projection!$P$4:$P$59,Projection!$B$4:$B$59,"&gt;="&amp;(Assumptions!$B$4+46))/Discount!C50</f>
        <v>139.995827753051</v>
      </c>
      <c r="S521" s="1" t="n">
        <f aca="false">R521-RiskMargin!B50</f>
        <v>0</v>
      </c>
    </row>
    <row r="522" customFormat="false" ht="15" hidden="false" customHeight="true" outlineLevel="0" collapsed="false">
      <c r="A522" s="1" t="n">
        <v>47</v>
      </c>
      <c r="B522" s="1" t="n">
        <f aca="false">(SUMIFS(Projection!$P$4:$P$59,Projection!$B$4:$B$59,"&gt;="&amp;(Assumptions!$B$4+47))+SUMIFS($D$415:$D$470,$B$415:$B$470,"&gt;="&amp;(Assumptions!$B$4+47)))/Discount!C51</f>
        <v>74.8181054390519</v>
      </c>
      <c r="C522" s="1" t="n">
        <f aca="false">(Projection!F51/Projection!Q51)*(SUMIFS(Projection!$R$4:$R$59,Projection!$B$4:$B$59,"&gt;="&amp;(Assumptions!$B$4+47))+SUMIFS($E$415:$E$470,$B$415:$B$470,"&gt;="&amp;(Assumptions!$B$4+47)))/Discount!C51</f>
        <v>91.353167690467</v>
      </c>
      <c r="D522" s="1" t="n">
        <f aca="false">(Projection!F51/Projection!S51)*(SUMIFS(Projection!$T$4:$T$59,Projection!$B$4:$B$59,"&gt;="&amp;(Assumptions!$B$4+47))+SUMIFS($F$415:$F$470,$B$415:$B$470,"&gt;="&amp;(Assumptions!$B$4+47)))/Discount!C51</f>
        <v>74.8181054390519</v>
      </c>
      <c r="E522" s="1" t="n">
        <f aca="false">(Projection!F51/Projection!U51)*(SUMIFS(Projection!$V$4:$V$59,Projection!$B$4:$B$59,"&gt;="&amp;(Assumptions!$B$4+47))+SUMIFS($G$415:$G$470,$B$415:$B$470,"&gt;="&amp;(Assumptions!$B$4+47)))/Discount!C51</f>
        <v>74.8181054390519</v>
      </c>
      <c r="F522" s="1" t="n">
        <f aca="false">(SUMIFS(Projection!$W$4:$W$59,Projection!$B$4:$B$59,"&gt;="&amp;(Assumptions!$B$4+47))+SUMIFS($D$415:$D$470,$B$415:$B$470,"&gt;="&amp;(Assumptions!$B$4+47)))/Discount!C51</f>
        <v>75.180461887541</v>
      </c>
      <c r="G522" s="1" t="n">
        <f aca="false">MAX(0,C522-B522)</f>
        <v>16.535062251415</v>
      </c>
      <c r="H522" s="1" t="n">
        <f aca="false">MAX(MAX(0,D522-B522),MAX(0,E522-B522),IF(A522&lt;Assumptions!$B$6,MAX(0,-Assumptions!$B$22*B522),0))</f>
        <v>0</v>
      </c>
      <c r="I522" s="1" t="n">
        <f aca="false">MAX(0,F522-B522)</f>
        <v>0.362356448489052</v>
      </c>
      <c r="J522" s="1" t="n">
        <f aca="false">SQRT(G522^2+H522^2+I522^2+2*Assumptions!$B$26*G522*H522+2*Assumptions!$B$27*G522*I522+2*Assumptions!$B$28*H522*I522)</f>
        <v>16.6293529360109</v>
      </c>
      <c r="K522" s="1" t="n">
        <f aca="false">J522*Discount!C51</f>
        <v>3.76490492370546</v>
      </c>
      <c r="L522" s="1" t="n">
        <f aca="false">Assumptions!$B$29*SUM(K522:K530)/Discount!C51</f>
        <v>1.90984078260989</v>
      </c>
      <c r="M522" s="75" t="n">
        <f aca="false">Projection!F51</f>
        <v>0.000913794336408797</v>
      </c>
      <c r="N522" s="1" t="n">
        <f aca="false">I373</f>
        <v>16562.1343950253</v>
      </c>
      <c r="O522" s="1" t="n">
        <f aca="false">IF(M522&lt;=0,0,MAX(0,(J522+L522-N522)/M522))</f>
        <v>0</v>
      </c>
      <c r="P522" s="1" t="n">
        <f aca="false">SQRT(MAX(0,RiskMargin!C51-RiskMargin!B51)^2+MAX(MAX(0,RiskMargin!D51-RiskMargin!B51),MAX(0,RiskMargin!E51-RiskMargin!B51),IF(47&lt;Assumptions!$B$6,MAX(0,-Assumptions!$B$22*RiskMargin!B51),0))^2+MAX(0,RiskMargin!F51-RiskMargin!B51)^2+2*Assumptions!$B$26*MAX(0,RiskMargin!C51-RiskMargin!B51)*MAX(MAX(0,RiskMargin!D51-RiskMargin!B51),MAX(0,RiskMargin!E51-RiskMargin!B51),IF(47&lt;Assumptions!$B$6,MAX(0,-Assumptions!$B$22*RiskMargin!B51),0))+2*Assumptions!$B$27*MAX(0,RiskMargin!C51-RiskMargin!B51)*MAX(0,RiskMargin!F51-RiskMargin!B51)+2*Assumptions!$B$28*MAX(MAX(0,RiskMargin!D51-RiskMargin!B51),MAX(0,RiskMargin!E51-RiskMargin!B51),IF(47&lt;Assumptions!$B$6,MAX(0,-Assumptions!$B$22*RiskMargin!B51),0))*MAX(0,RiskMargin!F51-RiskMargin!B51))</f>
        <v>16.6293529360109</v>
      </c>
      <c r="Q522" s="1" t="n">
        <f aca="false">P522-RiskMargin!J51</f>
        <v>0</v>
      </c>
      <c r="R522" s="1" t="n">
        <f aca="false">SUMIFS(Projection!$P$4:$P$59,Projection!$B$4:$B$59,"&gt;="&amp;(Assumptions!$B$4+47))/Discount!C51</f>
        <v>74.8181054390519</v>
      </c>
      <c r="S522" s="1" t="n">
        <f aca="false">R522-RiskMargin!B51</f>
        <v>0</v>
      </c>
    </row>
    <row r="523" customFormat="false" ht="15" hidden="false" customHeight="true" outlineLevel="0" collapsed="false">
      <c r="A523" s="1" t="n">
        <v>48</v>
      </c>
      <c r="B523" s="1" t="n">
        <f aca="false">(SUMIFS(Projection!$P$4:$P$59,Projection!$B$4:$B$59,"&gt;="&amp;(Assumptions!$B$4+48))+SUMIFS($D$415:$D$470,$B$415:$B$470,"&gt;="&amp;(Assumptions!$B$4+48)))/Discount!C52</f>
        <v>38.7358092367186</v>
      </c>
      <c r="C523" s="1" t="n">
        <f aca="false">(Projection!F52/Projection!Q52)*(SUMIFS(Projection!$R$4:$R$59,Projection!$B$4:$B$59,"&gt;="&amp;(Assumptions!$B$4+48))+SUMIFS($E$415:$E$470,$B$415:$B$470,"&gt;="&amp;(Assumptions!$B$4+48)))/Discount!C52</f>
        <v>47.2413298750287</v>
      </c>
      <c r="D523" s="1" t="n">
        <f aca="false">(Projection!F52/Projection!S52)*(SUMIFS(Projection!$T$4:$T$59,Projection!$B$4:$B$59,"&gt;="&amp;(Assumptions!$B$4+48))+SUMIFS($F$415:$F$470,$B$415:$B$470,"&gt;="&amp;(Assumptions!$B$4+48)))/Discount!C52</f>
        <v>38.7358092367186</v>
      </c>
      <c r="E523" s="1" t="n">
        <f aca="false">(Projection!F52/Projection!U52)*(SUMIFS(Projection!$V$4:$V$59,Projection!$B$4:$B$59,"&gt;="&amp;(Assumptions!$B$4+48))+SUMIFS($G$415:$G$470,$B$415:$B$470,"&gt;="&amp;(Assumptions!$B$4+48)))/Discount!C52</f>
        <v>38.7358092367186</v>
      </c>
      <c r="F523" s="1" t="n">
        <f aca="false">(SUMIFS(Projection!$W$4:$W$59,Projection!$B$4:$B$59,"&gt;="&amp;(Assumptions!$B$4+48))+SUMIFS($D$415:$D$470,$B$415:$B$470,"&gt;="&amp;(Assumptions!$B$4+48)))/Discount!C52</f>
        <v>38.9282904912621</v>
      </c>
      <c r="G523" s="1" t="n">
        <f aca="false">MAX(0,C523-B523)</f>
        <v>8.50552063831014</v>
      </c>
      <c r="H523" s="1" t="n">
        <f aca="false">MAX(MAX(0,D523-B523),MAX(0,E523-B523),IF(A523&lt;Assumptions!$B$6,MAX(0,-Assumptions!$B$22*B523),0))</f>
        <v>0</v>
      </c>
      <c r="I523" s="1" t="n">
        <f aca="false">MAX(0,F523-B523)</f>
        <v>0.192481254543488</v>
      </c>
      <c r="J523" s="1" t="n">
        <f aca="false">SQRT(G523^2+H523^2+I523^2+2*Assumptions!$B$26*G523*H523+2*Assumptions!$B$27*G523*I523+2*Assumptions!$B$28*H523*I523)</f>
        <v>8.55567104344096</v>
      </c>
      <c r="K523" s="1" t="n">
        <f aca="false">J523*Discount!C52</f>
        <v>1.87500662610194</v>
      </c>
      <c r="L523" s="1" t="n">
        <f aca="false">Assumptions!$B$29*SUM(K523:K530)/Discount!C52</f>
        <v>0.942242477880193</v>
      </c>
      <c r="M523" s="75" t="n">
        <f aca="false">Projection!F52</f>
        <v>0.000478998584659233</v>
      </c>
      <c r="N523" s="1" t="n">
        <f aca="false">I374</f>
        <v>17109.8514219681</v>
      </c>
      <c r="O523" s="1" t="n">
        <f aca="false">IF(M523&lt;=0,0,MAX(0,(J523+L523-N523)/M523))</f>
        <v>0</v>
      </c>
      <c r="P523" s="1" t="n">
        <f aca="false">SQRT(MAX(0,RiskMargin!C52-RiskMargin!B52)^2+MAX(MAX(0,RiskMargin!D52-RiskMargin!B52),MAX(0,RiskMargin!E52-RiskMargin!B52),IF(48&lt;Assumptions!$B$6,MAX(0,-Assumptions!$B$22*RiskMargin!B52),0))^2+MAX(0,RiskMargin!F52-RiskMargin!B52)^2+2*Assumptions!$B$26*MAX(0,RiskMargin!C52-RiskMargin!B52)*MAX(MAX(0,RiskMargin!D52-RiskMargin!B52),MAX(0,RiskMargin!E52-RiskMargin!B52),IF(48&lt;Assumptions!$B$6,MAX(0,-Assumptions!$B$22*RiskMargin!B52),0))+2*Assumptions!$B$27*MAX(0,RiskMargin!C52-RiskMargin!B52)*MAX(0,RiskMargin!F52-RiskMargin!B52)+2*Assumptions!$B$28*MAX(MAX(0,RiskMargin!D52-RiskMargin!B52),MAX(0,RiskMargin!E52-RiskMargin!B52),IF(48&lt;Assumptions!$B$6,MAX(0,-Assumptions!$B$22*RiskMargin!B52),0))*MAX(0,RiskMargin!F52-RiskMargin!B52))</f>
        <v>8.55567104344096</v>
      </c>
      <c r="Q523" s="1" t="n">
        <f aca="false">P523-RiskMargin!J52</f>
        <v>0</v>
      </c>
      <c r="R523" s="1" t="n">
        <f aca="false">SUMIFS(Projection!$P$4:$P$59,Projection!$B$4:$B$59,"&gt;="&amp;(Assumptions!$B$4+48))/Discount!C52</f>
        <v>38.7358092367186</v>
      </c>
      <c r="S523" s="1" t="n">
        <f aca="false">R523-RiskMargin!B52</f>
        <v>0</v>
      </c>
    </row>
    <row r="524" customFormat="false" ht="15" hidden="false" customHeight="true" outlineLevel="0" collapsed="false">
      <c r="A524" s="1" t="n">
        <v>49</v>
      </c>
      <c r="B524" s="1" t="n">
        <f aca="false">(SUMIFS(Projection!$P$4:$P$59,Projection!$B$4:$B$59,"&gt;="&amp;(Assumptions!$B$4+49))+SUMIFS($D$415:$D$470,$B$415:$B$470,"&gt;="&amp;(Assumptions!$B$4+49)))/Discount!C53</f>
        <v>19.3926710020517</v>
      </c>
      <c r="C524" s="1" t="n">
        <f aca="false">(Projection!F53/Projection!Q53)*(SUMIFS(Projection!$R$4:$R$59,Projection!$B$4:$B$59,"&gt;="&amp;(Assumptions!$B$4+49))+SUMIFS($E$415:$E$470,$B$415:$B$470,"&gt;="&amp;(Assumptions!$B$4+49)))/Discount!C53</f>
        <v>23.5842183444198</v>
      </c>
      <c r="D524" s="1" t="n">
        <f aca="false">(Projection!F53/Projection!S53)*(SUMIFS(Projection!$T$4:$T$59,Projection!$B$4:$B$59,"&gt;="&amp;(Assumptions!$B$4+49))+SUMIFS($F$415:$F$470,$B$415:$B$470,"&gt;="&amp;(Assumptions!$B$4+49)))/Discount!C53</f>
        <v>19.3926710020517</v>
      </c>
      <c r="E524" s="1" t="n">
        <f aca="false">(Projection!F53/Projection!U53)*(SUMIFS(Projection!$V$4:$V$59,Projection!$B$4:$B$59,"&gt;="&amp;(Assumptions!$B$4+49))+SUMIFS($G$415:$G$470,$B$415:$B$470,"&gt;="&amp;(Assumptions!$B$4+49)))/Discount!C53</f>
        <v>19.3926710020517</v>
      </c>
      <c r="F524" s="1" t="n">
        <f aca="false">(SUMIFS(Projection!$W$4:$W$59,Projection!$B$4:$B$59,"&gt;="&amp;(Assumptions!$B$4+49))+SUMIFS($D$415:$D$470,$B$415:$B$470,"&gt;="&amp;(Assumptions!$B$4+49)))/Discount!C53</f>
        <v>19.4915152835171</v>
      </c>
      <c r="G524" s="1" t="n">
        <f aca="false">MAX(0,C524-B524)</f>
        <v>4.1915473423681</v>
      </c>
      <c r="H524" s="1" t="n">
        <f aca="false">MAX(MAX(0,D524-B524),MAX(0,E524-B524),IF(A524&lt;Assumptions!$B$6,MAX(0,-Assumptions!$B$22*B524),0))</f>
        <v>0</v>
      </c>
      <c r="I524" s="1" t="n">
        <f aca="false">MAX(0,F524-B524)</f>
        <v>0.0988442814653183</v>
      </c>
      <c r="J524" s="1" t="n">
        <f aca="false">SQRT(G524^2+H524^2+I524^2+2*Assumptions!$B$26*G524*H524+2*Assumptions!$B$27*G524*I524+2*Assumptions!$B$28*H524*I524)</f>
        <v>4.21734449125674</v>
      </c>
      <c r="K524" s="1" t="n">
        <f aca="false">J524*Discount!C53</f>
        <v>0.895049854068799</v>
      </c>
      <c r="L524" s="1" t="n">
        <f aca="false">Assumptions!$B$29*SUM(K524:K530)/Discount!C53</f>
        <v>0.442893054412133</v>
      </c>
      <c r="M524" s="75" t="n">
        <f aca="false">Projection!F53</f>
        <v>0.000242726298517999</v>
      </c>
      <c r="N524" s="1" t="n">
        <f aca="false">I375</f>
        <v>17667.9767251302</v>
      </c>
      <c r="O524" s="1" t="n">
        <f aca="false">IF(M524&lt;=0,0,MAX(0,(J524+L524-N524)/M524))</f>
        <v>0</v>
      </c>
      <c r="P524" s="1" t="n">
        <f aca="false">SQRT(MAX(0,RiskMargin!C53-RiskMargin!B53)^2+MAX(MAX(0,RiskMargin!D53-RiskMargin!B53),MAX(0,RiskMargin!E53-RiskMargin!B53),IF(49&lt;Assumptions!$B$6,MAX(0,-Assumptions!$B$22*RiskMargin!B53),0))^2+MAX(0,RiskMargin!F53-RiskMargin!B53)^2+2*Assumptions!$B$26*MAX(0,RiskMargin!C53-RiskMargin!B53)*MAX(MAX(0,RiskMargin!D53-RiskMargin!B53),MAX(0,RiskMargin!E53-RiskMargin!B53),IF(49&lt;Assumptions!$B$6,MAX(0,-Assumptions!$B$22*RiskMargin!B53),0))+2*Assumptions!$B$27*MAX(0,RiskMargin!C53-RiskMargin!B53)*MAX(0,RiskMargin!F53-RiskMargin!B53)+2*Assumptions!$B$28*MAX(MAX(0,RiskMargin!D53-RiskMargin!B53),MAX(0,RiskMargin!E53-RiskMargin!B53),IF(49&lt;Assumptions!$B$6,MAX(0,-Assumptions!$B$22*RiskMargin!B53),0))*MAX(0,RiskMargin!F53-RiskMargin!B53))</f>
        <v>4.21734449125674</v>
      </c>
      <c r="Q524" s="1" t="n">
        <f aca="false">P524-RiskMargin!J53</f>
        <v>0</v>
      </c>
      <c r="R524" s="1" t="n">
        <f aca="false">SUMIFS(Projection!$P$4:$P$59,Projection!$B$4:$B$59,"&gt;="&amp;(Assumptions!$B$4+49))/Discount!C53</f>
        <v>19.3926710020517</v>
      </c>
      <c r="S524" s="1" t="n">
        <f aca="false">R524-RiskMargin!B53</f>
        <v>0</v>
      </c>
    </row>
    <row r="525" customFormat="false" ht="15" hidden="false" customHeight="true" outlineLevel="0" collapsed="false">
      <c r="A525" s="1" t="n">
        <v>50</v>
      </c>
      <c r="B525" s="1" t="n">
        <f aca="false">(SUMIFS(Projection!$P$4:$P$59,Projection!$B$4:$B$59,"&gt;="&amp;(Assumptions!$B$4+50))+SUMIFS($D$415:$D$470,$B$415:$B$470,"&gt;="&amp;(Assumptions!$B$4+50)))/Discount!C54</f>
        <v>9.37862665441879</v>
      </c>
      <c r="C525" s="1" t="n">
        <f aca="false">(Projection!F54/Projection!Q54)*(SUMIFS(Projection!$R$4:$R$59,Projection!$B$4:$B$59,"&gt;="&amp;(Assumptions!$B$4+50))+SUMIFS($E$415:$E$470,$B$415:$B$470,"&gt;="&amp;(Assumptions!$B$4+50)))/Discount!C54</f>
        <v>11.3428600835253</v>
      </c>
      <c r="D525" s="1" t="n">
        <f aca="false">(Projection!F54/Projection!S54)*(SUMIFS(Projection!$T$4:$T$59,Projection!$B$4:$B$59,"&gt;="&amp;(Assumptions!$B$4+50))+SUMIFS($F$415:$F$470,$B$415:$B$470,"&gt;="&amp;(Assumptions!$B$4+50)))/Discount!C54</f>
        <v>9.37862665441879</v>
      </c>
      <c r="E525" s="1" t="n">
        <f aca="false">(Projection!F54/Projection!U54)*(SUMIFS(Projection!$V$4:$V$59,Projection!$B$4:$B$59,"&gt;="&amp;(Assumptions!$B$4+50))+SUMIFS($G$415:$G$470,$B$415:$B$470,"&gt;="&amp;(Assumptions!$B$4+50)))/Discount!C54</f>
        <v>9.37862665441879</v>
      </c>
      <c r="F525" s="1" t="n">
        <f aca="false">(SUMIFS(Projection!$W$4:$W$59,Projection!$B$4:$B$59,"&gt;="&amp;(Assumptions!$B$4+50))+SUMIFS($D$415:$D$470,$B$415:$B$470,"&gt;="&amp;(Assumptions!$B$4+50)))/Discount!C54</f>
        <v>9.42764447078396</v>
      </c>
      <c r="G525" s="1" t="n">
        <f aca="false">MAX(0,C525-B525)</f>
        <v>1.96423342910648</v>
      </c>
      <c r="H525" s="1" t="n">
        <f aca="false">MAX(MAX(0,D525-B525),MAX(0,E525-B525),IF(A525&lt;Assumptions!$B$6,MAX(0,-Assumptions!$B$22*B525),0))</f>
        <v>0</v>
      </c>
      <c r="I525" s="1" t="n">
        <f aca="false">MAX(0,F525-B525)</f>
        <v>0.0490178163651684</v>
      </c>
      <c r="J525" s="1" t="n">
        <f aca="false">SQRT(G525^2+H525^2+I525^2+2*Assumptions!$B$26*G525*H525+2*Assumptions!$B$27*G525*I525+2*Assumptions!$B$28*H525*I525)</f>
        <v>1.9770576438495</v>
      </c>
      <c r="K525" s="1" t="n">
        <f aca="false">J525*Discount!C54</f>
        <v>0.40613283662279</v>
      </c>
      <c r="L525" s="1" t="n">
        <f aca="false">Assumptions!$B$29*SUM(K525:K530)/Discount!C54</f>
        <v>0.196144183132344</v>
      </c>
      <c r="M525" s="75" t="n">
        <f aca="false">Projection!F54</f>
        <v>0.000118806116249204</v>
      </c>
      <c r="N525" s="1" t="n">
        <f aca="false">I376</f>
        <v>18253.5018641291</v>
      </c>
      <c r="O525" s="1" t="n">
        <f aca="false">IF(M525&lt;=0,0,MAX(0,(J525+L525-N525)/M525))</f>
        <v>0</v>
      </c>
      <c r="P525" s="1" t="n">
        <f aca="false">SQRT(MAX(0,RiskMargin!C54-RiskMargin!B54)^2+MAX(MAX(0,RiskMargin!D54-RiskMargin!B54),MAX(0,RiskMargin!E54-RiskMargin!B54),IF(50&lt;Assumptions!$B$6,MAX(0,-Assumptions!$B$22*RiskMargin!B54),0))^2+MAX(0,RiskMargin!F54-RiskMargin!B54)^2+2*Assumptions!$B$26*MAX(0,RiskMargin!C54-RiskMargin!B54)*MAX(MAX(0,RiskMargin!D54-RiskMargin!B54),MAX(0,RiskMargin!E54-RiskMargin!B54),IF(50&lt;Assumptions!$B$6,MAX(0,-Assumptions!$B$22*RiskMargin!B54),0))+2*Assumptions!$B$27*MAX(0,RiskMargin!C54-RiskMargin!B54)*MAX(0,RiskMargin!F54-RiskMargin!B54)+2*Assumptions!$B$28*MAX(MAX(0,RiskMargin!D54-RiskMargin!B54),MAX(0,RiskMargin!E54-RiskMargin!B54),IF(50&lt;Assumptions!$B$6,MAX(0,-Assumptions!$B$22*RiskMargin!B54),0))*MAX(0,RiskMargin!F54-RiskMargin!B54))</f>
        <v>1.9770576438495</v>
      </c>
      <c r="Q525" s="1" t="n">
        <f aca="false">P525-RiskMargin!J54</f>
        <v>0</v>
      </c>
      <c r="R525" s="1" t="n">
        <f aca="false">SUMIFS(Projection!$P$4:$P$59,Projection!$B$4:$B$59,"&gt;="&amp;(Assumptions!$B$4+50))/Discount!C54</f>
        <v>9.37862665441879</v>
      </c>
      <c r="S525" s="1" t="n">
        <f aca="false">R525-RiskMargin!B54</f>
        <v>0</v>
      </c>
    </row>
    <row r="526" customFormat="false" ht="15" hidden="false" customHeight="true" outlineLevel="0" collapsed="false">
      <c r="A526" s="1" t="n">
        <v>51</v>
      </c>
      <c r="B526" s="1" t="n">
        <f aca="false">(SUMIFS(Projection!$P$4:$P$59,Projection!$B$4:$B$59,"&gt;="&amp;(Assumptions!$B$4+51))+SUMIFS($D$415:$D$470,$B$415:$B$470,"&gt;="&amp;(Assumptions!$B$4+51)))/Discount!C55</f>
        <v>4.36686048288086</v>
      </c>
      <c r="C526" s="1" t="n">
        <f aca="false">(Projection!F55/Projection!Q55)*(SUMIFS(Projection!$R$4:$R$59,Projection!$B$4:$B$59,"&gt;="&amp;(Assumptions!$B$4+51))+SUMIFS($E$415:$E$470,$B$415:$B$470,"&gt;="&amp;(Assumptions!$B$4+51)))/Discount!C55</f>
        <v>5.22765910955683</v>
      </c>
      <c r="D526" s="1" t="n">
        <f aca="false">(Projection!F55/Projection!S55)*(SUMIFS(Projection!$T$4:$T$59,Projection!$B$4:$B$59,"&gt;="&amp;(Assumptions!$B$4+51))+SUMIFS($F$415:$F$470,$B$415:$B$470,"&gt;="&amp;(Assumptions!$B$4+51)))/Discount!C55</f>
        <v>4.36686048288086</v>
      </c>
      <c r="E526" s="1" t="n">
        <f aca="false">(Projection!F55/Projection!U55)*(SUMIFS(Projection!$V$4:$V$59,Projection!$B$4:$B$59,"&gt;="&amp;(Assumptions!$B$4+51))+SUMIFS($G$415:$G$470,$B$415:$B$470,"&gt;="&amp;(Assumptions!$B$4+51)))/Discount!C55</f>
        <v>4.36686048288086</v>
      </c>
      <c r="F526" s="1" t="n">
        <f aca="false">(SUMIFS(Projection!$W$4:$W$59,Projection!$B$4:$B$59,"&gt;="&amp;(Assumptions!$B$4+51))+SUMIFS($D$415:$D$470,$B$415:$B$470,"&gt;="&amp;(Assumptions!$B$4+51)))/Discount!C55</f>
        <v>4.39025320969635</v>
      </c>
      <c r="G526" s="1" t="n">
        <f aca="false">MAX(0,C526-B526)</f>
        <v>0.860798626675967</v>
      </c>
      <c r="H526" s="1" t="n">
        <f aca="false">MAX(MAX(0,D526-B526),MAX(0,E526-B526),IF(A526&lt;Assumptions!$B$6,MAX(0,-Assumptions!$B$22*B526),0))</f>
        <v>0</v>
      </c>
      <c r="I526" s="1" t="n">
        <f aca="false">MAX(0,F526-B526)</f>
        <v>0.0233927268154828</v>
      </c>
      <c r="J526" s="1" t="n">
        <f aca="false">SQRT(G526^2+H526^2+I526^2+2*Assumptions!$B$26*G526*H526+2*Assumptions!$B$27*G526*I526+2*Assumptions!$B$28*H526*I526)</f>
        <v>0.866942736813442</v>
      </c>
      <c r="K526" s="1" t="n">
        <f aca="false">J526*Discount!C55</f>
        <v>0.172455707633027</v>
      </c>
      <c r="L526" s="1" t="n">
        <f aca="false">Assumptions!$B$29*SUM(K526:K530)/Discount!C55</f>
        <v>0.0800533361482794</v>
      </c>
      <c r="M526" s="75" t="n">
        <f aca="false">Projection!F55</f>
        <v>5.61264386734587E-005</v>
      </c>
      <c r="N526" s="1" t="n">
        <f aca="false">I377</f>
        <v>18849.8460251941</v>
      </c>
      <c r="O526" s="1" t="n">
        <f aca="false">IF(M526&lt;=0,0,MAX(0,(J526+L526-N526)/M526))</f>
        <v>0</v>
      </c>
      <c r="P526" s="1" t="n">
        <f aca="false">SQRT(MAX(0,RiskMargin!C55-RiskMargin!B55)^2+MAX(MAX(0,RiskMargin!D55-RiskMargin!B55),MAX(0,RiskMargin!E55-RiskMargin!B55),IF(51&lt;Assumptions!$B$6,MAX(0,-Assumptions!$B$22*RiskMargin!B55),0))^2+MAX(0,RiskMargin!F55-RiskMargin!B55)^2+2*Assumptions!$B$26*MAX(0,RiskMargin!C55-RiskMargin!B55)*MAX(MAX(0,RiskMargin!D55-RiskMargin!B55),MAX(0,RiskMargin!E55-RiskMargin!B55),IF(51&lt;Assumptions!$B$6,MAX(0,-Assumptions!$B$22*RiskMargin!B55),0))+2*Assumptions!$B$27*MAX(0,RiskMargin!C55-RiskMargin!B55)*MAX(0,RiskMargin!F55-RiskMargin!B55)+2*Assumptions!$B$28*MAX(MAX(0,RiskMargin!D55-RiskMargin!B55),MAX(0,RiskMargin!E55-RiskMargin!B55),IF(51&lt;Assumptions!$B$6,MAX(0,-Assumptions!$B$22*RiskMargin!B55),0))*MAX(0,RiskMargin!F55-RiskMargin!B55))</f>
        <v>0.866942736813442</v>
      </c>
      <c r="Q526" s="1" t="n">
        <f aca="false">P526-RiskMargin!J55</f>
        <v>0</v>
      </c>
      <c r="R526" s="1" t="n">
        <f aca="false">SUMIFS(Projection!$P$4:$P$59,Projection!$B$4:$B$59,"&gt;="&amp;(Assumptions!$B$4+51))/Discount!C55</f>
        <v>4.36686048288086</v>
      </c>
      <c r="S526" s="1" t="n">
        <f aca="false">R526-RiskMargin!B55</f>
        <v>0</v>
      </c>
    </row>
    <row r="527" customFormat="false" ht="15" hidden="false" customHeight="true" outlineLevel="0" collapsed="false">
      <c r="A527" s="1" t="n">
        <v>52</v>
      </c>
      <c r="B527" s="1" t="n">
        <f aca="false">(SUMIFS(Projection!$P$4:$P$59,Projection!$B$4:$B$59,"&gt;="&amp;(Assumptions!$B$4+52))+SUMIFS($D$415:$D$470,$B$415:$B$470,"&gt;="&amp;(Assumptions!$B$4+52)))/Discount!C56</f>
        <v>1.94682330515196</v>
      </c>
      <c r="C527" s="1" t="n">
        <f aca="false">(Projection!F56/Projection!Q56)*(SUMIFS(Projection!$R$4:$R$59,Projection!$B$4:$B$59,"&gt;="&amp;(Assumptions!$B$4+52))+SUMIFS($E$415:$E$470,$B$415:$B$470,"&gt;="&amp;(Assumptions!$B$4+52)))/Discount!C56</f>
        <v>2.28886925994816</v>
      </c>
      <c r="D527" s="1" t="n">
        <f aca="false">(Projection!F56/Projection!S56)*(SUMIFS(Projection!$T$4:$T$59,Projection!$B$4:$B$59,"&gt;="&amp;(Assumptions!$B$4+52))+SUMIFS($F$415:$F$470,$B$415:$B$470,"&gt;="&amp;(Assumptions!$B$4+52)))/Discount!C56</f>
        <v>1.94682330515196</v>
      </c>
      <c r="E527" s="1" t="n">
        <f aca="false">(Projection!F56/Projection!U56)*(SUMIFS(Projection!$V$4:$V$59,Projection!$B$4:$B$59,"&gt;="&amp;(Assumptions!$B$4+52))+SUMIFS($G$415:$G$470,$B$415:$B$470,"&gt;="&amp;(Assumptions!$B$4+52)))/Discount!C56</f>
        <v>1.94682330515196</v>
      </c>
      <c r="F527" s="1" t="n">
        <f aca="false">(SUMIFS(Projection!$W$4:$W$59,Projection!$B$4:$B$59,"&gt;="&amp;(Assumptions!$B$4+52))+SUMIFS($D$415:$D$470,$B$415:$B$470,"&gt;="&amp;(Assumptions!$B$4+52)))/Discount!C56</f>
        <v>1.95750458421701</v>
      </c>
      <c r="G527" s="1" t="n">
        <f aca="false">MAX(0,C527-B527)</f>
        <v>0.342045954796209</v>
      </c>
      <c r="H527" s="1" t="n">
        <f aca="false">MAX(MAX(0,D527-B527),MAX(0,E527-B527),IF(A527&lt;Assumptions!$B$6,MAX(0,-Assumptions!$B$22*B527),0))</f>
        <v>0</v>
      </c>
      <c r="I527" s="1" t="n">
        <f aca="false">MAX(0,F527-B527)</f>
        <v>0.0106812790650521</v>
      </c>
      <c r="J527" s="1" t="n">
        <f aca="false">SQRT(G527^2+H527^2+I527^2+2*Assumptions!$B$26*G527*H527+2*Assumptions!$B$27*G527*I527+2*Assumptions!$B$28*H527*I527)</f>
        <v>0.344871380463849</v>
      </c>
      <c r="K527" s="1" t="n">
        <f aca="false">J527*Discount!C56</f>
        <v>0.0664315353439466</v>
      </c>
      <c r="L527" s="1" t="n">
        <f aca="false">Assumptions!$B$29*SUM(K527:K530)/Discount!C56</f>
        <v>0.0289532976165618</v>
      </c>
      <c r="M527" s="75" t="n">
        <f aca="false">Projection!F56</f>
        <v>2.55738846634779E-005</v>
      </c>
      <c r="N527" s="1" t="n">
        <f aca="false">I378</f>
        <v>19466.0499137359</v>
      </c>
      <c r="O527" s="1" t="n">
        <f aca="false">IF(M527&lt;=0,0,MAX(0,(J527+L527-N527)/M527))</f>
        <v>0</v>
      </c>
      <c r="P527" s="1" t="n">
        <f aca="false">SQRT(MAX(0,RiskMargin!C56-RiskMargin!B56)^2+MAX(MAX(0,RiskMargin!D56-RiskMargin!B56),MAX(0,RiskMargin!E56-RiskMargin!B56),IF(52&lt;Assumptions!$B$6,MAX(0,-Assumptions!$B$22*RiskMargin!B56),0))^2+MAX(0,RiskMargin!F56-RiskMargin!B56)^2+2*Assumptions!$B$26*MAX(0,RiskMargin!C56-RiskMargin!B56)*MAX(MAX(0,RiskMargin!D56-RiskMargin!B56),MAX(0,RiskMargin!E56-RiskMargin!B56),IF(52&lt;Assumptions!$B$6,MAX(0,-Assumptions!$B$22*RiskMargin!B56),0))+2*Assumptions!$B$27*MAX(0,RiskMargin!C56-RiskMargin!B56)*MAX(0,RiskMargin!F56-RiskMargin!B56)+2*Assumptions!$B$28*MAX(MAX(0,RiskMargin!D56-RiskMargin!B56),MAX(0,RiskMargin!E56-RiskMargin!B56),IF(52&lt;Assumptions!$B$6,MAX(0,-Assumptions!$B$22*RiskMargin!B56),0))*MAX(0,RiskMargin!F56-RiskMargin!B56))</f>
        <v>0.344871380463849</v>
      </c>
      <c r="Q527" s="1" t="n">
        <f aca="false">P527-RiskMargin!J56</f>
        <v>0</v>
      </c>
      <c r="R527" s="1" t="n">
        <f aca="false">SUMIFS(Projection!$P$4:$P$59,Projection!$B$4:$B$59,"&gt;="&amp;(Assumptions!$B$4+52))/Discount!C56</f>
        <v>1.94682330515196</v>
      </c>
      <c r="S527" s="1" t="n">
        <f aca="false">R527-RiskMargin!B56</f>
        <v>0</v>
      </c>
    </row>
    <row r="528" customFormat="false" ht="15" hidden="false" customHeight="true" outlineLevel="0" collapsed="false">
      <c r="A528" s="1" t="n">
        <v>53</v>
      </c>
      <c r="B528" s="1" t="n">
        <f aca="false">(SUMIFS(Projection!$P$4:$P$59,Projection!$B$4:$B$59,"&gt;="&amp;(Assumptions!$B$4+53))+SUMIFS($D$415:$D$470,$B$415:$B$470,"&gt;="&amp;(Assumptions!$B$4+53)))/Discount!C57</f>
        <v>0.819358695652638</v>
      </c>
      <c r="C528" s="1" t="n">
        <f aca="false">(Projection!F57/Projection!Q57)*(SUMIFS(Projection!$R$4:$R$59,Projection!$B$4:$B$59,"&gt;="&amp;(Assumptions!$B$4+53))+SUMIFS($E$415:$E$470,$B$415:$B$470,"&gt;="&amp;(Assumptions!$B$4+53)))/Discount!C57</f>
        <v>0.934050660427797</v>
      </c>
      <c r="D528" s="1" t="n">
        <f aca="false">(Projection!F57/Projection!S57)*(SUMIFS(Projection!$T$4:$T$59,Projection!$B$4:$B$59,"&gt;="&amp;(Assumptions!$B$4+53))+SUMIFS($F$415:$F$470,$B$415:$B$470,"&gt;="&amp;(Assumptions!$B$4+53)))/Discount!C57</f>
        <v>0.819358695652638</v>
      </c>
      <c r="E528" s="1" t="n">
        <f aca="false">(Projection!F57/Projection!U57)*(SUMIFS(Projection!$V$4:$V$59,Projection!$B$4:$B$59,"&gt;="&amp;(Assumptions!$B$4+53))+SUMIFS($G$415:$G$470,$B$415:$B$470,"&gt;="&amp;(Assumptions!$B$4+53)))/Discount!C57</f>
        <v>0.819358695652638</v>
      </c>
      <c r="F528" s="1" t="n">
        <f aca="false">(SUMIFS(Projection!$W$4:$W$59,Projection!$B$4:$B$59,"&gt;="&amp;(Assumptions!$B$4+53))+SUMIFS($D$415:$D$470,$B$415:$B$470,"&gt;="&amp;(Assumptions!$B$4+53)))/Discount!C57</f>
        <v>0.823957646231854</v>
      </c>
      <c r="G528" s="1" t="n">
        <f aca="false">MAX(0,C528-B528)</f>
        <v>0.114691964775159</v>
      </c>
      <c r="H528" s="1" t="n">
        <f aca="false">MAX(MAX(0,D528-B528),MAX(0,E528-B528),IF(A528&lt;Assumptions!$B$6,MAX(0,-Assumptions!$B$22*B528),0))</f>
        <v>0</v>
      </c>
      <c r="I528" s="1" t="n">
        <f aca="false">MAX(0,F528-B528)</f>
        <v>0.00459895057921544</v>
      </c>
      <c r="J528" s="1" t="n">
        <f aca="false">SQRT(G528^2+H528^2+I528^2+2*Assumptions!$B$26*G528*H528+2*Assumptions!$B$27*G528*I528+2*Assumptions!$B$28*H528*I528)</f>
        <v>0.115927255075471</v>
      </c>
      <c r="K528" s="1" t="n">
        <f aca="false">J528*Discount!C57</f>
        <v>0.0216234132633183</v>
      </c>
      <c r="L528" s="1" t="n">
        <f aca="false">Assumptions!$B$29*SUM(K528:K530)/Discount!C57</f>
        <v>0.00853123368552913</v>
      </c>
      <c r="M528" s="75" t="n">
        <f aca="false">Projection!F57</f>
        <v>1.12317686470886E-005</v>
      </c>
      <c r="N528" s="1" t="n">
        <f aca="false">I379</f>
        <v>20102.7870056347</v>
      </c>
      <c r="O528" s="1" t="n">
        <f aca="false">IF(M528&lt;=0,0,MAX(0,(J528+L528-N528)/M528))</f>
        <v>0</v>
      </c>
      <c r="P528" s="1" t="n">
        <f aca="false">SQRT(MAX(0,RiskMargin!C57-RiskMargin!B57)^2+MAX(MAX(0,RiskMargin!D57-RiskMargin!B57),MAX(0,RiskMargin!E57-RiskMargin!B57),IF(53&lt;Assumptions!$B$6,MAX(0,-Assumptions!$B$22*RiskMargin!B57),0))^2+MAX(0,RiskMargin!F57-RiskMargin!B57)^2+2*Assumptions!$B$26*MAX(0,RiskMargin!C57-RiskMargin!B57)*MAX(MAX(0,RiskMargin!D57-RiskMargin!B57),MAX(0,RiskMargin!E57-RiskMargin!B57),IF(53&lt;Assumptions!$B$6,MAX(0,-Assumptions!$B$22*RiskMargin!B57),0))+2*Assumptions!$B$27*MAX(0,RiskMargin!C57-RiskMargin!B57)*MAX(0,RiskMargin!F57-RiskMargin!B57)+2*Assumptions!$B$28*MAX(MAX(0,RiskMargin!D57-RiskMargin!B57),MAX(0,RiskMargin!E57-RiskMargin!B57),IF(53&lt;Assumptions!$B$6,MAX(0,-Assumptions!$B$22*RiskMargin!B57),0))*MAX(0,RiskMargin!F57-RiskMargin!B57))</f>
        <v>0.115927255075471</v>
      </c>
      <c r="Q528" s="1" t="n">
        <f aca="false">P528-RiskMargin!J57</f>
        <v>0</v>
      </c>
      <c r="R528" s="1" t="n">
        <f aca="false">SUMIFS(Projection!$P$4:$P$59,Projection!$B$4:$B$59,"&gt;="&amp;(Assumptions!$B$4+53))/Discount!C57</f>
        <v>0.819358695652638</v>
      </c>
      <c r="S528" s="1" t="n">
        <f aca="false">R528-RiskMargin!B57</f>
        <v>0</v>
      </c>
    </row>
    <row r="529" customFormat="false" ht="15" hidden="false" customHeight="true" outlineLevel="0" collapsed="false">
      <c r="A529" s="1" t="n">
        <v>54</v>
      </c>
      <c r="B529" s="1" t="n">
        <f aca="false">(SUMIFS(Projection!$P$4:$P$59,Projection!$B$4:$B$59,"&gt;="&amp;(Assumptions!$B$4+54))+SUMIFS($D$415:$D$470,$B$415:$B$470,"&gt;="&amp;(Assumptions!$B$4+54)))/Discount!C58</f>
        <v>0.31271172790399</v>
      </c>
      <c r="C529" s="1" t="n">
        <f aca="false">(Projection!F58/Projection!Q58)*(SUMIFS(Projection!$R$4:$R$59,Projection!$B$4:$B$59,"&gt;="&amp;(Assumptions!$B$4+54))+SUMIFS($E$415:$E$470,$B$415:$B$470,"&gt;="&amp;(Assumptions!$B$4+54)))/Discount!C58</f>
        <v>0.338816878243246</v>
      </c>
      <c r="D529" s="1" t="n">
        <f aca="false">(Projection!F58/Projection!S58)*(SUMIFS(Projection!$T$4:$T$59,Projection!$B$4:$B$59,"&gt;="&amp;(Assumptions!$B$4+54))+SUMIFS($F$415:$F$470,$B$415:$B$470,"&gt;="&amp;(Assumptions!$B$4+54)))/Discount!C58</f>
        <v>0.31271172790399</v>
      </c>
      <c r="E529" s="1" t="n">
        <f aca="false">(Projection!F58/Projection!U58)*(SUMIFS(Projection!$V$4:$V$59,Projection!$B$4:$B$59,"&gt;="&amp;(Assumptions!$B$4+54))+SUMIFS($G$415:$G$470,$B$415:$B$470,"&gt;="&amp;(Assumptions!$B$4+54)))/Discount!C58</f>
        <v>0.31271172790399</v>
      </c>
      <c r="F529" s="1" t="n">
        <f aca="false">(SUMIFS(Projection!$W$4:$W$59,Projection!$B$4:$B$59,"&gt;="&amp;(Assumptions!$B$4+54))+SUMIFS($D$415:$D$470,$B$415:$B$470,"&gt;="&amp;(Assumptions!$B$4+54)))/Discount!C58</f>
        <v>0.314504132437374</v>
      </c>
      <c r="G529" s="1" t="n">
        <f aca="false">MAX(0,C529-B529)</f>
        <v>0.0261051503392566</v>
      </c>
      <c r="H529" s="1" t="n">
        <f aca="false">MAX(MAX(0,D529-B529),MAX(0,E529-B529),IF(A529&lt;Assumptions!$B$6,MAX(0,-Assumptions!$B$22*B529),0))</f>
        <v>0</v>
      </c>
      <c r="I529" s="1" t="n">
        <f aca="false">MAX(0,F529-B529)</f>
        <v>0.00179240453338414</v>
      </c>
      <c r="J529" s="1" t="n">
        <f aca="false">SQRT(G529^2+H529^2+I529^2+2*Assumptions!$B$26*G529*H529+2*Assumptions!$B$27*G529*I529+2*Assumptions!$B$28*H529*I529)</f>
        <v>0.0266099057336336</v>
      </c>
      <c r="K529" s="1" t="n">
        <f aca="false">J529*Discount!C58</f>
        <v>0.00480361263451554</v>
      </c>
      <c r="L529" s="1" t="n">
        <f aca="false">Assumptions!$B$29*SUM(K529:K530)/Discount!C58</f>
        <v>0.00162801941317691</v>
      </c>
      <c r="M529" s="75" t="n">
        <f aca="false">Projection!F58</f>
        <v>4.75195918537906E-006</v>
      </c>
      <c r="N529" s="1" t="n">
        <f aca="false">I380</f>
        <v>20771.6178810391</v>
      </c>
      <c r="O529" s="1" t="n">
        <f aca="false">IF(M529&lt;=0,0,MAX(0,(J529+L529-N529)/M529))</f>
        <v>0</v>
      </c>
      <c r="P529" s="1" t="n">
        <f aca="false">SQRT(MAX(0,RiskMargin!C58-RiskMargin!B58)^2+MAX(MAX(0,RiskMargin!D58-RiskMargin!B58),MAX(0,RiskMargin!E58-RiskMargin!B58),IF(54&lt;Assumptions!$B$6,MAX(0,-Assumptions!$B$22*RiskMargin!B58),0))^2+MAX(0,RiskMargin!F58-RiskMargin!B58)^2+2*Assumptions!$B$26*MAX(0,RiskMargin!C58-RiskMargin!B58)*MAX(MAX(0,RiskMargin!D58-RiskMargin!B58),MAX(0,RiskMargin!E58-RiskMargin!B58),IF(54&lt;Assumptions!$B$6,MAX(0,-Assumptions!$B$22*RiskMargin!B58),0))+2*Assumptions!$B$27*MAX(0,RiskMargin!C58-RiskMargin!B58)*MAX(0,RiskMargin!F58-RiskMargin!B58)+2*Assumptions!$B$28*MAX(MAX(0,RiskMargin!D58-RiskMargin!B58),MAX(0,RiskMargin!E58-RiskMargin!B58),IF(54&lt;Assumptions!$B$6,MAX(0,-Assumptions!$B$22*RiskMargin!B58),0))*MAX(0,RiskMargin!F58-RiskMargin!B58))</f>
        <v>0.0266099057336336</v>
      </c>
      <c r="Q529" s="1" t="n">
        <f aca="false">P529-RiskMargin!J58</f>
        <v>0</v>
      </c>
      <c r="R529" s="1" t="n">
        <f aca="false">SUMIFS(Projection!$P$4:$P$59,Projection!$B$4:$B$59,"&gt;="&amp;(Assumptions!$B$4+54))/Discount!C58</f>
        <v>0.31271172790399</v>
      </c>
      <c r="S529" s="1" t="n">
        <f aca="false">R529-RiskMargin!B58</f>
        <v>0</v>
      </c>
    </row>
    <row r="530" customFormat="false" ht="15" hidden="false" customHeight="true" outlineLevel="0" collapsed="false">
      <c r="A530" s="1" t="n">
        <v>55</v>
      </c>
      <c r="B530" s="1" t="n">
        <f aca="false">(SUMIFS(Projection!$P$4:$P$59,Projection!$B$4:$B$59,"&gt;="&amp;(Assumptions!$B$4+55))+SUMIFS($D$415:$D$470,$B$415:$B$470,"&gt;="&amp;(Assumptions!$B$4+55)))/Discount!C59</f>
        <v>0.0926581936276291</v>
      </c>
      <c r="C530" s="1" t="n">
        <f aca="false">(Projection!F59/Projection!Q59)*(SUMIFS(Projection!$R$4:$R$59,Projection!$B$4:$B$59,"&gt;="&amp;(Assumptions!$B$4+55))+SUMIFS($E$415:$E$470,$B$415:$B$470,"&gt;="&amp;(Assumptions!$B$4+55)))/Discount!C59</f>
        <v>0.0926581936276291</v>
      </c>
      <c r="D530" s="1" t="n">
        <f aca="false">(Projection!F59/Projection!S59)*(SUMIFS(Projection!$T$4:$T$59,Projection!$B$4:$B$59,"&gt;="&amp;(Assumptions!$B$4+55))+SUMIFS($F$415:$F$470,$B$415:$B$470,"&gt;="&amp;(Assumptions!$B$4+55)))/Discount!C59</f>
        <v>0.0926581936276291</v>
      </c>
      <c r="E530" s="1" t="n">
        <f aca="false">(Projection!F59/Projection!U59)*(SUMIFS(Projection!$V$4:$V$59,Projection!$B$4:$B$59,"&gt;="&amp;(Assumptions!$B$4+55))+SUMIFS($G$415:$G$470,$B$415:$B$470,"&gt;="&amp;(Assumptions!$B$4+55)))/Discount!C59</f>
        <v>0.0926581936276291</v>
      </c>
      <c r="F530" s="1" t="n">
        <f aca="false">(SUMIFS(Projection!$W$4:$W$59,Projection!$B$4:$B$59,"&gt;="&amp;(Assumptions!$B$4+55))+SUMIFS($D$415:$D$470,$B$415:$B$470,"&gt;="&amp;(Assumptions!$B$4+55)))/Discount!C59</f>
        <v>0.0931991029434011</v>
      </c>
      <c r="G530" s="1" t="n">
        <f aca="false">MAX(0,C530-B530)</f>
        <v>0</v>
      </c>
      <c r="H530" s="1" t="n">
        <f aca="false">MAX(MAX(0,D530-B530),MAX(0,E530-B530),IF(A530&lt;Assumptions!$B$6,MAX(0,-Assumptions!$B$22*B530),0))</f>
        <v>0</v>
      </c>
      <c r="I530" s="1" t="n">
        <f aca="false">MAX(0,F530-B530)</f>
        <v>0.00054090931577197</v>
      </c>
      <c r="J530" s="1" t="n">
        <f aca="false">SQRT(G530^2+H530^2+I530^2+2*Assumptions!$B$26*G530*H530+2*Assumptions!$B$27*G530*I530+2*Assumptions!$B$28*H530*I530)</f>
        <v>0.00054090931577197</v>
      </c>
      <c r="K530" s="1" t="n">
        <f aca="false">J530*Discount!C59</f>
        <v>9.45474095018481E-005</v>
      </c>
      <c r="L530" s="1" t="n">
        <f aca="false">Assumptions!$B$29*SUM(K530:K530)/Discount!C59</f>
        <v>3.24545589463182E-005</v>
      </c>
      <c r="M530" s="75" t="n">
        <f aca="false">Projection!F59</f>
        <v>1.93576003719086E-006</v>
      </c>
      <c r="N530" s="1" t="n">
        <f aca="false">I381</f>
        <v>21452.0990716644</v>
      </c>
      <c r="O530" s="1" t="n">
        <f aca="false">IF(M530&lt;=0,0,MAX(0,(J530+L530-N530)/M530))</f>
        <v>0</v>
      </c>
      <c r="P530" s="1" t="n">
        <f aca="false">SQRT(MAX(0,RiskMargin!C59-RiskMargin!B59)^2+MAX(MAX(0,RiskMargin!D59-RiskMargin!B59),MAX(0,RiskMargin!E59-RiskMargin!B59),IF(55&lt;Assumptions!$B$6,MAX(0,-Assumptions!$B$22*RiskMargin!B59),0))^2+MAX(0,RiskMargin!F59-RiskMargin!B59)^2+2*Assumptions!$B$26*MAX(0,RiskMargin!C59-RiskMargin!B59)*MAX(MAX(0,RiskMargin!D59-RiskMargin!B59),MAX(0,RiskMargin!E59-RiskMargin!B59),IF(55&lt;Assumptions!$B$6,MAX(0,-Assumptions!$B$22*RiskMargin!B59),0))+2*Assumptions!$B$27*MAX(0,RiskMargin!C59-RiskMargin!B59)*MAX(0,RiskMargin!F59-RiskMargin!B59)+2*Assumptions!$B$28*MAX(MAX(0,RiskMargin!D59-RiskMargin!B59),MAX(0,RiskMargin!E59-RiskMargin!B59),IF(55&lt;Assumptions!$B$6,MAX(0,-Assumptions!$B$22*RiskMargin!B59),0))*MAX(0,RiskMargin!F59-RiskMargin!B59))</f>
        <v>0.00054090931577197</v>
      </c>
      <c r="Q530" s="1" t="n">
        <f aca="false">P530-RiskMargin!J59</f>
        <v>0</v>
      </c>
      <c r="R530" s="1" t="n">
        <f aca="false">SUMIFS(Projection!$P$4:$P$59,Projection!$B$4:$B$59,"&gt;="&amp;(Assumptions!$B$4+55))/Discount!C59</f>
        <v>0.0926581936276291</v>
      </c>
      <c r="S530" s="1" t="n">
        <f aca="false">R530-RiskMargin!B59</f>
        <v>0</v>
      </c>
    </row>
    <row r="532" customFormat="false" ht="15" hidden="false" customHeight="true" outlineLevel="0" collapsed="false">
      <c r="A532" s="1" t="s">
        <v>1170</v>
      </c>
    </row>
    <row r="533" customFormat="false" ht="15" hidden="false" customHeight="true" outlineLevel="0" collapsed="false">
      <c r="A533" s="1" t="s">
        <v>1171</v>
      </c>
      <c r="B533" s="1" t="n">
        <f aca="false">SUMPRODUCT(MAX(ABS(Q475:Q530)))</f>
        <v>0</v>
      </c>
    </row>
    <row r="534" customFormat="false" ht="15" hidden="false" customHeight="true" outlineLevel="0" collapsed="false">
      <c r="A534" s="1" t="s">
        <v>1172</v>
      </c>
      <c r="B534" s="1" t="n">
        <f aca="false">SUMPRODUCT(MAX(ABS(S475:S530)))</f>
        <v>0</v>
      </c>
    </row>
    <row r="535" customFormat="false" ht="15" hidden="false" customHeight="true" outlineLevel="0" collapsed="false">
      <c r="A535" s="1" t="s">
        <v>1147</v>
      </c>
      <c r="B535" s="1" t="str">
        <f aca="false">IF(AND(B533&lt;0.01,B534&lt;0.01),"PASS — the construction reproduces the RiskMargin strip, so the chosen-structure SCR below is trustworthy","FAIL — the construction does not reproduce RiskMargin")</f>
        <v>PASS — the construction reproduces the RiskMargin strip, so the chosen-structure SCR below is trustworthy</v>
      </c>
    </row>
    <row r="537" customFormat="false" ht="15" hidden="false" customHeight="true" outlineLevel="0" collapsed="false">
      <c r="A537" s="1" t="s">
        <v>1173</v>
      </c>
    </row>
    <row r="538" customFormat="false" ht="15" hidden="false" customHeight="true" outlineLevel="0" collapsed="false">
      <c r="A538" s="1" t="s">
        <v>820</v>
      </c>
      <c r="B538" s="1" t="n">
        <f aca="false">MAX(O475:O530)</f>
        <v>37032.745699398</v>
      </c>
    </row>
    <row r="539" customFormat="false" ht="15" hidden="false" customHeight="true" outlineLevel="0" collapsed="false">
      <c r="A539" s="1" t="s">
        <v>821</v>
      </c>
      <c r="B539" s="1" t="n">
        <f aca="false">INDEX(A475:A530,MATCH(MAX(O475:O530),O475:O530,0))</f>
        <v>9</v>
      </c>
    </row>
    <row r="540" customFormat="false" ht="15" hidden="false" customHeight="true" outlineLevel="0" collapsed="false">
      <c r="A540" s="1" t="s">
        <v>1174</v>
      </c>
      <c r="B540" s="72" t="n">
        <f aca="false">$B$282</f>
        <v>37031.5635173234</v>
      </c>
    </row>
    <row r="541" customFormat="false" ht="15" hidden="false" customHeight="true" outlineLevel="0" collapsed="false">
      <c r="A541" s="1" t="s">
        <v>1175</v>
      </c>
      <c r="B541" s="1" t="n">
        <f aca="false">B538-B540</f>
        <v>1.18218207453901</v>
      </c>
    </row>
    <row r="542" customFormat="false" ht="15" hidden="false" customHeight="true" outlineLevel="0" collapsed="false">
      <c r="A542" s="1" t="s">
        <v>1176</v>
      </c>
      <c r="B542" s="1" t="n">
        <f aca="false">B538-$B$283</f>
        <v>253.05471592609</v>
      </c>
    </row>
    <row r="543" customFormat="false" ht="15" hidden="false" customHeight="true" outlineLevel="0" collapsed="false">
      <c r="A543" s="1" t="s">
        <v>1177</v>
      </c>
      <c r="B543" s="72" t="n">
        <f aca="false">$B$284</f>
        <v>251.872533851551</v>
      </c>
    </row>
    <row r="544" customFormat="false" ht="15" hidden="false" customHeight="true" outlineLevel="0" collapsed="false">
      <c r="A544" s="1" t="s">
        <v>1178</v>
      </c>
      <c r="B544" s="1" t="n">
        <f aca="false">B542-B543</f>
        <v>1.18218207453901</v>
      </c>
    </row>
    <row r="545" customFormat="false" ht="15" hidden="false" customHeight="true" outlineLevel="0" collapsed="false">
      <c r="A545" s="1" t="s">
        <v>1179</v>
      </c>
      <c r="B545" s="1" t="str">
        <f aca="false">IF(ABS(B544)&lt;1,"DISCHARGED — computing the SCR exactly moves the figure by under one euro, so the second-order claim at A275 holds",IF(ABS(B544)&lt;10,"MATERIAL TO THE CENT BUT NOT TO THE EURO — quote the exactly computed figure","NOT SECOND ORDER — the held-fixed assumption materially affects the reported figure and must be replaced"))</f>
        <v>MATERIAL TO THE CENT BUT NOT TO THE EURO — quote the exactly computed figure</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8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8"/>
    <col collapsed="false" customWidth="true" hidden="false" outlineLevel="0" max="6" min="2" style="1" width="17"/>
  </cols>
  <sheetData>
    <row r="1" customFormat="false" ht="15.75" hidden="false" customHeight="true" outlineLevel="0" collapsed="false">
      <c r="A1" s="15" t="s">
        <v>1180</v>
      </c>
    </row>
    <row r="2" customFormat="false" ht="15" hidden="false" customHeight="true" outlineLevel="0" collapsed="false">
      <c r="A2" s="7" t="s">
        <v>1181</v>
      </c>
    </row>
    <row r="4" customFormat="false" ht="15" hidden="false" customHeight="true" outlineLevel="0" collapsed="false">
      <c r="A4" s="6" t="s">
        <v>1182</v>
      </c>
    </row>
    <row r="5" customFormat="false" ht="15" hidden="false" customHeight="true" outlineLevel="0" collapsed="false">
      <c r="A5" s="7" t="s">
        <v>1183</v>
      </c>
    </row>
    <row r="6" customFormat="false" ht="15" hidden="false" customHeight="true" outlineLevel="0" collapsed="false">
      <c r="A6" s="7" t="s">
        <v>1184</v>
      </c>
    </row>
    <row r="7" customFormat="false" ht="15" hidden="false" customHeight="true" outlineLevel="0" collapsed="false">
      <c r="A7" s="7" t="s">
        <v>1185</v>
      </c>
    </row>
    <row r="9" customFormat="false" ht="15" hidden="false" customHeight="true" outlineLevel="0" collapsed="false">
      <c r="A9" s="6" t="s">
        <v>1186</v>
      </c>
    </row>
    <row r="10" customFormat="false" ht="15" hidden="false" customHeight="true" outlineLevel="0" collapsed="false">
      <c r="A10" s="7" t="s">
        <v>1187</v>
      </c>
    </row>
    <row r="11" customFormat="false" ht="15" hidden="false" customHeight="true" outlineLevel="0" collapsed="false">
      <c r="A11" s="8"/>
      <c r="B11" s="8" t="s">
        <v>1188</v>
      </c>
      <c r="C11" s="8" t="s">
        <v>1189</v>
      </c>
      <c r="D11" s="8" t="s">
        <v>1190</v>
      </c>
    </row>
    <row r="12" customFormat="false" ht="15" hidden="false" customHeight="true" outlineLevel="0" collapsed="false">
      <c r="A12" s="1" t="s">
        <v>1191</v>
      </c>
      <c r="B12" s="36" t="n">
        <v>2</v>
      </c>
      <c r="C12" s="36" t="n">
        <v>1</v>
      </c>
      <c r="D12" s="34" t="n">
        <f aca="false">B12+C12</f>
        <v>3</v>
      </c>
    </row>
    <row r="13" customFormat="false" ht="15" hidden="false" customHeight="true" outlineLevel="0" collapsed="false">
      <c r="A13" s="1" t="s">
        <v>1192</v>
      </c>
      <c r="B13" s="40" t="s">
        <v>712</v>
      </c>
      <c r="C13" s="40" t="s">
        <v>1193</v>
      </c>
      <c r="D13" s="40" t="s">
        <v>712</v>
      </c>
    </row>
    <row r="15" customFormat="false" ht="15" hidden="false" customHeight="true" outlineLevel="0" collapsed="false">
      <c r="A15" s="1" t="s">
        <v>1194</v>
      </c>
      <c r="B15" s="54" t="n">
        <f aca="false">D12</f>
        <v>3</v>
      </c>
    </row>
    <row r="16" customFormat="false" ht="15" hidden="false" customHeight="true" outlineLevel="0" collapsed="false">
      <c r="A16" s="1" t="s">
        <v>1195</v>
      </c>
      <c r="B16" s="59" t="n">
        <f aca="false">1/B15</f>
        <v>0.333333333333333</v>
      </c>
    </row>
    <row r="18" customFormat="false" ht="15" hidden="false" customHeight="true" outlineLevel="0" collapsed="false">
      <c r="A18" s="3" t="s">
        <v>1196</v>
      </c>
    </row>
    <row r="19" customFormat="false" ht="15" hidden="false" customHeight="true" outlineLevel="0" collapsed="false">
      <c r="A19" s="1" t="s">
        <v>1197</v>
      </c>
      <c r="B19" s="36" t="n">
        <v>3</v>
      </c>
    </row>
    <row r="20" customFormat="false" ht="15" hidden="false" customHeight="true" outlineLevel="0" collapsed="false">
      <c r="A20" s="1" t="s">
        <v>1198</v>
      </c>
      <c r="B20" s="36" t="n">
        <v>1</v>
      </c>
    </row>
    <row r="21" customFormat="false" ht="15" hidden="false" customHeight="true" outlineLevel="0" collapsed="false">
      <c r="A21" s="1" t="s">
        <v>1199</v>
      </c>
      <c r="B21" s="54" t="n">
        <f aca="false">B19+B20</f>
        <v>4</v>
      </c>
    </row>
    <row r="22" customFormat="false" ht="15" hidden="false" customHeight="true" outlineLevel="0" collapsed="false">
      <c r="A22" s="1" t="s">
        <v>1200</v>
      </c>
      <c r="B22" s="59" t="n">
        <f aca="false">1/B21</f>
        <v>0.25</v>
      </c>
    </row>
    <row r="24" customFormat="false" ht="15" hidden="false" customHeight="true" outlineLevel="0" collapsed="false">
      <c r="A24" s="1" t="s">
        <v>1201</v>
      </c>
      <c r="B24" s="77" t="n">
        <f aca="false">B25/B15</f>
        <v>0.333333333333333</v>
      </c>
    </row>
    <row r="25" customFormat="false" ht="15" hidden="false" customHeight="true" outlineLevel="0" collapsed="false">
      <c r="A25" s="1" t="s">
        <v>1202</v>
      </c>
      <c r="B25" s="78" t="n">
        <f aca="false">B21-B15</f>
        <v>1</v>
      </c>
    </row>
    <row r="26" customFormat="false" ht="15" hidden="false" customHeight="true" outlineLevel="0" collapsed="false">
      <c r="A26" s="3" t="s">
        <v>458</v>
      </c>
      <c r="B26" s="9" t="str">
        <f aca="false">IF(B21&gt;B15,"The funding base exceeds the cash the fund ever receives. Whether that makes the premium adequate is settled by the pool money balance on the Mutualisation sheet, not by comparison with any reference premium.","No double count")</f>
        <v>The funding base exceeds the cash the fund ever receives. Whether that makes the premium adequate is settled by the pool money balance on the Mutualisation sheet, not by comparison with any reference premium.</v>
      </c>
    </row>
    <row r="28" customFormat="false" ht="15" hidden="false" customHeight="true" outlineLevel="0" collapsed="false">
      <c r="A28" s="7" t="s">
        <v>1203</v>
      </c>
    </row>
    <row r="29" customFormat="false" ht="15" hidden="false" customHeight="true" outlineLevel="0" collapsed="false">
      <c r="A29" s="7" t="s">
        <v>1204</v>
      </c>
    </row>
    <row r="31" customFormat="false" ht="15" hidden="false" customHeight="true" outlineLevel="0" collapsed="false">
      <c r="A31" s="6" t="s">
        <v>1205</v>
      </c>
    </row>
    <row r="32" customFormat="false" ht="15" hidden="false" customHeight="true" outlineLevel="0" collapsed="false">
      <c r="A32" s="1" t="s">
        <v>1206</v>
      </c>
      <c r="B32" s="11" t="n">
        <f aca="false">Pricing!B5</f>
        <v>10.5912409489156</v>
      </c>
    </row>
    <row r="33" customFormat="false" ht="15" hidden="false" customHeight="true" outlineLevel="0" collapsed="false">
      <c r="A33" s="1" t="s">
        <v>1207</v>
      </c>
      <c r="B33" s="11" t="n">
        <f aca="false">Pricing!B6</f>
        <v>0.765388886787288</v>
      </c>
    </row>
    <row r="34" customFormat="false" ht="15" hidden="false" customHeight="true" outlineLevel="0" collapsed="false">
      <c r="A34" s="1" t="s">
        <v>1208</v>
      </c>
      <c r="B34" s="11" t="n">
        <f aca="false">Pricing!B7</f>
        <v>10.5912409489156</v>
      </c>
    </row>
    <row r="35" customFormat="false" ht="15" hidden="false" customHeight="true" outlineLevel="0" collapsed="false">
      <c r="A35" s="1" t="s">
        <v>1209</v>
      </c>
      <c r="B35" s="79" t="n">
        <f aca="false">B34/B32-1</f>
        <v>0</v>
      </c>
    </row>
    <row r="36" customFormat="false" ht="15" hidden="false" customHeight="true" outlineLevel="0" collapsed="false">
      <c r="A36" s="1" t="s">
        <v>1210</v>
      </c>
      <c r="B36" s="80" t="n">
        <f aca="false">Pricing!B14*B33</f>
        <v>9426.57982445535</v>
      </c>
    </row>
    <row r="38" customFormat="false" ht="15" hidden="false" customHeight="true" outlineLevel="0" collapsed="false">
      <c r="A38" s="6" t="s">
        <v>1211</v>
      </c>
    </row>
    <row r="39" customFormat="false" ht="15" hidden="false" customHeight="true" outlineLevel="0" collapsed="false">
      <c r="A39" s="7" t="s">
        <v>1212</v>
      </c>
    </row>
    <row r="40" customFormat="false" ht="15" hidden="false" customHeight="true" outlineLevel="0" collapsed="false">
      <c r="A40" s="1" t="s">
        <v>1213</v>
      </c>
      <c r="B40" s="50" t="n">
        <f aca="false">(Pricing!B8+Pricing!B9)/(Pricing!B5*(1-Assumptions!B13-Pricing!B11))</f>
        <v>12316.0657114102</v>
      </c>
    </row>
    <row r="41" customFormat="false" ht="15" hidden="false" customHeight="true" outlineLevel="0" collapsed="false">
      <c r="A41" s="1" t="s">
        <v>1214</v>
      </c>
      <c r="B41" s="48" t="n">
        <f aca="false">Pricing!B14</f>
        <v>12316.0657114102</v>
      </c>
    </row>
    <row r="42" customFormat="false" ht="15" hidden="false" customHeight="true" outlineLevel="0" collapsed="false">
      <c r="A42" s="1" t="s">
        <v>1215</v>
      </c>
      <c r="B42" s="51" t="n">
        <f aca="false">B40/B41-1</f>
        <v>0</v>
      </c>
    </row>
    <row r="44" customFormat="false" ht="15" hidden="false" customHeight="true" outlineLevel="0" collapsed="false">
      <c r="A44" s="1" t="s">
        <v>1216</v>
      </c>
      <c r="B44" s="59" t="n">
        <f aca="false">Fairness!B3*B41/B40</f>
        <v>0.895188484380065</v>
      </c>
    </row>
    <row r="45" customFormat="false" ht="15" hidden="false" customHeight="true" outlineLevel="0" collapsed="false">
      <c r="A45" s="1" t="s">
        <v>1024</v>
      </c>
      <c r="B45" s="20" t="n">
        <v>0.9</v>
      </c>
    </row>
    <row r="46" customFormat="false" ht="15" hidden="false" customHeight="true" outlineLevel="0" collapsed="false">
      <c r="A46" s="1" t="s">
        <v>1217</v>
      </c>
      <c r="B46" s="28" t="str">
        <f aca="false">IF(B44&gt;=B45,"yes — remains above the floor","NO — breaches the floor")</f>
        <v>NO — breaches the floor</v>
      </c>
    </row>
    <row r="48" customFormat="false" ht="15" hidden="false" customHeight="true" outlineLevel="0" collapsed="false">
      <c r="A48" s="3" t="s">
        <v>1218</v>
      </c>
    </row>
    <row r="49" customFormat="false" ht="15" hidden="false" customHeight="true" outlineLevel="0" collapsed="false">
      <c r="B49" s="8" t="s">
        <v>828</v>
      </c>
      <c r="C49" s="8" t="s">
        <v>829</v>
      </c>
      <c r="D49" s="8" t="s">
        <v>830</v>
      </c>
      <c r="E49" s="8" t="s">
        <v>831</v>
      </c>
      <c r="F49" s="8" t="s">
        <v>832</v>
      </c>
    </row>
    <row r="50" customFormat="false" ht="15" hidden="false" customHeight="true" outlineLevel="0" collapsed="false">
      <c r="A50" s="1" t="s">
        <v>1102</v>
      </c>
      <c r="B50" s="12" t="n">
        <f aca="false">($B$40*(SUMIFS(Projection!$I$4:$I$59,Projection!$B$4:$B$59,"&lt;"&amp;(Assumptions!$B$4+0))-SUMIFS(Commission_Models!$G$15:$G$70,Commission_Models!$A$15:$A$70,"&lt;"&amp;(Assumptions!$B$4+0)))-SUMIFS(Projection!$L$4:$L$59,Projection!$B$4:$B$59,"&lt;"&amp;(Assumptions!$B$4+0))-SUMIFS(Projection!$K$4:$K$59,Projection!$B$4:$B$59,"&lt;"&amp;(Assumptions!$B$4+0)))/Discount!C4</f>
        <v>0</v>
      </c>
      <c r="C50" s="12" t="n">
        <f aca="false">($B$40*(SUMIFS(Projection!$I$4:$I$59,Projection!$B$4:$B$59,"&lt;"&amp;(Assumptions!$B$4+5))-SUMIFS(Commission_Models!$G$15:$G$70,Commission_Models!$A$15:$A$70,"&lt;"&amp;(Assumptions!$B$4+5)))-SUMIFS(Projection!$L$4:$L$59,Projection!$B$4:$B$59,"&lt;"&amp;(Assumptions!$B$4+5))-SUMIFS(Projection!$K$4:$K$59,Projection!$B$4:$B$59,"&lt;"&amp;(Assumptions!$B$4+5)))/Discount!C9</f>
        <v>45721.6171278948</v>
      </c>
      <c r="D50" s="12" t="n">
        <f aca="false">($B$40*(SUMIFS(Projection!$I$4:$I$59,Projection!$B$4:$B$59,"&lt;"&amp;(Assumptions!$B$4+10))-SUMIFS(Commission_Models!$G$15:$G$70,Commission_Models!$A$15:$A$70,"&lt;"&amp;(Assumptions!$B$4+10)))-SUMIFS(Projection!$L$4:$L$59,Projection!$B$4:$B$59,"&lt;"&amp;(Assumptions!$B$4+10))-SUMIFS(Projection!$K$4:$K$59,Projection!$B$4:$B$59,"&lt;"&amp;(Assumptions!$B$4+10)))/Discount!C14</f>
        <v>107289.117619107</v>
      </c>
      <c r="E50" s="12" t="n">
        <f aca="false">($B$40*(SUMIFS(Projection!$I$4:$I$59,Projection!$B$4:$B$59,"&lt;"&amp;(Assumptions!$B$4+15))-SUMIFS(Commission_Models!$G$15:$G$70,Commission_Models!$A$15:$A$70,"&lt;"&amp;(Assumptions!$B$4+15)))-SUMIFS(Projection!$L$4:$L$59,Projection!$B$4:$B$59,"&lt;"&amp;(Assumptions!$B$4+15))-SUMIFS(Projection!$K$4:$K$59,Projection!$B$4:$B$59,"&lt;"&amp;(Assumptions!$B$4+15)))/Discount!C19</f>
        <v>175975.362518548</v>
      </c>
      <c r="F50" s="12" t="n">
        <f aca="false">($B$40*(SUMIFS(Projection!$I$4:$I$59,Projection!$B$4:$B$59,"&lt;"&amp;(Assumptions!$B$4+20))-SUMIFS(Commission_Models!$G$15:$G$70,Commission_Models!$A$15:$A$70,"&lt;"&amp;(Assumptions!$B$4+20)))-SUMIFS(Projection!$L$4:$L$59,Projection!$B$4:$B$59,"&lt;"&amp;(Assumptions!$B$4+20))-SUMIFS(Projection!$K$4:$K$59,Projection!$B$4:$B$59,"&lt;"&amp;(Assumptions!$B$4+20)))/Discount!C24</f>
        <v>127165.207527775</v>
      </c>
    </row>
    <row r="51" customFormat="false" ht="15" hidden="false" customHeight="true" outlineLevel="0" collapsed="false">
      <c r="A51" s="1" t="s">
        <v>1103</v>
      </c>
      <c r="B51" s="12" t="n">
        <f aca="false">(SUMIFS(Projection!$L$4:$L$59,Projection!$B$4:$B$59,"&gt;="&amp;(Assumptions!$B$4+0))+$B$40*SUMIFS(Commission_Models!$G$15:$G$70,Commission_Models!$A$15:$A$70,"&gt;="&amp;(Assumptions!$B$4+0))-$B$40*SUMIFS(Projection!$I$4:$I$59,Projection!$B$4:$B$59,"&gt;="&amp;(Assumptions!$B$4+0))+SUMIFS(Projection!$K$4:$K$59,Projection!$B$4:$B$59,"&gt;="&amp;(Assumptions!$B$4+0)))/Discount!C4</f>
        <v>-3913.27258476669</v>
      </c>
      <c r="C51" s="12" t="n">
        <f aca="false">(SUMIFS(Projection!$L$4:$L$59,Projection!$B$4:$B$59,"&gt;="&amp;(Assumptions!$B$4+5))+$B$40*SUMIFS(Commission_Models!$G$15:$G$70,Commission_Models!$A$15:$A$70,"&gt;="&amp;(Assumptions!$B$4+5))-$B$40*SUMIFS(Projection!$I$4:$I$59,Projection!$B$4:$B$59,"&gt;="&amp;(Assumptions!$B$4+5))+SUMIFS(Projection!$K$4:$K$59,Projection!$B$4:$B$59,"&gt;="&amp;(Assumptions!$B$4+5)))/Discount!C9</f>
        <v>41257.4878766723</v>
      </c>
      <c r="D51" s="12" t="n">
        <f aca="false">(SUMIFS(Projection!$L$4:$L$59,Projection!$B$4:$B$59,"&gt;="&amp;(Assumptions!$B$4+10))+$B$40*SUMIFS(Commission_Models!$G$15:$G$70,Commission_Models!$A$15:$A$70,"&gt;="&amp;(Assumptions!$B$4+10))-$B$40*SUMIFS(Projection!$I$4:$I$59,Projection!$B$4:$B$59,"&gt;="&amp;(Assumptions!$B$4+10))+SUMIFS(Projection!$K$4:$K$59,Projection!$B$4:$B$59,"&gt;="&amp;(Assumptions!$B$4+10)))/Discount!C14</f>
        <v>102075.273009479</v>
      </c>
      <c r="E51" s="12" t="n">
        <f aca="false">(SUMIFS(Projection!$L$4:$L$59,Projection!$B$4:$B$59,"&gt;="&amp;(Assumptions!$B$4+15))+$B$40*SUMIFS(Commission_Models!$G$15:$G$70,Commission_Models!$A$15:$A$70,"&gt;="&amp;(Assumptions!$B$4+15))-$B$40*SUMIFS(Projection!$I$4:$I$59,Projection!$B$4:$B$59,"&gt;="&amp;(Assumptions!$B$4+15))+SUMIFS(Projection!$K$4:$K$59,Projection!$B$4:$B$59,"&gt;="&amp;(Assumptions!$B$4+15)))/Discount!C19</f>
        <v>169782.914600927</v>
      </c>
      <c r="F51" s="12" t="n">
        <f aca="false">(SUMIFS(Projection!$L$4:$L$59,Projection!$B$4:$B$59,"&gt;="&amp;(Assumptions!$B$4+20))+$B$40*SUMIFS(Commission_Models!$G$15:$G$70,Commission_Models!$A$15:$A$70,"&gt;="&amp;(Assumptions!$B$4+20))-$B$40*SUMIFS(Projection!$I$4:$I$59,Projection!$B$4:$B$59,"&gt;="&amp;(Assumptions!$B$4+20))+SUMIFS(Projection!$K$4:$K$59,Projection!$B$4:$B$59,"&gt;="&amp;(Assumptions!$B$4+20)))/Discount!C24</f>
        <v>119861.817053451</v>
      </c>
    </row>
    <row r="52" customFormat="false" ht="15" hidden="false" customHeight="true" outlineLevel="0" collapsed="false">
      <c r="A52" s="1" t="s">
        <v>791</v>
      </c>
      <c r="B52" s="12" t="n">
        <f aca="false">B50-B51</f>
        <v>3913.27258476669</v>
      </c>
      <c r="C52" s="12" t="n">
        <f aca="false">C50-C51</f>
        <v>4464.12925122246</v>
      </c>
      <c r="D52" s="12" t="n">
        <f aca="false">D50-D51</f>
        <v>5213.84460962821</v>
      </c>
      <c r="E52" s="12" t="n">
        <f aca="false">E50-E51</f>
        <v>6192.4479176208</v>
      </c>
      <c r="F52" s="12" t="n">
        <f aca="false">F50-F51</f>
        <v>7303.3904743248</v>
      </c>
    </row>
    <row r="53" customFormat="false" ht="15" hidden="false" customHeight="true" outlineLevel="0" collapsed="false">
      <c r="A53" s="1" t="s">
        <v>1219</v>
      </c>
      <c r="B53" s="12" t="n">
        <f aca="false">OwnFunds_SCR!B7</f>
        <v>3913.27258476668</v>
      </c>
      <c r="C53" s="12" t="n">
        <f aca="false">OwnFunds_SCR!C7</f>
        <v>4464.12925122245</v>
      </c>
      <c r="D53" s="12" t="n">
        <f aca="false">OwnFunds_SCR!D7</f>
        <v>5213.84460962823</v>
      </c>
      <c r="E53" s="12" t="n">
        <f aca="false">OwnFunds_SCR!E7</f>
        <v>6192.44791762077</v>
      </c>
      <c r="F53" s="12" t="n">
        <f aca="false">OwnFunds_SCR!F7</f>
        <v>7303.39047432478</v>
      </c>
    </row>
    <row r="54" customFormat="false" ht="15" hidden="false" customHeight="true" outlineLevel="0" collapsed="false">
      <c r="A54" s="1" t="s">
        <v>1220</v>
      </c>
      <c r="B54" s="12" t="n">
        <f aca="false">B52-B53</f>
        <v>0</v>
      </c>
      <c r="C54" s="12" t="n">
        <f aca="false">C52-C53</f>
        <v>0</v>
      </c>
      <c r="D54" s="12" t="n">
        <f aca="false">D52-D53</f>
        <v>0</v>
      </c>
      <c r="E54" s="12" t="n">
        <f aca="false">E52-E53</f>
        <v>2.91038304567337E-011</v>
      </c>
      <c r="F54" s="12" t="n">
        <f aca="false">F52-F53</f>
        <v>0</v>
      </c>
    </row>
    <row r="56" customFormat="false" ht="15" hidden="false" customHeight="true" outlineLevel="0" collapsed="false">
      <c r="A56" s="1" t="s">
        <v>1221</v>
      </c>
      <c r="B56" s="58" t="n">
        <f aca="false">Trajectory!$B$164</f>
        <v>36779.6909834719</v>
      </c>
    </row>
    <row r="57" customFormat="false" ht="15" hidden="false" customHeight="true" outlineLevel="0" collapsed="false">
      <c r="A57" s="1" t="s">
        <v>1222</v>
      </c>
      <c r="B57" s="12" t="n">
        <f aca="false">Trajectory!$B$164</f>
        <v>36779.6909834719</v>
      </c>
    </row>
    <row r="58" customFormat="false" ht="15" hidden="false" customHeight="true" outlineLevel="0" collapsed="false">
      <c r="A58" s="1" t="s">
        <v>1223</v>
      </c>
      <c r="B58" s="58" t="n">
        <f aca="false">B56-B57</f>
        <v>0</v>
      </c>
    </row>
    <row r="59" customFormat="false" ht="15" hidden="false" customHeight="true" outlineLevel="0" collapsed="false">
      <c r="A59" s="1" t="s">
        <v>1224</v>
      </c>
    </row>
    <row r="60" customFormat="false" ht="15" hidden="false" customHeight="true" outlineLevel="0" collapsed="false">
      <c r="A60" s="6" t="s">
        <v>1225</v>
      </c>
    </row>
    <row r="61" customFormat="false" ht="15" hidden="false" customHeight="true" outlineLevel="0" collapsed="false">
      <c r="A61" s="7" t="s">
        <v>1226</v>
      </c>
    </row>
    <row r="62" customFormat="false" ht="15" hidden="false" customHeight="true" outlineLevel="0" collapsed="false">
      <c r="A62" s="3" t="s">
        <v>1227</v>
      </c>
    </row>
    <row r="64" customFormat="false" ht="15" hidden="false" customHeight="true" outlineLevel="0" collapsed="false">
      <c r="A64" s="6" t="s">
        <v>1228</v>
      </c>
    </row>
    <row r="65" customFormat="false" ht="15" hidden="false" customHeight="true" outlineLevel="0" collapsed="false">
      <c r="A65" s="7" t="s">
        <v>1229</v>
      </c>
    </row>
    <row r="66" customFormat="false" ht="15" hidden="false" customHeight="true" outlineLevel="0" collapsed="false">
      <c r="A66" s="7" t="s">
        <v>1230</v>
      </c>
    </row>
    <row r="68" customFormat="false" ht="15" hidden="false" customHeight="true" outlineLevel="0" collapsed="false">
      <c r="A68" s="1" t="s">
        <v>1231</v>
      </c>
      <c r="B68" s="58" t="n">
        <f aca="false">Pricing!B14*Pricing!B7</f>
        <v>130442.419492224</v>
      </c>
    </row>
    <row r="69" customFormat="false" ht="15" hidden="false" customHeight="true" outlineLevel="0" collapsed="false">
      <c r="A69" s="1" t="s">
        <v>1232</v>
      </c>
      <c r="B69" s="58" t="n">
        <f aca="false">Pricing!B14*Pricing!B5</f>
        <v>130442.419492224</v>
      </c>
    </row>
    <row r="70" customFormat="false" ht="15" hidden="false" customHeight="true" outlineLevel="0" collapsed="false">
      <c r="A70" s="1" t="s">
        <v>1233</v>
      </c>
      <c r="B70" s="80" t="n">
        <f aca="false">B68-B69</f>
        <v>0</v>
      </c>
    </row>
    <row r="71" customFormat="false" ht="15" hidden="false" customHeight="true" outlineLevel="0" collapsed="false">
      <c r="A71" s="1" t="s">
        <v>1234</v>
      </c>
      <c r="B71" s="79" t="n">
        <f aca="false">B70/B69</f>
        <v>0</v>
      </c>
    </row>
    <row r="72" customFormat="false" ht="15" hidden="false" customHeight="true" outlineLevel="0" collapsed="false">
      <c r="A72" s="3" t="s">
        <v>458</v>
      </c>
      <c r="B72" s="9" t="str">
        <f aca="false">IF(B70&gt;1,"The premium is set to fund benefits from income that exceeds what the fund ever receives. The shortfall equals the forfeiture credit exactly.","consistent")</f>
        <v>consistent</v>
      </c>
    </row>
    <row r="74" customFormat="false" ht="15" hidden="false" customHeight="true" outlineLevel="0" collapsed="false">
      <c r="A74" s="1" t="s">
        <v>1235</v>
      </c>
      <c r="B74" s="80" t="n">
        <f aca="false">B70/Discount!C19</f>
        <v>0</v>
      </c>
    </row>
    <row r="75" customFormat="false" ht="15" hidden="false" customHeight="true" outlineLevel="0" collapsed="false">
      <c r="A75" s="1" t="s">
        <v>1236</v>
      </c>
      <c r="B75" s="12" t="n">
        <f aca="false">-OwnFunds_SCR!E7</f>
        <v>-6192.44791762077</v>
      </c>
    </row>
    <row r="76" customFormat="false" ht="15" hidden="false" customHeight="true" outlineLevel="0" collapsed="false">
      <c r="A76" s="1" t="s">
        <v>1237</v>
      </c>
      <c r="B76" s="9" t="str">
        <f aca="false">IF(B74&gt;ABS(B75),"yes — the accumulated shortfall exceeds the reported deficit, so the deficit is explained by it","partly")</f>
        <v>partly</v>
      </c>
    </row>
    <row r="78" customFormat="false" ht="15" hidden="false" customHeight="true" outlineLevel="0" collapsed="false">
      <c r="A78" s="6" t="s">
        <v>1238</v>
      </c>
    </row>
    <row r="79" customFormat="false" ht="15" hidden="false" customHeight="true" outlineLevel="0" collapsed="false">
      <c r="A79" s="1" t="s">
        <v>1216</v>
      </c>
      <c r="B79" s="11" t="n">
        <f aca="false">B44</f>
        <v>0.895188484380065</v>
      </c>
    </row>
    <row r="80" customFormat="false" ht="15" hidden="false" customHeight="true" outlineLevel="0" collapsed="false">
      <c r="A80" s="1" t="s">
        <v>1239</v>
      </c>
      <c r="B80" s="51" t="n">
        <f aca="false">B44/Assumptions!$B$59-1</f>
        <v>-0.00534612846659488</v>
      </c>
    </row>
    <row r="81" customFormat="false" ht="15" hidden="false" customHeight="true" outlineLevel="0" collapsed="false">
      <c r="A81" s="1" t="s">
        <v>1240</v>
      </c>
      <c r="B81" s="18" t="n">
        <f aca="false">Fairness!B3/Assumptions!$B$59-1</f>
        <v>-0.00534612846659499</v>
      </c>
    </row>
    <row r="82" customFormat="false" ht="15" hidden="false" customHeight="true" outlineLevel="0" collapsed="false">
      <c r="A82" s="7" t="s">
        <v>1241</v>
      </c>
    </row>
    <row r="84" customFormat="false" ht="15" hidden="false" customHeight="true" outlineLevel="0" collapsed="false">
      <c r="A84" s="6" t="s">
        <v>1242</v>
      </c>
    </row>
    <row r="85" customFormat="false" ht="15" hidden="false" customHeight="true" outlineLevel="0" collapsed="false">
      <c r="A85" s="3" t="s">
        <v>1243</v>
      </c>
    </row>
    <row r="86" customFormat="false" ht="15" hidden="false" customHeight="true" outlineLevel="0" collapsed="false">
      <c r="A86" s="7" t="s">
        <v>1244</v>
      </c>
    </row>
    <row r="87" customFormat="false" ht="15" hidden="false" customHeight="true" outlineLevel="0" collapsed="false">
      <c r="A87" s="7" t="s">
        <v>1245</v>
      </c>
    </row>
    <row r="88" customFormat="false" ht="15" hidden="false" customHeight="true" outlineLevel="0" collapsed="false">
      <c r="A88" s="3" t="s">
        <v>1246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04"/>
  </cols>
  <sheetData>
    <row r="1" customFormat="false" ht="15.75" hidden="false" customHeight="true" outlineLevel="0" collapsed="false">
      <c r="A1" s="1" t="s">
        <v>221</v>
      </c>
      <c r="H1" s="4" t="s">
        <v>222</v>
      </c>
    </row>
    <row r="2" customFormat="false" ht="15" hidden="false" customHeight="true" outlineLevel="0" collapsed="false">
      <c r="A2" s="1" t="s">
        <v>223</v>
      </c>
    </row>
    <row r="3" customFormat="false" ht="15" hidden="false" customHeight="true" outlineLevel="0" collapsed="false">
      <c r="A3" s="3" t="s">
        <v>224</v>
      </c>
    </row>
    <row r="4" customFormat="false" ht="15" hidden="false" customHeight="true" outlineLevel="0" collapsed="false">
      <c r="A4" s="3" t="s">
        <v>225</v>
      </c>
    </row>
    <row r="5" customFormat="false" ht="15" hidden="false" customHeight="true" outlineLevel="0" collapsed="false">
      <c r="A5" s="1" t="s">
        <v>226</v>
      </c>
    </row>
    <row r="6" customFormat="false" ht="15" hidden="false" customHeight="true" outlineLevel="0" collapsed="false">
      <c r="A6" s="1" t="s">
        <v>227</v>
      </c>
    </row>
    <row r="7" customFormat="false" ht="15" hidden="false" customHeight="true" outlineLevel="0" collapsed="false">
      <c r="A7" s="1" t="s">
        <v>228</v>
      </c>
    </row>
    <row r="8" customFormat="false" ht="15" hidden="false" customHeight="true" outlineLevel="0" collapsed="false"/>
    <row r="9" customFormat="false" ht="15" hidden="false" customHeight="true" outlineLevel="0" collapsed="false">
      <c r="A9" s="1" t="s">
        <v>229</v>
      </c>
    </row>
    <row r="10" customFormat="false" ht="15" hidden="false" customHeight="true" outlineLevel="0" collapsed="false">
      <c r="A10" s="1" t="s">
        <v>230</v>
      </c>
    </row>
    <row r="11" customFormat="false" ht="15" hidden="false" customHeight="true" outlineLevel="0" collapsed="false">
      <c r="A11" s="1" t="s">
        <v>231</v>
      </c>
    </row>
    <row r="12" customFormat="false" ht="15" hidden="false" customHeight="true" outlineLevel="0" collapsed="false">
      <c r="A12" s="1" t="s">
        <v>232</v>
      </c>
    </row>
    <row r="13" customFormat="false" ht="15" hidden="false" customHeight="true" outlineLevel="0" collapsed="false">
      <c r="A13" s="1" t="s">
        <v>233</v>
      </c>
    </row>
    <row r="14" customFormat="false" ht="15" hidden="false" customHeight="true" outlineLevel="0" collapsed="false"/>
    <row r="15" customFormat="false" ht="15" hidden="false" customHeight="true" outlineLevel="0" collapsed="false">
      <c r="A15" s="1" t="s">
        <v>234</v>
      </c>
    </row>
    <row r="16" customFormat="false" ht="15" hidden="false" customHeight="true" outlineLevel="0" collapsed="false">
      <c r="A16" s="1" t="s">
        <v>235</v>
      </c>
    </row>
    <row r="17" customFormat="false" ht="15" hidden="false" customHeight="true" outlineLevel="0" collapsed="false">
      <c r="A17" s="1" t="s">
        <v>236</v>
      </c>
    </row>
    <row r="18" customFormat="false" ht="15" hidden="false" customHeight="true" outlineLevel="0" collapsed="false">
      <c r="A18" s="1" t="s">
        <v>237</v>
      </c>
    </row>
    <row r="19" customFormat="false" ht="15" hidden="false" customHeight="true" outlineLevel="0" collapsed="false"/>
    <row r="20" customFormat="false" ht="15" hidden="false" customHeight="true" outlineLevel="0" collapsed="false">
      <c r="A20" s="1" t="s">
        <v>238</v>
      </c>
    </row>
    <row r="21" customFormat="false" ht="15" hidden="false" customHeight="true" outlineLevel="0" collapsed="false">
      <c r="A21" s="1" t="s">
        <v>239</v>
      </c>
    </row>
    <row r="22" customFormat="false" ht="15" hidden="false" customHeight="true" outlineLevel="0" collapsed="false">
      <c r="A22" s="1" t="s">
        <v>240</v>
      </c>
    </row>
    <row r="23" customFormat="false" ht="15" hidden="false" customHeight="true" outlineLevel="0" collapsed="false">
      <c r="A23" s="1" t="s">
        <v>241</v>
      </c>
      <c r="B23" s="12" t="n">
        <f aca="false">Pricing!B14</f>
        <v>12316.0657114102</v>
      </c>
    </row>
    <row r="24" customFormat="false" ht="15" hidden="false" customHeight="true" outlineLevel="0" collapsed="false">
      <c r="A24" s="1" t="s">
        <v>242</v>
      </c>
      <c r="B24" s="11" t="n">
        <f aca="false">Fairness!B3</f>
        <v>0.895188484380065</v>
      </c>
    </row>
    <row r="25" customFormat="false" ht="15" hidden="false" customHeight="true" outlineLevel="0" collapsed="false">
      <c r="A25" s="1" t="s">
        <v>243</v>
      </c>
      <c r="B25" s="12" t="n">
        <f aca="false">OwnFunds_SCR!B7</f>
        <v>3913.27258476668</v>
      </c>
    </row>
    <row r="26" customFormat="false" ht="15" hidden="false" customHeight="true" outlineLevel="0" collapsed="false">
      <c r="A26" s="1" t="s">
        <v>244</v>
      </c>
      <c r="B26" s="12" t="n">
        <f aca="false">OwnFunds_SCR!E7</f>
        <v>6192.44791762077</v>
      </c>
    </row>
    <row r="27" customFormat="false" ht="15" hidden="false" customHeight="true" outlineLevel="0" collapsed="false">
      <c r="A27" s="1" t="s">
        <v>245</v>
      </c>
      <c r="B27" s="12" t="n">
        <f aca="false">OwnFunds_SCR!B30</f>
        <v>20767.4548564818</v>
      </c>
    </row>
    <row r="28" customFormat="false" ht="15" hidden="false" customHeight="true" outlineLevel="0" collapsed="false">
      <c r="A28" s="1" t="s">
        <v>246</v>
      </c>
      <c r="B28" s="12" t="n">
        <f aca="false">Trajectory!B164</f>
        <v>36779.6909834719</v>
      </c>
    </row>
    <row r="29" customFormat="false" ht="15" hidden="false" customHeight="true" outlineLevel="0" collapsed="false">
      <c r="A29" s="1" t="s">
        <v>247</v>
      </c>
      <c r="B29" s="12" t="n">
        <f aca="false">Frontier!B16</f>
        <v>37771.6729997947</v>
      </c>
    </row>
    <row r="30" customFormat="false" ht="15" hidden="false" customHeight="true" outlineLevel="0" collapsed="false"/>
    <row r="31" customFormat="false" ht="15" hidden="false" customHeight="true" outlineLevel="0" collapsed="false">
      <c r="A31" s="1" t="s">
        <v>248</v>
      </c>
    </row>
    <row r="32" customFormat="false" ht="15" hidden="false" customHeight="true" outlineLevel="0" collapsed="false">
      <c r="A32" s="1" t="s">
        <v>249</v>
      </c>
    </row>
    <row r="42" customFormat="false" ht="15" hidden="false" customHeight="true" outlineLevel="0" collapsed="false">
      <c r="A42" s="1" t="s">
        <v>250</v>
      </c>
    </row>
    <row r="44" customFormat="false" ht="15" hidden="false" customHeight="false" outlineLevel="0" collapsed="false">
      <c r="A44" s="1" t="s">
        <v>251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60"/>
    <col collapsed="false" customWidth="true" hidden="false" outlineLevel="0" max="5" min="2" style="1" width="18"/>
  </cols>
  <sheetData>
    <row r="1" customFormat="false" ht="15.75" hidden="false" customHeight="true" outlineLevel="0" collapsed="false">
      <c r="A1" s="15" t="s">
        <v>1247</v>
      </c>
    </row>
    <row r="2" customFormat="false" ht="15" hidden="false" customHeight="true" outlineLevel="0" collapsed="false">
      <c r="A2" s="7" t="s">
        <v>1248</v>
      </c>
    </row>
    <row r="4" customFormat="false" ht="15" hidden="false" customHeight="true" outlineLevel="0" collapsed="false">
      <c r="A4" s="6" t="s">
        <v>1249</v>
      </c>
    </row>
    <row r="5" customFormat="false" ht="15" hidden="false" customHeight="true" outlineLevel="0" collapsed="false">
      <c r="A5" s="7" t="s">
        <v>1250</v>
      </c>
    </row>
    <row r="7" customFormat="false" ht="15" hidden="false" customHeight="true" outlineLevel="0" collapsed="false">
      <c r="A7" s="1" t="s">
        <v>1251</v>
      </c>
      <c r="B7" s="50" t="n">
        <f aca="false">Pricing!B14</f>
        <v>12316.0657114102</v>
      </c>
    </row>
    <row r="9" customFormat="false" ht="15" hidden="false" customHeight="true" outlineLevel="0" collapsed="false">
      <c r="A9" s="3" t="s">
        <v>1252</v>
      </c>
    </row>
    <row r="10" customFormat="false" ht="15" hidden="false" customHeight="true" outlineLevel="0" collapsed="false">
      <c r="A10" s="1" t="s">
        <v>1253</v>
      </c>
      <c r="B10" s="48" t="n">
        <f aca="false">B7*Pricing!B5</f>
        <v>130442.419492224</v>
      </c>
    </row>
    <row r="12" customFormat="false" ht="15" hidden="false" customHeight="true" outlineLevel="0" collapsed="false">
      <c r="A12" s="3" t="s">
        <v>1254</v>
      </c>
    </row>
    <row r="13" customFormat="false" ht="15" hidden="false" customHeight="true" outlineLevel="0" collapsed="false">
      <c r="A13" s="1" t="s">
        <v>1255</v>
      </c>
      <c r="B13" s="48" t="n">
        <f aca="false">Pricing!B8</f>
        <v>106683.779346131</v>
      </c>
    </row>
    <row r="14" customFormat="false" ht="15" hidden="false" customHeight="true" outlineLevel="0" collapsed="false">
      <c r="A14" s="1" t="s">
        <v>1256</v>
      </c>
      <c r="B14" s="48" t="n">
        <f aca="false">Pricing!B9</f>
        <v>1622.98416087547</v>
      </c>
    </row>
    <row r="15" customFormat="false" ht="15" hidden="false" customHeight="true" outlineLevel="0" collapsed="false">
      <c r="A15" s="1" t="s">
        <v>1257</v>
      </c>
      <c r="B15" s="48" t="n">
        <f aca="false">B7*Commission_Models!B74</f>
        <v>18222.3834004509</v>
      </c>
    </row>
    <row r="16" customFormat="false" ht="15" hidden="false" customHeight="true" outlineLevel="0" collapsed="false">
      <c r="A16" s="1" t="s">
        <v>1258</v>
      </c>
      <c r="B16" s="50" t="n">
        <f aca="false">B13+B14+B15</f>
        <v>126529.146907457</v>
      </c>
    </row>
    <row r="18" customFormat="false" ht="15" hidden="false" customHeight="true" outlineLevel="0" collapsed="false">
      <c r="A18" s="1" t="s">
        <v>1259</v>
      </c>
      <c r="B18" s="81" t="n">
        <f aca="false">B10-B16</f>
        <v>3913.2725847667</v>
      </c>
    </row>
    <row r="19" customFormat="false" ht="15" hidden="false" customHeight="true" outlineLevel="0" collapsed="false">
      <c r="A19" s="1" t="s">
        <v>1260</v>
      </c>
      <c r="B19" s="48" t="n">
        <f aca="false">Assumptions!B13*B10</f>
        <v>3913.27258476671</v>
      </c>
    </row>
    <row r="20" customFormat="false" ht="15" hidden="false" customHeight="true" outlineLevel="0" collapsed="false">
      <c r="A20" s="1" t="s">
        <v>1261</v>
      </c>
      <c r="B20" s="81" t="n">
        <f aca="false">B18-B19</f>
        <v>0</v>
      </c>
    </row>
    <row r="21" customFormat="false" ht="15" hidden="false" customHeight="true" outlineLevel="0" collapsed="false">
      <c r="A21" s="3" t="s">
        <v>458</v>
      </c>
      <c r="B21" s="9" t="str">
        <f aca="false">IF(B18&lt;0,"The pool pays out more than it receives. At this premium it makes a loss before any margin.",IF(B20&lt;-1,"The pool balances but earns less than the intended margin.","The pool balances and earns the intended margin."))</f>
        <v>The pool balances and earns the intended margin.</v>
      </c>
    </row>
    <row r="23" customFormat="false" ht="15" hidden="false" customHeight="true" outlineLevel="0" collapsed="false">
      <c r="A23" s="1" t="s">
        <v>1235</v>
      </c>
      <c r="B23" s="80" t="n">
        <f aca="false">-B20/Discount!C19</f>
        <v>-0</v>
      </c>
    </row>
    <row r="24" customFormat="false" ht="15" hidden="false" customHeight="true" outlineLevel="0" collapsed="false">
      <c r="A24" s="1" t="s">
        <v>1262</v>
      </c>
      <c r="B24" s="12" t="n">
        <f aca="false">-OwnFunds_SCR!E7</f>
        <v>-6192.44791762077</v>
      </c>
    </row>
    <row r="26" customFormat="false" ht="15" hidden="false" customHeight="true" outlineLevel="0" collapsed="false">
      <c r="A26" s="1" t="s">
        <v>1263</v>
      </c>
      <c r="B26" s="50" t="n">
        <f aca="false">(Pricing!B8+Pricing!B9)/(Pricing!B5*(1-Assumptions!B13-Pricing!B11))</f>
        <v>12316.0657114102</v>
      </c>
    </row>
    <row r="27" customFormat="false" ht="15" hidden="false" customHeight="true" outlineLevel="0" collapsed="false">
      <c r="A27" s="1" t="s">
        <v>1264</v>
      </c>
      <c r="B27" s="27" t="n">
        <f aca="false">B26*Pricing!B5-(Pricing!B8+Pricing!B9+B26*Commission_Models!B74)-Assumptions!B13*B26*Pricing!B5</f>
        <v>0</v>
      </c>
    </row>
    <row r="28" customFormat="false" ht="15" hidden="false" customHeight="true" outlineLevel="0" collapsed="false">
      <c r="A28" s="3" t="s">
        <v>458</v>
      </c>
      <c r="B28" s="28" t="str">
        <f aca="false">IF(ABS(B27)&lt;0.05,"Balances exactly — receipts equal payments plus the intended margin","does not balance")</f>
        <v>Balances exactly — receipts equal payments plus the intended margin</v>
      </c>
    </row>
    <row r="30" customFormat="false" ht="15" hidden="false" customHeight="true" outlineLevel="0" collapsed="false">
      <c r="A30" s="6" t="s">
        <v>1265</v>
      </c>
    </row>
    <row r="31" customFormat="false" ht="15" hidden="false" customHeight="true" outlineLevel="0" collapsed="false">
      <c r="A31" s="7" t="s">
        <v>1266</v>
      </c>
    </row>
    <row r="32" customFormat="false" ht="15" hidden="false" customHeight="true" outlineLevel="0" collapsed="false">
      <c r="A32" s="7" t="s">
        <v>1267</v>
      </c>
    </row>
    <row r="34" customFormat="false" ht="15" hidden="false" customHeight="true" outlineLevel="0" collapsed="false">
      <c r="A34" s="1" t="s">
        <v>1268</v>
      </c>
      <c r="B34" s="11" t="n">
        <f aca="false">Pricing!B5</f>
        <v>10.5912409489156</v>
      </c>
    </row>
    <row r="35" customFormat="false" ht="15" hidden="false" customHeight="true" outlineLevel="0" collapsed="false">
      <c r="A35" s="1" t="s">
        <v>1269</v>
      </c>
      <c r="B35" s="32" t="n">
        <f aca="false">Projection!F19</f>
        <v>0.687680981645694</v>
      </c>
    </row>
    <row r="36" customFormat="false" ht="15" hidden="false" customHeight="true" outlineLevel="0" collapsed="false">
      <c r="A36" s="1" t="s">
        <v>1270</v>
      </c>
      <c r="B36" s="59" t="n">
        <f aca="false">B34/B35</f>
        <v>15.4013870262482</v>
      </c>
    </row>
    <row r="38" customFormat="false" ht="15" hidden="false" customHeight="true" outlineLevel="0" collapsed="false">
      <c r="A38" s="7" t="s">
        <v>1271</v>
      </c>
    </row>
    <row r="39" customFormat="false" ht="15" hidden="false" customHeight="true" outlineLevel="0" collapsed="false">
      <c r="A39" s="1" t="s">
        <v>1272</v>
      </c>
      <c r="B39" s="59" t="n">
        <f aca="false">SUMPRODUCT((Projection!$B$4:$B$59&lt;Assumptions!$B$5)*Projection!$H$4:$H$59)</f>
        <v>12.3980128404745</v>
      </c>
    </row>
    <row r="40" customFormat="false" ht="15" hidden="false" customHeight="true" outlineLevel="0" collapsed="false">
      <c r="A40" s="1" t="s">
        <v>1273</v>
      </c>
      <c r="B40" s="59" t="n">
        <f aca="false">B36-B39</f>
        <v>3.00337418577377</v>
      </c>
    </row>
    <row r="41" customFormat="false" ht="15" hidden="false" customHeight="true" outlineLevel="0" collapsed="false">
      <c r="A41" s="1" t="s">
        <v>1274</v>
      </c>
      <c r="B41" s="65" t="n">
        <f aca="false">B40/B39</f>
        <v>0.242246416778097</v>
      </c>
    </row>
    <row r="42" customFormat="false" ht="15" hidden="false" customHeight="true" outlineLevel="0" collapsed="false">
      <c r="A42" s="1" t="s">
        <v>1275</v>
      </c>
      <c r="B42" s="58" t="n">
        <f aca="false">B40*B26</f>
        <v>36989.7538279429</v>
      </c>
    </row>
    <row r="44" customFormat="false" ht="15" hidden="false" customHeight="true" outlineLevel="0" collapsed="false">
      <c r="A44" s="3" t="s">
        <v>1276</v>
      </c>
    </row>
    <row r="46" customFormat="false" ht="15" hidden="false" customHeight="true" outlineLevel="0" collapsed="false">
      <c r="A46" s="6" t="s">
        <v>1277</v>
      </c>
    </row>
    <row r="47" customFormat="false" ht="15" hidden="false" customHeight="true" outlineLevel="0" collapsed="false">
      <c r="A47" s="7" t="s">
        <v>1278</v>
      </c>
    </row>
    <row r="48" customFormat="false" ht="15" hidden="false" customHeight="true" outlineLevel="0" collapsed="false">
      <c r="A48" s="1" t="s">
        <v>1279</v>
      </c>
      <c r="B48" s="11" t="n">
        <f aca="false">1-Assumptions!B13-Pricing!B11</f>
        <v>0.830303239763678</v>
      </c>
    </row>
    <row r="49" customFormat="false" ht="15" hidden="false" customHeight="true" outlineLevel="0" collapsed="false">
      <c r="A49" s="1" t="s">
        <v>1280</v>
      </c>
      <c r="B49" s="11" t="n">
        <f aca="false">Fairness!B3*Pricing!B14/B26</f>
        <v>0.895188484380065</v>
      </c>
    </row>
    <row r="50" customFormat="false" ht="15" hidden="false" customHeight="true" outlineLevel="0" collapsed="false">
      <c r="A50" s="1" t="s">
        <v>1281</v>
      </c>
      <c r="B50" s="65" t="n">
        <f aca="false">B49/B48-1</f>
        <v>0.0781464427801752</v>
      </c>
    </row>
    <row r="51" customFormat="false" ht="15" hidden="false" customHeight="true" outlineLevel="0" collapsed="false">
      <c r="A51" s="1" t="s">
        <v>1282</v>
      </c>
      <c r="B51" s="11" t="n">
        <f aca="false">Fairness!B3</f>
        <v>0.895188484380065</v>
      </c>
    </row>
    <row r="52" customFormat="false" ht="15" hidden="false" customHeight="true" outlineLevel="0" collapsed="false">
      <c r="A52" s="1" t="s">
        <v>1283</v>
      </c>
      <c r="B52" s="77" t="n">
        <f aca="false">B51/B48-1</f>
        <v>0.0781464427801752</v>
      </c>
    </row>
    <row r="53" customFormat="false" ht="15" hidden="false" customHeight="true" outlineLevel="0" collapsed="false">
      <c r="A53" s="7" t="s">
        <v>1284</v>
      </c>
    </row>
    <row r="55" customFormat="false" ht="15" hidden="false" customHeight="true" outlineLevel="0" collapsed="false">
      <c r="A55" s="6" t="s">
        <v>646</v>
      </c>
    </row>
    <row r="56" customFormat="false" ht="15" hidden="false" customHeight="true" outlineLevel="0" collapsed="false">
      <c r="A56" s="3" t="s">
        <v>1285</v>
      </c>
    </row>
    <row r="57" customFormat="false" ht="15" hidden="false" customHeight="true" outlineLevel="0" collapsed="false">
      <c r="A57" s="7" t="s">
        <v>1286</v>
      </c>
    </row>
    <row r="60" customFormat="false" ht="15" hidden="false" customHeight="true" outlineLevel="0" collapsed="false">
      <c r="A60" s="6" t="s">
        <v>1287</v>
      </c>
    </row>
    <row r="61" customFormat="false" ht="15" hidden="false" customHeight="true" outlineLevel="0" collapsed="false">
      <c r="A61" s="7" t="s">
        <v>1288</v>
      </c>
    </row>
    <row r="62" customFormat="false" ht="15" hidden="false" customHeight="true" outlineLevel="0" collapsed="false">
      <c r="A62" s="7" t="s">
        <v>1289</v>
      </c>
    </row>
    <row r="64" customFormat="false" ht="15" hidden="false" customHeight="true" outlineLevel="0" collapsed="false">
      <c r="A64" s="8" t="s">
        <v>463</v>
      </c>
      <c r="B64" s="8" t="s">
        <v>1290</v>
      </c>
      <c r="C64" s="8" t="s">
        <v>1291</v>
      </c>
      <c r="D64" s="8" t="s">
        <v>1292</v>
      </c>
      <c r="E64" s="8" t="s">
        <v>1293</v>
      </c>
      <c r="F64" s="8" t="s">
        <v>1294</v>
      </c>
      <c r="G64" s="8" t="s">
        <v>1295</v>
      </c>
      <c r="H64" s="8" t="s">
        <v>1296</v>
      </c>
    </row>
    <row r="65" customFormat="false" ht="15" hidden="false" customHeight="true" outlineLevel="0" collapsed="false">
      <c r="A65" s="3" t="n">
        <v>65</v>
      </c>
      <c r="B65" s="32" t="n">
        <f aca="false">Projection!F4</f>
        <v>1</v>
      </c>
      <c r="C65" s="32" t="n">
        <f aca="false">Projection!F4*Projection!C4</f>
        <v>0.00518054588826009</v>
      </c>
      <c r="D65" s="32" t="n">
        <f aca="false">Projection!F4*(1-Projection!C4)*Projection!E4</f>
        <v>0.0403896698369366</v>
      </c>
      <c r="E65" s="32" t="n">
        <f aca="false">Projection!H4</f>
        <v>1</v>
      </c>
      <c r="F65" s="11" t="n">
        <f aca="false">E65</f>
        <v>1</v>
      </c>
      <c r="G65" s="32" t="n">
        <f aca="false">C65*F65</f>
        <v>0.00518054588826009</v>
      </c>
      <c r="H65" s="32" t="n">
        <f aca="false">D65*F65</f>
        <v>0.0403896698369366</v>
      </c>
    </row>
    <row r="66" customFormat="false" ht="15" hidden="false" customHeight="true" outlineLevel="0" collapsed="false">
      <c r="A66" s="3" t="n">
        <v>66</v>
      </c>
      <c r="B66" s="32" t="n">
        <f aca="false">Projection!F5</f>
        <v>0.954429784274803</v>
      </c>
      <c r="C66" s="32" t="n">
        <f aca="false">Projection!F5*Projection!C5</f>
        <v>0.00538356006781884</v>
      </c>
      <c r="D66" s="32" t="n">
        <f aca="false">Projection!F5*(1-Projection!C5)*Projection!E5</f>
        <v>0.0205943030652916</v>
      </c>
      <c r="E66" s="32" t="n">
        <f aca="false">Projection!H5</f>
        <v>0.974696869273656</v>
      </c>
      <c r="F66" s="11" t="n">
        <f aca="false">F65+E66</f>
        <v>1.97469686927366</v>
      </c>
      <c r="G66" s="32" t="n">
        <f aca="false">C66*F66</f>
        <v>0.0106308992114685</v>
      </c>
      <c r="H66" s="32" t="n">
        <f aca="false">D66*F66</f>
        <v>0.0406675057879041</v>
      </c>
    </row>
    <row r="67" customFormat="false" ht="15" hidden="false" customHeight="true" outlineLevel="0" collapsed="false">
      <c r="A67" s="3" t="n">
        <v>67</v>
      </c>
      <c r="B67" s="32" t="n">
        <f aca="false">Projection!F6</f>
        <v>0.928451921141693</v>
      </c>
      <c r="C67" s="32" t="n">
        <f aca="false">Projection!F6*Projection!C6</f>
        <v>0.00572110618243654</v>
      </c>
      <c r="D67" s="32" t="n">
        <f aca="false">Projection!F6*(1-Projection!C6)*Projection!E6</f>
        <v>0.0122723198389581</v>
      </c>
      <c r="E67" s="32" t="n">
        <f aca="false">Projection!H6</f>
        <v>0.949478633477643</v>
      </c>
      <c r="F67" s="11" t="n">
        <f aca="false">F66+E67</f>
        <v>2.9241755027513</v>
      </c>
      <c r="G67" s="32" t="n">
        <f aca="false">C67*F67</f>
        <v>0.0167295185473199</v>
      </c>
      <c r="H67" s="32" t="n">
        <f aca="false">D67*F67</f>
        <v>0.0358864170350101</v>
      </c>
    </row>
    <row r="68" customFormat="false" ht="15" hidden="false" customHeight="true" outlineLevel="0" collapsed="false">
      <c r="A68" s="3" t="n">
        <v>68</v>
      </c>
      <c r="B68" s="32" t="n">
        <f aca="false">Projection!F7</f>
        <v>0.910458495120298</v>
      </c>
      <c r="C68" s="32" t="n">
        <f aca="false">Projection!F7*Projection!C7</f>
        <v>0.00614941906346277</v>
      </c>
      <c r="D68" s="32" t="n">
        <f aca="false">Projection!F7*(1-Projection!C7)*Projection!E7</f>
        <v>0.0120273107115559</v>
      </c>
      <c r="E68" s="32" t="n">
        <f aca="false">Projection!H7</f>
        <v>0.925237412196234</v>
      </c>
      <c r="F68" s="11" t="n">
        <f aca="false">F67+E68</f>
        <v>3.84941291494753</v>
      </c>
      <c r="G68" s="32" t="n">
        <f aca="false">C68*F68</f>
        <v>0.0236716531623182</v>
      </c>
      <c r="H68" s="32" t="n">
        <f aca="false">D68*F68</f>
        <v>0.0462980851851501</v>
      </c>
    </row>
    <row r="69" customFormat="false" ht="15" hidden="false" customHeight="true" outlineLevel="0" collapsed="false">
      <c r="A69" s="3" t="n">
        <v>69</v>
      </c>
      <c r="B69" s="32" t="n">
        <f aca="false">Projection!F8</f>
        <v>0.89228176534528</v>
      </c>
      <c r="C69" s="32" t="n">
        <f aca="false">Projection!F8*Projection!C8</f>
        <v>0.00662764329191426</v>
      </c>
      <c r="D69" s="32" t="n">
        <f aca="false">Projection!F8*(1-Projection!C8)*Projection!E8</f>
        <v>0.0117791998233098</v>
      </c>
      <c r="E69" s="32" t="n">
        <f aca="false">Projection!H8</f>
        <v>0.901158384292743</v>
      </c>
      <c r="F69" s="11" t="n">
        <f aca="false">F68+E69</f>
        <v>4.75057129924028</v>
      </c>
      <c r="G69" s="32" t="n">
        <f aca="false">C69*F69</f>
        <v>0.0314850920041702</v>
      </c>
      <c r="H69" s="32" t="n">
        <f aca="false">D69*F69</f>
        <v>0.0559579286086315</v>
      </c>
    </row>
    <row r="70" customFormat="false" ht="15" hidden="false" customHeight="true" outlineLevel="0" collapsed="false">
      <c r="A70" s="3" t="n">
        <v>70</v>
      </c>
      <c r="B70" s="32" t="n">
        <f aca="false">Projection!F9</f>
        <v>0.873874922230056</v>
      </c>
      <c r="C70" s="32" t="n">
        <f aca="false">Projection!F9*Projection!C9</f>
        <v>0.00742254896045085</v>
      </c>
      <c r="D70" s="32" t="n">
        <f aca="false">Projection!F9*(1-Projection!C9)*Projection!E9</f>
        <v>0.0078847165967534</v>
      </c>
      <c r="E70" s="32" t="n">
        <f aca="false">Projection!H9</f>
        <v>0.876603781957048</v>
      </c>
      <c r="F70" s="11" t="n">
        <f aca="false">F69+E70</f>
        <v>5.62717508119732</v>
      </c>
      <c r="G70" s="32" t="n">
        <f aca="false">C70*F70</f>
        <v>0.0417679825492161</v>
      </c>
      <c r="H70" s="32" t="n">
        <f aca="false">D70*F70</f>
        <v>0.0443686807555537</v>
      </c>
    </row>
    <row r="71" customFormat="false" ht="15" hidden="false" customHeight="true" outlineLevel="0" collapsed="false">
      <c r="A71" s="3" t="n">
        <v>71</v>
      </c>
      <c r="B71" s="32" t="n">
        <f aca="false">Projection!F10</f>
        <v>0.858567656672851</v>
      </c>
      <c r="C71" s="32" t="n">
        <f aca="false">Projection!F10*Projection!C10</f>
        <v>0.0080678925592472</v>
      </c>
      <c r="D71" s="32" t="n">
        <f aca="false">Projection!F10*(1-Projection!C10)*Projection!E10</f>
        <v>0.0077395478534338</v>
      </c>
      <c r="E71" s="32" t="n">
        <f aca="false">Projection!H10</f>
        <v>0.851971578753519</v>
      </c>
      <c r="F71" s="11" t="n">
        <f aca="false">F70+E71</f>
        <v>6.47914665995084</v>
      </c>
      <c r="G71" s="32" t="n">
        <f aca="false">C71*F71</f>
        <v>0.0522730591280887</v>
      </c>
      <c r="H71" s="32" t="n">
        <f aca="false">D71*F71</f>
        <v>0.0501456656241053</v>
      </c>
    </row>
    <row r="72" customFormat="false" ht="15" hidden="false" customHeight="true" outlineLevel="0" collapsed="false">
      <c r="A72" s="3" t="n">
        <v>72</v>
      </c>
      <c r="B72" s="32" t="n">
        <f aca="false">Projection!F11</f>
        <v>0.84276021626017</v>
      </c>
      <c r="C72" s="32" t="n">
        <f aca="false">Projection!F11*Projection!C11</f>
        <v>0.00878310481559602</v>
      </c>
      <c r="D72" s="32" t="n">
        <f aca="false">Projection!F11*(1-Projection!C11)*Projection!E11</f>
        <v>0.00758919171414563</v>
      </c>
      <c r="E72" s="32" t="n">
        <f aca="false">Projection!H11</f>
        <v>0.827041278453181</v>
      </c>
      <c r="F72" s="11" t="n">
        <f aca="false">F71+E72</f>
        <v>7.30618793840402</v>
      </c>
      <c r="G72" s="32" t="n">
        <f aca="false">C72*F72</f>
        <v>0.0641710144654459</v>
      </c>
      <c r="H72" s="32" t="n">
        <f aca="false">D72*F72</f>
        <v>0.0554480609641265</v>
      </c>
    </row>
    <row r="73" customFormat="false" ht="15" hidden="false" customHeight="true" outlineLevel="0" collapsed="false">
      <c r="A73" s="3" t="n">
        <v>73</v>
      </c>
      <c r="B73" s="32" t="n">
        <f aca="false">Projection!F12</f>
        <v>0.826387919730429</v>
      </c>
      <c r="C73" s="32" t="n">
        <f aca="false">Projection!F12*Projection!C12</f>
        <v>0.0095709625044417</v>
      </c>
      <c r="D73" s="32" t="n">
        <f aca="false">Projection!F12*(1-Projection!C12)*Projection!E12</f>
        <v>0.00743303431075648</v>
      </c>
      <c r="E73" s="32" t="n">
        <f aca="false">Projection!H12</f>
        <v>0.801904550348561</v>
      </c>
      <c r="F73" s="11" t="n">
        <f aca="false">F72+E73</f>
        <v>8.10809248875258</v>
      </c>
      <c r="G73" s="32" t="n">
        <f aca="false">C73*F73</f>
        <v>0.0776022491923964</v>
      </c>
      <c r="H73" s="32" t="n">
        <f aca="false">D73*F73</f>
        <v>0.0602677296636849</v>
      </c>
    </row>
    <row r="74" customFormat="false" ht="15" hidden="false" customHeight="true" outlineLevel="0" collapsed="false">
      <c r="A74" s="3" t="n">
        <v>74</v>
      </c>
      <c r="B74" s="32" t="n">
        <f aca="false">Projection!F13</f>
        <v>0.809383922915231</v>
      </c>
      <c r="C74" s="32" t="n">
        <f aca="false">Projection!F13*Projection!C13</f>
        <v>0.0104337397028908</v>
      </c>
      <c r="D74" s="32" t="n">
        <f aca="false">Projection!F13*(1-Projection!C13)*Projection!E13</f>
        <v>0.00727044666723229</v>
      </c>
      <c r="E74" s="32" t="n">
        <f aca="false">Projection!H13</f>
        <v>0.776739422112084</v>
      </c>
      <c r="F74" s="11" t="n">
        <f aca="false">F73+E74</f>
        <v>8.88483191086467</v>
      </c>
      <c r="G74" s="32" t="n">
        <f aca="false">C74*F74</f>
        <v>0.0927020234618999</v>
      </c>
      <c r="H74" s="32" t="n">
        <f aca="false">D74*F74</f>
        <v>0.0645966965552652</v>
      </c>
    </row>
    <row r="75" customFormat="false" ht="15" hidden="false" customHeight="true" outlineLevel="0" collapsed="false">
      <c r="A75" s="3" t="n">
        <v>75</v>
      </c>
      <c r="B75" s="32" t="n">
        <f aca="false">Projection!F14</f>
        <v>0.791679736545108</v>
      </c>
      <c r="C75" s="32" t="n">
        <f aca="false">Projection!F14*Projection!C14</f>
        <v>0.0117788323219567</v>
      </c>
      <c r="D75" s="32" t="n">
        <f aca="false">Projection!F14*(1-Projection!C14)*Projection!E14</f>
        <v>0.00709709822843067</v>
      </c>
      <c r="E75" s="32" t="n">
        <f aca="false">Projection!H14</f>
        <v>0.750554126131835</v>
      </c>
      <c r="F75" s="11" t="n">
        <f aca="false">F74+E75</f>
        <v>9.6353860369965</v>
      </c>
      <c r="G75" s="32" t="n">
        <f aca="false">C75*F75</f>
        <v>0.113493596487105</v>
      </c>
      <c r="H75" s="32" t="n">
        <f aca="false">D75*F75</f>
        <v>0.0683832811734135</v>
      </c>
    </row>
    <row r="76" customFormat="false" ht="15" hidden="false" customHeight="true" outlineLevel="0" collapsed="false">
      <c r="A76" s="3" t="n">
        <v>76</v>
      </c>
      <c r="B76" s="32" t="n">
        <f aca="false">Projection!F15</f>
        <v>0.77280380599472</v>
      </c>
      <c r="C76" s="32" t="n">
        <f aca="false">Projection!F15*Projection!C15</f>
        <v>0.0128393214484158</v>
      </c>
      <c r="D76" s="32" t="n">
        <f aca="false">Projection!F15*(1-Projection!C15)*Projection!E15</f>
        <v>0.00691567680937137</v>
      </c>
      <c r="E76" s="32" t="n">
        <f aca="false">Projection!H15</f>
        <v>0.726988915516858</v>
      </c>
      <c r="F76" s="11" t="n">
        <f aca="false">F75+E76</f>
        <v>10.3623749525134</v>
      </c>
      <c r="G76" s="32" t="n">
        <f aca="false">C76*F76</f>
        <v>0.133045862984332</v>
      </c>
      <c r="H76" s="32" t="n">
        <f aca="false">D76*F76</f>
        <v>0.0716628361491074</v>
      </c>
    </row>
    <row r="77" customFormat="false" ht="15" hidden="false" customHeight="true" outlineLevel="0" collapsed="false">
      <c r="A77" s="3" t="n">
        <v>77</v>
      </c>
      <c r="B77" s="32" t="n">
        <f aca="false">Projection!F16</f>
        <v>0.753048807736933</v>
      </c>
      <c r="C77" s="32" t="n">
        <f aca="false">Projection!F16*Projection!C16</f>
        <v>0.0139919974227153</v>
      </c>
      <c r="D77" s="32" t="n">
        <f aca="false">Projection!F16*(1-Projection!C16)*Projection!E16</f>
        <v>0.00672541697385938</v>
      </c>
      <c r="E77" s="32" t="n">
        <f aca="false">Projection!H16</f>
        <v>0.702033923629033</v>
      </c>
      <c r="F77" s="11" t="n">
        <f aca="false">F76+E77</f>
        <v>11.0644088761424</v>
      </c>
      <c r="G77" s="32" t="n">
        <f aca="false">C77*F77</f>
        <v>0.154813180478853</v>
      </c>
      <c r="H77" s="32" t="n">
        <f aca="false">D77*F77</f>
        <v>0.0744127632613285</v>
      </c>
    </row>
    <row r="78" customFormat="false" ht="15" hidden="false" customHeight="true" outlineLevel="0" collapsed="false">
      <c r="A78" s="3" t="n">
        <v>78</v>
      </c>
      <c r="B78" s="32" t="n">
        <f aca="false">Projection!F17</f>
        <v>0.732331393340358</v>
      </c>
      <c r="C78" s="32" t="n">
        <f aca="false">Projection!F17*Projection!C17</f>
        <v>0.0152371408240518</v>
      </c>
      <c r="D78" s="32" t="n">
        <f aca="false">Projection!F17*(1-Projection!C17)*Projection!E17</f>
        <v>0.00652555769789839</v>
      </c>
      <c r="E78" s="32" t="n">
        <f aca="false">Projection!H17</f>
        <v>0.678121495217362</v>
      </c>
      <c r="F78" s="11" t="n">
        <f aca="false">F77+E78</f>
        <v>11.7425303713598</v>
      </c>
      <c r="G78" s="32" t="n">
        <f aca="false">C78*F78</f>
        <v>0.178922588899114</v>
      </c>
      <c r="H78" s="32" t="n">
        <f aca="false">D78*F78</f>
        <v>0.0766265594576323</v>
      </c>
    </row>
    <row r="79" customFormat="false" ht="15" hidden="false" customHeight="true" outlineLevel="0" collapsed="false">
      <c r="A79" s="3" t="n">
        <v>79</v>
      </c>
      <c r="B79" s="32" t="n">
        <f aca="false">Projection!F18</f>
        <v>0.710568694818408</v>
      </c>
      <c r="C79" s="32" t="n">
        <f aca="false">Projection!F18*Projection!C18</f>
        <v>0.016572346402126</v>
      </c>
      <c r="D79" s="32" t="n">
        <f aca="false">Projection!F18*(1-Projection!C18)*Projection!E18</f>
        <v>0.00631536677058817</v>
      </c>
      <c r="E79" s="32" t="n">
        <f aca="false">Projection!H18</f>
        <v>0.655482469114705</v>
      </c>
      <c r="F79" s="11" t="n">
        <f aca="false">F78+E79</f>
        <v>12.3980128404745</v>
      </c>
      <c r="G79" s="32" t="n">
        <f aca="false">C79*F79</f>
        <v>0.205464163490348</v>
      </c>
      <c r="H79" s="32" t="n">
        <f aca="false">D79*F79</f>
        <v>0.0782979983140578</v>
      </c>
    </row>
    <row r="81" customFormat="false" ht="15" hidden="false" customHeight="true" outlineLevel="0" collapsed="false">
      <c r="A81" s="1" t="s">
        <v>1297</v>
      </c>
      <c r="B81" s="59" t="n">
        <f aca="false">Projection!F19*F79</f>
        <v>8.5258776405934</v>
      </c>
    </row>
    <row r="82" customFormat="false" ht="15" hidden="false" customHeight="true" outlineLevel="0" collapsed="false">
      <c r="A82" s="1" t="s">
        <v>1298</v>
      </c>
      <c r="B82" s="59" t="n">
        <f aca="false">SUM(H65:H79)</f>
        <v>0.863409878371907</v>
      </c>
    </row>
    <row r="83" customFormat="false" ht="15" hidden="false" customHeight="true" outlineLevel="0" collapsed="false">
      <c r="A83" s="1" t="s">
        <v>1299</v>
      </c>
      <c r="B83" s="59" t="n">
        <f aca="false">SUM(G65:G79)</f>
        <v>1.20195342995034</v>
      </c>
    </row>
    <row r="84" customFormat="false" ht="15" hidden="false" customHeight="true" outlineLevel="0" collapsed="false">
      <c r="A84" s="1" t="s">
        <v>1300</v>
      </c>
      <c r="B84" s="59" t="n">
        <f aca="false">B81+B82+B83</f>
        <v>10.5912409489156</v>
      </c>
    </row>
    <row r="85" customFormat="false" ht="15" hidden="false" customHeight="true" outlineLevel="0" collapsed="false">
      <c r="A85" s="1" t="s">
        <v>1301</v>
      </c>
      <c r="B85" s="59" t="n">
        <f aca="false">Pricing!B5</f>
        <v>10.5912409489156</v>
      </c>
    </row>
    <row r="86" customFormat="false" ht="15" hidden="false" customHeight="true" outlineLevel="0" collapsed="false">
      <c r="A86" s="1" t="s">
        <v>1302</v>
      </c>
      <c r="B86" s="82" t="n">
        <f aca="false">B84-B85</f>
        <v>0</v>
      </c>
    </row>
    <row r="87" customFormat="false" ht="15" hidden="false" customHeight="true" outlineLevel="0" collapsed="false">
      <c r="A87" s="3" t="s">
        <v>458</v>
      </c>
      <c r="B87" s="28" t="str">
        <f aca="false">IF(ABS(B86)&lt;0.000001,"The three groups account for every premium received. Nothing is missing from the income side.","a leg is missing")</f>
        <v>The three groups account for every premium received. Nothing is missing from the income side.</v>
      </c>
    </row>
    <row r="89" customFormat="false" ht="15" hidden="false" customHeight="true" outlineLevel="0" collapsed="false">
      <c r="A89" s="6" t="s">
        <v>1303</v>
      </c>
    </row>
    <row r="90" customFormat="false" ht="15" hidden="false" customHeight="true" outlineLevel="0" collapsed="false">
      <c r="A90" s="1" t="s">
        <v>1304</v>
      </c>
      <c r="B90" s="59" t="n">
        <f aca="false">B82+B83</f>
        <v>2.06536330832224</v>
      </c>
    </row>
    <row r="91" customFormat="false" ht="15" hidden="false" customHeight="true" outlineLevel="0" collapsed="false">
      <c r="A91" s="1" t="s">
        <v>1305</v>
      </c>
      <c r="B91" s="32" t="n">
        <f aca="false">Projection!F19</f>
        <v>0.687680981645694</v>
      </c>
    </row>
    <row r="92" customFormat="false" ht="15" hidden="false" customHeight="true" outlineLevel="0" collapsed="false">
      <c r="A92" s="1" t="s">
        <v>1306</v>
      </c>
      <c r="B92" s="59" t="n">
        <f aca="false">B90/B91</f>
        <v>3.00337418577377</v>
      </c>
    </row>
    <row r="93" customFormat="false" ht="15" hidden="false" customHeight="true" outlineLevel="0" collapsed="false">
      <c r="A93" s="1" t="s">
        <v>1307</v>
      </c>
      <c r="B93" s="11" t="n">
        <f aca="false">B40</f>
        <v>3.00337418577377</v>
      </c>
    </row>
    <row r="94" customFormat="false" ht="15" hidden="false" customHeight="true" outlineLevel="0" collapsed="false">
      <c r="A94" s="1" t="s">
        <v>1302</v>
      </c>
      <c r="B94" s="82" t="n">
        <f aca="false">B92-B93</f>
        <v>0</v>
      </c>
    </row>
    <row r="95" customFormat="false" ht="15" hidden="false" customHeight="true" outlineLevel="0" collapsed="false">
      <c r="A95" s="3" t="s">
        <v>458</v>
      </c>
      <c r="B95" s="28" t="str">
        <f aca="false">IF(ABS(B94)&lt;0.000001,"The subsidy computed two independent ways agrees exactly. Forfeiture by lapse AND by death both fund it, and both are already inside total receipts.","disagreement")</f>
        <v>The subsidy computed two independent ways agrees exactly. Forfeiture by lapse AND by death both fund it, and both are already inside total receipts.</v>
      </c>
    </row>
    <row r="97" customFormat="false" ht="15" hidden="false" customHeight="true" outlineLevel="0" collapsed="false">
      <c r="A97" s="6" t="s">
        <v>1308</v>
      </c>
    </row>
    <row r="98" customFormat="false" ht="15" hidden="false" customHeight="true" outlineLevel="0" collapsed="false">
      <c r="A98" s="7" t="s">
        <v>1309</v>
      </c>
    </row>
    <row r="99" customFormat="false" ht="15" hidden="false" customHeight="true" outlineLevel="0" collapsed="false">
      <c r="A99" s="1" t="s">
        <v>1310</v>
      </c>
      <c r="B99" s="11" t="n">
        <f aca="false">Pricing!B6</f>
        <v>0.765388886787288</v>
      </c>
    </row>
    <row r="100" customFormat="false" ht="15" hidden="false" customHeight="true" outlineLevel="0" collapsed="false">
      <c r="A100" s="1" t="s">
        <v>1311</v>
      </c>
      <c r="B100" s="11" t="n">
        <f aca="false">B82</f>
        <v>0.863409878371907</v>
      </c>
    </row>
    <row r="101" customFormat="false" ht="15" hidden="false" customHeight="true" outlineLevel="0" collapsed="false">
      <c r="A101" s="9" t="s">
        <v>1312</v>
      </c>
    </row>
    <row r="102" customFormat="false" ht="15" hidden="false" customHeight="true" outlineLevel="0" collapsed="false">
      <c r="A102" s="9" t="s">
        <v>1313</v>
      </c>
    </row>
    <row r="103" customFormat="false" ht="15" hidden="false" customHeight="true" outlineLevel="0" collapsed="false">
      <c r="A103" s="7" t="s">
        <v>1314</v>
      </c>
    </row>
    <row r="105" customFormat="false" ht="15" hidden="false" customHeight="true" outlineLevel="0" collapsed="false">
      <c r="A105" s="6" t="s">
        <v>1315</v>
      </c>
    </row>
    <row r="106" customFormat="false" ht="15" hidden="false" customHeight="true" outlineLevel="0" collapsed="false">
      <c r="A106" s="7" t="s">
        <v>1316</v>
      </c>
    </row>
    <row r="107" customFormat="false" ht="15" hidden="false" customHeight="true" outlineLevel="0" collapsed="false">
      <c r="A107" s="1" t="s">
        <v>1317</v>
      </c>
      <c r="B107" s="11" t="n">
        <f aca="false">B83</f>
        <v>1.20195342995034</v>
      </c>
    </row>
    <row r="108" customFormat="false" ht="15" hidden="false" customHeight="true" outlineLevel="0" collapsed="false">
      <c r="A108" s="1" t="s">
        <v>1318</v>
      </c>
      <c r="B108" s="11" t="n">
        <f aca="false">B82</f>
        <v>0.863409878371907</v>
      </c>
    </row>
    <row r="109" customFormat="false" ht="15" hidden="false" customHeight="true" outlineLevel="0" collapsed="false">
      <c r="A109" s="1" t="s">
        <v>1319</v>
      </c>
      <c r="B109" s="53" t="n">
        <f aca="false">B83/(B82+B83)</f>
        <v>0.581957384982654</v>
      </c>
    </row>
    <row r="110" customFormat="false" ht="15" hidden="false" customHeight="true" outlineLevel="0" collapsed="false">
      <c r="A110" s="3" t="s">
        <v>1320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19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4"/>
    <col collapsed="false" customWidth="true" hidden="false" outlineLevel="0" max="10" min="2" style="1" width="15"/>
  </cols>
  <sheetData>
    <row r="1" customFormat="false" ht="15.75" hidden="false" customHeight="true" outlineLevel="0" collapsed="false">
      <c r="A1" s="15" t="s">
        <v>1321</v>
      </c>
    </row>
    <row r="2" customFormat="false" ht="15" hidden="false" customHeight="true" outlineLevel="0" collapsed="false">
      <c r="A2" s="7" t="s">
        <v>1322</v>
      </c>
    </row>
    <row r="4" customFormat="false" ht="15" hidden="false" customHeight="true" outlineLevel="0" collapsed="false">
      <c r="A4" s="6" t="s">
        <v>1323</v>
      </c>
    </row>
    <row r="5" customFormat="false" ht="15" hidden="false" customHeight="true" outlineLevel="0" collapsed="false">
      <c r="A5" s="7" t="s">
        <v>1324</v>
      </c>
    </row>
    <row r="7" customFormat="false" ht="15" hidden="false" customHeight="true" outlineLevel="0" collapsed="false">
      <c r="A7" s="8" t="s">
        <v>1325</v>
      </c>
      <c r="B7" s="83" t="n">
        <v>0.8</v>
      </c>
      <c r="C7" s="83" t="n">
        <v>0.75</v>
      </c>
      <c r="D7" s="83" t="n">
        <v>0.7</v>
      </c>
      <c r="E7" s="83" t="n">
        <v>0.65</v>
      </c>
      <c r="F7" s="83" t="n">
        <v>0.6</v>
      </c>
    </row>
    <row r="9" customFormat="false" ht="15" hidden="false" customHeight="true" outlineLevel="0" collapsed="false">
      <c r="A9" s="8" t="s">
        <v>463</v>
      </c>
      <c r="B9" s="8" t="s">
        <v>1326</v>
      </c>
      <c r="C9" s="8" t="s">
        <v>1327</v>
      </c>
      <c r="D9" s="8" t="s">
        <v>1328</v>
      </c>
      <c r="E9" s="8" t="s">
        <v>1329</v>
      </c>
      <c r="F9" s="8" t="s">
        <v>1330</v>
      </c>
      <c r="G9" s="8" t="s">
        <v>1331</v>
      </c>
      <c r="H9" s="8" t="s">
        <v>1332</v>
      </c>
      <c r="I9" s="8" t="s">
        <v>1333</v>
      </c>
      <c r="J9" s="8" t="s">
        <v>1334</v>
      </c>
      <c r="K9" s="8" t="s">
        <v>1335</v>
      </c>
    </row>
    <row r="10" customFormat="false" ht="15" hidden="false" customHeight="true" outlineLevel="0" collapsed="false">
      <c r="A10" s="54" t="n">
        <f aca="false">Assumptions!$B$4</f>
        <v>65</v>
      </c>
      <c r="B10" s="32" t="n">
        <v>1</v>
      </c>
      <c r="C10" s="32" t="n">
        <v>1</v>
      </c>
      <c r="D10" s="32" t="n">
        <v>1</v>
      </c>
      <c r="E10" s="32" t="n">
        <v>1</v>
      </c>
      <c r="F10" s="32" t="n">
        <v>1</v>
      </c>
      <c r="G10" s="48" t="n">
        <f aca="false">B10*(IF(A10&lt;Assumptions!$B$5,Assumptions!$B$12*(1+Assumptions!$B$11)^(A10-Assumptions!$B$4+1)+Pricing!$B$14*IF(A10=Assumptions!$B$4,Assumptions!$B$14,Assumptions!$B$15)-Pricing!$B$14,Assumptions!$B$9*(1+Assumptions!$B$10)^(A10-Assumptions!$B$4)+Assumptions!$B$12*(1+Assumptions!$B$11)^(A10-Assumptions!$B$4+1)))*Projection!H4</f>
        <v>82</v>
      </c>
      <c r="H10" s="48" t="n">
        <f aca="false">C10*(IF(A10&lt;Assumptions!$B$5,Assumptions!$B$12*(1+Assumptions!$B$11)^(A10-Assumptions!$B$4+1)+Pricing!$B$14*IF(A10=Assumptions!$B$4,Assumptions!$B$14,Assumptions!$B$15)-Pricing!$B$14,Assumptions!$B$9*(1+Assumptions!$B$10)^(A10-Assumptions!$B$4)+Assumptions!$B$12*(1+Assumptions!$B$11)^(A10-Assumptions!$B$4+1)))*Projection!H4</f>
        <v>82</v>
      </c>
      <c r="I10" s="48" t="n">
        <f aca="false">D10*(IF(A10&lt;Assumptions!$B$5,Assumptions!$B$12*(1+Assumptions!$B$11)^(A10-Assumptions!$B$4+1)+Pricing!$B$14*IF(A10=Assumptions!$B$4,Assumptions!$B$14,Assumptions!$B$15)-Pricing!$B$14,Assumptions!$B$9*(1+Assumptions!$B$10)^(A10-Assumptions!$B$4)+Assumptions!$B$12*(1+Assumptions!$B$11)^(A10-Assumptions!$B$4+1)))*Projection!H4</f>
        <v>82</v>
      </c>
      <c r="J10" s="48" t="n">
        <f aca="false">E10*(IF(A10&lt;Assumptions!$B$5,Assumptions!$B$12*(1+Assumptions!$B$11)^(A10-Assumptions!$B$4+1)+Pricing!$B$14*IF(A10=Assumptions!$B$4,Assumptions!$B$14,Assumptions!$B$15)-Pricing!$B$14,Assumptions!$B$9*(1+Assumptions!$B$10)^(A10-Assumptions!$B$4)+Assumptions!$B$12*(1+Assumptions!$B$11)^(A10-Assumptions!$B$4+1)))*Projection!H4</f>
        <v>82</v>
      </c>
      <c r="K10" s="48" t="n">
        <f aca="false">F10*(IF(A10&lt;Assumptions!$B$5,Assumptions!$B$12*(1+Assumptions!$B$11)^(A10-Assumptions!$B$4+1)+Pricing!$B$14*IF(A10=Assumptions!$B$4,Assumptions!$B$14,Assumptions!$B$15)-Pricing!$B$14,Assumptions!$B$9*(1+Assumptions!$B$10)^(A10-Assumptions!$B$4)+Assumptions!$B$12*(1+Assumptions!$B$11)^(A10-Assumptions!$B$4+1)))*Projection!H4</f>
        <v>82</v>
      </c>
    </row>
    <row r="11" customFormat="false" ht="15" hidden="false" customHeight="true" outlineLevel="0" collapsed="false">
      <c r="A11" s="54" t="n">
        <f aca="false">A10+1</f>
        <v>66</v>
      </c>
      <c r="B11" s="32" t="n">
        <f aca="false">B10*(1-MIN(1,Projection!C4*0.8))*(1-IF(Projection!B4&lt;Assumptions!$B$5,Projection!E4,0))</f>
        <v>0.955423827419843</v>
      </c>
      <c r="C11" s="32" t="n">
        <f aca="false">C10*(1-MIN(1,Projection!C4*0.75))*(1-IF(Projection!B4&lt;Assumptions!$B$5,Projection!E4,0))</f>
        <v>0.955672338206102</v>
      </c>
      <c r="D11" s="32" t="n">
        <f aca="false">D10*(1-MIN(1,Projection!C4*0.7))*(1-IF(Projection!B4&lt;Assumptions!$B$5,Projection!E4,0))</f>
        <v>0.955920848992362</v>
      </c>
      <c r="E11" s="32" t="n">
        <f aca="false">E10*(1-MIN(1,Projection!C4*0.65))*(1-IF(Projection!B4&lt;Assumptions!$B$5,Projection!E4,0))</f>
        <v>0.956169359778622</v>
      </c>
      <c r="F11" s="32" t="n">
        <f aca="false">F10*(1-MIN(1,Projection!C4*0.6))*(1-IF(Projection!B4&lt;Assumptions!$B$5,Projection!E4,0))</f>
        <v>0.956417870564882</v>
      </c>
      <c r="G11" s="48" t="n">
        <f aca="false">B11*(IF(A11&lt;Assumptions!$B$5,Assumptions!$B$12*(1+Assumptions!$B$11)^(A11-Assumptions!$B$4+1)+Pricing!$B$14*IF(A11=Assumptions!$B$4,Assumptions!$B$14,Assumptions!$B$15)-Pricing!$B$14,Assumptions!$B$9*(1+Assumptions!$B$10)^(A11-Assumptions!$B$4)+Assumptions!$B$12*(1+Assumptions!$B$11)^(A11-Assumptions!$B$4+1)))*Projection!H5</f>
        <v>-10817.581714704</v>
      </c>
      <c r="H11" s="48" t="n">
        <f aca="false">C11*(IF(A11&lt;Assumptions!$B$5,Assumptions!$B$12*(1+Assumptions!$B$11)^(A11-Assumptions!$B$4+1)+Pricing!$B$14*IF(A11=Assumptions!$B$4,Assumptions!$B$14,Assumptions!$B$15)-Pricing!$B$14,Assumptions!$B$9*(1+Assumptions!$B$10)^(A11-Assumptions!$B$4)+Assumptions!$B$12*(1+Assumptions!$B$11)^(A11-Assumptions!$B$4+1)))*Projection!H5</f>
        <v>-10820.3954248713</v>
      </c>
      <c r="I11" s="48" t="n">
        <f aca="false">D11*(IF(A11&lt;Assumptions!$B$5,Assumptions!$B$12*(1+Assumptions!$B$11)^(A11-Assumptions!$B$4+1)+Pricing!$B$14*IF(A11=Assumptions!$B$4,Assumptions!$B$14,Assumptions!$B$15)-Pricing!$B$14,Assumptions!$B$9*(1+Assumptions!$B$10)^(A11-Assumptions!$B$4)+Assumptions!$B$12*(1+Assumptions!$B$11)^(A11-Assumptions!$B$4+1)))*Projection!H5</f>
        <v>-10823.2091350387</v>
      </c>
      <c r="J11" s="48" t="n">
        <f aca="false">E11*(IF(A11&lt;Assumptions!$B$5,Assumptions!$B$12*(1+Assumptions!$B$11)^(A11-Assumptions!$B$4+1)+Pricing!$B$14*IF(A11=Assumptions!$B$4,Assumptions!$B$14,Assumptions!$B$15)-Pricing!$B$14,Assumptions!$B$9*(1+Assumptions!$B$10)^(A11-Assumptions!$B$4)+Assumptions!$B$12*(1+Assumptions!$B$11)^(A11-Assumptions!$B$4+1)))*Projection!H5</f>
        <v>-10826.0228452061</v>
      </c>
      <c r="K11" s="48" t="n">
        <f aca="false">F11*(IF(A11&lt;Assumptions!$B$5,Assumptions!$B$12*(1+Assumptions!$B$11)^(A11-Assumptions!$B$4+1)+Pricing!$B$14*IF(A11=Assumptions!$B$4,Assumptions!$B$14,Assumptions!$B$15)-Pricing!$B$14,Assumptions!$B$9*(1+Assumptions!$B$10)^(A11-Assumptions!$B$4)+Assumptions!$B$12*(1+Assumptions!$B$11)^(A11-Assumptions!$B$4+1)))*Projection!H5</f>
        <v>-10828.8365553734</v>
      </c>
    </row>
    <row r="12" customFormat="false" ht="15" hidden="false" customHeight="true" outlineLevel="0" collapsed="false">
      <c r="A12" s="54" t="n">
        <f aca="false">A11+1</f>
        <v>67</v>
      </c>
      <c r="B12" s="32" t="n">
        <f aca="false">B11*(1-MIN(1,Projection!C5*0.8))*(1-IF(Projection!B5&lt;Assumptions!$B$5,Projection!E5,0))</f>
        <v>0.930473352648266</v>
      </c>
      <c r="C12" s="32" t="n">
        <f aca="false">C11*(1-MIN(1,Projection!C5*0.75))*(1-IF(Projection!B5&lt;Assumptions!$B$5,Projection!E5,0))</f>
        <v>0.930979053358119</v>
      </c>
      <c r="D12" s="32" t="n">
        <f aca="false">D11*(1-MIN(1,Projection!C5*0.7))*(1-IF(Projection!B5&lt;Assumptions!$B$5,Projection!E5,0))</f>
        <v>0.931484891201257</v>
      </c>
      <c r="E12" s="32" t="n">
        <f aca="false">E11*(1-MIN(1,Projection!C5*0.65))*(1-IF(Projection!B5&lt;Assumptions!$B$5,Projection!E5,0))</f>
        <v>0.931990866177678</v>
      </c>
      <c r="F12" s="32" t="n">
        <f aca="false">F11*(1-MIN(1,Projection!C5*0.6))*(1-IF(Projection!B5&lt;Assumptions!$B$5,Projection!E5,0))</f>
        <v>0.932496978287383</v>
      </c>
      <c r="G12" s="48" t="n">
        <f aca="false">B12*(IF(A12&lt;Assumptions!$B$5,Assumptions!$B$12*(1+Assumptions!$B$11)^(A12-Assumptions!$B$4+1)+Pricing!$B$14*IF(A12=Assumptions!$B$4,Assumptions!$B$14,Assumptions!$B$15)-Pricing!$B$14,Assumptions!$B$9*(1+Assumptions!$B$10)^(A12-Assumptions!$B$4)+Assumptions!$B$12*(1+Assumptions!$B$11)^(A12-Assumptions!$B$4+1)))*Projection!H6</f>
        <v>-10260.6557052323</v>
      </c>
      <c r="H12" s="48" t="n">
        <f aca="false">C12*(IF(A12&lt;Assumptions!$B$5,Assumptions!$B$12*(1+Assumptions!$B$11)^(A12-Assumptions!$B$4+1)+Pricing!$B$14*IF(A12=Assumptions!$B$4,Assumptions!$B$14,Assumptions!$B$15)-Pricing!$B$14,Assumptions!$B$9*(1+Assumptions!$B$10)^(A12-Assumptions!$B$4)+Assumptions!$B$12*(1+Assumptions!$B$11)^(A12-Assumptions!$B$4+1)))*Projection!H6</f>
        <v>-10266.2322441615</v>
      </c>
      <c r="I12" s="48" t="n">
        <f aca="false">D12*(IF(A12&lt;Assumptions!$B$5,Assumptions!$B$12*(1+Assumptions!$B$11)^(A12-Assumptions!$B$4+1)+Pricing!$B$14*IF(A12=Assumptions!$B$4,Assumptions!$B$14,Assumptions!$B$15)-Pricing!$B$14,Assumptions!$B$9*(1+Assumptions!$B$10)^(A12-Assumptions!$B$4)+Assumptions!$B$12*(1+Assumptions!$B$11)^(A12-Assumptions!$B$4+1)))*Projection!H6</f>
        <v>-10271.8102953076</v>
      </c>
      <c r="J12" s="48" t="n">
        <f aca="false">E12*(IF(A12&lt;Assumptions!$B$5,Assumptions!$B$12*(1+Assumptions!$B$11)^(A12-Assumptions!$B$4+1)+Pricing!$B$14*IF(A12=Assumptions!$B$4,Assumptions!$B$14,Assumptions!$B$15)-Pricing!$B$14,Assumptions!$B$9*(1+Assumptions!$B$10)^(A12-Assumptions!$B$4)+Assumptions!$B$12*(1+Assumptions!$B$11)^(A12-Assumptions!$B$4+1)))*Projection!H6</f>
        <v>-10277.3898586704</v>
      </c>
      <c r="K12" s="48" t="n">
        <f aca="false">F12*(IF(A12&lt;Assumptions!$B$5,Assumptions!$B$12*(1+Assumptions!$B$11)^(A12-Assumptions!$B$4+1)+Pricing!$B$14*IF(A12=Assumptions!$B$4,Assumptions!$B$14,Assumptions!$B$15)-Pricing!$B$14,Assumptions!$B$9*(1+Assumptions!$B$10)^(A12-Assumptions!$B$4)+Assumptions!$B$12*(1+Assumptions!$B$11)^(A12-Assumptions!$B$4+1)))*Projection!H6</f>
        <v>-10282.97093425</v>
      </c>
    </row>
    <row r="13" customFormat="false" ht="15" hidden="false" customHeight="true" outlineLevel="0" collapsed="false">
      <c r="A13" s="54" t="n">
        <f aca="false">A12+1</f>
        <v>68</v>
      </c>
      <c r="B13" s="32" t="n">
        <f aca="false">B12*(1-MIN(1,Projection!C6*0.8))*(1-IF(Projection!B6&lt;Assumptions!$B$5,Projection!E6,0))</f>
        <v>0.913572212390625</v>
      </c>
      <c r="C13" s="32" t="n">
        <f aca="false">C12*(1-MIN(1,Projection!C6*0.75))*(1-IF(Projection!B6&lt;Assumptions!$B$5,Projection!E6,0))</f>
        <v>0.914351746566162</v>
      </c>
      <c r="D13" s="32" t="n">
        <f aca="false">D12*(1-MIN(1,Projection!C6*0.7))*(1-IF(Projection!B6&lt;Assumptions!$B$5,Projection!E6,0))</f>
        <v>0.915131722935013</v>
      </c>
      <c r="E13" s="32" t="n">
        <f aca="false">E12*(1-MIN(1,Projection!C6*0.65))*(1-IF(Projection!B6&lt;Assumptions!$B$5,Projection!E6,0))</f>
        <v>0.915912141622245</v>
      </c>
      <c r="F13" s="32" t="n">
        <f aca="false">F12*(1-MIN(1,Projection!C6*0.6))*(1-IF(Projection!B6&lt;Assumptions!$B$5,Projection!E6,0))</f>
        <v>0.916693002752923</v>
      </c>
      <c r="G13" s="48" t="n">
        <f aca="false">B13*(IF(A13&lt;Assumptions!$B$5,Assumptions!$B$12*(1+Assumptions!$B$11)^(A13-Assumptions!$B$4+1)+Pricing!$B$14*IF(A13=Assumptions!$B$4,Assumptions!$B$14,Assumptions!$B$15)-Pricing!$B$14,Assumptions!$B$9*(1+Assumptions!$B$10)^(A13-Assumptions!$B$4)+Assumptions!$B$12*(1+Assumptions!$B$11)^(A13-Assumptions!$B$4+1)))*Projection!H7</f>
        <v>-9815.25304105151</v>
      </c>
      <c r="H13" s="48" t="n">
        <f aca="false">C13*(IF(A13&lt;Assumptions!$B$5,Assumptions!$B$12*(1+Assumptions!$B$11)^(A13-Assumptions!$B$4+1)+Pricing!$B$14*IF(A13=Assumptions!$B$4,Assumptions!$B$14,Assumptions!$B$15)-Pricing!$B$14,Assumptions!$B$9*(1+Assumptions!$B$10)^(A13-Assumptions!$B$4)+Assumptions!$B$12*(1+Assumptions!$B$11)^(A13-Assumptions!$B$4+1)))*Projection!H7</f>
        <v>-9823.62821389857</v>
      </c>
      <c r="I13" s="48" t="n">
        <f aca="false">D13*(IF(A13&lt;Assumptions!$B$5,Assumptions!$B$12*(1+Assumptions!$B$11)^(A13-Assumptions!$B$4+1)+Pricing!$B$14*IF(A13=Assumptions!$B$4,Assumptions!$B$14,Assumptions!$B$15)-Pricing!$B$14,Assumptions!$B$9*(1+Assumptions!$B$10)^(A13-Assumptions!$B$4)+Assumptions!$B$12*(1+Assumptions!$B$11)^(A13-Assumptions!$B$4+1)))*Projection!H7</f>
        <v>-9832.00813758986</v>
      </c>
      <c r="J13" s="48" t="n">
        <f aca="false">E13*(IF(A13&lt;Assumptions!$B$5,Assumptions!$B$12*(1+Assumptions!$B$11)^(A13-Assumptions!$B$4+1)+Pricing!$B$14*IF(A13=Assumptions!$B$4,Assumptions!$B$14,Assumptions!$B$15)-Pricing!$B$14,Assumptions!$B$9*(1+Assumptions!$B$10)^(A13-Assumptions!$B$4)+Assumptions!$B$12*(1+Assumptions!$B$11)^(A13-Assumptions!$B$4+1)))*Projection!H7</f>
        <v>-9840.39281346907</v>
      </c>
      <c r="K13" s="48" t="n">
        <f aca="false">F13*(IF(A13&lt;Assumptions!$B$5,Assumptions!$B$12*(1+Assumptions!$B$11)^(A13-Assumptions!$B$4+1)+Pricing!$B$14*IF(A13=Assumptions!$B$4,Assumptions!$B$14,Assumptions!$B$15)-Pricing!$B$14,Assumptions!$B$9*(1+Assumptions!$B$10)^(A13-Assumptions!$B$4)+Assumptions!$B$12*(1+Assumptions!$B$11)^(A13-Assumptions!$B$4+1)))*Projection!H7</f>
        <v>-9848.78224287988</v>
      </c>
    </row>
    <row r="14" customFormat="false" ht="15" hidden="false" customHeight="true" outlineLevel="0" collapsed="false">
      <c r="A14" s="54" t="n">
        <f aca="false">A13+1</f>
        <v>69</v>
      </c>
      <c r="B14" s="32" t="n">
        <f aca="false">B13*(1-MIN(1,Projection!C7*0.8))*(1-IF(Projection!B7&lt;Assumptions!$B$5,Projection!E7,0))</f>
        <v>0.896550995764067</v>
      </c>
      <c r="C14" s="32" t="n">
        <f aca="false">C13*(1-MIN(1,Projection!C7*0.75))*(1-IF(Projection!B7&lt;Assumptions!$B$5,Projection!E7,0))</f>
        <v>0.897620684944864</v>
      </c>
      <c r="D14" s="32" t="n">
        <f aca="false">D13*(1-MIN(1,Projection!C7*0.7))*(1-IF(Projection!B7&lt;Assumptions!$B$5,Projection!E7,0))</f>
        <v>0.898691327885323</v>
      </c>
      <c r="E14" s="32" t="n">
        <f aca="false">E13*(1-MIN(1,Projection!C7*0.65))*(1-IF(Projection!B7&lt;Assumptions!$B$5,Projection!E7,0))</f>
        <v>0.899762925150345</v>
      </c>
      <c r="F14" s="32" t="n">
        <f aca="false">F13*(1-MIN(1,Projection!C7*0.6))*(1-IF(Projection!B7&lt;Assumptions!$B$5,Projection!E7,0))</f>
        <v>0.900835477304997</v>
      </c>
      <c r="G14" s="48" t="n">
        <f aca="false">B14*(IF(A14&lt;Assumptions!$B$5,Assumptions!$B$12*(1+Assumptions!$B$11)^(A14-Assumptions!$B$4+1)+Pricing!$B$14*IF(A14=Assumptions!$B$4,Assumptions!$B$14,Assumptions!$B$15)-Pricing!$B$14,Assumptions!$B$9*(1+Assumptions!$B$10)^(A14-Assumptions!$B$4)+Assumptions!$B$12*(1+Assumptions!$B$11)^(A14-Assumptions!$B$4+1)))*Projection!H8</f>
        <v>-9379.91675670251</v>
      </c>
      <c r="H14" s="48" t="n">
        <f aca="false">C14*(IF(A14&lt;Assumptions!$B$5,Assumptions!$B$12*(1+Assumptions!$B$11)^(A14-Assumptions!$B$4+1)+Pricing!$B$14*IF(A14=Assumptions!$B$4,Assumptions!$B$14,Assumptions!$B$15)-Pricing!$B$14,Assumptions!$B$9*(1+Assumptions!$B$10)^(A14-Assumptions!$B$4)+Assumptions!$B$12*(1+Assumptions!$B$11)^(A14-Assumptions!$B$4+1)))*Projection!H8</f>
        <v>-9391.10808382035</v>
      </c>
      <c r="I14" s="48" t="n">
        <f aca="false">D14*(IF(A14&lt;Assumptions!$B$5,Assumptions!$B$12*(1+Assumptions!$B$11)^(A14-Assumptions!$B$4+1)+Pricing!$B$14*IF(A14=Assumptions!$B$4,Assumptions!$B$14,Assumptions!$B$15)-Pricing!$B$14,Assumptions!$B$9*(1+Assumptions!$B$10)^(A14-Assumptions!$B$4)+Assumptions!$B$12*(1+Assumptions!$B$11)^(A14-Assumptions!$B$4+1)))*Projection!H8</f>
        <v>-9402.30938938479</v>
      </c>
      <c r="J14" s="48" t="n">
        <f aca="false">E14*(IF(A14&lt;Assumptions!$B$5,Assumptions!$B$12*(1+Assumptions!$B$11)^(A14-Assumptions!$B$4+1)+Pricing!$B$14*IF(A14=Assumptions!$B$4,Assumptions!$B$14,Assumptions!$B$15)-Pricing!$B$14,Assumptions!$B$9*(1+Assumptions!$B$10)^(A14-Assumptions!$B$4)+Assumptions!$B$12*(1+Assumptions!$B$11)^(A14-Assumptions!$B$4+1)))*Projection!H8</f>
        <v>-9413.52067930595</v>
      </c>
      <c r="K14" s="48" t="n">
        <f aca="false">F14*(IF(A14&lt;Assumptions!$B$5,Assumptions!$B$12*(1+Assumptions!$B$11)^(A14-Assumptions!$B$4+1)+Pricing!$B$14*IF(A14=Assumptions!$B$4,Assumptions!$B$14,Assumptions!$B$15)-Pricing!$B$14,Assumptions!$B$9*(1+Assumptions!$B$10)^(A14-Assumptions!$B$4)+Assumptions!$B$12*(1+Assumptions!$B$11)^(A14-Assumptions!$B$4+1)))*Projection!H8</f>
        <v>-9424.74195949569</v>
      </c>
    </row>
    <row r="15" customFormat="false" ht="15" hidden="false" customHeight="true" outlineLevel="0" collapsed="false">
      <c r="A15" s="54" t="n">
        <f aca="false">A14+1</f>
        <v>70</v>
      </c>
      <c r="B15" s="32" t="n">
        <f aca="false">B14*(1-MIN(1,Projection!C8*0.8))*(1-IF(Projection!B8&lt;Assumptions!$B$5,Projection!E8,0))</f>
        <v>0.879370239802948</v>
      </c>
      <c r="C15" s="32" t="n">
        <f aca="false">C14*(1-MIN(1,Projection!C8*0.75))*(1-IF(Projection!B8&lt;Assumptions!$B$5,Projection!E8,0))</f>
        <v>0.880748361569624</v>
      </c>
      <c r="D15" s="32" t="n">
        <f aca="false">D14*(1-MIN(1,Projection!C8*0.7))*(1-IF(Projection!B8&lt;Assumptions!$B$5,Projection!E8,0))</f>
        <v>0.882128203488628</v>
      </c>
      <c r="E15" s="32" t="n">
        <f aca="false">E14*(1-MIN(1,Projection!C8*0.65))*(1-IF(Projection!B8&lt;Assumptions!$B$5,Projection!E8,0))</f>
        <v>0.883509767163165</v>
      </c>
      <c r="F15" s="32" t="n">
        <f aca="false">F14*(1-MIN(1,Projection!C8*0.6))*(1-IF(Projection!B8&lt;Assumptions!$B$5,Projection!E8,0))</f>
        <v>0.884893054197435</v>
      </c>
      <c r="G15" s="48" t="n">
        <f aca="false">B15*(IF(A15&lt;Assumptions!$B$5,Assumptions!$B$12*(1+Assumptions!$B$11)^(A15-Assumptions!$B$4+1)+Pricing!$B$14*IF(A15=Assumptions!$B$4,Assumptions!$B$14,Assumptions!$B$15)-Pricing!$B$14,Assumptions!$B$9*(1+Assumptions!$B$10)^(A15-Assumptions!$B$4)+Assumptions!$B$12*(1+Assumptions!$B$11)^(A15-Assumptions!$B$4+1)))*Projection!H9</f>
        <v>-8947.73901094795</v>
      </c>
      <c r="H15" s="48" t="n">
        <f aca="false">C15*(IF(A15&lt;Assumptions!$B$5,Assumptions!$B$12*(1+Assumptions!$B$11)^(A15-Assumptions!$B$4+1)+Pricing!$B$14*IF(A15=Assumptions!$B$4,Assumptions!$B$14,Assumptions!$B$15)-Pricing!$B$14,Assumptions!$B$9*(1+Assumptions!$B$10)^(A15-Assumptions!$B$4)+Assumptions!$B$12*(1+Assumptions!$B$11)^(A15-Assumptions!$B$4+1)))*Projection!H9</f>
        <v>-8961.76163001713</v>
      </c>
      <c r="I15" s="48" t="n">
        <f aca="false">D15*(IF(A15&lt;Assumptions!$B$5,Assumptions!$B$12*(1+Assumptions!$B$11)^(A15-Assumptions!$B$4+1)+Pricing!$B$14*IF(A15=Assumptions!$B$4,Assumptions!$B$14,Assumptions!$B$15)-Pricing!$B$14,Assumptions!$B$9*(1+Assumptions!$B$10)^(A15-Assumptions!$B$4)+Assumptions!$B$12*(1+Assumptions!$B$11)^(A15-Assumptions!$B$4+1)))*Projection!H9</f>
        <v>-8975.80175192343</v>
      </c>
      <c r="J15" s="48" t="n">
        <f aca="false">E15*(IF(A15&lt;Assumptions!$B$5,Assumptions!$B$12*(1+Assumptions!$B$11)^(A15-Assumptions!$B$4+1)+Pricing!$B$14*IF(A15=Assumptions!$B$4,Assumptions!$B$14,Assumptions!$B$15)-Pricing!$B$14,Assumptions!$B$9*(1+Assumptions!$B$10)^(A15-Assumptions!$B$4)+Assumptions!$B$12*(1+Assumptions!$B$11)^(A15-Assumptions!$B$4+1)))*Projection!H9</f>
        <v>-8989.85939297975</v>
      </c>
      <c r="K15" s="48" t="n">
        <f aca="false">F15*(IF(A15&lt;Assumptions!$B$5,Assumptions!$B$12*(1+Assumptions!$B$11)^(A15-Assumptions!$B$4+1)+Pricing!$B$14*IF(A15=Assumptions!$B$4,Assumptions!$B$14,Assumptions!$B$15)-Pricing!$B$14,Assumptions!$B$9*(1+Assumptions!$B$10)^(A15-Assumptions!$B$4)+Assumptions!$B$12*(1+Assumptions!$B$11)^(A15-Assumptions!$B$4+1)))*Projection!H9</f>
        <v>-9003.93456950909</v>
      </c>
    </row>
    <row r="16" customFormat="false" ht="15" hidden="false" customHeight="true" outlineLevel="0" collapsed="false">
      <c r="A16" s="54" t="n">
        <f aca="false">A15+1</f>
        <v>71</v>
      </c>
      <c r="B16" s="32" t="n">
        <f aca="false">B15*(1-MIN(1,Projection!C9*0.8))*(1-IF(Projection!B9&lt;Assumptions!$B$5,Projection!E9,0))</f>
        <v>0.86544696635803</v>
      </c>
      <c r="C16" s="32" t="n">
        <f aca="false">C15*(1-MIN(1,Projection!C9*0.75))*(1-IF(Projection!B9&lt;Assumptions!$B$5,Projection!E9,0))</f>
        <v>0.867173910719695</v>
      </c>
      <c r="D16" s="32" t="n">
        <f aca="false">D15*(1-MIN(1,Projection!C9*0.7))*(1-IF(Projection!B9&lt;Assumptions!$B$5,Projection!E9,0))</f>
        <v>0.868903709347669</v>
      </c>
      <c r="E16" s="32" t="n">
        <f aca="false">E15*(1-MIN(1,Projection!C9*0.65))*(1-IF(Projection!B9&lt;Assumptions!$B$5,Projection!E9,0))</f>
        <v>0.870636365993459</v>
      </c>
      <c r="F16" s="32" t="n">
        <f aca="false">F15*(1-MIN(1,Projection!C9*0.6))*(1-IF(Projection!B9&lt;Assumptions!$B$5,Projection!E9,0))</f>
        <v>0.872371884412248</v>
      </c>
      <c r="G16" s="48" t="n">
        <f aca="false">B16*(IF(A16&lt;Assumptions!$B$5,Assumptions!$B$12*(1+Assumptions!$B$11)^(A16-Assumptions!$B$4+1)+Pricing!$B$14*IF(A16=Assumptions!$B$4,Assumptions!$B$14,Assumptions!$B$15)-Pricing!$B$14,Assumptions!$B$9*(1+Assumptions!$B$10)^(A16-Assumptions!$B$4)+Assumptions!$B$12*(1+Assumptions!$B$11)^(A16-Assumptions!$B$4+1)))*Projection!H10</f>
        <v>-8556.91036500118</v>
      </c>
      <c r="H16" s="48" t="n">
        <f aca="false">C16*(IF(A16&lt;Assumptions!$B$5,Assumptions!$B$12*(1+Assumptions!$B$11)^(A16-Assumptions!$B$4+1)+Pricing!$B$14*IF(A16=Assumptions!$B$4,Assumptions!$B$14,Assumptions!$B$15)-Pricing!$B$14,Assumptions!$B$9*(1+Assumptions!$B$10)^(A16-Assumptions!$B$4)+Assumptions!$B$12*(1+Assumptions!$B$11)^(A16-Assumptions!$B$4+1)))*Projection!H10</f>
        <v>-8573.98513524424</v>
      </c>
      <c r="I16" s="48" t="n">
        <f aca="false">D16*(IF(A16&lt;Assumptions!$B$5,Assumptions!$B$12*(1+Assumptions!$B$11)^(A16-Assumptions!$B$4+1)+Pricing!$B$14*IF(A16=Assumptions!$B$4,Assumptions!$B$14,Assumptions!$B$15)-Pricing!$B$14,Assumptions!$B$9*(1+Assumptions!$B$10)^(A16-Assumptions!$B$4)+Assumptions!$B$12*(1+Assumptions!$B$11)^(A16-Assumptions!$B$4+1)))*Projection!H10</f>
        <v>-8591.08812639732</v>
      </c>
      <c r="J16" s="48" t="n">
        <f aca="false">E16*(IF(A16&lt;Assumptions!$B$5,Assumptions!$B$12*(1+Assumptions!$B$11)^(A16-Assumptions!$B$4+1)+Pricing!$B$14*IF(A16=Assumptions!$B$4,Assumptions!$B$14,Assumptions!$B$15)-Pricing!$B$14,Assumptions!$B$9*(1+Assumptions!$B$10)^(A16-Assumptions!$B$4)+Assumptions!$B$12*(1+Assumptions!$B$11)^(A16-Assumptions!$B$4+1)))*Projection!H10</f>
        <v>-8608.21937555258</v>
      </c>
      <c r="K16" s="48" t="n">
        <f aca="false">F16*(IF(A16&lt;Assumptions!$B$5,Assumptions!$B$12*(1+Assumptions!$B$11)^(A16-Assumptions!$B$4+1)+Pricing!$B$14*IF(A16=Assumptions!$B$4,Assumptions!$B$14,Assumptions!$B$15)-Pricing!$B$14,Assumptions!$B$9*(1+Assumptions!$B$10)^(A16-Assumptions!$B$4)+Assumptions!$B$12*(1+Assumptions!$B$11)^(A16-Assumptions!$B$4+1)))*Projection!H10</f>
        <v>-8625.37891983856</v>
      </c>
    </row>
    <row r="17" customFormat="false" ht="15" hidden="false" customHeight="true" outlineLevel="0" collapsed="false">
      <c r="A17" s="54" t="n">
        <f aca="false">A16+1</f>
        <v>72</v>
      </c>
      <c r="B17" s="32" t="n">
        <f aca="false">B16*(1-MIN(1,Projection!C10*0.8))*(1-IF(Projection!B10&lt;Assumptions!$B$5,Projection!E10,0))</f>
        <v>0.851124574320869</v>
      </c>
      <c r="C17" s="32" t="n">
        <f aca="false">C16*(1-MIN(1,Projection!C10*0.75))*(1-IF(Projection!B10&lt;Assumptions!$B$5,Projection!E10,0))</f>
        <v>0.853226669814898</v>
      </c>
      <c r="D17" s="32" t="n">
        <f aca="false">D16*(1-MIN(1,Projection!C10*0.7))*(1-IF(Projection!B10&lt;Assumptions!$B$5,Projection!E10,0))</f>
        <v>0.855333183025896</v>
      </c>
      <c r="E17" s="32" t="n">
        <f aca="false">E16*(1-MIN(1,Projection!C10*0.65))*(1-IF(Projection!B10&lt;Assumptions!$B$5,Projection!E10,0))</f>
        <v>0.857444121635113</v>
      </c>
      <c r="F17" s="32" t="n">
        <f aca="false">F16*(1-MIN(1,Projection!C10*0.6))*(1-IF(Projection!B10&lt;Assumptions!$B$5,Projection!E10,0))</f>
        <v>0.859559493334406</v>
      </c>
      <c r="G17" s="48" t="n">
        <f aca="false">B17*(IF(A17&lt;Assumptions!$B$5,Assumptions!$B$12*(1+Assumptions!$B$11)^(A17-Assumptions!$B$4+1)+Pricing!$B$14*IF(A17=Assumptions!$B$4,Assumptions!$B$14,Assumptions!$B$15)-Pricing!$B$14,Assumptions!$B$9*(1+Assumptions!$B$10)^(A17-Assumptions!$B$4)+Assumptions!$B$12*(1+Assumptions!$B$11)^(A17-Assumptions!$B$4+1)))*Projection!H11</f>
        <v>-8167.37987027567</v>
      </c>
      <c r="H17" s="48" t="n">
        <f aca="false">C17*(IF(A17&lt;Assumptions!$B$5,Assumptions!$B$12*(1+Assumptions!$B$11)^(A17-Assumptions!$B$4+1)+Pricing!$B$14*IF(A17=Assumptions!$B$4,Assumptions!$B$14,Assumptions!$B$15)-Pricing!$B$14,Assumptions!$B$9*(1+Assumptions!$B$10)^(A17-Assumptions!$B$4)+Assumptions!$B$12*(1+Assumptions!$B$11)^(A17-Assumptions!$B$4+1)))*Projection!H11</f>
        <v>-8187.55155012292</v>
      </c>
      <c r="I17" s="48" t="n">
        <f aca="false">D17*(IF(A17&lt;Assumptions!$B$5,Assumptions!$B$12*(1+Assumptions!$B$11)^(A17-Assumptions!$B$4+1)+Pricing!$B$14*IF(A17=Assumptions!$B$4,Assumptions!$B$14,Assumptions!$B$15)-Pricing!$B$14,Assumptions!$B$9*(1+Assumptions!$B$10)^(A17-Assumptions!$B$4)+Assumptions!$B$12*(1+Assumptions!$B$11)^(A17-Assumptions!$B$4+1)))*Projection!H11</f>
        <v>-8207.76562232229</v>
      </c>
      <c r="J17" s="48" t="n">
        <f aca="false">E17*(IF(A17&lt;Assumptions!$B$5,Assumptions!$B$12*(1+Assumptions!$B$11)^(A17-Assumptions!$B$4+1)+Pricing!$B$14*IF(A17=Assumptions!$B$4,Assumptions!$B$14,Assumptions!$B$15)-Pricing!$B$14,Assumptions!$B$9*(1+Assumptions!$B$10)^(A17-Assumptions!$B$4)+Assumptions!$B$12*(1+Assumptions!$B$11)^(A17-Assumptions!$B$4+1)))*Projection!H11</f>
        <v>-8228.02216058293</v>
      </c>
      <c r="K17" s="48" t="n">
        <f aca="false">F17*(IF(A17&lt;Assumptions!$B$5,Assumptions!$B$12*(1+Assumptions!$B$11)^(A17-Assumptions!$B$4+1)+Pricing!$B$14*IF(A17=Assumptions!$B$4,Assumptions!$B$14,Assumptions!$B$15)-Pricing!$B$14,Assumptions!$B$9*(1+Assumptions!$B$10)^(A17-Assumptions!$B$4)+Assumptions!$B$12*(1+Assumptions!$B$11)^(A17-Assumptions!$B$4+1)))*Projection!H11</f>
        <v>-8248.32123871582</v>
      </c>
    </row>
    <row r="18" customFormat="false" ht="15" hidden="false" customHeight="true" outlineLevel="0" collapsed="false">
      <c r="A18" s="54" t="n">
        <f aca="false">A17+1</f>
        <v>73</v>
      </c>
      <c r="B18" s="32" t="n">
        <f aca="false">B17*(1-MIN(1,Projection!C11*0.8))*(1-IF(Projection!B11&lt;Assumptions!$B$5,Projection!E11,0))</f>
        <v>0.836347694913736</v>
      </c>
      <c r="C18" s="32" t="n">
        <f aca="false">C17*(1-MIN(1,Projection!C11*0.75))*(1-IF(Projection!B11&lt;Assumptions!$B$5,Projection!E11,0))</f>
        <v>0.838853857956527</v>
      </c>
      <c r="D18" s="32" t="n">
        <f aca="false">D17*(1-MIN(1,Projection!C11*0.7))*(1-IF(Projection!B11&lt;Assumptions!$B$5,Projection!E11,0))</f>
        <v>0.841366537412325</v>
      </c>
      <c r="E18" s="32" t="n">
        <f aca="false">E17*(1-MIN(1,Projection!C11*0.65))*(1-IF(Projection!B11&lt;Assumptions!$B$5,Projection!E11,0))</f>
        <v>0.843885747684177</v>
      </c>
      <c r="F18" s="32" t="n">
        <f aca="false">F17*(1-MIN(1,Projection!C11*0.6))*(1-IF(Projection!B11&lt;Assumptions!$B$5,Projection!E11,0))</f>
        <v>0.846411503201444</v>
      </c>
      <c r="G18" s="48" t="n">
        <f aca="false">B18*(IF(A18&lt;Assumptions!$B$5,Assumptions!$B$12*(1+Assumptions!$B$11)^(A18-Assumptions!$B$4+1)+Pricing!$B$14*IF(A18=Assumptions!$B$4,Assumptions!$B$14,Assumptions!$B$15)-Pricing!$B$14,Assumptions!$B$9*(1+Assumptions!$B$10)^(A18-Assumptions!$B$4)+Assumptions!$B$12*(1+Assumptions!$B$11)^(A18-Assumptions!$B$4+1)))*Projection!H12</f>
        <v>-7780.02086506308</v>
      </c>
      <c r="H18" s="48" t="n">
        <f aca="false">C18*(IF(A18&lt;Assumptions!$B$5,Assumptions!$B$12*(1+Assumptions!$B$11)^(A18-Assumptions!$B$4+1)+Pricing!$B$14*IF(A18=Assumptions!$B$4,Assumptions!$B$14,Assumptions!$B$15)-Pricing!$B$14,Assumptions!$B$9*(1+Assumptions!$B$10)^(A18-Assumptions!$B$4)+Assumptions!$B$12*(1+Assumptions!$B$11)^(A18-Assumptions!$B$4+1)))*Projection!H12</f>
        <v>-7803.33413642468</v>
      </c>
      <c r="I18" s="48" t="n">
        <f aca="false">D18*(IF(A18&lt;Assumptions!$B$5,Assumptions!$B$12*(1+Assumptions!$B$11)^(A18-Assumptions!$B$4+1)+Pricing!$B$14*IF(A18=Assumptions!$B$4,Assumptions!$B$14,Assumptions!$B$15)-Pricing!$B$14,Assumptions!$B$9*(1+Assumptions!$B$10)^(A18-Assumptions!$B$4)+Assumptions!$B$12*(1+Assumptions!$B$11)^(A18-Assumptions!$B$4+1)))*Projection!H12</f>
        <v>-7826.70802591131</v>
      </c>
      <c r="J18" s="48" t="n">
        <f aca="false">E18*(IF(A18&lt;Assumptions!$B$5,Assumptions!$B$12*(1+Assumptions!$B$11)^(A18-Assumptions!$B$4+1)+Pricing!$B$14*IF(A18=Assumptions!$B$4,Assumptions!$B$14,Assumptions!$B$15)-Pricing!$B$14,Assumptions!$B$9*(1+Assumptions!$B$10)^(A18-Assumptions!$B$4)+Assumptions!$B$12*(1+Assumptions!$B$11)^(A18-Assumptions!$B$4+1)))*Projection!H12</f>
        <v>-7850.14266750558</v>
      </c>
      <c r="K18" s="48" t="n">
        <f aca="false">F18*(IF(A18&lt;Assumptions!$B$5,Assumptions!$B$12*(1+Assumptions!$B$11)^(A18-Assumptions!$B$4+1)+Pricing!$B$14*IF(A18=Assumptions!$B$4,Assumptions!$B$14,Assumptions!$B$15)-Pricing!$B$14,Assumptions!$B$9*(1+Assumptions!$B$10)^(A18-Assumptions!$B$4)+Assumptions!$B$12*(1+Assumptions!$B$11)^(A18-Assumptions!$B$4+1)))*Projection!H12</f>
        <v>-7873.63819543479</v>
      </c>
    </row>
    <row r="19" customFormat="false" ht="15" hidden="false" customHeight="true" outlineLevel="0" collapsed="false">
      <c r="A19" s="54" t="n">
        <f aca="false">A18+1</f>
        <v>74</v>
      </c>
      <c r="B19" s="32" t="n">
        <f aca="false">B18*(1-MIN(1,Projection!C12*0.8))*(1-IF(Projection!B12&lt;Assumptions!$B$5,Projection!E12,0))</f>
        <v>0.821058396485325</v>
      </c>
      <c r="C19" s="32" t="n">
        <f aca="false">C18*(1-MIN(1,Projection!C12*0.75))*(1-IF(Projection!B12&lt;Assumptions!$B$5,Projection!E12,0))</f>
        <v>0.824000090755853</v>
      </c>
      <c r="D19" s="32" t="n">
        <f aca="false">D18*(1-MIN(1,Projection!C12*0.7))*(1-IF(Projection!B12&lt;Assumptions!$B$5,Projection!E12,0))</f>
        <v>0.826951065936243</v>
      </c>
      <c r="E19" s="32" t="n">
        <f aca="false">E18*(1-MIN(1,Projection!C12*0.65))*(1-IF(Projection!B12&lt;Assumptions!$B$5,Projection!E12,0))</f>
        <v>0.829911347408671</v>
      </c>
      <c r="F19" s="32" t="n">
        <f aca="false">F18*(1-MIN(1,Projection!C12*0.6))*(1-IF(Projection!B12&lt;Assumptions!$B$5,Projection!E12,0))</f>
        <v>0.832880960614262</v>
      </c>
      <c r="G19" s="48" t="n">
        <f aca="false">B19*(IF(A19&lt;Assumptions!$B$5,Assumptions!$B$12*(1+Assumptions!$B$11)^(A19-Assumptions!$B$4+1)+Pricing!$B$14*IF(A19=Assumptions!$B$4,Assumptions!$B$14,Assumptions!$B$15)-Pricing!$B$14,Assumptions!$B$9*(1+Assumptions!$B$10)^(A19-Assumptions!$B$4)+Assumptions!$B$12*(1+Assumptions!$B$11)^(A19-Assumptions!$B$4+1)))*Projection!H13</f>
        <v>-7396.51417512588</v>
      </c>
      <c r="H19" s="48" t="n">
        <f aca="false">C19*(IF(A19&lt;Assumptions!$B$5,Assumptions!$B$12*(1+Assumptions!$B$11)^(A19-Assumptions!$B$4+1)+Pricing!$B$14*IF(A19=Assumptions!$B$4,Assumptions!$B$14,Assumptions!$B$15)-Pricing!$B$14,Assumptions!$B$9*(1+Assumptions!$B$10)^(A19-Assumptions!$B$4)+Assumptions!$B$12*(1+Assumptions!$B$11)^(A19-Assumptions!$B$4+1)))*Projection!H13</f>
        <v>-7423.01446239411</v>
      </c>
      <c r="I19" s="48" t="n">
        <f aca="false">D19*(IF(A19&lt;Assumptions!$B$5,Assumptions!$B$12*(1+Assumptions!$B$11)^(A19-Assumptions!$B$4+1)+Pricing!$B$14*IF(A19=Assumptions!$B$4,Assumptions!$B$14,Assumptions!$B$15)-Pricing!$B$14,Assumptions!$B$9*(1+Assumptions!$B$10)^(A19-Assumptions!$B$4)+Assumptions!$B$12*(1+Assumptions!$B$11)^(A19-Assumptions!$B$4+1)))*Projection!H13</f>
        <v>-7449.59835684745</v>
      </c>
      <c r="J19" s="48" t="n">
        <f aca="false">E19*(IF(A19&lt;Assumptions!$B$5,Assumptions!$B$12*(1+Assumptions!$B$11)^(A19-Assumptions!$B$4+1)+Pricing!$B$14*IF(A19=Assumptions!$B$4,Assumptions!$B$14,Assumptions!$B$15)-Pricing!$B$14,Assumptions!$B$9*(1+Assumptions!$B$10)^(A19-Assumptions!$B$4)+Assumptions!$B$12*(1+Assumptions!$B$11)^(A19-Assumptions!$B$4+1)))*Projection!H13</f>
        <v>-7476.26608714155</v>
      </c>
      <c r="K19" s="48" t="n">
        <f aca="false">F19*(IF(A19&lt;Assumptions!$B$5,Assumptions!$B$12*(1+Assumptions!$B$11)^(A19-Assumptions!$B$4+1)+Pricing!$B$14*IF(A19=Assumptions!$B$4,Assumptions!$B$14,Assumptions!$B$15)-Pricing!$B$14,Assumptions!$B$9*(1+Assumptions!$B$10)^(A19-Assumptions!$B$4)+Assumptions!$B$12*(1+Assumptions!$B$11)^(A19-Assumptions!$B$4+1)))*Projection!H13</f>
        <v>-7503.01788246308</v>
      </c>
    </row>
    <row r="20" customFormat="false" ht="15" hidden="false" customHeight="true" outlineLevel="0" collapsed="false">
      <c r="A20" s="54" t="n">
        <f aca="false">A19+1</f>
        <v>75</v>
      </c>
      <c r="B20" s="32" t="n">
        <f aca="false">B19*(1-MIN(1,Projection!C13*0.8))*(1-IF(Projection!B13&lt;Assumptions!$B$5,Projection!E13,0))</f>
        <v>0.80519643036252</v>
      </c>
      <c r="C20" s="32" t="n">
        <f aca="false">C19*(1-MIN(1,Projection!C13*0.75))*(1-IF(Projection!B13&lt;Assumptions!$B$5,Projection!E13,0))</f>
        <v>0.808607568989492</v>
      </c>
      <c r="D20" s="32" t="n">
        <f aca="false">D19*(1-MIN(1,Projection!C13*0.7))*(1-IF(Projection!B13&lt;Assumptions!$B$5,Projection!E13,0))</f>
        <v>0.812031578703617</v>
      </c>
      <c r="E20" s="32" t="n">
        <f aca="false">E19*(1-MIN(1,Projection!C13*0.65))*(1-IF(Projection!B13&lt;Assumptions!$B$5,Projection!E13,0))</f>
        <v>0.815468502228021</v>
      </c>
      <c r="F20" s="32" t="n">
        <f aca="false">F19*(1-MIN(1,Projection!C13*0.6))*(1-IF(Projection!B13&lt;Assumptions!$B$5,Projection!E13,0))</f>
        <v>0.818918382408639</v>
      </c>
      <c r="G20" s="48" t="n">
        <f aca="false">B20*(IF(A20&lt;Assumptions!$B$5,Assumptions!$B$12*(1+Assumptions!$B$11)^(A20-Assumptions!$B$4+1)+Pricing!$B$14*IF(A20=Assumptions!$B$4,Assumptions!$B$14,Assumptions!$B$15)-Pricing!$B$14,Assumptions!$B$9*(1+Assumptions!$B$10)^(A20-Assumptions!$B$4)+Assumptions!$B$12*(1+Assumptions!$B$11)^(A20-Assumptions!$B$4+1)))*Projection!H14</f>
        <v>-7007.54149848978</v>
      </c>
      <c r="H20" s="48" t="n">
        <f aca="false">C20*(IF(A20&lt;Assumptions!$B$5,Assumptions!$B$12*(1+Assumptions!$B$11)^(A20-Assumptions!$B$4+1)+Pricing!$B$14*IF(A20=Assumptions!$B$4,Assumptions!$B$14,Assumptions!$B$15)-Pricing!$B$14,Assumptions!$B$9*(1+Assumptions!$B$10)^(A20-Assumptions!$B$4)+Assumptions!$B$12*(1+Assumptions!$B$11)^(A20-Assumptions!$B$4+1)))*Projection!H14</f>
        <v>-7037.22828619057</v>
      </c>
      <c r="I20" s="48" t="n">
        <f aca="false">D20*(IF(A20&lt;Assumptions!$B$5,Assumptions!$B$12*(1+Assumptions!$B$11)^(A20-Assumptions!$B$4+1)+Pricing!$B$14*IF(A20=Assumptions!$B$4,Assumptions!$B$14,Assumptions!$B$15)-Pricing!$B$14,Assumptions!$B$9*(1+Assumptions!$B$10)^(A20-Assumptions!$B$4)+Assumptions!$B$12*(1+Assumptions!$B$11)^(A20-Assumptions!$B$4+1)))*Projection!H14</f>
        <v>-7067.02708963554</v>
      </c>
      <c r="J20" s="48" t="n">
        <f aca="false">E20*(IF(A20&lt;Assumptions!$B$5,Assumptions!$B$12*(1+Assumptions!$B$11)^(A20-Assumptions!$B$4+1)+Pricing!$B$14*IF(A20=Assumptions!$B$4,Assumptions!$B$14,Assumptions!$B$15)-Pricing!$B$14,Assumptions!$B$9*(1+Assumptions!$B$10)^(A20-Assumptions!$B$4)+Assumptions!$B$12*(1+Assumptions!$B$11)^(A20-Assumptions!$B$4+1)))*Projection!H14</f>
        <v>-7096.93828063964</v>
      </c>
      <c r="K20" s="48" t="n">
        <f aca="false">F20*(IF(A20&lt;Assumptions!$B$5,Assumptions!$B$12*(1+Assumptions!$B$11)^(A20-Assumptions!$B$4+1)+Pricing!$B$14*IF(A20=Assumptions!$B$4,Assumptions!$B$14,Assumptions!$B$15)-Pricing!$B$14,Assumptions!$B$9*(1+Assumptions!$B$10)^(A20-Assumptions!$B$4)+Assumptions!$B$12*(1+Assumptions!$B$11)^(A20-Assumptions!$B$4+1)))*Projection!H14</f>
        <v>-7126.96223208664</v>
      </c>
    </row>
    <row r="21" customFormat="false" ht="15" hidden="false" customHeight="true" outlineLevel="0" collapsed="false">
      <c r="A21" s="54" t="n">
        <f aca="false">A20+1</f>
        <v>76</v>
      </c>
      <c r="B21" s="32" t="n">
        <f aca="false">B20*(1-MIN(1,Projection!C14*0.8))*(1-IF(Projection!B14&lt;Assumptions!$B$5,Projection!E14,0))</f>
        <v>0.788372406815602</v>
      </c>
      <c r="C21" s="32" t="n">
        <f aca="false">C20*(1-MIN(1,Projection!C14*0.75))*(1-IF(Projection!B14&lt;Assumptions!$B$5,Projection!E14,0))</f>
        <v>0.792308332559326</v>
      </c>
      <c r="D21" s="32" t="n">
        <f aca="false">D20*(1-MIN(1,Projection!C14*0.7))*(1-IF(Projection!B14&lt;Assumptions!$B$5,Projection!E14,0))</f>
        <v>0.796261908436574</v>
      </c>
      <c r="E21" s="32" t="n">
        <f aca="false">E20*(1-MIN(1,Projection!C14*0.65))*(1-IF(Projection!B14&lt;Assumptions!$B$5,Projection!E14,0))</f>
        <v>0.800233204835832</v>
      </c>
      <c r="F21" s="32" t="n">
        <f aca="false">F20*(1-MIN(1,Projection!C14*0.6))*(1-IF(Projection!B14&lt;Assumptions!$B$5,Projection!E14,0))</f>
        <v>0.804222292392156</v>
      </c>
      <c r="G21" s="48" t="n">
        <f aca="false">B21*(IF(A21&lt;Assumptions!$B$5,Assumptions!$B$12*(1+Assumptions!$B$11)^(A21-Assumptions!$B$4+1)+Pricing!$B$14*IF(A21=Assumptions!$B$4,Assumptions!$B$14,Assumptions!$B$15)-Pricing!$B$14,Assumptions!$B$9*(1+Assumptions!$B$10)^(A21-Assumptions!$B$4)+Assumptions!$B$12*(1+Assumptions!$B$11)^(A21-Assumptions!$B$4+1)))*Projection!H15</f>
        <v>-6644.20046716687</v>
      </c>
      <c r="H21" s="48" t="n">
        <f aca="false">C21*(IF(A21&lt;Assumptions!$B$5,Assumptions!$B$12*(1+Assumptions!$B$11)^(A21-Assumptions!$B$4+1)+Pricing!$B$14*IF(A21=Assumptions!$B$4,Assumptions!$B$14,Assumptions!$B$15)-Pricing!$B$14,Assumptions!$B$9*(1+Assumptions!$B$10)^(A21-Assumptions!$B$4)+Assumptions!$B$12*(1+Assumptions!$B$11)^(A21-Assumptions!$B$4+1)))*Projection!H15</f>
        <v>-6677.37143996996</v>
      </c>
      <c r="I21" s="48" t="n">
        <f aca="false">D21*(IF(A21&lt;Assumptions!$B$5,Assumptions!$B$12*(1+Assumptions!$B$11)^(A21-Assumptions!$B$4+1)+Pricing!$B$14*IF(A21=Assumptions!$B$4,Assumptions!$B$14,Assumptions!$B$15)-Pricing!$B$14,Assumptions!$B$9*(1+Assumptions!$B$10)^(A21-Assumptions!$B$4)+Assumptions!$B$12*(1+Assumptions!$B$11)^(A21-Assumptions!$B$4+1)))*Projection!H15</f>
        <v>-6710.69116357203</v>
      </c>
      <c r="J21" s="48" t="n">
        <f aca="false">E21*(IF(A21&lt;Assumptions!$B$5,Assumptions!$B$12*(1+Assumptions!$B$11)^(A21-Assumptions!$B$4+1)+Pricing!$B$14*IF(A21=Assumptions!$B$4,Assumptions!$B$14,Assumptions!$B$15)-Pricing!$B$14,Assumptions!$B$9*(1+Assumptions!$B$10)^(A21-Assumptions!$B$4)+Assumptions!$B$12*(1+Assumptions!$B$11)^(A21-Assumptions!$B$4+1)))*Projection!H15</f>
        <v>-6744.16023118918</v>
      </c>
      <c r="K21" s="48" t="n">
        <f aca="false">F21*(IF(A21&lt;Assumptions!$B$5,Assumptions!$B$12*(1+Assumptions!$B$11)^(A21-Assumptions!$B$4+1)+Pricing!$B$14*IF(A21=Assumptions!$B$4,Assumptions!$B$14,Assumptions!$B$15)-Pricing!$B$14,Assumptions!$B$9*(1+Assumptions!$B$10)^(A21-Assumptions!$B$4)+Assumptions!$B$12*(1+Assumptions!$B$11)^(A21-Assumptions!$B$4+1)))*Projection!H15</f>
        <v>-6777.77923811555</v>
      </c>
    </row>
    <row r="22" customFormat="false" ht="15" hidden="false" customHeight="true" outlineLevel="0" collapsed="false">
      <c r="A22" s="54" t="n">
        <f aca="false">A21+1</f>
        <v>77</v>
      </c>
      <c r="B22" s="32" t="n">
        <f aca="false">B21*(1-MIN(1,Projection!C15*0.8))*(1-IF(Projection!B15&lt;Assumptions!$B$5,Projection!E15,0))</f>
        <v>0.770815189303299</v>
      </c>
      <c r="C22" s="32" t="n">
        <f aca="false">C21*(1-MIN(1,Projection!C15*0.75))*(1-IF(Projection!B15&lt;Assumptions!$B$5,Projection!E15,0))</f>
        <v>0.775315640260079</v>
      </c>
      <c r="D22" s="32" t="n">
        <f aca="false">D21*(1-MIN(1,Projection!C15*0.7))*(1-IF(Projection!B15&lt;Assumptions!$B$5,Projection!E15,0))</f>
        <v>0.779839856955339</v>
      </c>
      <c r="E22" s="32" t="n">
        <f aca="false">E21*(1-MIN(1,Projection!C15*0.65))*(1-IF(Projection!B15&lt;Assumptions!$B$5,Projection!E15,0))</f>
        <v>0.784387951969302</v>
      </c>
      <c r="F22" s="32" t="n">
        <f aca="false">F21*(1-MIN(1,Projection!C15*0.6))*(1-IF(Projection!B15&lt;Assumptions!$B$5,Projection!E15,0))</f>
        <v>0.788960038355843</v>
      </c>
      <c r="G22" s="48" t="n">
        <f aca="false">B22*(IF(A22&lt;Assumptions!$B$5,Assumptions!$B$12*(1+Assumptions!$B$11)^(A22-Assumptions!$B$4+1)+Pricing!$B$14*IF(A22=Assumptions!$B$4,Assumptions!$B$14,Assumptions!$B$15)-Pricing!$B$14,Assumptions!$B$9*(1+Assumptions!$B$10)^(A22-Assumptions!$B$4)+Assumptions!$B$12*(1+Assumptions!$B$11)^(A22-Assumptions!$B$4+1)))*Projection!H16</f>
        <v>-6271.78420386352</v>
      </c>
      <c r="H22" s="48" t="n">
        <f aca="false">C22*(IF(A22&lt;Assumptions!$B$5,Assumptions!$B$12*(1+Assumptions!$B$11)^(A22-Assumptions!$B$4+1)+Pricing!$B$14*IF(A22=Assumptions!$B$4,Assumptions!$B$14,Assumptions!$B$15)-Pricing!$B$14,Assumptions!$B$9*(1+Assumptions!$B$10)^(A22-Assumptions!$B$4)+Assumptions!$B$12*(1+Assumptions!$B$11)^(A22-Assumptions!$B$4+1)))*Projection!H16</f>
        <v>-6308.40239407655</v>
      </c>
      <c r="I22" s="48" t="n">
        <f aca="false">D22*(IF(A22&lt;Assumptions!$B$5,Assumptions!$B$12*(1+Assumptions!$B$11)^(A22-Assumptions!$B$4+1)+Pricing!$B$14*IF(A22=Assumptions!$B$4,Assumptions!$B$14,Assumptions!$B$15)-Pricing!$B$14,Assumptions!$B$9*(1+Assumptions!$B$10)^(A22-Assumptions!$B$4)+Assumptions!$B$12*(1+Assumptions!$B$11)^(A22-Assumptions!$B$4+1)))*Projection!H16</f>
        <v>-6345.21395565182</v>
      </c>
      <c r="J22" s="48" t="n">
        <f aca="false">E22*(IF(A22&lt;Assumptions!$B$5,Assumptions!$B$12*(1+Assumptions!$B$11)^(A22-Assumptions!$B$4+1)+Pricing!$B$14*IF(A22=Assumptions!$B$4,Assumptions!$B$14,Assumptions!$B$15)-Pricing!$B$14,Assumptions!$B$9*(1+Assumptions!$B$10)^(A22-Assumptions!$B$4)+Assumptions!$B$12*(1+Assumptions!$B$11)^(A22-Assumptions!$B$4+1)))*Projection!H16</f>
        <v>-6382.21980460509</v>
      </c>
      <c r="K22" s="48" t="n">
        <f aca="false">F22*(IF(A22&lt;Assumptions!$B$5,Assumptions!$B$12*(1+Assumptions!$B$11)^(A22-Assumptions!$B$4+1)+Pricing!$B$14*IF(A22=Assumptions!$B$4,Assumptions!$B$14,Assumptions!$B$15)-Pricing!$B$14,Assumptions!$B$9*(1+Assumptions!$B$10)^(A22-Assumptions!$B$4)+Assumptions!$B$12*(1+Assumptions!$B$11)^(A22-Assumptions!$B$4+1)))*Projection!H16</f>
        <v>-6419.42086080602</v>
      </c>
    </row>
    <row r="23" customFormat="false" ht="15" hidden="false" customHeight="true" outlineLevel="0" collapsed="false">
      <c r="A23" s="54" t="n">
        <f aca="false">A22+1</f>
        <v>78</v>
      </c>
      <c r="B23" s="32" t="n">
        <f aca="false">B22*(1-MIN(1,Projection!C16*0.8))*(1-IF(Projection!B16&lt;Assumptions!$B$5,Projection!E16,0))</f>
        <v>0.752447351954943</v>
      </c>
      <c r="C23" s="32" t="n">
        <f aca="false">C22*(1-MIN(1,Projection!C16*0.75))*(1-IF(Projection!B16&lt;Assumptions!$B$5,Projection!E16,0))</f>
        <v>0.757554292857667</v>
      </c>
      <c r="D23" s="32" t="n">
        <f aca="false">D22*(1-MIN(1,Projection!C16*0.7))*(1-IF(Projection!B16&lt;Assumptions!$B$5,Projection!E16,0))</f>
        <v>0.762692762891327</v>
      </c>
      <c r="E23" s="32" t="n">
        <f aca="false">E22*(1-MIN(1,Projection!C16*0.65))*(1-IF(Projection!B16&lt;Assumptions!$B$5,Projection!E16,0))</f>
        <v>0.767862937898391</v>
      </c>
      <c r="F23" s="32" t="n">
        <f aca="false">F22*(1-MIN(1,Projection!C16*0.6))*(1-IF(Projection!B16&lt;Assumptions!$B$5,Projection!E16,0))</f>
        <v>0.773064994599989</v>
      </c>
      <c r="G23" s="48" t="n">
        <f aca="false">B23*(IF(A23&lt;Assumptions!$B$5,Assumptions!$B$12*(1+Assumptions!$B$11)^(A23-Assumptions!$B$4+1)+Pricing!$B$14*IF(A23=Assumptions!$B$4,Assumptions!$B$14,Assumptions!$B$15)-Pricing!$B$14,Assumptions!$B$9*(1+Assumptions!$B$10)^(A23-Assumptions!$B$4)+Assumptions!$B$12*(1+Assumptions!$B$11)^(A23-Assumptions!$B$4+1)))*Projection!H17</f>
        <v>-5912.38969337938</v>
      </c>
      <c r="H23" s="48" t="n">
        <f aca="false">C23*(IF(A23&lt;Assumptions!$B$5,Assumptions!$B$12*(1+Assumptions!$B$11)^(A23-Assumptions!$B$4+1)+Pricing!$B$14*IF(A23=Assumptions!$B$4,Assumptions!$B$14,Assumptions!$B$15)-Pricing!$B$14,Assumptions!$B$9*(1+Assumptions!$B$10)^(A23-Assumptions!$B$4)+Assumptions!$B$12*(1+Assumptions!$B$11)^(A23-Assumptions!$B$4+1)))*Projection!H17</f>
        <v>-5952.51771652879</v>
      </c>
      <c r="I23" s="48" t="n">
        <f aca="false">D23*(IF(A23&lt;Assumptions!$B$5,Assumptions!$B$12*(1+Assumptions!$B$11)^(A23-Assumptions!$B$4+1)+Pricing!$B$14*IF(A23=Assumptions!$B$4,Assumptions!$B$14,Assumptions!$B$15)-Pricing!$B$14,Assumptions!$B$9*(1+Assumptions!$B$10)^(A23-Assumptions!$B$4)+Assumptions!$B$12*(1+Assumptions!$B$11)^(A23-Assumptions!$B$4+1)))*Projection!H17</f>
        <v>-5992.89348127541</v>
      </c>
      <c r="J23" s="48" t="n">
        <f aca="false">E23*(IF(A23&lt;Assumptions!$B$5,Assumptions!$B$12*(1+Assumptions!$B$11)^(A23-Assumptions!$B$4+1)+Pricing!$B$14*IF(A23=Assumptions!$B$4,Assumptions!$B$14,Assumptions!$B$15)-Pricing!$B$14,Assumptions!$B$9*(1+Assumptions!$B$10)^(A23-Assumptions!$B$4)+Assumptions!$B$12*(1+Assumptions!$B$11)^(A23-Assumptions!$B$4+1)))*Projection!H17</f>
        <v>-6033.51836930952</v>
      </c>
      <c r="K23" s="48" t="n">
        <f aca="false">F23*(IF(A23&lt;Assumptions!$B$5,Assumptions!$B$12*(1+Assumptions!$B$11)^(A23-Assumptions!$B$4+1)+Pricing!$B$14*IF(A23=Assumptions!$B$4,Assumptions!$B$14,Assumptions!$B$15)-Pricing!$B$14,Assumptions!$B$9*(1+Assumptions!$B$10)^(A23-Assumptions!$B$4)+Assumptions!$B$12*(1+Assumptions!$B$11)^(A23-Assumptions!$B$4+1)))*Projection!H17</f>
        <v>-6074.39376922554</v>
      </c>
    </row>
    <row r="24" customFormat="false" ht="15" hidden="false" customHeight="true" outlineLevel="0" collapsed="false">
      <c r="A24" s="54" t="n">
        <f aca="false">A23+1</f>
        <v>79</v>
      </c>
      <c r="B24" s="32" t="n">
        <f aca="false">B23*(1-MIN(1,Projection!C17*0.8))*(1-IF(Projection!B17&lt;Assumptions!$B$5,Projection!E17,0))</f>
        <v>0.733189510060137</v>
      </c>
      <c r="C24" s="32" t="n">
        <f aca="false">C23*(1-MIN(1,Projection!C17*0.75))*(1-IF(Projection!B17&lt;Assumptions!$B$5,Projection!E17,0))</f>
        <v>0.738946671103175</v>
      </c>
      <c r="D24" s="32" t="n">
        <f aca="false">D23*(1-MIN(1,Projection!C17*0.7))*(1-IF(Projection!B17&lt;Assumptions!$B$5,Projection!E17,0))</f>
        <v>0.744745148321194</v>
      </c>
      <c r="E24" s="32" t="n">
        <f aca="false">E23*(1-MIN(1,Projection!C17*0.65))*(1-IF(Projection!B17&lt;Assumptions!$B$5,Projection!E17,0))</f>
        <v>0.750585211105475</v>
      </c>
      <c r="F24" s="32" t="n">
        <f aca="false">F23*(1-MIN(1,Projection!C17*0.6))*(1-IF(Projection!B17&lt;Assumptions!$B$5,Projection!E17,0))</f>
        <v>0.756467130432169</v>
      </c>
      <c r="G24" s="48" t="n">
        <f aca="false">B24*(IF(A24&lt;Assumptions!$B$5,Assumptions!$B$12*(1+Assumptions!$B$11)^(A24-Assumptions!$B$4+1)+Pricing!$B$14*IF(A24=Assumptions!$B$4,Assumptions!$B$14,Assumptions!$B$15)-Pricing!$B$14,Assumptions!$B$9*(1+Assumptions!$B$10)^(A24-Assumptions!$B$4)+Assumptions!$B$12*(1+Assumptions!$B$11)^(A24-Assumptions!$B$4+1)))*Projection!H18</f>
        <v>-5567.37936163058</v>
      </c>
      <c r="H24" s="48" t="n">
        <f aca="false">C24*(IF(A24&lt;Assumptions!$B$5,Assumptions!$B$12*(1+Assumptions!$B$11)^(A24-Assumptions!$B$4+1)+Pricing!$B$14*IF(A24=Assumptions!$B$4,Assumptions!$B$14,Assumptions!$B$15)-Pricing!$B$14,Assumptions!$B$9*(1+Assumptions!$B$10)^(A24-Assumptions!$B$4)+Assumptions!$B$12*(1+Assumptions!$B$11)^(A24-Assumptions!$B$4+1)))*Projection!H18</f>
        <v>-5611.09561661351</v>
      </c>
      <c r="I24" s="48" t="n">
        <f aca="false">D24*(IF(A24&lt;Assumptions!$B$5,Assumptions!$B$12*(1+Assumptions!$B$11)^(A24-Assumptions!$B$4+1)+Pricing!$B$14*IF(A24=Assumptions!$B$4,Assumptions!$B$14,Assumptions!$B$15)-Pricing!$B$14,Assumptions!$B$9*(1+Assumptions!$B$10)^(A24-Assumptions!$B$4)+Assumptions!$B$12*(1+Assumptions!$B$11)^(A24-Assumptions!$B$4+1)))*Projection!H18</f>
        <v>-5655.12560060746</v>
      </c>
      <c r="J24" s="48" t="n">
        <f aca="false">E24*(IF(A24&lt;Assumptions!$B$5,Assumptions!$B$12*(1+Assumptions!$B$11)^(A24-Assumptions!$B$4+1)+Pricing!$B$14*IF(A24=Assumptions!$B$4,Assumptions!$B$14,Assumptions!$B$15)-Pricing!$B$14,Assumptions!$B$9*(1+Assumptions!$B$10)^(A24-Assumptions!$B$4)+Assumptions!$B$12*(1+Assumptions!$B$11)^(A24-Assumptions!$B$4+1)))*Projection!H18</f>
        <v>-5699.47135920017</v>
      </c>
      <c r="K24" s="48" t="n">
        <f aca="false">F24*(IF(A24&lt;Assumptions!$B$5,Assumptions!$B$12*(1+Assumptions!$B$11)^(A24-Assumptions!$B$4+1)+Pricing!$B$14*IF(A24=Assumptions!$B$4,Assumptions!$B$14,Assumptions!$B$15)-Pricing!$B$14,Assumptions!$B$9*(1+Assumptions!$B$10)^(A24-Assumptions!$B$4)+Assumptions!$B$12*(1+Assumptions!$B$11)^(A24-Assumptions!$B$4+1)))*Projection!H18</f>
        <v>-5744.13495001385</v>
      </c>
    </row>
    <row r="25" customFormat="false" ht="15" hidden="false" customHeight="true" outlineLevel="0" collapsed="false">
      <c r="A25" s="54" t="n">
        <f aca="false">A24+1</f>
        <v>80</v>
      </c>
      <c r="B25" s="32" t="n">
        <f aca="false">B24*(1-MIN(1,Projection!C18*0.8))*(1-IF(Projection!B18&lt;Assumptions!$B$5,Projection!E18,0))</f>
        <v>0.712962033920438</v>
      </c>
      <c r="C25" s="32" t="n">
        <f aca="false">C24*(1-MIN(1,Projection!C18*0.75))*(1-IF(Projection!B18&lt;Assumptions!$B$5,Projection!E18,0))</f>
        <v>0.719414232733367</v>
      </c>
      <c r="D25" s="32" t="n">
        <f aca="false">D24*(1-MIN(1,Projection!C18*0.7))*(1-IF(Projection!B18&lt;Assumptions!$B$5,Projection!E18,0))</f>
        <v>0.725920008398893</v>
      </c>
      <c r="E25" s="32" t="n">
        <f aca="false">E24*(1-MIN(1,Projection!C18*0.65))*(1-IF(Projection!B18&lt;Assumptions!$B$5,Projection!E18,0))</f>
        <v>0.732479767035204</v>
      </c>
      <c r="F25" s="32" t="n">
        <f aca="false">F24*(1-MIN(1,Projection!C18*0.6))*(1-IF(Projection!B18&lt;Assumptions!$B$5,Projection!E18,0))</f>
        <v>0.7390939175541</v>
      </c>
      <c r="G25" s="48" t="n">
        <f aca="false">B25*(IF(A25&lt;Assumptions!$B$5,Assumptions!$B$12*(1+Assumptions!$B$11)^(A25-Assumptions!$B$4+1)+Pricing!$B$14*IF(A25=Assumptions!$B$4,Assumptions!$B$14,Assumptions!$B$15)-Pricing!$B$14,Assumptions!$B$9*(1+Assumptions!$B$10)^(A25-Assumptions!$B$4)+Assumptions!$B$12*(1+Assumptions!$B$11)^(A25-Assumptions!$B$4+1)))*Projection!H19</f>
        <v>9755.62897513145</v>
      </c>
      <c r="H25" s="48" t="n">
        <f aca="false">C25*(IF(A25&lt;Assumptions!$B$5,Assumptions!$B$12*(1+Assumptions!$B$11)^(A25-Assumptions!$B$4+1)+Pricing!$B$14*IF(A25=Assumptions!$B$4,Assumptions!$B$14,Assumptions!$B$15)-Pricing!$B$14,Assumptions!$B$9*(1+Assumptions!$B$10)^(A25-Assumptions!$B$4)+Assumptions!$B$12*(1+Assumptions!$B$11)^(A25-Assumptions!$B$4+1)))*Projection!H19</f>
        <v>9843.91594512142</v>
      </c>
      <c r="I25" s="48" t="n">
        <f aca="false">D25*(IF(A25&lt;Assumptions!$B$5,Assumptions!$B$12*(1+Assumptions!$B$11)^(A25-Assumptions!$B$4+1)+Pricing!$B$14*IF(A25=Assumptions!$B$4,Assumptions!$B$14,Assumptions!$B$15)-Pricing!$B$14,Assumptions!$B$9*(1+Assumptions!$B$10)^(A25-Assumptions!$B$4)+Assumptions!$B$12*(1+Assumptions!$B$11)^(A25-Assumptions!$B$4+1)))*Projection!H19</f>
        <v>9932.93601992023</v>
      </c>
      <c r="J25" s="48" t="n">
        <f aca="false">E25*(IF(A25&lt;Assumptions!$B$5,Assumptions!$B$12*(1+Assumptions!$B$11)^(A25-Assumptions!$B$4+1)+Pricing!$B$14*IF(A25=Assumptions!$B$4,Assumptions!$B$14,Assumptions!$B$15)-Pricing!$B$14,Assumptions!$B$9*(1+Assumptions!$B$10)^(A25-Assumptions!$B$4)+Assumptions!$B$12*(1+Assumptions!$B$11)^(A25-Assumptions!$B$4+1)))*Projection!H19</f>
        <v>10022.6947565396</v>
      </c>
      <c r="K25" s="48" t="n">
        <f aca="false">F25*(IF(A25&lt;Assumptions!$B$5,Assumptions!$B$12*(1+Assumptions!$B$11)^(A25-Assumptions!$B$4+1)+Pricing!$B$14*IF(A25=Assumptions!$B$4,Assumptions!$B$14,Assumptions!$B$15)-Pricing!$B$14,Assumptions!$B$9*(1+Assumptions!$B$10)^(A25-Assumptions!$B$4)+Assumptions!$B$12*(1+Assumptions!$B$11)^(A25-Assumptions!$B$4+1)))*Projection!H19</f>
        <v>10113.1977502168</v>
      </c>
    </row>
    <row r="26" customFormat="false" ht="15" hidden="false" customHeight="true" outlineLevel="0" collapsed="false">
      <c r="A26" s="54" t="n">
        <f aca="false">A25+1</f>
        <v>81</v>
      </c>
      <c r="B26" s="32" t="n">
        <f aca="false">B25*(1-MIN(1,Projection!C19*0.8))*(1-IF(Projection!B19&lt;Assumptions!$B$5,Projection!E19,0))</f>
        <v>0.697530944983389</v>
      </c>
      <c r="C26" s="32" t="n">
        <f aca="false">C25*(1-MIN(1,Projection!C19*0.75))*(1-IF(Projection!B19&lt;Assumptions!$B$5,Projection!E19,0))</f>
        <v>0.704816665892864</v>
      </c>
      <c r="D26" s="32" t="n">
        <f aca="false">D25*(1-MIN(1,Projection!C19*0.7))*(1-IF(Projection!B19&lt;Assumptions!$B$5,Projection!E19,0))</f>
        <v>0.712172405135166</v>
      </c>
      <c r="E26" s="32" t="n">
        <f aca="false">E25*(1-MIN(1,Projection!C19*0.65))*(1-IF(Projection!B19&lt;Assumptions!$B$5,Projection!E19,0))</f>
        <v>0.719598779111289</v>
      </c>
      <c r="F26" s="32" t="n">
        <f aca="false">F25*(1-MIN(1,Projection!C19*0.6))*(1-IF(Projection!B19&lt;Assumptions!$B$5,Projection!E19,0))</f>
        <v>0.727096409167964</v>
      </c>
      <c r="G26" s="48" t="n">
        <f aca="false">B26*(IF(A26&lt;Assumptions!$B$5,Assumptions!$B$12*(1+Assumptions!$B$11)^(A26-Assumptions!$B$4+1)+Pricing!$B$14*IF(A26=Assumptions!$B$4,Assumptions!$B$14,Assumptions!$B$15)-Pricing!$B$14,Assumptions!$B$9*(1+Assumptions!$B$10)^(A26-Assumptions!$B$4)+Assumptions!$B$12*(1+Assumptions!$B$11)^(A26-Assumptions!$B$4+1)))*Projection!H20</f>
        <v>9395.49789546808</v>
      </c>
      <c r="H26" s="48" t="n">
        <f aca="false">C26*(IF(A26&lt;Assumptions!$B$5,Assumptions!$B$12*(1+Assumptions!$B$11)^(A26-Assumptions!$B$4+1)+Pricing!$B$14*IF(A26=Assumptions!$B$4,Assumptions!$B$14,Assumptions!$B$15)-Pricing!$B$14,Assumptions!$B$9*(1+Assumptions!$B$10)^(A26-Assumptions!$B$4)+Assumptions!$B$12*(1+Assumptions!$B$11)^(A26-Assumptions!$B$4+1)))*Projection!H20</f>
        <v>9493.63400823018</v>
      </c>
      <c r="I26" s="48" t="n">
        <f aca="false">D26*(IF(A26&lt;Assumptions!$B$5,Assumptions!$B$12*(1+Assumptions!$B$11)^(A26-Assumptions!$B$4+1)+Pricing!$B$14*IF(A26=Assumptions!$B$4,Assumptions!$B$14,Assumptions!$B$15)-Pricing!$B$14,Assumptions!$B$9*(1+Assumptions!$B$10)^(A26-Assumptions!$B$4)+Assumptions!$B$12*(1+Assumptions!$B$11)^(A26-Assumptions!$B$4+1)))*Projection!H20</f>
        <v>9592.71324344935</v>
      </c>
      <c r="J26" s="48" t="n">
        <f aca="false">E26*(IF(A26&lt;Assumptions!$B$5,Assumptions!$B$12*(1+Assumptions!$B$11)^(A26-Assumptions!$B$4+1)+Pricing!$B$14*IF(A26=Assumptions!$B$4,Assumptions!$B$14,Assumptions!$B$15)-Pricing!$B$14,Assumptions!$B$9*(1+Assumptions!$B$10)^(A26-Assumptions!$B$4)+Assumptions!$B$12*(1+Assumptions!$B$11)^(A26-Assumptions!$B$4+1)))*Projection!H20</f>
        <v>9692.74390383142</v>
      </c>
      <c r="K26" s="48" t="n">
        <f aca="false">F26*(IF(A26&lt;Assumptions!$B$5,Assumptions!$B$12*(1+Assumptions!$B$11)^(A26-Assumptions!$B$4+1)+Pricing!$B$14*IF(A26=Assumptions!$B$4,Assumptions!$B$14,Assumptions!$B$15)-Pricing!$B$14,Assumptions!$B$9*(1+Assumptions!$B$10)^(A26-Assumptions!$B$4)+Assumptions!$B$12*(1+Assumptions!$B$11)^(A26-Assumptions!$B$4+1)))*Projection!H20</f>
        <v>9793.73435869958</v>
      </c>
    </row>
    <row r="27" customFormat="false" ht="15" hidden="false" customHeight="true" outlineLevel="0" collapsed="false">
      <c r="A27" s="54" t="n">
        <f aca="false">A26+1</f>
        <v>82</v>
      </c>
      <c r="B27" s="32" t="n">
        <f aca="false">B26*(1-MIN(1,Projection!C20*0.8))*(1-IF(Projection!B20&lt;Assumptions!$B$5,Projection!E20,0))</f>
        <v>0.680587685884497</v>
      </c>
      <c r="C27" s="32" t="n">
        <f aca="false">C26*(1-MIN(1,Projection!C20*0.75))*(1-IF(Projection!B20&lt;Assumptions!$B$5,Projection!E20,0))</f>
        <v>0.688766448685666</v>
      </c>
      <c r="D27" s="32" t="n">
        <f aca="false">D26*(1-MIN(1,Projection!C20*0.7))*(1-IF(Projection!B20&lt;Assumptions!$B$5,Projection!E20,0))</f>
        <v>0.697035863220703</v>
      </c>
      <c r="E27" s="32" t="n">
        <f aca="false">E26*(1-MIN(1,Projection!C20*0.65))*(1-IF(Projection!B20&lt;Assumptions!$B$5,Projection!E20,0))</f>
        <v>0.705396852619496</v>
      </c>
      <c r="F27" s="32" t="n">
        <f aca="false">F26*(1-MIN(1,Projection!C20*0.6))*(1-IF(Projection!B20&lt;Assumptions!$B$5,Projection!E20,0))</f>
        <v>0.713850348610715</v>
      </c>
      <c r="G27" s="48" t="n">
        <f aca="false">B27*(IF(A27&lt;Assumptions!$B$5,Assumptions!$B$12*(1+Assumptions!$B$11)^(A27-Assumptions!$B$4+1)+Pricing!$B$14*IF(A27=Assumptions!$B$4,Assumptions!$B$14,Assumptions!$B$15)-Pricing!$B$14,Assumptions!$B$9*(1+Assumptions!$B$10)^(A27-Assumptions!$B$4)+Assumptions!$B$12*(1+Assumptions!$B$11)^(A27-Assumptions!$B$4+1)))*Projection!H21</f>
        <v>9040.91912310007</v>
      </c>
      <c r="H27" s="48" t="n">
        <f aca="false">C27*(IF(A27&lt;Assumptions!$B$5,Assumptions!$B$12*(1+Assumptions!$B$11)^(A27-Assumptions!$B$4+1)+Pricing!$B$14*IF(A27=Assumptions!$B$4,Assumptions!$B$14,Assumptions!$B$15)-Pricing!$B$14,Assumptions!$B$9*(1+Assumptions!$B$10)^(A27-Assumptions!$B$4)+Assumptions!$B$12*(1+Assumptions!$B$11)^(A27-Assumptions!$B$4+1)))*Projection!H21</f>
        <v>9149.56571566411</v>
      </c>
      <c r="I27" s="48" t="n">
        <f aca="false">D27*(IF(A27&lt;Assumptions!$B$5,Assumptions!$B$12*(1+Assumptions!$B$11)^(A27-Assumptions!$B$4+1)+Pricing!$B$14*IF(A27=Assumptions!$B$4,Assumptions!$B$14,Assumptions!$B$15)-Pricing!$B$14,Assumptions!$B$9*(1+Assumptions!$B$10)^(A27-Assumptions!$B$4)+Assumptions!$B$12*(1+Assumptions!$B$11)^(A27-Assumptions!$B$4+1)))*Projection!H21</f>
        <v>9259.41652483574</v>
      </c>
      <c r="J27" s="48" t="n">
        <f aca="false">E27*(IF(A27&lt;Assumptions!$B$5,Assumptions!$B$12*(1+Assumptions!$B$11)^(A27-Assumptions!$B$4+1)+Pricing!$B$14*IF(A27=Assumptions!$B$4,Assumptions!$B$14,Assumptions!$B$15)-Pricing!$B$14,Assumptions!$B$9*(1+Assumptions!$B$10)^(A27-Assumptions!$B$4)+Assumptions!$B$12*(1+Assumptions!$B$11)^(A27-Assumptions!$B$4+1)))*Projection!H21</f>
        <v>9370.48381346196</v>
      </c>
      <c r="K27" s="48" t="n">
        <f aca="false">F27*(IF(A27&lt;Assumptions!$B$5,Assumptions!$B$12*(1+Assumptions!$B$11)^(A27-Assumptions!$B$4+1)+Pricing!$B$14*IF(A27=Assumptions!$B$4,Assumptions!$B$14,Assumptions!$B$15)-Pricing!$B$14,Assumptions!$B$9*(1+Assumptions!$B$10)^(A27-Assumptions!$B$4)+Assumptions!$B$12*(1+Assumptions!$B$11)^(A27-Assumptions!$B$4+1)))*Projection!H21</f>
        <v>9482.77995861588</v>
      </c>
    </row>
    <row r="28" customFormat="false" ht="15" hidden="false" customHeight="true" outlineLevel="0" collapsed="false">
      <c r="A28" s="54" t="n">
        <f aca="false">A27+1</f>
        <v>83</v>
      </c>
      <c r="B28" s="32" t="n">
        <f aca="false">B27*(1-MIN(1,Projection!C21*0.8))*(1-IF(Projection!B21&lt;Assumptions!$B$5,Projection!E21,0))</f>
        <v>0.662031357100535</v>
      </c>
      <c r="C28" s="32" t="n">
        <f aca="false">C27*(1-MIN(1,Projection!C21*0.75))*(1-IF(Projection!B21&lt;Assumptions!$B$5,Projection!E21,0))</f>
        <v>0.671160832417018</v>
      </c>
      <c r="D28" s="32" t="n">
        <f aca="false">D27*(1-MIN(1,Projection!C21*0.7))*(1-IF(Projection!B21&lt;Assumptions!$B$5,Projection!E21,0))</f>
        <v>0.680406671192478</v>
      </c>
      <c r="E28" s="32" t="n">
        <f aca="false">E27*(1-MIN(1,Projection!C21*0.65))*(1-IF(Projection!B21&lt;Assumptions!$B$5,Projection!E21,0))</f>
        <v>0.689770239538058</v>
      </c>
      <c r="F28" s="32" t="n">
        <f aca="false">F27*(1-MIN(1,Projection!C21*0.6))*(1-IF(Projection!B21&lt;Assumptions!$B$5,Projection!E21,0))</f>
        <v>0.699252918280171</v>
      </c>
      <c r="G28" s="48" t="n">
        <f aca="false">B28*(IF(A28&lt;Assumptions!$B$5,Assumptions!$B$12*(1+Assumptions!$B$11)^(A28-Assumptions!$B$4+1)+Pricing!$B$14*IF(A28=Assumptions!$B$4,Assumptions!$B$14,Assumptions!$B$15)-Pricing!$B$14,Assumptions!$B$9*(1+Assumptions!$B$10)^(A28-Assumptions!$B$4)+Assumptions!$B$12*(1+Assumptions!$B$11)^(A28-Assumptions!$B$4+1)))*Projection!H22</f>
        <v>8682.45465647571</v>
      </c>
      <c r="H28" s="48" t="n">
        <f aca="false">C28*(IF(A28&lt;Assumptions!$B$5,Assumptions!$B$12*(1+Assumptions!$B$11)^(A28-Assumptions!$B$4+1)+Pricing!$B$14*IF(A28=Assumptions!$B$4,Assumptions!$B$14,Assumptions!$B$15)-Pricing!$B$14,Assumptions!$B$9*(1+Assumptions!$B$10)^(A28-Assumptions!$B$4)+Assumptions!$B$12*(1+Assumptions!$B$11)^(A28-Assumptions!$B$4+1)))*Projection!H22</f>
        <v>8802.1865311409</v>
      </c>
      <c r="I28" s="48" t="n">
        <f aca="false">D28*(IF(A28&lt;Assumptions!$B$5,Assumptions!$B$12*(1+Assumptions!$B$11)^(A28-Assumptions!$B$4+1)+Pricing!$B$14*IF(A28=Assumptions!$B$4,Assumptions!$B$14,Assumptions!$B$15)-Pricing!$B$14,Assumptions!$B$9*(1+Assumptions!$B$10)^(A28-Assumptions!$B$4)+Assumptions!$B$12*(1+Assumptions!$B$11)^(A28-Assumptions!$B$4+1)))*Projection!H22</f>
        <v>8923.44449735053</v>
      </c>
      <c r="J28" s="48" t="n">
        <f aca="false">E28*(IF(A28&lt;Assumptions!$B$5,Assumptions!$B$12*(1+Assumptions!$B$11)^(A28-Assumptions!$B$4+1)+Pricing!$B$14*IF(A28=Assumptions!$B$4,Assumptions!$B$14,Assumptions!$B$15)-Pricing!$B$14,Assumptions!$B$9*(1+Assumptions!$B$10)^(A28-Assumptions!$B$4)+Assumptions!$B$12*(1+Assumptions!$B$11)^(A28-Assumptions!$B$4+1)))*Projection!H22</f>
        <v>9046.24647147359</v>
      </c>
      <c r="K28" s="48" t="n">
        <f aca="false">F28*(IF(A28&lt;Assumptions!$B$5,Assumptions!$B$12*(1+Assumptions!$B$11)^(A28-Assumptions!$B$4+1)+Pricing!$B$14*IF(A28=Assumptions!$B$4,Assumptions!$B$14,Assumptions!$B$15)-Pricing!$B$14,Assumptions!$B$9*(1+Assumptions!$B$10)^(A28-Assumptions!$B$4)+Assumptions!$B$12*(1+Assumptions!$B$11)^(A28-Assumptions!$B$4+1)))*Projection!H22</f>
        <v>9170.61056286786</v>
      </c>
    </row>
    <row r="29" customFormat="false" ht="15" hidden="false" customHeight="true" outlineLevel="0" collapsed="false">
      <c r="A29" s="54" t="n">
        <f aca="false">A28+1</f>
        <v>84</v>
      </c>
      <c r="B29" s="32" t="n">
        <f aca="false">B28*(1-MIN(1,Projection!C22*0.8))*(1-IF(Projection!B22&lt;Assumptions!$B$5,Projection!E22,0))</f>
        <v>0.64177347000261</v>
      </c>
      <c r="C29" s="32" t="n">
        <f aca="false">C28*(1-MIN(1,Projection!C22*0.75))*(1-IF(Projection!B22&lt;Assumptions!$B$5,Projection!E22,0))</f>
        <v>0.651907164961597</v>
      </c>
      <c r="D29" s="32" t="n">
        <f aca="false">D28*(1-MIN(1,Projection!C22*0.7))*(1-IF(Projection!B22&lt;Assumptions!$B$5,Projection!E22,0))</f>
        <v>0.662189027563327</v>
      </c>
      <c r="E29" s="32" t="n">
        <f aca="false">E28*(1-MIN(1,Projection!C22*0.65))*(1-IF(Projection!B22&lt;Assumptions!$B$5,Projection!E22,0))</f>
        <v>0.672621057580831</v>
      </c>
      <c r="F29" s="32" t="n">
        <f aca="false">F28*(1-MIN(1,Projection!C22*0.6))*(1-IF(Projection!B22&lt;Assumptions!$B$5,Projection!E22,0))</f>
        <v>0.683205279615305</v>
      </c>
      <c r="G29" s="48" t="n">
        <f aca="false">B29*(IF(A29&lt;Assumptions!$B$5,Assumptions!$B$12*(1+Assumptions!$B$11)^(A29-Assumptions!$B$4+1)+Pricing!$B$14*IF(A29=Assumptions!$B$4,Assumptions!$B$14,Assumptions!$B$15)-Pricing!$B$14,Assumptions!$B$9*(1+Assumptions!$B$10)^(A29-Assumptions!$B$4)+Assumptions!$B$12*(1+Assumptions!$B$11)^(A29-Assumptions!$B$4+1)))*Projection!H23</f>
        <v>8317.35830727166</v>
      </c>
      <c r="H29" s="48" t="n">
        <f aca="false">C29*(IF(A29&lt;Assumptions!$B$5,Assumptions!$B$12*(1+Assumptions!$B$11)^(A29-Assumptions!$B$4+1)+Pricing!$B$14*IF(A29=Assumptions!$B$4,Assumptions!$B$14,Assumptions!$B$15)-Pricing!$B$14,Assumptions!$B$9*(1+Assumptions!$B$10)^(A29-Assumptions!$B$4)+Assumptions!$B$12*(1+Assumptions!$B$11)^(A29-Assumptions!$B$4+1)))*Projection!H23</f>
        <v>8448.69058554447</v>
      </c>
      <c r="I29" s="48" t="n">
        <f aca="false">D29*(IF(A29&lt;Assumptions!$B$5,Assumptions!$B$12*(1+Assumptions!$B$11)^(A29-Assumptions!$B$4+1)+Pricing!$B$14*IF(A29=Assumptions!$B$4,Assumptions!$B$14,Assumptions!$B$15)-Pricing!$B$14,Assumptions!$B$9*(1+Assumptions!$B$10)^(A29-Assumptions!$B$4)+Assumptions!$B$12*(1+Assumptions!$B$11)^(A29-Assumptions!$B$4+1)))*Projection!H23</f>
        <v>8581.94311049596</v>
      </c>
      <c r="J29" s="48" t="n">
        <f aca="false">E29*(IF(A29&lt;Assumptions!$B$5,Assumptions!$B$12*(1+Assumptions!$B$11)^(A29-Assumptions!$B$4+1)+Pricing!$B$14*IF(A29=Assumptions!$B$4,Assumptions!$B$14,Assumptions!$B$15)-Pricing!$B$14,Assumptions!$B$9*(1+Assumptions!$B$10)^(A29-Assumptions!$B$4)+Assumptions!$B$12*(1+Assumptions!$B$11)^(A29-Assumptions!$B$4+1)))*Projection!H23</f>
        <v>8717.14179910401</v>
      </c>
      <c r="K29" s="48" t="n">
        <f aca="false">F29*(IF(A29&lt;Assumptions!$B$5,Assumptions!$B$12*(1+Assumptions!$B$11)^(A29-Assumptions!$B$4+1)+Pricing!$B$14*IF(A29=Assumptions!$B$4,Assumptions!$B$14,Assumptions!$B$15)-Pricing!$B$14,Assumptions!$B$9*(1+Assumptions!$B$10)^(A29-Assumptions!$B$4)+Assumptions!$B$12*(1+Assumptions!$B$11)^(A29-Assumptions!$B$4+1)))*Projection!H23</f>
        <v>8854.31289011854</v>
      </c>
    </row>
    <row r="30" customFormat="false" ht="15" hidden="false" customHeight="true" outlineLevel="0" collapsed="false">
      <c r="A30" s="54" t="n">
        <f aca="false">A29+1</f>
        <v>85</v>
      </c>
      <c r="B30" s="32" t="n">
        <f aca="false">B29*(1-MIN(1,Projection!C23*0.8))*(1-IF(Projection!B23&lt;Assumptions!$B$5,Projection!E23,0))</f>
        <v>0.619744416154163</v>
      </c>
      <c r="C30" s="32" t="n">
        <f aca="false">C29*(1-MIN(1,Projection!C23*0.75))*(1-IF(Projection!B23&lt;Assumptions!$B$5,Projection!E23,0))</f>
        <v>0.630928825184632</v>
      </c>
      <c r="D30" s="32" t="n">
        <f aca="false">D29*(1-MIN(1,Projection!C23*0.7))*(1-IF(Projection!B23&lt;Assumptions!$B$5,Projection!E23,0))</f>
        <v>0.642300431938245</v>
      </c>
      <c r="E30" s="32" t="n">
        <f aca="false">E29*(1-MIN(1,Projection!C23*0.65))*(1-IF(Projection!B23&lt;Assumptions!$B$5,Projection!E23,0))</f>
        <v>0.653862134021242</v>
      </c>
      <c r="F30" s="32" t="n">
        <f aca="false">F29*(1-MIN(1,Projection!C23*0.6))*(1-IF(Projection!B23&lt;Assumptions!$B$5,Projection!E23,0))</f>
        <v>0.665616870389545</v>
      </c>
      <c r="G30" s="48" t="n">
        <f aca="false">B30*(IF(A30&lt;Assumptions!$B$5,Assumptions!$B$12*(1+Assumptions!$B$11)^(A30-Assumptions!$B$4+1)+Pricing!$B$14*IF(A30=Assumptions!$B$4,Assumptions!$B$14,Assumptions!$B$15)-Pricing!$B$14,Assumptions!$B$9*(1+Assumptions!$B$10)^(A30-Assumptions!$B$4)+Assumptions!$B$12*(1+Assumptions!$B$11)^(A30-Assumptions!$B$4+1)))*Projection!H24</f>
        <v>7939.60960219825</v>
      </c>
      <c r="H30" s="48" t="n">
        <f aca="false">C30*(IF(A30&lt;Assumptions!$B$5,Assumptions!$B$12*(1+Assumptions!$B$11)^(A30-Assumptions!$B$4+1)+Pricing!$B$14*IF(A30=Assumptions!$B$4,Assumptions!$B$14,Assumptions!$B$15)-Pricing!$B$14,Assumptions!$B$9*(1+Assumptions!$B$10)^(A30-Assumptions!$B$4)+Assumptions!$B$12*(1+Assumptions!$B$11)^(A30-Assumptions!$B$4+1)))*Projection!H24</f>
        <v>8082.8942192413</v>
      </c>
      <c r="I30" s="48" t="n">
        <f aca="false">D30*(IF(A30&lt;Assumptions!$B$5,Assumptions!$B$12*(1+Assumptions!$B$11)^(A30-Assumptions!$B$4+1)+Pricing!$B$14*IF(A30=Assumptions!$B$4,Assumptions!$B$14,Assumptions!$B$15)-Pricing!$B$14,Assumptions!$B$9*(1+Assumptions!$B$10)^(A30-Assumptions!$B$4)+Assumptions!$B$12*(1+Assumptions!$B$11)^(A30-Assumptions!$B$4+1)))*Projection!H24</f>
        <v>8228.57704561299</v>
      </c>
      <c r="J30" s="48" t="n">
        <f aca="false">E30*(IF(A30&lt;Assumptions!$B$5,Assumptions!$B$12*(1+Assumptions!$B$11)^(A30-Assumptions!$B$4+1)+Pricing!$B$14*IF(A30=Assumptions!$B$4,Assumptions!$B$14,Assumptions!$B$15)-Pricing!$B$14,Assumptions!$B$9*(1+Assumptions!$B$10)^(A30-Assumptions!$B$4)+Assumptions!$B$12*(1+Assumptions!$B$11)^(A30-Assumptions!$B$4+1)))*Projection!H24</f>
        <v>8376.69520284554</v>
      </c>
      <c r="K30" s="48" t="n">
        <f aca="false">F30*(IF(A30&lt;Assumptions!$B$5,Assumptions!$B$12*(1+Assumptions!$B$11)^(A30-Assumptions!$B$4+1)+Pricing!$B$14*IF(A30=Assumptions!$B$4,Assumptions!$B$14,Assumptions!$B$15)-Pricing!$B$14,Assumptions!$B$9*(1+Assumptions!$B$10)^(A30-Assumptions!$B$4)+Assumptions!$B$12*(1+Assumptions!$B$11)^(A30-Assumptions!$B$4+1)))*Projection!H24</f>
        <v>8527.28634220625</v>
      </c>
    </row>
    <row r="31" customFormat="false" ht="15" hidden="false" customHeight="true" outlineLevel="0" collapsed="false">
      <c r="A31" s="54" t="n">
        <f aca="false">A30+1</f>
        <v>86</v>
      </c>
      <c r="B31" s="32" t="n">
        <f aca="false">B30*(1-MIN(1,Projection!C24*0.8))*(1-IF(Projection!B24&lt;Assumptions!$B$5,Projection!E24,0))</f>
        <v>0.595115106399543</v>
      </c>
      <c r="C31" s="32" t="n">
        <f aca="false">C30*(1-MIN(1,Projection!C24*0.75))*(1-IF(Projection!B24&lt;Assumptions!$B$5,Projection!E24,0))</f>
        <v>0.607422146871648</v>
      </c>
      <c r="D31" s="32" t="n">
        <f aca="false">D30*(1-MIN(1,Projection!C24*0.7))*(1-IF(Projection!B24&lt;Assumptions!$B$5,Projection!E24,0))</f>
        <v>0.619965435613609</v>
      </c>
      <c r="E31" s="32" t="n">
        <f aca="false">E30*(1-MIN(1,Projection!C24*0.65))*(1-IF(Projection!B24&lt;Assumptions!$B$5,Projection!E24,0))</f>
        <v>0.632749171563842</v>
      </c>
      <c r="F31" s="32" t="n">
        <f aca="false">F30*(1-MIN(1,Projection!C24*0.6))*(1-IF(Projection!B24&lt;Assumptions!$B$5,Projection!E24,0))</f>
        <v>0.645777622566479</v>
      </c>
      <c r="G31" s="48" t="n">
        <f aca="false">B31*(IF(A31&lt;Assumptions!$B$5,Assumptions!$B$12*(1+Assumptions!$B$11)^(A31-Assumptions!$B$4+1)+Pricing!$B$14*IF(A31=Assumptions!$B$4,Assumptions!$B$14,Assumptions!$B$15)-Pricing!$B$14,Assumptions!$B$9*(1+Assumptions!$B$10)^(A31-Assumptions!$B$4)+Assumptions!$B$12*(1+Assumptions!$B$11)^(A31-Assumptions!$B$4+1)))*Projection!H25</f>
        <v>7536.36657703333</v>
      </c>
      <c r="H31" s="48" t="n">
        <f aca="false">C31*(IF(A31&lt;Assumptions!$B$5,Assumptions!$B$12*(1+Assumptions!$B$11)^(A31-Assumptions!$B$4+1)+Pricing!$B$14*IF(A31=Assumptions!$B$4,Assumptions!$B$14,Assumptions!$B$15)-Pricing!$B$14,Assumptions!$B$9*(1+Assumptions!$B$10)^(A31-Assumptions!$B$4)+Assumptions!$B$12*(1+Assumptions!$B$11)^(A31-Assumptions!$B$4+1)))*Projection!H25</f>
        <v>7692.2193985779</v>
      </c>
      <c r="I31" s="48" t="n">
        <f aca="false">D31*(IF(A31&lt;Assumptions!$B$5,Assumptions!$B$12*(1+Assumptions!$B$11)^(A31-Assumptions!$B$4+1)+Pricing!$B$14*IF(A31=Assumptions!$B$4,Assumptions!$B$14,Assumptions!$B$15)-Pricing!$B$14,Assumptions!$B$9*(1+Assumptions!$B$10)^(A31-Assumptions!$B$4)+Assumptions!$B$12*(1+Assumptions!$B$11)^(A31-Assumptions!$B$4+1)))*Projection!H25</f>
        <v>7851.06400027674</v>
      </c>
      <c r="J31" s="48" t="n">
        <f aca="false">E31*(IF(A31&lt;Assumptions!$B$5,Assumptions!$B$12*(1+Assumptions!$B$11)^(A31-Assumptions!$B$4+1)+Pricing!$B$14*IF(A31=Assumptions!$B$4,Assumptions!$B$14,Assumptions!$B$15)-Pricing!$B$14,Assumptions!$B$9*(1+Assumptions!$B$10)^(A31-Assumptions!$B$4)+Assumptions!$B$12*(1+Assumptions!$B$11)^(A31-Assumptions!$B$4+1)))*Projection!H25</f>
        <v>8012.95355627849</v>
      </c>
      <c r="K31" s="48" t="n">
        <f aca="false">F31*(IF(A31&lt;Assumptions!$B$5,Assumptions!$B$12*(1+Assumptions!$B$11)^(A31-Assumptions!$B$4+1)+Pricing!$B$14*IF(A31=Assumptions!$B$4,Assumptions!$B$14,Assumptions!$B$15)-Pricing!$B$14,Assumptions!$B$9*(1+Assumptions!$B$10)^(A31-Assumptions!$B$4)+Assumptions!$B$12*(1+Assumptions!$B$11)^(A31-Assumptions!$B$4+1)))*Projection!H25</f>
        <v>8177.94211333399</v>
      </c>
    </row>
    <row r="32" customFormat="false" ht="15" hidden="false" customHeight="true" outlineLevel="0" collapsed="false">
      <c r="A32" s="54" t="n">
        <f aca="false">A31+1</f>
        <v>87</v>
      </c>
      <c r="B32" s="32" t="n">
        <f aca="false">B31*(1-MIN(1,Projection!C25*0.8))*(1-IF(Projection!B25&lt;Assumptions!$B$5,Projection!E25,0))</f>
        <v>0.568289504069071</v>
      </c>
      <c r="C32" s="32" t="n">
        <f aca="false">C31*(1-MIN(1,Projection!C25*0.75))*(1-IF(Projection!B25&lt;Assumptions!$B$5,Projection!E25,0))</f>
        <v>0.581753060783072</v>
      </c>
      <c r="D32" s="32" t="n">
        <f aca="false">D31*(1-MIN(1,Projection!C25*0.7))*(1-IF(Projection!B25&lt;Assumptions!$B$5,Projection!E25,0))</f>
        <v>0.59551289223398</v>
      </c>
      <c r="E32" s="32" t="n">
        <f aca="false">E31*(1-MIN(1,Projection!C25*0.65))*(1-IF(Projection!B25&lt;Assumptions!$B$5,Projection!E25,0))</f>
        <v>0.609575040301867</v>
      </c>
      <c r="F32" s="32" t="n">
        <f aca="false">F31*(1-MIN(1,Projection!C25*0.6))*(1-IF(Projection!B25&lt;Assumptions!$B$5,Projection!E25,0))</f>
        <v>0.623945660761192</v>
      </c>
      <c r="G32" s="48" t="n">
        <f aca="false">B32*(IF(A32&lt;Assumptions!$B$5,Assumptions!$B$12*(1+Assumptions!$B$11)^(A32-Assumptions!$B$4+1)+Pricing!$B$14*IF(A32=Assumptions!$B$4,Assumptions!$B$14,Assumptions!$B$15)-Pricing!$B$14,Assumptions!$B$9*(1+Assumptions!$B$10)^(A32-Assumptions!$B$4)+Assumptions!$B$12*(1+Assumptions!$B$11)^(A32-Assumptions!$B$4+1)))*Projection!H26</f>
        <v>7113.72102992169</v>
      </c>
      <c r="H32" s="48" t="n">
        <f aca="false">C32*(IF(A32&lt;Assumptions!$B$5,Assumptions!$B$12*(1+Assumptions!$B$11)^(A32-Assumptions!$B$4+1)+Pricing!$B$14*IF(A32=Assumptions!$B$4,Assumptions!$B$14,Assumptions!$B$15)-Pricing!$B$14,Assumptions!$B$9*(1+Assumptions!$B$10)^(A32-Assumptions!$B$4)+Assumptions!$B$12*(1+Assumptions!$B$11)^(A32-Assumptions!$B$4+1)))*Projection!H26</f>
        <v>7282.25482448971</v>
      </c>
      <c r="I32" s="48" t="n">
        <f aca="false">D32*(IF(A32&lt;Assumptions!$B$5,Assumptions!$B$12*(1+Assumptions!$B$11)^(A32-Assumptions!$B$4+1)+Pricing!$B$14*IF(A32=Assumptions!$B$4,Assumptions!$B$14,Assumptions!$B$15)-Pricing!$B$14,Assumptions!$B$9*(1+Assumptions!$B$10)^(A32-Assumptions!$B$4)+Assumptions!$B$12*(1+Assumptions!$B$11)^(A32-Assumptions!$B$4+1)))*Projection!H26</f>
        <v>7454.49732001291</v>
      </c>
      <c r="J32" s="48" t="n">
        <f aca="false">E32*(IF(A32&lt;Assumptions!$B$5,Assumptions!$B$12*(1+Assumptions!$B$11)^(A32-Assumptions!$B$4+1)+Pricing!$B$14*IF(A32=Assumptions!$B$4,Assumptions!$B$14,Assumptions!$B$15)-Pricing!$B$14,Assumptions!$B$9*(1+Assumptions!$B$10)^(A32-Assumptions!$B$4)+Assumptions!$B$12*(1+Assumptions!$B$11)^(A32-Assumptions!$B$4+1)))*Projection!H26</f>
        <v>7630.52414739602</v>
      </c>
      <c r="K32" s="48" t="n">
        <f aca="false">F32*(IF(A32&lt;Assumptions!$B$5,Assumptions!$B$12*(1+Assumptions!$B$11)^(A32-Assumptions!$B$4+1)+Pricing!$B$14*IF(A32=Assumptions!$B$4,Assumptions!$B$14,Assumptions!$B$15)-Pricing!$B$14,Assumptions!$B$9*(1+Assumptions!$B$10)^(A32-Assumptions!$B$4)+Assumptions!$B$12*(1+Assumptions!$B$11)^(A32-Assumptions!$B$4+1)))*Projection!H26</f>
        <v>7810.41236324823</v>
      </c>
    </row>
    <row r="33" customFormat="false" ht="15" hidden="false" customHeight="true" outlineLevel="0" collapsed="false">
      <c r="A33" s="54" t="n">
        <f aca="false">A32+1</f>
        <v>88</v>
      </c>
      <c r="B33" s="32" t="n">
        <f aca="false">B32*(1-MIN(1,Projection!C26*0.8))*(1-IF(Projection!B26&lt;Assumptions!$B$5,Projection!E26,0))</f>
        <v>0.539238434111927</v>
      </c>
      <c r="C33" s="32" t="n">
        <f aca="false">C32*(1-MIN(1,Projection!C26*0.75))*(1-IF(Projection!B26&lt;Assumptions!$B$5,Projection!E26,0))</f>
        <v>0.553872439288251</v>
      </c>
      <c r="D33" s="32" t="n">
        <f aca="false">D32*(1-MIN(1,Projection!C26*0.7))*(1-IF(Projection!B26&lt;Assumptions!$B$5,Projection!E26,0))</f>
        <v>0.568875499236754</v>
      </c>
      <c r="E33" s="32" t="n">
        <f aca="false">E32*(1-MIN(1,Projection!C26*0.65))*(1-IF(Projection!B26&lt;Assumptions!$B$5,Projection!E26,0))</f>
        <v>0.584256244691222</v>
      </c>
      <c r="F33" s="32" t="n">
        <f aca="false">F32*(1-MIN(1,Projection!C26*0.6))*(1-IF(Projection!B26&lt;Assumptions!$B$5,Projection!E26,0))</f>
        <v>0.600023493128619</v>
      </c>
      <c r="G33" s="48" t="n">
        <f aca="false">B33*(IF(A33&lt;Assumptions!$B$5,Assumptions!$B$12*(1+Assumptions!$B$11)^(A33-Assumptions!$B$4+1)+Pricing!$B$14*IF(A33=Assumptions!$B$4,Assumptions!$B$14,Assumptions!$B$15)-Pricing!$B$14,Assumptions!$B$9*(1+Assumptions!$B$10)^(A33-Assumptions!$B$4)+Assumptions!$B$12*(1+Assumptions!$B$11)^(A33-Assumptions!$B$4+1)))*Projection!H27</f>
        <v>6672.15042713982</v>
      </c>
      <c r="H33" s="48" t="n">
        <f aca="false">C33*(IF(A33&lt;Assumptions!$B$5,Assumptions!$B$12*(1+Assumptions!$B$11)^(A33-Assumptions!$B$4+1)+Pricing!$B$14*IF(A33=Assumptions!$B$4,Assumptions!$B$14,Assumptions!$B$15)-Pricing!$B$14,Assumptions!$B$9*(1+Assumptions!$B$10)^(A33-Assumptions!$B$4)+Assumptions!$B$12*(1+Assumptions!$B$11)^(A33-Assumptions!$B$4+1)))*Projection!H27</f>
        <v>6853.22113299331</v>
      </c>
      <c r="I33" s="48" t="n">
        <f aca="false">D33*(IF(A33&lt;Assumptions!$B$5,Assumptions!$B$12*(1+Assumptions!$B$11)^(A33-Assumptions!$B$4+1)+Pricing!$B$14*IF(A33=Assumptions!$B$4,Assumptions!$B$14,Assumptions!$B$15)-Pricing!$B$14,Assumptions!$B$9*(1+Assumptions!$B$10)^(A33-Assumptions!$B$4)+Assumptions!$B$12*(1+Assumptions!$B$11)^(A33-Assumptions!$B$4+1)))*Projection!H27</f>
        <v>7038.85825844908</v>
      </c>
      <c r="J33" s="48" t="n">
        <f aca="false">E33*(IF(A33&lt;Assumptions!$B$5,Assumptions!$B$12*(1+Assumptions!$B$11)^(A33-Assumptions!$B$4+1)+Pricing!$B$14*IF(A33=Assumptions!$B$4,Assumptions!$B$14,Assumptions!$B$15)-Pricing!$B$14,Assumptions!$B$9*(1+Assumptions!$B$10)^(A33-Assumptions!$B$4)+Assumptions!$B$12*(1+Assumptions!$B$11)^(A33-Assumptions!$B$4+1)))*Projection!H27</f>
        <v>7229.1685940296</v>
      </c>
      <c r="K33" s="48" t="n">
        <f aca="false">F33*(IF(A33&lt;Assumptions!$B$5,Assumptions!$B$12*(1+Assumptions!$B$11)^(A33-Assumptions!$B$4+1)+Pricing!$B$14*IF(A33=Assumptions!$B$4,Assumptions!$B$14,Assumptions!$B$15)-Pricing!$B$14,Assumptions!$B$9*(1+Assumptions!$B$10)^(A33-Assumptions!$B$4)+Assumptions!$B$12*(1+Assumptions!$B$11)^(A33-Assumptions!$B$4+1)))*Projection!H27</f>
        <v>7424.26124088377</v>
      </c>
    </row>
    <row r="34" customFormat="false" ht="15" hidden="false" customHeight="true" outlineLevel="0" collapsed="false">
      <c r="A34" s="54" t="n">
        <f aca="false">A33+1</f>
        <v>89</v>
      </c>
      <c r="B34" s="32" t="n">
        <f aca="false">B33*(1-MIN(1,Projection!C27*0.8))*(1-IF(Projection!B27&lt;Assumptions!$B$5,Projection!E27,0))</f>
        <v>0.507993121665554</v>
      </c>
      <c r="C34" s="32" t="n">
        <f aca="false">C33*(1-MIN(1,Projection!C27*0.75))*(1-IF(Projection!B27&lt;Assumptions!$B$5,Projection!E27,0))</f>
        <v>0.523785011249291</v>
      </c>
      <c r="D34" s="32" t="n">
        <f aca="false">D33*(1-MIN(1,Projection!C27*0.7))*(1-IF(Projection!B27&lt;Assumptions!$B$5,Projection!E27,0))</f>
        <v>0.540033237366528</v>
      </c>
      <c r="E34" s="32" t="n">
        <f aca="false">E33*(1-MIN(1,Projection!C27*0.65))*(1-IF(Projection!B27&lt;Assumptions!$B$5,Projection!E27,0))</f>
        <v>0.556750033979161</v>
      </c>
      <c r="F34" s="32" t="n">
        <f aca="false">F33*(1-MIN(1,Projection!C27*0.6))*(1-IF(Projection!B27&lt;Assumptions!$B$5,Projection!E27,0))</f>
        <v>0.573947938700394</v>
      </c>
      <c r="G34" s="48" t="n">
        <f aca="false">B34*(IF(A34&lt;Assumptions!$B$5,Assumptions!$B$12*(1+Assumptions!$B$11)^(A34-Assumptions!$B$4+1)+Pricing!$B$14*IF(A34=Assumptions!$B$4,Assumptions!$B$14,Assumptions!$B$15)-Pricing!$B$14,Assumptions!$B$9*(1+Assumptions!$B$10)^(A34-Assumptions!$B$4)+Assumptions!$B$12*(1+Assumptions!$B$11)^(A34-Assumptions!$B$4+1)))*Projection!H28</f>
        <v>6211.42482862316</v>
      </c>
      <c r="H34" s="48" t="n">
        <f aca="false">C34*(IF(A34&lt;Assumptions!$B$5,Assumptions!$B$12*(1+Assumptions!$B$11)^(A34-Assumptions!$B$4+1)+Pricing!$B$14*IF(A34=Assumptions!$B$4,Assumptions!$B$14,Assumptions!$B$15)-Pricing!$B$14,Assumptions!$B$9*(1+Assumptions!$B$10)^(A34-Assumptions!$B$4)+Assumptions!$B$12*(1+Assumptions!$B$11)^(A34-Assumptions!$B$4+1)))*Projection!H28</f>
        <v>6404.51826014384</v>
      </c>
      <c r="I34" s="48" t="n">
        <f aca="false">D34*(IF(A34&lt;Assumptions!$B$5,Assumptions!$B$12*(1+Assumptions!$B$11)^(A34-Assumptions!$B$4+1)+Pricing!$B$14*IF(A34=Assumptions!$B$4,Assumptions!$B$14,Assumptions!$B$15)-Pricing!$B$14,Assumptions!$B$9*(1+Assumptions!$B$10)^(A34-Assumptions!$B$4)+Assumptions!$B$12*(1+Assumptions!$B$11)^(A34-Assumptions!$B$4+1)))*Projection!H28</f>
        <v>6603.19149177105</v>
      </c>
      <c r="J34" s="48" t="n">
        <f aca="false">E34*(IF(A34&lt;Assumptions!$B$5,Assumptions!$B$12*(1+Assumptions!$B$11)^(A34-Assumptions!$B$4+1)+Pricing!$B$14*IF(A34=Assumptions!$B$4,Assumptions!$B$14,Assumptions!$B$15)-Pricing!$B$14,Assumptions!$B$9*(1+Assumptions!$B$10)^(A34-Assumptions!$B$4)+Assumptions!$B$12*(1+Assumptions!$B$11)^(A34-Assumptions!$B$4+1)))*Projection!H28</f>
        <v>6807.59411280322</v>
      </c>
      <c r="K34" s="48" t="n">
        <f aca="false">F34*(IF(A34&lt;Assumptions!$B$5,Assumptions!$B$12*(1+Assumptions!$B$11)^(A34-Assumptions!$B$4+1)+Pricing!$B$14*IF(A34=Assumptions!$B$4,Assumptions!$B$14,Assumptions!$B$15)-Pricing!$B$14,Assumptions!$B$9*(1+Assumptions!$B$10)^(A34-Assumptions!$B$4)+Assumptions!$B$12*(1+Assumptions!$B$11)^(A34-Assumptions!$B$4+1)))*Projection!H28</f>
        <v>7017.87942539863</v>
      </c>
    </row>
    <row r="35" customFormat="false" ht="15" hidden="false" customHeight="true" outlineLevel="0" collapsed="false">
      <c r="A35" s="54" t="n">
        <f aca="false">A34+1</f>
        <v>90</v>
      </c>
      <c r="B35" s="32" t="n">
        <f aca="false">B34*(1-MIN(1,Projection!C28*0.8))*(1-IF(Projection!B28&lt;Assumptions!$B$5,Projection!E28,0))</f>
        <v>0.474660296886261</v>
      </c>
      <c r="C35" s="32" t="n">
        <f aca="false">C34*(1-MIN(1,Projection!C28*0.75))*(1-IF(Projection!B28&lt;Assumptions!$B$5,Projection!E28,0))</f>
        <v>0.491564039785736</v>
      </c>
      <c r="D35" s="32" t="n">
        <f aca="false">D34*(1-MIN(1,Projection!C28*0.7))*(1-IF(Projection!B28&lt;Assumptions!$B$5,Projection!E28,0))</f>
        <v>0.509027445270418</v>
      </c>
      <c r="E35" s="32" t="n">
        <f aca="false">E34*(1-MIN(1,Projection!C28*0.65))*(1-IF(Projection!B28&lt;Assumptions!$B$5,Projection!E28,0))</f>
        <v>0.527067709433185</v>
      </c>
      <c r="F35" s="32" t="n">
        <f aca="false">F34*(1-MIN(1,Projection!C28*0.6))*(1-IF(Projection!B28&lt;Assumptions!$B$5,Projection!E28,0))</f>
        <v>0.545702517762787</v>
      </c>
      <c r="G35" s="48" t="n">
        <f aca="false">B35*(IF(A35&lt;Assumptions!$B$5,Assumptions!$B$12*(1+Assumptions!$B$11)^(A35-Assumptions!$B$4+1)+Pricing!$B$14*IF(A35=Assumptions!$B$4,Assumptions!$B$14,Assumptions!$B$15)-Pricing!$B$14,Assumptions!$B$9*(1+Assumptions!$B$10)^(A35-Assumptions!$B$4)+Assumptions!$B$12*(1+Assumptions!$B$11)^(A35-Assumptions!$B$4+1)))*Projection!H29</f>
        <v>5736.58162697616</v>
      </c>
      <c r="H35" s="48" t="n">
        <f aca="false">C35*(IF(A35&lt;Assumptions!$B$5,Assumptions!$B$12*(1+Assumptions!$B$11)^(A35-Assumptions!$B$4+1)+Pricing!$B$14*IF(A35=Assumptions!$B$4,Assumptions!$B$14,Assumptions!$B$15)-Pricing!$B$14,Assumptions!$B$9*(1+Assumptions!$B$10)^(A35-Assumptions!$B$4)+Assumptions!$B$12*(1+Assumptions!$B$11)^(A35-Assumptions!$B$4+1)))*Projection!H29</f>
        <v>5940.87446878403</v>
      </c>
      <c r="I35" s="48" t="n">
        <f aca="false">D35*(IF(A35&lt;Assumptions!$B$5,Assumptions!$B$12*(1+Assumptions!$B$11)^(A35-Assumptions!$B$4+1)+Pricing!$B$14*IF(A35=Assumptions!$B$4,Assumptions!$B$14,Assumptions!$B$15)-Pricing!$B$14,Assumptions!$B$9*(1+Assumptions!$B$10)^(A35-Assumptions!$B$4)+Assumptions!$B$12*(1+Assumptions!$B$11)^(A35-Assumptions!$B$4+1)))*Projection!H29</f>
        <v>6151.93120073536</v>
      </c>
      <c r="J35" s="48" t="n">
        <f aca="false">E35*(IF(A35&lt;Assumptions!$B$5,Assumptions!$B$12*(1+Assumptions!$B$11)^(A35-Assumptions!$B$4+1)+Pricing!$B$14*IF(A35=Assumptions!$B$4,Assumptions!$B$14,Assumptions!$B$15)-Pricing!$B$14,Assumptions!$B$9*(1+Assumptions!$B$10)^(A35-Assumptions!$B$4)+Assumptions!$B$12*(1+Assumptions!$B$11)^(A35-Assumptions!$B$4+1)))*Projection!H29</f>
        <v>6369.95964891358</v>
      </c>
      <c r="K35" s="48" t="n">
        <f aca="false">F35*(IF(A35&lt;Assumptions!$B$5,Assumptions!$B$12*(1+Assumptions!$B$11)^(A35-Assumptions!$B$4+1)+Pricing!$B$14*IF(A35=Assumptions!$B$4,Assumptions!$B$14,Assumptions!$B$15)-Pricing!$B$14,Assumptions!$B$9*(1+Assumptions!$B$10)^(A35-Assumptions!$B$4)+Assumptions!$B$12*(1+Assumptions!$B$11)^(A35-Assumptions!$B$4+1)))*Projection!H29</f>
        <v>6595.17355407286</v>
      </c>
    </row>
    <row r="36" customFormat="false" ht="15" hidden="false" customHeight="true" outlineLevel="0" collapsed="false">
      <c r="A36" s="54" t="n">
        <f aca="false">A35+1</f>
        <v>91</v>
      </c>
      <c r="B36" s="32" t="n">
        <f aca="false">B35*(1-MIN(1,Projection!C29*0.8))*(1-IF(Projection!B29&lt;Assumptions!$B$5,Projection!E29,0))</f>
        <v>0.438312441214971</v>
      </c>
      <c r="C36" s="32" t="n">
        <f aca="false">C35*(1-MIN(1,Projection!C29*0.75))*(1-IF(Projection!B29&lt;Assumptions!$B$5,Projection!E29,0))</f>
        <v>0.45627439641762</v>
      </c>
      <c r="D36" s="32" t="n">
        <f aca="false">D35*(1-MIN(1,Projection!C29*0.7))*(1-IF(Projection!B29&lt;Assumptions!$B$5,Projection!E29,0))</f>
        <v>0.474920318119825</v>
      </c>
      <c r="E36" s="32" t="n">
        <f aca="false">E35*(1-MIN(1,Projection!C29*0.65))*(1-IF(Projection!B29&lt;Assumptions!$B$5,Projection!E29,0))</f>
        <v>0.494274368194865</v>
      </c>
      <c r="F36" s="32" t="n">
        <f aca="false">F35*(1-MIN(1,Projection!C29*0.6))*(1-IF(Projection!B29&lt;Assumptions!$B$5,Projection!E29,0))</f>
        <v>0.514361499009136</v>
      </c>
      <c r="G36" s="48" t="n">
        <f aca="false">B36*(IF(A36&lt;Assumptions!$B$5,Assumptions!$B$12*(1+Assumptions!$B$11)^(A36-Assumptions!$B$4+1)+Pricing!$B$14*IF(A36=Assumptions!$B$4,Assumptions!$B$14,Assumptions!$B$15)-Pricing!$B$14,Assumptions!$B$9*(1+Assumptions!$B$10)^(A36-Assumptions!$B$4)+Assumptions!$B$12*(1+Assumptions!$B$11)^(A36-Assumptions!$B$4+1)))*Projection!H30</f>
        <v>5234.47512163848</v>
      </c>
      <c r="H36" s="48" t="n">
        <f aca="false">C36*(IF(A36&lt;Assumptions!$B$5,Assumptions!$B$12*(1+Assumptions!$B$11)^(A36-Assumptions!$B$4+1)+Pricing!$B$14*IF(A36=Assumptions!$B$4,Assumptions!$B$14,Assumptions!$B$15)-Pricing!$B$14,Assumptions!$B$9*(1+Assumptions!$B$10)^(A36-Assumptions!$B$4)+Assumptions!$B$12*(1+Assumptions!$B$11)^(A36-Assumptions!$B$4+1)))*Projection!H30</f>
        <v>5448.98285357425</v>
      </c>
      <c r="I36" s="48" t="n">
        <f aca="false">D36*(IF(A36&lt;Assumptions!$B$5,Assumptions!$B$12*(1+Assumptions!$B$11)^(A36-Assumptions!$B$4+1)+Pricing!$B$14*IF(A36=Assumptions!$B$4,Assumptions!$B$14,Assumptions!$B$15)-Pricing!$B$14,Assumptions!$B$9*(1+Assumptions!$B$10)^(A36-Assumptions!$B$4)+Assumptions!$B$12*(1+Assumptions!$B$11)^(A36-Assumptions!$B$4+1)))*Projection!H30</f>
        <v>5671.65874431481</v>
      </c>
      <c r="J36" s="48" t="n">
        <f aca="false">E36*(IF(A36&lt;Assumptions!$B$5,Assumptions!$B$12*(1+Assumptions!$B$11)^(A36-Assumptions!$B$4+1)+Pricing!$B$14*IF(A36=Assumptions!$B$4,Assumptions!$B$14,Assumptions!$B$15)-Pricing!$B$14,Assumptions!$B$9*(1+Assumptions!$B$10)^(A36-Assumptions!$B$4)+Assumptions!$B$12*(1+Assumptions!$B$11)^(A36-Assumptions!$B$4+1)))*Projection!H30</f>
        <v>5902.7913431065</v>
      </c>
      <c r="K36" s="48" t="n">
        <f aca="false">F36*(IF(A36&lt;Assumptions!$B$5,Assumptions!$B$12*(1+Assumptions!$B$11)^(A36-Assumptions!$B$4+1)+Pricing!$B$14*IF(A36=Assumptions!$B$4,Assumptions!$B$14,Assumptions!$B$15)-Pricing!$B$14,Assumptions!$B$9*(1+Assumptions!$B$10)^(A36-Assumptions!$B$4)+Assumptions!$B$12*(1+Assumptions!$B$11)^(A36-Assumptions!$B$4+1)))*Projection!H30</f>
        <v>6142.67863953126</v>
      </c>
    </row>
    <row r="37" customFormat="false" ht="15" hidden="false" customHeight="true" outlineLevel="0" collapsed="false">
      <c r="A37" s="54" t="n">
        <f aca="false">A36+1</f>
        <v>92</v>
      </c>
      <c r="B37" s="32" t="n">
        <f aca="false">B36*(1-MIN(1,Projection!C30*0.8))*(1-IF(Projection!B30&lt;Assumptions!$B$5,Projection!E30,0))</f>
        <v>0.400483783516573</v>
      </c>
      <c r="C37" s="32" t="n">
        <f aca="false">C36*(1-MIN(1,Projection!C30*0.75))*(1-IF(Projection!B30&lt;Assumptions!$B$5,Projection!E30,0))</f>
        <v>0.419356707254252</v>
      </c>
      <c r="D37" s="32" t="n">
        <f aca="false">D36*(1-MIN(1,Projection!C30*0.7))*(1-IF(Projection!B30&lt;Assumptions!$B$5,Projection!E30,0))</f>
        <v>0.439055722681755</v>
      </c>
      <c r="E37" s="32" t="n">
        <f aca="false">E36*(1-MIN(1,Projection!C30*0.65))*(1-IF(Projection!B30&lt;Assumptions!$B$5,Projection!E30,0))</f>
        <v>0.459614365473379</v>
      </c>
      <c r="F37" s="32" t="n">
        <f aca="false">F36*(1-MIN(1,Projection!C30*0.6))*(1-IF(Projection!B30&lt;Assumptions!$B$5,Projection!E30,0))</f>
        <v>0.481067431952798</v>
      </c>
      <c r="G37" s="48" t="n">
        <f aca="false">B37*(IF(A37&lt;Assumptions!$B$5,Assumptions!$B$12*(1+Assumptions!$B$11)^(A37-Assumptions!$B$4+1)+Pricing!$B$14*IF(A37=Assumptions!$B$4,Assumptions!$B$14,Assumptions!$B$15)-Pricing!$B$14,Assumptions!$B$9*(1+Assumptions!$B$10)^(A37-Assumptions!$B$4)+Assumptions!$B$12*(1+Assumptions!$B$11)^(A37-Assumptions!$B$4+1)))*Projection!H31</f>
        <v>4727.05028851535</v>
      </c>
      <c r="H37" s="48" t="n">
        <f aca="false">C37*(IF(A37&lt;Assumptions!$B$5,Assumptions!$B$12*(1+Assumptions!$B$11)^(A37-Assumptions!$B$4+1)+Pricing!$B$14*IF(A37=Assumptions!$B$4,Assumptions!$B$14,Assumptions!$B$15)-Pricing!$B$14,Assumptions!$B$9*(1+Assumptions!$B$10)^(A37-Assumptions!$B$4)+Assumptions!$B$12*(1+Assumptions!$B$11)^(A37-Assumptions!$B$4+1)))*Projection!H31</f>
        <v>4949.81401396751</v>
      </c>
      <c r="I37" s="48" t="n">
        <f aca="false">D37*(IF(A37&lt;Assumptions!$B$5,Assumptions!$B$12*(1+Assumptions!$B$11)^(A37-Assumptions!$B$4+1)+Pricing!$B$14*IF(A37=Assumptions!$B$4,Assumptions!$B$14,Assumptions!$B$15)-Pricing!$B$14,Assumptions!$B$9*(1+Assumptions!$B$10)^(A37-Assumptions!$B$4)+Assumptions!$B$12*(1+Assumptions!$B$11)^(A37-Assumptions!$B$4+1)))*Projection!H31</f>
        <v>5182.32838881282</v>
      </c>
      <c r="J37" s="48" t="n">
        <f aca="false">E37*(IF(A37&lt;Assumptions!$B$5,Assumptions!$B$12*(1+Assumptions!$B$11)^(A37-Assumptions!$B$4+1)+Pricing!$B$14*IF(A37=Assumptions!$B$4,Assumptions!$B$14,Assumptions!$B$15)-Pricing!$B$14,Assumptions!$B$9*(1+Assumptions!$B$10)^(A37-Assumptions!$B$4)+Assumptions!$B$12*(1+Assumptions!$B$11)^(A37-Assumptions!$B$4+1)))*Projection!H31</f>
        <v>5424.98924635441</v>
      </c>
      <c r="K37" s="48" t="n">
        <f aca="false">F37*(IF(A37&lt;Assumptions!$B$5,Assumptions!$B$12*(1+Assumptions!$B$11)^(A37-Assumptions!$B$4+1)+Pricing!$B$14*IF(A37=Assumptions!$B$4,Assumptions!$B$14,Assumptions!$B$15)-Pricing!$B$14,Assumptions!$B$9*(1+Assumptions!$B$10)^(A37-Assumptions!$B$4)+Assumptions!$B$12*(1+Assumptions!$B$11)^(A37-Assumptions!$B$4+1)))*Projection!H31</f>
        <v>5678.20729978124</v>
      </c>
    </row>
    <row r="38" customFormat="false" ht="15" hidden="false" customHeight="true" outlineLevel="0" collapsed="false">
      <c r="A38" s="54" t="n">
        <f aca="false">A37+1</f>
        <v>93</v>
      </c>
      <c r="B38" s="32" t="n">
        <f aca="false">B37*(1-MIN(1,Projection!C31*0.8))*(1-IF(Projection!B31&lt;Assumptions!$B$5,Projection!E31,0))</f>
        <v>0.36195498266544</v>
      </c>
      <c r="C38" s="32" t="n">
        <f aca="false">C37*(1-MIN(1,Projection!C31*0.75))*(1-IF(Projection!B31&lt;Assumptions!$B$5,Projection!E31,0))</f>
        <v>0.381533754761227</v>
      </c>
      <c r="D38" s="32" t="n">
        <f aca="false">D37*(1-MIN(1,Projection!C31*0.7))*(1-IF(Projection!B31&lt;Assumptions!$B$5,Projection!E31,0))</f>
        <v>0.402096038424218</v>
      </c>
      <c r="E38" s="32" t="n">
        <f aca="false">E37*(1-MIN(1,Projection!C31*0.65))*(1-IF(Projection!B31&lt;Assumptions!$B$5,Projection!E31,0))</f>
        <v>0.423687649446024</v>
      </c>
      <c r="F38" s="32" t="n">
        <f aca="false">F37*(1-MIN(1,Projection!C31*0.6))*(1-IF(Projection!B31&lt;Assumptions!$B$5,Projection!E31,0))</f>
        <v>0.446356379886737</v>
      </c>
      <c r="G38" s="48" t="n">
        <f aca="false">B38*(IF(A38&lt;Assumptions!$B$5,Assumptions!$B$12*(1+Assumptions!$B$11)^(A38-Assumptions!$B$4+1)+Pricing!$B$14*IF(A38=Assumptions!$B$4,Assumptions!$B$14,Assumptions!$B$15)-Pricing!$B$14,Assumptions!$B$9*(1+Assumptions!$B$10)^(A38-Assumptions!$B$4)+Assumptions!$B$12*(1+Assumptions!$B$11)^(A38-Assumptions!$B$4+1)))*Projection!H32</f>
        <v>4221.3326773139</v>
      </c>
      <c r="H38" s="48" t="n">
        <f aca="false">C38*(IF(A38&lt;Assumptions!$B$5,Assumptions!$B$12*(1+Assumptions!$B$11)^(A38-Assumptions!$B$4+1)+Pricing!$B$14*IF(A38=Assumptions!$B$4,Assumptions!$B$14,Assumptions!$B$15)-Pricing!$B$14,Assumptions!$B$9*(1+Assumptions!$B$10)^(A38-Assumptions!$B$4)+Assumptions!$B$12*(1+Assumptions!$B$11)^(A38-Assumptions!$B$4+1)))*Projection!H32</f>
        <v>4449.67187524676</v>
      </c>
      <c r="I38" s="48" t="n">
        <f aca="false">D38*(IF(A38&lt;Assumptions!$B$5,Assumptions!$B$12*(1+Assumptions!$B$11)^(A38-Assumptions!$B$4+1)+Pricing!$B$14*IF(A38=Assumptions!$B$4,Assumptions!$B$14,Assumptions!$B$15)-Pricing!$B$14,Assumptions!$B$9*(1+Assumptions!$B$10)^(A38-Assumptions!$B$4)+Assumptions!$B$12*(1+Assumptions!$B$11)^(A38-Assumptions!$B$4+1)))*Projection!H32</f>
        <v>4689.48136566345</v>
      </c>
      <c r="J38" s="48" t="n">
        <f aca="false">E38*(IF(A38&lt;Assumptions!$B$5,Assumptions!$B$12*(1+Assumptions!$B$11)^(A38-Assumptions!$B$4+1)+Pricing!$B$14*IF(A38=Assumptions!$B$4,Assumptions!$B$14,Assumptions!$B$15)-Pricing!$B$14,Assumptions!$B$9*(1+Assumptions!$B$10)^(A38-Assumptions!$B$4)+Assumptions!$B$12*(1+Assumptions!$B$11)^(A38-Assumptions!$B$4+1)))*Projection!H32</f>
        <v>4941.29547937175</v>
      </c>
      <c r="K38" s="48" t="n">
        <f aca="false">F38*(IF(A38&lt;Assumptions!$B$5,Assumptions!$B$12*(1+Assumptions!$B$11)^(A38-Assumptions!$B$4+1)+Pricing!$B$14*IF(A38=Assumptions!$B$4,Assumptions!$B$14,Assumptions!$B$15)-Pricing!$B$14,Assumptions!$B$9*(1+Assumptions!$B$10)^(A38-Assumptions!$B$4)+Assumptions!$B$12*(1+Assumptions!$B$11)^(A38-Assumptions!$B$4+1)))*Projection!H32</f>
        <v>5205.6715955891</v>
      </c>
    </row>
    <row r="39" customFormat="false" ht="15" hidden="false" customHeight="true" outlineLevel="0" collapsed="false">
      <c r="A39" s="54" t="n">
        <f aca="false">A38+1</f>
        <v>94</v>
      </c>
      <c r="B39" s="32" t="n">
        <f aca="false">B38*(1-MIN(1,Projection!C32*0.8))*(1-IF(Projection!B32&lt;Assumptions!$B$5,Projection!E32,0))</f>
        <v>0.323740976436979</v>
      </c>
      <c r="C39" s="32" t="n">
        <f aca="false">C38*(1-MIN(1,Projection!C32*0.75))*(1-IF(Projection!B32&lt;Assumptions!$B$5,Projection!E32,0))</f>
        <v>0.343770253482403</v>
      </c>
      <c r="D39" s="32" t="n">
        <f aca="false">D38*(1-MIN(1,Projection!C32*0.7))*(1-IF(Projection!B32&lt;Assumptions!$B$5,Projection!E32,0))</f>
        <v>0.364950568418043</v>
      </c>
      <c r="E39" s="32" t="n">
        <f aca="false">E38*(1-MIN(1,Projection!C32*0.65))*(1-IF(Projection!B32&lt;Assumptions!$B$5,Projection!E32,0))</f>
        <v>0.387343276137653</v>
      </c>
      <c r="F39" s="32" t="n">
        <f aca="false">F38*(1-MIN(1,Projection!C32*0.6))*(1-IF(Projection!B32&lt;Assumptions!$B$5,Projection!E32,0))</f>
        <v>0.411012760587391</v>
      </c>
      <c r="G39" s="48" t="n">
        <f aca="false">B39*(IF(A39&lt;Assumptions!$B$5,Assumptions!$B$12*(1+Assumptions!$B$11)^(A39-Assumptions!$B$4+1)+Pricing!$B$14*IF(A39=Assumptions!$B$4,Assumptions!$B$14,Assumptions!$B$15)-Pricing!$B$14,Assumptions!$B$9*(1+Assumptions!$B$10)^(A39-Assumptions!$B$4)+Assumptions!$B$12*(1+Assumptions!$B$11)^(A39-Assumptions!$B$4+1)))*Projection!H33</f>
        <v>3730.48805513534</v>
      </c>
      <c r="H39" s="48" t="n">
        <f aca="false">C39*(IF(A39&lt;Assumptions!$B$5,Assumptions!$B$12*(1+Assumptions!$B$11)^(A39-Assumptions!$B$4+1)+Pricing!$B$14*IF(A39=Assumptions!$B$4,Assumptions!$B$14,Assumptions!$B$15)-Pricing!$B$14,Assumptions!$B$9*(1+Assumptions!$B$10)^(A39-Assumptions!$B$4)+Assumptions!$B$12*(1+Assumptions!$B$11)^(A39-Assumptions!$B$4+1)))*Projection!H33</f>
        <v>3961.28670037726</v>
      </c>
      <c r="I39" s="48" t="n">
        <f aca="false">D39*(IF(A39&lt;Assumptions!$B$5,Assumptions!$B$12*(1+Assumptions!$B$11)^(A39-Assumptions!$B$4+1)+Pricing!$B$14*IF(A39=Assumptions!$B$4,Assumptions!$B$14,Assumptions!$B$15)-Pricing!$B$14,Assumptions!$B$9*(1+Assumptions!$B$10)^(A39-Assumptions!$B$4)+Assumptions!$B$12*(1+Assumptions!$B$11)^(A39-Assumptions!$B$4+1)))*Projection!H33</f>
        <v>4205.34882912292</v>
      </c>
      <c r="J39" s="48" t="n">
        <f aca="false">E39*(IF(A39&lt;Assumptions!$B$5,Assumptions!$B$12*(1+Assumptions!$B$11)^(A39-Assumptions!$B$4+1)+Pricing!$B$14*IF(A39=Assumptions!$B$4,Assumptions!$B$14,Assumptions!$B$15)-Pricing!$B$14,Assumptions!$B$9*(1+Assumptions!$B$10)^(A39-Assumptions!$B$4)+Assumptions!$B$12*(1+Assumptions!$B$11)^(A39-Assumptions!$B$4+1)))*Projection!H33</f>
        <v>4463.38143775195</v>
      </c>
      <c r="K39" s="48" t="n">
        <f aca="false">F39*(IF(A39&lt;Assumptions!$B$5,Assumptions!$B$12*(1+Assumptions!$B$11)^(A39-Assumptions!$B$4+1)+Pricing!$B$14*IF(A39=Assumptions!$B$4,Assumptions!$B$14,Assumptions!$B$15)-Pricing!$B$14,Assumptions!$B$9*(1+Assumptions!$B$10)^(A39-Assumptions!$B$4)+Assumptions!$B$12*(1+Assumptions!$B$11)^(A39-Assumptions!$B$4+1)))*Projection!H33</f>
        <v>4736.12642660927</v>
      </c>
    </row>
    <row r="40" customFormat="false" ht="15" hidden="false" customHeight="true" outlineLevel="0" collapsed="false">
      <c r="A40" s="54" t="n">
        <f aca="false">A39+1</f>
        <v>95</v>
      </c>
      <c r="B40" s="32" t="n">
        <f aca="false">B39*(1-MIN(1,Projection!C33*0.8))*(1-IF(Projection!B33&lt;Assumptions!$B$5,Projection!E33,0))</f>
        <v>0.286720959507691</v>
      </c>
      <c r="C40" s="32" t="n">
        <f aca="false">C39*(1-MIN(1,Projection!C33*0.75))*(1-IF(Projection!B33&lt;Assumptions!$B$5,Projection!E33,0))</f>
        <v>0.306916772816217</v>
      </c>
      <c r="D40" s="32" t="n">
        <f aca="false">D39*(1-MIN(1,Projection!C33*0.7))*(1-IF(Projection!B33&lt;Assumptions!$B$5,Projection!E33,0))</f>
        <v>0.328434750051004</v>
      </c>
      <c r="E40" s="32" t="n">
        <f aca="false">E39*(1-MIN(1,Projection!C33*0.65))*(1-IF(Projection!B33&lt;Assumptions!$B$5,Projection!E33,0))</f>
        <v>0.35135522475387</v>
      </c>
      <c r="F40" s="32" t="n">
        <f aca="false">F39*(1-MIN(1,Projection!C33*0.6))*(1-IF(Projection!B33&lt;Assumptions!$B$5,Projection!E33,0))</f>
        <v>0.375763053732487</v>
      </c>
      <c r="G40" s="48" t="n">
        <f aca="false">B40*(IF(A40&lt;Assumptions!$B$5,Assumptions!$B$12*(1+Assumptions!$B$11)^(A40-Assumptions!$B$4+1)+Pricing!$B$14*IF(A40=Assumptions!$B$4,Assumptions!$B$14,Assumptions!$B$15)-Pricing!$B$14,Assumptions!$B$9*(1+Assumptions!$B$10)^(A40-Assumptions!$B$4)+Assumptions!$B$12*(1+Assumptions!$B$11)^(A40-Assumptions!$B$4+1)))*Projection!H34</f>
        <v>3264.25150813324</v>
      </c>
      <c r="H40" s="48" t="n">
        <f aca="false">C40*(IF(A40&lt;Assumptions!$B$5,Assumptions!$B$12*(1+Assumptions!$B$11)^(A40-Assumptions!$B$4+1)+Pricing!$B$14*IF(A40=Assumptions!$B$4,Assumptions!$B$14,Assumptions!$B$15)-Pricing!$B$14,Assumptions!$B$9*(1+Assumptions!$B$10)^(A40-Assumptions!$B$4)+Assumptions!$B$12*(1+Assumptions!$B$11)^(A40-Assumptions!$B$4+1)))*Projection!H34</f>
        <v>3494.17615041794</v>
      </c>
      <c r="I40" s="48" t="n">
        <f aca="false">D40*(IF(A40&lt;Assumptions!$B$5,Assumptions!$B$12*(1+Assumptions!$B$11)^(A40-Assumptions!$B$4+1)+Pricing!$B$14*IF(A40=Assumptions!$B$4,Assumptions!$B$14,Assumptions!$B$15)-Pricing!$B$14,Assumptions!$B$9*(1+Assumptions!$B$10)^(A40-Assumptions!$B$4)+Assumptions!$B$12*(1+Assumptions!$B$11)^(A40-Assumptions!$B$4+1)))*Projection!H34</f>
        <v>3739.15332181565</v>
      </c>
      <c r="J40" s="48" t="n">
        <f aca="false">E40*(IF(A40&lt;Assumptions!$B$5,Assumptions!$B$12*(1+Assumptions!$B$11)^(A40-Assumptions!$B$4+1)+Pricing!$B$14*IF(A40=Assumptions!$B$4,Assumptions!$B$14,Assumptions!$B$15)-Pricing!$B$14,Assumptions!$B$9*(1+Assumptions!$B$10)^(A40-Assumptions!$B$4)+Assumptions!$B$12*(1+Assumptions!$B$11)^(A40-Assumptions!$B$4+1)))*Projection!H34</f>
        <v>4000.0976010355</v>
      </c>
      <c r="K40" s="48" t="n">
        <f aca="false">F40*(IF(A40&lt;Assumptions!$B$5,Assumptions!$B$12*(1+Assumptions!$B$11)^(A40-Assumptions!$B$4+1)+Pricing!$B$14*IF(A40=Assumptions!$B$4,Assumptions!$B$14,Assumptions!$B$15)-Pricing!$B$14,Assumptions!$B$9*(1+Assumptions!$B$10)^(A40-Assumptions!$B$4)+Assumptions!$B$12*(1+Assumptions!$B$11)^(A40-Assumptions!$B$4+1)))*Projection!H34</f>
        <v>4277.97506311749</v>
      </c>
    </row>
    <row r="41" customFormat="false" ht="15" hidden="false" customHeight="true" outlineLevel="0" collapsed="false">
      <c r="A41" s="54" t="n">
        <f aca="false">A40+1</f>
        <v>96</v>
      </c>
      <c r="B41" s="32" t="n">
        <f aca="false">B40*(1-MIN(1,Projection!C34*0.8))*(1-IF(Projection!B34&lt;Assumptions!$B$5,Projection!E34,0))</f>
        <v>0.250478844990821</v>
      </c>
      <c r="C41" s="32" t="n">
        <f aca="false">C40*(1-MIN(1,Projection!C34*0.75))*(1-IF(Projection!B34&lt;Assumptions!$B$5,Projection!E34,0))</f>
        <v>0.27054654793368</v>
      </c>
      <c r="D41" s="32" t="n">
        <f aca="false">D40*(1-MIN(1,Projection!C34*0.7))*(1-IF(Projection!B34&lt;Assumptions!$B$5,Projection!E34,0))</f>
        <v>0.292109280114248</v>
      </c>
      <c r="E41" s="32" t="n">
        <f aca="false">E40*(1-MIN(1,Projection!C34*0.65))*(1-IF(Projection!B34&lt;Assumptions!$B$5,Projection!E34,0))</f>
        <v>0.315270460477431</v>
      </c>
      <c r="F41" s="32" t="n">
        <f aca="false">F40*(1-MIN(1,Projection!C34*0.6))*(1-IF(Projection!B34&lt;Assumptions!$B$5,Projection!E34,0))</f>
        <v>0.340140141002376</v>
      </c>
      <c r="G41" s="48" t="n">
        <f aca="false">B41*(IF(A41&lt;Assumptions!$B$5,Assumptions!$B$12*(1+Assumptions!$B$11)^(A41-Assumptions!$B$4+1)+Pricing!$B$14*IF(A41=Assumptions!$B$4,Assumptions!$B$14,Assumptions!$B$15)-Pricing!$B$14,Assumptions!$B$9*(1+Assumptions!$B$10)^(A41-Assumptions!$B$4)+Assumptions!$B$12*(1+Assumptions!$B$11)^(A41-Assumptions!$B$4+1)))*Projection!H35</f>
        <v>2818.1565828421</v>
      </c>
      <c r="H41" s="48" t="n">
        <f aca="false">C41*(IF(A41&lt;Assumptions!$B$5,Assumptions!$B$12*(1+Assumptions!$B$11)^(A41-Assumptions!$B$4+1)+Pricing!$B$14*IF(A41=Assumptions!$B$4,Assumptions!$B$14,Assumptions!$B$15)-Pricing!$B$14,Assumptions!$B$9*(1+Assumptions!$B$10)^(A41-Assumptions!$B$4)+Assumptions!$B$12*(1+Assumptions!$B$11)^(A41-Assumptions!$B$4+1)))*Projection!H35</f>
        <v>3043.9398387215</v>
      </c>
      <c r="I41" s="48" t="n">
        <f aca="false">D41*(IF(A41&lt;Assumptions!$B$5,Assumptions!$B$12*(1+Assumptions!$B$11)^(A41-Assumptions!$B$4+1)+Pricing!$B$14*IF(A41=Assumptions!$B$4,Assumptions!$B$14,Assumptions!$B$15)-Pricing!$B$14,Assumptions!$B$9*(1+Assumptions!$B$10)^(A41-Assumptions!$B$4)+Assumptions!$B$12*(1+Assumptions!$B$11)^(A41-Assumptions!$B$4+1)))*Projection!H35</f>
        <v>3286.5437825434</v>
      </c>
      <c r="J41" s="48" t="n">
        <f aca="false">E41*(IF(A41&lt;Assumptions!$B$5,Assumptions!$B$12*(1+Assumptions!$B$11)^(A41-Assumptions!$B$4+1)+Pricing!$B$14*IF(A41=Assumptions!$B$4,Assumptions!$B$14,Assumptions!$B$15)-Pricing!$B$14,Assumptions!$B$9*(1+Assumptions!$B$10)^(A41-Assumptions!$B$4)+Assumptions!$B$12*(1+Assumptions!$B$11)^(A41-Assumptions!$B$4+1)))*Projection!H35</f>
        <v>3547.13198874216</v>
      </c>
      <c r="K41" s="48" t="n">
        <f aca="false">F41*(IF(A41&lt;Assumptions!$B$5,Assumptions!$B$12*(1+Assumptions!$B$11)^(A41-Assumptions!$B$4+1)+Pricing!$B$14*IF(A41=Assumptions!$B$4,Assumptions!$B$14,Assumptions!$B$15)-Pricing!$B$14,Assumptions!$B$9*(1+Assumptions!$B$10)^(A41-Assumptions!$B$4)+Assumptions!$B$12*(1+Assumptions!$B$11)^(A41-Assumptions!$B$4+1)))*Projection!H35</f>
        <v>3826.94266052613</v>
      </c>
    </row>
    <row r="42" customFormat="false" ht="15" hidden="false" customHeight="true" outlineLevel="0" collapsed="false">
      <c r="A42" s="54" t="n">
        <f aca="false">A41+1</f>
        <v>97</v>
      </c>
      <c r="B42" s="32" t="n">
        <f aca="false">B41*(1-MIN(1,Projection!C35*0.8))*(1-IF(Projection!B35&lt;Assumptions!$B$5,Projection!E35,0))</f>
        <v>0.216778408092062</v>
      </c>
      <c r="C42" s="32" t="n">
        <f aca="false">C41*(1-MIN(1,Projection!C35*0.75))*(1-IF(Projection!B35&lt;Assumptions!$B$5,Projection!E35,0))</f>
        <v>0.236421147790793</v>
      </c>
      <c r="D42" s="32" t="n">
        <f aca="false">D41*(1-MIN(1,Projection!C35*0.7))*(1-IF(Projection!B35&lt;Assumptions!$B$5,Projection!E35,0))</f>
        <v>0.257720411596854</v>
      </c>
      <c r="E42" s="32" t="n">
        <f aca="false">E41*(1-MIN(1,Projection!C35*0.65))*(1-IF(Projection!B35&lt;Assumptions!$B$5,Projection!E35,0))</f>
        <v>0.28080602811769</v>
      </c>
      <c r="F42" s="32" t="n">
        <f aca="false">F41*(1-MIN(1,Projection!C35*0.6))*(1-IF(Projection!B35&lt;Assumptions!$B$5,Projection!E35,0))</f>
        <v>0.305817268269335</v>
      </c>
      <c r="G42" s="48" t="n">
        <f aca="false">B42*(IF(A42&lt;Assumptions!$B$5,Assumptions!$B$12*(1+Assumptions!$B$11)^(A42-Assumptions!$B$4+1)+Pricing!$B$14*IF(A42=Assumptions!$B$4,Assumptions!$B$14,Assumptions!$B$15)-Pricing!$B$14,Assumptions!$B$9*(1+Assumptions!$B$10)^(A42-Assumptions!$B$4)+Assumptions!$B$12*(1+Assumptions!$B$11)^(A42-Assumptions!$B$4+1)))*Projection!H36</f>
        <v>2409.5555795456</v>
      </c>
      <c r="H42" s="48" t="n">
        <f aca="false">C42*(IF(A42&lt;Assumptions!$B$5,Assumptions!$B$12*(1+Assumptions!$B$11)^(A42-Assumptions!$B$4+1)+Pricing!$B$14*IF(A42=Assumptions!$B$4,Assumptions!$B$14,Assumptions!$B$15)-Pricing!$B$14,Assumptions!$B$9*(1+Assumptions!$B$10)^(A42-Assumptions!$B$4)+Assumptions!$B$12*(1+Assumptions!$B$11)^(A42-Assumptions!$B$4+1)))*Projection!H36</f>
        <v>2627.89039183252</v>
      </c>
      <c r="I42" s="48" t="n">
        <f aca="false">D42*(IF(A42&lt;Assumptions!$B$5,Assumptions!$B$12*(1+Assumptions!$B$11)^(A42-Assumptions!$B$4+1)+Pricing!$B$14*IF(A42=Assumptions!$B$4,Assumptions!$B$14,Assumptions!$B$15)-Pricing!$B$14,Assumptions!$B$9*(1+Assumptions!$B$10)^(A42-Assumptions!$B$4)+Assumptions!$B$12*(1+Assumptions!$B$11)^(A42-Assumptions!$B$4+1)))*Projection!H36</f>
        <v>2864.63795537359</v>
      </c>
      <c r="J42" s="48" t="n">
        <f aca="false">E42*(IF(A42&lt;Assumptions!$B$5,Assumptions!$B$12*(1+Assumptions!$B$11)^(A42-Assumptions!$B$4+1)+Pricing!$B$14*IF(A42=Assumptions!$B$4,Assumptions!$B$14,Assumptions!$B$15)-Pricing!$B$14,Assumptions!$B$9*(1+Assumptions!$B$10)^(A42-Assumptions!$B$4)+Assumptions!$B$12*(1+Assumptions!$B$11)^(A42-Assumptions!$B$4+1)))*Projection!H36</f>
        <v>3121.24135321481</v>
      </c>
      <c r="K42" s="48" t="n">
        <f aca="false">F42*(IF(A42&lt;Assumptions!$B$5,Assumptions!$B$12*(1+Assumptions!$B$11)^(A42-Assumptions!$B$4+1)+Pricing!$B$14*IF(A42=Assumptions!$B$4,Assumptions!$B$14,Assumptions!$B$15)-Pricing!$B$14,Assumptions!$B$9*(1+Assumptions!$B$10)^(A42-Assumptions!$B$4)+Assumptions!$B$12*(1+Assumptions!$B$11)^(A42-Assumptions!$B$4+1)))*Projection!H36</f>
        <v>3399.24862243119</v>
      </c>
    </row>
    <row r="43" customFormat="false" ht="15" hidden="false" customHeight="true" outlineLevel="0" collapsed="false">
      <c r="A43" s="54" t="n">
        <f aca="false">A42+1</f>
        <v>98</v>
      </c>
      <c r="B43" s="32" t="n">
        <f aca="false">B42*(1-MIN(1,Projection!C36*0.8))*(1-IF(Projection!B36&lt;Assumptions!$B$5,Projection!E36,0))</f>
        <v>0.185893751930707</v>
      </c>
      <c r="C43" s="32" t="n">
        <f aca="false">C42*(1-MIN(1,Projection!C36*0.75))*(1-IF(Projection!B36&lt;Assumptions!$B$5,Projection!E36,0))</f>
        <v>0.204843167756406</v>
      </c>
      <c r="D43" s="32" t="n">
        <f aca="false">D42*(1-MIN(1,Projection!C36*0.7))*(1-IF(Projection!B36&lt;Assumptions!$B$5,Projection!E36,0))</f>
        <v>0.225592417060919</v>
      </c>
      <c r="E43" s="32" t="n">
        <f aca="false">E42*(1-MIN(1,Projection!C36*0.65))*(1-IF(Projection!B36&lt;Assumptions!$B$5,Projection!E36,0))</f>
        <v>0.248300551056992</v>
      </c>
      <c r="F43" s="32" t="n">
        <f aca="false">F42*(1-MIN(1,Projection!C36*0.6))*(1-IF(Projection!B36&lt;Assumptions!$B$5,Projection!E36,0))</f>
        <v>0.273139678529774</v>
      </c>
      <c r="G43" s="48" t="n">
        <f aca="false">B43*(IF(A43&lt;Assumptions!$B$5,Assumptions!$B$12*(1+Assumptions!$B$11)^(A43-Assumptions!$B$4+1)+Pricing!$B$14*IF(A43=Assumptions!$B$4,Assumptions!$B$14,Assumptions!$B$15)-Pricing!$B$14,Assumptions!$B$9*(1+Assumptions!$B$10)^(A43-Assumptions!$B$4)+Assumptions!$B$12*(1+Assumptions!$B$11)^(A43-Assumptions!$B$4+1)))*Projection!H37</f>
        <v>2041.24816736094</v>
      </c>
      <c r="H43" s="48" t="n">
        <f aca="false">C43*(IF(A43&lt;Assumptions!$B$5,Assumptions!$B$12*(1+Assumptions!$B$11)^(A43-Assumptions!$B$4+1)+Pricing!$B$14*IF(A43=Assumptions!$B$4,Assumptions!$B$14,Assumptions!$B$15)-Pricing!$B$14,Assumptions!$B$9*(1+Assumptions!$B$10)^(A43-Assumptions!$B$4)+Assumptions!$B$12*(1+Assumptions!$B$11)^(A43-Assumptions!$B$4+1)))*Projection!H37</f>
        <v>2249.32649126926</v>
      </c>
      <c r="I43" s="48" t="n">
        <f aca="false">D43*(IF(A43&lt;Assumptions!$B$5,Assumptions!$B$12*(1+Assumptions!$B$11)^(A43-Assumptions!$B$4+1)+Pricing!$B$14*IF(A43=Assumptions!$B$4,Assumptions!$B$14,Assumptions!$B$15)-Pricing!$B$14,Assumptions!$B$9*(1+Assumptions!$B$10)^(A43-Assumptions!$B$4)+Assumptions!$B$12*(1+Assumptions!$B$11)^(A43-Assumptions!$B$4+1)))*Projection!H37</f>
        <v>2477.16829163671</v>
      </c>
      <c r="J43" s="48" t="n">
        <f aca="false">E43*(IF(A43&lt;Assumptions!$B$5,Assumptions!$B$12*(1+Assumptions!$B$11)^(A43-Assumptions!$B$4+1)+Pricing!$B$14*IF(A43=Assumptions!$B$4,Assumptions!$B$14,Assumptions!$B$15)-Pricing!$B$14,Assumptions!$B$9*(1+Assumptions!$B$10)^(A43-Assumptions!$B$4)+Assumptions!$B$12*(1+Assumptions!$B$11)^(A43-Assumptions!$B$4+1)))*Projection!H37</f>
        <v>2726.52006608983</v>
      </c>
      <c r="K43" s="48" t="n">
        <f aca="false">F43*(IF(A43&lt;Assumptions!$B$5,Assumptions!$B$12*(1+Assumptions!$B$11)^(A43-Assumptions!$B$4+1)+Pricing!$B$14*IF(A43=Assumptions!$B$4,Assumptions!$B$14,Assumptions!$B$15)-Pricing!$B$14,Assumptions!$B$9*(1+Assumptions!$B$10)^(A43-Assumptions!$B$4)+Assumptions!$B$12*(1+Assumptions!$B$11)^(A43-Assumptions!$B$4+1)))*Projection!H37</f>
        <v>2999.27169386676</v>
      </c>
    </row>
    <row r="44" customFormat="false" ht="15" hidden="false" customHeight="true" outlineLevel="0" collapsed="false">
      <c r="A44" s="54" t="n">
        <f aca="false">A43+1</f>
        <v>99</v>
      </c>
      <c r="B44" s="32" t="n">
        <f aca="false">B43*(1-MIN(1,Projection!C37*0.8))*(1-IF(Projection!B37&lt;Assumptions!$B$5,Projection!E37,0))</f>
        <v>0.15794021013062</v>
      </c>
      <c r="C44" s="32" t="n">
        <f aca="false">C43*(1-MIN(1,Projection!C37*0.75))*(1-IF(Projection!B37&lt;Assumptions!$B$5,Projection!E37,0))</f>
        <v>0.175965320904025</v>
      </c>
      <c r="D44" s="32" t="n">
        <f aca="false">D43*(1-MIN(1,Projection!C37*0.7))*(1-IF(Projection!B37&lt;Assumptions!$B$5,Projection!E37,0))</f>
        <v>0.195909635255321</v>
      </c>
      <c r="E44" s="32" t="n">
        <f aca="false">E43*(1-MIN(1,Projection!C37*0.65))*(1-IF(Projection!B37&lt;Assumptions!$B$5,Projection!E37,0))</f>
        <v>0.217963518178238</v>
      </c>
      <c r="F44" s="32" t="n">
        <f aca="false">F43*(1-MIN(1,Projection!C37*0.6))*(1-IF(Projection!B37&lt;Assumptions!$B$5,Projection!E37,0))</f>
        <v>0.24233489888383</v>
      </c>
      <c r="G44" s="48" t="n">
        <f aca="false">B44*(IF(A44&lt;Assumptions!$B$5,Assumptions!$B$12*(1+Assumptions!$B$11)^(A44-Assumptions!$B$4+1)+Pricing!$B$14*IF(A44=Assumptions!$B$4,Assumptions!$B$14,Assumptions!$B$15)-Pricing!$B$14,Assumptions!$B$9*(1+Assumptions!$B$10)^(A44-Assumptions!$B$4)+Assumptions!$B$12*(1+Assumptions!$B$11)^(A44-Assumptions!$B$4+1)))*Projection!H38</f>
        <v>1713.23543318034</v>
      </c>
      <c r="H44" s="48" t="n">
        <f aca="false">C44*(IF(A44&lt;Assumptions!$B$5,Assumptions!$B$12*(1+Assumptions!$B$11)^(A44-Assumptions!$B$4+1)+Pricing!$B$14*IF(A44=Assumptions!$B$4,Assumptions!$B$14,Assumptions!$B$15)-Pricing!$B$14,Assumptions!$B$9*(1+Assumptions!$B$10)^(A44-Assumptions!$B$4)+Assumptions!$B$12*(1+Assumptions!$B$11)^(A44-Assumptions!$B$4+1)))*Projection!H38</f>
        <v>1908.76042607771</v>
      </c>
      <c r="I44" s="48" t="n">
        <f aca="false">D44*(IF(A44&lt;Assumptions!$B$5,Assumptions!$B$12*(1+Assumptions!$B$11)^(A44-Assumptions!$B$4+1)+Pricing!$B$14*IF(A44=Assumptions!$B$4,Assumptions!$B$14,Assumptions!$B$15)-Pricing!$B$14,Assumptions!$B$9*(1+Assumptions!$B$10)^(A44-Assumptions!$B$4)+Assumptions!$B$12*(1+Assumptions!$B$11)^(A44-Assumptions!$B$4+1)))*Projection!H38</f>
        <v>2125.1037246517</v>
      </c>
      <c r="J44" s="48" t="n">
        <f aca="false">E44*(IF(A44&lt;Assumptions!$B$5,Assumptions!$B$12*(1+Assumptions!$B$11)^(A44-Assumptions!$B$4+1)+Pricing!$B$14*IF(A44=Assumptions!$B$4,Assumptions!$B$14,Assumptions!$B$15)-Pricing!$B$14,Assumptions!$B$9*(1+Assumptions!$B$10)^(A44-Assumptions!$B$4)+Assumptions!$B$12*(1+Assumptions!$B$11)^(A44-Assumptions!$B$4+1)))*Projection!H38</f>
        <v>2364.3302878651</v>
      </c>
      <c r="K44" s="48" t="n">
        <f aca="false">F44*(IF(A44&lt;Assumptions!$B$5,Assumptions!$B$12*(1+Assumptions!$B$11)^(A44-Assumptions!$B$4+1)+Pricing!$B$14*IF(A44=Assumptions!$B$4,Assumptions!$B$14,Assumptions!$B$15)-Pricing!$B$14,Assumptions!$B$9*(1+Assumptions!$B$10)^(A44-Assumptions!$B$4)+Assumptions!$B$12*(1+Assumptions!$B$11)^(A44-Assumptions!$B$4+1)))*Projection!H38</f>
        <v>2628.69560019321</v>
      </c>
    </row>
    <row r="45" customFormat="false" ht="15" hidden="false" customHeight="true" outlineLevel="0" collapsed="false">
      <c r="A45" s="54" t="n">
        <f aca="false">A44+1</f>
        <v>100</v>
      </c>
      <c r="B45" s="32" t="n">
        <f aca="false">B44*(1-MIN(1,Projection!C38*0.8))*(1-IF(Projection!B38&lt;Assumptions!$B$5,Projection!E38,0))</f>
        <v>0.132913625573669</v>
      </c>
      <c r="C45" s="32" t="n">
        <f aca="false">C44*(1-MIN(1,Projection!C38*0.75))*(1-IF(Projection!B38&lt;Assumptions!$B$5,Projection!E38,0))</f>
        <v>0.149825221477396</v>
      </c>
      <c r="D45" s="32" t="n">
        <f aca="false">D44*(1-MIN(1,Projection!C38*0.7))*(1-IF(Projection!B38&lt;Assumptions!$B$5,Projection!E38,0))</f>
        <v>0.168746948709819</v>
      </c>
      <c r="E45" s="32" t="n">
        <f aca="false">E44*(1-MIN(1,Projection!C38*0.65))*(1-IF(Projection!B38&lt;Assumptions!$B$5,Projection!E38,0))</f>
        <v>0.189901684140064</v>
      </c>
      <c r="F45" s="32" t="n">
        <f aca="false">F44*(1-MIN(1,Projection!C38*0.6))*(1-IF(Projection!B38&lt;Assumptions!$B$5,Projection!E38,0))</f>
        <v>0.213535322609046</v>
      </c>
      <c r="G45" s="48" t="n">
        <f aca="false">B45*(IF(A45&lt;Assumptions!$B$5,Assumptions!$B$12*(1+Assumptions!$B$11)^(A45-Assumptions!$B$4+1)+Pricing!$B$14*IF(A45=Assumptions!$B$4,Assumptions!$B$14,Assumptions!$B$15)-Pricing!$B$14,Assumptions!$B$9*(1+Assumptions!$B$10)^(A45-Assumptions!$B$4)+Assumptions!$B$12*(1+Assumptions!$B$11)^(A45-Assumptions!$B$4+1)))*Projection!H39</f>
        <v>1424.19807929717</v>
      </c>
      <c r="H45" s="48" t="n">
        <f aca="false">C45*(IF(A45&lt;Assumptions!$B$5,Assumptions!$B$12*(1+Assumptions!$B$11)^(A45-Assumptions!$B$4+1)+Pricing!$B$14*IF(A45=Assumptions!$B$4,Assumptions!$B$14,Assumptions!$B$15)-Pricing!$B$14,Assumptions!$B$9*(1+Assumptions!$B$10)^(A45-Assumptions!$B$4)+Assumptions!$B$12*(1+Assumptions!$B$11)^(A45-Assumptions!$B$4+1)))*Projection!H39</f>
        <v>1605.40946601529</v>
      </c>
      <c r="I45" s="48" t="n">
        <f aca="false">D45*(IF(A45&lt;Assumptions!$B$5,Assumptions!$B$12*(1+Assumptions!$B$11)^(A45-Assumptions!$B$4+1)+Pricing!$B$14*IF(A45=Assumptions!$B$4,Assumptions!$B$14,Assumptions!$B$15)-Pricing!$B$14,Assumptions!$B$9*(1+Assumptions!$B$10)^(A45-Assumptions!$B$4)+Assumptions!$B$12*(1+Assumptions!$B$11)^(A45-Assumptions!$B$4+1)))*Projection!H39</f>
        <v>1808.15984217191</v>
      </c>
      <c r="J45" s="48" t="n">
        <f aca="false">E45*(IF(A45&lt;Assumptions!$B$5,Assumptions!$B$12*(1+Assumptions!$B$11)^(A45-Assumptions!$B$4+1)+Pricing!$B$14*IF(A45=Assumptions!$B$4,Assumptions!$B$14,Assumptions!$B$15)-Pricing!$B$14,Assumptions!$B$9*(1+Assumptions!$B$10)^(A45-Assumptions!$B$4)+Assumptions!$B$12*(1+Assumptions!$B$11)^(A45-Assumptions!$B$4+1)))*Projection!H39</f>
        <v>2034.83738134637</v>
      </c>
      <c r="K45" s="48" t="n">
        <f aca="false">F45*(IF(A45&lt;Assumptions!$B$5,Assumptions!$B$12*(1+Assumptions!$B$11)^(A45-Assumptions!$B$4+1)+Pricing!$B$14*IF(A45=Assumptions!$B$4,Assumptions!$B$14,Assumptions!$B$15)-Pricing!$B$14,Assumptions!$B$9*(1+Assumptions!$B$10)^(A45-Assumptions!$B$4)+Assumptions!$B$12*(1+Assumptions!$B$11)^(A45-Assumptions!$B$4+1)))*Projection!H39</f>
        <v>2288.07689963542</v>
      </c>
    </row>
    <row r="46" customFormat="false" ht="15" hidden="false" customHeight="true" outlineLevel="0" collapsed="false">
      <c r="A46" s="54" t="n">
        <f aca="false">A45+1</f>
        <v>101</v>
      </c>
      <c r="B46" s="32" t="n">
        <f aca="false">B45*(1-MIN(1,Projection!C39*0.8))*(1-IF(Projection!B39&lt;Assumptions!$B$5,Projection!E39,0))</f>
        <v>0.110724652966134</v>
      </c>
      <c r="C46" s="32" t="n">
        <f aca="false">C45*(1-MIN(1,Projection!C39*0.75))*(1-IF(Projection!B39&lt;Assumptions!$B$5,Projection!E39,0))</f>
        <v>0.126376244832805</v>
      </c>
      <c r="D46" s="32" t="n">
        <f aca="false">D45*(1-MIN(1,Projection!C39*0.7))*(1-IF(Projection!B39&lt;Assumptions!$B$5,Projection!E39,0))</f>
        <v>0.144097246840874</v>
      </c>
      <c r="E46" s="32" t="n">
        <f aca="false">E45*(1-MIN(1,Projection!C39*0.65))*(1-IF(Projection!B39&lt;Assumptions!$B$5,Projection!E39,0))</f>
        <v>0.164143225290762</v>
      </c>
      <c r="F46" s="32" t="n">
        <f aca="false">F45*(1-MIN(1,Projection!C39*0.6))*(1-IF(Projection!B39&lt;Assumptions!$B$5,Projection!E39,0))</f>
        <v>0.186799184363269</v>
      </c>
      <c r="G46" s="48" t="n">
        <f aca="false">B46*(IF(A46&lt;Assumptions!$B$5,Assumptions!$B$12*(1+Assumptions!$B$11)^(A46-Assumptions!$B$4+1)+Pricing!$B$14*IF(A46=Assumptions!$B$4,Assumptions!$B$14,Assumptions!$B$15)-Pricing!$B$14,Assumptions!$B$9*(1+Assumptions!$B$10)^(A46-Assumptions!$B$4)+Assumptions!$B$12*(1+Assumptions!$B$11)^(A46-Assumptions!$B$4+1)))*Projection!H40</f>
        <v>1172.34790968693</v>
      </c>
      <c r="H46" s="48" t="n">
        <f aca="false">C46*(IF(A46&lt;Assumptions!$B$5,Assumptions!$B$12*(1+Assumptions!$B$11)^(A46-Assumptions!$B$4+1)+Pricing!$B$14*IF(A46=Assumptions!$B$4,Assumptions!$B$14,Assumptions!$B$15)-Pricing!$B$14,Assumptions!$B$9*(1+Assumptions!$B$10)^(A46-Assumptions!$B$4)+Assumptions!$B$12*(1+Assumptions!$B$11)^(A46-Assumptions!$B$4+1)))*Projection!H40</f>
        <v>1338.06629774796</v>
      </c>
      <c r="I46" s="48" t="n">
        <f aca="false">D46*(IF(A46&lt;Assumptions!$B$5,Assumptions!$B$12*(1+Assumptions!$B$11)^(A46-Assumptions!$B$4+1)+Pricing!$B$14*IF(A46=Assumptions!$B$4,Assumptions!$B$14,Assumptions!$B$15)-Pricing!$B$14,Assumptions!$B$9*(1+Assumptions!$B$10)^(A46-Assumptions!$B$4)+Assumptions!$B$12*(1+Assumptions!$B$11)^(A46-Assumptions!$B$4+1)))*Projection!H40</f>
        <v>1525.69551224704</v>
      </c>
      <c r="J46" s="48" t="n">
        <f aca="false">E46*(IF(A46&lt;Assumptions!$B$5,Assumptions!$B$12*(1+Assumptions!$B$11)^(A46-Assumptions!$B$4+1)+Pricing!$B$14*IF(A46=Assumptions!$B$4,Assumptions!$B$14,Assumptions!$B$15)-Pricing!$B$14,Assumptions!$B$9*(1+Assumptions!$B$10)^(A46-Assumptions!$B$4)+Assumptions!$B$12*(1+Assumptions!$B$11)^(A46-Assumptions!$B$4+1)))*Projection!H40</f>
        <v>1737.94147828807</v>
      </c>
      <c r="K46" s="48" t="n">
        <f aca="false">F46*(IF(A46&lt;Assumptions!$B$5,Assumptions!$B$12*(1+Assumptions!$B$11)^(A46-Assumptions!$B$4+1)+Pricing!$B$14*IF(A46=Assumptions!$B$4,Assumptions!$B$14,Assumptions!$B$15)-Pricing!$B$14,Assumptions!$B$9*(1+Assumptions!$B$10)^(A46-Assumptions!$B$4)+Assumptions!$B$12*(1+Assumptions!$B$11)^(A46-Assumptions!$B$4+1)))*Projection!H40</f>
        <v>1977.82180799865</v>
      </c>
    </row>
    <row r="47" customFormat="false" ht="15" hidden="false" customHeight="true" outlineLevel="0" collapsed="false">
      <c r="A47" s="54" t="n">
        <f aca="false">A46+1</f>
        <v>102</v>
      </c>
      <c r="B47" s="32" t="n">
        <f aca="false">B46*(1-MIN(1,Projection!C40*0.8))*(1-IF(Projection!B40&lt;Assumptions!$B$5,Projection!E40,0))</f>
        <v>0.0912260963505492</v>
      </c>
      <c r="C47" s="32" t="n">
        <f aca="false">C46*(1-MIN(1,Projection!C40*0.75))*(1-IF(Projection!B40&lt;Assumptions!$B$5,Projection!E40,0))</f>
        <v>0.105512375269376</v>
      </c>
      <c r="D47" s="32" t="n">
        <f aca="false">D46*(1-MIN(1,Projection!C40*0.7))*(1-IF(Projection!B40&lt;Assumptions!$B$5,Projection!E40,0))</f>
        <v>0.121893724688323</v>
      </c>
      <c r="E47" s="32" t="n">
        <f aca="false">E46*(1-MIN(1,Projection!C40*0.65))*(1-IF(Projection!B40&lt;Assumptions!$B$5,Projection!E40,0))</f>
        <v>0.140657473408974</v>
      </c>
      <c r="F47" s="32" t="n">
        <f aca="false">F46*(1-MIN(1,Projection!C40*0.6))*(1-IF(Projection!B40&lt;Assumptions!$B$5,Projection!E40,0))</f>
        <v>0.162127751390933</v>
      </c>
      <c r="G47" s="48" t="n">
        <f aca="false">B47*(IF(A47&lt;Assumptions!$B$5,Assumptions!$B$12*(1+Assumptions!$B$11)^(A47-Assumptions!$B$4+1)+Pricing!$B$14*IF(A47=Assumptions!$B$4,Assumptions!$B$14,Assumptions!$B$15)-Pricing!$B$14,Assumptions!$B$9*(1+Assumptions!$B$10)^(A47-Assumptions!$B$4)+Assumptions!$B$12*(1+Assumptions!$B$11)^(A47-Assumptions!$B$4+1)))*Projection!H41</f>
        <v>954.066189806673</v>
      </c>
      <c r="H47" s="48" t="n">
        <f aca="false">C47*(IF(A47&lt;Assumptions!$B$5,Assumptions!$B$12*(1+Assumptions!$B$11)^(A47-Assumptions!$B$4+1)+Pricing!$B$14*IF(A47=Assumptions!$B$4,Assumptions!$B$14,Assumptions!$B$15)-Pricing!$B$14,Assumptions!$B$9*(1+Assumptions!$B$10)^(A47-Assumptions!$B$4)+Assumptions!$B$12*(1+Assumptions!$B$11)^(A47-Assumptions!$B$4+1)))*Projection!H41</f>
        <v>1103.47580218585</v>
      </c>
      <c r="I47" s="48" t="n">
        <f aca="false">D47*(IF(A47&lt;Assumptions!$B$5,Assumptions!$B$12*(1+Assumptions!$B$11)^(A47-Assumptions!$B$4+1)+Pricing!$B$14*IF(A47=Assumptions!$B$4,Assumptions!$B$14,Assumptions!$B$15)-Pricing!$B$14,Assumptions!$B$9*(1+Assumptions!$B$10)^(A47-Assumptions!$B$4)+Assumptions!$B$12*(1+Assumptions!$B$11)^(A47-Assumptions!$B$4+1)))*Projection!H41</f>
        <v>1274.79620554905</v>
      </c>
      <c r="J47" s="48" t="n">
        <f aca="false">E47*(IF(A47&lt;Assumptions!$B$5,Assumptions!$B$12*(1+Assumptions!$B$11)^(A47-Assumptions!$B$4+1)+Pricing!$B$14*IF(A47=Assumptions!$B$4,Assumptions!$B$14,Assumptions!$B$15)-Pricing!$B$14,Assumptions!$B$9*(1+Assumptions!$B$10)^(A47-Assumptions!$B$4)+Assumptions!$B$12*(1+Assumptions!$B$11)^(A47-Assumptions!$B$4+1)))*Projection!H41</f>
        <v>1471.03235906822</v>
      </c>
      <c r="K47" s="48" t="n">
        <f aca="false">F47*(IF(A47&lt;Assumptions!$B$5,Assumptions!$B$12*(1+Assumptions!$B$11)^(A47-Assumptions!$B$4+1)+Pricing!$B$14*IF(A47=Assumptions!$B$4,Assumptions!$B$14,Assumptions!$B$15)-Pricing!$B$14,Assumptions!$B$9*(1+Assumptions!$B$10)^(A47-Assumptions!$B$4)+Assumptions!$B$12*(1+Assumptions!$B$11)^(A47-Assumptions!$B$4+1)))*Projection!H41</f>
        <v>1695.57409797618</v>
      </c>
    </row>
    <row r="48" customFormat="false" ht="15" hidden="false" customHeight="true" outlineLevel="0" collapsed="false">
      <c r="A48" s="54" t="n">
        <f aca="false">A47+1</f>
        <v>103</v>
      </c>
      <c r="B48" s="32" t="n">
        <f aca="false">B47*(1-MIN(1,Projection!C41*0.8))*(1-IF(Projection!B41&lt;Assumptions!$B$5,Projection!E41,0))</f>
        <v>0.0742336555169321</v>
      </c>
      <c r="C48" s="32" t="n">
        <f aca="false">C47*(1-MIN(1,Projection!C41*0.75))*(1-IF(Projection!B41&lt;Assumptions!$B$5,Projection!E41,0))</f>
        <v>0.0870872117295854</v>
      </c>
      <c r="D48" s="32" t="n">
        <f aca="false">D47*(1-MIN(1,Projection!C41*0.7))*(1-IF(Projection!B41&lt;Assumptions!$B$5,Projection!E41,0))</f>
        <v>0.102027009031689</v>
      </c>
      <c r="E48" s="32" t="n">
        <f aca="false">E47*(1-MIN(1,Projection!C41*0.65))*(1-IF(Projection!B41&lt;Assumptions!$B$5,Projection!E41,0))</f>
        <v>0.119370061847067</v>
      </c>
      <c r="F48" s="32" t="n">
        <f aca="false">F47*(1-MIN(1,Projection!C41*0.6))*(1-IF(Projection!B41&lt;Assumptions!$B$5,Projection!E41,0))</f>
        <v>0.139478424609387</v>
      </c>
      <c r="G48" s="48" t="n">
        <f aca="false">B48*(IF(A48&lt;Assumptions!$B$5,Assumptions!$B$12*(1+Assumptions!$B$11)^(A48-Assumptions!$B$4+1)+Pricing!$B$14*IF(A48=Assumptions!$B$4,Assumptions!$B$14,Assumptions!$B$15)-Pricing!$B$14,Assumptions!$B$9*(1+Assumptions!$B$10)^(A48-Assumptions!$B$4)+Assumptions!$B$12*(1+Assumptions!$B$11)^(A48-Assumptions!$B$4+1)))*Projection!H42</f>
        <v>766.815221653555</v>
      </c>
      <c r="H48" s="48" t="n">
        <f aca="false">C48*(IF(A48&lt;Assumptions!$B$5,Assumptions!$B$12*(1+Assumptions!$B$11)^(A48-Assumptions!$B$4+1)+Pricing!$B$14*IF(A48=Assumptions!$B$4,Assumptions!$B$14,Assumptions!$B$15)-Pricing!$B$14,Assumptions!$B$9*(1+Assumptions!$B$10)^(A48-Assumptions!$B$4)+Assumptions!$B$12*(1+Assumptions!$B$11)^(A48-Assumptions!$B$4+1)))*Projection!H42</f>
        <v>899.589264472908</v>
      </c>
      <c r="I48" s="48" t="n">
        <f aca="false">D48*(IF(A48&lt;Assumptions!$B$5,Assumptions!$B$12*(1+Assumptions!$B$11)^(A48-Assumptions!$B$4+1)+Pricing!$B$14*IF(A48=Assumptions!$B$4,Assumptions!$B$14,Assumptions!$B$15)-Pricing!$B$14,Assumptions!$B$9*(1+Assumptions!$B$10)^(A48-Assumptions!$B$4)+Assumptions!$B$12*(1+Assumptions!$B$11)^(A48-Assumptions!$B$4+1)))*Projection!H42</f>
        <v>1053.91365951848</v>
      </c>
      <c r="J48" s="48" t="n">
        <f aca="false">E48*(IF(A48&lt;Assumptions!$B$5,Assumptions!$B$12*(1+Assumptions!$B$11)^(A48-Assumptions!$B$4+1)+Pricing!$B$14*IF(A48=Assumptions!$B$4,Assumptions!$B$14,Assumptions!$B$15)-Pricing!$B$14,Assumptions!$B$9*(1+Assumptions!$B$10)^(A48-Assumptions!$B$4)+Assumptions!$B$12*(1+Assumptions!$B$11)^(A48-Assumptions!$B$4+1)))*Projection!H42</f>
        <v>1233.06308704115</v>
      </c>
      <c r="K48" s="48" t="n">
        <f aca="false">F48*(IF(A48&lt;Assumptions!$B$5,Assumptions!$B$12*(1+Assumptions!$B$11)^(A48-Assumptions!$B$4+1)+Pricing!$B$14*IF(A48=Assumptions!$B$4,Assumptions!$B$14,Assumptions!$B$15)-Pricing!$B$14,Assumptions!$B$9*(1+Assumptions!$B$10)^(A48-Assumptions!$B$4)+Assumptions!$B$12*(1+Assumptions!$B$11)^(A48-Assumptions!$B$4+1)))*Projection!H42</f>
        <v>1440.77747940542</v>
      </c>
    </row>
    <row r="49" customFormat="false" ht="15" hidden="false" customHeight="true" outlineLevel="0" collapsed="false">
      <c r="A49" s="54" t="n">
        <f aca="false">A48+1</f>
        <v>104</v>
      </c>
      <c r="B49" s="32" t="n">
        <f aca="false">B48*(1-MIN(1,Projection!C42*0.8))*(1-IF(Projection!B42&lt;Assumptions!$B$5,Projection!E42,0))</f>
        <v>0.0595416345612831</v>
      </c>
      <c r="C49" s="32" t="n">
        <f aca="false">C48*(1-MIN(1,Projection!C42*0.75))*(1-IF(Projection!B42&lt;Assumptions!$B$5,Projection!E42,0))</f>
        <v>0.0709285140995698</v>
      </c>
      <c r="D49" s="32" t="n">
        <f aca="false">D48*(1-MIN(1,Projection!C42*0.7))*(1-IF(Projection!B42&lt;Assumptions!$B$5,Projection!E42,0))</f>
        <v>0.0843583373724491</v>
      </c>
      <c r="E49" s="32" t="n">
        <f aca="false">E48*(1-MIN(1,Projection!C42*0.65))*(1-IF(Projection!B42&lt;Assumptions!$B$5,Projection!E42,0))</f>
        <v>0.100174559573721</v>
      </c>
      <c r="F49" s="32" t="n">
        <f aca="false">F48*(1-MIN(1,Projection!C42*0.6))*(1-IF(Projection!B42&lt;Assumptions!$B$5,Projection!E42,0))</f>
        <v>0.118774675855347</v>
      </c>
      <c r="G49" s="48" t="n">
        <f aca="false">B49*(IF(A49&lt;Assumptions!$B$5,Assumptions!$B$12*(1+Assumptions!$B$11)^(A49-Assumptions!$B$4+1)+Pricing!$B$14*IF(A49=Assumptions!$B$4,Assumptions!$B$14,Assumptions!$B$15)-Pricing!$B$14,Assumptions!$B$9*(1+Assumptions!$B$10)^(A49-Assumptions!$B$4)+Assumptions!$B$12*(1+Assumptions!$B$11)^(A49-Assumptions!$B$4+1)))*Projection!H43</f>
        <v>607.698906039537</v>
      </c>
      <c r="H49" s="48" t="n">
        <f aca="false">C49*(IF(A49&lt;Assumptions!$B$5,Assumptions!$B$12*(1+Assumptions!$B$11)^(A49-Assumptions!$B$4+1)+Pricing!$B$14*IF(A49=Assumptions!$B$4,Assumptions!$B$14,Assumptions!$B$15)-Pricing!$B$14,Assumptions!$B$9*(1+Assumptions!$B$10)^(A49-Assumptions!$B$4)+Assumptions!$B$12*(1+Assumptions!$B$11)^(A49-Assumptions!$B$4+1)))*Projection!H43</f>
        <v>723.916646610609</v>
      </c>
      <c r="I49" s="48" t="n">
        <f aca="false">D49*(IF(A49&lt;Assumptions!$B$5,Assumptions!$B$12*(1+Assumptions!$B$11)^(A49-Assumptions!$B$4+1)+Pricing!$B$14*IF(A49=Assumptions!$B$4,Assumptions!$B$14,Assumptions!$B$15)-Pricing!$B$14,Assumptions!$B$9*(1+Assumptions!$B$10)^(A49-Assumptions!$B$4)+Assumptions!$B$12*(1+Assumptions!$B$11)^(A49-Assumptions!$B$4+1)))*Projection!H43</f>
        <v>860.985253667962</v>
      </c>
      <c r="J49" s="48" t="n">
        <f aca="false">E49*(IF(A49&lt;Assumptions!$B$5,Assumptions!$B$12*(1+Assumptions!$B$11)^(A49-Assumptions!$B$4+1)+Pricing!$B$14*IF(A49=Assumptions!$B$4,Assumptions!$B$14,Assumptions!$B$15)-Pricing!$B$14,Assumptions!$B$9*(1+Assumptions!$B$10)^(A49-Assumptions!$B$4)+Assumptions!$B$12*(1+Assumptions!$B$11)^(A49-Assumptions!$B$4+1)))*Projection!H43</f>
        <v>1022.41012888698</v>
      </c>
      <c r="K49" s="48" t="n">
        <f aca="false">F49*(IF(A49&lt;Assumptions!$B$5,Assumptions!$B$12*(1+Assumptions!$B$11)^(A49-Assumptions!$B$4+1)+Pricing!$B$14*IF(A49=Assumptions!$B$4,Assumptions!$B$14,Assumptions!$B$15)-Pricing!$B$14,Assumptions!$B$9*(1+Assumptions!$B$10)^(A49-Assumptions!$B$4)+Assumptions!$B$12*(1+Assumptions!$B$11)^(A49-Assumptions!$B$4+1)))*Projection!H43</f>
        <v>1212.24822117043</v>
      </c>
    </row>
    <row r="50" customFormat="false" ht="15" hidden="false" customHeight="true" outlineLevel="0" collapsed="false">
      <c r="A50" s="54" t="n">
        <f aca="false">A49+1</f>
        <v>105</v>
      </c>
      <c r="B50" s="32" t="n">
        <f aca="false">B49*(1-MIN(1,Projection!C43*0.8))*(1-IF(Projection!B43&lt;Assumptions!$B$5,Projection!E43,0))</f>
        <v>0.0482118348453064</v>
      </c>
      <c r="C50" s="32" t="n">
        <f aca="false">C49*(1-MIN(1,Projection!C43*0.75))*(1-IF(Projection!B43&lt;Assumptions!$B$5,Projection!E43,0))</f>
        <v>0.0582755108981999</v>
      </c>
      <c r="D50" s="32" t="n">
        <f aca="false">D49*(1-MIN(1,Projection!C43*0.7))*(1-IF(Projection!B43&lt;Assumptions!$B$5,Projection!E43,0))</f>
        <v>0.0703128263680181</v>
      </c>
      <c r="E50" s="32" t="n">
        <f aca="false">E49*(1-MIN(1,Projection!C43*0.65))*(1-IF(Projection!B43&lt;Assumptions!$B$5,Projection!E43,0))</f>
        <v>0.0846870249219204</v>
      </c>
      <c r="F50" s="32" t="n">
        <f aca="false">F49*(1-MIN(1,Projection!C43*0.6))*(1-IF(Projection!B43&lt;Assumptions!$B$5,Projection!E43,0))</f>
        <v>0.101824016471961</v>
      </c>
      <c r="G50" s="48" t="n">
        <f aca="false">B50*(IF(A50&lt;Assumptions!$B$5,Assumptions!$B$12*(1+Assumptions!$B$11)^(A50-Assumptions!$B$4+1)+Pricing!$B$14*IF(A50=Assumptions!$B$4,Assumptions!$B$14,Assumptions!$B$15)-Pricing!$B$14,Assumptions!$B$9*(1+Assumptions!$B$10)^(A50-Assumptions!$B$4)+Assumptions!$B$12*(1+Assumptions!$B$11)^(A50-Assumptions!$B$4+1)))*Projection!H44</f>
        <v>485.984595692804</v>
      </c>
      <c r="H50" s="48" t="n">
        <f aca="false">C50*(IF(A50&lt;Assumptions!$B$5,Assumptions!$B$12*(1+Assumptions!$B$11)^(A50-Assumptions!$B$4+1)+Pricing!$B$14*IF(A50=Assumptions!$B$4,Assumptions!$B$14,Assumptions!$B$15)-Pricing!$B$14,Assumptions!$B$9*(1+Assumptions!$B$10)^(A50-Assumptions!$B$4)+Assumptions!$B$12*(1+Assumptions!$B$11)^(A50-Assumptions!$B$4+1)))*Projection!H44</f>
        <v>587.428391670317</v>
      </c>
      <c r="I50" s="48" t="n">
        <f aca="false">D50*(IF(A50&lt;Assumptions!$B$5,Assumptions!$B$12*(1+Assumptions!$B$11)^(A50-Assumptions!$B$4+1)+Pricing!$B$14*IF(A50=Assumptions!$B$4,Assumptions!$B$14,Assumptions!$B$15)-Pricing!$B$14,Assumptions!$B$9*(1+Assumptions!$B$10)^(A50-Assumptions!$B$4)+Assumptions!$B$12*(1+Assumptions!$B$11)^(A50-Assumptions!$B$4+1)))*Projection!H44</f>
        <v>708.766853701405</v>
      </c>
      <c r="J50" s="48" t="n">
        <f aca="false">E50*(IF(A50&lt;Assumptions!$B$5,Assumptions!$B$12*(1+Assumptions!$B$11)^(A50-Assumptions!$B$4+1)+Pricing!$B$14*IF(A50=Assumptions!$B$4,Assumptions!$B$14,Assumptions!$B$15)-Pricing!$B$14,Assumptions!$B$9*(1+Assumptions!$B$10)^(A50-Assumptions!$B$4)+Assumptions!$B$12*(1+Assumptions!$B$11)^(A50-Assumptions!$B$4+1)))*Projection!H44</f>
        <v>853.661548023673</v>
      </c>
      <c r="K50" s="48" t="n">
        <f aca="false">F50*(IF(A50&lt;Assumptions!$B$5,Assumptions!$B$12*(1+Assumptions!$B$11)^(A50-Assumptions!$B$4+1)+Pricing!$B$14*IF(A50=Assumptions!$B$4,Assumptions!$B$14,Assumptions!$B$15)-Pricing!$B$14,Assumptions!$B$9*(1+Assumptions!$B$10)^(A50-Assumptions!$B$4)+Assumptions!$B$12*(1+Assumptions!$B$11)^(A50-Assumptions!$B$4+1)))*Projection!H44</f>
        <v>1026.40572871209</v>
      </c>
    </row>
    <row r="51" customFormat="false" ht="15" hidden="false" customHeight="true" outlineLevel="0" collapsed="false">
      <c r="A51" s="54" t="n">
        <f aca="false">A50+1</f>
        <v>106</v>
      </c>
      <c r="B51" s="32" t="n">
        <f aca="false">B50*(1-MIN(1,Projection!C44*0.8))*(1-IF(Projection!B44&lt;Assumptions!$B$5,Projection!E44,0))</f>
        <v>0.0435055084561394</v>
      </c>
      <c r="C51" s="32" t="n">
        <f aca="false">C50*(1-MIN(1,Projection!C44*0.75))*(1-IF(Projection!B44&lt;Assumptions!$B$5,Projection!E44,0))</f>
        <v>0.0529423369548414</v>
      </c>
      <c r="D51" s="32" t="n">
        <f aca="false">D50*(1-MIN(1,Projection!C44*0.7))*(1-IF(Projection!B44&lt;Assumptions!$B$5,Projection!E44,0))</f>
        <v>0.0643070246311065</v>
      </c>
      <c r="E51" s="32" t="n">
        <f aca="false">E50*(1-MIN(1,Projection!C44*0.65))*(1-IF(Projection!B44&lt;Assumptions!$B$5,Projection!E44,0))</f>
        <v>0.0779701288535639</v>
      </c>
      <c r="F51" s="32" t="n">
        <f aca="false">F50*(1-MIN(1,Projection!C44*0.6))*(1-IF(Projection!B44&lt;Assumptions!$B$5,Projection!E44,0))</f>
        <v>0.0943691499856938</v>
      </c>
      <c r="G51" s="48" t="n">
        <f aca="false">B51*(IF(A51&lt;Assumptions!$B$5,Assumptions!$B$12*(1+Assumptions!$B$11)^(A51-Assumptions!$B$4+1)+Pricing!$B$14*IF(A51=Assumptions!$B$4,Assumptions!$B$14,Assumptions!$B$15)-Pricing!$B$14,Assumptions!$B$9*(1+Assumptions!$B$10)^(A51-Assumptions!$B$4)+Assumptions!$B$12*(1+Assumptions!$B$11)^(A51-Assumptions!$B$4+1)))*Projection!H45</f>
        <v>433.109262226379</v>
      </c>
      <c r="H51" s="48" t="n">
        <f aca="false">C51*(IF(A51&lt;Assumptions!$B$5,Assumptions!$B$12*(1+Assumptions!$B$11)^(A51-Assumptions!$B$4+1)+Pricing!$B$14*IF(A51=Assumptions!$B$4,Assumptions!$B$14,Assumptions!$B$15)-Pricing!$B$14,Assumptions!$B$9*(1+Assumptions!$B$10)^(A51-Assumptions!$B$4)+Assumptions!$B$12*(1+Assumptions!$B$11)^(A51-Assumptions!$B$4+1)))*Projection!H45</f>
        <v>527.055476714373</v>
      </c>
      <c r="I51" s="48" t="n">
        <f aca="false">D51*(IF(A51&lt;Assumptions!$B$5,Assumptions!$B$12*(1+Assumptions!$B$11)^(A51-Assumptions!$B$4+1)+Pricing!$B$14*IF(A51=Assumptions!$B$4,Assumptions!$B$14,Assumptions!$B$15)-Pricing!$B$14,Assumptions!$B$9*(1+Assumptions!$B$10)^(A51-Assumptions!$B$4)+Assumptions!$B$12*(1+Assumptions!$B$11)^(A51-Assumptions!$B$4+1)))*Projection!H45</f>
        <v>640.194057771591</v>
      </c>
      <c r="J51" s="48" t="n">
        <f aca="false">E51*(IF(A51&lt;Assumptions!$B$5,Assumptions!$B$12*(1+Assumptions!$B$11)^(A51-Assumptions!$B$4+1)+Pricing!$B$14*IF(A51=Assumptions!$B$4,Assumptions!$B$14,Assumptions!$B$15)-Pricing!$B$14,Assumptions!$B$9*(1+Assumptions!$B$10)^(A51-Assumptions!$B$4)+Assumptions!$B$12*(1+Assumptions!$B$11)^(A51-Assumptions!$B$4+1)))*Projection!H45</f>
        <v>776.214005578351</v>
      </c>
      <c r="K51" s="48" t="n">
        <f aca="false">F51*(IF(A51&lt;Assumptions!$B$5,Assumptions!$B$12*(1+Assumptions!$B$11)^(A51-Assumptions!$B$4+1)+Pricing!$B$14*IF(A51=Assumptions!$B$4,Assumptions!$B$14,Assumptions!$B$15)-Pricing!$B$14,Assumptions!$B$9*(1+Assumptions!$B$10)^(A51-Assumptions!$B$4)+Assumptions!$B$12*(1+Assumptions!$B$11)^(A51-Assumptions!$B$4+1)))*Projection!H45</f>
        <v>939.470756178844</v>
      </c>
    </row>
    <row r="52" customFormat="false" ht="15" hidden="false" customHeight="true" outlineLevel="0" collapsed="false">
      <c r="A52" s="54" t="n">
        <f aca="false">A51+1</f>
        <v>107</v>
      </c>
      <c r="B52" s="32" t="n">
        <f aca="false">B51*(1-MIN(1,Projection!C45*0.8))*(1-IF(Projection!B45&lt;Assumptions!$B$5,Projection!E45,0))</f>
        <v>0.0318790680287015</v>
      </c>
      <c r="C52" s="32" t="n">
        <f aca="false">C51*(1-MIN(1,Projection!C45*0.75))*(1-IF(Projection!B45&lt;Assumptions!$B$5,Projection!E45,0))</f>
        <v>0.0396782638695182</v>
      </c>
      <c r="D52" s="32" t="n">
        <f aca="false">D51*(1-MIN(1,Projection!C45*0.7))*(1-IF(Projection!B45&lt;Assumptions!$B$5,Projection!E45,0))</f>
        <v>0.0492697548625791</v>
      </c>
      <c r="E52" s="32" t="n">
        <f aca="false">E51*(1-MIN(1,Projection!C45*0.65))*(1-IF(Projection!B45&lt;Assumptions!$B$5,Projection!E45,0))</f>
        <v>0.0610402385717622</v>
      </c>
      <c r="F52" s="32" t="n">
        <f aca="false">F51*(1-MIN(1,Projection!C45*0.6))*(1-IF(Projection!B45&lt;Assumptions!$B$5,Projection!E45,0))</f>
        <v>0.0754546951367852</v>
      </c>
      <c r="G52" s="48" t="n">
        <f aca="false">B52*(IF(A52&lt;Assumptions!$B$5,Assumptions!$B$12*(1+Assumptions!$B$11)^(A52-Assumptions!$B$4+1)+Pricing!$B$14*IF(A52=Assumptions!$B$4,Assumptions!$B$14,Assumptions!$B$15)-Pricing!$B$14,Assumptions!$B$9*(1+Assumptions!$B$10)^(A52-Assumptions!$B$4)+Assumptions!$B$12*(1+Assumptions!$B$11)^(A52-Assumptions!$B$4+1)))*Projection!H46</f>
        <v>313.547394907639</v>
      </c>
      <c r="H52" s="48" t="n">
        <f aca="false">C52*(IF(A52&lt;Assumptions!$B$5,Assumptions!$B$12*(1+Assumptions!$B$11)^(A52-Assumptions!$B$4+1)+Pricing!$B$14*IF(A52=Assumptions!$B$4,Assumptions!$B$14,Assumptions!$B$15)-Pricing!$B$14,Assumptions!$B$9*(1+Assumptions!$B$10)^(A52-Assumptions!$B$4)+Assumptions!$B$12*(1+Assumptions!$B$11)^(A52-Assumptions!$B$4+1)))*Projection!H46</f>
        <v>390.256586533345</v>
      </c>
      <c r="I52" s="48" t="n">
        <f aca="false">D52*(IF(A52&lt;Assumptions!$B$5,Assumptions!$B$12*(1+Assumptions!$B$11)^(A52-Assumptions!$B$4+1)+Pricing!$B$14*IF(A52=Assumptions!$B$4,Assumptions!$B$14,Assumptions!$B$15)-Pricing!$B$14,Assumptions!$B$9*(1+Assumptions!$B$10)^(A52-Assumptions!$B$4)+Assumptions!$B$12*(1+Assumptions!$B$11)^(A52-Assumptions!$B$4+1)))*Projection!H46</f>
        <v>484.593943304461</v>
      </c>
      <c r="J52" s="48" t="n">
        <f aca="false">E52*(IF(A52&lt;Assumptions!$B$5,Assumptions!$B$12*(1+Assumptions!$B$11)^(A52-Assumptions!$B$4+1)+Pricing!$B$14*IF(A52=Assumptions!$B$4,Assumptions!$B$14,Assumptions!$B$15)-Pricing!$B$14,Assumptions!$B$9*(1+Assumptions!$B$10)^(A52-Assumptions!$B$4)+Assumptions!$B$12*(1+Assumptions!$B$11)^(A52-Assumptions!$B$4+1)))*Projection!H46</f>
        <v>600.362839073135</v>
      </c>
      <c r="K52" s="48" t="n">
        <f aca="false">F52*(IF(A52&lt;Assumptions!$B$5,Assumptions!$B$12*(1+Assumptions!$B$11)^(A52-Assumptions!$B$4+1)+Pricing!$B$14*IF(A52=Assumptions!$B$4,Assumptions!$B$14,Assumptions!$B$15)-Pricing!$B$14,Assumptions!$B$9*(1+Assumptions!$B$10)^(A52-Assumptions!$B$4)+Assumptions!$B$12*(1+Assumptions!$B$11)^(A52-Assumptions!$B$4+1)))*Projection!H46</f>
        <v>742.136597982998</v>
      </c>
    </row>
    <row r="53" customFormat="false" ht="15" hidden="false" customHeight="true" outlineLevel="0" collapsed="false">
      <c r="A53" s="54" t="n">
        <f aca="false">A52+1</f>
        <v>108</v>
      </c>
      <c r="B53" s="32" t="n">
        <f aca="false">B52*(1-MIN(1,Projection!C46*0.8))*(1-IF(Projection!B46&lt;Assumptions!$B$5,Projection!E46,0))</f>
        <v>0.0227430770321582</v>
      </c>
      <c r="C53" s="32" t="n">
        <f aca="false">C52*(1-MIN(1,Projection!C46*0.75))*(1-IF(Projection!B46&lt;Assumptions!$B$5,Projection!E46,0))</f>
        <v>0.0290178520023168</v>
      </c>
      <c r="D53" s="32" t="n">
        <f aca="false">D52*(1-MIN(1,Projection!C46*0.7))*(1-IF(Projection!B46&lt;Assumptions!$B$5,Projection!E46,0))</f>
        <v>0.0369148757341016</v>
      </c>
      <c r="E53" s="32" t="n">
        <f aca="false">E52*(1-MIN(1,Projection!C46*0.65))*(1-IF(Projection!B46&lt;Assumptions!$B$5,Projection!E46,0))</f>
        <v>0.0468271115135284</v>
      </c>
      <c r="F53" s="32" t="n">
        <f aca="false">F52*(1-MIN(1,Projection!C46*0.6))*(1-IF(Projection!B46&lt;Assumptions!$B$5,Projection!E46,0))</f>
        <v>0.0592366845883914</v>
      </c>
      <c r="G53" s="48" t="n">
        <f aca="false">B53*(IF(A53&lt;Assumptions!$B$5,Assumptions!$B$12*(1+Assumptions!$B$11)^(A53-Assumptions!$B$4+1)+Pricing!$B$14*IF(A53=Assumptions!$B$4,Assumptions!$B$14,Assumptions!$B$15)-Pricing!$B$14,Assumptions!$B$9*(1+Assumptions!$B$10)^(A53-Assumptions!$B$4)+Assumptions!$B$12*(1+Assumptions!$B$11)^(A53-Assumptions!$B$4+1)))*Projection!H47</f>
        <v>220.903127166267</v>
      </c>
      <c r="H53" s="48" t="n">
        <f aca="false">C53*(IF(A53&lt;Assumptions!$B$5,Assumptions!$B$12*(1+Assumptions!$B$11)^(A53-Assumptions!$B$4+1)+Pricing!$B$14*IF(A53=Assumptions!$B$4,Assumptions!$B$14,Assumptions!$B$15)-Pricing!$B$14,Assumptions!$B$9*(1+Assumptions!$B$10)^(A53-Assumptions!$B$4)+Assumptions!$B$12*(1+Assumptions!$B$11)^(A53-Assumptions!$B$4+1)))*Projection!H47</f>
        <v>281.849911597095</v>
      </c>
      <c r="I53" s="48" t="n">
        <f aca="false">D53*(IF(A53&lt;Assumptions!$B$5,Assumptions!$B$12*(1+Assumptions!$B$11)^(A53-Assumptions!$B$4+1)+Pricing!$B$14*IF(A53=Assumptions!$B$4,Assumptions!$B$14,Assumptions!$B$15)-Pricing!$B$14,Assumptions!$B$9*(1+Assumptions!$B$10)^(A53-Assumptions!$B$4)+Assumptions!$B$12*(1+Assumptions!$B$11)^(A53-Assumptions!$B$4+1)))*Projection!H47</f>
        <v>358.553571141089</v>
      </c>
      <c r="J53" s="48" t="n">
        <f aca="false">E53*(IF(A53&lt;Assumptions!$B$5,Assumptions!$B$12*(1+Assumptions!$B$11)^(A53-Assumptions!$B$4+1)+Pricing!$B$14*IF(A53=Assumptions!$B$4,Assumptions!$B$14,Assumptions!$B$15)-Pricing!$B$14,Assumptions!$B$9*(1+Assumptions!$B$10)^(A53-Assumptions!$B$4)+Assumptions!$B$12*(1+Assumptions!$B$11)^(A53-Assumptions!$B$4+1)))*Projection!H47</f>
        <v>454.830951628727</v>
      </c>
      <c r="K53" s="48" t="n">
        <f aca="false">F53*(IF(A53&lt;Assumptions!$B$5,Assumptions!$B$12*(1+Assumptions!$B$11)^(A53-Assumptions!$B$4+1)+Pricing!$B$14*IF(A53=Assumptions!$B$4,Assumptions!$B$14,Assumptions!$B$15)-Pricing!$B$14,Assumptions!$B$9*(1+Assumptions!$B$10)^(A53-Assumptions!$B$4)+Assumptions!$B$12*(1+Assumptions!$B$11)^(A53-Assumptions!$B$4+1)))*Projection!H47</f>
        <v>575.364927535302</v>
      </c>
    </row>
    <row r="54" customFormat="false" ht="15" hidden="false" customHeight="true" outlineLevel="0" collapsed="false">
      <c r="A54" s="54" t="n">
        <f aca="false">A53+1</f>
        <v>109</v>
      </c>
      <c r="B54" s="32" t="n">
        <f aca="false">B53*(1-MIN(1,Projection!C47*0.8))*(1-IF(Projection!B47&lt;Assumptions!$B$5,Projection!E47,0))</f>
        <v>0.0157566405555477</v>
      </c>
      <c r="C54" s="32" t="n">
        <f aca="false">C53*(1-MIN(1,Projection!C47*0.75))*(1-IF(Projection!B47&lt;Assumptions!$B$5,Projection!E47,0))</f>
        <v>0.020660993860309</v>
      </c>
      <c r="D54" s="32" t="n">
        <f aca="false">D53*(1-MIN(1,Projection!C47*0.7))*(1-IF(Projection!B47&lt;Assumptions!$B$5,Projection!E47,0))</f>
        <v>0.0269924934309331</v>
      </c>
      <c r="E54" s="32" t="n">
        <f aca="false">E53*(1-MIN(1,Projection!C47*0.65))*(1-IF(Projection!B47&lt;Assumptions!$B$5,Projection!E47,0))</f>
        <v>0.0351394606032432</v>
      </c>
      <c r="F54" s="32" t="n">
        <f aca="false">F53*(1-MIN(1,Projection!C47*0.6))*(1-IF(Projection!B47&lt;Assumptions!$B$5,Projection!E47,0))</f>
        <v>0.0455890150126137</v>
      </c>
      <c r="G54" s="48" t="n">
        <f aca="false">B54*(IF(A54&lt;Assumptions!$B$5,Assumptions!$B$12*(1+Assumptions!$B$11)^(A54-Assumptions!$B$4+1)+Pricing!$B$14*IF(A54=Assumptions!$B$4,Assumptions!$B$14,Assumptions!$B$15)-Pricing!$B$14,Assumptions!$B$9*(1+Assumptions!$B$10)^(A54-Assumptions!$B$4)+Assumptions!$B$12*(1+Assumptions!$B$11)^(A54-Assumptions!$B$4+1)))*Projection!H48</f>
        <v>151.195797919687</v>
      </c>
      <c r="H54" s="48" t="n">
        <f aca="false">C54*(IF(A54&lt;Assumptions!$B$5,Assumptions!$B$12*(1+Assumptions!$B$11)^(A54-Assumptions!$B$4+1)+Pricing!$B$14*IF(A54=Assumptions!$B$4,Assumptions!$B$14,Assumptions!$B$15)-Pricing!$B$14,Assumptions!$B$9*(1+Assumptions!$B$10)^(A54-Assumptions!$B$4)+Assumptions!$B$12*(1+Assumptions!$B$11)^(A54-Assumptions!$B$4+1)))*Projection!H48</f>
        <v>198.256439341272</v>
      </c>
      <c r="I54" s="48" t="n">
        <f aca="false">D54*(IF(A54&lt;Assumptions!$B$5,Assumptions!$B$12*(1+Assumptions!$B$11)^(A54-Assumptions!$B$4+1)+Pricing!$B$14*IF(A54=Assumptions!$B$4,Assumptions!$B$14,Assumptions!$B$15)-Pricing!$B$14,Assumptions!$B$9*(1+Assumptions!$B$10)^(A54-Assumptions!$B$4)+Assumptions!$B$12*(1+Assumptions!$B$11)^(A54-Assumptions!$B$4+1)))*Projection!H48</f>
        <v>259.011530265245</v>
      </c>
      <c r="J54" s="48" t="n">
        <f aca="false">E54*(IF(A54&lt;Assumptions!$B$5,Assumptions!$B$12*(1+Assumptions!$B$11)^(A54-Assumptions!$B$4+1)+Pricing!$B$14*IF(A54=Assumptions!$B$4,Assumptions!$B$14,Assumptions!$B$15)-Pricing!$B$14,Assumptions!$B$9*(1+Assumptions!$B$10)^(A54-Assumptions!$B$4)+Assumptions!$B$12*(1+Assumptions!$B$11)^(A54-Assumptions!$B$4+1)))*Projection!H48</f>
        <v>337.187280857539</v>
      </c>
      <c r="K54" s="48" t="n">
        <f aca="false">F54*(IF(A54&lt;Assumptions!$B$5,Assumptions!$B$12*(1+Assumptions!$B$11)^(A54-Assumptions!$B$4+1)+Pricing!$B$14*IF(A54=Assumptions!$B$4,Assumptions!$B$14,Assumptions!$B$15)-Pricing!$B$14,Assumptions!$B$9*(1+Assumptions!$B$10)^(A54-Assumptions!$B$4)+Assumptions!$B$12*(1+Assumptions!$B$11)^(A54-Assumptions!$B$4+1)))*Projection!H48</f>
        <v>437.45793888646</v>
      </c>
    </row>
    <row r="55" customFormat="false" ht="15" hidden="false" customHeight="true" outlineLevel="0" collapsed="false">
      <c r="A55" s="54" t="n">
        <f aca="false">A54+1</f>
        <v>110</v>
      </c>
      <c r="B55" s="32" t="n">
        <f aca="false">B54*(1-MIN(1,Projection!C48*0.8))*(1-IF(Projection!B48&lt;Assumptions!$B$5,Projection!E48,0))</f>
        <v>0.0105706756777305</v>
      </c>
      <c r="C55" s="32" t="n">
        <f aca="false">C54*(1-MIN(1,Projection!C48*0.75))*(1-IF(Projection!B48&lt;Assumptions!$B$5,Projection!E48,0))</f>
        <v>0.0142858729159069</v>
      </c>
      <c r="D55" s="32" t="n">
        <f aca="false">D54*(1-MIN(1,Projection!C48*0.7))*(1-IF(Projection!B48&lt;Assumptions!$B$5,Projection!E48,0))</f>
        <v>0.0192189863115988</v>
      </c>
      <c r="E55" s="32" t="n">
        <f aca="false">E54*(1-MIN(1,Projection!C48*0.65))*(1-IF(Projection!B48&lt;Assumptions!$B$5,Projection!E48,0))</f>
        <v>0.02574256496451</v>
      </c>
      <c r="F55" s="32" t="n">
        <f aca="false">F54*(1-MIN(1,Projection!C48*0.6))*(1-IF(Projection!B48&lt;Assumptions!$B$5,Projection!E48,0))</f>
        <v>0.0343355201843749</v>
      </c>
      <c r="G55" s="48" t="n">
        <f aca="false">B55*(IF(A55&lt;Assumptions!$B$5,Assumptions!$B$12*(1+Assumptions!$B$11)^(A55-Assumptions!$B$4+1)+Pricing!$B$14*IF(A55=Assumptions!$B$4,Assumptions!$B$14,Assumptions!$B$15)-Pricing!$B$14,Assumptions!$B$9*(1+Assumptions!$B$10)^(A55-Assumptions!$B$4)+Assumptions!$B$12*(1+Assumptions!$B$11)^(A55-Assumptions!$B$4+1)))*Projection!H49</f>
        <v>100.162368943554</v>
      </c>
      <c r="H55" s="48" t="n">
        <f aca="false">C55*(IF(A55&lt;Assumptions!$B$5,Assumptions!$B$12*(1+Assumptions!$B$11)^(A55-Assumptions!$B$4+1)+Pricing!$B$14*IF(A55=Assumptions!$B$4,Assumptions!$B$14,Assumptions!$B$15)-Pricing!$B$14,Assumptions!$B$9*(1+Assumptions!$B$10)^(A55-Assumptions!$B$4)+Assumptions!$B$12*(1+Assumptions!$B$11)^(A55-Assumptions!$B$4+1)))*Projection!H49</f>
        <v>135.365696319519</v>
      </c>
      <c r="I55" s="48" t="n">
        <f aca="false">D55*(IF(A55&lt;Assumptions!$B$5,Assumptions!$B$12*(1+Assumptions!$B$11)^(A55-Assumptions!$B$4+1)+Pricing!$B$14*IF(A55=Assumptions!$B$4,Assumptions!$B$14,Assumptions!$B$15)-Pricing!$B$14,Assumptions!$B$9*(1+Assumptions!$B$10)^(A55-Assumptions!$B$4)+Assumptions!$B$12*(1+Assumptions!$B$11)^(A55-Assumptions!$B$4+1)))*Projection!H49</f>
        <v>182.109380360516</v>
      </c>
      <c r="J55" s="48" t="n">
        <f aca="false">E55*(IF(A55&lt;Assumptions!$B$5,Assumptions!$B$12*(1+Assumptions!$B$11)^(A55-Assumptions!$B$4+1)+Pricing!$B$14*IF(A55=Assumptions!$B$4,Assumptions!$B$14,Assumptions!$B$15)-Pricing!$B$14,Assumptions!$B$9*(1+Assumptions!$B$10)^(A55-Assumptions!$B$4)+Assumptions!$B$12*(1+Assumptions!$B$11)^(A55-Assumptions!$B$4+1)))*Projection!H49</f>
        <v>243.923507648685</v>
      </c>
      <c r="K55" s="48" t="n">
        <f aca="false">F55*(IF(A55&lt;Assumptions!$B$5,Assumptions!$B$12*(1+Assumptions!$B$11)^(A55-Assumptions!$B$4+1)+Pricing!$B$14*IF(A55=Assumptions!$B$4,Assumptions!$B$14,Assumptions!$B$15)-Pricing!$B$14,Assumptions!$B$9*(1+Assumptions!$B$10)^(A55-Assumptions!$B$4)+Assumptions!$B$12*(1+Assumptions!$B$11)^(A55-Assumptions!$B$4+1)))*Projection!H49</f>
        <v>325.345999198661</v>
      </c>
    </row>
    <row r="56" customFormat="false" ht="15" hidden="false" customHeight="true" outlineLevel="0" collapsed="false">
      <c r="A56" s="54" t="n">
        <f aca="false">A55+1</f>
        <v>111</v>
      </c>
      <c r="B56" s="32" t="n">
        <f aca="false">B55*(1-MIN(1,Projection!C49*0.8))*(1-IF(Projection!B49&lt;Assumptions!$B$5,Projection!E49,0))</f>
        <v>0.00684480085412546</v>
      </c>
      <c r="C56" s="32" t="n">
        <f aca="false">C55*(1-MIN(1,Projection!C49*0.75))*(1-IF(Projection!B49&lt;Assumptions!$B$5,Projection!E49,0))</f>
        <v>0.00956520369262223</v>
      </c>
      <c r="D56" s="32" t="n">
        <f aca="false">D55*(1-MIN(1,Projection!C49*0.7))*(1-IF(Projection!B49&lt;Assumptions!$B$5,Projection!E49,0))</f>
        <v>0.0132915889540774</v>
      </c>
      <c r="E56" s="32" t="n">
        <f aca="false">E55*(1-MIN(1,Projection!C49*0.65))*(1-IF(Projection!B49&lt;Assumptions!$B$5,Projection!E49,0))</f>
        <v>0.0183703040214458</v>
      </c>
      <c r="F56" s="32" t="n">
        <f aca="false">F55*(1-MIN(1,Projection!C49*0.6))*(1-IF(Projection!B49&lt;Assumptions!$B$5,Projection!E49,0))</f>
        <v>0.0252587695032531</v>
      </c>
      <c r="G56" s="48" t="n">
        <f aca="false">B56*(IF(A56&lt;Assumptions!$B$5,Assumptions!$B$12*(1+Assumptions!$B$11)^(A56-Assumptions!$B$4+1)+Pricing!$B$14*IF(A56=Assumptions!$B$4,Assumptions!$B$14,Assumptions!$B$15)-Pricing!$B$14,Assumptions!$B$9*(1+Assumptions!$B$10)^(A56-Assumptions!$B$4)+Assumptions!$B$12*(1+Assumptions!$B$11)^(A56-Assumptions!$B$4+1)))*Projection!H50</f>
        <v>64.0715461632609</v>
      </c>
      <c r="H56" s="48" t="n">
        <f aca="false">C56*(IF(A56&lt;Assumptions!$B$5,Assumptions!$B$12*(1+Assumptions!$B$11)^(A56-Assumptions!$B$4+1)+Pricing!$B$14*IF(A56=Assumptions!$B$4,Assumptions!$B$14,Assumptions!$B$15)-Pricing!$B$14,Assumptions!$B$9*(1+Assumptions!$B$10)^(A56-Assumptions!$B$4)+Assumptions!$B$12*(1+Assumptions!$B$11)^(A56-Assumptions!$B$4+1)))*Projection!H50</f>
        <v>89.5361900242081</v>
      </c>
      <c r="I56" s="48" t="n">
        <f aca="false">D56*(IF(A56&lt;Assumptions!$B$5,Assumptions!$B$12*(1+Assumptions!$B$11)^(A56-Assumptions!$B$4+1)+Pricing!$B$14*IF(A56=Assumptions!$B$4,Assumptions!$B$14,Assumptions!$B$15)-Pricing!$B$14,Assumptions!$B$9*(1+Assumptions!$B$10)^(A56-Assumptions!$B$4)+Assumptions!$B$12*(1+Assumptions!$B$11)^(A56-Assumptions!$B$4+1)))*Projection!H50</f>
        <v>124.417448133787</v>
      </c>
      <c r="J56" s="48" t="n">
        <f aca="false">E56*(IF(A56&lt;Assumptions!$B$5,Assumptions!$B$12*(1+Assumptions!$B$11)^(A56-Assumptions!$B$4+1)+Pricing!$B$14*IF(A56=Assumptions!$B$4,Assumptions!$B$14,Assumptions!$B$15)-Pricing!$B$14,Assumptions!$B$9*(1+Assumptions!$B$10)^(A56-Assumptions!$B$4)+Assumptions!$B$12*(1+Assumptions!$B$11)^(A56-Assumptions!$B$4+1)))*Projection!H50</f>
        <v>171.957345031273</v>
      </c>
      <c r="K56" s="48" t="n">
        <f aca="false">F56*(IF(A56&lt;Assumptions!$B$5,Assumptions!$B$12*(1+Assumptions!$B$11)^(A56-Assumptions!$B$4+1)+Pricing!$B$14*IF(A56=Assumptions!$B$4,Assumptions!$B$14,Assumptions!$B$15)-Pricing!$B$14,Assumptions!$B$9*(1+Assumptions!$B$10)^(A56-Assumptions!$B$4)+Assumptions!$B$12*(1+Assumptions!$B$11)^(A56-Assumptions!$B$4+1)))*Projection!H50</f>
        <v>236.437618967312</v>
      </c>
    </row>
    <row r="57" customFormat="false" ht="15" hidden="false" customHeight="true" outlineLevel="0" collapsed="false">
      <c r="A57" s="54" t="n">
        <f aca="false">A56+1</f>
        <v>112</v>
      </c>
      <c r="B57" s="32" t="n">
        <f aca="false">B56*(1-MIN(1,Projection!C50*0.8))*(1-IF(Projection!B50&lt;Assumptions!$B$5,Projection!E50,0))</f>
        <v>0.0043355618105627</v>
      </c>
      <c r="C57" s="32" t="n">
        <f aca="false">C56*(1-MIN(1,Projection!C50*0.75))*(1-IF(Projection!B50&lt;Assumptions!$B$5,Projection!E50,0))</f>
        <v>0.00627784783897835</v>
      </c>
      <c r="D57" s="32" t="n">
        <f aca="false">D56*(1-MIN(1,Projection!C50*0.7))*(1-IF(Projection!B50&lt;Assumptions!$B$5,Projection!E50,0))</f>
        <v>0.00902808986445086</v>
      </c>
      <c r="E57" s="32" t="n">
        <f aca="false">E56*(1-MIN(1,Projection!C50*0.65))*(1-IF(Projection!B50&lt;Assumptions!$B$5,Projection!E50,0))</f>
        <v>0.0128986209698096</v>
      </c>
      <c r="F57" s="32" t="n">
        <f aca="false">F56*(1-MIN(1,Projection!C50*0.6))*(1-IF(Projection!B50&lt;Assumptions!$B$5,Projection!E50,0))</f>
        <v>0.0183140505865901</v>
      </c>
      <c r="G57" s="48" t="n">
        <f aca="false">B57*(IF(A57&lt;Assumptions!$B$5,Assumptions!$B$12*(1+Assumptions!$B$11)^(A57-Assumptions!$B$4+1)+Pricing!$B$14*IF(A57=Assumptions!$B$4,Assumptions!$B$14,Assumptions!$B$15)-Pricing!$B$14,Assumptions!$B$9*(1+Assumptions!$B$10)^(A57-Assumptions!$B$4)+Assumptions!$B$12*(1+Assumptions!$B$11)^(A57-Assumptions!$B$4+1)))*Projection!H51</f>
        <v>40.0907304950617</v>
      </c>
      <c r="H57" s="48" t="n">
        <f aca="false">C57*(IF(A57&lt;Assumptions!$B$5,Assumptions!$B$12*(1+Assumptions!$B$11)^(A57-Assumptions!$B$4+1)+Pricing!$B$14*IF(A57=Assumptions!$B$4,Assumptions!$B$14,Assumptions!$B$15)-Pricing!$B$14,Assumptions!$B$9*(1+Assumptions!$B$10)^(A57-Assumptions!$B$4)+Assumptions!$B$12*(1+Assumptions!$B$11)^(A57-Assumptions!$B$4+1)))*Projection!H51</f>
        <v>58.0509555159176</v>
      </c>
      <c r="I57" s="48" t="n">
        <f aca="false">D57*(IF(A57&lt;Assumptions!$B$5,Assumptions!$B$12*(1+Assumptions!$B$11)^(A57-Assumptions!$B$4+1)+Pricing!$B$14*IF(A57=Assumptions!$B$4,Assumptions!$B$14,Assumptions!$B$15)-Pricing!$B$14,Assumptions!$B$9*(1+Assumptions!$B$10)^(A57-Assumptions!$B$4)+Assumptions!$B$12*(1+Assumptions!$B$11)^(A57-Assumptions!$B$4+1)))*Projection!H51</f>
        <v>83.4823105875457</v>
      </c>
      <c r="J57" s="48" t="n">
        <f aca="false">E57*(IF(A57&lt;Assumptions!$B$5,Assumptions!$B$12*(1+Assumptions!$B$11)^(A57-Assumptions!$B$4+1)+Pricing!$B$14*IF(A57=Assumptions!$B$4,Assumptions!$B$14,Assumptions!$B$15)-Pricing!$B$14,Assumptions!$B$9*(1+Assumptions!$B$10)^(A57-Assumptions!$B$4)+Assumptions!$B$12*(1+Assumptions!$B$11)^(A57-Assumptions!$B$4+1)))*Projection!H51</f>
        <v>119.272924629686</v>
      </c>
      <c r="K57" s="48" t="n">
        <f aca="false">F57*(IF(A57&lt;Assumptions!$B$5,Assumptions!$B$12*(1+Assumptions!$B$11)^(A57-Assumptions!$B$4+1)+Pricing!$B$14*IF(A57=Assumptions!$B$4,Assumptions!$B$14,Assumptions!$B$15)-Pricing!$B$14,Assumptions!$B$9*(1+Assumptions!$B$10)^(A57-Assumptions!$B$4)+Assumptions!$B$12*(1+Assumptions!$B$11)^(A57-Assumptions!$B$4+1)))*Projection!H51</f>
        <v>169.349140531482</v>
      </c>
    </row>
    <row r="58" customFormat="false" ht="15" hidden="false" customHeight="true" outlineLevel="0" collapsed="false">
      <c r="A58" s="54" t="n">
        <f aca="false">A57+1</f>
        <v>113</v>
      </c>
      <c r="B58" s="32" t="n">
        <f aca="false">B57*(1-MIN(1,Projection!C51*0.8))*(1-IF(Projection!B51&lt;Assumptions!$B$5,Projection!E51,0))</f>
        <v>0.00268522647222942</v>
      </c>
      <c r="C58" s="32" t="n">
        <f aca="false">C57*(1-MIN(1,Projection!C51*0.75))*(1-IF(Projection!B51&lt;Assumptions!$B$5,Projection!E51,0))</f>
        <v>0.00403753391239625</v>
      </c>
      <c r="D58" s="32" t="n">
        <f aca="false">D57*(1-MIN(1,Projection!C51*0.7))*(1-IF(Projection!B51&lt;Assumptions!$B$5,Projection!E51,0))</f>
        <v>0.00602110845282136</v>
      </c>
      <c r="E58" s="32" t="n">
        <f aca="false">E57*(1-MIN(1,Projection!C51*0.65))*(1-IF(Projection!B51&lt;Assumptions!$B$5,Projection!E51,0))</f>
        <v>0.00890935063241405</v>
      </c>
      <c r="F58" s="32" t="n">
        <f aca="false">F57*(1-MIN(1,Projection!C51*0.6))*(1-IF(Projection!B51&lt;Assumptions!$B$5,Projection!E51,0))</f>
        <v>0.0130856062364073</v>
      </c>
      <c r="G58" s="48" t="n">
        <f aca="false">B58*(IF(A58&lt;Assumptions!$B$5,Assumptions!$B$12*(1+Assumptions!$B$11)^(A58-Assumptions!$B$4+1)+Pricing!$B$14*IF(A58=Assumptions!$B$4,Assumptions!$B$14,Assumptions!$B$15)-Pricing!$B$14,Assumptions!$B$9*(1+Assumptions!$B$10)^(A58-Assumptions!$B$4)+Assumptions!$B$12*(1+Assumptions!$B$11)^(A58-Assumptions!$B$4+1)))*Projection!H52</f>
        <v>24.5167775716647</v>
      </c>
      <c r="H58" s="48" t="n">
        <f aca="false">C58*(IF(A58&lt;Assumptions!$B$5,Assumptions!$B$12*(1+Assumptions!$B$11)^(A58-Assumptions!$B$4+1)+Pricing!$B$14*IF(A58=Assumptions!$B$4,Assumptions!$B$14,Assumptions!$B$15)-Pricing!$B$14,Assumptions!$B$9*(1+Assumptions!$B$10)^(A58-Assumptions!$B$4)+Assumptions!$B$12*(1+Assumptions!$B$11)^(A58-Assumptions!$B$4+1)))*Projection!H52</f>
        <v>36.8636768227923</v>
      </c>
      <c r="I58" s="48" t="n">
        <f aca="false">D58*(IF(A58&lt;Assumptions!$B$5,Assumptions!$B$12*(1+Assumptions!$B$11)^(A58-Assumptions!$B$4+1)+Pricing!$B$14*IF(A58=Assumptions!$B$4,Assumptions!$B$14,Assumptions!$B$15)-Pricing!$B$14,Assumptions!$B$9*(1+Assumptions!$B$10)^(A58-Assumptions!$B$4)+Assumptions!$B$12*(1+Assumptions!$B$11)^(A58-Assumptions!$B$4+1)))*Projection!H52</f>
        <v>54.9741998298306</v>
      </c>
      <c r="J58" s="48" t="n">
        <f aca="false">E58*(IF(A58&lt;Assumptions!$B$5,Assumptions!$B$12*(1+Assumptions!$B$11)^(A58-Assumptions!$B$4+1)+Pricing!$B$14*IF(A58=Assumptions!$B$4,Assumptions!$B$14,Assumptions!$B$15)-Pricing!$B$14,Assumptions!$B$9*(1+Assumptions!$B$10)^(A58-Assumptions!$B$4)+Assumptions!$B$12*(1+Assumptions!$B$11)^(A58-Assumptions!$B$4+1)))*Projection!H52</f>
        <v>81.3445606997589</v>
      </c>
      <c r="K58" s="48" t="n">
        <f aca="false">F58*(IF(A58&lt;Assumptions!$B$5,Assumptions!$B$12*(1+Assumptions!$B$11)^(A58-Assumptions!$B$4+1)+Pricing!$B$14*IF(A58=Assumptions!$B$4,Assumptions!$B$14,Assumptions!$B$15)-Pricing!$B$14,Assumptions!$B$9*(1+Assumptions!$B$10)^(A58-Assumptions!$B$4)+Assumptions!$B$12*(1+Assumptions!$B$11)^(A58-Assumptions!$B$4+1)))*Projection!H52</f>
        <v>119.474800656954</v>
      </c>
    </row>
    <row r="59" customFormat="false" ht="15" hidden="false" customHeight="true" outlineLevel="0" collapsed="false">
      <c r="A59" s="54" t="n">
        <f aca="false">A58+1</f>
        <v>114</v>
      </c>
      <c r="B59" s="32" t="n">
        <f aca="false">B58*(1-MIN(1,Projection!C52*0.8))*(1-IF(Projection!B52&lt;Assumptions!$B$5,Projection!E52,0))</f>
        <v>0.00162560814729937</v>
      </c>
      <c r="C59" s="32" t="n">
        <f aca="false">C58*(1-MIN(1,Projection!C52*0.75))*(1-IF(Projection!B52&lt;Assumptions!$B$5,Projection!E52,0))</f>
        <v>0.00254385929872289</v>
      </c>
      <c r="D59" s="32" t="n">
        <f aca="false">D58*(1-MIN(1,Projection!C52*0.7))*(1-IF(Projection!B52&lt;Assumptions!$B$5,Projection!E52,0))</f>
        <v>0.00394211537565989</v>
      </c>
      <c r="E59" s="32" t="n">
        <f aca="false">E58*(1-MIN(1,Projection!C52*0.65))*(1-IF(Projection!B52&lt;Assumptions!$B$5,Projection!E52,0))</f>
        <v>0.00605282608079411</v>
      </c>
      <c r="F59" s="32" t="n">
        <f aca="false">F58*(1-MIN(1,Projection!C52*0.6))*(1-IF(Projection!B52&lt;Assumptions!$B$5,Projection!E52,0))</f>
        <v>0.00921281888374387</v>
      </c>
      <c r="G59" s="48" t="n">
        <f aca="false">B59*(IF(A59&lt;Assumptions!$B$5,Assumptions!$B$12*(1+Assumptions!$B$11)^(A59-Assumptions!$B$4+1)+Pricing!$B$14*IF(A59=Assumptions!$B$4,Assumptions!$B$14,Assumptions!$B$15)-Pricing!$B$14,Assumptions!$B$9*(1+Assumptions!$B$10)^(A59-Assumptions!$B$4)+Assumptions!$B$12*(1+Assumptions!$B$11)^(A59-Assumptions!$B$4+1)))*Projection!H53</f>
        <v>14.6612714151735</v>
      </c>
      <c r="H59" s="48" t="n">
        <f aca="false">C59*(IF(A59&lt;Assumptions!$B$5,Assumptions!$B$12*(1+Assumptions!$B$11)^(A59-Assumptions!$B$4+1)+Pricing!$B$14*IF(A59=Assumptions!$B$4,Assumptions!$B$14,Assumptions!$B$15)-Pricing!$B$14,Assumptions!$B$9*(1+Assumptions!$B$10)^(A59-Assumptions!$B$4)+Assumptions!$B$12*(1+Assumptions!$B$11)^(A59-Assumptions!$B$4+1)))*Projection!H53</f>
        <v>22.9429285787904</v>
      </c>
      <c r="I59" s="48" t="n">
        <f aca="false">D59*(IF(A59&lt;Assumptions!$B$5,Assumptions!$B$12*(1+Assumptions!$B$11)^(A59-Assumptions!$B$4+1)+Pricing!$B$14*IF(A59=Assumptions!$B$4,Assumptions!$B$14,Assumptions!$B$15)-Pricing!$B$14,Assumptions!$B$9*(1+Assumptions!$B$10)^(A59-Assumptions!$B$4)+Assumptions!$B$12*(1+Assumptions!$B$11)^(A59-Assumptions!$B$4+1)))*Projection!H53</f>
        <v>35.5537240438268</v>
      </c>
      <c r="J59" s="48" t="n">
        <f aca="false">E59*(IF(A59&lt;Assumptions!$B$5,Assumptions!$B$12*(1+Assumptions!$B$11)^(A59-Assumptions!$B$4+1)+Pricing!$B$14*IF(A59=Assumptions!$B$4,Assumptions!$B$14,Assumptions!$B$15)-Pricing!$B$14,Assumptions!$B$9*(1+Assumptions!$B$10)^(A59-Assumptions!$B$4)+Assumptions!$B$12*(1+Assumptions!$B$11)^(A59-Assumptions!$B$4+1)))*Projection!H53</f>
        <v>54.5901090289139</v>
      </c>
      <c r="K59" s="48" t="n">
        <f aca="false">F59*(IF(A59&lt;Assumptions!$B$5,Assumptions!$B$12*(1+Assumptions!$B$11)^(A59-Assumptions!$B$4+1)+Pricing!$B$14*IF(A59=Assumptions!$B$4,Assumptions!$B$14,Assumptions!$B$15)-Pricing!$B$14,Assumptions!$B$9*(1+Assumptions!$B$10)^(A59-Assumptions!$B$4)+Assumptions!$B$12*(1+Assumptions!$B$11)^(A59-Assumptions!$B$4+1)))*Projection!H53</f>
        <v>83.0899121524457</v>
      </c>
    </row>
    <row r="60" customFormat="false" ht="15" hidden="false" customHeight="true" outlineLevel="0" collapsed="false">
      <c r="A60" s="54" t="n">
        <f aca="false">A59+1</f>
        <v>115</v>
      </c>
      <c r="B60" s="32" t="n">
        <f aca="false">B59*(1-MIN(1,Projection!C53*0.8))*(1-IF(Projection!B53&lt;Assumptions!$B$5,Projection!E53,0))</f>
        <v>0.000961664737323829</v>
      </c>
      <c r="C60" s="32" t="n">
        <f aca="false">C59*(1-MIN(1,Projection!C53*0.75))*(1-IF(Projection!B53&lt;Assumptions!$B$5,Projection!E53,0))</f>
        <v>0.00156981308940619</v>
      </c>
      <c r="D60" s="32" t="n">
        <f aca="false">D59*(1-MIN(1,Projection!C53*0.7))*(1-IF(Projection!B53&lt;Assumptions!$B$5,Projection!E53,0))</f>
        <v>0.00253330487098309</v>
      </c>
      <c r="E60" s="32" t="n">
        <f aca="false">E59*(1-MIN(1,Projection!C53*0.65))*(1-IF(Projection!B53&lt;Assumptions!$B$5,Projection!E53,0))</f>
        <v>0.00404421079996369</v>
      </c>
      <c r="F60" s="32" t="n">
        <f aca="false">F59*(1-MIN(1,Projection!C53*0.6))*(1-IF(Projection!B53&lt;Assumptions!$B$5,Projection!E53,0))</f>
        <v>0.00639074100692507</v>
      </c>
      <c r="G60" s="48" t="n">
        <f aca="false">B60*(IF(A60&lt;Assumptions!$B$5,Assumptions!$B$12*(1+Assumptions!$B$11)^(A60-Assumptions!$B$4+1)+Pricing!$B$14*IF(A60=Assumptions!$B$4,Assumptions!$B$14,Assumptions!$B$15)-Pricing!$B$14,Assumptions!$B$9*(1+Assumptions!$B$10)^(A60-Assumptions!$B$4)+Assumptions!$B$12*(1+Assumptions!$B$11)^(A60-Assumptions!$B$4+1)))*Projection!H54</f>
        <v>8.5631594002067</v>
      </c>
      <c r="H60" s="48" t="n">
        <f aca="false">C60*(IF(A60&lt;Assumptions!$B$5,Assumptions!$B$12*(1+Assumptions!$B$11)^(A60-Assumptions!$B$4+1)+Pricing!$B$14*IF(A60=Assumptions!$B$4,Assumptions!$B$14,Assumptions!$B$15)-Pricing!$B$14,Assumptions!$B$9*(1+Assumptions!$B$10)^(A60-Assumptions!$B$4)+Assumptions!$B$12*(1+Assumptions!$B$11)^(A60-Assumptions!$B$4+1)))*Projection!H54</f>
        <v>13.9784263594034</v>
      </c>
      <c r="I60" s="48" t="n">
        <f aca="false">D60*(IF(A60&lt;Assumptions!$B$5,Assumptions!$B$12*(1+Assumptions!$B$11)^(A60-Assumptions!$B$4+1)+Pricing!$B$14*IF(A60=Assumptions!$B$4,Assumptions!$B$14,Assumptions!$B$15)-Pricing!$B$14,Assumptions!$B$9*(1+Assumptions!$B$10)^(A60-Assumptions!$B$4)+Assumptions!$B$12*(1+Assumptions!$B$11)^(A60-Assumptions!$B$4+1)))*Projection!H54</f>
        <v>22.5578547050784</v>
      </c>
      <c r="J60" s="48" t="n">
        <f aca="false">E60*(IF(A60&lt;Assumptions!$B$5,Assumptions!$B$12*(1+Assumptions!$B$11)^(A60-Assumptions!$B$4+1)+Pricing!$B$14*IF(A60=Assumptions!$B$4,Assumptions!$B$14,Assumptions!$B$15)-Pricing!$B$14,Assumptions!$B$9*(1+Assumptions!$B$10)^(A60-Assumptions!$B$4)+Assumptions!$B$12*(1+Assumptions!$B$11)^(A60-Assumptions!$B$4+1)))*Projection!H54</f>
        <v>36.0117412899013</v>
      </c>
      <c r="K60" s="48" t="n">
        <f aca="false">F60*(IF(A60&lt;Assumptions!$B$5,Assumptions!$B$12*(1+Assumptions!$B$11)^(A60-Assumptions!$B$4+1)+Pricing!$B$14*IF(A60=Assumptions!$B$4,Assumptions!$B$14,Assumptions!$B$15)-Pricing!$B$14,Assumptions!$B$9*(1+Assumptions!$B$10)^(A60-Assumptions!$B$4)+Assumptions!$B$12*(1+Assumptions!$B$11)^(A60-Assumptions!$B$4+1)))*Projection!H54</f>
        <v>56.9064579408706</v>
      </c>
    </row>
    <row r="61" customFormat="false" ht="15" hidden="false" customHeight="true" outlineLevel="0" collapsed="false">
      <c r="A61" s="54" t="n">
        <f aca="false">A60+1</f>
        <v>116</v>
      </c>
      <c r="B61" s="32" t="n">
        <f aca="false">B60*(1-MIN(1,Projection!C54*0.8))*(1-IF(Projection!B54&lt;Assumptions!$B$5,Projection!E54,0))</f>
        <v>0.000555781016354536</v>
      </c>
      <c r="C61" s="32" t="n">
        <f aca="false">C60*(1-MIN(1,Projection!C54*0.75))*(1-IF(Projection!B54&lt;Assumptions!$B$5,Projection!E54,0))</f>
        <v>0.000948662124679504</v>
      </c>
      <c r="D61" s="32" t="n">
        <f aca="false">D60*(1-MIN(1,Projection!C54*0.7))*(1-IF(Projection!B54&lt;Assumptions!$B$5,Projection!E54,0))</f>
        <v>0.00159774097689153</v>
      </c>
      <c r="E61" s="32" t="n">
        <f aca="false">E60*(1-MIN(1,Projection!C54*0.65))*(1-IF(Projection!B54&lt;Assumptions!$B$5,Projection!E54,0))</f>
        <v>0.0026573429008571</v>
      </c>
      <c r="F61" s="32" t="n">
        <f aca="false">F60*(1-MIN(1,Projection!C54*0.6))*(1-IF(Projection!B54&lt;Assumptions!$B$5,Projection!E54,0))</f>
        <v>0.00436776644081467</v>
      </c>
      <c r="G61" s="48" t="n">
        <f aca="false">B61*(IF(A61&lt;Assumptions!$B$5,Assumptions!$B$12*(1+Assumptions!$B$11)^(A61-Assumptions!$B$4+1)+Pricing!$B$14*IF(A61=Assumptions!$B$4,Assumptions!$B$14,Assumptions!$B$15)-Pricing!$B$14,Assumptions!$B$9*(1+Assumptions!$B$10)^(A61-Assumptions!$B$4)+Assumptions!$B$12*(1+Assumptions!$B$11)^(A61-Assumptions!$B$4+1)))*Projection!H55</f>
        <v>4.88839674842622</v>
      </c>
      <c r="H61" s="48" t="n">
        <f aca="false">C61*(IF(A61&lt;Assumptions!$B$5,Assumptions!$B$12*(1+Assumptions!$B$11)^(A61-Assumptions!$B$4+1)+Pricing!$B$14*IF(A61=Assumptions!$B$4,Assumptions!$B$14,Assumptions!$B$15)-Pricing!$B$14,Assumptions!$B$9*(1+Assumptions!$B$10)^(A61-Assumptions!$B$4)+Assumptions!$B$12*(1+Assumptions!$B$11)^(A61-Assumptions!$B$4+1)))*Projection!H55</f>
        <v>8.34400008128408</v>
      </c>
      <c r="I61" s="48" t="n">
        <f aca="false">D61*(IF(A61&lt;Assumptions!$B$5,Assumptions!$B$12*(1+Assumptions!$B$11)^(A61-Assumptions!$B$4+1)+Pricing!$B$14*IF(A61=Assumptions!$B$4,Assumptions!$B$14,Assumptions!$B$15)-Pricing!$B$14,Assumptions!$B$9*(1+Assumptions!$B$10)^(A61-Assumptions!$B$4)+Assumptions!$B$12*(1+Assumptions!$B$11)^(A61-Assumptions!$B$4+1)))*Projection!H55</f>
        <v>14.0530021113236</v>
      </c>
      <c r="J61" s="48" t="n">
        <f aca="false">E61*(IF(A61&lt;Assumptions!$B$5,Assumptions!$B$12*(1+Assumptions!$B$11)^(A61-Assumptions!$B$4+1)+Pricing!$B$14*IF(A61=Assumptions!$B$4,Assumptions!$B$14,Assumptions!$B$15)-Pricing!$B$14,Assumptions!$B$9*(1+Assumptions!$B$10)^(A61-Assumptions!$B$4)+Assumptions!$B$12*(1+Assumptions!$B$11)^(A61-Assumptions!$B$4+1)))*Projection!H55</f>
        <v>23.3727781513805</v>
      </c>
      <c r="K61" s="48" t="n">
        <f aca="false">F61*(IF(A61&lt;Assumptions!$B$5,Assumptions!$B$12*(1+Assumptions!$B$11)^(A61-Assumptions!$B$4+1)+Pricing!$B$14*IF(A61=Assumptions!$B$4,Assumptions!$B$14,Assumptions!$B$15)-Pricing!$B$14,Assumptions!$B$9*(1+Assumptions!$B$10)^(A61-Assumptions!$B$4)+Assumptions!$B$12*(1+Assumptions!$B$11)^(A61-Assumptions!$B$4+1)))*Projection!H55</f>
        <v>38.4168847781289</v>
      </c>
    </row>
    <row r="62" customFormat="false" ht="15" hidden="false" customHeight="true" outlineLevel="0" collapsed="false">
      <c r="A62" s="54" t="n">
        <f aca="false">A61+1</f>
        <v>117</v>
      </c>
      <c r="B62" s="32" t="n">
        <f aca="false">B61*(1-MIN(1,Projection!C55*0.8))*(1-IF(Projection!B55&lt;Assumptions!$B$5,Projection!E55,0))</f>
        <v>0.000313748492343013</v>
      </c>
      <c r="C62" s="32" t="n">
        <f aca="false">C61*(1-MIN(1,Projection!C55*0.75))*(1-IF(Projection!B55&lt;Assumptions!$B$5,Projection!E55,0))</f>
        <v>0.00056135734256797</v>
      </c>
      <c r="D62" s="32" t="n">
        <f aca="false">D61*(1-MIN(1,Projection!C55*0.7))*(1-IF(Projection!B55&lt;Assumptions!$B$5,Projection!E55,0))</f>
        <v>0.00098892723329897</v>
      </c>
      <c r="E62" s="32" t="n">
        <f aca="false">E61*(1-MIN(1,Projection!C55*0.65))*(1-IF(Projection!B55&lt;Assumptions!$B$5,Projection!E55,0))</f>
        <v>0.00171709799358643</v>
      </c>
      <c r="F62" s="32" t="n">
        <f aca="false">F61*(1-MIN(1,Projection!C55*0.6))*(1-IF(Projection!B55&lt;Assumptions!$B$5,Projection!E55,0))</f>
        <v>0.00294120430817314</v>
      </c>
      <c r="G62" s="48" t="n">
        <f aca="false">B62*(IF(A62&lt;Assumptions!$B$5,Assumptions!$B$12*(1+Assumptions!$B$11)^(A62-Assumptions!$B$4+1)+Pricing!$B$14*IF(A62=Assumptions!$B$4,Assumptions!$B$14,Assumptions!$B$15)-Pricing!$B$14,Assumptions!$B$9*(1+Assumptions!$B$10)^(A62-Assumptions!$B$4)+Assumptions!$B$12*(1+Assumptions!$B$11)^(A62-Assumptions!$B$4+1)))*Projection!H56</f>
        <v>2.72576518930749</v>
      </c>
      <c r="H62" s="48" t="n">
        <f aca="false">C62*(IF(A62&lt;Assumptions!$B$5,Assumptions!$B$12*(1+Assumptions!$B$11)^(A62-Assumptions!$B$4+1)+Pricing!$B$14*IF(A62=Assumptions!$B$4,Assumptions!$B$14,Assumptions!$B$15)-Pricing!$B$14,Assumptions!$B$9*(1+Assumptions!$B$10)^(A62-Assumptions!$B$4)+Assumptions!$B$12*(1+Assumptions!$B$11)^(A62-Assumptions!$B$4+1)))*Projection!H56</f>
        <v>4.87692639319868</v>
      </c>
      <c r="I62" s="48" t="n">
        <f aca="false">D62*(IF(A62&lt;Assumptions!$B$5,Assumptions!$B$12*(1+Assumptions!$B$11)^(A62-Assumptions!$B$4+1)+Pricing!$B$14*IF(A62=Assumptions!$B$4,Assumptions!$B$14,Assumptions!$B$15)-Pricing!$B$14,Assumptions!$B$9*(1+Assumptions!$B$10)^(A62-Assumptions!$B$4)+Assumptions!$B$12*(1+Assumptions!$B$11)^(A62-Assumptions!$B$4+1)))*Projection!H56</f>
        <v>8.5915422482333</v>
      </c>
      <c r="J62" s="48" t="n">
        <f aca="false">E62*(IF(A62&lt;Assumptions!$B$5,Assumptions!$B$12*(1+Assumptions!$B$11)^(A62-Assumptions!$B$4+1)+Pricing!$B$14*IF(A62=Assumptions!$B$4,Assumptions!$B$14,Assumptions!$B$15)-Pricing!$B$14,Assumptions!$B$9*(1+Assumptions!$B$10)^(A62-Assumptions!$B$4)+Assumptions!$B$12*(1+Assumptions!$B$11)^(A62-Assumptions!$B$4+1)))*Projection!H56</f>
        <v>14.9177001699523</v>
      </c>
      <c r="K62" s="48" t="n">
        <f aca="false">F62*(IF(A62&lt;Assumptions!$B$5,Assumptions!$B$12*(1+Assumptions!$B$11)^(A62-Assumptions!$B$4+1)+Pricing!$B$14*IF(A62=Assumptions!$B$4,Assumptions!$B$14,Assumptions!$B$15)-Pricing!$B$14,Assumptions!$B$9*(1+Assumptions!$B$10)^(A62-Assumptions!$B$4)+Assumptions!$B$12*(1+Assumptions!$B$11)^(A62-Assumptions!$B$4+1)))*Projection!H56</f>
        <v>25.5524170267399</v>
      </c>
    </row>
    <row r="63" customFormat="false" ht="15" hidden="false" customHeight="true" outlineLevel="0" collapsed="false">
      <c r="A63" s="54" t="n">
        <f aca="false">A62+1</f>
        <v>118</v>
      </c>
      <c r="B63" s="32" t="n">
        <f aca="false">B62*(1-MIN(1,Projection!C56*0.8))*(1-IF(Projection!B56&lt;Assumptions!$B$5,Projection!E56,0))</f>
        <v>0.00017298560594189</v>
      </c>
      <c r="C63" s="32" t="n">
        <f aca="false">C62*(1-MIN(1,Projection!C56*0.75))*(1-IF(Projection!B56&lt;Assumptions!$B$5,Projection!E56,0))</f>
        <v>0.0003252458100504</v>
      </c>
      <c r="D63" s="32" t="n">
        <f aca="false">D62*(1-MIN(1,Projection!C56*0.7))*(1-IF(Projection!B56&lt;Assumptions!$B$5,Projection!E56,0))</f>
        <v>0.000600706338864535</v>
      </c>
      <c r="E63" s="32" t="n">
        <f aca="false">E62*(1-MIN(1,Projection!C56*0.65))*(1-IF(Projection!B56&lt;Assumptions!$B$5,Projection!E56,0))</f>
        <v>0.00109116914766683</v>
      </c>
      <c r="F63" s="32" t="n">
        <f aca="false">F62*(1-MIN(1,Projection!C56*0.6))*(1-IF(Projection!B56&lt;Assumptions!$B$5,Projection!E56,0))</f>
        <v>0.00195152845788752</v>
      </c>
      <c r="G63" s="48" t="n">
        <f aca="false">B63*(IF(A63&lt;Assumptions!$B$5,Assumptions!$B$12*(1+Assumptions!$B$11)^(A63-Assumptions!$B$4+1)+Pricing!$B$14*IF(A63=Assumptions!$B$4,Assumptions!$B$14,Assumptions!$B$15)-Pricing!$B$14,Assumptions!$B$9*(1+Assumptions!$B$10)^(A63-Assumptions!$B$4)+Assumptions!$B$12*(1+Assumptions!$B$11)^(A63-Assumptions!$B$4+1)))*Projection!H57</f>
        <v>1.48440521211263</v>
      </c>
      <c r="H63" s="48" t="n">
        <f aca="false">C63*(IF(A63&lt;Assumptions!$B$5,Assumptions!$B$12*(1+Assumptions!$B$11)^(A63-Assumptions!$B$4+1)+Pricing!$B$14*IF(A63=Assumptions!$B$4,Assumptions!$B$14,Assumptions!$B$15)-Pricing!$B$14,Assumptions!$B$9*(1+Assumptions!$B$10)^(A63-Assumptions!$B$4)+Assumptions!$B$12*(1+Assumptions!$B$11)^(A63-Assumptions!$B$4+1)))*Projection!H57</f>
        <v>2.79096386677856</v>
      </c>
      <c r="I63" s="48" t="n">
        <f aca="false">D63*(IF(A63&lt;Assumptions!$B$5,Assumptions!$B$12*(1+Assumptions!$B$11)^(A63-Assumptions!$B$4+1)+Pricing!$B$14*IF(A63=Assumptions!$B$4,Assumptions!$B$14,Assumptions!$B$15)-Pricing!$B$14,Assumptions!$B$9*(1+Assumptions!$B$10)^(A63-Assumptions!$B$4)+Assumptions!$B$12*(1+Assumptions!$B$11)^(A63-Assumptions!$B$4+1)))*Projection!H57</f>
        <v>5.15471570888479</v>
      </c>
      <c r="J63" s="48" t="n">
        <f aca="false">E63*(IF(A63&lt;Assumptions!$B$5,Assumptions!$B$12*(1+Assumptions!$B$11)^(A63-Assumptions!$B$4+1)+Pricing!$B$14*IF(A63=Assumptions!$B$4,Assumptions!$B$14,Assumptions!$B$15)-Pricing!$B$14,Assumptions!$B$9*(1+Assumptions!$B$10)^(A63-Assumptions!$B$4)+Assumptions!$B$12*(1+Assumptions!$B$11)^(A63-Assumptions!$B$4+1)))*Projection!H57</f>
        <v>9.3634216631715</v>
      </c>
      <c r="K63" s="48" t="n">
        <f aca="false">F63*(IF(A63&lt;Assumptions!$B$5,Assumptions!$B$12*(1+Assumptions!$B$11)^(A63-Assumptions!$B$4+1)+Pricing!$B$14*IF(A63=Assumptions!$B$4,Assumptions!$B$14,Assumptions!$B$15)-Pricing!$B$14,Assumptions!$B$9*(1+Assumptions!$B$10)^(A63-Assumptions!$B$4)+Assumptions!$B$12*(1+Assumptions!$B$11)^(A63-Assumptions!$B$4+1)))*Projection!H57</f>
        <v>16.7462431264223</v>
      </c>
    </row>
    <row r="64" customFormat="false" ht="15" hidden="false" customHeight="true" outlineLevel="0" collapsed="false">
      <c r="A64" s="54" t="n">
        <f aca="false">A63+1</f>
        <v>119</v>
      </c>
      <c r="B64" s="32" t="n">
        <f aca="false">B63*(1-MIN(1,Projection!C57*0.8))*(1-IF(Projection!B57&lt;Assumptions!$B$5,Projection!E57,0))</f>
        <v>9.3146798620133E-005</v>
      </c>
      <c r="C64" s="32" t="n">
        <f aca="false">C63*(1-MIN(1,Projection!C57*0.75))*(1-IF(Projection!B57&lt;Assumptions!$B$5,Projection!E57,0))</f>
        <v>0.000184515689294289</v>
      </c>
      <c r="D64" s="32" t="n">
        <f aca="false">D63*(1-MIN(1,Projection!C57*0.7))*(1-IF(Projection!B57&lt;Assumptions!$B$5,Projection!E57,0))</f>
        <v>0.000358115530737037</v>
      </c>
      <c r="E64" s="32" t="n">
        <f aca="false">E63*(1-MIN(1,Projection!C57*0.65))*(1-IF(Projection!B57&lt;Assumptions!$B$5,Projection!E57,0))</f>
        <v>0.000681984320842034</v>
      </c>
      <c r="F64" s="32" t="n">
        <f aca="false">F63*(1-MIN(1,Projection!C57*0.6))*(1-IF(Projection!B57&lt;Assumptions!$B$5,Projection!E57,0))</f>
        <v>0.00127600532541134</v>
      </c>
      <c r="G64" s="48" t="n">
        <f aca="false">B64*(IF(A64&lt;Assumptions!$B$5,Assumptions!$B$12*(1+Assumptions!$B$11)^(A64-Assumptions!$B$4+1)+Pricing!$B$14*IF(A64=Assumptions!$B$4,Assumptions!$B$14,Assumptions!$B$15)-Pricing!$B$14,Assumptions!$B$9*(1+Assumptions!$B$10)^(A64-Assumptions!$B$4)+Assumptions!$B$12*(1+Assumptions!$B$11)^(A64-Assumptions!$B$4+1)))*Projection!H58</f>
        <v>0.789061038836516</v>
      </c>
      <c r="H64" s="48" t="n">
        <f aca="false">C64*(IF(A64&lt;Assumptions!$B$5,Assumptions!$B$12*(1+Assumptions!$B$11)^(A64-Assumptions!$B$4+1)+Pricing!$B$14*IF(A64=Assumptions!$B$4,Assumptions!$B$14,Assumptions!$B$15)-Pricing!$B$14,Assumptions!$B$9*(1+Assumptions!$B$10)^(A64-Assumptions!$B$4)+Assumptions!$B$12*(1+Assumptions!$B$11)^(A64-Assumptions!$B$4+1)))*Projection!H58</f>
        <v>1.56306114255137</v>
      </c>
      <c r="I64" s="48" t="n">
        <f aca="false">D64*(IF(A64&lt;Assumptions!$B$5,Assumptions!$B$12*(1+Assumptions!$B$11)^(A64-Assumptions!$B$4+1)+Pricing!$B$14*IF(A64=Assumptions!$B$4,Assumptions!$B$14,Assumptions!$B$15)-Pricing!$B$14,Assumptions!$B$9*(1+Assumptions!$B$10)^(A64-Assumptions!$B$4)+Assumptions!$B$12*(1+Assumptions!$B$11)^(A64-Assumptions!$B$4+1)))*Projection!H58</f>
        <v>3.03365243779597</v>
      </c>
      <c r="J64" s="48" t="n">
        <f aca="false">E64*(IF(A64&lt;Assumptions!$B$5,Assumptions!$B$12*(1+Assumptions!$B$11)^(A64-Assumptions!$B$4+1)+Pricing!$B$14*IF(A64=Assumptions!$B$4,Assumptions!$B$14,Assumptions!$B$15)-Pricing!$B$14,Assumptions!$B$9*(1+Assumptions!$B$10)^(A64-Assumptions!$B$4)+Assumptions!$B$12*(1+Assumptions!$B$11)^(A64-Assumptions!$B$4+1)))*Projection!H58</f>
        <v>5.77719540172709</v>
      </c>
      <c r="K64" s="48" t="n">
        <f aca="false">F64*(IF(A64&lt;Assumptions!$B$5,Assumptions!$B$12*(1+Assumptions!$B$11)^(A64-Assumptions!$B$4+1)+Pricing!$B$14*IF(A64=Assumptions!$B$4,Assumptions!$B$14,Assumptions!$B$15)-Pricing!$B$14,Assumptions!$B$9*(1+Assumptions!$B$10)^(A64-Assumptions!$B$4)+Assumptions!$B$12*(1+Assumptions!$B$11)^(A64-Assumptions!$B$4+1)))*Projection!H58</f>
        <v>10.8092398509161</v>
      </c>
    </row>
    <row r="65" customFormat="false" ht="15" hidden="false" customHeight="true" outlineLevel="0" collapsed="false">
      <c r="A65" s="54" t="n">
        <f aca="false">A64+1</f>
        <v>120</v>
      </c>
      <c r="B65" s="32" t="n">
        <f aca="false">B64*(1-MIN(1,Projection!C58*0.8))*(1-IF(Projection!B58&lt;Assumptions!$B$5,Projection!E58,0))</f>
        <v>4.89848141085507E-005</v>
      </c>
      <c r="C65" s="32" t="n">
        <f aca="false">C64*(1-MIN(1,Projection!C58*0.75))*(1-IF(Projection!B58&lt;Assumptions!$B$5,Projection!E58,0))</f>
        <v>0.00010250221231356</v>
      </c>
      <c r="D65" s="32" t="n">
        <f aca="false">D64*(1-MIN(1,Projection!C58*0.7))*(1-IF(Projection!B58&lt;Assumptions!$B$5,Projection!E58,0))</f>
        <v>0.000209552121564171</v>
      </c>
      <c r="E65" s="32" t="n">
        <f aca="false">E64*(1-MIN(1,Projection!C58*0.65))*(1-IF(Projection!B58&lt;Assumptions!$B$5,Projection!E58,0))</f>
        <v>0.000419273229999216</v>
      </c>
      <c r="F65" s="32" t="n">
        <f aca="false">F64*(1-MIN(1,Projection!C58*0.6))*(1-IF(Projection!B58&lt;Assumptions!$B$5,Projection!E58,0))</f>
        <v>0.00082227856089322</v>
      </c>
      <c r="G65" s="48" t="n">
        <f aca="false">B65*(IF(A65&lt;Assumptions!$B$5,Assumptions!$B$12*(1+Assumptions!$B$11)^(A65-Assumptions!$B$4+1)+Pricing!$B$14*IF(A65=Assumptions!$B$4,Assumptions!$B$14,Assumptions!$B$15)-Pricing!$B$14,Assumptions!$B$9*(1+Assumptions!$B$10)^(A65-Assumptions!$B$4)+Assumptions!$B$12*(1+Assumptions!$B$11)^(A65-Assumptions!$B$4+1)))*Projection!H59</f>
        <v>0.409844344784005</v>
      </c>
      <c r="H65" s="48" t="n">
        <f aca="false">C65*(IF(A65&lt;Assumptions!$B$5,Assumptions!$B$12*(1+Assumptions!$B$11)^(A65-Assumptions!$B$4+1)+Pricing!$B$14*IF(A65=Assumptions!$B$4,Assumptions!$B$14,Assumptions!$B$15)-Pricing!$B$14,Assumptions!$B$9*(1+Assumptions!$B$10)^(A65-Assumptions!$B$4)+Assumptions!$B$12*(1+Assumptions!$B$11)^(A65-Assumptions!$B$4+1)))*Projection!H59</f>
        <v>0.857611747825918</v>
      </c>
      <c r="I65" s="48" t="n">
        <f aca="false">D65*(IF(A65&lt;Assumptions!$B$5,Assumptions!$B$12*(1+Assumptions!$B$11)^(A65-Assumptions!$B$4+1)+Pricing!$B$14*IF(A65=Assumptions!$B$4,Assumptions!$B$14,Assumptions!$B$15)-Pricing!$B$14,Assumptions!$B$9*(1+Assumptions!$B$10)^(A65-Assumptions!$B$4)+Assumptions!$B$12*(1+Assumptions!$B$11)^(A65-Assumptions!$B$4+1)))*Projection!H59</f>
        <v>1.75327299946973</v>
      </c>
      <c r="J65" s="48" t="n">
        <f aca="false">E65*(IF(A65&lt;Assumptions!$B$5,Assumptions!$B$12*(1+Assumptions!$B$11)^(A65-Assumptions!$B$4+1)+Pricing!$B$14*IF(A65=Assumptions!$B$4,Assumptions!$B$14,Assumptions!$B$15)-Pricing!$B$14,Assumptions!$B$9*(1+Assumptions!$B$10)^(A65-Assumptions!$B$4)+Assumptions!$B$12*(1+Assumptions!$B$11)^(A65-Assumptions!$B$4+1)))*Projection!H59</f>
        <v>3.50795987208834</v>
      </c>
      <c r="K65" s="48" t="n">
        <f aca="false">F65*(IF(A65&lt;Assumptions!$B$5,Assumptions!$B$12*(1+Assumptions!$B$11)^(A65-Assumptions!$B$4+1)+Pricing!$B$14*IF(A65=Assumptions!$B$4,Assumptions!$B$14,Assumptions!$B$15)-Pricing!$B$14,Assumptions!$B$9*(1+Assumptions!$B$10)^(A65-Assumptions!$B$4)+Assumptions!$B$12*(1+Assumptions!$B$11)^(A65-Assumptions!$B$4+1)))*Projection!H59</f>
        <v>6.87981008302713</v>
      </c>
    </row>
    <row r="67" customFormat="false" ht="15" hidden="false" customHeight="true" outlineLevel="0" collapsed="false">
      <c r="A67" s="3" t="s">
        <v>1336</v>
      </c>
      <c r="B67" s="12" t="n">
        <f aca="false">(Projection!F4/B10)*SUM(G10:G65)/Discount!C4</f>
        <v>10910.4695452896</v>
      </c>
      <c r="C67" s="12" t="n">
        <f aca="false">(Projection!F4/C10)*SUM(H10:H65)/Discount!C4</f>
        <v>15402.6722168229</v>
      </c>
      <c r="D67" s="12" t="n">
        <f aca="false">(Projection!F4/D10)*SUM(I10:I65)/Discount!C4</f>
        <v>20301.0985178845</v>
      </c>
      <c r="E67" s="12" t="n">
        <f aca="false">(Projection!F4/E10)*SUM(J10:J65)/Discount!C4</f>
        <v>25669.4211882303</v>
      </c>
      <c r="F67" s="12" t="n">
        <f aca="false">(Projection!F4/F10)*SUM(K10:K65)/Discount!C4</f>
        <v>31586.4375928949</v>
      </c>
    </row>
    <row r="68" customFormat="false" ht="15" hidden="false" customHeight="true" outlineLevel="0" collapsed="false">
      <c r="A68" s="3" t="s">
        <v>1337</v>
      </c>
      <c r="B68" s="12" t="n">
        <f aca="false">MAX(0,B67-OwnFunds_SCR!B6)</f>
        <v>14823.7421300562</v>
      </c>
      <c r="C68" s="12" t="n">
        <f aca="false">MAX(0,C67-OwnFunds_SCR!B6)</f>
        <v>19315.9448015896</v>
      </c>
      <c r="D68" s="12" t="n">
        <f aca="false">MAX(0,D67-OwnFunds_SCR!B6)</f>
        <v>24214.3711026512</v>
      </c>
      <c r="E68" s="12" t="n">
        <f aca="false">MAX(0,E67-OwnFunds_SCR!B6)</f>
        <v>29582.6937729969</v>
      </c>
      <c r="F68" s="12" t="n">
        <f aca="false">MAX(0,F67-OwnFunds_SCR!B6)</f>
        <v>35499.7101776615</v>
      </c>
    </row>
    <row r="69" customFormat="false" ht="15" hidden="false" customHeight="true" outlineLevel="0" collapsed="false">
      <c r="A69" s="1" t="s">
        <v>1338</v>
      </c>
      <c r="B69" s="27" t="n">
        <f aca="false">B68-OwnFunds_SCR!B16</f>
        <v>0</v>
      </c>
      <c r="C69" s="28" t="str">
        <f aca="false">IF(ABS(B69)&lt;1,"PASS — the multiplier block reproduces the Article 138 longevity SCR","FAIL")</f>
        <v>PASS — the multiplier block reproduces the Article 138 longevity SCR</v>
      </c>
    </row>
    <row r="71" customFormat="false" ht="15" hidden="false" customHeight="true" outlineLevel="0" collapsed="false">
      <c r="A71" s="84" t="s">
        <v>1339</v>
      </c>
    </row>
    <row r="72" customFormat="false" ht="15" hidden="false" customHeight="true" outlineLevel="0" collapsed="false">
      <c r="A72" s="7" t="s">
        <v>1340</v>
      </c>
    </row>
    <row r="73" customFormat="false" ht="15" hidden="false" customHeight="true" outlineLevel="0" collapsed="false">
      <c r="A73" s="52" t="s">
        <v>1341</v>
      </c>
    </row>
    <row r="74" customFormat="false" ht="15" hidden="false" customHeight="true" outlineLevel="0" collapsed="false">
      <c r="A74" s="1" t="s">
        <v>1342</v>
      </c>
    </row>
    <row r="75" customFormat="false" ht="15" hidden="false" customHeight="true" outlineLevel="0" collapsed="false">
      <c r="A75" s="1" t="s">
        <v>1343</v>
      </c>
      <c r="B75" s="59" t="n">
        <f aca="false">CBD_Stochastic!F156</f>
        <v>0.767060099582736</v>
      </c>
    </row>
    <row r="76" customFormat="false" ht="15" hidden="false" customHeight="true" outlineLevel="0" collapsed="false">
      <c r="A76" s="1" t="s">
        <v>1344</v>
      </c>
      <c r="B76" s="42" t="n">
        <f aca="false">CBD_Stochastic!G156</f>
        <v>0.762844225236334</v>
      </c>
    </row>
    <row r="77" customFormat="false" ht="15" hidden="false" customHeight="true" outlineLevel="0" collapsed="false">
      <c r="A77" s="1" t="s">
        <v>796</v>
      </c>
      <c r="B77" s="11" t="n">
        <f aca="false">B75-B76</f>
        <v>0.0042158743464018</v>
      </c>
    </row>
    <row r="78" customFormat="false" ht="15" hidden="false" customHeight="true" outlineLevel="0" collapsed="false">
      <c r="A78" s="1" t="s">
        <v>1345</v>
      </c>
      <c r="B78" s="12" t="n">
        <f aca="false">OwnFunds_SCR!B16</f>
        <v>14823.7421300562</v>
      </c>
    </row>
    <row r="79" customFormat="false" ht="15" hidden="false" customHeight="true" outlineLevel="0" collapsed="false">
      <c r="A79" s="1" t="s">
        <v>1346</v>
      </c>
      <c r="B79" s="58" t="n">
        <f aca="false">B78/B75</f>
        <v>19325.3985419396</v>
      </c>
    </row>
    <row r="80" customFormat="false" ht="15" hidden="false" customHeight="true" outlineLevel="0" collapsed="false">
      <c r="A80" s="1" t="s">
        <v>1347</v>
      </c>
      <c r="B80" s="58" t="n">
        <f aca="false">B79-B78</f>
        <v>4501.65641188334</v>
      </c>
    </row>
    <row r="82" customFormat="false" ht="15" hidden="false" customHeight="true" outlineLevel="0" collapsed="false">
      <c r="A82" s="1" t="s">
        <v>1348</v>
      </c>
      <c r="B82" s="54" t="n">
        <f aca="false">MIN(COUNT($B$68:$F$68)-1,MATCH(B79,$B$68:$F$68,1))</f>
        <v>2</v>
      </c>
    </row>
    <row r="83" customFormat="false" ht="15" hidden="false" customHeight="true" outlineLevel="0" collapsed="false">
      <c r="A83" s="1" t="s">
        <v>1349</v>
      </c>
      <c r="B83" s="37" t="n">
        <f aca="false">INDEX($B$7:$F$7,B82)</f>
        <v>0.75</v>
      </c>
      <c r="C83" s="12" t="n">
        <f aca="false">INDEX($B$68:$F$68,B82)</f>
        <v>19315.9448015896</v>
      </c>
    </row>
    <row r="84" customFormat="false" ht="15" hidden="false" customHeight="true" outlineLevel="0" collapsed="false">
      <c r="A84" s="1" t="s">
        <v>1350</v>
      </c>
      <c r="B84" s="85" t="n">
        <f aca="false">INDEX($B$7:$F$7,B82+1)</f>
        <v>0.7</v>
      </c>
      <c r="C84" s="12" t="n">
        <f aca="false">INDEX($B$68:$F$68,B82+1)</f>
        <v>24214.3711026512</v>
      </c>
    </row>
    <row r="85" customFormat="false" ht="15" hidden="false" customHeight="true" outlineLevel="0" collapsed="false">
      <c r="A85" s="1" t="s">
        <v>1351</v>
      </c>
      <c r="B85" s="86" t="n">
        <f aca="false">B83+(B84-B83)*(B79-C83)/(C84-C83)</f>
        <v>0.74990350227023</v>
      </c>
    </row>
    <row r="86" customFormat="false" ht="15" hidden="false" customHeight="true" outlineLevel="0" collapsed="false">
      <c r="A86" s="6" t="s">
        <v>1352</v>
      </c>
      <c r="B86" s="37" t="n">
        <f aca="false">B96</f>
        <v>0.75</v>
      </c>
    </row>
    <row r="87" customFormat="false" ht="15" hidden="false" customHeight="true" outlineLevel="0" collapsed="false">
      <c r="A87" s="1" t="s">
        <v>1353</v>
      </c>
      <c r="B87" s="87" t="n">
        <f aca="false">B86-B85</f>
        <v>9.6497729770495E-005</v>
      </c>
    </row>
    <row r="88" customFormat="false" ht="15" hidden="false" customHeight="true" outlineLevel="0" collapsed="false">
      <c r="A88" s="3" t="s">
        <v>1354</v>
      </c>
      <c r="B88" s="9" t="str">
        <f aca="false">IF(B79&lt;=MAX($B$68:$F$68),"yes","NO — the implied multiplier is an extrapolation beyond 0.60")</f>
        <v>yes</v>
      </c>
    </row>
    <row r="89" customFormat="false" ht="15" hidden="false" customHeight="true" outlineLevel="0" collapsed="false">
      <c r="A89" s="6" t="s">
        <v>1355</v>
      </c>
      <c r="B89" s="77" t="n">
        <f aca="false">1-B87</f>
        <v>0.99990350227023</v>
      </c>
      <c r="C89" s="1" t="s">
        <v>1356</v>
      </c>
    </row>
    <row r="90" customFormat="false" ht="15" hidden="false" customHeight="true" outlineLevel="0" collapsed="false">
      <c r="A90" s="1" t="s">
        <v>1357</v>
      </c>
      <c r="B90" s="59" t="n">
        <f aca="false">B75</f>
        <v>0.767060099582736</v>
      </c>
    </row>
    <row r="91" customFormat="false" ht="15" hidden="false" customHeight="true" outlineLevel="0" collapsed="false">
      <c r="A91" s="3" t="s">
        <v>458</v>
      </c>
      <c r="B91" s="9" t="str">
        <f aca="false">IF(B75&lt;$B$96,"INADEQUATE",IF(B75&lt;$B$97,"MARGINAL","EXCEEDS"))</f>
        <v>MARGINAL</v>
      </c>
    </row>
    <row r="92" customFormat="false" ht="15" hidden="false" customHeight="true" outlineLevel="0" collapsed="false">
      <c r="A92" s="7" t="s">
        <v>1358</v>
      </c>
      <c r="B92" s="77" t="n">
        <f aca="false">1-B90</f>
        <v>0.232939900417264</v>
      </c>
    </row>
    <row r="93" customFormat="false" ht="15" hidden="false" customHeight="true" outlineLevel="0" collapsed="false">
      <c r="A93" s="1" t="s">
        <v>1359</v>
      </c>
      <c r="B93" s="58" t="n">
        <f aca="false">B80</f>
        <v>4501.65641188334</v>
      </c>
    </row>
    <row r="94" customFormat="false" ht="15" hidden="false" customHeight="true" outlineLevel="0" collapsed="false">
      <c r="A94" s="6" t="s">
        <v>1360</v>
      </c>
      <c r="B94" s="8" t="s">
        <v>828</v>
      </c>
      <c r="C94" s="8" t="s">
        <v>829</v>
      </c>
      <c r="D94" s="8" t="s">
        <v>830</v>
      </c>
      <c r="E94" s="8" t="s">
        <v>831</v>
      </c>
      <c r="F94" s="8" t="s">
        <v>832</v>
      </c>
    </row>
    <row r="95" customFormat="false" ht="15" hidden="false" customHeight="true" outlineLevel="0" collapsed="false">
      <c r="A95" s="7" t="s">
        <v>1361</v>
      </c>
      <c r="B95" s="12" t="n">
        <f aca="false">OwnFunds_SCR!B6</f>
        <v>-3913.27258476668</v>
      </c>
      <c r="C95" s="12" t="n">
        <f aca="false">OwnFunds_SCR!C6</f>
        <v>41257.4878766723</v>
      </c>
      <c r="D95" s="12" t="n">
        <f aca="false">OwnFunds_SCR!D6</f>
        <v>102075.273009479</v>
      </c>
      <c r="E95" s="12" t="n">
        <f aca="false">OwnFunds_SCR!E6</f>
        <v>169782.914600927</v>
      </c>
      <c r="F95" s="12" t="n">
        <f aca="false">OwnFunds_SCR!F6</f>
        <v>119861.817053451</v>
      </c>
    </row>
    <row r="96" customFormat="false" ht="15" hidden="false" customHeight="true" outlineLevel="0" collapsed="false">
      <c r="A96" s="1" t="s">
        <v>1362</v>
      </c>
      <c r="B96" s="20" t="n">
        <v>0.75</v>
      </c>
      <c r="C96" s="12" t="n">
        <f aca="false">OwnFunds_SCR!C30</f>
        <v>18041.1549289459</v>
      </c>
      <c r="D96" s="12" t="n">
        <f aca="false">OwnFunds_SCR!D30</f>
        <v>14846.6872913244</v>
      </c>
      <c r="E96" s="12" t="n">
        <f aca="false">OwnFunds_SCR!E30</f>
        <v>11181.3420912797</v>
      </c>
      <c r="F96" s="12" t="n">
        <f aca="false">OwnFunds_SCR!F30</f>
        <v>7310.82365333955</v>
      </c>
    </row>
    <row r="97" customFormat="false" ht="15" hidden="false" customHeight="true" outlineLevel="0" collapsed="false">
      <c r="A97" s="1" t="s">
        <v>1363</v>
      </c>
      <c r="B97" s="20" t="n">
        <v>0.95</v>
      </c>
      <c r="C97" s="12" t="n">
        <f aca="false">C95+C96</f>
        <v>59298.6428056182</v>
      </c>
      <c r="D97" s="12" t="n">
        <f aca="false">D95+D96</f>
        <v>116921.960300803</v>
      </c>
      <c r="E97" s="12" t="n">
        <f aca="false">E95+E96</f>
        <v>180964.256692207</v>
      </c>
      <c r="F97" s="12" t="n">
        <f aca="false">F95+F96</f>
        <v>127172.64070679</v>
      </c>
    </row>
    <row r="98" customFormat="false" ht="15" hidden="false" customHeight="true" outlineLevel="0" collapsed="false">
      <c r="A98" s="1" t="s">
        <v>1364</v>
      </c>
      <c r="B98" s="12" t="n">
        <f aca="false">Pricing!$B$14*SUMPRODUCT((Projection!$B$4:$B$59&lt;MIN(Assumptions!$B$5,Assumptions!$B$4+0))*Projection!$F$4:$F$59)</f>
        <v>0</v>
      </c>
      <c r="C98" s="12" t="n">
        <f aca="false">Pricing!$B$14*SUMPRODUCT((Projection!$B$4:$B$59&lt;MIN(Assumptions!$B$5,Assumptions!$B$4+5))*Projection!$F$4:$F$59)</f>
        <v>57708.4280306307</v>
      </c>
      <c r="D98" s="12" t="n">
        <f aca="false">Pricing!$B$14*SUMPRODUCT((Projection!$B$4:$B$59&lt;MIN(Assumptions!$B$5,Assumptions!$B$4+10))*Projection!$F$4:$F$59)</f>
        <v>109571.068378965</v>
      </c>
      <c r="E98" s="12" t="n">
        <f aca="false">Pricing!$B$14*SUMPRODUCT((Projection!$B$4:$B$59&lt;MIN(Assumptions!$B$5,Assumptions!$B$4+15))*Projection!$F$4:$F$59)</f>
        <v>155884.801394055</v>
      </c>
      <c r="F98" s="12" t="n">
        <f aca="false">Pricing!$B$14*SUMPRODUCT((Projection!$B$4:$B$59&lt;MIN(Assumptions!$B$5,Assumptions!$B$4+20))*Projection!$F$4:$F$59)</f>
        <v>155884.801394055</v>
      </c>
    </row>
    <row r="99" customFormat="false" ht="15" hidden="false" customHeight="true" outlineLevel="0" collapsed="false">
      <c r="A99" s="1" t="s">
        <v>1365</v>
      </c>
      <c r="B99" s="88" t="str">
        <f aca="false">IF(B98=0,"n/a",B97/B98)</f>
        <v>n/a</v>
      </c>
      <c r="C99" s="88" t="n">
        <f aca="false">IF(C98=0,"n/a",C97/C98)</f>
        <v>1.02755602308459</v>
      </c>
      <c r="D99" s="88" t="n">
        <f aca="false">IF(D98=0,"n/a",D97/D98)</f>
        <v>1.06708789127084</v>
      </c>
      <c r="E99" s="88" t="n">
        <f aca="false">IF(E98=0,"n/a",E97/E98)</f>
        <v>1.1608845447014</v>
      </c>
      <c r="F99" s="88" t="n">
        <f aca="false">IF(F98=0,"n/a",F97/F98)</f>
        <v>0.815811673553185</v>
      </c>
    </row>
    <row r="100" customFormat="false" ht="15" hidden="false" customHeight="true" outlineLevel="0" collapsed="false">
      <c r="A100" s="1" t="s">
        <v>1102</v>
      </c>
      <c r="B100" s="12" t="n">
        <f aca="false">ANAV!B5</f>
        <v>0</v>
      </c>
      <c r="C100" s="12" t="n">
        <f aca="false">ANAV!C5</f>
        <v>45721.6171278948</v>
      </c>
      <c r="D100" s="12" t="n">
        <f aca="false">ANAV!D5</f>
        <v>107289.117619107</v>
      </c>
      <c r="E100" s="12" t="n">
        <f aca="false">ANAV!E5</f>
        <v>175975.362518548</v>
      </c>
      <c r="F100" s="12" t="n">
        <f aca="false">ANAV!F5</f>
        <v>127165.207527775</v>
      </c>
    </row>
    <row r="101" customFormat="false" ht="15" hidden="false" customHeight="true" outlineLevel="0" collapsed="false">
      <c r="A101" s="1" t="s">
        <v>1366</v>
      </c>
      <c r="B101" s="88" t="n">
        <f aca="false">IF(B97&lt;=0,"n/a",B100/B97)</f>
        <v>0</v>
      </c>
      <c r="C101" s="88" t="n">
        <f aca="false">IF(C97&lt;=0,"n/a",C100/C97)</f>
        <v>0.771039857990863</v>
      </c>
      <c r="D101" s="88" t="n">
        <f aca="false">IF(D97&lt;=0,"n/a",D100/D97)</f>
        <v>0.917613058685349</v>
      </c>
      <c r="E101" s="88" t="n">
        <f aca="false">IF(E97&lt;=0,"n/a",E100/E97)</f>
        <v>0.972431604644754</v>
      </c>
      <c r="F101" s="88" t="n">
        <f aca="false">IF(F97&lt;=0,"n/a",F100/F97)</f>
        <v>0.999941550486225</v>
      </c>
    </row>
    <row r="102" customFormat="false" ht="15" hidden="false" customHeight="true" outlineLevel="0" collapsed="false">
      <c r="A102" s="1" t="s">
        <v>1147</v>
      </c>
      <c r="B102" s="5" t="str">
        <f aca="false">IF(B97&lt;=0,"provisions negative",IF(B100&gt;=B97,"covered","NOT covered"))</f>
        <v>NOT covered</v>
      </c>
      <c r="C102" s="5" t="str">
        <f aca="false">IF(C97&lt;=0,"provisions negative",IF(C100&gt;=C97,"covered","NOT covered"))</f>
        <v>NOT covered</v>
      </c>
      <c r="D102" s="5" t="str">
        <f aca="false">IF(D97&lt;=0,"provisions negative",IF(D100&gt;=D97,"covered","NOT covered"))</f>
        <v>NOT covered</v>
      </c>
      <c r="E102" s="5" t="str">
        <f aca="false">IF(E97&lt;=0,"provisions negative",IF(E100&gt;=E97,"covered","NOT covered"))</f>
        <v>NOT covered</v>
      </c>
      <c r="F102" s="5" t="str">
        <f aca="false">IF(F97&lt;=0,"provisions negative",IF(F100&gt;=F97,"covered","NOT covered"))</f>
        <v>NOT covered</v>
      </c>
    </row>
    <row r="103" customFormat="false" ht="15" hidden="false" customHeight="true" outlineLevel="0" collapsed="false">
      <c r="A103" s="7" t="s">
        <v>1367</v>
      </c>
    </row>
    <row r="104" customFormat="false" ht="15" hidden="false" customHeight="true" outlineLevel="0" collapsed="false">
      <c r="A104" s="7" t="s">
        <v>1368</v>
      </c>
    </row>
    <row r="105" customFormat="false" ht="15" hidden="false" customHeight="true" outlineLevel="0" collapsed="false">
      <c r="A105" s="7" t="s">
        <v>1369</v>
      </c>
    </row>
    <row r="106" customFormat="false" ht="15" hidden="false" customHeight="true" outlineLevel="0" collapsed="false">
      <c r="A106" s="9" t="s">
        <v>1370</v>
      </c>
    </row>
    <row r="107" customFormat="false" ht="15" hidden="false" customHeight="true" outlineLevel="0" collapsed="false">
      <c r="A107" s="3" t="s">
        <v>1371</v>
      </c>
      <c r="B107" s="88" t="str">
        <f aca="false">IF(OwnFunds_SCR!B6&lt;=0,"n/a",ANAV!B5/OwnFunds_SCR!B6)</f>
        <v>n/a</v>
      </c>
      <c r="C107" s="88" t="n">
        <f aca="false">IF(OwnFunds_SCR!C6&lt;=0,"n/a",ANAV!C5/OwnFunds_SCR!C6)</f>
        <v>1.10820167394987</v>
      </c>
      <c r="D107" s="88" t="n">
        <f aca="false">IF(OwnFunds_SCR!D6&lt;=0,"n/a",ANAV!D5/OwnFunds_SCR!D6)</f>
        <v>1.05107842924059</v>
      </c>
      <c r="E107" s="88" t="n">
        <f aca="false">IF(OwnFunds_SCR!E6&lt;=0,"n/a",ANAV!E5/OwnFunds_SCR!E6)</f>
        <v>1.03647273892179</v>
      </c>
      <c r="F107" s="88" t="n">
        <f aca="false">IF(OwnFunds_SCR!F6&lt;=0,"n/a",ANAV!F5/OwnFunds_SCR!F6)</f>
        <v>1.06093175169427</v>
      </c>
    </row>
    <row r="108" customFormat="false" ht="15" hidden="false" customHeight="true" outlineLevel="0" collapsed="false">
      <c r="A108" s="7" t="s">
        <v>1372</v>
      </c>
      <c r="B108" s="5" t="str">
        <f aca="false">IF(OwnFunds_SCR!B6&lt;=0,"provisions negative",IF(ANAV!B5&gt;=OwnFunds_SCR!B6,"covered","not covered"))</f>
        <v>provisions negative</v>
      </c>
      <c r="C108" s="5" t="str">
        <f aca="false">IF(OwnFunds_SCR!C6&lt;=0,"provisions negative",IF(ANAV!C5&gt;=OwnFunds_SCR!C6,"covered","not covered"))</f>
        <v>covered</v>
      </c>
      <c r="D108" s="5" t="str">
        <f aca="false">IF(OwnFunds_SCR!D6&lt;=0,"provisions negative",IF(ANAV!D5&gt;=OwnFunds_SCR!D6,"covered","not covered"))</f>
        <v>covered</v>
      </c>
      <c r="E108" s="5" t="str">
        <f aca="false">IF(OwnFunds_SCR!E6&lt;=0,"provisions negative",IF(ANAV!E5&gt;=OwnFunds_SCR!E6,"covered","not covered"))</f>
        <v>covered</v>
      </c>
      <c r="F108" s="5" t="str">
        <f aca="false">IF(OwnFunds_SCR!F6&lt;=0,"provisions negative",IF(ANAV!F5&gt;=OwnFunds_SCR!F6,"covered","not covered"))</f>
        <v>covered</v>
      </c>
    </row>
    <row r="112" customFormat="false" ht="15" hidden="false" customHeight="true" outlineLevel="0" collapsed="false">
      <c r="A112" s="6" t="s">
        <v>1373</v>
      </c>
    </row>
    <row r="113" customFormat="false" ht="15" hidden="false" customHeight="true" outlineLevel="0" collapsed="false">
      <c r="A113" s="7" t="s">
        <v>1374</v>
      </c>
    </row>
    <row r="114" customFormat="false" ht="15" hidden="false" customHeight="true" outlineLevel="0" collapsed="false">
      <c r="A114" s="7" t="s">
        <v>1375</v>
      </c>
    </row>
    <row r="115" customFormat="false" ht="15" hidden="false" customHeight="true" outlineLevel="0" collapsed="false">
      <c r="A115" s="7" t="s">
        <v>1376</v>
      </c>
    </row>
    <row r="117" customFormat="false" ht="15" hidden="false" customHeight="true" outlineLevel="0" collapsed="false">
      <c r="A117" s="8" t="s">
        <v>463</v>
      </c>
      <c r="B117" s="8" t="s">
        <v>1377</v>
      </c>
      <c r="C117" s="8" t="s">
        <v>1378</v>
      </c>
      <c r="D117" s="8" t="s">
        <v>1379</v>
      </c>
      <c r="E117" s="8" t="s">
        <v>1380</v>
      </c>
      <c r="F117" s="8" t="s">
        <v>1381</v>
      </c>
      <c r="G117" s="8" t="s">
        <v>1382</v>
      </c>
      <c r="H117" s="8" t="s">
        <v>1383</v>
      </c>
      <c r="I117" s="8" t="s">
        <v>1384</v>
      </c>
      <c r="J117" s="8" t="s">
        <v>1385</v>
      </c>
      <c r="K117" s="8" t="s">
        <v>1386</v>
      </c>
      <c r="L117" s="8" t="s">
        <v>1387</v>
      </c>
    </row>
    <row r="118" customFormat="false" ht="15" hidden="false" customHeight="true" outlineLevel="0" collapsed="false">
      <c r="A118" s="54" t="n">
        <f aca="false">Assumptions!$B$4</f>
        <v>65</v>
      </c>
      <c r="B118" s="34" t="n">
        <f aca="false">MAX(0,4+$A118-Assumptions!$B$4)</f>
        <v>4</v>
      </c>
      <c r="C118" s="11" t="n">
        <f aca="false">CBD_Stochastic!$B$6+CBD_Stochastic!$B$8*B118</f>
        <v>-3.67998991839668</v>
      </c>
      <c r="D118" s="11" t="n">
        <f aca="false">C118-CBD_Stochastic!$B$19*CBD_Stochastic!$B$17*SQRT(B118)</f>
        <v>-3.79015690609844</v>
      </c>
      <c r="E118" s="11" t="n">
        <f aca="false">CBD_Stochastic!$B$7+CBD_Stochastic!$B$9*B118</f>
        <v>0.116155921633886</v>
      </c>
      <c r="F118" s="11" t="n">
        <f aca="false">E118-CBD_Stochastic!$B$19*CBD_Stochastic!$B$13*CBD_Stochastic!$B$18*SQRT(B118)</f>
        <v>0.111712630035082</v>
      </c>
      <c r="G118" s="32" t="n">
        <f aca="false">1/(1+EXP(-(C118+E118*($A118-CBD_Stochastic!$B$14))))</f>
        <v>0.00829748127639902</v>
      </c>
      <c r="H118" s="32" t="n">
        <f aca="false">1/(1+EXP(-(D118+F118*($A118-CBD_Stochastic!$B$14))))</f>
        <v>0.00775658041111836</v>
      </c>
      <c r="I118" s="11" t="n">
        <f aca="false">H118/G118</f>
        <v>0.934811438885776</v>
      </c>
      <c r="J118" s="32" t="n">
        <f aca="false">MIN(1,Projection!C4*I118)</f>
        <v>0.00484283355601821</v>
      </c>
      <c r="K118" s="32" t="n">
        <v>1</v>
      </c>
      <c r="L118" s="48" t="n">
        <f aca="false">K118*(IF($A118&lt;Assumptions!$B$5,Assumptions!$B$12*(1+Assumptions!$B$11)^($A118-Assumptions!$B$4+1)+Pricing!$B$14*IF($A118=Assumptions!$B$4,Assumptions!$B$14,Assumptions!$B$15)-Pricing!$B$14,Assumptions!$B$9*(1+Assumptions!$B$10)^($A118-Assumptions!$B$4)+Assumptions!$B$12*(1+Assumptions!$B$11)^($A118-Assumptions!$B$4+1)))*Projection!H4</f>
        <v>82</v>
      </c>
    </row>
    <row r="119" customFormat="false" ht="15" hidden="false" customHeight="true" outlineLevel="0" collapsed="false">
      <c r="A119" s="54" t="n">
        <f aca="false">A118+1</f>
        <v>66</v>
      </c>
      <c r="B119" s="34" t="n">
        <f aca="false">MAX(0,4+$A119-Assumptions!$B$4)</f>
        <v>5</v>
      </c>
      <c r="C119" s="11" t="n">
        <f aca="false">CBD_Stochastic!$B$6+CBD_Stochastic!$B$8*B119</f>
        <v>-3.7017931301117</v>
      </c>
      <c r="D119" s="11" t="n">
        <f aca="false">C119-CBD_Stochastic!$B$19*CBD_Stochastic!$B$17*SQRT(B119)</f>
        <v>-3.82496356680046</v>
      </c>
      <c r="E119" s="11" t="n">
        <f aca="false">CBD_Stochastic!$B$7+CBD_Stochastic!$B$9*B119</f>
        <v>0.116702484934214</v>
      </c>
      <c r="F119" s="11" t="n">
        <f aca="false">E119-CBD_Stochastic!$B$19*CBD_Stochastic!$B$13*CBD_Stochastic!$B$18*SQRT(B119)</f>
        <v>0.111734733904824</v>
      </c>
      <c r="G119" s="32" t="n">
        <f aca="false">1/(1+EXP(-(C119+E119*($A119-CBD_Stochastic!$B$14))))</f>
        <v>0.00906916759323294</v>
      </c>
      <c r="H119" s="32" t="n">
        <f aca="false">1/(1+EXP(-(D119+F119*($A119-CBD_Stochastic!$B$14))))</f>
        <v>0.00836989512543625</v>
      </c>
      <c r="I119" s="11" t="n">
        <f aca="false">H119/G119</f>
        <v>0.922895628445718</v>
      </c>
      <c r="J119" s="32" t="n">
        <f aca="false">MIN(1,Projection!C5*I119)</f>
        <v>0.00520568839523391</v>
      </c>
      <c r="K119" s="32" t="n">
        <f aca="false">K118*(1-J118)*(1-IF(Projection!B4&lt;Assumptions!$B$5,Projection!E4,0))</f>
        <v>0.954753785486356</v>
      </c>
      <c r="L119" s="48" t="n">
        <f aca="false">K119*(IF($A119&lt;Assumptions!$B$5,Assumptions!$B$12*(1+Assumptions!$B$11)^($A119-Assumptions!$B$4+1)+Pricing!$B$14*IF($A119=Assumptions!$B$4,Assumptions!$B$14,Assumptions!$B$15)-Pricing!$B$14,Assumptions!$B$9*(1+Assumptions!$B$10)^($A119-Assumptions!$B$4)+Assumptions!$B$12*(1+Assumptions!$B$11)^($A119-Assumptions!$B$4+1)))*Projection!H5</f>
        <v>-10809.9953083786</v>
      </c>
    </row>
    <row r="120" customFormat="false" ht="15" hidden="false" customHeight="true" outlineLevel="0" collapsed="false">
      <c r="A120" s="54" t="n">
        <f aca="false">A119+1</f>
        <v>67</v>
      </c>
      <c r="B120" s="34" t="n">
        <f aca="false">MAX(0,4+$A120-Assumptions!$B$4)</f>
        <v>6</v>
      </c>
      <c r="C120" s="11" t="n">
        <f aca="false">CBD_Stochastic!$B$6+CBD_Stochastic!$B$8*B120</f>
        <v>-3.72359634182672</v>
      </c>
      <c r="D120" s="11" t="n">
        <f aca="false">C120-CBD_Stochastic!$B$19*CBD_Stochastic!$B$17*SQRT(B120)</f>
        <v>-3.85852279501111</v>
      </c>
      <c r="E120" s="11" t="n">
        <f aca="false">CBD_Stochastic!$B$7+CBD_Stochastic!$B$9*B120</f>
        <v>0.117249048234542</v>
      </c>
      <c r="F120" s="11" t="n">
        <f aca="false">E120-CBD_Stochastic!$B$19*CBD_Stochastic!$B$13*CBD_Stochastic!$B$18*SQRT(B120)</f>
        <v>0.111807149636809</v>
      </c>
      <c r="G120" s="32" t="n">
        <f aca="false">1/(1+EXP(-(C120+E120*($A120-CBD_Stochastic!$B$14))))</f>
        <v>0.00992263865390179</v>
      </c>
      <c r="H120" s="32" t="n">
        <f aca="false">1/(1+EXP(-(D120+F120*($A120-CBD_Stochastic!$B$14))))</f>
        <v>0.00903944978618527</v>
      </c>
      <c r="I120" s="11" t="n">
        <f aca="false">H120/G120</f>
        <v>0.910992539532896</v>
      </c>
      <c r="J120" s="32" t="n">
        <f aca="false">MIN(1,Projection!C6*I120)</f>
        <v>0.00561352174667946</v>
      </c>
      <c r="K120" s="32" t="n">
        <f aca="false">K119*(1-J119)*(1-IF(Projection!B5&lt;Assumptions!$B$5,Projection!E5,0))</f>
        <v>0.929173329910111</v>
      </c>
      <c r="L120" s="48" t="n">
        <f aca="false">K120*(IF($A120&lt;Assumptions!$B$5,Assumptions!$B$12*(1+Assumptions!$B$11)^($A120-Assumptions!$B$4+1)+Pricing!$B$14*IF($A120=Assumptions!$B$4,Assumptions!$B$14,Assumptions!$B$15)-Pricing!$B$14,Assumptions!$B$9*(1+Assumptions!$B$10)^($A120-Assumptions!$B$4)+Assumptions!$B$12*(1+Assumptions!$B$11)^($A120-Assumptions!$B$4+1)))*Projection!H6</f>
        <v>-10246.3198989599</v>
      </c>
    </row>
    <row r="121" customFormat="false" ht="15" hidden="false" customHeight="true" outlineLevel="0" collapsed="false">
      <c r="A121" s="54" t="n">
        <f aca="false">A120+1</f>
        <v>68</v>
      </c>
      <c r="B121" s="34" t="n">
        <f aca="false">MAX(0,4+$A121-Assumptions!$B$4)</f>
        <v>7</v>
      </c>
      <c r="C121" s="11" t="n">
        <f aca="false">CBD_Stochastic!$B$6+CBD_Stochastic!$B$8*B121</f>
        <v>-3.74539955354174</v>
      </c>
      <c r="D121" s="11" t="n">
        <f aca="false">C121-CBD_Stochastic!$B$19*CBD_Stochastic!$B$17*SQRT(B121)</f>
        <v>-3.89113677961572</v>
      </c>
      <c r="E121" s="11" t="n">
        <f aca="false">CBD_Stochastic!$B$7+CBD_Stochastic!$B$9*B121</f>
        <v>0.11779561153487</v>
      </c>
      <c r="F121" s="11" t="n">
        <f aca="false">E121-CBD_Stochastic!$B$19*CBD_Stochastic!$B$13*CBD_Stochastic!$B$18*SQRT(B121)</f>
        <v>0.11191768924838</v>
      </c>
      <c r="G121" s="32" t="n">
        <f aca="false">1/(1+EXP(-(C121+E121*($A121-CBD_Stochastic!$B$14))))</f>
        <v>0.0108672912912584</v>
      </c>
      <c r="H121" s="32" t="n">
        <f aca="false">1/(1+EXP(-(D121+F121*($A121-CBD_Stochastic!$B$14))))</f>
        <v>0.00977018394961766</v>
      </c>
      <c r="I121" s="11" t="n">
        <f aca="false">H121/G121</f>
        <v>0.899045004662457</v>
      </c>
      <c r="J121" s="32" t="n">
        <f aca="false">MIN(1,Projection!C7*I121)</f>
        <v>0.00607233006250526</v>
      </c>
      <c r="K121" s="32" t="n">
        <f aca="false">K120*(1-J120)*(1-IF(Projection!B6&lt;Assumptions!$B$5,Projection!E6,0))</f>
        <v>0.91166876185985</v>
      </c>
      <c r="L121" s="48" t="n">
        <f aca="false">K121*(IF($A121&lt;Assumptions!$B$5,Assumptions!$B$12*(1+Assumptions!$B$11)^($A121-Assumptions!$B$4+1)+Pricing!$B$14*IF($A121=Assumptions!$B$4,Assumptions!$B$14,Assumptions!$B$15)-Pricing!$B$14,Assumptions!$B$9*(1+Assumptions!$B$10)^($A121-Assumptions!$B$4)+Assumptions!$B$12*(1+Assumptions!$B$11)^($A121-Assumptions!$B$4+1)))*Projection!H7</f>
        <v>-9794.80271609932</v>
      </c>
    </row>
    <row r="122" customFormat="false" ht="15" hidden="false" customHeight="true" outlineLevel="0" collapsed="false">
      <c r="A122" s="54" t="n">
        <f aca="false">A121+1</f>
        <v>69</v>
      </c>
      <c r="B122" s="34" t="n">
        <f aca="false">MAX(0,4+$A122-Assumptions!$B$4)</f>
        <v>8</v>
      </c>
      <c r="C122" s="11" t="n">
        <f aca="false">CBD_Stochastic!$B$6+CBD_Stochastic!$B$8*B122</f>
        <v>-3.76720276525676</v>
      </c>
      <c r="D122" s="11" t="n">
        <f aca="false">C122-CBD_Stochastic!$B$19*CBD_Stochastic!$B$17*SQRT(B122)</f>
        <v>-3.92300241339037</v>
      </c>
      <c r="E122" s="11" t="n">
        <f aca="false">CBD_Stochastic!$B$7+CBD_Stochastic!$B$9*B122</f>
        <v>0.118342174835198</v>
      </c>
      <c r="F122" s="11" t="n">
        <f aca="false">E122-CBD_Stochastic!$B$19*CBD_Stochastic!$B$13*CBD_Stochastic!$B$18*SQRT(B122)</f>
        <v>0.11205841159459</v>
      </c>
      <c r="G122" s="32" t="n">
        <f aca="false">1/(1+EXP(-(C122+E122*($A122-CBD_Stochastic!$B$14))))</f>
        <v>0.0119136566426889</v>
      </c>
      <c r="H122" s="32" t="n">
        <f aca="false">1/(1+EXP(-(D122+F122*($A122-CBD_Stochastic!$B$14))))</f>
        <v>0.0105677573819371</v>
      </c>
      <c r="I122" s="11" t="n">
        <f aca="false">H122/G122</f>
        <v>0.88702886937927</v>
      </c>
      <c r="J122" s="32" t="n">
        <f aca="false">MIN(1,Projection!C8*I122)</f>
        <v>0.00658862610915386</v>
      </c>
      <c r="K122" s="32" t="n">
        <f aca="false">K121*(1-J121)*(1-IF(Projection!B7&lt;Assumptions!$B$5,Projection!E7,0))</f>
        <v>0.8940812418807</v>
      </c>
      <c r="L122" s="48" t="n">
        <f aca="false">K122*(IF($A122&lt;Assumptions!$B$5,Assumptions!$B$12*(1+Assumptions!$B$11)^($A122-Assumptions!$B$4+1)+Pricing!$B$14*IF($A122=Assumptions!$B$4,Assumptions!$B$14,Assumptions!$B$15)-Pricing!$B$14,Assumptions!$B$9*(1+Assumptions!$B$10)^($A122-Assumptions!$B$4)+Assumptions!$B$12*(1+Assumptions!$B$11)^($A122-Assumptions!$B$4+1)))*Projection!H8</f>
        <v>-9354.07763997075</v>
      </c>
    </row>
    <row r="123" customFormat="false" ht="15" hidden="false" customHeight="true" outlineLevel="0" collapsed="false">
      <c r="A123" s="54" t="n">
        <f aca="false">A122+1</f>
        <v>70</v>
      </c>
      <c r="B123" s="34" t="n">
        <f aca="false">MAX(0,4+$A123-Assumptions!$B$4)</f>
        <v>9</v>
      </c>
      <c r="C123" s="11" t="n">
        <f aca="false">CBD_Stochastic!$B$6+CBD_Stochastic!$B$8*B123</f>
        <v>-3.78900597697178</v>
      </c>
      <c r="D123" s="11" t="n">
        <f aca="false">C123-CBD_Stochastic!$B$19*CBD_Stochastic!$B$17*SQRT(B123)</f>
        <v>-3.95425645852442</v>
      </c>
      <c r="E123" s="11" t="n">
        <f aca="false">CBD_Stochastic!$B$7+CBD_Stochastic!$B$9*B123</f>
        <v>0.118888738135526</v>
      </c>
      <c r="F123" s="11" t="n">
        <f aca="false">E123-CBD_Stochastic!$B$19*CBD_Stochastic!$B$13*CBD_Stochastic!$B$18*SQRT(B123)</f>
        <v>0.112223800737319</v>
      </c>
      <c r="G123" s="32" t="n">
        <f aca="false">1/(1+EXP(-(C123+E123*($A123-CBD_Stochastic!$B$14))))</f>
        <v>0.0130735385707475</v>
      </c>
      <c r="H123" s="32" t="n">
        <f aca="false">1/(1+EXP(-(D123+F123*($A123-CBD_Stochastic!$B$14))))</f>
        <v>0.0114385275436547</v>
      </c>
      <c r="I123" s="11" t="n">
        <f aca="false">H123/G123</f>
        <v>0.874937376881942</v>
      </c>
      <c r="J123" s="32" t="n">
        <f aca="false">MIN(1,Projection!C9*I123)</f>
        <v>0.00743157327442448</v>
      </c>
      <c r="K123" s="32" t="n">
        <f aca="false">K122*(1-J122)*(1-IF(Projection!B8&lt;Assumptions!$B$5,Projection!E8,0))</f>
        <v>0.876377541551013</v>
      </c>
      <c r="L123" s="48" t="n">
        <f aca="false">K123*(IF($A123&lt;Assumptions!$B$5,Assumptions!$B$12*(1+Assumptions!$B$11)^($A123-Assumptions!$B$4+1)+Pricing!$B$14*IF($A123=Assumptions!$B$4,Assumptions!$B$14,Assumptions!$B$15)-Pricing!$B$14,Assumptions!$B$9*(1+Assumptions!$B$10)^($A123-Assumptions!$B$4)+Assumptions!$B$12*(1+Assumptions!$B$11)^($A123-Assumptions!$B$4+1)))*Projection!H9</f>
        <v>-8917.2878065692</v>
      </c>
    </row>
    <row r="124" customFormat="false" ht="15" hidden="false" customHeight="true" outlineLevel="0" collapsed="false">
      <c r="A124" s="54" t="n">
        <f aca="false">A123+1</f>
        <v>71</v>
      </c>
      <c r="B124" s="34" t="n">
        <f aca="false">MAX(0,4+$A124-Assumptions!$B$4)</f>
        <v>10</v>
      </c>
      <c r="C124" s="11" t="n">
        <f aca="false">CBD_Stochastic!$B$6+CBD_Stochastic!$B$8*B124</f>
        <v>-3.8108091886868</v>
      </c>
      <c r="D124" s="11" t="n">
        <f aca="false">C124-CBD_Stochastic!$B$19*CBD_Stochastic!$B$17*SQRT(B124)</f>
        <v>-3.98499849073545</v>
      </c>
      <c r="E124" s="11" t="n">
        <f aca="false">CBD_Stochastic!$B$7+CBD_Stochastic!$B$9*B124</f>
        <v>0.119435301435853</v>
      </c>
      <c r="F124" s="11" t="n">
        <f aca="false">E124-CBD_Stochastic!$B$19*CBD_Stochastic!$B$13*CBD_Stochastic!$B$18*SQRT(B124)</f>
        <v>0.112409840555597</v>
      </c>
      <c r="G124" s="32" t="n">
        <f aca="false">1/(1+EXP(-(C124+E124*($A124-CBD_Stochastic!$B$14))))</f>
        <v>0.0143601679928579</v>
      </c>
      <c r="H124" s="32" t="n">
        <f aca="false">1/(1+EXP(-(D124+F124*($A124-CBD_Stochastic!$B$14))))</f>
        <v>0.0123895748462164</v>
      </c>
      <c r="I124" s="11" t="n">
        <f aca="false">H124/G124</f>
        <v>0.862773670362242</v>
      </c>
      <c r="J124" s="32" t="n">
        <f aca="false">MIN(1,Projection!C10*I124)</f>
        <v>0.00810741613818125</v>
      </c>
      <c r="K124" s="32" t="n">
        <f aca="false">K123*(1-J123)*(1-IF(Projection!B9&lt;Assumptions!$B$5,Projection!E9,0))</f>
        <v>0.861948909068439</v>
      </c>
      <c r="L124" s="48" t="n">
        <f aca="false">K124*(IF($A124&lt;Assumptions!$B$5,Assumptions!$B$12*(1+Assumptions!$B$11)^($A124-Assumptions!$B$4+1)+Pricing!$B$14*IF($A124=Assumptions!$B$4,Assumptions!$B$14,Assumptions!$B$15)-Pricing!$B$14,Assumptions!$B$9*(1+Assumptions!$B$10)^($A124-Assumptions!$B$4)+Assumptions!$B$12*(1+Assumptions!$B$11)^($A124-Assumptions!$B$4+1)))*Projection!H10</f>
        <v>-8522.32411784542</v>
      </c>
    </row>
    <row r="125" customFormat="false" ht="15" hidden="false" customHeight="true" outlineLevel="0" collapsed="false">
      <c r="A125" s="54" t="n">
        <f aca="false">A124+1</f>
        <v>72</v>
      </c>
      <c r="B125" s="34" t="n">
        <f aca="false">MAX(0,4+$A125-Assumptions!$B$4)</f>
        <v>11</v>
      </c>
      <c r="C125" s="11" t="n">
        <f aca="false">CBD_Stochastic!$B$6+CBD_Stochastic!$B$8*B125</f>
        <v>-3.83261240040182</v>
      </c>
      <c r="D125" s="11" t="n">
        <f aca="false">C125-CBD_Stochastic!$B$19*CBD_Stochastic!$B$17*SQRT(B125)</f>
        <v>-4.01530368164703</v>
      </c>
      <c r="E125" s="11" t="n">
        <f aca="false">CBD_Stochastic!$B$7+CBD_Stochastic!$B$9*B125</f>
        <v>0.119981864736181</v>
      </c>
      <c r="F125" s="11" t="n">
        <f aca="false">E125-CBD_Stochastic!$B$19*CBD_Stochastic!$B$13*CBD_Stochastic!$B$18*SQRT(B125)</f>
        <v>0.112613499202495</v>
      </c>
      <c r="G125" s="32" t="n">
        <f aca="false">1/(1+EXP(-(C125+E125*($A125-CBD_Stochastic!$B$14))))</f>
        <v>0.0157883745028747</v>
      </c>
      <c r="H125" s="32" t="n">
        <f aca="false">1/(1+EXP(-(D125+F125*($A125-CBD_Stochastic!$B$14))))</f>
        <v>0.0134287524806434</v>
      </c>
      <c r="I125" s="11" t="n">
        <f aca="false">H125/G125</f>
        <v>0.850546867772756</v>
      </c>
      <c r="J125" s="32" t="n">
        <f aca="false">MIN(1,Projection!C11*I125)</f>
        <v>0.00886425598419419</v>
      </c>
      <c r="K125" s="32" t="n">
        <f aca="false">K124*(1-J124)*(1-IF(Projection!B10&lt;Assumptions!$B$5,Projection!E10,0))</f>
        <v>0.847180587924557</v>
      </c>
      <c r="L125" s="48" t="n">
        <f aca="false">K125*(IF($A125&lt;Assumptions!$B$5,Assumptions!$B$12*(1+Assumptions!$B$11)^($A125-Assumptions!$B$4+1)+Pricing!$B$14*IF($A125=Assumptions!$B$4,Assumptions!$B$14,Assumptions!$B$15)-Pricing!$B$14,Assumptions!$B$9*(1+Assumptions!$B$10)^($A125-Assumptions!$B$4)+Assumptions!$B$12*(1+Assumptions!$B$11)^($A125-Assumptions!$B$4+1)))*Projection!H11</f>
        <v>-8129.53343031407</v>
      </c>
    </row>
    <row r="126" customFormat="false" ht="15" hidden="false" customHeight="true" outlineLevel="0" collapsed="false">
      <c r="A126" s="54" t="n">
        <f aca="false">A125+1</f>
        <v>73</v>
      </c>
      <c r="B126" s="34" t="n">
        <f aca="false">MAX(0,4+$A126-Assumptions!$B$4)</f>
        <v>12</v>
      </c>
      <c r="C126" s="11" t="n">
        <f aca="false">CBD_Stochastic!$B$6+CBD_Stochastic!$B$8*B126</f>
        <v>-3.85441561211684</v>
      </c>
      <c r="D126" s="11" t="n">
        <f aca="false">C126-CBD_Stochastic!$B$19*CBD_Stochastic!$B$17*SQRT(B126)</f>
        <v>-4.0452304321331</v>
      </c>
      <c r="E126" s="11" t="n">
        <f aca="false">CBD_Stochastic!$B$7+CBD_Stochastic!$B$9*B126</f>
        <v>0.120528428036509</v>
      </c>
      <c r="F126" s="11" t="n">
        <f aca="false">E126-CBD_Stochastic!$B$19*CBD_Stochastic!$B$13*CBD_Stochastic!$B$18*SQRT(B126)</f>
        <v>0.112832421234536</v>
      </c>
      <c r="G126" s="32" t="n">
        <f aca="false">1/(1+EXP(-(C126+E126*($A126-CBD_Stochastic!$B$14))))</f>
        <v>0.0173747766252382</v>
      </c>
      <c r="H126" s="32" t="n">
        <f aca="false">1/(1+EXP(-(D126+F126*($A126-CBD_Stochastic!$B$14))))</f>
        <v>0.0145647518935635</v>
      </c>
      <c r="I126" s="11" t="n">
        <f aca="false">H126/G126</f>
        <v>0.838269878670388</v>
      </c>
      <c r="J126" s="32" t="n">
        <f aca="false">MIN(1,Projection!C12*I126)</f>
        <v>0.00970857558030897</v>
      </c>
      <c r="K126" s="32" t="n">
        <f aca="false">K125*(1-J125)*(1-IF(Projection!B11&lt;Assumptions!$B$5,Projection!E11,0))</f>
        <v>0.832029956571166</v>
      </c>
      <c r="L126" s="48" t="n">
        <f aca="false">K126*(IF($A126&lt;Assumptions!$B$5,Assumptions!$B$12*(1+Assumptions!$B$11)^($A126-Assumptions!$B$4+1)+Pricing!$B$14*IF($A126=Assumptions!$B$4,Assumptions!$B$14,Assumptions!$B$15)-Pricing!$B$14,Assumptions!$B$9*(1+Assumptions!$B$10)^($A126-Assumptions!$B$4)+Assumptions!$B$12*(1+Assumptions!$B$11)^($A126-Assumptions!$B$4+1)))*Projection!H12</f>
        <v>-7739.85563880686</v>
      </c>
    </row>
    <row r="127" customFormat="false" ht="15" hidden="false" customHeight="true" outlineLevel="0" collapsed="false">
      <c r="A127" s="54" t="n">
        <f aca="false">A126+1</f>
        <v>74</v>
      </c>
      <c r="B127" s="34" t="n">
        <f aca="false">MAX(0,4+$A127-Assumptions!$B$4)</f>
        <v>13</v>
      </c>
      <c r="C127" s="11" t="n">
        <f aca="false">CBD_Stochastic!$B$6+CBD_Stochastic!$B$8*B127</f>
        <v>-3.87621882383186</v>
      </c>
      <c r="D127" s="11" t="n">
        <f aca="false">C127-CBD_Stochastic!$B$19*CBD_Stochastic!$B$17*SQRT(B127)</f>
        <v>-4.07482518534291</v>
      </c>
      <c r="E127" s="11" t="n">
        <f aca="false">CBD_Stochastic!$B$7+CBD_Stochastic!$B$9*B127</f>
        <v>0.121074991336837</v>
      </c>
      <c r="F127" s="11" t="n">
        <f aca="false">E127-CBD_Stochastic!$B$19*CBD_Stochastic!$B$13*CBD_Stochastic!$B$18*SQRT(B127)</f>
        <v>0.113064733491173</v>
      </c>
      <c r="G127" s="32" t="n">
        <f aca="false">1/(1+EXP(-(C127+E127*($A127-CBD_Stochastic!$B$14))))</f>
        <v>0.0191379919287141</v>
      </c>
      <c r="H127" s="32" t="n">
        <f aca="false">1/(1+EXP(-(D127+F127*($A127-CBD_Stochastic!$B$14))))</f>
        <v>0.0158071802156419</v>
      </c>
      <c r="I127" s="11" t="n">
        <f aca="false">H127/G127</f>
        <v>0.825958139940757</v>
      </c>
      <c r="J127" s="32" t="n">
        <f aca="false">MIN(1,Projection!C13*I127)</f>
        <v>0.010647397352033</v>
      </c>
      <c r="K127" s="32" t="n">
        <f aca="false">K126*(1-J126)*(1-IF(Projection!B12&lt;Assumptions!$B$5,Projection!E12,0))</f>
        <v>0.816454166461954</v>
      </c>
      <c r="L127" s="48" t="n">
        <f aca="false">K127*(IF($A127&lt;Assumptions!$B$5,Assumptions!$B$12*(1+Assumptions!$B$11)^($A127-Assumptions!$B$4+1)+Pricing!$B$14*IF($A127=Assumptions!$B$4,Assumptions!$B$14,Assumptions!$B$15)-Pricing!$B$14,Assumptions!$B$9*(1+Assumptions!$B$10)^($A127-Assumptions!$B$4)+Assumptions!$B$12*(1+Assumptions!$B$11)^($A127-Assumptions!$B$4+1)))*Projection!H13</f>
        <v>-7355.0369150684</v>
      </c>
    </row>
    <row r="128" customFormat="false" ht="15" hidden="false" customHeight="true" outlineLevel="0" collapsed="false">
      <c r="A128" s="54" t="n">
        <f aca="false">A127+1</f>
        <v>75</v>
      </c>
      <c r="B128" s="34" t="n">
        <f aca="false">MAX(0,4+$A128-Assumptions!$B$4)</f>
        <v>14</v>
      </c>
      <c r="C128" s="11" t="n">
        <f aca="false">CBD_Stochastic!$B$6+CBD_Stochastic!$B$8*B128</f>
        <v>-3.89802203554688</v>
      </c>
      <c r="D128" s="11" t="n">
        <f aca="false">C128-CBD_Stochastic!$B$19*CBD_Stochastic!$B$17*SQRT(B128)</f>
        <v>-4.10412559720334</v>
      </c>
      <c r="E128" s="11" t="n">
        <f aca="false">CBD_Stochastic!$B$7+CBD_Stochastic!$B$9*B128</f>
        <v>0.121621554637165</v>
      </c>
      <c r="F128" s="11" t="n">
        <f aca="false">E128-CBD_Stochastic!$B$19*CBD_Stochastic!$B$13*CBD_Stochastic!$B$18*SQRT(B128)</f>
        <v>0.113308917221036</v>
      </c>
      <c r="G128" s="32" t="n">
        <f aca="false">1/(1+EXP(-(C128+E128*($A128-CBD_Stochastic!$B$14))))</f>
        <v>0.0210988680141419</v>
      </c>
      <c r="H128" s="32" t="n">
        <f aca="false">1/(1+EXP(-(D128+F128*($A128-CBD_Stochastic!$B$14))))</f>
        <v>0.0171666480936392</v>
      </c>
      <c r="I128" s="11" t="n">
        <f aca="false">H128/G128</f>
        <v>0.813628867773046</v>
      </c>
      <c r="J128" s="32" t="n">
        <f aca="false">MIN(1,Projection!C14*I128)</f>
        <v>0.0121053976291285</v>
      </c>
      <c r="K128" s="32" t="n">
        <f aca="false">K127*(1-J127)*(1-IF(Projection!B13&lt;Assumptions!$B$5,Projection!E13,0))</f>
        <v>0.80041042893567</v>
      </c>
      <c r="L128" s="48" t="n">
        <f aca="false">K128*(IF($A128&lt;Assumptions!$B$5,Assumptions!$B$12*(1+Assumptions!$B$11)^($A128-Assumptions!$B$4+1)+Pricing!$B$14*IF($A128=Assumptions!$B$4,Assumptions!$B$14,Assumptions!$B$15)-Pricing!$B$14,Assumptions!$B$9*(1+Assumptions!$B$10)^($A128-Assumptions!$B$4)+Assumptions!$B$12*(1+Assumptions!$B$11)^($A128-Assumptions!$B$4+1)))*Projection!H14</f>
        <v>-6965.88942162279</v>
      </c>
    </row>
    <row r="129" customFormat="false" ht="15" hidden="false" customHeight="true" outlineLevel="0" collapsed="false">
      <c r="A129" s="54" t="n">
        <f aca="false">A128+1</f>
        <v>76</v>
      </c>
      <c r="B129" s="34" t="n">
        <f aca="false">MAX(0,4+$A129-Assumptions!$B$4)</f>
        <v>15</v>
      </c>
      <c r="C129" s="11" t="n">
        <f aca="false">CBD_Stochastic!$B$6+CBD_Stochastic!$B$8*B129</f>
        <v>-3.9198252472619</v>
      </c>
      <c r="D129" s="11" t="n">
        <f aca="false">C129-CBD_Stochastic!$B$19*CBD_Stochastic!$B$17*SQRT(B129)</f>
        <v>-4.13316270159727</v>
      </c>
      <c r="E129" s="11" t="n">
        <f aca="false">CBD_Stochastic!$B$7+CBD_Stochastic!$B$9*B129</f>
        <v>0.122168117937493</v>
      </c>
      <c r="F129" s="11" t="n">
        <f aca="false">E129-CBD_Stochastic!$B$19*CBD_Stochastic!$B$13*CBD_Stochastic!$B$18*SQRT(B129)</f>
        <v>0.113563720755236</v>
      </c>
      <c r="G129" s="32" t="n">
        <f aca="false">1/(1+EXP(-(C129+E129*($A129-CBD_Stochastic!$B$14))))</f>
        <v>0.0232807350444822</v>
      </c>
      <c r="H129" s="32" t="n">
        <f aca="false">1/(1+EXP(-(D129+F129*($A129-CBD_Stochastic!$B$14))))</f>
        <v>0.0186548673216334</v>
      </c>
      <c r="I129" s="11" t="n">
        <f aca="false">H129/G129</f>
        <v>0.801300615551431</v>
      </c>
      <c r="J129" s="32" t="n">
        <f aca="false">MIN(1,Projection!C15*I129)</f>
        <v>0.0133127659311096</v>
      </c>
      <c r="K129" s="32" t="n">
        <f aca="false">K128*(1-J128)*(1-IF(Projection!B14&lt;Assumptions!$B$5,Projection!E14,0))</f>
        <v>0.783525580030818</v>
      </c>
      <c r="L129" s="48" t="n">
        <f aca="false">K129*(IF($A129&lt;Assumptions!$B$5,Assumptions!$B$12*(1+Assumptions!$B$11)^($A129-Assumptions!$B$4+1)+Pricing!$B$14*IF($A129=Assumptions!$B$4,Assumptions!$B$14,Assumptions!$B$15)-Pricing!$B$14,Assumptions!$B$9*(1+Assumptions!$B$10)^($A129-Assumptions!$B$4)+Assumptions!$B$12*(1+Assumptions!$B$11)^($A129-Assumptions!$B$4+1)))*Projection!H15</f>
        <v>-6603.35265398958</v>
      </c>
    </row>
    <row r="130" customFormat="false" ht="15" hidden="false" customHeight="true" outlineLevel="0" collapsed="false">
      <c r="A130" s="54" t="n">
        <f aca="false">A129+1</f>
        <v>77</v>
      </c>
      <c r="B130" s="34" t="n">
        <f aca="false">MAX(0,4+$A130-Assumptions!$B$4)</f>
        <v>16</v>
      </c>
      <c r="C130" s="11" t="n">
        <f aca="false">CBD_Stochastic!$B$6+CBD_Stochastic!$B$8*B130</f>
        <v>-3.94162845897692</v>
      </c>
      <c r="D130" s="11" t="n">
        <f aca="false">C130-CBD_Stochastic!$B$19*CBD_Stochastic!$B$17*SQRT(B130)</f>
        <v>-4.16196243438043</v>
      </c>
      <c r="E130" s="11" t="n">
        <f aca="false">CBD_Stochastic!$B$7+CBD_Stochastic!$B$9*B130</f>
        <v>0.122714681237821</v>
      </c>
      <c r="F130" s="11" t="n">
        <f aca="false">E130-CBD_Stochastic!$B$19*CBD_Stochastic!$B$13*CBD_Stochastic!$B$18*SQRT(B130)</f>
        <v>0.113828098040212</v>
      </c>
      <c r="G130" s="32" t="n">
        <f aca="false">1/(1+EXP(-(C130+E130*($A130-CBD_Stochastic!$B$14))))</f>
        <v>0.0257096799619237</v>
      </c>
      <c r="H130" s="32" t="n">
        <f aca="false">1/(1+EXP(-(D130+F130*($A130-CBD_Stochastic!$B$14))))</f>
        <v>0.0202847580831455</v>
      </c>
      <c r="I130" s="11" t="n">
        <f aca="false">H130/G130</f>
        <v>0.788993021818532</v>
      </c>
      <c r="J130" s="32" t="n">
        <f aca="false">MIN(1,Projection!C16*I130)</f>
        <v>0.0146598576538505</v>
      </c>
      <c r="K130" s="32" t="n">
        <f aca="false">K129*(1-J129)*(1-IF(Projection!B15&lt;Assumptions!$B$5,Projection!E15,0))</f>
        <v>0.766059525727647</v>
      </c>
      <c r="L130" s="48" t="n">
        <f aca="false">K130*(IF($A130&lt;Assumptions!$B$5,Assumptions!$B$12*(1+Assumptions!$B$11)^($A130-Assumptions!$B$4+1)+Pricing!$B$14*IF($A130=Assumptions!$B$4,Assumptions!$B$14,Assumptions!$B$15)-Pricing!$B$14,Assumptions!$B$9*(1+Assumptions!$B$10)^($A130-Assumptions!$B$4)+Assumptions!$B$12*(1+Assumptions!$B$11)^($A130-Assumptions!$B$4+1)))*Projection!H16</f>
        <v>-6233.08946080894</v>
      </c>
    </row>
    <row r="131" customFormat="false" ht="15" hidden="false" customHeight="true" outlineLevel="0" collapsed="false">
      <c r="A131" s="54" t="n">
        <f aca="false">A130+1</f>
        <v>78</v>
      </c>
      <c r="B131" s="34" t="n">
        <f aca="false">MAX(0,4+$A131-Assumptions!$B$4)</f>
        <v>17</v>
      </c>
      <c r="C131" s="11" t="n">
        <f aca="false">CBD_Stochastic!$B$6+CBD_Stochastic!$B$8*B131</f>
        <v>-3.96343167069194</v>
      </c>
      <c r="D131" s="11" t="n">
        <f aca="false">C131-CBD_Stochastic!$B$19*CBD_Stochastic!$B$17*SQRT(B131)</f>
        <v>-4.19054673406717</v>
      </c>
      <c r="E131" s="11" t="n">
        <f aca="false">CBD_Stochastic!$B$7+CBD_Stochastic!$B$9*B131</f>
        <v>0.123261244538148</v>
      </c>
      <c r="F131" s="11" t="n">
        <f aca="false">E131-CBD_Stochastic!$B$19*CBD_Stochastic!$B$13*CBD_Stochastic!$B$18*SQRT(B131)</f>
        <v>0.114101164244503</v>
      </c>
      <c r="G131" s="32" t="n">
        <f aca="false">1/(1+EXP(-(C131+E131*($A131-CBD_Stochastic!$B$14))))</f>
        <v>0.0284148417813228</v>
      </c>
      <c r="H131" s="32" t="n">
        <f aca="false">1/(1+EXP(-(D131+F131*($A131-CBD_Stochastic!$B$14))))</f>
        <v>0.0220705657676182</v>
      </c>
      <c r="I131" s="11" t="n">
        <f aca="false">H131/G131</f>
        <v>0.776726681692285</v>
      </c>
      <c r="J131" s="32" t="n">
        <f aca="false">MIN(1,Projection!C17*I131)</f>
        <v>0.0161608445826156</v>
      </c>
      <c r="K131" s="32" t="n">
        <f aca="false">K130*(1-J130)*(1-IF(Projection!B16&lt;Assumptions!$B$5,Projection!E16,0))</f>
        <v>0.747960256386756</v>
      </c>
      <c r="L131" s="48" t="n">
        <f aca="false">K131*(IF($A131&lt;Assumptions!$B$5,Assumptions!$B$12*(1+Assumptions!$B$11)^($A131-Assumptions!$B$4+1)+Pricing!$B$14*IF($A131=Assumptions!$B$4,Assumptions!$B$14,Assumptions!$B$15)-Pricing!$B$14,Assumptions!$B$9*(1+Assumptions!$B$10)^($A131-Assumptions!$B$4)+Assumptions!$B$12*(1+Assumptions!$B$11)^($A131-Assumptions!$B$4+1)))*Projection!H17</f>
        <v>-5877.13213346953</v>
      </c>
    </row>
    <row r="132" customFormat="false" ht="15" hidden="false" customHeight="true" outlineLevel="0" collapsed="false">
      <c r="A132" s="54" t="n">
        <f aca="false">A131+1</f>
        <v>79</v>
      </c>
      <c r="B132" s="34" t="n">
        <f aca="false">MAX(0,4+$A132-Assumptions!$B$4)</f>
        <v>18</v>
      </c>
      <c r="C132" s="11" t="n">
        <f aca="false">CBD_Stochastic!$B$6+CBD_Stochastic!$B$8*B132</f>
        <v>-3.98523488240696</v>
      </c>
      <c r="D132" s="11" t="n">
        <f aca="false">C132-CBD_Stochastic!$B$19*CBD_Stochastic!$B$17*SQRT(B132)</f>
        <v>-4.21893435460738</v>
      </c>
      <c r="E132" s="11" t="n">
        <f aca="false">CBD_Stochastic!$B$7+CBD_Stochastic!$B$9*B132</f>
        <v>0.123807807838476</v>
      </c>
      <c r="F132" s="11" t="n">
        <f aca="false">E132-CBD_Stochastic!$B$19*CBD_Stochastic!$B$13*CBD_Stochastic!$B$18*SQRT(B132)</f>
        <v>0.114382162977565</v>
      </c>
      <c r="G132" s="32" t="n">
        <f aca="false">1/(1+EXP(-(C132+E132*($A132-CBD_Stochastic!$B$14))))</f>
        <v>0.0314287262950189</v>
      </c>
      <c r="H132" s="32" t="n">
        <f aca="false">1/(1+EXP(-(D132+F132*($A132-CBD_Stochastic!$B$14))))</f>
        <v>0.024027987319782</v>
      </c>
      <c r="I132" s="11" t="n">
        <f aca="false">H132/G132</f>
        <v>0.764523102025621</v>
      </c>
      <c r="J132" s="32" t="n">
        <f aca="false">MIN(1,Projection!C18*I132)</f>
        <v>0.0178307062661048</v>
      </c>
      <c r="K132" s="32" t="n">
        <f aca="false">K131*(1-J131)*(1-IF(Projection!B17&lt;Assumptions!$B$5,Projection!E17,0))</f>
        <v>0.72917614638826</v>
      </c>
      <c r="L132" s="48" t="n">
        <f aca="false">K132*(IF($A132&lt;Assumptions!$B$5,Assumptions!$B$12*(1+Assumptions!$B$11)^($A132-Assumptions!$B$4+1)+Pricing!$B$14*IF($A132=Assumptions!$B$4,Assumptions!$B$14,Assumptions!$B$15)-Pricing!$B$14,Assumptions!$B$9*(1+Assumptions!$B$10)^($A132-Assumptions!$B$4)+Assumptions!$B$12*(1+Assumptions!$B$11)^($A132-Assumptions!$B$4+1)))*Projection!H18</f>
        <v>-5536.90440560496</v>
      </c>
    </row>
    <row r="133" customFormat="false" ht="15" hidden="false" customHeight="true" outlineLevel="0" collapsed="false">
      <c r="A133" s="54" t="n">
        <f aca="false">A132+1</f>
        <v>80</v>
      </c>
      <c r="B133" s="34" t="n">
        <f aca="false">MAX(0,4+$A133-Assumptions!$B$4)</f>
        <v>19</v>
      </c>
      <c r="C133" s="11" t="n">
        <f aca="false">CBD_Stochastic!$B$6+CBD_Stochastic!$B$8*B133</f>
        <v>-4.00703809412198</v>
      </c>
      <c r="D133" s="11" t="n">
        <f aca="false">C133-CBD_Stochastic!$B$19*CBD_Stochastic!$B$17*SQRT(B133)</f>
        <v>-4.2471414772751</v>
      </c>
      <c r="E133" s="11" t="n">
        <f aca="false">CBD_Stochastic!$B$7+CBD_Stochastic!$B$9*B133</f>
        <v>0.124354371138804</v>
      </c>
      <c r="F133" s="11" t="n">
        <f aca="false">E133-CBD_Stochastic!$B$19*CBD_Stochastic!$B$13*CBD_Stochastic!$B$18*SQRT(B133)</f>
        <v>0.114670441610868</v>
      </c>
      <c r="G133" s="32" t="n">
        <f aca="false">1/(1+EXP(-(C133+E133*($A133-CBD_Stochastic!$B$14))))</f>
        <v>0.0347875370908891</v>
      </c>
      <c r="H133" s="32" t="n">
        <f aca="false">1/(1+EXP(-(D133+F133*($A133-CBD_Stochastic!$B$14))))</f>
        <v>0.0261743069615525</v>
      </c>
      <c r="I133" s="11" t="n">
        <f aca="false">H133/G133</f>
        <v>0.752404715894866</v>
      </c>
      <c r="J133" s="32" t="n">
        <f aca="false">MIN(1,Projection!C19*I133)</f>
        <v>0.0203559648607536</v>
      </c>
      <c r="K133" s="32" t="n">
        <f aca="false">K132*(1-J132)*(1-IF(Projection!B18&lt;Assumptions!$B$5,Projection!E18,0))</f>
        <v>0.709657233477338</v>
      </c>
      <c r="L133" s="48" t="n">
        <f aca="false">K133*(IF($A133&lt;Assumptions!$B$5,Assumptions!$B$12*(1+Assumptions!$B$11)^($A133-Assumptions!$B$4+1)+Pricing!$B$14*IF($A133=Assumptions!$B$4,Assumptions!$B$14,Assumptions!$B$15)-Pricing!$B$14,Assumptions!$B$9*(1+Assumptions!$B$10)^($A133-Assumptions!$B$4)+Assumptions!$B$12*(1+Assumptions!$B$11)^($A133-Assumptions!$B$4+1)))*Projection!H19</f>
        <v>9710.40860514561</v>
      </c>
    </row>
    <row r="134" customFormat="false" ht="15" hidden="false" customHeight="true" outlineLevel="0" collapsed="false">
      <c r="A134" s="54" t="n">
        <f aca="false">A133+1</f>
        <v>81</v>
      </c>
      <c r="B134" s="34" t="n">
        <f aca="false">MAX(0,4+$A134-Assumptions!$B$4)</f>
        <v>20</v>
      </c>
      <c r="C134" s="11" t="n">
        <f aca="false">CBD_Stochastic!$B$6+CBD_Stochastic!$B$8*B134</f>
        <v>-4.028841305837</v>
      </c>
      <c r="D134" s="11" t="n">
        <f aca="false">C134-CBD_Stochastic!$B$19*CBD_Stochastic!$B$17*SQRT(B134)</f>
        <v>-4.27518217921451</v>
      </c>
      <c r="E134" s="11" t="n">
        <f aca="false">CBD_Stochastic!$B$7+CBD_Stochastic!$B$9*B134</f>
        <v>0.124900934439132</v>
      </c>
      <c r="F134" s="11" t="n">
        <f aca="false">E134-CBD_Stochastic!$B$19*CBD_Stochastic!$B$13*CBD_Stochastic!$B$18*SQRT(B134)</f>
        <v>0.114965432380352</v>
      </c>
      <c r="G134" s="32" t="n">
        <f aca="false">1/(1+EXP(-(C134+E134*($A134-CBD_Stochastic!$B$14))))</f>
        <v>0.0385315178793732</v>
      </c>
      <c r="H134" s="32" t="n">
        <f aca="false">1/(1+EXP(-(D134+F134*($A134-CBD_Stochastic!$B$14))))</f>
        <v>0.0285285409056793</v>
      </c>
      <c r="I134" s="11" t="n">
        <f aca="false">H134/G134</f>
        <v>0.740394940967309</v>
      </c>
      <c r="J134" s="32" t="n">
        <f aca="false">MIN(1,Projection!C20*I134)</f>
        <v>0.0224805498066777</v>
      </c>
      <c r="K134" s="32" t="n">
        <f aca="false">K133*(1-J133)*(1-IF(Projection!B19&lt;Assumptions!$B$5,Projection!E19,0))</f>
        <v>0.695211475769494</v>
      </c>
      <c r="L134" s="48" t="n">
        <f aca="false">K134*(IF($A134&lt;Assumptions!$B$5,Assumptions!$B$12*(1+Assumptions!$B$11)^($A134-Assumptions!$B$4+1)+Pricing!$B$14*IF($A134=Assumptions!$B$4,Assumptions!$B$14,Assumptions!$B$15)-Pricing!$B$14,Assumptions!$B$9*(1+Assumptions!$B$10)^($A134-Assumptions!$B$4)+Assumptions!$B$12*(1+Assumptions!$B$11)^($A134-Assumptions!$B$4+1)))*Projection!H20</f>
        <v>9364.25545629819</v>
      </c>
    </row>
    <row r="135" customFormat="false" ht="15" hidden="false" customHeight="true" outlineLevel="0" collapsed="false">
      <c r="A135" s="54" t="n">
        <f aca="false">A134+1</f>
        <v>82</v>
      </c>
      <c r="B135" s="34" t="n">
        <f aca="false">MAX(0,4+$A135-Assumptions!$B$4)</f>
        <v>21</v>
      </c>
      <c r="C135" s="11" t="n">
        <f aca="false">CBD_Stochastic!$B$6+CBD_Stochastic!$B$8*B135</f>
        <v>-4.05064451755202</v>
      </c>
      <c r="D135" s="11" t="n">
        <f aca="false">C135-CBD_Stochastic!$B$19*CBD_Stochastic!$B$17*SQRT(B135)</f>
        <v>-4.3030687976663</v>
      </c>
      <c r="E135" s="11" t="n">
        <f aca="false">CBD_Stochastic!$B$7+CBD_Stochastic!$B$9*B135</f>
        <v>0.12544749773946</v>
      </c>
      <c r="F135" s="11" t="n">
        <f aca="false">E135-CBD_Stochastic!$B$19*CBD_Stochastic!$B$13*CBD_Stochastic!$B$18*SQRT(B135)</f>
        <v>0.115266637696319</v>
      </c>
      <c r="G135" s="32" t="n">
        <f aca="false">1/(1+EXP(-(C135+E135*($A135-CBD_Stochastic!$B$14))))</f>
        <v>0.042705298639236</v>
      </c>
      <c r="H135" s="32" t="n">
        <f aca="false">1/(1+EXP(-(D135+F135*($A135-CBD_Stochastic!$B$14))))</f>
        <v>0.0311115903552434</v>
      </c>
      <c r="I135" s="11" t="n">
        <f aca="false">H135/G135</f>
        <v>0.728518271656793</v>
      </c>
      <c r="J135" s="32" t="n">
        <f aca="false">MIN(1,Projection!C21*I135)</f>
        <v>0.0248289545461326</v>
      </c>
      <c r="K135" s="32" t="n">
        <f aca="false">K134*(1-J134)*(1-IF(Projection!B20&lt;Assumptions!$B$5,Projection!E20,0))</f>
        <v>0.679582739562284</v>
      </c>
      <c r="L135" s="48" t="n">
        <f aca="false">K135*(IF($A135&lt;Assumptions!$B$5,Assumptions!$B$12*(1+Assumptions!$B$11)^($A135-Assumptions!$B$4+1)+Pricing!$B$14*IF($A135=Assumptions!$B$4,Assumptions!$B$14,Assumptions!$B$15)-Pricing!$B$14,Assumptions!$B$9*(1+Assumptions!$B$10)^($A135-Assumptions!$B$4)+Assumptions!$B$12*(1+Assumptions!$B$11)^($A135-Assumptions!$B$4+1)))*Projection!H21</f>
        <v>9027.56942751988</v>
      </c>
    </row>
    <row r="136" customFormat="false" ht="15" hidden="false" customHeight="true" outlineLevel="0" collapsed="false">
      <c r="A136" s="54" t="n">
        <f aca="false">A135+1</f>
        <v>83</v>
      </c>
      <c r="B136" s="34" t="n">
        <f aca="false">MAX(0,4+$A136-Assumptions!$B$4)</f>
        <v>22</v>
      </c>
      <c r="C136" s="11" t="n">
        <f aca="false">CBD_Stochastic!$B$6+CBD_Stochastic!$B$8*B136</f>
        <v>-4.07244772926704</v>
      </c>
      <c r="D136" s="11" t="n">
        <f aca="false">C136-CBD_Stochastic!$B$19*CBD_Stochastic!$B$17*SQRT(B136)</f>
        <v>-4.33081221693134</v>
      </c>
      <c r="E136" s="11" t="n">
        <f aca="false">CBD_Stochastic!$B$7+CBD_Stochastic!$B$9*B136</f>
        <v>0.125994061039788</v>
      </c>
      <c r="F136" s="11" t="n">
        <f aca="false">E136-CBD_Stochastic!$B$19*CBD_Stochastic!$B$13*CBD_Stochastic!$B$18*SQRT(B136)</f>
        <v>0.115573618569526</v>
      </c>
      <c r="G136" s="32" t="n">
        <f aca="false">1/(1+EXP(-(C136+E136*($A136-CBD_Stochastic!$B$14))))</f>
        <v>0.0473582349096836</v>
      </c>
      <c r="H136" s="32" t="n">
        <f aca="false">1/(1+EXP(-(D136+F136*($A136-CBD_Stochastic!$B$14))))</f>
        <v>0.0339464016408379</v>
      </c>
      <c r="I136" s="11" t="n">
        <f aca="false">H136/G136</f>
        <v>0.716800398190025</v>
      </c>
      <c r="J136" s="32" t="n">
        <f aca="false">MIN(1,Projection!C22*I136)</f>
        <v>0.0274172465218966</v>
      </c>
      <c r="K136" s="32" t="n">
        <f aca="false">K135*(1-J135)*(1-IF(Projection!B21&lt;Assumptions!$B$5,Projection!E21,0))</f>
        <v>0.662709410611356</v>
      </c>
      <c r="L136" s="48" t="n">
        <f aca="false">K136*(IF($A136&lt;Assumptions!$B$5,Assumptions!$B$12*(1+Assumptions!$B$11)^($A136-Assumptions!$B$4+1)+Pricing!$B$14*IF($A136=Assumptions!$B$4,Assumptions!$B$14,Assumptions!$B$15)-Pricing!$B$14,Assumptions!$B$9*(1+Assumptions!$B$10)^($A136-Assumptions!$B$4)+Assumptions!$B$12*(1+Assumptions!$B$11)^($A136-Assumptions!$B$4+1)))*Projection!H22</f>
        <v>8691.34723958258</v>
      </c>
    </row>
    <row r="137" customFormat="false" ht="15" hidden="false" customHeight="true" outlineLevel="0" collapsed="false">
      <c r="A137" s="54" t="n">
        <f aca="false">A136+1</f>
        <v>84</v>
      </c>
      <c r="B137" s="34" t="n">
        <f aca="false">MAX(0,4+$A137-Assumptions!$B$4)</f>
        <v>23</v>
      </c>
      <c r="C137" s="11" t="n">
        <f aca="false">CBD_Stochastic!$B$6+CBD_Stochastic!$B$8*B137</f>
        <v>-4.09425094098206</v>
      </c>
      <c r="D137" s="11" t="n">
        <f aca="false">C137-CBD_Stochastic!$B$19*CBD_Stochastic!$B$17*SQRT(B137)</f>
        <v>-4.3584220972063</v>
      </c>
      <c r="E137" s="11" t="n">
        <f aca="false">CBD_Stochastic!$B$7+CBD_Stochastic!$B$9*B137</f>
        <v>0.126540624340115</v>
      </c>
      <c r="F137" s="11" t="n">
        <f aca="false">E137-CBD_Stochastic!$B$19*CBD_Stochastic!$B$13*CBD_Stochastic!$B$18*SQRT(B137)</f>
        <v>0.115885985381707</v>
      </c>
      <c r="G137" s="32" t="n">
        <f aca="false">1/(1+EXP(-(C137+E137*($A137-CBD_Stochastic!$B$14))))</f>
        <v>0.0525447255591074</v>
      </c>
      <c r="H137" s="32" t="n">
        <f aca="false">1/(1+EXP(-(D137+F137*($A137-CBD_Stochastic!$B$14))))</f>
        <v>0.0370581317692537</v>
      </c>
      <c r="I137" s="11" t="n">
        <f aca="false">H137/G137</f>
        <v>0.705268347582617</v>
      </c>
      <c r="J137" s="32" t="n">
        <f aca="false">MIN(1,Projection!C23*I137)</f>
        <v>0.0302606665994616</v>
      </c>
      <c r="K137" s="32" t="n">
        <f aca="false">K136*(1-J136)*(1-IF(Projection!B22&lt;Assumptions!$B$5,Projection!E22,0))</f>
        <v>0.644539743328243</v>
      </c>
      <c r="L137" s="48" t="n">
        <f aca="false">K137*(IF($A137&lt;Assumptions!$B$5,Assumptions!$B$12*(1+Assumptions!$B$11)^($A137-Assumptions!$B$4+1)+Pricing!$B$14*IF($A137=Assumptions!$B$4,Assumptions!$B$14,Assumptions!$B$15)-Pricing!$B$14,Assumptions!$B$9*(1+Assumptions!$B$10)^($A137-Assumptions!$B$4)+Assumptions!$B$12*(1+Assumptions!$B$11)^($A137-Assumptions!$B$4+1)))*Projection!H23</f>
        <v>8353.20909808893</v>
      </c>
    </row>
    <row r="138" customFormat="false" ht="15" hidden="false" customHeight="true" outlineLevel="0" collapsed="false">
      <c r="A138" s="54" t="n">
        <f aca="false">A137+1</f>
        <v>85</v>
      </c>
      <c r="B138" s="34" t="n">
        <f aca="false">MAX(0,4+$A138-Assumptions!$B$4)</f>
        <v>24</v>
      </c>
      <c r="C138" s="11" t="n">
        <f aca="false">CBD_Stochastic!$B$6+CBD_Stochastic!$B$8*B138</f>
        <v>-4.11605415269708</v>
      </c>
      <c r="D138" s="11" t="n">
        <f aca="false">C138-CBD_Stochastic!$B$19*CBD_Stochastic!$B$17*SQRT(B138)</f>
        <v>-4.38590705906585</v>
      </c>
      <c r="E138" s="11" t="n">
        <f aca="false">CBD_Stochastic!$B$7+CBD_Stochastic!$B$9*B138</f>
        <v>0.127087187640443</v>
      </c>
      <c r="F138" s="11" t="n">
        <f aca="false">E138-CBD_Stochastic!$B$19*CBD_Stochastic!$B$13*CBD_Stochastic!$B$18*SQRT(B138)</f>
        <v>0.116203390444977</v>
      </c>
      <c r="G138" s="32" t="n">
        <f aca="false">1/(1+EXP(-(C138+E138*($A138-CBD_Stochastic!$B$14))))</f>
        <v>0.058324489438876</v>
      </c>
      <c r="H138" s="32" t="n">
        <f aca="false">1/(1+EXP(-(D138+F138*($A138-CBD_Stochastic!$B$14))))</f>
        <v>0.0404743169205705</v>
      </c>
      <c r="I138" s="11" t="n">
        <f aca="false">H138/G138</f>
        <v>0.693950642516769</v>
      </c>
      <c r="J138" s="32" t="n">
        <f aca="false">MIN(1,Projection!C24*I138)</f>
        <v>0.0344729312670237</v>
      </c>
      <c r="K138" s="32" t="n">
        <f aca="false">K137*(1-J137)*(1-IF(Projection!B23&lt;Assumptions!$B$5,Projection!E23,0))</f>
        <v>0.625035541045285</v>
      </c>
      <c r="L138" s="48" t="n">
        <f aca="false">K138*(IF($A138&lt;Assumptions!$B$5,Assumptions!$B$12*(1+Assumptions!$B$11)^($A138-Assumptions!$B$4+1)+Pricing!$B$14*IF($A138=Assumptions!$B$4,Assumptions!$B$14,Assumptions!$B$15)-Pricing!$B$14,Assumptions!$B$9*(1+Assumptions!$B$10)^($A138-Assumptions!$B$4)+Assumptions!$B$12*(1+Assumptions!$B$11)^($A138-Assumptions!$B$4+1)))*Projection!H24</f>
        <v>8007.39474861823</v>
      </c>
    </row>
    <row r="139" customFormat="false" ht="15" hidden="false" customHeight="true" outlineLevel="0" collapsed="false">
      <c r="A139" s="54" t="n">
        <f aca="false">A138+1</f>
        <v>86</v>
      </c>
      <c r="B139" s="34" t="n">
        <f aca="false">MAX(0,4+$A139-Assumptions!$B$4)</f>
        <v>25</v>
      </c>
      <c r="C139" s="11" t="n">
        <f aca="false">CBD_Stochastic!$B$6+CBD_Stochastic!$B$8*B139</f>
        <v>-4.1378573644121</v>
      </c>
      <c r="D139" s="11" t="n">
        <f aca="false">C139-CBD_Stochastic!$B$19*CBD_Stochastic!$B$17*SQRT(B139)</f>
        <v>-4.41327483366649</v>
      </c>
      <c r="E139" s="11" t="n">
        <f aca="false">CBD_Stochastic!$B$7+CBD_Stochastic!$B$9*B139</f>
        <v>0.127633750940771</v>
      </c>
      <c r="F139" s="11" t="n">
        <f aca="false">E139-CBD_Stochastic!$B$19*CBD_Stochastic!$B$13*CBD_Stochastic!$B$18*SQRT(B139)</f>
        <v>0.11652552194376</v>
      </c>
      <c r="G139" s="32" t="n">
        <f aca="false">1/(1+EXP(-(C139+E139*($A139-CBD_Stochastic!$B$14))))</f>
        <v>0.0647627754043557</v>
      </c>
      <c r="H139" s="32" t="n">
        <f aca="false">1/(1+EXP(-(D139+F139*($A139-CBD_Stochastic!$B$14))))</f>
        <v>0.044225040508373</v>
      </c>
      <c r="I139" s="11" t="n">
        <f aca="false">H139/G139</f>
        <v>0.682877474478937</v>
      </c>
      <c r="J139" s="32" t="n">
        <f aca="false">MIN(1,Projection!C25*I139)</f>
        <v>0.0384770092664019</v>
      </c>
      <c r="K139" s="32" t="n">
        <f aca="false">K138*(1-J138)*(1-IF(Projection!B24&lt;Assumptions!$B$5,Projection!E24,0))</f>
        <v>0.603488733799384</v>
      </c>
      <c r="L139" s="48" t="n">
        <f aca="false">K139*(IF($A139&lt;Assumptions!$B$5,Assumptions!$B$12*(1+Assumptions!$B$11)^($A139-Assumptions!$B$4+1)+Pricing!$B$14*IF($A139=Assumptions!$B$4,Assumptions!$B$14,Assumptions!$B$15)-Pricing!$B$14,Assumptions!$B$9*(1+Assumptions!$B$10)^($A139-Assumptions!$B$4)+Assumptions!$B$12*(1+Assumptions!$B$11)^($A139-Assumptions!$B$4+1)))*Projection!H25</f>
        <v>7642.40778651714</v>
      </c>
    </row>
    <row r="140" customFormat="false" ht="15" hidden="false" customHeight="true" outlineLevel="0" collapsed="false">
      <c r="A140" s="54" t="n">
        <f aca="false">A139+1</f>
        <v>87</v>
      </c>
      <c r="B140" s="34" t="n">
        <f aca="false">MAX(0,4+$A140-Assumptions!$B$4)</f>
        <v>26</v>
      </c>
      <c r="C140" s="11" t="n">
        <f aca="false">CBD_Stochastic!$B$6+CBD_Stochastic!$B$8*B140</f>
        <v>-4.15966057612712</v>
      </c>
      <c r="D140" s="11" t="n">
        <f aca="false">C140-CBD_Stochastic!$B$19*CBD_Stochastic!$B$17*SQRT(B140)</f>
        <v>-4.44053238614961</v>
      </c>
      <c r="E140" s="11" t="n">
        <f aca="false">CBD_Stochastic!$B$7+CBD_Stochastic!$B$9*B140</f>
        <v>0.128180314241099</v>
      </c>
      <c r="F140" s="11" t="n">
        <f aca="false">E140-CBD_Stochastic!$B$19*CBD_Stochastic!$B$13*CBD_Stochastic!$B$18*SQRT(B140)</f>
        <v>0.116852098957656</v>
      </c>
      <c r="G140" s="32" t="n">
        <f aca="false">1/(1+EXP(-(C140+E140*($A140-CBD_Stochastic!$B$14))))</f>
        <v>0.0719304732341353</v>
      </c>
      <c r="H140" s="32" t="n">
        <f aca="false">1/(1+EXP(-(D140+F140*($A140-CBD_Stochastic!$B$14))))</f>
        <v>0.0483430962821873</v>
      </c>
      <c r="I140" s="11" t="n">
        <f aca="false">H140/G140</f>
        <v>0.67208088739844</v>
      </c>
      <c r="J140" s="32" t="n">
        <f aca="false">MIN(1,Projection!C26*I140)</f>
        <v>0.0429461320701654</v>
      </c>
      <c r="K140" s="32" t="n">
        <f aca="false">K139*(1-J139)*(1-IF(Projection!B25&lt;Assumptions!$B$5,Projection!E25,0))</f>
        <v>0.580268292196816</v>
      </c>
      <c r="L140" s="48" t="n">
        <f aca="false">K140*(IF($A140&lt;Assumptions!$B$5,Assumptions!$B$12*(1+Assumptions!$B$11)^($A140-Assumptions!$B$4+1)+Pricing!$B$14*IF($A140=Assumptions!$B$4,Assumptions!$B$14,Assumptions!$B$15)-Pricing!$B$14,Assumptions!$B$9*(1+Assumptions!$B$10)^($A140-Assumptions!$B$4)+Assumptions!$B$12*(1+Assumptions!$B$11)^($A140-Assumptions!$B$4+1)))*Projection!H26</f>
        <v>7263.66882309254</v>
      </c>
    </row>
    <row r="141" customFormat="false" ht="15" hidden="false" customHeight="true" outlineLevel="0" collapsed="false">
      <c r="A141" s="54" t="n">
        <f aca="false">A140+1</f>
        <v>88</v>
      </c>
      <c r="B141" s="34" t="n">
        <f aca="false">MAX(0,4+$A141-Assumptions!$B$4)</f>
        <v>27</v>
      </c>
      <c r="C141" s="11" t="n">
        <f aca="false">CBD_Stochastic!$B$6+CBD_Stochastic!$B$8*B141</f>
        <v>-4.18146378784214</v>
      </c>
      <c r="D141" s="11" t="n">
        <f aca="false">C141-CBD_Stochastic!$B$19*CBD_Stochastic!$B$17*SQRT(B141)</f>
        <v>-4.46768601786653</v>
      </c>
      <c r="E141" s="11" t="n">
        <f aca="false">CBD_Stochastic!$B$7+CBD_Stochastic!$B$9*B141</f>
        <v>0.128726877541427</v>
      </c>
      <c r="F141" s="11" t="n">
        <f aca="false">E141-CBD_Stochastic!$B$19*CBD_Stochastic!$B$13*CBD_Stochastic!$B$18*SQRT(B141)</f>
        <v>0.117182867338467</v>
      </c>
      <c r="G141" s="32" t="n">
        <f aca="false">1/(1+EXP(-(C141+E141*($A141-CBD_Stochastic!$B$14))))</f>
        <v>0.0799040850836245</v>
      </c>
      <c r="H141" s="32" t="n">
        <f aca="false">1/(1+EXP(-(D141+F141*($A141-CBD_Stochastic!$B$14))))</f>
        <v>0.0528641405741983</v>
      </c>
      <c r="I141" s="11" t="n">
        <f aca="false">H141/G141</f>
        <v>0.66159496750226</v>
      </c>
      <c r="J141" s="32" t="n">
        <f aca="false">MIN(1,Projection!C27*I141)</f>
        <v>0.0479188336848637</v>
      </c>
      <c r="K141" s="32" t="n">
        <f aca="false">K140*(1-J140)*(1-IF(Projection!B26&lt;Assumptions!$B$5,Projection!E26,0))</f>
        <v>0.555348013484002</v>
      </c>
      <c r="L141" s="48" t="n">
        <f aca="false">K141*(IF($A141&lt;Assumptions!$B$5,Assumptions!$B$12*(1+Assumptions!$B$11)^($A141-Assumptions!$B$4+1)+Pricing!$B$14*IF($A141=Assumptions!$B$4,Assumptions!$B$14,Assumptions!$B$15)-Pricing!$B$14,Assumptions!$B$9*(1+Assumptions!$B$10)^($A141-Assumptions!$B$4)+Assumptions!$B$12*(1+Assumptions!$B$11)^($A141-Assumptions!$B$4+1)))*Projection!H27</f>
        <v>6871.47883195846</v>
      </c>
    </row>
    <row r="142" customFormat="false" ht="15" hidden="false" customHeight="true" outlineLevel="0" collapsed="false">
      <c r="A142" s="54" t="n">
        <f aca="false">A141+1</f>
        <v>89</v>
      </c>
      <c r="B142" s="34" t="n">
        <f aca="false">MAX(0,4+$A142-Assumptions!$B$4)</f>
        <v>28</v>
      </c>
      <c r="C142" s="11" t="n">
        <f aca="false">CBD_Stochastic!$B$6+CBD_Stochastic!$B$8*B142</f>
        <v>-4.20326699955715</v>
      </c>
      <c r="D142" s="11" t="n">
        <f aca="false">C142-CBD_Stochastic!$B$19*CBD_Stochastic!$B$17*SQRT(B142)</f>
        <v>-4.49474145170512</v>
      </c>
      <c r="E142" s="11" t="n">
        <f aca="false">CBD_Stochastic!$B$7+CBD_Stochastic!$B$9*B142</f>
        <v>0.129273440841755</v>
      </c>
      <c r="F142" s="11" t="n">
        <f aca="false">E142-CBD_Stochastic!$B$19*CBD_Stochastic!$B$13*CBD_Stochastic!$B$18*SQRT(B142)</f>
        <v>0.117517596268776</v>
      </c>
      <c r="G142" s="32" t="n">
        <f aca="false">1/(1+EXP(-(C142+E142*($A142-CBD_Stochastic!$B$14))))</f>
        <v>0.0887655085117034</v>
      </c>
      <c r="H142" s="32" t="n">
        <f aca="false">1/(1+EXP(-(D142+F142*($A142-CBD_Stochastic!$B$14))))</f>
        <v>0.0578268261489873</v>
      </c>
      <c r="I142" s="11" t="n">
        <f aca="false">H142/G142</f>
        <v>0.651456034202328</v>
      </c>
      <c r="J142" s="32" t="n">
        <f aca="false">MIN(1,Projection!C28*I142)</f>
        <v>0.0534329819473807</v>
      </c>
      <c r="K142" s="32" t="n">
        <f aca="false">K141*(1-J141)*(1-IF(Projection!B27&lt;Assumptions!$B$5,Projection!E27,0))</f>
        <v>0.528736384388643</v>
      </c>
      <c r="L142" s="48" t="n">
        <f aca="false">K142*(IF($A142&lt;Assumptions!$B$5,Assumptions!$B$12*(1+Assumptions!$B$11)^($A142-Assumptions!$B$4+1)+Pricing!$B$14*IF($A142=Assumptions!$B$4,Assumptions!$B$14,Assumptions!$B$15)-Pricing!$B$14,Assumptions!$B$9*(1+Assumptions!$B$10)^($A142-Assumptions!$B$4)+Assumptions!$B$12*(1+Assumptions!$B$11)^($A142-Assumptions!$B$4+1)))*Projection!H28</f>
        <v>6465.06057999398</v>
      </c>
    </row>
    <row r="143" customFormat="false" ht="15" hidden="false" customHeight="true" outlineLevel="0" collapsed="false">
      <c r="A143" s="54" t="n">
        <f aca="false">A142+1</f>
        <v>90</v>
      </c>
      <c r="B143" s="34" t="n">
        <f aca="false">MAX(0,4+$A143-Assumptions!$B$4)</f>
        <v>29</v>
      </c>
      <c r="C143" s="11" t="n">
        <f aca="false">CBD_Stochastic!$B$6+CBD_Stochastic!$B$8*B143</f>
        <v>-4.22507021127217</v>
      </c>
      <c r="D143" s="11" t="n">
        <f aca="false">C143-CBD_Stochastic!$B$19*CBD_Stochastic!$B$17*SQRT(B143)</f>
        <v>-4.52170390381194</v>
      </c>
      <c r="E143" s="11" t="n">
        <f aca="false">CBD_Stochastic!$B$7+CBD_Stochastic!$B$9*B143</f>
        <v>0.129820004142083</v>
      </c>
      <c r="F143" s="11" t="n">
        <f aca="false">E143-CBD_Stochastic!$B$19*CBD_Stochastic!$B$13*CBD_Stochastic!$B$18*SQRT(B143)</f>
        <v>0.117856075369224</v>
      </c>
      <c r="G143" s="32" t="n">
        <f aca="false">1/(1+EXP(-(C143+E143*($A143-CBD_Stochastic!$B$14))))</f>
        <v>0.098601573292742</v>
      </c>
      <c r="H143" s="32" t="n">
        <f aca="false">1/(1+EXP(-(D143+F143*($A143-CBD_Stochastic!$B$14))))</f>
        <v>0.0632729081877765</v>
      </c>
      <c r="I143" s="11" t="n">
        <f aca="false">H143/G143</f>
        <v>0.64170282557179</v>
      </c>
      <c r="J143" s="32" t="n">
        <f aca="false">MIN(1,Projection!C29*I143)</f>
        <v>0.0614242486699166</v>
      </c>
      <c r="K143" s="32" t="n">
        <f aca="false">K142*(1-J142)*(1-IF(Projection!B28&lt;Assumptions!$B$5,Projection!E28,0))</f>
        <v>0.500484422706681</v>
      </c>
      <c r="L143" s="48" t="n">
        <f aca="false">K143*(IF($A143&lt;Assumptions!$B$5,Assumptions!$B$12*(1+Assumptions!$B$11)^($A143-Assumptions!$B$4+1)+Pricing!$B$14*IF($A143=Assumptions!$B$4,Assumptions!$B$14,Assumptions!$B$15)-Pricing!$B$14,Assumptions!$B$9*(1+Assumptions!$B$10)^($A143-Assumptions!$B$4)+Assumptions!$B$12*(1+Assumptions!$B$11)^($A143-Assumptions!$B$4+1)))*Projection!H29</f>
        <v>6048.6831587157</v>
      </c>
    </row>
    <row r="144" customFormat="false" ht="15" hidden="false" customHeight="true" outlineLevel="0" collapsed="false">
      <c r="A144" s="54" t="n">
        <f aca="false">A143+1</f>
        <v>91</v>
      </c>
      <c r="B144" s="34" t="n">
        <f aca="false">MAX(0,4+$A144-Assumptions!$B$4)</f>
        <v>30</v>
      </c>
      <c r="C144" s="11" t="n">
        <f aca="false">CBD_Stochastic!$B$6+CBD_Stochastic!$B$8*B144</f>
        <v>-4.24687342298719</v>
      </c>
      <c r="D144" s="11" t="n">
        <f aca="false">C144-CBD_Stochastic!$B$19*CBD_Stochastic!$B$17*SQRT(B144)</f>
        <v>-4.54857814427043</v>
      </c>
      <c r="E144" s="11" t="n">
        <f aca="false">CBD_Stochastic!$B$7+CBD_Stochastic!$B$9*B144</f>
        <v>0.13036656744241</v>
      </c>
      <c r="F144" s="11" t="n">
        <f aca="false">E144-CBD_Stochastic!$B$19*CBD_Stochastic!$B$13*CBD_Stochastic!$B$18*SQRT(B144)</f>
        <v>0.118198112251219</v>
      </c>
      <c r="G144" s="32" t="n">
        <f aca="false">1/(1+EXP(-(C144+E144*($A144-CBD_Stochastic!$B$14))))</f>
        <v>0.109503265964635</v>
      </c>
      <c r="H144" s="32" t="n">
        <f aca="false">1/(1+EXP(-(D144+F144*($A144-CBD_Stochastic!$B$14))))</f>
        <v>0.0692473107230276</v>
      </c>
      <c r="I144" s="11" t="n">
        <f aca="false">H144/G144</f>
        <v>0.632376670348735</v>
      </c>
      <c r="J144" s="32" t="n">
        <f aca="false">MIN(1,Projection!C30*I144)</f>
        <v>0.0682217704474824</v>
      </c>
      <c r="K144" s="32" t="n">
        <f aca="false">K143*(1-J143)*(1-IF(Projection!B29&lt;Assumptions!$B$5,Projection!E29,0))</f>
        <v>0.469742543070926</v>
      </c>
      <c r="L144" s="48" t="n">
        <f aca="false">K144*(IF($A144&lt;Assumptions!$B$5,Assumptions!$B$12*(1+Assumptions!$B$11)^($A144-Assumptions!$B$4+1)+Pricing!$B$14*IF($A144=Assumptions!$B$4,Assumptions!$B$14,Assumptions!$B$15)-Pricing!$B$14,Assumptions!$B$9*(1+Assumptions!$B$10)^($A144-Assumptions!$B$4)+Assumptions!$B$12*(1+Assumptions!$B$11)^($A144-Assumptions!$B$4+1)))*Projection!H30</f>
        <v>5609.82400696678</v>
      </c>
    </row>
    <row r="145" customFormat="false" ht="15" hidden="false" customHeight="true" outlineLevel="0" collapsed="false">
      <c r="A145" s="54" t="n">
        <f aca="false">A144+1</f>
        <v>92</v>
      </c>
      <c r="B145" s="34" t="n">
        <f aca="false">MAX(0,4+$A145-Assumptions!$B$4)</f>
        <v>31</v>
      </c>
      <c r="C145" s="11" t="n">
        <f aca="false">CBD_Stochastic!$B$6+CBD_Stochastic!$B$8*B145</f>
        <v>-4.26867663470221</v>
      </c>
      <c r="D145" s="11" t="n">
        <f aca="false">C145-CBD_Stochastic!$B$19*CBD_Stochastic!$B$17*SQRT(B145)</f>
        <v>-4.5753685487453</v>
      </c>
      <c r="E145" s="11" t="n">
        <f aca="false">CBD_Stochastic!$B$7+CBD_Stochastic!$B$9*B145</f>
        <v>0.130913130742738</v>
      </c>
      <c r="F145" s="11" t="n">
        <f aca="false">E145-CBD_Stochastic!$B$19*CBD_Stochastic!$B$13*CBD_Stochastic!$B$18*SQRT(B145)</f>
        <v>0.118543530433996</v>
      </c>
      <c r="G145" s="32" t="n">
        <f aca="false">1/(1+EXP(-(C145+E145*($A145-CBD_Stochastic!$B$14))))</f>
        <v>0.121564569571955</v>
      </c>
      <c r="H145" s="32" t="n">
        <f aca="false">1/(1+EXP(-(D145+F145*($A145-CBD_Stochastic!$B$14))))</f>
        <v>0.0757981393517648</v>
      </c>
      <c r="I145" s="11" t="n">
        <f aca="false">H145/G145</f>
        <v>0.623521636432888</v>
      </c>
      <c r="J145" s="32" t="n">
        <f aca="false">MIN(1,Projection!C31*I145)</f>
        <v>0.0749828767895086</v>
      </c>
      <c r="K145" s="32" t="n">
        <f aca="false">K144*(1-J144)*(1-IF(Projection!B30&lt;Assumptions!$B$5,Projection!E30,0))</f>
        <v>0.437695875128125</v>
      </c>
      <c r="L145" s="48" t="n">
        <f aca="false">K145*(IF($A145&lt;Assumptions!$B$5,Assumptions!$B$12*(1+Assumptions!$B$11)^($A145-Assumptions!$B$4+1)+Pricing!$B$14*IF($A145=Assumptions!$B$4,Assumptions!$B$14,Assumptions!$B$15)-Pricing!$B$14,Assumptions!$B$9*(1+Assumptions!$B$10)^($A145-Assumptions!$B$4)+Assumptions!$B$12*(1+Assumptions!$B$11)^($A145-Assumptions!$B$4+1)))*Projection!H31</f>
        <v>5166.27763211481</v>
      </c>
    </row>
    <row r="146" customFormat="false" ht="15" hidden="false" customHeight="true" outlineLevel="0" collapsed="false">
      <c r="A146" s="54" t="n">
        <f aca="false">A145+1</f>
        <v>93</v>
      </c>
      <c r="B146" s="34" t="n">
        <f aca="false">MAX(0,4+$A146-Assumptions!$B$4)</f>
        <v>32</v>
      </c>
      <c r="C146" s="11" t="n">
        <f aca="false">CBD_Stochastic!$B$6+CBD_Stochastic!$B$8*B146</f>
        <v>-4.29047984641723</v>
      </c>
      <c r="D146" s="11" t="n">
        <f aca="false">C146-CBD_Stochastic!$B$19*CBD_Stochastic!$B$17*SQRT(B146)</f>
        <v>-4.60207914268447</v>
      </c>
      <c r="E146" s="11" t="n">
        <f aca="false">CBD_Stochastic!$B$7+CBD_Stochastic!$B$9*B146</f>
        <v>0.131459694043066</v>
      </c>
      <c r="F146" s="11" t="n">
        <f aca="false">E146-CBD_Stochastic!$B$19*CBD_Stochastic!$B$13*CBD_Stochastic!$B$18*SQRT(B146)</f>
        <v>0.118892167561851</v>
      </c>
      <c r="G146" s="32" t="n">
        <f aca="false">1/(1+EXP(-(C146+E146*($A146-CBD_Stochastic!$B$14))))</f>
        <v>0.134880843040538</v>
      </c>
      <c r="H146" s="32" t="n">
        <f aca="false">1/(1+EXP(-(D146+F146*($A146-CBD_Stochastic!$B$14))))</f>
        <v>0.0829766233446765</v>
      </c>
      <c r="I146" s="11" t="n">
        <f aca="false">H146/G146</f>
        <v>0.615184643528202</v>
      </c>
      <c r="J146" s="32" t="n">
        <f aca="false">MIN(1,Projection!C32*I146)</f>
        <v>0.0811864421174773</v>
      </c>
      <c r="K146" s="32" t="n">
        <f aca="false">K145*(1-J145)*(1-IF(Projection!B31&lt;Assumptions!$B$5,Projection!E31,0))</f>
        <v>0.404876179252116</v>
      </c>
      <c r="L146" s="48" t="n">
        <f aca="false">K146*(IF($A146&lt;Assumptions!$B$5,Assumptions!$B$12*(1+Assumptions!$B$11)^($A146-Assumptions!$B$4+1)+Pricing!$B$14*IF($A146=Assumptions!$B$4,Assumptions!$B$14,Assumptions!$B$15)-Pricing!$B$14,Assumptions!$B$9*(1+Assumptions!$B$10)^($A146-Assumptions!$B$4)+Assumptions!$B$12*(1+Assumptions!$B$11)^($A146-Assumptions!$B$4+1)))*Projection!H32</f>
        <v>4721.90500917271</v>
      </c>
    </row>
    <row r="147" customFormat="false" ht="15" hidden="false" customHeight="true" outlineLevel="0" collapsed="false">
      <c r="A147" s="54" t="n">
        <f aca="false">A146+1</f>
        <v>94</v>
      </c>
      <c r="B147" s="34" t="n">
        <f aca="false">MAX(0,4+$A147-Assumptions!$B$4)</f>
        <v>33</v>
      </c>
      <c r="C147" s="11" t="n">
        <f aca="false">CBD_Stochastic!$B$6+CBD_Stochastic!$B$8*B147</f>
        <v>-4.31228305813225</v>
      </c>
      <c r="D147" s="11" t="n">
        <f aca="false">C147-CBD_Stochastic!$B$19*CBD_Stochastic!$B$17*SQRT(B147)</f>
        <v>-4.62871363934882</v>
      </c>
      <c r="E147" s="11" t="n">
        <f aca="false">CBD_Stochastic!$B$7+CBD_Stochastic!$B$9*B147</f>
        <v>0.132006257343394</v>
      </c>
      <c r="F147" s="11" t="n">
        <f aca="false">E147-CBD_Stochastic!$B$19*CBD_Stochastic!$B$13*CBD_Stochastic!$B$18*SQRT(B147)</f>
        <v>0.11924387387031</v>
      </c>
      <c r="G147" s="32" t="n">
        <f aca="false">1/(1+EXP(-(C147+E147*($A147-CBD_Stochastic!$B$14))))</f>
        <v>0.149546667299004</v>
      </c>
      <c r="H147" s="32" t="n">
        <f aca="false">1/(1+EXP(-(D147+F147*($A147-CBD_Stochastic!$B$14))))</f>
        <v>0.0908369674251748</v>
      </c>
      <c r="I147" s="11" t="n">
        <f aca="false">H147/G147</f>
        <v>0.607415524971582</v>
      </c>
      <c r="J147" s="32" t="n">
        <f aca="false">MIN(1,Projection!C33*I147)</f>
        <v>0.0868230107331555</v>
      </c>
      <c r="K147" s="32" t="n">
        <f aca="false">K146*(1-J146)*(1-IF(Projection!B32&lt;Assumptions!$B$5,Projection!E32,0))</f>
        <v>0.372005722760519</v>
      </c>
      <c r="L147" s="48" t="n">
        <f aca="false">K147*(IF($A147&lt;Assumptions!$B$5,Assumptions!$B$12*(1+Assumptions!$B$11)^($A147-Assumptions!$B$4+1)+Pricing!$B$14*IF($A147=Assumptions!$B$4,Assumptions!$B$14,Assumptions!$B$15)-Pricing!$B$14,Assumptions!$B$9*(1+Assumptions!$B$10)^($A147-Assumptions!$B$4)+Assumptions!$B$12*(1+Assumptions!$B$11)^($A147-Assumptions!$B$4+1)))*Projection!H33</f>
        <v>4286.64582554088</v>
      </c>
    </row>
    <row r="148" customFormat="false" ht="15" hidden="false" customHeight="true" outlineLevel="0" collapsed="false">
      <c r="A148" s="54" t="n">
        <f aca="false">A147+1</f>
        <v>95</v>
      </c>
      <c r="B148" s="34" t="n">
        <f aca="false">MAX(0,4+$A148-Assumptions!$B$4)</f>
        <v>34</v>
      </c>
      <c r="C148" s="11" t="n">
        <f aca="false">CBD_Stochastic!$B$6+CBD_Stochastic!$B$8*B148</f>
        <v>-4.33408626984727</v>
      </c>
      <c r="D148" s="11" t="n">
        <f aca="false">C148-CBD_Stochastic!$B$19*CBD_Stochastic!$B$17*SQRT(B148)</f>
        <v>-4.65527547269176</v>
      </c>
      <c r="E148" s="11" t="n">
        <f aca="false">CBD_Stochastic!$B$7+CBD_Stochastic!$B$9*B148</f>
        <v>0.132552820643722</v>
      </c>
      <c r="F148" s="11" t="n">
        <f aca="false">E148-CBD_Stochastic!$B$19*CBD_Stochastic!$B$13*CBD_Stochastic!$B$18*SQRT(B148)</f>
        <v>0.119598510860022</v>
      </c>
      <c r="G148" s="32" t="n">
        <f aca="false">1/(1+EXP(-(C148+E148*($A148-CBD_Stochastic!$B$14))))</f>
        <v>0.165653096370653</v>
      </c>
      <c r="H148" s="32" t="n">
        <f aca="false">1/(1+EXP(-(D148+F148*($A148-CBD_Stochastic!$B$14))))</f>
        <v>0.0994360906700408</v>
      </c>
      <c r="I148" s="11" t="n">
        <f aca="false">H148/G148</f>
        <v>0.600267020952932</v>
      </c>
      <c r="J148" s="32" t="n">
        <f aca="false">MIN(1,Projection!C34*I148)</f>
        <v>0.0948437208402482</v>
      </c>
      <c r="K148" s="32" t="n">
        <f aca="false">K147*(1-J147)*(1-IF(Projection!B33&lt;Assumptions!$B$5,Projection!E33,0))</f>
        <v>0.339707065900487</v>
      </c>
      <c r="L148" s="48" t="n">
        <f aca="false">K148*(IF($A148&lt;Assumptions!$B$5,Assumptions!$B$12*(1+Assumptions!$B$11)^($A148-Assumptions!$B$4+1)+Pricing!$B$14*IF($A148=Assumptions!$B$4,Assumptions!$B$14,Assumptions!$B$15)-Pricing!$B$14,Assumptions!$B$9*(1+Assumptions!$B$10)^($A148-Assumptions!$B$4)+Assumptions!$B$12*(1+Assumptions!$B$11)^($A148-Assumptions!$B$4+1)))*Projection!H34</f>
        <v>3867.48601878698</v>
      </c>
    </row>
    <row r="149" customFormat="false" ht="15" hidden="false" customHeight="true" outlineLevel="0" collapsed="false">
      <c r="A149" s="54" t="n">
        <f aca="false">A148+1</f>
        <v>96</v>
      </c>
      <c r="B149" s="34" t="n">
        <f aca="false">MAX(0,4+$A149-Assumptions!$B$4)</f>
        <v>35</v>
      </c>
      <c r="C149" s="11" t="n">
        <f aca="false">CBD_Stochastic!$B$6+CBD_Stochastic!$B$8*B149</f>
        <v>-4.35588948156229</v>
      </c>
      <c r="D149" s="11" t="n">
        <f aca="false">C149-CBD_Stochastic!$B$19*CBD_Stochastic!$B$17*SQRT(B149)</f>
        <v>-4.68176782591597</v>
      </c>
      <c r="E149" s="11" t="n">
        <f aca="false">CBD_Stochastic!$B$7+CBD_Stochastic!$B$9*B149</f>
        <v>0.13309938394405</v>
      </c>
      <c r="F149" s="11" t="n">
        <f aca="false">E149-CBD_Stochastic!$B$19*CBD_Stochastic!$B$13*CBD_Stochastic!$B$18*SQRT(B149)</f>
        <v>0.119955950144998</v>
      </c>
      <c r="G149" s="32" t="n">
        <f aca="false">1/(1+EXP(-(C149+E149*($A149-CBD_Stochastic!$B$14))))</f>
        <v>0.183284274234975</v>
      </c>
      <c r="H149" s="32" t="n">
        <f aca="false">1/(1+EXP(-(D149+F149*($A149-CBD_Stochastic!$B$14))))</f>
        <v>0.108833227409544</v>
      </c>
      <c r="I149" s="11" t="n">
        <f aca="false">H149/G149</f>
        <v>0.593794682406942</v>
      </c>
      <c r="J149" s="32" t="n">
        <f aca="false">MIN(1,Projection!C35*I149)</f>
        <v>0.0998644228118712</v>
      </c>
      <c r="K149" s="32" t="n">
        <f aca="false">K148*(1-J148)*(1-IF(Projection!B34&lt;Assumptions!$B$5,Projection!E34,0))</f>
        <v>0.307487983774762</v>
      </c>
      <c r="L149" s="48" t="n">
        <f aca="false">K149*(IF($A149&lt;Assumptions!$B$5,Assumptions!$B$12*(1+Assumptions!$B$11)^($A149-Assumptions!$B$4+1)+Pricing!$B$14*IF($A149=Assumptions!$B$4,Assumptions!$B$14,Assumptions!$B$15)-Pricing!$B$14,Assumptions!$B$9*(1+Assumptions!$B$10)^($A149-Assumptions!$B$4)+Assumptions!$B$12*(1+Assumptions!$B$11)^($A149-Assumptions!$B$4+1)))*Projection!H35</f>
        <v>3459.57074998267</v>
      </c>
    </row>
    <row r="150" customFormat="false" ht="15" hidden="false" customHeight="true" outlineLevel="0" collapsed="false">
      <c r="A150" s="54" t="n">
        <f aca="false">A149+1</f>
        <v>97</v>
      </c>
      <c r="B150" s="34" t="n">
        <f aca="false">MAX(0,4+$A150-Assumptions!$B$4)</f>
        <v>36</v>
      </c>
      <c r="C150" s="11" t="n">
        <f aca="false">CBD_Stochastic!$B$6+CBD_Stochastic!$B$8*B150</f>
        <v>-4.37769269327731</v>
      </c>
      <c r="D150" s="11" t="n">
        <f aca="false">C150-CBD_Stochastic!$B$19*CBD_Stochastic!$B$17*SQRT(B150)</f>
        <v>-4.70819365638259</v>
      </c>
      <c r="E150" s="11" t="n">
        <f aca="false">CBD_Stochastic!$B$7+CBD_Stochastic!$B$9*B150</f>
        <v>0.133645947244378</v>
      </c>
      <c r="F150" s="11" t="n">
        <f aca="false">E150-CBD_Stochastic!$B$19*CBD_Stochastic!$B$13*CBD_Stochastic!$B$18*SQRT(B150)</f>
        <v>0.120316072447964</v>
      </c>
      <c r="G150" s="32" t="n">
        <f aca="false">1/(1+EXP(-(C150+E150*($A150-CBD_Stochastic!$B$14))))</f>
        <v>0.20251341526747</v>
      </c>
      <c r="H150" s="32" t="n">
        <f aca="false">1/(1+EXP(-(D150+F150*($A150-CBD_Stochastic!$B$14))))</f>
        <v>0.119089363002105</v>
      </c>
      <c r="I150" s="11" t="n">
        <f aca="false">H150/G150</f>
        <v>0.588056662047883</v>
      </c>
      <c r="J150" s="32" t="n">
        <f aca="false">MIN(1,Projection!C36*I150)</f>
        <v>0.104726342273847</v>
      </c>
      <c r="K150" s="32" t="n">
        <f aca="false">K149*(1-J149)*(1-IF(Projection!B35&lt;Assumptions!$B$5,Projection!E35,0))</f>
        <v>0.276780873753509</v>
      </c>
      <c r="L150" s="48" t="n">
        <f aca="false">K150*(IF($A150&lt;Assumptions!$B$5,Assumptions!$B$12*(1+Assumptions!$B$11)^($A150-Assumptions!$B$4+1)+Pricing!$B$14*IF($A150=Assumptions!$B$4,Assumptions!$B$14,Assumptions!$B$15)-Pricing!$B$14,Assumptions!$B$9*(1+Assumptions!$B$10)^($A150-Assumptions!$B$4)+Assumptions!$B$12*(1+Assumptions!$B$11)^($A150-Assumptions!$B$4+1)))*Projection!H36</f>
        <v>3076.5005820185</v>
      </c>
    </row>
    <row r="151" customFormat="false" ht="15" hidden="false" customHeight="true" outlineLevel="0" collapsed="false">
      <c r="A151" s="54" t="n">
        <f aca="false">A150+1</f>
        <v>98</v>
      </c>
      <c r="B151" s="34" t="n">
        <f aca="false">MAX(0,4+$A151-Assumptions!$B$4)</f>
        <v>37</v>
      </c>
      <c r="C151" s="11" t="n">
        <f aca="false">CBD_Stochastic!$B$6+CBD_Stochastic!$B$8*B151</f>
        <v>-4.39949590499233</v>
      </c>
      <c r="D151" s="11" t="n">
        <f aca="false">C151-CBD_Stochastic!$B$19*CBD_Stochastic!$B$17*SQRT(B151)</f>
        <v>-4.73455571742637</v>
      </c>
      <c r="E151" s="11" t="n">
        <f aca="false">CBD_Stochastic!$B$7+CBD_Stochastic!$B$9*B151</f>
        <v>0.134192510544705</v>
      </c>
      <c r="F151" s="11" t="n">
        <f aca="false">E151-CBD_Stochastic!$B$19*CBD_Stochastic!$B$13*CBD_Stochastic!$B$18*SQRT(B151)</f>
        <v>0.120678766720507</v>
      </c>
      <c r="G151" s="32" t="n">
        <f aca="false">1/(1+EXP(-(C151+E151*($A151-CBD_Stochastic!$B$14))))</f>
        <v>0.223398199755782</v>
      </c>
      <c r="H151" s="32" t="n">
        <f aca="false">1/(1+EXP(-(D151+F151*($A151-CBD_Stochastic!$B$14))))</f>
        <v>0.130266476356713</v>
      </c>
      <c r="I151" s="11" t="n">
        <f aca="false">H151/G151</f>
        <v>0.583113366621216</v>
      </c>
      <c r="J151" s="32" t="n">
        <f aca="false">MIN(1,Projection!C37*I151)</f>
        <v>0.109606184303812</v>
      </c>
      <c r="K151" s="32" t="n">
        <f aca="false">K150*(1-J150)*(1-IF(Projection!B36&lt;Assumptions!$B$5,Projection!E36,0))</f>
        <v>0.247794625233945</v>
      </c>
      <c r="L151" s="48" t="n">
        <f aca="false">K151*(IF($A151&lt;Assumptions!$B$5,Assumptions!$B$12*(1+Assumptions!$B$11)^($A151-Assumptions!$B$4+1)+Pricing!$B$14*IF($A151=Assumptions!$B$4,Assumptions!$B$14,Assumptions!$B$15)-Pricing!$B$14,Assumptions!$B$9*(1+Assumptions!$B$10)^($A151-Assumptions!$B$4)+Assumptions!$B$12*(1+Assumptions!$B$11)^($A151-Assumptions!$B$4+1)))*Projection!H37</f>
        <v>2720.96463376147</v>
      </c>
    </row>
    <row r="152" customFormat="false" ht="15" hidden="false" customHeight="true" outlineLevel="0" collapsed="false">
      <c r="A152" s="54" t="n">
        <f aca="false">A151+1</f>
        <v>99</v>
      </c>
      <c r="B152" s="34" t="n">
        <f aca="false">MAX(0,4+$A152-Assumptions!$B$4)</f>
        <v>38</v>
      </c>
      <c r="C152" s="11" t="n">
        <f aca="false">CBD_Stochastic!$B$6+CBD_Stochastic!$B$8*B152</f>
        <v>-4.42129911670735</v>
      </c>
      <c r="D152" s="11" t="n">
        <f aca="false">C152-CBD_Stochastic!$B$19*CBD_Stochastic!$B$17*SQRT(B152)</f>
        <v>-4.76085657753417</v>
      </c>
      <c r="E152" s="11" t="n">
        <f aca="false">CBD_Stochastic!$B$7+CBD_Stochastic!$B$9*B152</f>
        <v>0.134739073845033</v>
      </c>
      <c r="F152" s="11" t="n">
        <f aca="false">E152-CBD_Stochastic!$B$19*CBD_Stochastic!$B$13*CBD_Stochastic!$B$18*SQRT(B152)</f>
        <v>0.121043929369561</v>
      </c>
      <c r="G152" s="32" t="n">
        <f aca="false">1/(1+EXP(-(C152+E152*($A152-CBD_Stochastic!$B$14))))</f>
        <v>0.24597570696184</v>
      </c>
      <c r="H152" s="32" t="n">
        <f aca="false">1/(1+EXP(-(D152+F152*($A152-CBD_Stochastic!$B$14))))</f>
        <v>0.142426561620579</v>
      </c>
      <c r="I152" s="11" t="n">
        <f aca="false">H152/G152</f>
        <v>0.579026942862594</v>
      </c>
      <c r="J152" s="32" t="n">
        <f aca="false">MIN(1,Projection!C38*I152)</f>
        <v>0.114687915242729</v>
      </c>
      <c r="K152" s="32" t="n">
        <f aca="false">K151*(1-J151)*(1-IF(Projection!B37&lt;Assumptions!$B$5,Projection!E37,0))</f>
        <v>0.220634801871059</v>
      </c>
      <c r="L152" s="48" t="n">
        <f aca="false">K152*(IF($A152&lt;Assumptions!$B$5,Assumptions!$B$12*(1+Assumptions!$B$11)^($A152-Assumptions!$B$4+1)+Pricing!$B$14*IF($A152=Assumptions!$B$4,Assumptions!$B$14,Assumptions!$B$15)-Pricing!$B$14,Assumptions!$B$9*(1+Assumptions!$B$10)^($A152-Assumptions!$B$4)+Assumptions!$B$12*(1+Assumptions!$B$11)^($A152-Assumptions!$B$4+1)))*Projection!H38</f>
        <v>2393.30668260862</v>
      </c>
    </row>
    <row r="153" customFormat="false" ht="15" hidden="false" customHeight="true" outlineLevel="0" collapsed="false">
      <c r="A153" s="54" t="n">
        <f aca="false">A152+1</f>
        <v>100</v>
      </c>
      <c r="B153" s="34" t="n">
        <f aca="false">MAX(0,4+$A153-Assumptions!$B$4)</f>
        <v>39</v>
      </c>
      <c r="C153" s="11" t="n">
        <f aca="false">CBD_Stochastic!$B$6+CBD_Stochastic!$B$8*B153</f>
        <v>-4.44310232842237</v>
      </c>
      <c r="D153" s="11" t="n">
        <f aca="false">C153-CBD_Stochastic!$B$19*CBD_Stochastic!$B$17*SQRT(B153)</f>
        <v>-4.7870986372659</v>
      </c>
      <c r="E153" s="11" t="n">
        <f aca="false">CBD_Stochastic!$B$7+CBD_Stochastic!$B$9*B153</f>
        <v>0.135285637145361</v>
      </c>
      <c r="F153" s="11" t="n">
        <f aca="false">E153-CBD_Stochastic!$B$19*CBD_Stochastic!$B$13*CBD_Stochastic!$B$18*SQRT(B153)</f>
        <v>0.121411463574944</v>
      </c>
      <c r="G153" s="32" t="n">
        <f aca="false">1/(1+EXP(-(C153+E153*($A153-CBD_Stochastic!$B$14))))</f>
        <v>0.270257094274212</v>
      </c>
      <c r="H153" s="32" t="n">
        <f aca="false">1/(1+EXP(-(D153+F153*($A153-CBD_Stochastic!$B$14))))</f>
        <v>0.155630404193839</v>
      </c>
      <c r="I153" s="11" t="n">
        <f aca="false">H153/G153</f>
        <v>0.575860569402596</v>
      </c>
      <c r="J153" s="32" t="n">
        <f aca="false">MIN(1,Projection!C39*I153)</f>
        <v>0.120169718727894</v>
      </c>
      <c r="K153" s="32" t="n">
        <f aca="false">K152*(1-J152)*(1-IF(Projection!B38&lt;Assumptions!$B$5,Projection!E38,0))</f>
        <v>0.195330656414474</v>
      </c>
      <c r="L153" s="48" t="n">
        <f aca="false">K153*(IF($A153&lt;Assumptions!$B$5,Assumptions!$B$12*(1+Assumptions!$B$11)^($A153-Assumptions!$B$4+1)+Pricing!$B$14*IF($A153=Assumptions!$B$4,Assumptions!$B$14,Assumptions!$B$15)-Pricing!$B$14,Assumptions!$B$9*(1+Assumptions!$B$10)^($A153-Assumptions!$B$4)+Assumptions!$B$12*(1+Assumptions!$B$11)^($A153-Assumptions!$B$4+1)))*Projection!H39</f>
        <v>2093.00998669365</v>
      </c>
    </row>
    <row r="154" customFormat="false" ht="15" hidden="false" customHeight="true" outlineLevel="0" collapsed="false">
      <c r="A154" s="54" t="n">
        <f aca="false">A153+1</f>
        <v>101</v>
      </c>
      <c r="B154" s="34" t="n">
        <f aca="false">MAX(0,4+$A154-Assumptions!$B$4)</f>
        <v>40</v>
      </c>
      <c r="C154" s="11" t="n">
        <f aca="false">CBD_Stochastic!$B$6+CBD_Stochastic!$B$8*B154</f>
        <v>-4.46490554013739</v>
      </c>
      <c r="D154" s="11" t="n">
        <f aca="false">C154-CBD_Stochastic!$B$19*CBD_Stochastic!$B$17*SQRT(B154)</f>
        <v>-4.81328414423471</v>
      </c>
      <c r="E154" s="11" t="n">
        <f aca="false">CBD_Stochastic!$B$7+CBD_Stochastic!$B$9*B154</f>
        <v>0.135832200445689</v>
      </c>
      <c r="F154" s="11" t="n">
        <f aca="false">E154-CBD_Stochastic!$B$19*CBD_Stochastic!$B$13*CBD_Stochastic!$B$18*SQRT(B154)</f>
        <v>0.121781278685176</v>
      </c>
      <c r="G154" s="32" t="n">
        <f aca="false">1/(1+EXP(-(C154+E154*($A154-CBD_Stochastic!$B$14))))</f>
        <v>0.296222326049533</v>
      </c>
      <c r="H154" s="32" t="n">
        <f aca="false">1/(1+EXP(-(D154+F154*($A154-CBD_Stochastic!$B$14))))</f>
        <v>0.169936091912541</v>
      </c>
      <c r="I154" s="11" t="n">
        <f aca="false">H154/G154</f>
        <v>0.573677528560508</v>
      </c>
      <c r="J154" s="32" t="n">
        <f aca="false">MIN(1,Projection!C40*I154)</f>
        <v>0.126280411250724</v>
      </c>
      <c r="K154" s="32" t="n">
        <f aca="false">K153*(1-J153)*(1-IF(Projection!B39&lt;Assumptions!$B$5,Projection!E39,0))</f>
        <v>0.171857826374212</v>
      </c>
      <c r="L154" s="48" t="n">
        <f aca="false">K154*(IF($A154&lt;Assumptions!$B$5,Assumptions!$B$12*(1+Assumptions!$B$11)^($A154-Assumptions!$B$4+1)+Pricing!$B$14*IF($A154=Assumptions!$B$4,Assumptions!$B$14,Assumptions!$B$15)-Pricing!$B$14,Assumptions!$B$9*(1+Assumptions!$B$10)^($A154-Assumptions!$B$4)+Assumptions!$B$12*(1+Assumptions!$B$11)^($A154-Assumptions!$B$4+1)))*Projection!H40</f>
        <v>1819.62334598394</v>
      </c>
    </row>
    <row r="155" customFormat="false" ht="15" hidden="false" customHeight="true" outlineLevel="0" collapsed="false">
      <c r="A155" s="54" t="n">
        <f aca="false">A154+1</f>
        <v>102</v>
      </c>
      <c r="B155" s="34" t="n">
        <f aca="false">MAX(0,4+$A155-Assumptions!$B$4)</f>
        <v>41</v>
      </c>
      <c r="C155" s="11" t="n">
        <f aca="false">CBD_Stochastic!$B$6+CBD_Stochastic!$B$8*B155</f>
        <v>-4.48670875185241</v>
      </c>
      <c r="D155" s="11" t="n">
        <f aca="false">C155-CBD_Stochastic!$B$19*CBD_Stochastic!$B$17*SQRT(B155)</f>
        <v>-4.83941520641146</v>
      </c>
      <c r="E155" s="11" t="n">
        <f aca="false">CBD_Stochastic!$B$7+CBD_Stochastic!$B$9*B155</f>
        <v>0.136378763746017</v>
      </c>
      <c r="F155" s="11" t="n">
        <f aca="false">E155-CBD_Stochastic!$B$19*CBD_Stochastic!$B$13*CBD_Stochastic!$B$18*SQRT(B155)</f>
        <v>0.122153289680874</v>
      </c>
      <c r="G155" s="32" t="n">
        <f aca="false">1/(1+EXP(-(C155+E155*($A155-CBD_Stochastic!$B$14))))</f>
        <v>0.323815348876457</v>
      </c>
      <c r="H155" s="32" t="n">
        <f aca="false">1/(1+EXP(-(D155+F155*($A155-CBD_Stochastic!$B$14))))</f>
        <v>0.185397251613462</v>
      </c>
      <c r="I155" s="11" t="n">
        <f aca="false">H155/G155</f>
        <v>0.572540036340881</v>
      </c>
      <c r="J155" s="32" t="n">
        <f aca="false">MIN(1,Projection!C41*I155)</f>
        <v>0.133306875466518</v>
      </c>
      <c r="K155" s="32" t="n">
        <f aca="false">K154*(1-J154)*(1-IF(Projection!B40&lt;Assumptions!$B$5,Projection!E40,0))</f>
        <v>0.150155549383021</v>
      </c>
      <c r="L155" s="48" t="n">
        <f aca="false">K155*(IF($A155&lt;Assumptions!$B$5,Assumptions!$B$12*(1+Assumptions!$B$11)^($A155-Assumptions!$B$4+1)+Pricing!$B$14*IF($A155=Assumptions!$B$4,Assumptions!$B$14,Assumptions!$B$15)-Pricing!$B$14,Assumptions!$B$9*(1+Assumptions!$B$10)^($A155-Assumptions!$B$4)+Assumptions!$B$12*(1+Assumptions!$B$11)^($A155-Assumptions!$B$4+1)))*Projection!H41</f>
        <v>1570.3657024597</v>
      </c>
    </row>
    <row r="156" customFormat="false" ht="15" hidden="false" customHeight="true" outlineLevel="0" collapsed="false">
      <c r="A156" s="54" t="n">
        <f aca="false">A155+1</f>
        <v>103</v>
      </c>
      <c r="B156" s="34" t="n">
        <f aca="false">MAX(0,4+$A156-Assumptions!$B$4)</f>
        <v>42</v>
      </c>
      <c r="C156" s="11" t="n">
        <f aca="false">CBD_Stochastic!$B$6+CBD_Stochastic!$B$8*B156</f>
        <v>-4.50851196356743</v>
      </c>
      <c r="D156" s="11" t="n">
        <f aca="false">C156-CBD_Stochastic!$B$19*CBD_Stochastic!$B$17*SQRT(B156)</f>
        <v>-4.86549380397732</v>
      </c>
      <c r="E156" s="11" t="n">
        <f aca="false">CBD_Stochastic!$B$7+CBD_Stochastic!$B$9*B156</f>
        <v>0.136925327046345</v>
      </c>
      <c r="F156" s="11" t="n">
        <f aca="false">E156-CBD_Stochastic!$B$19*CBD_Stochastic!$B$13*CBD_Stochastic!$B$18*SQRT(B156)</f>
        <v>0.122527416696712</v>
      </c>
      <c r="G156" s="32" t="n">
        <f aca="false">1/(1+EXP(-(C156+E156*($A156-CBD_Stochastic!$B$14))))</f>
        <v>0.352940185517465</v>
      </c>
      <c r="H156" s="32" t="n">
        <f aca="false">1/(1+EXP(-(D156+F156*($A156-CBD_Stochastic!$B$14))))</f>
        <v>0.202061015041668</v>
      </c>
      <c r="I156" s="11" t="n">
        <f aca="false">H156/G156</f>
        <v>0.572507816715219</v>
      </c>
      <c r="J156" s="32" t="n">
        <f aca="false">MIN(1,Projection!C42*I156)</f>
        <v>0.141635501813161</v>
      </c>
      <c r="K156" s="32" t="n">
        <f aca="false">K155*(1-J155)*(1-IF(Projection!B41&lt;Assumptions!$B$5,Projection!E41,0))</f>
        <v>0.130138782260812</v>
      </c>
      <c r="L156" s="48" t="n">
        <f aca="false">K156*(IF($A156&lt;Assumptions!$B$5,Assumptions!$B$12*(1+Assumptions!$B$11)^($A156-Assumptions!$B$4+1)+Pricing!$B$14*IF($A156=Assumptions!$B$4,Assumptions!$B$14,Assumptions!$B$15)-Pricing!$B$14,Assumptions!$B$9*(1+Assumptions!$B$10)^($A156-Assumptions!$B$4)+Assumptions!$B$12*(1+Assumptions!$B$11)^($A156-Assumptions!$B$4+1)))*Projection!H42</f>
        <v>1344.3012939365</v>
      </c>
    </row>
    <row r="157" customFormat="false" ht="15" hidden="false" customHeight="true" outlineLevel="0" collapsed="false">
      <c r="A157" s="54" t="n">
        <f aca="false">A156+1</f>
        <v>104</v>
      </c>
      <c r="B157" s="34" t="n">
        <f aca="false">MAX(0,4+$A157-Assumptions!$B$4)</f>
        <v>43</v>
      </c>
      <c r="C157" s="11" t="n">
        <f aca="false">CBD_Stochastic!$B$6+CBD_Stochastic!$B$8*B157</f>
        <v>-4.53031517528245</v>
      </c>
      <c r="D157" s="11" t="n">
        <f aca="false">C157-CBD_Stochastic!$B$19*CBD_Stochastic!$B$17*SQRT(B157)</f>
        <v>-4.89152179991336</v>
      </c>
      <c r="E157" s="11" t="n">
        <f aca="false">CBD_Stochastic!$B$7+CBD_Stochastic!$B$9*B157</f>
        <v>0.137471890346672</v>
      </c>
      <c r="F157" s="11" t="n">
        <f aca="false">E157-CBD_Stochastic!$B$19*CBD_Stochastic!$B$13*CBD_Stochastic!$B$18*SQRT(B157)</f>
        <v>0.122903584594319</v>
      </c>
      <c r="G157" s="32" t="n">
        <f aca="false">1/(1+EXP(-(C157+E157*($A157-CBD_Stochastic!$B$14))))</f>
        <v>0.383458458542241</v>
      </c>
      <c r="H157" s="32" t="n">
        <f aca="false">1/(1+EXP(-(D157+F157*($A157-CBD_Stochastic!$B$14))))</f>
        <v>0.219965736647677</v>
      </c>
      <c r="I157" s="11" t="n">
        <f aca="false">H157/G157</f>
        <v>0.573636418098327</v>
      </c>
      <c r="J157" s="32" t="n">
        <f aca="false">MIN(1,Projection!C43*I157)</f>
        <v>0.136442041244162</v>
      </c>
      <c r="K157" s="32" t="n">
        <f aca="false">K156*(1-J156)*(1-IF(Projection!B42&lt;Assumptions!$B$5,Projection!E42,0))</f>
        <v>0.111706510529948</v>
      </c>
      <c r="L157" s="48" t="n">
        <f aca="false">K157*(IF($A157&lt;Assumptions!$B$5,Assumptions!$B$12*(1+Assumptions!$B$11)^($A157-Assumptions!$B$4+1)+Pricing!$B$14*IF($A157=Assumptions!$B$4,Assumptions!$B$14,Assumptions!$B$15)-Pricing!$B$14,Assumptions!$B$9*(1+Assumptions!$B$10)^($A157-Assumptions!$B$4)+Assumptions!$B$12*(1+Assumptions!$B$11)^($A157-Assumptions!$B$4+1)))*Projection!H43</f>
        <v>1140.10850972984</v>
      </c>
    </row>
    <row r="158" customFormat="false" ht="15" hidden="false" customHeight="true" outlineLevel="0" collapsed="false">
      <c r="A158" s="54" t="n">
        <f aca="false">A157+1</f>
        <v>105</v>
      </c>
      <c r="B158" s="34" t="n">
        <f aca="false">MAX(0,4+$A158-Assumptions!$B$4)</f>
        <v>44</v>
      </c>
      <c r="C158" s="11" t="n">
        <f aca="false">CBD_Stochastic!$B$6+CBD_Stochastic!$B$8*B158</f>
        <v>-4.55211838699747</v>
      </c>
      <c r="D158" s="11" t="n">
        <f aca="false">C158-CBD_Stochastic!$B$19*CBD_Stochastic!$B$17*SQRT(B158)</f>
        <v>-4.9175009494879</v>
      </c>
      <c r="E158" s="11" t="n">
        <f aca="false">CBD_Stochastic!$B$7+CBD_Stochastic!$B$9*B158</f>
        <v>0.138018453647</v>
      </c>
      <c r="F158" s="11" t="n">
        <f aca="false">E158-CBD_Stochastic!$B$19*CBD_Stochastic!$B$13*CBD_Stochastic!$B$18*SQRT(B158)</f>
        <v>0.123281722579628</v>
      </c>
      <c r="G158" s="32" t="n">
        <f aca="false">1/(1+EXP(-(C158+E158*($A158-CBD_Stochastic!$B$14))))</f>
        <v>0.415188837100671</v>
      </c>
      <c r="H158" s="32" t="n">
        <f aca="false">1/(1+EXP(-(D158+F158*($A158-CBD_Stochastic!$B$14))))</f>
        <v>0.239138509301647</v>
      </c>
      <c r="I158" s="11" t="n">
        <f aca="false">H158/G158</f>
        <v>0.57597528626152</v>
      </c>
      <c r="J158" s="32" t="n">
        <f aca="false">MIN(1,Projection!C44*I158)</f>
        <v>0.0702816978947791</v>
      </c>
      <c r="K158" s="32" t="n">
        <f aca="false">K157*(1-J157)*(1-IF(Projection!B43&lt;Assumptions!$B$5,Projection!E43,0))</f>
        <v>0.0964650462129796</v>
      </c>
      <c r="L158" s="48" t="n">
        <f aca="false">K158*(IF($A158&lt;Assumptions!$B$5,Assumptions!$B$12*(1+Assumptions!$B$11)^($A158-Assumptions!$B$4+1)+Pricing!$B$14*IF($A158=Assumptions!$B$4,Assumptions!$B$14,Assumptions!$B$15)-Pricing!$B$14,Assumptions!$B$9*(1+Assumptions!$B$10)^($A158-Assumptions!$B$4)+Assumptions!$B$12*(1+Assumptions!$B$11)^($A158-Assumptions!$B$4+1)))*Projection!H44</f>
        <v>972.38627471293</v>
      </c>
    </row>
    <row r="159" customFormat="false" ht="15" hidden="false" customHeight="true" outlineLevel="0" collapsed="false">
      <c r="A159" s="54" t="n">
        <f aca="false">A158+1</f>
        <v>106</v>
      </c>
      <c r="B159" s="34" t="n">
        <f aca="false">MAX(0,4+$A159-Assumptions!$B$4)</f>
        <v>45</v>
      </c>
      <c r="C159" s="11" t="n">
        <f aca="false">CBD_Stochastic!$B$6+CBD_Stochastic!$B$8*B159</f>
        <v>-4.57392159871249</v>
      </c>
      <c r="D159" s="11" t="n">
        <f aca="false">C159-CBD_Stochastic!$B$19*CBD_Stochastic!$B$17*SQRT(B159)</f>
        <v>-4.94343290877876</v>
      </c>
      <c r="E159" s="11" t="n">
        <f aca="false">CBD_Stochastic!$B$7+CBD_Stochastic!$B$9*B159</f>
        <v>0.138565016947328</v>
      </c>
      <c r="F159" s="11" t="n">
        <f aca="false">E159-CBD_Stochastic!$B$19*CBD_Stochastic!$B$13*CBD_Stochastic!$B$18*SQRT(B159)</f>
        <v>0.123661763859158</v>
      </c>
      <c r="G159" s="32" t="n">
        <f aca="false">1/(1+EXP(-(C159+E159*($A159-CBD_Stochastic!$B$14))))</f>
        <v>0.447908811099929</v>
      </c>
      <c r="H159" s="32" t="n">
        <f aca="false">1/(1+EXP(-(D159+F159*($A159-CBD_Stochastic!$B$14))))</f>
        <v>0.259592551756897</v>
      </c>
      <c r="I159" s="11" t="n">
        <f aca="false">H159/G159</f>
        <v>0.579565628814973</v>
      </c>
      <c r="J159" s="32" t="n">
        <f aca="false">MIN(1,Projection!C45*I159)</f>
        <v>0.193604370352352</v>
      </c>
      <c r="K159" s="32" t="n">
        <f aca="false">K158*(1-J158)*(1-IF(Projection!B44&lt;Assumptions!$B$5,Projection!E44,0))</f>
        <v>0.0896853189776331</v>
      </c>
      <c r="L159" s="48" t="n">
        <f aca="false">K159*(IF($A159&lt;Assumptions!$B$5,Assumptions!$B$12*(1+Assumptions!$B$11)^($A159-Assumptions!$B$4+1)+Pricing!$B$14*IF($A159=Assumptions!$B$4,Assumptions!$B$14,Assumptions!$B$15)-Pricing!$B$14,Assumptions!$B$9*(1+Assumptions!$B$10)^($A159-Assumptions!$B$4)+Assumptions!$B$12*(1+Assumptions!$B$11)^($A159-Assumptions!$B$4+1)))*Projection!H45</f>
        <v>892.841934581703</v>
      </c>
    </row>
    <row r="160" customFormat="false" ht="15" hidden="false" customHeight="true" outlineLevel="0" collapsed="false">
      <c r="A160" s="54" t="n">
        <f aca="false">A159+1</f>
        <v>107</v>
      </c>
      <c r="B160" s="34" t="n">
        <f aca="false">MAX(0,4+$A160-Assumptions!$B$4)</f>
        <v>46</v>
      </c>
      <c r="C160" s="11" t="n">
        <f aca="false">CBD_Stochastic!$B$6+CBD_Stochastic!$B$8*B160</f>
        <v>-4.59572481042751</v>
      </c>
      <c r="D160" s="11" t="n">
        <f aca="false">C160-CBD_Stochastic!$B$19*CBD_Stochastic!$B$17*SQRT(B160)</f>
        <v>-4.96931924234762</v>
      </c>
      <c r="E160" s="11" t="n">
        <f aca="false">CBD_Stochastic!$B$7+CBD_Stochastic!$B$9*B160</f>
        <v>0.139111580247656</v>
      </c>
      <c r="F160" s="11" t="n">
        <f aca="false">E160-CBD_Stochastic!$B$19*CBD_Stochastic!$B$13*CBD_Stochastic!$B$18*SQRT(B160)</f>
        <v>0.124043645330486</v>
      </c>
      <c r="G160" s="32" t="n">
        <f aca="false">1/(1+EXP(-(C160+E160*($A160-CBD_Stochastic!$B$14))))</f>
        <v>0.481359030743005</v>
      </c>
      <c r="H160" s="32" t="n">
        <f aca="false">1/(1+EXP(-(D160+F160*($A160-CBD_Stochastic!$B$14))))</f>
        <v>0.281324572406675</v>
      </c>
      <c r="I160" s="11" t="n">
        <f aca="false">H160/G160</f>
        <v>0.584438131289309</v>
      </c>
      <c r="J160" s="32" t="n">
        <f aca="false">MIN(1,Projection!C46*I160)</f>
        <v>0.209362358895206</v>
      </c>
      <c r="K160" s="32" t="n">
        <f aca="false">K159*(1-J159)*(1-IF(Projection!B45&lt;Assumptions!$B$5,Projection!E45,0))</f>
        <v>0.0723218492671186</v>
      </c>
      <c r="L160" s="48" t="n">
        <f aca="false">K160*(IF($A160&lt;Assumptions!$B$5,Assumptions!$B$12*(1+Assumptions!$B$11)^($A160-Assumptions!$B$4+1)+Pricing!$B$14*IF($A160=Assumptions!$B$4,Assumptions!$B$14,Assumptions!$B$15)-Pricing!$B$14,Assumptions!$B$9*(1+Assumptions!$B$10)^($A160-Assumptions!$B$4)+Assumptions!$B$12*(1+Assumptions!$B$11)^($A160-Assumptions!$B$4+1)))*Projection!H46</f>
        <v>711.323411719311</v>
      </c>
    </row>
    <row r="161" customFormat="false" ht="15" hidden="false" customHeight="true" outlineLevel="0" collapsed="false">
      <c r="A161" s="54" t="n">
        <f aca="false">A160+1</f>
        <v>108</v>
      </c>
      <c r="B161" s="34" t="n">
        <f aca="false">MAX(0,4+$A161-Assumptions!$B$4)</f>
        <v>47</v>
      </c>
      <c r="C161" s="11" t="n">
        <f aca="false">CBD_Stochastic!$B$6+CBD_Stochastic!$B$8*B161</f>
        <v>-4.61752802214253</v>
      </c>
      <c r="D161" s="11" t="n">
        <f aca="false">C161-CBD_Stochastic!$B$19*CBD_Stochastic!$B$17*SQRT(B161)</f>
        <v>-4.99516143016747</v>
      </c>
      <c r="E161" s="11" t="n">
        <f aca="false">CBD_Stochastic!$B$7+CBD_Stochastic!$B$9*B161</f>
        <v>0.139658143547984</v>
      </c>
      <c r="F161" s="11" t="n">
        <f aca="false">E161-CBD_Stochastic!$B$19*CBD_Stochastic!$B$13*CBD_Stochastic!$B$18*SQRT(B161)</f>
        <v>0.124427307302851</v>
      </c>
      <c r="G161" s="32" t="n">
        <f aca="false">1/(1+EXP(-(C161+E161*($A161-CBD_Stochastic!$B$14))))</f>
        <v>0.515250215066525</v>
      </c>
      <c r="H161" s="32" t="n">
        <f aca="false">1/(1+EXP(-(D161+F161*($A161-CBD_Stochastic!$B$14))))</f>
        <v>0.304312245060786</v>
      </c>
      <c r="I161" s="11" t="n">
        <f aca="false">H161/G161</f>
        <v>0.590610612402161</v>
      </c>
      <c r="J161" s="32" t="n">
        <f aca="false">MIN(1,Projection!C47*I161)</f>
        <v>0.226786788795401</v>
      </c>
      <c r="K161" s="32" t="n">
        <f aca="false">K160*(1-J160)*(1-IF(Projection!B46&lt;Assumptions!$B$5,Projection!E46,0))</f>
        <v>0.0571803763048911</v>
      </c>
      <c r="L161" s="48" t="n">
        <f aca="false">K161*(IF($A161&lt;Assumptions!$B$5,Assumptions!$B$12*(1+Assumptions!$B$11)^($A161-Assumptions!$B$4+1)+Pricing!$B$14*IF($A161=Assumptions!$B$4,Assumptions!$B$14,Assumptions!$B$15)-Pricing!$B$14,Assumptions!$B$9*(1+Assumptions!$B$10)^($A161-Assumptions!$B$4)+Assumptions!$B$12*(1+Assumptions!$B$11)^($A161-Assumptions!$B$4+1)))*Projection!H47</f>
        <v>555.392039539504</v>
      </c>
    </row>
    <row r="162" customFormat="false" ht="15" hidden="false" customHeight="true" outlineLevel="0" collapsed="false">
      <c r="A162" s="54" t="n">
        <f aca="false">A161+1</f>
        <v>109</v>
      </c>
      <c r="B162" s="34" t="n">
        <f aca="false">MAX(0,4+$A162-Assumptions!$B$4)</f>
        <v>48</v>
      </c>
      <c r="C162" s="11" t="n">
        <f aca="false">CBD_Stochastic!$B$6+CBD_Stochastic!$B$8*B162</f>
        <v>-4.63933123385755</v>
      </c>
      <c r="D162" s="11" t="n">
        <f aca="false">C162-CBD_Stochastic!$B$19*CBD_Stochastic!$B$17*SQRT(B162)</f>
        <v>-5.02096087389007</v>
      </c>
      <c r="E162" s="11" t="n">
        <f aca="false">CBD_Stochastic!$B$7+CBD_Stochastic!$B$9*B162</f>
        <v>0.140204706848312</v>
      </c>
      <c r="F162" s="11" t="n">
        <f aca="false">E162-CBD_Stochastic!$B$19*CBD_Stochastic!$B$13*CBD_Stochastic!$B$18*SQRT(B162)</f>
        <v>0.124812693244365</v>
      </c>
      <c r="G162" s="32" t="n">
        <f aca="false">1/(1+EXP(-(C162+E162*($A162-CBD_Stochastic!$B$14))))</f>
        <v>0.549272356671409</v>
      </c>
      <c r="H162" s="32" t="n">
        <f aca="false">1/(1+EXP(-(D162+F162*($A162-CBD_Stochastic!$B$14))))</f>
        <v>0.328511960617073</v>
      </c>
      <c r="I162" s="11" t="n">
        <f aca="false">H162/G162</f>
        <v>0.598085734020652</v>
      </c>
      <c r="J162" s="32" t="n">
        <f aca="false">MIN(1,Projection!C48*I162)</f>
        <v>0.246059082170803</v>
      </c>
      <c r="K162" s="32" t="n">
        <f aca="false">K161*(1-J161)*(1-IF(Projection!B47&lt;Assumptions!$B$5,Projection!E47,0))</f>
        <v>0.0442126223805922</v>
      </c>
      <c r="L162" s="48" t="n">
        <f aca="false">K162*(IF($A162&lt;Assumptions!$B$5,Assumptions!$B$12*(1+Assumptions!$B$11)^($A162-Assumptions!$B$4+1)+Pricing!$B$14*IF($A162=Assumptions!$B$4,Assumptions!$B$14,Assumptions!$B$15)-Pricing!$B$14,Assumptions!$B$9*(1+Assumptions!$B$10)^($A162-Assumptions!$B$4)+Assumptions!$B$12*(1+Assumptions!$B$11)^($A162-Assumptions!$B$4+1)))*Projection!H48</f>
        <v>424.250505391</v>
      </c>
    </row>
    <row r="163" customFormat="false" ht="15" hidden="false" customHeight="true" outlineLevel="0" collapsed="false">
      <c r="A163" s="54" t="n">
        <f aca="false">A162+1</f>
        <v>110</v>
      </c>
      <c r="B163" s="34" t="n">
        <f aca="false">MAX(0,4+$A163-Assumptions!$B$4)</f>
        <v>49</v>
      </c>
      <c r="C163" s="11" t="n">
        <f aca="false">CBD_Stochastic!$B$6+CBD_Stochastic!$B$8*B163</f>
        <v>-4.66113444557257</v>
      </c>
      <c r="D163" s="11" t="n">
        <f aca="false">C163-CBD_Stochastic!$B$19*CBD_Stochastic!$B$17*SQRT(B163)</f>
        <v>-5.04671890252872</v>
      </c>
      <c r="E163" s="11" t="n">
        <f aca="false">CBD_Stochastic!$B$7+CBD_Stochastic!$B$9*B163</f>
        <v>0.14075127014864</v>
      </c>
      <c r="F163" s="11" t="n">
        <f aca="false">E163-CBD_Stochastic!$B$19*CBD_Stochastic!$B$13*CBD_Stochastic!$B$18*SQRT(B163)</f>
        <v>0.125199749552824</v>
      </c>
      <c r="G163" s="32" t="n">
        <f aca="false">1/(1+EXP(-(C163+E163*($A163-CBD_Stochastic!$B$14))))</f>
        <v>0.583105671712404</v>
      </c>
      <c r="H163" s="32" t="n">
        <f aca="false">1/(1+EXP(-(D163+F163*($A163-CBD_Stochastic!$B$14))))</f>
        <v>0.353857039187321</v>
      </c>
      <c r="I163" s="11" t="n">
        <f aca="false">H163/G163</f>
        <v>0.606848906388015</v>
      </c>
      <c r="J163" s="32" t="n">
        <f aca="false">MIN(1,Projection!C49*I163)</f>
        <v>0.267372106922968</v>
      </c>
      <c r="K163" s="32" t="n">
        <f aca="false">K162*(1-J162)*(1-IF(Projection!B48&lt;Assumptions!$B$5,Projection!E48,0))</f>
        <v>0.0333337050972594</v>
      </c>
      <c r="L163" s="48" t="n">
        <f aca="false">K163*(IF($A163&lt;Assumptions!$B$5,Assumptions!$B$12*(1+Assumptions!$B$11)^($A163-Assumptions!$B$4+1)+Pricing!$B$14*IF($A163=Assumptions!$B$4,Assumptions!$B$14,Assumptions!$B$15)-Pricing!$B$14,Assumptions!$B$9*(1+Assumptions!$B$10)^($A163-Assumptions!$B$4)+Assumptions!$B$12*(1+Assumptions!$B$11)^($A163-Assumptions!$B$4+1)))*Projection!H49</f>
        <v>315.853306827039</v>
      </c>
    </row>
    <row r="164" customFormat="false" ht="15" hidden="false" customHeight="true" outlineLevel="0" collapsed="false">
      <c r="A164" s="54" t="n">
        <f aca="false">A163+1</f>
        <v>111</v>
      </c>
      <c r="B164" s="34" t="n">
        <f aca="false">MAX(0,4+$A164-Assumptions!$B$4)</f>
        <v>50</v>
      </c>
      <c r="C164" s="11" t="n">
        <f aca="false">CBD_Stochastic!$B$6+CBD_Stochastic!$B$8*B164</f>
        <v>-4.68293765728759</v>
      </c>
      <c r="D164" s="11" t="n">
        <f aca="false">C164-CBD_Stochastic!$B$19*CBD_Stochastic!$B$17*SQRT(B164)</f>
        <v>-5.07243677762163</v>
      </c>
      <c r="E164" s="11" t="n">
        <f aca="false">CBD_Stochastic!$B$7+CBD_Stochastic!$B$9*B164</f>
        <v>0.141297833448967</v>
      </c>
      <c r="F164" s="11" t="n">
        <f aca="false">E164-CBD_Stochastic!$B$19*CBD_Stochastic!$B$13*CBD_Stochastic!$B$18*SQRT(B164)</f>
        <v>0.125588425347448</v>
      </c>
      <c r="G164" s="32" t="n">
        <f aca="false">1/(1+EXP(-(C164+E164*($A164-CBD_Stochastic!$B$14))))</f>
        <v>0.616432512245483</v>
      </c>
      <c r="H164" s="32" t="n">
        <f aca="false">1/(1+EXP(-(D164+F164*($A164-CBD_Stochastic!$B$14))))</f>
        <v>0.380256595515988</v>
      </c>
      <c r="I164" s="11" t="n">
        <f aca="false">H164/G164</f>
        <v>0.616866547370815</v>
      </c>
      <c r="J164" s="32" t="n">
        <f aca="false">MIN(1,Projection!C50*I164)</f>
        <v>0.282671778609468</v>
      </c>
      <c r="K164" s="32" t="n">
        <f aca="false">K163*(1-J163)*(1-IF(Projection!B49&lt;Assumptions!$B$5,Projection!E49,0))</f>
        <v>0.0244212021338563</v>
      </c>
      <c r="L164" s="48" t="n">
        <f aca="false">K164*(IF($A164&lt;Assumptions!$B$5,Assumptions!$B$12*(1+Assumptions!$B$11)^($A164-Assumptions!$B$4+1)+Pricing!$B$14*IF($A164=Assumptions!$B$4,Assumptions!$B$14,Assumptions!$B$15)-Pricing!$B$14,Assumptions!$B$9*(1+Assumptions!$B$10)^($A164-Assumptions!$B$4)+Assumptions!$B$12*(1+Assumptions!$B$11)^($A164-Assumptions!$B$4+1)))*Projection!H50</f>
        <v>228.597473210433</v>
      </c>
    </row>
    <row r="165" customFormat="false" ht="15" hidden="false" customHeight="true" outlineLevel="0" collapsed="false">
      <c r="A165" s="54" t="n">
        <f aca="false">A164+1</f>
        <v>112</v>
      </c>
      <c r="B165" s="34" t="n">
        <f aca="false">MAX(0,4+$A165-Assumptions!$B$4)</f>
        <v>51</v>
      </c>
      <c r="C165" s="11" t="n">
        <f aca="false">CBD_Stochastic!$B$6+CBD_Stochastic!$B$8*B165</f>
        <v>-4.70474086900261</v>
      </c>
      <c r="D165" s="11" t="n">
        <f aca="false">C165-CBD_Stochastic!$B$19*CBD_Stochastic!$B$17*SQRT(B165)</f>
        <v>-5.09811569793274</v>
      </c>
      <c r="E165" s="11" t="n">
        <f aca="false">CBD_Stochastic!$B$7+CBD_Stochastic!$B$9*B165</f>
        <v>0.141844396749295</v>
      </c>
      <c r="F165" s="11" t="n">
        <f aca="false">E165-CBD_Stochastic!$B$19*CBD_Stochastic!$B$13*CBD_Stochastic!$B$18*SQRT(B165)</f>
        <v>0.125978672279292</v>
      </c>
      <c r="G165" s="32" t="n">
        <f aca="false">1/(1+EXP(-(C165+E165*($A165-CBD_Stochastic!$B$14))))</f>
        <v>0.648949316654926</v>
      </c>
      <c r="H165" s="32" t="n">
        <f aca="false">1/(1+EXP(-(D165+F165*($A165-CBD_Stochastic!$B$14))))</f>
        <v>0.407595241653741</v>
      </c>
      <c r="I165" s="11" t="n">
        <f aca="false">H165/G165</f>
        <v>0.628084861472282</v>
      </c>
      <c r="J165" s="32" t="n">
        <f aca="false">MIN(1,Projection!C51*I165)</f>
        <v>0.298851304528323</v>
      </c>
      <c r="K165" s="32" t="n">
        <f aca="false">K164*(1-J164)*(1-IF(Projection!B50&lt;Assumptions!$B$5,Projection!E50,0))</f>
        <v>0.0175180174908978</v>
      </c>
      <c r="L165" s="48" t="n">
        <f aca="false">K165*(IF($A165&lt;Assumptions!$B$5,Assumptions!$B$12*(1+Assumptions!$B$11)^($A165-Assumptions!$B$4+1)+Pricing!$B$14*IF($A165=Assumptions!$B$4,Assumptions!$B$14,Assumptions!$B$15)-Pricing!$B$14,Assumptions!$B$9*(1+Assumptions!$B$10)^($A165-Assumptions!$B$4)+Assumptions!$B$12*(1+Assumptions!$B$11)^($A165-Assumptions!$B$4+1)))*Projection!H51</f>
        <v>161.988260973313</v>
      </c>
    </row>
    <row r="166" customFormat="false" ht="15" hidden="false" customHeight="true" outlineLevel="0" collapsed="false">
      <c r="A166" s="54" t="n">
        <f aca="false">A165+1</f>
        <v>113</v>
      </c>
      <c r="B166" s="34" t="n">
        <f aca="false">MAX(0,4+$A166-Assumptions!$B$4)</f>
        <v>52</v>
      </c>
      <c r="C166" s="11" t="n">
        <f aca="false">CBD_Stochastic!$B$6+CBD_Stochastic!$B$8*B166</f>
        <v>-4.72654408071763</v>
      </c>
      <c r="D166" s="11" t="n">
        <f aca="false">C166-CBD_Stochastic!$B$19*CBD_Stochastic!$B$17*SQRT(B166)</f>
        <v>-5.12375680373973</v>
      </c>
      <c r="E166" s="11" t="n">
        <f aca="false">CBD_Stochastic!$B$7+CBD_Stochastic!$B$9*B166</f>
        <v>0.142390960049623</v>
      </c>
      <c r="F166" s="11" t="n">
        <f aca="false">E166-CBD_Stochastic!$B$19*CBD_Stochastic!$B$13*CBD_Stochastic!$B$18*SQRT(B166)</f>
        <v>0.126370444358295</v>
      </c>
      <c r="G166" s="32" t="n">
        <f aca="false">1/(1+EXP(-(C166+E166*($A166-CBD_Stochastic!$B$14))))</f>
        <v>0.680377652641357</v>
      </c>
      <c r="H166" s="32" t="n">
        <f aca="false">1/(1+EXP(-(D166+F166*($A166-CBD_Stochastic!$B$14))))</f>
        <v>0.435733781212974</v>
      </c>
      <c r="I166" s="11" t="n">
        <f aca="false">H166/G166</f>
        <v>0.640429296173047</v>
      </c>
      <c r="J166" s="32" t="n">
        <f aca="false">MIN(1,Projection!C52*I166)</f>
        <v>0.315900085646965</v>
      </c>
      <c r="K166" s="32" t="n">
        <f aca="false">K165*(1-J165)*(1-IF(Projection!B51&lt;Assumptions!$B$5,Projection!E51,0))</f>
        <v>0.012282735110993</v>
      </c>
      <c r="L166" s="48" t="n">
        <f aca="false">K166*(IF($A166&lt;Assumptions!$B$5,Assumptions!$B$12*(1+Assumptions!$B$11)^($A166-Assumptions!$B$4+1)+Pricing!$B$14*IF($A166=Assumptions!$B$4,Assumptions!$B$14,Assumptions!$B$15)-Pricing!$B$14,Assumptions!$B$9*(1+Assumptions!$B$10)^($A166-Assumptions!$B$4)+Assumptions!$B$12*(1+Assumptions!$B$11)^($A166-Assumptions!$B$4+1)))*Projection!H52</f>
        <v>112.144389980587</v>
      </c>
    </row>
    <row r="167" customFormat="false" ht="15" hidden="false" customHeight="true" outlineLevel="0" collapsed="false">
      <c r="A167" s="54" t="n">
        <f aca="false">A166+1</f>
        <v>114</v>
      </c>
      <c r="B167" s="34" t="n">
        <f aca="false">MAX(0,4+$A167-Assumptions!$B$4)</f>
        <v>53</v>
      </c>
      <c r="C167" s="11" t="n">
        <f aca="false">CBD_Stochastic!$B$6+CBD_Stochastic!$B$8*B167</f>
        <v>-4.74834729243265</v>
      </c>
      <c r="D167" s="11" t="n">
        <f aca="false">C167-CBD_Stochastic!$B$19*CBD_Stochastic!$B$17*SQRT(B167)</f>
        <v>-5.14936118075256</v>
      </c>
      <c r="E167" s="11" t="n">
        <f aca="false">CBD_Stochastic!$B$7+CBD_Stochastic!$B$9*B167</f>
        <v>0.142937523349951</v>
      </c>
      <c r="F167" s="11" t="n">
        <f aca="false">E167-CBD_Stochastic!$B$19*CBD_Stochastic!$B$13*CBD_Stochastic!$B$18*SQRT(B167)</f>
        <v>0.126763697795244</v>
      </c>
      <c r="G167" s="32" t="n">
        <f aca="false">1/(1+EXP(-(C167+E167*($A167-CBD_Stochastic!$B$14))))</f>
        <v>0.710473512482608</v>
      </c>
      <c r="H167" s="32" t="n">
        <f aca="false">1/(1+EXP(-(D167+F167*($A167-CBD_Stochastic!$B$14))))</f>
        <v>0.464510997745205</v>
      </c>
      <c r="I167" s="11" t="n">
        <f aca="false">H167/G167</f>
        <v>0.653804807053346</v>
      </c>
      <c r="J167" s="32" t="n">
        <f aca="false">MIN(1,Projection!C53*I167)</f>
        <v>0.333789998664924</v>
      </c>
      <c r="K167" s="32" t="n">
        <f aca="false">K166*(1-J166)*(1-IF(Projection!B52&lt;Assumptions!$B$5,Projection!E52,0))</f>
        <v>0.00840261803745132</v>
      </c>
      <c r="L167" s="48" t="n">
        <f aca="false">K167*(IF($A167&lt;Assumptions!$B$5,Assumptions!$B$12*(1+Assumptions!$B$11)^($A167-Assumptions!$B$4+1)+Pricing!$B$14*IF($A167=Assumptions!$B$4,Assumptions!$B$14,Assumptions!$B$15)-Pricing!$B$14,Assumptions!$B$9*(1+Assumptions!$B$10)^($A167-Assumptions!$B$4)+Assumptions!$B$12*(1+Assumptions!$B$11)^($A167-Assumptions!$B$4+1)))*Projection!H53</f>
        <v>75.7827548107257</v>
      </c>
    </row>
    <row r="168" customFormat="false" ht="15" hidden="false" customHeight="true" outlineLevel="0" collapsed="false">
      <c r="A168" s="54" t="n">
        <f aca="false">A167+1</f>
        <v>115</v>
      </c>
      <c r="B168" s="34" t="n">
        <f aca="false">MAX(0,4+$A168-Assumptions!$B$4)</f>
        <v>54</v>
      </c>
      <c r="C168" s="11" t="n">
        <f aca="false">CBD_Stochastic!$B$6+CBD_Stochastic!$B$8*B168</f>
        <v>-4.77015050414767</v>
      </c>
      <c r="D168" s="11" t="n">
        <f aca="false">C168-CBD_Stochastic!$B$19*CBD_Stochastic!$B$17*SQRT(B168)</f>
        <v>-5.17492986370083</v>
      </c>
      <c r="E168" s="11" t="n">
        <f aca="false">CBD_Stochastic!$B$7+CBD_Stochastic!$B$9*B168</f>
        <v>0.143484086650279</v>
      </c>
      <c r="F168" s="11" t="n">
        <f aca="false">E168-CBD_Stochastic!$B$19*CBD_Stochastic!$B$13*CBD_Stochastic!$B$18*SQRT(B168)</f>
        <v>0.12715839085708</v>
      </c>
      <c r="G168" s="32" t="n">
        <f aca="false">1/(1+EXP(-(C168+E168*($A168-CBD_Stochastic!$B$14))))</f>
        <v>0.739034232942933</v>
      </c>
      <c r="H168" s="32" t="n">
        <f aca="false">1/(1+EXP(-(D168+F168*($A168-CBD_Stochastic!$B$14))))</f>
        <v>0.49374656759077</v>
      </c>
      <c r="I168" s="11" t="n">
        <f aca="false">H168/G168</f>
        <v>0.668097018489394</v>
      </c>
      <c r="J168" s="32" t="n">
        <f aca="false">MIN(1,Projection!C54*I168)</f>
        <v>0.35247432565167</v>
      </c>
      <c r="K168" s="32" t="n">
        <f aca="false">K167*(1-J167)*(1-IF(Projection!B53&lt;Assumptions!$B$5,Projection!E53,0))</f>
        <v>0.00559790817394857</v>
      </c>
      <c r="L168" s="48" t="n">
        <f aca="false">K168*(IF($A168&lt;Assumptions!$B$5,Assumptions!$B$12*(1+Assumptions!$B$11)^($A168-Assumptions!$B$4+1)+Pricing!$B$14*IF($A168=Assumptions!$B$4,Assumptions!$B$14,Assumptions!$B$15)-Pricing!$B$14,Assumptions!$B$9*(1+Assumptions!$B$10)^($A168-Assumptions!$B$4)+Assumptions!$B$12*(1+Assumptions!$B$11)^($A168-Assumptions!$B$4+1)))*Projection!H54</f>
        <v>49.84666499745</v>
      </c>
    </row>
    <row r="169" customFormat="false" ht="15" hidden="false" customHeight="true" outlineLevel="0" collapsed="false">
      <c r="A169" s="54" t="n">
        <f aca="false">A168+1</f>
        <v>116</v>
      </c>
      <c r="B169" s="34" t="n">
        <f aca="false">MAX(0,4+$A169-Assumptions!$B$4)</f>
        <v>55</v>
      </c>
      <c r="C169" s="11" t="n">
        <f aca="false">CBD_Stochastic!$B$6+CBD_Stochastic!$B$8*B169</f>
        <v>-4.79195371586269</v>
      </c>
      <c r="D169" s="11" t="n">
        <f aca="false">C169-CBD_Stochastic!$B$19*CBD_Stochastic!$B$17*SQRT(B169)</f>
        <v>-5.20046383962352</v>
      </c>
      <c r="E169" s="11" t="n">
        <f aca="false">CBD_Stochastic!$B$7+CBD_Stochastic!$B$9*B169</f>
        <v>0.144030649950607</v>
      </c>
      <c r="F169" s="11" t="n">
        <f aca="false">E169-CBD_Stochastic!$B$19*CBD_Stochastic!$B$13*CBD_Stochastic!$B$18*SQRT(B169)</f>
        <v>0.127554483734218</v>
      </c>
      <c r="G169" s="32" t="n">
        <f aca="false">1/(1+EXP(-(C169+E169*($A169-CBD_Stochastic!$B$14))))</f>
        <v>0.76590269279436</v>
      </c>
      <c r="H169" s="32" t="n">
        <f aca="false">1/(1+EXP(-(D169+F169*($A169-CBD_Stochastic!$B$14))))</f>
        <v>0.523245040370133</v>
      </c>
      <c r="I169" s="11" t="n">
        <f aca="false">H169/G169</f>
        <v>0.683174305682486</v>
      </c>
      <c r="J169" s="32" t="n">
        <f aca="false">MIN(1,Projection!C55*I169)</f>
        <v>0.371887480587035</v>
      </c>
      <c r="K169" s="32" t="n">
        <f aca="false">K168*(1-J168)*(1-IF(Projection!B54&lt;Assumptions!$B$5,Projection!E54,0))</f>
        <v>0.00362478926527608</v>
      </c>
      <c r="L169" s="48" t="n">
        <f aca="false">K169*(IF($A169&lt;Assumptions!$B$5,Assumptions!$B$12*(1+Assumptions!$B$11)^($A169-Assumptions!$B$4+1)+Pricing!$B$14*IF($A169=Assumptions!$B$4,Assumptions!$B$14,Assumptions!$B$15)-Pricing!$B$14,Assumptions!$B$9*(1+Assumptions!$B$10)^($A169-Assumptions!$B$4)+Assumptions!$B$12*(1+Assumptions!$B$11)^($A169-Assumptions!$B$4+1)))*Projection!H55</f>
        <v>31.8819958521263</v>
      </c>
    </row>
    <row r="170" customFormat="false" ht="15" hidden="false" customHeight="true" outlineLevel="0" collapsed="false">
      <c r="A170" s="54" t="n">
        <f aca="false">A169+1</f>
        <v>117</v>
      </c>
      <c r="B170" s="34" t="n">
        <f aca="false">MAX(0,4+$A170-Assumptions!$B$4)</f>
        <v>56</v>
      </c>
      <c r="C170" s="11" t="n">
        <f aca="false">CBD_Stochastic!$B$6+CBD_Stochastic!$B$8*B170</f>
        <v>-4.81375692757771</v>
      </c>
      <c r="D170" s="11" t="n">
        <f aca="false">C170-CBD_Stochastic!$B$19*CBD_Stochastic!$B$17*SQRT(B170)</f>
        <v>-5.22596405089062</v>
      </c>
      <c r="E170" s="11" t="n">
        <f aca="false">CBD_Stochastic!$B$7+CBD_Stochastic!$B$9*B170</f>
        <v>0.144577213250934</v>
      </c>
      <c r="F170" s="11" t="n">
        <f aca="false">E170-CBD_Stochastic!$B$19*CBD_Stochastic!$B$13*CBD_Stochastic!$B$18*SQRT(B170)</f>
        <v>0.127951938418677</v>
      </c>
      <c r="G170" s="32" t="n">
        <f aca="false">1/(1+EXP(-(C170+E170*($A170-CBD_Stochastic!$B$14))))</f>
        <v>0.790968739727878</v>
      </c>
      <c r="H170" s="32" t="n">
        <f aca="false">1/(1+EXP(-(D170+F170*($A170-CBD_Stochastic!$B$14))))</f>
        <v>0.552800737011171</v>
      </c>
      <c r="I170" s="11" t="n">
        <f aca="false">H170/G170</f>
        <v>0.698890751613465</v>
      </c>
      <c r="J170" s="32" t="n">
        <f aca="false">MIN(1,Projection!C56*I170)</f>
        <v>0.391945626341878</v>
      </c>
      <c r="K170" s="32" t="n">
        <f aca="false">K169*(1-J169)*(1-IF(Projection!B55&lt;Assumptions!$B$5,Projection!E55,0))</f>
        <v>0.00227677551775363</v>
      </c>
      <c r="L170" s="48" t="n">
        <f aca="false">K170*(IF($A170&lt;Assumptions!$B$5,Assumptions!$B$12*(1+Assumptions!$B$11)^($A170-Assumptions!$B$4+1)+Pricing!$B$14*IF($A170=Assumptions!$B$4,Assumptions!$B$14,Assumptions!$B$15)-Pricing!$B$14,Assumptions!$B$9*(1+Assumptions!$B$10)^($A170-Assumptions!$B$4)+Assumptions!$B$12*(1+Assumptions!$B$11)^($A170-Assumptions!$B$4+1)))*Projection!H56</f>
        <v>19.7800327383743</v>
      </c>
    </row>
    <row r="171" customFormat="false" ht="15" hidden="false" customHeight="true" outlineLevel="0" collapsed="false">
      <c r="A171" s="54" t="n">
        <f aca="false">A170+1</f>
        <v>118</v>
      </c>
      <c r="B171" s="34" t="n">
        <f aca="false">MAX(0,4+$A171-Assumptions!$B$4)</f>
        <v>57</v>
      </c>
      <c r="C171" s="11" t="n">
        <f aca="false">CBD_Stochastic!$B$6+CBD_Stochastic!$B$8*B171</f>
        <v>-4.83556013929273</v>
      </c>
      <c r="D171" s="11" t="n">
        <f aca="false">C171-CBD_Stochastic!$B$19*CBD_Stochastic!$B$17*SQRT(B171)</f>
        <v>-5.25143139798312</v>
      </c>
      <c r="E171" s="11" t="n">
        <f aca="false">CBD_Stochastic!$B$7+CBD_Stochastic!$B$9*B171</f>
        <v>0.145123776551262</v>
      </c>
      <c r="F171" s="11" t="n">
        <f aca="false">E171-CBD_Stochastic!$B$19*CBD_Stochastic!$B$13*CBD_Stochastic!$B$18*SQRT(B171)</f>
        <v>0.128350718591961</v>
      </c>
      <c r="G171" s="32" t="n">
        <f aca="false">1/(1+EXP(-(C171+E171*($A171-CBD_Stochastic!$B$14))))</f>
        <v>0.814168067709974</v>
      </c>
      <c r="H171" s="32" t="n">
        <f aca="false">1/(1+EXP(-(D171+F171*($A171-CBD_Stochastic!$B$14))))</f>
        <v>0.582203327216827</v>
      </c>
      <c r="I171" s="11" t="n">
        <f aca="false">H171/G171</f>
        <v>0.715089857127905</v>
      </c>
      <c r="J171" s="32" t="n">
        <f aca="false">MIN(1,Projection!C57*I171)</f>
        <v>0.412548207480308</v>
      </c>
      <c r="K171" s="32" t="n">
        <f aca="false">K170*(1-J170)*(1-IF(Projection!B56&lt;Assumptions!$B$5,Projection!E56,0))</f>
        <v>0.00138440331140783</v>
      </c>
      <c r="L171" s="48" t="n">
        <f aca="false">K171*(IF($A171&lt;Assumptions!$B$5,Assumptions!$B$12*(1+Assumptions!$B$11)^($A171-Assumptions!$B$4+1)+Pricing!$B$14*IF($A171=Assumptions!$B$4,Assumptions!$B$14,Assumptions!$B$15)-Pricing!$B$14,Assumptions!$B$9*(1+Assumptions!$B$10)^($A171-Assumptions!$B$4)+Assumptions!$B$12*(1+Assumptions!$B$11)^($A171-Assumptions!$B$4+1)))*Projection!H57</f>
        <v>11.8796906825306</v>
      </c>
    </row>
    <row r="172" customFormat="false" ht="15" hidden="false" customHeight="true" outlineLevel="0" collapsed="false">
      <c r="A172" s="54" t="n">
        <f aca="false">A171+1</f>
        <v>119</v>
      </c>
      <c r="B172" s="34" t="n">
        <f aca="false">MAX(0,4+$A172-Assumptions!$B$4)</f>
        <v>58</v>
      </c>
      <c r="C172" s="11" t="n">
        <f aca="false">CBD_Stochastic!$B$6+CBD_Stochastic!$B$8*B172</f>
        <v>-4.85736335100775</v>
      </c>
      <c r="D172" s="11" t="n">
        <f aca="false">C172-CBD_Stochastic!$B$19*CBD_Stochastic!$B$17*SQRT(B172)</f>
        <v>-5.27686674205429</v>
      </c>
      <c r="E172" s="11" t="n">
        <f aca="false">CBD_Stochastic!$B$7+CBD_Stochastic!$B$9*B172</f>
        <v>0.14567033985159</v>
      </c>
      <c r="F172" s="11" t="n">
        <f aca="false">E172-CBD_Stochastic!$B$19*CBD_Stochastic!$B$13*CBD_Stochastic!$B$18*SQRT(B172)</f>
        <v>0.128750789521747</v>
      </c>
      <c r="G172" s="32" t="n">
        <f aca="false">1/(1+EXP(-(C172+E172*($A172-CBD_Stochastic!$B$14))))</f>
        <v>0.835478969890797</v>
      </c>
      <c r="H172" s="32" t="n">
        <f aca="false">1/(1+EXP(-(D172+F172*($A172-CBD_Stochastic!$B$14))))</f>
        <v>0.611243777661944</v>
      </c>
      <c r="I172" s="11" t="n">
        <f aca="false">H172/G172</f>
        <v>0.731608813255752</v>
      </c>
      <c r="J172" s="32" t="n">
        <f aca="false">MIN(1,Projection!C58*I172)</f>
        <v>0.433580347877815</v>
      </c>
      <c r="K172" s="32" t="n">
        <f aca="false">K171*(1-J171)*(1-IF(Projection!B57&lt;Assumptions!$B$5,Projection!E57,0))</f>
        <v>0.000813270206856726</v>
      </c>
      <c r="L172" s="48" t="n">
        <f aca="false">K172*(IF($A172&lt;Assumptions!$B$5,Assumptions!$B$12*(1+Assumptions!$B$11)^($A172-Assumptions!$B$4+1)+Pricing!$B$14*IF($A172=Assumptions!$B$4,Assumptions!$B$14,Assumptions!$B$15)-Pricing!$B$14,Assumptions!$B$9*(1+Assumptions!$B$10)^($A172-Assumptions!$B$4)+Assumptions!$B$12*(1+Assumptions!$B$11)^($A172-Assumptions!$B$4+1)))*Projection!H58</f>
        <v>6.88933859009141</v>
      </c>
    </row>
    <row r="173" customFormat="false" ht="15" hidden="false" customHeight="true" outlineLevel="0" collapsed="false">
      <c r="A173" s="54" t="n">
        <f aca="false">A172+1</f>
        <v>120</v>
      </c>
      <c r="B173" s="34" t="n">
        <f aca="false">MAX(0,4+$A173-Assumptions!$B$4)</f>
        <v>59</v>
      </c>
      <c r="C173" s="11" t="n">
        <f aca="false">CBD_Stochastic!$B$6+CBD_Stochastic!$B$8*B173</f>
        <v>-4.87916656272277</v>
      </c>
      <c r="D173" s="11" t="n">
        <f aca="false">C173-CBD_Stochastic!$B$19*CBD_Stochastic!$B$17*SQRT(B173)</f>
        <v>-5.30227090729319</v>
      </c>
      <c r="E173" s="11" t="n">
        <f aca="false">CBD_Stochastic!$B$7+CBD_Stochastic!$B$9*B173</f>
        <v>0.146216903151918</v>
      </c>
      <c r="F173" s="11" t="n">
        <f aca="false">E173-CBD_Stochastic!$B$19*CBD_Stochastic!$B$13*CBD_Stochastic!$B$18*SQRT(B173)</f>
        <v>0.12915211796657</v>
      </c>
      <c r="G173" s="32" t="n">
        <f aca="false">1/(1+EXP(-(C173+E173*($A173-CBD_Stochastic!$B$14))))</f>
        <v>0.854917512871545</v>
      </c>
      <c r="H173" s="32" t="n">
        <f aca="false">1/(1+EXP(-(D173+F173*($A173-CBD_Stochastic!$B$14))))</f>
        <v>0.639720319553198</v>
      </c>
      <c r="I173" s="11" t="n">
        <f aca="false">H173/G173</f>
        <v>0.748283091551687</v>
      </c>
      <c r="J173" s="32" t="n">
        <f aca="false">MIN(1,Projection!C59*I173)</f>
        <v>0.454915986974532</v>
      </c>
      <c r="K173" s="32" t="n">
        <f aca="false">K172*(1-J172)*(1-IF(Projection!B58&lt;Assumptions!$B$5,Projection!E58,0))</f>
        <v>0.000460652227649124</v>
      </c>
      <c r="L173" s="48" t="n">
        <f aca="false">K173*(IF($A173&lt;Assumptions!$B$5,Assumptions!$B$12*(1+Assumptions!$B$11)^($A173-Assumptions!$B$4+1)+Pricing!$B$14*IF($A173=Assumptions!$B$4,Assumptions!$B$14,Assumptions!$B$15)-Pricing!$B$14,Assumptions!$B$9*(1+Assumptions!$B$10)^($A173-Assumptions!$B$4)+Assumptions!$B$12*(1+Assumptions!$B$11)^($A173-Assumptions!$B$4+1)))*Projection!H59</f>
        <v>3.85416815088397</v>
      </c>
    </row>
    <row r="175" customFormat="false" ht="15" hidden="false" customHeight="true" outlineLevel="0" collapsed="false">
      <c r="A175" s="3" t="s">
        <v>1388</v>
      </c>
      <c r="B175" s="58" t="n">
        <f aca="false">(Projection!F4/K118)*SUM(L118:L173)/Discount!C4</f>
        <v>23286.464430538</v>
      </c>
    </row>
    <row r="176" customFormat="false" ht="15" hidden="false" customHeight="true" outlineLevel="0" collapsed="false">
      <c r="A176" s="1" t="s">
        <v>1389</v>
      </c>
      <c r="B176" s="12" t="n">
        <f aca="false">OwnFunds_SCR!B6</f>
        <v>-3913.27258476668</v>
      </c>
    </row>
    <row r="177" customFormat="false" ht="15" hidden="false" customHeight="true" outlineLevel="0" collapsed="false">
      <c r="A177" s="3" t="s">
        <v>1390</v>
      </c>
      <c r="B177" s="57" t="n">
        <f aca="false">B175-B176</f>
        <v>27199.7370153047</v>
      </c>
    </row>
    <row r="178" customFormat="false" ht="15" hidden="false" customHeight="true" outlineLevel="0" collapsed="false">
      <c r="A178" s="3" t="s">
        <v>1391</v>
      </c>
      <c r="B178" s="58" t="n">
        <f aca="false">OwnFunds_SCR!B16</f>
        <v>14823.7421300562</v>
      </c>
    </row>
    <row r="179" customFormat="false" ht="15" hidden="false" customHeight="true" outlineLevel="0" collapsed="false">
      <c r="A179" s="3" t="s">
        <v>1392</v>
      </c>
      <c r="B179" s="70" t="n">
        <f aca="false">B178/B177</f>
        <v>0.544995788809107</v>
      </c>
    </row>
    <row r="180" customFormat="false" ht="15" hidden="false" customHeight="true" outlineLevel="0" collapsed="false">
      <c r="A180" s="1" t="s">
        <v>1358</v>
      </c>
      <c r="B180" s="77" t="n">
        <f aca="false">1-B179</f>
        <v>0.455004211190894</v>
      </c>
    </row>
    <row r="181" customFormat="false" ht="15" hidden="false" customHeight="true" outlineLevel="0" collapsed="false">
      <c r="A181" s="1" t="s">
        <v>1393</v>
      </c>
      <c r="B181" s="58" t="n">
        <f aca="false">B177-B178</f>
        <v>12375.9948852485</v>
      </c>
    </row>
    <row r="183" customFormat="false" ht="15" hidden="false" customHeight="true" outlineLevel="0" collapsed="false">
      <c r="A183" s="3" t="s">
        <v>1394</v>
      </c>
    </row>
    <row r="184" customFormat="false" ht="15" hidden="false" customHeight="true" outlineLevel="0" collapsed="false">
      <c r="A184" s="1" t="s">
        <v>580</v>
      </c>
      <c r="B184" s="89" t="n">
        <v>65</v>
      </c>
      <c r="C184" s="89" t="n">
        <v>70</v>
      </c>
      <c r="D184" s="89" t="n">
        <v>80</v>
      </c>
      <c r="E184" s="89" t="n">
        <v>90</v>
      </c>
      <c r="F184" s="89" t="n">
        <v>100</v>
      </c>
      <c r="G184" s="89" t="n">
        <v>110</v>
      </c>
    </row>
    <row r="185" customFormat="false" ht="15" hidden="false" customHeight="true" outlineLevel="0" collapsed="false">
      <c r="A185" s="1" t="s">
        <v>1395</v>
      </c>
      <c r="B185" s="11" t="n">
        <f aca="false">I118</f>
        <v>0.934811438885776</v>
      </c>
      <c r="C185" s="11" t="n">
        <f aca="false">I123</f>
        <v>0.874937376881942</v>
      </c>
      <c r="D185" s="11" t="n">
        <f aca="false">I133</f>
        <v>0.752404715894866</v>
      </c>
      <c r="E185" s="11" t="n">
        <f aca="false">I143</f>
        <v>0.64170282557179</v>
      </c>
      <c r="F185" s="11" t="n">
        <f aca="false">I153</f>
        <v>0.575860569402596</v>
      </c>
      <c r="G185" s="11" t="n">
        <f aca="false">I163</f>
        <v>0.606848906388015</v>
      </c>
    </row>
    <row r="186" customFormat="false" ht="15" hidden="false" customHeight="true" outlineLevel="0" collapsed="false">
      <c r="A186" s="1" t="s">
        <v>1396</v>
      </c>
      <c r="B186" s="11" t="n">
        <f aca="false">$B$7</f>
        <v>0.8</v>
      </c>
      <c r="C186" s="11" t="n">
        <f aca="false">$B$7</f>
        <v>0.8</v>
      </c>
      <c r="D186" s="11" t="n">
        <f aca="false">$B$7</f>
        <v>0.8</v>
      </c>
      <c r="E186" s="11" t="n">
        <f aca="false">$B$7</f>
        <v>0.8</v>
      </c>
      <c r="F186" s="11" t="n">
        <f aca="false">$B$7</f>
        <v>0.8</v>
      </c>
      <c r="G186" s="11" t="n">
        <f aca="false">$B$7</f>
        <v>0.8</v>
      </c>
    </row>
    <row r="188" customFormat="false" ht="15" hidden="false" customHeight="true" outlineLevel="0" collapsed="false">
      <c r="A188" s="3" t="s">
        <v>1397</v>
      </c>
      <c r="B188" s="34" t="n">
        <f aca="false">MATCH(B177,B68:F68,1)</f>
        <v>3</v>
      </c>
      <c r="C188" s="86" t="n">
        <f aca="false">INDEX($B$7:$F$7,B188)+(INDEX($B$7:$F$7,B188+1)-INDEX($B$7:$F$7,B188))*(B177-INDEX($B$68:$F$68,B188))/(INDEX($B$68:$F$68,B188+1)-INDEX($B$68:$F$68,B188))</f>
        <v>0.672194611837097</v>
      </c>
    </row>
    <row r="190" customFormat="false" ht="15" hidden="false" customHeight="true" outlineLevel="0" collapsed="false">
      <c r="A190" s="6" t="s">
        <v>1398</v>
      </c>
      <c r="B190" s="9" t="str">
        <f aca="false">IF(B179&lt;$B$96,"INADEQUATE — the standard formula charges materially less than the stochastic measure",IF(B179&lt;$B$97,"MARGINAL","EXCEEDS"))</f>
        <v>INADEQUATE — the standard formula charges materially less than the stochastic measure</v>
      </c>
    </row>
    <row r="192" customFormat="false" ht="15" hidden="false" customHeight="true" outlineLevel="0" collapsed="false">
      <c r="A192" s="3" t="s">
        <v>1399</v>
      </c>
    </row>
    <row r="193" customFormat="false" ht="15" hidden="false" customHeight="true" outlineLevel="0" collapsed="false">
      <c r="A193" s="7" t="s">
        <v>1400</v>
      </c>
    </row>
    <row r="194" customFormat="false" ht="15" hidden="false" customHeight="true" outlineLevel="0" collapsed="false">
      <c r="A194" s="7" t="s">
        <v>1401</v>
      </c>
    </row>
    <row r="195" customFormat="false" ht="15" hidden="false" customHeight="true" outlineLevel="0" collapsed="false">
      <c r="A195" s="6" t="s">
        <v>1402</v>
      </c>
    </row>
    <row r="196" customFormat="false" ht="15" hidden="false" customHeight="true" outlineLevel="0" collapsed="false">
      <c r="A196" s="7" t="s">
        <v>1403</v>
      </c>
    </row>
    <row r="197" customFormat="false" ht="15" hidden="false" customHeight="true" outlineLevel="0" collapsed="false">
      <c r="A197" s="7" t="s">
        <v>1404</v>
      </c>
    </row>
    <row r="198" customFormat="false" ht="15" hidden="false" customHeight="true" outlineLevel="0" collapsed="false">
      <c r="A198" s="7" t="s">
        <v>1405</v>
      </c>
    </row>
    <row r="199" customFormat="false" ht="15" hidden="false" customHeight="true" outlineLevel="0" collapsed="false">
      <c r="A199" s="3" t="s">
        <v>1406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M18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8"/>
    <col collapsed="false" customWidth="true" hidden="false" outlineLevel="0" max="43" min="2" style="1" width="12"/>
  </cols>
  <sheetData>
    <row r="1" customFormat="false" ht="15.75" hidden="false" customHeight="true" outlineLevel="0" collapsed="false">
      <c r="A1" s="15" t="s">
        <v>1407</v>
      </c>
    </row>
    <row r="2" customFormat="false" ht="15" hidden="false" customHeight="true" outlineLevel="0" collapsed="false">
      <c r="A2" s="7" t="s">
        <v>1408</v>
      </c>
    </row>
    <row r="3" customFormat="false" ht="15" hidden="false" customHeight="true" outlineLevel="0" collapsed="false">
      <c r="A3" s="7" t="s">
        <v>1409</v>
      </c>
    </row>
    <row r="5" customFormat="false" ht="15" hidden="false" customHeight="true" outlineLevel="0" collapsed="false">
      <c r="A5" s="6" t="s">
        <v>1410</v>
      </c>
    </row>
    <row r="6" customFormat="false" ht="15" hidden="false" customHeight="true" outlineLevel="0" collapsed="false">
      <c r="A6" s="7" t="s">
        <v>1411</v>
      </c>
      <c r="B6" s="35" t="n">
        <v>-3.5927770715366</v>
      </c>
    </row>
    <row r="7" customFormat="false" ht="15" hidden="false" customHeight="true" outlineLevel="0" collapsed="false">
      <c r="A7" s="7" t="s">
        <v>1412</v>
      </c>
      <c r="B7" s="35" t="n">
        <v>0.113969668432575</v>
      </c>
    </row>
    <row r="8" customFormat="false" ht="15" hidden="false" customHeight="true" outlineLevel="0" collapsed="false">
      <c r="A8" s="7" t="s">
        <v>1413</v>
      </c>
      <c r="B8" s="90" t="n">
        <v>-0.0218032117150198</v>
      </c>
      <c r="C8" s="7" t="s">
        <v>1414</v>
      </c>
    </row>
    <row r="9" customFormat="false" ht="15" hidden="false" customHeight="true" outlineLevel="0" collapsed="false">
      <c r="A9" s="7" t="s">
        <v>1415</v>
      </c>
      <c r="B9" s="90" t="n">
        <v>0.000546563300327847</v>
      </c>
    </row>
    <row r="10" customFormat="false" ht="15" hidden="false" customHeight="true" outlineLevel="0" collapsed="false">
      <c r="A10" s="7" t="s">
        <v>1416</v>
      </c>
      <c r="B10" s="35" t="n">
        <v>0.000457308</v>
      </c>
    </row>
    <row r="11" customFormat="false" ht="15" hidden="false" customHeight="true" outlineLevel="0" collapsed="false">
      <c r="A11" s="7" t="s">
        <v>1417</v>
      </c>
      <c r="B11" s="35" t="n">
        <v>1.516E-006</v>
      </c>
    </row>
    <row r="12" customFormat="false" ht="15" hidden="false" customHeight="true" outlineLevel="0" collapsed="false">
      <c r="A12" s="7" t="s">
        <v>1418</v>
      </c>
      <c r="B12" s="35" t="n">
        <v>1.85E-005</v>
      </c>
    </row>
    <row r="13" customFormat="false" ht="15" hidden="false" customHeight="true" outlineLevel="0" collapsed="false">
      <c r="A13" s="7" t="s">
        <v>1419</v>
      </c>
      <c r="B13" s="42" t="n">
        <v>0.7005</v>
      </c>
    </row>
    <row r="14" customFormat="false" ht="15" hidden="false" customHeight="true" outlineLevel="0" collapsed="false">
      <c r="A14" s="7" t="s">
        <v>1420</v>
      </c>
      <c r="B14" s="24" t="n">
        <v>74.5</v>
      </c>
    </row>
    <row r="15" customFormat="false" ht="15" hidden="false" customHeight="true" outlineLevel="0" collapsed="false">
      <c r="A15" s="7" t="s">
        <v>1421</v>
      </c>
      <c r="B15" s="36" t="n">
        <v>2022</v>
      </c>
      <c r="C15" s="7" t="s">
        <v>1422</v>
      </c>
    </row>
    <row r="16" customFormat="false" ht="15" hidden="false" customHeight="true" outlineLevel="0" collapsed="false">
      <c r="A16" s="7" t="s">
        <v>1423</v>
      </c>
      <c r="B16" s="91" t="n">
        <v>110</v>
      </c>
      <c r="C16" s="7" t="s">
        <v>1424</v>
      </c>
    </row>
    <row r="17" customFormat="false" ht="15" hidden="false" customHeight="true" outlineLevel="0" collapsed="false">
      <c r="A17" s="1" t="s">
        <v>1425</v>
      </c>
      <c r="B17" s="32" t="n">
        <f aca="false">SQRT(B10)</f>
        <v>0.0213847609292225</v>
      </c>
    </row>
    <row r="18" customFormat="false" ht="15" hidden="false" customHeight="true" outlineLevel="0" collapsed="false">
      <c r="A18" s="1" t="s">
        <v>1426</v>
      </c>
      <c r="B18" s="32" t="n">
        <f aca="false">SQRT(B11)</f>
        <v>0.00123125951772971</v>
      </c>
    </row>
    <row r="19" customFormat="false" ht="15" hidden="false" customHeight="true" outlineLevel="0" collapsed="false">
      <c r="A19" s="1" t="s">
        <v>1427</v>
      </c>
      <c r="B19" s="11" t="n">
        <f aca="false">NORMSINV(0.995)</f>
        <v>2.5758293035489</v>
      </c>
    </row>
    <row r="20" customFormat="false" ht="15" hidden="false" customHeight="true" outlineLevel="0" collapsed="false">
      <c r="A20" s="1" t="s">
        <v>1428</v>
      </c>
      <c r="B20" s="20" t="n">
        <v>0.8</v>
      </c>
    </row>
    <row r="21" customFormat="false" ht="15" hidden="false" customHeight="true" outlineLevel="0" collapsed="false">
      <c r="A21" s="7" t="s">
        <v>1429</v>
      </c>
      <c r="B21" s="92" t="n">
        <v>0</v>
      </c>
    </row>
    <row r="22" customFormat="false" ht="15" hidden="false" customHeight="true" outlineLevel="0" collapsed="false">
      <c r="A22" s="6" t="s">
        <v>1430</v>
      </c>
      <c r="B22" s="93" t="n">
        <f aca="false">B13*B17*B18</f>
        <v>1.844429839515E-005</v>
      </c>
    </row>
    <row r="23" customFormat="false" ht="15" hidden="false" customHeight="true" outlineLevel="0" collapsed="false">
      <c r="A23" s="7" t="s">
        <v>1431</v>
      </c>
      <c r="B23" s="27" t="n">
        <f aca="false">B12-B22</f>
        <v>5.57016048500218E-008</v>
      </c>
      <c r="C23" s="7" t="s">
        <v>1432</v>
      </c>
    </row>
    <row r="25" customFormat="false" ht="15" hidden="false" customHeight="true" outlineLevel="0" collapsed="false">
      <c r="B25" s="4" t="s">
        <v>1433</v>
      </c>
      <c r="O25" s="4" t="s">
        <v>1434</v>
      </c>
      <c r="AB25" s="4" t="s">
        <v>1435</v>
      </c>
    </row>
    <row r="26" customFormat="false" ht="15" hidden="false" customHeight="true" outlineLevel="0" collapsed="false">
      <c r="B26" s="8" t="s">
        <v>463</v>
      </c>
      <c r="C26" s="8" t="s">
        <v>1436</v>
      </c>
      <c r="D26" s="8" t="s">
        <v>1437</v>
      </c>
      <c r="E26" s="8" t="s">
        <v>1438</v>
      </c>
      <c r="F26" s="8" t="s">
        <v>1439</v>
      </c>
      <c r="G26" s="8" t="s">
        <v>1440</v>
      </c>
      <c r="H26" s="8" t="s">
        <v>1441</v>
      </c>
      <c r="I26" s="8" t="s">
        <v>1442</v>
      </c>
      <c r="J26" s="8" t="s">
        <v>1443</v>
      </c>
      <c r="K26" s="8" t="s">
        <v>1444</v>
      </c>
      <c r="L26" s="8" t="s">
        <v>1445</v>
      </c>
      <c r="M26" s="8" t="s">
        <v>1446</v>
      </c>
      <c r="O26" s="8" t="s">
        <v>463</v>
      </c>
      <c r="P26" s="8" t="s">
        <v>1436</v>
      </c>
      <c r="Q26" s="8" t="s">
        <v>1437</v>
      </c>
      <c r="R26" s="8" t="s">
        <v>1438</v>
      </c>
      <c r="S26" s="8" t="s">
        <v>1439</v>
      </c>
      <c r="T26" s="8" t="s">
        <v>1440</v>
      </c>
      <c r="U26" s="8" t="s">
        <v>1441</v>
      </c>
      <c r="V26" s="8" t="s">
        <v>1442</v>
      </c>
      <c r="W26" s="8" t="s">
        <v>1443</v>
      </c>
      <c r="X26" s="8" t="s">
        <v>1444</v>
      </c>
      <c r="Y26" s="8" t="s">
        <v>1445</v>
      </c>
      <c r="Z26" s="8" t="s">
        <v>1446</v>
      </c>
      <c r="AB26" s="8" t="s">
        <v>463</v>
      </c>
      <c r="AC26" s="8" t="s">
        <v>1436</v>
      </c>
      <c r="AD26" s="8" t="s">
        <v>1437</v>
      </c>
      <c r="AE26" s="8" t="s">
        <v>1438</v>
      </c>
      <c r="AF26" s="8" t="s">
        <v>1439</v>
      </c>
      <c r="AG26" s="8" t="s">
        <v>1440</v>
      </c>
      <c r="AH26" s="8" t="s">
        <v>1441</v>
      </c>
      <c r="AI26" s="8" t="s">
        <v>1442</v>
      </c>
      <c r="AJ26" s="8" t="s">
        <v>1443</v>
      </c>
      <c r="AK26" s="8" t="s">
        <v>1444</v>
      </c>
      <c r="AL26" s="8" t="s">
        <v>1445</v>
      </c>
      <c r="AM26" s="8" t="s">
        <v>1446</v>
      </c>
    </row>
    <row r="27" customFormat="false" ht="15" hidden="false" customHeight="true" outlineLevel="0" collapsed="false">
      <c r="B27" s="3" t="n">
        <v>65</v>
      </c>
      <c r="C27" s="34" t="n">
        <f aca="false">B27-65</f>
        <v>0</v>
      </c>
      <c r="D27" s="11" t="n">
        <f aca="false">$B$6+$B$8*(C27+$B$21)+0*$B$15</f>
        <v>-3.5927770715366</v>
      </c>
      <c r="E27" s="11" t="n">
        <f aca="false">$B$7+$B$9*(C27+$B$21)+0*$B$15</f>
        <v>0.113969668432575</v>
      </c>
      <c r="F27" s="32" t="n">
        <f aca="false">1/(1+EXP(-(D27+E27*(B27-$B$14))))</f>
        <v>0.00923488870997602</v>
      </c>
      <c r="G27" s="32" t="n">
        <f aca="false">$B$20*F27</f>
        <v>0.00738791096798082</v>
      </c>
      <c r="H27" s="11" t="n">
        <f aca="false">D27-$B$19*$B$17*SQRT(MAX(C27,0))</f>
        <v>-3.5927770715366</v>
      </c>
      <c r="I27" s="11" t="n">
        <f aca="false">E27-$B$19*$B$13*$B$18*SQRT(MAX(C27,0))</f>
        <v>0.113969668432575</v>
      </c>
      <c r="J27" s="32" t="n">
        <f aca="false">1/(1+EXP(-(H27+I27*(B27-$B$14))))</f>
        <v>0.00923488870997602</v>
      </c>
      <c r="K27" s="32" t="n">
        <v>1</v>
      </c>
      <c r="L27" s="32" t="n">
        <v>1</v>
      </c>
      <c r="M27" s="32" t="n">
        <v>1</v>
      </c>
      <c r="O27" s="3" t="n">
        <v>75</v>
      </c>
      <c r="P27" s="34" t="n">
        <f aca="false">O27-75</f>
        <v>0</v>
      </c>
      <c r="Q27" s="11" t="n">
        <f aca="false">$B$6+$B$8*(P27+$B$21)+0*$B$15</f>
        <v>-3.5927770715366</v>
      </c>
      <c r="R27" s="11" t="n">
        <f aca="false">$B$7+$B$9*(P27+$B$21)+0*$B$15</f>
        <v>0.113969668432575</v>
      </c>
      <c r="S27" s="32" t="n">
        <f aca="false">1/(1+EXP(-(Q27+R27*(O27-$B$14))))</f>
        <v>0.0283108111586366</v>
      </c>
      <c r="T27" s="32" t="n">
        <f aca="false">$B$20*S27</f>
        <v>0.0226486489269093</v>
      </c>
      <c r="U27" s="11" t="n">
        <f aca="false">Q27-$B$19*$B$17*SQRT(MAX(P27,0))</f>
        <v>-3.5927770715366</v>
      </c>
      <c r="V27" s="11" t="n">
        <f aca="false">R27-$B$19*$B$13*$B$18*SQRT(MAX(P27,0))</f>
        <v>0.113969668432575</v>
      </c>
      <c r="W27" s="32" t="n">
        <f aca="false">1/(1+EXP(-(U27+V27*(O27-$B$14))))</f>
        <v>0.0283108111586366</v>
      </c>
      <c r="X27" s="32" t="n">
        <v>1</v>
      </c>
      <c r="Y27" s="32" t="n">
        <v>1</v>
      </c>
      <c r="Z27" s="32" t="n">
        <v>1</v>
      </c>
      <c r="AB27" s="3" t="n">
        <v>85</v>
      </c>
      <c r="AC27" s="34" t="n">
        <f aca="false">AB27-85</f>
        <v>0</v>
      </c>
      <c r="AD27" s="11" t="n">
        <f aca="false">$B$6+$B$8*(AC27+$B$21)+0*$B$15</f>
        <v>-3.5927770715366</v>
      </c>
      <c r="AE27" s="11" t="n">
        <f aca="false">$B$7+$B$9*(AC27+$B$21)+0*$B$15</f>
        <v>0.113969668432575</v>
      </c>
      <c r="AF27" s="32" t="n">
        <f aca="false">1/(1+EXP(-(AD27+AE27*(AB27-$B$14))))</f>
        <v>0.0834709150625565</v>
      </c>
      <c r="AG27" s="32" t="n">
        <f aca="false">$B$20*AF27</f>
        <v>0.0667767320500452</v>
      </c>
      <c r="AH27" s="11" t="n">
        <f aca="false">AD27-$B$19*$B$17*SQRT(MAX(AC27,0))</f>
        <v>-3.5927770715366</v>
      </c>
      <c r="AI27" s="11" t="n">
        <f aca="false">AE27-$B$19*$B$13*$B$18*SQRT(MAX(AC27,0))</f>
        <v>0.113969668432575</v>
      </c>
      <c r="AJ27" s="32" t="n">
        <f aca="false">1/(1+EXP(-(AH27+AI27*(AB27-$B$14))))</f>
        <v>0.0834709150625565</v>
      </c>
      <c r="AK27" s="32" t="n">
        <v>1</v>
      </c>
      <c r="AL27" s="32" t="n">
        <v>1</v>
      </c>
      <c r="AM27" s="32" t="n">
        <v>1</v>
      </c>
    </row>
    <row r="28" customFormat="false" ht="15" hidden="false" customHeight="true" outlineLevel="0" collapsed="false">
      <c r="B28" s="3" t="n">
        <v>66</v>
      </c>
      <c r="C28" s="34" t="n">
        <f aca="false">B28-65</f>
        <v>1</v>
      </c>
      <c r="D28" s="11" t="n">
        <f aca="false">$B$6+$B$8*(C28+$B$21)+0*$B$15</f>
        <v>-3.61458028325162</v>
      </c>
      <c r="E28" s="11" t="n">
        <f aca="false">$B$7+$B$9*(C28+$B$21)+0*$B$15</f>
        <v>0.114516231732903</v>
      </c>
      <c r="F28" s="32" t="n">
        <f aca="false">1/(1+EXP(-(D28+E28*(B28-$B$14))))</f>
        <v>0.0100710494864766</v>
      </c>
      <c r="G28" s="32" t="n">
        <f aca="false">$B$20*F28</f>
        <v>0.00805683958918127</v>
      </c>
      <c r="H28" s="11" t="n">
        <f aca="false">D28-$B$19*$B$17*SQRT(MAX(C28,0))</f>
        <v>-3.6696637771025</v>
      </c>
      <c r="I28" s="11" t="n">
        <f aca="false">E28-$B$19*$B$13*$B$18*SQRT(MAX(C28,0))</f>
        <v>0.112294585933501</v>
      </c>
      <c r="J28" s="32" t="n">
        <f aca="false">1/(1+EXP(-(H28+I28*(B28-$B$14))))</f>
        <v>0.00971648111099876</v>
      </c>
      <c r="K28" s="32" t="n">
        <f aca="false">K27*(1-MIN(1,F27))</f>
        <v>0.990765111290024</v>
      </c>
      <c r="L28" s="32" t="n">
        <f aca="false">L27*(1-MIN(1,G27))</f>
        <v>0.992612089032019</v>
      </c>
      <c r="M28" s="32" t="n">
        <f aca="false">M27*(1-MIN(1,J27))</f>
        <v>0.990765111290024</v>
      </c>
      <c r="O28" s="3" t="n">
        <v>76</v>
      </c>
      <c r="P28" s="34" t="n">
        <f aca="false">O28-75</f>
        <v>1</v>
      </c>
      <c r="Q28" s="11" t="n">
        <f aca="false">$B$6+$B$8*(P28+$B$21)+0*$B$15</f>
        <v>-3.61458028325162</v>
      </c>
      <c r="R28" s="11" t="n">
        <f aca="false">$B$7+$B$9*(P28+$B$21)+0*$B$15</f>
        <v>0.114516231732903</v>
      </c>
      <c r="S28" s="32" t="n">
        <f aca="false">1/(1+EXP(-(Q28+R28*(O28-$B$14))))</f>
        <v>0.030984127474846</v>
      </c>
      <c r="T28" s="32" t="n">
        <f aca="false">$B$20*S28</f>
        <v>0.0247873019798768</v>
      </c>
      <c r="U28" s="11" t="n">
        <f aca="false">Q28-$B$19*$B$17*SQRT(MAX(P28,0))</f>
        <v>-3.6696637771025</v>
      </c>
      <c r="V28" s="11" t="n">
        <f aca="false">R28-$B$19*$B$13*$B$18*SQRT(MAX(P28,0))</f>
        <v>0.112294585933501</v>
      </c>
      <c r="W28" s="32" t="n">
        <f aca="false">1/(1+EXP(-(U28+V28*(O28-$B$14))))</f>
        <v>0.0292774840409161</v>
      </c>
      <c r="X28" s="32" t="n">
        <f aca="false">X27*(1-MIN(1,S27))</f>
        <v>0.971689188841364</v>
      </c>
      <c r="Y28" s="32" t="n">
        <f aca="false">Y27*(1-MIN(1,T27))</f>
        <v>0.977351351073091</v>
      </c>
      <c r="Z28" s="32" t="n">
        <f aca="false">Z27*(1-MIN(1,W27))</f>
        <v>0.971689188841364</v>
      </c>
      <c r="AB28" s="3" t="n">
        <v>86</v>
      </c>
      <c r="AC28" s="34" t="n">
        <f aca="false">AB28-85</f>
        <v>1</v>
      </c>
      <c r="AD28" s="11" t="n">
        <f aca="false">$B$6+$B$8*(AC28+$B$21)+0*$B$15</f>
        <v>-3.61458028325162</v>
      </c>
      <c r="AE28" s="11" t="n">
        <f aca="false">$B$7+$B$9*(AC28+$B$21)+0*$B$15</f>
        <v>0.114516231732903</v>
      </c>
      <c r="AF28" s="32" t="n">
        <f aca="false">1/(1+EXP(-(AD28+AE28*(AB28-$B$14))))</f>
        <v>0.0913183036414346</v>
      </c>
      <c r="AG28" s="32" t="n">
        <f aca="false">$B$20*AF28</f>
        <v>0.0730546429131477</v>
      </c>
      <c r="AH28" s="11" t="n">
        <f aca="false">AD28-$B$19*$B$17*SQRT(MAX(AC28,0))</f>
        <v>-3.6696637771025</v>
      </c>
      <c r="AI28" s="11" t="n">
        <f aca="false">AE28-$B$19*$B$13*$B$18*SQRT(MAX(AC28,0))</f>
        <v>0.112294585933501</v>
      </c>
      <c r="AJ28" s="32" t="n">
        <f aca="false">1/(1+EXP(-(AH28+AI28*(AB28-$B$14))))</f>
        <v>0.0848443282486571</v>
      </c>
      <c r="AK28" s="32" t="n">
        <f aca="false">AK27*(1-MIN(1,AF27))</f>
        <v>0.916529084937444</v>
      </c>
      <c r="AL28" s="32" t="n">
        <f aca="false">AL27*(1-MIN(1,AG27))</f>
        <v>0.933223267949955</v>
      </c>
      <c r="AM28" s="32" t="n">
        <f aca="false">AM27*(1-MIN(1,AJ27))</f>
        <v>0.916529084937444</v>
      </c>
    </row>
    <row r="29" customFormat="false" ht="15" hidden="false" customHeight="true" outlineLevel="0" collapsed="false">
      <c r="B29" s="3" t="n">
        <v>67</v>
      </c>
      <c r="C29" s="34" t="n">
        <f aca="false">B29-65</f>
        <v>2</v>
      </c>
      <c r="D29" s="11" t="n">
        <f aca="false">$B$6+$B$8*(C29+$B$21)+0*$B$15</f>
        <v>-3.63638349496664</v>
      </c>
      <c r="E29" s="11" t="n">
        <f aca="false">$B$7+$B$9*(C29+$B$21)+0*$B$15</f>
        <v>0.115062795033231</v>
      </c>
      <c r="F29" s="32" t="n">
        <f aca="false">1/(1+EXP(-(D29+E29*(B29-$B$14))))</f>
        <v>0.010993959456166</v>
      </c>
      <c r="G29" s="32" t="n">
        <f aca="false">$B$20*F29</f>
        <v>0.00879516756493279</v>
      </c>
      <c r="H29" s="11" t="n">
        <f aca="false">D29-$B$19*$B$17*SQRT(MAX(C29,0))</f>
        <v>-3.71428331903345</v>
      </c>
      <c r="I29" s="11" t="n">
        <f aca="false">E29-$B$19*$B$13*$B$18*SQRT(MAX(C29,0))</f>
        <v>0.111920913412927</v>
      </c>
      <c r="J29" s="32" t="n">
        <f aca="false">1/(1+EXP(-(H29+I29*(B29-$B$14))))</f>
        <v>0.0104185916025228</v>
      </c>
      <c r="K29" s="32" t="n">
        <f aca="false">K28*(1-MIN(1,F28))</f>
        <v>0.980787066824748</v>
      </c>
      <c r="L29" s="32" t="n">
        <f aca="false">L28*(1-MIN(1,G28))</f>
        <v>0.984614772656406</v>
      </c>
      <c r="M29" s="32" t="n">
        <f aca="false">M28*(1-MIN(1,J28))</f>
        <v>0.981138360800738</v>
      </c>
      <c r="O29" s="3" t="n">
        <v>77</v>
      </c>
      <c r="P29" s="34" t="n">
        <f aca="false">O29-75</f>
        <v>2</v>
      </c>
      <c r="Q29" s="11" t="n">
        <f aca="false">$B$6+$B$8*(P29+$B$21)+0*$B$15</f>
        <v>-3.63638349496664</v>
      </c>
      <c r="R29" s="11" t="n">
        <f aca="false">$B$7+$B$9*(P29+$B$21)+0*$B$15</f>
        <v>0.115062795033231</v>
      </c>
      <c r="S29" s="32" t="n">
        <f aca="false">1/(1+EXP(-(Q29+R29*(O29-$B$14))))</f>
        <v>0.0339368910701933</v>
      </c>
      <c r="T29" s="32" t="n">
        <f aca="false">$B$20*S29</f>
        <v>0.0271495128561547</v>
      </c>
      <c r="U29" s="11" t="n">
        <f aca="false">Q29-$B$19*$B$17*SQRT(MAX(P29,0))</f>
        <v>-3.71428331903345</v>
      </c>
      <c r="V29" s="11" t="n">
        <f aca="false">R29-$B$19*$B$13*$B$18*SQRT(MAX(P29,0))</f>
        <v>0.111920913412927</v>
      </c>
      <c r="W29" s="32" t="n">
        <f aca="false">1/(1+EXP(-(U29+V29*(O29-$B$14))))</f>
        <v>0.0312350534977713</v>
      </c>
      <c r="X29" s="32" t="n">
        <f aca="false">X28*(1-MIN(1,S28))</f>
        <v>0.941582247148373</v>
      </c>
      <c r="Y29" s="32" t="n">
        <f aca="false">Y28*(1-MIN(1,T28))</f>
        <v>0.953125447993602</v>
      </c>
      <c r="Z29" s="32" t="n">
        <f aca="false">Z28*(1-MIN(1,W28))</f>
        <v>0.94324057412233</v>
      </c>
      <c r="AB29" s="3" t="n">
        <v>87</v>
      </c>
      <c r="AC29" s="34" t="n">
        <f aca="false">AB29-85</f>
        <v>2</v>
      </c>
      <c r="AD29" s="11" t="n">
        <f aca="false">$B$6+$B$8*(AC29+$B$21)+0*$B$15</f>
        <v>-3.63638349496664</v>
      </c>
      <c r="AE29" s="11" t="n">
        <f aca="false">$B$7+$B$9*(AC29+$B$21)+0*$B$15</f>
        <v>0.115062795033231</v>
      </c>
      <c r="AF29" s="32" t="n">
        <f aca="false">1/(1+EXP(-(AD29+AE29*(AB29-$B$14))))</f>
        <v>0.0999213693192998</v>
      </c>
      <c r="AG29" s="32" t="n">
        <f aca="false">$B$20*AF29</f>
        <v>0.0799370954554399</v>
      </c>
      <c r="AH29" s="11" t="n">
        <f aca="false">AD29-$B$19*$B$17*SQRT(MAX(AC29,0))</f>
        <v>-3.71428331903345</v>
      </c>
      <c r="AI29" s="11" t="n">
        <f aca="false">AE29-$B$19*$B$13*$B$18*SQRT(MAX(AC29,0))</f>
        <v>0.111920913412927</v>
      </c>
      <c r="AJ29" s="32" t="n">
        <f aca="false">1/(1+EXP(-(AH29+AI29*(AB29-$B$14))))</f>
        <v>0.0898660219279914</v>
      </c>
      <c r="AK29" s="32" t="n">
        <f aca="false">AK28*(1-MIN(1,AF28))</f>
        <v>0.83283320366292</v>
      </c>
      <c r="AL29" s="32" t="n">
        <f aca="false">AL28*(1-MIN(1,AG28))</f>
        <v>0.86504697535163</v>
      </c>
      <c r="AM29" s="32" t="n">
        <f aca="false">AM28*(1-MIN(1,AJ28))</f>
        <v>0.83876679040557</v>
      </c>
    </row>
    <row r="30" customFormat="false" ht="15" hidden="false" customHeight="true" outlineLevel="0" collapsed="false">
      <c r="B30" s="3" t="n">
        <v>68</v>
      </c>
      <c r="C30" s="34" t="n">
        <f aca="false">B30-65</f>
        <v>3</v>
      </c>
      <c r="D30" s="11" t="n">
        <f aca="false">$B$6+$B$8*(C30+$B$21)+0*$B$15</f>
        <v>-3.65818670668166</v>
      </c>
      <c r="E30" s="11" t="n">
        <f aca="false">$B$7+$B$9*(C30+$B$21)+0*$B$15</f>
        <v>0.115609358333559</v>
      </c>
      <c r="F30" s="32" t="n">
        <f aca="false">1/(1+EXP(-(D30+E30*(B30-$B$14))))</f>
        <v>0.0120133870105693</v>
      </c>
      <c r="G30" s="32" t="n">
        <f aca="false">$B$20*F30</f>
        <v>0.00961070960845542</v>
      </c>
      <c r="H30" s="11" t="n">
        <f aca="false">D30-$B$19*$B$17*SQRT(MAX(C30,0))</f>
        <v>-3.75359411668979</v>
      </c>
      <c r="I30" s="11" t="n">
        <f aca="false">E30-$B$19*$B$13*$B$18*SQRT(MAX(C30,0))</f>
        <v>0.111761354932572</v>
      </c>
      <c r="J30" s="32" t="n">
        <f aca="false">1/(1+EXP(-(H30+I30*(B30-$B$14))))</f>
        <v>0.0112059307013384</v>
      </c>
      <c r="K30" s="32" t="n">
        <f aca="false">K29*(1-MIN(1,F29))</f>
        <v>0.970004333576944</v>
      </c>
      <c r="L30" s="32" t="n">
        <f aca="false">L29*(1-MIN(1,G29))</f>
        <v>0.975954920743985</v>
      </c>
      <c r="M30" s="32" t="n">
        <f aca="false">M29*(1-MIN(1,J29))</f>
        <v>0.970916280913986</v>
      </c>
      <c r="O30" s="3" t="n">
        <v>78</v>
      </c>
      <c r="P30" s="34" t="n">
        <f aca="false">O30-75</f>
        <v>3</v>
      </c>
      <c r="Q30" s="11" t="n">
        <f aca="false">$B$6+$B$8*(P30+$B$21)+0*$B$15</f>
        <v>-3.65818670668166</v>
      </c>
      <c r="R30" s="11" t="n">
        <f aca="false">$B$7+$B$9*(P30+$B$21)+0*$B$15</f>
        <v>0.115609358333559</v>
      </c>
      <c r="S30" s="32" t="n">
        <f aca="false">1/(1+EXP(-(Q30+R30*(O30-$B$14))))</f>
        <v>0.0371993908476863</v>
      </c>
      <c r="T30" s="32" t="n">
        <f aca="false">$B$20*S30</f>
        <v>0.029759512678149</v>
      </c>
      <c r="U30" s="11" t="n">
        <f aca="false">Q30-$B$19*$B$17*SQRT(MAX(P30,0))</f>
        <v>-3.75359411668979</v>
      </c>
      <c r="V30" s="11" t="n">
        <f aca="false">R30-$B$19*$B$13*$B$18*SQRT(MAX(P30,0))</f>
        <v>0.111761354932572</v>
      </c>
      <c r="W30" s="32" t="n">
        <f aca="false">1/(1+EXP(-(U30+V30*(O30-$B$14))))</f>
        <v>0.0334904979585182</v>
      </c>
      <c r="X30" s="32" t="n">
        <f aca="false">X29*(1-MIN(1,S29))</f>
        <v>0.909627872993271</v>
      </c>
      <c r="Y30" s="32" t="n">
        <f aca="false">Y29*(1-MIN(1,T29))</f>
        <v>0.927248556389771</v>
      </c>
      <c r="Z30" s="32" t="n">
        <f aca="false">Z29*(1-MIN(1,W29))</f>
        <v>0.91377840432835</v>
      </c>
      <c r="AB30" s="3" t="n">
        <v>88</v>
      </c>
      <c r="AC30" s="34" t="n">
        <f aca="false">AB30-85</f>
        <v>3</v>
      </c>
      <c r="AD30" s="11" t="n">
        <f aca="false">$B$6+$B$8*(AC30+$B$21)+0*$B$15</f>
        <v>-3.65818670668166</v>
      </c>
      <c r="AE30" s="11" t="n">
        <f aca="false">$B$7+$B$9*(AC30+$B$21)+0*$B$15</f>
        <v>0.115609358333559</v>
      </c>
      <c r="AF30" s="32" t="n">
        <f aca="false">1/(1+EXP(-(AD30+AE30*(AB30-$B$14))))</f>
        <v>0.109343905023209</v>
      </c>
      <c r="AG30" s="32" t="n">
        <f aca="false">$B$20*AF30</f>
        <v>0.0874751240185668</v>
      </c>
      <c r="AH30" s="11" t="n">
        <f aca="false">AD30-$B$19*$B$17*SQRT(MAX(AC30,0))</f>
        <v>-3.75359411668979</v>
      </c>
      <c r="AI30" s="11" t="n">
        <f aca="false">AE30-$B$19*$B$13*$B$18*SQRT(MAX(AC30,0))</f>
        <v>0.111761354932572</v>
      </c>
      <c r="AJ30" s="32" t="n">
        <f aca="false">1/(1+EXP(-(AH30+AI30*(AB30-$B$14))))</f>
        <v>0.0957975802129532</v>
      </c>
      <c r="AK30" s="32" t="n">
        <f aca="false">AK29*(1-MIN(1,AF29))</f>
        <v>0.749615369538342</v>
      </c>
      <c r="AL30" s="32" t="n">
        <f aca="false">AL29*(1-MIN(1,AG29))</f>
        <v>0.795897632709507</v>
      </c>
      <c r="AM30" s="32" t="n">
        <f aca="false">AM29*(1-MIN(1,AJ29))</f>
        <v>0.763390155626512</v>
      </c>
    </row>
    <row r="31" customFormat="false" ht="15" hidden="false" customHeight="true" outlineLevel="0" collapsed="false">
      <c r="B31" s="3" t="n">
        <v>69</v>
      </c>
      <c r="C31" s="34" t="n">
        <f aca="false">B31-65</f>
        <v>4</v>
      </c>
      <c r="D31" s="11" t="n">
        <f aca="false">$B$6+$B$8*(C31+$B$21)+0*$B$15</f>
        <v>-3.67998991839668</v>
      </c>
      <c r="E31" s="11" t="n">
        <f aca="false">$B$7+$B$9*(C31+$B$21)+0*$B$15</f>
        <v>0.116155921633886</v>
      </c>
      <c r="F31" s="32" t="n">
        <f aca="false">1/(1+EXP(-(D31+E31*(B31-$B$14))))</f>
        <v>0.0131402552640432</v>
      </c>
      <c r="G31" s="32" t="n">
        <f aca="false">$B$20*F31</f>
        <v>0.0105122042112346</v>
      </c>
      <c r="H31" s="11" t="n">
        <f aca="false">D31-$B$19*$B$17*SQRT(MAX(C31,0))</f>
        <v>-3.79015690609844</v>
      </c>
      <c r="I31" s="11" t="n">
        <f aca="false">E31-$B$19*$B$13*$B$18*SQRT(MAX(C31,0))</f>
        <v>0.111712630035082</v>
      </c>
      <c r="J31" s="32" t="n">
        <f aca="false">1/(1+EXP(-(H31+I31*(B31-$B$14))))</f>
        <v>0.0120737261847484</v>
      </c>
      <c r="K31" s="32" t="n">
        <f aca="false">K30*(1-MIN(1,F30))</f>
        <v>0.958351296115755</v>
      </c>
      <c r="L31" s="32" t="n">
        <f aca="false">L30*(1-MIN(1,G30))</f>
        <v>0.966575301409771</v>
      </c>
      <c r="M31" s="32" t="n">
        <f aca="false">M30*(1-MIN(1,J30))</f>
        <v>0.960036260353263</v>
      </c>
      <c r="O31" s="3" t="n">
        <v>79</v>
      </c>
      <c r="P31" s="34" t="n">
        <f aca="false">O31-75</f>
        <v>4</v>
      </c>
      <c r="Q31" s="11" t="n">
        <f aca="false">$B$6+$B$8*(P31+$B$21)+0*$B$15</f>
        <v>-3.67998991839668</v>
      </c>
      <c r="R31" s="11" t="n">
        <f aca="false">$B$7+$B$9*(P31+$B$21)+0*$B$15</f>
        <v>0.116155921633886</v>
      </c>
      <c r="S31" s="32" t="n">
        <f aca="false">1/(1+EXP(-(Q31+R31*(O31-$B$14))))</f>
        <v>0.0408050585947829</v>
      </c>
      <c r="T31" s="32" t="n">
        <f aca="false">$B$20*S31</f>
        <v>0.0326440468758263</v>
      </c>
      <c r="U31" s="11" t="n">
        <f aca="false">Q31-$B$19*$B$17*SQRT(MAX(P31,0))</f>
        <v>-3.79015690609844</v>
      </c>
      <c r="V31" s="11" t="n">
        <f aca="false">R31-$B$19*$B$13*$B$18*SQRT(MAX(P31,0))</f>
        <v>0.111712630035082</v>
      </c>
      <c r="W31" s="32" t="n">
        <f aca="false">1/(1+EXP(-(U31+V31*(O31-$B$14))))</f>
        <v>0.0360042440268643</v>
      </c>
      <c r="X31" s="32" t="n">
        <f aca="false">X30*(1-MIN(1,S30))</f>
        <v>0.875790270219844</v>
      </c>
      <c r="Y31" s="32" t="n">
        <f aca="false">Y30*(1-MIN(1,T30))</f>
        <v>0.899654091220094</v>
      </c>
      <c r="Z31" s="32" t="n">
        <f aca="false">Z30*(1-MIN(1,W30))</f>
        <v>0.883175510543654</v>
      </c>
      <c r="AB31" s="3" t="n">
        <v>89</v>
      </c>
      <c r="AC31" s="34" t="n">
        <f aca="false">AB31-85</f>
        <v>4</v>
      </c>
      <c r="AD31" s="11" t="n">
        <f aca="false">$B$6+$B$8*(AC31+$B$21)+0*$B$15</f>
        <v>-3.67998991839668</v>
      </c>
      <c r="AE31" s="11" t="n">
        <f aca="false">$B$7+$B$9*(AC31+$B$21)+0*$B$15</f>
        <v>0.116155921633886</v>
      </c>
      <c r="AF31" s="32" t="n">
        <f aca="false">1/(1+EXP(-(AD31+AE31*(AB31-$B$14))))</f>
        <v>0.119652073682782</v>
      </c>
      <c r="AG31" s="32" t="n">
        <f aca="false">$B$20*AF31</f>
        <v>0.095721658946226</v>
      </c>
      <c r="AH31" s="11" t="n">
        <f aca="false">AD31-$B$19*$B$17*SQRT(MAX(AC31,0))</f>
        <v>-3.79015690609844</v>
      </c>
      <c r="AI31" s="11" t="n">
        <f aca="false">AE31-$B$19*$B$13*$B$18*SQRT(MAX(AC31,0))</f>
        <v>0.111712630035082</v>
      </c>
      <c r="AJ31" s="32" t="n">
        <f aca="false">1/(1+EXP(-(AH31+AI31*(AB31-$B$14))))</f>
        <v>0.102447258317619</v>
      </c>
      <c r="AK31" s="32" t="n">
        <f aca="false">AK30*(1-MIN(1,AF30))</f>
        <v>0.667649497767604</v>
      </c>
      <c r="AL31" s="32" t="n">
        <f aca="false">AL30*(1-MIN(1,AG30))</f>
        <v>0.72627638858216</v>
      </c>
      <c r="AM31" s="32" t="n">
        <f aca="false">AM30*(1-MIN(1,AJ30))</f>
        <v>0.690259225959102</v>
      </c>
    </row>
    <row r="32" customFormat="false" ht="15" hidden="false" customHeight="true" outlineLevel="0" collapsed="false">
      <c r="B32" s="3" t="n">
        <v>70</v>
      </c>
      <c r="C32" s="34" t="n">
        <f aca="false">B32-65</f>
        <v>5</v>
      </c>
      <c r="D32" s="11" t="n">
        <f aca="false">$B$6+$B$8*(C32+$B$21)+0*$B$15</f>
        <v>-3.7017931301117</v>
      </c>
      <c r="E32" s="11" t="n">
        <f aca="false">$B$7+$B$9*(C32+$B$21)+0*$B$15</f>
        <v>0.116702484934214</v>
      </c>
      <c r="F32" s="32" t="n">
        <f aca="false">1/(1+EXP(-(D32+E32*(B32-$B$14))))</f>
        <v>0.014386779491905</v>
      </c>
      <c r="G32" s="32" t="n">
        <f aca="false">$B$20*F32</f>
        <v>0.011509423593524</v>
      </c>
      <c r="H32" s="11" t="n">
        <f aca="false">D32-$B$19*$B$17*SQRT(MAX(C32,0))</f>
        <v>-3.82496356680046</v>
      </c>
      <c r="I32" s="11" t="n">
        <f aca="false">E32-$B$19*$B$13*$B$18*SQRT(MAX(C32,0))</f>
        <v>0.111734733904824</v>
      </c>
      <c r="J32" s="32" t="n">
        <f aca="false">1/(1+EXP(-(H32+I32*(B32-$B$14))))</f>
        <v>0.0130250546716059</v>
      </c>
      <c r="K32" s="32" t="n">
        <f aca="false">K31*(1-MIN(1,F31))</f>
        <v>0.945758315452168</v>
      </c>
      <c r="L32" s="32" t="n">
        <f aca="false">L31*(1-MIN(1,G31))</f>
        <v>0.956414464455816</v>
      </c>
      <c r="M32" s="32" t="n">
        <f aca="false">M31*(1-MIN(1,J31))</f>
        <v>0.948445045418328</v>
      </c>
      <c r="O32" s="3" t="n">
        <v>80</v>
      </c>
      <c r="P32" s="34" t="n">
        <f aca="false">O32-75</f>
        <v>5</v>
      </c>
      <c r="Q32" s="11" t="n">
        <f aca="false">$B$6+$B$8*(P32+$B$21)+0*$B$15</f>
        <v>-3.7017931301117</v>
      </c>
      <c r="R32" s="11" t="n">
        <f aca="false">$B$7+$B$9*(P32+$B$21)+0*$B$15</f>
        <v>0.116702484934214</v>
      </c>
      <c r="S32" s="32" t="n">
        <f aca="false">1/(1+EXP(-(Q32+R32*(O32-$B$14))))</f>
        <v>0.0447907208451547</v>
      </c>
      <c r="T32" s="32" t="n">
        <f aca="false">$B$20*S32</f>
        <v>0.0358325766761238</v>
      </c>
      <c r="U32" s="11" t="n">
        <f aca="false">Q32-$B$19*$B$17*SQRT(MAX(P32,0))</f>
        <v>-3.82496356680046</v>
      </c>
      <c r="V32" s="11" t="n">
        <f aca="false">R32-$B$19*$B$13*$B$18*SQRT(MAX(P32,0))</f>
        <v>0.111734733904824</v>
      </c>
      <c r="W32" s="32" t="n">
        <f aca="false">1/(1+EXP(-(U32+V32*(O32-$B$14))))</f>
        <v>0.0387753829028397</v>
      </c>
      <c r="X32" s="32" t="n">
        <f aca="false">X31*(1-MIN(1,S31))</f>
        <v>0.840053596926783</v>
      </c>
      <c r="Y32" s="32" t="n">
        <f aca="false">Y31*(1-MIN(1,T31))</f>
        <v>0.870285740894277</v>
      </c>
      <c r="Z32" s="32" t="n">
        <f aca="false">Z31*(1-MIN(1,W31))</f>
        <v>0.85137744394349</v>
      </c>
      <c r="AB32" s="3" t="n">
        <v>90</v>
      </c>
      <c r="AC32" s="34" t="n">
        <f aca="false">AB32-85</f>
        <v>5</v>
      </c>
      <c r="AD32" s="11" t="n">
        <f aca="false">$B$6+$B$8*(AC32+$B$21)+0*$B$15</f>
        <v>-3.7017931301117</v>
      </c>
      <c r="AE32" s="11" t="n">
        <f aca="false">$B$7+$B$9*(AC32+$B$21)+0*$B$15</f>
        <v>0.116702484934214</v>
      </c>
      <c r="AF32" s="32" t="n">
        <f aca="false">1/(1+EXP(-(AD32+AE32*(AB32-$B$14))))</f>
        <v>0.130913641834565</v>
      </c>
      <c r="AG32" s="32" t="n">
        <f aca="false">$B$20*AF32</f>
        <v>0.104730913467652</v>
      </c>
      <c r="AH32" s="11" t="n">
        <f aca="false">AD32-$B$19*$B$17*SQRT(MAX(AC32,0))</f>
        <v>-3.82496356680046</v>
      </c>
      <c r="AI32" s="11" t="n">
        <f aca="false">AE32-$B$19*$B$13*$B$18*SQRT(MAX(AC32,0))</f>
        <v>0.111734733904824</v>
      </c>
      <c r="AJ32" s="32" t="n">
        <f aca="false">1/(1+EXP(-(AH32+AI32*(AB32-$B$14))))</f>
        <v>0.109771700088252</v>
      </c>
      <c r="AK32" s="32" t="n">
        <f aca="false">AK31*(1-MIN(1,AF31))</f>
        <v>0.587763850866442</v>
      </c>
      <c r="AL32" s="32" t="n">
        <f aca="false">AL31*(1-MIN(1,AG31))</f>
        <v>0.656756007813601</v>
      </c>
      <c r="AM32" s="32" t="n">
        <f aca="false">AM31*(1-MIN(1,AJ31))</f>
        <v>0.61954406073115</v>
      </c>
    </row>
    <row r="33" customFormat="false" ht="15" hidden="false" customHeight="true" outlineLevel="0" collapsed="false">
      <c r="B33" s="3" t="n">
        <v>71</v>
      </c>
      <c r="C33" s="34" t="n">
        <f aca="false">B33-65</f>
        <v>6</v>
      </c>
      <c r="D33" s="11" t="n">
        <f aca="false">$B$6+$B$8*(C33+$B$21)+0*$B$15</f>
        <v>-3.72359634182672</v>
      </c>
      <c r="E33" s="11" t="n">
        <f aca="false">$B$7+$B$9*(C33+$B$21)+0*$B$15</f>
        <v>0.117249048234542</v>
      </c>
      <c r="F33" s="32" t="n">
        <f aca="false">1/(1+EXP(-(D33+E33*(B33-$B$14))))</f>
        <v>0.0157666197840721</v>
      </c>
      <c r="G33" s="32" t="n">
        <f aca="false">$B$20*F33</f>
        <v>0.0126132958272577</v>
      </c>
      <c r="H33" s="11" t="n">
        <f aca="false">D33-$B$19*$B$17*SQRT(MAX(C33,0))</f>
        <v>-3.85852279501111</v>
      </c>
      <c r="I33" s="11" t="n">
        <f aca="false">E33-$B$19*$B$13*$B$18*SQRT(MAX(C33,0))</f>
        <v>0.111807149636809</v>
      </c>
      <c r="J33" s="32" t="n">
        <f aca="false">1/(1+EXP(-(H33+I33*(B33-$B$14))))</f>
        <v>0.0140657373205191</v>
      </c>
      <c r="K33" s="32" t="n">
        <f aca="false">K32*(1-MIN(1,F32))</f>
        <v>0.932151899115122</v>
      </c>
      <c r="L33" s="32" t="n">
        <f aca="false">L32*(1-MIN(1,G32))</f>
        <v>0.945406685253421</v>
      </c>
      <c r="M33" s="32" t="n">
        <f aca="false">M32*(1-MIN(1,J32))</f>
        <v>0.936091496848741</v>
      </c>
      <c r="O33" s="3" t="n">
        <v>81</v>
      </c>
      <c r="P33" s="34" t="n">
        <f aca="false">O33-75</f>
        <v>6</v>
      </c>
      <c r="Q33" s="11" t="n">
        <f aca="false">$B$6+$B$8*(P33+$B$21)+0*$B$15</f>
        <v>-3.72359634182672</v>
      </c>
      <c r="R33" s="11" t="n">
        <f aca="false">$B$7+$B$9*(P33+$B$21)+0*$B$15</f>
        <v>0.117249048234542</v>
      </c>
      <c r="S33" s="32" t="n">
        <f aca="false">1/(1+EXP(-(Q33+R33*(O33-$B$14))))</f>
        <v>0.0491968464038009</v>
      </c>
      <c r="T33" s="32" t="n">
        <f aca="false">$B$20*S33</f>
        <v>0.0393574771230407</v>
      </c>
      <c r="U33" s="11" t="n">
        <f aca="false">Q33-$B$19*$B$17*SQRT(MAX(P33,0))</f>
        <v>-3.85852279501111</v>
      </c>
      <c r="V33" s="11" t="n">
        <f aca="false">R33-$B$19*$B$13*$B$18*SQRT(MAX(P33,0))</f>
        <v>0.111807149636809</v>
      </c>
      <c r="W33" s="32" t="n">
        <f aca="false">1/(1+EXP(-(U33+V33*(O33-$B$14))))</f>
        <v>0.0418153774589346</v>
      </c>
      <c r="X33" s="32" t="n">
        <f aca="false">X32*(1-MIN(1,S32))</f>
        <v>0.802426990771867</v>
      </c>
      <c r="Y33" s="32" t="n">
        <f aca="false">Y32*(1-MIN(1,T32))</f>
        <v>0.839101160353545</v>
      </c>
      <c r="Z33" s="32" t="n">
        <f aca="false">Z32*(1-MIN(1,W32))</f>
        <v>0.81836495755974</v>
      </c>
      <c r="AB33" s="3" t="n">
        <v>91</v>
      </c>
      <c r="AC33" s="34" t="n">
        <f aca="false">AB33-85</f>
        <v>6</v>
      </c>
      <c r="AD33" s="11" t="n">
        <f aca="false">$B$6+$B$8*(AC33+$B$21)+0*$B$15</f>
        <v>-3.72359634182672</v>
      </c>
      <c r="AE33" s="11" t="n">
        <f aca="false">$B$7+$B$9*(AC33+$B$21)+0*$B$15</f>
        <v>0.117249048234542</v>
      </c>
      <c r="AF33" s="32" t="n">
        <f aca="false">1/(1+EXP(-(AD33+AE33*(AB33-$B$14))))</f>
        <v>0.143196959509902</v>
      </c>
      <c r="AG33" s="32" t="n">
        <f aca="false">$B$20*AF33</f>
        <v>0.114557567607921</v>
      </c>
      <c r="AH33" s="11" t="n">
        <f aca="false">AD33-$B$19*$B$17*SQRT(MAX(AC33,0))</f>
        <v>-3.85852279501111</v>
      </c>
      <c r="AI33" s="11" t="n">
        <f aca="false">AE33-$B$19*$B$13*$B$18*SQRT(MAX(AC33,0))</f>
        <v>0.111807149636809</v>
      </c>
      <c r="AJ33" s="32" t="n">
        <f aca="false">1/(1+EXP(-(AH33+AI33*(AB33-$B$14))))</f>
        <v>0.117771495873287</v>
      </c>
      <c r="AK33" s="32" t="n">
        <f aca="false">AK32*(1-MIN(1,AF32))</f>
        <v>0.510817544610808</v>
      </c>
      <c r="AL33" s="32" t="n">
        <f aca="false">AL32*(1-MIN(1,AG32))</f>
        <v>0.587973351189914</v>
      </c>
      <c r="AM33" s="32" t="n">
        <f aca="false">AM32*(1-MIN(1,AJ32))</f>
        <v>0.551535655905113</v>
      </c>
    </row>
    <row r="34" customFormat="false" ht="15" hidden="false" customHeight="true" outlineLevel="0" collapsed="false">
      <c r="B34" s="3" t="n">
        <v>72</v>
      </c>
      <c r="C34" s="34" t="n">
        <f aca="false">B34-65</f>
        <v>7</v>
      </c>
      <c r="D34" s="11" t="n">
        <f aca="false">$B$6+$B$8*(C34+$B$21)+0*$B$15</f>
        <v>-3.74539955354174</v>
      </c>
      <c r="E34" s="11" t="n">
        <f aca="false">$B$7+$B$9*(C34+$B$21)+0*$B$15</f>
        <v>0.11779561153487</v>
      </c>
      <c r="F34" s="32" t="n">
        <f aca="false">1/(1+EXP(-(D34+E34*(B34-$B$14))))</f>
        <v>0.017295050114305</v>
      </c>
      <c r="G34" s="32" t="n">
        <f aca="false">$B$20*F34</f>
        <v>0.013836040091444</v>
      </c>
      <c r="H34" s="11" t="n">
        <f aca="false">D34-$B$19*$B$17*SQRT(MAX(C34,0))</f>
        <v>-3.89113677961572</v>
      </c>
      <c r="I34" s="11" t="n">
        <f aca="false">E34-$B$19*$B$13*$B$18*SQRT(MAX(C34,0))</f>
        <v>0.11191768924838</v>
      </c>
      <c r="J34" s="32" t="n">
        <f aca="false">1/(1+EXP(-(H34+I34*(B34-$B$14))))</f>
        <v>0.0152031759058839</v>
      </c>
      <c r="K34" s="32" t="n">
        <f aca="false">K33*(1-MIN(1,F33))</f>
        <v>0.917455014540773</v>
      </c>
      <c r="L34" s="32" t="n">
        <f aca="false">L33*(1-MIN(1,G33))</f>
        <v>0.933481991055252</v>
      </c>
      <c r="M34" s="32" t="n">
        <f aca="false">M33*(1-MIN(1,J33))</f>
        <v>0.922924679746095</v>
      </c>
      <c r="O34" s="3" t="n">
        <v>82</v>
      </c>
      <c r="P34" s="34" t="n">
        <f aca="false">O34-75</f>
        <v>7</v>
      </c>
      <c r="Q34" s="11" t="n">
        <f aca="false">$B$6+$B$8*(P34+$B$21)+0*$B$15</f>
        <v>-3.74539955354174</v>
      </c>
      <c r="R34" s="11" t="n">
        <f aca="false">$B$7+$B$9*(P34+$B$21)+0*$B$15</f>
        <v>0.11779561153487</v>
      </c>
      <c r="S34" s="32" t="n">
        <f aca="false">1/(1+EXP(-(Q34+R34*(O34-$B$14))))</f>
        <v>0.0540677802937242</v>
      </c>
      <c r="T34" s="32" t="n">
        <f aca="false">$B$20*S34</f>
        <v>0.0432542242349793</v>
      </c>
      <c r="U34" s="11" t="n">
        <f aca="false">Q34-$B$19*$B$17*SQRT(MAX(P34,0))</f>
        <v>-3.89113677961572</v>
      </c>
      <c r="V34" s="11" t="n">
        <f aca="false">R34-$B$19*$B$13*$B$18*SQRT(MAX(P34,0))</f>
        <v>0.11191768924838</v>
      </c>
      <c r="W34" s="32" t="n">
        <f aca="false">1/(1+EXP(-(U34+V34*(O34-$B$14))))</f>
        <v>0.0451418039221251</v>
      </c>
      <c r="X34" s="32" t="n">
        <f aca="false">X33*(1-MIN(1,S33))</f>
        <v>0.7629501133566</v>
      </c>
      <c r="Y34" s="32" t="n">
        <f aca="false">Y33*(1-MIN(1,T33))</f>
        <v>0.806076255631014</v>
      </c>
      <c r="Z34" s="32" t="n">
        <f aca="false">Z33*(1-MIN(1,W33))</f>
        <v>0.784144717960214</v>
      </c>
      <c r="AB34" s="3" t="n">
        <v>92</v>
      </c>
      <c r="AC34" s="34" t="n">
        <f aca="false">AB34-85</f>
        <v>7</v>
      </c>
      <c r="AD34" s="11" t="n">
        <f aca="false">$B$6+$B$8*(AC34+$B$21)+0*$B$15</f>
        <v>-3.74539955354174</v>
      </c>
      <c r="AE34" s="11" t="n">
        <f aca="false">$B$7+$B$9*(AC34+$B$21)+0*$B$15</f>
        <v>0.11779561153487</v>
      </c>
      <c r="AF34" s="32" t="n">
        <f aca="false">1/(1+EXP(-(AD34+AE34*(AB34-$B$14))))</f>
        <v>0.156569652031281</v>
      </c>
      <c r="AG34" s="32" t="n">
        <f aca="false">$B$20*AF34</f>
        <v>0.125255721625025</v>
      </c>
      <c r="AH34" s="11" t="n">
        <f aca="false">AD34-$B$19*$B$17*SQRT(MAX(AC34,0))</f>
        <v>-3.89113677961572</v>
      </c>
      <c r="AI34" s="11" t="n">
        <f aca="false">AE34-$B$19*$B$13*$B$18*SQRT(MAX(AC34,0))</f>
        <v>0.11191768924838</v>
      </c>
      <c r="AJ34" s="32" t="n">
        <f aca="false">1/(1+EXP(-(AH34+AI34*(AB34-$B$14))))</f>
        <v>0.12646559540434</v>
      </c>
      <c r="AK34" s="32" t="n">
        <f aca="false">AK33*(1-MIN(1,AF33))</f>
        <v>0.437670025358226</v>
      </c>
      <c r="AL34" s="32" t="n">
        <f aca="false">AL33*(1-MIN(1,AG33))</f>
        <v>0.52061655425932</v>
      </c>
      <c r="AM34" s="32" t="n">
        <f aca="false">AM33*(1-MIN(1,AJ33))</f>
        <v>0.486580476681713</v>
      </c>
    </row>
    <row r="35" customFormat="false" ht="15" hidden="false" customHeight="true" outlineLevel="0" collapsed="false">
      <c r="B35" s="3" t="n">
        <v>73</v>
      </c>
      <c r="C35" s="34" t="n">
        <f aca="false">B35-65</f>
        <v>8</v>
      </c>
      <c r="D35" s="11" t="n">
        <f aca="false">$B$6+$B$8*(C35+$B$21)+0*$B$15</f>
        <v>-3.76720276525676</v>
      </c>
      <c r="E35" s="11" t="n">
        <f aca="false">$B$7+$B$9*(C35+$B$21)+0*$B$15</f>
        <v>0.118342174835198</v>
      </c>
      <c r="F35" s="32" t="n">
        <f aca="false">1/(1+EXP(-(D35+E35*(B35-$B$14))))</f>
        <v>0.0189891449463539</v>
      </c>
      <c r="G35" s="32" t="n">
        <f aca="false">$B$20*F35</f>
        <v>0.0151913159570832</v>
      </c>
      <c r="H35" s="11" t="n">
        <f aca="false">D35-$B$19*$B$17*SQRT(MAX(C35,0))</f>
        <v>-3.92300241339037</v>
      </c>
      <c r="I35" s="11" t="n">
        <f aca="false">E35-$B$19*$B$13*$B$18*SQRT(MAX(C35,0))</f>
        <v>0.11205841159459</v>
      </c>
      <c r="J35" s="32" t="n">
        <f aca="false">1/(1+EXP(-(H35+I35*(B35-$B$14))))</f>
        <v>0.016446003638508</v>
      </c>
      <c r="K35" s="32" t="n">
        <f aca="false">K34*(1-MIN(1,F34))</f>
        <v>0.90158758408667</v>
      </c>
      <c r="L35" s="32" t="n">
        <f aca="false">L34*(1-MIN(1,G34))</f>
        <v>0.920566296802371</v>
      </c>
      <c r="M35" s="32" t="n">
        <f aca="false">M34*(1-MIN(1,J34))</f>
        <v>0.908893293492033</v>
      </c>
      <c r="O35" s="3" t="n">
        <v>83</v>
      </c>
      <c r="P35" s="34" t="n">
        <f aca="false">O35-75</f>
        <v>8</v>
      </c>
      <c r="Q35" s="11" t="n">
        <f aca="false">$B$6+$B$8*(P35+$B$21)+0*$B$15</f>
        <v>-3.76720276525676</v>
      </c>
      <c r="R35" s="11" t="n">
        <f aca="false">$B$7+$B$9*(P35+$B$21)+0*$B$15</f>
        <v>0.118342174835198</v>
      </c>
      <c r="S35" s="32" t="n">
        <f aca="false">1/(1+EXP(-(Q35+R35*(O35-$B$14))))</f>
        <v>0.0594519519488672</v>
      </c>
      <c r="T35" s="32" t="n">
        <f aca="false">$B$20*S35</f>
        <v>0.0475615615590938</v>
      </c>
      <c r="U35" s="11" t="n">
        <f aca="false">Q35-$B$19*$B$17*SQRT(MAX(P35,0))</f>
        <v>-3.92300241339037</v>
      </c>
      <c r="V35" s="11" t="n">
        <f aca="false">R35-$B$19*$B$13*$B$18*SQRT(MAX(P35,0))</f>
        <v>0.11205841159459</v>
      </c>
      <c r="W35" s="32" t="n">
        <f aca="false">1/(1+EXP(-(U35+V35*(O35-$B$14))))</f>
        <v>0.0487762446469538</v>
      </c>
      <c r="X35" s="32" t="n">
        <f aca="false">X34*(1-MIN(1,S34))</f>
        <v>0.721699094252563</v>
      </c>
      <c r="Y35" s="32" t="n">
        <f aca="false">Y34*(1-MIN(1,T34))</f>
        <v>0.771210052519457</v>
      </c>
      <c r="Z35" s="32" t="n">
        <f aca="false">Z34*(1-MIN(1,W34))</f>
        <v>0.748747010855484</v>
      </c>
      <c r="AB35" s="3" t="n">
        <v>93</v>
      </c>
      <c r="AC35" s="34" t="n">
        <f aca="false">AB35-85</f>
        <v>8</v>
      </c>
      <c r="AD35" s="11" t="n">
        <f aca="false">$B$6+$B$8*(AC35+$B$21)+0*$B$15</f>
        <v>-3.76720276525676</v>
      </c>
      <c r="AE35" s="11" t="n">
        <f aca="false">$B$7+$B$9*(AC35+$B$21)+0*$B$15</f>
        <v>0.118342174835198</v>
      </c>
      <c r="AF35" s="32" t="n">
        <f aca="false">1/(1+EXP(-(AD35+AE35*(AB35-$B$14))))</f>
        <v>0.171096994596751</v>
      </c>
      <c r="AG35" s="32" t="n">
        <f aca="false">$B$20*AF35</f>
        <v>0.136877595677401</v>
      </c>
      <c r="AH35" s="11" t="n">
        <f aca="false">AD35-$B$19*$B$17*SQRT(MAX(AC35,0))</f>
        <v>-3.92300241339037</v>
      </c>
      <c r="AI35" s="11" t="n">
        <f aca="false">AE35-$B$19*$B$13*$B$18*SQRT(MAX(AC35,0))</f>
        <v>0.11205841159459</v>
      </c>
      <c r="AJ35" s="32" t="n">
        <f aca="false">1/(1+EXP(-(AH35+AI35*(AB35-$B$14))))</f>
        <v>0.135882078976435</v>
      </c>
      <c r="AK35" s="32" t="n">
        <f aca="false">AK34*(1-MIN(1,AF34))</f>
        <v>0.369144181783367</v>
      </c>
      <c r="AL35" s="32" t="n">
        <f aca="false">AL34*(1-MIN(1,AG34))</f>
        <v>0.455406352065634</v>
      </c>
      <c r="AM35" s="32" t="n">
        <f aca="false">AM34*(1-MIN(1,AJ34))</f>
        <v>0.425044786986033</v>
      </c>
    </row>
    <row r="36" customFormat="false" ht="15" hidden="false" customHeight="true" outlineLevel="0" collapsed="false">
      <c r="B36" s="3" t="n">
        <v>74</v>
      </c>
      <c r="C36" s="34" t="n">
        <f aca="false">B36-65</f>
        <v>9</v>
      </c>
      <c r="D36" s="11" t="n">
        <f aca="false">$B$6+$B$8*(C36+$B$21)+0*$B$15</f>
        <v>-3.78900597697178</v>
      </c>
      <c r="E36" s="11" t="n">
        <f aca="false">$B$7+$B$9*(C36+$B$21)+0*$B$15</f>
        <v>0.118888738135526</v>
      </c>
      <c r="F36" s="32" t="n">
        <f aca="false">1/(1+EXP(-(D36+E36*(B36-$B$14))))</f>
        <v>0.0208679843426128</v>
      </c>
      <c r="G36" s="32" t="n">
        <f aca="false">$B$20*F36</f>
        <v>0.0166943874740902</v>
      </c>
      <c r="H36" s="11" t="n">
        <f aca="false">D36-$B$19*$B$17*SQRT(MAX(C36,0))</f>
        <v>-3.95425645852442</v>
      </c>
      <c r="I36" s="11" t="n">
        <f aca="false">E36-$B$19*$B$13*$B$18*SQRT(MAX(C36,0))</f>
        <v>0.112223800737319</v>
      </c>
      <c r="J36" s="32" t="n">
        <f aca="false">1/(1+EXP(-(H36+I36*(B36-$B$14))))</f>
        <v>0.0178039890017157</v>
      </c>
      <c r="K36" s="32" t="n">
        <f aca="false">K35*(1-MIN(1,F35))</f>
        <v>0.884467206770615</v>
      </c>
      <c r="L36" s="32" t="n">
        <f aca="false">L35*(1-MIN(1,G35))</f>
        <v>0.906581683328204</v>
      </c>
      <c r="M36" s="32" t="n">
        <f aca="false">M35*(1-MIN(1,J35))</f>
        <v>0.893945631080248</v>
      </c>
      <c r="O36" s="3" t="n">
        <v>84</v>
      </c>
      <c r="P36" s="34" t="n">
        <f aca="false">O36-75</f>
        <v>9</v>
      </c>
      <c r="Q36" s="11" t="n">
        <f aca="false">$B$6+$B$8*(P36+$B$21)+0*$B$15</f>
        <v>-3.78900597697178</v>
      </c>
      <c r="R36" s="11" t="n">
        <f aca="false">$B$7+$B$9*(P36+$B$21)+0*$B$15</f>
        <v>0.118888738135526</v>
      </c>
      <c r="S36" s="32" t="n">
        <f aca="false">1/(1+EXP(-(Q36+R36*(O36-$B$14))))</f>
        <v>0.0654020419676293</v>
      </c>
      <c r="T36" s="32" t="n">
        <f aca="false">$B$20*S36</f>
        <v>0.0523216335741034</v>
      </c>
      <c r="U36" s="11" t="n">
        <f aca="false">Q36-$B$19*$B$17*SQRT(MAX(P36,0))</f>
        <v>-3.95425645852442</v>
      </c>
      <c r="V36" s="11" t="n">
        <f aca="false">R36-$B$19*$B$13*$B$18*SQRT(MAX(P36,0))</f>
        <v>0.112223800737319</v>
      </c>
      <c r="W36" s="32" t="n">
        <f aca="false">1/(1+EXP(-(U36+V36*(O36-$B$14))))</f>
        <v>0.052743450953162</v>
      </c>
      <c r="X36" s="32" t="n">
        <f aca="false">X35*(1-MIN(1,S35))</f>
        <v>0.678792674379519</v>
      </c>
      <c r="Y36" s="32" t="n">
        <f aca="false">Y35*(1-MIN(1,T35))</f>
        <v>0.734530098131561</v>
      </c>
      <c r="Z36" s="32" t="n">
        <f aca="false">Z35*(1-MIN(1,W35))</f>
        <v>0.712225943475322</v>
      </c>
      <c r="AB36" s="3" t="n">
        <v>94</v>
      </c>
      <c r="AC36" s="34" t="n">
        <f aca="false">AB36-85</f>
        <v>9</v>
      </c>
      <c r="AD36" s="11" t="n">
        <f aca="false">$B$6+$B$8*(AC36+$B$21)+0*$B$15</f>
        <v>-3.78900597697178</v>
      </c>
      <c r="AE36" s="11" t="n">
        <f aca="false">$B$7+$B$9*(AC36+$B$21)+0*$B$15</f>
        <v>0.118888738135526</v>
      </c>
      <c r="AF36" s="32" t="n">
        <f aca="false">1/(1+EXP(-(AD36+AE36*(AB36-$B$14))))</f>
        <v>0.186839950347485</v>
      </c>
      <c r="AG36" s="32" t="n">
        <f aca="false">$B$20*AF36</f>
        <v>0.149471960277988</v>
      </c>
      <c r="AH36" s="11" t="n">
        <f aca="false">AD36-$B$19*$B$17*SQRT(MAX(AC36,0))</f>
        <v>-3.95425645852442</v>
      </c>
      <c r="AI36" s="11" t="n">
        <f aca="false">AE36-$B$19*$B$13*$B$18*SQRT(MAX(AC36,0))</f>
        <v>0.112223800737319</v>
      </c>
      <c r="AJ36" s="32" t="n">
        <f aca="false">1/(1+EXP(-(AH36+AI36*(AB36-$B$14))))</f>
        <v>0.146053900154018</v>
      </c>
      <c r="AK36" s="32" t="n">
        <f aca="false">AK35*(1-MIN(1,AF35))</f>
        <v>0.305984721707356</v>
      </c>
      <c r="AL36" s="32" t="n">
        <f aca="false">AL35*(1-MIN(1,AG35))</f>
        <v>0.393071425538675</v>
      </c>
      <c r="AM36" s="32" t="n">
        <f aca="false">AM35*(1-MIN(1,AJ35))</f>
        <v>0.367288817672274</v>
      </c>
    </row>
    <row r="37" customFormat="false" ht="15" hidden="false" customHeight="true" outlineLevel="0" collapsed="false">
      <c r="B37" s="3" t="n">
        <v>75</v>
      </c>
      <c r="C37" s="34" t="n">
        <f aca="false">B37-65</f>
        <v>10</v>
      </c>
      <c r="D37" s="11" t="n">
        <f aca="false">$B$6+$B$8*(C37+$B$21)+0*$B$15</f>
        <v>-3.8108091886868</v>
      </c>
      <c r="E37" s="11" t="n">
        <f aca="false">$B$7+$B$9*(C37+$B$21)+0*$B$15</f>
        <v>0.119435301435853</v>
      </c>
      <c r="F37" s="32" t="n">
        <f aca="false">1/(1+EXP(-(D37+E37*(B37-$B$14))))</f>
        <v>0.0229528782811515</v>
      </c>
      <c r="G37" s="32" t="n">
        <f aca="false">$B$20*F37</f>
        <v>0.0183623026249212</v>
      </c>
      <c r="H37" s="11" t="n">
        <f aca="false">D37-$B$19*$B$17*SQRT(MAX(C37,0))</f>
        <v>-3.98499849073545</v>
      </c>
      <c r="I37" s="11" t="n">
        <f aca="false">E37-$B$19*$B$13*$B$18*SQRT(MAX(C37,0))</f>
        <v>0.112409840555597</v>
      </c>
      <c r="J37" s="32" t="n">
        <f aca="false">1/(1+EXP(-(H37+I37*(B37-$B$14))))</f>
        <v>0.0192880402370536</v>
      </c>
      <c r="K37" s="32" t="n">
        <f aca="false">K36*(1-MIN(1,F36))</f>
        <v>0.866010158948171</v>
      </c>
      <c r="L37" s="32" t="n">
        <f aca="false">L36*(1-MIN(1,G36))</f>
        <v>0.89144685742981</v>
      </c>
      <c r="M37" s="32" t="n">
        <f aca="false">M36*(1-MIN(1,J36))</f>
        <v>0.878029832896363</v>
      </c>
      <c r="O37" s="3" t="n">
        <v>85</v>
      </c>
      <c r="P37" s="34" t="n">
        <f aca="false">O37-75</f>
        <v>10</v>
      </c>
      <c r="Q37" s="11" t="n">
        <f aca="false">$B$6+$B$8*(P37+$B$21)+0*$B$15</f>
        <v>-3.8108091886868</v>
      </c>
      <c r="R37" s="11" t="n">
        <f aca="false">$B$7+$B$9*(P37+$B$21)+0*$B$15</f>
        <v>0.119435301435853</v>
      </c>
      <c r="S37" s="32" t="n">
        <f aca="false">1/(1+EXP(-(Q37+R37*(O37-$B$14))))</f>
        <v>0.0719750876325551</v>
      </c>
      <c r="T37" s="32" t="n">
        <f aca="false">$B$20*S37</f>
        <v>0.0575800701060441</v>
      </c>
      <c r="U37" s="11" t="n">
        <f aca="false">Q37-$B$19*$B$17*SQRT(MAX(P37,0))</f>
        <v>-3.98499849073545</v>
      </c>
      <c r="V37" s="11" t="n">
        <f aca="false">R37-$B$19*$B$13*$B$18*SQRT(MAX(P37,0))</f>
        <v>0.112409840555597</v>
      </c>
      <c r="W37" s="32" t="n">
        <f aca="false">1/(1+EXP(-(U37+V37*(O37-$B$14))))</f>
        <v>0.0570709847458407</v>
      </c>
      <c r="X37" s="32" t="n">
        <f aca="false">X36*(1-MIN(1,S36))</f>
        <v>0.63439824740243</v>
      </c>
      <c r="Y37" s="32" t="n">
        <f aca="false">Y36*(1-MIN(1,T36))</f>
        <v>0.696098283487971</v>
      </c>
      <c r="Z37" s="32" t="n">
        <f aca="false">Z36*(1-MIN(1,W36))</f>
        <v>0.674660689358062</v>
      </c>
      <c r="AB37" s="3" t="n">
        <v>95</v>
      </c>
      <c r="AC37" s="34" t="n">
        <f aca="false">AB37-85</f>
        <v>10</v>
      </c>
      <c r="AD37" s="11" t="n">
        <f aca="false">$B$6+$B$8*(AC37+$B$21)+0*$B$15</f>
        <v>-3.8108091886868</v>
      </c>
      <c r="AE37" s="11" t="n">
        <f aca="false">$B$7+$B$9*(AC37+$B$21)+0*$B$15</f>
        <v>0.119435301435853</v>
      </c>
      <c r="AF37" s="32" t="n">
        <f aca="false">1/(1+EXP(-(AD37+AE37*(AB37-$B$14))))</f>
        <v>0.203852868060553</v>
      </c>
      <c r="AG37" s="32" t="n">
        <f aca="false">$B$20*AF37</f>
        <v>0.163082294448443</v>
      </c>
      <c r="AH37" s="11" t="n">
        <f aca="false">AD37-$B$19*$B$17*SQRT(MAX(AC37,0))</f>
        <v>-3.98499849073545</v>
      </c>
      <c r="AI37" s="11" t="n">
        <f aca="false">AE37-$B$19*$B$13*$B$18*SQRT(MAX(AC37,0))</f>
        <v>0.112409840555597</v>
      </c>
      <c r="AJ37" s="32" t="n">
        <f aca="false">1/(1+EXP(-(AH37+AI37*(AB37-$B$14))))</f>
        <v>0.157016464281143</v>
      </c>
      <c r="AK37" s="32" t="n">
        <f aca="false">AK36*(1-MIN(1,AF36))</f>
        <v>0.248814551496465</v>
      </c>
      <c r="AL37" s="32" t="n">
        <f aca="false">AL36*(1-MIN(1,AG36))</f>
        <v>0.334318269034146</v>
      </c>
      <c r="AM37" s="32" t="n">
        <f aca="false">AM36*(1-MIN(1,AJ36))</f>
        <v>0.313644853368281</v>
      </c>
    </row>
    <row r="38" customFormat="false" ht="15" hidden="false" customHeight="true" outlineLevel="0" collapsed="false">
      <c r="B38" s="3" t="n">
        <v>76</v>
      </c>
      <c r="C38" s="34" t="n">
        <f aca="false">B38-65</f>
        <v>11</v>
      </c>
      <c r="D38" s="11" t="n">
        <f aca="false">$B$6+$B$8*(C38+$B$21)+0*$B$15</f>
        <v>-3.83261240040182</v>
      </c>
      <c r="E38" s="11" t="n">
        <f aca="false">$B$7+$B$9*(C38+$B$21)+0*$B$15</f>
        <v>0.119981864736181</v>
      </c>
      <c r="F38" s="32" t="n">
        <f aca="false">1/(1+EXP(-(D38+E38*(B38-$B$14))))</f>
        <v>0.0252676104890249</v>
      </c>
      <c r="G38" s="32" t="n">
        <f aca="false">$B$20*F38</f>
        <v>0.0202140883912199</v>
      </c>
      <c r="H38" s="11" t="n">
        <f aca="false">D38-$B$19*$B$17*SQRT(MAX(C38,0))</f>
        <v>-4.01530368164703</v>
      </c>
      <c r="I38" s="11" t="n">
        <f aca="false">E38-$B$19*$B$13*$B$18*SQRT(MAX(C38,0))</f>
        <v>0.112613499202495</v>
      </c>
      <c r="J38" s="32" t="n">
        <f aca="false">1/(1+EXP(-(H38+I38*(B38-$B$14))))</f>
        <v>0.0209102584204096</v>
      </c>
      <c r="K38" s="32" t="n">
        <f aca="false">K37*(1-MIN(1,F37))</f>
        <v>0.846132733179593</v>
      </c>
      <c r="L38" s="32" t="n">
        <f aca="false">L37*(1-MIN(1,G37))</f>
        <v>0.875077840459649</v>
      </c>
      <c r="M38" s="32" t="n">
        <f aca="false">M37*(1-MIN(1,J37))</f>
        <v>0.861094358150125</v>
      </c>
      <c r="O38" s="3" t="n">
        <v>86</v>
      </c>
      <c r="P38" s="34" t="n">
        <f aca="false">O38-75</f>
        <v>11</v>
      </c>
      <c r="Q38" s="11" t="n">
        <f aca="false">$B$6+$B$8*(P38+$B$21)+0*$B$15</f>
        <v>-3.83261240040182</v>
      </c>
      <c r="R38" s="11" t="n">
        <f aca="false">$B$7+$B$9*(P38+$B$21)+0*$B$15</f>
        <v>0.119981864736181</v>
      </c>
      <c r="S38" s="32" t="n">
        <f aca="false">1/(1+EXP(-(Q38+R38*(O38-$B$14))))</f>
        <v>0.0792325027190212</v>
      </c>
      <c r="T38" s="32" t="n">
        <f aca="false">$B$20*S38</f>
        <v>0.0633860021752169</v>
      </c>
      <c r="U38" s="11" t="n">
        <f aca="false">Q38-$B$19*$B$17*SQRT(MAX(P38,0))</f>
        <v>-4.01530368164703</v>
      </c>
      <c r="V38" s="11" t="n">
        <f aca="false">R38-$B$19*$B$13*$B$18*SQRT(MAX(P38,0))</f>
        <v>0.112613499202495</v>
      </c>
      <c r="W38" s="32" t="n">
        <f aca="false">1/(1+EXP(-(U38+V38*(O38-$B$14))))</f>
        <v>0.0617890622895832</v>
      </c>
      <c r="X38" s="32" t="n">
        <f aca="false">X37*(1-MIN(1,S37))</f>
        <v>0.588737377951701</v>
      </c>
      <c r="Y38" s="32" t="n">
        <f aca="false">Y37*(1-MIN(1,T37))</f>
        <v>0.656016895524037</v>
      </c>
      <c r="Z38" s="32" t="n">
        <f aca="false">Z37*(1-MIN(1,W37))</f>
        <v>0.636157139447089</v>
      </c>
      <c r="AB38" s="3" t="n">
        <v>96</v>
      </c>
      <c r="AC38" s="34" t="n">
        <f aca="false">AB38-85</f>
        <v>11</v>
      </c>
      <c r="AD38" s="11" t="n">
        <f aca="false">$B$6+$B$8*(AC38+$B$21)+0*$B$15</f>
        <v>-3.83261240040182</v>
      </c>
      <c r="AE38" s="11" t="n">
        <f aca="false">$B$7+$B$9*(AC38+$B$21)+0*$B$15</f>
        <v>0.119981864736181</v>
      </c>
      <c r="AF38" s="32" t="n">
        <f aca="false">1/(1+EXP(-(AD38+AE38*(AB38-$B$14))))</f>
        <v>0.222180857551498</v>
      </c>
      <c r="AG38" s="32" t="n">
        <f aca="false">$B$20*AF38</f>
        <v>0.177744686041198</v>
      </c>
      <c r="AH38" s="11" t="n">
        <f aca="false">AD38-$B$19*$B$17*SQRT(MAX(AC38,0))</f>
        <v>-4.01530368164703</v>
      </c>
      <c r="AI38" s="11" t="n">
        <f aca="false">AE38-$B$19*$B$13*$B$18*SQRT(MAX(AC38,0))</f>
        <v>0.112613499202495</v>
      </c>
      <c r="AJ38" s="32" t="n">
        <f aca="false">1/(1+EXP(-(AH38+AI38*(AB38-$B$14))))</f>
        <v>0.168805950320595</v>
      </c>
      <c r="AK38" s="32" t="n">
        <f aca="false">AK37*(1-MIN(1,AF37))</f>
        <v>0.19809299155871</v>
      </c>
      <c r="AL38" s="32" t="n">
        <f aca="false">AL37*(1-MIN(1,AG37))</f>
        <v>0.279796878644026</v>
      </c>
      <c r="AM38" s="32" t="n">
        <f aca="false">AM37*(1-MIN(1,AJ37))</f>
        <v>0.264397447452416</v>
      </c>
    </row>
    <row r="39" customFormat="false" ht="15" hidden="false" customHeight="true" outlineLevel="0" collapsed="false">
      <c r="B39" s="3" t="n">
        <v>77</v>
      </c>
      <c r="C39" s="34" t="n">
        <f aca="false">B39-65</f>
        <v>12</v>
      </c>
      <c r="D39" s="11" t="n">
        <f aca="false">$B$6+$B$8*(C39+$B$21)+0*$B$15</f>
        <v>-3.85441561211684</v>
      </c>
      <c r="E39" s="11" t="n">
        <f aca="false">$B$7+$B$9*(C39+$B$21)+0*$B$15</f>
        <v>0.120528428036509</v>
      </c>
      <c r="F39" s="32" t="n">
        <f aca="false">1/(1+EXP(-(D39+E39*(B39-$B$14))))</f>
        <v>0.0278387015208634</v>
      </c>
      <c r="G39" s="32" t="n">
        <f aca="false">$B$20*F39</f>
        <v>0.0222709612166907</v>
      </c>
      <c r="H39" s="11" t="n">
        <f aca="false">D39-$B$19*$B$17*SQRT(MAX(C39,0))</f>
        <v>-4.0452304321331</v>
      </c>
      <c r="I39" s="11" t="n">
        <f aca="false">E39-$B$19*$B$13*$B$18*SQRT(MAX(C39,0))</f>
        <v>0.112832421234536</v>
      </c>
      <c r="J39" s="32" t="n">
        <f aca="false">1/(1+EXP(-(H39+I39*(B39-$B$14))))</f>
        <v>0.022684018392844</v>
      </c>
      <c r="K39" s="32" t="n">
        <f aca="false">K38*(1-MIN(1,F38))</f>
        <v>0.824752980855597</v>
      </c>
      <c r="L39" s="32" t="n">
        <f aca="false">L38*(1-MIN(1,G38))</f>
        <v>0.8573889396434</v>
      </c>
      <c r="M39" s="32" t="n">
        <f aca="false">M38*(1-MIN(1,J38))</f>
        <v>0.843088652596849</v>
      </c>
      <c r="O39" s="3" t="n">
        <v>87</v>
      </c>
      <c r="P39" s="34" t="n">
        <f aca="false">O39-75</f>
        <v>12</v>
      </c>
      <c r="Q39" s="11" t="n">
        <f aca="false">$B$6+$B$8*(P39+$B$21)+0*$B$15</f>
        <v>-3.85441561211684</v>
      </c>
      <c r="R39" s="11" t="n">
        <f aca="false">$B$7+$B$9*(P39+$B$21)+0*$B$15</f>
        <v>0.120528428036509</v>
      </c>
      <c r="S39" s="32" t="n">
        <f aca="false">1/(1+EXP(-(Q39+R39*(O39-$B$14))))</f>
        <v>0.0872399819547805</v>
      </c>
      <c r="T39" s="32" t="n">
        <f aca="false">$B$20*S39</f>
        <v>0.0697919855638244</v>
      </c>
      <c r="U39" s="11" t="n">
        <f aca="false">Q39-$B$19*$B$17*SQRT(MAX(P39,0))</f>
        <v>-4.0452304321331</v>
      </c>
      <c r="V39" s="11" t="n">
        <f aca="false">R39-$B$19*$B$13*$B$18*SQRT(MAX(P39,0))</f>
        <v>0.112832421234536</v>
      </c>
      <c r="W39" s="32" t="n">
        <f aca="false">1/(1+EXP(-(U39+V39*(O39-$B$14))))</f>
        <v>0.0669304846798839</v>
      </c>
      <c r="X39" s="32" t="n">
        <f aca="false">X38*(1-MIN(1,S38))</f>
        <v>0.542090242052353</v>
      </c>
      <c r="Y39" s="32" t="n">
        <f aca="false">Y38*(1-MIN(1,T38))</f>
        <v>0.614434607157371</v>
      </c>
      <c r="Z39" s="32" t="n">
        <f aca="false">Z38*(1-MIN(1,W38))</f>
        <v>0.59684958633183</v>
      </c>
      <c r="AB39" s="3" t="n">
        <v>97</v>
      </c>
      <c r="AC39" s="34" t="n">
        <f aca="false">AB39-85</f>
        <v>12</v>
      </c>
      <c r="AD39" s="11" t="n">
        <f aca="false">$B$6+$B$8*(AC39+$B$21)+0*$B$15</f>
        <v>-3.85441561211684</v>
      </c>
      <c r="AE39" s="11" t="n">
        <f aca="false">$B$7+$B$9*(AC39+$B$21)+0*$B$15</f>
        <v>0.120528428036509</v>
      </c>
      <c r="AF39" s="32" t="n">
        <f aca="false">1/(1+EXP(-(AD39+AE39*(AB39-$B$14))))</f>
        <v>0.241856889707176</v>
      </c>
      <c r="AG39" s="32" t="n">
        <f aca="false">$B$20*AF39</f>
        <v>0.19348551176574</v>
      </c>
      <c r="AH39" s="11" t="n">
        <f aca="false">AD39-$B$19*$B$17*SQRT(MAX(AC39,0))</f>
        <v>-4.0452304321331</v>
      </c>
      <c r="AI39" s="11" t="n">
        <f aca="false">AE39-$B$19*$B$13*$B$18*SQRT(MAX(AC39,0))</f>
        <v>0.112832421234536</v>
      </c>
      <c r="AJ39" s="32" t="n">
        <f aca="false">1/(1+EXP(-(AH39+AI39*(AB39-$B$14))))</f>
        <v>0.181457930569023</v>
      </c>
      <c r="AK39" s="32" t="n">
        <f aca="false">AK38*(1-MIN(1,AF38))</f>
        <v>0.154080520819254</v>
      </c>
      <c r="AL39" s="32" t="n">
        <f aca="false">AL38*(1-MIN(1,AG38))</f>
        <v>0.230064470294136</v>
      </c>
      <c r="AM39" s="32" t="n">
        <f aca="false">AM38*(1-MIN(1,AJ38))</f>
        <v>0.219765585072871</v>
      </c>
    </row>
    <row r="40" customFormat="false" ht="15" hidden="false" customHeight="true" outlineLevel="0" collapsed="false">
      <c r="B40" s="3" t="n">
        <v>78</v>
      </c>
      <c r="C40" s="34" t="n">
        <f aca="false">B40-65</f>
        <v>13</v>
      </c>
      <c r="D40" s="11" t="n">
        <f aca="false">$B$6+$B$8*(C40+$B$21)+0*$B$15</f>
        <v>-3.87621882383186</v>
      </c>
      <c r="E40" s="11" t="n">
        <f aca="false">$B$7+$B$9*(C40+$B$21)+0*$B$15</f>
        <v>0.121074991336837</v>
      </c>
      <c r="F40" s="32" t="n">
        <f aca="false">1/(1+EXP(-(D40+E40*(B40-$B$14))))</f>
        <v>0.0306956899995712</v>
      </c>
      <c r="G40" s="32" t="n">
        <f aca="false">$B$20*F40</f>
        <v>0.0245565519996569</v>
      </c>
      <c r="H40" s="11" t="n">
        <f aca="false">D40-$B$19*$B$17*SQRT(MAX(C40,0))</f>
        <v>-4.07482518534291</v>
      </c>
      <c r="I40" s="11" t="n">
        <f aca="false">E40-$B$19*$B$13*$B$18*SQRT(MAX(C40,0))</f>
        <v>0.113064733491173</v>
      </c>
      <c r="J40" s="32" t="n">
        <f aca="false">1/(1+EXP(-(H40+I40*(B40-$B$14))))</f>
        <v>0.0246240682693928</v>
      </c>
      <c r="K40" s="32" t="n">
        <f aca="false">K39*(1-MIN(1,F39))</f>
        <v>0.801792928793116</v>
      </c>
      <c r="L40" s="32" t="n">
        <f aca="false">L39*(1-MIN(1,G39))</f>
        <v>0.838294063820982</v>
      </c>
      <c r="M40" s="32" t="n">
        <f aca="false">M39*(1-MIN(1,J39))</f>
        <v>0.823964014094544</v>
      </c>
      <c r="O40" s="3" t="n">
        <v>88</v>
      </c>
      <c r="P40" s="34" t="n">
        <f aca="false">O40-75</f>
        <v>13</v>
      </c>
      <c r="Q40" s="11" t="n">
        <f aca="false">$B$6+$B$8*(P40+$B$21)+0*$B$15</f>
        <v>-3.87621882383186</v>
      </c>
      <c r="R40" s="11" t="n">
        <f aca="false">$B$7+$B$9*(P40+$B$21)+0*$B$15</f>
        <v>0.121074991336837</v>
      </c>
      <c r="S40" s="32" t="n">
        <f aca="false">1/(1+EXP(-(Q40+R40*(O40-$B$14))))</f>
        <v>0.0960672550536896</v>
      </c>
      <c r="T40" s="32" t="n">
        <f aca="false">$B$20*S40</f>
        <v>0.0768538040429517</v>
      </c>
      <c r="U40" s="11" t="n">
        <f aca="false">Q40-$B$19*$B$17*SQRT(MAX(P40,0))</f>
        <v>-4.07482518534291</v>
      </c>
      <c r="V40" s="11" t="n">
        <f aca="false">R40-$B$19*$B$13*$B$18*SQRT(MAX(P40,0))</f>
        <v>0.113064733491173</v>
      </c>
      <c r="W40" s="32" t="n">
        <f aca="false">1/(1+EXP(-(U40+V40*(O40-$B$14))))</f>
        <v>0.0725305984549066</v>
      </c>
      <c r="X40" s="32" t="n">
        <f aca="false">X39*(1-MIN(1,S39))</f>
        <v>0.494798299117843</v>
      </c>
      <c r="Y40" s="32" t="n">
        <f aca="false">Y39*(1-MIN(1,T39))</f>
        <v>0.57155199592473</v>
      </c>
      <c r="Z40" s="32" t="n">
        <f aca="false">Z39*(1-MIN(1,W39))</f>
        <v>0.556902154237652</v>
      </c>
      <c r="AB40" s="3" t="n">
        <v>98</v>
      </c>
      <c r="AC40" s="34" t="n">
        <f aca="false">AB40-85</f>
        <v>13</v>
      </c>
      <c r="AD40" s="11" t="n">
        <f aca="false">$B$6+$B$8*(AC40+$B$21)+0*$B$15</f>
        <v>-3.87621882383186</v>
      </c>
      <c r="AE40" s="11" t="n">
        <f aca="false">$B$7+$B$9*(AC40+$B$21)+0*$B$15</f>
        <v>0.121074991336837</v>
      </c>
      <c r="AF40" s="32" t="n">
        <f aca="false">1/(1+EXP(-(AD40+AE40*(AB40-$B$14))))</f>
        <v>0.262898703404432</v>
      </c>
      <c r="AG40" s="32" t="n">
        <f aca="false">$B$20*AF40</f>
        <v>0.210318962723545</v>
      </c>
      <c r="AH40" s="11" t="n">
        <f aca="false">AD40-$B$19*$B$17*SQRT(MAX(AC40,0))</f>
        <v>-4.07482518534291</v>
      </c>
      <c r="AI40" s="11" t="n">
        <f aca="false">AE40-$B$19*$B$13*$B$18*SQRT(MAX(AC40,0))</f>
        <v>0.113064733491173</v>
      </c>
      <c r="AJ40" s="32" t="n">
        <f aca="false">1/(1+EXP(-(AH40+AI40*(AB40-$B$14))))</f>
        <v>0.195006086079757</v>
      </c>
      <c r="AK40" s="32" t="n">
        <f aca="false">AK39*(1-MIN(1,AF39))</f>
        <v>0.116815085289448</v>
      </c>
      <c r="AL40" s="32" t="n">
        <f aca="false">AL39*(1-MIN(1,AG39))</f>
        <v>0.185550328520161</v>
      </c>
      <c r="AM40" s="32" t="n">
        <f aca="false">AM39*(1-MIN(1,AJ39))</f>
        <v>0.179887376795257</v>
      </c>
    </row>
    <row r="41" customFormat="false" ht="15" hidden="false" customHeight="true" outlineLevel="0" collapsed="false">
      <c r="B41" s="3" t="n">
        <v>79</v>
      </c>
      <c r="C41" s="34" t="n">
        <f aca="false">B41-65</f>
        <v>14</v>
      </c>
      <c r="D41" s="11" t="n">
        <f aca="false">$B$6+$B$8*(C41+$B$21)+0*$B$15</f>
        <v>-3.89802203554688</v>
      </c>
      <c r="E41" s="11" t="n">
        <f aca="false">$B$7+$B$9*(C41+$B$21)+0*$B$15</f>
        <v>0.121621554637165</v>
      </c>
      <c r="F41" s="32" t="n">
        <f aca="false">1/(1+EXP(-(D41+E41*(B41-$B$14))))</f>
        <v>0.0338714298272901</v>
      </c>
      <c r="G41" s="32" t="n">
        <f aca="false">$B$20*F41</f>
        <v>0.0270971438618321</v>
      </c>
      <c r="H41" s="11" t="n">
        <f aca="false">D41-$B$19*$B$17*SQRT(MAX(C41,0))</f>
        <v>-4.10412559720334</v>
      </c>
      <c r="I41" s="11" t="n">
        <f aca="false">E41-$B$19*$B$13*$B$18*SQRT(MAX(C41,0))</f>
        <v>0.113308917221036</v>
      </c>
      <c r="J41" s="32" t="n">
        <f aca="false">1/(1+EXP(-(H41+I41*(B41-$B$14))))</f>
        <v>0.0267466428933798</v>
      </c>
      <c r="K41" s="32" t="n">
        <f aca="false">K40*(1-MIN(1,F40))</f>
        <v>0.777181341607034</v>
      </c>
      <c r="L41" s="32" t="n">
        <f aca="false">L40*(1-MIN(1,G40))</f>
        <v>0.817708452051758</v>
      </c>
      <c r="M41" s="32" t="n">
        <f aca="false">M40*(1-MIN(1,J40))</f>
        <v>0.803674667959957</v>
      </c>
      <c r="O41" s="3" t="n">
        <v>89</v>
      </c>
      <c r="P41" s="34" t="n">
        <f aca="false">O41-75</f>
        <v>14</v>
      </c>
      <c r="Q41" s="11" t="n">
        <f aca="false">$B$6+$B$8*(P41+$B$21)+0*$B$15</f>
        <v>-3.89802203554688</v>
      </c>
      <c r="R41" s="11" t="n">
        <f aca="false">$B$7+$B$9*(P41+$B$21)+0*$B$15</f>
        <v>0.121621554637165</v>
      </c>
      <c r="S41" s="32" t="n">
        <f aca="false">1/(1+EXP(-(Q41+R41*(O41-$B$14))))</f>
        <v>0.105787649876297</v>
      </c>
      <c r="T41" s="32" t="n">
        <f aca="false">$B$20*S41</f>
        <v>0.0846301199010377</v>
      </c>
      <c r="U41" s="11" t="n">
        <f aca="false">Q41-$B$19*$B$17*SQRT(MAX(P41,0))</f>
        <v>-4.10412559720334</v>
      </c>
      <c r="V41" s="11" t="n">
        <f aca="false">R41-$B$19*$B$13*$B$18*SQRT(MAX(P41,0))</f>
        <v>0.113308917221036</v>
      </c>
      <c r="W41" s="32" t="n">
        <f aca="false">1/(1+EXP(-(U41+V41*(O41-$B$14))))</f>
        <v>0.0786272535166563</v>
      </c>
      <c r="X41" s="32" t="n">
        <f aca="false">X40*(1-MIN(1,S40))</f>
        <v>0.447264384716358</v>
      </c>
      <c r="Y41" s="32" t="n">
        <f aca="false">Y40*(1-MIN(1,T40))</f>
        <v>0.527626050829573</v>
      </c>
      <c r="Z41" s="32" t="n">
        <f aca="false">Z40*(1-MIN(1,W40))</f>
        <v>0.516509707709969</v>
      </c>
      <c r="AB41" s="3" t="n">
        <v>99</v>
      </c>
      <c r="AC41" s="34" t="n">
        <f aca="false">AB41-85</f>
        <v>14</v>
      </c>
      <c r="AD41" s="11" t="n">
        <f aca="false">$B$6+$B$8*(AC41+$B$21)+0*$B$15</f>
        <v>-3.89802203554688</v>
      </c>
      <c r="AE41" s="11" t="n">
        <f aca="false">$B$7+$B$9*(AC41+$B$21)+0*$B$15</f>
        <v>0.121621554637165</v>
      </c>
      <c r="AF41" s="32" t="n">
        <f aca="false">1/(1+EXP(-(AD41+AE41*(AB41-$B$14))))</f>
        <v>0.285305641865103</v>
      </c>
      <c r="AG41" s="32" t="n">
        <f aca="false">$B$20*AF41</f>
        <v>0.228244513492083</v>
      </c>
      <c r="AH41" s="11" t="n">
        <f aca="false">AD41-$B$19*$B$17*SQRT(MAX(AC41,0))</f>
        <v>-4.10412559720334</v>
      </c>
      <c r="AI41" s="11" t="n">
        <f aca="false">AE41-$B$19*$B$13*$B$18*SQRT(MAX(AC41,0))</f>
        <v>0.113308917221036</v>
      </c>
      <c r="AJ41" s="32" t="n">
        <f aca="false">1/(1+EXP(-(AH41+AI41*(AB41-$B$14))))</f>
        <v>0.209480921070374</v>
      </c>
      <c r="AK41" s="32" t="n">
        <f aca="false">AK40*(1-MIN(1,AF40))</f>
        <v>0.0861045508287739</v>
      </c>
      <c r="AL41" s="32" t="n">
        <f aca="false">AL40*(1-MIN(1,AG40))</f>
        <v>0.146525575892788</v>
      </c>
      <c r="AM41" s="32" t="n">
        <f aca="false">AM40*(1-MIN(1,AJ40))</f>
        <v>0.14480824351126</v>
      </c>
    </row>
    <row r="42" customFormat="false" ht="15" hidden="false" customHeight="true" outlineLevel="0" collapsed="false">
      <c r="B42" s="3" t="n">
        <v>80</v>
      </c>
      <c r="C42" s="34" t="n">
        <f aca="false">B42-65</f>
        <v>15</v>
      </c>
      <c r="D42" s="11" t="n">
        <f aca="false">$B$6+$B$8*(C42+$B$21)+0*$B$15</f>
        <v>-3.9198252472619</v>
      </c>
      <c r="E42" s="11" t="n">
        <f aca="false">$B$7+$B$9*(C42+$B$21)+0*$B$15</f>
        <v>0.122168117937493</v>
      </c>
      <c r="F42" s="32" t="n">
        <f aca="false">1/(1+EXP(-(D42+E42*(B42-$B$14))))</f>
        <v>0.0374023996949843</v>
      </c>
      <c r="G42" s="32" t="n">
        <f aca="false">$B$20*F42</f>
        <v>0.0299219197559875</v>
      </c>
      <c r="H42" s="11" t="n">
        <f aca="false">D42-$B$19*$B$17*SQRT(MAX(C42,0))</f>
        <v>-4.13316270159727</v>
      </c>
      <c r="I42" s="11" t="n">
        <f aca="false">E42-$B$19*$B$13*$B$18*SQRT(MAX(C42,0))</f>
        <v>0.113563720755236</v>
      </c>
      <c r="J42" s="32" t="n">
        <f aca="false">1/(1+EXP(-(H42+I42*(B42-$B$14))))</f>
        <v>0.0290695885693623</v>
      </c>
      <c r="K42" s="32" t="n">
        <f aca="false">K41*(1-MIN(1,F41))</f>
        <v>0.750857098331712</v>
      </c>
      <c r="L42" s="32" t="n">
        <f aca="false">L41*(1-MIN(1,G41))</f>
        <v>0.795550888489476</v>
      </c>
      <c r="M42" s="32" t="n">
        <f aca="false">M41*(1-MIN(1,J41))</f>
        <v>0.782179068613576</v>
      </c>
      <c r="O42" s="3" t="n">
        <v>90</v>
      </c>
      <c r="P42" s="34" t="n">
        <f aca="false">O42-75</f>
        <v>15</v>
      </c>
      <c r="Q42" s="11" t="n">
        <f aca="false">$B$6+$B$8*(P42+$B$21)+0*$B$15</f>
        <v>-3.9198252472619</v>
      </c>
      <c r="R42" s="11" t="n">
        <f aca="false">$B$7+$B$9*(P42+$B$21)+0*$B$15</f>
        <v>0.122168117937493</v>
      </c>
      <c r="S42" s="32" t="n">
        <f aca="false">1/(1+EXP(-(Q42+R42*(O42-$B$14))))</f>
        <v>0.116477419502593</v>
      </c>
      <c r="T42" s="32" t="n">
        <f aca="false">$B$20*S42</f>
        <v>0.0931819356020746</v>
      </c>
      <c r="U42" s="11" t="n">
        <f aca="false">Q42-$B$19*$B$17*SQRT(MAX(P42,0))</f>
        <v>-4.13316270159727</v>
      </c>
      <c r="V42" s="11" t="n">
        <f aca="false">R42-$B$19*$B$13*$B$18*SQRT(MAX(P42,0))</f>
        <v>0.113563720755236</v>
      </c>
      <c r="W42" s="32" t="n">
        <f aca="false">1/(1+EXP(-(U42+V42*(O42-$B$14))))</f>
        <v>0.0852607355071733</v>
      </c>
      <c r="X42" s="32" t="n">
        <f aca="false">X41*(1-MIN(1,S41))</f>
        <v>0.399949336583846</v>
      </c>
      <c r="Y42" s="32" t="n">
        <f aca="false">Y41*(1-MIN(1,T41))</f>
        <v>0.482972994884955</v>
      </c>
      <c r="Z42" s="32" t="n">
        <f aca="false">Z41*(1-MIN(1,W41))</f>
        <v>0.475897967978043</v>
      </c>
      <c r="AB42" s="3" t="n">
        <v>100</v>
      </c>
      <c r="AC42" s="34" t="n">
        <f aca="false">AB42-85</f>
        <v>15</v>
      </c>
      <c r="AD42" s="11" t="n">
        <f aca="false">$B$6+$B$8*(AC42+$B$21)+0*$B$15</f>
        <v>-3.9198252472619</v>
      </c>
      <c r="AE42" s="11" t="n">
        <f aca="false">$B$7+$B$9*(AC42+$B$21)+0*$B$15</f>
        <v>0.122168117937493</v>
      </c>
      <c r="AF42" s="32" t="n">
        <f aca="false">1/(1+EXP(-(AD42+AE42*(AB42-$B$14))))</f>
        <v>0.309055583256552</v>
      </c>
      <c r="AG42" s="32" t="n">
        <f aca="false">$B$20*AF42</f>
        <v>0.247244466605241</v>
      </c>
      <c r="AH42" s="11" t="n">
        <f aca="false">AD42-$B$19*$B$17*SQRT(MAX(AC42,0))</f>
        <v>-4.13316270159727</v>
      </c>
      <c r="AI42" s="11" t="n">
        <f aca="false">AE42-$B$19*$B$13*$B$18*SQRT(MAX(AC42,0))</f>
        <v>0.113563720755236</v>
      </c>
      <c r="AJ42" s="32" t="n">
        <f aca="false">1/(1+EXP(-(AH42+AI42*(AB42-$B$14))))</f>
        <v>0.22490843231588</v>
      </c>
      <c r="AK42" s="32" t="n">
        <f aca="false">AK41*(1-MIN(1,AF41))</f>
        <v>0.0615384366870641</v>
      </c>
      <c r="AL42" s="32" t="n">
        <f aca="false">AL41*(1-MIN(1,AG41))</f>
        <v>0.113081917108991</v>
      </c>
      <c r="AM42" s="32" t="n">
        <f aca="false">AM41*(1-MIN(1,AJ41))</f>
        <v>0.114473679281938</v>
      </c>
    </row>
    <row r="43" customFormat="false" ht="15" hidden="false" customHeight="true" outlineLevel="0" collapsed="false">
      <c r="B43" s="3" t="n">
        <v>81</v>
      </c>
      <c r="C43" s="34" t="n">
        <f aca="false">B43-65</f>
        <v>16</v>
      </c>
      <c r="D43" s="11" t="n">
        <f aca="false">$B$6+$B$8*(C43+$B$21)+0*$B$15</f>
        <v>-3.94162845897692</v>
      </c>
      <c r="E43" s="11" t="n">
        <f aca="false">$B$7+$B$9*(C43+$B$21)+0*$B$15</f>
        <v>0.122714681237821</v>
      </c>
      <c r="F43" s="32" t="n">
        <f aca="false">1/(1+EXP(-(D43+E43*(B43-$B$14))))</f>
        <v>0.041329019282201</v>
      </c>
      <c r="G43" s="32" t="n">
        <f aca="false">$B$20*F43</f>
        <v>0.0330632154257608</v>
      </c>
      <c r="H43" s="11" t="n">
        <f aca="false">D43-$B$19*$B$17*SQRT(MAX(C43,0))</f>
        <v>-4.16196243438043</v>
      </c>
      <c r="I43" s="11" t="n">
        <f aca="false">E43-$B$19*$B$13*$B$18*SQRT(MAX(C43,0))</f>
        <v>0.113828098040212</v>
      </c>
      <c r="J43" s="32" t="n">
        <f aca="false">1/(1+EXP(-(H43+I43*(B43-$B$14))))</f>
        <v>0.0316124971828603</v>
      </c>
      <c r="K43" s="32" t="n">
        <f aca="false">K42*(1-MIN(1,F42))</f>
        <v>0.722773241026094</v>
      </c>
      <c r="L43" s="32" t="n">
        <f aca="false">L42*(1-MIN(1,G42))</f>
        <v>0.771746478642289</v>
      </c>
      <c r="M43" s="32" t="n">
        <f aca="false">M42*(1-MIN(1,J42))</f>
        <v>0.759441444901413</v>
      </c>
      <c r="O43" s="3" t="n">
        <v>91</v>
      </c>
      <c r="P43" s="34" t="n">
        <f aca="false">O43-75</f>
        <v>16</v>
      </c>
      <c r="Q43" s="11" t="n">
        <f aca="false">$B$6+$B$8*(P43+$B$21)+0*$B$15</f>
        <v>-3.94162845897692</v>
      </c>
      <c r="R43" s="11" t="n">
        <f aca="false">$B$7+$B$9*(P43+$B$21)+0*$B$15</f>
        <v>0.122714681237821</v>
      </c>
      <c r="S43" s="32" t="n">
        <f aca="false">1/(1+EXP(-(Q43+R43*(O43-$B$14))))</f>
        <v>0.128214784607969</v>
      </c>
      <c r="T43" s="32" t="n">
        <f aca="false">$B$20*S43</f>
        <v>0.102571827686375</v>
      </c>
      <c r="U43" s="11" t="n">
        <f aca="false">Q43-$B$19*$B$17*SQRT(MAX(P43,0))</f>
        <v>-4.16196243438043</v>
      </c>
      <c r="V43" s="11" t="n">
        <f aca="false">R43-$B$19*$B$13*$B$18*SQRT(MAX(P43,0))</f>
        <v>0.113828098040212</v>
      </c>
      <c r="W43" s="32" t="n">
        <f aca="false">1/(1+EXP(-(U43+V43*(O43-$B$14))))</f>
        <v>0.0924736538387221</v>
      </c>
      <c r="X43" s="32" t="n">
        <f aca="false">X42*(1-MIN(1,S42))</f>
        <v>0.353364269926786</v>
      </c>
      <c r="Y43" s="32" t="n">
        <f aca="false">Y42*(1-MIN(1,T42))</f>
        <v>0.437968636378044</v>
      </c>
      <c r="Z43" s="32" t="n">
        <f aca="false">Z42*(1-MIN(1,W42))</f>
        <v>0.435322557201866</v>
      </c>
      <c r="AB43" s="3" t="n">
        <v>101</v>
      </c>
      <c r="AC43" s="34" t="n">
        <f aca="false">AB43-85</f>
        <v>16</v>
      </c>
      <c r="AD43" s="11" t="n">
        <f aca="false">$B$6+$B$8*(AC43+$B$21)+0*$B$15</f>
        <v>-3.94162845897692</v>
      </c>
      <c r="AE43" s="11" t="n">
        <f aca="false">$B$7+$B$9*(AC43+$B$21)+0*$B$15</f>
        <v>0.122714681237821</v>
      </c>
      <c r="AF43" s="32" t="n">
        <f aca="false">1/(1+EXP(-(AD43+AE43*(AB43-$B$14))))</f>
        <v>0.334102169952403</v>
      </c>
      <c r="AG43" s="32" t="n">
        <f aca="false">$B$20*AF43</f>
        <v>0.267281735961922</v>
      </c>
      <c r="AH43" s="11" t="n">
        <f aca="false">AD43-$B$19*$B$17*SQRT(MAX(AC43,0))</f>
        <v>-4.16196243438043</v>
      </c>
      <c r="AI43" s="11" t="n">
        <f aca="false">AE43-$B$19*$B$13*$B$18*SQRT(MAX(AC43,0))</f>
        <v>0.113828098040212</v>
      </c>
      <c r="AJ43" s="32" t="n">
        <f aca="false">1/(1+EXP(-(AH43+AI43*(AB43-$B$14))))</f>
        <v>0.241308720558972</v>
      </c>
      <c r="AK43" s="32" t="n">
        <f aca="false">AK42*(1-MIN(1,AF42))</f>
        <v>0.0425196392440471</v>
      </c>
      <c r="AL43" s="32" t="n">
        <f aca="false">AL42*(1-MIN(1,AG42))</f>
        <v>0.0851230388306806</v>
      </c>
      <c r="AM43" s="32" t="n">
        <f aca="false">AM42*(1-MIN(1,AJ42))</f>
        <v>0.0887275835332064</v>
      </c>
    </row>
    <row r="44" customFormat="false" ht="15" hidden="false" customHeight="true" outlineLevel="0" collapsed="false">
      <c r="B44" s="3" t="n">
        <v>82</v>
      </c>
      <c r="C44" s="34" t="n">
        <f aca="false">B44-65</f>
        <v>17</v>
      </c>
      <c r="D44" s="11" t="n">
        <f aca="false">$B$6+$B$8*(C44+$B$21)+0*$B$15</f>
        <v>-3.96343167069194</v>
      </c>
      <c r="E44" s="11" t="n">
        <f aca="false">$B$7+$B$9*(C44+$B$21)+0*$B$15</f>
        <v>0.123261244538148</v>
      </c>
      <c r="F44" s="32" t="n">
        <f aca="false">1/(1+EXP(-(D44+E44*(B44-$B$14))))</f>
        <v>0.0456959640494846</v>
      </c>
      <c r="G44" s="32" t="n">
        <f aca="false">$B$20*F44</f>
        <v>0.0365567712395877</v>
      </c>
      <c r="H44" s="11" t="n">
        <f aca="false">D44-$B$19*$B$17*SQRT(MAX(C44,0))</f>
        <v>-4.19054673406717</v>
      </c>
      <c r="I44" s="11" t="n">
        <f aca="false">E44-$B$19*$B$13*$B$18*SQRT(MAX(C44,0))</f>
        <v>0.114101164244503</v>
      </c>
      <c r="J44" s="32" t="n">
        <f aca="false">1/(1+EXP(-(H44+I44*(B44-$B$14))))</f>
        <v>0.0343968479854507</v>
      </c>
      <c r="K44" s="32" t="n">
        <f aca="false">K43*(1-MIN(1,F43))</f>
        <v>0.692901731811067</v>
      </c>
      <c r="L44" s="32" t="n">
        <f aca="false">L43*(1-MIN(1,G43))</f>
        <v>0.746230058564867</v>
      </c>
      <c r="M44" s="32" t="n">
        <f aca="false">M43*(1-MIN(1,J43))</f>
        <v>0.735433604363919</v>
      </c>
      <c r="O44" s="3" t="n">
        <v>92</v>
      </c>
      <c r="P44" s="34" t="n">
        <f aca="false">O44-75</f>
        <v>17</v>
      </c>
      <c r="Q44" s="11" t="n">
        <f aca="false">$B$6+$B$8*(P44+$B$21)+0*$B$15</f>
        <v>-3.96343167069194</v>
      </c>
      <c r="R44" s="11" t="n">
        <f aca="false">$B$7+$B$9*(P44+$B$21)+0*$B$15</f>
        <v>0.123261244538148</v>
      </c>
      <c r="S44" s="32" t="n">
        <f aca="false">1/(1+EXP(-(Q44+R44*(O44-$B$14))))</f>
        <v>0.141078641551815</v>
      </c>
      <c r="T44" s="32" t="n">
        <f aca="false">$B$20*S44</f>
        <v>0.112862913241452</v>
      </c>
      <c r="U44" s="11" t="n">
        <f aca="false">Q44-$B$19*$B$17*SQRT(MAX(P44,0))</f>
        <v>-4.19054673406717</v>
      </c>
      <c r="V44" s="11" t="n">
        <f aca="false">R44-$B$19*$B$13*$B$18*SQRT(MAX(P44,0))</f>
        <v>0.114101164244503</v>
      </c>
      <c r="W44" s="32" t="n">
        <f aca="false">1/(1+EXP(-(U44+V44*(O44-$B$14))))</f>
        <v>0.100310767909526</v>
      </c>
      <c r="X44" s="32" t="n">
        <f aca="false">X43*(1-MIN(1,S43))</f>
        <v>0.30805774616997</v>
      </c>
      <c r="Y44" s="32" t="n">
        <f aca="false">Y43*(1-MIN(1,T43))</f>
        <v>0.393045392875439</v>
      </c>
      <c r="Z44" s="32" t="n">
        <f aca="false">Z43*(1-MIN(1,W43))</f>
        <v>0.395066689738993</v>
      </c>
      <c r="AB44" s="3" t="n">
        <v>102</v>
      </c>
      <c r="AC44" s="34" t="n">
        <f aca="false">AB44-85</f>
        <v>17</v>
      </c>
      <c r="AD44" s="11" t="n">
        <f aca="false">$B$6+$B$8*(AC44+$B$21)+0*$B$15</f>
        <v>-3.96343167069194</v>
      </c>
      <c r="AE44" s="11" t="n">
        <f aca="false">$B$7+$B$9*(AC44+$B$21)+0*$B$15</f>
        <v>0.123261244538148</v>
      </c>
      <c r="AF44" s="32" t="n">
        <f aca="false">1/(1+EXP(-(AD44+AE44*(AB44-$B$14))))</f>
        <v>0.360372571697998</v>
      </c>
      <c r="AG44" s="32" t="n">
        <f aca="false">$B$20*AF44</f>
        <v>0.288298057358399</v>
      </c>
      <c r="AH44" s="11" t="n">
        <f aca="false">AD44-$B$19*$B$17*SQRT(MAX(AC44,0))</f>
        <v>-4.19054673406717</v>
      </c>
      <c r="AI44" s="11" t="n">
        <f aca="false">AE44-$B$19*$B$13*$B$18*SQRT(MAX(AC44,0))</f>
        <v>0.114101164244503</v>
      </c>
      <c r="AJ44" s="32" t="n">
        <f aca="false">1/(1+EXP(-(AH44+AI44*(AB44-$B$14))))</f>
        <v>0.258694552712486</v>
      </c>
      <c r="AK44" s="32" t="n">
        <f aca="false">AK43*(1-MIN(1,AF43))</f>
        <v>0.0283137355070177</v>
      </c>
      <c r="AL44" s="32" t="n">
        <f aca="false">AL43*(1-MIN(1,AG43))</f>
        <v>0.0623712052416622</v>
      </c>
      <c r="AM44" s="32" t="n">
        <f aca="false">AM43*(1-MIN(1,AJ43))</f>
        <v>0.0673168438725191</v>
      </c>
    </row>
    <row r="45" customFormat="false" ht="15" hidden="false" customHeight="true" outlineLevel="0" collapsed="false">
      <c r="B45" s="3" t="n">
        <v>83</v>
      </c>
      <c r="C45" s="34" t="n">
        <f aca="false">B45-65</f>
        <v>18</v>
      </c>
      <c r="D45" s="11" t="n">
        <f aca="false">$B$6+$B$8*(C45+$B$21)+0*$B$15</f>
        <v>-3.98523488240696</v>
      </c>
      <c r="E45" s="11" t="n">
        <f aca="false">$B$7+$B$9*(C45+$B$21)+0*$B$15</f>
        <v>0.123807807838476</v>
      </c>
      <c r="F45" s="32" t="n">
        <f aca="false">1/(1+EXP(-(D45+E45*(B45-$B$14))))</f>
        <v>0.0505524673840187</v>
      </c>
      <c r="G45" s="32" t="n">
        <f aca="false">$B$20*F45</f>
        <v>0.0404419739072149</v>
      </c>
      <c r="H45" s="11" t="n">
        <f aca="false">D45-$B$19*$B$17*SQRT(MAX(C45,0))</f>
        <v>-4.21893435460738</v>
      </c>
      <c r="I45" s="11" t="n">
        <f aca="false">E45-$B$19*$B$13*$B$18*SQRT(MAX(C45,0))</f>
        <v>0.114382162977565</v>
      </c>
      <c r="J45" s="32" t="n">
        <f aca="false">1/(1+EXP(-(H45+I45*(B45-$B$14))))</f>
        <v>0.0374461551330364</v>
      </c>
      <c r="K45" s="32" t="n">
        <f aca="false">K44*(1-MIN(1,F44))</f>
        <v>0.661238919184403</v>
      </c>
      <c r="L45" s="32" t="n">
        <f aca="false">L44*(1-MIN(1,G44))</f>
        <v>0.718950297021807</v>
      </c>
      <c r="M45" s="32" t="n">
        <f aca="false">M44*(1-MIN(1,J44))</f>
        <v>0.710137006471222</v>
      </c>
      <c r="O45" s="3" t="n">
        <v>93</v>
      </c>
      <c r="P45" s="34" t="n">
        <f aca="false">O45-75</f>
        <v>18</v>
      </c>
      <c r="Q45" s="11" t="n">
        <f aca="false">$B$6+$B$8*(P45+$B$21)+0*$B$15</f>
        <v>-3.98523488240696</v>
      </c>
      <c r="R45" s="11" t="n">
        <f aca="false">$B$7+$B$9*(P45+$B$21)+0*$B$15</f>
        <v>0.123807807838476</v>
      </c>
      <c r="S45" s="32" t="n">
        <f aca="false">1/(1+EXP(-(Q45+R45*(O45-$B$14))))</f>
        <v>0.155146889338813</v>
      </c>
      <c r="T45" s="32" t="n">
        <f aca="false">$B$20*S45</f>
        <v>0.12411751147105</v>
      </c>
      <c r="U45" s="11" t="n">
        <f aca="false">Q45-$B$19*$B$17*SQRT(MAX(P45,0))</f>
        <v>-4.21893435460738</v>
      </c>
      <c r="V45" s="11" t="n">
        <f aca="false">R45-$B$19*$B$13*$B$18*SQRT(MAX(P45,0))</f>
        <v>0.114382162977565</v>
      </c>
      <c r="W45" s="32" t="n">
        <f aca="false">1/(1+EXP(-(U45+V45*(O45-$B$14))))</f>
        <v>0.108818734119788</v>
      </c>
      <c r="X45" s="32" t="n">
        <f aca="false">X44*(1-MIN(1,S44))</f>
        <v>0.264597377820797</v>
      </c>
      <c r="Y45" s="32" t="n">
        <f aca="false">Y44*(1-MIN(1,T44))</f>
        <v>0.348685144799385</v>
      </c>
      <c r="Z45" s="32" t="n">
        <f aca="false">Z44*(1-MIN(1,W44))</f>
        <v>0.3554372467158</v>
      </c>
      <c r="AB45" s="3" t="n">
        <v>103</v>
      </c>
      <c r="AC45" s="34" t="n">
        <f aca="false">AB45-85</f>
        <v>18</v>
      </c>
      <c r="AD45" s="11" t="n">
        <f aca="false">$B$6+$B$8*(AC45+$B$21)+0*$B$15</f>
        <v>-3.98523488240696</v>
      </c>
      <c r="AE45" s="11" t="n">
        <f aca="false">$B$7+$B$9*(AC45+$B$21)+0*$B$15</f>
        <v>0.123807807838476</v>
      </c>
      <c r="AF45" s="32" t="n">
        <f aca="false">1/(1+EXP(-(AD45+AE45*(AB45-$B$14))))</f>
        <v>0.387766032870584</v>
      </c>
      <c r="AG45" s="32" t="n">
        <f aca="false">$B$20*AF45</f>
        <v>0.310212826296467</v>
      </c>
      <c r="AH45" s="11" t="n">
        <f aca="false">AD45-$B$19*$B$17*SQRT(MAX(AC45,0))</f>
        <v>-4.21893435460738</v>
      </c>
      <c r="AI45" s="11" t="n">
        <f aca="false">AE45-$B$19*$B$13*$B$18*SQRT(MAX(AC45,0))</f>
        <v>0.114382162977565</v>
      </c>
      <c r="AJ45" s="32" t="n">
        <f aca="false">1/(1+EXP(-(AH45+AI45*(AB45-$B$14))))</f>
        <v>0.277069901265209</v>
      </c>
      <c r="AK45" s="32" t="n">
        <f aca="false">AK44*(1-MIN(1,AF44))</f>
        <v>0.0181102418279768</v>
      </c>
      <c r="AL45" s="32" t="n">
        <f aca="false">AL44*(1-MIN(1,AG44))</f>
        <v>0.044389707935389</v>
      </c>
      <c r="AM45" s="32" t="n">
        <f aca="false">AM44*(1-MIN(1,AJ44))</f>
        <v>0.0499023430569015</v>
      </c>
    </row>
    <row r="46" customFormat="false" ht="15" hidden="false" customHeight="true" outlineLevel="0" collapsed="false">
      <c r="B46" s="3" t="n">
        <v>84</v>
      </c>
      <c r="C46" s="34" t="n">
        <f aca="false">B46-65</f>
        <v>19</v>
      </c>
      <c r="D46" s="11" t="n">
        <f aca="false">$B$6+$B$8*(C46+$B$21)+0*$B$15</f>
        <v>-4.00703809412198</v>
      </c>
      <c r="E46" s="11" t="n">
        <f aca="false">$B$7+$B$9*(C46+$B$21)+0*$B$15</f>
        <v>0.124354371138804</v>
      </c>
      <c r="F46" s="32" t="n">
        <f aca="false">1/(1+EXP(-(D46+E46*(B46-$B$14))))</f>
        <v>0.0559525949663475</v>
      </c>
      <c r="G46" s="32" t="n">
        <f aca="false">$B$20*F46</f>
        <v>0.044762075973078</v>
      </c>
      <c r="H46" s="11" t="n">
        <f aca="false">D46-$B$19*$B$17*SQRT(MAX(C46,0))</f>
        <v>-4.2471414772751</v>
      </c>
      <c r="I46" s="11" t="n">
        <f aca="false">E46-$B$19*$B$13*$B$18*SQRT(MAX(C46,0))</f>
        <v>0.114670441610868</v>
      </c>
      <c r="J46" s="32" t="n">
        <f aca="false">1/(1+EXP(-(H46+I46*(B46-$B$14))))</f>
        <v>0.040786118614155</v>
      </c>
      <c r="K46" s="32" t="n">
        <f aca="false">K45*(1-MIN(1,F45))</f>
        <v>0.62781166028929</v>
      </c>
      <c r="L46" s="32" t="n">
        <f aca="false">L45*(1-MIN(1,G45))</f>
        <v>0.689874527869067</v>
      </c>
      <c r="M46" s="32" t="n">
        <f aca="false">M45*(1-MIN(1,J45))</f>
        <v>0.68354510596119</v>
      </c>
      <c r="O46" s="3" t="n">
        <v>94</v>
      </c>
      <c r="P46" s="34" t="n">
        <f aca="false">O46-75</f>
        <v>19</v>
      </c>
      <c r="Q46" s="11" t="n">
        <f aca="false">$B$6+$B$8*(P46+$B$21)+0*$B$15</f>
        <v>-4.00703809412198</v>
      </c>
      <c r="R46" s="11" t="n">
        <f aca="false">$B$7+$B$9*(P46+$B$21)+0*$B$15</f>
        <v>0.124354371138804</v>
      </c>
      <c r="S46" s="32" t="n">
        <f aca="false">1/(1+EXP(-(Q46+R46*(O46-$B$14))))</f>
        <v>0.170494336660633</v>
      </c>
      <c r="T46" s="32" t="n">
        <f aca="false">$B$20*S46</f>
        <v>0.136395469328506</v>
      </c>
      <c r="U46" s="11" t="n">
        <f aca="false">Q46-$B$19*$B$17*SQRT(MAX(P46,0))</f>
        <v>-4.2471414772751</v>
      </c>
      <c r="V46" s="11" t="n">
        <f aca="false">R46-$B$19*$B$13*$B$18*SQRT(MAX(P46,0))</f>
        <v>0.114670441610868</v>
      </c>
      <c r="W46" s="32" t="n">
        <f aca="false">1/(1+EXP(-(U46+V46*(O46-$B$14))))</f>
        <v>0.118045755919826</v>
      </c>
      <c r="X46" s="32" t="n">
        <f aca="false">X45*(1-MIN(1,S45))</f>
        <v>0.223545917724694</v>
      </c>
      <c r="Y46" s="32" t="n">
        <f aca="false">Y45*(1-MIN(1,T45))</f>
        <v>0.305407212339963</v>
      </c>
      <c r="Z46" s="32" t="n">
        <f aca="false">Z45*(1-MIN(1,W45))</f>
        <v>0.316759015469164</v>
      </c>
      <c r="AB46" s="3" t="n">
        <v>104</v>
      </c>
      <c r="AC46" s="34" t="n">
        <f aca="false">AB46-85</f>
        <v>19</v>
      </c>
      <c r="AD46" s="11" t="n">
        <f aca="false">$B$6+$B$8*(AC46+$B$21)+0*$B$15</f>
        <v>-4.00703809412198</v>
      </c>
      <c r="AE46" s="11" t="n">
        <f aca="false">$B$7+$B$9*(AC46+$B$21)+0*$B$15</f>
        <v>0.124354371138804</v>
      </c>
      <c r="AF46" s="32" t="n">
        <f aca="false">1/(1+EXP(-(AD46+AE46*(AB46-$B$14))))</f>
        <v>0.416153445987923</v>
      </c>
      <c r="AG46" s="32" t="n">
        <f aca="false">$B$20*AF46</f>
        <v>0.332922756790339</v>
      </c>
      <c r="AH46" s="11" t="n">
        <f aca="false">AD46-$B$19*$B$17*SQRT(MAX(AC46,0))</f>
        <v>-4.2471414772751</v>
      </c>
      <c r="AI46" s="11" t="n">
        <f aca="false">AE46-$B$19*$B$13*$B$18*SQRT(MAX(AC46,0))</f>
        <v>0.114670441610868</v>
      </c>
      <c r="AJ46" s="32" t="n">
        <f aca="false">1/(1+EXP(-(AH46+AI46*(AB46-$B$14))))</f>
        <v>0.296428502851753</v>
      </c>
      <c r="AK46" s="32" t="n">
        <f aca="false">AK45*(1-MIN(1,AF45))</f>
        <v>0.0110877052000153</v>
      </c>
      <c r="AL46" s="32" t="n">
        <f aca="false">AL45*(1-MIN(1,AG45))</f>
        <v>0.0306194511782773</v>
      </c>
      <c r="AM46" s="32" t="n">
        <f aca="false">AM45*(1-MIN(1,AJ45))</f>
        <v>0.0360759057932232</v>
      </c>
    </row>
    <row r="47" customFormat="false" ht="15" hidden="false" customHeight="true" outlineLevel="0" collapsed="false">
      <c r="B47" s="3" t="n">
        <v>85</v>
      </c>
      <c r="C47" s="34" t="n">
        <f aca="false">B47-65</f>
        <v>20</v>
      </c>
      <c r="D47" s="11" t="n">
        <f aca="false">$B$6+$B$8*(C47+$B$21)+0*$B$15</f>
        <v>-4.028841305837</v>
      </c>
      <c r="E47" s="11" t="n">
        <f aca="false">$B$7+$B$9*(C47+$B$21)+0*$B$15</f>
        <v>0.124900934439132</v>
      </c>
      <c r="F47" s="32" t="n">
        <f aca="false">1/(1+EXP(-(D47+E47*(B47-$B$14))))</f>
        <v>0.0619554714999947</v>
      </c>
      <c r="G47" s="32" t="n">
        <f aca="false">$B$20*F47</f>
        <v>0.0495643771999958</v>
      </c>
      <c r="H47" s="11" t="n">
        <f aca="false">D47-$B$19*$B$17*SQRT(MAX(C47,0))</f>
        <v>-4.27518217921451</v>
      </c>
      <c r="I47" s="11" t="n">
        <f aca="false">E47-$B$19*$B$13*$B$18*SQRT(MAX(C47,0))</f>
        <v>0.114965432380352</v>
      </c>
      <c r="J47" s="32" t="n">
        <f aca="false">1/(1+EXP(-(H47+I47*(B47-$B$14))))</f>
        <v>0.0444447755312997</v>
      </c>
      <c r="K47" s="32" t="n">
        <f aca="false">K46*(1-MIN(1,F46))</f>
        <v>0.592683968745973</v>
      </c>
      <c r="L47" s="32" t="n">
        <f aca="false">L46*(1-MIN(1,G46))</f>
        <v>0.6589943118407</v>
      </c>
      <c r="M47" s="32" t="n">
        <f aca="false">M46*(1-MIN(1,J46))</f>
        <v>0.655665954191332</v>
      </c>
      <c r="O47" s="3" t="n">
        <v>95</v>
      </c>
      <c r="P47" s="34" t="n">
        <f aca="false">O47-75</f>
        <v>20</v>
      </c>
      <c r="Q47" s="11" t="n">
        <f aca="false">$B$6+$B$8*(P47+$B$21)+0*$B$15</f>
        <v>-4.028841305837</v>
      </c>
      <c r="R47" s="11" t="n">
        <f aca="false">$B$7+$B$9*(P47+$B$21)+0*$B$15</f>
        <v>0.124900934439132</v>
      </c>
      <c r="S47" s="32" t="n">
        <f aca="false">1/(1+EXP(-(Q47+R47*(O47-$B$14))))</f>
        <v>0.187190165272906</v>
      </c>
      <c r="T47" s="32" t="n">
        <f aca="false">$B$20*S47</f>
        <v>0.149752132218325</v>
      </c>
      <c r="U47" s="11" t="n">
        <f aca="false">Q47-$B$19*$B$17*SQRT(MAX(P47,0))</f>
        <v>-4.27518217921451</v>
      </c>
      <c r="V47" s="11" t="n">
        <f aca="false">R47-$B$19*$B$13*$B$18*SQRT(MAX(P47,0))</f>
        <v>0.114965432380352</v>
      </c>
      <c r="W47" s="32" t="n">
        <f aca="false">1/(1+EXP(-(U47+V47*(O47-$B$14))))</f>
        <v>0.128041118781558</v>
      </c>
      <c r="X47" s="32" t="n">
        <f aca="false">X46*(1-MIN(1,S46))</f>
        <v>0.18543260476903</v>
      </c>
      <c r="Y47" s="32" t="n">
        <f aca="false">Y46*(1-MIN(1,T46))</f>
        <v>0.263751052276543</v>
      </c>
      <c r="Z47" s="32" t="n">
        <f aca="false">Z46*(1-MIN(1,W46))</f>
        <v>0.279366958043687</v>
      </c>
      <c r="AB47" s="3" t="n">
        <v>105</v>
      </c>
      <c r="AC47" s="34" t="n">
        <f aca="false">AB47-85</f>
        <v>20</v>
      </c>
      <c r="AD47" s="11" t="n">
        <f aca="false">$B$6+$B$8*(AC47+$B$21)+0*$B$15</f>
        <v>-4.028841305837</v>
      </c>
      <c r="AE47" s="11" t="n">
        <f aca="false">$B$7+$B$9*(AC47+$B$21)+0*$B$15</f>
        <v>0.124900934439132</v>
      </c>
      <c r="AF47" s="32" t="n">
        <f aca="false">1/(1+EXP(-(AD47+AE47*(AB47-$B$14))))</f>
        <v>0.445378156949499</v>
      </c>
      <c r="AG47" s="32" t="n">
        <f aca="false">$B$20*AF47</f>
        <v>0.356302525559599</v>
      </c>
      <c r="AH47" s="11" t="n">
        <f aca="false">AD47-$B$19*$B$17*SQRT(MAX(AC47,0))</f>
        <v>-4.27518217921451</v>
      </c>
      <c r="AI47" s="11" t="n">
        <f aca="false">AE47-$B$19*$B$13*$B$18*SQRT(MAX(AC47,0))</f>
        <v>0.114965432380352</v>
      </c>
      <c r="AJ47" s="32" t="n">
        <f aca="false">1/(1+EXP(-(AH47+AI47*(AB47-$B$14))))</f>
        <v>0.316752491857177</v>
      </c>
      <c r="AK47" s="32" t="n">
        <f aca="false">AK46*(1-MIN(1,AF46))</f>
        <v>0.00647351847293073</v>
      </c>
      <c r="AL47" s="32" t="n">
        <f aca="false">AL46*(1-MIN(1,AG46))</f>
        <v>0.020425539080598</v>
      </c>
      <c r="AM47" s="32" t="n">
        <f aca="false">AM46*(1-MIN(1,AJ46))</f>
        <v>0.0253819790499172</v>
      </c>
    </row>
    <row r="48" customFormat="false" ht="15" hidden="false" customHeight="true" outlineLevel="0" collapsed="false">
      <c r="B48" s="3" t="n">
        <v>86</v>
      </c>
      <c r="C48" s="34" t="n">
        <f aca="false">B48-65</f>
        <v>21</v>
      </c>
      <c r="D48" s="11" t="n">
        <f aca="false">$B$6+$B$8*(C48+$B$21)+0*$B$15</f>
        <v>-4.05064451755202</v>
      </c>
      <c r="E48" s="11" t="n">
        <f aca="false">$B$7+$B$9*(C48+$B$21)+0*$B$15</f>
        <v>0.12544749773946</v>
      </c>
      <c r="F48" s="32" t="n">
        <f aca="false">1/(1+EXP(-(D48+E48*(B48-$B$14))))</f>
        <v>0.0686254343395391</v>
      </c>
      <c r="G48" s="32" t="n">
        <f aca="false">$B$20*F48</f>
        <v>0.0549003474716313</v>
      </c>
      <c r="H48" s="11" t="n">
        <f aca="false">D48-$B$19*$B$17*SQRT(MAX(C48,0))</f>
        <v>-4.3030687976663</v>
      </c>
      <c r="I48" s="11" t="n">
        <f aca="false">E48-$B$19*$B$13*$B$18*SQRT(MAX(C48,0))</f>
        <v>0.115266637696319</v>
      </c>
      <c r="J48" s="32" t="n">
        <f aca="false">1/(1+EXP(-(H48+I48*(B48-$B$14))))</f>
        <v>0.048452647808501</v>
      </c>
      <c r="K48" s="32" t="n">
        <f aca="false">K47*(1-MIN(1,F47))</f>
        <v>0.555963954011828</v>
      </c>
      <c r="L48" s="32" t="n">
        <f aca="false">L47*(1-MIN(1,G47))</f>
        <v>0.626331669195976</v>
      </c>
      <c r="M48" s="32" t="n">
        <f aca="false">M47*(1-MIN(1,J47))</f>
        <v>0.626525028033783</v>
      </c>
      <c r="O48" s="3" t="n">
        <v>96</v>
      </c>
      <c r="P48" s="34" t="n">
        <f aca="false">O48-75</f>
        <v>21</v>
      </c>
      <c r="Q48" s="11" t="n">
        <f aca="false">$B$6+$B$8*(P48+$B$21)+0*$B$15</f>
        <v>-4.05064451755202</v>
      </c>
      <c r="R48" s="11" t="n">
        <f aca="false">$B$7+$B$9*(P48+$B$21)+0*$B$15</f>
        <v>0.12544749773946</v>
      </c>
      <c r="S48" s="32" t="n">
        <f aca="false">1/(1+EXP(-(Q48+R48*(O48-$B$14))))</f>
        <v>0.205294949640784</v>
      </c>
      <c r="T48" s="32" t="n">
        <f aca="false">$B$20*S48</f>
        <v>0.164235959712628</v>
      </c>
      <c r="U48" s="11" t="n">
        <f aca="false">Q48-$B$19*$B$17*SQRT(MAX(P48,0))</f>
        <v>-4.3030687976663</v>
      </c>
      <c r="V48" s="11" t="n">
        <f aca="false">R48-$B$19*$B$13*$B$18*SQRT(MAX(P48,0))</f>
        <v>0.115266637696319</v>
      </c>
      <c r="W48" s="32" t="n">
        <f aca="false">1/(1+EXP(-(U48+V48*(O48-$B$14))))</f>
        <v>0.138854592095865</v>
      </c>
      <c r="X48" s="32" t="n">
        <f aca="false">X47*(1-MIN(1,S47))</f>
        <v>0.15072144483533</v>
      </c>
      <c r="Y48" s="32" t="n">
        <f aca="false">Y47*(1-MIN(1,T47))</f>
        <v>0.224253769823304</v>
      </c>
      <c r="Z48" s="32" t="n">
        <f aca="false">Z47*(1-MIN(1,W47))</f>
        <v>0.243596500185173</v>
      </c>
      <c r="AB48" s="3" t="n">
        <v>106</v>
      </c>
      <c r="AC48" s="34" t="n">
        <f aca="false">AB48-85</f>
        <v>21</v>
      </c>
      <c r="AD48" s="11" t="n">
        <f aca="false">$B$6+$B$8*(AC48+$B$21)+0*$B$15</f>
        <v>-4.05064451755202</v>
      </c>
      <c r="AE48" s="11" t="n">
        <f aca="false">$B$7+$B$9*(AC48+$B$21)+0*$B$15</f>
        <v>0.12544749773946</v>
      </c>
      <c r="AF48" s="32" t="n">
        <f aca="false">1/(1+EXP(-(AD48+AE48*(AB48-$B$14))))</f>
        <v>0.475258139656702</v>
      </c>
      <c r="AG48" s="32" t="n">
        <f aca="false">$B$20*AF48</f>
        <v>0.380206511725361</v>
      </c>
      <c r="AH48" s="11" t="n">
        <f aca="false">AD48-$B$19*$B$17*SQRT(MAX(AC48,0))</f>
        <v>-4.3030687976663</v>
      </c>
      <c r="AI48" s="11" t="n">
        <f aca="false">AE48-$B$19*$B$13*$B$18*SQRT(MAX(AC48,0))</f>
        <v>0.115266637696319</v>
      </c>
      <c r="AJ48" s="32" t="n">
        <f aca="false">1/(1+EXP(-(AH48+AI48*(AB48-$B$14))))</f>
        <v>0.338011176752251</v>
      </c>
      <c r="AK48" s="32" t="n">
        <f aca="false">AK47*(1-MIN(1,AF47))</f>
        <v>0.00359035474647831</v>
      </c>
      <c r="AL48" s="32" t="n">
        <f aca="false">AL47*(1-MIN(1,AG47))</f>
        <v>0.0131478679202647</v>
      </c>
      <c r="AM48" s="32" t="n">
        <f aca="false">AM47*(1-MIN(1,AJ47))</f>
        <v>0.0173421739375892</v>
      </c>
    </row>
    <row r="49" customFormat="false" ht="15" hidden="false" customHeight="true" outlineLevel="0" collapsed="false">
      <c r="B49" s="3" t="n">
        <v>87</v>
      </c>
      <c r="C49" s="34" t="n">
        <f aca="false">B49-65</f>
        <v>22</v>
      </c>
      <c r="D49" s="11" t="n">
        <f aca="false">$B$6+$B$8*(C49+$B$21)+0*$B$15</f>
        <v>-4.07244772926704</v>
      </c>
      <c r="E49" s="11" t="n">
        <f aca="false">$B$7+$B$9*(C49+$B$21)+0*$B$15</f>
        <v>0.125994061039788</v>
      </c>
      <c r="F49" s="32" t="n">
        <f aca="false">1/(1+EXP(-(D49+E49*(B49-$B$14))))</f>
        <v>0.0760320820841036</v>
      </c>
      <c r="G49" s="32" t="n">
        <f aca="false">$B$20*F49</f>
        <v>0.0608256656672829</v>
      </c>
      <c r="H49" s="11" t="n">
        <f aca="false">D49-$B$19*$B$17*SQRT(MAX(C49,0))</f>
        <v>-4.33081221693134</v>
      </c>
      <c r="I49" s="11" t="n">
        <f aca="false">E49-$B$19*$B$13*$B$18*SQRT(MAX(C49,0))</f>
        <v>0.115573618569526</v>
      </c>
      <c r="J49" s="32" t="n">
        <f aca="false">1/(1+EXP(-(H49+I49*(B49-$B$14))))</f>
        <v>0.0528428812858048</v>
      </c>
      <c r="K49" s="32" t="n">
        <f aca="false">K48*(1-MIN(1,F48))</f>
        <v>0.517810686190639</v>
      </c>
      <c r="L49" s="32" t="n">
        <f aca="false">L48*(1-MIN(1,G48))</f>
        <v>0.59194584292463</v>
      </c>
      <c r="M49" s="32" t="n">
        <f aca="false">M48*(1-MIN(1,J48))</f>
        <v>0.596168231507251</v>
      </c>
      <c r="O49" s="3" t="n">
        <v>97</v>
      </c>
      <c r="P49" s="34" t="n">
        <f aca="false">O49-75</f>
        <v>22</v>
      </c>
      <c r="Q49" s="11" t="n">
        <f aca="false">$B$6+$B$8*(P49+$B$21)+0*$B$15</f>
        <v>-4.07244772926704</v>
      </c>
      <c r="R49" s="11" t="n">
        <f aca="false">$B$7+$B$9*(P49+$B$21)+0*$B$15</f>
        <v>0.125994061039788</v>
      </c>
      <c r="S49" s="32" t="n">
        <f aca="false">1/(1+EXP(-(Q49+R49*(O49-$B$14))))</f>
        <v>0.224857266323464</v>
      </c>
      <c r="T49" s="32" t="n">
        <f aca="false">$B$20*S49</f>
        <v>0.179885813058771</v>
      </c>
      <c r="U49" s="11" t="n">
        <f aca="false">Q49-$B$19*$B$17*SQRT(MAX(P49,0))</f>
        <v>-4.33081221693134</v>
      </c>
      <c r="V49" s="11" t="n">
        <f aca="false">R49-$B$19*$B$13*$B$18*SQRT(MAX(P49,0))</f>
        <v>0.115573618569526</v>
      </c>
      <c r="W49" s="32" t="n">
        <f aca="false">1/(1+EXP(-(U49+V49*(O49-$B$14))))</f>
        <v>0.150535680950497</v>
      </c>
      <c r="X49" s="32" t="n">
        <f aca="false">X48*(1-MIN(1,S48))</f>
        <v>0.119779093408074</v>
      </c>
      <c r="Y49" s="32" t="n">
        <f aca="false">Y48*(1-MIN(1,T48))</f>
        <v>0.187423236717199</v>
      </c>
      <c r="Z49" s="32" t="n">
        <f aca="false">Z48*(1-MIN(1,W48))</f>
        <v>0.20977200751598</v>
      </c>
      <c r="AB49" s="3" t="n">
        <v>107</v>
      </c>
      <c r="AC49" s="34" t="n">
        <f aca="false">AB49-85</f>
        <v>22</v>
      </c>
      <c r="AD49" s="11" t="n">
        <f aca="false">$B$6+$B$8*(AC49+$B$21)+0*$B$15</f>
        <v>-4.07244772926704</v>
      </c>
      <c r="AE49" s="11" t="n">
        <f aca="false">$B$7+$B$9*(AC49+$B$21)+0*$B$15</f>
        <v>0.125994061039788</v>
      </c>
      <c r="AF49" s="32" t="n">
        <f aca="false">1/(1+EXP(-(AD49+AE49*(AB49-$B$14))))</f>
        <v>0.505589580763946</v>
      </c>
      <c r="AG49" s="32" t="n">
        <f aca="false">$B$20*AF49</f>
        <v>0.404471664611157</v>
      </c>
      <c r="AH49" s="11" t="n">
        <f aca="false">AD49-$B$19*$B$17*SQRT(MAX(AC49,0))</f>
        <v>-4.33081221693134</v>
      </c>
      <c r="AI49" s="11" t="n">
        <f aca="false">AE49-$B$19*$B$13*$B$18*SQRT(MAX(AC49,0))</f>
        <v>0.115573618569526</v>
      </c>
      <c r="AJ49" s="32" t="n">
        <f aca="false">1/(1+EXP(-(AH49+AI49*(AB49-$B$14))))</f>
        <v>0.360160035607947</v>
      </c>
      <c r="AK49" s="32" t="n">
        <f aca="false">AK48*(1-MIN(1,AF48))</f>
        <v>0.00188400942895942</v>
      </c>
      <c r="AL49" s="32" t="n">
        <f aca="false">AL48*(1-MIN(1,AG48))</f>
        <v>0.00814896292167505</v>
      </c>
      <c r="AM49" s="32" t="n">
        <f aca="false">AM48*(1-MIN(1,AJ48))</f>
        <v>0.0114803253175025</v>
      </c>
    </row>
    <row r="50" customFormat="false" ht="15" hidden="false" customHeight="true" outlineLevel="0" collapsed="false">
      <c r="B50" s="3" t="n">
        <v>88</v>
      </c>
      <c r="C50" s="34" t="n">
        <f aca="false">B50-65</f>
        <v>23</v>
      </c>
      <c r="D50" s="11" t="n">
        <f aca="false">$B$6+$B$8*(C50+$B$21)+0*$B$15</f>
        <v>-4.09425094098206</v>
      </c>
      <c r="E50" s="11" t="n">
        <f aca="false">$B$7+$B$9*(C50+$B$21)+0*$B$15</f>
        <v>0.126540624340115</v>
      </c>
      <c r="F50" s="32" t="n">
        <f aca="false">1/(1+EXP(-(D50+E50*(B50-$B$14))))</f>
        <v>0.0842501789954417</v>
      </c>
      <c r="G50" s="32" t="n">
        <f aca="false">$B$20*F50</f>
        <v>0.0674001431963534</v>
      </c>
      <c r="H50" s="11" t="n">
        <f aca="false">D50-$B$19*$B$17*SQRT(MAX(C50,0))</f>
        <v>-4.3584220972063</v>
      </c>
      <c r="I50" s="11" t="n">
        <f aca="false">E50-$B$19*$B$13*$B$18*SQRT(MAX(C50,0))</f>
        <v>0.115885985381707</v>
      </c>
      <c r="J50" s="32" t="n">
        <f aca="false">1/(1+EXP(-(H50+I50*(B50-$B$14))))</f>
        <v>0.0576513698136382</v>
      </c>
      <c r="K50" s="32" t="n">
        <f aca="false">K49*(1-MIN(1,F49))</f>
        <v>0.478440461594166</v>
      </c>
      <c r="L50" s="32" t="n">
        <f aca="false">L49*(1-MIN(1,G49))</f>
        <v>0.555940342989759</v>
      </c>
      <c r="M50" s="32" t="n">
        <f aca="false">M49*(1-MIN(1,J49))</f>
        <v>0.564664984423345</v>
      </c>
      <c r="O50" s="3" t="n">
        <v>98</v>
      </c>
      <c r="P50" s="34" t="n">
        <f aca="false">O50-75</f>
        <v>23</v>
      </c>
      <c r="Q50" s="11" t="n">
        <f aca="false">$B$6+$B$8*(P50+$B$21)+0*$B$15</f>
        <v>-4.09425094098206</v>
      </c>
      <c r="R50" s="11" t="n">
        <f aca="false">$B$7+$B$9*(P50+$B$21)+0*$B$15</f>
        <v>0.126540624340115</v>
      </c>
      <c r="S50" s="32" t="n">
        <f aca="false">1/(1+EXP(-(Q50+R50*(O50-$B$14))))</f>
        <v>0.245909970322005</v>
      </c>
      <c r="T50" s="32" t="n">
        <f aca="false">$B$20*S50</f>
        <v>0.196727976257604</v>
      </c>
      <c r="U50" s="11" t="n">
        <f aca="false">Q50-$B$19*$B$17*SQRT(MAX(P50,0))</f>
        <v>-4.3584220972063</v>
      </c>
      <c r="V50" s="11" t="n">
        <f aca="false">R50-$B$19*$B$13*$B$18*SQRT(MAX(P50,0))</f>
        <v>0.115885985381707</v>
      </c>
      <c r="W50" s="32" t="n">
        <f aca="false">1/(1+EXP(-(U50+V50*(O50-$B$14))))</f>
        <v>0.16313271293431</v>
      </c>
      <c r="X50" s="32" t="n">
        <f aca="false">X49*(1-MIN(1,S49))</f>
        <v>0.0928458939016319</v>
      </c>
      <c r="Y50" s="32" t="n">
        <f aca="false">Y49*(1-MIN(1,T49))</f>
        <v>0.153708455394219</v>
      </c>
      <c r="Z50" s="32" t="n">
        <f aca="false">Z49*(1-MIN(1,W49))</f>
        <v>0.178193835520209</v>
      </c>
      <c r="AB50" s="3" t="n">
        <v>108</v>
      </c>
      <c r="AC50" s="34" t="n">
        <f aca="false">AB50-85</f>
        <v>23</v>
      </c>
      <c r="AD50" s="11" t="n">
        <f aca="false">$B$6+$B$8*(AC50+$B$21)+0*$B$15</f>
        <v>-4.09425094098206</v>
      </c>
      <c r="AE50" s="11" t="n">
        <f aca="false">$B$7+$B$9*(AC50+$B$21)+0*$B$15</f>
        <v>0.126540624340115</v>
      </c>
      <c r="AF50" s="32" t="n">
        <f aca="false">1/(1+EXP(-(AD50+AE50*(AB50-$B$14))))</f>
        <v>0.536151797017869</v>
      </c>
      <c r="AG50" s="32" t="n">
        <f aca="false">$B$20*AF50</f>
        <v>0.428921437614295</v>
      </c>
      <c r="AH50" s="11" t="n">
        <f aca="false">AD50-$B$19*$B$17*SQRT(MAX(AC50,0))</f>
        <v>-4.3584220972063</v>
      </c>
      <c r="AI50" s="11" t="n">
        <f aca="false">AE50-$B$19*$B$13*$B$18*SQRT(MAX(AC50,0))</f>
        <v>0.115885985381707</v>
      </c>
      <c r="AJ50" s="32" t="n">
        <f aca="false">1/(1+EXP(-(AH50+AI50*(AB50-$B$14))))</f>
        <v>0.383140011634402</v>
      </c>
      <c r="AK50" s="32" t="n">
        <f aca="false">AK49*(1-MIN(1,AF49))</f>
        <v>0.000931473891616505</v>
      </c>
      <c r="AL50" s="32" t="n">
        <f aca="false">AL49*(1-MIN(1,AG49))</f>
        <v>0.00485293832389055</v>
      </c>
      <c r="AM50" s="32" t="n">
        <f aca="false">AM49*(1-MIN(1,AJ49))</f>
        <v>0.00734557094235998</v>
      </c>
    </row>
    <row r="51" customFormat="false" ht="15" hidden="false" customHeight="true" outlineLevel="0" collapsed="false">
      <c r="B51" s="3" t="n">
        <v>89</v>
      </c>
      <c r="C51" s="34" t="n">
        <f aca="false">B51-65</f>
        <v>24</v>
      </c>
      <c r="D51" s="11" t="n">
        <f aca="false">$B$6+$B$8*(C51+$B$21)+0*$B$15</f>
        <v>-4.11605415269708</v>
      </c>
      <c r="E51" s="11" t="n">
        <f aca="false">$B$7+$B$9*(C51+$B$21)+0*$B$15</f>
        <v>0.127087187640443</v>
      </c>
      <c r="F51" s="32" t="n">
        <f aca="false">1/(1+EXP(-(D51+E51*(B51-$B$14))))</f>
        <v>0.0933593684344044</v>
      </c>
      <c r="G51" s="32" t="n">
        <f aca="false">$B$20*F51</f>
        <v>0.0746874947475235</v>
      </c>
      <c r="H51" s="11" t="n">
        <f aca="false">D51-$B$19*$B$17*SQRT(MAX(C51,0))</f>
        <v>-4.38590705906585</v>
      </c>
      <c r="I51" s="11" t="n">
        <f aca="false">E51-$B$19*$B$13*$B$18*SQRT(MAX(C51,0))</f>
        <v>0.116203390444977</v>
      </c>
      <c r="J51" s="32" t="n">
        <f aca="false">1/(1+EXP(-(H51+I51*(B51-$B$14))))</f>
        <v>0.062916856366623</v>
      </c>
      <c r="K51" s="32" t="n">
        <f aca="false">K50*(1-MIN(1,F50))</f>
        <v>0.438131767066196</v>
      </c>
      <c r="L51" s="32" t="n">
        <f aca="false">L50*(1-MIN(1,G50))</f>
        <v>0.518469884263619</v>
      </c>
      <c r="M51" s="32" t="n">
        <f aca="false">M50*(1-MIN(1,J50))</f>
        <v>0.532111274585542</v>
      </c>
      <c r="O51" s="3" t="n">
        <v>99</v>
      </c>
      <c r="P51" s="34" t="n">
        <f aca="false">O51-75</f>
        <v>24</v>
      </c>
      <c r="Q51" s="11" t="n">
        <f aca="false">$B$6+$B$8*(P51+$B$21)+0*$B$15</f>
        <v>-4.11605415269708</v>
      </c>
      <c r="R51" s="11" t="n">
        <f aca="false">$B$7+$B$9*(P51+$B$21)+0*$B$15</f>
        <v>0.127087187640443</v>
      </c>
      <c r="S51" s="32" t="n">
        <f aca="false">1/(1+EXP(-(Q51+R51*(O51-$B$14))))</f>
        <v>0.26846626850758</v>
      </c>
      <c r="T51" s="32" t="n">
        <f aca="false">$B$20*S51</f>
        <v>0.214773014806064</v>
      </c>
      <c r="U51" s="11" t="n">
        <f aca="false">Q51-$B$19*$B$17*SQRT(MAX(P51,0))</f>
        <v>-4.38590705906585</v>
      </c>
      <c r="V51" s="11" t="n">
        <f aca="false">R51-$B$19*$B$13*$B$18*SQRT(MAX(P51,0))</f>
        <v>0.116203390444977</v>
      </c>
      <c r="W51" s="32" t="n">
        <f aca="false">1/(1+EXP(-(U51+V51*(O51-$B$14))))</f>
        <v>0.176691748953637</v>
      </c>
      <c r="X51" s="32" t="n">
        <f aca="false">X50*(1-MIN(1,S50))</f>
        <v>0.0700141628877615</v>
      </c>
      <c r="Y51" s="32" t="n">
        <f aca="false">Y50*(1-MIN(1,T50))</f>
        <v>0.123469702030832</v>
      </c>
      <c r="Z51" s="32" t="n">
        <f aca="false">Z50*(1-MIN(1,W50))</f>
        <v>0.149124591703628</v>
      </c>
      <c r="AB51" s="3" t="n">
        <v>109</v>
      </c>
      <c r="AC51" s="34" t="n">
        <f aca="false">AB51-85</f>
        <v>24</v>
      </c>
      <c r="AD51" s="11" t="n">
        <f aca="false">$B$6+$B$8*(AC51+$B$21)+0*$B$15</f>
        <v>-4.11605415269708</v>
      </c>
      <c r="AE51" s="11" t="n">
        <f aca="false">$B$7+$B$9*(AC51+$B$21)+0*$B$15</f>
        <v>0.127087187640443</v>
      </c>
      <c r="AF51" s="32" t="n">
        <f aca="false">1/(1+EXP(-(AD51+AE51*(AB51-$B$14))))</f>
        <v>0.566713280944463</v>
      </c>
      <c r="AG51" s="32" t="n">
        <f aca="false">$B$20*AF51</f>
        <v>0.453370624755571</v>
      </c>
      <c r="AH51" s="11" t="n">
        <f aca="false">AD51-$B$19*$B$17*SQRT(MAX(AC51,0))</f>
        <v>-4.38590705906585</v>
      </c>
      <c r="AI51" s="11" t="n">
        <f aca="false">AE51-$B$19*$B$13*$B$18*SQRT(MAX(AC51,0))</f>
        <v>0.116203390444977</v>
      </c>
      <c r="AJ51" s="32" t="n">
        <f aca="false">1/(1+EXP(-(AH51+AI51*(AB51-$B$14))))</f>
        <v>0.406877188286262</v>
      </c>
      <c r="AK51" s="32" t="n">
        <f aca="false">AK50*(1-MIN(1,AF50))</f>
        <v>0.000432062490751088</v>
      </c>
      <c r="AL51" s="32" t="n">
        <f aca="false">AL50*(1-MIN(1,AG50))</f>
        <v>0.00277140904135391</v>
      </c>
      <c r="AM51" s="32" t="n">
        <f aca="false">AM50*(1-MIN(1,AJ50))</f>
        <v>0.00453118880604285</v>
      </c>
    </row>
    <row r="52" customFormat="false" ht="15" hidden="false" customHeight="true" outlineLevel="0" collapsed="false">
      <c r="B52" s="3" t="n">
        <v>90</v>
      </c>
      <c r="C52" s="34" t="n">
        <f aca="false">B52-65</f>
        <v>25</v>
      </c>
      <c r="D52" s="11" t="n">
        <f aca="false">$B$6+$B$8*(C52+$B$21)+0*$B$15</f>
        <v>-4.1378573644121</v>
      </c>
      <c r="E52" s="11" t="n">
        <f aca="false">$B$7+$B$9*(C52+$B$21)+0*$B$15</f>
        <v>0.127633750940771</v>
      </c>
      <c r="F52" s="32" t="n">
        <f aca="false">1/(1+EXP(-(D52+E52*(B52-$B$14))))</f>
        <v>0.10344364089187</v>
      </c>
      <c r="G52" s="32" t="n">
        <f aca="false">$B$20*F52</f>
        <v>0.0827549127134963</v>
      </c>
      <c r="H52" s="11" t="n">
        <f aca="false">D52-$B$19*$B$17*SQRT(MAX(C52,0))</f>
        <v>-4.41327483366649</v>
      </c>
      <c r="I52" s="11" t="n">
        <f aca="false">E52-$B$19*$B$13*$B$18*SQRT(MAX(C52,0))</f>
        <v>0.11652552194376</v>
      </c>
      <c r="J52" s="32" t="n">
        <f aca="false">1/(1+EXP(-(H52+I52*(B52-$B$14))))</f>
        <v>0.0686810013539652</v>
      </c>
      <c r="K52" s="32" t="n">
        <f aca="false">K51*(1-MIN(1,F51))</f>
        <v>0.397228062001846</v>
      </c>
      <c r="L52" s="32" t="n">
        <f aca="false">L51*(1-MIN(1,G51))</f>
        <v>0.479746667505931</v>
      </c>
      <c r="M52" s="32" t="n">
        <f aca="false">M51*(1-MIN(1,J51))</f>
        <v>0.498632505951383</v>
      </c>
      <c r="O52" s="3" t="n">
        <v>100</v>
      </c>
      <c r="P52" s="34" t="n">
        <f aca="false">O52-75</f>
        <v>25</v>
      </c>
      <c r="Q52" s="11" t="n">
        <f aca="false">$B$6+$B$8*(P52+$B$21)+0*$B$15</f>
        <v>-4.1378573644121</v>
      </c>
      <c r="R52" s="11" t="n">
        <f aca="false">$B$7+$B$9*(P52+$B$21)+0*$B$15</f>
        <v>0.127633750940771</v>
      </c>
      <c r="S52" s="32" t="n">
        <f aca="false">1/(1+EXP(-(Q52+R52*(O52-$B$14))))</f>
        <v>0.292515779177294</v>
      </c>
      <c r="T52" s="32" t="n">
        <f aca="false">$B$20*S52</f>
        <v>0.234012623341835</v>
      </c>
      <c r="U52" s="11" t="n">
        <f aca="false">Q52-$B$19*$B$17*SQRT(MAX(P52,0))</f>
        <v>-4.41327483366649</v>
      </c>
      <c r="V52" s="11" t="n">
        <f aca="false">R52-$B$19*$B$13*$B$18*SQRT(MAX(P52,0))</f>
        <v>0.11652552194376</v>
      </c>
      <c r="W52" s="32" t="n">
        <f aca="false">1/(1+EXP(-(U52+V52*(O52-$B$14))))</f>
        <v>0.191255312935465</v>
      </c>
      <c r="X52" s="32" t="n">
        <f aca="false">X51*(1-MIN(1,S51))</f>
        <v>0.0512177218346023</v>
      </c>
      <c r="Y52" s="32" t="n">
        <f aca="false">Y51*(1-MIN(1,T51))</f>
        <v>0.0969517418884638</v>
      </c>
      <c r="Z52" s="32" t="n">
        <f aca="false">Z51*(1-MIN(1,W51))</f>
        <v>0.122775506783516</v>
      </c>
      <c r="AB52" s="3" t="n">
        <v>110</v>
      </c>
      <c r="AC52" s="34" t="n">
        <f aca="false">AB52-85</f>
        <v>25</v>
      </c>
      <c r="AD52" s="11" t="n">
        <f aca="false">$B$6+$B$8*(AC52+$B$21)+0*$B$15</f>
        <v>-4.1378573644121</v>
      </c>
      <c r="AE52" s="11" t="n">
        <f aca="false">$B$7+$B$9*(AC52+$B$21)+0*$B$15</f>
        <v>0.127633750940771</v>
      </c>
      <c r="AF52" s="32" t="n">
        <f aca="false">1/(1+EXP(-(AD52+AE52*(AB52-$B$14))))</f>
        <v>0.597038552313466</v>
      </c>
      <c r="AG52" s="32" t="n">
        <f aca="false">$B$20*AF52</f>
        <v>0.477630841850773</v>
      </c>
      <c r="AH52" s="11" t="n">
        <f aca="false">AD52-$B$19*$B$17*SQRT(MAX(AC52,0))</f>
        <v>-4.41327483366649</v>
      </c>
      <c r="AI52" s="11" t="n">
        <f aca="false">AE52-$B$19*$B$13*$B$18*SQRT(MAX(AC52,0))</f>
        <v>0.11652552194376</v>
      </c>
      <c r="AJ52" s="32" t="n">
        <f aca="false">1/(1+EXP(-(AH52+AI52*(AB52-$B$14))))</f>
        <v>0.431282915326056</v>
      </c>
      <c r="AK52" s="32" t="n">
        <f aca="false">AK51*(1-MIN(1,AF51))</f>
        <v>0.000187206939044502</v>
      </c>
      <c r="AL52" s="32" t="n">
        <f aca="false">AL51*(1-MIN(1,AG51))</f>
        <v>0.00151493359282205</v>
      </c>
      <c r="AM52" s="32" t="n">
        <f aca="false">AM51*(1-MIN(1,AJ51))</f>
        <v>0.00268755144504595</v>
      </c>
    </row>
    <row r="53" customFormat="false" ht="15" hidden="false" customHeight="true" outlineLevel="0" collapsed="false">
      <c r="B53" s="3" t="n">
        <v>91</v>
      </c>
      <c r="C53" s="34" t="n">
        <f aca="false">B53-65</f>
        <v>26</v>
      </c>
      <c r="D53" s="11" t="n">
        <f aca="false">$B$6+$B$8*(C53+$B$21)+0*$B$15</f>
        <v>-4.15966057612712</v>
      </c>
      <c r="E53" s="11" t="n">
        <f aca="false">$B$7+$B$9*(C53+$B$21)+0*$B$15</f>
        <v>0.128180314241099</v>
      </c>
      <c r="F53" s="32" t="n">
        <f aca="false">1/(1+EXP(-(D53+E53*(B53-$B$14))))</f>
        <v>0.114590495423557</v>
      </c>
      <c r="G53" s="32" t="n">
        <f aca="false">$B$20*F53</f>
        <v>0.0916723963388456</v>
      </c>
      <c r="H53" s="11" t="n">
        <f aca="false">D53-$B$19*$B$17*SQRT(MAX(C53,0))</f>
        <v>-4.44053238614961</v>
      </c>
      <c r="I53" s="11" t="n">
        <f aca="false">E53-$B$19*$B$13*$B$18*SQRT(MAX(C53,0))</f>
        <v>0.116852098957656</v>
      </c>
      <c r="J53" s="32" t="n">
        <f aca="false">1/(1+EXP(-(H53+I53*(B53-$B$14))))</f>
        <v>0.0749884062233379</v>
      </c>
      <c r="K53" s="32" t="n">
        <f aca="false">K52*(1-MIN(1,F52))</f>
        <v>0.356137345003954</v>
      </c>
      <c r="L53" s="32" t="n">
        <f aca="false">L52*(1-MIN(1,G52))</f>
        <v>0.440045273911887</v>
      </c>
      <c r="M53" s="32" t="n">
        <f aca="false">M52*(1-MIN(1,J52))</f>
        <v>0.464385926135005</v>
      </c>
      <c r="O53" s="3" t="n">
        <v>101</v>
      </c>
      <c r="P53" s="34" t="n">
        <f aca="false">O53-75</f>
        <v>26</v>
      </c>
      <c r="Q53" s="11" t="n">
        <f aca="false">$B$6+$B$8*(P53+$B$21)+0*$B$15</f>
        <v>-4.15966057612712</v>
      </c>
      <c r="R53" s="11" t="n">
        <f aca="false">$B$7+$B$9*(P53+$B$21)+0*$B$15</f>
        <v>0.128180314241099</v>
      </c>
      <c r="S53" s="32" t="n">
        <f aca="false">1/(1+EXP(-(Q53+R53*(O53-$B$14))))</f>
        <v>0.318020826169283</v>
      </c>
      <c r="T53" s="32" t="n">
        <f aca="false">$B$20*S53</f>
        <v>0.254416660935427</v>
      </c>
      <c r="U53" s="11" t="n">
        <f aca="false">Q53-$B$19*$B$17*SQRT(MAX(P53,0))</f>
        <v>-4.44053238614961</v>
      </c>
      <c r="V53" s="11" t="n">
        <f aca="false">R53-$B$19*$B$13*$B$18*SQRT(MAX(P53,0))</f>
        <v>0.116852098957656</v>
      </c>
      <c r="W53" s="32" t="n">
        <f aca="false">1/(1+EXP(-(U53+V53*(O53-$B$14))))</f>
        <v>0.206860943578141</v>
      </c>
      <c r="X53" s="32" t="n">
        <f aca="false">X52*(1-MIN(1,S52))</f>
        <v>0.0362357300244677</v>
      </c>
      <c r="Y53" s="32" t="n">
        <f aca="false">Y52*(1-MIN(1,T52))</f>
        <v>0.0742638104315839</v>
      </c>
      <c r="Z53" s="32" t="n">
        <f aca="false">Z52*(1-MIN(1,W52))</f>
        <v>0.0992940388128247</v>
      </c>
      <c r="AB53" s="3" t="n">
        <v>111</v>
      </c>
      <c r="AC53" s="34" t="n">
        <f aca="false">AB53-85</f>
        <v>26</v>
      </c>
      <c r="AD53" s="11" t="n">
        <f aca="false">$B$6+$B$8*(AC53+$B$21)+0*$B$15</f>
        <v>-4.15966057612712</v>
      </c>
      <c r="AE53" s="11" t="n">
        <f aca="false">$B$7+$B$9*(AC53+$B$21)+0*$B$15</f>
        <v>0.128180314241099</v>
      </c>
      <c r="AF53" s="32" t="n">
        <f aca="false">1/(1+EXP(-(AD53+AE53*(AB53-$B$14))))</f>
        <v>0.626895400561073</v>
      </c>
      <c r="AG53" s="32" t="n">
        <f aca="false">$B$20*AF53</f>
        <v>0.501516320448859</v>
      </c>
      <c r="AH53" s="11" t="n">
        <f aca="false">AD53-$B$19*$B$17*SQRT(MAX(AC53,0))</f>
        <v>-4.44053238614961</v>
      </c>
      <c r="AI53" s="11" t="n">
        <f aca="false">AE53-$B$19*$B$13*$B$18*SQRT(MAX(AC53,0))</f>
        <v>0.116852098957656</v>
      </c>
      <c r="AJ53" s="32" t="n">
        <f aca="false">1/(1+EXP(-(AH53+AI53*(AB53-$B$14))))</f>
        <v>0.456254441563176</v>
      </c>
      <c r="AK53" s="32" t="n">
        <f aca="false">AK52*(1-MIN(1,AF52))</f>
        <v>7.54371791743373E-005</v>
      </c>
      <c r="AL53" s="32" t="n">
        <f aca="false">AL52*(1-MIN(1,AG52))</f>
        <v>0.000791354585534438</v>
      </c>
      <c r="AM53" s="32" t="n">
        <f aca="false">AM52*(1-MIN(1,AJ52))</f>
        <v>0.00152845642273778</v>
      </c>
    </row>
    <row r="54" customFormat="false" ht="15" hidden="false" customHeight="true" outlineLevel="0" collapsed="false">
      <c r="B54" s="3" t="n">
        <v>92</v>
      </c>
      <c r="C54" s="34" t="n">
        <f aca="false">B54-65</f>
        <v>27</v>
      </c>
      <c r="D54" s="11" t="n">
        <f aca="false">$B$6+$B$8*(C54+$B$21)+0*$B$15</f>
        <v>-4.18146378784214</v>
      </c>
      <c r="E54" s="11" t="n">
        <f aca="false">$B$7+$B$9*(C54+$B$21)+0*$B$15</f>
        <v>0.128726877541427</v>
      </c>
      <c r="F54" s="32" t="n">
        <f aca="false">1/(1+EXP(-(D54+E54*(B54-$B$14))))</f>
        <v>0.126889728558173</v>
      </c>
      <c r="G54" s="32" t="n">
        <f aca="false">$B$20*F54</f>
        <v>0.101511782846538</v>
      </c>
      <c r="H54" s="11" t="n">
        <f aca="false">D54-$B$19*$B$17*SQRT(MAX(C54,0))</f>
        <v>-4.46768601786653</v>
      </c>
      <c r="I54" s="11" t="n">
        <f aca="false">E54-$B$19*$B$13*$B$18*SQRT(MAX(C54,0))</f>
        <v>0.117182867338467</v>
      </c>
      <c r="J54" s="32" t="n">
        <f aca="false">1/(1+EXP(-(H54+I54*(B54-$B$14))))</f>
        <v>0.0818865781711926</v>
      </c>
      <c r="K54" s="32" t="n">
        <f aca="false">K53*(1-MIN(1,F53))</f>
        <v>0.31532739020112</v>
      </c>
      <c r="L54" s="32" t="n">
        <f aca="false">L53*(1-MIN(1,G53))</f>
        <v>0.399705269154801</v>
      </c>
      <c r="M54" s="32" t="n">
        <f aca="false">M53*(1-MIN(1,J53))</f>
        <v>0.429562365661592</v>
      </c>
      <c r="O54" s="3" t="n">
        <v>102</v>
      </c>
      <c r="P54" s="34" t="n">
        <f aca="false">O54-75</f>
        <v>27</v>
      </c>
      <c r="Q54" s="11" t="n">
        <f aca="false">$B$6+$B$8*(P54+$B$21)+0*$B$15</f>
        <v>-4.18146378784214</v>
      </c>
      <c r="R54" s="11" t="n">
        <f aca="false">$B$7+$B$9*(P54+$B$21)+0*$B$15</f>
        <v>0.128726877541427</v>
      </c>
      <c r="S54" s="32" t="n">
        <f aca="false">1/(1+EXP(-(Q54+R54*(O54-$B$14))))</f>
        <v>0.344913267629229</v>
      </c>
      <c r="T54" s="32" t="n">
        <f aca="false">$B$20*S54</f>
        <v>0.275930614103383</v>
      </c>
      <c r="U54" s="11" t="n">
        <f aca="false">Q54-$B$19*$B$17*SQRT(MAX(P54,0))</f>
        <v>-4.46768601786653</v>
      </c>
      <c r="V54" s="11" t="n">
        <f aca="false">R54-$B$19*$B$13*$B$18*SQRT(MAX(P54,0))</f>
        <v>0.117182867338467</v>
      </c>
      <c r="W54" s="32" t="n">
        <f aca="false">1/(1+EXP(-(U54+V54*(O54-$B$14))))</f>
        <v>0.2235395822255</v>
      </c>
      <c r="X54" s="32" t="n">
        <f aca="false">X53*(1-MIN(1,S53))</f>
        <v>0.0247120132252394</v>
      </c>
      <c r="Y54" s="32" t="n">
        <f aca="false">Y53*(1-MIN(1,T53))</f>
        <v>0.0553698597532388</v>
      </c>
      <c r="Z54" s="32" t="n">
        <f aca="false">Z53*(1-MIN(1,W53))</f>
        <v>0.0787539802523193</v>
      </c>
      <c r="AB54" s="3" t="n">
        <v>112</v>
      </c>
      <c r="AC54" s="34" t="n">
        <f aca="false">AB54-85</f>
        <v>27</v>
      </c>
      <c r="AD54" s="59" t="n">
        <f aca="false">$B$6+$B$8*(AC54+$B$21)+0*$B$15</f>
        <v>-4.18146378784214</v>
      </c>
      <c r="AE54" s="11" t="n">
        <f aca="false">$B$7+$B$9*(AC54+$B$21)+0*$B$15</f>
        <v>0.128726877541427</v>
      </c>
      <c r="AF54" s="32" t="n">
        <f aca="false">1/(1+EXP(-(AD54+AE54*(AB54-$B$14))))</f>
        <v>0.656062052317872</v>
      </c>
      <c r="AG54" s="32" t="n">
        <f aca="false">$B$20*AF54</f>
        <v>0.524849641854298</v>
      </c>
      <c r="AH54" s="11" t="n">
        <f aca="false">AD54-$B$19*$B$17*SQRT(MAX(AC54,0))</f>
        <v>-4.46768601786653</v>
      </c>
      <c r="AI54" s="11" t="n">
        <f aca="false">AE54-$B$19*$B$13*$B$18*SQRT(MAX(AC54,0))</f>
        <v>0.117182867338467</v>
      </c>
      <c r="AJ54" s="32" t="n">
        <f aca="false">1/(1+EXP(-(AH54+AI54*(AB54-$B$14))))</f>
        <v>0.48167608683944</v>
      </c>
      <c r="AK54" s="32" t="n">
        <f aca="false">AK53*(1-MIN(1,AF53))</f>
        <v>2.81459585186437E-005</v>
      </c>
      <c r="AL54" s="32" t="n">
        <f aca="false">AL53*(1-MIN(1,AG53))</f>
        <v>0.000394477345626875</v>
      </c>
      <c r="AM54" s="32" t="n">
        <f aca="false">AM53*(1-MIN(1,AJ53))</f>
        <v>0.000831091391127904</v>
      </c>
    </row>
    <row r="55" customFormat="false" ht="15" hidden="false" customHeight="true" outlineLevel="0" collapsed="false">
      <c r="B55" s="3" t="n">
        <v>93</v>
      </c>
      <c r="C55" s="34" t="n">
        <f aca="false">B55-65</f>
        <v>28</v>
      </c>
      <c r="D55" s="11" t="n">
        <f aca="false">$B$6+$B$8*(C55+$B$21)+0*$B$15</f>
        <v>-4.20326699955715</v>
      </c>
      <c r="E55" s="11" t="n">
        <f aca="false">$B$7+$B$9*(C55+$B$21)+0*$B$15</f>
        <v>0.129273440841755</v>
      </c>
      <c r="F55" s="32" t="n">
        <f aca="false">1/(1+EXP(-(D55+E55*(B55-$B$14))))</f>
        <v>0.140431783640896</v>
      </c>
      <c r="G55" s="32" t="n">
        <f aca="false">$B$20*F55</f>
        <v>0.112345426912717</v>
      </c>
      <c r="H55" s="11" t="n">
        <f aca="false">D55-$B$19*$B$17*SQRT(MAX(C55,0))</f>
        <v>-4.49474145170512</v>
      </c>
      <c r="I55" s="11" t="n">
        <f aca="false">E55-$B$19*$B$13*$B$18*SQRT(MAX(C55,0))</f>
        <v>0.117517596268776</v>
      </c>
      <c r="J55" s="32" t="n">
        <f aca="false">1/(1+EXP(-(H55+I55*(B55-$B$14))))</f>
        <v>0.089425819351564</v>
      </c>
      <c r="K55" s="32" t="n">
        <f aca="false">K54*(1-MIN(1,F54))</f>
        <v>0.275315583251543</v>
      </c>
      <c r="L55" s="32" t="n">
        <f aca="false">L54*(1-MIN(1,G54))</f>
        <v>0.359130474669741</v>
      </c>
      <c r="M55" s="32" t="n">
        <f aca="false">M54*(1-MIN(1,J54))</f>
        <v>0.394386973426442</v>
      </c>
      <c r="O55" s="3" t="n">
        <v>103</v>
      </c>
      <c r="P55" s="34" t="n">
        <f aca="false">O55-75</f>
        <v>28</v>
      </c>
      <c r="Q55" s="11" t="n">
        <f aca="false">$B$6+$B$8*(P55+$B$21)+0*$B$15</f>
        <v>-4.20326699955715</v>
      </c>
      <c r="R55" s="11" t="n">
        <f aca="false">$B$7+$B$9*(P55+$B$21)+0*$B$15</f>
        <v>0.129273440841755</v>
      </c>
      <c r="S55" s="32" t="n">
        <f aca="false">1/(1+EXP(-(Q55+R55*(O55-$B$14))))</f>
        <v>0.373092193152957</v>
      </c>
      <c r="T55" s="32" t="n">
        <f aca="false">$B$20*S55</f>
        <v>0.298473754522366</v>
      </c>
      <c r="U55" s="11" t="n">
        <f aca="false">Q55-$B$19*$B$17*SQRT(MAX(P55,0))</f>
        <v>-4.49474145170512</v>
      </c>
      <c r="V55" s="11" t="n">
        <f aca="false">R55-$B$19*$B$13*$B$18*SQRT(MAX(P55,0))</f>
        <v>0.117517596268776</v>
      </c>
      <c r="W55" s="32" t="n">
        <f aca="false">1/(1+EXP(-(U55+V55*(O55-$B$14))))</f>
        <v>0.241313824516576</v>
      </c>
      <c r="X55" s="32" t="n">
        <f aca="false">X54*(1-MIN(1,S54))</f>
        <v>0.0161885119940254</v>
      </c>
      <c r="Y55" s="32" t="n">
        <f aca="false">Y54*(1-MIN(1,T54))</f>
        <v>0.0400916203487094</v>
      </c>
      <c r="Z55" s="32" t="n">
        <f aca="false">Z54*(1-MIN(1,W54))</f>
        <v>0.0611493484081205</v>
      </c>
      <c r="AB55" s="3" t="n">
        <v>113</v>
      </c>
      <c r="AC55" s="34" t="n">
        <f aca="false">AB55-85</f>
        <v>28</v>
      </c>
      <c r="AD55" s="59" t="n">
        <f aca="false">$B$6+$B$8*(AC55+$B$21)+0*$B$15</f>
        <v>-4.20326699955715</v>
      </c>
      <c r="AE55" s="11" t="n">
        <f aca="false">$B$7+$B$9*(AC55+$B$21)+0*$B$15</f>
        <v>0.129273440841755</v>
      </c>
      <c r="AF55" s="32" t="n">
        <f aca="false">1/(1+EXP(-(AD55+AE55*(AB55-$B$14))))</f>
        <v>0.684333797566546</v>
      </c>
      <c r="AG55" s="32" t="n">
        <f aca="false">$B$20*AF55</f>
        <v>0.547467038053237</v>
      </c>
      <c r="AH55" s="11" t="n">
        <f aca="false">AD55-$B$19*$B$17*SQRT(MAX(AC55,0))</f>
        <v>-4.49474145170512</v>
      </c>
      <c r="AI55" s="11" t="n">
        <f aca="false">AE55-$B$19*$B$13*$B$18*SQRT(MAX(AC55,0))</f>
        <v>0.117517596268776</v>
      </c>
      <c r="AJ55" s="32" t="n">
        <f aca="false">1/(1+EXP(-(AH55+AI55*(AB55-$B$14))))</f>
        <v>0.507420956186735</v>
      </c>
      <c r="AK55" s="32" t="n">
        <f aca="false">AK54*(1-MIN(1,AF54))</f>
        <v>9.68046320844862E-006</v>
      </c>
      <c r="AL55" s="32" t="n">
        <f aca="false">AL54*(1-MIN(1,AG54))</f>
        <v>0.000187436052054976</v>
      </c>
      <c r="AM55" s="32" t="n">
        <f aca="false">AM54*(1-MIN(1,AJ54))</f>
        <v>0.000430774542043469</v>
      </c>
    </row>
    <row r="56" customFormat="false" ht="15" hidden="false" customHeight="true" outlineLevel="0" collapsed="false">
      <c r="B56" s="3" t="n">
        <v>94</v>
      </c>
      <c r="C56" s="34" t="n">
        <f aca="false">B56-65</f>
        <v>29</v>
      </c>
      <c r="D56" s="11" t="n">
        <f aca="false">$B$6+$B$8*(C56+$B$21)+0*$B$15</f>
        <v>-4.22507021127217</v>
      </c>
      <c r="E56" s="11" t="n">
        <f aca="false">$B$7+$B$9*(C56+$B$21)+0*$B$15</f>
        <v>0.129820004142083</v>
      </c>
      <c r="F56" s="32" t="n">
        <f aca="false">1/(1+EXP(-(D56+E56*(B56-$B$14))))</f>
        <v>0.155305598149307</v>
      </c>
      <c r="G56" s="32" t="n">
        <f aca="false">$B$20*F56</f>
        <v>0.124244478519446</v>
      </c>
      <c r="H56" s="11" t="n">
        <f aca="false">D56-$B$19*$B$17*SQRT(MAX(C56,0))</f>
        <v>-4.52170390381194</v>
      </c>
      <c r="I56" s="11" t="n">
        <f aca="false">E56-$B$19*$B$13*$B$18*SQRT(MAX(C56,0))</f>
        <v>0.117856075369224</v>
      </c>
      <c r="J56" s="32" t="n">
        <f aca="false">1/(1+EXP(-(H56+I56*(B56-$B$14))))</f>
        <v>0.0976590215293993</v>
      </c>
      <c r="K56" s="32" t="n">
        <f aca="false">K55*(1-MIN(1,F55))</f>
        <v>0.236652524831395</v>
      </c>
      <c r="L56" s="32" t="n">
        <f aca="false">L55*(1-MIN(1,G55))</f>
        <v>0.318783808175603</v>
      </c>
      <c r="M56" s="32" t="n">
        <f aca="false">M55*(1-MIN(1,J55))</f>
        <v>0.359118595186199</v>
      </c>
      <c r="O56" s="3" t="n">
        <v>104</v>
      </c>
      <c r="P56" s="34" t="n">
        <f aca="false">O56-75</f>
        <v>29</v>
      </c>
      <c r="Q56" s="11" t="n">
        <f aca="false">$B$6+$B$8*(P56+$B$21)+0*$B$15</f>
        <v>-4.22507021127217</v>
      </c>
      <c r="R56" s="11" t="n">
        <f aca="false">$B$7+$B$9*(P56+$B$21)+0*$B$15</f>
        <v>0.129820004142083</v>
      </c>
      <c r="S56" s="32" t="n">
        <f aca="false">1/(1+EXP(-(Q56+R56*(O56-$B$14))))</f>
        <v>0.402422827457719</v>
      </c>
      <c r="T56" s="32" t="n">
        <f aca="false">$B$20*S56</f>
        <v>0.321938261966175</v>
      </c>
      <c r="U56" s="11" t="n">
        <f aca="false">Q56-$B$19*$B$17*SQRT(MAX(P56,0))</f>
        <v>-4.52170390381194</v>
      </c>
      <c r="V56" s="11" t="n">
        <f aca="false">R56-$B$19*$B$13*$B$18*SQRT(MAX(P56,0))</f>
        <v>0.117856075369224</v>
      </c>
      <c r="W56" s="32" t="n">
        <f aca="false">1/(1+EXP(-(U56+V56*(O56-$B$14))))</f>
        <v>0.260196079434702</v>
      </c>
      <c r="X56" s="32" t="n">
        <f aca="false">X55*(1-MIN(1,S55))</f>
        <v>0.0101487045502915</v>
      </c>
      <c r="Y56" s="32" t="n">
        <f aca="false">Y55*(1-MIN(1,T55))</f>
        <v>0.0281253238983448</v>
      </c>
      <c r="Z56" s="32" t="n">
        <f aca="false">Z55*(1-MIN(1,W55))</f>
        <v>0.0463931652770603</v>
      </c>
      <c r="AB56" s="3" t="n">
        <v>114</v>
      </c>
      <c r="AC56" s="34" t="n">
        <f aca="false">AB56-85</f>
        <v>29</v>
      </c>
      <c r="AD56" s="59" t="n">
        <f aca="false">$B$6+$B$8*(AC56+$B$21)+0*$B$15</f>
        <v>-4.22507021127217</v>
      </c>
      <c r="AE56" s="11" t="n">
        <f aca="false">$B$7+$B$9*(AC56+$B$21)+0*$B$15</f>
        <v>0.129820004142083</v>
      </c>
      <c r="AF56" s="32" t="n">
        <f aca="false">1/(1+EXP(-(AD56+AE56*(AB56-$B$14))))</f>
        <v>0.711528658792582</v>
      </c>
      <c r="AG56" s="32" t="n">
        <f aca="false">$B$20*AF56</f>
        <v>0.569222927034065</v>
      </c>
      <c r="AH56" s="11" t="n">
        <f aca="false">AD56-$B$19*$B$17*SQRT(MAX(AC56,0))</f>
        <v>-4.52170390381194</v>
      </c>
      <c r="AI56" s="11" t="n">
        <f aca="false">AE56-$B$19*$B$13*$B$18*SQRT(MAX(AC56,0))</f>
        <v>0.117856075369224</v>
      </c>
      <c r="AJ56" s="32" t="n">
        <f aca="false">1/(1+EXP(-(AH56+AI56*(AB56-$B$14))))</f>
        <v>0.533353164908565</v>
      </c>
      <c r="AK56" s="32" t="n">
        <f aca="false">AK55*(1-MIN(1,AF55))</f>
        <v>3.05579505880774E-006</v>
      </c>
      <c r="AL56" s="32" t="n">
        <f aca="false">AL55*(1-MIN(1,AG55))</f>
        <v>8.48209918120458E-005</v>
      </c>
      <c r="AM56" s="32" t="n">
        <f aca="false">AM55*(1-MIN(1,AJ55))</f>
        <v>0.000212190512018869</v>
      </c>
    </row>
    <row r="57" customFormat="false" ht="15" hidden="false" customHeight="true" outlineLevel="0" collapsed="false">
      <c r="B57" s="3" t="n">
        <v>95</v>
      </c>
      <c r="C57" s="34" t="n">
        <f aca="false">B57-65</f>
        <v>30</v>
      </c>
      <c r="D57" s="11" t="n">
        <f aca="false">$B$6+$B$8*(C57+$B$21)+0*$B$15</f>
        <v>-4.24687342298719</v>
      </c>
      <c r="E57" s="11" t="n">
        <f aca="false">$B$7+$B$9*(C57+$B$21)+0*$B$15</f>
        <v>0.13036656744241</v>
      </c>
      <c r="F57" s="32" t="n">
        <f aca="false">1/(1+EXP(-(D57+E57*(B57-$B$14))))</f>
        <v>0.17159589920349</v>
      </c>
      <c r="G57" s="32" t="n">
        <f aca="false">$B$20*F57</f>
        <v>0.137276719362792</v>
      </c>
      <c r="H57" s="11" t="n">
        <f aca="false">D57-$B$19*$B$17*SQRT(MAX(C57,0))</f>
        <v>-4.54857814427043</v>
      </c>
      <c r="I57" s="11" t="n">
        <f aca="false">E57-$B$19*$B$13*$B$18*SQRT(MAX(C57,0))</f>
        <v>0.118198112251219</v>
      </c>
      <c r="J57" s="32" t="n">
        <f aca="false">1/(1+EXP(-(H57+I57*(B57-$B$14))))</f>
        <v>0.10664134482326</v>
      </c>
      <c r="K57" s="32" t="n">
        <f aca="false">K56*(1-MIN(1,F56))</f>
        <v>0.199899062908912</v>
      </c>
      <c r="L57" s="32" t="n">
        <f aca="false">L56*(1-MIN(1,G56))</f>
        <v>0.279176680168382</v>
      </c>
      <c r="M57" s="32" t="n">
        <f aca="false">M56*(1-MIN(1,J56))</f>
        <v>0.324047424567302</v>
      </c>
      <c r="O57" s="3" t="n">
        <v>105</v>
      </c>
      <c r="P57" s="34" t="n">
        <f aca="false">O57-75</f>
        <v>30</v>
      </c>
      <c r="Q57" s="11" t="n">
        <f aca="false">$B$6+$B$8*(P57+$B$21)+0*$B$15</f>
        <v>-4.24687342298719</v>
      </c>
      <c r="R57" s="11" t="n">
        <f aca="false">$B$7+$B$9*(P57+$B$21)+0*$B$15</f>
        <v>0.13036656744241</v>
      </c>
      <c r="S57" s="32" t="n">
        <f aca="false">1/(1+EXP(-(Q57+R57*(O57-$B$14))))</f>
        <v>0.432736943987964</v>
      </c>
      <c r="T57" s="32" t="n">
        <f aca="false">$B$20*S57</f>
        <v>0.346189555190371</v>
      </c>
      <c r="U57" s="11" t="n">
        <f aca="false">Q57-$B$19*$B$17*SQRT(MAX(P57,0))</f>
        <v>-4.54857814427043</v>
      </c>
      <c r="V57" s="11" t="n">
        <f aca="false">R57-$B$19*$B$13*$B$18*SQRT(MAX(P57,0))</f>
        <v>0.118198112251219</v>
      </c>
      <c r="W57" s="32" t="n">
        <f aca="false">1/(1+EXP(-(U57+V57*(O57-$B$14))))</f>
        <v>0.280186697083692</v>
      </c>
      <c r="X57" s="32" t="n">
        <f aca="false">X56*(1-MIN(1,S56))</f>
        <v>0.00606463417013017</v>
      </c>
      <c r="Y57" s="32" t="n">
        <f aca="false">Y56*(1-MIN(1,T56))</f>
        <v>0.019070706005276</v>
      </c>
      <c r="Z57" s="32" t="n">
        <f aca="false">Z56*(1-MIN(1,W56))</f>
        <v>0.0343218455594031</v>
      </c>
      <c r="AB57" s="3" t="n">
        <v>115</v>
      </c>
      <c r="AC57" s="34" t="n">
        <f aca="false">AB57-85</f>
        <v>30</v>
      </c>
      <c r="AD57" s="11" t="n">
        <f aca="false">$B$6+$B$8*(AC57+$B$21)+0*$B$15</f>
        <v>-4.24687342298719</v>
      </c>
      <c r="AE57" s="11" t="n">
        <f aca="false">$B$7+$B$9*(AC57+$B$21)+0*$B$15</f>
        <v>0.13036656744241</v>
      </c>
      <c r="AF57" s="32" t="n">
        <f aca="false">1/(1+EXP(-(AD57+AE57*(AB57-$B$14))))</f>
        <v>0.737491782297692</v>
      </c>
      <c r="AG57" s="32" t="n">
        <f aca="false">$B$20*AF57</f>
        <v>0.589993425838154</v>
      </c>
      <c r="AH57" s="11" t="n">
        <f aca="false">AD57-$B$19*$B$17*SQRT(MAX(AC57,0))</f>
        <v>-4.54857814427043</v>
      </c>
      <c r="AI57" s="11" t="n">
        <f aca="false">AE57-$B$19*$B$13*$B$18*SQRT(MAX(AC57,0))</f>
        <v>0.118198112251219</v>
      </c>
      <c r="AJ57" s="32" t="n">
        <f aca="false">1/(1+EXP(-(AH57+AI57*(AB57-$B$14))))</f>
        <v>0.559330507514392</v>
      </c>
      <c r="AK57" s="32" t="n">
        <f aca="false">AK56*(1-MIN(1,AF56))</f>
        <v>8.81509299069271E-007</v>
      </c>
      <c r="AL57" s="32" t="n">
        <f aca="false">AL56*(1-MIN(1,AG56))</f>
        <v>3.65389385788606E-005</v>
      </c>
      <c r="AM57" s="32" t="n">
        <f aca="false">AM56*(1-MIN(1,AJ56))</f>
        <v>9.90180308700362E-005</v>
      </c>
    </row>
    <row r="58" customFormat="false" ht="15" hidden="false" customHeight="true" outlineLevel="0" collapsed="false">
      <c r="B58" s="3" t="n">
        <v>96</v>
      </c>
      <c r="C58" s="34" t="n">
        <f aca="false">B58-65</f>
        <v>31</v>
      </c>
      <c r="D58" s="11" t="n">
        <f aca="false">$B$6+$B$8*(C58+$B$21)+0*$B$15</f>
        <v>-4.26867663470221</v>
      </c>
      <c r="E58" s="11" t="n">
        <f aca="false">$B$7+$B$9*(C58+$B$21)+0*$B$15</f>
        <v>0.130913130742738</v>
      </c>
      <c r="F58" s="32" t="n">
        <f aca="false">1/(1+EXP(-(D58+E58*(B58-$B$14))))</f>
        <v>0.189379920890982</v>
      </c>
      <c r="G58" s="32" t="n">
        <f aca="false">$B$20*F58</f>
        <v>0.151503936712786</v>
      </c>
      <c r="H58" s="11" t="n">
        <f aca="false">D58-$B$19*$B$17*SQRT(MAX(C58,0))</f>
        <v>-4.5753685487453</v>
      </c>
      <c r="I58" s="11" t="n">
        <f aca="false">E58-$B$19*$B$13*$B$18*SQRT(MAX(C58,0))</f>
        <v>0.118543530433996</v>
      </c>
      <c r="J58" s="32" t="n">
        <f aca="false">1/(1+EXP(-(H58+I58*(B58-$B$14))))</f>
        <v>0.11642975726804</v>
      </c>
      <c r="K58" s="32" t="n">
        <f aca="false">K57*(1-MIN(1,F57))</f>
        <v>0.165597203459122</v>
      </c>
      <c r="L58" s="32" t="n">
        <f aca="false">L57*(1-MIN(1,G57))</f>
        <v>0.240852221392271</v>
      </c>
      <c r="M58" s="32" t="n">
        <f aca="false">M57*(1-MIN(1,J57))</f>
        <v>0.289490571424931</v>
      </c>
      <c r="O58" s="3" t="n">
        <v>106</v>
      </c>
      <c r="P58" s="34" t="n">
        <f aca="false">O58-75</f>
        <v>31</v>
      </c>
      <c r="Q58" s="11" t="n">
        <f aca="false">$B$6+$B$8*(P58+$B$21)+0*$B$15</f>
        <v>-4.26867663470221</v>
      </c>
      <c r="R58" s="11" t="n">
        <f aca="false">$B$7+$B$9*(P58+$B$21)+0*$B$15</f>
        <v>0.130913130742738</v>
      </c>
      <c r="S58" s="32" t="n">
        <f aca="false">1/(1+EXP(-(Q58+R58*(O58-$B$14))))</f>
        <v>0.463835011857125</v>
      </c>
      <c r="T58" s="32" t="n">
        <f aca="false">$B$20*S58</f>
        <v>0.3710680094857</v>
      </c>
      <c r="U58" s="11" t="n">
        <f aca="false">Q58-$B$19*$B$17*SQRT(MAX(P58,0))</f>
        <v>-4.5753685487453</v>
      </c>
      <c r="V58" s="11" t="n">
        <f aca="false">R58-$B$19*$B$13*$B$18*SQRT(MAX(P58,0))</f>
        <v>0.118543530433996</v>
      </c>
      <c r="W58" s="32" t="n">
        <f aca="false">1/(1+EXP(-(U58+V58*(O58-$B$14))))</f>
        <v>0.301272144812314</v>
      </c>
      <c r="X58" s="32" t="n">
        <f aca="false">X57*(1-MIN(1,S57))</f>
        <v>0.00344024291294306</v>
      </c>
      <c r="Y58" s="32" t="n">
        <f aca="false">Y57*(1-MIN(1,T57))</f>
        <v>0.0124686267761432</v>
      </c>
      <c r="Z58" s="32" t="n">
        <f aca="false">Z57*(1-MIN(1,W57))</f>
        <v>0.0247053210142973</v>
      </c>
      <c r="AB58" s="3" t="n">
        <v>116</v>
      </c>
      <c r="AC58" s="34" t="n">
        <f aca="false">AB58-85</f>
        <v>31</v>
      </c>
      <c r="AD58" s="11" t="n">
        <f aca="false">$B$6+$B$8*(AC58+$B$21)+0*$B$15</f>
        <v>-4.26867663470221</v>
      </c>
      <c r="AE58" s="11" t="n">
        <f aca="false">$B$7+$B$9*(AC58+$B$21)+0*$B$15</f>
        <v>0.130913130742738</v>
      </c>
      <c r="AF58" s="32" t="n">
        <f aca="false">1/(1+EXP(-(AD58+AE58*(AB58-$B$14))))</f>
        <v>0.762098355166093</v>
      </c>
      <c r="AG58" s="32" t="n">
        <f aca="false">$B$20*AF58</f>
        <v>0.609678684132874</v>
      </c>
      <c r="AH58" s="11" t="n">
        <f aca="false">AD58-$B$19*$B$17*SQRT(MAX(AC58,0))</f>
        <v>-4.5753685487453</v>
      </c>
      <c r="AI58" s="11" t="n">
        <f aca="false">AE58-$B$19*$B$13*$B$18*SQRT(MAX(AC58,0))</f>
        <v>0.118543530433996</v>
      </c>
      <c r="AJ58" s="32" t="n">
        <f aca="false">1/(1+EXP(-(AH58+AI58*(AB58-$B$14))))</f>
        <v>0.585207469477779</v>
      </c>
      <c r="AK58" s="32" t="n">
        <f aca="false">AK57*(1-MIN(1,AF57))</f>
        <v>2.31403434986685E-007</v>
      </c>
      <c r="AL58" s="32" t="n">
        <f aca="false">AL57*(1-MIN(1,AG57))</f>
        <v>1.49812050302287E-005</v>
      </c>
      <c r="AM58" s="32" t="n">
        <f aca="false">AM57*(1-MIN(1,AJ57))</f>
        <v>4.36342254104231E-005</v>
      </c>
    </row>
    <row r="59" customFormat="false" ht="15" hidden="false" customHeight="true" outlineLevel="0" collapsed="false">
      <c r="B59" s="3" t="n">
        <v>97</v>
      </c>
      <c r="C59" s="34" t="n">
        <f aca="false">B59-65</f>
        <v>32</v>
      </c>
      <c r="D59" s="11" t="n">
        <f aca="false">$B$6+$B$8*(C59+$B$21)+0*$B$15</f>
        <v>-4.29047984641723</v>
      </c>
      <c r="E59" s="11" t="n">
        <f aca="false">$B$7+$B$9*(C59+$B$21)+0*$B$15</f>
        <v>0.131459694043066</v>
      </c>
      <c r="F59" s="32" t="n">
        <f aca="false">1/(1+EXP(-(D59+E59*(B59-$B$14))))</f>
        <v>0.208723553543518</v>
      </c>
      <c r="G59" s="32" t="n">
        <f aca="false">$B$20*F59</f>
        <v>0.166978842834814</v>
      </c>
      <c r="H59" s="11" t="n">
        <f aca="false">D59-$B$19*$B$17*SQRT(MAX(C59,0))</f>
        <v>-4.60207914268447</v>
      </c>
      <c r="I59" s="11" t="n">
        <f aca="false">E59-$B$19*$B$13*$B$18*SQRT(MAX(C59,0))</f>
        <v>0.118892167561851</v>
      </c>
      <c r="J59" s="32" t="n">
        <f aca="false">1/(1+EXP(-(H59+I59*(B59-$B$14))))</f>
        <v>0.127082410727958</v>
      </c>
      <c r="K59" s="32" t="n">
        <f aca="false">K58*(1-MIN(1,F58))</f>
        <v>0.134236418168266</v>
      </c>
      <c r="L59" s="32" t="n">
        <f aca="false">L58*(1-MIN(1,G58))</f>
        <v>0.204362161685322</v>
      </c>
      <c r="M59" s="32" t="n">
        <f aca="false">M58*(1-MIN(1,J58))</f>
        <v>0.25578525446254</v>
      </c>
      <c r="O59" s="3" t="n">
        <v>107</v>
      </c>
      <c r="P59" s="34" t="n">
        <f aca="false">O59-75</f>
        <v>32</v>
      </c>
      <c r="Q59" s="11" t="n">
        <f aca="false">$B$6+$B$8*(P59+$B$21)+0*$B$15</f>
        <v>-4.29047984641723</v>
      </c>
      <c r="R59" s="11" t="n">
        <f aca="false">$B$7+$B$9*(P59+$B$21)+0*$B$15</f>
        <v>0.131459694043066</v>
      </c>
      <c r="S59" s="32" t="n">
        <f aca="false">1/(1+EXP(-(Q59+R59*(O59-$B$14))))</f>
        <v>0.495490174799154</v>
      </c>
      <c r="T59" s="32" t="n">
        <f aca="false">$B$20*S59</f>
        <v>0.396392139839323</v>
      </c>
      <c r="U59" s="11" t="n">
        <f aca="false">Q59-$B$19*$B$17*SQRT(MAX(P59,0))</f>
        <v>-4.60207914268447</v>
      </c>
      <c r="V59" s="11" t="n">
        <f aca="false">R59-$B$19*$B$13*$B$18*SQRT(MAX(P59,0))</f>
        <v>0.118892167561851</v>
      </c>
      <c r="W59" s="32" t="n">
        <f aca="false">1/(1+EXP(-(U59+V59*(O59-$B$14))))</f>
        <v>0.323423328532167</v>
      </c>
      <c r="X59" s="32" t="n">
        <f aca="false">X58*(1-MIN(1,S58))</f>
        <v>0.00184453780062672</v>
      </c>
      <c r="Y59" s="32" t="n">
        <f aca="false">Y58*(1-MIN(1,T58))</f>
        <v>0.00784191825729961</v>
      </c>
      <c r="Z59" s="32" t="n">
        <f aca="false">Z58*(1-MIN(1,W58))</f>
        <v>0.0172622959640432</v>
      </c>
      <c r="AB59" s="3" t="n">
        <v>117</v>
      </c>
      <c r="AC59" s="34" t="n">
        <f aca="false">AB59-85</f>
        <v>32</v>
      </c>
      <c r="AD59" s="11" t="n">
        <f aca="false">$B$6+$B$8*(AC59+$B$21)+0*$B$15</f>
        <v>-4.29047984641723</v>
      </c>
      <c r="AE59" s="11" t="n">
        <f aca="false">$B$7+$B$9*(AC59+$B$21)+0*$B$15</f>
        <v>0.131459694043066</v>
      </c>
      <c r="AF59" s="32" t="n">
        <f aca="false">1/(1+EXP(-(AD59+AE59*(AB59-$B$14))))</f>
        <v>0.785254986901176</v>
      </c>
      <c r="AG59" s="32" t="n">
        <f aca="false">$B$20*AF59</f>
        <v>0.628203989520941</v>
      </c>
      <c r="AH59" s="11" t="n">
        <f aca="false">AD59-$B$19*$B$17*SQRT(MAX(AC59,0))</f>
        <v>-4.60207914268447</v>
      </c>
      <c r="AI59" s="11" t="n">
        <f aca="false">AE59-$B$19*$B$13*$B$18*SQRT(MAX(AC59,0))</f>
        <v>0.118892167561851</v>
      </c>
      <c r="AJ59" s="32" t="n">
        <f aca="false">1/(1+EXP(-(AH59+AI59*(AB59-$B$14))))</f>
        <v>0.610838452410119</v>
      </c>
      <c r="AK59" s="32" t="n">
        <f aca="false">AK58*(1-MIN(1,AF58))</f>
        <v>5.50512578035484E-008</v>
      </c>
      <c r="AL59" s="32" t="n">
        <f aca="false">AL58*(1-MIN(1,AG58))</f>
        <v>5.84748366067409E-006</v>
      </c>
      <c r="AM59" s="32" t="n">
        <f aca="false">AM58*(1-MIN(1,AJ58))</f>
        <v>1.80991507753664E-005</v>
      </c>
    </row>
    <row r="60" customFormat="false" ht="15" hidden="false" customHeight="true" outlineLevel="0" collapsed="false">
      <c r="B60" s="3" t="n">
        <v>98</v>
      </c>
      <c r="C60" s="34" t="n">
        <f aca="false">B60-65</f>
        <v>33</v>
      </c>
      <c r="D60" s="11" t="n">
        <f aca="false">$B$6+$B$8*(C60+$B$21)+0*$B$15</f>
        <v>-4.31228305813225</v>
      </c>
      <c r="E60" s="11" t="n">
        <f aca="false">$B$7+$B$9*(C60+$B$21)+0*$B$15</f>
        <v>0.132006257343394</v>
      </c>
      <c r="F60" s="32" t="n">
        <f aca="false">1/(1+EXP(-(D60+E60*(B60-$B$14))))</f>
        <v>0.229676986336196</v>
      </c>
      <c r="G60" s="32" t="n">
        <f aca="false">$B$20*F60</f>
        <v>0.183741589068956</v>
      </c>
      <c r="H60" s="11" t="n">
        <f aca="false">D60-$B$19*$B$17*SQRT(MAX(C60,0))</f>
        <v>-4.62871363934882</v>
      </c>
      <c r="I60" s="11" t="n">
        <f aca="false">E60-$B$19*$B$13*$B$18*SQRT(MAX(C60,0))</f>
        <v>0.11924387387031</v>
      </c>
      <c r="J60" s="32" t="n">
        <f aca="false">1/(1+EXP(-(H60+I60*(B60-$B$14))))</f>
        <v>0.138657828623204</v>
      </c>
      <c r="K60" s="32" t="n">
        <f aca="false">K59*(1-MIN(1,F59))</f>
        <v>0.106218115953232</v>
      </c>
      <c r="L60" s="32" t="n">
        <f aca="false">L59*(1-MIN(1,G59))</f>
        <v>0.170238004407886</v>
      </c>
      <c r="M60" s="32" t="n">
        <f aca="false">M59*(1-MIN(1,J59))</f>
        <v>0.223279447696776</v>
      </c>
      <c r="O60" s="3" t="n">
        <v>108</v>
      </c>
      <c r="P60" s="34" t="n">
        <f aca="false">O60-75</f>
        <v>33</v>
      </c>
      <c r="Q60" s="11" t="n">
        <f aca="false">$B$6+$B$8*(P60+$B$21)+0*$B$15</f>
        <v>-4.31228305813225</v>
      </c>
      <c r="R60" s="11" t="n">
        <f aca="false">$B$7+$B$9*(P60+$B$21)+0*$B$15</f>
        <v>0.132006257343394</v>
      </c>
      <c r="S60" s="32" t="n">
        <f aca="false">1/(1+EXP(-(Q60+R60*(O60-$B$14))))</f>
        <v>0.527454000450556</v>
      </c>
      <c r="T60" s="32" t="n">
        <f aca="false">$B$20*S60</f>
        <v>0.421963200360445</v>
      </c>
      <c r="U60" s="11" t="n">
        <f aca="false">Q60-$B$19*$B$17*SQRT(MAX(P60,0))</f>
        <v>-4.62871363934882</v>
      </c>
      <c r="V60" s="11" t="n">
        <f aca="false">R60-$B$19*$B$13*$B$18*SQRT(MAX(P60,0))</f>
        <v>0.11924387387031</v>
      </c>
      <c r="W60" s="32" t="n">
        <f aca="false">1/(1+EXP(-(U60+V60*(O60-$B$14))))</f>
        <v>0.34659417008946</v>
      </c>
      <c r="X60" s="32" t="n">
        <f aca="false">X59*(1-MIN(1,S59))</f>
        <v>0.000930587443370542</v>
      </c>
      <c r="Y60" s="32" t="n">
        <f aca="false">Y59*(1-MIN(1,T59))</f>
        <v>0.00473344349884356</v>
      </c>
      <c r="Z60" s="32" t="n">
        <f aca="false">Z59*(1-MIN(1,W59))</f>
        <v>0.011679266745245</v>
      </c>
      <c r="AB60" s="3" t="n">
        <v>118</v>
      </c>
      <c r="AC60" s="34" t="n">
        <f aca="false">AB60-85</f>
        <v>33</v>
      </c>
      <c r="AD60" s="11" t="n">
        <f aca="false">$B$6+$B$8*(AC60+$B$21)+0*$B$15</f>
        <v>-4.31228305813225</v>
      </c>
      <c r="AE60" s="11" t="n">
        <f aca="false">$B$7+$B$9*(AC60+$B$21)+0*$B$15</f>
        <v>0.132006257343394</v>
      </c>
      <c r="AF60" s="32" t="n">
        <f aca="false">1/(1+EXP(-(AD60+AE60*(AB60-$B$14))))</f>
        <v>0.806899623071691</v>
      </c>
      <c r="AG60" s="32" t="n">
        <f aca="false">$B$20*AF60</f>
        <v>0.645519698457353</v>
      </c>
      <c r="AH60" s="11" t="n">
        <f aca="false">AD60-$B$19*$B$17*SQRT(MAX(AC60,0))</f>
        <v>-4.62871363934882</v>
      </c>
      <c r="AI60" s="11" t="n">
        <f aca="false">AE60-$B$19*$B$13*$B$18*SQRT(MAX(AC60,0))</f>
        <v>0.11924387387031</v>
      </c>
      <c r="AJ60" s="32" t="n">
        <f aca="false">1/(1+EXP(-(AH60+AI60*(AB60-$B$14))))</f>
        <v>0.636081063817186</v>
      </c>
      <c r="AK60" s="32" t="n">
        <f aca="false">AK59*(1-MIN(1,AF59))</f>
        <v>1.18219830781298E-008</v>
      </c>
      <c r="AL60" s="32" t="n">
        <f aca="false">AL59*(1-MIN(1,AG59))</f>
        <v>2.17407109638011E-006</v>
      </c>
      <c r="AM60" s="32" t="n">
        <f aca="false">AM59*(1-MIN(1,AJ59))</f>
        <v>7.04349352580417E-006</v>
      </c>
    </row>
    <row r="61" customFormat="false" ht="15" hidden="false" customHeight="true" outlineLevel="0" collapsed="false">
      <c r="B61" s="3" t="n">
        <v>99</v>
      </c>
      <c r="C61" s="34" t="n">
        <f aca="false">B61-65</f>
        <v>34</v>
      </c>
      <c r="D61" s="11" t="n">
        <f aca="false">$B$6+$B$8*(C61+$B$21)+0*$B$15</f>
        <v>-4.33408626984727</v>
      </c>
      <c r="E61" s="11" t="n">
        <f aca="false">$B$7+$B$9*(C61+$B$21)+0*$B$15</f>
        <v>0.132552820643722</v>
      </c>
      <c r="F61" s="32" t="n">
        <f aca="false">1/(1+EXP(-(D61+E61*(B61-$B$14))))</f>
        <v>0.252269970508848</v>
      </c>
      <c r="G61" s="32" t="n">
        <f aca="false">$B$20*F61</f>
        <v>0.201815976407079</v>
      </c>
      <c r="H61" s="11" t="n">
        <f aca="false">D61-$B$19*$B$17*SQRT(MAX(C61,0))</f>
        <v>-4.65527547269176</v>
      </c>
      <c r="I61" s="11" t="n">
        <f aca="false">E61-$B$19*$B$13*$B$18*SQRT(MAX(C61,0))</f>
        <v>0.119598510860022</v>
      </c>
      <c r="J61" s="32" t="n">
        <f aca="false">1/(1+EXP(-(H61+I61*(B61-$B$14))))</f>
        <v>0.151213882512193</v>
      </c>
      <c r="K61" s="32" t="n">
        <f aca="false">K60*(1-MIN(1,F60))</f>
        <v>0.0818222591867848</v>
      </c>
      <c r="L61" s="32" t="n">
        <f aca="false">L60*(1-MIN(1,G60))</f>
        <v>0.138958202958053</v>
      </c>
      <c r="M61" s="32" t="n">
        <f aca="false">M60*(1-MIN(1,J60))</f>
        <v>0.192320004302953</v>
      </c>
      <c r="O61" s="3" t="n">
        <v>109</v>
      </c>
      <c r="P61" s="34" t="n">
        <f aca="false">O61-75</f>
        <v>34</v>
      </c>
      <c r="Q61" s="11" t="n">
        <f aca="false">$B$6+$B$8*(P61+$B$21)+0*$B$15</f>
        <v>-4.33408626984727</v>
      </c>
      <c r="R61" s="11" t="n">
        <f aca="false">$B$7+$B$9*(P61+$B$21)+0*$B$15</f>
        <v>0.132552820643722</v>
      </c>
      <c r="S61" s="32" t="n">
        <f aca="false">1/(1+EXP(-(Q61+R61*(O61-$B$14))))</f>
        <v>0.559463760237766</v>
      </c>
      <c r="T61" s="32" t="n">
        <f aca="false">$B$20*S61</f>
        <v>0.447571008190212</v>
      </c>
      <c r="U61" s="11" t="n">
        <f aca="false">Q61-$B$19*$B$17*SQRT(MAX(P61,0))</f>
        <v>-4.65527547269176</v>
      </c>
      <c r="V61" s="11" t="n">
        <f aca="false">R61-$B$19*$B$13*$B$18*SQRT(MAX(P61,0))</f>
        <v>0.119598510860022</v>
      </c>
      <c r="W61" s="32" t="n">
        <f aca="false">1/(1+EXP(-(U61+V61*(O61-$B$14))))</f>
        <v>0.370720559883183</v>
      </c>
      <c r="X61" s="32" t="n">
        <f aca="false">X60*(1-MIN(1,S60))</f>
        <v>0.000439745373595695</v>
      </c>
      <c r="Y61" s="32" t="n">
        <f aca="false">Y60*(1-MIN(1,T60))</f>
        <v>0.00273610453134619</v>
      </c>
      <c r="Z61" s="32" t="n">
        <f aca="false">Z60*(1-MIN(1,W60))</f>
        <v>0.00763130098042338</v>
      </c>
      <c r="AB61" s="3" t="n">
        <v>119</v>
      </c>
      <c r="AC61" s="34" t="n">
        <f aca="false">AB61-85</f>
        <v>34</v>
      </c>
      <c r="AD61" s="11" t="n">
        <f aca="false">$B$6+$B$8*(AC61+$B$21)+0*$B$15</f>
        <v>-4.33408626984727</v>
      </c>
      <c r="AE61" s="11" t="n">
        <f aca="false">$B$7+$B$9*(AC61+$B$21)+0*$B$15</f>
        <v>0.132552820643722</v>
      </c>
      <c r="AF61" s="32" t="n">
        <f aca="false">1/(1+EXP(-(AD61+AE61*(AB61-$B$14))))</f>
        <v>0.827000164284424</v>
      </c>
      <c r="AG61" s="32" t="n">
        <f aca="false">$B$20*AF61</f>
        <v>0.661600131427539</v>
      </c>
      <c r="AH61" s="11" t="n">
        <f aca="false">AD61-$B$19*$B$17*SQRT(MAX(AC61,0))</f>
        <v>-4.65527547269176</v>
      </c>
      <c r="AI61" s="11" t="n">
        <f aca="false">AE61-$B$19*$B$13*$B$18*SQRT(MAX(AC61,0))</f>
        <v>0.119598510860022</v>
      </c>
      <c r="AJ61" s="32" t="n">
        <f aca="false">1/(1+EXP(-(AH61+AI61*(AB61-$B$14))))</f>
        <v>0.66079931463432</v>
      </c>
      <c r="AK61" s="32" t="n">
        <f aca="false">AK60*(1-MIN(1,AF60))</f>
        <v>2.28282938842694E-009</v>
      </c>
      <c r="AL61" s="32" t="n">
        <f aca="false">AL60*(1-MIN(1,AG60))</f>
        <v>7.70665377819975E-007</v>
      </c>
      <c r="AM61" s="32" t="n">
        <f aca="false">AM60*(1-MIN(1,AJ60))</f>
        <v>2.56326067092119E-006</v>
      </c>
    </row>
    <row r="62" customFormat="false" ht="15" hidden="false" customHeight="true" outlineLevel="0" collapsed="false">
      <c r="B62" s="3" t="n">
        <v>100</v>
      </c>
      <c r="C62" s="34" t="n">
        <f aca="false">B62-65</f>
        <v>35</v>
      </c>
      <c r="D62" s="11" t="n">
        <f aca="false">$B$6+$B$8*(C62+$B$21)+0*$B$15</f>
        <v>-4.35588948156229</v>
      </c>
      <c r="E62" s="11" t="n">
        <f aca="false">$B$7+$B$9*(C62+$B$21)+0*$B$15</f>
        <v>0.13309938394405</v>
      </c>
      <c r="F62" s="32" t="n">
        <f aca="false">1/(1+EXP(-(D62+E62*(B62-$B$14))))</f>
        <v>0.27650690852635</v>
      </c>
      <c r="G62" s="32" t="n">
        <f aca="false">$B$20*F62</f>
        <v>0.22120552682108</v>
      </c>
      <c r="H62" s="11" t="n">
        <f aca="false">D62-$B$19*$B$17*SQRT(MAX(C62,0))</f>
        <v>-4.68176782591597</v>
      </c>
      <c r="I62" s="11" t="n">
        <f aca="false">E62-$B$19*$B$13*$B$18*SQRT(MAX(C62,0))</f>
        <v>0.119955950144998</v>
      </c>
      <c r="J62" s="32" t="n">
        <f aca="false">1/(1+EXP(-(H62+I62*(B62-$B$14))))</f>
        <v>0.164806538384793</v>
      </c>
      <c r="K62" s="32" t="n">
        <f aca="false">K61*(1-MIN(1,F61))</f>
        <v>0.0611809602747672</v>
      </c>
      <c r="L62" s="32" t="n">
        <f aca="false">L61*(1-MIN(1,G61))</f>
        <v>0.110914217548301</v>
      </c>
      <c r="M62" s="32" t="n">
        <f aca="false">M61*(1-MIN(1,J61))</f>
        <v>0.163238549767542</v>
      </c>
      <c r="O62" s="3" t="n">
        <v>110</v>
      </c>
      <c r="P62" s="34" t="n">
        <f aca="false">O62-75</f>
        <v>35</v>
      </c>
      <c r="Q62" s="11" t="n">
        <f aca="false">$B$6+$B$8*(P62+$B$21)+0*$B$15</f>
        <v>-4.35588948156229</v>
      </c>
      <c r="R62" s="11" t="n">
        <f aca="false">$B$7+$B$9*(P62+$B$21)+0*$B$15</f>
        <v>0.13309938394405</v>
      </c>
      <c r="S62" s="32" t="n">
        <f aca="false">1/(1+EXP(-(Q62+R62*(O62-$B$14))))</f>
        <v>0.591250829146694</v>
      </c>
      <c r="T62" s="32" t="n">
        <f aca="false">$B$20*S62</f>
        <v>0.473000663317355</v>
      </c>
      <c r="U62" s="11" t="n">
        <f aca="false">Q62-$B$19*$B$17*SQRT(MAX(P62,0))</f>
        <v>-4.68176782591597</v>
      </c>
      <c r="V62" s="11" t="n">
        <f aca="false">R62-$B$19*$B$13*$B$18*SQRT(MAX(P62,0))</f>
        <v>0.119955950144998</v>
      </c>
      <c r="W62" s="32" t="n">
        <f aca="false">1/(1+EXP(-(U62+V62*(O62-$B$14))))</f>
        <v>0.395719804025034</v>
      </c>
      <c r="X62" s="32" t="n">
        <f aca="false">X61*(1-MIN(1,S61))</f>
        <v>0.000193723773336686</v>
      </c>
      <c r="Y62" s="32" t="n">
        <f aca="false">Y61*(1-MIN(1,T61))</f>
        <v>0.00151150346773777</v>
      </c>
      <c r="Z62" s="32" t="n">
        <f aca="false">Z61*(1-MIN(1,W61))</f>
        <v>0.00480222080832374</v>
      </c>
      <c r="AB62" s="3" t="n">
        <v>120</v>
      </c>
      <c r="AC62" s="34" t="n">
        <f aca="false">AB62-85</f>
        <v>35</v>
      </c>
      <c r="AD62" s="11" t="n">
        <f aca="false">$B$6+$B$8*(AC62+$B$21)+0*$B$15</f>
        <v>-4.35588948156229</v>
      </c>
      <c r="AE62" s="11" t="n">
        <f aca="false">$B$7+$B$9*(AC62+$B$21)+0*$B$15</f>
        <v>0.13309938394405</v>
      </c>
      <c r="AF62" s="32" t="n">
        <f aca="false">1/(1+EXP(-(AD62+AE62*(AB62-$B$14))))</f>
        <v>0.845552037804422</v>
      </c>
      <c r="AG62" s="32" t="n">
        <f aca="false">$B$20*AF62</f>
        <v>0.676441630243538</v>
      </c>
      <c r="AH62" s="11" t="n">
        <f aca="false">AD62-$B$19*$B$17*SQRT(MAX(AC62,0))</f>
        <v>-4.68176782591597</v>
      </c>
      <c r="AI62" s="11" t="n">
        <f aca="false">AE62-$B$19*$B$13*$B$18*SQRT(MAX(AC62,0))</f>
        <v>0.119955950144998</v>
      </c>
      <c r="AJ62" s="32" t="n">
        <f aca="false">1/(1+EXP(-(AH62+AI62*(AB62-$B$14))))</f>
        <v>0.684866572407206</v>
      </c>
      <c r="AK62" s="32" t="n">
        <f aca="false">AK61*(1-MIN(1,AF61))</f>
        <v>3.94929109164551E-010</v>
      </c>
      <c r="AL62" s="32" t="n">
        <f aca="false">AL61*(1-MIN(1,AG61))</f>
        <v>2.60793062567626E-007</v>
      </c>
      <c r="AM62" s="32" t="n">
        <f aca="false">AM61*(1-MIN(1,AJ61))</f>
        <v>8.69459776347361E-007</v>
      </c>
    </row>
    <row r="63" customFormat="false" ht="15" hidden="false" customHeight="true" outlineLevel="0" collapsed="false">
      <c r="B63" s="3" t="n">
        <v>101</v>
      </c>
      <c r="C63" s="34" t="n">
        <f aca="false">B63-65</f>
        <v>36</v>
      </c>
      <c r="D63" s="11" t="n">
        <f aca="false">$B$6+$B$8*(C63+$B$21)+0*$B$15</f>
        <v>-4.37769269327731</v>
      </c>
      <c r="E63" s="11" t="n">
        <f aca="false">$B$7+$B$9*(C63+$B$21)+0*$B$15</f>
        <v>0.133645947244378</v>
      </c>
      <c r="F63" s="32" t="n">
        <f aca="false">1/(1+EXP(-(D63+E63*(B63-$B$14))))</f>
        <v>0.302362058483596</v>
      </c>
      <c r="G63" s="32" t="n">
        <f aca="false">$B$20*F63</f>
        <v>0.241889646786877</v>
      </c>
      <c r="H63" s="11" t="n">
        <f aca="false">D63-$B$19*$B$17*SQRT(MAX(C63,0))</f>
        <v>-4.70819365638259</v>
      </c>
      <c r="I63" s="11" t="n">
        <f aca="false">E63-$B$19*$B$13*$B$18*SQRT(MAX(C63,0))</f>
        <v>0.120316072447964</v>
      </c>
      <c r="J63" s="32" t="n">
        <f aca="false">1/(1+EXP(-(H63+I63*(B63-$B$14))))</f>
        <v>0.179488360200382</v>
      </c>
      <c r="K63" s="32" t="n">
        <f aca="false">K62*(1-MIN(1,F62))</f>
        <v>0.0442640020885179</v>
      </c>
      <c r="L63" s="32" t="n">
        <f aca="false">L62*(1-MIN(1,G62))</f>
        <v>0.0863793796235809</v>
      </c>
      <c r="M63" s="32" t="n">
        <f aca="false">M62*(1-MIN(1,J62))</f>
        <v>0.136335769449399</v>
      </c>
      <c r="O63" s="3" t="n">
        <v>111</v>
      </c>
      <c r="P63" s="34" t="n">
        <f aca="false">O63-75</f>
        <v>36</v>
      </c>
      <c r="Q63" s="11" t="n">
        <f aca="false">$B$6+$B$8*(P63+$B$21)+0*$B$15</f>
        <v>-4.37769269327731</v>
      </c>
      <c r="R63" s="11" t="n">
        <f aca="false">$B$7+$B$9*(P63+$B$21)+0*$B$15</f>
        <v>0.133645947244378</v>
      </c>
      <c r="S63" s="32" t="n">
        <f aca="false">1/(1+EXP(-(Q63+R63*(O63-$B$14))))</f>
        <v>0.622549657944347</v>
      </c>
      <c r="T63" s="32" t="n">
        <f aca="false">$B$20*S63</f>
        <v>0.498039726355478</v>
      </c>
      <c r="U63" s="11" t="n">
        <f aca="false">Q63-$B$19*$B$17*SQRT(MAX(P63,0))</f>
        <v>-4.70819365638259</v>
      </c>
      <c r="V63" s="11" t="n">
        <f aca="false">R63-$B$19*$B$13*$B$18*SQRT(MAX(P63,0))</f>
        <v>0.120316072447964</v>
      </c>
      <c r="W63" s="32" t="n">
        <f aca="false">1/(1+EXP(-(U63+V63*(O63-$B$14))))</f>
        <v>0.42149067497992</v>
      </c>
      <c r="X63" s="32" t="n">
        <f aca="false">X62*(1-MIN(1,S62))</f>
        <v>7.91844317259443E-005</v>
      </c>
      <c r="Y63" s="32" t="n">
        <f aca="false">Y62*(1-MIN(1,T62))</f>
        <v>0.000796561324891321</v>
      </c>
      <c r="Z63" s="32" t="n">
        <f aca="false">Z62*(1-MIN(1,W62))</f>
        <v>0.00290188693116892</v>
      </c>
    </row>
    <row r="64" customFormat="false" ht="15" hidden="false" customHeight="true" outlineLevel="0" collapsed="false">
      <c r="B64" s="3" t="n">
        <v>102</v>
      </c>
      <c r="C64" s="34" t="n">
        <f aca="false">B64-65</f>
        <v>37</v>
      </c>
      <c r="D64" s="11" t="n">
        <f aca="false">$B$6+$B$8*(C64+$B$21)+0*$B$15</f>
        <v>-4.39949590499233</v>
      </c>
      <c r="E64" s="11" t="n">
        <f aca="false">$B$7+$B$9*(C64+$B$21)+0*$B$15</f>
        <v>0.134192510544705</v>
      </c>
      <c r="F64" s="32" t="n">
        <f aca="false">1/(1+EXP(-(D64+E64*(B64-$B$14))))</f>
        <v>0.329775222826464</v>
      </c>
      <c r="G64" s="32" t="n">
        <f aca="false">$B$20*F64</f>
        <v>0.263820178261171</v>
      </c>
      <c r="H64" s="11" t="n">
        <f aca="false">D64-$B$19*$B$17*SQRT(MAX(C64,0))</f>
        <v>-4.73455571742637</v>
      </c>
      <c r="I64" s="11" t="n">
        <f aca="false">E64-$B$19*$B$13*$B$18*SQRT(MAX(C64,0))</f>
        <v>0.120678766720507</v>
      </c>
      <c r="J64" s="32" t="n">
        <f aca="false">1/(1+EXP(-(H64+I64*(B64-$B$14))))</f>
        <v>0.195306768354626</v>
      </c>
      <c r="K64" s="32" t="n">
        <f aca="false">K63*(1-MIN(1,F63))</f>
        <v>0.0308802473003114</v>
      </c>
      <c r="L64" s="32" t="n">
        <f aca="false">L63*(1-MIN(1,G63))</f>
        <v>0.0654851019967633</v>
      </c>
      <c r="M64" s="32" t="n">
        <f aca="false">M63*(1-MIN(1,J63))</f>
        <v>0.111865085754269</v>
      </c>
      <c r="O64" s="3" t="n">
        <v>112</v>
      </c>
      <c r="P64" s="34" t="n">
        <f aca="false">O64-75</f>
        <v>37</v>
      </c>
      <c r="Q64" s="59" t="n">
        <f aca="false">$B$6+$B$8*(P64+$B$21)+0*$B$15</f>
        <v>-4.39949590499233</v>
      </c>
      <c r="R64" s="11" t="n">
        <f aca="false">$B$7+$B$9*(P64+$B$21)+0*$B$15</f>
        <v>0.134192510544705</v>
      </c>
      <c r="S64" s="32" t="n">
        <f aca="false">1/(1+EXP(-(Q64+R64*(O64-$B$14))))</f>
        <v>0.653106691997531</v>
      </c>
      <c r="T64" s="32" t="n">
        <f aca="false">$B$20*S64</f>
        <v>0.522485353598025</v>
      </c>
      <c r="U64" s="11" t="n">
        <f aca="false">Q64-$B$19*$B$17*SQRT(MAX(P64,0))</f>
        <v>-4.73455571742637</v>
      </c>
      <c r="V64" s="11" t="n">
        <f aca="false">R64-$B$19*$B$13*$B$18*SQRT(MAX(P64,0))</f>
        <v>0.120678766720507</v>
      </c>
      <c r="W64" s="32" t="n">
        <f aca="false">1/(1+EXP(-(U64+V64*(O64-$B$14))))</f>
        <v>0.447914152362042</v>
      </c>
      <c r="X64" s="32" t="n">
        <f aca="false">X63*(1-MIN(1,S63))</f>
        <v>2.98881908404402E-005</v>
      </c>
      <c r="Y64" s="32" t="n">
        <f aca="false">Y63*(1-MIN(1,T63))</f>
        <v>0.000399842140617091</v>
      </c>
      <c r="Z64" s="32" t="n">
        <f aca="false">Z63*(1-MIN(1,W63))</f>
        <v>0.00167876864983513</v>
      </c>
    </row>
    <row r="65" customFormat="false" ht="15" hidden="false" customHeight="true" outlineLevel="0" collapsed="false">
      <c r="B65" s="3" t="n">
        <v>103</v>
      </c>
      <c r="C65" s="34" t="n">
        <f aca="false">B65-65</f>
        <v>38</v>
      </c>
      <c r="D65" s="11" t="n">
        <f aca="false">$B$6+$B$8*(C65+$B$21)+0*$B$15</f>
        <v>-4.42129911670735</v>
      </c>
      <c r="E65" s="11" t="n">
        <f aca="false">$B$7+$B$9*(C65+$B$21)+0*$B$15</f>
        <v>0.134739073845033</v>
      </c>
      <c r="F65" s="32" t="n">
        <f aca="false">1/(1+EXP(-(D65+E65*(B65-$B$14))))</f>
        <v>0.358648351918486</v>
      </c>
      <c r="G65" s="32" t="n">
        <f aca="false">$B$20*F65</f>
        <v>0.286918681534789</v>
      </c>
      <c r="H65" s="11" t="n">
        <f aca="false">D65-$B$19*$B$17*SQRT(MAX(C65,0))</f>
        <v>-4.76085657753417</v>
      </c>
      <c r="I65" s="11" t="n">
        <f aca="false">E65-$B$19*$B$13*$B$18*SQRT(MAX(C65,0))</f>
        <v>0.121043929369561</v>
      </c>
      <c r="J65" s="32" t="n">
        <f aca="false">1/(1+EXP(-(H65+I65*(B65-$B$14))))</f>
        <v>0.212302064863563</v>
      </c>
      <c r="K65" s="32" t="n">
        <f aca="false">K64*(1-MIN(1,F64))</f>
        <v>0.0206967068659149</v>
      </c>
      <c r="L65" s="32" t="n">
        <f aca="false">L64*(1-MIN(1,G64))</f>
        <v>0.0482088107145263</v>
      </c>
      <c r="M65" s="32" t="n">
        <f aca="false">M64*(1-MIN(1,J64))</f>
        <v>0.09001707736389</v>
      </c>
      <c r="O65" s="3" t="n">
        <v>113</v>
      </c>
      <c r="P65" s="34" t="n">
        <f aca="false">O65-75</f>
        <v>38</v>
      </c>
      <c r="Q65" s="59" t="n">
        <f aca="false">$B$6+$B$8*(P65+$B$21)+0*$B$15</f>
        <v>-4.42129911670735</v>
      </c>
      <c r="R65" s="11" t="n">
        <f aca="false">$B$7+$B$9*(P65+$B$21)+0*$B$15</f>
        <v>0.134739073845033</v>
      </c>
      <c r="S65" s="32" t="n">
        <f aca="false">1/(1+EXP(-(Q65+R65*(O65-$B$14))))</f>
        <v>0.682688605747593</v>
      </c>
      <c r="T65" s="32" t="n">
        <f aca="false">$B$20*S65</f>
        <v>0.546150884598075</v>
      </c>
      <c r="U65" s="11" t="n">
        <f aca="false">Q65-$B$19*$B$17*SQRT(MAX(P65,0))</f>
        <v>-4.76085657753417</v>
      </c>
      <c r="V65" s="11" t="n">
        <f aca="false">R65-$B$19*$B$13*$B$18*SQRT(MAX(P65,0))</f>
        <v>0.121043929369561</v>
      </c>
      <c r="W65" s="32" t="n">
        <f aca="false">1/(1+EXP(-(U65+V65*(O65-$B$14))))</f>
        <v>0.474854906201257</v>
      </c>
      <c r="X65" s="32" t="n">
        <f aca="false">X64*(1-MIN(1,S64))</f>
        <v>1.03680133908494E-005</v>
      </c>
      <c r="Y65" s="32" t="n">
        <f aca="false">Y64*(1-MIN(1,T64))</f>
        <v>0.000190930478393379</v>
      </c>
      <c r="Z65" s="32" t="n">
        <f aca="false">Z64*(1-MIN(1,W64))</f>
        <v>0.000926824413032256</v>
      </c>
    </row>
    <row r="66" customFormat="false" ht="15" hidden="false" customHeight="true" outlineLevel="0" collapsed="false">
      <c r="B66" s="3" t="n">
        <v>104</v>
      </c>
      <c r="C66" s="34" t="n">
        <f aca="false">B66-65</f>
        <v>39</v>
      </c>
      <c r="D66" s="11" t="n">
        <f aca="false">$B$6+$B$8*(C66+$B$21)+0*$B$15</f>
        <v>-4.44310232842237</v>
      </c>
      <c r="E66" s="11" t="n">
        <f aca="false">$B$7+$B$9*(C66+$B$21)+0*$B$15</f>
        <v>0.135285637145361</v>
      </c>
      <c r="F66" s="32" t="n">
        <f aca="false">1/(1+EXP(-(D66+E66*(B66-$B$14))))</f>
        <v>0.388843519528506</v>
      </c>
      <c r="G66" s="32" t="n">
        <f aca="false">$B$20*F66</f>
        <v>0.311074815622805</v>
      </c>
      <c r="H66" s="11" t="n">
        <f aca="false">D66-$B$19*$B$17*SQRT(MAX(C66,0))</f>
        <v>-4.7870986372659</v>
      </c>
      <c r="I66" s="11" t="n">
        <f aca="false">E66-$B$19*$B$13*$B$18*SQRT(MAX(C66,0))</f>
        <v>0.121411463574944</v>
      </c>
      <c r="J66" s="32" t="n">
        <f aca="false">1/(1+EXP(-(H66+I66*(B66-$B$14))))</f>
        <v>0.230505255336881</v>
      </c>
      <c r="K66" s="32" t="n">
        <f aca="false">K65*(1-MIN(1,F65))</f>
        <v>0.0132738670583145</v>
      </c>
      <c r="L66" s="32" t="n">
        <f aca="false">L65*(1-MIN(1,G65))</f>
        <v>0.0343768023059542</v>
      </c>
      <c r="M66" s="32" t="n">
        <f aca="false">M65*(1-MIN(1,J65))</f>
        <v>0.070906265966553</v>
      </c>
      <c r="O66" s="3" t="n">
        <v>114</v>
      </c>
      <c r="P66" s="34" t="n">
        <f aca="false">O66-75</f>
        <v>39</v>
      </c>
      <c r="Q66" s="59" t="n">
        <f aca="false">$B$6+$B$8*(P66+$B$21)+0*$B$15</f>
        <v>-4.44310232842237</v>
      </c>
      <c r="R66" s="11" t="n">
        <f aca="false">$B$7+$B$9*(P66+$B$21)+0*$B$15</f>
        <v>0.135285637145361</v>
      </c>
      <c r="S66" s="32" t="n">
        <f aca="false">1/(1+EXP(-(Q66+R66*(O66-$B$14))))</f>
        <v>0.711089292393866</v>
      </c>
      <c r="T66" s="32" t="n">
        <f aca="false">$B$20*S66</f>
        <v>0.568871433915093</v>
      </c>
      <c r="U66" s="11" t="n">
        <f aca="false">Q66-$B$19*$B$17*SQRT(MAX(P66,0))</f>
        <v>-4.7870986372659</v>
      </c>
      <c r="V66" s="11" t="n">
        <f aca="false">R66-$B$19*$B$13*$B$18*SQRT(MAX(P66,0))</f>
        <v>0.121411463574944</v>
      </c>
      <c r="W66" s="32" t="n">
        <f aca="false">1/(1+EXP(-(U66+V66*(O66-$B$14))))</f>
        <v>0.502163529983033</v>
      </c>
      <c r="X66" s="32" t="n">
        <f aca="false">X65*(1-MIN(1,S65))</f>
        <v>3.28988878467804E-006</v>
      </c>
      <c r="Y66" s="32" t="n">
        <f aca="false">Y65*(1-MIN(1,T65))</f>
        <v>8.66536287221015E-005</v>
      </c>
      <c r="Z66" s="32" t="n">
        <f aca="false">Z65*(1-MIN(1,W65))</f>
        <v>0.000486717293316789</v>
      </c>
    </row>
    <row r="67" customFormat="false" ht="15" hidden="false" customHeight="true" outlineLevel="0" collapsed="false">
      <c r="B67" s="3" t="n">
        <v>105</v>
      </c>
      <c r="C67" s="34" t="n">
        <f aca="false">B67-65</f>
        <v>40</v>
      </c>
      <c r="D67" s="11" t="n">
        <f aca="false">$B$6+$B$8*(C67+$B$21)+0*$B$15</f>
        <v>-4.46490554013739</v>
      </c>
      <c r="E67" s="11" t="n">
        <f aca="false">$B$7+$B$9*(C67+$B$21)+0*$B$15</f>
        <v>0.135832200445689</v>
      </c>
      <c r="F67" s="32" t="n">
        <f aca="false">1/(1+EXP(-(D67+E67*(B67-$B$14))))</f>
        <v>0.420182702602281</v>
      </c>
      <c r="G67" s="32" t="n">
        <f aca="false">$B$20*F67</f>
        <v>0.336146162081825</v>
      </c>
      <c r="H67" s="11" t="n">
        <f aca="false">D67-$B$19*$B$17*SQRT(MAX(C67,0))</f>
        <v>-4.81328414423471</v>
      </c>
      <c r="I67" s="11" t="n">
        <f aca="false">E67-$B$19*$B$13*$B$18*SQRT(MAX(C67,0))</f>
        <v>0.121781278685176</v>
      </c>
      <c r="J67" s="32" t="n">
        <f aca="false">1/(1+EXP(-(H67+I67*(B67-$B$14))))</f>
        <v>0.249935720072427</v>
      </c>
      <c r="K67" s="32" t="n">
        <f aca="false">K66*(1-MIN(1,F66))</f>
        <v>0.00811240987360601</v>
      </c>
      <c r="L67" s="32" t="n">
        <f aca="false">L66*(1-MIN(1,G66))</f>
        <v>0.0236830448669279</v>
      </c>
      <c r="M67" s="32" t="n">
        <f aca="false">M66*(1-MIN(1,J66))</f>
        <v>0.0545619990249479</v>
      </c>
      <c r="O67" s="3" t="n">
        <v>115</v>
      </c>
      <c r="P67" s="34" t="n">
        <f aca="false">O67-75</f>
        <v>40</v>
      </c>
      <c r="Q67" s="11" t="n">
        <f aca="false">$B$6+$B$8*(P67+$B$21)+0*$B$15</f>
        <v>-4.46490554013739</v>
      </c>
      <c r="R67" s="11" t="n">
        <f aca="false">$B$7+$B$9*(P67+$B$21)+0*$B$15</f>
        <v>0.135832200445689</v>
      </c>
      <c r="S67" s="32" t="n">
        <f aca="false">1/(1+EXP(-(Q67+R67*(O67-$B$14))))</f>
        <v>0.738135183047628</v>
      </c>
      <c r="T67" s="32" t="n">
        <f aca="false">$B$20*S67</f>
        <v>0.590508146438102</v>
      </c>
      <c r="U67" s="11" t="n">
        <f aca="false">Q67-$B$19*$B$17*SQRT(MAX(P67,0))</f>
        <v>-4.81328414423471</v>
      </c>
      <c r="V67" s="11" t="n">
        <f aca="false">R67-$B$19*$B$13*$B$18*SQRT(MAX(P67,0))</f>
        <v>0.121781278685176</v>
      </c>
      <c r="W67" s="32" t="n">
        <f aca="false">1/(1+EXP(-(U67+V67*(O67-$B$14))))</f>
        <v>0.529679478342666</v>
      </c>
      <c r="X67" s="32" t="n">
        <f aca="false">X66*(1-MIN(1,S66))</f>
        <v>9.50484096726817E-007</v>
      </c>
      <c r="Y67" s="32" t="n">
        <f aca="false">Y66*(1-MIN(1,T66))</f>
        <v>3.73588546970135E-005</v>
      </c>
      <c r="Z67" s="32" t="n">
        <f aca="false">Z66*(1-MIN(1,W66))</f>
        <v>0.000242305619201043</v>
      </c>
    </row>
    <row r="68" customFormat="false" ht="15" hidden="false" customHeight="true" outlineLevel="0" collapsed="false">
      <c r="B68" s="3" t="n">
        <v>106</v>
      </c>
      <c r="C68" s="34" t="n">
        <f aca="false">B68-65</f>
        <v>41</v>
      </c>
      <c r="D68" s="11" t="n">
        <f aca="false">$B$6+$B$8*(C68+$B$21)+0*$B$15</f>
        <v>-4.48670875185241</v>
      </c>
      <c r="E68" s="11" t="n">
        <f aca="false">$B$7+$B$9*(C68+$B$21)+0*$B$15</f>
        <v>0.136378763746017</v>
      </c>
      <c r="F68" s="32" t="n">
        <f aca="false">1/(1+EXP(-(D68+E68*(B68-$B$14))))</f>
        <v>0.452449709667684</v>
      </c>
      <c r="G68" s="32" t="n">
        <f aca="false">$B$20*F68</f>
        <v>0.361959767734148</v>
      </c>
      <c r="H68" s="11" t="n">
        <f aca="false">D68-$B$19*$B$17*SQRT(MAX(C68,0))</f>
        <v>-4.83941520641146</v>
      </c>
      <c r="I68" s="11" t="n">
        <f aca="false">E68-$B$19*$B$13*$B$18*SQRT(MAX(C68,0))</f>
        <v>0.122153289680874</v>
      </c>
      <c r="J68" s="32" t="n">
        <f aca="false">1/(1+EXP(-(H68+I68*(B68-$B$14))))</f>
        <v>0.270598812031998</v>
      </c>
      <c r="K68" s="32" t="n">
        <f aca="false">K67*(1-MIN(1,F67))</f>
        <v>0.00470371556829681</v>
      </c>
      <c r="L68" s="32" t="n">
        <f aca="false">L67*(1-MIN(1,G67))</f>
        <v>0.0157220802284984</v>
      </c>
      <c r="M68" s="32" t="n">
        <f aca="false">M67*(1-MIN(1,J67))</f>
        <v>0.0409250065100565</v>
      </c>
      <c r="O68" s="3" t="n">
        <v>116</v>
      </c>
      <c r="P68" s="34" t="n">
        <f aca="false">O68-75</f>
        <v>41</v>
      </c>
      <c r="Q68" s="11" t="n">
        <f aca="false">$B$6+$B$8*(P68+$B$21)+0*$B$15</f>
        <v>-4.48670875185241</v>
      </c>
      <c r="R68" s="11" t="n">
        <f aca="false">$B$7+$B$9*(P68+$B$21)+0*$B$15</f>
        <v>0.136378763746017</v>
      </c>
      <c r="S68" s="32" t="n">
        <f aca="false">1/(1+EXP(-(Q68+R68*(O68-$B$14))))</f>
        <v>0.763688646188869</v>
      </c>
      <c r="T68" s="32" t="n">
        <f aca="false">$B$20*S68</f>
        <v>0.610950916951095</v>
      </c>
      <c r="U68" s="11" t="n">
        <f aca="false">Q68-$B$19*$B$17*SQRT(MAX(P68,0))</f>
        <v>-4.83941520641146</v>
      </c>
      <c r="V68" s="11" t="n">
        <f aca="false">R68-$B$19*$B$13*$B$18*SQRT(MAX(P68,0))</f>
        <v>0.122153289680874</v>
      </c>
      <c r="W68" s="32" t="n">
        <f aca="false">1/(1+EXP(-(U68+V68*(O68-$B$14))))</f>
        <v>0.557234609335677</v>
      </c>
      <c r="X68" s="32" t="n">
        <f aca="false">X67*(1-MIN(1,S67))</f>
        <v>2.48898344005509E-007</v>
      </c>
      <c r="Y68" s="32" t="n">
        <f aca="false">Y67*(1-MIN(1,T67))</f>
        <v>1.52981466568297E-005</v>
      </c>
      <c r="Z68" s="32" t="n">
        <f aca="false">Z67*(1-MIN(1,W67))</f>
        <v>0.000113961305223138</v>
      </c>
    </row>
    <row r="69" customFormat="false" ht="15" hidden="false" customHeight="true" outlineLevel="0" collapsed="false">
      <c r="B69" s="3" t="n">
        <v>107</v>
      </c>
      <c r="C69" s="34" t="n">
        <f aca="false">B69-65</f>
        <v>42</v>
      </c>
      <c r="D69" s="11" t="n">
        <f aca="false">$B$6+$B$8*(C69+$B$21)+0*$B$15</f>
        <v>-4.50851196356743</v>
      </c>
      <c r="E69" s="11" t="n">
        <f aca="false">$B$7+$B$9*(C69+$B$21)+0*$B$15</f>
        <v>0.136925327046345</v>
      </c>
      <c r="F69" s="32" t="n">
        <f aca="false">1/(1+EXP(-(D69+E69*(B69-$B$14))))</f>
        <v>0.485394447738402</v>
      </c>
      <c r="G69" s="32" t="n">
        <f aca="false">$B$20*F69</f>
        <v>0.388315558190721</v>
      </c>
      <c r="H69" s="11" t="n">
        <f aca="false">D69-$B$19*$B$17*SQRT(MAX(C69,0))</f>
        <v>-4.86549380397732</v>
      </c>
      <c r="I69" s="11" t="n">
        <f aca="false">E69-$B$19*$B$13*$B$18*SQRT(MAX(C69,0))</f>
        <v>0.122527416696712</v>
      </c>
      <c r="J69" s="32" t="n">
        <f aca="false">1/(1+EXP(-(H69+I69*(B69-$B$14))))</f>
        <v>0.292483486474946</v>
      </c>
      <c r="K69" s="32" t="n">
        <f aca="false">K68*(1-MIN(1,F68))</f>
        <v>0.00257552082506155</v>
      </c>
      <c r="L69" s="32" t="n">
        <f aca="false">L68*(1-MIN(1,G68))</f>
        <v>0.0100313197206935</v>
      </c>
      <c r="M69" s="32" t="n">
        <f aca="false">M68*(1-MIN(1,J68))</f>
        <v>0.0298507483660334</v>
      </c>
      <c r="O69" s="3" t="n">
        <v>117</v>
      </c>
      <c r="P69" s="34" t="n">
        <f aca="false">O69-75</f>
        <v>42</v>
      </c>
      <c r="Q69" s="11" t="n">
        <f aca="false">$B$6+$B$8*(P69+$B$21)+0*$B$15</f>
        <v>-4.50851196356743</v>
      </c>
      <c r="R69" s="11" t="n">
        <f aca="false">$B$7+$B$9*(P69+$B$21)+0*$B$15</f>
        <v>0.136925327046345</v>
      </c>
      <c r="S69" s="32" t="n">
        <f aca="false">1/(1+EXP(-(Q69+R69*(O69-$B$14))))</f>
        <v>0.787649408561824</v>
      </c>
      <c r="T69" s="32" t="n">
        <f aca="false">$B$20*S69</f>
        <v>0.630119526849459</v>
      </c>
      <c r="U69" s="11" t="n">
        <f aca="false">Q69-$B$19*$B$17*SQRT(MAX(P69,0))</f>
        <v>-4.86549380397732</v>
      </c>
      <c r="V69" s="11" t="n">
        <f aca="false">R69-$B$19*$B$13*$B$18*SQRT(MAX(P69,0))</f>
        <v>0.122527416696712</v>
      </c>
      <c r="W69" s="32" t="n">
        <f aca="false">1/(1+EXP(-(U69+V69*(O69-$B$14))))</f>
        <v>0.584657179703781</v>
      </c>
      <c r="X69" s="32" t="n">
        <f aca="false">X68*(1-MIN(1,S68))</f>
        <v>5.88175046332903E-008</v>
      </c>
      <c r="Y69" s="32" t="n">
        <f aca="false">Y68*(1-MIN(1,T68))</f>
        <v>5.95172992918725E-006</v>
      </c>
      <c r="Z69" s="32" t="n">
        <f aca="false">Z68*(1-MIN(1,W68))</f>
        <v>5.04581218277388E-005</v>
      </c>
    </row>
    <row r="70" customFormat="false" ht="15" hidden="false" customHeight="true" outlineLevel="0" collapsed="false">
      <c r="B70" s="3" t="n">
        <v>108</v>
      </c>
      <c r="C70" s="34" t="n">
        <f aca="false">B70-65</f>
        <v>43</v>
      </c>
      <c r="D70" s="11" t="n">
        <f aca="false">$B$6+$B$8*(C70+$B$21)+0*$B$15</f>
        <v>-4.53031517528245</v>
      </c>
      <c r="E70" s="11" t="n">
        <f aca="false">$B$7+$B$9*(C70+$B$21)+0*$B$15</f>
        <v>0.137471890346672</v>
      </c>
      <c r="F70" s="32" t="n">
        <f aca="false">1/(1+EXP(-(D70+E70*(B70-$B$14))))</f>
        <v>0.518739506116564</v>
      </c>
      <c r="G70" s="32" t="n">
        <f aca="false">$B$20*F70</f>
        <v>0.414991604893251</v>
      </c>
      <c r="H70" s="11" t="n">
        <f aca="false">D70-$B$19*$B$17*SQRT(MAX(C70,0))</f>
        <v>-4.89152179991336</v>
      </c>
      <c r="I70" s="11" t="n">
        <f aca="false">E70-$B$19*$B$13*$B$18*SQRT(MAX(C70,0))</f>
        <v>0.122903584594319</v>
      </c>
      <c r="J70" s="32" t="n">
        <f aca="false">1/(1+EXP(-(H70+I70*(B70-$B$14))))</f>
        <v>0.315560093181764</v>
      </c>
      <c r="K70" s="32" t="n">
        <f aca="false">K69*(1-MIN(1,F69))</f>
        <v>0.00132537731654205</v>
      </c>
      <c r="L70" s="32" t="n">
        <f aca="false">L69*(1-MIN(1,G69))</f>
        <v>0.00613600220396281</v>
      </c>
      <c r="M70" s="32" t="n">
        <f aca="false">M69*(1-MIN(1,J69))</f>
        <v>0.0211198974100497</v>
      </c>
      <c r="O70" s="3" t="n">
        <v>118</v>
      </c>
      <c r="P70" s="34" t="n">
        <f aca="false">O70-75</f>
        <v>43</v>
      </c>
      <c r="Q70" s="11" t="n">
        <f aca="false">$B$6+$B$8*(P70+$B$21)+0*$B$15</f>
        <v>-4.53031517528245</v>
      </c>
      <c r="R70" s="11" t="n">
        <f aca="false">$B$7+$B$9*(P70+$B$21)+0*$B$15</f>
        <v>0.137471890346672</v>
      </c>
      <c r="S70" s="32" t="n">
        <f aca="false">1/(1+EXP(-(Q70+R70*(O70-$B$14))))</f>
        <v>0.809954114982773</v>
      </c>
      <c r="T70" s="32" t="n">
        <f aca="false">$B$20*S70</f>
        <v>0.647963291986219</v>
      </c>
      <c r="U70" s="11" t="n">
        <f aca="false">Q70-$B$19*$B$17*SQRT(MAX(P70,0))</f>
        <v>-4.89152179991336</v>
      </c>
      <c r="V70" s="11" t="n">
        <f aca="false">R70-$B$19*$B$13*$B$18*SQRT(MAX(P70,0))</f>
        <v>0.122903584594319</v>
      </c>
      <c r="W70" s="32" t="n">
        <f aca="false">1/(1+EXP(-(U70+V70*(O70-$B$14))))</f>
        <v>0.611776099782084</v>
      </c>
      <c r="X70" s="32" t="n">
        <f aca="false">X69*(1-MIN(1,S69))</f>
        <v>1.24899318957969E-008</v>
      </c>
      <c r="Y70" s="32" t="n">
        <f aca="false">Y69*(1-MIN(1,T69))</f>
        <v>2.20142868227202E-006</v>
      </c>
      <c r="Z70" s="32" t="n">
        <f aca="false">Z69*(1-MIN(1,W69))</f>
        <v>2.09574186267832E-005</v>
      </c>
    </row>
    <row r="71" customFormat="false" ht="15" hidden="false" customHeight="true" outlineLevel="0" collapsed="false">
      <c r="B71" s="3" t="n">
        <v>109</v>
      </c>
      <c r="C71" s="34" t="n">
        <f aca="false">B71-65</f>
        <v>44</v>
      </c>
      <c r="D71" s="11" t="n">
        <f aca="false">$B$6+$B$8*(C71+$B$21)+0*$B$15</f>
        <v>-4.55211838699747</v>
      </c>
      <c r="E71" s="11" t="n">
        <f aca="false">$B$7+$B$9*(C71+$B$21)+0*$B$15</f>
        <v>0.138018453647</v>
      </c>
      <c r="F71" s="32" t="n">
        <f aca="false">1/(1+EXP(-(D71+E71*(B71-$B$14))))</f>
        <v>0.552188790617741</v>
      </c>
      <c r="G71" s="32" t="n">
        <f aca="false">$B$20*F71</f>
        <v>0.441751032494193</v>
      </c>
      <c r="H71" s="11" t="n">
        <f aca="false">D71-$B$19*$B$17*SQRT(MAX(C71,0))</f>
        <v>-4.9175009494879</v>
      </c>
      <c r="I71" s="11" t="n">
        <f aca="false">E71-$B$19*$B$13*$B$18*SQRT(MAX(C71,0))</f>
        <v>0.123281722579628</v>
      </c>
      <c r="J71" s="32" t="n">
        <f aca="false">1/(1+EXP(-(H71+I71*(B71-$B$14))))</f>
        <v>0.339778484199252</v>
      </c>
      <c r="K71" s="32" t="n">
        <f aca="false">K70*(1-MIN(1,F70))</f>
        <v>0.000637851741940928</v>
      </c>
      <c r="L71" s="32" t="n">
        <f aca="false">L70*(1-MIN(1,G70))</f>
        <v>0.00358961280171176</v>
      </c>
      <c r="M71" s="32" t="n">
        <f aca="false">M70*(1-MIN(1,J70))</f>
        <v>0.0144553006153451</v>
      </c>
      <c r="O71" s="3" t="n">
        <v>119</v>
      </c>
      <c r="P71" s="34" t="n">
        <f aca="false">O71-75</f>
        <v>44</v>
      </c>
      <c r="Q71" s="11" t="n">
        <f aca="false">$B$6+$B$8*(P71+$B$21)+0*$B$15</f>
        <v>-4.55211838699747</v>
      </c>
      <c r="R71" s="11" t="n">
        <f aca="false">$B$7+$B$9*(P71+$B$21)+0*$B$15</f>
        <v>0.138018453647</v>
      </c>
      <c r="S71" s="32" t="n">
        <f aca="false">1/(1+EXP(-(Q71+R71*(O71-$B$14))))</f>
        <v>0.830574285041322</v>
      </c>
      <c r="T71" s="32" t="n">
        <f aca="false">$B$20*S71</f>
        <v>0.664459428033057</v>
      </c>
      <c r="U71" s="11" t="n">
        <f aca="false">Q71-$B$19*$B$17*SQRT(MAX(P71,0))</f>
        <v>-4.9175009494879</v>
      </c>
      <c r="V71" s="11" t="n">
        <f aca="false">R71-$B$19*$B$13*$B$18*SQRT(MAX(P71,0))</f>
        <v>0.123281722579628</v>
      </c>
      <c r="W71" s="32" t="n">
        <f aca="false">1/(1+EXP(-(U71+V71*(O71-$B$14))))</f>
        <v>0.638425228182802</v>
      </c>
      <c r="X71" s="32" t="n">
        <f aca="false">X70*(1-MIN(1,S70))</f>
        <v>2.37366016094161E-009</v>
      </c>
      <c r="Y71" s="32" t="n">
        <f aca="false">Y70*(1-MIN(1,T70))</f>
        <v>7.74983706234158E-007</v>
      </c>
      <c r="Z71" s="32" t="n">
        <f aca="false">Z70*(1-MIN(1,W70))</f>
        <v>8.13617079778939E-006</v>
      </c>
    </row>
    <row r="72" customFormat="false" ht="15" hidden="false" customHeight="true" outlineLevel="0" collapsed="false">
      <c r="B72" s="3" t="n">
        <v>110</v>
      </c>
      <c r="C72" s="34" t="n">
        <f aca="false">B72-65</f>
        <v>45</v>
      </c>
      <c r="D72" s="11" t="n">
        <f aca="false">$B$6+$B$8*(C72+$B$21)+0*$B$15</f>
        <v>-4.57392159871249</v>
      </c>
      <c r="E72" s="11" t="n">
        <f aca="false">$B$7+$B$9*(C72+$B$21)+0*$B$15</f>
        <v>0.138565016947328</v>
      </c>
      <c r="F72" s="32" t="n">
        <f aca="false">1/(1+EXP(-(D72+E72*(B72-$B$14))))</f>
        <v>0.585437698828453</v>
      </c>
      <c r="G72" s="32" t="n">
        <f aca="false">$B$20*F72</f>
        <v>0.468350159062763</v>
      </c>
      <c r="H72" s="11" t="n">
        <f aca="false">D72-$B$19*$B$17*SQRT(MAX(C72,0))</f>
        <v>-4.94343290877876</v>
      </c>
      <c r="I72" s="11" t="n">
        <f aca="false">E72-$B$19*$B$13*$B$18*SQRT(MAX(C72,0))</f>
        <v>0.123661763859158</v>
      </c>
      <c r="J72" s="32" t="n">
        <f aca="false">1/(1+EXP(-(H72+I72*(B72-$B$14))))</f>
        <v>0.365066603948062</v>
      </c>
      <c r="K72" s="32" t="n">
        <f aca="false">K71*(1-MIN(1,F71))</f>
        <v>0.000285637159965147</v>
      </c>
      <c r="L72" s="32" t="n">
        <f aca="false">L71*(1-MIN(1,G71))</f>
        <v>0.00200389764030121</v>
      </c>
      <c r="M72" s="32" t="n">
        <f aca="false">M71*(1-MIN(1,J71))</f>
        <v>0.00954370048361862</v>
      </c>
      <c r="O72" s="3" t="n">
        <v>120</v>
      </c>
      <c r="P72" s="34" t="n">
        <f aca="false">O72-75</f>
        <v>45</v>
      </c>
      <c r="Q72" s="11" t="n">
        <f aca="false">$B$6+$B$8*(P72+$B$21)+0*$B$15</f>
        <v>-4.57392159871249</v>
      </c>
      <c r="R72" s="11" t="n">
        <f aca="false">$B$7+$B$9*(P72+$B$21)+0*$B$15</f>
        <v>0.138565016947328</v>
      </c>
      <c r="S72" s="32" t="n">
        <f aca="false">1/(1+EXP(-(Q72+R72*(O72-$B$14))))</f>
        <v>0.849513016618914</v>
      </c>
      <c r="T72" s="32" t="n">
        <f aca="false">$B$20*S72</f>
        <v>0.679610413295131</v>
      </c>
      <c r="U72" s="11" t="n">
        <f aca="false">Q72-$B$19*$B$17*SQRT(MAX(P72,0))</f>
        <v>-4.94343290877876</v>
      </c>
      <c r="V72" s="11" t="n">
        <f aca="false">R72-$B$19*$B$13*$B$18*SQRT(MAX(P72,0))</f>
        <v>0.123661763859158</v>
      </c>
      <c r="W72" s="32" t="n">
        <f aca="false">1/(1+EXP(-(U72+V72*(O72-$B$14))))</f>
        <v>0.664447478949243</v>
      </c>
      <c r="X72" s="32" t="n">
        <f aca="false">X71*(1-MIN(1,S71))</f>
        <v>4.02159069836464E-010</v>
      </c>
      <c r="Y72" s="32" t="n">
        <f aca="false">Y71*(1-MIN(1,T71))</f>
        <v>2.6003847605487E-007</v>
      </c>
      <c r="Z72" s="32" t="n">
        <f aca="false">Z71*(1-MIN(1,W71))</f>
        <v>2.94183409967645E-006</v>
      </c>
    </row>
    <row r="73" customFormat="false" ht="15" hidden="false" customHeight="true" outlineLevel="0" collapsed="false">
      <c r="B73" s="3" t="n">
        <v>111</v>
      </c>
      <c r="C73" s="34" t="n">
        <f aca="false">B73-65</f>
        <v>46</v>
      </c>
      <c r="D73" s="11" t="n">
        <f aca="false">$B$6+$B$8*(C73+$B$21)+0*$B$15</f>
        <v>-4.59572481042751</v>
      </c>
      <c r="E73" s="11" t="n">
        <f aca="false">$B$7+$B$9*(C73+$B$21)+0*$B$15</f>
        <v>0.139111580247656</v>
      </c>
      <c r="F73" s="32" t="n">
        <f aca="false">1/(1+EXP(-(D73+E73*(B73-$B$14))))</f>
        <v>0.618184126988241</v>
      </c>
      <c r="G73" s="32" t="n">
        <f aca="false">$B$20*F73</f>
        <v>0.494547301590593</v>
      </c>
      <c r="H73" s="11" t="n">
        <f aca="false">D73-$B$19*$B$17*SQRT(MAX(C73,0))</f>
        <v>-4.96931924234762</v>
      </c>
      <c r="I73" s="11" t="n">
        <f aca="false">E73-$B$19*$B$13*$B$18*SQRT(MAX(C73,0))</f>
        <v>0.124043645330486</v>
      </c>
      <c r="J73" s="32" t="n">
        <f aca="false">1/(1+EXP(-(H73+I73*(B73-$B$14))))</f>
        <v>0.391329730211307</v>
      </c>
      <c r="K73" s="32" t="n">
        <f aca="false">K72*(1-MIN(1,F72))</f>
        <v>0.000118414398335257</v>
      </c>
      <c r="L73" s="32" t="n">
        <f aca="false">L72*(1-MIN(1,G72))</f>
        <v>0.00106537186172065</v>
      </c>
      <c r="M73" s="32" t="n">
        <f aca="false">M72*(1-MIN(1,J72))</f>
        <v>0.0060596141589665</v>
      </c>
    </row>
    <row r="74" customFormat="false" ht="15" hidden="false" customHeight="true" outlineLevel="0" collapsed="false">
      <c r="B74" s="3" t="n">
        <v>112</v>
      </c>
      <c r="C74" s="34" t="n">
        <f aca="false">B74-65</f>
        <v>47</v>
      </c>
      <c r="D74" s="59" t="n">
        <f aca="false">$B$6+$B$8*(C74+$B$21)+0*$B$15</f>
        <v>-4.61752802214253</v>
      </c>
      <c r="E74" s="11" t="n">
        <f aca="false">$B$7+$B$9*(C74+$B$21)+0*$B$15</f>
        <v>0.139658143547984</v>
      </c>
      <c r="F74" s="32" t="n">
        <f aca="false">1/(1+EXP(-(D74+E74*(B74-$B$14))))</f>
        <v>0.650139479361208</v>
      </c>
      <c r="G74" s="32" t="n">
        <f aca="false">$B$20*F74</f>
        <v>0.520111583488966</v>
      </c>
      <c r="H74" s="11" t="n">
        <f aca="false">D74-$B$19*$B$17*SQRT(MAX(C74,0))</f>
        <v>-4.99516143016747</v>
      </c>
      <c r="I74" s="11" t="n">
        <f aca="false">E74-$B$19*$B$13*$B$18*SQRT(MAX(C74,0))</f>
        <v>0.124427307302851</v>
      </c>
      <c r="J74" s="32" t="n">
        <f aca="false">1/(1+EXP(-(H74+I74*(B74-$B$14))))</f>
        <v>0.418450520280457</v>
      </c>
      <c r="K74" s="32" t="n">
        <f aca="false">K73*(1-MIN(1,F73))</f>
        <v>4.52124968775382E-005</v>
      </c>
      <c r="L74" s="32" t="n">
        <f aca="false">L73*(1-MIN(1,G73))</f>
        <v>0.000538495082316154</v>
      </c>
      <c r="M74" s="32" t="n">
        <f aca="false">M73*(1-MIN(1,J73))</f>
        <v>0.00368830698495353</v>
      </c>
    </row>
    <row r="75" customFormat="false" ht="15" hidden="false" customHeight="true" outlineLevel="0" collapsed="false">
      <c r="B75" s="3" t="n">
        <v>113</v>
      </c>
      <c r="C75" s="34" t="n">
        <f aca="false">B75-65</f>
        <v>48</v>
      </c>
      <c r="D75" s="59" t="n">
        <f aca="false">$B$6+$B$8*(C75+$B$21)+0*$B$15</f>
        <v>-4.63933123385755</v>
      </c>
      <c r="E75" s="11" t="n">
        <f aca="false">$B$7+$B$9*(C75+$B$21)+0*$B$15</f>
        <v>0.140204706848312</v>
      </c>
      <c r="F75" s="32" t="n">
        <f aca="false">1/(1+EXP(-(D75+E75*(B75-$B$14))))</f>
        <v>0.681038835957789</v>
      </c>
      <c r="G75" s="32" t="n">
        <f aca="false">$B$20*F75</f>
        <v>0.544831068766231</v>
      </c>
      <c r="H75" s="11" t="n">
        <f aca="false">D75-$B$19*$B$17*SQRT(MAX(C75,0))</f>
        <v>-5.02096087389007</v>
      </c>
      <c r="I75" s="11" t="n">
        <f aca="false">E75-$B$19*$B$13*$B$18*SQRT(MAX(C75,0))</f>
        <v>0.124812693244365</v>
      </c>
      <c r="J75" s="32" t="n">
        <f aca="false">1/(1+EXP(-(H75+I75*(B75-$B$14))))</f>
        <v>0.446289983955838</v>
      </c>
      <c r="K75" s="32" t="n">
        <f aca="false">K74*(1-MIN(1,F74))</f>
        <v>1.58180676969553E-005</v>
      </c>
      <c r="L75" s="32" t="n">
        <f aca="false">L74*(1-MIN(1,G74))</f>
        <v>0.000258417552351678</v>
      </c>
      <c r="M75" s="32" t="n">
        <f aca="false">M74*(1-MIN(1,J74))</f>
        <v>0.00214493300814568</v>
      </c>
    </row>
    <row r="76" customFormat="false" ht="15" hidden="false" customHeight="true" outlineLevel="0" collapsed="false">
      <c r="B76" s="3" t="n">
        <v>114</v>
      </c>
      <c r="C76" s="34" t="n">
        <f aca="false">B76-65</f>
        <v>49</v>
      </c>
      <c r="D76" s="59" t="n">
        <f aca="false">$B$6+$B$8*(C76+$B$21)+0*$B$15</f>
        <v>-4.66113444557257</v>
      </c>
      <c r="E76" s="11" t="n">
        <f aca="false">$B$7+$B$9*(C76+$B$21)+0*$B$15</f>
        <v>0.14075127014864</v>
      </c>
      <c r="F76" s="32" t="n">
        <f aca="false">1/(1+EXP(-(D76+E76*(B76-$B$14))))</f>
        <v>0.710649528936738</v>
      </c>
      <c r="G76" s="32" t="n">
        <f aca="false">$B$20*F76</f>
        <v>0.568519623149391</v>
      </c>
      <c r="H76" s="11" t="n">
        <f aca="false">D76-$B$19*$B$17*SQRT(MAX(C76,0))</f>
        <v>-5.04671890252872</v>
      </c>
      <c r="I76" s="11" t="n">
        <f aca="false">E76-$B$19*$B$13*$B$18*SQRT(MAX(C76,0))</f>
        <v>0.125199749552824</v>
      </c>
      <c r="J76" s="32" t="n">
        <f aca="false">1/(1+EXP(-(H76+I76*(B76-$B$14))))</f>
        <v>0.474689453885096</v>
      </c>
      <c r="K76" s="32" t="n">
        <f aca="false">K75*(1-MIN(1,F75))</f>
        <v>5.04534928551936E-006</v>
      </c>
      <c r="L76" s="32" t="n">
        <f aca="false">L75*(1-MIN(1,G75))</f>
        <v>0.00011762364111596</v>
      </c>
      <c r="M76" s="32" t="n">
        <f aca="false">M75*(1-MIN(1,J75))</f>
        <v>0.001187670890354</v>
      </c>
    </row>
    <row r="77" customFormat="false" ht="15" hidden="false" customHeight="true" outlineLevel="0" collapsed="false">
      <c r="B77" s="3" t="n">
        <v>115</v>
      </c>
      <c r="C77" s="34" t="n">
        <f aca="false">B77-65</f>
        <v>50</v>
      </c>
      <c r="D77" s="11" t="n">
        <f aca="false">$B$6+$B$8*(C77+$B$21)+0*$B$15</f>
        <v>-4.68293765728759</v>
      </c>
      <c r="E77" s="11" t="n">
        <f aca="false">$B$7+$B$9*(C77+$B$21)+0*$B$15</f>
        <v>0.141297833448967</v>
      </c>
      <c r="F77" s="32" t="n">
        <f aca="false">1/(1+EXP(-(D77+E77*(B77-$B$14))))</f>
        <v>0.738777565403947</v>
      </c>
      <c r="G77" s="32" t="n">
        <f aca="false">$B$20*F77</f>
        <v>0.591022052323157</v>
      </c>
      <c r="H77" s="11" t="n">
        <f aca="false">D77-$B$19*$B$17*SQRT(MAX(C77,0))</f>
        <v>-5.07243677762163</v>
      </c>
      <c r="I77" s="11" t="n">
        <f aca="false">E77-$B$19*$B$13*$B$18*SQRT(MAX(C77,0))</f>
        <v>0.125588425347448</v>
      </c>
      <c r="J77" s="32" t="n">
        <f aca="false">1/(1+EXP(-(H77+I77*(B77-$B$14))))</f>
        <v>0.503473556355196</v>
      </c>
      <c r="K77" s="32" t="n">
        <f aca="false">K76*(1-MIN(1,F76))</f>
        <v>1.45987419244372E-006</v>
      </c>
      <c r="L77" s="32" t="n">
        <f aca="false">L76*(1-MIN(1,G76))</f>
        <v>5.07522929952552E-005</v>
      </c>
      <c r="M77" s="32" t="n">
        <f aca="false">M76*(1-MIN(1,J76))</f>
        <v>0.000623896044016633</v>
      </c>
    </row>
    <row r="78" customFormat="false" ht="15" hidden="false" customHeight="true" outlineLevel="0" collapsed="false">
      <c r="B78" s="3" t="n">
        <v>116</v>
      </c>
      <c r="C78" s="34" t="n">
        <f aca="false">B78-65</f>
        <v>51</v>
      </c>
      <c r="D78" s="11" t="n">
        <f aca="false">$B$6+$B$8*(C78+$B$21)+0*$B$15</f>
        <v>-4.70474086900261</v>
      </c>
      <c r="E78" s="11" t="n">
        <f aca="false">$B$7+$B$9*(C78+$B$21)+0*$B$15</f>
        <v>0.141844396749295</v>
      </c>
      <c r="F78" s="32" t="n">
        <f aca="false">1/(1+EXP(-(D78+E78*(B78-$B$14))))</f>
        <v>0.765271580900096</v>
      </c>
      <c r="G78" s="32" t="n">
        <f aca="false">$B$20*F78</f>
        <v>0.612217264720077</v>
      </c>
      <c r="H78" s="11" t="n">
        <f aca="false">D78-$B$19*$B$17*SQRT(MAX(C78,0))</f>
        <v>-5.09811569793274</v>
      </c>
      <c r="I78" s="11" t="n">
        <f aca="false">E78-$B$19*$B$13*$B$18*SQRT(MAX(C78,0))</f>
        <v>0.125978672279292</v>
      </c>
      <c r="J78" s="32" t="n">
        <f aca="false">1/(1+EXP(-(H78+I78*(B78-$B$14))))</f>
        <v>0.532454107642658</v>
      </c>
      <c r="K78" s="32" t="n">
        <f aca="false">K77*(1-MIN(1,F77))</f>
        <v>3.81351890754095E-007</v>
      </c>
      <c r="L78" s="32" t="n">
        <f aca="false">L77*(1-MIN(1,G77))</f>
        <v>2.07565686290933E-005</v>
      </c>
      <c r="M78" s="32" t="n">
        <f aca="false">M77*(1-MIN(1,J77))</f>
        <v>0.000309780883939641</v>
      </c>
    </row>
    <row r="79" customFormat="false" ht="15" hidden="false" customHeight="true" outlineLevel="0" collapsed="false">
      <c r="B79" s="3" t="n">
        <v>117</v>
      </c>
      <c r="C79" s="34" t="n">
        <f aca="false">B79-65</f>
        <v>52</v>
      </c>
      <c r="D79" s="11" t="n">
        <f aca="false">$B$6+$B$8*(C79+$B$21)+0*$B$15</f>
        <v>-4.72654408071763</v>
      </c>
      <c r="E79" s="11" t="n">
        <f aca="false">$B$7+$B$9*(C79+$B$21)+0*$B$15</f>
        <v>0.142390960049623</v>
      </c>
      <c r="F79" s="32" t="n">
        <f aca="false">1/(1+EXP(-(D79+E79*(B79-$B$14))))</f>
        <v>0.790024271243016</v>
      </c>
      <c r="G79" s="32" t="n">
        <f aca="false">$B$20*F79</f>
        <v>0.632019416994413</v>
      </c>
      <c r="H79" s="11" t="n">
        <f aca="false">D79-$B$19*$B$17*SQRT(MAX(C79,0))</f>
        <v>-5.12375680373973</v>
      </c>
      <c r="I79" s="11" t="n">
        <f aca="false">E79-$B$19*$B$13*$B$18*SQRT(MAX(C79,0))</f>
        <v>0.126370444358295</v>
      </c>
      <c r="J79" s="32" t="n">
        <f aca="false">1/(1+EXP(-(H79+I79*(B79-$B$14))))</f>
        <v>0.56143478056404</v>
      </c>
      <c r="K79" s="32" t="n">
        <f aca="false">K78*(1-MIN(1,F78))</f>
        <v>8.95141264374679E-008</v>
      </c>
      <c r="L79" s="32" t="n">
        <f aca="false">L78*(1-MIN(1,G78))</f>
        <v>8.04903895801522E-006</v>
      </c>
      <c r="M79" s="32" t="n">
        <f aca="false">M78*(1-MIN(1,J78))</f>
        <v>0.000144836779816806</v>
      </c>
    </row>
    <row r="80" customFormat="false" ht="15" hidden="false" customHeight="true" outlineLevel="0" collapsed="false">
      <c r="B80" s="3" t="n">
        <v>118</v>
      </c>
      <c r="C80" s="34" t="n">
        <f aca="false">B80-65</f>
        <v>53</v>
      </c>
      <c r="D80" s="11" t="n">
        <f aca="false">$B$6+$B$8*(C80+$B$21)+0*$B$15</f>
        <v>-4.74834729243265</v>
      </c>
      <c r="E80" s="11" t="n">
        <f aca="false">$B$7+$B$9*(C80+$B$21)+0*$B$15</f>
        <v>0.142937523349951</v>
      </c>
      <c r="F80" s="32" t="n">
        <f aca="false">1/(1+EXP(-(D80+E80*(B80-$B$14))))</f>
        <v>0.812971489564345</v>
      </c>
      <c r="G80" s="32" t="n">
        <f aca="false">$B$20*F80</f>
        <v>0.650377191651476</v>
      </c>
      <c r="H80" s="11" t="n">
        <f aca="false">D80-$B$19*$B$17*SQRT(MAX(C80,0))</f>
        <v>-5.14936118075256</v>
      </c>
      <c r="I80" s="11" t="n">
        <f aca="false">E80-$B$19*$B$13*$B$18*SQRT(MAX(C80,0))</f>
        <v>0.126763697795244</v>
      </c>
      <c r="J80" s="32" t="n">
        <f aca="false">1/(1+EXP(-(H80+I80*(B80-$B$14))))</f>
        <v>0.590216312811354</v>
      </c>
      <c r="K80" s="32" t="n">
        <f aca="false">K79*(1-MIN(1,F79))</f>
        <v>1.87957939327522E-008</v>
      </c>
      <c r="L80" s="32" t="n">
        <f aca="false">L79*(1-MIN(1,G79))</f>
        <v>2.96189004840513E-006</v>
      </c>
      <c r="M80" s="32" t="n">
        <f aca="false">M79*(1-MIN(1,J79))</f>
        <v>6.35203741227553E-005</v>
      </c>
    </row>
    <row r="81" customFormat="false" ht="15" hidden="false" customHeight="true" outlineLevel="0" collapsed="false">
      <c r="B81" s="3" t="n">
        <v>119</v>
      </c>
      <c r="C81" s="34" t="n">
        <f aca="false">B81-65</f>
        <v>54</v>
      </c>
      <c r="D81" s="11" t="n">
        <f aca="false">$B$6+$B$8*(C81+$B$21)+0*$B$15</f>
        <v>-4.77015050414767</v>
      </c>
      <c r="E81" s="11" t="n">
        <f aca="false">$B$7+$B$9*(C81+$B$21)+0*$B$15</f>
        <v>0.143484086650279</v>
      </c>
      <c r="F81" s="32" t="n">
        <f aca="false">1/(1+EXP(-(D81+E81*(B81-$B$14))))</f>
        <v>0.834089379242156</v>
      </c>
      <c r="G81" s="32" t="n">
        <f aca="false">$B$20*F81</f>
        <v>0.667271503393725</v>
      </c>
      <c r="H81" s="11" t="n">
        <f aca="false">D81-$B$19*$B$17*SQRT(MAX(C81,0))</f>
        <v>-5.17492986370083</v>
      </c>
      <c r="I81" s="11" t="n">
        <f aca="false">E81-$B$19*$B$13*$B$18*SQRT(MAX(C81,0))</f>
        <v>0.12715839085708</v>
      </c>
      <c r="J81" s="32" t="n">
        <f aca="false">1/(1+EXP(-(H81+I81*(B81-$B$14))))</f>
        <v>0.618601972962139</v>
      </c>
      <c r="K81" s="32" t="n">
        <f aca="false">K80*(1-MIN(1,F80))</f>
        <v>3.51534934169815E-009</v>
      </c>
      <c r="L81" s="32" t="n">
        <f aca="false">L80*(1-MIN(1,G80))</f>
        <v>1.03554431674295E-006</v>
      </c>
      <c r="M81" s="32" t="n">
        <f aca="false">M80*(1-MIN(1,J80))</f>
        <v>2.60296131196249E-005</v>
      </c>
    </row>
    <row r="82" customFormat="false" ht="15" hidden="false" customHeight="true" outlineLevel="0" collapsed="false">
      <c r="B82" s="3" t="n">
        <v>120</v>
      </c>
      <c r="C82" s="34" t="n">
        <f aca="false">B82-65</f>
        <v>55</v>
      </c>
      <c r="D82" s="11" t="n">
        <f aca="false">$B$6+$B$8*(C82+$B$21)+0*$B$15</f>
        <v>-4.79195371586269</v>
      </c>
      <c r="E82" s="11" t="n">
        <f aca="false">$B$7+$B$9*(C82+$B$21)+0*$B$15</f>
        <v>0.144030649950607</v>
      </c>
      <c r="F82" s="32" t="n">
        <f aca="false">1/(1+EXP(-(D82+E82*(B82-$B$14))))</f>
        <v>0.853390025522233</v>
      </c>
      <c r="G82" s="32" t="n">
        <f aca="false">$B$20*F82</f>
        <v>0.682712020417787</v>
      </c>
      <c r="H82" s="11" t="n">
        <f aca="false">D82-$B$19*$B$17*SQRT(MAX(C82,0))</f>
        <v>-5.20046383962352</v>
      </c>
      <c r="I82" s="11" t="n">
        <f aca="false">E82-$B$19*$B$13*$B$18*SQRT(MAX(C82,0))</f>
        <v>0.127554483734218</v>
      </c>
      <c r="J82" s="32" t="n">
        <f aca="false">1/(1+EXP(-(H82+I82*(B82-$B$14))))</f>
        <v>0.646402969957894</v>
      </c>
      <c r="K82" s="32" t="n">
        <f aca="false">K81*(1-MIN(1,F81))</f>
        <v>5.83233791461818E-010</v>
      </c>
      <c r="L82" s="32" t="n">
        <f aca="false">L81*(1-MIN(1,G81))</f>
        <v>3.44555103679053E-007</v>
      </c>
      <c r="M82" s="32" t="n">
        <f aca="false">M81*(1-MIN(1,J81))</f>
        <v>9.92764308838376E-006</v>
      </c>
    </row>
    <row r="84" customFormat="false" ht="15" hidden="false" customHeight="true" outlineLevel="0" collapsed="false">
      <c r="A84" s="6" t="s">
        <v>1447</v>
      </c>
    </row>
    <row r="85" customFormat="false" ht="15" hidden="false" customHeight="true" outlineLevel="0" collapsed="false">
      <c r="B85" s="3" t="s">
        <v>1448</v>
      </c>
      <c r="D85" s="87" t="n">
        <f aca="false">SUMPRODUCT((B$27:B$82&lt;=$B$16)*K$27:K$82*(1-F$27:F$82/2))</f>
        <v>21.5922409276463</v>
      </c>
      <c r="O85" s="3" t="s">
        <v>1448</v>
      </c>
      <c r="Q85" s="87" t="n">
        <f aca="false">SUMPRODUCT((O$27:O$72&lt;=$B$16)*X$27:X$72*(1-S$27:S$72/2))</f>
        <v>13.0316641934773</v>
      </c>
      <c r="AB85" s="3" t="s">
        <v>1448</v>
      </c>
      <c r="AD85" s="87" t="n">
        <f aca="false">SUMPRODUCT((AB$27:AB$62&lt;=$B$16)*AK$27:AK$62*(1-AF$27:AF$62/2))</f>
        <v>6.85702128325065</v>
      </c>
    </row>
    <row r="86" customFormat="false" ht="15" hidden="false" customHeight="true" outlineLevel="0" collapsed="false">
      <c r="B86" s="3" t="s">
        <v>1449</v>
      </c>
      <c r="D86" s="87" t="n">
        <f aca="false">SUMPRODUCT((B$27:B$82&lt;=$B$16)*L$27:L$82*(1-G$27:G$82/2))</f>
        <v>23.474220379557</v>
      </c>
      <c r="O86" s="3" t="s">
        <v>1449</v>
      </c>
      <c r="Q86" s="87" t="n">
        <f aca="false">SUMPRODUCT((O$27:O$72&lt;=$B$16)*Y$27:Y$72*(1-T$27:T$72/2))</f>
        <v>14.6085591241694</v>
      </c>
      <c r="AB86" s="3" t="s">
        <v>1449</v>
      </c>
      <c r="AD86" s="87" t="n">
        <f aca="false">SUMPRODUCT((AB$27:AB$62&lt;=$B$16)*AL$27:AL$62*(1-AG$27:AG$62/2))</f>
        <v>7.99736612631402</v>
      </c>
    </row>
    <row r="87" customFormat="false" ht="15" hidden="false" customHeight="true" outlineLevel="0" collapsed="false">
      <c r="B87" s="3" t="s">
        <v>1450</v>
      </c>
      <c r="D87" s="87" t="n">
        <f aca="false">SUMPRODUCT((B$27:B$82&lt;=$B$16)*M$27:M$82*(1-J$27:J$82/2))</f>
        <v>24.0457376653002</v>
      </c>
      <c r="O87" s="3" t="s">
        <v>1450</v>
      </c>
      <c r="Q87" s="87" t="n">
        <f aca="false">SUMPRODUCT((O$27:O$72&lt;=$B$16)*Z$27:Z$72*(1-W$27:W$72/2))</f>
        <v>14.6565796328583</v>
      </c>
      <c r="AB87" s="3" t="s">
        <v>1450</v>
      </c>
      <c r="AD87" s="87" t="n">
        <f aca="false">SUMPRODUCT((AB$27:AB$62&lt;=$B$16)*AM$27:AM$62*(1-AJ$27:AJ$62/2))</f>
        <v>7.70747193435261</v>
      </c>
    </row>
    <row r="88" customFormat="false" ht="15" hidden="false" customHeight="true" outlineLevel="0" collapsed="false">
      <c r="A88" s="7" t="s">
        <v>1451</v>
      </c>
    </row>
    <row r="92" customFormat="false" ht="15" hidden="false" customHeight="true" outlineLevel="0" collapsed="false">
      <c r="A92" s="6" t="s">
        <v>1452</v>
      </c>
    </row>
    <row r="93" customFormat="false" ht="15" hidden="false" customHeight="true" outlineLevel="0" collapsed="false">
      <c r="A93" s="7" t="s">
        <v>1453</v>
      </c>
    </row>
    <row r="94" customFormat="false" ht="15" hidden="false" customHeight="true" outlineLevel="0" collapsed="false">
      <c r="A94" s="8" t="s">
        <v>1454</v>
      </c>
      <c r="C94" s="8" t="s">
        <v>1455</v>
      </c>
      <c r="D94" s="8" t="s">
        <v>1456</v>
      </c>
      <c r="E94" s="8" t="s">
        <v>1457</v>
      </c>
      <c r="F94" s="8" t="s">
        <v>1458</v>
      </c>
      <c r="G94" s="8" t="s">
        <v>1459</v>
      </c>
    </row>
    <row r="95" customFormat="false" ht="15" hidden="false" customHeight="true" outlineLevel="0" collapsed="false">
      <c r="A95" s="3" t="n">
        <v>65</v>
      </c>
      <c r="C95" s="88" t="n">
        <f aca="false">SUMPRODUCT((B$27:B$82&lt;=110)*K$27:K$82*(1-F$27:F$82/2))</f>
        <v>21.5922409276463</v>
      </c>
      <c r="D95" s="88" t="n">
        <f aca="false">SUMPRODUCT((B$27:B$82&lt;=115)*K$27:K$82*(1-F$27:F$82/2))</f>
        <v>21.5923678613094</v>
      </c>
      <c r="E95" s="88" t="n">
        <f aca="false">SUMPRODUCT((B$27:B$82&lt;=120)*K$27:K$82*(1-F$27:F$82/2))</f>
        <v>21.5923681644366</v>
      </c>
      <c r="F95" s="94" t="n">
        <v>22.397</v>
      </c>
      <c r="G95" s="88" t="n">
        <f aca="false">E95-F95</f>
        <v>-0.804631835563352</v>
      </c>
    </row>
    <row r="96" customFormat="false" ht="15" hidden="false" customHeight="true" outlineLevel="0" collapsed="false">
      <c r="A96" s="3" t="n">
        <v>75</v>
      </c>
      <c r="C96" s="88" t="n">
        <f aca="false">SUMPRODUCT((O$27:O$72&lt;=110)*X$27:X$72*(1-S$27:S$72/2))</f>
        <v>13.0316641934773</v>
      </c>
      <c r="D96" s="88" t="n">
        <f aca="false">SUMPRODUCT((O$27:O$72&lt;=115)*X$27:X$72*(1-S$27:S$72/2))</f>
        <v>13.0317484067194</v>
      </c>
      <c r="E96" s="88" t="n">
        <f aca="false">SUMPRODUCT((O$27:O$72&lt;=120)*X$27:X$72*(1-S$27:S$72/2))</f>
        <v>13.0317486052821</v>
      </c>
      <c r="F96" s="94" t="n">
        <v>13.614</v>
      </c>
      <c r="G96" s="88" t="n">
        <f aca="false">E96-F96</f>
        <v>-0.582251394717886</v>
      </c>
    </row>
    <row r="97" customFormat="false" ht="15" hidden="false" customHeight="true" outlineLevel="0" collapsed="false">
      <c r="A97" s="3" t="n">
        <v>85</v>
      </c>
      <c r="C97" s="88" t="n">
        <f aca="false">SUMPRODUCT((AB$27:AB$62&lt;=110)*AK$27:AK$62*(1-AF$27:AF$62/2))</f>
        <v>6.85702128325065</v>
      </c>
      <c r="D97" s="88" t="n">
        <f aca="false">SUMPRODUCT((AB$27:AB$62&lt;=115)*AK$27:AK$62*(1-AF$27:AF$62/2))</f>
        <v>6.85710088126804</v>
      </c>
      <c r="E97" s="88" t="n">
        <f aca="false">SUMPRODUCT((AB$27:AB$62&lt;=120)*AK$27:AK$62*(1-AF$27:AF$62/2))</f>
        <v>6.85710106655125</v>
      </c>
      <c r="F97" s="94" t="n">
        <v>7.175</v>
      </c>
      <c r="G97" s="88" t="n">
        <f aca="false">E97-F97</f>
        <v>-0.317898933448749</v>
      </c>
    </row>
    <row r="99" customFormat="false" ht="15" hidden="false" customHeight="true" outlineLevel="0" collapsed="false">
      <c r="A99" s="3" t="s">
        <v>1460</v>
      </c>
      <c r="C99" s="7" t="s">
        <v>1461</v>
      </c>
      <c r="D99" s="7" t="s">
        <v>1462</v>
      </c>
    </row>
    <row r="100" customFormat="false" ht="15" hidden="false" customHeight="true" outlineLevel="0" collapsed="false">
      <c r="A100" s="3" t="n">
        <v>65</v>
      </c>
      <c r="C100" s="32" t="n">
        <f aca="false">INDEX(K$27:K$82,MATCH(110,B$27:B$82,0))</f>
        <v>0.000285637159965147</v>
      </c>
      <c r="D100" s="88" t="n">
        <f aca="false">C95-E95</f>
        <v>-0.000127236790369523</v>
      </c>
    </row>
    <row r="101" customFormat="false" ht="15" hidden="false" customHeight="true" outlineLevel="0" collapsed="false">
      <c r="A101" s="3" t="n">
        <v>75</v>
      </c>
      <c r="C101" s="32" t="n">
        <f aca="false">INDEX(X$27:X$82,MATCH(110,O$27:O$82,0))</f>
        <v>0.000193723773336686</v>
      </c>
      <c r="D101" s="88" t="n">
        <f aca="false">C96-E96</f>
        <v>-8.44118048348719E-005</v>
      </c>
    </row>
    <row r="102" customFormat="false" ht="15" hidden="false" customHeight="true" outlineLevel="0" collapsed="false">
      <c r="A102" s="3" t="n">
        <v>85</v>
      </c>
      <c r="C102" s="32" t="n">
        <f aca="false">INDEX(AK$27:AK$82,MATCH(110,AB$27:AB$82,0))</f>
        <v>0.000187206939044502</v>
      </c>
      <c r="D102" s="88" t="n">
        <f aca="false">C97-E97</f>
        <v>-7.97833006043192E-005</v>
      </c>
    </row>
    <row r="105" customFormat="false" ht="15" hidden="false" customHeight="true" outlineLevel="0" collapsed="false">
      <c r="A105" s="6" t="s">
        <v>1463</v>
      </c>
    </row>
    <row r="106" customFormat="false" ht="15" hidden="false" customHeight="true" outlineLevel="0" collapsed="false">
      <c r="A106" s="7" t="s">
        <v>1464</v>
      </c>
    </row>
    <row r="107" customFormat="false" ht="15" hidden="false" customHeight="true" outlineLevel="0" collapsed="false">
      <c r="A107" s="7" t="s">
        <v>1465</v>
      </c>
    </row>
    <row r="109" customFormat="false" ht="15" hidden="false" customHeight="true" outlineLevel="0" collapsed="false">
      <c r="A109" s="3" t="s">
        <v>1466</v>
      </c>
    </row>
    <row r="110" customFormat="false" ht="15" hidden="false" customHeight="true" outlineLevel="0" collapsed="false">
      <c r="A110" s="7" t="s">
        <v>1467</v>
      </c>
      <c r="E110" s="7" t="s">
        <v>1468</v>
      </c>
    </row>
    <row r="111" customFormat="false" ht="15" hidden="false" customHeight="true" outlineLevel="0" collapsed="false">
      <c r="A111" s="7" t="s">
        <v>1469</v>
      </c>
      <c r="E111" s="7" t="s">
        <v>1470</v>
      </c>
    </row>
    <row r="112" customFormat="false" ht="15" hidden="false" customHeight="true" outlineLevel="0" collapsed="false">
      <c r="A112" s="7" t="s">
        <v>1471</v>
      </c>
      <c r="E112" s="7" t="s">
        <v>1472</v>
      </c>
    </row>
    <row r="113" customFormat="false" ht="15" hidden="false" customHeight="true" outlineLevel="0" collapsed="false">
      <c r="A113" s="7" t="s">
        <v>1473</v>
      </c>
      <c r="E113" s="7" t="s">
        <v>1474</v>
      </c>
    </row>
    <row r="115" customFormat="false" ht="15" hidden="false" customHeight="true" outlineLevel="0" collapsed="false">
      <c r="A115" s="3" t="s">
        <v>1475</v>
      </c>
    </row>
    <row r="116" customFormat="false" ht="15" hidden="false" customHeight="true" outlineLevel="0" collapsed="false">
      <c r="A116" s="7" t="s">
        <v>1476</v>
      </c>
    </row>
    <row r="117" customFormat="false" ht="15" hidden="false" customHeight="true" outlineLevel="0" collapsed="false">
      <c r="A117" s="7" t="s">
        <v>1477</v>
      </c>
    </row>
    <row r="118" customFormat="false" ht="15" hidden="false" customHeight="true" outlineLevel="0" collapsed="false">
      <c r="A118" s="8" t="s">
        <v>1454</v>
      </c>
      <c r="B118" s="8" t="s">
        <v>1478</v>
      </c>
      <c r="C118" s="8" t="s">
        <v>1479</v>
      </c>
      <c r="D118" s="8" t="s">
        <v>1480</v>
      </c>
      <c r="E118" s="8" t="s">
        <v>1481</v>
      </c>
      <c r="F118" s="8" t="s">
        <v>1482</v>
      </c>
    </row>
    <row r="119" customFormat="false" ht="15" hidden="false" customHeight="true" outlineLevel="0" collapsed="false">
      <c r="A119" s="3" t="n">
        <v>65</v>
      </c>
      <c r="B119" s="88" t="n">
        <f aca="false">D85</f>
        <v>21.5922409276463</v>
      </c>
      <c r="C119" s="88" t="n">
        <f aca="false">D86</f>
        <v>23.474220379557</v>
      </c>
      <c r="D119" s="94" t="n">
        <v>22.397</v>
      </c>
      <c r="E119" s="86" t="n">
        <f aca="false">1+(D119-B119)/(C119-B119)*($B$20-1)</f>
        <v>0.914477379491399</v>
      </c>
      <c r="F119" s="65" t="n">
        <f aca="false">1-E119</f>
        <v>0.0855226205086006</v>
      </c>
    </row>
    <row r="120" customFormat="false" ht="15" hidden="false" customHeight="true" outlineLevel="0" collapsed="false">
      <c r="A120" s="3" t="n">
        <v>75</v>
      </c>
      <c r="B120" s="88" t="n">
        <f aca="false">Q85</f>
        <v>13.0316641934773</v>
      </c>
      <c r="C120" s="88" t="n">
        <f aca="false">Q86</f>
        <v>14.6085591241694</v>
      </c>
      <c r="D120" s="94" t="n">
        <v>13.614</v>
      </c>
      <c r="E120" s="86" t="n">
        <f aca="false">1+(D120-B120)/(C120-B120)*($B$20-1)</f>
        <v>0.92614145746957</v>
      </c>
      <c r="F120" s="65" t="n">
        <f aca="false">1-E120</f>
        <v>0.0738585425304301</v>
      </c>
    </row>
    <row r="121" customFormat="false" ht="15" hidden="false" customHeight="true" outlineLevel="0" collapsed="false">
      <c r="A121" s="3" t="n">
        <v>85</v>
      </c>
      <c r="B121" s="88" t="n">
        <f aca="false">AD85</f>
        <v>6.85702128325065</v>
      </c>
      <c r="C121" s="88" t="n">
        <f aca="false">AD86</f>
        <v>7.99736612631402</v>
      </c>
      <c r="D121" s="94" t="n">
        <v>7.175</v>
      </c>
      <c r="E121" s="86" t="n">
        <f aca="false">1+(D121-B121)/(C121-B121)*($B$20-1)</f>
        <v>0.944231129963258</v>
      </c>
      <c r="F121" s="65" t="n">
        <f aca="false">1-E121</f>
        <v>0.0557688700367422</v>
      </c>
    </row>
    <row r="123" customFormat="false" ht="15" hidden="false" customHeight="true" outlineLevel="0" collapsed="false">
      <c r="A123" s="3" t="s">
        <v>1483</v>
      </c>
    </row>
    <row r="124" customFormat="false" ht="15" hidden="false" customHeight="true" outlineLevel="0" collapsed="false">
      <c r="A124" s="7" t="s">
        <v>1484</v>
      </c>
    </row>
    <row r="125" customFormat="false" ht="15" hidden="false" customHeight="true" outlineLevel="0" collapsed="false">
      <c r="A125" s="7" t="s">
        <v>1485</v>
      </c>
    </row>
    <row r="126" customFormat="false" ht="15" hidden="false" customHeight="true" outlineLevel="0" collapsed="false">
      <c r="A126" s="7" t="s">
        <v>1486</v>
      </c>
    </row>
    <row r="128" customFormat="false" ht="15" hidden="false" customHeight="true" outlineLevel="0" collapsed="false">
      <c r="A128" s="3" t="s">
        <v>1487</v>
      </c>
    </row>
    <row r="129" customFormat="false" ht="15" hidden="false" customHeight="true" outlineLevel="0" collapsed="false">
      <c r="A129" s="14" t="s">
        <v>1488</v>
      </c>
    </row>
    <row r="131" customFormat="false" ht="15" hidden="false" customHeight="true" outlineLevel="0" collapsed="false">
      <c r="A131" s="3" t="s">
        <v>1489</v>
      </c>
    </row>
    <row r="132" customFormat="false" ht="15" hidden="false" customHeight="true" outlineLevel="0" collapsed="false">
      <c r="A132" s="7" t="s">
        <v>1490</v>
      </c>
    </row>
    <row r="133" customFormat="false" ht="15" hidden="false" customHeight="true" outlineLevel="0" collapsed="false">
      <c r="A133" s="7" t="s">
        <v>1491</v>
      </c>
    </row>
    <row r="134" customFormat="false" ht="15" hidden="false" customHeight="true" outlineLevel="0" collapsed="false">
      <c r="A134" s="3" t="s">
        <v>1492</v>
      </c>
    </row>
    <row r="143" customFormat="false" ht="15" hidden="false" customHeight="true" outlineLevel="0" collapsed="false">
      <c r="A143" s="6" t="s">
        <v>1493</v>
      </c>
    </row>
    <row r="144" customFormat="false" ht="15" hidden="false" customHeight="true" outlineLevel="0" collapsed="false">
      <c r="A144" s="7" t="s">
        <v>1494</v>
      </c>
    </row>
    <row r="146" customFormat="false" ht="15" hidden="false" customHeight="true" outlineLevel="0" collapsed="false">
      <c r="A146" s="8" t="s">
        <v>1454</v>
      </c>
      <c r="B146" s="8" t="s">
        <v>1448</v>
      </c>
      <c r="C146" s="8" t="s">
        <v>1458</v>
      </c>
      <c r="D146" s="8" t="s">
        <v>1495</v>
      </c>
      <c r="E146" s="8" t="s">
        <v>1458</v>
      </c>
      <c r="F146" s="8" t="s">
        <v>1496</v>
      </c>
      <c r="G146" s="8" t="s">
        <v>1458</v>
      </c>
    </row>
    <row r="147" customFormat="false" ht="15" hidden="false" customHeight="true" outlineLevel="0" collapsed="false">
      <c r="A147" s="3" t="n">
        <v>65</v>
      </c>
      <c r="B147" s="88" t="n">
        <f aca="false">CBD_Stochastic!D85</f>
        <v>21.5922409276463</v>
      </c>
      <c r="C147" s="94" t="n">
        <v>22.397</v>
      </c>
      <c r="D147" s="88" t="n">
        <f aca="false">CBD_Stochastic!D86</f>
        <v>23.474220379557</v>
      </c>
      <c r="E147" s="94" t="n">
        <v>24.253</v>
      </c>
      <c r="F147" s="88" t="n">
        <f aca="false">CBD_Stochastic!D87</f>
        <v>24.0457376653002</v>
      </c>
      <c r="G147" s="94" t="n">
        <v>24.83</v>
      </c>
    </row>
    <row r="148" customFormat="false" ht="15" hidden="false" customHeight="true" outlineLevel="0" collapsed="false">
      <c r="A148" s="3" t="n">
        <v>75</v>
      </c>
      <c r="B148" s="88" t="n">
        <f aca="false">CBD_Stochastic!Q85</f>
        <v>13.0316641934773</v>
      </c>
      <c r="C148" s="94" t="n">
        <v>13.614</v>
      </c>
      <c r="D148" s="88" t="n">
        <f aca="false">CBD_Stochastic!Q86</f>
        <v>14.6085591241694</v>
      </c>
      <c r="E148" s="94" t="n">
        <v>15.193</v>
      </c>
      <c r="F148" s="88" t="n">
        <f aca="false">CBD_Stochastic!Q87</f>
        <v>14.6565796328583</v>
      </c>
      <c r="G148" s="94" t="n">
        <v>15.27</v>
      </c>
    </row>
    <row r="149" customFormat="false" ht="15" hidden="false" customHeight="true" outlineLevel="0" collapsed="false">
      <c r="A149" s="3" t="n">
        <v>85</v>
      </c>
      <c r="B149" s="88" t="n">
        <f aca="false">CBD_Stochastic!AD85</f>
        <v>6.85702128325065</v>
      </c>
      <c r="C149" s="94" t="n">
        <v>7.175</v>
      </c>
      <c r="D149" s="88" t="n">
        <f aca="false">CBD_Stochastic!AD86</f>
        <v>7.99736612631402</v>
      </c>
      <c r="E149" s="94" t="n">
        <v>8.33</v>
      </c>
      <c r="F149" s="88" t="n">
        <f aca="false">CBD_Stochastic!AD87</f>
        <v>7.70747193435261</v>
      </c>
      <c r="G149" s="94" t="n">
        <v>8.11</v>
      </c>
    </row>
    <row r="151" customFormat="false" ht="15" hidden="false" customHeight="true" outlineLevel="0" collapsed="false">
      <c r="A151" s="7" t="s">
        <v>1497</v>
      </c>
    </row>
    <row r="152" customFormat="false" ht="15" hidden="false" customHeight="true" outlineLevel="0" collapsed="false">
      <c r="A152" s="7" t="s">
        <v>1498</v>
      </c>
    </row>
    <row r="154" customFormat="false" ht="15" hidden="false" customHeight="true" outlineLevel="0" collapsed="false">
      <c r="A154" s="6" t="s">
        <v>1499</v>
      </c>
    </row>
    <row r="155" customFormat="false" ht="15" hidden="false" customHeight="true" outlineLevel="0" collapsed="false">
      <c r="A155" s="8" t="s">
        <v>1454</v>
      </c>
      <c r="B155" s="8" t="s">
        <v>1500</v>
      </c>
      <c r="C155" s="8" t="s">
        <v>1458</v>
      </c>
      <c r="D155" s="8" t="s">
        <v>1501</v>
      </c>
      <c r="E155" s="8" t="s">
        <v>1458</v>
      </c>
      <c r="F155" s="8" t="s">
        <v>1502</v>
      </c>
      <c r="G155" s="8" t="s">
        <v>1458</v>
      </c>
      <c r="H155" s="8" t="s">
        <v>1078</v>
      </c>
      <c r="I155" s="8" t="s">
        <v>1503</v>
      </c>
    </row>
    <row r="156" customFormat="false" ht="15" hidden="false" customHeight="true" outlineLevel="0" collapsed="false">
      <c r="A156" s="3" t="n">
        <v>65</v>
      </c>
      <c r="B156" s="88" t="n">
        <f aca="false">D147-B147</f>
        <v>1.88197945191072</v>
      </c>
      <c r="C156" s="94" t="n">
        <f aca="false">E147-C147</f>
        <v>1.856</v>
      </c>
      <c r="D156" s="88" t="n">
        <f aca="false">F147-B147</f>
        <v>2.4534967376539</v>
      </c>
      <c r="E156" s="94" t="n">
        <f aca="false">G147-C147</f>
        <v>2.433</v>
      </c>
      <c r="F156" s="86" t="n">
        <f aca="false">B156/D156</f>
        <v>0.767060099582736</v>
      </c>
      <c r="G156" s="94" t="n">
        <f aca="false">C156/E156</f>
        <v>0.762844225236334</v>
      </c>
      <c r="H156" s="28" t="str">
        <f aca="false">IF(F156&lt;Adequacy!$B$96,"inadequate",IF(F156&lt;Adequacy!$B$97,"marginal","exceeds"))</f>
        <v>marginal</v>
      </c>
      <c r="I156" s="40" t="s">
        <v>1504</v>
      </c>
    </row>
    <row r="157" customFormat="false" ht="15" hidden="false" customHeight="true" outlineLevel="0" collapsed="false">
      <c r="A157" s="3" t="n">
        <v>75</v>
      </c>
      <c r="B157" s="88" t="n">
        <f aca="false">D148-B148</f>
        <v>1.57689493069213</v>
      </c>
      <c r="C157" s="94" t="n">
        <f aca="false">E148-C148</f>
        <v>1.579</v>
      </c>
      <c r="D157" s="88" t="n">
        <f aca="false">F148-B148</f>
        <v>1.62491543938097</v>
      </c>
      <c r="E157" s="94" t="n">
        <f aca="false">G148-C148</f>
        <v>1.656</v>
      </c>
      <c r="F157" s="86" t="n">
        <f aca="false">B157/D157</f>
        <v>0.970447379891265</v>
      </c>
      <c r="G157" s="94" t="n">
        <f aca="false">C157/E157</f>
        <v>0.953502415458937</v>
      </c>
      <c r="H157" s="28" t="str">
        <f aca="false">IF(F157&lt;Adequacy!$B$96,"inadequate",IF(F157&lt;Adequacy!$B$97,"marginal","exceeds"))</f>
        <v>exceeds</v>
      </c>
      <c r="I157" s="40" t="s">
        <v>1505</v>
      </c>
    </row>
    <row r="158" customFormat="false" ht="15" hidden="false" customHeight="true" outlineLevel="0" collapsed="false">
      <c r="A158" s="3" t="n">
        <v>85</v>
      </c>
      <c r="B158" s="88" t="n">
        <f aca="false">D149-B149</f>
        <v>1.14034484306338</v>
      </c>
      <c r="C158" s="94" t="n">
        <f aca="false">E149-C149</f>
        <v>1.155</v>
      </c>
      <c r="D158" s="88" t="n">
        <f aca="false">F149-B149</f>
        <v>0.850450651101962</v>
      </c>
      <c r="E158" s="94" t="n">
        <f aca="false">G149-C149</f>
        <v>0.935</v>
      </c>
      <c r="F158" s="86" t="n">
        <f aca="false">B158/D158</f>
        <v>1.34087126817504</v>
      </c>
      <c r="G158" s="94" t="n">
        <f aca="false">C158/E158</f>
        <v>1.23529411764706</v>
      </c>
      <c r="H158" s="28" t="str">
        <f aca="false">IF(F158&lt;Adequacy!$B$96,"inadequate",IF(F158&lt;Adequacy!$B$97,"marginal","exceeds"))</f>
        <v>exceeds</v>
      </c>
      <c r="I158" s="40" t="s">
        <v>1506</v>
      </c>
    </row>
    <row r="160" customFormat="false" ht="15" hidden="false" customHeight="true" outlineLevel="0" collapsed="false">
      <c r="A160" s="9" t="s">
        <v>1507</v>
      </c>
      <c r="B160" s="28" t="str">
        <f aca="false">IF(AND(H156=I156,H157=I157,H158=I158),"YES — identical at every age","NO, and this is the documented dual-criterion finding, not a failure. Annex A locates Article 138 as a percentile in the simulated distribution; the paper body classifies the ratio of charges at 0.75 and 0.95. The liability-weighted measure on the Adequacy sheet governs and reads inadequate.")</f>
        <v>NO, and this is the documented dual-criterion finding, not a failure. Annex A locates Article 138 as a percentile in the simulated distribution; the paper body classifies the ratio of charges at 0.75 and 0.95. The liability-weighted measure on the Adequacy sheet governs and reads inadequate.</v>
      </c>
    </row>
    <row r="161" customFormat="false" ht="15" hidden="false" customHeight="true" outlineLevel="0" collapsed="false">
      <c r="A161" s="7" t="s">
        <v>1508</v>
      </c>
      <c r="B161" s="88" t="n">
        <f aca="false">MAX(ABS(F156-G156),ABS(F157-G157),ABS(F158-G158))</f>
        <v>0.105577150527981</v>
      </c>
    </row>
    <row r="162" customFormat="false" ht="15" hidden="false" customHeight="true" outlineLevel="0" collapsed="false">
      <c r="A162" s="7" t="s">
        <v>1509</v>
      </c>
    </row>
    <row r="163" customFormat="false" ht="15" hidden="false" customHeight="true" outlineLevel="0" collapsed="false">
      <c r="A163" s="6" t="s">
        <v>1510</v>
      </c>
      <c r="B163" s="95" t="n">
        <v>97.9</v>
      </c>
    </row>
    <row r="164" customFormat="false" ht="15" hidden="false" customHeight="true" outlineLevel="0" collapsed="false">
      <c r="A164" s="9" t="s">
        <v>1511</v>
      </c>
      <c r="B164" s="95" t="n">
        <v>99.5</v>
      </c>
    </row>
    <row r="165" customFormat="false" ht="15" hidden="false" customHeight="true" outlineLevel="0" collapsed="false">
      <c r="A165" s="7" t="s">
        <v>1512</v>
      </c>
    </row>
    <row r="166" customFormat="false" ht="15" hidden="false" customHeight="true" outlineLevel="0" collapsed="false">
      <c r="A166" s="3" t="s">
        <v>1513</v>
      </c>
    </row>
    <row r="167" customFormat="false" ht="15" hidden="false" customHeight="true" outlineLevel="0" collapsed="false">
      <c r="A167" s="3" t="s">
        <v>1514</v>
      </c>
    </row>
    <row r="177" customFormat="false" ht="15" hidden="false" customHeight="true" outlineLevel="0" collapsed="false">
      <c r="A177" s="1" t="s">
        <v>1515</v>
      </c>
    </row>
    <row r="187" customFormat="false" ht="15" hidden="false" customHeight="true" outlineLevel="0" collapsed="false">
      <c r="A187" s="1" t="s">
        <v>557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1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8"/>
    <col collapsed="false" customWidth="true" hidden="false" outlineLevel="0" max="29" min="2" style="1" width="13"/>
  </cols>
  <sheetData>
    <row r="1" customFormat="false" ht="15.75" hidden="false" customHeight="true" outlineLevel="0" collapsed="false">
      <c r="A1" s="15" t="s">
        <v>1516</v>
      </c>
    </row>
    <row r="2" customFormat="false" ht="15" hidden="false" customHeight="true" outlineLevel="0" collapsed="false">
      <c r="A2" s="7" t="s">
        <v>1517</v>
      </c>
    </row>
    <row r="3" customFormat="false" ht="15" hidden="false" customHeight="true" outlineLevel="0" collapsed="false">
      <c r="A3" s="7" t="s">
        <v>1518</v>
      </c>
    </row>
    <row r="6" customFormat="false" ht="15" hidden="false" customHeight="true" outlineLevel="0" collapsed="false">
      <c r="A6" s="6" t="s">
        <v>1519</v>
      </c>
    </row>
    <row r="7" customFormat="false" ht="15" hidden="false" customHeight="true" outlineLevel="0" collapsed="false">
      <c r="A7" s="8" t="s">
        <v>802</v>
      </c>
      <c r="B7" s="8" t="s">
        <v>1520</v>
      </c>
      <c r="C7" s="8" t="s">
        <v>1521</v>
      </c>
      <c r="D7" s="8" t="s">
        <v>1522</v>
      </c>
      <c r="E7" s="8" t="s">
        <v>1523</v>
      </c>
      <c r="F7" s="8" t="s">
        <v>1524</v>
      </c>
      <c r="G7" s="8" t="s">
        <v>1525</v>
      </c>
      <c r="H7" s="8" t="s">
        <v>1526</v>
      </c>
      <c r="J7" s="8" t="s">
        <v>1527</v>
      </c>
      <c r="K7" s="8" t="s">
        <v>1528</v>
      </c>
      <c r="L7" s="8" t="s">
        <v>1529</v>
      </c>
      <c r="M7" s="8" t="s">
        <v>1530</v>
      </c>
      <c r="N7" s="8" t="s">
        <v>1531</v>
      </c>
      <c r="O7" s="8" t="s">
        <v>1532</v>
      </c>
      <c r="P7" s="8" t="s">
        <v>1533</v>
      </c>
      <c r="R7" s="8" t="s">
        <v>1534</v>
      </c>
      <c r="S7" s="8" t="s">
        <v>1535</v>
      </c>
      <c r="T7" s="8" t="s">
        <v>1536</v>
      </c>
      <c r="U7" s="8" t="s">
        <v>1537</v>
      </c>
      <c r="V7" s="8" t="s">
        <v>1538</v>
      </c>
      <c r="W7" s="8" t="s">
        <v>1539</v>
      </c>
      <c r="X7" s="8" t="s">
        <v>1540</v>
      </c>
    </row>
    <row r="8" customFormat="false" ht="15" hidden="false" customHeight="true" outlineLevel="0" collapsed="false">
      <c r="A8" s="1" t="n">
        <v>0</v>
      </c>
      <c r="B8" s="32" t="n">
        <v>1</v>
      </c>
      <c r="C8" s="32" t="n">
        <v>1</v>
      </c>
      <c r="D8" s="32" t="n">
        <v>1</v>
      </c>
      <c r="E8" s="32" t="n">
        <v>1</v>
      </c>
      <c r="F8" s="32" t="n">
        <v>1</v>
      </c>
      <c r="G8" s="32" t="n">
        <v>1</v>
      </c>
      <c r="H8" s="32" t="n">
        <v>1</v>
      </c>
      <c r="J8" s="32" t="n">
        <v>1</v>
      </c>
      <c r="K8" s="32" t="n">
        <v>1</v>
      </c>
      <c r="L8" s="32" t="n">
        <v>1</v>
      </c>
      <c r="M8" s="32" t="n">
        <v>1</v>
      </c>
      <c r="N8" s="32" t="n">
        <v>1</v>
      </c>
      <c r="O8" s="32" t="n">
        <v>1</v>
      </c>
      <c r="P8" s="32" t="n">
        <v>1</v>
      </c>
      <c r="R8" s="11" t="n">
        <f aca="false">(1/(1+EXP(-(((CBD_Stochastic!$B$6+CBD_Stochastic!$B$8*(4+$A8))-CBD_Stochastic!$B$19*CBD_Stochastic!$B$17*SQRT((4+$A8)))+((CBD_Stochastic!$B$7+CBD_Stochastic!$B$9*(4+$A8))-CBD_Stochastic!$B$19*CBD_Stochastic!$B$13*CBD_Stochastic!$B$18*SQRT((4+$A8)))*((60+$A8)-CBD_Stochastic!$B$14)))))/(1/(1+EXP(-((CBD_Stochastic!$B$6+CBD_Stochastic!$B$8*(4+$A8))+(CBD_Stochastic!$B$7+CBD_Stochastic!$B$9*(4+$A8))*((60+$A8)-CBD_Stochastic!$B$14)))))</f>
        <v>0.955490047235235</v>
      </c>
      <c r="S8" s="11" t="n">
        <f aca="false">(1/(1+EXP(-(((CBD_Stochastic!$B$6+CBD_Stochastic!$B$8*(4+$A8))-CBD_Stochastic!$B$19*CBD_Stochastic!$B$17*SQRT((4+$A8)))+((CBD_Stochastic!$B$7+CBD_Stochastic!$B$9*(4+$A8))-CBD_Stochastic!$B$19*CBD_Stochastic!$B$13*CBD_Stochastic!$B$18*SQRT((4+$A8)))*((63+$A8)-CBD_Stochastic!$B$14)))))/(1/(1+EXP(-((CBD_Stochastic!$B$6+CBD_Stochastic!$B$8*(4+$A8))+(CBD_Stochastic!$B$7+CBD_Stochastic!$B$9*(4+$A8))*((63+$A8)-CBD_Stochastic!$B$14)))))</f>
        <v>0.942997975292328</v>
      </c>
      <c r="T8" s="11" t="n">
        <f aca="false">(1/(1+EXP(-(((CBD_Stochastic!$B$6+CBD_Stochastic!$B$8*(4+$A8))-CBD_Stochastic!$B$19*CBD_Stochastic!$B$17*SQRT((4+$A8)))+((CBD_Stochastic!$B$7+CBD_Stochastic!$B$9*(4+$A8))-CBD_Stochastic!$B$19*CBD_Stochastic!$B$13*CBD_Stochastic!$B$18*SQRT((4+$A8)))*((65+$A8)-CBD_Stochastic!$B$14)))))/(1/(1+EXP(-((CBD_Stochastic!$B$6+CBD_Stochastic!$B$8*(4+$A8))+(CBD_Stochastic!$B$7+CBD_Stochastic!$B$9*(4+$A8))*((65+$A8)-CBD_Stochastic!$B$14)))))</f>
        <v>0.934811438885776</v>
      </c>
      <c r="U8" s="11" t="n">
        <f aca="false">(1/(1+EXP(-(((CBD_Stochastic!$B$6+CBD_Stochastic!$B$8*(4+$A8))-CBD_Stochastic!$B$19*CBD_Stochastic!$B$17*SQRT((4+$A8)))+((CBD_Stochastic!$B$7+CBD_Stochastic!$B$9*(4+$A8))-CBD_Stochastic!$B$19*CBD_Stochastic!$B$13*CBD_Stochastic!$B$18*SQRT((4+$A8)))*((68+$A8)-CBD_Stochastic!$B$14)))))/(1/(1+EXP(-((CBD_Stochastic!$B$6+CBD_Stochastic!$B$8*(4+$A8))+(CBD_Stochastic!$B$7+CBD_Stochastic!$B$9*(4+$A8))*((68+$A8)-CBD_Stochastic!$B$14)))))</f>
        <v>0.922774395477448</v>
      </c>
      <c r="V8" s="11" t="n">
        <f aca="false">(1/(1+EXP(-(((CBD_Stochastic!$B$6+CBD_Stochastic!$B$8*(4+$A8))-CBD_Stochastic!$B$19*CBD_Stochastic!$B$17*SQRT((4+$A8)))+((CBD_Stochastic!$B$7+CBD_Stochastic!$B$9*(4+$A8))-CBD_Stochastic!$B$19*CBD_Stochastic!$B$13*CBD_Stochastic!$B$18*SQRT((4+$A8)))*((70+$A8)-CBD_Stochastic!$B$14)))))/(1/(1+EXP(-((CBD_Stochastic!$B$6+CBD_Stochastic!$B$8*(4+$A8))+(CBD_Stochastic!$B$7+CBD_Stochastic!$B$9*(4+$A8))*((70+$A8)-CBD_Stochastic!$B$14)))))</f>
        <v>0.91493630015365</v>
      </c>
      <c r="W8" s="11" t="n">
        <f aca="false">(1/(1+EXP(-(((CBD_Stochastic!$B$6+CBD_Stochastic!$B$8*(4+$A8))-CBD_Stochastic!$B$19*CBD_Stochastic!$B$17*SQRT((4+$A8)))+((CBD_Stochastic!$B$7+CBD_Stochastic!$B$9*(4+$A8))-CBD_Stochastic!$B$19*CBD_Stochastic!$B$13*CBD_Stochastic!$B$18*SQRT((4+$A8)))*((72+$A8)-CBD_Stochastic!$B$14)))))/(1/(1+EXP(-((CBD_Stochastic!$B$6+CBD_Stochastic!$B$8*(4+$A8))+(CBD_Stochastic!$B$7+CBD_Stochastic!$B$9*(4+$A8))*((72+$A8)-CBD_Stochastic!$B$14)))))</f>
        <v>0.907273898406213</v>
      </c>
      <c r="X8" s="11" t="n">
        <f aca="false">(1/(1+EXP(-(((CBD_Stochastic!$B$6+CBD_Stochastic!$B$8*(4+$A8))-CBD_Stochastic!$B$19*CBD_Stochastic!$B$17*SQRT((4+$A8)))+((CBD_Stochastic!$B$7+CBD_Stochastic!$B$9*(4+$A8))-CBD_Stochastic!$B$19*CBD_Stochastic!$B$13*CBD_Stochastic!$B$18*SQRT((4+$A8)))*((75+$A8)-CBD_Stochastic!$B$14)))))/(1/(1+EXP(-((CBD_Stochastic!$B$6+CBD_Stochastic!$B$8*(4+$A8))+(CBD_Stochastic!$B$7+CBD_Stochastic!$B$9*(4+$A8))*((75+$A8)-CBD_Stochastic!$B$14)))))</f>
        <v>0.896177183465263</v>
      </c>
    </row>
    <row r="9" customFormat="false" ht="15" hidden="false" customHeight="true" outlineLevel="0" collapsed="false">
      <c r="A9" s="1" t="n">
        <v>1</v>
      </c>
      <c r="B9" s="32" t="n">
        <f aca="false">IF((60+$A8)&gt;=120,0,B8*(1-MIN(1,IFERROR(INDEX(Cohort_Survival!$B$5:$AA$65,(60+$A8)-59,60-59),1)*(1-Assumptions!$B$21))))</f>
        <v>0.997670042155977</v>
      </c>
      <c r="C9" s="32" t="n">
        <f aca="false">IF((63+$A8)&gt;=120,0,C8*(1-MIN(1,IFERROR(INDEX(Cohort_Survival!$B$5:$AA$65,(63+$A8)-59,63-59),1)*(1-Assumptions!$B$21))))</f>
        <v>0.996814572654399</v>
      </c>
      <c r="D9" s="32" t="n">
        <f aca="false">IF((65+$A8)&gt;=120,0,D8*(1-MIN(1,IFERROR(INDEX(Cohort_Survival!$B$5:$AA$65,(65+$A8)-59,65-59),1)*(1-Assumptions!$B$21))))</f>
        <v>0.995855563289392</v>
      </c>
      <c r="E9" s="32" t="n">
        <f aca="false">IF((68+$A8)&gt;=120,0,E8*(1-MIN(1,IFERROR(INDEX(Cohort_Survival!$B$5:$AA$65,(68+$A8)-59,68-59),1)*(1-Assumptions!$B$21))))</f>
        <v>0.994243598008443</v>
      </c>
      <c r="F9" s="32" t="n">
        <f aca="false">IF((70+$A8)&gt;=120,0,F8*(1-MIN(1,IFERROR(INDEX(Cohort_Survival!$B$5:$AA$65,(70+$A8)-59,70-59),1)*(1-Assumptions!$B$21))))</f>
        <v>0.992521486087346</v>
      </c>
      <c r="G9" s="32" t="n">
        <f aca="false">IF((72+$A8)&gt;=120,0,G8*(1-MIN(1,IFERROR(INDEX(Cohort_Survival!$B$5:$AA$65,(72+$A8)-59,72-59),1)*(1-Assumptions!$B$21))))</f>
        <v>0.990570297414675</v>
      </c>
      <c r="H9" s="32" t="n">
        <f aca="false">IF((75+$A8)&gt;=120,0,H8*(1-MIN(1,IFERROR(INDEX(Cohort_Survival!$B$5:$AA$65,(75+$A8)-59,75-59),1)*(1-Assumptions!$B$21))))</f>
        <v>0.986004757725969</v>
      </c>
      <c r="J9" s="32" t="n">
        <f aca="false">IF((60+$A8)&gt;=120,0,J8*(1-MIN(1,IFERROR(INDEX(Cohort_Survival!$B$5:$AA$65,(60+$A8)-59,60-59),1)*R8)))</f>
        <v>0.997217185586948</v>
      </c>
      <c r="K9" s="32" t="n">
        <f aca="false">IF((63+$A8)&gt;=120,0,K8*(1-MIN(1,IFERROR(INDEX(Cohort_Survival!$B$5:$AA$65,(63+$A8)-59,63-59),1)*S8)))</f>
        <v>0.996245185578321</v>
      </c>
      <c r="L9" s="32" t="n">
        <f aca="false">IF((65+$A8)&gt;=120,0,L8*(1-MIN(1,IFERROR(INDEX(Cohort_Survival!$B$5:$AA$65,(65+$A8)-59,65-59),1)*T8)))</f>
        <v>0.995157166443982</v>
      </c>
      <c r="M9" s="32" t="n">
        <f aca="false">IF((68+$A8)&gt;=120,0,M8*(1-MIN(1,IFERROR(INDEX(Cohort_Survival!$B$5:$AA$65,(68+$A8)-59,68-59),1)*U8)))</f>
        <v>0.993360174540145</v>
      </c>
      <c r="N9" s="32" t="n">
        <f aca="false">IF((70+$A8)&gt;=120,0,N8*(1-MIN(1,IFERROR(INDEX(Cohort_Survival!$B$5:$AA$65,(70+$A8)-59,70-59),1)*V8)))</f>
        <v>0.991447045187636</v>
      </c>
      <c r="O9" s="32" t="n">
        <f aca="false">IF((72+$A8)&gt;=120,0,O8*(1-MIN(1,IFERROR(INDEX(Cohort_Survival!$B$5:$AA$65,(72+$A8)-59,72-59),1)*W8)))</f>
        <v>0.989305846218251</v>
      </c>
      <c r="P9" s="32" t="n">
        <f aca="false">IF((75+$A8)&gt;=120,0,P8*(1-MIN(1,IFERROR(INDEX(Cohort_Survival!$B$5:$AA$65,(75+$A8)-59,75-59),1)*X8)))</f>
        <v>0.984322228996182</v>
      </c>
      <c r="R9" s="11" t="n">
        <f aca="false">(1/(1+EXP(-(((CBD_Stochastic!$B$6+CBD_Stochastic!$B$8*(4+$A9))-CBD_Stochastic!$B$19*CBD_Stochastic!$B$17*SQRT((4+$A9)))+((CBD_Stochastic!$B$7+CBD_Stochastic!$B$9*(4+$A9))-CBD_Stochastic!$B$19*CBD_Stochastic!$B$13*CBD_Stochastic!$B$18*SQRT((4+$A9)))*((60+$A9)-CBD_Stochastic!$B$14)))))/(1/(1+EXP(-((CBD_Stochastic!$B$6+CBD_Stochastic!$B$8*(4+$A9))+(CBD_Stochastic!$B$7+CBD_Stochastic!$B$9*(4+$A9))*((60+$A9)-CBD_Stochastic!$B$14)))))</f>
        <v>0.945701244025629</v>
      </c>
      <c r="S9" s="11" t="n">
        <f aca="false">(1/(1+EXP(-(((CBD_Stochastic!$B$6+CBD_Stochastic!$B$8*(4+$A9))-CBD_Stochastic!$B$19*CBD_Stochastic!$B$17*SQRT((4+$A9)))+((CBD_Stochastic!$B$7+CBD_Stochastic!$B$9*(4+$A9))-CBD_Stochastic!$B$19*CBD_Stochastic!$B$13*CBD_Stochastic!$B$18*SQRT((4+$A9)))*((63+$A9)-CBD_Stochastic!$B$14)))))/(1/(1+EXP(-((CBD_Stochastic!$B$6+CBD_Stochastic!$B$8*(4+$A9))+(CBD_Stochastic!$B$7+CBD_Stochastic!$B$9*(4+$A9))*((63+$A9)-CBD_Stochastic!$B$14)))))</f>
        <v>0.931913064288453</v>
      </c>
      <c r="T9" s="11" t="n">
        <f aca="false">(1/(1+EXP(-(((CBD_Stochastic!$B$6+CBD_Stochastic!$B$8*(4+$A9))-CBD_Stochastic!$B$19*CBD_Stochastic!$B$17*SQRT((4+$A9)))+((CBD_Stochastic!$B$7+CBD_Stochastic!$B$9*(4+$A9))-CBD_Stochastic!$B$19*CBD_Stochastic!$B$13*CBD_Stochastic!$B$18*SQRT((4+$A9)))*((65+$A9)-CBD_Stochastic!$B$14)))))/(1/(1+EXP(-((CBD_Stochastic!$B$6+CBD_Stochastic!$B$8*(4+$A9))+(CBD_Stochastic!$B$7+CBD_Stochastic!$B$9*(4+$A9))*((65+$A9)-CBD_Stochastic!$B$14)))))</f>
        <v>0.922895628445718</v>
      </c>
      <c r="U9" s="11" t="n">
        <f aca="false">(1/(1+EXP(-(((CBD_Stochastic!$B$6+CBD_Stochastic!$B$8*(4+$A9))-CBD_Stochastic!$B$19*CBD_Stochastic!$B$17*SQRT((4+$A9)))+((CBD_Stochastic!$B$7+CBD_Stochastic!$B$9*(4+$A9))-CBD_Stochastic!$B$19*CBD_Stochastic!$B$13*CBD_Stochastic!$B$18*SQRT((4+$A9)))*((68+$A9)-CBD_Stochastic!$B$14)))))/(1/(1+EXP(-((CBD_Stochastic!$B$6+CBD_Stochastic!$B$8*(4+$A9))+(CBD_Stochastic!$B$7+CBD_Stochastic!$B$9*(4+$A9))*((68+$A9)-CBD_Stochastic!$B$14)))))</f>
        <v>0.909668363764851</v>
      </c>
      <c r="V9" s="11" t="n">
        <f aca="false">(1/(1+EXP(-(((CBD_Stochastic!$B$6+CBD_Stochastic!$B$8*(4+$A9))-CBD_Stochastic!$B$19*CBD_Stochastic!$B$17*SQRT((4+$A9)))+((CBD_Stochastic!$B$7+CBD_Stochastic!$B$9*(4+$A9))-CBD_Stochastic!$B$19*CBD_Stochastic!$B$13*CBD_Stochastic!$B$18*SQRT((4+$A9)))*((70+$A9)-CBD_Stochastic!$B$14)))))/(1/(1+EXP(-((CBD_Stochastic!$B$6+CBD_Stochastic!$B$8*(4+$A9))+(CBD_Stochastic!$B$7+CBD_Stochastic!$B$9*(4+$A9))*((70+$A9)-CBD_Stochastic!$B$14)))))</f>
        <v>0.901079343166428</v>
      </c>
      <c r="W9" s="11" t="n">
        <f aca="false">(1/(1+EXP(-(((CBD_Stochastic!$B$6+CBD_Stochastic!$B$8*(4+$A9))-CBD_Stochastic!$B$19*CBD_Stochastic!$B$17*SQRT((4+$A9)))+((CBD_Stochastic!$B$7+CBD_Stochastic!$B$9*(4+$A9))-CBD_Stochastic!$B$19*CBD_Stochastic!$B$13*CBD_Stochastic!$B$18*SQRT((4+$A9)))*((72+$A9)-CBD_Stochastic!$B$14)))))/(1/(1+EXP(-((CBD_Stochastic!$B$6+CBD_Stochastic!$B$8*(4+$A9))+(CBD_Stochastic!$B$7+CBD_Stochastic!$B$9*(4+$A9))*((72+$A9)-CBD_Stochastic!$B$14)))))</f>
        <v>0.892705482884952</v>
      </c>
      <c r="X9" s="11" t="n">
        <f aca="false">(1/(1+EXP(-(((CBD_Stochastic!$B$6+CBD_Stochastic!$B$8*(4+$A9))-CBD_Stochastic!$B$19*CBD_Stochastic!$B$17*SQRT((4+$A9)))+((CBD_Stochastic!$B$7+CBD_Stochastic!$B$9*(4+$A9))-CBD_Stochastic!$B$19*CBD_Stochastic!$B$13*CBD_Stochastic!$B$18*SQRT((4+$A9)))*((75+$A9)-CBD_Stochastic!$B$14)))))/(1/(1+EXP(-((CBD_Stochastic!$B$6+CBD_Stochastic!$B$8*(4+$A9))+(CBD_Stochastic!$B$7+CBD_Stochastic!$B$9*(4+$A9))*((75+$A9)-CBD_Stochastic!$B$14)))))</f>
        <v>0.880629196142524</v>
      </c>
    </row>
    <row r="10" customFormat="false" ht="15" hidden="false" customHeight="true" outlineLevel="0" collapsed="false">
      <c r="A10" s="1" t="n">
        <v>2</v>
      </c>
      <c r="B10" s="32" t="n">
        <f aca="false">IF((60+$A9)&gt;=120,0,B9*(1-MIN(1,IFERROR(INDEX(Cohort_Survival!$B$5:$AA$65,(60+$A9)-59,60-59),1)*(1-Assumptions!$B$21))))</f>
        <v>0.995158057194169</v>
      </c>
      <c r="C10" s="32" t="n">
        <f aca="false">IF((63+$A9)&gt;=120,0,C9*(1-MIN(1,IFERROR(INDEX(Cohort_Survival!$B$5:$AA$65,(63+$A9)-59,63-59),1)*(1-Assumptions!$B$21))))</f>
        <v>0.993368628547294</v>
      </c>
      <c r="D10" s="32" t="n">
        <f aca="false">IF((65+$A9)&gt;=120,0,D9*(1-MIN(1,IFERROR(INDEX(Cohort_Survival!$B$5:$AA$65,(65+$A9)-59,65-59),1)*(1-Assumptions!$B$21))))</f>
        <v>0.991361782116866</v>
      </c>
      <c r="E10" s="32" t="n">
        <f aca="false">IF((68+$A9)&gt;=120,0,E9*(1-MIN(1,IFERROR(INDEX(Cohort_Survival!$B$5:$AA$65,(68+$A9)-59,68-59),1)*(1-Assumptions!$B$21))))</f>
        <v>0.987977785705145</v>
      </c>
      <c r="F10" s="32" t="n">
        <f aca="false">IF((70+$A9)&gt;=120,0,F9*(1-MIN(1,IFERROR(INDEX(Cohort_Survival!$B$5:$AA$65,(70+$A9)-59,70-59),1)*(1-Assumptions!$B$21))))</f>
        <v>0.984362848141385</v>
      </c>
      <c r="G10" s="32" t="n">
        <f aca="false">IF((72+$A9)&gt;=120,0,G9*(1-MIN(1,IFERROR(INDEX(Cohort_Survival!$B$5:$AA$65,(72+$A9)-59,72-59),1)*(1-Assumptions!$B$21))))</f>
        <v>0.980259990591647</v>
      </c>
      <c r="H10" s="32" t="n">
        <f aca="false">IF((75+$A9)&gt;=120,0,H9*(1-MIN(1,IFERROR(INDEX(Cohort_Survival!$B$5:$AA$65,(75+$A9)-59,75-59),1)*(1-Assumptions!$B$21))))</f>
        <v>0.970670829194588</v>
      </c>
      <c r="J10" s="32" t="n">
        <f aca="false">IF((60+$A9)&gt;=120,0,J9*(1-MIN(1,IFERROR(INDEX(Cohort_Survival!$B$5:$AA$65,(60+$A9)-59,60-59),1)*R9)))</f>
        <v>0.994249049348677</v>
      </c>
      <c r="K10" s="32" t="n">
        <f aca="false">IF((63+$A9)&gt;=120,0,K9*(1-MIN(1,IFERROR(INDEX(Cohort_Survival!$B$5:$AA$65,(63+$A9)-59,63-59),1)*S9)))</f>
        <v>0.992233328072312</v>
      </c>
      <c r="L10" s="32" t="n">
        <f aca="false">IF((65+$A9)&gt;=120,0,L9*(1-MIN(1,IFERROR(INDEX(Cohort_Survival!$B$5:$AA$65,(65+$A9)-59,65-59),1)*T9)))</f>
        <v>0.989976688331191</v>
      </c>
      <c r="M10" s="32" t="n">
        <f aca="false">IF((68+$A9)&gt;=120,0,M9*(1-MIN(1,IFERROR(INDEX(Cohort_Survival!$B$5:$AA$65,(68+$A9)-59,68-59),1)*U9)))</f>
        <v>0.986241741133523</v>
      </c>
      <c r="N10" s="32" t="n">
        <f aca="false">IF((70+$A9)&gt;=120,0,N9*(1-MIN(1,IFERROR(INDEX(Cohort_Survival!$B$5:$AA$65,(70+$A9)-59,70-59),1)*V9)))</f>
        <v>0.982267517979573</v>
      </c>
      <c r="O10" s="32" t="n">
        <f aca="false">IF((72+$A9)&gt;=120,0,O9*(1-MIN(1,IFERROR(INDEX(Cohort_Survival!$B$5:$AA$65,(72+$A9)-59,72-59),1)*W9)))</f>
        <v>0.977815448032502</v>
      </c>
      <c r="P10" s="32" t="n">
        <f aca="false">IF((75+$A9)&gt;=120,0,P9*(1-MIN(1,IFERROR(INDEX(Cohort_Survival!$B$5:$AA$65,(75+$A9)-59,75-59),1)*X9)))</f>
        <v>0.967471650702114</v>
      </c>
      <c r="R10" s="11" t="n">
        <f aca="false">(1/(1+EXP(-(((CBD_Stochastic!$B$6+CBD_Stochastic!$B$8*(4+$A10))-CBD_Stochastic!$B$19*CBD_Stochastic!$B$17*SQRT((4+$A10)))+((CBD_Stochastic!$B$7+CBD_Stochastic!$B$9*(4+$A10))-CBD_Stochastic!$B$19*CBD_Stochastic!$B$13*CBD_Stochastic!$B$18*SQRT((4+$A10)))*((60+$A10)-CBD_Stochastic!$B$14)))))/(1/(1+EXP(-((CBD_Stochastic!$B$6+CBD_Stochastic!$B$8*(4+$A10))+(CBD_Stochastic!$B$7+CBD_Stochastic!$B$9*(4+$A10))*((60+$A10)-CBD_Stochastic!$B$14)))))</f>
        <v>0.935621947355418</v>
      </c>
      <c r="S10" s="11" t="n">
        <f aca="false">(1/(1+EXP(-(((CBD_Stochastic!$B$6+CBD_Stochastic!$B$8*(4+$A10))-CBD_Stochastic!$B$19*CBD_Stochastic!$B$17*SQRT((4+$A10)))+((CBD_Stochastic!$B$7+CBD_Stochastic!$B$9*(4+$A10))-CBD_Stochastic!$B$19*CBD_Stochastic!$B$13*CBD_Stochastic!$B$18*SQRT((4+$A10)))*((63+$A10)-CBD_Stochastic!$B$14)))))/(1/(1+EXP(-((CBD_Stochastic!$B$6+CBD_Stochastic!$B$8*(4+$A10))+(CBD_Stochastic!$B$7+CBD_Stochastic!$B$9*(4+$A10))*((63+$A10)-CBD_Stochastic!$B$14)))))</f>
        <v>0.920719228989166</v>
      </c>
      <c r="T10" s="11" t="n">
        <f aca="false">(1/(1+EXP(-(((CBD_Stochastic!$B$6+CBD_Stochastic!$B$8*(4+$A10))-CBD_Stochastic!$B$19*CBD_Stochastic!$B$17*SQRT((4+$A10)))+((CBD_Stochastic!$B$7+CBD_Stochastic!$B$9*(4+$A10))-CBD_Stochastic!$B$19*CBD_Stochastic!$B$13*CBD_Stochastic!$B$18*SQRT((4+$A10)))*((65+$A10)-CBD_Stochastic!$B$14)))))/(1/(1+EXP(-((CBD_Stochastic!$B$6+CBD_Stochastic!$B$8*(4+$A10))+(CBD_Stochastic!$B$7+CBD_Stochastic!$B$9*(4+$A10))*((65+$A10)-CBD_Stochastic!$B$14)))))</f>
        <v>0.910992539532896</v>
      </c>
      <c r="U10" s="11" t="n">
        <f aca="false">(1/(1+EXP(-(((CBD_Stochastic!$B$6+CBD_Stochastic!$B$8*(4+$A10))-CBD_Stochastic!$B$19*CBD_Stochastic!$B$17*SQRT((4+$A10)))+((CBD_Stochastic!$B$7+CBD_Stochastic!$B$9*(4+$A10))-CBD_Stochastic!$B$19*CBD_Stochastic!$B$13*CBD_Stochastic!$B$18*SQRT((4+$A10)))*((68+$A10)-CBD_Stochastic!$B$14)))))/(1/(1+EXP(-((CBD_Stochastic!$B$6+CBD_Stochastic!$B$8*(4+$A10))+(CBD_Stochastic!$B$7+CBD_Stochastic!$B$9*(4+$A10))*((68+$A10)-CBD_Stochastic!$B$14)))))</f>
        <v>0.896758998921164</v>
      </c>
      <c r="V10" s="11" t="n">
        <f aca="false">(1/(1+EXP(-(((CBD_Stochastic!$B$6+CBD_Stochastic!$B$8*(4+$A10))-CBD_Stochastic!$B$19*CBD_Stochastic!$B$17*SQRT((4+$A10)))+((CBD_Stochastic!$B$7+CBD_Stochastic!$B$9*(4+$A10))-CBD_Stochastic!$B$19*CBD_Stochastic!$B$13*CBD_Stochastic!$B$18*SQRT((4+$A10)))*((70+$A10)-CBD_Stochastic!$B$14)))))/(1/(1+EXP(-((CBD_Stochastic!$B$6+CBD_Stochastic!$B$8*(4+$A10))+(CBD_Stochastic!$B$7+CBD_Stochastic!$B$9*(4+$A10))*((70+$A10)-CBD_Stochastic!$B$14)))))</f>
        <v>0.887543108651883</v>
      </c>
      <c r="W10" s="11" t="n">
        <f aca="false">(1/(1+EXP(-(((CBD_Stochastic!$B$6+CBD_Stochastic!$B$8*(4+$A10))-CBD_Stochastic!$B$19*CBD_Stochastic!$B$17*SQRT((4+$A10)))+((CBD_Stochastic!$B$7+CBD_Stochastic!$B$9*(4+$A10))-CBD_Stochastic!$B$19*CBD_Stochastic!$B$13*CBD_Stochastic!$B$18*SQRT((4+$A10)))*((72+$A10)-CBD_Stochastic!$B$14)))))/(1/(1+EXP(-((CBD_Stochastic!$B$6+CBD_Stochastic!$B$8*(4+$A10))+(CBD_Stochastic!$B$7+CBD_Stochastic!$B$9*(4+$A10))*((72+$A10)-CBD_Stochastic!$B$14)))))</f>
        <v>0.878583424456292</v>
      </c>
      <c r="X10" s="11" t="n">
        <f aca="false">(1/(1+EXP(-(((CBD_Stochastic!$B$6+CBD_Stochastic!$B$8*(4+$A10))-CBD_Stochastic!$B$19*CBD_Stochastic!$B$17*SQRT((4+$A10)))+((CBD_Stochastic!$B$7+CBD_Stochastic!$B$9*(4+$A10))-CBD_Stochastic!$B$19*CBD_Stochastic!$B$13*CBD_Stochastic!$B$18*SQRT((4+$A10)))*((75+$A10)-CBD_Stochastic!$B$14)))))/(1/(1+EXP(-((CBD_Stochastic!$B$6+CBD_Stochastic!$B$8*(4+$A10))+(CBD_Stochastic!$B$7+CBD_Stochastic!$B$9*(4+$A10))*((75+$A10)-CBD_Stochastic!$B$14)))))</f>
        <v>0.865719989115044</v>
      </c>
    </row>
    <row r="11" customFormat="false" ht="15" hidden="false" customHeight="true" outlineLevel="0" collapsed="false">
      <c r="A11" s="1" t="n">
        <v>3</v>
      </c>
      <c r="B11" s="32" t="n">
        <f aca="false">IF((60+$A10)&gt;=120,0,B10*(1-MIN(1,IFERROR(INDEX(Cohort_Survival!$B$5:$AA$65,(60+$A10)-59,60-59),1)*(1-Assumptions!$B$21))))</f>
        <v>0.992442211507205</v>
      </c>
      <c r="C11" s="32" t="n">
        <f aca="false">IF((63+$A10)&gt;=120,0,C10*(1-MIN(1,IFERROR(INDEX(Cohort_Survival!$B$5:$AA$65,(63+$A10)-59,63-59),1)*(1-Assumptions!$B$21))))</f>
        <v>0.989438136682411</v>
      </c>
      <c r="D11" s="32" t="n">
        <f aca="false">IF((65+$A10)&gt;=120,0,D10*(1-MIN(1,IFERROR(INDEX(Cohort_Survival!$B$5:$AA$65,(65+$A10)-59,65-59),1)*(1-Assumptions!$B$21))))</f>
        <v>0.98647477750926</v>
      </c>
      <c r="E11" s="32" t="n">
        <f aca="false">IF((68+$A10)&gt;=120,0,E10*(1-MIN(1,IFERROR(INDEX(Cohort_Survival!$B$5:$AA$65,(68+$A10)-59,68-59),1)*(1-Assumptions!$B$21))))</f>
        <v>0.980887556874732</v>
      </c>
      <c r="F11" s="32" t="n">
        <f aca="false">IF((70+$A10)&gt;=120,0,F10*(1-MIN(1,IFERROR(INDEX(Cohort_Survival!$B$5:$AA$65,(70+$A10)-59,70-59),1)*(1-Assumptions!$B$21))))</f>
        <v>0.975438072330819</v>
      </c>
      <c r="G11" s="32" t="n">
        <f aca="false">IF((72+$A10)&gt;=120,0,G10*(1-MIN(1,IFERROR(INDEX(Cohort_Survival!$B$5:$AA$65,(72+$A10)-59,72-59),1)*(1-Assumptions!$B$21))))</f>
        <v>0.968958978447033</v>
      </c>
      <c r="H11" s="32" t="n">
        <f aca="false">IF((75+$A10)&gt;=120,0,H10*(1-MIN(1,IFERROR(INDEX(Cohort_Survival!$B$5:$AA$65,(75+$A10)-59,75-59),1)*(1-Assumptions!$B$21))))</f>
        <v>0.953842597916363</v>
      </c>
      <c r="J11" s="32" t="n">
        <f aca="false">IF((60+$A10)&gt;=120,0,J10*(1-MIN(1,IFERROR(INDEX(Cohort_Survival!$B$5:$AA$65,(60+$A10)-59,60-59),1)*R10)))</f>
        <v>0.99107569460027</v>
      </c>
      <c r="K11" s="32" t="n">
        <f aca="false">IF((63+$A10)&gt;=120,0,K10*(1-MIN(1,IFERROR(INDEX(Cohort_Survival!$B$5:$AA$65,(63+$A10)-59,63-59),1)*S10)))</f>
        <v>0.987714898701229</v>
      </c>
      <c r="L11" s="32" t="n">
        <f aca="false">IF((65+$A10)&gt;=120,0,L10*(1-MIN(1,IFERROR(INDEX(Cohort_Survival!$B$5:$AA$65,(65+$A10)-59,65-59),1)*T10)))</f>
        <v>0.984419432662538</v>
      </c>
      <c r="M11" s="32" t="n">
        <f aca="false">IF((68+$A10)&gt;=120,0,M10*(1-MIN(1,IFERROR(INDEX(Cohort_Survival!$B$5:$AA$65,(68+$A10)-59,68-59),1)*U10)))</f>
        <v>0.978307923601662</v>
      </c>
      <c r="N11" s="32" t="n">
        <f aca="false">IF((70+$A10)&gt;=120,0,N10*(1-MIN(1,IFERROR(INDEX(Cohort_Survival!$B$5:$AA$65,(70+$A10)-59,70-59),1)*V10)))</f>
        <v>0.972387190179579</v>
      </c>
      <c r="O11" s="32" t="n">
        <f aca="false">IF((72+$A10)&gt;=120,0,O10*(1-MIN(1,IFERROR(INDEX(Cohort_Survival!$B$5:$AA$65,(72+$A10)-59,72-59),1)*W10)))</f>
        <v>0.965435296025096</v>
      </c>
      <c r="P11" s="32" t="n">
        <f aca="false">IF((75+$A10)&gt;=120,0,P10*(1-MIN(1,IFERROR(INDEX(Cohort_Survival!$B$5:$AA$65,(75+$A10)-59,75-59),1)*X10)))</f>
        <v>0.949320999960315</v>
      </c>
      <c r="R11" s="11" t="n">
        <f aca="false">(1/(1+EXP(-(((CBD_Stochastic!$B$6+CBD_Stochastic!$B$8*(4+$A11))-CBD_Stochastic!$B$19*CBD_Stochastic!$B$17*SQRT((4+$A11)))+((CBD_Stochastic!$B$7+CBD_Stochastic!$B$9*(4+$A11))-CBD_Stochastic!$B$19*CBD_Stochastic!$B$13*CBD_Stochastic!$B$18*SQRT((4+$A11)))*((60+$A11)-CBD_Stochastic!$B$14)))))/(1/(1+EXP(-((CBD_Stochastic!$B$6+CBD_Stochastic!$B$8*(4+$A11))+(CBD_Stochastic!$B$7+CBD_Stochastic!$B$9*(4+$A11))*((60+$A11)-CBD_Stochastic!$B$14)))))</f>
        <v>0.925255330460751</v>
      </c>
      <c r="S11" s="11" t="n">
        <f aca="false">(1/(1+EXP(-(((CBD_Stochastic!$B$6+CBD_Stochastic!$B$8*(4+$A11))-CBD_Stochastic!$B$19*CBD_Stochastic!$B$17*SQRT((4+$A11)))+((CBD_Stochastic!$B$7+CBD_Stochastic!$B$9*(4+$A11))-CBD_Stochastic!$B$19*CBD_Stochastic!$B$13*CBD_Stochastic!$B$18*SQRT((4+$A11)))*((63+$A11)-CBD_Stochastic!$B$14)))))/(1/(1+EXP(-((CBD_Stochastic!$B$6+CBD_Stochastic!$B$8*(4+$A11))+(CBD_Stochastic!$B$7+CBD_Stochastic!$B$9*(4+$A11))*((63+$A11)-CBD_Stochastic!$B$14)))))</f>
        <v>0.90938331340589</v>
      </c>
      <c r="T11" s="11" t="n">
        <f aca="false">(1/(1+EXP(-(((CBD_Stochastic!$B$6+CBD_Stochastic!$B$8*(4+$A11))-CBD_Stochastic!$B$19*CBD_Stochastic!$B$17*SQRT((4+$A11)))+((CBD_Stochastic!$B$7+CBD_Stochastic!$B$9*(4+$A11))-CBD_Stochastic!$B$19*CBD_Stochastic!$B$13*CBD_Stochastic!$B$18*SQRT((4+$A11)))*((65+$A11)-CBD_Stochastic!$B$14)))))/(1/(1+EXP(-((CBD_Stochastic!$B$6+CBD_Stochastic!$B$8*(4+$A11))+(CBD_Stochastic!$B$7+CBD_Stochastic!$B$9*(4+$A11))*((65+$A11)-CBD_Stochastic!$B$14)))))</f>
        <v>0.899045004662457</v>
      </c>
      <c r="U11" s="11" t="n">
        <f aca="false">(1/(1+EXP(-(((CBD_Stochastic!$B$6+CBD_Stochastic!$B$8*(4+$A11))-CBD_Stochastic!$B$19*CBD_Stochastic!$B$17*SQRT((4+$A11)))+((CBD_Stochastic!$B$7+CBD_Stochastic!$B$9*(4+$A11))-CBD_Stochastic!$B$19*CBD_Stochastic!$B$13*CBD_Stochastic!$B$18*SQRT((4+$A11)))*((68+$A11)-CBD_Stochastic!$B$14)))))/(1/(1+EXP(-((CBD_Stochastic!$B$6+CBD_Stochastic!$B$8*(4+$A11))+(CBD_Stochastic!$B$7+CBD_Stochastic!$B$9*(4+$A11))*((68+$A11)-CBD_Stochastic!$B$14)))))</f>
        <v>0.883953567434964</v>
      </c>
      <c r="V11" s="11" t="n">
        <f aca="false">(1/(1+EXP(-(((CBD_Stochastic!$B$6+CBD_Stochastic!$B$8*(4+$A11))-CBD_Stochastic!$B$19*CBD_Stochastic!$B$17*SQRT((4+$A11)))+((CBD_Stochastic!$B$7+CBD_Stochastic!$B$9*(4+$A11))-CBD_Stochastic!$B$19*CBD_Stochastic!$B$13*CBD_Stochastic!$B$18*SQRT((4+$A11)))*((70+$A11)-CBD_Stochastic!$B$14)))))/(1/(1+EXP(-((CBD_Stochastic!$B$6+CBD_Stochastic!$B$8*(4+$A11))+(CBD_Stochastic!$B$7+CBD_Stochastic!$B$9*(4+$A11))*((70+$A11)-CBD_Stochastic!$B$14)))))</f>
        <v>0.874211556897843</v>
      </c>
      <c r="W11" s="11" t="n">
        <f aca="false">(1/(1+EXP(-(((CBD_Stochastic!$B$6+CBD_Stochastic!$B$8*(4+$A11))-CBD_Stochastic!$B$19*CBD_Stochastic!$B$17*SQRT((4+$A11)))+((CBD_Stochastic!$B$7+CBD_Stochastic!$B$9*(4+$A11))-CBD_Stochastic!$B$19*CBD_Stochastic!$B$13*CBD_Stochastic!$B$18*SQRT((4+$A11)))*((72+$A11)-CBD_Stochastic!$B$14)))))/(1/(1+EXP(-((CBD_Stochastic!$B$6+CBD_Stochastic!$B$8*(4+$A11))+(CBD_Stochastic!$B$7+CBD_Stochastic!$B$9*(4+$A11))*((72+$A11)-CBD_Stochastic!$B$14)))))</f>
        <v>0.864768802306397</v>
      </c>
      <c r="X11" s="11" t="n">
        <f aca="false">(1/(1+EXP(-(((CBD_Stochastic!$B$6+CBD_Stochastic!$B$8*(4+$A11))-CBD_Stochastic!$B$19*CBD_Stochastic!$B$17*SQRT((4+$A11)))+((CBD_Stochastic!$B$7+CBD_Stochastic!$B$9*(4+$A11))-CBD_Stochastic!$B$19*CBD_Stochastic!$B$13*CBD_Stochastic!$B$18*SQRT((4+$A11)))*((75+$A11)-CBD_Stochastic!$B$14)))))/(1/(1+EXP(-((CBD_Stochastic!$B$6+CBD_Stochastic!$B$8*(4+$A11))+(CBD_Stochastic!$B$7+CBD_Stochastic!$B$9*(4+$A11))*((75+$A11)-CBD_Stochastic!$B$14)))))</f>
        <v>0.851277348068439</v>
      </c>
    </row>
    <row r="12" customFormat="false" ht="15" hidden="false" customHeight="true" outlineLevel="0" collapsed="false">
      <c r="A12" s="1" t="n">
        <v>4</v>
      </c>
      <c r="B12" s="32" t="n">
        <f aca="false">IF((60+$A11)&gt;=120,0,B11*(1-MIN(1,IFERROR(INDEX(Cohort_Survival!$B$5:$AA$65,(60+$A11)-59,60-59),1)*(1-Assumptions!$B$21))))</f>
        <v>0.989497421165707</v>
      </c>
      <c r="C12" s="32" t="n">
        <f aca="false">IF((63+$A11)&gt;=120,0,C11*(1-MIN(1,IFERROR(INDEX(Cohort_Survival!$B$5:$AA$65,(63+$A11)-59,63-59),1)*(1-Assumptions!$B$21))))</f>
        <v>0.985161763593752</v>
      </c>
      <c r="D12" s="32" t="n">
        <f aca="false">IF((65+$A11)&gt;=120,0,D11*(1-MIN(1,IFERROR(INDEX(Cohort_Survival!$B$5:$AA$65,(65+$A11)-59,65-59),1)*(1-Assumptions!$B$21))))</f>
        <v>0.981144498899128</v>
      </c>
      <c r="E12" s="32" t="n">
        <f aca="false">IF((68+$A11)&gt;=120,0,E11*(1-MIN(1,IFERROR(INDEX(Cohort_Survival!$B$5:$AA$65,(68+$A11)-59,68-59),1)*(1-Assumptions!$B$21))))</f>
        <v>0.97312813248115</v>
      </c>
      <c r="F12" s="32" t="n">
        <f aca="false">IF((70+$A11)&gt;=120,0,F11*(1-MIN(1,IFERROR(INDEX(Cohort_Survival!$B$5:$AA$65,(70+$A11)-59,70-59),1)*(1-Assumptions!$B$21))))</f>
        <v>0.965650569936371</v>
      </c>
      <c r="G12" s="32" t="n">
        <f aca="false">IF((72+$A11)&gt;=120,0,G11*(1-MIN(1,IFERROR(INDEX(Cohort_Survival!$B$5:$AA$65,(72+$A11)-59,72-59),1)*(1-Assumptions!$B$21))))</f>
        <v>0.956106707472128</v>
      </c>
      <c r="H12" s="32" t="n">
        <f aca="false">IF((75+$A11)&gt;=120,0,H11*(1-MIN(1,IFERROR(INDEX(Cohort_Survival!$B$5:$AA$65,(75+$A11)-59,75-59),1)*(1-Assumptions!$B$21))))</f>
        <v>0.935358299358351</v>
      </c>
      <c r="J12" s="32" t="n">
        <f aca="false">IF((60+$A11)&gt;=120,0,J11*(1-MIN(1,IFERROR(INDEX(Cohort_Survival!$B$5:$AA$65,(60+$A11)-59,60-59),1)*R11)))</f>
        <v>0.987674530499236</v>
      </c>
      <c r="K12" s="32" t="n">
        <f aca="false">IF((63+$A11)&gt;=120,0,K11*(1-MIN(1,IFERROR(INDEX(Cohort_Survival!$B$5:$AA$65,(63+$A11)-59,63-59),1)*S11)))</f>
        <v>0.982862287003395</v>
      </c>
      <c r="L12" s="32" t="n">
        <f aca="false">IF((65+$A11)&gt;=120,0,L11*(1-MIN(1,IFERROR(INDEX(Cohort_Survival!$B$5:$AA$65,(65+$A11)-59,65-59),1)*T11)))</f>
        <v>0.978441712947466</v>
      </c>
      <c r="M12" s="32" t="n">
        <f aca="false">IF((68+$A11)&gt;=120,0,M11*(1-MIN(1,IFERROR(INDEX(Cohort_Survival!$B$5:$AA$65,(68+$A11)-59,68-59),1)*U11)))</f>
        <v>0.969756757993143</v>
      </c>
      <c r="N12" s="32" t="n">
        <f aca="false">IF((70+$A11)&gt;=120,0,N11*(1-MIN(1,IFERROR(INDEX(Cohort_Survival!$B$5:$AA$65,(70+$A11)-59,70-59),1)*V11)))</f>
        <v>0.961725207706749</v>
      </c>
      <c r="O12" s="32" t="n">
        <f aca="false">IF((72+$A11)&gt;=120,0,O11*(1-MIN(1,IFERROR(INDEX(Cohort_Survival!$B$5:$AA$65,(72+$A11)-59,72-59),1)*W11)))</f>
        <v>0.951593014388149</v>
      </c>
      <c r="P12" s="32" t="n">
        <f aca="false">IF((75+$A11)&gt;=120,0,P11*(1-MIN(1,IFERROR(INDEX(Cohort_Survival!$B$5:$AA$65,(75+$A11)-59,75-59),1)*X11)))</f>
        <v>0.929745158500983</v>
      </c>
      <c r="R12" s="11" t="n">
        <f aca="false">(1/(1+EXP(-(((CBD_Stochastic!$B$6+CBD_Stochastic!$B$8*(4+$A12))-CBD_Stochastic!$B$19*CBD_Stochastic!$B$17*SQRT((4+$A12)))+((CBD_Stochastic!$B$7+CBD_Stochastic!$B$9*(4+$A12))-CBD_Stochastic!$B$19*CBD_Stochastic!$B$13*CBD_Stochastic!$B$18*SQRT((4+$A12)))*((60+$A12)-CBD_Stochastic!$B$14)))))/(1/(1+EXP(-((CBD_Stochastic!$B$6+CBD_Stochastic!$B$8*(4+$A12))+(CBD_Stochastic!$B$7+CBD_Stochastic!$B$9*(4+$A12))*((60+$A12)-CBD_Stochastic!$B$14)))))</f>
        <v>0.914616347665744</v>
      </c>
      <c r="S12" s="11" t="n">
        <f aca="false">(1/(1+EXP(-(((CBD_Stochastic!$B$6+CBD_Stochastic!$B$8*(4+$A12))-CBD_Stochastic!$B$19*CBD_Stochastic!$B$17*SQRT((4+$A12)))+((CBD_Stochastic!$B$7+CBD_Stochastic!$B$9*(4+$A12))-CBD_Stochastic!$B$19*CBD_Stochastic!$B$13*CBD_Stochastic!$B$18*SQRT((4+$A12)))*((63+$A12)-CBD_Stochastic!$B$14)))))/(1/(1+EXP(-((CBD_Stochastic!$B$6+CBD_Stochastic!$B$8*(4+$A12))+(CBD_Stochastic!$B$7+CBD_Stochastic!$B$9*(4+$A12))*((63+$A12)-CBD_Stochastic!$B$14)))))</f>
        <v>0.897896683471952</v>
      </c>
      <c r="T12" s="11" t="n">
        <f aca="false">(1/(1+EXP(-(((CBD_Stochastic!$B$6+CBD_Stochastic!$B$8*(4+$A12))-CBD_Stochastic!$B$19*CBD_Stochastic!$B$17*SQRT((4+$A12)))+((CBD_Stochastic!$B$7+CBD_Stochastic!$B$9*(4+$A12))-CBD_Stochastic!$B$19*CBD_Stochastic!$B$13*CBD_Stochastic!$B$18*SQRT((4+$A12)))*((65+$A12)-CBD_Stochastic!$B$14)))))/(1/(1+EXP(-((CBD_Stochastic!$B$6+CBD_Stochastic!$B$8*(4+$A12))+(CBD_Stochastic!$B$7+CBD_Stochastic!$B$9*(4+$A12))*((65+$A12)-CBD_Stochastic!$B$14)))))</f>
        <v>0.88702886937927</v>
      </c>
      <c r="U12" s="11" t="n">
        <f aca="false">(1/(1+EXP(-(((CBD_Stochastic!$B$6+CBD_Stochastic!$B$8*(4+$A12))-CBD_Stochastic!$B$19*CBD_Stochastic!$B$17*SQRT((4+$A12)))+((CBD_Stochastic!$B$7+CBD_Stochastic!$B$9*(4+$A12))-CBD_Stochastic!$B$19*CBD_Stochastic!$B$13*CBD_Stochastic!$B$18*SQRT((4+$A12)))*((68+$A12)-CBD_Stochastic!$B$14)))))/(1/(1+EXP(-((CBD_Stochastic!$B$6+CBD_Stochastic!$B$8*(4+$A12))+(CBD_Stochastic!$B$7+CBD_Stochastic!$B$9*(4+$A12))*((68+$A12)-CBD_Stochastic!$B$14)))))</f>
        <v>0.871205071078916</v>
      </c>
      <c r="V12" s="11" t="n">
        <f aca="false">(1/(1+EXP(-(((CBD_Stochastic!$B$6+CBD_Stochastic!$B$8*(4+$A12))-CBD_Stochastic!$B$19*CBD_Stochastic!$B$17*SQRT((4+$A12)))+((CBD_Stochastic!$B$7+CBD_Stochastic!$B$9*(4+$A12))-CBD_Stochastic!$B$19*CBD_Stochastic!$B$13*CBD_Stochastic!$B$18*SQRT((4+$A12)))*((70+$A12)-CBD_Stochastic!$B$14)))))/(1/(1+EXP(-((CBD_Stochastic!$B$6+CBD_Stochastic!$B$8*(4+$A12))+(CBD_Stochastic!$B$7+CBD_Stochastic!$B$9*(4+$A12))*((70+$A12)-CBD_Stochastic!$B$14)))))</f>
        <v>0.861022845761683</v>
      </c>
      <c r="W12" s="11" t="n">
        <f aca="false">(1/(1+EXP(-(((CBD_Stochastic!$B$6+CBD_Stochastic!$B$8*(4+$A12))-CBD_Stochastic!$B$19*CBD_Stochastic!$B$17*SQRT((4+$A12)))+((CBD_Stochastic!$B$7+CBD_Stochastic!$B$9*(4+$A12))-CBD_Stochastic!$B$19*CBD_Stochastic!$B$13*CBD_Stochastic!$B$18*SQRT((4+$A12)))*((72+$A12)-CBD_Stochastic!$B$14)))))/(1/(1+EXP(-((CBD_Stochastic!$B$6+CBD_Stochastic!$B$8*(4+$A12))+(CBD_Stochastic!$B$7+CBD_Stochastic!$B$9*(4+$A12))*((72+$A12)-CBD_Stochastic!$B$14)))))</f>
        <v>0.851185328191609</v>
      </c>
      <c r="X12" s="11" t="n">
        <f aca="false">(1/(1+EXP(-(((CBD_Stochastic!$B$6+CBD_Stochastic!$B$8*(4+$A12))-CBD_Stochastic!$B$19*CBD_Stochastic!$B$17*SQRT((4+$A12)))+((CBD_Stochastic!$B$7+CBD_Stochastic!$B$9*(4+$A12))-CBD_Stochastic!$B$19*CBD_Stochastic!$B$13*CBD_Stochastic!$B$18*SQRT((4+$A12)))*((75+$A12)-CBD_Stochastic!$B$14)))))/(1/(1+EXP(-((CBD_Stochastic!$B$6+CBD_Stochastic!$B$8*(4+$A12))+(CBD_Stochastic!$B$7+CBD_Stochastic!$B$9*(4+$A12))*((75+$A12)-CBD_Stochastic!$B$14)))))</f>
        <v>0.83720425617062</v>
      </c>
    </row>
    <row r="13" customFormat="false" ht="15" hidden="false" customHeight="true" outlineLevel="0" collapsed="false">
      <c r="A13" s="1" t="n">
        <v>5</v>
      </c>
      <c r="B13" s="32" t="n">
        <f aca="false">IF((60+$A12)&gt;=120,0,B12*(1-MIN(1,IFERROR(INDEX(Cohort_Survival!$B$5:$AA$65,(60+$A12)-59,60-59),1)*(1-Assumptions!$B$21))))</f>
        <v>0.986295048078529</v>
      </c>
      <c r="C13" s="32" t="n">
        <f aca="false">IF((63+$A12)&gt;=120,0,C12*(1-MIN(1,IFERROR(INDEX(Cohort_Survival!$B$5:$AA$65,(63+$A12)-59,63-59),1)*(1-Assumptions!$B$21))))</f>
        <v>0.980495550247078</v>
      </c>
      <c r="D13" s="32" t="n">
        <f aca="false">IF((65+$A12)&gt;=120,0,D12*(1-MIN(1,IFERROR(INDEX(Cohort_Survival!$B$5:$AA$65,(65+$A12)-59,65-59),1)*(1-Assumptions!$B$21))))</f>
        <v>0.975314344336675</v>
      </c>
      <c r="E13" s="32" t="n">
        <f aca="false">IF((68+$A12)&gt;=120,0,E12*(1-MIN(1,IFERROR(INDEX(Cohort_Survival!$B$5:$AA$65,(68+$A12)-59,68-59),1)*(1-Assumptions!$B$21))))</f>
        <v>0.964614953743232</v>
      </c>
      <c r="F13" s="32" t="n">
        <f aca="false">IF((70+$A12)&gt;=120,0,F12*(1-MIN(1,IFERROR(INDEX(Cohort_Survival!$B$5:$AA$65,(70+$A12)-59,70-59),1)*(1-Assumptions!$B$21))))</f>
        <v>0.95489318027332</v>
      </c>
      <c r="G13" s="32" t="n">
        <f aca="false">IF((72+$A12)&gt;=120,0,G12*(1-MIN(1,IFERROR(INDEX(Cohort_Survival!$B$5:$AA$65,(72+$A12)-59,72-59),1)*(1-Assumptions!$B$21))))</f>
        <v>0.94196979267742</v>
      </c>
      <c r="H13" s="32" t="n">
        <f aca="false">IF((75+$A12)&gt;=120,0,H12*(1-MIN(1,IFERROR(INDEX(Cohort_Survival!$B$5:$AA$65,(75+$A12)-59,75-59),1)*(1-Assumptions!$B$21))))</f>
        <v>0.915055550953418</v>
      </c>
      <c r="J13" s="32" t="n">
        <f aca="false">IF((60+$A12)&gt;=120,0,J12*(1-MIN(1,IFERROR(INDEX(Cohort_Survival!$B$5:$AA$65,(60+$A12)-59,60-59),1)*R12)))</f>
        <v>0.984020096793659</v>
      </c>
      <c r="K13" s="32" t="n">
        <f aca="false">IF((63+$A12)&gt;=120,0,K12*(1-MIN(1,IFERROR(INDEX(Cohort_Survival!$B$5:$AA$65,(63+$A12)-59,63-59),1)*S12)))</f>
        <v>0.977637289398415</v>
      </c>
      <c r="L13" s="32" t="n">
        <f aca="false">IF((65+$A12)&gt;=120,0,L12*(1-MIN(1,IFERROR(INDEX(Cohort_Survival!$B$5:$AA$65,(65+$A12)-59,65-59),1)*T12)))</f>
        <v>0.971995126331256</v>
      </c>
      <c r="M13" s="32" t="n">
        <f aca="false">IF((68+$A12)&gt;=120,0,M12*(1-MIN(1,IFERROR(INDEX(Cohort_Survival!$B$5:$AA$65,(68+$A12)-59,68-59),1)*U12)))</f>
        <v>0.960517971170225</v>
      </c>
      <c r="N13" s="32" t="n">
        <f aca="false">IF((70+$A12)&gt;=120,0,N12*(1-MIN(1,IFERROR(INDEX(Cohort_Survival!$B$5:$AA$65,(70+$A12)-59,70-59),1)*V12)))</f>
        <v>0.95019432415088</v>
      </c>
      <c r="O13" s="32" t="n">
        <f aca="false">IF((72+$A12)&gt;=120,0,O12*(1-MIN(1,IFERROR(INDEX(Cohort_Survival!$B$5:$AA$65,(72+$A12)-59,72-59),1)*W12)))</f>
        <v>0.936622605485262</v>
      </c>
      <c r="P13" s="32" t="n">
        <f aca="false">IF((75+$A12)&gt;=120,0,P12*(1-MIN(1,IFERROR(INDEX(Cohort_Survival!$B$5:$AA$65,(75+$A12)-59,75-59),1)*X12)))</f>
        <v>0.908625728397836</v>
      </c>
      <c r="R13" s="11" t="n">
        <f aca="false">(1/(1+EXP(-(((CBD_Stochastic!$B$6+CBD_Stochastic!$B$8*(4+$A13))-CBD_Stochastic!$B$19*CBD_Stochastic!$B$17*SQRT((4+$A13)))+((CBD_Stochastic!$B$7+CBD_Stochastic!$B$9*(4+$A13))-CBD_Stochastic!$B$19*CBD_Stochastic!$B$13*CBD_Stochastic!$B$18*SQRT((4+$A13)))*((60+$A13)-CBD_Stochastic!$B$14)))))/(1/(1+EXP(-((CBD_Stochastic!$B$6+CBD_Stochastic!$B$8*(4+$A13))+(CBD_Stochastic!$B$7+CBD_Stochastic!$B$9*(4+$A13))*((60+$A13)-CBD_Stochastic!$B$14)))))</f>
        <v>0.903725142909843</v>
      </c>
      <c r="S13" s="11" t="n">
        <f aca="false">(1/(1+EXP(-(((CBD_Stochastic!$B$6+CBD_Stochastic!$B$8*(4+$A13))-CBD_Stochastic!$B$19*CBD_Stochastic!$B$17*SQRT((4+$A13)))+((CBD_Stochastic!$B$7+CBD_Stochastic!$B$9*(4+$A13))-CBD_Stochastic!$B$19*CBD_Stochastic!$B$13*CBD_Stochastic!$B$18*SQRT((4+$A13)))*((63+$A13)-CBD_Stochastic!$B$14)))))/(1/(1+EXP(-((CBD_Stochastic!$B$6+CBD_Stochastic!$B$8*(4+$A13))+(CBD_Stochastic!$B$7+CBD_Stochastic!$B$9*(4+$A13))*((63+$A13)-CBD_Stochastic!$B$14)))))</f>
        <v>0.886263213454074</v>
      </c>
      <c r="T13" s="11" t="n">
        <f aca="false">(1/(1+EXP(-(((CBD_Stochastic!$B$6+CBD_Stochastic!$B$8*(4+$A13))-CBD_Stochastic!$B$19*CBD_Stochastic!$B$17*SQRT((4+$A13)))+((CBD_Stochastic!$B$7+CBD_Stochastic!$B$9*(4+$A13))-CBD_Stochastic!$B$19*CBD_Stochastic!$B$13*CBD_Stochastic!$B$18*SQRT((4+$A13)))*((65+$A13)-CBD_Stochastic!$B$14)))))/(1/(1+EXP(-((CBD_Stochastic!$B$6+CBD_Stochastic!$B$8*(4+$A13))+(CBD_Stochastic!$B$7+CBD_Stochastic!$B$9*(4+$A13))*((65+$A13)-CBD_Stochastic!$B$14)))))</f>
        <v>0.874937376881942</v>
      </c>
      <c r="U13" s="11" t="n">
        <f aca="false">(1/(1+EXP(-(((CBD_Stochastic!$B$6+CBD_Stochastic!$B$8*(4+$A13))-CBD_Stochastic!$B$19*CBD_Stochastic!$B$17*SQRT((4+$A13)))+((CBD_Stochastic!$B$7+CBD_Stochastic!$B$9*(4+$A13))-CBD_Stochastic!$B$19*CBD_Stochastic!$B$13*CBD_Stochastic!$B$18*SQRT((4+$A13)))*((68+$A13)-CBD_Stochastic!$B$14)))))/(1/(1+EXP(-((CBD_Stochastic!$B$6+CBD_Stochastic!$B$8*(4+$A13))+(CBD_Stochastic!$B$7+CBD_Stochastic!$B$9*(4+$A13))*((68+$A13)-CBD_Stochastic!$B$14)))))</f>
        <v>0.858491257077012</v>
      </c>
      <c r="V13" s="11" t="n">
        <f aca="false">(1/(1+EXP(-(((CBD_Stochastic!$B$6+CBD_Stochastic!$B$8*(4+$A13))-CBD_Stochastic!$B$19*CBD_Stochastic!$B$17*SQRT((4+$A13)))+((CBD_Stochastic!$B$7+CBD_Stochastic!$B$9*(4+$A13))-CBD_Stochastic!$B$19*CBD_Stochastic!$B$13*CBD_Stochastic!$B$18*SQRT((4+$A13)))*((70+$A13)-CBD_Stochastic!$B$14)))))/(1/(1+EXP(-((CBD_Stochastic!$B$6+CBD_Stochastic!$B$8*(4+$A13))+(CBD_Stochastic!$B$7+CBD_Stochastic!$B$9*(4+$A13))*((70+$A13)-CBD_Stochastic!$B$14)))))</f>
        <v>0.847944783437224</v>
      </c>
      <c r="W13" s="11" t="n">
        <f aca="false">(1/(1+EXP(-(((CBD_Stochastic!$B$6+CBD_Stochastic!$B$8*(4+$A13))-CBD_Stochastic!$B$19*CBD_Stochastic!$B$17*SQRT((4+$A13)))+((CBD_Stochastic!$B$7+CBD_Stochastic!$B$9*(4+$A13))-CBD_Stochastic!$B$19*CBD_Stochastic!$B$13*CBD_Stochastic!$B$18*SQRT((4+$A13)))*((72+$A13)-CBD_Stochastic!$B$14)))))/(1/(1+EXP(-((CBD_Stochastic!$B$6+CBD_Stochastic!$B$8*(4+$A13))+(CBD_Stochastic!$B$7+CBD_Stochastic!$B$9*(4+$A13))*((72+$A13)-CBD_Stochastic!$B$14)))))</f>
        <v>0.837791269108235</v>
      </c>
      <c r="X13" s="11" t="n">
        <f aca="false">(1/(1+EXP(-(((CBD_Stochastic!$B$6+CBD_Stochastic!$B$8*(4+$A13))-CBD_Stochastic!$B$19*CBD_Stochastic!$B$17*SQRT((4+$A13)))+((CBD_Stochastic!$B$7+CBD_Stochastic!$B$9*(4+$A13))-CBD_Stochastic!$B$19*CBD_Stochastic!$B$13*CBD_Stochastic!$B$18*SQRT((4+$A13)))*((75+$A13)-CBD_Stochastic!$B$14)))))/(1/(1+EXP(-((CBD_Stochastic!$B$6+CBD_Stochastic!$B$8*(4+$A13))+(CBD_Stochastic!$B$7+CBD_Stochastic!$B$9*(4+$A13))*((75+$A13)-CBD_Stochastic!$B$14)))))</f>
        <v>0.823445589233046</v>
      </c>
    </row>
    <row r="14" customFormat="false" ht="15" hidden="false" customHeight="true" outlineLevel="0" collapsed="false">
      <c r="A14" s="1" t="n">
        <v>6</v>
      </c>
      <c r="B14" s="32" t="n">
        <f aca="false">IF((60+$A13)&gt;=120,0,B13*(1-MIN(1,IFERROR(INDEX(Cohort_Survival!$B$5:$AA$65,(60+$A13)-59,60-59),1)*(1-Assumptions!$B$21))))</f>
        <v>0.982623536306212</v>
      </c>
      <c r="C14" s="32" t="n">
        <f aca="false">IF((63+$A13)&gt;=120,0,C13*(1-MIN(1,IFERROR(INDEX(Cohort_Survival!$B$5:$AA$65,(63+$A13)-59,63-59),1)*(1-Assumptions!$B$21))))</f>
        <v>0.975389996259975</v>
      </c>
      <c r="D14" s="32" t="n">
        <f aca="false">IF((65+$A13)&gt;=120,0,D13*(1-MIN(1,IFERROR(INDEX(Cohort_Survival!$B$5:$AA$65,(65+$A13)-59,65-59),1)*(1-Assumptions!$B$21))))</f>
        <v>0.968687017438043</v>
      </c>
      <c r="E14" s="32" t="n">
        <f aca="false">IF((68+$A13)&gt;=120,0,E13*(1-MIN(1,IFERROR(INDEX(Cohort_Survival!$B$5:$AA$65,(68+$A13)-59,68-59),1)*(1-Assumptions!$B$21))))</f>
        <v>0.955254521916201</v>
      </c>
      <c r="F14" s="32" t="n">
        <f aca="false">IF((70+$A13)&gt;=120,0,F13*(1-MIN(1,IFERROR(INDEX(Cohort_Survival!$B$5:$AA$65,(70+$A13)-59,70-59),1)*(1-Assumptions!$B$21))))</f>
        <v>0.942630676250842</v>
      </c>
      <c r="G14" s="32" t="n">
        <f aca="false">IF((72+$A13)&gt;=120,0,G13*(1-MIN(1,IFERROR(INDEX(Cohort_Survival!$B$5:$AA$65,(72+$A13)-59,72-59),1)*(1-Assumptions!$B$21))))</f>
        <v>0.926403818327616</v>
      </c>
      <c r="H14" s="32" t="n">
        <f aca="false">IF((75+$A13)&gt;=120,0,H13*(1-MIN(1,IFERROR(INDEX(Cohort_Survival!$B$5:$AA$65,(75+$A13)-59,75-59),1)*(1-Assumptions!$B$21))))</f>
        <v>0.892019113051512</v>
      </c>
      <c r="J14" s="32" t="n">
        <f aca="false">IF((60+$A13)&gt;=120,0,J13*(1-MIN(1,IFERROR(INDEX(Cohort_Survival!$B$5:$AA$65,(60+$A13)-59,60-59),1)*R13)))</f>
        <v>0.979882116493811</v>
      </c>
      <c r="K14" s="32" t="n">
        <f aca="false">IF((63+$A13)&gt;=120,0,K13*(1-MIN(1,IFERROR(INDEX(Cohort_Survival!$B$5:$AA$65,(63+$A13)-59,63-59),1)*S13)))</f>
        <v>0.971997696691264</v>
      </c>
      <c r="L14" s="32" t="n">
        <f aca="false">IF((65+$A13)&gt;=120,0,L13*(1-MIN(1,IFERROR(INDEX(Cohort_Survival!$B$5:$AA$65,(65+$A13)-59,65-59),1)*T13)))</f>
        <v>0.964771673327541</v>
      </c>
      <c r="M14" s="32" t="n">
        <f aca="false">IF((68+$A13)&gt;=120,0,M13*(1-MIN(1,IFERROR(INDEX(Cohort_Survival!$B$5:$AA$65,(68+$A13)-59,68-59),1)*U13)))</f>
        <v>0.950515823112816</v>
      </c>
      <c r="N14" s="32" t="n">
        <f aca="false">IF((70+$A13)&gt;=120,0,N13*(1-MIN(1,IFERROR(INDEX(Cohort_Survival!$B$5:$AA$65,(70+$A13)-59,70-59),1)*V13)))</f>
        <v>0.937260874140238</v>
      </c>
      <c r="O14" s="32" t="n">
        <f aca="false">IF((72+$A13)&gt;=120,0,O13*(1-MIN(1,IFERROR(INDEX(Cohort_Survival!$B$5:$AA$65,(72+$A13)-59,72-59),1)*W13)))</f>
        <v>0.920413844695033</v>
      </c>
      <c r="P14" s="32" t="n">
        <f aca="false">IF((75+$A13)&gt;=120,0,P13*(1-MIN(1,IFERROR(INDEX(Cohort_Survival!$B$5:$AA$65,(75+$A13)-59,75-59),1)*X13)))</f>
        <v>0.885080776029005</v>
      </c>
      <c r="R14" s="11" t="n">
        <f aca="false">(1/(1+EXP(-(((CBD_Stochastic!$B$6+CBD_Stochastic!$B$8*(4+$A14))-CBD_Stochastic!$B$19*CBD_Stochastic!$B$17*SQRT((4+$A14)))+((CBD_Stochastic!$B$7+CBD_Stochastic!$B$9*(4+$A14))-CBD_Stochastic!$B$19*CBD_Stochastic!$B$13*CBD_Stochastic!$B$18*SQRT((4+$A14)))*((60+$A14)-CBD_Stochastic!$B$14)))))/(1/(1+EXP(-((CBD_Stochastic!$B$6+CBD_Stochastic!$B$8*(4+$A14))+(CBD_Stochastic!$B$7+CBD_Stochastic!$B$9*(4+$A14))*((60+$A14)-CBD_Stochastic!$B$14)))))</f>
        <v>0.89260412459743</v>
      </c>
      <c r="S14" s="11" t="n">
        <f aca="false">(1/(1+EXP(-(((CBD_Stochastic!$B$6+CBD_Stochastic!$B$8*(4+$A14))-CBD_Stochastic!$B$19*CBD_Stochastic!$B$17*SQRT((4+$A14)))+((CBD_Stochastic!$B$7+CBD_Stochastic!$B$9*(4+$A14))-CBD_Stochastic!$B$19*CBD_Stochastic!$B$13*CBD_Stochastic!$B$18*SQRT((4+$A14)))*((63+$A14)-CBD_Stochastic!$B$14)))))/(1/(1+EXP(-((CBD_Stochastic!$B$6+CBD_Stochastic!$B$8*(4+$A14))+(CBD_Stochastic!$B$7+CBD_Stochastic!$B$9*(4+$A14))*((63+$A14)-CBD_Stochastic!$B$14)))))</f>
        <v>0.874493612819152</v>
      </c>
      <c r="T14" s="11" t="n">
        <f aca="false">(1/(1+EXP(-(((CBD_Stochastic!$B$6+CBD_Stochastic!$B$8*(4+$A14))-CBD_Stochastic!$B$19*CBD_Stochastic!$B$17*SQRT((4+$A14)))+((CBD_Stochastic!$B$7+CBD_Stochastic!$B$9*(4+$A14))-CBD_Stochastic!$B$19*CBD_Stochastic!$B$13*CBD_Stochastic!$B$18*SQRT((4+$A14)))*((65+$A14)-CBD_Stochastic!$B$14)))))/(1/(1+EXP(-((CBD_Stochastic!$B$6+CBD_Stochastic!$B$8*(4+$A14))+(CBD_Stochastic!$B$7+CBD_Stochastic!$B$9*(4+$A14))*((65+$A14)-CBD_Stochastic!$B$14)))))</f>
        <v>0.862773670362242</v>
      </c>
      <c r="U14" s="11" t="n">
        <f aca="false">(1/(1+EXP(-(((CBD_Stochastic!$B$6+CBD_Stochastic!$B$8*(4+$A14))-CBD_Stochastic!$B$19*CBD_Stochastic!$B$17*SQRT((4+$A14)))+((CBD_Stochastic!$B$7+CBD_Stochastic!$B$9*(4+$A14))-CBD_Stochastic!$B$19*CBD_Stochastic!$B$13*CBD_Stochastic!$B$18*SQRT((4+$A14)))*((68+$A14)-CBD_Stochastic!$B$14)))))/(1/(1+EXP(-((CBD_Stochastic!$B$6+CBD_Stochastic!$B$8*(4+$A14))+(CBD_Stochastic!$B$7+CBD_Stochastic!$B$9*(4+$A14))*((68+$A14)-CBD_Stochastic!$B$14)))))</f>
        <v>0.845804399377806</v>
      </c>
      <c r="V14" s="11" t="n">
        <f aca="false">(1/(1+EXP(-(((CBD_Stochastic!$B$6+CBD_Stochastic!$B$8*(4+$A14))-CBD_Stochastic!$B$19*CBD_Stochastic!$B$17*SQRT((4+$A14)))+((CBD_Stochastic!$B$7+CBD_Stochastic!$B$9*(4+$A14))-CBD_Stochastic!$B$19*CBD_Stochastic!$B$13*CBD_Stochastic!$B$18*SQRT((4+$A14)))*((70+$A14)-CBD_Stochastic!$B$14)))))/(1/(1+EXP(-((CBD_Stochastic!$B$6+CBD_Stochastic!$B$8*(4+$A14))+(CBD_Stochastic!$B$7+CBD_Stochastic!$B$9*(4+$A14))*((70+$A14)-CBD_Stochastic!$B$14)))))</f>
        <v>0.834962809418311</v>
      </c>
      <c r="W14" s="11" t="n">
        <f aca="false">(1/(1+EXP(-(((CBD_Stochastic!$B$6+CBD_Stochastic!$B$8*(4+$A14))-CBD_Stochastic!$B$19*CBD_Stochastic!$B$17*SQRT((4+$A14)))+((CBD_Stochastic!$B$7+CBD_Stochastic!$B$9*(4+$A14))-CBD_Stochastic!$B$19*CBD_Stochastic!$B$13*CBD_Stochastic!$B$18*SQRT((4+$A14)))*((72+$A14)-CBD_Stochastic!$B$14)))))/(1/(1+EXP(-((CBD_Stochastic!$B$6+CBD_Stochastic!$B$8*(4+$A14))+(CBD_Stochastic!$B$7+CBD_Stochastic!$B$9*(4+$A14))*((72+$A14)-CBD_Stochastic!$B$14)))))</f>
        <v>0.824565641963038</v>
      </c>
      <c r="X14" s="11" t="n">
        <f aca="false">(1/(1+EXP(-(((CBD_Stochastic!$B$6+CBD_Stochastic!$B$8*(4+$A14))-CBD_Stochastic!$B$19*CBD_Stochastic!$B$17*SQRT((4+$A14)))+((CBD_Stochastic!$B$7+CBD_Stochastic!$B$9*(4+$A14))-CBD_Stochastic!$B$19*CBD_Stochastic!$B$13*CBD_Stochastic!$B$18*SQRT((4+$A14)))*((75+$A14)-CBD_Stochastic!$B$14)))))/(1/(1+EXP(-((CBD_Stochastic!$B$6+CBD_Stochastic!$B$8*(4+$A14))+(CBD_Stochastic!$B$7+CBD_Stochastic!$B$9*(4+$A14))*((75+$A14)-CBD_Stochastic!$B$14)))))</f>
        <v>0.809971663613141</v>
      </c>
    </row>
    <row r="15" customFormat="false" ht="15" hidden="false" customHeight="true" outlineLevel="0" collapsed="false">
      <c r="A15" s="1" t="n">
        <v>7</v>
      </c>
      <c r="B15" s="32" t="n">
        <f aca="false">IF((60+$A14)&gt;=120,0,B14*(1-MIN(1,IFERROR(INDEX(Cohort_Survival!$B$5:$AA$65,(60+$A14)-59,60-59),1)*(1-Assumptions!$B$21))))</f>
        <v>0.97860951846309</v>
      </c>
      <c r="C15" s="32" t="n">
        <f aca="false">IF((63+$A14)&gt;=120,0,C14*(1-MIN(1,IFERROR(INDEX(Cohort_Survival!$B$5:$AA$65,(63+$A14)-59,63-59),1)*(1-Assumptions!$B$21))))</f>
        <v>0.969789960418196</v>
      </c>
      <c r="D15" s="32" t="n">
        <f aca="false">IF((65+$A14)&gt;=120,0,D14*(1-MIN(1,IFERROR(INDEX(Cohort_Survival!$B$5:$AA$65,(65+$A14)-59,65-59),1)*(1-Assumptions!$B$21))))</f>
        <v>0.961404877031763</v>
      </c>
      <c r="E15" s="32" t="n">
        <f aca="false">IF((68+$A14)&gt;=120,0,E14*(1-MIN(1,IFERROR(INDEX(Cohort_Survival!$B$5:$AA$65,(68+$A14)-59,68-59),1)*(1-Assumptions!$B$21))))</f>
        <v>0.944944957471771</v>
      </c>
      <c r="F15" s="32" t="n">
        <f aca="false">IF((70+$A14)&gt;=120,0,F14*(1-MIN(1,IFERROR(INDEX(Cohort_Survival!$B$5:$AA$65,(70+$A14)-59,70-59),1)*(1-Assumptions!$B$21))))</f>
        <v>0.92911838636986</v>
      </c>
      <c r="G15" s="32" t="n">
        <f aca="false">IF((72+$A14)&gt;=120,0,G14*(1-MIN(1,IFERROR(INDEX(Cohort_Survival!$B$5:$AA$65,(72+$A14)-59,72-59),1)*(1-Assumptions!$B$21))))</f>
        <v>0.909262961019736</v>
      </c>
      <c r="H15" s="32" t="n">
        <f aca="false">IF((75+$A14)&gt;=120,0,H14*(1-MIN(1,IFERROR(INDEX(Cohort_Survival!$B$5:$AA$65,(75+$A14)-59,75-59),1)*(1-Assumptions!$B$21))))</f>
        <v>0.866816514135069</v>
      </c>
      <c r="J15" s="32" t="n">
        <f aca="false">IF((60+$A14)&gt;=120,0,J14*(1-MIN(1,IFERROR(INDEX(Cohort_Survival!$B$5:$AA$65,(60+$A14)-59,60-59),1)*R14)))</f>
        <v>0.975415950399448</v>
      </c>
      <c r="K15" s="32" t="n">
        <f aca="false">IF((63+$A14)&gt;=120,0,K14*(1-MIN(1,IFERROR(INDEX(Cohort_Survival!$B$5:$AA$65,(63+$A14)-59,63-59),1)*S14)))</f>
        <v>0.965897492109523</v>
      </c>
      <c r="L15" s="32" t="n">
        <f aca="false">IF((65+$A14)&gt;=120,0,L14*(1-MIN(1,IFERROR(INDEX(Cohort_Survival!$B$5:$AA$65,(65+$A14)-59,65-59),1)*T14)))</f>
        <v>0.956949867893546</v>
      </c>
      <c r="M15" s="32" t="n">
        <f aca="false">IF((68+$A14)&gt;=120,0,M14*(1-MIN(1,IFERROR(INDEX(Cohort_Survival!$B$5:$AA$65,(68+$A14)-59,68-59),1)*U14)))</f>
        <v>0.939670049895421</v>
      </c>
      <c r="N15" s="32" t="n">
        <f aca="false">IF((70+$A14)&gt;=120,0,N14*(1-MIN(1,IFERROR(INDEX(Cohort_Survival!$B$5:$AA$65,(70+$A14)-59,70-59),1)*V14)))</f>
        <v>0.923238388071377</v>
      </c>
      <c r="O15" s="32" t="n">
        <f aca="false">IF((72+$A14)&gt;=120,0,O14*(1-MIN(1,IFERROR(INDEX(Cohort_Survival!$B$5:$AA$65,(72+$A14)-59,72-59),1)*W14)))</f>
        <v>0.90286087538761</v>
      </c>
      <c r="P15" s="32" t="n">
        <f aca="false">IF((75+$A14)&gt;=120,0,P14*(1-MIN(1,IFERROR(INDEX(Cohort_Survival!$B$5:$AA$65,(75+$A14)-59,75-59),1)*X14)))</f>
        <v>0.859762512582788</v>
      </c>
      <c r="R15" s="11" t="n">
        <f aca="false">(1/(1+EXP(-(((CBD_Stochastic!$B$6+CBD_Stochastic!$B$8*(4+$A15))-CBD_Stochastic!$B$19*CBD_Stochastic!$B$17*SQRT((4+$A15)))+((CBD_Stochastic!$B$7+CBD_Stochastic!$B$9*(4+$A15))-CBD_Stochastic!$B$19*CBD_Stochastic!$B$13*CBD_Stochastic!$B$18*SQRT((4+$A15)))*((60+$A15)-CBD_Stochastic!$B$14)))))/(1/(1+EXP(-((CBD_Stochastic!$B$6+CBD_Stochastic!$B$8*(4+$A15))+(CBD_Stochastic!$B$7+CBD_Stochastic!$B$9*(4+$A15))*((60+$A15)-CBD_Stochastic!$B$14)))))</f>
        <v>0.881276575552842</v>
      </c>
      <c r="S15" s="11" t="n">
        <f aca="false">(1/(1+EXP(-(((CBD_Stochastic!$B$6+CBD_Stochastic!$B$8*(4+$A15))-CBD_Stochastic!$B$19*CBD_Stochastic!$B$17*SQRT((4+$A15)))+((CBD_Stochastic!$B$7+CBD_Stochastic!$B$9*(4+$A15))-CBD_Stochastic!$B$19*CBD_Stochastic!$B$13*CBD_Stochastic!$B$18*SQRT((4+$A15)))*((63+$A15)-CBD_Stochastic!$B$14)))))/(1/(1+EXP(-((CBD_Stochastic!$B$6+CBD_Stochastic!$B$8*(4+$A15))+(CBD_Stochastic!$B$7+CBD_Stochastic!$B$9*(4+$A15))*((63+$A15)-CBD_Stochastic!$B$14)))))</f>
        <v>0.862602512001796</v>
      </c>
      <c r="T15" s="11" t="n">
        <f aca="false">(1/(1+EXP(-(((CBD_Stochastic!$B$6+CBD_Stochastic!$B$8*(4+$A15))-CBD_Stochastic!$B$19*CBD_Stochastic!$B$17*SQRT((4+$A15)))+((CBD_Stochastic!$B$7+CBD_Stochastic!$B$9*(4+$A15))-CBD_Stochastic!$B$19*CBD_Stochastic!$B$13*CBD_Stochastic!$B$18*SQRT((4+$A15)))*((65+$A15)-CBD_Stochastic!$B$14)))))/(1/(1+EXP(-((CBD_Stochastic!$B$6+CBD_Stochastic!$B$8*(4+$A15))+(CBD_Stochastic!$B$7+CBD_Stochastic!$B$9*(4+$A15))*((65+$A15)-CBD_Stochastic!$B$14)))))</f>
        <v>0.850546867772756</v>
      </c>
      <c r="U15" s="11" t="n">
        <f aca="false">(1/(1+EXP(-(((CBD_Stochastic!$B$6+CBD_Stochastic!$B$8*(4+$A15))-CBD_Stochastic!$B$19*CBD_Stochastic!$B$17*SQRT((4+$A15)))+((CBD_Stochastic!$B$7+CBD_Stochastic!$B$9*(4+$A15))-CBD_Stochastic!$B$19*CBD_Stochastic!$B$13*CBD_Stochastic!$B$18*SQRT((4+$A15)))*((68+$A15)-CBD_Stochastic!$B$14)))))/(1/(1+EXP(-((CBD_Stochastic!$B$6+CBD_Stochastic!$B$8*(4+$A15))+(CBD_Stochastic!$B$7+CBD_Stochastic!$B$9*(4+$A15))*((68+$A15)-CBD_Stochastic!$B$14)))))</f>
        <v>0.833145867165474</v>
      </c>
      <c r="V15" s="11" t="n">
        <f aca="false">(1/(1+EXP(-(((CBD_Stochastic!$B$6+CBD_Stochastic!$B$8*(4+$A15))-CBD_Stochastic!$B$19*CBD_Stochastic!$B$17*SQRT((4+$A15)))+((CBD_Stochastic!$B$7+CBD_Stochastic!$B$9*(4+$A15))-CBD_Stochastic!$B$19*CBD_Stochastic!$B$13*CBD_Stochastic!$B$18*SQRT((4+$A15)))*((70+$A15)-CBD_Stochastic!$B$14)))))/(1/(1+EXP(-((CBD_Stochastic!$B$6+CBD_Stochastic!$B$8*(4+$A15))+(CBD_Stochastic!$B$7+CBD_Stochastic!$B$9*(4+$A15))*((70+$A15)-CBD_Stochastic!$B$14)))))</f>
        <v>0.82207356724658</v>
      </c>
      <c r="W15" s="11" t="n">
        <f aca="false">(1/(1+EXP(-(((CBD_Stochastic!$B$6+CBD_Stochastic!$B$8*(4+$A15))-CBD_Stochastic!$B$19*CBD_Stochastic!$B$17*SQRT((4+$A15)))+((CBD_Stochastic!$B$7+CBD_Stochastic!$B$9*(4+$A15))-CBD_Stochastic!$B$19*CBD_Stochastic!$B$13*CBD_Stochastic!$B$18*SQRT((4+$A15)))*((72+$A15)-CBD_Stochastic!$B$14)))))/(1/(1+EXP(-((CBD_Stochastic!$B$6+CBD_Stochastic!$B$8*(4+$A15))+(CBD_Stochastic!$B$7+CBD_Stochastic!$B$9*(4+$A15))*((72+$A15)-CBD_Stochastic!$B$14)))))</f>
        <v>0.811500798444231</v>
      </c>
      <c r="X15" s="11" t="n">
        <f aca="false">(1/(1+EXP(-(((CBD_Stochastic!$B$6+CBD_Stochastic!$B$8*(4+$A15))-CBD_Stochastic!$B$19*CBD_Stochastic!$B$17*SQRT((4+$A15)))+((CBD_Stochastic!$B$7+CBD_Stochastic!$B$9*(4+$A15))-CBD_Stochastic!$B$19*CBD_Stochastic!$B$13*CBD_Stochastic!$B$18*SQRT((4+$A15)))*((75+$A15)-CBD_Stochastic!$B$14)))))/(1/(1+EXP(-((CBD_Stochastic!$B$6+CBD_Stochastic!$B$8*(4+$A15))+(CBD_Stochastic!$B$7+CBD_Stochastic!$B$9*(4+$A15))*((75+$A15)-CBD_Stochastic!$B$14)))))</f>
        <v>0.796769355402198</v>
      </c>
    </row>
    <row r="16" customFormat="false" ht="15" hidden="false" customHeight="true" outlineLevel="0" collapsed="false">
      <c r="A16" s="1" t="n">
        <v>8</v>
      </c>
      <c r="B16" s="32" t="n">
        <f aca="false">IF((60+$A15)&gt;=120,0,B15*(1-MIN(1,IFERROR(INDEX(Cohort_Survival!$B$5:$AA$65,(60+$A15)-59,60-59),1)*(1-Assumptions!$B$21))))</f>
        <v>0.974210622252412</v>
      </c>
      <c r="C16" s="32" t="n">
        <f aca="false">IF((63+$A15)&gt;=120,0,C15*(1-MIN(1,IFERROR(INDEX(Cohort_Survival!$B$5:$AA$65,(63+$A15)-59,63-59),1)*(1-Assumptions!$B$21))))</f>
        <v>0.963409601884604</v>
      </c>
      <c r="D16" s="32" t="n">
        <f aca="false">IF((65+$A15)&gt;=120,0,D15*(1-MIN(1,IFERROR(INDEX(Cohort_Survival!$B$5:$AA$65,(65+$A15)-59,65-59),1)*(1-Assumptions!$B$21))))</f>
        <v>0.953389197466188</v>
      </c>
      <c r="E16" s="32" t="n">
        <f aca="false">IF((68+$A15)&gt;=120,0,E15*(1-MIN(1,IFERROR(INDEX(Cohort_Survival!$B$5:$AA$65,(68+$A15)-59,68-59),1)*(1-Assumptions!$B$21))))</f>
        <v>0.933175931597487</v>
      </c>
      <c r="F16" s="32" t="n">
        <f aca="false">IF((70+$A15)&gt;=120,0,F15*(1-MIN(1,IFERROR(INDEX(Cohort_Survival!$B$5:$AA$65,(70+$A15)-59,70-59),1)*(1-Assumptions!$B$21))))</f>
        <v>0.914223524496934</v>
      </c>
      <c r="G16" s="32" t="n">
        <f aca="false">IF((72+$A15)&gt;=120,0,G15*(1-MIN(1,IFERROR(INDEX(Cohort_Survival!$B$5:$AA$65,(72+$A15)-59,72-59),1)*(1-Assumptions!$B$21))))</f>
        <v>0.890404606042509</v>
      </c>
      <c r="H16" s="32" t="n">
        <f aca="false">IF((75+$A15)&gt;=120,0,H15*(1-MIN(1,IFERROR(INDEX(Cohort_Survival!$B$5:$AA$65,(75+$A15)-59,75-59),1)*(1-Assumptions!$B$21))))</f>
        <v>0.839326634167848</v>
      </c>
      <c r="J16" s="32" t="n">
        <f aca="false">IF((60+$A15)&gt;=120,0,J15*(1-MIN(1,IFERROR(INDEX(Cohort_Survival!$B$5:$AA$65,(60+$A15)-59,60-59),1)*R15)))</f>
        <v>0.970585958834378</v>
      </c>
      <c r="K16" s="32" t="n">
        <f aca="false">IF((63+$A15)&gt;=120,0,K15*(1-MIN(1,IFERROR(INDEX(Cohort_Survival!$B$5:$AA$65,(63+$A15)-59,63-59),1)*S15)))</f>
        <v>0.959045463462431</v>
      </c>
      <c r="L16" s="32" t="n">
        <f aca="false">IF((65+$A15)&gt;=120,0,L15*(1-MIN(1,IFERROR(INDEX(Cohort_Survival!$B$5:$AA$65,(65+$A15)-59,65-59),1)*T15)))</f>
        <v>0.948467219300496</v>
      </c>
      <c r="M16" s="32" t="n">
        <f aca="false">IF((68+$A15)&gt;=120,0,M15*(1-MIN(1,IFERROR(INDEX(Cohort_Survival!$B$5:$AA$65,(68+$A15)-59,68-59),1)*U15)))</f>
        <v>0.92748182531418</v>
      </c>
      <c r="N16" s="32" t="n">
        <f aca="false">IF((70+$A15)&gt;=120,0,N15*(1-MIN(1,IFERROR(INDEX(Cohort_Survival!$B$5:$AA$65,(70+$A15)-59,70-59),1)*V15)))</f>
        <v>0.90802941198558</v>
      </c>
      <c r="O16" s="32" t="n">
        <f aca="false">IF((72+$A15)&gt;=120,0,O15*(1-MIN(1,IFERROR(INDEX(Cohort_Survival!$B$5:$AA$65,(72+$A15)-59,72-59),1)*W15)))</f>
        <v>0.88386610254869</v>
      </c>
      <c r="P16" s="32" t="n">
        <f aca="false">IF((75+$A15)&gt;=120,0,P15*(1-MIN(1,IFERROR(INDEX(Cohort_Survival!$B$5:$AA$65,(75+$A15)-59,75-59),1)*X15)))</f>
        <v>0.832606449601962</v>
      </c>
      <c r="R16" s="11" t="n">
        <f aca="false">(1/(1+EXP(-(((CBD_Stochastic!$B$6+CBD_Stochastic!$B$8*(4+$A16))-CBD_Stochastic!$B$19*CBD_Stochastic!$B$17*SQRT((4+$A16)))+((CBD_Stochastic!$B$7+CBD_Stochastic!$B$9*(4+$A16))-CBD_Stochastic!$B$19*CBD_Stochastic!$B$13*CBD_Stochastic!$B$18*SQRT((4+$A16)))*((60+$A16)-CBD_Stochastic!$B$14)))))/(1/(1+EXP(-((CBD_Stochastic!$B$6+CBD_Stochastic!$B$8*(4+$A16))+(CBD_Stochastic!$B$7+CBD_Stochastic!$B$9*(4+$A16))*((60+$A16)-CBD_Stochastic!$B$14)))))</f>
        <v>0.869765971272467</v>
      </c>
      <c r="S16" s="11" t="n">
        <f aca="false">(1/(1+EXP(-(((CBD_Stochastic!$B$6+CBD_Stochastic!$B$8*(4+$A16))-CBD_Stochastic!$B$19*CBD_Stochastic!$B$17*SQRT((4+$A16)))+((CBD_Stochastic!$B$7+CBD_Stochastic!$B$9*(4+$A16))-CBD_Stochastic!$B$19*CBD_Stochastic!$B$13*CBD_Stochastic!$B$18*SQRT((4+$A16)))*((63+$A16)-CBD_Stochastic!$B$14)))))/(1/(1+EXP(-((CBD_Stochastic!$B$6+CBD_Stochastic!$B$8*(4+$A16))+(CBD_Stochastic!$B$7+CBD_Stochastic!$B$9*(4+$A16))*((63+$A16)-CBD_Stochastic!$B$14)))))</f>
        <v>0.850606877376371</v>
      </c>
      <c r="T16" s="11" t="n">
        <f aca="false">(1/(1+EXP(-(((CBD_Stochastic!$B$6+CBD_Stochastic!$B$8*(4+$A16))-CBD_Stochastic!$B$19*CBD_Stochastic!$B$17*SQRT((4+$A16)))+((CBD_Stochastic!$B$7+CBD_Stochastic!$B$9*(4+$A16))-CBD_Stochastic!$B$19*CBD_Stochastic!$B$13*CBD_Stochastic!$B$18*SQRT((4+$A16)))*((65+$A16)-CBD_Stochastic!$B$14)))))/(1/(1+EXP(-((CBD_Stochastic!$B$6+CBD_Stochastic!$B$8*(4+$A16))+(CBD_Stochastic!$B$7+CBD_Stochastic!$B$9*(4+$A16))*((65+$A16)-CBD_Stochastic!$B$14)))))</f>
        <v>0.838269878670388</v>
      </c>
      <c r="U16" s="11" t="n">
        <f aca="false">(1/(1+EXP(-(((CBD_Stochastic!$B$6+CBD_Stochastic!$B$8*(4+$A16))-CBD_Stochastic!$B$19*CBD_Stochastic!$B$17*SQRT((4+$A16)))+((CBD_Stochastic!$B$7+CBD_Stochastic!$B$9*(4+$A16))-CBD_Stochastic!$B$19*CBD_Stochastic!$B$13*CBD_Stochastic!$B$18*SQRT((4+$A16)))*((68+$A16)-CBD_Stochastic!$B$14)))))/(1/(1+EXP(-((CBD_Stochastic!$B$6+CBD_Stochastic!$B$8*(4+$A16))+(CBD_Stochastic!$B$7+CBD_Stochastic!$B$9*(4+$A16))*((68+$A16)-CBD_Stochastic!$B$14)))))</f>
        <v>0.820523052068036</v>
      </c>
      <c r="V16" s="11" t="n">
        <f aca="false">(1/(1+EXP(-(((CBD_Stochastic!$B$6+CBD_Stochastic!$B$8*(4+$A16))-CBD_Stochastic!$B$19*CBD_Stochastic!$B$17*SQRT((4+$A16)))+((CBD_Stochastic!$B$7+CBD_Stochastic!$B$9*(4+$A16))-CBD_Stochastic!$B$19*CBD_Stochastic!$B$13*CBD_Stochastic!$B$18*SQRT((4+$A16)))*((70+$A16)-CBD_Stochastic!$B$14)))))/(1/(1+EXP(-((CBD_Stochastic!$B$6+CBD_Stochastic!$B$8*(4+$A16))+(CBD_Stochastic!$B$7+CBD_Stochastic!$B$9*(4+$A16))*((70+$A16)-CBD_Stochastic!$B$14)))))</f>
        <v>0.809281244279836</v>
      </c>
      <c r="W16" s="11" t="n">
        <f aca="false">(1/(1+EXP(-(((CBD_Stochastic!$B$6+CBD_Stochastic!$B$8*(4+$A16))-CBD_Stochastic!$B$19*CBD_Stochastic!$B$17*SQRT((4+$A16)))+((CBD_Stochastic!$B$7+CBD_Stochastic!$B$9*(4+$A16))-CBD_Stochastic!$B$19*CBD_Stochastic!$B$13*CBD_Stochastic!$B$18*SQRT((4+$A16)))*((72+$A16)-CBD_Stochastic!$B$14)))))/(1/(1+EXP(-((CBD_Stochastic!$B$6+CBD_Stochastic!$B$8*(4+$A16))+(CBD_Stochastic!$B$7+CBD_Stochastic!$B$9*(4+$A16))*((72+$A16)-CBD_Stochastic!$B$14)))))</f>
        <v>0.798598181903858</v>
      </c>
      <c r="X16" s="11" t="n">
        <f aca="false">(1/(1+EXP(-(((CBD_Stochastic!$B$6+CBD_Stochastic!$B$8*(4+$A16))-CBD_Stochastic!$B$19*CBD_Stochastic!$B$17*SQRT((4+$A16)))+((CBD_Stochastic!$B$7+CBD_Stochastic!$B$9*(4+$A16))-CBD_Stochastic!$B$19*CBD_Stochastic!$B$13*CBD_Stochastic!$B$18*SQRT((4+$A16)))*((75+$A16)-CBD_Stochastic!$B$14)))))/(1/(1+EXP(-((CBD_Stochastic!$B$6+CBD_Stochastic!$B$8*(4+$A16))+(CBD_Stochastic!$B$7+CBD_Stochastic!$B$9*(4+$A16))*((75+$A16)-CBD_Stochastic!$B$14)))))</f>
        <v>0.783836989708773</v>
      </c>
    </row>
    <row r="17" customFormat="false" ht="15" hidden="false" customHeight="true" outlineLevel="0" collapsed="false">
      <c r="A17" s="1" t="n">
        <v>9</v>
      </c>
      <c r="B17" s="32" t="n">
        <f aca="false">IF((60+$A16)&gt;=120,0,B16*(1-MIN(1,IFERROR(INDEX(Cohort_Survival!$B$5:$AA$65,(60+$A16)-59,60-59),1)*(1-Assumptions!$B$21))))</f>
        <v>0.969380415477406</v>
      </c>
      <c r="C17" s="32" t="n">
        <f aca="false">IF((63+$A16)&gt;=120,0,C16*(1-MIN(1,IFERROR(INDEX(Cohort_Survival!$B$5:$AA$65,(63+$A16)-59,63-59),1)*(1-Assumptions!$B$21))))</f>
        <v>0.956387383457106</v>
      </c>
      <c r="D17" s="32" t="n">
        <f aca="false">IF((65+$A16)&gt;=120,0,D16*(1-MIN(1,IFERROR(INDEX(Cohort_Survival!$B$5:$AA$65,(65+$A16)-59,65-59),1)*(1-Assumptions!$B$21))))</f>
        <v>0.944555716682427</v>
      </c>
      <c r="E17" s="32" t="n">
        <f aca="false">IF((68+$A16)&gt;=120,0,E16*(1-MIN(1,IFERROR(INDEX(Cohort_Survival!$B$5:$AA$65,(68+$A16)-59,68-59),1)*(1-Assumptions!$B$21))))</f>
        <v>0.920197636515757</v>
      </c>
      <c r="F17" s="32" t="n">
        <f aca="false">IF((70+$A16)&gt;=120,0,F16*(1-MIN(1,IFERROR(INDEX(Cohort_Survival!$B$5:$AA$65,(70+$A16)-59,70-59),1)*(1-Assumptions!$B$21))))</f>
        <v>0.897811692734087</v>
      </c>
      <c r="G17" s="32" t="n">
        <f aca="false">IF((72+$A16)&gt;=120,0,G16*(1-MIN(1,IFERROR(INDEX(Cohort_Survival!$B$5:$AA$65,(72+$A16)-59,72-59),1)*(1-Assumptions!$B$21))))</f>
        <v>0.868982411695995</v>
      </c>
      <c r="H17" s="32" t="n">
        <f aca="false">IF((75+$A16)&gt;=120,0,H16*(1-MIN(1,IFERROR(INDEX(Cohort_Survival!$B$5:$AA$65,(75+$A16)-59,75-59),1)*(1-Assumptions!$B$21))))</f>
        <v>0.809453259496171</v>
      </c>
      <c r="J17" s="32" t="n">
        <f aca="false">IF((60+$A16)&gt;=120,0,J16*(1-MIN(1,IFERROR(INDEX(Cohort_Survival!$B$5:$AA$65,(60+$A16)-59,60-59),1)*R16)))</f>
        <v>0.965354060554356</v>
      </c>
      <c r="K17" s="32" t="n">
        <f aca="false">IF((63+$A16)&gt;=120,0,K16*(1-MIN(1,IFERROR(INDEX(Cohort_Survival!$B$5:$AA$65,(63+$A16)-59,63-59),1)*S16)))</f>
        <v>0.95161285146804</v>
      </c>
      <c r="L17" s="32" t="n">
        <f aca="false">IF((65+$A16)&gt;=120,0,L16*(1-MIN(1,IFERROR(INDEX(Cohort_Survival!$B$5:$AA$65,(65+$A16)-59,65-59),1)*T16)))</f>
        <v>0.939258953616472</v>
      </c>
      <c r="M17" s="32" t="n">
        <f aca="false">IF((68+$A16)&gt;=120,0,M16*(1-MIN(1,IFERROR(INDEX(Cohort_Survival!$B$5:$AA$65,(68+$A16)-59,68-59),1)*U16)))</f>
        <v>0.914251810722993</v>
      </c>
      <c r="N17" s="32" t="n">
        <f aca="false">IF((70+$A16)&gt;=120,0,N16*(1-MIN(1,IFERROR(INDEX(Cohort_Survival!$B$5:$AA$65,(70+$A16)-59,70-59),1)*V16)))</f>
        <v>0.891539662093211</v>
      </c>
      <c r="O17" s="32" t="n">
        <f aca="false">IF((72+$A16)&gt;=120,0,O16*(1-MIN(1,IFERROR(INDEX(Cohort_Survival!$B$5:$AA$65,(72+$A16)-59,72-59),1)*W16)))</f>
        <v>0.862638479565562</v>
      </c>
      <c r="P17" s="32" t="n">
        <f aca="false">IF((75+$A16)&gt;=120,0,P16*(1-MIN(1,IFERROR(INDEX(Cohort_Survival!$B$5:$AA$65,(75+$A16)-59,75-59),1)*X16)))</f>
        <v>0.803570982363393</v>
      </c>
      <c r="R17" s="11" t="n">
        <f aca="false">(1/(1+EXP(-(((CBD_Stochastic!$B$6+CBD_Stochastic!$B$8*(4+$A17))-CBD_Stochastic!$B$19*CBD_Stochastic!$B$17*SQRT((4+$A17)))+((CBD_Stochastic!$B$7+CBD_Stochastic!$B$9*(4+$A17))-CBD_Stochastic!$B$19*CBD_Stochastic!$B$13*CBD_Stochastic!$B$18*SQRT((4+$A17)))*((60+$A17)-CBD_Stochastic!$B$14)))))/(1/(1+EXP(-((CBD_Stochastic!$B$6+CBD_Stochastic!$B$8*(4+$A17))+(CBD_Stochastic!$B$7+CBD_Stochastic!$B$9*(4+$A17))*((60+$A17)-CBD_Stochastic!$B$14)))))</f>
        <v>0.858095649488527</v>
      </c>
      <c r="S17" s="11" t="n">
        <f aca="false">(1/(1+EXP(-(((CBD_Stochastic!$B$6+CBD_Stochastic!$B$8*(4+$A17))-CBD_Stochastic!$B$19*CBD_Stochastic!$B$17*SQRT((4+$A17)))+((CBD_Stochastic!$B$7+CBD_Stochastic!$B$9*(4+$A17))-CBD_Stochastic!$B$19*CBD_Stochastic!$B$13*CBD_Stochastic!$B$18*SQRT((4+$A17)))*((63+$A17)-CBD_Stochastic!$B$14)))))/(1/(1+EXP(-((CBD_Stochastic!$B$6+CBD_Stochastic!$B$8*(4+$A17))+(CBD_Stochastic!$B$7+CBD_Stochastic!$B$9*(4+$A17))*((63+$A17)-CBD_Stochastic!$B$14)))))</f>
        <v>0.838525118386236</v>
      </c>
      <c r="T17" s="11" t="n">
        <f aca="false">(1/(1+EXP(-(((CBD_Stochastic!$B$6+CBD_Stochastic!$B$8*(4+$A17))-CBD_Stochastic!$B$19*CBD_Stochastic!$B$17*SQRT((4+$A17)))+((CBD_Stochastic!$B$7+CBD_Stochastic!$B$9*(4+$A17))-CBD_Stochastic!$B$19*CBD_Stochastic!$B$13*CBD_Stochastic!$B$18*SQRT((4+$A17)))*((65+$A17)-CBD_Stochastic!$B$14)))))/(1/(1+EXP(-((CBD_Stochastic!$B$6+CBD_Stochastic!$B$8*(4+$A17))+(CBD_Stochastic!$B$7+CBD_Stochastic!$B$9*(4+$A17))*((65+$A17)-CBD_Stochastic!$B$14)))))</f>
        <v>0.825958139940757</v>
      </c>
      <c r="U17" s="11" t="n">
        <f aca="false">(1/(1+EXP(-(((CBD_Stochastic!$B$6+CBD_Stochastic!$B$8*(4+$A17))-CBD_Stochastic!$B$19*CBD_Stochastic!$B$17*SQRT((4+$A17)))+((CBD_Stochastic!$B$7+CBD_Stochastic!$B$9*(4+$A17))-CBD_Stochastic!$B$19*CBD_Stochastic!$B$13*CBD_Stochastic!$B$18*SQRT((4+$A17)))*((68+$A17)-CBD_Stochastic!$B$14)))))/(1/(1+EXP(-((CBD_Stochastic!$B$6+CBD_Stochastic!$B$8*(4+$A17))+(CBD_Stochastic!$B$7+CBD_Stochastic!$B$9*(4+$A17))*((68+$A17)-CBD_Stochastic!$B$14)))))</f>
        <v>0.807947552850275</v>
      </c>
      <c r="V17" s="11" t="n">
        <f aca="false">(1/(1+EXP(-(((CBD_Stochastic!$B$6+CBD_Stochastic!$B$8*(4+$A17))-CBD_Stochastic!$B$19*CBD_Stochastic!$B$17*SQRT((4+$A17)))+((CBD_Stochastic!$B$7+CBD_Stochastic!$B$9*(4+$A17))-CBD_Stochastic!$B$19*CBD_Stochastic!$B$13*CBD_Stochastic!$B$18*SQRT((4+$A17)))*((70+$A17)-CBD_Stochastic!$B$14)))))/(1/(1+EXP(-((CBD_Stochastic!$B$6+CBD_Stochastic!$B$8*(4+$A17))+(CBD_Stochastic!$B$7+CBD_Stochastic!$B$9*(4+$A17))*((70+$A17)-CBD_Stochastic!$B$14)))))</f>
        <v>0.796595393002695</v>
      </c>
      <c r="W17" s="11" t="n">
        <f aca="false">(1/(1+EXP(-(((CBD_Stochastic!$B$6+CBD_Stochastic!$B$8*(4+$A17))-CBD_Stochastic!$B$19*CBD_Stochastic!$B$17*SQRT((4+$A17)))+((CBD_Stochastic!$B$7+CBD_Stochastic!$B$9*(4+$A17))-CBD_Stochastic!$B$19*CBD_Stochastic!$B$13*CBD_Stochastic!$B$18*SQRT((4+$A17)))*((72+$A17)-CBD_Stochastic!$B$14)))))/(1/(1+EXP(-((CBD_Stochastic!$B$6+CBD_Stochastic!$B$8*(4+$A17))+(CBD_Stochastic!$B$7+CBD_Stochastic!$B$9*(4+$A17))*((72+$A17)-CBD_Stochastic!$B$14)))))</f>
        <v>0.785865787652635</v>
      </c>
      <c r="X17" s="11" t="n">
        <f aca="false">(1/(1+EXP(-(((CBD_Stochastic!$B$6+CBD_Stochastic!$B$8*(4+$A17))-CBD_Stochastic!$B$19*CBD_Stochastic!$B$17*SQRT((4+$A17)))+((CBD_Stochastic!$B$7+CBD_Stochastic!$B$9*(4+$A17))-CBD_Stochastic!$B$19*CBD_Stochastic!$B$13*CBD_Stochastic!$B$18*SQRT((4+$A17)))*((75+$A17)-CBD_Stochastic!$B$14)))))/(1/(1+EXP(-((CBD_Stochastic!$B$6+CBD_Stochastic!$B$8*(4+$A17))+(CBD_Stochastic!$B$7+CBD_Stochastic!$B$9*(4+$A17))*((75+$A17)-CBD_Stochastic!$B$14)))))</f>
        <v>0.771181259617143</v>
      </c>
    </row>
    <row r="18" customFormat="false" ht="15" hidden="false" customHeight="true" outlineLevel="0" collapsed="false">
      <c r="A18" s="1" t="n">
        <v>10</v>
      </c>
      <c r="B18" s="32" t="n">
        <f aca="false">IF((60+$A17)&gt;=120,0,B17*(1-MIN(1,IFERROR(INDEX(Cohort_Survival!$B$5:$AA$65,(60+$A17)-59,60-59),1)*(1-Assumptions!$B$21))))</f>
        <v>0.964068866188025</v>
      </c>
      <c r="C18" s="32" t="n">
        <f aca="false">IF((63+$A17)&gt;=120,0,C17*(1-MIN(1,IFERROR(INDEX(Cohort_Survival!$B$5:$AA$65,(63+$A17)-59,63-59),1)*(1-Assumptions!$B$21))))</f>
        <v>0.948651426845479</v>
      </c>
      <c r="D18" s="32" t="n">
        <f aca="false">IF((65+$A17)&gt;=120,0,D17*(1-MIN(1,IFERROR(INDEX(Cohort_Survival!$B$5:$AA$65,(65+$A17)-59,65-59),1)*(1-Assumptions!$B$21))))</f>
        <v>0.934814729046058</v>
      </c>
      <c r="E18" s="32" t="n">
        <f aca="false">IF((68+$A17)&gt;=120,0,E17*(1-MIN(1,IFERROR(INDEX(Cohort_Survival!$B$5:$AA$65,(68+$A17)-59,68-59),1)*(1-Assumptions!$B$21))))</f>
        <v>0.905885021153945</v>
      </c>
      <c r="F18" s="32" t="n">
        <f aca="false">IF((70+$A17)&gt;=120,0,F17*(1-MIN(1,IFERROR(INDEX(Cohort_Survival!$B$5:$AA$65,(70+$A17)-59,70-59),1)*(1-Assumptions!$B$21))))</f>
        <v>0.879745275985577</v>
      </c>
      <c r="G18" s="32" t="n">
        <f aca="false">IF((72+$A17)&gt;=120,0,G17*(1-MIN(1,IFERROR(INDEX(Cohort_Survival!$B$5:$AA$65,(72+$A17)-59,72-59),1)*(1-Assumptions!$B$21))))</f>
        <v>0.84551901702381</v>
      </c>
      <c r="H18" s="32" t="n">
        <f aca="false">IF((75+$A17)&gt;=120,0,H17*(1-MIN(1,IFERROR(INDEX(Cohort_Survival!$B$5:$AA$65,(75+$A17)-59,75-59),1)*(1-Assumptions!$B$21))))</f>
        <v>0.777135328021823</v>
      </c>
      <c r="J18" s="32" t="n">
        <f aca="false">IF((60+$A17)&gt;=120,0,J17*(1-MIN(1,IFERROR(INDEX(Cohort_Survival!$B$5:$AA$65,(60+$A17)-59,60-59),1)*R17)))</f>
        <v>0.959680452696775</v>
      </c>
      <c r="K18" s="32" t="n">
        <f aca="false">IF((63+$A17)&gt;=120,0,K17*(1-MIN(1,IFERROR(INDEX(Cohort_Survival!$B$5:$AA$65,(63+$A17)-59,63-59),1)*S17)))</f>
        <v>0.943544838732291</v>
      </c>
      <c r="L18" s="32" t="n">
        <f aca="false">IF((65+$A17)&gt;=120,0,L17*(1-MIN(1,IFERROR(INDEX(Cohort_Survival!$B$5:$AA$65,(65+$A17)-59,65-59),1)*T17)))</f>
        <v>0.929258290320863</v>
      </c>
      <c r="M18" s="32" t="n">
        <f aca="false">IF((68+$A17)&gt;=120,0,M17*(1-MIN(1,IFERROR(INDEX(Cohort_Survival!$B$5:$AA$65,(68+$A17)-59,68-59),1)*U17)))</f>
        <v>0.899890406747602</v>
      </c>
      <c r="N18" s="32" t="n">
        <f aca="false">IF((70+$A17)&gt;=120,0,N17*(1-MIN(1,IFERROR(INDEX(Cohort_Survival!$B$5:$AA$65,(70+$A17)-59,70-59),1)*V17)))</f>
        <v>0.873675804875508</v>
      </c>
      <c r="O18" s="32" t="n">
        <f aca="false">IF((72+$A17)&gt;=120,0,O17*(1-MIN(1,IFERROR(INDEX(Cohort_Survival!$B$5:$AA$65,(72+$A17)-59,72-59),1)*W17)))</f>
        <v>0.839757896806393</v>
      </c>
      <c r="P18" s="32" t="n">
        <f aca="false">IF((75+$A17)&gt;=120,0,P17*(1-MIN(1,IFERROR(INDEX(Cohort_Survival!$B$5:$AA$65,(75+$A17)-59,75-59),1)*X17)))</f>
        <v>0.772643646874537</v>
      </c>
      <c r="R18" s="11" t="n">
        <f aca="false">(1/(1+EXP(-(((CBD_Stochastic!$B$6+CBD_Stochastic!$B$8*(4+$A18))-CBD_Stochastic!$B$19*CBD_Stochastic!$B$17*SQRT((4+$A18)))+((CBD_Stochastic!$B$7+CBD_Stochastic!$B$9*(4+$A18))-CBD_Stochastic!$B$19*CBD_Stochastic!$B$13*CBD_Stochastic!$B$18*SQRT((4+$A18)))*((60+$A18)-CBD_Stochastic!$B$14)))))/(1/(1+EXP(-((CBD_Stochastic!$B$6+CBD_Stochastic!$B$8*(4+$A18))+(CBD_Stochastic!$B$7+CBD_Stochastic!$B$9*(4+$A18))*((60+$A18)-CBD_Stochastic!$B$14)))))</f>
        <v>0.846288664177668</v>
      </c>
      <c r="S18" s="11" t="n">
        <f aca="false">(1/(1+EXP(-(((CBD_Stochastic!$B$6+CBD_Stochastic!$B$8*(4+$A18))-CBD_Stochastic!$B$19*CBD_Stochastic!$B$17*SQRT((4+$A18)))+((CBD_Stochastic!$B$7+CBD_Stochastic!$B$9*(4+$A18))-CBD_Stochastic!$B$19*CBD_Stochastic!$B$13*CBD_Stochastic!$B$18*SQRT((4+$A18)))*((63+$A18)-CBD_Stochastic!$B$14)))))/(1/(1+EXP(-((CBD_Stochastic!$B$6+CBD_Stochastic!$B$8*(4+$A18))+(CBD_Stochastic!$B$7+CBD_Stochastic!$B$9*(4+$A18))*((63+$A18)-CBD_Stochastic!$B$14)))))</f>
        <v>0.826376578351687</v>
      </c>
      <c r="T18" s="11" t="n">
        <f aca="false">(1/(1+EXP(-(((CBD_Stochastic!$B$6+CBD_Stochastic!$B$8*(4+$A18))-CBD_Stochastic!$B$19*CBD_Stochastic!$B$17*SQRT((4+$A18)))+((CBD_Stochastic!$B$7+CBD_Stochastic!$B$9*(4+$A18))-CBD_Stochastic!$B$19*CBD_Stochastic!$B$13*CBD_Stochastic!$B$18*SQRT((4+$A18)))*((65+$A18)-CBD_Stochastic!$B$14)))))/(1/(1+EXP(-((CBD_Stochastic!$B$6+CBD_Stochastic!$B$8*(4+$A18))+(CBD_Stochastic!$B$7+CBD_Stochastic!$B$9*(4+$A18))*((65+$A18)-CBD_Stochastic!$B$14)))))</f>
        <v>0.813628867773046</v>
      </c>
      <c r="U18" s="11" t="n">
        <f aca="false">(1/(1+EXP(-(((CBD_Stochastic!$B$6+CBD_Stochastic!$B$8*(4+$A18))-CBD_Stochastic!$B$19*CBD_Stochastic!$B$17*SQRT((4+$A18)))+((CBD_Stochastic!$B$7+CBD_Stochastic!$B$9*(4+$A18))-CBD_Stochastic!$B$19*CBD_Stochastic!$B$13*CBD_Stochastic!$B$18*SQRT((4+$A18)))*((68+$A18)-CBD_Stochastic!$B$14)))))/(1/(1+EXP(-((CBD_Stochastic!$B$6+CBD_Stochastic!$B$8*(4+$A18))+(CBD_Stochastic!$B$7+CBD_Stochastic!$B$9*(4+$A18))*((68+$A18)-CBD_Stochastic!$B$14)))))</f>
        <v>0.795434074246393</v>
      </c>
      <c r="V18" s="11" t="n">
        <f aca="false">(1/(1+EXP(-(((CBD_Stochastic!$B$6+CBD_Stochastic!$B$8*(4+$A18))-CBD_Stochastic!$B$19*CBD_Stochastic!$B$17*SQRT((4+$A18)))+((CBD_Stochastic!$B$7+CBD_Stochastic!$B$9*(4+$A18))-CBD_Stochastic!$B$19*CBD_Stochastic!$B$13*CBD_Stochastic!$B$18*SQRT((4+$A18)))*((70+$A18)-CBD_Stochastic!$B$14)))))/(1/(1+EXP(-((CBD_Stochastic!$B$6+CBD_Stochastic!$B$8*(4+$A18))+(CBD_Stochastic!$B$7+CBD_Stochastic!$B$9*(4+$A18))*((70+$A18)-CBD_Stochastic!$B$14)))))</f>
        <v>0.784029597152575</v>
      </c>
      <c r="W18" s="11" t="n">
        <f aca="false">(1/(1+EXP(-(((CBD_Stochastic!$B$6+CBD_Stochastic!$B$8*(4+$A18))-CBD_Stochastic!$B$19*CBD_Stochastic!$B$17*SQRT((4+$A18)))+((CBD_Stochastic!$B$7+CBD_Stochastic!$B$9*(4+$A18))-CBD_Stochastic!$B$19*CBD_Stochastic!$B$13*CBD_Stochastic!$B$18*SQRT((4+$A18)))*((72+$A18)-CBD_Stochastic!$B$14)))))/(1/(1+EXP(-((CBD_Stochastic!$B$6+CBD_Stochastic!$B$8*(4+$A18))+(CBD_Stochastic!$B$7+CBD_Stochastic!$B$9*(4+$A18))*((72+$A18)-CBD_Stochastic!$B$14)))))</f>
        <v>0.773316596978969</v>
      </c>
      <c r="X18" s="11" t="n">
        <f aca="false">(1/(1+EXP(-(((CBD_Stochastic!$B$6+CBD_Stochastic!$B$8*(4+$A18))-CBD_Stochastic!$B$19*CBD_Stochastic!$B$17*SQRT((4+$A18)))+((CBD_Stochastic!$B$7+CBD_Stochastic!$B$9*(4+$A18))-CBD_Stochastic!$B$19*CBD_Stochastic!$B$13*CBD_Stochastic!$B$18*SQRT((4+$A18)))*((75+$A18)-CBD_Stochastic!$B$14)))))/(1/(1+EXP(-((CBD_Stochastic!$B$6+CBD_Stochastic!$B$8*(4+$A18))+(CBD_Stochastic!$B$7+CBD_Stochastic!$B$9*(4+$A18))*((75+$A18)-CBD_Stochastic!$B$14)))))</f>
        <v>0.758815306677473</v>
      </c>
    </row>
    <row r="19" customFormat="false" ht="15" hidden="false" customHeight="true" outlineLevel="0" collapsed="false">
      <c r="A19" s="1" t="n">
        <v>11</v>
      </c>
      <c r="B19" s="32" t="n">
        <f aca="false">IF((60+$A18)&gt;=120,0,B18*(1-MIN(1,IFERROR(INDEX(Cohort_Survival!$B$5:$AA$65,(60+$A18)-59,60-59),1)*(1-Assumptions!$B$21))))</f>
        <v>0.958008885928178</v>
      </c>
      <c r="C19" s="32" t="n">
        <f aca="false">IF((63+$A18)&gt;=120,0,C18*(1-MIN(1,IFERROR(INDEX(Cohort_Survival!$B$5:$AA$65,(63+$A18)-59,63-59),1)*(1-Assumptions!$B$21))))</f>
        <v>0.94012355300043</v>
      </c>
      <c r="D19" s="32" t="n">
        <f aca="false">IF((65+$A18)&gt;=120,0,D18*(1-MIN(1,IFERROR(INDEX(Cohort_Survival!$B$5:$AA$65,(65+$A18)-59,65-59),1)*(1-Assumptions!$B$21))))</f>
        <v>0.923687981259301</v>
      </c>
      <c r="E19" s="32" t="n">
        <f aca="false">IF((68+$A18)&gt;=120,0,E18*(1-MIN(1,IFERROR(INDEX(Cohort_Survival!$B$5:$AA$65,(68+$A18)-59,68-59),1)*(1-Assumptions!$B$21))))</f>
        <v>0.890107084656395</v>
      </c>
      <c r="F19" s="32" t="n">
        <f aca="false">IF((70+$A18)&gt;=120,0,F18*(1-MIN(1,IFERROR(INDEX(Cohort_Survival!$B$5:$AA$65,(70+$A18)-59,70-59),1)*(1-Assumptions!$B$21))))</f>
        <v>0.859209743833239</v>
      </c>
      <c r="G19" s="32" t="n">
        <f aca="false">IF((72+$A18)&gt;=120,0,G18*(1-MIN(1,IFERROR(INDEX(Cohort_Survival!$B$5:$AA$65,(72+$A18)-59,72-59),1)*(1-Assumptions!$B$21))))</f>
        <v>0.819893198966651</v>
      </c>
      <c r="H19" s="32" t="n">
        <f aca="false">IF((75+$A18)&gt;=120,0,H18*(1-MIN(1,IFERROR(INDEX(Cohort_Survival!$B$5:$AA$65,(75+$A18)-59,75-59),1)*(1-Assumptions!$B$21))))</f>
        <v>0.74121221494015</v>
      </c>
      <c r="J19" s="32" t="n">
        <f aca="false">IF((60+$A18)&gt;=120,0,J18*(1-MIN(1,IFERROR(INDEX(Cohort_Survival!$B$5:$AA$65,(60+$A18)-59,60-59),1)*R18)))</f>
        <v>0.953299017884747</v>
      </c>
      <c r="K19" s="32" t="n">
        <f aca="false">IF((63+$A18)&gt;=120,0,K18*(1-MIN(1,IFERROR(INDEX(Cohort_Survival!$B$5:$AA$65,(63+$A18)-59,63-59),1)*S18)))</f>
        <v>0.934783213781966</v>
      </c>
      <c r="L19" s="32" t="n">
        <f aca="false">IF((65+$A18)&gt;=120,0,L18*(1-MIN(1,IFERROR(INDEX(Cohort_Survival!$B$5:$AA$65,(65+$A18)-59,65-59),1)*T18)))</f>
        <v>0.918009249216365</v>
      </c>
      <c r="M19" s="32" t="n">
        <f aca="false">IF((68+$A18)&gt;=120,0,M18*(1-MIN(1,IFERROR(INDEX(Cohort_Survival!$B$5:$AA$65,(68+$A18)-59,68-59),1)*U18)))</f>
        <v>0.884306334559266</v>
      </c>
      <c r="N19" s="32" t="n">
        <f aca="false">IF((70+$A18)&gt;=120,0,N18*(1-MIN(1,IFERROR(INDEX(Cohort_Survival!$B$5:$AA$65,(70+$A18)-59,70-59),1)*V18)))</f>
        <v>0.85368907249066</v>
      </c>
      <c r="O19" s="32" t="n">
        <f aca="false">IF((72+$A18)&gt;=120,0,O18*(1-MIN(1,IFERROR(INDEX(Cohort_Survival!$B$5:$AA$65,(72+$A18)-59,72-59),1)*W18)))</f>
        <v>0.815155591763975</v>
      </c>
      <c r="P19" s="32" t="n">
        <f aca="false">IF((75+$A18)&gt;=120,0,P18*(1-MIN(1,IFERROR(INDEX(Cohort_Survival!$B$5:$AA$65,(75+$A18)-59,75-59),1)*X18)))</f>
        <v>0.738766826059259</v>
      </c>
      <c r="R19" s="11" t="n">
        <f aca="false">(1/(1+EXP(-(((CBD_Stochastic!$B$6+CBD_Stochastic!$B$8*(4+$A19))-CBD_Stochastic!$B$19*CBD_Stochastic!$B$17*SQRT((4+$A19)))+((CBD_Stochastic!$B$7+CBD_Stochastic!$B$9*(4+$A19))-CBD_Stochastic!$B$19*CBD_Stochastic!$B$13*CBD_Stochastic!$B$18*SQRT((4+$A19)))*((60+$A19)-CBD_Stochastic!$B$14)))))/(1/(1+EXP(-((CBD_Stochastic!$B$6+CBD_Stochastic!$B$8*(4+$A19))+(CBD_Stochastic!$B$7+CBD_Stochastic!$B$9*(4+$A19))*((60+$A19)-CBD_Stochastic!$B$14)))))</f>
        <v>0.83436774119957</v>
      </c>
      <c r="S19" s="11" t="n">
        <f aca="false">(1/(1+EXP(-(((CBD_Stochastic!$B$6+CBD_Stochastic!$B$8*(4+$A19))-CBD_Stochastic!$B$19*CBD_Stochastic!$B$17*SQRT((4+$A19)))+((CBD_Stochastic!$B$7+CBD_Stochastic!$B$9*(4+$A19))-CBD_Stochastic!$B$19*CBD_Stochastic!$B$13*CBD_Stochastic!$B$18*SQRT((4+$A19)))*((63+$A19)-CBD_Stochastic!$B$14)))))/(1/(1+EXP(-((CBD_Stochastic!$B$6+CBD_Stochastic!$B$8*(4+$A19))+(CBD_Stochastic!$B$7+CBD_Stochastic!$B$9*(4+$A19))*((63+$A19)-CBD_Stochastic!$B$14)))))</f>
        <v>0.814181249566225</v>
      </c>
      <c r="T19" s="11" t="n">
        <f aca="false">(1/(1+EXP(-(((CBD_Stochastic!$B$6+CBD_Stochastic!$B$8*(4+$A19))-CBD_Stochastic!$B$19*CBD_Stochastic!$B$17*SQRT((4+$A19)))+((CBD_Stochastic!$B$7+CBD_Stochastic!$B$9*(4+$A19))-CBD_Stochastic!$B$19*CBD_Stochastic!$B$13*CBD_Stochastic!$B$18*SQRT((4+$A19)))*((65+$A19)-CBD_Stochastic!$B$14)))))/(1/(1+EXP(-((CBD_Stochastic!$B$6+CBD_Stochastic!$B$8*(4+$A19))+(CBD_Stochastic!$B$7+CBD_Stochastic!$B$9*(4+$A19))*((65+$A19)-CBD_Stochastic!$B$14)))))</f>
        <v>0.801300615551431</v>
      </c>
      <c r="U19" s="11" t="n">
        <f aca="false">(1/(1+EXP(-(((CBD_Stochastic!$B$6+CBD_Stochastic!$B$8*(4+$A19))-CBD_Stochastic!$B$19*CBD_Stochastic!$B$17*SQRT((4+$A19)))+((CBD_Stochastic!$B$7+CBD_Stochastic!$B$9*(4+$A19))-CBD_Stochastic!$B$19*CBD_Stochastic!$B$13*CBD_Stochastic!$B$18*SQRT((4+$A19)))*((68+$A19)-CBD_Stochastic!$B$14)))))/(1/(1+EXP(-((CBD_Stochastic!$B$6+CBD_Stochastic!$B$8*(4+$A19))+(CBD_Stochastic!$B$7+CBD_Stochastic!$B$9*(4+$A19))*((68+$A19)-CBD_Stochastic!$B$14)))))</f>
        <v>0.782999753351494</v>
      </c>
      <c r="V19" s="11" t="n">
        <f aca="false">(1/(1+EXP(-(((CBD_Stochastic!$B$6+CBD_Stochastic!$B$8*(4+$A19))-CBD_Stochastic!$B$19*CBD_Stochastic!$B$17*SQRT((4+$A19)))+((CBD_Stochastic!$B$7+CBD_Stochastic!$B$9*(4+$A19))-CBD_Stochastic!$B$19*CBD_Stochastic!$B$13*CBD_Stochastic!$B$18*SQRT((4+$A19)))*((70+$A19)-CBD_Stochastic!$B$14)))))/(1/(1+EXP(-((CBD_Stochastic!$B$6+CBD_Stochastic!$B$8*(4+$A19))+(CBD_Stochastic!$B$7+CBD_Stochastic!$B$9*(4+$A19))*((70+$A19)-CBD_Stochastic!$B$14)))))</f>
        <v>0.771600645347253</v>
      </c>
      <c r="W19" s="11" t="n">
        <f aca="false">(1/(1+EXP(-(((CBD_Stochastic!$B$6+CBD_Stochastic!$B$8*(4+$A19))-CBD_Stochastic!$B$19*CBD_Stochastic!$B$17*SQRT((4+$A19)))+((CBD_Stochastic!$B$7+CBD_Stochastic!$B$9*(4+$A19))-CBD_Stochastic!$B$19*CBD_Stochastic!$B$13*CBD_Stochastic!$B$18*SQRT((4+$A19)))*((72+$A19)-CBD_Stochastic!$B$14)))))/(1/(1+EXP(-((CBD_Stochastic!$B$6+CBD_Stochastic!$B$8*(4+$A19))+(CBD_Stochastic!$B$7+CBD_Stochastic!$B$9*(4+$A19))*((72+$A19)-CBD_Stochastic!$B$14)))))</f>
        <v>0.760967596898231</v>
      </c>
      <c r="X19" s="11" t="n">
        <f aca="false">(1/(1+EXP(-(((CBD_Stochastic!$B$6+CBD_Stochastic!$B$8*(4+$A19))-CBD_Stochastic!$B$19*CBD_Stochastic!$B$17*SQRT((4+$A19)))+((CBD_Stochastic!$B$7+CBD_Stochastic!$B$9*(4+$A19))-CBD_Stochastic!$B$19*CBD_Stochastic!$B$13*CBD_Stochastic!$B$18*SQRT((4+$A19)))*((75+$A19)-CBD_Stochastic!$B$14)))))/(1/(1+EXP(-((CBD_Stochastic!$B$6+CBD_Stochastic!$B$8*(4+$A19))+(CBD_Stochastic!$B$7+CBD_Stochastic!$B$9*(4+$A19))*((75+$A19)-CBD_Stochastic!$B$14)))))</f>
        <v>0.74675749896037</v>
      </c>
    </row>
    <row r="20" customFormat="false" ht="15" hidden="false" customHeight="true" outlineLevel="0" collapsed="false">
      <c r="A20" s="1" t="n">
        <v>12</v>
      </c>
      <c r="B20" s="32" t="n">
        <f aca="false">IF((60+$A19)&gt;=120,0,B19*(1-MIN(1,IFERROR(INDEX(Cohort_Survival!$B$5:$AA$65,(60+$A19)-59,60-59),1)*(1-Assumptions!$B$21))))</f>
        <v>0.951335571430999</v>
      </c>
      <c r="C20" s="32" t="n">
        <f aca="false">IF((63+$A19)&gt;=120,0,C19*(1-MIN(1,IFERROR(INDEX(Cohort_Survival!$B$5:$AA$65,(63+$A19)-59,63-59),1)*(1-Assumptions!$B$21))))</f>
        <v>0.930716950211417</v>
      </c>
      <c r="D20" s="32" t="n">
        <f aca="false">IF((65+$A19)&gt;=120,0,D19*(1-MIN(1,IFERROR(INDEX(Cohort_Survival!$B$5:$AA$65,(65+$A19)-59,65-59),1)*(1-Assumptions!$B$21))))</f>
        <v>0.911411098751807</v>
      </c>
      <c r="E20" s="32" t="n">
        <f aca="false">IF((68+$A19)&gt;=120,0,E19*(1-MIN(1,IFERROR(INDEX(Cohort_Survival!$B$5:$AA$65,(68+$A19)-59,68-59),1)*(1-Assumptions!$B$21))))</f>
        <v>0.872729016919639</v>
      </c>
      <c r="F20" s="32" t="n">
        <f aca="false">IF((70+$A19)&gt;=120,0,F19*(1-MIN(1,IFERROR(INDEX(Cohort_Survival!$B$5:$AA$65,(70+$A19)-59,70-59),1)*(1-Assumptions!$B$21))))</f>
        <v>0.836700986765651</v>
      </c>
      <c r="G20" s="32" t="n">
        <f aca="false">IF((72+$A19)&gt;=120,0,G19*(1-MIN(1,IFERROR(INDEX(Cohort_Survival!$B$5:$AA$65,(72+$A19)-59,72-59),1)*(1-Assumptions!$B$21))))</f>
        <v>0.792005077806725</v>
      </c>
      <c r="H20" s="32" t="n">
        <f aca="false">IF((75+$A19)&gt;=120,0,H19*(1-MIN(1,IFERROR(INDEX(Cohort_Survival!$B$5:$AA$65,(75+$A19)-59,75-59),1)*(1-Assumptions!$B$21))))</f>
        <v>0.702585824399471</v>
      </c>
      <c r="J20" s="32" t="n">
        <f aca="false">IF((60+$A19)&gt;=120,0,J19*(1-MIN(1,IFERROR(INDEX(Cohort_Survival!$B$5:$AA$65,(60+$A19)-59,60-59),1)*R19)))</f>
        <v>0.946373237458487</v>
      </c>
      <c r="K20" s="32" t="n">
        <f aca="false">IF((63+$A19)&gt;=120,0,K19*(1-MIN(1,IFERROR(INDEX(Cohort_Survival!$B$5:$AA$65,(63+$A19)-59,63-59),1)*S19)))</f>
        <v>0.925264245345512</v>
      </c>
      <c r="L20" s="32" t="n">
        <f aca="false">IF((65+$A19)&gt;=120,0,L19*(1-MIN(1,IFERROR(INDEX(Cohort_Survival!$B$5:$AA$65,(65+$A19)-59,65-59),1)*T19)))</f>
        <v>0.905788006958954</v>
      </c>
      <c r="M20" s="32" t="n">
        <f aca="false">IF((68+$A19)&gt;=120,0,M19*(1-MIN(1,IFERROR(INDEX(Cohort_Survival!$B$5:$AA$65,(68+$A19)-59,68-59),1)*U19)))</f>
        <v>0.867408400842699</v>
      </c>
      <c r="N20" s="32" t="n">
        <f aca="false">IF((70+$A19)&gt;=120,0,N19*(1-MIN(1,IFERROR(INDEX(Cohort_Survival!$B$5:$AA$65,(70+$A19)-59,70-59),1)*V19)))</f>
        <v>0.832118849341102</v>
      </c>
      <c r="O20" s="32" t="n">
        <f aca="false">IF((72+$A19)&gt;=120,0,O19*(1-MIN(1,IFERROR(INDEX(Cohort_Survival!$B$5:$AA$65,(72+$A19)-59,72-59),1)*W19)))</f>
        <v>0.78878143022008</v>
      </c>
      <c r="P20" s="32" t="n">
        <f aca="false">IF((75+$A19)&gt;=120,0,P19*(1-MIN(1,IFERROR(INDEX(Cohort_Survival!$B$5:$AA$65,(75+$A19)-59,75-59),1)*X19)))</f>
        <v>0.702830096579801</v>
      </c>
      <c r="R20" s="11" t="n">
        <f aca="false">(1/(1+EXP(-(((CBD_Stochastic!$B$6+CBD_Stochastic!$B$8*(4+$A20))-CBD_Stochastic!$B$19*CBD_Stochastic!$B$17*SQRT((4+$A20)))+((CBD_Stochastic!$B$7+CBD_Stochastic!$B$9*(4+$A20))-CBD_Stochastic!$B$19*CBD_Stochastic!$B$13*CBD_Stochastic!$B$18*SQRT((4+$A20)))*((60+$A20)-CBD_Stochastic!$B$14)))))/(1/(1+EXP(-((CBD_Stochastic!$B$6+CBD_Stochastic!$B$8*(4+$A20))+(CBD_Stochastic!$B$7+CBD_Stochastic!$B$9*(4+$A20))*((60+$A20)-CBD_Stochastic!$B$14)))))</f>
        <v>0.822355292586908</v>
      </c>
      <c r="S20" s="11" t="n">
        <f aca="false">(1/(1+EXP(-(((CBD_Stochastic!$B$6+CBD_Stochastic!$B$8*(4+$A20))-CBD_Stochastic!$B$19*CBD_Stochastic!$B$17*SQRT((4+$A20)))+((CBD_Stochastic!$B$7+CBD_Stochastic!$B$9*(4+$A20))-CBD_Stochastic!$B$19*CBD_Stochastic!$B$13*CBD_Stochastic!$B$18*SQRT((4+$A20)))*((63+$A20)-CBD_Stochastic!$B$14)))))/(1/(1+EXP(-((CBD_Stochastic!$B$6+CBD_Stochastic!$B$8*(4+$A20))+(CBD_Stochastic!$B$7+CBD_Stochastic!$B$9*(4+$A20))*((63+$A20)-CBD_Stochastic!$B$14)))))</f>
        <v>0.80195962596991</v>
      </c>
      <c r="T20" s="11" t="n">
        <f aca="false">(1/(1+EXP(-(((CBD_Stochastic!$B$6+CBD_Stochastic!$B$8*(4+$A20))-CBD_Stochastic!$B$19*CBD_Stochastic!$B$17*SQRT((4+$A20)))+((CBD_Stochastic!$B$7+CBD_Stochastic!$B$9*(4+$A20))-CBD_Stochastic!$B$19*CBD_Stochastic!$B$13*CBD_Stochastic!$B$18*SQRT((4+$A20)))*((65+$A20)-CBD_Stochastic!$B$14)))))/(1/(1+EXP(-((CBD_Stochastic!$B$6+CBD_Stochastic!$B$8*(4+$A20))+(CBD_Stochastic!$B$7+CBD_Stochastic!$B$9*(4+$A20))*((65+$A20)-CBD_Stochastic!$B$14)))))</f>
        <v>0.788993021818532</v>
      </c>
      <c r="U20" s="11" t="n">
        <f aca="false">(1/(1+EXP(-(((CBD_Stochastic!$B$6+CBD_Stochastic!$B$8*(4+$A20))-CBD_Stochastic!$B$19*CBD_Stochastic!$B$17*SQRT((4+$A20)))+((CBD_Stochastic!$B$7+CBD_Stochastic!$B$9*(4+$A20))-CBD_Stochastic!$B$19*CBD_Stochastic!$B$13*CBD_Stochastic!$B$18*SQRT((4+$A20)))*((68+$A20)-CBD_Stochastic!$B$14)))))/(1/(1+EXP(-((CBD_Stochastic!$B$6+CBD_Stochastic!$B$8*(4+$A20))+(CBD_Stochastic!$B$7+CBD_Stochastic!$B$9*(4+$A20))*((68+$A20)-CBD_Stochastic!$B$14)))))</f>
        <v>0.770663753992525</v>
      </c>
      <c r="V20" s="11" t="n">
        <f aca="false">(1/(1+EXP(-(((CBD_Stochastic!$B$6+CBD_Stochastic!$B$8*(4+$A20))-CBD_Stochastic!$B$19*CBD_Stochastic!$B$17*SQRT((4+$A20)))+((CBD_Stochastic!$B$7+CBD_Stochastic!$B$9*(4+$A20))-CBD_Stochastic!$B$19*CBD_Stochastic!$B$13*CBD_Stochastic!$B$18*SQRT((4+$A20)))*((70+$A20)-CBD_Stochastic!$B$14)))))/(1/(1+EXP(-((CBD_Stochastic!$B$6+CBD_Stochastic!$B$8*(4+$A20))+(CBD_Stochastic!$B$7+CBD_Stochastic!$B$9*(4+$A20))*((70+$A20)-CBD_Stochastic!$B$14)))))</f>
        <v>0.759328023379706</v>
      </c>
      <c r="W20" s="11" t="n">
        <f aca="false">(1/(1+EXP(-(((CBD_Stochastic!$B$6+CBD_Stochastic!$B$8*(4+$A20))-CBD_Stochastic!$B$19*CBD_Stochastic!$B$17*SQRT((4+$A20)))+((CBD_Stochastic!$B$7+CBD_Stochastic!$B$9*(4+$A20))-CBD_Stochastic!$B$19*CBD_Stochastic!$B$13*CBD_Stochastic!$B$18*SQRT((4+$A20)))*((72+$A20)-CBD_Stochastic!$B$14)))))/(1/(1+EXP(-((CBD_Stochastic!$B$6+CBD_Stochastic!$B$8*(4+$A20))+(CBD_Stochastic!$B$7+CBD_Stochastic!$B$9*(4+$A20))*((72+$A20)-CBD_Stochastic!$B$14)))))</f>
        <v>0.748839167376295</v>
      </c>
      <c r="X20" s="11" t="n">
        <f aca="false">(1/(1+EXP(-(((CBD_Stochastic!$B$6+CBD_Stochastic!$B$8*(4+$A20))-CBD_Stochastic!$B$19*CBD_Stochastic!$B$17*SQRT((4+$A20)))+((CBD_Stochastic!$B$7+CBD_Stochastic!$B$9*(4+$A20))-CBD_Stochastic!$B$19*CBD_Stochastic!$B$13*CBD_Stochastic!$B$18*SQRT((4+$A20)))*((75+$A20)-CBD_Stochastic!$B$14)))))/(1/(1+EXP(-((CBD_Stochastic!$B$6+CBD_Stochastic!$B$8*(4+$A20))+(CBD_Stochastic!$B$7+CBD_Stochastic!$B$9*(4+$A20))*((75+$A20)-CBD_Stochastic!$B$14)))))</f>
        <v>0.735030643791605</v>
      </c>
    </row>
    <row r="21" customFormat="false" ht="15" hidden="false" customHeight="true" outlineLevel="0" collapsed="false">
      <c r="A21" s="1" t="n">
        <v>13</v>
      </c>
      <c r="B21" s="32" t="n">
        <f aca="false">IF((60+$A20)&gt;=120,0,B20*(1-MIN(1,IFERROR(INDEX(Cohort_Survival!$B$5:$AA$65,(60+$A20)-59,60-59),1)*(1-Assumptions!$B$21))))</f>
        <v>0.943981588555837</v>
      </c>
      <c r="C21" s="32" t="n">
        <f aca="false">IF((63+$A20)&gt;=120,0,C20*(1-MIN(1,IFERROR(INDEX(Cohort_Survival!$B$5:$AA$65,(63+$A20)-59,63-59),1)*(1-Assumptions!$B$21))))</f>
        <v>0.919968823403433</v>
      </c>
      <c r="D21" s="32" t="n">
        <f aca="false">IF((65+$A20)&gt;=120,0,D20*(1-MIN(1,IFERROR(INDEX(Cohort_Survival!$B$5:$AA$65,(65+$A20)-59,65-59),1)*(1-Assumptions!$B$21))))</f>
        <v>0.897863544740701</v>
      </c>
      <c r="E21" s="32" t="n">
        <f aca="false">IF((68+$A20)&gt;=120,0,E20*(1-MIN(1,IFERROR(INDEX(Cohort_Survival!$B$5:$AA$65,(68+$A20)-59,68-59),1)*(1-Assumptions!$B$21))))</f>
        <v>0.852963831407319</v>
      </c>
      <c r="F21" s="32" t="n">
        <f aca="false">IF((70+$A20)&gt;=120,0,F20*(1-MIN(1,IFERROR(INDEX(Cohort_Survival!$B$5:$AA$65,(70+$A20)-59,70-59),1)*(1-Assumptions!$B$21))))</f>
        <v>0.812097474985624</v>
      </c>
      <c r="G21" s="32" t="n">
        <f aca="false">IF((72+$A20)&gt;=120,0,G20*(1-MIN(1,IFERROR(INDEX(Cohort_Survival!$B$5:$AA$65,(72+$A20)-59,72-59),1)*(1-Assumptions!$B$21))))</f>
        <v>0.761785496906853</v>
      </c>
      <c r="H21" s="32" t="n">
        <f aca="false">IF((75+$A20)&gt;=120,0,H20*(1-MIN(1,IFERROR(INDEX(Cohort_Survival!$B$5:$AA$65,(75+$A20)-59,75-59),1)*(1-Assumptions!$B$21))))</f>
        <v>0.661315118390791</v>
      </c>
      <c r="J21" s="32" t="n">
        <f aca="false">IF((60+$A20)&gt;=120,0,J20*(1-MIN(1,IFERROR(INDEX(Cohort_Survival!$B$5:$AA$65,(60+$A20)-59,60-59),1)*R20)))</f>
        <v>0.93885318563233</v>
      </c>
      <c r="K21" s="32" t="n">
        <f aca="false">IF((63+$A20)&gt;=120,0,K20*(1-MIN(1,IFERROR(INDEX(Cohort_Survival!$B$5:$AA$65,(63+$A20)-59,63-59),1)*S20)))</f>
        <v>0.914552913947996</v>
      </c>
      <c r="L21" s="32" t="n">
        <f aca="false">IF((65+$A20)&gt;=120,0,L20*(1-MIN(1,IFERROR(INDEX(Cohort_Survival!$B$5:$AA$65,(65+$A20)-59,65-59),1)*T20)))</f>
        <v>0.89250928371237</v>
      </c>
      <c r="M21" s="32" t="n">
        <f aca="false">IF((68+$A20)&gt;=120,0,M20*(1-MIN(1,IFERROR(INDEX(Cohort_Survival!$B$5:$AA$65,(68+$A20)-59,68-59),1)*U20)))</f>
        <v>0.848484091014662</v>
      </c>
      <c r="N21" s="32" t="n">
        <f aca="false">IF((70+$A20)&gt;=120,0,N20*(1-MIN(1,IFERROR(INDEX(Cohort_Survival!$B$5:$AA$65,(70+$A20)-59,70-59),1)*V20)))</f>
        <v>0.808894068728129</v>
      </c>
      <c r="O21" s="32" t="n">
        <f aca="false">IF((72+$A20)&gt;=120,0,O20*(1-MIN(1,IFERROR(INDEX(Cohort_Survival!$B$5:$AA$65,(72+$A20)-59,72-59),1)*W20)))</f>
        <v>0.76060955776616</v>
      </c>
      <c r="P21" s="32" t="n">
        <f aca="false">IF((75+$A20)&gt;=120,0,P20*(1-MIN(1,IFERROR(INDEX(Cohort_Survival!$B$5:$AA$65,(75+$A20)-59,75-59),1)*X20)))</f>
        <v>0.664897871032466</v>
      </c>
      <c r="R21" s="11" t="n">
        <f aca="false">(1/(1+EXP(-(((CBD_Stochastic!$B$6+CBD_Stochastic!$B$8*(4+$A21))-CBD_Stochastic!$B$19*CBD_Stochastic!$B$17*SQRT((4+$A21)))+((CBD_Stochastic!$B$7+CBD_Stochastic!$B$9*(4+$A21))-CBD_Stochastic!$B$19*CBD_Stochastic!$B$13*CBD_Stochastic!$B$18*SQRT((4+$A21)))*((60+$A21)-CBD_Stochastic!$B$14)))))/(1/(1+EXP(-((CBD_Stochastic!$B$6+CBD_Stochastic!$B$8*(4+$A21))+(CBD_Stochastic!$B$7+CBD_Stochastic!$B$9*(4+$A21))*((60+$A21)-CBD_Stochastic!$B$14)))))</f>
        <v>0.810273466474948</v>
      </c>
      <c r="S21" s="11" t="n">
        <f aca="false">(1/(1+EXP(-(((CBD_Stochastic!$B$6+CBD_Stochastic!$B$8*(4+$A21))-CBD_Stochastic!$B$19*CBD_Stochastic!$B$17*SQRT((4+$A21)))+((CBD_Stochastic!$B$7+CBD_Stochastic!$B$9*(4+$A21))-CBD_Stochastic!$B$19*CBD_Stochastic!$B$13*CBD_Stochastic!$B$18*SQRT((4+$A21)))*((63+$A21)-CBD_Stochastic!$B$14)))))/(1/(1+EXP(-((CBD_Stochastic!$B$6+CBD_Stochastic!$B$8*(4+$A21))+(CBD_Stochastic!$B$7+CBD_Stochastic!$B$9*(4+$A21))*((63+$A21)-CBD_Stochastic!$B$14)))))</f>
        <v>0.789732644246087</v>
      </c>
      <c r="T21" s="11" t="n">
        <f aca="false">(1/(1+EXP(-(((CBD_Stochastic!$B$6+CBD_Stochastic!$B$8*(4+$A21))-CBD_Stochastic!$B$19*CBD_Stochastic!$B$17*SQRT((4+$A21)))+((CBD_Stochastic!$B$7+CBD_Stochastic!$B$9*(4+$A21))-CBD_Stochastic!$B$19*CBD_Stochastic!$B$13*CBD_Stochastic!$B$18*SQRT((4+$A21)))*((65+$A21)-CBD_Stochastic!$B$14)))))/(1/(1+EXP(-((CBD_Stochastic!$B$6+CBD_Stochastic!$B$8*(4+$A21))+(CBD_Stochastic!$B$7+CBD_Stochastic!$B$9*(4+$A21))*((65+$A21)-CBD_Stochastic!$B$14)))))</f>
        <v>0.776726681692285</v>
      </c>
      <c r="U21" s="11" t="n">
        <f aca="false">(1/(1+EXP(-(((CBD_Stochastic!$B$6+CBD_Stochastic!$B$8*(4+$A21))-CBD_Stochastic!$B$19*CBD_Stochastic!$B$17*SQRT((4+$A21)))+((CBD_Stochastic!$B$7+CBD_Stochastic!$B$9*(4+$A21))-CBD_Stochastic!$B$19*CBD_Stochastic!$B$13*CBD_Stochastic!$B$18*SQRT((4+$A21)))*((68+$A21)-CBD_Stochastic!$B$14)))))/(1/(1+EXP(-((CBD_Stochastic!$B$6+CBD_Stochastic!$B$8*(4+$A21))+(CBD_Stochastic!$B$7+CBD_Stochastic!$B$9*(4+$A21))*((68+$A21)-CBD_Stochastic!$B$14)))))</f>
        <v>0.758447036083016</v>
      </c>
      <c r="V21" s="11" t="n">
        <f aca="false">(1/(1+EXP(-(((CBD_Stochastic!$B$6+CBD_Stochastic!$B$8*(4+$A21))-CBD_Stochastic!$B$19*CBD_Stochastic!$B$17*SQRT((4+$A21)))+((CBD_Stochastic!$B$7+CBD_Stochastic!$B$9*(4+$A21))-CBD_Stochastic!$B$19*CBD_Stochastic!$B$13*CBD_Stochastic!$B$18*SQRT((4+$A21)))*((70+$A21)-CBD_Stochastic!$B$14)))))/(1/(1+EXP(-((CBD_Stochastic!$B$6+CBD_Stochastic!$B$8*(4+$A21))+(CBD_Stochastic!$B$7+CBD_Stochastic!$B$9*(4+$A21))*((70+$A21)-CBD_Stochastic!$B$14)))))</f>
        <v>0.747233614359959</v>
      </c>
      <c r="W21" s="11" t="n">
        <f aca="false">(1/(1+EXP(-(((CBD_Stochastic!$B$6+CBD_Stochastic!$B$8*(4+$A21))-CBD_Stochastic!$B$19*CBD_Stochastic!$B$17*SQRT((4+$A21)))+((CBD_Stochastic!$B$7+CBD_Stochastic!$B$9*(4+$A21))-CBD_Stochastic!$B$19*CBD_Stochastic!$B$13*CBD_Stochastic!$B$18*SQRT((4+$A21)))*((72+$A21)-CBD_Stochastic!$B$14)))))/(1/(1+EXP(-((CBD_Stochastic!$B$6+CBD_Stochastic!$B$8*(4+$A21))+(CBD_Stochastic!$B$7+CBD_Stochastic!$B$9*(4+$A21))*((72+$A21)-CBD_Stochastic!$B$14)))))</f>
        <v>0.736954707060625</v>
      </c>
      <c r="X21" s="11" t="n">
        <f aca="false">(1/(1+EXP(-(((CBD_Stochastic!$B$6+CBD_Stochastic!$B$8*(4+$A21))-CBD_Stochastic!$B$19*CBD_Stochastic!$B$17*SQRT((4+$A21)))+((CBD_Stochastic!$B$7+CBD_Stochastic!$B$9*(4+$A21))-CBD_Stochastic!$B$19*CBD_Stochastic!$B$13*CBD_Stochastic!$B$18*SQRT((4+$A21)))*((75+$A21)-CBD_Stochastic!$B$14)))))/(1/(1+EXP(-((CBD_Stochastic!$B$6+CBD_Stochastic!$B$8*(4+$A21))+(CBD_Stochastic!$B$7+CBD_Stochastic!$B$9*(4+$A21))*((75+$A21)-CBD_Stochastic!$B$14)))))</f>
        <v>0.723661478128617</v>
      </c>
    </row>
    <row r="22" customFormat="false" ht="15" hidden="false" customHeight="true" outlineLevel="0" collapsed="false">
      <c r="A22" s="1" t="n">
        <v>14</v>
      </c>
      <c r="B22" s="32" t="n">
        <f aca="false">IF((60+$A21)&gt;=120,0,B21*(1-MIN(1,IFERROR(INDEX(Cohort_Survival!$B$5:$AA$65,(60+$A21)-59,60-59),1)*(1-Assumptions!$B$21))))</f>
        <v>0.935871859995869</v>
      </c>
      <c r="C22" s="32" t="n">
        <f aca="false">IF((63+$A21)&gt;=120,0,C21*(1-MIN(1,IFERROR(INDEX(Cohort_Survival!$B$5:$AA$65,(63+$A21)-59,63-59),1)*(1-Assumptions!$B$21))))</f>
        <v>0.90810544515049</v>
      </c>
      <c r="D22" s="32" t="n">
        <f aca="false">IF((65+$A21)&gt;=120,0,D21*(1-MIN(1,IFERROR(INDEX(Cohort_Survival!$B$5:$AA$65,(65+$A21)-59,65-59),1)*(1-Assumptions!$B$21))))</f>
        <v>0.882918536623986</v>
      </c>
      <c r="E22" s="32" t="n">
        <f aca="false">IF((68+$A21)&gt;=120,0,E21*(1-MIN(1,IFERROR(INDEX(Cohort_Survival!$B$5:$AA$65,(68+$A21)-59,68-59),1)*(1-Assumptions!$B$21))))</f>
        <v>0.831284025117588</v>
      </c>
      <c r="F22" s="32" t="n">
        <f aca="false">IF((70+$A21)&gt;=120,0,F21*(1-MIN(1,IFERROR(INDEX(Cohort_Survival!$B$5:$AA$65,(70+$A21)-59,70-59),1)*(1-Assumptions!$B$21))))</f>
        <v>0.785296993664574</v>
      </c>
      <c r="G22" s="32" t="n">
        <f aca="false">IF((72+$A21)&gt;=120,0,G21*(1-MIN(1,IFERROR(INDEX(Cohort_Survival!$B$5:$AA$65,(72+$A21)-59,72-59),1)*(1-Assumptions!$B$21))))</f>
        <v>0.728132890591973</v>
      </c>
      <c r="H22" s="32" t="n">
        <f aca="false">IF((75+$A21)&gt;=120,0,H21*(1-MIN(1,IFERROR(INDEX(Cohort_Survival!$B$5:$AA$65,(75+$A21)-59,75-59),1)*(1-Assumptions!$B$21))))</f>
        <v>0.617550708583986</v>
      </c>
      <c r="J22" s="32" t="n">
        <f aca="false">IF((60+$A21)&gt;=120,0,J21*(1-MIN(1,IFERROR(INDEX(Cohort_Survival!$B$5:$AA$65,(60+$A21)-59,60-59),1)*R21)))</f>
        <v>0.930683937093151</v>
      </c>
      <c r="K22" s="32" t="n">
        <f aca="false">IF((63+$A21)&gt;=120,0,K21*(1-MIN(1,IFERROR(INDEX(Cohort_Survival!$B$5:$AA$65,(63+$A21)-59,63-59),1)*S21)))</f>
        <v>0.902910736647212</v>
      </c>
      <c r="L22" s="32" t="n">
        <f aca="false">IF((65+$A21)&gt;=120,0,L21*(1-MIN(1,IFERROR(INDEX(Cohort_Survival!$B$5:$AA$65,(65+$A21)-59,65-59),1)*T21)))</f>
        <v>0.878085579889753</v>
      </c>
      <c r="M22" s="32" t="n">
        <f aca="false">IF((68+$A21)&gt;=120,0,M21*(1-MIN(1,IFERROR(INDEX(Cohort_Survival!$B$5:$AA$65,(68+$A21)-59,68-59),1)*U21)))</f>
        <v>0.82803830756282</v>
      </c>
      <c r="N22" s="32" t="n">
        <f aca="false">IF((70+$A21)&gt;=120,0,N21*(1-MIN(1,IFERROR(INDEX(Cohort_Survival!$B$5:$AA$65,(70+$A21)-59,70-59),1)*V21)))</f>
        <v>0.783960037561974</v>
      </c>
      <c r="O22" s="32" t="n">
        <f aca="false">IF((72+$A21)&gt;=120,0,O21*(1-MIN(1,IFERROR(INDEX(Cohort_Survival!$B$5:$AA$65,(72+$A21)-59,72-59),1)*W21)))</f>
        <v>0.729656853856755</v>
      </c>
      <c r="P22" s="32" t="n">
        <f aca="false">IF((75+$A21)&gt;=120,0,P21*(1-MIN(1,IFERROR(INDEX(Cohort_Survival!$B$5:$AA$65,(75+$A21)-59,75-59),1)*X21)))</f>
        <v>0.625095125038296</v>
      </c>
      <c r="R22" s="11" t="n">
        <f aca="false">(1/(1+EXP(-(((CBD_Stochastic!$B$6+CBD_Stochastic!$B$8*(4+$A22))-CBD_Stochastic!$B$19*CBD_Stochastic!$B$17*SQRT((4+$A22)))+((CBD_Stochastic!$B$7+CBD_Stochastic!$B$9*(4+$A22))-CBD_Stochastic!$B$19*CBD_Stochastic!$B$13*CBD_Stochastic!$B$18*SQRT((4+$A22)))*((60+$A22)-CBD_Stochastic!$B$14)))))/(1/(1+EXP(-((CBD_Stochastic!$B$6+CBD_Stochastic!$B$8*(4+$A22))+(CBD_Stochastic!$B$7+CBD_Stochastic!$B$9*(4+$A22))*((60+$A22)-CBD_Stochastic!$B$14)))))</f>
        <v>0.798144220135774</v>
      </c>
      <c r="S22" s="11" t="n">
        <f aca="false">(1/(1+EXP(-(((CBD_Stochastic!$B$6+CBD_Stochastic!$B$8*(4+$A22))-CBD_Stochastic!$B$19*CBD_Stochastic!$B$17*SQRT((4+$A22)))+((CBD_Stochastic!$B$7+CBD_Stochastic!$B$9*(4+$A22))-CBD_Stochastic!$B$19*CBD_Stochastic!$B$13*CBD_Stochastic!$B$18*SQRT((4+$A22)))*((63+$A22)-CBD_Stochastic!$B$14)))))/(1/(1+EXP(-((CBD_Stochastic!$B$6+CBD_Stochastic!$B$8*(4+$A22))+(CBD_Stochastic!$B$7+CBD_Stochastic!$B$9*(4+$A22))*((63+$A22)-CBD_Stochastic!$B$14)))))</f>
        <v>0.77752168455291</v>
      </c>
      <c r="T22" s="11" t="n">
        <f aca="false">(1/(1+EXP(-(((CBD_Stochastic!$B$6+CBD_Stochastic!$B$8*(4+$A22))-CBD_Stochastic!$B$19*CBD_Stochastic!$B$17*SQRT((4+$A22)))+((CBD_Stochastic!$B$7+CBD_Stochastic!$B$9*(4+$A22))-CBD_Stochastic!$B$19*CBD_Stochastic!$B$13*CBD_Stochastic!$B$18*SQRT((4+$A22)))*((65+$A22)-CBD_Stochastic!$B$14)))))/(1/(1+EXP(-((CBD_Stochastic!$B$6+CBD_Stochastic!$B$8*(4+$A22))+(CBD_Stochastic!$B$7+CBD_Stochastic!$B$9*(4+$A22))*((65+$A22)-CBD_Stochastic!$B$14)))))</f>
        <v>0.764523102025621</v>
      </c>
      <c r="U22" s="11" t="n">
        <f aca="false">(1/(1+EXP(-(((CBD_Stochastic!$B$6+CBD_Stochastic!$B$8*(4+$A22))-CBD_Stochastic!$B$19*CBD_Stochastic!$B$17*SQRT((4+$A22)))+((CBD_Stochastic!$B$7+CBD_Stochastic!$B$9*(4+$A22))-CBD_Stochastic!$B$19*CBD_Stochastic!$B$13*CBD_Stochastic!$B$18*SQRT((4+$A22)))*((68+$A22)-CBD_Stochastic!$B$14)))))/(1/(1+EXP(-((CBD_Stochastic!$B$6+CBD_Stochastic!$B$8*(4+$A22))+(CBD_Stochastic!$B$7+CBD_Stochastic!$B$9*(4+$A22))*((68+$A22)-CBD_Stochastic!$B$14)))))</f>
        <v>0.746372243563779</v>
      </c>
      <c r="V22" s="11" t="n">
        <f aca="false">(1/(1+EXP(-(((CBD_Stochastic!$B$6+CBD_Stochastic!$B$8*(4+$A22))-CBD_Stochastic!$B$19*CBD_Stochastic!$B$17*SQRT((4+$A22)))+((CBD_Stochastic!$B$7+CBD_Stochastic!$B$9*(4+$A22))-CBD_Stochastic!$B$19*CBD_Stochastic!$B$13*CBD_Stochastic!$B$18*SQRT((4+$A22)))*((70+$A22)-CBD_Stochastic!$B$14)))))/(1/(1+EXP(-((CBD_Stochastic!$B$6+CBD_Stochastic!$B$8*(4+$A22))+(CBD_Stochastic!$B$7+CBD_Stochastic!$B$9*(4+$A22))*((70+$A22)-CBD_Stochastic!$B$14)))))</f>
        <v>0.735341538820652</v>
      </c>
      <c r="W22" s="11" t="n">
        <f aca="false">(1/(1+EXP(-(((CBD_Stochastic!$B$6+CBD_Stochastic!$B$8*(4+$A22))-CBD_Stochastic!$B$19*CBD_Stochastic!$B$17*SQRT((4+$A22)))+((CBD_Stochastic!$B$7+CBD_Stochastic!$B$9*(4+$A22))-CBD_Stochastic!$B$19*CBD_Stochastic!$B$13*CBD_Stochastic!$B$18*SQRT((4+$A22)))*((72+$A22)-CBD_Stochastic!$B$14)))))/(1/(1+EXP(-((CBD_Stochastic!$B$6+CBD_Stochastic!$B$8*(4+$A22))+(CBD_Stochastic!$B$7+CBD_Stochastic!$B$9*(4+$A22))*((72+$A22)-CBD_Stochastic!$B$14)))))</f>
        <v>0.725340417701858</v>
      </c>
      <c r="X22" s="11" t="n">
        <f aca="false">(1/(1+EXP(-(((CBD_Stochastic!$B$6+CBD_Stochastic!$B$8*(4+$A22))-CBD_Stochastic!$B$19*CBD_Stochastic!$B$17*SQRT((4+$A22)))+((CBD_Stochastic!$B$7+CBD_Stochastic!$B$9*(4+$A22))-CBD_Stochastic!$B$19*CBD_Stochastic!$B$13*CBD_Stochastic!$B$18*SQRT((4+$A22)))*((75+$A22)-CBD_Stochastic!$B$14)))))/(1/(1+EXP(-((CBD_Stochastic!$B$6+CBD_Stochastic!$B$8*(4+$A22))+(CBD_Stochastic!$B$7+CBD_Stochastic!$B$9*(4+$A22))*((75+$A22)-CBD_Stochastic!$B$14)))))</f>
        <v>0.712680337754367</v>
      </c>
    </row>
    <row r="23" customFormat="false" ht="15" hidden="false" customHeight="true" outlineLevel="0" collapsed="false">
      <c r="A23" s="1" t="n">
        <v>15</v>
      </c>
      <c r="B23" s="32" t="n">
        <f aca="false">IF((60+$A22)&gt;=120,0,B22*(1-MIN(1,IFERROR(INDEX(Cohort_Survival!$B$5:$AA$65,(60+$A22)-59,60-59),1)*(1-Assumptions!$B$21))))</f>
        <v>0.926922892043732</v>
      </c>
      <c r="C23" s="32" t="n">
        <f aca="false">IF((63+$A22)&gt;=120,0,C22*(1-MIN(1,IFERROR(INDEX(Cohort_Survival!$B$5:$AA$65,(63+$A22)-59,63-59),1)*(1-Assumptions!$B$21))))</f>
        <v>0.895008942988044</v>
      </c>
      <c r="D23" s="32" t="n">
        <f aca="false">IF((65+$A22)&gt;=120,0,D22*(1-MIN(1,IFERROR(INDEX(Cohort_Survival!$B$5:$AA$65,(65+$A22)-59,65-59),1)*(1-Assumptions!$B$21))))</f>
        <v>0.866444935194043</v>
      </c>
      <c r="E23" s="32" t="n">
        <f aca="false">IF((68+$A22)&gt;=120,0,E22*(1-MIN(1,IFERROR(INDEX(Cohort_Survival!$B$5:$AA$65,(68+$A22)-59,68-59),1)*(1-Assumptions!$B$21))))</f>
        <v>0.807567627930083</v>
      </c>
      <c r="F23" s="32" t="n">
        <f aca="false">IF((70+$A22)&gt;=120,0,F22*(1-MIN(1,IFERROR(INDEX(Cohort_Survival!$B$5:$AA$65,(70+$A22)-59,70-59),1)*(1-Assumptions!$B$21))))</f>
        <v>0.756225532069685</v>
      </c>
      <c r="G23" s="32" t="n">
        <f aca="false">IF((72+$A22)&gt;=120,0,G22*(1-MIN(1,IFERROR(INDEX(Cohort_Survival!$B$5:$AA$65,(72+$A22)-59,72-59),1)*(1-Assumptions!$B$21))))</f>
        <v>0.69180381953405</v>
      </c>
      <c r="H23" s="32" t="n">
        <f aca="false">IF((75+$A22)&gt;=120,0,H22*(1-MIN(1,IFERROR(INDEX(Cohort_Survival!$B$5:$AA$65,(75+$A22)-59,75-59),1)*(1-Assumptions!$B$21))))</f>
        <v>0.57155093616826</v>
      </c>
      <c r="J23" s="32" t="n">
        <f aca="false">IF((60+$A22)&gt;=120,0,J22*(1-MIN(1,IFERROR(INDEX(Cohort_Survival!$B$5:$AA$65,(60+$A22)-59,60-59),1)*R22)))</f>
        <v>0.921805221020245</v>
      </c>
      <c r="K23" s="32" t="n">
        <f aca="false">IF((63+$A22)&gt;=120,0,K22*(1-MIN(1,IFERROR(INDEX(Cohort_Survival!$B$5:$AA$65,(63+$A22)-59,63-59),1)*S22)))</f>
        <v>0.890255030582187</v>
      </c>
      <c r="L23" s="32" t="n">
        <f aca="false">IF((65+$A22)&gt;=120,0,L22*(1-MIN(1,IFERROR(INDEX(Cohort_Survival!$B$5:$AA$65,(65+$A22)-59,65-59),1)*T22)))</f>
        <v>0.862428693838237</v>
      </c>
      <c r="M23" s="32" t="n">
        <f aca="false">IF((68+$A22)&gt;=120,0,M22*(1-MIN(1,IFERROR(INDEX(Cohort_Survival!$B$5:$AA$65,(68+$A22)-59,68-59),1)*U22)))</f>
        <v>0.805998124232076</v>
      </c>
      <c r="N23" s="32" t="n">
        <f aca="false">IF((70+$A22)&gt;=120,0,N22*(1-MIN(1,IFERROR(INDEX(Cohort_Survival!$B$5:$AA$65,(70+$A22)-59,70-59),1)*V22)))</f>
        <v>0.757283714414277</v>
      </c>
      <c r="O23" s="32" t="n">
        <f aca="false">IF((72+$A22)&gt;=120,0,O22*(1-MIN(1,IFERROR(INDEX(Cohort_Survival!$B$5:$AA$65,(72+$A22)-59,72-59),1)*W22)))</f>
        <v>0.696649234584644</v>
      </c>
      <c r="P23" s="32" t="n">
        <f aca="false">IF((75+$A22)&gt;=120,0,P22*(1-MIN(1,IFERROR(INDEX(Cohort_Survival!$B$5:$AA$65,(75+$A22)-59,75-59),1)*X22)))</f>
        <v>0.583615582244013</v>
      </c>
      <c r="R23" s="11" t="n">
        <f aca="false">(1/(1+EXP(-(((CBD_Stochastic!$B$6+CBD_Stochastic!$B$8*(4+$A23))-CBD_Stochastic!$B$19*CBD_Stochastic!$B$17*SQRT((4+$A23)))+((CBD_Stochastic!$B$7+CBD_Stochastic!$B$9*(4+$A23))-CBD_Stochastic!$B$19*CBD_Stochastic!$B$13*CBD_Stochastic!$B$18*SQRT((4+$A23)))*((60+$A23)-CBD_Stochastic!$B$14)))))/(1/(1+EXP(-((CBD_Stochastic!$B$6+CBD_Stochastic!$B$8*(4+$A23))+(CBD_Stochastic!$B$7+CBD_Stochastic!$B$9*(4+$A23))*((60+$A23)-CBD_Stochastic!$B$14)))))</f>
        <v>0.785989409290635</v>
      </c>
      <c r="S23" s="11" t="n">
        <f aca="false">(1/(1+EXP(-(((CBD_Stochastic!$B$6+CBD_Stochastic!$B$8*(4+$A23))-CBD_Stochastic!$B$19*CBD_Stochastic!$B$17*SQRT((4+$A23)))+((CBD_Stochastic!$B$7+CBD_Stochastic!$B$9*(4+$A23))-CBD_Stochastic!$B$19*CBD_Stochastic!$B$13*CBD_Stochastic!$B$18*SQRT((4+$A23)))*((63+$A23)-CBD_Stochastic!$B$14)))))/(1/(1+EXP(-((CBD_Stochastic!$B$6+CBD_Stochastic!$B$8*(4+$A23))+(CBD_Stochastic!$B$7+CBD_Stochastic!$B$9*(4+$A23))*((63+$A23)-CBD_Stochastic!$B$14)))))</f>
        <v>0.765348613591781</v>
      </c>
      <c r="T23" s="11" t="n">
        <f aca="false">(1/(1+EXP(-(((CBD_Stochastic!$B$6+CBD_Stochastic!$B$8*(4+$A23))-CBD_Stochastic!$B$19*CBD_Stochastic!$B$17*SQRT((4+$A23)))+((CBD_Stochastic!$B$7+CBD_Stochastic!$B$9*(4+$A23))-CBD_Stochastic!$B$19*CBD_Stochastic!$B$13*CBD_Stochastic!$B$18*SQRT((4+$A23)))*((65+$A23)-CBD_Stochastic!$B$14)))))/(1/(1+EXP(-((CBD_Stochastic!$B$6+CBD_Stochastic!$B$8*(4+$A23))+(CBD_Stochastic!$B$7+CBD_Stochastic!$B$9*(4+$A23))*((65+$A23)-CBD_Stochastic!$B$14)))))</f>
        <v>0.752404715894866</v>
      </c>
      <c r="U23" s="11" t="n">
        <f aca="false">(1/(1+EXP(-(((CBD_Stochastic!$B$6+CBD_Stochastic!$B$8*(4+$A23))-CBD_Stochastic!$B$19*CBD_Stochastic!$B$17*SQRT((4+$A23)))+((CBD_Stochastic!$B$7+CBD_Stochastic!$B$9*(4+$A23))-CBD_Stochastic!$B$19*CBD_Stochastic!$B$13*CBD_Stochastic!$B$18*SQRT((4+$A23)))*((68+$A23)-CBD_Stochastic!$B$14)))))/(1/(1+EXP(-((CBD_Stochastic!$B$6+CBD_Stochastic!$B$8*(4+$A23))+(CBD_Stochastic!$B$7+CBD_Stochastic!$B$9*(4+$A23))*((68+$A23)-CBD_Stochastic!$B$14)))))</f>
        <v>0.734463675414134</v>
      </c>
      <c r="V23" s="11" t="n">
        <f aca="false">(1/(1+EXP(-(((CBD_Stochastic!$B$6+CBD_Stochastic!$B$8*(4+$A23))-CBD_Stochastic!$B$19*CBD_Stochastic!$B$17*SQRT((4+$A23)))+((CBD_Stochastic!$B$7+CBD_Stochastic!$B$9*(4+$A23))-CBD_Stochastic!$B$19*CBD_Stochastic!$B$13*CBD_Stochastic!$B$18*SQRT((4+$A23)))*((70+$A23)-CBD_Stochastic!$B$14)))))/(1/(1+EXP(-((CBD_Stochastic!$B$6+CBD_Stochastic!$B$8*(4+$A23))+(CBD_Stochastic!$B$7+CBD_Stochastic!$B$9*(4+$A23))*((70+$A23)-CBD_Stochastic!$B$14)))))</f>
        <v>0.72367809139374</v>
      </c>
      <c r="W23" s="11" t="n">
        <f aca="false">(1/(1+EXP(-(((CBD_Stochastic!$B$6+CBD_Stochastic!$B$8*(4+$A23))-CBD_Stochastic!$B$19*CBD_Stochastic!$B$17*SQRT((4+$A23)))+((CBD_Stochastic!$B$7+CBD_Stochastic!$B$9*(4+$A23))-CBD_Stochastic!$B$19*CBD_Stochastic!$B$13*CBD_Stochastic!$B$18*SQRT((4+$A23)))*((72+$A23)-CBD_Stochastic!$B$14)))))/(1/(1+EXP(-((CBD_Stochastic!$B$6+CBD_Stochastic!$B$8*(4+$A23))+(CBD_Stochastic!$B$7+CBD_Stochastic!$B$9*(4+$A23))*((72+$A23)-CBD_Stochastic!$B$14)))))</f>
        <v>0.714025195434916</v>
      </c>
      <c r="X23" s="11" t="n">
        <f aca="false">(1/(1+EXP(-(((CBD_Stochastic!$B$6+CBD_Stochastic!$B$8*(4+$A23))-CBD_Stochastic!$B$19*CBD_Stochastic!$B$17*SQRT((4+$A23)))+((CBD_Stochastic!$B$7+CBD_Stochastic!$B$9*(4+$A23))-CBD_Stochastic!$B$19*CBD_Stochastic!$B$13*CBD_Stochastic!$B$18*SQRT((4+$A23)))*((75+$A23)-CBD_Stochastic!$B$14)))))/(1/(1+EXP(-((CBD_Stochastic!$B$6+CBD_Stochastic!$B$8*(4+$A23))+(CBD_Stochastic!$B$7+CBD_Stochastic!$B$9*(4+$A23))*((75+$A23)-CBD_Stochastic!$B$14)))))</f>
        <v>0.7021209395104</v>
      </c>
    </row>
    <row r="24" customFormat="false" ht="15" hidden="false" customHeight="true" outlineLevel="0" collapsed="false">
      <c r="A24" s="1" t="n">
        <v>16</v>
      </c>
      <c r="B24" s="32" t="n">
        <f aca="false">IF((60+$A23)&gt;=120,0,B23*(1-MIN(1,IFERROR(INDEX(Cohort_Survival!$B$5:$AA$65,(60+$A23)-59,60-59),1)*(1-Assumptions!$B$21))))</f>
        <v>0.916693084629572</v>
      </c>
      <c r="C24" s="32" t="n">
        <f aca="false">IF((63+$A23)&gt;=120,0,C23*(1-MIN(1,IFERROR(INDEX(Cohort_Survival!$B$5:$AA$65,(63+$A23)-59,63-59),1)*(1-Assumptions!$B$21))))</f>
        <v>0.880555022793753</v>
      </c>
      <c r="D24" s="32" t="n">
        <f aca="false">IF((65+$A23)&gt;=120,0,D23*(1-MIN(1,IFERROR(INDEX(Cohort_Survival!$B$5:$AA$65,(65+$A23)-59,65-59),1)*(1-Assumptions!$B$21))))</f>
        <v>0.847691918598595</v>
      </c>
      <c r="E24" s="32" t="n">
        <f aca="false">IF((68+$A23)&gt;=120,0,E23*(1-MIN(1,IFERROR(INDEX(Cohort_Survival!$B$5:$AA$65,(68+$A23)-59,68-59),1)*(1-Assumptions!$B$21))))</f>
        <v>0.78171017182284</v>
      </c>
      <c r="F24" s="32" t="n">
        <f aca="false">IF((70+$A23)&gt;=120,0,F23*(1-MIN(1,IFERROR(INDEX(Cohort_Survival!$B$5:$AA$65,(70+$A23)-59,70-59),1)*(1-Assumptions!$B$21))))</f>
        <v>0.723813235657108</v>
      </c>
      <c r="G24" s="32" t="n">
        <f aca="false">IF((72+$A23)&gt;=120,0,G23*(1-MIN(1,IFERROR(INDEX(Cohort_Survival!$B$5:$AA$65,(72+$A23)-59,72-59),1)*(1-Assumptions!$B$21))))</f>
        <v>0.652825737499244</v>
      </c>
      <c r="H24" s="32" t="n">
        <f aca="false">IF((75+$A23)&gt;=120,0,H23*(1-MIN(1,IFERROR(INDEX(Cohort_Survival!$B$5:$AA$65,(75+$A23)-59,75-59),1)*(1-Assumptions!$B$21))))</f>
        <v>0.522167491191244</v>
      </c>
      <c r="J24" s="32" t="n">
        <f aca="false">IF((60+$A23)&gt;=120,0,J23*(1-MIN(1,IFERROR(INDEX(Cohort_Survival!$B$5:$AA$65,(60+$A23)-59,60-59),1)*R23)))</f>
        <v>0.911810061709345</v>
      </c>
      <c r="K24" s="32" t="n">
        <f aca="false">IF((63+$A23)&gt;=120,0,K23*(1-MIN(1,IFERROR(INDEX(Cohort_Survival!$B$5:$AA$65,(63+$A23)-59,63-59),1)*S23)))</f>
        <v>0.876500618650701</v>
      </c>
      <c r="L24" s="32" t="n">
        <f aca="false">IF((65+$A23)&gt;=120,0,L23*(1-MIN(1,IFERROR(INDEX(Cohort_Survival!$B$5:$AA$65,(65+$A23)-59,65-59),1)*T23)))</f>
        <v>0.84487312565156</v>
      </c>
      <c r="M24" s="32" t="n">
        <f aca="false">IF((68+$A23)&gt;=120,0,M23*(1-MIN(1,IFERROR(INDEX(Cohort_Survival!$B$5:$AA$65,(68+$A23)-59,68-59),1)*U23)))</f>
        <v>0.782305058443811</v>
      </c>
      <c r="N24" s="32" t="n">
        <f aca="false">IF((70+$A23)&gt;=120,0,N23*(1-MIN(1,IFERROR(INDEX(Cohort_Survival!$B$5:$AA$65,(70+$A23)-59,70-59),1)*V23)))</f>
        <v>0.727922600967731</v>
      </c>
      <c r="O24" s="32" t="n">
        <f aca="false">IF((72+$A23)&gt;=120,0,O23*(1-MIN(1,IFERROR(INDEX(Cohort_Survival!$B$5:$AA$65,(72+$A23)-59,72-59),1)*W23)))</f>
        <v>0.661616404403135</v>
      </c>
      <c r="P24" s="32" t="n">
        <f aca="false">IF((75+$A23)&gt;=120,0,P23*(1-MIN(1,IFERROR(INDEX(Cohort_Survival!$B$5:$AA$65,(75+$A23)-59,75-59),1)*X23)))</f>
        <v>0.539359266222507</v>
      </c>
      <c r="R24" s="11" t="n">
        <f aca="false">(1/(1+EXP(-(((CBD_Stochastic!$B$6+CBD_Stochastic!$B$8*(4+$A24))-CBD_Stochastic!$B$19*CBD_Stochastic!$B$17*SQRT((4+$A24)))+((CBD_Stochastic!$B$7+CBD_Stochastic!$B$9*(4+$A24))-CBD_Stochastic!$B$19*CBD_Stochastic!$B$13*CBD_Stochastic!$B$18*SQRT((4+$A24)))*((60+$A24)-CBD_Stochastic!$B$14)))))/(1/(1+EXP(-((CBD_Stochastic!$B$6+CBD_Stochastic!$B$8*(4+$A24))+(CBD_Stochastic!$B$7+CBD_Stochastic!$B$9*(4+$A24))*((60+$A24)-CBD_Stochastic!$B$14)))))</f>
        <v>0.773830890080767</v>
      </c>
      <c r="S24" s="11" t="n">
        <f aca="false">(1/(1+EXP(-(((CBD_Stochastic!$B$6+CBD_Stochastic!$B$8*(4+$A24))-CBD_Stochastic!$B$19*CBD_Stochastic!$B$17*SQRT((4+$A24)))+((CBD_Stochastic!$B$7+CBD_Stochastic!$B$9*(4+$A24))-CBD_Stochastic!$B$19*CBD_Stochastic!$B$13*CBD_Stochastic!$B$18*SQRT((4+$A24)))*((63+$A24)-CBD_Stochastic!$B$14)))))/(1/(1+EXP(-((CBD_Stochastic!$B$6+CBD_Stochastic!$B$8*(4+$A24))+(CBD_Stochastic!$B$7+CBD_Stochastic!$B$9*(4+$A24))*((63+$A24)-CBD_Stochastic!$B$14)))))</f>
        <v>0.753235859408528</v>
      </c>
      <c r="T24" s="11" t="n">
        <f aca="false">(1/(1+EXP(-(((CBD_Stochastic!$B$6+CBD_Stochastic!$B$8*(4+$A24))-CBD_Stochastic!$B$19*CBD_Stochastic!$B$17*SQRT((4+$A24)))+((CBD_Stochastic!$B$7+CBD_Stochastic!$B$9*(4+$A24))-CBD_Stochastic!$B$19*CBD_Stochastic!$B$13*CBD_Stochastic!$B$18*SQRT((4+$A24)))*((65+$A24)-CBD_Stochastic!$B$14)))))/(1/(1+EXP(-((CBD_Stochastic!$B$6+CBD_Stochastic!$B$8*(4+$A24))+(CBD_Stochastic!$B$7+CBD_Stochastic!$B$9*(4+$A24))*((65+$A24)-CBD_Stochastic!$B$14)))))</f>
        <v>0.740394940967309</v>
      </c>
      <c r="U24" s="11" t="n">
        <f aca="false">(1/(1+EXP(-(((CBD_Stochastic!$B$6+CBD_Stochastic!$B$8*(4+$A24))-CBD_Stochastic!$B$19*CBD_Stochastic!$B$17*SQRT((4+$A24)))+((CBD_Stochastic!$B$7+CBD_Stochastic!$B$9*(4+$A24))-CBD_Stochastic!$B$19*CBD_Stochastic!$B$13*CBD_Stochastic!$B$18*SQRT((4+$A24)))*((68+$A24)-CBD_Stochastic!$B$14)))))/(1/(1+EXP(-((CBD_Stochastic!$B$6+CBD_Stochastic!$B$8*(4+$A24))+(CBD_Stochastic!$B$7+CBD_Stochastic!$B$9*(4+$A24))*((68+$A24)-CBD_Stochastic!$B$14)))))</f>
        <v>0.722747316457554</v>
      </c>
      <c r="V24" s="11" t="n">
        <f aca="false">(1/(1+EXP(-(((CBD_Stochastic!$B$6+CBD_Stochastic!$B$8*(4+$A24))-CBD_Stochastic!$B$19*CBD_Stochastic!$B$17*SQRT((4+$A24)))+((CBD_Stochastic!$B$7+CBD_Stochastic!$B$9*(4+$A24))-CBD_Stochastic!$B$19*CBD_Stochastic!$B$13*CBD_Stochastic!$B$18*SQRT((4+$A24)))*((70+$A24)-CBD_Stochastic!$B$14)))))/(1/(1+EXP(-((CBD_Stochastic!$B$6+CBD_Stochastic!$B$8*(4+$A24))+(CBD_Stochastic!$B$7+CBD_Stochastic!$B$9*(4+$A24))*((70+$A24)-CBD_Stochastic!$B$14)))))</f>
        <v>0.712271744970232</v>
      </c>
      <c r="W24" s="11" t="n">
        <f aca="false">(1/(1+EXP(-(((CBD_Stochastic!$B$6+CBD_Stochastic!$B$8*(4+$A24))-CBD_Stochastic!$B$19*CBD_Stochastic!$B$17*SQRT((4+$A24)))+((CBD_Stochastic!$B$7+CBD_Stochastic!$B$9*(4+$A24))-CBD_Stochastic!$B$19*CBD_Stochastic!$B$13*CBD_Stochastic!$B$18*SQRT((4+$A24)))*((72+$A24)-CBD_Stochastic!$B$14)))))/(1/(1+EXP(-((CBD_Stochastic!$B$6+CBD_Stochastic!$B$8*(4+$A24))+(CBD_Stochastic!$B$7+CBD_Stochastic!$B$9*(4+$A24))*((72+$A24)-CBD_Stochastic!$B$14)))))</f>
        <v>0.703040593354395</v>
      </c>
      <c r="X24" s="11" t="n">
        <f aca="false">(1/(1+EXP(-(((CBD_Stochastic!$B$6+CBD_Stochastic!$B$8*(4+$A24))-CBD_Stochastic!$B$19*CBD_Stochastic!$B$17*SQRT((4+$A24)))+((CBD_Stochastic!$B$7+CBD_Stochastic!$B$9*(4+$A24))-CBD_Stochastic!$B$19*CBD_Stochastic!$B$13*CBD_Stochastic!$B$18*SQRT((4+$A24)))*((75+$A24)-CBD_Stochastic!$B$14)))))/(1/(1+EXP(-((CBD_Stochastic!$B$6+CBD_Stochastic!$B$8*(4+$A24))+(CBD_Stochastic!$B$7+CBD_Stochastic!$B$9*(4+$A24))*((75+$A24)-CBD_Stochastic!$B$14)))))</f>
        <v>0.692020229888554</v>
      </c>
    </row>
    <row r="25" customFormat="false" ht="15" hidden="false" customHeight="true" outlineLevel="0" collapsed="false">
      <c r="A25" s="1" t="n">
        <v>17</v>
      </c>
      <c r="B25" s="32" t="n">
        <f aca="false">IF((60+$A24)&gt;=120,0,B24*(1-MIN(1,IFERROR(INDEX(Cohort_Survival!$B$5:$AA$65,(60+$A24)-59,60-59),1)*(1-Assumptions!$B$21))))</f>
        <v>0.905395960142667</v>
      </c>
      <c r="C25" s="32" t="n">
        <f aca="false">IF((63+$A24)&gt;=120,0,C24*(1-MIN(1,IFERROR(INDEX(Cohort_Survival!$B$5:$AA$65,(63+$A24)-59,63-59),1)*(1-Assumptions!$B$21))))</f>
        <v>0.864614708535223</v>
      </c>
      <c r="D25" s="32" t="n">
        <f aca="false">IF((65+$A24)&gt;=120,0,D24*(1-MIN(1,IFERROR(INDEX(Cohort_Survival!$B$5:$AA$65,(65+$A24)-59,65-59),1)*(1-Assumptions!$B$21))))</f>
        <v>0.827101199410938</v>
      </c>
      <c r="E25" s="32" t="n">
        <f aca="false">IF((68+$A24)&gt;=120,0,E24*(1-MIN(1,IFERROR(INDEX(Cohort_Survival!$B$5:$AA$65,(68+$A24)-59,68-59),1)*(1-Assumptions!$B$21))))</f>
        <v>0.753633142460591</v>
      </c>
      <c r="F25" s="32" t="n">
        <f aca="false">IF((70+$A24)&gt;=120,0,F24*(1-MIN(1,IFERROR(INDEX(Cohort_Survival!$B$5:$AA$65,(70+$A24)-59,70-59),1)*(1-Assumptions!$B$21))))</f>
        <v>0.688732268832463</v>
      </c>
      <c r="G25" s="32" t="n">
        <f aca="false">IF((72+$A24)&gt;=120,0,G24*(1-MIN(1,IFERROR(INDEX(Cohort_Survival!$B$5:$AA$65,(72+$A24)-59,72-59),1)*(1-Assumptions!$B$21))))</f>
        <v>0.611311476125913</v>
      </c>
      <c r="H25" s="32" t="n">
        <f aca="false">IF((75+$A24)&gt;=120,0,H24*(1-MIN(1,IFERROR(INDEX(Cohort_Survival!$B$5:$AA$65,(75+$A24)-59,75-59),1)*(1-Assumptions!$B$21))))</f>
        <v>0.471626831979991</v>
      </c>
      <c r="J25" s="32" t="n">
        <f aca="false">IF((60+$A24)&gt;=120,0,J24*(1-MIN(1,IFERROR(INDEX(Cohort_Survival!$B$5:$AA$65,(60+$A24)-59,60-59),1)*R24)))</f>
        <v>0.900940690658261</v>
      </c>
      <c r="K25" s="32" t="n">
        <f aca="false">IF((63+$A24)&gt;=120,0,K24*(1-MIN(1,IFERROR(INDEX(Cohort_Survival!$B$5:$AA$65,(63+$A24)-59,63-59),1)*S24)))</f>
        <v>0.86156120309586</v>
      </c>
      <c r="L25" s="32" t="n">
        <f aca="false">IF((65+$A24)&gt;=120,0,L24*(1-MIN(1,IFERROR(INDEX(Cohort_Survival!$B$5:$AA$65,(65+$A24)-59,65-59),1)*T24)))</f>
        <v>0.825879913270027</v>
      </c>
      <c r="M25" s="32" t="n">
        <f aca="false">IF((68+$A24)&gt;=120,0,M24*(1-MIN(1,IFERROR(INDEX(Cohort_Survival!$B$5:$AA$65,(68+$A24)-59,68-59),1)*U24)))</f>
        <v>0.756920007910145</v>
      </c>
      <c r="N25" s="32" t="n">
        <f aca="false">IF((70+$A24)&gt;=120,0,N24*(1-MIN(1,IFERROR(INDEX(Cohort_Survival!$B$5:$AA$65,(70+$A24)-59,70-59),1)*V24)))</f>
        <v>0.696511296884264</v>
      </c>
      <c r="O25" s="32" t="n">
        <f aca="false">IF((72+$A24)&gt;=120,0,O24*(1-MIN(1,IFERROR(INDEX(Cohort_Survival!$B$5:$AA$65,(72+$A24)-59,72-59),1)*W24)))</f>
        <v>0.62464237971946</v>
      </c>
      <c r="P25" s="32" t="n">
        <f aca="false">IF((75+$A24)&gt;=120,0,P24*(1-MIN(1,IFERROR(INDEX(Cohort_Survival!$B$5:$AA$65,(75+$A24)-59,75-59),1)*X24)))</f>
        <v>0.494200920959666</v>
      </c>
      <c r="R25" s="11" t="n">
        <f aca="false">(1/(1+EXP(-(((CBD_Stochastic!$B$6+CBD_Stochastic!$B$8*(4+$A25))-CBD_Stochastic!$B$19*CBD_Stochastic!$B$17*SQRT((4+$A25)))+((CBD_Stochastic!$B$7+CBD_Stochastic!$B$9*(4+$A25))-CBD_Stochastic!$B$19*CBD_Stochastic!$B$13*CBD_Stochastic!$B$18*SQRT((4+$A25)))*((60+$A25)-CBD_Stochastic!$B$14)))))/(1/(1+EXP(-((CBD_Stochastic!$B$6+CBD_Stochastic!$B$8*(4+$A25))+(CBD_Stochastic!$B$7+CBD_Stochastic!$B$9*(4+$A25))*((60+$A25)-CBD_Stochastic!$B$14)))))</f>
        <v>0.761690631920401</v>
      </c>
      <c r="S25" s="11" t="n">
        <f aca="false">(1/(1+EXP(-(((CBD_Stochastic!$B$6+CBD_Stochastic!$B$8*(4+$A25))-CBD_Stochastic!$B$19*CBD_Stochastic!$B$17*SQRT((4+$A25)))+((CBD_Stochastic!$B$7+CBD_Stochastic!$B$9*(4+$A25))-CBD_Stochastic!$B$19*CBD_Stochastic!$B$13*CBD_Stochastic!$B$18*SQRT((4+$A25)))*((63+$A25)-CBD_Stochastic!$B$14)))))/(1/(1+EXP(-((CBD_Stochastic!$B$6+CBD_Stochastic!$B$8*(4+$A25))+(CBD_Stochastic!$B$7+CBD_Stochastic!$B$9*(4+$A25))*((63+$A25)-CBD_Stochastic!$B$14)))))</f>
        <v>0.741206511312661</v>
      </c>
      <c r="T25" s="11" t="n">
        <f aca="false">(1/(1+EXP(-(((CBD_Stochastic!$B$6+CBD_Stochastic!$B$8*(4+$A25))-CBD_Stochastic!$B$19*CBD_Stochastic!$B$17*SQRT((4+$A25)))+((CBD_Stochastic!$B$7+CBD_Stochastic!$B$9*(4+$A25))-CBD_Stochastic!$B$19*CBD_Stochastic!$B$13*CBD_Stochastic!$B$18*SQRT((4+$A25)))*((65+$A25)-CBD_Stochastic!$B$14)))))/(1/(1+EXP(-((CBD_Stochastic!$B$6+CBD_Stochastic!$B$8*(4+$A25))+(CBD_Stochastic!$B$7+CBD_Stochastic!$B$9*(4+$A25))*((65+$A25)-CBD_Stochastic!$B$14)))))</f>
        <v>0.728518271656793</v>
      </c>
      <c r="U25" s="11" t="n">
        <f aca="false">(1/(1+EXP(-(((CBD_Stochastic!$B$6+CBD_Stochastic!$B$8*(4+$A25))-CBD_Stochastic!$B$19*CBD_Stochastic!$B$17*SQRT((4+$A25)))+((CBD_Stochastic!$B$7+CBD_Stochastic!$B$9*(4+$A25))-CBD_Stochastic!$B$19*CBD_Stochastic!$B$13*CBD_Stochastic!$B$18*SQRT((4+$A25)))*((68+$A25)-CBD_Stochastic!$B$14)))))/(1/(1+EXP(-((CBD_Stochastic!$B$6+CBD_Stochastic!$B$8*(4+$A25))+(CBD_Stochastic!$B$7+CBD_Stochastic!$B$9*(4+$A25))*((68+$A25)-CBD_Stochastic!$B$14)))))</f>
        <v>0.711250911951647</v>
      </c>
      <c r="V25" s="11" t="n">
        <f aca="false">(1/(1+EXP(-(((CBD_Stochastic!$B$6+CBD_Stochastic!$B$8*(4+$A25))-CBD_Stochastic!$B$19*CBD_Stochastic!$B$17*SQRT((4+$A25)))+((CBD_Stochastic!$B$7+CBD_Stochastic!$B$9*(4+$A25))-CBD_Stochastic!$B$19*CBD_Stochastic!$B$13*CBD_Stochastic!$B$18*SQRT((4+$A25)))*((70+$A25)-CBD_Stochastic!$B$14)))))/(1/(1+EXP(-((CBD_Stochastic!$B$6+CBD_Stochastic!$B$8*(4+$A25))+(CBD_Stochastic!$B$7+CBD_Stochastic!$B$9*(4+$A25))*((70+$A25)-CBD_Stochastic!$B$14)))))</f>
        <v>0.701153201670042</v>
      </c>
      <c r="W25" s="11" t="n">
        <f aca="false">(1/(1+EXP(-(((CBD_Stochastic!$B$6+CBD_Stochastic!$B$8*(4+$A25))-CBD_Stochastic!$B$19*CBD_Stochastic!$B$17*SQRT((4+$A25)))+((CBD_Stochastic!$B$7+CBD_Stochastic!$B$9*(4+$A25))-CBD_Stochastic!$B$19*CBD_Stochastic!$B$13*CBD_Stochastic!$B$18*SQRT((4+$A25)))*((72+$A25)-CBD_Stochastic!$B$14)))))/(1/(1+EXP(-((CBD_Stochastic!$B$6+CBD_Stochastic!$B$8*(4+$A25))+(CBD_Stochastic!$B$7+CBD_Stochastic!$B$9*(4+$A25))*((72+$A25)-CBD_Stochastic!$B$14)))))</f>
        <v>0.692420829290894</v>
      </c>
      <c r="X25" s="11" t="n">
        <f aca="false">(1/(1+EXP(-(((CBD_Stochastic!$B$6+CBD_Stochastic!$B$8*(4+$A25))-CBD_Stochastic!$B$19*CBD_Stochastic!$B$17*SQRT((4+$A25)))+((CBD_Stochastic!$B$7+CBD_Stochastic!$B$9*(4+$A25))-CBD_Stochastic!$B$19*CBD_Stochastic!$B$13*CBD_Stochastic!$B$18*SQRT((4+$A25)))*((75+$A25)-CBD_Stochastic!$B$14)))))/(1/(1+EXP(-((CBD_Stochastic!$B$6+CBD_Stochastic!$B$8*(4+$A25))+(CBD_Stochastic!$B$7+CBD_Stochastic!$B$9*(4+$A25))*((75+$A25)-CBD_Stochastic!$B$14)))))</f>
        <v>0.682418264338779</v>
      </c>
    </row>
    <row r="26" customFormat="false" ht="15" hidden="false" customHeight="true" outlineLevel="0" collapsed="false">
      <c r="A26" s="1" t="n">
        <v>18</v>
      </c>
      <c r="B26" s="32" t="n">
        <f aca="false">IF((60+$A25)&gt;=120,0,B25*(1-MIN(1,IFERROR(INDEX(Cohort_Survival!$B$5:$AA$65,(60+$A25)-59,60-59),1)*(1-Assumptions!$B$21))))</f>
        <v>0.892917348093131</v>
      </c>
      <c r="C26" s="32" t="n">
        <f aca="false">IF((63+$A25)&gt;=120,0,C25*(1-MIN(1,IFERROR(INDEX(Cohort_Survival!$B$5:$AA$65,(63+$A25)-59,63-59),1)*(1-Assumptions!$B$21))))</f>
        <v>0.846458496294087</v>
      </c>
      <c r="D26" s="32" t="n">
        <f aca="false">IF((65+$A25)&gt;=120,0,D25*(1-MIN(1,IFERROR(INDEX(Cohort_Survival!$B$5:$AA$65,(65+$A25)-59,65-59),1)*(1-Assumptions!$B$21))))</f>
        <v>0.804550156963069</v>
      </c>
      <c r="E26" s="32" t="n">
        <f aca="false">IF((68+$A25)&gt;=120,0,E25*(1-MIN(1,IFERROR(INDEX(Cohort_Survival!$B$5:$AA$65,(68+$A25)-59,68-59),1)*(1-Assumptions!$B$21))))</f>
        <v>0.72229372526107</v>
      </c>
      <c r="F26" s="32" t="n">
        <f aca="false">IF((70+$A25)&gt;=120,0,F25*(1-MIN(1,IFERROR(INDEX(Cohort_Survival!$B$5:$AA$65,(70+$A25)-59,70-59),1)*(1-Assumptions!$B$21))))</f>
        <v>0.650990874795686</v>
      </c>
      <c r="G26" s="32" t="n">
        <f aca="false">IF((72+$A25)&gt;=120,0,G25*(1-MIN(1,IFERROR(INDEX(Cohort_Survival!$B$5:$AA$65,(72+$A25)-59,72-59),1)*(1-Assumptions!$B$21))))</f>
        <v>0.56747607589493</v>
      </c>
      <c r="H26" s="32" t="n">
        <f aca="false">IF((75+$A25)&gt;=120,0,H25*(1-MIN(1,IFERROR(INDEX(Cohort_Survival!$B$5:$AA$65,(75+$A25)-59,75-59),1)*(1-Assumptions!$B$21))))</f>
        <v>0.421049258984274</v>
      </c>
      <c r="J26" s="32" t="n">
        <f aca="false">IF((60+$A25)&gt;=120,0,J25*(1-MIN(1,IFERROR(INDEX(Cohort_Survival!$B$5:$AA$65,(60+$A25)-59,60-59),1)*R25)))</f>
        <v>0.889118102530103</v>
      </c>
      <c r="K26" s="32" t="n">
        <f aca="false">IF((63+$A25)&gt;=120,0,K25*(1-MIN(1,IFERROR(INDEX(Cohort_Survival!$B$5:$AA$65,(63+$A25)-59,63-59),1)*S25)))</f>
        <v>0.844798733449508</v>
      </c>
      <c r="L26" s="32" t="n">
        <f aca="false">IF((65+$A25)&gt;=120,0,L25*(1-MIN(1,IFERROR(INDEX(Cohort_Survival!$B$5:$AA$65,(65+$A25)-59,65-59),1)*T25)))</f>
        <v>0.805374178442881</v>
      </c>
      <c r="M26" s="32" t="n">
        <f aca="false">IF((68+$A25)&gt;=120,0,M25*(1-MIN(1,IFERROR(INDEX(Cohort_Survival!$B$5:$AA$65,(68+$A25)-59,68-59),1)*U25)))</f>
        <v>0.728935752157167</v>
      </c>
      <c r="N26" s="32" t="n">
        <f aca="false">IF((70+$A25)&gt;=120,0,N25*(1-MIN(1,IFERROR(INDEX(Cohort_Survival!$B$5:$AA$65,(70+$A25)-59,70-59),1)*V25)))</f>
        <v>0.663059565138279</v>
      </c>
      <c r="O26" s="32" t="n">
        <f aca="false">IF((72+$A25)&gt;=120,0,O25*(1-MIN(1,IFERROR(INDEX(Cohort_Survival!$B$5:$AA$65,(72+$A25)-59,72-59),1)*W25)))</f>
        <v>0.5858743249558</v>
      </c>
      <c r="P26" s="32" t="n">
        <f aca="false">IF((75+$A25)&gt;=120,0,P25*(1-MIN(1,IFERROR(INDEX(Cohort_Survival!$B$5:$AA$65,(75+$A25)-59,75-59),1)*X25)))</f>
        <v>0.44899204745549</v>
      </c>
      <c r="R26" s="11" t="n">
        <f aca="false">(1/(1+EXP(-(((CBD_Stochastic!$B$6+CBD_Stochastic!$B$8*(4+$A26))-CBD_Stochastic!$B$19*CBD_Stochastic!$B$17*SQRT((4+$A26)))+((CBD_Stochastic!$B$7+CBD_Stochastic!$B$9*(4+$A26))-CBD_Stochastic!$B$19*CBD_Stochastic!$B$13*CBD_Stochastic!$B$18*SQRT((4+$A26)))*((60+$A26)-CBD_Stochastic!$B$14)))))/(1/(1+EXP(-((CBD_Stochastic!$B$6+CBD_Stochastic!$B$8*(4+$A26))+(CBD_Stochastic!$B$7+CBD_Stochastic!$B$9*(4+$A26))*((60+$A26)-CBD_Stochastic!$B$14)))))</f>
        <v>0.749590840527256</v>
      </c>
      <c r="S26" s="11" t="n">
        <f aca="false">(1/(1+EXP(-(((CBD_Stochastic!$B$6+CBD_Stochastic!$B$8*(4+$A26))-CBD_Stochastic!$B$19*CBD_Stochastic!$B$17*SQRT((4+$A26)))+((CBD_Stochastic!$B$7+CBD_Stochastic!$B$9*(4+$A26))-CBD_Stochastic!$B$19*CBD_Stochastic!$B$13*CBD_Stochastic!$B$18*SQRT((4+$A26)))*((63+$A26)-CBD_Stochastic!$B$14)))))/(1/(1+EXP(-((CBD_Stochastic!$B$6+CBD_Stochastic!$B$8*(4+$A26))+(CBD_Stochastic!$B$7+CBD_Stochastic!$B$9*(4+$A26))*((63+$A26)-CBD_Stochastic!$B$14)))))</f>
        <v>0.729284440700645</v>
      </c>
      <c r="T26" s="11" t="n">
        <f aca="false">(1/(1+EXP(-(((CBD_Stochastic!$B$6+CBD_Stochastic!$B$8*(4+$A26))-CBD_Stochastic!$B$19*CBD_Stochastic!$B$17*SQRT((4+$A26)))+((CBD_Stochastic!$B$7+CBD_Stochastic!$B$9*(4+$A26))-CBD_Stochastic!$B$19*CBD_Stochastic!$B$13*CBD_Stochastic!$B$18*SQRT((4+$A26)))*((65+$A26)-CBD_Stochastic!$B$14)))))/(1/(1+EXP(-((CBD_Stochastic!$B$6+CBD_Stochastic!$B$8*(4+$A26))+(CBD_Stochastic!$B$7+CBD_Stochastic!$B$9*(4+$A26))*((65+$A26)-CBD_Stochastic!$B$14)))))</f>
        <v>0.716800398190025</v>
      </c>
      <c r="U26" s="11" t="n">
        <f aca="false">(1/(1+EXP(-(((CBD_Stochastic!$B$6+CBD_Stochastic!$B$8*(4+$A26))-CBD_Stochastic!$B$19*CBD_Stochastic!$B$17*SQRT((4+$A26)))+((CBD_Stochastic!$B$7+CBD_Stochastic!$B$9*(4+$A26))-CBD_Stochastic!$B$19*CBD_Stochastic!$B$13*CBD_Stochastic!$B$18*SQRT((4+$A26)))*((68+$A26)-CBD_Stochastic!$B$14)))))/(1/(1+EXP(-((CBD_Stochastic!$B$6+CBD_Stochastic!$B$8*(4+$A26))+(CBD_Stochastic!$B$7+CBD_Stochastic!$B$9*(4+$A26))*((68+$A26)-CBD_Stochastic!$B$14)))))</f>
        <v>0.700004074223296</v>
      </c>
      <c r="V26" s="11" t="n">
        <f aca="false">(1/(1+EXP(-(((CBD_Stochastic!$B$6+CBD_Stochastic!$B$8*(4+$A26))-CBD_Stochastic!$B$19*CBD_Stochastic!$B$17*SQRT((4+$A26)))+((CBD_Stochastic!$B$7+CBD_Stochastic!$B$9*(4+$A26))-CBD_Stochastic!$B$19*CBD_Stochastic!$B$13*CBD_Stochastic!$B$18*SQRT((4+$A26)))*((70+$A26)-CBD_Stochastic!$B$14)))))/(1/(1+EXP(-((CBD_Stochastic!$B$6+CBD_Stochastic!$B$8*(4+$A26))+(CBD_Stochastic!$B$7+CBD_Stochastic!$B$9*(4+$A26))*((70+$A26)-CBD_Stochastic!$B$14)))))</f>
        <v>0.690355474799264</v>
      </c>
      <c r="W26" s="11" t="n">
        <f aca="false">(1/(1+EXP(-(((CBD_Stochastic!$B$6+CBD_Stochastic!$B$8*(4+$A26))-CBD_Stochastic!$B$19*CBD_Stochastic!$B$17*SQRT((4+$A26)))+((CBD_Stochastic!$B$7+CBD_Stochastic!$B$9*(4+$A26))-CBD_Stochastic!$B$19*CBD_Stochastic!$B$13*CBD_Stochastic!$B$18*SQRT((4+$A26)))*((72+$A26)-CBD_Stochastic!$B$14)))))/(1/(1+EXP(-((CBD_Stochastic!$B$6+CBD_Stochastic!$B$8*(4+$A26))+(CBD_Stochastic!$B$7+CBD_Stochastic!$B$9*(4+$A26))*((72+$A26)-CBD_Stochastic!$B$14)))))</f>
        <v>0.682202818050584</v>
      </c>
      <c r="X26" s="11" t="n">
        <f aca="false">(1/(1+EXP(-(((CBD_Stochastic!$B$6+CBD_Stochastic!$B$8*(4+$A26))-CBD_Stochastic!$B$19*CBD_Stochastic!$B$17*SQRT((4+$A26)))+((CBD_Stochastic!$B$7+CBD_Stochastic!$B$9*(4+$A26))-CBD_Stochastic!$B$19*CBD_Stochastic!$B$13*CBD_Stochastic!$B$18*SQRT((4+$A26)))*((75+$A26)-CBD_Stochastic!$B$14)))))/(1/(1+EXP(-((CBD_Stochastic!$B$6+CBD_Stochastic!$B$8*(4+$A26))+(CBD_Stochastic!$B$7+CBD_Stochastic!$B$9*(4+$A26))*((75+$A26)-CBD_Stochastic!$B$14)))))</f>
        <v>0.673358087871809</v>
      </c>
    </row>
    <row r="27" customFormat="false" ht="15" hidden="false" customHeight="true" outlineLevel="0" collapsed="false">
      <c r="A27" s="1" t="n">
        <v>19</v>
      </c>
      <c r="B27" s="32" t="n">
        <f aca="false">IF((60+$A26)&gt;=120,0,B26*(1-MIN(1,IFERROR(INDEX(Cohort_Survival!$B$5:$AA$65,(60+$A26)-59,60-59),1)*(1-Assumptions!$B$21))))</f>
        <v>0.879136427512251</v>
      </c>
      <c r="C27" s="32" t="n">
        <f aca="false">IF((63+$A26)&gt;=120,0,C26*(1-MIN(1,IFERROR(INDEX(Cohort_Survival!$B$5:$AA$65,(63+$A26)-59,63-59),1)*(1-Assumptions!$B$21))))</f>
        <v>0.826509933942935</v>
      </c>
      <c r="D27" s="32" t="n">
        <f aca="false">IF((65+$A26)&gt;=120,0,D26*(1-MIN(1,IFERROR(INDEX(Cohort_Survival!$B$5:$AA$65,(65+$A26)-59,65-59),1)*(1-Assumptions!$B$21))))</f>
        <v>0.779931253236579</v>
      </c>
      <c r="E27" s="32" t="n">
        <f aca="false">IF((68+$A26)&gt;=120,0,E26*(1-MIN(1,IFERROR(INDEX(Cohort_Survival!$B$5:$AA$65,(68+$A26)-59,68-59),1)*(1-Assumptions!$B$21))))</f>
        <v>0.688287356083295</v>
      </c>
      <c r="F27" s="32" t="n">
        <f aca="false">IF((70+$A26)&gt;=120,0,F26*(1-MIN(1,IFERROR(INDEX(Cohort_Survival!$B$5:$AA$65,(70+$A26)-59,70-59),1)*(1-Assumptions!$B$21))))</f>
        <v>0.610678978339675</v>
      </c>
      <c r="G27" s="32" t="n">
        <f aca="false">IF((72+$A26)&gt;=120,0,G26*(1-MIN(1,IFERROR(INDEX(Cohort_Survival!$B$5:$AA$65,(72+$A26)-59,72-59),1)*(1-Assumptions!$B$21))))</f>
        <v>0.520188741520053</v>
      </c>
      <c r="H27" s="32" t="n">
        <f aca="false">IF((75+$A26)&gt;=120,0,H26*(1-MIN(1,IFERROR(INDEX(Cohort_Survival!$B$5:$AA$65,(75+$A26)-59,75-59),1)*(1-Assumptions!$B$21))))</f>
        <v>0.371796969526697</v>
      </c>
      <c r="J27" s="32" t="n">
        <f aca="false">IF((60+$A26)&gt;=120,0,J26*(1-MIN(1,IFERROR(INDEX(Cohort_Survival!$B$5:$AA$65,(60+$A26)-59,60-59),1)*R26)))</f>
        <v>0.876260478988669</v>
      </c>
      <c r="K27" s="32" t="n">
        <f aca="false">IF((63+$A26)&gt;=120,0,K26*(1-MIN(1,IFERROR(INDEX(Cohort_Survival!$B$5:$AA$65,(63+$A26)-59,63-59),1)*S26)))</f>
        <v>0.826649171438521</v>
      </c>
      <c r="L27" s="32" t="n">
        <f aca="false">IF((65+$A26)&gt;=120,0,L26*(1-MIN(1,IFERROR(INDEX(Cohort_Survival!$B$5:$AA$65,(65+$A26)-59,65-59),1)*T26)))</f>
        <v>0.783293036050143</v>
      </c>
      <c r="M27" s="32" t="n">
        <f aca="false">IF((68+$A26)&gt;=120,0,M26*(1-MIN(1,IFERROR(INDEX(Cohort_Survival!$B$5:$AA$65,(68+$A26)-59,68-59),1)*U26)))</f>
        <v>0.698906379768258</v>
      </c>
      <c r="N27" s="32" t="n">
        <f aca="false">IF((70+$A26)&gt;=120,0,N26*(1-MIN(1,IFERROR(INDEX(Cohort_Survival!$B$5:$AA$65,(70+$A26)-59,70-59),1)*V26)))</f>
        <v>0.62762772892553</v>
      </c>
      <c r="O27" s="32" t="n">
        <f aca="false">IF((72+$A26)&gt;=120,0,O26*(1-MIN(1,IFERROR(INDEX(Cohort_Survival!$B$5:$AA$65,(72+$A26)-59,72-59),1)*W26)))</f>
        <v>0.54424251767675</v>
      </c>
      <c r="P27" s="32" t="n">
        <f aca="false">IF((75+$A26)&gt;=120,0,P26*(1-MIN(1,IFERROR(INDEX(Cohort_Survival!$B$5:$AA$65,(75+$A26)-59,75-59),1)*X26)))</f>
        <v>0.404785330940623</v>
      </c>
      <c r="R27" s="11" t="n">
        <f aca="false">(1/(1+EXP(-(((CBD_Stochastic!$B$6+CBD_Stochastic!$B$8*(4+$A27))-CBD_Stochastic!$B$19*CBD_Stochastic!$B$17*SQRT((4+$A27)))+((CBD_Stochastic!$B$7+CBD_Stochastic!$B$9*(4+$A27))-CBD_Stochastic!$B$19*CBD_Stochastic!$B$13*CBD_Stochastic!$B$18*SQRT((4+$A27)))*((60+$A27)-CBD_Stochastic!$B$14)))))/(1/(1+EXP(-((CBD_Stochastic!$B$6+CBD_Stochastic!$B$8*(4+$A27))+(CBD_Stochastic!$B$7+CBD_Stochastic!$B$9*(4+$A27))*((60+$A27)-CBD_Stochastic!$B$14)))))</f>
        <v>0.737554091042357</v>
      </c>
      <c r="S27" s="11" t="n">
        <f aca="false">(1/(1+EXP(-(((CBD_Stochastic!$B$6+CBD_Stochastic!$B$8*(4+$A27))-CBD_Stochastic!$B$19*CBD_Stochastic!$B$17*SQRT((4+$A27)))+((CBD_Stochastic!$B$7+CBD_Stochastic!$B$9*(4+$A27))-CBD_Stochastic!$B$19*CBD_Stochastic!$B$13*CBD_Stochastic!$B$18*SQRT((4+$A27)))*((63+$A27)-CBD_Stochastic!$B$14)))))/(1/(1+EXP(-((CBD_Stochastic!$B$6+CBD_Stochastic!$B$8*(4+$A27))+(CBD_Stochastic!$B$7+CBD_Stochastic!$B$9*(4+$A27))*((63+$A27)-CBD_Stochastic!$B$14)))))</f>
        <v>0.717494439992938</v>
      </c>
      <c r="T27" s="11" t="n">
        <f aca="false">(1/(1+EXP(-(((CBD_Stochastic!$B$6+CBD_Stochastic!$B$8*(4+$A27))-CBD_Stochastic!$B$19*CBD_Stochastic!$B$17*SQRT((4+$A27)))+((CBD_Stochastic!$B$7+CBD_Stochastic!$B$9*(4+$A27))-CBD_Stochastic!$B$19*CBD_Stochastic!$B$13*CBD_Stochastic!$B$18*SQRT((4+$A27)))*((65+$A27)-CBD_Stochastic!$B$14)))))/(1/(1+EXP(-((CBD_Stochastic!$B$6+CBD_Stochastic!$B$8*(4+$A27))+(CBD_Stochastic!$B$7+CBD_Stochastic!$B$9*(4+$A27))*((65+$A27)-CBD_Stochastic!$B$14)))))</f>
        <v>0.705268347582617</v>
      </c>
      <c r="U27" s="11" t="n">
        <f aca="false">(1/(1+EXP(-(((CBD_Stochastic!$B$6+CBD_Stochastic!$B$8*(4+$A27))-CBD_Stochastic!$B$19*CBD_Stochastic!$B$17*SQRT((4+$A27)))+((CBD_Stochastic!$B$7+CBD_Stochastic!$B$9*(4+$A27))-CBD_Stochastic!$B$19*CBD_Stochastic!$B$13*CBD_Stochastic!$B$18*SQRT((4+$A27)))*((68+$A27)-CBD_Stochastic!$B$14)))))/(1/(1+EXP(-((CBD_Stochastic!$B$6+CBD_Stochastic!$B$8*(4+$A27))+(CBD_Stochastic!$B$7+CBD_Stochastic!$B$9*(4+$A27))*((68+$A27)-CBD_Stochastic!$B$14)))))</f>
        <v>0.689038411985039</v>
      </c>
      <c r="V27" s="11" t="n">
        <f aca="false">(1/(1+EXP(-(((CBD_Stochastic!$B$6+CBD_Stochastic!$B$8*(4+$A27))-CBD_Stochastic!$B$19*CBD_Stochastic!$B$17*SQRT((4+$A27)))+((CBD_Stochastic!$B$7+CBD_Stochastic!$B$9*(4+$A27))-CBD_Stochastic!$B$19*CBD_Stochastic!$B$13*CBD_Stochastic!$B$18*SQRT((4+$A27)))*((70+$A27)-CBD_Stochastic!$B$14)))))/(1/(1+EXP(-((CBD_Stochastic!$B$6+CBD_Stochastic!$B$8*(4+$A27))+(CBD_Stochastic!$B$7+CBD_Stochastic!$B$9*(4+$A27))*((70+$A27)-CBD_Stochastic!$B$14)))))</f>
        <v>0.679913988557</v>
      </c>
      <c r="W27" s="11" t="n">
        <f aca="false">(1/(1+EXP(-(((CBD_Stochastic!$B$6+CBD_Stochastic!$B$8*(4+$A27))-CBD_Stochastic!$B$19*CBD_Stochastic!$B$17*SQRT((4+$A27)))+((CBD_Stochastic!$B$7+CBD_Stochastic!$B$9*(4+$A27))-CBD_Stochastic!$B$19*CBD_Stochastic!$B$13*CBD_Stochastic!$B$18*SQRT((4+$A27)))*((72+$A27)-CBD_Stochastic!$B$14)))))/(1/(1+EXP(-((CBD_Stochastic!$B$6+CBD_Stochastic!$B$8*(4+$A27))+(CBD_Stochastic!$B$7+CBD_Stochastic!$B$9*(4+$A27))*((72+$A27)-CBD_Stochastic!$B$14)))))</f>
        <v>0.672426210133208</v>
      </c>
      <c r="X27" s="11" t="n">
        <f aca="false">(1/(1+EXP(-(((CBD_Stochastic!$B$6+CBD_Stochastic!$B$8*(4+$A27))-CBD_Stochastic!$B$19*CBD_Stochastic!$B$17*SQRT((4+$A27)))+((CBD_Stochastic!$B$7+CBD_Stochastic!$B$9*(4+$A27))-CBD_Stochastic!$B$19*CBD_Stochastic!$B$13*CBD_Stochastic!$B$18*SQRT((4+$A27)))*((75+$A27)-CBD_Stochastic!$B$14)))))/(1/(1+EXP(-((CBD_Stochastic!$B$6+CBD_Stochastic!$B$8*(4+$A27))+(CBD_Stochastic!$B$7+CBD_Stochastic!$B$9*(4+$A27))*((75+$A27)-CBD_Stochastic!$B$14)))))</f>
        <v>0.664885590820926</v>
      </c>
    </row>
    <row r="28" customFormat="false" ht="15" hidden="false" customHeight="true" outlineLevel="0" collapsed="false">
      <c r="A28" s="1" t="n">
        <v>20</v>
      </c>
      <c r="B28" s="32" t="n">
        <f aca="false">IF((60+$A27)&gt;=120,0,B27*(1-MIN(1,IFERROR(INDEX(Cohort_Survival!$B$5:$AA$65,(60+$A27)-59,60-59),1)*(1-Assumptions!$B$21))))</f>
        <v>0.863927263347927</v>
      </c>
      <c r="C28" s="32" t="n">
        <f aca="false">IF((63+$A27)&gt;=120,0,C27*(1-MIN(1,IFERROR(INDEX(Cohort_Survival!$B$5:$AA$65,(63+$A27)-59,63-59),1)*(1-Assumptions!$B$21))))</f>
        <v>0.804645989727488</v>
      </c>
      <c r="D28" s="32" t="n">
        <f aca="false">IF((65+$A27)&gt;=120,0,D27*(1-MIN(1,IFERROR(INDEX(Cohort_Survival!$B$5:$AA$65,(65+$A27)-59,65-59),1)*(1-Assumptions!$B$21))))</f>
        <v>0.753159894838786</v>
      </c>
      <c r="E28" s="32" t="n">
        <f aca="false">IF((68+$A27)&gt;=120,0,E27*(1-MIN(1,IFERROR(INDEX(Cohort_Survival!$B$5:$AA$65,(68+$A27)-59,68-59),1)*(1-Assumptions!$B$21))))</f>
        <v>0.651604149278375</v>
      </c>
      <c r="F28" s="32" t="n">
        <f aca="false">IF((70+$A27)&gt;=120,0,F27*(1-MIN(1,IFERROR(INDEX(Cohort_Survival!$B$5:$AA$65,(70+$A27)-59,70-59),1)*(1-Assumptions!$B$21))))</f>
        <v>0.567985489760725</v>
      </c>
      <c r="G28" s="32" t="n">
        <f aca="false">IF((72+$A27)&gt;=120,0,G27*(1-MIN(1,IFERROR(INDEX(Cohort_Survival!$B$5:$AA$65,(72+$A27)-59,72-59),1)*(1-Assumptions!$B$21))))</f>
        <v>0.471541990663042</v>
      </c>
      <c r="H28" s="32" t="n">
        <f aca="false">IF((75+$A27)&gt;=120,0,H27*(1-MIN(1,IFERROR(INDEX(Cohort_Survival!$B$5:$AA$65,(75+$A27)-59,75-59),1)*(1-Assumptions!$B$21))))</f>
        <v>0.324976208380691</v>
      </c>
      <c r="J28" s="32" t="n">
        <f aca="false">IF((60+$A27)&gt;=120,0,J27*(1-MIN(1,IFERROR(INDEX(Cohort_Survival!$B$5:$AA$65,(60+$A27)-59,60-59),1)*R27)))</f>
        <v>0.862284372988154</v>
      </c>
      <c r="K28" s="32" t="n">
        <f aca="false">IF((63+$A27)&gt;=120,0,K27*(1-MIN(1,IFERROR(INDEX(Cohort_Survival!$B$5:$AA$65,(63+$A27)-59,63-59),1)*S27)))</f>
        <v>0.807036794994284</v>
      </c>
      <c r="L28" s="32" t="n">
        <f aca="false">IF((65+$A27)&gt;=120,0,L27*(1-MIN(1,IFERROR(INDEX(Cohort_Survival!$B$5:$AA$65,(65+$A27)-59,65-59),1)*T27)))</f>
        <v>0.759590066636549</v>
      </c>
      <c r="M28" s="32" t="n">
        <f aca="false">IF((68+$A27)&gt;=120,0,M27*(1-MIN(1,IFERROR(INDEX(Cohort_Survival!$B$5:$AA$65,(68+$A27)-59,68-59),1)*U27)))</f>
        <v>0.666823750431618</v>
      </c>
      <c r="N28" s="32" t="n">
        <f aca="false">IF((70+$A27)&gt;=120,0,N27*(1-MIN(1,IFERROR(INDEX(Cohort_Survival!$B$5:$AA$65,(70+$A27)-59,70-59),1)*V27)))</f>
        <v>0.590335805376779</v>
      </c>
      <c r="O28" s="32" t="n">
        <f aca="false">IF((72+$A27)&gt;=120,0,O27*(1-MIN(1,IFERROR(INDEX(Cohort_Survival!$B$5:$AA$65,(72+$A27)-59,72-59),1)*W27)))</f>
        <v>0.501462594183222</v>
      </c>
      <c r="P28" s="32" t="n">
        <f aca="false">IF((75+$A27)&gt;=120,0,P27*(1-MIN(1,IFERROR(INDEX(Cohort_Survival!$B$5:$AA$65,(75+$A27)-59,75-59),1)*X27)))</f>
        <v>0.362419637058596</v>
      </c>
      <c r="R28" s="11" t="n">
        <f aca="false">(1/(1+EXP(-(((CBD_Stochastic!$B$6+CBD_Stochastic!$B$8*(4+$A28))-CBD_Stochastic!$B$19*CBD_Stochastic!$B$17*SQRT((4+$A28)))+((CBD_Stochastic!$B$7+CBD_Stochastic!$B$9*(4+$A28))-CBD_Stochastic!$B$19*CBD_Stochastic!$B$13*CBD_Stochastic!$B$18*SQRT((4+$A28)))*((60+$A28)-CBD_Stochastic!$B$14)))))/(1/(1+EXP(-((CBD_Stochastic!$B$6+CBD_Stochastic!$B$8*(4+$A28))+(CBD_Stochastic!$B$7+CBD_Stochastic!$B$9*(4+$A28))*((60+$A28)-CBD_Stochastic!$B$14)))))</f>
        <v>0.725603471483639</v>
      </c>
      <c r="S28" s="11" t="n">
        <f aca="false">(1/(1+EXP(-(((CBD_Stochastic!$B$6+CBD_Stochastic!$B$8*(4+$A28))-CBD_Stochastic!$B$19*CBD_Stochastic!$B$17*SQRT((4+$A28)))+((CBD_Stochastic!$B$7+CBD_Stochastic!$B$9*(4+$A28))-CBD_Stochastic!$B$19*CBD_Stochastic!$B$13*CBD_Stochastic!$B$18*SQRT((4+$A28)))*((63+$A28)-CBD_Stochastic!$B$14)))))/(1/(1+EXP(-((CBD_Stochastic!$B$6+CBD_Stochastic!$B$8*(4+$A28))+(CBD_Stochastic!$B$7+CBD_Stochastic!$B$9*(4+$A28))*((63+$A28)-CBD_Stochastic!$B$14)))))</f>
        <v>0.705862377683352</v>
      </c>
      <c r="T28" s="11" t="n">
        <f aca="false">(1/(1+EXP(-(((CBD_Stochastic!$B$6+CBD_Stochastic!$B$8*(4+$A28))-CBD_Stochastic!$B$19*CBD_Stochastic!$B$17*SQRT((4+$A28)))+((CBD_Stochastic!$B$7+CBD_Stochastic!$B$9*(4+$A28))-CBD_Stochastic!$B$19*CBD_Stochastic!$B$13*CBD_Stochastic!$B$18*SQRT((4+$A28)))*((65+$A28)-CBD_Stochastic!$B$14)))))/(1/(1+EXP(-((CBD_Stochastic!$B$6+CBD_Stochastic!$B$8*(4+$A28))+(CBD_Stochastic!$B$7+CBD_Stochastic!$B$9*(4+$A28))*((65+$A28)-CBD_Stochastic!$B$14)))))</f>
        <v>0.693950642516769</v>
      </c>
      <c r="U28" s="11" t="n">
        <f aca="false">(1/(1+EXP(-(((CBD_Stochastic!$B$6+CBD_Stochastic!$B$8*(4+$A28))-CBD_Stochastic!$B$19*CBD_Stochastic!$B$17*SQRT((4+$A28)))+((CBD_Stochastic!$B$7+CBD_Stochastic!$B$9*(4+$A28))-CBD_Stochastic!$B$19*CBD_Stochastic!$B$13*CBD_Stochastic!$B$18*SQRT((4+$A28)))*((68+$A28)-CBD_Stochastic!$B$14)))))/(1/(1+EXP(-((CBD_Stochastic!$B$6+CBD_Stochastic!$B$8*(4+$A28))+(CBD_Stochastic!$B$7+CBD_Stochastic!$B$9*(4+$A28))*((68+$A28)-CBD_Stochastic!$B$14)))))</f>
        <v>0.678387674073656</v>
      </c>
      <c r="V28" s="11" t="n">
        <f aca="false">(1/(1+EXP(-(((CBD_Stochastic!$B$6+CBD_Stochastic!$B$8*(4+$A28))-CBD_Stochastic!$B$19*CBD_Stochastic!$B$17*SQRT((4+$A28)))+((CBD_Stochastic!$B$7+CBD_Stochastic!$B$9*(4+$A28))-CBD_Stochastic!$B$19*CBD_Stochastic!$B$13*CBD_Stochastic!$B$18*SQRT((4+$A28)))*((70+$A28)-CBD_Stochastic!$B$14)))))/(1/(1+EXP(-((CBD_Stochastic!$B$6+CBD_Stochastic!$B$8*(4+$A28))+(CBD_Stochastic!$B$7+CBD_Stochastic!$B$9*(4+$A28))*((70+$A28)-CBD_Stochastic!$B$14)))))</f>
        <v>0.669866683322921</v>
      </c>
      <c r="W28" s="11" t="n">
        <f aca="false">(1/(1+EXP(-(((CBD_Stochastic!$B$6+CBD_Stochastic!$B$8*(4+$A28))-CBD_Stochastic!$B$19*CBD_Stochastic!$B$17*SQRT((4+$A28)))+((CBD_Stochastic!$B$7+CBD_Stochastic!$B$9*(4+$A28))-CBD_Stochastic!$B$19*CBD_Stochastic!$B$13*CBD_Stochastic!$B$18*SQRT((4+$A28)))*((72+$A28)-CBD_Stochastic!$B$14)))))/(1/(1+EXP(-((CBD_Stochastic!$B$6+CBD_Stochastic!$B$8*(4+$A28))+(CBD_Stochastic!$B$7+CBD_Stochastic!$B$9*(4+$A28))*((72+$A28)-CBD_Stochastic!$B$14)))))</f>
        <v>0.663133419985839</v>
      </c>
      <c r="X28" s="11" t="n">
        <f aca="false">(1/(1+EXP(-(((CBD_Stochastic!$B$6+CBD_Stochastic!$B$8*(4+$A28))-CBD_Stochastic!$B$19*CBD_Stochastic!$B$17*SQRT((4+$A28)))+((CBD_Stochastic!$B$7+CBD_Stochastic!$B$9*(4+$A28))-CBD_Stochastic!$B$19*CBD_Stochastic!$B$13*CBD_Stochastic!$B$18*SQRT((4+$A28)))*((75+$A28)-CBD_Stochastic!$B$14)))))/(1/(1+EXP(-((CBD_Stochastic!$B$6+CBD_Stochastic!$B$8*(4+$A28))+(CBD_Stochastic!$B$7+CBD_Stochastic!$B$9*(4+$A28))*((75+$A28)-CBD_Stochastic!$B$14)))))</f>
        <v>0.657049315143623</v>
      </c>
    </row>
    <row r="29" customFormat="false" ht="15" hidden="false" customHeight="true" outlineLevel="0" collapsed="false">
      <c r="A29" s="1" t="n">
        <v>21</v>
      </c>
      <c r="B29" s="32" t="n">
        <f aca="false">IF((60+$A28)&gt;=120,0,B28*(1-MIN(1,IFERROR(INDEX(Cohort_Survival!$B$5:$AA$65,(60+$A28)-59,60-59),1)*(1-Assumptions!$B$21))))</f>
        <v>0.846589682371304</v>
      </c>
      <c r="C29" s="32" t="n">
        <f aca="false">IF((63+$A28)&gt;=120,0,C28*(1-MIN(1,IFERROR(INDEX(Cohort_Survival!$B$5:$AA$65,(63+$A28)-59,63-59),1)*(1-Assumptions!$B$21))))</f>
        <v>0.780757268729794</v>
      </c>
      <c r="D29" s="32" t="n">
        <f aca="false">IF((65+$A28)&gt;=120,0,D28*(1-MIN(1,IFERROR(INDEX(Cohort_Survival!$B$5:$AA$65,(65+$A28)-59,65-59),1)*(1-Assumptions!$B$21))))</f>
        <v>0.723228510446728</v>
      </c>
      <c r="E29" s="32" t="n">
        <f aca="false">IF((68+$A28)&gt;=120,0,E28*(1-MIN(1,IFERROR(INDEX(Cohort_Survival!$B$5:$AA$65,(68+$A28)-59,68-59),1)*(1-Assumptions!$B$21))))</f>
        <v>0.612312482552399</v>
      </c>
      <c r="F29" s="32" t="n">
        <f aca="false">IF((70+$A28)&gt;=120,0,F28*(1-MIN(1,IFERROR(INDEX(Cohort_Survival!$B$5:$AA$65,(70+$A28)-59,70-59),1)*(1-Assumptions!$B$21))))</f>
        <v>0.521784805643233</v>
      </c>
      <c r="G29" s="32" t="n">
        <f aca="false">IF((72+$A28)&gt;=120,0,G28*(1-MIN(1,IFERROR(INDEX(Cohort_Survival!$B$5:$AA$65,(72+$A28)-59,72-59),1)*(1-Assumptions!$B$21))))</f>
        <v>0.422594303462936</v>
      </c>
      <c r="H29" s="32" t="n">
        <f aca="false">IF((75+$A28)&gt;=120,0,H28*(1-MIN(1,IFERROR(INDEX(Cohort_Survival!$B$5:$AA$65,(75+$A28)-59,75-59),1)*(1-Assumptions!$B$21))))</f>
        <v>0.280011776617216</v>
      </c>
      <c r="J29" s="32" t="n">
        <f aca="false">IF((60+$A28)&gt;=120,0,J28*(1-MIN(1,IFERROR(INDEX(Cohort_Survival!$B$5:$AA$65,(60+$A28)-59,60-59),1)*R28)))</f>
        <v>0.84658901580742</v>
      </c>
      <c r="K29" s="32" t="n">
        <f aca="false">IF((63+$A28)&gt;=120,0,K28*(1-MIN(1,IFERROR(INDEX(Cohort_Survival!$B$5:$AA$65,(63+$A28)-59,63-59),1)*S28)))</f>
        <v>0.785896481140673</v>
      </c>
      <c r="L29" s="32" t="n">
        <f aca="false">IF((65+$A28)&gt;=120,0,L28*(1-MIN(1,IFERROR(INDEX(Cohort_Survival!$B$5:$AA$65,(65+$A28)-59,65-59),1)*T28)))</f>
        <v>0.733404770478274</v>
      </c>
      <c r="M29" s="32" t="n">
        <f aca="false">IF((68+$A28)&gt;=120,0,M28*(1-MIN(1,IFERROR(INDEX(Cohort_Survival!$B$5:$AA$65,(68+$A28)-59,68-59),1)*U28)))</f>
        <v>0.632726792654769</v>
      </c>
      <c r="N29" s="32" t="n">
        <f aca="false">IF((70+$A28)&gt;=120,0,N28*(1-MIN(1,IFERROR(INDEX(Cohort_Survival!$B$5:$AA$65,(70+$A28)-59,70-59),1)*V28)))</f>
        <v>0.550128156223705</v>
      </c>
      <c r="O29" s="32" t="n">
        <f aca="false">IF((72+$A28)&gt;=120,0,O28*(1-MIN(1,IFERROR(INDEX(Cohort_Survival!$B$5:$AA$65,(72+$A28)-59,72-59),1)*W28)))</f>
        <v>0.458314534068408</v>
      </c>
      <c r="P29" s="32" t="n">
        <f aca="false">IF((75+$A28)&gt;=120,0,P28*(1-MIN(1,IFERROR(INDEX(Cohort_Survival!$B$5:$AA$65,(75+$A28)-59,75-59),1)*X28)))</f>
        <v>0.321234810329111</v>
      </c>
      <c r="R29" s="11" t="n">
        <f aca="false">(1/(1+EXP(-(((CBD_Stochastic!$B$6+CBD_Stochastic!$B$8*(4+$A29))-CBD_Stochastic!$B$19*CBD_Stochastic!$B$17*SQRT((4+$A29)))+((CBD_Stochastic!$B$7+CBD_Stochastic!$B$9*(4+$A29))-CBD_Stochastic!$B$19*CBD_Stochastic!$B$13*CBD_Stochastic!$B$18*SQRT((4+$A29)))*((60+$A29)-CBD_Stochastic!$B$14)))))/(1/(1+EXP(-((CBD_Stochastic!$B$6+CBD_Stochastic!$B$8*(4+$A29))+(CBD_Stochastic!$B$7+CBD_Stochastic!$B$9*(4+$A29))*((60+$A29)-CBD_Stochastic!$B$14)))))</f>
        <v>0.71376273691873</v>
      </c>
      <c r="S29" s="11" t="n">
        <f aca="false">(1/(1+EXP(-(((CBD_Stochastic!$B$6+CBD_Stochastic!$B$8*(4+$A29))-CBD_Stochastic!$B$19*CBD_Stochastic!$B$17*SQRT((4+$A29)))+((CBD_Stochastic!$B$7+CBD_Stochastic!$B$9*(4+$A29))-CBD_Stochastic!$B$19*CBD_Stochastic!$B$13*CBD_Stochastic!$B$18*SQRT((4+$A29)))*((63+$A29)-CBD_Stochastic!$B$14)))))/(1/(1+EXP(-((CBD_Stochastic!$B$6+CBD_Stochastic!$B$8*(4+$A29))+(CBD_Stochastic!$B$7+CBD_Stochastic!$B$9*(4+$A29))*((63+$A29)-CBD_Stochastic!$B$14)))))</f>
        <v>0.694415367844627</v>
      </c>
      <c r="T29" s="11" t="n">
        <f aca="false">(1/(1+EXP(-(((CBD_Stochastic!$B$6+CBD_Stochastic!$B$8*(4+$A29))-CBD_Stochastic!$B$19*CBD_Stochastic!$B$17*SQRT((4+$A29)))+((CBD_Stochastic!$B$7+CBD_Stochastic!$B$9*(4+$A29))-CBD_Stochastic!$B$19*CBD_Stochastic!$B$13*CBD_Stochastic!$B$18*SQRT((4+$A29)))*((65+$A29)-CBD_Stochastic!$B$14)))))/(1/(1+EXP(-((CBD_Stochastic!$B$6+CBD_Stochastic!$B$8*(4+$A29))+(CBD_Stochastic!$B$7+CBD_Stochastic!$B$9*(4+$A29))*((65+$A29)-CBD_Stochastic!$B$14)))))</f>
        <v>0.682877474478937</v>
      </c>
      <c r="U29" s="11" t="n">
        <f aca="false">(1/(1+EXP(-(((CBD_Stochastic!$B$6+CBD_Stochastic!$B$8*(4+$A29))-CBD_Stochastic!$B$19*CBD_Stochastic!$B$17*SQRT((4+$A29)))+((CBD_Stochastic!$B$7+CBD_Stochastic!$B$9*(4+$A29))-CBD_Stochastic!$B$19*CBD_Stochastic!$B$13*CBD_Stochastic!$B$18*SQRT((4+$A29)))*((68+$A29)-CBD_Stochastic!$B$14)))))/(1/(1+EXP(-((CBD_Stochastic!$B$6+CBD_Stochastic!$B$8*(4+$A29))+(CBD_Stochastic!$B$7+CBD_Stochastic!$B$9*(4+$A29))*((68+$A29)-CBD_Stochastic!$B$14)))))</f>
        <v>0.668087899548558</v>
      </c>
      <c r="V29" s="11" t="n">
        <f aca="false">(1/(1+EXP(-(((CBD_Stochastic!$B$6+CBD_Stochastic!$B$8*(4+$A29))-CBD_Stochastic!$B$19*CBD_Stochastic!$B$17*SQRT((4+$A29)))+((CBD_Stochastic!$B$7+CBD_Stochastic!$B$9*(4+$A29))-CBD_Stochastic!$B$19*CBD_Stochastic!$B$13*CBD_Stochastic!$B$18*SQRT((4+$A29)))*((70+$A29)-CBD_Stochastic!$B$14)))))/(1/(1+EXP(-((CBD_Stochastic!$B$6+CBD_Stochastic!$B$8*(4+$A29))+(CBD_Stochastic!$B$7+CBD_Stochastic!$B$9*(4+$A29))*((70+$A29)-CBD_Stochastic!$B$14)))))</f>
        <v>0.660254114357186</v>
      </c>
      <c r="W29" s="11" t="n">
        <f aca="false">(1/(1+EXP(-(((CBD_Stochastic!$B$6+CBD_Stochastic!$B$8*(4+$A29))-CBD_Stochastic!$B$19*CBD_Stochastic!$B$17*SQRT((4+$A29)))+((CBD_Stochastic!$B$7+CBD_Stochastic!$B$9*(4+$A29))-CBD_Stochastic!$B$19*CBD_Stochastic!$B$13*CBD_Stochastic!$B$18*SQRT((4+$A29)))*((72+$A29)-CBD_Stochastic!$B$14)))))/(1/(1+EXP(-((CBD_Stochastic!$B$6+CBD_Stochastic!$B$8*(4+$A29))+(CBD_Stochastic!$B$7+CBD_Stochastic!$B$9*(4+$A29))*((72+$A29)-CBD_Stochastic!$B$14)))))</f>
        <v>0.654369626739729</v>
      </c>
      <c r="X29" s="11" t="n">
        <f aca="false">(1/(1+EXP(-(((CBD_Stochastic!$B$6+CBD_Stochastic!$B$8*(4+$A29))-CBD_Stochastic!$B$19*CBD_Stochastic!$B$17*SQRT((4+$A29)))+((CBD_Stochastic!$B$7+CBD_Stochastic!$B$9*(4+$A29))-CBD_Stochastic!$B$19*CBD_Stochastic!$B$13*CBD_Stochastic!$B$18*SQRT((4+$A29)))*((75+$A29)-CBD_Stochastic!$B$14)))))/(1/(1+EXP(-((CBD_Stochastic!$B$6+CBD_Stochastic!$B$8*(4+$A29))+(CBD_Stochastic!$B$7+CBD_Stochastic!$B$9*(4+$A29))*((75+$A29)-CBD_Stochastic!$B$14)))))</f>
        <v>0.649900187186247</v>
      </c>
    </row>
    <row r="30" customFormat="false" ht="15" hidden="false" customHeight="true" outlineLevel="0" collapsed="false">
      <c r="A30" s="1" t="n">
        <v>22</v>
      </c>
      <c r="B30" s="32" t="n">
        <f aca="false">IF((60+$A29)&gt;=120,0,B29*(1-MIN(1,IFERROR(INDEX(Cohort_Survival!$B$5:$AA$65,(60+$A29)-59,60-59),1)*(1-Assumptions!$B$21))))</f>
        <v>0.827522452747744</v>
      </c>
      <c r="C30" s="32" t="n">
        <f aca="false">IF((63+$A29)&gt;=120,0,C29*(1-MIN(1,IFERROR(INDEX(Cohort_Survival!$B$5:$AA$65,(63+$A29)-59,63-59),1)*(1-Assumptions!$B$21))))</f>
        <v>0.754755518532382</v>
      </c>
      <c r="D30" s="32" t="n">
        <f aca="false">IF((65+$A29)&gt;=120,0,D29*(1-MIN(1,IFERROR(INDEX(Cohort_Survival!$B$5:$AA$65,(65+$A29)-59,65-59),1)*(1-Assumptions!$B$21))))</f>
        <v>0.690628026596335</v>
      </c>
      <c r="E30" s="32" t="n">
        <f aca="false">IF((68+$A29)&gt;=120,0,E29*(1-MIN(1,IFERROR(INDEX(Cohort_Survival!$B$5:$AA$65,(68+$A29)-59,68-59),1)*(1-Assumptions!$B$21))))</f>
        <v>0.570576750851985</v>
      </c>
      <c r="F30" s="32" t="n">
        <f aca="false">IF((70+$A29)&gt;=120,0,F29*(1-MIN(1,IFERROR(INDEX(Cohort_Survival!$B$5:$AA$65,(70+$A29)-59,70-59),1)*(1-Assumptions!$B$21))))</f>
        <v>0.474095002375222</v>
      </c>
      <c r="G30" s="32" t="n">
        <f aca="false">IF((72+$A29)&gt;=120,0,G29*(1-MIN(1,IFERROR(INDEX(Cohort_Survival!$B$5:$AA$65,(72+$A29)-59,72-59),1)*(1-Assumptions!$B$21))))</f>
        <v>0.374658556108929</v>
      </c>
      <c r="H30" s="32" t="n">
        <f aca="false">IF((75+$A29)&gt;=120,0,H29*(1-MIN(1,IFERROR(INDEX(Cohort_Survival!$B$5:$AA$65,(75+$A29)-59,75-59),1)*(1-Assumptions!$B$21))))</f>
        <v>0.239021995866744</v>
      </c>
      <c r="J30" s="32" t="n">
        <f aca="false">IF((60+$A29)&gt;=120,0,J29*(1-MIN(1,IFERROR(INDEX(Cohort_Survival!$B$5:$AA$65,(60+$A29)-59,60-59),1)*R29)))</f>
        <v>0.829577181699766</v>
      </c>
      <c r="K30" s="32" t="n">
        <f aca="false">IF((63+$A29)&gt;=120,0,K29*(1-MIN(1,IFERROR(INDEX(Cohort_Survival!$B$5:$AA$65,(63+$A29)-59,63-59),1)*S29)))</f>
        <v>0.763177898868655</v>
      </c>
      <c r="L30" s="32" t="n">
        <f aca="false">IF((65+$A29)&gt;=120,0,L29*(1-MIN(1,IFERROR(INDEX(Cohort_Survival!$B$5:$AA$65,(65+$A29)-59,65-59),1)*T29)))</f>
        <v>0.705185548328558</v>
      </c>
      <c r="M30" s="32" t="n">
        <f aca="false">IF((68+$A29)&gt;=120,0,M29*(1-MIN(1,IFERROR(INDEX(Cohort_Survival!$B$5:$AA$65,(68+$A29)-59,68-59),1)*U29)))</f>
        <v>0.596710851951864</v>
      </c>
      <c r="N30" s="32" t="n">
        <f aca="false">IF((70+$A29)&gt;=120,0,N29*(1-MIN(1,IFERROR(INDEX(Cohort_Survival!$B$5:$AA$65,(70+$A29)-59,70-59),1)*V29)))</f>
        <v>0.508630926501733</v>
      </c>
      <c r="O30" s="32" t="n">
        <f aca="false">IF((72+$A29)&gt;=120,0,O29*(1-MIN(1,IFERROR(INDEX(Cohort_Survival!$B$5:$AA$65,(72+$A29)-59,72-59),1)*W29)))</f>
        <v>0.415790677958074</v>
      </c>
      <c r="P30" s="32" t="n">
        <f aca="false">IF((75+$A29)&gt;=120,0,P29*(1-MIN(1,IFERROR(INDEX(Cohort_Survival!$B$5:$AA$65,(75+$A29)-59,75-59),1)*X29)))</f>
        <v>0.283033472322862</v>
      </c>
      <c r="R30" s="11" t="n">
        <f aca="false">(1/(1+EXP(-(((CBD_Stochastic!$B$6+CBD_Stochastic!$B$8*(4+$A30))-CBD_Stochastic!$B$19*CBD_Stochastic!$B$17*SQRT((4+$A30)))+((CBD_Stochastic!$B$7+CBD_Stochastic!$B$9*(4+$A30))-CBD_Stochastic!$B$19*CBD_Stochastic!$B$13*CBD_Stochastic!$B$18*SQRT((4+$A30)))*((60+$A30)-CBD_Stochastic!$B$14)))))/(1/(1+EXP(-((CBD_Stochastic!$B$6+CBD_Stochastic!$B$8*(4+$A30))+(CBD_Stochastic!$B$7+CBD_Stochastic!$B$9*(4+$A30))*((60+$A30)-CBD_Stochastic!$B$14)))))</f>
        <v>0.702056474737876</v>
      </c>
      <c r="S30" s="11" t="n">
        <f aca="false">(1/(1+EXP(-(((CBD_Stochastic!$B$6+CBD_Stochastic!$B$8*(4+$A30))-CBD_Stochastic!$B$19*CBD_Stochastic!$B$17*SQRT((4+$A30)))+((CBD_Stochastic!$B$7+CBD_Stochastic!$B$9*(4+$A30))-CBD_Stochastic!$B$19*CBD_Stochastic!$B$13*CBD_Stochastic!$B$18*SQRT((4+$A30)))*((63+$A30)-CBD_Stochastic!$B$14)))))/(1/(1+EXP(-((CBD_Stochastic!$B$6+CBD_Stochastic!$B$8*(4+$A30))+(CBD_Stochastic!$B$7+CBD_Stochastic!$B$9*(4+$A30))*((63+$A30)-CBD_Stochastic!$B$14)))))</f>
        <v>0.683181952439798</v>
      </c>
      <c r="T30" s="11" t="n">
        <f aca="false">(1/(1+EXP(-(((CBD_Stochastic!$B$6+CBD_Stochastic!$B$8*(4+$A30))-CBD_Stochastic!$B$19*CBD_Stochastic!$B$17*SQRT((4+$A30)))+((CBD_Stochastic!$B$7+CBD_Stochastic!$B$9*(4+$A30))-CBD_Stochastic!$B$19*CBD_Stochastic!$B$13*CBD_Stochastic!$B$18*SQRT((4+$A30)))*((65+$A30)-CBD_Stochastic!$B$14)))))/(1/(1+EXP(-((CBD_Stochastic!$B$6+CBD_Stochastic!$B$8*(4+$A30))+(CBD_Stochastic!$B$7+CBD_Stochastic!$B$9*(4+$A30))*((65+$A30)-CBD_Stochastic!$B$14)))))</f>
        <v>0.67208088739844</v>
      </c>
      <c r="U30" s="11" t="n">
        <f aca="false">(1/(1+EXP(-(((CBD_Stochastic!$B$6+CBD_Stochastic!$B$8*(4+$A30))-CBD_Stochastic!$B$19*CBD_Stochastic!$B$17*SQRT((4+$A30)))+((CBD_Stochastic!$B$7+CBD_Stochastic!$B$9*(4+$A30))-CBD_Stochastic!$B$19*CBD_Stochastic!$B$13*CBD_Stochastic!$B$18*SQRT((4+$A30)))*((68+$A30)-CBD_Stochastic!$B$14)))))/(1/(1+EXP(-((CBD_Stochastic!$B$6+CBD_Stochastic!$B$8*(4+$A30))+(CBD_Stochastic!$B$7+CBD_Stochastic!$B$9*(4+$A30))*((68+$A30)-CBD_Stochastic!$B$14)))))</f>
        <v>0.658177565589221</v>
      </c>
      <c r="V30" s="11" t="n">
        <f aca="false">(1/(1+EXP(-(((CBD_Stochastic!$B$6+CBD_Stochastic!$B$8*(4+$A30))-CBD_Stochastic!$B$19*CBD_Stochastic!$B$17*SQRT((4+$A30)))+((CBD_Stochastic!$B$7+CBD_Stochastic!$B$9*(4+$A30))-CBD_Stochastic!$B$19*CBD_Stochastic!$B$13*CBD_Stochastic!$B$18*SQRT((4+$A30)))*((70+$A30)-CBD_Stochastic!$B$14)))))/(1/(1+EXP(-((CBD_Stochastic!$B$6+CBD_Stochastic!$B$8*(4+$A30))+(CBD_Stochastic!$B$7+CBD_Stochastic!$B$9*(4+$A30))*((70+$A30)-CBD_Stochastic!$B$14)))))</f>
        <v>0.651119530958549</v>
      </c>
      <c r="W30" s="11" t="n">
        <f aca="false">(1/(1+EXP(-(((CBD_Stochastic!$B$6+CBD_Stochastic!$B$8*(4+$A30))-CBD_Stochastic!$B$19*CBD_Stochastic!$B$17*SQRT((4+$A30)))+((CBD_Stochastic!$B$7+CBD_Stochastic!$B$9*(4+$A30))-CBD_Stochastic!$B$19*CBD_Stochastic!$B$13*CBD_Stochastic!$B$18*SQRT((4+$A30)))*((72+$A30)-CBD_Stochastic!$B$14)))))/(1/(1+EXP(-((CBD_Stochastic!$B$6+CBD_Stochastic!$B$8*(4+$A30))+(CBD_Stochastic!$B$7+CBD_Stochastic!$B$9*(4+$A30))*((72+$A30)-CBD_Stochastic!$B$14)))))</f>
        <v>0.64618272949914</v>
      </c>
      <c r="X30" s="11" t="n">
        <f aca="false">(1/(1+EXP(-(((CBD_Stochastic!$B$6+CBD_Stochastic!$B$8*(4+$A30))-CBD_Stochastic!$B$19*CBD_Stochastic!$B$17*SQRT((4+$A30)))+((CBD_Stochastic!$B$7+CBD_Stochastic!$B$9*(4+$A30))-CBD_Stochastic!$B$19*CBD_Stochastic!$B$13*CBD_Stochastic!$B$18*SQRT((4+$A30)))*((75+$A30)-CBD_Stochastic!$B$14)))))/(1/(1+EXP(-((CBD_Stochastic!$B$6+CBD_Stochastic!$B$8*(4+$A30))+(CBD_Stochastic!$B$7+CBD_Stochastic!$B$9*(4+$A30))*((75+$A30)-CBD_Stochastic!$B$14)))))</f>
        <v>0.643491153013568</v>
      </c>
    </row>
    <row r="31" customFormat="false" ht="15" hidden="false" customHeight="true" outlineLevel="0" collapsed="false">
      <c r="A31" s="1" t="n">
        <v>23</v>
      </c>
      <c r="B31" s="32" t="n">
        <f aca="false">IF((60+$A30)&gt;=120,0,B30*(1-MIN(1,IFERROR(INDEX(Cohort_Survival!$B$5:$AA$65,(60+$A30)-59,60-59),1)*(1-Assumptions!$B$21))))</f>
        <v>0.806602104464582</v>
      </c>
      <c r="C31" s="32" t="n">
        <f aca="false">IF((63+$A30)&gt;=120,0,C30*(1-MIN(1,IFERROR(INDEX(Cohort_Survival!$B$5:$AA$65,(63+$A30)-59,63-59),1)*(1-Assumptions!$B$21))))</f>
        <v>0.725653817395012</v>
      </c>
      <c r="D31" s="32" t="n">
        <f aca="false">IF((65+$A30)&gt;=120,0,D30*(1-MIN(1,IFERROR(INDEX(Cohort_Survival!$B$5:$AA$65,(65+$A30)-59,65-59),1)*(1-Assumptions!$B$21))))</f>
        <v>0.655322987577744</v>
      </c>
      <c r="E31" s="32" t="n">
        <f aca="false">IF((68+$A30)&gt;=120,0,E30*(1-MIN(1,IFERROR(INDEX(Cohort_Survival!$B$5:$AA$65,(68+$A30)-59,68-59),1)*(1-Assumptions!$B$21))))</f>
        <v>0.525272481967557</v>
      </c>
      <c r="F31" s="32" t="n">
        <f aca="false">IF((70+$A30)&gt;=120,0,F30*(1-MIN(1,IFERROR(INDEX(Cohort_Survival!$B$5:$AA$65,(70+$A30)-59,70-59),1)*(1-Assumptions!$B$21))))</f>
        <v>0.425939557863338</v>
      </c>
      <c r="G31" s="32" t="n">
        <f aca="false">IF((72+$A30)&gt;=120,0,G30*(1-MIN(1,IFERROR(INDEX(Cohort_Survival!$B$5:$AA$65,(72+$A30)-59,72-59),1)*(1-Assumptions!$B$21))))</f>
        <v>0.328823245991277</v>
      </c>
      <c r="H31" s="32" t="n">
        <f aca="false">IF((75+$A30)&gt;=120,0,H30*(1-MIN(1,IFERROR(INDEX(Cohort_Survival!$B$5:$AA$65,(75+$A30)-59,75-59),1)*(1-Assumptions!$B$21))))</f>
        <v>0.202194483038255</v>
      </c>
      <c r="J31" s="32" t="n">
        <f aca="false">IF((60+$A30)&gt;=120,0,J30*(1-MIN(1,IFERROR(INDEX(Cohort_Survival!$B$5:$AA$65,(60+$A30)-59,60-59),1)*R30)))</f>
        <v>0.811172513846852</v>
      </c>
      <c r="K31" s="32" t="n">
        <f aca="false">IF((63+$A30)&gt;=120,0,K30*(1-MIN(1,IFERROR(INDEX(Cohort_Survival!$B$5:$AA$65,(63+$A30)-59,63-59),1)*S30)))</f>
        <v>0.738048374866675</v>
      </c>
      <c r="L31" s="32" t="n">
        <f aca="false">IF((65+$A30)&gt;=120,0,L30*(1-MIN(1,IFERROR(INDEX(Cohort_Survival!$B$5:$AA$65,(65+$A30)-59,65-59),1)*T30)))</f>
        <v>0.674900556636068</v>
      </c>
      <c r="M31" s="32" t="n">
        <f aca="false">IF((68+$A30)&gt;=120,0,M30*(1-MIN(1,IFERROR(INDEX(Cohort_Survival!$B$5:$AA$65,(68+$A30)-59,68-59),1)*U30)))</f>
        <v>0.557730830056176</v>
      </c>
      <c r="N31" s="32" t="n">
        <f aca="false">IF((70+$A30)&gt;=120,0,N30*(1-MIN(1,IFERROR(INDEX(Cohort_Survival!$B$5:$AA$65,(70+$A30)-59,70-59),1)*V30)))</f>
        <v>0.466582135081543</v>
      </c>
      <c r="O31" s="32" t="n">
        <f aca="false">IF((72+$A30)&gt;=120,0,O30*(1-MIN(1,IFERROR(INDEX(Cohort_Survival!$B$5:$AA$65,(72+$A30)-59,72-59),1)*W30)))</f>
        <v>0.374703659543472</v>
      </c>
      <c r="P31" s="32" t="n">
        <f aca="false">IF((75+$A30)&gt;=120,0,P30*(1-MIN(1,IFERROR(INDEX(Cohort_Survival!$B$5:$AA$65,(75+$A30)-59,75-59),1)*X30)))</f>
        <v>0.247956272739308</v>
      </c>
      <c r="R31" s="11" t="n">
        <f aca="false">(1/(1+EXP(-(((CBD_Stochastic!$B$6+CBD_Stochastic!$B$8*(4+$A31))-CBD_Stochastic!$B$19*CBD_Stochastic!$B$17*SQRT((4+$A31)))+((CBD_Stochastic!$B$7+CBD_Stochastic!$B$9*(4+$A31))-CBD_Stochastic!$B$19*CBD_Stochastic!$B$13*CBD_Stochastic!$B$18*SQRT((4+$A31)))*((60+$A31)-CBD_Stochastic!$B$14)))))/(1/(1+EXP(-((CBD_Stochastic!$B$6+CBD_Stochastic!$B$8*(4+$A31))+(CBD_Stochastic!$B$7+CBD_Stochastic!$B$9*(4+$A31))*((60+$A31)-CBD_Stochastic!$B$14)))))</f>
        <v>0.690510281277493</v>
      </c>
      <c r="S31" s="11" t="n">
        <f aca="false">(1/(1+EXP(-(((CBD_Stochastic!$B$6+CBD_Stochastic!$B$8*(4+$A31))-CBD_Stochastic!$B$19*CBD_Stochastic!$B$17*SQRT((4+$A31)))+((CBD_Stochastic!$B$7+CBD_Stochastic!$B$9*(4+$A31))-CBD_Stochastic!$B$19*CBD_Stochastic!$B$13*CBD_Stochastic!$B$18*SQRT((4+$A31)))*((63+$A31)-CBD_Stochastic!$B$14)))))/(1/(1+EXP(-((CBD_Stochastic!$B$6+CBD_Stochastic!$B$8*(4+$A31))+(CBD_Stochastic!$B$7+CBD_Stochastic!$B$9*(4+$A31))*((63+$A31)-CBD_Stochastic!$B$14)))))</f>
        <v>0.672192294506578</v>
      </c>
      <c r="T31" s="11" t="n">
        <f aca="false">(1/(1+EXP(-(((CBD_Stochastic!$B$6+CBD_Stochastic!$B$8*(4+$A31))-CBD_Stochastic!$B$19*CBD_Stochastic!$B$17*SQRT((4+$A31)))+((CBD_Stochastic!$B$7+CBD_Stochastic!$B$9*(4+$A31))-CBD_Stochastic!$B$19*CBD_Stochastic!$B$13*CBD_Stochastic!$B$18*SQRT((4+$A31)))*((65+$A31)-CBD_Stochastic!$B$14)))))/(1/(1+EXP(-((CBD_Stochastic!$B$6+CBD_Stochastic!$B$8*(4+$A31))+(CBD_Stochastic!$B$7+CBD_Stochastic!$B$9*(4+$A31))*((65+$A31)-CBD_Stochastic!$B$14)))))</f>
        <v>0.66159496750226</v>
      </c>
      <c r="U31" s="11" t="n">
        <f aca="false">(1/(1+EXP(-(((CBD_Stochastic!$B$6+CBD_Stochastic!$B$8*(4+$A31))-CBD_Stochastic!$B$19*CBD_Stochastic!$B$17*SQRT((4+$A31)))+((CBD_Stochastic!$B$7+CBD_Stochastic!$B$9*(4+$A31))-CBD_Stochastic!$B$19*CBD_Stochastic!$B$13*CBD_Stochastic!$B$18*SQRT((4+$A31)))*((68+$A31)-CBD_Stochastic!$B$14)))))/(1/(1+EXP(-((CBD_Stochastic!$B$6+CBD_Stochastic!$B$8*(4+$A31))+(CBD_Stochastic!$B$7+CBD_Stochastic!$B$9*(4+$A31))*((68+$A31)-CBD_Stochastic!$B$14)))))</f>
        <v>0.648697723568046</v>
      </c>
      <c r="V31" s="11" t="n">
        <f aca="false">(1/(1+EXP(-(((CBD_Stochastic!$B$6+CBD_Stochastic!$B$8*(4+$A31))-CBD_Stochastic!$B$19*CBD_Stochastic!$B$17*SQRT((4+$A31)))+((CBD_Stochastic!$B$7+CBD_Stochastic!$B$9*(4+$A31))-CBD_Stochastic!$B$19*CBD_Stochastic!$B$13*CBD_Stochastic!$B$18*SQRT((4+$A31)))*((70+$A31)-CBD_Stochastic!$B$14)))))/(1/(1+EXP(-((CBD_Stochastic!$B$6+CBD_Stochastic!$B$8*(4+$A31))+(CBD_Stochastic!$B$7+CBD_Stochastic!$B$9*(4+$A31))*((70+$A31)-CBD_Stochastic!$B$14)))))</f>
        <v>0.64250892175186</v>
      </c>
      <c r="W31" s="11" t="n">
        <f aca="false">(1/(1+EXP(-(((CBD_Stochastic!$B$6+CBD_Stochastic!$B$8*(4+$A31))-CBD_Stochastic!$B$19*CBD_Stochastic!$B$17*SQRT((4+$A31)))+((CBD_Stochastic!$B$7+CBD_Stochastic!$B$9*(4+$A31))-CBD_Stochastic!$B$19*CBD_Stochastic!$B$13*CBD_Stochastic!$B$18*SQRT((4+$A31)))*((72+$A31)-CBD_Stochastic!$B$14)))))/(1/(1+EXP(-((CBD_Stochastic!$B$6+CBD_Stochastic!$B$8*(4+$A31))+(CBD_Stochastic!$B$7+CBD_Stochastic!$B$9*(4+$A31))*((72+$A31)-CBD_Stochastic!$B$14)))))</f>
        <v>0.638623237908056</v>
      </c>
      <c r="X31" s="11" t="n">
        <f aca="false">(1/(1+EXP(-(((CBD_Stochastic!$B$6+CBD_Stochastic!$B$8*(4+$A31))-CBD_Stochastic!$B$19*CBD_Stochastic!$B$17*SQRT((4+$A31)))+((CBD_Stochastic!$B$7+CBD_Stochastic!$B$9*(4+$A31))-CBD_Stochastic!$B$19*CBD_Stochastic!$B$13*CBD_Stochastic!$B$18*SQRT((4+$A31)))*((75+$A31)-CBD_Stochastic!$B$14)))))/(1/(1+EXP(-((CBD_Stochastic!$B$6+CBD_Stochastic!$B$8*(4+$A31))+(CBD_Stochastic!$B$7+CBD_Stochastic!$B$9*(4+$A31))*((75+$A31)-CBD_Stochastic!$B$14)))))</f>
        <v>0.637876692754556</v>
      </c>
    </row>
    <row r="32" customFormat="false" ht="15" hidden="false" customHeight="true" outlineLevel="0" collapsed="false">
      <c r="A32" s="1" t="n">
        <v>24</v>
      </c>
      <c r="B32" s="32" t="n">
        <f aca="false">IF((60+$A31)&gt;=120,0,B31*(1-MIN(1,IFERROR(INDEX(Cohort_Survival!$B$5:$AA$65,(60+$A31)-59,60-59),1)*(1-Assumptions!$B$21))))</f>
        <v>0.783716831894846</v>
      </c>
      <c r="C32" s="32" t="n">
        <f aca="false">IF((63+$A31)&gt;=120,0,C31*(1-MIN(1,IFERROR(INDEX(Cohort_Survival!$B$5:$AA$65,(63+$A31)-59,63-59),1)*(1-Assumptions!$B$21))))</f>
        <v>0.69387926937705</v>
      </c>
      <c r="D32" s="32" t="n">
        <f aca="false">IF((65+$A31)&gt;=120,0,D31*(1-MIN(1,IFERROR(INDEX(Cohort_Survival!$B$5:$AA$65,(65+$A31)-59,65-59),1)*(1-Assumptions!$B$21))))</f>
        <v>0.617351340519835</v>
      </c>
      <c r="E32" s="32" t="n">
        <f aca="false">IF((68+$A31)&gt;=120,0,E31*(1-MIN(1,IFERROR(INDEX(Cohort_Survival!$B$5:$AA$65,(68+$A31)-59,68-59),1)*(1-Assumptions!$B$21))))</f>
        <v>0.478352270116888</v>
      </c>
      <c r="F32" s="32" t="n">
        <f aca="false">IF((70+$A31)&gt;=120,0,F31*(1-MIN(1,IFERROR(INDEX(Cohort_Survival!$B$5:$AA$65,(70+$A31)-59,70-59),1)*(1-Assumptions!$B$21))))</f>
        <v>0.378604954870481</v>
      </c>
      <c r="G32" s="32" t="n">
        <f aca="false">IF((72+$A31)&gt;=120,0,G31*(1-MIN(1,IFERROR(INDEX(Cohort_Survival!$B$5:$AA$65,(72+$A31)-59,72-59),1)*(1-Assumptions!$B$21))))</f>
        <v>0.28454391834766</v>
      </c>
      <c r="H32" s="32" t="n">
        <f aca="false">IF((75+$A31)&gt;=120,0,H31*(1-MIN(1,IFERROR(INDEX(Cohort_Survival!$B$5:$AA$65,(75+$A31)-59,75-59),1)*(1-Assumptions!$B$21))))</f>
        <v>0.169511351201137</v>
      </c>
      <c r="J32" s="32" t="n">
        <f aca="false">IF((60+$A31)&gt;=120,0,J31*(1-MIN(1,IFERROR(INDEX(Cohort_Survival!$B$5:$AA$65,(60+$A31)-59,60-59),1)*R31)))</f>
        <v>0.791307442584861</v>
      </c>
      <c r="K32" s="32" t="n">
        <f aca="false">IF((63+$A31)&gt;=120,0,K31*(1-MIN(1,IFERROR(INDEX(Cohort_Survival!$B$5:$AA$65,(63+$A31)-59,63-59),1)*S31)))</f>
        <v>0.71089409633862</v>
      </c>
      <c r="L32" s="32" t="n">
        <f aca="false">IF((65+$A31)&gt;=120,0,L31*(1-MIN(1,IFERROR(INDEX(Cohort_Survival!$B$5:$AA$65,(65+$A31)-59,65-59),1)*T31)))</f>
        <v>0.642560109108802</v>
      </c>
      <c r="M32" s="32" t="n">
        <f aca="false">IF((68+$A31)&gt;=120,0,M31*(1-MIN(1,IFERROR(INDEX(Cohort_Survival!$B$5:$AA$65,(68+$A31)-59,68-59),1)*U31)))</f>
        <v>0.517333528740956</v>
      </c>
      <c r="N32" s="32" t="n">
        <f aca="false">IF((70+$A31)&gt;=120,0,N31*(1-MIN(1,IFERROR(INDEX(Cohort_Survival!$B$5:$AA$65,(70+$A31)-59,70-59),1)*V31)))</f>
        <v>0.424938556311918</v>
      </c>
      <c r="O32" s="32" t="n">
        <f aca="false">IF((72+$A31)&gt;=120,0,O31*(1-MIN(1,IFERROR(INDEX(Cohort_Survival!$B$5:$AA$65,(72+$A31)-59,72-59),1)*W31)))</f>
        <v>0.334424428536303</v>
      </c>
      <c r="P32" s="32" t="n">
        <f aca="false">IF((75+$A31)&gt;=120,0,P31*(1-MIN(1,IFERROR(INDEX(Cohort_Survival!$B$5:$AA$65,(75+$A31)-59,75-59),1)*X31)))</f>
        <v>0.215998521593132</v>
      </c>
      <c r="R32" s="11" t="n">
        <f aca="false">(1/(1+EXP(-(((CBD_Stochastic!$B$6+CBD_Stochastic!$B$8*(4+$A32))-CBD_Stochastic!$B$19*CBD_Stochastic!$B$17*SQRT((4+$A32)))+((CBD_Stochastic!$B$7+CBD_Stochastic!$B$9*(4+$A32))-CBD_Stochastic!$B$19*CBD_Stochastic!$B$13*CBD_Stochastic!$B$18*SQRT((4+$A32)))*((60+$A32)-CBD_Stochastic!$B$14)))))/(1/(1+EXP(-((CBD_Stochastic!$B$6+CBD_Stochastic!$B$8*(4+$A32))+(CBD_Stochastic!$B$7+CBD_Stochastic!$B$9*(4+$A32))*((60+$A32)-CBD_Stochastic!$B$14)))))</f>
        <v>0.679150949789583</v>
      </c>
      <c r="S32" s="11" t="n">
        <f aca="false">(1/(1+EXP(-(((CBD_Stochastic!$B$6+CBD_Stochastic!$B$8*(4+$A32))-CBD_Stochastic!$B$19*CBD_Stochastic!$B$17*SQRT((4+$A32)))+((CBD_Stochastic!$B$7+CBD_Stochastic!$B$9*(4+$A32))-CBD_Stochastic!$B$19*CBD_Stochastic!$B$13*CBD_Stochastic!$B$18*SQRT((4+$A32)))*((63+$A32)-CBD_Stochastic!$B$14)))))/(1/(1+EXP(-((CBD_Stochastic!$B$6+CBD_Stochastic!$B$8*(4+$A32))+(CBD_Stochastic!$B$7+CBD_Stochastic!$B$9*(4+$A32))*((63+$A32)-CBD_Stochastic!$B$14)))))</f>
        <v>0.661478379730215</v>
      </c>
      <c r="T32" s="11" t="n">
        <f aca="false">(1/(1+EXP(-(((CBD_Stochastic!$B$6+CBD_Stochastic!$B$8*(4+$A32))-CBD_Stochastic!$B$19*CBD_Stochastic!$B$17*SQRT((4+$A32)))+((CBD_Stochastic!$B$7+CBD_Stochastic!$B$9*(4+$A32))-CBD_Stochastic!$B$19*CBD_Stochastic!$B$13*CBD_Stochastic!$B$18*SQRT((4+$A32)))*((65+$A32)-CBD_Stochastic!$B$14)))))/(1/(1+EXP(-((CBD_Stochastic!$B$6+CBD_Stochastic!$B$8*(4+$A32))+(CBD_Stochastic!$B$7+CBD_Stochastic!$B$9*(4+$A32))*((65+$A32)-CBD_Stochastic!$B$14)))))</f>
        <v>0.651456034202328</v>
      </c>
      <c r="U32" s="11" t="n">
        <f aca="false">(1/(1+EXP(-(((CBD_Stochastic!$B$6+CBD_Stochastic!$B$8*(4+$A32))-CBD_Stochastic!$B$19*CBD_Stochastic!$B$17*SQRT((4+$A32)))+((CBD_Stochastic!$B$7+CBD_Stochastic!$B$9*(4+$A32))-CBD_Stochastic!$B$19*CBD_Stochastic!$B$13*CBD_Stochastic!$B$18*SQRT((4+$A32)))*((68+$A32)-CBD_Stochastic!$B$14)))))/(1/(1+EXP(-((CBD_Stochastic!$B$6+CBD_Stochastic!$B$8*(4+$A32))+(CBD_Stochastic!$B$7+CBD_Stochastic!$B$9*(4+$A32))*((68+$A32)-CBD_Stochastic!$B$14)))))</f>
        <v>0.639692112136607</v>
      </c>
      <c r="V32" s="11" t="n">
        <f aca="false">(1/(1+EXP(-(((CBD_Stochastic!$B$6+CBD_Stochastic!$B$8*(4+$A32))-CBD_Stochastic!$B$19*CBD_Stochastic!$B$17*SQRT((4+$A32)))+((CBD_Stochastic!$B$7+CBD_Stochastic!$B$9*(4+$A32))-CBD_Stochastic!$B$19*CBD_Stochastic!$B$13*CBD_Stochastic!$B$18*SQRT((4+$A32)))*((70+$A32)-CBD_Stochastic!$B$14)))))/(1/(1+EXP(-((CBD_Stochastic!$B$6+CBD_Stochastic!$B$8*(4+$A32))+(CBD_Stochastic!$B$7+CBD_Stochastic!$B$9*(4+$A32))*((70+$A32)-CBD_Stochastic!$B$14)))))</f>
        <v>0.634471009976344</v>
      </c>
      <c r="W32" s="11" t="n">
        <f aca="false">(1/(1+EXP(-(((CBD_Stochastic!$B$6+CBD_Stochastic!$B$8*(4+$A32))-CBD_Stochastic!$B$19*CBD_Stochastic!$B$17*SQRT((4+$A32)))+((CBD_Stochastic!$B$7+CBD_Stochastic!$B$9*(4+$A32))-CBD_Stochastic!$B$19*CBD_Stochastic!$B$13*CBD_Stochastic!$B$18*SQRT((4+$A32)))*((72+$A32)-CBD_Stochastic!$B$14)))))/(1/(1+EXP(-((CBD_Stochastic!$B$6+CBD_Stochastic!$B$8*(4+$A32))+(CBD_Stochastic!$B$7+CBD_Stochastic!$B$9*(4+$A32))*((72+$A32)-CBD_Stochastic!$B$14)))))</f>
        <v>0.631744077196647</v>
      </c>
      <c r="X32" s="11" t="n">
        <f aca="false">(1/(1+EXP(-(((CBD_Stochastic!$B$6+CBD_Stochastic!$B$8*(4+$A32))-CBD_Stochastic!$B$19*CBD_Stochastic!$B$17*SQRT((4+$A32)))+((CBD_Stochastic!$B$7+CBD_Stochastic!$B$9*(4+$A32))-CBD_Stochastic!$B$19*CBD_Stochastic!$B$13*CBD_Stochastic!$B$18*SQRT((4+$A32)))*((75+$A32)-CBD_Stochastic!$B$14)))))/(1/(1+EXP(-((CBD_Stochastic!$B$6+CBD_Stochastic!$B$8*(4+$A32))+(CBD_Stochastic!$B$7+CBD_Stochastic!$B$9*(4+$A32))*((75+$A32)-CBD_Stochastic!$B$14)))))</f>
        <v>0.633112191450898</v>
      </c>
    </row>
    <row r="33" customFormat="false" ht="15" hidden="false" customHeight="true" outlineLevel="0" collapsed="false">
      <c r="A33" s="1" t="n">
        <v>25</v>
      </c>
      <c r="B33" s="32" t="n">
        <f aca="false">IF((60+$A32)&gt;=120,0,B32*(1-MIN(1,IFERROR(INDEX(Cohort_Survival!$B$5:$AA$65,(60+$A32)-59,60-59),1)*(1-Assumptions!$B$21))))</f>
        <v>0.758773503115304</v>
      </c>
      <c r="C33" s="32" t="n">
        <f aca="false">IF((63+$A32)&gt;=120,0,C32*(1-MIN(1,IFERROR(INDEX(Cohort_Survival!$B$5:$AA$65,(63+$A32)-59,63-59),1)*(1-Assumptions!$B$21))))</f>
        <v>0.659380277363541</v>
      </c>
      <c r="D33" s="32" t="n">
        <f aca="false">IF((65+$A32)&gt;=120,0,D32*(1-MIN(1,IFERROR(INDEX(Cohort_Survival!$B$5:$AA$65,(65+$A32)-59,65-59),1)*(1-Assumptions!$B$21))))</f>
        <v>0.576842791913231</v>
      </c>
      <c r="E33" s="32" t="n">
        <f aca="false">IF((68+$A32)&gt;=120,0,E32*(1-MIN(1,IFERROR(INDEX(Cohort_Survival!$B$5:$AA$65,(68+$A32)-59,68-59),1)*(1-Assumptions!$B$21))))</f>
        <v>0.430808231113453</v>
      </c>
      <c r="F33" s="32" t="n">
        <f aca="false">IF((70+$A32)&gt;=120,0,F32*(1-MIN(1,IFERROR(INDEX(Cohort_Survival!$B$5:$AA$65,(70+$A32)-59,70-59),1)*(1-Assumptions!$B$21))))</f>
        <v>0.333171885726942</v>
      </c>
      <c r="G33" s="32" t="n">
        <f aca="false">IF((72+$A32)&gt;=120,0,G32*(1-MIN(1,IFERROR(INDEX(Cohort_Survival!$B$5:$AA$65,(72+$A32)-59,72-59),1)*(1-Assumptions!$B$21))))</f>
        <v>0.243931564613298</v>
      </c>
      <c r="H33" s="32" t="n">
        <f aca="false">IF((75+$A32)&gt;=120,0,H32*(1-MIN(1,IFERROR(INDEX(Cohort_Survival!$B$5:$AA$65,(75+$A32)-59,75-59),1)*(1-Assumptions!$B$21))))</f>
        <v>0.140812394964388</v>
      </c>
      <c r="J33" s="32" t="n">
        <f aca="false">IF((60+$A32)&gt;=120,0,J32*(1-MIN(1,IFERROR(INDEX(Cohort_Survival!$B$5:$AA$65,(60+$A32)-59,60-59),1)*R32)))</f>
        <v>0.769926994003261</v>
      </c>
      <c r="K33" s="32" t="n">
        <f aca="false">IF((63+$A32)&gt;=120,0,K32*(1-MIN(1,IFERROR(INDEX(Cohort_Survival!$B$5:$AA$65,(63+$A32)-59,63-59),1)*S32)))</f>
        <v>0.681669194026696</v>
      </c>
      <c r="L33" s="32" t="n">
        <f aca="false">IF((65+$A32)&gt;=120,0,L32*(1-MIN(1,IFERROR(INDEX(Cohort_Survival!$B$5:$AA$65,(65+$A32)-59,65-59),1)*T32)))</f>
        <v>0.608226206398684</v>
      </c>
      <c r="M33" s="32" t="n">
        <f aca="false">IF((68+$A32)&gt;=120,0,M32*(1-MIN(1,IFERROR(INDEX(Cohort_Survival!$B$5:$AA$65,(68+$A32)-59,68-59),1)*U32)))</f>
        <v>0.476218569029064</v>
      </c>
      <c r="N33" s="32" t="n">
        <f aca="false">IF((70+$A32)&gt;=120,0,N32*(1-MIN(1,IFERROR(INDEX(Cohort_Survival!$B$5:$AA$65,(70+$A32)-59,70-59),1)*V32)))</f>
        <v>0.384496454634497</v>
      </c>
      <c r="O33" s="32" t="n">
        <f aca="false">IF((72+$A32)&gt;=120,0,O32*(1-MIN(1,IFERROR(INDEX(Cohort_Survival!$B$5:$AA$65,(72+$A32)-59,72-59),1)*W32)))</f>
        <v>0.296731659954021</v>
      </c>
      <c r="P33" s="32" t="n">
        <f aca="false">IF((75+$A32)&gt;=120,0,P32*(1-MIN(1,IFERROR(INDEX(Cohort_Survival!$B$5:$AA$65,(75+$A32)-59,75-59),1)*X32)))</f>
        <v>0.18705783804651</v>
      </c>
      <c r="R33" s="11" t="n">
        <f aca="false">(1/(1+EXP(-(((CBD_Stochastic!$B$6+CBD_Stochastic!$B$8*(4+$A33))-CBD_Stochastic!$B$19*CBD_Stochastic!$B$17*SQRT((4+$A33)))+((CBD_Stochastic!$B$7+CBD_Stochastic!$B$9*(4+$A33))-CBD_Stochastic!$B$19*CBD_Stochastic!$B$13*CBD_Stochastic!$B$18*SQRT((4+$A33)))*((60+$A33)-CBD_Stochastic!$B$14)))))/(1/(1+EXP(-((CBD_Stochastic!$B$6+CBD_Stochastic!$B$8*(4+$A33))+(CBD_Stochastic!$B$7+CBD_Stochastic!$B$9*(4+$A33))*((60+$A33)-CBD_Stochastic!$B$14)))))</f>
        <v>0.6680066693613</v>
      </c>
      <c r="S33" s="11" t="n">
        <f aca="false">(1/(1+EXP(-(((CBD_Stochastic!$B$6+CBD_Stochastic!$B$8*(4+$A33))-CBD_Stochastic!$B$19*CBD_Stochastic!$B$17*SQRT((4+$A33)))+((CBD_Stochastic!$B$7+CBD_Stochastic!$B$9*(4+$A33))-CBD_Stochastic!$B$19*CBD_Stochastic!$B$13*CBD_Stochastic!$B$18*SQRT((4+$A33)))*((63+$A33)-CBD_Stochastic!$B$14)))))/(1/(1+EXP(-((CBD_Stochastic!$B$6+CBD_Stochastic!$B$8*(4+$A33))+(CBD_Stochastic!$B$7+CBD_Stochastic!$B$9*(4+$A33))*((63+$A33)-CBD_Stochastic!$B$14)))))</f>
        <v>0.651074223096874</v>
      </c>
      <c r="T33" s="11" t="n">
        <f aca="false">(1/(1+EXP(-(((CBD_Stochastic!$B$6+CBD_Stochastic!$B$8*(4+$A33))-CBD_Stochastic!$B$19*CBD_Stochastic!$B$17*SQRT((4+$A33)))+((CBD_Stochastic!$B$7+CBD_Stochastic!$B$9*(4+$A33))-CBD_Stochastic!$B$19*CBD_Stochastic!$B$13*CBD_Stochastic!$B$18*SQRT((4+$A33)))*((65+$A33)-CBD_Stochastic!$B$14)))))/(1/(1+EXP(-((CBD_Stochastic!$B$6+CBD_Stochastic!$B$8*(4+$A33))+(CBD_Stochastic!$B$7+CBD_Stochastic!$B$9*(4+$A33))*((65+$A33)-CBD_Stochastic!$B$14)))))</f>
        <v>0.64170282557179</v>
      </c>
      <c r="U33" s="11" t="n">
        <f aca="false">(1/(1+EXP(-(((CBD_Stochastic!$B$6+CBD_Stochastic!$B$8*(4+$A33))-CBD_Stochastic!$B$19*CBD_Stochastic!$B$17*SQRT((4+$A33)))+((CBD_Stochastic!$B$7+CBD_Stochastic!$B$9*(4+$A33))-CBD_Stochastic!$B$19*CBD_Stochastic!$B$13*CBD_Stochastic!$B$18*SQRT((4+$A33)))*((68+$A33)-CBD_Stochastic!$B$14)))))/(1/(1+EXP(-((CBD_Stochastic!$B$6+CBD_Stochastic!$B$8*(4+$A33))+(CBD_Stochastic!$B$7+CBD_Stochastic!$B$9*(4+$A33))*((68+$A33)-CBD_Stochastic!$B$14)))))</f>
        <v>0.631207234224014</v>
      </c>
      <c r="V33" s="11" t="n">
        <f aca="false">(1/(1+EXP(-(((CBD_Stochastic!$B$6+CBD_Stochastic!$B$8*(4+$A33))-CBD_Stochastic!$B$19*CBD_Stochastic!$B$17*SQRT((4+$A33)))+((CBD_Stochastic!$B$7+CBD_Stochastic!$B$9*(4+$A33))-CBD_Stochastic!$B$19*CBD_Stochastic!$B$13*CBD_Stochastic!$B$18*SQRT((4+$A33)))*((70+$A33)-CBD_Stochastic!$B$14)))))/(1/(1+EXP(-((CBD_Stochastic!$B$6+CBD_Stochastic!$B$8*(4+$A33))+(CBD_Stochastic!$B$7+CBD_Stochastic!$B$9*(4+$A33))*((70+$A33)-CBD_Stochastic!$B$14)))))</f>
        <v>0.627057180586522</v>
      </c>
      <c r="W33" s="11" t="n">
        <f aca="false">(1/(1+EXP(-(((CBD_Stochastic!$B$6+CBD_Stochastic!$B$8*(4+$A33))-CBD_Stochastic!$B$19*CBD_Stochastic!$B$17*SQRT((4+$A33)))+((CBD_Stochastic!$B$7+CBD_Stochastic!$B$9*(4+$A33))-CBD_Stochastic!$B$19*CBD_Stochastic!$B$13*CBD_Stochastic!$B$18*SQRT((4+$A33)))*((72+$A33)-CBD_Stochastic!$B$14)))))/(1/(1+EXP(-((CBD_Stochastic!$B$6+CBD_Stochastic!$B$8*(4+$A33))+(CBD_Stochastic!$B$7+CBD_Stochastic!$B$9*(4+$A33))*((72+$A33)-CBD_Stochastic!$B$14)))))</f>
        <v>0.625600285507538</v>
      </c>
      <c r="X33" s="11" t="n">
        <f aca="false">(1/(1+EXP(-(((CBD_Stochastic!$B$6+CBD_Stochastic!$B$8*(4+$A33))-CBD_Stochastic!$B$19*CBD_Stochastic!$B$17*SQRT((4+$A33)))+((CBD_Stochastic!$B$7+CBD_Stochastic!$B$9*(4+$A33))-CBD_Stochastic!$B$19*CBD_Stochastic!$B$13*CBD_Stochastic!$B$18*SQRT((4+$A33)))*((75+$A33)-CBD_Stochastic!$B$14)))))/(1/(1+EXP(-((CBD_Stochastic!$B$6+CBD_Stochastic!$B$8*(4+$A33))+(CBD_Stochastic!$B$7+CBD_Stochastic!$B$9*(4+$A33))*((75+$A33)-CBD_Stochastic!$B$14)))))</f>
        <v>0.629253146138773</v>
      </c>
    </row>
    <row r="34" customFormat="false" ht="15" hidden="false" customHeight="true" outlineLevel="0" collapsed="false">
      <c r="A34" s="1" t="n">
        <v>26</v>
      </c>
      <c r="B34" s="32" t="n">
        <f aca="false">IF((60+$A33)&gt;=120,0,B33*(1-MIN(1,IFERROR(INDEX(Cohort_Survival!$B$5:$AA$65,(60+$A33)-59,60-59),1)*(1-Assumptions!$B$21))))</f>
        <v>0.730813776067896</v>
      </c>
      <c r="C34" s="32" t="n">
        <f aca="false">IF((63+$A33)&gt;=120,0,C33*(1-MIN(1,IFERROR(INDEX(Cohort_Survival!$B$5:$AA$65,(63+$A33)-59,63-59),1)*(1-Assumptions!$B$21))))</f>
        <v>0.622175537909621</v>
      </c>
      <c r="D34" s="32" t="n">
        <f aca="false">IF((65+$A33)&gt;=120,0,D33*(1-MIN(1,IFERROR(INDEX(Cohort_Survival!$B$5:$AA$65,(65+$A33)-59,65-59),1)*(1-Assumptions!$B$21))))</f>
        <v>0.532670151641803</v>
      </c>
      <c r="E34" s="32" t="n">
        <f aca="false">IF((68+$A33)&gt;=120,0,E33*(1-MIN(1,IFERROR(INDEX(Cohort_Survival!$B$5:$AA$65,(68+$A33)-59,68-59),1)*(1-Assumptions!$B$21))))</f>
        <v>0.383904255587986</v>
      </c>
      <c r="F34" s="32" t="n">
        <f aca="false">IF((70+$A33)&gt;=120,0,F33*(1-MIN(1,IFERROR(INDEX(Cohort_Survival!$B$5:$AA$65,(70+$A33)-59,70-59),1)*(1-Assumptions!$B$21))))</f>
        <v>0.289110904815306</v>
      </c>
      <c r="G34" s="32" t="n">
        <f aca="false">IF((72+$A33)&gt;=120,0,G33*(1-MIN(1,IFERROR(INDEX(Cohort_Survival!$B$5:$AA$65,(72+$A33)-59,72-59),1)*(1-Assumptions!$B$21))))</f>
        <v>0.207220228541842</v>
      </c>
      <c r="H34" s="32" t="n">
        <f aca="false">IF((75+$A33)&gt;=120,0,H33*(1-MIN(1,IFERROR(INDEX(Cohort_Survival!$B$5:$AA$65,(75+$A33)-59,75-59),1)*(1-Assumptions!$B$21))))</f>
        <v>0.115846638459146</v>
      </c>
      <c r="J34" s="32" t="n">
        <f aca="false">IF((60+$A33)&gt;=120,0,J33*(1-MIN(1,IFERROR(INDEX(Cohort_Survival!$B$5:$AA$65,(60+$A33)-59,60-59),1)*R33)))</f>
        <v>0.746237208487672</v>
      </c>
      <c r="K34" s="32" t="n">
        <f aca="false">IF((63+$A33)&gt;=120,0,K33*(1-MIN(1,IFERROR(INDEX(Cohort_Survival!$B$5:$AA$65,(63+$A33)-59,63-59),1)*S33)))</f>
        <v>0.65036687619116</v>
      </c>
      <c r="L34" s="32" t="n">
        <f aca="false">IF((65+$A33)&gt;=120,0,L33*(1-MIN(1,IFERROR(INDEX(Cohort_Survival!$B$5:$AA$65,(65+$A33)-59,65-59),1)*T33)))</f>
        <v>0.570866368649292</v>
      </c>
      <c r="M34" s="32" t="n">
        <f aca="false">IF((68+$A33)&gt;=120,0,M33*(1-MIN(1,IFERROR(INDEX(Cohort_Survival!$B$5:$AA$65,(68+$A33)-59,68-59),1)*U33)))</f>
        <v>0.435310030120828</v>
      </c>
      <c r="N34" s="32" t="n">
        <f aca="false">IF((70+$A33)&gt;=120,0,N33*(1-MIN(1,IFERROR(INDEX(Cohort_Survival!$B$5:$AA$65,(70+$A33)-59,70-59),1)*V33)))</f>
        <v>0.344640307580244</v>
      </c>
      <c r="O34" s="32" t="n">
        <f aca="false">IF((72+$A33)&gt;=120,0,O33*(1-MIN(1,IFERROR(INDEX(Cohort_Survival!$B$5:$AA$65,(72+$A33)-59,72-59),1)*W33)))</f>
        <v>0.261809344869311</v>
      </c>
      <c r="P34" s="32" t="n">
        <f aca="false">IF((75+$A33)&gt;=120,0,P33*(1-MIN(1,IFERROR(INDEX(Cohort_Survival!$B$5:$AA$65,(75+$A33)-59,75-59),1)*X33)))</f>
        <v>0.160971377064485</v>
      </c>
      <c r="R34" s="11" t="n">
        <f aca="false">(1/(1+EXP(-(((CBD_Stochastic!$B$6+CBD_Stochastic!$B$8*(4+$A34))-CBD_Stochastic!$B$19*CBD_Stochastic!$B$17*SQRT((4+$A34)))+((CBD_Stochastic!$B$7+CBD_Stochastic!$B$9*(4+$A34))-CBD_Stochastic!$B$19*CBD_Stochastic!$B$13*CBD_Stochastic!$B$18*SQRT((4+$A34)))*((60+$A34)-CBD_Stochastic!$B$14)))))/(1/(1+EXP(-((CBD_Stochastic!$B$6+CBD_Stochastic!$B$8*(4+$A34))+(CBD_Stochastic!$B$7+CBD_Stochastic!$B$9*(4+$A34))*((60+$A34)-CBD_Stochastic!$B$14)))))</f>
        <v>0.657107233842181</v>
      </c>
      <c r="S34" s="11" t="n">
        <f aca="false">(1/(1+EXP(-(((CBD_Stochastic!$B$6+CBD_Stochastic!$B$8*(4+$A34))-CBD_Stochastic!$B$19*CBD_Stochastic!$B$17*SQRT((4+$A34)))+((CBD_Stochastic!$B$7+CBD_Stochastic!$B$9*(4+$A34))-CBD_Stochastic!$B$19*CBD_Stochastic!$B$13*CBD_Stochastic!$B$18*SQRT((4+$A34)))*((63+$A34)-CBD_Stochastic!$B$14)))))/(1/(1+EXP(-((CBD_Stochastic!$B$6+CBD_Stochastic!$B$8*(4+$A34))+(CBD_Stochastic!$B$7+CBD_Stochastic!$B$9*(4+$A34))*((63+$A34)-CBD_Stochastic!$B$14)))))</f>
        <v>0.641016076209636</v>
      </c>
      <c r="T34" s="11" t="n">
        <f aca="false">(1/(1+EXP(-(((CBD_Stochastic!$B$6+CBD_Stochastic!$B$8*(4+$A34))-CBD_Stochastic!$B$19*CBD_Stochastic!$B$17*SQRT((4+$A34)))+((CBD_Stochastic!$B$7+CBD_Stochastic!$B$9*(4+$A34))-CBD_Stochastic!$B$19*CBD_Stochastic!$B$13*CBD_Stochastic!$B$18*SQRT((4+$A34)))*((65+$A34)-CBD_Stochastic!$B$14)))))/(1/(1+EXP(-((CBD_Stochastic!$B$6+CBD_Stochastic!$B$8*(4+$A34))+(CBD_Stochastic!$B$7+CBD_Stochastic!$B$9*(4+$A34))*((65+$A34)-CBD_Stochastic!$B$14)))))</f>
        <v>0.632376670348735</v>
      </c>
      <c r="U34" s="11" t="n">
        <f aca="false">(1/(1+EXP(-(((CBD_Stochastic!$B$6+CBD_Stochastic!$B$8*(4+$A34))-CBD_Stochastic!$B$19*CBD_Stochastic!$B$17*SQRT((4+$A34)))+((CBD_Stochastic!$B$7+CBD_Stochastic!$B$9*(4+$A34))-CBD_Stochastic!$B$19*CBD_Stochastic!$B$13*CBD_Stochastic!$B$18*SQRT((4+$A34)))*((68+$A34)-CBD_Stochastic!$B$14)))))/(1/(1+EXP(-((CBD_Stochastic!$B$6+CBD_Stochastic!$B$8*(4+$A34))+(CBD_Stochastic!$B$7+CBD_Stochastic!$B$9*(4+$A34))*((68+$A34)-CBD_Stochastic!$B$14)))))</f>
        <v>0.623292382589842</v>
      </c>
      <c r="V34" s="11" t="n">
        <f aca="false">(1/(1+EXP(-(((CBD_Stochastic!$B$6+CBD_Stochastic!$B$8*(4+$A34))-CBD_Stochastic!$B$19*CBD_Stochastic!$B$17*SQRT((4+$A34)))+((CBD_Stochastic!$B$7+CBD_Stochastic!$B$9*(4+$A34))-CBD_Stochastic!$B$19*CBD_Stochastic!$B$13*CBD_Stochastic!$B$18*SQRT((4+$A34)))*((70+$A34)-CBD_Stochastic!$B$14)))))/(1/(1+EXP(-((CBD_Stochastic!$B$6+CBD_Stochastic!$B$8*(4+$A34))+(CBD_Stochastic!$B$7+CBD_Stochastic!$B$9*(4+$A34))*((70+$A34)-CBD_Stochastic!$B$14)))))</f>
        <v>0.62032131885385</v>
      </c>
      <c r="W34" s="11" t="n">
        <f aca="false">(1/(1+EXP(-(((CBD_Stochastic!$B$6+CBD_Stochastic!$B$8*(4+$A34))-CBD_Stochastic!$B$19*CBD_Stochastic!$B$17*SQRT((4+$A34)))+((CBD_Stochastic!$B$7+CBD_Stochastic!$B$9*(4+$A34))-CBD_Stochastic!$B$19*CBD_Stochastic!$B$13*CBD_Stochastic!$B$18*SQRT((4+$A34)))*((72+$A34)-CBD_Stochastic!$B$14)))))/(1/(1+EXP(-((CBD_Stochastic!$B$6+CBD_Stochastic!$B$8*(4+$A34))+(CBD_Stochastic!$B$7+CBD_Stochastic!$B$9*(4+$A34))*((72+$A34)-CBD_Stochastic!$B$14)))))</f>
        <v>0.620248580372765</v>
      </c>
      <c r="X34" s="11" t="n">
        <f aca="false">(1/(1+EXP(-(((CBD_Stochastic!$B$6+CBD_Stochastic!$B$8*(4+$A34))-CBD_Stochastic!$B$19*CBD_Stochastic!$B$17*SQRT((4+$A34)))+((CBD_Stochastic!$B$7+CBD_Stochastic!$B$9*(4+$A34))-CBD_Stochastic!$B$19*CBD_Stochastic!$B$13*CBD_Stochastic!$B$18*SQRT((4+$A34)))*((75+$A34)-CBD_Stochastic!$B$14)))))/(1/(1+EXP(-((CBD_Stochastic!$B$6+CBD_Stochastic!$B$8*(4+$A34))+(CBD_Stochastic!$B$7+CBD_Stochastic!$B$9*(4+$A34))*((75+$A34)-CBD_Stochastic!$B$14)))))</f>
        <v>0.626354192876142</v>
      </c>
    </row>
    <row r="35" customFormat="false" ht="15" hidden="false" customHeight="true" outlineLevel="0" collapsed="false">
      <c r="A35" s="1" t="n">
        <v>27</v>
      </c>
      <c r="B35" s="32" t="n">
        <f aca="false">IF((60+$A34)&gt;=120,0,B34*(1-MIN(1,IFERROR(INDEX(Cohort_Survival!$B$5:$AA$65,(60+$A34)-59,60-59),1)*(1-Assumptions!$B$21))))</f>
        <v>0.700175896329282</v>
      </c>
      <c r="C35" s="32" t="n">
        <f aca="false">IF((63+$A34)&gt;=120,0,C34*(1-MIN(1,IFERROR(INDEX(Cohort_Survival!$B$5:$AA$65,(63+$A34)-59,63-59),1)*(1-Assumptions!$B$21))))</f>
        <v>0.58237275249944</v>
      </c>
      <c r="D35" s="32" t="n">
        <f aca="false">IF((65+$A34)&gt;=120,0,D34*(1-MIN(1,IFERROR(INDEX(Cohort_Survival!$B$5:$AA$65,(65+$A34)-59,65-59),1)*(1-Assumptions!$B$21))))</f>
        <v>0.486697929688083</v>
      </c>
      <c r="E35" s="32" t="n">
        <f aca="false">IF((68+$A34)&gt;=120,0,E34*(1-MIN(1,IFERROR(INDEX(Cohort_Survival!$B$5:$AA$65,(68+$A34)-59,68-59),1)*(1-Assumptions!$B$21))))</f>
        <v>0.338715542641635</v>
      </c>
      <c r="F35" s="32" t="n">
        <f aca="false">IF((70+$A34)&gt;=120,0,F34*(1-MIN(1,IFERROR(INDEX(Cohort_Survival!$B$5:$AA$65,(70+$A34)-59,70-59),1)*(1-Assumptions!$B$21))))</f>
        <v>0.248537041520435</v>
      </c>
      <c r="G35" s="32" t="n">
        <f aca="false">IF((72+$A34)&gt;=120,0,G34*(1-MIN(1,IFERROR(INDEX(Cohort_Survival!$B$5:$AA$65,(72+$A34)-59,72-59),1)*(1-Assumptions!$B$21))))</f>
        <v>0.174443031032081</v>
      </c>
      <c r="H35" s="32" t="n">
        <f aca="false">IF((75+$A34)&gt;=120,0,H34*(1-MIN(1,IFERROR(INDEX(Cohort_Survival!$B$5:$AA$65,(75+$A34)-59,75-59),1)*(1-Assumptions!$B$21))))</f>
        <v>0.0943110361134767</v>
      </c>
      <c r="J35" s="32" t="n">
        <f aca="false">IF((60+$A34)&gt;=120,0,J34*(1-MIN(1,IFERROR(INDEX(Cohort_Survival!$B$5:$AA$65,(60+$A34)-59,60-59),1)*R34)))</f>
        <v>0.720540639340478</v>
      </c>
      <c r="K35" s="32" t="n">
        <f aca="false">IF((63+$A34)&gt;=120,0,K34*(1-MIN(1,IFERROR(INDEX(Cohort_Survival!$B$5:$AA$65,(63+$A34)-59,63-59),1)*S34)))</f>
        <v>0.617029003652486</v>
      </c>
      <c r="L35" s="32" t="n">
        <f aca="false">IF((65+$A34)&gt;=120,0,L34*(1-MIN(1,IFERROR(INDEX(Cohort_Survival!$B$5:$AA$65,(65+$A34)-59,65-59),1)*T34)))</f>
        <v>0.531920854291112</v>
      </c>
      <c r="M35" s="32" t="n">
        <f aca="false">IF((68+$A34)&gt;=120,0,M34*(1-MIN(1,IFERROR(INDEX(Cohort_Survival!$B$5:$AA$65,(68+$A34)-59,68-59),1)*U34)))</f>
        <v>0.395388465678548</v>
      </c>
      <c r="N35" s="32" t="n">
        <f aca="false">IF((70+$A34)&gt;=120,0,N34*(1-MIN(1,IFERROR(INDEX(Cohort_Survival!$B$5:$AA$65,(70+$A34)-59,70-59),1)*V34)))</f>
        <v>0.307136559053832</v>
      </c>
      <c r="O35" s="32" t="n">
        <f aca="false">IF((72+$A34)&gt;=120,0,O34*(1-MIN(1,IFERROR(INDEX(Cohort_Survival!$B$5:$AA$65,(72+$A34)-59,72-59),1)*W34)))</f>
        <v>0.229702279988432</v>
      </c>
      <c r="P35" s="32" t="n">
        <f aca="false">IF((75+$A34)&gt;=120,0,P34*(1-MIN(1,IFERROR(INDEX(Cohort_Survival!$B$5:$AA$65,(75+$A34)-59,75-59),1)*X34)))</f>
        <v>0.137542458200089</v>
      </c>
      <c r="R35" s="11" t="n">
        <f aca="false">(1/(1+EXP(-(((CBD_Stochastic!$B$6+CBD_Stochastic!$B$8*(4+$A35))-CBD_Stochastic!$B$19*CBD_Stochastic!$B$17*SQRT((4+$A35)))+((CBD_Stochastic!$B$7+CBD_Stochastic!$B$9*(4+$A35))-CBD_Stochastic!$B$19*CBD_Stochastic!$B$13*CBD_Stochastic!$B$18*SQRT((4+$A35)))*((60+$A35)-CBD_Stochastic!$B$14)))))/(1/(1+EXP(-((CBD_Stochastic!$B$6+CBD_Stochastic!$B$8*(4+$A35))+(CBD_Stochastic!$B$7+CBD_Stochastic!$B$9*(4+$A35))*((60+$A35)-CBD_Stochastic!$B$14)))))</f>
        <v>0.646484259106136</v>
      </c>
      <c r="S35" s="11" t="n">
        <f aca="false">(1/(1+EXP(-(((CBD_Stochastic!$B$6+CBD_Stochastic!$B$8*(4+$A35))-CBD_Stochastic!$B$19*CBD_Stochastic!$B$17*SQRT((4+$A35)))+((CBD_Stochastic!$B$7+CBD_Stochastic!$B$9*(4+$A35))-CBD_Stochastic!$B$19*CBD_Stochastic!$B$13*CBD_Stochastic!$B$18*SQRT((4+$A35)))*((63+$A35)-CBD_Stochastic!$B$14)))))/(1/(1+EXP(-((CBD_Stochastic!$B$6+CBD_Stochastic!$B$8*(4+$A35))+(CBD_Stochastic!$B$7+CBD_Stochastic!$B$9*(4+$A35))*((63+$A35)-CBD_Stochastic!$B$14)))))</f>
        <v>0.631342629431043</v>
      </c>
      <c r="T35" s="11" t="n">
        <f aca="false">(1/(1+EXP(-(((CBD_Stochastic!$B$6+CBD_Stochastic!$B$8*(4+$A35))-CBD_Stochastic!$B$19*CBD_Stochastic!$B$17*SQRT((4+$A35)))+((CBD_Stochastic!$B$7+CBD_Stochastic!$B$9*(4+$A35))-CBD_Stochastic!$B$19*CBD_Stochastic!$B$13*CBD_Stochastic!$B$18*SQRT((4+$A35)))*((65+$A35)-CBD_Stochastic!$B$14)))))/(1/(1+EXP(-((CBD_Stochastic!$B$6+CBD_Stochastic!$B$8*(4+$A35))+(CBD_Stochastic!$B$7+CBD_Stochastic!$B$9*(4+$A35))*((65+$A35)-CBD_Stochastic!$B$14)))))</f>
        <v>0.623521636432888</v>
      </c>
      <c r="U35" s="11" t="n">
        <f aca="false">(1/(1+EXP(-(((CBD_Stochastic!$B$6+CBD_Stochastic!$B$8*(4+$A35))-CBD_Stochastic!$B$19*CBD_Stochastic!$B$17*SQRT((4+$A35)))+((CBD_Stochastic!$B$7+CBD_Stochastic!$B$9*(4+$A35))-CBD_Stochastic!$B$19*CBD_Stochastic!$B$13*CBD_Stochastic!$B$18*SQRT((4+$A35)))*((68+$A35)-CBD_Stochastic!$B$14)))))/(1/(1+EXP(-((CBD_Stochastic!$B$6+CBD_Stochastic!$B$8*(4+$A35))+(CBD_Stochastic!$B$7+CBD_Stochastic!$B$9*(4+$A35))*((68+$A35)-CBD_Stochastic!$B$14)))))</f>
        <v>0.615999596112018</v>
      </c>
      <c r="V35" s="11" t="n">
        <f aca="false">(1/(1+EXP(-(((CBD_Stochastic!$B$6+CBD_Stochastic!$B$8*(4+$A35))-CBD_Stochastic!$B$19*CBD_Stochastic!$B$17*SQRT((4+$A35)))+((CBD_Stochastic!$B$7+CBD_Stochastic!$B$9*(4+$A35))-CBD_Stochastic!$B$19*CBD_Stochastic!$B$13*CBD_Stochastic!$B$18*SQRT((4+$A35)))*((70+$A35)-CBD_Stochastic!$B$14)))))/(1/(1+EXP(-((CBD_Stochastic!$B$6+CBD_Stochastic!$B$8*(4+$A35))+(CBD_Stochastic!$B$7+CBD_Stochastic!$B$9*(4+$A35))*((70+$A35)-CBD_Stochastic!$B$14)))))</f>
        <v>0.614319538216559</v>
      </c>
      <c r="W35" s="11" t="n">
        <f aca="false">(1/(1+EXP(-(((CBD_Stochastic!$B$6+CBD_Stochastic!$B$8*(4+$A35))-CBD_Stochastic!$B$19*CBD_Stochastic!$B$17*SQRT((4+$A35)))+((CBD_Stochastic!$B$7+CBD_Stochastic!$B$9*(4+$A35))-CBD_Stochastic!$B$19*CBD_Stochastic!$B$13*CBD_Stochastic!$B$18*SQRT((4+$A35)))*((72+$A35)-CBD_Stochastic!$B$14)))))/(1/(1+EXP(-((CBD_Stochastic!$B$6+CBD_Stochastic!$B$8*(4+$A35))+(CBD_Stochastic!$B$7+CBD_Stochastic!$B$9*(4+$A35))*((72+$A35)-CBD_Stochastic!$B$14)))))</f>
        <v>0.615746771168682</v>
      </c>
      <c r="X35" s="11" t="n">
        <f aca="false">(1/(1+EXP(-(((CBD_Stochastic!$B$6+CBD_Stochastic!$B$8*(4+$A35))-CBD_Stochastic!$B$19*CBD_Stochastic!$B$17*SQRT((4+$A35)))+((CBD_Stochastic!$B$7+CBD_Stochastic!$B$9*(4+$A35))-CBD_Stochastic!$B$19*CBD_Stochastic!$B$13*CBD_Stochastic!$B$18*SQRT((4+$A35)))*((75+$A35)-CBD_Stochastic!$B$14)))))/(1/(1+EXP(-((CBD_Stochastic!$B$6+CBD_Stochastic!$B$8*(4+$A35))+(CBD_Stochastic!$B$7+CBD_Stochastic!$B$9*(4+$A35))*((75+$A35)-CBD_Stochastic!$B$14)))))</f>
        <v>0.62446794365427</v>
      </c>
    </row>
    <row r="36" customFormat="false" ht="15" hidden="false" customHeight="true" outlineLevel="0" collapsed="false">
      <c r="A36" s="1" t="n">
        <v>28</v>
      </c>
      <c r="B36" s="32" t="n">
        <f aca="false">IF((60+$A35)&gt;=120,0,B35*(1-MIN(1,IFERROR(INDEX(Cohort_Survival!$B$5:$AA$65,(60+$A35)-59,60-59),1)*(1-Assumptions!$B$21))))</f>
        <v>0.66678526394717</v>
      </c>
      <c r="C36" s="32" t="n">
        <f aca="false">IF((63+$A35)&gt;=120,0,C35*(1-MIN(1,IFERROR(INDEX(Cohort_Survival!$B$5:$AA$65,(63+$A35)-59,63-59),1)*(1-Assumptions!$B$21))))</f>
        <v>0.538840531531551</v>
      </c>
      <c r="D36" s="32" t="n">
        <f aca="false">IF((65+$A35)&gt;=120,0,D35*(1-MIN(1,IFERROR(INDEX(Cohort_Survival!$B$5:$AA$65,(65+$A35)-59,65-59),1)*(1-Assumptions!$B$21))))</f>
        <v>0.439874841264991</v>
      </c>
      <c r="E36" s="32" t="n">
        <f aca="false">IF((68+$A35)&gt;=120,0,E35*(1-MIN(1,IFERROR(INDEX(Cohort_Survival!$B$5:$AA$65,(68+$A35)-59,68-59),1)*(1-Assumptions!$B$21))))</f>
        <v>0.294724095467054</v>
      </c>
      <c r="F36" s="32" t="n">
        <f aca="false">IF((70+$A35)&gt;=120,0,F35*(1-MIN(1,IFERROR(INDEX(Cohort_Survival!$B$5:$AA$65,(70+$A35)-59,70-59),1)*(1-Assumptions!$B$21))))</f>
        <v>0.211713821841574</v>
      </c>
      <c r="G36" s="32" t="n">
        <f aca="false">IF((72+$A35)&gt;=120,0,G35*(1-MIN(1,IFERROR(INDEX(Cohort_Survival!$B$5:$AA$65,(72+$A35)-59,72-59),1)*(1-Assumptions!$B$21))))</f>
        <v>0.145490041894668</v>
      </c>
      <c r="H36" s="32" t="n">
        <f aca="false">IF((75+$A35)&gt;=120,0,H35*(1-MIN(1,IFERROR(INDEX(Cohort_Survival!$B$5:$AA$65,(75+$A35)-59,75-59),1)*(1-Assumptions!$B$21))))</f>
        <v>0.0758780575660902</v>
      </c>
      <c r="J36" s="32" t="n">
        <f aca="false">IF((60+$A35)&gt;=120,0,J35*(1-MIN(1,IFERROR(INDEX(Cohort_Survival!$B$5:$AA$65,(60+$A35)-59,60-59),1)*R35)))</f>
        <v>0.692772681794198</v>
      </c>
      <c r="K36" s="32" t="n">
        <f aca="false">IF((63+$A35)&gt;=120,0,K35*(1-MIN(1,IFERROR(INDEX(Cohort_Survival!$B$5:$AA$65,(63+$A35)-59,63-59),1)*S35)))</f>
        <v>0.580629917192764</v>
      </c>
      <c r="L36" s="32" t="n">
        <f aca="false">IF((65+$A35)&gt;=120,0,L35*(1-MIN(1,IFERROR(INDEX(Cohort_Survival!$B$5:$AA$65,(65+$A35)-59,65-59),1)*T35)))</f>
        <v>0.492035898412031</v>
      </c>
      <c r="M36" s="32" t="n">
        <f aca="false">IF((68+$A35)&gt;=120,0,M35*(1-MIN(1,IFERROR(INDEX(Cohort_Survival!$B$5:$AA$65,(68+$A35)-59,68-59),1)*U35)))</f>
        <v>0.355847473755981</v>
      </c>
      <c r="N36" s="32" t="n">
        <f aca="false">IF((70+$A35)&gt;=120,0,N35*(1-MIN(1,IFERROR(INDEX(Cohort_Survival!$B$5:$AA$65,(70+$A35)-59,70-59),1)*V35)))</f>
        <v>0.272193052010883</v>
      </c>
      <c r="O36" s="32" t="n">
        <f aca="false">IF((72+$A35)&gt;=120,0,O35*(1-MIN(1,IFERROR(INDEX(Cohort_Survival!$B$5:$AA$65,(72+$A35)-59,72-59),1)*W35)))</f>
        <v>0.200358419756595</v>
      </c>
      <c r="P36" s="32" t="n">
        <f aca="false">IF((75+$A35)&gt;=120,0,P35*(1-MIN(1,IFERROR(INDEX(Cohort_Survival!$B$5:$AA$65,(75+$A35)-59,75-59),1)*X35)))</f>
        <v>0.116558377598319</v>
      </c>
      <c r="R36" s="11" t="n">
        <f aca="false">(1/(1+EXP(-(((CBD_Stochastic!$B$6+CBD_Stochastic!$B$8*(4+$A36))-CBD_Stochastic!$B$19*CBD_Stochastic!$B$17*SQRT((4+$A36)))+((CBD_Stochastic!$B$7+CBD_Stochastic!$B$9*(4+$A36))-CBD_Stochastic!$B$19*CBD_Stochastic!$B$13*CBD_Stochastic!$B$18*SQRT((4+$A36)))*((60+$A36)-CBD_Stochastic!$B$14)))))/(1/(1+EXP(-((CBD_Stochastic!$B$6+CBD_Stochastic!$B$8*(4+$A36))+(CBD_Stochastic!$B$7+CBD_Stochastic!$B$9*(4+$A36))*((60+$A36)-CBD_Stochastic!$B$14)))))</f>
        <v>0.636171406027889</v>
      </c>
      <c r="S36" s="11" t="n">
        <f aca="false">(1/(1+EXP(-(((CBD_Stochastic!$B$6+CBD_Stochastic!$B$8*(4+$A36))-CBD_Stochastic!$B$19*CBD_Stochastic!$B$17*SQRT((4+$A36)))+((CBD_Stochastic!$B$7+CBD_Stochastic!$B$9*(4+$A36))-CBD_Stochastic!$B$19*CBD_Stochastic!$B$13*CBD_Stochastic!$B$18*SQRT((4+$A36)))*((63+$A36)-CBD_Stochastic!$B$14)))))/(1/(1+EXP(-((CBD_Stochastic!$B$6+CBD_Stochastic!$B$8*(4+$A36))+(CBD_Stochastic!$B$7+CBD_Stochastic!$B$9*(4+$A36))*((63+$A36)-CBD_Stochastic!$B$14)))))</f>
        <v>0.62209520126759</v>
      </c>
      <c r="T36" s="11" t="n">
        <f aca="false">(1/(1+EXP(-(((CBD_Stochastic!$B$6+CBD_Stochastic!$B$8*(4+$A36))-CBD_Stochastic!$B$19*CBD_Stochastic!$B$17*SQRT((4+$A36)))+((CBD_Stochastic!$B$7+CBD_Stochastic!$B$9*(4+$A36))-CBD_Stochastic!$B$19*CBD_Stochastic!$B$13*CBD_Stochastic!$B$18*SQRT((4+$A36)))*((65+$A36)-CBD_Stochastic!$B$14)))))/(1/(1+EXP(-((CBD_Stochastic!$B$6+CBD_Stochastic!$B$8*(4+$A36))+(CBD_Stochastic!$B$7+CBD_Stochastic!$B$9*(4+$A36))*((65+$A36)-CBD_Stochastic!$B$14)))))</f>
        <v>0.615184643528202</v>
      </c>
      <c r="U36" s="11" t="n">
        <f aca="false">(1/(1+EXP(-(((CBD_Stochastic!$B$6+CBD_Stochastic!$B$8*(4+$A36))-CBD_Stochastic!$B$19*CBD_Stochastic!$B$17*SQRT((4+$A36)))+((CBD_Stochastic!$B$7+CBD_Stochastic!$B$9*(4+$A36))-CBD_Stochastic!$B$19*CBD_Stochastic!$B$13*CBD_Stochastic!$B$18*SQRT((4+$A36)))*((68+$A36)-CBD_Stochastic!$B$14)))))/(1/(1+EXP(-((CBD_Stochastic!$B$6+CBD_Stochastic!$B$8*(4+$A36))+(CBD_Stochastic!$B$7+CBD_Stochastic!$B$9*(4+$A36))*((68+$A36)-CBD_Stochastic!$B$14)))))</f>
        <v>0.609383526480886</v>
      </c>
      <c r="V36" s="11" t="n">
        <f aca="false">(1/(1+EXP(-(((CBD_Stochastic!$B$6+CBD_Stochastic!$B$8*(4+$A36))-CBD_Stochastic!$B$19*CBD_Stochastic!$B$17*SQRT((4+$A36)))+((CBD_Stochastic!$B$7+CBD_Stochastic!$B$9*(4+$A36))-CBD_Stochastic!$B$19*CBD_Stochastic!$B$13*CBD_Stochastic!$B$18*SQRT((4+$A36)))*((70+$A36)-CBD_Stochastic!$B$14)))))/(1/(1+EXP(-((CBD_Stochastic!$B$6+CBD_Stochastic!$B$8*(4+$A36))+(CBD_Stochastic!$B$7+CBD_Stochastic!$B$9*(4+$A36))*((70+$A36)-CBD_Stochastic!$B$14)))))</f>
        <v>0.609109773685719</v>
      </c>
      <c r="W36" s="11" t="n">
        <f aca="false">(1/(1+EXP(-(((CBD_Stochastic!$B$6+CBD_Stochastic!$B$8*(4+$A36))-CBD_Stochastic!$B$19*CBD_Stochastic!$B$17*SQRT((4+$A36)))+((CBD_Stochastic!$B$7+CBD_Stochastic!$B$9*(4+$A36))-CBD_Stochastic!$B$19*CBD_Stochastic!$B$13*CBD_Stochastic!$B$18*SQRT((4+$A36)))*((72+$A36)-CBD_Stochastic!$B$14)))))/(1/(1+EXP(-((CBD_Stochastic!$B$6+CBD_Stochastic!$B$8*(4+$A36))+(CBD_Stochastic!$B$7+CBD_Stochastic!$B$9*(4+$A36))*((72+$A36)-CBD_Stochastic!$B$14)))))</f>
        <v>0.612152995697147</v>
      </c>
      <c r="X36" s="11" t="n">
        <f aca="false">(1/(1+EXP(-(((CBD_Stochastic!$B$6+CBD_Stochastic!$B$8*(4+$A36))-CBD_Stochastic!$B$19*CBD_Stochastic!$B$17*SQRT((4+$A36)))+((CBD_Stochastic!$B$7+CBD_Stochastic!$B$9*(4+$A36))-CBD_Stochastic!$B$19*CBD_Stochastic!$B$13*CBD_Stochastic!$B$18*SQRT((4+$A36)))*((75+$A36)-CBD_Stochastic!$B$14)))))/(1/(1+EXP(-((CBD_Stochastic!$B$6+CBD_Stochastic!$B$8*(4+$A36))+(CBD_Stochastic!$B$7+CBD_Stochastic!$B$9*(4+$A36))*((75+$A36)-CBD_Stochastic!$B$14)))))</f>
        <v>0.623643632033148</v>
      </c>
    </row>
    <row r="37" customFormat="false" ht="15" hidden="false" customHeight="true" outlineLevel="0" collapsed="false">
      <c r="A37" s="1" t="n">
        <v>29</v>
      </c>
      <c r="B37" s="32" t="n">
        <f aca="false">IF((60+$A36)&gt;=120,0,B36*(1-MIN(1,IFERROR(INDEX(Cohort_Survival!$B$5:$AA$65,(60+$A36)-59,60-59),1)*(1-Assumptions!$B$21))))</f>
        <v>0.630632980749171</v>
      </c>
      <c r="C37" s="32" t="n">
        <f aca="false">IF((63+$A36)&gt;=120,0,C36*(1-MIN(1,IFERROR(INDEX(Cohort_Survival!$B$5:$AA$65,(63+$A36)-59,63-59),1)*(1-Assumptions!$B$21))))</f>
        <v>0.493390038223854</v>
      </c>
      <c r="D37" s="32" t="n">
        <f aca="false">IF((65+$A36)&gt;=120,0,D36*(1-MIN(1,IFERROR(INDEX(Cohort_Survival!$B$5:$AA$65,(65+$A36)-59,65-59),1)*(1-Assumptions!$B$21))))</f>
        <v>0.393434314876711</v>
      </c>
      <c r="E37" s="32" t="n">
        <f aca="false">IF((68+$A36)&gt;=120,0,E36*(1-MIN(1,IFERROR(INDEX(Cohort_Survival!$B$5:$AA$65,(68+$A36)-59,68-59),1)*(1-Assumptions!$B$21))))</f>
        <v>0.254054432967757</v>
      </c>
      <c r="F37" s="32" t="n">
        <f aca="false">IF((70+$A36)&gt;=120,0,F36*(1-MIN(1,IFERROR(INDEX(Cohort_Survival!$B$5:$AA$65,(70+$A36)-59,70-59),1)*(1-Assumptions!$B$21))))</f>
        <v>0.178706338040032</v>
      </c>
      <c r="G37" s="32" t="n">
        <f aca="false">IF((72+$A36)&gt;=120,0,G36*(1-MIN(1,IFERROR(INDEX(Cohort_Survival!$B$5:$AA$65,(72+$A36)-59,72-59),1)*(1-Assumptions!$B$21))))</f>
        <v>0.120156479320281</v>
      </c>
      <c r="H37" s="32" t="n">
        <f aca="false">IF((75+$A36)&gt;=120,0,H36*(1-MIN(1,IFERROR(INDEX(Cohort_Survival!$B$5:$AA$65,(75+$A36)-59,75-59),1)*(1-Assumptions!$B$21))))</f>
        <v>0.0602150312651172</v>
      </c>
      <c r="J37" s="32" t="n">
        <f aca="false">IF((60+$A36)&gt;=120,0,J36*(1-MIN(1,IFERROR(INDEX(Cohort_Survival!$B$5:$AA$65,(60+$A36)-59,60-59),1)*R36)))</f>
        <v>0.66290340903057</v>
      </c>
      <c r="K37" s="32" t="n">
        <f aca="false">IF((63+$A36)&gt;=120,0,K36*(1-MIN(1,IFERROR(INDEX(Cohort_Survival!$B$5:$AA$65,(63+$A36)-59,63-59),1)*S36)))</f>
        <v>0.542545736327084</v>
      </c>
      <c r="L37" s="32" t="n">
        <f aca="false">IF((65+$A36)&gt;=120,0,L36*(1-MIN(1,IFERROR(INDEX(Cohort_Survival!$B$5:$AA$65,(65+$A36)-59,65-59),1)*T36)))</f>
        <v>0.452089254425882</v>
      </c>
      <c r="M37" s="32" t="n">
        <f aca="false">IF((68+$A36)&gt;=120,0,M36*(1-MIN(1,IFERROR(INDEX(Cohort_Survival!$B$5:$AA$65,(68+$A36)-59,68-59),1)*U36)))</f>
        <v>0.318443345744581</v>
      </c>
      <c r="N37" s="32" t="n">
        <f aca="false">IF((70+$A36)&gt;=120,0,N36*(1-MIN(1,IFERROR(INDEX(Cohort_Survival!$B$5:$AA$65,(70+$A36)-59,70-59),1)*V36)))</f>
        <v>0.239882392468012</v>
      </c>
      <c r="O37" s="32" t="n">
        <f aca="false">IF((72+$A36)&gt;=120,0,O36*(1-MIN(1,IFERROR(INDEX(Cohort_Survival!$B$5:$AA$65,(72+$A36)-59,72-59),1)*W36)))</f>
        <v>0.173662764307825</v>
      </c>
      <c r="P37" s="32" t="n">
        <f aca="false">IF((75+$A36)&gt;=120,0,P36*(1-MIN(1,IFERROR(INDEX(Cohort_Survival!$B$5:$AA$65,(75+$A36)-59,75-59),1)*X36)))</f>
        <v>0.0978019782248003</v>
      </c>
      <c r="R37" s="11" t="n">
        <f aca="false">(1/(1+EXP(-(((CBD_Stochastic!$B$6+CBD_Stochastic!$B$8*(4+$A37))-CBD_Stochastic!$B$19*CBD_Stochastic!$B$17*SQRT((4+$A37)))+((CBD_Stochastic!$B$7+CBD_Stochastic!$B$9*(4+$A37))-CBD_Stochastic!$B$19*CBD_Stochastic!$B$13*CBD_Stochastic!$B$18*SQRT((4+$A37)))*((60+$A37)-CBD_Stochastic!$B$14)))))/(1/(1+EXP(-((CBD_Stochastic!$B$6+CBD_Stochastic!$B$8*(4+$A37))+(CBD_Stochastic!$B$7+CBD_Stochastic!$B$9*(4+$A37))*((60+$A37)-CBD_Stochastic!$B$14)))))</f>
        <v>0.626204605351521</v>
      </c>
      <c r="S37" s="11" t="n">
        <f aca="false">(1/(1+EXP(-(((CBD_Stochastic!$B$6+CBD_Stochastic!$B$8*(4+$A37))-CBD_Stochastic!$B$19*CBD_Stochastic!$B$17*SQRT((4+$A37)))+((CBD_Stochastic!$B$7+CBD_Stochastic!$B$9*(4+$A37))-CBD_Stochastic!$B$19*CBD_Stochastic!$B$13*CBD_Stochastic!$B$18*SQRT((4+$A37)))*((63+$A37)-CBD_Stochastic!$B$14)))))/(1/(1+EXP(-((CBD_Stochastic!$B$6+CBD_Stochastic!$B$8*(4+$A37))+(CBD_Stochastic!$B$7+CBD_Stochastic!$B$9*(4+$A37))*((63+$A37)-CBD_Stochastic!$B$14)))))</f>
        <v>0.613317905317107</v>
      </c>
      <c r="T37" s="11" t="n">
        <f aca="false">(1/(1+EXP(-(((CBD_Stochastic!$B$6+CBD_Stochastic!$B$8*(4+$A37))-CBD_Stochastic!$B$19*CBD_Stochastic!$B$17*SQRT((4+$A37)))+((CBD_Stochastic!$B$7+CBD_Stochastic!$B$9*(4+$A37))-CBD_Stochastic!$B$19*CBD_Stochastic!$B$13*CBD_Stochastic!$B$18*SQRT((4+$A37)))*((65+$A37)-CBD_Stochastic!$B$14)))))/(1/(1+EXP(-((CBD_Stochastic!$B$6+CBD_Stochastic!$B$8*(4+$A37))+(CBD_Stochastic!$B$7+CBD_Stochastic!$B$9*(4+$A37))*((65+$A37)-CBD_Stochastic!$B$14)))))</f>
        <v>0.607415524971582</v>
      </c>
      <c r="U37" s="11" t="n">
        <f aca="false">(1/(1+EXP(-(((CBD_Stochastic!$B$6+CBD_Stochastic!$B$8*(4+$A37))-CBD_Stochastic!$B$19*CBD_Stochastic!$B$17*SQRT((4+$A37)))+((CBD_Stochastic!$B$7+CBD_Stochastic!$B$9*(4+$A37))-CBD_Stochastic!$B$19*CBD_Stochastic!$B$13*CBD_Stochastic!$B$18*SQRT((4+$A37)))*((68+$A37)-CBD_Stochastic!$B$14)))))/(1/(1+EXP(-((CBD_Stochastic!$B$6+CBD_Stochastic!$B$8*(4+$A37))+(CBD_Stochastic!$B$7+CBD_Stochastic!$B$9*(4+$A37))*((68+$A37)-CBD_Stochastic!$B$14)))))</f>
        <v>0.603501192637686</v>
      </c>
      <c r="V37" s="11" t="n">
        <f aca="false">(1/(1+EXP(-(((CBD_Stochastic!$B$6+CBD_Stochastic!$B$8*(4+$A37))-CBD_Stochastic!$B$19*CBD_Stochastic!$B$17*SQRT((4+$A37)))+((CBD_Stochastic!$B$7+CBD_Stochastic!$B$9*(4+$A37))-CBD_Stochastic!$B$19*CBD_Stochastic!$B$13*CBD_Stochastic!$B$18*SQRT((4+$A37)))*((70+$A37)-CBD_Stochastic!$B$14)))))/(1/(1+EXP(-((CBD_Stochastic!$B$6+CBD_Stochastic!$B$8*(4+$A37))+(CBD_Stochastic!$B$7+CBD_Stochastic!$B$9*(4+$A37))*((70+$A37)-CBD_Stochastic!$B$14)))))</f>
        <v>0.604751216577171</v>
      </c>
      <c r="W37" s="11" t="n">
        <f aca="false">(1/(1+EXP(-(((CBD_Stochastic!$B$6+CBD_Stochastic!$B$8*(4+$A37))-CBD_Stochastic!$B$19*CBD_Stochastic!$B$17*SQRT((4+$A37)))+((CBD_Stochastic!$B$7+CBD_Stochastic!$B$9*(4+$A37))-CBD_Stochastic!$B$19*CBD_Stochastic!$B$13*CBD_Stochastic!$B$18*SQRT((4+$A37)))*((72+$A37)-CBD_Stochastic!$B$14)))))/(1/(1+EXP(-((CBD_Stochastic!$B$6+CBD_Stochastic!$B$8*(4+$A37))+(CBD_Stochastic!$B$7+CBD_Stochastic!$B$9*(4+$A37))*((72+$A37)-CBD_Stochastic!$B$14)))))</f>
        <v>0.60952476225801</v>
      </c>
      <c r="X37" s="11" t="n">
        <f aca="false">(1/(1+EXP(-(((CBD_Stochastic!$B$6+CBD_Stochastic!$B$8*(4+$A37))-CBD_Stochastic!$B$19*CBD_Stochastic!$B$17*SQRT((4+$A37)))+((CBD_Stochastic!$B$7+CBD_Stochastic!$B$9*(4+$A37))-CBD_Stochastic!$B$19*CBD_Stochastic!$B$13*CBD_Stochastic!$B$18*SQRT((4+$A37)))*((75+$A37)-CBD_Stochastic!$B$14)))))/(1/(1+EXP(-((CBD_Stochastic!$B$6+CBD_Stochastic!$B$8*(4+$A37))+(CBD_Stochastic!$B$7+CBD_Stochastic!$B$9*(4+$A37))*((75+$A37)-CBD_Stochastic!$B$14)))))</f>
        <v>0.623925578185787</v>
      </c>
    </row>
    <row r="38" customFormat="false" ht="15" hidden="false" customHeight="true" outlineLevel="0" collapsed="false">
      <c r="A38" s="1" t="n">
        <v>30</v>
      </c>
      <c r="B38" s="32" t="n">
        <f aca="false">IF((60+$A37)&gt;=120,0,B37*(1-MIN(1,IFERROR(INDEX(Cohort_Survival!$B$5:$AA$65,(60+$A37)-59,60-59),1)*(1-Assumptions!$B$21))))</f>
        <v>0.591795005416168</v>
      </c>
      <c r="C38" s="32" t="n">
        <f aca="false">IF((63+$A37)&gt;=120,0,C37*(1-MIN(1,IFERROR(INDEX(Cohort_Survival!$B$5:$AA$65,(63+$A37)-59,63-59),1)*(1-Assumptions!$B$21))))</f>
        <v>0.446942879832335</v>
      </c>
      <c r="D38" s="32" t="n">
        <f aca="false">IF((65+$A37)&gt;=120,0,D37*(1-MIN(1,IFERROR(INDEX(Cohort_Survival!$B$5:$AA$65,(65+$A37)-59,65-59),1)*(1-Assumptions!$B$21))))</f>
        <v>0.348444813833016</v>
      </c>
      <c r="E38" s="32" t="n">
        <f aca="false">IF((68+$A37)&gt;=120,0,E37*(1-MIN(1,IFERROR(INDEX(Cohort_Survival!$B$5:$AA$65,(68+$A37)-59,68-59),1)*(1-Assumptions!$B$21))))</f>
        <v>0.216998661685592</v>
      </c>
      <c r="F38" s="32" t="n">
        <f aca="false">IF((70+$A37)&gt;=120,0,F37*(1-MIN(1,IFERROR(INDEX(Cohort_Survival!$B$5:$AA$65,(70+$A37)-59,70-59),1)*(1-Assumptions!$B$21))))</f>
        <v>0.149435978967928</v>
      </c>
      <c r="G38" s="32" t="n">
        <f aca="false">IF((72+$A37)&gt;=120,0,G37*(1-MIN(1,IFERROR(INDEX(Cohort_Survival!$B$5:$AA$65,(72+$A37)-59,72-59),1)*(1-Assumptions!$B$21))))</f>
        <v>0.0981795937733384</v>
      </c>
      <c r="H38" s="32" t="n">
        <f aca="false">IF((75+$A37)&gt;=120,0,H37*(1-MIN(1,IFERROR(INDEX(Cohort_Survival!$B$5:$AA$65,(75+$A37)-59,75-59),1)*(1-Assumptions!$B$21))))</f>
        <v>0.048336323250171</v>
      </c>
      <c r="J38" s="32" t="n">
        <f aca="false">IF((60+$A37)&gt;=120,0,J37*(1-MIN(1,IFERROR(INDEX(Cohort_Survival!$B$5:$AA$65,(60+$A37)-59,60-59),1)*R37)))</f>
        <v>0.630947113813535</v>
      </c>
      <c r="K38" s="32" t="n">
        <f aca="false">IF((63+$A37)&gt;=120,0,K37*(1-MIN(1,IFERROR(INDEX(Cohort_Survival!$B$5:$AA$65,(63+$A37)-59,63-59),1)*S37)))</f>
        <v>0.503389514133773</v>
      </c>
      <c r="L38" s="32" t="n">
        <f aca="false">IF((65+$A37)&gt;=120,0,L37*(1-MIN(1,IFERROR(INDEX(Cohort_Survival!$B$5:$AA$65,(65+$A37)-59,65-59),1)*T37)))</f>
        <v>0.412837504236519</v>
      </c>
      <c r="M38" s="32" t="n">
        <f aca="false">IF((68+$A37)&gt;=120,0,M37*(1-MIN(1,IFERROR(INDEX(Cohort_Survival!$B$5:$AA$65,(68+$A37)-59,68-59),1)*U37)))</f>
        <v>0.283404531251533</v>
      </c>
      <c r="N38" s="32" t="n">
        <f aca="false">IF((70+$A37)&gt;=120,0,N37*(1-MIN(1,IFERROR(INDEX(Cohort_Survival!$B$5:$AA$65,(70+$A37)-59,70-59),1)*V37)))</f>
        <v>0.210181244874845</v>
      </c>
      <c r="O38" s="32" t="n">
        <f aca="false">IF((72+$A37)&gt;=120,0,O37*(1-MIN(1,IFERROR(INDEX(Cohort_Survival!$B$5:$AA$65,(72+$A37)-59,72-59),1)*W37)))</f>
        <v>0.14946211444955</v>
      </c>
      <c r="P38" s="32" t="n">
        <f aca="false">IF((75+$A37)&gt;=120,0,P37*(1-MIN(1,IFERROR(INDEX(Cohort_Survival!$B$5:$AA$65,(75+$A37)-59,75-59),1)*X37)))</f>
        <v>0.0827548114835469</v>
      </c>
      <c r="R38" s="11" t="n">
        <f aca="false">(1/(1+EXP(-(((CBD_Stochastic!$B$6+CBD_Stochastic!$B$8*(4+$A38))-CBD_Stochastic!$B$19*CBD_Stochastic!$B$17*SQRT((4+$A38)))+((CBD_Stochastic!$B$7+CBD_Stochastic!$B$9*(4+$A38))-CBD_Stochastic!$B$19*CBD_Stochastic!$B$13*CBD_Stochastic!$B$18*SQRT((4+$A38)))*((60+$A38)-CBD_Stochastic!$B$14)))))/(1/(1+EXP(-((CBD_Stochastic!$B$6+CBD_Stochastic!$B$8*(4+$A38))+(CBD_Stochastic!$B$7+CBD_Stochastic!$B$9*(4+$A38))*((60+$A38)-CBD_Stochastic!$B$14)))))</f>
        <v>0.616622279132666</v>
      </c>
      <c r="S38" s="11" t="n">
        <f aca="false">(1/(1+EXP(-(((CBD_Stochastic!$B$6+CBD_Stochastic!$B$8*(4+$A38))-CBD_Stochastic!$B$19*CBD_Stochastic!$B$17*SQRT((4+$A38)))+((CBD_Stochastic!$B$7+CBD_Stochastic!$B$9*(4+$A38))-CBD_Stochastic!$B$19*CBD_Stochastic!$B$13*CBD_Stochastic!$B$18*SQRT((4+$A38)))*((63+$A38)-CBD_Stochastic!$B$14)))))/(1/(1+EXP(-((CBD_Stochastic!$B$6+CBD_Stochastic!$B$8*(4+$A38))+(CBD_Stochastic!$B$7+CBD_Stochastic!$B$9*(4+$A38))*((63+$A38)-CBD_Stochastic!$B$14)))))</f>
        <v>0.605057782658787</v>
      </c>
      <c r="T38" s="11" t="n">
        <f aca="false">(1/(1+EXP(-(((CBD_Stochastic!$B$6+CBD_Stochastic!$B$8*(4+$A38))-CBD_Stochastic!$B$19*CBD_Stochastic!$B$17*SQRT((4+$A38)))+((CBD_Stochastic!$B$7+CBD_Stochastic!$B$9*(4+$A38))-CBD_Stochastic!$B$19*CBD_Stochastic!$B$13*CBD_Stochastic!$B$18*SQRT((4+$A38)))*((65+$A38)-CBD_Stochastic!$B$14)))))/(1/(1+EXP(-((CBD_Stochastic!$B$6+CBD_Stochastic!$B$8*(4+$A38))+(CBD_Stochastic!$B$7+CBD_Stochastic!$B$9*(4+$A38))*((65+$A38)-CBD_Stochastic!$B$14)))))</f>
        <v>0.600267020952932</v>
      </c>
      <c r="U38" s="11" t="n">
        <f aca="false">(1/(1+EXP(-(((CBD_Stochastic!$B$6+CBD_Stochastic!$B$8*(4+$A38))-CBD_Stochastic!$B$19*CBD_Stochastic!$B$17*SQRT((4+$A38)))+((CBD_Stochastic!$B$7+CBD_Stochastic!$B$9*(4+$A38))-CBD_Stochastic!$B$19*CBD_Stochastic!$B$13*CBD_Stochastic!$B$18*SQRT((4+$A38)))*((68+$A38)-CBD_Stochastic!$B$14)))))/(1/(1+EXP(-((CBD_Stochastic!$B$6+CBD_Stochastic!$B$8*(4+$A38))+(CBD_Stochastic!$B$7+CBD_Stochastic!$B$9*(4+$A38))*((68+$A38)-CBD_Stochastic!$B$14)))))</f>
        <v>0.598411598443915</v>
      </c>
      <c r="V38" s="11" t="n">
        <f aca="false">(1/(1+EXP(-(((CBD_Stochastic!$B$6+CBD_Stochastic!$B$8*(4+$A38))-CBD_Stochastic!$B$19*CBD_Stochastic!$B$17*SQRT((4+$A38)))+((CBD_Stochastic!$B$7+CBD_Stochastic!$B$9*(4+$A38))-CBD_Stochastic!$B$19*CBD_Stochastic!$B$13*CBD_Stochastic!$B$18*SQRT((4+$A38)))*((70+$A38)-CBD_Stochastic!$B$14)))))/(1/(1+EXP(-((CBD_Stochastic!$B$6+CBD_Stochastic!$B$8*(4+$A38))+(CBD_Stochastic!$B$7+CBD_Stochastic!$B$9*(4+$A38))*((70+$A38)-CBD_Stochastic!$B$14)))))</f>
        <v>0.601303567185389</v>
      </c>
      <c r="W38" s="11" t="n">
        <f aca="false">(1/(1+EXP(-(((CBD_Stochastic!$B$6+CBD_Stochastic!$B$8*(4+$A38))-CBD_Stochastic!$B$19*CBD_Stochastic!$B$17*SQRT((4+$A38)))+((CBD_Stochastic!$B$7+CBD_Stochastic!$B$9*(4+$A38))-CBD_Stochastic!$B$19*CBD_Stochastic!$B$13*CBD_Stochastic!$B$18*SQRT((4+$A38)))*((72+$A38)-CBD_Stochastic!$B$14)))))/(1/(1+EXP(-((CBD_Stochastic!$B$6+CBD_Stochastic!$B$8*(4+$A38))+(CBD_Stochastic!$B$7+CBD_Stochastic!$B$9*(4+$A38))*((72+$A38)-CBD_Stochastic!$B$14)))))</f>
        <v>0.607917784238793</v>
      </c>
      <c r="X38" s="11" t="n">
        <f aca="false">(1/(1+EXP(-(((CBD_Stochastic!$B$6+CBD_Stochastic!$B$8*(4+$A38))-CBD_Stochastic!$B$19*CBD_Stochastic!$B$17*SQRT((4+$A38)))+((CBD_Stochastic!$B$7+CBD_Stochastic!$B$9*(4+$A38))-CBD_Stochastic!$B$19*CBD_Stochastic!$B$13*CBD_Stochastic!$B$18*SQRT((4+$A38)))*((75+$A38)-CBD_Stochastic!$B$14)))))/(1/(1+EXP(-((CBD_Stochastic!$B$6+CBD_Stochastic!$B$8*(4+$A38))+(CBD_Stochastic!$B$7+CBD_Stochastic!$B$9*(4+$A38))*((75+$A38)-CBD_Stochastic!$B$14)))))</f>
        <v>0.625351498830042</v>
      </c>
    </row>
    <row r="39" customFormat="false" ht="15" hidden="false" customHeight="true" outlineLevel="0" collapsed="false">
      <c r="A39" s="1" t="n">
        <v>31</v>
      </c>
      <c r="B39" s="32" t="n">
        <f aca="false">IF((60+$A38)&gt;=120,0,B38*(1-MIN(1,IFERROR(INDEX(Cohort_Survival!$B$5:$AA$65,(60+$A38)-59,60-59),1)*(1-Assumptions!$B$21))))</f>
        <v>0.54913195475818</v>
      </c>
      <c r="C39" s="32" t="n">
        <f aca="false">IF((63+$A38)&gt;=120,0,C38*(1-MIN(1,IFERROR(INDEX(Cohort_Survival!$B$5:$AA$65,(63+$A38)-59,63-59),1)*(1-Assumptions!$B$21))))</f>
        <v>0.400713833699919</v>
      </c>
      <c r="D39" s="32" t="n">
        <f aca="false">IF((65+$A38)&gt;=120,0,D38*(1-MIN(1,IFERROR(INDEX(Cohort_Survival!$B$5:$AA$65,(65+$A38)-59,65-59),1)*(1-Assumptions!$B$21))))</f>
        <v>0.30440067814294</v>
      </c>
      <c r="E39" s="32" t="n">
        <f aca="false">IF((68+$A38)&gt;=120,0,E38*(1-MIN(1,IFERROR(INDEX(Cohort_Survival!$B$5:$AA$65,(68+$A38)-59,68-59),1)*(1-Assumptions!$B$21))))</f>
        <v>0.183652657593843</v>
      </c>
      <c r="F39" s="32" t="n">
        <f aca="false">IF((70+$A38)&gt;=120,0,F38*(1-MIN(1,IFERROR(INDEX(Cohort_Survival!$B$5:$AA$65,(70+$A38)-59,70-59),1)*(1-Assumptions!$B$21))))</f>
        <v>0.123726638222022</v>
      </c>
      <c r="G39" s="32" t="n">
        <f aca="false">IF((72+$A38)&gt;=120,0,G38*(1-MIN(1,IFERROR(INDEX(Cohort_Survival!$B$5:$AA$65,(72+$A38)-59,72-59),1)*(1-Assumptions!$B$21))))</f>
        <v>0.079265508860339</v>
      </c>
      <c r="H39" s="32" t="n">
        <f aca="false">IF((75+$A38)&gt;=120,0,H38*(1-MIN(1,IFERROR(INDEX(Cohort_Survival!$B$5:$AA$65,(75+$A38)-59,75-59),1)*(1-Assumptions!$B$21))))</f>
        <v>0.043473926284564</v>
      </c>
      <c r="J39" s="32" t="n">
        <f aca="false">IF((60+$A38)&gt;=120,0,J38*(1-MIN(1,IFERROR(INDEX(Cohort_Survival!$B$5:$AA$65,(60+$A38)-59,60-59),1)*R38)))</f>
        <v>0.595887849828102</v>
      </c>
      <c r="K39" s="32" t="n">
        <f aca="false">IF((63+$A38)&gt;=120,0,K38*(1-MIN(1,IFERROR(INDEX(Cohort_Survival!$B$5:$AA$65,(63+$A38)-59,63-59),1)*S38)))</f>
        <v>0.464009674907131</v>
      </c>
      <c r="L39" s="32" t="n">
        <f aca="false">IF((65+$A38)&gt;=120,0,L38*(1-MIN(1,IFERROR(INDEX(Cohort_Survival!$B$5:$AA$65,(65+$A38)-59,65-59),1)*T38)))</f>
        <v>0.373682459232326</v>
      </c>
      <c r="M39" s="32" t="n">
        <f aca="false">IF((68+$A38)&gt;=120,0,M38*(1-MIN(1,IFERROR(INDEX(Cohort_Survival!$B$5:$AA$65,(68+$A38)-59,68-59),1)*U38)))</f>
        <v>0.250828096750205</v>
      </c>
      <c r="N39" s="32" t="n">
        <f aca="false">IF((70+$A38)&gt;=120,0,N38*(1-MIN(1,IFERROR(INDEX(Cohort_Survival!$B$5:$AA$65,(70+$A38)-59,70-59),1)*V38)))</f>
        <v>0.183002241937377</v>
      </c>
      <c r="O39" s="32" t="n">
        <f aca="false">IF((72+$A38)&gt;=120,0,O38*(1-MIN(1,IFERROR(INDEX(Cohort_Survival!$B$5:$AA$65,(72+$A38)-59,72-59),1)*W38)))</f>
        <v>0.127581974921873</v>
      </c>
      <c r="P39" s="32" t="n">
        <f aca="false">IF((75+$A38)&gt;=120,0,P38*(1-MIN(1,IFERROR(INDEX(Cohort_Survival!$B$5:$AA$65,(75+$A38)-59,75-59),1)*X38)))</f>
        <v>0.0762474600575338</v>
      </c>
      <c r="R39" s="11" t="n">
        <f aca="false">(1/(1+EXP(-(((CBD_Stochastic!$B$6+CBD_Stochastic!$B$8*(4+$A39))-CBD_Stochastic!$B$19*CBD_Stochastic!$B$17*SQRT((4+$A39)))+((CBD_Stochastic!$B$7+CBD_Stochastic!$B$9*(4+$A39))-CBD_Stochastic!$B$19*CBD_Stochastic!$B$13*CBD_Stochastic!$B$18*SQRT((4+$A39)))*((60+$A39)-CBD_Stochastic!$B$14)))))/(1/(1+EXP(-((CBD_Stochastic!$B$6+CBD_Stochastic!$B$8*(4+$A39))+(CBD_Stochastic!$B$7+CBD_Stochastic!$B$9*(4+$A39))*((60+$A39)-CBD_Stochastic!$B$14)))))</f>
        <v>0.607465551608361</v>
      </c>
      <c r="S39" s="11" t="n">
        <f aca="false">(1/(1+EXP(-(((CBD_Stochastic!$B$6+CBD_Stochastic!$B$8*(4+$A39))-CBD_Stochastic!$B$19*CBD_Stochastic!$B$17*SQRT((4+$A39)))+((CBD_Stochastic!$B$7+CBD_Stochastic!$B$9*(4+$A39))-CBD_Stochastic!$B$19*CBD_Stochastic!$B$13*CBD_Stochastic!$B$18*SQRT((4+$A39)))*((63+$A39)-CBD_Stochastic!$B$14)))))/(1/(1+EXP(-((CBD_Stochastic!$B$6+CBD_Stochastic!$B$8*(4+$A39))+(CBD_Stochastic!$B$7+CBD_Stochastic!$B$9*(4+$A39))*((63+$A39)-CBD_Stochastic!$B$14)))))</f>
        <v>0.597364884802921</v>
      </c>
      <c r="T39" s="11" t="n">
        <f aca="false">(1/(1+EXP(-(((CBD_Stochastic!$B$6+CBD_Stochastic!$B$8*(4+$A39))-CBD_Stochastic!$B$19*CBD_Stochastic!$B$17*SQRT((4+$A39)))+((CBD_Stochastic!$B$7+CBD_Stochastic!$B$9*(4+$A39))-CBD_Stochastic!$B$19*CBD_Stochastic!$B$13*CBD_Stochastic!$B$18*SQRT((4+$A39)))*((65+$A39)-CBD_Stochastic!$B$14)))))/(1/(1+EXP(-((CBD_Stochastic!$B$6+CBD_Stochastic!$B$8*(4+$A39))+(CBD_Stochastic!$B$7+CBD_Stochastic!$B$9*(4+$A39))*((65+$A39)-CBD_Stochastic!$B$14)))))</f>
        <v>0.593794682406942</v>
      </c>
      <c r="U39" s="11" t="n">
        <f aca="false">(1/(1+EXP(-(((CBD_Stochastic!$B$6+CBD_Stochastic!$B$8*(4+$A39))-CBD_Stochastic!$B$19*CBD_Stochastic!$B$17*SQRT((4+$A39)))+((CBD_Stochastic!$B$7+CBD_Stochastic!$B$9*(4+$A39))-CBD_Stochastic!$B$19*CBD_Stochastic!$B$13*CBD_Stochastic!$B$18*SQRT((4+$A39)))*((68+$A39)-CBD_Stochastic!$B$14)))))/(1/(1+EXP(-((CBD_Stochastic!$B$6+CBD_Stochastic!$B$8*(4+$A39))+(CBD_Stochastic!$B$7+CBD_Stochastic!$B$9*(4+$A39))*((68+$A39)-CBD_Stochastic!$B$14)))))</f>
        <v>0.594175188096208</v>
      </c>
      <c r="V39" s="11" t="n">
        <f aca="false">(1/(1+EXP(-(((CBD_Stochastic!$B$6+CBD_Stochastic!$B$8*(4+$A39))-CBD_Stochastic!$B$19*CBD_Stochastic!$B$17*SQRT((4+$A39)))+((CBD_Stochastic!$B$7+CBD_Stochastic!$B$9*(4+$A39))-CBD_Stochastic!$B$19*CBD_Stochastic!$B$13*CBD_Stochastic!$B$18*SQRT((4+$A39)))*((70+$A39)-CBD_Stochastic!$B$14)))))/(1/(1+EXP(-((CBD_Stochastic!$B$6+CBD_Stochastic!$B$8*(4+$A39))+(CBD_Stochastic!$B$7+CBD_Stochastic!$B$9*(4+$A39))*((70+$A39)-CBD_Stochastic!$B$14)))))</f>
        <v>0.598826084801318</v>
      </c>
      <c r="W39" s="11" t="n">
        <f aca="false">(1/(1+EXP(-(((CBD_Stochastic!$B$6+CBD_Stochastic!$B$8*(4+$A39))-CBD_Stochastic!$B$19*CBD_Stochastic!$B$17*SQRT((4+$A39)))+((CBD_Stochastic!$B$7+CBD_Stochastic!$B$9*(4+$A39))-CBD_Stochastic!$B$19*CBD_Stochastic!$B$13*CBD_Stochastic!$B$18*SQRT((4+$A39)))*((72+$A39)-CBD_Stochastic!$B$14)))))/(1/(1+EXP(-((CBD_Stochastic!$B$6+CBD_Stochastic!$B$8*(4+$A39))+(CBD_Stochastic!$B$7+CBD_Stochastic!$B$9*(4+$A39))*((72+$A39)-CBD_Stochastic!$B$14)))))</f>
        <v>0.607384602856617</v>
      </c>
      <c r="X39" s="11" t="n">
        <f aca="false">(1/(1+EXP(-(((CBD_Stochastic!$B$6+CBD_Stochastic!$B$8*(4+$A39))-CBD_Stochastic!$B$19*CBD_Stochastic!$B$17*SQRT((4+$A39)))+((CBD_Stochastic!$B$7+CBD_Stochastic!$B$9*(4+$A39))-CBD_Stochastic!$B$19*CBD_Stochastic!$B$13*CBD_Stochastic!$B$18*SQRT((4+$A39)))*((75+$A39)-CBD_Stochastic!$B$14)))))/(1/(1+EXP(-((CBD_Stochastic!$B$6+CBD_Stochastic!$B$8*(4+$A39))+(CBD_Stochastic!$B$7+CBD_Stochastic!$B$9*(4+$A39))*((75+$A39)-CBD_Stochastic!$B$14)))))</f>
        <v>0.627950704889079</v>
      </c>
    </row>
    <row r="40" customFormat="false" ht="15" hidden="false" customHeight="true" outlineLevel="0" collapsed="false">
      <c r="A40" s="1" t="n">
        <v>32</v>
      </c>
      <c r="B40" s="32" t="n">
        <f aca="false">IF((60+$A39)&gt;=120,0,B39*(1-MIN(1,IFERROR(INDEX(Cohort_Survival!$B$5:$AA$65,(60+$A39)-59,60-59),1)*(1-Assumptions!$B$21))))</f>
        <v>0.504379498117853</v>
      </c>
      <c r="C40" s="32" t="n">
        <f aca="false">IF((63+$A39)&gt;=120,0,C39*(1-MIN(1,IFERROR(INDEX(Cohort_Survival!$B$5:$AA$65,(63+$A39)-59,63-59),1)*(1-Assumptions!$B$21))))</f>
        <v>0.355767472269151</v>
      </c>
      <c r="D40" s="32" t="n">
        <f aca="false">IF((65+$A39)&gt;=120,0,D39*(1-MIN(1,IFERROR(INDEX(Cohort_Survival!$B$5:$AA$65,(65+$A39)-59,65-59),1)*(1-Assumptions!$B$21))))</f>
        <v>0.26344537971815</v>
      </c>
      <c r="E40" s="32" t="n">
        <f aca="false">IF((68+$A39)&gt;=120,0,E39*(1-MIN(1,IFERROR(INDEX(Cohort_Survival!$B$5:$AA$65,(68+$A39)-59,68-59),1)*(1-Assumptions!$B$21))))</f>
        <v>0.153967892045715</v>
      </c>
      <c r="F40" s="32" t="n">
        <f aca="false">IF((70+$A39)&gt;=120,0,F39*(1-MIN(1,IFERROR(INDEX(Cohort_Survival!$B$5:$AA$65,(70+$A39)-59,70-59),1)*(1-Assumptions!$B$21))))</f>
        <v>0.101340505492087</v>
      </c>
      <c r="G40" s="32" t="n">
        <f aca="false">IF((72+$A39)&gt;=120,0,G39*(1-MIN(1,IFERROR(INDEX(Cohort_Survival!$B$5:$AA$65,(72+$A39)-59,72-59),1)*(1-Assumptions!$B$21))))</f>
        <v>0.0631085324707437</v>
      </c>
      <c r="H40" s="32" t="n">
        <f aca="false">IF((75+$A39)&gt;=120,0,H39*(1-MIN(1,IFERROR(INDEX(Cohort_Survival!$B$5:$AA$65,(75+$A39)-59,75-59),1)*(1-Assumptions!$B$21))))</f>
        <v>0.0315733776943605</v>
      </c>
      <c r="J40" s="32" t="n">
        <f aca="false">IF((60+$A39)&gt;=120,0,J39*(1-MIN(1,IFERROR(INDEX(Cohort_Survival!$B$5:$AA$65,(60+$A39)-59,60-59),1)*R39)))</f>
        <v>0.559012481929481</v>
      </c>
      <c r="K40" s="32" t="n">
        <f aca="false">IF((63+$A39)&gt;=120,0,K39*(1-MIN(1,IFERROR(INDEX(Cohort_Survival!$B$5:$AA$65,(63+$A39)-59,63-59),1)*S39)))</f>
        <v>0.425146619410816</v>
      </c>
      <c r="L40" s="32" t="n">
        <f aca="false">IF((65+$A39)&gt;=120,0,L39*(1-MIN(1,IFERROR(INDEX(Cohort_Survival!$B$5:$AA$65,(65+$A39)-59,65-59),1)*T39)))</f>
        <v>0.336364876126169</v>
      </c>
      <c r="M40" s="32" t="n">
        <f aca="false">IF((68+$A39)&gt;=120,0,M39*(1-MIN(1,IFERROR(INDEX(Cohort_Survival!$B$5:$AA$65,(68+$A39)-59,68-59),1)*U39)))</f>
        <v>0.220716269236511</v>
      </c>
      <c r="N40" s="32" t="n">
        <f aca="false">IF((70+$A39)&gt;=120,0,N39*(1-MIN(1,IFERROR(INDEX(Cohort_Survival!$B$5:$AA$65,(70+$A39)-59,70-59),1)*V39)))</f>
        <v>0.158217580273747</v>
      </c>
      <c r="O40" s="32" t="n">
        <f aca="false">IF((72+$A39)&gt;=120,0,O39*(1-MIN(1,IFERROR(INDEX(Cohort_Survival!$B$5:$AA$65,(72+$A39)-59,72-59),1)*W39)))</f>
        <v>0.107837801802336</v>
      </c>
      <c r="P40" s="32" t="n">
        <f aca="false">IF((75+$A39)&gt;=120,0,P39*(1-MIN(1,IFERROR(INDEX(Cohort_Survival!$B$5:$AA$65,(75+$A39)-59,75-59),1)*X39)))</f>
        <v>0.0598642475827767</v>
      </c>
      <c r="R40" s="11" t="n">
        <f aca="false">(1/(1+EXP(-(((CBD_Stochastic!$B$6+CBD_Stochastic!$B$8*(4+$A40))-CBD_Stochastic!$B$19*CBD_Stochastic!$B$17*SQRT((4+$A40)))+((CBD_Stochastic!$B$7+CBD_Stochastic!$B$9*(4+$A40))-CBD_Stochastic!$B$19*CBD_Stochastic!$B$13*CBD_Stochastic!$B$18*SQRT((4+$A40)))*((60+$A40)-CBD_Stochastic!$B$14)))))/(1/(1+EXP(-((CBD_Stochastic!$B$6+CBD_Stochastic!$B$8*(4+$A40))+(CBD_Stochastic!$B$7+CBD_Stochastic!$B$9*(4+$A40))*((60+$A40)-CBD_Stochastic!$B$14)))))</f>
        <v>0.598778440159135</v>
      </c>
      <c r="S40" s="11" t="n">
        <f aca="false">(1/(1+EXP(-(((CBD_Stochastic!$B$6+CBD_Stochastic!$B$8*(4+$A40))-CBD_Stochastic!$B$19*CBD_Stochastic!$B$17*SQRT((4+$A40)))+((CBD_Stochastic!$B$7+CBD_Stochastic!$B$9*(4+$A40))-CBD_Stochastic!$B$19*CBD_Stochastic!$B$13*CBD_Stochastic!$B$18*SQRT((4+$A40)))*((63+$A40)-CBD_Stochastic!$B$14)))))/(1/(1+EXP(-((CBD_Stochastic!$B$6+CBD_Stochastic!$B$8*(4+$A40))+(CBD_Stochastic!$B$7+CBD_Stochastic!$B$9*(4+$A40))*((63+$A40)-CBD_Stochastic!$B$14)))))</f>
        <v>0.590292289298073</v>
      </c>
      <c r="T40" s="11" t="n">
        <f aca="false">(1/(1+EXP(-(((CBD_Stochastic!$B$6+CBD_Stochastic!$B$8*(4+$A40))-CBD_Stochastic!$B$19*CBD_Stochastic!$B$17*SQRT((4+$A40)))+((CBD_Stochastic!$B$7+CBD_Stochastic!$B$9*(4+$A40))-CBD_Stochastic!$B$19*CBD_Stochastic!$B$13*CBD_Stochastic!$B$18*SQRT((4+$A40)))*((65+$A40)-CBD_Stochastic!$B$14)))))/(1/(1+EXP(-((CBD_Stochastic!$B$6+CBD_Stochastic!$B$8*(4+$A40))+(CBD_Stochastic!$B$7+CBD_Stochastic!$B$9*(4+$A40))*((65+$A40)-CBD_Stochastic!$B$14)))))</f>
        <v>0.588056662047883</v>
      </c>
      <c r="U40" s="11" t="n">
        <f aca="false">(1/(1+EXP(-(((CBD_Stochastic!$B$6+CBD_Stochastic!$B$8*(4+$A40))-CBD_Stochastic!$B$19*CBD_Stochastic!$B$17*SQRT((4+$A40)))+((CBD_Stochastic!$B$7+CBD_Stochastic!$B$9*(4+$A40))-CBD_Stochastic!$B$19*CBD_Stochastic!$B$13*CBD_Stochastic!$B$18*SQRT((4+$A40)))*((68+$A40)-CBD_Stochastic!$B$14)))))/(1/(1+EXP(-((CBD_Stochastic!$B$6+CBD_Stochastic!$B$8*(4+$A40))+(CBD_Stochastic!$B$7+CBD_Stochastic!$B$9*(4+$A40))*((68+$A40)-CBD_Stochastic!$B$14)))))</f>
        <v>0.590853114205479</v>
      </c>
      <c r="V40" s="11" t="n">
        <f aca="false">(1/(1+EXP(-(((CBD_Stochastic!$B$6+CBD_Stochastic!$B$8*(4+$A40))-CBD_Stochastic!$B$19*CBD_Stochastic!$B$17*SQRT((4+$A40)))+((CBD_Stochastic!$B$7+CBD_Stochastic!$B$9*(4+$A40))-CBD_Stochastic!$B$19*CBD_Stochastic!$B$13*CBD_Stochastic!$B$18*SQRT((4+$A40)))*((70+$A40)-CBD_Stochastic!$B$14)))))/(1/(1+EXP(-((CBD_Stochastic!$B$6+CBD_Stochastic!$B$8*(4+$A40))+(CBD_Stochastic!$B$7+CBD_Stochastic!$B$9*(4+$A40))*((70+$A40)-CBD_Stochastic!$B$14)))))</f>
        <v>0.597376419792915</v>
      </c>
      <c r="W40" s="11" t="n">
        <f aca="false">(1/(1+EXP(-(((CBD_Stochastic!$B$6+CBD_Stochastic!$B$8*(4+$A40))-CBD_Stochastic!$B$19*CBD_Stochastic!$B$17*SQRT((4+$A40)))+((CBD_Stochastic!$B$7+CBD_Stochastic!$B$9*(4+$A40))-CBD_Stochastic!$B$19*CBD_Stochastic!$B$13*CBD_Stochastic!$B$18*SQRT((4+$A40)))*((72+$A40)-CBD_Stochastic!$B$14)))))/(1/(1+EXP(-((CBD_Stochastic!$B$6+CBD_Stochastic!$B$8*(4+$A40))+(CBD_Stochastic!$B$7+CBD_Stochastic!$B$9*(4+$A40))*((72+$A40)-CBD_Stochastic!$B$14)))))</f>
        <v>0.607973005613398</v>
      </c>
      <c r="X40" s="11" t="n">
        <f aca="false">(1/(1+EXP(-(((CBD_Stochastic!$B$6+CBD_Stochastic!$B$8*(4+$A40))-CBD_Stochastic!$B$19*CBD_Stochastic!$B$17*SQRT((4+$A40)))+((CBD_Stochastic!$B$7+CBD_Stochastic!$B$9*(4+$A40))-CBD_Stochastic!$B$19*CBD_Stochastic!$B$13*CBD_Stochastic!$B$18*SQRT((4+$A40)))*((75+$A40)-CBD_Stochastic!$B$14)))))/(1/(1+EXP(-((CBD_Stochastic!$B$6+CBD_Stochastic!$B$8*(4+$A40))+(CBD_Stochastic!$B$7+CBD_Stochastic!$B$9*(4+$A40))*((75+$A40)-CBD_Stochastic!$B$14)))))</f>
        <v>0.631742248778199</v>
      </c>
    </row>
    <row r="41" customFormat="false" ht="15" hidden="false" customHeight="true" outlineLevel="0" collapsed="false">
      <c r="A41" s="1" t="n">
        <v>33</v>
      </c>
      <c r="B41" s="32" t="n">
        <f aca="false">IF((60+$A40)&gt;=120,0,B40*(1-MIN(1,IFERROR(INDEX(Cohort_Survival!$B$5:$AA$65,(60+$A40)-59,60-59),1)*(1-Assumptions!$B$21))))</f>
        <v>0.458419656766037</v>
      </c>
      <c r="C41" s="32" t="n">
        <f aca="false">IF((63+$A40)&gt;=120,0,C40*(1-MIN(1,IFERROR(INDEX(Cohort_Survival!$B$5:$AA$65,(63+$A40)-59,63-59),1)*(1-Assumptions!$B$21))))</f>
        <v>0.311603550281666</v>
      </c>
      <c r="D41" s="32" t="n">
        <f aca="false">IF((65+$A40)&gt;=120,0,D40*(1-MIN(1,IFERROR(INDEX(Cohort_Survival!$B$5:$AA$65,(65+$A40)-59,65-59),1)*(1-Assumptions!$B$21))))</f>
        <v>0.225912029226724</v>
      </c>
      <c r="E41" s="32" t="n">
        <f aca="false">IF((68+$A40)&gt;=120,0,E40*(1-MIN(1,IFERROR(INDEX(Cohort_Survival!$B$5:$AA$65,(68+$A40)-59,68-59),1)*(1-Assumptions!$B$21))))</f>
        <v>0.127795784268155</v>
      </c>
      <c r="F41" s="32" t="n">
        <f aca="false">IF((70+$A40)&gt;=120,0,F40*(1-MIN(1,IFERROR(INDEX(Cohort_Survival!$B$5:$AA$65,(70+$A40)-59,70-59),1)*(1-Assumptions!$B$21))))</f>
        <v>0.0820044490757759</v>
      </c>
      <c r="G41" s="32" t="n">
        <f aca="false">IF((72+$A40)&gt;=120,0,G40*(1-MIN(1,IFERROR(INDEX(Cohort_Survival!$B$5:$AA$65,(72+$A40)-59,72-59),1)*(1-Assumptions!$B$21))))</f>
        <v>0.0507929904930331</v>
      </c>
      <c r="H41" s="32" t="n">
        <f aca="false">IF((75+$A40)&gt;=120,0,H40*(1-MIN(1,IFERROR(INDEX(Cohort_Survival!$B$5:$AA$65,(75+$A40)-59,75-59),1)*(1-Assumptions!$B$21))))</f>
        <v>0.0223604972370731</v>
      </c>
      <c r="J41" s="32" t="n">
        <f aca="false">IF((60+$A40)&gt;=120,0,J40*(1-MIN(1,IFERROR(INDEX(Cohort_Survival!$B$5:$AA$65,(60+$A40)-59,60-59),1)*R40)))</f>
        <v>0.520886699212303</v>
      </c>
      <c r="K41" s="32" t="n">
        <f aca="false">IF((63+$A40)&gt;=120,0,K40*(1-MIN(1,IFERROR(INDEX(Cohort_Survival!$B$5:$AA$65,(63+$A40)-59,63-59),1)*S40)))</f>
        <v>0.386204709358146</v>
      </c>
      <c r="L41" s="32" t="n">
        <f aca="false">IF((65+$A40)&gt;=120,0,L40*(1-MIN(1,IFERROR(INDEX(Cohort_Survival!$B$5:$AA$65,(65+$A40)-59,65-59),1)*T40)))</f>
        <v>0.30113861298008</v>
      </c>
      <c r="M41" s="32" t="n">
        <f aca="false">IF((68+$A40)&gt;=120,0,M40*(1-MIN(1,IFERROR(INDEX(Cohort_Survival!$B$5:$AA$65,(68+$A40)-59,68-59),1)*U40)))</f>
        <v>0.193006530903616</v>
      </c>
      <c r="N41" s="32" t="n">
        <f aca="false">IF((70+$A40)&gt;=120,0,N40*(1-MIN(1,IFERROR(INDEX(Cohort_Survival!$B$5:$AA$65,(70+$A40)-59,70-59),1)*V40)))</f>
        <v>0.135675309336691</v>
      </c>
      <c r="O41" s="32" t="n">
        <f aca="false">IF((72+$A40)&gt;=120,0,O40*(1-MIN(1,IFERROR(INDEX(Cohort_Survival!$B$5:$AA$65,(72+$A40)-59,72-59),1)*W40)))</f>
        <v>0.0918447706228655</v>
      </c>
      <c r="P41" s="32" t="n">
        <f aca="false">IF((75+$A40)&gt;=120,0,P40*(1-MIN(1,IFERROR(INDEX(Cohort_Survival!$B$5:$AA$65,(75+$A40)-59,75-59),1)*X40)))</f>
        <v>0.0460701957211464</v>
      </c>
      <c r="R41" s="11" t="n">
        <f aca="false">(1/(1+EXP(-(((CBD_Stochastic!$B$6+CBD_Stochastic!$B$8*(4+$A41))-CBD_Stochastic!$B$19*CBD_Stochastic!$B$17*SQRT((4+$A41)))+((CBD_Stochastic!$B$7+CBD_Stochastic!$B$9*(4+$A41))-CBD_Stochastic!$B$19*CBD_Stochastic!$B$13*CBD_Stochastic!$B$18*SQRT((4+$A41)))*((60+$A41)-CBD_Stochastic!$B$14)))))/(1/(1+EXP(-((CBD_Stochastic!$B$6+CBD_Stochastic!$B$8*(4+$A41))+(CBD_Stochastic!$B$7+CBD_Stochastic!$B$9*(4+$A41))*((60+$A41)-CBD_Stochastic!$B$14)))))</f>
        <v>0.590608014460904</v>
      </c>
      <c r="S41" s="11" t="n">
        <f aca="false">(1/(1+EXP(-(((CBD_Stochastic!$B$6+CBD_Stochastic!$B$8*(4+$A41))-CBD_Stochastic!$B$19*CBD_Stochastic!$B$17*SQRT((4+$A41)))+((CBD_Stochastic!$B$7+CBD_Stochastic!$B$9*(4+$A41))-CBD_Stochastic!$B$19*CBD_Stochastic!$B$13*CBD_Stochastic!$B$18*SQRT((4+$A41)))*((63+$A41)-CBD_Stochastic!$B$14)))))/(1/(1+EXP(-((CBD_Stochastic!$B$6+CBD_Stochastic!$B$8*(4+$A41))+(CBD_Stochastic!$B$7+CBD_Stochastic!$B$9*(4+$A41))*((63+$A41)-CBD_Stochastic!$B$14)))))</f>
        <v>0.583896026938544</v>
      </c>
      <c r="T41" s="11" t="n">
        <f aca="false">(1/(1+EXP(-(((CBD_Stochastic!$B$6+CBD_Stochastic!$B$8*(4+$A41))-CBD_Stochastic!$B$19*CBD_Stochastic!$B$17*SQRT((4+$A41)))+((CBD_Stochastic!$B$7+CBD_Stochastic!$B$9*(4+$A41))-CBD_Stochastic!$B$19*CBD_Stochastic!$B$13*CBD_Stochastic!$B$18*SQRT((4+$A41)))*((65+$A41)-CBD_Stochastic!$B$14)))))/(1/(1+EXP(-((CBD_Stochastic!$B$6+CBD_Stochastic!$B$8*(4+$A41))+(CBD_Stochastic!$B$7+CBD_Stochastic!$B$9*(4+$A41))*((65+$A41)-CBD_Stochastic!$B$14)))))</f>
        <v>0.583113366621216</v>
      </c>
      <c r="U41" s="11" t="n">
        <f aca="false">(1/(1+EXP(-(((CBD_Stochastic!$B$6+CBD_Stochastic!$B$8*(4+$A41))-CBD_Stochastic!$B$19*CBD_Stochastic!$B$17*SQRT((4+$A41)))+((CBD_Stochastic!$B$7+CBD_Stochastic!$B$9*(4+$A41))-CBD_Stochastic!$B$19*CBD_Stochastic!$B$13*CBD_Stochastic!$B$18*SQRT((4+$A41)))*((68+$A41)-CBD_Stochastic!$B$14)))))/(1/(1+EXP(-((CBD_Stochastic!$B$6+CBD_Stochastic!$B$8*(4+$A41))+(CBD_Stochastic!$B$7+CBD_Stochastic!$B$9*(4+$A41))*((68+$A41)-CBD_Stochastic!$B$14)))))</f>
        <v>0.588506295821937</v>
      </c>
      <c r="V41" s="11" t="n">
        <f aca="false">(1/(1+EXP(-(((CBD_Stochastic!$B$6+CBD_Stochastic!$B$8*(4+$A41))-CBD_Stochastic!$B$19*CBD_Stochastic!$B$17*SQRT((4+$A41)))+((CBD_Stochastic!$B$7+CBD_Stochastic!$B$9*(4+$A41))-CBD_Stochastic!$B$19*CBD_Stochastic!$B$13*CBD_Stochastic!$B$18*SQRT((4+$A41)))*((70+$A41)-CBD_Stochastic!$B$14)))))/(1/(1+EXP(-((CBD_Stochastic!$B$6+CBD_Stochastic!$B$8*(4+$A41))+(CBD_Stochastic!$B$7+CBD_Stochastic!$B$9*(4+$A41))*((70+$A41)-CBD_Stochastic!$B$14)))))</f>
        <v>0.597009220880318</v>
      </c>
      <c r="W41" s="11" t="n">
        <f aca="false">(1/(1+EXP(-(((CBD_Stochastic!$B$6+CBD_Stochastic!$B$8*(4+$A41))-CBD_Stochastic!$B$19*CBD_Stochastic!$B$17*SQRT((4+$A41)))+((CBD_Stochastic!$B$7+CBD_Stochastic!$B$9*(4+$A41))-CBD_Stochastic!$B$19*CBD_Stochastic!$B$13*CBD_Stochastic!$B$18*SQRT((4+$A41)))*((72+$A41)-CBD_Stochastic!$B$14)))))/(1/(1+EXP(-((CBD_Stochastic!$B$6+CBD_Stochastic!$B$8*(4+$A41))+(CBD_Stochastic!$B$7+CBD_Stochastic!$B$9*(4+$A41))*((72+$A41)-CBD_Stochastic!$B$14)))))</f>
        <v>0.609724263381861</v>
      </c>
      <c r="X41" s="11" t="n">
        <f aca="false">(1/(1+EXP(-(((CBD_Stochastic!$B$6+CBD_Stochastic!$B$8*(4+$A41))-CBD_Stochastic!$B$19*CBD_Stochastic!$B$17*SQRT((4+$A41)))+((CBD_Stochastic!$B$7+CBD_Stochastic!$B$9*(4+$A41))-CBD_Stochastic!$B$19*CBD_Stochastic!$B$13*CBD_Stochastic!$B$18*SQRT((4+$A41)))*((75+$A41)-CBD_Stochastic!$B$14)))))/(1/(1+EXP(-((CBD_Stochastic!$B$6+CBD_Stochastic!$B$8*(4+$A41))+(CBD_Stochastic!$B$7+CBD_Stochastic!$B$9*(4+$A41))*((75+$A41)-CBD_Stochastic!$B$14)))))</f>
        <v>0.636733102521966</v>
      </c>
    </row>
    <row r="42" customFormat="false" ht="15" hidden="false" customHeight="true" outlineLevel="0" collapsed="false">
      <c r="A42" s="1" t="n">
        <v>34</v>
      </c>
      <c r="B42" s="32" t="n">
        <f aca="false">IF((60+$A41)&gt;=120,0,B41*(1-MIN(1,IFERROR(INDEX(Cohort_Survival!$B$5:$AA$65,(60+$A41)-59,60-59),1)*(1-Assumptions!$B$21))))</f>
        <v>0.412439707304103</v>
      </c>
      <c r="C42" s="32" t="n">
        <f aca="false">IF((63+$A41)&gt;=120,0,C41*(1-MIN(1,IFERROR(INDEX(Cohort_Survival!$B$5:$AA$65,(63+$A41)-59,63-59),1)*(1-Assumptions!$B$21))))</f>
        <v>0.270380520073777</v>
      </c>
      <c r="D42" s="32" t="n">
        <f aca="false">IF((65+$A41)&gt;=120,0,D41*(1-MIN(1,IFERROR(INDEX(Cohort_Survival!$B$5:$AA$65,(65+$A41)-59,65-59),1)*(1-Assumptions!$B$21))))</f>
        <v>0.19194078873831</v>
      </c>
      <c r="E42" s="32" t="n">
        <f aca="false">IF((68+$A41)&gt;=120,0,E41*(1-MIN(1,IFERROR(INDEX(Cohort_Survival!$B$5:$AA$65,(68+$A41)-59,68-59),1)*(1-Assumptions!$B$21))))</f>
        <v>0.104922459368155</v>
      </c>
      <c r="F42" s="32" t="n">
        <f aca="false">IF((70+$A41)&gt;=120,0,F41*(1-MIN(1,IFERROR(INDEX(Cohort_Survival!$B$5:$AA$65,(70+$A41)-59,70-59),1)*(1-Assumptions!$B$21))))</f>
        <v>0.0654292979249048</v>
      </c>
      <c r="G42" s="32" t="n">
        <f aca="false">IF((72+$A41)&gt;=120,0,G41*(1-MIN(1,IFERROR(INDEX(Cohort_Survival!$B$5:$AA$65,(72+$A41)-59,72-59),1)*(1-Assumptions!$B$21))))</f>
        <v>0.0457293127674827</v>
      </c>
      <c r="H42" s="32" t="n">
        <f aca="false">IF((75+$A41)&gt;=120,0,H41*(1-MIN(1,IFERROR(INDEX(Cohort_Survival!$B$5:$AA$65,(75+$A41)-59,75-59),1)*(1-Assumptions!$B$21))))</f>
        <v>0.0154086117076237</v>
      </c>
      <c r="J42" s="32" t="n">
        <f aca="false">IF((60+$A41)&gt;=120,0,J41*(1-MIN(1,IFERROR(INDEX(Cohort_Survival!$B$5:$AA$65,(60+$A41)-59,60-59),1)*R41)))</f>
        <v>0.482315967763411</v>
      </c>
      <c r="K42" s="32" t="n">
        <f aca="false">IF((63+$A41)&gt;=120,0,K41*(1-MIN(1,IFERROR(INDEX(Cohort_Survival!$B$5:$AA$65,(63+$A41)-59,63-59),1)*S41)))</f>
        <v>0.348914002660105</v>
      </c>
      <c r="L42" s="32" t="n">
        <f aca="false">IF((65+$A41)&gt;=120,0,L41*(1-MIN(1,IFERROR(INDEX(Cohort_Survival!$B$5:$AA$65,(65+$A41)-59,65-59),1)*T41)))</f>
        <v>0.268131958664791</v>
      </c>
      <c r="M42" s="32" t="n">
        <f aca="false">IF((68+$A41)&gt;=120,0,M41*(1-MIN(1,IFERROR(INDEX(Cohort_Survival!$B$5:$AA$65,(68+$A41)-59,68-59),1)*U41)))</f>
        <v>0.167594118044763</v>
      </c>
      <c r="N42" s="32" t="n">
        <f aca="false">IF((70+$A41)&gt;=120,0,N41*(1-MIN(1,IFERROR(INDEX(Cohort_Survival!$B$5:$AA$65,(70+$A41)-59,70-59),1)*V41)))</f>
        <v>0.115210299649054</v>
      </c>
      <c r="O42" s="32" t="n">
        <f aca="false">IF((72+$A41)&gt;=120,0,O41*(1-MIN(1,IFERROR(INDEX(Cohort_Survival!$B$5:$AA$65,(72+$A41)-59,72-59),1)*W41)))</f>
        <v>0.0848663008946141</v>
      </c>
      <c r="P42" s="32" t="n">
        <f aca="false">IF((75+$A41)&gt;=120,0,P41*(1-MIN(1,IFERROR(INDEX(Cohort_Survival!$B$5:$AA$65,(75+$A41)-59,75-59),1)*X41)))</f>
        <v>0.0346700958931661</v>
      </c>
      <c r="R42" s="11" t="n">
        <f aca="false">(1/(1+EXP(-(((CBD_Stochastic!$B$6+CBD_Stochastic!$B$8*(4+$A42))-CBD_Stochastic!$B$19*CBD_Stochastic!$B$17*SQRT((4+$A42)))+((CBD_Stochastic!$B$7+CBD_Stochastic!$B$9*(4+$A42))-CBD_Stochastic!$B$19*CBD_Stochastic!$B$13*CBD_Stochastic!$B$18*SQRT((4+$A42)))*((60+$A42)-CBD_Stochastic!$B$14)))))/(1/(1+EXP(-((CBD_Stochastic!$B$6+CBD_Stochastic!$B$8*(4+$A42))+(CBD_Stochastic!$B$7+CBD_Stochastic!$B$9*(4+$A42))*((60+$A42)-CBD_Stochastic!$B$14)))))</f>
        <v>0.583004508989402</v>
      </c>
      <c r="S42" s="11" t="n">
        <f aca="false">(1/(1+EXP(-(((CBD_Stochastic!$B$6+CBD_Stochastic!$B$8*(4+$A42))-CBD_Stochastic!$B$19*CBD_Stochastic!$B$17*SQRT((4+$A42)))+((CBD_Stochastic!$B$7+CBD_Stochastic!$B$9*(4+$A42))-CBD_Stochastic!$B$19*CBD_Stochastic!$B$13*CBD_Stochastic!$B$18*SQRT((4+$A42)))*((63+$A42)-CBD_Stochastic!$B$14)))))/(1/(1+EXP(-((CBD_Stochastic!$B$6+CBD_Stochastic!$B$8*(4+$A42))+(CBD_Stochastic!$B$7+CBD_Stochastic!$B$9*(4+$A42))*((63+$A42)-CBD_Stochastic!$B$14)))))</f>
        <v>0.578234896420716</v>
      </c>
      <c r="T42" s="11" t="n">
        <f aca="false">(1/(1+EXP(-(((CBD_Stochastic!$B$6+CBD_Stochastic!$B$8*(4+$A42))-CBD_Stochastic!$B$19*CBD_Stochastic!$B$17*SQRT((4+$A42)))+((CBD_Stochastic!$B$7+CBD_Stochastic!$B$9*(4+$A42))-CBD_Stochastic!$B$19*CBD_Stochastic!$B$13*CBD_Stochastic!$B$18*SQRT((4+$A42)))*((65+$A42)-CBD_Stochastic!$B$14)))))/(1/(1+EXP(-((CBD_Stochastic!$B$6+CBD_Stochastic!$B$8*(4+$A42))+(CBD_Stochastic!$B$7+CBD_Stochastic!$B$9*(4+$A42))*((65+$A42)-CBD_Stochastic!$B$14)))))</f>
        <v>0.579026942862594</v>
      </c>
      <c r="U42" s="11" t="n">
        <f aca="false">(1/(1+EXP(-(((CBD_Stochastic!$B$6+CBD_Stochastic!$B$8*(4+$A42))-CBD_Stochastic!$B$19*CBD_Stochastic!$B$17*SQRT((4+$A42)))+((CBD_Stochastic!$B$7+CBD_Stochastic!$B$9*(4+$A42))-CBD_Stochastic!$B$19*CBD_Stochastic!$B$13*CBD_Stochastic!$B$18*SQRT((4+$A42)))*((68+$A42)-CBD_Stochastic!$B$14)))))/(1/(1+EXP(-((CBD_Stochastic!$B$6+CBD_Stochastic!$B$8*(4+$A42))+(CBD_Stochastic!$B$7+CBD_Stochastic!$B$9*(4+$A42))*((68+$A42)-CBD_Stochastic!$B$14)))))</f>
        <v>0.587194248646779</v>
      </c>
      <c r="V42" s="11" t="n">
        <f aca="false">(1/(1+EXP(-(((CBD_Stochastic!$B$6+CBD_Stochastic!$B$8*(4+$A42))-CBD_Stochastic!$B$19*CBD_Stochastic!$B$17*SQRT((4+$A42)))+((CBD_Stochastic!$B$7+CBD_Stochastic!$B$9*(4+$A42))-CBD_Stochastic!$B$19*CBD_Stochastic!$B$13*CBD_Stochastic!$B$18*SQRT((4+$A42)))*((70+$A42)-CBD_Stochastic!$B$14)))))/(1/(1+EXP(-((CBD_Stochastic!$B$6+CBD_Stochastic!$B$8*(4+$A42))+(CBD_Stochastic!$B$7+CBD_Stochastic!$B$9*(4+$A42))*((70+$A42)-CBD_Stochastic!$B$14)))))</f>
        <v>0.597774522693524</v>
      </c>
      <c r="W42" s="11" t="n">
        <f aca="false">(1/(1+EXP(-(((CBD_Stochastic!$B$6+CBD_Stochastic!$B$8*(4+$A42))-CBD_Stochastic!$B$19*CBD_Stochastic!$B$17*SQRT((4+$A42)))+((CBD_Stochastic!$B$7+CBD_Stochastic!$B$9*(4+$A42))-CBD_Stochastic!$B$19*CBD_Stochastic!$B$13*CBD_Stochastic!$B$18*SQRT((4+$A42)))*((72+$A42)-CBD_Stochastic!$B$14)))))/(1/(1+EXP(-((CBD_Stochastic!$B$6+CBD_Stochastic!$B$8*(4+$A42))+(CBD_Stochastic!$B$7+CBD_Stochastic!$B$9*(4+$A42))*((72+$A42)-CBD_Stochastic!$B$14)))))</f>
        <v>0.612671227546796</v>
      </c>
      <c r="X42" s="11" t="n">
        <f aca="false">(1/(1+EXP(-(((CBD_Stochastic!$B$6+CBD_Stochastic!$B$8*(4+$A42))-CBD_Stochastic!$B$19*CBD_Stochastic!$B$17*SQRT((4+$A42)))+((CBD_Stochastic!$B$7+CBD_Stochastic!$B$9*(4+$A42))-CBD_Stochastic!$B$19*CBD_Stochastic!$B$13*CBD_Stochastic!$B$18*SQRT((4+$A42)))*((75+$A42)-CBD_Stochastic!$B$14)))))/(1/(1+EXP(-((CBD_Stochastic!$B$6+CBD_Stochastic!$B$8*(4+$A42))+(CBD_Stochastic!$B$7+CBD_Stochastic!$B$9*(4+$A42))*((75+$A42)-CBD_Stochastic!$B$14)))))</f>
        <v>0.642916465444181</v>
      </c>
    </row>
    <row r="43" customFormat="false" ht="15" hidden="false" customHeight="true" outlineLevel="0" collapsed="false">
      <c r="A43" s="1" t="n">
        <v>35</v>
      </c>
      <c r="B43" s="32" t="n">
        <f aca="false">IF((60+$A42)&gt;=120,0,B42*(1-MIN(1,IFERROR(INDEX(Cohort_Survival!$B$5:$AA$65,(60+$A42)-59,60-59),1)*(1-Assumptions!$B$21))))</f>
        <v>0.367497689327206</v>
      </c>
      <c r="C43" s="32" t="n">
        <f aca="false">IF((63+$A42)&gt;=120,0,C42*(1-MIN(1,IFERROR(INDEX(Cohort_Survival!$B$5:$AA$65,(63+$A42)-59,63-59),1)*(1-Assumptions!$B$21))))</f>
        <v>0.232457702888837</v>
      </c>
      <c r="D43" s="32" t="n">
        <f aca="false">IF((65+$A42)&gt;=120,0,D42*(1-MIN(1,IFERROR(INDEX(Cohort_Survival!$B$5:$AA$65,(65+$A42)-59,65-59),1)*(1-Assumptions!$B$21))))</f>
        <v>0.161526606211172</v>
      </c>
      <c r="E43" s="32" t="n">
        <f aca="false">IF((68+$A42)&gt;=120,0,E42*(1-MIN(1,IFERROR(INDEX(Cohort_Survival!$B$5:$AA$65,(68+$A42)-59,68-59),1)*(1-Assumptions!$B$21))))</f>
        <v>0.0850946819570637</v>
      </c>
      <c r="F43" s="32" t="n">
        <f aca="false">IF((70+$A42)&gt;=120,0,F42*(1-MIN(1,IFERROR(INDEX(Cohort_Survival!$B$5:$AA$65,(70+$A42)-59,70-59),1)*(1-Assumptions!$B$21))))</f>
        <v>0.0527526290709661</v>
      </c>
      <c r="G43" s="32" t="n">
        <f aca="false">IF((72+$A42)&gt;=120,0,G42*(1-MIN(1,IFERROR(INDEX(Cohort_Survival!$B$5:$AA$65,(72+$A42)-59,72-59),1)*(1-Assumptions!$B$21))))</f>
        <v>0.0333012879043011</v>
      </c>
      <c r="H43" s="32" t="n">
        <f aca="false">IF((75+$A42)&gt;=120,0,H42*(1-MIN(1,IFERROR(INDEX(Cohort_Survival!$B$5:$AA$65,(75+$A42)-59,75-59),1)*(1-Assumptions!$B$21))))</f>
        <v>0.0103066639950769</v>
      </c>
      <c r="J43" s="32" t="n">
        <f aca="false">IF((60+$A42)&gt;=120,0,J42*(1-MIN(1,IFERROR(INDEX(Cohort_Survival!$B$5:$AA$65,(60+$A42)-59,60-59),1)*R42)))</f>
        <v>0.444015359967714</v>
      </c>
      <c r="K43" s="32" t="n">
        <f aca="false">IF((63+$A42)&gt;=120,0,K42*(1-MIN(1,IFERROR(INDEX(Cohort_Survival!$B$5:$AA$65,(63+$A42)-59,63-59),1)*S42)))</f>
        <v>0.31354214219879</v>
      </c>
      <c r="L43" s="32" t="n">
        <f aca="false">IF((65+$A42)&gt;=120,0,L42*(1-MIN(1,IFERROR(INDEX(Cohort_Survival!$B$5:$AA$65,(65+$A42)-59,65-59),1)*T42)))</f>
        <v>0.237380463315576</v>
      </c>
      <c r="M43" s="32" t="n">
        <f aca="false">IF((68+$A42)&gt;=120,0,M42*(1-MIN(1,IFERROR(INDEX(Cohort_Survival!$B$5:$AA$65,(68+$A42)-59,68-59),1)*U42)))</f>
        <v>0.144347694219199</v>
      </c>
      <c r="N43" s="32" t="n">
        <f aca="false">IF((70+$A42)&gt;=120,0,N42*(1-MIN(1,IFERROR(INDEX(Cohort_Survival!$B$5:$AA$65,(70+$A42)-59,70-59),1)*V42)))</f>
        <v>0.0985312383062999</v>
      </c>
      <c r="O43" s="32" t="n">
        <f aca="false">IF((72+$A42)&gt;=120,0,O42*(1-MIN(1,IFERROR(INDEX(Cohort_Survival!$B$5:$AA$65,(72+$A42)-59,72-59),1)*W42)))</f>
        <v>0.067202660691685</v>
      </c>
      <c r="P43" s="32" t="n">
        <f aca="false">IF((75+$A42)&gt;=120,0,P42*(1-MIN(1,IFERROR(INDEX(Cohort_Survival!$B$5:$AA$65,(75+$A42)-59,75-59),1)*X42)))</f>
        <v>0.0254445495140632</v>
      </c>
      <c r="R43" s="11" t="n">
        <f aca="false">(1/(1+EXP(-(((CBD_Stochastic!$B$6+CBD_Stochastic!$B$8*(4+$A43))-CBD_Stochastic!$B$19*CBD_Stochastic!$B$17*SQRT((4+$A43)))+((CBD_Stochastic!$B$7+CBD_Stochastic!$B$9*(4+$A43))-CBD_Stochastic!$B$19*CBD_Stochastic!$B$13*CBD_Stochastic!$B$18*SQRT((4+$A43)))*((60+$A43)-CBD_Stochastic!$B$14)))))/(1/(1+EXP(-((CBD_Stochastic!$B$6+CBD_Stochastic!$B$8*(4+$A43))+(CBD_Stochastic!$B$7+CBD_Stochastic!$B$9*(4+$A43))*((60+$A43)-CBD_Stochastic!$B$14)))))</f>
        <v>0.576021370785646</v>
      </c>
      <c r="S43" s="11" t="n">
        <f aca="false">(1/(1+EXP(-(((CBD_Stochastic!$B$6+CBD_Stochastic!$B$8*(4+$A43))-CBD_Stochastic!$B$19*CBD_Stochastic!$B$17*SQRT((4+$A43)))+((CBD_Stochastic!$B$7+CBD_Stochastic!$B$9*(4+$A43))-CBD_Stochastic!$B$19*CBD_Stochastic!$B$13*CBD_Stochastic!$B$18*SQRT((4+$A43)))*((63+$A43)-CBD_Stochastic!$B$14)))))/(1/(1+EXP(-((CBD_Stochastic!$B$6+CBD_Stochastic!$B$8*(4+$A43))+(CBD_Stochastic!$B$7+CBD_Stochastic!$B$9*(4+$A43))*((63+$A43)-CBD_Stochastic!$B$14)))))</f>
        <v>0.573370139554758</v>
      </c>
      <c r="T43" s="11" t="n">
        <f aca="false">(1/(1+EXP(-(((CBD_Stochastic!$B$6+CBD_Stochastic!$B$8*(4+$A43))-CBD_Stochastic!$B$19*CBD_Stochastic!$B$17*SQRT((4+$A43)))+((CBD_Stochastic!$B$7+CBD_Stochastic!$B$9*(4+$A43))-CBD_Stochastic!$B$19*CBD_Stochastic!$B$13*CBD_Stochastic!$B$18*SQRT((4+$A43)))*((65+$A43)-CBD_Stochastic!$B$14)))))/(1/(1+EXP(-((CBD_Stochastic!$B$6+CBD_Stochastic!$B$8*(4+$A43))+(CBD_Stochastic!$B$7+CBD_Stochastic!$B$9*(4+$A43))*((65+$A43)-CBD_Stochastic!$B$14)))))</f>
        <v>0.575860569402596</v>
      </c>
      <c r="U43" s="11" t="n">
        <f aca="false">(1/(1+EXP(-(((CBD_Stochastic!$B$6+CBD_Stochastic!$B$8*(4+$A43))-CBD_Stochastic!$B$19*CBD_Stochastic!$B$17*SQRT((4+$A43)))+((CBD_Stochastic!$B$7+CBD_Stochastic!$B$9*(4+$A43))-CBD_Stochastic!$B$19*CBD_Stochastic!$B$13*CBD_Stochastic!$B$18*SQRT((4+$A43)))*((68+$A43)-CBD_Stochastic!$B$14)))))/(1/(1+EXP(-((CBD_Stochastic!$B$6+CBD_Stochastic!$B$8*(4+$A43))+(CBD_Stochastic!$B$7+CBD_Stochastic!$B$9*(4+$A43))*((68+$A43)-CBD_Stochastic!$B$14)))))</f>
        <v>0.586973677858312</v>
      </c>
      <c r="V43" s="11" t="n">
        <f aca="false">(1/(1+EXP(-(((CBD_Stochastic!$B$6+CBD_Stochastic!$B$8*(4+$A43))-CBD_Stochastic!$B$19*CBD_Stochastic!$B$17*SQRT((4+$A43)))+((CBD_Stochastic!$B$7+CBD_Stochastic!$B$9*(4+$A43))-CBD_Stochastic!$B$19*CBD_Stochastic!$B$13*CBD_Stochastic!$B$18*SQRT((4+$A43)))*((70+$A43)-CBD_Stochastic!$B$14)))))/(1/(1+EXP(-((CBD_Stochastic!$B$6+CBD_Stochastic!$B$8*(4+$A43))+(CBD_Stochastic!$B$7+CBD_Stochastic!$B$9*(4+$A43))*((70+$A43)-CBD_Stochastic!$B$14)))))</f>
        <v>0.599715934398955</v>
      </c>
      <c r="W43" s="11" t="n">
        <f aca="false">(1/(1+EXP(-(((CBD_Stochastic!$B$6+CBD_Stochastic!$B$8*(4+$A43))-CBD_Stochastic!$B$19*CBD_Stochastic!$B$17*SQRT((4+$A43)))+((CBD_Stochastic!$B$7+CBD_Stochastic!$B$9*(4+$A43))-CBD_Stochastic!$B$19*CBD_Stochastic!$B$13*CBD_Stochastic!$B$18*SQRT((4+$A43)))*((72+$A43)-CBD_Stochastic!$B$14)))))/(1/(1+EXP(-((CBD_Stochastic!$B$6+CBD_Stochastic!$B$8*(4+$A43))+(CBD_Stochastic!$B$7+CBD_Stochastic!$B$9*(4+$A43))*((72+$A43)-CBD_Stochastic!$B$14)))))</f>
        <v>0.616836349469804</v>
      </c>
      <c r="X43" s="11" t="n">
        <f aca="false">(1/(1+EXP(-(((CBD_Stochastic!$B$6+CBD_Stochastic!$B$8*(4+$A43))-CBD_Stochastic!$B$19*CBD_Stochastic!$B$17*SQRT((4+$A43)))+((CBD_Stochastic!$B$7+CBD_Stochastic!$B$9*(4+$A43))-CBD_Stochastic!$B$19*CBD_Stochastic!$B$13*CBD_Stochastic!$B$18*SQRT((4+$A43)))*((75+$A43)-CBD_Stochastic!$B$14)))))/(1/(1+EXP(-((CBD_Stochastic!$B$6+CBD_Stochastic!$B$8*(4+$A43))+(CBD_Stochastic!$B$7+CBD_Stochastic!$B$9*(4+$A43))*((75+$A43)-CBD_Stochastic!$B$14)))))</f>
        <v>0.650270313459757</v>
      </c>
    </row>
    <row r="44" customFormat="false" ht="15" hidden="false" customHeight="true" outlineLevel="0" collapsed="false">
      <c r="A44" s="1" t="n">
        <v>36</v>
      </c>
      <c r="B44" s="32" t="n">
        <f aca="false">IF((60+$A43)&gt;=120,0,B43*(1-MIN(1,IFERROR(INDEX(Cohort_Survival!$B$5:$AA$65,(60+$A43)-59,60-59),1)*(1-Assumptions!$B$21))))</f>
        <v>0.323098302523409</v>
      </c>
      <c r="C44" s="32" t="n">
        <f aca="false">IF((63+$A43)&gt;=120,0,C43*(1-MIN(1,IFERROR(INDEX(Cohort_Survival!$B$5:$AA$65,(63+$A43)-59,63-59),1)*(1-Assumptions!$B$21))))</f>
        <v>0.198003712515079</v>
      </c>
      <c r="D44" s="32" t="n">
        <f aca="false">IF((65+$A43)&gt;=120,0,D43*(1-MIN(1,IFERROR(INDEX(Cohort_Survival!$B$5:$AA$65,(65+$A43)-59,65-59),1)*(1-Assumptions!$B$21))))</f>
        <v>0.134560902543558</v>
      </c>
      <c r="E44" s="32" t="n">
        <f aca="false">IF((68+$A43)&gt;=120,0,E43*(1-MIN(1,IFERROR(INDEX(Cohort_Survival!$B$5:$AA$65,(68+$A43)-59,68-59),1)*(1-Assumptions!$B$21))))</f>
        <v>0.0680390920324769</v>
      </c>
      <c r="F44" s="32" t="n">
        <f aca="false">IF((70+$A43)&gt;=120,0,F43*(1-MIN(1,IFERROR(INDEX(Cohort_Survival!$B$5:$AA$65,(70+$A43)-59,70-59),1)*(1-Assumptions!$B$21))))</f>
        <v>0.0475250970741769</v>
      </c>
      <c r="G44" s="32" t="n">
        <f aca="false">IF((72+$A43)&gt;=120,0,G43*(1-MIN(1,IFERROR(INDEX(Cohort_Survival!$B$5:$AA$65,(72+$A43)-59,72-59),1)*(1-Assumptions!$B$21))))</f>
        <v>0.0236365936936335</v>
      </c>
      <c r="H44" s="32" t="n">
        <f aca="false">IF((75+$A43)&gt;=120,0,H43*(1-MIN(1,IFERROR(INDEX(Cohort_Survival!$B$5:$AA$65,(75+$A43)-59,75-59),1)*(1-Assumptions!$B$21))))</f>
        <v>0.00667384608774912</v>
      </c>
      <c r="J44" s="32" t="n">
        <f aca="false">IF((60+$A43)&gt;=120,0,J43*(1-MIN(1,IFERROR(INDEX(Cohort_Survival!$B$5:$AA$65,(60+$A43)-59,60-59),1)*R43)))</f>
        <v>0.405390318134293</v>
      </c>
      <c r="K44" s="32" t="n">
        <f aca="false">IF((63+$A43)&gt;=120,0,K43*(1-MIN(1,IFERROR(INDEX(Cohort_Survival!$B$5:$AA$65,(63+$A43)-59,63-59),1)*S43)))</f>
        <v>0.280235059752872</v>
      </c>
      <c r="L44" s="32" t="n">
        <f aca="false">IF((65+$A43)&gt;=120,0,L43*(1-MIN(1,IFERROR(INDEX(Cohort_Survival!$B$5:$AA$65,(65+$A43)-59,65-59),1)*T43)))</f>
        <v>0.208854519807446</v>
      </c>
      <c r="M44" s="32" t="n">
        <f aca="false">IF((68+$A43)&gt;=120,0,M43*(1-MIN(1,IFERROR(INDEX(Cohort_Survival!$B$5:$AA$65,(68+$A43)-59,68-59),1)*U43)))</f>
        <v>0.123120000331209</v>
      </c>
      <c r="N44" s="32" t="n">
        <f aca="false">IF((70+$A43)&gt;=120,0,N43*(1-MIN(1,IFERROR(INDEX(Cohort_Survival!$B$5:$AA$65,(70+$A43)-59,70-59),1)*V43)))</f>
        <v>0.0912117262068276</v>
      </c>
      <c r="O44" s="32" t="n">
        <f aca="false">IF((72+$A43)&gt;=120,0,O43*(1-MIN(1,IFERROR(INDEX(Cohort_Survival!$B$5:$AA$65,(72+$A43)-59,72-59),1)*W43)))</f>
        <v>0.0521645413513464</v>
      </c>
      <c r="P44" s="32" t="n">
        <f aca="false">IF((75+$A43)&gt;=120,0,P43*(1-MIN(1,IFERROR(INDEX(Cohort_Survival!$B$5:$AA$65,(75+$A43)-59,75-59),1)*X43)))</f>
        <v>0.0181546050673622</v>
      </c>
      <c r="R44" s="11" t="n">
        <f aca="false">(1/(1+EXP(-(((CBD_Stochastic!$B$6+CBD_Stochastic!$B$8*(4+$A44))-CBD_Stochastic!$B$19*CBD_Stochastic!$B$17*SQRT((4+$A44)))+((CBD_Stochastic!$B$7+CBD_Stochastic!$B$9*(4+$A44))-CBD_Stochastic!$B$19*CBD_Stochastic!$B$13*CBD_Stochastic!$B$18*SQRT((4+$A44)))*((60+$A44)-CBD_Stochastic!$B$14)))))/(1/(1+EXP(-((CBD_Stochastic!$B$6+CBD_Stochastic!$B$8*(4+$A44))+(CBD_Stochastic!$B$7+CBD_Stochastic!$B$9*(4+$A44))*((60+$A44)-CBD_Stochastic!$B$14)))))</f>
        <v>0.569715220922665</v>
      </c>
      <c r="S44" s="11" t="n">
        <f aca="false">(1/(1+EXP(-(((CBD_Stochastic!$B$6+CBD_Stochastic!$B$8*(4+$A44))-CBD_Stochastic!$B$19*CBD_Stochastic!$B$17*SQRT((4+$A44)))+((CBD_Stochastic!$B$7+CBD_Stochastic!$B$9*(4+$A44))-CBD_Stochastic!$B$19*CBD_Stochastic!$B$13*CBD_Stochastic!$B$18*SQRT((4+$A44)))*((63+$A44)-CBD_Stochastic!$B$14)))))/(1/(1+EXP(-((CBD_Stochastic!$B$6+CBD_Stochastic!$B$8*(4+$A44))+(CBD_Stochastic!$B$7+CBD_Stochastic!$B$9*(4+$A44))*((63+$A44)-CBD_Stochastic!$B$14)))))</f>
        <v>0.569364948152754</v>
      </c>
      <c r="T44" s="11" t="n">
        <f aca="false">(1/(1+EXP(-(((CBD_Stochastic!$B$6+CBD_Stochastic!$B$8*(4+$A44))-CBD_Stochastic!$B$19*CBD_Stochastic!$B$17*SQRT((4+$A44)))+((CBD_Stochastic!$B$7+CBD_Stochastic!$B$9*(4+$A44))-CBD_Stochastic!$B$19*CBD_Stochastic!$B$13*CBD_Stochastic!$B$18*SQRT((4+$A44)))*((65+$A44)-CBD_Stochastic!$B$14)))))/(1/(1+EXP(-((CBD_Stochastic!$B$6+CBD_Stochastic!$B$8*(4+$A44))+(CBD_Stochastic!$B$7+CBD_Stochastic!$B$9*(4+$A44))*((65+$A44)-CBD_Stochastic!$B$14)))))</f>
        <v>0.573677528560508</v>
      </c>
      <c r="U44" s="11" t="n">
        <f aca="false">(1/(1+EXP(-(((CBD_Stochastic!$B$6+CBD_Stochastic!$B$8*(4+$A44))-CBD_Stochastic!$B$19*CBD_Stochastic!$B$17*SQRT((4+$A44)))+((CBD_Stochastic!$B$7+CBD_Stochastic!$B$9*(4+$A44))-CBD_Stochastic!$B$19*CBD_Stochastic!$B$13*CBD_Stochastic!$B$18*SQRT((4+$A44)))*((68+$A44)-CBD_Stochastic!$B$14)))))/(1/(1+EXP(-((CBD_Stochastic!$B$6+CBD_Stochastic!$B$8*(4+$A44))+(CBD_Stochastic!$B$7+CBD_Stochastic!$B$9*(4+$A44))*((68+$A44)-CBD_Stochastic!$B$14)))))</f>
        <v>0.587896835923992</v>
      </c>
      <c r="V44" s="11" t="n">
        <f aca="false">(1/(1+EXP(-(((CBD_Stochastic!$B$6+CBD_Stochastic!$B$8*(4+$A44))-CBD_Stochastic!$B$19*CBD_Stochastic!$B$17*SQRT((4+$A44)))+((CBD_Stochastic!$B$7+CBD_Stochastic!$B$9*(4+$A44))-CBD_Stochastic!$B$19*CBD_Stochastic!$B$13*CBD_Stochastic!$B$18*SQRT((4+$A44)))*((70+$A44)-CBD_Stochastic!$B$14)))))/(1/(1+EXP(-((CBD_Stochastic!$B$6+CBD_Stochastic!$B$8*(4+$A44))+(CBD_Stochastic!$B$7+CBD_Stochastic!$B$9*(4+$A44))*((70+$A44)-CBD_Stochastic!$B$14)))))</f>
        <v>0.602868669424292</v>
      </c>
      <c r="W44" s="11" t="n">
        <f aca="false">(1/(1+EXP(-(((CBD_Stochastic!$B$6+CBD_Stochastic!$B$8*(4+$A44))-CBD_Stochastic!$B$19*CBD_Stochastic!$B$17*SQRT((4+$A44)))+((CBD_Stochastic!$B$7+CBD_Stochastic!$B$9*(4+$A44))-CBD_Stochastic!$B$19*CBD_Stochastic!$B$13*CBD_Stochastic!$B$18*SQRT((4+$A44)))*((72+$A44)-CBD_Stochastic!$B$14)))))/(1/(1+EXP(-((CBD_Stochastic!$B$6+CBD_Stochastic!$B$8*(4+$A44))+(CBD_Stochastic!$B$7+CBD_Stochastic!$B$9*(4+$A44))*((72+$A44)-CBD_Stochastic!$B$14)))))</f>
        <v>0.62222970627149</v>
      </c>
      <c r="X44" s="11" t="n">
        <f aca="false">(1/(1+EXP(-(((CBD_Stochastic!$B$6+CBD_Stochastic!$B$8*(4+$A44))-CBD_Stochastic!$B$19*CBD_Stochastic!$B$17*SQRT((4+$A44)))+((CBD_Stochastic!$B$7+CBD_Stochastic!$B$9*(4+$A44))-CBD_Stochastic!$B$19*CBD_Stochastic!$B$13*CBD_Stochastic!$B$18*SQRT((4+$A44)))*((75+$A44)-CBD_Stochastic!$B$14)))))/(1/(1+EXP(-((CBD_Stochastic!$B$6+CBD_Stochastic!$B$8*(4+$A44))+(CBD_Stochastic!$B$7+CBD_Stochastic!$B$9*(4+$A44))*((75+$A44)-CBD_Stochastic!$B$14)))))</f>
        <v>0.658756308322254</v>
      </c>
    </row>
    <row r="45" customFormat="false" ht="15" hidden="false" customHeight="true" outlineLevel="0" collapsed="false">
      <c r="A45" s="1" t="n">
        <v>37</v>
      </c>
      <c r="B45" s="32" t="n">
        <f aca="false">IF((60+$A44)&gt;=120,0,B44*(1-MIN(1,IFERROR(INDEX(Cohort_Survival!$B$5:$AA$65,(60+$A44)-59,60-59),1)*(1-Assumptions!$B$21))))</f>
        <v>0.28142271356147</v>
      </c>
      <c r="C45" s="32" t="n">
        <f aca="false">IF((63+$A44)&gt;=120,0,C44*(1-MIN(1,IFERROR(INDEX(Cohort_Survival!$B$5:$AA$65,(63+$A44)-59,63-59),1)*(1-Assumptions!$B$21))))</f>
        <v>0.167041604782605</v>
      </c>
      <c r="D45" s="32" t="n">
        <f aca="false">IF((65+$A44)&gt;=120,0,D44*(1-MIN(1,IFERROR(INDEX(Cohort_Survival!$B$5:$AA$65,(65+$A44)-59,65-59),1)*(1-Assumptions!$B$21))))</f>
        <v>0.110864794168377</v>
      </c>
      <c r="E45" s="32" t="n">
        <f aca="false">IF((68+$A44)&gt;=120,0,E44*(1-MIN(1,IFERROR(INDEX(Cohort_Survival!$B$5:$AA$65,(68+$A44)-59,68-59),1)*(1-Assumptions!$B$21))))</f>
        <v>0.0549515276077625</v>
      </c>
      <c r="F45" s="32" t="n">
        <f aca="false">IF((70+$A44)&gt;=120,0,F44*(1-MIN(1,IFERROR(INDEX(Cohort_Survival!$B$5:$AA$65,(70+$A44)-59,70-59),1)*(1-Assumptions!$B$21))))</f>
        <v>0.0346709480006212</v>
      </c>
      <c r="G45" s="32" t="n">
        <f aca="false">IF((72+$A44)&gt;=120,0,G44*(1-MIN(1,IFERROR(INDEX(Cohort_Survival!$B$5:$AA$65,(72+$A44)-59,72-59),1)*(1-Assumptions!$B$21))))</f>
        <v>0.0163143926940388</v>
      </c>
      <c r="H45" s="32" t="n">
        <f aca="false">IF((75+$A44)&gt;=120,0,H44*(1-MIN(1,IFERROR(INDEX(Cohort_Survival!$B$5:$AA$65,(75+$A44)-59,75-59),1)*(1-Assumptions!$B$21))))</f>
        <v>0.00422727743936902</v>
      </c>
      <c r="J45" s="32" t="n">
        <f aca="false">IF((60+$A44)&gt;=120,0,J44*(1-MIN(1,IFERROR(INDEX(Cohort_Survival!$B$5:$AA$65,(60+$A44)-59,60-59),1)*R44)))</f>
        <v>0.368152152655671</v>
      </c>
      <c r="K45" s="32" t="n">
        <f aca="false">IF((63+$A44)&gt;=120,0,K44*(1-MIN(1,IFERROR(INDEX(Cohort_Survival!$B$5:$AA$65,(63+$A44)-59,63-59),1)*S44)))</f>
        <v>0.24904757198993</v>
      </c>
      <c r="L45" s="32" t="n">
        <f aca="false">IF((65+$A44)&gt;=120,0,L44*(1-MIN(1,IFERROR(INDEX(Cohort_Survival!$B$5:$AA$65,(65+$A44)-59,65-59),1)*T44)))</f>
        <v>0.182480285154589</v>
      </c>
      <c r="M45" s="32" t="n">
        <f aca="false">IF((68+$A44)&gt;=120,0,M44*(1-MIN(1,IFERROR(INDEX(Cohort_Survival!$B$5:$AA$65,(68+$A44)-59,68-59),1)*U44)))</f>
        <v>0.105716361302696</v>
      </c>
      <c r="N45" s="32" t="n">
        <f aca="false">IF((70+$A44)&gt;=120,0,N44*(1-MIN(1,IFERROR(INDEX(Cohort_Survival!$B$5:$AA$65,(70+$A44)-59,70-59),1)*V44)))</f>
        <v>0.0726206846302268</v>
      </c>
      <c r="O45" s="32" t="n">
        <f aca="false">IF((72+$A44)&gt;=120,0,O44*(1-MIN(1,IFERROR(INDEX(Cohort_Survival!$B$5:$AA$65,(72+$A44)-59,72-59),1)*W44)))</f>
        <v>0.0395957677336679</v>
      </c>
      <c r="P45" s="32" t="n">
        <f aca="false">IF((75+$A44)&gt;=120,0,P44*(1-MIN(1,IFERROR(INDEX(Cohort_Survival!$B$5:$AA$65,(75+$A44)-59,75-59),1)*X44)))</f>
        <v>0.0126743240938541</v>
      </c>
      <c r="R45" s="11" t="n">
        <f aca="false">(1/(1+EXP(-(((CBD_Stochastic!$B$6+CBD_Stochastic!$B$8*(4+$A45))-CBD_Stochastic!$B$19*CBD_Stochastic!$B$17*SQRT((4+$A45)))+((CBD_Stochastic!$B$7+CBD_Stochastic!$B$9*(4+$A45))-CBD_Stochastic!$B$19*CBD_Stochastic!$B$13*CBD_Stochastic!$B$18*SQRT((4+$A45)))*((60+$A45)-CBD_Stochastic!$B$14)))))/(1/(1+EXP(-((CBD_Stochastic!$B$6+CBD_Stochastic!$B$8*(4+$A45))+(CBD_Stochastic!$B$7+CBD_Stochastic!$B$9*(4+$A45))*((60+$A45)-CBD_Stochastic!$B$14)))))</f>
        <v>0.56414570461388</v>
      </c>
      <c r="S45" s="11" t="n">
        <f aca="false">(1/(1+EXP(-(((CBD_Stochastic!$B$6+CBD_Stochastic!$B$8*(4+$A45))-CBD_Stochastic!$B$19*CBD_Stochastic!$B$17*SQRT((4+$A45)))+((CBD_Stochastic!$B$7+CBD_Stochastic!$B$9*(4+$A45))-CBD_Stochastic!$B$19*CBD_Stochastic!$B$13*CBD_Stochastic!$B$18*SQRT((4+$A45)))*((63+$A45)-CBD_Stochastic!$B$14)))))/(1/(1+EXP(-((CBD_Stochastic!$B$6+CBD_Stochastic!$B$8*(4+$A45))+(CBD_Stochastic!$B$7+CBD_Stochastic!$B$9*(4+$A45))*((63+$A45)-CBD_Stochastic!$B$14)))))</f>
        <v>0.566283773015342</v>
      </c>
      <c r="T45" s="11" t="n">
        <f aca="false">(1/(1+EXP(-(((CBD_Stochastic!$B$6+CBD_Stochastic!$B$8*(4+$A45))-CBD_Stochastic!$B$19*CBD_Stochastic!$B$17*SQRT((4+$A45)))+((CBD_Stochastic!$B$7+CBD_Stochastic!$B$9*(4+$A45))-CBD_Stochastic!$B$19*CBD_Stochastic!$B$13*CBD_Stochastic!$B$18*SQRT((4+$A45)))*((65+$A45)-CBD_Stochastic!$B$14)))))/(1/(1+EXP(-((CBD_Stochastic!$B$6+CBD_Stochastic!$B$8*(4+$A45))+(CBD_Stochastic!$B$7+CBD_Stochastic!$B$9*(4+$A45))*((65+$A45)-CBD_Stochastic!$B$14)))))</f>
        <v>0.572540036340881</v>
      </c>
      <c r="U45" s="11" t="n">
        <f aca="false">(1/(1+EXP(-(((CBD_Stochastic!$B$6+CBD_Stochastic!$B$8*(4+$A45))-CBD_Stochastic!$B$19*CBD_Stochastic!$B$17*SQRT((4+$A45)))+((CBD_Stochastic!$B$7+CBD_Stochastic!$B$9*(4+$A45))-CBD_Stochastic!$B$19*CBD_Stochastic!$B$13*CBD_Stochastic!$B$18*SQRT((4+$A45)))*((68+$A45)-CBD_Stochastic!$B$14)))))/(1/(1+EXP(-((CBD_Stochastic!$B$6+CBD_Stochastic!$B$8*(4+$A45))+(CBD_Stochastic!$B$7+CBD_Stochastic!$B$9*(4+$A45))*((68+$A45)-CBD_Stochastic!$B$14)))))</f>
        <v>0.590009663764391</v>
      </c>
      <c r="V45" s="11" t="n">
        <f aca="false">(1/(1+EXP(-(((CBD_Stochastic!$B$6+CBD_Stochastic!$B$8*(4+$A45))-CBD_Stochastic!$B$19*CBD_Stochastic!$B$17*SQRT((4+$A45)))+((CBD_Stochastic!$B$7+CBD_Stochastic!$B$9*(4+$A45))-CBD_Stochastic!$B$19*CBD_Stochastic!$B$13*CBD_Stochastic!$B$18*SQRT((4+$A45)))*((70+$A45)-CBD_Stochastic!$B$14)))))/(1/(1+EXP(-((CBD_Stochastic!$B$6+CBD_Stochastic!$B$8*(4+$A45))+(CBD_Stochastic!$B$7+CBD_Stochastic!$B$9*(4+$A45))*((70+$A45)-CBD_Stochastic!$B$14)))))</f>
        <v>0.607257478343405</v>
      </c>
      <c r="W45" s="11" t="n">
        <f aca="false">(1/(1+EXP(-(((CBD_Stochastic!$B$6+CBD_Stochastic!$B$8*(4+$A45))-CBD_Stochastic!$B$19*CBD_Stochastic!$B$17*SQRT((4+$A45)))+((CBD_Stochastic!$B$7+CBD_Stochastic!$B$9*(4+$A45))-CBD_Stochastic!$B$19*CBD_Stochastic!$B$13*CBD_Stochastic!$B$18*SQRT((4+$A45)))*((72+$A45)-CBD_Stochastic!$B$14)))))/(1/(1+EXP(-((CBD_Stochastic!$B$6+CBD_Stochastic!$B$8*(4+$A45))+(CBD_Stochastic!$B$7+CBD_Stochastic!$B$9*(4+$A45))*((72+$A45)-CBD_Stochastic!$B$14)))))</f>
        <v>0.628847137398623</v>
      </c>
      <c r="X45" s="11" t="n">
        <f aca="false">(1/(1+EXP(-(((CBD_Stochastic!$B$6+CBD_Stochastic!$B$8*(4+$A45))-CBD_Stochastic!$B$19*CBD_Stochastic!$B$17*SQRT((4+$A45)))+((CBD_Stochastic!$B$7+CBD_Stochastic!$B$9*(4+$A45))-CBD_Stochastic!$B$19*CBD_Stochastic!$B$13*CBD_Stochastic!$B$18*SQRT((4+$A45)))*((75+$A45)-CBD_Stochastic!$B$14)))))/(1/(1+EXP(-((CBD_Stochastic!$B$6+CBD_Stochastic!$B$8*(4+$A45))+(CBD_Stochastic!$B$7+CBD_Stochastic!$B$9*(4+$A45))*((75+$A45)-CBD_Stochastic!$B$14)))))</f>
        <v>0.668319181989406</v>
      </c>
    </row>
    <row r="46" customFormat="false" ht="15" hidden="false" customHeight="true" outlineLevel="0" collapsed="false">
      <c r="A46" s="1" t="n">
        <v>38</v>
      </c>
      <c r="B46" s="32" t="n">
        <f aca="false">IF((60+$A45)&gt;=120,0,B45*(1-MIN(1,IFERROR(INDEX(Cohort_Survival!$B$5:$AA$65,(60+$A45)-59,60-59),1)*(1-Assumptions!$B$21))))</f>
        <v>0.24286759812277</v>
      </c>
      <c r="C46" s="32" t="n">
        <f aca="false">IF((63+$A45)&gt;=120,0,C45*(1-MIN(1,IFERROR(INDEX(Cohort_Survival!$B$5:$AA$65,(63+$A45)-59,63-59),1)*(1-Assumptions!$B$21))))</f>
        <v>0.139488844625344</v>
      </c>
      <c r="D46" s="32" t="n">
        <f aca="false">IF((65+$A45)&gt;=120,0,D45*(1-MIN(1,IFERROR(INDEX(Cohort_Survival!$B$5:$AA$65,(65+$A45)-59,65-59),1)*(1-Assumptions!$B$21))))</f>
        <v>0.090214305648094</v>
      </c>
      <c r="E46" s="32" t="n">
        <f aca="false">IF((68+$A45)&gt;=120,0,E45*(1-MIN(1,IFERROR(INDEX(Cohort_Survival!$B$5:$AA$65,(68+$A45)-59,68-59),1)*(1-Assumptions!$B$21))))</f>
        <v>0.0495387189192578</v>
      </c>
      <c r="F46" s="32" t="n">
        <f aca="false">IF((70+$A45)&gt;=120,0,F45*(1-MIN(1,IFERROR(INDEX(Cohort_Survival!$B$5:$AA$65,(70+$A45)-59,70-59),1)*(1-Assumptions!$B$21))))</f>
        <v>0.0246449425724094</v>
      </c>
      <c r="G46" s="32" t="n">
        <f aca="false">IF((72+$A45)&gt;=120,0,G45*(1-MIN(1,IFERROR(INDEX(Cohort_Survival!$B$5:$AA$65,(72+$A45)-59,72-59),1)*(1-Assumptions!$B$21))))</f>
        <v>0.0109222492214006</v>
      </c>
      <c r="H46" s="32" t="n">
        <f aca="false">IF((75+$A45)&gt;=120,0,H45*(1-MIN(1,IFERROR(INDEX(Cohort_Survival!$B$5:$AA$65,(75+$A45)-59,75-59),1)*(1-Assumptions!$B$21))))</f>
        <v>0.002618160640219</v>
      </c>
      <c r="J46" s="32" t="n">
        <f aca="false">IF((60+$A45)&gt;=120,0,J45*(1-MIN(1,IFERROR(INDEX(Cohort_Survival!$B$5:$AA$65,(60+$A45)-59,60-59),1)*R45)))</f>
        <v>0.332584802993287</v>
      </c>
      <c r="K46" s="32" t="n">
        <f aca="false">IF((63+$A45)&gt;=120,0,K45*(1-MIN(1,IFERROR(INDEX(Cohort_Survival!$B$5:$AA$65,(63+$A45)-59,63-59),1)*S45)))</f>
        <v>0.219969413442462</v>
      </c>
      <c r="L46" s="32" t="n">
        <f aca="false">IF((65+$A45)&gt;=120,0,L45*(1-MIN(1,IFERROR(INDEX(Cohort_Survival!$B$5:$AA$65,(65+$A45)-59,65-59),1)*T45)))</f>
        <v>0.158154408506392</v>
      </c>
      <c r="M46" s="32" t="n">
        <f aca="false">IF((68+$A45)&gt;=120,0,M45*(1-MIN(1,IFERROR(INDEX(Cohort_Survival!$B$5:$AA$65,(68+$A45)-59,68-59),1)*U45)))</f>
        <v>0.0980364845204537</v>
      </c>
      <c r="N46" s="32" t="n">
        <f aca="false">IF((70+$A45)&gt;=120,0,N45*(1-MIN(1,IFERROR(INDEX(Cohort_Survival!$B$5:$AA$65,(70+$A45)-59,70-59),1)*V45)))</f>
        <v>0.056680056059373</v>
      </c>
      <c r="O46" s="32" t="n">
        <f aca="false">IF((72+$A45)&gt;=120,0,O45*(1-MIN(1,IFERROR(INDEX(Cohort_Survival!$B$5:$AA$65,(72+$A45)-59,72-59),1)*W45)))</f>
        <v>0.0293086337364811</v>
      </c>
      <c r="P46" s="32" t="n">
        <f aca="false">IF((75+$A45)&gt;=120,0,P45*(1-MIN(1,IFERROR(INDEX(Cohort_Survival!$B$5:$AA$65,(75+$A45)-59,75-59),1)*X45)))</f>
        <v>0.00864394808818179</v>
      </c>
      <c r="R46" s="11" t="n">
        <f aca="false">(1/(1+EXP(-(((CBD_Stochastic!$B$6+CBD_Stochastic!$B$8*(4+$A46))-CBD_Stochastic!$B$19*CBD_Stochastic!$B$17*SQRT((4+$A46)))+((CBD_Stochastic!$B$7+CBD_Stochastic!$B$9*(4+$A46))-CBD_Stochastic!$B$19*CBD_Stochastic!$B$13*CBD_Stochastic!$B$18*SQRT((4+$A46)))*((60+$A46)-CBD_Stochastic!$B$14)))))/(1/(1+EXP(-((CBD_Stochastic!$B$6+CBD_Stochastic!$B$8*(4+$A46))+(CBD_Stochastic!$B$7+CBD_Stochastic!$B$9*(4+$A46))*((60+$A46)-CBD_Stochastic!$B$14)))))</f>
        <v>0.559375201654724</v>
      </c>
      <c r="S46" s="11" t="n">
        <f aca="false">(1/(1+EXP(-(((CBD_Stochastic!$B$6+CBD_Stochastic!$B$8*(4+$A46))-CBD_Stochastic!$B$19*CBD_Stochastic!$B$17*SQRT((4+$A46)))+((CBD_Stochastic!$B$7+CBD_Stochastic!$B$9*(4+$A46))-CBD_Stochastic!$B$19*CBD_Stochastic!$B$13*CBD_Stochastic!$B$18*SQRT((4+$A46)))*((63+$A46)-CBD_Stochastic!$B$14)))))/(1/(1+EXP(-((CBD_Stochastic!$B$6+CBD_Stochastic!$B$8*(4+$A46))+(CBD_Stochastic!$B$7+CBD_Stochastic!$B$9*(4+$A46))*((63+$A46)-CBD_Stochastic!$B$14)))))</f>
        <v>0.564191406679845</v>
      </c>
      <c r="T46" s="11" t="n">
        <f aca="false">(1/(1+EXP(-(((CBD_Stochastic!$B$6+CBD_Stochastic!$B$8*(4+$A46))-CBD_Stochastic!$B$19*CBD_Stochastic!$B$17*SQRT((4+$A46)))+((CBD_Stochastic!$B$7+CBD_Stochastic!$B$9*(4+$A46))-CBD_Stochastic!$B$19*CBD_Stochastic!$B$13*CBD_Stochastic!$B$18*SQRT((4+$A46)))*((65+$A46)-CBD_Stochastic!$B$14)))))/(1/(1+EXP(-((CBD_Stochastic!$B$6+CBD_Stochastic!$B$8*(4+$A46))+(CBD_Stochastic!$B$7+CBD_Stochastic!$B$9*(4+$A46))*((65+$A46)-CBD_Stochastic!$B$14)))))</f>
        <v>0.572507816715219</v>
      </c>
      <c r="U46" s="11" t="n">
        <f aca="false">(1/(1+EXP(-(((CBD_Stochastic!$B$6+CBD_Stochastic!$B$8*(4+$A46))-CBD_Stochastic!$B$19*CBD_Stochastic!$B$17*SQRT((4+$A46)))+((CBD_Stochastic!$B$7+CBD_Stochastic!$B$9*(4+$A46))-CBD_Stochastic!$B$19*CBD_Stochastic!$B$13*CBD_Stochastic!$B$18*SQRT((4+$A46)))*((68+$A46)-CBD_Stochastic!$B$14)))))/(1/(1+EXP(-((CBD_Stochastic!$B$6+CBD_Stochastic!$B$8*(4+$A46))+(CBD_Stochastic!$B$7+CBD_Stochastic!$B$9*(4+$A46))*((68+$A46)-CBD_Stochastic!$B$14)))))</f>
        <v>0.593349753574723</v>
      </c>
      <c r="V46" s="11" t="n">
        <f aca="false">(1/(1+EXP(-(((CBD_Stochastic!$B$6+CBD_Stochastic!$B$8*(4+$A46))-CBD_Stochastic!$B$19*CBD_Stochastic!$B$17*SQRT((4+$A46)))+((CBD_Stochastic!$B$7+CBD_Stochastic!$B$9*(4+$A46))-CBD_Stochastic!$B$19*CBD_Stochastic!$B$13*CBD_Stochastic!$B$18*SQRT((4+$A46)))*((70+$A46)-CBD_Stochastic!$B$14)))))/(1/(1+EXP(-((CBD_Stochastic!$B$6+CBD_Stochastic!$B$8*(4+$A46))+(CBD_Stochastic!$B$7+CBD_Stochastic!$B$9*(4+$A46))*((70+$A46)-CBD_Stochastic!$B$14)))))</f>
        <v>0.612894570361561</v>
      </c>
      <c r="W46" s="11" t="n">
        <f aca="false">(1/(1+EXP(-(((CBD_Stochastic!$B$6+CBD_Stochastic!$B$8*(4+$A46))-CBD_Stochastic!$B$19*CBD_Stochastic!$B$17*SQRT((4+$A46)))+((CBD_Stochastic!$B$7+CBD_Stochastic!$B$9*(4+$A46))-CBD_Stochastic!$B$19*CBD_Stochastic!$B$13*CBD_Stochastic!$B$18*SQRT((4+$A46)))*((72+$A46)-CBD_Stochastic!$B$14)))))/(1/(1+EXP(-((CBD_Stochastic!$B$6+CBD_Stochastic!$B$8*(4+$A46))+(CBD_Stochastic!$B$7+CBD_Stochastic!$B$9*(4+$A46))*((72+$A46)-CBD_Stochastic!$B$14)))))</f>
        <v>0.636668612933189</v>
      </c>
      <c r="X46" s="11" t="n">
        <f aca="false">(1/(1+EXP(-(((CBD_Stochastic!$B$6+CBD_Stochastic!$B$8*(4+$A46))-CBD_Stochastic!$B$19*CBD_Stochastic!$B$17*SQRT((4+$A46)))+((CBD_Stochastic!$B$7+CBD_Stochastic!$B$9*(4+$A46))-CBD_Stochastic!$B$19*CBD_Stochastic!$B$13*CBD_Stochastic!$B$18*SQRT((4+$A46)))*((75+$A46)-CBD_Stochastic!$B$14)))))/(1/(1+EXP(-((CBD_Stochastic!$B$6+CBD_Stochastic!$B$8*(4+$A46))+(CBD_Stochastic!$B$7+CBD_Stochastic!$B$9*(4+$A46))*((75+$A46)-CBD_Stochastic!$B$14)))))</f>
        <v>0.67888669665093</v>
      </c>
    </row>
    <row r="47" customFormat="false" ht="15" hidden="false" customHeight="true" outlineLevel="0" collapsed="false">
      <c r="A47" s="1" t="n">
        <v>39</v>
      </c>
      <c r="B47" s="32" t="n">
        <f aca="false">IF((60+$A46)&gt;=120,0,B46*(1-MIN(1,IFERROR(INDEX(Cohort_Survival!$B$5:$AA$65,(60+$A46)-59,60-59),1)*(1-Assumptions!$B$21))))</f>
        <v>0.207642641297759</v>
      </c>
      <c r="C47" s="32" t="n">
        <f aca="false">IF((63+$A46)&gt;=120,0,C46*(1-MIN(1,IFERROR(INDEX(Cohort_Survival!$B$5:$AA$65,(63+$A46)-59,63-59),1)*(1-Assumptions!$B$21))))</f>
        <v>0.115189502102053</v>
      </c>
      <c r="D47" s="32" t="n">
        <f aca="false">IF((65+$A46)&gt;=120,0,D46*(1-MIN(1,IFERROR(INDEX(Cohort_Survival!$B$5:$AA$65,(65+$A46)-59,65-59),1)*(1-Assumptions!$B$21))))</f>
        <v>0.0723594598931413</v>
      </c>
      <c r="E47" s="32" t="n">
        <f aca="false">IF((68+$A46)&gt;=120,0,E46*(1-MIN(1,IFERROR(INDEX(Cohort_Survival!$B$5:$AA$65,(68+$A46)-59,68-59),1)*(1-Assumptions!$B$21))))</f>
        <v>0.0362041809596656</v>
      </c>
      <c r="F47" s="32" t="n">
        <f aca="false">IF((70+$A46)&gt;=120,0,F46*(1-MIN(1,IFERROR(INDEX(Cohort_Survival!$B$5:$AA$65,(70+$A46)-59,70-59),1)*(1-Assumptions!$B$21))))</f>
        <v>0.0170286847988907</v>
      </c>
      <c r="G47" s="32" t="n">
        <f aca="false">IF((72+$A46)&gt;=120,0,G46*(1-MIN(1,IFERROR(INDEX(Cohort_Survival!$B$5:$AA$65,(72+$A46)-59,72-59),1)*(1-Assumptions!$B$21))))</f>
        <v>0.00707245431407135</v>
      </c>
      <c r="H47" s="32" t="n">
        <f aca="false">IF((75+$A46)&gt;=120,0,H46*(1-MIN(1,IFERROR(INDEX(Cohort_Survival!$B$5:$AA$65,(75+$A46)-59,75-59),1)*(1-Assumptions!$B$21))))</f>
        <v>0.00158500719089995</v>
      </c>
      <c r="J47" s="32" t="n">
        <f aca="false">IF((60+$A46)&gt;=120,0,J46*(1-MIN(1,IFERROR(INDEX(Cohort_Survival!$B$5:$AA$65,(60+$A46)-59,60-59),1)*R46)))</f>
        <v>0.298856342803563</v>
      </c>
      <c r="K47" s="32" t="n">
        <f aca="false">IF((63+$A46)&gt;=120,0,K46*(1-MIN(1,IFERROR(INDEX(Cohort_Survival!$B$5:$AA$65,(63+$A46)-59,63-59),1)*S46)))</f>
        <v>0.192945152694156</v>
      </c>
      <c r="L47" s="32" t="n">
        <f aca="false">IF((65+$A46)&gt;=120,0,L46*(1-MIN(1,IFERROR(INDEX(Cohort_Survival!$B$5:$AA$65,(65+$A46)-59,65-59),1)*T46)))</f>
        <v>0.135754129493625</v>
      </c>
      <c r="M47" s="32" t="n">
        <f aca="false">IF((68+$A46)&gt;=120,0,M46*(1-MIN(1,IFERROR(INDEX(Cohort_Survival!$B$5:$AA$65,(68+$A46)-59,68-59),1)*U46)))</f>
        <v>0.0784641914814471</v>
      </c>
      <c r="N47" s="32" t="n">
        <f aca="false">IF((70+$A46)&gt;=120,0,N46*(1-MIN(1,IFERROR(INDEX(Cohort_Survival!$B$5:$AA$65,(70+$A46)-59,70-59),1)*V46)))</f>
        <v>0.0432604464488784</v>
      </c>
      <c r="O47" s="32" t="n">
        <f aca="false">IF((72+$A46)&gt;=120,0,O46*(1-MIN(1,IFERROR(INDEX(Cohort_Survival!$B$5:$AA$65,(72+$A46)-59,72-59),1)*W46)))</f>
        <v>0.0210872572128114</v>
      </c>
      <c r="P47" s="32" t="n">
        <f aca="false">IF((75+$A46)&gt;=120,0,P46*(1-MIN(1,IFERROR(INDEX(Cohort_Survival!$B$5:$AA$65,(75+$A46)-59,75-59),1)*X46)))</f>
        <v>0.00574935179403974</v>
      </c>
      <c r="R47" s="11" t="n">
        <f aca="false">(1/(1+EXP(-(((CBD_Stochastic!$B$6+CBD_Stochastic!$B$8*(4+$A47))-CBD_Stochastic!$B$19*CBD_Stochastic!$B$17*SQRT((4+$A47)))+((CBD_Stochastic!$B$7+CBD_Stochastic!$B$9*(4+$A47))-CBD_Stochastic!$B$19*CBD_Stochastic!$B$13*CBD_Stochastic!$B$18*SQRT((4+$A47)))*((60+$A47)-CBD_Stochastic!$B$14)))))/(1/(1+EXP(-((CBD_Stochastic!$B$6+CBD_Stochastic!$B$8*(4+$A47))+(CBD_Stochastic!$B$7+CBD_Stochastic!$B$9*(4+$A47))*((60+$A47)-CBD_Stochastic!$B$14)))))</f>
        <v>0.555468366296775</v>
      </c>
      <c r="S47" s="11" t="n">
        <f aca="false">(1/(1+EXP(-(((CBD_Stochastic!$B$6+CBD_Stochastic!$B$8*(4+$A47))-CBD_Stochastic!$B$19*CBD_Stochastic!$B$17*SQRT((4+$A47)))+((CBD_Stochastic!$B$7+CBD_Stochastic!$B$9*(4+$A47))-CBD_Stochastic!$B$19*CBD_Stochastic!$B$13*CBD_Stochastic!$B$18*SQRT((4+$A47)))*((63+$A47)-CBD_Stochastic!$B$14)))))/(1/(1+EXP(-((CBD_Stochastic!$B$6+CBD_Stochastic!$B$8*(4+$A47))+(CBD_Stochastic!$B$7+CBD_Stochastic!$B$9*(4+$A47))*((63+$A47)-CBD_Stochastic!$B$14)))))</f>
        <v>0.563151815528311</v>
      </c>
      <c r="T47" s="11" t="n">
        <f aca="false">(1/(1+EXP(-(((CBD_Stochastic!$B$6+CBD_Stochastic!$B$8*(4+$A47))-CBD_Stochastic!$B$19*CBD_Stochastic!$B$17*SQRT((4+$A47)))+((CBD_Stochastic!$B$7+CBD_Stochastic!$B$9*(4+$A47))-CBD_Stochastic!$B$19*CBD_Stochastic!$B$13*CBD_Stochastic!$B$18*SQRT((4+$A47)))*((65+$A47)-CBD_Stochastic!$B$14)))))/(1/(1+EXP(-((CBD_Stochastic!$B$6+CBD_Stochastic!$B$8*(4+$A47))+(CBD_Stochastic!$B$7+CBD_Stochastic!$B$9*(4+$A47))*((65+$A47)-CBD_Stochastic!$B$14)))))</f>
        <v>0.573636418098327</v>
      </c>
      <c r="U47" s="11" t="n">
        <f aca="false">(1/(1+EXP(-(((CBD_Stochastic!$B$6+CBD_Stochastic!$B$8*(4+$A47))-CBD_Stochastic!$B$19*CBD_Stochastic!$B$17*SQRT((4+$A47)))+((CBD_Stochastic!$B$7+CBD_Stochastic!$B$9*(4+$A47))-CBD_Stochastic!$B$19*CBD_Stochastic!$B$13*CBD_Stochastic!$B$18*SQRT((4+$A47)))*((68+$A47)-CBD_Stochastic!$B$14)))))/(1/(1+EXP(-((CBD_Stochastic!$B$6+CBD_Stochastic!$B$8*(4+$A47))+(CBD_Stochastic!$B$7+CBD_Stochastic!$B$9*(4+$A47))*((68+$A47)-CBD_Stochastic!$B$14)))))</f>
        <v>0.597944194811681</v>
      </c>
      <c r="V47" s="11" t="n">
        <f aca="false">(1/(1+EXP(-(((CBD_Stochastic!$B$6+CBD_Stochastic!$B$8*(4+$A47))-CBD_Stochastic!$B$19*CBD_Stochastic!$B$17*SQRT((4+$A47)))+((CBD_Stochastic!$B$7+CBD_Stochastic!$B$9*(4+$A47))-CBD_Stochastic!$B$19*CBD_Stochastic!$B$13*CBD_Stochastic!$B$18*SQRT((4+$A47)))*((70+$A47)-CBD_Stochastic!$B$14)))))/(1/(1+EXP(-((CBD_Stochastic!$B$6+CBD_Stochastic!$B$8*(4+$A47))+(CBD_Stochastic!$B$7+CBD_Stochastic!$B$9*(4+$A47))*((70+$A47)-CBD_Stochastic!$B$14)))))</f>
        <v>0.619777631369111</v>
      </c>
      <c r="W47" s="11" t="n">
        <f aca="false">(1/(1+EXP(-(((CBD_Stochastic!$B$6+CBD_Stochastic!$B$8*(4+$A47))-CBD_Stochastic!$B$19*CBD_Stochastic!$B$17*SQRT((4+$A47)))+((CBD_Stochastic!$B$7+CBD_Stochastic!$B$9*(4+$A47))-CBD_Stochastic!$B$19*CBD_Stochastic!$B$13*CBD_Stochastic!$B$18*SQRT((4+$A47)))*((72+$A47)-CBD_Stochastic!$B$14)))))/(1/(1+EXP(-((CBD_Stochastic!$B$6+CBD_Stochastic!$B$8*(4+$A47))+(CBD_Stochastic!$B$7+CBD_Stochastic!$B$9*(4+$A47))*((72+$A47)-CBD_Stochastic!$B$14)))))</f>
        <v>0.645656964011042</v>
      </c>
      <c r="X47" s="11" t="n">
        <f aca="false">(1/(1+EXP(-(((CBD_Stochastic!$B$6+CBD_Stochastic!$B$8*(4+$A47))-CBD_Stochastic!$B$19*CBD_Stochastic!$B$17*SQRT((4+$A47)))+((CBD_Stochastic!$B$7+CBD_Stochastic!$B$9*(4+$A47))-CBD_Stochastic!$B$19*CBD_Stochastic!$B$13*CBD_Stochastic!$B$18*SQRT((4+$A47)))*((75+$A47)-CBD_Stochastic!$B$14)))))/(1/(1+EXP(-((CBD_Stochastic!$B$6+CBD_Stochastic!$B$8*(4+$A47))+(CBD_Stochastic!$B$7+CBD_Stochastic!$B$9*(4+$A47))*((75+$A47)-CBD_Stochastic!$B$14)))))</f>
        <v>0.690370254169136</v>
      </c>
    </row>
    <row r="48" customFormat="false" ht="15" hidden="false" customHeight="true" outlineLevel="0" collapsed="false">
      <c r="A48" s="1" t="n">
        <v>40</v>
      </c>
      <c r="B48" s="32" t="n">
        <f aca="false">IF((60+$A47)&gt;=120,0,B47*(1-MIN(1,IFERROR(INDEX(Cohort_Survival!$B$5:$AA$65,(60+$A47)-59,60-59),1)*(1-Assumptions!$B$21))))</f>
        <v>0.175811940831294</v>
      </c>
      <c r="C48" s="32" t="n">
        <f aca="false">IF((63+$A47)&gt;=120,0,C47*(1-MIN(1,IFERROR(INDEX(Cohort_Survival!$B$5:$AA$65,(63+$A47)-59,63-59),1)*(1-Assumptions!$B$21))))</f>
        <v>0.0939389454481282</v>
      </c>
      <c r="D48" s="32" t="n">
        <f aca="false">IF((65+$A47)&gt;=120,0,D47*(1-MIN(1,IFERROR(INDEX(Cohort_Survival!$B$5:$AA$65,(65+$A47)-59,65-59),1)*(1-Assumptions!$B$21))))</f>
        <v>0.0585906375525026</v>
      </c>
      <c r="E48" s="32" t="n">
        <f aca="false">IF((68+$A47)&gt;=120,0,E47*(1-MIN(1,IFERROR(INDEX(Cohort_Survival!$B$5:$AA$65,(68+$A47)-59,68-59),1)*(1-Assumptions!$B$21))))</f>
        <v>0.0257724572308637</v>
      </c>
      <c r="F48" s="32" t="n">
        <f aca="false">IF((70+$A47)&gt;=120,0,F47*(1-MIN(1,IFERROR(INDEX(Cohort_Survival!$B$5:$AA$65,(70+$A47)-59,70-59),1)*(1-Assumptions!$B$21))))</f>
        <v>0.011407209269424</v>
      </c>
      <c r="G48" s="32" t="n">
        <f aca="false">IF((72+$A47)&gt;=120,0,G47*(1-MIN(1,IFERROR(INDEX(Cohort_Survival!$B$5:$AA$65,(72+$A47)-59,72-59),1)*(1-Assumptions!$B$21))))</f>
        <v>0.00447975967227098</v>
      </c>
      <c r="H48" s="32" t="n">
        <f aca="false">IF((75+$A47)&gt;=120,0,H47*(1-MIN(1,IFERROR(INDEX(Cohort_Survival!$B$5:$AA$65,(75+$A47)-59,75-59),1)*(1-Assumptions!$B$21))))</f>
        <v>0.000937646336495926</v>
      </c>
      <c r="J48" s="32" t="n">
        <f aca="false">IF((60+$A47)&gt;=120,0,J47*(1-MIN(1,IFERROR(INDEX(Cohort_Survival!$B$5:$AA$65,(60+$A47)-59,60-59),1)*R47)))</f>
        <v>0.267046503671158</v>
      </c>
      <c r="K48" s="32" t="n">
        <f aca="false">IF((63+$A47)&gt;=120,0,K47*(1-MIN(1,IFERROR(INDEX(Cohort_Survival!$B$5:$AA$65,(63+$A47)-59,63-59),1)*S47)))</f>
        <v>0.16788828477784</v>
      </c>
      <c r="L48" s="32" t="n">
        <f aca="false">IF((65+$A47)&gt;=120,0,L47*(1-MIN(1,IFERROR(INDEX(Cohort_Survival!$B$5:$AA$65,(65+$A47)-59,65-59),1)*T47)))</f>
        <v>0.117231558958191</v>
      </c>
      <c r="M48" s="32" t="n">
        <f aca="false">IF((68+$A47)&gt;=120,0,M47*(1-MIN(1,IFERROR(INDEX(Cohort_Survival!$B$5:$AA$65,(68+$A47)-59,68-59),1)*U47)))</f>
        <v>0.0615660274817713</v>
      </c>
      <c r="N48" s="32" t="n">
        <f aca="false">IF((70+$A47)&gt;=120,0,N47*(1-MIN(1,IFERROR(INDEX(Cohort_Survival!$B$5:$AA$65,(70+$A47)-59,70-59),1)*V47)))</f>
        <v>0.0321966003573206</v>
      </c>
      <c r="O48" s="32" t="n">
        <f aca="false">IF((72+$A47)&gt;=120,0,O47*(1-MIN(1,IFERROR(INDEX(Cohort_Survival!$B$5:$AA$65,(72+$A47)-59,72-59),1)*W47)))</f>
        <v>0.014848283331953</v>
      </c>
      <c r="P48" s="32" t="n">
        <f aca="false">IF((75+$A47)&gt;=120,0,P47*(1-MIN(1,IFERROR(INDEX(Cohort_Survival!$B$5:$AA$65,(75+$A47)-59,75-59),1)*X47)))</f>
        <v>0.00372294718561939</v>
      </c>
      <c r="R48" s="11" t="n">
        <f aca="false">(1/(1+EXP(-(((CBD_Stochastic!$B$6+CBD_Stochastic!$B$8*(4+$A48))-CBD_Stochastic!$B$19*CBD_Stochastic!$B$17*SQRT((4+$A48)))+((CBD_Stochastic!$B$7+CBD_Stochastic!$B$9*(4+$A48))-CBD_Stochastic!$B$19*CBD_Stochastic!$B$13*CBD_Stochastic!$B$18*SQRT((4+$A48)))*((60+$A48)-CBD_Stochastic!$B$14)))))/(1/(1+EXP(-((CBD_Stochastic!$B$6+CBD_Stochastic!$B$8*(4+$A48))+(CBD_Stochastic!$B$7+CBD_Stochastic!$B$9*(4+$A48))*((60+$A48)-CBD_Stochastic!$B$14)))))</f>
        <v>0.552491464262962</v>
      </c>
      <c r="S48" s="11" t="n">
        <f aca="false">(1/(1+EXP(-(((CBD_Stochastic!$B$6+CBD_Stochastic!$B$8*(4+$A48))-CBD_Stochastic!$B$19*CBD_Stochastic!$B$17*SQRT((4+$A48)))+((CBD_Stochastic!$B$7+CBD_Stochastic!$B$9*(4+$A48))-CBD_Stochastic!$B$19*CBD_Stochastic!$B$13*CBD_Stochastic!$B$18*SQRT((4+$A48)))*((63+$A48)-CBD_Stochastic!$B$14)))))/(1/(1+EXP(-((CBD_Stochastic!$B$6+CBD_Stochastic!$B$8*(4+$A48))+(CBD_Stochastic!$B$7+CBD_Stochastic!$B$9*(4+$A48))*((63+$A48)-CBD_Stochastic!$B$14)))))</f>
        <v>0.563226704284618</v>
      </c>
      <c r="T48" s="11" t="n">
        <f aca="false">(1/(1+EXP(-(((CBD_Stochastic!$B$6+CBD_Stochastic!$B$8*(4+$A48))-CBD_Stochastic!$B$19*CBD_Stochastic!$B$17*SQRT((4+$A48)))+((CBD_Stochastic!$B$7+CBD_Stochastic!$B$9*(4+$A48))-CBD_Stochastic!$B$19*CBD_Stochastic!$B$13*CBD_Stochastic!$B$18*SQRT((4+$A48)))*((65+$A48)-CBD_Stochastic!$B$14)))))/(1/(1+EXP(-((CBD_Stochastic!$B$6+CBD_Stochastic!$B$8*(4+$A48))+(CBD_Stochastic!$B$7+CBD_Stochastic!$B$9*(4+$A48))*((65+$A48)-CBD_Stochastic!$B$14)))))</f>
        <v>0.57597528626152</v>
      </c>
      <c r="U48" s="11" t="n">
        <f aca="false">(1/(1+EXP(-(((CBD_Stochastic!$B$6+CBD_Stochastic!$B$8*(4+$A48))-CBD_Stochastic!$B$19*CBD_Stochastic!$B$17*SQRT((4+$A48)))+((CBD_Stochastic!$B$7+CBD_Stochastic!$B$9*(4+$A48))-CBD_Stochastic!$B$19*CBD_Stochastic!$B$13*CBD_Stochastic!$B$18*SQRT((4+$A48)))*((68+$A48)-CBD_Stochastic!$B$14)))))/(1/(1+EXP(-((CBD_Stochastic!$B$6+CBD_Stochastic!$B$8*(4+$A48))+(CBD_Stochastic!$B$7+CBD_Stochastic!$B$9*(4+$A48))*((68+$A48)-CBD_Stochastic!$B$14)))))</f>
        <v>0.603807389900028</v>
      </c>
      <c r="V48" s="11" t="n">
        <f aca="false">(1/(1+EXP(-(((CBD_Stochastic!$B$6+CBD_Stochastic!$B$8*(4+$A48))-CBD_Stochastic!$B$19*CBD_Stochastic!$B$17*SQRT((4+$A48)))+((CBD_Stochastic!$B$7+CBD_Stochastic!$B$9*(4+$A48))-CBD_Stochastic!$B$19*CBD_Stochastic!$B$13*CBD_Stochastic!$B$18*SQRT((4+$A48)))*((70+$A48)-CBD_Stochastic!$B$14)))))/(1/(1+EXP(-((CBD_Stochastic!$B$6+CBD_Stochastic!$B$8*(4+$A48))+(CBD_Stochastic!$B$7+CBD_Stochastic!$B$9*(4+$A48))*((70+$A48)-CBD_Stochastic!$B$14)))))</f>
        <v>0.62788806532124</v>
      </c>
      <c r="W48" s="11" t="n">
        <f aca="false">(1/(1+EXP(-(((CBD_Stochastic!$B$6+CBD_Stochastic!$B$8*(4+$A48))-CBD_Stochastic!$B$19*CBD_Stochastic!$B$17*SQRT((4+$A48)))+((CBD_Stochastic!$B$7+CBD_Stochastic!$B$9*(4+$A48))-CBD_Stochastic!$B$19*CBD_Stochastic!$B$13*CBD_Stochastic!$B$18*SQRT((4+$A48)))*((72+$A48)-CBD_Stochastic!$B$14)))))/(1/(1+EXP(-((CBD_Stochastic!$B$6+CBD_Stochastic!$B$8*(4+$A48))+(CBD_Stochastic!$B$7+CBD_Stochastic!$B$9*(4+$A48))*((72+$A48)-CBD_Stochastic!$B$14)))))</f>
        <v>0.655757104999971</v>
      </c>
      <c r="X48" s="11" t="n">
        <f aca="false">(1/(1+EXP(-(((CBD_Stochastic!$B$6+CBD_Stochastic!$B$8*(4+$A48))-CBD_Stochastic!$B$19*CBD_Stochastic!$B$17*SQRT((4+$A48)))+((CBD_Stochastic!$B$7+CBD_Stochastic!$B$9*(4+$A48))-CBD_Stochastic!$B$19*CBD_Stochastic!$B$13*CBD_Stochastic!$B$18*SQRT((4+$A48)))*((75+$A48)-CBD_Stochastic!$B$14)))))/(1/(1+EXP(-((CBD_Stochastic!$B$6+CBD_Stochastic!$B$8*(4+$A48))+(CBD_Stochastic!$B$7+CBD_Stochastic!$B$9*(4+$A48))*((75+$A48)-CBD_Stochastic!$B$14)))))</f>
        <v>0.702666190561808</v>
      </c>
    </row>
    <row r="49" customFormat="false" ht="15" hidden="false" customHeight="true" outlineLevel="0" collapsed="false">
      <c r="A49" s="1" t="n">
        <v>41</v>
      </c>
      <c r="B49" s="32" t="n">
        <f aca="false">IF((60+$A48)&gt;=120,0,B48*(1-MIN(1,IFERROR(INDEX(Cohort_Survival!$B$5:$AA$65,(60+$A48)-59,60-59),1)*(1-Assumptions!$B$21))))</f>
        <v>0.147331416561087</v>
      </c>
      <c r="C49" s="32" t="n">
        <f aca="false">IF((63+$A48)&gt;=120,0,C48*(1-MIN(1,IFERROR(INDEX(Cohort_Survival!$B$5:$AA$65,(63+$A48)-59,63-59),1)*(1-Assumptions!$B$21))))</f>
        <v>0.0755027791752872</v>
      </c>
      <c r="D49" s="32" t="n">
        <f aca="false">IF((65+$A48)&gt;=120,0,D48*(1-MIN(1,IFERROR(INDEX(Cohort_Survival!$B$5:$AA$65,(65+$A48)-59,65-59),1)*(1-Assumptions!$B$21))))</f>
        <v>0.0528711567537271</v>
      </c>
      <c r="E49" s="32" t="n">
        <f aca="false">IF((68+$A48)&gt;=120,0,E48*(1-MIN(1,IFERROR(INDEX(Cohort_Survival!$B$5:$AA$65,(68+$A48)-59,68-59),1)*(1-Assumptions!$B$21))))</f>
        <v>0.0178268568472353</v>
      </c>
      <c r="F49" s="32" t="n">
        <f aca="false">IF((70+$A48)&gt;=120,0,F48*(1-MIN(1,IFERROR(INDEX(Cohort_Survival!$B$5:$AA$65,(70+$A48)-59,70-59),1)*(1-Assumptions!$B$21))))</f>
        <v>0.00738647917417758</v>
      </c>
      <c r="G49" s="32" t="n">
        <f aca="false">IF((72+$A48)&gt;=120,0,G48*(1-MIN(1,IFERROR(INDEX(Cohort_Survival!$B$5:$AA$65,(72+$A48)-59,72-59),1)*(1-Assumptions!$B$21))))</f>
        <v>0.00277453529365012</v>
      </c>
      <c r="H49" s="32" t="n">
        <f aca="false">IF((75+$A48)&gt;=120,0,H48*(1-MIN(1,IFERROR(INDEX(Cohort_Survival!$B$5:$AA$65,(75+$A48)-59,75-59),1)*(1-Assumptions!$B$21))))</f>
        <v>0.00054189990924387</v>
      </c>
      <c r="J49" s="32" t="n">
        <f aca="false">IF((60+$A48)&gt;=120,0,J48*(1-MIN(1,IFERROR(INDEX(Cohort_Survival!$B$5:$AA$65,(60+$A48)-59,60-59),1)*R48)))</f>
        <v>0.237170528256831</v>
      </c>
      <c r="K49" s="32" t="n">
        <f aca="false">IF((63+$A48)&gt;=120,0,K48*(1-MIN(1,IFERROR(INDEX(Cohort_Survival!$B$5:$AA$65,(63+$A48)-59,63-59),1)*S48)))</f>
        <v>0.144690923898823</v>
      </c>
      <c r="L49" s="32" t="n">
        <f aca="false">IF((65+$A48)&gt;=120,0,L48*(1-MIN(1,IFERROR(INDEX(Cohort_Survival!$B$5:$AA$65,(65+$A48)-59,65-59),1)*T48)))</f>
        <v>0.108992325947757</v>
      </c>
      <c r="M49" s="32" t="n">
        <f aca="false">IF((68+$A48)&gt;=120,0,M48*(1-MIN(1,IFERROR(INDEX(Cohort_Survival!$B$5:$AA$65,(68+$A48)-59,68-59),1)*U48)))</f>
        <v>0.047240175483987</v>
      </c>
      <c r="N49" s="32" t="n">
        <f aca="false">IF((70+$A48)&gt;=120,0,N48*(1-MIN(1,IFERROR(INDEX(Cohort_Survival!$B$5:$AA$65,(70+$A48)-59,70-59),1)*V48)))</f>
        <v>0.0232896758809227</v>
      </c>
      <c r="O49" s="32" t="n">
        <f aca="false">IF((72+$A48)&gt;=120,0,O48*(1-MIN(1,IFERROR(INDEX(Cohort_Survival!$B$5:$AA$65,(72+$A48)-59,72-59),1)*W48)))</f>
        <v>0.0102153496780409</v>
      </c>
      <c r="P49" s="32" t="n">
        <f aca="false">IF((75+$A48)&gt;=120,0,P48*(1-MIN(1,IFERROR(INDEX(Cohort_Survival!$B$5:$AA$65,(75+$A48)-59,75-59),1)*X48)))</f>
        <v>0.00234280481967351</v>
      </c>
      <c r="R49" s="11" t="n">
        <f aca="false">(1/(1+EXP(-(((CBD_Stochastic!$B$6+CBD_Stochastic!$B$8*(4+$A49))-CBD_Stochastic!$B$19*CBD_Stochastic!$B$17*SQRT((4+$A49)))+((CBD_Stochastic!$B$7+CBD_Stochastic!$B$9*(4+$A49))-CBD_Stochastic!$B$19*CBD_Stochastic!$B$13*CBD_Stochastic!$B$18*SQRT((4+$A49)))*((60+$A49)-CBD_Stochastic!$B$14)))))/(1/(1+EXP(-((CBD_Stochastic!$B$6+CBD_Stochastic!$B$8*(4+$A49))+(CBD_Stochastic!$B$7+CBD_Stochastic!$B$9*(4+$A49))*((60+$A49)-CBD_Stochastic!$B$14)))))</f>
        <v>0.550511475114385</v>
      </c>
      <c r="S49" s="11" t="n">
        <f aca="false">(1/(1+EXP(-(((CBD_Stochastic!$B$6+CBD_Stochastic!$B$8*(4+$A49))-CBD_Stochastic!$B$19*CBD_Stochastic!$B$17*SQRT((4+$A49)))+((CBD_Stochastic!$B$7+CBD_Stochastic!$B$9*(4+$A49))-CBD_Stochastic!$B$19*CBD_Stochastic!$B$13*CBD_Stochastic!$B$18*SQRT((4+$A49)))*((63+$A49)-CBD_Stochastic!$B$14)))))/(1/(1+EXP(-((CBD_Stochastic!$B$6+CBD_Stochastic!$B$8*(4+$A49))+(CBD_Stochastic!$B$7+CBD_Stochastic!$B$9*(4+$A49))*((63+$A49)-CBD_Stochastic!$B$14)))))</f>
        <v>0.564473807606874</v>
      </c>
      <c r="T49" s="11" t="n">
        <f aca="false">(1/(1+EXP(-(((CBD_Stochastic!$B$6+CBD_Stochastic!$B$8*(4+$A49))-CBD_Stochastic!$B$19*CBD_Stochastic!$B$17*SQRT((4+$A49)))+((CBD_Stochastic!$B$7+CBD_Stochastic!$B$9*(4+$A49))-CBD_Stochastic!$B$19*CBD_Stochastic!$B$13*CBD_Stochastic!$B$18*SQRT((4+$A49)))*((65+$A49)-CBD_Stochastic!$B$14)))))/(1/(1+EXP(-((CBD_Stochastic!$B$6+CBD_Stochastic!$B$8*(4+$A49))+(CBD_Stochastic!$B$7+CBD_Stochastic!$B$9*(4+$A49))*((65+$A49)-CBD_Stochastic!$B$14)))))</f>
        <v>0.579565628814973</v>
      </c>
      <c r="U49" s="11" t="n">
        <f aca="false">(1/(1+EXP(-(((CBD_Stochastic!$B$6+CBD_Stochastic!$B$8*(4+$A49))-CBD_Stochastic!$B$19*CBD_Stochastic!$B$17*SQRT((4+$A49)))+((CBD_Stochastic!$B$7+CBD_Stochastic!$B$9*(4+$A49))-CBD_Stochastic!$B$19*CBD_Stochastic!$B$13*CBD_Stochastic!$B$18*SQRT((4+$A49)))*((68+$A49)-CBD_Stochastic!$B$14)))))/(1/(1+EXP(-((CBD_Stochastic!$B$6+CBD_Stochastic!$B$8*(4+$A49))+(CBD_Stochastic!$B$7+CBD_Stochastic!$B$9*(4+$A49))*((68+$A49)-CBD_Stochastic!$B$14)))))</f>
        <v>0.610938950860633</v>
      </c>
      <c r="V49" s="11" t="n">
        <f aca="false">(1/(1+EXP(-(((CBD_Stochastic!$B$6+CBD_Stochastic!$B$8*(4+$A49))-CBD_Stochastic!$B$19*CBD_Stochastic!$B$17*SQRT((4+$A49)))+((CBD_Stochastic!$B$7+CBD_Stochastic!$B$9*(4+$A49))-CBD_Stochastic!$B$19*CBD_Stochastic!$B$13*CBD_Stochastic!$B$18*SQRT((4+$A49)))*((70+$A49)-CBD_Stochastic!$B$14)))))/(1/(1+EXP(-((CBD_Stochastic!$B$6+CBD_Stochastic!$B$8*(4+$A49))+(CBD_Stochastic!$B$7+CBD_Stochastic!$B$9*(4+$A49))*((70+$A49)-CBD_Stochastic!$B$14)))))</f>
        <v>0.637189597398085</v>
      </c>
      <c r="W49" s="11" t="n">
        <f aca="false">(1/(1+EXP(-(((CBD_Stochastic!$B$6+CBD_Stochastic!$B$8*(4+$A49))-CBD_Stochastic!$B$19*CBD_Stochastic!$B$17*SQRT((4+$A49)))+((CBD_Stochastic!$B$7+CBD_Stochastic!$B$9*(4+$A49))-CBD_Stochastic!$B$19*CBD_Stochastic!$B$13*CBD_Stochastic!$B$18*SQRT((4+$A49)))*((72+$A49)-CBD_Stochastic!$B$14)))))/(1/(1+EXP(-((CBD_Stochastic!$B$6+CBD_Stochastic!$B$8*(4+$A49))+(CBD_Stochastic!$B$7+CBD_Stochastic!$B$9*(4+$A49))*((72+$A49)-CBD_Stochastic!$B$14)))))</f>
        <v>0.666895863785278</v>
      </c>
      <c r="X49" s="11" t="n">
        <f aca="false">(1/(1+EXP(-(((CBD_Stochastic!$B$6+CBD_Stochastic!$B$8*(4+$A49))-CBD_Stochastic!$B$19*CBD_Stochastic!$B$17*SQRT((4+$A49)))+((CBD_Stochastic!$B$7+CBD_Stochastic!$B$9*(4+$A49))-CBD_Stochastic!$B$19*CBD_Stochastic!$B$13*CBD_Stochastic!$B$18*SQRT((4+$A49)))*((75+$A49)-CBD_Stochastic!$B$14)))))/(1/(1+EXP(-((CBD_Stochastic!$B$6+CBD_Stochastic!$B$8*(4+$A49))+(CBD_Stochastic!$B$7+CBD_Stochastic!$B$9*(4+$A49))*((75+$A49)-CBD_Stochastic!$B$14)))))</f>
        <v>0.71565774437517</v>
      </c>
    </row>
    <row r="50" customFormat="false" ht="15" hidden="false" customHeight="true" outlineLevel="0" collapsed="false">
      <c r="A50" s="1" t="n">
        <v>42</v>
      </c>
      <c r="B50" s="32" t="n">
        <f aca="false">IF((60+$A49)&gt;=120,0,B49*(1-MIN(1,IFERROR(INDEX(Cohort_Survival!$B$5:$AA$65,(60+$A49)-59,60-59),1)*(1-Assumptions!$B$21))))</f>
        <v>0.122079416888</v>
      </c>
      <c r="C50" s="32" t="n">
        <f aca="false">IF((63+$A49)&gt;=120,0,C49*(1-MIN(1,IFERROR(INDEX(Cohort_Survival!$B$5:$AA$65,(63+$A49)-59,63-59),1)*(1-Assumptions!$B$21))))</f>
        <v>0.0612390903654612</v>
      </c>
      <c r="D50" s="32" t="n">
        <f aca="false">IF((65+$A49)&gt;=120,0,D49*(1-MIN(1,IFERROR(INDEX(Cohort_Survival!$B$5:$AA$65,(65+$A49)-59,65-59),1)*(1-Assumptions!$B$21))))</f>
        <v>0.0387418343727082</v>
      </c>
      <c r="E50" s="32" t="n">
        <f aca="false">IF((68+$A49)&gt;=120,0,E49*(1-MIN(1,IFERROR(INDEX(Cohort_Survival!$B$5:$AA$65,(68+$A49)-59,68-59),1)*(1-Assumptions!$B$21))))</f>
        <v>0.0119489501911744</v>
      </c>
      <c r="F50" s="32" t="n">
        <f aca="false">IF((70+$A49)&gt;=120,0,F49*(1-MIN(1,IFERROR(INDEX(Cohort_Survival!$B$5:$AA$65,(70+$A49)-59,70-59),1)*(1-Assumptions!$B$21))))</f>
        <v>0.0046786659984095</v>
      </c>
      <c r="G50" s="32" t="n">
        <f aca="false">IF((72+$A49)&gt;=120,0,G49*(1-MIN(1,IFERROR(INDEX(Cohort_Survival!$B$5:$AA$65,(72+$A49)-59,72-59),1)*(1-Assumptions!$B$21))))</f>
        <v>0.00167967477789036</v>
      </c>
      <c r="H50" s="32" t="n">
        <f aca="false">IF((75+$A49)&gt;=120,0,H49*(1-MIN(1,IFERROR(INDEX(Cohort_Survival!$B$5:$AA$65,(75+$A49)-59,75-59),1)*(1-Assumptions!$B$21))))</f>
        <v>0.000305912354907823</v>
      </c>
      <c r="J50" s="32" t="n">
        <f aca="false">IF((60+$A49)&gt;=120,0,J49*(1-MIN(1,IFERROR(INDEX(Cohort_Survival!$B$5:$AA$65,(60+$A49)-59,60-59),1)*R49)))</f>
        <v>0.209197626474258</v>
      </c>
      <c r="K50" s="32" t="n">
        <f aca="false">IF((63+$A49)&gt;=120,0,K49*(1-MIN(1,IFERROR(INDEX(Cohort_Survival!$B$5:$AA$65,(63+$A49)-59,63-59),1)*S49)))</f>
        <v>0.12540395344961</v>
      </c>
      <c r="L50" s="32" t="n">
        <f aca="false">IF((65+$A49)&gt;=120,0,L49*(1-MIN(1,IFERROR(INDEX(Cohort_Survival!$B$5:$AA$65,(65+$A49)-59,65-59),1)*T49)))</f>
        <v>0.0878909353094034</v>
      </c>
      <c r="M50" s="32" t="n">
        <f aca="false">IF((68+$A49)&gt;=120,0,M49*(1-MIN(1,IFERROR(INDEX(Cohort_Survival!$B$5:$AA$65,(68+$A49)-59,68-59),1)*U49)))</f>
        <v>0.0353450990241631</v>
      </c>
      <c r="N50" s="32" t="n">
        <f aca="false">IF((70+$A49)&gt;=120,0,N49*(1-MIN(1,IFERROR(INDEX(Cohort_Survival!$B$5:$AA$65,(70+$A49)-59,70-59),1)*V49)))</f>
        <v>0.0164894497615757</v>
      </c>
      <c r="O50" s="32" t="n">
        <f aca="false">IF((72+$A49)&gt;=120,0,O49*(1-MIN(1,IFERROR(INDEX(Cohort_Survival!$B$5:$AA$65,(72+$A49)-59,72-59),1)*W49)))</f>
        <v>0.00685495866490043</v>
      </c>
      <c r="P50" s="32" t="n">
        <f aca="false">IF((75+$A49)&gt;=120,0,P49*(1-MIN(1,IFERROR(INDEX(Cohort_Survival!$B$5:$AA$65,(75+$A49)-59,75-59),1)*X49)))</f>
        <v>0.00143011854753206</v>
      </c>
      <c r="R50" s="11" t="n">
        <f aca="false">(1/(1+EXP(-(((CBD_Stochastic!$B$6+CBD_Stochastic!$B$8*(4+$A50))-CBD_Stochastic!$B$19*CBD_Stochastic!$B$17*SQRT((4+$A50)))+((CBD_Stochastic!$B$7+CBD_Stochastic!$B$9*(4+$A50))-CBD_Stochastic!$B$19*CBD_Stochastic!$B$13*CBD_Stochastic!$B$18*SQRT((4+$A50)))*((60+$A50)-CBD_Stochastic!$B$14)))))/(1/(1+EXP(-((CBD_Stochastic!$B$6+CBD_Stochastic!$B$8*(4+$A50))+(CBD_Stochastic!$B$7+CBD_Stochastic!$B$9*(4+$A50))*((60+$A50)-CBD_Stochastic!$B$14)))))</f>
        <v>0.54959493139489</v>
      </c>
      <c r="S50" s="11" t="n">
        <f aca="false">(1/(1+EXP(-(((CBD_Stochastic!$B$6+CBD_Stochastic!$B$8*(4+$A50))-CBD_Stochastic!$B$19*CBD_Stochastic!$B$17*SQRT((4+$A50)))+((CBD_Stochastic!$B$7+CBD_Stochastic!$B$9*(4+$A50))-CBD_Stochastic!$B$19*CBD_Stochastic!$B$13*CBD_Stochastic!$B$18*SQRT((4+$A50)))*((63+$A50)-CBD_Stochastic!$B$14)))))/(1/(1+EXP(-((CBD_Stochastic!$B$6+CBD_Stochastic!$B$8*(4+$A50))+(CBD_Stochastic!$B$7+CBD_Stochastic!$B$9*(4+$A50))*((63+$A50)-CBD_Stochastic!$B$14)))))</f>
        <v>0.566944919960726</v>
      </c>
      <c r="T50" s="11" t="n">
        <f aca="false">(1/(1+EXP(-(((CBD_Stochastic!$B$6+CBD_Stochastic!$B$8*(4+$A50))-CBD_Stochastic!$B$19*CBD_Stochastic!$B$17*SQRT((4+$A50)))+((CBD_Stochastic!$B$7+CBD_Stochastic!$B$9*(4+$A50))-CBD_Stochastic!$B$19*CBD_Stochastic!$B$13*CBD_Stochastic!$B$18*SQRT((4+$A50)))*((65+$A50)-CBD_Stochastic!$B$14)))))/(1/(1+EXP(-((CBD_Stochastic!$B$6+CBD_Stochastic!$B$8*(4+$A50))+(CBD_Stochastic!$B$7+CBD_Stochastic!$B$9*(4+$A50))*((65+$A50)-CBD_Stochastic!$B$14)))))</f>
        <v>0.584438131289309</v>
      </c>
      <c r="U50" s="11" t="n">
        <f aca="false">(1/(1+EXP(-(((CBD_Stochastic!$B$6+CBD_Stochastic!$B$8*(4+$A50))-CBD_Stochastic!$B$19*CBD_Stochastic!$B$17*SQRT((4+$A50)))+((CBD_Stochastic!$B$7+CBD_Stochastic!$B$9*(4+$A50))-CBD_Stochastic!$B$19*CBD_Stochastic!$B$13*CBD_Stochastic!$B$18*SQRT((4+$A50)))*((68+$A50)-CBD_Stochastic!$B$14)))))/(1/(1+EXP(-((CBD_Stochastic!$B$6+CBD_Stochastic!$B$8*(4+$A50))+(CBD_Stochastic!$B$7+CBD_Stochastic!$B$9*(4+$A50))*((68+$A50)-CBD_Stochastic!$B$14)))))</f>
        <v>0.61932180927313</v>
      </c>
      <c r="V50" s="11" t="n">
        <f aca="false">(1/(1+EXP(-(((CBD_Stochastic!$B$6+CBD_Stochastic!$B$8*(4+$A50))-CBD_Stochastic!$B$19*CBD_Stochastic!$B$17*SQRT((4+$A50)))+((CBD_Stochastic!$B$7+CBD_Stochastic!$B$9*(4+$A50))-CBD_Stochastic!$B$19*CBD_Stochastic!$B$13*CBD_Stochastic!$B$18*SQRT((4+$A50)))*((70+$A50)-CBD_Stochastic!$B$14)))))/(1/(1+EXP(-((CBD_Stochastic!$B$6+CBD_Stochastic!$B$8*(4+$A50))+(CBD_Stochastic!$B$7+CBD_Stochastic!$B$9*(4+$A50))*((70+$A50)-CBD_Stochastic!$B$14)))))</f>
        <v>0.647627378603684</v>
      </c>
      <c r="W50" s="11" t="n">
        <f aca="false">(1/(1+EXP(-(((CBD_Stochastic!$B$6+CBD_Stochastic!$B$8*(4+$A50))-CBD_Stochastic!$B$19*CBD_Stochastic!$B$17*SQRT((4+$A50)))+((CBD_Stochastic!$B$7+CBD_Stochastic!$B$9*(4+$A50))-CBD_Stochastic!$B$19*CBD_Stochastic!$B$13*CBD_Stochastic!$B$18*SQRT((4+$A50)))*((72+$A50)-CBD_Stochastic!$B$14)))))/(1/(1+EXP(-((CBD_Stochastic!$B$6+CBD_Stochastic!$B$8*(4+$A50))+(CBD_Stochastic!$B$7+CBD_Stochastic!$B$9*(4+$A50))*((72+$A50)-CBD_Stochastic!$B$14)))))</f>
        <v>0.678982509382749</v>
      </c>
      <c r="X50" s="11" t="n">
        <f aca="false">(1/(1+EXP(-(((CBD_Stochastic!$B$6+CBD_Stochastic!$B$8*(4+$A50))-CBD_Stochastic!$B$19*CBD_Stochastic!$B$17*SQRT((4+$A50)))+((CBD_Stochastic!$B$7+CBD_Stochastic!$B$9*(4+$A50))-CBD_Stochastic!$B$19*CBD_Stochastic!$B$13*CBD_Stochastic!$B$18*SQRT((4+$A50)))*((75+$A50)-CBD_Stochastic!$B$14)))))/(1/(1+EXP(-((CBD_Stochastic!$B$6+CBD_Stochastic!$B$8*(4+$A50))+(CBD_Stochastic!$B$7+CBD_Stochastic!$B$9*(4+$A50))*((75+$A50)-CBD_Stochastic!$B$14)))))</f>
        <v>0.729217636734115</v>
      </c>
    </row>
    <row r="51" customFormat="false" ht="15" hidden="false" customHeight="true" outlineLevel="0" collapsed="false">
      <c r="A51" s="1" t="n">
        <v>43</v>
      </c>
      <c r="B51" s="32" t="n">
        <f aca="false">IF((60+$A50)&gt;=120,0,B50*(1-MIN(1,IFERROR(INDEX(Cohort_Survival!$B$5:$AA$65,(60+$A50)-59,60-59),1)*(1-Assumptions!$B$21))))</f>
        <v>0.0998805422848445</v>
      </c>
      <c r="C51" s="32" t="n">
        <f aca="false">IF((63+$A50)&gt;=120,0,C50*(1-MIN(1,IFERROR(INDEX(Cohort_Survival!$B$5:$AA$65,(63+$A50)-59,63-59),1)*(1-Assumptions!$B$21))))</f>
        <v>0.0552968881038612</v>
      </c>
      <c r="D51" s="32" t="n">
        <f aca="false">IF((65+$A50)&gt;=120,0,D50*(1-MIN(1,IFERROR(INDEX(Cohort_Survival!$B$5:$AA$65,(65+$A50)-59,65-59),1)*(1-Assumptions!$B$21))))</f>
        <v>0.0276390929217985</v>
      </c>
      <c r="E51" s="32" t="n">
        <f aca="false">IF((68+$A50)&gt;=120,0,E50*(1-MIN(1,IFERROR(INDEX(Cohort_Survival!$B$5:$AA$65,(68+$A50)-59,68-59),1)*(1-Assumptions!$B$21))))</f>
        <v>0.00773727119892235</v>
      </c>
      <c r="F51" s="32" t="n">
        <f aca="false">IF((70+$A50)&gt;=120,0,F50*(1-MIN(1,IFERROR(INDEX(Cohort_Survival!$B$5:$AA$65,(70+$A50)-59,70-59),1)*(1-Assumptions!$B$21))))</f>
        <v>0.00289772775538363</v>
      </c>
      <c r="G51" s="32" t="n">
        <f aca="false">IF((72+$A50)&gt;=120,0,G50*(1-MIN(1,IFERROR(INDEX(Cohort_Survival!$B$5:$AA$65,(72+$A50)-59,72-59),1)*(1-Assumptions!$B$21))))</f>
        <v>0.00099364905789435</v>
      </c>
      <c r="H51" s="32" t="n">
        <f aca="false">IF((75+$A50)&gt;=120,0,H50*(1-MIN(1,IFERROR(INDEX(Cohort_Survival!$B$5:$AA$65,(75+$A50)-59,75-59),1)*(1-Assumptions!$B$21))))</f>
        <v>0.00016866514220883</v>
      </c>
      <c r="J51" s="32" t="n">
        <f aca="false">IF((60+$A50)&gt;=120,0,J50*(1-MIN(1,IFERROR(INDEX(Cohort_Survival!$B$5:$AA$65,(60+$A50)-59,60-59),1)*R50)))</f>
        <v>0.18306410128107</v>
      </c>
      <c r="K51" s="32" t="n">
        <f aca="false">IF((63+$A50)&gt;=120,0,K50*(1-MIN(1,IFERROR(INDEX(Cohort_Survival!$B$5:$AA$65,(63+$A50)-59,63-59),1)*S50)))</f>
        <v>0.11678050823647</v>
      </c>
      <c r="L51" s="32" t="n">
        <f aca="false">IF((65+$A50)&gt;=120,0,L50*(1-MIN(1,IFERROR(INDEX(Cohort_Survival!$B$5:$AA$65,(65+$A50)-59,65-59),1)*T50)))</f>
        <v>0.0694898817675208</v>
      </c>
      <c r="M51" s="32" t="n">
        <f aca="false">IF((68+$A50)&gt;=120,0,M50*(1-MIN(1,IFERROR(INDEX(Cohort_Survival!$B$5:$AA$65,(68+$A50)-59,68-59),1)*U50)))</f>
        <v>0.0257005682915332</v>
      </c>
      <c r="N51" s="32" t="n">
        <f aca="false">IF((70+$A50)&gt;=120,0,N50*(1-MIN(1,IFERROR(INDEX(Cohort_Survival!$B$5:$AA$65,(70+$A50)-59,70-59),1)*V50)))</f>
        <v>0.0114082274746357</v>
      </c>
      <c r="O51" s="32" t="n">
        <f aca="false">IF((72+$A50)&gt;=120,0,O50*(1-MIN(1,IFERROR(INDEX(Cohort_Survival!$B$5:$AA$65,(72+$A50)-59,72-59),1)*W50)))</f>
        <v>0.00447872777201753</v>
      </c>
      <c r="P51" s="32" t="n">
        <f aca="false">IF((75+$A50)&gt;=120,0,P50*(1-MIN(1,IFERROR(INDEX(Cohort_Survival!$B$5:$AA$65,(75+$A50)-59,75-59),1)*X50)))</f>
        <v>0.000845266880545658</v>
      </c>
      <c r="R51" s="11" t="n">
        <f aca="false">(1/(1+EXP(-(((CBD_Stochastic!$B$6+CBD_Stochastic!$B$8*(4+$A51))-CBD_Stochastic!$B$19*CBD_Stochastic!$B$17*SQRT((4+$A51)))+((CBD_Stochastic!$B$7+CBD_Stochastic!$B$9*(4+$A51))-CBD_Stochastic!$B$19*CBD_Stochastic!$B$13*CBD_Stochastic!$B$18*SQRT((4+$A51)))*((60+$A51)-CBD_Stochastic!$B$14)))))/(1/(1+EXP(-((CBD_Stochastic!$B$6+CBD_Stochastic!$B$8*(4+$A51))+(CBD_Stochastic!$B$7+CBD_Stochastic!$B$9*(4+$A51))*((60+$A51)-CBD_Stochastic!$B$14)))))</f>
        <v>0.549806472811003</v>
      </c>
      <c r="S51" s="11" t="n">
        <f aca="false">(1/(1+EXP(-(((CBD_Stochastic!$B$6+CBD_Stochastic!$B$8*(4+$A51))-CBD_Stochastic!$B$19*CBD_Stochastic!$B$17*SQRT((4+$A51)))+((CBD_Stochastic!$B$7+CBD_Stochastic!$B$9*(4+$A51))-CBD_Stochastic!$B$19*CBD_Stochastic!$B$13*CBD_Stochastic!$B$18*SQRT((4+$A51)))*((63+$A51)-CBD_Stochastic!$B$14)))))/(1/(1+EXP(-((CBD_Stochastic!$B$6+CBD_Stochastic!$B$8*(4+$A51))+(CBD_Stochastic!$B$7+CBD_Stochastic!$B$9*(4+$A51))*((63+$A51)-CBD_Stochastic!$B$14)))))</f>
        <v>0.570683696409484</v>
      </c>
      <c r="T51" s="11" t="n">
        <f aca="false">(1/(1+EXP(-(((CBD_Stochastic!$B$6+CBD_Stochastic!$B$8*(4+$A51))-CBD_Stochastic!$B$19*CBD_Stochastic!$B$17*SQRT((4+$A51)))+((CBD_Stochastic!$B$7+CBD_Stochastic!$B$9*(4+$A51))-CBD_Stochastic!$B$19*CBD_Stochastic!$B$13*CBD_Stochastic!$B$18*SQRT((4+$A51)))*((65+$A51)-CBD_Stochastic!$B$14)))))/(1/(1+EXP(-((CBD_Stochastic!$B$6+CBD_Stochastic!$B$8*(4+$A51))+(CBD_Stochastic!$B$7+CBD_Stochastic!$B$9*(4+$A51))*((65+$A51)-CBD_Stochastic!$B$14)))))</f>
        <v>0.590610612402161</v>
      </c>
      <c r="U51" s="11" t="n">
        <f aca="false">(1/(1+EXP(-(((CBD_Stochastic!$B$6+CBD_Stochastic!$B$8*(4+$A51))-CBD_Stochastic!$B$19*CBD_Stochastic!$B$17*SQRT((4+$A51)))+((CBD_Stochastic!$B$7+CBD_Stochastic!$B$9*(4+$A51))-CBD_Stochastic!$B$19*CBD_Stochastic!$B$13*CBD_Stochastic!$B$18*SQRT((4+$A51)))*((68+$A51)-CBD_Stochastic!$B$14)))))/(1/(1+EXP(-((CBD_Stochastic!$B$6+CBD_Stochastic!$B$8*(4+$A51))+(CBD_Stochastic!$B$7+CBD_Stochastic!$B$9*(4+$A51))*((68+$A51)-CBD_Stochastic!$B$14)))))</f>
        <v>0.62892068614804</v>
      </c>
      <c r="V51" s="11" t="n">
        <f aca="false">(1/(1+EXP(-(((CBD_Stochastic!$B$6+CBD_Stochastic!$B$8*(4+$A51))-CBD_Stochastic!$B$19*CBD_Stochastic!$B$17*SQRT((4+$A51)))+((CBD_Stochastic!$B$7+CBD_Stochastic!$B$9*(4+$A51))-CBD_Stochastic!$B$19*CBD_Stochastic!$B$13*CBD_Stochastic!$B$18*SQRT((4+$A51)))*((70+$A51)-CBD_Stochastic!$B$14)))))/(1/(1+EXP(-((CBD_Stochastic!$B$6+CBD_Stochastic!$B$8*(4+$A51))+(CBD_Stochastic!$B$7+CBD_Stochastic!$B$9*(4+$A51))*((70+$A51)-CBD_Stochastic!$B$14)))))</f>
        <v>0.659127719319882</v>
      </c>
      <c r="W51" s="11" t="n">
        <f aca="false">(1/(1+EXP(-(((CBD_Stochastic!$B$6+CBD_Stochastic!$B$8*(4+$A51))-CBD_Stochastic!$B$19*CBD_Stochastic!$B$17*SQRT((4+$A51)))+((CBD_Stochastic!$B$7+CBD_Stochastic!$B$9*(4+$A51))-CBD_Stochastic!$B$19*CBD_Stochastic!$B$13*CBD_Stochastic!$B$18*SQRT((4+$A51)))*((72+$A51)-CBD_Stochastic!$B$14)))))/(1/(1+EXP(-((CBD_Stochastic!$B$6+CBD_Stochastic!$B$8*(4+$A51))+(CBD_Stochastic!$B$7+CBD_Stochastic!$B$9*(4+$A51))*((72+$A51)-CBD_Stochastic!$B$14)))))</f>
        <v>0.691910025669099</v>
      </c>
      <c r="X51" s="11" t="n">
        <f aca="false">(1/(1+EXP(-(((CBD_Stochastic!$B$6+CBD_Stochastic!$B$8*(4+$A51))-CBD_Stochastic!$B$19*CBD_Stochastic!$B$17*SQRT((4+$A51)))+((CBD_Stochastic!$B$7+CBD_Stochastic!$B$9*(4+$A51))-CBD_Stochastic!$B$19*CBD_Stochastic!$B$13*CBD_Stochastic!$B$18*SQRT((4+$A51)))*((75+$A51)-CBD_Stochastic!$B$14)))))/(1/(1+EXP(-((CBD_Stochastic!$B$6+CBD_Stochastic!$B$8*(4+$A51))+(CBD_Stochastic!$B$7+CBD_Stochastic!$B$9*(4+$A51))*((75+$A51)-CBD_Stochastic!$B$14)))))</f>
        <v>0.743211151134101</v>
      </c>
    </row>
    <row r="52" customFormat="false" ht="15" hidden="false" customHeight="true" outlineLevel="0" collapsed="false">
      <c r="A52" s="1" t="n">
        <v>44</v>
      </c>
      <c r="B52" s="32" t="n">
        <f aca="false">IF((60+$A51)&gt;=120,0,B51*(1-MIN(1,IFERROR(INDEX(Cohort_Survival!$B$5:$AA$65,(60+$A51)-59,60-59),1)*(1-Assumptions!$B$21))))</f>
        <v>0.0805242490292915</v>
      </c>
      <c r="C52" s="32" t="n">
        <f aca="false">IF((63+$A51)&gt;=120,0,C51*(1-MIN(1,IFERROR(INDEX(Cohort_Survival!$B$5:$AA$65,(63+$A51)-59,63-59),1)*(1-Assumptions!$B$21))))</f>
        <v>0.0405901589441741</v>
      </c>
      <c r="D52" s="32" t="n">
        <f aca="false">IF((65+$A51)&gt;=120,0,D51*(1-MIN(1,IFERROR(INDEX(Cohort_Survival!$B$5:$AA$65,(65+$A51)-59,65-59),1)*(1-Assumptions!$B$21))))</f>
        <v>0.0191486513383557</v>
      </c>
      <c r="E52" s="32" t="n">
        <f aca="false">IF((68+$A51)&gt;=120,0,E51*(1-MIN(1,IFERROR(INDEX(Cohort_Survival!$B$5:$AA$65,(68+$A51)-59,68-59),1)*(1-Assumptions!$B$21))))</f>
        <v>0.00490086099550963</v>
      </c>
      <c r="F52" s="32" t="n">
        <f aca="false">IF((70+$A51)&gt;=120,0,F51*(1-MIN(1,IFERROR(INDEX(Cohort_Survival!$B$5:$AA$65,(70+$A51)-59,70-59),1)*(1-Assumptions!$B$21))))</f>
        <v>0.0017542542115251</v>
      </c>
      <c r="G52" s="32" t="n">
        <f aca="false">IF((72+$A51)&gt;=120,0,G51*(1-MIN(1,IFERROR(INDEX(Cohort_Survival!$B$5:$AA$65,(72+$A51)-59,72-59),1)*(1-Assumptions!$B$21))))</f>
        <v>0.000574265918113087</v>
      </c>
      <c r="H52" s="32" t="n">
        <f aca="false">IF((75+$A51)&gt;=120,0,H51*(1-MIN(1,IFERROR(INDEX(Cohort_Survival!$B$5:$AA$65,(75+$A51)-59,75-59),1)*(1-Assumptions!$B$21))))</f>
        <v>9.08203775107137E-005</v>
      </c>
      <c r="J52" s="32" t="n">
        <f aca="false">IF((60+$A51)&gt;=120,0,J51*(1-MIN(1,IFERROR(INDEX(Cohort_Survival!$B$5:$AA$65,(60+$A51)-59,60-59),1)*R51)))</f>
        <v>0.158682380641232</v>
      </c>
      <c r="K52" s="32" t="n">
        <f aca="false">IF((63+$A51)&gt;=120,0,K51*(1-MIN(1,IFERROR(INDEX(Cohort_Survival!$B$5:$AA$65,(63+$A51)-59,63-59),1)*S51)))</f>
        <v>0.0946245140509211</v>
      </c>
      <c r="L52" s="32" t="n">
        <f aca="false">IF((65+$A51)&gt;=120,0,L51*(1-MIN(1,IFERROR(INDEX(Cohort_Survival!$B$5:$AA$65,(65+$A51)-59,65-59),1)*T51)))</f>
        <v>0.0537304946276926</v>
      </c>
      <c r="M52" s="32" t="n">
        <f aca="false">IF((68+$A51)&gt;=120,0,M51*(1-MIN(1,IFERROR(INDEX(Cohort_Survival!$B$5:$AA$65,(68+$A51)-59,68-59),1)*U51)))</f>
        <v>0.018293781582976</v>
      </c>
      <c r="N52" s="32" t="n">
        <f aca="false">IF((70+$A51)&gt;=120,0,N51*(1-MIN(1,IFERROR(INDEX(Cohort_Survival!$B$5:$AA$65,(70+$A51)-59,70-59),1)*V51)))</f>
        <v>0.00769914661172002</v>
      </c>
      <c r="O52" s="32" t="n">
        <f aca="false">IF((72+$A51)&gt;=120,0,O51*(1-MIN(1,IFERROR(INDEX(Cohort_Survival!$B$5:$AA$65,(72+$A51)-59,72-59),1)*W51)))</f>
        <v>0.00284382381877731</v>
      </c>
      <c r="P52" s="32" t="n">
        <f aca="false">IF((75+$A51)&gt;=120,0,P51*(1-MIN(1,IFERROR(INDEX(Cohort_Survival!$B$5:$AA$65,(75+$A51)-59,75-59),1)*X51)))</f>
        <v>0.000482840204251871</v>
      </c>
      <c r="R52" s="11" t="n">
        <f aca="false">(1/(1+EXP(-(((CBD_Stochastic!$B$6+CBD_Stochastic!$B$8*(4+$A52))-CBD_Stochastic!$B$19*CBD_Stochastic!$B$17*SQRT((4+$A52)))+((CBD_Stochastic!$B$7+CBD_Stochastic!$B$9*(4+$A52))-CBD_Stochastic!$B$19*CBD_Stochastic!$B$13*CBD_Stochastic!$B$18*SQRT((4+$A52)))*((60+$A52)-CBD_Stochastic!$B$14)))))/(1/(1+EXP(-((CBD_Stochastic!$B$6+CBD_Stochastic!$B$8*(4+$A52))+(CBD_Stochastic!$B$7+CBD_Stochastic!$B$9*(4+$A52))*((60+$A52)-CBD_Stochastic!$B$14)))))</f>
        <v>0.551207105042299</v>
      </c>
      <c r="S52" s="11" t="n">
        <f aca="false">(1/(1+EXP(-(((CBD_Stochastic!$B$6+CBD_Stochastic!$B$8*(4+$A52))-CBD_Stochastic!$B$19*CBD_Stochastic!$B$17*SQRT((4+$A52)))+((CBD_Stochastic!$B$7+CBD_Stochastic!$B$9*(4+$A52))-CBD_Stochastic!$B$19*CBD_Stochastic!$B$13*CBD_Stochastic!$B$18*SQRT((4+$A52)))*((63+$A52)-CBD_Stochastic!$B$14)))))/(1/(1+EXP(-((CBD_Stochastic!$B$6+CBD_Stochastic!$B$8*(4+$A52))+(CBD_Stochastic!$B$7+CBD_Stochastic!$B$9*(4+$A52))*((63+$A52)-CBD_Stochastic!$B$14)))))</f>
        <v>0.575723282933602</v>
      </c>
      <c r="T52" s="11" t="n">
        <f aca="false">(1/(1+EXP(-(((CBD_Stochastic!$B$6+CBD_Stochastic!$B$8*(4+$A52))-CBD_Stochastic!$B$19*CBD_Stochastic!$B$17*SQRT((4+$A52)))+((CBD_Stochastic!$B$7+CBD_Stochastic!$B$9*(4+$A52))-CBD_Stochastic!$B$19*CBD_Stochastic!$B$13*CBD_Stochastic!$B$18*SQRT((4+$A52)))*((65+$A52)-CBD_Stochastic!$B$14)))))/(1/(1+EXP(-((CBD_Stochastic!$B$6+CBD_Stochastic!$B$8*(4+$A52))+(CBD_Stochastic!$B$7+CBD_Stochastic!$B$9*(4+$A52))*((65+$A52)-CBD_Stochastic!$B$14)))))</f>
        <v>0.598085734020652</v>
      </c>
      <c r="U52" s="11" t="n">
        <f aca="false">(1/(1+EXP(-(((CBD_Stochastic!$B$6+CBD_Stochastic!$B$8*(4+$A52))-CBD_Stochastic!$B$19*CBD_Stochastic!$B$17*SQRT((4+$A52)))+((CBD_Stochastic!$B$7+CBD_Stochastic!$B$9*(4+$A52))-CBD_Stochastic!$B$19*CBD_Stochastic!$B$13*CBD_Stochastic!$B$18*SQRT((4+$A52)))*((68+$A52)-CBD_Stochastic!$B$14)))))/(1/(1+EXP(-((CBD_Stochastic!$B$6+CBD_Stochastic!$B$8*(4+$A52))+(CBD_Stochastic!$B$7+CBD_Stochastic!$B$9*(4+$A52))*((68+$A52)-CBD_Stochastic!$B$14)))))</f>
        <v>0.639681071631846</v>
      </c>
      <c r="V52" s="11" t="n">
        <f aca="false">(1/(1+EXP(-(((CBD_Stochastic!$B$6+CBD_Stochastic!$B$8*(4+$A52))-CBD_Stochastic!$B$19*CBD_Stochastic!$B$17*SQRT((4+$A52)))+((CBD_Stochastic!$B$7+CBD_Stochastic!$B$9*(4+$A52))-CBD_Stochastic!$B$19*CBD_Stochastic!$B$13*CBD_Stochastic!$B$18*SQRT((4+$A52)))*((70+$A52)-CBD_Stochastic!$B$14)))))/(1/(1+EXP(-((CBD_Stochastic!$B$6+CBD_Stochastic!$B$8*(4+$A52))+(CBD_Stochastic!$B$7+CBD_Stochastic!$B$9*(4+$A52))*((70+$A52)-CBD_Stochastic!$B$14)))))</f>
        <v>0.671598552221032</v>
      </c>
      <c r="W52" s="11" t="n">
        <f aca="false">(1/(1+EXP(-(((CBD_Stochastic!$B$6+CBD_Stochastic!$B$8*(4+$A52))-CBD_Stochastic!$B$19*CBD_Stochastic!$B$17*SQRT((4+$A52)))+((CBD_Stochastic!$B$7+CBD_Stochastic!$B$9*(4+$A52))-CBD_Stochastic!$B$19*CBD_Stochastic!$B$13*CBD_Stochastic!$B$18*SQRT((4+$A52)))*((72+$A52)-CBD_Stochastic!$B$14)))))/(1/(1+EXP(-((CBD_Stochastic!$B$6+CBD_Stochastic!$B$8*(4+$A52))+(CBD_Stochastic!$B$7+CBD_Stochastic!$B$9*(4+$A52))*((72+$A52)-CBD_Stochastic!$B$14)))))</f>
        <v>0.70555712891659</v>
      </c>
      <c r="X52" s="11" t="n">
        <f aca="false">(1/(1+EXP(-(((CBD_Stochastic!$B$6+CBD_Stochastic!$B$8*(4+$A52))-CBD_Stochastic!$B$19*CBD_Stochastic!$B$17*SQRT((4+$A52)))+((CBD_Stochastic!$B$7+CBD_Stochastic!$B$9*(4+$A52))-CBD_Stochastic!$B$19*CBD_Stochastic!$B$13*CBD_Stochastic!$B$18*SQRT((4+$A52)))*((75+$A52)-CBD_Stochastic!$B$14)))))/(1/(1+EXP(-((CBD_Stochastic!$B$6+CBD_Stochastic!$B$8*(4+$A52))+(CBD_Stochastic!$B$7+CBD_Stochastic!$B$9*(4+$A52))*((75+$A52)-CBD_Stochastic!$B$14)))))</f>
        <v>0.757499558692884</v>
      </c>
    </row>
    <row r="53" customFormat="false" ht="15" hidden="false" customHeight="true" outlineLevel="0" collapsed="false">
      <c r="A53" s="1" t="n">
        <v>45</v>
      </c>
      <c r="B53" s="32" t="n">
        <f aca="false">IF((60+$A52)&gt;=120,0,B52*(1-MIN(1,IFERROR(INDEX(Cohort_Survival!$B$5:$AA$65,(60+$A52)-59,60-59),1)*(1-Assumptions!$B$21))))</f>
        <v>0.0654756262028006</v>
      </c>
      <c r="C53" s="32" t="n">
        <f aca="false">IF((63+$A52)&gt;=120,0,C52*(1-MIN(1,IFERROR(INDEX(Cohort_Survival!$B$5:$AA$65,(63+$A52)-59,63-59),1)*(1-Assumptions!$B$21))))</f>
        <v>0.0289995586466031</v>
      </c>
      <c r="D53" s="32" t="n">
        <f aca="false">IF((65+$A52)&gt;=120,0,D52*(1-MIN(1,IFERROR(INDEX(Cohort_Survival!$B$5:$AA$65,(65+$A52)-59,65-59),1)*(1-Assumptions!$B$21))))</f>
        <v>0.0128462778756751</v>
      </c>
      <c r="E53" s="32" t="n">
        <f aca="false">IF((68+$A52)&gt;=120,0,E52*(1-MIN(1,IFERROR(INDEX(Cohort_Survival!$B$5:$AA$65,(68+$A52)-59,68-59),1)*(1-Assumptions!$B$21))))</f>
        <v>0.00303534403541374</v>
      </c>
      <c r="F53" s="32" t="n">
        <f aca="false">IF((70+$A52)&gt;=120,0,F52*(1-MIN(1,IFERROR(INDEX(Cohort_Survival!$B$5:$AA$65,(70+$A52)-59,70-59),1)*(1-Assumptions!$B$21))))</f>
        <v>0.00103776818437342</v>
      </c>
      <c r="G53" s="32" t="n">
        <f aca="false">IF((72+$A52)&gt;=120,0,G52*(1-MIN(1,IFERROR(INDEX(Cohort_Survival!$B$5:$AA$65,(72+$A52)-59,72-59),1)*(1-Assumptions!$B$21))))</f>
        <v>0.000324183555591295</v>
      </c>
      <c r="H53" s="32" t="n">
        <f aca="false">IF((75+$A52)&gt;=120,0,H52*(1-MIN(1,IFERROR(INDEX(Cohort_Survival!$B$5:$AA$65,(75+$A52)-59,75-59),1)*(1-Assumptions!$B$21))))</f>
        <v>4.7761376403001E-005</v>
      </c>
      <c r="J53" s="32" t="n">
        <f aca="false">IF((60+$A52)&gt;=120,0,J52*(1-MIN(1,IFERROR(INDEX(Cohort_Survival!$B$5:$AA$65,(60+$A52)-59,60-59),1)*R52)))</f>
        <v>0.138249782131613</v>
      </c>
      <c r="K53" s="32" t="n">
        <f aca="false">IF((63+$A52)&gt;=120,0,K52*(1-MIN(1,IFERROR(INDEX(Cohort_Survival!$B$5:$AA$65,(63+$A52)-59,63-59),1)*S52)))</f>
        <v>0.0751793036861162</v>
      </c>
      <c r="L53" s="32" t="n">
        <f aca="false">IF((65+$A52)&gt;=120,0,L52*(1-MIN(1,IFERROR(INDEX(Cohort_Survival!$B$5:$AA$65,(65+$A52)-59,65-59),1)*T52)))</f>
        <v>0.0405096184350193</v>
      </c>
      <c r="M53" s="32" t="n">
        <f aca="false">IF((68+$A52)&gt;=120,0,M52*(1-MIN(1,IFERROR(INDEX(Cohort_Survival!$B$5:$AA$65,(68+$A52)-59,68-59),1)*U52)))</f>
        <v>0.0127257226966085</v>
      </c>
      <c r="N53" s="32" t="n">
        <f aca="false">IF((70+$A52)&gt;=120,0,N52*(1-MIN(1,IFERROR(INDEX(Cohort_Survival!$B$5:$AA$65,(70+$A52)-59,70-59),1)*V52)))</f>
        <v>0.00505930693830226</v>
      </c>
      <c r="O53" s="32" t="n">
        <f aca="false">IF((72+$A52)&gt;=120,0,O52*(1-MIN(1,IFERROR(INDEX(Cohort_Survival!$B$5:$AA$65,(72+$A52)-59,72-59),1)*W52)))</f>
        <v>0.0017515917945531</v>
      </c>
      <c r="P53" s="32" t="n">
        <f aca="false">IF((75+$A52)&gt;=120,0,P52*(1-MIN(1,IFERROR(INDEX(Cohort_Survival!$B$5:$AA$65,(75+$A52)-59,75-59),1)*X52)))</f>
        <v>0.00026608153798965</v>
      </c>
      <c r="R53" s="11" t="n">
        <f aca="false">(1/(1+EXP(-(((CBD_Stochastic!$B$6+CBD_Stochastic!$B$8*(4+$A53))-CBD_Stochastic!$B$19*CBD_Stochastic!$B$17*SQRT((4+$A53)))+((CBD_Stochastic!$B$7+CBD_Stochastic!$B$9*(4+$A53))-CBD_Stochastic!$B$19*CBD_Stochastic!$B$13*CBD_Stochastic!$B$18*SQRT((4+$A53)))*((60+$A53)-CBD_Stochastic!$B$14)))))/(1/(1+EXP(-((CBD_Stochastic!$B$6+CBD_Stochastic!$B$8*(4+$A53))+(CBD_Stochastic!$B$7+CBD_Stochastic!$B$9*(4+$A53))*((60+$A53)-CBD_Stochastic!$B$14)))))</f>
        <v>0.553852169349157</v>
      </c>
      <c r="S53" s="11" t="n">
        <f aca="false">(1/(1+EXP(-(((CBD_Stochastic!$B$6+CBD_Stochastic!$B$8*(4+$A53))-CBD_Stochastic!$B$19*CBD_Stochastic!$B$17*SQRT((4+$A53)))+((CBD_Stochastic!$B$7+CBD_Stochastic!$B$9*(4+$A53))-CBD_Stochastic!$B$19*CBD_Stochastic!$B$13*CBD_Stochastic!$B$18*SQRT((4+$A53)))*((63+$A53)-CBD_Stochastic!$B$14)))))/(1/(1+EXP(-((CBD_Stochastic!$B$6+CBD_Stochastic!$B$8*(4+$A53))+(CBD_Stochastic!$B$7+CBD_Stochastic!$B$9*(4+$A53))*((63+$A53)-CBD_Stochastic!$B$14)))))</f>
        <v>0.582083864110327</v>
      </c>
      <c r="T53" s="11" t="n">
        <f aca="false">(1/(1+EXP(-(((CBD_Stochastic!$B$6+CBD_Stochastic!$B$8*(4+$A53))-CBD_Stochastic!$B$19*CBD_Stochastic!$B$17*SQRT((4+$A53)))+((CBD_Stochastic!$B$7+CBD_Stochastic!$B$9*(4+$A53))-CBD_Stochastic!$B$19*CBD_Stochastic!$B$13*CBD_Stochastic!$B$18*SQRT((4+$A53)))*((65+$A53)-CBD_Stochastic!$B$14)))))/(1/(1+EXP(-((CBD_Stochastic!$B$6+CBD_Stochastic!$B$8*(4+$A53))+(CBD_Stochastic!$B$7+CBD_Stochastic!$B$9*(4+$A53))*((65+$A53)-CBD_Stochastic!$B$14)))))</f>
        <v>0.606848906388015</v>
      </c>
      <c r="U53" s="11" t="n">
        <f aca="false">(1/(1+EXP(-(((CBD_Stochastic!$B$6+CBD_Stochastic!$B$8*(4+$A53))-CBD_Stochastic!$B$19*CBD_Stochastic!$B$17*SQRT((4+$A53)))+((CBD_Stochastic!$B$7+CBD_Stochastic!$B$9*(4+$A53))-CBD_Stochastic!$B$19*CBD_Stochastic!$B$13*CBD_Stochastic!$B$18*SQRT((4+$A53)))*((68+$A53)-CBD_Stochastic!$B$14)))))/(1/(1+EXP(-((CBD_Stochastic!$B$6+CBD_Stochastic!$B$8*(4+$A53))+(CBD_Stochastic!$B$7+CBD_Stochastic!$B$9*(4+$A53))*((68+$A53)-CBD_Stochastic!$B$14)))))</f>
        <v>0.651528853722748</v>
      </c>
      <c r="V53" s="11" t="n">
        <f aca="false">(1/(1+EXP(-(((CBD_Stochastic!$B$6+CBD_Stochastic!$B$8*(4+$A53))-CBD_Stochastic!$B$19*CBD_Stochastic!$B$17*SQRT((4+$A53)))+((CBD_Stochastic!$B$7+CBD_Stochastic!$B$9*(4+$A53))-CBD_Stochastic!$B$19*CBD_Stochastic!$B$13*CBD_Stochastic!$B$18*SQRT((4+$A53)))*((70+$A53)-CBD_Stochastic!$B$14)))))/(1/(1+EXP(-((CBD_Stochastic!$B$6+CBD_Stochastic!$B$8*(4+$A53))+(CBD_Stochastic!$B$7+CBD_Stochastic!$B$9*(4+$A53))*((70+$A53)-CBD_Stochastic!$B$14)))))</f>
        <v>0.684930683131991</v>
      </c>
      <c r="W53" s="11" t="n">
        <f aca="false">(1/(1+EXP(-(((CBD_Stochastic!$B$6+CBD_Stochastic!$B$8*(4+$A53))-CBD_Stochastic!$B$19*CBD_Stochastic!$B$17*SQRT((4+$A53)))+((CBD_Stochastic!$B$7+CBD_Stochastic!$B$9*(4+$A53))-CBD_Stochastic!$B$19*CBD_Stochastic!$B$13*CBD_Stochastic!$B$18*SQRT((4+$A53)))*((72+$A53)-CBD_Stochastic!$B$14)))))/(1/(1+EXP(-((CBD_Stochastic!$B$6+CBD_Stochastic!$B$8*(4+$A53))+(CBD_Stochastic!$B$7+CBD_Stochastic!$B$9*(4+$A53))*((72+$A53)-CBD_Stochastic!$B$14)))))</f>
        <v>0.719790969742106</v>
      </c>
      <c r="X53" s="11" t="n">
        <f aca="false">(1/(1+EXP(-(((CBD_Stochastic!$B$6+CBD_Stochastic!$B$8*(4+$A53))-CBD_Stochastic!$B$19*CBD_Stochastic!$B$17*SQRT((4+$A53)))+((CBD_Stochastic!$B$7+CBD_Stochastic!$B$9*(4+$A53))-CBD_Stochastic!$B$19*CBD_Stochastic!$B$13*CBD_Stochastic!$B$18*SQRT((4+$A53)))*((75+$A53)-CBD_Stochastic!$B$14)))))/(1/(1+EXP(-((CBD_Stochastic!$B$6+CBD_Stochastic!$B$8*(4+$A53))+(CBD_Stochastic!$B$7+CBD_Stochastic!$B$9*(4+$A53))*((75+$A53)-CBD_Stochastic!$B$14)))))</f>
        <v>0.77194370506613</v>
      </c>
    </row>
    <row r="54" customFormat="false" ht="15" hidden="false" customHeight="true" outlineLevel="0" collapsed="false">
      <c r="A54" s="1" t="n">
        <v>46</v>
      </c>
      <c r="B54" s="32" t="n">
        <f aca="false">IF((60+$A53)&gt;=120,0,B53*(1-MIN(1,IFERROR(INDEX(Cohort_Survival!$B$5:$AA$65,(60+$A53)-59,60-59),1)*(1-Assumptions!$B$21))))</f>
        <v>0.059179349079099</v>
      </c>
      <c r="C54" s="32" t="n">
        <f aca="false">IF((63+$A53)&gt;=120,0,C53*(1-MIN(1,IFERROR(INDEX(Cohort_Survival!$B$5:$AA$65,(63+$A53)-59,63-59),1)*(1-Assumptions!$B$21))))</f>
        <v>0.0201125633988103</v>
      </c>
      <c r="D54" s="32" t="n">
        <f aca="false">IF((65+$A53)&gt;=120,0,D53*(1-MIN(1,IFERROR(INDEX(Cohort_Survival!$B$5:$AA$65,(65+$A53)-59,65-59),1)*(1-Assumptions!$B$21))))</f>
        <v>0.00831831535244229</v>
      </c>
      <c r="E54" s="32" t="n">
        <f aca="false">IF((68+$A53)&gt;=120,0,E53*(1-MIN(1,IFERROR(INDEX(Cohort_Survival!$B$5:$AA$65,(68+$A53)-59,68-59),1)*(1-Assumptions!$B$21))))</f>
        <v>0.00183756567457359</v>
      </c>
      <c r="F54" s="32" t="n">
        <f aca="false">IF((70+$A53)&gt;=120,0,F53*(1-MIN(1,IFERROR(INDEX(Cohort_Survival!$B$5:$AA$65,(70+$A53)-59,70-59),1)*(1-Assumptions!$B$21))))</f>
        <v>0.000599763965409123</v>
      </c>
      <c r="G54" s="32" t="n">
        <f aca="false">IF((72+$A53)&gt;=120,0,G53*(1-MIN(1,IFERROR(INDEX(Cohort_Survival!$B$5:$AA$65,(72+$A53)-59,72-59),1)*(1-Assumptions!$B$21))))</f>
        <v>0.000178738990525719</v>
      </c>
      <c r="H54" s="32" t="n">
        <f aca="false">IF((75+$A53)&gt;=120,0,H53*(1-MIN(1,IFERROR(INDEX(Cohort_Survival!$B$5:$AA$65,(75+$A53)-59,75-59),1)*(1-Assumptions!$B$21))))</f>
        <v>0</v>
      </c>
      <c r="J54" s="32" t="n">
        <f aca="false">IF((60+$A53)&gt;=120,0,J53*(1-MIN(1,IFERROR(INDEX(Cohort_Survival!$B$5:$AA$65,(60+$A53)-59,60-59),1)*R53)))</f>
        <v>0.129045869154076</v>
      </c>
      <c r="K54" s="32" t="n">
        <f aca="false">IF((63+$A53)&gt;=120,0,K53*(1-MIN(1,IFERROR(INDEX(Cohort_Survival!$B$5:$AA$65,(63+$A53)-59,63-59),1)*S53)))</f>
        <v>0.0584160841763632</v>
      </c>
      <c r="L54" s="32" t="n">
        <f aca="false">IF((65+$A53)&gt;=120,0,L53*(1-MIN(1,IFERROR(INDEX(Cohort_Survival!$B$5:$AA$65,(65+$A53)-59,65-59),1)*T53)))</f>
        <v>0.0296784764034027</v>
      </c>
      <c r="M54" s="32" t="n">
        <f aca="false">IF((68+$A53)&gt;=120,0,M53*(1-MIN(1,IFERROR(INDEX(Cohort_Survival!$B$5:$AA$65,(68+$A53)-59,68-59),1)*U53)))</f>
        <v>0.00863599245948691</v>
      </c>
      <c r="N54" s="32" t="n">
        <f aca="false">IF((70+$A53)&gt;=120,0,N53*(1-MIN(1,IFERROR(INDEX(Cohort_Survival!$B$5:$AA$65,(70+$A53)-59,70-59),1)*V53)))</f>
        <v>0.00323109894002643</v>
      </c>
      <c r="O54" s="32" t="n">
        <f aca="false">IF((72+$A53)&gt;=120,0,O53*(1-MIN(1,IFERROR(INDEX(Cohort_Survival!$B$5:$AA$65,(72+$A53)-59,72-59),1)*W53)))</f>
        <v>0.00104453251733818</v>
      </c>
      <c r="P54" s="32" t="n">
        <f aca="false">IF((75+$A53)&gt;=120,0,P53*(1-MIN(1,IFERROR(INDEX(Cohort_Survival!$B$5:$AA$65,(75+$A53)-59,75-59),1)*X53)))</f>
        <v>0</v>
      </c>
      <c r="R54" s="11" t="n">
        <f aca="false">(1/(1+EXP(-(((CBD_Stochastic!$B$6+CBD_Stochastic!$B$8*(4+$A54))-CBD_Stochastic!$B$19*CBD_Stochastic!$B$17*SQRT((4+$A54)))+((CBD_Stochastic!$B$7+CBD_Stochastic!$B$9*(4+$A54))-CBD_Stochastic!$B$19*CBD_Stochastic!$B$13*CBD_Stochastic!$B$18*SQRT((4+$A54)))*((60+$A54)-CBD_Stochastic!$B$14)))))/(1/(1+EXP(-((CBD_Stochastic!$B$6+CBD_Stochastic!$B$8*(4+$A54))+(CBD_Stochastic!$B$7+CBD_Stochastic!$B$9*(4+$A54))*((60+$A54)-CBD_Stochastic!$B$14)))))</f>
        <v>0.55778905131132</v>
      </c>
      <c r="S54" s="11" t="n">
        <f aca="false">(1/(1+EXP(-(((CBD_Stochastic!$B$6+CBD_Stochastic!$B$8*(4+$A54))-CBD_Stochastic!$B$19*CBD_Stochastic!$B$17*SQRT((4+$A54)))+((CBD_Stochastic!$B$7+CBD_Stochastic!$B$9*(4+$A54))-CBD_Stochastic!$B$19*CBD_Stochastic!$B$13*CBD_Stochastic!$B$18*SQRT((4+$A54)))*((63+$A54)-CBD_Stochastic!$B$14)))))/(1/(1+EXP(-((CBD_Stochastic!$B$6+CBD_Stochastic!$B$8*(4+$A54))+(CBD_Stochastic!$B$7+CBD_Stochastic!$B$9*(4+$A54))*((63+$A54)-CBD_Stochastic!$B$14)))))</f>
        <v>0.589770246147311</v>
      </c>
      <c r="T54" s="11" t="n">
        <f aca="false">(1/(1+EXP(-(((CBD_Stochastic!$B$6+CBD_Stochastic!$B$8*(4+$A54))-CBD_Stochastic!$B$19*CBD_Stochastic!$B$17*SQRT((4+$A54)))+((CBD_Stochastic!$B$7+CBD_Stochastic!$B$9*(4+$A54))-CBD_Stochastic!$B$19*CBD_Stochastic!$B$13*CBD_Stochastic!$B$18*SQRT((4+$A54)))*((65+$A54)-CBD_Stochastic!$B$14)))))/(1/(1+EXP(-((CBD_Stochastic!$B$6+CBD_Stochastic!$B$8*(4+$A54))+(CBD_Stochastic!$B$7+CBD_Stochastic!$B$9*(4+$A54))*((65+$A54)-CBD_Stochastic!$B$14)))))</f>
        <v>0.616866547370815</v>
      </c>
      <c r="U54" s="11" t="n">
        <f aca="false">(1/(1+EXP(-(((CBD_Stochastic!$B$6+CBD_Stochastic!$B$8*(4+$A54))-CBD_Stochastic!$B$19*CBD_Stochastic!$B$17*SQRT((4+$A54)))+((CBD_Stochastic!$B$7+CBD_Stochastic!$B$9*(4+$A54))-CBD_Stochastic!$B$19*CBD_Stochastic!$B$13*CBD_Stochastic!$B$18*SQRT((4+$A54)))*((68+$A54)-CBD_Stochastic!$B$14)))))/(1/(1+EXP(-((CBD_Stochastic!$B$6+CBD_Stochastic!$B$8*(4+$A54))+(CBD_Stochastic!$B$7+CBD_Stochastic!$B$9*(4+$A54))*((68+$A54)-CBD_Stochastic!$B$14)))))</f>
        <v>0.664370708293482</v>
      </c>
      <c r="V54" s="11" t="n">
        <f aca="false">(1/(1+EXP(-(((CBD_Stochastic!$B$6+CBD_Stochastic!$B$8*(4+$A54))-CBD_Stochastic!$B$19*CBD_Stochastic!$B$17*SQRT((4+$A54)))+((CBD_Stochastic!$B$7+CBD_Stochastic!$B$9*(4+$A54))-CBD_Stochastic!$B$19*CBD_Stochastic!$B$13*CBD_Stochastic!$B$18*SQRT((4+$A54)))*((70+$A54)-CBD_Stochastic!$B$14)))))/(1/(1+EXP(-((CBD_Stochastic!$B$6+CBD_Stochastic!$B$8*(4+$A54))+(CBD_Stochastic!$B$7+CBD_Stochastic!$B$9*(4+$A54))*((70+$A54)-CBD_Stochastic!$B$14)))))</f>
        <v>0.698999834431243</v>
      </c>
      <c r="W54" s="11" t="n">
        <f aca="false">(1/(1+EXP(-(((CBD_Stochastic!$B$6+CBD_Stochastic!$B$8*(4+$A54))-CBD_Stochastic!$B$19*CBD_Stochastic!$B$17*SQRT((4+$A54)))+((CBD_Stochastic!$B$7+CBD_Stochastic!$B$9*(4+$A54))-CBD_Stochastic!$B$19*CBD_Stochastic!$B$13*CBD_Stochastic!$B$18*SQRT((4+$A54)))*((72+$A54)-CBD_Stochastic!$B$14)))))/(1/(1+EXP(-((CBD_Stochastic!$B$6+CBD_Stochastic!$B$8*(4+$A54))+(CBD_Stochastic!$B$7+CBD_Stochastic!$B$9*(4+$A54))*((72+$A54)-CBD_Stochastic!$B$14)))))</f>
        <v>0.734470403326782</v>
      </c>
      <c r="X54" s="11" t="n">
        <f aca="false">(1/(1+EXP(-(((CBD_Stochastic!$B$6+CBD_Stochastic!$B$8*(4+$A54))-CBD_Stochastic!$B$19*CBD_Stochastic!$B$17*SQRT((4+$A54)))+((CBD_Stochastic!$B$7+CBD_Stochastic!$B$9*(4+$A54))-CBD_Stochastic!$B$19*CBD_Stochastic!$B$13*CBD_Stochastic!$B$18*SQRT((4+$A54)))*((75+$A54)-CBD_Stochastic!$B$14)))))/(1/(1+EXP(-((CBD_Stochastic!$B$6+CBD_Stochastic!$B$8*(4+$A54))+(CBD_Stochastic!$B$7+CBD_Stochastic!$B$9*(4+$A54))*((75+$A54)-CBD_Stochastic!$B$14)))))</f>
        <v>0.786407562440425</v>
      </c>
    </row>
    <row r="55" customFormat="false" ht="15" hidden="false" customHeight="true" outlineLevel="0" collapsed="false">
      <c r="A55" s="1" t="n">
        <v>47</v>
      </c>
      <c r="B55" s="32" t="n">
        <f aca="false">IF((60+$A54)&gt;=120,0,B54*(1-MIN(1,IFERROR(INDEX(Cohort_Survival!$B$5:$AA$65,(60+$A54)-59,60-59),1)*(1-Assumptions!$B$21))))</f>
        <v>0.0435530940367122</v>
      </c>
      <c r="C55" s="32" t="n">
        <f aca="false">IF((63+$A54)&gt;=120,0,C54*(1-MIN(1,IFERROR(INDEX(Cohort_Survival!$B$5:$AA$65,(63+$A54)-59,63-59),1)*(1-Assumptions!$B$21))))</f>
        <v>0.0135008798413877</v>
      </c>
      <c r="D55" s="32" t="n">
        <f aca="false">IF((65+$A54)&gt;=120,0,D54*(1-MIN(1,IFERROR(INDEX(Cohort_Survival!$B$5:$AA$65,(65+$A54)-59,65-59),1)*(1-Assumptions!$B$21))))</f>
        <v>0.00526889987581298</v>
      </c>
      <c r="E55" s="32" t="n">
        <f aca="false">IF((68+$A54)&gt;=120,0,E54*(1-MIN(1,IFERROR(INDEX(Cohort_Survival!$B$5:$AA$65,(68+$A54)-59,68-59),1)*(1-Assumptions!$B$21))))</f>
        <v>0.00108705293750516</v>
      </c>
      <c r="F55" s="32" t="n">
        <f aca="false">IF((70+$A54)&gt;=120,0,F54*(1-MIN(1,IFERROR(INDEX(Cohort_Survival!$B$5:$AA$65,(70+$A54)-59,70-59),1)*(1-Assumptions!$B$21))))</f>
        <v>0.000338577667051407</v>
      </c>
      <c r="G55" s="32" t="n">
        <f aca="false">IF((72+$A54)&gt;=120,0,G54*(1-MIN(1,IFERROR(INDEX(Cohort_Survival!$B$5:$AA$65,(72+$A54)-59,72-59),1)*(1-Assumptions!$B$21))))</f>
        <v>9.62447983195656E-005</v>
      </c>
      <c r="H55" s="32" t="n">
        <f aca="false">IF((75+$A54)&gt;=120,0,H54*(1-MIN(1,IFERROR(INDEX(Cohort_Survival!$B$5:$AA$65,(75+$A54)-59,75-59),1)*(1-Assumptions!$B$21))))</f>
        <v>0</v>
      </c>
      <c r="J55" s="32" t="n">
        <f aca="false">IF((60+$A54)&gt;=120,0,J54*(1-MIN(1,IFERROR(INDEX(Cohort_Survival!$B$5:$AA$65,(60+$A54)-59,60-59),1)*R54)))</f>
        <v>0.105287926498183</v>
      </c>
      <c r="K55" s="32" t="n">
        <f aca="false">IF((63+$A54)&gt;=120,0,K54*(1-MIN(1,IFERROR(INDEX(Cohort_Survival!$B$5:$AA$65,(63+$A54)-59,63-59),1)*S54)))</f>
        <v>0.0442591260806821</v>
      </c>
      <c r="L55" s="32" t="n">
        <f aca="false">IF((65+$A54)&gt;=120,0,L54*(1-MIN(1,IFERROR(INDEX(Cohort_Survival!$B$5:$AA$65,(65+$A54)-59,65-59),1)*T54)))</f>
        <v>0.0212892086920337</v>
      </c>
      <c r="M55" s="32" t="n">
        <f aca="false">IF((68+$A54)&gt;=120,0,M54*(1-MIN(1,IFERROR(INDEX(Cohort_Survival!$B$5:$AA$65,(68+$A54)-59,68-59),1)*U54)))</f>
        <v>0.00570679977192949</v>
      </c>
      <c r="N55" s="32" t="n">
        <f aca="false">IF((70+$A54)&gt;=120,0,N54*(1-MIN(1,IFERROR(INDEX(Cohort_Survival!$B$5:$AA$65,(70+$A54)-59,70-59),1)*V54)))</f>
        <v>0.00200165886908873</v>
      </c>
      <c r="O55" s="32" t="n">
        <f aca="false">IF((72+$A54)&gt;=120,0,O54*(1-MIN(1,IFERROR(INDEX(Cohort_Survival!$B$5:$AA$65,(72+$A54)-59,72-59),1)*W54)))</f>
        <v>0.000601933596329527</v>
      </c>
      <c r="P55" s="32" t="n">
        <f aca="false">IF((75+$A54)&gt;=120,0,P54*(1-MIN(1,IFERROR(INDEX(Cohort_Survival!$B$5:$AA$65,(75+$A54)-59,75-59),1)*X54)))</f>
        <v>0</v>
      </c>
      <c r="R55" s="11" t="n">
        <f aca="false">(1/(1+EXP(-(((CBD_Stochastic!$B$6+CBD_Stochastic!$B$8*(4+$A55))-CBD_Stochastic!$B$19*CBD_Stochastic!$B$17*SQRT((4+$A55)))+((CBD_Stochastic!$B$7+CBD_Stochastic!$B$9*(4+$A55))-CBD_Stochastic!$B$19*CBD_Stochastic!$B$13*CBD_Stochastic!$B$18*SQRT((4+$A55)))*((60+$A55)-CBD_Stochastic!$B$14)))))/(1/(1+EXP(-((CBD_Stochastic!$B$6+CBD_Stochastic!$B$8*(4+$A55))+(CBD_Stochastic!$B$7+CBD_Stochastic!$B$9*(4+$A55))*((60+$A55)-CBD_Stochastic!$B$14)))))</f>
        <v>0.563054684529044</v>
      </c>
      <c r="S55" s="11" t="n">
        <f aca="false">(1/(1+EXP(-(((CBD_Stochastic!$B$6+CBD_Stochastic!$B$8*(4+$A55))-CBD_Stochastic!$B$19*CBD_Stochastic!$B$17*SQRT((4+$A55)))+((CBD_Stochastic!$B$7+CBD_Stochastic!$B$9*(4+$A55))-CBD_Stochastic!$B$19*CBD_Stochastic!$B$13*CBD_Stochastic!$B$18*SQRT((4+$A55)))*((63+$A55)-CBD_Stochastic!$B$14)))))/(1/(1+EXP(-((CBD_Stochastic!$B$6+CBD_Stochastic!$B$8*(4+$A55))+(CBD_Stochastic!$B$7+CBD_Stochastic!$B$9*(4+$A55))*((63+$A55)-CBD_Stochastic!$B$14)))))</f>
        <v>0.598769621015693</v>
      </c>
      <c r="T55" s="11" t="n">
        <f aca="false">(1/(1+EXP(-(((CBD_Stochastic!$B$6+CBD_Stochastic!$B$8*(4+$A55))-CBD_Stochastic!$B$19*CBD_Stochastic!$B$17*SQRT((4+$A55)))+((CBD_Stochastic!$B$7+CBD_Stochastic!$B$9*(4+$A55))-CBD_Stochastic!$B$19*CBD_Stochastic!$B$13*CBD_Stochastic!$B$18*SQRT((4+$A55)))*((65+$A55)-CBD_Stochastic!$B$14)))))/(1/(1+EXP(-((CBD_Stochastic!$B$6+CBD_Stochastic!$B$8*(4+$A55))+(CBD_Stochastic!$B$7+CBD_Stochastic!$B$9*(4+$A55))*((65+$A55)-CBD_Stochastic!$B$14)))))</f>
        <v>0.628084861472282</v>
      </c>
      <c r="U55" s="11" t="n">
        <f aca="false">(1/(1+EXP(-(((CBD_Stochastic!$B$6+CBD_Stochastic!$B$8*(4+$A55))-CBD_Stochastic!$B$19*CBD_Stochastic!$B$17*SQRT((4+$A55)))+((CBD_Stochastic!$B$7+CBD_Stochastic!$B$9*(4+$A55))-CBD_Stochastic!$B$19*CBD_Stochastic!$B$13*CBD_Stochastic!$B$18*SQRT((4+$A55)))*((68+$A55)-CBD_Stochastic!$B$14)))))/(1/(1+EXP(-((CBD_Stochastic!$B$6+CBD_Stochastic!$B$8*(4+$A55))+(CBD_Stochastic!$B$7+CBD_Stochastic!$B$9*(4+$A55))*((68+$A55)-CBD_Stochastic!$B$14)))))</f>
        <v>0.678095319638771</v>
      </c>
      <c r="V55" s="11" t="n">
        <f aca="false">(1/(1+EXP(-(((CBD_Stochastic!$B$6+CBD_Stochastic!$B$8*(4+$A55))-CBD_Stochastic!$B$19*CBD_Stochastic!$B$17*SQRT((4+$A55)))+((CBD_Stochastic!$B$7+CBD_Stochastic!$B$9*(4+$A55))-CBD_Stochastic!$B$19*CBD_Stochastic!$B$13*CBD_Stochastic!$B$18*SQRT((4+$A55)))*((70+$A55)-CBD_Stochastic!$B$14)))))/(1/(1+EXP(-((CBD_Stochastic!$B$6+CBD_Stochastic!$B$8*(4+$A55))+(CBD_Stochastic!$B$7+CBD_Stochastic!$B$9*(4+$A55))*((70+$A55)-CBD_Stochastic!$B$14)))))</f>
        <v>0.713669424351855</v>
      </c>
      <c r="W55" s="11" t="n">
        <f aca="false">(1/(1+EXP(-(((CBD_Stochastic!$B$6+CBD_Stochastic!$B$8*(4+$A55))-CBD_Stochastic!$B$19*CBD_Stochastic!$B$17*SQRT((4+$A55)))+((CBD_Stochastic!$B$7+CBD_Stochastic!$B$9*(4+$A55))-CBD_Stochastic!$B$19*CBD_Stochastic!$B$13*CBD_Stochastic!$B$18*SQRT((4+$A55)))*((72+$A55)-CBD_Stochastic!$B$14)))))/(1/(1+EXP(-((CBD_Stochastic!$B$6+CBD_Stochastic!$B$8*(4+$A55))+(CBD_Stochastic!$B$7+CBD_Stochastic!$B$9*(4+$A55))*((72+$A55)-CBD_Stochastic!$B$14)))))</f>
        <v>0.749449662318263</v>
      </c>
      <c r="X55" s="11" t="n">
        <f aca="false">(1/(1+EXP(-(((CBD_Stochastic!$B$6+CBD_Stochastic!$B$8*(4+$A55))-CBD_Stochastic!$B$19*CBD_Stochastic!$B$17*SQRT((4+$A55)))+((CBD_Stochastic!$B$7+CBD_Stochastic!$B$9*(4+$A55))-CBD_Stochastic!$B$19*CBD_Stochastic!$B$13*CBD_Stochastic!$B$18*SQRT((4+$A55)))*((75+$A55)-CBD_Stochastic!$B$14)))))/(1/(1+EXP(-((CBD_Stochastic!$B$6+CBD_Stochastic!$B$8*(4+$A55))+(CBD_Stochastic!$B$7+CBD_Stochastic!$B$9*(4+$A55))*((75+$A55)-CBD_Stochastic!$B$14)))))</f>
        <v>0.800761555553472</v>
      </c>
    </row>
    <row r="56" customFormat="false" ht="15" hidden="false" customHeight="true" outlineLevel="0" collapsed="false">
      <c r="A56" s="1" t="n">
        <v>48</v>
      </c>
      <c r="B56" s="32" t="n">
        <f aca="false">IF((60+$A55)&gt;=120,0,B55*(1-MIN(1,IFERROR(INDEX(Cohort_Survival!$B$5:$AA$65,(60+$A55)-59,60-59),1)*(1-Assumptions!$B$21))))</f>
        <v>0.0311834589721537</v>
      </c>
      <c r="C56" s="32" t="n">
        <f aca="false">IF((63+$A55)&gt;=120,0,C55*(1-MIN(1,IFERROR(INDEX(Cohort_Survival!$B$5:$AA$65,(63+$A55)-59,63-59),1)*(1-Assumptions!$B$21))))</f>
        <v>0.00874218798183922</v>
      </c>
      <c r="D56" s="32" t="n">
        <f aca="false">IF((65+$A55)&gt;=120,0,D55*(1-MIN(1,IFERROR(INDEX(Cohort_Survival!$B$5:$AA$65,(65+$A55)-59,65-59),1)*(1-Assumptions!$B$21))))</f>
        <v>0.00326328859885936</v>
      </c>
      <c r="E56" s="32" t="n">
        <f aca="false">IF((68+$A55)&gt;=120,0,E55*(1-MIN(1,IFERROR(INDEX(Cohort_Survival!$B$5:$AA$65,(68+$A55)-59,68-59),1)*(1-Assumptions!$B$21))))</f>
        <v>0.000628247416161997</v>
      </c>
      <c r="F56" s="32" t="n">
        <f aca="false">IF((70+$A55)&gt;=120,0,F55*(1-MIN(1,IFERROR(INDEX(Cohort_Survival!$B$5:$AA$65,(70+$A55)-59,70-59),1)*(1-Assumptions!$B$21))))</f>
        <v>0.000186675201069164</v>
      </c>
      <c r="G56" s="32" t="n">
        <f aca="false">IF((72+$A55)&gt;=120,0,G55*(1-MIN(1,IFERROR(INDEX(Cohort_Survival!$B$5:$AA$65,(72+$A55)-59,72-59),1)*(1-Assumptions!$B$21))))</f>
        <v>5.06140159880906E-005</v>
      </c>
      <c r="H56" s="32" t="n">
        <f aca="false">IF((75+$A55)&gt;=120,0,H55*(1-MIN(1,IFERROR(INDEX(Cohort_Survival!$B$5:$AA$65,(75+$A55)-59,75-59),1)*(1-Assumptions!$B$21))))</f>
        <v>0</v>
      </c>
      <c r="J56" s="32" t="n">
        <f aca="false">IF((60+$A55)&gt;=120,0,J55*(1-MIN(1,IFERROR(INDEX(Cohort_Survival!$B$5:$AA$65,(60+$A55)-59,60-59),1)*R55)))</f>
        <v>0.0842415644956523</v>
      </c>
      <c r="K56" s="32" t="n">
        <f aca="false">IF((63+$A55)&gt;=120,0,K55*(1-MIN(1,IFERROR(INDEX(Cohort_Survival!$B$5:$AA$65,(63+$A55)-59,63-59),1)*S55)))</f>
        <v>0.0325830177142055</v>
      </c>
      <c r="L56" s="32" t="n">
        <f aca="false">IF((65+$A55)&gt;=120,0,L55*(1-MIN(1,IFERROR(INDEX(Cohort_Survival!$B$5:$AA$65,(65+$A55)-59,65-59),1)*T55)))</f>
        <v>0.0149269009020437</v>
      </c>
      <c r="M56" s="32" t="n">
        <f aca="false">IF((68+$A55)&gt;=120,0,M55*(1-MIN(1,IFERROR(INDEX(Cohort_Survival!$B$5:$AA$65,(68+$A55)-59,68-59),1)*U55)))</f>
        <v>0.00366519657690794</v>
      </c>
      <c r="N56" s="32" t="n">
        <f aca="false">IF((70+$A55)&gt;=120,0,N55*(1-MIN(1,IFERROR(INDEX(Cohort_Survival!$B$5:$AA$65,(70+$A55)-59,70-59),1)*V55)))</f>
        <v>0.00120052759645645</v>
      </c>
      <c r="O56" s="32" t="n">
        <f aca="false">IF((72+$A55)&gt;=120,0,O55*(1-MIN(1,IFERROR(INDEX(Cohort_Survival!$B$5:$AA$65,(72+$A55)-59,72-59),1)*W55)))</f>
        <v>0.000334582657850337</v>
      </c>
      <c r="P56" s="32" t="n">
        <f aca="false">IF((75+$A55)&gt;=120,0,P55*(1-MIN(1,IFERROR(INDEX(Cohort_Survival!$B$5:$AA$65,(75+$A55)-59,75-59),1)*X55)))</f>
        <v>0</v>
      </c>
      <c r="R56" s="11" t="n">
        <f aca="false">(1/(1+EXP(-(((CBD_Stochastic!$B$6+CBD_Stochastic!$B$8*(4+$A56))-CBD_Stochastic!$B$19*CBD_Stochastic!$B$17*SQRT((4+$A56)))+((CBD_Stochastic!$B$7+CBD_Stochastic!$B$9*(4+$A56))-CBD_Stochastic!$B$19*CBD_Stochastic!$B$13*CBD_Stochastic!$B$18*SQRT((4+$A56)))*((60+$A56)-CBD_Stochastic!$B$14)))))/(1/(1+EXP(-((CBD_Stochastic!$B$6+CBD_Stochastic!$B$8*(4+$A56))+(CBD_Stochastic!$B$7+CBD_Stochastic!$B$9*(4+$A56))*((60+$A56)-CBD_Stochastic!$B$14)))))</f>
        <v>0.56967293679358</v>
      </c>
      <c r="S56" s="11" t="n">
        <f aca="false">(1/(1+EXP(-(((CBD_Stochastic!$B$6+CBD_Stochastic!$B$8*(4+$A56))-CBD_Stochastic!$B$19*CBD_Stochastic!$B$17*SQRT((4+$A56)))+((CBD_Stochastic!$B$7+CBD_Stochastic!$B$9*(4+$A56))-CBD_Stochastic!$B$19*CBD_Stochastic!$B$13*CBD_Stochastic!$B$18*SQRT((4+$A56)))*((63+$A56)-CBD_Stochastic!$B$14)))))/(1/(1+EXP(-((CBD_Stochastic!$B$6+CBD_Stochastic!$B$8*(4+$A56))+(CBD_Stochastic!$B$7+CBD_Stochastic!$B$9*(4+$A56))*((63+$A56)-CBD_Stochastic!$B$14)))))</f>
        <v>0.609049678515234</v>
      </c>
      <c r="T56" s="11" t="n">
        <f aca="false">(1/(1+EXP(-(((CBD_Stochastic!$B$6+CBD_Stochastic!$B$8*(4+$A56))-CBD_Stochastic!$B$19*CBD_Stochastic!$B$17*SQRT((4+$A56)))+((CBD_Stochastic!$B$7+CBD_Stochastic!$B$9*(4+$A56))-CBD_Stochastic!$B$19*CBD_Stochastic!$B$13*CBD_Stochastic!$B$18*SQRT((4+$A56)))*((65+$A56)-CBD_Stochastic!$B$14)))))/(1/(1+EXP(-((CBD_Stochastic!$B$6+CBD_Stochastic!$B$8*(4+$A56))+(CBD_Stochastic!$B$7+CBD_Stochastic!$B$9*(4+$A56))*((65+$A56)-CBD_Stochastic!$B$14)))))</f>
        <v>0.640429296173047</v>
      </c>
      <c r="U56" s="11" t="n">
        <f aca="false">(1/(1+EXP(-(((CBD_Stochastic!$B$6+CBD_Stochastic!$B$8*(4+$A56))-CBD_Stochastic!$B$19*CBD_Stochastic!$B$17*SQRT((4+$A56)))+((CBD_Stochastic!$B$7+CBD_Stochastic!$B$9*(4+$A56))-CBD_Stochastic!$B$19*CBD_Stochastic!$B$13*CBD_Stochastic!$B$18*SQRT((4+$A56)))*((68+$A56)-CBD_Stochastic!$B$14)))))/(1/(1+EXP(-((CBD_Stochastic!$B$6+CBD_Stochastic!$B$8*(4+$A56))+(CBD_Stochastic!$B$7+CBD_Stochastic!$B$9*(4+$A56))*((68+$A56)-CBD_Stochastic!$B$14)))))</f>
        <v>0.692575443929781</v>
      </c>
      <c r="V56" s="11" t="n">
        <f aca="false">(1/(1+EXP(-(((CBD_Stochastic!$B$6+CBD_Stochastic!$B$8*(4+$A56))-CBD_Stochastic!$B$19*CBD_Stochastic!$B$17*SQRT((4+$A56)))+((CBD_Stochastic!$B$7+CBD_Stochastic!$B$9*(4+$A56))-CBD_Stochastic!$B$19*CBD_Stochastic!$B$13*CBD_Stochastic!$B$18*SQRT((4+$A56)))*((70+$A56)-CBD_Stochastic!$B$14)))))/(1/(1+EXP(-((CBD_Stochastic!$B$6+CBD_Stochastic!$B$8*(4+$A56))+(CBD_Stochastic!$B$7+CBD_Stochastic!$B$9*(4+$A56))*((70+$A56)-CBD_Stochastic!$B$14)))))</f>
        <v>0.728793963770949</v>
      </c>
      <c r="W56" s="11" t="n">
        <f aca="false">(1/(1+EXP(-(((CBD_Stochastic!$B$6+CBD_Stochastic!$B$8*(4+$A56))-CBD_Stochastic!$B$19*CBD_Stochastic!$B$17*SQRT((4+$A56)))+((CBD_Stochastic!$B$7+CBD_Stochastic!$B$9*(4+$A56))-CBD_Stochastic!$B$19*CBD_Stochastic!$B$13*CBD_Stochastic!$B$18*SQRT((4+$A56)))*((72+$A56)-CBD_Stochastic!$B$14)))))/(1/(1+EXP(-((CBD_Stochastic!$B$6+CBD_Stochastic!$B$8*(4+$A56))+(CBD_Stochastic!$B$7+CBD_Stochastic!$B$9*(4+$A56))*((72+$A56)-CBD_Stochastic!$B$14)))))</f>
        <v>0.764582231203801</v>
      </c>
      <c r="X56" s="11" t="n">
        <f aca="false">(1/(1+EXP(-(((CBD_Stochastic!$B$6+CBD_Stochastic!$B$8*(4+$A56))-CBD_Stochastic!$B$19*CBD_Stochastic!$B$17*SQRT((4+$A56)))+((CBD_Stochastic!$B$7+CBD_Stochastic!$B$9*(4+$A56))-CBD_Stochastic!$B$19*CBD_Stochastic!$B$13*CBD_Stochastic!$B$18*SQRT((4+$A56)))*((75+$A56)-CBD_Stochastic!$B$14)))))/(1/(1+EXP(-((CBD_Stochastic!$B$6+CBD_Stochastic!$B$8*(4+$A56))+(CBD_Stochastic!$B$7+CBD_Stochastic!$B$9*(4+$A56))*((75+$A56)-CBD_Stochastic!$B$14)))))</f>
        <v>0.814885493580477</v>
      </c>
    </row>
    <row r="57" customFormat="false" ht="15" hidden="false" customHeight="true" outlineLevel="0" collapsed="false">
      <c r="A57" s="1" t="n">
        <v>49</v>
      </c>
      <c r="B57" s="32" t="n">
        <f aca="false">IF((60+$A56)&gt;=120,0,B56*(1-MIN(1,IFERROR(INDEX(Cohort_Survival!$B$5:$AA$65,(60+$A56)-59,60-59),1)*(1-Assumptions!$B$21))))</f>
        <v>0.021661562667971</v>
      </c>
      <c r="C57" s="32" t="n">
        <f aca="false">IF((63+$A56)&gt;=120,0,C56*(1-MIN(1,IFERROR(INDEX(Cohort_Survival!$B$5:$AA$65,(63+$A56)-59,63-59),1)*(1-Assumptions!$B$21))))</f>
        <v>0.00553738482135358</v>
      </c>
      <c r="D57" s="32" t="n">
        <f aca="false">IF((65+$A56)&gt;=120,0,D56*(1-MIN(1,IFERROR(INDEX(Cohort_Survival!$B$5:$AA$65,(65+$A56)-59,65-59),1)*(1-Assumptions!$B$21))))</f>
        <v>0.00197556093988994</v>
      </c>
      <c r="E57" s="32" t="n">
        <f aca="false">IF((68+$A56)&gt;=120,0,E56*(1-MIN(1,IFERROR(INDEX(Cohort_Survival!$B$5:$AA$65,(68+$A56)-59,68-59),1)*(1-Assumptions!$B$21))))</f>
        <v>0.000354657093061777</v>
      </c>
      <c r="F57" s="32" t="n">
        <f aca="false">IF((70+$A56)&gt;=120,0,F56*(1-MIN(1,IFERROR(INDEX(Cohort_Survival!$B$5:$AA$65,(70+$A56)-59,70-59),1)*(1-Assumptions!$B$21))))</f>
        <v>0.000100518174715666</v>
      </c>
      <c r="G57" s="32" t="n">
        <f aca="false">IF((72+$A56)&gt;=120,0,G56*(1-MIN(1,IFERROR(INDEX(Cohort_Survival!$B$5:$AA$65,(72+$A56)-59,72-59),1)*(1-Assumptions!$B$21))))</f>
        <v>0</v>
      </c>
      <c r="H57" s="32" t="n">
        <f aca="false">IF((75+$A56)&gt;=120,0,H56*(1-MIN(1,IFERROR(INDEX(Cohort_Survival!$B$5:$AA$65,(75+$A56)-59,75-59),1)*(1-Assumptions!$B$21))))</f>
        <v>0</v>
      </c>
      <c r="J57" s="32" t="n">
        <f aca="false">IF((60+$A56)&gt;=120,0,J56*(1-MIN(1,IFERROR(INDEX(Cohort_Survival!$B$5:$AA$65,(60+$A56)-59,60-59),1)*R56)))</f>
        <v>0.0659242759998819</v>
      </c>
      <c r="K57" s="32" t="n">
        <f aca="false">IF((63+$A56)&gt;=120,0,K56*(1-MIN(1,IFERROR(INDEX(Cohort_Survival!$B$5:$AA$65,(63+$A56)-59,63-59),1)*S56)))</f>
        <v>0.0234894301045566</v>
      </c>
      <c r="L57" s="32" t="n">
        <f aca="false">IF((65+$A56)&gt;=120,0,L56*(1-MIN(1,IFERROR(INDEX(Cohort_Survival!$B$5:$AA$65,(65+$A56)-59,65-59),1)*T56)))</f>
        <v>0.0102114916286443</v>
      </c>
      <c r="M57" s="32" t="n">
        <f aca="false">IF((68+$A56)&gt;=120,0,M56*(1-MIN(1,IFERROR(INDEX(Cohort_Survival!$B$5:$AA$65,(68+$A56)-59,68-59),1)*U56)))</f>
        <v>0.00228339909933914</v>
      </c>
      <c r="N57" s="32" t="n">
        <f aca="false">IF((70+$A56)&gt;=120,0,N56*(1-MIN(1,IFERROR(INDEX(Cohort_Survival!$B$5:$AA$65,(70+$A56)-59,70-59),1)*V56)))</f>
        <v>0.000695760542360085</v>
      </c>
      <c r="O57" s="32" t="n">
        <f aca="false">IF((72+$A56)&gt;=120,0,O56*(1-MIN(1,IFERROR(INDEX(Cohort_Survival!$B$5:$AA$65,(72+$A56)-59,72-59),1)*W56)))</f>
        <v>0</v>
      </c>
      <c r="P57" s="32" t="n">
        <f aca="false">IF((75+$A56)&gt;=120,0,P56*(1-MIN(1,IFERROR(INDEX(Cohort_Survival!$B$5:$AA$65,(75+$A56)-59,75-59),1)*X56)))</f>
        <v>0</v>
      </c>
      <c r="R57" s="11" t="n">
        <f aca="false">(1/(1+EXP(-(((CBD_Stochastic!$B$6+CBD_Stochastic!$B$8*(4+$A57))-CBD_Stochastic!$B$19*CBD_Stochastic!$B$17*SQRT((4+$A57)))+((CBD_Stochastic!$B$7+CBD_Stochastic!$B$9*(4+$A57))-CBD_Stochastic!$B$19*CBD_Stochastic!$B$13*CBD_Stochastic!$B$18*SQRT((4+$A57)))*((60+$A57)-CBD_Stochastic!$B$14)))))/(1/(1+EXP(-((CBD_Stochastic!$B$6+CBD_Stochastic!$B$8*(4+$A57))+(CBD_Stochastic!$B$7+CBD_Stochastic!$B$9*(4+$A57))*((60+$A57)-CBD_Stochastic!$B$14)))))</f>
        <v>0.577651999808253</v>
      </c>
      <c r="S57" s="11" t="n">
        <f aca="false">(1/(1+EXP(-(((CBD_Stochastic!$B$6+CBD_Stochastic!$B$8*(4+$A57))-CBD_Stochastic!$B$19*CBD_Stochastic!$B$17*SQRT((4+$A57)))+((CBD_Stochastic!$B$7+CBD_Stochastic!$B$9*(4+$A57))-CBD_Stochastic!$B$19*CBD_Stochastic!$B$13*CBD_Stochastic!$B$18*SQRT((4+$A57)))*((63+$A57)-CBD_Stochastic!$B$14)))))/(1/(1+EXP(-((CBD_Stochastic!$B$6+CBD_Stochastic!$B$8*(4+$A57))+(CBD_Stochastic!$B$7+CBD_Stochastic!$B$9*(4+$A57))*((63+$A57)-CBD_Stochastic!$B$14)))))</f>
        <v>0.62055724280619</v>
      </c>
      <c r="T57" s="11" t="n">
        <f aca="false">(1/(1+EXP(-(((CBD_Stochastic!$B$6+CBD_Stochastic!$B$8*(4+$A57))-CBD_Stochastic!$B$19*CBD_Stochastic!$B$17*SQRT((4+$A57)))+((CBD_Stochastic!$B$7+CBD_Stochastic!$B$9*(4+$A57))-CBD_Stochastic!$B$19*CBD_Stochastic!$B$13*CBD_Stochastic!$B$18*SQRT((4+$A57)))*((65+$A57)-CBD_Stochastic!$B$14)))))/(1/(1+EXP(-((CBD_Stochastic!$B$6+CBD_Stochastic!$B$8*(4+$A57))+(CBD_Stochastic!$B$7+CBD_Stochastic!$B$9*(4+$A57))*((65+$A57)-CBD_Stochastic!$B$14)))))</f>
        <v>0.653804807053346</v>
      </c>
      <c r="U57" s="11" t="n">
        <f aca="false">(1/(1+EXP(-(((CBD_Stochastic!$B$6+CBD_Stochastic!$B$8*(4+$A57))-CBD_Stochastic!$B$19*CBD_Stochastic!$B$17*SQRT((4+$A57)))+((CBD_Stochastic!$B$7+CBD_Stochastic!$B$9*(4+$A57))-CBD_Stochastic!$B$19*CBD_Stochastic!$B$13*CBD_Stochastic!$B$18*SQRT((4+$A57)))*((68+$A57)-CBD_Stochastic!$B$14)))))/(1/(1+EXP(-((CBD_Stochastic!$B$6+CBD_Stochastic!$B$8*(4+$A57))+(CBD_Stochastic!$B$7+CBD_Stochastic!$B$9*(4+$A57))*((68+$A57)-CBD_Stochastic!$B$14)))))</f>
        <v>0.707670762418989</v>
      </c>
      <c r="V57" s="11" t="n">
        <f aca="false">(1/(1+EXP(-(((CBD_Stochastic!$B$6+CBD_Stochastic!$B$8*(4+$A57))-CBD_Stochastic!$B$19*CBD_Stochastic!$B$17*SQRT((4+$A57)))+((CBD_Stochastic!$B$7+CBD_Stochastic!$B$9*(4+$A57))-CBD_Stochastic!$B$19*CBD_Stochastic!$B$13*CBD_Stochastic!$B$18*SQRT((4+$A57)))*((70+$A57)-CBD_Stochastic!$B$14)))))/(1/(1+EXP(-((CBD_Stochastic!$B$6+CBD_Stochastic!$B$8*(4+$A57))+(CBD_Stochastic!$B$7+CBD_Stochastic!$B$9*(4+$A57))*((70+$A57)-CBD_Stochastic!$B$14)))))</f>
        <v>0.744222897469509</v>
      </c>
      <c r="W57" s="11" t="n">
        <f aca="false">(1/(1+EXP(-(((CBD_Stochastic!$B$6+CBD_Stochastic!$B$8*(4+$A57))-CBD_Stochastic!$B$19*CBD_Stochastic!$B$17*SQRT((4+$A57)))+((CBD_Stochastic!$B$7+CBD_Stochastic!$B$9*(4+$A57))-CBD_Stochastic!$B$19*CBD_Stochastic!$B$13*CBD_Stochastic!$B$18*SQRT((4+$A57)))*((72+$A57)-CBD_Stochastic!$B$14)))))/(1/(1+EXP(-((CBD_Stochastic!$B$6+CBD_Stochastic!$B$8*(4+$A57))+(CBD_Stochastic!$B$7+CBD_Stochastic!$B$9*(4+$A57))*((72+$A57)-CBD_Stochastic!$B$14)))))</f>
        <v>0.779724703977132</v>
      </c>
      <c r="X57" s="11" t="n">
        <f aca="false">(1/(1+EXP(-(((CBD_Stochastic!$B$6+CBD_Stochastic!$B$8*(4+$A57))-CBD_Stochastic!$B$19*CBD_Stochastic!$B$17*SQRT((4+$A57)))+((CBD_Stochastic!$B$7+CBD_Stochastic!$B$9*(4+$A57))-CBD_Stochastic!$B$19*CBD_Stochastic!$B$13*CBD_Stochastic!$B$18*SQRT((4+$A57)))*((75+$A57)-CBD_Stochastic!$B$14)))))/(1/(1+EXP(-((CBD_Stochastic!$B$6+CBD_Stochastic!$B$8*(4+$A57))+(CBD_Stochastic!$B$7+CBD_Stochastic!$B$9*(4+$A57))*((75+$A57)-CBD_Stochastic!$B$14)))))</f>
        <v>0.828670976634722</v>
      </c>
    </row>
    <row r="58" customFormat="false" ht="15" hidden="false" customHeight="true" outlineLevel="0" collapsed="false">
      <c r="A58" s="1" t="n">
        <v>50</v>
      </c>
      <c r="B58" s="32" t="n">
        <f aca="false">IF((60+$A57)&gt;=120,0,B57*(1-MIN(1,IFERROR(INDEX(Cohort_Survival!$B$5:$AA$65,(60+$A57)-59,60-59),1)*(1-Assumptions!$B$21))))</f>
        <v>0.0145534802910384</v>
      </c>
      <c r="C58" s="32" t="n">
        <f aca="false">IF((63+$A57)&gt;=120,0,C57*(1-MIN(1,IFERROR(INDEX(Cohort_Survival!$B$5:$AA$65,(63+$A57)-59,63-59),1)*(1-Assumptions!$B$21))))</f>
        <v>0.00342957451857668</v>
      </c>
      <c r="D58" s="32" t="n">
        <f aca="false">IF((65+$A57)&gt;=120,0,D57*(1-MIN(1,IFERROR(INDEX(Cohort_Survival!$B$5:$AA$65,(65+$A57)-59,65-59),1)*(1-Assumptions!$B$21))))</f>
        <v>0.00116868711287076</v>
      </c>
      <c r="E58" s="32" t="n">
        <f aca="false">IF((68+$A57)&gt;=120,0,E57*(1-MIN(1,IFERROR(INDEX(Cohort_Survival!$B$5:$AA$65,(68+$A57)-59,68-59),1)*(1-Assumptions!$B$21))))</f>
        <v>0.000195540611802551</v>
      </c>
      <c r="F58" s="32" t="n">
        <f aca="false">IF((70+$A57)&gt;=120,0,F57*(1-MIN(1,IFERROR(INDEX(Cohort_Survival!$B$5:$AA$65,(70+$A57)-59,70-59),1)*(1-Assumptions!$B$21))))</f>
        <v>5.28613347524483E-005</v>
      </c>
      <c r="G58" s="32" t="n">
        <f aca="false">IF((72+$A57)&gt;=120,0,G57*(1-MIN(1,IFERROR(INDEX(Cohort_Survival!$B$5:$AA$65,(72+$A57)-59,72-59),1)*(1-Assumptions!$B$21))))</f>
        <v>0</v>
      </c>
      <c r="H58" s="32" t="n">
        <f aca="false">IF((75+$A57)&gt;=120,0,H57*(1-MIN(1,IFERROR(INDEX(Cohort_Survival!$B$5:$AA$65,(75+$A57)-59,75-59),1)*(1-Assumptions!$B$21))))</f>
        <v>0</v>
      </c>
      <c r="J58" s="32" t="n">
        <f aca="false">IF((60+$A57)&gt;=120,0,J57*(1-MIN(1,IFERROR(INDEX(Cohort_Survival!$B$5:$AA$65,(60+$A57)-59,60-59),1)*R57)))</f>
        <v>0.050304157223984</v>
      </c>
      <c r="K58" s="32" t="n">
        <f aca="false">IF((63+$A57)&gt;=120,0,K57*(1-MIN(1,IFERROR(INDEX(Cohort_Survival!$B$5:$AA$65,(63+$A57)-59,63-59),1)*S57)))</f>
        <v>0.0165537163808625</v>
      </c>
      <c r="L58" s="32" t="n">
        <f aca="false">IF((65+$A57)&gt;=120,0,L57*(1-MIN(1,IFERROR(INDEX(Cohort_Survival!$B$5:$AA$65,(65+$A57)-59,65-59),1)*T57)))</f>
        <v>0.00680299785155227</v>
      </c>
      <c r="M58" s="32" t="n">
        <f aca="false">IF((68+$A57)&gt;=120,0,M57*(1-MIN(1,IFERROR(INDEX(Cohort_Survival!$B$5:$AA$65,(68+$A57)-59,68-59),1)*U57)))</f>
        <v>0.00137718751936098</v>
      </c>
      <c r="N58" s="32" t="n">
        <f aca="false">IF((70+$A57)&gt;=120,0,N57*(1-MIN(1,IFERROR(INDEX(Cohort_Survival!$B$5:$AA$65,(70+$A57)-59,70-59),1)*V57)))</f>
        <v>0.000388891212880968</v>
      </c>
      <c r="O58" s="32" t="n">
        <f aca="false">IF((72+$A57)&gt;=120,0,O57*(1-MIN(1,IFERROR(INDEX(Cohort_Survival!$B$5:$AA$65,(72+$A57)-59,72-59),1)*W57)))</f>
        <v>0</v>
      </c>
      <c r="P58" s="32" t="n">
        <f aca="false">IF((75+$A57)&gt;=120,0,P57*(1-MIN(1,IFERROR(INDEX(Cohort_Survival!$B$5:$AA$65,(75+$A57)-59,75-59),1)*X57)))</f>
        <v>0</v>
      </c>
      <c r="R58" s="11" t="n">
        <f aca="false">(1/(1+EXP(-(((CBD_Stochastic!$B$6+CBD_Stochastic!$B$8*(4+$A58))-CBD_Stochastic!$B$19*CBD_Stochastic!$B$17*SQRT((4+$A58)))+((CBD_Stochastic!$B$7+CBD_Stochastic!$B$9*(4+$A58))-CBD_Stochastic!$B$19*CBD_Stochastic!$B$13*CBD_Stochastic!$B$18*SQRT((4+$A58)))*((60+$A58)-CBD_Stochastic!$B$14)))))/(1/(1+EXP(-((CBD_Stochastic!$B$6+CBD_Stochastic!$B$8*(4+$A58))+(CBD_Stochastic!$B$7+CBD_Stochastic!$B$9*(4+$A58))*((60+$A58)-CBD_Stochastic!$B$14)))))</f>
        <v>0.586981935511307</v>
      </c>
      <c r="S58" s="11" t="n">
        <f aca="false">(1/(1+EXP(-(((CBD_Stochastic!$B$6+CBD_Stochastic!$B$8*(4+$A58))-CBD_Stochastic!$B$19*CBD_Stochastic!$B$17*SQRT((4+$A58)))+((CBD_Stochastic!$B$7+CBD_Stochastic!$B$9*(4+$A58))-CBD_Stochastic!$B$19*CBD_Stochastic!$B$13*CBD_Stochastic!$B$18*SQRT((4+$A58)))*((63+$A58)-CBD_Stochastic!$B$14)))))/(1/(1+EXP(-((CBD_Stochastic!$B$6+CBD_Stochastic!$B$8*(4+$A58))+(CBD_Stochastic!$B$7+CBD_Stochastic!$B$9*(4+$A58))*((63+$A58)-CBD_Stochastic!$B$14)))))</f>
        <v>0.633217603791076</v>
      </c>
      <c r="T58" s="11" t="n">
        <f aca="false">(1/(1+EXP(-(((CBD_Stochastic!$B$6+CBD_Stochastic!$B$8*(4+$A58))-CBD_Stochastic!$B$19*CBD_Stochastic!$B$17*SQRT((4+$A58)))+((CBD_Stochastic!$B$7+CBD_Stochastic!$B$9*(4+$A58))-CBD_Stochastic!$B$19*CBD_Stochastic!$B$13*CBD_Stochastic!$B$18*SQRT((4+$A58)))*((65+$A58)-CBD_Stochastic!$B$14)))))/(1/(1+EXP(-((CBD_Stochastic!$B$6+CBD_Stochastic!$B$8*(4+$A58))+(CBD_Stochastic!$B$7+CBD_Stochastic!$B$9*(4+$A58))*((65+$A58)-CBD_Stochastic!$B$14)))))</f>
        <v>0.668097018489394</v>
      </c>
      <c r="U58" s="11" t="n">
        <f aca="false">(1/(1+EXP(-(((CBD_Stochastic!$B$6+CBD_Stochastic!$B$8*(4+$A58))-CBD_Stochastic!$B$19*CBD_Stochastic!$B$17*SQRT((4+$A58)))+((CBD_Stochastic!$B$7+CBD_Stochastic!$B$9*(4+$A58))-CBD_Stochastic!$B$19*CBD_Stochastic!$B$13*CBD_Stochastic!$B$18*SQRT((4+$A58)))*((68+$A58)-CBD_Stochastic!$B$14)))))/(1/(1+EXP(-((CBD_Stochastic!$B$6+CBD_Stochastic!$B$8*(4+$A58))+(CBD_Stochastic!$B$7+CBD_Stochastic!$B$9*(4+$A58))*((68+$A58)-CBD_Stochastic!$B$14)))))</f>
        <v>0.72323140421484</v>
      </c>
      <c r="V58" s="11" t="n">
        <f aca="false">(1/(1+EXP(-(((CBD_Stochastic!$B$6+CBD_Stochastic!$B$8*(4+$A58))-CBD_Stochastic!$B$19*CBD_Stochastic!$B$17*SQRT((4+$A58)))+((CBD_Stochastic!$B$7+CBD_Stochastic!$B$9*(4+$A58))-CBD_Stochastic!$B$19*CBD_Stochastic!$B$13*CBD_Stochastic!$B$18*SQRT((4+$A58)))*((70+$A58)-CBD_Stochastic!$B$14)))))/(1/(1+EXP(-((CBD_Stochastic!$B$6+CBD_Stochastic!$B$8*(4+$A58))+(CBD_Stochastic!$B$7+CBD_Stochastic!$B$9*(4+$A58))*((70+$A58)-CBD_Stochastic!$B$14)))))</f>
        <v>0.759804676674675</v>
      </c>
      <c r="W58" s="11" t="n">
        <f aca="false">(1/(1+EXP(-(((CBD_Stochastic!$B$6+CBD_Stochastic!$B$8*(4+$A58))-CBD_Stochastic!$B$19*CBD_Stochastic!$B$17*SQRT((4+$A58)))+((CBD_Stochastic!$B$7+CBD_Stochastic!$B$9*(4+$A58))-CBD_Stochastic!$B$19*CBD_Stochastic!$B$13*CBD_Stochastic!$B$18*SQRT((4+$A58)))*((72+$A58)-CBD_Stochastic!$B$14)))))/(1/(1+EXP(-((CBD_Stochastic!$B$6+CBD_Stochastic!$B$8*(4+$A58))+(CBD_Stochastic!$B$7+CBD_Stochastic!$B$9*(4+$A58))*((72+$A58)-CBD_Stochastic!$B$14)))))</f>
        <v>0.794740410858522</v>
      </c>
      <c r="X58" s="11" t="n">
        <f aca="false">(1/(1+EXP(-(((CBD_Stochastic!$B$6+CBD_Stochastic!$B$8*(4+$A58))-CBD_Stochastic!$B$19*CBD_Stochastic!$B$17*SQRT((4+$A58)))+((CBD_Stochastic!$B$7+CBD_Stochastic!$B$9*(4+$A58))-CBD_Stochastic!$B$19*CBD_Stochastic!$B$13*CBD_Stochastic!$B$18*SQRT((4+$A58)))*((75+$A58)-CBD_Stochastic!$B$14)))))/(1/(1+EXP(-((CBD_Stochastic!$B$6+CBD_Stochastic!$B$8*(4+$A58))+(CBD_Stochastic!$B$7+CBD_Stochastic!$B$9*(4+$A58))*((75+$A58)-CBD_Stochastic!$B$14)))))</f>
        <v>0.842023191528297</v>
      </c>
    </row>
    <row r="59" customFormat="false" ht="15" hidden="false" customHeight="true" outlineLevel="0" collapsed="false">
      <c r="A59" s="1" t="n">
        <v>51</v>
      </c>
      <c r="B59" s="32" t="n">
        <f aca="false">IF((60+$A58)&gt;=120,0,B58*(1-MIN(1,IFERROR(INDEX(Cohort_Survival!$B$5:$AA$65,(60+$A58)-59,60-59),1)*(1-Assumptions!$B$21))))</f>
        <v>0.00942377548641105</v>
      </c>
      <c r="C59" s="32" t="n">
        <f aca="false">IF((63+$A58)&gt;=120,0,C58*(1-MIN(1,IFERROR(INDEX(Cohort_Survival!$B$5:$AA$65,(63+$A58)-59,63-59),1)*(1-Assumptions!$B$21))))</f>
        <v>0.0020762287042924</v>
      </c>
      <c r="D59" s="32" t="n">
        <f aca="false">IF((65+$A58)&gt;=120,0,D58*(1-MIN(1,IFERROR(INDEX(Cohort_Survival!$B$5:$AA$65,(65+$A58)-59,65-59),1)*(1-Assumptions!$B$21))))</f>
        <v>0.000675426774199205</v>
      </c>
      <c r="E59" s="32" t="n">
        <f aca="false">IF((68+$A58)&gt;=120,0,E58*(1-MIN(1,IFERROR(INDEX(Cohort_Survival!$B$5:$AA$65,(68+$A58)-59,68-59),1)*(1-Assumptions!$B$21))))</f>
        <v>0.000105291893452386</v>
      </c>
      <c r="F59" s="32" t="n">
        <f aca="false">IF((70+$A58)&gt;=120,0,F58*(1-MIN(1,IFERROR(INDEX(Cohort_Survival!$B$5:$AA$65,(70+$A58)-59,70-59),1)*(1-Assumptions!$B$21))))</f>
        <v>0</v>
      </c>
      <c r="G59" s="32" t="n">
        <f aca="false">IF((72+$A58)&gt;=120,0,G58*(1-MIN(1,IFERROR(INDEX(Cohort_Survival!$B$5:$AA$65,(72+$A58)-59,72-59),1)*(1-Assumptions!$B$21))))</f>
        <v>0</v>
      </c>
      <c r="H59" s="32" t="n">
        <f aca="false">IF((75+$A58)&gt;=120,0,H58*(1-MIN(1,IFERROR(INDEX(Cohort_Survival!$B$5:$AA$65,(75+$A58)-59,75-59),1)*(1-Assumptions!$B$21))))</f>
        <v>0</v>
      </c>
      <c r="J59" s="32" t="n">
        <f aca="false">IF((60+$A58)&gt;=120,0,J58*(1-MIN(1,IFERROR(INDEX(Cohort_Survival!$B$5:$AA$65,(60+$A58)-59,60-59),1)*R58)))</f>
        <v>0.03729455140178</v>
      </c>
      <c r="K59" s="32" t="n">
        <f aca="false">IF((63+$A58)&gt;=120,0,K58*(1-MIN(1,IFERROR(INDEX(Cohort_Survival!$B$5:$AA$65,(63+$A58)-59,63-59),1)*S58)))</f>
        <v>0.0113832818501939</v>
      </c>
      <c r="L59" s="32" t="n">
        <f aca="false">IF((65+$A58)&gt;=120,0,L58*(1-MIN(1,IFERROR(INDEX(Cohort_Survival!$B$5:$AA$65,(65+$A58)-59,65-59),1)*T58)))</f>
        <v>0.00440511577141662</v>
      </c>
      <c r="M59" s="32" t="n">
        <f aca="false">IF((68+$A58)&gt;=120,0,M58*(1-MIN(1,IFERROR(INDEX(Cohort_Survival!$B$5:$AA$65,(68+$A58)-59,68-59),1)*U58)))</f>
        <v>0.000802562620176735</v>
      </c>
      <c r="N59" s="32" t="n">
        <f aca="false">IF((70+$A58)&gt;=120,0,N58*(1-MIN(1,IFERROR(INDEX(Cohort_Survival!$B$5:$AA$65,(70+$A58)-59,70-59),1)*V58)))</f>
        <v>0</v>
      </c>
      <c r="O59" s="32" t="n">
        <f aca="false">IF((72+$A58)&gt;=120,0,O58*(1-MIN(1,IFERROR(INDEX(Cohort_Survival!$B$5:$AA$65,(72+$A58)-59,72-59),1)*W58)))</f>
        <v>0</v>
      </c>
      <c r="P59" s="32" t="n">
        <f aca="false">IF((75+$A58)&gt;=120,0,P58*(1-MIN(1,IFERROR(INDEX(Cohort_Survival!$B$5:$AA$65,(75+$A58)-59,75-59),1)*X58)))</f>
        <v>0</v>
      </c>
      <c r="R59" s="11" t="n">
        <f aca="false">(1/(1+EXP(-(((CBD_Stochastic!$B$6+CBD_Stochastic!$B$8*(4+$A59))-CBD_Stochastic!$B$19*CBD_Stochastic!$B$17*SQRT((4+$A59)))+((CBD_Stochastic!$B$7+CBD_Stochastic!$B$9*(4+$A59))-CBD_Stochastic!$B$19*CBD_Stochastic!$B$13*CBD_Stochastic!$B$18*SQRT((4+$A59)))*((60+$A59)-CBD_Stochastic!$B$14)))))/(1/(1+EXP(-((CBD_Stochastic!$B$6+CBD_Stochastic!$B$8*(4+$A59))+(CBD_Stochastic!$B$7+CBD_Stochastic!$B$9*(4+$A59))*((60+$A59)-CBD_Stochastic!$B$14)))))</f>
        <v>0.59763255779788</v>
      </c>
      <c r="S59" s="11" t="n">
        <f aca="false">(1/(1+EXP(-(((CBD_Stochastic!$B$6+CBD_Stochastic!$B$8*(4+$A59))-CBD_Stochastic!$B$19*CBD_Stochastic!$B$17*SQRT((4+$A59)))+((CBD_Stochastic!$B$7+CBD_Stochastic!$B$9*(4+$A59))-CBD_Stochastic!$B$19*CBD_Stochastic!$B$13*CBD_Stochastic!$B$18*SQRT((4+$A59)))*((63+$A59)-CBD_Stochastic!$B$14)))))/(1/(1+EXP(-((CBD_Stochastic!$B$6+CBD_Stochastic!$B$8*(4+$A59))+(CBD_Stochastic!$B$7+CBD_Stochastic!$B$9*(4+$A59))*((63+$A59)-CBD_Stochastic!$B$14)))))</f>
        <v>0.646934688448585</v>
      </c>
      <c r="T59" s="11" t="n">
        <f aca="false">(1/(1+EXP(-(((CBD_Stochastic!$B$6+CBD_Stochastic!$B$8*(4+$A59))-CBD_Stochastic!$B$19*CBD_Stochastic!$B$17*SQRT((4+$A59)))+((CBD_Stochastic!$B$7+CBD_Stochastic!$B$9*(4+$A59))-CBD_Stochastic!$B$19*CBD_Stochastic!$B$13*CBD_Stochastic!$B$18*SQRT((4+$A59)))*((65+$A59)-CBD_Stochastic!$B$14)))))/(1/(1+EXP(-((CBD_Stochastic!$B$6+CBD_Stochastic!$B$8*(4+$A59))+(CBD_Stochastic!$B$7+CBD_Stochastic!$B$9*(4+$A59))*((65+$A59)-CBD_Stochastic!$B$14)))))</f>
        <v>0.683174305682486</v>
      </c>
      <c r="U59" s="11" t="n">
        <f aca="false">(1/(1+EXP(-(((CBD_Stochastic!$B$6+CBD_Stochastic!$B$8*(4+$A59))-CBD_Stochastic!$B$19*CBD_Stochastic!$B$17*SQRT((4+$A59)))+((CBD_Stochastic!$B$7+CBD_Stochastic!$B$9*(4+$A59))-CBD_Stochastic!$B$19*CBD_Stochastic!$B$13*CBD_Stochastic!$B$18*SQRT((4+$A59)))*((68+$A59)-CBD_Stochastic!$B$14)))))/(1/(1+EXP(-((CBD_Stochastic!$B$6+CBD_Stochastic!$B$8*(4+$A59))+(CBD_Stochastic!$B$7+CBD_Stochastic!$B$9*(4+$A59))*((68+$A59)-CBD_Stochastic!$B$14)))))</f>
        <v>0.73910195831452</v>
      </c>
      <c r="V59" s="11" t="n">
        <f aca="false">(1/(1+EXP(-(((CBD_Stochastic!$B$6+CBD_Stochastic!$B$8*(4+$A59))-CBD_Stochastic!$B$19*CBD_Stochastic!$B$17*SQRT((4+$A59)))+((CBD_Stochastic!$B$7+CBD_Stochastic!$B$9*(4+$A59))-CBD_Stochastic!$B$19*CBD_Stochastic!$B$13*CBD_Stochastic!$B$18*SQRT((4+$A59)))*((70+$A59)-CBD_Stochastic!$B$14)))))/(1/(1+EXP(-((CBD_Stochastic!$B$6+CBD_Stochastic!$B$8*(4+$A59))+(CBD_Stochastic!$B$7+CBD_Stochastic!$B$9*(4+$A59))*((70+$A59)-CBD_Stochastic!$B$14)))))</f>
        <v>0.775390829523731</v>
      </c>
      <c r="W59" s="11" t="n">
        <f aca="false">(1/(1+EXP(-(((CBD_Stochastic!$B$6+CBD_Stochastic!$B$8*(4+$A59))-CBD_Stochastic!$B$19*CBD_Stochastic!$B$17*SQRT((4+$A59)))+((CBD_Stochastic!$B$7+CBD_Stochastic!$B$9*(4+$A59))-CBD_Stochastic!$B$19*CBD_Stochastic!$B$13*CBD_Stochastic!$B$18*SQRT((4+$A59)))*((72+$A59)-CBD_Stochastic!$B$14)))))/(1/(1+EXP(-((CBD_Stochastic!$B$6+CBD_Stochastic!$B$8*(4+$A59))+(CBD_Stochastic!$B$7+CBD_Stochastic!$B$9*(4+$A59))*((72+$A59)-CBD_Stochastic!$B$14)))))</f>
        <v>0.80950262388907</v>
      </c>
      <c r="X59" s="11" t="n">
        <f aca="false">(1/(1+EXP(-(((CBD_Stochastic!$B$6+CBD_Stochastic!$B$8*(4+$A59))-CBD_Stochastic!$B$19*CBD_Stochastic!$B$17*SQRT((4+$A59)))+((CBD_Stochastic!$B$7+CBD_Stochastic!$B$9*(4+$A59))-CBD_Stochastic!$B$19*CBD_Stochastic!$B$13*CBD_Stochastic!$B$18*SQRT((4+$A59)))*((75+$A59)-CBD_Stochastic!$B$14)))))/(1/(1+EXP(-((CBD_Stochastic!$B$6+CBD_Stochastic!$B$8*(4+$A59))+(CBD_Stochastic!$B$7+CBD_Stochastic!$B$9*(4+$A59))*((75+$A59)-CBD_Stochastic!$B$14)))))</f>
        <v>0.854862060533164</v>
      </c>
    </row>
    <row r="60" customFormat="false" ht="15" hidden="false" customHeight="true" outlineLevel="0" collapsed="false">
      <c r="A60" s="1" t="n">
        <v>52</v>
      </c>
      <c r="B60" s="32" t="n">
        <f aca="false">IF((60+$A59)&gt;=120,0,B59*(1-MIN(1,IFERROR(INDEX(Cohort_Survival!$B$5:$AA$65,(60+$A59)-59,60-59),1)*(1-Assumptions!$B$21))))</f>
        <v>0.00596910881425796</v>
      </c>
      <c r="C60" s="32" t="n">
        <f aca="false">IF((63+$A59)&gt;=120,0,C59*(1-MIN(1,IFERROR(INDEX(Cohort_Survival!$B$5:$AA$65,(63+$A59)-59,63-59),1)*(1-Assumptions!$B$21))))</f>
        <v>0.00122823937297225</v>
      </c>
      <c r="D60" s="32" t="n">
        <f aca="false">IF((65+$A59)&gt;=120,0,D59*(1-MIN(1,IFERROR(INDEX(Cohort_Survival!$B$5:$AA$65,(65+$A59)-59,65-59),1)*(1-Assumptions!$B$21))))</f>
        <v>0.000381290698777526</v>
      </c>
      <c r="E60" s="32" t="n">
        <f aca="false">IF((68+$A59)&gt;=120,0,E59*(1-MIN(1,IFERROR(INDEX(Cohort_Survival!$B$5:$AA$65,(68+$A59)-59,68-59),1)*(1-Assumptions!$B$21))))</f>
        <v>5.53717777133312E-005</v>
      </c>
      <c r="F60" s="32" t="n">
        <f aca="false">IF((70+$A59)&gt;=120,0,F59*(1-MIN(1,IFERROR(INDEX(Cohort_Survival!$B$5:$AA$65,(70+$A59)-59,70-59),1)*(1-Assumptions!$B$21))))</f>
        <v>0</v>
      </c>
      <c r="G60" s="32" t="n">
        <f aca="false">IF((72+$A59)&gt;=120,0,G59*(1-MIN(1,IFERROR(INDEX(Cohort_Survival!$B$5:$AA$65,(72+$A59)-59,72-59),1)*(1-Assumptions!$B$21))))</f>
        <v>0</v>
      </c>
      <c r="H60" s="32" t="n">
        <f aca="false">IF((75+$A59)&gt;=120,0,H59*(1-MIN(1,IFERROR(INDEX(Cohort_Survival!$B$5:$AA$65,(75+$A59)-59,75-59),1)*(1-Assumptions!$B$21))))</f>
        <v>0</v>
      </c>
      <c r="J60" s="32" t="n">
        <f aca="false">IF((60+$A59)&gt;=120,0,J59*(1-MIN(1,IFERROR(INDEX(Cohort_Survival!$B$5:$AA$65,(60+$A59)-59,60-59),1)*R59)))</f>
        <v>0.0270811389869586</v>
      </c>
      <c r="K60" s="32" t="n">
        <f aca="false">IF((63+$A59)&gt;=120,0,K59*(1-MIN(1,IFERROR(INDEX(Cohort_Survival!$B$5:$AA$65,(63+$A59)-59,63-59),1)*S59)))</f>
        <v>0.00762358232066765</v>
      </c>
      <c r="L60" s="32" t="n">
        <f aca="false">IF((65+$A59)&gt;=120,0,L59*(1-MIN(1,IFERROR(INDEX(Cohort_Survival!$B$5:$AA$65,(65+$A59)-59,65-59),1)*T59)))</f>
        <v>0.00276690836549028</v>
      </c>
      <c r="M60" s="32" t="n">
        <f aca="false">IF((68+$A59)&gt;=120,0,M59*(1-MIN(1,IFERROR(INDEX(Cohort_Survival!$B$5:$AA$65,(68+$A59)-59,68-59),1)*U59)))</f>
        <v>0.000451023272672651</v>
      </c>
      <c r="N60" s="32" t="n">
        <f aca="false">IF((70+$A59)&gt;=120,0,N59*(1-MIN(1,IFERROR(INDEX(Cohort_Survival!$B$5:$AA$65,(70+$A59)-59,70-59),1)*V59)))</f>
        <v>0</v>
      </c>
      <c r="O60" s="32" t="n">
        <f aca="false">IF((72+$A59)&gt;=120,0,O59*(1-MIN(1,IFERROR(INDEX(Cohort_Survival!$B$5:$AA$65,(72+$A59)-59,72-59),1)*W59)))</f>
        <v>0</v>
      </c>
      <c r="P60" s="32" t="n">
        <f aca="false">IF((75+$A59)&gt;=120,0,P59*(1-MIN(1,IFERROR(INDEX(Cohort_Survival!$B$5:$AA$65,(75+$A59)-59,75-59),1)*X59)))</f>
        <v>0</v>
      </c>
      <c r="R60" s="11" t="n">
        <f aca="false">(1/(1+EXP(-(((CBD_Stochastic!$B$6+CBD_Stochastic!$B$8*(4+$A60))-CBD_Stochastic!$B$19*CBD_Stochastic!$B$17*SQRT((4+$A60)))+((CBD_Stochastic!$B$7+CBD_Stochastic!$B$9*(4+$A60))-CBD_Stochastic!$B$19*CBD_Stochastic!$B$13*CBD_Stochastic!$B$18*SQRT((4+$A60)))*((60+$A60)-CBD_Stochastic!$B$14)))))/(1/(1+EXP(-((CBD_Stochastic!$B$6+CBD_Stochastic!$B$8*(4+$A60))+(CBD_Stochastic!$B$7+CBD_Stochastic!$B$9*(4+$A60))*((60+$A60)-CBD_Stochastic!$B$14)))))</f>
        <v>0.60955184264365</v>
      </c>
      <c r="S60" s="11" t="n">
        <f aca="false">(1/(1+EXP(-(((CBD_Stochastic!$B$6+CBD_Stochastic!$B$8*(4+$A60))-CBD_Stochastic!$B$19*CBD_Stochastic!$B$17*SQRT((4+$A60)))+((CBD_Stochastic!$B$7+CBD_Stochastic!$B$9*(4+$A60))-CBD_Stochastic!$B$19*CBD_Stochastic!$B$13*CBD_Stochastic!$B$18*SQRT((4+$A60)))*((63+$A60)-CBD_Stochastic!$B$14)))))/(1/(1+EXP(-((CBD_Stochastic!$B$6+CBD_Stochastic!$B$8*(4+$A60))+(CBD_Stochastic!$B$7+CBD_Stochastic!$B$9*(4+$A60))*((63+$A60)-CBD_Stochastic!$B$14)))))</f>
        <v>0.661592171734801</v>
      </c>
      <c r="T60" s="11" t="n">
        <f aca="false">(1/(1+EXP(-(((CBD_Stochastic!$B$6+CBD_Stochastic!$B$8*(4+$A60))-CBD_Stochastic!$B$19*CBD_Stochastic!$B$17*SQRT((4+$A60)))+((CBD_Stochastic!$B$7+CBD_Stochastic!$B$9*(4+$A60))-CBD_Stochastic!$B$19*CBD_Stochastic!$B$13*CBD_Stochastic!$B$18*SQRT((4+$A60)))*((65+$A60)-CBD_Stochastic!$B$14)))))/(1/(1+EXP(-((CBD_Stochastic!$B$6+CBD_Stochastic!$B$8*(4+$A60))+(CBD_Stochastic!$B$7+CBD_Stochastic!$B$9*(4+$A60))*((65+$A60)-CBD_Stochastic!$B$14)))))</f>
        <v>0.698890751613465</v>
      </c>
      <c r="U60" s="11" t="n">
        <f aca="false">(1/(1+EXP(-(((CBD_Stochastic!$B$6+CBD_Stochastic!$B$8*(4+$A60))-CBD_Stochastic!$B$19*CBD_Stochastic!$B$17*SQRT((4+$A60)))+((CBD_Stochastic!$B$7+CBD_Stochastic!$B$9*(4+$A60))-CBD_Stochastic!$B$19*CBD_Stochastic!$B$13*CBD_Stochastic!$B$18*SQRT((4+$A60)))*((68+$A60)-CBD_Stochastic!$B$14)))))/(1/(1+EXP(-((CBD_Stochastic!$B$6+CBD_Stochastic!$B$8*(4+$A60))+(CBD_Stochastic!$B$7+CBD_Stochastic!$B$9*(4+$A60))*((68+$A60)-CBD_Stochastic!$B$14)))))</f>
        <v>0.755125749469032</v>
      </c>
      <c r="V60" s="11" t="n">
        <f aca="false">(1/(1+EXP(-(((CBD_Stochastic!$B$6+CBD_Stochastic!$B$8*(4+$A60))-CBD_Stochastic!$B$19*CBD_Stochastic!$B$17*SQRT((4+$A60)))+((CBD_Stochastic!$B$7+CBD_Stochastic!$B$9*(4+$A60))-CBD_Stochastic!$B$19*CBD_Stochastic!$B$13*CBD_Stochastic!$B$18*SQRT((4+$A60)))*((70+$A60)-CBD_Stochastic!$B$14)))))/(1/(1+EXP(-((CBD_Stochastic!$B$6+CBD_Stochastic!$B$8*(4+$A60))+(CBD_Stochastic!$B$7+CBD_Stochastic!$B$9*(4+$A60))*((70+$A60)-CBD_Stochastic!$B$14)))))</f>
        <v>0.790839798661016</v>
      </c>
      <c r="W60" s="11" t="n">
        <f aca="false">(1/(1+EXP(-(((CBD_Stochastic!$B$6+CBD_Stochastic!$B$8*(4+$A60))-CBD_Stochastic!$B$19*CBD_Stochastic!$B$17*SQRT((4+$A60)))+((CBD_Stochastic!$B$7+CBD_Stochastic!$B$9*(4+$A60))-CBD_Stochastic!$B$19*CBD_Stochastic!$B$13*CBD_Stochastic!$B$18*SQRT((4+$A60)))*((72+$A60)-CBD_Stochastic!$B$14)))))/(1/(1+EXP(-((CBD_Stochastic!$B$6+CBD_Stochastic!$B$8*(4+$A60))+(CBD_Stochastic!$B$7+CBD_Stochastic!$B$9*(4+$A60))*((72+$A60)-CBD_Stochastic!$B$14)))))</f>
        <v>0.823897191796696</v>
      </c>
      <c r="X60" s="11" t="n">
        <f aca="false">(1/(1+EXP(-(((CBD_Stochastic!$B$6+CBD_Stochastic!$B$8*(4+$A60))-CBD_Stochastic!$B$19*CBD_Stochastic!$B$17*SQRT((4+$A60)))+((CBD_Stochastic!$B$7+CBD_Stochastic!$B$9*(4+$A60))-CBD_Stochastic!$B$19*CBD_Stochastic!$B$13*CBD_Stochastic!$B$18*SQRT((4+$A60)))*((75+$A60)-CBD_Stochastic!$B$14)))))/(1/(1+EXP(-((CBD_Stochastic!$B$6+CBD_Stochastic!$B$8*(4+$A60))+(CBD_Stochastic!$B$7+CBD_Stochastic!$B$9*(4+$A60))*((75+$A60)-CBD_Stochastic!$B$14)))))</f>
        <v>0.867122753600822</v>
      </c>
    </row>
    <row r="61" customFormat="false" ht="15" hidden="false" customHeight="true" outlineLevel="0" collapsed="false">
      <c r="A61" s="1" t="n">
        <v>53</v>
      </c>
      <c r="B61" s="32" t="n">
        <f aca="false">IF((60+$A60)&gt;=120,0,B60*(1-MIN(1,IFERROR(INDEX(Cohort_Survival!$B$5:$AA$65,(60+$A60)-59,60-59),1)*(1-Assumptions!$B$21))))</f>
        <v>0.0036969624016462</v>
      </c>
      <c r="C61" s="32" t="n">
        <f aca="false">IF((63+$A60)&gt;=120,0,C60*(1-MIN(1,IFERROR(INDEX(Cohort_Survival!$B$5:$AA$65,(63+$A60)-59,63-59),1)*(1-Assumptions!$B$21))))</f>
        <v>0.000709844190540706</v>
      </c>
      <c r="D61" s="32" t="n">
        <f aca="false">IF((65+$A60)&gt;=120,0,D60*(1-MIN(1,IFERROR(INDEX(Cohort_Survival!$B$5:$AA$65,(65+$A60)-59,65-59),1)*(1-Assumptions!$B$21))))</f>
        <v>0.00021022508212064</v>
      </c>
      <c r="E61" s="32" t="n">
        <f aca="false">IF((68+$A60)&gt;=120,0,E60*(1-MIN(1,IFERROR(INDEX(Cohort_Survival!$B$5:$AA$65,(68+$A60)-59,68-59),1)*(1-Assumptions!$B$21))))</f>
        <v>0</v>
      </c>
      <c r="F61" s="32" t="n">
        <f aca="false">IF((70+$A60)&gt;=120,0,F60*(1-MIN(1,IFERROR(INDEX(Cohort_Survival!$B$5:$AA$65,(70+$A60)-59,70-59),1)*(1-Assumptions!$B$21))))</f>
        <v>0</v>
      </c>
      <c r="G61" s="32" t="n">
        <f aca="false">IF((72+$A60)&gt;=120,0,G60*(1-MIN(1,IFERROR(INDEX(Cohort_Survival!$B$5:$AA$65,(72+$A60)-59,72-59),1)*(1-Assumptions!$B$21))))</f>
        <v>0</v>
      </c>
      <c r="H61" s="32" t="n">
        <f aca="false">IF((75+$A60)&gt;=120,0,H60*(1-MIN(1,IFERROR(INDEX(Cohort_Survival!$B$5:$AA$65,(75+$A60)-59,75-59),1)*(1-Assumptions!$B$21))))</f>
        <v>0</v>
      </c>
      <c r="J61" s="32" t="n">
        <f aca="false">IF((60+$A60)&gt;=120,0,J60*(1-MIN(1,IFERROR(INDEX(Cohort_Survival!$B$5:$AA$65,(60+$A60)-59,60-59),1)*R60)))</f>
        <v>0.0192267138508819</v>
      </c>
      <c r="K61" s="32" t="n">
        <f aca="false">IF((63+$A60)&gt;=120,0,K60*(1-MIN(1,IFERROR(INDEX(Cohort_Survival!$B$5:$AA$65,(63+$A60)-59,63-59),1)*S60)))</f>
        <v>0.00496262807695176</v>
      </c>
      <c r="L61" s="32" t="n">
        <f aca="false">IF((65+$A60)&gt;=120,0,L60*(1-MIN(1,IFERROR(INDEX(Cohort_Survival!$B$5:$AA$65,(65+$A60)-59,65-59),1)*T60)))</f>
        <v>0.00168243073314761</v>
      </c>
      <c r="M61" s="32" t="n">
        <f aca="false">IF((68+$A60)&gt;=120,0,M60*(1-MIN(1,IFERROR(INDEX(Cohort_Survival!$B$5:$AA$65,(68+$A60)-59,68-59),1)*U60)))</f>
        <v>0</v>
      </c>
      <c r="N61" s="32" t="n">
        <f aca="false">IF((70+$A60)&gt;=120,0,N60*(1-MIN(1,IFERROR(INDEX(Cohort_Survival!$B$5:$AA$65,(70+$A60)-59,70-59),1)*V60)))</f>
        <v>0</v>
      </c>
      <c r="O61" s="32" t="n">
        <f aca="false">IF((72+$A60)&gt;=120,0,O60*(1-MIN(1,IFERROR(INDEX(Cohort_Survival!$B$5:$AA$65,(72+$A60)-59,72-59),1)*W60)))</f>
        <v>0</v>
      </c>
      <c r="P61" s="32" t="n">
        <f aca="false">IF((75+$A60)&gt;=120,0,P60*(1-MIN(1,IFERROR(INDEX(Cohort_Survival!$B$5:$AA$65,(75+$A60)-59,75-59),1)*X60)))</f>
        <v>0</v>
      </c>
      <c r="R61" s="11" t="n">
        <f aca="false">(1/(1+EXP(-(((CBD_Stochastic!$B$6+CBD_Stochastic!$B$8*(4+$A61))-CBD_Stochastic!$B$19*CBD_Stochastic!$B$17*SQRT((4+$A61)))+((CBD_Stochastic!$B$7+CBD_Stochastic!$B$9*(4+$A61))-CBD_Stochastic!$B$19*CBD_Stochastic!$B$13*CBD_Stochastic!$B$18*SQRT((4+$A61)))*((60+$A61)-CBD_Stochastic!$B$14)))))/(1/(1+EXP(-((CBD_Stochastic!$B$6+CBD_Stochastic!$B$8*(4+$A61))+(CBD_Stochastic!$B$7+CBD_Stochastic!$B$9*(4+$A61))*((60+$A61)-CBD_Stochastic!$B$14)))))</f>
        <v>0.622665057039415</v>
      </c>
      <c r="S61" s="11" t="n">
        <f aca="false">(1/(1+EXP(-(((CBD_Stochastic!$B$6+CBD_Stochastic!$B$8*(4+$A61))-CBD_Stochastic!$B$19*CBD_Stochastic!$B$17*SQRT((4+$A61)))+((CBD_Stochastic!$B$7+CBD_Stochastic!$B$9*(4+$A61))-CBD_Stochastic!$B$19*CBD_Stochastic!$B$13*CBD_Stochastic!$B$18*SQRT((4+$A61)))*((63+$A61)-CBD_Stochastic!$B$14)))))/(1/(1+EXP(-((CBD_Stochastic!$B$6+CBD_Stochastic!$B$8*(4+$A61))+(CBD_Stochastic!$B$7+CBD_Stochastic!$B$9*(4+$A61))*((63+$A61)-CBD_Stochastic!$B$14)))))</f>
        <v>0.677055562916703</v>
      </c>
      <c r="T61" s="11" t="n">
        <f aca="false">(1/(1+EXP(-(((CBD_Stochastic!$B$6+CBD_Stochastic!$B$8*(4+$A61))-CBD_Stochastic!$B$19*CBD_Stochastic!$B$17*SQRT((4+$A61)))+((CBD_Stochastic!$B$7+CBD_Stochastic!$B$9*(4+$A61))-CBD_Stochastic!$B$19*CBD_Stochastic!$B$13*CBD_Stochastic!$B$18*SQRT((4+$A61)))*((65+$A61)-CBD_Stochastic!$B$14)))))/(1/(1+EXP(-((CBD_Stochastic!$B$6+CBD_Stochastic!$B$8*(4+$A61))+(CBD_Stochastic!$B$7+CBD_Stochastic!$B$9*(4+$A61))*((65+$A61)-CBD_Stochastic!$B$14)))))</f>
        <v>0.715089857127905</v>
      </c>
      <c r="U61" s="11" t="n">
        <f aca="false">(1/(1+EXP(-(((CBD_Stochastic!$B$6+CBD_Stochastic!$B$8*(4+$A61))-CBD_Stochastic!$B$19*CBD_Stochastic!$B$17*SQRT((4+$A61)))+((CBD_Stochastic!$B$7+CBD_Stochastic!$B$9*(4+$A61))-CBD_Stochastic!$B$19*CBD_Stochastic!$B$13*CBD_Stochastic!$B$18*SQRT((4+$A61)))*((68+$A61)-CBD_Stochastic!$B$14)))))/(1/(1+EXP(-((CBD_Stochastic!$B$6+CBD_Stochastic!$B$8*(4+$A61))+(CBD_Stochastic!$B$7+CBD_Stochastic!$B$9*(4+$A61))*((68+$A61)-CBD_Stochastic!$B$14)))))</f>
        <v>0.771149128707972</v>
      </c>
      <c r="V61" s="11" t="n">
        <f aca="false">(1/(1+EXP(-(((CBD_Stochastic!$B$6+CBD_Stochastic!$B$8*(4+$A61))-CBD_Stochastic!$B$19*CBD_Stochastic!$B$17*SQRT((4+$A61)))+((CBD_Stochastic!$B$7+CBD_Stochastic!$B$9*(4+$A61))-CBD_Stochastic!$B$19*CBD_Stochastic!$B$13*CBD_Stochastic!$B$18*SQRT((4+$A61)))*((70+$A61)-CBD_Stochastic!$B$14)))))/(1/(1+EXP(-((CBD_Stochastic!$B$6+CBD_Stochastic!$B$8*(4+$A61))+(CBD_Stochastic!$B$7+CBD_Stochastic!$B$9*(4+$A61))*((70+$A61)-CBD_Stochastic!$B$14)))))</f>
        <v>0.806020339902809</v>
      </c>
      <c r="W61" s="11" t="n">
        <f aca="false">(1/(1+EXP(-(((CBD_Stochastic!$B$6+CBD_Stochastic!$B$8*(4+$A61))-CBD_Stochastic!$B$19*CBD_Stochastic!$B$17*SQRT((4+$A61)))+((CBD_Stochastic!$B$7+CBD_Stochastic!$B$9*(4+$A61))-CBD_Stochastic!$B$19*CBD_Stochastic!$B$13*CBD_Stochastic!$B$18*SQRT((4+$A61)))*((72+$A61)-CBD_Stochastic!$B$14)))))/(1/(1+EXP(-((CBD_Stochastic!$B$6+CBD_Stochastic!$B$8*(4+$A61))+(CBD_Stochastic!$B$7+CBD_Stochastic!$B$9*(4+$A61))*((72+$A61)-CBD_Stochastic!$B$14)))))</f>
        <v>0.837824505917269</v>
      </c>
      <c r="X61" s="11" t="n">
        <f aca="false">(1/(1+EXP(-(((CBD_Stochastic!$B$6+CBD_Stochastic!$B$8*(4+$A61))-CBD_Stochastic!$B$19*CBD_Stochastic!$B$17*SQRT((4+$A61)))+((CBD_Stochastic!$B$7+CBD_Stochastic!$B$9*(4+$A61))-CBD_Stochastic!$B$19*CBD_Stochastic!$B$13*CBD_Stochastic!$B$18*SQRT((4+$A61)))*((75+$A61)-CBD_Stochastic!$B$14)))))/(1/(1+EXP(-((CBD_Stochastic!$B$6+CBD_Stochastic!$B$8*(4+$A61))+(CBD_Stochastic!$B$7+CBD_Stochastic!$B$9*(4+$A61))*((75+$A61)-CBD_Stochastic!$B$14)))))</f>
        <v>0.878755614308504</v>
      </c>
    </row>
    <row r="62" customFormat="false" ht="15" hidden="false" customHeight="true" outlineLevel="0" collapsed="false">
      <c r="A62" s="1" t="n">
        <v>54</v>
      </c>
      <c r="B62" s="32" t="n">
        <f aca="false">IF((60+$A61)&gt;=120,0,B61*(1-MIN(1,IFERROR(INDEX(Cohort_Survival!$B$5:$AA$65,(60+$A61)-59,60-59),1)*(1-Assumptions!$B$21))))</f>
        <v>0.0022381025446192</v>
      </c>
      <c r="C62" s="32" t="n">
        <f aca="false">IF((63+$A61)&gt;=120,0,C61*(1-MIN(1,IFERROR(INDEX(Cohort_Survival!$B$5:$AA$65,(63+$A61)-59,63-59),1)*(1-Assumptions!$B$21))))</f>
        <v>0.000400719956290344</v>
      </c>
      <c r="D62" s="32" t="n">
        <f aca="false">IF((65+$A61)&gt;=120,0,D61*(1-MIN(1,IFERROR(INDEX(Cohort_Survival!$B$5:$AA$65,(65+$A61)-59,65-59),1)*(1-Assumptions!$B$21))))</f>
        <v>0.000113198975617487</v>
      </c>
      <c r="E62" s="32" t="n">
        <f aca="false">IF((68+$A61)&gt;=120,0,E61*(1-MIN(1,IFERROR(INDEX(Cohort_Survival!$B$5:$AA$65,(68+$A61)-59,68-59),1)*(1-Assumptions!$B$21))))</f>
        <v>0</v>
      </c>
      <c r="F62" s="32" t="n">
        <f aca="false">IF((70+$A61)&gt;=120,0,F61*(1-MIN(1,IFERROR(INDEX(Cohort_Survival!$B$5:$AA$65,(70+$A61)-59,70-59),1)*(1-Assumptions!$B$21))))</f>
        <v>0</v>
      </c>
      <c r="G62" s="32" t="n">
        <f aca="false">IF((72+$A61)&gt;=120,0,G61*(1-MIN(1,IFERROR(INDEX(Cohort_Survival!$B$5:$AA$65,(72+$A61)-59,72-59),1)*(1-Assumptions!$B$21))))</f>
        <v>0</v>
      </c>
      <c r="H62" s="32" t="n">
        <f aca="false">IF((75+$A61)&gt;=120,0,H61*(1-MIN(1,IFERROR(INDEX(Cohort_Survival!$B$5:$AA$65,(75+$A61)-59,75-59),1)*(1-Assumptions!$B$21))))</f>
        <v>0</v>
      </c>
      <c r="J62" s="32" t="n">
        <f aca="false">IF((60+$A61)&gt;=120,0,J61*(1-MIN(1,IFERROR(INDEX(Cohort_Survival!$B$5:$AA$65,(60+$A61)-59,60-59),1)*R61)))</f>
        <v>0.0133214662666783</v>
      </c>
      <c r="K62" s="32" t="n">
        <f aca="false">IF((63+$A61)&gt;=120,0,K61*(1-MIN(1,IFERROR(INDEX(Cohort_Survival!$B$5:$AA$65,(63+$A61)-59,63-59),1)*S61)))</f>
        <v>0.00313361810514859</v>
      </c>
      <c r="L62" s="32" t="n">
        <f aca="false">IF((65+$A61)&gt;=120,0,L61*(1-MIN(1,IFERROR(INDEX(Cohort_Survival!$B$5:$AA$65,(65+$A61)-59,65-59),1)*T61)))</f>
        <v>0.000988346949977783</v>
      </c>
      <c r="M62" s="32" t="n">
        <f aca="false">IF((68+$A61)&gt;=120,0,M61*(1-MIN(1,IFERROR(INDEX(Cohort_Survival!$B$5:$AA$65,(68+$A61)-59,68-59),1)*U61)))</f>
        <v>0</v>
      </c>
      <c r="N62" s="32" t="n">
        <f aca="false">IF((70+$A61)&gt;=120,0,N61*(1-MIN(1,IFERROR(INDEX(Cohort_Survival!$B$5:$AA$65,(70+$A61)-59,70-59),1)*V61)))</f>
        <v>0</v>
      </c>
      <c r="O62" s="32" t="n">
        <f aca="false">IF((72+$A61)&gt;=120,0,O61*(1-MIN(1,IFERROR(INDEX(Cohort_Survival!$B$5:$AA$65,(72+$A61)-59,72-59),1)*W61)))</f>
        <v>0</v>
      </c>
      <c r="P62" s="32" t="n">
        <f aca="false">IF((75+$A61)&gt;=120,0,P61*(1-MIN(1,IFERROR(INDEX(Cohort_Survival!$B$5:$AA$65,(75+$A61)-59,75-59),1)*X61)))</f>
        <v>0</v>
      </c>
      <c r="R62" s="11" t="n">
        <f aca="false">(1/(1+EXP(-(((CBD_Stochastic!$B$6+CBD_Stochastic!$B$8*(4+$A62))-CBD_Stochastic!$B$19*CBD_Stochastic!$B$17*SQRT((4+$A62)))+((CBD_Stochastic!$B$7+CBD_Stochastic!$B$9*(4+$A62))-CBD_Stochastic!$B$19*CBD_Stochastic!$B$13*CBD_Stochastic!$B$18*SQRT((4+$A62)))*((60+$A62)-CBD_Stochastic!$B$14)))))/(1/(1+EXP(-((CBD_Stochastic!$B$6+CBD_Stochastic!$B$8*(4+$A62))+(CBD_Stochastic!$B$7+CBD_Stochastic!$B$9*(4+$A62))*((60+$A62)-CBD_Stochastic!$B$14)))))</f>
        <v>0.636874773609029</v>
      </c>
      <c r="S62" s="11" t="n">
        <f aca="false">(1/(1+EXP(-(((CBD_Stochastic!$B$6+CBD_Stochastic!$B$8*(4+$A62))-CBD_Stochastic!$B$19*CBD_Stochastic!$B$17*SQRT((4+$A62)))+((CBD_Stochastic!$B$7+CBD_Stochastic!$B$9*(4+$A62))-CBD_Stochastic!$B$19*CBD_Stochastic!$B$13*CBD_Stochastic!$B$18*SQRT((4+$A62)))*((63+$A62)-CBD_Stochastic!$B$14)))))/(1/(1+EXP(-((CBD_Stochastic!$B$6+CBD_Stochastic!$B$8*(4+$A62))+(CBD_Stochastic!$B$7+CBD_Stochastic!$B$9*(4+$A62))*((63+$A62)-CBD_Stochastic!$B$14)))))</f>
        <v>0.693175226511265</v>
      </c>
      <c r="T62" s="11" t="n">
        <f aca="false">(1/(1+EXP(-(((CBD_Stochastic!$B$6+CBD_Stochastic!$B$8*(4+$A62))-CBD_Stochastic!$B$19*CBD_Stochastic!$B$17*SQRT((4+$A62)))+((CBD_Stochastic!$B$7+CBD_Stochastic!$B$9*(4+$A62))-CBD_Stochastic!$B$19*CBD_Stochastic!$B$13*CBD_Stochastic!$B$18*SQRT((4+$A62)))*((65+$A62)-CBD_Stochastic!$B$14)))))/(1/(1+EXP(-((CBD_Stochastic!$B$6+CBD_Stochastic!$B$8*(4+$A62))+(CBD_Stochastic!$B$7+CBD_Stochastic!$B$9*(4+$A62))*((65+$A62)-CBD_Stochastic!$B$14)))))</f>
        <v>0.731608813255752</v>
      </c>
      <c r="U62" s="11" t="n">
        <f aca="false">(1/(1+EXP(-(((CBD_Stochastic!$B$6+CBD_Stochastic!$B$8*(4+$A62))-CBD_Stochastic!$B$19*CBD_Stochastic!$B$17*SQRT((4+$A62)))+((CBD_Stochastic!$B$7+CBD_Stochastic!$B$9*(4+$A62))-CBD_Stochastic!$B$19*CBD_Stochastic!$B$13*CBD_Stochastic!$B$18*SQRT((4+$A62)))*((68+$A62)-CBD_Stochastic!$B$14)))))/(1/(1+EXP(-((CBD_Stochastic!$B$6+CBD_Stochastic!$B$8*(4+$A62))+(CBD_Stochastic!$B$7+CBD_Stochastic!$B$9*(4+$A62))*((68+$A62)-CBD_Stochastic!$B$14)))))</f>
        <v>0.787025530295614</v>
      </c>
      <c r="V62" s="11" t="n">
        <f aca="false">(1/(1+EXP(-(((CBD_Stochastic!$B$6+CBD_Stochastic!$B$8*(4+$A62))-CBD_Stochastic!$B$19*CBD_Stochastic!$B$17*SQRT((4+$A62)))+((CBD_Stochastic!$B$7+CBD_Stochastic!$B$9*(4+$A62))-CBD_Stochastic!$B$19*CBD_Stochastic!$B$13*CBD_Stochastic!$B$18*SQRT((4+$A62)))*((70+$A62)-CBD_Stochastic!$B$14)))))/(1/(1+EXP(-((CBD_Stochastic!$B$6+CBD_Stochastic!$B$8*(4+$A62))+(CBD_Stochastic!$B$7+CBD_Stochastic!$B$9*(4+$A62))*((70+$A62)-CBD_Stochastic!$B$14)))))</f>
        <v>0.820814318997339</v>
      </c>
      <c r="W62" s="11" t="n">
        <f aca="false">(1/(1+EXP(-(((CBD_Stochastic!$B$6+CBD_Stochastic!$B$8*(4+$A62))-CBD_Stochastic!$B$19*CBD_Stochastic!$B$17*SQRT((4+$A62)))+((CBD_Stochastic!$B$7+CBD_Stochastic!$B$9*(4+$A62))-CBD_Stochastic!$B$19*CBD_Stochastic!$B$13*CBD_Stochastic!$B$18*SQRT((4+$A62)))*((72+$A62)-CBD_Stochastic!$B$14)))))/(1/(1+EXP(-((CBD_Stochastic!$B$6+CBD_Stochastic!$B$8*(4+$A62))+(CBD_Stochastic!$B$7+CBD_Stochastic!$B$9*(4+$A62))*((72+$A62)-CBD_Stochastic!$B$14)))))</f>
        <v>0.851200754445872</v>
      </c>
      <c r="X62" s="11" t="n">
        <f aca="false">(1/(1+EXP(-(((CBD_Stochastic!$B$6+CBD_Stochastic!$B$8*(4+$A62))-CBD_Stochastic!$B$19*CBD_Stochastic!$B$17*SQRT((4+$A62)))+((CBD_Stochastic!$B$7+CBD_Stochastic!$B$9*(4+$A62))-CBD_Stochastic!$B$19*CBD_Stochastic!$B$13*CBD_Stochastic!$B$18*SQRT((4+$A62)))*((75+$A62)-CBD_Stochastic!$B$14)))))/(1/(1+EXP(-((CBD_Stochastic!$B$6+CBD_Stochastic!$B$8*(4+$A62))+(CBD_Stochastic!$B$7+CBD_Stochastic!$B$9*(4+$A62))*((75+$A62)-CBD_Stochastic!$B$14)))))</f>
        <v>0.889725579719481</v>
      </c>
    </row>
    <row r="63" customFormat="false" ht="15" hidden="false" customHeight="true" outlineLevel="0" collapsed="false">
      <c r="A63" s="1" t="n">
        <v>55</v>
      </c>
      <c r="B63" s="32" t="n">
        <f aca="false">IF((60+$A62)&gt;=120,0,B62*(1-MIN(1,IFERROR(INDEX(Cohort_Survival!$B$5:$AA$65,(60+$A62)-59,60-59),1)*(1-Assumptions!$B$21))))</f>
        <v>0.00132399945168253</v>
      </c>
      <c r="C63" s="32" t="n">
        <f aca="false">IF((63+$A62)&gt;=120,0,C62*(1-MIN(1,IFERROR(INDEX(Cohort_Survival!$B$5:$AA$65,(63+$A62)-59,63-59),1)*(1-Assumptions!$B$21))))</f>
        <v>0.000220937426453378</v>
      </c>
      <c r="D63" s="32" t="n">
        <f aca="false">IF((65+$A62)&gt;=120,0,D62*(1-MIN(1,IFERROR(INDEX(Cohort_Survival!$B$5:$AA$65,(65+$A62)-59,65-59),1)*(1-Assumptions!$B$21))))</f>
        <v>5.95300199260144E-005</v>
      </c>
      <c r="E63" s="32" t="n">
        <f aca="false">IF((68+$A62)&gt;=120,0,E62*(1-MIN(1,IFERROR(INDEX(Cohort_Survival!$B$5:$AA$65,(68+$A62)-59,68-59),1)*(1-Assumptions!$B$21))))</f>
        <v>0</v>
      </c>
      <c r="F63" s="32" t="n">
        <f aca="false">IF((70+$A62)&gt;=120,0,F62*(1-MIN(1,IFERROR(INDEX(Cohort_Survival!$B$5:$AA$65,(70+$A62)-59,70-59),1)*(1-Assumptions!$B$21))))</f>
        <v>0</v>
      </c>
      <c r="G63" s="32" t="n">
        <f aca="false">IF((72+$A62)&gt;=120,0,G62*(1-MIN(1,IFERROR(INDEX(Cohort_Survival!$B$5:$AA$65,(72+$A62)-59,72-59),1)*(1-Assumptions!$B$21))))</f>
        <v>0</v>
      </c>
      <c r="H63" s="32" t="n">
        <f aca="false">IF((75+$A62)&gt;=120,0,H62*(1-MIN(1,IFERROR(INDEX(Cohort_Survival!$B$5:$AA$65,(75+$A62)-59,75-59),1)*(1-Assumptions!$B$21))))</f>
        <v>0</v>
      </c>
      <c r="J63" s="32" t="n">
        <f aca="false">IF((60+$A62)&gt;=120,0,J62*(1-MIN(1,IFERROR(INDEX(Cohort_Survival!$B$5:$AA$65,(60+$A62)-59,60-59),1)*R62)))</f>
        <v>0.00899003640052634</v>
      </c>
      <c r="K63" s="32" t="n">
        <f aca="false">IF((63+$A62)&gt;=120,0,K62*(1-MIN(1,IFERROR(INDEX(Cohort_Survival!$B$5:$AA$65,(63+$A62)-59,63-59),1)*S62)))</f>
        <v>0.00191545447241714</v>
      </c>
      <c r="L63" s="32" t="n">
        <f aca="false">IF((65+$A62)&gt;=120,0,L62*(1-MIN(1,IFERROR(INDEX(Cohort_Survival!$B$5:$AA$65,(65+$A62)-59,65-59),1)*T62)))</f>
        <v>0.000559819135582438</v>
      </c>
      <c r="M63" s="32" t="n">
        <f aca="false">IF((68+$A62)&gt;=120,0,M62*(1-MIN(1,IFERROR(INDEX(Cohort_Survival!$B$5:$AA$65,(68+$A62)-59,68-59),1)*U62)))</f>
        <v>0</v>
      </c>
      <c r="N63" s="32" t="n">
        <f aca="false">IF((70+$A62)&gt;=120,0,N62*(1-MIN(1,IFERROR(INDEX(Cohort_Survival!$B$5:$AA$65,(70+$A62)-59,70-59),1)*V62)))</f>
        <v>0</v>
      </c>
      <c r="O63" s="32" t="n">
        <f aca="false">IF((72+$A62)&gt;=120,0,O62*(1-MIN(1,IFERROR(INDEX(Cohort_Survival!$B$5:$AA$65,(72+$A62)-59,72-59),1)*W62)))</f>
        <v>0</v>
      </c>
      <c r="P63" s="32" t="n">
        <f aca="false">IF((75+$A62)&gt;=120,0,P62*(1-MIN(1,IFERROR(INDEX(Cohort_Survival!$B$5:$AA$65,(75+$A62)-59,75-59),1)*X62)))</f>
        <v>0</v>
      </c>
      <c r="R63" s="11" t="n">
        <f aca="false">(1/(1+EXP(-(((CBD_Stochastic!$B$6+CBD_Stochastic!$B$8*(4+$A63))-CBD_Stochastic!$B$19*CBD_Stochastic!$B$17*SQRT((4+$A63)))+((CBD_Stochastic!$B$7+CBD_Stochastic!$B$9*(4+$A63))-CBD_Stochastic!$B$19*CBD_Stochastic!$B$13*CBD_Stochastic!$B$18*SQRT((4+$A63)))*((60+$A63)-CBD_Stochastic!$B$14)))))/(1/(1+EXP(-((CBD_Stochastic!$B$6+CBD_Stochastic!$B$8*(4+$A63))+(CBD_Stochastic!$B$7+CBD_Stochastic!$B$9*(4+$A63))*((60+$A63)-CBD_Stochastic!$B$14)))))</f>
        <v>0.652061891451356</v>
      </c>
      <c r="S63" s="11" t="n">
        <f aca="false">(1/(1+EXP(-(((CBD_Stochastic!$B$6+CBD_Stochastic!$B$8*(4+$A63))-CBD_Stochastic!$B$19*CBD_Stochastic!$B$17*SQRT((4+$A63)))+((CBD_Stochastic!$B$7+CBD_Stochastic!$B$9*(4+$A63))-CBD_Stochastic!$B$19*CBD_Stochastic!$B$13*CBD_Stochastic!$B$18*SQRT((4+$A63)))*((63+$A63)-CBD_Stochastic!$B$14)))))/(1/(1+EXP(-((CBD_Stochastic!$B$6+CBD_Stochastic!$B$8*(4+$A63))+(CBD_Stochastic!$B$7+CBD_Stochastic!$B$9*(4+$A63))*((63+$A63)-CBD_Stochastic!$B$14)))))</f>
        <v>0.709790215733454</v>
      </c>
      <c r="T63" s="11" t="n">
        <f aca="false">(1/(1+EXP(-(((CBD_Stochastic!$B$6+CBD_Stochastic!$B$8*(4+$A63))-CBD_Stochastic!$B$19*CBD_Stochastic!$B$17*SQRT((4+$A63)))+((CBD_Stochastic!$B$7+CBD_Stochastic!$B$9*(4+$A63))-CBD_Stochastic!$B$19*CBD_Stochastic!$B$13*CBD_Stochastic!$B$18*SQRT((4+$A63)))*((65+$A63)-CBD_Stochastic!$B$14)))))/(1/(1+EXP(-((CBD_Stochastic!$B$6+CBD_Stochastic!$B$8*(4+$A63))+(CBD_Stochastic!$B$7+CBD_Stochastic!$B$9*(4+$A63))*((65+$A63)-CBD_Stochastic!$B$14)))))</f>
        <v>0.748283091551687</v>
      </c>
      <c r="U63" s="11" t="n">
        <f aca="false">(1/(1+EXP(-(((CBD_Stochastic!$B$6+CBD_Stochastic!$B$8*(4+$A63))-CBD_Stochastic!$B$19*CBD_Stochastic!$B$17*SQRT((4+$A63)))+((CBD_Stochastic!$B$7+CBD_Stochastic!$B$9*(4+$A63))-CBD_Stochastic!$B$19*CBD_Stochastic!$B$13*CBD_Stochastic!$B$18*SQRT((4+$A63)))*((68+$A63)-CBD_Stochastic!$B$14)))))/(1/(1+EXP(-((CBD_Stochastic!$B$6+CBD_Stochastic!$B$8*(4+$A63))+(CBD_Stochastic!$B$7+CBD_Stochastic!$B$9*(4+$A63))*((68+$A63)-CBD_Stochastic!$B$14)))))</f>
        <v>0.802619072161973</v>
      </c>
      <c r="V63" s="11" t="n">
        <f aca="false">(1/(1+EXP(-(((CBD_Stochastic!$B$6+CBD_Stochastic!$B$8*(4+$A63))-CBD_Stochastic!$B$19*CBD_Stochastic!$B$17*SQRT((4+$A63)))+((CBD_Stochastic!$B$7+CBD_Stochastic!$B$9*(4+$A63))-CBD_Stochastic!$B$19*CBD_Stochastic!$B$13*CBD_Stochastic!$B$18*SQRT((4+$A63)))*((70+$A63)-CBD_Stochastic!$B$14)))))/(1/(1+EXP(-((CBD_Stochastic!$B$6+CBD_Stochastic!$B$8*(4+$A63))+(CBD_Stochastic!$B$7+CBD_Stochastic!$B$9*(4+$A63))*((70+$A63)-CBD_Stochastic!$B$14)))))</f>
        <v>0.835118798784817</v>
      </c>
      <c r="W63" s="11" t="n">
        <f aca="false">(1/(1+EXP(-(((CBD_Stochastic!$B$6+CBD_Stochastic!$B$8*(4+$A63))-CBD_Stochastic!$B$19*CBD_Stochastic!$B$17*SQRT((4+$A63)))+((CBD_Stochastic!$B$7+CBD_Stochastic!$B$9*(4+$A63))-CBD_Stochastic!$B$19*CBD_Stochastic!$B$13*CBD_Stochastic!$B$18*SQRT((4+$A63)))*((72+$A63)-CBD_Stochastic!$B$14)))))/(1/(1+EXP(-((CBD_Stochastic!$B$6+CBD_Stochastic!$B$8*(4+$A63))+(CBD_Stochastic!$B$7+CBD_Stochastic!$B$9*(4+$A63))*((72+$A63)-CBD_Stochastic!$B$14)))))</f>
        <v>0.863958475366685</v>
      </c>
      <c r="X63" s="11" t="n">
        <f aca="false">(1/(1+EXP(-(((CBD_Stochastic!$B$6+CBD_Stochastic!$B$8*(4+$A63))-CBD_Stochastic!$B$19*CBD_Stochastic!$B$17*SQRT((4+$A63)))+((CBD_Stochastic!$B$7+CBD_Stochastic!$B$9*(4+$A63))-CBD_Stochastic!$B$19*CBD_Stochastic!$B$13*CBD_Stochastic!$B$18*SQRT((4+$A63)))*((75+$A63)-CBD_Stochastic!$B$14)))))/(1/(1+EXP(-((CBD_Stochastic!$B$6+CBD_Stochastic!$B$8*(4+$A63))+(CBD_Stochastic!$B$7+CBD_Stochastic!$B$9*(4+$A63))*((75+$A63)-CBD_Stochastic!$B$14)))))</f>
        <v>0.900011193101255</v>
      </c>
    </row>
    <row r="64" customFormat="false" ht="15" hidden="false" customHeight="true" outlineLevel="0" collapsed="false">
      <c r="A64" s="1" t="n">
        <v>56</v>
      </c>
      <c r="B64" s="32" t="n">
        <f aca="false">IF((60+$A63)&gt;=120,0,B63*(1-MIN(1,IFERROR(INDEX(Cohort_Survival!$B$5:$AA$65,(60+$A63)-59,60-59),1)*(1-Assumptions!$B$21))))</f>
        <v>0.000765187421716988</v>
      </c>
      <c r="C64" s="32" t="n">
        <f aca="false">IF((63+$A63)&gt;=120,0,C63*(1-MIN(1,IFERROR(INDEX(Cohort_Survival!$B$5:$AA$65,(63+$A63)-59,63-59),1)*(1-Assumptions!$B$21))))</f>
        <v>0.000118967204568549</v>
      </c>
      <c r="D64" s="32" t="n">
        <f aca="false">IF((65+$A63)&gt;=120,0,D63*(1-MIN(1,IFERROR(INDEX(Cohort_Survival!$B$5:$AA$65,(65+$A63)-59,65-59),1)*(1-Assumptions!$B$21))))</f>
        <v>0</v>
      </c>
      <c r="E64" s="32" t="n">
        <f aca="false">IF((68+$A63)&gt;=120,0,E63*(1-MIN(1,IFERROR(INDEX(Cohort_Survival!$B$5:$AA$65,(68+$A63)-59,68-59),1)*(1-Assumptions!$B$21))))</f>
        <v>0</v>
      </c>
      <c r="F64" s="32" t="n">
        <f aca="false">IF((70+$A63)&gt;=120,0,F63*(1-MIN(1,IFERROR(INDEX(Cohort_Survival!$B$5:$AA$65,(70+$A63)-59,70-59),1)*(1-Assumptions!$B$21))))</f>
        <v>0</v>
      </c>
      <c r="G64" s="32" t="n">
        <f aca="false">IF((72+$A63)&gt;=120,0,G63*(1-MIN(1,IFERROR(INDEX(Cohort_Survival!$B$5:$AA$65,(72+$A63)-59,72-59),1)*(1-Assumptions!$B$21))))</f>
        <v>0</v>
      </c>
      <c r="H64" s="32" t="n">
        <f aca="false">IF((75+$A63)&gt;=120,0,H63*(1-MIN(1,IFERROR(INDEX(Cohort_Survival!$B$5:$AA$65,(75+$A63)-59,75-59),1)*(1-Assumptions!$B$21))))</f>
        <v>0</v>
      </c>
      <c r="J64" s="32" t="n">
        <f aca="false">IF((60+$A63)&gt;=120,0,J63*(1-MIN(1,IFERROR(INDEX(Cohort_Survival!$B$5:$AA$65,(60+$A63)-59,60-59),1)*R63)))</f>
        <v>0.00589733333879577</v>
      </c>
      <c r="K64" s="32" t="n">
        <f aca="false">IF((63+$A63)&gt;=120,0,K63*(1-MIN(1,IFERROR(INDEX(Cohort_Survival!$B$5:$AA$65,(63+$A63)-59,63-59),1)*S63)))</f>
        <v>0.00113109358585766</v>
      </c>
      <c r="L64" s="32" t="n">
        <f aca="false">IF((65+$A63)&gt;=120,0,L63*(1-MIN(1,IFERROR(INDEX(Cohort_Survival!$B$5:$AA$65,(65+$A63)-59,65-59),1)*T63)))</f>
        <v>0</v>
      </c>
      <c r="M64" s="32" t="n">
        <f aca="false">IF((68+$A63)&gt;=120,0,M63*(1-MIN(1,IFERROR(INDEX(Cohort_Survival!$B$5:$AA$65,(68+$A63)-59,68-59),1)*U63)))</f>
        <v>0</v>
      </c>
      <c r="N64" s="32" t="n">
        <f aca="false">IF((70+$A63)&gt;=120,0,N63*(1-MIN(1,IFERROR(INDEX(Cohort_Survival!$B$5:$AA$65,(70+$A63)-59,70-59),1)*V63)))</f>
        <v>0</v>
      </c>
      <c r="O64" s="32" t="n">
        <f aca="false">IF((72+$A63)&gt;=120,0,O63*(1-MIN(1,IFERROR(INDEX(Cohort_Survival!$B$5:$AA$65,(72+$A63)-59,72-59),1)*W63)))</f>
        <v>0</v>
      </c>
      <c r="P64" s="32" t="n">
        <f aca="false">IF((75+$A63)&gt;=120,0,P63*(1-MIN(1,IFERROR(INDEX(Cohort_Survival!$B$5:$AA$65,(75+$A63)-59,75-59),1)*X63)))</f>
        <v>0</v>
      </c>
      <c r="R64" s="11" t="n">
        <f aca="false">(1/(1+EXP(-(((CBD_Stochastic!$B$6+CBD_Stochastic!$B$8*(4+$A64))-CBD_Stochastic!$B$19*CBD_Stochastic!$B$17*SQRT((4+$A64)))+((CBD_Stochastic!$B$7+CBD_Stochastic!$B$9*(4+$A64))-CBD_Stochastic!$B$19*CBD_Stochastic!$B$13*CBD_Stochastic!$B$18*SQRT((4+$A64)))*((60+$A64)-CBD_Stochastic!$B$14)))))/(1/(1+EXP(-((CBD_Stochastic!$B$6+CBD_Stochastic!$B$8*(4+$A64))+(CBD_Stochastic!$B$7+CBD_Stochastic!$B$9*(4+$A64))*((60+$A64)-CBD_Stochastic!$B$14)))))</f>
        <v>0.66808771609856</v>
      </c>
      <c r="S64" s="11" t="n">
        <f aca="false">(1/(1+EXP(-(((CBD_Stochastic!$B$6+CBD_Stochastic!$B$8*(4+$A64))-CBD_Stochastic!$B$19*CBD_Stochastic!$B$17*SQRT((4+$A64)))+((CBD_Stochastic!$B$7+CBD_Stochastic!$B$9*(4+$A64))-CBD_Stochastic!$B$19*CBD_Stochastic!$B$13*CBD_Stochastic!$B$18*SQRT((4+$A64)))*((63+$A64)-CBD_Stochastic!$B$14)))))/(1/(1+EXP(-((CBD_Stochastic!$B$6+CBD_Stochastic!$B$8*(4+$A64))+(CBD_Stochastic!$B$7+CBD_Stochastic!$B$9*(4+$A64))*((63+$A64)-CBD_Stochastic!$B$14)))))</f>
        <v>0.726732720805749</v>
      </c>
      <c r="T64" s="11" t="n">
        <f aca="false">(1/(1+EXP(-(((CBD_Stochastic!$B$6+CBD_Stochastic!$B$8*(4+$A64))-CBD_Stochastic!$B$19*CBD_Stochastic!$B$17*SQRT((4+$A64)))+((CBD_Stochastic!$B$7+CBD_Stochastic!$B$9*(4+$A64))-CBD_Stochastic!$B$19*CBD_Stochastic!$B$13*CBD_Stochastic!$B$18*SQRT((4+$A64)))*((65+$A64)-CBD_Stochastic!$B$14)))))/(1/(1+EXP(-((CBD_Stochastic!$B$6+CBD_Stochastic!$B$8*(4+$A64))+(CBD_Stochastic!$B$7+CBD_Stochastic!$B$9*(4+$A64))*((65+$A64)-CBD_Stochastic!$B$14)))))</f>
        <v>0.764951078398202</v>
      </c>
      <c r="U64" s="11" t="n">
        <f aca="false">(1/(1+EXP(-(((CBD_Stochastic!$B$6+CBD_Stochastic!$B$8*(4+$A64))-CBD_Stochastic!$B$19*CBD_Stochastic!$B$17*SQRT((4+$A64)))+((CBD_Stochastic!$B$7+CBD_Stochastic!$B$9*(4+$A64))-CBD_Stochastic!$B$19*CBD_Stochastic!$B$13*CBD_Stochastic!$B$18*SQRT((4+$A64)))*((68+$A64)-CBD_Stochastic!$B$14)))))/(1/(1+EXP(-((CBD_Stochastic!$B$6+CBD_Stochastic!$B$8*(4+$A64))+(CBD_Stochastic!$B$7+CBD_Stochastic!$B$9*(4+$A64))*((68+$A64)-CBD_Stochastic!$B$14)))))</f>
        <v>0.817807522509368</v>
      </c>
      <c r="V64" s="11" t="n">
        <f aca="false">(1/(1+EXP(-(((CBD_Stochastic!$B$6+CBD_Stochastic!$B$8*(4+$A64))-CBD_Stochastic!$B$19*CBD_Stochastic!$B$17*SQRT((4+$A64)))+((CBD_Stochastic!$B$7+CBD_Stochastic!$B$9*(4+$A64))-CBD_Stochastic!$B$19*CBD_Stochastic!$B$13*CBD_Stochastic!$B$18*SQRT((4+$A64)))*((70+$A64)-CBD_Stochastic!$B$14)))))/(1/(1+EXP(-((CBD_Stochastic!$B$6+CBD_Stochastic!$B$8*(4+$A64))+(CBD_Stochastic!$B$7+CBD_Stochastic!$B$9*(4+$A64))*((70+$A64)-CBD_Stochastic!$B$14)))))</f>
        <v>0.848847369156691</v>
      </c>
      <c r="W64" s="11" t="n">
        <f aca="false">(1/(1+EXP(-(((CBD_Stochastic!$B$6+CBD_Stochastic!$B$8*(4+$A64))-CBD_Stochastic!$B$19*CBD_Stochastic!$B$17*SQRT((4+$A64)))+((CBD_Stochastic!$B$7+CBD_Stochastic!$B$9*(4+$A64))-CBD_Stochastic!$B$19*CBD_Stochastic!$B$13*CBD_Stochastic!$B$18*SQRT((4+$A64)))*((72+$A64)-CBD_Stochastic!$B$14)))))/(1/(1+EXP(-((CBD_Stochastic!$B$6+CBD_Stochastic!$B$8*(4+$A64))+(CBD_Stochastic!$B$7+CBD_Stochastic!$B$9*(4+$A64))*((72+$A64)-CBD_Stochastic!$B$14)))))</f>
        <v>0.876046463719334</v>
      </c>
      <c r="X64" s="11" t="n">
        <f aca="false">(1/(1+EXP(-(((CBD_Stochastic!$B$6+CBD_Stochastic!$B$8*(4+$A64))-CBD_Stochastic!$B$19*CBD_Stochastic!$B$17*SQRT((4+$A64)))+((CBD_Stochastic!$B$7+CBD_Stochastic!$B$9*(4+$A64))-CBD_Stochastic!$B$19*CBD_Stochastic!$B$13*CBD_Stochastic!$B$18*SQRT((4+$A64)))*((75+$A64)-CBD_Stochastic!$B$14)))))/(1/(1+EXP(-((CBD_Stochastic!$B$6+CBD_Stochastic!$B$8*(4+$A64))+(CBD_Stochastic!$B$7+CBD_Stochastic!$B$9*(4+$A64))*((75+$A64)-CBD_Stochastic!$B$14)))))</f>
        <v>0.909603316314282</v>
      </c>
    </row>
    <row r="65" customFormat="false" ht="15" hidden="false" customHeight="true" outlineLevel="0" collapsed="false">
      <c r="A65" s="1" t="n">
        <v>57</v>
      </c>
      <c r="B65" s="32" t="n">
        <f aca="false">IF((60+$A64)&gt;=120,0,B64*(1-MIN(1,IFERROR(INDEX(Cohort_Survival!$B$5:$AA$65,(60+$A64)-59,60-59),1)*(1-Assumptions!$B$21))))</f>
        <v>0.000431962216878591</v>
      </c>
      <c r="C65" s="32" t="n">
        <f aca="false">IF((63+$A64)&gt;=120,0,C64*(1-MIN(1,IFERROR(INDEX(Cohort_Survival!$B$5:$AA$65,(63+$A64)-59,63-59),1)*(1-Assumptions!$B$21))))</f>
        <v>6.2563464199882E-005</v>
      </c>
      <c r="D65" s="32" t="n">
        <f aca="false">IF((65+$A64)&gt;=120,0,D64*(1-MIN(1,IFERROR(INDEX(Cohort_Survival!$B$5:$AA$65,(65+$A64)-59,65-59),1)*(1-Assumptions!$B$21))))</f>
        <v>0</v>
      </c>
      <c r="E65" s="32" t="n">
        <f aca="false">IF((68+$A64)&gt;=120,0,E64*(1-MIN(1,IFERROR(INDEX(Cohort_Survival!$B$5:$AA$65,(68+$A64)-59,68-59),1)*(1-Assumptions!$B$21))))</f>
        <v>0</v>
      </c>
      <c r="F65" s="32" t="n">
        <f aca="false">IF((70+$A64)&gt;=120,0,F64*(1-MIN(1,IFERROR(INDEX(Cohort_Survival!$B$5:$AA$65,(70+$A64)-59,70-59),1)*(1-Assumptions!$B$21))))</f>
        <v>0</v>
      </c>
      <c r="G65" s="32" t="n">
        <f aca="false">IF((72+$A64)&gt;=120,0,G64*(1-MIN(1,IFERROR(INDEX(Cohort_Survival!$B$5:$AA$65,(72+$A64)-59,72-59),1)*(1-Assumptions!$B$21))))</f>
        <v>0</v>
      </c>
      <c r="H65" s="32" t="n">
        <f aca="false">IF((75+$A64)&gt;=120,0,H64*(1-MIN(1,IFERROR(INDEX(Cohort_Survival!$B$5:$AA$65,(75+$A64)-59,75-59),1)*(1-Assumptions!$B$21))))</f>
        <v>0</v>
      </c>
      <c r="J65" s="32" t="n">
        <f aca="false">IF((60+$A64)&gt;=120,0,J64*(1-MIN(1,IFERROR(INDEX(Cohort_Survival!$B$5:$AA$65,(60+$A64)-59,60-59),1)*R64)))</f>
        <v>0.00375262027484192</v>
      </c>
      <c r="K65" s="32" t="n">
        <f aca="false">IF((63+$A64)&gt;=120,0,K64*(1-MIN(1,IFERROR(INDEX(Cohort_Survival!$B$5:$AA$65,(63+$A64)-59,63-59),1)*S64)))</f>
        <v>0.000643942230567707</v>
      </c>
      <c r="L65" s="32" t="n">
        <f aca="false">IF((65+$A64)&gt;=120,0,L64*(1-MIN(1,IFERROR(INDEX(Cohort_Survival!$B$5:$AA$65,(65+$A64)-59,65-59),1)*T64)))</f>
        <v>0</v>
      </c>
      <c r="M65" s="32" t="n">
        <f aca="false">IF((68+$A64)&gt;=120,0,M64*(1-MIN(1,IFERROR(INDEX(Cohort_Survival!$B$5:$AA$65,(68+$A64)-59,68-59),1)*U64)))</f>
        <v>0</v>
      </c>
      <c r="N65" s="32" t="n">
        <f aca="false">IF((70+$A64)&gt;=120,0,N64*(1-MIN(1,IFERROR(INDEX(Cohort_Survival!$B$5:$AA$65,(70+$A64)-59,70-59),1)*V64)))</f>
        <v>0</v>
      </c>
      <c r="O65" s="32" t="n">
        <f aca="false">IF((72+$A64)&gt;=120,0,O64*(1-MIN(1,IFERROR(INDEX(Cohort_Survival!$B$5:$AA$65,(72+$A64)-59,72-59),1)*W64)))</f>
        <v>0</v>
      </c>
      <c r="P65" s="32" t="n">
        <f aca="false">IF((75+$A64)&gt;=120,0,P64*(1-MIN(1,IFERROR(INDEX(Cohort_Survival!$B$5:$AA$65,(75+$A64)-59,75-59),1)*X64)))</f>
        <v>0</v>
      </c>
      <c r="R65" s="11" t="n">
        <f aca="false">(1/(1+EXP(-(((CBD_Stochastic!$B$6+CBD_Stochastic!$B$8*(4+$A65))-CBD_Stochastic!$B$19*CBD_Stochastic!$B$17*SQRT((4+$A65)))+((CBD_Stochastic!$B$7+CBD_Stochastic!$B$9*(4+$A65))-CBD_Stochastic!$B$19*CBD_Stochastic!$B$13*CBD_Stochastic!$B$18*SQRT((4+$A65)))*((60+$A65)-CBD_Stochastic!$B$14)))))/(1/(1+EXP(-((CBD_Stochastic!$B$6+CBD_Stochastic!$B$8*(4+$A65))+(CBD_Stochastic!$B$7+CBD_Stochastic!$B$9*(4+$A65))*((60+$A65)-CBD_Stochastic!$B$14)))))</f>
        <v>0.684797067879404</v>
      </c>
      <c r="S65" s="11" t="n">
        <f aca="false">(1/(1+EXP(-(((CBD_Stochastic!$B$6+CBD_Stochastic!$B$8*(4+$A65))-CBD_Stochastic!$B$19*CBD_Stochastic!$B$17*SQRT((4+$A65)))+((CBD_Stochastic!$B$7+CBD_Stochastic!$B$9*(4+$A65))-CBD_Stochastic!$B$19*CBD_Stochastic!$B$13*CBD_Stochastic!$B$18*SQRT((4+$A65)))*((63+$A65)-CBD_Stochastic!$B$14)))))/(1/(1+EXP(-((CBD_Stochastic!$B$6+CBD_Stochastic!$B$8*(4+$A65))+(CBD_Stochastic!$B$7+CBD_Stochastic!$B$9*(4+$A65))*((63+$A65)-CBD_Stochastic!$B$14)))))</f>
        <v>0.74383287514541</v>
      </c>
      <c r="T65" s="11" t="n">
        <f aca="false">(1/(1+EXP(-(((CBD_Stochastic!$B$6+CBD_Stochastic!$B$8*(4+$A65))-CBD_Stochastic!$B$19*CBD_Stochastic!$B$17*SQRT((4+$A65)))+((CBD_Stochastic!$B$7+CBD_Stochastic!$B$9*(4+$A65))-CBD_Stochastic!$B$19*CBD_Stochastic!$B$13*CBD_Stochastic!$B$18*SQRT((4+$A65)))*((65+$A65)-CBD_Stochastic!$B$14)))))/(1/(1+EXP(-((CBD_Stochastic!$B$6+CBD_Stochastic!$B$8*(4+$A65))+(CBD_Stochastic!$B$7+CBD_Stochastic!$B$9*(4+$A65))*((65+$A65)-CBD_Stochastic!$B$14)))))</f>
        <v>0.781458477172545</v>
      </c>
      <c r="U65" s="11" t="n">
        <f aca="false">(1/(1+EXP(-(((CBD_Stochastic!$B$6+CBD_Stochastic!$B$8*(4+$A65))-CBD_Stochastic!$B$19*CBD_Stochastic!$B$17*SQRT((4+$A65)))+((CBD_Stochastic!$B$7+CBD_Stochastic!$B$9*(4+$A65))-CBD_Stochastic!$B$19*CBD_Stochastic!$B$13*CBD_Stochastic!$B$18*SQRT((4+$A65)))*((68+$A65)-CBD_Stochastic!$B$14)))))/(1/(1+EXP(-((CBD_Stochastic!$B$6+CBD_Stochastic!$B$8*(4+$A65))+(CBD_Stochastic!$B$7+CBD_Stochastic!$B$9*(4+$A65))*((68+$A65)-CBD_Stochastic!$B$14)))))</f>
        <v>0.832484514654757</v>
      </c>
      <c r="V65" s="11" t="n">
        <f aca="false">(1/(1+EXP(-(((CBD_Stochastic!$B$6+CBD_Stochastic!$B$8*(4+$A65))-CBD_Stochastic!$B$19*CBD_Stochastic!$B$17*SQRT((4+$A65)))+((CBD_Stochastic!$B$7+CBD_Stochastic!$B$9*(4+$A65))-CBD_Stochastic!$B$19*CBD_Stochastic!$B$13*CBD_Stochastic!$B$18*SQRT((4+$A65)))*((70+$A65)-CBD_Stochastic!$B$14)))))/(1/(1+EXP(-((CBD_Stochastic!$B$6+CBD_Stochastic!$B$8*(4+$A65))+(CBD_Stochastic!$B$7+CBD_Stochastic!$B$9*(4+$A65))*((70+$A65)-CBD_Stochastic!$B$14)))))</f>
        <v>0.861930729894854</v>
      </c>
      <c r="W65" s="11" t="n">
        <f aca="false">(1/(1+EXP(-(((CBD_Stochastic!$B$6+CBD_Stochastic!$B$8*(4+$A65))-CBD_Stochastic!$B$19*CBD_Stochastic!$B$17*SQRT((4+$A65)))+((CBD_Stochastic!$B$7+CBD_Stochastic!$B$9*(4+$A65))-CBD_Stochastic!$B$19*CBD_Stochastic!$B$13*CBD_Stochastic!$B$18*SQRT((4+$A65)))*((72+$A65)-CBD_Stochastic!$B$14)))))/(1/(1+EXP(-((CBD_Stochastic!$B$6+CBD_Stochastic!$B$8*(4+$A65))+(CBD_Stochastic!$B$7+CBD_Stochastic!$B$9*(4+$A65))*((72+$A65)-CBD_Stochastic!$B$14)))))</f>
        <v>0.887429122870661</v>
      </c>
      <c r="X65" s="11" t="n">
        <f aca="false">(1/(1+EXP(-(((CBD_Stochastic!$B$6+CBD_Stochastic!$B$8*(4+$A65))-CBD_Stochastic!$B$19*CBD_Stochastic!$B$17*SQRT((4+$A65)))+((CBD_Stochastic!$B$7+CBD_Stochastic!$B$9*(4+$A65))-CBD_Stochastic!$B$19*CBD_Stochastic!$B$13*CBD_Stochastic!$B$18*SQRT((4+$A65)))*((75+$A65)-CBD_Stochastic!$B$14)))))/(1/(1+EXP(-((CBD_Stochastic!$B$6+CBD_Stochastic!$B$8*(4+$A65))+(CBD_Stochastic!$B$7+CBD_Stochastic!$B$9*(4+$A65))*((75+$A65)-CBD_Stochastic!$B$14)))))</f>
        <v>0.918503647119203</v>
      </c>
    </row>
    <row r="66" customFormat="false" ht="15" hidden="false" customHeight="true" outlineLevel="0" collapsed="false">
      <c r="A66" s="1" t="n">
        <v>58</v>
      </c>
      <c r="B66" s="32" t="n">
        <f aca="false">IF((60+$A65)&gt;=120,0,B65*(1-MIN(1,IFERROR(INDEX(Cohort_Survival!$B$5:$AA$65,(60+$A65)-59,60-59),1)*(1-Assumptions!$B$21))))</f>
        <v>0.000238162884139224</v>
      </c>
      <c r="C66" s="32" t="n">
        <f aca="false">IF((63+$A65)&gt;=120,0,C65*(1-MIN(1,IFERROR(INDEX(Cohort_Survival!$B$5:$AA$65,(63+$A65)-59,63-59),1)*(1-Assumptions!$B$21))))</f>
        <v>0</v>
      </c>
      <c r="D66" s="32" t="n">
        <f aca="false">IF((65+$A65)&gt;=120,0,D65*(1-MIN(1,IFERROR(INDEX(Cohort_Survival!$B$5:$AA$65,(65+$A65)-59,65-59),1)*(1-Assumptions!$B$21))))</f>
        <v>0</v>
      </c>
      <c r="E66" s="32" t="n">
        <f aca="false">IF((68+$A65)&gt;=120,0,E65*(1-MIN(1,IFERROR(INDEX(Cohort_Survival!$B$5:$AA$65,(68+$A65)-59,68-59),1)*(1-Assumptions!$B$21))))</f>
        <v>0</v>
      </c>
      <c r="F66" s="32" t="n">
        <f aca="false">IF((70+$A65)&gt;=120,0,F65*(1-MIN(1,IFERROR(INDEX(Cohort_Survival!$B$5:$AA$65,(70+$A65)-59,70-59),1)*(1-Assumptions!$B$21))))</f>
        <v>0</v>
      </c>
      <c r="G66" s="32" t="n">
        <f aca="false">IF((72+$A65)&gt;=120,0,G65*(1-MIN(1,IFERROR(INDEX(Cohort_Survival!$B$5:$AA$65,(72+$A65)-59,72-59),1)*(1-Assumptions!$B$21))))</f>
        <v>0</v>
      </c>
      <c r="H66" s="32" t="n">
        <f aca="false">IF((75+$A65)&gt;=120,0,H65*(1-MIN(1,IFERROR(INDEX(Cohort_Survival!$B$5:$AA$65,(75+$A65)-59,75-59),1)*(1-Assumptions!$B$21))))</f>
        <v>0</v>
      </c>
      <c r="J66" s="32" t="n">
        <f aca="false">IF((60+$A65)&gt;=120,0,J65*(1-MIN(1,IFERROR(INDEX(Cohort_Survival!$B$5:$AA$65,(60+$A65)-59,60-59),1)*R65)))</f>
        <v>0.0023114574798059</v>
      </c>
      <c r="K66" s="32" t="n">
        <f aca="false">IF((63+$A65)&gt;=120,0,K65*(1-MIN(1,IFERROR(INDEX(Cohort_Survival!$B$5:$AA$65,(63+$A65)-59,63-59),1)*S65)))</f>
        <v>0</v>
      </c>
      <c r="L66" s="32" t="n">
        <f aca="false">IF((65+$A65)&gt;=120,0,L65*(1-MIN(1,IFERROR(INDEX(Cohort_Survival!$B$5:$AA$65,(65+$A65)-59,65-59),1)*T65)))</f>
        <v>0</v>
      </c>
      <c r="M66" s="32" t="n">
        <f aca="false">IF((68+$A65)&gt;=120,0,M65*(1-MIN(1,IFERROR(INDEX(Cohort_Survival!$B$5:$AA$65,(68+$A65)-59,68-59),1)*U65)))</f>
        <v>0</v>
      </c>
      <c r="N66" s="32" t="n">
        <f aca="false">IF((70+$A65)&gt;=120,0,N65*(1-MIN(1,IFERROR(INDEX(Cohort_Survival!$B$5:$AA$65,(70+$A65)-59,70-59),1)*V65)))</f>
        <v>0</v>
      </c>
      <c r="O66" s="32" t="n">
        <f aca="false">IF((72+$A65)&gt;=120,0,O65*(1-MIN(1,IFERROR(INDEX(Cohort_Survival!$B$5:$AA$65,(72+$A65)-59,72-59),1)*W65)))</f>
        <v>0</v>
      </c>
      <c r="P66" s="32" t="n">
        <f aca="false">IF((75+$A65)&gt;=120,0,P65*(1-MIN(1,IFERROR(INDEX(Cohort_Survival!$B$5:$AA$65,(75+$A65)-59,75-59),1)*X65)))</f>
        <v>0</v>
      </c>
      <c r="R66" s="11" t="n">
        <f aca="false">(1/(1+EXP(-(((CBD_Stochastic!$B$6+CBD_Stochastic!$B$8*(4+$A66))-CBD_Stochastic!$B$19*CBD_Stochastic!$B$17*SQRT((4+$A66)))+((CBD_Stochastic!$B$7+CBD_Stochastic!$B$9*(4+$A66))-CBD_Stochastic!$B$19*CBD_Stochastic!$B$13*CBD_Stochastic!$B$18*SQRT((4+$A66)))*((60+$A66)-CBD_Stochastic!$B$14)))))/(1/(1+EXP(-((CBD_Stochastic!$B$6+CBD_Stochastic!$B$8*(4+$A66))+(CBD_Stochastic!$B$7+CBD_Stochastic!$B$9*(4+$A66))*((60+$A66)-CBD_Stochastic!$B$14)))))</f>
        <v>0.702022297435799</v>
      </c>
      <c r="S66" s="11" t="n">
        <f aca="false">(1/(1+EXP(-(((CBD_Stochastic!$B$6+CBD_Stochastic!$B$8*(4+$A66))-CBD_Stochastic!$B$19*CBD_Stochastic!$B$17*SQRT((4+$A66)))+((CBD_Stochastic!$B$7+CBD_Stochastic!$B$9*(4+$A66))-CBD_Stochastic!$B$19*CBD_Stochastic!$B$13*CBD_Stochastic!$B$18*SQRT((4+$A66)))*((63+$A66)-CBD_Stochastic!$B$14)))))/(1/(1+EXP(-((CBD_Stochastic!$B$6+CBD_Stochastic!$B$8*(4+$A66))+(CBD_Stochastic!$B$7+CBD_Stochastic!$B$9*(4+$A66))*((63+$A66)-CBD_Stochastic!$B$14)))))</f>
        <v>0.760923628011119</v>
      </c>
      <c r="T66" s="11" t="n">
        <f aca="false">(1/(1+EXP(-(((CBD_Stochastic!$B$6+CBD_Stochastic!$B$8*(4+$A66))-CBD_Stochastic!$B$19*CBD_Stochastic!$B$17*SQRT((4+$A66)))+((CBD_Stochastic!$B$7+CBD_Stochastic!$B$9*(4+$A66))-CBD_Stochastic!$B$19*CBD_Stochastic!$B$13*CBD_Stochastic!$B$18*SQRT((4+$A66)))*((65+$A66)-CBD_Stochastic!$B$14)))))/(1/(1+EXP(-((CBD_Stochastic!$B$6+CBD_Stochastic!$B$8*(4+$A66))+(CBD_Stochastic!$B$7+CBD_Stochastic!$B$9*(4+$A66))*((65+$A66)-CBD_Stochastic!$B$14)))))</f>
        <v>0.797662228023102</v>
      </c>
      <c r="U66" s="11" t="n">
        <f aca="false">(1/(1+EXP(-(((CBD_Stochastic!$B$6+CBD_Stochastic!$B$8*(4+$A66))-CBD_Stochastic!$B$19*CBD_Stochastic!$B$17*SQRT((4+$A66)))+((CBD_Stochastic!$B$7+CBD_Stochastic!$B$9*(4+$A66))-CBD_Stochastic!$B$19*CBD_Stochastic!$B$13*CBD_Stochastic!$B$18*SQRT((4+$A66)))*((68+$A66)-CBD_Stochastic!$B$14)))))/(1/(1+EXP(-((CBD_Stochastic!$B$6+CBD_Stochastic!$B$8*(4+$A66))+(CBD_Stochastic!$B$7+CBD_Stochastic!$B$9*(4+$A66))*((68+$A66)-CBD_Stochastic!$B$14)))))</f>
        <v>0.846560957147439</v>
      </c>
      <c r="V66" s="11" t="n">
        <f aca="false">(1/(1+EXP(-(((CBD_Stochastic!$B$6+CBD_Stochastic!$B$8*(4+$A66))-CBD_Stochastic!$B$19*CBD_Stochastic!$B$17*SQRT((4+$A66)))+((CBD_Stochastic!$B$7+CBD_Stochastic!$B$9*(4+$A66))-CBD_Stochastic!$B$19*CBD_Stochastic!$B$13*CBD_Stochastic!$B$18*SQRT((4+$A66)))*((70+$A66)-CBD_Stochastic!$B$14)))))/(1/(1+EXP(-((CBD_Stochastic!$B$6+CBD_Stochastic!$B$8*(4+$A66))+(CBD_Stochastic!$B$7+CBD_Stochastic!$B$9*(4+$A66))*((70+$A66)-CBD_Stochastic!$B$14)))))</f>
        <v>0.874316585786169</v>
      </c>
      <c r="W66" s="11" t="n">
        <f aca="false">(1/(1+EXP(-(((CBD_Stochastic!$B$6+CBD_Stochastic!$B$8*(4+$A66))-CBD_Stochastic!$B$19*CBD_Stochastic!$B$17*SQRT((4+$A66)))+((CBD_Stochastic!$B$7+CBD_Stochastic!$B$9*(4+$A66))-CBD_Stochastic!$B$19*CBD_Stochastic!$B$13*CBD_Stochastic!$B$18*SQRT((4+$A66)))*((72+$A66)-CBD_Stochastic!$B$14)))))/(1/(1+EXP(-((CBD_Stochastic!$B$6+CBD_Stochastic!$B$8*(4+$A66))+(CBD_Stochastic!$B$7+CBD_Stochastic!$B$9*(4+$A66))*((72+$A66)-CBD_Stochastic!$B$14)))))</f>
        <v>0.898085370654291</v>
      </c>
      <c r="X66" s="11" t="n">
        <f aca="false">(1/(1+EXP(-(((CBD_Stochastic!$B$6+CBD_Stochastic!$B$8*(4+$A66))-CBD_Stochastic!$B$19*CBD_Stochastic!$B$17*SQRT((4+$A66)))+((CBD_Stochastic!$B$7+CBD_Stochastic!$B$9*(4+$A66))-CBD_Stochastic!$B$19*CBD_Stochastic!$B$13*CBD_Stochastic!$B$18*SQRT((4+$A66)))*((75+$A66)-CBD_Stochastic!$B$14)))))/(1/(1+EXP(-((CBD_Stochastic!$B$6+CBD_Stochastic!$B$8*(4+$A66))+(CBD_Stochastic!$B$7+CBD_Stochastic!$B$9*(4+$A66))*((75+$A66)-CBD_Stochastic!$B$14)))))</f>
        <v>0.926723137816802</v>
      </c>
    </row>
    <row r="67" customFormat="false" ht="15" hidden="false" customHeight="true" outlineLevel="0" collapsed="false">
      <c r="A67" s="1" t="n">
        <v>59</v>
      </c>
      <c r="B67" s="32" t="n">
        <f aca="false">IF((60+$A66)&gt;=120,0,B66*(1-MIN(1,IFERROR(INDEX(Cohort_Survival!$B$5:$AA$65,(60+$A66)-59,60-59),1)*(1-Assumptions!$B$21))))</f>
        <v>0.000128242521028938</v>
      </c>
      <c r="C67" s="32" t="n">
        <f aca="false">IF((63+$A66)&gt;=120,0,C66*(1-MIN(1,IFERROR(INDEX(Cohort_Survival!$B$5:$AA$65,(63+$A66)-59,63-59),1)*(1-Assumptions!$B$21))))</f>
        <v>0</v>
      </c>
      <c r="D67" s="32" t="n">
        <f aca="false">IF((65+$A66)&gt;=120,0,D66*(1-MIN(1,IFERROR(INDEX(Cohort_Survival!$B$5:$AA$65,(65+$A66)-59,65-59),1)*(1-Assumptions!$B$21))))</f>
        <v>0</v>
      </c>
      <c r="E67" s="32" t="n">
        <f aca="false">IF((68+$A66)&gt;=120,0,E66*(1-MIN(1,IFERROR(INDEX(Cohort_Survival!$B$5:$AA$65,(68+$A66)-59,68-59),1)*(1-Assumptions!$B$21))))</f>
        <v>0</v>
      </c>
      <c r="F67" s="32" t="n">
        <f aca="false">IF((70+$A66)&gt;=120,0,F66*(1-MIN(1,IFERROR(INDEX(Cohort_Survival!$B$5:$AA$65,(70+$A66)-59,70-59),1)*(1-Assumptions!$B$21))))</f>
        <v>0</v>
      </c>
      <c r="G67" s="32" t="n">
        <f aca="false">IF((72+$A66)&gt;=120,0,G66*(1-MIN(1,IFERROR(INDEX(Cohort_Survival!$B$5:$AA$65,(72+$A66)-59,72-59),1)*(1-Assumptions!$B$21))))</f>
        <v>0</v>
      </c>
      <c r="H67" s="32" t="n">
        <f aca="false">IF((75+$A66)&gt;=120,0,H66*(1-MIN(1,IFERROR(INDEX(Cohort_Survival!$B$5:$AA$65,(75+$A66)-59,75-59),1)*(1-Assumptions!$B$21))))</f>
        <v>0</v>
      </c>
      <c r="J67" s="32" t="n">
        <f aca="false">IF((60+$A66)&gt;=120,0,J66*(1-MIN(1,IFERROR(INDEX(Cohort_Survival!$B$5:$AA$65,(60+$A66)-59,60-59),1)*R66)))</f>
        <v>0.00137529571056971</v>
      </c>
      <c r="K67" s="32" t="n">
        <f aca="false">IF((63+$A66)&gt;=120,0,K66*(1-MIN(1,IFERROR(INDEX(Cohort_Survival!$B$5:$AA$65,(63+$A66)-59,63-59),1)*S66)))</f>
        <v>0</v>
      </c>
      <c r="L67" s="32" t="n">
        <f aca="false">IF((65+$A66)&gt;=120,0,L66*(1-MIN(1,IFERROR(INDEX(Cohort_Survival!$B$5:$AA$65,(65+$A66)-59,65-59),1)*T66)))</f>
        <v>0</v>
      </c>
      <c r="M67" s="32" t="n">
        <f aca="false">IF((68+$A66)&gt;=120,0,M66*(1-MIN(1,IFERROR(INDEX(Cohort_Survival!$B$5:$AA$65,(68+$A66)-59,68-59),1)*U66)))</f>
        <v>0</v>
      </c>
      <c r="N67" s="32" t="n">
        <f aca="false">IF((70+$A66)&gt;=120,0,N66*(1-MIN(1,IFERROR(INDEX(Cohort_Survival!$B$5:$AA$65,(70+$A66)-59,70-59),1)*V66)))</f>
        <v>0</v>
      </c>
      <c r="O67" s="32" t="n">
        <f aca="false">IF((72+$A66)&gt;=120,0,O66*(1-MIN(1,IFERROR(INDEX(Cohort_Survival!$B$5:$AA$65,(72+$A66)-59,72-59),1)*W66)))</f>
        <v>0</v>
      </c>
      <c r="P67" s="32" t="n">
        <f aca="false">IF((75+$A66)&gt;=120,0,P66*(1-MIN(1,IFERROR(INDEX(Cohort_Survival!$B$5:$AA$65,(75+$A66)-59,75-59),1)*X66)))</f>
        <v>0</v>
      </c>
      <c r="R67" s="11" t="n">
        <f aca="false">(1/(1+EXP(-(((CBD_Stochastic!$B$6+CBD_Stochastic!$B$8*(4+$A67))-CBD_Stochastic!$B$19*CBD_Stochastic!$B$17*SQRT((4+$A67)))+((CBD_Stochastic!$B$7+CBD_Stochastic!$B$9*(4+$A67))-CBD_Stochastic!$B$19*CBD_Stochastic!$B$13*CBD_Stochastic!$B$18*SQRT((4+$A67)))*((60+$A67)-CBD_Stochastic!$B$14)))))/(1/(1+EXP(-((CBD_Stochastic!$B$6+CBD_Stochastic!$B$8*(4+$A67))+(CBD_Stochastic!$B$7+CBD_Stochastic!$B$9*(4+$A67))*((60+$A67)-CBD_Stochastic!$B$14)))))</f>
        <v>0.719588001197811</v>
      </c>
      <c r="S67" s="11" t="n">
        <f aca="false">(1/(1+EXP(-(((CBD_Stochastic!$B$6+CBD_Stochastic!$B$8*(4+$A67))-CBD_Stochastic!$B$19*CBD_Stochastic!$B$17*SQRT((4+$A67)))+((CBD_Stochastic!$B$7+CBD_Stochastic!$B$9*(4+$A67))-CBD_Stochastic!$B$19*CBD_Stochastic!$B$13*CBD_Stochastic!$B$18*SQRT((4+$A67)))*((63+$A67)-CBD_Stochastic!$B$14)))))/(1/(1+EXP(-((CBD_Stochastic!$B$6+CBD_Stochastic!$B$8*(4+$A67))+(CBD_Stochastic!$B$7+CBD_Stochastic!$B$9*(4+$A67))*((63+$A67)-CBD_Stochastic!$B$14)))))</f>
        <v>0.777845387763055</v>
      </c>
      <c r="T67" s="11" t="n">
        <f aca="false">(1/(1+EXP(-(((CBD_Stochastic!$B$6+CBD_Stochastic!$B$8*(4+$A67))-CBD_Stochastic!$B$19*CBD_Stochastic!$B$17*SQRT((4+$A67)))+((CBD_Stochastic!$B$7+CBD_Stochastic!$B$9*(4+$A67))-CBD_Stochastic!$B$19*CBD_Stochastic!$B$13*CBD_Stochastic!$B$18*SQRT((4+$A67)))*((65+$A67)-CBD_Stochastic!$B$14)))))/(1/(1+EXP(-((CBD_Stochastic!$B$6+CBD_Stochastic!$B$8*(4+$A67))+(CBD_Stochastic!$B$7+CBD_Stochastic!$B$9*(4+$A67))*((65+$A67)-CBD_Stochastic!$B$14)))))</f>
        <v>0.813433744581414</v>
      </c>
      <c r="U67" s="11" t="n">
        <f aca="false">(1/(1+EXP(-(((CBD_Stochastic!$B$6+CBD_Stochastic!$B$8*(4+$A67))-CBD_Stochastic!$B$19*CBD_Stochastic!$B$17*SQRT((4+$A67)))+((CBD_Stochastic!$B$7+CBD_Stochastic!$B$9*(4+$A67))-CBD_Stochastic!$B$19*CBD_Stochastic!$B$13*CBD_Stochastic!$B$18*SQRT((4+$A67)))*((68+$A67)-CBD_Stochastic!$B$14)))))/(1/(1+EXP(-((CBD_Stochastic!$B$6+CBD_Stochastic!$B$8*(4+$A67))+(CBD_Stochastic!$B$7+CBD_Stochastic!$B$9*(4+$A67))*((68+$A67)-CBD_Stochastic!$B$14)))))</f>
        <v>0.859965648805284</v>
      </c>
      <c r="V67" s="11" t="n">
        <f aca="false">(1/(1+EXP(-(((CBD_Stochastic!$B$6+CBD_Stochastic!$B$8*(4+$A67))-CBD_Stochastic!$B$19*CBD_Stochastic!$B$17*SQRT((4+$A67)))+((CBD_Stochastic!$B$7+CBD_Stochastic!$B$9*(4+$A67))-CBD_Stochastic!$B$19*CBD_Stochastic!$B$13*CBD_Stochastic!$B$18*SQRT((4+$A67)))*((70+$A67)-CBD_Stochastic!$B$14)))))/(1/(1+EXP(-((CBD_Stochastic!$B$6+CBD_Stochastic!$B$8*(4+$A67))+(CBD_Stochastic!$B$7+CBD_Stochastic!$B$9*(4+$A67))*((70+$A67)-CBD_Stochastic!$B$14)))))</f>
        <v>0.885968950404003</v>
      </c>
      <c r="W67" s="11" t="n">
        <f aca="false">(1/(1+EXP(-(((CBD_Stochastic!$B$6+CBD_Stochastic!$B$8*(4+$A67))-CBD_Stochastic!$B$19*CBD_Stochastic!$B$17*SQRT((4+$A67)))+((CBD_Stochastic!$B$7+CBD_Stochastic!$B$9*(4+$A67))-CBD_Stochastic!$B$19*CBD_Stochastic!$B$13*CBD_Stochastic!$B$18*SQRT((4+$A67)))*((72+$A67)-CBD_Stochastic!$B$14)))))/(1/(1+EXP(-((CBD_Stochastic!$B$6+CBD_Stochastic!$B$8*(4+$A67))+(CBD_Stochastic!$B$7+CBD_Stochastic!$B$9*(4+$A67))*((72+$A67)-CBD_Stochastic!$B$14)))))</f>
        <v>0.908007219931192</v>
      </c>
      <c r="X67" s="11" t="n">
        <f aca="false">(1/(1+EXP(-(((CBD_Stochastic!$B$6+CBD_Stochastic!$B$8*(4+$A67))-CBD_Stochastic!$B$19*CBD_Stochastic!$B$17*SQRT((4+$A67)))+((CBD_Stochastic!$B$7+CBD_Stochastic!$B$9*(4+$A67))-CBD_Stochastic!$B$19*CBD_Stochastic!$B$13*CBD_Stochastic!$B$18*SQRT((4+$A67)))*((75+$A67)-CBD_Stochastic!$B$14)))))/(1/(1+EXP(-((CBD_Stochastic!$B$6+CBD_Stochastic!$B$8*(4+$A67))+(CBD_Stochastic!$B$7+CBD_Stochastic!$B$9*(4+$A67))*((75+$A67)-CBD_Stochastic!$B$14)))))</f>
        <v>0.93428039795344</v>
      </c>
    </row>
    <row r="68" customFormat="false" ht="15" hidden="false" customHeight="true" outlineLevel="0" collapsed="false">
      <c r="A68" s="1" t="n">
        <v>60</v>
      </c>
      <c r="B68" s="32" t="n">
        <f aca="false">IF((60+$A67)&gt;=120,0,B67*(1-MIN(1,IFERROR(INDEX(Cohort_Survival!$B$5:$AA$65,(60+$A67)-59,60-59),1)*(1-Assumptions!$B$21))))</f>
        <v>6.74412448573045E-005</v>
      </c>
      <c r="C68" s="32" t="n">
        <f aca="false">IF((63+$A67)&gt;=120,0,C67*(1-MIN(1,IFERROR(INDEX(Cohort_Survival!$B$5:$AA$65,(63+$A67)-59,63-59),1)*(1-Assumptions!$B$21))))</f>
        <v>0</v>
      </c>
      <c r="D68" s="32" t="n">
        <f aca="false">IF((65+$A67)&gt;=120,0,D67*(1-MIN(1,IFERROR(INDEX(Cohort_Survival!$B$5:$AA$65,(65+$A67)-59,65-59),1)*(1-Assumptions!$B$21))))</f>
        <v>0</v>
      </c>
      <c r="E68" s="32" t="n">
        <f aca="false">IF((68+$A67)&gt;=120,0,E67*(1-MIN(1,IFERROR(INDEX(Cohort_Survival!$B$5:$AA$65,(68+$A67)-59,68-59),1)*(1-Assumptions!$B$21))))</f>
        <v>0</v>
      </c>
      <c r="F68" s="32" t="n">
        <f aca="false">IF((70+$A67)&gt;=120,0,F67*(1-MIN(1,IFERROR(INDEX(Cohort_Survival!$B$5:$AA$65,(70+$A67)-59,70-59),1)*(1-Assumptions!$B$21))))</f>
        <v>0</v>
      </c>
      <c r="G68" s="32" t="n">
        <f aca="false">IF((72+$A67)&gt;=120,0,G67*(1-MIN(1,IFERROR(INDEX(Cohort_Survival!$B$5:$AA$65,(72+$A67)-59,72-59),1)*(1-Assumptions!$B$21))))</f>
        <v>0</v>
      </c>
      <c r="H68" s="32" t="n">
        <f aca="false">IF((75+$A67)&gt;=120,0,H67*(1-MIN(1,IFERROR(INDEX(Cohort_Survival!$B$5:$AA$65,(75+$A67)-59,75-59),1)*(1-Assumptions!$B$21))))</f>
        <v>0</v>
      </c>
      <c r="J68" s="32" t="n">
        <f aca="false">IF((60+$A67)&gt;=120,0,J67*(1-MIN(1,IFERROR(INDEX(Cohort_Survival!$B$5:$AA$65,(60+$A67)-59,60-59),1)*R67)))</f>
        <v>0.000788792137160805</v>
      </c>
      <c r="K68" s="32" t="n">
        <f aca="false">IF((63+$A67)&gt;=120,0,K67*(1-MIN(1,IFERROR(INDEX(Cohort_Survival!$B$5:$AA$65,(63+$A67)-59,63-59),1)*S67)))</f>
        <v>0</v>
      </c>
      <c r="L68" s="32" t="n">
        <f aca="false">IF((65+$A67)&gt;=120,0,L67*(1-MIN(1,IFERROR(INDEX(Cohort_Survival!$B$5:$AA$65,(65+$A67)-59,65-59),1)*T67)))</f>
        <v>0</v>
      </c>
      <c r="M68" s="32" t="n">
        <f aca="false">IF((68+$A67)&gt;=120,0,M67*(1-MIN(1,IFERROR(INDEX(Cohort_Survival!$B$5:$AA$65,(68+$A67)-59,68-59),1)*U67)))</f>
        <v>0</v>
      </c>
      <c r="N68" s="32" t="n">
        <f aca="false">IF((70+$A67)&gt;=120,0,N67*(1-MIN(1,IFERROR(INDEX(Cohort_Survival!$B$5:$AA$65,(70+$A67)-59,70-59),1)*V67)))</f>
        <v>0</v>
      </c>
      <c r="O68" s="32" t="n">
        <f aca="false">IF((72+$A67)&gt;=120,0,O67*(1-MIN(1,IFERROR(INDEX(Cohort_Survival!$B$5:$AA$65,(72+$A67)-59,72-59),1)*W67)))</f>
        <v>0</v>
      </c>
      <c r="P68" s="32" t="n">
        <f aca="false">IF((75+$A67)&gt;=120,0,P67*(1-MIN(1,IFERROR(INDEX(Cohort_Survival!$B$5:$AA$65,(75+$A67)-59,75-59),1)*X67)))</f>
        <v>0</v>
      </c>
      <c r="R68" s="11" t="n">
        <f aca="false">(1/(1+EXP(-(((CBD_Stochastic!$B$6+CBD_Stochastic!$B$8*(4+$A68))-CBD_Stochastic!$B$19*CBD_Stochastic!$B$17*SQRT((4+$A68)))+((CBD_Stochastic!$B$7+CBD_Stochastic!$B$9*(4+$A68))-CBD_Stochastic!$B$19*CBD_Stochastic!$B$13*CBD_Stochastic!$B$18*SQRT((4+$A68)))*((60+$A68)-CBD_Stochastic!$B$14)))))/(1/(1+EXP(-((CBD_Stochastic!$B$6+CBD_Stochastic!$B$8*(4+$A68))+(CBD_Stochastic!$B$7+CBD_Stochastic!$B$9*(4+$A68))*((60+$A68)-CBD_Stochastic!$B$14)))))</f>
        <v>0.737316160389403</v>
      </c>
      <c r="S68" s="11" t="n">
        <f aca="false">(1/(1+EXP(-(((CBD_Stochastic!$B$6+CBD_Stochastic!$B$8*(4+$A68))-CBD_Stochastic!$B$19*CBD_Stochastic!$B$17*SQRT((4+$A68)))+((CBD_Stochastic!$B$7+CBD_Stochastic!$B$9*(4+$A68))-CBD_Stochastic!$B$19*CBD_Stochastic!$B$13*CBD_Stochastic!$B$18*SQRT((4+$A68)))*((63+$A68)-CBD_Stochastic!$B$14)))))/(1/(1+EXP(-((CBD_Stochastic!$B$6+CBD_Stochastic!$B$8*(4+$A68))+(CBD_Stochastic!$B$7+CBD_Stochastic!$B$9*(4+$A68))*((63+$A68)-CBD_Stochastic!$B$14)))))</f>
        <v>0.794450165924415</v>
      </c>
      <c r="T68" s="11" t="n">
        <f aca="false">(1/(1+EXP(-(((CBD_Stochastic!$B$6+CBD_Stochastic!$B$8*(4+$A68))-CBD_Stochastic!$B$19*CBD_Stochastic!$B$17*SQRT((4+$A68)))+((CBD_Stochastic!$B$7+CBD_Stochastic!$B$9*(4+$A68))-CBD_Stochastic!$B$19*CBD_Stochastic!$B$13*CBD_Stochastic!$B$18*SQRT((4+$A68)))*((65+$A68)-CBD_Stochastic!$B$14)))))/(1/(1+EXP(-((CBD_Stochastic!$B$6+CBD_Stochastic!$B$8*(4+$A68))+(CBD_Stochastic!$B$7+CBD_Stochastic!$B$9*(4+$A68))*((65+$A68)-CBD_Stochastic!$B$14)))))</f>
        <v>0.828661332781553</v>
      </c>
      <c r="U68" s="11" t="n">
        <f aca="false">(1/(1+EXP(-(((CBD_Stochastic!$B$6+CBD_Stochastic!$B$8*(4+$A68))-CBD_Stochastic!$B$19*CBD_Stochastic!$B$17*SQRT((4+$A68)))+((CBD_Stochastic!$B$7+CBD_Stochastic!$B$9*(4+$A68))-CBD_Stochastic!$B$19*CBD_Stochastic!$B$13*CBD_Stochastic!$B$18*SQRT((4+$A68)))*((68+$A68)-CBD_Stochastic!$B$14)))))/(1/(1+EXP(-((CBD_Stochastic!$B$6+CBD_Stochastic!$B$8*(4+$A68))+(CBD_Stochastic!$B$7+CBD_Stochastic!$B$9*(4+$A68))*((68+$A68)-CBD_Stochastic!$B$14)))))</f>
        <v>0.872645161919837</v>
      </c>
      <c r="V68" s="11" t="n">
        <f aca="false">(1/(1+EXP(-(((CBD_Stochastic!$B$6+CBD_Stochastic!$B$8*(4+$A68))-CBD_Stochastic!$B$19*CBD_Stochastic!$B$17*SQRT((4+$A68)))+((CBD_Stochastic!$B$7+CBD_Stochastic!$B$9*(4+$A68))-CBD_Stochastic!$B$19*CBD_Stochastic!$B$13*CBD_Stochastic!$B$18*SQRT((4+$A68)))*((70+$A68)-CBD_Stochastic!$B$14)))))/(1/(1+EXP(-((CBD_Stochastic!$B$6+CBD_Stochastic!$B$8*(4+$A68))+(CBD_Stochastic!$B$7+CBD_Stochastic!$B$9*(4+$A68))*((70+$A68)-CBD_Stochastic!$B$14)))))</f>
        <v>0.896866977919775</v>
      </c>
      <c r="W68" s="11" t="n">
        <f aca="false">(1/(1+EXP(-(((CBD_Stochastic!$B$6+CBD_Stochastic!$B$8*(4+$A68))-CBD_Stochastic!$B$19*CBD_Stochastic!$B$17*SQRT((4+$A68)))+((CBD_Stochastic!$B$7+CBD_Stochastic!$B$9*(4+$A68))-CBD_Stochastic!$B$19*CBD_Stochastic!$B$13*CBD_Stochastic!$B$18*SQRT((4+$A68)))*((72+$A68)-CBD_Stochastic!$B$14)))))/(1/(1+EXP(-((CBD_Stochastic!$B$6+CBD_Stochastic!$B$8*(4+$A68))+(CBD_Stochastic!$B$7+CBD_Stochastic!$B$9*(4+$A68))*((72+$A68)-CBD_Stochastic!$B$14)))))</f>
        <v>0.917198151018395</v>
      </c>
      <c r="X68" s="11" t="n">
        <f aca="false">(1/(1+EXP(-(((CBD_Stochastic!$B$6+CBD_Stochastic!$B$8*(4+$A68))-CBD_Stochastic!$B$19*CBD_Stochastic!$B$17*SQRT((4+$A68)))+((CBD_Stochastic!$B$7+CBD_Stochastic!$B$9*(4+$A68))-CBD_Stochastic!$B$19*CBD_Stochastic!$B$13*CBD_Stochastic!$B$18*SQRT((4+$A68)))*((75+$A68)-CBD_Stochastic!$B$14)))))/(1/(1+EXP(-((CBD_Stochastic!$B$6+CBD_Stochastic!$B$8*(4+$A68))+(CBD_Stochastic!$B$7+CBD_Stochastic!$B$9*(4+$A68))*((75+$A68)-CBD_Stochastic!$B$14)))))</f>
        <v>0.94120014760614</v>
      </c>
    </row>
    <row r="70" customFormat="false" ht="15" hidden="false" customHeight="true" outlineLevel="0" collapsed="false">
      <c r="A70" s="7" t="s">
        <v>1541</v>
      </c>
    </row>
    <row r="71" customFormat="false" ht="15" hidden="false" customHeight="true" outlineLevel="0" collapsed="false">
      <c r="A71" s="7" t="s">
        <v>1542</v>
      </c>
    </row>
    <row r="73" customFormat="false" ht="15" hidden="false" customHeight="true" outlineLevel="0" collapsed="false">
      <c r="A73" s="6" t="s">
        <v>1543</v>
      </c>
    </row>
    <row r="74" customFormat="false" ht="15" hidden="false" customHeight="true" outlineLevel="0" collapsed="false">
      <c r="A74" s="8" t="s">
        <v>1544</v>
      </c>
      <c r="B74" s="8" t="s">
        <v>1545</v>
      </c>
      <c r="C74" s="8" t="s">
        <v>1546</v>
      </c>
      <c r="D74" s="8" t="s">
        <v>1547</v>
      </c>
      <c r="E74" s="8" t="s">
        <v>1548</v>
      </c>
      <c r="F74" s="8" t="s">
        <v>1549</v>
      </c>
      <c r="G74" s="8" t="s">
        <v>1550</v>
      </c>
      <c r="H74" s="8" t="s">
        <v>1551</v>
      </c>
      <c r="I74" s="8" t="s">
        <v>1552</v>
      </c>
      <c r="J74" s="8" t="s">
        <v>1078</v>
      </c>
      <c r="K74" s="8" t="s">
        <v>1553</v>
      </c>
      <c r="L74" s="8" t="s">
        <v>1554</v>
      </c>
    </row>
    <row r="75" customFormat="false" ht="15" hidden="false" customHeight="true" outlineLevel="0" collapsed="false">
      <c r="A75" s="3" t="n">
        <v>60</v>
      </c>
      <c r="B75" s="3" t="n">
        <v>75</v>
      </c>
      <c r="C75" s="48" t="n">
        <f aca="false">Surface_Engine!B236</f>
        <v>794.892101255507</v>
      </c>
      <c r="D75" s="12" t="n">
        <f aca="false">SUMPRODUCT((Surface_Engine!$A$12:$A$72&lt;15)*Surface_Engine!$G$12:$G$72*Surface_Engine!$E$12:$E$72*(Surface_Engine!$D$12:$D$72+(Surface_Engine!B236*12)*Surface_Engine!$F$12:$F$72-(Surface_Engine!B236*12))*Surface_Engine!$B$12:$B$72)+INDEX(Surface_Engine!$E$12:$E$72,15+1)*SUMPRODUCT((Surface_Engine!$A$12:$A$72&gt;=15)*Surface_Engine!$G$12:$G$72*(Surface_Engine!$B$5*Surface_Engine!$C$12:$C$72/(1+Assumptions!$B$10)^15+Surface_Engine!$D$12:$D$72)*Surface_Engine!$B$12:$B$72)</f>
        <v>-3101.20744223414</v>
      </c>
      <c r="E75" s="12" t="n">
        <f aca="false">SUMPRODUCT((Surface_Engine!$A$12:$A$72&lt;15)*$B$8:$B$68*Surface_Engine!$E$12:$E$72*(Surface_Engine!$D$12:$D$72+(Surface_Engine!B236*12)*Surface_Engine!$F$12:$F$72-(Surface_Engine!B236*12))*Surface_Engine!$B$12:$B$72)+INDEX(Surface_Engine!$E$12:$E$72,15+1)*SUMPRODUCT((Surface_Engine!$A$12:$A$72&gt;=15)*$B$8:$B$68*(Surface_Engine!$B$5*Surface_Engine!$C$12:$C$72/(1+Assumptions!$B$10)^15+Surface_Engine!$D$12:$D$72)*Surface_Engine!$B$12:$B$72)</f>
        <v>5615.1913436515</v>
      </c>
      <c r="F75" s="12" t="n">
        <f aca="false">SUMPRODUCT((Surface_Engine!$A$12:$A$72&lt;15)*$J$8:$J$68*Surface_Engine!$E$12:$E$72*(Surface_Engine!$D$12:$D$72+(Surface_Engine!B236*12)*Surface_Engine!$F$12:$F$72-(Surface_Engine!B236*12))*Surface_Engine!$B$12:$B$72)+INDEX(Surface_Engine!$E$12:$E$72,15+1)*SUMPRODUCT((Surface_Engine!$A$12:$A$72&gt;=15)*$J$8:$J$68*(Surface_Engine!$B$5*Surface_Engine!$C$12:$C$72/(1+Assumptions!$B$10)^15+Surface_Engine!$D$12:$D$72)*Surface_Engine!$B$12:$B$72)</f>
        <v>13601.8876714131</v>
      </c>
      <c r="G75" s="12" t="n">
        <f aca="false">MAX(0,E75-D75)</f>
        <v>8716.39878588564</v>
      </c>
      <c r="H75" s="12" t="n">
        <f aca="false">MAX(0,F75-D75)</f>
        <v>16703.0951136473</v>
      </c>
      <c r="I75" s="70" t="n">
        <f aca="false">IF(H75=0,"",G75/H75)</f>
        <v>0.521843330627023</v>
      </c>
      <c r="J75" s="28" t="str">
        <f aca="false">IF(I75="","",IF(I75&lt;Adequacy!$B$96,"inadequate",IF(I75&lt;Adequacy!$B$97,"marginal","exceeds")))</f>
        <v>inadequate</v>
      </c>
      <c r="K75" s="42" t="n">
        <v>0.7134</v>
      </c>
      <c r="L75" s="96" t="n">
        <f aca="false">I75-K75</f>
        <v>-0.191556669372977</v>
      </c>
    </row>
    <row r="76" customFormat="false" ht="15" hidden="false" customHeight="true" outlineLevel="0" collapsed="false">
      <c r="A76" s="3" t="n">
        <v>60</v>
      </c>
      <c r="B76" s="3" t="n">
        <v>80</v>
      </c>
      <c r="C76" s="48" t="n">
        <f aca="false">Surface_Engine!G236</f>
        <v>391.738453837454</v>
      </c>
      <c r="D76" s="12" t="n">
        <f aca="false">SUMPRODUCT((Surface_Engine!$A$12:$A$72&lt;20)*Surface_Engine!$G$12:$G$72*Surface_Engine!$E$12:$E$72*(Surface_Engine!$D$12:$D$72+(Surface_Engine!G236*12)*Surface_Engine!$F$12:$F$72-(Surface_Engine!G236*12))*Surface_Engine!$B$12:$B$72)+INDEX(Surface_Engine!$E$12:$E$72,20+1)*SUMPRODUCT((Surface_Engine!$A$12:$A$72&gt;=20)*Surface_Engine!$G$12:$G$72*(Surface_Engine!$B$5*Surface_Engine!$C$12:$C$72/(1+Assumptions!$B$10)^20+Surface_Engine!$D$12:$D$72)*Surface_Engine!$B$12:$B$72)</f>
        <v>-1825.82442978273</v>
      </c>
      <c r="E76" s="12" t="n">
        <f aca="false">SUMPRODUCT((Surface_Engine!$A$12:$A$72&lt;20)*$B$8:$B$68*Surface_Engine!$E$12:$E$72*(Surface_Engine!$D$12:$D$72+(Surface_Engine!G236*12)*Surface_Engine!$F$12:$F$72-(Surface_Engine!G236*12))*Surface_Engine!$B$12:$B$72)+INDEX(Surface_Engine!$E$12:$E$72,20+1)*SUMPRODUCT((Surface_Engine!$A$12:$A$72&gt;=20)*$B$8:$B$68*(Surface_Engine!$B$5*Surface_Engine!$C$12:$C$72/(1+Assumptions!$B$10)^20+Surface_Engine!$D$12:$D$72)*Surface_Engine!$B$12:$B$72)</f>
        <v>5100.75669592521</v>
      </c>
      <c r="F76" s="12" t="n">
        <f aca="false">SUMPRODUCT((Surface_Engine!$A$12:$A$72&lt;20)*$J$8:$J$68*Surface_Engine!$E$12:$E$72*(Surface_Engine!$D$12:$D$72+(Surface_Engine!G236*12)*Surface_Engine!$F$12:$F$72-(Surface_Engine!G236*12))*Surface_Engine!$B$12:$B$72)+INDEX(Surface_Engine!$E$12:$E$72,20+1)*SUMPRODUCT((Surface_Engine!$A$12:$A$72&gt;=20)*$J$8:$J$68*(Surface_Engine!$B$5*Surface_Engine!$C$12:$C$72/(1+Assumptions!$B$10)^20+Surface_Engine!$D$12:$D$72)*Surface_Engine!$B$12:$B$72)</f>
        <v>12074.7579310059</v>
      </c>
      <c r="G76" s="12" t="n">
        <f aca="false">MAX(0,E76-D76)</f>
        <v>6926.58112570793</v>
      </c>
      <c r="H76" s="12" t="n">
        <f aca="false">MAX(0,F76-D76)</f>
        <v>13900.5823607887</v>
      </c>
      <c r="I76" s="70" t="n">
        <f aca="false">IF(H76=0,"",G76/H76)</f>
        <v>0.498294312132326</v>
      </c>
      <c r="J76" s="28" t="str">
        <f aca="false">IF(I76="","",IF(I76&lt;Adequacy!$B$96,"inadequate",IF(I76&lt;Adequacy!$B$97,"marginal","exceeds")))</f>
        <v>inadequate</v>
      </c>
      <c r="K76" s="42" t="n">
        <v>0.7099</v>
      </c>
      <c r="L76" s="96" t="n">
        <f aca="false">I76-K76</f>
        <v>-0.211605687867674</v>
      </c>
    </row>
    <row r="77" customFormat="false" ht="15" hidden="false" customHeight="true" outlineLevel="0" collapsed="false">
      <c r="A77" s="3" t="n">
        <v>60</v>
      </c>
      <c r="B77" s="3" t="n">
        <v>85</v>
      </c>
      <c r="C77" s="48" t="n">
        <f aca="false">Surface_Engine!L236</f>
        <v>188.533466631527</v>
      </c>
      <c r="D77" s="12" t="n">
        <f aca="false">SUMPRODUCT((Surface_Engine!$A$12:$A$72&lt;25)*Surface_Engine!$G$12:$G$72*Surface_Engine!$E$12:$E$72*(Surface_Engine!$D$12:$D$72+(Surface_Engine!L236*12)*Surface_Engine!$F$12:$F$72-(Surface_Engine!L236*12))*Surface_Engine!$B$12:$B$72)+INDEX(Surface_Engine!$E$12:$E$72,25+1)*SUMPRODUCT((Surface_Engine!$A$12:$A$72&gt;=25)*Surface_Engine!$G$12:$G$72*(Surface_Engine!$B$5*Surface_Engine!$C$12:$C$72/(1+Assumptions!$B$10)^25+Surface_Engine!$D$12:$D$72)*Surface_Engine!$B$12:$B$72)</f>
        <v>-982.857864719401</v>
      </c>
      <c r="E77" s="12" t="n">
        <f aca="false">SUMPRODUCT((Surface_Engine!$A$12:$A$72&lt;25)*$B$8:$B$68*Surface_Engine!$E$12:$E$72*(Surface_Engine!$D$12:$D$72+(Surface_Engine!L236*12)*Surface_Engine!$F$12:$F$72-(Surface_Engine!L236*12))*Surface_Engine!$B$12:$B$72)+INDEX(Surface_Engine!$E$12:$E$72,25+1)*SUMPRODUCT((Surface_Engine!$A$12:$A$72&gt;=25)*$B$8:$B$68*(Surface_Engine!$B$5*Surface_Engine!$C$12:$C$72/(1+Assumptions!$B$10)^25+Surface_Engine!$D$12:$D$72)*Surface_Engine!$B$12:$B$72)</f>
        <v>4227.26889012902</v>
      </c>
      <c r="F77" s="12" t="n">
        <f aca="false">SUMPRODUCT((Surface_Engine!$A$12:$A$72&lt;25)*$J$8:$J$68*Surface_Engine!$E$12:$E$72*(Surface_Engine!$D$12:$D$72+(Surface_Engine!L236*12)*Surface_Engine!$F$12:$F$72-(Surface_Engine!L236*12))*Surface_Engine!$B$12:$B$72)+INDEX(Surface_Engine!$E$12:$E$72,25+1)*SUMPRODUCT((Surface_Engine!$A$12:$A$72&gt;=25)*$J$8:$J$68*(Surface_Engine!$B$5*Surface_Engine!$C$12:$C$72/(1+Assumptions!$B$10)^25+Surface_Engine!$D$12:$D$72)*Surface_Engine!$B$12:$B$72)</f>
        <v>10137.4965763693</v>
      </c>
      <c r="G77" s="12" t="n">
        <f aca="false">MAX(0,E77-D77)</f>
        <v>5210.12675484842</v>
      </c>
      <c r="H77" s="12" t="n">
        <f aca="false">MAX(0,F77-D77)</f>
        <v>11120.3544410887</v>
      </c>
      <c r="I77" s="70" t="n">
        <f aca="false">IF(H77=0,"",G77/H77)</f>
        <v>0.46852164492145</v>
      </c>
      <c r="J77" s="28" t="str">
        <f aca="false">IF(I77="","",IF(I77&lt;Adequacy!$B$96,"inadequate",IF(I77&lt;Adequacy!$B$97,"marginal","exceeds")))</f>
        <v>inadequate</v>
      </c>
      <c r="K77" s="42" t="n">
        <v>0.7043</v>
      </c>
      <c r="L77" s="96" t="n">
        <f aca="false">I77-K77</f>
        <v>-0.23577835507855</v>
      </c>
    </row>
    <row r="78" customFormat="false" ht="15" hidden="false" customHeight="true" outlineLevel="0" collapsed="false">
      <c r="A78" s="3" t="n">
        <v>60</v>
      </c>
      <c r="B78" s="3" t="n">
        <v>90</v>
      </c>
      <c r="C78" s="48" t="n">
        <f aca="false">Surface_Engine!Q236</f>
        <v>83.5662983332313</v>
      </c>
      <c r="D78" s="12" t="n">
        <f aca="false">SUMPRODUCT((Surface_Engine!$A$12:$A$72&lt;30)*Surface_Engine!$G$12:$G$72*Surface_Engine!$E$12:$E$72*(Surface_Engine!$D$12:$D$72+(Surface_Engine!Q236*12)*Surface_Engine!$F$12:$F$72-(Surface_Engine!Q236*12))*Surface_Engine!$B$12:$B$72)+INDEX(Surface_Engine!$E$12:$E$72,30+1)*SUMPRODUCT((Surface_Engine!$A$12:$A$72&gt;=30)*Surface_Engine!$G$12:$G$72*(Surface_Engine!$B$5*Surface_Engine!$C$12:$C$72/(1+Assumptions!$B$10)^30+Surface_Engine!$D$12:$D$72)*Surface_Engine!$B$12:$B$72)</f>
        <v>-466.189451917711</v>
      </c>
      <c r="E78" s="12" t="n">
        <f aca="false">SUMPRODUCT((Surface_Engine!$A$12:$A$72&lt;30)*$B$8:$B$68*Surface_Engine!$E$12:$E$72*(Surface_Engine!$D$12:$D$72+(Surface_Engine!Q236*12)*Surface_Engine!$F$12:$F$72-(Surface_Engine!Q236*12))*Surface_Engine!$B$12:$B$72)+INDEX(Surface_Engine!$E$12:$E$72,30+1)*SUMPRODUCT((Surface_Engine!$A$12:$A$72&gt;=30)*$B$8:$B$68*(Surface_Engine!$B$5*Surface_Engine!$C$12:$C$72/(1+Assumptions!$B$10)^30+Surface_Engine!$D$12:$D$72)*Surface_Engine!$B$12:$B$72)</f>
        <v>3078.96822597462</v>
      </c>
      <c r="F78" s="12" t="n">
        <f aca="false">SUMPRODUCT((Surface_Engine!$A$12:$A$72&lt;30)*$J$8:$J$68*Surface_Engine!$E$12:$E$72*(Surface_Engine!$D$12:$D$72+(Surface_Engine!Q236*12)*Surface_Engine!$F$12:$F$72-(Surface_Engine!Q236*12))*Surface_Engine!$B$12:$B$72)+INDEX(Surface_Engine!$E$12:$E$72,30+1)*SUMPRODUCT((Surface_Engine!$A$12:$A$72&gt;=30)*$J$8:$J$68*(Surface_Engine!$B$5*Surface_Engine!$C$12:$C$72/(1+Assumptions!$B$10)^30+Surface_Engine!$D$12:$D$72)*Surface_Engine!$B$12:$B$72)</f>
        <v>7771.66888401583</v>
      </c>
      <c r="G78" s="12" t="n">
        <f aca="false">MAX(0,E78-D78)</f>
        <v>3545.15767789233</v>
      </c>
      <c r="H78" s="12" t="n">
        <f aca="false">MAX(0,F78-D78)</f>
        <v>8237.85833593354</v>
      </c>
      <c r="I78" s="70" t="n">
        <f aca="false">IF(H78=0,"",G78/H78)</f>
        <v>0.430349434685997</v>
      </c>
      <c r="J78" s="28" t="str">
        <f aca="false">IF(I78="","",IF(I78&lt;Adequacy!$B$96,"inadequate",IF(I78&lt;Adequacy!$B$97,"marginal","exceeds")))</f>
        <v>inadequate</v>
      </c>
      <c r="K78" s="42" t="n">
        <v>0.6949</v>
      </c>
      <c r="L78" s="96" t="n">
        <f aca="false">I78-K78</f>
        <v>-0.264550565314003</v>
      </c>
    </row>
    <row r="79" customFormat="false" ht="15" hidden="false" customHeight="true" outlineLevel="0" collapsed="false">
      <c r="A79" s="3" t="n">
        <v>63</v>
      </c>
      <c r="B79" s="3" t="n">
        <v>75</v>
      </c>
      <c r="C79" s="48" t="n">
        <f aca="false">Surface_Engine!B239</f>
        <v>1070.57722488807</v>
      </c>
      <c r="D79" s="12" t="n">
        <f aca="false">SUMPRODUCT((Surface_Engine!$A$12:$A$72&lt;12)*Surface_Engine!$J$12:$J$72*Surface_Engine!$E$12:$E$72*(Surface_Engine!$D$12:$D$72+(Surface_Engine!B239*12)*Surface_Engine!$F$12:$F$72-(Surface_Engine!B239*12))*Surface_Engine!$B$12:$B$72)+INDEX(Surface_Engine!$E$12:$E$72,12+1)*SUMPRODUCT((Surface_Engine!$A$12:$A$72&gt;=12)*Surface_Engine!$J$12:$J$72*(Surface_Engine!$B$5*Surface_Engine!$C$12:$C$72/(1+Assumptions!$B$10)^12+Surface_Engine!$D$12:$D$72)*Surface_Engine!$B$12:$B$72)</f>
        <v>-3534.99126436708</v>
      </c>
      <c r="E79" s="12" t="n">
        <f aca="false">SUMPRODUCT((Surface_Engine!$A$12:$A$72&lt;12)*$C$8:$C$68*Surface_Engine!$E$12:$E$72*(Surface_Engine!$D$12:$D$72+(Surface_Engine!B239*12)*Surface_Engine!$F$12:$F$72-(Surface_Engine!B239*12))*Surface_Engine!$B$12:$B$72)+INDEX(Surface_Engine!$E$12:$E$72,12+1)*SUMPRODUCT((Surface_Engine!$A$12:$A$72&gt;=12)*$C$8:$C$68*(Surface_Engine!$B$5*Surface_Engine!$C$12:$C$72/(1+Assumptions!$B$10)^12+Surface_Engine!$D$12:$D$72)*Surface_Engine!$B$12:$B$72)</f>
        <v>6219.3568331734</v>
      </c>
      <c r="F79" s="12" t="n">
        <f aca="false">SUMPRODUCT((Surface_Engine!$A$12:$A$72&lt;12)*$K$8:$K$68*Surface_Engine!$E$12:$E$72*(Surface_Engine!$D$12:$D$72+(Surface_Engine!B239*12)*Surface_Engine!$F$12:$F$72-(Surface_Engine!B239*12))*Surface_Engine!$B$12:$B$72)+INDEX(Surface_Engine!$E$12:$E$72,12+1)*SUMPRODUCT((Surface_Engine!$A$12:$A$72&gt;=12)*$K$8:$K$68*(Surface_Engine!$B$5*Surface_Engine!$C$12:$C$72/(1+Assumptions!$B$10)^12+Surface_Engine!$D$12:$D$72)*Surface_Engine!$B$12:$B$72)</f>
        <v>14175.4666301519</v>
      </c>
      <c r="G79" s="12" t="n">
        <f aca="false">MAX(0,E79-D79)</f>
        <v>9754.34809754048</v>
      </c>
      <c r="H79" s="12" t="n">
        <f aca="false">MAX(0,F79-D79)</f>
        <v>17710.457894519</v>
      </c>
      <c r="I79" s="70" t="n">
        <f aca="false">IF(H79=0,"",G79/H79)</f>
        <v>0.55076769644444</v>
      </c>
      <c r="J79" s="28" t="str">
        <f aca="false">IF(I79="","",IF(I79&lt;Adequacy!$B$96,"inadequate",IF(I79&lt;Adequacy!$B$97,"marginal","exceeds")))</f>
        <v>inadequate</v>
      </c>
      <c r="K79" s="42" t="n">
        <v>0.7129</v>
      </c>
      <c r="L79" s="96" t="n">
        <f aca="false">I79-K79</f>
        <v>-0.16213230355556</v>
      </c>
    </row>
    <row r="80" customFormat="false" ht="15" hidden="false" customHeight="true" outlineLevel="0" collapsed="false">
      <c r="A80" s="3" t="n">
        <v>63</v>
      </c>
      <c r="B80" s="3" t="n">
        <v>80</v>
      </c>
      <c r="C80" s="48" t="n">
        <f aca="false">Surface_Engine!G239</f>
        <v>488.882955345569</v>
      </c>
      <c r="D80" s="12" t="n">
        <f aca="false">SUMPRODUCT((Surface_Engine!$A$12:$A$72&lt;17)*Surface_Engine!$J$12:$J$72*Surface_Engine!$E$12:$E$72*(Surface_Engine!$D$12:$D$72+(Surface_Engine!G239*12)*Surface_Engine!$F$12:$F$72-(Surface_Engine!G239*12))*Surface_Engine!$B$12:$B$72)+INDEX(Surface_Engine!$E$12:$E$72,17+1)*SUMPRODUCT((Surface_Engine!$A$12:$A$72&gt;=17)*Surface_Engine!$J$12:$J$72*(Surface_Engine!$B$5*Surface_Engine!$C$12:$C$72/(1+Assumptions!$B$10)^17+Surface_Engine!$D$12:$D$72)*Surface_Engine!$B$12:$B$72)</f>
        <v>-2039.10084054095</v>
      </c>
      <c r="E80" s="12" t="n">
        <f aca="false">SUMPRODUCT((Surface_Engine!$A$12:$A$72&lt;17)*$C$8:$C$68*Surface_Engine!$E$12:$E$72*(Surface_Engine!$D$12:$D$72+(Surface_Engine!G239*12)*Surface_Engine!$F$12:$F$72-(Surface_Engine!G239*12))*Surface_Engine!$B$12:$B$72)+INDEX(Surface_Engine!$E$12:$E$72,17+1)*SUMPRODUCT((Surface_Engine!$A$12:$A$72&gt;=17)*$C$8:$C$68*(Surface_Engine!$B$5*Surface_Engine!$C$12:$C$72/(1+Assumptions!$B$10)^17+Surface_Engine!$D$12:$D$72)*Surface_Engine!$B$12:$B$72)</f>
        <v>5686.15775966138</v>
      </c>
      <c r="F80" s="12" t="n">
        <f aca="false">SUMPRODUCT((Surface_Engine!$A$12:$A$72&lt;17)*$K$8:$K$68*Surface_Engine!$E$12:$E$72*(Surface_Engine!$D$12:$D$72+(Surface_Engine!G239*12)*Surface_Engine!$F$12:$F$72-(Surface_Engine!G239*12))*Surface_Engine!$B$12:$B$72)+INDEX(Surface_Engine!$E$12:$E$72,17+1)*SUMPRODUCT((Surface_Engine!$A$12:$A$72&gt;=17)*$K$8:$K$68*(Surface_Engine!$B$5*Surface_Engine!$C$12:$C$72/(1+Assumptions!$B$10)^17+Surface_Engine!$D$12:$D$72)*Surface_Engine!$B$12:$B$72)</f>
        <v>12674.8318804863</v>
      </c>
      <c r="G80" s="12" t="n">
        <f aca="false">MAX(0,E80-D80)</f>
        <v>7725.25860020233</v>
      </c>
      <c r="H80" s="12" t="n">
        <f aca="false">MAX(0,F80-D80)</f>
        <v>14713.9327210273</v>
      </c>
      <c r="I80" s="70" t="n">
        <f aca="false">IF(H80=0,"",G80/H80)</f>
        <v>0.525030170157185</v>
      </c>
      <c r="J80" s="28" t="str">
        <f aca="false">IF(I80="","",IF(I80&lt;Adequacy!$B$96,"inadequate",IF(I80&lt;Adequacy!$B$97,"marginal","exceeds")))</f>
        <v>inadequate</v>
      </c>
      <c r="K80" s="42" t="n">
        <v>0.7093</v>
      </c>
      <c r="L80" s="96" t="n">
        <f aca="false">I80-K80</f>
        <v>-0.184269829842815</v>
      </c>
    </row>
    <row r="81" customFormat="false" ht="15" hidden="false" customHeight="true" outlineLevel="0" collapsed="false">
      <c r="A81" s="3" t="n">
        <v>63</v>
      </c>
      <c r="B81" s="3" t="n">
        <v>85</v>
      </c>
      <c r="C81" s="48" t="n">
        <f aca="false">Surface_Engine!L239</f>
        <v>225.023180732087</v>
      </c>
      <c r="D81" s="12" t="n">
        <f aca="false">SUMPRODUCT((Surface_Engine!$A$12:$A$72&lt;22)*Surface_Engine!$J$12:$J$72*Surface_Engine!$E$12:$E$72*(Surface_Engine!$D$12:$D$72+(Surface_Engine!L239*12)*Surface_Engine!$F$12:$F$72-(Surface_Engine!L239*12))*Surface_Engine!$B$12:$B$72)+INDEX(Surface_Engine!$E$12:$E$72,22+1)*SUMPRODUCT((Surface_Engine!$A$12:$A$72&gt;=22)*Surface_Engine!$J$12:$J$72*(Surface_Engine!$B$5*Surface_Engine!$C$12:$C$72/(1+Assumptions!$B$10)^22+Surface_Engine!$D$12:$D$72)*Surface_Engine!$B$12:$B$72)</f>
        <v>-1078.77812541034</v>
      </c>
      <c r="E81" s="12" t="n">
        <f aca="false">SUMPRODUCT((Surface_Engine!$A$12:$A$72&lt;22)*$C$8:$C$68*Surface_Engine!$E$12:$E$72*(Surface_Engine!$D$12:$D$72+(Surface_Engine!L239*12)*Surface_Engine!$F$12:$F$72-(Surface_Engine!L239*12))*Surface_Engine!$B$12:$B$72)+INDEX(Surface_Engine!$E$12:$E$72,22+1)*SUMPRODUCT((Surface_Engine!$A$12:$A$72&gt;=22)*$C$8:$C$68*(Surface_Engine!$B$5*Surface_Engine!$C$12:$C$72/(1+Assumptions!$B$10)^22+Surface_Engine!$D$12:$D$72)*Surface_Engine!$B$12:$B$72)</f>
        <v>4709.40143788353</v>
      </c>
      <c r="F81" s="12" t="n">
        <f aca="false">SUMPRODUCT((Surface_Engine!$A$12:$A$72&lt;22)*$K$8:$K$68*Surface_Engine!$E$12:$E$72*(Surface_Engine!$D$12:$D$72+(Surface_Engine!L239*12)*Surface_Engine!$F$12:$F$72-(Surface_Engine!L239*12))*Surface_Engine!$B$12:$B$72)+INDEX(Surface_Engine!$E$12:$E$72,22+1)*SUMPRODUCT((Surface_Engine!$A$12:$A$72&gt;=22)*$K$8:$K$68*(Surface_Engine!$B$5*Surface_Engine!$C$12:$C$72/(1+Assumptions!$B$10)^22+Surface_Engine!$D$12:$D$72)*Surface_Engine!$B$12:$B$72)</f>
        <v>10658.9375001779</v>
      </c>
      <c r="G81" s="12" t="n">
        <f aca="false">MAX(0,E81-D81)</f>
        <v>5788.17956329387</v>
      </c>
      <c r="H81" s="12" t="n">
        <f aca="false">MAX(0,F81-D81)</f>
        <v>11737.7156255882</v>
      </c>
      <c r="I81" s="70" t="n">
        <f aca="false">IF(H81=0,"",G81/H81)</f>
        <v>0.493126579985941</v>
      </c>
      <c r="J81" s="28" t="str">
        <f aca="false">IF(I81="","",IF(I81&lt;Adequacy!$B$96,"inadequate",IF(I81&lt;Adequacy!$B$97,"marginal","exceeds")))</f>
        <v>inadequate</v>
      </c>
      <c r="K81" s="42" t="n">
        <v>0.7034</v>
      </c>
      <c r="L81" s="96" t="n">
        <f aca="false">I81-K81</f>
        <v>-0.210273420014059</v>
      </c>
    </row>
    <row r="82" customFormat="false" ht="15" hidden="false" customHeight="true" outlineLevel="0" collapsed="false">
      <c r="A82" s="3" t="n">
        <v>63</v>
      </c>
      <c r="B82" s="3" t="n">
        <v>90</v>
      </c>
      <c r="C82" s="48" t="n">
        <f aca="false">Surface_Engine!Q239</f>
        <v>95.8697604780185</v>
      </c>
      <c r="D82" s="12" t="n">
        <f aca="false">SUMPRODUCT((Surface_Engine!$A$12:$A$72&lt;27)*Surface_Engine!$J$12:$J$72*Surface_Engine!$E$12:$E$72*(Surface_Engine!$D$12:$D$72+(Surface_Engine!Q239*12)*Surface_Engine!$F$12:$F$72-(Surface_Engine!Q239*12))*Surface_Engine!$B$12:$B$72)+INDEX(Surface_Engine!$E$12:$E$72,27+1)*SUMPRODUCT((Surface_Engine!$A$12:$A$72&gt;=27)*Surface_Engine!$J$12:$J$72*(Surface_Engine!$B$5*Surface_Engine!$C$12:$C$72/(1+Assumptions!$B$10)^27+Surface_Engine!$D$12:$D$72)*Surface_Engine!$B$12:$B$72)</f>
        <v>-498.768967653452</v>
      </c>
      <c r="E82" s="12" t="n">
        <f aca="false">SUMPRODUCT((Surface_Engine!$A$12:$A$72&lt;27)*$C$8:$C$68*Surface_Engine!$E$12:$E$72*(Surface_Engine!$D$12:$D$72+(Surface_Engine!Q239*12)*Surface_Engine!$F$12:$F$72-(Surface_Engine!Q239*12))*Surface_Engine!$B$12:$B$72)+INDEX(Surface_Engine!$E$12:$E$72,27+1)*SUMPRODUCT((Surface_Engine!$A$12:$A$72&gt;=27)*$C$8:$C$68*(Surface_Engine!$B$5*Surface_Engine!$C$12:$C$72/(1+Assumptions!$B$10)^27+Surface_Engine!$D$12:$D$72)*Surface_Engine!$B$12:$B$72)</f>
        <v>3413.18090465924</v>
      </c>
      <c r="F82" s="12" t="n">
        <f aca="false">SUMPRODUCT((Surface_Engine!$A$12:$A$72&lt;27)*$K$8:$K$68*Surface_Engine!$E$12:$E$72*(Surface_Engine!$D$12:$D$72+(Surface_Engine!Q239*12)*Surface_Engine!$F$12:$F$72-(Surface_Engine!Q239*12))*Surface_Engine!$B$12:$B$72)+INDEX(Surface_Engine!$E$12:$E$72,27+1)*SUMPRODUCT((Surface_Engine!$A$12:$A$72&gt;=27)*$K$8:$K$68*(Surface_Engine!$B$5*Surface_Engine!$C$12:$C$72/(1+Assumptions!$B$10)^27+Surface_Engine!$D$12:$D$72)*Surface_Engine!$B$12:$B$72)</f>
        <v>8144.75108799245</v>
      </c>
      <c r="G82" s="12" t="n">
        <f aca="false">MAX(0,E82-D82)</f>
        <v>3911.94987231269</v>
      </c>
      <c r="H82" s="12" t="n">
        <f aca="false">MAX(0,F82-D82)</f>
        <v>8643.5200556459</v>
      </c>
      <c r="I82" s="70" t="n">
        <f aca="false">IF(H82=0,"",G82/H82)</f>
        <v>0.452587585512389</v>
      </c>
      <c r="J82" s="28" t="str">
        <f aca="false">IF(I82="","",IF(I82&lt;Adequacy!$B$96,"inadequate",IF(I82&lt;Adequacy!$B$97,"marginal","exceeds")))</f>
        <v>inadequate</v>
      </c>
      <c r="K82" s="42" t="n">
        <v>0.6936</v>
      </c>
      <c r="L82" s="96" t="n">
        <f aca="false">I82-K82</f>
        <v>-0.241012414487611</v>
      </c>
    </row>
    <row r="83" customFormat="false" ht="15" hidden="false" customHeight="true" outlineLevel="0" collapsed="false">
      <c r="A83" s="3" t="n">
        <v>65</v>
      </c>
      <c r="B83" s="3" t="n">
        <v>75</v>
      </c>
      <c r="C83" s="48" t="n">
        <f aca="false">Surface_Engine!B241</f>
        <v>1362.08662676073</v>
      </c>
      <c r="D83" s="12" t="n">
        <f aca="false">SUMPRODUCT((Surface_Engine!$A$12:$A$72&lt;10)*Surface_Engine!$L$12:$L$72*Surface_Engine!$E$12:$E$72*(Surface_Engine!$D$12:$D$72+(Surface_Engine!B241*12)*Surface_Engine!$F$12:$F$72-(Surface_Engine!B241*12))*Surface_Engine!$B$12:$B$72)+INDEX(Surface_Engine!$E$12:$E$72,10+1)*SUMPRODUCT((Surface_Engine!$A$12:$A$72&gt;=10)*Surface_Engine!$L$12:$L$72*(Surface_Engine!$B$5*Surface_Engine!$C$12:$C$72/(1+Assumptions!$B$10)^10+Surface_Engine!$D$12:$D$72)*Surface_Engine!$B$12:$B$72)</f>
        <v>-3895.43899593671</v>
      </c>
      <c r="E83" s="12" t="n">
        <f aca="false">SUMPRODUCT((Surface_Engine!$A$12:$A$72&lt;10)*$D$8:$D$68*Surface_Engine!$E$12:$E$72*(Surface_Engine!$D$12:$D$72+(Surface_Engine!B241*12)*Surface_Engine!$F$12:$F$72-(Surface_Engine!B241*12))*Surface_Engine!$B$12:$B$72)+INDEX(Surface_Engine!$E$12:$E$72,10+1)*SUMPRODUCT((Surface_Engine!$A$12:$A$72&gt;=10)*$D$8:$D$68*(Surface_Engine!$B$5*Surface_Engine!$C$12:$C$72/(1+Assumptions!$B$10)^10+Surface_Engine!$D$12:$D$72)*Surface_Engine!$B$12:$B$72)</f>
        <v>6608.4567115269</v>
      </c>
      <c r="F83" s="12" t="n">
        <f aca="false">SUMPRODUCT((Surface_Engine!$A$12:$A$72&lt;10)*$L$8:$L$68*Surface_Engine!$E$12:$E$72*(Surface_Engine!$D$12:$D$72+(Surface_Engine!B241*12)*Surface_Engine!$F$12:$F$72-(Surface_Engine!B241*12))*Surface_Engine!$B$12:$B$72)+INDEX(Surface_Engine!$E$12:$E$72,10+1)*SUMPRODUCT((Surface_Engine!$A$12:$A$72&gt;=10)*$L$8:$L$68*(Surface_Engine!$B$5*Surface_Engine!$C$12:$C$72/(1+Assumptions!$B$10)^10+Surface_Engine!$D$12:$D$72)*Surface_Engine!$B$12:$B$72)</f>
        <v>14454.8162367288</v>
      </c>
      <c r="G83" s="12" t="n">
        <f aca="false">MAX(0,E83-D83)</f>
        <v>10503.8957074636</v>
      </c>
      <c r="H83" s="12" t="n">
        <f aca="false">MAX(0,F83-D83)</f>
        <v>18350.2552326655</v>
      </c>
      <c r="I83" s="70" t="n">
        <f aca="false">IF(H83=0,"",G83/H83)</f>
        <v>0.572411422853973</v>
      </c>
      <c r="J83" s="28" t="str">
        <f aca="false">IF(I83="","",IF(I83&lt;Adequacy!$B$96,"inadequate",IF(I83&lt;Adequacy!$B$97,"marginal","exceeds")))</f>
        <v>inadequate</v>
      </c>
      <c r="K83" s="42" t="n">
        <v>0.7125</v>
      </c>
      <c r="L83" s="96" t="n">
        <f aca="false">I83-K83</f>
        <v>-0.140088577146027</v>
      </c>
    </row>
    <row r="84" customFormat="false" ht="15" hidden="false" customHeight="true" outlineLevel="0" collapsed="false">
      <c r="A84" s="3" t="n">
        <v>65</v>
      </c>
      <c r="B84" s="3" t="n">
        <v>80</v>
      </c>
      <c r="C84" s="48" t="n">
        <f aca="false">Surface_Engine!G241</f>
        <v>578.747857148236</v>
      </c>
      <c r="D84" s="12" t="n">
        <f aca="false">SUMPRODUCT((Surface_Engine!$A$12:$A$72&lt;15)*Surface_Engine!$L$12:$L$72*Surface_Engine!$E$12:$E$72*(Surface_Engine!$D$12:$D$72+(Surface_Engine!G241*12)*Surface_Engine!$F$12:$F$72-(Surface_Engine!G241*12))*Surface_Engine!$B$12:$B$72)+INDEX(Surface_Engine!$E$12:$E$72,15+1)*SUMPRODUCT((Surface_Engine!$A$12:$A$72&gt;=15)*Surface_Engine!$L$12:$L$72*(Surface_Engine!$B$5*Surface_Engine!$C$12:$C$72/(1+Assumptions!$B$10)^15+Surface_Engine!$D$12:$D$72)*Surface_Engine!$B$12:$B$72)</f>
        <v>-2206.6768813412</v>
      </c>
      <c r="E84" s="12" t="n">
        <f aca="false">SUMPRODUCT((Surface_Engine!$A$12:$A$72&lt;15)*$D$8:$D$68*Surface_Engine!$E$12:$E$72*(Surface_Engine!$D$12:$D$72+(Surface_Engine!G241*12)*Surface_Engine!$F$12:$F$72-(Surface_Engine!G241*12))*Surface_Engine!$B$12:$B$72)+INDEX(Surface_Engine!$E$12:$E$72,15+1)*SUMPRODUCT((Surface_Engine!$A$12:$A$72&gt;=15)*$D$8:$D$68*(Surface_Engine!$B$5*Surface_Engine!$C$12:$C$72/(1+Assumptions!$B$10)^15+Surface_Engine!$D$12:$D$72)*Surface_Engine!$B$12:$B$72)</f>
        <v>6092.29602058737</v>
      </c>
      <c r="F84" s="12" t="n">
        <f aca="false">SUMPRODUCT((Surface_Engine!$A$12:$A$72&lt;15)*$L$8:$L$68*Surface_Engine!$E$12:$E$72*(Surface_Engine!$D$12:$D$72+(Surface_Engine!G241*12)*Surface_Engine!$F$12:$F$72-(Surface_Engine!G241*12))*Surface_Engine!$B$12:$B$72)+INDEX(Surface_Engine!$E$12:$E$72,15+1)*SUMPRODUCT((Surface_Engine!$A$12:$A$72&gt;=15)*$L$8:$L$68*(Surface_Engine!$B$5*Surface_Engine!$C$12:$C$72/(1+Assumptions!$B$10)^15+Surface_Engine!$D$12:$D$72)*Surface_Engine!$B$12:$B$72)</f>
        <v>13022.0629774903</v>
      </c>
      <c r="G84" s="12" t="n">
        <f aca="false">MAX(0,E84-D84)</f>
        <v>8298.97290192857</v>
      </c>
      <c r="H84" s="12" t="n">
        <f aca="false">MAX(0,F84-D84)</f>
        <v>15228.7398588315</v>
      </c>
      <c r="I84" s="70" t="n">
        <f aca="false">IF(H84=0,"",G84/H84)</f>
        <v>0.544954669845239</v>
      </c>
      <c r="J84" s="28" t="str">
        <f aca="false">IF(I84="","",IF(I84&lt;Adequacy!$B$96,"inadequate",IF(I84&lt;Adequacy!$B$97,"marginal","exceeds")))</f>
        <v>inadequate</v>
      </c>
      <c r="K84" s="42" t="n">
        <v>0.7088</v>
      </c>
      <c r="L84" s="96" t="n">
        <f aca="false">I84-K84</f>
        <v>-0.163845330154761</v>
      </c>
    </row>
    <row r="85" customFormat="false" ht="15" hidden="false" customHeight="true" outlineLevel="0" collapsed="false">
      <c r="A85" s="3" t="n">
        <v>65</v>
      </c>
      <c r="B85" s="3" t="n">
        <v>85</v>
      </c>
      <c r="C85" s="48" t="n">
        <f aca="false">Surface_Engine!L241</f>
        <v>256.410770014245</v>
      </c>
      <c r="D85" s="12" t="n">
        <f aca="false">SUMPRODUCT((Surface_Engine!$A$12:$A$72&lt;20)*Surface_Engine!$L$12:$L$72*Surface_Engine!$E$12:$E$72*(Surface_Engine!$D$12:$D$72+(Surface_Engine!L241*12)*Surface_Engine!$F$12:$F$72-(Surface_Engine!L241*12))*Surface_Engine!$B$12:$B$72)+INDEX(Surface_Engine!$E$12:$E$72,20+1)*SUMPRODUCT((Surface_Engine!$A$12:$A$72&gt;=20)*Surface_Engine!$L$12:$L$72*(Surface_Engine!$B$5*Surface_Engine!$C$12:$C$72/(1+Assumptions!$B$10)^20+Surface_Engine!$D$12:$D$72)*Surface_Engine!$B$12:$B$72)</f>
        <v>-1151.53870116808</v>
      </c>
      <c r="E85" s="12" t="n">
        <f aca="false">SUMPRODUCT((Surface_Engine!$A$12:$A$72&lt;20)*$D$8:$D$68*Surface_Engine!$E$12:$E$72*(Surface_Engine!$D$12:$D$72+(Surface_Engine!L241*12)*Surface_Engine!$F$12:$F$72-(Surface_Engine!L241*12))*Surface_Engine!$B$12:$B$72)+INDEX(Surface_Engine!$E$12:$E$72,20+1)*SUMPRODUCT((Surface_Engine!$A$12:$A$72&gt;=20)*$D$8:$D$68*(Surface_Engine!$B$5*Surface_Engine!$C$12:$C$72/(1+Assumptions!$B$10)^20+Surface_Engine!$D$12:$D$72)*Surface_Engine!$B$12:$B$72)</f>
        <v>5049.6925824866</v>
      </c>
      <c r="F85" s="12" t="n">
        <f aca="false">SUMPRODUCT((Surface_Engine!$A$12:$A$72&lt;20)*$L$8:$L$68*Surface_Engine!$E$12:$E$72*(Surface_Engine!$D$12:$D$72+(Surface_Engine!L241*12)*Surface_Engine!$F$12:$F$72-(Surface_Engine!L241*12))*Surface_Engine!$B$12:$B$72)+INDEX(Surface_Engine!$E$12:$E$72,20+1)*SUMPRODUCT((Surface_Engine!$A$12:$A$72&gt;=20)*$L$8:$L$68*(Surface_Engine!$B$5*Surface_Engine!$C$12:$C$72/(1+Assumptions!$B$10)^20+Surface_Engine!$D$12:$D$72)*Surface_Engine!$B$12:$B$72)</f>
        <v>10974.2233674632</v>
      </c>
      <c r="G85" s="12" t="n">
        <f aca="false">MAX(0,E85-D85)</f>
        <v>6201.23128365468</v>
      </c>
      <c r="H85" s="12" t="n">
        <f aca="false">MAX(0,F85-D85)</f>
        <v>12125.7620686313</v>
      </c>
      <c r="I85" s="70" t="n">
        <f aca="false">IF(H85=0,"",G85/H85)</f>
        <v>0.511409612736582</v>
      </c>
      <c r="J85" s="28" t="str">
        <f aca="false">IF(I85="","",IF(I85&lt;Adequacy!$B$96,"inadequate",IF(I85&lt;Adequacy!$B$97,"marginal","exceeds")))</f>
        <v>inadequate</v>
      </c>
      <c r="K85" s="42" t="n">
        <v>0.7028</v>
      </c>
      <c r="L85" s="96" t="n">
        <f aca="false">I85-K85</f>
        <v>-0.191390387263418</v>
      </c>
    </row>
    <row r="86" customFormat="false" ht="15" hidden="false" customHeight="true" outlineLevel="0" collapsed="false">
      <c r="A86" s="3" t="n">
        <v>65</v>
      </c>
      <c r="B86" s="3" t="n">
        <v>90</v>
      </c>
      <c r="C86" s="48" t="n">
        <f aca="false">Surface_Engine!Q241</f>
        <v>106.097609509547</v>
      </c>
      <c r="D86" s="12" t="n">
        <f aca="false">SUMPRODUCT((Surface_Engine!$A$12:$A$72&lt;25)*Surface_Engine!$L$12:$L$72*Surface_Engine!$E$12:$E$72*(Surface_Engine!$D$12:$D$72+(Surface_Engine!Q241*12)*Surface_Engine!$F$12:$F$72-(Surface_Engine!Q241*12))*Surface_Engine!$B$12:$B$72)+INDEX(Surface_Engine!$E$12:$E$72,25+1)*SUMPRODUCT((Surface_Engine!$A$12:$A$72&gt;=25)*Surface_Engine!$L$12:$L$72*(Surface_Engine!$B$5*Surface_Engine!$C$12:$C$72/(1+Assumptions!$B$10)^25+Surface_Engine!$D$12:$D$72)*Surface_Engine!$B$12:$B$72)</f>
        <v>-523.224859513422</v>
      </c>
      <c r="E86" s="12" t="n">
        <f aca="false">SUMPRODUCT((Surface_Engine!$A$12:$A$72&lt;25)*$D$8:$D$68*Surface_Engine!$E$12:$E$72*(Surface_Engine!$D$12:$D$72+(Surface_Engine!Q241*12)*Surface_Engine!$F$12:$F$72-(Surface_Engine!Q241*12))*Surface_Engine!$B$12:$B$72)+INDEX(Surface_Engine!$E$12:$E$72,25+1)*SUMPRODUCT((Surface_Engine!$A$12:$A$72&gt;=25)*$D$8:$D$68*(Surface_Engine!$B$5*Surface_Engine!$C$12:$C$72/(1+Assumptions!$B$10)^25+Surface_Engine!$D$12:$D$72)*Surface_Engine!$B$12:$B$72)</f>
        <v>3650.16274237754</v>
      </c>
      <c r="F86" s="12" t="n">
        <f aca="false">SUMPRODUCT((Surface_Engine!$A$12:$A$72&lt;25)*$L$8:$L$68*Surface_Engine!$E$12:$E$72*(Surface_Engine!$D$12:$D$72+(Surface_Engine!Q241*12)*Surface_Engine!$F$12:$F$72-(Surface_Engine!Q241*12))*Surface_Engine!$B$12:$B$72)+INDEX(Surface_Engine!$E$12:$E$72,25+1)*SUMPRODUCT((Surface_Engine!$A$12:$A$72&gt;=25)*$L$8:$L$68*(Surface_Engine!$B$5*Surface_Engine!$C$12:$C$72/(1+Assumptions!$B$10)^25+Surface_Engine!$D$12:$D$72)*Surface_Engine!$B$12:$B$72)</f>
        <v>8372.17719384395</v>
      </c>
      <c r="G86" s="12" t="n">
        <f aca="false">MAX(0,E86-D86)</f>
        <v>4173.38760189096</v>
      </c>
      <c r="H86" s="12" t="n">
        <f aca="false">MAX(0,F86-D86)</f>
        <v>8895.40205335737</v>
      </c>
      <c r="I86" s="70" t="n">
        <f aca="false">IF(H86=0,"",G86/H86)</f>
        <v>0.469162335424266</v>
      </c>
      <c r="J86" s="28" t="str">
        <f aca="false">IF(I86="","",IF(I86&lt;Adequacy!$B$96,"inadequate",IF(I86&lt;Adequacy!$B$97,"marginal","exceeds")))</f>
        <v>inadequate</v>
      </c>
      <c r="K86" s="42" t="n">
        <v>0.6927</v>
      </c>
      <c r="L86" s="96" t="n">
        <f aca="false">I86-K86</f>
        <v>-0.223537664575734</v>
      </c>
    </row>
    <row r="87" customFormat="false" ht="15" hidden="false" customHeight="true" outlineLevel="0" collapsed="false">
      <c r="A87" s="3" t="n">
        <v>68</v>
      </c>
      <c r="B87" s="3" t="n">
        <v>75</v>
      </c>
      <c r="C87" s="48" t="n">
        <f aca="false">Surface_Engine!B244</f>
        <v>2178.37578671181</v>
      </c>
      <c r="D87" s="12" t="n">
        <f aca="false">SUMPRODUCT((Surface_Engine!$A$12:$A$72&lt;7)*Surface_Engine!$O$12:$O$72*Surface_Engine!$E$12:$E$72*(Surface_Engine!$D$12:$D$72+(Surface_Engine!B244*12)*Surface_Engine!$F$12:$F$72-(Surface_Engine!B244*12))*Surface_Engine!$B$12:$B$72)+INDEX(Surface_Engine!$E$12:$E$72,7+1)*SUMPRODUCT((Surface_Engine!$A$12:$A$72&gt;=7)*Surface_Engine!$O$12:$O$72*(Surface_Engine!$B$5*Surface_Engine!$C$12:$C$72/(1+Assumptions!$B$10)^7+Surface_Engine!$D$12:$D$72)*Surface_Engine!$B$12:$B$72)</f>
        <v>-4636.91003243356</v>
      </c>
      <c r="E87" s="12" t="n">
        <f aca="false">SUMPRODUCT((Surface_Engine!$A$12:$A$72&lt;7)*$E$8:$E$68*Surface_Engine!$E$12:$E$72*(Surface_Engine!$D$12:$D$72+(Surface_Engine!B244*12)*Surface_Engine!$F$12:$F$72-(Surface_Engine!B244*12))*Surface_Engine!$B$12:$B$72)+INDEX(Surface_Engine!$E$12:$E$72,7+1)*SUMPRODUCT((Surface_Engine!$A$12:$A$72&gt;=7)*$E$8:$E$68*(Surface_Engine!$B$5*Surface_Engine!$C$12:$C$72/(1+Assumptions!$B$10)^7+Surface_Engine!$D$12:$D$72)*Surface_Engine!$B$12:$B$72)</f>
        <v>7094.73616606912</v>
      </c>
      <c r="F87" s="12" t="n">
        <f aca="false">SUMPRODUCT((Surface_Engine!$A$12:$A$72&lt;7)*$M$8:$M$68*Surface_Engine!$E$12:$E$72*(Surface_Engine!$D$12:$D$72+(Surface_Engine!B244*12)*Surface_Engine!$F$12:$F$72-(Surface_Engine!B244*12))*Surface_Engine!$B$12:$B$72)+INDEX(Surface_Engine!$E$12:$E$72,7+1)*SUMPRODUCT((Surface_Engine!$A$12:$A$72&gt;=7)*$M$8:$M$68*(Surface_Engine!$B$5*Surface_Engine!$C$12:$C$72/(1+Assumptions!$B$10)^7+Surface_Engine!$D$12:$D$72)*Surface_Engine!$B$12:$B$72)</f>
        <v>14618.3407614002</v>
      </c>
      <c r="G87" s="12" t="n">
        <f aca="false">MAX(0,E87-D87)</f>
        <v>11731.6461985027</v>
      </c>
      <c r="H87" s="12" t="n">
        <f aca="false">MAX(0,F87-D87)</f>
        <v>19255.2507938338</v>
      </c>
      <c r="I87" s="70" t="n">
        <f aca="false">IF(H87=0,"",G87/H87)</f>
        <v>0.609269976491794</v>
      </c>
      <c r="J87" s="28" t="str">
        <f aca="false">IF(I87="","",IF(I87&lt;Adequacy!$B$96,"inadequate",IF(I87&lt;Adequacy!$B$97,"marginal","exceeds")))</f>
        <v>inadequate</v>
      </c>
      <c r="K87" s="42" t="n">
        <v>0.7615</v>
      </c>
      <c r="L87" s="96" t="n">
        <f aca="false">I87-K87</f>
        <v>-0.152230023508206</v>
      </c>
    </row>
    <row r="88" customFormat="false" ht="15" hidden="false" customHeight="true" outlineLevel="0" collapsed="false">
      <c r="A88" s="3" t="n">
        <v>68</v>
      </c>
      <c r="B88" s="3" t="n">
        <v>80</v>
      </c>
      <c r="C88" s="48" t="n">
        <f aca="false">Surface_Engine!G244</f>
        <v>781.086149320344</v>
      </c>
      <c r="D88" s="12" t="n">
        <f aca="false">SUMPRODUCT((Surface_Engine!$A$12:$A$72&lt;12)*Surface_Engine!$O$12:$O$72*Surface_Engine!$E$12:$E$72*(Surface_Engine!$D$12:$D$72+(Surface_Engine!G244*12)*Surface_Engine!$F$12:$F$72-(Surface_Engine!G244*12))*Surface_Engine!$B$12:$B$72)+INDEX(Surface_Engine!$E$12:$E$72,12+1)*SUMPRODUCT((Surface_Engine!$A$12:$A$72&gt;=12)*Surface_Engine!$O$12:$O$72*(Surface_Engine!$B$5*Surface_Engine!$C$12:$C$72/(1+Assumptions!$B$10)^12+Surface_Engine!$D$12:$D$72)*Surface_Engine!$B$12:$B$72)</f>
        <v>-2518.3619483584</v>
      </c>
      <c r="E88" s="12" t="n">
        <f aca="false">SUMPRODUCT((Surface_Engine!$A$12:$A$72&lt;12)*$E$8:$E$68*Surface_Engine!$E$12:$E$72*(Surface_Engine!$D$12:$D$72+(Surface_Engine!G244*12)*Surface_Engine!$F$12:$F$72-(Surface_Engine!G244*12))*Surface_Engine!$B$12:$B$72)+INDEX(Surface_Engine!$E$12:$E$72,12+1)*SUMPRODUCT((Surface_Engine!$A$12:$A$72&gt;=12)*$E$8:$E$68*(Surface_Engine!$B$5*Surface_Engine!$C$12:$C$72/(1+Assumptions!$B$10)^12+Surface_Engine!$D$12:$D$72)*Surface_Engine!$B$12:$B$72)</f>
        <v>6718.65389532429</v>
      </c>
      <c r="F88" s="12" t="n">
        <f aca="false">SUMPRODUCT((Surface_Engine!$A$12:$A$72&lt;12)*$M$8:$M$68*Surface_Engine!$E$12:$E$72*(Surface_Engine!$D$12:$D$72+(Surface_Engine!G244*12)*Surface_Engine!$F$12:$F$72-(Surface_Engine!G244*12))*Surface_Engine!$B$12:$B$72)+INDEX(Surface_Engine!$E$12:$E$72,12+1)*SUMPRODUCT((Surface_Engine!$A$12:$A$72&gt;=12)*$M$8:$M$68*(Surface_Engine!$B$5*Surface_Engine!$C$12:$C$72/(1+Assumptions!$B$10)^12+Surface_Engine!$D$12:$D$72)*Surface_Engine!$B$12:$B$72)</f>
        <v>13440.7651411461</v>
      </c>
      <c r="G88" s="12" t="n">
        <f aca="false">MAX(0,E88-D88)</f>
        <v>9237.01584368269</v>
      </c>
      <c r="H88" s="12" t="n">
        <f aca="false">MAX(0,F88-D88)</f>
        <v>15959.1270895045</v>
      </c>
      <c r="I88" s="70" t="n">
        <f aca="false">IF(H88=0,"",G88/H88)</f>
        <v>0.578792047452108</v>
      </c>
      <c r="J88" s="28" t="str">
        <f aca="false">IF(I88="","",IF(I88&lt;Adequacy!$B$96,"inadequate",IF(I88&lt;Adequacy!$B$97,"marginal","exceeds")))</f>
        <v>inadequate</v>
      </c>
      <c r="K88" s="42" t="n">
        <v>0.7582</v>
      </c>
      <c r="L88" s="96" t="n">
        <f aca="false">I88-K88</f>
        <v>-0.179407952547892</v>
      </c>
    </row>
    <row r="89" customFormat="false" ht="15" hidden="false" customHeight="true" outlineLevel="0" collapsed="false">
      <c r="A89" s="3" t="n">
        <v>68</v>
      </c>
      <c r="B89" s="3" t="n">
        <v>85</v>
      </c>
      <c r="C89" s="48" t="n">
        <f aca="false">Surface_Engine!L244</f>
        <v>319.800153491245</v>
      </c>
      <c r="D89" s="12" t="n">
        <f aca="false">SUMPRODUCT((Surface_Engine!$A$12:$A$72&lt;17)*Surface_Engine!$O$12:$O$72*Surface_Engine!$E$12:$E$72*(Surface_Engine!$D$12:$D$72+(Surface_Engine!L244*12)*Surface_Engine!$F$12:$F$72-(Surface_Engine!L244*12))*Surface_Engine!$B$12:$B$72)+INDEX(Surface_Engine!$E$12:$E$72,17+1)*SUMPRODUCT((Surface_Engine!$A$12:$A$72&gt;=17)*Surface_Engine!$O$12:$O$72*(Surface_Engine!$B$5*Surface_Engine!$C$12:$C$72/(1+Assumptions!$B$10)^17+Surface_Engine!$D$12:$D$72)*Surface_Engine!$B$12:$B$72)</f>
        <v>-1279.91887175455</v>
      </c>
      <c r="E89" s="12" t="n">
        <f aca="false">SUMPRODUCT((Surface_Engine!$A$12:$A$72&lt;17)*$E$8:$E$68*Surface_Engine!$E$12:$E$72*(Surface_Engine!$D$12:$D$72+(Surface_Engine!L244*12)*Surface_Engine!$F$12:$F$72-(Surface_Engine!L244*12))*Surface_Engine!$B$12:$B$72)+INDEX(Surface_Engine!$E$12:$E$72,17+1)*SUMPRODUCT((Surface_Engine!$A$12:$A$72&gt;=17)*$E$8:$E$68*(Surface_Engine!$B$5*Surface_Engine!$C$12:$C$72/(1+Assumptions!$B$10)^17+Surface_Engine!$D$12:$D$72)*Surface_Engine!$B$12:$B$72)</f>
        <v>5589.67492507482</v>
      </c>
      <c r="F89" s="12" t="n">
        <f aca="false">SUMPRODUCT((Surface_Engine!$A$12:$A$72&lt;17)*$M$8:$M$68*Surface_Engine!$E$12:$E$72*(Surface_Engine!$D$12:$D$72+(Surface_Engine!L244*12)*Surface_Engine!$F$12:$F$72-(Surface_Engine!L244*12))*Surface_Engine!$B$12:$B$72)+INDEX(Surface_Engine!$E$12:$E$72,17+1)*SUMPRODUCT((Surface_Engine!$A$12:$A$72&gt;=17)*$M$8:$M$68*(Surface_Engine!$B$5*Surface_Engine!$C$12:$C$72/(1+Assumptions!$B$10)^17+Surface_Engine!$D$12:$D$72)*Surface_Engine!$B$12:$B$72)</f>
        <v>11389.5514186591</v>
      </c>
      <c r="G89" s="12" t="n">
        <f aca="false">MAX(0,E89-D89)</f>
        <v>6869.59379682937</v>
      </c>
      <c r="H89" s="12" t="n">
        <f aca="false">MAX(0,F89-D89)</f>
        <v>12669.4702904137</v>
      </c>
      <c r="I89" s="70" t="n">
        <f aca="false">IF(H89=0,"",G89/H89)</f>
        <v>0.542216338912545</v>
      </c>
      <c r="J89" s="28" t="str">
        <f aca="false">IF(I89="","",IF(I89&lt;Adequacy!$B$96,"inadequate",IF(I89&lt;Adequacy!$B$97,"marginal","exceeds")))</f>
        <v>inadequate</v>
      </c>
      <c r="K89" s="42" t="n">
        <v>0.753</v>
      </c>
      <c r="L89" s="96" t="n">
        <f aca="false">I89-K89</f>
        <v>-0.210783661087455</v>
      </c>
    </row>
    <row r="90" customFormat="false" ht="15" hidden="false" customHeight="true" outlineLevel="0" collapsed="false">
      <c r="A90" s="3" t="n">
        <v>68</v>
      </c>
      <c r="B90" s="3" t="n">
        <v>90</v>
      </c>
      <c r="C90" s="48" t="n">
        <f aca="false">Surface_Engine!Q244</f>
        <v>125.808446512156</v>
      </c>
      <c r="D90" s="12" t="n">
        <f aca="false">SUMPRODUCT((Surface_Engine!$A$12:$A$72&lt;22)*Surface_Engine!$O$12:$O$72*Surface_Engine!$E$12:$E$72*(Surface_Engine!$D$12:$D$72+(Surface_Engine!Q244*12)*Surface_Engine!$F$12:$F$72-(Surface_Engine!Q244*12))*Surface_Engine!$B$12:$B$72)+INDEX(Surface_Engine!$E$12:$E$72,22+1)*SUMPRODUCT((Surface_Engine!$A$12:$A$72&gt;=22)*Surface_Engine!$O$12:$O$72*(Surface_Engine!$B$5*Surface_Engine!$C$12:$C$72/(1+Assumptions!$B$10)^22+Surface_Engine!$D$12:$D$72)*Surface_Engine!$B$12:$B$72)</f>
        <v>-565.88785896578</v>
      </c>
      <c r="E90" s="12" t="n">
        <f aca="false">SUMPRODUCT((Surface_Engine!$A$12:$A$72&lt;22)*$E$8:$E$68*Surface_Engine!$E$12:$E$72*(Surface_Engine!$D$12:$D$72+(Surface_Engine!Q244*12)*Surface_Engine!$F$12:$F$72-(Surface_Engine!Q244*12))*Surface_Engine!$B$12:$B$72)+INDEX(Surface_Engine!$E$12:$E$72,22+1)*SUMPRODUCT((Surface_Engine!$A$12:$A$72&gt;=22)*$E$8:$E$68*(Surface_Engine!$B$5*Surface_Engine!$C$12:$C$72/(1+Assumptions!$B$10)^22+Surface_Engine!$D$12:$D$72)*Surface_Engine!$B$12:$B$72)</f>
        <v>4030.18686821104</v>
      </c>
      <c r="F90" s="12" t="n">
        <f aca="false">SUMPRODUCT((Surface_Engine!$A$12:$A$72&lt;22)*$M$8:$M$68*Surface_Engine!$E$12:$E$72*(Surface_Engine!$D$12:$D$72+(Surface_Engine!Q244*12)*Surface_Engine!$F$12:$F$72-(Surface_Engine!Q244*12))*Surface_Engine!$B$12:$B$72)+INDEX(Surface_Engine!$E$12:$E$72,22+1)*SUMPRODUCT((Surface_Engine!$A$12:$A$72&gt;=22)*$M$8:$M$68*(Surface_Engine!$B$5*Surface_Engine!$C$12:$C$72/(1+Assumptions!$B$10)^22+Surface_Engine!$D$12:$D$72)*Surface_Engine!$B$12:$B$72)</f>
        <v>8679.13456795492</v>
      </c>
      <c r="G90" s="12" t="n">
        <f aca="false">MAX(0,E90-D90)</f>
        <v>4596.07472717682</v>
      </c>
      <c r="H90" s="12" t="n">
        <f aca="false">MAX(0,F90-D90)</f>
        <v>9245.0224269207</v>
      </c>
      <c r="I90" s="70" t="n">
        <f aca="false">IF(H90=0,"",G90/H90)</f>
        <v>0.497140462720074</v>
      </c>
      <c r="J90" s="28" t="str">
        <f aca="false">IF(I90="","",IF(I90&lt;Adequacy!$B$96,"inadequate",IF(I90&lt;Adequacy!$B$97,"marginal","exceeds")))</f>
        <v>inadequate</v>
      </c>
      <c r="K90" s="42" t="n">
        <v>0.7441</v>
      </c>
      <c r="L90" s="96" t="n">
        <f aca="false">I90-K90</f>
        <v>-0.246959537279926</v>
      </c>
    </row>
    <row r="91" customFormat="false" ht="15" hidden="false" customHeight="true" outlineLevel="0" collapsed="false">
      <c r="A91" s="3" t="n">
        <v>70</v>
      </c>
      <c r="B91" s="3" t="n">
        <v>75</v>
      </c>
      <c r="C91" s="48" t="n">
        <f aca="false">Surface_Engine!B246</f>
        <v>3415.80353150829</v>
      </c>
      <c r="D91" s="12" t="n">
        <f aca="false">SUMPRODUCT((Surface_Engine!$A$12:$A$72&lt;5)*Surface_Engine!$Q$12:$Q$72*Surface_Engine!$E$12:$E$72*(Surface_Engine!$D$12:$D$72+(Surface_Engine!B246*12)*Surface_Engine!$F$12:$F$72-(Surface_Engine!B246*12))*Surface_Engine!$B$12:$B$72)+INDEX(Surface_Engine!$E$12:$E$72,5+1)*SUMPRODUCT((Surface_Engine!$A$12:$A$72&gt;=5)*Surface_Engine!$Q$12:$Q$72*(Surface_Engine!$B$5*Surface_Engine!$C$12:$C$72/(1+Assumptions!$B$10)^5+Surface_Engine!$D$12:$D$72)*Surface_Engine!$B$12:$B$72)</f>
        <v>-5433.95937966844</v>
      </c>
      <c r="E91" s="12" t="n">
        <f aca="false">SUMPRODUCT((Surface_Engine!$A$12:$A$72&lt;5)*$F$8:$F$68*Surface_Engine!$E$12:$E$72*(Surface_Engine!$D$12:$D$72+(Surface_Engine!B246*12)*Surface_Engine!$F$12:$F$72-(Surface_Engine!B246*12))*Surface_Engine!$B$12:$B$72)+INDEX(Surface_Engine!$E$12:$E$72,5+1)*SUMPRODUCT((Surface_Engine!$A$12:$A$72&gt;=5)*$F$8:$F$68*(Surface_Engine!$B$5*Surface_Engine!$C$12:$C$72/(1+Assumptions!$B$10)^5+Surface_Engine!$D$12:$D$72)*Surface_Engine!$B$12:$B$72)</f>
        <v>7184.1290042286</v>
      </c>
      <c r="F91" s="12" t="n">
        <f aca="false">SUMPRODUCT((Surface_Engine!$A$12:$A$72&lt;5)*$N$8:$N$68*Surface_Engine!$E$12:$E$72*(Surface_Engine!$D$12:$D$72+(Surface_Engine!B246*12)*Surface_Engine!$F$12:$F$72-(Surface_Engine!B246*12))*Surface_Engine!$B$12:$B$72)+INDEX(Surface_Engine!$E$12:$E$72,5+1)*SUMPRODUCT((Surface_Engine!$A$12:$A$72&gt;=5)*$N$8:$N$68*(Surface_Engine!$B$5*Surface_Engine!$C$12:$C$72/(1+Assumptions!$B$10)^5+Surface_Engine!$D$12:$D$72)*Surface_Engine!$B$12:$B$72)</f>
        <v>14364.5711143382</v>
      </c>
      <c r="G91" s="12" t="n">
        <f aca="false">MAX(0,E91-D91)</f>
        <v>12618.088383897</v>
      </c>
      <c r="H91" s="12" t="n">
        <f aca="false">MAX(0,F91-D91)</f>
        <v>19798.5304940066</v>
      </c>
      <c r="I91" s="70" t="n">
        <f aca="false">IF(H91=0,"",G91/H91)</f>
        <v>0.637324491720067</v>
      </c>
      <c r="J91" s="28" t="str">
        <f aca="false">IF(I91="","",IF(I91&lt;Adequacy!$B$96,"inadequate",IF(I91&lt;Adequacy!$B$97,"marginal","exceeds")))</f>
        <v>inadequate</v>
      </c>
      <c r="K91" s="42" t="n">
        <v>0.7975</v>
      </c>
      <c r="L91" s="96" t="n">
        <f aca="false">I91-K91</f>
        <v>-0.160175508279933</v>
      </c>
    </row>
    <row r="92" customFormat="false" ht="15" hidden="false" customHeight="true" outlineLevel="0" collapsed="false">
      <c r="A92" s="3" t="n">
        <v>70</v>
      </c>
      <c r="B92" s="3" t="n">
        <v>80</v>
      </c>
      <c r="C92" s="48" t="n">
        <f aca="false">Surface_Engine!G246</f>
        <v>996.603247196247</v>
      </c>
      <c r="D92" s="12" t="n">
        <f aca="false">SUMPRODUCT((Surface_Engine!$A$12:$A$72&lt;10)*Surface_Engine!$Q$12:$Q$72*Surface_Engine!$E$12:$E$72*(Surface_Engine!$D$12:$D$72+(Surface_Engine!G246*12)*Surface_Engine!$F$12:$F$72-(Surface_Engine!G246*12))*Surface_Engine!$B$12:$B$72)+INDEX(Surface_Engine!$E$12:$E$72,10+1)*SUMPRODUCT((Surface_Engine!$A$12:$A$72&gt;=10)*Surface_Engine!$Q$12:$Q$72*(Surface_Engine!$B$5*Surface_Engine!$C$12:$C$72/(1+Assumptions!$B$10)^10+Surface_Engine!$D$12:$D$72)*Surface_Engine!$B$12:$B$72)</f>
        <v>-2783.53396793925</v>
      </c>
      <c r="E92" s="12" t="n">
        <f aca="false">SUMPRODUCT((Surface_Engine!$A$12:$A$72&lt;10)*$F$8:$F$68*Surface_Engine!$E$12:$E$72*(Surface_Engine!$D$12:$D$72+(Surface_Engine!G246*12)*Surface_Engine!$F$12:$F$72-(Surface_Engine!G246*12))*Surface_Engine!$B$12:$B$72)+INDEX(Surface_Engine!$E$12:$E$72,10+1)*SUMPRODUCT((Surface_Engine!$A$12:$A$72&gt;=10)*$F$8:$F$68*(Surface_Engine!$B$5*Surface_Engine!$C$12:$C$72/(1+Assumptions!$B$10)^10+Surface_Engine!$D$12:$D$72)*Surface_Engine!$B$12:$B$72)</f>
        <v>7131.23051798523</v>
      </c>
      <c r="F92" s="12" t="n">
        <f aca="false">SUMPRODUCT((Surface_Engine!$A$12:$A$72&lt;10)*$N$8:$N$68*Surface_Engine!$E$12:$E$72*(Surface_Engine!$D$12:$D$72+(Surface_Engine!G246*12)*Surface_Engine!$F$12:$F$72-(Surface_Engine!G246*12))*Surface_Engine!$B$12:$B$72)+INDEX(Surface_Engine!$E$12:$E$72,10+1)*SUMPRODUCT((Surface_Engine!$A$12:$A$72&gt;=10)*$N$8:$N$68*(Surface_Engine!$B$5*Surface_Engine!$C$12:$C$72/(1+Assumptions!$B$10)^10+Surface_Engine!$D$12:$D$72)*Surface_Engine!$B$12:$B$72)</f>
        <v>13618.1901018346</v>
      </c>
      <c r="G92" s="12" t="n">
        <f aca="false">MAX(0,E92-D92)</f>
        <v>9914.76448592448</v>
      </c>
      <c r="H92" s="12" t="n">
        <f aca="false">MAX(0,F92-D92)</f>
        <v>16401.7240697739</v>
      </c>
      <c r="I92" s="70" t="n">
        <f aca="false">IF(H92=0,"",G92/H92)</f>
        <v>0.604495261824092</v>
      </c>
      <c r="J92" s="28" t="str">
        <f aca="false">IF(I92="","",IF(I92&lt;Adequacy!$B$96,"inadequate",IF(I92&lt;Adequacy!$B$97,"marginal","exceeds")))</f>
        <v>inadequate</v>
      </c>
      <c r="K92" s="42" t="n">
        <v>0.7946</v>
      </c>
      <c r="L92" s="96" t="n">
        <f aca="false">I92-K92</f>
        <v>-0.190104738175908</v>
      </c>
    </row>
    <row r="93" customFormat="false" ht="15" hidden="false" customHeight="true" outlineLevel="0" collapsed="false">
      <c r="A93" s="3" t="n">
        <v>70</v>
      </c>
      <c r="B93" s="3" t="n">
        <v>85</v>
      </c>
      <c r="C93" s="48" t="n">
        <f aca="false">Surface_Engine!L246</f>
        <v>379.252197146983</v>
      </c>
      <c r="D93" s="12" t="n">
        <f aca="false">SUMPRODUCT((Surface_Engine!$A$12:$A$72&lt;15)*Surface_Engine!$Q$12:$Q$72*Surface_Engine!$E$12:$E$72*(Surface_Engine!$D$12:$D$72+(Surface_Engine!L246*12)*Surface_Engine!$F$12:$F$72-(Surface_Engine!L246*12))*Surface_Engine!$B$12:$B$72)+INDEX(Surface_Engine!$E$12:$E$72,15+1)*SUMPRODUCT((Surface_Engine!$A$12:$A$72&gt;=15)*Surface_Engine!$Q$12:$Q$72*(Surface_Engine!$B$5*Surface_Engine!$C$12:$C$72/(1+Assumptions!$B$10)^15+Surface_Engine!$D$12:$D$72)*Surface_Engine!$B$12:$B$72)</f>
        <v>-1384.0041565618</v>
      </c>
      <c r="E93" s="12" t="n">
        <f aca="false">SUMPRODUCT((Surface_Engine!$A$12:$A$72&lt;15)*$F$8:$F$68*Surface_Engine!$E$12:$E$72*(Surface_Engine!$D$12:$D$72+(Surface_Engine!L246*12)*Surface_Engine!$F$12:$F$72-(Surface_Engine!L246*12))*Surface_Engine!$B$12:$B$72)+INDEX(Surface_Engine!$E$12:$E$72,15+1)*SUMPRODUCT((Surface_Engine!$A$12:$A$72&gt;=15)*$F$8:$F$68*(Surface_Engine!$B$5*Surface_Engine!$C$12:$C$72/(1+Assumptions!$B$10)^15+Surface_Engine!$D$12:$D$72)*Surface_Engine!$B$12:$B$72)</f>
        <v>5966.07161186512</v>
      </c>
      <c r="F93" s="12" t="n">
        <f aca="false">SUMPRODUCT((Surface_Engine!$A$12:$A$72&lt;15)*$N$8:$N$68*Surface_Engine!$E$12:$E$72*(Surface_Engine!$D$12:$D$72+(Surface_Engine!L246*12)*Surface_Engine!$F$12:$F$72-(Surface_Engine!L246*12))*Surface_Engine!$B$12:$B$72)+INDEX(Surface_Engine!$E$12:$E$72,15+1)*SUMPRODUCT((Surface_Engine!$A$12:$A$72&gt;=15)*$N$8:$N$68*(Surface_Engine!$B$5*Surface_Engine!$C$12:$C$72/(1+Assumptions!$B$10)^15+Surface_Engine!$D$12:$D$72)*Surface_Engine!$B$12:$B$72)</f>
        <v>11612.8180869566</v>
      </c>
      <c r="G93" s="12" t="n">
        <f aca="false">MAX(0,E93-D93)</f>
        <v>7350.07576842692</v>
      </c>
      <c r="H93" s="12" t="n">
        <f aca="false">MAX(0,F93-D93)</f>
        <v>12996.8222435184</v>
      </c>
      <c r="I93" s="70" t="n">
        <f aca="false">IF(H93=0,"",G93/H93)</f>
        <v>0.565528683143484</v>
      </c>
      <c r="J93" s="28" t="str">
        <f aca="false">IF(I93="","",IF(I93&lt;Adequacy!$B$96,"inadequate",IF(I93&lt;Adequacy!$B$97,"marginal","exceeds")))</f>
        <v>inadequate</v>
      </c>
      <c r="K93" s="42" t="n">
        <v>0.79</v>
      </c>
      <c r="L93" s="96" t="n">
        <f aca="false">I93-K93</f>
        <v>-0.224471316856516</v>
      </c>
    </row>
    <row r="94" customFormat="false" ht="15" hidden="false" customHeight="true" outlineLevel="0" collapsed="false">
      <c r="A94" s="3" t="n">
        <v>70</v>
      </c>
      <c r="B94" s="3" t="n">
        <v>90</v>
      </c>
      <c r="C94" s="48" t="n">
        <f aca="false">Surface_Engine!Q246</f>
        <v>143.096417968334</v>
      </c>
      <c r="D94" s="12" t="n">
        <f aca="false">SUMPRODUCT((Surface_Engine!$A$12:$A$72&lt;20)*Surface_Engine!$Q$12:$Q$72*Surface_Engine!$E$12:$E$72*(Surface_Engine!$D$12:$D$72+(Surface_Engine!Q246*12)*Surface_Engine!$F$12:$F$72-(Surface_Engine!Q246*12))*Surface_Engine!$B$12:$B$72)+INDEX(Surface_Engine!$E$12:$E$72,20+1)*SUMPRODUCT((Surface_Engine!$A$12:$A$72&gt;=20)*Surface_Engine!$Q$12:$Q$72*(Surface_Engine!$B$5*Surface_Engine!$C$12:$C$72/(1+Assumptions!$B$10)^20+Surface_Engine!$D$12:$D$72)*Surface_Engine!$B$12:$B$72)</f>
        <v>-599.418966059586</v>
      </c>
      <c r="E94" s="12" t="n">
        <f aca="false">SUMPRODUCT((Surface_Engine!$A$12:$A$72&lt;20)*$F$8:$F$68*Surface_Engine!$E$12:$E$72*(Surface_Engine!$D$12:$D$72+(Surface_Engine!Q246*12)*Surface_Engine!$F$12:$F$72-(Surface_Engine!Q246*12))*Surface_Engine!$B$12:$B$72)+INDEX(Surface_Engine!$E$12:$E$72,20+1)*SUMPRODUCT((Surface_Engine!$A$12:$A$72&gt;=20)*$F$8:$F$68*(Surface_Engine!$B$5*Surface_Engine!$C$12:$C$72/(1+Assumptions!$B$10)^20+Surface_Engine!$D$12:$D$72)*Surface_Engine!$B$12:$B$72)</f>
        <v>4298.94090138231</v>
      </c>
      <c r="F94" s="12" t="n">
        <f aca="false">SUMPRODUCT((Surface_Engine!$A$12:$A$72&lt;20)*$N$8:$N$68*Surface_Engine!$E$12:$E$72*(Surface_Engine!$D$12:$D$72+(Surface_Engine!Q246*12)*Surface_Engine!$F$12:$F$72-(Surface_Engine!Q246*12))*Surface_Engine!$B$12:$B$72)+INDEX(Surface_Engine!$E$12:$E$72,20+1)*SUMPRODUCT((Surface_Engine!$A$12:$A$72&gt;=20)*$N$8:$N$68*(Surface_Engine!$B$5*Surface_Engine!$C$12:$C$72/(1+Assumptions!$B$10)^20+Surface_Engine!$D$12:$D$72)*Surface_Engine!$B$12:$B$72)</f>
        <v>8852.01009431347</v>
      </c>
      <c r="G94" s="12" t="n">
        <f aca="false">MAX(0,E94-D94)</f>
        <v>4898.35986744189</v>
      </c>
      <c r="H94" s="12" t="n">
        <f aca="false">MAX(0,F94-D94)</f>
        <v>9451.42906037305</v>
      </c>
      <c r="I94" s="70" t="n">
        <f aca="false">IF(H94=0,"",G94/H94)</f>
        <v>0.518266585524004</v>
      </c>
      <c r="J94" s="28" t="str">
        <f aca="false">IF(I94="","",IF(I94&lt;Adequacy!$B$96,"inadequate",IF(I94&lt;Adequacy!$B$97,"marginal","exceeds")))</f>
        <v>inadequate</v>
      </c>
      <c r="K94" s="42" t="n">
        <v>0.7822</v>
      </c>
      <c r="L94" s="96" t="n">
        <f aca="false">I94-K94</f>
        <v>-0.263933414475996</v>
      </c>
    </row>
    <row r="95" customFormat="false" ht="15" hidden="false" customHeight="true" outlineLevel="0" collapsed="false">
      <c r="A95" s="3" t="n">
        <v>72</v>
      </c>
      <c r="B95" s="3" t="n">
        <v>75</v>
      </c>
      <c r="C95" s="48" t="n">
        <f aca="false">Surface_Engine!B248</f>
        <v>7236.69789821026</v>
      </c>
      <c r="D95" s="12" t="n">
        <f aca="false">SUMPRODUCT((Surface_Engine!$A$12:$A$72&lt;3)*Surface_Engine!$S$12:$S$72*Surface_Engine!$E$12:$E$72*(Surface_Engine!$D$12:$D$72+(Surface_Engine!B248*12)*Surface_Engine!$F$12:$F$72-(Surface_Engine!B248*12))*Surface_Engine!$B$12:$B$72)+INDEX(Surface_Engine!$E$12:$E$72,3+1)*SUMPRODUCT((Surface_Engine!$A$12:$A$72&gt;=3)*Surface_Engine!$S$12:$S$72*(Surface_Engine!$B$5*Surface_Engine!$C$12:$C$72/(1+Assumptions!$B$10)^3+Surface_Engine!$D$12:$D$72)*Surface_Engine!$B$12:$B$72)</f>
        <v>-7277.1424462733</v>
      </c>
      <c r="E95" s="12" t="n">
        <f aca="false">SUMPRODUCT((Surface_Engine!$A$12:$A$72&lt;3)*$G$8:$G$68*Surface_Engine!$E$12:$E$72*(Surface_Engine!$D$12:$D$72+(Surface_Engine!B248*12)*Surface_Engine!$F$12:$F$72-(Surface_Engine!B248*12))*Surface_Engine!$B$12:$B$72)+INDEX(Surface_Engine!$E$12:$E$72,3+1)*SUMPRODUCT((Surface_Engine!$A$12:$A$72&gt;=3)*$G$8:$G$68*(Surface_Engine!$B$5*Surface_Engine!$C$12:$C$72/(1+Assumptions!$B$10)^3+Surface_Engine!$D$12:$D$72)*Surface_Engine!$B$12:$B$72)</f>
        <v>6412.9210334956</v>
      </c>
      <c r="F95" s="12" t="n">
        <f aca="false">SUMPRODUCT((Surface_Engine!$A$12:$A$72&lt;3)*$O$8:$O$68*Surface_Engine!$E$12:$E$72*(Surface_Engine!$D$12:$D$72+(Surface_Engine!B248*12)*Surface_Engine!$F$12:$F$72-(Surface_Engine!B248*12))*Surface_Engine!$B$12:$B$72)+INDEX(Surface_Engine!$E$12:$E$72,3+1)*SUMPRODUCT((Surface_Engine!$A$12:$A$72&gt;=3)*$O$8:$O$68*(Surface_Engine!$B$5*Surface_Engine!$C$12:$C$72/(1+Assumptions!$B$10)^3+Surface_Engine!$D$12:$D$72)*Surface_Engine!$B$12:$B$72)</f>
        <v>13191.0939436281</v>
      </c>
      <c r="G95" s="12" t="n">
        <f aca="false">MAX(0,E95-D95)</f>
        <v>13690.0634797689</v>
      </c>
      <c r="H95" s="12" t="n">
        <f aca="false">MAX(0,F95-D95)</f>
        <v>20468.2363899014</v>
      </c>
      <c r="I95" s="70" t="n">
        <f aca="false">IF(H95=0,"",G95/H95)</f>
        <v>0.668844311692789</v>
      </c>
      <c r="J95" s="28" t="str">
        <f aca="false">IF(I95="","",IF(I95&lt;Adequacy!$B$96,"inadequate",IF(I95&lt;Adequacy!$B$97,"marginal","exceeds")))</f>
        <v>inadequate</v>
      </c>
      <c r="K95" s="42" t="n">
        <v>0.8366</v>
      </c>
      <c r="L95" s="96" t="n">
        <f aca="false">I95-K95</f>
        <v>-0.167755688307211</v>
      </c>
    </row>
    <row r="96" customFormat="false" ht="15" hidden="false" customHeight="true" outlineLevel="0" collapsed="false">
      <c r="A96" s="3" t="n">
        <v>72</v>
      </c>
      <c r="B96" s="3" t="n">
        <v>80</v>
      </c>
      <c r="C96" s="48" t="n">
        <f aca="false">Surface_Engine!G248</f>
        <v>1342.22466496192</v>
      </c>
      <c r="D96" s="12" t="n">
        <f aca="false">SUMPRODUCT((Surface_Engine!$A$12:$A$72&lt;8)*Surface_Engine!$S$12:$S$72*Surface_Engine!$E$12:$E$72*(Surface_Engine!$D$12:$D$72+(Surface_Engine!G248*12)*Surface_Engine!$F$12:$F$72-(Surface_Engine!G248*12))*Surface_Engine!$B$12:$B$72)+INDEX(Surface_Engine!$E$12:$E$72,8+1)*SUMPRODUCT((Surface_Engine!$A$12:$A$72&gt;=8)*Surface_Engine!$S$12:$S$72*(Surface_Engine!$B$5*Surface_Engine!$C$12:$C$72/(1+Assumptions!$B$10)^8+Surface_Engine!$D$12:$D$72)*Surface_Engine!$B$12:$B$72)</f>
        <v>-3126.54847093963</v>
      </c>
      <c r="E96" s="12" t="n">
        <f aca="false">SUMPRODUCT((Surface_Engine!$A$12:$A$72&lt;8)*$G$8:$G$68*Surface_Engine!$E$12:$E$72*(Surface_Engine!$D$12:$D$72+(Surface_Engine!G248*12)*Surface_Engine!$F$12:$F$72-(Surface_Engine!G248*12))*Surface_Engine!$B$12:$B$72)+INDEX(Surface_Engine!$E$12:$E$72,8+1)*SUMPRODUCT((Surface_Engine!$A$12:$A$72&gt;=8)*$G$8:$G$68*(Surface_Engine!$B$5*Surface_Engine!$C$12:$C$72/(1+Assumptions!$B$10)^8+Surface_Engine!$D$12:$D$72)*Surface_Engine!$B$12:$B$72)</f>
        <v>7519.70336400021</v>
      </c>
      <c r="F96" s="12" t="n">
        <f aca="false">SUMPRODUCT((Surface_Engine!$A$12:$A$72&lt;8)*$O$8:$O$68*Surface_Engine!$E$12:$E$72*(Surface_Engine!$D$12:$D$72+(Surface_Engine!G248*12)*Surface_Engine!$F$12:$F$72-(Surface_Engine!G248*12))*Surface_Engine!$B$12:$B$72)+INDEX(Surface_Engine!$E$12:$E$72,8+1)*SUMPRODUCT((Surface_Engine!$A$12:$A$72&gt;=8)*$O$8:$O$68*(Surface_Engine!$B$5*Surface_Engine!$C$12:$C$72/(1+Assumptions!$B$10)^8+Surface_Engine!$D$12:$D$72)*Surface_Engine!$B$12:$B$72)</f>
        <v>13685.9174234181</v>
      </c>
      <c r="G96" s="12" t="n">
        <f aca="false">MAX(0,E96-D96)</f>
        <v>10646.2518349398</v>
      </c>
      <c r="H96" s="12" t="n">
        <f aca="false">MAX(0,F96-D96)</f>
        <v>16812.4658943577</v>
      </c>
      <c r="I96" s="70" t="n">
        <f aca="false">IF(H96=0,"",G96/H96)</f>
        <v>0.633235594459272</v>
      </c>
      <c r="J96" s="28" t="str">
        <f aca="false">IF(I96="","",IF(I96&lt;Adequacy!$B$96,"inadequate",IF(I96&lt;Adequacy!$B$97,"marginal","exceeds")))</f>
        <v>inadequate</v>
      </c>
      <c r="K96" s="42" t="n">
        <v>0.8343</v>
      </c>
      <c r="L96" s="96" t="n">
        <f aca="false">I96-K96</f>
        <v>-0.201064405540729</v>
      </c>
    </row>
    <row r="97" customFormat="false" ht="15" hidden="false" customHeight="true" outlineLevel="0" collapsed="false">
      <c r="A97" s="3" t="n">
        <v>72</v>
      </c>
      <c r="B97" s="3" t="n">
        <v>85</v>
      </c>
      <c r="C97" s="48" t="n">
        <f aca="false">Surface_Engine!L248</f>
        <v>461.596250210283</v>
      </c>
      <c r="D97" s="12" t="n">
        <f aca="false">SUMPRODUCT((Surface_Engine!$A$12:$A$72&lt;13)*Surface_Engine!$S$12:$S$72*Surface_Engine!$E$12:$E$72*(Surface_Engine!$D$12:$D$72+(Surface_Engine!L248*12)*Surface_Engine!$F$12:$F$72-(Surface_Engine!L248*12))*Surface_Engine!$B$12:$B$72)+INDEX(Surface_Engine!$E$12:$E$72,13+1)*SUMPRODUCT((Surface_Engine!$A$12:$A$72&gt;=13)*Surface_Engine!$S$12:$S$72*(Surface_Engine!$B$5*Surface_Engine!$C$12:$C$72/(1+Assumptions!$B$10)^13+Surface_Engine!$D$12:$D$72)*Surface_Engine!$B$12:$B$72)</f>
        <v>-1511.51791239133</v>
      </c>
      <c r="E97" s="12" t="n">
        <f aca="false">SUMPRODUCT((Surface_Engine!$A$12:$A$72&lt;13)*$G$8:$G$68*Surface_Engine!$E$12:$E$72*(Surface_Engine!$D$12:$D$72+(Surface_Engine!L248*12)*Surface_Engine!$F$12:$F$72-(Surface_Engine!L248*12))*Surface_Engine!$B$12:$B$72)+INDEX(Surface_Engine!$E$12:$E$72,13+1)*SUMPRODUCT((Surface_Engine!$A$12:$A$72&gt;=13)*$G$8:$G$68*(Surface_Engine!$B$5*Surface_Engine!$C$12:$C$72/(1+Assumptions!$B$10)^13+Surface_Engine!$D$12:$D$72)*Surface_Engine!$B$12:$B$72)</f>
        <v>6358.5429324673</v>
      </c>
      <c r="F97" s="12" t="n">
        <f aca="false">SUMPRODUCT((Surface_Engine!$A$12:$A$72&lt;13)*$O$8:$O$68*Surface_Engine!$E$12:$E$72*(Surface_Engine!$D$12:$D$72+(Surface_Engine!L248*12)*Surface_Engine!$F$12:$F$72-(Surface_Engine!L248*12))*Surface_Engine!$B$12:$B$72)+INDEX(Surface_Engine!$E$12:$E$72,13+1)*SUMPRODUCT((Surface_Engine!$A$12:$A$72&gt;=13)*$O$8:$O$68*(Surface_Engine!$B$5*Surface_Engine!$C$12:$C$72/(1+Assumptions!$B$10)^13+Surface_Engine!$D$12:$D$72)*Surface_Engine!$B$12:$B$72)</f>
        <v>11792.3354917037</v>
      </c>
      <c r="G97" s="12" t="n">
        <f aca="false">MAX(0,E97-D97)</f>
        <v>7870.06084485863</v>
      </c>
      <c r="H97" s="12" t="n">
        <f aca="false">MAX(0,F97-D97)</f>
        <v>13303.8534040951</v>
      </c>
      <c r="I97" s="70" t="n">
        <f aca="false">IF(H97=0,"",G97/H97)</f>
        <v>0.591562504923284</v>
      </c>
      <c r="J97" s="28" t="str">
        <f aca="false">IF(I97="","",IF(I97&lt;Adequacy!$B$96,"inadequate",IF(I97&lt;Adequacy!$B$97,"marginal","exceeds")))</f>
        <v>inadequate</v>
      </c>
      <c r="K97" s="42" t="n">
        <v>0.8304</v>
      </c>
      <c r="L97" s="96" t="n">
        <f aca="false">I97-K97</f>
        <v>-0.238837495076716</v>
      </c>
    </row>
    <row r="98" customFormat="false" ht="15" hidden="false" customHeight="true" outlineLevel="0" collapsed="false">
      <c r="A98" s="3" t="n">
        <v>72</v>
      </c>
      <c r="B98" s="3" t="n">
        <v>90</v>
      </c>
      <c r="C98" s="48" t="n">
        <f aca="false">Surface_Engine!Q248</f>
        <v>165.274684392025</v>
      </c>
      <c r="D98" s="12" t="n">
        <f aca="false">SUMPRODUCT((Surface_Engine!$A$12:$A$72&lt;18)*Surface_Engine!$S$12:$S$72*Surface_Engine!$E$12:$E$72*(Surface_Engine!$D$12:$D$72+(Surface_Engine!Q248*12)*Surface_Engine!$F$12:$F$72-(Surface_Engine!Q248*12))*Surface_Engine!$B$12:$B$72)+INDEX(Surface_Engine!$E$12:$E$72,18+1)*SUMPRODUCT((Surface_Engine!$A$12:$A$72&gt;=18)*Surface_Engine!$S$12:$S$72*(Surface_Engine!$B$5*Surface_Engine!$C$12:$C$72/(1+Assumptions!$B$10)^18+Surface_Engine!$D$12:$D$72)*Surface_Engine!$B$12:$B$72)</f>
        <v>-639.071638950962</v>
      </c>
      <c r="E98" s="12" t="n">
        <f aca="false">SUMPRODUCT((Surface_Engine!$A$12:$A$72&lt;18)*$G$8:$G$68*Surface_Engine!$E$12:$E$72*(Surface_Engine!$D$12:$D$72+(Surface_Engine!Q248*12)*Surface_Engine!$F$12:$F$72-(Surface_Engine!Q248*12))*Surface_Engine!$B$12:$B$72)+INDEX(Surface_Engine!$E$12:$E$72,18+1)*SUMPRODUCT((Surface_Engine!$A$12:$A$72&gt;=18)*$G$8:$G$68*(Surface_Engine!$B$5*Surface_Engine!$C$12:$C$72/(1+Assumptions!$B$10)^18+Surface_Engine!$D$12:$D$72)*Surface_Engine!$B$12:$B$72)</f>
        <v>4583.21312300661</v>
      </c>
      <c r="F98" s="12" t="n">
        <f aca="false">SUMPRODUCT((Surface_Engine!$A$12:$A$72&lt;18)*$O$8:$O$68*Surface_Engine!$E$12:$E$72*(Surface_Engine!$D$12:$D$72+(Surface_Engine!Q248*12)*Surface_Engine!$F$12:$F$72-(Surface_Engine!Q248*12))*Surface_Engine!$B$12:$B$72)+INDEX(Surface_Engine!$E$12:$E$72,18+1)*SUMPRODUCT((Surface_Engine!$A$12:$A$72&gt;=18)*$O$8:$O$68*(Surface_Engine!$B$5*Surface_Engine!$C$12:$C$72/(1+Assumptions!$B$10)^18+Surface_Engine!$D$12:$D$72)*Surface_Engine!$B$12:$B$72)</f>
        <v>9001.11925332833</v>
      </c>
      <c r="G98" s="12" t="n">
        <f aca="false">MAX(0,E98-D98)</f>
        <v>5222.28476195757</v>
      </c>
      <c r="H98" s="12" t="n">
        <f aca="false">MAX(0,F98-D98)</f>
        <v>9640.19089227929</v>
      </c>
      <c r="I98" s="70" t="n">
        <f aca="false">IF(H98=0,"",G98/H98)</f>
        <v>0.541720057238704</v>
      </c>
      <c r="J98" s="28" t="str">
        <f aca="false">IF(I98="","",IF(I98&lt;Adequacy!$B$96,"inadequate",IF(I98&lt;Adequacy!$B$97,"marginal","exceeds")))</f>
        <v>inadequate</v>
      </c>
      <c r="K98" s="42" t="n">
        <v>0.8239</v>
      </c>
      <c r="L98" s="96" t="n">
        <f aca="false">I98-K98</f>
        <v>-0.282179942761296</v>
      </c>
    </row>
    <row r="99" customFormat="false" ht="15" hidden="false" customHeight="true" outlineLevel="0" collapsed="false">
      <c r="A99" s="3" t="n">
        <v>75</v>
      </c>
      <c r="B99" s="3" t="n">
        <v>80</v>
      </c>
      <c r="C99" s="48" t="n">
        <f aca="false">Surface_Engine!G251</f>
        <v>2531.57028352976</v>
      </c>
      <c r="D99" s="12" t="n">
        <f aca="false">SUMPRODUCT((Surface_Engine!$A$12:$A$72&lt;5)*Surface_Engine!$V$12:$V$72*Surface_Engine!$E$12:$E$72*(Surface_Engine!$D$12:$D$72+(Surface_Engine!G251*12)*Surface_Engine!$F$12:$F$72-(Surface_Engine!G251*12))*Surface_Engine!$B$12:$B$72)+INDEX(Surface_Engine!$E$12:$E$72,5+1)*SUMPRODUCT((Surface_Engine!$A$12:$A$72&gt;=5)*Surface_Engine!$V$12:$V$72*(Surface_Engine!$B$5*Surface_Engine!$C$12:$C$72/(1+Assumptions!$B$10)^5+Surface_Engine!$D$12:$D$72)*Surface_Engine!$B$12:$B$72)</f>
        <v>-3957.3920423005</v>
      </c>
      <c r="E99" s="12" t="n">
        <f aca="false">SUMPRODUCT((Surface_Engine!$A$12:$A$72&lt;5)*$H$8:$H$68*Surface_Engine!$E$12:$E$72*(Surface_Engine!$D$12:$D$72+(Surface_Engine!G251*12)*Surface_Engine!$F$12:$F$72-(Surface_Engine!G251*12))*Surface_Engine!$B$12:$B$72)+INDEX(Surface_Engine!$E$12:$E$72,5+1)*SUMPRODUCT((Surface_Engine!$A$12:$A$72&gt;=5)*$H$8:$H$68*(Surface_Engine!$B$5*Surface_Engine!$C$12:$C$72/(1+Assumptions!$B$10)^5+Surface_Engine!$D$12:$D$72)*Surface_Engine!$B$12:$B$72)</f>
        <v>7885.90412377048</v>
      </c>
      <c r="F99" s="12" t="n">
        <f aca="false">SUMPRODUCT((Surface_Engine!$A$12:$A$72&lt;5)*$P$8:$P$68*Surface_Engine!$E$12:$E$72*(Surface_Engine!$D$12:$D$72+(Surface_Engine!G251*12)*Surface_Engine!$F$12:$F$72-(Surface_Engine!G251*12))*Surface_Engine!$B$12:$B$72)+INDEX(Surface_Engine!$E$12:$E$72,5+1)*SUMPRODUCT((Surface_Engine!$A$12:$A$72&gt;=5)*$P$8:$P$68*(Surface_Engine!$B$5*Surface_Engine!$C$12:$C$72/(1+Assumptions!$B$10)^5+Surface_Engine!$D$12:$D$72)*Surface_Engine!$B$12:$B$72)</f>
        <v>13377.8985263994</v>
      </c>
      <c r="G99" s="12" t="n">
        <f aca="false">MAX(0,E99-D99)</f>
        <v>11843.296166071</v>
      </c>
      <c r="H99" s="12" t="n">
        <f aca="false">MAX(0,F99-D99)</f>
        <v>17335.2905686999</v>
      </c>
      <c r="I99" s="70" t="n">
        <f aca="false">IF(H99=0,"",G99/H99)</f>
        <v>0.683189942455012</v>
      </c>
      <c r="J99" s="28" t="str">
        <f aca="false">IF(I99="","",IF(I99&lt;Adequacy!$B$96,"inadequate",IF(I99&lt;Adequacy!$B$97,"marginal","exceeds")))</f>
        <v>inadequate</v>
      </c>
      <c r="K99" s="42" t="n">
        <v>0.9006</v>
      </c>
      <c r="L99" s="96" t="n">
        <f aca="false">I99-K99</f>
        <v>-0.217410057544988</v>
      </c>
    </row>
    <row r="100" customFormat="false" ht="15" hidden="false" customHeight="true" outlineLevel="0" collapsed="false">
      <c r="A100" s="3" t="n">
        <v>75</v>
      </c>
      <c r="B100" s="3" t="n">
        <v>85</v>
      </c>
      <c r="C100" s="48" t="n">
        <f aca="false">Surface_Engine!L251</f>
        <v>662.512024862227</v>
      </c>
      <c r="D100" s="12" t="n">
        <f aca="false">SUMPRODUCT((Surface_Engine!$A$12:$A$72&lt;10)*Surface_Engine!$V$12:$V$72*Surface_Engine!$E$12:$E$72*(Surface_Engine!$D$12:$D$72+(Surface_Engine!L251*12)*Surface_Engine!$F$12:$F$72-(Surface_Engine!L251*12))*Surface_Engine!$B$12:$B$72)+INDEX(Surface_Engine!$E$12:$E$72,10+1)*SUMPRODUCT((Surface_Engine!$A$12:$A$72&gt;=10)*Surface_Engine!$V$12:$V$72*(Surface_Engine!$B$5*Surface_Engine!$C$12:$C$72/(1+Assumptions!$B$10)^10+Surface_Engine!$D$12:$D$72)*Surface_Engine!$B$12:$B$72)</f>
        <v>-1765.85464716687</v>
      </c>
      <c r="E100" s="12" t="n">
        <f aca="false">SUMPRODUCT((Surface_Engine!$A$12:$A$72&lt;10)*$H$8:$H$68*Surface_Engine!$E$12:$E$72*(Surface_Engine!$D$12:$D$72+(Surface_Engine!L251*12)*Surface_Engine!$F$12:$F$72-(Surface_Engine!L251*12))*Surface_Engine!$B$12:$B$72)+INDEX(Surface_Engine!$E$12:$E$72,10+1)*SUMPRODUCT((Surface_Engine!$A$12:$A$72&gt;=10)*$H$8:$H$68*(Surface_Engine!$B$5*Surface_Engine!$C$12:$C$72/(1+Assumptions!$B$10)^10+Surface_Engine!$D$12:$D$72)*Surface_Engine!$B$12:$B$72)</f>
        <v>6961.57851118804</v>
      </c>
      <c r="F100" s="12" t="n">
        <f aca="false">SUMPRODUCT((Surface_Engine!$A$12:$A$72&lt;10)*$P$8:$P$68*Surface_Engine!$E$12:$E$72*(Surface_Engine!$D$12:$D$72+(Surface_Engine!L251*12)*Surface_Engine!$F$12:$F$72-(Surface_Engine!L251*12))*Surface_Engine!$B$12:$B$72)+INDEX(Surface_Engine!$E$12:$E$72,10+1)*SUMPRODUCT((Surface_Engine!$A$12:$A$72&gt;=10)*$P$8:$P$68*(Surface_Engine!$B$5*Surface_Engine!$C$12:$C$72/(1+Assumptions!$B$10)^10+Surface_Engine!$D$12:$D$72)*Surface_Engine!$B$12:$B$72)</f>
        <v>11941.0891099684</v>
      </c>
      <c r="G100" s="12" t="n">
        <f aca="false">MAX(0,E100-D100)</f>
        <v>8727.43315835491</v>
      </c>
      <c r="H100" s="12" t="n">
        <f aca="false">MAX(0,F100-D100)</f>
        <v>13706.9437571353</v>
      </c>
      <c r="I100" s="70" t="n">
        <f aca="false">IF(H100=0,"",G100/H100)</f>
        <v>0.636716201145261</v>
      </c>
      <c r="J100" s="28" t="str">
        <f aca="false">IF(I100="","",IF(I100&lt;Adequacy!$B$96,"inadequate",IF(I100&lt;Adequacy!$B$97,"marginal","exceeds")))</f>
        <v>inadequate</v>
      </c>
      <c r="K100" s="42" t="n">
        <v>0.8982</v>
      </c>
      <c r="L100" s="96" t="n">
        <f aca="false">I100-K100</f>
        <v>-0.261483798854739</v>
      </c>
    </row>
    <row r="101" customFormat="false" ht="15" hidden="false" customHeight="true" outlineLevel="0" collapsed="false">
      <c r="A101" s="3" t="n">
        <v>75</v>
      </c>
      <c r="B101" s="3" t="n">
        <v>90</v>
      </c>
      <c r="C101" s="48" t="n">
        <f aca="false">Surface_Engine!Q251</f>
        <v>213.45516079256</v>
      </c>
      <c r="D101" s="12" t="n">
        <f aca="false">SUMPRODUCT((Surface_Engine!$A$12:$A$72&lt;15)*Surface_Engine!$V$12:$V$72*Surface_Engine!$E$12:$E$72*(Surface_Engine!$D$12:$D$72+(Surface_Engine!Q251*12)*Surface_Engine!$F$12:$F$72-(Surface_Engine!Q251*12))*Surface_Engine!$B$12:$B$72)+INDEX(Surface_Engine!$E$12:$E$72,15+1)*SUMPRODUCT((Surface_Engine!$A$12:$A$72&gt;=15)*Surface_Engine!$V$12:$V$72*(Surface_Engine!$B$5*Surface_Engine!$C$12:$C$72/(1+Assumptions!$B$10)^15+Surface_Engine!$D$12:$D$72)*Surface_Engine!$B$12:$B$72)</f>
        <v>-715.984212462725</v>
      </c>
      <c r="E101" s="12" t="n">
        <f aca="false">SUMPRODUCT((Surface_Engine!$A$12:$A$72&lt;15)*$H$8:$H$68*Surface_Engine!$E$12:$E$72*(Surface_Engine!$D$12:$D$72+(Surface_Engine!Q251*12)*Surface_Engine!$F$12:$F$72-(Surface_Engine!Q251*12))*Surface_Engine!$B$12:$B$72)+INDEX(Surface_Engine!$E$12:$E$72,15+1)*SUMPRODUCT((Surface_Engine!$A$12:$A$72&gt;=15)*$H$8:$H$68*(Surface_Engine!$B$5*Surface_Engine!$C$12:$C$72/(1+Assumptions!$B$10)^15+Surface_Engine!$D$12:$D$72)*Surface_Engine!$B$12:$B$72)</f>
        <v>5040.58657959478</v>
      </c>
      <c r="F101" s="12" t="n">
        <f aca="false">SUMPRODUCT((Surface_Engine!$A$12:$A$72&lt;15)*$P$8:$P$68*Surface_Engine!$E$12:$E$72*(Surface_Engine!$D$12:$D$72+(Surface_Engine!Q251*12)*Surface_Engine!$F$12:$F$72-(Surface_Engine!Q251*12))*Surface_Engine!$B$12:$B$72)+INDEX(Surface_Engine!$E$12:$E$72,15+1)*SUMPRODUCT((Surface_Engine!$A$12:$A$72&gt;=15)*$P$8:$P$68*(Surface_Engine!$B$5*Surface_Engine!$C$12:$C$72/(1+Assumptions!$B$10)^15+Surface_Engine!$D$12:$D$72)*Surface_Engine!$B$12:$B$72)</f>
        <v>9169.57994956512</v>
      </c>
      <c r="G101" s="12" t="n">
        <f aca="false">MAX(0,E101-D101)</f>
        <v>5756.5707920575</v>
      </c>
      <c r="H101" s="12" t="n">
        <f aca="false">MAX(0,F101-D101)</f>
        <v>9885.56416202784</v>
      </c>
      <c r="I101" s="70" t="n">
        <f aca="false">IF(H101=0,"",G101/H101)</f>
        <v>0.582320917421131</v>
      </c>
      <c r="J101" s="28" t="str">
        <f aca="false">IF(I101="","",IF(I101&lt;Adequacy!$B$96,"inadequate",IF(I101&lt;Adequacy!$B$97,"marginal","exceeds")))</f>
        <v>inadequate</v>
      </c>
      <c r="K101" s="42" t="n">
        <v>0.8941</v>
      </c>
      <c r="L101" s="96" t="n">
        <f aca="false">I101-K101</f>
        <v>-0.31177908257887</v>
      </c>
    </row>
    <row r="103" customFormat="false" ht="15" hidden="false" customHeight="true" outlineLevel="0" collapsed="false">
      <c r="A103" s="6" t="s">
        <v>1555</v>
      </c>
    </row>
    <row r="104" customFormat="false" ht="15" hidden="false" customHeight="true" outlineLevel="0" collapsed="false">
      <c r="A104" s="8" t="s">
        <v>1556</v>
      </c>
      <c r="B104" s="89" t="n">
        <v>75</v>
      </c>
      <c r="C104" s="89" t="n">
        <v>80</v>
      </c>
      <c r="D104" s="89" t="n">
        <v>85</v>
      </c>
      <c r="E104" s="89" t="n">
        <v>90</v>
      </c>
    </row>
    <row r="105" customFormat="false" ht="15" hidden="false" customHeight="true" outlineLevel="0" collapsed="false">
      <c r="A105" s="3" t="n">
        <v>60</v>
      </c>
      <c r="B105" s="5" t="str">
        <f aca="false">INDEX($J$75:$J$101,MATCH(1,($A$75:$A$101=$A105)*($B$75:$B$101=75),0))</f>
        <v>inadequate</v>
      </c>
      <c r="C105" s="5" t="str">
        <f aca="false">INDEX($J$75:$J$101,MATCH(1,($A$75:$A$101=$A105)*($B$75:$B$101=80),0))</f>
        <v>inadequate</v>
      </c>
      <c r="D105" s="5" t="str">
        <f aca="false">INDEX($J$75:$J$101,MATCH(1,($A$75:$A$101=$A105)*($B$75:$B$101=85),0))</f>
        <v>inadequate</v>
      </c>
      <c r="E105" s="5" t="str">
        <f aca="false">INDEX($J$75:$J$101,MATCH(1,($A$75:$A$101=$A105)*($B$75:$B$101=90),0))</f>
        <v>inadequate</v>
      </c>
    </row>
    <row r="106" customFormat="false" ht="15" hidden="false" customHeight="true" outlineLevel="0" collapsed="false">
      <c r="A106" s="3" t="n">
        <v>63</v>
      </c>
      <c r="B106" s="5" t="str">
        <f aca="false">INDEX($J$75:$J$101,MATCH(1,($A$75:$A$101=$A106)*($B$75:$B$101=75),0))</f>
        <v>inadequate</v>
      </c>
      <c r="C106" s="5" t="str">
        <f aca="false">INDEX($J$75:$J$101,MATCH(1,($A$75:$A$101=$A106)*($B$75:$B$101=80),0))</f>
        <v>inadequate</v>
      </c>
      <c r="D106" s="5" t="str">
        <f aca="false">INDEX($J$75:$J$101,MATCH(1,($A$75:$A$101=$A106)*($B$75:$B$101=85),0))</f>
        <v>inadequate</v>
      </c>
      <c r="E106" s="5" t="str">
        <f aca="false">INDEX($J$75:$J$101,MATCH(1,($A$75:$A$101=$A106)*($B$75:$B$101=90),0))</f>
        <v>inadequate</v>
      </c>
    </row>
    <row r="107" customFormat="false" ht="15" hidden="false" customHeight="true" outlineLevel="0" collapsed="false">
      <c r="A107" s="3" t="n">
        <v>65</v>
      </c>
      <c r="B107" s="5" t="str">
        <f aca="false">INDEX($J$75:$J$101,MATCH(1,($A$75:$A$101=$A107)*($B$75:$B$101=75),0))</f>
        <v>inadequate</v>
      </c>
      <c r="C107" s="5" t="str">
        <f aca="false">INDEX($J$75:$J$101,MATCH(1,($A$75:$A$101=$A107)*($B$75:$B$101=80),0))</f>
        <v>inadequate</v>
      </c>
      <c r="D107" s="5" t="str">
        <f aca="false">INDEX($J$75:$J$101,MATCH(1,($A$75:$A$101=$A107)*($B$75:$B$101=85),0))</f>
        <v>inadequate</v>
      </c>
      <c r="E107" s="5" t="str">
        <f aca="false">INDEX($J$75:$J$101,MATCH(1,($A$75:$A$101=$A107)*($B$75:$B$101=90),0))</f>
        <v>inadequate</v>
      </c>
    </row>
    <row r="108" customFormat="false" ht="15" hidden="false" customHeight="true" outlineLevel="0" collapsed="false">
      <c r="A108" s="3" t="n">
        <v>68</v>
      </c>
      <c r="B108" s="5" t="str">
        <f aca="false">INDEX($J$75:$J$101,MATCH(1,($A$75:$A$101=$A108)*($B$75:$B$101=75),0))</f>
        <v>inadequate</v>
      </c>
      <c r="C108" s="5" t="str">
        <f aca="false">INDEX($J$75:$J$101,MATCH(1,($A$75:$A$101=$A108)*($B$75:$B$101=80),0))</f>
        <v>inadequate</v>
      </c>
      <c r="D108" s="5" t="str">
        <f aca="false">INDEX($J$75:$J$101,MATCH(1,($A$75:$A$101=$A108)*($B$75:$B$101=85),0))</f>
        <v>inadequate</v>
      </c>
      <c r="E108" s="5" t="str">
        <f aca="false">INDEX($J$75:$J$101,MATCH(1,($A$75:$A$101=$A108)*($B$75:$B$101=90),0))</f>
        <v>inadequate</v>
      </c>
    </row>
    <row r="109" customFormat="false" ht="15" hidden="false" customHeight="true" outlineLevel="0" collapsed="false">
      <c r="A109" s="3" t="n">
        <v>70</v>
      </c>
      <c r="B109" s="5" t="str">
        <f aca="false">INDEX($J$75:$J$101,MATCH(1,($A$75:$A$101=$A109)*($B$75:$B$101=75),0))</f>
        <v>inadequate</v>
      </c>
      <c r="C109" s="5" t="str">
        <f aca="false">INDEX($J$75:$J$101,MATCH(1,($A$75:$A$101=$A109)*($B$75:$B$101=80),0))</f>
        <v>inadequate</v>
      </c>
      <c r="D109" s="5" t="str">
        <f aca="false">INDEX($J$75:$J$101,MATCH(1,($A$75:$A$101=$A109)*($B$75:$B$101=85),0))</f>
        <v>inadequate</v>
      </c>
      <c r="E109" s="5" t="str">
        <f aca="false">INDEX($J$75:$J$101,MATCH(1,($A$75:$A$101=$A109)*($B$75:$B$101=90),0))</f>
        <v>inadequate</v>
      </c>
    </row>
    <row r="110" customFormat="false" ht="15" hidden="false" customHeight="true" outlineLevel="0" collapsed="false">
      <c r="A110" s="3" t="n">
        <v>72</v>
      </c>
      <c r="B110" s="5" t="str">
        <f aca="false">INDEX($J$75:$J$101,MATCH(1,($A$75:$A$101=$A110)*($B$75:$B$101=75),0))</f>
        <v>inadequate</v>
      </c>
      <c r="C110" s="5" t="str">
        <f aca="false">INDEX($J$75:$J$101,MATCH(1,($A$75:$A$101=$A110)*($B$75:$B$101=80),0))</f>
        <v>inadequate</v>
      </c>
      <c r="D110" s="5" t="str">
        <f aca="false">INDEX($J$75:$J$101,MATCH(1,($A$75:$A$101=$A110)*($B$75:$B$101=85),0))</f>
        <v>inadequate</v>
      </c>
      <c r="E110" s="5" t="str">
        <f aca="false">INDEX($J$75:$J$101,MATCH(1,($A$75:$A$101=$A110)*($B$75:$B$101=90),0))</f>
        <v>inadequate</v>
      </c>
    </row>
    <row r="111" customFormat="false" ht="15" hidden="false" customHeight="true" outlineLevel="0" collapsed="false">
      <c r="A111" s="3" t="n">
        <v>75</v>
      </c>
      <c r="B111" s="7" t="s">
        <v>1557</v>
      </c>
      <c r="C111" s="5" t="str">
        <f aca="false">INDEX($J$75:$J$101,MATCH(1,($A$75:$A$101=$A111)*($B$75:$B$101=80),0))</f>
        <v>inadequate</v>
      </c>
      <c r="D111" s="5" t="str">
        <f aca="false">INDEX($J$75:$J$101,MATCH(1,($A$75:$A$101=$A111)*($B$75:$B$101=85),0))</f>
        <v>inadequate</v>
      </c>
      <c r="E111" s="5" t="str">
        <f aca="false">INDEX($J$75:$J$101,MATCH(1,($A$75:$A$101=$A111)*($B$75:$B$101=90),0))</f>
        <v>inadequate</v>
      </c>
    </row>
    <row r="114" customFormat="false" ht="15" hidden="false" customHeight="true" outlineLevel="0" collapsed="false">
      <c r="A114" s="6" t="s">
        <v>1558</v>
      </c>
    </row>
    <row r="115" customFormat="false" ht="15" hidden="false" customHeight="true" outlineLevel="0" collapsed="false">
      <c r="A115" s="1" t="s">
        <v>1559</v>
      </c>
      <c r="B115" s="34" t="n">
        <f aca="false">COUNT(I75:I101)</f>
        <v>27</v>
      </c>
    </row>
    <row r="116" customFormat="false" ht="15" hidden="false" customHeight="true" outlineLevel="0" collapsed="false">
      <c r="A116" s="1" t="s">
        <v>1560</v>
      </c>
      <c r="B116" s="21" t="n">
        <f aca="false">COUNTIF(J75:J101,"inadequate")</f>
        <v>27</v>
      </c>
    </row>
    <row r="117" customFormat="false" ht="15" hidden="false" customHeight="true" outlineLevel="0" collapsed="false">
      <c r="A117" s="1" t="s">
        <v>1561</v>
      </c>
      <c r="B117" s="34" t="n">
        <f aca="false">COUNTIF(J75:J101,"marginal")</f>
        <v>0</v>
      </c>
    </row>
    <row r="118" customFormat="false" ht="15" hidden="false" customHeight="true" outlineLevel="0" collapsed="false">
      <c r="A118" s="1" t="s">
        <v>1562</v>
      </c>
      <c r="B118" s="34" t="n">
        <f aca="false">COUNTIF(J75:J101,"exceeds")</f>
        <v>0</v>
      </c>
    </row>
    <row r="119" customFormat="false" ht="15" hidden="false" customHeight="true" outlineLevel="0" collapsed="false">
      <c r="A119" s="1" t="s">
        <v>1563</v>
      </c>
      <c r="B119" s="36" t="n">
        <v>13</v>
      </c>
      <c r="C119" s="36" t="n">
        <v>14</v>
      </c>
    </row>
    <row r="120" customFormat="false" ht="15" hidden="false" customHeight="true" outlineLevel="0" collapsed="false">
      <c r="A120" s="1" t="s">
        <v>1564</v>
      </c>
      <c r="B120" s="97" t="n">
        <f aca="false">AVERAGE(L75:L101)</f>
        <v>-0.212171030649984</v>
      </c>
    </row>
    <row r="122" customFormat="false" ht="15" hidden="false" customHeight="true" outlineLevel="0" collapsed="false">
      <c r="A122" s="7" t="s">
        <v>1565</v>
      </c>
    </row>
    <row r="123" customFormat="false" ht="15" hidden="false" customHeight="true" outlineLevel="0" collapsed="false">
      <c r="A123" s="7" t="s">
        <v>1566</v>
      </c>
    </row>
    <row r="126" customFormat="false" ht="15" hidden="false" customHeight="true" outlineLevel="0" collapsed="false">
      <c r="A126" s="6" t="s">
        <v>1567</v>
      </c>
    </row>
    <row r="127" customFormat="false" ht="15" hidden="false" customHeight="true" outlineLevel="0" collapsed="false">
      <c r="A127" s="7" t="s">
        <v>1568</v>
      </c>
    </row>
    <row r="128" customFormat="false" ht="15" hidden="false" customHeight="true" outlineLevel="0" collapsed="false">
      <c r="A128" s="1" t="s">
        <v>1569</v>
      </c>
      <c r="B128" s="32" t="n">
        <f aca="false">I84</f>
        <v>0.544954669845239</v>
      </c>
    </row>
    <row r="129" customFormat="false" ht="15" hidden="false" customHeight="true" outlineLevel="0" collapsed="false">
      <c r="A129" s="1" t="s">
        <v>1570</v>
      </c>
      <c r="B129" s="32" t="n">
        <f aca="false">Adequacy!B179</f>
        <v>0.544995788809107</v>
      </c>
    </row>
    <row r="130" customFormat="false" ht="15" hidden="false" customHeight="true" outlineLevel="0" collapsed="false">
      <c r="A130" s="1" t="s">
        <v>796</v>
      </c>
      <c r="B130" s="27" t="n">
        <f aca="false">B128-B129</f>
        <v>-4.11189638672704E-005</v>
      </c>
    </row>
    <row r="131" customFormat="false" ht="15" hidden="false" customHeight="true" outlineLevel="0" collapsed="false">
      <c r="A131" s="3" t="s">
        <v>458</v>
      </c>
      <c r="B131" s="4" t="str">
        <f aca="false">IF(ABS(B130)&lt;0.002,"PASS — the panel reproduces the central case by an independent route","FAIL — the two routes disagree")</f>
        <v>PASS — the panel reproduces the central case by an independent route</v>
      </c>
    </row>
    <row r="133" customFormat="false" ht="15" hidden="false" customHeight="true" outlineLevel="0" collapsed="false">
      <c r="A133" s="6" t="s">
        <v>1571</v>
      </c>
    </row>
    <row r="134" customFormat="false" ht="15" hidden="false" customHeight="true" outlineLevel="0" collapsed="false">
      <c r="A134" s="3" t="s">
        <v>1572</v>
      </c>
    </row>
    <row r="135" customFormat="false" ht="15" hidden="false" customHeight="true" outlineLevel="0" collapsed="false">
      <c r="A135" s="7" t="s">
        <v>1573</v>
      </c>
    </row>
    <row r="136" customFormat="false" ht="15" hidden="false" customHeight="true" outlineLevel="0" collapsed="false">
      <c r="A136" s="7" t="s">
        <v>1574</v>
      </c>
    </row>
    <row r="137" customFormat="false" ht="15" hidden="false" customHeight="true" outlineLevel="0" collapsed="false">
      <c r="A137" s="3" t="s">
        <v>1575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9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7" min="2" style="1" width="12"/>
  </cols>
  <sheetData>
    <row r="1" customFormat="false" ht="15.75" hidden="false" customHeight="true" outlineLevel="0" collapsed="false">
      <c r="A1" s="15" t="s">
        <v>1576</v>
      </c>
    </row>
    <row r="2" customFormat="false" ht="15" hidden="false" customHeight="true" outlineLevel="0" collapsed="false">
      <c r="A2" s="7" t="s">
        <v>1577</v>
      </c>
    </row>
    <row r="3" customFormat="false" ht="15" hidden="false" customHeight="true" outlineLevel="0" collapsed="false">
      <c r="A3" s="7" t="s">
        <v>1578</v>
      </c>
    </row>
    <row r="5" customFormat="false" ht="15" hidden="false" customHeight="true" outlineLevel="0" collapsed="false">
      <c r="A5" s="1" t="s">
        <v>1579</v>
      </c>
      <c r="B5" s="21" t="n">
        <v>65</v>
      </c>
    </row>
    <row r="6" customFormat="false" ht="15" hidden="false" customHeight="true" outlineLevel="0" collapsed="false">
      <c r="A6" s="1" t="s">
        <v>1580</v>
      </c>
      <c r="B6" s="21" t="n">
        <v>80</v>
      </c>
    </row>
    <row r="7" customFormat="false" ht="15" hidden="false" customHeight="true" outlineLevel="0" collapsed="false">
      <c r="A7" s="1" t="s">
        <v>1581</v>
      </c>
      <c r="B7" s="34" t="n">
        <f aca="false">B6-B5</f>
        <v>15</v>
      </c>
    </row>
    <row r="8" customFormat="false" ht="15" hidden="false" customHeight="true" outlineLevel="0" collapsed="false">
      <c r="A8" s="1" t="s">
        <v>1582</v>
      </c>
      <c r="B8" s="57" t="n">
        <v>1000</v>
      </c>
    </row>
    <row r="9" customFormat="false" ht="15" hidden="false" customHeight="true" outlineLevel="0" collapsed="false">
      <c r="A9" s="1" t="s">
        <v>1583</v>
      </c>
      <c r="B9" s="48" t="n">
        <f aca="false">Surface_Engine!G241</f>
        <v>578.747857148236</v>
      </c>
    </row>
    <row r="11" customFormat="false" ht="15" hidden="false" customHeight="true" outlineLevel="0" collapsed="false">
      <c r="A11" s="8" t="s">
        <v>802</v>
      </c>
      <c r="B11" s="8" t="s">
        <v>1584</v>
      </c>
      <c r="C11" s="8" t="s">
        <v>1585</v>
      </c>
      <c r="D11" s="8" t="s">
        <v>1586</v>
      </c>
      <c r="E11" s="8" t="s">
        <v>1587</v>
      </c>
      <c r="F11" s="8" t="s">
        <v>1588</v>
      </c>
      <c r="G11" s="8" t="s">
        <v>1293</v>
      </c>
      <c r="H11" s="8" t="s">
        <v>1589</v>
      </c>
      <c r="I11" s="8" t="s">
        <v>1590</v>
      </c>
      <c r="J11" s="8" t="s">
        <v>1591</v>
      </c>
      <c r="K11" s="8" t="s">
        <v>1592</v>
      </c>
      <c r="L11" s="8" t="s">
        <v>1593</v>
      </c>
      <c r="M11" s="8" t="s">
        <v>1594</v>
      </c>
      <c r="N11" s="8" t="s">
        <v>1595</v>
      </c>
      <c r="O11" s="8" t="s">
        <v>1596</v>
      </c>
      <c r="P11" s="8" t="s">
        <v>1597</v>
      </c>
      <c r="Q11" s="8" t="s">
        <v>1598</v>
      </c>
      <c r="R11" s="8" t="s">
        <v>809</v>
      </c>
      <c r="S11" s="8" t="s">
        <v>810</v>
      </c>
      <c r="T11" s="8" t="s">
        <v>811</v>
      </c>
      <c r="U11" s="8" t="s">
        <v>812</v>
      </c>
      <c r="V11" s="8" t="s">
        <v>1599</v>
      </c>
      <c r="W11" s="8" t="s">
        <v>341</v>
      </c>
      <c r="X11" s="8" t="s">
        <v>814</v>
      </c>
      <c r="Y11" s="8" t="s">
        <v>341</v>
      </c>
      <c r="Z11" s="8" t="s">
        <v>1600</v>
      </c>
      <c r="AA11" s="8" t="s">
        <v>1166</v>
      </c>
    </row>
    <row r="12" customFormat="false" ht="15" hidden="false" customHeight="true" outlineLevel="0" collapsed="false">
      <c r="A12" s="1" t="n">
        <v>0</v>
      </c>
      <c r="B12" s="32" t="n">
        <f aca="false">INDEX(Surface_Engine!$L$12:$L$72,$A12+1)*IF($A12&lt;$B$7,INDEX(Surface_Engine!$E$12:$E$72,$A12+1),INDEX(Surface_Engine!$E$12:$E$72,$B$7+1))</f>
        <v>1</v>
      </c>
      <c r="C12" s="32" t="n">
        <f aca="false">INDEX(Panel_Reserving!$D$8:$D$68,$A12+1)*IF($A12&lt;$B$7,INDEX(Surface_Engine!$E$12:$E$72,$A12+1),INDEX(Surface_Engine!$E$12:$E$72,$B$7+1))</f>
        <v>1</v>
      </c>
      <c r="D12" s="32" t="n">
        <f aca="false">INDEX(Panel_Reserving!$L$8:$L$68,$A12+1)*IF($A12&lt;$B$7,INDEX(Surface_Engine!$E$12:$E$72,$A12+1),INDEX(Surface_Engine!$E$12:$E$72,$B$7+1))</f>
        <v>1</v>
      </c>
      <c r="E12" s="32" t="n">
        <f aca="false">INDEX(Surface_Engine!$L$12:$L$72,$A12+1)*IF($A12&lt;$B$7,INDEX(Surface_Engine!$Y$12:$Y$72,$A12+1),INDEX(Surface_Engine!$Y$12:$Y$72,$B$7+1))</f>
        <v>1</v>
      </c>
      <c r="F12" s="32" t="n">
        <f aca="false">INDEX(Surface_Engine!$L$12:$L$72,$A12+1)*IF($A12&lt;$B$7,INDEX(Surface_Engine!$Z$12:$Z$72,$A12+1),INDEX(Surface_Engine!$Z$12:$Z$72,$B$7+1))</f>
        <v>1</v>
      </c>
      <c r="G12" s="30" t="n">
        <f aca="false">INDEX(Surface_Engine!$B$12:$B$72,$A12+1)</f>
        <v>1</v>
      </c>
      <c r="H12" s="48" t="n">
        <f aca="false">IF($A12&lt;$B$7,INDEX(Surface_Engine!$D$12:$D$72,$A12+1)+($B$9*12)*INDEX(Surface_Engine!$F$12:$F$72,$A12+1)-($B$9*12),$B$8*12*INDEX(Surface_Engine!$C$12:$C$72,$A12+1)/(1+Assumptions!$B$10)^$B$7+INDEX(Surface_Engine!$D$12:$D$72,$A12+1))</f>
        <v>82</v>
      </c>
      <c r="I12" s="48" t="n">
        <f aca="false">IF($A12&lt;$B$7,INDEX(Surface_Engine!$D$12:$D$72,$A12+1)*(1+Assumptions!$B$24)+($B$9*12)*INDEX(Surface_Engine!$F$12:$F$72,$A12+1)-($B$9*12),$B$8*12*INDEX(Surface_Engine!$C$12:$C$72,$A12+1)/(1+Assumptions!$B$10)^$B$7+INDEX(Surface_Engine!$D$12:$D$72,$A12+1)*(1+Assumptions!$B$24))</f>
        <v>90.1999999999998</v>
      </c>
      <c r="J12" s="48" t="n">
        <f aca="false">IF($A12&lt;$B$7,($B$9*12)-($B$9*12)*INDEX(Surface_Engine!$F$12:$F$72,$A12+1)-INDEX(Surface_Engine!$D$12:$D$72,$A12+1),-($B$8*12*INDEX(Surface_Engine!$C$12:$C$72,$A12+1)/(1+Assumptions!$B$10)^$B$7+INDEX(Surface_Engine!$D$12:$D$72,$A12+1)))</f>
        <v>-82</v>
      </c>
      <c r="K12" s="48" t="n">
        <f aca="false">B12*H12*G12+K13</f>
        <v>-2206.6768813412</v>
      </c>
      <c r="L12" s="48" t="n">
        <f aca="false">C12*H12*G12+L13</f>
        <v>6092.29602058737</v>
      </c>
      <c r="M12" s="48" t="n">
        <f aca="false">D12*H12*G12+M13</f>
        <v>13022.0629774903</v>
      </c>
      <c r="N12" s="48" t="n">
        <f aca="false">E12*H12*G12+N13</f>
        <v>-4357.151745706</v>
      </c>
      <c r="O12" s="48" t="n">
        <f aca="false">F12*H12*G12+O13</f>
        <v>278.845890994488</v>
      </c>
      <c r="P12" s="48" t="n">
        <f aca="false">B12*I12*G12+P13</f>
        <v>-2044.37846525364</v>
      </c>
      <c r="Q12" s="12" t="n">
        <f aca="false">K12/G12</f>
        <v>-2206.6768813412</v>
      </c>
      <c r="R12" s="12" t="n">
        <f aca="false">IF(C12&lt;=0,0,MAX(0,(B12/C12)*L12/G12-Q12))</f>
        <v>8298.97290192857</v>
      </c>
      <c r="S12" s="12" t="n">
        <f aca="false">MAX(IF(E12&lt;=0,0,MAX(0,(B12/E12)*N12/G12-Q12)),IF(F12&lt;=0,0,MAX(0,(B12/F12)*O12/G12-Q12)),IF($A12&lt;$B$7,MAX(0,-Assumptions!$B$22*Q12),0))</f>
        <v>2485.52277233569</v>
      </c>
      <c r="T12" s="12" t="n">
        <f aca="false">MAX(0,P12/G12-Q12)</f>
        <v>162.298416087557</v>
      </c>
      <c r="U12" s="12" t="n">
        <f aca="false">SQRT(R12^2+S12^2+T12^2+2*Assumptions!$B$26*R12*S12+2*Assumptions!$B$27*R12*T12+2*Assumptions!$B$28*S12*T12)</f>
        <v>9298.79615916203</v>
      </c>
      <c r="V12" s="48" t="n">
        <f aca="false">U12*G12+V13</f>
        <v>193242.422834208</v>
      </c>
      <c r="W12" s="48" t="n">
        <v>0</v>
      </c>
      <c r="X12" s="12" t="n">
        <f aca="false">Assumptions!$B$29*V12/G12</f>
        <v>11594.5453700525</v>
      </c>
      <c r="Y12" s="12" t="n">
        <f aca="false">W12/G12</f>
        <v>0</v>
      </c>
      <c r="Z12" s="12" t="n">
        <f aca="false">Y12-Q12</f>
        <v>2206.6768813412</v>
      </c>
      <c r="AA12" s="12" t="n">
        <f aca="false">IF(B12&lt;=0,0,MAX(0,(U12+X12-Z12)/B12))</f>
        <v>18686.6646478733</v>
      </c>
    </row>
    <row r="13" customFormat="false" ht="15" hidden="false" customHeight="true" outlineLevel="0" collapsed="false">
      <c r="A13" s="1" t="n">
        <v>1</v>
      </c>
      <c r="B13" s="32" t="n">
        <f aca="false">INDEX(Surface_Engine!$L$12:$L$72,$A13+1)*IF($A13&lt;$B$7,INDEX(Surface_Engine!$E$12:$E$72,$A13+1),INDEX(Surface_Engine!$E$12:$E$72,$B$7+1))</f>
        <v>0.954429784274803</v>
      </c>
      <c r="C13" s="32" t="n">
        <f aca="false">INDEX(Panel_Reserving!$D$8:$D$68,$A13+1)*IF($A13&lt;$B$7,INDEX(Surface_Engine!$E$12:$E$72,$A13+1),INDEX(Surface_Engine!$E$12:$E$72,$B$7+1))</f>
        <v>0.955423827419843</v>
      </c>
      <c r="D13" s="32" t="n">
        <f aca="false">INDEX(Panel_Reserving!$L$8:$L$68,$A13+1)*IF($A13&lt;$B$7,INDEX(Surface_Engine!$E$12:$E$72,$A13+1),INDEX(Surface_Engine!$E$12:$E$72,$B$7+1))</f>
        <v>0.954753785486356</v>
      </c>
      <c r="E13" s="32" t="n">
        <f aca="false">INDEX(Surface_Engine!$L$12:$L$72,$A13+1)*IF($A13&lt;$B$7,INDEX(Surface_Engine!$Y$12:$Y$72,$A13+1),INDEX(Surface_Engine!$Y$12:$Y$72,$B$7+1))</f>
        <v>0.934234949356335</v>
      </c>
      <c r="F13" s="32" t="n">
        <f aca="false">INDEX(Surface_Engine!$L$12:$L$72,$A13+1)*IF($A13&lt;$B$7,INDEX(Surface_Engine!$Z$12:$Z$72,$A13+1),INDEX(Surface_Engine!$Z$12:$Z$72,$B$7+1))</f>
        <v>0.974624619193272</v>
      </c>
      <c r="G13" s="30" t="n">
        <f aca="false">INDEX(Surface_Engine!$B$12:$B$72,$A13+1)</f>
        <v>0.974696869273656</v>
      </c>
      <c r="H13" s="48" t="n">
        <f aca="false">IF($A13&lt;$B$7,INDEX(Surface_Engine!$D$12:$D$72,$A13+1)+($B$9*12)*INDEX(Surface_Engine!$F$12:$F$72,$A13+1)-($B$9*12),$B$8*12*INDEX(Surface_Engine!$C$12:$C$72,$A13+1)/(1+Assumptions!$B$10)^$B$7+INDEX(Surface_Engine!$D$12:$D$72,$A13+1))</f>
        <v>-6513.67557148988</v>
      </c>
      <c r="I13" s="48" t="n">
        <f aca="false">IF($A13&lt;$B$7,INDEX(Surface_Engine!$D$12:$D$72,$A13+1)*(1+Assumptions!$B$24)+($B$9*12)*INDEX(Surface_Engine!$F$12:$F$72,$A13+1)-($B$9*12),$B$8*12*INDEX(Surface_Engine!$C$12:$C$72,$A13+1)/(1+Assumptions!$B$10)^$B$7+INDEX(Surface_Engine!$D$12:$D$72,$A13+1)*(1+Assumptions!$B$24))</f>
        <v>-6505.27057148989</v>
      </c>
      <c r="J13" s="48" t="n">
        <f aca="false">IF($A13&lt;$B$7,($B$9*12)-($B$9*12)*INDEX(Surface_Engine!$F$12:$F$72,$A13+1)-INDEX(Surface_Engine!$D$12:$D$72,$A13+1),-($B$8*12*INDEX(Surface_Engine!$C$12:$C$72,$A13+1)/(1+Assumptions!$B$10)^$B$7+INDEX(Surface_Engine!$D$12:$D$72,$A13+1)))</f>
        <v>6513.67557148988</v>
      </c>
      <c r="K13" s="48" t="n">
        <f aca="false">B13*H13*G13+K14</f>
        <v>-2288.6768813412</v>
      </c>
      <c r="L13" s="48" t="n">
        <f aca="false">C13*H13*G13+L14</f>
        <v>6010.29602058737</v>
      </c>
      <c r="M13" s="48" t="n">
        <f aca="false">D13*H13*G13+M14</f>
        <v>12940.0629774903</v>
      </c>
      <c r="N13" s="48" t="n">
        <f aca="false">E13*H13*G13+N14</f>
        <v>-4439.151745706</v>
      </c>
      <c r="O13" s="48" t="n">
        <f aca="false">F13*H13*G13+O14</f>
        <v>196.845890994488</v>
      </c>
      <c r="P13" s="48" t="n">
        <f aca="false">B13*I13*G13+P14</f>
        <v>-2134.57846525364</v>
      </c>
      <c r="Q13" s="12" t="n">
        <f aca="false">K13/G13</f>
        <v>-2348.09093318082</v>
      </c>
      <c r="R13" s="12" t="n">
        <f aca="false">IF(C13&lt;=0,0,MAX(0,(B13/C13)*L13/G13-Q13))</f>
        <v>8507.99866535696</v>
      </c>
      <c r="S13" s="12" t="n">
        <f aca="false">MAX(IF(E13&lt;=0,0,MAX(0,(B13/E13)*N13/G13-Q13)),IF(F13&lt;=0,0,MAX(0,(B13/F13)*O13/G13-Q13)),IF($A13&lt;$B$7,MAX(0,-Assumptions!$B$22*Q13),0))</f>
        <v>2545.86228798894</v>
      </c>
      <c r="T13" s="12" t="n">
        <f aca="false">MAX(0,P13/G13-Q13)</f>
        <v>158.09881096919</v>
      </c>
      <c r="U13" s="12" t="n">
        <f aca="false">SQRT(R13^2+S13^2+T13^2+2*Assumptions!$B$26*R13*S13+2*Assumptions!$B$27*R13*T13+2*Assumptions!$B$28*S13*T13)</f>
        <v>9528.77735201788</v>
      </c>
      <c r="V13" s="48" t="n">
        <f aca="false">U13*G13+V14</f>
        <v>183943.626675046</v>
      </c>
      <c r="W13" s="48" t="n">
        <f aca="false">W12+B12*J12*G12</f>
        <v>-82</v>
      </c>
      <c r="X13" s="12" t="n">
        <f aca="false">Assumptions!$B$29*V13/G13</f>
        <v>11323.1281934118</v>
      </c>
      <c r="Y13" s="12" t="n">
        <f aca="false">W13/G13</f>
        <v>-84.12872</v>
      </c>
      <c r="Z13" s="12" t="n">
        <f aca="false">Y13-Q13</f>
        <v>2263.96221318082</v>
      </c>
      <c r="AA13" s="12" t="n">
        <f aca="false">IF(B13&lt;=0,0,MAX(0,(U13+X13-Z13)/B13))</f>
        <v>19475.4434935959</v>
      </c>
    </row>
    <row r="14" customFormat="false" ht="15" hidden="false" customHeight="true" outlineLevel="0" collapsed="false">
      <c r="A14" s="1" t="n">
        <v>2</v>
      </c>
      <c r="B14" s="32" t="n">
        <f aca="false">INDEX(Surface_Engine!$L$12:$L$72,$A14+1)*IF($A14&lt;$B$7,INDEX(Surface_Engine!$E$12:$E$72,$A14+1),INDEX(Surface_Engine!$E$12:$E$72,$B$7+1))</f>
        <v>0.928451921141693</v>
      </c>
      <c r="C14" s="32" t="n">
        <f aca="false">INDEX(Panel_Reserving!$D$8:$D$68,$A14+1)*IF($A14&lt;$B$7,INDEX(Surface_Engine!$E$12:$E$72,$A14+1),INDEX(Surface_Engine!$E$12:$E$72,$B$7+1))</f>
        <v>0.930473352648266</v>
      </c>
      <c r="D14" s="32" t="n">
        <f aca="false">INDEX(Panel_Reserving!$L$8:$L$68,$A14+1)*IF($A14&lt;$B$7,INDEX(Surface_Engine!$E$12:$E$72,$A14+1),INDEX(Surface_Engine!$E$12:$E$72,$B$7+1))</f>
        <v>0.929173329910111</v>
      </c>
      <c r="E14" s="32" t="n">
        <f aca="false">INDEX(Surface_Engine!$L$12:$L$72,$A14+1)*IF($A14&lt;$B$7,INDEX(Surface_Engine!$Y$12:$Y$72,$A14+1),INDEX(Surface_Engine!$Y$12:$Y$72,$B$7+1))</f>
        <v>0.898727479820571</v>
      </c>
      <c r="F14" s="32" t="n">
        <f aca="false">INDEX(Surface_Engine!$L$12:$L$72,$A14+1)*IF($A14&lt;$B$7,INDEX(Surface_Engine!$Z$12:$Z$72,$A14+1),INDEX(Surface_Engine!$Z$12:$Z$72,$B$7+1))</f>
        <v>0.958612118510579</v>
      </c>
      <c r="G14" s="30" t="n">
        <f aca="false">INDEX(Surface_Engine!$B$12:$B$72,$A14+1)</f>
        <v>0.949478633477643</v>
      </c>
      <c r="H14" s="48" t="n">
        <f aca="false">IF($A14&lt;$B$7,INDEX(Surface_Engine!$D$12:$D$72,$A14+1)+($B$9*12)*INDEX(Surface_Engine!$F$12:$F$72,$A14+1)-($B$9*12),$B$8*12*INDEX(Surface_Engine!$C$12:$C$72,$A14+1)/(1+Assumptions!$B$10)^$B$7+INDEX(Surface_Engine!$D$12:$D$72,$A14+1))</f>
        <v>-6511.57432148989</v>
      </c>
      <c r="I14" s="48" t="n">
        <f aca="false">IF($A14&lt;$B$7,INDEX(Surface_Engine!$D$12:$D$72,$A14+1)*(1+Assumptions!$B$24)+($B$9*12)*INDEX(Surface_Engine!$F$12:$F$72,$A14+1)-($B$9*12),$B$8*12*INDEX(Surface_Engine!$C$12:$C$72,$A14+1)/(1+Assumptions!$B$10)^$B$7+INDEX(Surface_Engine!$D$12:$D$72,$A14+1)*(1+Assumptions!$B$24))</f>
        <v>-6502.95919648989</v>
      </c>
      <c r="J14" s="48" t="n">
        <f aca="false">IF($A14&lt;$B$7,($B$9*12)-($B$9*12)*INDEX(Surface_Engine!$F$12:$F$72,$A14+1)-INDEX(Surface_Engine!$D$12:$D$72,$A14+1),-($B$8*12*INDEX(Surface_Engine!$C$12:$C$72,$A14+1)/(1+Assumptions!$B$10)^$B$7+INDEX(Surface_Engine!$D$12:$D$72,$A14+1)))</f>
        <v>6511.57432148989</v>
      </c>
      <c r="K14" s="48" t="n">
        <f aca="false">B14*H14*G14+K15</f>
        <v>3770.863422894</v>
      </c>
      <c r="L14" s="48" t="n">
        <f aca="false">C14*H14*G14+L15</f>
        <v>12076.1473647762</v>
      </c>
      <c r="M14" s="48" t="n">
        <f aca="false">D14*H14*G14+M15</f>
        <v>19001.6603197941</v>
      </c>
      <c r="N14" s="48" t="n">
        <f aca="false">E14*H14*G14+N15</f>
        <v>1492.17439532722</v>
      </c>
      <c r="O14" s="48" t="n">
        <f aca="false">F14*H14*G14+O15</f>
        <v>6384.60035843166</v>
      </c>
      <c r="P14" s="48" t="n">
        <f aca="false">B14*I14*G14+P15</f>
        <v>3917.14283791248</v>
      </c>
      <c r="Q14" s="12" t="n">
        <f aca="false">K14/G14</f>
        <v>3971.50951052212</v>
      </c>
      <c r="R14" s="12" t="n">
        <f aca="false">IF(C14&lt;=0,0,MAX(0,(B14/C14)*L14/G14-Q14))</f>
        <v>8719.57356745939</v>
      </c>
      <c r="S14" s="12" t="n">
        <f aca="false">MAX(IF(E14&lt;=0,0,MAX(0,(B14/E14)*N14/G14-Q14)),IF(F14&lt;=0,0,MAX(0,(B14/F14)*O14/G14-Q14)),IF($A14&lt;$B$7,MAX(0,-Assumptions!$B$22*Q14),0))</f>
        <v>2541.24976614436</v>
      </c>
      <c r="T14" s="12" t="n">
        <f aca="false">MAX(0,P14/G14-Q14)</f>
        <v>154.062882365982</v>
      </c>
      <c r="U14" s="12" t="n">
        <f aca="false">SQRT(R14^2+S14^2+T14^2+2*Assumptions!$B$26*R14*S14+2*Assumptions!$B$27*R14*T14+2*Assumptions!$B$28*S14*T14)</f>
        <v>9729.0878128819</v>
      </c>
      <c r="V14" s="48" t="n">
        <f aca="false">U14*G14+V15</f>
        <v>174655.957222029</v>
      </c>
      <c r="W14" s="48" t="n">
        <f aca="false">W13+B13*J13*G13</f>
        <v>5977.5403042352</v>
      </c>
      <c r="X14" s="12" t="n">
        <f aca="false">Assumptions!$B$29*V14/G14</f>
        <v>11036.9597206618</v>
      </c>
      <c r="Y14" s="12" t="n">
        <f aca="false">W14/G14</f>
        <v>6295.60275868593</v>
      </c>
      <c r="Z14" s="12" t="n">
        <f aca="false">Y14-Q14</f>
        <v>2324.09324816382</v>
      </c>
      <c r="AA14" s="12" t="n">
        <f aca="false">IF(B14&lt;=0,0,MAX(0,(U14+X14-Z14)/B14))</f>
        <v>19863.122543494</v>
      </c>
    </row>
    <row r="15" customFormat="false" ht="15" hidden="false" customHeight="true" outlineLevel="0" collapsed="false">
      <c r="A15" s="1" t="n">
        <v>3</v>
      </c>
      <c r="B15" s="32" t="n">
        <f aca="false">INDEX(Surface_Engine!$L$12:$L$72,$A15+1)*IF($A15&lt;$B$7,INDEX(Surface_Engine!$E$12:$E$72,$A15+1),INDEX(Surface_Engine!$E$12:$E$72,$B$7+1))</f>
        <v>0.910458495120298</v>
      </c>
      <c r="C15" s="32" t="n">
        <f aca="false">INDEX(Panel_Reserving!$D$8:$D$68,$A15+1)*IF($A15&lt;$B$7,INDEX(Surface_Engine!$E$12:$E$72,$A15+1),INDEX(Surface_Engine!$E$12:$E$72,$B$7+1))</f>
        <v>0.913572212390625</v>
      </c>
      <c r="D15" s="32" t="n">
        <f aca="false">INDEX(Panel_Reserving!$L$8:$L$68,$A15+1)*IF($A15&lt;$B$7,INDEX(Surface_Engine!$E$12:$E$72,$A15+1),INDEX(Surface_Engine!$E$12:$E$72,$B$7+1))</f>
        <v>0.91166876185985</v>
      </c>
      <c r="E15" s="32" t="n">
        <f aca="false">INDEX(Surface_Engine!$L$12:$L$72,$A15+1)*IF($A15&lt;$B$7,INDEX(Surface_Engine!$Y$12:$Y$72,$A15+1),INDEX(Surface_Engine!$Y$12:$Y$72,$B$7+1))</f>
        <v>0.875370403952724</v>
      </c>
      <c r="F15" s="32" t="n">
        <f aca="false">INDEX(Surface_Engine!$L$12:$L$72,$A15+1)*IF($A15&lt;$B$7,INDEX(Surface_Engine!$Z$12:$Z$72,$A15+1),INDEX(Surface_Engine!$Z$12:$Z$72,$B$7+1))</f>
        <v>0.946369676313116</v>
      </c>
      <c r="G15" s="30" t="n">
        <f aca="false">INDEX(Surface_Engine!$B$12:$B$72,$A15+1)</f>
        <v>0.925237412196234</v>
      </c>
      <c r="H15" s="48" t="n">
        <f aca="false">IF($A15&lt;$B$7,INDEX(Surface_Engine!$D$12:$D$72,$A15+1)+($B$9*12)*INDEX(Surface_Engine!$F$12:$F$72,$A15+1)-($B$9*12),$B$8*12*INDEX(Surface_Engine!$C$12:$C$72,$A15+1)/(1+Assumptions!$B$10)^$B$7+INDEX(Surface_Engine!$D$12:$D$72,$A15+1))</f>
        <v>-6509.42054023989</v>
      </c>
      <c r="I15" s="48" t="n">
        <f aca="false">IF($A15&lt;$B$7,INDEX(Surface_Engine!$D$12:$D$72,$A15+1)*(1+Assumptions!$B$24)+($B$9*12)*INDEX(Surface_Engine!$F$12:$F$72,$A15+1)-($B$9*12),$B$8*12*INDEX(Surface_Engine!$C$12:$C$72,$A15+1)/(1+Assumptions!$B$10)^$B$7+INDEX(Surface_Engine!$D$12:$D$72,$A15+1)*(1+Assumptions!$B$24))</f>
        <v>-6500.59003711489</v>
      </c>
      <c r="J15" s="48" t="n">
        <f aca="false">IF($A15&lt;$B$7,($B$9*12)-($B$9*12)*INDEX(Surface_Engine!$F$12:$F$72,$A15+1)-INDEX(Surface_Engine!$D$12:$D$72,$A15+1),-($B$8*12*INDEX(Surface_Engine!$C$12:$C$72,$A15+1)/(1+Assumptions!$B$10)^$B$7+INDEX(Surface_Engine!$D$12:$D$72,$A15+1)))</f>
        <v>6509.42054023989</v>
      </c>
      <c r="K15" s="48" t="n">
        <f aca="false">B15*H15*G15+K16</f>
        <v>9511.11090983608</v>
      </c>
      <c r="L15" s="48" t="n">
        <f aca="false">C15*H15*G15+L16</f>
        <v>17828.8925555427</v>
      </c>
      <c r="M15" s="48" t="n">
        <f aca="false">D15*H15*G15+M16</f>
        <v>24746.3679890845</v>
      </c>
      <c r="N15" s="48" t="n">
        <f aca="false">E15*H15*G15+N16</f>
        <v>7048.64753089038</v>
      </c>
      <c r="O15" s="48" t="n">
        <f aca="false">F15*H15*G15+O16</f>
        <v>12311.3163023936</v>
      </c>
      <c r="P15" s="48" t="n">
        <f aca="false">B15*I15*G15+P16</f>
        <v>9649.795702235</v>
      </c>
      <c r="Q15" s="12" t="n">
        <f aca="false">K15/G15</f>
        <v>10279.6436724922</v>
      </c>
      <c r="R15" s="12" t="n">
        <f aca="false">IF(C15&lt;=0,0,MAX(0,(B15/C15)*L15/G15-Q15))</f>
        <v>8924.21289402087</v>
      </c>
      <c r="S15" s="12" t="n">
        <f aca="false">MAX(IF(E15&lt;=0,0,MAX(0,(B15/E15)*N15/G15-Q15)),IF(F15&lt;=0,0,MAX(0,(B15/F15)*O15/G15-Q15)),IF($A15&lt;$B$7,MAX(0,-Assumptions!$B$22*Q15),0))</f>
        <v>2521.55507801276</v>
      </c>
      <c r="T15" s="12" t="n">
        <f aca="false">MAX(0,P15/G15-Q15)</f>
        <v>149.891033988481</v>
      </c>
      <c r="U15" s="12" t="n">
        <f aca="false">SQRT(R15^2+S15^2+T15^2+2*Assumptions!$B$26*R15*S15+2*Assumptions!$B$27*R15*T15+2*Assumptions!$B$28*S15*T15)</f>
        <v>9915.67035194466</v>
      </c>
      <c r="V15" s="48" t="n">
        <f aca="false">U15*G15+V16</f>
        <v>165418.39622047</v>
      </c>
      <c r="W15" s="48" t="n">
        <f aca="false">W14+B14*J14*G14</f>
        <v>11717.7877911773</v>
      </c>
      <c r="X15" s="12" t="n">
        <f aca="false">Assumptions!$B$29*V15/G15</f>
        <v>10727.0886827512</v>
      </c>
      <c r="Y15" s="12" t="n">
        <f aca="false">W15/G15</f>
        <v>12664.6281664755</v>
      </c>
      <c r="Z15" s="12" t="n">
        <f aca="false">Y15-Q15</f>
        <v>2384.98449398324</v>
      </c>
      <c r="AA15" s="12" t="n">
        <f aca="false">IF(B15&lt;=0,0,MAX(0,(U15+X15-Z15)/B15))</f>
        <v>20053.3847930104</v>
      </c>
    </row>
    <row r="16" customFormat="false" ht="15" hidden="false" customHeight="true" outlineLevel="0" collapsed="false">
      <c r="A16" s="1" t="n">
        <v>4</v>
      </c>
      <c r="B16" s="32" t="n">
        <f aca="false">INDEX(Surface_Engine!$L$12:$L$72,$A16+1)*IF($A16&lt;$B$7,INDEX(Surface_Engine!$E$12:$E$72,$A16+1),INDEX(Surface_Engine!$E$12:$E$72,$B$7+1))</f>
        <v>0.89228176534528</v>
      </c>
      <c r="C16" s="32" t="n">
        <f aca="false">INDEX(Panel_Reserving!$D$8:$D$68,$A16+1)*IF($A16&lt;$B$7,INDEX(Surface_Engine!$E$12:$E$72,$A16+1),INDEX(Surface_Engine!$E$12:$E$72,$B$7+1))</f>
        <v>0.896550995764067</v>
      </c>
      <c r="D16" s="32" t="n">
        <f aca="false">INDEX(Panel_Reserving!$L$8:$L$68,$A16+1)*IF($A16&lt;$B$7,INDEX(Surface_Engine!$E$12:$E$72,$A16+1),INDEX(Surface_Engine!$E$12:$E$72,$B$7+1))</f>
        <v>0.8940812418807</v>
      </c>
      <c r="E16" s="32" t="n">
        <f aca="false">INDEX(Surface_Engine!$L$12:$L$72,$A16+1)*IF($A16&lt;$B$7,INDEX(Surface_Engine!$Y$12:$Y$72,$A16+1),INDEX(Surface_Engine!$Y$12:$Y$72,$B$7+1))</f>
        <v>0.852112290247146</v>
      </c>
      <c r="F16" s="32" t="n">
        <f aca="false">INDEX(Surface_Engine!$L$12:$L$72,$A16+1)*IF($A16&lt;$B$7,INDEX(Surface_Engine!$Z$12:$Z$72,$A16+1),INDEX(Surface_Engine!$Z$12:$Z$72,$B$7+1))</f>
        <v>0.933726854193489</v>
      </c>
      <c r="G16" s="30" t="n">
        <f aca="false">INDEX(Surface_Engine!$B$12:$B$72,$A16+1)</f>
        <v>0.901158384292743</v>
      </c>
      <c r="H16" s="48" t="n">
        <f aca="false">IF($A16&lt;$B$7,INDEX(Surface_Engine!$D$12:$D$72,$A16+1)+($B$9*12)*INDEX(Surface_Engine!$F$12:$F$72,$A16+1)-($B$9*12),$B$8*12*INDEX(Surface_Engine!$C$12:$C$72,$A16+1)/(1+Assumptions!$B$10)^$B$7+INDEX(Surface_Engine!$D$12:$D$72,$A16+1))</f>
        <v>-6507.21291445864</v>
      </c>
      <c r="I16" s="48" t="n">
        <f aca="false">IF($A16&lt;$B$7,INDEX(Surface_Engine!$D$12:$D$72,$A16+1)*(1+Assumptions!$B$24)+($B$9*12)*INDEX(Surface_Engine!$F$12:$F$72,$A16+1)-($B$9*12),$B$8*12*INDEX(Surface_Engine!$C$12:$C$72,$A16+1)/(1+Assumptions!$B$10)^$B$7+INDEX(Surface_Engine!$D$12:$D$72,$A16+1)*(1+Assumptions!$B$24))</f>
        <v>-6498.16164875551</v>
      </c>
      <c r="J16" s="48" t="n">
        <f aca="false">IF($A16&lt;$B$7,($B$9*12)-($B$9*12)*INDEX(Surface_Engine!$F$12:$F$72,$A16+1)-INDEX(Surface_Engine!$D$12:$D$72,$A16+1),-($B$8*12*INDEX(Surface_Engine!$C$12:$C$72,$A16+1)/(1+Assumptions!$B$10)^$B$7+INDEX(Surface_Engine!$D$12:$D$72,$A16+1)))</f>
        <v>6507.21291445864</v>
      </c>
      <c r="K16" s="48" t="n">
        <f aca="false">B16*H16*G16+K17</f>
        <v>14994.583383788</v>
      </c>
      <c r="L16" s="48" t="n">
        <f aca="false">C16*H16*G16+L17</f>
        <v>23331.1181995019</v>
      </c>
      <c r="M16" s="48" t="n">
        <f aca="false">D16*H16*G16+M17</f>
        <v>30237.1296084374</v>
      </c>
      <c r="N16" s="48" t="n">
        <f aca="false">E16*H16*G16+N17</f>
        <v>12320.7928733892</v>
      </c>
      <c r="O16" s="48" t="n">
        <f aca="false">F16*H16*G16+O17</f>
        <v>18011.0731809981</v>
      </c>
      <c r="P16" s="48" t="n">
        <f aca="false">B16*I16*G16+P17</f>
        <v>15125.8294463464</v>
      </c>
      <c r="Q16" s="12" t="n">
        <f aca="false">K16/G16</f>
        <v>16639.2319542765</v>
      </c>
      <c r="R16" s="12" t="n">
        <f aca="false">IF(C16&lt;=0,0,MAX(0,(B16/C16)*L16/G16-Q16))</f>
        <v>9127.62501974061</v>
      </c>
      <c r="S16" s="12" t="n">
        <f aca="false">MAX(IF(E16&lt;=0,0,MAX(0,(B16/E16)*N16/G16-Q16)),IF(F16&lt;=0,0,MAX(0,(B16/F16)*O16/G16-Q16)),IF($A16&lt;$B$7,MAX(0,-Assumptions!$B$22*Q16),0))</f>
        <v>2460.20794683748</v>
      </c>
      <c r="T16" s="12" t="n">
        <f aca="false">MAX(0,P16/G16-Q16)</f>
        <v>145.641504141826</v>
      </c>
      <c r="U16" s="12" t="n">
        <f aca="false">SQRT(R16^2+S16^2+T16^2+2*Assumptions!$B$26*R16*S16+2*Assumptions!$B$27*R16*T16+2*Assumptions!$B$28*S16*T16)</f>
        <v>10081.5817111951</v>
      </c>
      <c r="V16" s="48" t="n">
        <f aca="false">U16*G16+V17</f>
        <v>156244.047043845</v>
      </c>
      <c r="W16" s="48" t="n">
        <f aca="false">W15+B15*J15*G15</f>
        <v>17201.2602651292</v>
      </c>
      <c r="X16" s="12" t="n">
        <f aca="false">Assumptions!$B$29*V16/G16</f>
        <v>10402.8803216299</v>
      </c>
      <c r="Y16" s="12" t="n">
        <f aca="false">W16/G16</f>
        <v>19087.9434347485</v>
      </c>
      <c r="Z16" s="12" t="n">
        <f aca="false">Y16-Q16</f>
        <v>2448.71148047195</v>
      </c>
      <c r="AA16" s="12" t="n">
        <f aca="false">IF(B16&lt;=0,0,MAX(0,(U16+X16-Z16)/B16))</f>
        <v>20213.0663797369</v>
      </c>
    </row>
    <row r="17" customFormat="false" ht="15" hidden="false" customHeight="true" outlineLevel="0" collapsed="false">
      <c r="A17" s="1" t="n">
        <v>5</v>
      </c>
      <c r="B17" s="32" t="n">
        <f aca="false">INDEX(Surface_Engine!$L$12:$L$72,$A17+1)*IF($A17&lt;$B$7,INDEX(Surface_Engine!$E$12:$E$72,$A17+1),INDEX(Surface_Engine!$E$12:$E$72,$B$7+1))</f>
        <v>0.873874922230056</v>
      </c>
      <c r="C17" s="32" t="n">
        <f aca="false">INDEX(Panel_Reserving!$D$8:$D$68,$A17+1)*IF($A17&lt;$B$7,INDEX(Surface_Engine!$E$12:$E$72,$A17+1),INDEX(Surface_Engine!$E$12:$E$72,$B$7+1))</f>
        <v>0.879370239802948</v>
      </c>
      <c r="D17" s="32" t="n">
        <f aca="false">INDEX(Panel_Reserving!$L$8:$L$68,$A17+1)*IF($A17&lt;$B$7,INDEX(Surface_Engine!$E$12:$E$72,$A17+1),INDEX(Surface_Engine!$E$12:$E$72,$B$7+1))</f>
        <v>0.876377541551013</v>
      </c>
      <c r="E17" s="32" t="n">
        <f aca="false">INDEX(Surface_Engine!$L$12:$L$72,$A17+1)*IF($A17&lt;$B$7,INDEX(Surface_Engine!$Y$12:$Y$72,$A17+1),INDEX(Surface_Engine!$Y$12:$Y$72,$B$7+1))</f>
        <v>0.828909644494902</v>
      </c>
      <c r="F17" s="32" t="n">
        <f aca="false">INDEX(Surface_Engine!$L$12:$L$72,$A17+1)*IF($A17&lt;$B$7,INDEX(Surface_Engine!$Z$12:$Z$72,$A17+1),INDEX(Surface_Engine!$Z$12:$Z$72,$B$7+1))</f>
        <v>0.920628204670913</v>
      </c>
      <c r="G17" s="30" t="n">
        <f aca="false">INDEX(Surface_Engine!$B$12:$B$72,$A17+1)</f>
        <v>0.876603781957048</v>
      </c>
      <c r="H17" s="48" t="n">
        <f aca="false">IF($A17&lt;$B$7,INDEX(Surface_Engine!$D$12:$D$72,$A17+1)+($B$9*12)*INDEX(Surface_Engine!$F$12:$F$72,$A17+1)-($B$9*12),$B$8*12*INDEX(Surface_Engine!$C$12:$C$72,$A17+1)/(1+Assumptions!$B$10)^$B$7+INDEX(Surface_Engine!$D$12:$D$72,$A17+1))</f>
        <v>-6504.95009803285</v>
      </c>
      <c r="I17" s="48" t="n">
        <f aca="false">IF($A17&lt;$B$7,INDEX(Surface_Engine!$D$12:$D$72,$A17+1)*(1+Assumptions!$B$24)+($B$9*12)*INDEX(Surface_Engine!$F$12:$F$72,$A17+1)-($B$9*12),$B$8*12*INDEX(Surface_Engine!$C$12:$C$72,$A17+1)/(1+Assumptions!$B$10)^$B$7+INDEX(Surface_Engine!$D$12:$D$72,$A17+1)*(1+Assumptions!$B$24))</f>
        <v>-6495.67255068715</v>
      </c>
      <c r="J17" s="48" t="n">
        <f aca="false">IF($A17&lt;$B$7,($B$9*12)-($B$9*12)*INDEX(Surface_Engine!$F$12:$F$72,$A17+1)-INDEX(Surface_Engine!$D$12:$D$72,$A17+1),-($B$8*12*INDEX(Surface_Engine!$C$12:$C$72,$A17+1)/(1+Assumptions!$B$10)^$B$7+INDEX(Surface_Engine!$D$12:$D$72,$A17+1)))</f>
        <v>6504.95009803285</v>
      </c>
      <c r="K17" s="48" t="n">
        <f aca="false">B17*H17*G17+K18</f>
        <v>20226.9499568864</v>
      </c>
      <c r="L17" s="48" t="n">
        <f aca="false">C17*H17*G17+L18</f>
        <v>28588.5196656168</v>
      </c>
      <c r="M17" s="48" t="n">
        <f aca="false">D17*H17*G17+M18</f>
        <v>35480.0483649812</v>
      </c>
      <c r="N17" s="48" t="n">
        <f aca="false">E17*H17*G17+N18</f>
        <v>17317.6044604669</v>
      </c>
      <c r="O17" s="48" t="n">
        <f aca="false">F17*H17*G17+O18</f>
        <v>23486.4749767478</v>
      </c>
      <c r="P17" s="48" t="n">
        <f aca="false">B17*I17*G17+P18</f>
        <v>20350.9180126035</v>
      </c>
      <c r="Q17" s="12" t="n">
        <f aca="false">K17/G17</f>
        <v>23074.221641765</v>
      </c>
      <c r="R17" s="12" t="n">
        <f aca="false">IF(C17&lt;=0,0,MAX(0,(B17/C17)*L17/G17-Q17))</f>
        <v>9334.79400353594</v>
      </c>
      <c r="S17" s="12" t="n">
        <f aca="false">MAX(IF(E17&lt;=0,0,MAX(0,(B17/E17)*N17/G17-Q17)),IF(F17&lt;=0,0,MAX(0,(B17/F17)*O17/G17-Q17)),IF($A17&lt;$B$7,MAX(0,-Assumptions!$B$22*Q17),0))</f>
        <v>2357.71893052661</v>
      </c>
      <c r="T17" s="12" t="n">
        <f aca="false">MAX(0,P17/G17-Q17)</f>
        <v>141.418572756258</v>
      </c>
      <c r="U17" s="12" t="n">
        <f aca="false">SQRT(R17^2+S17^2+T17^2+2*Assumptions!$B$26*R17*S17+2*Assumptions!$B$27*R17*T17+2*Assumptions!$B$28*S17*T17)</f>
        <v>10233.0400660057</v>
      </c>
      <c r="V17" s="48" t="n">
        <f aca="false">U17*G17+V18</f>
        <v>147158.94515787</v>
      </c>
      <c r="W17" s="48" t="n">
        <f aca="false">W16+B16*J16*G16</f>
        <v>22433.6268382276</v>
      </c>
      <c r="X17" s="12" t="n">
        <f aca="false">Assumptions!$B$29*V17/G17</f>
        <v>10072.4373898547</v>
      </c>
      <c r="Y17" s="12" t="n">
        <f aca="false">W17/G17</f>
        <v>25591.5241297998</v>
      </c>
      <c r="Z17" s="12" t="n">
        <f aca="false">Y17-Q17</f>
        <v>2517.30248803481</v>
      </c>
      <c r="AA17" s="12" t="n">
        <f aca="false">IF(B17&lt;=0,0,MAX(0,(U17+X17-Z17)/B17))</f>
        <v>20355.5160072927</v>
      </c>
    </row>
    <row r="18" customFormat="false" ht="15" hidden="false" customHeight="true" outlineLevel="0" collapsed="false">
      <c r="A18" s="1" t="n">
        <v>6</v>
      </c>
      <c r="B18" s="32" t="n">
        <f aca="false">INDEX(Surface_Engine!$L$12:$L$72,$A18+1)*IF($A18&lt;$B$7,INDEX(Surface_Engine!$E$12:$E$72,$A18+1),INDEX(Surface_Engine!$E$12:$E$72,$B$7+1))</f>
        <v>0.858567656672851</v>
      </c>
      <c r="C18" s="32" t="n">
        <f aca="false">INDEX(Panel_Reserving!$D$8:$D$68,$A18+1)*IF($A18&lt;$B$7,INDEX(Surface_Engine!$E$12:$E$72,$A18+1),INDEX(Surface_Engine!$E$12:$E$72,$B$7+1))</f>
        <v>0.86544696635803</v>
      </c>
      <c r="D18" s="32" t="n">
        <f aca="false">INDEX(Panel_Reserving!$L$8:$L$68,$A18+1)*IF($A18&lt;$B$7,INDEX(Surface_Engine!$E$12:$E$72,$A18+1),INDEX(Surface_Engine!$E$12:$E$72,$B$7+1))</f>
        <v>0.861948909068439</v>
      </c>
      <c r="E18" s="32" t="n">
        <f aca="false">INDEX(Surface_Engine!$L$12:$L$72,$A18+1)*IF($A18&lt;$B$7,INDEX(Surface_Engine!$Y$12:$Y$72,$A18+1),INDEX(Surface_Engine!$Y$12:$Y$72,$B$7+1))</f>
        <v>0.810650510995486</v>
      </c>
      <c r="F18" s="32" t="n">
        <f aca="false">INDEX(Surface_Engine!$L$12:$L$72,$A18+1)*IF($A18&lt;$B$7,INDEX(Surface_Engine!$Z$12:$Z$72,$A18+1),INDEX(Surface_Engine!$Z$12:$Z$72,$B$7+1))</f>
        <v>0.908655262205364</v>
      </c>
      <c r="G18" s="30" t="n">
        <f aca="false">INDEX(Surface_Engine!$B$12:$B$72,$A18+1)</f>
        <v>0.851971578753519</v>
      </c>
      <c r="H18" s="48" t="n">
        <f aca="false">IF($A18&lt;$B$7,INDEX(Surface_Engine!$D$12:$D$72,$A18+1)+($B$9*12)*INDEX(Surface_Engine!$F$12:$F$72,$A18+1)-($B$9*12),$B$8*12*INDEX(Surface_Engine!$C$12:$C$72,$A18+1)/(1+Assumptions!$B$10)^$B$7+INDEX(Surface_Engine!$D$12:$D$72,$A18+1))</f>
        <v>-6502.63071119643</v>
      </c>
      <c r="I18" s="48" t="n">
        <f aca="false">IF($A18&lt;$B$7,INDEX(Surface_Engine!$D$12:$D$72,$A18+1)*(1+Assumptions!$B$24)+($B$9*12)*INDEX(Surface_Engine!$F$12:$F$72,$A18+1)-($B$9*12),$B$8*12*INDEX(Surface_Engine!$C$12:$C$72,$A18+1)/(1+Assumptions!$B$10)^$B$7+INDEX(Surface_Engine!$D$12:$D$72,$A18+1)*(1+Assumptions!$B$24))</f>
        <v>-6493.12122516708</v>
      </c>
      <c r="J18" s="48" t="n">
        <f aca="false">IF($A18&lt;$B$7,($B$9*12)-($B$9*12)*INDEX(Surface_Engine!$F$12:$F$72,$A18+1)-INDEX(Surface_Engine!$D$12:$D$72,$A18+1),-($B$8*12*INDEX(Surface_Engine!$C$12:$C$72,$A18+1)/(1+Assumptions!$B$10)^$B$7+INDEX(Surface_Engine!$D$12:$D$72,$A18+1)))</f>
        <v>6502.63071119643</v>
      </c>
      <c r="K18" s="48" t="n">
        <f aca="false">B18*H18*G18+K19</f>
        <v>25210.0153417874</v>
      </c>
      <c r="L18" s="48" t="n">
        <f aca="false">C18*H18*G18+L19</f>
        <v>33602.9208012986</v>
      </c>
      <c r="M18" s="48" t="n">
        <f aca="false">D18*H18*G18+M19</f>
        <v>40477.3843455849</v>
      </c>
      <c r="N18" s="48" t="n">
        <f aca="false">E18*H18*G18+N19</f>
        <v>22044.2659673018</v>
      </c>
      <c r="O18" s="48" t="n">
        <f aca="false">F18*H18*G18+O19</f>
        <v>28736.139914325</v>
      </c>
      <c r="P18" s="48" t="n">
        <f aca="false">B18*I18*G18+P19</f>
        <v>25326.8764060075</v>
      </c>
      <c r="Q18" s="12" t="n">
        <f aca="false">K18/G18</f>
        <v>29590.2069628555</v>
      </c>
      <c r="R18" s="12" t="n">
        <f aca="false">IF(C18&lt;=0,0,MAX(0,(B18/C18)*L18/G18-Q18))</f>
        <v>9537.64306734251</v>
      </c>
      <c r="S18" s="12" t="n">
        <f aca="false">MAX(IF(E18&lt;=0,0,MAX(0,(B18/E18)*N18/G18-Q18)),IF(F18&lt;=0,0,MAX(0,(B18/F18)*O18/G18-Q18)),IF($A18&lt;$B$7,MAX(0,-Assumptions!$B$22*Q18),0))</f>
        <v>2279.54624024487</v>
      </c>
      <c r="T18" s="12" t="n">
        <f aca="false">MAX(0,P18/G18-Q18)</f>
        <v>137.165449099928</v>
      </c>
      <c r="U18" s="12" t="n">
        <f aca="false">SQRT(R18^2+S18^2+T18^2+2*Assumptions!$B$26*R18*S18+2*Assumptions!$B$27*R18*T18+2*Assumptions!$B$28*S18*T18)</f>
        <v>10393.2344547055</v>
      </c>
      <c r="V18" s="48" t="n">
        <f aca="false">U18*G18+V19</f>
        <v>138188.623535091</v>
      </c>
      <c r="W18" s="48" t="n">
        <f aca="false">W17+B17*J17*G17</f>
        <v>27416.6922231286</v>
      </c>
      <c r="X18" s="12" t="n">
        <f aca="false">Assumptions!$B$29*V18/G18</f>
        <v>9731.91784664474</v>
      </c>
      <c r="Y18" s="12" t="n">
        <f aca="false">W18/G18</f>
        <v>32180.2897031385</v>
      </c>
      <c r="Z18" s="12" t="n">
        <f aca="false">Y18-Q18</f>
        <v>2590.08274028306</v>
      </c>
      <c r="AA18" s="12" t="n">
        <f aca="false">IF(B18&lt;=0,0,MAX(0,(U18+X18-Z18)/B18))</f>
        <v>20423.6316436839</v>
      </c>
    </row>
    <row r="19" customFormat="false" ht="15" hidden="false" customHeight="true" outlineLevel="0" collapsed="false">
      <c r="A19" s="1" t="n">
        <v>7</v>
      </c>
      <c r="B19" s="32" t="n">
        <f aca="false">INDEX(Surface_Engine!$L$12:$L$72,$A19+1)*IF($A19&lt;$B$7,INDEX(Surface_Engine!$E$12:$E$72,$A19+1),INDEX(Surface_Engine!$E$12:$E$72,$B$7+1))</f>
        <v>0.84276021626017</v>
      </c>
      <c r="C19" s="32" t="n">
        <f aca="false">INDEX(Panel_Reserving!$D$8:$D$68,$A19+1)*IF($A19&lt;$B$7,INDEX(Surface_Engine!$E$12:$E$72,$A19+1),INDEX(Surface_Engine!$E$12:$E$72,$B$7+1))</f>
        <v>0.851124574320869</v>
      </c>
      <c r="D19" s="32" t="n">
        <f aca="false">INDEX(Panel_Reserving!$L$8:$L$68,$A19+1)*IF($A19&lt;$B$7,INDEX(Surface_Engine!$E$12:$E$72,$A19+1),INDEX(Surface_Engine!$E$12:$E$72,$B$7+1))</f>
        <v>0.847180587924557</v>
      </c>
      <c r="E19" s="32" t="n">
        <f aca="false">INDEX(Surface_Engine!$L$12:$L$72,$A19+1)*IF($A19&lt;$B$7,INDEX(Surface_Engine!$Y$12:$Y$72,$A19+1),INDEX(Surface_Engine!$Y$12:$Y$72,$B$7+1))</f>
        <v>0.792071493098381</v>
      </c>
      <c r="F19" s="32" t="n">
        <f aca="false">INDEX(Surface_Engine!$L$12:$L$72,$A19+1)*IF($A19&lt;$B$7,INDEX(Surface_Engine!$Z$12:$Z$72,$A19+1),INDEX(Surface_Engine!$Z$12:$Z$72,$B$7+1))</f>
        <v>0.896021169380392</v>
      </c>
      <c r="G19" s="30" t="n">
        <f aca="false">INDEX(Surface_Engine!$B$12:$B$72,$A19+1)</f>
        <v>0.827041278453181</v>
      </c>
      <c r="H19" s="48" t="n">
        <f aca="false">IF($A19&lt;$B$7,INDEX(Surface_Engine!$D$12:$D$72,$A19+1)+($B$9*12)*INDEX(Surface_Engine!$F$12:$F$72,$A19+1)-($B$9*12),$B$8*12*INDEX(Surface_Engine!$C$12:$C$72,$A19+1)/(1+Assumptions!$B$10)^$B$7+INDEX(Surface_Engine!$D$12:$D$72,$A19+1))</f>
        <v>-6500.25333968909</v>
      </c>
      <c r="I19" s="48" t="n">
        <f aca="false">IF($A19&lt;$B$7,INDEX(Surface_Engine!$D$12:$D$72,$A19+1)*(1+Assumptions!$B$24)+($B$9*12)*INDEX(Surface_Engine!$F$12:$F$72,$A19+1)-($B$9*12),$B$8*12*INDEX(Surface_Engine!$C$12:$C$72,$A19+1)/(1+Assumptions!$B$10)^$B$7+INDEX(Surface_Engine!$D$12:$D$72,$A19+1)*(1+Assumptions!$B$24))</f>
        <v>-6490.50611650901</v>
      </c>
      <c r="J19" s="48" t="n">
        <f aca="false">IF($A19&lt;$B$7,($B$9*12)-($B$9*12)*INDEX(Surface_Engine!$F$12:$F$72,$A19+1)-INDEX(Surface_Engine!$D$12:$D$72,$A19+1),-($B$8*12*INDEX(Surface_Engine!$C$12:$C$72,$A19+1)/(1+Assumptions!$B$10)^$B$7+INDEX(Surface_Engine!$D$12:$D$72,$A19+1)))</f>
        <v>6500.25333968909</v>
      </c>
      <c r="K19" s="48" t="n">
        <f aca="false">B19*H19*G19+K20</f>
        <v>29966.528714391</v>
      </c>
      <c r="L19" s="48" t="n">
        <f aca="false">C19*H19*G19+L20</f>
        <v>38397.5459386042</v>
      </c>
      <c r="M19" s="48" t="n">
        <f aca="false">D19*H19*G19+M20</f>
        <v>45252.6300476803</v>
      </c>
      <c r="N19" s="48" t="n">
        <f aca="false">E19*H19*G19+N20</f>
        <v>26535.3156429912</v>
      </c>
      <c r="O19" s="48" t="n">
        <f aca="false">F19*H19*G19+O20</f>
        <v>33770.1414541866</v>
      </c>
      <c r="P19" s="48" t="n">
        <f aca="false">B19*I19*G19+P20</f>
        <v>30076.4338250172</v>
      </c>
      <c r="Q19" s="12" t="n">
        <f aca="false">K19/G19</f>
        <v>36233.4136095813</v>
      </c>
      <c r="R19" s="12" t="n">
        <f aca="false">IF(C19&lt;=0,0,MAX(0,(B19/C19)*L19/G19-Q19))</f>
        <v>9737.92802167391</v>
      </c>
      <c r="S19" s="12" t="n">
        <f aca="false">MAX(IF(E19&lt;=0,0,MAX(0,(B19/E19)*N19/G19-Q19)),IF(F19&lt;=0,0,MAX(0,(B19/F19)*O19/G19-Q19)),IF($A19&lt;$B$7,MAX(0,-Assumptions!$B$22*Q19),0))</f>
        <v>2171.91178740201</v>
      </c>
      <c r="T19" s="12" t="n">
        <f aca="false">MAX(0,P19/G19-Q19)</f>
        <v>132.889510462868</v>
      </c>
      <c r="U19" s="12" t="n">
        <f aca="false">SQRT(R19^2+S19^2+T19^2+2*Assumptions!$B$26*R19*S19+2*Assumptions!$B$27*R19*T19+2*Assumptions!$B$28*S19*T19)</f>
        <v>10539.104395307</v>
      </c>
      <c r="V19" s="48" t="n">
        <f aca="false">U19*G19+V20</f>
        <v>129333.88316836</v>
      </c>
      <c r="W19" s="48" t="n">
        <f aca="false">W18+B18*J18*G18</f>
        <v>32173.2055957322</v>
      </c>
      <c r="X19" s="12" t="n">
        <f aca="false">Assumptions!$B$29*V19/G19</f>
        <v>9382.88473897607</v>
      </c>
      <c r="Y19" s="12" t="n">
        <f aca="false">W19/G19</f>
        <v>38901.5717037799</v>
      </c>
      <c r="Z19" s="12" t="n">
        <f aca="false">Y19-Q19</f>
        <v>2668.15809419857</v>
      </c>
      <c r="AA19" s="12" t="n">
        <f aca="false">IF(B19&lt;=0,0,MAX(0,(U19+X19-Z19)/B19))</f>
        <v>20473.0013439054</v>
      </c>
    </row>
    <row r="20" customFormat="false" ht="15" hidden="false" customHeight="true" outlineLevel="0" collapsed="false">
      <c r="A20" s="1" t="n">
        <v>8</v>
      </c>
      <c r="B20" s="32" t="n">
        <f aca="false">INDEX(Surface_Engine!$L$12:$L$72,$A20+1)*IF($A20&lt;$B$7,INDEX(Surface_Engine!$E$12:$E$72,$A20+1),INDEX(Surface_Engine!$E$12:$E$72,$B$7+1))</f>
        <v>0.826387919730429</v>
      </c>
      <c r="C20" s="32" t="n">
        <f aca="false">INDEX(Panel_Reserving!$D$8:$D$68,$A20+1)*IF($A20&lt;$B$7,INDEX(Surface_Engine!$E$12:$E$72,$A20+1),INDEX(Surface_Engine!$E$12:$E$72,$B$7+1))</f>
        <v>0.836347694913736</v>
      </c>
      <c r="D20" s="32" t="n">
        <f aca="false">INDEX(Panel_Reserving!$L$8:$L$68,$A20+1)*IF($A20&lt;$B$7,INDEX(Surface_Engine!$E$12:$E$72,$A20+1),INDEX(Surface_Engine!$E$12:$E$72,$B$7+1))</f>
        <v>0.832029956571166</v>
      </c>
      <c r="E20" s="32" t="n">
        <f aca="false">INDEX(Surface_Engine!$L$12:$L$72,$A20+1)*IF($A20&lt;$B$7,INDEX(Surface_Engine!$Y$12:$Y$72,$A20+1),INDEX(Surface_Engine!$Y$12:$Y$72,$B$7+1))</f>
        <v>0.773117560229002</v>
      </c>
      <c r="F20" s="32" t="n">
        <f aca="false">INDEX(Surface_Engine!$L$12:$L$72,$A20+1)*IF($A20&lt;$B$7,INDEX(Surface_Engine!$Z$12:$Z$72,$A20+1),INDEX(Surface_Engine!$Z$12:$Z$72,$B$7+1))</f>
        <v>0.882648580300603</v>
      </c>
      <c r="G20" s="30" t="n">
        <f aca="false">INDEX(Surface_Engine!$B$12:$B$72,$A20+1)</f>
        <v>0.801904550348561</v>
      </c>
      <c r="H20" s="48" t="n">
        <f aca="false">IF($A20&lt;$B$7,INDEX(Surface_Engine!$D$12:$D$72,$A20+1)+($B$9*12)*INDEX(Surface_Engine!$F$12:$F$72,$A20+1)-($B$9*12),$B$8*12*INDEX(Surface_Engine!$C$12:$C$72,$A20+1)/(1+Assumptions!$B$10)^$B$7+INDEX(Surface_Engine!$D$12:$D$72,$A20+1))</f>
        <v>-6497.81653389407</v>
      </c>
      <c r="I20" s="48" t="n">
        <f aca="false">IF($A20&lt;$B$7,INDEX(Surface_Engine!$D$12:$D$72,$A20+1)*(1+Assumptions!$B$24)+($B$9*12)*INDEX(Surface_Engine!$F$12:$F$72,$A20+1)-($B$9*12),$B$8*12*INDEX(Surface_Engine!$C$12:$C$72,$A20+1)/(1+Assumptions!$B$10)^$B$7+INDEX(Surface_Engine!$D$12:$D$72,$A20+1)*(1+Assumptions!$B$24))</f>
        <v>-6487.82563013449</v>
      </c>
      <c r="J20" s="48" t="n">
        <f aca="false">IF($A20&lt;$B$7,($B$9*12)-($B$9*12)*INDEX(Surface_Engine!$F$12:$F$72,$A20+1)-INDEX(Surface_Engine!$D$12:$D$72,$A20+1),-($B$8*12*INDEX(Surface_Engine!$C$12:$C$72,$A20+1)/(1+Assumptions!$B$10)^$B$7+INDEX(Surface_Engine!$D$12:$D$72,$A20+1)))</f>
        <v>6497.81653389407</v>
      </c>
      <c r="K20" s="48" t="n">
        <f aca="false">B20*H20*G20+K21</f>
        <v>34497.188954972</v>
      </c>
      <c r="L20" s="48" t="n">
        <f aca="false">C20*H20*G20+L21</f>
        <v>42973.1727827011</v>
      </c>
      <c r="M20" s="48" t="n">
        <f aca="false">D20*H20*G20+M21</f>
        <v>49807.0541083397</v>
      </c>
      <c r="N20" s="48" t="n">
        <f aca="false">E20*H20*G20+N21</f>
        <v>30793.4744315054</v>
      </c>
      <c r="O20" s="48" t="n">
        <f aca="false">F20*H20*G20+O21</f>
        <v>38587.1313980705</v>
      </c>
      <c r="P20" s="48" t="n">
        <f aca="false">B20*I20*G20+P21</f>
        <v>34600.3002755395</v>
      </c>
      <c r="Q20" s="12" t="n">
        <f aca="false">K20/G20</f>
        <v>43019.0712098805</v>
      </c>
      <c r="R20" s="12" t="n">
        <f aca="false">IF(C20&lt;=0,0,MAX(0,(B20/C20)*L20/G20-Q20))</f>
        <v>9931.64483910718</v>
      </c>
      <c r="S20" s="12" t="n">
        <f aca="false">MAX(IF(E20&lt;=0,0,MAX(0,(B20/E20)*N20/G20-Q20)),IF(F20&lt;=0,0,MAX(0,(B20/F20)*O20/G20-Q20)),IF($A20&lt;$B$7,MAX(0,-Assumptions!$B$22*Q20),0))</f>
        <v>2033.12315064987</v>
      </c>
      <c r="T20" s="12" t="n">
        <f aca="false">MAX(0,P20/G20-Q20)</f>
        <v>128.583034630159</v>
      </c>
      <c r="U20" s="12" t="n">
        <f aca="false">SQRT(R20^2+S20^2+T20^2+2*Assumptions!$B$26*R20*S20+2*Assumptions!$B$27*R20*T20+2*Assumptions!$B$28*S20*T20)</f>
        <v>10666.9473954129</v>
      </c>
      <c r="V20" s="48" t="n">
        <f aca="false">U20*G20+V21</f>
        <v>120617.608795514</v>
      </c>
      <c r="W20" s="48" t="n">
        <f aca="false">W19+B19*J19*G19</f>
        <v>36703.8658363132</v>
      </c>
      <c r="X20" s="12" t="n">
        <f aca="false">Assumptions!$B$29*V20/G20</f>
        <v>9024.83534304068</v>
      </c>
      <c r="Y20" s="12" t="n">
        <f aca="false">W20/G20</f>
        <v>45770.8661465498</v>
      </c>
      <c r="Z20" s="12" t="n">
        <f aca="false">Y20-Q20</f>
        <v>2751.79493666924</v>
      </c>
      <c r="AA20" s="12" t="n">
        <f aca="false">IF(B20&lt;=0,0,MAX(0,(U20+X20-Z20)/B20))</f>
        <v>20498.8328088221</v>
      </c>
    </row>
    <row r="21" customFormat="false" ht="15" hidden="false" customHeight="true" outlineLevel="0" collapsed="false">
      <c r="A21" s="1" t="n">
        <v>9</v>
      </c>
      <c r="B21" s="32" t="n">
        <f aca="false">INDEX(Surface_Engine!$L$12:$L$72,$A21+1)*IF($A21&lt;$B$7,INDEX(Surface_Engine!$E$12:$E$72,$A21+1),INDEX(Surface_Engine!$E$12:$E$72,$B$7+1))</f>
        <v>0.809383922915231</v>
      </c>
      <c r="C21" s="32" t="n">
        <f aca="false">INDEX(Panel_Reserving!$D$8:$D$68,$A21+1)*IF($A21&lt;$B$7,INDEX(Surface_Engine!$E$12:$E$72,$A21+1),INDEX(Surface_Engine!$E$12:$E$72,$B$7+1))</f>
        <v>0.821058396485325</v>
      </c>
      <c r="D21" s="32" t="n">
        <f aca="false">INDEX(Panel_Reserving!$L$8:$L$68,$A21+1)*IF($A21&lt;$B$7,INDEX(Surface_Engine!$E$12:$E$72,$A21+1),INDEX(Surface_Engine!$E$12:$E$72,$B$7+1))</f>
        <v>0.816454166461954</v>
      </c>
      <c r="E21" s="32" t="n">
        <f aca="false">INDEX(Surface_Engine!$L$12:$L$72,$A21+1)*IF($A21&lt;$B$7,INDEX(Surface_Engine!$Y$12:$Y$72,$A21+1),INDEX(Surface_Engine!$Y$12:$Y$72,$B$7+1))</f>
        <v>0.753732725546461</v>
      </c>
      <c r="F21" s="32" t="n">
        <f aca="false">INDEX(Surface_Engine!$L$12:$L$72,$A21+1)*IF($A21&lt;$B$7,INDEX(Surface_Engine!$Z$12:$Z$72,$A21+1),INDEX(Surface_Engine!$Z$12:$Z$72,$B$7+1))</f>
        <v>0.868456486276117</v>
      </c>
      <c r="G21" s="30" t="n">
        <f aca="false">INDEX(Surface_Engine!$B$12:$B$72,$A21+1)</f>
        <v>0.776739422112084</v>
      </c>
      <c r="H21" s="48" t="n">
        <f aca="false">IF($A21&lt;$B$7,INDEX(Surface_Engine!$D$12:$D$72,$A21+1)+($B$9*12)*INDEX(Surface_Engine!$F$12:$F$72,$A21+1)-($B$9*12),$B$8*12*INDEX(Surface_Engine!$C$12:$C$72,$A21+1)/(1+Assumptions!$B$10)^$B$7+INDEX(Surface_Engine!$D$12:$D$72,$A21+1))</f>
        <v>-6495.31880795418</v>
      </c>
      <c r="I21" s="48" t="n">
        <f aca="false">IF($A21&lt;$B$7,INDEX(Surface_Engine!$D$12:$D$72,$A21+1)*(1+Assumptions!$B$24)+($B$9*12)*INDEX(Surface_Engine!$F$12:$F$72,$A21+1)-($B$9*12),$B$8*12*INDEX(Surface_Engine!$C$12:$C$72,$A21+1)/(1+Assumptions!$B$10)^$B$7+INDEX(Surface_Engine!$D$12:$D$72,$A21+1)*(1+Assumptions!$B$24))</f>
        <v>-6485.07813160061</v>
      </c>
      <c r="J21" s="48" t="n">
        <f aca="false">IF($A21&lt;$B$7,($B$9*12)-($B$9*12)*INDEX(Surface_Engine!$F$12:$F$72,$A21+1)-INDEX(Surface_Engine!$D$12:$D$72,$A21+1),-($B$8*12*INDEX(Surface_Engine!$C$12:$C$72,$A21+1)/(1+Assumptions!$B$10)^$B$7+INDEX(Surface_Engine!$D$12:$D$72,$A21+1)))</f>
        <v>6495.31880795418</v>
      </c>
      <c r="K21" s="48" t="n">
        <f aca="false">B21*H21*G21+K22</f>
        <v>38803.1895221118</v>
      </c>
      <c r="L21" s="48" t="n">
        <f aca="false">C21*H21*G21+L22</f>
        <v>47331.0700397174</v>
      </c>
      <c r="M21" s="48" t="n">
        <f aca="false">D21*H21*G21+M22</f>
        <v>54142.4532342628</v>
      </c>
      <c r="N21" s="48" t="n">
        <f aca="false">E21*H21*G21+N22</f>
        <v>34821.9029374519</v>
      </c>
      <c r="O21" s="48" t="n">
        <f aca="false">F21*H21*G21+O22</f>
        <v>43186.2853748122</v>
      </c>
      <c r="P21" s="48" t="n">
        <f aca="false">B21*I21*G21+P22</f>
        <v>38899.6800282826</v>
      </c>
      <c r="Q21" s="12" t="n">
        <f aca="false">K21/G21</f>
        <v>49956.5084730725</v>
      </c>
      <c r="R21" s="12" t="n">
        <f aca="false">IF(C21&lt;=0,0,MAX(0,(B21/C21)*L21/G21-Q21))</f>
        <v>10112.6436854544</v>
      </c>
      <c r="S21" s="12" t="n">
        <f aca="false">MAX(IF(E21&lt;=0,0,MAX(0,(B21/E21)*N21/G21-Q21)),IF(F21&lt;=0,0,MAX(0,(B21/F21)*O21/G21-Q21)),IF($A21&lt;$B$7,MAX(0,-Assumptions!$B$22*Q21),0))</f>
        <v>1861.05798656732</v>
      </c>
      <c r="T21" s="12" t="n">
        <f aca="false">MAX(0,P21/G21-Q21)</f>
        <v>124.225066249943</v>
      </c>
      <c r="U21" s="12" t="n">
        <f aca="false">SQRT(R21^2+S21^2+T21^2+2*Assumptions!$B$26*R21*S21+2*Assumptions!$B$27*R21*T21+2*Assumptions!$B$28*S21*T21)</f>
        <v>10770.9772593319</v>
      </c>
      <c r="V21" s="48" t="n">
        <f aca="false">U21*G21+V22</f>
        <v>112063.735140804</v>
      </c>
      <c r="W21" s="48" t="n">
        <f aca="false">W20+B20*J20*G20</f>
        <v>41009.866403453</v>
      </c>
      <c r="X21" s="12" t="n">
        <f aca="false">Assumptions!$B$29*V21/G21</f>
        <v>8656.47335133965</v>
      </c>
      <c r="Y21" s="12" t="n">
        <f aca="false">W21/G21</f>
        <v>52797.4572115064</v>
      </c>
      <c r="Z21" s="12" t="n">
        <f aca="false">Y21-Q21</f>
        <v>2840.94873843389</v>
      </c>
      <c r="AA21" s="12" t="n">
        <f aca="false">IF(B21&lt;=0,0,MAX(0,(U21+X21-Z21)/B21))</f>
        <v>20492.749364846</v>
      </c>
    </row>
    <row r="22" customFormat="false" ht="15" hidden="false" customHeight="true" outlineLevel="0" collapsed="false">
      <c r="A22" s="1" t="n">
        <v>10</v>
      </c>
      <c r="B22" s="32" t="n">
        <f aca="false">INDEX(Surface_Engine!$L$12:$L$72,$A22+1)*IF($A22&lt;$B$7,INDEX(Surface_Engine!$E$12:$E$72,$A22+1),INDEX(Surface_Engine!$E$12:$E$72,$B$7+1))</f>
        <v>0.791679736545108</v>
      </c>
      <c r="C22" s="32" t="n">
        <f aca="false">INDEX(Panel_Reserving!$D$8:$D$68,$A22+1)*IF($A22&lt;$B$7,INDEX(Surface_Engine!$E$12:$E$72,$A22+1),INDEX(Surface_Engine!$E$12:$E$72,$B$7+1))</f>
        <v>0.80519643036252</v>
      </c>
      <c r="D22" s="32" t="n">
        <f aca="false">INDEX(Panel_Reserving!$L$8:$L$68,$A22+1)*IF($A22&lt;$B$7,INDEX(Surface_Engine!$E$12:$E$72,$A22+1),INDEX(Surface_Engine!$E$12:$E$72,$B$7+1))</f>
        <v>0.80041042893567</v>
      </c>
      <c r="E22" s="32" t="n">
        <f aca="false">INDEX(Surface_Engine!$L$12:$L$72,$A22+1)*IF($A22&lt;$B$7,INDEX(Surface_Engine!$Y$12:$Y$72,$A22+1),INDEX(Surface_Engine!$Y$12:$Y$72,$B$7+1))</f>
        <v>0.733860559838475</v>
      </c>
      <c r="F22" s="32" t="n">
        <f aca="false">INDEX(Surface_Engine!$L$12:$L$72,$A22+1)*IF($A22&lt;$B$7,INDEX(Surface_Engine!$Z$12:$Z$72,$A22+1),INDEX(Surface_Engine!$Z$12:$Z$72,$B$7+1))</f>
        <v>0.853360705573894</v>
      </c>
      <c r="G22" s="30" t="n">
        <f aca="false">INDEX(Surface_Engine!$B$12:$B$72,$A22+1)</f>
        <v>0.750554126131835</v>
      </c>
      <c r="H22" s="48" t="n">
        <f aca="false">IF($A22&lt;$B$7,INDEX(Surface_Engine!$D$12:$D$72,$A22+1)+($B$9*12)*INDEX(Surface_Engine!$F$12:$F$72,$A22+1)-($B$9*12),$B$8*12*INDEX(Surface_Engine!$C$12:$C$72,$A22+1)/(1+Assumptions!$B$10)^$B$7+INDEX(Surface_Engine!$D$12:$D$72,$A22+1))</f>
        <v>-6492.75863886578</v>
      </c>
      <c r="I22" s="48" t="n">
        <f aca="false">IF($A22&lt;$B$7,INDEX(Surface_Engine!$D$12:$D$72,$A22+1)*(1+Assumptions!$B$24)+($B$9*12)*INDEX(Surface_Engine!$F$12:$F$72,$A22+1)-($B$9*12),$B$8*12*INDEX(Surface_Engine!$C$12:$C$72,$A22+1)/(1+Assumptions!$B$10)^$B$7+INDEX(Surface_Engine!$D$12:$D$72,$A22+1)*(1+Assumptions!$B$24))</f>
        <v>-6482.26194560337</v>
      </c>
      <c r="J22" s="48" t="n">
        <f aca="false">IF($A22&lt;$B$7,($B$9*12)-($B$9*12)*INDEX(Surface_Engine!$F$12:$F$72,$A22+1)-INDEX(Surface_Engine!$D$12:$D$72,$A22+1),-($B$8*12*INDEX(Surface_Engine!$C$12:$C$72,$A22+1)/(1+Assumptions!$B$10)^$B$7+INDEX(Surface_Engine!$D$12:$D$72,$A22+1)))</f>
        <v>6492.75863886578</v>
      </c>
      <c r="K22" s="48" t="n">
        <f aca="false">B22*H22*G22+K23</f>
        <v>42886.6691520093</v>
      </c>
      <c r="L22" s="48" t="n">
        <f aca="false">C22*H22*G22+L23</f>
        <v>51473.4493755067</v>
      </c>
      <c r="M22" s="48" t="n">
        <f aca="false">D22*H22*G22+M23</f>
        <v>58261.6034460487</v>
      </c>
      <c r="N22" s="48" t="n">
        <f aca="false">E22*H22*G22+N23</f>
        <v>38624.6128060521</v>
      </c>
      <c r="O22" s="48" t="n">
        <f aca="false">F22*H22*G22+O23</f>
        <v>47567.7961396762</v>
      </c>
      <c r="P22" s="48" t="n">
        <f aca="false">B22*I22*G22+P23</f>
        <v>42976.7215456682</v>
      </c>
      <c r="Q22" s="12" t="n">
        <f aca="false">K22/G22</f>
        <v>57140.0085068299</v>
      </c>
      <c r="R22" s="12" t="n">
        <f aca="false">IF(C22&lt;=0,0,MAX(0,(B22/C22)*L22/G22-Q22))</f>
        <v>10289.3369364735</v>
      </c>
      <c r="S22" s="12" t="n">
        <f aca="false">MAX(IF(E22&lt;=0,0,MAX(0,(B22/E22)*N22/G22-Q22)),IF(F22&lt;=0,0,MAX(0,(B22/F22)*O22/G22-Q22)),IF($A22&lt;$B$7,MAX(0,-Assumptions!$B$22*Q22),0))</f>
        <v>1656.00780719605</v>
      </c>
      <c r="T22" s="12" t="n">
        <f aca="false">MAX(0,P22/G22-Q22)</f>
        <v>119.981211912105</v>
      </c>
      <c r="U22" s="12" t="n">
        <f aca="false">SQRT(R22^2+S22^2+T22^2+2*Assumptions!$B$26*R22*S22+2*Assumptions!$B$27*R22*T22+2*Assumptions!$B$28*S22*T22)</f>
        <v>10861.0670042666</v>
      </c>
      <c r="V22" s="48" t="n">
        <f aca="false">U22*G22+V23</f>
        <v>103697.492488808</v>
      </c>
      <c r="W22" s="48" t="n">
        <f aca="false">W21+B21*J21*G21</f>
        <v>45093.3460333505</v>
      </c>
      <c r="X22" s="12" t="n">
        <f aca="false">Assumptions!$B$29*V22/G22</f>
        <v>8289.67469860474</v>
      </c>
      <c r="Y22" s="12" t="n">
        <f aca="false">W22/G22</f>
        <v>60080.0721271764</v>
      </c>
      <c r="Z22" s="12" t="n">
        <f aca="false">Y22-Q22</f>
        <v>2940.06362034654</v>
      </c>
      <c r="AA22" s="12" t="n">
        <f aca="false">IF(B22&lt;=0,0,MAX(0,(U22+X22-Z22)/B22))</f>
        <v>20476.3079490555</v>
      </c>
    </row>
    <row r="23" customFormat="false" ht="15" hidden="false" customHeight="true" outlineLevel="0" collapsed="false">
      <c r="A23" s="1" t="n">
        <v>11</v>
      </c>
      <c r="B23" s="32" t="n">
        <f aca="false">INDEX(Surface_Engine!$L$12:$L$72,$A23+1)*IF($A23&lt;$B$7,INDEX(Surface_Engine!$E$12:$E$72,$A23+1),INDEX(Surface_Engine!$E$12:$E$72,$B$7+1))</f>
        <v>0.77280380599472</v>
      </c>
      <c r="C23" s="32" t="n">
        <f aca="false">INDEX(Panel_Reserving!$D$8:$D$68,$A23+1)*IF($A23&lt;$B$7,INDEX(Surface_Engine!$E$12:$E$72,$A23+1),INDEX(Surface_Engine!$E$12:$E$72,$B$7+1))</f>
        <v>0.788372406815602</v>
      </c>
      <c r="D23" s="32" t="n">
        <f aca="false">INDEX(Panel_Reserving!$L$8:$L$68,$A23+1)*IF($A23&lt;$B$7,INDEX(Surface_Engine!$E$12:$E$72,$A23+1),INDEX(Surface_Engine!$E$12:$E$72,$B$7+1))</f>
        <v>0.783525580030818</v>
      </c>
      <c r="E23" s="32" t="n">
        <f aca="false">INDEX(Surface_Engine!$L$12:$L$72,$A23+1)*IF($A23&lt;$B$7,INDEX(Surface_Engine!$Y$12:$Y$72,$A23+1),INDEX(Surface_Engine!$Y$12:$Y$72,$B$7+1))</f>
        <v>0.713073819391425</v>
      </c>
      <c r="F23" s="32" t="n">
        <f aca="false">INDEX(Surface_Engine!$L$12:$L$72,$A23+1)*IF($A23&lt;$B$7,INDEX(Surface_Engine!$Z$12:$Z$72,$A23+1),INDEX(Surface_Engine!$Z$12:$Z$72,$B$7+1))</f>
        <v>0.836839144602721</v>
      </c>
      <c r="G23" s="30" t="n">
        <f aca="false">INDEX(Surface_Engine!$B$12:$B$72,$A23+1)</f>
        <v>0.726988915516858</v>
      </c>
      <c r="H23" s="48" t="n">
        <f aca="false">IF($A23&lt;$B$7,INDEX(Surface_Engine!$D$12:$D$72,$A23+1)+($B$9*12)*INDEX(Surface_Engine!$F$12:$F$72,$A23+1)-($B$9*12),$B$8*12*INDEX(Surface_Engine!$C$12:$C$72,$A23+1)/(1+Assumptions!$B$10)^$B$7+INDEX(Surface_Engine!$D$12:$D$72,$A23+1))</f>
        <v>-6490.13446555018</v>
      </c>
      <c r="I23" s="48" t="n">
        <f aca="false">IF($A23&lt;$B$7,INDEX(Surface_Engine!$D$12:$D$72,$A23+1)*(1+Assumptions!$B$24)+($B$9*12)*INDEX(Surface_Engine!$F$12:$F$72,$A23+1)-($B$9*12),$B$8*12*INDEX(Surface_Engine!$C$12:$C$72,$A23+1)/(1+Assumptions!$B$10)^$B$7+INDEX(Surface_Engine!$D$12:$D$72,$A23+1)*(1+Assumptions!$B$24))</f>
        <v>-6479.37535495621</v>
      </c>
      <c r="J23" s="48" t="n">
        <f aca="false">IF($A23&lt;$B$7,($B$9*12)-($B$9*12)*INDEX(Surface_Engine!$F$12:$F$72,$A23+1)-INDEX(Surface_Engine!$D$12:$D$72,$A23+1),-($B$8*12*INDEX(Surface_Engine!$C$12:$C$72,$A23+1)/(1+Assumptions!$B$10)^$B$7+INDEX(Surface_Engine!$D$12:$D$72,$A23+1)))</f>
        <v>6490.13446555018</v>
      </c>
      <c r="K23" s="48" t="n">
        <f aca="false">B23*H23*G23+K24</f>
        <v>46744.6565495901</v>
      </c>
      <c r="L23" s="48" t="n">
        <f aca="false">C23*H23*G23+L24</f>
        <v>55397.3058764601</v>
      </c>
      <c r="M23" s="48" t="n">
        <f aca="false">D23*H23*G23+M24</f>
        <v>62162.1369638092</v>
      </c>
      <c r="N23" s="48" t="n">
        <f aca="false">E23*H23*G23+N24</f>
        <v>42200.8377120903</v>
      </c>
      <c r="O23" s="48" t="n">
        <f aca="false">F23*H23*G23+O24</f>
        <v>51726.3651868797</v>
      </c>
      <c r="P23" s="48" t="n">
        <f aca="false">B23*I23*G23+P24</f>
        <v>46828.4718239327</v>
      </c>
      <c r="Q23" s="12" t="n">
        <f aca="false">K23/G23</f>
        <v>64298.9948703092</v>
      </c>
      <c r="R23" s="12" t="n">
        <f aca="false">IF(C23&lt;=0,0,MAX(0,(B23/C23)*L23/G23-Q23))</f>
        <v>10397.2366558339</v>
      </c>
      <c r="S23" s="12" t="n">
        <f aca="false">MAX(IF(E23&lt;=0,0,MAX(0,(B23/E23)*N23/G23-Q23)),IF(F23&lt;=0,0,MAX(0,(B23/F23)*O23/G23-Q23)),IF($A23&lt;$B$7,MAX(0,-Assumptions!$B$22*Q23),0))</f>
        <v>1407.97469915311</v>
      </c>
      <c r="T23" s="12" t="n">
        <f aca="false">MAX(0,P23/G23-Q23)</f>
        <v>115.29099351263</v>
      </c>
      <c r="U23" s="12" t="n">
        <f aca="false">SQRT(R23^2+S23^2+T23^2+2*Assumptions!$B$26*R23*S23+2*Assumptions!$B$27*R23*T23+2*Assumptions!$B$28*S23*T23)</f>
        <v>10871.0357645508</v>
      </c>
      <c r="V23" s="48" t="n">
        <f aca="false">U23*G23+V24</f>
        <v>95545.6738345611</v>
      </c>
      <c r="W23" s="48" t="n">
        <f aca="false">W22+B22*J22*G22</f>
        <v>48951.3334309312</v>
      </c>
      <c r="X23" s="12" t="n">
        <f aca="false">Assumptions!$B$29*V23/G23</f>
        <v>7885.5953752719</v>
      </c>
      <c r="Y23" s="12" t="n">
        <f aca="false">W23/G23</f>
        <v>67334.3601066173</v>
      </c>
      <c r="Z23" s="12" t="n">
        <f aca="false">Y23-Q23</f>
        <v>3035.36523630809</v>
      </c>
      <c r="AA23" s="12" t="n">
        <f aca="false">IF(B23&lt;=0,0,MAX(0,(U23+X23-Z23)/B23))</f>
        <v>20343.1527919028</v>
      </c>
    </row>
    <row r="24" customFormat="false" ht="15" hidden="false" customHeight="true" outlineLevel="0" collapsed="false">
      <c r="A24" s="1" t="n">
        <v>12</v>
      </c>
      <c r="B24" s="32" t="n">
        <f aca="false">INDEX(Surface_Engine!$L$12:$L$72,$A24+1)*IF($A24&lt;$B$7,INDEX(Surface_Engine!$E$12:$E$72,$A24+1),INDEX(Surface_Engine!$E$12:$E$72,$B$7+1))</f>
        <v>0.753048807736933</v>
      </c>
      <c r="C24" s="32" t="n">
        <f aca="false">INDEX(Panel_Reserving!$D$8:$D$68,$A24+1)*IF($A24&lt;$B$7,INDEX(Surface_Engine!$E$12:$E$72,$A24+1),INDEX(Surface_Engine!$E$12:$E$72,$B$7+1))</f>
        <v>0.770815189303298</v>
      </c>
      <c r="D24" s="32" t="n">
        <f aca="false">INDEX(Panel_Reserving!$L$8:$L$68,$A24+1)*IF($A24&lt;$B$7,INDEX(Surface_Engine!$E$12:$E$72,$A24+1),INDEX(Surface_Engine!$E$12:$E$72,$B$7+1))</f>
        <v>0.766059525727647</v>
      </c>
      <c r="E24" s="32" t="n">
        <f aca="false">INDEX(Surface_Engine!$L$12:$L$72,$A24+1)*IF($A24&lt;$B$7,INDEX(Surface_Engine!$Y$12:$Y$72,$A24+1),INDEX(Surface_Engine!$Y$12:$Y$72,$B$7+1))</f>
        <v>0.691655102287006</v>
      </c>
      <c r="F24" s="32" t="n">
        <f aca="false">INDEX(Surface_Engine!$L$12:$L$72,$A24+1)*IF($A24&lt;$B$7,INDEX(Surface_Engine!$Z$12:$Z$72,$A24+1),INDEX(Surface_Engine!$Z$12:$Z$72,$B$7+1))</f>
        <v>0.819191584892053</v>
      </c>
      <c r="G24" s="30" t="n">
        <f aca="false">INDEX(Surface_Engine!$B$12:$B$72,$A24+1)</f>
        <v>0.702033923629033</v>
      </c>
      <c r="H24" s="48" t="n">
        <f aca="false">IF($A24&lt;$B$7,INDEX(Surface_Engine!$D$12:$D$72,$A24+1)+($B$9*12)*INDEX(Surface_Engine!$F$12:$F$72,$A24+1)-($B$9*12),$B$8*12*INDEX(Surface_Engine!$C$12:$C$72,$A24+1)/(1+Assumptions!$B$10)^$B$7+INDEX(Surface_Engine!$D$12:$D$72,$A24+1))</f>
        <v>-6487.44468790169</v>
      </c>
      <c r="I24" s="48" t="n">
        <f aca="false">IF($A24&lt;$B$7,INDEX(Surface_Engine!$D$12:$D$72,$A24+1)*(1+Assumptions!$B$24)+($B$9*12)*INDEX(Surface_Engine!$F$12:$F$72,$A24+1)-($B$9*12),$B$8*12*INDEX(Surface_Engine!$C$12:$C$72,$A24+1)/(1+Assumptions!$B$10)^$B$7+INDEX(Surface_Engine!$D$12:$D$72,$A24+1)*(1+Assumptions!$B$24))</f>
        <v>-6476.41659954287</v>
      </c>
      <c r="J24" s="48" t="n">
        <f aca="false">IF($A24&lt;$B$7,($B$9*12)-($B$9*12)*INDEX(Surface_Engine!$F$12:$F$72,$A24+1)-INDEX(Surface_Engine!$D$12:$D$72,$A24+1),-($B$8*12*INDEX(Surface_Engine!$C$12:$C$72,$A24+1)/(1+Assumptions!$B$10)^$B$7+INDEX(Surface_Engine!$D$12:$D$72,$A24+1)))</f>
        <v>6487.44468790169</v>
      </c>
      <c r="K24" s="48" t="n">
        <f aca="false">B24*H24*G24+K25</f>
        <v>50390.9426023685</v>
      </c>
      <c r="L24" s="48" t="n">
        <f aca="false">C24*H24*G24+L25</f>
        <v>59117.0485706191</v>
      </c>
      <c r="M24" s="48" t="n">
        <f aca="false">D24*H24*G24+M25</f>
        <v>65859.0110892985</v>
      </c>
      <c r="N24" s="48" t="n">
        <f aca="false">E24*H24*G24+N25</f>
        <v>45565.3024081482</v>
      </c>
      <c r="O24" s="48" t="n">
        <f aca="false">F24*H24*G24+O25</f>
        <v>55674.7863485177</v>
      </c>
      <c r="P24" s="48" t="n">
        <f aca="false">B24*I24*G24+P25</f>
        <v>50468.7131953401</v>
      </c>
      <c r="Q24" s="12" t="n">
        <f aca="false">K24/G24</f>
        <v>71778.5008762568</v>
      </c>
      <c r="R24" s="12" t="n">
        <f aca="false">IF(C24&lt;=0,0,MAX(0,(B24/C24)*L24/G24-Q24))</f>
        <v>10488.8488022314</v>
      </c>
      <c r="S24" s="12" t="n">
        <f aca="false">MAX(IF(E24&lt;=0,0,MAX(0,(B24/E24)*N24/G24-Q24)),IF(F24&lt;=0,0,MAX(0,(B24/F24)*O24/G24-Q24)),IF($A24&lt;$B$7,MAX(0,-Assumptions!$B$22*Q24),0))</f>
        <v>1123.2742631624</v>
      </c>
      <c r="T24" s="12" t="n">
        <f aca="false">MAX(0,P24/G24-Q24)</f>
        <v>110.778967161023</v>
      </c>
      <c r="U24" s="12" t="n">
        <f aca="false">SQRT(R24^2+S24^2+T24^2+2*Assumptions!$B$26*R24*S24+2*Assumptions!$B$27*R24*T24+2*Assumptions!$B$28*S24*T24)</f>
        <v>10857.5457761878</v>
      </c>
      <c r="V24" s="48" t="n">
        <f aca="false">U24*G24+V25</f>
        <v>87642.5513335454</v>
      </c>
      <c r="W24" s="48" t="n">
        <f aca="false">W23+B23*J23*G23</f>
        <v>52597.6194837097</v>
      </c>
      <c r="X24" s="12" t="n">
        <f aca="false">Assumptions!$B$29*V24/G24</f>
        <v>7490.45438264524</v>
      </c>
      <c r="Y24" s="12" t="n">
        <f aca="false">W24/G24</f>
        <v>74921.7633413157</v>
      </c>
      <c r="Z24" s="12" t="n">
        <f aca="false">Y24-Q24</f>
        <v>3143.26246505893</v>
      </c>
      <c r="AA24" s="12" t="n">
        <f aca="false">IF(B24&lt;=0,0,MAX(0,(U24+X24-Z24)/B24))</f>
        <v>20190.9060044428</v>
      </c>
    </row>
    <row r="25" customFormat="false" ht="15" hidden="false" customHeight="true" outlineLevel="0" collapsed="false">
      <c r="A25" s="1" t="n">
        <v>13</v>
      </c>
      <c r="B25" s="32" t="n">
        <f aca="false">INDEX(Surface_Engine!$L$12:$L$72,$A25+1)*IF($A25&lt;$B$7,INDEX(Surface_Engine!$E$12:$E$72,$A25+1),INDEX(Surface_Engine!$E$12:$E$72,$B$7+1))</f>
        <v>0.732331393340358</v>
      </c>
      <c r="C25" s="32" t="n">
        <f aca="false">INDEX(Panel_Reserving!$D$8:$D$68,$A25+1)*IF($A25&lt;$B$7,INDEX(Surface_Engine!$E$12:$E$72,$A25+1),INDEX(Surface_Engine!$E$12:$E$72,$B$7+1))</f>
        <v>0.752447351954943</v>
      </c>
      <c r="D25" s="32" t="n">
        <f aca="false">INDEX(Panel_Reserving!$L$8:$L$68,$A25+1)*IF($A25&lt;$B$7,INDEX(Surface_Engine!$E$12:$E$72,$A25+1),INDEX(Surface_Engine!$E$12:$E$72,$B$7+1))</f>
        <v>0.747960256386756</v>
      </c>
      <c r="E25" s="32" t="n">
        <f aca="false">INDEX(Surface_Engine!$L$12:$L$72,$A25+1)*IF($A25&lt;$B$7,INDEX(Surface_Engine!$Y$12:$Y$72,$A25+1),INDEX(Surface_Engine!$Y$12:$Y$72,$B$7+1))</f>
        <v>0.6695381562339</v>
      </c>
      <c r="F25" s="32" t="n">
        <f aca="false">INDEX(Surface_Engine!$L$12:$L$72,$A25+1)*IF($A25&lt;$B$7,INDEX(Surface_Engine!$Z$12:$Z$72,$A25+1),INDEX(Surface_Engine!$Z$12:$Z$72,$B$7+1))</f>
        <v>0.80031255753899</v>
      </c>
      <c r="G25" s="30" t="n">
        <f aca="false">INDEX(Surface_Engine!$B$12:$B$72,$A25+1)</f>
        <v>0.678121495217362</v>
      </c>
      <c r="H25" s="48" t="n">
        <f aca="false">IF($A25&lt;$B$7,INDEX(Surface_Engine!$D$12:$D$72,$A25+1)+($B$9*12)*INDEX(Surface_Engine!$F$12:$F$72,$A25+1)-($B$9*12),$B$8*12*INDEX(Surface_Engine!$C$12:$C$72,$A25+1)/(1+Assumptions!$B$10)^$B$7+INDEX(Surface_Engine!$D$12:$D$72,$A25+1))</f>
        <v>-6484.68766581198</v>
      </c>
      <c r="I25" s="48" t="n">
        <f aca="false">IF($A25&lt;$B$7,INDEX(Surface_Engine!$D$12:$D$72,$A25+1)*(1+Assumptions!$B$24)+($B$9*12)*INDEX(Surface_Engine!$F$12:$F$72,$A25+1)-($B$9*12),$B$8*12*INDEX(Surface_Engine!$C$12:$C$72,$A25+1)/(1+Assumptions!$B$10)^$B$7+INDEX(Surface_Engine!$D$12:$D$72,$A25+1)*(1+Assumptions!$B$24))</f>
        <v>-6473.38387524419</v>
      </c>
      <c r="J25" s="48" t="n">
        <f aca="false">IF($A25&lt;$B$7,($B$9*12)-($B$9*12)*INDEX(Surface_Engine!$F$12:$F$72,$A25+1)-INDEX(Surface_Engine!$D$12:$D$72,$A25+1),-($B$8*12*INDEX(Surface_Engine!$C$12:$C$72,$A25+1)/(1+Assumptions!$B$10)^$B$7+INDEX(Surface_Engine!$D$12:$D$72,$A25+1)))</f>
        <v>6484.68766581198</v>
      </c>
      <c r="K25" s="48" t="n">
        <f aca="false">B25*H25*G25+K26</f>
        <v>53820.6327978068</v>
      </c>
      <c r="L25" s="48" t="n">
        <f aca="false">C25*H25*G25+L26</f>
        <v>62627.6540852777</v>
      </c>
      <c r="M25" s="48" t="n">
        <f aca="false">D25*H25*G25+M26</f>
        <v>69347.9573800521</v>
      </c>
      <c r="N25" s="48" t="n">
        <f aca="false">E25*H25*G25+N26</f>
        <v>48715.3807278622</v>
      </c>
      <c r="O25" s="48" t="n">
        <f aca="false">F25*H25*G25+O26</f>
        <v>59405.7176215293</v>
      </c>
      <c r="P25" s="48" t="n">
        <f aca="false">B25*I25*G25+P26</f>
        <v>53892.5732175225</v>
      </c>
      <c r="Q25" s="12" t="n">
        <f aca="false">K25/G25</f>
        <v>79367.2419727019</v>
      </c>
      <c r="R25" s="12" t="n">
        <f aca="false">IF(C25&lt;=0,0,MAX(0,(B25/C25)*L25/G25-Q25))</f>
        <v>10518.3673491102</v>
      </c>
      <c r="S25" s="12" t="n">
        <f aca="false">MAX(IF(E25&lt;=0,0,MAX(0,(B25/E25)*N25/G25-Q25)),IF(F25&lt;=0,0,MAX(0,(B25/F25)*O25/G25-Q25)),IF($A25&lt;$B$7,MAX(0,-Assumptions!$B$22*Q25),0))</f>
        <v>794.797133679444</v>
      </c>
      <c r="T25" s="12" t="n">
        <f aca="false">MAX(0,P25/G25-Q25)</f>
        <v>106.087803178467</v>
      </c>
      <c r="U25" s="12" t="n">
        <f aca="false">SQRT(R25^2+S25^2+T25^2+2*Assumptions!$B$26*R25*S25+2*Assumptions!$B$27*R25*T25+2*Assumptions!$B$28*S25*T25)</f>
        <v>10775.0288366656</v>
      </c>
      <c r="V25" s="48" t="n">
        <f aca="false">U25*G25+V26</f>
        <v>80020.1858713064</v>
      </c>
      <c r="W25" s="48" t="n">
        <f aca="false">W24+B24*J24*G24</f>
        <v>56027.309679148</v>
      </c>
      <c r="X25" s="12" t="n">
        <f aca="false">Assumptions!$B$29*V25/G25</f>
        <v>7080.16363754909</v>
      </c>
      <c r="Y25" s="12" t="n">
        <f aca="false">W25/G25</f>
        <v>82621.344514657</v>
      </c>
      <c r="Z25" s="12" t="n">
        <f aca="false">Y25-Q25</f>
        <v>3254.10254195507</v>
      </c>
      <c r="AA25" s="12" t="n">
        <f aca="false">IF(B25&lt;=0,0,MAX(0,(U25+X25-Z25)/B25))</f>
        <v>19937.8178581969</v>
      </c>
    </row>
    <row r="26" customFormat="false" ht="15" hidden="false" customHeight="true" outlineLevel="0" collapsed="false">
      <c r="A26" s="1" t="n">
        <v>14</v>
      </c>
      <c r="B26" s="32" t="n">
        <f aca="false">INDEX(Surface_Engine!$L$12:$L$72,$A26+1)*IF($A26&lt;$B$7,INDEX(Surface_Engine!$E$12:$E$72,$A26+1),INDEX(Surface_Engine!$E$12:$E$72,$B$7+1))</f>
        <v>0.710568694818408</v>
      </c>
      <c r="C26" s="32" t="n">
        <f aca="false">INDEX(Panel_Reserving!$D$8:$D$68,$A26+1)*IF($A26&lt;$B$7,INDEX(Surface_Engine!$E$12:$E$72,$A26+1),INDEX(Surface_Engine!$E$12:$E$72,$B$7+1))</f>
        <v>0.733189510060137</v>
      </c>
      <c r="D26" s="32" t="n">
        <f aca="false">INDEX(Panel_Reserving!$L$8:$L$68,$A26+1)*IF($A26&lt;$B$7,INDEX(Surface_Engine!$E$12:$E$72,$A26+1),INDEX(Surface_Engine!$E$12:$E$72,$B$7+1))</f>
        <v>0.729176146388259</v>
      </c>
      <c r="E26" s="32" t="n">
        <f aca="false">INDEX(Surface_Engine!$L$12:$L$72,$A26+1)*IF($A26&lt;$B$7,INDEX(Surface_Engine!$Y$12:$Y$72,$A26+1),INDEX(Surface_Engine!$Y$12:$Y$72,$B$7+1))</f>
        <v>0.646658470711531</v>
      </c>
      <c r="F26" s="32" t="n">
        <f aca="false">INDEX(Surface_Engine!$L$12:$L$72,$A26+1)*IF($A26&lt;$B$7,INDEX(Surface_Engine!$Z$12:$Z$72,$A26+1),INDEX(Surface_Engine!$Z$12:$Z$72,$B$7+1))</f>
        <v>0.780095319602169</v>
      </c>
      <c r="G26" s="30" t="n">
        <f aca="false">INDEX(Surface_Engine!$B$12:$B$72,$A26+1)</f>
        <v>0.655482469114705</v>
      </c>
      <c r="H26" s="48" t="n">
        <f aca="false">IF($A26&lt;$B$7,INDEX(Surface_Engine!$D$12:$D$72,$A26+1)+($B$9*12)*INDEX(Surface_Engine!$F$12:$F$72,$A26+1)-($B$9*12),$B$8*12*INDEX(Surface_Engine!$C$12:$C$72,$A26+1)/(1+Assumptions!$B$10)^$B$7+INDEX(Surface_Engine!$D$12:$D$72,$A26+1))</f>
        <v>-6481.86171817004</v>
      </c>
      <c r="I26" s="48" t="n">
        <f aca="false">IF($A26&lt;$B$7,INDEX(Surface_Engine!$D$12:$D$72,$A26+1)*(1+Assumptions!$B$24)+($B$9*12)*INDEX(Surface_Engine!$F$12:$F$72,$A26+1)-($B$9*12),$B$8*12*INDEX(Surface_Engine!$C$12:$C$72,$A26+1)/(1+Assumptions!$B$10)^$B$7+INDEX(Surface_Engine!$D$12:$D$72,$A26+1)*(1+Assumptions!$B$24))</f>
        <v>-6470.27533283805</v>
      </c>
      <c r="J26" s="48" t="n">
        <f aca="false">IF($A26&lt;$B$7,($B$9*12)-($B$9*12)*INDEX(Surface_Engine!$F$12:$F$72,$A26+1)-INDEX(Surface_Engine!$D$12:$D$72,$A26+1),-($B$8*12*INDEX(Surface_Engine!$C$12:$C$72,$A26+1)/(1+Assumptions!$B$10)^$B$7+INDEX(Surface_Engine!$D$12:$D$72,$A26+1)))</f>
        <v>6481.86171817004</v>
      </c>
      <c r="K26" s="48" t="n">
        <f aca="false">B26*H26*G26+K27</f>
        <v>57040.9913311431</v>
      </c>
      <c r="L26" s="48" t="n">
        <f aca="false">C26*H26*G26+L27</f>
        <v>65936.4706576519</v>
      </c>
      <c r="M26" s="48" t="n">
        <f aca="false">D26*H26*G26+M27</f>
        <v>72637.0423710215</v>
      </c>
      <c r="N26" s="48" t="n">
        <f aca="false">E26*H26*G26+N27</f>
        <v>51659.6118975617</v>
      </c>
      <c r="O26" s="48" t="n">
        <f aca="false">F26*H26*G26+O27</f>
        <v>62925.016940723</v>
      </c>
      <c r="P26" s="48" t="n">
        <f aca="false">B26*I26*G26+P27</f>
        <v>57107.3181792744</v>
      </c>
      <c r="Q26" s="12" t="n">
        <f aca="false">K26/G26</f>
        <v>87021.383513403</v>
      </c>
      <c r="R26" s="12" t="n">
        <f aca="false">IF(C26&lt;=0,0,MAX(0,(B26/C26)*L26/G26-Q26))</f>
        <v>10467.3533852122</v>
      </c>
      <c r="S26" s="12" t="n">
        <f aca="false">MAX(IF(E26&lt;=0,0,MAX(0,(B26/E26)*N26/G26-Q26)),IF(F26&lt;=0,0,MAX(0,(B26/F26)*O26/G26-Q26)),IF($A26&lt;$B$7,MAX(0,-Assumptions!$B$22*Q26),0))</f>
        <v>420.73238619625</v>
      </c>
      <c r="T26" s="12" t="n">
        <f aca="false">MAX(0,P26/G26-Q26)</f>
        <v>101.187829204588</v>
      </c>
      <c r="U26" s="12" t="n">
        <f aca="false">SQRT(R26^2+S26^2+T26^2+2*Assumptions!$B$26*R26*S26+2*Assumptions!$B$27*R26*T26+2*Assumptions!$B$28*S26*T26)</f>
        <v>10607.8686017534</v>
      </c>
      <c r="V26" s="48" t="n">
        <f aca="false">U26*G26+V27</f>
        <v>72713.4072055765</v>
      </c>
      <c r="W26" s="48" t="n">
        <f aca="false">W25+B25*J25*G25</f>
        <v>59247.6682124843</v>
      </c>
      <c r="X26" s="12" t="n">
        <f aca="false">Assumptions!$B$29*V26/G26</f>
        <v>6655.86745321656</v>
      </c>
      <c r="Y26" s="12" t="n">
        <f aca="false">W26/G26</f>
        <v>90387.8761128489</v>
      </c>
      <c r="Z26" s="12" t="n">
        <f aca="false">Y26-Q26</f>
        <v>3366.49259944592</v>
      </c>
      <c r="AA26" s="12" t="n">
        <f aca="false">IF(B26&lt;=0,0,MAX(0,(U26+X26-Z26)/B26))</f>
        <v>19557.9168585179</v>
      </c>
    </row>
    <row r="27" customFormat="false" ht="15" hidden="false" customHeight="true" outlineLevel="0" collapsed="false">
      <c r="A27" s="1" t="n">
        <v>15</v>
      </c>
      <c r="B27" s="32" t="n">
        <f aca="false">INDEX(Surface_Engine!$L$12:$L$72,$A27+1)*IF($A27&lt;$B$7,INDEX(Surface_Engine!$E$12:$E$72,$A27+1),INDEX(Surface_Engine!$E$12:$E$72,$B$7+1))</f>
        <v>0.687680981645694</v>
      </c>
      <c r="C27" s="32" t="n">
        <f aca="false">INDEX(Panel_Reserving!$D$8:$D$68,$A27+1)*IF($A27&lt;$B$7,INDEX(Surface_Engine!$E$12:$E$72,$A27+1),INDEX(Surface_Engine!$E$12:$E$72,$B$7+1))</f>
        <v>0.712962033920438</v>
      </c>
      <c r="D27" s="32" t="n">
        <f aca="false">INDEX(Panel_Reserving!$L$8:$L$68,$A27+1)*IF($A27&lt;$B$7,INDEX(Surface_Engine!$E$12:$E$72,$A27+1),INDEX(Surface_Engine!$E$12:$E$72,$B$7+1))</f>
        <v>0.709657233477338</v>
      </c>
      <c r="E27" s="32" t="n">
        <f aca="false">INDEX(Surface_Engine!$L$12:$L$72,$A27+1)*IF($A27&lt;$B$7,INDEX(Surface_Engine!$Y$12:$Y$72,$A27+1),INDEX(Surface_Engine!$Y$12:$Y$72,$B$7+1))</f>
        <v>0.622955658541371</v>
      </c>
      <c r="F27" s="32" t="n">
        <f aca="false">INDEX(Surface_Engine!$L$12:$L$72,$A27+1)*IF($A27&lt;$B$7,INDEX(Surface_Engine!$Z$12:$Z$72,$A27+1),INDEX(Surface_Engine!$Z$12:$Z$72,$B$7+1))</f>
        <v>0.758434776427366</v>
      </c>
      <c r="G27" s="30" t="n">
        <f aca="false">INDEX(Surface_Engine!$B$12:$B$72,$A27+1)</f>
        <v>0.631942752983253</v>
      </c>
      <c r="H27" s="48" t="n">
        <f aca="false">IF($A27&lt;$B$7,INDEX(Surface_Engine!$D$12:$D$72,$A27+1)+($B$9*12)*INDEX(Surface_Engine!$F$12:$F$72,$A27+1)-($B$9*12),$B$8*12*INDEX(Surface_Engine!$C$12:$C$72,$A27+1)/(1+Assumptions!$B$10)^$B$7+INDEX(Surface_Engine!$D$12:$D$72,$A27+1))</f>
        <v>12118.7604496528</v>
      </c>
      <c r="I27" s="48" t="n">
        <f aca="false">IF($A27&lt;$B$7,INDEX(Surface_Engine!$D$12:$D$72,$A27+1)*(1+Assumptions!$B$24)+($B$9*12)*INDEX(Surface_Engine!$F$12:$F$72,$A27+1)-($B$9*12),$B$8*12*INDEX(Surface_Engine!$C$12:$C$72,$A27+1)/(1+Assumptions!$B$10)^$B$7+INDEX(Surface_Engine!$D$12:$D$72,$A27+1)*(1+Assumptions!$B$24))</f>
        <v>12130.6364946181</v>
      </c>
      <c r="J27" s="48" t="n">
        <f aca="false">IF($A27&lt;$B$7,($B$9*12)-($B$9*12)*INDEX(Surface_Engine!$F$12:$F$72,$A27+1)-INDEX(Surface_Engine!$D$12:$D$72,$A27+1),-($B$8*12*INDEX(Surface_Engine!$C$12:$C$72,$A27+1)/(1+Assumptions!$B$10)^$B$7+INDEX(Surface_Engine!$D$12:$D$72,$A27+1)))</f>
        <v>-12118.7604496528</v>
      </c>
      <c r="K27" s="48" t="n">
        <f aca="false">B27*H27*G27+K28</f>
        <v>60060.0177450646</v>
      </c>
      <c r="L27" s="48" t="n">
        <f aca="false">C27*H27*G27+L28</f>
        <v>69051.6071862143</v>
      </c>
      <c r="M27" s="48" t="n">
        <f aca="false">D27*H27*G27+M28</f>
        <v>75735.1271338329</v>
      </c>
      <c r="N27" s="48" t="n">
        <f aca="false">E27*H27*G27+N28</f>
        <v>54407.0999562119</v>
      </c>
      <c r="O27" s="48" t="n">
        <f aca="false">F27*H27*G27+O28</f>
        <v>66239.4443738896</v>
      </c>
      <c r="P27" s="48" t="n">
        <f aca="false">B27*I27*G27+P28</f>
        <v>60120.9480566946</v>
      </c>
      <c r="Q27" s="12" t="n">
        <f aca="false">K27/G27</f>
        <v>95040.2824647256</v>
      </c>
      <c r="R27" s="12" t="n">
        <f aca="false">IF(C27&lt;=0,0,MAX(0,(B27/C27)*L27/G27-Q27))</f>
        <v>10353.9058462032</v>
      </c>
      <c r="S27" s="12" t="n">
        <f aca="false">MAX(IF(E27&lt;=0,0,MAX(0,(B27/E27)*N27/G27-Q27)),IF(F27&lt;=0,0,MAX(0,(B27/F27)*O27/G27-Q27)),IF($A27&lt;$B$7,MAX(0,-Assumptions!$B$22*Q27),0))</f>
        <v>0</v>
      </c>
      <c r="T27" s="12" t="n">
        <f aca="false">MAX(0,P27/G27-Q27)</f>
        <v>96.4174544962152</v>
      </c>
      <c r="U27" s="12" t="n">
        <f aca="false">SQRT(R27^2+S27^2+T27^2+2*Assumptions!$B$26*R27*S27+2*Assumptions!$B$27*R27*T27+2*Assumptions!$B$28*S27*T27)</f>
        <v>10378.430094213</v>
      </c>
      <c r="V27" s="48" t="n">
        <f aca="false">U27*G27+V28</f>
        <v>65760.1353024549</v>
      </c>
      <c r="W27" s="48" t="n">
        <f aca="false">W26+B26*J26*G26</f>
        <v>62266.6946264058</v>
      </c>
      <c r="X27" s="12" t="n">
        <f aca="false">Assumptions!$B$29*V27/G27</f>
        <v>6243.61637113648</v>
      </c>
      <c r="Y27" s="12" t="n">
        <f aca="false">W27/G27</f>
        <v>98532.1761068696</v>
      </c>
      <c r="Z27" s="12" t="n">
        <f aca="false">Y27-Q27</f>
        <v>3491.89364214399</v>
      </c>
      <c r="AA27" s="12" t="n">
        <f aca="false">IF(B27&lt;=0,0,MAX(0,(U27+X27-Z27)/B27))</f>
        <v>19093.3778505603</v>
      </c>
    </row>
    <row r="28" customFormat="false" ht="15" hidden="false" customHeight="true" outlineLevel="0" collapsed="false">
      <c r="A28" s="1" t="n">
        <v>16</v>
      </c>
      <c r="B28" s="32" t="n">
        <f aca="false">INDEX(Surface_Engine!$L$12:$L$72,$A28+1)*IF($A28&lt;$B$7,INDEX(Surface_Engine!$E$12:$E$72,$A28+1),INDEX(Surface_Engine!$E$12:$E$72,$B$7+1))</f>
        <v>0.669076087760706</v>
      </c>
      <c r="C28" s="32" t="n">
        <f aca="false">INDEX(Panel_Reserving!$D$8:$D$68,$A28+1)*IF($A28&lt;$B$7,INDEX(Surface_Engine!$E$12:$E$72,$A28+1),INDEX(Surface_Engine!$E$12:$E$72,$B$7+1))</f>
        <v>0.697530944983389</v>
      </c>
      <c r="D28" s="32" t="n">
        <f aca="false">INDEX(Panel_Reserving!$L$8:$L$68,$A28+1)*IF($A28&lt;$B$7,INDEX(Surface_Engine!$E$12:$E$72,$A28+1),INDEX(Surface_Engine!$E$12:$E$72,$B$7+1))</f>
        <v>0.695211475769493</v>
      </c>
      <c r="E28" s="32" t="n">
        <f aca="false">INDEX(Surface_Engine!$L$12:$L$72,$A28+1)*IF($A28&lt;$B$7,INDEX(Surface_Engine!$Y$12:$Y$72,$A28+1),INDEX(Surface_Engine!$Y$12:$Y$72,$B$7+1))</f>
        <v>0.606101878617897</v>
      </c>
      <c r="F28" s="32" t="n">
        <f aca="false">INDEX(Surface_Engine!$L$12:$L$72,$A28+1)*IF($A28&lt;$B$7,INDEX(Surface_Engine!$Z$12:$Z$72,$A28+1),INDEX(Surface_Engine!$Z$12:$Z$72,$B$7+1))</f>
        <v>0.737915671041686</v>
      </c>
      <c r="G28" s="30" t="n">
        <f aca="false">INDEX(Surface_Engine!$B$12:$B$72,$A28+1)</f>
        <v>0.609864478767281</v>
      </c>
      <c r="H28" s="48" t="n">
        <f aca="false">IF($A28&lt;$B$7,INDEX(Surface_Engine!$D$12:$D$72,$A28+1)+($B$9*12)*INDEX(Surface_Engine!$F$12:$F$72,$A28+1)-($B$9*12),$B$8*12*INDEX(Surface_Engine!$C$12:$C$72,$A28+1)/(1+Assumptions!$B$10)^$B$7+INDEX(Surface_Engine!$D$12:$D$72,$A28+1))</f>
        <v>12361.7294608942</v>
      </c>
      <c r="I28" s="48" t="n">
        <f aca="false">IF($A28&lt;$B$7,INDEX(Surface_Engine!$D$12:$D$72,$A28+1)*(1+Assumptions!$B$24)+($B$9*12)*INDEX(Surface_Engine!$F$12:$F$72,$A28+1)-($B$9*12),$B$8*12*INDEX(Surface_Engine!$C$12:$C$72,$A28+1)/(1+Assumptions!$B$10)^$B$7+INDEX(Surface_Engine!$D$12:$D$72,$A28+1)*(1+Assumptions!$B$24))</f>
        <v>12373.9024069836</v>
      </c>
      <c r="J28" s="48" t="n">
        <f aca="false">IF($A28&lt;$B$7,($B$9*12)-($B$9*12)*INDEX(Surface_Engine!$F$12:$F$72,$A28+1)-INDEX(Surface_Engine!$D$12:$D$72,$A28+1),-($B$8*12*INDEX(Surface_Engine!$C$12:$C$72,$A28+1)/(1+Assumptions!$B$10)^$B$7+INDEX(Surface_Engine!$D$12:$D$72,$A28+1)))</f>
        <v>-12361.7294608942</v>
      </c>
      <c r="K28" s="48" t="n">
        <f aca="false">B28*H28*G28+K29</f>
        <v>54793.5072685618</v>
      </c>
      <c r="L28" s="48" t="n">
        <f aca="false">C28*H28*G28+L29</f>
        <v>63591.4852383817</v>
      </c>
      <c r="M28" s="48" t="n">
        <f aca="false">D28*H28*G28+M29</f>
        <v>70300.3145469116</v>
      </c>
      <c r="N28" s="48" t="n">
        <f aca="false">E28*H28*G28+N29</f>
        <v>49636.2794890622</v>
      </c>
      <c r="O28" s="48" t="n">
        <f aca="false">F28*H28*G28+O29</f>
        <v>60431.0756645499</v>
      </c>
      <c r="P28" s="48" t="n">
        <f aca="false">B28*I28*G28+P29</f>
        <v>54849.2765478</v>
      </c>
      <c r="Q28" s="12" t="n">
        <f aca="false">K28/G28</f>
        <v>89845.3823369347</v>
      </c>
      <c r="R28" s="12" t="n">
        <f aca="false">IF(C28&lt;=0,0,MAX(0,(B28/C28)*L28/G28-Q28))</f>
        <v>10172.5009523155</v>
      </c>
      <c r="S28" s="12" t="n">
        <f aca="false">MAX(IF(E28&lt;=0,0,MAX(0,(B28/E28)*N28/G28-Q28)),IF(F28&lt;=0,0,MAX(0,(B28/F28)*O28/G28-Q28)),IF($A28&lt;$B$7,MAX(0,-Assumptions!$B$22*Q28),0))</f>
        <v>0</v>
      </c>
      <c r="T28" s="12" t="n">
        <f aca="false">MAX(0,P28/G28-Q28)</f>
        <v>91.4453639780841</v>
      </c>
      <c r="U28" s="12" t="n">
        <f aca="false">SQRT(R28^2+S28^2+T28^2+2*Assumptions!$B$26*R28*S28+2*Assumptions!$B$27*R28*T28+2*Assumptions!$B$28*S28*T28)</f>
        <v>10195.7467556589</v>
      </c>
      <c r="V28" s="48" t="n">
        <f aca="false">U28*G28+V29</f>
        <v>59201.5616170737</v>
      </c>
      <c r="W28" s="48" t="n">
        <f aca="false">W27+B27*J27*G27</f>
        <v>57000.184149903</v>
      </c>
      <c r="X28" s="12" t="n">
        <f aca="false">Assumptions!$B$29*V28/G28</f>
        <v>5824.39840438693</v>
      </c>
      <c r="Y28" s="12" t="n">
        <f aca="false">W28/G28</f>
        <v>93463.6892857204</v>
      </c>
      <c r="Z28" s="12" t="n">
        <f aca="false">Y28-Q28</f>
        <v>3618.30694878566</v>
      </c>
      <c r="AA28" s="12" t="n">
        <f aca="false">IF(B28&lt;=0,0,MAX(0,(U28+X28-Z28)/B28))</f>
        <v>18535.7666162711</v>
      </c>
    </row>
    <row r="29" customFormat="false" ht="15" hidden="false" customHeight="true" outlineLevel="0" collapsed="false">
      <c r="A29" s="1" t="n">
        <v>17</v>
      </c>
      <c r="B29" s="32" t="n">
        <f aca="false">INDEX(Surface_Engine!$L$12:$L$72,$A29+1)*IF($A29&lt;$B$7,INDEX(Surface_Engine!$E$12:$E$72,$A29+1),INDEX(Surface_Engine!$E$12:$E$72,$B$7+1))</f>
        <v>0.648760986342386</v>
      </c>
      <c r="C29" s="32" t="n">
        <f aca="false">INDEX(Panel_Reserving!$D$8:$D$68,$A29+1)*IF($A29&lt;$B$7,INDEX(Surface_Engine!$E$12:$E$72,$A29+1),INDEX(Surface_Engine!$E$12:$E$72,$B$7+1))</f>
        <v>0.680587685884496</v>
      </c>
      <c r="D29" s="32" t="n">
        <f aca="false">INDEX(Panel_Reserving!$L$8:$L$68,$A29+1)*IF($A29&lt;$B$7,INDEX(Surface_Engine!$E$12:$E$72,$A29+1),INDEX(Surface_Engine!$E$12:$E$72,$B$7+1))</f>
        <v>0.679582739562283</v>
      </c>
      <c r="E29" s="32" t="n">
        <f aca="false">INDEX(Surface_Engine!$L$12:$L$72,$A29+1)*IF($A29&lt;$B$7,INDEX(Surface_Engine!$Y$12:$Y$72,$A29+1),INDEX(Surface_Engine!$Y$12:$Y$72,$B$7+1))</f>
        <v>0.587698857856587</v>
      </c>
      <c r="F29" s="32" t="n">
        <f aca="false">INDEX(Surface_Engine!$L$12:$L$72,$A29+1)*IF($A29&lt;$B$7,INDEX(Surface_Engine!$Z$12:$Z$72,$A29+1),INDEX(Surface_Engine!$Z$12:$Z$72,$B$7+1))</f>
        <v>0.715510399100865</v>
      </c>
      <c r="G29" s="30" t="n">
        <f aca="false">INDEX(Surface_Engine!$B$12:$B$72,$A29+1)</f>
        <v>0.589649060111137</v>
      </c>
      <c r="H29" s="48" t="n">
        <f aca="false">IF($A29&lt;$B$7,INDEX(Surface_Engine!$D$12:$D$72,$A29+1)+($B$9*12)*INDEX(Surface_Engine!$F$12:$F$72,$A29+1)-($B$9*12),$B$8*12*INDEX(Surface_Engine!$C$12:$C$72,$A29+1)/(1+Assumptions!$B$10)^$B$7+INDEX(Surface_Engine!$D$12:$D$72,$A29+1))</f>
        <v>12609.5726974165</v>
      </c>
      <c r="I29" s="48" t="n">
        <f aca="false">IF($A29&lt;$B$7,INDEX(Surface_Engine!$D$12:$D$72,$A29+1)*(1+Assumptions!$B$24)+($B$9*12)*INDEX(Surface_Engine!$F$12:$F$72,$A29+1)-($B$9*12),$B$8*12*INDEX(Surface_Engine!$C$12:$C$72,$A29+1)/(1+Assumptions!$B$10)^$B$7+INDEX(Surface_Engine!$D$12:$D$72,$A29+1)*(1+Assumptions!$B$24))</f>
        <v>12622.0499671582</v>
      </c>
      <c r="J29" s="48" t="n">
        <f aca="false">IF($A29&lt;$B$7,($B$9*12)-($B$9*12)*INDEX(Surface_Engine!$F$12:$F$72,$A29+1)-INDEX(Surface_Engine!$D$12:$D$72,$A29+1),-($B$8*12*INDEX(Surface_Engine!$C$12:$C$72,$A29+1)/(1+Assumptions!$B$10)^$B$7+INDEX(Surface_Engine!$D$12:$D$72,$A29+1)))</f>
        <v>-12609.5726974165</v>
      </c>
      <c r="K29" s="48" t="n">
        <f aca="false">B29*H29*G29+K30</f>
        <v>49749.3562289718</v>
      </c>
      <c r="L29" s="48" t="n">
        <f aca="false">C29*H29*G29+L30</f>
        <v>58332.8136079848</v>
      </c>
      <c r="M29" s="48" t="n">
        <f aca="false">D29*H29*G29+M30</f>
        <v>65059.12934782</v>
      </c>
      <c r="N29" s="48" t="n">
        <f aca="false">E29*H29*G29+N30</f>
        <v>45066.8897334664</v>
      </c>
      <c r="O29" s="48" t="n">
        <f aca="false">F29*H29*G29+O30</f>
        <v>54867.9444044385</v>
      </c>
      <c r="P29" s="48" t="n">
        <f aca="false">B29*I29*G29+P30</f>
        <v>49800.1583894208</v>
      </c>
      <c r="Q29" s="12" t="n">
        <f aca="false">K29/G29</f>
        <v>84371.1278359285</v>
      </c>
      <c r="R29" s="12" t="n">
        <f aca="false">IF(C29&lt;=0,0,MAX(0,(B29/C29)*L29/G29-Q29))</f>
        <v>9930.66562739435</v>
      </c>
      <c r="S29" s="12" t="n">
        <f aca="false">MAX(IF(E29&lt;=0,0,MAX(0,(B29/E29)*N29/G29-Q29)),IF(F29&lt;=0,0,MAX(0,(B29/F29)*O29/G29-Q29)),IF($A29&lt;$B$7,MAX(0,-Assumptions!$B$22*Q29),0))</f>
        <v>0</v>
      </c>
      <c r="T29" s="12" t="n">
        <f aca="false">MAX(0,P29/G29-Q29)</f>
        <v>86.1566037931625</v>
      </c>
      <c r="U29" s="12" t="n">
        <f aca="false">SQRT(R29^2+S29^2+T29^2+2*Assumptions!$B$26*R29*S29+2*Assumptions!$B$27*R29*T29+2*Assumptions!$B$28*S29*T29)</f>
        <v>9952.55439449691</v>
      </c>
      <c r="V29" s="48" t="n">
        <f aca="false">U29*G29+V30</f>
        <v>52983.5378362906</v>
      </c>
      <c r="W29" s="48" t="n">
        <f aca="false">W28+B28*J28*G28</f>
        <v>51956.033110313</v>
      </c>
      <c r="X29" s="12" t="n">
        <f aca="false">Assumptions!$B$29*V29/G29</f>
        <v>5391.36324507709</v>
      </c>
      <c r="Y29" s="12" t="n">
        <f aca="false">W29/G29</f>
        <v>88113.4841468591</v>
      </c>
      <c r="Z29" s="12" t="n">
        <f aca="false">Y29-Q29</f>
        <v>3742.35631093057</v>
      </c>
      <c r="AA29" s="12" t="n">
        <f aca="false">IF(B29&lt;=0,0,MAX(0,(U29+X29-Z29)/B29))</f>
        <v>17882.6433353387</v>
      </c>
    </row>
    <row r="30" customFormat="false" ht="15" hidden="false" customHeight="true" outlineLevel="0" collapsed="false">
      <c r="A30" s="1" t="n">
        <v>18</v>
      </c>
      <c r="B30" s="32" t="n">
        <f aca="false">INDEX(Surface_Engine!$L$12:$L$72,$A30+1)*IF($A30&lt;$B$7,INDEX(Surface_Engine!$E$12:$E$72,$A30+1),INDEX(Surface_Engine!$E$12:$E$72,$B$7+1))</f>
        <v>0.626650275234803</v>
      </c>
      <c r="C30" s="32" t="n">
        <f aca="false">INDEX(Panel_Reserving!$D$8:$D$68,$A30+1)*IF($A30&lt;$B$7,INDEX(Surface_Engine!$E$12:$E$72,$A30+1),INDEX(Surface_Engine!$E$12:$E$72,$B$7+1))</f>
        <v>0.662031357100535</v>
      </c>
      <c r="D30" s="32" t="n">
        <f aca="false">INDEX(Panel_Reserving!$L$8:$L$68,$A30+1)*IF($A30&lt;$B$7,INDEX(Surface_Engine!$E$12:$E$72,$A30+1),INDEX(Surface_Engine!$E$12:$E$72,$B$7+1))</f>
        <v>0.662709410611355</v>
      </c>
      <c r="E30" s="32" t="n">
        <f aca="false">INDEX(Surface_Engine!$L$12:$L$72,$A30+1)*IF($A30&lt;$B$7,INDEX(Surface_Engine!$Y$12:$Y$72,$A30+1),INDEX(Surface_Engine!$Y$12:$Y$72,$B$7+1))</f>
        <v>0.567669232250423</v>
      </c>
      <c r="F30" s="32" t="n">
        <f aca="false">INDEX(Surface_Engine!$L$12:$L$72,$A30+1)*IF($A30&lt;$B$7,INDEX(Surface_Engine!$Z$12:$Z$72,$A30+1),INDEX(Surface_Engine!$Z$12:$Z$72,$B$7+1))</f>
        <v>0.691124771632444</v>
      </c>
      <c r="G30" s="30" t="n">
        <f aca="false">INDEX(Surface_Engine!$B$12:$B$72,$A30+1)</f>
        <v>0.570712145170615</v>
      </c>
      <c r="H30" s="48" t="n">
        <f aca="false">IF($A30&lt;$B$7,INDEX(Surface_Engine!$D$12:$D$72,$A30+1)+($B$9*12)*INDEX(Surface_Engine!$F$12:$F$72,$A30+1)-($B$9*12),$B$8*12*INDEX(Surface_Engine!$C$12:$C$72,$A30+1)/(1+Assumptions!$B$10)^$B$7+INDEX(Surface_Engine!$D$12:$D$72,$A30+1))</f>
        <v>12862.3880148519</v>
      </c>
      <c r="I30" s="48" t="n">
        <f aca="false">IF($A30&lt;$B$7,INDEX(Surface_Engine!$D$12:$D$72,$A30+1)*(1+Assumptions!$B$24)+($B$9*12)*INDEX(Surface_Engine!$F$12:$F$72,$A30+1)-($B$9*12),$B$8*12*INDEX(Surface_Engine!$C$12:$C$72,$A30+1)/(1+Assumptions!$B$10)^$B$7+INDEX(Surface_Engine!$D$12:$D$72,$A30+1)*(1+Assumptions!$B$24))</f>
        <v>12875.1772163371</v>
      </c>
      <c r="J30" s="48" t="n">
        <f aca="false">IF($A30&lt;$B$7,($B$9*12)-($B$9*12)*INDEX(Surface_Engine!$F$12:$F$72,$A30+1)-INDEX(Surface_Engine!$D$12:$D$72,$A30+1),-($B$8*12*INDEX(Surface_Engine!$C$12:$C$72,$A30+1)/(1+Assumptions!$B$10)^$B$7+INDEX(Surface_Engine!$D$12:$D$72,$A30+1)))</f>
        <v>-12862.3880148519</v>
      </c>
      <c r="K30" s="48" t="n">
        <f aca="false">B30*H30*G30+K31</f>
        <v>44925.6738232989</v>
      </c>
      <c r="L30" s="48" t="n">
        <f aca="false">C30*H30*G30+L31</f>
        <v>53272.4926037465</v>
      </c>
      <c r="M30" s="48" t="n">
        <f aca="false">D30*H30*G30+M31</f>
        <v>60006.2803432783</v>
      </c>
      <c r="N30" s="48" t="n">
        <f aca="false">E30*H30*G30+N31</f>
        <v>40697.2178509762</v>
      </c>
      <c r="O30" s="48" t="n">
        <f aca="false">F30*H30*G30+O31</f>
        <v>49547.9652505173</v>
      </c>
      <c r="P30" s="48" t="n">
        <f aca="false">B30*I30*G30+P31</f>
        <v>44971.7029126877</v>
      </c>
      <c r="Q30" s="12" t="n">
        <f aca="false">K30/G30</f>
        <v>78718.6223448396</v>
      </c>
      <c r="R30" s="12" t="n">
        <f aca="false">IF(C30&lt;=0,0,MAX(0,(B30/C30)*L30/G30-Q30))</f>
        <v>9636.67189376154</v>
      </c>
      <c r="S30" s="12" t="n">
        <f aca="false">MAX(IF(E30&lt;=0,0,MAX(0,(B30/E30)*N30/G30-Q30)),IF(F30&lt;=0,0,MAX(0,(B30/F30)*O30/G30-Q30)),IF($A30&lt;$B$7,MAX(0,-Assumptions!$B$22*Q30),0))</f>
        <v>0</v>
      </c>
      <c r="T30" s="12" t="n">
        <f aca="false">MAX(0,P30/G30-Q30)</f>
        <v>80.652023578441</v>
      </c>
      <c r="U30" s="12" t="n">
        <f aca="false">SQRT(R30^2+S30^2+T30^2+2*Assumptions!$B$26*R30*S30+2*Assumptions!$B$27*R30*T30+2*Assumptions!$B$28*S30*T30)</f>
        <v>9657.15063987911</v>
      </c>
      <c r="V30" s="48" t="n">
        <f aca="false">U30*G30+V31</f>
        <v>47115.0234918705</v>
      </c>
      <c r="W30" s="48" t="n">
        <f aca="false">W29+B29*J29*G29</f>
        <v>47132.3507046401</v>
      </c>
      <c r="X30" s="12" t="n">
        <f aca="false">Assumptions!$B$29*V30/G30</f>
        <v>4953.28763095996</v>
      </c>
      <c r="Y30" s="12" t="n">
        <f aca="false">W30/G30</f>
        <v>82585.1545362677</v>
      </c>
      <c r="Z30" s="12" t="n">
        <f aca="false">Y30-Q30</f>
        <v>3866.53219142814</v>
      </c>
      <c r="AA30" s="12" t="n">
        <f aca="false">IF(B30&lt;=0,0,MAX(0,(U30+X30-Z30)/B30))</f>
        <v>17144.9794311273</v>
      </c>
    </row>
    <row r="31" customFormat="false" ht="15" hidden="false" customHeight="true" outlineLevel="0" collapsed="false">
      <c r="A31" s="1" t="n">
        <v>19</v>
      </c>
      <c r="B31" s="32" t="n">
        <f aca="false">INDEX(Surface_Engine!$L$12:$L$72,$A31+1)*IF($A31&lt;$B$7,INDEX(Surface_Engine!$E$12:$E$72,$A31+1),INDEX(Surface_Engine!$E$12:$E$72,$B$7+1))</f>
        <v>0.602681224544387</v>
      </c>
      <c r="C31" s="32" t="n">
        <f aca="false">INDEX(Panel_Reserving!$D$8:$D$68,$A31+1)*IF($A31&lt;$B$7,INDEX(Surface_Engine!$E$12:$E$72,$A31+1),INDEX(Surface_Engine!$E$12:$E$72,$B$7+1))</f>
        <v>0.64177347000261</v>
      </c>
      <c r="D31" s="32" t="n">
        <f aca="false">INDEX(Panel_Reserving!$L$8:$L$68,$A31+1)*IF($A31&lt;$B$7,INDEX(Surface_Engine!$E$12:$E$72,$A31+1),INDEX(Surface_Engine!$E$12:$E$72,$B$7+1))</f>
        <v>0.644539743328243</v>
      </c>
      <c r="E31" s="32" t="n">
        <f aca="false">INDEX(Surface_Engine!$L$12:$L$72,$A31+1)*IF($A31&lt;$B$7,INDEX(Surface_Engine!$Y$12:$Y$72,$A31+1),INDEX(Surface_Engine!$Y$12:$Y$72,$B$7+1))</f>
        <v>0.545956176115401</v>
      </c>
      <c r="F31" s="32" t="n">
        <f aca="false">INDEX(Surface_Engine!$L$12:$L$72,$A31+1)*IF($A31&lt;$B$7,INDEX(Surface_Engine!$Z$12:$Z$72,$A31+1),INDEX(Surface_Engine!$Z$12:$Z$72,$B$7+1))</f>
        <v>0.664689604619307</v>
      </c>
      <c r="G31" s="30" t="n">
        <f aca="false">INDEX(Surface_Engine!$B$12:$B$72,$A31+1)</f>
        <v>0.552897698820573</v>
      </c>
      <c r="H31" s="48" t="n">
        <f aca="false">IF($A31&lt;$B$7,INDEX(Surface_Engine!$D$12:$D$72,$A31+1)+($B$9*12)*INDEX(Surface_Engine!$F$12:$F$72,$A31+1)-($B$9*12),$B$8*12*INDEX(Surface_Engine!$C$12:$C$72,$A31+1)/(1+Assumptions!$B$10)^$B$7+INDEX(Surface_Engine!$D$12:$D$72,$A31+1))</f>
        <v>13120.2752352232</v>
      </c>
      <c r="I31" s="48" t="n">
        <f aca="false">IF($A31&lt;$B$7,INDEX(Surface_Engine!$D$12:$D$72,$A31+1)*(1+Assumptions!$B$24)+($B$9*12)*INDEX(Surface_Engine!$F$12:$F$72,$A31+1)-($B$9*12),$B$8*12*INDEX(Surface_Engine!$C$12:$C$72,$A31+1)/(1+Assumptions!$B$10)^$B$7+INDEX(Surface_Engine!$D$12:$D$72,$A31+1)*(1+Assumptions!$B$24))</f>
        <v>13133.3841667456</v>
      </c>
      <c r="J31" s="48" t="n">
        <f aca="false">IF($A31&lt;$B$7,($B$9*12)-($B$9*12)*INDEX(Surface_Engine!$F$12:$F$72,$A31+1)-INDEX(Surface_Engine!$D$12:$D$72,$A31+1),-($B$8*12*INDEX(Surface_Engine!$C$12:$C$72,$A31+1)/(1+Assumptions!$B$10)^$B$7+INDEX(Surface_Engine!$D$12:$D$72,$A31+1)))</f>
        <v>-13120.2752352232</v>
      </c>
      <c r="K31" s="48" t="n">
        <f aca="false">B31*H31*G31+K32</f>
        <v>40325.6089531515</v>
      </c>
      <c r="L31" s="48" t="n">
        <f aca="false">C31*H31*G31+L32</f>
        <v>48412.7050809643</v>
      </c>
      <c r="M31" s="48" t="n">
        <f aca="false">D31*H31*G31+M32</f>
        <v>55141.5154188121</v>
      </c>
      <c r="N31" s="48" t="n">
        <f aca="false">E31*H31*G31+N32</f>
        <v>36530.1163649675</v>
      </c>
      <c r="O31" s="48" t="n">
        <f aca="false">F31*H31*G31+O32</f>
        <v>44474.6110870905</v>
      </c>
      <c r="P31" s="48" t="n">
        <f aca="false">B31*I31*G31+P32</f>
        <v>40367.0641518754</v>
      </c>
      <c r="Q31" s="12" t="n">
        <f aca="false">K31/G31</f>
        <v>72935.0276537107</v>
      </c>
      <c r="R31" s="12" t="n">
        <f aca="false">IF(C31&lt;=0,0,MAX(0,(B31/C31)*L31/G31-Q31))</f>
        <v>9293.11285360447</v>
      </c>
      <c r="S31" s="12" t="n">
        <f aca="false">MAX(IF(E31&lt;=0,0,MAX(0,(B31/E31)*N31/G31-Q31)),IF(F31&lt;=0,0,MAX(0,(B31/F31)*O31/G31-Q31)),IF($A31&lt;$B$7,MAX(0,-Assumptions!$B$22*Q31),0))</f>
        <v>0</v>
      </c>
      <c r="T31" s="12" t="n">
        <f aca="false">MAX(0,P31/G31-Q31)</f>
        <v>74.9780634145136</v>
      </c>
      <c r="U31" s="12" t="n">
        <f aca="false">SQRT(R31^2+S31^2+T31^2+2*Assumptions!$B$26*R31*S31+2*Assumptions!$B$27*R31*T31+2*Assumptions!$B$28*S31*T31)</f>
        <v>9312.14035666613</v>
      </c>
      <c r="V31" s="48" t="n">
        <f aca="false">U31*G31+V32</f>
        <v>41603.5703339493</v>
      </c>
      <c r="W31" s="48" t="n">
        <f aca="false">W30+B30*J30*G30</f>
        <v>42532.2858344927</v>
      </c>
      <c r="X31" s="12" t="n">
        <f aca="false">Assumptions!$B$29*V31/G31</f>
        <v>4514.78496901293</v>
      </c>
      <c r="Y31" s="12" t="n">
        <f aca="false">W31/G31</f>
        <v>76926.1400892452</v>
      </c>
      <c r="Z31" s="12" t="n">
        <f aca="false">Y31-Q31</f>
        <v>3991.11243553448</v>
      </c>
      <c r="AA31" s="12" t="n">
        <f aca="false">IF(B31&lt;=0,0,MAX(0,(U31+X31-Z31)/B31))</f>
        <v>16320.091765892</v>
      </c>
    </row>
    <row r="32" customFormat="false" ht="15" hidden="false" customHeight="true" outlineLevel="0" collapsed="false">
      <c r="A32" s="1" t="n">
        <v>20</v>
      </c>
      <c r="B32" s="32" t="n">
        <f aca="false">INDEX(Surface_Engine!$L$12:$L$72,$A32+1)*IF($A32&lt;$B$7,INDEX(Surface_Engine!$E$12:$E$72,$A32+1),INDEX(Surface_Engine!$E$12:$E$72,$B$7+1))</f>
        <v>0.576822222557124</v>
      </c>
      <c r="C32" s="32" t="n">
        <f aca="false">INDEX(Panel_Reserving!$D$8:$D$68,$A32+1)*IF($A32&lt;$B$7,INDEX(Surface_Engine!$E$12:$E$72,$A32+1),INDEX(Surface_Engine!$E$12:$E$72,$B$7+1))</f>
        <v>0.619744416154163</v>
      </c>
      <c r="D32" s="32" t="n">
        <f aca="false">INDEX(Panel_Reserving!$L$8:$L$68,$A32+1)*IF($A32&lt;$B$7,INDEX(Surface_Engine!$E$12:$E$72,$A32+1),INDEX(Surface_Engine!$E$12:$E$72,$B$7+1))</f>
        <v>0.625035541045284</v>
      </c>
      <c r="E32" s="32" t="n">
        <f aca="false">INDEX(Surface_Engine!$L$12:$L$72,$A32+1)*IF($A32&lt;$B$7,INDEX(Surface_Engine!$Y$12:$Y$72,$A32+1),INDEX(Surface_Engine!$Y$12:$Y$72,$B$7+1))</f>
        <v>0.522531053068305</v>
      </c>
      <c r="F32" s="32" t="n">
        <f aca="false">INDEX(Surface_Engine!$L$12:$L$72,$A32+1)*IF($A32&lt;$B$7,INDEX(Surface_Engine!$Z$12:$Z$72,$A32+1),INDEX(Surface_Engine!$Z$12:$Z$72,$B$7+1))</f>
        <v>0.636170033896397</v>
      </c>
      <c r="G32" s="30" t="n">
        <f aca="false">INDEX(Surface_Engine!$B$12:$B$72,$A32+1)</f>
        <v>0.535815878737946</v>
      </c>
      <c r="H32" s="48" t="n">
        <f aca="false">IF($A32&lt;$B$7,INDEX(Surface_Engine!$D$12:$D$72,$A32+1)+($B$9*12)*INDEX(Surface_Engine!$F$12:$F$72,$A32+1)-($B$9*12),$B$8*12*INDEX(Surface_Engine!$C$12:$C$72,$A32+1)/(1+Assumptions!$B$10)^$B$7+INDEX(Surface_Engine!$D$12:$D$72,$A32+1))</f>
        <v>13383.3361865038</v>
      </c>
      <c r="I32" s="48" t="n">
        <f aca="false">IF($A32&lt;$B$7,INDEX(Surface_Engine!$D$12:$D$72,$A32+1)*(1+Assumptions!$B$24)+($B$9*12)*INDEX(Surface_Engine!$F$12:$F$72,$A32+1)-($B$9*12),$B$8*12*INDEX(Surface_Engine!$C$12:$C$72,$A32+1)/(1+Assumptions!$B$10)^$B$7+INDEX(Surface_Engine!$D$12:$D$72,$A32+1)*(1+Assumptions!$B$24))</f>
        <v>13396.7728413142</v>
      </c>
      <c r="J32" s="48" t="n">
        <f aca="false">IF($A32&lt;$B$7,($B$9*12)-($B$9*12)*INDEX(Surface_Engine!$F$12:$F$72,$A32+1)-INDEX(Surface_Engine!$D$12:$D$72,$A32+1),-($B$8*12*INDEX(Surface_Engine!$C$12:$C$72,$A32+1)/(1+Assumptions!$B$10)^$B$7+INDEX(Surface_Engine!$D$12:$D$72,$A32+1)))</f>
        <v>-13383.3361865038</v>
      </c>
      <c r="K32" s="48" t="n">
        <f aca="false">B32*H32*G32+K33</f>
        <v>35953.6569032689</v>
      </c>
      <c r="L32" s="48" t="n">
        <f aca="false">C32*H32*G32+L33</f>
        <v>43757.1712374149</v>
      </c>
      <c r="M32" s="48" t="n">
        <f aca="false">D32*H32*G32+M33</f>
        <v>50465.9145583323</v>
      </c>
      <c r="N32" s="48" t="n">
        <f aca="false">E32*H32*G32+N33</f>
        <v>32569.6574588215</v>
      </c>
      <c r="O32" s="48" t="n">
        <f aca="false">F32*H32*G32+O33</f>
        <v>39652.8397076222</v>
      </c>
      <c r="P32" s="48" t="n">
        <f aca="false">B32*I32*G32+P33</f>
        <v>35990.743929907</v>
      </c>
      <c r="Q32" s="12" t="n">
        <f aca="false">K32/G32</f>
        <v>67100.7678756249</v>
      </c>
      <c r="R32" s="12" t="n">
        <f aca="false">IF(C32&lt;=0,0,MAX(0,(B32/C32)*L32/G32-Q32))</f>
        <v>8907.88227788116</v>
      </c>
      <c r="S32" s="12" t="n">
        <f aca="false">MAX(IF(E32&lt;=0,0,MAX(0,(B32/E32)*N32/G32-Q32)),IF(F32&lt;=0,0,MAX(0,(B32/F32)*O32/G32-Q32)),IF($A32&lt;$B$7,MAX(0,-Assumptions!$B$22*Q32),0))</f>
        <v>0</v>
      </c>
      <c r="T32" s="12" t="n">
        <f aca="false">MAX(0,P32/G32-Q32)</f>
        <v>69.2159902491985</v>
      </c>
      <c r="U32" s="12" t="n">
        <f aca="false">SQRT(R32^2+S32^2+T32^2+2*Assumptions!$B$26*R32*S32+2*Assumptions!$B$27*R32*T32+2*Assumptions!$B$28*S32*T32)</f>
        <v>8925.43788709209</v>
      </c>
      <c r="V32" s="48" t="n">
        <f aca="false">U32*G32+V33</f>
        <v>36454.9093596545</v>
      </c>
      <c r="W32" s="48" t="n">
        <f aca="false">W31+B31*J31*G31</f>
        <v>38160.3337846101</v>
      </c>
      <c r="X32" s="12" t="n">
        <f aca="false">Assumptions!$B$29*V32/G32</f>
        <v>4082.17570321207</v>
      </c>
      <c r="Y32" s="12" t="n">
        <f aca="false">W32/G32</f>
        <v>71219.1170491111</v>
      </c>
      <c r="Z32" s="12" t="n">
        <f aca="false">Y32-Q32</f>
        <v>4118.34917348619</v>
      </c>
      <c r="AA32" s="12" t="n">
        <f aca="false">IF(B32&lt;=0,0,MAX(0,(U32+X32-Z32)/B32))</f>
        <v>15410.7523413553</v>
      </c>
    </row>
    <row r="33" customFormat="false" ht="15" hidden="false" customHeight="true" outlineLevel="0" collapsed="false">
      <c r="A33" s="1" t="n">
        <v>21</v>
      </c>
      <c r="B33" s="32" t="n">
        <f aca="false">INDEX(Surface_Engine!$L$12:$L$72,$A33+1)*IF($A33&lt;$B$7,INDEX(Surface_Engine!$E$12:$E$72,$A33+1),INDEX(Surface_Engine!$E$12:$E$72,$B$7+1))</f>
        <v>0.548167803044827</v>
      </c>
      <c r="C33" s="32" t="n">
        <f aca="false">INDEX(Panel_Reserving!$D$8:$D$68,$A33+1)*IF($A33&lt;$B$7,INDEX(Surface_Engine!$E$12:$E$72,$A33+1),INDEX(Surface_Engine!$E$12:$E$72,$B$7+1))</f>
        <v>0.595115106399543</v>
      </c>
      <c r="D33" s="32" t="n">
        <f aca="false">INDEX(Panel_Reserving!$L$8:$L$68,$A33+1)*IF($A33&lt;$B$7,INDEX(Surface_Engine!$E$12:$E$72,$A33+1),INDEX(Surface_Engine!$E$12:$E$72,$B$7+1))</f>
        <v>0.603488733799383</v>
      </c>
      <c r="E33" s="32" t="n">
        <f aca="false">INDEX(Surface_Engine!$L$12:$L$72,$A33+1)*IF($A33&lt;$B$7,INDEX(Surface_Engine!$Y$12:$Y$72,$A33+1),INDEX(Surface_Engine!$Y$12:$Y$72,$B$7+1))</f>
        <v>0.496573620401365</v>
      </c>
      <c r="F33" s="32" t="n">
        <f aca="false">INDEX(Surface_Engine!$L$12:$L$72,$A33+1)*IF($A33&lt;$B$7,INDEX(Surface_Engine!$Z$12:$Z$72,$A33+1),INDEX(Surface_Engine!$Z$12:$Z$72,$B$7+1))</f>
        <v>0.604567432055559</v>
      </c>
      <c r="G33" s="30" t="n">
        <f aca="false">INDEX(Surface_Engine!$B$12:$B$72,$A33+1)</f>
        <v>0.51925173773423</v>
      </c>
      <c r="H33" s="48" t="n">
        <f aca="false">IF($A33&lt;$B$7,INDEX(Surface_Engine!$D$12:$D$72,$A33+1)+($B$9*12)*INDEX(Surface_Engine!$F$12:$F$72,$A33+1)-($B$9*12),$B$8*12*INDEX(Surface_Engine!$C$12:$C$72,$A33+1)/(1+Assumptions!$B$10)^$B$7+INDEX(Surface_Engine!$D$12:$D$72,$A33+1))</f>
        <v>13651.6747429744</v>
      </c>
      <c r="I33" s="48" t="n">
        <f aca="false">IF($A33&lt;$B$7,INDEX(Surface_Engine!$D$12:$D$72,$A33+1)*(1+Assumptions!$B$24)+($B$9*12)*INDEX(Surface_Engine!$F$12:$F$72,$A33+1)-($B$9*12),$B$8*12*INDEX(Surface_Engine!$C$12:$C$72,$A33+1)/(1+Assumptions!$B$10)^$B$7+INDEX(Surface_Engine!$D$12:$D$72,$A33+1)*(1+Assumptions!$B$24))</f>
        <v>13665.447314155</v>
      </c>
      <c r="J33" s="48" t="n">
        <f aca="false">IF($A33&lt;$B$7,($B$9*12)-($B$9*12)*INDEX(Surface_Engine!$F$12:$F$72,$A33+1)-INDEX(Surface_Engine!$D$12:$D$72,$A33+1),-($B$8*12*INDEX(Surface_Engine!$C$12:$C$72,$A33+1)/(1+Assumptions!$B$10)^$B$7+INDEX(Surface_Engine!$D$12:$D$72,$A33+1)))</f>
        <v>-13651.6747429744</v>
      </c>
      <c r="K33" s="48" t="n">
        <f aca="false">B33*H33*G33+K34</f>
        <v>31817.2624154017</v>
      </c>
      <c r="L33" s="48" t="n">
        <f aca="false">C33*H33*G33+L34</f>
        <v>39312.9815258913</v>
      </c>
      <c r="M33" s="48" t="n">
        <f aca="false">D33*H33*G33+M34</f>
        <v>45983.7821688425</v>
      </c>
      <c r="N33" s="48" t="n">
        <f aca="false">E33*H33*G33+N34</f>
        <v>28822.5851666524</v>
      </c>
      <c r="O33" s="48" t="n">
        <f aca="false">F33*H33*G33+O34</f>
        <v>35090.8618249224</v>
      </c>
      <c r="P33" s="48" t="n">
        <f aca="false">B33*I33*G33+P34</f>
        <v>31850.1965683378</v>
      </c>
      <c r="Q33" s="12" t="n">
        <f aca="false">K33/G33</f>
        <v>61275.2160526938</v>
      </c>
      <c r="R33" s="12" t="n">
        <f aca="false">IF(C33&lt;=0,0,MAX(0,(B33/C33)*L33/G33-Q33))</f>
        <v>8462.9580705784</v>
      </c>
      <c r="S33" s="12" t="n">
        <f aca="false">MAX(IF(E33&lt;=0,0,MAX(0,(B33/E33)*N33/G33-Q33)),IF(F33&lt;=0,0,MAX(0,(B33/F33)*O33/G33-Q33)),IF($A33&lt;$B$7,MAX(0,-Assumptions!$B$22*Q33),0))</f>
        <v>0</v>
      </c>
      <c r="T33" s="12" t="n">
        <f aca="false">MAX(0,P33/G33-Q33)</f>
        <v>63.4261775990672</v>
      </c>
      <c r="U33" s="12" t="n">
        <f aca="false">SQRT(R33^2+S33^2+T33^2+2*Assumptions!$B$26*R33*S33+2*Assumptions!$B$27*R33*T33+2*Assumptions!$B$28*S33*T33)</f>
        <v>8479.03701638174</v>
      </c>
      <c r="V33" s="48" t="n">
        <f aca="false">U33*G33+V34</f>
        <v>31672.5180150613</v>
      </c>
      <c r="W33" s="48" t="n">
        <f aca="false">W32+B32*J32*G32</f>
        <v>34023.9392967429</v>
      </c>
      <c r="X33" s="12" t="n">
        <f aca="false">Assumptions!$B$29*V33/G33</f>
        <v>3659.78761899943</v>
      </c>
      <c r="Y33" s="12" t="n">
        <f aca="false">W33/G33</f>
        <v>65524.9406486482</v>
      </c>
      <c r="Z33" s="12" t="n">
        <f aca="false">Y33-Q33</f>
        <v>4249.72459595434</v>
      </c>
      <c r="AA33" s="12" t="n">
        <f aca="false">IF(B33&lt;=0,0,MAX(0,(U33+X33-Z33)/B33))</f>
        <v>14391.7610549296</v>
      </c>
    </row>
    <row r="34" customFormat="false" ht="15" hidden="false" customHeight="true" outlineLevel="0" collapsed="false">
      <c r="A34" s="1" t="n">
        <v>22</v>
      </c>
      <c r="B34" s="32" t="n">
        <f aca="false">INDEX(Surface_Engine!$L$12:$L$72,$A34+1)*IF($A34&lt;$B$7,INDEX(Surface_Engine!$E$12:$E$72,$A34+1),INDEX(Surface_Engine!$E$12:$E$72,$B$7+1))</f>
        <v>0.517281065049269</v>
      </c>
      <c r="C34" s="32" t="n">
        <f aca="false">INDEX(Panel_Reserving!$D$8:$D$68,$A34+1)*IF($A34&lt;$B$7,INDEX(Surface_Engine!$E$12:$E$72,$A34+1),INDEX(Surface_Engine!$E$12:$E$72,$B$7+1))</f>
        <v>0.568289504069071</v>
      </c>
      <c r="D34" s="32" t="n">
        <f aca="false">INDEX(Panel_Reserving!$L$8:$L$68,$A34+1)*IF($A34&lt;$B$7,INDEX(Surface_Engine!$E$12:$E$72,$A34+1),INDEX(Surface_Engine!$E$12:$E$72,$B$7+1))</f>
        <v>0.580268292196815</v>
      </c>
      <c r="E34" s="32" t="n">
        <f aca="false">INDEX(Surface_Engine!$L$12:$L$72,$A34+1)*IF($A34&lt;$B$7,INDEX(Surface_Engine!$Y$12:$Y$72,$A34+1),INDEX(Surface_Engine!$Y$12:$Y$72,$B$7+1))</f>
        <v>0.468593977628386</v>
      </c>
      <c r="F34" s="32" t="n">
        <f aca="false">INDEX(Surface_Engine!$L$12:$L$72,$A34+1)*IF($A34&lt;$B$7,INDEX(Surface_Engine!$Z$12:$Z$72,$A34+1),INDEX(Surface_Engine!$Z$12:$Z$72,$B$7+1))</f>
        <v>0.57050283400579</v>
      </c>
      <c r="G34" s="30" t="n">
        <f aca="false">INDEX(Surface_Engine!$B$12:$B$72,$A34+1)</f>
        <v>0.503189904708666</v>
      </c>
      <c r="H34" s="48" t="n">
        <f aca="false">IF($A34&lt;$B$7,INDEX(Surface_Engine!$D$12:$D$72,$A34+1)+($B$9*12)*INDEX(Surface_Engine!$F$12:$F$72,$A34+1)-($B$9*12),$B$8*12*INDEX(Surface_Engine!$C$12:$C$72,$A34+1)/(1+Assumptions!$B$10)^$B$7+INDEX(Surface_Engine!$D$12:$D$72,$A34+1))</f>
        <v>13925.3968663929</v>
      </c>
      <c r="I34" s="48" t="n">
        <f aca="false">IF($A34&lt;$B$7,INDEX(Surface_Engine!$D$12:$D$72,$A34+1)*(1+Assumptions!$B$24)+($B$9*12)*INDEX(Surface_Engine!$F$12:$F$72,$A34+1)-($B$9*12),$B$8*12*INDEX(Surface_Engine!$C$12:$C$72,$A34+1)/(1+Assumptions!$B$10)^$B$7+INDEX(Surface_Engine!$D$12:$D$72,$A34+1)*(1+Assumptions!$B$24))</f>
        <v>13939.5137518531</v>
      </c>
      <c r="J34" s="48" t="n">
        <f aca="false">IF($A34&lt;$B$7,($B$9*12)-($B$9*12)*INDEX(Surface_Engine!$F$12:$F$72,$A34+1)-INDEX(Surface_Engine!$D$12:$D$72,$A34+1),-($B$8*12*INDEX(Surface_Engine!$C$12:$C$72,$A34+1)/(1+Assumptions!$B$10)^$B$7+INDEX(Surface_Engine!$D$12:$D$72,$A34+1)))</f>
        <v>-13925.3968663929</v>
      </c>
      <c r="K34" s="48" t="n">
        <f aca="false">B34*H34*G34+K35</f>
        <v>27931.4895207361</v>
      </c>
      <c r="L34" s="48" t="n">
        <f aca="false">C34*H34*G34+L35</f>
        <v>35094.4153554439</v>
      </c>
      <c r="M34" s="48" t="n">
        <f aca="false">D34*H34*G34+M35</f>
        <v>41705.8582356816</v>
      </c>
      <c r="N34" s="48" t="n">
        <f aca="false">E34*H34*G34+N35</f>
        <v>25302.5456757453</v>
      </c>
      <c r="O34" s="48" t="n">
        <f aca="false">F34*H34*G34+O35</f>
        <v>30805.2913710755</v>
      </c>
      <c r="P34" s="48" t="n">
        <f aca="false">B34*I34*G34+P35</f>
        <v>27960.5034891681</v>
      </c>
      <c r="Q34" s="12" t="n">
        <f aca="false">K34/G34</f>
        <v>55508.8432008741</v>
      </c>
      <c r="R34" s="12" t="n">
        <f aca="false">IF(C34&lt;=0,0,MAX(0,(B34/C34)*L34/G34-Q34))</f>
        <v>7974.9749334649</v>
      </c>
      <c r="S34" s="12" t="n">
        <f aca="false">MAX(IF(E34&lt;=0,0,MAX(0,(B34/E34)*N34/G34-Q34)),IF(F34&lt;=0,0,MAX(0,(B34/F34)*O34/G34-Q34)),IF($A34&lt;$B$7,MAX(0,-Assumptions!$B$22*Q34),0))</f>
        <v>0</v>
      </c>
      <c r="T34" s="12" t="n">
        <f aca="false">MAX(0,P34/G34-Q34)</f>
        <v>57.6600765644689</v>
      </c>
      <c r="U34" s="12" t="n">
        <f aca="false">SQRT(R34^2+S34^2+T34^2+2*Assumptions!$B$26*R34*S34+2*Assumptions!$B$27*R34*T34+2*Assumptions!$B$28*S34*T34)</f>
        <v>7989.58501465843</v>
      </c>
      <c r="V34" s="48" t="n">
        <f aca="false">U34*G34+V35</f>
        <v>27269.7633099922</v>
      </c>
      <c r="W34" s="48" t="n">
        <f aca="false">W33+B33*J33*G33</f>
        <v>30138.1664020773</v>
      </c>
      <c r="X34" s="12" t="n">
        <f aca="false">Assumptions!$B$29*V34/G34</f>
        <v>3251.62683767839</v>
      </c>
      <c r="Y34" s="12" t="n">
        <f aca="false">W34/G34</f>
        <v>59894.2191010897</v>
      </c>
      <c r="Z34" s="12" t="n">
        <f aca="false">Y34-Q34</f>
        <v>4385.37590021565</v>
      </c>
      <c r="AA34" s="12" t="n">
        <f aca="false">IF(B34&lt;=0,0,MAX(0,(U34+X34-Z34)/B34))</f>
        <v>13253.5992815979</v>
      </c>
    </row>
    <row r="35" customFormat="false" ht="15" hidden="false" customHeight="true" outlineLevel="0" collapsed="false">
      <c r="A35" s="1" t="n">
        <v>23</v>
      </c>
      <c r="B35" s="32" t="n">
        <f aca="false">INDEX(Surface_Engine!$L$12:$L$72,$A35+1)*IF($A35&lt;$B$7,INDEX(Surface_Engine!$E$12:$E$72,$A35+1),INDEX(Surface_Engine!$E$12:$E$72,$B$7+1))</f>
        <v>0.484226679255031</v>
      </c>
      <c r="C35" s="32" t="n">
        <f aca="false">INDEX(Panel_Reserving!$D$8:$D$68,$A35+1)*IF($A35&lt;$B$7,INDEX(Surface_Engine!$E$12:$E$72,$A35+1),INDEX(Surface_Engine!$E$12:$E$72,$B$7+1))</f>
        <v>0.539238434111927</v>
      </c>
      <c r="D35" s="32" t="n">
        <f aca="false">INDEX(Panel_Reserving!$L$8:$L$68,$A35+1)*IF($A35&lt;$B$7,INDEX(Surface_Engine!$E$12:$E$72,$A35+1),INDEX(Surface_Engine!$E$12:$E$72,$B$7+1))</f>
        <v>0.555348013484002</v>
      </c>
      <c r="E35" s="32" t="n">
        <f aca="false">INDEX(Surface_Engine!$L$12:$L$72,$A35+1)*IF($A35&lt;$B$7,INDEX(Surface_Engine!$Y$12:$Y$72,$A35+1),INDEX(Surface_Engine!$Y$12:$Y$72,$B$7+1))</f>
        <v>0.438650708554909</v>
      </c>
      <c r="F35" s="32" t="n">
        <f aca="false">INDEX(Surface_Engine!$L$12:$L$72,$A35+1)*IF($A35&lt;$B$7,INDEX(Surface_Engine!$Z$12:$Z$72,$A35+1),INDEX(Surface_Engine!$Z$12:$Z$72,$B$7+1))</f>
        <v>0.534047564238401</v>
      </c>
      <c r="G35" s="30" t="n">
        <f aca="false">INDEX(Surface_Engine!$B$12:$B$72,$A35+1)</f>
        <v>0.487615455114014</v>
      </c>
      <c r="H35" s="48" t="n">
        <f aca="false">IF($A35&lt;$B$7,INDEX(Surface_Engine!$D$12:$D$72,$A35+1)+($B$9*12)*INDEX(Surface_Engine!$F$12:$F$72,$A35+1)-($B$9*12),$B$8*12*INDEX(Surface_Engine!$C$12:$C$72,$A35+1)/(1+Assumptions!$B$10)^$B$7+INDEX(Surface_Engine!$D$12:$D$72,$A35+1))</f>
        <v>14204.6106479938</v>
      </c>
      <c r="I35" s="48" t="n">
        <f aca="false">IF($A35&lt;$B$7,INDEX(Surface_Engine!$D$12:$D$72,$A35+1)*(1+Assumptions!$B$24)+($B$9*12)*INDEX(Surface_Engine!$F$12:$F$72,$A35+1)-($B$9*12),$B$8*12*INDEX(Surface_Engine!$C$12:$C$72,$A35+1)/(1+Assumptions!$B$10)^$B$7+INDEX(Surface_Engine!$D$12:$D$72,$A35+1)*(1+Assumptions!$B$24))</f>
        <v>14219.0804555905</v>
      </c>
      <c r="J35" s="48" t="n">
        <f aca="false">IF($A35&lt;$B$7,($B$9*12)-($B$9*12)*INDEX(Surface_Engine!$F$12:$F$72,$A35+1)-INDEX(Surface_Engine!$D$12:$D$72,$A35+1),-($B$8*12*INDEX(Surface_Engine!$C$12:$C$72,$A35+1)/(1+Assumptions!$B$10)^$B$7+INDEX(Surface_Engine!$D$12:$D$72,$A35+1)))</f>
        <v>-14204.6106479938</v>
      </c>
      <c r="K35" s="48" t="n">
        <f aca="false">B35*H35*G35+K36</f>
        <v>24306.8394782616</v>
      </c>
      <c r="L35" s="48" t="n">
        <f aca="false">C35*H35*G35+L36</f>
        <v>31112.3431045185</v>
      </c>
      <c r="M35" s="48" t="n">
        <f aca="false">D35*H35*G35+M36</f>
        <v>37639.8491894052</v>
      </c>
      <c r="N35" s="48" t="n">
        <f aca="false">E35*H35*G35+N36</f>
        <v>22019.0518545434</v>
      </c>
      <c r="O35" s="48" t="n">
        <f aca="false">F35*H35*G35+O36</f>
        <v>26807.7100536267</v>
      </c>
      <c r="P35" s="48" t="n">
        <f aca="false">B35*I35*G35+P36</f>
        <v>24332.1789539682</v>
      </c>
      <c r="Q35" s="12" t="n">
        <f aca="false">K35/G35</f>
        <v>49848.3779038098</v>
      </c>
      <c r="R35" s="12" t="n">
        <f aca="false">IF(C35&lt;=0,0,MAX(0,(B35/C35)*L35/G35-Q35))</f>
        <v>7447.46756155276</v>
      </c>
      <c r="S35" s="12" t="n">
        <f aca="false">MAX(IF(E35&lt;=0,0,MAX(0,(B35/E35)*N35/G35-Q35)),IF(F35&lt;=0,0,MAX(0,(B35/F35)*O35/G35-Q35)),IF($A35&lt;$B$7,MAX(0,-Assumptions!$B$22*Q35),0))</f>
        <v>0</v>
      </c>
      <c r="T35" s="12" t="n">
        <f aca="false">MAX(0,P35/G35-Q35)</f>
        <v>51.9661045212852</v>
      </c>
      <c r="U35" s="12" t="n">
        <f aca="false">SQRT(R35^2+S35^2+T35^2+2*Assumptions!$B$26*R35*S35+2*Assumptions!$B$27*R35*T35+2*Assumptions!$B$28*S35*T35)</f>
        <v>7460.62876004838</v>
      </c>
      <c r="V35" s="48" t="n">
        <f aca="false">U35*G35+V36</f>
        <v>23249.4847878044</v>
      </c>
      <c r="W35" s="48" t="n">
        <f aca="false">W34+B34*J34*G34</f>
        <v>26513.5163596027</v>
      </c>
      <c r="X35" s="12" t="n">
        <f aca="false">Assumptions!$B$29*V35/G35</f>
        <v>2860.79752525911</v>
      </c>
      <c r="Y35" s="12" t="n">
        <f aca="false">W35/G35</f>
        <v>54373.8228178256</v>
      </c>
      <c r="Z35" s="12" t="n">
        <f aca="false">Y35-Q35</f>
        <v>4525.44491401576</v>
      </c>
      <c r="AA35" s="12" t="n">
        <f aca="false">IF(B35&lt;=0,0,MAX(0,(U35+X35-Z35)/B35))</f>
        <v>11969.5622310788</v>
      </c>
    </row>
    <row r="36" customFormat="false" ht="15" hidden="false" customHeight="true" outlineLevel="0" collapsed="false">
      <c r="A36" s="1" t="n">
        <v>24</v>
      </c>
      <c r="B36" s="32" t="n">
        <f aca="false">INDEX(Surface_Engine!$L$12:$L$72,$A36+1)*IF($A36&lt;$B$7,INDEX(Surface_Engine!$E$12:$E$72,$A36+1),INDEX(Surface_Engine!$E$12:$E$72,$B$7+1))</f>
        <v>0.449154499373439</v>
      </c>
      <c r="C36" s="32" t="n">
        <f aca="false">INDEX(Panel_Reserving!$D$8:$D$68,$A36+1)*IF($A36&lt;$B$7,INDEX(Surface_Engine!$E$12:$E$72,$A36+1),INDEX(Surface_Engine!$E$12:$E$72,$B$7+1))</f>
        <v>0.507993121665553</v>
      </c>
      <c r="D36" s="32" t="n">
        <f aca="false">INDEX(Panel_Reserving!$L$8:$L$68,$A36+1)*IF($A36&lt;$B$7,INDEX(Surface_Engine!$E$12:$E$72,$A36+1),INDEX(Surface_Engine!$E$12:$E$72,$B$7+1))</f>
        <v>0.528736384388642</v>
      </c>
      <c r="E36" s="32" t="n">
        <f aca="false">INDEX(Surface_Engine!$L$12:$L$72,$A36+1)*IF($A36&lt;$B$7,INDEX(Surface_Engine!$Y$12:$Y$72,$A36+1),INDEX(Surface_Engine!$Y$12:$Y$72,$B$7+1))</f>
        <v>0.406879562488992</v>
      </c>
      <c r="F36" s="32" t="n">
        <f aca="false">INDEX(Surface_Engine!$L$12:$L$72,$A36+1)*IF($A36&lt;$B$7,INDEX(Surface_Engine!$Z$12:$Z$72,$A36+1),INDEX(Surface_Engine!$Z$12:$Z$72,$B$7+1))</f>
        <v>0.495366894542317</v>
      </c>
      <c r="G36" s="30" t="n">
        <f aca="false">INDEX(Surface_Engine!$B$12:$B$72,$A36+1)</f>
        <v>0.472403995889235</v>
      </c>
      <c r="H36" s="48" t="n">
        <f aca="false">IF($A36&lt;$B$7,INDEX(Surface_Engine!$D$12:$D$72,$A36+1)+($B$9*12)*INDEX(Surface_Engine!$F$12:$F$72,$A36+1)-($B$9*12),$B$8*12*INDEX(Surface_Engine!$C$12:$C$72,$A36+1)/(1+Assumptions!$B$10)^$B$7+INDEX(Surface_Engine!$D$12:$D$72,$A36+1))</f>
        <v>14489.4263513335</v>
      </c>
      <c r="I36" s="48" t="n">
        <f aca="false">IF($A36&lt;$B$7,INDEX(Surface_Engine!$D$12:$D$72,$A36+1)*(1+Assumptions!$B$24)+($B$9*12)*INDEX(Surface_Engine!$F$12:$F$72,$A36+1)-($B$9*12),$B$8*12*INDEX(Surface_Engine!$C$12:$C$72,$A36+1)/(1+Assumptions!$B$10)^$B$7+INDEX(Surface_Engine!$D$12:$D$72,$A36+1)*(1+Assumptions!$B$24))</f>
        <v>14504.2579041201</v>
      </c>
      <c r="J36" s="48" t="n">
        <f aca="false">IF($A36&lt;$B$7,($B$9*12)-($B$9*12)*INDEX(Surface_Engine!$F$12:$F$72,$A36+1)-INDEX(Surface_Engine!$D$12:$D$72,$A36+1),-($B$8*12*INDEX(Surface_Engine!$C$12:$C$72,$A36+1)/(1+Assumptions!$B$10)^$B$7+INDEX(Surface_Engine!$D$12:$D$72,$A36+1)))</f>
        <v>-14489.4263513335</v>
      </c>
      <c r="K36" s="48" t="n">
        <f aca="false">B36*H36*G36+K37</f>
        <v>20952.8977699149</v>
      </c>
      <c r="L36" s="48" t="n">
        <f aca="false">C36*H36*G36+L37</f>
        <v>27377.3686547547</v>
      </c>
      <c r="M36" s="48" t="n">
        <f aca="false">D36*H36*G36+M37</f>
        <v>33793.2935474545</v>
      </c>
      <c r="N36" s="48" t="n">
        <f aca="false">E36*H36*G36+N37</f>
        <v>18980.7869884241</v>
      </c>
      <c r="O36" s="48" t="n">
        <f aca="false">F36*H36*G36+O37</f>
        <v>23108.6895810336</v>
      </c>
      <c r="P36" s="48" t="n">
        <f aca="false">B36*I36*G36+P37</f>
        <v>20974.820686561</v>
      </c>
      <c r="Q36" s="12" t="n">
        <f aca="false">K36/G36</f>
        <v>44353.7691303265</v>
      </c>
      <c r="R36" s="12" t="n">
        <f aca="false">IF(C36&lt;=0,0,MAX(0,(B36/C36)*L36/G36-Q36))</f>
        <v>6887.05006334294</v>
      </c>
      <c r="S36" s="12" t="n">
        <f aca="false">MAX(IF(E36&lt;=0,0,MAX(0,(B36/E36)*N36/G36-Q36)),IF(F36&lt;=0,0,MAX(0,(B36/F36)*O36/G36-Q36)),IF($A36&lt;$B$7,MAX(0,-Assumptions!$B$22*Q36),0))</f>
        <v>0</v>
      </c>
      <c r="T36" s="12" t="n">
        <f aca="false">MAX(0,P36/G36-Q36)</f>
        <v>46.4071363428884</v>
      </c>
      <c r="U36" s="12" t="n">
        <f aca="false">SQRT(R36^2+S36^2+T36^2+2*Assumptions!$B$26*R36*S36+2*Assumptions!$B$27*R36*T36+2*Assumptions!$B$28*S36*T36)</f>
        <v>6898.79818033116</v>
      </c>
      <c r="V36" s="48" t="n">
        <f aca="false">U36*G36+V37</f>
        <v>19611.5668995367</v>
      </c>
      <c r="W36" s="48" t="n">
        <f aca="false">W35+B35*J35*G35</f>
        <v>23159.5746512561</v>
      </c>
      <c r="X36" s="12" t="n">
        <f aca="false">Assumptions!$B$29*V36/G36</f>
        <v>2490.86380346389</v>
      </c>
      <c r="Y36" s="12" t="n">
        <f aca="false">W36/G36</f>
        <v>49024.9338548912</v>
      </c>
      <c r="Z36" s="12" t="n">
        <f aca="false">Y36-Q36</f>
        <v>4671.16472456467</v>
      </c>
      <c r="AA36" s="12" t="n">
        <f aca="false">IF(B36&lt;=0,0,MAX(0,(U36+X36-Z36)/B36))</f>
        <v>10505.2877480078</v>
      </c>
    </row>
    <row r="37" customFormat="false" ht="15" hidden="false" customHeight="true" outlineLevel="0" collapsed="false">
      <c r="A37" s="1" t="n">
        <v>25</v>
      </c>
      <c r="B37" s="32" t="n">
        <f aca="false">INDEX(Surface_Engine!$L$12:$L$72,$A37+1)*IF($A37&lt;$B$7,INDEX(Surface_Engine!$E$12:$E$72,$A37+1),INDEX(Surface_Engine!$E$12:$E$72,$B$7+1))</f>
        <v>0.412314462599519</v>
      </c>
      <c r="C37" s="32" t="n">
        <f aca="false">INDEX(Panel_Reserving!$D$8:$D$68,$A37+1)*IF($A37&lt;$B$7,INDEX(Surface_Engine!$E$12:$E$72,$A37+1),INDEX(Surface_Engine!$E$12:$E$72,$B$7+1))</f>
        <v>0.47466029688626</v>
      </c>
      <c r="D37" s="32" t="n">
        <f aca="false">INDEX(Panel_Reserving!$L$8:$L$68,$A37+1)*IF($A37&lt;$B$7,INDEX(Surface_Engine!$E$12:$E$72,$A37+1),INDEX(Surface_Engine!$E$12:$E$72,$B$7+1))</f>
        <v>0.500484422706681</v>
      </c>
      <c r="E37" s="32" t="n">
        <f aca="false">INDEX(Surface_Engine!$L$12:$L$72,$A37+1)*IF($A37&lt;$B$7,INDEX(Surface_Engine!$Y$12:$Y$72,$A37+1),INDEX(Surface_Engine!$Y$12:$Y$72,$B$7+1))</f>
        <v>0.373506952250063</v>
      </c>
      <c r="F37" s="32" t="n">
        <f aca="false">INDEX(Surface_Engine!$L$12:$L$72,$A37+1)*IF($A37&lt;$B$7,INDEX(Surface_Engine!$Z$12:$Z$72,$A37+1),INDEX(Surface_Engine!$Z$12:$Z$72,$B$7+1))</f>
        <v>0.454736477532181</v>
      </c>
      <c r="G37" s="30" t="n">
        <f aca="false">INDEX(Surface_Engine!$B$12:$B$72,$A37+1)</f>
        <v>0.457760232732789</v>
      </c>
      <c r="H37" s="48" t="n">
        <f aca="false">IF($A37&lt;$B$7,INDEX(Surface_Engine!$D$12:$D$72,$A37+1)+($B$9*12)*INDEX(Surface_Engine!$F$12:$F$72,$A37+1)-($B$9*12),$B$8*12*INDEX(Surface_Engine!$C$12:$C$72,$A37+1)/(1+Assumptions!$B$10)^$B$7+INDEX(Surface_Engine!$D$12:$D$72,$A37+1))</f>
        <v>14779.9564559995</v>
      </c>
      <c r="I37" s="48" t="n">
        <f aca="false">IF($A37&lt;$B$7,INDEX(Surface_Engine!$D$12:$D$72,$A37+1)*(1+Assumptions!$B$24)+($B$9*12)*INDEX(Surface_Engine!$F$12:$F$72,$A37+1)-($B$9*12),$B$8*12*INDEX(Surface_Engine!$C$12:$C$72,$A37+1)/(1+Assumptions!$B$10)^$B$7+INDEX(Surface_Engine!$D$12:$D$72,$A37+1)*(1+Assumptions!$B$24))</f>
        <v>14795.1587976057</v>
      </c>
      <c r="J37" s="48" t="n">
        <f aca="false">IF($A37&lt;$B$7,($B$9*12)-($B$9*12)*INDEX(Surface_Engine!$F$12:$F$72,$A37+1)-INDEX(Surface_Engine!$D$12:$D$72,$A37+1),-($B$8*12*INDEX(Surface_Engine!$C$12:$C$72,$A37+1)/(1+Assumptions!$B$10)^$B$7+INDEX(Surface_Engine!$D$12:$D$72,$A37+1)))</f>
        <v>-14779.9564559995</v>
      </c>
      <c r="K37" s="48" t="n">
        <f aca="false">B37*H37*G37+K38</f>
        <v>17878.4967978603</v>
      </c>
      <c r="L37" s="48" t="n">
        <f aca="false">C37*H37*G37+L38</f>
        <v>23900.2253795025</v>
      </c>
      <c r="M37" s="48" t="n">
        <f aca="false">D37*H37*G37+M38</f>
        <v>30174.165482629</v>
      </c>
      <c r="N37" s="48" t="n">
        <f aca="false">E37*H37*G37+N38</f>
        <v>16195.7521637251</v>
      </c>
      <c r="O37" s="48" t="n">
        <f aca="false">F37*H37*G37+O38</f>
        <v>19717.9710994665</v>
      </c>
      <c r="P37" s="48" t="n">
        <f aca="false">B37*I37*G37+P38</f>
        <v>17897.272720333</v>
      </c>
      <c r="Q37" s="12" t="n">
        <f aca="false">K37/G37</f>
        <v>39056.4656329521</v>
      </c>
      <c r="R37" s="12" t="n">
        <f aca="false">IF(C37&lt;=0,0,MAX(0,(B37/C37)*L37/G37-Q37))</f>
        <v>6296.90793935427</v>
      </c>
      <c r="S37" s="12" t="n">
        <f aca="false">MAX(IF(E37&lt;=0,0,MAX(0,(B37/E37)*N37/G37-Q37)),IF(F37&lt;=0,0,MAX(0,(B37/F37)*O37/G37-Q37)),IF($A37&lt;$B$7,MAX(0,-Assumptions!$B$22*Q37),0))</f>
        <v>0</v>
      </c>
      <c r="T37" s="12" t="n">
        <f aca="false">MAX(0,P37/G37-Q37)</f>
        <v>41.0169366627306</v>
      </c>
      <c r="U37" s="12" t="n">
        <f aca="false">SQRT(R37^2+S37^2+T37^2+2*Assumptions!$B$26*R37*S37+2*Assumptions!$B$27*R37*T37+2*Assumptions!$B$28*S37*T37)</f>
        <v>6307.28720789341</v>
      </c>
      <c r="V37" s="48" t="n">
        <f aca="false">U37*G37+V38</f>
        <v>16352.5470723149</v>
      </c>
      <c r="W37" s="48" t="n">
        <f aca="false">W36+B36*J36*G36</f>
        <v>20085.1736792015</v>
      </c>
      <c r="X37" s="12" t="n">
        <f aca="false">Assumptions!$B$29*V37/G37</f>
        <v>2143.37715288525</v>
      </c>
      <c r="Y37" s="12" t="n">
        <f aca="false">W37/G37</f>
        <v>43877.0610528895</v>
      </c>
      <c r="Z37" s="12" t="n">
        <f aca="false">Y37-Q37</f>
        <v>4820.59541993747</v>
      </c>
      <c r="AA37" s="12" t="n">
        <f aca="false">IF(B37&lt;=0,0,MAX(0,(U37+X37-Z37)/B37))</f>
        <v>8804.12711684837</v>
      </c>
    </row>
    <row r="38" customFormat="false" ht="15" hidden="false" customHeight="true" outlineLevel="0" collapsed="false">
      <c r="A38" s="1" t="n">
        <v>26</v>
      </c>
      <c r="B38" s="32" t="n">
        <f aca="false">INDEX(Surface_Engine!$L$12:$L$72,$A38+1)*IF($A38&lt;$B$7,INDEX(Surface_Engine!$E$12:$E$72,$A38+1),INDEX(Surface_Engine!$E$12:$E$72,$B$7+1))</f>
        <v>0.372847430397582</v>
      </c>
      <c r="C38" s="32" t="n">
        <f aca="false">INDEX(Panel_Reserving!$D$8:$D$68,$A38+1)*IF($A38&lt;$B$7,INDEX(Surface_Engine!$E$12:$E$72,$A38+1),INDEX(Surface_Engine!$E$12:$E$72,$B$7+1))</f>
        <v>0.43831244121497</v>
      </c>
      <c r="D38" s="32" t="n">
        <f aca="false">INDEX(Panel_Reserving!$L$8:$L$68,$A38+1)*IF($A38&lt;$B$7,INDEX(Surface_Engine!$E$12:$E$72,$A38+1),INDEX(Surface_Engine!$E$12:$E$72,$B$7+1))</f>
        <v>0.469742543070926</v>
      </c>
      <c r="E38" s="32" t="n">
        <f aca="false">INDEX(Surface_Engine!$L$12:$L$72,$A38+1)*IF($A38&lt;$B$7,INDEX(Surface_Engine!$Y$12:$Y$72,$A38+1),INDEX(Surface_Engine!$Y$12:$Y$72,$B$7+1))</f>
        <v>0.337754602407271</v>
      </c>
      <c r="F38" s="32" t="n">
        <f aca="false">INDEX(Surface_Engine!$L$12:$L$72,$A38+1)*IF($A38&lt;$B$7,INDEX(Surface_Engine!$Z$12:$Z$72,$A38+1),INDEX(Surface_Engine!$Z$12:$Z$72,$B$7+1))</f>
        <v>0.411208780033998</v>
      </c>
      <c r="G38" s="30" t="n">
        <f aca="false">INDEX(Surface_Engine!$B$12:$B$72,$A38+1)</f>
        <v>0.443450043931947</v>
      </c>
      <c r="H38" s="48" t="n">
        <f aca="false">IF($A38&lt;$B$7,INDEX(Surface_Engine!$D$12:$D$72,$A38+1)+($B$9*12)*INDEX(Surface_Engine!$F$12:$F$72,$A38+1)-($B$9*12),$B$8*12*INDEX(Surface_Engine!$C$12:$C$72,$A38+1)/(1+Assumptions!$B$10)^$B$7+INDEX(Surface_Engine!$D$12:$D$72,$A38+1))</f>
        <v>15076.3157021998</v>
      </c>
      <c r="I38" s="48" t="n">
        <f aca="false">IF($A38&lt;$B$7,INDEX(Surface_Engine!$D$12:$D$72,$A38+1)*(1+Assumptions!$B$24)+($B$9*12)*INDEX(Surface_Engine!$F$12:$F$72,$A38+1)-($B$9*12),$B$8*12*INDEX(Surface_Engine!$C$12:$C$72,$A38+1)/(1+Assumptions!$B$10)^$B$7+INDEX(Surface_Engine!$D$12:$D$72,$A38+1)*(1+Assumptions!$B$24))</f>
        <v>15091.8981023462</v>
      </c>
      <c r="J38" s="48" t="n">
        <f aca="false">IF($A38&lt;$B$7,($B$9*12)-($B$9*12)*INDEX(Surface_Engine!$F$12:$F$72,$A38+1)-INDEX(Surface_Engine!$D$12:$D$72,$A38+1),-($B$8*12*INDEX(Surface_Engine!$C$12:$C$72,$A38+1)/(1+Assumptions!$B$10)^$B$7+INDEX(Surface_Engine!$D$12:$D$72,$A38+1)))</f>
        <v>-15076.3157021998</v>
      </c>
      <c r="K38" s="48" t="n">
        <f aca="false">B38*H38*G38+K39</f>
        <v>15088.9106071848</v>
      </c>
      <c r="L38" s="48" t="n">
        <f aca="false">C38*H38*G38+L39</f>
        <v>20688.8274549481</v>
      </c>
      <c r="M38" s="48" t="n">
        <f aca="false">D38*H38*G38+M39</f>
        <v>26788.0498818604</v>
      </c>
      <c r="N38" s="48" t="n">
        <f aca="false">E38*H38*G38+N39</f>
        <v>13668.7250263576</v>
      </c>
      <c r="O38" s="48" t="n">
        <f aca="false">F38*H38*G38+O39</f>
        <v>16641.3712874626</v>
      </c>
      <c r="P38" s="48" t="n">
        <f aca="false">B38*I38*G38+P39</f>
        <v>15104.8172220018</v>
      </c>
      <c r="Q38" s="12" t="n">
        <f aca="false">K38/G38</f>
        <v>34026.1790784722</v>
      </c>
      <c r="R38" s="12" t="n">
        <f aca="false">IF(C38&lt;=0,0,MAX(0,(B38/C38)*L38/G38-Q38))</f>
        <v>5659.93091194188</v>
      </c>
      <c r="S38" s="12" t="n">
        <f aca="false">MAX(IF(E38&lt;=0,0,MAX(0,(B38/E38)*N38/G38-Q38)),IF(F38&lt;=0,0,MAX(0,(B38/F38)*O38/G38-Q38)),IF($A38&lt;$B$7,MAX(0,-Assumptions!$B$22*Q38),0))</f>
        <v>0</v>
      </c>
      <c r="T38" s="12" t="n">
        <f aca="false">MAX(0,P38/G38-Q38)</f>
        <v>35.8701392290677</v>
      </c>
      <c r="U38" s="12" t="n">
        <f aca="false">SQRT(R38^2+S38^2+T38^2+2*Assumptions!$B$26*R38*S38+2*Assumptions!$B$27*R38*T38+2*Assumptions!$B$28*S38*T38)</f>
        <v>5669.00483769088</v>
      </c>
      <c r="V38" s="48" t="n">
        <f aca="false">U38*G38+V39</f>
        <v>13465.3218121171</v>
      </c>
      <c r="W38" s="48" t="n">
        <f aca="false">W37+B37*J37*G37</f>
        <v>17295.587488526</v>
      </c>
      <c r="X38" s="12" t="n">
        <f aca="false">Assumptions!$B$29*V38/G38</f>
        <v>1821.8947540594</v>
      </c>
      <c r="Y38" s="12" t="n">
        <f aca="false">W38/G38</f>
        <v>39002.335720098</v>
      </c>
      <c r="Z38" s="12" t="n">
        <f aca="false">Y38-Q38</f>
        <v>4976.15664162576</v>
      </c>
      <c r="AA38" s="12" t="n">
        <f aca="false">IF(B38&lt;=0,0,MAX(0,(U38+X38-Z38)/B38))</f>
        <v>6744.69701304621</v>
      </c>
    </row>
    <row r="39" customFormat="false" ht="15" hidden="false" customHeight="true" outlineLevel="0" collapsed="false">
      <c r="A39" s="1" t="n">
        <v>27</v>
      </c>
      <c r="B39" s="32" t="n">
        <f aca="false">INDEX(Surface_Engine!$L$12:$L$72,$A39+1)*IF($A39&lt;$B$7,INDEX(Surface_Engine!$E$12:$E$72,$A39+1),INDEX(Surface_Engine!$E$12:$E$72,$B$7+1))</f>
        <v>0.332624074601597</v>
      </c>
      <c r="C39" s="32" t="n">
        <f aca="false">INDEX(Panel_Reserving!$D$8:$D$68,$A39+1)*IF($A39&lt;$B$7,INDEX(Surface_Engine!$E$12:$E$72,$A39+1),INDEX(Surface_Engine!$E$12:$E$72,$B$7+1))</f>
        <v>0.400483783516573</v>
      </c>
      <c r="D39" s="32" t="n">
        <f aca="false">INDEX(Panel_Reserving!$L$8:$L$68,$A39+1)*IF($A39&lt;$B$7,INDEX(Surface_Engine!$E$12:$E$72,$A39+1),INDEX(Surface_Engine!$E$12:$E$72,$B$7+1))</f>
        <v>0.437695875128125</v>
      </c>
      <c r="E39" s="32" t="n">
        <f aca="false">INDEX(Surface_Engine!$L$12:$L$72,$A39+1)*IF($A39&lt;$B$7,INDEX(Surface_Engine!$Y$12:$Y$72,$A39+1),INDEX(Surface_Engine!$Y$12:$Y$72,$B$7+1))</f>
        <v>0.301317115014983</v>
      </c>
      <c r="F39" s="32" t="n">
        <f aca="false">INDEX(Surface_Engine!$L$12:$L$72,$A39+1)*IF($A39&lt;$B$7,INDEX(Surface_Engine!$Z$12:$Z$72,$A39+1),INDEX(Surface_Engine!$Z$12:$Z$72,$B$7+1))</f>
        <v>0.366846942678426</v>
      </c>
      <c r="G39" s="30" t="n">
        <f aca="false">INDEX(Surface_Engine!$B$12:$B$72,$A39+1)</f>
        <v>0.429682986428135</v>
      </c>
      <c r="H39" s="48" t="n">
        <f aca="false">IF($A39&lt;$B$7,INDEX(Surface_Engine!$D$12:$D$72,$A39+1)+($B$9*12)*INDEX(Surface_Engine!$F$12:$F$72,$A39+1)-($B$9*12),$B$8*12*INDEX(Surface_Engine!$C$12:$C$72,$A39+1)/(1+Assumptions!$B$10)^$B$7+INDEX(Surface_Engine!$D$12:$D$72,$A39+1))</f>
        <v>15378.6211362511</v>
      </c>
      <c r="I39" s="48" t="n">
        <f aca="false">IF($A39&lt;$B$7,INDEX(Surface_Engine!$D$12:$D$72,$A39+1)*(1+Assumptions!$B$24)+($B$9*12)*INDEX(Surface_Engine!$F$12:$F$72,$A39+1)-($B$9*12),$B$8*12*INDEX(Surface_Engine!$C$12:$C$72,$A39+1)/(1+Assumptions!$B$10)^$B$7+INDEX(Surface_Engine!$D$12:$D$72,$A39+1)*(1+Assumptions!$B$24))</f>
        <v>15394.5930964012</v>
      </c>
      <c r="J39" s="48" t="n">
        <f aca="false">IF($A39&lt;$B$7,($B$9*12)-($B$9*12)*INDEX(Surface_Engine!$F$12:$F$72,$A39+1)-INDEX(Surface_Engine!$D$12:$D$72,$A39+1),-($B$8*12*INDEX(Surface_Engine!$C$12:$C$72,$A39+1)/(1+Assumptions!$B$10)^$B$7+INDEX(Surface_Engine!$D$12:$D$72,$A39+1)))</f>
        <v>-15378.6211362511</v>
      </c>
      <c r="K39" s="48" t="n">
        <f aca="false">B39*H39*G39+K40</f>
        <v>12596.2044884733</v>
      </c>
      <c r="L39" s="48" t="n">
        <f aca="false">C39*H39*G39+L40</f>
        <v>17758.4489273051</v>
      </c>
      <c r="M39" s="48" t="n">
        <f aca="false">D39*H39*G39+M40</f>
        <v>23647.5424896453</v>
      </c>
      <c r="N39" s="48" t="n">
        <f aca="false">E39*H39*G39+N40</f>
        <v>11410.6352679119</v>
      </c>
      <c r="O39" s="48" t="n">
        <f aca="false">F39*H39*G39+O40</f>
        <v>13892.1968035037</v>
      </c>
      <c r="P39" s="48" t="n">
        <f aca="false">B39*I39*G39+P40</f>
        <v>12609.5347215696</v>
      </c>
      <c r="Q39" s="12" t="n">
        <f aca="false">K39/G39</f>
        <v>29315.1111082681</v>
      </c>
      <c r="R39" s="12" t="n">
        <f aca="false">IF(C39&lt;=0,0,MAX(0,(B39/C39)*L39/G39-Q39))</f>
        <v>5011.08006096214</v>
      </c>
      <c r="S39" s="12" t="n">
        <f aca="false">MAX(IF(E39&lt;=0,0,MAX(0,(B39/E39)*N39/G39-Q39)),IF(F39&lt;=0,0,MAX(0,(B39/F39)*O39/G39-Q39)),IF($A39&lt;$B$7,MAX(0,-Assumptions!$B$22*Q39),0))</f>
        <v>0</v>
      </c>
      <c r="T39" s="12" t="n">
        <f aca="false">MAX(0,P39/G39-Q39)</f>
        <v>31.0234138130181</v>
      </c>
      <c r="U39" s="12" t="n">
        <f aca="false">SQRT(R39^2+S39^2+T39^2+2*Assumptions!$B$26*R39*S39+2*Assumptions!$B$27*R39*T39+2*Assumptions!$B$28*S39*T39)</f>
        <v>5018.92580486777</v>
      </c>
      <c r="V39" s="48" t="n">
        <f aca="false">U39*G39+V40</f>
        <v>10951.4013677926</v>
      </c>
      <c r="W39" s="48" t="n">
        <f aca="false">W38+B38*J38*G38</f>
        <v>14802.8813698144</v>
      </c>
      <c r="X39" s="12" t="n">
        <f aca="false">Assumptions!$B$29*V39/G39</f>
        <v>1529.22992723021</v>
      </c>
      <c r="Y39" s="12" t="n">
        <f aca="false">W39/G39</f>
        <v>34450.7039779901</v>
      </c>
      <c r="Z39" s="12" t="n">
        <f aca="false">Y39-Q39</f>
        <v>5135.59286972201</v>
      </c>
      <c r="AA39" s="12" t="n">
        <f aca="false">IF(B39&lt;=0,0,MAX(0,(U39+X39-Z39)/B39))</f>
        <v>4246.72466678151</v>
      </c>
    </row>
    <row r="40" customFormat="false" ht="15" hidden="false" customHeight="true" outlineLevel="0" collapsed="false">
      <c r="A40" s="1" t="n">
        <v>28</v>
      </c>
      <c r="B40" s="32" t="n">
        <f aca="false">INDEX(Surface_Engine!$L$12:$L$72,$A40+1)*IF($A40&lt;$B$7,INDEX(Surface_Engine!$E$12:$E$72,$A40+1),INDEX(Surface_Engine!$E$12:$E$72,$B$7+1))</f>
        <v>0.292623682400675</v>
      </c>
      <c r="C40" s="32" t="n">
        <f aca="false">INDEX(Panel_Reserving!$D$8:$D$68,$A40+1)*IF($A40&lt;$B$7,INDEX(Surface_Engine!$E$12:$E$72,$A40+1),INDEX(Surface_Engine!$E$12:$E$72,$B$7+1))</f>
        <v>0.361954982665439</v>
      </c>
      <c r="D40" s="32" t="n">
        <f aca="false">INDEX(Panel_Reserving!$L$8:$L$68,$A40+1)*IF($A40&lt;$B$7,INDEX(Surface_Engine!$E$12:$E$72,$A40+1),INDEX(Surface_Engine!$E$12:$E$72,$B$7+1))</f>
        <v>0.404876179252116</v>
      </c>
      <c r="E40" s="32" t="n">
        <f aca="false">INDEX(Surface_Engine!$L$12:$L$72,$A40+1)*IF($A40&lt;$B$7,INDEX(Surface_Engine!$Y$12:$Y$72,$A40+1),INDEX(Surface_Engine!$Y$12:$Y$72,$B$7+1))</f>
        <v>0.26508160562834</v>
      </c>
      <c r="F40" s="32" t="n">
        <f aca="false">INDEX(Surface_Engine!$L$12:$L$72,$A40+1)*IF($A40&lt;$B$7,INDEX(Surface_Engine!$Z$12:$Z$72,$A40+1),INDEX(Surface_Engine!$Z$12:$Z$72,$B$7+1))</f>
        <v>0.32273100909057</v>
      </c>
      <c r="G40" s="30" t="n">
        <f aca="false">INDEX(Surface_Engine!$B$12:$B$72,$A40+1)</f>
        <v>0.41622229635922</v>
      </c>
      <c r="H40" s="48" t="n">
        <f aca="false">IF($A40&lt;$B$7,INDEX(Surface_Engine!$D$12:$D$72,$A40+1)+($B$9*12)*INDEX(Surface_Engine!$F$12:$F$72,$A40+1)-($B$9*12),$B$8*12*INDEX(Surface_Engine!$C$12:$C$72,$A40+1)/(1+Assumptions!$B$10)^$B$7+INDEX(Surface_Engine!$D$12:$D$72,$A40+1))</f>
        <v>15686.9921569837</v>
      </c>
      <c r="I40" s="48" t="n">
        <f aca="false">IF($A40&lt;$B$7,INDEX(Surface_Engine!$D$12:$D$72,$A40+1)*(1+Assumptions!$B$24)+($B$9*12)*INDEX(Surface_Engine!$F$12:$F$72,$A40+1)-($B$9*12),$B$8*12*INDEX(Surface_Engine!$C$12:$C$72,$A40+1)/(1+Assumptions!$B$10)^$B$7+INDEX(Surface_Engine!$D$12:$D$72,$A40+1)*(1+Assumptions!$B$24))</f>
        <v>15703.3634161375</v>
      </c>
      <c r="J40" s="48" t="n">
        <f aca="false">IF($A40&lt;$B$7,($B$9*12)-($B$9*12)*INDEX(Surface_Engine!$F$12:$F$72,$A40+1)-INDEX(Surface_Engine!$D$12:$D$72,$A40+1),-($B$8*12*INDEX(Surface_Engine!$C$12:$C$72,$A40+1)/(1+Assumptions!$B$10)^$B$7+INDEX(Surface_Engine!$D$12:$D$72,$A40+1)))</f>
        <v>-15686.9921569837</v>
      </c>
      <c r="K40" s="48" t="n">
        <f aca="false">B40*H40*G40+K41</f>
        <v>10398.2472695178</v>
      </c>
      <c r="L40" s="48" t="n">
        <f aca="false">C40*H40*G40+L41</f>
        <v>15112.0793760056</v>
      </c>
      <c r="M40" s="48" t="n">
        <f aca="false">D40*H40*G40+M41</f>
        <v>20755.2779727212</v>
      </c>
      <c r="N40" s="48" t="n">
        <f aca="false">E40*H40*G40+N41</f>
        <v>9419.55230455373</v>
      </c>
      <c r="O40" s="48" t="n">
        <f aca="false">F40*H40*G40+O41</f>
        <v>11468.0972043464</v>
      </c>
      <c r="P40" s="48" t="n">
        <f aca="false">B40*I40*G40+P41</f>
        <v>10409.2947436593</v>
      </c>
      <c r="Q40" s="12" t="n">
        <f aca="false">K40/G40</f>
        <v>24982.4369344779</v>
      </c>
      <c r="R40" s="12" t="n">
        <f aca="false">IF(C40&lt;=0,0,MAX(0,(B40/C40)*L40/G40-Q40))</f>
        <v>4370.6510803808</v>
      </c>
      <c r="S40" s="12" t="n">
        <f aca="false">MAX(IF(E40&lt;=0,0,MAX(0,(B40/E40)*N40/G40-Q40)),IF(F40&lt;=0,0,MAX(0,(B40/F40)*O40/G40-Q40)),IF($A40&lt;$B$7,MAX(0,-Assumptions!$B$22*Q40),0))</f>
        <v>0</v>
      </c>
      <c r="T40" s="12" t="n">
        <f aca="false">MAX(0,P40/G40-Q40)</f>
        <v>26.5422449448706</v>
      </c>
      <c r="U40" s="12" t="n">
        <f aca="false">SQRT(R40^2+S40^2+T40^2+2*Assumptions!$B$26*R40*S40+2*Assumptions!$B$27*R40*T40+2*Assumptions!$B$28*S40*T40)</f>
        <v>4377.36208269005</v>
      </c>
      <c r="V40" s="48" t="n">
        <f aca="false">U40*G40+V41</f>
        <v>8794.8543392958</v>
      </c>
      <c r="W40" s="48" t="n">
        <f aca="false">W39+B39*J39*G39</f>
        <v>12604.924150859</v>
      </c>
      <c r="X40" s="12" t="n">
        <f aca="false">Assumptions!$B$29*V40/G40</f>
        <v>1267.81113115172</v>
      </c>
      <c r="Y40" s="12" t="n">
        <f aca="false">W40/G40</f>
        <v>30284.1156303177</v>
      </c>
      <c r="Z40" s="12" t="n">
        <f aca="false">Y40-Q40</f>
        <v>5301.67869583979</v>
      </c>
      <c r="AA40" s="12" t="n">
        <f aca="false">IF(B40&lt;=0,0,MAX(0,(U40+X40-Z40)/B40))</f>
        <v>1173.84387751517</v>
      </c>
    </row>
    <row r="41" customFormat="false" ht="15" hidden="false" customHeight="true" outlineLevel="0" collapsed="false">
      <c r="A41" s="1" t="n">
        <v>29</v>
      </c>
      <c r="B41" s="32" t="n">
        <f aca="false">INDEX(Surface_Engine!$L$12:$L$72,$A41+1)*IF($A41&lt;$B$7,INDEX(Surface_Engine!$E$12:$E$72,$A41+1),INDEX(Surface_Engine!$E$12:$E$72,$B$7+1))</f>
        <v>0.254005885445969</v>
      </c>
      <c r="C41" s="32" t="n">
        <f aca="false">INDEX(Panel_Reserving!$D$8:$D$68,$A41+1)*IF($A41&lt;$B$7,INDEX(Surface_Engine!$E$12:$E$72,$A41+1),INDEX(Surface_Engine!$E$12:$E$72,$B$7+1))</f>
        <v>0.323740976436979</v>
      </c>
      <c r="D41" s="32" t="n">
        <f aca="false">INDEX(Panel_Reserving!$L$8:$L$68,$A41+1)*IF($A41&lt;$B$7,INDEX(Surface_Engine!$E$12:$E$72,$A41+1),INDEX(Surface_Engine!$E$12:$E$72,$B$7+1))</f>
        <v>0.372005722760519</v>
      </c>
      <c r="E41" s="32" t="n">
        <f aca="false">INDEX(Surface_Engine!$L$12:$L$72,$A41+1)*IF($A41&lt;$B$7,INDEX(Surface_Engine!$Y$12:$Y$72,$A41+1),INDEX(Surface_Engine!$Y$12:$Y$72,$B$7+1))</f>
        <v>0.230098560036815</v>
      </c>
      <c r="F41" s="32" t="n">
        <f aca="false">INDEX(Surface_Engine!$L$12:$L$72,$A41+1)*IF($A41&lt;$B$7,INDEX(Surface_Engine!$Z$12:$Z$72,$A41+1),INDEX(Surface_Engine!$Z$12:$Z$72,$B$7+1))</f>
        <v>0.280139922553077</v>
      </c>
      <c r="G41" s="30" t="n">
        <f aca="false">INDEX(Surface_Engine!$B$12:$B$72,$A41+1)</f>
        <v>0.403167663933472</v>
      </c>
      <c r="H41" s="48" t="n">
        <f aca="false">IF($A41&lt;$B$7,INDEX(Surface_Engine!$D$12:$D$72,$A41+1)+($B$9*12)*INDEX(Surface_Engine!$F$12:$F$72,$A41+1)-($B$9*12),$B$8*12*INDEX(Surface_Engine!$C$12:$C$72,$A41+1)/(1+Assumptions!$B$10)^$B$7+INDEX(Surface_Engine!$D$12:$D$72,$A41+1))</f>
        <v>16001.550563081</v>
      </c>
      <c r="I41" s="48" t="n">
        <f aca="false">IF($A41&lt;$B$7,INDEX(Surface_Engine!$D$12:$D$72,$A41+1)*(1+Assumptions!$B$24)+($B$9*12)*INDEX(Surface_Engine!$F$12:$F$72,$A41+1)-($B$9*12),$B$8*12*INDEX(Surface_Engine!$C$12:$C$72,$A41+1)/(1+Assumptions!$B$10)^$B$7+INDEX(Surface_Engine!$D$12:$D$72,$A41+1)*(1+Assumptions!$B$24))</f>
        <v>16018.3311037137</v>
      </c>
      <c r="J41" s="48" t="n">
        <f aca="false">IF($A41&lt;$B$7,($B$9*12)-($B$9*12)*INDEX(Surface_Engine!$F$12:$F$72,$A41+1)-INDEX(Surface_Engine!$D$12:$D$72,$A41+1),-($B$8*12*INDEX(Surface_Engine!$C$12:$C$72,$A41+1)/(1+Assumptions!$B$10)^$B$7+INDEX(Surface_Engine!$D$12:$D$72,$A41+1)))</f>
        <v>-16001.550563081</v>
      </c>
      <c r="K41" s="48" t="n">
        <f aca="false">B41*H41*G41+K42</f>
        <v>8487.62651267446</v>
      </c>
      <c r="L41" s="48" t="n">
        <f aca="false">C41*H41*G41+L42</f>
        <v>12748.7754313285</v>
      </c>
      <c r="M41" s="48" t="n">
        <f aca="false">D41*H41*G41+M42</f>
        <v>18111.7296936339</v>
      </c>
      <c r="N41" s="48" t="n">
        <f aca="false">E41*H41*G41+N42</f>
        <v>7688.76136577599</v>
      </c>
      <c r="O41" s="48" t="n">
        <f aca="false">F41*H41*G41+O42</f>
        <v>9360.89740497703</v>
      </c>
      <c r="P41" s="48" t="n">
        <f aca="false">B41*I41*G41+P42</f>
        <v>8496.68002473309</v>
      </c>
      <c r="Q41" s="12" t="n">
        <f aca="false">K41/G41</f>
        <v>21052.3493622123</v>
      </c>
      <c r="R41" s="12" t="n">
        <f aca="false">IF(C41&lt;=0,0,MAX(0,(B41/C41)*L41/G41-Q41))</f>
        <v>3757.77185692647</v>
      </c>
      <c r="S41" s="12" t="n">
        <f aca="false">MAX(IF(E41&lt;=0,0,MAX(0,(B41/E41)*N41/G41-Q41)),IF(F41&lt;=0,0,MAX(0,(B41/F41)*O41/G41-Q41)),IF($A41&lt;$B$7,MAX(0,-Assumptions!$B$22*Q41),0))</f>
        <v>0</v>
      </c>
      <c r="T41" s="12" t="n">
        <f aca="false">MAX(0,P41/G41-Q41)</f>
        <v>22.4559479059062</v>
      </c>
      <c r="U41" s="12" t="n">
        <f aca="false">SQRT(R41^2+S41^2+T41^2+2*Assumptions!$B$26*R41*S41+2*Assumptions!$B$27*R41*T41+2*Assumptions!$B$28*S41*T41)</f>
        <v>3763.4486528762</v>
      </c>
      <c r="V41" s="48" t="n">
        <f aca="false">U41*G41+V42</f>
        <v>6972.89864124277</v>
      </c>
      <c r="W41" s="48" t="n">
        <f aca="false">W40+B40*J40*G40</f>
        <v>10694.3033940157</v>
      </c>
      <c r="X41" s="12" t="n">
        <f aca="false">Assumptions!$B$29*V41/G41</f>
        <v>1037.71694979884</v>
      </c>
      <c r="Y41" s="12" t="n">
        <f aca="false">W41/G41</f>
        <v>26525.6972488259</v>
      </c>
      <c r="Z41" s="12" t="n">
        <f aca="false">Y41-Q41</f>
        <v>5473.34788661356</v>
      </c>
      <c r="AA41" s="12" t="n">
        <f aca="false">IF(B41&lt;=0,0,MAX(0,(U41+X41-Z41)/B41))</f>
        <v>0</v>
      </c>
    </row>
    <row r="42" customFormat="false" ht="15" hidden="false" customHeight="true" outlineLevel="0" collapsed="false">
      <c r="A42" s="1" t="n">
        <v>30</v>
      </c>
      <c r="B42" s="32" t="n">
        <f aca="false">INDEX(Surface_Engine!$L$12:$L$72,$A42+1)*IF($A42&lt;$B$7,INDEX(Surface_Engine!$E$12:$E$72,$A42+1),INDEX(Surface_Engine!$E$12:$E$72,$B$7+1))</f>
        <v>0.217698687470758</v>
      </c>
      <c r="C42" s="32" t="n">
        <f aca="false">INDEX(Panel_Reserving!$D$8:$D$68,$A42+1)*IF($A42&lt;$B$7,INDEX(Surface_Engine!$E$12:$E$72,$A42+1),INDEX(Surface_Engine!$E$12:$E$72,$B$7+1))</f>
        <v>0.286720959507691</v>
      </c>
      <c r="D42" s="32" t="n">
        <f aca="false">INDEX(Panel_Reserving!$L$8:$L$68,$A42+1)*IF($A42&lt;$B$7,INDEX(Surface_Engine!$E$12:$E$72,$A42+1),INDEX(Surface_Engine!$E$12:$E$72,$B$7+1))</f>
        <v>0.339707065900487</v>
      </c>
      <c r="E42" s="32" t="n">
        <f aca="false">INDEX(Surface_Engine!$L$12:$L$72,$A42+1)*IF($A42&lt;$B$7,INDEX(Surface_Engine!$Y$12:$Y$72,$A42+1),INDEX(Surface_Engine!$Y$12:$Y$72,$B$7+1))</f>
        <v>0.19720863719743</v>
      </c>
      <c r="F42" s="32" t="n">
        <f aca="false">INDEX(Surface_Engine!$L$12:$L$72,$A42+1)*IF($A42&lt;$B$7,INDEX(Surface_Engine!$Z$12:$Z$72,$A42+1),INDEX(Surface_Engine!$Z$12:$Z$72,$B$7+1))</f>
        <v>0.240097166807331</v>
      </c>
      <c r="G42" s="30" t="n">
        <f aca="false">INDEX(Surface_Engine!$B$12:$B$72,$A42+1)</f>
        <v>0.390507349788569</v>
      </c>
      <c r="H42" s="48" t="n">
        <f aca="false">IF($A42&lt;$B$7,INDEX(Surface_Engine!$D$12:$D$72,$A42+1)+($B$9*12)*INDEX(Surface_Engine!$F$12:$F$72,$A42+1)-($B$9*12),$B$8*12*INDEX(Surface_Engine!$C$12:$C$72,$A42+1)/(1+Assumptions!$B$10)^$B$7+INDEX(Surface_Engine!$D$12:$D$72,$A42+1))</f>
        <v>16322.4206013743</v>
      </c>
      <c r="I42" s="48" t="n">
        <f aca="false">IF($A42&lt;$B$7,INDEX(Surface_Engine!$D$12:$D$72,$A42+1)*(1+Assumptions!$B$24)+($B$9*12)*INDEX(Surface_Engine!$F$12:$F$72,$A42+1)-($B$9*12),$B$8*12*INDEX(Surface_Engine!$C$12:$C$72,$A42+1)/(1+Assumptions!$B$10)^$B$7+INDEX(Surface_Engine!$D$12:$D$72,$A42+1)*(1+Assumptions!$B$24))</f>
        <v>16339.6206555227</v>
      </c>
      <c r="J42" s="48" t="n">
        <f aca="false">IF($A42&lt;$B$7,($B$9*12)-($B$9*12)*INDEX(Surface_Engine!$F$12:$F$72,$A42+1)-INDEX(Surface_Engine!$D$12:$D$72,$A42+1),-($B$8*12*INDEX(Surface_Engine!$C$12:$C$72,$A42+1)/(1+Assumptions!$B$10)^$B$7+INDEX(Surface_Engine!$D$12:$D$72,$A42+1)))</f>
        <v>-16322.4206013743</v>
      </c>
      <c r="K42" s="48" t="n">
        <f aca="false">B42*H42*G42+K43</f>
        <v>6848.95637285421</v>
      </c>
      <c r="L42" s="48" t="n">
        <f aca="false">C42*H42*G42+L43</f>
        <v>10660.2227578654</v>
      </c>
      <c r="M42" s="48" t="n">
        <f aca="false">D42*H42*G42+M43</f>
        <v>15711.8062876875</v>
      </c>
      <c r="N42" s="48" t="n">
        <f aca="false">E42*H42*G42+N43</f>
        <v>6204.32473988461</v>
      </c>
      <c r="O42" s="48" t="n">
        <f aca="false">F42*H42*G42+O43</f>
        <v>7553.628548772</v>
      </c>
      <c r="P42" s="48" t="n">
        <f aca="false">B42*I42*G42+P43</f>
        <v>6856.29144076855</v>
      </c>
      <c r="Q42" s="12" t="n">
        <f aca="false">K42/G42</f>
        <v>17538.6106729167</v>
      </c>
      <c r="R42" s="12" t="n">
        <f aca="false">IF(C42&lt;=0,0,MAX(0,(B42/C42)*L42/G42-Q42))</f>
        <v>3188.24565265293</v>
      </c>
      <c r="S42" s="12" t="n">
        <f aca="false">MAX(IF(E42&lt;=0,0,MAX(0,(B42/E42)*N42/G42-Q42)),IF(F42&lt;=0,0,MAX(0,(B42/F42)*O42/G42-Q42)),IF($A42&lt;$B$7,MAX(0,-Assumptions!$B$22*Q42),0))</f>
        <v>0</v>
      </c>
      <c r="T42" s="12" t="n">
        <f aca="false">MAX(0,P42/G42-Q42)</f>
        <v>18.7834311398037</v>
      </c>
      <c r="U42" s="12" t="n">
        <f aca="false">SQRT(R42^2+S42^2+T42^2+2*Assumptions!$B$26*R42*S42+2*Assumptions!$B$27*R42*T42+2*Assumptions!$B$28*S42*T42)</f>
        <v>3192.99330648882</v>
      </c>
      <c r="V42" s="48" t="n">
        <f aca="false">U42*G42+V43</f>
        <v>5455.5978395291</v>
      </c>
      <c r="W42" s="48" t="n">
        <f aca="false">W41+B41*J41*G41</f>
        <v>9055.6332541954</v>
      </c>
      <c r="X42" s="12" t="n">
        <f aca="false">Assumptions!$B$29*V42/G42</f>
        <v>838.232290759635</v>
      </c>
      <c r="Y42" s="12" t="n">
        <f aca="false">W42/G42</f>
        <v>23189.4054211742</v>
      </c>
      <c r="Z42" s="12" t="n">
        <f aca="false">Y42-Q42</f>
        <v>5650.79474825749</v>
      </c>
      <c r="AA42" s="12" t="n">
        <f aca="false">IF(B42&lt;=0,0,MAX(0,(U42+X42-Z42)/B42))</f>
        <v>0</v>
      </c>
    </row>
    <row r="43" customFormat="false" ht="15" hidden="false" customHeight="true" outlineLevel="0" collapsed="false">
      <c r="A43" s="1" t="n">
        <v>31</v>
      </c>
      <c r="B43" s="32" t="n">
        <f aca="false">INDEX(Surface_Engine!$L$12:$L$72,$A43+1)*IF($A43&lt;$B$7,INDEX(Surface_Engine!$E$12:$E$72,$A43+1),INDEX(Surface_Engine!$E$12:$E$72,$B$7+1))</f>
        <v>0.183301739410898</v>
      </c>
      <c r="C43" s="32" t="n">
        <f aca="false">INDEX(Panel_Reserving!$D$8:$D$68,$A43+1)*IF($A43&lt;$B$7,INDEX(Surface_Engine!$E$12:$E$72,$A43+1),INDEX(Surface_Engine!$E$12:$E$72,$B$7+1))</f>
        <v>0.250478844990821</v>
      </c>
      <c r="D43" s="32" t="n">
        <f aca="false">INDEX(Panel_Reserving!$L$8:$L$68,$A43+1)*IF($A43&lt;$B$7,INDEX(Surface_Engine!$E$12:$E$72,$A43+1),INDEX(Surface_Engine!$E$12:$E$72,$B$7+1))</f>
        <v>0.307487983774762</v>
      </c>
      <c r="E43" s="32" t="n">
        <f aca="false">INDEX(Surface_Engine!$L$12:$L$72,$A43+1)*IF($A43&lt;$B$7,INDEX(Surface_Engine!$Y$12:$Y$72,$A43+1),INDEX(Surface_Engine!$Y$12:$Y$72,$B$7+1))</f>
        <v>0.166049169359357</v>
      </c>
      <c r="F43" s="32" t="n">
        <f aca="false">INDEX(Surface_Engine!$L$12:$L$72,$A43+1)*IF($A43&lt;$B$7,INDEX(Surface_Engine!$Z$12:$Z$72,$A43+1),INDEX(Surface_Engine!$Z$12:$Z$72,$B$7+1))</f>
        <v>0.202161201864498</v>
      </c>
      <c r="G43" s="30" t="n">
        <f aca="false">INDEX(Surface_Engine!$B$12:$B$72,$A43+1)</f>
        <v>0.378343586433049</v>
      </c>
      <c r="H43" s="48" t="n">
        <f aca="false">IF($A43&lt;$B$7,INDEX(Surface_Engine!$D$12:$D$72,$A43+1)+($B$9*12)*INDEX(Surface_Engine!$F$12:$F$72,$A43+1)-($B$9*12),$B$8*12*INDEX(Surface_Engine!$C$12:$C$72,$A43+1)/(1+Assumptions!$B$10)^$B$7+INDEX(Surface_Engine!$D$12:$D$72,$A43+1))</f>
        <v>16649.7290161092</v>
      </c>
      <c r="I43" s="48" t="n">
        <f aca="false">IF($A43&lt;$B$7,INDEX(Surface_Engine!$D$12:$D$72,$A43+1)*(1+Assumptions!$B$24)+($B$9*12)*INDEX(Surface_Engine!$F$12:$F$72,$A43+1)-($B$9*12),$B$8*12*INDEX(Surface_Engine!$C$12:$C$72,$A43+1)/(1+Assumptions!$B$10)^$B$7+INDEX(Surface_Engine!$D$12:$D$72,$A43+1)*(1+Assumptions!$B$24))</f>
        <v>16667.3590716114</v>
      </c>
      <c r="J43" s="48" t="n">
        <f aca="false">IF($A43&lt;$B$7,($B$9*12)-($B$9*12)*INDEX(Surface_Engine!$F$12:$F$72,$A43+1)-INDEX(Surface_Engine!$D$12:$D$72,$A43+1),-($B$8*12*INDEX(Surface_Engine!$C$12:$C$72,$A43+1)/(1+Assumptions!$B$10)^$B$7+INDEX(Surface_Engine!$D$12:$D$72,$A43+1)))</f>
        <v>-16649.7290161092</v>
      </c>
      <c r="K43" s="48" t="n">
        <f aca="false">B43*H43*G43+K44</f>
        <v>5461.33945047546</v>
      </c>
      <c r="L43" s="48" t="n">
        <f aca="false">C43*H43*G43+L44</f>
        <v>8832.65613339053</v>
      </c>
      <c r="M43" s="48" t="n">
        <f aca="false">D43*H43*G43+M44</f>
        <v>13546.5048852228</v>
      </c>
      <c r="N43" s="48" t="n">
        <f aca="false">E43*H43*G43+N44</f>
        <v>4947.31191452633</v>
      </c>
      <c r="O43" s="48" t="n">
        <f aca="false">F43*H43*G43+O44</f>
        <v>6023.2431544099</v>
      </c>
      <c r="P43" s="48" t="n">
        <f aca="false">B43*I43*G43+P44</f>
        <v>5467.21229126154</v>
      </c>
      <c r="Q43" s="12" t="n">
        <f aca="false">K43/G43</f>
        <v>14434.8672643401</v>
      </c>
      <c r="R43" s="12" t="n">
        <f aca="false">IF(C43&lt;=0,0,MAX(0,(B43/C43)*L43/G43-Q43))</f>
        <v>2649.56223379098</v>
      </c>
      <c r="S43" s="12" t="n">
        <f aca="false">MAX(IF(E43&lt;=0,0,MAX(0,(B43/E43)*N43/G43-Q43)),IF(F43&lt;=0,0,MAX(0,(B43/F43)*O43/G43-Q43)),IF($A43&lt;$B$7,MAX(0,-Assumptions!$B$22*Q43),0))</f>
        <v>0</v>
      </c>
      <c r="T43" s="12" t="n">
        <f aca="false">MAX(0,P43/G43-Q43)</f>
        <v>15.522506517018</v>
      </c>
      <c r="U43" s="12" t="n">
        <f aca="false">SQRT(R43^2+S43^2+T43^2+2*Assumptions!$B$26*R43*S43+2*Assumptions!$B$27*R43*T43+2*Assumptions!$B$28*S43*T43)</f>
        <v>2653.48542533413</v>
      </c>
      <c r="V43" s="48" t="n">
        <f aca="false">U43*G43+V44</f>
        <v>4208.71048551951</v>
      </c>
      <c r="W43" s="48" t="n">
        <f aca="false">W42+B42*J42*G42</f>
        <v>7668.01633181665</v>
      </c>
      <c r="X43" s="12" t="n">
        <f aca="false">Assumptions!$B$29*V43/G43</f>
        <v>667.442605574224</v>
      </c>
      <c r="Y43" s="12" t="n">
        <f aca="false">W43/G43</f>
        <v>20267.3353184317</v>
      </c>
      <c r="Z43" s="12" t="n">
        <f aca="false">Y43-Q43</f>
        <v>5832.46805409158</v>
      </c>
      <c r="AA43" s="12" t="n">
        <f aca="false">IF(B43&lt;=0,0,MAX(0,(U43+X43-Z43)/B43))</f>
        <v>0</v>
      </c>
    </row>
    <row r="44" customFormat="false" ht="15" hidden="false" customHeight="true" outlineLevel="0" collapsed="false">
      <c r="A44" s="1" t="n">
        <v>32</v>
      </c>
      <c r="B44" s="32" t="n">
        <f aca="false">INDEX(Surface_Engine!$L$12:$L$72,$A44+1)*IF($A44&lt;$B$7,INDEX(Surface_Engine!$E$12:$E$72,$A44+1),INDEX(Surface_Engine!$E$12:$E$72,$B$7+1))</f>
        <v>0.152474042651336</v>
      </c>
      <c r="C44" s="32" t="n">
        <f aca="false">INDEX(Panel_Reserving!$D$8:$D$68,$A44+1)*IF($A44&lt;$B$7,INDEX(Surface_Engine!$E$12:$E$72,$A44+1),INDEX(Surface_Engine!$E$12:$E$72,$B$7+1))</f>
        <v>0.216778408092062</v>
      </c>
      <c r="D44" s="32" t="n">
        <f aca="false">INDEX(Panel_Reserving!$L$8:$L$68,$A44+1)*IF($A44&lt;$B$7,INDEX(Surface_Engine!$E$12:$E$72,$A44+1),INDEX(Surface_Engine!$E$12:$E$72,$B$7+1))</f>
        <v>0.276780873753509</v>
      </c>
      <c r="E44" s="32" t="n">
        <f aca="false">INDEX(Surface_Engine!$L$12:$L$72,$A44+1)*IF($A44&lt;$B$7,INDEX(Surface_Engine!$Y$12:$Y$72,$A44+1),INDEX(Surface_Engine!$Y$12:$Y$72,$B$7+1))</f>
        <v>0.138123010793493</v>
      </c>
      <c r="F44" s="32" t="n">
        <f aca="false">INDEX(Surface_Engine!$L$12:$L$72,$A44+1)*IF($A44&lt;$B$7,INDEX(Surface_Engine!$Z$12:$Z$72,$A44+1),INDEX(Surface_Engine!$Z$12:$Z$72,$B$7+1))</f>
        <v>0.16816171965742</v>
      </c>
      <c r="G44" s="30" t="n">
        <f aca="false">INDEX(Surface_Engine!$B$12:$B$72,$A44+1)</f>
        <v>0.366437947062115</v>
      </c>
      <c r="H44" s="48" t="n">
        <f aca="false">IF($A44&lt;$B$7,INDEX(Surface_Engine!$D$12:$D$72,$A44+1)+($B$9*12)*INDEX(Surface_Engine!$F$12:$F$72,$A44+1)-($B$9*12),$B$8*12*INDEX(Surface_Engine!$C$12:$C$72,$A44+1)/(1+Assumptions!$B$10)^$B$7+INDEX(Surface_Engine!$D$12:$D$72,$A44+1))</f>
        <v>16983.6050992065</v>
      </c>
      <c r="I44" s="48" t="n">
        <f aca="false">IF($A44&lt;$B$7,INDEX(Surface_Engine!$D$12:$D$72,$A44+1)*(1+Assumptions!$B$24)+($B$9*12)*INDEX(Surface_Engine!$F$12:$F$72,$A44+1)-($B$9*12),$B$8*12*INDEX(Surface_Engine!$C$12:$C$72,$A44+1)/(1+Assumptions!$B$10)^$B$7+INDEX(Surface_Engine!$D$12:$D$72,$A44+1)*(1+Assumptions!$B$24))</f>
        <v>17001.6759060962</v>
      </c>
      <c r="J44" s="48" t="n">
        <f aca="false">IF($A44&lt;$B$7,($B$9*12)-($B$9*12)*INDEX(Surface_Engine!$F$12:$F$72,$A44+1)-INDEX(Surface_Engine!$D$12:$D$72,$A44+1),-($B$8*12*INDEX(Surface_Engine!$C$12:$C$72,$A44+1)/(1+Assumptions!$B$10)^$B$7+INDEX(Surface_Engine!$D$12:$D$72,$A44+1)))</f>
        <v>-16983.6050992065</v>
      </c>
      <c r="K44" s="48" t="n">
        <f aca="false">B44*H44*G44+K45</f>
        <v>4306.66346931198</v>
      </c>
      <c r="L44" s="48" t="n">
        <f aca="false">C44*H44*G44+L45</f>
        <v>7254.81018915681</v>
      </c>
      <c r="M44" s="48" t="n">
        <f aca="false">D44*H44*G44+M45</f>
        <v>11609.5402361029</v>
      </c>
      <c r="N44" s="48" t="n">
        <f aca="false">E44*H44*G44+N45</f>
        <v>3901.31536169713</v>
      </c>
      <c r="O44" s="48" t="n">
        <f aca="false">F44*H44*G44+O45</f>
        <v>4749.76541837594</v>
      </c>
      <c r="P44" s="48" t="n">
        <f aca="false">B44*I44*G44+P45</f>
        <v>4311.31364745801</v>
      </c>
      <c r="Q44" s="12" t="n">
        <f aca="false">K44/G44</f>
        <v>11752.7769813151</v>
      </c>
      <c r="R44" s="12" t="n">
        <f aca="false">IF(C44&lt;=0,0,MAX(0,(B44/C44)*L44/G44-Q44))</f>
        <v>2172.55332578083</v>
      </c>
      <c r="S44" s="12" t="n">
        <f aca="false">MAX(IF(E44&lt;=0,0,MAX(0,(B44/E44)*N44/G44-Q44)),IF(F44&lt;=0,0,MAX(0,(B44/F44)*O44/G44-Q44)),IF($A44&lt;$B$7,MAX(0,-Assumptions!$B$22*Q44),0))</f>
        <v>0</v>
      </c>
      <c r="T44" s="12" t="n">
        <f aca="false">MAX(0,P44/G44-Q44)</f>
        <v>12.6902199494143</v>
      </c>
      <c r="U44" s="12" t="n">
        <f aca="false">SQRT(R44^2+S44^2+T44^2+2*Assumptions!$B$26*R44*S44+2*Assumptions!$B$27*R44*T44+2*Assumptions!$B$28*S44*T44)</f>
        <v>2175.7605761714</v>
      </c>
      <c r="V44" s="48" t="n">
        <f aca="false">U44*G44+V45</f>
        <v>3204.78129315077</v>
      </c>
      <c r="W44" s="48" t="n">
        <f aca="false">W43+B43*J43*G43</f>
        <v>6513.34035065317</v>
      </c>
      <c r="X44" s="12" t="n">
        <f aca="false">Assumptions!$B$29*V44/G44</f>
        <v>524.746083561187</v>
      </c>
      <c r="Y44" s="12" t="n">
        <f aca="false">W44/G44</f>
        <v>17774.7430441452</v>
      </c>
      <c r="Z44" s="12" t="n">
        <f aca="false">Y44-Q44</f>
        <v>6021.96606283012</v>
      </c>
      <c r="AA44" s="12" t="n">
        <f aca="false">IF(B44&lt;=0,0,MAX(0,(U44+X44-Z44)/B44))</f>
        <v>0</v>
      </c>
    </row>
    <row r="45" customFormat="false" ht="15" hidden="false" customHeight="true" outlineLevel="0" collapsed="false">
      <c r="A45" s="1" t="n">
        <v>33</v>
      </c>
      <c r="B45" s="32" t="n">
        <f aca="false">INDEX(Surface_Engine!$L$12:$L$72,$A45+1)*IF($A45&lt;$B$7,INDEX(Surface_Engine!$E$12:$E$72,$A45+1),INDEX(Surface_Engine!$E$12:$E$72,$B$7+1))</f>
        <v>0.125320113771468</v>
      </c>
      <c r="C45" s="32" t="n">
        <f aca="false">INDEX(Panel_Reserving!$D$8:$D$68,$A45+1)*IF($A45&lt;$B$7,INDEX(Surface_Engine!$E$12:$E$72,$A45+1),INDEX(Surface_Engine!$E$12:$E$72,$B$7+1))</f>
        <v>0.185893751930707</v>
      </c>
      <c r="D45" s="32" t="n">
        <f aca="false">INDEX(Panel_Reserving!$L$8:$L$68,$A45+1)*IF($A45&lt;$B$7,INDEX(Surface_Engine!$E$12:$E$72,$A45+1),INDEX(Surface_Engine!$E$12:$E$72,$B$7+1))</f>
        <v>0.247794625233944</v>
      </c>
      <c r="E45" s="32" t="n">
        <f aca="false">INDEX(Surface_Engine!$L$12:$L$72,$A45+1)*IF($A45&lt;$B$7,INDEX(Surface_Engine!$Y$12:$Y$72,$A45+1),INDEX(Surface_Engine!$Y$12:$Y$72,$B$7+1))</f>
        <v>0.113524840858849</v>
      </c>
      <c r="F45" s="32" t="n">
        <f aca="false">INDEX(Surface_Engine!$L$12:$L$72,$A45+1)*IF($A45&lt;$B$7,INDEX(Surface_Engine!$Z$12:$Z$72,$A45+1),INDEX(Surface_Engine!$Z$12:$Z$72,$B$7+1))</f>
        <v>0.138213990217757</v>
      </c>
      <c r="G45" s="30" t="n">
        <f aca="false">INDEX(Surface_Engine!$B$12:$B$72,$A45+1)</f>
        <v>0.354893198656804</v>
      </c>
      <c r="H45" s="48" t="n">
        <f aca="false">IF($A45&lt;$B$7,INDEX(Surface_Engine!$D$12:$D$72,$A45+1)+($B$9*12)*INDEX(Surface_Engine!$F$12:$F$72,$A45+1)-($B$9*12),$B$8*12*INDEX(Surface_Engine!$C$12:$C$72,$A45+1)/(1+Assumptions!$B$10)^$B$7+INDEX(Surface_Engine!$D$12:$D$72,$A45+1))</f>
        <v>17324.1807415351</v>
      </c>
      <c r="I45" s="48" t="n">
        <f aca="false">IF($A45&lt;$B$7,INDEX(Surface_Engine!$D$12:$D$72,$A45+1)*(1+Assumptions!$B$24)+($B$9*12)*INDEX(Surface_Engine!$F$12:$F$72,$A45+1)-($B$9*12),$B$8*12*INDEX(Surface_Engine!$C$12:$C$72,$A45+1)/(1+Assumptions!$B$10)^$B$7+INDEX(Surface_Engine!$D$12:$D$72,$A45+1)*(1+Assumptions!$B$24))</f>
        <v>17342.7033185971</v>
      </c>
      <c r="J45" s="48" t="n">
        <f aca="false">IF($A45&lt;$B$7,($B$9*12)-($B$9*12)*INDEX(Surface_Engine!$F$12:$F$72,$A45+1)-INDEX(Surface_Engine!$D$12:$D$72,$A45+1),-($B$8*12*INDEX(Surface_Engine!$C$12:$C$72,$A45+1)/(1+Assumptions!$B$10)^$B$7+INDEX(Surface_Engine!$D$12:$D$72,$A45+1)))</f>
        <v>-17324.1807415351</v>
      </c>
      <c r="K45" s="48" t="n">
        <f aca="false">B45*H45*G45+K46</f>
        <v>3357.7508118404</v>
      </c>
      <c r="L45" s="48" t="n">
        <f aca="false">C45*H45*G45+L46</f>
        <v>5905.70333970125</v>
      </c>
      <c r="M45" s="48" t="n">
        <f aca="false">D45*H45*G45+M46</f>
        <v>9887.01179858169</v>
      </c>
      <c r="N45" s="48" t="n">
        <f aca="false">E45*H45*G45+N46</f>
        <v>3041.71545242116</v>
      </c>
      <c r="O45" s="48" t="n">
        <f aca="false">F45*H45*G45+O46</f>
        <v>3703.22148532102</v>
      </c>
      <c r="P45" s="48" t="n">
        <f aca="false">B45*I45*G45+P46</f>
        <v>3361.39133289135</v>
      </c>
      <c r="Q45" s="12" t="n">
        <f aca="false">K45/G45</f>
        <v>9461.29941218593</v>
      </c>
      <c r="R45" s="12" t="n">
        <f aca="false">IF(C45&lt;=0,0,MAX(0,(B45/C45)*L45/G45-Q45))</f>
        <v>1757.07520664704</v>
      </c>
      <c r="S45" s="12" t="n">
        <f aca="false">MAX(IF(E45&lt;=0,0,MAX(0,(B45/E45)*N45/G45-Q45)),IF(F45&lt;=0,0,MAX(0,(B45/F45)*O45/G45-Q45)),IF($A45&lt;$B$7,MAX(0,-Assumptions!$B$22*Q45),0))</f>
        <v>0</v>
      </c>
      <c r="T45" s="12" t="n">
        <f aca="false">MAX(0,P45/G45-Q45)</f>
        <v>10.2580750060351</v>
      </c>
      <c r="U45" s="12" t="n">
        <f aca="false">SQRT(R45^2+S45^2+T45^2+2*Assumptions!$B$26*R45*S45+2*Assumptions!$B$27*R45*T45+2*Assumptions!$B$28*S45*T45)</f>
        <v>1759.66775686408</v>
      </c>
      <c r="V45" s="48" t="n">
        <f aca="false">U45*G45+V46</f>
        <v>2407.50005431984</v>
      </c>
      <c r="W45" s="48" t="n">
        <f aca="false">W44+B44*J44*G44</f>
        <v>5564.4276931816</v>
      </c>
      <c r="X45" s="12" t="n">
        <f aca="false">Assumptions!$B$29*V45/G45</f>
        <v>407.023870296482</v>
      </c>
      <c r="Y45" s="12" t="n">
        <f aca="false">W45/G45</f>
        <v>15679.1612638444</v>
      </c>
      <c r="Z45" s="12" t="n">
        <f aca="false">Y45-Q45</f>
        <v>6217.86185165848</v>
      </c>
      <c r="AA45" s="12" t="n">
        <f aca="false">IF(B45&lt;=0,0,MAX(0,(U45+X45-Z45)/B45))</f>
        <v>0</v>
      </c>
    </row>
    <row r="46" customFormat="false" ht="15" hidden="false" customHeight="true" outlineLevel="0" collapsed="false">
      <c r="A46" s="1" t="n">
        <v>34</v>
      </c>
      <c r="B46" s="32" t="n">
        <f aca="false">INDEX(Surface_Engine!$L$12:$L$72,$A46+1)*IF($A46&lt;$B$7,INDEX(Surface_Engine!$E$12:$E$72,$A46+1),INDEX(Surface_Engine!$E$12:$E$72,$B$7+1))</f>
        <v>0.101764043420001</v>
      </c>
      <c r="C46" s="32" t="n">
        <f aca="false">INDEX(Panel_Reserving!$D$8:$D$68,$A46+1)*IF($A46&lt;$B$7,INDEX(Surface_Engine!$E$12:$E$72,$A46+1),INDEX(Surface_Engine!$E$12:$E$72,$B$7+1))</f>
        <v>0.15794021013062</v>
      </c>
      <c r="D46" s="32" t="n">
        <f aca="false">INDEX(Panel_Reserving!$L$8:$L$68,$A46+1)*IF($A46&lt;$B$7,INDEX(Surface_Engine!$E$12:$E$72,$A46+1),INDEX(Surface_Engine!$E$12:$E$72,$B$7+1))</f>
        <v>0.220634801871059</v>
      </c>
      <c r="E46" s="32" t="n">
        <f aca="false">INDEX(Surface_Engine!$L$12:$L$72,$A46+1)*IF($A46&lt;$B$7,INDEX(Surface_Engine!$Y$12:$Y$72,$A46+1),INDEX(Surface_Engine!$Y$12:$Y$72,$B$7+1))</f>
        <v>0.0921858948793806</v>
      </c>
      <c r="F46" s="32" t="n">
        <f aca="false">INDEX(Surface_Engine!$L$12:$L$72,$A46+1)*IF($A46&lt;$B$7,INDEX(Surface_Engine!$Z$12:$Z$72,$A46+1),INDEX(Surface_Engine!$Z$12:$Z$72,$B$7+1))</f>
        <v>0.112234294068871</v>
      </c>
      <c r="G46" s="30" t="n">
        <f aca="false">INDEX(Surface_Engine!$B$12:$B$72,$A46+1)</f>
        <v>0.3436988522801</v>
      </c>
      <c r="H46" s="48" t="n">
        <f aca="false">IF($A46&lt;$B$7,INDEX(Surface_Engine!$D$12:$D$72,$A46+1)+($B$9*12)*INDEX(Surface_Engine!$F$12:$F$72,$A46+1)-($B$9*12),$B$8*12*INDEX(Surface_Engine!$C$12:$C$72,$A46+1)/(1+Assumptions!$B$10)^$B$7+INDEX(Surface_Engine!$D$12:$D$72,$A46+1))</f>
        <v>17671.5904852189</v>
      </c>
      <c r="I46" s="48" t="n">
        <f aca="false">IF($A46&lt;$B$7,INDEX(Surface_Engine!$D$12:$D$72,$A46+1)*(1+Assumptions!$B$24)+($B$9*12)*INDEX(Surface_Engine!$F$12:$F$72,$A46+1)-($B$9*12),$B$8*12*INDEX(Surface_Engine!$C$12:$C$72,$A46+1)/(1+Assumptions!$B$10)^$B$7+INDEX(Surface_Engine!$D$12:$D$72,$A46+1)*(1+Assumptions!$B$24))</f>
        <v>17690.5761267074</v>
      </c>
      <c r="J46" s="48" t="n">
        <f aca="false">IF($A46&lt;$B$7,($B$9*12)-($B$9*12)*INDEX(Surface_Engine!$F$12:$F$72,$A46+1)-INDEX(Surface_Engine!$D$12:$D$72,$A46+1),-($B$8*12*INDEX(Surface_Engine!$C$12:$C$72,$A46+1)/(1+Assumptions!$B$10)^$B$7+INDEX(Surface_Engine!$D$12:$D$72,$A46+1)))</f>
        <v>-17671.5904852189</v>
      </c>
      <c r="K46" s="48" t="n">
        <f aca="false">B46*H46*G46+K47</f>
        <v>2587.25343780921</v>
      </c>
      <c r="L46" s="48" t="n">
        <f aca="false">C46*H46*G46+L47</f>
        <v>4762.78506903476</v>
      </c>
      <c r="M46" s="48" t="n">
        <f aca="false">D46*H46*G46+M47</f>
        <v>8363.51247915109</v>
      </c>
      <c r="N46" s="48" t="n">
        <f aca="false">E46*H46*G46+N47</f>
        <v>2343.73817537718</v>
      </c>
      <c r="O46" s="48" t="n">
        <f aca="false">F46*H46*G46+O47</f>
        <v>2853.44954279506</v>
      </c>
      <c r="P46" s="48" t="n">
        <f aca="false">B46*I46*G46+P47</f>
        <v>2590.07016250296</v>
      </c>
      <c r="Q46" s="12" t="n">
        <f aca="false">K46/G46</f>
        <v>7527.6755236317</v>
      </c>
      <c r="R46" s="12" t="n">
        <f aca="false">IF(C46&lt;=0,0,MAX(0,(B46/C46)*L46/G46-Q46))</f>
        <v>1400.94868708775</v>
      </c>
      <c r="S46" s="12" t="n">
        <f aca="false">MAX(IF(E46&lt;=0,0,MAX(0,(B46/E46)*N46/G46-Q46)),IF(F46&lt;=0,0,MAX(0,(B46/F46)*O46/G46-Q46)),IF($A46&lt;$B$7,MAX(0,-Assumptions!$B$22*Q46),0))</f>
        <v>0</v>
      </c>
      <c r="T46" s="12" t="n">
        <f aca="false">MAX(0,P46/G46-Q46)</f>
        <v>8.19532761036589</v>
      </c>
      <c r="U46" s="12" t="n">
        <f aca="false">SQRT(R46^2+S46^2+T46^2+2*Assumptions!$B$26*R46*S46+2*Assumptions!$B$27*R46*T46+2*Assumptions!$B$28*S46*T46)</f>
        <v>1403.01995850934</v>
      </c>
      <c r="V46" s="48" t="n">
        <f aca="false">U46*G46+V47</f>
        <v>1783.00593551311</v>
      </c>
      <c r="W46" s="48" t="n">
        <f aca="false">W45+B45*J45*G45</f>
        <v>4793.93031915041</v>
      </c>
      <c r="X46" s="12" t="n">
        <f aca="false">Assumptions!$B$29*V46/G46</f>
        <v>311.261895176775</v>
      </c>
      <c r="Y46" s="12" t="n">
        <f aca="false">W46/G46</f>
        <v>13948.0544882459</v>
      </c>
      <c r="Z46" s="12" t="n">
        <f aca="false">Y46-Q46</f>
        <v>6420.37896461419</v>
      </c>
      <c r="AA46" s="12" t="n">
        <f aca="false">IF(B46&lt;=0,0,MAX(0,(U46+X46-Z46)/B46))</f>
        <v>0</v>
      </c>
    </row>
    <row r="47" customFormat="false" ht="15" hidden="false" customHeight="true" outlineLevel="0" collapsed="false">
      <c r="A47" s="1" t="n">
        <v>35</v>
      </c>
      <c r="B47" s="32" t="n">
        <f aca="false">INDEX(Surface_Engine!$L$12:$L$72,$A47+1)*IF($A47&lt;$B$7,INDEX(Surface_Engine!$E$12:$E$72,$A47+1),INDEX(Surface_Engine!$E$12:$E$72,$B$7+1))</f>
        <v>0.0816076307860552</v>
      </c>
      <c r="C47" s="32" t="n">
        <f aca="false">INDEX(Panel_Reserving!$D$8:$D$68,$A47+1)*IF($A47&lt;$B$7,INDEX(Surface_Engine!$E$12:$E$72,$A47+1),INDEX(Surface_Engine!$E$12:$E$72,$B$7+1))</f>
        <v>0.132913625573669</v>
      </c>
      <c r="D47" s="32" t="n">
        <f aca="false">INDEX(Panel_Reserving!$L$8:$L$68,$A47+1)*IF($A47&lt;$B$7,INDEX(Surface_Engine!$E$12:$E$72,$A47+1),INDEX(Surface_Engine!$E$12:$E$72,$B$7+1))</f>
        <v>0.195330656414474</v>
      </c>
      <c r="E47" s="32" t="n">
        <f aca="false">INDEX(Surface_Engine!$L$12:$L$72,$A47+1)*IF($A47&lt;$B$7,INDEX(Surface_Engine!$Y$12:$Y$72,$A47+1),INDEX(Surface_Engine!$Y$12:$Y$72,$B$7+1))</f>
        <v>0.0739266269319641</v>
      </c>
      <c r="F47" s="32" t="n">
        <f aca="false">INDEX(Surface_Engine!$L$12:$L$72,$A47+1)*IF($A47&lt;$B$7,INDEX(Surface_Engine!$Z$12:$Z$72,$A47+1),INDEX(Surface_Engine!$Z$12:$Z$72,$B$7+1))</f>
        <v>0.0900040380088303</v>
      </c>
      <c r="G47" s="30" t="n">
        <f aca="false">INDEX(Surface_Engine!$B$12:$B$72,$A47+1)</f>
        <v>0.332844709518926</v>
      </c>
      <c r="H47" s="48" t="n">
        <f aca="false">IF($A47&lt;$B$7,INDEX(Surface_Engine!$D$12:$D$72,$A47+1)+($B$9*12)*INDEX(Surface_Engine!$F$12:$F$72,$A47+1)-($B$9*12),$B$8*12*INDEX(Surface_Engine!$C$12:$C$72,$A47+1)/(1+Assumptions!$B$10)^$B$7+INDEX(Surface_Engine!$D$12:$D$72,$A47+1))</f>
        <v>18025.9715769977</v>
      </c>
      <c r="I47" s="48" t="n">
        <f aca="false">IF($A47&lt;$B$7,INDEX(Surface_Engine!$D$12:$D$72,$A47+1)*(1+Assumptions!$B$24)+($B$9*12)*INDEX(Surface_Engine!$F$12:$F$72,$A47+1)-($B$9*12),$B$8*12*INDEX(Surface_Engine!$C$12:$C$72,$A47+1)/(1+Assumptions!$B$10)^$B$7+INDEX(Surface_Engine!$D$12:$D$72,$A47+1)*(1+Assumptions!$B$24))</f>
        <v>18045.4318595234</v>
      </c>
      <c r="J47" s="48" t="n">
        <f aca="false">IF($A47&lt;$B$7,($B$9*12)-($B$9*12)*INDEX(Surface_Engine!$F$12:$F$72,$A47+1)-INDEX(Surface_Engine!$D$12:$D$72,$A47+1),-($B$8*12*INDEX(Surface_Engine!$C$12:$C$72,$A47+1)/(1+Assumptions!$B$10)^$B$7+INDEX(Surface_Engine!$D$12:$D$72,$A47+1)))</f>
        <v>-18025.9715769977</v>
      </c>
      <c r="K47" s="48" t="n">
        <f aca="false">B47*H47*G47+K48</f>
        <v>1969.16862104687</v>
      </c>
      <c r="L47" s="48" t="n">
        <f aca="false">C47*H47*G47+L48</f>
        <v>3803.50276698343</v>
      </c>
      <c r="M47" s="48" t="n">
        <f aca="false">D47*H47*G47+M48</f>
        <v>7023.44169871799</v>
      </c>
      <c r="N47" s="48" t="n">
        <f aca="false">E47*H47*G47+N48</f>
        <v>1783.82821081895</v>
      </c>
      <c r="O47" s="48" t="n">
        <f aca="false">F47*H47*G47+O48</f>
        <v>2171.77150846516</v>
      </c>
      <c r="P47" s="48" t="n">
        <f aca="false">B47*I47*G47+P48</f>
        <v>1971.32130043296</v>
      </c>
      <c r="Q47" s="12" t="n">
        <f aca="false">K47/G47</f>
        <v>5916.1782198461</v>
      </c>
      <c r="R47" s="12" t="n">
        <f aca="false">IF(C47&lt;=0,0,MAX(0,(B47/C47)*L47/G47-Q47))</f>
        <v>1100.04412128309</v>
      </c>
      <c r="S47" s="12" t="n">
        <f aca="false">MAX(IF(E47&lt;=0,0,MAX(0,(B47/E47)*N47/G47-Q47)),IF(F47&lt;=0,0,MAX(0,(B47/F47)*O47/G47-Q47)),IF($A47&lt;$B$7,MAX(0,-Assumptions!$B$22*Q47),0))</f>
        <v>0</v>
      </c>
      <c r="T47" s="12" t="n">
        <f aca="false">MAX(0,P47/G47-Q47)</f>
        <v>6.46751870923981</v>
      </c>
      <c r="U47" s="12" t="n">
        <f aca="false">SQRT(R47^2+S47^2+T47^2+2*Assumptions!$B$26*R47*S47+2*Assumptions!$B$27*R47*T47+2*Assumptions!$B$28*S47*T47)</f>
        <v>1101.67879871378</v>
      </c>
      <c r="V47" s="48" t="n">
        <f aca="false">U47*G47+V48</f>
        <v>1300.78958604737</v>
      </c>
      <c r="W47" s="48" t="n">
        <f aca="false">W46+B46*J46*G46</f>
        <v>4175.84550238807</v>
      </c>
      <c r="X47" s="12" t="n">
        <f aca="false">Assumptions!$B$29*V47/G47</f>
        <v>234.48585160223</v>
      </c>
      <c r="Y47" s="12" t="n">
        <f aca="false">W47/G47</f>
        <v>12545.92722361</v>
      </c>
      <c r="Z47" s="12" t="n">
        <f aca="false">Y47-Q47</f>
        <v>6629.74900376392</v>
      </c>
      <c r="AA47" s="12" t="n">
        <f aca="false">IF(B47&lt;=0,0,MAX(0,(U47+X47-Z47)/B47))</f>
        <v>0</v>
      </c>
    </row>
    <row r="48" customFormat="false" ht="15" hidden="false" customHeight="true" outlineLevel="0" collapsed="false">
      <c r="A48" s="1" t="n">
        <v>36</v>
      </c>
      <c r="B48" s="32" t="n">
        <f aca="false">INDEX(Surface_Engine!$L$12:$L$72,$A48+1)*IF($A48&lt;$B$7,INDEX(Surface_Engine!$E$12:$E$72,$A48+1),INDEX(Surface_Engine!$E$12:$E$72,$B$7+1))</f>
        <v>0.0645778729615461</v>
      </c>
      <c r="C48" s="32" t="n">
        <f aca="false">INDEX(Panel_Reserving!$D$8:$D$68,$A48+1)*IF($A48&lt;$B$7,INDEX(Surface_Engine!$E$12:$E$72,$A48+1),INDEX(Surface_Engine!$E$12:$E$72,$B$7+1))</f>
        <v>0.110724652966134</v>
      </c>
      <c r="D48" s="32" t="n">
        <f aca="false">INDEX(Panel_Reserving!$L$8:$L$68,$A48+1)*IF($A48&lt;$B$7,INDEX(Surface_Engine!$E$12:$E$72,$A48+1),INDEX(Surface_Engine!$E$12:$E$72,$B$7+1))</f>
        <v>0.171857826374212</v>
      </c>
      <c r="E48" s="32" t="n">
        <f aca="false">INDEX(Surface_Engine!$L$12:$L$72,$A48+1)*IF($A48&lt;$B$7,INDEX(Surface_Engine!$Y$12:$Y$72,$A48+1),INDEX(Surface_Engine!$Y$12:$Y$72,$B$7+1))</f>
        <v>0.058499729455493</v>
      </c>
      <c r="F48" s="32" t="n">
        <f aca="false">INDEX(Surface_Engine!$L$12:$L$72,$A48+1)*IF($A48&lt;$B$7,INDEX(Surface_Engine!$Z$12:$Z$72,$A48+1),INDEX(Surface_Engine!$Z$12:$Z$72,$B$7+1))</f>
        <v>0.0712221305357831</v>
      </c>
      <c r="G48" s="30" t="n">
        <f aca="false">INDEX(Surface_Engine!$B$12:$B$72,$A48+1)</f>
        <v>0.322433317993974</v>
      </c>
      <c r="H48" s="48" t="n">
        <f aca="false">IF($A48&lt;$B$7,INDEX(Surface_Engine!$D$12:$D$72,$A48+1)+($B$9*12)*INDEX(Surface_Engine!$F$12:$F$72,$A48+1)-($B$9*12),$B$8*12*INDEX(Surface_Engine!$C$12:$C$72,$A48+1)/(1+Assumptions!$B$10)^$B$7+INDEX(Surface_Engine!$D$12:$D$72,$A48+1))</f>
        <v>18387.4640226639</v>
      </c>
      <c r="I48" s="48" t="n">
        <f aca="false">IF($A48&lt;$B$7,INDEX(Surface_Engine!$D$12:$D$72,$A48+1)*(1+Assumptions!$B$24)+($B$9*12)*INDEX(Surface_Engine!$F$12:$F$72,$A48+1)-($B$9*12),$B$8*12*INDEX(Surface_Engine!$C$12:$C$72,$A48+1)/(1+Assumptions!$B$10)^$B$7+INDEX(Surface_Engine!$D$12:$D$72,$A48+1)*(1+Assumptions!$B$24))</f>
        <v>18407.4108122528</v>
      </c>
      <c r="J48" s="48" t="n">
        <f aca="false">IF($A48&lt;$B$7,($B$9*12)-($B$9*12)*INDEX(Surface_Engine!$F$12:$F$72,$A48+1)-INDEX(Surface_Engine!$D$12:$D$72,$A48+1),-($B$8*12*INDEX(Surface_Engine!$C$12:$C$72,$A48+1)/(1+Assumptions!$B$10)^$B$7+INDEX(Surface_Engine!$D$12:$D$72,$A48+1)))</f>
        <v>-18387.4640226639</v>
      </c>
      <c r="K48" s="48" t="n">
        <f aca="false">B48*H48*G48+K49</f>
        <v>1479.53513677598</v>
      </c>
      <c r="L48" s="48" t="n">
        <f aca="false">C48*H48*G48+L49</f>
        <v>3006.04104716797</v>
      </c>
      <c r="M48" s="48" t="n">
        <f aca="false">D48*H48*G48+M49</f>
        <v>5851.48720176815</v>
      </c>
      <c r="N48" s="48" t="n">
        <f aca="false">E48*H48*G48+N49</f>
        <v>1340.27959194057</v>
      </c>
      <c r="O48" s="48" t="n">
        <f aca="false">F48*H48*G48+O49</f>
        <v>1631.76084642001</v>
      </c>
      <c r="P48" s="48" t="n">
        <f aca="false">B48*I48*G48+P49</f>
        <v>1481.15922296545</v>
      </c>
      <c r="Q48" s="12" t="n">
        <f aca="false">K48/G48</f>
        <v>4588.65462781868</v>
      </c>
      <c r="R48" s="12" t="n">
        <f aca="false">IF(C48&lt;=0,0,MAX(0,(B48/C48)*L48/G48-Q48))</f>
        <v>848.784432437446</v>
      </c>
      <c r="S48" s="12" t="n">
        <f aca="false">MAX(IF(E48&lt;=0,0,MAX(0,(B48/E48)*N48/G48-Q48)),IF(F48&lt;=0,0,MAX(0,(B48/F48)*O48/G48-Q48)),IF($A48&lt;$B$7,MAX(0,-Assumptions!$B$22*Q48),0))</f>
        <v>0</v>
      </c>
      <c r="T48" s="12" t="n">
        <f aca="false">MAX(0,P48/G48-Q48)</f>
        <v>5.03696764209963</v>
      </c>
      <c r="U48" s="12" t="n">
        <f aca="false">SQRT(R48^2+S48^2+T48^2+2*Assumptions!$B$26*R48*S48+2*Assumptions!$B$27*R48*T48+2*Assumptions!$B$28*S48*T48)</f>
        <v>850.057664897999</v>
      </c>
      <c r="V48" s="48" t="n">
        <f aca="false">U48*G48+V49</f>
        <v>934.101626306325</v>
      </c>
      <c r="W48" s="48" t="n">
        <f aca="false">W47+B47*J47*G47</f>
        <v>3686.21201811718</v>
      </c>
      <c r="X48" s="12" t="n">
        <f aca="false">Assumptions!$B$29*V48/G48</f>
        <v>173.822289604162</v>
      </c>
      <c r="Y48" s="12" t="n">
        <f aca="false">W48/G48</f>
        <v>11432.4786317091</v>
      </c>
      <c r="Z48" s="12" t="n">
        <f aca="false">Y48-Q48</f>
        <v>6843.82400389043</v>
      </c>
      <c r="AA48" s="12" t="n">
        <f aca="false">IF(B48&lt;=0,0,MAX(0,(U48+X48-Z48)/B48))</f>
        <v>0</v>
      </c>
    </row>
    <row r="49" customFormat="false" ht="15" hidden="false" customHeight="true" outlineLevel="0" collapsed="false">
      <c r="A49" s="1" t="n">
        <v>37</v>
      </c>
      <c r="B49" s="32" t="n">
        <f aca="false">INDEX(Surface_Engine!$L$12:$L$72,$A49+1)*IF($A49&lt;$B$7,INDEX(Surface_Engine!$E$12:$E$72,$A49+1),INDEX(Surface_Engine!$E$12:$E$72,$B$7+1))</f>
        <v>0.0503627086065056</v>
      </c>
      <c r="C49" s="32" t="n">
        <f aca="false">INDEX(Panel_Reserving!$D$8:$D$68,$A49+1)*IF($A49&lt;$B$7,INDEX(Surface_Engine!$E$12:$E$72,$A49+1),INDEX(Surface_Engine!$E$12:$E$72,$B$7+1))</f>
        <v>0.0912260963505491</v>
      </c>
      <c r="D49" s="32" t="n">
        <f aca="false">INDEX(Panel_Reserving!$L$8:$L$68,$A49+1)*IF($A49&lt;$B$7,INDEX(Surface_Engine!$E$12:$E$72,$A49+1),INDEX(Surface_Engine!$E$12:$E$72,$B$7+1))</f>
        <v>0.150155549383021</v>
      </c>
      <c r="E49" s="32" t="n">
        <f aca="false">INDEX(Surface_Engine!$L$12:$L$72,$A49+1)*IF($A49&lt;$B$7,INDEX(Surface_Engine!$Y$12:$Y$72,$A49+1),INDEX(Surface_Engine!$Y$12:$Y$72,$B$7+1))</f>
        <v>0.0456225126814067</v>
      </c>
      <c r="F49" s="32" t="n">
        <f aca="false">INDEX(Surface_Engine!$L$12:$L$72,$A49+1)*IF($A49&lt;$B$7,INDEX(Surface_Engine!$Z$12:$Z$72,$A49+1),INDEX(Surface_Engine!$Z$12:$Z$72,$B$7+1))</f>
        <v>0.0555444030905763</v>
      </c>
      <c r="G49" s="30" t="n">
        <f aca="false">INDEX(Surface_Engine!$B$12:$B$72,$A49+1)</f>
        <v>0.312229574865653</v>
      </c>
      <c r="H49" s="48" t="n">
        <f aca="false">IF($A49&lt;$B$7,INDEX(Surface_Engine!$D$12:$D$72,$A49+1)+($B$9*12)*INDEX(Surface_Engine!$F$12:$F$72,$A49+1)-($B$9*12),$B$8*12*INDEX(Surface_Engine!$C$12:$C$72,$A49+1)/(1+Assumptions!$B$10)^$B$7+INDEX(Surface_Engine!$D$12:$D$72,$A49+1))</f>
        <v>18756.2106425967</v>
      </c>
      <c r="I49" s="48" t="n">
        <f aca="false">IF($A49&lt;$B$7,INDEX(Surface_Engine!$D$12:$D$72,$A49+1)*(1+Assumptions!$B$24)+($B$9*12)*INDEX(Surface_Engine!$F$12:$F$72,$A49+1)-($B$9*12),$B$8*12*INDEX(Surface_Engine!$C$12:$C$72,$A49+1)/(1+Assumptions!$B$10)^$B$7+INDEX(Surface_Engine!$D$12:$D$72,$A49+1)*(1+Assumptions!$B$24))</f>
        <v>18776.6561019253</v>
      </c>
      <c r="J49" s="48" t="n">
        <f aca="false">IF($A49&lt;$B$7,($B$9*12)-($B$9*12)*INDEX(Surface_Engine!$F$12:$F$72,$A49+1)-INDEX(Surface_Engine!$D$12:$D$72,$A49+1),-($B$8*12*INDEX(Surface_Engine!$C$12:$C$72,$A49+1)/(1+Assumptions!$B$10)^$B$7+INDEX(Surface_Engine!$D$12:$D$72,$A49+1)))</f>
        <v>-18756.2106425967</v>
      </c>
      <c r="K49" s="48" t="n">
        <f aca="false">B49*H49*G49+K50</f>
        <v>1096.67029721834</v>
      </c>
      <c r="L49" s="48" t="n">
        <f aca="false">C49*H49*G49+L50</f>
        <v>2349.58436086308</v>
      </c>
      <c r="M49" s="48" t="n">
        <f aca="false">D49*H49*G49+M50</f>
        <v>4832.58837305217</v>
      </c>
      <c r="N49" s="48" t="n">
        <f aca="false">E49*H49*G49+N50</f>
        <v>993.450430418323</v>
      </c>
      <c r="O49" s="48" t="n">
        <f aca="false">F49*H49*G49+O50</f>
        <v>1209.50399078196</v>
      </c>
      <c r="P49" s="48" t="n">
        <f aca="false">B49*I49*G49+P50</f>
        <v>1097.87905020111</v>
      </c>
      <c r="Q49" s="12" t="n">
        <f aca="false">K49/G49</f>
        <v>3512.38442959868</v>
      </c>
      <c r="R49" s="12" t="n">
        <f aca="false">IF(C49&lt;=0,0,MAX(0,(B49/C49)*L49/G49-Q49))</f>
        <v>642.002975894454</v>
      </c>
      <c r="S49" s="12" t="n">
        <f aca="false">MAX(IF(E49&lt;=0,0,MAX(0,(B49/E49)*N49/G49-Q49)),IF(F49&lt;=0,0,MAX(0,(B49/F49)*O49/G49-Q49)),IF($A49&lt;$B$7,MAX(0,-Assumptions!$B$22*Q49),0))</f>
        <v>0</v>
      </c>
      <c r="T49" s="12" t="n">
        <f aca="false">MAX(0,P49/G49-Q49)</f>
        <v>3.87135966632559</v>
      </c>
      <c r="U49" s="12" t="n">
        <f aca="false">SQRT(R49^2+S49^2+T49^2+2*Assumptions!$B$26*R49*S49+2*Assumptions!$B$27*R49*T49+2*Assumptions!$B$28*S49*T49)</f>
        <v>642.981742117357</v>
      </c>
      <c r="V49" s="48" t="n">
        <f aca="false">U49*G49+V50</f>
        <v>660.014712927054</v>
      </c>
      <c r="W49" s="48" t="n">
        <f aca="false">W48+B48*J48*G48</f>
        <v>3303.34717855953</v>
      </c>
      <c r="X49" s="12" t="n">
        <f aca="false">Assumptions!$B$29*V49/G49</f>
        <v>126.832580778623</v>
      </c>
      <c r="Y49" s="12" t="n">
        <f aca="false">W49/G49</f>
        <v>10579.8663691</v>
      </c>
      <c r="Z49" s="12" t="n">
        <f aca="false">Y49-Q49</f>
        <v>7067.48193950137</v>
      </c>
      <c r="AA49" s="12" t="n">
        <f aca="false">IF(B49&lt;=0,0,MAX(0,(U49+X49-Z49)/B49))</f>
        <v>0</v>
      </c>
    </row>
    <row r="50" customFormat="false" ht="15" hidden="false" customHeight="true" outlineLevel="0" collapsed="false">
      <c r="A50" s="1" t="n">
        <v>38</v>
      </c>
      <c r="B50" s="32" t="n">
        <f aca="false">INDEX(Surface_Engine!$L$12:$L$72,$A50+1)*IF($A50&lt;$B$7,INDEX(Surface_Engine!$E$12:$E$72,$A50+1),INDEX(Surface_Engine!$E$12:$E$72,$B$7+1))</f>
        <v>0.0386365499132701</v>
      </c>
      <c r="C50" s="32" t="n">
        <f aca="false">INDEX(Panel_Reserving!$D$8:$D$68,$A50+1)*IF($A50&lt;$B$7,INDEX(Surface_Engine!$E$12:$E$72,$A50+1),INDEX(Surface_Engine!$E$12:$E$72,$B$7+1))</f>
        <v>0.074233655516932</v>
      </c>
      <c r="D50" s="32" t="n">
        <f aca="false">INDEX(Panel_Reserving!$L$8:$L$68,$A50+1)*IF($A50&lt;$B$7,INDEX(Surface_Engine!$E$12:$E$72,$A50+1),INDEX(Surface_Engine!$E$12:$E$72,$B$7+1))</f>
        <v>0.130138782260812</v>
      </c>
      <c r="E50" s="32" t="n">
        <f aca="false">INDEX(Surface_Engine!$L$12:$L$72,$A50+1)*IF($A50&lt;$B$7,INDEX(Surface_Engine!$Y$12:$Y$72,$A50+1),INDEX(Surface_Engine!$Y$12:$Y$72,$B$7+1))</f>
        <v>0.0350000335001099</v>
      </c>
      <c r="F50" s="32" t="n">
        <f aca="false">INDEX(Surface_Engine!$L$12:$L$72,$A50+1)*IF($A50&lt;$B$7,INDEX(Surface_Engine!$Z$12:$Z$72,$A50+1),INDEX(Surface_Engine!$Z$12:$Z$72,$B$7+1))</f>
        <v>0.0426117689415663</v>
      </c>
      <c r="G50" s="30" t="n">
        <f aca="false">INDEX(Surface_Engine!$B$12:$B$72,$A50+1)</f>
        <v>0.302337025004181</v>
      </c>
      <c r="H50" s="48" t="n">
        <f aca="false">IF($A50&lt;$B$7,INDEX(Surface_Engine!$D$12:$D$72,$A50+1)+($B$9*12)*INDEX(Surface_Engine!$F$12:$F$72,$A50+1)-($B$9*12),$B$8*12*INDEX(Surface_Engine!$C$12:$C$72,$A50+1)/(1+Assumptions!$B$10)^$B$7+INDEX(Surface_Engine!$D$12:$D$72,$A50+1))</f>
        <v>19132.357128415</v>
      </c>
      <c r="I50" s="48" t="n">
        <f aca="false">IF($A50&lt;$B$7,INDEX(Surface_Engine!$D$12:$D$72,$A50+1)*(1+Assumptions!$B$24)+($B$9*12)*INDEX(Surface_Engine!$F$12:$F$72,$A50+1)-($B$9*12),$B$8*12*INDEX(Surface_Engine!$C$12:$C$72,$A50+1)/(1+Assumptions!$B$10)^$B$7+INDEX(Surface_Engine!$D$12:$D$72,$A50+1)*(1+Assumptions!$B$24))</f>
        <v>19153.3137242268</v>
      </c>
      <c r="J50" s="48" t="n">
        <f aca="false">IF($A50&lt;$B$7,($B$9*12)-($B$9*12)*INDEX(Surface_Engine!$F$12:$F$72,$A50+1)-INDEX(Surface_Engine!$D$12:$D$72,$A50+1),-($B$8*12*INDEX(Surface_Engine!$C$12:$C$72,$A50+1)/(1+Assumptions!$B$10)^$B$7+INDEX(Surface_Engine!$D$12:$D$72,$A50+1)))</f>
        <v>-19132.357128415</v>
      </c>
      <c r="K50" s="48" t="n">
        <f aca="false">B50*H50*G50+K51</f>
        <v>801.73400348418</v>
      </c>
      <c r="L50" s="48" t="n">
        <f aca="false">C50*H50*G50+L51</f>
        <v>1815.34211111263</v>
      </c>
      <c r="M50" s="48" t="n">
        <f aca="false">D50*H50*G50+M51</f>
        <v>3953.24088670741</v>
      </c>
      <c r="N50" s="48" t="n">
        <f aca="false">E50*H50*G50+N51</f>
        <v>726.273879088924</v>
      </c>
      <c r="O50" s="48" t="n">
        <f aca="false">F50*H50*G50+O51</f>
        <v>884.222431499533</v>
      </c>
      <c r="P50" s="48" t="n">
        <f aca="false">B50*I50*G50+P51</f>
        <v>802.621257198628</v>
      </c>
      <c r="Q50" s="12" t="n">
        <f aca="false">K50/G50</f>
        <v>2651.78902078927</v>
      </c>
      <c r="R50" s="12" t="n">
        <f aca="false">IF(C50&lt;=0,0,MAX(0,(B50/C50)*L50/G50-Q50))</f>
        <v>473.316157277207</v>
      </c>
      <c r="S50" s="12" t="n">
        <f aca="false">MAX(IF(E50&lt;=0,0,MAX(0,(B50/E50)*N50/G50-Q50)),IF(F50&lt;=0,0,MAX(0,(B50/F50)*O50/G50-Q50)),IF($A50&lt;$B$7,MAX(0,-Assumptions!$B$22*Q50),0))</f>
        <v>0</v>
      </c>
      <c r="T50" s="12" t="n">
        <f aca="false">MAX(0,P50/G50-Q50)</f>
        <v>2.93465120401788</v>
      </c>
      <c r="U50" s="12" t="n">
        <f aca="false">SQRT(R50^2+S50^2+T50^2+2*Assumptions!$B$26*R50*S50+2*Assumptions!$B$27*R50*T50+2*Assumptions!$B$28*S50*T50)</f>
        <v>474.058335896299</v>
      </c>
      <c r="V50" s="48" t="n">
        <f aca="false">U50*G50+V51</f>
        <v>459.256796939375</v>
      </c>
      <c r="W50" s="48" t="n">
        <f aca="false">W49+B49*J49*G49</f>
        <v>3008.41088482537</v>
      </c>
      <c r="X50" s="12" t="n">
        <f aca="false">Assumptions!$B$29*V50/G50</f>
        <v>91.1413605924759</v>
      </c>
      <c r="Y50" s="12" t="n">
        <f aca="false">W50/G50</f>
        <v>9950.52089562557</v>
      </c>
      <c r="Z50" s="12" t="n">
        <f aca="false">Y50-Q50</f>
        <v>7298.73187483629</v>
      </c>
      <c r="AA50" s="12" t="n">
        <f aca="false">IF(B50&lt;=0,0,MAX(0,(U50+X50-Z50)/B50))</f>
        <v>0</v>
      </c>
    </row>
    <row r="51" customFormat="false" ht="15" hidden="false" customHeight="true" outlineLevel="0" collapsed="false">
      <c r="A51" s="1" t="n">
        <v>39</v>
      </c>
      <c r="B51" s="32" t="n">
        <f aca="false">INDEX(Surface_Engine!$L$12:$L$72,$A51+1)*IF($A51&lt;$B$7,INDEX(Surface_Engine!$E$12:$E$72,$A51+1),INDEX(Surface_Engine!$E$12:$E$72,$B$7+1))</f>
        <v>0.0290780653379978</v>
      </c>
      <c r="C51" s="32" t="n">
        <f aca="false">INDEX(Panel_Reserving!$D$8:$D$68,$A51+1)*IF($A51&lt;$B$7,INDEX(Surface_Engine!$E$12:$E$72,$A51+1),INDEX(Surface_Engine!$E$12:$E$72,$B$7+1))</f>
        <v>0.0595416345612831</v>
      </c>
      <c r="D51" s="32" t="n">
        <f aca="false">INDEX(Panel_Reserving!$L$8:$L$68,$A51+1)*IF($A51&lt;$B$7,INDEX(Surface_Engine!$E$12:$E$72,$A51+1),INDEX(Surface_Engine!$E$12:$E$72,$B$7+1))</f>
        <v>0.111706510529948</v>
      </c>
      <c r="E51" s="32" t="n">
        <f aca="false">INDEX(Surface_Engine!$L$12:$L$72,$A51+1)*IF($A51&lt;$B$7,INDEX(Surface_Engine!$Y$12:$Y$72,$A51+1),INDEX(Surface_Engine!$Y$12:$Y$72,$B$7+1))</f>
        <v>0.0263412044613941</v>
      </c>
      <c r="F51" s="32" t="n">
        <f aca="false">INDEX(Surface_Engine!$L$12:$L$72,$A51+1)*IF($A51&lt;$B$7,INDEX(Surface_Engine!$Z$12:$Z$72,$A51+1),INDEX(Surface_Engine!$Z$12:$Z$72,$B$7+1))</f>
        <v>0.0320698355373847</v>
      </c>
      <c r="G51" s="30" t="n">
        <f aca="false">INDEX(Surface_Engine!$B$12:$B$72,$A51+1)</f>
        <v>0.292857215894912</v>
      </c>
      <c r="H51" s="48" t="n">
        <f aca="false">IF($A51&lt;$B$7,INDEX(Surface_Engine!$D$12:$D$72,$A51+1)+($B$9*12)*INDEX(Surface_Engine!$F$12:$F$72,$A51+1)-($B$9*12),$B$8*12*INDEX(Surface_Engine!$C$12:$C$72,$A51+1)/(1+Assumptions!$B$10)^$B$7+INDEX(Surface_Engine!$D$12:$D$72,$A51+1))</f>
        <v>19516.0521007739</v>
      </c>
      <c r="I51" s="48" t="n">
        <f aca="false">IF($A51&lt;$B$7,INDEX(Surface_Engine!$D$12:$D$72,$A51+1)*(1+Assumptions!$B$24)+($B$9*12)*INDEX(Surface_Engine!$F$12:$F$72,$A51+1)-($B$9*12),$B$8*12*INDEX(Surface_Engine!$C$12:$C$72,$A51+1)/(1+Assumptions!$B$10)^$B$7+INDEX(Surface_Engine!$D$12:$D$72,$A51+1)*(1+Assumptions!$B$24))</f>
        <v>19537.532611481</v>
      </c>
      <c r="J51" s="48" t="n">
        <f aca="false">IF($A51&lt;$B$7,($B$9*12)-($B$9*12)*INDEX(Surface_Engine!$F$12:$F$72,$A51+1)-INDEX(Surface_Engine!$D$12:$D$72,$A51+1),-($B$8*12*INDEX(Surface_Engine!$C$12:$C$72,$A51+1)/(1+Assumptions!$B$10)^$B$7+INDEX(Surface_Engine!$D$12:$D$72,$A51+1)))</f>
        <v>-19516.0521007739</v>
      </c>
      <c r="K51" s="48" t="n">
        <f aca="false">B51*H51*G51+K52</f>
        <v>578.243973926049</v>
      </c>
      <c r="L51" s="48" t="n">
        <f aca="false">C51*H51*G51+L52</f>
        <v>1385.94347425377</v>
      </c>
      <c r="M51" s="48" t="n">
        <f aca="false">D51*H51*G51+M52</f>
        <v>3200.46352021335</v>
      </c>
      <c r="N51" s="48" t="n">
        <f aca="false">E51*H51*G51+N52</f>
        <v>523.818987566932</v>
      </c>
      <c r="O51" s="48" t="n">
        <f aca="false">F51*H51*G51+O52</f>
        <v>637.738065746057</v>
      </c>
      <c r="P51" s="48" t="n">
        <f aca="false">B51*I51*G51+P52</f>
        <v>578.886428205383</v>
      </c>
      <c r="Q51" s="12" t="n">
        <f aca="false">K51/G51</f>
        <v>1974.49112585139</v>
      </c>
      <c r="R51" s="12" t="n">
        <f aca="false">IF(C51&lt;=0,0,MAX(0,(B51/C51)*L51/G51-Q51))</f>
        <v>336.691923943068</v>
      </c>
      <c r="S51" s="12" t="n">
        <f aca="false">MAX(IF(E51&lt;=0,0,MAX(0,(B51/E51)*N51/G51-Q51)),IF(F51&lt;=0,0,MAX(0,(B51/F51)*O51/G51-Q51)),IF($A51&lt;$B$7,MAX(0,-Assumptions!$B$22*Q51),0))</f>
        <v>0</v>
      </c>
      <c r="T51" s="12" t="n">
        <f aca="false">MAX(0,P51/G51-Q51)</f>
        <v>2.19374577256417</v>
      </c>
      <c r="U51" s="12" t="n">
        <f aca="false">SQRT(R51^2+S51^2+T51^2+2*Assumptions!$B$26*R51*S51+2*Assumptions!$B$27*R51*T51+2*Assumptions!$B$28*S51*T51)</f>
        <v>337.247049522161</v>
      </c>
      <c r="V51" s="48" t="n">
        <f aca="false">U51*G51+V52</f>
        <v>315.931409986055</v>
      </c>
      <c r="W51" s="48" t="n">
        <f aca="false">W50+B50*J50*G50</f>
        <v>2784.92085526724</v>
      </c>
      <c r="X51" s="12" t="n">
        <f aca="false">Assumptions!$B$29*V51/G51</f>
        <v>64.7273946835763</v>
      </c>
      <c r="Y51" s="12" t="n">
        <f aca="false">W51/G51</f>
        <v>9509.48347561487</v>
      </c>
      <c r="Z51" s="12" t="n">
        <f aca="false">Y51-Q51</f>
        <v>7534.99234976348</v>
      </c>
      <c r="AA51" s="12" t="n">
        <f aca="false">IF(B51&lt;=0,0,MAX(0,(U51+X51-Z51)/B51))</f>
        <v>0</v>
      </c>
    </row>
    <row r="52" customFormat="false" ht="15" hidden="false" customHeight="true" outlineLevel="0" collapsed="false">
      <c r="A52" s="1" t="n">
        <v>40</v>
      </c>
      <c r="B52" s="32" t="n">
        <f aca="false">INDEX(Surface_Engine!$L$12:$L$72,$A52+1)*IF($A52&lt;$B$7,INDEX(Surface_Engine!$E$12:$E$72,$A52+1),INDEX(Surface_Engine!$E$12:$E$72,$B$7+1))</f>
        <v>0.022161714728146</v>
      </c>
      <c r="C52" s="32" t="n">
        <f aca="false">INDEX(Panel_Reserving!$D$8:$D$68,$A52+1)*IF($A52&lt;$B$7,INDEX(Surface_Engine!$E$12:$E$72,$A52+1),INDEX(Surface_Engine!$E$12:$E$72,$B$7+1))</f>
        <v>0.0482118348453064</v>
      </c>
      <c r="D52" s="32" t="n">
        <f aca="false">INDEX(Panel_Reserving!$L$8:$L$68,$A52+1)*IF($A52&lt;$B$7,INDEX(Surface_Engine!$E$12:$E$72,$A52+1),INDEX(Surface_Engine!$E$12:$E$72,$B$7+1))</f>
        <v>0.0964650462129796</v>
      </c>
      <c r="E52" s="32" t="n">
        <f aca="false">INDEX(Surface_Engine!$L$12:$L$72,$A52+1)*IF($A52&lt;$B$7,INDEX(Surface_Engine!$Y$12:$Y$72,$A52+1),INDEX(Surface_Engine!$Y$12:$Y$72,$B$7+1))</f>
        <v>0.0200758287074328</v>
      </c>
      <c r="F52" s="32" t="n">
        <f aca="false">INDEX(Surface_Engine!$L$12:$L$72,$A52+1)*IF($A52&lt;$B$7,INDEX(Surface_Engine!$Z$12:$Z$72,$A52+1),INDEX(Surface_Engine!$Z$12:$Z$72,$B$7+1))</f>
        <v>0.0244418787253134</v>
      </c>
      <c r="G52" s="30" t="n">
        <f aca="false">INDEX(Surface_Engine!$B$12:$B$72,$A52+1)</f>
        <v>0.283559223216554</v>
      </c>
      <c r="H52" s="48" t="n">
        <f aca="false">IF($A52&lt;$B$7,INDEX(Surface_Engine!$D$12:$D$72,$A52+1)+($B$9*12)*INDEX(Surface_Engine!$F$12:$F$72,$A52+1)-($B$9*12),$B$8*12*INDEX(Surface_Engine!$C$12:$C$72,$A52+1)/(1+Assumptions!$B$10)^$B$7+INDEX(Surface_Engine!$D$12:$D$72,$A52+1))</f>
        <v>19907.4471683247</v>
      </c>
      <c r="I52" s="48" t="n">
        <f aca="false">IF($A52&lt;$B$7,INDEX(Surface_Engine!$D$12:$D$72,$A52+1)*(1+Assumptions!$B$24)+($B$9*12)*INDEX(Surface_Engine!$F$12:$F$72,$A52+1)-($B$9*12),$B$8*12*INDEX(Surface_Engine!$C$12:$C$72,$A52+1)/(1+Assumptions!$B$10)^$B$7+INDEX(Surface_Engine!$D$12:$D$72,$A52+1)*(1+Assumptions!$B$24))</f>
        <v>19929.4646917995</v>
      </c>
      <c r="J52" s="48" t="n">
        <f aca="false">IF($A52&lt;$B$7,($B$9*12)-($B$9*12)*INDEX(Surface_Engine!$F$12:$F$72,$A52+1)-INDEX(Surface_Engine!$D$12:$D$72,$A52+1),-($B$8*12*INDEX(Surface_Engine!$C$12:$C$72,$A52+1)/(1+Assumptions!$B$10)^$B$7+INDEX(Surface_Engine!$D$12:$D$72,$A52+1)))</f>
        <v>-19907.4471683247</v>
      </c>
      <c r="K52" s="48" t="n">
        <f aca="false">B52*H52*G52+K53</f>
        <v>412.050714169566</v>
      </c>
      <c r="L52" s="48" t="n">
        <f aca="false">C52*H52*G52+L53</f>
        <v>1045.63822271979</v>
      </c>
      <c r="M52" s="48" t="n">
        <f aca="false">D52*H52*G52+M53</f>
        <v>2562.01426627573</v>
      </c>
      <c r="N52" s="48" t="n">
        <f aca="false">E52*H52*G52+N53</f>
        <v>373.268028124988</v>
      </c>
      <c r="O52" s="48" t="n">
        <f aca="false">F52*H52*G52+O53</f>
        <v>454.445592678821</v>
      </c>
      <c r="P52" s="48" t="n">
        <f aca="false">B52*I52*G52+P53</f>
        <v>412.510246407228</v>
      </c>
      <c r="Q52" s="12" t="n">
        <f aca="false">K52/G52</f>
        <v>1453.13811166312</v>
      </c>
      <c r="R52" s="12" t="n">
        <f aca="false">IF(C52&lt;=0,0,MAX(0,(B52/C52)*L52/G52-Q52))</f>
        <v>241.93085282706</v>
      </c>
      <c r="S52" s="12" t="n">
        <f aca="false">MAX(IF(E52&lt;=0,0,MAX(0,(B52/E52)*N52/G52-Q52)),IF(F52&lt;=0,0,MAX(0,(B52/F52)*O52/G52-Q52)),IF($A52&lt;$B$7,MAX(0,-Assumptions!$B$22*Q52),0))</f>
        <v>0</v>
      </c>
      <c r="T52" s="12" t="n">
        <f aca="false">MAX(0,P52/G52-Q52)</f>
        <v>1.62058645968114</v>
      </c>
      <c r="U52" s="12" t="n">
        <f aca="false">SQRT(R52^2+S52^2+T52^2+2*Assumptions!$B$26*R52*S52+2*Assumptions!$B$27*R52*T52+2*Assumptions!$B$28*S52*T52)</f>
        <v>242.341079436065</v>
      </c>
      <c r="V52" s="48" t="n">
        <f aca="false">U52*G52+V53</f>
        <v>217.166177994221</v>
      </c>
      <c r="W52" s="48" t="n">
        <f aca="false">W51+B51*J51*G51</f>
        <v>2618.72759551076</v>
      </c>
      <c r="X52" s="12" t="n">
        <f aca="false">Assumptions!$B$29*V52/G52</f>
        <v>45.951496593367</v>
      </c>
      <c r="Y52" s="12" t="n">
        <f aca="false">W52/G52</f>
        <v>9235.20513917772</v>
      </c>
      <c r="Z52" s="12" t="n">
        <f aca="false">Y52-Q52</f>
        <v>7782.06702751459</v>
      </c>
      <c r="AA52" s="12" t="n">
        <f aca="false">IF(B52&lt;=0,0,MAX(0,(U52+X52-Z52)/B52))</f>
        <v>0</v>
      </c>
    </row>
    <row r="53" customFormat="false" ht="15" hidden="false" customHeight="true" outlineLevel="0" collapsed="false">
      <c r="A53" s="1" t="n">
        <v>41</v>
      </c>
      <c r="B53" s="32" t="n">
        <f aca="false">INDEX(Surface_Engine!$L$12:$L$72,$A53+1)*IF($A53&lt;$B$7,INDEX(Surface_Engine!$E$12:$E$72,$A53+1),INDEX(Surface_Engine!$E$12:$E$72,$B$7+1))</f>
        <v>0.0194574963762381</v>
      </c>
      <c r="C53" s="32" t="n">
        <f aca="false">INDEX(Panel_Reserving!$D$8:$D$68,$A53+1)*IF($A53&lt;$B$7,INDEX(Surface_Engine!$E$12:$E$72,$A53+1),INDEX(Surface_Engine!$E$12:$E$72,$B$7+1))</f>
        <v>0.0435055084561393</v>
      </c>
      <c r="D53" s="32" t="n">
        <f aca="false">INDEX(Panel_Reserving!$L$8:$L$68,$A53+1)*IF($A53&lt;$B$7,INDEX(Surface_Engine!$E$12:$E$72,$A53+1),INDEX(Surface_Engine!$E$12:$E$72,$B$7+1))</f>
        <v>0.089685318977633</v>
      </c>
      <c r="E53" s="32" t="n">
        <f aca="false">INDEX(Surface_Engine!$L$12:$L$72,$A53+1)*IF($A53&lt;$B$7,INDEX(Surface_Engine!$Y$12:$Y$72,$A53+1),INDEX(Surface_Engine!$Y$12:$Y$72,$B$7+1))</f>
        <v>0.0176261344898888</v>
      </c>
      <c r="F53" s="32" t="n">
        <f aca="false">INDEX(Surface_Engine!$L$12:$L$72,$A53+1)*IF($A53&lt;$B$7,INDEX(Surface_Engine!$Z$12:$Z$72,$A53+1),INDEX(Surface_Engine!$Z$12:$Z$72,$B$7+1))</f>
        <v>0.0214594300377957</v>
      </c>
      <c r="G53" s="30" t="n">
        <f aca="false">INDEX(Surface_Engine!$B$12:$B$72,$A53+1)</f>
        <v>0.274545797407774</v>
      </c>
      <c r="H53" s="48" t="n">
        <f aca="false">IF($A53&lt;$B$7,INDEX(Surface_Engine!$D$12:$D$72,$A53+1)+($B$9*12)*INDEX(Surface_Engine!$F$12:$F$72,$A53+1)-($B$9*12),$B$8*12*INDEX(Surface_Engine!$C$12:$C$72,$A53+1)/(1+Assumptions!$B$10)^$B$7+INDEX(Surface_Engine!$D$12:$D$72,$A53+1))</f>
        <v>20306.696987865</v>
      </c>
      <c r="I53" s="48" t="n">
        <f aca="false">IF($A53&lt;$B$7,INDEX(Surface_Engine!$D$12:$D$72,$A53+1)*(1+Assumptions!$B$24)+($B$9*12)*INDEX(Surface_Engine!$F$12:$F$72,$A53+1)-($B$9*12),$B$8*12*INDEX(Surface_Engine!$C$12:$C$72,$A53+1)/(1+Assumptions!$B$10)^$B$7+INDEX(Surface_Engine!$D$12:$D$72,$A53+1)*(1+Assumptions!$B$24))</f>
        <v>20329.2649494266</v>
      </c>
      <c r="J53" s="48" t="n">
        <f aca="false">IF($A53&lt;$B$7,($B$9*12)-($B$9*12)*INDEX(Surface_Engine!$F$12:$F$72,$A53+1)-INDEX(Surface_Engine!$D$12:$D$72,$A53+1),-($B$8*12*INDEX(Surface_Engine!$C$12:$C$72,$A53+1)/(1+Assumptions!$B$10)^$B$7+INDEX(Surface_Engine!$D$12:$D$72,$A53+1)))</f>
        <v>-20306.696987865</v>
      </c>
      <c r="K53" s="48" t="n">
        <f aca="false">B53*H53*G53+K54</f>
        <v>286.949158574739</v>
      </c>
      <c r="L53" s="48" t="n">
        <f aca="false">C53*H53*G53+L54</f>
        <v>773.485295420863</v>
      </c>
      <c r="M53" s="48" t="n">
        <f aca="false">D53*H53*G53+M54</f>
        <v>2017.47484368114</v>
      </c>
      <c r="N53" s="48" t="n">
        <f aca="false">E53*H53*G53+N54</f>
        <v>259.9411744964</v>
      </c>
      <c r="O53" s="48" t="n">
        <f aca="false">F53*H53*G53+O54</f>
        <v>316.472647547756</v>
      </c>
      <c r="P53" s="48" t="n">
        <f aca="false">B53*I53*G53+P54</f>
        <v>287.27032920261</v>
      </c>
      <c r="Q53" s="12" t="n">
        <f aca="false">K53/G53</f>
        <v>1045.17774915543</v>
      </c>
      <c r="R53" s="12" t="n">
        <f aca="false">IF(C53&lt;=0,0,MAX(0,(B53/C53)*L53/G53-Q53))</f>
        <v>214.849598655657</v>
      </c>
      <c r="S53" s="12" t="n">
        <f aca="false">MAX(IF(E53&lt;=0,0,MAX(0,(B53/E53)*N53/G53-Q53)),IF(F53&lt;=0,0,MAX(0,(B53/F53)*O53/G53-Q53)),IF($A53&lt;$B$7,MAX(0,-Assumptions!$B$22*Q53),0))</f>
        <v>0</v>
      </c>
      <c r="T53" s="12" t="n">
        <f aca="false">MAX(0,P53/G53-Q53)</f>
        <v>1.16982532933889</v>
      </c>
      <c r="U53" s="12" t="n">
        <f aca="false">SQRT(R53^2+S53^2+T53^2+2*Assumptions!$B$26*R53*S53+2*Assumptions!$B$27*R53*T53+2*Assumptions!$B$28*S53*T53)</f>
        <v>215.145036626577</v>
      </c>
      <c r="V53" s="48" t="n">
        <f aca="false">U53*G53+V54</f>
        <v>148.448129755869</v>
      </c>
      <c r="W53" s="48" t="n">
        <f aca="false">W52+B52*J52*G52</f>
        <v>2493.62603991593</v>
      </c>
      <c r="X53" s="12" t="n">
        <f aca="false">Assumptions!$B$29*V53/G53</f>
        <v>32.4422659878601</v>
      </c>
      <c r="Y53" s="12" t="n">
        <f aca="false">W53/G53</f>
        <v>9082.73251115271</v>
      </c>
      <c r="Z53" s="12" t="n">
        <f aca="false">Y53-Q53</f>
        <v>8037.55476199728</v>
      </c>
      <c r="AA53" s="12" t="n">
        <f aca="false">IF(B53&lt;=0,0,MAX(0,(U53+X53-Z53)/B53))</f>
        <v>0</v>
      </c>
    </row>
    <row r="54" customFormat="false" ht="15" hidden="false" customHeight="true" outlineLevel="0" collapsed="false">
      <c r="A54" s="1" t="n">
        <v>42</v>
      </c>
      <c r="B54" s="32" t="n">
        <f aca="false">INDEX(Surface_Engine!$L$12:$L$72,$A54+1)*IF($A54&lt;$B$7,INDEX(Surface_Engine!$E$12:$E$72,$A54+1),INDEX(Surface_Engine!$E$12:$E$72,$B$7+1))</f>
        <v>0.0129577038639437</v>
      </c>
      <c r="C54" s="32" t="n">
        <f aca="false">INDEX(Panel_Reserving!$D$8:$D$68,$A54+1)*IF($A54&lt;$B$7,INDEX(Surface_Engine!$E$12:$E$72,$A54+1),INDEX(Surface_Engine!$E$12:$E$72,$B$7+1))</f>
        <v>0.0318790680287015</v>
      </c>
      <c r="D54" s="32" t="n">
        <f aca="false">INDEX(Panel_Reserving!$L$8:$L$68,$A54+1)*IF($A54&lt;$B$7,INDEX(Surface_Engine!$E$12:$E$72,$A54+1),INDEX(Surface_Engine!$E$12:$E$72,$B$7+1))</f>
        <v>0.0723218492671186</v>
      </c>
      <c r="E54" s="32" t="n">
        <f aca="false">INDEX(Surface_Engine!$L$12:$L$72,$A54+1)*IF($A54&lt;$B$7,INDEX(Surface_Engine!$Y$12:$Y$72,$A54+1),INDEX(Surface_Engine!$Y$12:$Y$72,$B$7+1))</f>
        <v>0.0117381099073436</v>
      </c>
      <c r="F54" s="32" t="n">
        <f aca="false">INDEX(Surface_Engine!$L$12:$L$72,$A54+1)*IF($A54&lt;$B$7,INDEX(Surface_Engine!$Z$12:$Z$72,$A54+1),INDEX(Surface_Engine!$Z$12:$Z$72,$B$7+1))</f>
        <v>0.0142908899553158</v>
      </c>
      <c r="G54" s="30" t="n">
        <f aca="false">INDEX(Surface_Engine!$B$12:$B$72,$A54+1)</f>
        <v>0.265916775843918</v>
      </c>
      <c r="H54" s="48" t="n">
        <f aca="false">IF($A54&lt;$B$7,INDEX(Surface_Engine!$D$12:$D$72,$A54+1)+($B$9*12)*INDEX(Surface_Engine!$F$12:$F$72,$A54+1)-($B$9*12),$B$8*12*INDEX(Surface_Engine!$C$12:$C$72,$A54+1)/(1+Assumptions!$B$10)^$B$7+INDEX(Surface_Engine!$D$12:$D$72,$A54+1))</f>
        <v>20713.9593257004</v>
      </c>
      <c r="I54" s="48" t="n">
        <f aca="false">IF($A54&lt;$B$7,INDEX(Surface_Engine!$D$12:$D$72,$A54+1)*(1+Assumptions!$B$24)+($B$9*12)*INDEX(Surface_Engine!$F$12:$F$72,$A54+1)-($B$9*12),$B$8*12*INDEX(Surface_Engine!$C$12:$C$72,$A54+1)/(1+Assumptions!$B$10)^$B$7+INDEX(Surface_Engine!$D$12:$D$72,$A54+1)*(1+Assumptions!$B$24))</f>
        <v>20737.0914863011</v>
      </c>
      <c r="J54" s="48" t="n">
        <f aca="false">IF($A54&lt;$B$7,($B$9*12)-($B$9*12)*INDEX(Surface_Engine!$F$12:$F$72,$A54+1)-INDEX(Surface_Engine!$D$12:$D$72,$A54+1),-($B$8*12*INDEX(Surface_Engine!$C$12:$C$72,$A54+1)/(1+Assumptions!$B$10)^$B$7+INDEX(Surface_Engine!$D$12:$D$72,$A54+1)))</f>
        <v>-20713.9593257004</v>
      </c>
      <c r="K54" s="48" t="n">
        <f aca="false">B54*H54*G54+K55</f>
        <v>178.47131411972</v>
      </c>
      <c r="L54" s="48" t="n">
        <f aca="false">C54*H54*G54+L55</f>
        <v>530.936938325703</v>
      </c>
      <c r="M54" s="48" t="n">
        <f aca="false">D54*H54*G54+M55</f>
        <v>1517.4685790604</v>
      </c>
      <c r="N54" s="48" t="n">
        <f aca="false">E54*H54*G54+N55</f>
        <v>161.673389239483</v>
      </c>
      <c r="O54" s="48" t="n">
        <f aca="false">F54*H54*G54+O55</f>
        <v>196.833786066266</v>
      </c>
      <c r="P54" s="48" t="n">
        <f aca="false">B54*I54*G54+P55</f>
        <v>178.671927286897</v>
      </c>
      <c r="Q54" s="12" t="n">
        <f aca="false">K54/G54</f>
        <v>671.154775975757</v>
      </c>
      <c r="R54" s="12" t="n">
        <f aca="false">IF(C54&lt;=0,0,MAX(0,(B54/C54)*L54/G54-Q54))</f>
        <v>140.403364736089</v>
      </c>
      <c r="S54" s="12" t="n">
        <f aca="false">MAX(IF(E54&lt;=0,0,MAX(0,(B54/E54)*N54/G54-Q54)),IF(F54&lt;=0,0,MAX(0,(B54/F54)*O54/G54-Q54)),IF($A54&lt;$B$7,MAX(0,-Assumptions!$B$22*Q54),0))</f>
        <v>0</v>
      </c>
      <c r="T54" s="12" t="n">
        <f aca="false">MAX(0,P54/G54-Q54)</f>
        <v>0.754420876756626</v>
      </c>
      <c r="U54" s="12" t="n">
        <f aca="false">SQRT(R54^2+S54^2+T54^2+2*Assumptions!$B$26*R54*S54+2*Assumptions!$B$27*R54*T54+2*Assumptions!$B$28*S54*T54)</f>
        <v>140.593867557716</v>
      </c>
      <c r="V54" s="48" t="n">
        <f aca="false">U54*G54+V55</f>
        <v>89.380964116901</v>
      </c>
      <c r="W54" s="48" t="n">
        <f aca="false">W53+B53*J53*G53</f>
        <v>2385.14819546091</v>
      </c>
      <c r="X54" s="12" t="n">
        <f aca="false">Assumptions!$B$29*V54/G54</f>
        <v>20.1674295651126</v>
      </c>
      <c r="Y54" s="12" t="n">
        <f aca="false">W54/G54</f>
        <v>8969.52886064208</v>
      </c>
      <c r="Z54" s="12" t="n">
        <f aca="false">Y54-Q54</f>
        <v>8298.37408466633</v>
      </c>
      <c r="AA54" s="12" t="n">
        <f aca="false">IF(B54&lt;=0,0,MAX(0,(U54+X54-Z54)/B54))</f>
        <v>0</v>
      </c>
    </row>
    <row r="55" customFormat="false" ht="15" hidden="false" customHeight="true" outlineLevel="0" collapsed="false">
      <c r="A55" s="1" t="n">
        <v>43</v>
      </c>
      <c r="B55" s="32" t="n">
        <f aca="false">INDEX(Surface_Engine!$L$12:$L$72,$A55+1)*IF($A55&lt;$B$7,INDEX(Surface_Engine!$E$12:$E$72,$A55+1),INDEX(Surface_Engine!$E$12:$E$72,$B$7+1))</f>
        <v>0.00831588584834633</v>
      </c>
      <c r="C55" s="32" t="n">
        <f aca="false">INDEX(Panel_Reserving!$D$8:$D$68,$A55+1)*IF($A55&lt;$B$7,INDEX(Surface_Engine!$E$12:$E$72,$A55+1),INDEX(Surface_Engine!$E$12:$E$72,$B$7+1))</f>
        <v>0.0227430770321582</v>
      </c>
      <c r="D55" s="32" t="n">
        <f aca="false">INDEX(Panel_Reserving!$L$8:$L$68,$A55+1)*IF($A55&lt;$B$7,INDEX(Surface_Engine!$E$12:$E$72,$A55+1),INDEX(Surface_Engine!$E$12:$E$72,$B$7+1))</f>
        <v>0.0571803763048911</v>
      </c>
      <c r="E55" s="32" t="n">
        <f aca="false">INDEX(Surface_Engine!$L$12:$L$72,$A55+1)*IF($A55&lt;$B$7,INDEX(Surface_Engine!$Y$12:$Y$72,$A55+1),INDEX(Surface_Engine!$Y$12:$Y$72,$B$7+1))</f>
        <v>0.00753318512984631</v>
      </c>
      <c r="F55" s="32" t="n">
        <f aca="false">INDEX(Surface_Engine!$L$12:$L$72,$A55+1)*IF($A55&lt;$B$7,INDEX(Surface_Engine!$Z$12:$Z$72,$A55+1),INDEX(Surface_Engine!$Z$12:$Z$72,$B$7+1))</f>
        <v>0.00917148676860684</v>
      </c>
      <c r="G55" s="30" t="n">
        <f aca="false">INDEX(Surface_Engine!$B$12:$B$72,$A55+1)</f>
        <v>0.257446689628427</v>
      </c>
      <c r="H55" s="48" t="n">
        <f aca="false">IF($A55&lt;$B$7,INDEX(Surface_Engine!$D$12:$D$72,$A55+1)+($B$9*12)*INDEX(Surface_Engine!$F$12:$F$72,$A55+1)-($B$9*12),$B$8*12*INDEX(Surface_Engine!$C$12:$C$72,$A55+1)/(1+Assumptions!$B$10)^$B$7+INDEX(Surface_Engine!$D$12:$D$72,$A55+1))</f>
        <v>21129.3951202444</v>
      </c>
      <c r="I55" s="48" t="n">
        <f aca="false">IF($A55&lt;$B$7,INDEX(Surface_Engine!$D$12:$D$72,$A55+1)*(1+Assumptions!$B$24)+($B$9*12)*INDEX(Surface_Engine!$F$12:$F$72,$A55+1)-($B$9*12),$B$8*12*INDEX(Surface_Engine!$C$12:$C$72,$A55+1)/(1+Assumptions!$B$10)^$B$7+INDEX(Surface_Engine!$D$12:$D$72,$A55+1)*(1+Assumptions!$B$24))</f>
        <v>21153.1055848601</v>
      </c>
      <c r="J55" s="48" t="n">
        <f aca="false">IF($A55&lt;$B$7,($B$9*12)-($B$9*12)*INDEX(Surface_Engine!$F$12:$F$72,$A55+1)-INDEX(Surface_Engine!$D$12:$D$72,$A55+1),-($B$8*12*INDEX(Surface_Engine!$C$12:$C$72,$A55+1)/(1+Assumptions!$B$10)^$B$7+INDEX(Surface_Engine!$D$12:$D$72,$A55+1)))</f>
        <v>-21129.3951202444</v>
      </c>
      <c r="K55" s="48" t="n">
        <f aca="false">B55*H55*G55+K56</f>
        <v>107.097828617803</v>
      </c>
      <c r="L55" s="48" t="n">
        <f aca="false">C55*H55*G55+L56</f>
        <v>355.340997590207</v>
      </c>
      <c r="M55" s="48" t="n">
        <f aca="false">D55*H55*G55+M56</f>
        <v>1119.10614430049</v>
      </c>
      <c r="N55" s="48" t="n">
        <f aca="false">E55*H55*G55+N56</f>
        <v>97.0176580938632</v>
      </c>
      <c r="O55" s="48" t="n">
        <f aca="false">F55*H55*G55+O56</f>
        <v>118.116859229137</v>
      </c>
      <c r="P55" s="48" t="n">
        <f aca="false">B55*I55*G55+P56</f>
        <v>107.218735973874</v>
      </c>
      <c r="Q55" s="12" t="n">
        <f aca="false">K55/G55</f>
        <v>416.000022266269</v>
      </c>
      <c r="R55" s="12" t="n">
        <f aca="false">IF(C55&lt;=0,0,MAX(0,(B55/C55)*L55/G55-Q55))</f>
        <v>88.6813813486272</v>
      </c>
      <c r="S55" s="12" t="n">
        <f aca="false">MAX(IF(E55&lt;=0,0,MAX(0,(B55/E55)*N55/G55-Q55)),IF(F55&lt;=0,0,MAX(0,(B55/F55)*O55/G55-Q55)),IF($A55&lt;$B$7,MAX(0,-Assumptions!$B$22*Q55),0))</f>
        <v>0</v>
      </c>
      <c r="T55" s="12" t="n">
        <f aca="false">MAX(0,P55/G55-Q55)</f>
        <v>0.469640360283449</v>
      </c>
      <c r="U55" s="12" t="n">
        <f aca="false">SQRT(R55^2+S55^2+T55^2+2*Assumptions!$B$26*R55*S55+2*Assumptions!$B$27*R55*T55+2*Assumptions!$B$28*S55*T55)</f>
        <v>88.7999557314763</v>
      </c>
      <c r="V55" s="48" t="n">
        <f aca="false">U55*G55+V56</f>
        <v>51.9946961525265</v>
      </c>
      <c r="W55" s="48" t="n">
        <f aca="false">W54+B54*J54*G54</f>
        <v>2313.774709959</v>
      </c>
      <c r="X55" s="12" t="n">
        <f aca="false">Assumptions!$B$29*V55/G55</f>
        <v>12.1177777568406</v>
      </c>
      <c r="Y55" s="12" t="n">
        <f aca="false">W55/G55</f>
        <v>8987.39351940579</v>
      </c>
      <c r="Z55" s="12" t="n">
        <f aca="false">Y55-Q55</f>
        <v>8571.39349713953</v>
      </c>
      <c r="AA55" s="12" t="n">
        <f aca="false">IF(B55&lt;=0,0,MAX(0,(U55+X55-Z55)/B55))</f>
        <v>0</v>
      </c>
    </row>
    <row r="56" customFormat="false" ht="15" hidden="false" customHeight="true" outlineLevel="0" collapsed="false">
      <c r="A56" s="1" t="n">
        <v>44</v>
      </c>
      <c r="B56" s="32" t="n">
        <f aca="false">INDEX(Surface_Engine!$L$12:$L$72,$A56+1)*IF($A56&lt;$B$7,INDEX(Surface_Engine!$E$12:$E$72,$A56+1),INDEX(Surface_Engine!$E$12:$E$72,$B$7+1))</f>
        <v>0.0051226939077799</v>
      </c>
      <c r="C56" s="32" t="n">
        <f aca="false">INDEX(Panel_Reserving!$D$8:$D$68,$A56+1)*IF($A56&lt;$B$7,INDEX(Surface_Engine!$E$12:$E$72,$A56+1),INDEX(Surface_Engine!$E$12:$E$72,$B$7+1))</f>
        <v>0.0157566405555477</v>
      </c>
      <c r="D56" s="32" t="n">
        <f aca="false">INDEX(Panel_Reserving!$L$8:$L$68,$A56+1)*IF($A56&lt;$B$7,INDEX(Surface_Engine!$E$12:$E$72,$A56+1),INDEX(Surface_Engine!$E$12:$E$72,$B$7+1))</f>
        <v>0.0442126223805922</v>
      </c>
      <c r="E56" s="32" t="n">
        <f aca="false">INDEX(Surface_Engine!$L$12:$L$72,$A56+1)*IF($A56&lt;$B$7,INDEX(Surface_Engine!$Y$12:$Y$72,$A56+1),INDEX(Surface_Engine!$Y$12:$Y$72,$B$7+1))</f>
        <v>0.00464054007890401</v>
      </c>
      <c r="F56" s="32" t="n">
        <f aca="false">INDEX(Surface_Engine!$L$12:$L$72,$A56+1)*IF($A56&lt;$B$7,INDEX(Surface_Engine!$Z$12:$Z$72,$A56+1),INDEX(Surface_Engine!$Z$12:$Z$72,$B$7+1))</f>
        <v>0.00564975520968329</v>
      </c>
      <c r="G56" s="30" t="n">
        <f aca="false">INDEX(Surface_Engine!$B$12:$B$72,$A56+1)</f>
        <v>0.249343018663642</v>
      </c>
      <c r="H56" s="48" t="n">
        <f aca="false">IF($A56&lt;$B$7,INDEX(Surface_Engine!$D$12:$D$72,$A56+1)+($B$9*12)*INDEX(Surface_Engine!$F$12:$F$72,$A56+1)-($B$9*12),$B$8*12*INDEX(Surface_Engine!$C$12:$C$72,$A56+1)/(1+Assumptions!$B$10)^$B$7+INDEX(Surface_Engine!$D$12:$D$72,$A56+1))</f>
        <v>21553.1685458801</v>
      </c>
      <c r="I56" s="48" t="n">
        <f aca="false">IF($A56&lt;$B$7,INDEX(Surface_Engine!$D$12:$D$72,$A56+1)*(1+Assumptions!$B$24)+($B$9*12)*INDEX(Surface_Engine!$F$12:$F$72,$A56+1)-($B$9*12),$B$8*12*INDEX(Surface_Engine!$C$12:$C$72,$A56+1)/(1+Assumptions!$B$10)^$B$7+INDEX(Surface_Engine!$D$12:$D$72,$A56+1)*(1+Assumptions!$B$24))</f>
        <v>21577.4717721112</v>
      </c>
      <c r="J56" s="48" t="n">
        <f aca="false">IF($A56&lt;$B$7,($B$9*12)-($B$9*12)*INDEX(Surface_Engine!$F$12:$F$72,$A56+1)-INDEX(Surface_Engine!$D$12:$D$72,$A56+1),-($B$8*12*INDEX(Surface_Engine!$C$12:$C$72,$A56+1)/(1+Assumptions!$B$10)^$B$7+INDEX(Surface_Engine!$D$12:$D$72,$A56+1)))</f>
        <v>-21553.1685458801</v>
      </c>
      <c r="K56" s="48" t="n">
        <f aca="false">B56*H56*G56+K57</f>
        <v>61.8619640137624</v>
      </c>
      <c r="L56" s="48" t="n">
        <f aca="false">C56*H56*G56+L57</f>
        <v>231.625644581778</v>
      </c>
      <c r="M56" s="48" t="n">
        <f aca="false">D56*H56*G56+M57</f>
        <v>808.062461437706</v>
      </c>
      <c r="N56" s="48" t="n">
        <f aca="false">E56*H56*G56+N57</f>
        <v>56.0394449743719</v>
      </c>
      <c r="O56" s="48" t="n">
        <f aca="false">F56*H56*G56+O57</f>
        <v>68.2267884359042</v>
      </c>
      <c r="P56" s="48" t="n">
        <f aca="false">B56*I56*G56+P57</f>
        <v>61.9321097005592</v>
      </c>
      <c r="Q56" s="12" t="n">
        <f aca="false">K56/G56</f>
        <v>248.099843923093</v>
      </c>
      <c r="R56" s="12" t="n">
        <f aca="false">IF(C56&lt;=0,0,MAX(0,(B56/C56)*L56/G56-Q56))</f>
        <v>53.9121611698295</v>
      </c>
      <c r="S56" s="12" t="n">
        <f aca="false">MAX(IF(E56&lt;=0,0,MAX(0,(B56/E56)*N56/G56-Q56)),IF(F56&lt;=0,0,MAX(0,(B56/F56)*O56/G56-Q56)),IF($A56&lt;$B$7,MAX(0,-Assumptions!$B$22*Q56),0))</f>
        <v>0</v>
      </c>
      <c r="T56" s="12" t="n">
        <f aca="false">MAX(0,P56/G56-Q56)</f>
        <v>0.281322040507547</v>
      </c>
      <c r="U56" s="12" t="n">
        <f aca="false">SQRT(R56^2+S56^2+T56^2+2*Assumptions!$B$26*R56*S56+2*Assumptions!$B$27*R56*T56+2*Assumptions!$B$28*S56*T56)</f>
        <v>53.9831788957115</v>
      </c>
      <c r="V56" s="48" t="n">
        <f aca="false">U56*G56+V57</f>
        <v>29.1334415103071</v>
      </c>
      <c r="W56" s="48" t="n">
        <f aca="false">W55+B55*J55*G55</f>
        <v>2268.53884535496</v>
      </c>
      <c r="X56" s="12" t="n">
        <f aca="false">Assumptions!$B$29*V56/G56</f>
        <v>7.01044889881776</v>
      </c>
      <c r="Y56" s="12" t="n">
        <f aca="false">W56/G56</f>
        <v>9098.06441549166</v>
      </c>
      <c r="Z56" s="12" t="n">
        <f aca="false">Y56-Q56</f>
        <v>8849.96457156856</v>
      </c>
      <c r="AA56" s="12" t="n">
        <f aca="false">IF(B56&lt;=0,0,MAX(0,(U56+X56-Z56)/B56))</f>
        <v>0</v>
      </c>
    </row>
    <row r="57" customFormat="false" ht="15" hidden="false" customHeight="true" outlineLevel="0" collapsed="false">
      <c r="A57" s="1" t="n">
        <v>45</v>
      </c>
      <c r="B57" s="32" t="n">
        <f aca="false">INDEX(Surface_Engine!$L$12:$L$72,$A57+1)*IF($A57&lt;$B$7,INDEX(Surface_Engine!$E$12:$E$72,$A57+1),INDEX(Surface_Engine!$E$12:$E$72,$B$7+1))</f>
        <v>0.00301516100824619</v>
      </c>
      <c r="C57" s="32" t="n">
        <f aca="false">INDEX(Panel_Reserving!$D$8:$D$68,$A57+1)*IF($A57&lt;$B$7,INDEX(Surface_Engine!$E$12:$E$72,$A57+1),INDEX(Surface_Engine!$E$12:$E$72,$B$7+1))</f>
        <v>0.0105706756777305</v>
      </c>
      <c r="D57" s="32" t="n">
        <f aca="false">INDEX(Panel_Reserving!$L$8:$L$68,$A57+1)*IF($A57&lt;$B$7,INDEX(Surface_Engine!$E$12:$E$72,$A57+1),INDEX(Surface_Engine!$E$12:$E$72,$B$7+1))</f>
        <v>0.0333337050972594</v>
      </c>
      <c r="E57" s="32" t="n">
        <f aca="false">INDEX(Surface_Engine!$L$12:$L$72,$A57+1)*IF($A57&lt;$B$7,INDEX(Surface_Engine!$Y$12:$Y$72,$A57+1),INDEX(Surface_Engine!$Y$12:$Y$72,$B$7+1))</f>
        <v>0.002731370594262</v>
      </c>
      <c r="F57" s="32" t="n">
        <f aca="false">INDEX(Surface_Engine!$L$12:$L$72,$A57+1)*IF($A57&lt;$B$7,INDEX(Surface_Engine!$Z$12:$Z$72,$A57+1),INDEX(Surface_Engine!$Z$12:$Z$72,$B$7+1))</f>
        <v>0.00332538346445055</v>
      </c>
      <c r="G57" s="30" t="n">
        <f aca="false">INDEX(Surface_Engine!$B$12:$B$72,$A57+1)</f>
        <v>0.241384479723436</v>
      </c>
      <c r="H57" s="48" t="n">
        <f aca="false">IF($A57&lt;$B$7,INDEX(Surface_Engine!$D$12:$D$72,$A57+1)+($B$9*12)*INDEX(Surface_Engine!$F$12:$F$72,$A57+1)-($B$9*12),$B$8*12*INDEX(Surface_Engine!$C$12:$C$72,$A57+1)/(1+Assumptions!$B$10)^$B$7+INDEX(Surface_Engine!$D$12:$D$72,$A57+1))</f>
        <v>21985.4470781092</v>
      </c>
      <c r="I57" s="48" t="n">
        <f aca="false">IF($A57&lt;$B$7,INDEX(Surface_Engine!$D$12:$D$72,$A57+1)*(1+Assumptions!$B$24)+($B$9*12)*INDEX(Surface_Engine!$F$12:$F$72,$A57+1)-($B$9*12),$B$8*12*INDEX(Surface_Engine!$C$12:$C$72,$A57+1)/(1+Assumptions!$B$10)^$B$7+INDEX(Surface_Engine!$D$12:$D$72,$A57+1)*(1+Assumptions!$B$24))</f>
        <v>22010.3578849961</v>
      </c>
      <c r="J57" s="48" t="n">
        <f aca="false">IF($A57&lt;$B$7,($B$9*12)-($B$9*12)*INDEX(Surface_Engine!$F$12:$F$72,$A57+1)-INDEX(Surface_Engine!$D$12:$D$72,$A57+1),-($B$8*12*INDEX(Surface_Engine!$C$12:$C$72,$A57+1)/(1+Assumptions!$B$10)^$B$7+INDEX(Surface_Engine!$D$12:$D$72,$A57+1)))</f>
        <v>-21985.4470781092</v>
      </c>
      <c r="K57" s="48" t="n">
        <f aca="false">B57*H57*G57+K58</f>
        <v>34.3319302096496</v>
      </c>
      <c r="L57" s="48" t="n">
        <f aca="false">C57*H57*G57+L58</f>
        <v>146.947376673813</v>
      </c>
      <c r="M57" s="48" t="n">
        <f aca="false">D57*H57*G57+M58</f>
        <v>570.457987967675</v>
      </c>
      <c r="N57" s="48" t="n">
        <f aca="false">E57*H57*G57+N58</f>
        <v>31.1005695425321</v>
      </c>
      <c r="O57" s="48" t="n">
        <f aca="false">F57*H57*G57+O58</f>
        <v>37.8642575668772</v>
      </c>
      <c r="P57" s="48" t="n">
        <f aca="false">B57*I57*G57+P58</f>
        <v>34.3710331920632</v>
      </c>
      <c r="Q57" s="12" t="n">
        <f aca="false">K57/G57</f>
        <v>142.229236316209</v>
      </c>
      <c r="R57" s="12" t="n">
        <f aca="false">IF(C57&lt;=0,0,MAX(0,(B57/C57)*L57/G57-Q57))</f>
        <v>31.414952769344</v>
      </c>
      <c r="S57" s="12" t="n">
        <f aca="false">MAX(IF(E57&lt;=0,0,MAX(0,(B57/E57)*N57/G57-Q57)),IF(F57&lt;=0,0,MAX(0,(B57/F57)*O57/G57-Q57)),IF($A57&lt;$B$7,MAX(0,-Assumptions!$B$22*Q57),0))</f>
        <v>0</v>
      </c>
      <c r="T57" s="12" t="n">
        <f aca="false">MAX(0,P57/G57-Q57)</f>
        <v>0.161994600723034</v>
      </c>
      <c r="U57" s="12" t="n">
        <f aca="false">SQRT(R57^2+S57^2+T57^2+2*Assumptions!$B$26*R57*S57+2*Assumptions!$B$27*R57*T57+2*Assumptions!$B$28*S57*T57)</f>
        <v>31.4558424798332</v>
      </c>
      <c r="V57" s="48" t="n">
        <f aca="false">U57*G57+V58</f>
        <v>15.673112727391</v>
      </c>
      <c r="W57" s="48" t="n">
        <f aca="false">W56+B56*J56*G56</f>
        <v>2241.00881155084</v>
      </c>
      <c r="X57" s="12" t="n">
        <f aca="false">Assumptions!$B$29*V57/G57</f>
        <v>3.89580458826888</v>
      </c>
      <c r="Y57" s="12" t="n">
        <f aca="false">W57/G57</f>
        <v>9283.98053643904</v>
      </c>
      <c r="Z57" s="12" t="n">
        <f aca="false">Y57-Q57</f>
        <v>9141.75130012283</v>
      </c>
      <c r="AA57" s="12" t="n">
        <f aca="false">IF(B57&lt;=0,0,MAX(0,(U57+X57-Z57)/B57))</f>
        <v>0</v>
      </c>
    </row>
    <row r="58" customFormat="false" ht="15" hidden="false" customHeight="true" outlineLevel="0" collapsed="false">
      <c r="A58" s="1" t="n">
        <v>46</v>
      </c>
      <c r="B58" s="32" t="n">
        <f aca="false">INDEX(Surface_Engine!$L$12:$L$72,$A58+1)*IF($A58&lt;$B$7,INDEX(Surface_Engine!$E$12:$E$72,$A58+1),INDEX(Surface_Engine!$E$12:$E$72,$B$7+1))</f>
        <v>0.0016867085005452</v>
      </c>
      <c r="C58" s="32" t="n">
        <f aca="false">INDEX(Panel_Reserving!$D$8:$D$68,$A58+1)*IF($A58&lt;$B$7,INDEX(Surface_Engine!$E$12:$E$72,$A58+1),INDEX(Surface_Engine!$E$12:$E$72,$B$7+1))</f>
        <v>0.00684480085412545</v>
      </c>
      <c r="D58" s="32" t="n">
        <f aca="false">INDEX(Panel_Reserving!$L$8:$L$68,$A58+1)*IF($A58&lt;$B$7,INDEX(Surface_Engine!$E$12:$E$72,$A58+1),INDEX(Surface_Engine!$E$12:$E$72,$B$7+1))</f>
        <v>0.0244212021338562</v>
      </c>
      <c r="E58" s="32" t="n">
        <f aca="false">INDEX(Surface_Engine!$L$12:$L$72,$A58+1)*IF($A58&lt;$B$7,INDEX(Surface_Engine!$Y$12:$Y$72,$A58+1),INDEX(Surface_Engine!$Y$12:$Y$72,$B$7+1))</f>
        <v>0.00152795356098102</v>
      </c>
      <c r="F58" s="32" t="n">
        <f aca="false">INDEX(Surface_Engine!$L$12:$L$72,$A58+1)*IF($A58&lt;$B$7,INDEX(Surface_Engine!$Z$12:$Z$72,$A58+1),INDEX(Surface_Engine!$Z$12:$Z$72,$B$7+1))</f>
        <v>0.00186024976501129</v>
      </c>
      <c r="G58" s="30" t="n">
        <f aca="false">INDEX(Surface_Engine!$B$12:$B$72,$A58+1)</f>
        <v>0.23377507750393</v>
      </c>
      <c r="H58" s="48" t="n">
        <f aca="false">IF($A58&lt;$B$7,INDEX(Surface_Engine!$D$12:$D$72,$A58+1)+($B$9*12)*INDEX(Surface_Engine!$F$12:$F$72,$A58+1)-($B$9*12),$B$8*12*INDEX(Surface_Engine!$C$12:$C$72,$A58+1)/(1+Assumptions!$B$10)^$B$7+INDEX(Surface_Engine!$D$12:$D$72,$A58+1))</f>
        <v>22426.4015600158</v>
      </c>
      <c r="I58" s="48" t="n">
        <f aca="false">IF($A58&lt;$B$7,INDEX(Surface_Engine!$D$12:$D$72,$A58+1)*(1+Assumptions!$B$24)+($B$9*12)*INDEX(Surface_Engine!$F$12:$F$72,$A58+1)-($B$9*12),$B$8*12*INDEX(Surface_Engine!$C$12:$C$72,$A58+1)/(1+Assumptions!$B$10)^$B$7+INDEX(Surface_Engine!$D$12:$D$72,$A58+1)*(1+Assumptions!$B$24))</f>
        <v>22451.9351370748</v>
      </c>
      <c r="J58" s="48" t="n">
        <f aca="false">IF($A58&lt;$B$7,($B$9*12)-($B$9*12)*INDEX(Surface_Engine!$F$12:$F$72,$A58+1)-INDEX(Surface_Engine!$D$12:$D$72,$A58+1),-($B$8*12*INDEX(Surface_Engine!$C$12:$C$72,$A58+1)/(1+Assumptions!$B$10)^$B$7+INDEX(Surface_Engine!$D$12:$D$72,$A58+1)))</f>
        <v>-22426.4015600158</v>
      </c>
      <c r="K58" s="48" t="n">
        <f aca="false">B58*H58*G58+K59</f>
        <v>18.3306344487529</v>
      </c>
      <c r="L58" s="48" t="n">
        <f aca="false">C58*H58*G58+L59</f>
        <v>90.8493747928899</v>
      </c>
      <c r="M58" s="48" t="n">
        <f aca="false">D58*H58*G58+M59</f>
        <v>393.55782488882</v>
      </c>
      <c r="N58" s="48" t="n">
        <f aca="false">E58*H58*G58+N59</f>
        <v>16.6053341000892</v>
      </c>
      <c r="O58" s="48" t="n">
        <f aca="false">F58*H58*G58+O59</f>
        <v>20.2166280746071</v>
      </c>
      <c r="P58" s="48" t="n">
        <f aca="false">B58*I58*G58+P59</f>
        <v>18.3516070202986</v>
      </c>
      <c r="Q58" s="12" t="n">
        <f aca="false">K58/G58</f>
        <v>78.411414272528</v>
      </c>
      <c r="R58" s="12" t="n">
        <f aca="false">IF(C58&lt;=0,0,MAX(0,(B58/C58)*L58/G58-Q58))</f>
        <v>17.3527338794642</v>
      </c>
      <c r="S58" s="12" t="n">
        <f aca="false">MAX(IF(E58&lt;=0,0,MAX(0,(B58/E58)*N58/G58-Q58)),IF(F58&lt;=0,0,MAX(0,(B58/F58)*O58/G58-Q58)),IF($A58&lt;$B$7,MAX(0,-Assumptions!$B$22*Q58),0))</f>
        <v>0</v>
      </c>
      <c r="T58" s="12" t="n">
        <f aca="false">MAX(0,P58/G58-Q58)</f>
        <v>0.0897126065344622</v>
      </c>
      <c r="U58" s="12" t="n">
        <f aca="false">SQRT(R58^2+S58^2+T58^2+2*Assumptions!$B$26*R58*S58+2*Assumptions!$B$27*R58*T58+2*Assumptions!$B$28*S58*T58)</f>
        <v>17.3753791595087</v>
      </c>
      <c r="V58" s="48" t="n">
        <f aca="false">U58*G58+V59</f>
        <v>8.08016055613409</v>
      </c>
      <c r="W58" s="48" t="n">
        <f aca="false">W57+B57*J57*G57</f>
        <v>2225.00751578995</v>
      </c>
      <c r="X58" s="12" t="n">
        <f aca="false">Assumptions!$B$29*V58/G58</f>
        <v>2.07382941990425</v>
      </c>
      <c r="Y58" s="12" t="n">
        <f aca="false">W58/G58</f>
        <v>9517.72763609734</v>
      </c>
      <c r="Z58" s="12" t="n">
        <f aca="false">Y58-Q58</f>
        <v>9439.31622182481</v>
      </c>
      <c r="AA58" s="12" t="n">
        <f aca="false">IF(B58&lt;=0,0,MAX(0,(U58+X58-Z58)/B58))</f>
        <v>0</v>
      </c>
    </row>
    <row r="59" customFormat="false" ht="15" hidden="false" customHeight="true" outlineLevel="0" collapsed="false">
      <c r="A59" s="1" t="n">
        <v>47</v>
      </c>
      <c r="B59" s="32" t="n">
        <f aca="false">INDEX(Surface_Engine!$L$12:$L$72,$A59+1)*IF($A59&lt;$B$7,INDEX(Surface_Engine!$E$12:$E$72,$A59+1),INDEX(Surface_Engine!$E$12:$E$72,$B$7+1))</f>
        <v>0.000913794336408796</v>
      </c>
      <c r="C59" s="32" t="n">
        <f aca="false">INDEX(Panel_Reserving!$D$8:$D$68,$A59+1)*IF($A59&lt;$B$7,INDEX(Surface_Engine!$E$12:$E$72,$A59+1),INDEX(Surface_Engine!$E$12:$E$72,$B$7+1))</f>
        <v>0.0043355618105627</v>
      </c>
      <c r="D59" s="32" t="n">
        <f aca="false">INDEX(Panel_Reserving!$L$8:$L$68,$A59+1)*IF($A59&lt;$B$7,INDEX(Surface_Engine!$E$12:$E$72,$A59+1),INDEX(Surface_Engine!$E$12:$E$72,$B$7+1))</f>
        <v>0.0175180174908978</v>
      </c>
      <c r="E59" s="32" t="n">
        <f aca="false">INDEX(Surface_Engine!$L$12:$L$72,$A59+1)*IF($A59&lt;$B$7,INDEX(Surface_Engine!$Y$12:$Y$72,$A59+1),INDEX(Surface_Engine!$Y$12:$Y$72,$B$7+1))</f>
        <v>0.000827786964889785</v>
      </c>
      <c r="F59" s="32" t="n">
        <f aca="false">INDEX(Surface_Engine!$L$12:$L$72,$A59+1)*IF($A59&lt;$B$7,INDEX(Surface_Engine!$Z$12:$Z$72,$A59+1),INDEX(Surface_Engine!$Z$12:$Z$72,$B$7+1))</f>
        <v>0.00100781237482568</v>
      </c>
      <c r="G59" s="30" t="n">
        <f aca="false">INDEX(Surface_Engine!$B$12:$B$72,$A59+1)</f>
        <v>0.22640116775395</v>
      </c>
      <c r="H59" s="48" t="n">
        <f aca="false">IF($A59&lt;$B$7,INDEX(Surface_Engine!$D$12:$D$72,$A59+1)+($B$9*12)*INDEX(Surface_Engine!$F$12:$F$72,$A59+1)-($B$9*12),$B$8*12*INDEX(Surface_Engine!$C$12:$C$72,$A59+1)/(1+Assumptions!$B$10)^$B$7+INDEX(Surface_Engine!$D$12:$D$72,$A59+1))</f>
        <v>22876.206270069</v>
      </c>
      <c r="I59" s="48" t="n">
        <f aca="false">IF($A59&lt;$B$7,INDEX(Surface_Engine!$D$12:$D$72,$A59+1)*(1+Assumptions!$B$24)+($B$9*12)*INDEX(Surface_Engine!$F$12:$F$72,$A59+1)-($B$9*12),$B$8*12*INDEX(Surface_Engine!$C$12:$C$72,$A59+1)/(1+Assumptions!$B$10)^$B$7+INDEX(Surface_Engine!$D$12:$D$72,$A59+1)*(1+Assumptions!$B$24))</f>
        <v>22902.3781865546</v>
      </c>
      <c r="J59" s="48" t="n">
        <f aca="false">IF($A59&lt;$B$7,($B$9*12)-($B$9*12)*INDEX(Surface_Engine!$F$12:$F$72,$A59+1)-INDEX(Surface_Engine!$D$12:$D$72,$A59+1),-($B$8*12*INDEX(Surface_Engine!$C$12:$C$72,$A59+1)/(1+Assumptions!$B$10)^$B$7+INDEX(Surface_Engine!$D$12:$D$72,$A59+1)))</f>
        <v>-22876.206270069</v>
      </c>
      <c r="K59" s="48" t="n">
        <f aca="false">B59*H59*G59+K60</f>
        <v>9.48767084489745</v>
      </c>
      <c r="L59" s="48" t="n">
        <f aca="false">C59*H59*G59+L60</f>
        <v>54.9639062551398</v>
      </c>
      <c r="M59" s="48" t="n">
        <f aca="false">D59*H59*G59+M60</f>
        <v>265.523963932831</v>
      </c>
      <c r="N59" s="48" t="n">
        <f aca="false">E59*H59*G59+N60</f>
        <v>8.59468037790233</v>
      </c>
      <c r="O59" s="48" t="n">
        <f aca="false">F59*H59*G59+O60</f>
        <v>10.4638338242916</v>
      </c>
      <c r="P59" s="48" t="n">
        <f aca="false">B59*I59*G59+P60</f>
        <v>9.49857526119293</v>
      </c>
      <c r="Q59" s="12" t="n">
        <f aca="false">K59/G59</f>
        <v>41.9064571928734</v>
      </c>
      <c r="R59" s="12" t="n">
        <f aca="false">IF(C59&lt;=0,0,MAX(0,(B59/C59)*L59/G59-Q59))</f>
        <v>9.26196288237462</v>
      </c>
      <c r="S59" s="12" t="n">
        <f aca="false">MAX(IF(E59&lt;=0,0,MAX(0,(B59/E59)*N59/G59-Q59)),IF(F59&lt;=0,0,MAX(0,(B59/F59)*O59/G59-Q59)),IF($A59&lt;$B$7,MAX(0,-Assumptions!$B$22*Q59),0))</f>
        <v>0</v>
      </c>
      <c r="T59" s="12" t="n">
        <f aca="false">MAX(0,P59/G59-Q59)</f>
        <v>0.048164134503601</v>
      </c>
      <c r="U59" s="12" t="n">
        <f aca="false">SQRT(R59^2+S59^2+T59^2+2*Assumptions!$B$26*R59*S59+2*Assumptions!$B$27*R59*T59+2*Assumptions!$B$28*S59*T59)</f>
        <v>9.27412116760153</v>
      </c>
      <c r="V59" s="48" t="n">
        <f aca="false">U59*G59+V60</f>
        <v>4.0182299464598</v>
      </c>
      <c r="W59" s="48" t="n">
        <f aca="false">W58+B58*J58*G58</f>
        <v>2216.16455218609</v>
      </c>
      <c r="X59" s="12" t="n">
        <f aca="false">Assumptions!$B$29*V59/G59</f>
        <v>1.06489643661911</v>
      </c>
      <c r="Y59" s="12" t="n">
        <f aca="false">W59/G59</f>
        <v>9788.66219716053</v>
      </c>
      <c r="Z59" s="12" t="n">
        <f aca="false">Y59-Q59</f>
        <v>9746.75573996766</v>
      </c>
      <c r="AA59" s="12" t="n">
        <f aca="false">IF(B59&lt;=0,0,MAX(0,(U59+X59-Z59)/B59))</f>
        <v>0</v>
      </c>
    </row>
    <row r="60" customFormat="false" ht="15" hidden="false" customHeight="true" outlineLevel="0" collapsed="false">
      <c r="A60" s="1" t="n">
        <v>48</v>
      </c>
      <c r="B60" s="32" t="n">
        <f aca="false">INDEX(Surface_Engine!$L$12:$L$72,$A60+1)*IF($A60&lt;$B$7,INDEX(Surface_Engine!$E$12:$E$72,$A60+1),INDEX(Surface_Engine!$E$12:$E$72,$B$7+1))</f>
        <v>0.000478998584659233</v>
      </c>
      <c r="C60" s="32" t="n">
        <f aca="false">INDEX(Panel_Reserving!$D$8:$D$68,$A60+1)*IF($A60&lt;$B$7,INDEX(Surface_Engine!$E$12:$E$72,$A60+1),INDEX(Surface_Engine!$E$12:$E$72,$B$7+1))</f>
        <v>0.00268522647222942</v>
      </c>
      <c r="D60" s="32" t="n">
        <f aca="false">INDEX(Panel_Reserving!$L$8:$L$68,$A60+1)*IF($A60&lt;$B$7,INDEX(Surface_Engine!$E$12:$E$72,$A60+1),INDEX(Surface_Engine!$E$12:$E$72,$B$7+1))</f>
        <v>0.012282735110993</v>
      </c>
      <c r="E60" s="32" t="n">
        <f aca="false">INDEX(Surface_Engine!$L$12:$L$72,$A60+1)*IF($A60&lt;$B$7,INDEX(Surface_Engine!$Y$12:$Y$72,$A60+1),INDEX(Surface_Engine!$Y$12:$Y$72,$B$7+1))</f>
        <v>0.00043391468822169</v>
      </c>
      <c r="F60" s="32" t="n">
        <f aca="false">INDEX(Surface_Engine!$L$12:$L$72,$A60+1)*IF($A60&lt;$B$7,INDEX(Surface_Engine!$Z$12:$Z$72,$A60+1),INDEX(Surface_Engine!$Z$12:$Z$72,$B$7+1))</f>
        <v>0.000528281563924685</v>
      </c>
      <c r="G60" s="30" t="n">
        <f aca="false">INDEX(Surface_Engine!$B$12:$B$72,$A60+1)</f>
        <v>0.219153660371196</v>
      </c>
      <c r="H60" s="48" t="n">
        <f aca="false">IF($A60&lt;$B$7,INDEX(Surface_Engine!$D$12:$D$72,$A60+1)+($B$9*12)*INDEX(Surface_Engine!$F$12:$F$72,$A60+1)-($B$9*12),$B$8*12*INDEX(Surface_Engine!$C$12:$C$72,$A60+1)/(1+Assumptions!$B$10)^$B$7+INDEX(Surface_Engine!$D$12:$D$72,$A60+1))</f>
        <v>23335.0389912947</v>
      </c>
      <c r="I60" s="48" t="n">
        <f aca="false">IF($A60&lt;$B$7,INDEX(Surface_Engine!$D$12:$D$72,$A60+1)*(1+Assumptions!$B$24)+($B$9*12)*INDEX(Surface_Engine!$F$12:$F$72,$A60+1)-($B$9*12),$B$8*12*INDEX(Surface_Engine!$C$12:$C$72,$A60+1)/(1+Assumptions!$B$10)^$B$7+INDEX(Surface_Engine!$D$12:$D$72,$A60+1)*(1+Assumptions!$B$24))</f>
        <v>23361.8652056924</v>
      </c>
      <c r="J60" s="48" t="n">
        <f aca="false">IF($A60&lt;$B$7,($B$9*12)-($B$9*12)*INDEX(Surface_Engine!$F$12:$F$72,$A60+1)-INDEX(Surface_Engine!$D$12:$D$72,$A60+1),-($B$8*12*INDEX(Surface_Engine!$C$12:$C$72,$A60+1)/(1+Assumptions!$B$10)^$B$7+INDEX(Surface_Engine!$D$12:$D$72,$A60+1)))</f>
        <v>-23335.0389912947</v>
      </c>
      <c r="K60" s="48" t="n">
        <f aca="false">B60*H60*G60+K61</f>
        <v>4.75494738835261</v>
      </c>
      <c r="L60" s="48" t="n">
        <f aca="false">C60*H60*G60+L61</f>
        <v>32.5091653352194</v>
      </c>
      <c r="M60" s="48" t="n">
        <f aca="false">D60*H60*G60+M61</f>
        <v>174.794651014169</v>
      </c>
      <c r="N60" s="48" t="n">
        <f aca="false">E60*H60*G60+N61</f>
        <v>4.30740628387323</v>
      </c>
      <c r="O60" s="48" t="n">
        <f aca="false">F60*H60*G60+O61</f>
        <v>5.24417216072894</v>
      </c>
      <c r="P60" s="48" t="n">
        <f aca="false">B60*I60*G60+P61</f>
        <v>4.76043725113376</v>
      </c>
      <c r="Q60" s="12" t="n">
        <f aca="false">K60/G60</f>
        <v>21.6968650229196</v>
      </c>
      <c r="R60" s="12" t="n">
        <f aca="false">IF(C60&lt;=0,0,MAX(0,(B60/C60)*L60/G60-Q60))</f>
        <v>4.7643877003514</v>
      </c>
      <c r="S60" s="12" t="n">
        <f aca="false">MAX(IF(E60&lt;=0,0,MAX(0,(B60/E60)*N60/G60-Q60)),IF(F60&lt;=0,0,MAX(0,(B60/F60)*O60/G60-Q60)),IF($A60&lt;$B$7,MAX(0,-Assumptions!$B$22*Q60),0))</f>
        <v>0</v>
      </c>
      <c r="T60" s="12" t="n">
        <f aca="false">MAX(0,P60/G60-Q60)</f>
        <v>0.0250502901564857</v>
      </c>
      <c r="U60" s="12" t="n">
        <f aca="false">SQRT(R60^2+S60^2+T60^2+2*Assumptions!$B$26*R60*S60+2*Assumptions!$B$27*R60*T60+2*Assumptions!$B$28*S60*T60)</f>
        <v>4.77071193046201</v>
      </c>
      <c r="V60" s="48" t="n">
        <f aca="false">U60*G60+V61</f>
        <v>1.91855808422318</v>
      </c>
      <c r="W60" s="48" t="n">
        <f aca="false">W59+B59*J59*G59</f>
        <v>2211.43182872955</v>
      </c>
      <c r="X60" s="12" t="n">
        <f aca="false">Assumptions!$B$29*V60/G60</f>
        <v>0.525263802842331</v>
      </c>
      <c r="Y60" s="12" t="n">
        <f aca="false">W60/G60</f>
        <v>10090.7820794957</v>
      </c>
      <c r="Z60" s="12" t="n">
        <f aca="false">Y60-Q60</f>
        <v>10069.0852144728</v>
      </c>
      <c r="AA60" s="12" t="n">
        <f aca="false">IF(B60&lt;=0,0,MAX(0,(U60+X60-Z60)/B60))</f>
        <v>0</v>
      </c>
    </row>
    <row r="61" customFormat="false" ht="15" hidden="false" customHeight="true" outlineLevel="0" collapsed="false">
      <c r="A61" s="1" t="n">
        <v>49</v>
      </c>
      <c r="B61" s="32" t="n">
        <f aca="false">INDEX(Surface_Engine!$L$12:$L$72,$A61+1)*IF($A61&lt;$B$7,INDEX(Surface_Engine!$E$12:$E$72,$A61+1),INDEX(Surface_Engine!$E$12:$E$72,$B$7+1))</f>
        <v>0.000242726298517999</v>
      </c>
      <c r="C61" s="32" t="n">
        <f aca="false">INDEX(Panel_Reserving!$D$8:$D$68,$A61+1)*IF($A61&lt;$B$7,INDEX(Surface_Engine!$E$12:$E$72,$A61+1),INDEX(Surface_Engine!$E$12:$E$72,$B$7+1))</f>
        <v>0.00162560814729936</v>
      </c>
      <c r="D61" s="32" t="n">
        <f aca="false">INDEX(Panel_Reserving!$L$8:$L$68,$A61+1)*IF($A61&lt;$B$7,INDEX(Surface_Engine!$E$12:$E$72,$A61+1),INDEX(Surface_Engine!$E$12:$E$72,$B$7+1))</f>
        <v>0.00840261803745131</v>
      </c>
      <c r="E61" s="32" t="n">
        <f aca="false">INDEX(Surface_Engine!$L$12:$L$72,$A61+1)*IF($A61&lt;$B$7,INDEX(Surface_Engine!$Y$12:$Y$72,$A61+1),INDEX(Surface_Engine!$Y$12:$Y$72,$B$7+1))</f>
        <v>0.000219880620773798</v>
      </c>
      <c r="F61" s="32" t="n">
        <f aca="false">INDEX(Surface_Engine!$L$12:$L$72,$A61+1)*IF($A61&lt;$B$7,INDEX(Surface_Engine!$Z$12:$Z$72,$A61+1),INDEX(Surface_Engine!$Z$12:$Z$72,$B$7+1))</f>
        <v>0.000267699806833379</v>
      </c>
      <c r="G61" s="30" t="n">
        <f aca="false">INDEX(Surface_Engine!$B$12:$B$72,$A61+1)</f>
        <v>0.212230671676072</v>
      </c>
      <c r="H61" s="48" t="n">
        <f aca="false">IF($A61&lt;$B$7,INDEX(Surface_Engine!$D$12:$D$72,$A61+1)+($B$9*12)*INDEX(Surface_Engine!$F$12:$F$72,$A61+1)-($B$9*12),$B$8*12*INDEX(Surface_Engine!$C$12:$C$72,$A61+1)/(1+Assumptions!$B$10)^$B$7+INDEX(Surface_Engine!$D$12:$D$72,$A61+1))</f>
        <v>23803.0810818405</v>
      </c>
      <c r="I61" s="48" t="n">
        <f aca="false">IF($A61&lt;$B$7,INDEX(Surface_Engine!$D$12:$D$72,$A61+1)*(1+Assumptions!$B$24)+($B$9*12)*INDEX(Surface_Engine!$F$12:$F$72,$A61+1)-($B$9*12),$B$8*12*INDEX(Surface_Engine!$C$12:$C$72,$A61+1)/(1+Assumptions!$B$10)^$B$7+INDEX(Surface_Engine!$D$12:$D$72,$A61+1)*(1+Assumptions!$B$24))</f>
        <v>23830.5779515981</v>
      </c>
      <c r="J61" s="48" t="n">
        <f aca="false">IF($A61&lt;$B$7,($B$9*12)-($B$9*12)*INDEX(Surface_Engine!$F$12:$F$72,$A61+1)-INDEX(Surface_Engine!$D$12:$D$72,$A61+1),-($B$8*12*INDEX(Surface_Engine!$C$12:$C$72,$A61+1)/(1+Assumptions!$B$10)^$B$7+INDEX(Surface_Engine!$D$12:$D$72,$A61+1)))</f>
        <v>-23803.0810818405</v>
      </c>
      <c r="K61" s="48" t="n">
        <f aca="false">B61*H61*G61+K62</f>
        <v>2.30536816483094</v>
      </c>
      <c r="L61" s="48" t="n">
        <f aca="false">C61*H61*G61+L62</f>
        <v>18.7770266870373</v>
      </c>
      <c r="M61" s="48" t="n">
        <f aca="false">D61*H61*G61+M62</f>
        <v>111.981244671198</v>
      </c>
      <c r="N61" s="48" t="n">
        <f aca="false">E61*H61*G61+N62</f>
        <v>2.08838426775411</v>
      </c>
      <c r="O61" s="48" t="n">
        <f aca="false">F61*H61*G61+O62</f>
        <v>2.54256179150402</v>
      </c>
      <c r="P61" s="48" t="n">
        <f aca="false">B61*I61*G61+P62</f>
        <v>2.30804196471805</v>
      </c>
      <c r="Q61" s="12" t="n">
        <f aca="false">K61/G61</f>
        <v>10.8625588687276</v>
      </c>
      <c r="R61" s="12" t="n">
        <f aca="false">IF(C61&lt;=0,0,MAX(0,(B61/C61)*L61/G61-Q61))</f>
        <v>2.34795285662512</v>
      </c>
      <c r="S61" s="12" t="n">
        <f aca="false">MAX(IF(E61&lt;=0,0,MAX(0,(B61/E61)*N61/G61-Q61)),IF(F61&lt;=0,0,MAX(0,(B61/F61)*O61/G61-Q61)),IF($A61&lt;$B$7,MAX(0,-Assumptions!$B$22*Q61),0))</f>
        <v>0</v>
      </c>
      <c r="T61" s="12" t="n">
        <f aca="false">MAX(0,P61/G61-Q61)</f>
        <v>0.0125985554585508</v>
      </c>
      <c r="U61" s="12" t="n">
        <f aca="false">SQRT(R61^2+S61^2+T61^2+2*Assumptions!$B$26*R61*S61+2*Assumptions!$B$27*R61*T61+2*Assumptions!$B$28*S61*T61)</f>
        <v>2.3511341407229</v>
      </c>
      <c r="V61" s="48" t="n">
        <f aca="false">U61*G61+V62</f>
        <v>0.8730391020859</v>
      </c>
      <c r="W61" s="48" t="n">
        <f aca="false">W60+B60*J60*G60</f>
        <v>2208.98224950603</v>
      </c>
      <c r="X61" s="12" t="n">
        <f aca="false">Assumptions!$B$29*V61/G61</f>
        <v>0.246817982111018</v>
      </c>
      <c r="Y61" s="12" t="n">
        <f aca="false">W61/G61</f>
        <v>10408.4024804746</v>
      </c>
      <c r="Z61" s="12" t="n">
        <f aca="false">Y61-Q61</f>
        <v>10397.5399216059</v>
      </c>
      <c r="AA61" s="12" t="n">
        <f aca="false">IF(B61&lt;=0,0,MAX(0,(U61+X61-Z61)/B61))</f>
        <v>0</v>
      </c>
    </row>
    <row r="62" customFormat="false" ht="15" hidden="false" customHeight="true" outlineLevel="0" collapsed="false">
      <c r="A62" s="1" t="n">
        <v>50</v>
      </c>
      <c r="B62" s="32" t="n">
        <f aca="false">INDEX(Surface_Engine!$L$12:$L$72,$A62+1)*IF($A62&lt;$B$7,INDEX(Surface_Engine!$E$12:$E$72,$A62+1),INDEX(Surface_Engine!$E$12:$E$72,$B$7+1))</f>
        <v>0.000118806116249204</v>
      </c>
      <c r="C62" s="32" t="n">
        <f aca="false">INDEX(Panel_Reserving!$D$8:$D$68,$A62+1)*IF($A62&lt;$B$7,INDEX(Surface_Engine!$E$12:$E$72,$A62+1),INDEX(Surface_Engine!$E$12:$E$72,$B$7+1))</f>
        <v>0.000961664737323828</v>
      </c>
      <c r="D62" s="32" t="n">
        <f aca="false">INDEX(Panel_Reserving!$L$8:$L$68,$A62+1)*IF($A62&lt;$B$7,INDEX(Surface_Engine!$E$12:$E$72,$A62+1),INDEX(Surface_Engine!$E$12:$E$72,$B$7+1))</f>
        <v>0.00559790817394857</v>
      </c>
      <c r="E62" s="32" t="n">
        <f aca="false">INDEX(Surface_Engine!$L$12:$L$72,$A62+1)*IF($A62&lt;$B$7,INDEX(Surface_Engine!$Y$12:$Y$72,$A62+1),INDEX(Surface_Engine!$Y$12:$Y$72,$B$7+1))</f>
        <v>0.000107623948258173</v>
      </c>
      <c r="F62" s="32" t="n">
        <f aca="false">INDEX(Surface_Engine!$L$12:$L$72,$A62+1)*IF($A62&lt;$B$7,INDEX(Surface_Engine!$Z$12:$Z$72,$A62+1),INDEX(Surface_Engine!$Z$12:$Z$72,$B$7+1))</f>
        <v>0.000131029783606977</v>
      </c>
      <c r="G62" s="30" t="n">
        <f aca="false">INDEX(Surface_Engine!$B$12:$B$72,$A62+1)</f>
        <v>0.205422860525207</v>
      </c>
      <c r="H62" s="48" t="n">
        <f aca="false">IF($A62&lt;$B$7,INDEX(Surface_Engine!$D$12:$D$72,$A62+1)+($B$9*12)*INDEX(Surface_Engine!$F$12:$F$72,$A62+1)-($B$9*12),$B$8*12*INDEX(Surface_Engine!$C$12:$C$72,$A62+1)/(1+Assumptions!$B$10)^$B$7+INDEX(Surface_Engine!$D$12:$D$72,$A62+1))</f>
        <v>24280.5175469652</v>
      </c>
      <c r="I62" s="48" t="n">
        <f aca="false">IF($A62&lt;$B$7,INDEX(Surface_Engine!$D$12:$D$72,$A62+1)*(1+Assumptions!$B$24)+($B$9*12)*INDEX(Surface_Engine!$F$12:$F$72,$A62+1)-($B$9*12),$B$8*12*INDEX(Surface_Engine!$C$12:$C$72,$A62+1)/(1+Assumptions!$B$10)^$B$7+INDEX(Surface_Engine!$D$12:$D$72,$A62+1)*(1+Assumptions!$B$24))</f>
        <v>24308.7018384667</v>
      </c>
      <c r="J62" s="48" t="n">
        <f aca="false">IF($A62&lt;$B$7,($B$9*12)-($B$9*12)*INDEX(Surface_Engine!$F$12:$F$72,$A62+1)-INDEX(Surface_Engine!$D$12:$D$72,$A62+1),-($B$8*12*INDEX(Surface_Engine!$C$12:$C$72,$A62+1)/(1+Assumptions!$B$10)^$B$7+INDEX(Surface_Engine!$D$12:$D$72,$A62+1)))</f>
        <v>-24280.5175469652</v>
      </c>
      <c r="K62" s="48" t="n">
        <f aca="false">B62*H62*G62+K63</f>
        <v>1.07917707033117</v>
      </c>
      <c r="L62" s="48" t="n">
        <f aca="false">C62*H62*G62+L63</f>
        <v>10.5648706679526</v>
      </c>
      <c r="M62" s="48" t="n">
        <f aca="false">D62*H62*G62+M63</f>
        <v>69.5333703744544</v>
      </c>
      <c r="N62" s="48" t="n">
        <f aca="false">E62*H62*G62+N63</f>
        <v>0.977603686119206</v>
      </c>
      <c r="O62" s="48" t="n">
        <f aca="false">F62*H62*G62+O63</f>
        <v>1.19021092906109</v>
      </c>
      <c r="P62" s="48" t="n">
        <f aca="false">B62*I62*G62+P63</f>
        <v>1.08043439742187</v>
      </c>
      <c r="Q62" s="12" t="n">
        <f aca="false">K62/G62</f>
        <v>5.25344193714386</v>
      </c>
      <c r="R62" s="12" t="n">
        <f aca="false">IF(C62&lt;=0,0,MAX(0,(B62/C62)*L62/G62-Q62))</f>
        <v>1.10031387594598</v>
      </c>
      <c r="S62" s="12" t="n">
        <f aca="false">MAX(IF(E62&lt;=0,0,MAX(0,(B62/E62)*N62/G62-Q62)),IF(F62&lt;=0,0,MAX(0,(B62/F62)*O62/G62-Q62)),IF($A62&lt;$B$7,MAX(0,-Assumptions!$B$22*Q62),0))</f>
        <v>0</v>
      </c>
      <c r="T62" s="12" t="n">
        <f aca="false">MAX(0,P62/G62-Q62)</f>
        <v>0.00612067755010859</v>
      </c>
      <c r="U62" s="12" t="n">
        <f aca="false">SQRT(R62^2+S62^2+T62^2+2*Assumptions!$B$26*R62*S62+2*Assumptions!$B$27*R62*T62+2*Assumptions!$B$28*S62*T62)</f>
        <v>1.1018599827166</v>
      </c>
      <c r="V62" s="48" t="n">
        <f aca="false">U62*G62+V63</f>
        <v>0.374056324199735</v>
      </c>
      <c r="W62" s="48" t="n">
        <f aca="false">W61+B61*J61*G61</f>
        <v>2207.75605841153</v>
      </c>
      <c r="X62" s="12" t="n">
        <f aca="false">Assumptions!$B$29*V62/G62</f>
        <v>0.109254536688872</v>
      </c>
      <c r="Y62" s="12" t="n">
        <f aca="false">W62/G62</f>
        <v>10747.3727742226</v>
      </c>
      <c r="Z62" s="12" t="n">
        <f aca="false">Y62-Q62</f>
        <v>10742.1193322854</v>
      </c>
      <c r="AA62" s="12" t="n">
        <f aca="false">IF(B62&lt;=0,0,MAX(0,(U62+X62-Z62)/B62))</f>
        <v>0</v>
      </c>
    </row>
    <row r="63" customFormat="false" ht="15" hidden="false" customHeight="true" outlineLevel="0" collapsed="false">
      <c r="A63" s="1" t="n">
        <v>51</v>
      </c>
      <c r="B63" s="32" t="n">
        <f aca="false">INDEX(Surface_Engine!$L$12:$L$72,$A63+1)*IF($A63&lt;$B$7,INDEX(Surface_Engine!$E$12:$E$72,$A63+1),INDEX(Surface_Engine!$E$12:$E$72,$B$7+1))</f>
        <v>5.61264386734587E-005</v>
      </c>
      <c r="C63" s="32" t="n">
        <f aca="false">INDEX(Panel_Reserving!$D$8:$D$68,$A63+1)*IF($A63&lt;$B$7,INDEX(Surface_Engine!$E$12:$E$72,$A63+1),INDEX(Surface_Engine!$E$12:$E$72,$B$7+1))</f>
        <v>0.000555781016354536</v>
      </c>
      <c r="D63" s="32" t="n">
        <f aca="false">INDEX(Panel_Reserving!$L$8:$L$68,$A63+1)*IF($A63&lt;$B$7,INDEX(Surface_Engine!$E$12:$E$72,$A63+1),INDEX(Surface_Engine!$E$12:$E$72,$B$7+1))</f>
        <v>0.00362478926527608</v>
      </c>
      <c r="E63" s="32" t="n">
        <f aca="false">INDEX(Surface_Engine!$L$12:$L$72,$A63+1)*IF($A63&lt;$B$7,INDEX(Surface_Engine!$Y$12:$Y$72,$A63+1),INDEX(Surface_Engine!$Y$12:$Y$72,$B$7+1))</f>
        <v>5.08437538605955E-005</v>
      </c>
      <c r="F63" s="32" t="n">
        <f aca="false">INDEX(Surface_Engine!$L$12:$L$72,$A63+1)*IF($A63&lt;$B$7,INDEX(Surface_Engine!$Z$12:$Z$72,$A63+1),INDEX(Surface_Engine!$Z$12:$Z$72,$B$7+1))</f>
        <v>6.19011490838362E-005</v>
      </c>
      <c r="G63" s="30" t="n">
        <f aca="false">INDEX(Surface_Engine!$B$12:$B$72,$A63+1)</f>
        <v>0.198923989220914</v>
      </c>
      <c r="H63" s="48" t="n">
        <f aca="false">IF($A63&lt;$B$7,INDEX(Surface_Engine!$D$12:$D$72,$A63+1)+($B$9*12)*INDEX(Surface_Engine!$F$12:$F$72,$A63+1)-($B$9*12),$B$8*12*INDEX(Surface_Engine!$C$12:$C$72,$A63+1)/(1+Assumptions!$B$10)^$B$7+INDEX(Surface_Engine!$D$12:$D$72,$A63+1))</f>
        <v>24767.5371124796</v>
      </c>
      <c r="I63" s="48" t="n">
        <f aca="false">IF($A63&lt;$B$7,INDEX(Surface_Engine!$D$12:$D$72,$A63+1)*(1+Assumptions!$B$24)+($B$9*12)*INDEX(Surface_Engine!$F$12:$F$72,$A63+1)-($B$9*12),$B$8*12*INDEX(Surface_Engine!$C$12:$C$72,$A63+1)/(1+Assumptions!$B$10)^$B$7+INDEX(Surface_Engine!$D$12:$D$72,$A63+1)*(1+Assumptions!$B$24))</f>
        <v>24796.4260112687</v>
      </c>
      <c r="J63" s="48" t="n">
        <f aca="false">IF($A63&lt;$B$7,($B$9*12)-($B$9*12)*INDEX(Surface_Engine!$F$12:$F$72,$A63+1)-INDEX(Surface_Engine!$D$12:$D$72,$A63+1),-($B$8*12*INDEX(Surface_Engine!$C$12:$C$72,$A63+1)/(1+Assumptions!$B$10)^$B$7+INDEX(Surface_Engine!$D$12:$D$72,$A63+1)))</f>
        <v>-24767.5371124796</v>
      </c>
      <c r="K63" s="48" t="n">
        <f aca="false">B63*H63*G63+K64</f>
        <v>0.486599087566101</v>
      </c>
      <c r="L63" s="48" t="n">
        <f aca="false">C63*H63*G63+L64</f>
        <v>5.76830490071267</v>
      </c>
      <c r="M63" s="48" t="n">
        <f aca="false">D63*H63*G63+M64</f>
        <v>41.6122730593591</v>
      </c>
      <c r="N63" s="48" t="n">
        <f aca="false">E63*H63*G63+N64</f>
        <v>0.44079982307341</v>
      </c>
      <c r="O63" s="48" t="n">
        <f aca="false">F63*H63*G63+O64</f>
        <v>0.536664063770923</v>
      </c>
      <c r="P63" s="48" t="n">
        <f aca="false">B63*I63*G63+P64</f>
        <v>0.487168563149045</v>
      </c>
      <c r="Q63" s="12" t="n">
        <f aca="false">K63/G63</f>
        <v>2.44615588834643</v>
      </c>
      <c r="R63" s="12" t="n">
        <f aca="false">IF(C63&lt;=0,0,MAX(0,(B63/C63)*L63/G63-Q63))</f>
        <v>0.482206538735443</v>
      </c>
      <c r="S63" s="12" t="n">
        <f aca="false">MAX(IF(E63&lt;=0,0,MAX(0,(B63/E63)*N63/G63-Q63)),IF(F63&lt;=0,0,MAX(0,(B63/F63)*O63/G63-Q63)),IF($A63&lt;$B$7,MAX(0,-Assumptions!$B$22*Q63),0))</f>
        <v>0</v>
      </c>
      <c r="T63" s="12" t="n">
        <f aca="false">MAX(0,P63/G63-Q63)</f>
        <v>0.00286277982446936</v>
      </c>
      <c r="U63" s="12" t="n">
        <f aca="false">SQRT(R63^2+S63^2+T63^2+2*Assumptions!$B$26*R63*S63+2*Assumptions!$B$27*R63*T63+2*Assumptions!$B$28*S63*T63)</f>
        <v>0.482930188622226</v>
      </c>
      <c r="V63" s="48" t="n">
        <f aca="false">U63*G63+V64</f>
        <v>0.147709094651837</v>
      </c>
      <c r="W63" s="48" t="n">
        <f aca="false">W62+B62*J62*G62</f>
        <v>2207.16348042876</v>
      </c>
      <c r="X63" s="12" t="n">
        <f aca="false">Assumptions!$B$29*V63/G63</f>
        <v>0.0445524228315567</v>
      </c>
      <c r="Y63" s="12" t="n">
        <f aca="false">W63/G63</f>
        <v>11095.5118539152</v>
      </c>
      <c r="Z63" s="12" t="n">
        <f aca="false">Y63-Q63</f>
        <v>11093.0656980269</v>
      </c>
      <c r="AA63" s="12" t="n">
        <f aca="false">IF(B63&lt;=0,0,MAX(0,(U63+X63-Z63)/B63))</f>
        <v>0</v>
      </c>
    </row>
    <row r="64" customFormat="false" ht="15" hidden="false" customHeight="true" outlineLevel="0" collapsed="false">
      <c r="A64" s="1" t="n">
        <v>52</v>
      </c>
      <c r="B64" s="32" t="n">
        <f aca="false">INDEX(Surface_Engine!$L$12:$L$72,$A64+1)*IF($A64&lt;$B$7,INDEX(Surface_Engine!$E$12:$E$72,$A64+1),INDEX(Surface_Engine!$E$12:$E$72,$B$7+1))</f>
        <v>2.55738846634779E-005</v>
      </c>
      <c r="C64" s="32" t="n">
        <f aca="false">INDEX(Panel_Reserving!$D$8:$D$68,$A64+1)*IF($A64&lt;$B$7,INDEX(Surface_Engine!$E$12:$E$72,$A64+1),INDEX(Surface_Engine!$E$12:$E$72,$B$7+1))</f>
        <v>0.000313748492343013</v>
      </c>
      <c r="D64" s="32" t="n">
        <f aca="false">INDEX(Panel_Reserving!$L$8:$L$68,$A64+1)*IF($A64&lt;$B$7,INDEX(Surface_Engine!$E$12:$E$72,$A64+1),INDEX(Surface_Engine!$E$12:$E$72,$B$7+1))</f>
        <v>0.00227677551775363</v>
      </c>
      <c r="E64" s="32" t="n">
        <f aca="false">INDEX(Surface_Engine!$L$12:$L$72,$A64+1)*IF($A64&lt;$B$7,INDEX(Surface_Engine!$Y$12:$Y$72,$A64+1),INDEX(Surface_Engine!$Y$12:$Y$72,$B$7+1))</f>
        <v>2.31668412929966E-005</v>
      </c>
      <c r="F64" s="32" t="n">
        <f aca="false">INDEX(Surface_Engine!$L$12:$L$72,$A64+1)*IF($A64&lt;$B$7,INDEX(Surface_Engine!$Z$12:$Z$72,$A64+1),INDEX(Surface_Engine!$Z$12:$Z$72,$B$7+1))</f>
        <v>2.82051183831013E-005</v>
      </c>
      <c r="G64" s="30" t="n">
        <f aca="false">INDEX(Surface_Engine!$B$12:$B$72,$A64+1)</f>
        <v>0.192626988225572</v>
      </c>
      <c r="H64" s="48" t="n">
        <f aca="false">IF($A64&lt;$B$7,INDEX(Surface_Engine!$D$12:$D$72,$A64+1)+($B$9*12)*INDEX(Surface_Engine!$F$12:$F$72,$A64+1)-($B$9*12),$B$8*12*INDEX(Surface_Engine!$C$12:$C$72,$A64+1)/(1+Assumptions!$B$10)^$B$7+INDEX(Surface_Engine!$D$12:$D$72,$A64+1))</f>
        <v>25264.3322996686</v>
      </c>
      <c r="I64" s="48" t="n">
        <f aca="false">IF($A64&lt;$B$7,INDEX(Surface_Engine!$D$12:$D$72,$A64+1)*(1+Assumptions!$B$24)+($B$9*12)*INDEX(Surface_Engine!$F$12:$F$72,$A64+1)-($B$9*12),$B$8*12*INDEX(Surface_Engine!$C$12:$C$72,$A64+1)/(1+Assumptions!$B$10)^$B$7+INDEX(Surface_Engine!$D$12:$D$72,$A64+1)*(1+Assumptions!$B$24))</f>
        <v>25293.9434209274</v>
      </c>
      <c r="J64" s="48" t="n">
        <f aca="false">IF($A64&lt;$B$7,($B$9*12)-($B$9*12)*INDEX(Surface_Engine!$F$12:$F$72,$A64+1)-INDEX(Surface_Engine!$D$12:$D$72,$A64+1),-($B$8*12*INDEX(Surface_Engine!$C$12:$C$72,$A64+1)/(1+Assumptions!$B$10)^$B$7+INDEX(Surface_Engine!$D$12:$D$72,$A64+1)))</f>
        <v>-25264.3322996686</v>
      </c>
      <c r="K64" s="48" t="n">
        <f aca="false">B64*H64*G64+K65</f>
        <v>0.210072134273467</v>
      </c>
      <c r="L64" s="48" t="n">
        <f aca="false">C64*H64*G64+L65</f>
        <v>3.03005115109288</v>
      </c>
      <c r="M64" s="48" t="n">
        <f aca="false">D64*H64*G64+M65</f>
        <v>23.7534536589999</v>
      </c>
      <c r="N64" s="48" t="n">
        <f aca="false">E64*H64*G64+N65</f>
        <v>0.190299903938515</v>
      </c>
      <c r="O64" s="48" t="n">
        <f aca="false">F64*H64*G64+O65</f>
        <v>0.231685936420741</v>
      </c>
      <c r="P64" s="48" t="n">
        <f aca="false">B64*I64*G64+P65</f>
        <v>0.210319068332406</v>
      </c>
      <c r="Q64" s="12" t="n">
        <f aca="false">K64/G64</f>
        <v>1.09056439187777</v>
      </c>
      <c r="R64" s="12" t="n">
        <f aca="false">IF(C64&lt;=0,0,MAX(0,(B64/C64)*L64/G64-Q64))</f>
        <v>0.191612307326111</v>
      </c>
      <c r="S64" s="12" t="n">
        <f aca="false">MAX(IF(E64&lt;=0,0,MAX(0,(B64/E64)*N64/G64-Q64)),IF(F64&lt;=0,0,MAX(0,(B64/F64)*O64/G64-Q64)),IF($A64&lt;$B$7,MAX(0,-Assumptions!$B$22*Q64),0))</f>
        <v>0</v>
      </c>
      <c r="T64" s="12" t="n">
        <f aca="false">MAX(0,P64/G64-Q64)</f>
        <v>0.00128192867060517</v>
      </c>
      <c r="U64" s="12" t="n">
        <f aca="false">SQRT(R64^2+S64^2+T64^2+2*Assumptions!$B$26*R64*S64+2*Assumptions!$B$27*R64*T64+2*Assumptions!$B$28*S64*T64)</f>
        <v>0.191936802920007</v>
      </c>
      <c r="V64" s="48" t="n">
        <f aca="false">U64*G64+V65</f>
        <v>0.0516426950158951</v>
      </c>
      <c r="W64" s="48" t="n">
        <f aca="false">W63+B63*J63*G63</f>
        <v>2206.88695347547</v>
      </c>
      <c r="X64" s="12" t="n">
        <f aca="false">Assumptions!$B$29*V64/G64</f>
        <v>0.0160858129460302</v>
      </c>
      <c r="Y64" s="12" t="n">
        <f aca="false">W64/G64</f>
        <v>11456.7900054126</v>
      </c>
      <c r="Z64" s="12" t="n">
        <f aca="false">Y64-Q64</f>
        <v>11455.6994410208</v>
      </c>
      <c r="AA64" s="12" t="n">
        <f aca="false">IF(B64&lt;=0,0,MAX(0,(U64+X64-Z64)/B64))</f>
        <v>0</v>
      </c>
    </row>
    <row r="65" customFormat="false" ht="15" hidden="false" customHeight="true" outlineLevel="0" collapsed="false">
      <c r="A65" s="1" t="n">
        <v>53</v>
      </c>
      <c r="B65" s="32" t="n">
        <f aca="false">INDEX(Surface_Engine!$L$12:$L$72,$A65+1)*IF($A65&lt;$B$7,INDEX(Surface_Engine!$E$12:$E$72,$A65+1),INDEX(Surface_Engine!$E$12:$E$72,$B$7+1))</f>
        <v>1.12317686470886E-005</v>
      </c>
      <c r="C65" s="32" t="n">
        <f aca="false">INDEX(Panel_Reserving!$D$8:$D$68,$A65+1)*IF($A65&lt;$B$7,INDEX(Surface_Engine!$E$12:$E$72,$A65+1),INDEX(Surface_Engine!$E$12:$E$72,$B$7+1))</f>
        <v>0.000172985605941889</v>
      </c>
      <c r="D65" s="32" t="n">
        <f aca="false">INDEX(Panel_Reserving!$L$8:$L$68,$A65+1)*IF($A65&lt;$B$7,INDEX(Surface_Engine!$E$12:$E$72,$A65+1),INDEX(Surface_Engine!$E$12:$E$72,$B$7+1))</f>
        <v>0.00138440331140783</v>
      </c>
      <c r="E65" s="32" t="n">
        <f aca="false">INDEX(Surface_Engine!$L$12:$L$72,$A65+1)*IF($A65&lt;$B$7,INDEX(Surface_Engine!$Y$12:$Y$72,$A65+1),INDEX(Surface_Engine!$Y$12:$Y$72,$B$7+1))</f>
        <v>1.01746216936044E-005</v>
      </c>
      <c r="F65" s="32" t="n">
        <f aca="false">INDEX(Surface_Engine!$L$12:$L$72,$A65+1)*IF($A65&lt;$B$7,INDEX(Surface_Engine!$Z$12:$Z$72,$A65+1),INDEX(Surface_Engine!$Z$12:$Z$72,$B$7+1))</f>
        <v>1.23873775342059E-005</v>
      </c>
      <c r="G65" s="30" t="n">
        <f aca="false">INDEX(Surface_Engine!$B$12:$B$72,$A65+1)</f>
        <v>0.186525707429552</v>
      </c>
      <c r="H65" s="48" t="n">
        <f aca="false">IF($A65&lt;$B$7,INDEX(Surface_Engine!$D$12:$D$72,$A65+1)+($B$9*12)*INDEX(Surface_Engine!$F$12:$F$72,$A65+1)-($B$9*12),$B$8*12*INDEX(Surface_Engine!$C$12:$C$72,$A65+1)/(1+Assumptions!$B$10)^$B$7+INDEX(Surface_Engine!$D$12:$D$72,$A65+1))</f>
        <v>25771.0995017249</v>
      </c>
      <c r="I65" s="48" t="n">
        <f aca="false">IF($A65&lt;$B$7,INDEX(Surface_Engine!$D$12:$D$72,$A65+1)*(1+Assumptions!$B$24)+($B$9*12)*INDEX(Surface_Engine!$F$12:$F$72,$A65+1)-($B$9*12),$B$8*12*INDEX(Surface_Engine!$C$12:$C$72,$A65+1)/(1+Assumptions!$B$10)^$B$7+INDEX(Surface_Engine!$D$12:$D$72,$A65+1)*(1+Assumptions!$B$24))</f>
        <v>25801.4509010152</v>
      </c>
      <c r="J65" s="48" t="n">
        <f aca="false">IF($A65&lt;$B$7,($B$9*12)-($B$9*12)*INDEX(Surface_Engine!$F$12:$F$72,$A65+1)-INDEX(Surface_Engine!$D$12:$D$72,$A65+1),-($B$8*12*INDEX(Surface_Engine!$C$12:$C$72,$A65+1)/(1+Assumptions!$B$10)^$B$7+INDEX(Surface_Engine!$D$12:$D$72,$A65+1)))</f>
        <v>-25771.0995017249</v>
      </c>
      <c r="K65" s="48" t="n">
        <f aca="false">B65*H65*G65+K66</f>
        <v>0.0856144656129127</v>
      </c>
      <c r="L65" s="48" t="n">
        <f aca="false">C65*H65*G65+L66</f>
        <v>1.50316517281441</v>
      </c>
      <c r="M65" s="48" t="n">
        <f aca="false">D65*H65*G65+M66</f>
        <v>12.6733155911328</v>
      </c>
      <c r="N65" s="48" t="n">
        <f aca="false">E65*H65*G65+N66</f>
        <v>0.077556333867087</v>
      </c>
      <c r="O65" s="48" t="n">
        <f aca="false">F65*H65*G65+O66</f>
        <v>0.094423126157548</v>
      </c>
      <c r="P65" s="48" t="n">
        <f aca="false">B65*I65*G65+P66</f>
        <v>0.0857155287628328</v>
      </c>
      <c r="Q65" s="12" t="n">
        <f aca="false">K65/G65</f>
        <v>0.458995528245072</v>
      </c>
      <c r="R65" s="12" t="n">
        <f aca="false">IF(C65&lt;=0,0,MAX(0,(B65/C65)*L65/G65-Q65))</f>
        <v>0.0642508021022158</v>
      </c>
      <c r="S65" s="12" t="n">
        <f aca="false">MAX(IF(E65&lt;=0,0,MAX(0,(B65/E65)*N65/G65-Q65)),IF(F65&lt;=0,0,MAX(0,(B65/F65)*O65/G65-Q65)),IF($A65&lt;$B$7,MAX(0,-Assumptions!$B$22*Q65),0))</f>
        <v>0</v>
      </c>
      <c r="T65" s="12" t="n">
        <f aca="false">MAX(0,P65/G65-Q65)</f>
        <v>0.000541818880157752</v>
      </c>
      <c r="U65" s="12" t="n">
        <f aca="false">SQRT(R65^2+S65^2+T65^2+2*Assumptions!$B$26*R65*S65+2*Assumptions!$B$27*R65*T65+2*Assumptions!$B$28*S65*T65)</f>
        <v>0.0643883940419322</v>
      </c>
      <c r="V65" s="48" t="n">
        <f aca="false">U65*G65+V66</f>
        <v>0.014670486739769</v>
      </c>
      <c r="W65" s="48" t="n">
        <f aca="false">W64+B64*J64*G64</f>
        <v>2206.76249580681</v>
      </c>
      <c r="X65" s="12" t="n">
        <f aca="false">Assumptions!$B$29*V65/G65</f>
        <v>0.00471907715304386</v>
      </c>
      <c r="Y65" s="12" t="n">
        <f aca="false">W65/G65</f>
        <v>11830.8758948966</v>
      </c>
      <c r="Z65" s="12" t="n">
        <f aca="false">Y65-Q65</f>
        <v>11830.4168993683</v>
      </c>
      <c r="AA65" s="12" t="n">
        <f aca="false">IF(B65&lt;=0,0,MAX(0,(U65+X65-Z65)/B65))</f>
        <v>0</v>
      </c>
    </row>
    <row r="66" customFormat="false" ht="15" hidden="false" customHeight="true" outlineLevel="0" collapsed="false">
      <c r="A66" s="1" t="n">
        <v>54</v>
      </c>
      <c r="B66" s="32" t="n">
        <f aca="false">INDEX(Surface_Engine!$L$12:$L$72,$A66+1)*IF($A66&lt;$B$7,INDEX(Surface_Engine!$E$12:$E$72,$A66+1),INDEX(Surface_Engine!$E$12:$E$72,$B$7+1))</f>
        <v>4.75195918537906E-006</v>
      </c>
      <c r="C66" s="32" t="n">
        <f aca="false">INDEX(Panel_Reserving!$D$8:$D$68,$A66+1)*IF($A66&lt;$B$7,INDEX(Surface_Engine!$E$12:$E$72,$A66+1),INDEX(Surface_Engine!$E$12:$E$72,$B$7+1))</f>
        <v>9.31467986201329E-005</v>
      </c>
      <c r="D66" s="32" t="n">
        <f aca="false">INDEX(Panel_Reserving!$L$8:$L$68,$A66+1)*IF($A66&lt;$B$7,INDEX(Surface_Engine!$E$12:$E$72,$A66+1),INDEX(Surface_Engine!$E$12:$E$72,$B$7+1))</f>
        <v>0.000813270206856725</v>
      </c>
      <c r="E66" s="32" t="n">
        <f aca="false">INDEX(Surface_Engine!$L$12:$L$72,$A66+1)*IF($A66&lt;$B$7,INDEX(Surface_Engine!$Y$12:$Y$72,$A66+1),INDEX(Surface_Engine!$Y$12:$Y$72,$B$7+1))</f>
        <v>4.3046993339925E-006</v>
      </c>
      <c r="F66" s="32" t="n">
        <f aca="false">INDEX(Surface_Engine!$L$12:$L$72,$A66+1)*IF($A66&lt;$B$7,INDEX(Surface_Engine!$Z$12:$Z$72,$A66+1),INDEX(Surface_Engine!$Z$12:$Z$72,$B$7+1))</f>
        <v>5.24087650894468E-006</v>
      </c>
      <c r="G66" s="30" t="n">
        <f aca="false">INDEX(Surface_Engine!$B$12:$B$72,$A66+1)</f>
        <v>0.180519716326691</v>
      </c>
      <c r="H66" s="48" t="n">
        <f aca="false">IF($A66&lt;$B$7,INDEX(Surface_Engine!$D$12:$D$72,$A66+1)+($B$9*12)*INDEX(Surface_Engine!$F$12:$F$72,$A66+1)-($B$9*12),$B$8*12*INDEX(Surface_Engine!$C$12:$C$72,$A66+1)/(1+Assumptions!$B$10)^$B$7+INDEX(Surface_Engine!$D$12:$D$72,$A66+1))</f>
        <v>26288.0390617239</v>
      </c>
      <c r="I66" s="48" t="n">
        <f aca="false">IF($A66&lt;$B$7,INDEX(Surface_Engine!$D$12:$D$72,$A66+1)*(1+Assumptions!$B$24)+($B$9*12)*INDEX(Surface_Engine!$F$12:$F$72,$A66+1)-($B$9*12),$B$8*12*INDEX(Surface_Engine!$C$12:$C$72,$A66+1)/(1+Assumptions!$B$10)^$B$7+INDEX(Surface_Engine!$D$12:$D$72,$A66+1)*(1+Assumptions!$B$24))</f>
        <v>26319.1492459965</v>
      </c>
      <c r="J66" s="48" t="n">
        <f aca="false">IF($A66&lt;$B$7,($B$9*12)-($B$9*12)*INDEX(Surface_Engine!$F$12:$F$72,$A66+1)-INDEX(Surface_Engine!$D$12:$D$72,$A66+1),-($B$8*12*INDEX(Surface_Engine!$C$12:$C$72,$A66+1)/(1+Assumptions!$B$10)^$B$7+INDEX(Surface_Engine!$D$12:$D$72,$A66+1)))</f>
        <v>-26288.0390617239</v>
      </c>
      <c r="K66" s="48" t="n">
        <f aca="false">B66*H66*G66+K67</f>
        <v>0.0316236618609832</v>
      </c>
      <c r="L66" s="48" t="n">
        <f aca="false">C66*H66*G66+L67</f>
        <v>0.671628110774048</v>
      </c>
      <c r="M66" s="48" t="n">
        <f aca="false">D66*H66*G66+M67</f>
        <v>6.01852685319739</v>
      </c>
      <c r="N66" s="48" t="n">
        <f aca="false">E66*H66*G66+N67</f>
        <v>0.0286472065185719</v>
      </c>
      <c r="O66" s="48" t="n">
        <f aca="false">F66*H66*G66+O67</f>
        <v>0.0348773421884549</v>
      </c>
      <c r="P66" s="48" t="n">
        <f aca="false">B66*I66*G66+P67</f>
        <v>0.0316611384168362</v>
      </c>
      <c r="Q66" s="12" t="n">
        <f aca="false">K66/G66</f>
        <v>0.17518120737434</v>
      </c>
      <c r="R66" s="12" t="n">
        <f aca="false">IF(C66&lt;=0,0,MAX(0,(B66/C66)*L66/G66-Q66))</f>
        <v>0.0146243794065592</v>
      </c>
      <c r="S66" s="12" t="n">
        <f aca="false">MAX(IF(E66&lt;=0,0,MAX(0,(B66/E66)*N66/G66-Q66)),IF(F66&lt;=0,0,MAX(0,(B66/F66)*O66/G66-Q66)),IF($A66&lt;$B$7,MAX(0,-Assumptions!$B$22*Q66),0))</f>
        <v>0</v>
      </c>
      <c r="T66" s="12" t="n">
        <f aca="false">MAX(0,P66/G66-Q66)</f>
        <v>0.000207603671308509</v>
      </c>
      <c r="U66" s="12" t="n">
        <f aca="false">SQRT(R66^2+S66^2+T66^2+2*Assumptions!$B$26*R66*S66+2*Assumptions!$B$27*R66*T66+2*Assumptions!$B$28*S66*T66)</f>
        <v>0.0146776568204546</v>
      </c>
      <c r="V66" s="48" t="n">
        <f aca="false">U66*G66+V67</f>
        <v>0.00266039599084486</v>
      </c>
      <c r="W66" s="48" t="n">
        <f aca="false">W65+B65*J65*G65</f>
        <v>2206.70850500306</v>
      </c>
      <c r="X66" s="12" t="n">
        <f aca="false">Assumptions!$B$29*V66/G66</f>
        <v>0.000884245569951019</v>
      </c>
      <c r="Y66" s="12" t="n">
        <f aca="false">W66/G66</f>
        <v>12224.1966135683</v>
      </c>
      <c r="Z66" s="12" t="n">
        <f aca="false">Y66-Q66</f>
        <v>12224.0214323609</v>
      </c>
      <c r="AA66" s="12" t="n">
        <f aca="false">IF(B66&lt;=0,0,MAX(0,(U66+X66-Z66)/B66))</f>
        <v>0</v>
      </c>
    </row>
    <row r="67" customFormat="false" ht="15" hidden="false" customHeight="true" outlineLevel="0" collapsed="false">
      <c r="A67" s="1" t="n">
        <v>55</v>
      </c>
      <c r="B67" s="32" t="n">
        <f aca="false">INDEX(Surface_Engine!$L$12:$L$72,$A67+1)*IF($A67&lt;$B$7,INDEX(Surface_Engine!$E$12:$E$72,$A67+1),INDEX(Surface_Engine!$E$12:$E$72,$B$7+1))</f>
        <v>1.93576003719086E-006</v>
      </c>
      <c r="C67" s="32" t="n">
        <f aca="false">INDEX(Panel_Reserving!$D$8:$D$68,$A67+1)*IF($A67&lt;$B$7,INDEX(Surface_Engine!$E$12:$E$72,$A67+1),INDEX(Surface_Engine!$E$12:$E$72,$B$7+1))</f>
        <v>4.89848141085506E-005</v>
      </c>
      <c r="D67" s="32" t="n">
        <f aca="false">INDEX(Panel_Reserving!$L$8:$L$68,$A67+1)*IF($A67&lt;$B$7,INDEX(Surface_Engine!$E$12:$E$72,$A67+1),INDEX(Surface_Engine!$E$12:$E$72,$B$7+1))</f>
        <v>0.000460652227649124</v>
      </c>
      <c r="E67" s="32" t="n">
        <f aca="false">INDEX(Surface_Engine!$L$12:$L$72,$A67+1)*IF($A67&lt;$B$7,INDEX(Surface_Engine!$Y$12:$Y$72,$A67+1),INDEX(Surface_Engine!$Y$12:$Y$72,$B$7+1))</f>
        <v>1.75356408121171E-006</v>
      </c>
      <c r="F67" s="32" t="n">
        <f aca="false">INDEX(Surface_Engine!$L$12:$L$72,$A67+1)*IF($A67&lt;$B$7,INDEX(Surface_Engine!$Z$12:$Z$72,$A67+1),INDEX(Surface_Engine!$Z$12:$Z$72,$B$7+1))</f>
        <v>2.13492559807375E-006</v>
      </c>
      <c r="G67" s="30" t="n">
        <f aca="false">INDEX(Surface_Engine!$B$12:$B$72,$A67+1)</f>
        <v>0.174793457507591</v>
      </c>
      <c r="H67" s="48" t="n">
        <f aca="false">IF($A67&lt;$B$7,INDEX(Surface_Engine!$D$12:$D$72,$A67+1)+($B$9*12)*INDEX(Surface_Engine!$F$12:$F$72,$A67+1)-($B$9*12),$B$8*12*INDEX(Surface_Engine!$C$12:$C$72,$A67+1)/(1+Assumptions!$B$10)^$B$7+INDEX(Surface_Engine!$D$12:$D$72,$A67+1))</f>
        <v>26815.355352172</v>
      </c>
      <c r="I67" s="48" t="n">
        <f aca="false">IF($A67&lt;$B$7,INDEX(Surface_Engine!$D$12:$D$72,$A67+1)*(1+Assumptions!$B$24)+($B$9*12)*INDEX(Surface_Engine!$F$12:$F$72,$A67+1)-($B$9*12),$B$8*12*INDEX(Surface_Engine!$C$12:$C$72,$A67+1)/(1+Assumptions!$B$10)^$B$7+INDEX(Surface_Engine!$D$12:$D$72,$A67+1)*(1+Assumptions!$B$24))</f>
        <v>26847.2432910514</v>
      </c>
      <c r="J67" s="48" t="n">
        <f aca="false">IF($A67&lt;$B$7,($B$9*12)-($B$9*12)*INDEX(Surface_Engine!$F$12:$F$72,$A67+1)-INDEX(Surface_Engine!$D$12:$D$72,$A67+1),-($B$8*12*INDEX(Surface_Engine!$C$12:$C$72,$A67+1)/(1+Assumptions!$B$10)^$B$7+INDEX(Surface_Engine!$D$12:$D$72,$A67+1)))</f>
        <v>-26815.355352172</v>
      </c>
      <c r="K67" s="48" t="n">
        <f aca="false">B67*H67*G67+K68</f>
        <v>0.00907319509595519</v>
      </c>
      <c r="L67" s="48" t="n">
        <f aca="false">C67*H67*G67+L68</f>
        <v>0.229599106607736</v>
      </c>
      <c r="M67" s="48" t="n">
        <f aca="false">D67*H67*G67+M68</f>
        <v>2.15914547906062</v>
      </c>
      <c r="N67" s="48" t="n">
        <f aca="false">E67*H67*G67+N68</f>
        <v>0.00821921556206017</v>
      </c>
      <c r="O67" s="48" t="n">
        <f aca="false">F67*H67*G67+O68</f>
        <v>0.0100067136910122</v>
      </c>
      <c r="P67" s="48" t="n">
        <f aca="false">B67*I67*G67+P68</f>
        <v>0.00908398464123105</v>
      </c>
      <c r="Q67" s="12" t="n">
        <f aca="false">K67/G67</f>
        <v>0.0519080932738066</v>
      </c>
      <c r="R67" s="12" t="n">
        <f aca="false">IF(C67&lt;=0,0,MAX(0,(B67/C67)*L67/G67-Q67))</f>
        <v>0</v>
      </c>
      <c r="S67" s="12" t="n">
        <f aca="false">MAX(IF(E67&lt;=0,0,MAX(0,(B67/E67)*N67/G67-Q67)),IF(F67&lt;=0,0,MAX(0,(B67/F67)*O67/G67-Q67)),IF($A67&lt;$B$7,MAX(0,-Assumptions!$B$22*Q67),0))</f>
        <v>0</v>
      </c>
      <c r="T67" s="12" t="n">
        <f aca="false">MAX(0,P67/G67-Q67)</f>
        <v>6.17273977510865E-005</v>
      </c>
      <c r="U67" s="12" t="n">
        <f aca="false">SQRT(R67^2+S67^2+T67^2+2*Assumptions!$B$26*R67*S67+2*Assumptions!$B$27*R67*T67+2*Assumptions!$B$28*S67*T67)</f>
        <v>6.17273977510865E-005</v>
      </c>
      <c r="V67" s="48" t="n">
        <f aca="false">U67*G67+V68</f>
        <v>1.07895452758587E-005</v>
      </c>
      <c r="W67" s="48" t="n">
        <f aca="false">W66+B66*J66*G66</f>
        <v>2206.68595453629</v>
      </c>
      <c r="X67" s="12" t="n">
        <f aca="false">Assumptions!$B$29*V67/G67</f>
        <v>3.70364386506519E-006</v>
      </c>
      <c r="Y67" s="12" t="n">
        <f aca="false">W67/G67</f>
        <v>12624.5340415013</v>
      </c>
      <c r="Z67" s="12" t="n">
        <f aca="false">Y67-Q67</f>
        <v>12624.482133408</v>
      </c>
      <c r="AA67" s="12" t="n">
        <f aca="false">IF(B67&lt;=0,0,MAX(0,(U67+X67-Z67)/B67))</f>
        <v>0</v>
      </c>
    </row>
    <row r="68" customFormat="false" ht="15" hidden="false" customHeight="true" outlineLevel="0" collapsed="false">
      <c r="A68" s="1" t="n">
        <v>56</v>
      </c>
      <c r="B68" s="32" t="n">
        <f aca="false">INDEX(Surface_Engine!$L$12:$L$72,$A68+1)*IF($A68&lt;$B$7,INDEX(Surface_Engine!$E$12:$E$72,$A68+1),INDEX(Surface_Engine!$E$12:$E$72,$B$7+1))</f>
        <v>0</v>
      </c>
      <c r="C68" s="32" t="n">
        <f aca="false">INDEX(Panel_Reserving!$D$8:$D$68,$A68+1)*IF($A68&lt;$B$7,INDEX(Surface_Engine!$E$12:$E$72,$A68+1),INDEX(Surface_Engine!$E$12:$E$72,$B$7+1))</f>
        <v>0</v>
      </c>
      <c r="D68" s="32" t="n">
        <f aca="false">INDEX(Panel_Reserving!$L$8:$L$68,$A68+1)*IF($A68&lt;$B$7,INDEX(Surface_Engine!$E$12:$E$72,$A68+1),INDEX(Surface_Engine!$E$12:$E$72,$B$7+1))</f>
        <v>0</v>
      </c>
      <c r="E68" s="32" t="n">
        <f aca="false">INDEX(Surface_Engine!$L$12:$L$72,$A68+1)*IF($A68&lt;$B$7,INDEX(Surface_Engine!$Y$12:$Y$72,$A68+1),INDEX(Surface_Engine!$Y$12:$Y$72,$B$7+1))</f>
        <v>0</v>
      </c>
      <c r="F68" s="32" t="n">
        <f aca="false">INDEX(Surface_Engine!$L$12:$L$72,$A68+1)*IF($A68&lt;$B$7,INDEX(Surface_Engine!$Z$12:$Z$72,$A68+1),INDEX(Surface_Engine!$Z$12:$Z$72,$B$7+1))</f>
        <v>0</v>
      </c>
      <c r="G68" s="30" t="n">
        <f aca="false">INDEX(Surface_Engine!$B$12:$B$72,$A68+1)</f>
        <v>0.169245562707385</v>
      </c>
      <c r="H68" s="48" t="n">
        <f aca="false">IF($A68&lt;$B$7,INDEX(Surface_Engine!$D$12:$D$72,$A68+1)+($B$9*12)*INDEX(Surface_Engine!$F$12:$F$72,$A68+1)-($B$9*12),$B$8*12*INDEX(Surface_Engine!$C$12:$C$72,$A68+1)/(1+Assumptions!$B$10)^$B$7+INDEX(Surface_Engine!$D$12:$D$72,$A68+1))</f>
        <v>27353.2568561594</v>
      </c>
      <c r="I68" s="48" t="n">
        <f aca="false">IF($A68&lt;$B$7,INDEX(Surface_Engine!$D$12:$D$72,$A68+1)*(1+Assumptions!$B$24)+($B$9*12)*INDEX(Surface_Engine!$F$12:$F$72,$A68+1)-($B$9*12),$B$8*12*INDEX(Surface_Engine!$C$12:$C$72,$A68+1)/(1+Assumptions!$B$10)^$B$7+INDEX(Surface_Engine!$D$12:$D$72,$A68+1)*(1+Assumptions!$B$24))</f>
        <v>27385.9419935108</v>
      </c>
      <c r="J68" s="48" t="n">
        <f aca="false">IF($A68&lt;$B$7,($B$9*12)-($B$9*12)*INDEX(Surface_Engine!$F$12:$F$72,$A68+1)-INDEX(Surface_Engine!$D$12:$D$72,$A68+1),-($B$8*12*INDEX(Surface_Engine!$C$12:$C$72,$A68+1)/(1+Assumptions!$B$10)^$B$7+INDEX(Surface_Engine!$D$12:$D$72,$A68+1)))</f>
        <v>-27353.2568561594</v>
      </c>
      <c r="K68" s="48" t="n">
        <f aca="false">B68*H68*G68+K69</f>
        <v>0</v>
      </c>
      <c r="L68" s="48" t="n">
        <f aca="false">C68*H68*G68+L69</f>
        <v>0</v>
      </c>
      <c r="M68" s="48" t="n">
        <f aca="false">D68*H68*G68+M69</f>
        <v>0</v>
      </c>
      <c r="N68" s="48" t="n">
        <f aca="false">E68*H68*G68+N69</f>
        <v>0</v>
      </c>
      <c r="O68" s="48" t="n">
        <f aca="false">F68*H68*G68+O69</f>
        <v>0</v>
      </c>
      <c r="P68" s="48" t="n">
        <f aca="false">B68*I68*G68+P69</f>
        <v>0</v>
      </c>
      <c r="Q68" s="12" t="n">
        <f aca="false">K68/G68</f>
        <v>0</v>
      </c>
      <c r="R68" s="12" t="n">
        <f aca="false">IF(C68&lt;=0,0,MAX(0,(B68/C68)*L68/G68-Q68))</f>
        <v>0</v>
      </c>
      <c r="S68" s="12" t="n">
        <f aca="false">MAX(IF(E68&lt;=0,0,MAX(0,(B68/E68)*N68/G68-Q68)),IF(F68&lt;=0,0,MAX(0,(B68/F68)*O68/G68-Q68)),IF($A68&lt;$B$7,MAX(0,-Assumptions!$B$22*Q68),0))</f>
        <v>0</v>
      </c>
      <c r="T68" s="12" t="n">
        <f aca="false">MAX(0,P68/G68-Q68)</f>
        <v>0</v>
      </c>
      <c r="U68" s="12" t="n">
        <f aca="false">SQRT(R68^2+S68^2+T68^2+2*Assumptions!$B$26*R68*S68+2*Assumptions!$B$27*R68*T68+2*Assumptions!$B$28*S68*T68)</f>
        <v>0</v>
      </c>
      <c r="V68" s="48" t="n">
        <f aca="false">U68*G68+V69</f>
        <v>0</v>
      </c>
      <c r="W68" s="48" t="n">
        <f aca="false">W67+B67*J67*G67</f>
        <v>2206.67688134119</v>
      </c>
      <c r="X68" s="12" t="n">
        <f aca="false">Assumptions!$B$29*V68/G68</f>
        <v>0</v>
      </c>
      <c r="Y68" s="12" t="n">
        <f aca="false">W68/G68</f>
        <v>13038.314541554</v>
      </c>
      <c r="Z68" s="12" t="n">
        <f aca="false">Y68-Q68</f>
        <v>13038.314541554</v>
      </c>
      <c r="AA68" s="12" t="n">
        <f aca="false">IF(B68&lt;=0,0,MAX(0,(U68+X68-Z68)/B68))</f>
        <v>0</v>
      </c>
    </row>
    <row r="69" customFormat="false" ht="15" hidden="false" customHeight="true" outlineLevel="0" collapsed="false">
      <c r="A69" s="1" t="n">
        <v>57</v>
      </c>
      <c r="B69" s="32" t="n">
        <f aca="false">INDEX(Surface_Engine!$L$12:$L$72,$A69+1)*IF($A69&lt;$B$7,INDEX(Surface_Engine!$E$12:$E$72,$A69+1),INDEX(Surface_Engine!$E$12:$E$72,$B$7+1))</f>
        <v>0</v>
      </c>
      <c r="C69" s="32" t="n">
        <f aca="false">INDEX(Panel_Reserving!$D$8:$D$68,$A69+1)*IF($A69&lt;$B$7,INDEX(Surface_Engine!$E$12:$E$72,$A69+1),INDEX(Surface_Engine!$E$12:$E$72,$B$7+1))</f>
        <v>0</v>
      </c>
      <c r="D69" s="32" t="n">
        <f aca="false">INDEX(Panel_Reserving!$L$8:$L$68,$A69+1)*IF($A69&lt;$B$7,INDEX(Surface_Engine!$E$12:$E$72,$A69+1),INDEX(Surface_Engine!$E$12:$E$72,$B$7+1))</f>
        <v>0</v>
      </c>
      <c r="E69" s="32" t="n">
        <f aca="false">INDEX(Surface_Engine!$L$12:$L$72,$A69+1)*IF($A69&lt;$B$7,INDEX(Surface_Engine!$Y$12:$Y$72,$A69+1),INDEX(Surface_Engine!$Y$12:$Y$72,$B$7+1))</f>
        <v>0</v>
      </c>
      <c r="F69" s="32" t="n">
        <f aca="false">INDEX(Surface_Engine!$L$12:$L$72,$A69+1)*IF($A69&lt;$B$7,INDEX(Surface_Engine!$Z$12:$Z$72,$A69+1),INDEX(Surface_Engine!$Z$12:$Z$72,$B$7+1))</f>
        <v>0</v>
      </c>
      <c r="G69" s="30" t="n">
        <f aca="false">INDEX(Surface_Engine!$B$12:$B$72,$A69+1)</f>
        <v>0.163870582267385</v>
      </c>
      <c r="H69" s="48" t="n">
        <f aca="false">IF($A69&lt;$B$7,INDEX(Surface_Engine!$D$12:$D$72,$A69+1)+($B$9*12)*INDEX(Surface_Engine!$F$12:$F$72,$A69+1)-($B$9*12),$B$8*12*INDEX(Surface_Engine!$C$12:$C$72,$A69+1)/(1+Assumptions!$B$10)^$B$7+INDEX(Surface_Engine!$D$12:$D$72,$A69+1))</f>
        <v>27901.9562501502</v>
      </c>
      <c r="I69" s="48" t="n">
        <f aca="false">IF($A69&lt;$B$7,INDEX(Surface_Engine!$D$12:$D$72,$A69+1)*(1+Assumptions!$B$24)+($B$9*12)*INDEX(Surface_Engine!$F$12:$F$72,$A69+1)-($B$9*12),$B$8*12*INDEX(Surface_Engine!$C$12:$C$72,$A69+1)/(1+Assumptions!$B$10)^$B$7+INDEX(Surface_Engine!$D$12:$D$72,$A69+1)*(1+Assumptions!$B$24))</f>
        <v>27935.4585159353</v>
      </c>
      <c r="J69" s="48" t="n">
        <f aca="false">IF($A69&lt;$B$7,($B$9*12)-($B$9*12)*INDEX(Surface_Engine!$F$12:$F$72,$A69+1)-INDEX(Surface_Engine!$D$12:$D$72,$A69+1),-($B$8*12*INDEX(Surface_Engine!$C$12:$C$72,$A69+1)/(1+Assumptions!$B$10)^$B$7+INDEX(Surface_Engine!$D$12:$D$72,$A69+1)))</f>
        <v>-27901.9562501502</v>
      </c>
      <c r="K69" s="48" t="n">
        <f aca="false">B69*H69*G69+K70</f>
        <v>0</v>
      </c>
      <c r="L69" s="48" t="n">
        <f aca="false">C69*H69*G69+L70</f>
        <v>0</v>
      </c>
      <c r="M69" s="48" t="n">
        <f aca="false">D69*H69*G69+M70</f>
        <v>0</v>
      </c>
      <c r="N69" s="48" t="n">
        <f aca="false">E69*H69*G69+N70</f>
        <v>0</v>
      </c>
      <c r="O69" s="48" t="n">
        <f aca="false">F69*H69*G69+O70</f>
        <v>0</v>
      </c>
      <c r="P69" s="48" t="n">
        <f aca="false">B69*I69*G69+P70</f>
        <v>0</v>
      </c>
      <c r="Q69" s="12" t="n">
        <f aca="false">K69/G69</f>
        <v>0</v>
      </c>
      <c r="R69" s="12" t="n">
        <f aca="false">IF(C69&lt;=0,0,MAX(0,(B69/C69)*L69/G69-Q69))</f>
        <v>0</v>
      </c>
      <c r="S69" s="12" t="n">
        <f aca="false">MAX(IF(E69&lt;=0,0,MAX(0,(B69/E69)*N69/G69-Q69)),IF(F69&lt;=0,0,MAX(0,(B69/F69)*O69/G69-Q69)),IF($A69&lt;$B$7,MAX(0,-Assumptions!$B$22*Q69),0))</f>
        <v>0</v>
      </c>
      <c r="T69" s="12" t="n">
        <f aca="false">MAX(0,P69/G69-Q69)</f>
        <v>0</v>
      </c>
      <c r="U69" s="12" t="n">
        <f aca="false">SQRT(R69^2+S69^2+T69^2+2*Assumptions!$B$26*R69*S69+2*Assumptions!$B$27*R69*T69+2*Assumptions!$B$28*S69*T69)</f>
        <v>0</v>
      </c>
      <c r="V69" s="48" t="n">
        <f aca="false">U69*G69+V70</f>
        <v>0</v>
      </c>
      <c r="W69" s="48" t="n">
        <f aca="false">W68+B68*J68*G68</f>
        <v>2206.67688134119</v>
      </c>
      <c r="X69" s="12" t="n">
        <f aca="false">Assumptions!$B$29*V69/G69</f>
        <v>0</v>
      </c>
      <c r="Y69" s="12" t="n">
        <f aca="false">W69/G69</f>
        <v>13465.9732748164</v>
      </c>
      <c r="Z69" s="12" t="n">
        <f aca="false">Y69-Q69</f>
        <v>13465.9732748164</v>
      </c>
      <c r="AA69" s="12" t="n">
        <f aca="false">IF(B69&lt;=0,0,MAX(0,(U69+X69-Z69)/B69))</f>
        <v>0</v>
      </c>
    </row>
    <row r="70" customFormat="false" ht="15" hidden="false" customHeight="true" outlineLevel="0" collapsed="false">
      <c r="A70" s="1" t="n">
        <v>58</v>
      </c>
      <c r="B70" s="32" t="n">
        <f aca="false">INDEX(Surface_Engine!$L$12:$L$72,$A70+1)*IF($A70&lt;$B$7,INDEX(Surface_Engine!$E$12:$E$72,$A70+1),INDEX(Surface_Engine!$E$12:$E$72,$B$7+1))</f>
        <v>0</v>
      </c>
      <c r="C70" s="32" t="n">
        <f aca="false">INDEX(Panel_Reserving!$D$8:$D$68,$A70+1)*IF($A70&lt;$B$7,INDEX(Surface_Engine!$E$12:$E$72,$A70+1),INDEX(Surface_Engine!$E$12:$E$72,$B$7+1))</f>
        <v>0</v>
      </c>
      <c r="D70" s="32" t="n">
        <f aca="false">INDEX(Panel_Reserving!$L$8:$L$68,$A70+1)*IF($A70&lt;$B$7,INDEX(Surface_Engine!$E$12:$E$72,$A70+1),INDEX(Surface_Engine!$E$12:$E$72,$B$7+1))</f>
        <v>0</v>
      </c>
      <c r="E70" s="32" t="n">
        <f aca="false">INDEX(Surface_Engine!$L$12:$L$72,$A70+1)*IF($A70&lt;$B$7,INDEX(Surface_Engine!$Y$12:$Y$72,$A70+1),INDEX(Surface_Engine!$Y$12:$Y$72,$B$7+1))</f>
        <v>0</v>
      </c>
      <c r="F70" s="32" t="n">
        <f aca="false">INDEX(Surface_Engine!$L$12:$L$72,$A70+1)*IF($A70&lt;$B$7,INDEX(Surface_Engine!$Z$12:$Z$72,$A70+1),INDEX(Surface_Engine!$Z$12:$Z$72,$B$7+1))</f>
        <v>0</v>
      </c>
      <c r="G70" s="30" t="n">
        <f aca="false">INDEX(Surface_Engine!$B$12:$B$72,$A70+1)</f>
        <v>0.158663229657548</v>
      </c>
      <c r="H70" s="48" t="n">
        <f aca="false">IF($A70&lt;$B$7,INDEX(Surface_Engine!$D$12:$D$72,$A70+1)+($B$9*12)*INDEX(Surface_Engine!$F$12:$F$72,$A70+1)-($B$9*12),$B$8*12*INDEX(Surface_Engine!$C$12:$C$72,$A70+1)/(1+Assumptions!$B$10)^$B$7+INDEX(Surface_Engine!$D$12:$D$72,$A70+1))</f>
        <v>28461.6704884425</v>
      </c>
      <c r="I70" s="48" t="n">
        <f aca="false">IF($A70&lt;$B$7,INDEX(Surface_Engine!$D$12:$D$72,$A70+1)*(1+Assumptions!$B$24)+($B$9*12)*INDEX(Surface_Engine!$F$12:$F$72,$A70+1)-($B$9*12),$B$8*12*INDEX(Surface_Engine!$C$12:$C$72,$A70+1)/(1+Assumptions!$B$10)^$B$7+INDEX(Surface_Engine!$D$12:$D$72,$A70+1)*(1+Assumptions!$B$24))</f>
        <v>28496.0103108722</v>
      </c>
      <c r="J70" s="48" t="n">
        <f aca="false">IF($A70&lt;$B$7,($B$9*12)-($B$9*12)*INDEX(Surface_Engine!$F$12:$F$72,$A70+1)-INDEX(Surface_Engine!$D$12:$D$72,$A70+1),-($B$8*12*INDEX(Surface_Engine!$C$12:$C$72,$A70+1)/(1+Assumptions!$B$10)^$B$7+INDEX(Surface_Engine!$D$12:$D$72,$A70+1)))</f>
        <v>-28461.6704884425</v>
      </c>
      <c r="K70" s="48" t="n">
        <f aca="false">B70*H70*G70+K71</f>
        <v>0</v>
      </c>
      <c r="L70" s="48" t="n">
        <f aca="false">C70*H70*G70+L71</f>
        <v>0</v>
      </c>
      <c r="M70" s="48" t="n">
        <f aca="false">D70*H70*G70+M71</f>
        <v>0</v>
      </c>
      <c r="N70" s="48" t="n">
        <f aca="false">E70*H70*G70+N71</f>
        <v>0</v>
      </c>
      <c r="O70" s="48" t="n">
        <f aca="false">F70*H70*G70+O71</f>
        <v>0</v>
      </c>
      <c r="P70" s="48" t="n">
        <f aca="false">B70*I70*G70+P71</f>
        <v>0</v>
      </c>
      <c r="Q70" s="12" t="n">
        <f aca="false">K70/G70</f>
        <v>0</v>
      </c>
      <c r="R70" s="12" t="n">
        <f aca="false">IF(C70&lt;=0,0,MAX(0,(B70/C70)*L70/G70-Q70))</f>
        <v>0</v>
      </c>
      <c r="S70" s="12" t="n">
        <f aca="false">MAX(IF(E70&lt;=0,0,MAX(0,(B70/E70)*N70/G70-Q70)),IF(F70&lt;=0,0,MAX(0,(B70/F70)*O70/G70-Q70)),IF($A70&lt;$B$7,MAX(0,-Assumptions!$B$22*Q70),0))</f>
        <v>0</v>
      </c>
      <c r="T70" s="12" t="n">
        <f aca="false">MAX(0,P70/G70-Q70)</f>
        <v>0</v>
      </c>
      <c r="U70" s="12" t="n">
        <f aca="false">SQRT(R70^2+S70^2+T70^2+2*Assumptions!$B$26*R70*S70+2*Assumptions!$B$27*R70*T70+2*Assumptions!$B$28*S70*T70)</f>
        <v>0</v>
      </c>
      <c r="V70" s="48" t="n">
        <f aca="false">U70*G70+V71</f>
        <v>0</v>
      </c>
      <c r="W70" s="48" t="n">
        <f aca="false">W69+B69*J69*G69</f>
        <v>2206.67688134119</v>
      </c>
      <c r="X70" s="12" t="n">
        <f aca="false">Assumptions!$B$29*V70/G70</f>
        <v>0</v>
      </c>
      <c r="Y70" s="12" t="n">
        <f aca="false">W70/G70</f>
        <v>13907.9286744887</v>
      </c>
      <c r="Z70" s="12" t="n">
        <f aca="false">Y70-Q70</f>
        <v>13907.9286744887</v>
      </c>
      <c r="AA70" s="12" t="n">
        <f aca="false">IF(B70&lt;=0,0,MAX(0,(U70+X70-Z70)/B70))</f>
        <v>0</v>
      </c>
    </row>
    <row r="71" customFormat="false" ht="15" hidden="false" customHeight="true" outlineLevel="0" collapsed="false">
      <c r="A71" s="1" t="n">
        <v>59</v>
      </c>
      <c r="B71" s="32" t="n">
        <f aca="false">INDEX(Surface_Engine!$L$12:$L$72,$A71+1)*IF($A71&lt;$B$7,INDEX(Surface_Engine!$E$12:$E$72,$A71+1),INDEX(Surface_Engine!$E$12:$E$72,$B$7+1))</f>
        <v>0</v>
      </c>
      <c r="C71" s="32" t="n">
        <f aca="false">INDEX(Panel_Reserving!$D$8:$D$68,$A71+1)*IF($A71&lt;$B$7,INDEX(Surface_Engine!$E$12:$E$72,$A71+1),INDEX(Surface_Engine!$E$12:$E$72,$B$7+1))</f>
        <v>0</v>
      </c>
      <c r="D71" s="32" t="n">
        <f aca="false">INDEX(Panel_Reserving!$L$8:$L$68,$A71+1)*IF($A71&lt;$B$7,INDEX(Surface_Engine!$E$12:$E$72,$A71+1),INDEX(Surface_Engine!$E$12:$E$72,$B$7+1))</f>
        <v>0</v>
      </c>
      <c r="E71" s="32" t="n">
        <f aca="false">INDEX(Surface_Engine!$L$12:$L$72,$A71+1)*IF($A71&lt;$B$7,INDEX(Surface_Engine!$Y$12:$Y$72,$A71+1),INDEX(Surface_Engine!$Y$12:$Y$72,$B$7+1))</f>
        <v>0</v>
      </c>
      <c r="F71" s="32" t="n">
        <f aca="false">INDEX(Surface_Engine!$L$12:$L$72,$A71+1)*IF($A71&lt;$B$7,INDEX(Surface_Engine!$Z$12:$Z$72,$A71+1),INDEX(Surface_Engine!$Z$12:$Z$72,$B$7+1))</f>
        <v>0</v>
      </c>
      <c r="G71" s="30" t="n">
        <f aca="false">INDEX(Surface_Engine!$B$12:$B$72,$A71+1)</f>
        <v>0.153618376699136</v>
      </c>
      <c r="H71" s="48" t="n">
        <f aca="false">IF($A71&lt;$B$7,INDEX(Surface_Engine!$D$12:$D$72,$A71+1)+($B$9*12)*INDEX(Surface_Engine!$F$12:$F$72,$A71+1)-($B$9*12),$B$8*12*INDEX(Surface_Engine!$C$12:$C$72,$A71+1)/(1+Assumptions!$B$10)^$B$7+INDEX(Surface_Engine!$D$12:$D$72,$A71+1))</f>
        <v>29032.6208893328</v>
      </c>
      <c r="I71" s="48" t="n">
        <f aca="false">IF($A71&lt;$B$7,INDEX(Surface_Engine!$D$12:$D$72,$A71+1)*(1+Assumptions!$B$24)+($B$9*12)*INDEX(Surface_Engine!$F$12:$F$72,$A71+1)-($B$9*12),$B$8*12*INDEX(Surface_Engine!$C$12:$C$72,$A71+1)/(1+Assumptions!$B$10)^$B$7+INDEX(Surface_Engine!$D$12:$D$72,$A71+1)*(1+Assumptions!$B$24))</f>
        <v>29067.8192073233</v>
      </c>
      <c r="J71" s="48" t="n">
        <f aca="false">IF($A71&lt;$B$7,($B$9*12)-($B$9*12)*INDEX(Surface_Engine!$F$12:$F$72,$A71+1)-INDEX(Surface_Engine!$D$12:$D$72,$A71+1),-($B$8*12*INDEX(Surface_Engine!$C$12:$C$72,$A71+1)/(1+Assumptions!$B$10)^$B$7+INDEX(Surface_Engine!$D$12:$D$72,$A71+1)))</f>
        <v>-29032.6208893328</v>
      </c>
      <c r="K71" s="48" t="n">
        <f aca="false">B71*H71*G71+K72</f>
        <v>0</v>
      </c>
      <c r="L71" s="48" t="n">
        <f aca="false">C71*H71*G71+L72</f>
        <v>0</v>
      </c>
      <c r="M71" s="48" t="n">
        <f aca="false">D71*H71*G71+M72</f>
        <v>0</v>
      </c>
      <c r="N71" s="48" t="n">
        <f aca="false">E71*H71*G71+N72</f>
        <v>0</v>
      </c>
      <c r="O71" s="48" t="n">
        <f aca="false">F71*H71*G71+O72</f>
        <v>0</v>
      </c>
      <c r="P71" s="48" t="n">
        <f aca="false">B71*I71*G71+P72</f>
        <v>0</v>
      </c>
      <c r="Q71" s="12" t="n">
        <f aca="false">K71/G71</f>
        <v>0</v>
      </c>
      <c r="R71" s="12" t="n">
        <f aca="false">IF(C71&lt;=0,0,MAX(0,(B71/C71)*L71/G71-Q71))</f>
        <v>0</v>
      </c>
      <c r="S71" s="12" t="n">
        <f aca="false">MAX(IF(E71&lt;=0,0,MAX(0,(B71/E71)*N71/G71-Q71)),IF(F71&lt;=0,0,MAX(0,(B71/F71)*O71/G71-Q71)),IF($A71&lt;$B$7,MAX(0,-Assumptions!$B$22*Q71),0))</f>
        <v>0</v>
      </c>
      <c r="T71" s="12" t="n">
        <f aca="false">MAX(0,P71/G71-Q71)</f>
        <v>0</v>
      </c>
      <c r="U71" s="12" t="n">
        <f aca="false">SQRT(R71^2+S71^2+T71^2+2*Assumptions!$B$26*R71*S71+2*Assumptions!$B$27*R71*T71+2*Assumptions!$B$28*S71*T71)</f>
        <v>0</v>
      </c>
      <c r="V71" s="48" t="n">
        <f aca="false">U71*G71+V72</f>
        <v>0</v>
      </c>
      <c r="W71" s="48" t="n">
        <f aca="false">W70+B70*J70*G70</f>
        <v>2206.67688134119</v>
      </c>
      <c r="X71" s="12" t="n">
        <f aca="false">Assumptions!$B$29*V71/G71</f>
        <v>0</v>
      </c>
      <c r="Y71" s="12" t="n">
        <f aca="false">W71/G71</f>
        <v>14364.667357884</v>
      </c>
      <c r="Z71" s="12" t="n">
        <f aca="false">Y71-Q71</f>
        <v>14364.667357884</v>
      </c>
      <c r="AA71" s="12" t="n">
        <f aca="false">IF(B71&lt;=0,0,MAX(0,(U71+X71-Z71)/B71))</f>
        <v>0</v>
      </c>
    </row>
    <row r="72" customFormat="false" ht="15" hidden="false" customHeight="true" outlineLevel="0" collapsed="false">
      <c r="A72" s="1" t="n">
        <v>60</v>
      </c>
      <c r="B72" s="32" t="n">
        <f aca="false">INDEX(Surface_Engine!$L$12:$L$72,$A72+1)*IF($A72&lt;$B$7,INDEX(Surface_Engine!$E$12:$E$72,$A72+1),INDEX(Surface_Engine!$E$12:$E$72,$B$7+1))</f>
        <v>0</v>
      </c>
      <c r="C72" s="32" t="n">
        <f aca="false">INDEX(Panel_Reserving!$D$8:$D$68,$A72+1)*IF($A72&lt;$B$7,INDEX(Surface_Engine!$E$12:$E$72,$A72+1),INDEX(Surface_Engine!$E$12:$E$72,$B$7+1))</f>
        <v>0</v>
      </c>
      <c r="D72" s="32" t="n">
        <f aca="false">INDEX(Panel_Reserving!$L$8:$L$68,$A72+1)*IF($A72&lt;$B$7,INDEX(Surface_Engine!$E$12:$E$72,$A72+1),INDEX(Surface_Engine!$E$12:$E$72,$B$7+1))</f>
        <v>0</v>
      </c>
      <c r="E72" s="32" t="n">
        <f aca="false">INDEX(Surface_Engine!$L$12:$L$72,$A72+1)*IF($A72&lt;$B$7,INDEX(Surface_Engine!$Y$12:$Y$72,$A72+1),INDEX(Surface_Engine!$Y$12:$Y$72,$B$7+1))</f>
        <v>0</v>
      </c>
      <c r="F72" s="32" t="n">
        <f aca="false">INDEX(Surface_Engine!$L$12:$L$72,$A72+1)*IF($A72&lt;$B$7,INDEX(Surface_Engine!$Z$12:$Z$72,$A72+1),INDEX(Surface_Engine!$Z$12:$Z$72,$B$7+1))</f>
        <v>0</v>
      </c>
      <c r="G72" s="30" t="n">
        <f aca="false">INDEX(Surface_Engine!$B$12:$B$72,$A72+1)</f>
        <v>0.148731048924035</v>
      </c>
      <c r="H72" s="48" t="n">
        <f aca="false">IF($A72&lt;$B$7,INDEX(Surface_Engine!$D$12:$D$72,$A72+1)+($B$9*12)*INDEX(Surface_Engine!$F$12:$F$72,$A72+1)-($B$9*12),$B$8*12*INDEX(Surface_Engine!$C$12:$C$72,$A72+1)/(1+Assumptions!$B$10)^$B$7+INDEX(Surface_Engine!$D$12:$D$72,$A72+1))</f>
        <v>29615.033223019</v>
      </c>
      <c r="I72" s="48" t="n">
        <f aca="false">IF($A72&lt;$B$7,INDEX(Surface_Engine!$D$12:$D$72,$A72+1)*(1+Assumptions!$B$24)+($B$9*12)*INDEX(Surface_Engine!$F$12:$F$72,$A72+1)-($B$9*12),$B$8*12*INDEX(Surface_Engine!$C$12:$C$72,$A72+1)/(1+Assumptions!$B$10)^$B$7+INDEX(Surface_Engine!$D$12:$D$72,$A72+1)*(1+Assumptions!$B$24))</f>
        <v>29651.1114989593</v>
      </c>
      <c r="J72" s="48" t="n">
        <f aca="false">IF($A72&lt;$B$7,($B$9*12)-($B$9*12)*INDEX(Surface_Engine!$F$12:$F$72,$A72+1)-INDEX(Surface_Engine!$D$12:$D$72,$A72+1),-($B$8*12*INDEX(Surface_Engine!$C$12:$C$72,$A72+1)/(1+Assumptions!$B$10)^$B$7+INDEX(Surface_Engine!$D$12:$D$72,$A72+1)))</f>
        <v>-29615.033223019</v>
      </c>
      <c r="K72" s="48" t="n">
        <f aca="false">B72*H72*G72</f>
        <v>0</v>
      </c>
      <c r="L72" s="48" t="n">
        <f aca="false">C72*H72*G72</f>
        <v>0</v>
      </c>
      <c r="M72" s="48" t="n">
        <f aca="false">D72*H72*G72</f>
        <v>0</v>
      </c>
      <c r="N72" s="48" t="n">
        <f aca="false">E72*H72*G72</f>
        <v>0</v>
      </c>
      <c r="O72" s="48" t="n">
        <f aca="false">F72*H72*G72</f>
        <v>0</v>
      </c>
      <c r="P72" s="48" t="n">
        <f aca="false">B72*I72*G72</f>
        <v>0</v>
      </c>
      <c r="Q72" s="12" t="n">
        <f aca="false">K72/G72</f>
        <v>0</v>
      </c>
      <c r="R72" s="12" t="n">
        <f aca="false">IF(C72&lt;=0,0,MAX(0,(B72/C72)*L72/G72-Q72))</f>
        <v>0</v>
      </c>
      <c r="S72" s="12" t="n">
        <f aca="false">MAX(IF(E72&lt;=0,0,MAX(0,(B72/E72)*N72/G72-Q72)),IF(F72&lt;=0,0,MAX(0,(B72/F72)*O72/G72-Q72)),IF($A72&lt;$B$7,MAX(0,-Assumptions!$B$22*Q72),0))</f>
        <v>0</v>
      </c>
      <c r="T72" s="12" t="n">
        <f aca="false">MAX(0,P72/G72-Q72)</f>
        <v>0</v>
      </c>
      <c r="U72" s="12" t="n">
        <f aca="false">SQRT(R72^2+S72^2+T72^2+2*Assumptions!$B$26*R72*S72+2*Assumptions!$B$27*R72*T72+2*Assumptions!$B$28*S72*T72)</f>
        <v>0</v>
      </c>
      <c r="V72" s="48" t="n">
        <f aca="false">U72*G72</f>
        <v>0</v>
      </c>
      <c r="W72" s="48" t="n">
        <f aca="false">W71+B71*J71*G71</f>
        <v>2206.67688134119</v>
      </c>
      <c r="X72" s="12" t="n">
        <f aca="false">Assumptions!$B$29*V72/G72</f>
        <v>0</v>
      </c>
      <c r="Y72" s="12" t="n">
        <f aca="false">W72/G72</f>
        <v>14836.6927908124</v>
      </c>
      <c r="Z72" s="12" t="n">
        <f aca="false">Y72-Q72</f>
        <v>14836.6927908124</v>
      </c>
      <c r="AA72" s="12" t="n">
        <f aca="false">IF(B72&lt;=0,0,MAX(0,(U72+X72-Z72)/B72))</f>
        <v>0</v>
      </c>
    </row>
    <row r="74" customFormat="false" ht="15" hidden="false" customHeight="true" outlineLevel="0" collapsed="false">
      <c r="A74" s="3" t="s">
        <v>1601</v>
      </c>
    </row>
    <row r="76" customFormat="false" ht="15" hidden="false" customHeight="true" outlineLevel="0" collapsed="false">
      <c r="A76" s="6" t="s">
        <v>1602</v>
      </c>
    </row>
    <row r="77" customFormat="false" ht="15" hidden="false" customHeight="true" outlineLevel="0" collapsed="false">
      <c r="A77" s="1" t="s">
        <v>1603</v>
      </c>
      <c r="B77" s="49" t="n">
        <f aca="false">MAX(AA12:AA72)</f>
        <v>20498.8328088221</v>
      </c>
    </row>
    <row r="78" customFormat="false" ht="15" hidden="false" customHeight="true" outlineLevel="0" collapsed="false">
      <c r="A78" s="1" t="s">
        <v>821</v>
      </c>
      <c r="B78" s="21" t="n">
        <f aca="false">INDEX(A12:A72,MATCH(B77,AA12:AA72,0))</f>
        <v>8</v>
      </c>
    </row>
    <row r="80" customFormat="false" ht="15" hidden="false" customHeight="true" outlineLevel="0" collapsed="false">
      <c r="A80" s="6" t="s">
        <v>1604</v>
      </c>
    </row>
    <row r="81" customFormat="false" ht="15" hidden="false" customHeight="true" outlineLevel="0" collapsed="false">
      <c r="A81" s="1" t="s">
        <v>1605</v>
      </c>
      <c r="B81" s="48" t="n">
        <f aca="false">Assumptions!$B$9*(1+Assumptions!$B$10)^Assumptions!$B$6/12</f>
        <v>1794.49111776551</v>
      </c>
    </row>
    <row r="82" customFormat="false" ht="15" hidden="false" customHeight="true" outlineLevel="0" collapsed="false">
      <c r="A82" s="1" t="s">
        <v>1606</v>
      </c>
      <c r="B82" s="11" t="n">
        <f aca="false">B81/B8</f>
        <v>1.79449111776551</v>
      </c>
    </row>
    <row r="83" customFormat="false" ht="15" hidden="false" customHeight="true" outlineLevel="0" collapsed="false">
      <c r="A83" s="1" t="s">
        <v>1607</v>
      </c>
      <c r="B83" s="48" t="n">
        <f aca="false">B77*B82</f>
        <v>36784.9733999914</v>
      </c>
    </row>
    <row r="84" customFormat="false" ht="15" hidden="false" customHeight="true" outlineLevel="0" collapsed="false">
      <c r="A84" s="1" t="s">
        <v>1608</v>
      </c>
      <c r="B84" s="48" t="n">
        <f aca="false">Trajectory!B164</f>
        <v>36779.6909834719</v>
      </c>
    </row>
    <row r="85" customFormat="false" ht="15" hidden="false" customHeight="true" outlineLevel="0" collapsed="false">
      <c r="A85" s="1" t="s">
        <v>796</v>
      </c>
      <c r="B85" s="48" t="n">
        <f aca="false">B83-B84</f>
        <v>5.28241651949065</v>
      </c>
    </row>
    <row r="86" customFormat="false" ht="15" hidden="false" customHeight="true" outlineLevel="0" collapsed="false">
      <c r="A86" s="7" t="s">
        <v>1609</v>
      </c>
    </row>
    <row r="87" customFormat="false" ht="15" hidden="false" customHeight="true" outlineLevel="0" collapsed="false">
      <c r="A87" s="6" t="s">
        <v>1610</v>
      </c>
    </row>
    <row r="88" customFormat="false" ht="15" hidden="false" customHeight="true" outlineLevel="0" collapsed="false">
      <c r="A88" s="3" t="s">
        <v>1611</v>
      </c>
      <c r="B88" s="4" t="str">
        <f aca="false">IF(AND(ABS(B85)&lt;50,B78=Trajectory!B165),"PASS — agree to within fifty euro on thirty-seven thousand, and both bind at the same duration","review")</f>
        <v>PASS — agree to within fifty euro on thirty-seven thousand, and both bind at the same duration</v>
      </c>
    </row>
    <row r="89" customFormat="false" ht="15" hidden="false" customHeight="true" outlineLevel="0" collapsed="false">
      <c r="A89" s="7" t="s">
        <v>1612</v>
      </c>
    </row>
    <row r="90" customFormat="false" ht="15" hidden="false" customHeight="true" outlineLevel="0" collapsed="false">
      <c r="A90" s="7" t="s">
        <v>1613</v>
      </c>
    </row>
    <row r="91" customFormat="false" ht="15" hidden="false" customHeight="true" outlineLevel="0" collapsed="false">
      <c r="A91" s="7" t="s">
        <v>1614</v>
      </c>
    </row>
    <row r="93" customFormat="false" ht="15" hidden="false" customHeight="true" outlineLevel="0" collapsed="false">
      <c r="A93" s="6" t="s">
        <v>1615</v>
      </c>
    </row>
    <row r="94" customFormat="false" ht="15" hidden="false" customHeight="true" outlineLevel="0" collapsed="false">
      <c r="A94" s="7" t="s">
        <v>1616</v>
      </c>
    </row>
    <row r="95" customFormat="false" ht="15" hidden="false" customHeight="true" outlineLevel="0" collapsed="false">
      <c r="A95" s="7" t="s">
        <v>1617</v>
      </c>
    </row>
    <row r="96" customFormat="false" ht="15" hidden="false" customHeight="true" outlineLevel="0" collapsed="false">
      <c r="A96" s="3" t="s">
        <v>1618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175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15" min="2" style="1" width="13"/>
  </cols>
  <sheetData>
    <row r="1" customFormat="false" ht="15.75" hidden="false" customHeight="true" outlineLevel="0" collapsed="false">
      <c r="A1" s="15" t="s">
        <v>1619</v>
      </c>
    </row>
    <row r="2" customFormat="false" ht="15" hidden="false" customHeight="true" outlineLevel="0" collapsed="false">
      <c r="A2" s="7" t="s">
        <v>1620</v>
      </c>
    </row>
    <row r="3" customFormat="false" ht="15" hidden="false" customHeight="true" outlineLevel="0" collapsed="false">
      <c r="A3" s="7" t="s">
        <v>1621</v>
      </c>
    </row>
    <row r="4" customFormat="false" ht="15" hidden="false" customHeight="true" outlineLevel="0" collapsed="false">
      <c r="A4" s="1" t="s">
        <v>1622</v>
      </c>
    </row>
    <row r="5" customFormat="false" ht="15" hidden="false" customHeight="true" outlineLevel="0" collapsed="false">
      <c r="A5" s="1" t="s">
        <v>1623</v>
      </c>
    </row>
    <row r="6" customFormat="false" ht="15" hidden="false" customHeight="true" outlineLevel="0" collapsed="false">
      <c r="A6" s="4" t="str">
        <f aca="false">"entry "&amp;O6&amp;" / vesting "&amp;P6&amp;"   deferral "&amp;Q6</f>
        <v>entry 60 / vesting 75   deferral 15</v>
      </c>
      <c r="J6" s="7" t="s">
        <v>1624</v>
      </c>
      <c r="K6" s="50" t="n">
        <f aca="false">Surface_Engine!B236</f>
        <v>794.892101255507</v>
      </c>
      <c r="O6" s="1" t="n">
        <f aca="false">A1714</f>
        <v>60</v>
      </c>
      <c r="P6" s="76" t="n">
        <f aca="false">B$1713</f>
        <v>75</v>
      </c>
      <c r="Q6" s="1" t="n">
        <f aca="false">P6-O6</f>
        <v>15</v>
      </c>
    </row>
    <row r="7" customFormat="false" ht="15" hidden="false" customHeight="true" outlineLevel="0" collapsed="false">
      <c r="A7" s="8" t="s">
        <v>802</v>
      </c>
      <c r="B7" s="8" t="s">
        <v>1584</v>
      </c>
      <c r="C7" s="8" t="s">
        <v>1585</v>
      </c>
      <c r="D7" s="8" t="s">
        <v>1587</v>
      </c>
      <c r="E7" s="8" t="s">
        <v>1588</v>
      </c>
      <c r="F7" s="8" t="s">
        <v>1625</v>
      </c>
      <c r="G7" s="8" t="s">
        <v>1626</v>
      </c>
      <c r="H7" s="8" t="s">
        <v>1627</v>
      </c>
      <c r="I7" s="8" t="s">
        <v>1628</v>
      </c>
      <c r="J7" s="8" t="s">
        <v>1629</v>
      </c>
      <c r="K7" s="8" t="s">
        <v>812</v>
      </c>
      <c r="L7" s="8" t="s">
        <v>1630</v>
      </c>
      <c r="M7" s="8" t="s">
        <v>341</v>
      </c>
      <c r="N7" s="8" t="s">
        <v>1631</v>
      </c>
      <c r="O7" s="1" t="s">
        <v>1544</v>
      </c>
      <c r="P7" s="1" t="s">
        <v>1632</v>
      </c>
      <c r="Q7" s="1" t="s">
        <v>1633</v>
      </c>
    </row>
    <row r="8" customFormat="false" ht="15" hidden="false" customHeight="true" outlineLevel="0" collapsed="false">
      <c r="A8" s="1" t="n">
        <v>0</v>
      </c>
      <c r="B8" s="32" t="n">
        <f aca="false">INDEX(Surface_Engine!$G$12:$G$72,$A8+1)*IF($A8&lt;$Q$6,INDEX(Surface_Engine!$E$12:$E$72,$A8+1),INDEX(Surface_Engine!$E$12:$E$72,$Q$6+1))</f>
        <v>1</v>
      </c>
      <c r="C8" s="32" t="n">
        <f aca="false">INDEX(Panel_Reserving!$B$8:$B$68,$A8+1)*IF($A8&lt;$Q$6,INDEX(Surface_Engine!$E$12:$E$72,$A8+1),INDEX(Surface_Engine!$E$12:$E$72,$Q$6+1))</f>
        <v>1</v>
      </c>
      <c r="D8" s="32" t="n">
        <f aca="false">INDEX(Surface_Engine!$G$12:$G$72,$A8+1)*IF($A8&lt;$Q$6,INDEX(Surface_Engine!$Y$12:$Y$72,$A8+1),INDEX(Surface_Engine!$Y$12:$Y$72,$Q$6+1))</f>
        <v>1</v>
      </c>
      <c r="E8" s="32" t="n">
        <f aca="false">INDEX(Surface_Engine!$G$12:$G$72,$A8+1)*IF($A8&lt;$Q$6,INDEX(Surface_Engine!$Z$12:$Z$72,$A8+1),INDEX(Surface_Engine!$Z$12:$Z$72,$Q$6+1))</f>
        <v>1</v>
      </c>
      <c r="F8" s="48" t="n">
        <f aca="false">B8*(IF($A8&lt;$Q$6,INDEX(Surface_Engine!$D$12:$D$72,$A8+1)+(Surface_Engine!B236*12)*INDEX(Surface_Engine!$F$12:$F$72,$A8+1)-(Surface_Engine!B236*12),1000*12*INDEX(Surface_Engine!$C$12:$C$72,$A8+1)/(1+Assumptions!$B$10)^15+INDEX(Surface_Engine!$D$12:$D$72,$A8+1)))*INDEX(Surface_Engine!$B$12:$B$72,$A8+1)+F9</f>
        <v>-3101.20744223415</v>
      </c>
      <c r="G8" s="48" t="n">
        <f aca="false">C8*(IF($A8&lt;$Q$6,INDEX(Surface_Engine!$D$12:$D$72,$A8+1)+(Surface_Engine!B236*12)*INDEX(Surface_Engine!$F$12:$F$72,$A8+1)-(Surface_Engine!B236*12),1000*12*INDEX(Surface_Engine!$C$12:$C$72,$A8+1)/(1+Assumptions!$B$10)^15+INDEX(Surface_Engine!$D$12:$D$72,$A8+1)))*INDEX(Surface_Engine!$B$12:$B$72,$A8+1)+G9</f>
        <v>5615.19134365153</v>
      </c>
      <c r="H8" s="48" t="n">
        <f aca="false">D8*(IF($A8&lt;$Q$6,INDEX(Surface_Engine!$D$12:$D$72,$A8+1)+(Surface_Engine!B236*12)*INDEX(Surface_Engine!$F$12:$F$72,$A8+1)-(Surface_Engine!B236*12),1000*12*INDEX(Surface_Engine!$C$12:$C$72,$A8+1)/(1+Assumptions!$B$10)^15+INDEX(Surface_Engine!$D$12:$D$72,$A8+1)))*INDEX(Surface_Engine!$B$12:$B$72,$A8+1)+H9</f>
        <v>-6112.64615012476</v>
      </c>
      <c r="I8" s="48" t="n">
        <f aca="false">E8*(IF($A8&lt;$Q$6,INDEX(Surface_Engine!$D$12:$D$72,$A8+1)+(Surface_Engine!B236*12)*INDEX(Surface_Engine!$F$12:$F$72,$A8+1)-(Surface_Engine!B236*12),1000*12*INDEX(Surface_Engine!$C$12:$C$72,$A8+1)/(1+Assumptions!$B$10)^15+INDEX(Surface_Engine!$D$12:$D$72,$A8+1)))*INDEX(Surface_Engine!$B$12:$B$72,$A8+1)+I9</f>
        <v>380.291764576905</v>
      </c>
      <c r="J8" s="48" t="n">
        <f aca="false">B8*(IF($A8&lt;$Q$6,INDEX(Surface_Engine!$D$12:$D$72,$A8+1)*(1+Assumptions!$B$24)+(Surface_Engine!B236*12)*INDEX(Surface_Engine!$F$12:$F$72,$A8+1)-(Surface_Engine!B236*12),1000*12*INDEX(Surface_Engine!$C$12:$C$72,$A8+1)/(1+Assumptions!$B$10)^15+INDEX(Surface_Engine!$D$12:$D$72,$A8+1)*(1+Assumptions!$B$24)))*INDEX(Surface_Engine!$B$12:$B$72,$A8+1)+J9</f>
        <v>-2910.2127486182</v>
      </c>
      <c r="K8" s="12" t="n">
        <f aca="false">SQRT((IF(C8&lt;=0,0,MAX(0,(B8/C8)*G8/INDEX(Surface_Engine!$B$12:$B$72,$A8+1)-F8/INDEX(Surface_Engine!$B$12:$B$72,$A8+1))))^2+(MAX(IF(D8&lt;=0,0,MAX(0,(B8/D8)*H8/INDEX(Surface_Engine!$B$12:$B$72,$A8+1)-F8/INDEX(Surface_Engine!$B$12:$B$72,$A8+1))),IF(E8&lt;=0,0,MAX(0,(B8/E8)*I8/INDEX(Surface_Engine!$B$12:$B$72,$A8+1)-F8/INDEX(Surface_Engine!$B$12:$B$72,$A8+1))),IF($A8&lt;$Q$6,MAX(0,-Assumptions!$B$22*(F8/INDEX(Surface_Engine!$B$12:$B$72,$A8+1))),0)))^2+(MAX(0,J8/INDEX(Surface_Engine!$B$12:$B$72,$A8+1)-(F8/INDEX(Surface_Engine!$B$12:$B$72,$A8+1))))^2+2*Assumptions!$B$26*(IF(C8&lt;=0,0,MAX(0,(B8/C8)*G8/INDEX(Surface_Engine!$B$12:$B$72,$A8+1)-F8/INDEX(Surface_Engine!$B$12:$B$72,$A8+1))))*(MAX(IF(D8&lt;=0,0,MAX(0,(B8/D8)*H8/INDEX(Surface_Engine!$B$12:$B$72,$A8+1)-F8/INDEX(Surface_Engine!$B$12:$B$72,$A8+1))),IF(E8&lt;=0,0,MAX(0,(B8/E8)*I8/INDEX(Surface_Engine!$B$12:$B$72,$A8+1)-F8/INDEX(Surface_Engine!$B$12:$B$72,$A8+1))),IF($A8&lt;$Q$6,MAX(0,-Assumptions!$B$22*(F8/INDEX(Surface_Engine!$B$12:$B$72,$A8+1))),0)))+2*Assumptions!$B$27*(IF(C8&lt;=0,0,MAX(0,(B8/C8)*G8/INDEX(Surface_Engine!$B$12:$B$72,$A8+1)-F8/INDEX(Surface_Engine!$B$12:$B$72,$A8+1))))*(MAX(0,J8/INDEX(Surface_Engine!$B$12:$B$72,$A8+1)-(F8/INDEX(Surface_Engine!$B$12:$B$72,$A8+1))))+2*Assumptions!$B$28*(MAX(IF(D8&lt;=0,0,MAX(0,(B8/D8)*H8/INDEX(Surface_Engine!$B$12:$B$72,$A8+1)-F8/INDEX(Surface_Engine!$B$12:$B$72,$A8+1))),IF(E8&lt;=0,0,MAX(0,(B8/E8)*I8/INDEX(Surface_Engine!$B$12:$B$72,$A8+1)-F8/INDEX(Surface_Engine!$B$12:$B$72,$A8+1))),IF($A8&lt;$Q$6,MAX(0,-Assumptions!$B$22*(F8/INDEX(Surface_Engine!$B$12:$B$72,$A8+1))),0)))*(MAX(0,J8/INDEX(Surface_Engine!$B$12:$B$72,$A8+1)-(F8/INDEX(Surface_Engine!$B$12:$B$72,$A8+1)))))</f>
        <v>10237.3498551315</v>
      </c>
      <c r="L8" s="48" t="n">
        <f aca="false">K8*INDEX(Surface_Engine!$B$12:$B$72,$A8+1)+L9</f>
        <v>238954.896724043</v>
      </c>
      <c r="M8" s="48" t="n">
        <v>0</v>
      </c>
      <c r="N8" s="12" t="n">
        <f aca="false">IF(B8&lt;=0,0,MAX(0,(K8+Assumptions!$B$29*L8/INDEX(Surface_Engine!$B$12:$B$72,$A8+1)-(M8/INDEX(Surface_Engine!$B$12:$B$72,$A8+1)-(F8/INDEX(Surface_Engine!$B$12:$B$72,$A8+1))))/B8))</f>
        <v>21473.4362163399</v>
      </c>
    </row>
    <row r="9" customFormat="false" ht="15" hidden="false" customHeight="true" outlineLevel="0" collapsed="false">
      <c r="A9" s="1" t="n">
        <v>1</v>
      </c>
      <c r="B9" s="32" t="n">
        <f aca="false">INDEX(Surface_Engine!$G$12:$G$72,$A9+1)*IF($A9&lt;$Q$6,INDEX(Surface_Engine!$E$12:$E$72,$A9+1),INDEX(Surface_Engine!$E$12:$E$72,$Q$6+1))</f>
        <v>0.956605798055555</v>
      </c>
      <c r="C9" s="32" t="n">
        <f aca="false">INDEX(Panel_Reserving!$B$8:$B$68,$A9+1)*IF($A9&lt;$Q$6,INDEX(Surface_Engine!$E$12:$E$72,$A9+1),INDEX(Surface_Engine!$E$12:$E$72,$Q$6+1))</f>
        <v>0.957164638444444</v>
      </c>
      <c r="D9" s="32" t="n">
        <f aca="false">INDEX(Surface_Engine!$G$12:$G$72,$A9+1)*IF($A9&lt;$Q$6,INDEX(Surface_Engine!$Y$12:$Y$72,$A9+1),INDEX(Surface_Engine!$Y$12:$Y$72,$Q$6+1))</f>
        <v>0.936364920735847</v>
      </c>
      <c r="E9" s="32" t="n">
        <f aca="false">INDEX(Surface_Engine!$G$12:$G$72,$A9+1)*IF($A9&lt;$Q$6,INDEX(Surface_Engine!$Z$12:$Z$72,$A9+1),INDEX(Surface_Engine!$Z$12:$Z$72,$Q$6+1))</f>
        <v>0.976846675375263</v>
      </c>
      <c r="F9" s="48" t="n">
        <f aca="false">B9*(IF($A9&lt;$Q$6,INDEX(Surface_Engine!$D$12:$D$72,$A9+1)+(Surface_Engine!B236*12)*INDEX(Surface_Engine!$F$12:$F$72,$A9+1)-(Surface_Engine!B236*12),1000*12*INDEX(Surface_Engine!$C$12:$C$72,$A9+1)/(1+Assumptions!$B$10)^15+INDEX(Surface_Engine!$D$12:$D$72,$A9+1)))*INDEX(Surface_Engine!$B$12:$B$72,$A9+1)+F10</f>
        <v>-3183.20744223415</v>
      </c>
      <c r="G9" s="48" t="n">
        <f aca="false">C9*(IF($A9&lt;$Q$6,INDEX(Surface_Engine!$D$12:$D$72,$A9+1)+(Surface_Engine!B236*12)*INDEX(Surface_Engine!$F$12:$F$72,$A9+1)-(Surface_Engine!B236*12),1000*12*INDEX(Surface_Engine!$C$12:$C$72,$A9+1)/(1+Assumptions!$B$10)^15+INDEX(Surface_Engine!$D$12:$D$72,$A9+1)))*INDEX(Surface_Engine!$B$12:$B$72,$A9+1)+G10</f>
        <v>5533.19134365153</v>
      </c>
      <c r="H9" s="48" t="n">
        <f aca="false">D9*(IF($A9&lt;$Q$6,INDEX(Surface_Engine!$D$12:$D$72,$A9+1)+(Surface_Engine!B236*12)*INDEX(Surface_Engine!$F$12:$F$72,$A9+1)-(Surface_Engine!B236*12),1000*12*INDEX(Surface_Engine!$C$12:$C$72,$A9+1)/(1+Assumptions!$B$10)^15+INDEX(Surface_Engine!$D$12:$D$72,$A9+1)))*INDEX(Surface_Engine!$B$12:$B$72,$A9+1)+H10</f>
        <v>-6194.64615012476</v>
      </c>
      <c r="I9" s="48" t="n">
        <f aca="false">E9*(IF($A9&lt;$Q$6,INDEX(Surface_Engine!$D$12:$D$72,$A9+1)+(Surface_Engine!B236*12)*INDEX(Surface_Engine!$F$12:$F$72,$A9+1)-(Surface_Engine!B236*12),1000*12*INDEX(Surface_Engine!$C$12:$C$72,$A9+1)/(1+Assumptions!$B$10)^15+INDEX(Surface_Engine!$D$12:$D$72,$A9+1)))*INDEX(Surface_Engine!$B$12:$B$72,$A9+1)+I10</f>
        <v>298.291764576905</v>
      </c>
      <c r="J9" s="48" t="n">
        <f aca="false">B9*(IF($A9&lt;$Q$6,INDEX(Surface_Engine!$D$12:$D$72,$A9+1)*(1+Assumptions!$B$24)+(Surface_Engine!B236*12)*INDEX(Surface_Engine!$F$12:$F$72,$A9+1)-(Surface_Engine!B236*12),1000*12*INDEX(Surface_Engine!$C$12:$C$72,$A9+1)/(1+Assumptions!$B$10)^15+INDEX(Surface_Engine!$D$12:$D$72,$A9+1)*(1+Assumptions!$B$24)))*INDEX(Surface_Engine!$B$12:$B$72,$A9+1)+J10</f>
        <v>-3000.4127486182</v>
      </c>
      <c r="K9" s="12" t="n">
        <f aca="false">SQRT((IF(C9&lt;=0,0,MAX(0,(B9/C9)*G9/INDEX(Surface_Engine!$B$12:$B$72,$A9+1)-F9/INDEX(Surface_Engine!$B$12:$B$72,$A9+1))))^2+(MAX(IF(D9&lt;=0,0,MAX(0,(B9/D9)*H9/INDEX(Surface_Engine!$B$12:$B$72,$A9+1)-F9/INDEX(Surface_Engine!$B$12:$B$72,$A9+1))),IF(E9&lt;=0,0,MAX(0,(B9/E9)*I9/INDEX(Surface_Engine!$B$12:$B$72,$A9+1)-F9/INDEX(Surface_Engine!$B$12:$B$72,$A9+1))),IF($A9&lt;$Q$6,MAX(0,-Assumptions!$B$22*(F9/INDEX(Surface_Engine!$B$12:$B$72,$A9+1))),0)))^2+(MAX(0,J9/INDEX(Surface_Engine!$B$12:$B$72,$A9+1)-(F9/INDEX(Surface_Engine!$B$12:$B$72,$A9+1))))^2+2*Assumptions!$B$26*(IF(C9&lt;=0,0,MAX(0,(B9/C9)*G9/INDEX(Surface_Engine!$B$12:$B$72,$A9+1)-F9/INDEX(Surface_Engine!$B$12:$B$72,$A9+1))))*(MAX(IF(D9&lt;=0,0,MAX(0,(B9/D9)*H9/INDEX(Surface_Engine!$B$12:$B$72,$A9+1)-F9/INDEX(Surface_Engine!$B$12:$B$72,$A9+1))),IF(E9&lt;=0,0,MAX(0,(B9/E9)*I9/INDEX(Surface_Engine!$B$12:$B$72,$A9+1)-F9/INDEX(Surface_Engine!$B$12:$B$72,$A9+1))),IF($A9&lt;$Q$6,MAX(0,-Assumptions!$B$22*(F9/INDEX(Surface_Engine!$B$12:$B$72,$A9+1))),0)))+2*Assumptions!$B$27*(IF(C9&lt;=0,0,MAX(0,(B9/C9)*G9/INDEX(Surface_Engine!$B$12:$B$72,$A9+1)-F9/INDEX(Surface_Engine!$B$12:$B$72,$A9+1))))*(MAX(0,J9/INDEX(Surface_Engine!$B$12:$B$72,$A9+1)-(F9/INDEX(Surface_Engine!$B$12:$B$72,$A9+1))))+2*Assumptions!$B$28*(MAX(IF(D9&lt;=0,0,MAX(0,(B9/D9)*H9/INDEX(Surface_Engine!$B$12:$B$72,$A9+1)-F9/INDEX(Surface_Engine!$B$12:$B$72,$A9+1))),IF(E9&lt;=0,0,MAX(0,(B9/E9)*I9/INDEX(Surface_Engine!$B$12:$B$72,$A9+1)-F9/INDEX(Surface_Engine!$B$12:$B$72,$A9+1))),IF($A9&lt;$Q$6,MAX(0,-Assumptions!$B$22*(F9/INDEX(Surface_Engine!$B$12:$B$72,$A9+1))),0)))*(MAX(0,J9/INDEX(Surface_Engine!$B$12:$B$72,$A9+1)-(F9/INDEX(Surface_Engine!$B$12:$B$72,$A9+1)))))</f>
        <v>10493.0532286454</v>
      </c>
      <c r="L9" s="48" t="n">
        <f aca="false">K9*INDEX(Surface_Engine!$B$12:$B$72,$A9+1)+L10</f>
        <v>228717.546868911</v>
      </c>
      <c r="M9" s="48" t="n">
        <f aca="false">M8+B8*(IF($A8&lt;$Q$6,(Surface_Engine!B236*12)-(Surface_Engine!B236*12)*INDEX(Surface_Engine!$F$12:$F$72,$A8+1)-INDEX(Surface_Engine!$D$12:$D$72,$A8+1),-(1000*12*INDEX(Surface_Engine!$C$12:$C$72,$A8+1)/(1+Assumptions!$B$10)^15+INDEX(Surface_Engine!$D$12:$D$72,$A8+1))))*INDEX(Surface_Engine!$B$12:$B$72,$A8+1)</f>
        <v>-82</v>
      </c>
      <c r="N9" s="12" t="n">
        <f aca="false">IF(B9&lt;=0,0,MAX(0,(K9+Assumptions!$B$29*L9/INDEX(Surface_Engine!$B$12:$B$72,$A9+1)-(M9/INDEX(Surface_Engine!$B$12:$B$72,$A9+1)-(F9/INDEX(Surface_Engine!$B$12:$B$72,$A9+1))))/B9))</f>
        <v>22360.9785220079</v>
      </c>
    </row>
    <row r="10" customFormat="false" ht="15" hidden="false" customHeight="true" outlineLevel="0" collapsed="false">
      <c r="A10" s="1" t="n">
        <v>2</v>
      </c>
      <c r="B10" s="32" t="n">
        <f aca="false">INDEX(Surface_Engine!$G$12:$G$72,$A10+1)*IF($A10&lt;$Q$6,INDEX(Surface_Engine!$E$12:$E$72,$A10+1),INDEX(Surface_Engine!$E$12:$E$72,$Q$6+1))</f>
        <v>0.93290204615754</v>
      </c>
      <c r="C10" s="32" t="n">
        <f aca="false">INDEX(Panel_Reserving!$B$8:$B$68,$A10+1)*IF($A10&lt;$Q$6,INDEX(Surface_Engine!$E$12:$E$72,$A10+1),INDEX(Surface_Engine!$E$12:$E$72,$Q$6+1))</f>
        <v>0.934036464382521</v>
      </c>
      <c r="D10" s="32" t="n">
        <f aca="false">INDEX(Surface_Engine!$G$12:$G$72,$A10+1)*IF($A10&lt;$Q$6,INDEX(Surface_Engine!$Y$12:$Y$72,$A10+1),INDEX(Surface_Engine!$Y$12:$Y$72,$Q$6+1))</f>
        <v>0.903035133829689</v>
      </c>
      <c r="E10" s="32" t="n">
        <f aca="false">INDEX(Surface_Engine!$G$12:$G$72,$A10+1)*IF($A10&lt;$Q$6,INDEX(Surface_Engine!$Z$12:$Z$72,$A10+1),INDEX(Surface_Engine!$Z$12:$Z$72,$Q$6+1))</f>
        <v>0.963206803137687</v>
      </c>
      <c r="F10" s="48" t="n">
        <f aca="false">B10*(IF($A10&lt;$Q$6,INDEX(Surface_Engine!$D$12:$D$72,$A10+1)+(Surface_Engine!B236*12)*INDEX(Surface_Engine!$F$12:$F$72,$A10+1)-(Surface_Engine!B236*12),1000*12*INDEX(Surface_Engine!$C$12:$C$72,$A10+1)/(1+Assumptions!$B$10)^15+INDEX(Surface_Engine!$D$12:$D$72,$A10+1)))*INDEX(Surface_Engine!$B$12:$B$72,$A10+1)+F11</f>
        <v>5187.62471653876</v>
      </c>
      <c r="G10" s="48" t="n">
        <f aca="false">C10*(IF($A10&lt;$Q$6,INDEX(Surface_Engine!$D$12:$D$72,$A10+1)+(Surface_Engine!B236*12)*INDEX(Surface_Engine!$F$12:$F$72,$A10+1)-(Surface_Engine!B236*12),1000*12*INDEX(Surface_Engine!$C$12:$C$72,$A10+1)/(1+Assumptions!$B$10)^15+INDEX(Surface_Engine!$D$12:$D$72,$A10+1)))*INDEX(Surface_Engine!$B$12:$B$72,$A10+1)+G11</f>
        <v>13908.9136662813</v>
      </c>
      <c r="H10" s="48" t="n">
        <f aca="false">D10*(IF($A10&lt;$Q$6,INDEX(Surface_Engine!$D$12:$D$72,$A10+1)+(Surface_Engine!B236*12)*INDEX(Surface_Engine!$F$12:$F$72,$A10+1)-(Surface_Engine!B236*12),1000*12*INDEX(Surface_Engine!$C$12:$C$72,$A10+1)/(1+Assumptions!$B$10)^15+INDEX(Surface_Engine!$D$12:$D$72,$A10+1)))*INDEX(Surface_Engine!$B$12:$B$72,$A10+1)+H11</f>
        <v>1999.0670876318</v>
      </c>
      <c r="I10" s="48" t="n">
        <f aca="false">E10*(IF($A10&lt;$Q$6,INDEX(Surface_Engine!$D$12:$D$72,$A10+1)+(Surface_Engine!B236*12)*INDEX(Surface_Engine!$F$12:$F$72,$A10+1)-(Surface_Engine!B236*12),1000*12*INDEX(Surface_Engine!$C$12:$C$72,$A10+1)/(1+Assumptions!$B$10)^15+INDEX(Surface_Engine!$D$12:$D$72,$A10+1)))*INDEX(Surface_Engine!$B$12:$B$72,$A10+1)+I11</f>
        <v>8846.24284436617</v>
      </c>
      <c r="J10" s="48" t="n">
        <f aca="false">B10*(IF($A10&lt;$Q$6,INDEX(Surface_Engine!$D$12:$D$72,$A10+1)*(1+Assumptions!$B$24)+(Surface_Engine!B236*12)*INDEX(Surface_Engine!$F$12:$F$72,$A10+1)-(Surface_Engine!B236*12),1000*12*INDEX(Surface_Engine!$C$12:$C$72,$A10+1)/(1+Assumptions!$B$10)^15+INDEX(Surface_Engine!$D$12:$D$72,$A10+1)*(1+Assumptions!$B$24)))*INDEX(Surface_Engine!$B$12:$B$72,$A10+1)+J11</f>
        <v>5362.58258246879</v>
      </c>
      <c r="K10" s="12" t="n">
        <f aca="false">SQRT((IF(C10&lt;=0,0,MAX(0,(B10/C10)*G10/INDEX(Surface_Engine!$B$12:$B$72,$A10+1)-F10/INDEX(Surface_Engine!$B$12:$B$72,$A10+1))))^2+(MAX(IF(D10&lt;=0,0,MAX(0,(B10/D10)*H10/INDEX(Surface_Engine!$B$12:$B$72,$A10+1)-F10/INDEX(Surface_Engine!$B$12:$B$72,$A10+1))),IF(E10&lt;=0,0,MAX(0,(B10/E10)*I10/INDEX(Surface_Engine!$B$12:$B$72,$A10+1)-F10/INDEX(Surface_Engine!$B$12:$B$72,$A10+1))),IF($A10&lt;$Q$6,MAX(0,-Assumptions!$B$22*(F10/INDEX(Surface_Engine!$B$12:$B$72,$A10+1))),0)))^2+(MAX(0,J10/INDEX(Surface_Engine!$B$12:$B$72,$A10+1)-(F10/INDEX(Surface_Engine!$B$12:$B$72,$A10+1))))^2+2*Assumptions!$B$26*(IF(C10&lt;=0,0,MAX(0,(B10/C10)*G10/INDEX(Surface_Engine!$B$12:$B$72,$A10+1)-F10/INDEX(Surface_Engine!$B$12:$B$72,$A10+1))))*(MAX(IF(D10&lt;=0,0,MAX(0,(B10/D10)*H10/INDEX(Surface_Engine!$B$12:$B$72,$A10+1)-F10/INDEX(Surface_Engine!$B$12:$B$72,$A10+1))),IF(E10&lt;=0,0,MAX(0,(B10/E10)*I10/INDEX(Surface_Engine!$B$12:$B$72,$A10+1)-F10/INDEX(Surface_Engine!$B$12:$B$72,$A10+1))),IF($A10&lt;$Q$6,MAX(0,-Assumptions!$B$22*(F10/INDEX(Surface_Engine!$B$12:$B$72,$A10+1))),0)))+2*Assumptions!$B$27*(IF(C10&lt;=0,0,MAX(0,(B10/C10)*G10/INDEX(Surface_Engine!$B$12:$B$72,$A10+1)-F10/INDEX(Surface_Engine!$B$12:$B$72,$A10+1))))*(MAX(0,J10/INDEX(Surface_Engine!$B$12:$B$72,$A10+1)-(F10/INDEX(Surface_Engine!$B$12:$B$72,$A10+1))))+2*Assumptions!$B$28*(MAX(IF(D10&lt;=0,0,MAX(0,(B10/D10)*H10/INDEX(Surface_Engine!$B$12:$B$72,$A10+1)-F10/INDEX(Surface_Engine!$B$12:$B$72,$A10+1))),IF(E10&lt;=0,0,MAX(0,(B10/E10)*I10/INDEX(Surface_Engine!$B$12:$B$72,$A10+1)-F10/INDEX(Surface_Engine!$B$12:$B$72,$A10+1))),IF($A10&lt;$Q$6,MAX(0,-Assumptions!$B$22*(F10/INDEX(Surface_Engine!$B$12:$B$72,$A10+1))),0)))*(MAX(0,J10/INDEX(Surface_Engine!$B$12:$B$72,$A10+1)-(F10/INDEX(Surface_Engine!$B$12:$B$72,$A10+1)))))</f>
        <v>10703.8475439266</v>
      </c>
      <c r="L10" s="48" t="n">
        <f aca="false">K10*INDEX(Surface_Engine!$B$12:$B$72,$A10+1)+L11</f>
        <v>218490.000737829</v>
      </c>
      <c r="M10" s="48" t="n">
        <f aca="false">M9+B9*(IF($A9&lt;$Q$6,(Surface_Engine!B236*12)-(Surface_Engine!B236*12)*INDEX(Surface_Engine!$F$12:$F$72,$A9+1)-INDEX(Surface_Engine!$D$12:$D$72,$A9+1),-(1000*12*INDEX(Surface_Engine!$C$12:$C$72,$A9+1)/(1+Assumptions!$B$10)^15+INDEX(Surface_Engine!$D$12:$D$72,$A9+1))))*INDEX(Surface_Engine!$B$12:$B$72,$A9+1)</f>
        <v>8288.83215877291</v>
      </c>
      <c r="N10" s="12" t="n">
        <f aca="false">IF(B10&lt;=0,0,MAX(0,(K10+Assumptions!$B$29*L10/INDEX(Surface_Engine!$B$12:$B$72,$A10+1)-(M10/INDEX(Surface_Engine!$B$12:$B$72,$A10+1)-(F10/INDEX(Surface_Engine!$B$12:$B$72,$A10+1))))/B10))</f>
        <v>22772.5644235003</v>
      </c>
    </row>
    <row r="11" customFormat="false" ht="15" hidden="false" customHeight="true" outlineLevel="0" collapsed="false">
      <c r="A11" s="1" t="n">
        <v>3</v>
      </c>
      <c r="B11" s="32" t="n">
        <f aca="false">INDEX(Surface_Engine!$G$12:$G$72,$A11+1)*IF($A11&lt;$Q$6,INDEX(Surface_Engine!$E$12:$E$72,$A11+1),INDEX(Surface_Engine!$E$12:$E$72,$Q$6+1))</f>
        <v>0.917354343634536</v>
      </c>
      <c r="C11" s="32" t="n">
        <f aca="false">INDEX(Panel_Reserving!$B$8:$B$68,$A11+1)*IF($A11&lt;$Q$6,INDEX(Surface_Engine!$E$12:$E$72,$A11+1),INDEX(Surface_Engine!$E$12:$E$72,$Q$6+1))</f>
        <v>0.91909864043936</v>
      </c>
      <c r="D11" s="32" t="n">
        <f aca="false">INDEX(Surface_Engine!$G$12:$G$72,$A11+1)*IF($A11&lt;$Q$6,INDEX(Surface_Engine!$Y$12:$Y$72,$A11+1),INDEX(Surface_Engine!$Y$12:$Y$72,$Q$6+1))</f>
        <v>0.882000493881983</v>
      </c>
      <c r="E11" s="32" t="n">
        <f aca="false">INDEX(Surface_Engine!$G$12:$G$72,$A11+1)*IF($A11&lt;$Q$6,INDEX(Surface_Engine!$Z$12:$Z$72,$A11+1),INDEX(Surface_Engine!$Z$12:$Z$72,$Q$6+1))</f>
        <v>0.953537517528614</v>
      </c>
      <c r="F11" s="48" t="n">
        <f aca="false">B11*(IF($A11&lt;$Q$6,INDEX(Surface_Engine!$D$12:$D$72,$A11+1)+(Surface_Engine!B236*12)*INDEX(Surface_Engine!$F$12:$F$72,$A11+1)-(Surface_Engine!B236*12),1000*12*INDEX(Surface_Engine!$C$12:$C$72,$A11+1)/(1+Assumptions!$B$10)^15+INDEX(Surface_Engine!$D$12:$D$72,$A11+1)))*INDEX(Surface_Engine!$B$12:$B$72,$A11+1)+F12</f>
        <v>13137.9635221929</v>
      </c>
      <c r="G11" s="48" t="n">
        <f aca="false">C11*(IF($A11&lt;$Q$6,INDEX(Surface_Engine!$D$12:$D$72,$A11+1)+(Surface_Engine!B236*12)*INDEX(Surface_Engine!$F$12:$F$72,$A11+1)-(Surface_Engine!B236*12),1000*12*INDEX(Surface_Engine!$C$12:$C$72,$A11+1)/(1+Assumptions!$B$10)^15+INDEX(Surface_Engine!$D$12:$D$72,$A11+1)))*INDEX(Surface_Engine!$B$12:$B$72,$A11+1)+G12</f>
        <v>21868.9201634933</v>
      </c>
      <c r="H11" s="48" t="n">
        <f aca="false">D11*(IF($A11&lt;$Q$6,INDEX(Surface_Engine!$D$12:$D$72,$A11+1)+(Surface_Engine!B236*12)*INDEX(Surface_Engine!$F$12:$F$72,$A11+1)-(Surface_Engine!B236*12),1000*12*INDEX(Surface_Engine!$C$12:$C$72,$A11+1)/(1+Assumptions!$B$10)^15+INDEX(Surface_Engine!$D$12:$D$72,$A11+1)))*INDEX(Surface_Engine!$B$12:$B$72,$A11+1)+H12</f>
        <v>9694.87534202045</v>
      </c>
      <c r="I11" s="48" t="n">
        <f aca="false">E11*(IF($A11&lt;$Q$6,INDEX(Surface_Engine!$D$12:$D$72,$A11+1)+(Surface_Engine!B236*12)*INDEX(Surface_Engine!$F$12:$F$72,$A11+1)-(Surface_Engine!B236*12),1000*12*INDEX(Surface_Engine!$C$12:$C$72,$A11+1)/(1+Assumptions!$B$10)^15+INDEX(Surface_Engine!$D$12:$D$72,$A11+1)))*INDEX(Surface_Engine!$B$12:$B$72,$A11+1)+I12</f>
        <v>17054.8435826718</v>
      </c>
      <c r="J11" s="48" t="n">
        <f aca="false">B11*(IF($A11&lt;$Q$6,INDEX(Surface_Engine!$D$12:$D$72,$A11+1)*(1+Assumptions!$B$24)+(Surface_Engine!B236*12)*INDEX(Surface_Engine!$F$12:$F$72,$A11+1)-(Surface_Engine!B236*12),1000*12*INDEX(Surface_Engine!$C$12:$C$72,$A11+1)/(1+Assumptions!$B$10)^15+INDEX(Surface_Engine!$D$12:$D$72,$A11+1)*(1+Assumptions!$B$24)))*INDEX(Surface_Engine!$B$12:$B$72,$A11+1)+J12</f>
        <v>13305.2903640276</v>
      </c>
      <c r="K11" s="12" t="n">
        <f aca="false">SQRT((IF(C11&lt;=0,0,MAX(0,(B11/C11)*G11/INDEX(Surface_Engine!$B$12:$B$72,$A11+1)-F11/INDEX(Surface_Engine!$B$12:$B$72,$A11+1))))^2+(MAX(IF(D11&lt;=0,0,MAX(0,(B11/D11)*H11/INDEX(Surface_Engine!$B$12:$B$72,$A11+1)-F11/INDEX(Surface_Engine!$B$12:$B$72,$A11+1))),IF(E11&lt;=0,0,MAX(0,(B11/E11)*I11/INDEX(Surface_Engine!$B$12:$B$72,$A11+1)-F11/INDEX(Surface_Engine!$B$12:$B$72,$A11+1))),IF($A11&lt;$Q$6,MAX(0,-Assumptions!$B$22*(F11/INDEX(Surface_Engine!$B$12:$B$72,$A11+1))),0)))^2+(MAX(0,J11/INDEX(Surface_Engine!$B$12:$B$72,$A11+1)-(F11/INDEX(Surface_Engine!$B$12:$B$72,$A11+1))))^2+2*Assumptions!$B$26*(IF(C11&lt;=0,0,MAX(0,(B11/C11)*G11/INDEX(Surface_Engine!$B$12:$B$72,$A11+1)-F11/INDEX(Surface_Engine!$B$12:$B$72,$A11+1))))*(MAX(IF(D11&lt;=0,0,MAX(0,(B11/D11)*H11/INDEX(Surface_Engine!$B$12:$B$72,$A11+1)-F11/INDEX(Surface_Engine!$B$12:$B$72,$A11+1))),IF(E11&lt;=0,0,MAX(0,(B11/E11)*I11/INDEX(Surface_Engine!$B$12:$B$72,$A11+1)-F11/INDEX(Surface_Engine!$B$12:$B$72,$A11+1))),IF($A11&lt;$Q$6,MAX(0,-Assumptions!$B$22*(F11/INDEX(Surface_Engine!$B$12:$B$72,$A11+1))),0)))+2*Assumptions!$B$27*(IF(C11&lt;=0,0,MAX(0,(B11/C11)*G11/INDEX(Surface_Engine!$B$12:$B$72,$A11+1)-F11/INDEX(Surface_Engine!$B$12:$B$72,$A11+1))))*(MAX(0,J11/INDEX(Surface_Engine!$B$12:$B$72,$A11+1)-(F11/INDEX(Surface_Engine!$B$12:$B$72,$A11+1))))+2*Assumptions!$B$28*(MAX(IF(D11&lt;=0,0,MAX(0,(B11/D11)*H11/INDEX(Surface_Engine!$B$12:$B$72,$A11+1)-F11/INDEX(Surface_Engine!$B$12:$B$72,$A11+1))),IF(E11&lt;=0,0,MAX(0,(B11/E11)*I11/INDEX(Surface_Engine!$B$12:$B$72,$A11+1)-F11/INDEX(Surface_Engine!$B$12:$B$72,$A11+1))),IF($A11&lt;$Q$6,MAX(0,-Assumptions!$B$22*(F11/INDEX(Surface_Engine!$B$12:$B$72,$A11+1))),0)))*(MAX(0,J11/INDEX(Surface_Engine!$B$12:$B$72,$A11+1)-(F11/INDEX(Surface_Engine!$B$12:$B$72,$A11+1)))))</f>
        <v>10899.8245362727</v>
      </c>
      <c r="L11" s="48" t="n">
        <f aca="false">K11*INDEX(Surface_Engine!$B$12:$B$72,$A11+1)+L12</f>
        <v>208326.926198868</v>
      </c>
      <c r="M11" s="48" t="n">
        <f aca="false">M10+B10*(IF($A10&lt;$Q$6,(Surface_Engine!B236*12)-(Surface_Engine!B236*12)*INDEX(Surface_Engine!$F$12:$F$72,$A10+1)-INDEX(Surface_Engine!$D$12:$D$72,$A10+1),-(1000*12*INDEX(Surface_Engine!$C$12:$C$72,$A10+1)/(1+Assumptions!$B$10)^15+INDEX(Surface_Engine!$D$12:$D$72,$A10+1))))*INDEX(Surface_Engine!$B$12:$B$72,$A10+1)</f>
        <v>16239.1709644271</v>
      </c>
      <c r="N11" s="12" t="n">
        <f aca="false">IF(B11&lt;=0,0,MAX(0,(K11+Assumptions!$B$29*L11/INDEX(Surface_Engine!$B$12:$B$72,$A11+1)-(M11/INDEX(Surface_Engine!$B$12:$B$72,$A11+1)-(F11/INDEX(Surface_Engine!$B$12:$B$72,$A11+1))))/B11))</f>
        <v>22954.7707223061</v>
      </c>
    </row>
    <row r="12" customFormat="false" ht="15" hidden="false" customHeight="true" outlineLevel="0" collapsed="false">
      <c r="A12" s="1" t="n">
        <v>4</v>
      </c>
      <c r="B12" s="32" t="n">
        <f aca="false">INDEX(Surface_Engine!$G$12:$G$72,$A12+1)*IF($A12&lt;$Q$6,INDEX(Surface_Engine!$E$12:$E$72,$A12+1),INDEX(Surface_Engine!$E$12:$E$72,$Q$6+1))</f>
        <v>0.901796298392175</v>
      </c>
      <c r="C12" s="32" t="n">
        <f aca="false">INDEX(Panel_Reserving!$B$8:$B$68,$A12+1)*IF($A12&lt;$Q$6,INDEX(Surface_Engine!$E$12:$E$72,$A12+1),INDEX(Surface_Engine!$E$12:$E$72,$Q$6+1))</f>
        <v>0.90418373567551</v>
      </c>
      <c r="D12" s="32" t="n">
        <f aca="false">INDEX(Surface_Engine!$G$12:$G$72,$A12+1)*IF($A12&lt;$Q$6,INDEX(Surface_Engine!$Y$12:$Y$72,$A12+1),INDEX(Surface_Engine!$Y$12:$Y$72,$Q$6+1))</f>
        <v>0.861198490212338</v>
      </c>
      <c r="E12" s="32" t="n">
        <f aca="false">INDEX(Surface_Engine!$G$12:$G$72,$A12+1)*IF($A12&lt;$Q$6,INDEX(Surface_Engine!$Z$12:$Z$72,$A12+1),INDEX(Surface_Engine!$Z$12:$Z$72,$Q$6+1))</f>
        <v>0.943683322381046</v>
      </c>
      <c r="F12" s="48" t="n">
        <f aca="false">B12*(IF($A12&lt;$Q$6,INDEX(Surface_Engine!$D$12:$D$72,$A12+1)+(Surface_Engine!B236*12)*INDEX(Surface_Engine!$F$12:$F$72,$A12+1)-(Surface_Engine!B236*12),1000*12*INDEX(Surface_Engine!$C$12:$C$72,$A12+1)/(1+Assumptions!$B$10)^15+INDEX(Surface_Engine!$D$12:$D$72,$A12+1)))*INDEX(Surface_Engine!$B$12:$B$72,$A12+1)+F13</f>
        <v>20754.3763608511</v>
      </c>
      <c r="G12" s="48" t="n">
        <f aca="false">C12*(IF($A12&lt;$Q$6,INDEX(Surface_Engine!$D$12:$D$72,$A12+1)+(Surface_Engine!B236*12)*INDEX(Surface_Engine!$F$12:$F$72,$A12+1)-(Surface_Engine!B236*12),1000*12*INDEX(Surface_Engine!$C$12:$C$72,$A12+1)/(1+Assumptions!$B$10)^15+INDEX(Surface_Engine!$D$12:$D$72,$A12+1)))*INDEX(Surface_Engine!$B$12:$B$72,$A12+1)+G13</f>
        <v>29499.8151754478</v>
      </c>
      <c r="H12" s="48" t="n">
        <f aca="false">D12*(IF($A12&lt;$Q$6,INDEX(Surface_Engine!$D$12:$D$72,$A12+1)+(Surface_Engine!B236*12)*INDEX(Surface_Engine!$F$12:$F$72,$A12+1)-(Surface_Engine!B236*12),1000*12*INDEX(Surface_Engine!$C$12:$C$72,$A12+1)/(1+Assumptions!$B$10)^15+INDEX(Surface_Engine!$D$12:$D$72,$A12+1)))*INDEX(Surface_Engine!$B$12:$B$72,$A12+1)+H13</f>
        <v>17017.759821632</v>
      </c>
      <c r="I12" s="48" t="n">
        <f aca="false">E12*(IF($A12&lt;$Q$6,INDEX(Surface_Engine!$D$12:$D$72,$A12+1)+(Surface_Engine!B236*12)*INDEX(Surface_Engine!$F$12:$F$72,$A12+1)-(Surface_Engine!B236*12),1000*12*INDEX(Surface_Engine!$C$12:$C$72,$A12+1)/(1+Assumptions!$B$10)^15+INDEX(Surface_Engine!$D$12:$D$72,$A12+1)))*INDEX(Surface_Engine!$B$12:$B$72,$A12+1)+I13</f>
        <v>24971.6703149389</v>
      </c>
      <c r="J12" s="48" t="n">
        <f aca="false">B12*(IF($A12&lt;$Q$6,INDEX(Surface_Engine!$D$12:$D$72,$A12+1)*(1+Assumptions!$B$24)+(Surface_Engine!B236*12)*INDEX(Surface_Engine!$F$12:$F$72,$A12+1)-(Surface_Engine!B236*12),1000*12*INDEX(Surface_Engine!$C$12:$C$72,$A12+1)/(1+Assumptions!$B$10)^15+INDEX(Surface_Engine!$D$12:$D$72,$A12+1)*(1+Assumptions!$B$24)))*INDEX(Surface_Engine!$B$12:$B$72,$A12+1)+J13</f>
        <v>20914.2081316124</v>
      </c>
      <c r="K12" s="12" t="n">
        <f aca="false">SQRT((IF(C12&lt;=0,0,MAX(0,(B12/C12)*G12/INDEX(Surface_Engine!$B$12:$B$72,$A12+1)-F12/INDEX(Surface_Engine!$B$12:$B$72,$A12+1))))^2+(MAX(IF(D12&lt;=0,0,MAX(0,(B12/D12)*H12/INDEX(Surface_Engine!$B$12:$B$72,$A12+1)-F12/INDEX(Surface_Engine!$B$12:$B$72,$A12+1))),IF(E12&lt;=0,0,MAX(0,(B12/E12)*I12/INDEX(Surface_Engine!$B$12:$B$72,$A12+1)-F12/INDEX(Surface_Engine!$B$12:$B$72,$A12+1))),IF($A12&lt;$Q$6,MAX(0,-Assumptions!$B$22*(F12/INDEX(Surface_Engine!$B$12:$B$72,$A12+1))),0)))^2+(MAX(0,J12/INDEX(Surface_Engine!$B$12:$B$72,$A12+1)-(F12/INDEX(Surface_Engine!$B$12:$B$72,$A12+1))))^2+2*Assumptions!$B$26*(IF(C12&lt;=0,0,MAX(0,(B12/C12)*G12/INDEX(Surface_Engine!$B$12:$B$72,$A12+1)-F12/INDEX(Surface_Engine!$B$12:$B$72,$A12+1))))*(MAX(IF(D12&lt;=0,0,MAX(0,(B12/D12)*H12/INDEX(Surface_Engine!$B$12:$B$72,$A12+1)-F12/INDEX(Surface_Engine!$B$12:$B$72,$A12+1))),IF(E12&lt;=0,0,MAX(0,(B12/E12)*I12/INDEX(Surface_Engine!$B$12:$B$72,$A12+1)-F12/INDEX(Surface_Engine!$B$12:$B$72,$A12+1))),IF($A12&lt;$Q$6,MAX(0,-Assumptions!$B$22*(F12/INDEX(Surface_Engine!$B$12:$B$72,$A12+1))),0)))+2*Assumptions!$B$27*(IF(C12&lt;=0,0,MAX(0,(B12/C12)*G12/INDEX(Surface_Engine!$B$12:$B$72,$A12+1)-F12/INDEX(Surface_Engine!$B$12:$B$72,$A12+1))))*(MAX(0,J12/INDEX(Surface_Engine!$B$12:$B$72,$A12+1)-(F12/INDEX(Surface_Engine!$B$12:$B$72,$A12+1))))+2*Assumptions!$B$28*(MAX(IF(D12&lt;=0,0,MAX(0,(B12/D12)*H12/INDEX(Surface_Engine!$B$12:$B$72,$A12+1)-F12/INDEX(Surface_Engine!$B$12:$B$72,$A12+1))),IF(E12&lt;=0,0,MAX(0,(B12/E12)*I12/INDEX(Surface_Engine!$B$12:$B$72,$A12+1)-F12/INDEX(Surface_Engine!$B$12:$B$72,$A12+1))),IF($A12&lt;$Q$6,MAX(0,-Assumptions!$B$22*(F12/INDEX(Surface_Engine!$B$12:$B$72,$A12+1))),0)))*(MAX(0,J12/INDEX(Surface_Engine!$B$12:$B$72,$A12+1)-(F12/INDEX(Surface_Engine!$B$12:$B$72,$A12+1)))))</f>
        <v>11067.929571258</v>
      </c>
      <c r="L12" s="48" t="n">
        <f aca="false">K12*INDEX(Surface_Engine!$B$12:$B$72,$A12+1)+L13</f>
        <v>198242.000751534</v>
      </c>
      <c r="M12" s="48" t="n">
        <f aca="false">M11+B11*(IF($A11&lt;$Q$6,(Surface_Engine!B236*12)-(Surface_Engine!B236*12)*INDEX(Surface_Engine!$F$12:$F$72,$A11+1)-INDEX(Surface_Engine!$D$12:$D$72,$A11+1),-(1000*12*INDEX(Surface_Engine!$C$12:$C$72,$A11+1)/(1+Assumptions!$B$10)^15+INDEX(Surface_Engine!$D$12:$D$72,$A11+1))))*INDEX(Surface_Engine!$B$12:$B$72,$A11+1)</f>
        <v>23855.5838030852</v>
      </c>
      <c r="N12" s="12" t="n">
        <f aca="false">IF(B12&lt;=0,0,MAX(0,(K12+Assumptions!$B$29*L12/INDEX(Surface_Engine!$B$12:$B$72,$A12+1)-(M12/INDEX(Surface_Engine!$B$12:$B$72,$A12+1)-(F12/INDEX(Surface_Engine!$B$12:$B$72,$A12+1))))/B12))</f>
        <v>23093.5941494197</v>
      </c>
    </row>
    <row r="13" customFormat="false" ht="15" hidden="false" customHeight="true" outlineLevel="0" collapsed="false">
      <c r="A13" s="1" t="n">
        <v>5</v>
      </c>
      <c r="B13" s="32" t="n">
        <f aca="false">INDEX(Surface_Engine!$G$12:$G$72,$A13+1)*IF($A13&lt;$Q$6,INDEX(Surface_Engine!$E$12:$E$72,$A13+1),INDEX(Surface_Engine!$E$12:$E$72,$Q$6+1))</f>
        <v>0.886202752861798</v>
      </c>
      <c r="C13" s="32" t="n">
        <f aca="false">INDEX(Panel_Reserving!$B$8:$B$68,$A13+1)*IF($A13&lt;$Q$6,INDEX(Surface_Engine!$E$12:$E$72,$A13+1),INDEX(Surface_Engine!$E$12:$E$72,$Q$6+1))</f>
        <v>0.889270744331308</v>
      </c>
      <c r="D13" s="32" t="n">
        <f aca="false">INDEX(Surface_Engine!$G$12:$G$72,$A13+1)*IF($A13&lt;$Q$6,INDEX(Surface_Engine!$Y$12:$Y$72,$A13+1),INDEX(Surface_Engine!$Y$12:$Y$72,$Q$6+1))</f>
        <v>0.840603145986252</v>
      </c>
      <c r="E13" s="32" t="n">
        <f aca="false">INDEX(Surface_Engine!$G$12:$G$72,$A13+1)*IF($A13&lt;$Q$6,INDEX(Surface_Engine!$Z$12:$Z$72,$A13+1),INDEX(Surface_Engine!$Z$12:$Z$72,$Q$6+1))</f>
        <v>0.933615587983189</v>
      </c>
      <c r="F13" s="48" t="n">
        <f aca="false">B13*(IF($A13&lt;$Q$6,INDEX(Surface_Engine!$D$12:$D$72,$A13+1)+(Surface_Engine!B236*12)*INDEX(Surface_Engine!$F$12:$F$72,$A13+1)-(Surface_Engine!B236*12),1000*12*INDEX(Surface_Engine!$C$12:$C$72,$A13+1)/(1+Assumptions!$B$10)^15+INDEX(Surface_Engine!$D$12:$D$72,$A13+1)))*INDEX(Surface_Engine!$B$12:$B$72,$A13+1)+F14</f>
        <v>28044.9699358142</v>
      </c>
      <c r="G13" s="48" t="n">
        <f aca="false">C13*(IF($A13&lt;$Q$6,INDEX(Surface_Engine!$D$12:$D$72,$A13+1)+(Surface_Engine!B236*12)*INDEX(Surface_Engine!$F$12:$F$72,$A13+1)-(Surface_Engine!B236*12),1000*12*INDEX(Surface_Engine!$C$12:$C$72,$A13+1)/(1+Assumptions!$B$10)^15+INDEX(Surface_Engine!$D$12:$D$72,$A13+1)))*INDEX(Surface_Engine!$B$12:$B$72,$A13+1)+G14</f>
        <v>36809.7100437846</v>
      </c>
      <c r="H13" s="48" t="n">
        <f aca="false">D13*(IF($A13&lt;$Q$6,INDEX(Surface_Engine!$D$12:$D$72,$A13+1)+(Surface_Engine!B236*12)*INDEX(Surface_Engine!$F$12:$F$72,$A13+1)-(Surface_Engine!B236*12),1000*12*INDEX(Surface_Engine!$C$12:$C$72,$A13+1)/(1+Assumptions!$B$10)^15+INDEX(Surface_Engine!$D$12:$D$72,$A13+1)))*INDEX(Surface_Engine!$B$12:$B$72,$A13+1)+H14</f>
        <v>23980.1394529349</v>
      </c>
      <c r="I13" s="48" t="n">
        <f aca="false">E13*(IF($A13&lt;$Q$6,INDEX(Surface_Engine!$D$12:$D$72,$A13+1)+(Surface_Engine!B236*12)*INDEX(Surface_Engine!$F$12:$F$72,$A13+1)-(Surface_Engine!B236*12),1000*12*INDEX(Surface_Engine!$C$12:$C$72,$A13+1)/(1+Assumptions!$B$10)^15+INDEX(Surface_Engine!$D$12:$D$72,$A13+1)))*INDEX(Surface_Engine!$B$12:$B$72,$A13+1)+I14</f>
        <v>32600.9005293648</v>
      </c>
      <c r="J13" s="48" t="n">
        <f aca="false">B13*(IF($A13&lt;$Q$6,INDEX(Surface_Engine!$D$12:$D$72,$A13+1)*(1+Assumptions!$B$24)+(Surface_Engine!B236*12)*INDEX(Surface_Engine!$F$12:$F$72,$A13+1)-(Surface_Engine!B236*12),1000*12*INDEX(Surface_Engine!$C$12:$C$72,$A13+1)/(1+Assumptions!$B$10)^15+INDEX(Surface_Engine!$D$12:$D$72,$A13+1)*(1+Assumptions!$B$24)))*INDEX(Surface_Engine!$B$12:$B$72,$A13+1)+J14</f>
        <v>28197.4460932658</v>
      </c>
      <c r="K13" s="12" t="n">
        <f aca="false">SQRT((IF(C13&lt;=0,0,MAX(0,(B13/C13)*G13/INDEX(Surface_Engine!$B$12:$B$72,$A13+1)-F13/INDEX(Surface_Engine!$B$12:$B$72,$A13+1))))^2+(MAX(IF(D13&lt;=0,0,MAX(0,(B13/D13)*H13/INDEX(Surface_Engine!$B$12:$B$72,$A13+1)-F13/INDEX(Surface_Engine!$B$12:$B$72,$A13+1))),IF(E13&lt;=0,0,MAX(0,(B13/E13)*I13/INDEX(Surface_Engine!$B$12:$B$72,$A13+1)-F13/INDEX(Surface_Engine!$B$12:$B$72,$A13+1))),IF($A13&lt;$Q$6,MAX(0,-Assumptions!$B$22*(F13/INDEX(Surface_Engine!$B$12:$B$72,$A13+1))),0)))^2+(MAX(0,J13/INDEX(Surface_Engine!$B$12:$B$72,$A13+1)-(F13/INDEX(Surface_Engine!$B$12:$B$72,$A13+1))))^2+2*Assumptions!$B$26*(IF(C13&lt;=0,0,MAX(0,(B13/C13)*G13/INDEX(Surface_Engine!$B$12:$B$72,$A13+1)-F13/INDEX(Surface_Engine!$B$12:$B$72,$A13+1))))*(MAX(IF(D13&lt;=0,0,MAX(0,(B13/D13)*H13/INDEX(Surface_Engine!$B$12:$B$72,$A13+1)-F13/INDEX(Surface_Engine!$B$12:$B$72,$A13+1))),IF(E13&lt;=0,0,MAX(0,(B13/E13)*I13/INDEX(Surface_Engine!$B$12:$B$72,$A13+1)-F13/INDEX(Surface_Engine!$B$12:$B$72,$A13+1))),IF($A13&lt;$Q$6,MAX(0,-Assumptions!$B$22*(F13/INDEX(Surface_Engine!$B$12:$B$72,$A13+1))),0)))+2*Assumptions!$B$27*(IF(C13&lt;=0,0,MAX(0,(B13/C13)*G13/INDEX(Surface_Engine!$B$12:$B$72,$A13+1)-F13/INDEX(Surface_Engine!$B$12:$B$72,$A13+1))))*(MAX(0,J13/INDEX(Surface_Engine!$B$12:$B$72,$A13+1)-(F13/INDEX(Surface_Engine!$B$12:$B$72,$A13+1))))+2*Assumptions!$B$28*(MAX(IF(D13&lt;=0,0,MAX(0,(B13/D13)*H13/INDEX(Surface_Engine!$B$12:$B$72,$A13+1)-F13/INDEX(Surface_Engine!$B$12:$B$72,$A13+1))),IF(E13&lt;=0,0,MAX(0,(B13/E13)*I13/INDEX(Surface_Engine!$B$12:$B$72,$A13+1)-F13/INDEX(Surface_Engine!$B$12:$B$72,$A13+1))),IF($A13&lt;$Q$6,MAX(0,-Assumptions!$B$22*(F13/INDEX(Surface_Engine!$B$12:$B$72,$A13+1))),0)))*(MAX(0,J13/INDEX(Surface_Engine!$B$12:$B$72,$A13+1)-(F13/INDEX(Surface_Engine!$B$12:$B$72,$A13+1)))))</f>
        <v>11216.2713221425</v>
      </c>
      <c r="L13" s="48" t="n">
        <f aca="false">K13*INDEX(Surface_Engine!$B$12:$B$72,$A13+1)+L14</f>
        <v>188268.043221634</v>
      </c>
      <c r="M13" s="48" t="n">
        <f aca="false">M12+B12*(IF($A12&lt;$Q$6,(Surface_Engine!B236*12)-(Surface_Engine!B236*12)*INDEX(Surface_Engine!$F$12:$F$72,$A12+1)-INDEX(Surface_Engine!$D$12:$D$72,$A12+1),-(1000*12*INDEX(Surface_Engine!$C$12:$C$72,$A12+1)/(1+Assumptions!$B$10)^15+INDEX(Surface_Engine!$D$12:$D$72,$A12+1))))*INDEX(Surface_Engine!$B$12:$B$72,$A12+1)</f>
        <v>31146.1773780483</v>
      </c>
      <c r="N13" s="12" t="n">
        <f aca="false">IF(B13&lt;=0,0,MAX(0,(K13+Assumptions!$B$29*L13/INDEX(Surface_Engine!$B$12:$B$72,$A13+1)-(M13/INDEX(Surface_Engine!$B$12:$B$72,$A13+1)-(F13/INDEX(Surface_Engine!$B$12:$B$72,$A13+1))))/B13))</f>
        <v>23205.42129457</v>
      </c>
    </row>
    <row r="14" customFormat="false" ht="15" hidden="false" customHeight="true" outlineLevel="0" collapsed="false">
      <c r="A14" s="1" t="n">
        <v>6</v>
      </c>
      <c r="B14" s="32" t="n">
        <f aca="false">INDEX(Surface_Engine!$G$12:$G$72,$A14+1)*IF($A14&lt;$Q$6,INDEX(Surface_Engine!$E$12:$E$72,$A14+1),INDEX(Surface_Engine!$E$12:$E$72,$Q$6+1))</f>
        <v>0.874052188827989</v>
      </c>
      <c r="C14" s="32" t="n">
        <f aca="false">INDEX(Panel_Reserving!$B$8:$B$68,$A14+1)*IF($A14&lt;$Q$6,INDEX(Surface_Engine!$E$12:$E$72,$A14+1),INDEX(Surface_Engine!$E$12:$E$72,$Q$6+1))</f>
        <v>0.877898168613168</v>
      </c>
      <c r="D14" s="32" t="n">
        <f aca="false">INDEX(Surface_Engine!$G$12:$G$72,$A14+1)*IF($A14&lt;$Q$6,INDEX(Surface_Engine!$Y$12:$Y$72,$A14+1),INDEX(Surface_Engine!$Y$12:$Y$72,$Q$6+1))</f>
        <v>0.825270842668277</v>
      </c>
      <c r="E14" s="32" t="n">
        <f aca="false">INDEX(Surface_Engine!$G$12:$G$72,$A14+1)*IF($A14&lt;$Q$6,INDEX(Surface_Engine!$Z$12:$Z$72,$A14+1),INDEX(Surface_Engine!$Z$12:$Z$72,$Q$6+1))</f>
        <v>0.925043139754908</v>
      </c>
      <c r="F14" s="48" t="n">
        <f aca="false">B14*(IF($A14&lt;$Q$6,INDEX(Surface_Engine!$D$12:$D$72,$A14+1)+(Surface_Engine!B236*12)*INDEX(Surface_Engine!$F$12:$F$72,$A14+1)-(Surface_Engine!B236*12),1000*12*INDEX(Surface_Engine!$C$12:$C$72,$A14+1)/(1+Assumptions!$B$10)^15+INDEX(Surface_Engine!$D$12:$D$72,$A14+1)))*INDEX(Surface_Engine!$B$12:$B$72,$A14+1)+F15</f>
        <v>35012.5215017019</v>
      </c>
      <c r="G14" s="48" t="n">
        <f aca="false">C14*(IF($A14&lt;$Q$6,INDEX(Surface_Engine!$D$12:$D$72,$A14+1)+(Surface_Engine!B236*12)*INDEX(Surface_Engine!$F$12:$F$72,$A14+1)-(Surface_Engine!B236*12),1000*12*INDEX(Surface_Engine!$C$12:$C$72,$A14+1)/(1+Assumptions!$B$10)^15+INDEX(Surface_Engine!$D$12:$D$72,$A14+1)))*INDEX(Surface_Engine!$B$12:$B$72,$A14+1)+G15</f>
        <v>43801.382939355</v>
      </c>
      <c r="H14" s="48" t="n">
        <f aca="false">D14*(IF($A14&lt;$Q$6,INDEX(Surface_Engine!$D$12:$D$72,$A14+1)+(Surface_Engine!B236*12)*INDEX(Surface_Engine!$F$12:$F$72,$A14+1)-(Surface_Engine!B236*12),1000*12*INDEX(Surface_Engine!$C$12:$C$72,$A14+1)/(1+Assumptions!$B$10)^15+INDEX(Surface_Engine!$D$12:$D$72,$A14+1)))*INDEX(Surface_Engine!$B$12:$B$72,$A14+1)+H15</f>
        <v>30589.1753052756</v>
      </c>
      <c r="I14" s="48" t="n">
        <f aca="false">E14*(IF($A14&lt;$Q$6,INDEX(Surface_Engine!$D$12:$D$72,$A14+1)+(Surface_Engine!B236*12)*INDEX(Surface_Engine!$F$12:$F$72,$A14+1)-(Surface_Engine!B236*12),1000*12*INDEX(Surface_Engine!$C$12:$C$72,$A14+1)/(1+Assumptions!$B$10)^15+INDEX(Surface_Engine!$D$12:$D$72,$A14+1)))*INDEX(Surface_Engine!$B$12:$B$72,$A14+1)+I15</f>
        <v>39941.2238707028</v>
      </c>
      <c r="J14" s="48" t="n">
        <f aca="false">B14*(IF($A14&lt;$Q$6,INDEX(Surface_Engine!$D$12:$D$72,$A14+1)*(1+Assumptions!$B$24)+(Surface_Engine!B236*12)*INDEX(Surface_Engine!$F$12:$F$72,$A14+1)-(Surface_Engine!B236*12),1000*12*INDEX(Surface_Engine!$C$12:$C$72,$A14+1)/(1+Assumptions!$B$10)^15+INDEX(Surface_Engine!$D$12:$D$72,$A14+1)*(1+Assumptions!$B$24)))*INDEX(Surface_Engine!$B$12:$B$72,$A14+1)+J15</f>
        <v>35157.7904087004</v>
      </c>
      <c r="K14" s="12" t="n">
        <f aca="false">SQRT((IF(C14&lt;=0,0,MAX(0,(B14/C14)*G14/INDEX(Surface_Engine!$B$12:$B$72,$A14+1)-F14/INDEX(Surface_Engine!$B$12:$B$72,$A14+1))))^2+(MAX(IF(D14&lt;=0,0,MAX(0,(B14/D14)*H14/INDEX(Surface_Engine!$B$12:$B$72,$A14+1)-F14/INDEX(Surface_Engine!$B$12:$B$72,$A14+1))),IF(E14&lt;=0,0,MAX(0,(B14/E14)*I14/INDEX(Surface_Engine!$B$12:$B$72,$A14+1)-F14/INDEX(Surface_Engine!$B$12:$B$72,$A14+1))),IF($A14&lt;$Q$6,MAX(0,-Assumptions!$B$22*(F14/INDEX(Surface_Engine!$B$12:$B$72,$A14+1))),0)))^2+(MAX(0,J14/INDEX(Surface_Engine!$B$12:$B$72,$A14+1)-(F14/INDEX(Surface_Engine!$B$12:$B$72,$A14+1))))^2+2*Assumptions!$B$26*(IF(C14&lt;=0,0,MAX(0,(B14/C14)*G14/INDEX(Surface_Engine!$B$12:$B$72,$A14+1)-F14/INDEX(Surface_Engine!$B$12:$B$72,$A14+1))))*(MAX(IF(D14&lt;=0,0,MAX(0,(B14/D14)*H14/INDEX(Surface_Engine!$B$12:$B$72,$A14+1)-F14/INDEX(Surface_Engine!$B$12:$B$72,$A14+1))),IF(E14&lt;=0,0,MAX(0,(B14/E14)*I14/INDEX(Surface_Engine!$B$12:$B$72,$A14+1)-F14/INDEX(Surface_Engine!$B$12:$B$72,$A14+1))),IF($A14&lt;$Q$6,MAX(0,-Assumptions!$B$22*(F14/INDEX(Surface_Engine!$B$12:$B$72,$A14+1))),0)))+2*Assumptions!$B$27*(IF(C14&lt;=0,0,MAX(0,(B14/C14)*G14/INDEX(Surface_Engine!$B$12:$B$72,$A14+1)-F14/INDEX(Surface_Engine!$B$12:$B$72,$A14+1))))*(MAX(0,J14/INDEX(Surface_Engine!$B$12:$B$72,$A14+1)-(F14/INDEX(Surface_Engine!$B$12:$B$72,$A14+1))))+2*Assumptions!$B$28*(MAX(IF(D14&lt;=0,0,MAX(0,(B14/D14)*H14/INDEX(Surface_Engine!$B$12:$B$72,$A14+1)-F14/INDEX(Surface_Engine!$B$12:$B$72,$A14+1))),IF(E14&lt;=0,0,MAX(0,(B14/E14)*I14/INDEX(Surface_Engine!$B$12:$B$72,$A14+1)-F14/INDEX(Surface_Engine!$B$12:$B$72,$A14+1))),IF($A14&lt;$Q$6,MAX(0,-Assumptions!$B$22*(F14/INDEX(Surface_Engine!$B$12:$B$72,$A14+1))),0)))*(MAX(0,J14/INDEX(Surface_Engine!$B$12:$B$72,$A14+1)-(F14/INDEX(Surface_Engine!$B$12:$B$72,$A14+1)))))</f>
        <v>11386.4710729431</v>
      </c>
      <c r="L14" s="48" t="n">
        <f aca="false">K14*INDEX(Surface_Engine!$B$12:$B$72,$A14+1)+L15</f>
        <v>178435.817361187</v>
      </c>
      <c r="M14" s="48" t="n">
        <f aca="false">M13+B13*(IF($A13&lt;$Q$6,(Surface_Engine!B236*12)-(Surface_Engine!B236*12)*INDEX(Surface_Engine!$F$12:$F$72,$A13+1)-INDEX(Surface_Engine!$D$12:$D$72,$A13+1),-(1000*12*INDEX(Surface_Engine!$C$12:$C$72,$A13+1)/(1+Assumptions!$B$10)^15+INDEX(Surface_Engine!$D$12:$D$72,$A13+1))))*INDEX(Surface_Engine!$B$12:$B$72,$A13+1)</f>
        <v>38113.7289439361</v>
      </c>
      <c r="N14" s="12" t="n">
        <f aca="false">IF(B14&lt;=0,0,MAX(0,(K14+Assumptions!$B$29*L14/INDEX(Surface_Engine!$B$12:$B$72,$A14+1)-(M14/INDEX(Surface_Engine!$B$12:$B$72,$A14+1)-(F14/INDEX(Surface_Engine!$B$12:$B$72,$A14+1))))/B14))</f>
        <v>23239.7526037836</v>
      </c>
    </row>
    <row r="15" customFormat="false" ht="15" hidden="false" customHeight="true" outlineLevel="0" collapsed="false">
      <c r="A15" s="1" t="n">
        <v>7</v>
      </c>
      <c r="B15" s="32" t="n">
        <f aca="false">INDEX(Surface_Engine!$G$12:$G$72,$A15+1)*IF($A15&lt;$Q$6,INDEX(Surface_Engine!$E$12:$E$72,$A15+1),INDEX(Surface_Engine!$E$12:$E$72,$Q$6+1))</f>
        <v>0.861675798625979</v>
      </c>
      <c r="C15" s="32" t="n">
        <f aca="false">INDEX(Panel_Reserving!$B$8:$B$68,$A15+1)*IF($A15&lt;$Q$6,INDEX(Surface_Engine!$E$12:$E$72,$A15+1),INDEX(Surface_Engine!$E$12:$E$72,$Q$6+1))</f>
        <v>0.866355715190251</v>
      </c>
      <c r="D15" s="32" t="n">
        <f aca="false">INDEX(Surface_Engine!$G$12:$G$72,$A15+1)*IF($A15&lt;$Q$6,INDEX(Surface_Engine!$Y$12:$Y$72,$A15+1),INDEX(Surface_Engine!$Y$12:$Y$72,$Q$6+1))</f>
        <v>0.809849377339046</v>
      </c>
      <c r="E15" s="32" t="n">
        <f aca="false">INDEX(Surface_Engine!$G$12:$G$72,$A15+1)*IF($A15&lt;$Q$6,INDEX(Surface_Engine!$Z$12:$Z$72,$A15+1),INDEX(Surface_Engine!$Z$12:$Z$72,$Q$6+1))</f>
        <v>0.916132183051795</v>
      </c>
      <c r="F15" s="48" t="n">
        <f aca="false">B15*(IF($A15&lt;$Q$6,INDEX(Surface_Engine!$D$12:$D$72,$A15+1)+(Surface_Engine!B236*12)*INDEX(Surface_Engine!$F$12:$F$72,$A15+1)-(Surface_Engine!B236*12),1000*12*INDEX(Surface_Engine!$C$12:$C$72,$A15+1)/(1+Assumptions!$B$10)^15+INDEX(Surface_Engine!$D$12:$D$72,$A15+1)))*INDEX(Surface_Engine!$B$12:$B$72,$A15+1)+F16</f>
        <v>41689.7141322297</v>
      </c>
      <c r="G15" s="48" t="n">
        <f aca="false">C15*(IF($A15&lt;$Q$6,INDEX(Surface_Engine!$D$12:$D$72,$A15+1)+(Surface_Engine!B236*12)*INDEX(Surface_Engine!$F$12:$F$72,$A15+1)-(Surface_Engine!B236*12),1000*12*INDEX(Surface_Engine!$C$12:$C$72,$A15+1)/(1+Assumptions!$B$10)^15+INDEX(Surface_Engine!$D$12:$D$72,$A15+1)))*INDEX(Surface_Engine!$B$12:$B$72,$A15+1)+G16</f>
        <v>50507.956364539</v>
      </c>
      <c r="H15" s="48" t="n">
        <f aca="false">D15*(IF($A15&lt;$Q$6,INDEX(Surface_Engine!$D$12:$D$72,$A15+1)+(Surface_Engine!B236*12)*INDEX(Surface_Engine!$F$12:$F$72,$A15+1)-(Surface_Engine!B236*12),1000*12*INDEX(Surface_Engine!$C$12:$C$72,$A15+1)/(1+Assumptions!$B$10)^15+INDEX(Surface_Engine!$D$12:$D$72,$A15+1)))*INDEX(Surface_Engine!$B$12:$B$72,$A15+1)+H16</f>
        <v>36893.7100450639</v>
      </c>
      <c r="I15" s="48" t="n">
        <f aca="false">E15*(IF($A15&lt;$Q$6,INDEX(Surface_Engine!$D$12:$D$72,$A15+1)+(Surface_Engine!B236*12)*INDEX(Surface_Engine!$F$12:$F$72,$A15+1)-(Surface_Engine!B236*12),1000*12*INDEX(Surface_Engine!$C$12:$C$72,$A15+1)/(1+Assumptions!$B$10)^15+INDEX(Surface_Engine!$D$12:$D$72,$A15+1)))*INDEX(Surface_Engine!$B$12:$B$72,$A15+1)+I16</f>
        <v>47007.9543413102</v>
      </c>
      <c r="J15" s="48" t="n">
        <f aca="false">B15*(IF($A15&lt;$Q$6,INDEX(Surface_Engine!$D$12:$D$72,$A15+1)*(1+Assumptions!$B$24)+(Surface_Engine!B236*12)*INDEX(Surface_Engine!$F$12:$F$72,$A15+1)-(Surface_Engine!B236*12),1000*12*INDEX(Surface_Engine!$C$12:$C$72,$A15+1)/(1+Assumptions!$B$10)^15+INDEX(Surface_Engine!$D$12:$D$72,$A15+1)*(1+Assumptions!$B$24)))*INDEX(Surface_Engine!$B$12:$B$72,$A15+1)+J16</f>
        <v>41827.9016328686</v>
      </c>
      <c r="K15" s="12" t="n">
        <f aca="false">SQRT((IF(C15&lt;=0,0,MAX(0,(B15/C15)*G15/INDEX(Surface_Engine!$B$12:$B$72,$A15+1)-F15/INDEX(Surface_Engine!$B$12:$B$72,$A15+1))))^2+(MAX(IF(D15&lt;=0,0,MAX(0,(B15/D15)*H15/INDEX(Surface_Engine!$B$12:$B$72,$A15+1)-F15/INDEX(Surface_Engine!$B$12:$B$72,$A15+1))),IF(E15&lt;=0,0,MAX(0,(B15/E15)*I15/INDEX(Surface_Engine!$B$12:$B$72,$A15+1)-F15/INDEX(Surface_Engine!$B$12:$B$72,$A15+1))),IF($A15&lt;$Q$6,MAX(0,-Assumptions!$B$22*(F15/INDEX(Surface_Engine!$B$12:$B$72,$A15+1))),0)))^2+(MAX(0,J15/INDEX(Surface_Engine!$B$12:$B$72,$A15+1)-(F15/INDEX(Surface_Engine!$B$12:$B$72,$A15+1))))^2+2*Assumptions!$B$26*(IF(C15&lt;=0,0,MAX(0,(B15/C15)*G15/INDEX(Surface_Engine!$B$12:$B$72,$A15+1)-F15/INDEX(Surface_Engine!$B$12:$B$72,$A15+1))))*(MAX(IF(D15&lt;=0,0,MAX(0,(B15/D15)*H15/INDEX(Surface_Engine!$B$12:$B$72,$A15+1)-F15/INDEX(Surface_Engine!$B$12:$B$72,$A15+1))),IF(E15&lt;=0,0,MAX(0,(B15/E15)*I15/INDEX(Surface_Engine!$B$12:$B$72,$A15+1)-F15/INDEX(Surface_Engine!$B$12:$B$72,$A15+1))),IF($A15&lt;$Q$6,MAX(0,-Assumptions!$B$22*(F15/INDEX(Surface_Engine!$B$12:$B$72,$A15+1))),0)))+2*Assumptions!$B$27*(IF(C15&lt;=0,0,MAX(0,(B15/C15)*G15/INDEX(Surface_Engine!$B$12:$B$72,$A15+1)-F15/INDEX(Surface_Engine!$B$12:$B$72,$A15+1))))*(MAX(0,J15/INDEX(Surface_Engine!$B$12:$B$72,$A15+1)-(F15/INDEX(Surface_Engine!$B$12:$B$72,$A15+1))))+2*Assumptions!$B$28*(MAX(IF(D15&lt;=0,0,MAX(0,(B15/D15)*H15/INDEX(Surface_Engine!$B$12:$B$72,$A15+1)-F15/INDEX(Surface_Engine!$B$12:$B$72,$A15+1))),IF(E15&lt;=0,0,MAX(0,(B15/E15)*I15/INDEX(Surface_Engine!$B$12:$B$72,$A15+1)-F15/INDEX(Surface_Engine!$B$12:$B$72,$A15+1))),IF($A15&lt;$Q$6,MAX(0,-Assumptions!$B$22*(F15/INDEX(Surface_Engine!$B$12:$B$72,$A15+1))),0)))*(MAX(0,J15/INDEX(Surface_Engine!$B$12:$B$72,$A15+1)-(F15/INDEX(Surface_Engine!$B$12:$B$72,$A15+1)))))</f>
        <v>11543.0562776876</v>
      </c>
      <c r="L15" s="48" t="n">
        <f aca="false">K15*INDEX(Surface_Engine!$B$12:$B$72,$A15+1)+L16</f>
        <v>168734.867624741</v>
      </c>
      <c r="M15" s="48" t="n">
        <f aca="false">M14+B14*(IF($A14&lt;$Q$6,(Surface_Engine!B236*12)-(Surface_Engine!B236*12)*INDEX(Surface_Engine!$F$12:$F$72,$A14+1)-INDEX(Surface_Engine!$D$12:$D$72,$A14+1),-(1000*12*INDEX(Surface_Engine!$C$12:$C$72,$A14+1)/(1+Assumptions!$B$10)^15+INDEX(Surface_Engine!$D$12:$D$72,$A14+1))))*INDEX(Surface_Engine!$B$12:$B$72,$A14+1)</f>
        <v>44790.9215744639</v>
      </c>
      <c r="N15" s="12" t="n">
        <f aca="false">IF(B15&lt;=0,0,MAX(0,(K15+Assumptions!$B$29*L15/INDEX(Surface_Engine!$B$12:$B$72,$A15+1)-(M15/INDEX(Surface_Engine!$B$12:$B$72,$A15+1)-(F15/INDEX(Surface_Engine!$B$12:$B$72,$A15+1))))/B15))</f>
        <v>23250.7785519585</v>
      </c>
    </row>
    <row r="16" customFormat="false" ht="15" hidden="false" customHeight="true" outlineLevel="0" collapsed="false">
      <c r="A16" s="1" t="n">
        <v>8</v>
      </c>
      <c r="B16" s="32" t="n">
        <f aca="false">INDEX(Surface_Engine!$G$12:$G$72,$A16+1)*IF($A16&lt;$Q$6,INDEX(Surface_Engine!$E$12:$E$72,$A16+1),INDEX(Surface_Engine!$E$12:$E$72,$Q$6+1))</f>
        <v>0.849037015354748</v>
      </c>
      <c r="C16" s="32" t="n">
        <f aca="false">INDEX(Panel_Reserving!$B$8:$B$68,$A16+1)*IF($A16&lt;$Q$6,INDEX(Surface_Engine!$E$12:$E$72,$A16+1),INDEX(Surface_Engine!$E$12:$E$72,$Q$6+1))</f>
        <v>0.854613006363728</v>
      </c>
      <c r="D16" s="32" t="n">
        <f aca="false">INDEX(Surface_Engine!$G$12:$G$72,$A16+1)*IF($A16&lt;$Q$6,INDEX(Surface_Engine!$Y$12:$Y$72,$A16+1),INDEX(Surface_Engine!$Y$12:$Y$72,$Q$6+1))</f>
        <v>0.794306656938183</v>
      </c>
      <c r="E16" s="32" t="n">
        <f aca="false">INDEX(Surface_Engine!$G$12:$G$72,$A16+1)*IF($A16&lt;$Q$6,INDEX(Surface_Engine!$Z$12:$Z$72,$A16+1),INDEX(Surface_Engine!$Z$12:$Z$72,$Q$6+1))</f>
        <v>0.906839631041542</v>
      </c>
      <c r="F16" s="48" t="n">
        <f aca="false">B16*(IF($A16&lt;$Q$6,INDEX(Surface_Engine!$D$12:$D$72,$A16+1)+(Surface_Engine!B236*12)*INDEX(Surface_Engine!$F$12:$F$72,$A16+1)-(Surface_Engine!B236*12),1000*12*INDEX(Surface_Engine!$C$12:$C$72,$A16+1)/(1+Assumptions!$B$10)^15+INDEX(Surface_Engine!$D$12:$D$72,$A16+1)))*INDEX(Surface_Engine!$B$12:$B$72,$A16+1)+F17</f>
        <v>48078.0442962558</v>
      </c>
      <c r="G16" s="48" t="n">
        <f aca="false">C16*(IF($A16&lt;$Q$6,INDEX(Surface_Engine!$D$12:$D$72,$A16+1)+(Surface_Engine!B236*12)*INDEX(Surface_Engine!$F$12:$F$72,$A16+1)-(Surface_Engine!B236*12),1000*12*INDEX(Surface_Engine!$C$12:$C$72,$A16+1)/(1+Assumptions!$B$10)^15+INDEX(Surface_Engine!$D$12:$D$72,$A16+1)))*INDEX(Surface_Engine!$B$12:$B$72,$A16+1)+G17</f>
        <v>56930.9827010703</v>
      </c>
      <c r="H16" s="48" t="n">
        <f aca="false">D16*(IF($A16&lt;$Q$6,INDEX(Surface_Engine!$D$12:$D$72,$A16+1)+(Surface_Engine!B236*12)*INDEX(Surface_Engine!$F$12:$F$72,$A16+1)-(Surface_Engine!B236*12),1000*12*INDEX(Surface_Engine!$C$12:$C$72,$A16+1)/(1+Assumptions!$B$10)^15+INDEX(Surface_Engine!$D$12:$D$72,$A16+1)))*INDEX(Surface_Engine!$B$12:$B$72,$A16+1)+H17</f>
        <v>42897.8071936929</v>
      </c>
      <c r="I16" s="48" t="n">
        <f aca="false">E16*(IF($A16&lt;$Q$6,INDEX(Surface_Engine!$D$12:$D$72,$A16+1)+(Surface_Engine!B236*12)*INDEX(Surface_Engine!$F$12:$F$72,$A16+1)-(Surface_Engine!B236*12),1000*12*INDEX(Surface_Engine!$C$12:$C$72,$A16+1)/(1+Assumptions!$B$10)^15+INDEX(Surface_Engine!$D$12:$D$72,$A16+1)))*INDEX(Surface_Engine!$B$12:$B$72,$A16+1)+I17</f>
        <v>53800.0156578254</v>
      </c>
      <c r="J16" s="48" t="n">
        <f aca="false">B16*(IF($A16&lt;$Q$6,INDEX(Surface_Engine!$D$12:$D$72,$A16+1)*(1+Assumptions!$B$24)+(Surface_Engine!B236*12)*INDEX(Surface_Engine!$F$12:$F$72,$A16+1)-(Surface_Engine!B236*12),1000*12*INDEX(Surface_Engine!$C$12:$C$72,$A16+1)/(1+Assumptions!$B$10)^15+INDEX(Surface_Engine!$D$12:$D$72,$A16+1)*(1+Assumptions!$B$24)))*INDEX(Surface_Engine!$B$12:$B$72,$A16+1)+J17</f>
        <v>48209.2855215942</v>
      </c>
      <c r="K16" s="12" t="n">
        <f aca="false">SQRT((IF(C16&lt;=0,0,MAX(0,(B16/C16)*G16/INDEX(Surface_Engine!$B$12:$B$72,$A16+1)-F16/INDEX(Surface_Engine!$B$12:$B$72,$A16+1))))^2+(MAX(IF(D16&lt;=0,0,MAX(0,(B16/D16)*H16/INDEX(Surface_Engine!$B$12:$B$72,$A16+1)-F16/INDEX(Surface_Engine!$B$12:$B$72,$A16+1))),IF(E16&lt;=0,0,MAX(0,(B16/E16)*I16/INDEX(Surface_Engine!$B$12:$B$72,$A16+1)-F16/INDEX(Surface_Engine!$B$12:$B$72,$A16+1))),IF($A16&lt;$Q$6,MAX(0,-Assumptions!$B$22*(F16/INDEX(Surface_Engine!$B$12:$B$72,$A16+1))),0)))^2+(MAX(0,J16/INDEX(Surface_Engine!$B$12:$B$72,$A16+1)-(F16/INDEX(Surface_Engine!$B$12:$B$72,$A16+1))))^2+2*Assumptions!$B$26*(IF(C16&lt;=0,0,MAX(0,(B16/C16)*G16/INDEX(Surface_Engine!$B$12:$B$72,$A16+1)-F16/INDEX(Surface_Engine!$B$12:$B$72,$A16+1))))*(MAX(IF(D16&lt;=0,0,MAX(0,(B16/D16)*H16/INDEX(Surface_Engine!$B$12:$B$72,$A16+1)-F16/INDEX(Surface_Engine!$B$12:$B$72,$A16+1))),IF(E16&lt;=0,0,MAX(0,(B16/E16)*I16/INDEX(Surface_Engine!$B$12:$B$72,$A16+1)-F16/INDEX(Surface_Engine!$B$12:$B$72,$A16+1))),IF($A16&lt;$Q$6,MAX(0,-Assumptions!$B$22*(F16/INDEX(Surface_Engine!$B$12:$B$72,$A16+1))),0)))+2*Assumptions!$B$27*(IF(C16&lt;=0,0,MAX(0,(B16/C16)*G16/INDEX(Surface_Engine!$B$12:$B$72,$A16+1)-F16/INDEX(Surface_Engine!$B$12:$B$72,$A16+1))))*(MAX(0,J16/INDEX(Surface_Engine!$B$12:$B$72,$A16+1)-(F16/INDEX(Surface_Engine!$B$12:$B$72,$A16+1))))+2*Assumptions!$B$28*(MAX(IF(D16&lt;=0,0,MAX(0,(B16/D16)*H16/INDEX(Surface_Engine!$B$12:$B$72,$A16+1)-F16/INDEX(Surface_Engine!$B$12:$B$72,$A16+1))),IF(E16&lt;=0,0,MAX(0,(B16/E16)*I16/INDEX(Surface_Engine!$B$12:$B$72,$A16+1)-F16/INDEX(Surface_Engine!$B$12:$B$72,$A16+1))),IF($A16&lt;$Q$6,MAX(0,-Assumptions!$B$22*(F16/INDEX(Surface_Engine!$B$12:$B$72,$A16+1))),0)))*(MAX(0,J16/INDEX(Surface_Engine!$B$12:$B$72,$A16+1)-(F16/INDEX(Surface_Engine!$B$12:$B$72,$A16+1)))))</f>
        <v>11684.2042333404</v>
      </c>
      <c r="L16" s="48" t="n">
        <f aca="false">K16*INDEX(Surface_Engine!$B$12:$B$72,$A16+1)+L17</f>
        <v>159188.283603585</v>
      </c>
      <c r="M16" s="48" t="n">
        <f aca="false">M15+B15*(IF($A15&lt;$Q$6,(Surface_Engine!B236*12)-(Surface_Engine!B236*12)*INDEX(Surface_Engine!$F$12:$F$72,$A15+1)-INDEX(Surface_Engine!$D$12:$D$72,$A15+1),-(1000*12*INDEX(Surface_Engine!$C$12:$C$72,$A15+1)/(1+Assumptions!$B$10)^15+INDEX(Surface_Engine!$D$12:$D$72,$A15+1))))*INDEX(Surface_Engine!$B$12:$B$72,$A15+1)</f>
        <v>51179.25173849</v>
      </c>
      <c r="N16" s="12" t="n">
        <f aca="false">IF(B16&lt;=0,0,MAX(0,(K16+Assumptions!$B$29*L16/INDEX(Surface_Engine!$B$12:$B$72,$A16+1)-(M16/INDEX(Surface_Engine!$B$12:$B$72,$A16+1)-(F16/INDEX(Surface_Engine!$B$12:$B$72,$A16+1))))/B16))</f>
        <v>23235.3441236801</v>
      </c>
    </row>
    <row r="17" customFormat="false" ht="15" hidden="false" customHeight="true" outlineLevel="0" collapsed="false">
      <c r="A17" s="1" t="n">
        <v>9</v>
      </c>
      <c r="B17" s="32" t="n">
        <f aca="false">INDEX(Surface_Engine!$G$12:$G$72,$A17+1)*IF($A17&lt;$Q$6,INDEX(Surface_Engine!$E$12:$E$72,$A17+1),INDEX(Surface_Engine!$E$12:$E$72,$Q$6+1))</f>
        <v>0.836096678851343</v>
      </c>
      <c r="C17" s="32" t="n">
        <f aca="false">INDEX(Panel_Reserving!$B$8:$B$68,$A17+1)*IF($A17&lt;$Q$6,INDEX(Surface_Engine!$E$12:$E$72,$A17+1),INDEX(Surface_Engine!$E$12:$E$72,$Q$6+1))</f>
        <v>0.842637353688004</v>
      </c>
      <c r="D17" s="32" t="n">
        <f aca="false">INDEX(Surface_Engine!$G$12:$G$72,$A17+1)*IF($A17&lt;$Q$6,INDEX(Surface_Engine!$Y$12:$Y$72,$A17+1),INDEX(Surface_Engine!$Y$12:$Y$72,$Q$6+1))</f>
        <v>0.77860877975083</v>
      </c>
      <c r="E17" s="32" t="n">
        <f aca="false">INDEX(Surface_Engine!$G$12:$G$72,$A17+1)*IF($A17&lt;$Q$6,INDEX(Surface_Engine!$Z$12:$Z$72,$A17+1),INDEX(Surface_Engine!$Z$12:$Z$72,$Q$6+1))</f>
        <v>0.897118862068647</v>
      </c>
      <c r="F17" s="48" t="n">
        <f aca="false">B17*(IF($A17&lt;$Q$6,INDEX(Surface_Engine!$D$12:$D$72,$A17+1)+(Surface_Engine!B236*12)*INDEX(Surface_Engine!$F$12:$F$72,$A17+1)-(Surface_Engine!B236*12),1000*12*INDEX(Surface_Engine!$C$12:$C$72,$A17+1)/(1+Assumptions!$B$10)^15+INDEX(Surface_Engine!$D$12:$D$72,$A17+1)))*INDEX(Surface_Engine!$B$12:$B$72,$A17+1)+F18</f>
        <v>54179.697243566</v>
      </c>
      <c r="G17" s="48" t="n">
        <f aca="false">C17*(IF($A17&lt;$Q$6,INDEX(Surface_Engine!$D$12:$D$72,$A17+1)+(Surface_Engine!B236*12)*INDEX(Surface_Engine!$F$12:$F$72,$A17+1)-(Surface_Engine!B236*12),1000*12*INDEX(Surface_Engine!$C$12:$C$72,$A17+1)/(1+Assumptions!$B$10)^15+INDEX(Surface_Engine!$D$12:$D$72,$A17+1)))*INDEX(Surface_Engine!$B$12:$B$72,$A17+1)+G18</f>
        <v>63072.7078258696</v>
      </c>
      <c r="H17" s="48" t="n">
        <f aca="false">D17*(IF($A17&lt;$Q$6,INDEX(Surface_Engine!$D$12:$D$72,$A17+1)+(Surface_Engine!B236*12)*INDEX(Surface_Engine!$F$12:$F$72,$A17+1)-(Surface_Engine!B236*12),1000*12*INDEX(Surface_Engine!$C$12:$C$72,$A17+1)/(1+Assumptions!$B$10)^15+INDEX(Surface_Engine!$D$12:$D$72,$A17+1)))*INDEX(Surface_Engine!$B$12:$B$72,$A17+1)+H18</f>
        <v>48606.1372979463</v>
      </c>
      <c r="I17" s="48" t="n">
        <f aca="false">E17*(IF($A17&lt;$Q$6,INDEX(Surface_Engine!$D$12:$D$72,$A17+1)+(Surface_Engine!B236*12)*INDEX(Surface_Engine!$F$12:$F$72,$A17+1)-(Surface_Engine!B236*12),1000*12*INDEX(Surface_Engine!$C$12:$C$72,$A17+1)/(1+Assumptions!$B$10)^15+INDEX(Surface_Engine!$D$12:$D$72,$A17+1)))*INDEX(Surface_Engine!$B$12:$B$72,$A17+1)+I18</f>
        <v>60317.0704003332</v>
      </c>
      <c r="J17" s="48" t="n">
        <f aca="false">B17*(IF($A17&lt;$Q$6,INDEX(Surface_Engine!$D$12:$D$72,$A17+1)*(1+Assumptions!$B$24)+(Surface_Engine!B236*12)*INDEX(Surface_Engine!$F$12:$F$72,$A17+1)-(Surface_Engine!B236*12),1000*12*INDEX(Surface_Engine!$C$12:$C$72,$A17+1)/(1+Assumptions!$B$10)^15+INDEX(Surface_Engine!$D$12:$D$72,$A17+1)*(1+Assumptions!$B$24)))*INDEX(Surface_Engine!$B$12:$B$72,$A17+1)+J18</f>
        <v>54304.1361955889</v>
      </c>
      <c r="K17" s="12" t="n">
        <f aca="false">SQRT((IF(C17&lt;=0,0,MAX(0,(B17/C17)*G17/INDEX(Surface_Engine!$B$12:$B$72,$A17+1)-F17/INDEX(Surface_Engine!$B$12:$B$72,$A17+1))))^2+(MAX(IF(D17&lt;=0,0,MAX(0,(B17/D17)*H17/INDEX(Surface_Engine!$B$12:$B$72,$A17+1)-F17/INDEX(Surface_Engine!$B$12:$B$72,$A17+1))),IF(E17&lt;=0,0,MAX(0,(B17/E17)*I17/INDEX(Surface_Engine!$B$12:$B$72,$A17+1)-F17/INDEX(Surface_Engine!$B$12:$B$72,$A17+1))),IF($A17&lt;$Q$6,MAX(0,-Assumptions!$B$22*(F17/INDEX(Surface_Engine!$B$12:$B$72,$A17+1))),0)))^2+(MAX(0,J17/INDEX(Surface_Engine!$B$12:$B$72,$A17+1)-(F17/INDEX(Surface_Engine!$B$12:$B$72,$A17+1))))^2+2*Assumptions!$B$26*(IF(C17&lt;=0,0,MAX(0,(B17/C17)*G17/INDEX(Surface_Engine!$B$12:$B$72,$A17+1)-F17/INDEX(Surface_Engine!$B$12:$B$72,$A17+1))))*(MAX(IF(D17&lt;=0,0,MAX(0,(B17/D17)*H17/INDEX(Surface_Engine!$B$12:$B$72,$A17+1)-F17/INDEX(Surface_Engine!$B$12:$B$72,$A17+1))),IF(E17&lt;=0,0,MAX(0,(B17/E17)*I17/INDEX(Surface_Engine!$B$12:$B$72,$A17+1)-F17/INDEX(Surface_Engine!$B$12:$B$72,$A17+1))),IF($A17&lt;$Q$6,MAX(0,-Assumptions!$B$22*(F17/INDEX(Surface_Engine!$B$12:$B$72,$A17+1))),0)))+2*Assumptions!$B$27*(IF(C17&lt;=0,0,MAX(0,(B17/C17)*G17/INDEX(Surface_Engine!$B$12:$B$72,$A17+1)-F17/INDEX(Surface_Engine!$B$12:$B$72,$A17+1))))*(MAX(0,J17/INDEX(Surface_Engine!$B$12:$B$72,$A17+1)-(F17/INDEX(Surface_Engine!$B$12:$B$72,$A17+1))))+2*Assumptions!$B$28*(MAX(IF(D17&lt;=0,0,MAX(0,(B17/D17)*H17/INDEX(Surface_Engine!$B$12:$B$72,$A17+1)-F17/INDEX(Surface_Engine!$B$12:$B$72,$A17+1))),IF(E17&lt;=0,0,MAX(0,(B17/E17)*I17/INDEX(Surface_Engine!$B$12:$B$72,$A17+1)-F17/INDEX(Surface_Engine!$B$12:$B$72,$A17+1))),IF($A17&lt;$Q$6,MAX(0,-Assumptions!$B$22*(F17/INDEX(Surface_Engine!$B$12:$B$72,$A17+1))),0)))*(MAX(0,J17/INDEX(Surface_Engine!$B$12:$B$72,$A17+1)-(F17/INDEX(Surface_Engine!$B$12:$B$72,$A17+1)))))</f>
        <v>11806.3679740825</v>
      </c>
      <c r="L17" s="48" t="n">
        <f aca="false">K17*INDEX(Surface_Engine!$B$12:$B$72,$A17+1)+L18</f>
        <v>149818.667061667</v>
      </c>
      <c r="M17" s="48" t="n">
        <f aca="false">M16+B16*(IF($A16&lt;$Q$6,(Surface_Engine!B236*12)-(Surface_Engine!B236*12)*INDEX(Surface_Engine!$F$12:$F$72,$A16+1)-INDEX(Surface_Engine!$D$12:$D$72,$A16+1),-(1000*12*INDEX(Surface_Engine!$C$12:$C$72,$A16+1)/(1+Assumptions!$B$10)^15+INDEX(Surface_Engine!$D$12:$D$72,$A16+1))))*INDEX(Surface_Engine!$B$12:$B$72,$A16+1)</f>
        <v>57280.9046858002</v>
      </c>
      <c r="N17" s="12" t="n">
        <f aca="false">IF(B17&lt;=0,0,MAX(0,(K17+Assumptions!$B$29*L17/INDEX(Surface_Engine!$B$12:$B$72,$A17+1)-(M17/INDEX(Surface_Engine!$B$12:$B$72,$A17+1)-(F17/INDEX(Surface_Engine!$B$12:$B$72,$A17+1))))/B17))</f>
        <v>23187.1046645669</v>
      </c>
    </row>
    <row r="18" customFormat="false" ht="15" hidden="false" customHeight="true" outlineLevel="0" collapsed="false">
      <c r="A18" s="1" t="n">
        <v>10</v>
      </c>
      <c r="B18" s="32" t="n">
        <f aca="false">INDEX(Surface_Engine!$G$12:$G$72,$A18+1)*IF($A18&lt;$Q$6,INDEX(Surface_Engine!$E$12:$E$72,$A18+1),INDEX(Surface_Engine!$E$12:$E$72,$Q$6+1))</f>
        <v>0.822813755074838</v>
      </c>
      <c r="C18" s="32" t="n">
        <f aca="false">INDEX(Panel_Reserving!$B$8:$B$68,$A18+1)*IF($A18&lt;$Q$6,INDEX(Surface_Engine!$E$12:$E$72,$A18+1),INDEX(Surface_Engine!$E$12:$E$72,$Q$6+1))</f>
        <v>0.830394286224382</v>
      </c>
      <c r="D18" s="32" t="n">
        <f aca="false">INDEX(Surface_Engine!$G$12:$G$72,$A18+1)*IF($A18&lt;$Q$6,INDEX(Surface_Engine!$Y$12:$Y$72,$A18+1),INDEX(Surface_Engine!$Y$12:$Y$72,$Q$6+1))</f>
        <v>0.762720750662555</v>
      </c>
      <c r="E18" s="32" t="n">
        <f aca="false">INDEX(Surface_Engine!$G$12:$G$72,$A18+1)*IF($A18&lt;$Q$6,INDEX(Surface_Engine!$Z$12:$Z$72,$A18+1),INDEX(Surface_Engine!$Z$12:$Z$72,$Q$6+1))</f>
        <v>0.886920422708789</v>
      </c>
      <c r="F18" s="48" t="n">
        <f aca="false">B18*(IF($A18&lt;$Q$6,INDEX(Surface_Engine!$D$12:$D$72,$A18+1)+(Surface_Engine!B236*12)*INDEX(Surface_Engine!$F$12:$F$72,$A18+1)-(Surface_Engine!B236*12),1000*12*INDEX(Surface_Engine!$C$12:$C$72,$A18+1)/(1+Assumptions!$B$10)^15+INDEX(Surface_Engine!$D$12:$D$72,$A18+1)))*INDEX(Surface_Engine!$B$12:$B$72,$A18+1)+F19</f>
        <v>59998.1697714302</v>
      </c>
      <c r="G18" s="48" t="n">
        <f aca="false">C18*(IF($A18&lt;$Q$6,INDEX(Surface_Engine!$D$12:$D$72,$A18+1)+(Surface_Engine!B236*12)*INDEX(Surface_Engine!$F$12:$F$72,$A18+1)-(Surface_Engine!B236*12),1000*12*INDEX(Surface_Engine!$C$12:$C$72,$A18+1)/(1+Assumptions!$B$10)^15+INDEX(Surface_Engine!$D$12:$D$72,$A18+1)))*INDEX(Surface_Engine!$B$12:$B$72,$A18+1)+G19</f>
        <v>68936.6975024242</v>
      </c>
      <c r="H18" s="48" t="n">
        <f aca="false">D18*(IF($A18&lt;$Q$6,INDEX(Surface_Engine!$D$12:$D$72,$A18+1)+(Surface_Engine!B236*12)*INDEX(Surface_Engine!$F$12:$F$72,$A18+1)-(Surface_Engine!B236*12),1000*12*INDEX(Surface_Engine!$C$12:$C$72,$A18+1)/(1+Assumptions!$B$10)^15+INDEX(Surface_Engine!$D$12:$D$72,$A18+1)))*INDEX(Surface_Engine!$B$12:$B$72,$A18+1)+H19</f>
        <v>54024.5463282966</v>
      </c>
      <c r="I18" s="48" t="n">
        <f aca="false">E18*(IF($A18&lt;$Q$6,INDEX(Surface_Engine!$D$12:$D$72,$A18+1)+(Surface_Engine!B236*12)*INDEX(Surface_Engine!$F$12:$F$72,$A18+1)-(Surface_Engine!B236*12),1000*12*INDEX(Surface_Engine!$C$12:$C$72,$A18+1)/(1+Assumptions!$B$10)^15+INDEX(Surface_Engine!$D$12:$D$72,$A18+1)))*INDEX(Surface_Engine!$B$12:$B$72,$A18+1)+I19</f>
        <v>66560.2018290412</v>
      </c>
      <c r="J18" s="48" t="n">
        <f aca="false">B18*(IF($A18&lt;$Q$6,INDEX(Surface_Engine!$D$12:$D$72,$A18+1)*(1+Assumptions!$B$24)+(Surface_Engine!B236*12)*INDEX(Surface_Engine!$F$12:$F$72,$A18+1)-(Surface_Engine!B236*12),1000*12*INDEX(Surface_Engine!$C$12:$C$72,$A18+1)/(1+Assumptions!$B$10)^15+INDEX(Surface_Engine!$D$12:$D$72,$A18+1)*(1+Assumptions!$B$24)))*INDEX(Surface_Engine!$B$12:$B$72,$A18+1)+J19</f>
        <v>60115.9581286774</v>
      </c>
      <c r="K18" s="12" t="n">
        <f aca="false">SQRT((IF(C18&lt;=0,0,MAX(0,(B18/C18)*G18/INDEX(Surface_Engine!$B$12:$B$72,$A18+1)-F18/INDEX(Surface_Engine!$B$12:$B$72,$A18+1))))^2+(MAX(IF(D18&lt;=0,0,MAX(0,(B18/D18)*H18/INDEX(Surface_Engine!$B$12:$B$72,$A18+1)-F18/INDEX(Surface_Engine!$B$12:$B$72,$A18+1))),IF(E18&lt;=0,0,MAX(0,(B18/E18)*I18/INDEX(Surface_Engine!$B$12:$B$72,$A18+1)-F18/INDEX(Surface_Engine!$B$12:$B$72,$A18+1))),IF($A18&lt;$Q$6,MAX(0,-Assumptions!$B$22*(F18/INDEX(Surface_Engine!$B$12:$B$72,$A18+1))),0)))^2+(MAX(0,J18/INDEX(Surface_Engine!$B$12:$B$72,$A18+1)-(F18/INDEX(Surface_Engine!$B$12:$B$72,$A18+1))))^2+2*Assumptions!$B$26*(IF(C18&lt;=0,0,MAX(0,(B18/C18)*G18/INDEX(Surface_Engine!$B$12:$B$72,$A18+1)-F18/INDEX(Surface_Engine!$B$12:$B$72,$A18+1))))*(MAX(IF(D18&lt;=0,0,MAX(0,(B18/D18)*H18/INDEX(Surface_Engine!$B$12:$B$72,$A18+1)-F18/INDEX(Surface_Engine!$B$12:$B$72,$A18+1))),IF(E18&lt;=0,0,MAX(0,(B18/E18)*I18/INDEX(Surface_Engine!$B$12:$B$72,$A18+1)-F18/INDEX(Surface_Engine!$B$12:$B$72,$A18+1))),IF($A18&lt;$Q$6,MAX(0,-Assumptions!$B$22*(F18/INDEX(Surface_Engine!$B$12:$B$72,$A18+1))),0)))+2*Assumptions!$B$27*(IF(C18&lt;=0,0,MAX(0,(B18/C18)*G18/INDEX(Surface_Engine!$B$12:$B$72,$A18+1)-F18/INDEX(Surface_Engine!$B$12:$B$72,$A18+1))))*(MAX(0,J18/INDEX(Surface_Engine!$B$12:$B$72,$A18+1)-(F18/INDEX(Surface_Engine!$B$12:$B$72,$A18+1))))+2*Assumptions!$B$28*(MAX(IF(D18&lt;=0,0,MAX(0,(B18/D18)*H18/INDEX(Surface_Engine!$B$12:$B$72,$A18+1)-F18/INDEX(Surface_Engine!$B$12:$B$72,$A18+1))),IF(E18&lt;=0,0,MAX(0,(B18/E18)*I18/INDEX(Surface_Engine!$B$12:$B$72,$A18+1)-F18/INDEX(Surface_Engine!$B$12:$B$72,$A18+1))),IF($A18&lt;$Q$6,MAX(0,-Assumptions!$B$22*(F18/INDEX(Surface_Engine!$B$12:$B$72,$A18+1))),0)))*(MAX(0,J18/INDEX(Surface_Engine!$B$12:$B$72,$A18+1)-(F18/INDEX(Surface_Engine!$B$12:$B$72,$A18+1)))))</f>
        <v>11923.8691561962</v>
      </c>
      <c r="L18" s="48" t="n">
        <f aca="false">K18*INDEX(Surface_Engine!$B$12:$B$72,$A18+1)+L19</f>
        <v>140648.195624236</v>
      </c>
      <c r="M18" s="48" t="n">
        <f aca="false">M17+B17*(IF($A17&lt;$Q$6,(Surface_Engine!B236*12)-(Surface_Engine!B236*12)*INDEX(Surface_Engine!$F$12:$F$72,$A17+1)-INDEX(Surface_Engine!$D$12:$D$72,$A17+1),-(1000*12*INDEX(Surface_Engine!$C$12:$C$72,$A17+1)/(1+Assumptions!$B$10)^15+INDEX(Surface_Engine!$D$12:$D$72,$A17+1))))*INDEX(Surface_Engine!$B$12:$B$72,$A17+1)</f>
        <v>63099.3772136644</v>
      </c>
      <c r="N18" s="12" t="n">
        <f aca="false">IF(B18&lt;=0,0,MAX(0,(K18+Assumptions!$B$29*L18/INDEX(Surface_Engine!$B$12:$B$72,$A18+1)-(M18/INDEX(Surface_Engine!$B$12:$B$72,$A18+1)-(F18/INDEX(Surface_Engine!$B$12:$B$72,$A18+1))))/B18))</f>
        <v>23134.673055307</v>
      </c>
    </row>
    <row r="19" customFormat="false" ht="15" hidden="false" customHeight="true" outlineLevel="0" collapsed="false">
      <c r="A19" s="1" t="n">
        <v>11</v>
      </c>
      <c r="B19" s="32" t="n">
        <f aca="false">INDEX(Surface_Engine!$G$12:$G$72,$A19+1)*IF($A19&lt;$Q$6,INDEX(Surface_Engine!$E$12:$E$72,$A19+1),INDEX(Surface_Engine!$E$12:$E$72,$Q$6+1))</f>
        <v>0.808919890264123</v>
      </c>
      <c r="C19" s="32" t="n">
        <f aca="false">INDEX(Panel_Reserving!$B$8:$B$68,$A19+1)*IF($A19&lt;$Q$6,INDEX(Surface_Engine!$E$12:$E$72,$A19+1),INDEX(Surface_Engine!$E$12:$E$72,$Q$6+1))</f>
        <v>0.817665474135805</v>
      </c>
      <c r="D19" s="32" t="n">
        <f aca="false">INDEX(Surface_Engine!$G$12:$G$72,$A19+1)*IF($A19&lt;$Q$6,INDEX(Surface_Engine!$Y$12:$Y$72,$A19+1),INDEX(Surface_Engine!$Y$12:$Y$72,$Q$6+1))</f>
        <v>0.746398492421855</v>
      </c>
      <c r="E19" s="32" t="n">
        <f aca="false">INDEX(Surface_Engine!$G$12:$G$72,$A19+1)*IF($A19&lt;$Q$6,INDEX(Surface_Engine!$Z$12:$Z$72,$A19+1),INDEX(Surface_Engine!$Z$12:$Z$72,$Q$6+1))</f>
        <v>0.875947845714131</v>
      </c>
      <c r="F19" s="48" t="n">
        <f aca="false">B19*(IF($A19&lt;$Q$6,INDEX(Surface_Engine!$D$12:$D$72,$A19+1)+(Surface_Engine!B236*12)*INDEX(Surface_Engine!$F$12:$F$72,$A19+1)-(Surface_Engine!B236*12),1000*12*INDEX(Surface_Engine!$C$12:$C$72,$A19+1)/(1+Assumptions!$B$10)^15+INDEX(Surface_Engine!$D$12:$D$72,$A19+1)))*INDEX(Surface_Engine!$B$12:$B$72,$A19+1)+F20</f>
        <v>65529.5891053234</v>
      </c>
      <c r="G19" s="48" t="n">
        <f aca="false">C19*(IF($A19&lt;$Q$6,INDEX(Surface_Engine!$D$12:$D$72,$A19+1)+(Surface_Engine!B236*12)*INDEX(Surface_Engine!$F$12:$F$72,$A19+1)-(Surface_Engine!B236*12),1000*12*INDEX(Surface_Engine!$C$12:$C$72,$A19+1)/(1+Assumptions!$B$10)^15+INDEX(Surface_Engine!$D$12:$D$72,$A19+1)))*INDEX(Surface_Engine!$B$12:$B$72,$A19+1)+G20</f>
        <v>74519.0774532287</v>
      </c>
      <c r="H19" s="48" t="n">
        <f aca="false">D19*(IF($A19&lt;$Q$6,INDEX(Surface_Engine!$D$12:$D$72,$A19+1)+(Surface_Engine!B236*12)*INDEX(Surface_Engine!$F$12:$F$72,$A19+1)-(Surface_Engine!B236*12),1000*12*INDEX(Surface_Engine!$C$12:$C$72,$A19+1)/(1+Assumptions!$B$10)^15+INDEX(Surface_Engine!$D$12:$D$72,$A19+1)))*INDEX(Surface_Engine!$B$12:$B$72,$A19+1)+H20</f>
        <v>59151.986506047</v>
      </c>
      <c r="I19" s="48" t="n">
        <f aca="false">E19*(IF($A19&lt;$Q$6,INDEX(Surface_Engine!$D$12:$D$72,$A19+1)+(Surface_Engine!B236*12)*INDEX(Surface_Engine!$F$12:$F$72,$A19+1)-(Surface_Engine!B236*12),1000*12*INDEX(Surface_Engine!$C$12:$C$72,$A19+1)/(1+Assumptions!$B$10)^15+INDEX(Surface_Engine!$D$12:$D$72,$A19+1)))*INDEX(Surface_Engine!$B$12:$B$72,$A19+1)+I20</f>
        <v>72522.5824328388</v>
      </c>
      <c r="J19" s="48" t="n">
        <f aca="false">B19*(IF($A19&lt;$Q$6,INDEX(Surface_Engine!$D$12:$D$72,$A19+1)*(1+Assumptions!$B$24)+(Surface_Engine!B236*12)*INDEX(Surface_Engine!$F$12:$F$72,$A19+1)-(Surface_Engine!B236*12),1000*12*INDEX(Surface_Engine!$C$12:$C$72,$A19+1)/(1+Assumptions!$B$10)^15+INDEX(Surface_Engine!$D$12:$D$72,$A19+1)*(1+Assumptions!$B$24)))*INDEX(Surface_Engine!$B$12:$B$72,$A19+1)+J20</f>
        <v>65640.8950589815</v>
      </c>
      <c r="K19" s="12" t="n">
        <f aca="false">SQRT((IF(C19&lt;=0,0,MAX(0,(B19/C19)*G19/INDEX(Surface_Engine!$B$12:$B$72,$A19+1)-F19/INDEX(Surface_Engine!$B$12:$B$72,$A19+1))))^2+(MAX(IF(D19&lt;=0,0,MAX(0,(B19/D19)*H19/INDEX(Surface_Engine!$B$12:$B$72,$A19+1)-F19/INDEX(Surface_Engine!$B$12:$B$72,$A19+1))),IF(E19&lt;=0,0,MAX(0,(B19/E19)*I19/INDEX(Surface_Engine!$B$12:$B$72,$A19+1)-F19/INDEX(Surface_Engine!$B$12:$B$72,$A19+1))),IF($A19&lt;$Q$6,MAX(0,-Assumptions!$B$22*(F19/INDEX(Surface_Engine!$B$12:$B$72,$A19+1))),0)))^2+(MAX(0,J19/INDEX(Surface_Engine!$B$12:$B$72,$A19+1)-(F19/INDEX(Surface_Engine!$B$12:$B$72,$A19+1))))^2+2*Assumptions!$B$26*(IF(C19&lt;=0,0,MAX(0,(B19/C19)*G19/INDEX(Surface_Engine!$B$12:$B$72,$A19+1)-F19/INDEX(Surface_Engine!$B$12:$B$72,$A19+1))))*(MAX(IF(D19&lt;=0,0,MAX(0,(B19/D19)*H19/INDEX(Surface_Engine!$B$12:$B$72,$A19+1)-F19/INDEX(Surface_Engine!$B$12:$B$72,$A19+1))),IF(E19&lt;=0,0,MAX(0,(B19/E19)*I19/INDEX(Surface_Engine!$B$12:$B$72,$A19+1)-F19/INDEX(Surface_Engine!$B$12:$B$72,$A19+1))),IF($A19&lt;$Q$6,MAX(0,-Assumptions!$B$22*(F19/INDEX(Surface_Engine!$B$12:$B$72,$A19+1))),0)))+2*Assumptions!$B$27*(IF(C19&lt;=0,0,MAX(0,(B19/C19)*G19/INDEX(Surface_Engine!$B$12:$B$72,$A19+1)-F19/INDEX(Surface_Engine!$B$12:$B$72,$A19+1))))*(MAX(0,J19/INDEX(Surface_Engine!$B$12:$B$72,$A19+1)-(F19/INDEX(Surface_Engine!$B$12:$B$72,$A19+1))))+2*Assumptions!$B$28*(MAX(IF(D19&lt;=0,0,MAX(0,(B19/D19)*H19/INDEX(Surface_Engine!$B$12:$B$72,$A19+1)-F19/INDEX(Surface_Engine!$B$12:$B$72,$A19+1))),IF(E19&lt;=0,0,MAX(0,(B19/E19)*I19/INDEX(Surface_Engine!$B$12:$B$72,$A19+1)-F19/INDEX(Surface_Engine!$B$12:$B$72,$A19+1))),IF($A19&lt;$Q$6,MAX(0,-Assumptions!$B$22*(F19/INDEX(Surface_Engine!$B$12:$B$72,$A19+1))),0)))*(MAX(0,J19/INDEX(Surface_Engine!$B$12:$B$72,$A19+1)-(F19/INDEX(Surface_Engine!$B$12:$B$72,$A19+1)))))</f>
        <v>11971.2795676591</v>
      </c>
      <c r="L19" s="48" t="n">
        <f aca="false">K19*INDEX(Surface_Engine!$B$12:$B$72,$A19+1)+L20</f>
        <v>131698.686429597</v>
      </c>
      <c r="M19" s="48" t="n">
        <f aca="false">M18+B18*(IF($A18&lt;$Q$6,(Surface_Engine!B236*12)-(Surface_Engine!B236*12)*INDEX(Surface_Engine!$F$12:$F$72,$A18+1)-INDEX(Surface_Engine!$D$12:$D$72,$A18+1),-(1000*12*INDEX(Surface_Engine!$C$12:$C$72,$A18+1)/(1+Assumptions!$B$10)^15+INDEX(Surface_Engine!$D$12:$D$72,$A18+1))))*INDEX(Surface_Engine!$B$12:$B$72,$A18+1)</f>
        <v>68630.7965475575</v>
      </c>
      <c r="N19" s="12" t="n">
        <f aca="false">IF(B19&lt;=0,0,MAX(0,(K19+Assumptions!$B$29*L19/INDEX(Surface_Engine!$B$12:$B$72,$A19+1)-(M19/INDEX(Surface_Engine!$B$12:$B$72,$A19+1)-(F19/INDEX(Surface_Engine!$B$12:$B$72,$A19+1))))/B19))</f>
        <v>22962.5185001618</v>
      </c>
    </row>
    <row r="20" customFormat="false" ht="15" hidden="false" customHeight="true" outlineLevel="0" collapsed="false">
      <c r="A20" s="1" t="n">
        <v>12</v>
      </c>
      <c r="B20" s="32" t="n">
        <f aca="false">INDEX(Surface_Engine!$G$12:$G$72,$A20+1)*IF($A20&lt;$Q$6,INDEX(Surface_Engine!$E$12:$E$72,$A20+1),INDEX(Surface_Engine!$E$12:$E$72,$Q$6+1))</f>
        <v>0.794579330161838</v>
      </c>
      <c r="C20" s="32" t="n">
        <f aca="false">INDEX(Panel_Reserving!$B$8:$B$68,$A20+1)*IF($A20&lt;$Q$6,INDEX(Surface_Engine!$E$12:$E$72,$A20+1),INDEX(Surface_Engine!$E$12:$E$72,$Q$6+1))</f>
        <v>0.804580841277684</v>
      </c>
      <c r="D20" s="32" t="n">
        <f aca="false">INDEX(Surface_Engine!$G$12:$G$72,$A20+1)*IF($A20&lt;$Q$6,INDEX(Surface_Engine!$Y$12:$Y$72,$A20+1),INDEX(Surface_Engine!$Y$12:$Y$72,$Q$6+1))</f>
        <v>0.729799771584279</v>
      </c>
      <c r="E20" s="32" t="n">
        <f aca="false">INDEX(Surface_Engine!$G$12:$G$72,$A20+1)*IF($A20&lt;$Q$6,INDEX(Surface_Engine!$Z$12:$Z$72,$A20+1),INDEX(Surface_Engine!$Z$12:$Z$72,$Q$6+1))</f>
        <v>0.864369870996635</v>
      </c>
      <c r="F20" s="48" t="n">
        <f aca="false">B20*(IF($A20&lt;$Q$6,INDEX(Surface_Engine!$D$12:$D$72,$A20+1)+(Surface_Engine!B236*12)*INDEX(Surface_Engine!$F$12:$F$72,$A20+1)-(Surface_Engine!B236*12),1000*12*INDEX(Surface_Engine!$C$12:$C$72,$A20+1)/(1+Assumptions!$B$10)^15+INDEX(Surface_Engine!$D$12:$D$72,$A20+1)))*INDEX(Surface_Engine!$B$12:$B$72,$A20+1)+F21</f>
        <v>70795.3249390774</v>
      </c>
      <c r="G20" s="48" t="n">
        <f aca="false">C20*(IF($A20&lt;$Q$6,INDEX(Surface_Engine!$D$12:$D$72,$A20+1)+(Surface_Engine!B236*12)*INDEX(Surface_Engine!$F$12:$F$72,$A20+1)-(Surface_Engine!B236*12),1000*12*INDEX(Surface_Engine!$C$12:$C$72,$A20+1)/(1+Assumptions!$B$10)^15+INDEX(Surface_Engine!$D$12:$D$72,$A20+1)))*INDEX(Surface_Engine!$B$12:$B$72,$A20+1)+G21</f>
        <v>79841.7434415437</v>
      </c>
      <c r="H20" s="48" t="n">
        <f aca="false">D20*(IF($A20&lt;$Q$6,INDEX(Surface_Engine!$D$12:$D$72,$A20+1)+(Surface_Engine!B236*12)*INDEX(Surface_Engine!$F$12:$F$72,$A20+1)-(Surface_Engine!B236*12),1000*12*INDEX(Surface_Engine!$C$12:$C$72,$A20+1)/(1+Assumptions!$B$10)^15+INDEX(Surface_Engine!$D$12:$D$72,$A20+1)))*INDEX(Surface_Engine!$B$12:$B$72,$A20+1)+H21</f>
        <v>64010.7337505021</v>
      </c>
      <c r="I20" s="48" t="n">
        <f aca="false">E20*(IF($A20&lt;$Q$6,INDEX(Surface_Engine!$D$12:$D$72,$A20+1)+(Surface_Engine!B236*12)*INDEX(Surface_Engine!$F$12:$F$72,$A20+1)-(Surface_Engine!B236*12),1000*12*INDEX(Surface_Engine!$C$12:$C$72,$A20+1)/(1+Assumptions!$B$10)^15+INDEX(Surface_Engine!$D$12:$D$72,$A20+1)))*INDEX(Surface_Engine!$B$12:$B$72,$A20+1)+I21</f>
        <v>78224.6426926879</v>
      </c>
      <c r="J20" s="48" t="n">
        <f aca="false">B20*(IF($A20&lt;$Q$6,INDEX(Surface_Engine!$D$12:$D$72,$A20+1)*(1+Assumptions!$B$24)+(Surface_Engine!B236*12)*INDEX(Surface_Engine!$F$12:$F$72,$A20+1)-(Surface_Engine!B236*12),1000*12*INDEX(Surface_Engine!$C$12:$C$72,$A20+1)/(1+Assumptions!$B$10)^15+INDEX(Surface_Engine!$D$12:$D$72,$A20+1)*(1+Assumptions!$B$24)))*INDEX(Surface_Engine!$B$12:$B$72,$A20+1)+J21</f>
        <v>70900.3037202328</v>
      </c>
      <c r="K20" s="12" t="n">
        <f aca="false">SQRT((IF(C20&lt;=0,0,MAX(0,(B20/C20)*G20/INDEX(Surface_Engine!$B$12:$B$72,$A20+1)-F20/INDEX(Surface_Engine!$B$12:$B$72,$A20+1))))^2+(MAX(IF(D20&lt;=0,0,MAX(0,(B20/D20)*H20/INDEX(Surface_Engine!$B$12:$B$72,$A20+1)-F20/INDEX(Surface_Engine!$B$12:$B$72,$A20+1))),IF(E20&lt;=0,0,MAX(0,(B20/E20)*I20/INDEX(Surface_Engine!$B$12:$B$72,$A20+1)-F20/INDEX(Surface_Engine!$B$12:$B$72,$A20+1))),IF($A20&lt;$Q$6,MAX(0,-Assumptions!$B$22*(F20/INDEX(Surface_Engine!$B$12:$B$72,$A20+1))),0)))^2+(MAX(0,J20/INDEX(Surface_Engine!$B$12:$B$72,$A20+1)-(F20/INDEX(Surface_Engine!$B$12:$B$72,$A20+1))))^2+2*Assumptions!$B$26*(IF(C20&lt;=0,0,MAX(0,(B20/C20)*G20/INDEX(Surface_Engine!$B$12:$B$72,$A20+1)-F20/INDEX(Surface_Engine!$B$12:$B$72,$A20+1))))*(MAX(IF(D20&lt;=0,0,MAX(0,(B20/D20)*H20/INDEX(Surface_Engine!$B$12:$B$72,$A20+1)-F20/INDEX(Surface_Engine!$B$12:$B$72,$A20+1))),IF(E20&lt;=0,0,MAX(0,(B20/E20)*I20/INDEX(Surface_Engine!$B$12:$B$72,$A20+1)-F20/INDEX(Surface_Engine!$B$12:$B$72,$A20+1))),IF($A20&lt;$Q$6,MAX(0,-Assumptions!$B$22*(F20/INDEX(Surface_Engine!$B$12:$B$72,$A20+1))),0)))+2*Assumptions!$B$27*(IF(C20&lt;=0,0,MAX(0,(B20/C20)*G20/INDEX(Surface_Engine!$B$12:$B$72,$A20+1)-F20/INDEX(Surface_Engine!$B$12:$B$72,$A20+1))))*(MAX(0,J20/INDEX(Surface_Engine!$B$12:$B$72,$A20+1)-(F20/INDEX(Surface_Engine!$B$12:$B$72,$A20+1))))+2*Assumptions!$B$28*(MAX(IF(D20&lt;=0,0,MAX(0,(B20/D20)*H20/INDEX(Surface_Engine!$B$12:$B$72,$A20+1)-F20/INDEX(Surface_Engine!$B$12:$B$72,$A20+1))),IF(E20&lt;=0,0,MAX(0,(B20/E20)*I20/INDEX(Surface_Engine!$B$12:$B$72,$A20+1)-F20/INDEX(Surface_Engine!$B$12:$B$72,$A20+1))),IF($A20&lt;$Q$6,MAX(0,-Assumptions!$B$22*(F20/INDEX(Surface_Engine!$B$12:$B$72,$A20+1))),0)))*(MAX(0,J20/INDEX(Surface_Engine!$B$12:$B$72,$A20+1)-(F20/INDEX(Surface_Engine!$B$12:$B$72,$A20+1)))))</f>
        <v>12014.2531209905</v>
      </c>
      <c r="L20" s="48" t="n">
        <f aca="false">K20*INDEX(Surface_Engine!$B$12:$B$72,$A20+1)+L21</f>
        <v>122995.698879355</v>
      </c>
      <c r="M20" s="48" t="n">
        <f aca="false">M19+B19*(IF($A19&lt;$Q$6,(Surface_Engine!B236*12)-(Surface_Engine!B236*12)*INDEX(Surface_Engine!$F$12:$F$72,$A19+1)-INDEX(Surface_Engine!$D$12:$D$72,$A19+1),-(1000*12*INDEX(Surface_Engine!$C$12:$C$72,$A19+1)/(1+Assumptions!$B$10)^15+INDEX(Surface_Engine!$D$12:$D$72,$A19+1))))*INDEX(Surface_Engine!$B$12:$B$72,$A19+1)</f>
        <v>73896.5323813115</v>
      </c>
      <c r="N20" s="12" t="n">
        <f aca="false">IF(B20&lt;=0,0,MAX(0,(K20+Assumptions!$B$29*L20/INDEX(Surface_Engine!$B$12:$B$72,$A20+1)-(M20/INDEX(Surface_Engine!$B$12:$B$72,$A20+1)-(F20/INDEX(Surface_Engine!$B$12:$B$72,$A20+1))))/B20))</f>
        <v>22790.3450275025</v>
      </c>
    </row>
    <row r="21" customFormat="false" ht="15" hidden="false" customHeight="true" outlineLevel="0" collapsed="false">
      <c r="A21" s="1" t="n">
        <v>13</v>
      </c>
      <c r="B21" s="32" t="n">
        <f aca="false">INDEX(Surface_Engine!$G$12:$G$72,$A21+1)*IF($A21&lt;$Q$6,INDEX(Surface_Engine!$E$12:$E$72,$A21+1),INDEX(Surface_Engine!$E$12:$E$72,$Q$6+1))</f>
        <v>0.779740737451754</v>
      </c>
      <c r="C21" s="32" t="n">
        <f aca="false">INDEX(Panel_Reserving!$B$8:$B$68,$A21+1)*IF($A21&lt;$Q$6,INDEX(Surface_Engine!$E$12:$E$72,$A21+1),INDEX(Surface_Engine!$E$12:$E$72,$Q$6+1))</f>
        <v>0.791096209177521</v>
      </c>
      <c r="D21" s="32" t="n">
        <f aca="false">INDEX(Surface_Engine!$G$12:$G$72,$A21+1)*IF($A21&lt;$Q$6,INDEX(Surface_Engine!$Y$12:$Y$72,$A21+1),INDEX(Surface_Engine!$Y$12:$Y$72,$Q$6+1))</f>
        <v>0.712882419682469</v>
      </c>
      <c r="E21" s="32" t="n">
        <f aca="false">INDEX(Surface_Engine!$G$12:$G$72,$A21+1)*IF($A21&lt;$Q$6,INDEX(Surface_Engine!$Z$12:$Z$72,$A21+1),INDEX(Surface_Engine!$Z$12:$Z$72,$Q$6+1))</f>
        <v>0.852122836030496</v>
      </c>
      <c r="F21" s="48" t="n">
        <f aca="false">B21*(IF($A21&lt;$Q$6,INDEX(Surface_Engine!$D$12:$D$72,$A21+1)+(Surface_Engine!B236*12)*INDEX(Surface_Engine!$F$12:$F$72,$A21+1)-(Surface_Engine!B236*12),1000*12*INDEX(Surface_Engine!$C$12:$C$72,$A21+1)/(1+Assumptions!$B$10)^15+INDEX(Surface_Engine!$D$12:$D$72,$A21+1)))*INDEX(Surface_Engine!$B$12:$B$72,$A21+1)+F22</f>
        <v>75788.6592958112</v>
      </c>
      <c r="G21" s="48" t="n">
        <f aca="false">C21*(IF($A21&lt;$Q$6,INDEX(Surface_Engine!$D$12:$D$72,$A21+1)+(Surface_Engine!B236*12)*INDEX(Surface_Engine!$F$12:$F$72,$A21+1)-(Surface_Engine!B236*12),1000*12*INDEX(Surface_Engine!$C$12:$C$72,$A21+1)/(1+Assumptions!$B$10)^15+INDEX(Surface_Engine!$D$12:$D$72,$A21+1)))*INDEX(Surface_Engine!$B$12:$B$72,$A21+1)+G22</f>
        <v>84897.9297844522</v>
      </c>
      <c r="H21" s="48" t="n">
        <f aca="false">D21*(IF($A21&lt;$Q$6,INDEX(Surface_Engine!$D$12:$D$72,$A21+1)+(Surface_Engine!B236*12)*INDEX(Surface_Engine!$F$12:$F$72,$A21+1)-(Surface_Engine!B236*12),1000*12*INDEX(Surface_Engine!$C$12:$C$72,$A21+1)/(1+Assumptions!$B$10)^15+INDEX(Surface_Engine!$D$12:$D$72,$A21+1)))*INDEX(Surface_Engine!$B$12:$B$72,$A21+1)+H22</f>
        <v>68596.9772313714</v>
      </c>
      <c r="I21" s="48" t="n">
        <f aca="false">E21*(IF($A21&lt;$Q$6,INDEX(Surface_Engine!$D$12:$D$72,$A21+1)+(Surface_Engine!B236*12)*INDEX(Surface_Engine!$F$12:$F$72,$A21+1)-(Surface_Engine!B236*12),1000*12*INDEX(Surface_Engine!$C$12:$C$72,$A21+1)/(1+Assumptions!$B$10)^15+INDEX(Surface_Engine!$D$12:$D$72,$A21+1)))*INDEX(Surface_Engine!$B$12:$B$72,$A21+1)+I22</f>
        <v>83656.5581854983</v>
      </c>
      <c r="J21" s="48" t="n">
        <f aca="false">B21*(IF($A21&lt;$Q$6,INDEX(Surface_Engine!$D$12:$D$72,$A21+1)*(1+Assumptions!$B$24)+(Surface_Engine!B236*12)*INDEX(Surface_Engine!$F$12:$F$72,$A21+1)-(Surface_Engine!B236*12),1000*12*INDEX(Surface_Engine!$C$12:$C$72,$A21+1)/(1+Assumptions!$B$10)^15+INDEX(Surface_Engine!$D$12:$D$72,$A21+1)*(1+Assumptions!$B$24)))*INDEX(Surface_Engine!$B$12:$B$72,$A21+1)+J22</f>
        <v>75887.4863705794</v>
      </c>
      <c r="K21" s="12" t="n">
        <f aca="false">SQRT((IF(C21&lt;=0,0,MAX(0,(B21/C21)*G21/INDEX(Surface_Engine!$B$12:$B$72,$A21+1)-F21/INDEX(Surface_Engine!$B$12:$B$72,$A21+1))))^2+(MAX(IF(D21&lt;=0,0,MAX(0,(B21/D21)*H21/INDEX(Surface_Engine!$B$12:$B$72,$A21+1)-F21/INDEX(Surface_Engine!$B$12:$B$72,$A21+1))),IF(E21&lt;=0,0,MAX(0,(B21/E21)*I21/INDEX(Surface_Engine!$B$12:$B$72,$A21+1)-F21/INDEX(Surface_Engine!$B$12:$B$72,$A21+1))),IF($A21&lt;$Q$6,MAX(0,-Assumptions!$B$22*(F21/INDEX(Surface_Engine!$B$12:$B$72,$A21+1))),0)))^2+(MAX(0,J21/INDEX(Surface_Engine!$B$12:$B$72,$A21+1)-(F21/INDEX(Surface_Engine!$B$12:$B$72,$A21+1))))^2+2*Assumptions!$B$26*(IF(C21&lt;=0,0,MAX(0,(B21/C21)*G21/INDEX(Surface_Engine!$B$12:$B$72,$A21+1)-F21/INDEX(Surface_Engine!$B$12:$B$72,$A21+1))))*(MAX(IF(D21&lt;=0,0,MAX(0,(B21/D21)*H21/INDEX(Surface_Engine!$B$12:$B$72,$A21+1)-F21/INDEX(Surface_Engine!$B$12:$B$72,$A21+1))),IF(E21&lt;=0,0,MAX(0,(B21/E21)*I21/INDEX(Surface_Engine!$B$12:$B$72,$A21+1)-F21/INDEX(Surface_Engine!$B$12:$B$72,$A21+1))),IF($A21&lt;$Q$6,MAX(0,-Assumptions!$B$22*(F21/INDEX(Surface_Engine!$B$12:$B$72,$A21+1))),0)))+2*Assumptions!$B$27*(IF(C21&lt;=0,0,MAX(0,(B21/C21)*G21/INDEX(Surface_Engine!$B$12:$B$72,$A21+1)-F21/INDEX(Surface_Engine!$B$12:$B$72,$A21+1))))*(MAX(0,J21/INDEX(Surface_Engine!$B$12:$B$72,$A21+1)-(F21/INDEX(Surface_Engine!$B$12:$B$72,$A21+1))))+2*Assumptions!$B$28*(MAX(IF(D21&lt;=0,0,MAX(0,(B21/D21)*H21/INDEX(Surface_Engine!$B$12:$B$72,$A21+1)-F21/INDEX(Surface_Engine!$B$12:$B$72,$A21+1))),IF(E21&lt;=0,0,MAX(0,(B21/E21)*I21/INDEX(Surface_Engine!$B$12:$B$72,$A21+1)-F21/INDEX(Surface_Engine!$B$12:$B$72,$A21+1))),IF($A21&lt;$Q$6,MAX(0,-Assumptions!$B$22*(F21/INDEX(Surface_Engine!$B$12:$B$72,$A21+1))),0)))*(MAX(0,J21/INDEX(Surface_Engine!$B$12:$B$72,$A21+1)-(F21/INDEX(Surface_Engine!$B$12:$B$72,$A21+1)))))</f>
        <v>12009.5088997155</v>
      </c>
      <c r="L21" s="48" t="n">
        <f aca="false">K21*INDEX(Surface_Engine!$B$12:$B$72,$A21+1)+L22</f>
        <v>114561.285621354</v>
      </c>
      <c r="M21" s="48" t="n">
        <f aca="false">M20+B20*(IF($A20&lt;$Q$6,(Surface_Engine!B236*12)-(Surface_Engine!B236*12)*INDEX(Surface_Engine!$F$12:$F$72,$A20+1)-INDEX(Surface_Engine!$D$12:$D$72,$A20+1),-(1000*12*INDEX(Surface_Engine!$C$12:$C$72,$A20+1)/(1+Assumptions!$B$10)^15+INDEX(Surface_Engine!$D$12:$D$72,$A20+1))))*INDEX(Surface_Engine!$B$12:$B$72,$A20+1)</f>
        <v>78889.8667380453</v>
      </c>
      <c r="N21" s="12" t="n">
        <f aca="false">IF(B21&lt;=0,0,MAX(0,(K21+Assumptions!$B$29*L21/INDEX(Surface_Engine!$B$12:$B$72,$A21+1)-(M21/INDEX(Surface_Engine!$B$12:$B$72,$A21+1)-(F21/INDEX(Surface_Engine!$B$12:$B$72,$A21+1))))/B21))</f>
        <v>22536.4993247195</v>
      </c>
    </row>
    <row r="22" customFormat="false" ht="15" hidden="false" customHeight="true" outlineLevel="0" collapsed="false">
      <c r="A22" s="1" t="n">
        <v>14</v>
      </c>
      <c r="B22" s="32" t="n">
        <f aca="false">INDEX(Surface_Engine!$G$12:$G$72,$A22+1)*IF($A22&lt;$Q$6,INDEX(Surface_Engine!$E$12:$E$72,$A22+1),INDEX(Surface_Engine!$E$12:$E$72,$Q$6+1))</f>
        <v>0.76434787187485</v>
      </c>
      <c r="C22" s="32" t="n">
        <f aca="false">INDEX(Panel_Reserving!$B$8:$B$68,$A22+1)*IF($A22&lt;$Q$6,INDEX(Surface_Engine!$E$12:$E$72,$A22+1),INDEX(Surface_Engine!$E$12:$E$72,$Q$6+1))</f>
        <v>0.777162786878564</v>
      </c>
      <c r="D22" s="32" t="n">
        <f aca="false">INDEX(Surface_Engine!$G$12:$G$72,$A22+1)*IF($A22&lt;$Q$6,INDEX(Surface_Engine!$Y$12:$Y$72,$A22+1),INDEX(Surface_Engine!$Y$12:$Y$72,$Q$6+1))</f>
        <v>0.695600621759054</v>
      </c>
      <c r="E22" s="32" t="n">
        <f aca="false">INDEX(Surface_Engine!$G$12:$G$72,$A22+1)*IF($A22&lt;$Q$6,INDEX(Surface_Engine!$Z$12:$Z$72,$A22+1),INDEX(Surface_Engine!$Z$12:$Z$72,$Q$6+1))</f>
        <v>0.839136598256457</v>
      </c>
      <c r="F22" s="48" t="n">
        <f aca="false">B22*(IF($A22&lt;$Q$6,INDEX(Surface_Engine!$D$12:$D$72,$A22+1)+(Surface_Engine!B236*12)*INDEX(Surface_Engine!$F$12:$F$72,$A22+1)-(Surface_Engine!B236*12),1000*12*INDEX(Surface_Engine!$C$12:$C$72,$A22+1)/(1+Assumptions!$B$10)^15+INDEX(Surface_Engine!$D$12:$D$72,$A22+1)))*INDEX(Surface_Engine!$B$12:$B$72,$A22+1)+F23</f>
        <v>80520.3815002986</v>
      </c>
      <c r="G22" s="48" t="n">
        <f aca="false">C22*(IF($A22&lt;$Q$6,INDEX(Surface_Engine!$D$12:$D$72,$A22+1)+(Surface_Engine!B236*12)*INDEX(Surface_Engine!$F$12:$F$72,$A22+1)-(Surface_Engine!B236*12),1000*12*INDEX(Surface_Engine!$C$12:$C$72,$A22+1)/(1+Assumptions!$B$10)^15+INDEX(Surface_Engine!$D$12:$D$72,$A22+1)))*INDEX(Surface_Engine!$B$12:$B$72,$A22+1)+G23</f>
        <v>89698.5607109371</v>
      </c>
      <c r="H22" s="48" t="n">
        <f aca="false">D22*(IF($A22&lt;$Q$6,INDEX(Surface_Engine!$D$12:$D$72,$A22+1)+(Surface_Engine!B236*12)*INDEX(Surface_Engine!$F$12:$F$72,$A22+1)-(Surface_Engine!B236*12),1000*12*INDEX(Surface_Engine!$C$12:$C$72,$A22+1)/(1+Assumptions!$B$10)^15+INDEX(Surface_Engine!$D$12:$D$72,$A22+1)))*INDEX(Surface_Engine!$B$12:$B$72,$A22+1)+H23</f>
        <v>72922.9812637168</v>
      </c>
      <c r="I22" s="48" t="n">
        <f aca="false">E22*(IF($A22&lt;$Q$6,INDEX(Surface_Engine!$D$12:$D$72,$A22+1)+(Surface_Engine!B236*12)*INDEX(Surface_Engine!$F$12:$F$72,$A22+1)-(Surface_Engine!B236*12),1000*12*INDEX(Surface_Engine!$C$12:$C$72,$A22+1)/(1+Assumptions!$B$10)^15+INDEX(Surface_Engine!$D$12:$D$72,$A22+1)))*INDEX(Surface_Engine!$B$12:$B$72,$A22+1)+I23</f>
        <v>88827.5186734333</v>
      </c>
      <c r="J22" s="48" t="n">
        <f aca="false">B22*(IF($A22&lt;$Q$6,INDEX(Surface_Engine!$D$12:$D$72,$A22+1)*(1+Assumptions!$B$24)+(Surface_Engine!B236*12)*INDEX(Surface_Engine!$F$12:$F$72,$A22+1)-(Surface_Engine!B236*12),1000*12*INDEX(Surface_Engine!$C$12:$C$72,$A22+1)/(1+Assumptions!$B$10)^15+INDEX(Surface_Engine!$D$12:$D$72,$A22+1)*(1+Assumptions!$B$24)))*INDEX(Surface_Engine!$B$12:$B$72,$A22+1)+J23</f>
        <v>80613.2315945813</v>
      </c>
      <c r="K22" s="12" t="n">
        <f aca="false">SQRT((IF(C22&lt;=0,0,MAX(0,(B22/C22)*G22/INDEX(Surface_Engine!$B$12:$B$72,$A22+1)-F22/INDEX(Surface_Engine!$B$12:$B$72,$A22+1))))^2+(MAX(IF(D22&lt;=0,0,MAX(0,(B22/D22)*H22/INDEX(Surface_Engine!$B$12:$B$72,$A22+1)-F22/INDEX(Surface_Engine!$B$12:$B$72,$A22+1))),IF(E22&lt;=0,0,MAX(0,(B22/E22)*I22/INDEX(Surface_Engine!$B$12:$B$72,$A22+1)-F22/INDEX(Surface_Engine!$B$12:$B$72,$A22+1))),IF($A22&lt;$Q$6,MAX(0,-Assumptions!$B$22*(F22/INDEX(Surface_Engine!$B$12:$B$72,$A22+1))),0)))^2+(MAX(0,J22/INDEX(Surface_Engine!$B$12:$B$72,$A22+1)-(F22/INDEX(Surface_Engine!$B$12:$B$72,$A22+1))))^2+2*Assumptions!$B$26*(IF(C22&lt;=0,0,MAX(0,(B22/C22)*G22/INDEX(Surface_Engine!$B$12:$B$72,$A22+1)-F22/INDEX(Surface_Engine!$B$12:$B$72,$A22+1))))*(MAX(IF(D22&lt;=0,0,MAX(0,(B22/D22)*H22/INDEX(Surface_Engine!$B$12:$B$72,$A22+1)-F22/INDEX(Surface_Engine!$B$12:$B$72,$A22+1))),IF(E22&lt;=0,0,MAX(0,(B22/E22)*I22/INDEX(Surface_Engine!$B$12:$B$72,$A22+1)-F22/INDEX(Surface_Engine!$B$12:$B$72,$A22+1))),IF($A22&lt;$Q$6,MAX(0,-Assumptions!$B$22*(F22/INDEX(Surface_Engine!$B$12:$B$72,$A22+1))),0)))+2*Assumptions!$B$27*(IF(C22&lt;=0,0,MAX(0,(B22/C22)*G22/INDEX(Surface_Engine!$B$12:$B$72,$A22+1)-F22/INDEX(Surface_Engine!$B$12:$B$72,$A22+1))))*(MAX(0,J22/INDEX(Surface_Engine!$B$12:$B$72,$A22+1)-(F22/INDEX(Surface_Engine!$B$12:$B$72,$A22+1))))+2*Assumptions!$B$28*(MAX(IF(D22&lt;=0,0,MAX(0,(B22/D22)*H22/INDEX(Surface_Engine!$B$12:$B$72,$A22+1)-F22/INDEX(Surface_Engine!$B$12:$B$72,$A22+1))),IF(E22&lt;=0,0,MAX(0,(B22/E22)*I22/INDEX(Surface_Engine!$B$12:$B$72,$A22+1)-F22/INDEX(Surface_Engine!$B$12:$B$72,$A22+1))),IF($A22&lt;$Q$6,MAX(0,-Assumptions!$B$22*(F22/INDEX(Surface_Engine!$B$12:$B$72,$A22+1))),0)))*(MAX(0,J22/INDEX(Surface_Engine!$B$12:$B$72,$A22+1)-(F22/INDEX(Surface_Engine!$B$12:$B$72,$A22+1)))))</f>
        <v>11947.7885767908</v>
      </c>
      <c r="L22" s="48" t="n">
        <f aca="false">K22*INDEX(Surface_Engine!$B$12:$B$72,$A22+1)+L23</f>
        <v>106417.379489453</v>
      </c>
      <c r="M22" s="48" t="n">
        <f aca="false">M21+B21*(IF($A21&lt;$Q$6,(Surface_Engine!B236*12)-(Surface_Engine!B236*12)*INDEX(Surface_Engine!$F$12:$F$72,$A21+1)-INDEX(Surface_Engine!$D$12:$D$72,$A21+1),-(1000*12*INDEX(Surface_Engine!$C$12:$C$72,$A21+1)/(1+Assumptions!$B$10)^15+INDEX(Surface_Engine!$D$12:$D$72,$A21+1))))*INDEX(Surface_Engine!$B$12:$B$72,$A21+1)</f>
        <v>83621.5889425327</v>
      </c>
      <c r="N22" s="12" t="n">
        <f aca="false">IF(B22&lt;=0,0,MAX(0,(K22+Assumptions!$B$29*L22/INDEX(Surface_Engine!$B$12:$B$72,$A22+1)-(M22/INDEX(Surface_Engine!$B$12:$B$72,$A22+1)-(F22/INDEX(Surface_Engine!$B$12:$B$72,$A22+1))))/B22))</f>
        <v>22185.6932709578</v>
      </c>
    </row>
    <row r="23" customFormat="false" ht="15" hidden="false" customHeight="true" outlineLevel="0" collapsed="false">
      <c r="A23" s="1" t="n">
        <v>15</v>
      </c>
      <c r="B23" s="32" t="n">
        <f aca="false">INDEX(Surface_Engine!$G$12:$G$72,$A23+1)*IF($A23&lt;$Q$6,INDEX(Surface_Engine!$E$12:$E$72,$A23+1),INDEX(Surface_Engine!$E$12:$E$72,$Q$6+1))</f>
        <v>0.74833941160122</v>
      </c>
      <c r="C23" s="32" t="n">
        <f aca="false">INDEX(Panel_Reserving!$B$8:$B$68,$A23+1)*IF($A23&lt;$Q$6,INDEX(Surface_Engine!$E$12:$E$72,$A23+1),INDEX(Surface_Engine!$E$12:$E$72,$Q$6+1))</f>
        <v>0.762726866481032</v>
      </c>
      <c r="D23" s="32" t="n">
        <f aca="false">INDEX(Surface_Engine!$G$12:$G$72,$A23+1)*IF($A23&lt;$Q$6,INDEX(Surface_Engine!$Y$12:$Y$72,$A23+1),INDEX(Surface_Engine!$Y$12:$Y$72,$Q$6+1))</f>
        <v>0.677904847464119</v>
      </c>
      <c r="E23" s="32" t="n">
        <f aca="false">INDEX(Surface_Engine!$G$12:$G$72,$A23+1)*IF($A23&lt;$Q$6,INDEX(Surface_Engine!$Z$12:$Z$72,$A23+1),INDEX(Surface_Engine!$Z$12:$Z$72,$Q$6+1))</f>
        <v>0.825334202163495</v>
      </c>
      <c r="F23" s="48" t="n">
        <f aca="false">B23*(IF($A23&lt;$Q$6,INDEX(Surface_Engine!$D$12:$D$72,$A23+1)+(Surface_Engine!B236*12)*INDEX(Surface_Engine!$F$12:$F$72,$A23+1)-(Surface_Engine!B236*12),1000*12*INDEX(Surface_Engine!$C$12:$C$72,$A23+1)/(1+Assumptions!$B$10)^15+INDEX(Surface_Engine!$D$12:$D$72,$A23+1)))*INDEX(Surface_Engine!$B$12:$B$72,$A23+1)+F24</f>
        <v>85002.4292301691</v>
      </c>
      <c r="G23" s="48" t="n">
        <f aca="false">C23*(IF($A23&lt;$Q$6,INDEX(Surface_Engine!$D$12:$D$72,$A23+1)+(Surface_Engine!B236*12)*INDEX(Surface_Engine!$F$12:$F$72,$A23+1)-(Surface_Engine!B236*12),1000*12*INDEX(Surface_Engine!$C$12:$C$72,$A23+1)/(1+Assumptions!$B$10)^15+INDEX(Surface_Engine!$D$12:$D$72,$A23+1)))*INDEX(Surface_Engine!$B$12:$B$72,$A23+1)+G24</f>
        <v>94255.7536237987</v>
      </c>
      <c r="H23" s="48" t="n">
        <f aca="false">D23*(IF($A23&lt;$Q$6,INDEX(Surface_Engine!$D$12:$D$72,$A23+1)+(Surface_Engine!B236*12)*INDEX(Surface_Engine!$F$12:$F$72,$A23+1)-(Surface_Engine!B236*12),1000*12*INDEX(Surface_Engine!$C$12:$C$72,$A23+1)/(1+Assumptions!$B$10)^15+INDEX(Surface_Engine!$D$12:$D$72,$A23+1)))*INDEX(Surface_Engine!$B$12:$B$72,$A23+1)+H24</f>
        <v>77001.9030509971</v>
      </c>
      <c r="I23" s="48" t="n">
        <f aca="false">E23*(IF($A23&lt;$Q$6,INDEX(Surface_Engine!$D$12:$D$72,$A23+1)+(Surface_Engine!B236*12)*INDEX(Surface_Engine!$F$12:$F$72,$A23+1)-(Surface_Engine!B236*12),1000*12*INDEX(Surface_Engine!$C$12:$C$72,$A23+1)/(1+Assumptions!$B$10)^15+INDEX(Surface_Engine!$D$12:$D$72,$A23+1)))*INDEX(Surface_Engine!$B$12:$B$72,$A23+1)+I24</f>
        <v>93748.1188656484</v>
      </c>
      <c r="J23" s="48" t="n">
        <f aca="false">B23*(IF($A23&lt;$Q$6,INDEX(Surface_Engine!$D$12:$D$72,$A23+1)*(1+Assumptions!$B$24)+(Surface_Engine!B236*12)*INDEX(Surface_Engine!$F$12:$F$72,$A23+1)-(Surface_Engine!B236*12),1000*12*INDEX(Surface_Engine!$C$12:$C$72,$A23+1)/(1+Assumptions!$B$10)^15+INDEX(Surface_Engine!$D$12:$D$72,$A23+1)*(1+Assumptions!$B$24)))*INDEX(Surface_Engine!$B$12:$B$72,$A23+1)+J24</f>
        <v>85089.4743527153</v>
      </c>
      <c r="K23" s="12" t="n">
        <f aca="false">SQRT((IF(C23&lt;=0,0,MAX(0,(B23/C23)*G23/INDEX(Surface_Engine!$B$12:$B$72,$A23+1)-F23/INDEX(Surface_Engine!$B$12:$B$72,$A23+1))))^2+(MAX(IF(D23&lt;=0,0,MAX(0,(B23/D23)*H23/INDEX(Surface_Engine!$B$12:$B$72,$A23+1)-F23/INDEX(Surface_Engine!$B$12:$B$72,$A23+1))),IF(E23&lt;=0,0,MAX(0,(B23/E23)*I23/INDEX(Surface_Engine!$B$12:$B$72,$A23+1)-F23/INDEX(Surface_Engine!$B$12:$B$72,$A23+1))),IF($A23&lt;$Q$6,MAX(0,-Assumptions!$B$22*(F23/INDEX(Surface_Engine!$B$12:$B$72,$A23+1))),0)))^2+(MAX(0,J23/INDEX(Surface_Engine!$B$12:$B$72,$A23+1)-(F23/INDEX(Surface_Engine!$B$12:$B$72,$A23+1))))^2+2*Assumptions!$B$26*(IF(C23&lt;=0,0,MAX(0,(B23/C23)*G23/INDEX(Surface_Engine!$B$12:$B$72,$A23+1)-F23/INDEX(Surface_Engine!$B$12:$B$72,$A23+1))))*(MAX(IF(D23&lt;=0,0,MAX(0,(B23/D23)*H23/INDEX(Surface_Engine!$B$12:$B$72,$A23+1)-F23/INDEX(Surface_Engine!$B$12:$B$72,$A23+1))),IF(E23&lt;=0,0,MAX(0,(B23/E23)*I23/INDEX(Surface_Engine!$B$12:$B$72,$A23+1)-F23/INDEX(Surface_Engine!$B$12:$B$72,$A23+1))),IF($A23&lt;$Q$6,MAX(0,-Assumptions!$B$22*(F23/INDEX(Surface_Engine!$B$12:$B$72,$A23+1))),0)))+2*Assumptions!$B$27*(IF(C23&lt;=0,0,MAX(0,(B23/C23)*G23/INDEX(Surface_Engine!$B$12:$B$72,$A23+1)-F23/INDEX(Surface_Engine!$B$12:$B$72,$A23+1))))*(MAX(0,J23/INDEX(Surface_Engine!$B$12:$B$72,$A23+1)-(F23/INDEX(Surface_Engine!$B$12:$B$72,$A23+1))))+2*Assumptions!$B$28*(MAX(IF(D23&lt;=0,0,MAX(0,(B23/D23)*H23/INDEX(Surface_Engine!$B$12:$B$72,$A23+1)-F23/INDEX(Surface_Engine!$B$12:$B$72,$A23+1))),IF(E23&lt;=0,0,MAX(0,(B23/E23)*I23/INDEX(Surface_Engine!$B$12:$B$72,$A23+1)-F23/INDEX(Surface_Engine!$B$12:$B$72,$A23+1))),IF($A23&lt;$Q$6,MAX(0,-Assumptions!$B$22*(F23/INDEX(Surface_Engine!$B$12:$B$72,$A23+1))),0)))*(MAX(0,J23/INDEX(Surface_Engine!$B$12:$B$72,$A23+1)-(F23/INDEX(Surface_Engine!$B$12:$B$72,$A23+1)))))</f>
        <v>11864.3595880363</v>
      </c>
      <c r="L23" s="48" t="n">
        <f aca="false">K23*INDEX(Surface_Engine!$B$12:$B$72,$A23+1)+L24</f>
        <v>98585.8135326772</v>
      </c>
      <c r="M23" s="48" t="n">
        <f aca="false">M22+B22*(IF($A22&lt;$Q$6,(Surface_Engine!B236*12)-(Surface_Engine!B236*12)*INDEX(Surface_Engine!$F$12:$F$72,$A22+1)-INDEX(Surface_Engine!$D$12:$D$72,$A22+1),-(1000*12*INDEX(Surface_Engine!$C$12:$C$72,$A22+1)/(1+Assumptions!$B$10)^15+INDEX(Surface_Engine!$D$12:$D$72,$A22+1))))*INDEX(Surface_Engine!$B$12:$B$72,$A22+1)</f>
        <v>88103.6366724032</v>
      </c>
      <c r="N23" s="12" t="n">
        <f aca="false">IF(B23&lt;=0,0,MAX(0,(K23+Assumptions!$B$29*L23/INDEX(Surface_Engine!$B$12:$B$72,$A23+1)-(M23/INDEX(Surface_Engine!$B$12:$B$72,$A23+1)-(F23/INDEX(Surface_Engine!$B$12:$B$72,$A23+1))))/B23))</f>
        <v>21804.5469113247</v>
      </c>
    </row>
    <row r="24" customFormat="false" ht="15" hidden="false" customHeight="true" outlineLevel="0" collapsed="false">
      <c r="A24" s="1" t="n">
        <v>16</v>
      </c>
      <c r="B24" s="32" t="n">
        <f aca="false">INDEX(Surface_Engine!$G$12:$G$72,$A24+1)*IF($A24&lt;$Q$6,INDEX(Surface_Engine!$E$12:$E$72,$A24+1),INDEX(Surface_Engine!$E$12:$E$72,$Q$6+1))</f>
        <v>0.738015780414074</v>
      </c>
      <c r="C24" s="32" t="n">
        <f aca="false">INDEX(Panel_Reserving!$B$8:$B$68,$A24+1)*IF($A24&lt;$Q$6,INDEX(Surface_Engine!$E$12:$E$72,$A24+1),INDEX(Surface_Engine!$E$12:$E$72,$Q$6+1))</f>
        <v>0.754309177134184</v>
      </c>
      <c r="D24" s="32" t="n">
        <f aca="false">INDEX(Surface_Engine!$G$12:$G$72,$A24+1)*IF($A24&lt;$Q$6,INDEX(Surface_Engine!$Y$12:$Y$72,$A24+1),INDEX(Surface_Engine!$Y$12:$Y$72,$Q$6+1))</f>
        <v>0.668552888290642</v>
      </c>
      <c r="E24" s="32" t="n">
        <f aca="false">INDEX(Surface_Engine!$G$12:$G$72,$A24+1)*IF($A24&lt;$Q$6,INDEX(Surface_Engine!$Z$12:$Z$72,$A24+1),INDEX(Surface_Engine!$Z$12:$Z$72,$Q$6+1))</f>
        <v>0.813948398105624</v>
      </c>
      <c r="F24" s="48" t="n">
        <f aca="false">B24*(IF($A24&lt;$Q$6,INDEX(Surface_Engine!$D$12:$D$72,$A24+1)+(Surface_Engine!B236*12)*INDEX(Surface_Engine!$F$12:$F$72,$A24+1)-(Surface_Engine!B236*12),1000*12*INDEX(Surface_Engine!$C$12:$C$72,$A24+1)/(1+Assumptions!$B$10)^15+INDEX(Surface_Engine!$D$12:$D$72,$A24+1)))*INDEX(Surface_Engine!$B$12:$B$72,$A24+1)+F25</f>
        <v>79271.3744876834</v>
      </c>
      <c r="G24" s="48" t="n">
        <f aca="false">C24*(IF($A24&lt;$Q$6,INDEX(Surface_Engine!$D$12:$D$72,$A24+1)+(Surface_Engine!B236*12)*INDEX(Surface_Engine!$F$12:$F$72,$A24+1)-(Surface_Engine!B236*12),1000*12*INDEX(Surface_Engine!$C$12:$C$72,$A24+1)/(1+Assumptions!$B$10)^15+INDEX(Surface_Engine!$D$12:$D$72,$A24+1)))*INDEX(Surface_Engine!$B$12:$B$72,$A24+1)+G25</f>
        <v>88414.5145314806</v>
      </c>
      <c r="H24" s="48" t="n">
        <f aca="false">D24*(IF($A24&lt;$Q$6,INDEX(Surface_Engine!$D$12:$D$72,$A24+1)+(Surface_Engine!B236*12)*INDEX(Surface_Engine!$F$12:$F$72,$A24+1)-(Surface_Engine!B236*12),1000*12*INDEX(Surface_Engine!$C$12:$C$72,$A24+1)/(1+Assumptions!$B$10)^15+INDEX(Surface_Engine!$D$12:$D$72,$A24+1)))*INDEX(Surface_Engine!$B$12:$B$72,$A24+1)+H25</f>
        <v>71810.261757242</v>
      </c>
      <c r="I24" s="48" t="n">
        <f aca="false">E24*(IF($A24&lt;$Q$6,INDEX(Surface_Engine!$D$12:$D$72,$A24+1)+(Surface_Engine!B236*12)*INDEX(Surface_Engine!$F$12:$F$72,$A24+1)-(Surface_Engine!B236*12),1000*12*INDEX(Surface_Engine!$C$12:$C$72,$A24+1)/(1+Assumptions!$B$10)^15+INDEX(Surface_Engine!$D$12:$D$72,$A24+1)))*INDEX(Surface_Engine!$B$12:$B$72,$A24+1)+I25</f>
        <v>87427.410080147</v>
      </c>
      <c r="J24" s="48" t="n">
        <f aca="false">B24*(IF($A24&lt;$Q$6,INDEX(Surface_Engine!$D$12:$D$72,$A24+1)*(1+Assumptions!$B$24)+(Surface_Engine!B236*12)*INDEX(Surface_Engine!$F$12:$F$72,$A24+1)-(Surface_Engine!B236*12),1000*12*INDEX(Surface_Engine!$C$12:$C$72,$A24+1)/(1+Assumptions!$B$10)^15+INDEX(Surface_Engine!$D$12:$D$72,$A24+1)*(1+Assumptions!$B$24)))*INDEX(Surface_Engine!$B$12:$B$72,$A24+1)+J25</f>
        <v>79352.8033375007</v>
      </c>
      <c r="K24" s="12" t="n">
        <f aca="false">SQRT((IF(C24&lt;=0,0,MAX(0,(B24/C24)*G24/INDEX(Surface_Engine!$B$12:$B$72,$A24+1)-F24/INDEX(Surface_Engine!$B$12:$B$72,$A24+1))))^2+(MAX(IF(D24&lt;=0,0,MAX(0,(B24/D24)*H24/INDEX(Surface_Engine!$B$12:$B$72,$A24+1)-F24/INDEX(Surface_Engine!$B$12:$B$72,$A24+1))),IF(E24&lt;=0,0,MAX(0,(B24/E24)*I24/INDEX(Surface_Engine!$B$12:$B$72,$A24+1)-F24/INDEX(Surface_Engine!$B$12:$B$72,$A24+1))),IF($A24&lt;$Q$6,MAX(0,-Assumptions!$B$22*(F24/INDEX(Surface_Engine!$B$12:$B$72,$A24+1))),0)))^2+(MAX(0,J24/INDEX(Surface_Engine!$B$12:$B$72,$A24+1)-(F24/INDEX(Surface_Engine!$B$12:$B$72,$A24+1))))^2+2*Assumptions!$B$26*(IF(C24&lt;=0,0,MAX(0,(B24/C24)*G24/INDEX(Surface_Engine!$B$12:$B$72,$A24+1)-F24/INDEX(Surface_Engine!$B$12:$B$72,$A24+1))))*(MAX(IF(D24&lt;=0,0,MAX(0,(B24/D24)*H24/INDEX(Surface_Engine!$B$12:$B$72,$A24+1)-F24/INDEX(Surface_Engine!$B$12:$B$72,$A24+1))),IF(E24&lt;=0,0,MAX(0,(B24/E24)*I24/INDEX(Surface_Engine!$B$12:$B$72,$A24+1)-F24/INDEX(Surface_Engine!$B$12:$B$72,$A24+1))),IF($A24&lt;$Q$6,MAX(0,-Assumptions!$B$22*(F24/INDEX(Surface_Engine!$B$12:$B$72,$A24+1))),0)))+2*Assumptions!$B$27*(IF(C24&lt;=0,0,MAX(0,(B24/C24)*G24/INDEX(Surface_Engine!$B$12:$B$72,$A24+1)-F24/INDEX(Surface_Engine!$B$12:$B$72,$A24+1))))*(MAX(0,J24/INDEX(Surface_Engine!$B$12:$B$72,$A24+1)-(F24/INDEX(Surface_Engine!$B$12:$B$72,$A24+1))))+2*Assumptions!$B$28*(MAX(IF(D24&lt;=0,0,MAX(0,(B24/D24)*H24/INDEX(Surface_Engine!$B$12:$B$72,$A24+1)-F24/INDEX(Surface_Engine!$B$12:$B$72,$A24+1))),IF(E24&lt;=0,0,MAX(0,(B24/E24)*I24/INDEX(Surface_Engine!$B$12:$B$72,$A24+1)-F24/INDEX(Surface_Engine!$B$12:$B$72,$A24+1))),IF($A24&lt;$Q$6,MAX(0,-Assumptions!$B$22*(F24/INDEX(Surface_Engine!$B$12:$B$72,$A24+1))),0)))*(MAX(0,J24/INDEX(Surface_Engine!$B$12:$B$72,$A24+1)-(F24/INDEX(Surface_Engine!$B$12:$B$72,$A24+1)))))</f>
        <v>11894.6669924652</v>
      </c>
      <c r="L24" s="48" t="n">
        <f aca="false">K24*INDEX(Surface_Engine!$B$12:$B$72,$A24+1)+L25</f>
        <v>91088.2174722303</v>
      </c>
      <c r="M24" s="48" t="n">
        <f aca="false">M23+B23*(IF($A23&lt;$Q$6,(Surface_Engine!B236*12)-(Surface_Engine!B236*12)*INDEX(Surface_Engine!$F$12:$F$72,$A23+1)-INDEX(Surface_Engine!$D$12:$D$72,$A23+1),-(1000*12*INDEX(Surface_Engine!$C$12:$C$72,$A23+1)/(1+Assumptions!$B$10)^15+INDEX(Surface_Engine!$D$12:$D$72,$A23+1))))*INDEX(Surface_Engine!$B$12:$B$72,$A23+1)</f>
        <v>82372.5819299175</v>
      </c>
      <c r="N24" s="12" t="n">
        <f aca="false">IF(B24&lt;=0,0,MAX(0,(K24+Assumptions!$B$29*L24/INDEX(Surface_Engine!$B$12:$B$72,$A24+1)-(M24/INDEX(Surface_Engine!$B$12:$B$72,$A24+1)-(F24/INDEX(Surface_Engine!$B$12:$B$72,$A24+1))))/B24))</f>
        <v>21369.5679571891</v>
      </c>
    </row>
    <row r="25" customFormat="false" ht="15" hidden="false" customHeight="true" outlineLevel="0" collapsed="false">
      <c r="A25" s="1" t="n">
        <v>17</v>
      </c>
      <c r="B25" s="32" t="n">
        <f aca="false">INDEX(Surface_Engine!$G$12:$G$72,$A25+1)*IF($A25&lt;$Q$6,INDEX(Surface_Engine!$E$12:$E$72,$A25+1),INDEX(Surface_Engine!$E$12:$E$72,$Q$6+1))</f>
        <v>0.726646849683011</v>
      </c>
      <c r="C25" s="32" t="n">
        <f aca="false">INDEX(Panel_Reserving!$B$8:$B$68,$A25+1)*IF($A25&lt;$Q$6,INDEX(Surface_Engine!$E$12:$E$72,$A25+1),INDEX(Surface_Engine!$E$12:$E$72,$Q$6+1))</f>
        <v>0.745013236302315</v>
      </c>
      <c r="D25" s="32" t="n">
        <f aca="false">INDEX(Surface_Engine!$G$12:$G$72,$A25+1)*IF($A25&lt;$Q$6,INDEX(Surface_Engine!$Y$12:$Y$72,$A25+1),INDEX(Surface_Engine!$Y$12:$Y$72,$Q$6+1))</f>
        <v>0.658254014365801</v>
      </c>
      <c r="E25" s="32" t="n">
        <f aca="false">INDEX(Surface_Engine!$G$12:$G$72,$A25+1)*IF($A25&lt;$Q$6,INDEX(Surface_Engine!$Z$12:$Z$72,$A25+1),INDEX(Surface_Engine!$Z$12:$Z$72,$Q$6+1))</f>
        <v>0.801409746219982</v>
      </c>
      <c r="F25" s="48" t="n">
        <f aca="false">B25*(IF($A25&lt;$Q$6,INDEX(Surface_Engine!$D$12:$D$72,$A25+1)+(Surface_Engine!B236*12)*INDEX(Surface_Engine!$F$12:$F$72,$A25+1)-(Surface_Engine!B236*12),1000*12*INDEX(Surface_Engine!$C$12:$C$72,$A25+1)/(1+Assumptions!$B$10)^15+INDEX(Surface_Engine!$D$12:$D$72,$A25+1)))*INDEX(Surface_Engine!$B$12:$B$72,$A25+1)+F26</f>
        <v>73707.4885050463</v>
      </c>
      <c r="G25" s="48" t="n">
        <f aca="false">C25*(IF($A25&lt;$Q$6,INDEX(Surface_Engine!$D$12:$D$72,$A25+1)+(Surface_Engine!B236*12)*INDEX(Surface_Engine!$F$12:$F$72,$A25+1)-(Surface_Engine!B236*12),1000*12*INDEX(Surface_Engine!$C$12:$C$72,$A25+1)/(1+Assumptions!$B$10)^15+INDEX(Surface_Engine!$D$12:$D$72,$A25+1)))*INDEX(Surface_Engine!$B$12:$B$72,$A25+1)+G26</f>
        <v>82727.7929618189</v>
      </c>
      <c r="H25" s="48" t="n">
        <f aca="false">D25*(IF($A25&lt;$Q$6,INDEX(Surface_Engine!$D$12:$D$72,$A25+1)+(Surface_Engine!B236*12)*INDEX(Surface_Engine!$F$12:$F$72,$A25+1)-(Surface_Engine!B236*12),1000*12*INDEX(Surface_Engine!$C$12:$C$72,$A25+1)/(1+Assumptions!$B$10)^15+INDEX(Surface_Engine!$D$12:$D$72,$A25+1)))*INDEX(Surface_Engine!$B$12:$B$72,$A25+1)+H26</f>
        <v>66770.0551078329</v>
      </c>
      <c r="I25" s="48" t="n">
        <f aca="false">E25*(IF($A25&lt;$Q$6,INDEX(Surface_Engine!$D$12:$D$72,$A25+1)+(Surface_Engine!B236*12)*INDEX(Surface_Engine!$F$12:$F$72,$A25+1)-(Surface_Engine!B236*12),1000*12*INDEX(Surface_Engine!$C$12:$C$72,$A25+1)/(1+Assumptions!$B$10)^15+INDEX(Surface_Engine!$D$12:$D$72,$A25+1)))*INDEX(Surface_Engine!$B$12:$B$72,$A25+1)+I26</f>
        <v>81291.069634596</v>
      </c>
      <c r="J25" s="48" t="n">
        <f aca="false">B25*(IF($A25&lt;$Q$6,INDEX(Surface_Engine!$D$12:$D$72,$A25+1)*(1+Assumptions!$B$24)+(Surface_Engine!B236*12)*INDEX(Surface_Engine!$F$12:$F$72,$A25+1)-(Surface_Engine!B236*12),1000*12*INDEX(Surface_Engine!$C$12:$C$72,$A25+1)/(1+Assumptions!$B$10)^15+INDEX(Surface_Engine!$D$12:$D$72,$A25+1)*(1+Assumptions!$B$24)))*INDEX(Surface_Engine!$B$12:$B$72,$A25+1)+J26</f>
        <v>73783.4384383149</v>
      </c>
      <c r="K25" s="12" t="n">
        <f aca="false">SQRT((IF(C25&lt;=0,0,MAX(0,(B25/C25)*G25/INDEX(Surface_Engine!$B$12:$B$72,$A25+1)-F25/INDEX(Surface_Engine!$B$12:$B$72,$A25+1))))^2+(MAX(IF(D25&lt;=0,0,MAX(0,(B25/D25)*H25/INDEX(Surface_Engine!$B$12:$B$72,$A25+1)-F25/INDEX(Surface_Engine!$B$12:$B$72,$A25+1))),IF(E25&lt;=0,0,MAX(0,(B25/E25)*I25/INDEX(Surface_Engine!$B$12:$B$72,$A25+1)-F25/INDEX(Surface_Engine!$B$12:$B$72,$A25+1))),IF($A25&lt;$Q$6,MAX(0,-Assumptions!$B$22*(F25/INDEX(Surface_Engine!$B$12:$B$72,$A25+1))),0)))^2+(MAX(0,J25/INDEX(Surface_Engine!$B$12:$B$72,$A25+1)-(F25/INDEX(Surface_Engine!$B$12:$B$72,$A25+1))))^2+2*Assumptions!$B$26*(IF(C25&lt;=0,0,MAX(0,(B25/C25)*G25/INDEX(Surface_Engine!$B$12:$B$72,$A25+1)-F25/INDEX(Surface_Engine!$B$12:$B$72,$A25+1))))*(MAX(IF(D25&lt;=0,0,MAX(0,(B25/D25)*H25/INDEX(Surface_Engine!$B$12:$B$72,$A25+1)-F25/INDEX(Surface_Engine!$B$12:$B$72,$A25+1))),IF(E25&lt;=0,0,MAX(0,(B25/E25)*I25/INDEX(Surface_Engine!$B$12:$B$72,$A25+1)-F25/INDEX(Surface_Engine!$B$12:$B$72,$A25+1))),IF($A25&lt;$Q$6,MAX(0,-Assumptions!$B$22*(F25/INDEX(Surface_Engine!$B$12:$B$72,$A25+1))),0)))+2*Assumptions!$B$27*(IF(C25&lt;=0,0,MAX(0,(B25/C25)*G25/INDEX(Surface_Engine!$B$12:$B$72,$A25+1)-F25/INDEX(Surface_Engine!$B$12:$B$72,$A25+1))))*(MAX(0,J25/INDEX(Surface_Engine!$B$12:$B$72,$A25+1)-(F25/INDEX(Surface_Engine!$B$12:$B$72,$A25+1))))+2*Assumptions!$B$28*(MAX(IF(D25&lt;=0,0,MAX(0,(B25/D25)*H25/INDEX(Surface_Engine!$B$12:$B$72,$A25+1)-F25/INDEX(Surface_Engine!$B$12:$B$72,$A25+1))),IF(E25&lt;=0,0,MAX(0,(B25/E25)*I25/INDEX(Surface_Engine!$B$12:$B$72,$A25+1)-F25/INDEX(Surface_Engine!$B$12:$B$72,$A25+1))),IF($A25&lt;$Q$6,MAX(0,-Assumptions!$B$22*(F25/INDEX(Surface_Engine!$B$12:$B$72,$A25+1))),0)))*(MAX(0,J25/INDEX(Surface_Engine!$B$12:$B$72,$A25+1)-(F25/INDEX(Surface_Engine!$B$12:$B$72,$A25+1)))))</f>
        <v>11871.8701794608</v>
      </c>
      <c r="L25" s="48" t="n">
        <f aca="false">K25*INDEX(Surface_Engine!$B$12:$B$72,$A25+1)+L26</f>
        <v>83834.0825867601</v>
      </c>
      <c r="M25" s="48" t="n">
        <f aca="false">M24+B24*(IF($A24&lt;$Q$6,(Surface_Engine!B236*12)-(Surface_Engine!B236*12)*INDEX(Surface_Engine!$F$12:$F$72,$A24+1)-INDEX(Surface_Engine!$D$12:$D$72,$A24+1),-(1000*12*INDEX(Surface_Engine!$C$12:$C$72,$A24+1)/(1+Assumptions!$B$10)^15+INDEX(Surface_Engine!$D$12:$D$72,$A24+1))))*INDEX(Surface_Engine!$B$12:$B$72,$A24+1)</f>
        <v>76808.6959472804</v>
      </c>
      <c r="N25" s="12" t="n">
        <f aca="false">IF(B25&lt;=0,0,MAX(0,(K25+Assumptions!$B$29*L25/INDEX(Surface_Engine!$B$12:$B$72,$A25+1)-(M25/INDEX(Surface_Engine!$B$12:$B$72,$A25+1)-(F25/INDEX(Surface_Engine!$B$12:$B$72,$A25+1))))/B25))</f>
        <v>20839.6032275606</v>
      </c>
    </row>
    <row r="26" customFormat="false" ht="15" hidden="false" customHeight="true" outlineLevel="0" collapsed="false">
      <c r="A26" s="1" t="n">
        <v>18</v>
      </c>
      <c r="B26" s="32" t="n">
        <f aca="false">INDEX(Surface_Engine!$G$12:$G$72,$A26+1)*IF($A26&lt;$Q$6,INDEX(Surface_Engine!$E$12:$E$72,$A26+1),INDEX(Surface_Engine!$E$12:$E$72,$Q$6+1))</f>
        <v>0.714128094721945</v>
      </c>
      <c r="C26" s="32" t="n">
        <f aca="false">INDEX(Panel_Reserving!$B$8:$B$68,$A26+1)*IF($A26&lt;$Q$6,INDEX(Surface_Engine!$E$12:$E$72,$A26+1),INDEX(Surface_Engine!$E$12:$E$72,$Q$6+1))</f>
        <v>0.734745097767523</v>
      </c>
      <c r="D26" s="32" t="n">
        <f aca="false">INDEX(Surface_Engine!$G$12:$G$72,$A26+1)*IF($A26&lt;$Q$6,INDEX(Surface_Engine!$Y$12:$Y$72,$A26+1),INDEX(Surface_Engine!$Y$12:$Y$72,$Q$6+1))</f>
        <v>0.646913538986904</v>
      </c>
      <c r="E26" s="32" t="n">
        <f aca="false">INDEX(Surface_Engine!$G$12:$G$72,$A26+1)*IF($A26&lt;$Q$6,INDEX(Surface_Engine!$Z$12:$Z$72,$A26+1),INDEX(Surface_Engine!$Z$12:$Z$72,$Q$6+1))</f>
        <v>0.78760296753414</v>
      </c>
      <c r="F26" s="48" t="n">
        <f aca="false">B26*(IF($A26&lt;$Q$6,INDEX(Surface_Engine!$D$12:$D$72,$A26+1)+(Surface_Engine!B236*12)*INDEX(Surface_Engine!$F$12:$F$72,$A26+1)-(Surface_Engine!B236*12),1000*12*INDEX(Surface_Engine!$C$12:$C$72,$A26+1)/(1+Assumptions!$B$10)^15+INDEX(Surface_Engine!$D$12:$D$72,$A26+1)))*INDEX(Surface_Engine!$B$12:$B$72,$A26+1)+F27</f>
        <v>68304.7073610769</v>
      </c>
      <c r="G26" s="48" t="n">
        <f aca="false">C26*(IF($A26&lt;$Q$6,INDEX(Surface_Engine!$D$12:$D$72,$A26+1)+(Surface_Engine!B236*12)*INDEX(Surface_Engine!$F$12:$F$72,$A26+1)-(Surface_Engine!B236*12),1000*12*INDEX(Surface_Engine!$C$12:$C$72,$A26+1)/(1+Assumptions!$B$10)^15+INDEX(Surface_Engine!$D$12:$D$72,$A26+1)))*INDEX(Surface_Engine!$B$12:$B$72,$A26+1)+G27</f>
        <v>77188.4536433348</v>
      </c>
      <c r="H26" s="48" t="n">
        <f aca="false">D26*(IF($A26&lt;$Q$6,INDEX(Surface_Engine!$D$12:$D$72,$A26+1)+(Surface_Engine!B236*12)*INDEX(Surface_Engine!$F$12:$F$72,$A26+1)-(Surface_Engine!B236*12),1000*12*INDEX(Surface_Engine!$C$12:$C$72,$A26+1)/(1+Assumptions!$B$10)^15+INDEX(Surface_Engine!$D$12:$D$72,$A26+1)))*INDEX(Surface_Engine!$B$12:$B$72,$A26+1)+H27</f>
        <v>61875.7899248089</v>
      </c>
      <c r="I26" s="48" t="n">
        <f aca="false">E26*(IF($A26&lt;$Q$6,INDEX(Surface_Engine!$D$12:$D$72,$A26+1)+(Surface_Engine!B236*12)*INDEX(Surface_Engine!$F$12:$F$72,$A26+1)-(Surface_Engine!B236*12),1000*12*INDEX(Surface_Engine!$C$12:$C$72,$A26+1)/(1+Assumptions!$B$10)^15+INDEX(Surface_Engine!$D$12:$D$72,$A26+1)))*INDEX(Surface_Engine!$B$12:$B$72,$A26+1)+I27</f>
        <v>75332.4097059671</v>
      </c>
      <c r="J26" s="48" t="n">
        <f aca="false">B26*(IF($A26&lt;$Q$6,INDEX(Surface_Engine!$D$12:$D$72,$A26+1)*(1+Assumptions!$B$24)+(Surface_Engine!B236*12)*INDEX(Surface_Engine!$F$12:$F$72,$A26+1)-(Surface_Engine!B236*12),1000*12*INDEX(Surface_Engine!$C$12:$C$72,$A26+1)/(1+Assumptions!$B$10)^15+INDEX(Surface_Engine!$D$12:$D$72,$A26+1)*(1+Assumptions!$B$24)))*INDEX(Surface_Engine!$B$12:$B$72,$A26+1)+J27</f>
        <v>68375.3112006034</v>
      </c>
      <c r="K26" s="12" t="n">
        <f aca="false">SQRT((IF(C26&lt;=0,0,MAX(0,(B26/C26)*G26/INDEX(Surface_Engine!$B$12:$B$72,$A26+1)-F26/INDEX(Surface_Engine!$B$12:$B$72,$A26+1))))^2+(MAX(IF(D26&lt;=0,0,MAX(0,(B26/D26)*H26/INDEX(Surface_Engine!$B$12:$B$72,$A26+1)-F26/INDEX(Surface_Engine!$B$12:$B$72,$A26+1))),IF(E26&lt;=0,0,MAX(0,(B26/E26)*I26/INDEX(Surface_Engine!$B$12:$B$72,$A26+1)-F26/INDEX(Surface_Engine!$B$12:$B$72,$A26+1))),IF($A26&lt;$Q$6,MAX(0,-Assumptions!$B$22*(F26/INDEX(Surface_Engine!$B$12:$B$72,$A26+1))),0)))^2+(MAX(0,J26/INDEX(Surface_Engine!$B$12:$B$72,$A26+1)-(F26/INDEX(Surface_Engine!$B$12:$B$72,$A26+1))))^2+2*Assumptions!$B$26*(IF(C26&lt;=0,0,MAX(0,(B26/C26)*G26/INDEX(Surface_Engine!$B$12:$B$72,$A26+1)-F26/INDEX(Surface_Engine!$B$12:$B$72,$A26+1))))*(MAX(IF(D26&lt;=0,0,MAX(0,(B26/D26)*H26/INDEX(Surface_Engine!$B$12:$B$72,$A26+1)-F26/INDEX(Surface_Engine!$B$12:$B$72,$A26+1))),IF(E26&lt;=0,0,MAX(0,(B26/E26)*I26/INDEX(Surface_Engine!$B$12:$B$72,$A26+1)-F26/INDEX(Surface_Engine!$B$12:$B$72,$A26+1))),IF($A26&lt;$Q$6,MAX(0,-Assumptions!$B$22*(F26/INDEX(Surface_Engine!$B$12:$B$72,$A26+1))),0)))+2*Assumptions!$B$27*(IF(C26&lt;=0,0,MAX(0,(B26/C26)*G26/INDEX(Surface_Engine!$B$12:$B$72,$A26+1)-F26/INDEX(Surface_Engine!$B$12:$B$72,$A26+1))))*(MAX(0,J26/INDEX(Surface_Engine!$B$12:$B$72,$A26+1)-(F26/INDEX(Surface_Engine!$B$12:$B$72,$A26+1))))+2*Assumptions!$B$28*(MAX(IF(D26&lt;=0,0,MAX(0,(B26/D26)*H26/INDEX(Surface_Engine!$B$12:$B$72,$A26+1)-F26/INDEX(Surface_Engine!$B$12:$B$72,$A26+1))),IF(E26&lt;=0,0,MAX(0,(B26/E26)*I26/INDEX(Surface_Engine!$B$12:$B$72,$A26+1)-F26/INDEX(Surface_Engine!$B$12:$B$72,$A26+1))),IF($A26&lt;$Q$6,MAX(0,-Assumptions!$B$22*(F26/INDEX(Surface_Engine!$B$12:$B$72,$A26+1))),0)))*(MAX(0,J26/INDEX(Surface_Engine!$B$12:$B$72,$A26+1)-(F26/INDEX(Surface_Engine!$B$12:$B$72,$A26+1)))))</f>
        <v>11802.5003665078</v>
      </c>
      <c r="L26" s="48" t="n">
        <f aca="false">K26*INDEX(Surface_Engine!$B$12:$B$72,$A26+1)+L27</f>
        <v>76833.8454936797</v>
      </c>
      <c r="M26" s="48" t="n">
        <f aca="false">M25+B25*(IF($A25&lt;$Q$6,(Surface_Engine!B236*12)-(Surface_Engine!B236*12)*INDEX(Surface_Engine!$F$12:$F$72,$A25+1)-INDEX(Surface_Engine!$D$12:$D$72,$A25+1),-(1000*12*INDEX(Surface_Engine!$C$12:$C$72,$A25+1)/(1+Assumptions!$B$10)^15+INDEX(Surface_Engine!$D$12:$D$72,$A25+1))))*INDEX(Surface_Engine!$B$12:$B$72,$A25+1)</f>
        <v>71405.9148033111</v>
      </c>
      <c r="N26" s="12" t="n">
        <f aca="false">IF(B26&lt;=0,0,MAX(0,(K26+Assumptions!$B$29*L26/INDEX(Surface_Engine!$B$12:$B$72,$A26+1)-(M26/INDEX(Surface_Engine!$B$12:$B$72,$A26+1)-(F26/INDEX(Surface_Engine!$B$12:$B$72,$A26+1))))/B26))</f>
        <v>20229.2219333934</v>
      </c>
    </row>
    <row r="27" customFormat="false" ht="15" hidden="false" customHeight="true" outlineLevel="0" collapsed="false">
      <c r="A27" s="1" t="n">
        <v>19</v>
      </c>
      <c r="B27" s="32" t="n">
        <f aca="false">INDEX(Surface_Engine!$G$12:$G$72,$A27+1)*IF($A27&lt;$Q$6,INDEX(Surface_Engine!$E$12:$E$72,$A27+1),INDEX(Surface_Engine!$E$12:$E$72,$Q$6+1))</f>
        <v>0.700351144118741</v>
      </c>
      <c r="C27" s="32" t="n">
        <f aca="false">INDEX(Panel_Reserving!$B$8:$B$68,$A27+1)*IF($A27&lt;$Q$6,INDEX(Surface_Engine!$E$12:$E$72,$A27+1),INDEX(Surface_Engine!$E$12:$E$72,$Q$6+1))</f>
        <v>0.723405342905386</v>
      </c>
      <c r="D27" s="32" t="n">
        <f aca="false">INDEX(Surface_Engine!$G$12:$G$72,$A27+1)*IF($A27&lt;$Q$6,INDEX(Surface_Engine!$Y$12:$Y$72,$A27+1),INDEX(Surface_Engine!$Y$12:$Y$72,$Q$6+1))</f>
        <v>0.634433290783482</v>
      </c>
      <c r="E27" s="32" t="n">
        <f aca="false">INDEX(Surface_Engine!$G$12:$G$72,$A27+1)*IF($A27&lt;$Q$6,INDEX(Surface_Engine!$Z$12:$Z$72,$A27+1),INDEX(Surface_Engine!$Z$12:$Z$72,$Q$6+1))</f>
        <v>0.772408540569494</v>
      </c>
      <c r="F27" s="48" t="n">
        <f aca="false">B27*(IF($A27&lt;$Q$6,INDEX(Surface_Engine!$D$12:$D$72,$A27+1)+(Surface_Engine!B236*12)*INDEX(Surface_Engine!$F$12:$F$72,$A27+1)-(Surface_Engine!B236*12),1000*12*INDEX(Surface_Engine!$C$12:$C$72,$A27+1)/(1+Assumptions!$B$10)^15+INDEX(Surface_Engine!$D$12:$D$72,$A27+1)))*INDEX(Surface_Engine!$B$12:$B$72,$A27+1)+F28</f>
        <v>63062.4922194897</v>
      </c>
      <c r="G27" s="48" t="n">
        <f aca="false">C27*(IF($A27&lt;$Q$6,INDEX(Surface_Engine!$D$12:$D$72,$A27+1)+(Surface_Engine!B236*12)*INDEX(Surface_Engine!$F$12:$F$72,$A27+1)-(Surface_Engine!B236*12),1000*12*INDEX(Surface_Engine!$C$12:$C$72,$A27+1)/(1+Assumptions!$B$10)^15+INDEX(Surface_Engine!$D$12:$D$72,$A27+1)))*INDEX(Surface_Engine!$B$12:$B$72,$A27+1)+G28</f>
        <v>71794.8948333798</v>
      </c>
      <c r="H27" s="48" t="n">
        <f aca="false">D27*(IF($A27&lt;$Q$6,INDEX(Surface_Engine!$D$12:$D$72,$A27+1)+(Surface_Engine!B236*12)*INDEX(Surface_Engine!$F$12:$F$72,$A27+1)-(Surface_Engine!B236*12),1000*12*INDEX(Surface_Engine!$C$12:$C$72,$A27+1)/(1+Assumptions!$B$10)^15+INDEX(Surface_Engine!$D$12:$D$72,$A27+1)))*INDEX(Surface_Engine!$B$12:$B$72,$A27+1)+H28</f>
        <v>57126.9780877737</v>
      </c>
      <c r="I27" s="48" t="n">
        <f aca="false">E27*(IF($A27&lt;$Q$6,INDEX(Surface_Engine!$D$12:$D$72,$A27+1)+(Surface_Engine!B236*12)*INDEX(Surface_Engine!$F$12:$F$72,$A27+1)-(Surface_Engine!B236*12),1000*12*INDEX(Surface_Engine!$C$12:$C$72,$A27+1)/(1+Assumptions!$B$10)^15+INDEX(Surface_Engine!$D$12:$D$72,$A27+1)))*INDEX(Surface_Engine!$B$12:$B$72,$A27+1)+I28</f>
        <v>69550.8360184424</v>
      </c>
      <c r="J27" s="48" t="n">
        <f aca="false">B27*(IF($A27&lt;$Q$6,INDEX(Surface_Engine!$D$12:$D$72,$A27+1)*(1+Assumptions!$B$24)+(Surface_Engine!B236*12)*INDEX(Surface_Engine!$F$12:$F$72,$A27+1)-(Surface_Engine!B236*12),1000*12*INDEX(Surface_Engine!$C$12:$C$72,$A27+1)/(1+Assumptions!$B$10)^15+INDEX(Surface_Engine!$D$12:$D$72,$A27+1)*(1+Assumptions!$B$24)))*INDEX(Surface_Engine!$B$12:$B$72,$A27+1)+J28</f>
        <v>63127.883671892</v>
      </c>
      <c r="K27" s="12" t="n">
        <f aca="false">SQRT((IF(C27&lt;=0,0,MAX(0,(B27/C27)*G27/INDEX(Surface_Engine!$B$12:$B$72,$A27+1)-F27/INDEX(Surface_Engine!$B$12:$B$72,$A27+1))))^2+(MAX(IF(D27&lt;=0,0,MAX(0,(B27/D27)*H27/INDEX(Surface_Engine!$B$12:$B$72,$A27+1)-F27/INDEX(Surface_Engine!$B$12:$B$72,$A27+1))),IF(E27&lt;=0,0,MAX(0,(B27/E27)*I27/INDEX(Surface_Engine!$B$12:$B$72,$A27+1)-F27/INDEX(Surface_Engine!$B$12:$B$72,$A27+1))),IF($A27&lt;$Q$6,MAX(0,-Assumptions!$B$22*(F27/INDEX(Surface_Engine!$B$12:$B$72,$A27+1))),0)))^2+(MAX(0,J27/INDEX(Surface_Engine!$B$12:$B$72,$A27+1)-(F27/INDEX(Surface_Engine!$B$12:$B$72,$A27+1))))^2+2*Assumptions!$B$26*(IF(C27&lt;=0,0,MAX(0,(B27/C27)*G27/INDEX(Surface_Engine!$B$12:$B$72,$A27+1)-F27/INDEX(Surface_Engine!$B$12:$B$72,$A27+1))))*(MAX(IF(D27&lt;=0,0,MAX(0,(B27/D27)*H27/INDEX(Surface_Engine!$B$12:$B$72,$A27+1)-F27/INDEX(Surface_Engine!$B$12:$B$72,$A27+1))),IF(E27&lt;=0,0,MAX(0,(B27/E27)*I27/INDEX(Surface_Engine!$B$12:$B$72,$A27+1)-F27/INDEX(Surface_Engine!$B$12:$B$72,$A27+1))),IF($A27&lt;$Q$6,MAX(0,-Assumptions!$B$22*(F27/INDEX(Surface_Engine!$B$12:$B$72,$A27+1))),0)))+2*Assumptions!$B$27*(IF(C27&lt;=0,0,MAX(0,(B27/C27)*G27/INDEX(Surface_Engine!$B$12:$B$72,$A27+1)-F27/INDEX(Surface_Engine!$B$12:$B$72,$A27+1))))*(MAX(0,J27/INDEX(Surface_Engine!$B$12:$B$72,$A27+1)-(F27/INDEX(Surface_Engine!$B$12:$B$72,$A27+1))))+2*Assumptions!$B$28*(MAX(IF(D27&lt;=0,0,MAX(0,(B27/D27)*H27/INDEX(Surface_Engine!$B$12:$B$72,$A27+1)-F27/INDEX(Surface_Engine!$B$12:$B$72,$A27+1))),IF(E27&lt;=0,0,MAX(0,(B27/E27)*I27/INDEX(Surface_Engine!$B$12:$B$72,$A27+1)-F27/INDEX(Surface_Engine!$B$12:$B$72,$A27+1))),IF($A27&lt;$Q$6,MAX(0,-Assumptions!$B$22*(F27/INDEX(Surface_Engine!$B$12:$B$72,$A27+1))),0)))*(MAX(0,J27/INDEX(Surface_Engine!$B$12:$B$72,$A27+1)-(F27/INDEX(Surface_Engine!$B$12:$B$72,$A27+1)))))</f>
        <v>11685.7600007931</v>
      </c>
      <c r="L27" s="48" t="n">
        <f aca="false">K27*INDEX(Surface_Engine!$B$12:$B$72,$A27+1)+L28</f>
        <v>70098.0151911331</v>
      </c>
      <c r="M27" s="48" t="n">
        <f aca="false">M26+B26*(IF($A26&lt;$Q$6,(Surface_Engine!B236*12)-(Surface_Engine!B236*12)*INDEX(Surface_Engine!$F$12:$F$72,$A26+1)-INDEX(Surface_Engine!$D$12:$D$72,$A26+1),-(1000*12*INDEX(Surface_Engine!$C$12:$C$72,$A26+1)/(1+Assumptions!$B$10)^15+INDEX(Surface_Engine!$D$12:$D$72,$A26+1))))*INDEX(Surface_Engine!$B$12:$B$72,$A26+1)</f>
        <v>66163.6996617238</v>
      </c>
      <c r="N27" s="12" t="n">
        <f aca="false">IF(B27&lt;=0,0,MAX(0,(K27+Assumptions!$B$29*L27/INDEX(Surface_Engine!$B$12:$B$72,$A27+1)-(M27/INDEX(Surface_Engine!$B$12:$B$72,$A27+1)-(F27/INDEX(Surface_Engine!$B$12:$B$72,$A27+1))))/B27))</f>
        <v>19538.3857607565</v>
      </c>
    </row>
    <row r="28" customFormat="false" ht="15" hidden="false" customHeight="true" outlineLevel="0" collapsed="false">
      <c r="A28" s="1" t="n">
        <v>20</v>
      </c>
      <c r="B28" s="32" t="n">
        <f aca="false">INDEX(Surface_Engine!$G$12:$G$72,$A28+1)*IF($A28&lt;$Q$6,INDEX(Surface_Engine!$E$12:$E$72,$A28+1),INDEX(Surface_Engine!$E$12:$E$72,$Q$6+1))</f>
        <v>0.685205947096085</v>
      </c>
      <c r="C28" s="32" t="n">
        <f aca="false">INDEX(Panel_Reserving!$B$8:$B$68,$A28+1)*IF($A28&lt;$Q$6,INDEX(Surface_Engine!$E$12:$E$72,$A28+1),INDEX(Surface_Engine!$E$12:$E$72,$Q$6+1))</f>
        <v>0.710890344921818</v>
      </c>
      <c r="D28" s="32" t="n">
        <f aca="false">INDEX(Surface_Engine!$G$12:$G$72,$A28+1)*IF($A28&lt;$Q$6,INDEX(Surface_Engine!$Y$12:$Y$72,$A28+1),INDEX(Surface_Engine!$Y$12:$Y$72,$Q$6+1))</f>
        <v>0.620713577083666</v>
      </c>
      <c r="E28" s="32" t="n">
        <f aca="false">INDEX(Surface_Engine!$G$12:$G$72,$A28+1)*IF($A28&lt;$Q$6,INDEX(Surface_Engine!$Z$12:$Z$72,$A28+1),INDEX(Surface_Engine!$Z$12:$Z$72,$Q$6+1))</f>
        <v>0.755705091696532</v>
      </c>
      <c r="F28" s="48" t="n">
        <f aca="false">B28*(IF($A28&lt;$Q$6,INDEX(Surface_Engine!$D$12:$D$72,$A28+1)+(Surface_Engine!B236*12)*INDEX(Surface_Engine!$F$12:$F$72,$A28+1)-(Surface_Engine!B236*12),1000*12*INDEX(Surface_Engine!$C$12:$C$72,$A28+1)/(1+Assumptions!$B$10)^15+INDEX(Surface_Engine!$D$12:$D$72,$A28+1)))*INDEX(Surface_Engine!$B$12:$B$72,$A28+1)+F29</f>
        <v>57982.0259705497</v>
      </c>
      <c r="G28" s="48" t="n">
        <f aca="false">C28*(IF($A28&lt;$Q$6,INDEX(Surface_Engine!$D$12:$D$72,$A28+1)+(Surface_Engine!B236*12)*INDEX(Surface_Engine!$F$12:$F$72,$A28+1)-(Surface_Engine!B236*12),1000*12*INDEX(Surface_Engine!$C$12:$C$72,$A28+1)/(1+Assumptions!$B$10)^15+INDEX(Surface_Engine!$D$12:$D$72,$A28+1)))*INDEX(Surface_Engine!$B$12:$B$72,$A28+1)+G29</f>
        <v>66547.1895075632</v>
      </c>
      <c r="H28" s="48" t="n">
        <f aca="false">D28*(IF($A28&lt;$Q$6,INDEX(Surface_Engine!$D$12:$D$72,$A28+1)+(Surface_Engine!B236*12)*INDEX(Surface_Engine!$F$12:$F$72,$A28+1)-(Surface_Engine!B236*12),1000*12*INDEX(Surface_Engine!$C$12:$C$72,$A28+1)/(1+Assumptions!$B$10)^15+INDEX(Surface_Engine!$D$12:$D$72,$A28+1)))*INDEX(Surface_Engine!$B$12:$B$72,$A28+1)+H29</f>
        <v>52524.6911520035</v>
      </c>
      <c r="I28" s="48" t="n">
        <f aca="false">E28*(IF($A28&lt;$Q$6,INDEX(Surface_Engine!$D$12:$D$72,$A28+1)+(Surface_Engine!B236*12)*INDEX(Surface_Engine!$F$12:$F$72,$A28+1)-(Surface_Engine!B236*12),1000*12*INDEX(Surface_Engine!$C$12:$C$72,$A28+1)/(1+Assumptions!$B$10)^15+INDEX(Surface_Engine!$D$12:$D$72,$A28+1)))*INDEX(Surface_Engine!$B$12:$B$72,$A28+1)+I29</f>
        <v>63947.6531669399</v>
      </c>
      <c r="J28" s="48" t="n">
        <f aca="false">B28*(IF($A28&lt;$Q$6,INDEX(Surface_Engine!$D$12:$D$72,$A28+1)*(1+Assumptions!$B$24)+(Surface_Engine!B236*12)*INDEX(Surface_Engine!$F$12:$F$72,$A28+1)-(Surface_Engine!B236*12),1000*12*INDEX(Surface_Engine!$C$12:$C$72,$A28+1)/(1+Assumptions!$B$10)^15+INDEX(Surface_Engine!$D$12:$D$72,$A28+1)*(1+Assumptions!$B$24)))*INDEX(Surface_Engine!$B$12:$B$72,$A28+1)+J29</f>
        <v>58042.3413492444</v>
      </c>
      <c r="K28" s="12" t="n">
        <f aca="false">SQRT((IF(C28&lt;=0,0,MAX(0,(B28/C28)*G28/INDEX(Surface_Engine!$B$12:$B$72,$A28+1)-F28/INDEX(Surface_Engine!$B$12:$B$72,$A28+1))))^2+(MAX(IF(D28&lt;=0,0,MAX(0,(B28/D28)*H28/INDEX(Surface_Engine!$B$12:$B$72,$A28+1)-F28/INDEX(Surface_Engine!$B$12:$B$72,$A28+1))),IF(E28&lt;=0,0,MAX(0,(B28/E28)*I28/INDEX(Surface_Engine!$B$12:$B$72,$A28+1)-F28/INDEX(Surface_Engine!$B$12:$B$72,$A28+1))),IF($A28&lt;$Q$6,MAX(0,-Assumptions!$B$22*(F28/INDEX(Surface_Engine!$B$12:$B$72,$A28+1))),0)))^2+(MAX(0,J28/INDEX(Surface_Engine!$B$12:$B$72,$A28+1)-(F28/INDEX(Surface_Engine!$B$12:$B$72,$A28+1))))^2+2*Assumptions!$B$26*(IF(C28&lt;=0,0,MAX(0,(B28/C28)*G28/INDEX(Surface_Engine!$B$12:$B$72,$A28+1)-F28/INDEX(Surface_Engine!$B$12:$B$72,$A28+1))))*(MAX(IF(D28&lt;=0,0,MAX(0,(B28/D28)*H28/INDEX(Surface_Engine!$B$12:$B$72,$A28+1)-F28/INDEX(Surface_Engine!$B$12:$B$72,$A28+1))),IF(E28&lt;=0,0,MAX(0,(B28/E28)*I28/INDEX(Surface_Engine!$B$12:$B$72,$A28+1)-F28/INDEX(Surface_Engine!$B$12:$B$72,$A28+1))),IF($A28&lt;$Q$6,MAX(0,-Assumptions!$B$22*(F28/INDEX(Surface_Engine!$B$12:$B$72,$A28+1))),0)))+2*Assumptions!$B$27*(IF(C28&lt;=0,0,MAX(0,(B28/C28)*G28/INDEX(Surface_Engine!$B$12:$B$72,$A28+1)-F28/INDEX(Surface_Engine!$B$12:$B$72,$A28+1))))*(MAX(0,J28/INDEX(Surface_Engine!$B$12:$B$72,$A28+1)-(F28/INDEX(Surface_Engine!$B$12:$B$72,$A28+1))))+2*Assumptions!$B$28*(MAX(IF(D28&lt;=0,0,MAX(0,(B28/D28)*H28/INDEX(Surface_Engine!$B$12:$B$72,$A28+1)-F28/INDEX(Surface_Engine!$B$12:$B$72,$A28+1))),IF(E28&lt;=0,0,MAX(0,(B28/E28)*I28/INDEX(Surface_Engine!$B$12:$B$72,$A28+1)-F28/INDEX(Surface_Engine!$B$12:$B$72,$A28+1))),IF($A28&lt;$Q$6,MAX(0,-Assumptions!$B$22*(F28/INDEX(Surface_Engine!$B$12:$B$72,$A28+1))),0)))*(MAX(0,J28/INDEX(Surface_Engine!$B$12:$B$72,$A28+1)-(F28/INDEX(Surface_Engine!$B$12:$B$72,$A28+1)))))</f>
        <v>11526.6743064679</v>
      </c>
      <c r="L28" s="48" t="n">
        <f aca="false">K28*INDEX(Surface_Engine!$B$12:$B$72,$A28+1)+L29</f>
        <v>63636.985377725</v>
      </c>
      <c r="M28" s="48" t="n">
        <f aca="false">M27+B27*(IF($A27&lt;$Q$6,(Surface_Engine!B236*12)-(Surface_Engine!B236*12)*INDEX(Surface_Engine!$F$12:$F$72,$A27+1)-INDEX(Surface_Engine!$D$12:$D$72,$A27+1),-(1000*12*INDEX(Surface_Engine!$C$12:$C$72,$A27+1)/(1+Assumptions!$B$10)^15+INDEX(Surface_Engine!$D$12:$D$72,$A27+1))))*INDEX(Surface_Engine!$B$12:$B$72,$A27+1)</f>
        <v>61083.2334127839</v>
      </c>
      <c r="N28" s="12" t="n">
        <f aca="false">IF(B28&lt;=0,0,MAX(0,(K28+Assumptions!$B$29*L28/INDEX(Surface_Engine!$B$12:$B$72,$A28+1)-(M28/INDEX(Surface_Engine!$B$12:$B$72,$A28+1)-(F28/INDEX(Surface_Engine!$B$12:$B$72,$A28+1))))/B28))</f>
        <v>18775.1469377284</v>
      </c>
    </row>
    <row r="29" customFormat="false" ht="15" hidden="false" customHeight="true" outlineLevel="0" collapsed="false">
      <c r="A29" s="1" t="n">
        <v>21</v>
      </c>
      <c r="B29" s="32" t="n">
        <f aca="false">INDEX(Surface_Engine!$G$12:$G$72,$A29+1)*IF($A29&lt;$Q$6,INDEX(Surface_Engine!$E$12:$E$72,$A29+1),INDEX(Surface_Engine!$E$12:$E$72,$Q$6+1))</f>
        <v>0.668017269736539</v>
      </c>
      <c r="C29" s="32" t="n">
        <f aca="false">INDEX(Panel_Reserving!$B$8:$B$68,$A29+1)*IF($A29&lt;$Q$6,INDEX(Surface_Engine!$E$12:$E$72,$A29+1),INDEX(Surface_Engine!$E$12:$E$72,$Q$6+1))</f>
        <v>0.696623959956933</v>
      </c>
      <c r="D29" s="32" t="n">
        <f aca="false">INDEX(Surface_Engine!$G$12:$G$72,$A29+1)*IF($A29&lt;$Q$6,INDEX(Surface_Engine!$Y$12:$Y$72,$A29+1),INDEX(Surface_Engine!$Y$12:$Y$72,$Q$6+1))</f>
        <v>0.605142717761156</v>
      </c>
      <c r="E29" s="32" t="n">
        <f aca="false">INDEX(Surface_Engine!$G$12:$G$72,$A29+1)*IF($A29&lt;$Q$6,INDEX(Surface_Engine!$Z$12:$Z$72,$A29+1),INDEX(Surface_Engine!$Z$12:$Z$72,$Q$6+1))</f>
        <v>0.736747913850678</v>
      </c>
      <c r="F29" s="48" t="n">
        <f aca="false">B29*(IF($A29&lt;$Q$6,INDEX(Surface_Engine!$D$12:$D$72,$A29+1)+(Surface_Engine!B236*12)*INDEX(Surface_Engine!$F$12:$F$72,$A29+1)-(Surface_Engine!B236*12),1000*12*INDEX(Surface_Engine!$C$12:$C$72,$A29+1)/(1+Assumptions!$B$10)^15+INDEX(Surface_Engine!$D$12:$D$72,$A29+1)))*INDEX(Surface_Engine!$B$12:$B$72,$A29+1)+F30</f>
        <v>53068.4113562282</v>
      </c>
      <c r="G29" s="48" t="n">
        <f aca="false">C29*(IF($A29&lt;$Q$6,INDEX(Surface_Engine!$D$12:$D$72,$A29+1)+(Surface_Engine!B236*12)*INDEX(Surface_Engine!$F$12:$F$72,$A29+1)-(Surface_Engine!B236*12),1000*12*INDEX(Surface_Engine!$C$12:$C$72,$A29+1)/(1+Assumptions!$B$10)^15+INDEX(Surface_Engine!$D$12:$D$72,$A29+1)))*INDEX(Surface_Engine!$B$12:$B$72,$A29+1)+G30</f>
        <v>61449.3919726886</v>
      </c>
      <c r="H29" s="48" t="n">
        <f aca="false">D29*(IF($A29&lt;$Q$6,INDEX(Surface_Engine!$D$12:$D$72,$A29+1)+(Surface_Engine!B236*12)*INDEX(Surface_Engine!$F$12:$F$72,$A29+1)-(Surface_Engine!B236*12),1000*12*INDEX(Surface_Engine!$C$12:$C$72,$A29+1)/(1+Assumptions!$B$10)^15+INDEX(Surface_Engine!$D$12:$D$72,$A29+1)))*INDEX(Surface_Engine!$B$12:$B$72,$A29+1)+H30</f>
        <v>48073.5515835398</v>
      </c>
      <c r="I29" s="48" t="n">
        <f aca="false">E29*(IF($A29&lt;$Q$6,INDEX(Surface_Engine!$D$12:$D$72,$A29+1)+(Surface_Engine!B236*12)*INDEX(Surface_Engine!$F$12:$F$72,$A29+1)-(Surface_Engine!B236*12),1000*12*INDEX(Surface_Engine!$C$12:$C$72,$A29+1)/(1+Assumptions!$B$10)^15+INDEX(Surface_Engine!$D$12:$D$72,$A29+1)))*INDEX(Surface_Engine!$B$12:$B$72,$A29+1)+I30</f>
        <v>58528.4889019273</v>
      </c>
      <c r="J29" s="48" t="n">
        <f aca="false">B29*(IF($A29&lt;$Q$6,INDEX(Surface_Engine!$D$12:$D$72,$A29+1)*(1+Assumptions!$B$24)+(Surface_Engine!B236*12)*INDEX(Surface_Engine!$F$12:$F$72,$A29+1)-(Surface_Engine!B236*12),1000*12*INDEX(Surface_Engine!$C$12:$C$72,$A29+1)/(1+Assumptions!$B$10)^15+INDEX(Surface_Engine!$D$12:$D$72,$A29+1)*(1+Assumptions!$B$24)))*INDEX(Surface_Engine!$B$12:$B$72,$A29+1)+J30</f>
        <v>53123.7935446837</v>
      </c>
      <c r="K29" s="12" t="n">
        <f aca="false">SQRT((IF(C29&lt;=0,0,MAX(0,(B29/C29)*G29/INDEX(Surface_Engine!$B$12:$B$72,$A29+1)-F29/INDEX(Surface_Engine!$B$12:$B$72,$A29+1))))^2+(MAX(IF(D29&lt;=0,0,MAX(0,(B29/D29)*H29/INDEX(Surface_Engine!$B$12:$B$72,$A29+1)-F29/INDEX(Surface_Engine!$B$12:$B$72,$A29+1))),IF(E29&lt;=0,0,MAX(0,(B29/E29)*I29/INDEX(Surface_Engine!$B$12:$B$72,$A29+1)-F29/INDEX(Surface_Engine!$B$12:$B$72,$A29+1))),IF($A29&lt;$Q$6,MAX(0,-Assumptions!$B$22*(F29/INDEX(Surface_Engine!$B$12:$B$72,$A29+1))),0)))^2+(MAX(0,J29/INDEX(Surface_Engine!$B$12:$B$72,$A29+1)-(F29/INDEX(Surface_Engine!$B$12:$B$72,$A29+1))))^2+2*Assumptions!$B$26*(IF(C29&lt;=0,0,MAX(0,(B29/C29)*G29/INDEX(Surface_Engine!$B$12:$B$72,$A29+1)-F29/INDEX(Surface_Engine!$B$12:$B$72,$A29+1))))*(MAX(IF(D29&lt;=0,0,MAX(0,(B29/D29)*H29/INDEX(Surface_Engine!$B$12:$B$72,$A29+1)-F29/INDEX(Surface_Engine!$B$12:$B$72,$A29+1))),IF(E29&lt;=0,0,MAX(0,(B29/E29)*I29/INDEX(Surface_Engine!$B$12:$B$72,$A29+1)-F29/INDEX(Surface_Engine!$B$12:$B$72,$A29+1))),IF($A29&lt;$Q$6,MAX(0,-Assumptions!$B$22*(F29/INDEX(Surface_Engine!$B$12:$B$72,$A29+1))),0)))+2*Assumptions!$B$27*(IF(C29&lt;=0,0,MAX(0,(B29/C29)*G29/INDEX(Surface_Engine!$B$12:$B$72,$A29+1)-F29/INDEX(Surface_Engine!$B$12:$B$72,$A29+1))))*(MAX(0,J29/INDEX(Surface_Engine!$B$12:$B$72,$A29+1)-(F29/INDEX(Surface_Engine!$B$12:$B$72,$A29+1))))+2*Assumptions!$B$28*(MAX(IF(D29&lt;=0,0,MAX(0,(B29/D29)*H29/INDEX(Surface_Engine!$B$12:$B$72,$A29+1)-F29/INDEX(Surface_Engine!$B$12:$B$72,$A29+1))),IF(E29&lt;=0,0,MAX(0,(B29/E29)*I29/INDEX(Surface_Engine!$B$12:$B$72,$A29+1)-F29/INDEX(Surface_Engine!$B$12:$B$72,$A29+1))),IF($A29&lt;$Q$6,MAX(0,-Assumptions!$B$22*(F29/INDEX(Surface_Engine!$B$12:$B$72,$A29+1))),0)))*(MAX(0,J29/INDEX(Surface_Engine!$B$12:$B$72,$A29+1)-(F29/INDEX(Surface_Engine!$B$12:$B$72,$A29+1)))))</f>
        <v>11307.9390118241</v>
      </c>
      <c r="L29" s="48" t="n">
        <f aca="false">K29*INDEX(Surface_Engine!$B$12:$B$72,$A29+1)+L30</f>
        <v>57460.8102552788</v>
      </c>
      <c r="M29" s="48" t="n">
        <f aca="false">M28+B28*(IF($A28&lt;$Q$6,(Surface_Engine!B236*12)-(Surface_Engine!B236*12)*INDEX(Surface_Engine!$F$12:$F$72,$A28+1)-INDEX(Surface_Engine!$D$12:$D$72,$A28+1),-(1000*12*INDEX(Surface_Engine!$C$12:$C$72,$A28+1)/(1+Assumptions!$B$10)^15+INDEX(Surface_Engine!$D$12:$D$72,$A28+1))))*INDEX(Surface_Engine!$B$12:$B$72,$A28+1)</f>
        <v>56169.6187984624</v>
      </c>
      <c r="N29" s="12" t="n">
        <f aca="false">IF(B29&lt;=0,0,MAX(0,(K29+Assumptions!$B$29*L29/INDEX(Surface_Engine!$B$12:$B$72,$A29+1)-(M29/INDEX(Surface_Engine!$B$12:$B$72,$A29+1)-(F29/INDEX(Surface_Engine!$B$12:$B$72,$A29+1))))/B29))</f>
        <v>17926.3810197795</v>
      </c>
    </row>
    <row r="30" customFormat="false" ht="15" hidden="false" customHeight="true" outlineLevel="0" collapsed="false">
      <c r="A30" s="1" t="n">
        <v>22</v>
      </c>
      <c r="B30" s="32" t="n">
        <f aca="false">INDEX(Surface_Engine!$G$12:$G$72,$A30+1)*IF($A30&lt;$Q$6,INDEX(Surface_Engine!$E$12:$E$72,$A30+1),INDEX(Surface_Engine!$E$12:$E$72,$Q$6+1))</f>
        <v>0.649210581355202</v>
      </c>
      <c r="C30" s="32" t="n">
        <f aca="false">INDEX(Panel_Reserving!$B$8:$B$68,$A30+1)*IF($A30&lt;$Q$6,INDEX(Surface_Engine!$E$12:$E$72,$A30+1),INDEX(Surface_Engine!$E$12:$E$72,$Q$6+1))</f>
        <v>0.680934317994173</v>
      </c>
      <c r="D30" s="32" t="n">
        <f aca="false">INDEX(Surface_Engine!$G$12:$G$72,$A30+1)*IF($A30&lt;$Q$6,INDEX(Surface_Engine!$Y$12:$Y$72,$A30+1),INDEX(Surface_Engine!$Y$12:$Y$72,$Q$6+1))</f>
        <v>0.588106136470887</v>
      </c>
      <c r="E30" s="32" t="n">
        <f aca="false">INDEX(Surface_Engine!$G$12:$G$72,$A30+1)*IF($A30&lt;$Q$6,INDEX(Surface_Engine!$Z$12:$Z$72,$A30+1),INDEX(Surface_Engine!$Z$12:$Z$72,$Q$6+1))</f>
        <v>0.716006251832188</v>
      </c>
      <c r="F30" s="48" t="n">
        <f aca="false">B30*(IF($A30&lt;$Q$6,INDEX(Surface_Engine!$D$12:$D$72,$A30+1)+(Surface_Engine!B236*12)*INDEX(Surface_Engine!$F$12:$F$72,$A30+1)-(Surface_Engine!B236*12),1000*12*INDEX(Surface_Engine!$C$12:$C$72,$A30+1)/(1+Assumptions!$B$10)^15+INDEX(Surface_Engine!$D$12:$D$72,$A30+1)))*INDEX(Surface_Engine!$B$12:$B$72,$A30+1)+F31</f>
        <v>48333.0668403839</v>
      </c>
      <c r="G30" s="48" t="n">
        <f aca="false">C30*(IF($A30&lt;$Q$6,INDEX(Surface_Engine!$D$12:$D$72,$A30+1)+(Surface_Engine!B236*12)*INDEX(Surface_Engine!$F$12:$F$72,$A30+1)-(Surface_Engine!B236*12),1000*12*INDEX(Surface_Engine!$C$12:$C$72,$A30+1)/(1+Assumptions!$B$10)^15+INDEX(Surface_Engine!$D$12:$D$72,$A30+1)))*INDEX(Surface_Engine!$B$12:$B$72,$A30+1)+G31</f>
        <v>56511.2644753429</v>
      </c>
      <c r="H30" s="48" t="n">
        <f aca="false">D30*(IF($A30&lt;$Q$6,INDEX(Surface_Engine!$D$12:$D$72,$A30+1)+(Surface_Engine!B236*12)*INDEX(Surface_Engine!$F$12:$F$72,$A30+1)-(Surface_Engine!B236*12),1000*12*INDEX(Surface_Engine!$C$12:$C$72,$A30+1)/(1+Assumptions!$B$10)^15+INDEX(Surface_Engine!$D$12:$D$72,$A30+1)))*INDEX(Surface_Engine!$B$12:$B$72,$A30+1)+H31</f>
        <v>43783.9031273201</v>
      </c>
      <c r="I30" s="48" t="n">
        <f aca="false">E30*(IF($A30&lt;$Q$6,INDEX(Surface_Engine!$D$12:$D$72,$A30+1)+(Surface_Engine!B236*12)*INDEX(Surface_Engine!$F$12:$F$72,$A30+1)-(Surface_Engine!B236*12),1000*12*INDEX(Surface_Engine!$C$12:$C$72,$A30+1)/(1+Assumptions!$B$10)^15+INDEX(Surface_Engine!$D$12:$D$72,$A30+1)))*INDEX(Surface_Engine!$B$12:$B$72,$A30+1)+I31</f>
        <v>53305.9365047587</v>
      </c>
      <c r="J30" s="48" t="n">
        <f aca="false">B30*(IF($A30&lt;$Q$6,INDEX(Surface_Engine!$D$12:$D$72,$A30+1)*(1+Assumptions!$B$24)+(Surface_Engine!B236*12)*INDEX(Surface_Engine!$F$12:$F$72,$A30+1)-(Surface_Engine!B236*12),1000*12*INDEX(Surface_Engine!$C$12:$C$72,$A30+1)/(1+Assumptions!$B$10)^15+INDEX(Surface_Engine!$D$12:$D$72,$A30+1)*(1+Assumptions!$B$24)))*INDEX(Surface_Engine!$B$12:$B$72,$A30+1)+J31</f>
        <v>48383.6717490816</v>
      </c>
      <c r="K30" s="12" t="n">
        <f aca="false">SQRT((IF(C30&lt;=0,0,MAX(0,(B30/C30)*G30/INDEX(Surface_Engine!$B$12:$B$72,$A30+1)-F30/INDEX(Surface_Engine!$B$12:$B$72,$A30+1))))^2+(MAX(IF(D30&lt;=0,0,MAX(0,(B30/D30)*H30/INDEX(Surface_Engine!$B$12:$B$72,$A30+1)-F30/INDEX(Surface_Engine!$B$12:$B$72,$A30+1))),IF(E30&lt;=0,0,MAX(0,(B30/E30)*I30/INDEX(Surface_Engine!$B$12:$B$72,$A30+1)-F30/INDEX(Surface_Engine!$B$12:$B$72,$A30+1))),IF($A30&lt;$Q$6,MAX(0,-Assumptions!$B$22*(F30/INDEX(Surface_Engine!$B$12:$B$72,$A30+1))),0)))^2+(MAX(0,J30/INDEX(Surface_Engine!$B$12:$B$72,$A30+1)-(F30/INDEX(Surface_Engine!$B$12:$B$72,$A30+1))))^2+2*Assumptions!$B$26*(IF(C30&lt;=0,0,MAX(0,(B30/C30)*G30/INDEX(Surface_Engine!$B$12:$B$72,$A30+1)-F30/INDEX(Surface_Engine!$B$12:$B$72,$A30+1))))*(MAX(IF(D30&lt;=0,0,MAX(0,(B30/D30)*H30/INDEX(Surface_Engine!$B$12:$B$72,$A30+1)-F30/INDEX(Surface_Engine!$B$12:$B$72,$A30+1))),IF(E30&lt;=0,0,MAX(0,(B30/E30)*I30/INDEX(Surface_Engine!$B$12:$B$72,$A30+1)-F30/INDEX(Surface_Engine!$B$12:$B$72,$A30+1))),IF($A30&lt;$Q$6,MAX(0,-Assumptions!$B$22*(F30/INDEX(Surface_Engine!$B$12:$B$72,$A30+1))),0)))+2*Assumptions!$B$27*(IF(C30&lt;=0,0,MAX(0,(B30/C30)*G30/INDEX(Surface_Engine!$B$12:$B$72,$A30+1)-F30/INDEX(Surface_Engine!$B$12:$B$72,$A30+1))))*(MAX(0,J30/INDEX(Surface_Engine!$B$12:$B$72,$A30+1)-(F30/INDEX(Surface_Engine!$B$12:$B$72,$A30+1))))+2*Assumptions!$B$28*(MAX(IF(D30&lt;=0,0,MAX(0,(B30/D30)*H30/INDEX(Surface_Engine!$B$12:$B$72,$A30+1)-F30/INDEX(Surface_Engine!$B$12:$B$72,$A30+1))),IF(E30&lt;=0,0,MAX(0,(B30/E30)*I30/INDEX(Surface_Engine!$B$12:$B$72,$A30+1)-F30/INDEX(Surface_Engine!$B$12:$B$72,$A30+1))),IF($A30&lt;$Q$6,MAX(0,-Assumptions!$B$22*(F30/INDEX(Surface_Engine!$B$12:$B$72,$A30+1))),0)))*(MAX(0,J30/INDEX(Surface_Engine!$B$12:$B$72,$A30+1)-(F30/INDEX(Surface_Engine!$B$12:$B$72,$A30+1)))))</f>
        <v>11046.1028688288</v>
      </c>
      <c r="L30" s="48" t="n">
        <f aca="false">K30*INDEX(Surface_Engine!$B$12:$B$72,$A30+1)+L31</f>
        <v>51589.1432731965</v>
      </c>
      <c r="M30" s="48" t="n">
        <f aca="false">M29+B29*(IF($A29&lt;$Q$6,(Surface_Engine!B236*12)-(Surface_Engine!B236*12)*INDEX(Surface_Engine!$F$12:$F$72,$A29+1)-INDEX(Surface_Engine!$D$12:$D$72,$A29+1),-(1000*12*INDEX(Surface_Engine!$C$12:$C$72,$A29+1)/(1+Assumptions!$B$10)^15+INDEX(Surface_Engine!$D$12:$D$72,$A29+1))))*INDEX(Surface_Engine!$B$12:$B$72,$A29+1)</f>
        <v>51434.2742826181</v>
      </c>
      <c r="N30" s="12" t="n">
        <f aca="false">IF(B30&lt;=0,0,MAX(0,(K30+Assumptions!$B$29*L30/INDEX(Surface_Engine!$B$12:$B$72,$A30+1)-(M30/INDEX(Surface_Engine!$B$12:$B$72,$A30+1)-(F30/INDEX(Surface_Engine!$B$12:$B$72,$A30+1))))/B30))</f>
        <v>16996.7338438018</v>
      </c>
    </row>
    <row r="31" customFormat="false" ht="15" hidden="false" customHeight="true" outlineLevel="0" collapsed="false">
      <c r="A31" s="1" t="n">
        <v>23</v>
      </c>
      <c r="B31" s="32" t="n">
        <f aca="false">INDEX(Surface_Engine!$G$12:$G$72,$A31+1)*IF($A31&lt;$Q$6,INDEX(Surface_Engine!$E$12:$E$72,$A31+1),INDEX(Surface_Engine!$E$12:$E$72,$Q$6+1))</f>
        <v>0.628694957540452</v>
      </c>
      <c r="C31" s="32" t="n">
        <f aca="false">INDEX(Panel_Reserving!$B$8:$B$68,$A31+1)*IF($A31&lt;$Q$6,INDEX(Surface_Engine!$E$12:$E$72,$A31+1),INDEX(Surface_Engine!$E$12:$E$72,$Q$6+1))</f>
        <v>0.663719820619395</v>
      </c>
      <c r="D31" s="32" t="n">
        <f aca="false">INDEX(Surface_Engine!$G$12:$G$72,$A31+1)*IF($A31&lt;$Q$6,INDEX(Surface_Engine!$Y$12:$Y$72,$A31+1),INDEX(Surface_Engine!$Y$12:$Y$72,$Q$6+1))</f>
        <v>0.569521466711198</v>
      </c>
      <c r="E31" s="32" t="n">
        <f aca="false">INDEX(Surface_Engine!$G$12:$G$72,$A31+1)*IF($A31&lt;$Q$6,INDEX(Surface_Engine!$Z$12:$Z$72,$A31+1),INDEX(Surface_Engine!$Z$12:$Z$72,$Q$6+1))</f>
        <v>0.693379826241689</v>
      </c>
      <c r="F31" s="48" t="n">
        <f aca="false">B31*(IF($A31&lt;$Q$6,INDEX(Surface_Engine!$D$12:$D$72,$A31+1)+(Surface_Engine!B236*12)*INDEX(Surface_Engine!$F$12:$F$72,$A31+1)-(Surface_Engine!B236*12),1000*12*INDEX(Surface_Engine!$C$12:$C$72,$A31+1)/(1+Assumptions!$B$10)^15+INDEX(Surface_Engine!$D$12:$D$72,$A31+1)))*INDEX(Surface_Engine!$B$12:$B$72,$A31+1)+F32</f>
        <v>43783.9709614154</v>
      </c>
      <c r="G31" s="48" t="n">
        <f aca="false">C31*(IF($A31&lt;$Q$6,INDEX(Surface_Engine!$D$12:$D$72,$A31+1)+(Surface_Engine!B236*12)*INDEX(Surface_Engine!$F$12:$F$72,$A31+1)-(Surface_Engine!B236*12),1000*12*INDEX(Surface_Engine!$C$12:$C$72,$A31+1)/(1+Assumptions!$B$10)^15+INDEX(Surface_Engine!$D$12:$D$72,$A31+1)))*INDEX(Surface_Engine!$B$12:$B$72,$A31+1)+G32</f>
        <v>51739.8765947428</v>
      </c>
      <c r="H31" s="48" t="n">
        <f aca="false">D31*(IF($A31&lt;$Q$6,INDEX(Surface_Engine!$D$12:$D$72,$A31+1)+(Surface_Engine!B236*12)*INDEX(Surface_Engine!$F$12:$F$72,$A31+1)-(Surface_Engine!B236*12),1000*12*INDEX(Surface_Engine!$C$12:$C$72,$A31+1)/(1+Assumptions!$B$10)^15+INDEX(Surface_Engine!$D$12:$D$72,$A31+1)))*INDEX(Surface_Engine!$B$12:$B$72,$A31+1)+H32</f>
        <v>39662.9733725538</v>
      </c>
      <c r="I31" s="48" t="n">
        <f aca="false">E31*(IF($A31&lt;$Q$6,INDEX(Surface_Engine!$D$12:$D$72,$A31+1)+(Surface_Engine!B236*12)*INDEX(Surface_Engine!$F$12:$F$72,$A31+1)-(Surface_Engine!B236*12),1000*12*INDEX(Surface_Engine!$C$12:$C$72,$A31+1)/(1+Assumptions!$B$10)^15+INDEX(Surface_Engine!$D$12:$D$72,$A31+1)))*INDEX(Surface_Engine!$B$12:$B$72,$A31+1)+I32</f>
        <v>48288.7954059087</v>
      </c>
      <c r="J31" s="48" t="n">
        <f aca="false">B31*(IF($A31&lt;$Q$6,INDEX(Surface_Engine!$D$12:$D$72,$A31+1)*(1+Assumptions!$B$24)+(Surface_Engine!B236*12)*INDEX(Surface_Engine!$F$12:$F$72,$A31+1)-(Surface_Engine!B236*12),1000*12*INDEX(Surface_Engine!$C$12:$C$72,$A31+1)/(1+Assumptions!$B$10)^15+INDEX(Surface_Engine!$D$12:$D$72,$A31+1)*(1+Assumptions!$B$24)))*INDEX(Surface_Engine!$B$12:$B$72,$A31+1)+J32</f>
        <v>43829.9642194659</v>
      </c>
      <c r="K31" s="12" t="n">
        <f aca="false">SQRT((IF(C31&lt;=0,0,MAX(0,(B31/C31)*G31/INDEX(Surface_Engine!$B$12:$B$72,$A31+1)-F31/INDEX(Surface_Engine!$B$12:$B$72,$A31+1))))^2+(MAX(IF(D31&lt;=0,0,MAX(0,(B31/D31)*H31/INDEX(Surface_Engine!$B$12:$B$72,$A31+1)-F31/INDEX(Surface_Engine!$B$12:$B$72,$A31+1))),IF(E31&lt;=0,0,MAX(0,(B31/E31)*I31/INDEX(Surface_Engine!$B$12:$B$72,$A31+1)-F31/INDEX(Surface_Engine!$B$12:$B$72,$A31+1))),IF($A31&lt;$Q$6,MAX(0,-Assumptions!$B$22*(F31/INDEX(Surface_Engine!$B$12:$B$72,$A31+1))),0)))^2+(MAX(0,J31/INDEX(Surface_Engine!$B$12:$B$72,$A31+1)-(F31/INDEX(Surface_Engine!$B$12:$B$72,$A31+1))))^2+2*Assumptions!$B$26*(IF(C31&lt;=0,0,MAX(0,(B31/C31)*G31/INDEX(Surface_Engine!$B$12:$B$72,$A31+1)-F31/INDEX(Surface_Engine!$B$12:$B$72,$A31+1))))*(MAX(IF(D31&lt;=0,0,MAX(0,(B31/D31)*H31/INDEX(Surface_Engine!$B$12:$B$72,$A31+1)-F31/INDEX(Surface_Engine!$B$12:$B$72,$A31+1))),IF(E31&lt;=0,0,MAX(0,(B31/E31)*I31/INDEX(Surface_Engine!$B$12:$B$72,$A31+1)-F31/INDEX(Surface_Engine!$B$12:$B$72,$A31+1))),IF($A31&lt;$Q$6,MAX(0,-Assumptions!$B$22*(F31/INDEX(Surface_Engine!$B$12:$B$72,$A31+1))),0)))+2*Assumptions!$B$27*(IF(C31&lt;=0,0,MAX(0,(B31/C31)*G31/INDEX(Surface_Engine!$B$12:$B$72,$A31+1)-F31/INDEX(Surface_Engine!$B$12:$B$72,$A31+1))))*(MAX(0,J31/INDEX(Surface_Engine!$B$12:$B$72,$A31+1)-(F31/INDEX(Surface_Engine!$B$12:$B$72,$A31+1))))+2*Assumptions!$B$28*(MAX(IF(D31&lt;=0,0,MAX(0,(B31/D31)*H31/INDEX(Surface_Engine!$B$12:$B$72,$A31+1)-F31/INDEX(Surface_Engine!$B$12:$B$72,$A31+1))),IF(E31&lt;=0,0,MAX(0,(B31/E31)*I31/INDEX(Surface_Engine!$B$12:$B$72,$A31+1)-F31/INDEX(Surface_Engine!$B$12:$B$72,$A31+1))),IF($A31&lt;$Q$6,MAX(0,-Assumptions!$B$22*(F31/INDEX(Surface_Engine!$B$12:$B$72,$A31+1))),0)))*(MAX(0,J31/INDEX(Surface_Engine!$B$12:$B$72,$A31+1)-(F31/INDEX(Surface_Engine!$B$12:$B$72,$A31+1)))))</f>
        <v>10740.5358933526</v>
      </c>
      <c r="L31" s="48" t="n">
        <f aca="false">K31*INDEX(Surface_Engine!$B$12:$B$72,$A31+1)+L32</f>
        <v>46030.8558232284</v>
      </c>
      <c r="M31" s="48" t="n">
        <f aca="false">M30+B30*(IF($A30&lt;$Q$6,(Surface_Engine!B236*12)-(Surface_Engine!B236*12)*INDEX(Surface_Engine!$F$12:$F$72,$A30+1)-INDEX(Surface_Engine!$D$12:$D$72,$A30+1),-(1000*12*INDEX(Surface_Engine!$C$12:$C$72,$A30+1)/(1+Assumptions!$B$10)^15+INDEX(Surface_Engine!$D$12:$D$72,$A30+1))))*INDEX(Surface_Engine!$B$12:$B$72,$A30+1)</f>
        <v>46885.1784036496</v>
      </c>
      <c r="N31" s="12" t="n">
        <f aca="false">IF(B31&lt;=0,0,MAX(0,(K31+Assumptions!$B$29*L31/INDEX(Surface_Engine!$B$12:$B$72,$A31+1)-(M31/INDEX(Surface_Engine!$B$12:$B$72,$A31+1)-(F31/INDEX(Surface_Engine!$B$12:$B$72,$A31+1))))/B31))</f>
        <v>15976.8828002137</v>
      </c>
    </row>
    <row r="32" customFormat="false" ht="15" hidden="false" customHeight="true" outlineLevel="0" collapsed="false">
      <c r="A32" s="1" t="n">
        <v>24</v>
      </c>
      <c r="B32" s="32" t="n">
        <f aca="false">INDEX(Surface_Engine!$G$12:$G$72,$A32+1)*IF($A32&lt;$Q$6,INDEX(Surface_Engine!$E$12:$E$72,$A32+1),INDEX(Surface_Engine!$E$12:$E$72,$Q$6+1))</f>
        <v>0.60639794240298</v>
      </c>
      <c r="C32" s="32" t="n">
        <f aca="false">INDEX(Panel_Reserving!$B$8:$B$68,$A32+1)*IF($A32&lt;$Q$6,INDEX(Surface_Engine!$E$12:$E$72,$A32+1),INDEX(Surface_Engine!$E$12:$E$72,$Q$6+1))</f>
        <v>0.644888467563487</v>
      </c>
      <c r="D32" s="32" t="n">
        <f aca="false">INDEX(Surface_Engine!$G$12:$G$72,$A32+1)*IF($A32&lt;$Q$6,INDEX(Surface_Engine!$Y$12:$Y$72,$A32+1),INDEX(Surface_Engine!$Y$12:$Y$72,$Q$6+1))</f>
        <v>0.549323072224221</v>
      </c>
      <c r="E32" s="32" t="n">
        <f aca="false">INDEX(Surface_Engine!$G$12:$G$72,$A32+1)*IF($A32&lt;$Q$6,INDEX(Surface_Engine!$Z$12:$Z$72,$A32+1),INDEX(Surface_Engine!$Z$12:$Z$72,$Q$6+1))</f>
        <v>0.668788726382685</v>
      </c>
      <c r="F32" s="48" t="n">
        <f aca="false">B32*(IF($A32&lt;$Q$6,INDEX(Surface_Engine!$D$12:$D$72,$A32+1)+(Surface_Engine!B236*12)*INDEX(Surface_Engine!$F$12:$F$72,$A32+1)-(Surface_Engine!B236*12),1000*12*INDEX(Surface_Engine!$C$12:$C$72,$A32+1)/(1+Assumptions!$B$10)^15+INDEX(Surface_Engine!$D$12:$D$72,$A32+1)))*INDEX(Surface_Engine!$B$12:$B$72,$A32+1)+F33</f>
        <v>39429.3859493583</v>
      </c>
      <c r="G32" s="48" t="n">
        <f aca="false">C32*(IF($A32&lt;$Q$6,INDEX(Surface_Engine!$D$12:$D$72,$A32+1)+(Surface_Engine!B236*12)*INDEX(Surface_Engine!$F$12:$F$72,$A32+1)-(Surface_Engine!B236*12),1000*12*INDEX(Surface_Engine!$C$12:$C$72,$A32+1)/(1+Assumptions!$B$10)^15+INDEX(Surface_Engine!$D$12:$D$72,$A32+1)))*INDEX(Surface_Engine!$B$12:$B$72,$A32+1)+G33</f>
        <v>47142.6958023575</v>
      </c>
      <c r="H32" s="48" t="n">
        <f aca="false">D32*(IF($A32&lt;$Q$6,INDEX(Surface_Engine!$D$12:$D$72,$A32+1)+(Surface_Engine!B236*12)*INDEX(Surface_Engine!$F$12:$F$72,$A32+1)-(Surface_Engine!B236*12),1000*12*INDEX(Surface_Engine!$C$12:$C$72,$A32+1)/(1+Assumptions!$B$10)^15+INDEX(Surface_Engine!$D$12:$D$72,$A32+1)))*INDEX(Surface_Engine!$B$12:$B$72,$A32+1)+H33</f>
        <v>35718.2468987045</v>
      </c>
      <c r="I32" s="48" t="n">
        <f aca="false">E32*(IF($A32&lt;$Q$6,INDEX(Surface_Engine!$D$12:$D$72,$A32+1)+(Surface_Engine!B236*12)*INDEX(Surface_Engine!$F$12:$F$72,$A32+1)-(Surface_Engine!B236*12),1000*12*INDEX(Surface_Engine!$C$12:$C$72,$A32+1)/(1+Assumptions!$B$10)^15+INDEX(Surface_Engine!$D$12:$D$72,$A32+1)))*INDEX(Surface_Engine!$B$12:$B$72,$A32+1)+I33</f>
        <v>43486.1779158192</v>
      </c>
      <c r="J32" s="48" t="n">
        <f aca="false">B32*(IF($A32&lt;$Q$6,INDEX(Surface_Engine!$D$12:$D$72,$A32+1)*(1+Assumptions!$B$24)+(Surface_Engine!B236*12)*INDEX(Surface_Engine!$F$12:$F$72,$A32+1)-(Surface_Engine!B236*12),1000*12*INDEX(Surface_Engine!$C$12:$C$72,$A32+1)/(1+Assumptions!$B$10)^15+INDEX(Surface_Engine!$D$12:$D$72,$A32+1)*(1+Assumptions!$B$24)))*INDEX(Surface_Engine!$B$12:$B$72,$A32+1)+J33</f>
        <v>39470.9433232547</v>
      </c>
      <c r="K32" s="12" t="n">
        <f aca="false">SQRT((IF(C32&lt;=0,0,MAX(0,(B32/C32)*G32/INDEX(Surface_Engine!$B$12:$B$72,$A32+1)-F32/INDEX(Surface_Engine!$B$12:$B$72,$A32+1))))^2+(MAX(IF(D32&lt;=0,0,MAX(0,(B32/D32)*H32/INDEX(Surface_Engine!$B$12:$B$72,$A32+1)-F32/INDEX(Surface_Engine!$B$12:$B$72,$A32+1))),IF(E32&lt;=0,0,MAX(0,(B32/E32)*I32/INDEX(Surface_Engine!$B$12:$B$72,$A32+1)-F32/INDEX(Surface_Engine!$B$12:$B$72,$A32+1))),IF($A32&lt;$Q$6,MAX(0,-Assumptions!$B$22*(F32/INDEX(Surface_Engine!$B$12:$B$72,$A32+1))),0)))^2+(MAX(0,J32/INDEX(Surface_Engine!$B$12:$B$72,$A32+1)-(F32/INDEX(Surface_Engine!$B$12:$B$72,$A32+1))))^2+2*Assumptions!$B$26*(IF(C32&lt;=0,0,MAX(0,(B32/C32)*G32/INDEX(Surface_Engine!$B$12:$B$72,$A32+1)-F32/INDEX(Surface_Engine!$B$12:$B$72,$A32+1))))*(MAX(IF(D32&lt;=0,0,MAX(0,(B32/D32)*H32/INDEX(Surface_Engine!$B$12:$B$72,$A32+1)-F32/INDEX(Surface_Engine!$B$12:$B$72,$A32+1))),IF(E32&lt;=0,0,MAX(0,(B32/E32)*I32/INDEX(Surface_Engine!$B$12:$B$72,$A32+1)-F32/INDEX(Surface_Engine!$B$12:$B$72,$A32+1))),IF($A32&lt;$Q$6,MAX(0,-Assumptions!$B$22*(F32/INDEX(Surface_Engine!$B$12:$B$72,$A32+1))),0)))+2*Assumptions!$B$27*(IF(C32&lt;=0,0,MAX(0,(B32/C32)*G32/INDEX(Surface_Engine!$B$12:$B$72,$A32+1)-F32/INDEX(Surface_Engine!$B$12:$B$72,$A32+1))))*(MAX(0,J32/INDEX(Surface_Engine!$B$12:$B$72,$A32+1)-(F32/INDEX(Surface_Engine!$B$12:$B$72,$A32+1))))+2*Assumptions!$B$28*(MAX(IF(D32&lt;=0,0,MAX(0,(B32/D32)*H32/INDEX(Surface_Engine!$B$12:$B$72,$A32+1)-F32/INDEX(Surface_Engine!$B$12:$B$72,$A32+1))),IF(E32&lt;=0,0,MAX(0,(B32/E32)*I32/INDEX(Surface_Engine!$B$12:$B$72,$A32+1)-F32/INDEX(Surface_Engine!$B$12:$B$72,$A32+1))),IF($A32&lt;$Q$6,MAX(0,-Assumptions!$B$22*(F32/INDEX(Surface_Engine!$B$12:$B$72,$A32+1))),0)))*(MAX(0,J32/INDEX(Surface_Engine!$B$12:$B$72,$A32+1)-(F32/INDEX(Surface_Engine!$B$12:$B$72,$A32+1)))))</f>
        <v>10393.9133002005</v>
      </c>
      <c r="L32" s="48" t="n">
        <f aca="false">K32*INDEX(Surface_Engine!$B$12:$B$72,$A32+1)+L33</f>
        <v>40793.6045254228</v>
      </c>
      <c r="M32" s="48" t="n">
        <f aca="false">M31+B31*(IF($A31&lt;$Q$6,(Surface_Engine!B236*12)-(Surface_Engine!B236*12)*INDEX(Surface_Engine!$F$12:$F$72,$A31+1)-INDEX(Surface_Engine!$D$12:$D$72,$A31+1),-(1000*12*INDEX(Surface_Engine!$C$12:$C$72,$A31+1)/(1+Assumptions!$B$10)^15+INDEX(Surface_Engine!$D$12:$D$72,$A31+1))))*INDEX(Surface_Engine!$B$12:$B$72,$A31+1)</f>
        <v>42530.5933915924</v>
      </c>
      <c r="N32" s="12" t="n">
        <f aca="false">IF(B32&lt;=0,0,MAX(0,(K32+Assumptions!$B$29*L32/INDEX(Surface_Engine!$B$12:$B$72,$A32+1)-(M32/INDEX(Surface_Engine!$B$12:$B$72,$A32+1)-(F32/INDEX(Surface_Engine!$B$12:$B$72,$A32+1))))/B32))</f>
        <v>14858.8407387052</v>
      </c>
    </row>
    <row r="33" customFormat="false" ht="15" hidden="false" customHeight="true" outlineLevel="0" collapsed="false">
      <c r="A33" s="1" t="n">
        <v>25</v>
      </c>
      <c r="B33" s="32" t="n">
        <f aca="false">INDEX(Surface_Engine!$G$12:$G$72,$A33+1)*IF($A33&lt;$Q$6,INDEX(Surface_Engine!$E$12:$E$72,$A33+1),INDEX(Surface_Engine!$E$12:$E$72,$Q$6+1))</f>
        <v>0.582273184210621</v>
      </c>
      <c r="C33" s="32" t="n">
        <f aca="false">INDEX(Panel_Reserving!$B$8:$B$68,$A33+1)*IF($A33&lt;$Q$6,INDEX(Surface_Engine!$E$12:$E$72,$A33+1),INDEX(Surface_Engine!$E$12:$E$72,$Q$6+1))</f>
        <v>0.624363624382973</v>
      </c>
      <c r="D33" s="32" t="n">
        <f aca="false">INDEX(Surface_Engine!$G$12:$G$72,$A33+1)*IF($A33&lt;$Q$6,INDEX(Surface_Engine!$Y$12:$Y$72,$A33+1),INDEX(Surface_Engine!$Y$12:$Y$72,$Q$6+1))</f>
        <v>0.527468963956013</v>
      </c>
      <c r="E33" s="32" t="n">
        <f aca="false">INDEX(Surface_Engine!$G$12:$G$72,$A33+1)*IF($A33&lt;$Q$6,INDEX(Surface_Engine!$Z$12:$Z$72,$A33+1),INDEX(Surface_Engine!$Z$12:$Z$72,$Q$6+1))</f>
        <v>0.642181831507973</v>
      </c>
      <c r="F33" s="48" t="n">
        <f aca="false">B33*(IF($A33&lt;$Q$6,INDEX(Surface_Engine!$D$12:$D$72,$A33+1)+(Surface_Engine!B236*12)*INDEX(Surface_Engine!$F$12:$F$72,$A33+1)-(Surface_Engine!B236*12),1000*12*INDEX(Surface_Engine!$C$12:$C$72,$A33+1)/(1+Assumptions!$B$10)^15+INDEX(Surface_Engine!$D$12:$D$72,$A33+1)))*INDEX(Surface_Engine!$B$12:$B$72,$A33+1)+F34</f>
        <v>35278.6751668185</v>
      </c>
      <c r="G33" s="48" t="n">
        <f aca="false">C33*(IF($A33&lt;$Q$6,INDEX(Surface_Engine!$D$12:$D$72,$A33+1)+(Surface_Engine!B236*12)*INDEX(Surface_Engine!$F$12:$F$72,$A33+1)-(Surface_Engine!B236*12),1000*12*INDEX(Surface_Engine!$C$12:$C$72,$A33+1)/(1+Assumptions!$B$10)^15+INDEX(Surface_Engine!$D$12:$D$72,$A33+1)))*INDEX(Surface_Engine!$B$12:$B$72,$A33+1)+G34</f>
        <v>42728.5226518943</v>
      </c>
      <c r="H33" s="48" t="n">
        <f aca="false">D33*(IF($A33&lt;$Q$6,INDEX(Surface_Engine!$D$12:$D$72,$A33+1)+(Surface_Engine!B236*12)*INDEX(Surface_Engine!$F$12:$F$72,$A33+1)-(Surface_Engine!B236*12),1000*12*INDEX(Surface_Engine!$C$12:$C$72,$A33+1)/(1+Assumptions!$B$10)^15+INDEX(Surface_Engine!$D$12:$D$72,$A33+1)))*INDEX(Surface_Engine!$B$12:$B$72,$A33+1)+H34</f>
        <v>31958.2057779453</v>
      </c>
      <c r="I33" s="48" t="n">
        <f aca="false">E33*(IF($A33&lt;$Q$6,INDEX(Surface_Engine!$D$12:$D$72,$A33+1)+(Surface_Engine!B236*12)*INDEX(Surface_Engine!$F$12:$F$72,$A33+1)-(Surface_Engine!B236*12),1000*12*INDEX(Surface_Engine!$C$12:$C$72,$A33+1)/(1+Assumptions!$B$10)^15+INDEX(Surface_Engine!$D$12:$D$72,$A33+1)))*INDEX(Surface_Engine!$B$12:$B$72,$A33+1)+I34</f>
        <v>38908.4107703085</v>
      </c>
      <c r="J33" s="48" t="n">
        <f aca="false">B33*(IF($A33&lt;$Q$6,INDEX(Surface_Engine!$D$12:$D$72,$A33+1)*(1+Assumptions!$B$24)+(Surface_Engine!B236*12)*INDEX(Surface_Engine!$F$12:$F$72,$A33+1)-(Surface_Engine!B236*12),1000*12*INDEX(Surface_Engine!$C$12:$C$72,$A33+1)/(1+Assumptions!$B$10)^15+INDEX(Surface_Engine!$D$12:$D$72,$A33+1)*(1+Assumptions!$B$24)))*INDEX(Surface_Engine!$B$12:$B$72,$A33+1)+J34</f>
        <v>35315.9838227477</v>
      </c>
      <c r="K33" s="12" t="n">
        <f aca="false">SQRT((IF(C33&lt;=0,0,MAX(0,(B33/C33)*G33/INDEX(Surface_Engine!$B$12:$B$72,$A33+1)-F33/INDEX(Surface_Engine!$B$12:$B$72,$A33+1))))^2+(MAX(IF(D33&lt;=0,0,MAX(0,(B33/D33)*H33/INDEX(Surface_Engine!$B$12:$B$72,$A33+1)-F33/INDEX(Surface_Engine!$B$12:$B$72,$A33+1))),IF(E33&lt;=0,0,MAX(0,(B33/E33)*I33/INDEX(Surface_Engine!$B$12:$B$72,$A33+1)-F33/INDEX(Surface_Engine!$B$12:$B$72,$A33+1))),IF($A33&lt;$Q$6,MAX(0,-Assumptions!$B$22*(F33/INDEX(Surface_Engine!$B$12:$B$72,$A33+1))),0)))^2+(MAX(0,J33/INDEX(Surface_Engine!$B$12:$B$72,$A33+1)-(F33/INDEX(Surface_Engine!$B$12:$B$72,$A33+1))))^2+2*Assumptions!$B$26*(IF(C33&lt;=0,0,MAX(0,(B33/C33)*G33/INDEX(Surface_Engine!$B$12:$B$72,$A33+1)-F33/INDEX(Surface_Engine!$B$12:$B$72,$A33+1))))*(MAX(IF(D33&lt;=0,0,MAX(0,(B33/D33)*H33/INDEX(Surface_Engine!$B$12:$B$72,$A33+1)-F33/INDEX(Surface_Engine!$B$12:$B$72,$A33+1))),IF(E33&lt;=0,0,MAX(0,(B33/E33)*I33/INDEX(Surface_Engine!$B$12:$B$72,$A33+1)-F33/INDEX(Surface_Engine!$B$12:$B$72,$A33+1))),IF($A33&lt;$Q$6,MAX(0,-Assumptions!$B$22*(F33/INDEX(Surface_Engine!$B$12:$B$72,$A33+1))),0)))+2*Assumptions!$B$27*(IF(C33&lt;=0,0,MAX(0,(B33/C33)*G33/INDEX(Surface_Engine!$B$12:$B$72,$A33+1)-F33/INDEX(Surface_Engine!$B$12:$B$72,$A33+1))))*(MAX(0,J33/INDEX(Surface_Engine!$B$12:$B$72,$A33+1)-(F33/INDEX(Surface_Engine!$B$12:$B$72,$A33+1))))+2*Assumptions!$B$28*(MAX(IF(D33&lt;=0,0,MAX(0,(B33/D33)*H33/INDEX(Surface_Engine!$B$12:$B$72,$A33+1)-F33/INDEX(Surface_Engine!$B$12:$B$72,$A33+1))),IF(E33&lt;=0,0,MAX(0,(B33/E33)*I33/INDEX(Surface_Engine!$B$12:$B$72,$A33+1)-F33/INDEX(Surface_Engine!$B$12:$B$72,$A33+1))),IF($A33&lt;$Q$6,MAX(0,-Assumptions!$B$22*(F33/INDEX(Surface_Engine!$B$12:$B$72,$A33+1))),0)))*(MAX(0,J33/INDEX(Surface_Engine!$B$12:$B$72,$A33+1)-(F33/INDEX(Surface_Engine!$B$12:$B$72,$A33+1)))))</f>
        <v>10002.7136441484</v>
      </c>
      <c r="L33" s="48" t="n">
        <f aca="false">K33*INDEX(Surface_Engine!$B$12:$B$72,$A33+1)+L34</f>
        <v>35883.4783494819</v>
      </c>
      <c r="M33" s="48" t="n">
        <f aca="false">M32+B32*(IF($A32&lt;$Q$6,(Surface_Engine!B236*12)-(Surface_Engine!B236*12)*INDEX(Surface_Engine!$F$12:$F$72,$A32+1)-INDEX(Surface_Engine!$D$12:$D$72,$A32+1),-(1000*12*INDEX(Surface_Engine!$C$12:$C$72,$A32+1)/(1+Assumptions!$B$10)^15+INDEX(Surface_Engine!$D$12:$D$72,$A32+1))))*INDEX(Surface_Engine!$B$12:$B$72,$A32+1)</f>
        <v>38379.8826090526</v>
      </c>
      <c r="N33" s="12" t="n">
        <f aca="false">IF(B33&lt;=0,0,MAX(0,(K33+Assumptions!$B$29*L33/INDEX(Surface_Engine!$B$12:$B$72,$A33+1)-(M33/INDEX(Surface_Engine!$B$12:$B$72,$A33+1)-(F33/INDEX(Surface_Engine!$B$12:$B$72,$A33+1))))/B33))</f>
        <v>13621.3147713702</v>
      </c>
    </row>
    <row r="34" customFormat="false" ht="15" hidden="false" customHeight="true" outlineLevel="0" collapsed="false">
      <c r="A34" s="1" t="n">
        <v>26</v>
      </c>
      <c r="B34" s="32" t="n">
        <f aca="false">INDEX(Surface_Engine!$G$12:$G$72,$A34+1)*IF($A34&lt;$Q$6,INDEX(Surface_Engine!$E$12:$E$72,$A34+1),INDEX(Surface_Engine!$E$12:$E$72,$Q$6+1))</f>
        <v>0.555453258319179</v>
      </c>
      <c r="C34" s="32" t="n">
        <f aca="false">INDEX(Panel_Reserving!$B$8:$B$68,$A34+1)*IF($A34&lt;$Q$6,INDEX(Surface_Engine!$E$12:$E$72,$A34+1),INDEX(Surface_Engine!$E$12:$E$72,$Q$6+1))</f>
        <v>0.601356710667082</v>
      </c>
      <c r="D34" s="32" t="n">
        <f aca="false">INDEX(Surface_Engine!$G$12:$G$72,$A34+1)*IF($A34&lt;$Q$6,INDEX(Surface_Engine!$Y$12:$Y$72,$A34+1),INDEX(Surface_Engine!$Y$12:$Y$72,$Q$6+1))</f>
        <v>0.503173360265257</v>
      </c>
      <c r="E34" s="32" t="n">
        <f aca="false">INDEX(Surface_Engine!$G$12:$G$72,$A34+1)*IF($A34&lt;$Q$6,INDEX(Surface_Engine!$Z$12:$Z$72,$A34+1),INDEX(Surface_Engine!$Z$12:$Z$72,$Q$6+1))</f>
        <v>0.612602469797844</v>
      </c>
      <c r="F34" s="48" t="n">
        <f aca="false">B34*(IF($A34&lt;$Q$6,INDEX(Surface_Engine!$D$12:$D$72,$A34+1)+(Surface_Engine!B236*12)*INDEX(Surface_Engine!$F$12:$F$72,$A34+1)-(Surface_Engine!B236*12),1000*12*INDEX(Surface_Engine!$C$12:$C$72,$A34+1)/(1+Assumptions!$B$10)^15+INDEX(Surface_Engine!$D$12:$D$72,$A34+1)))*INDEX(Surface_Engine!$B$12:$B$72,$A34+1)+F35</f>
        <v>31339.2032801573</v>
      </c>
      <c r="G34" s="48" t="n">
        <f aca="false">C34*(IF($A34&lt;$Q$6,INDEX(Surface_Engine!$D$12:$D$72,$A34+1)+(Surface_Engine!B236*12)*INDEX(Surface_Engine!$F$12:$F$72,$A34+1)-(Surface_Engine!B236*12),1000*12*INDEX(Surface_Engine!$C$12:$C$72,$A34+1)/(1+Assumptions!$B$10)^15+INDEX(Surface_Engine!$D$12:$D$72,$A34+1)))*INDEX(Surface_Engine!$B$12:$B$72,$A34+1)+G35</f>
        <v>38504.2804714046</v>
      </c>
      <c r="H34" s="48" t="n">
        <f aca="false">D34*(IF($A34&lt;$Q$6,INDEX(Surface_Engine!$D$12:$D$72,$A34+1)+(Surface_Engine!B236*12)*INDEX(Surface_Engine!$F$12:$F$72,$A34+1)-(Surface_Engine!B236*12),1000*12*INDEX(Surface_Engine!$C$12:$C$72,$A34+1)/(1+Assumptions!$B$10)^15+INDEX(Surface_Engine!$D$12:$D$72,$A34+1)))*INDEX(Surface_Engine!$B$12:$B$72,$A34+1)+H35</f>
        <v>28389.5215057887</v>
      </c>
      <c r="I34" s="48" t="n">
        <f aca="false">E34*(IF($A34&lt;$Q$6,INDEX(Surface_Engine!$D$12:$D$72,$A34+1)+(Surface_Engine!B236*12)*INDEX(Surface_Engine!$F$12:$F$72,$A34+1)-(Surface_Engine!B236*12),1000*12*INDEX(Surface_Engine!$C$12:$C$72,$A34+1)/(1+Assumptions!$B$10)^15+INDEX(Surface_Engine!$D$12:$D$72,$A34+1)))*INDEX(Surface_Engine!$B$12:$B$72,$A34+1)+I35</f>
        <v>34563.6163680385</v>
      </c>
      <c r="J34" s="48" t="n">
        <f aca="false">B34*(IF($A34&lt;$Q$6,INDEX(Surface_Engine!$D$12:$D$72,$A34+1)*(1+Assumptions!$B$24)+(Surface_Engine!B236*12)*INDEX(Surface_Engine!$F$12:$F$72,$A34+1)-(Surface_Engine!B236*12),1000*12*INDEX(Surface_Engine!$C$12:$C$72,$A34+1)/(1+Assumptions!$B$10)^15+INDEX(Surface_Engine!$D$12:$D$72,$A34+1)*(1+Assumptions!$B$24)))*INDEX(Surface_Engine!$B$12:$B$72,$A34+1)+J35</f>
        <v>31372.4598810249</v>
      </c>
      <c r="K34" s="12" t="n">
        <f aca="false">SQRT((IF(C34&lt;=0,0,MAX(0,(B34/C34)*G34/INDEX(Surface_Engine!$B$12:$B$72,$A34+1)-F34/INDEX(Surface_Engine!$B$12:$B$72,$A34+1))))^2+(MAX(IF(D34&lt;=0,0,MAX(0,(B34/D34)*H34/INDEX(Surface_Engine!$B$12:$B$72,$A34+1)-F34/INDEX(Surface_Engine!$B$12:$B$72,$A34+1))),IF(E34&lt;=0,0,MAX(0,(B34/E34)*I34/INDEX(Surface_Engine!$B$12:$B$72,$A34+1)-F34/INDEX(Surface_Engine!$B$12:$B$72,$A34+1))),IF($A34&lt;$Q$6,MAX(0,-Assumptions!$B$22*(F34/INDEX(Surface_Engine!$B$12:$B$72,$A34+1))),0)))^2+(MAX(0,J34/INDEX(Surface_Engine!$B$12:$B$72,$A34+1)-(F34/INDEX(Surface_Engine!$B$12:$B$72,$A34+1))))^2+2*Assumptions!$B$26*(IF(C34&lt;=0,0,MAX(0,(B34/C34)*G34/INDEX(Surface_Engine!$B$12:$B$72,$A34+1)-F34/INDEX(Surface_Engine!$B$12:$B$72,$A34+1))))*(MAX(IF(D34&lt;=0,0,MAX(0,(B34/D34)*H34/INDEX(Surface_Engine!$B$12:$B$72,$A34+1)-F34/INDEX(Surface_Engine!$B$12:$B$72,$A34+1))),IF(E34&lt;=0,0,MAX(0,(B34/E34)*I34/INDEX(Surface_Engine!$B$12:$B$72,$A34+1)-F34/INDEX(Surface_Engine!$B$12:$B$72,$A34+1))),IF($A34&lt;$Q$6,MAX(0,-Assumptions!$B$22*(F34/INDEX(Surface_Engine!$B$12:$B$72,$A34+1))),0)))+2*Assumptions!$B$27*(IF(C34&lt;=0,0,MAX(0,(B34/C34)*G34/INDEX(Surface_Engine!$B$12:$B$72,$A34+1)-F34/INDEX(Surface_Engine!$B$12:$B$72,$A34+1))))*(MAX(0,J34/INDEX(Surface_Engine!$B$12:$B$72,$A34+1)-(F34/INDEX(Surface_Engine!$B$12:$B$72,$A34+1))))+2*Assumptions!$B$28*(MAX(IF(D34&lt;=0,0,MAX(0,(B34/D34)*H34/INDEX(Surface_Engine!$B$12:$B$72,$A34+1)-F34/INDEX(Surface_Engine!$B$12:$B$72,$A34+1))),IF(E34&lt;=0,0,MAX(0,(B34/E34)*I34/INDEX(Surface_Engine!$B$12:$B$72,$A34+1)-F34/INDEX(Surface_Engine!$B$12:$B$72,$A34+1))),IF($A34&lt;$Q$6,MAX(0,-Assumptions!$B$22*(F34/INDEX(Surface_Engine!$B$12:$B$72,$A34+1))),0)))*(MAX(0,J34/INDEX(Surface_Engine!$B$12:$B$72,$A34+1)-(F34/INDEX(Surface_Engine!$B$12:$B$72,$A34+1)))))</f>
        <v>9548.67588348265</v>
      </c>
      <c r="L34" s="48" t="n">
        <f aca="false">K34*INDEX(Surface_Engine!$B$12:$B$72,$A34+1)+L35</f>
        <v>31304.633823777</v>
      </c>
      <c r="M34" s="48" t="n">
        <f aca="false">M33+B33*(IF($A33&lt;$Q$6,(Surface_Engine!B236*12)-(Surface_Engine!B236*12)*INDEX(Surface_Engine!$F$12:$F$72,$A33+1)-INDEX(Surface_Engine!$D$12:$D$72,$A33+1),-(1000*12*INDEX(Surface_Engine!$C$12:$C$72,$A33+1)/(1+Assumptions!$B$10)^15+INDEX(Surface_Engine!$D$12:$D$72,$A33+1))))*INDEX(Surface_Engine!$B$12:$B$72,$A33+1)</f>
        <v>34440.4107223915</v>
      </c>
      <c r="N34" s="12" t="n">
        <f aca="false">IF(B34&lt;=0,0,MAX(0,(K34+Assumptions!$B$29*L34/INDEX(Surface_Engine!$B$12:$B$72,$A34+1)-(M34/INDEX(Surface_Engine!$B$12:$B$72,$A34+1)-(F34/INDEX(Surface_Engine!$B$12:$B$72,$A34+1))))/B34))</f>
        <v>12225.8972909526</v>
      </c>
    </row>
    <row r="35" customFormat="false" ht="15" hidden="false" customHeight="true" outlineLevel="0" collapsed="false">
      <c r="A35" s="1" t="n">
        <v>27</v>
      </c>
      <c r="B35" s="32" t="n">
        <f aca="false">INDEX(Surface_Engine!$G$12:$G$72,$A35+1)*IF($A35&lt;$Q$6,INDEX(Surface_Engine!$E$12:$E$72,$A35+1),INDEX(Surface_Engine!$E$12:$E$72,$Q$6+1))</f>
        <v>0.526345449520801</v>
      </c>
      <c r="C35" s="32" t="n">
        <f aca="false">INDEX(Panel_Reserving!$B$8:$B$68,$A35+1)*IF($A35&lt;$Q$6,INDEX(Surface_Engine!$E$12:$E$72,$A35+1),INDEX(Surface_Engine!$E$12:$E$72,$Q$6+1))</f>
        <v>0.576146054840973</v>
      </c>
      <c r="D35" s="32" t="n">
        <f aca="false">INDEX(Surface_Engine!$G$12:$G$72,$A35+1)*IF($A35&lt;$Q$6,INDEX(Surface_Engine!$Y$12:$Y$72,$A35+1),INDEX(Surface_Engine!$Y$12:$Y$72,$Q$6+1))</f>
        <v>0.476805211832104</v>
      </c>
      <c r="E35" s="32" t="n">
        <f aca="false">INDEX(Surface_Engine!$G$12:$G$72,$A35+1)*IF($A35&lt;$Q$6,INDEX(Surface_Engine!$Z$12:$Z$72,$A35+1),INDEX(Surface_Engine!$Z$12:$Z$72,$Q$6+1))</f>
        <v>0.58049983056903</v>
      </c>
      <c r="F35" s="48" t="n">
        <f aca="false">B35*(IF($A35&lt;$Q$6,INDEX(Surface_Engine!$D$12:$D$72,$A35+1)+(Surface_Engine!B236*12)*INDEX(Surface_Engine!$F$12:$F$72,$A35+1)-(Surface_Engine!B236*12),1000*12*INDEX(Surface_Engine!$C$12:$C$72,$A35+1)/(1+Assumptions!$B$10)^15+INDEX(Surface_Engine!$D$12:$D$72,$A35+1)))*INDEX(Surface_Engine!$B$12:$B$72,$A35+1)+F36</f>
        <v>27625.6689420125</v>
      </c>
      <c r="G35" s="48" t="n">
        <f aca="false">C35*(IF($A35&lt;$Q$6,INDEX(Surface_Engine!$D$12:$D$72,$A35+1)+(Surface_Engine!B236*12)*INDEX(Surface_Engine!$F$12:$F$72,$A35+1)-(Surface_Engine!B236*12),1000*12*INDEX(Surface_Engine!$C$12:$C$72,$A35+1)/(1+Assumptions!$B$10)^15+INDEX(Surface_Engine!$D$12:$D$72,$A35+1)))*INDEX(Surface_Engine!$B$12:$B$72,$A35+1)+G36</f>
        <v>34483.8543399716</v>
      </c>
      <c r="H35" s="48" t="n">
        <f aca="false">D35*(IF($A35&lt;$Q$6,INDEX(Surface_Engine!$D$12:$D$72,$A35+1)+(Surface_Engine!B236*12)*INDEX(Surface_Engine!$F$12:$F$72,$A35+1)-(Surface_Engine!B236*12),1000*12*INDEX(Surface_Engine!$C$12:$C$72,$A35+1)/(1+Assumptions!$B$10)^15+INDEX(Surface_Engine!$D$12:$D$72,$A35+1)))*INDEX(Surface_Engine!$B$12:$B$72,$A35+1)+H36</f>
        <v>25025.5092808194</v>
      </c>
      <c r="I35" s="48" t="n">
        <f aca="false">E35*(IF($A35&lt;$Q$6,INDEX(Surface_Engine!$D$12:$D$72,$A35+1)+(Surface_Engine!B236*12)*INDEX(Surface_Engine!$F$12:$F$72,$A35+1)-(Surface_Engine!B236*12),1000*12*INDEX(Surface_Engine!$C$12:$C$72,$A35+1)/(1+Assumptions!$B$10)^15+INDEX(Surface_Engine!$D$12:$D$72,$A35+1)))*INDEX(Surface_Engine!$B$12:$B$72,$A35+1)+I36</f>
        <v>30468.0056696503</v>
      </c>
      <c r="J35" s="48" t="n">
        <f aca="false">B35*(IF($A35&lt;$Q$6,INDEX(Surface_Engine!$D$12:$D$72,$A35+1)*(1+Assumptions!$B$24)+(Surface_Engine!B236*12)*INDEX(Surface_Engine!$F$12:$F$72,$A35+1)-(Surface_Engine!B236*12),1000*12*INDEX(Surface_Engine!$C$12:$C$72,$A35+1)/(1+Assumptions!$B$10)^15+INDEX(Surface_Engine!$D$12:$D$72,$A35+1)*(1+Assumptions!$B$24)))*INDEX(Surface_Engine!$B$12:$B$72,$A35+1)+J36</f>
        <v>27655.0873519614</v>
      </c>
      <c r="K35" s="12" t="n">
        <f aca="false">SQRT((IF(C35&lt;=0,0,MAX(0,(B35/C35)*G35/INDEX(Surface_Engine!$B$12:$B$72,$A35+1)-F35/INDEX(Surface_Engine!$B$12:$B$72,$A35+1))))^2+(MAX(IF(D35&lt;=0,0,MAX(0,(B35/D35)*H35/INDEX(Surface_Engine!$B$12:$B$72,$A35+1)-F35/INDEX(Surface_Engine!$B$12:$B$72,$A35+1))),IF(E35&lt;=0,0,MAX(0,(B35/E35)*I35/INDEX(Surface_Engine!$B$12:$B$72,$A35+1)-F35/INDEX(Surface_Engine!$B$12:$B$72,$A35+1))),IF($A35&lt;$Q$6,MAX(0,-Assumptions!$B$22*(F35/INDEX(Surface_Engine!$B$12:$B$72,$A35+1))),0)))^2+(MAX(0,J35/INDEX(Surface_Engine!$B$12:$B$72,$A35+1)-(F35/INDEX(Surface_Engine!$B$12:$B$72,$A35+1))))^2+2*Assumptions!$B$26*(IF(C35&lt;=0,0,MAX(0,(B35/C35)*G35/INDEX(Surface_Engine!$B$12:$B$72,$A35+1)-F35/INDEX(Surface_Engine!$B$12:$B$72,$A35+1))))*(MAX(IF(D35&lt;=0,0,MAX(0,(B35/D35)*H35/INDEX(Surface_Engine!$B$12:$B$72,$A35+1)-F35/INDEX(Surface_Engine!$B$12:$B$72,$A35+1))),IF(E35&lt;=0,0,MAX(0,(B35/E35)*I35/INDEX(Surface_Engine!$B$12:$B$72,$A35+1)-F35/INDEX(Surface_Engine!$B$12:$B$72,$A35+1))),IF($A35&lt;$Q$6,MAX(0,-Assumptions!$B$22*(F35/INDEX(Surface_Engine!$B$12:$B$72,$A35+1))),0)))+2*Assumptions!$B$27*(IF(C35&lt;=0,0,MAX(0,(B35/C35)*G35/INDEX(Surface_Engine!$B$12:$B$72,$A35+1)-F35/INDEX(Surface_Engine!$B$12:$B$72,$A35+1))))*(MAX(0,J35/INDEX(Surface_Engine!$B$12:$B$72,$A35+1)-(F35/INDEX(Surface_Engine!$B$12:$B$72,$A35+1))))+2*Assumptions!$B$28*(MAX(IF(D35&lt;=0,0,MAX(0,(B35/D35)*H35/INDEX(Surface_Engine!$B$12:$B$72,$A35+1)-F35/INDEX(Surface_Engine!$B$12:$B$72,$A35+1))),IF(E35&lt;=0,0,MAX(0,(B35/E35)*I35/INDEX(Surface_Engine!$B$12:$B$72,$A35+1)-F35/INDEX(Surface_Engine!$B$12:$B$72,$A35+1))),IF($A35&lt;$Q$6,MAX(0,-Assumptions!$B$22*(F35/INDEX(Surface_Engine!$B$12:$B$72,$A35+1))),0)))*(MAX(0,J35/INDEX(Surface_Engine!$B$12:$B$72,$A35+1)-(F35/INDEX(Surface_Engine!$B$12:$B$72,$A35+1)))))</f>
        <v>9041.4271509888</v>
      </c>
      <c r="L35" s="48" t="n">
        <f aca="false">K35*INDEX(Surface_Engine!$B$12:$B$72,$A35+1)+L36</f>
        <v>27070.2730837547</v>
      </c>
      <c r="M35" s="48" t="n">
        <f aca="false">M34+B34*(IF($A34&lt;$Q$6,(Surface_Engine!B236*12)-(Surface_Engine!B236*12)*INDEX(Surface_Engine!$F$12:$F$72,$A34+1)-INDEX(Surface_Engine!$D$12:$D$72,$A34+1),-(1000*12*INDEX(Surface_Engine!$C$12:$C$72,$A34+1)/(1+Assumptions!$B$10)^15+INDEX(Surface_Engine!$D$12:$D$72,$A34+1))))*INDEX(Surface_Engine!$B$12:$B$72,$A34+1)</f>
        <v>30726.8763842466</v>
      </c>
      <c r="N35" s="12" t="n">
        <f aca="false">IF(B35&lt;=0,0,MAX(0,(K35+Assumptions!$B$29*L35/INDEX(Surface_Engine!$B$12:$B$72,$A35+1)-(M35/INDEX(Surface_Engine!$B$12:$B$72,$A35+1)-(F35/INDEX(Surface_Engine!$B$12:$B$72,$A35+1))))/B35))</f>
        <v>10647.0570662837</v>
      </c>
    </row>
    <row r="36" customFormat="false" ht="15" hidden="false" customHeight="true" outlineLevel="0" collapsed="false">
      <c r="A36" s="1" t="n">
        <v>28</v>
      </c>
      <c r="B36" s="32" t="n">
        <f aca="false">INDEX(Surface_Engine!$G$12:$G$72,$A36+1)*IF($A36&lt;$Q$6,INDEX(Surface_Engine!$E$12:$E$72,$A36+1),INDEX(Surface_Engine!$E$12:$E$72,$Q$6+1))</f>
        <v>0.494969391906056</v>
      </c>
      <c r="C36" s="32" t="n">
        <f aca="false">INDEX(Panel_Reserving!$B$8:$B$68,$A36+1)*IF($A36&lt;$Q$6,INDEX(Surface_Engine!$E$12:$E$72,$A36+1),INDEX(Surface_Engine!$E$12:$E$72,$Q$6+1))</f>
        <v>0.548670271660697</v>
      </c>
      <c r="D36" s="32" t="n">
        <f aca="false">INDEX(Surface_Engine!$G$12:$G$72,$A36+1)*IF($A36&lt;$Q$6,INDEX(Surface_Engine!$Y$12:$Y$72,$A36+1),INDEX(Surface_Engine!$Y$12:$Y$72,$Q$6+1))</f>
        <v>0.448382304763989</v>
      </c>
      <c r="E36" s="32" t="n">
        <f aca="false">INDEX(Surface_Engine!$G$12:$G$72,$A36+1)*IF($A36&lt;$Q$6,INDEX(Surface_Engine!$Z$12:$Z$72,$A36+1),INDEX(Surface_Engine!$Z$12:$Z$72,$Q$6+1))</f>
        <v>0.545895568015101</v>
      </c>
      <c r="F36" s="48" t="n">
        <f aca="false">B36*(IF($A36&lt;$Q$6,INDEX(Surface_Engine!$D$12:$D$72,$A36+1)+(Surface_Engine!B236*12)*INDEX(Surface_Engine!$F$12:$F$72,$A36+1)-(Surface_Engine!B236*12),1000*12*INDEX(Surface_Engine!$C$12:$C$72,$A36+1)/(1+Assumptions!$B$10)^15+INDEX(Surface_Engine!$D$12:$D$72,$A36+1)))*INDEX(Surface_Engine!$B$12:$B$72,$A36+1)+F37</f>
        <v>24147.6140783521</v>
      </c>
      <c r="G36" s="48" t="n">
        <f aca="false">C36*(IF($A36&lt;$Q$6,INDEX(Surface_Engine!$D$12:$D$72,$A36+1)+(Surface_Engine!B236*12)*INDEX(Surface_Engine!$F$12:$F$72,$A36+1)-(Surface_Engine!B236*12),1000*12*INDEX(Surface_Engine!$C$12:$C$72,$A36+1)/(1+Assumptions!$B$10)^15+INDEX(Surface_Engine!$D$12:$D$72,$A36+1)))*INDEX(Surface_Engine!$B$12:$B$72,$A36+1)+G37</f>
        <v>30676.7204699196</v>
      </c>
      <c r="H36" s="48" t="n">
        <f aca="false">D36*(IF($A36&lt;$Q$6,INDEX(Surface_Engine!$D$12:$D$72,$A36+1)+(Surface_Engine!B236*12)*INDEX(Surface_Engine!$F$12:$F$72,$A36+1)-(Surface_Engine!B236*12),1000*12*INDEX(Surface_Engine!$C$12:$C$72,$A36+1)/(1+Assumptions!$B$10)^15+INDEX(Surface_Engine!$D$12:$D$72,$A36+1)))*INDEX(Surface_Engine!$B$12:$B$72,$A36+1)+H37</f>
        <v>21874.8129319841</v>
      </c>
      <c r="I36" s="48" t="n">
        <f aca="false">E36*(IF($A36&lt;$Q$6,INDEX(Surface_Engine!$D$12:$D$72,$A36+1)+(Surface_Engine!B236*12)*INDEX(Surface_Engine!$F$12:$F$72,$A36+1)-(Surface_Engine!B236*12),1000*12*INDEX(Surface_Engine!$C$12:$C$72,$A36+1)/(1+Assumptions!$B$10)^15+INDEX(Surface_Engine!$D$12:$D$72,$A36+1)))*INDEX(Surface_Engine!$B$12:$B$72,$A36+1)+I37</f>
        <v>26632.1023462668</v>
      </c>
      <c r="J36" s="48" t="n">
        <f aca="false">B36*(IF($A36&lt;$Q$6,INDEX(Surface_Engine!$D$12:$D$72,$A36+1)*(1+Assumptions!$B$24)+(Surface_Engine!B236*12)*INDEX(Surface_Engine!$F$12:$F$72,$A36+1)-(Surface_Engine!B236*12),1000*12*INDEX(Surface_Engine!$C$12:$C$72,$A36+1)/(1+Assumptions!$B$10)^15+INDEX(Surface_Engine!$D$12:$D$72,$A36+1)*(1+Assumptions!$B$24)))*INDEX(Surface_Engine!$B$12:$B$72,$A36+1)+J37</f>
        <v>24173.4202428865</v>
      </c>
      <c r="K36" s="12" t="n">
        <f aca="false">SQRT((IF(C36&lt;=0,0,MAX(0,(B36/C36)*G36/INDEX(Surface_Engine!$B$12:$B$72,$A36+1)-F36/INDEX(Surface_Engine!$B$12:$B$72,$A36+1))))^2+(MAX(IF(D36&lt;=0,0,MAX(0,(B36/D36)*H36/INDEX(Surface_Engine!$B$12:$B$72,$A36+1)-F36/INDEX(Surface_Engine!$B$12:$B$72,$A36+1))),IF(E36&lt;=0,0,MAX(0,(B36/E36)*I36/INDEX(Surface_Engine!$B$12:$B$72,$A36+1)-F36/INDEX(Surface_Engine!$B$12:$B$72,$A36+1))),IF($A36&lt;$Q$6,MAX(0,-Assumptions!$B$22*(F36/INDEX(Surface_Engine!$B$12:$B$72,$A36+1))),0)))^2+(MAX(0,J36/INDEX(Surface_Engine!$B$12:$B$72,$A36+1)-(F36/INDEX(Surface_Engine!$B$12:$B$72,$A36+1))))^2+2*Assumptions!$B$26*(IF(C36&lt;=0,0,MAX(0,(B36/C36)*G36/INDEX(Surface_Engine!$B$12:$B$72,$A36+1)-F36/INDEX(Surface_Engine!$B$12:$B$72,$A36+1))))*(MAX(IF(D36&lt;=0,0,MAX(0,(B36/D36)*H36/INDEX(Surface_Engine!$B$12:$B$72,$A36+1)-F36/INDEX(Surface_Engine!$B$12:$B$72,$A36+1))),IF(E36&lt;=0,0,MAX(0,(B36/E36)*I36/INDEX(Surface_Engine!$B$12:$B$72,$A36+1)-F36/INDEX(Surface_Engine!$B$12:$B$72,$A36+1))),IF($A36&lt;$Q$6,MAX(0,-Assumptions!$B$22*(F36/INDEX(Surface_Engine!$B$12:$B$72,$A36+1))),0)))+2*Assumptions!$B$27*(IF(C36&lt;=0,0,MAX(0,(B36/C36)*G36/INDEX(Surface_Engine!$B$12:$B$72,$A36+1)-F36/INDEX(Surface_Engine!$B$12:$B$72,$A36+1))))*(MAX(0,J36/INDEX(Surface_Engine!$B$12:$B$72,$A36+1)-(F36/INDEX(Surface_Engine!$B$12:$B$72,$A36+1))))+2*Assumptions!$B$28*(MAX(IF(D36&lt;=0,0,MAX(0,(B36/D36)*H36/INDEX(Surface_Engine!$B$12:$B$72,$A36+1)-F36/INDEX(Surface_Engine!$B$12:$B$72,$A36+1))),IF(E36&lt;=0,0,MAX(0,(B36/E36)*I36/INDEX(Surface_Engine!$B$12:$B$72,$A36+1)-F36/INDEX(Surface_Engine!$B$12:$B$72,$A36+1))),IF($A36&lt;$Q$6,MAX(0,-Assumptions!$B$22*(F36/INDEX(Surface_Engine!$B$12:$B$72,$A36+1))),0)))*(MAX(0,J36/INDEX(Surface_Engine!$B$12:$B$72,$A36+1)-(F36/INDEX(Surface_Engine!$B$12:$B$72,$A36+1)))))</f>
        <v>8488.67245927493</v>
      </c>
      <c r="L36" s="48" t="n">
        <f aca="false">K36*INDEX(Surface_Engine!$B$12:$B$72,$A36+1)+L37</f>
        <v>23185.3256639454</v>
      </c>
      <c r="M36" s="48" t="n">
        <f aca="false">M35+B35*(IF($A35&lt;$Q$6,(Surface_Engine!B236*12)-(Surface_Engine!B236*12)*INDEX(Surface_Engine!$F$12:$F$72,$A35+1)-INDEX(Surface_Engine!$D$12:$D$72,$A35+1),-(1000*12*INDEX(Surface_Engine!$C$12:$C$72,$A35+1)/(1+Assumptions!$B$10)^15+INDEX(Surface_Engine!$D$12:$D$72,$A35+1))))*INDEX(Surface_Engine!$B$12:$B$72,$A35+1)</f>
        <v>27248.8215205863</v>
      </c>
      <c r="N36" s="12" t="n">
        <f aca="false">IF(B36&lt;=0,0,MAX(0,(K36+Assumptions!$B$29*L36/INDEX(Surface_Engine!$B$12:$B$72,$A36+1)-(M36/INDEX(Surface_Engine!$B$12:$B$72,$A36+1)-(F36/INDEX(Surface_Engine!$B$12:$B$72,$A36+1))))/B36))</f>
        <v>8849.19309611269</v>
      </c>
    </row>
    <row r="37" customFormat="false" ht="15" hidden="false" customHeight="true" outlineLevel="0" collapsed="false">
      <c r="A37" s="1" t="n">
        <v>29</v>
      </c>
      <c r="B37" s="32" t="n">
        <f aca="false">INDEX(Surface_Engine!$G$12:$G$72,$A37+1)*IF($A37&lt;$Q$6,INDEX(Surface_Engine!$E$12:$E$72,$A37+1),INDEX(Surface_Engine!$E$12:$E$72,$Q$6+1))</f>
        <v>0.461423596508973</v>
      </c>
      <c r="C37" s="32" t="n">
        <f aca="false">INDEX(Panel_Reserving!$B$8:$B$68,$A37+1)*IF($A37&lt;$Q$6,INDEX(Surface_Engine!$E$12:$E$72,$A37+1),INDEX(Surface_Engine!$E$12:$E$72,$Q$6+1))</f>
        <v>0.518922039184803</v>
      </c>
      <c r="D37" s="32" t="n">
        <f aca="false">INDEX(Surface_Engine!$G$12:$G$72,$A37+1)*IF($A37&lt;$Q$6,INDEX(Surface_Engine!$Y$12:$Y$72,$A37+1),INDEX(Surface_Engine!$Y$12:$Y$72,$Q$6+1))</f>
        <v>0.417993878123378</v>
      </c>
      <c r="E37" s="32" t="n">
        <f aca="false">INDEX(Surface_Engine!$G$12:$G$72,$A37+1)*IF($A37&lt;$Q$6,INDEX(Surface_Engine!$Z$12:$Z$72,$A37+1),INDEX(Surface_Engine!$Z$12:$Z$72,$Q$6+1))</f>
        <v>0.508898328726647</v>
      </c>
      <c r="F37" s="48" t="n">
        <f aca="false">B37*(IF($A37&lt;$Q$6,INDEX(Surface_Engine!$D$12:$D$72,$A37+1)+(Surface_Engine!B236*12)*INDEX(Surface_Engine!$F$12:$F$72,$A37+1)-(Surface_Engine!B236*12),1000*12*INDEX(Surface_Engine!$C$12:$C$72,$A37+1)/(1+Assumptions!$B$10)^15+INDEX(Surface_Engine!$D$12:$D$72,$A37+1)))*INDEX(Surface_Engine!$B$12:$B$72,$A37+1)+F38</f>
        <v>20915.8223572606</v>
      </c>
      <c r="G37" s="48" t="n">
        <f aca="false">C37*(IF($A37&lt;$Q$6,INDEX(Surface_Engine!$D$12:$D$72,$A37+1)+(Surface_Engine!B236*12)*INDEX(Surface_Engine!$F$12:$F$72,$A37+1)-(Surface_Engine!B236*12),1000*12*INDEX(Surface_Engine!$C$12:$C$72,$A37+1)/(1+Assumptions!$B$10)^15+INDEX(Surface_Engine!$D$12:$D$72,$A37+1)))*INDEX(Surface_Engine!$B$12:$B$72,$A37+1)+G38</f>
        <v>27094.3008889152</v>
      </c>
      <c r="H37" s="48" t="n">
        <f aca="false">D37*(IF($A37&lt;$Q$6,INDEX(Surface_Engine!$D$12:$D$72,$A37+1)+(Surface_Engine!B236*12)*INDEX(Surface_Engine!$F$12:$F$72,$A37+1)-(Surface_Engine!B236*12),1000*12*INDEX(Surface_Engine!$C$12:$C$72,$A37+1)/(1+Assumptions!$B$10)^15+INDEX(Surface_Engine!$D$12:$D$72,$A37+1)))*INDEX(Surface_Engine!$B$12:$B$72,$A37+1)+H38</f>
        <v>18947.2011561528</v>
      </c>
      <c r="I37" s="48" t="n">
        <f aca="false">E37*(IF($A37&lt;$Q$6,INDEX(Surface_Engine!$D$12:$D$72,$A37+1)+(Surface_Engine!B236*12)*INDEX(Surface_Engine!$F$12:$F$72,$A37+1)-(Surface_Engine!B236*12),1000*12*INDEX(Surface_Engine!$C$12:$C$72,$A37+1)/(1+Assumptions!$B$10)^15+INDEX(Surface_Engine!$D$12:$D$72,$A37+1)))*INDEX(Surface_Engine!$B$12:$B$72,$A37+1)+I38</f>
        <v>23067.7995709012</v>
      </c>
      <c r="J37" s="48" t="n">
        <f aca="false">B37*(IF($A37&lt;$Q$6,INDEX(Surface_Engine!$D$12:$D$72,$A37+1)*(1+Assumptions!$B$24)+(Surface_Engine!B236*12)*INDEX(Surface_Engine!$F$12:$F$72,$A37+1)-(Surface_Engine!B236*12),1000*12*INDEX(Surface_Engine!$C$12:$C$72,$A37+1)/(1+Assumptions!$B$10)^15+INDEX(Surface_Engine!$D$12:$D$72,$A37+1)*(1+Assumptions!$B$24)))*INDEX(Surface_Engine!$B$12:$B$72,$A37+1)+J38</f>
        <v>20938.2557592368</v>
      </c>
      <c r="K37" s="12" t="n">
        <f aca="false">SQRT((IF(C37&lt;=0,0,MAX(0,(B37/C37)*G37/INDEX(Surface_Engine!$B$12:$B$72,$A37+1)-F37/INDEX(Surface_Engine!$B$12:$B$72,$A37+1))))^2+(MAX(IF(D37&lt;=0,0,MAX(0,(B37/D37)*H37/INDEX(Surface_Engine!$B$12:$B$72,$A37+1)-F37/INDEX(Surface_Engine!$B$12:$B$72,$A37+1))),IF(E37&lt;=0,0,MAX(0,(B37/E37)*I37/INDEX(Surface_Engine!$B$12:$B$72,$A37+1)-F37/INDEX(Surface_Engine!$B$12:$B$72,$A37+1))),IF($A37&lt;$Q$6,MAX(0,-Assumptions!$B$22*(F37/INDEX(Surface_Engine!$B$12:$B$72,$A37+1))),0)))^2+(MAX(0,J37/INDEX(Surface_Engine!$B$12:$B$72,$A37+1)-(F37/INDEX(Surface_Engine!$B$12:$B$72,$A37+1))))^2+2*Assumptions!$B$26*(IF(C37&lt;=0,0,MAX(0,(B37/C37)*G37/INDEX(Surface_Engine!$B$12:$B$72,$A37+1)-F37/INDEX(Surface_Engine!$B$12:$B$72,$A37+1))))*(MAX(IF(D37&lt;=0,0,MAX(0,(B37/D37)*H37/INDEX(Surface_Engine!$B$12:$B$72,$A37+1)-F37/INDEX(Surface_Engine!$B$12:$B$72,$A37+1))),IF(E37&lt;=0,0,MAX(0,(B37/E37)*I37/INDEX(Surface_Engine!$B$12:$B$72,$A37+1)-F37/INDEX(Surface_Engine!$B$12:$B$72,$A37+1))),IF($A37&lt;$Q$6,MAX(0,-Assumptions!$B$22*(F37/INDEX(Surface_Engine!$B$12:$B$72,$A37+1))),0)))+2*Assumptions!$B$27*(IF(C37&lt;=0,0,MAX(0,(B37/C37)*G37/INDEX(Surface_Engine!$B$12:$B$72,$A37+1)-F37/INDEX(Surface_Engine!$B$12:$B$72,$A37+1))))*(MAX(0,J37/INDEX(Surface_Engine!$B$12:$B$72,$A37+1)-(F37/INDEX(Surface_Engine!$B$12:$B$72,$A37+1))))+2*Assumptions!$B$28*(MAX(IF(D37&lt;=0,0,MAX(0,(B37/D37)*H37/INDEX(Surface_Engine!$B$12:$B$72,$A37+1)-F37/INDEX(Surface_Engine!$B$12:$B$72,$A37+1))),IF(E37&lt;=0,0,MAX(0,(B37/E37)*I37/INDEX(Surface_Engine!$B$12:$B$72,$A37+1)-F37/INDEX(Surface_Engine!$B$12:$B$72,$A37+1))),IF($A37&lt;$Q$6,MAX(0,-Assumptions!$B$22*(F37/INDEX(Surface_Engine!$B$12:$B$72,$A37+1))),0)))*(MAX(0,J37/INDEX(Surface_Engine!$B$12:$B$72,$A37+1)-(F37/INDEX(Surface_Engine!$B$12:$B$72,$A37+1)))))</f>
        <v>7892.53347202398</v>
      </c>
      <c r="L37" s="48" t="n">
        <f aca="false">K37*INDEX(Surface_Engine!$B$12:$B$72,$A37+1)+L38</f>
        <v>19652.1509199048</v>
      </c>
      <c r="M37" s="48" t="n">
        <f aca="false">M36+B36*(IF($A36&lt;$Q$6,(Surface_Engine!B236*12)-(Surface_Engine!B236*12)*INDEX(Surface_Engine!$F$12:$F$72,$A36+1)-INDEX(Surface_Engine!$D$12:$D$72,$A36+1),-(1000*12*INDEX(Surface_Engine!$C$12:$C$72,$A36+1)/(1+Assumptions!$B$10)^15+INDEX(Surface_Engine!$D$12:$D$72,$A36+1))))*INDEX(Surface_Engine!$B$12:$B$72,$A36+1)</f>
        <v>24017.0297994947</v>
      </c>
      <c r="N37" s="12" t="n">
        <f aca="false">IF(B37&lt;=0,0,MAX(0,(K37+Assumptions!$B$29*L37/INDEX(Surface_Engine!$B$12:$B$72,$A37+1)-(M37/INDEX(Surface_Engine!$B$12:$B$72,$A37+1)-(F37/INDEX(Surface_Engine!$B$12:$B$72,$A37+1))))/B37))</f>
        <v>6772.71743783163</v>
      </c>
    </row>
    <row r="38" customFormat="false" ht="15" hidden="false" customHeight="true" outlineLevel="0" collapsed="false">
      <c r="A38" s="1" t="n">
        <v>30</v>
      </c>
      <c r="B38" s="32" t="n">
        <f aca="false">INDEX(Surface_Engine!$G$12:$G$72,$A38+1)*IF($A38&lt;$Q$6,INDEX(Surface_Engine!$E$12:$E$72,$A38+1),INDEX(Surface_Engine!$E$12:$E$72,$Q$6+1))</f>
        <v>0.425902225905283</v>
      </c>
      <c r="C38" s="32" t="n">
        <f aca="false">INDEX(Panel_Reserving!$B$8:$B$68,$A38+1)*IF($A38&lt;$Q$6,INDEX(Surface_Engine!$E$12:$E$72,$A38+1),INDEX(Surface_Engine!$E$12:$E$72,$Q$6+1))</f>
        <v>0.486963860699325</v>
      </c>
      <c r="D38" s="32" t="n">
        <f aca="false">INDEX(Surface_Engine!$G$12:$G$72,$A38+1)*IF($A38&lt;$Q$6,INDEX(Surface_Engine!$Y$12:$Y$72,$A38+1),INDEX(Surface_Engine!$Y$12:$Y$72,$Q$6+1))</f>
        <v>0.385815819681572</v>
      </c>
      <c r="E38" s="32" t="n">
        <f aca="false">INDEX(Surface_Engine!$G$12:$G$72,$A38+1)*IF($A38&lt;$Q$6,INDEX(Surface_Engine!$Z$12:$Z$72,$A38+1),INDEX(Surface_Engine!$Z$12:$Z$72,$Q$6+1))</f>
        <v>0.469722252186431</v>
      </c>
      <c r="F38" s="48" t="n">
        <f aca="false">B38*(IF($A38&lt;$Q$6,INDEX(Surface_Engine!$D$12:$D$72,$A38+1)+(Surface_Engine!B236*12)*INDEX(Surface_Engine!$F$12:$F$72,$A38+1)-(Surface_Engine!B236*12),1000*12*INDEX(Surface_Engine!$C$12:$C$72,$A38+1)/(1+Assumptions!$B$10)^15+INDEX(Surface_Engine!$D$12:$D$72,$A38+1)))*INDEX(Surface_Engine!$B$12:$B$72,$A38+1)+F39</f>
        <v>17939.0367285332</v>
      </c>
      <c r="G38" s="48" t="n">
        <f aca="false">C38*(IF($A38&lt;$Q$6,INDEX(Surface_Engine!$D$12:$D$72,$A38+1)+(Surface_Engine!B236*12)*INDEX(Surface_Engine!$F$12:$F$72,$A38+1)-(Surface_Engine!B236*12),1000*12*INDEX(Surface_Engine!$C$12:$C$72,$A38+1)/(1+Assumptions!$B$10)^15+INDEX(Surface_Engine!$D$12:$D$72,$A38+1)))*INDEX(Surface_Engine!$B$12:$B$72,$A38+1)+G39</f>
        <v>23746.5751107751</v>
      </c>
      <c r="H38" s="48" t="n">
        <f aca="false">D38*(IF($A38&lt;$Q$6,INDEX(Surface_Engine!$D$12:$D$72,$A38+1)+(Surface_Engine!B236*12)*INDEX(Surface_Engine!$F$12:$F$72,$A38+1)-(Surface_Engine!B236*12),1000*12*INDEX(Surface_Engine!$C$12:$C$72,$A38+1)/(1+Assumptions!$B$10)^15+INDEX(Surface_Engine!$D$12:$D$72,$A38+1)))*INDEX(Surface_Engine!$B$12:$B$72,$A38+1)+H39</f>
        <v>16250.5940066537</v>
      </c>
      <c r="I38" s="48" t="n">
        <f aca="false">E38*(IF($A38&lt;$Q$6,INDEX(Surface_Engine!$D$12:$D$72,$A38+1)+(Surface_Engine!B236*12)*INDEX(Surface_Engine!$F$12:$F$72,$A38+1)-(Surface_Engine!B236*12),1000*12*INDEX(Surface_Engine!$C$12:$C$72,$A38+1)/(1+Assumptions!$B$10)^15+INDEX(Surface_Engine!$D$12:$D$72,$A38+1)))*INDEX(Surface_Engine!$B$12:$B$72,$A38+1)+I39</f>
        <v>19784.7398338221</v>
      </c>
      <c r="J38" s="48" t="n">
        <f aca="false">B38*(IF($A38&lt;$Q$6,INDEX(Surface_Engine!$D$12:$D$72,$A38+1)*(1+Assumptions!$B$24)+(Surface_Engine!B236*12)*INDEX(Surface_Engine!$F$12:$F$72,$A38+1)-(Surface_Engine!B236*12),1000*12*INDEX(Surface_Engine!$C$12:$C$72,$A38+1)/(1+Assumptions!$B$10)^15+INDEX(Surface_Engine!$D$12:$D$72,$A38+1)*(1+Assumptions!$B$24)))*INDEX(Surface_Engine!$B$12:$B$72,$A38+1)+J39</f>
        <v>17958.3484285219</v>
      </c>
      <c r="K38" s="12" t="n">
        <f aca="false">SQRT((IF(C38&lt;=0,0,MAX(0,(B38/C38)*G38/INDEX(Surface_Engine!$B$12:$B$72,$A38+1)-F38/INDEX(Surface_Engine!$B$12:$B$72,$A38+1))))^2+(MAX(IF(D38&lt;=0,0,MAX(0,(B38/D38)*H38/INDEX(Surface_Engine!$B$12:$B$72,$A38+1)-F38/INDEX(Surface_Engine!$B$12:$B$72,$A38+1))),IF(E38&lt;=0,0,MAX(0,(B38/E38)*I38/INDEX(Surface_Engine!$B$12:$B$72,$A38+1)-F38/INDEX(Surface_Engine!$B$12:$B$72,$A38+1))),IF($A38&lt;$Q$6,MAX(0,-Assumptions!$B$22*(F38/INDEX(Surface_Engine!$B$12:$B$72,$A38+1))),0)))^2+(MAX(0,J38/INDEX(Surface_Engine!$B$12:$B$72,$A38+1)-(F38/INDEX(Surface_Engine!$B$12:$B$72,$A38+1))))^2+2*Assumptions!$B$26*(IF(C38&lt;=0,0,MAX(0,(B38/C38)*G38/INDEX(Surface_Engine!$B$12:$B$72,$A38+1)-F38/INDEX(Surface_Engine!$B$12:$B$72,$A38+1))))*(MAX(IF(D38&lt;=0,0,MAX(0,(B38/D38)*H38/INDEX(Surface_Engine!$B$12:$B$72,$A38+1)-F38/INDEX(Surface_Engine!$B$12:$B$72,$A38+1))),IF(E38&lt;=0,0,MAX(0,(B38/E38)*I38/INDEX(Surface_Engine!$B$12:$B$72,$A38+1)-F38/INDEX(Surface_Engine!$B$12:$B$72,$A38+1))),IF($A38&lt;$Q$6,MAX(0,-Assumptions!$B$22*(F38/INDEX(Surface_Engine!$B$12:$B$72,$A38+1))),0)))+2*Assumptions!$B$27*(IF(C38&lt;=0,0,MAX(0,(B38/C38)*G38/INDEX(Surface_Engine!$B$12:$B$72,$A38+1)-F38/INDEX(Surface_Engine!$B$12:$B$72,$A38+1))))*(MAX(0,J38/INDEX(Surface_Engine!$B$12:$B$72,$A38+1)-(F38/INDEX(Surface_Engine!$B$12:$B$72,$A38+1))))+2*Assumptions!$B$28*(MAX(IF(D38&lt;=0,0,MAX(0,(B38/D38)*H38/INDEX(Surface_Engine!$B$12:$B$72,$A38+1)-F38/INDEX(Surface_Engine!$B$12:$B$72,$A38+1))),IF(E38&lt;=0,0,MAX(0,(B38/E38)*I38/INDEX(Surface_Engine!$B$12:$B$72,$A38+1)-F38/INDEX(Surface_Engine!$B$12:$B$72,$A38+1))),IF($A38&lt;$Q$6,MAX(0,-Assumptions!$B$22*(F38/INDEX(Surface_Engine!$B$12:$B$72,$A38+1))),0)))*(MAX(0,J38/INDEX(Surface_Engine!$B$12:$B$72,$A38+1)-(F38/INDEX(Surface_Engine!$B$12:$B$72,$A38+1)))))</f>
        <v>7259.23503610305</v>
      </c>
      <c r="L38" s="48" t="n">
        <f aca="false">K38*INDEX(Surface_Engine!$B$12:$B$72,$A38+1)+L39</f>
        <v>16470.1366374721</v>
      </c>
      <c r="M38" s="48" t="n">
        <f aca="false">M37+B37*(IF($A37&lt;$Q$6,(Surface_Engine!B236*12)-(Surface_Engine!B236*12)*INDEX(Surface_Engine!$F$12:$F$72,$A37+1)-INDEX(Surface_Engine!$D$12:$D$72,$A37+1),-(1000*12*INDEX(Surface_Engine!$C$12:$C$72,$A37+1)/(1+Assumptions!$B$10)^15+INDEX(Surface_Engine!$D$12:$D$72,$A37+1))))*INDEX(Surface_Engine!$B$12:$B$72,$A37+1)</f>
        <v>21040.2441707674</v>
      </c>
      <c r="N38" s="12" t="n">
        <f aca="false">IF(B38&lt;=0,0,MAX(0,(K38+Assumptions!$B$29*L38/INDEX(Surface_Engine!$B$12:$B$72,$A38+1)-(M38/INDEX(Surface_Engine!$B$12:$B$72,$A38+1)-(F38/INDEX(Surface_Engine!$B$12:$B$72,$A38+1))))/B38))</f>
        <v>4339.79250942671</v>
      </c>
    </row>
    <row r="39" customFormat="false" ht="15" hidden="false" customHeight="true" outlineLevel="0" collapsed="false">
      <c r="A39" s="1" t="n">
        <v>31</v>
      </c>
      <c r="B39" s="32" t="n">
        <f aca="false">INDEX(Surface_Engine!$G$12:$G$72,$A39+1)*IF($A39&lt;$Q$6,INDEX(Surface_Engine!$E$12:$E$72,$A39+1),INDEX(Surface_Engine!$E$12:$E$72,$Q$6+1))</f>
        <v>0.387522617948029</v>
      </c>
      <c r="C39" s="32" t="n">
        <f aca="false">INDEX(Panel_Reserving!$B$8:$B$68,$A39+1)*IF($A39&lt;$Q$6,INDEX(Surface_Engine!$E$12:$E$72,$A39+1),INDEX(Surface_Engine!$E$12:$E$72,$Q$6+1))</f>
        <v>0.451858184464334</v>
      </c>
      <c r="D39" s="32" t="n">
        <f aca="false">INDEX(Surface_Engine!$G$12:$G$72,$A39+1)*IF($A39&lt;$Q$6,INDEX(Surface_Engine!$Y$12:$Y$72,$A39+1),INDEX(Surface_Engine!$Y$12:$Y$72,$Q$6+1))</f>
        <v>0.351048544465737</v>
      </c>
      <c r="E39" s="32" t="n">
        <f aca="false">INDEX(Surface_Engine!$G$12:$G$72,$A39+1)*IF($A39&lt;$Q$6,INDEX(Surface_Engine!$Z$12:$Z$72,$A39+1),INDEX(Surface_Engine!$Z$12:$Z$72,$Q$6+1))</f>
        <v>0.427393861323024</v>
      </c>
      <c r="F39" s="48" t="n">
        <f aca="false">B39*(IF($A39&lt;$Q$6,INDEX(Surface_Engine!$D$12:$D$72,$A39+1)+(Surface_Engine!B236*12)*INDEX(Surface_Engine!$F$12:$F$72,$A39+1)-(Surface_Engine!B236*12),1000*12*INDEX(Surface_Engine!$C$12:$C$72,$A39+1)/(1+Assumptions!$B$10)^15+INDEX(Surface_Engine!$D$12:$D$72,$A39+1)))*INDEX(Surface_Engine!$B$12:$B$72,$A39+1)+F40</f>
        <v>15224.3252031166</v>
      </c>
      <c r="G39" s="48" t="n">
        <f aca="false">C39*(IF($A39&lt;$Q$6,INDEX(Surface_Engine!$D$12:$D$72,$A39+1)+(Surface_Engine!B236*12)*INDEX(Surface_Engine!$F$12:$F$72,$A39+1)-(Surface_Engine!B236*12),1000*12*INDEX(Surface_Engine!$C$12:$C$72,$A39+1)/(1+Assumptions!$B$10)^15+INDEX(Surface_Engine!$D$12:$D$72,$A39+1)))*INDEX(Surface_Engine!$B$12:$B$72,$A39+1)+G40</f>
        <v>20642.6551857455</v>
      </c>
      <c r="H39" s="48" t="n">
        <f aca="false">D39*(IF($A39&lt;$Q$6,INDEX(Surface_Engine!$D$12:$D$72,$A39+1)+(Surface_Engine!B236*12)*INDEX(Surface_Engine!$F$12:$F$72,$A39+1)-(Surface_Engine!B236*12),1000*12*INDEX(Surface_Engine!$C$12:$C$72,$A39+1)/(1+Assumptions!$B$10)^15+INDEX(Surface_Engine!$D$12:$D$72,$A39+1)))*INDEX(Surface_Engine!$B$12:$B$72,$A39+1)+H40</f>
        <v>13791.3942451325</v>
      </c>
      <c r="I39" s="48" t="n">
        <f aca="false">E39*(IF($A39&lt;$Q$6,INDEX(Surface_Engine!$D$12:$D$72,$A39+1)+(Surface_Engine!B236*12)*INDEX(Surface_Engine!$F$12:$F$72,$A39+1)-(Surface_Engine!B236*12),1000*12*INDEX(Surface_Engine!$C$12:$C$72,$A39+1)/(1+Assumptions!$B$10)^15+INDEX(Surface_Engine!$D$12:$D$72,$A39+1)))*INDEX(Surface_Engine!$B$12:$B$72,$A39+1)+I40</f>
        <v>16790.7183561349</v>
      </c>
      <c r="J39" s="48" t="n">
        <f aca="false">B39*(IF($A39&lt;$Q$6,INDEX(Surface_Engine!$D$12:$D$72,$A39+1)*(1+Assumptions!$B$24)+(Surface_Engine!B236*12)*INDEX(Surface_Engine!$F$12:$F$72,$A39+1)-(Surface_Engine!B236*12),1000*12*INDEX(Surface_Engine!$C$12:$C$72,$A39+1)/(1+Assumptions!$B$10)^15+INDEX(Surface_Engine!$D$12:$D$72,$A39+1)*(1+Assumptions!$B$24)))*INDEX(Surface_Engine!$B$12:$B$72,$A39+1)+J40</f>
        <v>15240.7762253678</v>
      </c>
      <c r="K39" s="12" t="n">
        <f aca="false">SQRT((IF(C39&lt;=0,0,MAX(0,(B39/C39)*G39/INDEX(Surface_Engine!$B$12:$B$72,$A39+1)-F39/INDEX(Surface_Engine!$B$12:$B$72,$A39+1))))^2+(MAX(IF(D39&lt;=0,0,MAX(0,(B39/D39)*H39/INDEX(Surface_Engine!$B$12:$B$72,$A39+1)-F39/INDEX(Surface_Engine!$B$12:$B$72,$A39+1))),IF(E39&lt;=0,0,MAX(0,(B39/E39)*I39/INDEX(Surface_Engine!$B$12:$B$72,$A39+1)-F39/INDEX(Surface_Engine!$B$12:$B$72,$A39+1))),IF($A39&lt;$Q$6,MAX(0,-Assumptions!$B$22*(F39/INDEX(Surface_Engine!$B$12:$B$72,$A39+1))),0)))^2+(MAX(0,J39/INDEX(Surface_Engine!$B$12:$B$72,$A39+1)-(F39/INDEX(Surface_Engine!$B$12:$B$72,$A39+1))))^2+2*Assumptions!$B$26*(IF(C39&lt;=0,0,MAX(0,(B39/C39)*G39/INDEX(Surface_Engine!$B$12:$B$72,$A39+1)-F39/INDEX(Surface_Engine!$B$12:$B$72,$A39+1))))*(MAX(IF(D39&lt;=0,0,MAX(0,(B39/D39)*H39/INDEX(Surface_Engine!$B$12:$B$72,$A39+1)-F39/INDEX(Surface_Engine!$B$12:$B$72,$A39+1))),IF(E39&lt;=0,0,MAX(0,(B39/E39)*I39/INDEX(Surface_Engine!$B$12:$B$72,$A39+1)-F39/INDEX(Surface_Engine!$B$12:$B$72,$A39+1))),IF($A39&lt;$Q$6,MAX(0,-Assumptions!$B$22*(F39/INDEX(Surface_Engine!$B$12:$B$72,$A39+1))),0)))+2*Assumptions!$B$27*(IF(C39&lt;=0,0,MAX(0,(B39/C39)*G39/INDEX(Surface_Engine!$B$12:$B$72,$A39+1)-F39/INDEX(Surface_Engine!$B$12:$B$72,$A39+1))))*(MAX(0,J39/INDEX(Surface_Engine!$B$12:$B$72,$A39+1)-(F39/INDEX(Surface_Engine!$B$12:$B$72,$A39+1))))+2*Assumptions!$B$28*(MAX(IF(D39&lt;=0,0,MAX(0,(B39/D39)*H39/INDEX(Surface_Engine!$B$12:$B$72,$A39+1)-F39/INDEX(Surface_Engine!$B$12:$B$72,$A39+1))),IF(E39&lt;=0,0,MAX(0,(B39/E39)*I39/INDEX(Surface_Engine!$B$12:$B$72,$A39+1)-F39/INDEX(Surface_Engine!$B$12:$B$72,$A39+1))),IF($A39&lt;$Q$6,MAX(0,-Assumptions!$B$22*(F39/INDEX(Surface_Engine!$B$12:$B$72,$A39+1))),0)))*(MAX(0,J39/INDEX(Surface_Engine!$B$12:$B$72,$A39+1)-(F39/INDEX(Surface_Engine!$B$12:$B$72,$A39+1)))))</f>
        <v>6563.85557390894</v>
      </c>
      <c r="L39" s="48" t="n">
        <f aca="false">K39*INDEX(Surface_Engine!$B$12:$B$72,$A39+1)+L40</f>
        <v>13635.3520020312</v>
      </c>
      <c r="M39" s="48" t="n">
        <f aca="false">M38+B38*(IF($A38&lt;$Q$6,(Surface_Engine!B236*12)-(Surface_Engine!B236*12)*INDEX(Surface_Engine!$F$12:$F$72,$A38+1)-INDEX(Surface_Engine!$D$12:$D$72,$A38+1),-(1000*12*INDEX(Surface_Engine!$C$12:$C$72,$A38+1)/(1+Assumptions!$B$10)^15+INDEX(Surface_Engine!$D$12:$D$72,$A38+1))))*INDEX(Surface_Engine!$B$12:$B$72,$A38+1)</f>
        <v>18325.5326453507</v>
      </c>
      <c r="N39" s="12" t="n">
        <f aca="false">IF(B39&lt;=0,0,MAX(0,(K39+Assumptions!$B$29*L39/INDEX(Surface_Engine!$B$12:$B$72,$A39+1)-(M39/INDEX(Surface_Engine!$B$12:$B$72,$A39+1)-(F39/INDEX(Surface_Engine!$B$12:$B$72,$A39+1))))/B39))</f>
        <v>1366.19048521174</v>
      </c>
    </row>
    <row r="40" customFormat="false" ht="15" hidden="false" customHeight="true" outlineLevel="0" collapsed="false">
      <c r="A40" s="1" t="n">
        <v>32</v>
      </c>
      <c r="B40" s="32" t="n">
        <f aca="false">INDEX(Surface_Engine!$G$12:$G$72,$A40+1)*IF($A40&lt;$Q$6,INDEX(Surface_Engine!$E$12:$E$72,$A40+1),INDEX(Surface_Engine!$E$12:$E$72,$Q$6+1))</f>
        <v>0.348045337017204</v>
      </c>
      <c r="C40" s="32" t="n">
        <f aca="false">INDEX(Panel_Reserving!$B$8:$B$68,$A40+1)*IF($A40&lt;$Q$6,INDEX(Surface_Engine!$E$12:$E$72,$A40+1),INDEX(Surface_Engine!$E$12:$E$72,$Q$6+1))</f>
        <v>0.415033221661501</v>
      </c>
      <c r="D40" s="32" t="n">
        <f aca="false">INDEX(Surface_Engine!$G$12:$G$72,$A40+1)*IF($A40&lt;$Q$6,INDEX(Surface_Engine!$Y$12:$Y$72,$A40+1),INDEX(Surface_Engine!$Y$12:$Y$72,$Q$6+1))</f>
        <v>0.315286910516181</v>
      </c>
      <c r="E40" s="32" t="n">
        <f aca="false">INDEX(Surface_Engine!$G$12:$G$72,$A40+1)*IF($A40&lt;$Q$6,INDEX(Surface_Engine!$Z$12:$Z$72,$A40+1),INDEX(Surface_Engine!$Z$12:$Z$72,$Q$6+1))</f>
        <v>0.383854860629594</v>
      </c>
      <c r="F40" s="48" t="n">
        <f aca="false">B40*(IF($A40&lt;$Q$6,INDEX(Surface_Engine!$D$12:$D$72,$A40+1)+(Surface_Engine!B236*12)*INDEX(Surface_Engine!$F$12:$F$72,$A40+1)-(Surface_Engine!B236*12),1000*12*INDEX(Surface_Engine!$C$12:$C$72,$A40+1)/(1+Assumptions!$B$10)^15+INDEX(Surface_Engine!$D$12:$D$72,$A40+1)))*INDEX(Surface_Engine!$B$12:$B$72,$A40+1)+F41</f>
        <v>12783.1969271916</v>
      </c>
      <c r="G40" s="48" t="n">
        <f aca="false">C40*(IF($A40&lt;$Q$6,INDEX(Surface_Engine!$D$12:$D$72,$A40+1)+(Surface_Engine!B236*12)*INDEX(Surface_Engine!$F$12:$F$72,$A40+1)-(Surface_Engine!B236*12),1000*12*INDEX(Surface_Engine!$C$12:$C$72,$A40+1)/(1+Assumptions!$B$10)^15+INDEX(Surface_Engine!$D$12:$D$72,$A40+1)))*INDEX(Surface_Engine!$B$12:$B$72,$A40+1)+G41</f>
        <v>17796.2567054587</v>
      </c>
      <c r="H40" s="48" t="n">
        <f aca="false">D40*(IF($A40&lt;$Q$6,INDEX(Surface_Engine!$D$12:$D$72,$A40+1)+(Surface_Engine!B236*12)*INDEX(Surface_Engine!$F$12:$F$72,$A40+1)-(Surface_Engine!B236*12),1000*12*INDEX(Surface_Engine!$C$12:$C$72,$A40+1)/(1+Assumptions!$B$10)^15+INDEX(Surface_Engine!$D$12:$D$72,$A40+1)))*INDEX(Surface_Engine!$B$12:$B$72,$A40+1)+H41</f>
        <v>11580.0277637248</v>
      </c>
      <c r="I40" s="48" t="n">
        <f aca="false">E40*(IF($A40&lt;$Q$6,INDEX(Surface_Engine!$D$12:$D$72,$A40+1)+(Surface_Engine!B236*12)*INDEX(Surface_Engine!$F$12:$F$72,$A40+1)-(Surface_Engine!B236*12),1000*12*INDEX(Surface_Engine!$C$12:$C$72,$A40+1)/(1+Assumptions!$B$10)^15+INDEX(Surface_Engine!$D$12:$D$72,$A40+1)))*INDEX(Surface_Engine!$B$12:$B$72,$A40+1)+I41</f>
        <v>14098.428431596</v>
      </c>
      <c r="J40" s="48" t="n">
        <f aca="false">B40*(IF($A40&lt;$Q$6,INDEX(Surface_Engine!$D$12:$D$72,$A40+1)*(1+Assumptions!$B$24)+(Surface_Engine!B236*12)*INDEX(Surface_Engine!$F$12:$F$72,$A40+1)-(Surface_Engine!B236*12),1000*12*INDEX(Surface_Engine!$C$12:$C$72,$A40+1)/(1+Assumptions!$B$10)^15+INDEX(Surface_Engine!$D$12:$D$72,$A40+1)*(1+Assumptions!$B$24)))*INDEX(Surface_Engine!$B$12:$B$72,$A40+1)+J41</f>
        <v>12797.0630889354</v>
      </c>
      <c r="K40" s="12" t="n">
        <f aca="false">SQRT((IF(C40&lt;=0,0,MAX(0,(B40/C40)*G40/INDEX(Surface_Engine!$B$12:$B$72,$A40+1)-F40/INDEX(Surface_Engine!$B$12:$B$72,$A40+1))))^2+(MAX(IF(D40&lt;=0,0,MAX(0,(B40/D40)*H40/INDEX(Surface_Engine!$B$12:$B$72,$A40+1)-F40/INDEX(Surface_Engine!$B$12:$B$72,$A40+1))),IF(E40&lt;=0,0,MAX(0,(B40/E40)*I40/INDEX(Surface_Engine!$B$12:$B$72,$A40+1)-F40/INDEX(Surface_Engine!$B$12:$B$72,$A40+1))),IF($A40&lt;$Q$6,MAX(0,-Assumptions!$B$22*(F40/INDEX(Surface_Engine!$B$12:$B$72,$A40+1))),0)))^2+(MAX(0,J40/INDEX(Surface_Engine!$B$12:$B$72,$A40+1)-(F40/INDEX(Surface_Engine!$B$12:$B$72,$A40+1))))^2+2*Assumptions!$B$26*(IF(C40&lt;=0,0,MAX(0,(B40/C40)*G40/INDEX(Surface_Engine!$B$12:$B$72,$A40+1)-F40/INDEX(Surface_Engine!$B$12:$B$72,$A40+1))))*(MAX(IF(D40&lt;=0,0,MAX(0,(B40/D40)*H40/INDEX(Surface_Engine!$B$12:$B$72,$A40+1)-F40/INDEX(Surface_Engine!$B$12:$B$72,$A40+1))),IF(E40&lt;=0,0,MAX(0,(B40/E40)*I40/INDEX(Surface_Engine!$B$12:$B$72,$A40+1)-F40/INDEX(Surface_Engine!$B$12:$B$72,$A40+1))),IF($A40&lt;$Q$6,MAX(0,-Assumptions!$B$22*(F40/INDEX(Surface_Engine!$B$12:$B$72,$A40+1))),0)))+2*Assumptions!$B$27*(IF(C40&lt;=0,0,MAX(0,(B40/C40)*G40/INDEX(Surface_Engine!$B$12:$B$72,$A40+1)-F40/INDEX(Surface_Engine!$B$12:$B$72,$A40+1))))*(MAX(0,J40/INDEX(Surface_Engine!$B$12:$B$72,$A40+1)-(F40/INDEX(Surface_Engine!$B$12:$B$72,$A40+1))))+2*Assumptions!$B$28*(MAX(IF(D40&lt;=0,0,MAX(0,(B40/D40)*H40/INDEX(Surface_Engine!$B$12:$B$72,$A40+1)-F40/INDEX(Surface_Engine!$B$12:$B$72,$A40+1))),IF(E40&lt;=0,0,MAX(0,(B40/E40)*I40/INDEX(Surface_Engine!$B$12:$B$72,$A40+1)-F40/INDEX(Surface_Engine!$B$12:$B$72,$A40+1))),IF($A40&lt;$Q$6,MAX(0,-Assumptions!$B$22*(F40/INDEX(Surface_Engine!$B$12:$B$72,$A40+1))),0)))*(MAX(0,J40/INDEX(Surface_Engine!$B$12:$B$72,$A40+1)-(F40/INDEX(Surface_Engine!$B$12:$B$72,$A40+1)))))</f>
        <v>5851.4333639675</v>
      </c>
      <c r="L40" s="48" t="n">
        <f aca="false">K40*INDEX(Surface_Engine!$B$12:$B$72,$A40+1)+L41</f>
        <v>11151.9593433699</v>
      </c>
      <c r="M40" s="48" t="n">
        <f aca="false">M39+B39*(IF($A39&lt;$Q$6,(Surface_Engine!B236*12)-(Surface_Engine!B236*12)*INDEX(Surface_Engine!$F$12:$F$72,$A39+1)-INDEX(Surface_Engine!$D$12:$D$72,$A39+1),-(1000*12*INDEX(Surface_Engine!$C$12:$C$72,$A39+1)/(1+Assumptions!$B$10)^15+INDEX(Surface_Engine!$D$12:$D$72,$A39+1))))*INDEX(Surface_Engine!$B$12:$B$72,$A39+1)</f>
        <v>15884.4043694257</v>
      </c>
      <c r="N40" s="12" t="n">
        <f aca="false">IF(B40&lt;=0,0,MAX(0,(K40+Assumptions!$B$29*L40/INDEX(Surface_Engine!$B$12:$B$72,$A40+1)-(M40/INDEX(Surface_Engine!$B$12:$B$72,$A40+1)-(F40/INDEX(Surface_Engine!$B$12:$B$72,$A40+1))))/B40))</f>
        <v>0</v>
      </c>
    </row>
    <row r="41" customFormat="false" ht="15" hidden="false" customHeight="true" outlineLevel="0" collapsed="false">
      <c r="A41" s="1" t="n">
        <v>33</v>
      </c>
      <c r="B41" s="32" t="n">
        <f aca="false">INDEX(Surface_Engine!$G$12:$G$72,$A41+1)*IF($A41&lt;$Q$6,INDEX(Surface_Engine!$E$12:$E$72,$A41+1),INDEX(Surface_Engine!$E$12:$E$72,$Q$6+1))</f>
        <v>0.308402299056102</v>
      </c>
      <c r="C41" s="32" t="n">
        <f aca="false">INDEX(Panel_Reserving!$B$8:$B$68,$A41+1)*IF($A41&lt;$Q$6,INDEX(Surface_Engine!$E$12:$E$72,$A41+1),INDEX(Surface_Engine!$E$12:$E$72,$Q$6+1))</f>
        <v>0.377214751453105</v>
      </c>
      <c r="D41" s="32" t="n">
        <f aca="false">INDEX(Surface_Engine!$G$12:$G$72,$A41+1)*IF($A41&lt;$Q$6,INDEX(Surface_Engine!$Y$12:$Y$72,$A41+1),INDEX(Surface_Engine!$Y$12:$Y$72,$Q$6+1))</f>
        <v>0.279375120778243</v>
      </c>
      <c r="E41" s="32" t="n">
        <f aca="false">INDEX(Surface_Engine!$G$12:$G$72,$A41+1)*IF($A41&lt;$Q$6,INDEX(Surface_Engine!$Z$12:$Z$72,$A41+1),INDEX(Surface_Engine!$Z$12:$Z$72,$Q$6+1))</f>
        <v>0.340133048575148</v>
      </c>
      <c r="F41" s="48" t="n">
        <f aca="false">B41*(IF($A41&lt;$Q$6,INDEX(Surface_Engine!$D$12:$D$72,$A41+1)+(Surface_Engine!B236*12)*INDEX(Surface_Engine!$F$12:$F$72,$A41+1)-(Surface_Engine!B236*12),1000*12*INDEX(Surface_Engine!$C$12:$C$72,$A41+1)/(1+Assumptions!$B$10)^15+INDEX(Surface_Engine!$D$12:$D$72,$A41+1)))*INDEX(Surface_Engine!$B$12:$B$72,$A41+1)+F42</f>
        <v>10617.1585646828</v>
      </c>
      <c r="G41" s="48" t="n">
        <f aca="false">C41*(IF($A41&lt;$Q$6,INDEX(Surface_Engine!$D$12:$D$72,$A41+1)+(Surface_Engine!B236*12)*INDEX(Surface_Engine!$F$12:$F$72,$A41+1)-(Surface_Engine!B236*12),1000*12*INDEX(Surface_Engine!$C$12:$C$72,$A41+1)/(1+Assumptions!$B$10)^15+INDEX(Surface_Engine!$D$12:$D$72,$A41+1)))*INDEX(Surface_Engine!$B$12:$B$72,$A41+1)+G42</f>
        <v>15213.3234372277</v>
      </c>
      <c r="H41" s="48" t="n">
        <f aca="false">D41*(IF($A41&lt;$Q$6,INDEX(Surface_Engine!$D$12:$D$72,$A41+1)+(Surface_Engine!B236*12)*INDEX(Surface_Engine!$F$12:$F$72,$A41+1)-(Surface_Engine!B236*12),1000*12*INDEX(Surface_Engine!$C$12:$C$72,$A41+1)/(1+Assumptions!$B$10)^15+INDEX(Surface_Engine!$D$12:$D$72,$A41+1)))*INDEX(Surface_Engine!$B$12:$B$72,$A41+1)+H42</f>
        <v>9617.8594174178</v>
      </c>
      <c r="I41" s="48" t="n">
        <f aca="false">E41*(IF($A41&lt;$Q$6,INDEX(Surface_Engine!$D$12:$D$72,$A41+1)+(Surface_Engine!B236*12)*INDEX(Surface_Engine!$F$12:$F$72,$A41+1)-(Surface_Engine!B236*12),1000*12*INDEX(Surface_Engine!$C$12:$C$72,$A41+1)/(1+Assumptions!$B$10)^15+INDEX(Surface_Engine!$D$12:$D$72,$A41+1)))*INDEX(Surface_Engine!$B$12:$B$72,$A41+1)+I42</f>
        <v>11709.5317410536</v>
      </c>
      <c r="J41" s="48" t="n">
        <f aca="false">B41*(IF($A41&lt;$Q$6,INDEX(Surface_Engine!$D$12:$D$72,$A41+1)*(1+Assumptions!$B$24)+(Surface_Engine!B236*12)*INDEX(Surface_Engine!$F$12:$F$72,$A41+1)-(Surface_Engine!B236*12),1000*12*INDEX(Surface_Engine!$C$12:$C$72,$A41+1)/(1+Assumptions!$B$10)^15+INDEX(Surface_Engine!$D$12:$D$72,$A41+1)*(1+Assumptions!$B$24)))*INDEX(Surface_Engine!$B$12:$B$72,$A41+1)+J42</f>
        <v>10628.720029589</v>
      </c>
      <c r="K41" s="12" t="n">
        <f aca="false">SQRT((IF(C41&lt;=0,0,MAX(0,(B41/C41)*G41/INDEX(Surface_Engine!$B$12:$B$72,$A41+1)-F41/INDEX(Surface_Engine!$B$12:$B$72,$A41+1))))^2+(MAX(IF(D41&lt;=0,0,MAX(0,(B41/D41)*H41/INDEX(Surface_Engine!$B$12:$B$72,$A41+1)-F41/INDEX(Surface_Engine!$B$12:$B$72,$A41+1))),IF(E41&lt;=0,0,MAX(0,(B41/E41)*I41/INDEX(Surface_Engine!$B$12:$B$72,$A41+1)-F41/INDEX(Surface_Engine!$B$12:$B$72,$A41+1))),IF($A41&lt;$Q$6,MAX(0,-Assumptions!$B$22*(F41/INDEX(Surface_Engine!$B$12:$B$72,$A41+1))),0)))^2+(MAX(0,J41/INDEX(Surface_Engine!$B$12:$B$72,$A41+1)-(F41/INDEX(Surface_Engine!$B$12:$B$72,$A41+1))))^2+2*Assumptions!$B$26*(IF(C41&lt;=0,0,MAX(0,(B41/C41)*G41/INDEX(Surface_Engine!$B$12:$B$72,$A41+1)-F41/INDEX(Surface_Engine!$B$12:$B$72,$A41+1))))*(MAX(IF(D41&lt;=0,0,MAX(0,(B41/D41)*H41/INDEX(Surface_Engine!$B$12:$B$72,$A41+1)-F41/INDEX(Surface_Engine!$B$12:$B$72,$A41+1))),IF(E41&lt;=0,0,MAX(0,(B41/E41)*I41/INDEX(Surface_Engine!$B$12:$B$72,$A41+1)-F41/INDEX(Surface_Engine!$B$12:$B$72,$A41+1))),IF($A41&lt;$Q$6,MAX(0,-Assumptions!$B$22*(F41/INDEX(Surface_Engine!$B$12:$B$72,$A41+1))),0)))+2*Assumptions!$B$27*(IF(C41&lt;=0,0,MAX(0,(B41/C41)*G41/INDEX(Surface_Engine!$B$12:$B$72,$A41+1)-F41/INDEX(Surface_Engine!$B$12:$B$72,$A41+1))))*(MAX(0,J41/INDEX(Surface_Engine!$B$12:$B$72,$A41+1)-(F41/INDEX(Surface_Engine!$B$12:$B$72,$A41+1))))+2*Assumptions!$B$28*(MAX(IF(D41&lt;=0,0,MAX(0,(B41/D41)*H41/INDEX(Surface_Engine!$B$12:$B$72,$A41+1)-F41/INDEX(Surface_Engine!$B$12:$B$72,$A41+1))),IF(E41&lt;=0,0,MAX(0,(B41/E41)*I41/INDEX(Surface_Engine!$B$12:$B$72,$A41+1)-F41/INDEX(Surface_Engine!$B$12:$B$72,$A41+1))),IF($A41&lt;$Q$6,MAX(0,-Assumptions!$B$22*(F41/INDEX(Surface_Engine!$B$12:$B$72,$A41+1))),0)))*(MAX(0,J41/INDEX(Surface_Engine!$B$12:$B$72,$A41+1)-(F41/INDEX(Surface_Engine!$B$12:$B$72,$A41+1)))))</f>
        <v>5139.11602534161</v>
      </c>
      <c r="L41" s="48" t="n">
        <f aca="false">K41*INDEX(Surface_Engine!$B$12:$B$72,$A41+1)+L42</f>
        <v>9007.7721141069</v>
      </c>
      <c r="M41" s="48" t="n">
        <f aca="false">M40+B40*(IF($A40&lt;$Q$6,(Surface_Engine!B236*12)-(Surface_Engine!B236*12)*INDEX(Surface_Engine!$F$12:$F$72,$A40+1)-INDEX(Surface_Engine!$D$12:$D$72,$A40+1),-(1000*12*INDEX(Surface_Engine!$C$12:$C$72,$A40+1)/(1+Assumptions!$B$10)^15+INDEX(Surface_Engine!$D$12:$D$72,$A40+1))))*INDEX(Surface_Engine!$B$12:$B$72,$A40+1)</f>
        <v>13718.366006917</v>
      </c>
      <c r="N41" s="12" t="n">
        <f aca="false">IF(B41&lt;=0,0,MAX(0,(K41+Assumptions!$B$29*L41/INDEX(Surface_Engine!$B$12:$B$72,$A41+1)-(M41/INDEX(Surface_Engine!$B$12:$B$72,$A41+1)-(F41/INDEX(Surface_Engine!$B$12:$B$72,$A41+1))))/B41))</f>
        <v>0</v>
      </c>
    </row>
    <row r="42" customFormat="false" ht="15" hidden="false" customHeight="true" outlineLevel="0" collapsed="false">
      <c r="A42" s="1" t="n">
        <v>34</v>
      </c>
      <c r="B42" s="32" t="n">
        <f aca="false">INDEX(Surface_Engine!$G$12:$G$72,$A42+1)*IF($A42&lt;$Q$6,INDEX(Surface_Engine!$E$12:$E$72,$A42+1),INDEX(Surface_Engine!$E$12:$E$72,$Q$6+1))</f>
        <v>0.269735975755907</v>
      </c>
      <c r="C42" s="32" t="n">
        <f aca="false">INDEX(Panel_Reserving!$B$8:$B$68,$A42+1)*IF($A42&lt;$Q$6,INDEX(Surface_Engine!$E$12:$E$72,$A42+1),INDEX(Surface_Engine!$E$12:$E$72,$Q$6+1))</f>
        <v>0.339379735104838</v>
      </c>
      <c r="D42" s="32" t="n">
        <f aca="false">INDEX(Surface_Engine!$G$12:$G$72,$A42+1)*IF($A42&lt;$Q$6,INDEX(Surface_Engine!$Y$12:$Y$72,$A42+1),INDEX(Surface_Engine!$Y$12:$Y$72,$Q$6+1))</f>
        <v>0.244348116196551</v>
      </c>
      <c r="E42" s="32" t="n">
        <f aca="false">INDEX(Surface_Engine!$G$12:$G$72,$A42+1)*IF($A42&lt;$Q$6,INDEX(Surface_Engine!$Z$12:$Z$72,$A42+1),INDEX(Surface_Engine!$Z$12:$Z$72,$Q$6+1))</f>
        <v>0.29748844293654</v>
      </c>
      <c r="F42" s="48" t="n">
        <f aca="false">B42*(IF($A42&lt;$Q$6,INDEX(Surface_Engine!$D$12:$D$72,$A42+1)+(Surface_Engine!B236*12)*INDEX(Surface_Engine!$F$12:$F$72,$A42+1)-(Surface_Engine!B236*12),1000*12*INDEX(Surface_Engine!$C$12:$C$72,$A42+1)/(1+Assumptions!$B$10)^15+INDEX(Surface_Engine!$D$12:$D$72,$A42+1)))*INDEX(Surface_Engine!$B$12:$B$72,$A42+1)+F43</f>
        <v>8721.02908939978</v>
      </c>
      <c r="G42" s="48" t="n">
        <f aca="false">C42*(IF($A42&lt;$Q$6,INDEX(Surface_Engine!$D$12:$D$72,$A42+1)+(Surface_Engine!B236*12)*INDEX(Surface_Engine!$F$12:$F$72,$A42+1)-(Surface_Engine!B236*12),1000*12*INDEX(Surface_Engine!$C$12:$C$72,$A42+1)/(1+Assumptions!$B$10)^15+INDEX(Surface_Engine!$D$12:$D$72,$A42+1)))*INDEX(Surface_Engine!$B$12:$B$72,$A42+1)+G43</f>
        <v>12894.118908173</v>
      </c>
      <c r="H42" s="48" t="n">
        <f aca="false">D42*(IF($A42&lt;$Q$6,INDEX(Surface_Engine!$D$12:$D$72,$A42+1)+(Surface_Engine!B236*12)*INDEX(Surface_Engine!$F$12:$F$72,$A42+1)-(Surface_Engine!B236*12),1000*12*INDEX(Surface_Engine!$C$12:$C$72,$A42+1)/(1+Assumptions!$B$10)^15+INDEX(Surface_Engine!$D$12:$D$72,$A42+1)))*INDEX(Surface_Engine!$B$12:$B$72,$A42+1)+H43</f>
        <v>7900.19582415117</v>
      </c>
      <c r="I42" s="48" t="n">
        <f aca="false">E42*(IF($A42&lt;$Q$6,INDEX(Surface_Engine!$D$12:$D$72,$A42+1)+(Surface_Engine!B236*12)*INDEX(Surface_Engine!$F$12:$F$72,$A42+1)-(Surface_Engine!B236*12),1000*12*INDEX(Surface_Engine!$C$12:$C$72,$A42+1)/(1+Assumptions!$B$10)^15+INDEX(Surface_Engine!$D$12:$D$72,$A42+1)))*INDEX(Surface_Engine!$B$12:$B$72,$A42+1)+I43</f>
        <v>9618.31419535069</v>
      </c>
      <c r="J42" s="48" t="n">
        <f aca="false">B42*(IF($A42&lt;$Q$6,INDEX(Surface_Engine!$D$12:$D$72,$A42+1)*(1+Assumptions!$B$24)+(Surface_Engine!B236*12)*INDEX(Surface_Engine!$F$12:$F$72,$A42+1)-(Surface_Engine!B236*12),1000*12*INDEX(Surface_Engine!$C$12:$C$72,$A42+1)/(1+Assumptions!$B$10)^15+INDEX(Surface_Engine!$D$12:$D$72,$A42+1)*(1+Assumptions!$B$24)))*INDEX(Surface_Engine!$B$12:$B$72,$A42+1)+J43</f>
        <v>8730.56326049911</v>
      </c>
      <c r="K42" s="12" t="n">
        <f aca="false">SQRT((IF(C42&lt;=0,0,MAX(0,(B42/C42)*G42/INDEX(Surface_Engine!$B$12:$B$72,$A42+1)-F42/INDEX(Surface_Engine!$B$12:$B$72,$A42+1))))^2+(MAX(IF(D42&lt;=0,0,MAX(0,(B42/D42)*H42/INDEX(Surface_Engine!$B$12:$B$72,$A42+1)-F42/INDEX(Surface_Engine!$B$12:$B$72,$A42+1))),IF(E42&lt;=0,0,MAX(0,(B42/E42)*I42/INDEX(Surface_Engine!$B$12:$B$72,$A42+1)-F42/INDEX(Surface_Engine!$B$12:$B$72,$A42+1))),IF($A42&lt;$Q$6,MAX(0,-Assumptions!$B$22*(F42/INDEX(Surface_Engine!$B$12:$B$72,$A42+1))),0)))^2+(MAX(0,J42/INDEX(Surface_Engine!$B$12:$B$72,$A42+1)-(F42/INDEX(Surface_Engine!$B$12:$B$72,$A42+1))))^2+2*Assumptions!$B$26*(IF(C42&lt;=0,0,MAX(0,(B42/C42)*G42/INDEX(Surface_Engine!$B$12:$B$72,$A42+1)-F42/INDEX(Surface_Engine!$B$12:$B$72,$A42+1))))*(MAX(IF(D42&lt;=0,0,MAX(0,(B42/D42)*H42/INDEX(Surface_Engine!$B$12:$B$72,$A42+1)-F42/INDEX(Surface_Engine!$B$12:$B$72,$A42+1))),IF(E42&lt;=0,0,MAX(0,(B42/E42)*I42/INDEX(Surface_Engine!$B$12:$B$72,$A42+1)-F42/INDEX(Surface_Engine!$B$12:$B$72,$A42+1))),IF($A42&lt;$Q$6,MAX(0,-Assumptions!$B$22*(F42/INDEX(Surface_Engine!$B$12:$B$72,$A42+1))),0)))+2*Assumptions!$B$27*(IF(C42&lt;=0,0,MAX(0,(B42/C42)*G42/INDEX(Surface_Engine!$B$12:$B$72,$A42+1)-F42/INDEX(Surface_Engine!$B$12:$B$72,$A42+1))))*(MAX(0,J42/INDEX(Surface_Engine!$B$12:$B$72,$A42+1)-(F42/INDEX(Surface_Engine!$B$12:$B$72,$A42+1))))+2*Assumptions!$B$28*(MAX(IF(D42&lt;=0,0,MAX(0,(B42/D42)*H42/INDEX(Surface_Engine!$B$12:$B$72,$A42+1)-F42/INDEX(Surface_Engine!$B$12:$B$72,$A42+1))),IF(E42&lt;=0,0,MAX(0,(B42/E42)*I42/INDEX(Surface_Engine!$B$12:$B$72,$A42+1)-F42/INDEX(Surface_Engine!$B$12:$B$72,$A42+1))),IF($A42&lt;$Q$6,MAX(0,-Assumptions!$B$22*(F42/INDEX(Surface_Engine!$B$12:$B$72,$A42+1))),0)))*(MAX(0,J42/INDEX(Surface_Engine!$B$12:$B$72,$A42+1)-(F42/INDEX(Surface_Engine!$B$12:$B$72,$A42+1)))))</f>
        <v>4450.15337655273</v>
      </c>
      <c r="L42" s="48" t="n">
        <f aca="false">K42*INDEX(Surface_Engine!$B$12:$B$72,$A42+1)+L43</f>
        <v>7183.93478960498</v>
      </c>
      <c r="M42" s="48" t="n">
        <f aca="false">M41+B41*(IF($A41&lt;$Q$6,(Surface_Engine!B236*12)-(Surface_Engine!B236*12)*INDEX(Surface_Engine!$F$12:$F$72,$A41+1)-INDEX(Surface_Engine!$D$12:$D$72,$A41+1),-(1000*12*INDEX(Surface_Engine!$C$12:$C$72,$A41+1)/(1+Assumptions!$B$10)^15+INDEX(Surface_Engine!$D$12:$D$72,$A41+1))))*INDEX(Surface_Engine!$B$12:$B$72,$A41+1)</f>
        <v>11822.2365316339</v>
      </c>
      <c r="N42" s="12" t="n">
        <f aca="false">IF(B42&lt;=0,0,MAX(0,(K42+Assumptions!$B$29*L42/INDEX(Surface_Engine!$B$12:$B$72,$A42+1)-(M42/INDEX(Surface_Engine!$B$12:$B$72,$A42+1)-(F42/INDEX(Surface_Engine!$B$12:$B$72,$A42+1))))/B42))</f>
        <v>0</v>
      </c>
    </row>
    <row r="43" customFormat="false" ht="15" hidden="false" customHeight="true" outlineLevel="0" collapsed="false">
      <c r="A43" s="1" t="n">
        <v>35</v>
      </c>
      <c r="B43" s="32" t="n">
        <f aca="false">INDEX(Surface_Engine!$G$12:$G$72,$A43+1)*IF($A43&lt;$Q$6,INDEX(Surface_Engine!$E$12:$E$72,$A43+1),INDEX(Surface_Engine!$E$12:$E$72,$Q$6+1))</f>
        <v>0.232995820598818</v>
      </c>
      <c r="C43" s="32" t="n">
        <f aca="false">INDEX(Panel_Reserving!$B$8:$B$68,$A43+1)*IF($A43&lt;$Q$6,INDEX(Surface_Engine!$E$12:$E$72,$A43+1),INDEX(Surface_Engine!$E$12:$E$72,$Q$6+1))</f>
        <v>0.302398790045564</v>
      </c>
      <c r="D43" s="32" t="n">
        <f aca="false">INDEX(Surface_Engine!$G$12:$G$72,$A43+1)*IF($A43&lt;$Q$6,INDEX(Surface_Engine!$Y$12:$Y$72,$A43+1),INDEX(Surface_Engine!$Y$12:$Y$72,$Q$6+1))</f>
        <v>0.211065986602063</v>
      </c>
      <c r="E43" s="32" t="n">
        <f aca="false">INDEX(Surface_Engine!$G$12:$G$72,$A43+1)*IF($A43&lt;$Q$6,INDEX(Surface_Engine!$Z$12:$Z$72,$A43+1),INDEX(Surface_Engine!$Z$12:$Z$72,$Q$6+1))</f>
        <v>0.25696818411567</v>
      </c>
      <c r="F43" s="48" t="n">
        <f aca="false">B43*(IF($A43&lt;$Q$6,INDEX(Surface_Engine!$D$12:$D$72,$A43+1)+(Surface_Engine!B236*12)*INDEX(Surface_Engine!$F$12:$F$72,$A43+1)-(Surface_Engine!B236*12),1000*12*INDEX(Surface_Engine!$C$12:$C$72,$A43+1)/(1+Assumptions!$B$10)^15+INDEX(Surface_Engine!$D$12:$D$72,$A43+1)))*INDEX(Surface_Engine!$B$12:$B$72,$A43+1)+F44</f>
        <v>7082.73224558025</v>
      </c>
      <c r="G43" s="48" t="n">
        <f aca="false">C43*(IF($A43&lt;$Q$6,INDEX(Surface_Engine!$D$12:$D$72,$A43+1)+(Surface_Engine!B236*12)*INDEX(Surface_Engine!$F$12:$F$72,$A43+1)-(Surface_Engine!B236*12),1000*12*INDEX(Surface_Engine!$C$12:$C$72,$A43+1)/(1+Assumptions!$B$10)^15+INDEX(Surface_Engine!$D$12:$D$72,$A43+1)))*INDEX(Surface_Engine!$B$12:$B$72,$A43+1)+G44</f>
        <v>10832.8263893667</v>
      </c>
      <c r="H43" s="48" t="n">
        <f aca="false">D43*(IF($A43&lt;$Q$6,INDEX(Surface_Engine!$D$12:$D$72,$A43+1)+(Surface_Engine!B236*12)*INDEX(Surface_Engine!$F$12:$F$72,$A43+1)-(Surface_Engine!B236*12),1000*12*INDEX(Surface_Engine!$C$12:$C$72,$A43+1)/(1+Assumptions!$B$10)^15+INDEX(Surface_Engine!$D$12:$D$72,$A43+1)))*INDEX(Surface_Engine!$B$12:$B$72,$A43+1)+H44</f>
        <v>6416.09735921257</v>
      </c>
      <c r="I43" s="48" t="n">
        <f aca="false">E43*(IF($A43&lt;$Q$6,INDEX(Surface_Engine!$D$12:$D$72,$A43+1)+(Surface_Engine!B236*12)*INDEX(Surface_Engine!$F$12:$F$72,$A43+1)-(Surface_Engine!B236*12),1000*12*INDEX(Surface_Engine!$C$12:$C$72,$A43+1)/(1+Assumptions!$B$10)^15+INDEX(Surface_Engine!$D$12:$D$72,$A43+1)))*INDEX(Surface_Engine!$B$12:$B$72,$A43+1)+I44</f>
        <v>7811.4570426483</v>
      </c>
      <c r="J43" s="48" t="n">
        <f aca="false">B43*(IF($A43&lt;$Q$6,INDEX(Surface_Engine!$D$12:$D$72,$A43+1)*(1+Assumptions!$B$24)+(Surface_Engine!B236*12)*INDEX(Surface_Engine!$F$12:$F$72,$A43+1)-(Surface_Engine!B236*12),1000*12*INDEX(Surface_Engine!$C$12:$C$72,$A43+1)/(1+Assumptions!$B$10)^15+INDEX(Surface_Engine!$D$12:$D$72,$A43+1)*(1+Assumptions!$B$24)))*INDEX(Surface_Engine!$B$12:$B$72,$A43+1)+J44</f>
        <v>7090.50629686724</v>
      </c>
      <c r="K43" s="12" t="n">
        <f aca="false">SQRT((IF(C43&lt;=0,0,MAX(0,(B43/C43)*G43/INDEX(Surface_Engine!$B$12:$B$72,$A43+1)-F43/INDEX(Surface_Engine!$B$12:$B$72,$A43+1))))^2+(MAX(IF(D43&lt;=0,0,MAX(0,(B43/D43)*H43/INDEX(Surface_Engine!$B$12:$B$72,$A43+1)-F43/INDEX(Surface_Engine!$B$12:$B$72,$A43+1))),IF(E43&lt;=0,0,MAX(0,(B43/E43)*I43/INDEX(Surface_Engine!$B$12:$B$72,$A43+1)-F43/INDEX(Surface_Engine!$B$12:$B$72,$A43+1))),IF($A43&lt;$Q$6,MAX(0,-Assumptions!$B$22*(F43/INDEX(Surface_Engine!$B$12:$B$72,$A43+1))),0)))^2+(MAX(0,J43/INDEX(Surface_Engine!$B$12:$B$72,$A43+1)-(F43/INDEX(Surface_Engine!$B$12:$B$72,$A43+1))))^2+2*Assumptions!$B$26*(IF(C43&lt;=0,0,MAX(0,(B43/C43)*G43/INDEX(Surface_Engine!$B$12:$B$72,$A43+1)-F43/INDEX(Surface_Engine!$B$12:$B$72,$A43+1))))*(MAX(IF(D43&lt;=0,0,MAX(0,(B43/D43)*H43/INDEX(Surface_Engine!$B$12:$B$72,$A43+1)-F43/INDEX(Surface_Engine!$B$12:$B$72,$A43+1))),IF(E43&lt;=0,0,MAX(0,(B43/E43)*I43/INDEX(Surface_Engine!$B$12:$B$72,$A43+1)-F43/INDEX(Surface_Engine!$B$12:$B$72,$A43+1))),IF($A43&lt;$Q$6,MAX(0,-Assumptions!$B$22*(F43/INDEX(Surface_Engine!$B$12:$B$72,$A43+1))),0)))+2*Assumptions!$B$27*(IF(C43&lt;=0,0,MAX(0,(B43/C43)*G43/INDEX(Surface_Engine!$B$12:$B$72,$A43+1)-F43/INDEX(Surface_Engine!$B$12:$B$72,$A43+1))))*(MAX(0,J43/INDEX(Surface_Engine!$B$12:$B$72,$A43+1)-(F43/INDEX(Surface_Engine!$B$12:$B$72,$A43+1))))+2*Assumptions!$B$28*(MAX(IF(D43&lt;=0,0,MAX(0,(B43/D43)*H43/INDEX(Surface_Engine!$B$12:$B$72,$A43+1)-F43/INDEX(Surface_Engine!$B$12:$B$72,$A43+1))),IF(E43&lt;=0,0,MAX(0,(B43/E43)*I43/INDEX(Surface_Engine!$B$12:$B$72,$A43+1)-F43/INDEX(Surface_Engine!$B$12:$B$72,$A43+1))),IF($A43&lt;$Q$6,MAX(0,-Assumptions!$B$22*(F43/INDEX(Surface_Engine!$B$12:$B$72,$A43+1))),0)))*(MAX(0,J43/INDEX(Surface_Engine!$B$12:$B$72,$A43+1)-(F43/INDEX(Surface_Engine!$B$12:$B$72,$A43+1)))))</f>
        <v>3803.09099283484</v>
      </c>
      <c r="L43" s="48" t="n">
        <f aca="false">K43*INDEX(Surface_Engine!$B$12:$B$72,$A43+1)+L44</f>
        <v>5654.42218161339</v>
      </c>
      <c r="M43" s="48" t="n">
        <f aca="false">M42+B42*(IF($A42&lt;$Q$6,(Surface_Engine!B236*12)-(Surface_Engine!B236*12)*INDEX(Surface_Engine!$F$12:$F$72,$A42+1)-INDEX(Surface_Engine!$D$12:$D$72,$A42+1),-(1000*12*INDEX(Surface_Engine!$C$12:$C$72,$A42+1)/(1+Assumptions!$B$10)^15+INDEX(Surface_Engine!$D$12:$D$72,$A42+1))))*INDEX(Surface_Engine!$B$12:$B$72,$A42+1)</f>
        <v>10183.9396878144</v>
      </c>
      <c r="N43" s="12" t="n">
        <f aca="false">IF(B43&lt;=0,0,MAX(0,(K43+Assumptions!$B$29*L43/INDEX(Surface_Engine!$B$12:$B$72,$A43+1)-(M43/INDEX(Surface_Engine!$B$12:$B$72,$A43+1)-(F43/INDEX(Surface_Engine!$B$12:$B$72,$A43+1))))/B43))</f>
        <v>0</v>
      </c>
    </row>
    <row r="44" customFormat="false" ht="15" hidden="false" customHeight="true" outlineLevel="0" collapsed="false">
      <c r="A44" s="1" t="n">
        <v>36</v>
      </c>
      <c r="B44" s="32" t="n">
        <f aca="false">INDEX(Surface_Engine!$G$12:$G$72,$A44+1)*IF($A44&lt;$Q$6,INDEX(Surface_Engine!$E$12:$E$72,$A44+1),INDEX(Surface_Engine!$E$12:$E$72,$Q$6+1))</f>
        <v>0.197808961392391</v>
      </c>
      <c r="C44" s="32" t="n">
        <f aca="false">INDEX(Panel_Reserving!$B$8:$B$68,$A44+1)*IF($A44&lt;$Q$6,INDEX(Surface_Engine!$E$12:$E$72,$A44+1),INDEX(Surface_Engine!$E$12:$E$72,$Q$6+1))</f>
        <v>0.265864353943902</v>
      </c>
      <c r="D44" s="32" t="n">
        <f aca="false">INDEX(Surface_Engine!$G$12:$G$72,$A44+1)*IF($A44&lt;$Q$6,INDEX(Surface_Engine!$Y$12:$Y$72,$A44+1),INDEX(Surface_Engine!$Y$12:$Y$72,$Q$6+1))</f>
        <v>0.179190954960959</v>
      </c>
      <c r="E44" s="32" t="n">
        <f aca="false">INDEX(Surface_Engine!$G$12:$G$72,$A44+1)*IF($A44&lt;$Q$6,INDEX(Surface_Engine!$Z$12:$Z$72,$A44+1),INDEX(Surface_Engine!$Z$12:$Z$72,$Q$6+1))</f>
        <v>0.218161036022752</v>
      </c>
      <c r="F44" s="48" t="n">
        <f aca="false">B44*(IF($A44&lt;$Q$6,INDEX(Surface_Engine!$D$12:$D$72,$A44+1)+(Surface_Engine!B236*12)*INDEX(Surface_Engine!$F$12:$F$72,$A44+1)-(Surface_Engine!B236*12),1000*12*INDEX(Surface_Engine!$C$12:$C$72,$A44+1)/(1+Assumptions!$B$10)^15+INDEX(Surface_Engine!$D$12:$D$72,$A44+1)))*INDEX(Surface_Engine!$B$12:$B$72,$A44+1)+F45</f>
        <v>5684.79244066865</v>
      </c>
      <c r="G44" s="48" t="n">
        <f aca="false">C44*(IF($A44&lt;$Q$6,INDEX(Surface_Engine!$D$12:$D$72,$A44+1)+(Surface_Engine!B236*12)*INDEX(Surface_Engine!$F$12:$F$72,$A44+1)-(Surface_Engine!B236*12),1000*12*INDEX(Surface_Engine!$C$12:$C$72,$A44+1)/(1+Assumptions!$B$10)^15+INDEX(Surface_Engine!$D$12:$D$72,$A44+1)))*INDEX(Surface_Engine!$B$12:$B$72,$A44+1)+G45</f>
        <v>9018.47922865227</v>
      </c>
      <c r="H44" s="48" t="n">
        <f aca="false">D44*(IF($A44&lt;$Q$6,INDEX(Surface_Engine!$D$12:$D$72,$A44+1)+(Surface_Engine!B236*12)*INDEX(Surface_Engine!$F$12:$F$72,$A44+1)-(Surface_Engine!B236*12),1000*12*INDEX(Surface_Engine!$C$12:$C$72,$A44+1)/(1+Assumptions!$B$10)^15+INDEX(Surface_Engine!$D$12:$D$72,$A44+1)))*INDEX(Surface_Engine!$B$12:$B$72,$A44+1)+H45</f>
        <v>5149.73325287092</v>
      </c>
      <c r="I44" s="48" t="n">
        <f aca="false">E44*(IF($A44&lt;$Q$6,INDEX(Surface_Engine!$D$12:$D$72,$A44+1)+(Surface_Engine!B236*12)*INDEX(Surface_Engine!$F$12:$F$72,$A44+1)-(Surface_Engine!B236*12),1000*12*INDEX(Surface_Engine!$C$12:$C$72,$A44+1)/(1+Assumptions!$B$10)^15+INDEX(Surface_Engine!$D$12:$D$72,$A44+1)))*INDEX(Surface_Engine!$B$12:$B$72,$A44+1)+I45</f>
        <v>6269.68666990982</v>
      </c>
      <c r="J44" s="48" t="n">
        <f aca="false">B44*(IF($A44&lt;$Q$6,INDEX(Surface_Engine!$D$12:$D$72,$A44+1)*(1+Assumptions!$B$24)+(Surface_Engine!B236*12)*INDEX(Surface_Engine!$F$12:$F$72,$A44+1)-(Surface_Engine!B236*12),1000*12*INDEX(Surface_Engine!$C$12:$C$72,$A44+1)/(1+Assumptions!$B$10)^15+INDEX(Surface_Engine!$D$12:$D$72,$A44+1)*(1+Assumptions!$B$24)))*INDEX(Surface_Engine!$B$12:$B$72,$A44+1)+J45</f>
        <v>5691.05731929101</v>
      </c>
      <c r="K44" s="12" t="n">
        <f aca="false">SQRT((IF(C44&lt;=0,0,MAX(0,(B44/C44)*G44/INDEX(Surface_Engine!$B$12:$B$72,$A44+1)-F44/INDEX(Surface_Engine!$B$12:$B$72,$A44+1))))^2+(MAX(IF(D44&lt;=0,0,MAX(0,(B44/D44)*H44/INDEX(Surface_Engine!$B$12:$B$72,$A44+1)-F44/INDEX(Surface_Engine!$B$12:$B$72,$A44+1))),IF(E44&lt;=0,0,MAX(0,(B44/E44)*I44/INDEX(Surface_Engine!$B$12:$B$72,$A44+1)-F44/INDEX(Surface_Engine!$B$12:$B$72,$A44+1))),IF($A44&lt;$Q$6,MAX(0,-Assumptions!$B$22*(F44/INDEX(Surface_Engine!$B$12:$B$72,$A44+1))),0)))^2+(MAX(0,J44/INDEX(Surface_Engine!$B$12:$B$72,$A44+1)-(F44/INDEX(Surface_Engine!$B$12:$B$72,$A44+1))))^2+2*Assumptions!$B$26*(IF(C44&lt;=0,0,MAX(0,(B44/C44)*G44/INDEX(Surface_Engine!$B$12:$B$72,$A44+1)-F44/INDEX(Surface_Engine!$B$12:$B$72,$A44+1))))*(MAX(IF(D44&lt;=0,0,MAX(0,(B44/D44)*H44/INDEX(Surface_Engine!$B$12:$B$72,$A44+1)-F44/INDEX(Surface_Engine!$B$12:$B$72,$A44+1))),IF(E44&lt;=0,0,MAX(0,(B44/E44)*I44/INDEX(Surface_Engine!$B$12:$B$72,$A44+1)-F44/INDEX(Surface_Engine!$B$12:$B$72,$A44+1))),IF($A44&lt;$Q$6,MAX(0,-Assumptions!$B$22*(F44/INDEX(Surface_Engine!$B$12:$B$72,$A44+1))),0)))+2*Assumptions!$B$27*(IF(C44&lt;=0,0,MAX(0,(B44/C44)*G44/INDEX(Surface_Engine!$B$12:$B$72,$A44+1)-F44/INDEX(Surface_Engine!$B$12:$B$72,$A44+1))))*(MAX(0,J44/INDEX(Surface_Engine!$B$12:$B$72,$A44+1)-(F44/INDEX(Surface_Engine!$B$12:$B$72,$A44+1))))+2*Assumptions!$B$28*(MAX(IF(D44&lt;=0,0,MAX(0,(B44/D44)*H44/INDEX(Surface_Engine!$B$12:$B$72,$A44+1)-F44/INDEX(Surface_Engine!$B$12:$B$72,$A44+1))),IF(E44&lt;=0,0,MAX(0,(B44/E44)*I44/INDEX(Surface_Engine!$B$12:$B$72,$A44+1)-F44/INDEX(Surface_Engine!$B$12:$B$72,$A44+1))),IF($A44&lt;$Q$6,MAX(0,-Assumptions!$B$22*(F44/INDEX(Surface_Engine!$B$12:$B$72,$A44+1))),0)))*(MAX(0,J44/INDEX(Surface_Engine!$B$12:$B$72,$A44+1)-(F44/INDEX(Surface_Engine!$B$12:$B$72,$A44+1)))))</f>
        <v>3184.34762797134</v>
      </c>
      <c r="L44" s="48" t="n">
        <f aca="false">K44*INDEX(Surface_Engine!$B$12:$B$72,$A44+1)+L45</f>
        <v>4388.58346482923</v>
      </c>
      <c r="M44" s="48" t="n">
        <f aca="false">M43+B43*(IF($A43&lt;$Q$6,(Surface_Engine!B236*12)-(Surface_Engine!B236*12)*INDEX(Surface_Engine!$F$12:$F$72,$A43+1)-INDEX(Surface_Engine!$D$12:$D$72,$A43+1),-(1000*12*INDEX(Surface_Engine!$C$12:$C$72,$A43+1)/(1+Assumptions!$B$10)^15+INDEX(Surface_Engine!$D$12:$D$72,$A43+1))))*INDEX(Surface_Engine!$B$12:$B$72,$A43+1)</f>
        <v>8785.99988290281</v>
      </c>
      <c r="N44" s="12" t="n">
        <f aca="false">IF(B44&lt;=0,0,MAX(0,(K44+Assumptions!$B$29*L44/INDEX(Surface_Engine!$B$12:$B$72,$A44+1)-(M44/INDEX(Surface_Engine!$B$12:$B$72,$A44+1)-(F44/INDEX(Surface_Engine!$B$12:$B$72,$A44+1))))/B44))</f>
        <v>0</v>
      </c>
    </row>
    <row r="45" customFormat="false" ht="15" hidden="false" customHeight="true" outlineLevel="0" collapsed="false">
      <c r="A45" s="1" t="n">
        <v>37</v>
      </c>
      <c r="B45" s="32" t="n">
        <f aca="false">INDEX(Surface_Engine!$G$12:$G$72,$A45+1)*IF($A45&lt;$Q$6,INDEX(Surface_Engine!$E$12:$E$72,$A45+1),INDEX(Surface_Engine!$E$12:$E$72,$Q$6+1))</f>
        <v>0.165915397949033</v>
      </c>
      <c r="C45" s="32" t="n">
        <f aca="false">INDEX(Panel_Reserving!$B$8:$B$68,$A45+1)*IF($A45&lt;$Q$6,INDEX(Surface_Engine!$E$12:$E$72,$A45+1),INDEX(Surface_Engine!$E$12:$E$72,$Q$6+1))</f>
        <v>0.231571219476584</v>
      </c>
      <c r="D45" s="32" t="n">
        <f aca="false">INDEX(Surface_Engine!$G$12:$G$72,$A45+1)*IF($A45&lt;$Q$6,INDEX(Surface_Engine!$Y$12:$Y$72,$A45+1),INDEX(Surface_Engine!$Y$12:$Y$72,$Q$6+1))</f>
        <v>0.150299250306656</v>
      </c>
      <c r="E45" s="32" t="n">
        <f aca="false">INDEX(Surface_Engine!$G$12:$G$72,$A45+1)*IF($A45&lt;$Q$6,INDEX(Surface_Engine!$Z$12:$Z$72,$A45+1),INDEX(Surface_Engine!$Z$12:$Z$72,$Q$6+1))</f>
        <v>0.182986022745886</v>
      </c>
      <c r="F45" s="48" t="n">
        <f aca="false">B45*(IF($A45&lt;$Q$6,INDEX(Surface_Engine!$D$12:$D$72,$A45+1)+(Surface_Engine!B236*12)*INDEX(Surface_Engine!$F$12:$F$72,$A45+1)-(Surface_Engine!B236*12),1000*12*INDEX(Surface_Engine!$C$12:$C$72,$A45+1)/(1+Assumptions!$B$10)^15+INDEX(Surface_Engine!$D$12:$D$72,$A45+1)))*INDEX(Surface_Engine!$B$12:$B$72,$A45+1)+F46</f>
        <v>4512.03631239451</v>
      </c>
      <c r="G45" s="48" t="n">
        <f aca="false">C45*(IF($A45&lt;$Q$6,INDEX(Surface_Engine!$D$12:$D$72,$A45+1)+(Surface_Engine!B236*12)*INDEX(Surface_Engine!$F$12:$F$72,$A45+1)-(Surface_Engine!B236*12),1000*12*INDEX(Surface_Engine!$C$12:$C$72,$A45+1)/(1+Assumptions!$B$10)^15+INDEX(Surface_Engine!$D$12:$D$72,$A45+1)))*INDEX(Surface_Engine!$B$12:$B$72,$A45+1)+G46</f>
        <v>7442.24098250499</v>
      </c>
      <c r="H45" s="48" t="n">
        <f aca="false">D45*(IF($A45&lt;$Q$6,INDEX(Surface_Engine!$D$12:$D$72,$A45+1)+(Surface_Engine!B236*12)*INDEX(Surface_Engine!$F$12:$F$72,$A45+1)-(Surface_Engine!B236*12),1000*12*INDEX(Surface_Engine!$C$12:$C$72,$A45+1)/(1+Assumptions!$B$10)^15+INDEX(Surface_Engine!$D$12:$D$72,$A45+1)))*INDEX(Surface_Engine!$B$12:$B$72,$A45+1)+H46</f>
        <v>4087.35827712403</v>
      </c>
      <c r="I45" s="48" t="n">
        <f aca="false">E45*(IF($A45&lt;$Q$6,INDEX(Surface_Engine!$D$12:$D$72,$A45+1)+(Surface_Engine!B236*12)*INDEX(Surface_Engine!$F$12:$F$72,$A45+1)-(Surface_Engine!B236*12),1000*12*INDEX(Surface_Engine!$C$12:$C$72,$A45+1)/(1+Assumptions!$B$10)^15+INDEX(Surface_Engine!$D$12:$D$72,$A45+1)))*INDEX(Surface_Engine!$B$12:$B$72,$A45+1)+I46</f>
        <v>4976.26856516182</v>
      </c>
      <c r="J45" s="48" t="n">
        <f aca="false">B45*(IF($A45&lt;$Q$6,INDEX(Surface_Engine!$D$12:$D$72,$A45+1)*(1+Assumptions!$B$24)+(Surface_Engine!B236*12)*INDEX(Surface_Engine!$F$12:$F$72,$A45+1)-(Surface_Engine!B236*12),1000*12*INDEX(Surface_Engine!$C$12:$C$72,$A45+1)/(1+Assumptions!$B$10)^15+INDEX(Surface_Engine!$D$12:$D$72,$A45+1)*(1+Assumptions!$B$24)))*INDEX(Surface_Engine!$B$12:$B$72,$A45+1)+J46</f>
        <v>4517.0289807925</v>
      </c>
      <c r="K45" s="12" t="n">
        <f aca="false">SQRT((IF(C45&lt;=0,0,MAX(0,(B45/C45)*G45/INDEX(Surface_Engine!$B$12:$B$72,$A45+1)-F45/INDEX(Surface_Engine!$B$12:$B$72,$A45+1))))^2+(MAX(IF(D45&lt;=0,0,MAX(0,(B45/D45)*H45/INDEX(Surface_Engine!$B$12:$B$72,$A45+1)-F45/INDEX(Surface_Engine!$B$12:$B$72,$A45+1))),IF(E45&lt;=0,0,MAX(0,(B45/E45)*I45/INDEX(Surface_Engine!$B$12:$B$72,$A45+1)-F45/INDEX(Surface_Engine!$B$12:$B$72,$A45+1))),IF($A45&lt;$Q$6,MAX(0,-Assumptions!$B$22*(F45/INDEX(Surface_Engine!$B$12:$B$72,$A45+1))),0)))^2+(MAX(0,J45/INDEX(Surface_Engine!$B$12:$B$72,$A45+1)-(F45/INDEX(Surface_Engine!$B$12:$B$72,$A45+1))))^2+2*Assumptions!$B$26*(IF(C45&lt;=0,0,MAX(0,(B45/C45)*G45/INDEX(Surface_Engine!$B$12:$B$72,$A45+1)-F45/INDEX(Surface_Engine!$B$12:$B$72,$A45+1))))*(MAX(IF(D45&lt;=0,0,MAX(0,(B45/D45)*H45/INDEX(Surface_Engine!$B$12:$B$72,$A45+1)-F45/INDEX(Surface_Engine!$B$12:$B$72,$A45+1))),IF(E45&lt;=0,0,MAX(0,(B45/E45)*I45/INDEX(Surface_Engine!$B$12:$B$72,$A45+1)-F45/INDEX(Surface_Engine!$B$12:$B$72,$A45+1))),IF($A45&lt;$Q$6,MAX(0,-Assumptions!$B$22*(F45/INDEX(Surface_Engine!$B$12:$B$72,$A45+1))),0)))+2*Assumptions!$B$27*(IF(C45&lt;=0,0,MAX(0,(B45/C45)*G45/INDEX(Surface_Engine!$B$12:$B$72,$A45+1)-F45/INDEX(Surface_Engine!$B$12:$B$72,$A45+1))))*(MAX(0,J45/INDEX(Surface_Engine!$B$12:$B$72,$A45+1)-(F45/INDEX(Surface_Engine!$B$12:$B$72,$A45+1))))+2*Assumptions!$B$28*(MAX(IF(D45&lt;=0,0,MAX(0,(B45/D45)*H45/INDEX(Surface_Engine!$B$12:$B$72,$A45+1)-F45/INDEX(Surface_Engine!$B$12:$B$72,$A45+1))),IF(E45&lt;=0,0,MAX(0,(B45/E45)*I45/INDEX(Surface_Engine!$B$12:$B$72,$A45+1)-F45/INDEX(Surface_Engine!$B$12:$B$72,$A45+1))),IF($A45&lt;$Q$6,MAX(0,-Assumptions!$B$22*(F45/INDEX(Surface_Engine!$B$12:$B$72,$A45+1))),0)))*(MAX(0,J45/INDEX(Surface_Engine!$B$12:$B$72,$A45+1)-(F45/INDEX(Surface_Engine!$B$12:$B$72,$A45+1)))))</f>
        <v>2630.81681276328</v>
      </c>
      <c r="L45" s="48" t="n">
        <f aca="false">K45*INDEX(Surface_Engine!$B$12:$B$72,$A45+1)+L46</f>
        <v>3361.8436934962</v>
      </c>
      <c r="M45" s="48" t="n">
        <f aca="false">M44+B44*(IF($A44&lt;$Q$6,(Surface_Engine!B236*12)-(Surface_Engine!B236*12)*INDEX(Surface_Engine!$F$12:$F$72,$A44+1)-INDEX(Surface_Engine!$D$12:$D$72,$A44+1),-(1000*12*INDEX(Surface_Engine!$C$12:$C$72,$A44+1)/(1+Assumptions!$B$10)^15+INDEX(Surface_Engine!$D$12:$D$72,$A44+1))))*INDEX(Surface_Engine!$B$12:$B$72,$A44+1)</f>
        <v>7613.24375462867</v>
      </c>
      <c r="N45" s="12" t="n">
        <f aca="false">IF(B45&lt;=0,0,MAX(0,(K45+Assumptions!$B$29*L45/INDEX(Surface_Engine!$B$12:$B$72,$A45+1)-(M45/INDEX(Surface_Engine!$B$12:$B$72,$A45+1)-(F45/INDEX(Surface_Engine!$B$12:$B$72,$A45+1))))/B45))</f>
        <v>0</v>
      </c>
    </row>
    <row r="46" customFormat="false" ht="15" hidden="false" customHeight="true" outlineLevel="0" collapsed="false">
      <c r="A46" s="1" t="n">
        <v>38</v>
      </c>
      <c r="B46" s="32" t="n">
        <f aca="false">INDEX(Surface_Engine!$G$12:$G$72,$A46+1)*IF($A46&lt;$Q$6,INDEX(Surface_Engine!$E$12:$E$72,$A46+1),INDEX(Surface_Engine!$E$12:$E$72,$Q$6+1))</f>
        <v>0.137502235947871</v>
      </c>
      <c r="C46" s="32" t="n">
        <f aca="false">INDEX(Panel_Reserving!$B$8:$B$68,$A46+1)*IF($A46&lt;$Q$6,INDEX(Surface_Engine!$E$12:$E$72,$A46+1),INDEX(Surface_Engine!$E$12:$E$72,$Q$6+1))</f>
        <v>0.199845794807726</v>
      </c>
      <c r="D46" s="32" t="n">
        <f aca="false">INDEX(Surface_Engine!$G$12:$G$72,$A46+1)*IF($A46&lt;$Q$6,INDEX(Surface_Engine!$Y$12:$Y$72,$A46+1),INDEX(Surface_Engine!$Y$12:$Y$72,$Q$6+1))</f>
        <v>0.124560367717061</v>
      </c>
      <c r="E46" s="32" t="n">
        <f aca="false">INDEX(Surface_Engine!$G$12:$G$72,$A46+1)*IF($A46&lt;$Q$6,INDEX(Surface_Engine!$Z$12:$Z$72,$A46+1),INDEX(Surface_Engine!$Z$12:$Z$72,$Q$6+1))</f>
        <v>0.1516495008046</v>
      </c>
      <c r="F46" s="48" t="n">
        <f aca="false">B46*(IF($A46&lt;$Q$6,INDEX(Surface_Engine!$D$12:$D$72,$A46+1)+(Surface_Engine!B236*12)*INDEX(Surface_Engine!$F$12:$F$72,$A46+1)-(Surface_Engine!B236*12),1000*12*INDEX(Surface_Engine!$C$12:$C$72,$A46+1)/(1+Assumptions!$B$10)^15+INDEX(Surface_Engine!$D$12:$D$72,$A46+1)))*INDEX(Surface_Engine!$B$12:$B$72,$A46+1)+F47</f>
        <v>3540.39531256564</v>
      </c>
      <c r="G46" s="48" t="n">
        <f aca="false">C46*(IF($A46&lt;$Q$6,INDEX(Surface_Engine!$D$12:$D$72,$A46+1)+(Surface_Engine!B236*12)*INDEX(Surface_Engine!$F$12:$F$72,$A46+1)-(Surface_Engine!B236*12),1000*12*INDEX(Surface_Engine!$C$12:$C$72,$A46+1)/(1+Assumptions!$B$10)^15+INDEX(Surface_Engine!$D$12:$D$72,$A46+1)))*INDEX(Surface_Engine!$B$12:$B$72,$A46+1)+G47</f>
        <v>6086.10349312659</v>
      </c>
      <c r="H46" s="48" t="n">
        <f aca="false">D46*(IF($A46&lt;$Q$6,INDEX(Surface_Engine!$D$12:$D$72,$A46+1)+(Surface_Engine!B236*12)*INDEX(Surface_Engine!$F$12:$F$72,$A46+1)-(Surface_Engine!B236*12),1000*12*INDEX(Surface_Engine!$C$12:$C$72,$A46+1)/(1+Assumptions!$B$10)^15+INDEX(Surface_Engine!$D$12:$D$72,$A46+1)))*INDEX(Surface_Engine!$B$12:$B$72,$A46+1)+H47</f>
        <v>3207.16924315413</v>
      </c>
      <c r="I46" s="48" t="n">
        <f aca="false">E46*(IF($A46&lt;$Q$6,INDEX(Surface_Engine!$D$12:$D$72,$A46+1)+(Surface_Engine!B236*12)*INDEX(Surface_Engine!$F$12:$F$72,$A46+1)-(Surface_Engine!B236*12),1000*12*INDEX(Surface_Engine!$C$12:$C$72,$A46+1)/(1+Assumptions!$B$10)^15+INDEX(Surface_Engine!$D$12:$D$72,$A46+1)))*INDEX(Surface_Engine!$B$12:$B$72,$A46+1)+I47</f>
        <v>3904.65782683759</v>
      </c>
      <c r="J46" s="48" t="n">
        <f aca="false">B46*(IF($A46&lt;$Q$6,INDEX(Surface_Engine!$D$12:$D$72,$A46+1)*(1+Assumptions!$B$24)+(Surface_Engine!B236*12)*INDEX(Surface_Engine!$F$12:$F$72,$A46+1)-(Surface_Engine!B236*12),1000*12*INDEX(Surface_Engine!$C$12:$C$72,$A46+1)/(1+Assumptions!$B$10)^15+INDEX(Surface_Engine!$D$12:$D$72,$A46+1)*(1+Assumptions!$B$24)))*INDEX(Surface_Engine!$B$12:$B$72,$A46+1)+J47</f>
        <v>3544.3288306415</v>
      </c>
      <c r="K46" s="12" t="n">
        <f aca="false">SQRT((IF(C46&lt;=0,0,MAX(0,(B46/C46)*G46/INDEX(Surface_Engine!$B$12:$B$72,$A46+1)-F46/INDEX(Surface_Engine!$B$12:$B$72,$A46+1))))^2+(MAX(IF(D46&lt;=0,0,MAX(0,(B46/D46)*H46/INDEX(Surface_Engine!$B$12:$B$72,$A46+1)-F46/INDEX(Surface_Engine!$B$12:$B$72,$A46+1))),IF(E46&lt;=0,0,MAX(0,(B46/E46)*I46/INDEX(Surface_Engine!$B$12:$B$72,$A46+1)-F46/INDEX(Surface_Engine!$B$12:$B$72,$A46+1))),IF($A46&lt;$Q$6,MAX(0,-Assumptions!$B$22*(F46/INDEX(Surface_Engine!$B$12:$B$72,$A46+1))),0)))^2+(MAX(0,J46/INDEX(Surface_Engine!$B$12:$B$72,$A46+1)-(F46/INDEX(Surface_Engine!$B$12:$B$72,$A46+1))))^2+2*Assumptions!$B$26*(IF(C46&lt;=0,0,MAX(0,(B46/C46)*G46/INDEX(Surface_Engine!$B$12:$B$72,$A46+1)-F46/INDEX(Surface_Engine!$B$12:$B$72,$A46+1))))*(MAX(IF(D46&lt;=0,0,MAX(0,(B46/D46)*H46/INDEX(Surface_Engine!$B$12:$B$72,$A46+1)-F46/INDEX(Surface_Engine!$B$12:$B$72,$A46+1))),IF(E46&lt;=0,0,MAX(0,(B46/E46)*I46/INDEX(Surface_Engine!$B$12:$B$72,$A46+1)-F46/INDEX(Surface_Engine!$B$12:$B$72,$A46+1))),IF($A46&lt;$Q$6,MAX(0,-Assumptions!$B$22*(F46/INDEX(Surface_Engine!$B$12:$B$72,$A46+1))),0)))+2*Assumptions!$B$27*(IF(C46&lt;=0,0,MAX(0,(B46/C46)*G46/INDEX(Surface_Engine!$B$12:$B$72,$A46+1)-F46/INDEX(Surface_Engine!$B$12:$B$72,$A46+1))))*(MAX(0,J46/INDEX(Surface_Engine!$B$12:$B$72,$A46+1)-(F46/INDEX(Surface_Engine!$B$12:$B$72,$A46+1))))+2*Assumptions!$B$28*(MAX(IF(D46&lt;=0,0,MAX(0,(B46/D46)*H46/INDEX(Surface_Engine!$B$12:$B$72,$A46+1)-F46/INDEX(Surface_Engine!$B$12:$B$72,$A46+1))),IF(E46&lt;=0,0,MAX(0,(B46/E46)*I46/INDEX(Surface_Engine!$B$12:$B$72,$A46+1)-F46/INDEX(Surface_Engine!$B$12:$B$72,$A46+1))),IF($A46&lt;$Q$6,MAX(0,-Assumptions!$B$22*(F46/INDEX(Surface_Engine!$B$12:$B$72,$A46+1))),0)))*(MAX(0,J46/INDEX(Surface_Engine!$B$12:$B$72,$A46+1)-(F46/INDEX(Surface_Engine!$B$12:$B$72,$A46+1)))))</f>
        <v>2143.60816797137</v>
      </c>
      <c r="L46" s="48" t="n">
        <f aca="false">K46*INDEX(Surface_Engine!$B$12:$B$72,$A46+1)+L47</f>
        <v>2540.4248784977</v>
      </c>
      <c r="M46" s="48" t="n">
        <f aca="false">M45+B45*(IF($A45&lt;$Q$6,(Surface_Engine!B236*12)-(Surface_Engine!B236*12)*INDEX(Surface_Engine!$F$12:$F$72,$A45+1)-INDEX(Surface_Engine!$D$12:$D$72,$A45+1),-(1000*12*INDEX(Surface_Engine!$C$12:$C$72,$A45+1)/(1+Assumptions!$B$10)^15+INDEX(Surface_Engine!$D$12:$D$72,$A45+1))))*INDEX(Surface_Engine!$B$12:$B$72,$A45+1)</f>
        <v>6641.60275479979</v>
      </c>
      <c r="N46" s="12" t="n">
        <f aca="false">IF(B46&lt;=0,0,MAX(0,(K46+Assumptions!$B$29*L46/INDEX(Surface_Engine!$B$12:$B$72,$A46+1)-(M46/INDEX(Surface_Engine!$B$12:$B$72,$A46+1)-(F46/INDEX(Surface_Engine!$B$12:$B$72,$A46+1))))/B46))</f>
        <v>0</v>
      </c>
    </row>
    <row r="47" customFormat="false" ht="15" hidden="false" customHeight="true" outlineLevel="0" collapsed="false">
      <c r="A47" s="1" t="n">
        <v>39</v>
      </c>
      <c r="B47" s="32" t="n">
        <f aca="false">INDEX(Surface_Engine!$G$12:$G$72,$A47+1)*IF($A47&lt;$Q$6,INDEX(Surface_Engine!$E$12:$E$72,$A47+1),INDEX(Surface_Engine!$E$12:$E$72,$Q$6+1))</f>
        <v>0.112573476605106</v>
      </c>
      <c r="C47" s="32" t="n">
        <f aca="false">INDEX(Panel_Reserving!$B$8:$B$68,$A47+1)*IF($A47&lt;$Q$6,INDEX(Surface_Engine!$E$12:$E$72,$A47+1),INDEX(Surface_Engine!$E$12:$E$72,$Q$6+1))</f>
        <v>0.170860621206249</v>
      </c>
      <c r="D47" s="32" t="n">
        <f aca="false">INDEX(Surface_Engine!$G$12:$G$72,$A47+1)*IF($A47&lt;$Q$6,INDEX(Surface_Engine!$Y$12:$Y$72,$A47+1),INDEX(Surface_Engine!$Y$12:$Y$72,$Q$6+1))</f>
        <v>0.101977931809313</v>
      </c>
      <c r="E47" s="32" t="n">
        <f aca="false">INDEX(Surface_Engine!$G$12:$G$72,$A47+1)*IF($A47&lt;$Q$6,INDEX(Surface_Engine!$Z$12:$Z$72,$A47+1),INDEX(Surface_Engine!$Z$12:$Z$72,$Q$6+1))</f>
        <v>0.124155883090329</v>
      </c>
      <c r="F47" s="48" t="n">
        <f aca="false">B47*(IF($A47&lt;$Q$6,INDEX(Surface_Engine!$D$12:$D$72,$A47+1)+(Surface_Engine!B236*12)*INDEX(Surface_Engine!$F$12:$F$72,$A47+1)-(Surface_Engine!B236*12),1000*12*INDEX(Surface_Engine!$C$12:$C$72,$A47+1)/(1+Assumptions!$B$10)^15+INDEX(Surface_Engine!$D$12:$D$72,$A47+1)))*INDEX(Surface_Engine!$B$12:$B$72,$A47+1)+F48</f>
        <v>2745.02463776985</v>
      </c>
      <c r="G47" s="48" t="n">
        <f aca="false">C47*(IF($A47&lt;$Q$6,INDEX(Surface_Engine!$D$12:$D$72,$A47+1)+(Surface_Engine!B236*12)*INDEX(Surface_Engine!$F$12:$F$72,$A47+1)-(Surface_Engine!B236*12),1000*12*INDEX(Surface_Engine!$C$12:$C$72,$A47+1)/(1+Assumptions!$B$10)^15+INDEX(Surface_Engine!$D$12:$D$72,$A47+1)))*INDEX(Surface_Engine!$B$12:$B$72,$A47+1)+G48</f>
        <v>4930.11149361044</v>
      </c>
      <c r="H47" s="48" t="n">
        <f aca="false">D47*(IF($A47&lt;$Q$6,INDEX(Surface_Engine!$D$12:$D$72,$A47+1)+(Surface_Engine!B236*12)*INDEX(Surface_Engine!$F$12:$F$72,$A47+1)-(Surface_Engine!B236*12),1000*12*INDEX(Surface_Engine!$C$12:$C$72,$A47+1)/(1+Assumptions!$B$10)^15+INDEX(Surface_Engine!$D$12:$D$72,$A47+1)))*INDEX(Surface_Engine!$B$12:$B$72,$A47+1)+H48</f>
        <v>2486.65976895554</v>
      </c>
      <c r="I47" s="48" t="n">
        <f aca="false">E47*(IF($A47&lt;$Q$6,INDEX(Surface_Engine!$D$12:$D$72,$A47+1)+(Surface_Engine!B236*12)*INDEX(Surface_Engine!$F$12:$F$72,$A47+1)-(Surface_Engine!B236*12),1000*12*INDEX(Surface_Engine!$C$12:$C$72,$A47+1)/(1+Assumptions!$B$10)^15+INDEX(Surface_Engine!$D$12:$D$72,$A47+1)))*INDEX(Surface_Engine!$B$12:$B$72,$A47+1)+I48</f>
        <v>3027.45343117142</v>
      </c>
      <c r="J47" s="48" t="n">
        <f aca="false">B47*(IF($A47&lt;$Q$6,INDEX(Surface_Engine!$D$12:$D$72,$A47+1)*(1+Assumptions!$B$24)+(Surface_Engine!B236*12)*INDEX(Surface_Engine!$F$12:$F$72,$A47+1)-(Surface_Engine!B236*12),1000*12*INDEX(Surface_Engine!$C$12:$C$72,$A47+1)/(1+Assumptions!$B$10)^15+INDEX(Surface_Engine!$D$12:$D$72,$A47+1)*(1+Assumptions!$B$24)))*INDEX(Surface_Engine!$B$12:$B$72,$A47+1)+J48</f>
        <v>2748.08694788945</v>
      </c>
      <c r="K47" s="12" t="n">
        <f aca="false">SQRT((IF(C47&lt;=0,0,MAX(0,(B47/C47)*G47/INDEX(Surface_Engine!$B$12:$B$72,$A47+1)-F47/INDEX(Surface_Engine!$B$12:$B$72,$A47+1))))^2+(MAX(IF(D47&lt;=0,0,MAX(0,(B47/D47)*H47/INDEX(Surface_Engine!$B$12:$B$72,$A47+1)-F47/INDEX(Surface_Engine!$B$12:$B$72,$A47+1))),IF(E47&lt;=0,0,MAX(0,(B47/E47)*I47/INDEX(Surface_Engine!$B$12:$B$72,$A47+1)-F47/INDEX(Surface_Engine!$B$12:$B$72,$A47+1))),IF($A47&lt;$Q$6,MAX(0,-Assumptions!$B$22*(F47/INDEX(Surface_Engine!$B$12:$B$72,$A47+1))),0)))^2+(MAX(0,J47/INDEX(Surface_Engine!$B$12:$B$72,$A47+1)-(F47/INDEX(Surface_Engine!$B$12:$B$72,$A47+1))))^2+2*Assumptions!$B$26*(IF(C47&lt;=0,0,MAX(0,(B47/C47)*G47/INDEX(Surface_Engine!$B$12:$B$72,$A47+1)-F47/INDEX(Surface_Engine!$B$12:$B$72,$A47+1))))*(MAX(IF(D47&lt;=0,0,MAX(0,(B47/D47)*H47/INDEX(Surface_Engine!$B$12:$B$72,$A47+1)-F47/INDEX(Surface_Engine!$B$12:$B$72,$A47+1))),IF(E47&lt;=0,0,MAX(0,(B47/E47)*I47/INDEX(Surface_Engine!$B$12:$B$72,$A47+1)-F47/INDEX(Surface_Engine!$B$12:$B$72,$A47+1))),IF($A47&lt;$Q$6,MAX(0,-Assumptions!$B$22*(F47/INDEX(Surface_Engine!$B$12:$B$72,$A47+1))),0)))+2*Assumptions!$B$27*(IF(C47&lt;=0,0,MAX(0,(B47/C47)*G47/INDEX(Surface_Engine!$B$12:$B$72,$A47+1)-F47/INDEX(Surface_Engine!$B$12:$B$72,$A47+1))))*(MAX(0,J47/INDEX(Surface_Engine!$B$12:$B$72,$A47+1)-(F47/INDEX(Surface_Engine!$B$12:$B$72,$A47+1))))+2*Assumptions!$B$28*(MAX(IF(D47&lt;=0,0,MAX(0,(B47/D47)*H47/INDEX(Surface_Engine!$B$12:$B$72,$A47+1)-F47/INDEX(Surface_Engine!$B$12:$B$72,$A47+1))),IF(E47&lt;=0,0,MAX(0,(B47/E47)*I47/INDEX(Surface_Engine!$B$12:$B$72,$A47+1)-F47/INDEX(Surface_Engine!$B$12:$B$72,$A47+1))),IF($A47&lt;$Q$6,MAX(0,-Assumptions!$B$22*(F47/INDEX(Surface_Engine!$B$12:$B$72,$A47+1))),0)))*(MAX(0,J47/INDEX(Surface_Engine!$B$12:$B$72,$A47+1)-(F47/INDEX(Surface_Engine!$B$12:$B$72,$A47+1)))))</f>
        <v>1721.0095589939</v>
      </c>
      <c r="L47" s="48" t="n">
        <f aca="false">K47*INDEX(Surface_Engine!$B$12:$B$72,$A47+1)+L48</f>
        <v>1892.33276221858</v>
      </c>
      <c r="M47" s="48" t="n">
        <f aca="false">M46+B46*(IF($A46&lt;$Q$6,(Surface_Engine!B236*12)-(Surface_Engine!B236*12)*INDEX(Surface_Engine!$F$12:$F$72,$A46+1)-INDEX(Surface_Engine!$D$12:$D$72,$A46+1),-(1000*12*INDEX(Surface_Engine!$C$12:$C$72,$A46+1)/(1+Assumptions!$B$10)^15+INDEX(Surface_Engine!$D$12:$D$72,$A46+1))))*INDEX(Surface_Engine!$B$12:$B$72,$A46+1)</f>
        <v>5846.232080004</v>
      </c>
      <c r="N47" s="12" t="n">
        <f aca="false">IF(B47&lt;=0,0,MAX(0,(K47+Assumptions!$B$29*L47/INDEX(Surface_Engine!$B$12:$B$72,$A47+1)-(M47/INDEX(Surface_Engine!$B$12:$B$72,$A47+1)-(F47/INDEX(Surface_Engine!$B$12:$B$72,$A47+1))))/B47))</f>
        <v>0</v>
      </c>
    </row>
    <row r="48" customFormat="false" ht="15" hidden="false" customHeight="true" outlineLevel="0" collapsed="false">
      <c r="A48" s="1" t="n">
        <v>40</v>
      </c>
      <c r="B48" s="32" t="n">
        <f aca="false">INDEX(Surface_Engine!$G$12:$G$72,$A48+1)*IF($A48&lt;$Q$6,INDEX(Surface_Engine!$E$12:$E$72,$A48+1),INDEX(Surface_Engine!$E$12:$E$72,$Q$6+1))</f>
        <v>0.0910022052137252</v>
      </c>
      <c r="C48" s="32" t="n">
        <f aca="false">INDEX(Panel_Reserving!$B$8:$B$68,$A48+1)*IF($A48&lt;$Q$6,INDEX(Surface_Engine!$E$12:$E$72,$A48+1),INDEX(Surface_Engine!$E$12:$E$72,$Q$6+1))</f>
        <v>0.144668442079942</v>
      </c>
      <c r="D48" s="32" t="n">
        <f aca="false">INDEX(Surface_Engine!$G$12:$G$72,$A48+1)*IF($A48&lt;$Q$6,INDEX(Surface_Engine!$Y$12:$Y$72,$A48+1),INDEX(Surface_Engine!$Y$12:$Y$72,$Q$6+1))</f>
        <v>0.0824369732342563</v>
      </c>
      <c r="E48" s="32" t="n">
        <f aca="false">INDEX(Surface_Engine!$G$12:$G$72,$A48+1)*IF($A48&lt;$Q$6,INDEX(Surface_Engine!$Z$12:$Z$72,$A48+1),INDEX(Surface_Engine!$Z$12:$Z$72,$Q$6+1))</f>
        <v>0.10036519695586</v>
      </c>
      <c r="F48" s="48" t="n">
        <f aca="false">B48*(IF($A48&lt;$Q$6,INDEX(Surface_Engine!$D$12:$D$72,$A48+1)+(Surface_Engine!B236*12)*INDEX(Surface_Engine!$F$12:$F$72,$A48+1)-(Surface_Engine!B236*12),1000*12*INDEX(Surface_Engine!$C$12:$C$72,$A48+1)/(1+Assumptions!$B$10)^15+INDEX(Surface_Engine!$D$12:$D$72,$A48+1)))*INDEX(Surface_Engine!$B$12:$B$72,$A48+1)+F49</f>
        <v>2101.62031146225</v>
      </c>
      <c r="G48" s="48" t="n">
        <f aca="false">C48*(IF($A48&lt;$Q$6,INDEX(Surface_Engine!$D$12:$D$72,$A48+1)+(Surface_Engine!B236*12)*INDEX(Surface_Engine!$F$12:$F$72,$A48+1)-(Surface_Engine!B236*12),1000*12*INDEX(Surface_Engine!$C$12:$C$72,$A48+1)/(1+Assumptions!$B$10)^15+INDEX(Surface_Engine!$D$12:$D$72,$A48+1)))*INDEX(Surface_Engine!$B$12:$B$72,$A48+1)+G49</f>
        <v>3953.57184861632</v>
      </c>
      <c r="H48" s="48" t="n">
        <f aca="false">D48*(IF($A48&lt;$Q$6,INDEX(Surface_Engine!$D$12:$D$72,$A48+1)+(Surface_Engine!B236*12)*INDEX(Surface_Engine!$F$12:$F$72,$A48+1)-(Surface_Engine!B236*12),1000*12*INDEX(Surface_Engine!$C$12:$C$72,$A48+1)/(1+Assumptions!$B$10)^15+INDEX(Surface_Engine!$D$12:$D$72,$A48+1)))*INDEX(Surface_Engine!$B$12:$B$72,$A48+1)+H49</f>
        <v>1903.81339614452</v>
      </c>
      <c r="I48" s="48" t="n">
        <f aca="false">E48*(IF($A48&lt;$Q$6,INDEX(Surface_Engine!$D$12:$D$72,$A48+1)+(Surface_Engine!B236*12)*INDEX(Surface_Engine!$F$12:$F$72,$A48+1)-(Surface_Engine!B236*12),1000*12*INDEX(Surface_Engine!$C$12:$C$72,$A48+1)/(1+Assumptions!$B$10)^15+INDEX(Surface_Engine!$D$12:$D$72,$A48+1)))*INDEX(Surface_Engine!$B$12:$B$72,$A48+1)+I49</f>
        <v>2317.85082560318</v>
      </c>
      <c r="J48" s="48" t="n">
        <f aca="false">B48*(IF($A48&lt;$Q$6,INDEX(Surface_Engine!$D$12:$D$72,$A48+1)*(1+Assumptions!$B$24)+(Surface_Engine!B236*12)*INDEX(Surface_Engine!$F$12:$F$72,$A48+1)-(Surface_Engine!B236*12),1000*12*INDEX(Surface_Engine!$C$12:$C$72,$A48+1)/(1+Assumptions!$B$10)^15+INDEX(Surface_Engine!$D$12:$D$72,$A48+1)*(1+Assumptions!$B$24)))*INDEX(Surface_Engine!$B$12:$B$72,$A48+1)+J49</f>
        <v>2103.97445307272</v>
      </c>
      <c r="K48" s="12" t="n">
        <f aca="false">SQRT((IF(C48&lt;=0,0,MAX(0,(B48/C48)*G48/INDEX(Surface_Engine!$B$12:$B$72,$A48+1)-F48/INDEX(Surface_Engine!$B$12:$B$72,$A48+1))))^2+(MAX(IF(D48&lt;=0,0,MAX(0,(B48/D48)*H48/INDEX(Surface_Engine!$B$12:$B$72,$A48+1)-F48/INDEX(Surface_Engine!$B$12:$B$72,$A48+1))),IF(E48&lt;=0,0,MAX(0,(B48/E48)*I48/INDEX(Surface_Engine!$B$12:$B$72,$A48+1)-F48/INDEX(Surface_Engine!$B$12:$B$72,$A48+1))),IF($A48&lt;$Q$6,MAX(0,-Assumptions!$B$22*(F48/INDEX(Surface_Engine!$B$12:$B$72,$A48+1))),0)))^2+(MAX(0,J48/INDEX(Surface_Engine!$B$12:$B$72,$A48+1)-(F48/INDEX(Surface_Engine!$B$12:$B$72,$A48+1))))^2+2*Assumptions!$B$26*(IF(C48&lt;=0,0,MAX(0,(B48/C48)*G48/INDEX(Surface_Engine!$B$12:$B$72,$A48+1)-F48/INDEX(Surface_Engine!$B$12:$B$72,$A48+1))))*(MAX(IF(D48&lt;=0,0,MAX(0,(B48/D48)*H48/INDEX(Surface_Engine!$B$12:$B$72,$A48+1)-F48/INDEX(Surface_Engine!$B$12:$B$72,$A48+1))),IF(E48&lt;=0,0,MAX(0,(B48/E48)*I48/INDEX(Surface_Engine!$B$12:$B$72,$A48+1)-F48/INDEX(Surface_Engine!$B$12:$B$72,$A48+1))),IF($A48&lt;$Q$6,MAX(0,-Assumptions!$B$22*(F48/INDEX(Surface_Engine!$B$12:$B$72,$A48+1))),0)))+2*Assumptions!$B$27*(IF(C48&lt;=0,0,MAX(0,(B48/C48)*G48/INDEX(Surface_Engine!$B$12:$B$72,$A48+1)-F48/INDEX(Surface_Engine!$B$12:$B$72,$A48+1))))*(MAX(0,J48/INDEX(Surface_Engine!$B$12:$B$72,$A48+1)-(F48/INDEX(Surface_Engine!$B$12:$B$72,$A48+1))))+2*Assumptions!$B$28*(MAX(IF(D48&lt;=0,0,MAX(0,(B48/D48)*H48/INDEX(Surface_Engine!$B$12:$B$72,$A48+1)-F48/INDEX(Surface_Engine!$B$12:$B$72,$A48+1))),IF(E48&lt;=0,0,MAX(0,(B48/E48)*I48/INDEX(Surface_Engine!$B$12:$B$72,$A48+1)-F48/INDEX(Surface_Engine!$B$12:$B$72,$A48+1))),IF($A48&lt;$Q$6,MAX(0,-Assumptions!$B$22*(F48/INDEX(Surface_Engine!$B$12:$B$72,$A48+1))),0)))*(MAX(0,J48/INDEX(Surface_Engine!$B$12:$B$72,$A48+1)-(F48/INDEX(Surface_Engine!$B$12:$B$72,$A48+1)))))</f>
        <v>1361.01701510135</v>
      </c>
      <c r="L48" s="48" t="n">
        <f aca="false">K48*INDEX(Surface_Engine!$B$12:$B$72,$A48+1)+L49</f>
        <v>1388.32269424309</v>
      </c>
      <c r="M48" s="48" t="n">
        <f aca="false">M47+B47*(IF($A47&lt;$Q$6,(Surface_Engine!B236*12)-(Surface_Engine!B236*12)*INDEX(Surface_Engine!$F$12:$F$72,$A47+1)-INDEX(Surface_Engine!$D$12:$D$72,$A47+1),-(1000*12*INDEX(Surface_Engine!$C$12:$C$72,$A47+1)/(1+Assumptions!$B$10)^15+INDEX(Surface_Engine!$D$12:$D$72,$A47+1))))*INDEX(Surface_Engine!$B$12:$B$72,$A47+1)</f>
        <v>5202.8277536964</v>
      </c>
      <c r="N48" s="12" t="n">
        <f aca="false">IF(B48&lt;=0,0,MAX(0,(K48+Assumptions!$B$29*L48/INDEX(Surface_Engine!$B$12:$B$72,$A48+1)-(M48/INDEX(Surface_Engine!$B$12:$B$72,$A48+1)-(F48/INDEX(Surface_Engine!$B$12:$B$72,$A48+1))))/B48))</f>
        <v>0</v>
      </c>
    </row>
    <row r="49" customFormat="false" ht="15" hidden="false" customHeight="true" outlineLevel="0" collapsed="false">
      <c r="A49" s="1" t="n">
        <v>41</v>
      </c>
      <c r="B49" s="32" t="n">
        <f aca="false">INDEX(Surface_Engine!$G$12:$G$72,$A49+1)*IF($A49&lt;$Q$6,INDEX(Surface_Engine!$E$12:$E$72,$A49+1),INDEX(Surface_Engine!$E$12:$E$72,$Q$6+1))</f>
        <v>0.0725749122353797</v>
      </c>
      <c r="C49" s="32" t="n">
        <f aca="false">INDEX(Panel_Reserving!$B$8:$B$68,$A49+1)*IF($A49&lt;$Q$6,INDEX(Surface_Engine!$E$12:$E$72,$A49+1),INDEX(Surface_Engine!$E$12:$E$72,$Q$6+1))</f>
        <v>0.121232985669479</v>
      </c>
      <c r="D49" s="32" t="n">
        <f aca="false">INDEX(Surface_Engine!$G$12:$G$72,$A49+1)*IF($A49&lt;$Q$6,INDEX(Surface_Engine!$Y$12:$Y$72,$A49+1),INDEX(Surface_Engine!$Y$12:$Y$72,$Q$6+1))</f>
        <v>0.0657440782162952</v>
      </c>
      <c r="E49" s="32" t="n">
        <f aca="false">INDEX(Surface_Engine!$G$12:$G$72,$A49+1)*IF($A49&lt;$Q$6,INDEX(Surface_Engine!$Z$12:$Z$72,$A49+1),INDEX(Surface_Engine!$Z$12:$Z$72,$Q$6+1))</f>
        <v>0.080041965394697</v>
      </c>
      <c r="F49" s="48" t="n">
        <f aca="false">B49*(IF($A49&lt;$Q$6,INDEX(Surface_Engine!$D$12:$D$72,$A49+1)+(Surface_Engine!B236*12)*INDEX(Surface_Engine!$F$12:$F$72,$A49+1)-(Surface_Engine!B236*12),1000*12*INDEX(Surface_Engine!$C$12:$C$72,$A49+1)/(1+Assumptions!$B$10)^15+INDEX(Surface_Engine!$D$12:$D$72,$A49+1)))*INDEX(Surface_Engine!$B$12:$B$72,$A49+1)+F50</f>
        <v>1587.91829993252</v>
      </c>
      <c r="G49" s="48" t="n">
        <f aca="false">C49*(IF($A49&lt;$Q$6,INDEX(Surface_Engine!$D$12:$D$72,$A49+1)+(Surface_Engine!B236*12)*INDEX(Surface_Engine!$F$12:$F$72,$A49+1)-(Surface_Engine!B236*12),1000*12*INDEX(Surface_Engine!$C$12:$C$72,$A49+1)/(1+Assumptions!$B$10)^15+INDEX(Surface_Engine!$D$12:$D$72,$A49+1)))*INDEX(Surface_Engine!$B$12:$B$72,$A49+1)+G50</f>
        <v>3136.92713625137</v>
      </c>
      <c r="H49" s="48" t="n">
        <f aca="false">D49*(IF($A49&lt;$Q$6,INDEX(Surface_Engine!$D$12:$D$72,$A49+1)+(Surface_Engine!B236*12)*INDEX(Surface_Engine!$F$12:$F$72,$A49+1)-(Surface_Engine!B236*12),1000*12*INDEX(Surface_Engine!$C$12:$C$72,$A49+1)/(1+Assumptions!$B$10)^15+INDEX(Surface_Engine!$D$12:$D$72,$A49+1)))*INDEX(Surface_Engine!$B$12:$B$72,$A49+1)+H50</f>
        <v>1438.46160741146</v>
      </c>
      <c r="I49" s="48" t="n">
        <f aca="false">E49*(IF($A49&lt;$Q$6,INDEX(Surface_Engine!$D$12:$D$72,$A49+1)+(Surface_Engine!B236*12)*INDEX(Surface_Engine!$F$12:$F$72,$A49+1)-(Surface_Engine!B236*12),1000*12*INDEX(Surface_Engine!$C$12:$C$72,$A49+1)/(1+Assumptions!$B$10)^15+INDEX(Surface_Engine!$D$12:$D$72,$A49+1)))*INDEX(Surface_Engine!$B$12:$B$72,$A49+1)+I50</f>
        <v>1751.29528507847</v>
      </c>
      <c r="J49" s="48" t="n">
        <f aca="false">B49*(IF($A49&lt;$Q$6,INDEX(Surface_Engine!$D$12:$D$72,$A49+1)*(1+Assumptions!$B$24)+(Surface_Engine!B236*12)*INDEX(Surface_Engine!$F$12:$F$72,$A49+1)-(Surface_Engine!B236*12),1000*12*INDEX(Surface_Engine!$C$12:$C$72,$A49+1)/(1+Assumptions!$B$10)^15+INDEX(Surface_Engine!$D$12:$D$72,$A49+1)*(1+Assumptions!$B$24)))*INDEX(Surface_Engine!$B$12:$B$72,$A49+1)+J50</f>
        <v>1589.70429003656</v>
      </c>
      <c r="K49" s="12" t="n">
        <f aca="false">SQRT((IF(C49&lt;=0,0,MAX(0,(B49/C49)*G49/INDEX(Surface_Engine!$B$12:$B$72,$A49+1)-F49/INDEX(Surface_Engine!$B$12:$B$72,$A49+1))))^2+(MAX(IF(D49&lt;=0,0,MAX(0,(B49/D49)*H49/INDEX(Surface_Engine!$B$12:$B$72,$A49+1)-F49/INDEX(Surface_Engine!$B$12:$B$72,$A49+1))),IF(E49&lt;=0,0,MAX(0,(B49/E49)*I49/INDEX(Surface_Engine!$B$12:$B$72,$A49+1)-F49/INDEX(Surface_Engine!$B$12:$B$72,$A49+1))),IF($A49&lt;$Q$6,MAX(0,-Assumptions!$B$22*(F49/INDEX(Surface_Engine!$B$12:$B$72,$A49+1))),0)))^2+(MAX(0,J49/INDEX(Surface_Engine!$B$12:$B$72,$A49+1)-(F49/INDEX(Surface_Engine!$B$12:$B$72,$A49+1))))^2+2*Assumptions!$B$26*(IF(C49&lt;=0,0,MAX(0,(B49/C49)*G49/INDEX(Surface_Engine!$B$12:$B$72,$A49+1)-F49/INDEX(Surface_Engine!$B$12:$B$72,$A49+1))))*(MAX(IF(D49&lt;=0,0,MAX(0,(B49/D49)*H49/INDEX(Surface_Engine!$B$12:$B$72,$A49+1)-F49/INDEX(Surface_Engine!$B$12:$B$72,$A49+1))),IF(E49&lt;=0,0,MAX(0,(B49/E49)*I49/INDEX(Surface_Engine!$B$12:$B$72,$A49+1)-F49/INDEX(Surface_Engine!$B$12:$B$72,$A49+1))),IF($A49&lt;$Q$6,MAX(0,-Assumptions!$B$22*(F49/INDEX(Surface_Engine!$B$12:$B$72,$A49+1))),0)))+2*Assumptions!$B$27*(IF(C49&lt;=0,0,MAX(0,(B49/C49)*G49/INDEX(Surface_Engine!$B$12:$B$72,$A49+1)-F49/INDEX(Surface_Engine!$B$12:$B$72,$A49+1))))*(MAX(0,J49/INDEX(Surface_Engine!$B$12:$B$72,$A49+1)-(F49/INDEX(Surface_Engine!$B$12:$B$72,$A49+1))))+2*Assumptions!$B$28*(MAX(IF(D49&lt;=0,0,MAX(0,(B49/D49)*H49/INDEX(Surface_Engine!$B$12:$B$72,$A49+1)-F49/INDEX(Surface_Engine!$B$12:$B$72,$A49+1))),IF(E49&lt;=0,0,MAX(0,(B49/E49)*I49/INDEX(Surface_Engine!$B$12:$B$72,$A49+1)-F49/INDEX(Surface_Engine!$B$12:$B$72,$A49+1))),IF($A49&lt;$Q$6,MAX(0,-Assumptions!$B$22*(F49/INDEX(Surface_Engine!$B$12:$B$72,$A49+1))),0)))*(MAX(0,J49/INDEX(Surface_Engine!$B$12:$B$72,$A49+1)-(F49/INDEX(Surface_Engine!$B$12:$B$72,$A49+1)))))</f>
        <v>1057.83206266973</v>
      </c>
      <c r="L49" s="48" t="n">
        <f aca="false">K49*INDEX(Surface_Engine!$B$12:$B$72,$A49+1)+L50</f>
        <v>1002.39376665644</v>
      </c>
      <c r="M49" s="48" t="n">
        <f aca="false">M48+B48*(IF($A48&lt;$Q$6,(Surface_Engine!B236*12)-(Surface_Engine!B236*12)*INDEX(Surface_Engine!$F$12:$F$72,$A48+1)-INDEX(Surface_Engine!$D$12:$D$72,$A48+1),-(1000*12*INDEX(Surface_Engine!$C$12:$C$72,$A48+1)/(1+Assumptions!$B$10)^15+INDEX(Surface_Engine!$D$12:$D$72,$A48+1))))*INDEX(Surface_Engine!$B$12:$B$72,$A48+1)</f>
        <v>4689.12574216667</v>
      </c>
      <c r="N49" s="12" t="n">
        <f aca="false">IF(B49&lt;=0,0,MAX(0,(K49+Assumptions!$B$29*L49/INDEX(Surface_Engine!$B$12:$B$72,$A49+1)-(M49/INDEX(Surface_Engine!$B$12:$B$72,$A49+1)-(F49/INDEX(Surface_Engine!$B$12:$B$72,$A49+1))))/B49))</f>
        <v>0</v>
      </c>
    </row>
    <row r="50" customFormat="false" ht="15" hidden="false" customHeight="true" outlineLevel="0" collapsed="false">
      <c r="A50" s="1" t="n">
        <v>42</v>
      </c>
      <c r="B50" s="32" t="n">
        <f aca="false">INDEX(Surface_Engine!$G$12:$G$72,$A50+1)*IF($A50&lt;$Q$6,INDEX(Surface_Engine!$E$12:$E$72,$A50+1),INDEX(Surface_Engine!$E$12:$E$72,$Q$6+1))</f>
        <v>0.0570261098921752</v>
      </c>
      <c r="C50" s="32" t="n">
        <f aca="false">INDEX(Panel_Reserving!$B$8:$B$68,$A50+1)*IF($A50&lt;$Q$6,INDEX(Surface_Engine!$E$12:$E$72,$A50+1),INDEX(Surface_Engine!$E$12:$E$72,$Q$6+1))</f>
        <v>0.100454149858695</v>
      </c>
      <c r="D50" s="32" t="n">
        <f aca="false">INDEX(Surface_Engine!$G$12:$G$72,$A50+1)*IF($A50&lt;$Q$6,INDEX(Surface_Engine!$Y$12:$Y$72,$A50+1),INDEX(Surface_Engine!$Y$12:$Y$72,$Q$6+1))</f>
        <v>0.0516587469918364</v>
      </c>
      <c r="E50" s="32" t="n">
        <f aca="false">INDEX(Surface_Engine!$G$12:$G$72,$A50+1)*IF($A50&lt;$Q$6,INDEX(Surface_Engine!$Z$12:$Z$72,$A50+1),INDEX(Surface_Engine!$Z$12:$Z$72,$Q$6+1))</f>
        <v>0.0628933852483328</v>
      </c>
      <c r="F50" s="48" t="n">
        <f aca="false">B50*(IF($A50&lt;$Q$6,INDEX(Surface_Engine!$D$12:$D$72,$A50+1)+(Surface_Engine!B236*12)*INDEX(Surface_Engine!$F$12:$F$72,$A50+1)-(Surface_Engine!B236*12),1000*12*INDEX(Surface_Engine!$C$12:$C$72,$A50+1)/(1+Assumptions!$B$10)^15+INDEX(Surface_Engine!$D$12:$D$72,$A50+1)))*INDEX(Surface_Engine!$B$12:$B$72,$A50+1)+F51</f>
        <v>1183.30457735613</v>
      </c>
      <c r="G50" s="48" t="n">
        <f aca="false">C50*(IF($A50&lt;$Q$6,INDEX(Surface_Engine!$D$12:$D$72,$A50+1)+(Surface_Engine!B236*12)*INDEX(Surface_Engine!$F$12:$F$72,$A50+1)-(Surface_Engine!B236*12),1000*12*INDEX(Surface_Engine!$C$12:$C$72,$A50+1)/(1+Assumptions!$B$10)^15+INDEX(Surface_Engine!$D$12:$D$72,$A50+1)))*INDEX(Surface_Engine!$B$12:$B$72,$A50+1)+G51</f>
        <v>2461.03889719038</v>
      </c>
      <c r="H50" s="48" t="n">
        <f aca="false">D50*(IF($A50&lt;$Q$6,INDEX(Surface_Engine!$D$12:$D$72,$A50+1)+(Surface_Engine!B236*12)*INDEX(Surface_Engine!$F$12:$F$72,$A50+1)-(Surface_Engine!B236*12),1000*12*INDEX(Surface_Engine!$C$12:$C$72,$A50+1)/(1+Assumptions!$B$10)^15+INDEX(Surface_Engine!$D$12:$D$72,$A50+1)))*INDEX(Surface_Engine!$B$12:$B$72,$A50+1)+H51</f>
        <v>1071.93059269698</v>
      </c>
      <c r="I50" s="48" t="n">
        <f aca="false">E50*(IF($A50&lt;$Q$6,INDEX(Surface_Engine!$D$12:$D$72,$A50+1)+(Surface_Engine!B236*12)*INDEX(Surface_Engine!$F$12:$F$72,$A50+1)-(Surface_Engine!B236*12),1000*12*INDEX(Surface_Engine!$C$12:$C$72,$A50+1)/(1+Assumptions!$B$10)^15+INDEX(Surface_Engine!$D$12:$D$72,$A50+1)))*INDEX(Surface_Engine!$B$12:$B$72,$A50+1)+I51</f>
        <v>1305.05185765769</v>
      </c>
      <c r="J50" s="48" t="n">
        <f aca="false">B50*(IF($A50&lt;$Q$6,INDEX(Surface_Engine!$D$12:$D$72,$A50+1)*(1+Assumptions!$B$24)+(Surface_Engine!B236*12)*INDEX(Surface_Engine!$F$12:$F$72,$A50+1)-(Surface_Engine!B236*12),1000*12*INDEX(Surface_Engine!$C$12:$C$72,$A50+1)/(1+Assumptions!$B$10)^15+INDEX(Surface_Engine!$D$12:$D$72,$A50+1)*(1+Assumptions!$B$24)))*INDEX(Surface_Engine!$B$12:$B$72,$A50+1)+J51</f>
        <v>1184.64089773083</v>
      </c>
      <c r="K50" s="12" t="n">
        <f aca="false">SQRT((IF(C50&lt;=0,0,MAX(0,(B50/C50)*G50/INDEX(Surface_Engine!$B$12:$B$72,$A50+1)-F50/INDEX(Surface_Engine!$B$12:$B$72,$A50+1))))^2+(MAX(IF(D50&lt;=0,0,MAX(0,(B50/D50)*H50/INDEX(Surface_Engine!$B$12:$B$72,$A50+1)-F50/INDEX(Surface_Engine!$B$12:$B$72,$A50+1))),IF(E50&lt;=0,0,MAX(0,(B50/E50)*I50/INDEX(Surface_Engine!$B$12:$B$72,$A50+1)-F50/INDEX(Surface_Engine!$B$12:$B$72,$A50+1))),IF($A50&lt;$Q$6,MAX(0,-Assumptions!$B$22*(F50/INDEX(Surface_Engine!$B$12:$B$72,$A50+1))),0)))^2+(MAX(0,J50/INDEX(Surface_Engine!$B$12:$B$72,$A50+1)-(F50/INDEX(Surface_Engine!$B$12:$B$72,$A50+1))))^2+2*Assumptions!$B$26*(IF(C50&lt;=0,0,MAX(0,(B50/C50)*G50/INDEX(Surface_Engine!$B$12:$B$72,$A50+1)-F50/INDEX(Surface_Engine!$B$12:$B$72,$A50+1))))*(MAX(IF(D50&lt;=0,0,MAX(0,(B50/D50)*H50/INDEX(Surface_Engine!$B$12:$B$72,$A50+1)-F50/INDEX(Surface_Engine!$B$12:$B$72,$A50+1))),IF(E50&lt;=0,0,MAX(0,(B50/E50)*I50/INDEX(Surface_Engine!$B$12:$B$72,$A50+1)-F50/INDEX(Surface_Engine!$B$12:$B$72,$A50+1))),IF($A50&lt;$Q$6,MAX(0,-Assumptions!$B$22*(F50/INDEX(Surface_Engine!$B$12:$B$72,$A50+1))),0)))+2*Assumptions!$B$27*(IF(C50&lt;=0,0,MAX(0,(B50/C50)*G50/INDEX(Surface_Engine!$B$12:$B$72,$A50+1)-F50/INDEX(Surface_Engine!$B$12:$B$72,$A50+1))))*(MAX(0,J50/INDEX(Surface_Engine!$B$12:$B$72,$A50+1)-(F50/INDEX(Surface_Engine!$B$12:$B$72,$A50+1))))+2*Assumptions!$B$28*(MAX(IF(D50&lt;=0,0,MAX(0,(B50/D50)*H50/INDEX(Surface_Engine!$B$12:$B$72,$A50+1)-F50/INDEX(Surface_Engine!$B$12:$B$72,$A50+1))),IF(E50&lt;=0,0,MAX(0,(B50/E50)*I50/INDEX(Surface_Engine!$B$12:$B$72,$A50+1)-F50/INDEX(Surface_Engine!$B$12:$B$72,$A50+1))),IF($A50&lt;$Q$6,MAX(0,-Assumptions!$B$22*(F50/INDEX(Surface_Engine!$B$12:$B$72,$A50+1))),0)))*(MAX(0,J50/INDEX(Surface_Engine!$B$12:$B$72,$A50+1)-(F50/INDEX(Surface_Engine!$B$12:$B$72,$A50+1)))))</f>
        <v>805.226656896917</v>
      </c>
      <c r="L50" s="48" t="n">
        <f aca="false">K50*INDEX(Surface_Engine!$B$12:$B$72,$A50+1)+L51</f>
        <v>711.970419487271</v>
      </c>
      <c r="M50" s="48" t="n">
        <f aca="false">M49+B49*(IF($A49&lt;$Q$6,(Surface_Engine!B236*12)-(Surface_Engine!B236*12)*INDEX(Surface_Engine!$F$12:$F$72,$A49+1)-INDEX(Surface_Engine!$D$12:$D$72,$A49+1),-(1000*12*INDEX(Surface_Engine!$C$12:$C$72,$A49+1)/(1+Assumptions!$B$10)^15+INDEX(Surface_Engine!$D$12:$D$72,$A49+1))))*INDEX(Surface_Engine!$B$12:$B$72,$A49+1)</f>
        <v>4284.51201959029</v>
      </c>
      <c r="N50" s="12" t="n">
        <f aca="false">IF(B50&lt;=0,0,MAX(0,(K50+Assumptions!$B$29*L50/INDEX(Surface_Engine!$B$12:$B$72,$A50+1)-(M50/INDEX(Surface_Engine!$B$12:$B$72,$A50+1)-(F50/INDEX(Surface_Engine!$B$12:$B$72,$A50+1))))/B50))</f>
        <v>0</v>
      </c>
    </row>
    <row r="51" customFormat="false" ht="15" hidden="false" customHeight="true" outlineLevel="0" collapsed="false">
      <c r="A51" s="1" t="n">
        <v>43</v>
      </c>
      <c r="B51" s="32" t="n">
        <f aca="false">INDEX(Surface_Engine!$G$12:$G$72,$A51+1)*IF($A51&lt;$Q$6,INDEX(Surface_Engine!$E$12:$E$72,$A51+1),INDEX(Surface_Engine!$E$12:$E$72,$Q$6+1))</f>
        <v>0.04406410230244</v>
      </c>
      <c r="C51" s="32" t="n">
        <f aca="false">INDEX(Panel_Reserving!$B$8:$B$68,$A51+1)*IF($A51&lt;$Q$6,INDEX(Surface_Engine!$E$12:$E$72,$A51+1),INDEX(Surface_Engine!$E$12:$E$72,$Q$6+1))</f>
        <v>0.0821876055637986</v>
      </c>
      <c r="D51" s="32" t="n">
        <f aca="false">INDEX(Surface_Engine!$G$12:$G$72,$A51+1)*IF($A51&lt;$Q$6,INDEX(Surface_Engine!$Y$12:$Y$72,$A51+1),INDEX(Surface_Engine!$Y$12:$Y$72,$Q$6+1))</f>
        <v>0.0399167384303113</v>
      </c>
      <c r="E51" s="32" t="n">
        <f aca="false">INDEX(Surface_Engine!$G$12:$G$72,$A51+1)*IF($A51&lt;$Q$6,INDEX(Surface_Engine!$Z$12:$Z$72,$A51+1),INDEX(Surface_Engine!$Z$12:$Z$72,$Q$6+1))</f>
        <v>0.0485977487675269</v>
      </c>
      <c r="F51" s="48" t="n">
        <f aca="false">B51*(IF($A51&lt;$Q$6,INDEX(Surface_Engine!$D$12:$D$72,$A51+1)+(Surface_Engine!B236*12)*INDEX(Surface_Engine!$F$12:$F$72,$A51+1)-(Surface_Engine!B236*12),1000*12*INDEX(Surface_Engine!$C$12:$C$72,$A51+1)/(1+Assumptions!$B$10)^15+INDEX(Surface_Engine!$D$12:$D$72,$A51+1)))*INDEX(Surface_Engine!$B$12:$B$72,$A51+1)+F52</f>
        <v>869.193970233402</v>
      </c>
      <c r="G51" s="48" t="n">
        <f aca="false">C51*(IF($A51&lt;$Q$6,INDEX(Surface_Engine!$D$12:$D$72,$A51+1)+(Surface_Engine!B236*12)*INDEX(Surface_Engine!$F$12:$F$72,$A51+1)-(Surface_Engine!B236*12),1000*12*INDEX(Surface_Engine!$C$12:$C$72,$A51+1)/(1+Assumptions!$B$10)^15+INDEX(Surface_Engine!$D$12:$D$72,$A51+1)))*INDEX(Surface_Engine!$B$12:$B$72,$A51+1)+G52</f>
        <v>1907.71842592249</v>
      </c>
      <c r="H51" s="48" t="n">
        <f aca="false">D51*(IF($A51&lt;$Q$6,INDEX(Surface_Engine!$D$12:$D$72,$A51+1)+(Surface_Engine!B236*12)*INDEX(Surface_Engine!$F$12:$F$72,$A51+1)-(Surface_Engine!B236*12),1000*12*INDEX(Surface_Engine!$C$12:$C$72,$A51+1)/(1+Assumptions!$B$10)^15+INDEX(Surface_Engine!$D$12:$D$72,$A51+1)))*INDEX(Surface_Engine!$B$12:$B$72,$A51+1)+H52</f>
        <v>787.384436357603</v>
      </c>
      <c r="I51" s="48" t="n">
        <f aca="false">E51*(IF($A51&lt;$Q$6,INDEX(Surface_Engine!$D$12:$D$72,$A51+1)+(Surface_Engine!B236*12)*INDEX(Surface_Engine!$F$12:$F$72,$A51+1)-(Surface_Engine!B236*12),1000*12*INDEX(Surface_Engine!$C$12:$C$72,$A51+1)/(1+Assumptions!$B$10)^15+INDEX(Surface_Engine!$D$12:$D$72,$A51+1)))*INDEX(Surface_Engine!$B$12:$B$72,$A51+1)+I52</f>
        <v>958.623187322099</v>
      </c>
      <c r="J51" s="48" t="n">
        <f aca="false">B51*(IF($A51&lt;$Q$6,INDEX(Surface_Engine!$D$12:$D$72,$A51+1)*(1+Assumptions!$B$24)+(Surface_Engine!B236*12)*INDEX(Surface_Engine!$F$12:$F$72,$A51+1)-(Surface_Engine!B236*12),1000*12*INDEX(Surface_Engine!$C$12:$C$72,$A51+1)/(1+Assumptions!$B$10)^15+INDEX(Surface_Engine!$D$12:$D$72,$A51+1)*(1+Assumptions!$B$24)))*INDEX(Surface_Engine!$B$12:$B$72,$A51+1)+J52</f>
        <v>870.179509914939</v>
      </c>
      <c r="K51" s="12" t="n">
        <f aca="false">SQRT((IF(C51&lt;=0,0,MAX(0,(B51/C51)*G51/INDEX(Surface_Engine!$B$12:$B$72,$A51+1)-F51/INDEX(Surface_Engine!$B$12:$B$72,$A51+1))))^2+(MAX(IF(D51&lt;=0,0,MAX(0,(B51/D51)*H51/INDEX(Surface_Engine!$B$12:$B$72,$A51+1)-F51/INDEX(Surface_Engine!$B$12:$B$72,$A51+1))),IF(E51&lt;=0,0,MAX(0,(B51/E51)*I51/INDEX(Surface_Engine!$B$12:$B$72,$A51+1)-F51/INDEX(Surface_Engine!$B$12:$B$72,$A51+1))),IF($A51&lt;$Q$6,MAX(0,-Assumptions!$B$22*(F51/INDEX(Surface_Engine!$B$12:$B$72,$A51+1))),0)))^2+(MAX(0,J51/INDEX(Surface_Engine!$B$12:$B$72,$A51+1)-(F51/INDEX(Surface_Engine!$B$12:$B$72,$A51+1))))^2+2*Assumptions!$B$26*(IF(C51&lt;=0,0,MAX(0,(B51/C51)*G51/INDEX(Surface_Engine!$B$12:$B$72,$A51+1)-F51/INDEX(Surface_Engine!$B$12:$B$72,$A51+1))))*(MAX(IF(D51&lt;=0,0,MAX(0,(B51/D51)*H51/INDEX(Surface_Engine!$B$12:$B$72,$A51+1)-F51/INDEX(Surface_Engine!$B$12:$B$72,$A51+1))),IF(E51&lt;=0,0,MAX(0,(B51/E51)*I51/INDEX(Surface_Engine!$B$12:$B$72,$A51+1)-F51/INDEX(Surface_Engine!$B$12:$B$72,$A51+1))),IF($A51&lt;$Q$6,MAX(0,-Assumptions!$B$22*(F51/INDEX(Surface_Engine!$B$12:$B$72,$A51+1))),0)))+2*Assumptions!$B$27*(IF(C51&lt;=0,0,MAX(0,(B51/C51)*G51/INDEX(Surface_Engine!$B$12:$B$72,$A51+1)-F51/INDEX(Surface_Engine!$B$12:$B$72,$A51+1))))*(MAX(0,J51/INDEX(Surface_Engine!$B$12:$B$72,$A51+1)-(F51/INDEX(Surface_Engine!$B$12:$B$72,$A51+1))))+2*Assumptions!$B$28*(MAX(IF(D51&lt;=0,0,MAX(0,(B51/D51)*H51/INDEX(Surface_Engine!$B$12:$B$72,$A51+1)-F51/INDEX(Surface_Engine!$B$12:$B$72,$A51+1))),IF(E51&lt;=0,0,MAX(0,(B51/E51)*I51/INDEX(Surface_Engine!$B$12:$B$72,$A51+1)-F51/INDEX(Surface_Engine!$B$12:$B$72,$A51+1))),IF($A51&lt;$Q$6,MAX(0,-Assumptions!$B$22*(F51/INDEX(Surface_Engine!$B$12:$B$72,$A51+1))),0)))*(MAX(0,J51/INDEX(Surface_Engine!$B$12:$B$72,$A51+1)-(F51/INDEX(Surface_Engine!$B$12:$B$72,$A51+1)))))</f>
        <v>597.640026996424</v>
      </c>
      <c r="L51" s="48" t="n">
        <f aca="false">K51*INDEX(Surface_Engine!$B$12:$B$72,$A51+1)+L52</f>
        <v>497.847143061666</v>
      </c>
      <c r="M51" s="48" t="n">
        <f aca="false">M50+B50*(IF($A50&lt;$Q$6,(Surface_Engine!B236*12)-(Surface_Engine!B236*12)*INDEX(Surface_Engine!$F$12:$F$72,$A50+1)-INDEX(Surface_Engine!$D$12:$D$72,$A50+1),-(1000*12*INDEX(Surface_Engine!$C$12:$C$72,$A50+1)/(1+Assumptions!$B$10)^15+INDEX(Surface_Engine!$D$12:$D$72,$A50+1))))*INDEX(Surface_Engine!$B$12:$B$72,$A50+1)</f>
        <v>3970.40141246756</v>
      </c>
      <c r="N51" s="12" t="n">
        <f aca="false">IF(B51&lt;=0,0,MAX(0,(K51+Assumptions!$B$29*L51/INDEX(Surface_Engine!$B$12:$B$72,$A51+1)-(M51/INDEX(Surface_Engine!$B$12:$B$72,$A51+1)-(F51/INDEX(Surface_Engine!$B$12:$B$72,$A51+1))))/B51))</f>
        <v>0</v>
      </c>
    </row>
    <row r="52" customFormat="false" ht="15" hidden="false" customHeight="true" outlineLevel="0" collapsed="false">
      <c r="A52" s="1" t="n">
        <v>44</v>
      </c>
      <c r="B52" s="32" t="n">
        <f aca="false">INDEX(Surface_Engine!$G$12:$G$72,$A52+1)*IF($A52&lt;$Q$6,INDEX(Surface_Engine!$E$12:$E$72,$A52+1),INDEX(Surface_Engine!$E$12:$E$72,$Q$6+1))</f>
        <v>0.0333898800428091</v>
      </c>
      <c r="C52" s="32" t="n">
        <f aca="false">INDEX(Panel_Reserving!$B$8:$B$68,$A52+1)*IF($A52&lt;$Q$6,INDEX(Surface_Engine!$E$12:$E$72,$A52+1),INDEX(Surface_Engine!$E$12:$E$72,$Q$6+1))</f>
        <v>0.0662601049828772</v>
      </c>
      <c r="D52" s="32" t="n">
        <f aca="false">INDEX(Surface_Engine!$G$12:$G$72,$A52+1)*IF($A52&lt;$Q$6,INDEX(Surface_Engine!$Y$12:$Y$72,$A52+1),INDEX(Surface_Engine!$Y$12:$Y$72,$Q$6+1))</f>
        <v>0.0302471862183943</v>
      </c>
      <c r="E52" s="32" t="n">
        <f aca="false">INDEX(Surface_Engine!$G$12:$G$72,$A52+1)*IF($A52&lt;$Q$6,INDEX(Surface_Engine!$Z$12:$Z$72,$A52+1),INDEX(Surface_Engine!$Z$12:$Z$72,$Q$6+1))</f>
        <v>0.0368252821891356</v>
      </c>
      <c r="F52" s="48" t="n">
        <f aca="false">B52*(IF($A52&lt;$Q$6,INDEX(Surface_Engine!$D$12:$D$72,$A52+1)+(Surface_Engine!B236*12)*INDEX(Surface_Engine!$F$12:$F$72,$A52+1)-(Surface_Engine!B236*12),1000*12*INDEX(Surface_Engine!$C$12:$C$72,$A52+1)/(1+Assumptions!$B$10)^15+INDEX(Surface_Engine!$D$12:$D$72,$A52+1)))*INDEX(Surface_Engine!$B$12:$B$72,$A52+1)+F53</f>
        <v>629.498788986039</v>
      </c>
      <c r="G52" s="48" t="n">
        <f aca="false">C52*(IF($A52&lt;$Q$6,INDEX(Surface_Engine!$D$12:$D$72,$A52+1)+(Surface_Engine!B236*12)*INDEX(Surface_Engine!$F$12:$F$72,$A52+1)-(Surface_Engine!B236*12),1000*12*INDEX(Surface_Engine!$C$12:$C$72,$A52+1)/(1+Assumptions!$B$10)^15+INDEX(Surface_Engine!$D$12:$D$72,$A52+1)))*INDEX(Surface_Engine!$B$12:$B$72,$A52+1)+G53</f>
        <v>1460.64309742293</v>
      </c>
      <c r="H52" s="48" t="n">
        <f aca="false">D52*(IF($A52&lt;$Q$6,INDEX(Surface_Engine!$D$12:$D$72,$A52+1)+(Surface_Engine!B236*12)*INDEX(Surface_Engine!$F$12:$F$72,$A52+1)-(Surface_Engine!B236*12),1000*12*INDEX(Surface_Engine!$C$12:$C$72,$A52+1)/(1+Assumptions!$B$10)^15+INDEX(Surface_Engine!$D$12:$D$72,$A52+1)))*INDEX(Surface_Engine!$B$12:$B$72,$A52+1)+H53</f>
        <v>570.249640618732</v>
      </c>
      <c r="I52" s="48" t="n">
        <f aca="false">E52*(IF($A52&lt;$Q$6,INDEX(Surface_Engine!$D$12:$D$72,$A52+1)+(Surface_Engine!B236*12)*INDEX(Surface_Engine!$F$12:$F$72,$A52+1)-(Surface_Engine!B236*12),1000*12*INDEX(Surface_Engine!$C$12:$C$72,$A52+1)/(1+Assumptions!$B$10)^15+INDEX(Surface_Engine!$D$12:$D$72,$A52+1)))*INDEX(Surface_Engine!$B$12:$B$72,$A52+1)+I53</f>
        <v>694.26636191592</v>
      </c>
      <c r="J52" s="48" t="n">
        <f aca="false">B52*(IF($A52&lt;$Q$6,INDEX(Surface_Engine!$D$12:$D$72,$A52+1)*(1+Assumptions!$B$24)+(Surface_Engine!B236*12)*INDEX(Surface_Engine!$F$12:$F$72,$A52+1)-(Surface_Engine!B236*12),1000*12*INDEX(Surface_Engine!$C$12:$C$72,$A52+1)/(1+Assumptions!$B$10)^15+INDEX(Surface_Engine!$D$12:$D$72,$A52+1)*(1+Assumptions!$B$24)))*INDEX(Surface_Engine!$B$12:$B$72,$A52+1)+J53</f>
        <v>630.215353428049</v>
      </c>
      <c r="K52" s="12" t="n">
        <f aca="false">SQRT((IF(C52&lt;=0,0,MAX(0,(B52/C52)*G52/INDEX(Surface_Engine!$B$12:$B$72,$A52+1)-F52/INDEX(Surface_Engine!$B$12:$B$72,$A52+1))))^2+(MAX(IF(D52&lt;=0,0,MAX(0,(B52/D52)*H52/INDEX(Surface_Engine!$B$12:$B$72,$A52+1)-F52/INDEX(Surface_Engine!$B$12:$B$72,$A52+1))),IF(E52&lt;=0,0,MAX(0,(B52/E52)*I52/INDEX(Surface_Engine!$B$12:$B$72,$A52+1)-F52/INDEX(Surface_Engine!$B$12:$B$72,$A52+1))),IF($A52&lt;$Q$6,MAX(0,-Assumptions!$B$22*(F52/INDEX(Surface_Engine!$B$12:$B$72,$A52+1))),0)))^2+(MAX(0,J52/INDEX(Surface_Engine!$B$12:$B$72,$A52+1)-(F52/INDEX(Surface_Engine!$B$12:$B$72,$A52+1))))^2+2*Assumptions!$B$26*(IF(C52&lt;=0,0,MAX(0,(B52/C52)*G52/INDEX(Surface_Engine!$B$12:$B$72,$A52+1)-F52/INDEX(Surface_Engine!$B$12:$B$72,$A52+1))))*(MAX(IF(D52&lt;=0,0,MAX(0,(B52/D52)*H52/INDEX(Surface_Engine!$B$12:$B$72,$A52+1)-F52/INDEX(Surface_Engine!$B$12:$B$72,$A52+1))),IF(E52&lt;=0,0,MAX(0,(B52/E52)*I52/INDEX(Surface_Engine!$B$12:$B$72,$A52+1)-F52/INDEX(Surface_Engine!$B$12:$B$72,$A52+1))),IF($A52&lt;$Q$6,MAX(0,-Assumptions!$B$22*(F52/INDEX(Surface_Engine!$B$12:$B$72,$A52+1))),0)))+2*Assumptions!$B$27*(IF(C52&lt;=0,0,MAX(0,(B52/C52)*G52/INDEX(Surface_Engine!$B$12:$B$72,$A52+1)-F52/INDEX(Surface_Engine!$B$12:$B$72,$A52+1))))*(MAX(0,J52/INDEX(Surface_Engine!$B$12:$B$72,$A52+1)-(F52/INDEX(Surface_Engine!$B$12:$B$72,$A52+1))))+2*Assumptions!$B$28*(MAX(IF(D52&lt;=0,0,MAX(0,(B52/D52)*H52/INDEX(Surface_Engine!$B$12:$B$72,$A52+1)-F52/INDEX(Surface_Engine!$B$12:$B$72,$A52+1))),IF(E52&lt;=0,0,MAX(0,(B52/E52)*I52/INDEX(Surface_Engine!$B$12:$B$72,$A52+1)-F52/INDEX(Surface_Engine!$B$12:$B$72,$A52+1))),IF($A52&lt;$Q$6,MAX(0,-Assumptions!$B$22*(F52/INDEX(Surface_Engine!$B$12:$B$72,$A52+1))),0)))*(MAX(0,J52/INDEX(Surface_Engine!$B$12:$B$72,$A52+1)-(F52/INDEX(Surface_Engine!$B$12:$B$72,$A52+1)))))</f>
        <v>428.052150749843</v>
      </c>
      <c r="L52" s="48" t="n">
        <f aca="false">K52*INDEX(Surface_Engine!$B$12:$B$72,$A52+1)+L53</f>
        <v>343.986696521993</v>
      </c>
      <c r="M52" s="48" t="n">
        <f aca="false">M51+B51*(IF($A51&lt;$Q$6,(Surface_Engine!B236*12)-(Surface_Engine!B236*12)*INDEX(Surface_Engine!$F$12:$F$72,$A51+1)-INDEX(Surface_Engine!$D$12:$D$72,$A51+1),-(1000*12*INDEX(Surface_Engine!$C$12:$C$72,$A51+1)/(1+Assumptions!$B$10)^15+INDEX(Surface_Engine!$D$12:$D$72,$A51+1))))*INDEX(Surface_Engine!$B$12:$B$72,$A51+1)</f>
        <v>3730.7062312202</v>
      </c>
      <c r="N52" s="12" t="n">
        <f aca="false">IF(B52&lt;=0,0,MAX(0,(K52+Assumptions!$B$29*L52/INDEX(Surface_Engine!$B$12:$B$72,$A52+1)-(M52/INDEX(Surface_Engine!$B$12:$B$72,$A52+1)-(F52/INDEX(Surface_Engine!$B$12:$B$72,$A52+1))))/B52))</f>
        <v>0</v>
      </c>
    </row>
    <row r="53" customFormat="false" ht="15" hidden="false" customHeight="true" outlineLevel="0" collapsed="false">
      <c r="A53" s="1" t="n">
        <v>45</v>
      </c>
      <c r="B53" s="32" t="n">
        <f aca="false">INDEX(Surface_Engine!$G$12:$G$72,$A53+1)*IF($A53&lt;$Q$6,INDEX(Surface_Engine!$E$12:$E$72,$A53+1),INDEX(Surface_Engine!$E$12:$E$72,$Q$6+1))</f>
        <v>0.0255898738793981</v>
      </c>
      <c r="C53" s="32" t="n">
        <f aca="false">INDEX(Panel_Reserving!$B$8:$B$68,$A53+1)*IF($A53&lt;$Q$6,INDEX(Surface_Engine!$E$12:$E$72,$A53+1),INDEX(Surface_Engine!$E$12:$E$72,$Q$6+1))</f>
        <v>0.0538772098879065</v>
      </c>
      <c r="D53" s="32" t="n">
        <f aca="false">INDEX(Surface_Engine!$G$12:$G$72,$A53+1)*IF($A53&lt;$Q$6,INDEX(Surface_Engine!$Y$12:$Y$72,$A53+1),INDEX(Surface_Engine!$Y$12:$Y$72,$Q$6+1))</f>
        <v>0.0231813255855669</v>
      </c>
      <c r="E53" s="32" t="n">
        <f aca="false">INDEX(Surface_Engine!$G$12:$G$72,$A53+1)*IF($A53&lt;$Q$6,INDEX(Surface_Engine!$Z$12:$Z$72,$A53+1),INDEX(Surface_Engine!$Z$12:$Z$72,$Q$6+1))</f>
        <v>0.028222752689888</v>
      </c>
      <c r="F53" s="48" t="n">
        <f aca="false">B53*(IF($A53&lt;$Q$6,INDEX(Surface_Engine!$D$12:$D$72,$A53+1)+(Surface_Engine!B236*12)*INDEX(Surface_Engine!$F$12:$F$72,$A53+1)-(Surface_Engine!B236*12),1000*12*INDEX(Surface_Engine!$C$12:$C$72,$A53+1)/(1+Assumptions!$B$10)^15+INDEX(Surface_Engine!$D$12:$D$72,$A53+1)))*INDEX(Surface_Engine!$B$12:$B$72,$A53+1)+F54</f>
        <v>450.057162599234</v>
      </c>
      <c r="G53" s="48" t="n">
        <f aca="false">C53*(IF($A53&lt;$Q$6,INDEX(Surface_Engine!$D$12:$D$72,$A53+1)+(Surface_Engine!B236*12)*INDEX(Surface_Engine!$F$12:$F$72,$A53+1)-(Surface_Engine!B236*12),1000*12*INDEX(Surface_Engine!$C$12:$C$72,$A53+1)/(1+Assumptions!$B$10)^15+INDEX(Surface_Engine!$D$12:$D$72,$A53+1)))*INDEX(Surface_Engine!$B$12:$B$72,$A53+1)+G54</f>
        <v>1104.55253982153</v>
      </c>
      <c r="H53" s="48" t="n">
        <f aca="false">D53*(IF($A53&lt;$Q$6,INDEX(Surface_Engine!$D$12:$D$72,$A53+1)+(Surface_Engine!B236*12)*INDEX(Surface_Engine!$F$12:$F$72,$A53+1)-(Surface_Engine!B236*12),1000*12*INDEX(Surface_Engine!$C$12:$C$72,$A53+1)/(1+Assumptions!$B$10)^15+INDEX(Surface_Engine!$D$12:$D$72,$A53+1)))*INDEX(Surface_Engine!$B$12:$B$72,$A53+1)+H54</f>
        <v>407.697266016172</v>
      </c>
      <c r="I53" s="48" t="n">
        <f aca="false">E53*(IF($A53&lt;$Q$6,INDEX(Surface_Engine!$D$12:$D$72,$A53+1)+(Surface_Engine!B236*12)*INDEX(Surface_Engine!$F$12:$F$72,$A53+1)-(Surface_Engine!B236*12),1000*12*INDEX(Surface_Engine!$C$12:$C$72,$A53+1)/(1+Assumptions!$B$10)^15+INDEX(Surface_Engine!$D$12:$D$72,$A53+1)))*INDEX(Surface_Engine!$B$12:$B$72,$A53+1)+I54</f>
        <v>496.362430554098</v>
      </c>
      <c r="J53" s="48" t="n">
        <f aca="false">B53*(IF($A53&lt;$Q$6,INDEX(Surface_Engine!$D$12:$D$72,$A53+1)*(1+Assumptions!$B$24)+(Surface_Engine!B236*12)*INDEX(Surface_Engine!$F$12:$F$72,$A53+1)-(Surface_Engine!B236*12),1000*12*INDEX(Surface_Engine!$C$12:$C$72,$A53+1)/(1+Assumptions!$B$10)^15+INDEX(Surface_Engine!$D$12:$D$72,$A53+1)*(1+Assumptions!$B$24)))*INDEX(Surface_Engine!$B$12:$B$72,$A53+1)+J54</f>
        <v>450.571389717519</v>
      </c>
      <c r="K53" s="12" t="n">
        <f aca="false">SQRT((IF(C53&lt;=0,0,MAX(0,(B53/C53)*G53/INDEX(Surface_Engine!$B$12:$B$72,$A53+1)-F53/INDEX(Surface_Engine!$B$12:$B$72,$A53+1))))^2+(MAX(IF(D53&lt;=0,0,MAX(0,(B53/D53)*H53/INDEX(Surface_Engine!$B$12:$B$72,$A53+1)-F53/INDEX(Surface_Engine!$B$12:$B$72,$A53+1))),IF(E53&lt;=0,0,MAX(0,(B53/E53)*I53/INDEX(Surface_Engine!$B$12:$B$72,$A53+1)-F53/INDEX(Surface_Engine!$B$12:$B$72,$A53+1))),IF($A53&lt;$Q$6,MAX(0,-Assumptions!$B$22*(F53/INDEX(Surface_Engine!$B$12:$B$72,$A53+1))),0)))^2+(MAX(0,J53/INDEX(Surface_Engine!$B$12:$B$72,$A53+1)-(F53/INDEX(Surface_Engine!$B$12:$B$72,$A53+1))))^2+2*Assumptions!$B$26*(IF(C53&lt;=0,0,MAX(0,(B53/C53)*G53/INDEX(Surface_Engine!$B$12:$B$72,$A53+1)-F53/INDEX(Surface_Engine!$B$12:$B$72,$A53+1))))*(MAX(IF(D53&lt;=0,0,MAX(0,(B53/D53)*H53/INDEX(Surface_Engine!$B$12:$B$72,$A53+1)-F53/INDEX(Surface_Engine!$B$12:$B$72,$A53+1))),IF(E53&lt;=0,0,MAX(0,(B53/E53)*I53/INDEX(Surface_Engine!$B$12:$B$72,$A53+1)-F53/INDEX(Surface_Engine!$B$12:$B$72,$A53+1))),IF($A53&lt;$Q$6,MAX(0,-Assumptions!$B$22*(F53/INDEX(Surface_Engine!$B$12:$B$72,$A53+1))),0)))+2*Assumptions!$B$27*(IF(C53&lt;=0,0,MAX(0,(B53/C53)*G53/INDEX(Surface_Engine!$B$12:$B$72,$A53+1)-F53/INDEX(Surface_Engine!$B$12:$B$72,$A53+1))))*(MAX(0,J53/INDEX(Surface_Engine!$B$12:$B$72,$A53+1)-(F53/INDEX(Surface_Engine!$B$12:$B$72,$A53+1))))+2*Assumptions!$B$28*(MAX(IF(D53&lt;=0,0,MAX(0,(B53/D53)*H53/INDEX(Surface_Engine!$B$12:$B$72,$A53+1)-F53/INDEX(Surface_Engine!$B$12:$B$72,$A53+1))),IF(E53&lt;=0,0,MAX(0,(B53/E53)*I53/INDEX(Surface_Engine!$B$12:$B$72,$A53+1)-F53/INDEX(Surface_Engine!$B$12:$B$72,$A53+1))),IF($A53&lt;$Q$6,MAX(0,-Assumptions!$B$22*(F53/INDEX(Surface_Engine!$B$12:$B$72,$A53+1))),0)))*(MAX(0,J53/INDEX(Surface_Engine!$B$12:$B$72,$A53+1)-(F53/INDEX(Surface_Engine!$B$12:$B$72,$A53+1)))))</f>
        <v>309.458963417908</v>
      </c>
      <c r="L53" s="48" t="n">
        <f aca="false">K53*INDEX(Surface_Engine!$B$12:$B$72,$A53+1)+L54</f>
        <v>237.254881108563</v>
      </c>
      <c r="M53" s="48" t="n">
        <f aca="false">M52+B52*(IF($A52&lt;$Q$6,(Surface_Engine!B236*12)-(Surface_Engine!B236*12)*INDEX(Surface_Engine!$F$12:$F$72,$A52+1)-INDEX(Surface_Engine!$D$12:$D$72,$A52+1),-(1000*12*INDEX(Surface_Engine!$C$12:$C$72,$A52+1)/(1+Assumptions!$B$10)^15+INDEX(Surface_Engine!$D$12:$D$72,$A52+1))))*INDEX(Surface_Engine!$B$12:$B$72,$A52+1)</f>
        <v>3551.26460483339</v>
      </c>
      <c r="N53" s="12" t="n">
        <f aca="false">IF(B53&lt;=0,0,MAX(0,(K53+Assumptions!$B$29*L53/INDEX(Surface_Engine!$B$12:$B$72,$A53+1)-(M53/INDEX(Surface_Engine!$B$12:$B$72,$A53+1)-(F53/INDEX(Surface_Engine!$B$12:$B$72,$A53+1))))/B53))</f>
        <v>0</v>
      </c>
    </row>
    <row r="54" customFormat="false" ht="15" hidden="false" customHeight="true" outlineLevel="0" collapsed="false">
      <c r="A54" s="1" t="n">
        <v>46</v>
      </c>
      <c r="B54" s="32" t="n">
        <f aca="false">INDEX(Surface_Engine!$G$12:$G$72,$A54+1)*IF($A54&lt;$Q$6,INDEX(Surface_Engine!$E$12:$E$72,$A54+1),INDEX(Surface_Engine!$E$12:$E$72,$Q$6+1))</f>
        <v>0.0225139022001389</v>
      </c>
      <c r="C54" s="32" t="n">
        <f aca="false">INDEX(Panel_Reserving!$B$8:$B$68,$A54+1)*IF($A54&lt;$Q$6,INDEX(Surface_Engine!$E$12:$E$72,$A54+1),INDEX(Surface_Engine!$E$12:$E$72,$Q$6+1))</f>
        <v>0.0486962614376329</v>
      </c>
      <c r="D54" s="32" t="n">
        <f aca="false">INDEX(Surface_Engine!$G$12:$G$72,$A54+1)*IF($A54&lt;$Q$6,INDEX(Surface_Engine!$Y$12:$Y$72,$A54+1),INDEX(Surface_Engine!$Y$12:$Y$72,$Q$6+1))</f>
        <v>0.0203948678904277</v>
      </c>
      <c r="E54" s="32" t="n">
        <f aca="false">INDEX(Surface_Engine!$G$12:$G$72,$A54+1)*IF($A54&lt;$Q$6,INDEX(Surface_Engine!$Z$12:$Z$72,$A54+1),INDEX(Surface_Engine!$Z$12:$Z$72,$Q$6+1))</f>
        <v>0.024830301894938</v>
      </c>
      <c r="F54" s="48" t="n">
        <f aca="false">B54*(IF($A54&lt;$Q$6,INDEX(Surface_Engine!$D$12:$D$72,$A54+1)+(Surface_Engine!B236*12)*INDEX(Surface_Engine!$F$12:$F$72,$A54+1)-(Surface_Engine!B236*12),1000*12*INDEX(Surface_Engine!$C$12:$C$72,$A54+1)/(1+Assumptions!$B$10)^15+INDEX(Surface_Engine!$D$12:$D$72,$A54+1)))*INDEX(Surface_Engine!$B$12:$B$72,$A54+1)+F55</f>
        <v>314.253091337889</v>
      </c>
      <c r="G54" s="48" t="n">
        <f aca="false">C54*(IF($A54&lt;$Q$6,INDEX(Surface_Engine!$D$12:$D$72,$A54+1)+(Surface_Engine!B236*12)*INDEX(Surface_Engine!$F$12:$F$72,$A54+1)-(Surface_Engine!B236*12),1000*12*INDEX(Surface_Engine!$C$12:$C$72,$A54+1)/(1+Assumptions!$B$10)^15+INDEX(Surface_Engine!$D$12:$D$72,$A54+1)))*INDEX(Surface_Engine!$B$12:$B$72,$A54+1)+G55</f>
        <v>818.629112239876</v>
      </c>
      <c r="H54" s="48" t="n">
        <f aca="false">D54*(IF($A54&lt;$Q$6,INDEX(Surface_Engine!$D$12:$D$72,$A54+1)+(Surface_Engine!B236*12)*INDEX(Surface_Engine!$F$12:$F$72,$A54+1)-(Surface_Engine!B236*12),1000*12*INDEX(Surface_Engine!$C$12:$C$72,$A54+1)/(1+Assumptions!$B$10)^15+INDEX(Surface_Engine!$D$12:$D$72,$A54+1)))*INDEX(Surface_Engine!$B$12:$B$72,$A54+1)+H55</f>
        <v>284.675229776703</v>
      </c>
      <c r="I54" s="48" t="n">
        <f aca="false">E54*(IF($A54&lt;$Q$6,INDEX(Surface_Engine!$D$12:$D$72,$A54+1)+(Surface_Engine!B236*12)*INDEX(Surface_Engine!$F$12:$F$72,$A54+1)-(Surface_Engine!B236*12),1000*12*INDEX(Surface_Engine!$C$12:$C$72,$A54+1)/(1+Assumptions!$B$10)^15+INDEX(Surface_Engine!$D$12:$D$72,$A54+1)))*INDEX(Surface_Engine!$B$12:$B$72,$A54+1)+I55</f>
        <v>346.585814399122</v>
      </c>
      <c r="J54" s="48" t="n">
        <f aca="false">B54*(IF($A54&lt;$Q$6,INDEX(Surface_Engine!$D$12:$D$72,$A54+1)*(1+Assumptions!$B$24)+(Surface_Engine!B236*12)*INDEX(Surface_Engine!$F$12:$F$72,$A54+1)-(Surface_Engine!B236*12),1000*12*INDEX(Surface_Engine!$C$12:$C$72,$A54+1)/(1+Assumptions!$B$10)^15+INDEX(Surface_Engine!$D$12:$D$72,$A54+1)*(1+Assumptions!$B$24)))*INDEX(Surface_Engine!$B$12:$B$72,$A54+1)+J55</f>
        <v>314.613444442077</v>
      </c>
      <c r="K54" s="12" t="n">
        <f aca="false">SQRT((IF(C54&lt;=0,0,MAX(0,(B54/C54)*G54/INDEX(Surface_Engine!$B$12:$B$72,$A54+1)-F54/INDEX(Surface_Engine!$B$12:$B$72,$A54+1))))^2+(MAX(IF(D54&lt;=0,0,MAX(0,(B54/D54)*H54/INDEX(Surface_Engine!$B$12:$B$72,$A54+1)-F54/INDEX(Surface_Engine!$B$12:$B$72,$A54+1))),IF(E54&lt;=0,0,MAX(0,(B54/E54)*I54/INDEX(Surface_Engine!$B$12:$B$72,$A54+1)-F54/INDEX(Surface_Engine!$B$12:$B$72,$A54+1))),IF($A54&lt;$Q$6,MAX(0,-Assumptions!$B$22*(F54/INDEX(Surface_Engine!$B$12:$B$72,$A54+1))),0)))^2+(MAX(0,J54/INDEX(Surface_Engine!$B$12:$B$72,$A54+1)-(F54/INDEX(Surface_Engine!$B$12:$B$72,$A54+1))))^2+2*Assumptions!$B$26*(IF(C54&lt;=0,0,MAX(0,(B54/C54)*G54/INDEX(Surface_Engine!$B$12:$B$72,$A54+1)-F54/INDEX(Surface_Engine!$B$12:$B$72,$A54+1))))*(MAX(IF(D54&lt;=0,0,MAX(0,(B54/D54)*H54/INDEX(Surface_Engine!$B$12:$B$72,$A54+1)-F54/INDEX(Surface_Engine!$B$12:$B$72,$A54+1))),IF(E54&lt;=0,0,MAX(0,(B54/E54)*I54/INDEX(Surface_Engine!$B$12:$B$72,$A54+1)-F54/INDEX(Surface_Engine!$B$12:$B$72,$A54+1))),IF($A54&lt;$Q$6,MAX(0,-Assumptions!$B$22*(F54/INDEX(Surface_Engine!$B$12:$B$72,$A54+1))),0)))+2*Assumptions!$B$27*(IF(C54&lt;=0,0,MAX(0,(B54/C54)*G54/INDEX(Surface_Engine!$B$12:$B$72,$A54+1)-F54/INDEX(Surface_Engine!$B$12:$B$72,$A54+1))))*(MAX(0,J54/INDEX(Surface_Engine!$B$12:$B$72,$A54+1)-(F54/INDEX(Surface_Engine!$B$12:$B$72,$A54+1))))+2*Assumptions!$B$28*(MAX(IF(D54&lt;=0,0,MAX(0,(B54/D54)*H54/INDEX(Surface_Engine!$B$12:$B$72,$A54+1)-F54/INDEX(Surface_Engine!$B$12:$B$72,$A54+1))),IF(E54&lt;=0,0,MAX(0,(B54/E54)*I54/INDEX(Surface_Engine!$B$12:$B$72,$A54+1)-F54/INDEX(Surface_Engine!$B$12:$B$72,$A54+1))),IF($A54&lt;$Q$6,MAX(0,-Assumptions!$B$22*(F54/INDEX(Surface_Engine!$B$12:$B$72,$A54+1))),0)))*(MAX(0,J54/INDEX(Surface_Engine!$B$12:$B$72,$A54+1)-(F54/INDEX(Surface_Engine!$B$12:$B$72,$A54+1)))))</f>
        <v>275.125241493122</v>
      </c>
      <c r="L54" s="48" t="n">
        <f aca="false">K54*INDEX(Surface_Engine!$B$12:$B$72,$A54+1)+L55</f>
        <v>162.556290228177</v>
      </c>
      <c r="M54" s="48" t="n">
        <f aca="false">M53+B53*(IF($A53&lt;$Q$6,(Surface_Engine!B236*12)-(Surface_Engine!B236*12)*INDEX(Surface_Engine!$F$12:$F$72,$A53+1)-INDEX(Surface_Engine!$D$12:$D$72,$A53+1),-(1000*12*INDEX(Surface_Engine!$C$12:$C$72,$A53+1)/(1+Assumptions!$B$10)^15+INDEX(Surface_Engine!$D$12:$D$72,$A53+1))))*INDEX(Surface_Engine!$B$12:$B$72,$A53+1)</f>
        <v>3415.46053357205</v>
      </c>
      <c r="N54" s="12" t="n">
        <f aca="false">IF(B54&lt;=0,0,MAX(0,(K54+Assumptions!$B$29*L54/INDEX(Surface_Engine!$B$12:$B$72,$A54+1)-(M54/INDEX(Surface_Engine!$B$12:$B$72,$A54+1)-(F54/INDEX(Surface_Engine!$B$12:$B$72,$A54+1))))/B54))</f>
        <v>0</v>
      </c>
    </row>
    <row r="55" customFormat="false" ht="15" hidden="false" customHeight="true" outlineLevel="0" collapsed="false">
      <c r="A55" s="1" t="n">
        <v>47</v>
      </c>
      <c r="B55" s="32" t="n">
        <f aca="false">INDEX(Surface_Engine!$G$12:$G$72,$A55+1)*IF($A55&lt;$Q$6,INDEX(Surface_Engine!$E$12:$E$72,$A55+1),INDEX(Surface_Engine!$E$12:$E$72,$Q$6+1))</f>
        <v>0.0150829321224582</v>
      </c>
      <c r="C55" s="32" t="n">
        <f aca="false">INDEX(Panel_Reserving!$B$8:$B$68,$A55+1)*IF($A55&lt;$Q$6,INDEX(Surface_Engine!$E$12:$E$72,$A55+1),INDEX(Surface_Engine!$E$12:$E$72,$Q$6+1))</f>
        <v>0.0358380564611279</v>
      </c>
      <c r="D55" s="32" t="n">
        <f aca="false">INDEX(Surface_Engine!$G$12:$G$72,$A55+1)*IF($A55&lt;$Q$6,INDEX(Surface_Engine!$Y$12:$Y$72,$A55+1),INDEX(Surface_Engine!$Y$12:$Y$72,$Q$6+1))</f>
        <v>0.0136633092434738</v>
      </c>
      <c r="E55" s="32" t="n">
        <f aca="false">INDEX(Surface_Engine!$G$12:$G$72,$A55+1)*IF($A55&lt;$Q$6,INDEX(Surface_Engine!$Z$12:$Z$72,$A55+1),INDEX(Surface_Engine!$Z$12:$Z$72,$Q$6+1))</f>
        <v>0.016634777691234</v>
      </c>
      <c r="F55" s="48" t="n">
        <f aca="false">B55*(IF($A55&lt;$Q$6,INDEX(Surface_Engine!$D$12:$D$72,$A55+1)+(Surface_Engine!B236*12)*INDEX(Surface_Engine!$F$12:$F$72,$A55+1)-(Surface_Engine!B236*12),1000*12*INDEX(Surface_Engine!$C$12:$C$72,$A55+1)/(1+Assumptions!$B$10)^15+INDEX(Surface_Engine!$D$12:$D$72,$A55+1)))*INDEX(Surface_Engine!$B$12:$B$72,$A55+1)+F56</f>
        <v>196.218696140237</v>
      </c>
      <c r="G55" s="48" t="n">
        <f aca="false">C55*(IF($A55&lt;$Q$6,INDEX(Surface_Engine!$D$12:$D$72,$A55+1)+(Surface_Engine!B236*12)*INDEX(Surface_Engine!$F$12:$F$72,$A55+1)-(Surface_Engine!B236*12),1000*12*INDEX(Surface_Engine!$C$12:$C$72,$A55+1)/(1+Assumptions!$B$10)^15+INDEX(Surface_Engine!$D$12:$D$72,$A55+1)))*INDEX(Surface_Engine!$B$12:$B$72,$A55+1)+G56</f>
        <v>563.327578277351</v>
      </c>
      <c r="H55" s="48" t="n">
        <f aca="false">D55*(IF($A55&lt;$Q$6,INDEX(Surface_Engine!$D$12:$D$72,$A55+1)+(Surface_Engine!B236*12)*INDEX(Surface_Engine!$F$12:$F$72,$A55+1)-(Surface_Engine!B236*12),1000*12*INDEX(Surface_Engine!$C$12:$C$72,$A55+1)/(1+Assumptions!$B$10)^15+INDEX(Surface_Engine!$D$12:$D$72,$A55+1)))*INDEX(Surface_Engine!$B$12:$B$72,$A55+1)+H56</f>
        <v>177.750367299163</v>
      </c>
      <c r="I55" s="48" t="n">
        <f aca="false">E55*(IF($A55&lt;$Q$6,INDEX(Surface_Engine!$D$12:$D$72,$A55+1)+(Surface_Engine!B236*12)*INDEX(Surface_Engine!$F$12:$F$72,$A55+1)-(Surface_Engine!B236*12),1000*12*INDEX(Surface_Engine!$C$12:$C$72,$A55+1)/(1+Assumptions!$B$10)^15+INDEX(Surface_Engine!$D$12:$D$72,$A55+1)))*INDEX(Surface_Engine!$B$12:$B$72,$A55+1)+I56</f>
        <v>216.407152313345</v>
      </c>
      <c r="J55" s="48" t="n">
        <f aca="false">B55*(IF($A55&lt;$Q$6,INDEX(Surface_Engine!$D$12:$D$72,$A55+1)*(1+Assumptions!$B$24)+(Surface_Engine!B236*12)*INDEX(Surface_Engine!$F$12:$F$72,$A55+1)-(Surface_Engine!B236*12),1000*12*INDEX(Surface_Engine!$C$12:$C$72,$A55+1)/(1+Assumptions!$B$10)^15+INDEX(Surface_Engine!$D$12:$D$72,$A55+1)*(1+Assumptions!$B$24)))*INDEX(Surface_Engine!$B$12:$B$72,$A55+1)+J56</f>
        <v>196.4446611966</v>
      </c>
      <c r="K55" s="12" t="n">
        <f aca="false">SQRT((IF(C55&lt;=0,0,MAX(0,(B55/C55)*G55/INDEX(Surface_Engine!$B$12:$B$72,$A55+1)-F55/INDEX(Surface_Engine!$B$12:$B$72,$A55+1))))^2+(MAX(IF(D55&lt;=0,0,MAX(0,(B55/D55)*H55/INDEX(Surface_Engine!$B$12:$B$72,$A55+1)-F55/INDEX(Surface_Engine!$B$12:$B$72,$A55+1))),IF(E55&lt;=0,0,MAX(0,(B55/E55)*I55/INDEX(Surface_Engine!$B$12:$B$72,$A55+1)-F55/INDEX(Surface_Engine!$B$12:$B$72,$A55+1))),IF($A55&lt;$Q$6,MAX(0,-Assumptions!$B$22*(F55/INDEX(Surface_Engine!$B$12:$B$72,$A55+1))),0)))^2+(MAX(0,J55/INDEX(Surface_Engine!$B$12:$B$72,$A55+1)-(F55/INDEX(Surface_Engine!$B$12:$B$72,$A55+1))))^2+2*Assumptions!$B$26*(IF(C55&lt;=0,0,MAX(0,(B55/C55)*G55/INDEX(Surface_Engine!$B$12:$B$72,$A55+1)-F55/INDEX(Surface_Engine!$B$12:$B$72,$A55+1))))*(MAX(IF(D55&lt;=0,0,MAX(0,(B55/D55)*H55/INDEX(Surface_Engine!$B$12:$B$72,$A55+1)-F55/INDEX(Surface_Engine!$B$12:$B$72,$A55+1))),IF(E55&lt;=0,0,MAX(0,(B55/E55)*I55/INDEX(Surface_Engine!$B$12:$B$72,$A55+1)-F55/INDEX(Surface_Engine!$B$12:$B$72,$A55+1))),IF($A55&lt;$Q$6,MAX(0,-Assumptions!$B$22*(F55/INDEX(Surface_Engine!$B$12:$B$72,$A55+1))),0)))+2*Assumptions!$B$27*(IF(C55&lt;=0,0,MAX(0,(B55/C55)*G55/INDEX(Surface_Engine!$B$12:$B$72,$A55+1)-F55/INDEX(Surface_Engine!$B$12:$B$72,$A55+1))))*(MAX(0,J55/INDEX(Surface_Engine!$B$12:$B$72,$A55+1)-(F55/INDEX(Surface_Engine!$B$12:$B$72,$A55+1))))+2*Assumptions!$B$28*(MAX(IF(D55&lt;=0,0,MAX(0,(B55/D55)*H55/INDEX(Surface_Engine!$B$12:$B$72,$A55+1)-F55/INDEX(Surface_Engine!$B$12:$B$72,$A55+1))),IF(E55&lt;=0,0,MAX(0,(B55/E55)*I55/INDEX(Surface_Engine!$B$12:$B$72,$A55+1)-F55/INDEX(Surface_Engine!$B$12:$B$72,$A55+1))),IF($A55&lt;$Q$6,MAX(0,-Assumptions!$B$22*(F55/INDEX(Surface_Engine!$B$12:$B$72,$A55+1))),0)))*(MAX(0,J55/INDEX(Surface_Engine!$B$12:$B$72,$A55+1)-(F55/INDEX(Surface_Engine!$B$12:$B$72,$A55+1)))))</f>
        <v>180.751857284431</v>
      </c>
      <c r="L55" s="48" t="n">
        <f aca="false">K55*INDEX(Surface_Engine!$B$12:$B$72,$A55+1)+L56</f>
        <v>98.2388655748355</v>
      </c>
      <c r="M55" s="48" t="n">
        <f aca="false">M54+B54*(IF($A54&lt;$Q$6,(Surface_Engine!B236*12)-(Surface_Engine!B236*12)*INDEX(Surface_Engine!$F$12:$F$72,$A54+1)-INDEX(Surface_Engine!$D$12:$D$72,$A54+1),-(1000*12*INDEX(Surface_Engine!$C$12:$C$72,$A54+1)/(1+Assumptions!$B$10)^15+INDEX(Surface_Engine!$D$12:$D$72,$A54+1))))*INDEX(Surface_Engine!$B$12:$B$72,$A54+1)</f>
        <v>3297.42613837439</v>
      </c>
      <c r="N55" s="12" t="n">
        <f aca="false">IF(B55&lt;=0,0,MAX(0,(K55+Assumptions!$B$29*L55/INDEX(Surface_Engine!$B$12:$B$72,$A55+1)-(M55/INDEX(Surface_Engine!$B$12:$B$72,$A55+1)-(F55/INDEX(Surface_Engine!$B$12:$B$72,$A55+1))))/B55))</f>
        <v>0</v>
      </c>
    </row>
    <row r="56" customFormat="false" ht="15" hidden="false" customHeight="true" outlineLevel="0" collapsed="false">
      <c r="A56" s="1" t="n">
        <v>48</v>
      </c>
      <c r="B56" s="32" t="n">
        <f aca="false">INDEX(Surface_Engine!$G$12:$G$72,$A56+1)*IF($A56&lt;$Q$6,INDEX(Surface_Engine!$E$12:$E$72,$A56+1),INDEX(Surface_Engine!$E$12:$E$72,$Q$6+1))</f>
        <v>0.0097282503775445</v>
      </c>
      <c r="C56" s="32" t="n">
        <f aca="false">INDEX(Panel_Reserving!$B$8:$B$68,$A56+1)*IF($A56&lt;$Q$6,INDEX(Surface_Engine!$E$12:$E$72,$A56+1),INDEX(Surface_Engine!$E$12:$E$72,$Q$6+1))</f>
        <v>0.0256595906218578</v>
      </c>
      <c r="D56" s="32" t="n">
        <f aca="false">INDEX(Surface_Engine!$G$12:$G$72,$A56+1)*IF($A56&lt;$Q$6,INDEX(Surface_Engine!$Y$12:$Y$72,$A56+1),INDEX(Surface_Engine!$Y$12:$Y$72,$Q$6+1))</f>
        <v>0.00881261628887236</v>
      </c>
      <c r="E56" s="32" t="n">
        <f aca="false">INDEX(Surface_Engine!$G$12:$G$72,$A56+1)*IF($A56&lt;$Q$6,INDEX(Surface_Engine!$Z$12:$Z$72,$A56+1),INDEX(Surface_Engine!$Z$12:$Z$72,$Q$6+1))</f>
        <v>0.0107291659898249</v>
      </c>
      <c r="F56" s="48" t="n">
        <f aca="false">B56*(IF($A56&lt;$Q$6,INDEX(Surface_Engine!$D$12:$D$72,$A56+1)+(Surface_Engine!B236*12)*INDEX(Surface_Engine!$F$12:$F$72,$A56+1)-(Surface_Engine!B236*12),1000*12*INDEX(Surface_Engine!$C$12:$C$72,$A56+1)/(1+Assumptions!$B$10)^15+INDEX(Surface_Engine!$D$12:$D$72,$A56+1)))*INDEX(Surface_Engine!$B$12:$B$72,$A56+1)+F57</f>
        <v>118.101176907226</v>
      </c>
      <c r="G56" s="48" t="n">
        <f aca="false">C56*(IF($A56&lt;$Q$6,INDEX(Surface_Engine!$D$12:$D$72,$A56+1)+(Surface_Engine!B236*12)*INDEX(Surface_Engine!$F$12:$F$72,$A56+1)-(Surface_Engine!B236*12),1000*12*INDEX(Surface_Engine!$C$12:$C$72,$A56+1)/(1+Assumptions!$B$10)^15+INDEX(Surface_Engine!$D$12:$D$72,$A56+1)))*INDEX(Surface_Engine!$B$12:$B$72,$A56+1)+G57</f>
        <v>377.715122943987</v>
      </c>
      <c r="H56" s="48" t="n">
        <f aca="false">D56*(IF($A56&lt;$Q$6,INDEX(Surface_Engine!$D$12:$D$72,$A56+1)+(Surface_Engine!B236*12)*INDEX(Surface_Engine!$F$12:$F$72,$A56+1)-(Surface_Engine!B236*12),1000*12*INDEX(Surface_Engine!$C$12:$C$72,$A56+1)/(1+Assumptions!$B$10)^15+INDEX(Surface_Engine!$D$12:$D$72,$A56+1)))*INDEX(Surface_Engine!$B$12:$B$72,$A56+1)+H57</f>
        <v>106.985358615977</v>
      </c>
      <c r="I56" s="48" t="n">
        <f aca="false">E56*(IF($A56&lt;$Q$6,INDEX(Surface_Engine!$D$12:$D$72,$A56+1)+(Surface_Engine!B236*12)*INDEX(Surface_Engine!$F$12:$F$72,$A56+1)-(Surface_Engine!B236*12),1000*12*INDEX(Surface_Engine!$C$12:$C$72,$A56+1)/(1+Assumptions!$B$10)^15+INDEX(Surface_Engine!$D$12:$D$72,$A56+1)))*INDEX(Surface_Engine!$B$12:$B$72,$A56+1)+I57</f>
        <v>130.252314800222</v>
      </c>
      <c r="J56" s="48" t="n">
        <f aca="false">B56*(IF($A56&lt;$Q$6,INDEX(Surface_Engine!$D$12:$D$72,$A56+1)*(1+Assumptions!$B$24)+(Surface_Engine!B236*12)*INDEX(Surface_Engine!$F$12:$F$72,$A56+1)-(Surface_Engine!B236*12),1000*12*INDEX(Surface_Engine!$C$12:$C$72,$A56+1)/(1+Assumptions!$B$10)^15+INDEX(Surface_Engine!$D$12:$D$72,$A56+1)*(1+Assumptions!$B$24)))*INDEX(Surface_Engine!$B$12:$B$72,$A56+1)+J57</f>
        <v>118.237770274712</v>
      </c>
      <c r="K56" s="12" t="n">
        <f aca="false">SQRT((IF(C56&lt;=0,0,MAX(0,(B56/C56)*G56/INDEX(Surface_Engine!$B$12:$B$72,$A56+1)-F56/INDEX(Surface_Engine!$B$12:$B$72,$A56+1))))^2+(MAX(IF(D56&lt;=0,0,MAX(0,(B56/D56)*H56/INDEX(Surface_Engine!$B$12:$B$72,$A56+1)-F56/INDEX(Surface_Engine!$B$12:$B$72,$A56+1))),IF(E56&lt;=0,0,MAX(0,(B56/E56)*I56/INDEX(Surface_Engine!$B$12:$B$72,$A56+1)-F56/INDEX(Surface_Engine!$B$12:$B$72,$A56+1))),IF($A56&lt;$Q$6,MAX(0,-Assumptions!$B$22*(F56/INDEX(Surface_Engine!$B$12:$B$72,$A56+1))),0)))^2+(MAX(0,J56/INDEX(Surface_Engine!$B$12:$B$72,$A56+1)-(F56/INDEX(Surface_Engine!$B$12:$B$72,$A56+1))))^2+2*Assumptions!$B$26*(IF(C56&lt;=0,0,MAX(0,(B56/C56)*G56/INDEX(Surface_Engine!$B$12:$B$72,$A56+1)-F56/INDEX(Surface_Engine!$B$12:$B$72,$A56+1))))*(MAX(IF(D56&lt;=0,0,MAX(0,(B56/D56)*H56/INDEX(Surface_Engine!$B$12:$B$72,$A56+1)-F56/INDEX(Surface_Engine!$B$12:$B$72,$A56+1))),IF(E56&lt;=0,0,MAX(0,(B56/E56)*I56/INDEX(Surface_Engine!$B$12:$B$72,$A56+1)-F56/INDEX(Surface_Engine!$B$12:$B$72,$A56+1))),IF($A56&lt;$Q$6,MAX(0,-Assumptions!$B$22*(F56/INDEX(Surface_Engine!$B$12:$B$72,$A56+1))),0)))+2*Assumptions!$B$27*(IF(C56&lt;=0,0,MAX(0,(B56/C56)*G56/INDEX(Surface_Engine!$B$12:$B$72,$A56+1)-F56/INDEX(Surface_Engine!$B$12:$B$72,$A56+1))))*(MAX(0,J56/INDEX(Surface_Engine!$B$12:$B$72,$A56+1)-(F56/INDEX(Surface_Engine!$B$12:$B$72,$A56+1))))+2*Assumptions!$B$28*(MAX(IF(D56&lt;=0,0,MAX(0,(B56/D56)*H56/INDEX(Surface_Engine!$B$12:$B$72,$A56+1)-F56/INDEX(Surface_Engine!$B$12:$B$72,$A56+1))),IF(E56&lt;=0,0,MAX(0,(B56/E56)*I56/INDEX(Surface_Engine!$B$12:$B$72,$A56+1)-F56/INDEX(Surface_Engine!$B$12:$B$72,$A56+1))),IF($A56&lt;$Q$6,MAX(0,-Assumptions!$B$22*(F56/INDEX(Surface_Engine!$B$12:$B$72,$A56+1))),0)))*(MAX(0,J56/INDEX(Surface_Engine!$B$12:$B$72,$A56+1)-(F56/INDEX(Surface_Engine!$B$12:$B$72,$A56+1)))))</f>
        <v>114.693135055708</v>
      </c>
      <c r="L56" s="48" t="n">
        <f aca="false">K56*INDEX(Surface_Engine!$B$12:$B$72,$A56+1)+L57</f>
        <v>57.3164340119449</v>
      </c>
      <c r="M56" s="48" t="n">
        <f aca="false">M55+B55*(IF($A55&lt;$Q$6,(Surface_Engine!B236*12)-(Surface_Engine!B236*12)*INDEX(Surface_Engine!$F$12:$F$72,$A55+1)-INDEX(Surface_Engine!$D$12:$D$72,$A55+1),-(1000*12*INDEX(Surface_Engine!$C$12:$C$72,$A55+1)/(1+Assumptions!$B$10)^15+INDEX(Surface_Engine!$D$12:$D$72,$A55+1))))*INDEX(Surface_Engine!$B$12:$B$72,$A55+1)</f>
        <v>3219.30861914138</v>
      </c>
      <c r="N56" s="12" t="n">
        <f aca="false">IF(B56&lt;=0,0,MAX(0,(K56+Assumptions!$B$29*L56/INDEX(Surface_Engine!$B$12:$B$72,$A56+1)-(M56/INDEX(Surface_Engine!$B$12:$B$72,$A56+1)-(F56/INDEX(Surface_Engine!$B$12:$B$72,$A56+1))))/B56))</f>
        <v>0</v>
      </c>
    </row>
    <row r="57" customFormat="false" ht="15" hidden="false" customHeight="true" outlineLevel="0" collapsed="false">
      <c r="A57" s="1" t="n">
        <v>49</v>
      </c>
      <c r="B57" s="32" t="n">
        <f aca="false">INDEX(Surface_Engine!$G$12:$G$72,$A57+1)*IF($A57&lt;$Q$6,INDEX(Surface_Engine!$E$12:$E$72,$A57+1),INDEX(Surface_Engine!$E$12:$E$72,$Q$6+1))</f>
        <v>0.00601508824089604</v>
      </c>
      <c r="C57" s="32" t="n">
        <f aca="false">INDEX(Panel_Reserving!$B$8:$B$68,$A57+1)*IF($A57&lt;$Q$6,INDEX(Surface_Engine!$E$12:$E$72,$A57+1),INDEX(Surface_Engine!$E$12:$E$72,$Q$6+1))</f>
        <v>0.0178244123202046</v>
      </c>
      <c r="D57" s="32" t="n">
        <f aca="false">INDEX(Surface_Engine!$G$12:$G$72,$A57+1)*IF($A57&lt;$Q$6,INDEX(Surface_Engine!$Y$12:$Y$72,$A57+1),INDEX(Surface_Engine!$Y$12:$Y$72,$Q$6+1))</f>
        <v>0.00544894123336748</v>
      </c>
      <c r="E57" s="32" t="n">
        <f aca="false">INDEX(Surface_Engine!$G$12:$G$72,$A57+1)*IF($A57&lt;$Q$6,INDEX(Surface_Engine!$Z$12:$Z$72,$A57+1),INDEX(Surface_Engine!$Z$12:$Z$72,$Q$6+1))</f>
        <v>0.00663396578782416</v>
      </c>
      <c r="F57" s="48" t="n">
        <f aca="false">B57*(IF($A57&lt;$Q$6,INDEX(Surface_Engine!$D$12:$D$72,$A57+1)+(Surface_Engine!B236*12)*INDEX(Surface_Engine!$F$12:$F$72,$A57+1)-(Surface_Engine!B236*12),1000*12*INDEX(Surface_Engine!$C$12:$C$72,$A57+1)/(1+Assumptions!$B$10)^15+INDEX(Surface_Engine!$D$12:$D$72,$A57+1)))*INDEX(Surface_Engine!$B$12:$B$72,$A57+1)+F58</f>
        <v>68.351301293286</v>
      </c>
      <c r="G57" s="48" t="n">
        <f aca="false">C57*(IF($A57&lt;$Q$6,INDEX(Surface_Engine!$D$12:$D$72,$A57+1)+(Surface_Engine!B236*12)*INDEX(Surface_Engine!$F$12:$F$72,$A57+1)-(Surface_Engine!B236*12),1000*12*INDEX(Surface_Engine!$C$12:$C$72,$A57+1)/(1+Assumptions!$B$10)^15+INDEX(Surface_Engine!$D$12:$D$72,$A57+1)))*INDEX(Surface_Engine!$B$12:$B$72,$A57+1)+G58</f>
        <v>246.493023162438</v>
      </c>
      <c r="H57" s="48" t="n">
        <f aca="false">D57*(IF($A57&lt;$Q$6,INDEX(Surface_Engine!$D$12:$D$72,$A57+1)+(Surface_Engine!B236*12)*INDEX(Surface_Engine!$F$12:$F$72,$A57+1)-(Surface_Engine!B236*12),1000*12*INDEX(Surface_Engine!$C$12:$C$72,$A57+1)/(1+Assumptions!$B$10)^15+INDEX(Surface_Engine!$D$12:$D$72,$A57+1)))*INDEX(Surface_Engine!$B$12:$B$72,$A57+1)+H58</f>
        <v>61.9179983826521</v>
      </c>
      <c r="I57" s="48" t="n">
        <f aca="false">E57*(IF($A57&lt;$Q$6,INDEX(Surface_Engine!$D$12:$D$72,$A57+1)+(Surface_Engine!B236*12)*INDEX(Surface_Engine!$F$12:$F$72,$A57+1)-(Surface_Engine!B236*12),1000*12*INDEX(Surface_Engine!$C$12:$C$72,$A57+1)/(1+Assumptions!$B$10)^15+INDEX(Surface_Engine!$D$12:$D$72,$A57+1)))*INDEX(Surface_Engine!$B$12:$B$72,$A57+1)+I58</f>
        <v>75.3837975725812</v>
      </c>
      <c r="J57" s="48" t="n">
        <f aca="false">B57*(IF($A57&lt;$Q$6,INDEX(Surface_Engine!$D$12:$D$72,$A57+1)*(1+Assumptions!$B$24)+(Surface_Engine!B236*12)*INDEX(Surface_Engine!$F$12:$F$72,$A57+1)-(Surface_Engine!B236*12),1000*12*INDEX(Surface_Engine!$C$12:$C$72,$A57+1)/(1+Assumptions!$B$10)^15+INDEX(Surface_Engine!$D$12:$D$72,$A57+1)*(1+Assumptions!$B$24)))*INDEX(Surface_Engine!$B$12:$B$72,$A57+1)+J58</f>
        <v>68.4307016631532</v>
      </c>
      <c r="K57" s="12" t="n">
        <f aca="false">SQRT((IF(C57&lt;=0,0,MAX(0,(B57/C57)*G57/INDEX(Surface_Engine!$B$12:$B$72,$A57+1)-F57/INDEX(Surface_Engine!$B$12:$B$72,$A57+1))))^2+(MAX(IF(D57&lt;=0,0,MAX(0,(B57/D57)*H57/INDEX(Surface_Engine!$B$12:$B$72,$A57+1)-F57/INDEX(Surface_Engine!$B$12:$B$72,$A57+1))),IF(E57&lt;=0,0,MAX(0,(B57/E57)*I57/INDEX(Surface_Engine!$B$12:$B$72,$A57+1)-F57/INDEX(Surface_Engine!$B$12:$B$72,$A57+1))),IF($A57&lt;$Q$6,MAX(0,-Assumptions!$B$22*(F57/INDEX(Surface_Engine!$B$12:$B$72,$A57+1))),0)))^2+(MAX(0,J57/INDEX(Surface_Engine!$B$12:$B$72,$A57+1)-(F57/INDEX(Surface_Engine!$B$12:$B$72,$A57+1))))^2+2*Assumptions!$B$26*(IF(C57&lt;=0,0,MAX(0,(B57/C57)*G57/INDEX(Surface_Engine!$B$12:$B$72,$A57+1)-F57/INDEX(Surface_Engine!$B$12:$B$72,$A57+1))))*(MAX(IF(D57&lt;=0,0,MAX(0,(B57/D57)*H57/INDEX(Surface_Engine!$B$12:$B$72,$A57+1)-F57/INDEX(Surface_Engine!$B$12:$B$72,$A57+1))),IF(E57&lt;=0,0,MAX(0,(B57/E57)*I57/INDEX(Surface_Engine!$B$12:$B$72,$A57+1)-F57/INDEX(Surface_Engine!$B$12:$B$72,$A57+1))),IF($A57&lt;$Q$6,MAX(0,-Assumptions!$B$22*(F57/INDEX(Surface_Engine!$B$12:$B$72,$A57+1))),0)))+2*Assumptions!$B$27*(IF(C57&lt;=0,0,MAX(0,(B57/C57)*G57/INDEX(Surface_Engine!$B$12:$B$72,$A57+1)-F57/INDEX(Surface_Engine!$B$12:$B$72,$A57+1))))*(MAX(0,J57/INDEX(Surface_Engine!$B$12:$B$72,$A57+1)-(F57/INDEX(Surface_Engine!$B$12:$B$72,$A57+1))))+2*Assumptions!$B$28*(MAX(IF(D57&lt;=0,0,MAX(0,(B57/D57)*H57/INDEX(Surface_Engine!$B$12:$B$72,$A57+1)-F57/INDEX(Surface_Engine!$B$12:$B$72,$A57+1))),IF(E57&lt;=0,0,MAX(0,(B57/E57)*I57/INDEX(Surface_Engine!$B$12:$B$72,$A57+1)-F57/INDEX(Surface_Engine!$B$12:$B$72,$A57+1))),IF($A57&lt;$Q$6,MAX(0,-Assumptions!$B$22*(F57/INDEX(Surface_Engine!$B$12:$B$72,$A57+1))),0)))*(MAX(0,J57/INDEX(Surface_Engine!$B$12:$B$72,$A57+1)-(F57/INDEX(Surface_Engine!$B$12:$B$72,$A57+1)))))</f>
        <v>69.9764152046439</v>
      </c>
      <c r="L57" s="48" t="n">
        <f aca="false">K57*INDEX(Surface_Engine!$B$12:$B$72,$A57+1)+L58</f>
        <v>32.1810136450385</v>
      </c>
      <c r="M57" s="48" t="n">
        <f aca="false">M56+B56*(IF($A56&lt;$Q$6,(Surface_Engine!B236*12)-(Surface_Engine!B236*12)*INDEX(Surface_Engine!$F$12:$F$72,$A56+1)-INDEX(Surface_Engine!$D$12:$D$72,$A56+1),-(1000*12*INDEX(Surface_Engine!$C$12:$C$72,$A56+1)/(1+Assumptions!$B$10)^15+INDEX(Surface_Engine!$D$12:$D$72,$A56+1))))*INDEX(Surface_Engine!$B$12:$B$72,$A56+1)</f>
        <v>3169.55874352744</v>
      </c>
      <c r="N57" s="12" t="n">
        <f aca="false">IF(B57&lt;=0,0,MAX(0,(K57+Assumptions!$B$29*L57/INDEX(Surface_Engine!$B$12:$B$72,$A57+1)-(M57/INDEX(Surface_Engine!$B$12:$B$72,$A57+1)-(F57/INDEX(Surface_Engine!$B$12:$B$72,$A57+1))))/B57))</f>
        <v>0</v>
      </c>
    </row>
    <row r="58" customFormat="false" ht="15" hidden="false" customHeight="true" outlineLevel="0" collapsed="false">
      <c r="A58" s="1" t="n">
        <v>50</v>
      </c>
      <c r="B58" s="32" t="n">
        <f aca="false">INDEX(Surface_Engine!$G$12:$G$72,$A58+1)*IF($A58&lt;$Q$6,INDEX(Surface_Engine!$E$12:$E$72,$A58+1),INDEX(Surface_Engine!$E$12:$E$72,$Q$6+1))</f>
        <v>0.00354782956615449</v>
      </c>
      <c r="C58" s="32" t="n">
        <f aca="false">INDEX(Panel_Reserving!$B$8:$B$68,$A58+1)*IF($A58&lt;$Q$6,INDEX(Surface_Engine!$E$12:$E$72,$A58+1),INDEX(Surface_Engine!$E$12:$E$72,$Q$6+1))</f>
        <v>0.0119754625913948</v>
      </c>
      <c r="D58" s="32" t="n">
        <f aca="false">INDEX(Surface_Engine!$G$12:$G$72,$A58+1)*IF($A58&lt;$Q$6,INDEX(Surface_Engine!$Y$12:$Y$72,$A58+1),INDEX(Surface_Engine!$Y$12:$Y$72,$Q$6+1))</f>
        <v>0.00321390377626441</v>
      </c>
      <c r="E58" s="32" t="n">
        <f aca="false">INDEX(Surface_Engine!$G$12:$G$72,$A58+1)*IF($A58&lt;$Q$6,INDEX(Surface_Engine!$Z$12:$Z$72,$A58+1),INDEX(Surface_Engine!$Z$12:$Z$72,$Q$6+1))</f>
        <v>0.0039128569723848</v>
      </c>
      <c r="F58" s="48" t="n">
        <f aca="false">B58*(IF($A58&lt;$Q$6,INDEX(Surface_Engine!$D$12:$D$72,$A58+1)+(Surface_Engine!B236*12)*INDEX(Surface_Engine!$F$12:$F$72,$A58+1)-(Surface_Engine!B236*12),1000*12*INDEX(Surface_Engine!$C$12:$C$72,$A58+1)/(1+Assumptions!$B$10)^15+INDEX(Surface_Engine!$D$12:$D$72,$A58+1)))*INDEX(Surface_Engine!$B$12:$B$72,$A58+1)+F59</f>
        <v>37.9646160488356</v>
      </c>
      <c r="G58" s="48" t="n">
        <f aca="false">C58*(IF($A58&lt;$Q$6,INDEX(Surface_Engine!$D$12:$D$72,$A58+1)+(Surface_Engine!B236*12)*INDEX(Surface_Engine!$F$12:$F$72,$A58+1)-(Surface_Engine!B236*12),1000*12*INDEX(Surface_Engine!$C$12:$C$72,$A58+1)/(1+Assumptions!$B$10)^15+INDEX(Surface_Engine!$D$12:$D$72,$A58+1)))*INDEX(Surface_Engine!$B$12:$B$72,$A58+1)+G59</f>
        <v>156.448657203032</v>
      </c>
      <c r="H58" s="48" t="n">
        <f aca="false">D58*(IF($A58&lt;$Q$6,INDEX(Surface_Engine!$D$12:$D$72,$A58+1)+(Surface_Engine!B236*12)*INDEX(Surface_Engine!$F$12:$F$72,$A58+1)-(Surface_Engine!B236*12),1000*12*INDEX(Surface_Engine!$C$12:$C$72,$A58+1)/(1+Assumptions!$B$10)^15+INDEX(Surface_Engine!$D$12:$D$72,$A58+1)))*INDEX(Surface_Engine!$B$12:$B$72,$A58+1)+H59</f>
        <v>34.391342822038</v>
      </c>
      <c r="I58" s="48" t="n">
        <f aca="false">E58*(IF($A58&lt;$Q$6,INDEX(Surface_Engine!$D$12:$D$72,$A58+1)+(Surface_Engine!B236*12)*INDEX(Surface_Engine!$F$12:$F$72,$A58+1)-(Surface_Engine!B236*12),1000*12*INDEX(Surface_Engine!$C$12:$C$72,$A58+1)/(1+Assumptions!$B$10)^15+INDEX(Surface_Engine!$D$12:$D$72,$A58+1)))*INDEX(Surface_Engine!$B$12:$B$72,$A58+1)+I59</f>
        <v>41.8707014642793</v>
      </c>
      <c r="J58" s="48" t="n">
        <f aca="false">B58*(IF($A58&lt;$Q$6,INDEX(Surface_Engine!$D$12:$D$72,$A58+1)*(1+Assumptions!$B$24)+(Surface_Engine!B236*12)*INDEX(Surface_Engine!$F$12:$F$72,$A58+1)-(Surface_Engine!B236*12),1000*12*INDEX(Surface_Engine!$C$12:$C$72,$A58+1)/(1+Assumptions!$B$10)^15+INDEX(Surface_Engine!$D$12:$D$72,$A58+1)*(1+Assumptions!$B$24)))*INDEX(Surface_Engine!$B$12:$B$72,$A58+1)+J59</f>
        <v>38.0089142937443</v>
      </c>
      <c r="K58" s="12" t="n">
        <f aca="false">SQRT((IF(C58&lt;=0,0,MAX(0,(B58/C58)*G58/INDEX(Surface_Engine!$B$12:$B$72,$A58+1)-F58/INDEX(Surface_Engine!$B$12:$B$72,$A58+1))))^2+(MAX(IF(D58&lt;=0,0,MAX(0,(B58/D58)*H58/INDEX(Surface_Engine!$B$12:$B$72,$A58+1)-F58/INDEX(Surface_Engine!$B$12:$B$72,$A58+1))),IF(E58&lt;=0,0,MAX(0,(B58/E58)*I58/INDEX(Surface_Engine!$B$12:$B$72,$A58+1)-F58/INDEX(Surface_Engine!$B$12:$B$72,$A58+1))),IF($A58&lt;$Q$6,MAX(0,-Assumptions!$B$22*(F58/INDEX(Surface_Engine!$B$12:$B$72,$A58+1))),0)))^2+(MAX(0,J58/INDEX(Surface_Engine!$B$12:$B$72,$A58+1)-(F58/INDEX(Surface_Engine!$B$12:$B$72,$A58+1))))^2+2*Assumptions!$B$26*(IF(C58&lt;=0,0,MAX(0,(B58/C58)*G58/INDEX(Surface_Engine!$B$12:$B$72,$A58+1)-F58/INDEX(Surface_Engine!$B$12:$B$72,$A58+1))))*(MAX(IF(D58&lt;=0,0,MAX(0,(B58/D58)*H58/INDEX(Surface_Engine!$B$12:$B$72,$A58+1)-F58/INDEX(Surface_Engine!$B$12:$B$72,$A58+1))),IF(E58&lt;=0,0,MAX(0,(B58/E58)*I58/INDEX(Surface_Engine!$B$12:$B$72,$A58+1)-F58/INDEX(Surface_Engine!$B$12:$B$72,$A58+1))),IF($A58&lt;$Q$6,MAX(0,-Assumptions!$B$22*(F58/INDEX(Surface_Engine!$B$12:$B$72,$A58+1))),0)))+2*Assumptions!$B$27*(IF(C58&lt;=0,0,MAX(0,(B58/C58)*G58/INDEX(Surface_Engine!$B$12:$B$72,$A58+1)-F58/INDEX(Surface_Engine!$B$12:$B$72,$A58+1))))*(MAX(0,J58/INDEX(Surface_Engine!$B$12:$B$72,$A58+1)-(F58/INDEX(Surface_Engine!$B$12:$B$72,$A58+1))))+2*Assumptions!$B$28*(MAX(IF(D58&lt;=0,0,MAX(0,(B58/D58)*H58/INDEX(Surface_Engine!$B$12:$B$72,$A58+1)-F58/INDEX(Surface_Engine!$B$12:$B$72,$A58+1))),IF(E58&lt;=0,0,MAX(0,(B58/E58)*I58/INDEX(Surface_Engine!$B$12:$B$72,$A58+1)-F58/INDEX(Surface_Engine!$B$12:$B$72,$A58+1))),IF($A58&lt;$Q$6,MAX(0,-Assumptions!$B$22*(F58/INDEX(Surface_Engine!$B$12:$B$72,$A58+1))),0)))*(MAX(0,J58/INDEX(Surface_Engine!$B$12:$B$72,$A58+1)-(F58/INDEX(Surface_Engine!$B$12:$B$72,$A58+1)))))</f>
        <v>40.8706856425593</v>
      </c>
      <c r="L58" s="48" t="n">
        <f aca="false">K58*INDEX(Surface_Engine!$B$12:$B$72,$A58+1)+L59</f>
        <v>17.3298720446732</v>
      </c>
      <c r="M58" s="48" t="n">
        <f aca="false">M57+B57*(IF($A57&lt;$Q$6,(Surface_Engine!B236*12)-(Surface_Engine!B236*12)*INDEX(Surface_Engine!$F$12:$F$72,$A57+1)-INDEX(Surface_Engine!$D$12:$D$72,$A57+1),-(1000*12*INDEX(Surface_Engine!$C$12:$C$72,$A57+1)/(1+Assumptions!$B$10)^15+INDEX(Surface_Engine!$D$12:$D$72,$A57+1))))*INDEX(Surface_Engine!$B$12:$B$72,$A57+1)</f>
        <v>3139.17205828299</v>
      </c>
      <c r="N58" s="12" t="n">
        <f aca="false">IF(B58&lt;=0,0,MAX(0,(K58+Assumptions!$B$29*L58/INDEX(Surface_Engine!$B$12:$B$72,$A58+1)-(M58/INDEX(Surface_Engine!$B$12:$B$72,$A58+1)-(F58/INDEX(Surface_Engine!$B$12:$B$72,$A58+1))))/B58))</f>
        <v>0</v>
      </c>
    </row>
    <row r="59" customFormat="false" ht="15" hidden="false" customHeight="true" outlineLevel="0" collapsed="false">
      <c r="A59" s="1" t="n">
        <v>51</v>
      </c>
      <c r="B59" s="32" t="n">
        <f aca="false">INDEX(Surface_Engine!$G$12:$G$72,$A59+1)*IF($A59&lt;$Q$6,INDEX(Surface_Engine!$E$12:$E$72,$A59+1),INDEX(Surface_Engine!$E$12:$E$72,$Q$6+1))</f>
        <v>0.00198468813816318</v>
      </c>
      <c r="C59" s="32" t="n">
        <f aca="false">INDEX(Panel_Reserving!$B$8:$B$68,$A59+1)*IF($A59&lt;$Q$6,INDEX(Surface_Engine!$E$12:$E$72,$A59+1),INDEX(Surface_Engine!$E$12:$E$72,$Q$6+1))</f>
        <v>0.00775443870128514</v>
      </c>
      <c r="D59" s="32" t="n">
        <f aca="false">INDEX(Surface_Engine!$G$12:$G$72,$A59+1)*IF($A59&lt;$Q$6,INDEX(Surface_Engine!$Y$12:$Y$72,$A59+1),INDEX(Surface_Engine!$Y$12:$Y$72,$Q$6+1))</f>
        <v>0.00179788701317567</v>
      </c>
      <c r="E59" s="32" t="n">
        <f aca="false">INDEX(Surface_Engine!$G$12:$G$72,$A59+1)*IF($A59&lt;$Q$6,INDEX(Surface_Engine!$Z$12:$Z$72,$A59+1),INDEX(Surface_Engine!$Z$12:$Z$72,$Q$6+1))</f>
        <v>0.00218888779030008</v>
      </c>
      <c r="F59" s="48" t="n">
        <f aca="false">B59*(IF($A59&lt;$Q$6,INDEX(Surface_Engine!$D$12:$D$72,$A59+1)+(Surface_Engine!B236*12)*INDEX(Surface_Engine!$F$12:$F$72,$A59+1)-(Surface_Engine!B236*12),1000*12*INDEX(Surface_Engine!$C$12:$C$72,$A59+1)/(1+Assumptions!$B$10)^15+INDEX(Surface_Engine!$D$12:$D$72,$A59+1)))*INDEX(Surface_Engine!$B$12:$B$72,$A59+1)+F60</f>
        <v>20.2688462191389</v>
      </c>
      <c r="G59" s="48" t="n">
        <f aca="false">C59*(IF($A59&lt;$Q$6,INDEX(Surface_Engine!$D$12:$D$72,$A59+1)+(Surface_Engine!B236*12)*INDEX(Surface_Engine!$F$12:$F$72,$A59+1)-(Surface_Engine!B236*12),1000*12*INDEX(Surface_Engine!$C$12:$C$72,$A59+1)/(1+Assumptions!$B$10)^15+INDEX(Surface_Engine!$D$12:$D$72,$A59+1)))*INDEX(Surface_Engine!$B$12:$B$72,$A59+1)+G60</f>
        <v>96.7177638018698</v>
      </c>
      <c r="H59" s="48" t="n">
        <f aca="false">D59*(IF($A59&lt;$Q$6,INDEX(Surface_Engine!$D$12:$D$72,$A59+1)+(Surface_Engine!B236*12)*INDEX(Surface_Engine!$F$12:$F$72,$A59+1)-(Surface_Engine!B236*12),1000*12*INDEX(Surface_Engine!$C$12:$C$72,$A59+1)/(1+Assumptions!$B$10)^15+INDEX(Surface_Engine!$D$12:$D$72,$A59+1)))*INDEX(Surface_Engine!$B$12:$B$72,$A59+1)+H60</f>
        <v>18.3611191545543</v>
      </c>
      <c r="I59" s="48" t="n">
        <f aca="false">E59*(IF($A59&lt;$Q$6,INDEX(Surface_Engine!$D$12:$D$72,$A59+1)+(Surface_Engine!B236*12)*INDEX(Surface_Engine!$F$12:$F$72,$A59+1)-(Surface_Engine!B236*12),1000*12*INDEX(Surface_Engine!$C$12:$C$72,$A59+1)/(1+Assumptions!$B$10)^15+INDEX(Surface_Engine!$D$12:$D$72,$A59+1)))*INDEX(Surface_Engine!$B$12:$B$72,$A59+1)+I60</f>
        <v>22.3542576586384</v>
      </c>
      <c r="J59" s="48" t="n">
        <f aca="false">B59*(IF($A59&lt;$Q$6,INDEX(Surface_Engine!$D$12:$D$72,$A59+1)*(1+Assumptions!$B$24)+(Surface_Engine!B236*12)*INDEX(Surface_Engine!$F$12:$F$72,$A59+1)-(Surface_Engine!B236*12),1000*12*INDEX(Surface_Engine!$C$12:$C$72,$A59+1)/(1+Assumptions!$B$10)^15+INDEX(Surface_Engine!$D$12:$D$72,$A59+1)*(1+Assumptions!$B$24)))*INDEX(Surface_Engine!$B$12:$B$72,$A59+1)+J60</f>
        <v>20.292603603077</v>
      </c>
      <c r="K59" s="12" t="n">
        <f aca="false">SQRT((IF(C59&lt;=0,0,MAX(0,(B59/C59)*G59/INDEX(Surface_Engine!$B$12:$B$72,$A59+1)-F59/INDEX(Surface_Engine!$B$12:$B$72,$A59+1))))^2+(MAX(IF(D59&lt;=0,0,MAX(0,(B59/D59)*H59/INDEX(Surface_Engine!$B$12:$B$72,$A59+1)-F59/INDEX(Surface_Engine!$B$12:$B$72,$A59+1))),IF(E59&lt;=0,0,MAX(0,(B59/E59)*I59/INDEX(Surface_Engine!$B$12:$B$72,$A59+1)-F59/INDEX(Surface_Engine!$B$12:$B$72,$A59+1))),IF($A59&lt;$Q$6,MAX(0,-Assumptions!$B$22*(F59/INDEX(Surface_Engine!$B$12:$B$72,$A59+1))),0)))^2+(MAX(0,J59/INDEX(Surface_Engine!$B$12:$B$72,$A59+1)-(F59/INDEX(Surface_Engine!$B$12:$B$72,$A59+1))))^2+2*Assumptions!$B$26*(IF(C59&lt;=0,0,MAX(0,(B59/C59)*G59/INDEX(Surface_Engine!$B$12:$B$72,$A59+1)-F59/INDEX(Surface_Engine!$B$12:$B$72,$A59+1))))*(MAX(IF(D59&lt;=0,0,MAX(0,(B59/D59)*H59/INDEX(Surface_Engine!$B$12:$B$72,$A59+1)-F59/INDEX(Surface_Engine!$B$12:$B$72,$A59+1))),IF(E59&lt;=0,0,MAX(0,(B59/E59)*I59/INDEX(Surface_Engine!$B$12:$B$72,$A59+1)-F59/INDEX(Surface_Engine!$B$12:$B$72,$A59+1))),IF($A59&lt;$Q$6,MAX(0,-Assumptions!$B$22*(F59/INDEX(Surface_Engine!$B$12:$B$72,$A59+1))),0)))+2*Assumptions!$B$27*(IF(C59&lt;=0,0,MAX(0,(B59/C59)*G59/INDEX(Surface_Engine!$B$12:$B$72,$A59+1)-F59/INDEX(Surface_Engine!$B$12:$B$72,$A59+1))))*(MAX(0,J59/INDEX(Surface_Engine!$B$12:$B$72,$A59+1)-(F59/INDEX(Surface_Engine!$B$12:$B$72,$A59+1))))+2*Assumptions!$B$28*(MAX(IF(D59&lt;=0,0,MAX(0,(B59/D59)*H59/INDEX(Surface_Engine!$B$12:$B$72,$A59+1)-F59/INDEX(Surface_Engine!$B$12:$B$72,$A59+1))),IF(E59&lt;=0,0,MAX(0,(B59/E59)*I59/INDEX(Surface_Engine!$B$12:$B$72,$A59+1)-F59/INDEX(Surface_Engine!$B$12:$B$72,$A59+1))),IF($A59&lt;$Q$6,MAX(0,-Assumptions!$B$22*(F59/INDEX(Surface_Engine!$B$12:$B$72,$A59+1))),0)))*(MAX(0,J59/INDEX(Surface_Engine!$B$12:$B$72,$A59+1)-(F59/INDEX(Surface_Engine!$B$12:$B$72,$A59+1)))))</f>
        <v>22.5780196849659</v>
      </c>
      <c r="L59" s="48" t="n">
        <f aca="false">K59*INDEX(Surface_Engine!$B$12:$B$72,$A59+1)+L60</f>
        <v>8.93409888835223</v>
      </c>
      <c r="M59" s="48" t="n">
        <f aca="false">M58+B58*(IF($A58&lt;$Q$6,(Surface_Engine!B236*12)-(Surface_Engine!B236*12)*INDEX(Surface_Engine!$F$12:$F$72,$A58+1)-INDEX(Surface_Engine!$D$12:$D$72,$A58+1),-(1000*12*INDEX(Surface_Engine!$C$12:$C$72,$A58+1)/(1+Assumptions!$B$10)^15+INDEX(Surface_Engine!$D$12:$D$72,$A58+1))))*INDEX(Surface_Engine!$B$12:$B$72,$A58+1)</f>
        <v>3121.4762884533</v>
      </c>
      <c r="N59" s="12" t="n">
        <f aca="false">IF(B59&lt;=0,0,MAX(0,(K59+Assumptions!$B$29*L59/INDEX(Surface_Engine!$B$12:$B$72,$A59+1)-(M59/INDEX(Surface_Engine!$B$12:$B$72,$A59+1)-(F59/INDEX(Surface_Engine!$B$12:$B$72,$A59+1))))/B59))</f>
        <v>0</v>
      </c>
    </row>
    <row r="60" customFormat="false" ht="15" hidden="false" customHeight="true" outlineLevel="0" collapsed="false">
      <c r="A60" s="1" t="n">
        <v>52</v>
      </c>
      <c r="B60" s="32" t="n">
        <f aca="false">INDEX(Surface_Engine!$G$12:$G$72,$A60+1)*IF($A60&lt;$Q$6,INDEX(Surface_Engine!$E$12:$E$72,$A60+1),INDEX(Surface_Engine!$E$12:$E$72,$Q$6+1))</f>
        <v>0.00107522833945819</v>
      </c>
      <c r="C60" s="32" t="n">
        <f aca="false">INDEX(Panel_Reserving!$B$8:$B$68,$A60+1)*IF($A60&lt;$Q$6,INDEX(Surface_Engine!$E$12:$E$72,$A60+1),INDEX(Surface_Engine!$E$12:$E$72,$Q$6+1))</f>
        <v>0.00491173505440675</v>
      </c>
      <c r="D60" s="32" t="n">
        <f aca="false">INDEX(Surface_Engine!$G$12:$G$72,$A60+1)*IF($A60&lt;$Q$6,INDEX(Surface_Engine!$Y$12:$Y$72,$A60+1),INDEX(Surface_Engine!$Y$12:$Y$72,$Q$6+1))</f>
        <v>0.000974026614327146</v>
      </c>
      <c r="E60" s="32" t="n">
        <f aca="false">INDEX(Surface_Engine!$G$12:$G$72,$A60+1)*IF($A60&lt;$Q$6,INDEX(Surface_Engine!$Z$12:$Z$72,$A60+1),INDEX(Surface_Engine!$Z$12:$Z$72,$Q$6+1))</f>
        <v>0.00118585592303831</v>
      </c>
      <c r="F60" s="48" t="n">
        <f aca="false">B60*(IF($A60&lt;$Q$6,INDEX(Surface_Engine!$D$12:$D$72,$A60+1)+(Surface_Engine!B236*12)*INDEX(Surface_Engine!$F$12:$F$72,$A60+1)-(Surface_Engine!B236*12),1000*12*INDEX(Surface_Engine!$C$12:$C$72,$A60+1)/(1+Assumptions!$B$10)^15+INDEX(Surface_Engine!$D$12:$D$72,$A60+1)))*INDEX(Surface_Engine!$B$12:$B$72,$A60+1)+F61</f>
        <v>10.4905710060026</v>
      </c>
      <c r="G60" s="48" t="n">
        <f aca="false">C60*(IF($A60&lt;$Q$6,INDEX(Surface_Engine!$D$12:$D$72,$A60+1)+(Surface_Engine!B236*12)*INDEX(Surface_Engine!$F$12:$F$72,$A60+1)-(Surface_Engine!B236*12),1000*12*INDEX(Surface_Engine!$C$12:$C$72,$A60+1)/(1+Assumptions!$B$10)^15+INDEX(Surface_Engine!$D$12:$D$72,$A60+1)))*INDEX(Surface_Engine!$B$12:$B$72,$A60+1)+G61</f>
        <v>58.5127509907706</v>
      </c>
      <c r="H60" s="48" t="n">
        <f aca="false">D60*(IF($A60&lt;$Q$6,INDEX(Surface_Engine!$D$12:$D$72,$A60+1)+(Surface_Engine!B236*12)*INDEX(Surface_Engine!$F$12:$F$72,$A60+1)-(Surface_Engine!B236*12),1000*12*INDEX(Surface_Engine!$C$12:$C$72,$A60+1)/(1+Assumptions!$B$10)^15+INDEX(Surface_Engine!$D$12:$D$72,$A60+1)))*INDEX(Surface_Engine!$B$12:$B$72,$A60+1)+H61</f>
        <v>9.50318642501941</v>
      </c>
      <c r="I60" s="48" t="n">
        <f aca="false">E60*(IF($A60&lt;$Q$6,INDEX(Surface_Engine!$D$12:$D$72,$A60+1)+(Surface_Engine!B236*12)*INDEX(Surface_Engine!$F$12:$F$72,$A60+1)-(Surface_Engine!B236*12),1000*12*INDEX(Surface_Engine!$C$12:$C$72,$A60+1)/(1+Assumptions!$B$10)^15+INDEX(Surface_Engine!$D$12:$D$72,$A60+1)))*INDEX(Surface_Engine!$B$12:$B$72,$A60+1)+I61</f>
        <v>11.5699199016562</v>
      </c>
      <c r="J60" s="48" t="n">
        <f aca="false">B60*(IF($A60&lt;$Q$6,INDEX(Surface_Engine!$D$12:$D$72,$A60+1)*(1+Assumptions!$B$24)+(Surface_Engine!B236*12)*INDEX(Surface_Engine!$F$12:$F$72,$A60+1)-(Surface_Engine!B236*12),1000*12*INDEX(Surface_Engine!$C$12:$C$72,$A60+1)/(1+Assumptions!$B$10)^15+INDEX(Surface_Engine!$D$12:$D$72,$A60+1)*(1+Assumptions!$B$24)))*INDEX(Surface_Engine!$B$12:$B$72,$A60+1)+J61</f>
        <v>10.5029229925578</v>
      </c>
      <c r="K60" s="12" t="n">
        <f aca="false">SQRT((IF(C60&lt;=0,0,MAX(0,(B60/C60)*G60/INDEX(Surface_Engine!$B$12:$B$72,$A60+1)-F60/INDEX(Surface_Engine!$B$12:$B$72,$A60+1))))^2+(MAX(IF(D60&lt;=0,0,MAX(0,(B60/D60)*H60/INDEX(Surface_Engine!$B$12:$B$72,$A60+1)-F60/INDEX(Surface_Engine!$B$12:$B$72,$A60+1))),IF(E60&lt;=0,0,MAX(0,(B60/E60)*I60/INDEX(Surface_Engine!$B$12:$B$72,$A60+1)-F60/INDEX(Surface_Engine!$B$12:$B$72,$A60+1))),IF($A60&lt;$Q$6,MAX(0,-Assumptions!$B$22*(F60/INDEX(Surface_Engine!$B$12:$B$72,$A60+1))),0)))^2+(MAX(0,J60/INDEX(Surface_Engine!$B$12:$B$72,$A60+1)-(F60/INDEX(Surface_Engine!$B$12:$B$72,$A60+1))))^2+2*Assumptions!$B$26*(IF(C60&lt;=0,0,MAX(0,(B60/C60)*G60/INDEX(Surface_Engine!$B$12:$B$72,$A60+1)-F60/INDEX(Surface_Engine!$B$12:$B$72,$A60+1))))*(MAX(IF(D60&lt;=0,0,MAX(0,(B60/D60)*H60/INDEX(Surface_Engine!$B$12:$B$72,$A60+1)-F60/INDEX(Surface_Engine!$B$12:$B$72,$A60+1))),IF(E60&lt;=0,0,MAX(0,(B60/E60)*I60/INDEX(Surface_Engine!$B$12:$B$72,$A60+1)-F60/INDEX(Surface_Engine!$B$12:$B$72,$A60+1))),IF($A60&lt;$Q$6,MAX(0,-Assumptions!$B$22*(F60/INDEX(Surface_Engine!$B$12:$B$72,$A60+1))),0)))+2*Assumptions!$B$27*(IF(C60&lt;=0,0,MAX(0,(B60/C60)*G60/INDEX(Surface_Engine!$B$12:$B$72,$A60+1)-F60/INDEX(Surface_Engine!$B$12:$B$72,$A60+1))))*(MAX(0,J60/INDEX(Surface_Engine!$B$12:$B$72,$A60+1)-(F60/INDEX(Surface_Engine!$B$12:$B$72,$A60+1))))+2*Assumptions!$B$28*(MAX(IF(D60&lt;=0,0,MAX(0,(B60/D60)*H60/INDEX(Surface_Engine!$B$12:$B$72,$A60+1)-F60/INDEX(Surface_Engine!$B$12:$B$72,$A60+1))),IF(E60&lt;=0,0,MAX(0,(B60/E60)*I60/INDEX(Surface_Engine!$B$12:$B$72,$A60+1)-F60/INDEX(Surface_Engine!$B$12:$B$72,$A60+1))),IF($A60&lt;$Q$6,MAX(0,-Assumptions!$B$22*(F60/INDEX(Surface_Engine!$B$12:$B$72,$A60+1))),0)))*(MAX(0,J60/INDEX(Surface_Engine!$B$12:$B$72,$A60+1)-(F60/INDEX(Surface_Engine!$B$12:$B$72,$A60+1)))))</f>
        <v>12.0522006040023</v>
      </c>
      <c r="L60" s="48" t="n">
        <f aca="false">K60*INDEX(Surface_Engine!$B$12:$B$72,$A60+1)+L61</f>
        <v>4.44278914391047</v>
      </c>
      <c r="M60" s="48" t="n">
        <f aca="false">M59+B59*(IF($A59&lt;$Q$6,(Surface_Engine!B236*12)-(Surface_Engine!B236*12)*INDEX(Surface_Engine!$F$12:$F$72,$A59+1)-INDEX(Surface_Engine!$D$12:$D$72,$A59+1),-(1000*12*INDEX(Surface_Engine!$C$12:$C$72,$A59+1)/(1+Assumptions!$B$10)^15+INDEX(Surface_Engine!$D$12:$D$72,$A59+1))))*INDEX(Surface_Engine!$B$12:$B$72,$A59+1)</f>
        <v>3111.69801324016</v>
      </c>
      <c r="N60" s="12" t="n">
        <f aca="false">IF(B60&lt;=0,0,MAX(0,(K60+Assumptions!$B$29*L60/INDEX(Surface_Engine!$B$12:$B$72,$A60+1)-(M60/INDEX(Surface_Engine!$B$12:$B$72,$A60+1)-(F60/INDEX(Surface_Engine!$B$12:$B$72,$A60+1))))/B60))</f>
        <v>0</v>
      </c>
    </row>
    <row r="61" customFormat="false" ht="15" hidden="false" customHeight="true" outlineLevel="0" collapsed="false">
      <c r="A61" s="1" t="n">
        <v>53</v>
      </c>
      <c r="B61" s="32" t="n">
        <f aca="false">INDEX(Surface_Engine!$G$12:$G$72,$A61+1)*IF($A61&lt;$Q$6,INDEX(Surface_Engine!$E$12:$E$72,$A61+1),INDEX(Surface_Engine!$E$12:$E$72,$Q$6+1))</f>
        <v>0.000563620097285835</v>
      </c>
      <c r="C61" s="32" t="n">
        <f aca="false">INDEX(Panel_Reserving!$B$8:$B$68,$A61+1)*IF($A61&lt;$Q$6,INDEX(Surface_Engine!$E$12:$E$72,$A61+1),INDEX(Surface_Engine!$E$12:$E$72,$Q$6+1))</f>
        <v>0.00304207887442353</v>
      </c>
      <c r="D61" s="32" t="n">
        <f aca="false">INDEX(Surface_Engine!$G$12:$G$72,$A61+1)*IF($A61&lt;$Q$6,INDEX(Surface_Engine!$Y$12:$Y$72,$A61+1),INDEX(Surface_Engine!$Y$12:$Y$72,$Q$6+1))</f>
        <v>0.000510571526976949</v>
      </c>
      <c r="E61" s="32" t="n">
        <f aca="false">INDEX(Surface_Engine!$G$12:$G$72,$A61+1)*IF($A61&lt;$Q$6,INDEX(Surface_Engine!$Z$12:$Z$72,$A61+1),INDEX(Surface_Engine!$Z$12:$Z$72,$Q$6+1))</f>
        <v>0.000621609574619868</v>
      </c>
      <c r="F61" s="48" t="n">
        <f aca="false">B61*(IF($A61&lt;$Q$6,INDEX(Surface_Engine!$D$12:$D$72,$A61+1)+(Surface_Engine!B236*12)*INDEX(Surface_Engine!$F$12:$F$72,$A61+1)-(Surface_Engine!B236*12),1000*12*INDEX(Surface_Engine!$C$12:$C$72,$A61+1)/(1+Assumptions!$B$10)^15+INDEX(Surface_Engine!$D$12:$D$72,$A61+1)))*INDEX(Surface_Engine!$B$12:$B$72,$A61+1)+F62</f>
        <v>5.25787311252087</v>
      </c>
      <c r="G61" s="48" t="n">
        <f aca="false">C61*(IF($A61&lt;$Q$6,INDEX(Surface_Engine!$D$12:$D$72,$A61+1)+(Surface_Engine!B236*12)*INDEX(Surface_Engine!$F$12:$F$72,$A61+1)-(Surface_Engine!B236*12),1000*12*INDEX(Surface_Engine!$C$12:$C$72,$A61+1)/(1+Assumptions!$B$10)^15+INDEX(Surface_Engine!$D$12:$D$72,$A61+1)))*INDEX(Surface_Engine!$B$12:$B$72,$A61+1)+G62</f>
        <v>34.6093392880194</v>
      </c>
      <c r="H61" s="48" t="n">
        <f aca="false">D61*(IF($A61&lt;$Q$6,INDEX(Surface_Engine!$D$12:$D$72,$A61+1)+(Surface_Engine!B236*12)*INDEX(Surface_Engine!$F$12:$F$72,$A61+1)-(Surface_Engine!B236*12),1000*12*INDEX(Surface_Engine!$C$12:$C$72,$A61+1)/(1+Assumptions!$B$10)^15+INDEX(Surface_Engine!$D$12:$D$72,$A61+1)))*INDEX(Surface_Engine!$B$12:$B$72,$A61+1)+H62</f>
        <v>4.76299606177703</v>
      </c>
      <c r="I61" s="48" t="n">
        <f aca="false">E61*(IF($A61&lt;$Q$6,INDEX(Surface_Engine!$D$12:$D$72,$A61+1)+(Surface_Engine!B236*12)*INDEX(Surface_Engine!$F$12:$F$72,$A61+1)-(Surface_Engine!B236*12),1000*12*INDEX(Surface_Engine!$C$12:$C$72,$A61+1)/(1+Assumptions!$B$10)^15+INDEX(Surface_Engine!$D$12:$D$72,$A61+1)))*INDEX(Surface_Engine!$B$12:$B$72,$A61+1)+I62</f>
        <v>5.79884266834761</v>
      </c>
      <c r="J61" s="48" t="n">
        <f aca="false">B61*(IF($A61&lt;$Q$6,INDEX(Surface_Engine!$D$12:$D$72,$A61+1)*(1+Assumptions!$B$24)+(Surface_Engine!B236*12)*INDEX(Surface_Engine!$F$12:$F$72,$A61+1)-(Surface_Engine!B236*12),1000*12*INDEX(Surface_Engine!$C$12:$C$72,$A61+1)/(1+Assumptions!$B$10)^15+INDEX(Surface_Engine!$D$12:$D$72,$A61+1)*(1+Assumptions!$B$24)))*INDEX(Surface_Engine!$B$12:$B$72,$A61+1)+J62</f>
        <v>5.26409210296135</v>
      </c>
      <c r="K61" s="12" t="n">
        <f aca="false">SQRT((IF(C61&lt;=0,0,MAX(0,(B61/C61)*G61/INDEX(Surface_Engine!$B$12:$B$72,$A61+1)-F61/INDEX(Surface_Engine!$B$12:$B$72,$A61+1))))^2+(MAX(IF(D61&lt;=0,0,MAX(0,(B61/D61)*H61/INDEX(Surface_Engine!$B$12:$B$72,$A61+1)-F61/INDEX(Surface_Engine!$B$12:$B$72,$A61+1))),IF(E61&lt;=0,0,MAX(0,(B61/E61)*I61/INDEX(Surface_Engine!$B$12:$B$72,$A61+1)-F61/INDEX(Surface_Engine!$B$12:$B$72,$A61+1))),IF($A61&lt;$Q$6,MAX(0,-Assumptions!$B$22*(F61/INDEX(Surface_Engine!$B$12:$B$72,$A61+1))),0)))^2+(MAX(0,J61/INDEX(Surface_Engine!$B$12:$B$72,$A61+1)-(F61/INDEX(Surface_Engine!$B$12:$B$72,$A61+1))))^2+2*Assumptions!$B$26*(IF(C61&lt;=0,0,MAX(0,(B61/C61)*G61/INDEX(Surface_Engine!$B$12:$B$72,$A61+1)-F61/INDEX(Surface_Engine!$B$12:$B$72,$A61+1))))*(MAX(IF(D61&lt;=0,0,MAX(0,(B61/D61)*H61/INDEX(Surface_Engine!$B$12:$B$72,$A61+1)-F61/INDEX(Surface_Engine!$B$12:$B$72,$A61+1))),IF(E61&lt;=0,0,MAX(0,(B61/E61)*I61/INDEX(Surface_Engine!$B$12:$B$72,$A61+1)-F61/INDEX(Surface_Engine!$B$12:$B$72,$A61+1))),IF($A61&lt;$Q$6,MAX(0,-Assumptions!$B$22*(F61/INDEX(Surface_Engine!$B$12:$B$72,$A61+1))),0)))+2*Assumptions!$B$27*(IF(C61&lt;=0,0,MAX(0,(B61/C61)*G61/INDEX(Surface_Engine!$B$12:$B$72,$A61+1)-F61/INDEX(Surface_Engine!$B$12:$B$72,$A61+1))))*(MAX(0,J61/INDEX(Surface_Engine!$B$12:$B$72,$A61+1)-(F61/INDEX(Surface_Engine!$B$12:$B$72,$A61+1))))+2*Assumptions!$B$28*(MAX(IF(D61&lt;=0,0,MAX(0,(B61/D61)*H61/INDEX(Surface_Engine!$B$12:$B$72,$A61+1)-F61/INDEX(Surface_Engine!$B$12:$B$72,$A61+1))),IF(E61&lt;=0,0,MAX(0,(B61/E61)*I61/INDEX(Surface_Engine!$B$12:$B$72,$A61+1)-F61/INDEX(Surface_Engine!$B$12:$B$72,$A61+1))),IF($A61&lt;$Q$6,MAX(0,-Assumptions!$B$22*(F61/INDEX(Surface_Engine!$B$12:$B$72,$A61+1))),0)))*(MAX(0,J61/INDEX(Surface_Engine!$B$12:$B$72,$A61+1)-(F61/INDEX(Surface_Engine!$B$12:$B$72,$A61+1)))))</f>
        <v>6.19716467895602</v>
      </c>
      <c r="L61" s="48" t="n">
        <f aca="false">K61*INDEX(Surface_Engine!$B$12:$B$72,$A61+1)+L62</f>
        <v>2.12121004007109</v>
      </c>
      <c r="M61" s="48" t="n">
        <f aca="false">M60+B60*(IF($A60&lt;$Q$6,(Surface_Engine!B236*12)-(Surface_Engine!B236*12)*INDEX(Surface_Engine!$F$12:$F$72,$A60+1)-INDEX(Surface_Engine!$D$12:$D$72,$A60+1),-(1000*12*INDEX(Surface_Engine!$C$12:$C$72,$A60+1)/(1+Assumptions!$B$10)^15+INDEX(Surface_Engine!$D$12:$D$72,$A60+1))))*INDEX(Surface_Engine!$B$12:$B$72,$A60+1)</f>
        <v>3106.46531534668</v>
      </c>
      <c r="N61" s="12" t="n">
        <f aca="false">IF(B61&lt;=0,0,MAX(0,(K61+Assumptions!$B$29*L61/INDEX(Surface_Engine!$B$12:$B$72,$A61+1)-(M61/INDEX(Surface_Engine!$B$12:$B$72,$A61+1)-(F61/INDEX(Surface_Engine!$B$12:$B$72,$A61+1))))/B61))</f>
        <v>0</v>
      </c>
    </row>
    <row r="62" customFormat="false" ht="15" hidden="false" customHeight="true" outlineLevel="0" collapsed="false">
      <c r="A62" s="1" t="n">
        <v>54</v>
      </c>
      <c r="B62" s="32" t="n">
        <f aca="false">INDEX(Surface_Engine!$G$12:$G$72,$A62+1)*IF($A62&lt;$Q$6,INDEX(Surface_Engine!$E$12:$E$72,$A62+1),INDEX(Surface_Engine!$E$12:$E$72,$Q$6+1))</f>
        <v>0.000285607148676381</v>
      </c>
      <c r="C62" s="32" t="n">
        <f aca="false">INDEX(Panel_Reserving!$B$8:$B$68,$A62+1)*IF($A62&lt;$Q$6,INDEX(Surface_Engine!$E$12:$E$72,$A62+1),INDEX(Surface_Engine!$E$12:$E$72,$Q$6+1))</f>
        <v>0.00184164287598594</v>
      </c>
      <c r="D62" s="32" t="n">
        <f aca="false">INDEX(Surface_Engine!$G$12:$G$72,$A62+1)*IF($A62&lt;$Q$6,INDEX(Surface_Engine!$Y$12:$Y$72,$A62+1),INDEX(Surface_Engine!$Y$12:$Y$72,$Q$6+1))</f>
        <v>0.000258725476109628</v>
      </c>
      <c r="E62" s="32" t="n">
        <f aca="false">INDEX(Surface_Engine!$G$12:$G$72,$A62+1)*IF($A62&lt;$Q$6,INDEX(Surface_Engine!$Z$12:$Z$72,$A62+1),INDEX(Surface_Engine!$Z$12:$Z$72,$Q$6+1))</f>
        <v>0.000314992561571279</v>
      </c>
      <c r="F62" s="48" t="n">
        <f aca="false">B62*(IF($A62&lt;$Q$6,INDEX(Surface_Engine!$D$12:$D$72,$A62+1)+(Surface_Engine!B236*12)*INDEX(Surface_Engine!$F$12:$F$72,$A62+1)-(Surface_Engine!B236*12),1000*12*INDEX(Surface_Engine!$C$12:$C$72,$A62+1)/(1+Assumptions!$B$10)^15+INDEX(Surface_Engine!$D$12:$D$72,$A62+1)))*INDEX(Surface_Engine!$B$12:$B$72,$A62+1)+F63</f>
        <v>2.54856676733625</v>
      </c>
      <c r="G62" s="48" t="n">
        <f aca="false">C62*(IF($A62&lt;$Q$6,INDEX(Surface_Engine!$D$12:$D$72,$A62+1)+(Surface_Engine!B236*12)*INDEX(Surface_Engine!$F$12:$F$72,$A62+1)-(Surface_Engine!B236*12),1000*12*INDEX(Surface_Engine!$C$12:$C$72,$A62+1)/(1+Assumptions!$B$10)^15+INDEX(Surface_Engine!$D$12:$D$72,$A62+1)))*INDEX(Surface_Engine!$B$12:$B$72,$A62+1)+G63</f>
        <v>19.9861495956761</v>
      </c>
      <c r="H62" s="48" t="n">
        <f aca="false">D62*(IF($A62&lt;$Q$6,INDEX(Surface_Engine!$D$12:$D$72,$A62+1)+(Surface_Engine!B236*12)*INDEX(Surface_Engine!$F$12:$F$72,$A62+1)-(Surface_Engine!B236*12),1000*12*INDEX(Surface_Engine!$C$12:$C$72,$A62+1)/(1+Assumptions!$B$10)^15+INDEX(Surface_Engine!$D$12:$D$72,$A62+1)))*INDEX(Surface_Engine!$B$12:$B$72,$A62+1)+H63</f>
        <v>2.30869273872196</v>
      </c>
      <c r="I62" s="48" t="n">
        <f aca="false">E62*(IF($A62&lt;$Q$6,INDEX(Surface_Engine!$D$12:$D$72,$A62+1)+(Surface_Engine!B236*12)*INDEX(Surface_Engine!$F$12:$F$72,$A62+1)-(Surface_Engine!B236*12),1000*12*INDEX(Surface_Engine!$C$12:$C$72,$A62+1)/(1+Assumptions!$B$10)^15+INDEX(Surface_Engine!$D$12:$D$72,$A62+1)))*INDEX(Surface_Engine!$B$12:$B$72,$A62+1)+I63</f>
        <v>2.81078249651342</v>
      </c>
      <c r="J62" s="48" t="n">
        <f aca="false">B62*(IF($A62&lt;$Q$6,INDEX(Surface_Engine!$D$12:$D$72,$A62+1)*(1+Assumptions!$B$24)+(Surface_Engine!B236*12)*INDEX(Surface_Engine!$F$12:$F$72,$A62+1)-(Surface_Engine!B236*12),1000*12*INDEX(Surface_Engine!$C$12:$C$72,$A62+1)/(1+Assumptions!$B$10)^15+INDEX(Surface_Engine!$D$12:$D$72,$A62+1)*(1+Assumptions!$B$24)))*INDEX(Surface_Engine!$B$12:$B$72,$A62+1)+J63</f>
        <v>2.55159492617573</v>
      </c>
      <c r="K62" s="12" t="n">
        <f aca="false">SQRT((IF(C62&lt;=0,0,MAX(0,(B62/C62)*G62/INDEX(Surface_Engine!$B$12:$B$72,$A62+1)-F62/INDEX(Surface_Engine!$B$12:$B$72,$A62+1))))^2+(MAX(IF(D62&lt;=0,0,MAX(0,(B62/D62)*H62/INDEX(Surface_Engine!$B$12:$B$72,$A62+1)-F62/INDEX(Surface_Engine!$B$12:$B$72,$A62+1))),IF(E62&lt;=0,0,MAX(0,(B62/E62)*I62/INDEX(Surface_Engine!$B$12:$B$72,$A62+1)-F62/INDEX(Surface_Engine!$B$12:$B$72,$A62+1))),IF($A62&lt;$Q$6,MAX(0,-Assumptions!$B$22*(F62/INDEX(Surface_Engine!$B$12:$B$72,$A62+1))),0)))^2+(MAX(0,J62/INDEX(Surface_Engine!$B$12:$B$72,$A62+1)-(F62/INDEX(Surface_Engine!$B$12:$B$72,$A62+1))))^2+2*Assumptions!$B$26*(IF(C62&lt;=0,0,MAX(0,(B62/C62)*G62/INDEX(Surface_Engine!$B$12:$B$72,$A62+1)-F62/INDEX(Surface_Engine!$B$12:$B$72,$A62+1))))*(MAX(IF(D62&lt;=0,0,MAX(0,(B62/D62)*H62/INDEX(Surface_Engine!$B$12:$B$72,$A62+1)-F62/INDEX(Surface_Engine!$B$12:$B$72,$A62+1))),IF(E62&lt;=0,0,MAX(0,(B62/E62)*I62/INDEX(Surface_Engine!$B$12:$B$72,$A62+1)-F62/INDEX(Surface_Engine!$B$12:$B$72,$A62+1))),IF($A62&lt;$Q$6,MAX(0,-Assumptions!$B$22*(F62/INDEX(Surface_Engine!$B$12:$B$72,$A62+1))),0)))+2*Assumptions!$B$27*(IF(C62&lt;=0,0,MAX(0,(B62/C62)*G62/INDEX(Surface_Engine!$B$12:$B$72,$A62+1)-F62/INDEX(Surface_Engine!$B$12:$B$72,$A62+1))))*(MAX(0,J62/INDEX(Surface_Engine!$B$12:$B$72,$A62+1)-(F62/INDEX(Surface_Engine!$B$12:$B$72,$A62+1))))+2*Assumptions!$B$28*(MAX(IF(D62&lt;=0,0,MAX(0,(B62/D62)*H62/INDEX(Surface_Engine!$B$12:$B$72,$A62+1)-F62/INDEX(Surface_Engine!$B$12:$B$72,$A62+1))),IF(E62&lt;=0,0,MAX(0,(B62/E62)*I62/INDEX(Surface_Engine!$B$12:$B$72,$A62+1)-F62/INDEX(Surface_Engine!$B$12:$B$72,$A62+1))),IF($A62&lt;$Q$6,MAX(0,-Assumptions!$B$22*(F62/INDEX(Surface_Engine!$B$12:$B$72,$A62+1))),0)))*(MAX(0,J62/INDEX(Surface_Engine!$B$12:$B$72,$A62+1)-(F62/INDEX(Surface_Engine!$B$12:$B$72,$A62+1)))))</f>
        <v>3.0562105706968</v>
      </c>
      <c r="L62" s="48" t="n">
        <f aca="false">K62*INDEX(Surface_Engine!$B$12:$B$72,$A62+1)+L63</f>
        <v>0.965279514271388</v>
      </c>
      <c r="M62" s="48" t="n">
        <f aca="false">M61+B61*(IF($A61&lt;$Q$6,(Surface_Engine!B236*12)-(Surface_Engine!B236*12)*INDEX(Surface_Engine!$F$12:$F$72,$A61+1)-INDEX(Surface_Engine!$D$12:$D$72,$A61+1),-(1000*12*INDEX(Surface_Engine!$C$12:$C$72,$A61+1)/(1+Assumptions!$B$10)^15+INDEX(Surface_Engine!$D$12:$D$72,$A61+1))))*INDEX(Surface_Engine!$B$12:$B$72,$A61+1)</f>
        <v>3103.75600900149</v>
      </c>
      <c r="N62" s="12" t="n">
        <f aca="false">IF(B62&lt;=0,0,MAX(0,(K62+Assumptions!$B$29*L62/INDEX(Surface_Engine!$B$12:$B$72,$A62+1)-(M62/INDEX(Surface_Engine!$B$12:$B$72,$A62+1)-(F62/INDEX(Surface_Engine!$B$12:$B$72,$A62+1))))/B62))</f>
        <v>0</v>
      </c>
    </row>
    <row r="63" customFormat="false" ht="15" hidden="false" customHeight="true" outlineLevel="0" collapsed="false">
      <c r="A63" s="1" t="n">
        <v>55</v>
      </c>
      <c r="B63" s="32" t="n">
        <f aca="false">INDEX(Surface_Engine!$G$12:$G$72,$A63+1)*IF($A63&lt;$Q$6,INDEX(Surface_Engine!$E$12:$E$72,$A63+1),INDEX(Surface_Engine!$E$12:$E$72,$Q$6+1))</f>
        <v>0.000139794807214653</v>
      </c>
      <c r="C63" s="32" t="n">
        <f aca="false">INDEX(Panel_Reserving!$B$8:$B$68,$A63+1)*IF($A63&lt;$Q$6,INDEX(Surface_Engine!$E$12:$E$72,$A63+1),INDEX(Surface_Engine!$E$12:$E$72,$Q$6+1))</f>
        <v>0.00108946489688894</v>
      </c>
      <c r="D63" s="32" t="n">
        <f aca="false">INDEX(Surface_Engine!$G$12:$G$72,$A63+1)*IF($A63&lt;$Q$6,INDEX(Surface_Engine!$Y$12:$Y$72,$A63+1),INDEX(Surface_Engine!$Y$12:$Y$72,$Q$6+1))</f>
        <v>0.000126637159545494</v>
      </c>
      <c r="E63" s="32" t="n">
        <f aca="false">INDEX(Surface_Engine!$G$12:$G$72,$A63+1)*IF($A63&lt;$Q$6,INDEX(Surface_Engine!$Z$12:$Z$72,$A63+1),INDEX(Surface_Engine!$Z$12:$Z$72,$Q$6+1))</f>
        <v>0.000154177949056875</v>
      </c>
      <c r="F63" s="48" t="n">
        <f aca="false">B63*(IF($A63&lt;$Q$6,INDEX(Surface_Engine!$D$12:$D$72,$A63+1)+(Surface_Engine!B236*12)*INDEX(Surface_Engine!$F$12:$F$72,$A63+1)-(Surface_Engine!B236*12),1000*12*INDEX(Surface_Engine!$C$12:$C$72,$A63+1)/(1+Assumptions!$B$10)^15+INDEX(Surface_Engine!$D$12:$D$72,$A63+1)))*INDEX(Surface_Engine!$B$12:$B$72,$A63+1)+F64</f>
        <v>1.19321537166398</v>
      </c>
      <c r="G63" s="48" t="n">
        <f aca="false">C63*(IF($A63&lt;$Q$6,INDEX(Surface_Engine!$D$12:$D$72,$A63+1)+(Surface_Engine!B236*12)*INDEX(Surface_Engine!$F$12:$F$72,$A63+1)-(Surface_Engine!B236*12),1000*12*INDEX(Surface_Engine!$C$12:$C$72,$A63+1)/(1+Assumptions!$B$10)^15+INDEX(Surface_Engine!$D$12:$D$72,$A63+1)))*INDEX(Surface_Engine!$B$12:$B$72,$A63+1)+G64</f>
        <v>11.2466161005754</v>
      </c>
      <c r="H63" s="48" t="n">
        <f aca="false">D63*(IF($A63&lt;$Q$6,INDEX(Surface_Engine!$D$12:$D$72,$A63+1)+(Surface_Engine!B236*12)*INDEX(Surface_Engine!$F$12:$F$72,$A63+1)-(Surface_Engine!B236*12),1000*12*INDEX(Surface_Engine!$C$12:$C$72,$A63+1)/(1+Assumptions!$B$10)^15+INDEX(Surface_Engine!$D$12:$D$72,$A63+1)))*INDEX(Surface_Engine!$B$12:$B$72,$A63+1)+H64</f>
        <v>1.08090857167196</v>
      </c>
      <c r="I63" s="48" t="n">
        <f aca="false">E63*(IF($A63&lt;$Q$6,INDEX(Surface_Engine!$D$12:$D$72,$A63+1)+(Surface_Engine!B236*12)*INDEX(Surface_Engine!$F$12:$F$72,$A63+1)-(Surface_Engine!B236*12),1000*12*INDEX(Surface_Engine!$C$12:$C$72,$A63+1)/(1+Assumptions!$B$10)^15+INDEX(Surface_Engine!$D$12:$D$72,$A63+1)))*INDEX(Surface_Engine!$B$12:$B$72,$A63+1)+I64</f>
        <v>1.31598234907117</v>
      </c>
      <c r="J63" s="48" t="n">
        <f aca="false">B63*(IF($A63&lt;$Q$6,INDEX(Surface_Engine!$D$12:$D$72,$A63+1)*(1+Assumptions!$B$24)+(Surface_Engine!B236*12)*INDEX(Surface_Engine!$F$12:$F$72,$A63+1)-(Surface_Engine!B236*12),1000*12*INDEX(Surface_Engine!$C$12:$C$72,$A63+1)/(1+Assumptions!$B$10)^15+INDEX(Surface_Engine!$D$12:$D$72,$A63+1)*(1+Assumptions!$B$24)))*INDEX(Surface_Engine!$B$12:$B$72,$A63+1)+J64</f>
        <v>1.19463956028817</v>
      </c>
      <c r="K63" s="12" t="n">
        <f aca="false">SQRT((IF(C63&lt;=0,0,MAX(0,(B63/C63)*G63/INDEX(Surface_Engine!$B$12:$B$72,$A63+1)-F63/INDEX(Surface_Engine!$B$12:$B$72,$A63+1))))^2+(MAX(IF(D63&lt;=0,0,MAX(0,(B63/D63)*H63/INDEX(Surface_Engine!$B$12:$B$72,$A63+1)-F63/INDEX(Surface_Engine!$B$12:$B$72,$A63+1))),IF(E63&lt;=0,0,MAX(0,(B63/E63)*I63/INDEX(Surface_Engine!$B$12:$B$72,$A63+1)-F63/INDEX(Surface_Engine!$B$12:$B$72,$A63+1))),IF($A63&lt;$Q$6,MAX(0,-Assumptions!$B$22*(F63/INDEX(Surface_Engine!$B$12:$B$72,$A63+1))),0)))^2+(MAX(0,J63/INDEX(Surface_Engine!$B$12:$B$72,$A63+1)-(F63/INDEX(Surface_Engine!$B$12:$B$72,$A63+1))))^2+2*Assumptions!$B$26*(IF(C63&lt;=0,0,MAX(0,(B63/C63)*G63/INDEX(Surface_Engine!$B$12:$B$72,$A63+1)-F63/INDEX(Surface_Engine!$B$12:$B$72,$A63+1))))*(MAX(IF(D63&lt;=0,0,MAX(0,(B63/D63)*H63/INDEX(Surface_Engine!$B$12:$B$72,$A63+1)-F63/INDEX(Surface_Engine!$B$12:$B$72,$A63+1))),IF(E63&lt;=0,0,MAX(0,(B63/E63)*I63/INDEX(Surface_Engine!$B$12:$B$72,$A63+1)-F63/INDEX(Surface_Engine!$B$12:$B$72,$A63+1))),IF($A63&lt;$Q$6,MAX(0,-Assumptions!$B$22*(F63/INDEX(Surface_Engine!$B$12:$B$72,$A63+1))),0)))+2*Assumptions!$B$27*(IF(C63&lt;=0,0,MAX(0,(B63/C63)*G63/INDEX(Surface_Engine!$B$12:$B$72,$A63+1)-F63/INDEX(Surface_Engine!$B$12:$B$72,$A63+1))))*(MAX(0,J63/INDEX(Surface_Engine!$B$12:$B$72,$A63+1)-(F63/INDEX(Surface_Engine!$B$12:$B$72,$A63+1))))+2*Assumptions!$B$28*(MAX(IF(D63&lt;=0,0,MAX(0,(B63/D63)*H63/INDEX(Surface_Engine!$B$12:$B$72,$A63+1)-F63/INDEX(Surface_Engine!$B$12:$B$72,$A63+1))),IF(E63&lt;=0,0,MAX(0,(B63/E63)*I63/INDEX(Surface_Engine!$B$12:$B$72,$A63+1)-F63/INDEX(Surface_Engine!$B$12:$B$72,$A63+1))),IF($A63&lt;$Q$6,MAX(0,-Assumptions!$B$22*(F63/INDEX(Surface_Engine!$B$12:$B$72,$A63+1))),0)))*(MAX(0,J63/INDEX(Surface_Engine!$B$12:$B$72,$A63+1)-(F63/INDEX(Surface_Engine!$B$12:$B$72,$A63+1)))))</f>
        <v>1.43171976446703</v>
      </c>
      <c r="L63" s="48" t="n">
        <f aca="false">K63*INDEX(Surface_Engine!$B$12:$B$72,$A63+1)+L64</f>
        <v>0.413573249014565</v>
      </c>
      <c r="M63" s="48" t="n">
        <f aca="false">M62+B62*(IF($A62&lt;$Q$6,(Surface_Engine!B236*12)-(Surface_Engine!B236*12)*INDEX(Surface_Engine!$F$12:$F$72,$A62+1)-INDEX(Surface_Engine!$D$12:$D$72,$A62+1),-(1000*12*INDEX(Surface_Engine!$C$12:$C$72,$A62+1)/(1+Assumptions!$B$10)^15+INDEX(Surface_Engine!$D$12:$D$72,$A62+1))))*INDEX(Surface_Engine!$B$12:$B$72,$A62+1)</f>
        <v>3102.40065760582</v>
      </c>
      <c r="N63" s="12" t="n">
        <f aca="false">IF(B63&lt;=0,0,MAX(0,(K63+Assumptions!$B$29*L63/INDEX(Surface_Engine!$B$12:$B$72,$A63+1)-(M63/INDEX(Surface_Engine!$B$12:$B$72,$A63+1)-(F63/INDEX(Surface_Engine!$B$12:$B$72,$A63+1))))/B63))</f>
        <v>0</v>
      </c>
    </row>
    <row r="64" customFormat="false" ht="15" hidden="false" customHeight="true" outlineLevel="0" collapsed="false">
      <c r="A64" s="1" t="n">
        <v>56</v>
      </c>
      <c r="B64" s="32" t="n">
        <f aca="false">INDEX(Surface_Engine!$G$12:$G$72,$A64+1)*IF($A64&lt;$Q$6,INDEX(Surface_Engine!$E$12:$E$72,$A64+1),INDEX(Surface_Engine!$E$12:$E$72,$Q$6+1))</f>
        <v>6.60419254640329E-005</v>
      </c>
      <c r="C64" s="32" t="n">
        <f aca="false">INDEX(Panel_Reserving!$B$8:$B$68,$A64+1)*IF($A64&lt;$Q$6,INDEX(Surface_Engine!$E$12:$E$72,$A64+1),INDEX(Surface_Engine!$E$12:$E$72,$Q$6+1))</f>
        <v>0.000629641375185028</v>
      </c>
      <c r="D64" s="32" t="n">
        <f aca="false">INDEX(Surface_Engine!$G$12:$G$72,$A64+1)*IF($A64&lt;$Q$6,INDEX(Surface_Engine!$Y$12:$Y$72,$A64+1),INDEX(Surface_Engine!$Y$12:$Y$72,$Q$6+1))</f>
        <v>5.98259836564499E-005</v>
      </c>
      <c r="E64" s="32" t="n">
        <f aca="false">INDEX(Surface_Engine!$G$12:$G$72,$A64+1)*IF($A64&lt;$Q$6,INDEX(Surface_Engine!$Z$12:$Z$72,$A64+1),INDEX(Surface_Engine!$Z$12:$Z$72,$Q$6+1))</f>
        <v>7.28368157779781E-005</v>
      </c>
      <c r="F64" s="48" t="n">
        <f aca="false">B64*(IF($A64&lt;$Q$6,INDEX(Surface_Engine!$D$12:$D$72,$A64+1)+(Surface_Engine!B236*12)*INDEX(Surface_Engine!$F$12:$F$72,$A64+1)-(Surface_Engine!B236*12),1000*12*INDEX(Surface_Engine!$C$12:$C$72,$A64+1)/(1+Assumptions!$B$10)^15+INDEX(Surface_Engine!$D$12:$D$72,$A64+1)))*INDEX(Surface_Engine!$B$12:$B$72,$A64+1)+F65</f>
        <v>0.53797632607409</v>
      </c>
      <c r="G64" s="48" t="n">
        <f aca="false">C64*(IF($A64&lt;$Q$6,INDEX(Surface_Engine!$D$12:$D$72,$A64+1)+(Surface_Engine!B236*12)*INDEX(Surface_Engine!$F$12:$F$72,$A64+1)-(Surface_Engine!B236*12),1000*12*INDEX(Surface_Engine!$C$12:$C$72,$A64+1)/(1+Assumptions!$B$10)^15+INDEX(Surface_Engine!$D$12:$D$72,$A64+1)))*INDEX(Surface_Engine!$B$12:$B$72,$A64+1)+G65</f>
        <v>6.14013215124615</v>
      </c>
      <c r="H64" s="48" t="n">
        <f aca="false">D64*(IF($A64&lt;$Q$6,INDEX(Surface_Engine!$D$12:$D$72,$A64+1)+(Surface_Engine!B236*12)*INDEX(Surface_Engine!$F$12:$F$72,$A64+1)-(Surface_Engine!B236*12),1000*12*INDEX(Surface_Engine!$C$12:$C$72,$A64+1)/(1+Assumptions!$B$10)^15+INDEX(Surface_Engine!$D$12:$D$72,$A64+1)))*INDEX(Surface_Engine!$B$12:$B$72,$A64+1)+H65</f>
        <v>0.487341376937802</v>
      </c>
      <c r="I64" s="48" t="n">
        <f aca="false">E64*(IF($A64&lt;$Q$6,INDEX(Surface_Engine!$D$12:$D$72,$A64+1)+(Surface_Engine!B236*12)*INDEX(Surface_Engine!$F$12:$F$72,$A64+1)-(Surface_Engine!B236*12),1000*12*INDEX(Surface_Engine!$C$12:$C$72,$A64+1)/(1+Assumptions!$B$10)^15+INDEX(Surface_Engine!$D$12:$D$72,$A64+1)))*INDEX(Surface_Engine!$B$12:$B$72,$A64+1)+I65</f>
        <v>0.593327379234456</v>
      </c>
      <c r="J64" s="48" t="n">
        <f aca="false">B64*(IF($A64&lt;$Q$6,INDEX(Surface_Engine!$D$12:$D$72,$A64+1)*(1+Assumptions!$B$24)+(Surface_Engine!B236*12)*INDEX(Surface_Engine!$F$12:$F$72,$A64+1)-(Surface_Engine!B236*12),1000*12*INDEX(Surface_Engine!$C$12:$C$72,$A64+1)/(1+Assumptions!$B$10)^15+INDEX(Surface_Engine!$D$12:$D$72,$A64+1)*(1+Assumptions!$B$24)))*INDEX(Surface_Engine!$B$12:$B$72,$A64+1)+J65</f>
        <v>0.53862132596993</v>
      </c>
      <c r="K64" s="12" t="n">
        <f aca="false">SQRT((IF(C64&lt;=0,0,MAX(0,(B64/C64)*G64/INDEX(Surface_Engine!$B$12:$B$72,$A64+1)-F64/INDEX(Surface_Engine!$B$12:$B$72,$A64+1))))^2+(MAX(IF(D64&lt;=0,0,MAX(0,(B64/D64)*H64/INDEX(Surface_Engine!$B$12:$B$72,$A64+1)-F64/INDEX(Surface_Engine!$B$12:$B$72,$A64+1))),IF(E64&lt;=0,0,MAX(0,(B64/E64)*I64/INDEX(Surface_Engine!$B$12:$B$72,$A64+1)-F64/INDEX(Surface_Engine!$B$12:$B$72,$A64+1))),IF($A64&lt;$Q$6,MAX(0,-Assumptions!$B$22*(F64/INDEX(Surface_Engine!$B$12:$B$72,$A64+1))),0)))^2+(MAX(0,J64/INDEX(Surface_Engine!$B$12:$B$72,$A64+1)-(F64/INDEX(Surface_Engine!$B$12:$B$72,$A64+1))))^2+2*Assumptions!$B$26*(IF(C64&lt;=0,0,MAX(0,(B64/C64)*G64/INDEX(Surface_Engine!$B$12:$B$72,$A64+1)-F64/INDEX(Surface_Engine!$B$12:$B$72,$A64+1))))*(MAX(IF(D64&lt;=0,0,MAX(0,(B64/D64)*H64/INDEX(Surface_Engine!$B$12:$B$72,$A64+1)-F64/INDEX(Surface_Engine!$B$12:$B$72,$A64+1))),IF(E64&lt;=0,0,MAX(0,(B64/E64)*I64/INDEX(Surface_Engine!$B$12:$B$72,$A64+1)-F64/INDEX(Surface_Engine!$B$12:$B$72,$A64+1))),IF($A64&lt;$Q$6,MAX(0,-Assumptions!$B$22*(F64/INDEX(Surface_Engine!$B$12:$B$72,$A64+1))),0)))+2*Assumptions!$B$27*(IF(C64&lt;=0,0,MAX(0,(B64/C64)*G64/INDEX(Surface_Engine!$B$12:$B$72,$A64+1)-F64/INDEX(Surface_Engine!$B$12:$B$72,$A64+1))))*(MAX(0,J64/INDEX(Surface_Engine!$B$12:$B$72,$A64+1)-(F64/INDEX(Surface_Engine!$B$12:$B$72,$A64+1))))+2*Assumptions!$B$28*(MAX(IF(D64&lt;=0,0,MAX(0,(B64/D64)*H64/INDEX(Surface_Engine!$B$12:$B$72,$A64+1)-F64/INDEX(Surface_Engine!$B$12:$B$72,$A64+1))),IF(E64&lt;=0,0,MAX(0,(B64/E64)*I64/INDEX(Surface_Engine!$B$12:$B$72,$A64+1)-F64/INDEX(Surface_Engine!$B$12:$B$72,$A64+1))),IF($A64&lt;$Q$6,MAX(0,-Assumptions!$B$22*(F64/INDEX(Surface_Engine!$B$12:$B$72,$A64+1))),0)))*(MAX(0,J64/INDEX(Surface_Engine!$B$12:$B$72,$A64+1)-(F64/INDEX(Surface_Engine!$B$12:$B$72,$A64+1)))))</f>
        <v>0.627572878809974</v>
      </c>
      <c r="L64" s="48" t="n">
        <f aca="false">K64*INDEX(Surface_Engine!$B$12:$B$72,$A64+1)+L65</f>
        <v>0.163318001201419</v>
      </c>
      <c r="M64" s="48" t="n">
        <f aca="false">M63+B63*(IF($A63&lt;$Q$6,(Surface_Engine!B236*12)-(Surface_Engine!B236*12)*INDEX(Surface_Engine!$F$12:$F$72,$A63+1)-INDEX(Surface_Engine!$D$12:$D$72,$A63+1),-(1000*12*INDEX(Surface_Engine!$C$12:$C$72,$A63+1)/(1+Assumptions!$B$10)^15+INDEX(Surface_Engine!$D$12:$D$72,$A63+1))))*INDEX(Surface_Engine!$B$12:$B$72,$A63+1)</f>
        <v>3101.74541856023</v>
      </c>
      <c r="N64" s="12" t="n">
        <f aca="false">IF(B64&lt;=0,0,MAX(0,(K64+Assumptions!$B$29*L64/INDEX(Surface_Engine!$B$12:$B$72,$A64+1)-(M64/INDEX(Surface_Engine!$B$12:$B$72,$A64+1)-(F64/INDEX(Surface_Engine!$B$12:$B$72,$A64+1))))/B64))</f>
        <v>0</v>
      </c>
    </row>
    <row r="65" customFormat="false" ht="15" hidden="false" customHeight="true" outlineLevel="0" collapsed="false">
      <c r="A65" s="1" t="n">
        <v>57</v>
      </c>
      <c r="B65" s="32" t="n">
        <f aca="false">INDEX(Surface_Engine!$G$12:$G$72,$A65+1)*IF($A65&lt;$Q$6,INDEX(Surface_Engine!$E$12:$E$72,$A65+1),INDEX(Surface_Engine!$E$12:$E$72,$Q$6+1))</f>
        <v>3.00918537624917E-005</v>
      </c>
      <c r="C65" s="32" t="n">
        <f aca="false">INDEX(Panel_Reserving!$B$8:$B$68,$A65+1)*IF($A65&lt;$Q$6,INDEX(Surface_Engine!$E$12:$E$72,$A65+1),INDEX(Surface_Engine!$E$12:$E$72,$Q$6+1))</f>
        <v>0.00035544400828377</v>
      </c>
      <c r="D65" s="32" t="n">
        <f aca="false">INDEX(Surface_Engine!$G$12:$G$72,$A65+1)*IF($A65&lt;$Q$6,INDEX(Surface_Engine!$Y$12:$Y$72,$A65+1),INDEX(Surface_Engine!$Y$12:$Y$72,$Q$6+1))</f>
        <v>2.72595739560555E-005</v>
      </c>
      <c r="E65" s="32" t="n">
        <f aca="false">INDEX(Surface_Engine!$G$12:$G$72,$A65+1)*IF($A65&lt;$Q$6,INDEX(Surface_Engine!$Z$12:$Z$72,$A65+1),INDEX(Surface_Engine!$Z$12:$Z$72,$Q$6+1))</f>
        <v>3.31879301446191E-005</v>
      </c>
      <c r="F65" s="48" t="n">
        <f aca="false">B65*(IF($A65&lt;$Q$6,INDEX(Surface_Engine!$D$12:$D$72,$A65+1)+(Surface_Engine!B236*12)*INDEX(Surface_Engine!$F$12:$F$72,$A65+1)-(Surface_Engine!B236*12),1000*12*INDEX(Surface_Engine!$C$12:$C$72,$A65+1)/(1+Assumptions!$B$10)^15+INDEX(Surface_Engine!$D$12:$D$72,$A65+1)))*INDEX(Surface_Engine!$B$12:$B$72,$A65+1)+F66</f>
        <v>0.232240690602529</v>
      </c>
      <c r="G65" s="48" t="n">
        <f aca="false">C65*(IF($A65&lt;$Q$6,INDEX(Surface_Engine!$D$12:$D$72,$A65+1)+(Surface_Engine!B236*12)*INDEX(Surface_Engine!$F$12:$F$72,$A65+1)-(Surface_Engine!B236*12),1000*12*INDEX(Surface_Engine!$C$12:$C$72,$A65+1)/(1+Assumptions!$B$10)^15+INDEX(Surface_Engine!$D$12:$D$72,$A65+1)))*INDEX(Surface_Engine!$B$12:$B$72,$A65+1)+G66</f>
        <v>3.22525944563097</v>
      </c>
      <c r="H65" s="48" t="n">
        <f aca="false">D65*(IF($A65&lt;$Q$6,INDEX(Surface_Engine!$D$12:$D$72,$A65+1)+(Surface_Engine!B236*12)*INDEX(Surface_Engine!$F$12:$F$72,$A65+1)-(Surface_Engine!B236*12),1000*12*INDEX(Surface_Engine!$C$12:$C$72,$A65+1)/(1+Assumptions!$B$10)^15+INDEX(Surface_Engine!$D$12:$D$72,$A65+1)))*INDEX(Surface_Engine!$B$12:$B$72,$A65+1)+H66</f>
        <v>0.210381930307534</v>
      </c>
      <c r="I65" s="48" t="n">
        <f aca="false">E65*(IF($A65&lt;$Q$6,INDEX(Surface_Engine!$D$12:$D$72,$A65+1)+(Surface_Engine!B236*12)*INDEX(Surface_Engine!$F$12:$F$72,$A65+1)-(Surface_Engine!B236*12),1000*12*INDEX(Surface_Engine!$C$12:$C$72,$A65+1)/(1+Assumptions!$B$10)^15+INDEX(Surface_Engine!$D$12:$D$72,$A65+1)))*INDEX(Surface_Engine!$B$12:$B$72,$A65+1)+I66</f>
        <v>0.256135360662361</v>
      </c>
      <c r="J65" s="48" t="n">
        <f aca="false">B65*(IF($A65&lt;$Q$6,INDEX(Surface_Engine!$D$12:$D$72,$A65+1)*(1+Assumptions!$B$24)+(Surface_Engine!B236*12)*INDEX(Surface_Engine!$F$12:$F$72,$A65+1)-(Surface_Engine!B236*12),1000*12*INDEX(Surface_Engine!$C$12:$C$72,$A65+1)/(1+Assumptions!$B$10)^15+INDEX(Surface_Engine!$D$12:$D$72,$A65+1)*(1+Assumptions!$B$24)))*INDEX(Surface_Engine!$B$12:$B$72,$A65+1)+J66</f>
        <v>0.232520358819909</v>
      </c>
      <c r="K65" s="12" t="n">
        <f aca="false">SQRT((IF(C65&lt;=0,0,MAX(0,(B65/C65)*G65/INDEX(Surface_Engine!$B$12:$B$72,$A65+1)-F65/INDEX(Surface_Engine!$B$12:$B$72,$A65+1))))^2+(MAX(IF(D65&lt;=0,0,MAX(0,(B65/D65)*H65/INDEX(Surface_Engine!$B$12:$B$72,$A65+1)-F65/INDEX(Surface_Engine!$B$12:$B$72,$A65+1))),IF(E65&lt;=0,0,MAX(0,(B65/E65)*I65/INDEX(Surface_Engine!$B$12:$B$72,$A65+1)-F65/INDEX(Surface_Engine!$B$12:$B$72,$A65+1))),IF($A65&lt;$Q$6,MAX(0,-Assumptions!$B$22*(F65/INDEX(Surface_Engine!$B$12:$B$72,$A65+1))),0)))^2+(MAX(0,J65/INDEX(Surface_Engine!$B$12:$B$72,$A65+1)-(F65/INDEX(Surface_Engine!$B$12:$B$72,$A65+1))))^2+2*Assumptions!$B$26*(IF(C65&lt;=0,0,MAX(0,(B65/C65)*G65/INDEX(Surface_Engine!$B$12:$B$72,$A65+1)-F65/INDEX(Surface_Engine!$B$12:$B$72,$A65+1))))*(MAX(IF(D65&lt;=0,0,MAX(0,(B65/D65)*H65/INDEX(Surface_Engine!$B$12:$B$72,$A65+1)-F65/INDEX(Surface_Engine!$B$12:$B$72,$A65+1))),IF(E65&lt;=0,0,MAX(0,(B65/E65)*I65/INDEX(Surface_Engine!$B$12:$B$72,$A65+1)-F65/INDEX(Surface_Engine!$B$12:$B$72,$A65+1))),IF($A65&lt;$Q$6,MAX(0,-Assumptions!$B$22*(F65/INDEX(Surface_Engine!$B$12:$B$72,$A65+1))),0)))+2*Assumptions!$B$27*(IF(C65&lt;=0,0,MAX(0,(B65/C65)*G65/INDEX(Surface_Engine!$B$12:$B$72,$A65+1)-F65/INDEX(Surface_Engine!$B$12:$B$72,$A65+1))))*(MAX(0,J65/INDEX(Surface_Engine!$B$12:$B$72,$A65+1)-(F65/INDEX(Surface_Engine!$B$12:$B$72,$A65+1))))+2*Assumptions!$B$28*(MAX(IF(D65&lt;=0,0,MAX(0,(B65/D65)*H65/INDEX(Surface_Engine!$B$12:$B$72,$A65+1)-F65/INDEX(Surface_Engine!$B$12:$B$72,$A65+1))),IF(E65&lt;=0,0,MAX(0,(B65/E65)*I65/INDEX(Surface_Engine!$B$12:$B$72,$A65+1)-F65/INDEX(Surface_Engine!$B$12:$B$72,$A65+1))),IF($A65&lt;$Q$6,MAX(0,-Assumptions!$B$22*(F65/INDEX(Surface_Engine!$B$12:$B$72,$A65+1))),0)))*(MAX(0,J65/INDEX(Surface_Engine!$B$12:$B$72,$A65+1)-(F65/INDEX(Surface_Engine!$B$12:$B$72,$A65+1)))))</f>
        <v>0.24946674951089</v>
      </c>
      <c r="L65" s="48" t="n">
        <f aca="false">K65*INDEX(Surface_Engine!$B$12:$B$72,$A65+1)+L66</f>
        <v>0.0571040761873315</v>
      </c>
      <c r="M65" s="48" t="n">
        <f aca="false">M64+B64*(IF($A64&lt;$Q$6,(Surface_Engine!B236*12)-(Surface_Engine!B236*12)*INDEX(Surface_Engine!$F$12:$F$72,$A64+1)-INDEX(Surface_Engine!$D$12:$D$72,$A64+1),-(1000*12*INDEX(Surface_Engine!$C$12:$C$72,$A64+1)/(1+Assumptions!$B$10)^15+INDEX(Surface_Engine!$D$12:$D$72,$A64+1))))*INDEX(Surface_Engine!$B$12:$B$72,$A64+1)</f>
        <v>3101.43968292476</v>
      </c>
      <c r="N65" s="12" t="n">
        <f aca="false">IF(B65&lt;=0,0,MAX(0,(K65+Assumptions!$B$29*L65/INDEX(Surface_Engine!$B$12:$B$72,$A65+1)-(M65/INDEX(Surface_Engine!$B$12:$B$72,$A65+1)-(F65/INDEX(Surface_Engine!$B$12:$B$72,$A65+1))))/B65))</f>
        <v>0</v>
      </c>
    </row>
    <row r="66" customFormat="false" ht="15" hidden="false" customHeight="true" outlineLevel="0" collapsed="false">
      <c r="A66" s="1" t="n">
        <v>58</v>
      </c>
      <c r="B66" s="32" t="n">
        <f aca="false">INDEX(Surface_Engine!$G$12:$G$72,$A66+1)*IF($A66&lt;$Q$6,INDEX(Surface_Engine!$E$12:$E$72,$A66+1),INDEX(Surface_Engine!$E$12:$E$72,$Q$6+1))</f>
        <v>1.32160109451423E-005</v>
      </c>
      <c r="C66" s="32" t="n">
        <f aca="false">INDEX(Panel_Reserving!$B$8:$B$68,$A66+1)*IF($A66&lt;$Q$6,INDEX(Surface_Engine!$E$12:$E$72,$A66+1),INDEX(Surface_Engine!$E$12:$E$72,$Q$6+1))</f>
        <v>0.000195974478449956</v>
      </c>
      <c r="D66" s="32" t="n">
        <f aca="false">INDEX(Surface_Engine!$G$12:$G$72,$A66+1)*IF($A66&lt;$Q$6,INDEX(Surface_Engine!$Y$12:$Y$72,$A66+1),INDEX(Surface_Engine!$Y$12:$Y$72,$Q$6+1))</f>
        <v>1.19721048296532E-005</v>
      </c>
      <c r="E66" s="32" t="n">
        <f aca="false">INDEX(Surface_Engine!$G$12:$G$72,$A66+1)*IF($A66&lt;$Q$6,INDEX(Surface_Engine!$Z$12:$Z$72,$A66+1),INDEX(Surface_Engine!$Z$12:$Z$72,$Q$6+1))</f>
        <v>1.45757736130107E-005</v>
      </c>
      <c r="F66" s="48" t="n">
        <f aca="false">B66*(IF($A66&lt;$Q$6,INDEX(Surface_Engine!$D$12:$D$72,$A66+1)+(Surface_Engine!B236*12)*INDEX(Surface_Engine!$F$12:$F$72,$A66+1)-(Surface_Engine!B236*12),1000*12*INDEX(Surface_Engine!$C$12:$C$72,$A66+1)/(1+Assumptions!$B$10)^15+INDEX(Surface_Engine!$D$12:$D$72,$A66+1)))*INDEX(Surface_Engine!$B$12:$B$72,$A66+1)+F67</f>
        <v>0.0946514122292132</v>
      </c>
      <c r="G66" s="48" t="n">
        <f aca="false">C66*(IF($A66&lt;$Q$6,INDEX(Surface_Engine!$D$12:$D$72,$A66+1)+(Surface_Engine!B236*12)*INDEX(Surface_Engine!$F$12:$F$72,$A66+1)-(Surface_Engine!B236*12),1000*12*INDEX(Surface_Engine!$C$12:$C$72,$A66+1)/(1+Assumptions!$B$10)^15+INDEX(Surface_Engine!$D$12:$D$72,$A66+1)))*INDEX(Surface_Engine!$B$12:$B$72,$A66+1)+G67</f>
        <v>1.60005931712173</v>
      </c>
      <c r="H66" s="48" t="n">
        <f aca="false">D66*(IF($A66&lt;$Q$6,INDEX(Surface_Engine!$D$12:$D$72,$A66+1)+(Surface_Engine!B236*12)*INDEX(Surface_Engine!$F$12:$F$72,$A66+1)-(Surface_Engine!B236*12),1000*12*INDEX(Surface_Engine!$C$12:$C$72,$A66+1)/(1+Assumptions!$B$10)^15+INDEX(Surface_Engine!$D$12:$D$72,$A66+1)))*INDEX(Surface_Engine!$B$12:$B$72,$A66+1)+H67</f>
        <v>0.0857427126979926</v>
      </c>
      <c r="I66" s="48" t="n">
        <f aca="false">E66*(IF($A66&lt;$Q$6,INDEX(Surface_Engine!$D$12:$D$72,$A66+1)+(Surface_Engine!B236*12)*INDEX(Surface_Engine!$F$12:$F$72,$A66+1)-(Surface_Engine!B236*12),1000*12*INDEX(Surface_Engine!$C$12:$C$72,$A66+1)/(1+Assumptions!$B$10)^15+INDEX(Surface_Engine!$D$12:$D$72,$A66+1)))*INDEX(Surface_Engine!$B$12:$B$72,$A66+1)+I67</f>
        <v>0.104389861852518</v>
      </c>
      <c r="J66" s="48" t="n">
        <f aca="false">B66*(IF($A66&lt;$Q$6,INDEX(Surface_Engine!$D$12:$D$72,$A66+1)*(1+Assumptions!$B$24)+(Surface_Engine!B236*12)*INDEX(Surface_Engine!$F$12:$F$72,$A66+1)-(Surface_Engine!B236*12),1000*12*INDEX(Surface_Engine!$C$12:$C$72,$A66+1)/(1+Assumptions!$B$10)^15+INDEX(Surface_Engine!$D$12:$D$72,$A66+1)*(1+Assumptions!$B$24)))*INDEX(Surface_Engine!$B$12:$B$72,$A66+1)+J67</f>
        <v>0.0947658750921043</v>
      </c>
      <c r="K66" s="12" t="n">
        <f aca="false">SQRT((IF(C66&lt;=0,0,MAX(0,(B66/C66)*G66/INDEX(Surface_Engine!$B$12:$B$72,$A66+1)-F66/INDEX(Surface_Engine!$B$12:$B$72,$A66+1))))^2+(MAX(IF(D66&lt;=0,0,MAX(0,(B66/D66)*H66/INDEX(Surface_Engine!$B$12:$B$72,$A66+1)-F66/INDEX(Surface_Engine!$B$12:$B$72,$A66+1))),IF(E66&lt;=0,0,MAX(0,(B66/E66)*I66/INDEX(Surface_Engine!$B$12:$B$72,$A66+1)-F66/INDEX(Surface_Engine!$B$12:$B$72,$A66+1))),IF($A66&lt;$Q$6,MAX(0,-Assumptions!$B$22*(F66/INDEX(Surface_Engine!$B$12:$B$72,$A66+1))),0)))^2+(MAX(0,J66/INDEX(Surface_Engine!$B$12:$B$72,$A66+1)-(F66/INDEX(Surface_Engine!$B$12:$B$72,$A66+1))))^2+2*Assumptions!$B$26*(IF(C66&lt;=0,0,MAX(0,(B66/C66)*G66/INDEX(Surface_Engine!$B$12:$B$72,$A66+1)-F66/INDEX(Surface_Engine!$B$12:$B$72,$A66+1))))*(MAX(IF(D66&lt;=0,0,MAX(0,(B66/D66)*H66/INDEX(Surface_Engine!$B$12:$B$72,$A66+1)-F66/INDEX(Surface_Engine!$B$12:$B$72,$A66+1))),IF(E66&lt;=0,0,MAX(0,(B66/E66)*I66/INDEX(Surface_Engine!$B$12:$B$72,$A66+1)-F66/INDEX(Surface_Engine!$B$12:$B$72,$A66+1))),IF($A66&lt;$Q$6,MAX(0,-Assumptions!$B$22*(F66/INDEX(Surface_Engine!$B$12:$B$72,$A66+1))),0)))+2*Assumptions!$B$27*(IF(C66&lt;=0,0,MAX(0,(B66/C66)*G66/INDEX(Surface_Engine!$B$12:$B$72,$A66+1)-F66/INDEX(Surface_Engine!$B$12:$B$72,$A66+1))))*(MAX(0,J66/INDEX(Surface_Engine!$B$12:$B$72,$A66+1)-(F66/INDEX(Surface_Engine!$B$12:$B$72,$A66+1))))+2*Assumptions!$B$28*(MAX(IF(D66&lt;=0,0,MAX(0,(B66/D66)*H66/INDEX(Surface_Engine!$B$12:$B$72,$A66+1)-F66/INDEX(Surface_Engine!$B$12:$B$72,$A66+1))),IF(E66&lt;=0,0,MAX(0,(B66/E66)*I66/INDEX(Surface_Engine!$B$12:$B$72,$A66+1)-F66/INDEX(Surface_Engine!$B$12:$B$72,$A66+1))),IF($A66&lt;$Q$6,MAX(0,-Assumptions!$B$22*(F66/INDEX(Surface_Engine!$B$12:$B$72,$A66+1))),0)))*(MAX(0,J66/INDEX(Surface_Engine!$B$12:$B$72,$A66+1)-(F66/INDEX(Surface_Engine!$B$12:$B$72,$A66+1)))))</f>
        <v>0.083708869470669</v>
      </c>
      <c r="L66" s="48" t="n">
        <f aca="false">K66*INDEX(Surface_Engine!$B$12:$B$72,$A66+1)+L67</f>
        <v>0.0162238146886303</v>
      </c>
      <c r="M66" s="48" t="n">
        <f aca="false">M65+B65*(IF($A65&lt;$Q$6,(Surface_Engine!B236*12)-(Surface_Engine!B236*12)*INDEX(Surface_Engine!$F$12:$F$72,$A65+1)-INDEX(Surface_Engine!$D$12:$D$72,$A65+1),-(1000*12*INDEX(Surface_Engine!$C$12:$C$72,$A65+1)/(1+Assumptions!$B$10)^15+INDEX(Surface_Engine!$D$12:$D$72,$A65+1))))*INDEX(Surface_Engine!$B$12:$B$72,$A65+1)</f>
        <v>3101.30209364639</v>
      </c>
      <c r="N66" s="12" t="n">
        <f aca="false">IF(B66&lt;=0,0,MAX(0,(K66+Assumptions!$B$29*L66/INDEX(Surface_Engine!$B$12:$B$72,$A66+1)-(M66/INDEX(Surface_Engine!$B$12:$B$72,$A66+1)-(F66/INDEX(Surface_Engine!$B$12:$B$72,$A66+1))))/B66))</f>
        <v>0</v>
      </c>
    </row>
    <row r="67" customFormat="false" ht="15" hidden="false" customHeight="true" outlineLevel="0" collapsed="false">
      <c r="A67" s="1" t="n">
        <v>59</v>
      </c>
      <c r="B67" s="32" t="n">
        <f aca="false">INDEX(Surface_Engine!$G$12:$G$72,$A67+1)*IF($A67&lt;$Q$6,INDEX(Surface_Engine!$E$12:$E$72,$A67+1),INDEX(Surface_Engine!$E$12:$E$72,$Q$6+1))</f>
        <v>5.59145639285563E-006</v>
      </c>
      <c r="C67" s="32" t="n">
        <f aca="false">INDEX(Panel_Reserving!$B$8:$B$68,$A67+1)*IF($A67&lt;$Q$6,INDEX(Surface_Engine!$E$12:$E$72,$A67+1),INDEX(Surface_Engine!$E$12:$E$72,$Q$6+1))</f>
        <v>0.000105525515718318</v>
      </c>
      <c r="D67" s="32" t="n">
        <f aca="false">INDEX(Surface_Engine!$G$12:$G$72,$A67+1)*IF($A67&lt;$Q$6,INDEX(Surface_Engine!$Y$12:$Y$72,$A67+1),INDEX(Surface_Engine!$Y$12:$Y$72,$Q$6+1))</f>
        <v>5.06518210098089E-006</v>
      </c>
      <c r="E67" s="32" t="n">
        <f aca="false">INDEX(Surface_Engine!$G$12:$G$72,$A67+1)*IF($A67&lt;$Q$6,INDEX(Surface_Engine!$Z$12:$Z$72,$A67+1),INDEX(Surface_Engine!$Z$12:$Z$72,$Q$6+1))</f>
        <v>6.16674750706388E-006</v>
      </c>
      <c r="F67" s="48" t="n">
        <f aca="false">B67*(IF($A67&lt;$Q$6,INDEX(Surface_Engine!$D$12:$D$72,$A67+1)+(Surface_Engine!B236*12)*INDEX(Surface_Engine!$F$12:$F$72,$A67+1)-(Surface_Engine!B236*12),1000*12*INDEX(Surface_Engine!$C$12:$C$72,$A67+1)/(1+Assumptions!$B$10)^15+INDEX(Surface_Engine!$D$12:$D$72,$A67+1)))*INDEX(Surface_Engine!$B$12:$B$72,$A67+1)+F68</f>
        <v>0.0349702782668194</v>
      </c>
      <c r="G67" s="48" t="n">
        <f aca="false">C67*(IF($A67&lt;$Q$6,INDEX(Surface_Engine!$D$12:$D$72,$A67+1)+(Surface_Engine!B236*12)*INDEX(Surface_Engine!$F$12:$F$72,$A67+1)-(Surface_Engine!B236*12),1000*12*INDEX(Surface_Engine!$C$12:$C$72,$A67+1)/(1+Assumptions!$B$10)^15+INDEX(Surface_Engine!$D$12:$D$72,$A67+1)))*INDEX(Surface_Engine!$B$12:$B$72,$A67+1)+G68</f>
        <v>0.715073737877713</v>
      </c>
      <c r="H67" s="48" t="n">
        <f aca="false">D67*(IF($A67&lt;$Q$6,INDEX(Surface_Engine!$D$12:$D$72,$A67+1)+(Surface_Engine!B236*12)*INDEX(Surface_Engine!$F$12:$F$72,$A67+1)-(Surface_Engine!B236*12),1000*12*INDEX(Surface_Engine!$C$12:$C$72,$A67+1)/(1+Assumptions!$B$10)^15+INDEX(Surface_Engine!$D$12:$D$72,$A67+1)))*INDEX(Surface_Engine!$B$12:$B$72,$A67+1)+H68</f>
        <v>0.0316788355480587</v>
      </c>
      <c r="I67" s="48" t="n">
        <f aca="false">E67*(IF($A67&lt;$Q$6,INDEX(Surface_Engine!$D$12:$D$72,$A67+1)+(Surface_Engine!B236*12)*INDEX(Surface_Engine!$F$12:$F$72,$A67+1)-(Surface_Engine!B236*12),1000*12*INDEX(Surface_Engine!$C$12:$C$72,$A67+1)/(1+Assumptions!$B$10)^15+INDEX(Surface_Engine!$D$12:$D$72,$A67+1)))*INDEX(Surface_Engine!$B$12:$B$72,$A67+1)+I68</f>
        <v>0.038568283676286</v>
      </c>
      <c r="J67" s="48" t="n">
        <f aca="false">B67*(IF($A67&lt;$Q$6,INDEX(Surface_Engine!$D$12:$D$72,$A67+1)*(1+Assumptions!$B$24)+(Surface_Engine!B236*12)*INDEX(Surface_Engine!$F$12:$F$72,$A67+1)-(Surface_Engine!B236*12),1000*12*INDEX(Surface_Engine!$C$12:$C$72,$A67+1)/(1+Assumptions!$B$10)^15+INDEX(Surface_Engine!$D$12:$D$72,$A67+1)*(1+Assumptions!$B$24)))*INDEX(Surface_Engine!$B$12:$B$72,$A67+1)+J68</f>
        <v>0.0350127341284522</v>
      </c>
      <c r="K67" s="12" t="n">
        <f aca="false">SQRT((IF(C67&lt;=0,0,MAX(0,(B67/C67)*G67/INDEX(Surface_Engine!$B$12:$B$72,$A67+1)-F67/INDEX(Surface_Engine!$B$12:$B$72,$A67+1))))^2+(MAX(IF(D67&lt;=0,0,MAX(0,(B67/D67)*H67/INDEX(Surface_Engine!$B$12:$B$72,$A67+1)-F67/INDEX(Surface_Engine!$B$12:$B$72,$A67+1))),IF(E67&lt;=0,0,MAX(0,(B67/E67)*I67/INDEX(Surface_Engine!$B$12:$B$72,$A67+1)-F67/INDEX(Surface_Engine!$B$12:$B$72,$A67+1))),IF($A67&lt;$Q$6,MAX(0,-Assumptions!$B$22*(F67/INDEX(Surface_Engine!$B$12:$B$72,$A67+1))),0)))^2+(MAX(0,J67/INDEX(Surface_Engine!$B$12:$B$72,$A67+1)-(F67/INDEX(Surface_Engine!$B$12:$B$72,$A67+1))))^2+2*Assumptions!$B$26*(IF(C67&lt;=0,0,MAX(0,(B67/C67)*G67/INDEX(Surface_Engine!$B$12:$B$72,$A67+1)-F67/INDEX(Surface_Engine!$B$12:$B$72,$A67+1))))*(MAX(IF(D67&lt;=0,0,MAX(0,(B67/D67)*H67/INDEX(Surface_Engine!$B$12:$B$72,$A67+1)-F67/INDEX(Surface_Engine!$B$12:$B$72,$A67+1))),IF(E67&lt;=0,0,MAX(0,(B67/E67)*I67/INDEX(Surface_Engine!$B$12:$B$72,$A67+1)-F67/INDEX(Surface_Engine!$B$12:$B$72,$A67+1))),IF($A67&lt;$Q$6,MAX(0,-Assumptions!$B$22*(F67/INDEX(Surface_Engine!$B$12:$B$72,$A67+1))),0)))+2*Assumptions!$B$27*(IF(C67&lt;=0,0,MAX(0,(B67/C67)*G67/INDEX(Surface_Engine!$B$12:$B$72,$A67+1)-F67/INDEX(Surface_Engine!$B$12:$B$72,$A67+1))))*(MAX(0,J67/INDEX(Surface_Engine!$B$12:$B$72,$A67+1)-(F67/INDEX(Surface_Engine!$B$12:$B$72,$A67+1))))+2*Assumptions!$B$28*(MAX(IF(D67&lt;=0,0,MAX(0,(B67/D67)*H67/INDEX(Surface_Engine!$B$12:$B$72,$A67+1)-F67/INDEX(Surface_Engine!$B$12:$B$72,$A67+1))),IF(E67&lt;=0,0,MAX(0,(B67/E67)*I67/INDEX(Surface_Engine!$B$12:$B$72,$A67+1)-F67/INDEX(Surface_Engine!$B$12:$B$72,$A67+1))),IF($A67&lt;$Q$6,MAX(0,-Assumptions!$B$22*(F67/INDEX(Surface_Engine!$B$12:$B$72,$A67+1))),0)))*(MAX(0,J67/INDEX(Surface_Engine!$B$12:$B$72,$A67+1)-(F67/INDEX(Surface_Engine!$B$12:$B$72,$A67+1)))))</f>
        <v>0.019073713184534</v>
      </c>
      <c r="L67" s="48" t="n">
        <f aca="false">K67*INDEX(Surface_Engine!$B$12:$B$72,$A67+1)+L68</f>
        <v>0.0029422951074318</v>
      </c>
      <c r="M67" s="48" t="n">
        <f aca="false">M66+B66*(IF($A66&lt;$Q$6,(Surface_Engine!B236*12)-(Surface_Engine!B236*12)*INDEX(Surface_Engine!$F$12:$F$72,$A66+1)-INDEX(Surface_Engine!$D$12:$D$72,$A66+1),-(1000*12*INDEX(Surface_Engine!$C$12:$C$72,$A66+1)/(1+Assumptions!$B$10)^15+INDEX(Surface_Engine!$D$12:$D$72,$A66+1))))*INDEX(Surface_Engine!$B$12:$B$72,$A66+1)</f>
        <v>3101.24241251242</v>
      </c>
      <c r="N67" s="12" t="n">
        <f aca="false">IF(B67&lt;=0,0,MAX(0,(K67+Assumptions!$B$29*L67/INDEX(Surface_Engine!$B$12:$B$72,$A67+1)-(M67/INDEX(Surface_Engine!$B$12:$B$72,$A67+1)-(F67/INDEX(Surface_Engine!$B$12:$B$72,$A67+1))))/B67))</f>
        <v>0</v>
      </c>
    </row>
    <row r="68" customFormat="false" ht="15" hidden="false" customHeight="true" outlineLevel="0" collapsed="false">
      <c r="A68" s="1" t="n">
        <v>60</v>
      </c>
      <c r="B68" s="32" t="n">
        <f aca="false">INDEX(Surface_Engine!$G$12:$G$72,$A68+1)*IF($A68&lt;$Q$6,INDEX(Surface_Engine!$E$12:$E$72,$A68+1),INDEX(Surface_Engine!$E$12:$E$72,$Q$6+1))</f>
        <v>2.27773796296229E-006</v>
      </c>
      <c r="C68" s="32" t="n">
        <f aca="false">INDEX(Panel_Reserving!$B$8:$B$68,$A68+1)*IF($A68&lt;$Q$6,INDEX(Surface_Engine!$E$12:$E$72,$A68+1),INDEX(Surface_Engine!$E$12:$E$72,$Q$6+1))</f>
        <v>5.54946369359545E-005</v>
      </c>
      <c r="D68" s="32" t="n">
        <f aca="false">INDEX(Surface_Engine!$G$12:$G$72,$A68+1)*IF($A68&lt;$Q$6,INDEX(Surface_Engine!$Y$12:$Y$72,$A68+1),INDEX(Surface_Engine!$Y$12:$Y$72,$Q$6+1))</f>
        <v>2.06335465219091E-006</v>
      </c>
      <c r="E68" s="32" t="n">
        <f aca="false">INDEX(Surface_Engine!$G$12:$G$72,$A68+1)*IF($A68&lt;$Q$6,INDEX(Surface_Engine!$Z$12:$Z$72,$A68+1),INDEX(Surface_Engine!$Z$12:$Z$72,$Q$6+1))</f>
        <v>2.51208878652613E-006</v>
      </c>
      <c r="F68" s="48" t="n">
        <f aca="false">B68*(IF($A68&lt;$Q$6,INDEX(Surface_Engine!$D$12:$D$72,$A68+1)+(Surface_Engine!B236*12)*INDEX(Surface_Engine!$F$12:$F$72,$A68+1)-(Surface_Engine!B236*12),1000*12*INDEX(Surface_Engine!$C$12:$C$72,$A68+1)/(1+Assumptions!$B$10)^15+INDEX(Surface_Engine!$D$12:$D$72,$A68+1)))*INDEX(Surface_Engine!$B$12:$B$72,$A68+1)</f>
        <v>0.0100326953599222</v>
      </c>
      <c r="G68" s="48" t="n">
        <f aca="false">C68*(IF($A68&lt;$Q$6,INDEX(Surface_Engine!$D$12:$D$72,$A68+1)+(Surface_Engine!B236*12)*INDEX(Surface_Engine!$F$12:$F$72,$A68+1)-(Surface_Engine!B236*12),1000*12*INDEX(Surface_Engine!$C$12:$C$72,$A68+1)/(1+Assumptions!$B$10)^15+INDEX(Surface_Engine!$D$12:$D$72,$A68+1)))*INDEX(Surface_Engine!$B$12:$B$72,$A68+1)</f>
        <v>0.244435837458592</v>
      </c>
      <c r="H68" s="48" t="n">
        <f aca="false">D68*(IF($A68&lt;$Q$6,INDEX(Surface_Engine!$D$12:$D$72,$A68+1)+(Surface_Engine!B236*12)*INDEX(Surface_Engine!$F$12:$F$72,$A68+1)-(Surface_Engine!B236*12),1000*12*INDEX(Surface_Engine!$C$12:$C$72,$A68+1)/(1+Assumptions!$B$10)^15+INDEX(Surface_Engine!$D$12:$D$72,$A68+1)))*INDEX(Surface_Engine!$B$12:$B$72,$A68+1)</f>
        <v>0.00908840656015896</v>
      </c>
      <c r="I68" s="48" t="n">
        <f aca="false">E68*(IF($A68&lt;$Q$6,INDEX(Surface_Engine!$D$12:$D$72,$A68+1)+(Surface_Engine!B236*12)*INDEX(Surface_Engine!$F$12:$F$72,$A68+1)-(Surface_Engine!B236*12),1000*12*INDEX(Surface_Engine!$C$12:$C$72,$A68+1)/(1+Assumptions!$B$10)^15+INDEX(Surface_Engine!$D$12:$D$72,$A68+1)))*INDEX(Surface_Engine!$B$12:$B$72,$A68+1)</f>
        <v>0.0110649345631996</v>
      </c>
      <c r="J68" s="48" t="n">
        <f aca="false">B68*(IF($A68&lt;$Q$6,INDEX(Surface_Engine!$D$12:$D$72,$A68+1)*(1+Assumptions!$B$24)+(Surface_Engine!B236*12)*INDEX(Surface_Engine!$F$12:$F$72,$A68+1)-(Surface_Engine!B236*12),1000*12*INDEX(Surface_Engine!$C$12:$C$72,$A68+1)/(1+Assumptions!$B$10)^15+INDEX(Surface_Engine!$D$12:$D$72,$A68+1)*(1+Assumptions!$B$24)))*INDEX(Surface_Engine!$B$12:$B$72,$A68+1)</f>
        <v>0.010044917610321</v>
      </c>
      <c r="K68" s="12" t="n">
        <f aca="false">SQRT((IF(C68&lt;=0,0,MAX(0,(B68/C68)*G68/INDEX(Surface_Engine!$B$12:$B$72,$A68+1)-F68/INDEX(Surface_Engine!$B$12:$B$72,$A68+1))))^2+(MAX(IF(D68&lt;=0,0,MAX(0,(B68/D68)*H68/INDEX(Surface_Engine!$B$12:$B$72,$A68+1)-F68/INDEX(Surface_Engine!$B$12:$B$72,$A68+1))),IF(E68&lt;=0,0,MAX(0,(B68/E68)*I68/INDEX(Surface_Engine!$B$12:$B$72,$A68+1)-F68/INDEX(Surface_Engine!$B$12:$B$72,$A68+1))),IF($A68&lt;$Q$6,MAX(0,-Assumptions!$B$22*(F68/INDEX(Surface_Engine!$B$12:$B$72,$A68+1))),0)))^2+(MAX(0,J68/INDEX(Surface_Engine!$B$12:$B$72,$A68+1)-(F68/INDEX(Surface_Engine!$B$12:$B$72,$A68+1))))^2+2*Assumptions!$B$26*(IF(C68&lt;=0,0,MAX(0,(B68/C68)*G68/INDEX(Surface_Engine!$B$12:$B$72,$A68+1)-F68/INDEX(Surface_Engine!$B$12:$B$72,$A68+1))))*(MAX(IF(D68&lt;=0,0,MAX(0,(B68/D68)*H68/INDEX(Surface_Engine!$B$12:$B$72,$A68+1)-F68/INDEX(Surface_Engine!$B$12:$B$72,$A68+1))),IF(E68&lt;=0,0,MAX(0,(B68/E68)*I68/INDEX(Surface_Engine!$B$12:$B$72,$A68+1)-F68/INDEX(Surface_Engine!$B$12:$B$72,$A68+1))),IF($A68&lt;$Q$6,MAX(0,-Assumptions!$B$22*(F68/INDEX(Surface_Engine!$B$12:$B$72,$A68+1))),0)))+2*Assumptions!$B$27*(IF(C68&lt;=0,0,MAX(0,(B68/C68)*G68/INDEX(Surface_Engine!$B$12:$B$72,$A68+1)-F68/INDEX(Surface_Engine!$B$12:$B$72,$A68+1))))*(MAX(0,J68/INDEX(Surface_Engine!$B$12:$B$72,$A68+1)-(F68/INDEX(Surface_Engine!$B$12:$B$72,$A68+1))))+2*Assumptions!$B$28*(MAX(IF(D68&lt;=0,0,MAX(0,(B68/D68)*H68/INDEX(Surface_Engine!$B$12:$B$72,$A68+1)-F68/INDEX(Surface_Engine!$B$12:$B$72,$A68+1))),IF(E68&lt;=0,0,MAX(0,(B68/E68)*I68/INDEX(Surface_Engine!$B$12:$B$72,$A68+1)-F68/INDEX(Surface_Engine!$B$12:$B$72,$A68+1))),IF($A68&lt;$Q$6,MAX(0,-Assumptions!$B$22*(F68/INDEX(Surface_Engine!$B$12:$B$72,$A68+1))),0)))*(MAX(0,J68/INDEX(Surface_Engine!$B$12:$B$72,$A68+1)-(F68/INDEX(Surface_Engine!$B$12:$B$72,$A68+1)))))</f>
        <v>8.21768587474098E-005</v>
      </c>
      <c r="L68" s="48" t="n">
        <f aca="false">K68*INDEX(Surface_Engine!$B$12:$B$72,$A68+1)</f>
        <v>1.22222503987845E-005</v>
      </c>
      <c r="M68" s="48" t="n">
        <f aca="false">M67+B67*(IF($A67&lt;$Q$6,(Surface_Engine!B236*12)-(Surface_Engine!B236*12)*INDEX(Surface_Engine!$F$12:$F$72,$A67+1)-INDEX(Surface_Engine!$D$12:$D$72,$A67+1),-(1000*12*INDEX(Surface_Engine!$C$12:$C$72,$A67+1)/(1+Assumptions!$B$10)^15+INDEX(Surface_Engine!$D$12:$D$72,$A67+1))))*INDEX(Surface_Engine!$B$12:$B$72,$A67+1)</f>
        <v>3101.21747492952</v>
      </c>
      <c r="N68" s="12" t="n">
        <f aca="false">IF(B68&lt;=0,0,MAX(0,(K68+Assumptions!$B$29*L68/INDEX(Surface_Engine!$B$12:$B$72,$A68+1)-(M68/INDEX(Surface_Engine!$B$12:$B$72,$A68+1)-(F68/INDEX(Surface_Engine!$B$12:$B$72,$A68+1))))/B68))</f>
        <v>0</v>
      </c>
    </row>
    <row r="69" customFormat="false" ht="15" hidden="false" customHeight="true" outlineLevel="0" collapsed="false">
      <c r="A69" s="4" t="str">
        <f aca="false">"entry "&amp;O69&amp;" / vesting "&amp;P69&amp;"   deferral "&amp;Q69</f>
        <v>entry 60 / vesting 80   deferral 20</v>
      </c>
      <c r="C69" s="49" t="n">
        <f aca="false">MAX(N8:N68)</f>
        <v>23250.7785519585</v>
      </c>
      <c r="E69" s="7" t="s">
        <v>1634</v>
      </c>
      <c r="G69" s="21" t="n">
        <f aca="false">INDEX(A8:A68,MATCH(C69,N8:N68,0))</f>
        <v>7</v>
      </c>
      <c r="J69" s="7" t="s">
        <v>1624</v>
      </c>
      <c r="K69" s="50" t="n">
        <f aca="false">Surface_Engine!G236</f>
        <v>391.738453837454</v>
      </c>
      <c r="O69" s="1" t="n">
        <f aca="false">A1714</f>
        <v>60</v>
      </c>
      <c r="P69" s="76" t="n">
        <f aca="false">C$1713</f>
        <v>80</v>
      </c>
      <c r="Q69" s="1" t="n">
        <f aca="false">P69-O69</f>
        <v>20</v>
      </c>
    </row>
    <row r="70" customFormat="false" ht="15" hidden="false" customHeight="true" outlineLevel="0" collapsed="false">
      <c r="A70" s="8" t="s">
        <v>802</v>
      </c>
      <c r="B70" s="8" t="s">
        <v>1584</v>
      </c>
      <c r="C70" s="8" t="s">
        <v>1585</v>
      </c>
      <c r="D70" s="8" t="s">
        <v>1587</v>
      </c>
      <c r="E70" s="8" t="s">
        <v>1588</v>
      </c>
      <c r="F70" s="8" t="s">
        <v>1625</v>
      </c>
      <c r="G70" s="8" t="s">
        <v>1626</v>
      </c>
      <c r="H70" s="8" t="s">
        <v>1627</v>
      </c>
      <c r="I70" s="8" t="s">
        <v>1628</v>
      </c>
      <c r="J70" s="8" t="s">
        <v>1629</v>
      </c>
      <c r="K70" s="8" t="s">
        <v>812</v>
      </c>
      <c r="L70" s="8" t="s">
        <v>1630</v>
      </c>
      <c r="M70" s="8" t="s">
        <v>341</v>
      </c>
      <c r="N70" s="8" t="s">
        <v>1631</v>
      </c>
      <c r="O70" s="1" t="s">
        <v>1544</v>
      </c>
      <c r="P70" s="1" t="s">
        <v>1632</v>
      </c>
      <c r="Q70" s="1" t="s">
        <v>1633</v>
      </c>
    </row>
    <row r="71" customFormat="false" ht="15" hidden="false" customHeight="true" outlineLevel="0" collapsed="false">
      <c r="A71" s="1" t="n">
        <v>0</v>
      </c>
      <c r="B71" s="32" t="n">
        <f aca="false">INDEX(Surface_Engine!$G$12:$G$72,$A71+1)*IF($A71&lt;$Q$69,INDEX(Surface_Engine!$E$12:$E$72,$A71+1),INDEX(Surface_Engine!$E$12:$E$72,$Q$69+1))</f>
        <v>1</v>
      </c>
      <c r="C71" s="32" t="n">
        <f aca="false">INDEX(Panel_Reserving!$B$8:$B$68,$A71+1)*IF($A71&lt;$Q$69,INDEX(Surface_Engine!$E$12:$E$72,$A71+1),INDEX(Surface_Engine!$E$12:$E$72,$Q$69+1))</f>
        <v>1</v>
      </c>
      <c r="D71" s="32" t="n">
        <f aca="false">INDEX(Surface_Engine!$G$12:$G$72,$A71+1)*IF($A71&lt;$Q$69,INDEX(Surface_Engine!$Y$12:$Y$72,$A71+1),INDEX(Surface_Engine!$Y$12:$Y$72,$Q$69+1))</f>
        <v>1</v>
      </c>
      <c r="E71" s="32" t="n">
        <f aca="false">INDEX(Surface_Engine!$G$12:$G$72,$A71+1)*IF($A71&lt;$Q$69,INDEX(Surface_Engine!$Z$12:$Z$72,$A71+1),INDEX(Surface_Engine!$Z$12:$Z$72,$Q$69+1))</f>
        <v>1</v>
      </c>
      <c r="F71" s="48" t="n">
        <f aca="false">B71*(IF($A71&lt;$Q$69,INDEX(Surface_Engine!$D$12:$D$72,$A71+1)+(Surface_Engine!G236*12)*INDEX(Surface_Engine!$F$12:$F$72,$A71+1)-(Surface_Engine!G236*12),1000*12*INDEX(Surface_Engine!$C$12:$C$72,$A71+1)/(1+Assumptions!$B$10)^20+INDEX(Surface_Engine!$D$12:$D$72,$A71+1)))*INDEX(Surface_Engine!$B$12:$B$72,$A71+1)+F72</f>
        <v>-1825.82442978273</v>
      </c>
      <c r="G71" s="48" t="n">
        <f aca="false">C71*(IF($A71&lt;$Q$69,INDEX(Surface_Engine!$D$12:$D$72,$A71+1)+(Surface_Engine!G236*12)*INDEX(Surface_Engine!$F$12:$F$72,$A71+1)-(Surface_Engine!G236*12),1000*12*INDEX(Surface_Engine!$C$12:$C$72,$A71+1)/(1+Assumptions!$B$10)^20+INDEX(Surface_Engine!$D$12:$D$72,$A71+1)))*INDEX(Surface_Engine!$B$12:$B$72,$A71+1)+G72</f>
        <v>5100.75669592519</v>
      </c>
      <c r="H71" s="48" t="n">
        <f aca="false">D71*(IF($A71&lt;$Q$69,INDEX(Surface_Engine!$D$12:$D$72,$A71+1)+(Surface_Engine!G236*12)*INDEX(Surface_Engine!$F$12:$F$72,$A71+1)-(Surface_Engine!G236*12),1000*12*INDEX(Surface_Engine!$C$12:$C$72,$A71+1)/(1+Assumptions!$B$10)^20+INDEX(Surface_Engine!$D$12:$D$72,$A71+1)))*INDEX(Surface_Engine!$B$12:$B$72,$A71+1)+H72</f>
        <v>-4224.42993643947</v>
      </c>
      <c r="I71" s="48" t="n">
        <f aca="false">E71*(IF($A71&lt;$Q$69,INDEX(Surface_Engine!$D$12:$D$72,$A71+1)+(Surface_Engine!G236*12)*INDEX(Surface_Engine!$F$12:$F$72,$A71+1)-(Surface_Engine!G236*12),1000*12*INDEX(Surface_Engine!$C$12:$C$72,$A71+1)/(1+Assumptions!$B$10)^20+INDEX(Surface_Engine!$D$12:$D$72,$A71+1)))*INDEX(Surface_Engine!$B$12:$B$72,$A71+1)+I72</f>
        <v>1030.99863019865</v>
      </c>
      <c r="J71" s="48" t="n">
        <f aca="false">B71*(IF($A71&lt;$Q$69,INDEX(Surface_Engine!$D$12:$D$72,$A71+1)*(1+Assumptions!$B$24)+(Surface_Engine!G236*12)*INDEX(Surface_Engine!$F$12:$F$72,$A71+1)-(Surface_Engine!G236*12),1000*12*INDEX(Surface_Engine!$C$12:$C$72,$A71+1)/(1+Assumptions!$B$10)^20+INDEX(Surface_Engine!$D$12:$D$72,$A71+1)*(1+Assumptions!$B$24)))*INDEX(Surface_Engine!$B$12:$B$72,$A71+1)+J72</f>
        <v>-1637.99457495784</v>
      </c>
      <c r="K71" s="12" t="n">
        <f aca="false">SQRT((IF(C71&lt;=0,0,MAX(0,(B71/C71)*G71/INDEX(Surface_Engine!$B$12:$B$72,$A71+1)-F71/INDEX(Surface_Engine!$B$12:$B$72,$A71+1))))^2+(MAX(IF(D71&lt;=0,0,MAX(0,(B71/D71)*H71/INDEX(Surface_Engine!$B$12:$B$72,$A71+1)-F71/INDEX(Surface_Engine!$B$12:$B$72,$A71+1))),IF(E71&lt;=0,0,MAX(0,(B71/E71)*I71/INDEX(Surface_Engine!$B$12:$B$72,$A71+1)-F71/INDEX(Surface_Engine!$B$12:$B$72,$A71+1))),IF($A71&lt;$Q$69,MAX(0,-Assumptions!$B$22*(F71/INDEX(Surface_Engine!$B$12:$B$72,$A71+1))),0)))^2+(MAX(0,J71/INDEX(Surface_Engine!$B$12:$B$72,$A71+1)-(F71/INDEX(Surface_Engine!$B$12:$B$72,$A71+1))))^2+2*Assumptions!$B$26*(IF(C71&lt;=0,0,MAX(0,(B71/C71)*G71/INDEX(Surface_Engine!$B$12:$B$72,$A71+1)-F71/INDEX(Surface_Engine!$B$12:$B$72,$A71+1))))*(MAX(IF(D71&lt;=0,0,MAX(0,(B71/D71)*H71/INDEX(Surface_Engine!$B$12:$B$72,$A71+1)-F71/INDEX(Surface_Engine!$B$12:$B$72,$A71+1))),IF(E71&lt;=0,0,MAX(0,(B71/E71)*I71/INDEX(Surface_Engine!$B$12:$B$72,$A71+1)-F71/INDEX(Surface_Engine!$B$12:$B$72,$A71+1))),IF($A71&lt;$Q$69,MAX(0,-Assumptions!$B$22*(F71/INDEX(Surface_Engine!$B$12:$B$72,$A71+1))),0)))+2*Assumptions!$B$27*(IF(C71&lt;=0,0,MAX(0,(B71/C71)*G71/INDEX(Surface_Engine!$B$12:$B$72,$A71+1)-F71/INDEX(Surface_Engine!$B$12:$B$72,$A71+1))))*(MAX(0,J71/INDEX(Surface_Engine!$B$12:$B$72,$A71+1)-(F71/INDEX(Surface_Engine!$B$12:$B$72,$A71+1))))+2*Assumptions!$B$28*(MAX(IF(D71&lt;=0,0,MAX(0,(B71/D71)*H71/INDEX(Surface_Engine!$B$12:$B$72,$A71+1)-F71/INDEX(Surface_Engine!$B$12:$B$72,$A71+1))),IF(E71&lt;=0,0,MAX(0,(B71/E71)*I71/INDEX(Surface_Engine!$B$12:$B$72,$A71+1)-F71/INDEX(Surface_Engine!$B$12:$B$72,$A71+1))),IF($A71&lt;$Q$69,MAX(0,-Assumptions!$B$22*(F71/INDEX(Surface_Engine!$B$12:$B$72,$A71+1))),0)))*(MAX(0,J71/INDEX(Surface_Engine!$B$12:$B$72,$A71+1)-(F71/INDEX(Surface_Engine!$B$12:$B$72,$A71+1)))))</f>
        <v>8200.93644098337</v>
      </c>
      <c r="L71" s="48" t="n">
        <f aca="false">K71*INDEX(Surface_Engine!$B$12:$B$72,$A71+1)+L72</f>
        <v>201599.312538911</v>
      </c>
      <c r="M71" s="48" t="n">
        <v>0</v>
      </c>
      <c r="N71" s="12" t="n">
        <f aca="false">IF(B71&lt;=0,0,MAX(0,(K71+Assumptions!$B$29*L71/INDEX(Surface_Engine!$B$12:$B$72,$A71+1)-(M71/INDEX(Surface_Engine!$B$12:$B$72,$A71+1)-(F71/INDEX(Surface_Engine!$B$12:$B$72,$A71+1))))/B71))</f>
        <v>18471.0707635353</v>
      </c>
    </row>
    <row r="72" customFormat="false" ht="15" hidden="false" customHeight="true" outlineLevel="0" collapsed="false">
      <c r="A72" s="1" t="n">
        <v>1</v>
      </c>
      <c r="B72" s="32" t="n">
        <f aca="false">INDEX(Surface_Engine!$G$12:$G$72,$A72+1)*IF($A72&lt;$Q$69,INDEX(Surface_Engine!$E$12:$E$72,$A72+1),INDEX(Surface_Engine!$E$12:$E$72,$Q$69+1))</f>
        <v>0.956605798055555</v>
      </c>
      <c r="C72" s="32" t="n">
        <f aca="false">INDEX(Panel_Reserving!$B$8:$B$68,$A72+1)*IF($A72&lt;$Q$69,INDEX(Surface_Engine!$E$12:$E$72,$A72+1),INDEX(Surface_Engine!$E$12:$E$72,$Q$69+1))</f>
        <v>0.957164638444444</v>
      </c>
      <c r="D72" s="32" t="n">
        <f aca="false">INDEX(Surface_Engine!$G$12:$G$72,$A72+1)*IF($A72&lt;$Q$69,INDEX(Surface_Engine!$Y$12:$Y$72,$A72+1),INDEX(Surface_Engine!$Y$12:$Y$72,$Q$69+1))</f>
        <v>0.936364920735847</v>
      </c>
      <c r="E72" s="32" t="n">
        <f aca="false">INDEX(Surface_Engine!$G$12:$G$72,$A72+1)*IF($A72&lt;$Q$69,INDEX(Surface_Engine!$Z$12:$Z$72,$A72+1),INDEX(Surface_Engine!$Z$12:$Z$72,$Q$69+1))</f>
        <v>0.976846675375263</v>
      </c>
      <c r="F72" s="48" t="n">
        <f aca="false">B72*(IF($A72&lt;$Q$69,INDEX(Surface_Engine!$D$12:$D$72,$A72+1)+(Surface_Engine!G236*12)*INDEX(Surface_Engine!$F$12:$F$72,$A72+1)-(Surface_Engine!G236*12),1000*12*INDEX(Surface_Engine!$C$12:$C$72,$A72+1)/(1+Assumptions!$B$10)^20+INDEX(Surface_Engine!$D$12:$D$72,$A72+1)))*INDEX(Surface_Engine!$B$12:$B$72,$A72+1)+F73</f>
        <v>-1907.82442978273</v>
      </c>
      <c r="G72" s="48" t="n">
        <f aca="false">C72*(IF($A72&lt;$Q$69,INDEX(Surface_Engine!$D$12:$D$72,$A72+1)+(Surface_Engine!G236*12)*INDEX(Surface_Engine!$F$12:$F$72,$A72+1)-(Surface_Engine!G236*12),1000*12*INDEX(Surface_Engine!$C$12:$C$72,$A72+1)/(1+Assumptions!$B$10)^20+INDEX(Surface_Engine!$D$12:$D$72,$A72+1)))*INDEX(Surface_Engine!$B$12:$B$72,$A72+1)+G73</f>
        <v>5018.75669592519</v>
      </c>
      <c r="H72" s="48" t="n">
        <f aca="false">D72*(IF($A72&lt;$Q$69,INDEX(Surface_Engine!$D$12:$D$72,$A72+1)+(Surface_Engine!G236*12)*INDEX(Surface_Engine!$F$12:$F$72,$A72+1)-(Surface_Engine!G236*12),1000*12*INDEX(Surface_Engine!$C$12:$C$72,$A72+1)/(1+Assumptions!$B$10)^20+INDEX(Surface_Engine!$D$12:$D$72,$A72+1)))*INDEX(Surface_Engine!$B$12:$B$72,$A72+1)+H73</f>
        <v>-4306.42993643947</v>
      </c>
      <c r="I72" s="48" t="n">
        <f aca="false">E72*(IF($A72&lt;$Q$69,INDEX(Surface_Engine!$D$12:$D$72,$A72+1)+(Surface_Engine!G236*12)*INDEX(Surface_Engine!$F$12:$F$72,$A72+1)-(Surface_Engine!G236*12),1000*12*INDEX(Surface_Engine!$C$12:$C$72,$A72+1)/(1+Assumptions!$B$10)^20+INDEX(Surface_Engine!$D$12:$D$72,$A72+1)))*INDEX(Surface_Engine!$B$12:$B$72,$A72+1)+I73</f>
        <v>948.998630198646</v>
      </c>
      <c r="J72" s="48" t="n">
        <f aca="false">B72*(IF($A72&lt;$Q$69,INDEX(Surface_Engine!$D$12:$D$72,$A72+1)*(1+Assumptions!$B$24)+(Surface_Engine!G236*12)*INDEX(Surface_Engine!$F$12:$F$72,$A72+1)-(Surface_Engine!G236*12),1000*12*INDEX(Surface_Engine!$C$12:$C$72,$A72+1)/(1+Assumptions!$B$10)^20+INDEX(Surface_Engine!$D$12:$D$72,$A72+1)*(1+Assumptions!$B$24)))*INDEX(Surface_Engine!$B$12:$B$72,$A72+1)+J73</f>
        <v>-1728.19457495784</v>
      </c>
      <c r="K72" s="12" t="n">
        <f aca="false">SQRT((IF(C72&lt;=0,0,MAX(0,(B72/C72)*G72/INDEX(Surface_Engine!$B$12:$B$72,$A72+1)-F72/INDEX(Surface_Engine!$B$12:$B$72,$A72+1))))^2+(MAX(IF(D72&lt;=0,0,MAX(0,(B72/D72)*H72/INDEX(Surface_Engine!$B$12:$B$72,$A72+1)-F72/INDEX(Surface_Engine!$B$12:$B$72,$A72+1))),IF(E72&lt;=0,0,MAX(0,(B72/E72)*I72/INDEX(Surface_Engine!$B$12:$B$72,$A72+1)-F72/INDEX(Surface_Engine!$B$12:$B$72,$A72+1))),IF($A72&lt;$Q$69,MAX(0,-Assumptions!$B$22*(F72/INDEX(Surface_Engine!$B$12:$B$72,$A72+1))),0)))^2+(MAX(0,J72/INDEX(Surface_Engine!$B$12:$B$72,$A72+1)-(F72/INDEX(Surface_Engine!$B$12:$B$72,$A72+1))))^2+2*Assumptions!$B$26*(IF(C72&lt;=0,0,MAX(0,(B72/C72)*G72/INDEX(Surface_Engine!$B$12:$B$72,$A72+1)-F72/INDEX(Surface_Engine!$B$12:$B$72,$A72+1))))*(MAX(IF(D72&lt;=0,0,MAX(0,(B72/D72)*H72/INDEX(Surface_Engine!$B$12:$B$72,$A72+1)-F72/INDEX(Surface_Engine!$B$12:$B$72,$A72+1))),IF(E72&lt;=0,0,MAX(0,(B72/E72)*I72/INDEX(Surface_Engine!$B$12:$B$72,$A72+1)-F72/INDEX(Surface_Engine!$B$12:$B$72,$A72+1))),IF($A72&lt;$Q$69,MAX(0,-Assumptions!$B$22*(F72/INDEX(Surface_Engine!$B$12:$B$72,$A72+1))),0)))+2*Assumptions!$B$27*(IF(C72&lt;=0,0,MAX(0,(B72/C72)*G72/INDEX(Surface_Engine!$B$12:$B$72,$A72+1)-F72/INDEX(Surface_Engine!$B$12:$B$72,$A72+1))))*(MAX(0,J72/INDEX(Surface_Engine!$B$12:$B$72,$A72+1)-(F72/INDEX(Surface_Engine!$B$12:$B$72,$A72+1))))+2*Assumptions!$B$28*(MAX(IF(D72&lt;=0,0,MAX(0,(B72/D72)*H72/INDEX(Surface_Engine!$B$12:$B$72,$A72+1)-F72/INDEX(Surface_Engine!$B$12:$B$72,$A72+1))),IF(E72&lt;=0,0,MAX(0,(B72/E72)*I72/INDEX(Surface_Engine!$B$12:$B$72,$A72+1)-F72/INDEX(Surface_Engine!$B$12:$B$72,$A72+1))),IF($A72&lt;$Q$69,MAX(0,-Assumptions!$B$22*(F72/INDEX(Surface_Engine!$B$12:$B$72,$A72+1))),0)))*(MAX(0,J72/INDEX(Surface_Engine!$B$12:$B$72,$A72+1)-(F72/INDEX(Surface_Engine!$B$12:$B$72,$A72+1)))))</f>
        <v>8396.08437775509</v>
      </c>
      <c r="L72" s="48" t="n">
        <f aca="false">K72*INDEX(Surface_Engine!$B$12:$B$72,$A72+1)+L73</f>
        <v>193398.376097928</v>
      </c>
      <c r="M72" s="48" t="n">
        <f aca="false">M71+B71*(IF($A71&lt;$Q$69,(Surface_Engine!G236*12)-(Surface_Engine!G236*12)*INDEX(Surface_Engine!$F$12:$F$72,$A71+1)-INDEX(Surface_Engine!$D$12:$D$72,$A71+1),-(1000*12*INDEX(Surface_Engine!$C$12:$C$72,$A71+1)/(1+Assumptions!$B$10)^20+INDEX(Surface_Engine!$D$12:$D$72,$A71+1))))*INDEX(Surface_Engine!$B$12:$B$72,$A71+1)</f>
        <v>-82</v>
      </c>
      <c r="N72" s="12" t="n">
        <f aca="false">IF(B72&lt;=0,0,MAX(0,(K72+Assumptions!$B$29*L72/INDEX(Surface_Engine!$B$12:$B$72,$A72+1)-(M72/INDEX(Surface_Engine!$B$12:$B$72,$A72+1)-(F72/INDEX(Surface_Engine!$B$12:$B$72,$A72+1))))/B72))</f>
        <v>19263.9449391993</v>
      </c>
    </row>
    <row r="73" customFormat="false" ht="15" hidden="false" customHeight="true" outlineLevel="0" collapsed="false">
      <c r="A73" s="1" t="n">
        <v>2</v>
      </c>
      <c r="B73" s="32" t="n">
        <f aca="false">INDEX(Surface_Engine!$G$12:$G$72,$A73+1)*IF($A73&lt;$Q$69,INDEX(Surface_Engine!$E$12:$E$72,$A73+1),INDEX(Surface_Engine!$E$12:$E$72,$Q$69+1))</f>
        <v>0.93290204615754</v>
      </c>
      <c r="C73" s="32" t="n">
        <f aca="false">INDEX(Panel_Reserving!$B$8:$B$68,$A73+1)*IF($A73&lt;$Q$69,INDEX(Surface_Engine!$E$12:$E$72,$A73+1),INDEX(Surface_Engine!$E$12:$E$72,$Q$69+1))</f>
        <v>0.934036464382521</v>
      </c>
      <c r="D73" s="32" t="n">
        <f aca="false">INDEX(Surface_Engine!$G$12:$G$72,$A73+1)*IF($A73&lt;$Q$69,INDEX(Surface_Engine!$Y$12:$Y$72,$A73+1),INDEX(Surface_Engine!$Y$12:$Y$72,$Q$69+1))</f>
        <v>0.903035133829689</v>
      </c>
      <c r="E73" s="32" t="n">
        <f aca="false">INDEX(Surface_Engine!$G$12:$G$72,$A73+1)*IF($A73&lt;$Q$69,INDEX(Surface_Engine!$Z$12:$Z$72,$A73+1),INDEX(Surface_Engine!$Z$12:$Z$72,$Q$69+1))</f>
        <v>0.963206803137687</v>
      </c>
      <c r="F73" s="48" t="n">
        <f aca="false">B73*(IF($A73&lt;$Q$69,INDEX(Surface_Engine!$D$12:$D$72,$A73+1)+(Surface_Engine!G236*12)*INDEX(Surface_Engine!$F$12:$F$72,$A73+1)-(Surface_Engine!G236*12),1000*12*INDEX(Surface_Engine!$C$12:$C$72,$A73+1)/(1+Assumptions!$B$10)^20+INDEX(Surface_Engine!$D$12:$D$72,$A73+1)))*INDEX(Surface_Engine!$B$12:$B$72,$A73+1)+F74</f>
        <v>2177.73936613799</v>
      </c>
      <c r="G73" s="48" t="n">
        <f aca="false">C73*(IF($A73&lt;$Q$69,INDEX(Surface_Engine!$D$12:$D$72,$A73+1)+(Surface_Engine!G236*12)*INDEX(Surface_Engine!$F$12:$F$72,$A73+1)-(Surface_Engine!G236*12),1000*12*INDEX(Surface_Engine!$C$12:$C$72,$A73+1)/(1+Assumptions!$B$10)^20+INDEX(Surface_Engine!$D$12:$D$72,$A73+1)))*INDEX(Surface_Engine!$B$12:$B$72,$A73+1)+G74</f>
        <v>9106.70724098038</v>
      </c>
      <c r="H73" s="48" t="n">
        <f aca="false">D73*(IF($A73&lt;$Q$69,INDEX(Surface_Engine!$D$12:$D$72,$A73+1)+(Surface_Engine!G236*12)*INDEX(Surface_Engine!$F$12:$F$72,$A73+1)-(Surface_Engine!G236*12),1000*12*INDEX(Surface_Engine!$C$12:$C$72,$A73+1)/(1+Assumptions!$B$10)^20+INDEX(Surface_Engine!$D$12:$D$72,$A73+1)))*INDEX(Surface_Engine!$B$12:$B$72,$A73+1)+H74</f>
        <v>-307.312820795162</v>
      </c>
      <c r="I73" s="48" t="n">
        <f aca="false">E73*(IF($A73&lt;$Q$69,INDEX(Surface_Engine!$D$12:$D$72,$A73+1)+(Surface_Engine!G236*12)*INDEX(Surface_Engine!$F$12:$F$72,$A73+1)-(Surface_Engine!G236*12),1000*12*INDEX(Surface_Engine!$C$12:$C$72,$A73+1)/(1+Assumptions!$B$10)^20+INDEX(Surface_Engine!$D$12:$D$72,$A73+1)))*INDEX(Surface_Engine!$B$12:$B$72,$A73+1)+I74</f>
        <v>5121.00910639578</v>
      </c>
      <c r="J73" s="48" t="n">
        <f aca="false">B73*(IF($A73&lt;$Q$69,INDEX(Surface_Engine!$D$12:$D$72,$A73+1)*(1+Assumptions!$B$24)+(Surface_Engine!G236*12)*INDEX(Surface_Engine!$F$12:$F$72,$A73+1)-(Surface_Engine!G236*12),1000*12*INDEX(Surface_Engine!$C$12:$C$72,$A73+1)/(1+Assumptions!$B$10)^20+INDEX(Surface_Engine!$D$12:$D$72,$A73+1)*(1+Assumptions!$B$24)))*INDEX(Surface_Engine!$B$12:$B$72,$A73+1)+J74</f>
        <v>2349.53239327694</v>
      </c>
      <c r="K73" s="12" t="n">
        <f aca="false">SQRT((IF(C73&lt;=0,0,MAX(0,(B73/C73)*G73/INDEX(Surface_Engine!$B$12:$B$72,$A73+1)-F73/INDEX(Surface_Engine!$B$12:$B$72,$A73+1))))^2+(MAX(IF(D73&lt;=0,0,MAX(0,(B73/D73)*H73/INDEX(Surface_Engine!$B$12:$B$72,$A73+1)-F73/INDEX(Surface_Engine!$B$12:$B$72,$A73+1))),IF(E73&lt;=0,0,MAX(0,(B73/E73)*I73/INDEX(Surface_Engine!$B$12:$B$72,$A73+1)-F73/INDEX(Surface_Engine!$B$12:$B$72,$A73+1))),IF($A73&lt;$Q$69,MAX(0,-Assumptions!$B$22*(F73/INDEX(Surface_Engine!$B$12:$B$72,$A73+1))),0)))^2+(MAX(0,J73/INDEX(Surface_Engine!$B$12:$B$72,$A73+1)-(F73/INDEX(Surface_Engine!$B$12:$B$72,$A73+1))))^2+2*Assumptions!$B$26*(IF(C73&lt;=0,0,MAX(0,(B73/C73)*G73/INDEX(Surface_Engine!$B$12:$B$72,$A73+1)-F73/INDEX(Surface_Engine!$B$12:$B$72,$A73+1))))*(MAX(IF(D73&lt;=0,0,MAX(0,(B73/D73)*H73/INDEX(Surface_Engine!$B$12:$B$72,$A73+1)-F73/INDEX(Surface_Engine!$B$12:$B$72,$A73+1))),IF(E73&lt;=0,0,MAX(0,(B73/E73)*I73/INDEX(Surface_Engine!$B$12:$B$72,$A73+1)-F73/INDEX(Surface_Engine!$B$12:$B$72,$A73+1))),IF($A73&lt;$Q$69,MAX(0,-Assumptions!$B$22*(F73/INDEX(Surface_Engine!$B$12:$B$72,$A73+1))),0)))+2*Assumptions!$B$27*(IF(C73&lt;=0,0,MAX(0,(B73/C73)*G73/INDEX(Surface_Engine!$B$12:$B$72,$A73+1)-F73/INDEX(Surface_Engine!$B$12:$B$72,$A73+1))))*(MAX(0,J73/INDEX(Surface_Engine!$B$12:$B$72,$A73+1)-(F73/INDEX(Surface_Engine!$B$12:$B$72,$A73+1))))+2*Assumptions!$B$28*(MAX(IF(D73&lt;=0,0,MAX(0,(B73/D73)*H73/INDEX(Surface_Engine!$B$12:$B$72,$A73+1)-F73/INDEX(Surface_Engine!$B$12:$B$72,$A73+1))),IF(E73&lt;=0,0,MAX(0,(B73/E73)*I73/INDEX(Surface_Engine!$B$12:$B$72,$A73+1)-F73/INDEX(Surface_Engine!$B$12:$B$72,$A73+1))),IF($A73&lt;$Q$69,MAX(0,-Assumptions!$B$22*(F73/INDEX(Surface_Engine!$B$12:$B$72,$A73+1))),0)))*(MAX(0,J73/INDEX(Surface_Engine!$B$12:$B$72,$A73+1)-(F73/INDEX(Surface_Engine!$B$12:$B$72,$A73+1)))))</f>
        <v>8577.21551885348</v>
      </c>
      <c r="L73" s="48" t="n">
        <f aca="false">K73*INDEX(Surface_Engine!$B$12:$B$72,$A73+1)+L74</f>
        <v>185214.738940772</v>
      </c>
      <c r="M73" s="48" t="n">
        <f aca="false">M72+B72*(IF($A72&lt;$Q$69,(Surface_Engine!G236*12)-(Surface_Engine!G236*12)*INDEX(Surface_Engine!$F$12:$F$72,$A72+1)-INDEX(Surface_Engine!$D$12:$D$72,$A72+1),-(1000*12*INDEX(Surface_Engine!$C$12:$C$72,$A72+1)/(1+Assumptions!$B$10)^20+INDEX(Surface_Engine!$D$12:$D$72,$A72+1))))*INDEX(Surface_Engine!$B$12:$B$72,$A72+1)</f>
        <v>4003.56379592072</v>
      </c>
      <c r="N73" s="12" t="n">
        <f aca="false">IF(B73&lt;=0,0,MAX(0,(K73+Assumptions!$B$29*L73/INDEX(Surface_Engine!$B$12:$B$72,$A73+1)-(M73/INDEX(Surface_Engine!$B$12:$B$72,$A73+1)-(F73/INDEX(Surface_Engine!$B$12:$B$72,$A73+1))))/B73))</f>
        <v>19678.846379191</v>
      </c>
    </row>
    <row r="74" customFormat="false" ht="15" hidden="false" customHeight="true" outlineLevel="0" collapsed="false">
      <c r="A74" s="1" t="n">
        <v>3</v>
      </c>
      <c r="B74" s="32" t="n">
        <f aca="false">INDEX(Surface_Engine!$G$12:$G$72,$A74+1)*IF($A74&lt;$Q$69,INDEX(Surface_Engine!$E$12:$E$72,$A74+1),INDEX(Surface_Engine!$E$12:$E$72,$Q$69+1))</f>
        <v>0.917354343634536</v>
      </c>
      <c r="C74" s="32" t="n">
        <f aca="false">INDEX(Panel_Reserving!$B$8:$B$68,$A74+1)*IF($A74&lt;$Q$69,INDEX(Surface_Engine!$E$12:$E$72,$A74+1),INDEX(Surface_Engine!$E$12:$E$72,$Q$69+1))</f>
        <v>0.91909864043936</v>
      </c>
      <c r="D74" s="32" t="n">
        <f aca="false">INDEX(Surface_Engine!$G$12:$G$72,$A74+1)*IF($A74&lt;$Q$69,INDEX(Surface_Engine!$Y$12:$Y$72,$A74+1),INDEX(Surface_Engine!$Y$12:$Y$72,$Q$69+1))</f>
        <v>0.882000493881983</v>
      </c>
      <c r="E74" s="32" t="n">
        <f aca="false">INDEX(Surface_Engine!$G$12:$G$72,$A74+1)*IF($A74&lt;$Q$69,INDEX(Surface_Engine!$Z$12:$Z$72,$A74+1),INDEX(Surface_Engine!$Z$12:$Z$72,$Q$69+1))</f>
        <v>0.953537517528614</v>
      </c>
      <c r="F74" s="48" t="n">
        <f aca="false">B74*(IF($A74&lt;$Q$69,INDEX(Surface_Engine!$D$12:$D$72,$A74+1)+(Surface_Engine!G236*12)*INDEX(Surface_Engine!$F$12:$F$72,$A74+1)-(Surface_Engine!G236*12),1000*12*INDEX(Surface_Engine!$C$12:$C$72,$A74+1)/(1+Assumptions!$B$10)^20+INDEX(Surface_Engine!$D$12:$D$72,$A74+1)))*INDEX(Surface_Engine!$B$12:$B$72,$A74+1)+F75</f>
        <v>6057.11956675217</v>
      </c>
      <c r="G74" s="48" t="n">
        <f aca="false">C74*(IF($A74&lt;$Q$69,INDEX(Surface_Engine!$D$12:$D$72,$A74+1)+(Surface_Engine!G236*12)*INDEX(Surface_Engine!$F$12:$F$72,$A74+1)-(Surface_Engine!G236*12),1000*12*INDEX(Surface_Engine!$C$12:$C$72,$A74+1)/(1+Assumptions!$B$10)^20+INDEX(Surface_Engine!$D$12:$D$72,$A74+1)))*INDEX(Surface_Engine!$B$12:$B$72,$A74+1)+G75</f>
        <v>12990.8048067449</v>
      </c>
      <c r="H74" s="48" t="n">
        <f aca="false">D74*(IF($A74&lt;$Q$69,INDEX(Surface_Engine!$D$12:$D$72,$A74+1)+(Surface_Engine!G236*12)*INDEX(Surface_Engine!$F$12:$F$72,$A74+1)-(Surface_Engine!G236*12),1000*12*INDEX(Surface_Engine!$C$12:$C$72,$A74+1)/(1+Assumptions!$B$10)^20+INDEX(Surface_Engine!$D$12:$D$72,$A74+1)))*INDEX(Surface_Engine!$B$12:$B$72,$A74+1)+H75</f>
        <v>3447.86880096996</v>
      </c>
      <c r="I74" s="48" t="n">
        <f aca="false">E74*(IF($A74&lt;$Q$69,INDEX(Surface_Engine!$D$12:$D$72,$A74+1)+(Surface_Engine!G236*12)*INDEX(Surface_Engine!$F$12:$F$72,$A74+1)-(Surface_Engine!G236*12),1000*12*INDEX(Surface_Engine!$C$12:$C$72,$A74+1)/(1+Assumptions!$B$10)^20+INDEX(Surface_Engine!$D$12:$D$72,$A74+1)))*INDEX(Surface_Engine!$B$12:$B$72,$A74+1)+I75</f>
        <v>9126.40861921688</v>
      </c>
      <c r="J74" s="48" t="n">
        <f aca="false">B74*(IF($A74&lt;$Q$69,INDEX(Surface_Engine!$D$12:$D$72,$A74+1)*(1+Assumptions!$B$24)+(Surface_Engine!G236*12)*INDEX(Surface_Engine!$F$12:$F$72,$A74+1)-(Surface_Engine!G236*12),1000*12*INDEX(Surface_Engine!$C$12:$C$72,$A74+1)/(1+Assumptions!$B$10)^20+INDEX(Surface_Engine!$D$12:$D$72,$A74+1)*(1+Assumptions!$B$24)))*INDEX(Surface_Engine!$B$12:$B$72,$A74+1)+J75</f>
        <v>6221.2815697958</v>
      </c>
      <c r="K74" s="12" t="n">
        <f aca="false">SQRT((IF(C74&lt;=0,0,MAX(0,(B74/C74)*G74/INDEX(Surface_Engine!$B$12:$B$72,$A74+1)-F74/INDEX(Surface_Engine!$B$12:$B$72,$A74+1))))^2+(MAX(IF(D74&lt;=0,0,MAX(0,(B74/D74)*H74/INDEX(Surface_Engine!$B$12:$B$72,$A74+1)-F74/INDEX(Surface_Engine!$B$12:$B$72,$A74+1))),IF(E74&lt;=0,0,MAX(0,(B74/E74)*I74/INDEX(Surface_Engine!$B$12:$B$72,$A74+1)-F74/INDEX(Surface_Engine!$B$12:$B$72,$A74+1))),IF($A74&lt;$Q$69,MAX(0,-Assumptions!$B$22*(F74/INDEX(Surface_Engine!$B$12:$B$72,$A74+1))),0)))^2+(MAX(0,J74/INDEX(Surface_Engine!$B$12:$B$72,$A74+1)-(F74/INDEX(Surface_Engine!$B$12:$B$72,$A74+1))))^2+2*Assumptions!$B$26*(IF(C74&lt;=0,0,MAX(0,(B74/C74)*G74/INDEX(Surface_Engine!$B$12:$B$72,$A74+1)-F74/INDEX(Surface_Engine!$B$12:$B$72,$A74+1))))*(MAX(IF(D74&lt;=0,0,MAX(0,(B74/D74)*H74/INDEX(Surface_Engine!$B$12:$B$72,$A74+1)-F74/INDEX(Surface_Engine!$B$12:$B$72,$A74+1))),IF(E74&lt;=0,0,MAX(0,(B74/E74)*I74/INDEX(Surface_Engine!$B$12:$B$72,$A74+1)-F74/INDEX(Surface_Engine!$B$12:$B$72,$A74+1))),IF($A74&lt;$Q$69,MAX(0,-Assumptions!$B$22*(F74/INDEX(Surface_Engine!$B$12:$B$72,$A74+1))),0)))+2*Assumptions!$B$27*(IF(C74&lt;=0,0,MAX(0,(B74/C74)*G74/INDEX(Surface_Engine!$B$12:$B$72,$A74+1)-F74/INDEX(Surface_Engine!$B$12:$B$72,$A74+1))))*(MAX(0,J74/INDEX(Surface_Engine!$B$12:$B$72,$A74+1)-(F74/INDEX(Surface_Engine!$B$12:$B$72,$A74+1))))+2*Assumptions!$B$28*(MAX(IF(D74&lt;=0,0,MAX(0,(B74/D74)*H74/INDEX(Surface_Engine!$B$12:$B$72,$A74+1)-F74/INDEX(Surface_Engine!$B$12:$B$72,$A74+1))),IF(E74&lt;=0,0,MAX(0,(B74/E74)*I74/INDEX(Surface_Engine!$B$12:$B$72,$A74+1)-F74/INDEX(Surface_Engine!$B$12:$B$72,$A74+1))),IF($A74&lt;$Q$69,MAX(0,-Assumptions!$B$22*(F74/INDEX(Surface_Engine!$B$12:$B$72,$A74+1))),0)))*(MAX(0,J74/INDEX(Surface_Engine!$B$12:$B$72,$A74+1)-(F74/INDEX(Surface_Engine!$B$12:$B$72,$A74+1)))))</f>
        <v>8753.63759689413</v>
      </c>
      <c r="L74" s="48" t="n">
        <f aca="false">K74*INDEX(Surface_Engine!$B$12:$B$72,$A74+1)+L75</f>
        <v>177070.856070888</v>
      </c>
      <c r="M74" s="48" t="n">
        <f aca="false">M73+B73*(IF($A73&lt;$Q$69,(Surface_Engine!G236*12)-(Surface_Engine!G236*12)*INDEX(Surface_Engine!$F$12:$F$72,$A73+1)-INDEX(Surface_Engine!$D$12:$D$72,$A73+1),-(1000*12*INDEX(Surface_Engine!$C$12:$C$72,$A73+1)/(1+Assumptions!$B$10)^20+INDEX(Surface_Engine!$D$12:$D$72,$A73+1))))*INDEX(Surface_Engine!$B$12:$B$72,$A73+1)</f>
        <v>7882.9439965349</v>
      </c>
      <c r="N74" s="12" t="n">
        <f aca="false">IF(B74&lt;=0,0,MAX(0,(K74+Assumptions!$B$29*L74/INDEX(Surface_Engine!$B$12:$B$72,$A74+1)-(M74/INDEX(Surface_Engine!$B$12:$B$72,$A74+1)-(F74/INDEX(Surface_Engine!$B$12:$B$72,$A74+1))))/B74))</f>
        <v>19908.3483201896</v>
      </c>
    </row>
    <row r="75" customFormat="false" ht="15" hidden="false" customHeight="true" outlineLevel="0" collapsed="false">
      <c r="A75" s="1" t="n">
        <v>4</v>
      </c>
      <c r="B75" s="32" t="n">
        <f aca="false">INDEX(Surface_Engine!$G$12:$G$72,$A75+1)*IF($A75&lt;$Q$69,INDEX(Surface_Engine!$E$12:$E$72,$A75+1),INDEX(Surface_Engine!$E$12:$E$72,$Q$69+1))</f>
        <v>0.901796298392175</v>
      </c>
      <c r="C75" s="32" t="n">
        <f aca="false">INDEX(Panel_Reserving!$B$8:$B$68,$A75+1)*IF($A75&lt;$Q$69,INDEX(Surface_Engine!$E$12:$E$72,$A75+1),INDEX(Surface_Engine!$E$12:$E$72,$Q$69+1))</f>
        <v>0.90418373567551</v>
      </c>
      <c r="D75" s="32" t="n">
        <f aca="false">INDEX(Surface_Engine!$G$12:$G$72,$A75+1)*IF($A75&lt;$Q$69,INDEX(Surface_Engine!$Y$12:$Y$72,$A75+1),INDEX(Surface_Engine!$Y$12:$Y$72,$Q$69+1))</f>
        <v>0.861198490212338</v>
      </c>
      <c r="E75" s="32" t="n">
        <f aca="false">INDEX(Surface_Engine!$G$12:$G$72,$A75+1)*IF($A75&lt;$Q$69,INDEX(Surface_Engine!$Z$12:$Z$72,$A75+1),INDEX(Surface_Engine!$Z$12:$Z$72,$Q$69+1))</f>
        <v>0.943683322381046</v>
      </c>
      <c r="F75" s="48" t="n">
        <f aca="false">B75*(IF($A75&lt;$Q$69,INDEX(Surface_Engine!$D$12:$D$72,$A75+1)+(Surface_Engine!G236*12)*INDEX(Surface_Engine!$F$12:$F$72,$A75+1)-(Surface_Engine!G236*12),1000*12*INDEX(Surface_Engine!$C$12:$C$72,$A75+1)/(1+Assumptions!$B$10)^20+INDEX(Surface_Engine!$D$12:$D$72,$A75+1)))*INDEX(Surface_Engine!$B$12:$B$72,$A75+1)+F76</f>
        <v>9772.62401336806</v>
      </c>
      <c r="G75" s="48" t="n">
        <f aca="false">C75*(IF($A75&lt;$Q$69,INDEX(Surface_Engine!$D$12:$D$72,$A75+1)+(Surface_Engine!G236*12)*INDEX(Surface_Engine!$F$12:$F$72,$A75+1)-(Surface_Engine!G236*12),1000*12*INDEX(Surface_Engine!$C$12:$C$72,$A75+1)/(1+Assumptions!$B$10)^20+INDEX(Surface_Engine!$D$12:$D$72,$A75+1)))*INDEX(Surface_Engine!$B$12:$B$72,$A75+1)+G76</f>
        <v>16713.3740725111</v>
      </c>
      <c r="H75" s="48" t="n">
        <f aca="false">D75*(IF($A75&lt;$Q$69,INDEX(Surface_Engine!$D$12:$D$72,$A75+1)+(Surface_Engine!G236*12)*INDEX(Surface_Engine!$F$12:$F$72,$A75+1)-(Surface_Engine!G236*12),1000*12*INDEX(Surface_Engine!$C$12:$C$72,$A75+1)/(1+Assumptions!$B$10)^20+INDEX(Surface_Engine!$D$12:$D$72,$A75+1)))*INDEX(Surface_Engine!$B$12:$B$72,$A75+1)+H76</f>
        <v>7020.18170238624</v>
      </c>
      <c r="I75" s="48" t="n">
        <f aca="false">E75*(IF($A75&lt;$Q$69,INDEX(Surface_Engine!$D$12:$D$72,$A75+1)+(Surface_Engine!G236*12)*INDEX(Surface_Engine!$F$12:$F$72,$A75+1)-(Surface_Engine!G236*12),1000*12*INDEX(Surface_Engine!$C$12:$C$72,$A75+1)/(1+Assumptions!$B$10)^20+INDEX(Surface_Engine!$D$12:$D$72,$A75+1)))*INDEX(Surface_Engine!$B$12:$B$72,$A75+1)+I76</f>
        <v>12988.4635721109</v>
      </c>
      <c r="J75" s="48" t="n">
        <f aca="false">B75*(IF($A75&lt;$Q$69,INDEX(Surface_Engine!$D$12:$D$72,$A75+1)*(1+Assumptions!$B$24)+(Surface_Engine!G236*12)*INDEX(Surface_Engine!$F$12:$F$72,$A75+1)-(Surface_Engine!G236*12),1000*12*INDEX(Surface_Engine!$C$12:$C$72,$A75+1)/(1+Assumptions!$B$10)^20+INDEX(Surface_Engine!$D$12:$D$72,$A75+1)*(1+Assumptions!$B$24)))*INDEX(Surface_Engine!$B$12:$B$72,$A75+1)+J76</f>
        <v>9929.29094533829</v>
      </c>
      <c r="K75" s="12" t="n">
        <f aca="false">SQRT((IF(C75&lt;=0,0,MAX(0,(B75/C75)*G75/INDEX(Surface_Engine!$B$12:$B$72,$A75+1)-F75/INDEX(Surface_Engine!$B$12:$B$72,$A75+1))))^2+(MAX(IF(D75&lt;=0,0,MAX(0,(B75/D75)*H75/INDEX(Surface_Engine!$B$12:$B$72,$A75+1)-F75/INDEX(Surface_Engine!$B$12:$B$72,$A75+1))),IF(E75&lt;=0,0,MAX(0,(B75/E75)*I75/INDEX(Surface_Engine!$B$12:$B$72,$A75+1)-F75/INDEX(Surface_Engine!$B$12:$B$72,$A75+1))),IF($A75&lt;$Q$69,MAX(0,-Assumptions!$B$22*(F75/INDEX(Surface_Engine!$B$12:$B$72,$A75+1))),0)))^2+(MAX(0,J75/INDEX(Surface_Engine!$B$12:$B$72,$A75+1)-(F75/INDEX(Surface_Engine!$B$12:$B$72,$A75+1))))^2+2*Assumptions!$B$26*(IF(C75&lt;=0,0,MAX(0,(B75/C75)*G75/INDEX(Surface_Engine!$B$12:$B$72,$A75+1)-F75/INDEX(Surface_Engine!$B$12:$B$72,$A75+1))))*(MAX(IF(D75&lt;=0,0,MAX(0,(B75/D75)*H75/INDEX(Surface_Engine!$B$12:$B$72,$A75+1)-F75/INDEX(Surface_Engine!$B$12:$B$72,$A75+1))),IF(E75&lt;=0,0,MAX(0,(B75/E75)*I75/INDEX(Surface_Engine!$B$12:$B$72,$A75+1)-F75/INDEX(Surface_Engine!$B$12:$B$72,$A75+1))),IF($A75&lt;$Q$69,MAX(0,-Assumptions!$B$22*(F75/INDEX(Surface_Engine!$B$12:$B$72,$A75+1))),0)))+2*Assumptions!$B$27*(IF(C75&lt;=0,0,MAX(0,(B75/C75)*G75/INDEX(Surface_Engine!$B$12:$B$72,$A75+1)-F75/INDEX(Surface_Engine!$B$12:$B$72,$A75+1))))*(MAX(0,J75/INDEX(Surface_Engine!$B$12:$B$72,$A75+1)-(F75/INDEX(Surface_Engine!$B$12:$B$72,$A75+1))))+2*Assumptions!$B$28*(MAX(IF(D75&lt;=0,0,MAX(0,(B75/D75)*H75/INDEX(Surface_Engine!$B$12:$B$72,$A75+1)-F75/INDEX(Surface_Engine!$B$12:$B$72,$A75+1))),IF(E75&lt;=0,0,MAX(0,(B75/E75)*I75/INDEX(Surface_Engine!$B$12:$B$72,$A75+1)-F75/INDEX(Surface_Engine!$B$12:$B$72,$A75+1))),IF($A75&lt;$Q$69,MAX(0,-Assumptions!$B$22*(F75/INDEX(Surface_Engine!$B$12:$B$72,$A75+1))),0)))*(MAX(0,J75/INDEX(Surface_Engine!$B$12:$B$72,$A75+1)-(F75/INDEX(Surface_Engine!$B$12:$B$72,$A75+1)))))</f>
        <v>8919.59137562316</v>
      </c>
      <c r="L75" s="48" t="n">
        <f aca="false">K75*INDEX(Surface_Engine!$B$12:$B$72,$A75+1)+L76</f>
        <v>168971.663073434</v>
      </c>
      <c r="M75" s="48" t="n">
        <f aca="false">M74+B74*(IF($A74&lt;$Q$69,(Surface_Engine!G236*12)-(Surface_Engine!G236*12)*INDEX(Surface_Engine!$F$12:$F$72,$A74+1)-INDEX(Surface_Engine!$D$12:$D$72,$A74+1),-(1000*12*INDEX(Surface_Engine!$C$12:$C$72,$A74+1)/(1+Assumptions!$B$10)^20+INDEX(Surface_Engine!$D$12:$D$72,$A74+1))))*INDEX(Surface_Engine!$B$12:$B$72,$A74+1)</f>
        <v>11598.4484431508</v>
      </c>
      <c r="N75" s="12" t="n">
        <f aca="false">IF(B75&lt;=0,0,MAX(0,(K75+Assumptions!$B$29*L75/INDEX(Surface_Engine!$B$12:$B$72,$A75+1)-(M75/INDEX(Surface_Engine!$B$12:$B$72,$A75+1)-(F75/INDEX(Surface_Engine!$B$12:$B$72,$A75+1))))/B75))</f>
        <v>20119.6242560065</v>
      </c>
    </row>
    <row r="76" customFormat="false" ht="15" hidden="false" customHeight="true" outlineLevel="0" collapsed="false">
      <c r="A76" s="1" t="n">
        <v>5</v>
      </c>
      <c r="B76" s="32" t="n">
        <f aca="false">INDEX(Surface_Engine!$G$12:$G$72,$A76+1)*IF($A76&lt;$Q$69,INDEX(Surface_Engine!$E$12:$E$72,$A76+1),INDEX(Surface_Engine!$E$12:$E$72,$Q$69+1))</f>
        <v>0.886202752861798</v>
      </c>
      <c r="C76" s="32" t="n">
        <f aca="false">INDEX(Panel_Reserving!$B$8:$B$68,$A76+1)*IF($A76&lt;$Q$69,INDEX(Surface_Engine!$E$12:$E$72,$A76+1),INDEX(Surface_Engine!$E$12:$E$72,$Q$69+1))</f>
        <v>0.889270744331308</v>
      </c>
      <c r="D76" s="32" t="n">
        <f aca="false">INDEX(Surface_Engine!$G$12:$G$72,$A76+1)*IF($A76&lt;$Q$69,INDEX(Surface_Engine!$Y$12:$Y$72,$A76+1),INDEX(Surface_Engine!$Y$12:$Y$72,$Q$69+1))</f>
        <v>0.840603145986252</v>
      </c>
      <c r="E76" s="32" t="n">
        <f aca="false">INDEX(Surface_Engine!$G$12:$G$72,$A76+1)*IF($A76&lt;$Q$69,INDEX(Surface_Engine!$Z$12:$Z$72,$A76+1),INDEX(Surface_Engine!$Z$12:$Z$72,$Q$69+1))</f>
        <v>0.933615587983189</v>
      </c>
      <c r="F76" s="48" t="n">
        <f aca="false">B76*(IF($A76&lt;$Q$69,INDEX(Surface_Engine!$D$12:$D$72,$A76+1)+(Surface_Engine!G236*12)*INDEX(Surface_Engine!$F$12:$F$72,$A76+1)-(Surface_Engine!G236*12),1000*12*INDEX(Surface_Engine!$C$12:$C$72,$A76+1)/(1+Assumptions!$B$10)^20+INDEX(Surface_Engine!$D$12:$D$72,$A76+1)))*INDEX(Surface_Engine!$B$12:$B$72,$A76+1)+F77</f>
        <v>13328.2656240989</v>
      </c>
      <c r="G76" s="48" t="n">
        <f aca="false">C76*(IF($A76&lt;$Q$69,INDEX(Surface_Engine!$D$12:$D$72,$A76+1)+(Surface_Engine!G236*12)*INDEX(Surface_Engine!$F$12:$F$72,$A76+1)-(Surface_Engine!G236*12),1000*12*INDEX(Surface_Engine!$C$12:$C$72,$A76+1)/(1+Assumptions!$B$10)^20+INDEX(Surface_Engine!$D$12:$D$72,$A76+1)))*INDEX(Surface_Engine!$B$12:$B$72,$A76+1)+G77</f>
        <v>20278.4289746502</v>
      </c>
      <c r="H76" s="48" t="n">
        <f aca="false">D76*(IF($A76&lt;$Q$69,INDEX(Surface_Engine!$D$12:$D$72,$A76+1)+(Surface_Engine!G236*12)*INDEX(Surface_Engine!$F$12:$F$72,$A76+1)-(Surface_Engine!G236*12),1000*12*INDEX(Surface_Engine!$C$12:$C$72,$A76+1)/(1+Assumptions!$B$10)^20+INDEX(Surface_Engine!$D$12:$D$72,$A76+1)))*INDEX(Surface_Engine!$B$12:$B$72,$A76+1)+H77</f>
        <v>10415.7525118441</v>
      </c>
      <c r="I76" s="48" t="n">
        <f aca="false">E76*(IF($A76&lt;$Q$69,INDEX(Surface_Engine!$D$12:$D$72,$A76+1)+(Surface_Engine!G236*12)*INDEX(Surface_Engine!$F$12:$F$72,$A76+1)-(Surface_Engine!G236*12),1000*12*INDEX(Surface_Engine!$C$12:$C$72,$A76+1)/(1+Assumptions!$B$10)^20+INDEX(Surface_Engine!$D$12:$D$72,$A76+1)))*INDEX(Surface_Engine!$B$12:$B$72,$A76+1)+I77</f>
        <v>16709.2591601979</v>
      </c>
      <c r="J76" s="48" t="n">
        <f aca="false">B76*(IF($A76&lt;$Q$69,INDEX(Surface_Engine!$D$12:$D$72,$A76+1)*(1+Assumptions!$B$24)+(Surface_Engine!G236*12)*INDEX(Surface_Engine!$F$12:$F$72,$A76+1)-(Surface_Engine!G236*12),1000*12*INDEX(Surface_Engine!$C$12:$C$72,$A76+1)/(1+Assumptions!$B$10)^20+INDEX(Surface_Engine!$D$12:$D$72,$A76+1)*(1+Assumptions!$B$24)))*INDEX(Surface_Engine!$B$12:$B$72,$A76+1)+J77</f>
        <v>13477.5769427595</v>
      </c>
      <c r="K76" s="12" t="n">
        <f aca="false">SQRT((IF(C76&lt;=0,0,MAX(0,(B76/C76)*G76/INDEX(Surface_Engine!$B$12:$B$72,$A76+1)-F76/INDEX(Surface_Engine!$B$12:$B$72,$A76+1))))^2+(MAX(IF(D76&lt;=0,0,MAX(0,(B76/D76)*H76/INDEX(Surface_Engine!$B$12:$B$72,$A76+1)-F76/INDEX(Surface_Engine!$B$12:$B$72,$A76+1))),IF(E76&lt;=0,0,MAX(0,(B76/E76)*I76/INDEX(Surface_Engine!$B$12:$B$72,$A76+1)-F76/INDEX(Surface_Engine!$B$12:$B$72,$A76+1))),IF($A76&lt;$Q$69,MAX(0,-Assumptions!$B$22*(F76/INDEX(Surface_Engine!$B$12:$B$72,$A76+1))),0)))^2+(MAX(0,J76/INDEX(Surface_Engine!$B$12:$B$72,$A76+1)-(F76/INDEX(Surface_Engine!$B$12:$B$72,$A76+1))))^2+2*Assumptions!$B$26*(IF(C76&lt;=0,0,MAX(0,(B76/C76)*G76/INDEX(Surface_Engine!$B$12:$B$72,$A76+1)-F76/INDEX(Surface_Engine!$B$12:$B$72,$A76+1))))*(MAX(IF(D76&lt;=0,0,MAX(0,(B76/D76)*H76/INDEX(Surface_Engine!$B$12:$B$72,$A76+1)-F76/INDEX(Surface_Engine!$B$12:$B$72,$A76+1))),IF(E76&lt;=0,0,MAX(0,(B76/E76)*I76/INDEX(Surface_Engine!$B$12:$B$72,$A76+1)-F76/INDEX(Surface_Engine!$B$12:$B$72,$A76+1))),IF($A76&lt;$Q$69,MAX(0,-Assumptions!$B$22*(F76/INDEX(Surface_Engine!$B$12:$B$72,$A76+1))),0)))+2*Assumptions!$B$27*(IF(C76&lt;=0,0,MAX(0,(B76/C76)*G76/INDEX(Surface_Engine!$B$12:$B$72,$A76+1)-F76/INDEX(Surface_Engine!$B$12:$B$72,$A76+1))))*(MAX(0,J76/INDEX(Surface_Engine!$B$12:$B$72,$A76+1)-(F76/INDEX(Surface_Engine!$B$12:$B$72,$A76+1))))+2*Assumptions!$B$28*(MAX(IF(D76&lt;=0,0,MAX(0,(B76/D76)*H76/INDEX(Surface_Engine!$B$12:$B$72,$A76+1)-F76/INDEX(Surface_Engine!$B$12:$B$72,$A76+1))),IF(E76&lt;=0,0,MAX(0,(B76/E76)*I76/INDEX(Surface_Engine!$B$12:$B$72,$A76+1)-F76/INDEX(Surface_Engine!$B$12:$B$72,$A76+1))),IF($A76&lt;$Q$69,MAX(0,-Assumptions!$B$22*(F76/INDEX(Surface_Engine!$B$12:$B$72,$A76+1))),0)))*(MAX(0,J76/INDEX(Surface_Engine!$B$12:$B$72,$A76+1)-(F76/INDEX(Surface_Engine!$B$12:$B$72,$A76+1)))))</f>
        <v>9081.54929290312</v>
      </c>
      <c r="L76" s="48" t="n">
        <f aca="false">K76*INDEX(Surface_Engine!$B$12:$B$72,$A76+1)+L77</f>
        <v>160933.698520826</v>
      </c>
      <c r="M76" s="48" t="n">
        <f aca="false">M75+B75*(IF($A75&lt;$Q$69,(Surface_Engine!G236*12)-(Surface_Engine!G236*12)*INDEX(Surface_Engine!$F$12:$F$72,$A75+1)-INDEX(Surface_Engine!$D$12:$D$72,$A75+1),-(1000*12*INDEX(Surface_Engine!$C$12:$C$72,$A75+1)/(1+Assumptions!$B$10)^20+INDEX(Surface_Engine!$D$12:$D$72,$A75+1))))*INDEX(Surface_Engine!$B$12:$B$72,$A75+1)</f>
        <v>15154.0900538816</v>
      </c>
      <c r="N76" s="12" t="n">
        <f aca="false">IF(B76&lt;=0,0,MAX(0,(K76+Assumptions!$B$29*L76/INDEX(Surface_Engine!$B$12:$B$72,$A76+1)-(M76/INDEX(Surface_Engine!$B$12:$B$72,$A76+1)-(F76/INDEX(Surface_Engine!$B$12:$B$72,$A76+1))))/B76))</f>
        <v>20327.1476773528</v>
      </c>
    </row>
    <row r="77" customFormat="false" ht="15" hidden="false" customHeight="true" outlineLevel="0" collapsed="false">
      <c r="A77" s="1" t="n">
        <v>6</v>
      </c>
      <c r="B77" s="32" t="n">
        <f aca="false">INDEX(Surface_Engine!$G$12:$G$72,$A77+1)*IF($A77&lt;$Q$69,INDEX(Surface_Engine!$E$12:$E$72,$A77+1),INDEX(Surface_Engine!$E$12:$E$72,$Q$69+1))</f>
        <v>0.874052188827989</v>
      </c>
      <c r="C77" s="32" t="n">
        <f aca="false">INDEX(Panel_Reserving!$B$8:$B$68,$A77+1)*IF($A77&lt;$Q$69,INDEX(Surface_Engine!$E$12:$E$72,$A77+1),INDEX(Surface_Engine!$E$12:$E$72,$Q$69+1))</f>
        <v>0.877898168613168</v>
      </c>
      <c r="D77" s="32" t="n">
        <f aca="false">INDEX(Surface_Engine!$G$12:$G$72,$A77+1)*IF($A77&lt;$Q$69,INDEX(Surface_Engine!$Y$12:$Y$72,$A77+1),INDEX(Surface_Engine!$Y$12:$Y$72,$Q$69+1))</f>
        <v>0.825270842668277</v>
      </c>
      <c r="E77" s="32" t="n">
        <f aca="false">INDEX(Surface_Engine!$G$12:$G$72,$A77+1)*IF($A77&lt;$Q$69,INDEX(Surface_Engine!$Z$12:$Z$72,$A77+1),INDEX(Surface_Engine!$Z$12:$Z$72,$Q$69+1))</f>
        <v>0.925043139754908</v>
      </c>
      <c r="F77" s="48" t="n">
        <f aca="false">B77*(IF($A77&lt;$Q$69,INDEX(Surface_Engine!$D$12:$D$72,$A77+1)+(Surface_Engine!G236*12)*INDEX(Surface_Engine!$F$12:$F$72,$A77+1)-(Surface_Engine!G236*12),1000*12*INDEX(Surface_Engine!$C$12:$C$72,$A77+1)/(1+Assumptions!$B$10)^20+INDEX(Surface_Engine!$D$12:$D$72,$A77+1)))*INDEX(Surface_Engine!$B$12:$B$72,$A77+1)+F78</f>
        <v>16725.4582494981</v>
      </c>
      <c r="G77" s="48" t="n">
        <f aca="false">C77*(IF($A77&lt;$Q$69,INDEX(Surface_Engine!$D$12:$D$72,$A77+1)+(Surface_Engine!G236*12)*INDEX(Surface_Engine!$F$12:$F$72,$A77+1)-(Surface_Engine!G236*12),1000*12*INDEX(Surface_Engine!$C$12:$C$72,$A77+1)/(1+Assumptions!$B$10)^20+INDEX(Surface_Engine!$D$12:$D$72,$A77+1)))*INDEX(Surface_Engine!$B$12:$B$72,$A77+1)+G78</f>
        <v>23687.3825181478</v>
      </c>
      <c r="H77" s="48" t="n">
        <f aca="false">D77*(IF($A77&lt;$Q$69,INDEX(Surface_Engine!$D$12:$D$72,$A77+1)+(Surface_Engine!G236*12)*INDEX(Surface_Engine!$F$12:$F$72,$A77+1)-(Surface_Engine!G236*12),1000*12*INDEX(Surface_Engine!$C$12:$C$72,$A77+1)/(1+Assumptions!$B$10)^20+INDEX(Surface_Engine!$D$12:$D$72,$A77+1)))*INDEX(Surface_Engine!$B$12:$B$72,$A77+1)+H78</f>
        <v>13638.1424211623</v>
      </c>
      <c r="I77" s="48" t="n">
        <f aca="false">E77*(IF($A77&lt;$Q$69,INDEX(Surface_Engine!$D$12:$D$72,$A77+1)+(Surface_Engine!G236*12)*INDEX(Surface_Engine!$F$12:$F$72,$A77+1)-(Surface_Engine!G236*12),1000*12*INDEX(Surface_Engine!$C$12:$C$72,$A77+1)/(1+Assumptions!$B$10)^20+INDEX(Surface_Engine!$D$12:$D$72,$A77+1)))*INDEX(Surface_Engine!$B$12:$B$72,$A77+1)+I78</f>
        <v>20288.2053778801</v>
      </c>
      <c r="J77" s="48" t="n">
        <f aca="false">B77*(IF($A77&lt;$Q$69,INDEX(Surface_Engine!$D$12:$D$72,$A77+1)*(1+Assumptions!$B$24)+(Surface_Engine!G236*12)*INDEX(Surface_Engine!$F$12:$F$72,$A77+1)-(Surface_Engine!G236*12),1000*12*INDEX(Surface_Engine!$C$12:$C$72,$A77+1)/(1+Assumptions!$B$10)^20+INDEX(Surface_Engine!$D$12:$D$72,$A77+1)*(1+Assumptions!$B$24)))*INDEX(Surface_Engine!$B$12:$B$72,$A77+1)+J78</f>
        <v>16867.5623177055</v>
      </c>
      <c r="K77" s="12" t="n">
        <f aca="false">SQRT((IF(C77&lt;=0,0,MAX(0,(B77/C77)*G77/INDEX(Surface_Engine!$B$12:$B$72,$A77+1)-F77/INDEX(Surface_Engine!$B$12:$B$72,$A77+1))))^2+(MAX(IF(D77&lt;=0,0,MAX(0,(B77/D77)*H77/INDEX(Surface_Engine!$B$12:$B$72,$A77+1)-F77/INDEX(Surface_Engine!$B$12:$B$72,$A77+1))),IF(E77&lt;=0,0,MAX(0,(B77/E77)*I77/INDEX(Surface_Engine!$B$12:$B$72,$A77+1)-F77/INDEX(Surface_Engine!$B$12:$B$72,$A77+1))),IF($A77&lt;$Q$69,MAX(0,-Assumptions!$B$22*(F77/INDEX(Surface_Engine!$B$12:$B$72,$A77+1))),0)))^2+(MAX(0,J77/INDEX(Surface_Engine!$B$12:$B$72,$A77+1)-(F77/INDEX(Surface_Engine!$B$12:$B$72,$A77+1))))^2+2*Assumptions!$B$26*(IF(C77&lt;=0,0,MAX(0,(B77/C77)*G77/INDEX(Surface_Engine!$B$12:$B$72,$A77+1)-F77/INDEX(Surface_Engine!$B$12:$B$72,$A77+1))))*(MAX(IF(D77&lt;=0,0,MAX(0,(B77/D77)*H77/INDEX(Surface_Engine!$B$12:$B$72,$A77+1)-F77/INDEX(Surface_Engine!$B$12:$B$72,$A77+1))),IF(E77&lt;=0,0,MAX(0,(B77/E77)*I77/INDEX(Surface_Engine!$B$12:$B$72,$A77+1)-F77/INDEX(Surface_Engine!$B$12:$B$72,$A77+1))),IF($A77&lt;$Q$69,MAX(0,-Assumptions!$B$22*(F77/INDEX(Surface_Engine!$B$12:$B$72,$A77+1))),0)))+2*Assumptions!$B$27*(IF(C77&lt;=0,0,MAX(0,(B77/C77)*G77/INDEX(Surface_Engine!$B$12:$B$72,$A77+1)-F77/INDEX(Surface_Engine!$B$12:$B$72,$A77+1))))*(MAX(0,J77/INDEX(Surface_Engine!$B$12:$B$72,$A77+1)-(F77/INDEX(Surface_Engine!$B$12:$B$72,$A77+1))))+2*Assumptions!$B$28*(MAX(IF(D77&lt;=0,0,MAX(0,(B77/D77)*H77/INDEX(Surface_Engine!$B$12:$B$72,$A77+1)-F77/INDEX(Surface_Engine!$B$12:$B$72,$A77+1))),IF(E77&lt;=0,0,MAX(0,(B77/E77)*I77/INDEX(Surface_Engine!$B$12:$B$72,$A77+1)-F77/INDEX(Surface_Engine!$B$12:$B$72,$A77+1))),IF($A77&lt;$Q$69,MAX(0,-Assumptions!$B$22*(F77/INDEX(Surface_Engine!$B$12:$B$72,$A77+1))),0)))*(MAX(0,J77/INDEX(Surface_Engine!$B$12:$B$72,$A77+1)-(F77/INDEX(Surface_Engine!$B$12:$B$72,$A77+1)))))</f>
        <v>9260.43773388576</v>
      </c>
      <c r="L77" s="48" t="n">
        <f aca="false">K77*INDEX(Surface_Engine!$B$12:$B$72,$A77+1)+L78</f>
        <v>152972.778064638</v>
      </c>
      <c r="M77" s="48" t="n">
        <f aca="false">M76+B76*(IF($A76&lt;$Q$69,(Surface_Engine!G236*12)-(Surface_Engine!G236*12)*INDEX(Surface_Engine!$F$12:$F$72,$A76+1)-INDEX(Surface_Engine!$D$12:$D$72,$A76+1),-(1000*12*INDEX(Surface_Engine!$C$12:$C$72,$A76+1)/(1+Assumptions!$B$10)^20+INDEX(Surface_Engine!$D$12:$D$72,$A76+1))))*INDEX(Surface_Engine!$B$12:$B$72,$A76+1)</f>
        <v>18551.2826792809</v>
      </c>
      <c r="N77" s="12" t="n">
        <f aca="false">IF(B77&lt;=0,0,MAX(0,(K77+Assumptions!$B$29*L77/INDEX(Surface_Engine!$B$12:$B$72,$A77+1)-(M77/INDEX(Surface_Engine!$B$12:$B$72,$A77+1)-(F77/INDEX(Surface_Engine!$B$12:$B$72,$A77+1))))/B77))</f>
        <v>20468.4231390314</v>
      </c>
    </row>
    <row r="78" customFormat="false" ht="15" hidden="false" customHeight="true" outlineLevel="0" collapsed="false">
      <c r="A78" s="1" t="n">
        <v>7</v>
      </c>
      <c r="B78" s="32" t="n">
        <f aca="false">INDEX(Surface_Engine!$G$12:$G$72,$A78+1)*IF($A78&lt;$Q$69,INDEX(Surface_Engine!$E$12:$E$72,$A78+1),INDEX(Surface_Engine!$E$12:$E$72,$Q$69+1))</f>
        <v>0.861675798625979</v>
      </c>
      <c r="C78" s="32" t="n">
        <f aca="false">INDEX(Panel_Reserving!$B$8:$B$68,$A78+1)*IF($A78&lt;$Q$69,INDEX(Surface_Engine!$E$12:$E$72,$A78+1),INDEX(Surface_Engine!$E$12:$E$72,$Q$69+1))</f>
        <v>0.866355715190251</v>
      </c>
      <c r="D78" s="32" t="n">
        <f aca="false">INDEX(Surface_Engine!$G$12:$G$72,$A78+1)*IF($A78&lt;$Q$69,INDEX(Surface_Engine!$Y$12:$Y$72,$A78+1),INDEX(Surface_Engine!$Y$12:$Y$72,$Q$69+1))</f>
        <v>0.809849377339046</v>
      </c>
      <c r="E78" s="32" t="n">
        <f aca="false">INDEX(Surface_Engine!$G$12:$G$72,$A78+1)*IF($A78&lt;$Q$69,INDEX(Surface_Engine!$Z$12:$Z$72,$A78+1),INDEX(Surface_Engine!$Z$12:$Z$72,$Q$69+1))</f>
        <v>0.916132183051795</v>
      </c>
      <c r="F78" s="48" t="n">
        <f aca="false">B78*(IF($A78&lt;$Q$69,INDEX(Surface_Engine!$D$12:$D$72,$A78+1)+(Surface_Engine!G236*12)*INDEX(Surface_Engine!$F$12:$F$72,$A78+1)-(Surface_Engine!G236*12),1000*12*INDEX(Surface_Engine!$C$12:$C$72,$A78+1)/(1+Assumptions!$B$10)^20+INDEX(Surface_Engine!$D$12:$D$72,$A78+1)))*INDEX(Surface_Engine!$B$12:$B$72,$A78+1)+F79</f>
        <v>19980.1945400516</v>
      </c>
      <c r="G78" s="48" t="n">
        <f aca="false">C78*(IF($A78&lt;$Q$69,INDEX(Surface_Engine!$D$12:$D$72,$A78+1)+(Surface_Engine!G236*12)*INDEX(Surface_Engine!$F$12:$F$72,$A78+1)-(Surface_Engine!G236*12),1000*12*INDEX(Surface_Engine!$C$12:$C$72,$A78+1)/(1+Assumptions!$B$10)^20+INDEX(Surface_Engine!$D$12:$D$72,$A78+1)))*INDEX(Surface_Engine!$B$12:$B$72,$A78+1)+G79</f>
        <v>26956.4402075143</v>
      </c>
      <c r="H78" s="48" t="n">
        <f aca="false">D78*(IF($A78&lt;$Q$69,INDEX(Surface_Engine!$D$12:$D$72,$A78+1)+(Surface_Engine!G236*12)*INDEX(Surface_Engine!$F$12:$F$72,$A78+1)-(Surface_Engine!G236*12),1000*12*INDEX(Surface_Engine!$C$12:$C$72,$A78+1)/(1+Assumptions!$B$10)^20+INDEX(Surface_Engine!$D$12:$D$72,$A78+1)))*INDEX(Surface_Engine!$B$12:$B$72,$A78+1)+H79</f>
        <v>16711.2300416735</v>
      </c>
      <c r="I78" s="48" t="n">
        <f aca="false">E78*(IF($A78&lt;$Q$69,INDEX(Surface_Engine!$D$12:$D$72,$A78+1)+(Surface_Engine!G236*12)*INDEX(Surface_Engine!$F$12:$F$72,$A78+1)-(Surface_Engine!G236*12),1000*12*INDEX(Surface_Engine!$C$12:$C$72,$A78+1)/(1+Assumptions!$B$10)^20+INDEX(Surface_Engine!$D$12:$D$72,$A78+1)))*INDEX(Surface_Engine!$B$12:$B$72,$A78+1)+I79</f>
        <v>23732.8183149233</v>
      </c>
      <c r="J78" s="48" t="n">
        <f aca="false">B78*(IF($A78&lt;$Q$69,INDEX(Surface_Engine!$D$12:$D$72,$A78+1)*(1+Assumptions!$B$24)+(Surface_Engine!G236*12)*INDEX(Surface_Engine!$F$12:$F$72,$A78+1)-(Surface_Engine!G236*12),1000*12*INDEX(Surface_Engine!$C$12:$C$72,$A78+1)/(1+Assumptions!$B$10)^20+INDEX(Surface_Engine!$D$12:$D$72,$A78+1)*(1+Assumptions!$B$24)))*INDEX(Surface_Engine!$B$12:$B$72,$A78+1)+J79</f>
        <v>20115.2172018994</v>
      </c>
      <c r="K78" s="12" t="n">
        <f aca="false">SQRT((IF(C78&lt;=0,0,MAX(0,(B78/C78)*G78/INDEX(Surface_Engine!$B$12:$B$72,$A78+1)-F78/INDEX(Surface_Engine!$B$12:$B$72,$A78+1))))^2+(MAX(IF(D78&lt;=0,0,MAX(0,(B78/D78)*H78/INDEX(Surface_Engine!$B$12:$B$72,$A78+1)-F78/INDEX(Surface_Engine!$B$12:$B$72,$A78+1))),IF(E78&lt;=0,0,MAX(0,(B78/E78)*I78/INDEX(Surface_Engine!$B$12:$B$72,$A78+1)-F78/INDEX(Surface_Engine!$B$12:$B$72,$A78+1))),IF($A78&lt;$Q$69,MAX(0,-Assumptions!$B$22*(F78/INDEX(Surface_Engine!$B$12:$B$72,$A78+1))),0)))^2+(MAX(0,J78/INDEX(Surface_Engine!$B$12:$B$72,$A78+1)-(F78/INDEX(Surface_Engine!$B$12:$B$72,$A78+1))))^2+2*Assumptions!$B$26*(IF(C78&lt;=0,0,MAX(0,(B78/C78)*G78/INDEX(Surface_Engine!$B$12:$B$72,$A78+1)-F78/INDEX(Surface_Engine!$B$12:$B$72,$A78+1))))*(MAX(IF(D78&lt;=0,0,MAX(0,(B78/D78)*H78/INDEX(Surface_Engine!$B$12:$B$72,$A78+1)-F78/INDEX(Surface_Engine!$B$12:$B$72,$A78+1))),IF(E78&lt;=0,0,MAX(0,(B78/E78)*I78/INDEX(Surface_Engine!$B$12:$B$72,$A78+1)-F78/INDEX(Surface_Engine!$B$12:$B$72,$A78+1))),IF($A78&lt;$Q$69,MAX(0,-Assumptions!$B$22*(F78/INDEX(Surface_Engine!$B$12:$B$72,$A78+1))),0)))+2*Assumptions!$B$27*(IF(C78&lt;=0,0,MAX(0,(B78/C78)*G78/INDEX(Surface_Engine!$B$12:$B$72,$A78+1)-F78/INDEX(Surface_Engine!$B$12:$B$72,$A78+1))))*(MAX(0,J78/INDEX(Surface_Engine!$B$12:$B$72,$A78+1)-(F78/INDEX(Surface_Engine!$B$12:$B$72,$A78+1))))+2*Assumptions!$B$28*(MAX(IF(D78&lt;=0,0,MAX(0,(B78/D78)*H78/INDEX(Surface_Engine!$B$12:$B$72,$A78+1)-F78/INDEX(Surface_Engine!$B$12:$B$72,$A78+1))),IF(E78&lt;=0,0,MAX(0,(B78/E78)*I78/INDEX(Surface_Engine!$B$12:$B$72,$A78+1)-F78/INDEX(Surface_Engine!$B$12:$B$72,$A78+1))),IF($A78&lt;$Q$69,MAX(0,-Assumptions!$B$22*(F78/INDEX(Surface_Engine!$B$12:$B$72,$A78+1))),0)))*(MAX(0,J78/INDEX(Surface_Engine!$B$12:$B$72,$A78+1)-(F78/INDEX(Surface_Engine!$B$12:$B$72,$A78+1)))))</f>
        <v>9438.6467930772</v>
      </c>
      <c r="L78" s="48" t="n">
        <f aca="false">K78*INDEX(Surface_Engine!$B$12:$B$72,$A78+1)+L79</f>
        <v>145083.14830855</v>
      </c>
      <c r="M78" s="48" t="n">
        <f aca="false">M77+B77*(IF($A77&lt;$Q$69,(Surface_Engine!G236*12)-(Surface_Engine!G236*12)*INDEX(Surface_Engine!$F$12:$F$72,$A77+1)-INDEX(Surface_Engine!$D$12:$D$72,$A77+1),-(1000*12*INDEX(Surface_Engine!$C$12:$C$72,$A77+1)/(1+Assumptions!$B$10)^20+INDEX(Surface_Engine!$D$12:$D$72,$A77+1))))*INDEX(Surface_Engine!$B$12:$B$72,$A77+1)</f>
        <v>21806.0189698343</v>
      </c>
      <c r="N78" s="12" t="n">
        <f aca="false">IF(B78&lt;=0,0,MAX(0,(K78+Assumptions!$B$29*L78/INDEX(Surface_Engine!$B$12:$B$72,$A78+1)-(M78/INDEX(Surface_Engine!$B$12:$B$72,$A78+1)-(F78/INDEX(Surface_Engine!$B$12:$B$72,$A78+1))))/B78))</f>
        <v>20606.8772658341</v>
      </c>
    </row>
    <row r="79" customFormat="false" ht="15" hidden="false" customHeight="true" outlineLevel="0" collapsed="false">
      <c r="A79" s="1" t="n">
        <v>8</v>
      </c>
      <c r="B79" s="32" t="n">
        <f aca="false">INDEX(Surface_Engine!$G$12:$G$72,$A79+1)*IF($A79&lt;$Q$69,INDEX(Surface_Engine!$E$12:$E$72,$A79+1),INDEX(Surface_Engine!$E$12:$E$72,$Q$69+1))</f>
        <v>0.849037015354748</v>
      </c>
      <c r="C79" s="32" t="n">
        <f aca="false">INDEX(Panel_Reserving!$B$8:$B$68,$A79+1)*IF($A79&lt;$Q$69,INDEX(Surface_Engine!$E$12:$E$72,$A79+1),INDEX(Surface_Engine!$E$12:$E$72,$Q$69+1))</f>
        <v>0.854613006363728</v>
      </c>
      <c r="D79" s="32" t="n">
        <f aca="false">INDEX(Surface_Engine!$G$12:$G$72,$A79+1)*IF($A79&lt;$Q$69,INDEX(Surface_Engine!$Y$12:$Y$72,$A79+1),INDEX(Surface_Engine!$Y$12:$Y$72,$Q$69+1))</f>
        <v>0.794306656938183</v>
      </c>
      <c r="E79" s="32" t="n">
        <f aca="false">INDEX(Surface_Engine!$G$12:$G$72,$A79+1)*IF($A79&lt;$Q$69,INDEX(Surface_Engine!$Z$12:$Z$72,$A79+1),INDEX(Surface_Engine!$Z$12:$Z$72,$Q$69+1))</f>
        <v>0.906839631041542</v>
      </c>
      <c r="F79" s="48" t="n">
        <f aca="false">B79*(IF($A79&lt;$Q$69,INDEX(Surface_Engine!$D$12:$D$72,$A79+1)+(Surface_Engine!G236*12)*INDEX(Surface_Engine!$F$12:$F$72,$A79+1)-(Surface_Engine!G236*12),1000*12*INDEX(Surface_Engine!$C$12:$C$72,$A79+1)/(1+Assumptions!$B$10)^20+INDEX(Surface_Engine!$D$12:$D$72,$A79+1)))*INDEX(Surface_Engine!$B$12:$B$72,$A79+1)+F80</f>
        <v>23093.2590866943</v>
      </c>
      <c r="G79" s="48" t="n">
        <f aca="false">C79*(IF($A79&lt;$Q$69,INDEX(Surface_Engine!$D$12:$D$72,$A79+1)+(Surface_Engine!G236*12)*INDEX(Surface_Engine!$F$12:$F$72,$A79+1)-(Surface_Engine!G236*12),1000*12*INDEX(Surface_Engine!$C$12:$C$72,$A79+1)/(1+Assumptions!$B$10)^20+INDEX(Surface_Engine!$D$12:$D$72,$A79+1)))*INDEX(Surface_Engine!$B$12:$B$72,$A79+1)+G80</f>
        <v>30086.412368785</v>
      </c>
      <c r="H79" s="48" t="n">
        <f aca="false">D79*(IF($A79&lt;$Q$69,INDEX(Surface_Engine!$D$12:$D$72,$A79+1)+(Surface_Engine!G236*12)*INDEX(Surface_Engine!$F$12:$F$72,$A79+1)-(Surface_Engine!G236*12),1000*12*INDEX(Surface_Engine!$C$12:$C$72,$A79+1)/(1+Assumptions!$B$10)^20+INDEX(Surface_Engine!$D$12:$D$72,$A79+1)))*INDEX(Surface_Engine!$B$12:$B$72,$A79+1)+H80</f>
        <v>19637.0559598843</v>
      </c>
      <c r="I79" s="48" t="n">
        <f aca="false">E79*(IF($A79&lt;$Q$69,INDEX(Surface_Engine!$D$12:$D$72,$A79+1)+(Surface_Engine!G236*12)*INDEX(Surface_Engine!$F$12:$F$72,$A79+1)-(Surface_Engine!G236*12),1000*12*INDEX(Surface_Engine!$C$12:$C$72,$A79+1)/(1+Assumptions!$B$10)^20+INDEX(Surface_Engine!$D$12:$D$72,$A79+1)))*INDEX(Surface_Engine!$B$12:$B$72,$A79+1)+I80</f>
        <v>27042.623027606</v>
      </c>
      <c r="J79" s="48" t="n">
        <f aca="false">B79*(IF($A79&lt;$Q$69,INDEX(Surface_Engine!$D$12:$D$72,$A79+1)*(1+Assumptions!$B$24)+(Surface_Engine!G236*12)*INDEX(Surface_Engine!$F$12:$F$72,$A79+1)-(Surface_Engine!G236*12),1000*12*INDEX(Surface_Engine!$C$12:$C$72,$A79+1)/(1+Assumptions!$B$10)^20+INDEX(Surface_Engine!$D$12:$D$72,$A79+1)*(1+Assumptions!$B$24)))*INDEX(Surface_Engine!$B$12:$B$72,$A79+1)+J80</f>
        <v>23221.3354732415</v>
      </c>
      <c r="K79" s="12" t="n">
        <f aca="false">SQRT((IF(C79&lt;=0,0,MAX(0,(B79/C79)*G79/INDEX(Surface_Engine!$B$12:$B$72,$A79+1)-F79/INDEX(Surface_Engine!$B$12:$B$72,$A79+1))))^2+(MAX(IF(D79&lt;=0,0,MAX(0,(B79/D79)*H79/INDEX(Surface_Engine!$B$12:$B$72,$A79+1)-F79/INDEX(Surface_Engine!$B$12:$B$72,$A79+1))),IF(E79&lt;=0,0,MAX(0,(B79/E79)*I79/INDEX(Surface_Engine!$B$12:$B$72,$A79+1)-F79/INDEX(Surface_Engine!$B$12:$B$72,$A79+1))),IF($A79&lt;$Q$69,MAX(0,-Assumptions!$B$22*(F79/INDEX(Surface_Engine!$B$12:$B$72,$A79+1))),0)))^2+(MAX(0,J79/INDEX(Surface_Engine!$B$12:$B$72,$A79+1)-(F79/INDEX(Surface_Engine!$B$12:$B$72,$A79+1))))^2+2*Assumptions!$B$26*(IF(C79&lt;=0,0,MAX(0,(B79/C79)*G79/INDEX(Surface_Engine!$B$12:$B$72,$A79+1)-F79/INDEX(Surface_Engine!$B$12:$B$72,$A79+1))))*(MAX(IF(D79&lt;=0,0,MAX(0,(B79/D79)*H79/INDEX(Surface_Engine!$B$12:$B$72,$A79+1)-F79/INDEX(Surface_Engine!$B$12:$B$72,$A79+1))),IF(E79&lt;=0,0,MAX(0,(B79/E79)*I79/INDEX(Surface_Engine!$B$12:$B$72,$A79+1)-F79/INDEX(Surface_Engine!$B$12:$B$72,$A79+1))),IF($A79&lt;$Q$69,MAX(0,-Assumptions!$B$22*(F79/INDEX(Surface_Engine!$B$12:$B$72,$A79+1))),0)))+2*Assumptions!$B$27*(IF(C79&lt;=0,0,MAX(0,(B79/C79)*G79/INDEX(Surface_Engine!$B$12:$B$72,$A79+1)-F79/INDEX(Surface_Engine!$B$12:$B$72,$A79+1))))*(MAX(0,J79/INDEX(Surface_Engine!$B$12:$B$72,$A79+1)-(F79/INDEX(Surface_Engine!$B$12:$B$72,$A79+1))))+2*Assumptions!$B$28*(MAX(IF(D79&lt;=0,0,MAX(0,(B79/D79)*H79/INDEX(Surface_Engine!$B$12:$B$72,$A79+1)-F79/INDEX(Surface_Engine!$B$12:$B$72,$A79+1))),IF(E79&lt;=0,0,MAX(0,(B79/E79)*I79/INDEX(Surface_Engine!$B$12:$B$72,$A79+1)-F79/INDEX(Surface_Engine!$B$12:$B$72,$A79+1))),IF($A79&lt;$Q$69,MAX(0,-Assumptions!$B$22*(F79/INDEX(Surface_Engine!$B$12:$B$72,$A79+1))),0)))*(MAX(0,J79/INDEX(Surface_Engine!$B$12:$B$72,$A79+1)-(F79/INDEX(Surface_Engine!$B$12:$B$72,$A79+1)))))</f>
        <v>9615.17816667811</v>
      </c>
      <c r="L79" s="48" t="n">
        <f aca="false">K79*INDEX(Surface_Engine!$B$12:$B$72,$A79+1)+L80</f>
        <v>137276.997797936</v>
      </c>
      <c r="M79" s="48" t="n">
        <f aca="false">M78+B78*(IF($A78&lt;$Q$69,(Surface_Engine!G236*12)-(Surface_Engine!G236*12)*INDEX(Surface_Engine!$F$12:$F$72,$A78+1)-INDEX(Surface_Engine!$D$12:$D$72,$A78+1),-(1000*12*INDEX(Surface_Engine!$C$12:$C$72,$A78+1)/(1+Assumptions!$B$10)^20+INDEX(Surface_Engine!$D$12:$D$72,$A78+1))))*INDEX(Surface_Engine!$B$12:$B$72,$A78+1)</f>
        <v>24919.083516477</v>
      </c>
      <c r="N79" s="12" t="n">
        <f aca="false">IF(B79&lt;=0,0,MAX(0,(K79+Assumptions!$B$29*L79/INDEX(Surface_Engine!$B$12:$B$72,$A79+1)-(M79/INDEX(Surface_Engine!$B$12:$B$72,$A79+1)-(F79/INDEX(Surface_Engine!$B$12:$B$72,$A79+1))))/B79))</f>
        <v>20740.7213426999</v>
      </c>
    </row>
    <row r="80" customFormat="false" ht="15" hidden="false" customHeight="true" outlineLevel="0" collapsed="false">
      <c r="A80" s="1" t="n">
        <v>9</v>
      </c>
      <c r="B80" s="32" t="n">
        <f aca="false">INDEX(Surface_Engine!$G$12:$G$72,$A80+1)*IF($A80&lt;$Q$69,INDEX(Surface_Engine!$E$12:$E$72,$A80+1),INDEX(Surface_Engine!$E$12:$E$72,$Q$69+1))</f>
        <v>0.836096678851343</v>
      </c>
      <c r="C80" s="32" t="n">
        <f aca="false">INDEX(Panel_Reserving!$B$8:$B$68,$A80+1)*IF($A80&lt;$Q$69,INDEX(Surface_Engine!$E$12:$E$72,$A80+1),INDEX(Surface_Engine!$E$12:$E$72,$Q$69+1))</f>
        <v>0.842637353688004</v>
      </c>
      <c r="D80" s="32" t="n">
        <f aca="false">INDEX(Surface_Engine!$G$12:$G$72,$A80+1)*IF($A80&lt;$Q$69,INDEX(Surface_Engine!$Y$12:$Y$72,$A80+1),INDEX(Surface_Engine!$Y$12:$Y$72,$Q$69+1))</f>
        <v>0.77860877975083</v>
      </c>
      <c r="E80" s="32" t="n">
        <f aca="false">INDEX(Surface_Engine!$G$12:$G$72,$A80+1)*IF($A80&lt;$Q$69,INDEX(Surface_Engine!$Z$12:$Z$72,$A80+1),INDEX(Surface_Engine!$Z$12:$Z$72,$Q$69+1))</f>
        <v>0.897118862068647</v>
      </c>
      <c r="F80" s="48" t="n">
        <f aca="false">B80*(IF($A80&lt;$Q$69,INDEX(Surface_Engine!$D$12:$D$72,$A80+1)+(Surface_Engine!G236*12)*INDEX(Surface_Engine!$F$12:$F$72,$A80+1)-(Surface_Engine!G236*12),1000*12*INDEX(Surface_Engine!$C$12:$C$72,$A80+1)/(1+Assumptions!$B$10)^20+INDEX(Surface_Engine!$D$12:$D$72,$A80+1)))*INDEX(Surface_Engine!$B$12:$B$72,$A80+1)+F81</f>
        <v>26065.7738150722</v>
      </c>
      <c r="G80" s="48" t="n">
        <f aca="false">C80*(IF($A80&lt;$Q$69,INDEX(Surface_Engine!$D$12:$D$72,$A80+1)+(Surface_Engine!G236*12)*INDEX(Surface_Engine!$F$12:$F$72,$A80+1)-(Surface_Engine!G236*12),1000*12*INDEX(Surface_Engine!$C$12:$C$72,$A80+1)/(1+Assumptions!$B$10)^20+INDEX(Surface_Engine!$D$12:$D$72,$A80+1)))*INDEX(Surface_Engine!$B$12:$B$72,$A80+1)+G81</f>
        <v>33078.4488790167</v>
      </c>
      <c r="H80" s="48" t="n">
        <f aca="false">D80*(IF($A80&lt;$Q$69,INDEX(Surface_Engine!$D$12:$D$72,$A80+1)+(Surface_Engine!G236*12)*INDEX(Surface_Engine!$F$12:$F$72,$A80+1)-(Surface_Engine!G236*12),1000*12*INDEX(Surface_Engine!$C$12:$C$72,$A80+1)/(1+Assumptions!$B$10)^20+INDEX(Surface_Engine!$D$12:$D$72,$A80+1)))*INDEX(Surface_Engine!$B$12:$B$72,$A80+1)+H81</f>
        <v>22417.9573739538</v>
      </c>
      <c r="I80" s="48" t="n">
        <f aca="false">E80*(IF($A80&lt;$Q$69,INDEX(Surface_Engine!$D$12:$D$72,$A80+1)+(Surface_Engine!G236*12)*INDEX(Surface_Engine!$F$12:$F$72,$A80+1)-(Surface_Engine!G236*12),1000*12*INDEX(Surface_Engine!$C$12:$C$72,$A80+1)/(1+Assumptions!$B$10)^20+INDEX(Surface_Engine!$D$12:$D$72,$A80+1)))*INDEX(Surface_Engine!$B$12:$B$72,$A80+1)+I81</f>
        <v>30217.5071737601</v>
      </c>
      <c r="J80" s="48" t="n">
        <f aca="false">B80*(IF($A80&lt;$Q$69,INDEX(Surface_Engine!$D$12:$D$72,$A80+1)*(1+Assumptions!$B$24)+(Surface_Engine!G236*12)*INDEX(Surface_Engine!$F$12:$F$72,$A80+1)-(Surface_Engine!G236*12),1000*12*INDEX(Surface_Engine!$C$12:$C$72,$A80+1)/(1+Assumptions!$B$10)^20+INDEX(Surface_Engine!$D$12:$D$72,$A80+1)*(1+Assumptions!$B$24)))*INDEX(Surface_Engine!$B$12:$B$72,$A80+1)+J81</f>
        <v>26187.047928304</v>
      </c>
      <c r="K80" s="12" t="n">
        <f aca="false">SQRT((IF(C80&lt;=0,0,MAX(0,(B80/C80)*G80/INDEX(Surface_Engine!$B$12:$B$72,$A80+1)-F80/INDEX(Surface_Engine!$B$12:$B$72,$A80+1))))^2+(MAX(IF(D80&lt;=0,0,MAX(0,(B80/D80)*H80/INDEX(Surface_Engine!$B$12:$B$72,$A80+1)-F80/INDEX(Surface_Engine!$B$12:$B$72,$A80+1))),IF(E80&lt;=0,0,MAX(0,(B80/E80)*I80/INDEX(Surface_Engine!$B$12:$B$72,$A80+1)-F80/INDEX(Surface_Engine!$B$12:$B$72,$A80+1))),IF($A80&lt;$Q$69,MAX(0,-Assumptions!$B$22*(F80/INDEX(Surface_Engine!$B$12:$B$72,$A80+1))),0)))^2+(MAX(0,J80/INDEX(Surface_Engine!$B$12:$B$72,$A80+1)-(F80/INDEX(Surface_Engine!$B$12:$B$72,$A80+1))))^2+2*Assumptions!$B$26*(IF(C80&lt;=0,0,MAX(0,(B80/C80)*G80/INDEX(Surface_Engine!$B$12:$B$72,$A80+1)-F80/INDEX(Surface_Engine!$B$12:$B$72,$A80+1))))*(MAX(IF(D80&lt;=0,0,MAX(0,(B80/D80)*H80/INDEX(Surface_Engine!$B$12:$B$72,$A80+1)-F80/INDEX(Surface_Engine!$B$12:$B$72,$A80+1))),IF(E80&lt;=0,0,MAX(0,(B80/E80)*I80/INDEX(Surface_Engine!$B$12:$B$72,$A80+1)-F80/INDEX(Surface_Engine!$B$12:$B$72,$A80+1))),IF($A80&lt;$Q$69,MAX(0,-Assumptions!$B$22*(F80/INDEX(Surface_Engine!$B$12:$B$72,$A80+1))),0)))+2*Assumptions!$B$27*(IF(C80&lt;=0,0,MAX(0,(B80/C80)*G80/INDEX(Surface_Engine!$B$12:$B$72,$A80+1)-F80/INDEX(Surface_Engine!$B$12:$B$72,$A80+1))))*(MAX(0,J80/INDEX(Surface_Engine!$B$12:$B$72,$A80+1)-(F80/INDEX(Surface_Engine!$B$12:$B$72,$A80+1))))+2*Assumptions!$B$28*(MAX(IF(D80&lt;=0,0,MAX(0,(B80/D80)*H80/INDEX(Surface_Engine!$B$12:$B$72,$A80+1)-F80/INDEX(Surface_Engine!$B$12:$B$72,$A80+1))),IF(E80&lt;=0,0,MAX(0,(B80/E80)*I80/INDEX(Surface_Engine!$B$12:$B$72,$A80+1)-F80/INDEX(Surface_Engine!$B$12:$B$72,$A80+1))),IF($A80&lt;$Q$69,MAX(0,-Assumptions!$B$22*(F80/INDEX(Surface_Engine!$B$12:$B$72,$A80+1))),0)))*(MAX(0,J80/INDEX(Surface_Engine!$B$12:$B$72,$A80+1)-(F80/INDEX(Surface_Engine!$B$12:$B$72,$A80+1)))))</f>
        <v>9787.61827485651</v>
      </c>
      <c r="L80" s="48" t="n">
        <f aca="false">K80*INDEX(Surface_Engine!$B$12:$B$72,$A80+1)+L81</f>
        <v>129566.542673665</v>
      </c>
      <c r="M80" s="48" t="n">
        <f aca="false">M79+B79*(IF($A79&lt;$Q$69,(Surface_Engine!G236*12)-(Surface_Engine!G236*12)*INDEX(Surface_Engine!$F$12:$F$72,$A79+1)-INDEX(Surface_Engine!$D$12:$D$72,$A79+1),-(1000*12*INDEX(Surface_Engine!$C$12:$C$72,$A79+1)/(1+Assumptions!$B$10)^20+INDEX(Surface_Engine!$D$12:$D$72,$A79+1))))*INDEX(Surface_Engine!$B$12:$B$72,$A79+1)</f>
        <v>27891.5982448549</v>
      </c>
      <c r="N80" s="12" t="n">
        <f aca="false">IF(B80&lt;=0,0,MAX(0,(K80+Assumptions!$B$29*L80/INDEX(Surface_Engine!$B$12:$B$72,$A80+1)-(M80/INDEX(Surface_Engine!$B$12:$B$72,$A80+1)-(F80/INDEX(Surface_Engine!$B$12:$B$72,$A80+1))))/B80))</f>
        <v>20865.3938347892</v>
      </c>
    </row>
    <row r="81" customFormat="false" ht="15" hidden="false" customHeight="true" outlineLevel="0" collapsed="false">
      <c r="A81" s="1" t="n">
        <v>10</v>
      </c>
      <c r="B81" s="32" t="n">
        <f aca="false">INDEX(Surface_Engine!$G$12:$G$72,$A81+1)*IF($A81&lt;$Q$69,INDEX(Surface_Engine!$E$12:$E$72,$A81+1),INDEX(Surface_Engine!$E$12:$E$72,$Q$69+1))</f>
        <v>0.822813755074838</v>
      </c>
      <c r="C81" s="32" t="n">
        <f aca="false">INDEX(Panel_Reserving!$B$8:$B$68,$A81+1)*IF($A81&lt;$Q$69,INDEX(Surface_Engine!$E$12:$E$72,$A81+1),INDEX(Surface_Engine!$E$12:$E$72,$Q$69+1))</f>
        <v>0.830394286224382</v>
      </c>
      <c r="D81" s="32" t="n">
        <f aca="false">INDEX(Surface_Engine!$G$12:$G$72,$A81+1)*IF($A81&lt;$Q$69,INDEX(Surface_Engine!$Y$12:$Y$72,$A81+1),INDEX(Surface_Engine!$Y$12:$Y$72,$Q$69+1))</f>
        <v>0.762720750662555</v>
      </c>
      <c r="E81" s="32" t="n">
        <f aca="false">INDEX(Surface_Engine!$G$12:$G$72,$A81+1)*IF($A81&lt;$Q$69,INDEX(Surface_Engine!$Z$12:$Z$72,$A81+1),INDEX(Surface_Engine!$Z$12:$Z$72,$Q$69+1))</f>
        <v>0.886920422708789</v>
      </c>
      <c r="F81" s="48" t="n">
        <f aca="false">B81*(IF($A81&lt;$Q$69,INDEX(Surface_Engine!$D$12:$D$72,$A81+1)+(Surface_Engine!G236*12)*INDEX(Surface_Engine!$F$12:$F$72,$A81+1)-(Surface_Engine!G236*12),1000*12*INDEX(Surface_Engine!$C$12:$C$72,$A81+1)/(1+Assumptions!$B$10)^20+INDEX(Surface_Engine!$D$12:$D$72,$A81+1)))*INDEX(Surface_Engine!$B$12:$B$72,$A81+1)+F82</f>
        <v>28899.5009495982</v>
      </c>
      <c r="G81" s="48" t="n">
        <f aca="false">C81*(IF($A81&lt;$Q$69,INDEX(Surface_Engine!$D$12:$D$72,$A81+1)+(Surface_Engine!G236*12)*INDEX(Surface_Engine!$F$12:$F$72,$A81+1)-(Surface_Engine!G236*12),1000*12*INDEX(Surface_Engine!$C$12:$C$72,$A81+1)/(1+Assumptions!$B$10)^20+INDEX(Surface_Engine!$D$12:$D$72,$A81+1)))*INDEX(Surface_Engine!$B$12:$B$72,$A81+1)+G82</f>
        <v>35934.343889856</v>
      </c>
      <c r="H81" s="48" t="n">
        <f aca="false">D81*(IF($A81&lt;$Q$69,INDEX(Surface_Engine!$D$12:$D$72,$A81+1)+(Surface_Engine!G236*12)*INDEX(Surface_Engine!$F$12:$F$72,$A81+1)-(Surface_Engine!G236*12),1000*12*INDEX(Surface_Engine!$C$12:$C$72,$A81+1)/(1+Assumptions!$B$10)^20+INDEX(Surface_Engine!$D$12:$D$72,$A81+1)))*INDEX(Surface_Engine!$B$12:$B$72,$A81+1)+H82</f>
        <v>25056.8445770357</v>
      </c>
      <c r="I81" s="48" t="n">
        <f aca="false">E81*(IF($A81&lt;$Q$69,INDEX(Surface_Engine!$D$12:$D$72,$A81+1)+(Surface_Engine!G236*12)*INDEX(Surface_Engine!$F$12:$F$72,$A81+1)-(Surface_Engine!G236*12),1000*12*INDEX(Surface_Engine!$C$12:$C$72,$A81+1)/(1+Assumptions!$B$10)^20+INDEX(Surface_Engine!$D$12:$D$72,$A81+1)))*INDEX(Surface_Engine!$B$12:$B$72,$A81+1)+I82</f>
        <v>33258.052754962</v>
      </c>
      <c r="J81" s="48" t="n">
        <f aca="false">B81*(IF($A81&lt;$Q$69,INDEX(Surface_Engine!$D$12:$D$72,$A81+1)*(1+Assumptions!$B$24)+(Surface_Engine!G236*12)*INDEX(Surface_Engine!$F$12:$F$72,$A81+1)-(Surface_Engine!G236*12),1000*12*INDEX(Surface_Engine!$C$12:$C$72,$A81+1)/(1+Assumptions!$B$10)^20+INDEX(Surface_Engine!$D$12:$D$72,$A81+1)*(1+Assumptions!$B$24)))*INDEX(Surface_Engine!$B$12:$B$72,$A81+1)+J82</f>
        <v>29014.1244680543</v>
      </c>
      <c r="K81" s="12" t="n">
        <f aca="false">SQRT((IF(C81&lt;=0,0,MAX(0,(B81/C81)*G81/INDEX(Surface_Engine!$B$12:$B$72,$A81+1)-F81/INDEX(Surface_Engine!$B$12:$B$72,$A81+1))))^2+(MAX(IF(D81&lt;=0,0,MAX(0,(B81/D81)*H81/INDEX(Surface_Engine!$B$12:$B$72,$A81+1)-F81/INDEX(Surface_Engine!$B$12:$B$72,$A81+1))),IF(E81&lt;=0,0,MAX(0,(B81/E81)*I81/INDEX(Surface_Engine!$B$12:$B$72,$A81+1)-F81/INDEX(Surface_Engine!$B$12:$B$72,$A81+1))),IF($A81&lt;$Q$69,MAX(0,-Assumptions!$B$22*(F81/INDEX(Surface_Engine!$B$12:$B$72,$A81+1))),0)))^2+(MAX(0,J81/INDEX(Surface_Engine!$B$12:$B$72,$A81+1)-(F81/INDEX(Surface_Engine!$B$12:$B$72,$A81+1))))^2+2*Assumptions!$B$26*(IF(C81&lt;=0,0,MAX(0,(B81/C81)*G81/INDEX(Surface_Engine!$B$12:$B$72,$A81+1)-F81/INDEX(Surface_Engine!$B$12:$B$72,$A81+1))))*(MAX(IF(D81&lt;=0,0,MAX(0,(B81/D81)*H81/INDEX(Surface_Engine!$B$12:$B$72,$A81+1)-F81/INDEX(Surface_Engine!$B$12:$B$72,$A81+1))),IF(E81&lt;=0,0,MAX(0,(B81/E81)*I81/INDEX(Surface_Engine!$B$12:$B$72,$A81+1)-F81/INDEX(Surface_Engine!$B$12:$B$72,$A81+1))),IF($A81&lt;$Q$69,MAX(0,-Assumptions!$B$22*(F81/INDEX(Surface_Engine!$B$12:$B$72,$A81+1))),0)))+2*Assumptions!$B$27*(IF(C81&lt;=0,0,MAX(0,(B81/C81)*G81/INDEX(Surface_Engine!$B$12:$B$72,$A81+1)-F81/INDEX(Surface_Engine!$B$12:$B$72,$A81+1))))*(MAX(0,J81/INDEX(Surface_Engine!$B$12:$B$72,$A81+1)-(F81/INDEX(Surface_Engine!$B$12:$B$72,$A81+1))))+2*Assumptions!$B$28*(MAX(IF(D81&lt;=0,0,MAX(0,(B81/D81)*H81/INDEX(Surface_Engine!$B$12:$B$72,$A81+1)-F81/INDEX(Surface_Engine!$B$12:$B$72,$A81+1))),IF(E81&lt;=0,0,MAX(0,(B81/E81)*I81/INDEX(Surface_Engine!$B$12:$B$72,$A81+1)-F81/INDEX(Surface_Engine!$B$12:$B$72,$A81+1))),IF($A81&lt;$Q$69,MAX(0,-Assumptions!$B$22*(F81/INDEX(Surface_Engine!$B$12:$B$72,$A81+1))),0)))*(MAX(0,J81/INDEX(Surface_Engine!$B$12:$B$72,$A81+1)-(F81/INDEX(Surface_Engine!$B$12:$B$72,$A81+1)))))</f>
        <v>9968.44835319677</v>
      </c>
      <c r="L81" s="48" t="n">
        <f aca="false">K81*INDEX(Surface_Engine!$B$12:$B$72,$A81+1)+L82</f>
        <v>121964.113710999</v>
      </c>
      <c r="M81" s="48" t="n">
        <f aca="false">M80+B80*(IF($A80&lt;$Q$69,(Surface_Engine!G236*12)-(Surface_Engine!G236*12)*INDEX(Surface_Engine!$F$12:$F$72,$A80+1)-INDEX(Surface_Engine!$D$12:$D$72,$A80+1),-(1000*12*INDEX(Surface_Engine!$C$12:$C$72,$A80+1)/(1+Assumptions!$B$10)^20+INDEX(Surface_Engine!$D$12:$D$72,$A80+1))))*INDEX(Surface_Engine!$B$12:$B$72,$A80+1)</f>
        <v>30725.3253793809</v>
      </c>
      <c r="N81" s="12" t="n">
        <f aca="false">IF(B81&lt;=0,0,MAX(0,(K81+Assumptions!$B$29*L81/INDEX(Surface_Engine!$B$12:$B$72,$A81+1)-(M81/INDEX(Surface_Engine!$B$12:$B$72,$A81+1)-(F81/INDEX(Surface_Engine!$B$12:$B$72,$A81+1))))/B81))</f>
        <v>21008.0817213225</v>
      </c>
    </row>
    <row r="82" customFormat="false" ht="15" hidden="false" customHeight="true" outlineLevel="0" collapsed="false">
      <c r="A82" s="1" t="n">
        <v>11</v>
      </c>
      <c r="B82" s="32" t="n">
        <f aca="false">INDEX(Surface_Engine!$G$12:$G$72,$A82+1)*IF($A82&lt;$Q$69,INDEX(Surface_Engine!$E$12:$E$72,$A82+1),INDEX(Surface_Engine!$E$12:$E$72,$Q$69+1))</f>
        <v>0.808919890264123</v>
      </c>
      <c r="C82" s="32" t="n">
        <f aca="false">INDEX(Panel_Reserving!$B$8:$B$68,$A82+1)*IF($A82&lt;$Q$69,INDEX(Surface_Engine!$E$12:$E$72,$A82+1),INDEX(Surface_Engine!$E$12:$E$72,$Q$69+1))</f>
        <v>0.817665474135805</v>
      </c>
      <c r="D82" s="32" t="n">
        <f aca="false">INDEX(Surface_Engine!$G$12:$G$72,$A82+1)*IF($A82&lt;$Q$69,INDEX(Surface_Engine!$Y$12:$Y$72,$A82+1),INDEX(Surface_Engine!$Y$12:$Y$72,$Q$69+1))</f>
        <v>0.746398492421855</v>
      </c>
      <c r="E82" s="32" t="n">
        <f aca="false">INDEX(Surface_Engine!$G$12:$G$72,$A82+1)*IF($A82&lt;$Q$69,INDEX(Surface_Engine!$Z$12:$Z$72,$A82+1),INDEX(Surface_Engine!$Z$12:$Z$72,$Q$69+1))</f>
        <v>0.875947845714131</v>
      </c>
      <c r="F82" s="48" t="n">
        <f aca="false">B82*(IF($A82&lt;$Q$69,INDEX(Surface_Engine!$D$12:$D$72,$A82+1)+(Surface_Engine!G236*12)*INDEX(Surface_Engine!$F$12:$F$72,$A82+1)-(Surface_Engine!G236*12),1000*12*INDEX(Surface_Engine!$C$12:$C$72,$A82+1)/(1+Assumptions!$B$10)^20+INDEX(Surface_Engine!$D$12:$D$72,$A82+1)))*INDEX(Surface_Engine!$B$12:$B$72,$A82+1)+F83</f>
        <v>31592.6156597523</v>
      </c>
      <c r="G82" s="48" t="n">
        <f aca="false">C82*(IF($A82&lt;$Q$69,INDEX(Surface_Engine!$D$12:$D$72,$A82+1)+(Surface_Engine!G236*12)*INDEX(Surface_Engine!$F$12:$F$72,$A82+1)-(Surface_Engine!G236*12),1000*12*INDEX(Surface_Engine!$C$12:$C$72,$A82+1)/(1+Assumptions!$B$10)^20+INDEX(Surface_Engine!$D$12:$D$72,$A82+1)))*INDEX(Surface_Engine!$B$12:$B$72,$A82+1)+G83</f>
        <v>38652.2700957146</v>
      </c>
      <c r="H82" s="48" t="n">
        <f aca="false">D82*(IF($A82&lt;$Q$69,INDEX(Surface_Engine!$D$12:$D$72,$A82+1)+(Surface_Engine!G236*12)*INDEX(Surface_Engine!$F$12:$F$72,$A82+1)-(Surface_Engine!G236*12),1000*12*INDEX(Surface_Engine!$C$12:$C$72,$A82+1)/(1+Assumptions!$B$10)^20+INDEX(Surface_Engine!$D$12:$D$72,$A82+1)))*INDEX(Surface_Engine!$B$12:$B$72,$A82+1)+H83</f>
        <v>27553.2715760743</v>
      </c>
      <c r="I82" s="48" t="n">
        <f aca="false">E82*(IF($A82&lt;$Q$69,INDEX(Surface_Engine!$D$12:$D$72,$A82+1)+(Surface_Engine!G236*12)*INDEX(Surface_Engine!$F$12:$F$72,$A82+1)-(Surface_Engine!G236*12),1000*12*INDEX(Surface_Engine!$C$12:$C$72,$A82+1)/(1+Assumptions!$B$10)^20+INDEX(Surface_Engine!$D$12:$D$72,$A82+1)))*INDEX(Surface_Engine!$B$12:$B$72,$A82+1)+I83</f>
        <v>36160.9921168786</v>
      </c>
      <c r="J82" s="48" t="n">
        <f aca="false">B82*(IF($A82&lt;$Q$69,INDEX(Surface_Engine!$D$12:$D$72,$A82+1)*(1+Assumptions!$B$24)+(Surface_Engine!G236*12)*INDEX(Surface_Engine!$F$12:$F$72,$A82+1)-(Surface_Engine!G236*12),1000*12*INDEX(Surface_Engine!$C$12:$C$72,$A82+1)/(1+Assumptions!$B$10)^20+INDEX(Surface_Engine!$D$12:$D$72,$A82+1)*(1+Assumptions!$B$24)))*INDEX(Surface_Engine!$B$12:$B$72,$A82+1)+J83</f>
        <v>31700.7567746194</v>
      </c>
      <c r="K82" s="12" t="n">
        <f aca="false">SQRT((IF(C82&lt;=0,0,MAX(0,(B82/C82)*G82/INDEX(Surface_Engine!$B$12:$B$72,$A82+1)-F82/INDEX(Surface_Engine!$B$12:$B$72,$A82+1))))^2+(MAX(IF(D82&lt;=0,0,MAX(0,(B82/D82)*H82/INDEX(Surface_Engine!$B$12:$B$72,$A82+1)-F82/INDEX(Surface_Engine!$B$12:$B$72,$A82+1))),IF(E82&lt;=0,0,MAX(0,(B82/E82)*I82/INDEX(Surface_Engine!$B$12:$B$72,$A82+1)-F82/INDEX(Surface_Engine!$B$12:$B$72,$A82+1))),IF($A82&lt;$Q$69,MAX(0,-Assumptions!$B$22*(F82/INDEX(Surface_Engine!$B$12:$B$72,$A82+1))),0)))^2+(MAX(0,J82/INDEX(Surface_Engine!$B$12:$B$72,$A82+1)-(F82/INDEX(Surface_Engine!$B$12:$B$72,$A82+1))))^2+2*Assumptions!$B$26*(IF(C82&lt;=0,0,MAX(0,(B82/C82)*G82/INDEX(Surface_Engine!$B$12:$B$72,$A82+1)-F82/INDEX(Surface_Engine!$B$12:$B$72,$A82+1))))*(MAX(IF(D82&lt;=0,0,MAX(0,(B82/D82)*H82/INDEX(Surface_Engine!$B$12:$B$72,$A82+1)-F82/INDEX(Surface_Engine!$B$12:$B$72,$A82+1))),IF(E82&lt;=0,0,MAX(0,(B82/E82)*I82/INDEX(Surface_Engine!$B$12:$B$72,$A82+1)-F82/INDEX(Surface_Engine!$B$12:$B$72,$A82+1))),IF($A82&lt;$Q$69,MAX(0,-Assumptions!$B$22*(F82/INDEX(Surface_Engine!$B$12:$B$72,$A82+1))),0)))+2*Assumptions!$B$27*(IF(C82&lt;=0,0,MAX(0,(B82/C82)*G82/INDEX(Surface_Engine!$B$12:$B$72,$A82+1)-F82/INDEX(Surface_Engine!$B$12:$B$72,$A82+1))))*(MAX(0,J82/INDEX(Surface_Engine!$B$12:$B$72,$A82+1)-(F82/INDEX(Surface_Engine!$B$12:$B$72,$A82+1))))+2*Assumptions!$B$28*(MAX(IF(D82&lt;=0,0,MAX(0,(B82/D82)*H82/INDEX(Surface_Engine!$B$12:$B$72,$A82+1)-F82/INDEX(Surface_Engine!$B$12:$B$72,$A82+1))),IF(E82&lt;=0,0,MAX(0,(B82/E82)*I82/INDEX(Surface_Engine!$B$12:$B$72,$A82+1)-F82/INDEX(Surface_Engine!$B$12:$B$72,$A82+1))),IF($A82&lt;$Q$69,MAX(0,-Assumptions!$B$22*(F82/INDEX(Surface_Engine!$B$12:$B$72,$A82+1))),0)))*(MAX(0,J82/INDEX(Surface_Engine!$B$12:$B$72,$A82+1)-(F82/INDEX(Surface_Engine!$B$12:$B$72,$A82+1)))))</f>
        <v>10105.1957958604</v>
      </c>
      <c r="L82" s="48" t="n">
        <f aca="false">K82*INDEX(Surface_Engine!$B$12:$B$72,$A82+1)+L83</f>
        <v>114482.253668375</v>
      </c>
      <c r="M82" s="48" t="n">
        <f aca="false">M81+B81*(IF($A81&lt;$Q$69,(Surface_Engine!G236*12)-(Surface_Engine!G236*12)*INDEX(Surface_Engine!$F$12:$F$72,$A81+1)-INDEX(Surface_Engine!$D$12:$D$72,$A81+1),-(1000*12*INDEX(Surface_Engine!$C$12:$C$72,$A81+1)/(1+Assumptions!$B$10)^20+INDEX(Surface_Engine!$D$12:$D$72,$A81+1))))*INDEX(Surface_Engine!$B$12:$B$72,$A81+1)</f>
        <v>33418.440089535</v>
      </c>
      <c r="N82" s="12" t="n">
        <f aca="false">IF(B82&lt;=0,0,MAX(0,(K82+Assumptions!$B$29*L82/INDEX(Surface_Engine!$B$12:$B$72,$A82+1)-(M82/INDEX(Surface_Engine!$B$12:$B$72,$A82+1)-(F82/INDEX(Surface_Engine!$B$12:$B$72,$A82+1))))/B82))</f>
        <v>21067.8219617864</v>
      </c>
    </row>
    <row r="83" customFormat="false" ht="15" hidden="false" customHeight="true" outlineLevel="0" collapsed="false">
      <c r="A83" s="1" t="n">
        <v>12</v>
      </c>
      <c r="B83" s="32" t="n">
        <f aca="false">INDEX(Surface_Engine!$G$12:$G$72,$A83+1)*IF($A83&lt;$Q$69,INDEX(Surface_Engine!$E$12:$E$72,$A83+1),INDEX(Surface_Engine!$E$12:$E$72,$Q$69+1))</f>
        <v>0.794579330161838</v>
      </c>
      <c r="C83" s="32" t="n">
        <f aca="false">INDEX(Panel_Reserving!$B$8:$B$68,$A83+1)*IF($A83&lt;$Q$69,INDEX(Surface_Engine!$E$12:$E$72,$A83+1),INDEX(Surface_Engine!$E$12:$E$72,$Q$69+1))</f>
        <v>0.804580841277684</v>
      </c>
      <c r="D83" s="32" t="n">
        <f aca="false">INDEX(Surface_Engine!$G$12:$G$72,$A83+1)*IF($A83&lt;$Q$69,INDEX(Surface_Engine!$Y$12:$Y$72,$A83+1),INDEX(Surface_Engine!$Y$12:$Y$72,$Q$69+1))</f>
        <v>0.729799771584279</v>
      </c>
      <c r="E83" s="32" t="n">
        <f aca="false">INDEX(Surface_Engine!$G$12:$G$72,$A83+1)*IF($A83&lt;$Q$69,INDEX(Surface_Engine!$Z$12:$Z$72,$A83+1),INDEX(Surface_Engine!$Z$12:$Z$72,$Q$69+1))</f>
        <v>0.864369870996635</v>
      </c>
      <c r="F83" s="48" t="n">
        <f aca="false">B83*(IF($A83&lt;$Q$69,INDEX(Surface_Engine!$D$12:$D$72,$A83+1)+(Surface_Engine!G236*12)*INDEX(Surface_Engine!$F$12:$F$72,$A83+1)-(Surface_Engine!G236*12),1000*12*INDEX(Surface_Engine!$C$12:$C$72,$A83+1)/(1+Assumptions!$B$10)^20+INDEX(Surface_Engine!$D$12:$D$72,$A83+1)))*INDEX(Surface_Engine!$B$12:$B$72,$A83+1)+F84</f>
        <v>34155.5836196682</v>
      </c>
      <c r="G83" s="48" t="n">
        <f aca="false">C83*(IF($A83&lt;$Q$69,INDEX(Surface_Engine!$D$12:$D$72,$A83+1)+(Surface_Engine!G236*12)*INDEX(Surface_Engine!$F$12:$F$72,$A83+1)-(Surface_Engine!G236*12),1000*12*INDEX(Surface_Engine!$C$12:$C$72,$A83+1)/(1+Assumptions!$B$10)^20+INDEX(Surface_Engine!$D$12:$D$72,$A83+1)))*INDEX(Surface_Engine!$B$12:$B$72,$A83+1)+G84</f>
        <v>41242.9474141512</v>
      </c>
      <c r="H83" s="48" t="n">
        <f aca="false">D83*(IF($A83&lt;$Q$69,INDEX(Surface_Engine!$D$12:$D$72,$A83+1)+(Surface_Engine!G236*12)*INDEX(Surface_Engine!$F$12:$F$72,$A83+1)-(Surface_Engine!G236*12),1000*12*INDEX(Surface_Engine!$C$12:$C$72,$A83+1)/(1+Assumptions!$B$10)^20+INDEX(Surface_Engine!$D$12:$D$72,$A83+1)))*INDEX(Surface_Engine!$B$12:$B$72,$A83+1)+H84</f>
        <v>29918.1478072448</v>
      </c>
      <c r="I83" s="48" t="n">
        <f aca="false">E83*(IF($A83&lt;$Q$69,INDEX(Surface_Engine!$D$12:$D$72,$A83+1)+(Surface_Engine!G236*12)*INDEX(Surface_Engine!$F$12:$F$72,$A83+1)-(Surface_Engine!G236*12),1000*12*INDEX(Surface_Engine!$C$12:$C$72,$A83+1)/(1+Assumptions!$B$10)^20+INDEX(Surface_Engine!$D$12:$D$72,$A83+1)))*INDEX(Surface_Engine!$B$12:$B$72,$A83+1)+I84</f>
        <v>38936.3303056696</v>
      </c>
      <c r="J83" s="48" t="n">
        <f aca="false">B83*(IF($A83&lt;$Q$69,INDEX(Surface_Engine!$D$12:$D$72,$A83+1)*(1+Assumptions!$B$24)+(Surface_Engine!G236*12)*INDEX(Surface_Engine!$F$12:$F$72,$A83+1)-(Surface_Engine!G236*12),1000*12*INDEX(Surface_Engine!$C$12:$C$72,$A83+1)/(1+Assumptions!$B$10)^20+INDEX(Surface_Engine!$D$12:$D$72,$A83+1)*(1+Assumptions!$B$24)))*INDEX(Surface_Engine!$B$12:$B$72,$A83+1)+J84</f>
        <v>34257.3975620326</v>
      </c>
      <c r="K83" s="12" t="n">
        <f aca="false">SQRT((IF(C83&lt;=0,0,MAX(0,(B83/C83)*G83/INDEX(Surface_Engine!$B$12:$B$72,$A83+1)-F83/INDEX(Surface_Engine!$B$12:$B$72,$A83+1))))^2+(MAX(IF(D83&lt;=0,0,MAX(0,(B83/D83)*H83/INDEX(Surface_Engine!$B$12:$B$72,$A83+1)-F83/INDEX(Surface_Engine!$B$12:$B$72,$A83+1))),IF(E83&lt;=0,0,MAX(0,(B83/E83)*I83/INDEX(Surface_Engine!$B$12:$B$72,$A83+1)-F83/INDEX(Surface_Engine!$B$12:$B$72,$A83+1))),IF($A83&lt;$Q$69,MAX(0,-Assumptions!$B$22*(F83/INDEX(Surface_Engine!$B$12:$B$72,$A83+1))),0)))^2+(MAX(0,J83/INDEX(Surface_Engine!$B$12:$B$72,$A83+1)-(F83/INDEX(Surface_Engine!$B$12:$B$72,$A83+1))))^2+2*Assumptions!$B$26*(IF(C83&lt;=0,0,MAX(0,(B83/C83)*G83/INDEX(Surface_Engine!$B$12:$B$72,$A83+1)-F83/INDEX(Surface_Engine!$B$12:$B$72,$A83+1))))*(MAX(IF(D83&lt;=0,0,MAX(0,(B83/D83)*H83/INDEX(Surface_Engine!$B$12:$B$72,$A83+1)-F83/INDEX(Surface_Engine!$B$12:$B$72,$A83+1))),IF(E83&lt;=0,0,MAX(0,(B83/E83)*I83/INDEX(Surface_Engine!$B$12:$B$72,$A83+1)-F83/INDEX(Surface_Engine!$B$12:$B$72,$A83+1))),IF($A83&lt;$Q$69,MAX(0,-Assumptions!$B$22*(F83/INDEX(Surface_Engine!$B$12:$B$72,$A83+1))),0)))+2*Assumptions!$B$27*(IF(C83&lt;=0,0,MAX(0,(B83/C83)*G83/INDEX(Surface_Engine!$B$12:$B$72,$A83+1)-F83/INDEX(Surface_Engine!$B$12:$B$72,$A83+1))))*(MAX(0,J83/INDEX(Surface_Engine!$B$12:$B$72,$A83+1)-(F83/INDEX(Surface_Engine!$B$12:$B$72,$A83+1))))+2*Assumptions!$B$28*(MAX(IF(D83&lt;=0,0,MAX(0,(B83/D83)*H83/INDEX(Surface_Engine!$B$12:$B$72,$A83+1)-F83/INDEX(Surface_Engine!$B$12:$B$72,$A83+1))),IF(E83&lt;=0,0,MAX(0,(B83/E83)*I83/INDEX(Surface_Engine!$B$12:$B$72,$A83+1)-F83/INDEX(Surface_Engine!$B$12:$B$72,$A83+1))),IF($A83&lt;$Q$69,MAX(0,-Assumptions!$B$22*(F83/INDEX(Surface_Engine!$B$12:$B$72,$A83+1))),0)))*(MAX(0,J83/INDEX(Surface_Engine!$B$12:$B$72,$A83+1)-(F83/INDEX(Surface_Engine!$B$12:$B$72,$A83+1)))))</f>
        <v>10251.8726917985</v>
      </c>
      <c r="L83" s="48" t="n">
        <f aca="false">K83*INDEX(Surface_Engine!$B$12:$B$72,$A83+1)+L84</f>
        <v>107135.888335657</v>
      </c>
      <c r="M83" s="48" t="n">
        <f aca="false">M82+B82*(IF($A82&lt;$Q$69,(Surface_Engine!G236*12)-(Surface_Engine!G236*12)*INDEX(Surface_Engine!$F$12:$F$72,$A82+1)-INDEX(Surface_Engine!$D$12:$D$72,$A82+1),-(1000*12*INDEX(Surface_Engine!$C$12:$C$72,$A82+1)/(1+Assumptions!$B$10)^20+INDEX(Surface_Engine!$D$12:$D$72,$A82+1))))*INDEX(Surface_Engine!$B$12:$B$72,$A82+1)</f>
        <v>35981.4080494509</v>
      </c>
      <c r="N83" s="12" t="n">
        <f aca="false">IF(B83&lt;=0,0,MAX(0,(K83+Assumptions!$B$29*L83/INDEX(Surface_Engine!$B$12:$B$72,$A83+1)-(M83/INDEX(Surface_Engine!$B$12:$B$72,$A83+1)-(F83/INDEX(Surface_Engine!$B$12:$B$72,$A83+1))))/B83))</f>
        <v>21152.8028554876</v>
      </c>
    </row>
    <row r="84" customFormat="false" ht="15" hidden="false" customHeight="true" outlineLevel="0" collapsed="false">
      <c r="A84" s="1" t="n">
        <v>13</v>
      </c>
      <c r="B84" s="32" t="n">
        <f aca="false">INDEX(Surface_Engine!$G$12:$G$72,$A84+1)*IF($A84&lt;$Q$69,INDEX(Surface_Engine!$E$12:$E$72,$A84+1),INDEX(Surface_Engine!$E$12:$E$72,$Q$69+1))</f>
        <v>0.779740737451754</v>
      </c>
      <c r="C84" s="32" t="n">
        <f aca="false">INDEX(Panel_Reserving!$B$8:$B$68,$A84+1)*IF($A84&lt;$Q$69,INDEX(Surface_Engine!$E$12:$E$72,$A84+1),INDEX(Surface_Engine!$E$12:$E$72,$Q$69+1))</f>
        <v>0.791096209177521</v>
      </c>
      <c r="D84" s="32" t="n">
        <f aca="false">INDEX(Surface_Engine!$G$12:$G$72,$A84+1)*IF($A84&lt;$Q$69,INDEX(Surface_Engine!$Y$12:$Y$72,$A84+1),INDEX(Surface_Engine!$Y$12:$Y$72,$Q$69+1))</f>
        <v>0.712882419682469</v>
      </c>
      <c r="E84" s="32" t="n">
        <f aca="false">INDEX(Surface_Engine!$G$12:$G$72,$A84+1)*IF($A84&lt;$Q$69,INDEX(Surface_Engine!$Z$12:$Z$72,$A84+1),INDEX(Surface_Engine!$Z$12:$Z$72,$Q$69+1))</f>
        <v>0.852122836030496</v>
      </c>
      <c r="F84" s="48" t="n">
        <f aca="false">B84*(IF($A84&lt;$Q$69,INDEX(Surface_Engine!$D$12:$D$72,$A84+1)+(Surface_Engine!G236*12)*INDEX(Surface_Engine!$F$12:$F$72,$A84+1)-(Surface_Engine!G236*12),1000*12*INDEX(Surface_Engine!$C$12:$C$72,$A84+1)/(1+Assumptions!$B$10)^20+INDEX(Surface_Engine!$D$12:$D$72,$A84+1)))*INDEX(Surface_Engine!$B$12:$B$72,$A84+1)+F85</f>
        <v>36585.1967063646</v>
      </c>
      <c r="G84" s="48" t="n">
        <f aca="false">C84*(IF($A84&lt;$Q$69,INDEX(Surface_Engine!$D$12:$D$72,$A84+1)+(Surface_Engine!G236*12)*INDEX(Surface_Engine!$F$12:$F$72,$A84+1)-(Surface_Engine!G236*12),1000*12*INDEX(Surface_Engine!$C$12:$C$72,$A84+1)/(1+Assumptions!$B$10)^20+INDEX(Surface_Engine!$D$12:$D$72,$A84+1)))*INDEX(Surface_Engine!$B$12:$B$72,$A84+1)+G85</f>
        <v>43703.1424721768</v>
      </c>
      <c r="H84" s="48" t="n">
        <f aca="false">D84*(IF($A84&lt;$Q$69,INDEX(Surface_Engine!$D$12:$D$72,$A84+1)+(Surface_Engine!G236*12)*INDEX(Surface_Engine!$F$12:$F$72,$A84+1)-(Surface_Engine!G236*12),1000*12*INDEX(Surface_Engine!$C$12:$C$72,$A84+1)/(1+Assumptions!$B$10)^20+INDEX(Surface_Engine!$D$12:$D$72,$A84+1)))*INDEX(Surface_Engine!$B$12:$B$72,$A84+1)+H85</f>
        <v>32149.6821656179</v>
      </c>
      <c r="I84" s="48" t="n">
        <f aca="false">E84*(IF($A84&lt;$Q$69,INDEX(Surface_Engine!$D$12:$D$72,$A84+1)+(Surface_Engine!G236*12)*INDEX(Surface_Engine!$F$12:$F$72,$A84+1)-(Surface_Engine!G236*12),1000*12*INDEX(Surface_Engine!$C$12:$C$72,$A84+1)/(1+Assumptions!$B$10)^20+INDEX(Surface_Engine!$D$12:$D$72,$A84+1)))*INDEX(Surface_Engine!$B$12:$B$72,$A84+1)+I85</f>
        <v>41579.3443768911</v>
      </c>
      <c r="J84" s="48" t="n">
        <f aca="false">B84*(IF($A84&lt;$Q$69,INDEX(Surface_Engine!$D$12:$D$72,$A84+1)*(1+Assumptions!$B$24)+(Surface_Engine!G236*12)*INDEX(Surface_Engine!$F$12:$F$72,$A84+1)-(Surface_Engine!G236*12),1000*12*INDEX(Surface_Engine!$C$12:$C$72,$A84+1)/(1+Assumptions!$B$10)^20+INDEX(Surface_Engine!$D$12:$D$72,$A84+1)*(1+Assumptions!$B$24)))*INDEX(Surface_Engine!$B$12:$B$72,$A84+1)+J85</f>
        <v>36680.8589423417</v>
      </c>
      <c r="K84" s="12" t="n">
        <f aca="false">SQRT((IF(C84&lt;=0,0,MAX(0,(B84/C84)*G84/INDEX(Surface_Engine!$B$12:$B$72,$A84+1)-F84/INDEX(Surface_Engine!$B$12:$B$72,$A84+1))))^2+(MAX(IF(D84&lt;=0,0,MAX(0,(B84/D84)*H84/INDEX(Surface_Engine!$B$12:$B$72,$A84+1)-F84/INDEX(Surface_Engine!$B$12:$B$72,$A84+1))),IF(E84&lt;=0,0,MAX(0,(B84/E84)*I84/INDEX(Surface_Engine!$B$12:$B$72,$A84+1)-F84/INDEX(Surface_Engine!$B$12:$B$72,$A84+1))),IF($A84&lt;$Q$69,MAX(0,-Assumptions!$B$22*(F84/INDEX(Surface_Engine!$B$12:$B$72,$A84+1))),0)))^2+(MAX(0,J84/INDEX(Surface_Engine!$B$12:$B$72,$A84+1)-(F84/INDEX(Surface_Engine!$B$12:$B$72,$A84+1))))^2+2*Assumptions!$B$26*(IF(C84&lt;=0,0,MAX(0,(B84/C84)*G84/INDEX(Surface_Engine!$B$12:$B$72,$A84+1)-F84/INDEX(Surface_Engine!$B$12:$B$72,$A84+1))))*(MAX(IF(D84&lt;=0,0,MAX(0,(B84/D84)*H84/INDEX(Surface_Engine!$B$12:$B$72,$A84+1)-F84/INDEX(Surface_Engine!$B$12:$B$72,$A84+1))),IF(E84&lt;=0,0,MAX(0,(B84/E84)*I84/INDEX(Surface_Engine!$B$12:$B$72,$A84+1)-F84/INDEX(Surface_Engine!$B$12:$B$72,$A84+1))),IF($A84&lt;$Q$69,MAX(0,-Assumptions!$B$22*(F84/INDEX(Surface_Engine!$B$12:$B$72,$A84+1))),0)))+2*Assumptions!$B$27*(IF(C84&lt;=0,0,MAX(0,(B84/C84)*G84/INDEX(Surface_Engine!$B$12:$B$72,$A84+1)-F84/INDEX(Surface_Engine!$B$12:$B$72,$A84+1))))*(MAX(0,J84/INDEX(Surface_Engine!$B$12:$B$72,$A84+1)-(F84/INDEX(Surface_Engine!$B$12:$B$72,$A84+1))))+2*Assumptions!$B$28*(MAX(IF(D84&lt;=0,0,MAX(0,(B84/D84)*H84/INDEX(Surface_Engine!$B$12:$B$72,$A84+1)-F84/INDEX(Surface_Engine!$B$12:$B$72,$A84+1))),IF(E84&lt;=0,0,MAX(0,(B84/E84)*I84/INDEX(Surface_Engine!$B$12:$B$72,$A84+1)-F84/INDEX(Surface_Engine!$B$12:$B$72,$A84+1))),IF($A84&lt;$Q$69,MAX(0,-Assumptions!$B$22*(F84/INDEX(Surface_Engine!$B$12:$B$72,$A84+1))),0)))*(MAX(0,J84/INDEX(Surface_Engine!$B$12:$B$72,$A84+1)-(F84/INDEX(Surface_Engine!$B$12:$B$72,$A84+1)))))</f>
        <v>10372.1725314487</v>
      </c>
      <c r="L84" s="48" t="n">
        <f aca="false">K84*INDEX(Surface_Engine!$B$12:$B$72,$A84+1)+L85</f>
        <v>99938.7259252882</v>
      </c>
      <c r="M84" s="48" t="n">
        <f aca="false">M83+B83*(IF($A83&lt;$Q$69,(Surface_Engine!G236*12)-(Surface_Engine!G236*12)*INDEX(Surface_Engine!$F$12:$F$72,$A83+1)-INDEX(Surface_Engine!$D$12:$D$72,$A83+1),-(1000*12*INDEX(Surface_Engine!$C$12:$C$72,$A83+1)/(1+Assumptions!$B$10)^20+INDEX(Surface_Engine!$D$12:$D$72,$A83+1))))*INDEX(Surface_Engine!$B$12:$B$72,$A83+1)</f>
        <v>38411.0211361473</v>
      </c>
      <c r="N84" s="12" t="n">
        <f aca="false">IF(B84&lt;=0,0,MAX(0,(K84+Assumptions!$B$29*L84/INDEX(Surface_Engine!$B$12:$B$72,$A84+1)-(M84/INDEX(Surface_Engine!$B$12:$B$72,$A84+1)-(F84/INDEX(Surface_Engine!$B$12:$B$72,$A84+1))))/B84))</f>
        <v>21189.4137593223</v>
      </c>
    </row>
    <row r="85" customFormat="false" ht="15" hidden="false" customHeight="true" outlineLevel="0" collapsed="false">
      <c r="A85" s="1" t="n">
        <v>14</v>
      </c>
      <c r="B85" s="32" t="n">
        <f aca="false">INDEX(Surface_Engine!$G$12:$G$72,$A85+1)*IF($A85&lt;$Q$69,INDEX(Surface_Engine!$E$12:$E$72,$A85+1),INDEX(Surface_Engine!$E$12:$E$72,$Q$69+1))</f>
        <v>0.76434787187485</v>
      </c>
      <c r="C85" s="32" t="n">
        <f aca="false">INDEX(Panel_Reserving!$B$8:$B$68,$A85+1)*IF($A85&lt;$Q$69,INDEX(Surface_Engine!$E$12:$E$72,$A85+1),INDEX(Surface_Engine!$E$12:$E$72,$Q$69+1))</f>
        <v>0.777162786878564</v>
      </c>
      <c r="D85" s="32" t="n">
        <f aca="false">INDEX(Surface_Engine!$G$12:$G$72,$A85+1)*IF($A85&lt;$Q$69,INDEX(Surface_Engine!$Y$12:$Y$72,$A85+1),INDEX(Surface_Engine!$Y$12:$Y$72,$Q$69+1))</f>
        <v>0.695600621759054</v>
      </c>
      <c r="E85" s="32" t="n">
        <f aca="false">INDEX(Surface_Engine!$G$12:$G$72,$A85+1)*IF($A85&lt;$Q$69,INDEX(Surface_Engine!$Z$12:$Z$72,$A85+1),INDEX(Surface_Engine!$Z$12:$Z$72,$Q$69+1))</f>
        <v>0.839136598256457</v>
      </c>
      <c r="F85" s="48" t="n">
        <f aca="false">B85*(IF($A85&lt;$Q$69,INDEX(Surface_Engine!$D$12:$D$72,$A85+1)+(Surface_Engine!G236*12)*INDEX(Surface_Engine!$F$12:$F$72,$A85+1)-(Surface_Engine!G236*12),1000*12*INDEX(Surface_Engine!$C$12:$C$72,$A85+1)/(1+Assumptions!$B$10)^20+INDEX(Surface_Engine!$D$12:$D$72,$A85+1)))*INDEX(Surface_Engine!$B$12:$B$72,$A85+1)+F86</f>
        <v>38886.7683569721</v>
      </c>
      <c r="G85" s="48" t="n">
        <f aca="false">C85*(IF($A85&lt;$Q$69,INDEX(Surface_Engine!$D$12:$D$72,$A85+1)+(Surface_Engine!G236*12)*INDEX(Surface_Engine!$F$12:$F$72,$A85+1)-(Surface_Engine!G236*12),1000*12*INDEX(Surface_Engine!$C$12:$C$72,$A85+1)/(1+Assumptions!$B$10)^20+INDEX(Surface_Engine!$D$12:$D$72,$A85+1)))*INDEX(Surface_Engine!$B$12:$B$72,$A85+1)+G86</f>
        <v>46038.2322276466</v>
      </c>
      <c r="H85" s="48" t="n">
        <f aca="false">D85*(IF($A85&lt;$Q$69,INDEX(Surface_Engine!$D$12:$D$72,$A85+1)+(Surface_Engine!G236*12)*INDEX(Surface_Engine!$F$12:$F$72,$A85+1)-(Surface_Engine!G236*12),1000*12*INDEX(Surface_Engine!$C$12:$C$72,$A85+1)/(1+Assumptions!$B$10)^20+INDEX(Surface_Engine!$D$12:$D$72,$A85+1)))*INDEX(Surface_Engine!$B$12:$B$72,$A85+1)+H86</f>
        <v>34253.9071836922</v>
      </c>
      <c r="I85" s="48" t="n">
        <f aca="false">E85*(IF($A85&lt;$Q$69,INDEX(Surface_Engine!$D$12:$D$72,$A85+1)+(Surface_Engine!G236*12)*INDEX(Surface_Engine!$F$12:$F$72,$A85+1)-(Surface_Engine!G236*12),1000*12*INDEX(Surface_Engine!$C$12:$C$72,$A85+1)/(1+Assumptions!$B$10)^20+INDEX(Surface_Engine!$D$12:$D$72,$A85+1)))*INDEX(Surface_Engine!$B$12:$B$72,$A85+1)+I86</f>
        <v>44094.5672811766</v>
      </c>
      <c r="J85" s="48" t="n">
        <f aca="false">B85*(IF($A85&lt;$Q$69,INDEX(Surface_Engine!$D$12:$D$72,$A85+1)*(1+Assumptions!$B$24)+(Surface_Engine!G236*12)*INDEX(Surface_Engine!$F$12:$F$72,$A85+1)-(Surface_Engine!G236*12),1000*12*INDEX(Surface_Engine!$C$12:$C$72,$A85+1)/(1+Assumptions!$B$10)^20+INDEX(Surface_Engine!$D$12:$D$72,$A85+1)*(1+Assumptions!$B$24)))*INDEX(Surface_Engine!$B$12:$B$72,$A85+1)+J86</f>
        <v>38976.4536124638</v>
      </c>
      <c r="K85" s="12" t="n">
        <f aca="false">SQRT((IF(C85&lt;=0,0,MAX(0,(B85/C85)*G85/INDEX(Surface_Engine!$B$12:$B$72,$A85+1)-F85/INDEX(Surface_Engine!$B$12:$B$72,$A85+1))))^2+(MAX(IF(D85&lt;=0,0,MAX(0,(B85/D85)*H85/INDEX(Surface_Engine!$B$12:$B$72,$A85+1)-F85/INDEX(Surface_Engine!$B$12:$B$72,$A85+1))),IF(E85&lt;=0,0,MAX(0,(B85/E85)*I85/INDEX(Surface_Engine!$B$12:$B$72,$A85+1)-F85/INDEX(Surface_Engine!$B$12:$B$72,$A85+1))),IF($A85&lt;$Q$69,MAX(0,-Assumptions!$B$22*(F85/INDEX(Surface_Engine!$B$12:$B$72,$A85+1))),0)))^2+(MAX(0,J85/INDEX(Surface_Engine!$B$12:$B$72,$A85+1)-(F85/INDEX(Surface_Engine!$B$12:$B$72,$A85+1))))^2+2*Assumptions!$B$26*(IF(C85&lt;=0,0,MAX(0,(B85/C85)*G85/INDEX(Surface_Engine!$B$12:$B$72,$A85+1)-F85/INDEX(Surface_Engine!$B$12:$B$72,$A85+1))))*(MAX(IF(D85&lt;=0,0,MAX(0,(B85/D85)*H85/INDEX(Surface_Engine!$B$12:$B$72,$A85+1)-F85/INDEX(Surface_Engine!$B$12:$B$72,$A85+1))),IF(E85&lt;=0,0,MAX(0,(B85/E85)*I85/INDEX(Surface_Engine!$B$12:$B$72,$A85+1)-F85/INDEX(Surface_Engine!$B$12:$B$72,$A85+1))),IF($A85&lt;$Q$69,MAX(0,-Assumptions!$B$22*(F85/INDEX(Surface_Engine!$B$12:$B$72,$A85+1))),0)))+2*Assumptions!$B$27*(IF(C85&lt;=0,0,MAX(0,(B85/C85)*G85/INDEX(Surface_Engine!$B$12:$B$72,$A85+1)-F85/INDEX(Surface_Engine!$B$12:$B$72,$A85+1))))*(MAX(0,J85/INDEX(Surface_Engine!$B$12:$B$72,$A85+1)-(F85/INDEX(Surface_Engine!$B$12:$B$72,$A85+1))))+2*Assumptions!$B$28*(MAX(IF(D85&lt;=0,0,MAX(0,(B85/D85)*H85/INDEX(Surface_Engine!$B$12:$B$72,$A85+1)-F85/INDEX(Surface_Engine!$B$12:$B$72,$A85+1))),IF(E85&lt;=0,0,MAX(0,(B85/E85)*I85/INDEX(Surface_Engine!$B$12:$B$72,$A85+1)-F85/INDEX(Surface_Engine!$B$12:$B$72,$A85+1))),IF($A85&lt;$Q$69,MAX(0,-Assumptions!$B$22*(F85/INDEX(Surface_Engine!$B$12:$B$72,$A85+1))),0)))*(MAX(0,J85/INDEX(Surface_Engine!$B$12:$B$72,$A85+1)-(F85/INDEX(Surface_Engine!$B$12:$B$72,$A85+1)))))</f>
        <v>10457.6220951453</v>
      </c>
      <c r="L85" s="48" t="n">
        <f aca="false">K85*INDEX(Surface_Engine!$B$12:$B$72,$A85+1)+L86</f>
        <v>92905.1327796097</v>
      </c>
      <c r="M85" s="48" t="n">
        <f aca="false">M84+B84*(IF($A84&lt;$Q$69,(Surface_Engine!G236*12)-(Surface_Engine!G236*12)*INDEX(Surface_Engine!$F$12:$F$72,$A84+1)-INDEX(Surface_Engine!$D$12:$D$72,$A84+1),-(1000*12*INDEX(Surface_Engine!$C$12:$C$72,$A84+1)/(1+Assumptions!$B$10)^20+INDEX(Surface_Engine!$D$12:$D$72,$A84+1))))*INDEX(Surface_Engine!$B$12:$B$72,$A84+1)</f>
        <v>40712.5927867549</v>
      </c>
      <c r="N85" s="12" t="n">
        <f aca="false">IF(B85&lt;=0,0,MAX(0,(K85+Assumptions!$B$29*L85/INDEX(Surface_Engine!$B$12:$B$72,$A85+1)-(M85/INDEX(Surface_Engine!$B$12:$B$72,$A85+1)-(F85/INDEX(Surface_Engine!$B$12:$B$72,$A85+1))))/B85))</f>
        <v>21163.5120419754</v>
      </c>
    </row>
    <row r="86" customFormat="false" ht="15" hidden="false" customHeight="true" outlineLevel="0" collapsed="false">
      <c r="A86" s="1" t="n">
        <v>15</v>
      </c>
      <c r="B86" s="32" t="n">
        <f aca="false">INDEX(Surface_Engine!$G$12:$G$72,$A86+1)*IF($A86&lt;$Q$69,INDEX(Surface_Engine!$E$12:$E$72,$A86+1),INDEX(Surface_Engine!$E$12:$E$72,$Q$69+1))</f>
        <v>0.74833941160122</v>
      </c>
      <c r="C86" s="32" t="n">
        <f aca="false">INDEX(Panel_Reserving!$B$8:$B$68,$A86+1)*IF($A86&lt;$Q$69,INDEX(Surface_Engine!$E$12:$E$72,$A86+1),INDEX(Surface_Engine!$E$12:$E$72,$Q$69+1))</f>
        <v>0.762726866481032</v>
      </c>
      <c r="D86" s="32" t="n">
        <f aca="false">INDEX(Surface_Engine!$G$12:$G$72,$A86+1)*IF($A86&lt;$Q$69,INDEX(Surface_Engine!$Y$12:$Y$72,$A86+1),INDEX(Surface_Engine!$Y$12:$Y$72,$Q$69+1))</f>
        <v>0.677904847464119</v>
      </c>
      <c r="E86" s="32" t="n">
        <f aca="false">INDEX(Surface_Engine!$G$12:$G$72,$A86+1)*IF($A86&lt;$Q$69,INDEX(Surface_Engine!$Z$12:$Z$72,$A86+1),INDEX(Surface_Engine!$Z$12:$Z$72,$Q$69+1))</f>
        <v>0.825334202163495</v>
      </c>
      <c r="F86" s="48" t="n">
        <f aca="false">B86*(IF($A86&lt;$Q$69,INDEX(Surface_Engine!$D$12:$D$72,$A86+1)+(Surface_Engine!G236*12)*INDEX(Surface_Engine!$F$12:$F$72,$A86+1)-(Surface_Engine!G236*12),1000*12*INDEX(Surface_Engine!$C$12:$C$72,$A86+1)/(1+Assumptions!$B$10)^20+INDEX(Surface_Engine!$D$12:$D$72,$A86+1)))*INDEX(Surface_Engine!$B$12:$B$72,$A86+1)+F87</f>
        <v>41066.1679128379</v>
      </c>
      <c r="G86" s="48" t="n">
        <f aca="false">C86*(IF($A86&lt;$Q$69,INDEX(Surface_Engine!$D$12:$D$72,$A86+1)+(Surface_Engine!G236*12)*INDEX(Surface_Engine!$F$12:$F$72,$A86+1)-(Surface_Engine!G236*12),1000*12*INDEX(Surface_Engine!$C$12:$C$72,$A86+1)/(1+Assumptions!$B$10)^20+INDEX(Surface_Engine!$D$12:$D$72,$A86+1)))*INDEX(Surface_Engine!$B$12:$B$72,$A86+1)+G87</f>
        <v>48254.1711932435</v>
      </c>
      <c r="H86" s="48" t="n">
        <f aca="false">D86*(IF($A86&lt;$Q$69,INDEX(Surface_Engine!$D$12:$D$72,$A86+1)+(Surface_Engine!G236*12)*INDEX(Surface_Engine!$F$12:$F$72,$A86+1)-(Surface_Engine!G236*12),1000*12*INDEX(Surface_Engine!$C$12:$C$72,$A86+1)/(1+Assumptions!$B$10)^20+INDEX(Surface_Engine!$D$12:$D$72,$A86+1)))*INDEX(Surface_Engine!$B$12:$B$72,$A86+1)+H87</f>
        <v>36237.2864039458</v>
      </c>
      <c r="I86" s="48" t="n">
        <f aca="false">E86*(IF($A86&lt;$Q$69,INDEX(Surface_Engine!$D$12:$D$72,$A86+1)+(Surface_Engine!G236*12)*INDEX(Surface_Engine!$F$12:$F$72,$A86+1)-(Surface_Engine!G236*12),1000*12*INDEX(Surface_Engine!$C$12:$C$72,$A86+1)/(1+Assumptions!$B$10)^20+INDEX(Surface_Engine!$D$12:$D$72,$A86+1)))*INDEX(Surface_Engine!$B$12:$B$72,$A86+1)+I87</f>
        <v>46487.2133482938</v>
      </c>
      <c r="J86" s="48" t="n">
        <f aca="false">B86*(IF($A86&lt;$Q$69,INDEX(Surface_Engine!$D$12:$D$72,$A86+1)*(1+Assumptions!$B$24)+(Surface_Engine!G236*12)*INDEX(Surface_Engine!$F$12:$F$72,$A86+1)-(Surface_Engine!G236*12),1000*12*INDEX(Surface_Engine!$C$12:$C$72,$A86+1)/(1+Assumptions!$B$10)^20+INDEX(Surface_Engine!$D$12:$D$72,$A86+1)*(1+Assumptions!$B$24)))*INDEX(Surface_Engine!$B$12:$B$72,$A86+1)+J87</f>
        <v>41150.048196593</v>
      </c>
      <c r="K86" s="12" t="n">
        <f aca="false">SQRT((IF(C86&lt;=0,0,MAX(0,(B86/C86)*G86/INDEX(Surface_Engine!$B$12:$B$72,$A86+1)-F86/INDEX(Surface_Engine!$B$12:$B$72,$A86+1))))^2+(MAX(IF(D86&lt;=0,0,MAX(0,(B86/D86)*H86/INDEX(Surface_Engine!$B$12:$B$72,$A86+1)-F86/INDEX(Surface_Engine!$B$12:$B$72,$A86+1))),IF(E86&lt;=0,0,MAX(0,(B86/E86)*I86/INDEX(Surface_Engine!$B$12:$B$72,$A86+1)-F86/INDEX(Surface_Engine!$B$12:$B$72,$A86+1))),IF($A86&lt;$Q$69,MAX(0,-Assumptions!$B$22*(F86/INDEX(Surface_Engine!$B$12:$B$72,$A86+1))),0)))^2+(MAX(0,J86/INDEX(Surface_Engine!$B$12:$B$72,$A86+1)-(F86/INDEX(Surface_Engine!$B$12:$B$72,$A86+1))))^2+2*Assumptions!$B$26*(IF(C86&lt;=0,0,MAX(0,(B86/C86)*G86/INDEX(Surface_Engine!$B$12:$B$72,$A86+1)-F86/INDEX(Surface_Engine!$B$12:$B$72,$A86+1))))*(MAX(IF(D86&lt;=0,0,MAX(0,(B86/D86)*H86/INDEX(Surface_Engine!$B$12:$B$72,$A86+1)-F86/INDEX(Surface_Engine!$B$12:$B$72,$A86+1))),IF(E86&lt;=0,0,MAX(0,(B86/E86)*I86/INDEX(Surface_Engine!$B$12:$B$72,$A86+1)-F86/INDEX(Surface_Engine!$B$12:$B$72,$A86+1))),IF($A86&lt;$Q$69,MAX(0,-Assumptions!$B$22*(F86/INDEX(Surface_Engine!$B$12:$B$72,$A86+1))),0)))+2*Assumptions!$B$27*(IF(C86&lt;=0,0,MAX(0,(B86/C86)*G86/INDEX(Surface_Engine!$B$12:$B$72,$A86+1)-F86/INDEX(Surface_Engine!$B$12:$B$72,$A86+1))))*(MAX(0,J86/INDEX(Surface_Engine!$B$12:$B$72,$A86+1)-(F86/INDEX(Surface_Engine!$B$12:$B$72,$A86+1))))+2*Assumptions!$B$28*(MAX(IF(D86&lt;=0,0,MAX(0,(B86/D86)*H86/INDEX(Surface_Engine!$B$12:$B$72,$A86+1)-F86/INDEX(Surface_Engine!$B$12:$B$72,$A86+1))),IF(E86&lt;=0,0,MAX(0,(B86/E86)*I86/INDEX(Surface_Engine!$B$12:$B$72,$A86+1)-F86/INDEX(Surface_Engine!$B$12:$B$72,$A86+1))),IF($A86&lt;$Q$69,MAX(0,-Assumptions!$B$22*(F86/INDEX(Surface_Engine!$B$12:$B$72,$A86+1))),0)))*(MAX(0,J86/INDEX(Surface_Engine!$B$12:$B$72,$A86+1)-(F86/INDEX(Surface_Engine!$B$12:$B$72,$A86+1)))))</f>
        <v>10538.3704131954</v>
      </c>
      <c r="L86" s="48" t="n">
        <f aca="false">K86*INDEX(Surface_Engine!$B$12:$B$72,$A86+1)+L87</f>
        <v>86050.3448276154</v>
      </c>
      <c r="M86" s="48" t="n">
        <f aca="false">M85+B85*(IF($A85&lt;$Q$69,(Surface_Engine!G236*12)-(Surface_Engine!G236*12)*INDEX(Surface_Engine!$F$12:$F$72,$A85+1)-INDEX(Surface_Engine!$D$12:$D$72,$A85+1),-(1000*12*INDEX(Surface_Engine!$C$12:$C$72,$A85+1)/(1+Assumptions!$B$10)^20+INDEX(Surface_Engine!$D$12:$D$72,$A85+1))))*INDEX(Surface_Engine!$B$12:$B$72,$A85+1)</f>
        <v>42891.9923426206</v>
      </c>
      <c r="N86" s="12" t="n">
        <f aca="false">IF(B86&lt;=0,0,MAX(0,(K86+Assumptions!$B$29*L86/INDEX(Surface_Engine!$B$12:$B$72,$A86+1)-(M86/INDEX(Surface_Engine!$B$12:$B$72,$A86+1)-(F86/INDEX(Surface_Engine!$B$12:$B$72,$A86+1))))/B86))</f>
        <v>21139.1012424004</v>
      </c>
    </row>
    <row r="87" customFormat="false" ht="15" hidden="false" customHeight="true" outlineLevel="0" collapsed="false">
      <c r="A87" s="1" t="n">
        <v>16</v>
      </c>
      <c r="B87" s="32" t="n">
        <f aca="false">INDEX(Surface_Engine!$G$12:$G$72,$A87+1)*IF($A87&lt;$Q$69,INDEX(Surface_Engine!$E$12:$E$72,$A87+1),INDEX(Surface_Engine!$E$12:$E$72,$Q$69+1))</f>
        <v>0.731299836812306</v>
      </c>
      <c r="C87" s="32" t="n">
        <f aca="false">INDEX(Panel_Reserving!$B$8:$B$68,$A87+1)*IF($A87&lt;$Q$69,INDEX(Surface_Engine!$E$12:$E$72,$A87+1),INDEX(Surface_Engine!$E$12:$E$72,$Q$69+1))</f>
        <v>0.747444963622263</v>
      </c>
      <c r="D87" s="32" t="n">
        <f aca="false">INDEX(Surface_Engine!$G$12:$G$72,$A87+1)*IF($A87&lt;$Q$69,INDEX(Surface_Engine!$Y$12:$Y$72,$A87+1),INDEX(Surface_Engine!$Y$12:$Y$72,$Q$69+1))</f>
        <v>0.659427141365475</v>
      </c>
      <c r="E87" s="32" t="n">
        <f aca="false">INDEX(Surface_Engine!$G$12:$G$72,$A87+1)*IF($A87&lt;$Q$69,INDEX(Surface_Engine!$Z$12:$Z$72,$A87+1),INDEX(Surface_Engine!$Z$12:$Z$72,$Q$69+1))</f>
        <v>0.810244932894244</v>
      </c>
      <c r="F87" s="48" t="n">
        <f aca="false">B87*(IF($A87&lt;$Q$69,INDEX(Surface_Engine!$D$12:$D$72,$A87+1)+(Surface_Engine!G236*12)*INDEX(Surface_Engine!$F$12:$F$72,$A87+1)-(Surface_Engine!G236*12),1000*12*INDEX(Surface_Engine!$C$12:$C$72,$A87+1)/(1+Assumptions!$B$10)^20+INDEX(Surface_Engine!$D$12:$D$72,$A87+1)))*INDEX(Surface_Engine!$B$12:$B$72,$A87+1)+F88</f>
        <v>43121.9249380915</v>
      </c>
      <c r="G87" s="48" t="n">
        <f aca="false">C87*(IF($A87&lt;$Q$69,INDEX(Surface_Engine!$D$12:$D$72,$A87+1)+(Surface_Engine!G236*12)*INDEX(Surface_Engine!$F$12:$F$72,$A87+1)-(Surface_Engine!G236*12),1000*12*INDEX(Surface_Engine!$C$12:$C$72,$A87+1)/(1+Assumptions!$B$10)^20+INDEX(Surface_Engine!$D$12:$D$72,$A87+1)))*INDEX(Surface_Engine!$B$12:$B$72,$A87+1)+G88</f>
        <v>50349.4518771287</v>
      </c>
      <c r="H87" s="48" t="n">
        <f aca="false">D87*(IF($A87&lt;$Q$69,INDEX(Surface_Engine!$D$12:$D$72,$A87+1)+(Surface_Engine!G236*12)*INDEX(Surface_Engine!$F$12:$F$72,$A87+1)-(Surface_Engine!G236*12),1000*12*INDEX(Surface_Engine!$C$12:$C$72,$A87+1)/(1+Assumptions!$B$10)^20+INDEX(Surface_Engine!$D$12:$D$72,$A87+1)))*INDEX(Surface_Engine!$B$12:$B$72,$A87+1)+H88</f>
        <v>38099.5532190076</v>
      </c>
      <c r="I87" s="48" t="n">
        <f aca="false">E87*(IF($A87&lt;$Q$69,INDEX(Surface_Engine!$D$12:$D$72,$A87+1)+(Surface_Engine!G236*12)*INDEX(Surface_Engine!$F$12:$F$72,$A87+1)-(Surface_Engine!G236*12),1000*12*INDEX(Surface_Engine!$C$12:$C$72,$A87+1)/(1+Assumptions!$B$10)^20+INDEX(Surface_Engine!$D$12:$D$72,$A87+1)))*INDEX(Surface_Engine!$B$12:$B$72,$A87+1)+I88</f>
        <v>48754.4821276426</v>
      </c>
      <c r="J87" s="48" t="n">
        <f aca="false">B87*(IF($A87&lt;$Q$69,INDEX(Surface_Engine!$D$12:$D$72,$A87+1)*(1+Assumptions!$B$24)+(Surface_Engine!G236*12)*INDEX(Surface_Engine!$F$12:$F$72,$A87+1)-(Surface_Engine!G236*12),1000*12*INDEX(Surface_Engine!$C$12:$C$72,$A87+1)/(1+Assumptions!$B$10)^20+INDEX(Surface_Engine!$D$12:$D$72,$A87+1)*(1+Assumptions!$B$24)))*INDEX(Surface_Engine!$B$12:$B$72,$A87+1)+J88</f>
        <v>43200.1889491178</v>
      </c>
      <c r="K87" s="12" t="n">
        <f aca="false">SQRT((IF(C87&lt;=0,0,MAX(0,(B87/C87)*G87/INDEX(Surface_Engine!$B$12:$B$72,$A87+1)-F87/INDEX(Surface_Engine!$B$12:$B$72,$A87+1))))^2+(MAX(IF(D87&lt;=0,0,MAX(0,(B87/D87)*H87/INDEX(Surface_Engine!$B$12:$B$72,$A87+1)-F87/INDEX(Surface_Engine!$B$12:$B$72,$A87+1))),IF(E87&lt;=0,0,MAX(0,(B87/E87)*I87/INDEX(Surface_Engine!$B$12:$B$72,$A87+1)-F87/INDEX(Surface_Engine!$B$12:$B$72,$A87+1))),IF($A87&lt;$Q$69,MAX(0,-Assumptions!$B$22*(F87/INDEX(Surface_Engine!$B$12:$B$72,$A87+1))),0)))^2+(MAX(0,J87/INDEX(Surface_Engine!$B$12:$B$72,$A87+1)-(F87/INDEX(Surface_Engine!$B$12:$B$72,$A87+1))))^2+2*Assumptions!$B$26*(IF(C87&lt;=0,0,MAX(0,(B87/C87)*G87/INDEX(Surface_Engine!$B$12:$B$72,$A87+1)-F87/INDEX(Surface_Engine!$B$12:$B$72,$A87+1))))*(MAX(IF(D87&lt;=0,0,MAX(0,(B87/D87)*H87/INDEX(Surface_Engine!$B$12:$B$72,$A87+1)-F87/INDEX(Surface_Engine!$B$12:$B$72,$A87+1))),IF(E87&lt;=0,0,MAX(0,(B87/E87)*I87/INDEX(Surface_Engine!$B$12:$B$72,$A87+1)-F87/INDEX(Surface_Engine!$B$12:$B$72,$A87+1))),IF($A87&lt;$Q$69,MAX(0,-Assumptions!$B$22*(F87/INDEX(Surface_Engine!$B$12:$B$72,$A87+1))),0)))+2*Assumptions!$B$27*(IF(C87&lt;=0,0,MAX(0,(B87/C87)*G87/INDEX(Surface_Engine!$B$12:$B$72,$A87+1)-F87/INDEX(Surface_Engine!$B$12:$B$72,$A87+1))))*(MAX(0,J87/INDEX(Surface_Engine!$B$12:$B$72,$A87+1)-(F87/INDEX(Surface_Engine!$B$12:$B$72,$A87+1))))+2*Assumptions!$B$28*(MAX(IF(D87&lt;=0,0,MAX(0,(B87/D87)*H87/INDEX(Surface_Engine!$B$12:$B$72,$A87+1)-F87/INDEX(Surface_Engine!$B$12:$B$72,$A87+1))),IF(E87&lt;=0,0,MAX(0,(B87/E87)*I87/INDEX(Surface_Engine!$B$12:$B$72,$A87+1)-F87/INDEX(Surface_Engine!$B$12:$B$72,$A87+1))),IF($A87&lt;$Q$69,MAX(0,-Assumptions!$B$22*(F87/INDEX(Surface_Engine!$B$12:$B$72,$A87+1))),0)))*(MAX(0,J87/INDEX(Surface_Engine!$B$12:$B$72,$A87+1)-(F87/INDEX(Surface_Engine!$B$12:$B$72,$A87+1)))))</f>
        <v>10563.2468362275</v>
      </c>
      <c r="L87" s="48" t="n">
        <f aca="false">K87*INDEX(Surface_Engine!$B$12:$B$72,$A87+1)+L88</f>
        <v>79390.6980167434</v>
      </c>
      <c r="M87" s="48" t="n">
        <f aca="false">M86+B86*(IF($A86&lt;$Q$69,(Surface_Engine!G236*12)-(Surface_Engine!G236*12)*INDEX(Surface_Engine!$F$12:$F$72,$A86+1)-INDEX(Surface_Engine!$D$12:$D$72,$A86+1),-(1000*12*INDEX(Surface_Engine!$C$12:$C$72,$A86+1)/(1+Assumptions!$B$10)^20+INDEX(Surface_Engine!$D$12:$D$72,$A86+1))))*INDEX(Surface_Engine!$B$12:$B$72,$A86+1)</f>
        <v>44947.7493678742</v>
      </c>
      <c r="N87" s="12" t="n">
        <f aca="false">IF(B87&lt;=0,0,MAX(0,(K87+Assumptions!$B$29*L87/INDEX(Surface_Engine!$B$12:$B$72,$A87+1)-(M87/INDEX(Surface_Engine!$B$12:$B$72,$A87+1)-(F87/INDEX(Surface_Engine!$B$12:$B$72,$A87+1))))/B87))</f>
        <v>21031.1591943167</v>
      </c>
    </row>
    <row r="88" customFormat="false" ht="15" hidden="false" customHeight="true" outlineLevel="0" collapsed="false">
      <c r="A88" s="1" t="n">
        <v>17</v>
      </c>
      <c r="B88" s="32" t="n">
        <f aca="false">INDEX(Surface_Engine!$G$12:$G$72,$A88+1)*IF($A88&lt;$Q$69,INDEX(Surface_Engine!$E$12:$E$72,$A88+1),INDEX(Surface_Engine!$E$12:$E$72,$Q$69+1))</f>
        <v>0.713482050644402</v>
      </c>
      <c r="C88" s="32" t="n">
        <f aca="false">INDEX(Panel_Reserving!$B$8:$B$68,$A88+1)*IF($A88&lt;$Q$69,INDEX(Surface_Engine!$E$12:$E$72,$A88+1),INDEX(Surface_Engine!$E$12:$E$72,$Q$69+1))</f>
        <v>0.731515689947711</v>
      </c>
      <c r="D88" s="32" t="n">
        <f aca="false">INDEX(Surface_Engine!$G$12:$G$72,$A88+1)*IF($A88&lt;$Q$69,INDEX(Surface_Engine!$Y$12:$Y$72,$A88+1),INDEX(Surface_Engine!$Y$12:$Y$72,$Q$69+1))</f>
        <v>0.640406327307206</v>
      </c>
      <c r="E88" s="32" t="n">
        <f aca="false">INDEX(Surface_Engine!$G$12:$G$72,$A88+1)*IF($A88&lt;$Q$69,INDEX(Surface_Engine!$Z$12:$Z$72,$A88+1),INDEX(Surface_Engine!$Z$12:$Z$72,$Q$69+1))</f>
        <v>0.794133508714652</v>
      </c>
      <c r="F88" s="48" t="n">
        <f aca="false">B88*(IF($A88&lt;$Q$69,INDEX(Surface_Engine!$D$12:$D$72,$A88+1)+(Surface_Engine!G236*12)*INDEX(Surface_Engine!$F$12:$F$72,$A88+1)-(Surface_Engine!G236*12),1000*12*INDEX(Surface_Engine!$C$12:$C$72,$A88+1)/(1+Assumptions!$B$10)^20+INDEX(Surface_Engine!$D$12:$D$72,$A88+1)))*INDEX(Surface_Engine!$B$12:$B$72,$A88+1)+F89</f>
        <v>45059.3616329398</v>
      </c>
      <c r="G88" s="48" t="n">
        <f aca="false">C88*(IF($A88&lt;$Q$69,INDEX(Surface_Engine!$D$12:$D$72,$A88+1)+(Surface_Engine!G236*12)*INDEX(Surface_Engine!$F$12:$F$72,$A88+1)-(Surface_Engine!G236*12),1000*12*INDEX(Surface_Engine!$C$12:$C$72,$A88+1)/(1+Assumptions!$B$10)^20+INDEX(Surface_Engine!$D$12:$D$72,$A88+1)))*INDEX(Surface_Engine!$B$12:$B$72,$A88+1)+G89</f>
        <v>52329.6619455647</v>
      </c>
      <c r="H88" s="48" t="n">
        <f aca="false">D88*(IF($A88&lt;$Q$69,INDEX(Surface_Engine!$D$12:$D$72,$A88+1)+(Surface_Engine!G236*12)*INDEX(Surface_Engine!$F$12:$F$72,$A88+1)-(Surface_Engine!G236*12),1000*12*INDEX(Surface_Engine!$C$12:$C$72,$A88+1)/(1+Assumptions!$B$10)^20+INDEX(Surface_Engine!$D$12:$D$72,$A88+1)))*INDEX(Surface_Engine!$B$12:$B$72,$A88+1)+H89</f>
        <v>39846.5771850314</v>
      </c>
      <c r="I88" s="48" t="n">
        <f aca="false">E88*(IF($A88&lt;$Q$69,INDEX(Surface_Engine!$D$12:$D$72,$A88+1)+(Surface_Engine!G236*12)*INDEX(Surface_Engine!$F$12:$F$72,$A88+1)-(Surface_Engine!G236*12),1000*12*INDEX(Surface_Engine!$C$12:$C$72,$A88+1)/(1+Assumptions!$B$10)^20+INDEX(Surface_Engine!$D$12:$D$72,$A88+1)))*INDEX(Surface_Engine!$B$12:$B$72,$A88+1)+I89</f>
        <v>50901.0685013616</v>
      </c>
      <c r="J88" s="48" t="n">
        <f aca="false">B88*(IF($A88&lt;$Q$69,INDEX(Surface_Engine!$D$12:$D$72,$A88+1)*(1+Assumptions!$B$24)+(Surface_Engine!G236*12)*INDEX(Surface_Engine!$F$12:$F$72,$A88+1)-(Surface_Engine!G236*12),1000*12*INDEX(Surface_Engine!$C$12:$C$72,$A88+1)/(1+Assumptions!$B$10)^20+INDEX(Surface_Engine!$D$12:$D$72,$A88+1)*(1+Assumptions!$B$24)))*INDEX(Surface_Engine!$B$12:$B$72,$A88+1)+J89</f>
        <v>45132.196585558</v>
      </c>
      <c r="K88" s="12" t="n">
        <f aca="false">SQRT((IF(C88&lt;=0,0,MAX(0,(B88/C88)*G88/INDEX(Surface_Engine!$B$12:$B$72,$A88+1)-F88/INDEX(Surface_Engine!$B$12:$B$72,$A88+1))))^2+(MAX(IF(D88&lt;=0,0,MAX(0,(B88/D88)*H88/INDEX(Surface_Engine!$B$12:$B$72,$A88+1)-F88/INDEX(Surface_Engine!$B$12:$B$72,$A88+1))),IF(E88&lt;=0,0,MAX(0,(B88/E88)*I88/INDEX(Surface_Engine!$B$12:$B$72,$A88+1)-F88/INDEX(Surface_Engine!$B$12:$B$72,$A88+1))),IF($A88&lt;$Q$69,MAX(0,-Assumptions!$B$22*(F88/INDEX(Surface_Engine!$B$12:$B$72,$A88+1))),0)))^2+(MAX(0,J88/INDEX(Surface_Engine!$B$12:$B$72,$A88+1)-(F88/INDEX(Surface_Engine!$B$12:$B$72,$A88+1))))^2+2*Assumptions!$B$26*(IF(C88&lt;=0,0,MAX(0,(B88/C88)*G88/INDEX(Surface_Engine!$B$12:$B$72,$A88+1)-F88/INDEX(Surface_Engine!$B$12:$B$72,$A88+1))))*(MAX(IF(D88&lt;=0,0,MAX(0,(B88/D88)*H88/INDEX(Surface_Engine!$B$12:$B$72,$A88+1)-F88/INDEX(Surface_Engine!$B$12:$B$72,$A88+1))),IF(E88&lt;=0,0,MAX(0,(B88/E88)*I88/INDEX(Surface_Engine!$B$12:$B$72,$A88+1)-F88/INDEX(Surface_Engine!$B$12:$B$72,$A88+1))),IF($A88&lt;$Q$69,MAX(0,-Assumptions!$B$22*(F88/INDEX(Surface_Engine!$B$12:$B$72,$A88+1))),0)))+2*Assumptions!$B$27*(IF(C88&lt;=0,0,MAX(0,(B88/C88)*G88/INDEX(Surface_Engine!$B$12:$B$72,$A88+1)-F88/INDEX(Surface_Engine!$B$12:$B$72,$A88+1))))*(MAX(0,J88/INDEX(Surface_Engine!$B$12:$B$72,$A88+1)-(F88/INDEX(Surface_Engine!$B$12:$B$72,$A88+1))))+2*Assumptions!$B$28*(MAX(IF(D88&lt;=0,0,MAX(0,(B88/D88)*H88/INDEX(Surface_Engine!$B$12:$B$72,$A88+1)-F88/INDEX(Surface_Engine!$B$12:$B$72,$A88+1))),IF(E88&lt;=0,0,MAX(0,(B88/E88)*I88/INDEX(Surface_Engine!$B$12:$B$72,$A88+1)-F88/INDEX(Surface_Engine!$B$12:$B$72,$A88+1))),IF($A88&lt;$Q$69,MAX(0,-Assumptions!$B$22*(F88/INDEX(Surface_Engine!$B$12:$B$72,$A88+1))),0)))*(MAX(0,J88/INDEX(Surface_Engine!$B$12:$B$72,$A88+1)-(F88/INDEX(Surface_Engine!$B$12:$B$72,$A88+1)))))</f>
        <v>10522.5767676511</v>
      </c>
      <c r="L88" s="48" t="n">
        <f aca="false">K88*INDEX(Surface_Engine!$B$12:$B$72,$A88+1)+L89</f>
        <v>72948.5489908774</v>
      </c>
      <c r="M88" s="48" t="n">
        <f aca="false">M87+B87*(IF($A87&lt;$Q$69,(Surface_Engine!G236*12)-(Surface_Engine!G236*12)*INDEX(Surface_Engine!$F$12:$F$72,$A87+1)-INDEX(Surface_Engine!$D$12:$D$72,$A87+1),-(1000*12*INDEX(Surface_Engine!$C$12:$C$72,$A87+1)/(1+Assumptions!$B$10)^20+INDEX(Surface_Engine!$D$12:$D$72,$A87+1))))*INDEX(Surface_Engine!$B$12:$B$72,$A87+1)</f>
        <v>46885.1860627226</v>
      </c>
      <c r="N88" s="12" t="n">
        <f aca="false">IF(B88&lt;=0,0,MAX(0,(K88+Assumptions!$B$29*L88/INDEX(Surface_Engine!$B$12:$B$72,$A88+1)-(M88/INDEX(Surface_Engine!$B$12:$B$72,$A88+1)-(F88/INDEX(Surface_Engine!$B$12:$B$72,$A88+1))))/B88))</f>
        <v>20812.0568917505</v>
      </c>
    </row>
    <row r="89" customFormat="false" ht="15" hidden="false" customHeight="true" outlineLevel="0" collapsed="false">
      <c r="A89" s="1" t="n">
        <v>18</v>
      </c>
      <c r="B89" s="32" t="n">
        <f aca="false">INDEX(Surface_Engine!$G$12:$G$72,$A89+1)*IF($A89&lt;$Q$69,INDEX(Surface_Engine!$E$12:$E$72,$A89+1),INDEX(Surface_Engine!$E$12:$E$72,$Q$69+1))</f>
        <v>0.694809270432386</v>
      </c>
      <c r="C89" s="32" t="n">
        <f aca="false">INDEX(Panel_Reserving!$B$8:$B$68,$A89+1)*IF($A89&lt;$Q$69,INDEX(Surface_Engine!$E$12:$E$72,$A89+1),INDEX(Surface_Engine!$E$12:$E$72,$Q$69+1))</f>
        <v>0.71486853564051</v>
      </c>
      <c r="D89" s="32" t="n">
        <f aca="false">INDEX(Surface_Engine!$G$12:$G$72,$A89+1)*IF($A89&lt;$Q$69,INDEX(Surface_Engine!$Y$12:$Y$72,$A89+1),INDEX(Surface_Engine!$Y$12:$Y$72,$Q$69+1))</f>
        <v>0.620782387912415</v>
      </c>
      <c r="E89" s="32" t="n">
        <f aca="false">INDEX(Surface_Engine!$G$12:$G$72,$A89+1)*IF($A89&lt;$Q$69,INDEX(Surface_Engine!$Z$12:$Z$72,$A89+1),INDEX(Surface_Engine!$Z$12:$Z$72,$Q$69+1))</f>
        <v>0.776901028889261</v>
      </c>
      <c r="F89" s="48" t="n">
        <f aca="false">B89*(IF($A89&lt;$Q$69,INDEX(Surface_Engine!$D$12:$D$72,$A89+1)+(Surface_Engine!G236*12)*INDEX(Surface_Engine!$F$12:$F$72,$A89+1)-(Surface_Engine!G236*12),1000*12*INDEX(Surface_Engine!$C$12:$C$72,$A89+1)/(1+Assumptions!$B$10)^20+INDEX(Surface_Engine!$D$12:$D$72,$A89+1)))*INDEX(Surface_Engine!$B$12:$B$72,$A89+1)+F90</f>
        <v>46885.6570024442</v>
      </c>
      <c r="G89" s="48" t="n">
        <f aca="false">C89*(IF($A89&lt;$Q$69,INDEX(Surface_Engine!$D$12:$D$72,$A89+1)+(Surface_Engine!G236*12)*INDEX(Surface_Engine!$F$12:$F$72,$A89+1)-(Surface_Engine!G236*12),1000*12*INDEX(Surface_Engine!$C$12:$C$72,$A89+1)/(1+Assumptions!$B$10)^20+INDEX(Surface_Engine!$D$12:$D$72,$A89+1)))*INDEX(Surface_Engine!$B$12:$B$72,$A89+1)+G90</f>
        <v>54202.1179044282</v>
      </c>
      <c r="H89" s="48" t="n">
        <f aca="false">D89*(IF($A89&lt;$Q$69,INDEX(Surface_Engine!$D$12:$D$72,$A89+1)+(Surface_Engine!G236*12)*INDEX(Surface_Engine!$F$12:$F$72,$A89+1)-(Surface_Engine!G236*12),1000*12*INDEX(Surface_Engine!$C$12:$C$72,$A89+1)/(1+Assumptions!$B$10)^20+INDEX(Surface_Engine!$D$12:$D$72,$A89+1)))*INDEX(Surface_Engine!$B$12:$B$72,$A89+1)+H90</f>
        <v>41485.8211002863</v>
      </c>
      <c r="I89" s="48" t="n">
        <f aca="false">E89*(IF($A89&lt;$Q$69,INDEX(Surface_Engine!$D$12:$D$72,$A89+1)+(Surface_Engine!G236*12)*INDEX(Surface_Engine!$F$12:$F$72,$A89+1)-(Surface_Engine!G236*12),1000*12*INDEX(Surface_Engine!$C$12:$C$72,$A89+1)/(1+Assumptions!$B$10)^20+INDEX(Surface_Engine!$D$12:$D$72,$A89+1)))*INDEX(Surface_Engine!$B$12:$B$72,$A89+1)+I90</f>
        <v>52933.8068840916</v>
      </c>
      <c r="J89" s="48" t="n">
        <f aca="false">B89*(IF($A89&lt;$Q$69,INDEX(Surface_Engine!$D$12:$D$72,$A89+1)*(1+Assumptions!$B$24)+(Surface_Engine!G236*12)*INDEX(Surface_Engine!$F$12:$F$72,$A89+1)-(Surface_Engine!G236*12),1000*12*INDEX(Surface_Engine!$C$12:$C$72,$A89+1)/(1+Assumptions!$B$10)^20+INDEX(Surface_Engine!$D$12:$D$72,$A89+1)*(1+Assumptions!$B$24)))*INDEX(Surface_Engine!$B$12:$B$72,$A89+1)+J90</f>
        <v>46953.2427175163</v>
      </c>
      <c r="K89" s="12" t="n">
        <f aca="false">SQRT((IF(C89&lt;=0,0,MAX(0,(B89/C89)*G89/INDEX(Surface_Engine!$B$12:$B$72,$A89+1)-F89/INDEX(Surface_Engine!$B$12:$B$72,$A89+1))))^2+(MAX(IF(D89&lt;=0,0,MAX(0,(B89/D89)*H89/INDEX(Surface_Engine!$B$12:$B$72,$A89+1)-F89/INDEX(Surface_Engine!$B$12:$B$72,$A89+1))),IF(E89&lt;=0,0,MAX(0,(B89/E89)*I89/INDEX(Surface_Engine!$B$12:$B$72,$A89+1)-F89/INDEX(Surface_Engine!$B$12:$B$72,$A89+1))),IF($A89&lt;$Q$69,MAX(0,-Assumptions!$B$22*(F89/INDEX(Surface_Engine!$B$12:$B$72,$A89+1))),0)))^2+(MAX(0,J89/INDEX(Surface_Engine!$B$12:$B$72,$A89+1)-(F89/INDEX(Surface_Engine!$B$12:$B$72,$A89+1))))^2+2*Assumptions!$B$26*(IF(C89&lt;=0,0,MAX(0,(B89/C89)*G89/INDEX(Surface_Engine!$B$12:$B$72,$A89+1)-F89/INDEX(Surface_Engine!$B$12:$B$72,$A89+1))))*(MAX(IF(D89&lt;=0,0,MAX(0,(B89/D89)*H89/INDEX(Surface_Engine!$B$12:$B$72,$A89+1)-F89/INDEX(Surface_Engine!$B$12:$B$72,$A89+1))),IF(E89&lt;=0,0,MAX(0,(B89/E89)*I89/INDEX(Surface_Engine!$B$12:$B$72,$A89+1)-F89/INDEX(Surface_Engine!$B$12:$B$72,$A89+1))),IF($A89&lt;$Q$69,MAX(0,-Assumptions!$B$22*(F89/INDEX(Surface_Engine!$B$12:$B$72,$A89+1))),0)))+2*Assumptions!$B$27*(IF(C89&lt;=0,0,MAX(0,(B89/C89)*G89/INDEX(Surface_Engine!$B$12:$B$72,$A89+1)-F89/INDEX(Surface_Engine!$B$12:$B$72,$A89+1))))*(MAX(0,J89/INDEX(Surface_Engine!$B$12:$B$72,$A89+1)-(F89/INDEX(Surface_Engine!$B$12:$B$72,$A89+1))))+2*Assumptions!$B$28*(MAX(IF(D89&lt;=0,0,MAX(0,(B89/D89)*H89/INDEX(Surface_Engine!$B$12:$B$72,$A89+1)-F89/INDEX(Surface_Engine!$B$12:$B$72,$A89+1))),IF(E89&lt;=0,0,MAX(0,(B89/E89)*I89/INDEX(Surface_Engine!$B$12:$B$72,$A89+1)-F89/INDEX(Surface_Engine!$B$12:$B$72,$A89+1))),IF($A89&lt;$Q$69,MAX(0,-Assumptions!$B$22*(F89/INDEX(Surface_Engine!$B$12:$B$72,$A89+1))),0)))*(MAX(0,J89/INDEX(Surface_Engine!$B$12:$B$72,$A89+1)-(F89/INDEX(Surface_Engine!$B$12:$B$72,$A89+1)))))</f>
        <v>10417.0273095313</v>
      </c>
      <c r="L89" s="48" t="n">
        <f aca="false">K89*INDEX(Surface_Engine!$B$12:$B$72,$A89+1)+L90</f>
        <v>66743.9214898847</v>
      </c>
      <c r="M89" s="48" t="n">
        <f aca="false">M88+B88*(IF($A88&lt;$Q$69,(Surface_Engine!G236*12)-(Surface_Engine!G236*12)*INDEX(Surface_Engine!$F$12:$F$72,$A88+1)-INDEX(Surface_Engine!$D$12:$D$72,$A88+1),-(1000*12*INDEX(Surface_Engine!$C$12:$C$72,$A88+1)/(1+Assumptions!$B$10)^20+INDEX(Surface_Engine!$D$12:$D$72,$A88+1))))*INDEX(Surface_Engine!$B$12:$B$72,$A88+1)</f>
        <v>48711.4814322269</v>
      </c>
      <c r="N89" s="12" t="n">
        <f aca="false">IF(B89&lt;=0,0,MAX(0,(K89+Assumptions!$B$29*L89/INDEX(Surface_Engine!$B$12:$B$72,$A89+1)-(M89/INDEX(Surface_Engine!$B$12:$B$72,$A89+1)-(F89/INDEX(Surface_Engine!$B$12:$B$72,$A89+1))))/B89))</f>
        <v>20487.2521889733</v>
      </c>
    </row>
    <row r="90" customFormat="false" ht="15" hidden="false" customHeight="true" outlineLevel="0" collapsed="false">
      <c r="A90" s="1" t="n">
        <v>19</v>
      </c>
      <c r="B90" s="32" t="n">
        <f aca="false">INDEX(Surface_Engine!$G$12:$G$72,$A90+1)*IF($A90&lt;$Q$69,INDEX(Surface_Engine!$E$12:$E$72,$A90+1),INDEX(Surface_Engine!$E$12:$E$72,$Q$69+1))</f>
        <v>0.675204232687693</v>
      </c>
      <c r="C90" s="32" t="n">
        <f aca="false">INDEX(Panel_Reserving!$B$8:$B$68,$A90+1)*IF($A90&lt;$Q$69,INDEX(Surface_Engine!$E$12:$E$72,$A90+1),INDEX(Surface_Engine!$E$12:$E$72,$Q$69+1))</f>
        <v>0.697430644013905</v>
      </c>
      <c r="D90" s="32" t="n">
        <f aca="false">INDEX(Surface_Engine!$G$12:$G$72,$A90+1)*IF($A90&lt;$Q$69,INDEX(Surface_Engine!$Y$12:$Y$72,$A90+1),INDEX(Surface_Engine!$Y$12:$Y$72,$Q$69+1))</f>
        <v>0.600496056090523</v>
      </c>
      <c r="E90" s="32" t="n">
        <f aca="false">INDEX(Surface_Engine!$G$12:$G$72,$A90+1)*IF($A90&lt;$Q$69,INDEX(Surface_Engine!$Z$12:$Z$72,$A90+1),INDEX(Surface_Engine!$Z$12:$Z$72,$Q$69+1))</f>
        <v>0.758446359156707</v>
      </c>
      <c r="F90" s="48" t="n">
        <f aca="false">B90*(IF($A90&lt;$Q$69,INDEX(Surface_Engine!$D$12:$D$72,$A90+1)+(Surface_Engine!G236*12)*INDEX(Surface_Engine!$F$12:$F$72,$A90+1)-(Surface_Engine!G236*12),1000*12*INDEX(Surface_Engine!$C$12:$C$72,$A90+1)/(1+Assumptions!$B$10)^20+INDEX(Surface_Engine!$D$12:$D$72,$A90+1)))*INDEX(Surface_Engine!$B$12:$B$72,$A90+1)+F91</f>
        <v>48605.8013560939</v>
      </c>
      <c r="G90" s="48" t="n">
        <f aca="false">C90*(IF($A90&lt;$Q$69,INDEX(Surface_Engine!$D$12:$D$72,$A90+1)+(Surface_Engine!G236*12)*INDEX(Surface_Engine!$F$12:$F$72,$A90+1)-(Surface_Engine!G236*12),1000*12*INDEX(Surface_Engine!$C$12:$C$72,$A90+1)/(1+Assumptions!$B$10)^20+INDEX(Surface_Engine!$D$12:$D$72,$A90+1)))*INDEX(Surface_Engine!$B$12:$B$72,$A90+1)+G91</f>
        <v>55971.9231265415</v>
      </c>
      <c r="H90" s="48" t="n">
        <f aca="false">D90*(IF($A90&lt;$Q$69,INDEX(Surface_Engine!$D$12:$D$72,$A90+1)+(Surface_Engine!G236*12)*INDEX(Surface_Engine!$F$12:$F$72,$A90+1)-(Surface_Engine!G236*12),1000*12*INDEX(Surface_Engine!$C$12:$C$72,$A90+1)/(1+Assumptions!$B$10)^20+INDEX(Surface_Engine!$D$12:$D$72,$A90+1)))*INDEX(Surface_Engine!$B$12:$B$72,$A90+1)+H91</f>
        <v>43022.6965636034</v>
      </c>
      <c r="I90" s="48" t="n">
        <f aca="false">E90*(IF($A90&lt;$Q$69,INDEX(Surface_Engine!$D$12:$D$72,$A90+1)+(Surface_Engine!G236*12)*INDEX(Surface_Engine!$F$12:$F$72,$A90+1)-(Surface_Engine!G236*12),1000*12*INDEX(Surface_Engine!$C$12:$C$72,$A90+1)/(1+Assumptions!$B$10)^20+INDEX(Surface_Engine!$D$12:$D$72,$A90+1)))*INDEX(Surface_Engine!$B$12:$B$72,$A90+1)+I91</f>
        <v>54857.186399965</v>
      </c>
      <c r="J90" s="48" t="n">
        <f aca="false">B90*(IF($A90&lt;$Q$69,INDEX(Surface_Engine!$D$12:$D$72,$A90+1)*(1+Assumptions!$B$24)+(Surface_Engine!G236*12)*INDEX(Surface_Engine!$F$12:$F$72,$A90+1)-(Surface_Engine!G236*12),1000*12*INDEX(Surface_Engine!$C$12:$C$72,$A90+1)/(1+Assumptions!$B$10)^20+INDEX(Surface_Engine!$D$12:$D$72,$A90+1)*(1+Assumptions!$B$24)))*INDEX(Surface_Engine!$B$12:$B$72,$A90+1)+J91</f>
        <v>48668.315691225</v>
      </c>
      <c r="K90" s="12" t="n">
        <f aca="false">SQRT((IF(C90&lt;=0,0,MAX(0,(B90/C90)*G90/INDEX(Surface_Engine!$B$12:$B$72,$A90+1)-F90/INDEX(Surface_Engine!$B$12:$B$72,$A90+1))))^2+(MAX(IF(D90&lt;=0,0,MAX(0,(B90/D90)*H90/INDEX(Surface_Engine!$B$12:$B$72,$A90+1)-F90/INDEX(Surface_Engine!$B$12:$B$72,$A90+1))),IF(E90&lt;=0,0,MAX(0,(B90/E90)*I90/INDEX(Surface_Engine!$B$12:$B$72,$A90+1)-F90/INDEX(Surface_Engine!$B$12:$B$72,$A90+1))),IF($A90&lt;$Q$69,MAX(0,-Assumptions!$B$22*(F90/INDEX(Surface_Engine!$B$12:$B$72,$A90+1))),0)))^2+(MAX(0,J90/INDEX(Surface_Engine!$B$12:$B$72,$A90+1)-(F90/INDEX(Surface_Engine!$B$12:$B$72,$A90+1))))^2+2*Assumptions!$B$26*(IF(C90&lt;=0,0,MAX(0,(B90/C90)*G90/INDEX(Surface_Engine!$B$12:$B$72,$A90+1)-F90/INDEX(Surface_Engine!$B$12:$B$72,$A90+1))))*(MAX(IF(D90&lt;=0,0,MAX(0,(B90/D90)*H90/INDEX(Surface_Engine!$B$12:$B$72,$A90+1)-F90/INDEX(Surface_Engine!$B$12:$B$72,$A90+1))),IF(E90&lt;=0,0,MAX(0,(B90/E90)*I90/INDEX(Surface_Engine!$B$12:$B$72,$A90+1)-F90/INDEX(Surface_Engine!$B$12:$B$72,$A90+1))),IF($A90&lt;$Q$69,MAX(0,-Assumptions!$B$22*(F90/INDEX(Surface_Engine!$B$12:$B$72,$A90+1))),0)))+2*Assumptions!$B$27*(IF(C90&lt;=0,0,MAX(0,(B90/C90)*G90/INDEX(Surface_Engine!$B$12:$B$72,$A90+1)-F90/INDEX(Surface_Engine!$B$12:$B$72,$A90+1))))*(MAX(0,J90/INDEX(Surface_Engine!$B$12:$B$72,$A90+1)-(F90/INDEX(Surface_Engine!$B$12:$B$72,$A90+1))))+2*Assumptions!$B$28*(MAX(IF(D90&lt;=0,0,MAX(0,(B90/D90)*H90/INDEX(Surface_Engine!$B$12:$B$72,$A90+1)-F90/INDEX(Surface_Engine!$B$12:$B$72,$A90+1))),IF(E90&lt;=0,0,MAX(0,(B90/E90)*I90/INDEX(Surface_Engine!$B$12:$B$72,$A90+1)-F90/INDEX(Surface_Engine!$B$12:$B$72,$A90+1))),IF($A90&lt;$Q$69,MAX(0,-Assumptions!$B$22*(F90/INDEX(Surface_Engine!$B$12:$B$72,$A90+1))),0)))*(MAX(0,J90/INDEX(Surface_Engine!$B$12:$B$72,$A90+1)-(F90/INDEX(Surface_Engine!$B$12:$B$72,$A90+1)))))</f>
        <v>10239.6524598703</v>
      </c>
      <c r="L90" s="48" t="n">
        <f aca="false">K90*INDEX(Surface_Engine!$B$12:$B$72,$A90+1)+L91</f>
        <v>60798.7974877612</v>
      </c>
      <c r="M90" s="48" t="n">
        <f aca="false">M89+B89*(IF($A89&lt;$Q$69,(Surface_Engine!G236*12)-(Surface_Engine!G236*12)*INDEX(Surface_Engine!$F$12:$F$72,$A89+1)-INDEX(Surface_Engine!$D$12:$D$72,$A89+1),-(1000*12*INDEX(Surface_Engine!$C$12:$C$72,$A89+1)/(1+Assumptions!$B$10)^20+INDEX(Surface_Engine!$D$12:$D$72,$A89+1))))*INDEX(Surface_Engine!$B$12:$B$72,$A89+1)</f>
        <v>50431.6257858767</v>
      </c>
      <c r="N90" s="12" t="n">
        <f aca="false">IF(B90&lt;=0,0,MAX(0,(K90+Assumptions!$B$29*L90/INDEX(Surface_Engine!$B$12:$B$72,$A90+1)-(M90/INDEX(Surface_Engine!$B$12:$B$72,$A90+1)-(F90/INDEX(Surface_Engine!$B$12:$B$72,$A90+1))))/B90))</f>
        <v>20046.0902811874</v>
      </c>
    </row>
    <row r="91" customFormat="false" ht="15" hidden="false" customHeight="true" outlineLevel="0" collapsed="false">
      <c r="A91" s="1" t="n">
        <v>20</v>
      </c>
      <c r="B91" s="32" t="n">
        <f aca="false">INDEX(Surface_Engine!$G$12:$G$72,$A91+1)*IF($A91&lt;$Q$69,INDEX(Surface_Engine!$E$12:$E$72,$A91+1),INDEX(Surface_Engine!$E$12:$E$72,$Q$69+1))</f>
        <v>0.654591355485922</v>
      </c>
      <c r="C91" s="32" t="n">
        <f aca="false">INDEX(Panel_Reserving!$B$8:$B$68,$A91+1)*IF($A91&lt;$Q$69,INDEX(Surface_Engine!$E$12:$E$72,$A91+1),INDEX(Surface_Engine!$E$12:$E$72,$Q$69+1))</f>
        <v>0.679128189789301</v>
      </c>
      <c r="D91" s="32" t="n">
        <f aca="false">INDEX(Surface_Engine!$G$12:$G$72,$A91+1)*IF($A91&lt;$Q$69,INDEX(Surface_Engine!$Y$12:$Y$72,$A91+1),INDEX(Surface_Engine!$Y$12:$Y$72,$Q$69+1))</f>
        <v>0.579490725330323</v>
      </c>
      <c r="E91" s="32" t="n">
        <f aca="false">INDEX(Surface_Engine!$G$12:$G$72,$A91+1)*IF($A91&lt;$Q$69,INDEX(Surface_Engine!$Z$12:$Z$72,$A91+1),INDEX(Surface_Engine!$Z$12:$Z$72,$Q$69+1))</f>
        <v>0.73866854047822</v>
      </c>
      <c r="F91" s="48" t="n">
        <f aca="false">B91*(IF($A91&lt;$Q$69,INDEX(Surface_Engine!$D$12:$D$72,$A91+1)+(Surface_Engine!G236*12)*INDEX(Surface_Engine!$F$12:$F$72,$A91+1)-(Surface_Engine!G236*12),1000*12*INDEX(Surface_Engine!$C$12:$C$72,$A91+1)/(1+Assumptions!$B$10)^20+INDEX(Surface_Engine!$D$12:$D$72,$A91+1)))*INDEX(Surface_Engine!$B$12:$B$72,$A91+1)+F92</f>
        <v>50224.03749475</v>
      </c>
      <c r="G91" s="48" t="n">
        <f aca="false">C91*(IF($A91&lt;$Q$69,INDEX(Surface_Engine!$D$12:$D$72,$A91+1)+(Surface_Engine!G236*12)*INDEX(Surface_Engine!$F$12:$F$72,$A91+1)-(Surface_Engine!G236*12),1000*12*INDEX(Surface_Engine!$C$12:$C$72,$A91+1)/(1+Assumptions!$B$10)^20+INDEX(Surface_Engine!$D$12:$D$72,$A91+1)))*INDEX(Surface_Engine!$B$12:$B$72,$A91+1)+G92</f>
        <v>57643.4284544287</v>
      </c>
      <c r="H91" s="48" t="n">
        <f aca="false">D91*(IF($A91&lt;$Q$69,INDEX(Surface_Engine!$D$12:$D$72,$A91+1)+(Surface_Engine!G236*12)*INDEX(Surface_Engine!$F$12:$F$72,$A91+1)-(Surface_Engine!G236*12),1000*12*INDEX(Surface_Engine!$C$12:$C$72,$A91+1)/(1+Assumptions!$B$10)^20+INDEX(Surface_Engine!$D$12:$D$72,$A91+1)))*INDEX(Surface_Engine!$B$12:$B$72,$A91+1)+H92</f>
        <v>44461.8824751283</v>
      </c>
      <c r="I91" s="48" t="n">
        <f aca="false">E91*(IF($A91&lt;$Q$69,INDEX(Surface_Engine!$D$12:$D$72,$A91+1)+(Surface_Engine!G236*12)*INDEX(Surface_Engine!$F$12:$F$72,$A91+1)-(Surface_Engine!G236*12),1000*12*INDEX(Surface_Engine!$C$12:$C$72,$A91+1)/(1+Assumptions!$B$10)^20+INDEX(Surface_Engine!$D$12:$D$72,$A91+1)))*INDEX(Surface_Engine!$B$12:$B$72,$A91+1)+I92</f>
        <v>56674.925756743</v>
      </c>
      <c r="J91" s="48" t="n">
        <f aca="false">B91*(IF($A91&lt;$Q$69,INDEX(Surface_Engine!$D$12:$D$72,$A91+1)*(1+Assumptions!$B$24)+(Surface_Engine!G236*12)*INDEX(Surface_Engine!$F$12:$F$72,$A91+1)-(Surface_Engine!G236*12),1000*12*INDEX(Surface_Engine!$C$12:$C$72,$A91+1)/(1+Assumptions!$B$10)^20+INDEX(Surface_Engine!$D$12:$D$72,$A91+1)*(1+Assumptions!$B$24)))*INDEX(Surface_Engine!$B$12:$B$72,$A91+1)+J92</f>
        <v>50281.6580184243</v>
      </c>
      <c r="K91" s="12" t="n">
        <f aca="false">SQRT((IF(C91&lt;=0,0,MAX(0,(B91/C91)*G91/INDEX(Surface_Engine!$B$12:$B$72,$A91+1)-F91/INDEX(Surface_Engine!$B$12:$B$72,$A91+1))))^2+(MAX(IF(D91&lt;=0,0,MAX(0,(B91/D91)*H91/INDEX(Surface_Engine!$B$12:$B$72,$A91+1)-F91/INDEX(Surface_Engine!$B$12:$B$72,$A91+1))),IF(E91&lt;=0,0,MAX(0,(B91/E91)*I91/INDEX(Surface_Engine!$B$12:$B$72,$A91+1)-F91/INDEX(Surface_Engine!$B$12:$B$72,$A91+1))),IF($A91&lt;$Q$69,MAX(0,-Assumptions!$B$22*(F91/INDEX(Surface_Engine!$B$12:$B$72,$A91+1))),0)))^2+(MAX(0,J91/INDEX(Surface_Engine!$B$12:$B$72,$A91+1)-(F91/INDEX(Surface_Engine!$B$12:$B$72,$A91+1))))^2+2*Assumptions!$B$26*(IF(C91&lt;=0,0,MAX(0,(B91/C91)*G91/INDEX(Surface_Engine!$B$12:$B$72,$A91+1)-F91/INDEX(Surface_Engine!$B$12:$B$72,$A91+1))))*(MAX(IF(D91&lt;=0,0,MAX(0,(B91/D91)*H91/INDEX(Surface_Engine!$B$12:$B$72,$A91+1)-F91/INDEX(Surface_Engine!$B$12:$B$72,$A91+1))),IF(E91&lt;=0,0,MAX(0,(B91/E91)*I91/INDEX(Surface_Engine!$B$12:$B$72,$A91+1)-F91/INDEX(Surface_Engine!$B$12:$B$72,$A91+1))),IF($A91&lt;$Q$69,MAX(0,-Assumptions!$B$22*(F91/INDEX(Surface_Engine!$B$12:$B$72,$A91+1))),0)))+2*Assumptions!$B$27*(IF(C91&lt;=0,0,MAX(0,(B91/C91)*G91/INDEX(Surface_Engine!$B$12:$B$72,$A91+1)-F91/INDEX(Surface_Engine!$B$12:$B$72,$A91+1))))*(MAX(0,J91/INDEX(Surface_Engine!$B$12:$B$72,$A91+1)-(F91/INDEX(Surface_Engine!$B$12:$B$72,$A91+1))))+2*Assumptions!$B$28*(MAX(IF(D91&lt;=0,0,MAX(0,(B91/D91)*H91/INDEX(Surface_Engine!$B$12:$B$72,$A91+1)-F91/INDEX(Surface_Engine!$B$12:$B$72,$A91+1))),IF(E91&lt;=0,0,MAX(0,(B91/E91)*I91/INDEX(Surface_Engine!$B$12:$B$72,$A91+1)-F91/INDEX(Surface_Engine!$B$12:$B$72,$A91+1))),IF($A91&lt;$Q$69,MAX(0,-Assumptions!$B$22*(F91/INDEX(Surface_Engine!$B$12:$B$72,$A91+1))),0)))*(MAX(0,J91/INDEX(Surface_Engine!$B$12:$B$72,$A91+1)-(F91/INDEX(Surface_Engine!$B$12:$B$72,$A91+1)))))</f>
        <v>9987.45234108621</v>
      </c>
      <c r="L91" s="48" t="n">
        <f aca="false">K91*INDEX(Surface_Engine!$B$12:$B$72,$A91+1)+L92</f>
        <v>55137.3172059765</v>
      </c>
      <c r="M91" s="48" t="n">
        <f aca="false">M90+B90*(IF($A90&lt;$Q$69,(Surface_Engine!G236*12)-(Surface_Engine!G236*12)*INDEX(Surface_Engine!$F$12:$F$72,$A90+1)-INDEX(Surface_Engine!$D$12:$D$72,$A90+1),-(1000*12*INDEX(Surface_Engine!$C$12:$C$72,$A90+1)/(1+Assumptions!$B$10)^20+INDEX(Surface_Engine!$D$12:$D$72,$A90+1))))*INDEX(Surface_Engine!$B$12:$B$72,$A90+1)</f>
        <v>52049.8619245327</v>
      </c>
      <c r="N91" s="12" t="n">
        <f aca="false">IF(B91&lt;=0,0,MAX(0,(K91+Assumptions!$B$29*L91/INDEX(Surface_Engine!$B$12:$B$72,$A91+1)-(M91/INDEX(Surface_Engine!$B$12:$B$72,$A91+1)-(F91/INDEX(Surface_Engine!$B$12:$B$72,$A91+1))))/B91))</f>
        <v>19484.0666482706</v>
      </c>
    </row>
    <row r="92" customFormat="false" ht="15" hidden="false" customHeight="true" outlineLevel="0" collapsed="false">
      <c r="A92" s="1" t="n">
        <v>21</v>
      </c>
      <c r="B92" s="32" t="n">
        <f aca="false">INDEX(Surface_Engine!$G$12:$G$72,$A92+1)*IF($A92&lt;$Q$69,INDEX(Surface_Engine!$E$12:$E$72,$A92+1),INDEX(Surface_Engine!$E$12:$E$72,$Q$69+1))</f>
        <v>0.638170657943119</v>
      </c>
      <c r="C92" s="32" t="n">
        <f aca="false">INDEX(Panel_Reserving!$B$8:$B$68,$A92+1)*IF($A92&lt;$Q$69,INDEX(Surface_Engine!$E$12:$E$72,$A92+1),INDEX(Surface_Engine!$E$12:$E$72,$Q$69+1))</f>
        <v>0.665499218366</v>
      </c>
      <c r="D92" s="32" t="n">
        <f aca="false">INDEX(Surface_Engine!$G$12:$G$72,$A92+1)*IF($A92&lt;$Q$69,INDEX(Surface_Engine!$Y$12:$Y$72,$A92+1),INDEX(Surface_Engine!$Y$12:$Y$72,$Q$69+1))</f>
        <v>0.564953958460792</v>
      </c>
      <c r="E92" s="32" t="n">
        <f aca="false">INDEX(Surface_Engine!$G$12:$G$72,$A92+1)*IF($A92&lt;$Q$69,INDEX(Surface_Engine!$Z$12:$Z$72,$A92+1),INDEX(Surface_Engine!$Z$12:$Z$72,$Q$69+1))</f>
        <v>0.720138731635002</v>
      </c>
      <c r="F92" s="48" t="n">
        <f aca="false">B92*(IF($A92&lt;$Q$69,INDEX(Surface_Engine!$D$12:$D$72,$A92+1)+(Surface_Engine!G236*12)*INDEX(Surface_Engine!$F$12:$F$72,$A92+1)-(Surface_Engine!G236*12),1000*12*INDEX(Surface_Engine!$C$12:$C$72,$A92+1)/(1+Assumptions!$B$10)^20+INDEX(Surface_Engine!$D$12:$D$72,$A92+1)))*INDEX(Surface_Engine!$B$12:$B$72,$A92+1)+F93</f>
        <v>45968.0244039831</v>
      </c>
      <c r="G92" s="48" t="n">
        <f aca="false">C92*(IF($A92&lt;$Q$69,INDEX(Surface_Engine!$D$12:$D$72,$A92+1)+(Surface_Engine!G236*12)*INDEX(Surface_Engine!$F$12:$F$72,$A92+1)-(Surface_Engine!G236*12),1000*12*INDEX(Surface_Engine!$C$12:$C$72,$A92+1)/(1+Assumptions!$B$10)^20+INDEX(Surface_Engine!$D$12:$D$72,$A92+1)))*INDEX(Surface_Engine!$B$12:$B$72,$A92+1)+G93</f>
        <v>53227.8821111585</v>
      </c>
      <c r="H92" s="48" t="n">
        <f aca="false">D92*(IF($A92&lt;$Q$69,INDEX(Surface_Engine!$D$12:$D$72,$A92+1)+(Surface_Engine!G236*12)*INDEX(Surface_Engine!$F$12:$F$72,$A92+1)-(Surface_Engine!G236*12),1000*12*INDEX(Surface_Engine!$C$12:$C$72,$A92+1)/(1+Assumptions!$B$10)^20+INDEX(Surface_Engine!$D$12:$D$72,$A92+1)))*INDEX(Surface_Engine!$B$12:$B$72,$A92+1)+H93</f>
        <v>40694.1576307435</v>
      </c>
      <c r="I92" s="48" t="n">
        <f aca="false">E92*(IF($A92&lt;$Q$69,INDEX(Surface_Engine!$D$12:$D$72,$A92+1)+(Surface_Engine!G236*12)*INDEX(Surface_Engine!$F$12:$F$72,$A92+1)-(Surface_Engine!G236*12),1000*12*INDEX(Surface_Engine!$C$12:$C$72,$A92+1)/(1+Assumptions!$B$10)^20+INDEX(Surface_Engine!$D$12:$D$72,$A92+1)))*INDEX(Surface_Engine!$B$12:$B$72,$A92+1)+I93</f>
        <v>51872.2607785609</v>
      </c>
      <c r="J92" s="48" t="n">
        <f aca="false">B92*(IF($A92&lt;$Q$69,INDEX(Surface_Engine!$D$12:$D$72,$A92+1)*(1+Assumptions!$B$24)+(Surface_Engine!G236*12)*INDEX(Surface_Engine!$F$12:$F$72,$A92+1)-(Surface_Engine!G236*12),1000*12*INDEX(Surface_Engine!$C$12:$C$72,$A92+1)/(1+Assumptions!$B$10)^20+INDEX(Surface_Engine!$D$12:$D$72,$A92+1)*(1+Assumptions!$B$24)))*INDEX(Surface_Engine!$B$12:$B$72,$A92+1)+J93</f>
        <v>46020.9321494054</v>
      </c>
      <c r="K92" s="12" t="n">
        <f aca="false">SQRT((IF(C92&lt;=0,0,MAX(0,(B92/C92)*G92/INDEX(Surface_Engine!$B$12:$B$72,$A92+1)-F92/INDEX(Surface_Engine!$B$12:$B$72,$A92+1))))^2+(MAX(IF(D92&lt;=0,0,MAX(0,(B92/D92)*H92/INDEX(Surface_Engine!$B$12:$B$72,$A92+1)-F92/INDEX(Surface_Engine!$B$12:$B$72,$A92+1))),IF(E92&lt;=0,0,MAX(0,(B92/E92)*I92/INDEX(Surface_Engine!$B$12:$B$72,$A92+1)-F92/INDEX(Surface_Engine!$B$12:$B$72,$A92+1))),IF($A92&lt;$Q$69,MAX(0,-Assumptions!$B$22*(F92/INDEX(Surface_Engine!$B$12:$B$72,$A92+1))),0)))^2+(MAX(0,J92/INDEX(Surface_Engine!$B$12:$B$72,$A92+1)-(F92/INDEX(Surface_Engine!$B$12:$B$72,$A92+1))))^2+2*Assumptions!$B$26*(IF(C92&lt;=0,0,MAX(0,(B92/C92)*G92/INDEX(Surface_Engine!$B$12:$B$72,$A92+1)-F92/INDEX(Surface_Engine!$B$12:$B$72,$A92+1))))*(MAX(IF(D92&lt;=0,0,MAX(0,(B92/D92)*H92/INDEX(Surface_Engine!$B$12:$B$72,$A92+1)-F92/INDEX(Surface_Engine!$B$12:$B$72,$A92+1))),IF(E92&lt;=0,0,MAX(0,(B92/E92)*I92/INDEX(Surface_Engine!$B$12:$B$72,$A92+1)-F92/INDEX(Surface_Engine!$B$12:$B$72,$A92+1))),IF($A92&lt;$Q$69,MAX(0,-Assumptions!$B$22*(F92/INDEX(Surface_Engine!$B$12:$B$72,$A92+1))),0)))+2*Assumptions!$B$27*(IF(C92&lt;=0,0,MAX(0,(B92/C92)*G92/INDEX(Surface_Engine!$B$12:$B$72,$A92+1)-F92/INDEX(Surface_Engine!$B$12:$B$72,$A92+1))))*(MAX(0,J92/INDEX(Surface_Engine!$B$12:$B$72,$A92+1)-(F92/INDEX(Surface_Engine!$B$12:$B$72,$A92+1))))+2*Assumptions!$B$28*(MAX(IF(D92&lt;=0,0,MAX(0,(B92/D92)*H92/INDEX(Surface_Engine!$B$12:$B$72,$A92+1)-F92/INDEX(Surface_Engine!$B$12:$B$72,$A92+1))),IF(E92&lt;=0,0,MAX(0,(B92/E92)*I92/INDEX(Surface_Engine!$B$12:$B$72,$A92+1)-F92/INDEX(Surface_Engine!$B$12:$B$72,$A92+1))),IF($A92&lt;$Q$69,MAX(0,-Assumptions!$B$22*(F92/INDEX(Surface_Engine!$B$12:$B$72,$A92+1))),0)))*(MAX(0,J92/INDEX(Surface_Engine!$B$12:$B$72,$A92+1)-(F92/INDEX(Surface_Engine!$B$12:$B$72,$A92+1)))))</f>
        <v>9797.85412047594</v>
      </c>
      <c r="L92" s="48" t="n">
        <f aca="false">K92*INDEX(Surface_Engine!$B$12:$B$72,$A92+1)+L93</f>
        <v>49785.881653484</v>
      </c>
      <c r="M92" s="48" t="n">
        <f aca="false">M91+B91*(IF($A91&lt;$Q$69,(Surface_Engine!G236*12)-(Surface_Engine!G236*12)*INDEX(Surface_Engine!$F$12:$F$72,$A91+1)-INDEX(Surface_Engine!$D$12:$D$72,$A91+1),-(1000*12*INDEX(Surface_Engine!$C$12:$C$72,$A91+1)/(1+Assumptions!$B$10)^20+INDEX(Surface_Engine!$D$12:$D$72,$A91+1))))*INDEX(Surface_Engine!$B$12:$B$72,$A91+1)</f>
        <v>47793.8488337658</v>
      </c>
      <c r="N92" s="12" t="n">
        <f aca="false">IF(B92&lt;=0,0,MAX(0,(K92+Assumptions!$B$29*L92/INDEX(Surface_Engine!$B$12:$B$72,$A92+1)-(M92/INDEX(Surface_Engine!$B$12:$B$72,$A92+1)-(F92/INDEX(Surface_Engine!$B$12:$B$72,$A92+1))))/B92))</f>
        <v>18857.6460832691</v>
      </c>
    </row>
    <row r="93" customFormat="false" ht="15" hidden="false" customHeight="true" outlineLevel="0" collapsed="false">
      <c r="A93" s="1" t="n">
        <v>22</v>
      </c>
      <c r="B93" s="32" t="n">
        <f aca="false">INDEX(Surface_Engine!$G$12:$G$72,$A93+1)*IF($A93&lt;$Q$69,INDEX(Surface_Engine!$E$12:$E$72,$A93+1),INDEX(Surface_Engine!$E$12:$E$72,$Q$69+1))</f>
        <v>0.620204241142573</v>
      </c>
      <c r="C93" s="32" t="n">
        <f aca="false">INDEX(Panel_Reserving!$B$8:$B$68,$A93+1)*IF($A93&lt;$Q$69,INDEX(Surface_Engine!$E$12:$E$72,$A93+1),INDEX(Surface_Engine!$E$12:$E$72,$Q$69+1))</f>
        <v>0.650510580215649</v>
      </c>
      <c r="D93" s="32" t="n">
        <f aca="false">INDEX(Surface_Engine!$G$12:$G$72,$A93+1)*IF($A93&lt;$Q$69,INDEX(Surface_Engine!$Y$12:$Y$72,$A93+1),INDEX(Surface_Engine!$Y$12:$Y$72,$Q$69+1))</f>
        <v>0.549048811202001</v>
      </c>
      <c r="E93" s="32" t="n">
        <f aca="false">INDEX(Surface_Engine!$G$12:$G$72,$A93+1)*IF($A93&lt;$Q$69,INDEX(Surface_Engine!$Z$12:$Z$72,$A93+1),INDEX(Surface_Engine!$Z$12:$Z$72,$Q$69+1))</f>
        <v>0.699864667878339</v>
      </c>
      <c r="F93" s="48" t="n">
        <f aca="false">B93*(IF($A93&lt;$Q$69,INDEX(Surface_Engine!$D$12:$D$72,$A93+1)+(Surface_Engine!G236*12)*INDEX(Surface_Engine!$F$12:$F$72,$A93+1)-(Surface_Engine!G236*12),1000*12*INDEX(Surface_Engine!$C$12:$C$72,$A93+1)/(1+Assumptions!$B$10)^20+INDEX(Surface_Engine!$D$12:$D$72,$A93+1)))*INDEX(Surface_Engine!$B$12:$B$72,$A93+1)+F94</f>
        <v>41866.4022955669</v>
      </c>
      <c r="G93" s="48" t="n">
        <f aca="false">C93*(IF($A93&lt;$Q$69,INDEX(Surface_Engine!$D$12:$D$72,$A93+1)+(Surface_Engine!G236*12)*INDEX(Surface_Engine!$F$12:$F$72,$A93+1)-(Surface_Engine!G236*12),1000*12*INDEX(Surface_Engine!$C$12:$C$72,$A93+1)/(1+Assumptions!$B$10)^20+INDEX(Surface_Engine!$D$12:$D$72,$A93+1)))*INDEX(Surface_Engine!$B$12:$B$72,$A93+1)+G94</f>
        <v>48950.615092989</v>
      </c>
      <c r="H93" s="48" t="n">
        <f aca="false">D93*(IF($A93&lt;$Q$69,INDEX(Surface_Engine!$D$12:$D$72,$A93+1)+(Surface_Engine!G236*12)*INDEX(Surface_Engine!$F$12:$F$72,$A93+1)-(Surface_Engine!G236*12),1000*12*INDEX(Surface_Engine!$C$12:$C$72,$A93+1)/(1+Assumptions!$B$10)^20+INDEX(Surface_Engine!$D$12:$D$72,$A93+1)))*INDEX(Surface_Engine!$B$12:$B$72,$A93+1)+H94</f>
        <v>37063.1106413243</v>
      </c>
      <c r="I93" s="48" t="n">
        <f aca="false">E93*(IF($A93&lt;$Q$69,INDEX(Surface_Engine!$D$12:$D$72,$A93+1)+(Surface_Engine!G236*12)*INDEX(Surface_Engine!$F$12:$F$72,$A93+1)-(Surface_Engine!G236*12),1000*12*INDEX(Surface_Engine!$C$12:$C$72,$A93+1)/(1+Assumptions!$B$10)^20+INDEX(Surface_Engine!$D$12:$D$72,$A93+1)))*INDEX(Surface_Engine!$B$12:$B$72,$A93+1)+I94</f>
        <v>47243.8171075199</v>
      </c>
      <c r="J93" s="48" t="n">
        <f aca="false">B93*(IF($A93&lt;$Q$69,INDEX(Surface_Engine!$D$12:$D$72,$A93+1)*(1+Assumptions!$B$24)+(Surface_Engine!G236*12)*INDEX(Surface_Engine!$F$12:$F$72,$A93+1)-(Surface_Engine!G236*12),1000*12*INDEX(Surface_Engine!$C$12:$C$72,$A93+1)/(1+Assumptions!$B$10)^20+INDEX(Surface_Engine!$D$12:$D$72,$A93+1)*(1+Assumptions!$B$24)))*INDEX(Surface_Engine!$B$12:$B$72,$A93+1)+J94</f>
        <v>41914.7462072318</v>
      </c>
      <c r="K93" s="12" t="n">
        <f aca="false">SQRT((IF(C93&lt;=0,0,MAX(0,(B93/C93)*G93/INDEX(Surface_Engine!$B$12:$B$72,$A93+1)-F93/INDEX(Surface_Engine!$B$12:$B$72,$A93+1))))^2+(MAX(IF(D93&lt;=0,0,MAX(0,(B93/D93)*H93/INDEX(Surface_Engine!$B$12:$B$72,$A93+1)-F93/INDEX(Surface_Engine!$B$12:$B$72,$A93+1))),IF(E93&lt;=0,0,MAX(0,(B93/E93)*I93/INDEX(Surface_Engine!$B$12:$B$72,$A93+1)-F93/INDEX(Surface_Engine!$B$12:$B$72,$A93+1))),IF($A93&lt;$Q$69,MAX(0,-Assumptions!$B$22*(F93/INDEX(Surface_Engine!$B$12:$B$72,$A93+1))),0)))^2+(MAX(0,J93/INDEX(Surface_Engine!$B$12:$B$72,$A93+1)-(F93/INDEX(Surface_Engine!$B$12:$B$72,$A93+1))))^2+2*Assumptions!$B$26*(IF(C93&lt;=0,0,MAX(0,(B93/C93)*G93/INDEX(Surface_Engine!$B$12:$B$72,$A93+1)-F93/INDEX(Surface_Engine!$B$12:$B$72,$A93+1))))*(MAX(IF(D93&lt;=0,0,MAX(0,(B93/D93)*H93/INDEX(Surface_Engine!$B$12:$B$72,$A93+1)-F93/INDEX(Surface_Engine!$B$12:$B$72,$A93+1))),IF(E93&lt;=0,0,MAX(0,(B93/E93)*I93/INDEX(Surface_Engine!$B$12:$B$72,$A93+1)-F93/INDEX(Surface_Engine!$B$12:$B$72,$A93+1))),IF($A93&lt;$Q$69,MAX(0,-Assumptions!$B$22*(F93/INDEX(Surface_Engine!$B$12:$B$72,$A93+1))),0)))+2*Assumptions!$B$27*(IF(C93&lt;=0,0,MAX(0,(B93/C93)*G93/INDEX(Surface_Engine!$B$12:$B$72,$A93+1)-F93/INDEX(Surface_Engine!$B$12:$B$72,$A93+1))))*(MAX(0,J93/INDEX(Surface_Engine!$B$12:$B$72,$A93+1)-(F93/INDEX(Surface_Engine!$B$12:$B$72,$A93+1))))+2*Assumptions!$B$28*(MAX(IF(D93&lt;=0,0,MAX(0,(B93/D93)*H93/INDEX(Surface_Engine!$B$12:$B$72,$A93+1)-F93/INDEX(Surface_Engine!$B$12:$B$72,$A93+1))),IF(E93&lt;=0,0,MAX(0,(B93/E93)*I93/INDEX(Surface_Engine!$B$12:$B$72,$A93+1)-F93/INDEX(Surface_Engine!$B$12:$B$72,$A93+1))),IF($A93&lt;$Q$69,MAX(0,-Assumptions!$B$22*(F93/INDEX(Surface_Engine!$B$12:$B$72,$A93+1))),0)))*(MAX(0,J93/INDEX(Surface_Engine!$B$12:$B$72,$A93+1)-(F93/INDEX(Surface_Engine!$B$12:$B$72,$A93+1)))))</f>
        <v>9570.9163830105</v>
      </c>
      <c r="L93" s="48" t="n">
        <f aca="false">K93*INDEX(Surface_Engine!$B$12:$B$72,$A93+1)+L94</f>
        <v>44698.3288753604</v>
      </c>
      <c r="M93" s="48" t="n">
        <f aca="false">M92+B92*(IF($A92&lt;$Q$69,(Surface_Engine!G236*12)-(Surface_Engine!G236*12)*INDEX(Surface_Engine!$F$12:$F$72,$A92+1)-INDEX(Surface_Engine!$D$12:$D$72,$A92+1),-(1000*12*INDEX(Surface_Engine!$C$12:$C$72,$A92+1)/(1+Assumptions!$B$10)^20+INDEX(Surface_Engine!$D$12:$D$72,$A92+1))))*INDEX(Surface_Engine!$B$12:$B$72,$A92+1)</f>
        <v>43692.2267253497</v>
      </c>
      <c r="N93" s="12" t="n">
        <f aca="false">IF(B93&lt;=0,0,MAX(0,(K93+Assumptions!$B$29*L93/INDEX(Surface_Engine!$B$12:$B$72,$A93+1)-(M93/INDEX(Surface_Engine!$B$12:$B$72,$A93+1)-(F93/INDEX(Surface_Engine!$B$12:$B$72,$A93+1))))/B93))</f>
        <v>18175.001543504</v>
      </c>
    </row>
    <row r="94" customFormat="false" ht="15" hidden="false" customHeight="true" outlineLevel="0" collapsed="false">
      <c r="A94" s="1" t="n">
        <v>23</v>
      </c>
      <c r="B94" s="32" t="n">
        <f aca="false">INDEX(Surface_Engine!$G$12:$G$72,$A94+1)*IF($A94&lt;$Q$69,INDEX(Surface_Engine!$E$12:$E$72,$A94+1),INDEX(Surface_Engine!$E$12:$E$72,$Q$69+1))</f>
        <v>0.600605243120956</v>
      </c>
      <c r="C94" s="32" t="n">
        <f aca="false">INDEX(Panel_Reserving!$B$8:$B$68,$A94+1)*IF($A94&lt;$Q$69,INDEX(Surface_Engine!$E$12:$E$72,$A94+1),INDEX(Surface_Engine!$E$12:$E$72,$Q$69+1))</f>
        <v>0.63406521628044</v>
      </c>
      <c r="D94" s="32" t="n">
        <f aca="false">INDEX(Surface_Engine!$G$12:$G$72,$A94+1)*IF($A94&lt;$Q$69,INDEX(Surface_Engine!$Y$12:$Y$72,$A94+1),INDEX(Surface_Engine!$Y$12:$Y$72,$Q$69+1))</f>
        <v>0.531698387179271</v>
      </c>
      <c r="E94" s="32" t="n">
        <f aca="false">INDEX(Surface_Engine!$G$12:$G$72,$A94+1)*IF($A94&lt;$Q$69,INDEX(Surface_Engine!$Z$12:$Z$72,$A94+1),INDEX(Surface_Engine!$Z$12:$Z$72,$Q$69+1))</f>
        <v>0.677748330499095</v>
      </c>
      <c r="F94" s="48" t="n">
        <f aca="false">B94*(IF($A94&lt;$Q$69,INDEX(Surface_Engine!$D$12:$D$72,$A94+1)+(Surface_Engine!G236*12)*INDEX(Surface_Engine!$F$12:$F$72,$A94+1)-(Surface_Engine!G236*12),1000*12*INDEX(Surface_Engine!$C$12:$C$72,$A94+1)/(1+Assumptions!$B$10)^20+INDEX(Surface_Engine!$D$12:$D$72,$A94+1)))*INDEX(Surface_Engine!$B$12:$B$72,$A94+1)+F95</f>
        <v>37926.0834582953</v>
      </c>
      <c r="G94" s="48" t="n">
        <f aca="false">C94*(IF($A94&lt;$Q$69,INDEX(Surface_Engine!$D$12:$D$72,$A94+1)+(Surface_Engine!G236*12)*INDEX(Surface_Engine!$F$12:$F$72,$A94+1)-(Surface_Engine!G236*12),1000*12*INDEX(Surface_Engine!$C$12:$C$72,$A94+1)/(1+Assumptions!$B$10)^20+INDEX(Surface_Engine!$D$12:$D$72,$A94+1)))*INDEX(Surface_Engine!$B$12:$B$72,$A94+1)+G95</f>
        <v>44817.752201974</v>
      </c>
      <c r="H94" s="48" t="n">
        <f aca="false">D94*(IF($A94&lt;$Q$69,INDEX(Surface_Engine!$D$12:$D$72,$A94+1)+(Surface_Engine!G236*12)*INDEX(Surface_Engine!$F$12:$F$72,$A94+1)-(Surface_Engine!G236*12),1000*12*INDEX(Surface_Engine!$C$12:$C$72,$A94+1)/(1+Assumptions!$B$10)^20+INDEX(Surface_Engine!$D$12:$D$72,$A94+1)))*INDEX(Surface_Engine!$B$12:$B$72,$A94+1)+H95</f>
        <v>33574.8607554879</v>
      </c>
      <c r="I94" s="48" t="n">
        <f aca="false">E94*(IF($A94&lt;$Q$69,INDEX(Surface_Engine!$D$12:$D$72,$A94+1)+(Surface_Engine!G236*12)*INDEX(Surface_Engine!$F$12:$F$72,$A94+1)-(Surface_Engine!G236*12),1000*12*INDEX(Surface_Engine!$C$12:$C$72,$A94+1)/(1+Assumptions!$B$10)^20+INDEX(Surface_Engine!$D$12:$D$72,$A94+1)))*INDEX(Surface_Engine!$B$12:$B$72,$A94+1)+I95</f>
        <v>42797.3948623228</v>
      </c>
      <c r="J94" s="48" t="n">
        <f aca="false">B94*(IF($A94&lt;$Q$69,INDEX(Surface_Engine!$D$12:$D$72,$A94+1)*(1+Assumptions!$B$24)+(Surface_Engine!G236*12)*INDEX(Surface_Engine!$F$12:$F$72,$A94+1)-(Surface_Engine!G236*12),1000*12*INDEX(Surface_Engine!$C$12:$C$72,$A94+1)/(1+Assumptions!$B$10)^20+INDEX(Surface_Engine!$D$12:$D$72,$A94+1)*(1+Assumptions!$B$24)))*INDEX(Surface_Engine!$B$12:$B$72,$A94+1)+J95</f>
        <v>37970.0217651037</v>
      </c>
      <c r="K94" s="12" t="n">
        <f aca="false">SQRT((IF(C94&lt;=0,0,MAX(0,(B94/C94)*G94/INDEX(Surface_Engine!$B$12:$B$72,$A94+1)-F94/INDEX(Surface_Engine!$B$12:$B$72,$A94+1))))^2+(MAX(IF(D94&lt;=0,0,MAX(0,(B94/D94)*H94/INDEX(Surface_Engine!$B$12:$B$72,$A94+1)-F94/INDEX(Surface_Engine!$B$12:$B$72,$A94+1))),IF(E94&lt;=0,0,MAX(0,(B94/E94)*I94/INDEX(Surface_Engine!$B$12:$B$72,$A94+1)-F94/INDEX(Surface_Engine!$B$12:$B$72,$A94+1))),IF($A94&lt;$Q$69,MAX(0,-Assumptions!$B$22*(F94/INDEX(Surface_Engine!$B$12:$B$72,$A94+1))),0)))^2+(MAX(0,J94/INDEX(Surface_Engine!$B$12:$B$72,$A94+1)-(F94/INDEX(Surface_Engine!$B$12:$B$72,$A94+1))))^2+2*Assumptions!$B$26*(IF(C94&lt;=0,0,MAX(0,(B94/C94)*G94/INDEX(Surface_Engine!$B$12:$B$72,$A94+1)-F94/INDEX(Surface_Engine!$B$12:$B$72,$A94+1))))*(MAX(IF(D94&lt;=0,0,MAX(0,(B94/D94)*H94/INDEX(Surface_Engine!$B$12:$B$72,$A94+1)-F94/INDEX(Surface_Engine!$B$12:$B$72,$A94+1))),IF(E94&lt;=0,0,MAX(0,(B94/E94)*I94/INDEX(Surface_Engine!$B$12:$B$72,$A94+1)-F94/INDEX(Surface_Engine!$B$12:$B$72,$A94+1))),IF($A94&lt;$Q$69,MAX(0,-Assumptions!$B$22*(F94/INDEX(Surface_Engine!$B$12:$B$72,$A94+1))),0)))+2*Assumptions!$B$27*(IF(C94&lt;=0,0,MAX(0,(B94/C94)*G94/INDEX(Surface_Engine!$B$12:$B$72,$A94+1)-F94/INDEX(Surface_Engine!$B$12:$B$72,$A94+1))))*(MAX(0,J94/INDEX(Surface_Engine!$B$12:$B$72,$A94+1)-(F94/INDEX(Surface_Engine!$B$12:$B$72,$A94+1))))+2*Assumptions!$B$28*(MAX(IF(D94&lt;=0,0,MAX(0,(B94/D94)*H94/INDEX(Surface_Engine!$B$12:$B$72,$A94+1)-F94/INDEX(Surface_Engine!$B$12:$B$72,$A94+1))),IF(E94&lt;=0,0,MAX(0,(B94/E94)*I94/INDEX(Surface_Engine!$B$12:$B$72,$A94+1)-F94/INDEX(Surface_Engine!$B$12:$B$72,$A94+1))),IF($A94&lt;$Q$69,MAX(0,-Assumptions!$B$22*(F94/INDEX(Surface_Engine!$B$12:$B$72,$A94+1))),0)))*(MAX(0,J94/INDEX(Surface_Engine!$B$12:$B$72,$A94+1)-(F94/INDEX(Surface_Engine!$B$12:$B$72,$A94+1)))))</f>
        <v>9306.09368720432</v>
      </c>
      <c r="L94" s="48" t="n">
        <f aca="false">K94*INDEX(Surface_Engine!$B$12:$B$72,$A94+1)+L95</f>
        <v>39882.3403726187</v>
      </c>
      <c r="M94" s="48" t="n">
        <f aca="false">M93+B93*(IF($A93&lt;$Q$69,(Surface_Engine!G236*12)-(Surface_Engine!G236*12)*INDEX(Surface_Engine!$F$12:$F$72,$A93+1)-INDEX(Surface_Engine!$D$12:$D$72,$A93+1),-(1000*12*INDEX(Surface_Engine!$C$12:$C$72,$A93+1)/(1+Assumptions!$B$10)^20+INDEX(Surface_Engine!$D$12:$D$72,$A93+1))))*INDEX(Surface_Engine!$B$12:$B$72,$A93+1)</f>
        <v>39751.907888078</v>
      </c>
      <c r="N94" s="12" t="n">
        <f aca="false">IF(B94&lt;=0,0,MAX(0,(K94+Assumptions!$B$29*L94/INDEX(Surface_Engine!$B$12:$B$72,$A94+1)-(M94/INDEX(Surface_Engine!$B$12:$B$72,$A94+1)-(F94/INDEX(Surface_Engine!$B$12:$B$72,$A94+1))))/B94))</f>
        <v>17430.9718735972</v>
      </c>
    </row>
    <row r="95" customFormat="false" ht="15" hidden="false" customHeight="true" outlineLevel="0" collapsed="false">
      <c r="A95" s="1" t="n">
        <v>24</v>
      </c>
      <c r="B95" s="32" t="n">
        <f aca="false">INDEX(Surface_Engine!$G$12:$G$72,$A95+1)*IF($A95&lt;$Q$69,INDEX(Surface_Engine!$E$12:$E$72,$A95+1),INDEX(Surface_Engine!$E$12:$E$72,$Q$69+1))</f>
        <v>0.579304445274726</v>
      </c>
      <c r="C95" s="32" t="n">
        <f aca="false">INDEX(Panel_Reserving!$B$8:$B$68,$A95+1)*IF($A95&lt;$Q$69,INDEX(Surface_Engine!$E$12:$E$72,$A95+1),INDEX(Surface_Engine!$E$12:$E$72,$Q$69+1))</f>
        <v>0.616075236808222</v>
      </c>
      <c r="D95" s="32" t="n">
        <f aca="false">INDEX(Surface_Engine!$G$12:$G$72,$A95+1)*IF($A95&lt;$Q$69,INDEX(Surface_Engine!$Y$12:$Y$72,$A95+1),INDEX(Surface_Engine!$Y$12:$Y$72,$Q$69+1))</f>
        <v>0.512841409172185</v>
      </c>
      <c r="E95" s="32" t="n">
        <f aca="false">INDEX(Surface_Engine!$G$12:$G$72,$A95+1)*IF($A95&lt;$Q$69,INDEX(Surface_Engine!$Z$12:$Z$72,$A95+1),INDEX(Surface_Engine!$Z$12:$Z$72,$Q$69+1))</f>
        <v>0.65371161030071</v>
      </c>
      <c r="F95" s="48" t="n">
        <f aca="false">B95*(IF($A95&lt;$Q$69,INDEX(Surface_Engine!$D$12:$D$72,$A95+1)+(Surface_Engine!G236*12)*INDEX(Surface_Engine!$F$12:$F$72,$A95+1)-(Surface_Engine!G236*12),1000*12*INDEX(Surface_Engine!$C$12:$C$72,$A95+1)/(1+Assumptions!$B$10)^20+INDEX(Surface_Engine!$D$12:$D$72,$A95+1)))*INDEX(Surface_Engine!$B$12:$B$72,$A95+1)+F96</f>
        <v>34154.2260260414</v>
      </c>
      <c r="G95" s="48" t="n">
        <f aca="false">C95*(IF($A95&lt;$Q$69,INDEX(Surface_Engine!$D$12:$D$72,$A95+1)+(Surface_Engine!G236*12)*INDEX(Surface_Engine!$F$12:$F$72,$A95+1)-(Surface_Engine!G236*12),1000*12*INDEX(Surface_Engine!$C$12:$C$72,$A95+1)/(1+Assumptions!$B$10)^20+INDEX(Surface_Engine!$D$12:$D$72,$A95+1)))*INDEX(Surface_Engine!$B$12:$B$72,$A95+1)+G96</f>
        <v>40835.7629903357</v>
      </c>
      <c r="H95" s="48" t="n">
        <f aca="false">D95*(IF($A95&lt;$Q$69,INDEX(Surface_Engine!$D$12:$D$72,$A95+1)+(Surface_Engine!G236*12)*INDEX(Surface_Engine!$F$12:$F$72,$A95+1)-(Surface_Engine!G236*12),1000*12*INDEX(Surface_Engine!$C$12:$C$72,$A95+1)/(1+Assumptions!$B$10)^20+INDEX(Surface_Engine!$D$12:$D$72,$A95+1)))*INDEX(Surface_Engine!$B$12:$B$72,$A95+1)+H96</f>
        <v>30235.7448613636</v>
      </c>
      <c r="I95" s="48" t="n">
        <f aca="false">E95*(IF($A95&lt;$Q$69,INDEX(Surface_Engine!$D$12:$D$72,$A95+1)+(Surface_Engine!G236*12)*INDEX(Surface_Engine!$F$12:$F$72,$A95+1)-(Surface_Engine!G236*12),1000*12*INDEX(Surface_Engine!$C$12:$C$72,$A95+1)/(1+Assumptions!$B$10)^20+INDEX(Surface_Engine!$D$12:$D$72,$A95+1)))*INDEX(Surface_Engine!$B$12:$B$72,$A95+1)+I96</f>
        <v>38541.0715836467</v>
      </c>
      <c r="J95" s="48" t="n">
        <f aca="false">B95*(IF($A95&lt;$Q$69,INDEX(Surface_Engine!$D$12:$D$72,$A95+1)*(1+Assumptions!$B$24)+(Surface_Engine!G236*12)*INDEX(Surface_Engine!$F$12:$F$72,$A95+1)-(Surface_Engine!G236*12),1000*12*INDEX(Surface_Engine!$C$12:$C$72,$A95+1)/(1+Assumptions!$B$10)^20+INDEX(Surface_Engine!$D$12:$D$72,$A95+1)*(1+Assumptions!$B$24)))*INDEX(Surface_Engine!$B$12:$B$72,$A95+1)+J96</f>
        <v>34193.9266413449</v>
      </c>
      <c r="K95" s="12" t="n">
        <f aca="false">SQRT((IF(C95&lt;=0,0,MAX(0,(B95/C95)*G95/INDEX(Surface_Engine!$B$12:$B$72,$A95+1)-F95/INDEX(Surface_Engine!$B$12:$B$72,$A95+1))))^2+(MAX(IF(D95&lt;=0,0,MAX(0,(B95/D95)*H95/INDEX(Surface_Engine!$B$12:$B$72,$A95+1)-F95/INDEX(Surface_Engine!$B$12:$B$72,$A95+1))),IF(E95&lt;=0,0,MAX(0,(B95/E95)*I95/INDEX(Surface_Engine!$B$12:$B$72,$A95+1)-F95/INDEX(Surface_Engine!$B$12:$B$72,$A95+1))),IF($A95&lt;$Q$69,MAX(0,-Assumptions!$B$22*(F95/INDEX(Surface_Engine!$B$12:$B$72,$A95+1))),0)))^2+(MAX(0,J95/INDEX(Surface_Engine!$B$12:$B$72,$A95+1)-(F95/INDEX(Surface_Engine!$B$12:$B$72,$A95+1))))^2+2*Assumptions!$B$26*(IF(C95&lt;=0,0,MAX(0,(B95/C95)*G95/INDEX(Surface_Engine!$B$12:$B$72,$A95+1)-F95/INDEX(Surface_Engine!$B$12:$B$72,$A95+1))))*(MAX(IF(D95&lt;=0,0,MAX(0,(B95/D95)*H95/INDEX(Surface_Engine!$B$12:$B$72,$A95+1)-F95/INDEX(Surface_Engine!$B$12:$B$72,$A95+1))),IF(E95&lt;=0,0,MAX(0,(B95/E95)*I95/INDEX(Surface_Engine!$B$12:$B$72,$A95+1)-F95/INDEX(Surface_Engine!$B$12:$B$72,$A95+1))),IF($A95&lt;$Q$69,MAX(0,-Assumptions!$B$22*(F95/INDEX(Surface_Engine!$B$12:$B$72,$A95+1))),0)))+2*Assumptions!$B$27*(IF(C95&lt;=0,0,MAX(0,(B95/C95)*G95/INDEX(Surface_Engine!$B$12:$B$72,$A95+1)-F95/INDEX(Surface_Engine!$B$12:$B$72,$A95+1))))*(MAX(0,J95/INDEX(Surface_Engine!$B$12:$B$72,$A95+1)-(F95/INDEX(Surface_Engine!$B$12:$B$72,$A95+1))))+2*Assumptions!$B$28*(MAX(IF(D95&lt;=0,0,MAX(0,(B95/D95)*H95/INDEX(Surface_Engine!$B$12:$B$72,$A95+1)-F95/INDEX(Surface_Engine!$B$12:$B$72,$A95+1))),IF(E95&lt;=0,0,MAX(0,(B95/E95)*I95/INDEX(Surface_Engine!$B$12:$B$72,$A95+1)-F95/INDEX(Surface_Engine!$B$12:$B$72,$A95+1))),IF($A95&lt;$Q$69,MAX(0,-Assumptions!$B$22*(F95/INDEX(Surface_Engine!$B$12:$B$72,$A95+1))),0)))*(MAX(0,J95/INDEX(Surface_Engine!$B$12:$B$72,$A95+1)-(F95/INDEX(Surface_Engine!$B$12:$B$72,$A95+1)))))</f>
        <v>9005.70423220779</v>
      </c>
      <c r="L95" s="48" t="n">
        <f aca="false">K95*INDEX(Surface_Engine!$B$12:$B$72,$A95+1)+L96</f>
        <v>35344.5452639989</v>
      </c>
      <c r="M95" s="48" t="n">
        <f aca="false">M94+B94*(IF($A94&lt;$Q$69,(Surface_Engine!G236*12)-(Surface_Engine!G236*12)*INDEX(Surface_Engine!$F$12:$F$72,$A94+1)-INDEX(Surface_Engine!$D$12:$D$72,$A94+1),-(1000*12*INDEX(Surface_Engine!$C$12:$C$72,$A94+1)/(1+Assumptions!$B$10)^20+INDEX(Surface_Engine!$D$12:$D$72,$A94+1))))*INDEX(Surface_Engine!$B$12:$B$72,$A94+1)</f>
        <v>35980.0504558241</v>
      </c>
      <c r="N95" s="12" t="n">
        <f aca="false">IF(B95&lt;=0,0,MAX(0,(K95+Assumptions!$B$29*L95/INDEX(Surface_Engine!$B$12:$B$72,$A95+1)-(M95/INDEX(Surface_Engine!$B$12:$B$72,$A95+1)-(F95/INDEX(Surface_Engine!$B$12:$B$72,$A95+1))))/B95))</f>
        <v>16623.1221995564</v>
      </c>
    </row>
    <row r="96" customFormat="false" ht="15" hidden="false" customHeight="true" outlineLevel="0" collapsed="false">
      <c r="A96" s="1" t="n">
        <v>25</v>
      </c>
      <c r="B96" s="32" t="n">
        <f aca="false">INDEX(Surface_Engine!$G$12:$G$72,$A96+1)*IF($A96&lt;$Q$69,INDEX(Surface_Engine!$E$12:$E$72,$A96+1),INDEX(Surface_Engine!$E$12:$E$72,$Q$69+1))</f>
        <v>0.55625756683937</v>
      </c>
      <c r="C96" s="32" t="n">
        <f aca="false">INDEX(Panel_Reserving!$B$8:$B$68,$A96+1)*IF($A96&lt;$Q$69,INDEX(Surface_Engine!$E$12:$E$72,$A96+1),INDEX(Surface_Engine!$E$12:$E$72,$Q$69+1))</f>
        <v>0.596467431336584</v>
      </c>
      <c r="D96" s="32" t="n">
        <f aca="false">INDEX(Surface_Engine!$G$12:$G$72,$A96+1)*IF($A96&lt;$Q$69,INDEX(Surface_Engine!$Y$12:$Y$72,$A96+1),INDEX(Surface_Engine!$Y$12:$Y$72,$Q$69+1))</f>
        <v>0.492438676705317</v>
      </c>
      <c r="E96" s="32" t="n">
        <f aca="false">INDEX(Surface_Engine!$G$12:$G$72,$A96+1)*IF($A96&lt;$Q$69,INDEX(Surface_Engine!$Z$12:$Z$72,$A96+1),INDEX(Surface_Engine!$Z$12:$Z$72,$Q$69+1))</f>
        <v>0.627704538997751</v>
      </c>
      <c r="F96" s="48" t="n">
        <f aca="false">B96*(IF($A96&lt;$Q$69,INDEX(Surface_Engine!$D$12:$D$72,$A96+1)+(Surface_Engine!G236*12)*INDEX(Surface_Engine!$F$12:$F$72,$A96+1)-(Surface_Engine!G236*12),1000*12*INDEX(Surface_Engine!$C$12:$C$72,$A96+1)/(1+Assumptions!$B$10)^20+INDEX(Surface_Engine!$D$12:$D$72,$A96+1)))*INDEX(Surface_Engine!$B$12:$B$72,$A96+1)+F97</f>
        <v>30558.942039083</v>
      </c>
      <c r="G96" s="48" t="n">
        <f aca="false">C96*(IF($A96&lt;$Q$69,INDEX(Surface_Engine!$D$12:$D$72,$A96+1)+(Surface_Engine!G236*12)*INDEX(Surface_Engine!$F$12:$F$72,$A96+1)-(Surface_Engine!G236*12),1000*12*INDEX(Surface_Engine!$C$12:$C$72,$A96+1)/(1+Assumptions!$B$10)^20+INDEX(Surface_Engine!$D$12:$D$72,$A96+1)))*INDEX(Surface_Engine!$B$12:$B$72,$A96+1)+G97</f>
        <v>37012.2718161781</v>
      </c>
      <c r="H96" s="48" t="n">
        <f aca="false">D96*(IF($A96&lt;$Q$69,INDEX(Surface_Engine!$D$12:$D$72,$A96+1)+(Surface_Engine!G236*12)*INDEX(Surface_Engine!$F$12:$F$72,$A96+1)-(Surface_Engine!G236*12),1000*12*INDEX(Surface_Engine!$C$12:$C$72,$A96+1)/(1+Assumptions!$B$10)^20+INDEX(Surface_Engine!$D$12:$D$72,$A96+1)))*INDEX(Surface_Engine!$B$12:$B$72,$A96+1)+H97</f>
        <v>27052.9443127306</v>
      </c>
      <c r="I96" s="48" t="n">
        <f aca="false">E96*(IF($A96&lt;$Q$69,INDEX(Surface_Engine!$D$12:$D$72,$A96+1)+(Surface_Engine!G236*12)*INDEX(Surface_Engine!$F$12:$F$72,$A96+1)-(Surface_Engine!G236*12),1000*12*INDEX(Surface_Engine!$C$12:$C$72,$A96+1)/(1+Assumptions!$B$10)^20+INDEX(Surface_Engine!$D$12:$D$72,$A96+1)))*INDEX(Surface_Engine!$B$12:$B$72,$A96+1)+I97</f>
        <v>34484.0012404555</v>
      </c>
      <c r="J96" s="48" t="n">
        <f aca="false">B96*(IF($A96&lt;$Q$69,INDEX(Surface_Engine!$D$12:$D$72,$A96+1)*(1+Assumptions!$B$24)+(Surface_Engine!G236*12)*INDEX(Surface_Engine!$F$12:$F$72,$A96+1)-(Surface_Engine!G236*12),1000*12*INDEX(Surface_Engine!$C$12:$C$72,$A96+1)/(1+Assumptions!$B$10)^20+INDEX(Surface_Engine!$D$12:$D$72,$A96+1)*(1+Assumptions!$B$24)))*INDEX(Surface_Engine!$B$12:$B$72,$A96+1)+J97</f>
        <v>30594.5837665951</v>
      </c>
      <c r="K96" s="12" t="n">
        <f aca="false">SQRT((IF(C96&lt;=0,0,MAX(0,(B96/C96)*G96/INDEX(Surface_Engine!$B$12:$B$72,$A96+1)-F96/INDEX(Surface_Engine!$B$12:$B$72,$A96+1))))^2+(MAX(IF(D96&lt;=0,0,MAX(0,(B96/D96)*H96/INDEX(Surface_Engine!$B$12:$B$72,$A96+1)-F96/INDEX(Surface_Engine!$B$12:$B$72,$A96+1))),IF(E96&lt;=0,0,MAX(0,(B96/E96)*I96/INDEX(Surface_Engine!$B$12:$B$72,$A96+1)-F96/INDEX(Surface_Engine!$B$12:$B$72,$A96+1))),IF($A96&lt;$Q$69,MAX(0,-Assumptions!$B$22*(F96/INDEX(Surface_Engine!$B$12:$B$72,$A96+1))),0)))^2+(MAX(0,J96/INDEX(Surface_Engine!$B$12:$B$72,$A96+1)-(F96/INDEX(Surface_Engine!$B$12:$B$72,$A96+1))))^2+2*Assumptions!$B$26*(IF(C96&lt;=0,0,MAX(0,(B96/C96)*G96/INDEX(Surface_Engine!$B$12:$B$72,$A96+1)-F96/INDEX(Surface_Engine!$B$12:$B$72,$A96+1))))*(MAX(IF(D96&lt;=0,0,MAX(0,(B96/D96)*H96/INDEX(Surface_Engine!$B$12:$B$72,$A96+1)-F96/INDEX(Surface_Engine!$B$12:$B$72,$A96+1))),IF(E96&lt;=0,0,MAX(0,(B96/E96)*I96/INDEX(Surface_Engine!$B$12:$B$72,$A96+1)-F96/INDEX(Surface_Engine!$B$12:$B$72,$A96+1))),IF($A96&lt;$Q$69,MAX(0,-Assumptions!$B$22*(F96/INDEX(Surface_Engine!$B$12:$B$72,$A96+1))),0)))+2*Assumptions!$B$27*(IF(C96&lt;=0,0,MAX(0,(B96/C96)*G96/INDEX(Surface_Engine!$B$12:$B$72,$A96+1)-F96/INDEX(Surface_Engine!$B$12:$B$72,$A96+1))))*(MAX(0,J96/INDEX(Surface_Engine!$B$12:$B$72,$A96+1)-(F96/INDEX(Surface_Engine!$B$12:$B$72,$A96+1))))+2*Assumptions!$B$28*(MAX(IF(D96&lt;=0,0,MAX(0,(B96/D96)*H96/INDEX(Surface_Engine!$B$12:$B$72,$A96+1)-F96/INDEX(Surface_Engine!$B$12:$B$72,$A96+1))),IF(E96&lt;=0,0,MAX(0,(B96/E96)*I96/INDEX(Surface_Engine!$B$12:$B$72,$A96+1)-F96/INDEX(Surface_Engine!$B$12:$B$72,$A96+1))),IF($A96&lt;$Q$69,MAX(0,-Assumptions!$B$22*(F96/INDEX(Surface_Engine!$B$12:$B$72,$A96+1))),0)))*(MAX(0,J96/INDEX(Surface_Engine!$B$12:$B$72,$A96+1)-(F96/INDEX(Surface_Engine!$B$12:$B$72,$A96+1)))))</f>
        <v>8666.69708002557</v>
      </c>
      <c r="L96" s="48" t="n">
        <f aca="false">K96*INDEX(Surface_Engine!$B$12:$B$72,$A96+1)+L97</f>
        <v>31090.2145989074</v>
      </c>
      <c r="M96" s="48" t="n">
        <f aca="false">M95+B95*(IF($A95&lt;$Q$69,(Surface_Engine!G236*12)-(Surface_Engine!G236*12)*INDEX(Surface_Engine!$F$12:$F$72,$A95+1)-INDEX(Surface_Engine!$D$12:$D$72,$A95+1),-(1000*12*INDEX(Surface_Engine!$C$12:$C$72,$A95+1)/(1+Assumptions!$B$10)^20+INDEX(Surface_Engine!$D$12:$D$72,$A95+1))))*INDEX(Surface_Engine!$B$12:$B$72,$A95+1)</f>
        <v>32384.7664688657</v>
      </c>
      <c r="N96" s="12" t="n">
        <f aca="false">IF(B96&lt;=0,0,MAX(0,(K96+Assumptions!$B$29*L96/INDEX(Surface_Engine!$B$12:$B$72,$A96+1)-(M96/INDEX(Surface_Engine!$B$12:$B$72,$A96+1)-(F96/INDEX(Surface_Engine!$B$12:$B$72,$A96+1))))/B96))</f>
        <v>15735.8398911019</v>
      </c>
    </row>
    <row r="97" customFormat="false" ht="15" hidden="false" customHeight="true" outlineLevel="0" collapsed="false">
      <c r="A97" s="1" t="n">
        <v>26</v>
      </c>
      <c r="B97" s="32" t="n">
        <f aca="false">INDEX(Surface_Engine!$G$12:$G$72,$A97+1)*IF($A97&lt;$Q$69,INDEX(Surface_Engine!$E$12:$E$72,$A97+1),INDEX(Surface_Engine!$E$12:$E$72,$Q$69+1))</f>
        <v>0.530635939184628</v>
      </c>
      <c r="C97" s="32" t="n">
        <f aca="false">INDEX(Panel_Reserving!$B$8:$B$68,$A97+1)*IF($A97&lt;$Q$69,INDEX(Surface_Engine!$E$12:$E$72,$A97+1),INDEX(Surface_Engine!$E$12:$E$72,$Q$69+1))</f>
        <v>0.574488452755535</v>
      </c>
      <c r="D97" s="32" t="n">
        <f aca="false">INDEX(Surface_Engine!$G$12:$G$72,$A97+1)*IF($A97&lt;$Q$69,INDEX(Surface_Engine!$Y$12:$Y$72,$A97+1),INDEX(Surface_Engine!$Y$12:$Y$72,$Q$69+1))</f>
        <v>0.469756593495146</v>
      </c>
      <c r="E97" s="32" t="n">
        <f aca="false">INDEX(Surface_Engine!$G$12:$G$72,$A97+1)*IF($A97&lt;$Q$69,INDEX(Surface_Engine!$Z$12:$Z$72,$A97+1),INDEX(Surface_Engine!$Z$12:$Z$72,$Q$69+1))</f>
        <v>0.598792011898526</v>
      </c>
      <c r="F97" s="48" t="n">
        <f aca="false">B97*(IF($A97&lt;$Q$69,INDEX(Surface_Engine!$D$12:$D$72,$A97+1)+(Surface_Engine!G236*12)*INDEX(Surface_Engine!$F$12:$F$72,$A97+1)-(Surface_Engine!G236*12),1000*12*INDEX(Surface_Engine!$C$12:$C$72,$A97+1)/(1+Assumptions!$B$10)^20+INDEX(Surface_Engine!$D$12:$D$72,$A97+1)))*INDEX(Surface_Engine!$B$12:$B$72,$A97+1)+F98</f>
        <v>27146.6124254227</v>
      </c>
      <c r="G97" s="48" t="n">
        <f aca="false">C97*(IF($A97&lt;$Q$69,INDEX(Surface_Engine!$D$12:$D$72,$A97+1)+(Surface_Engine!G236*12)*INDEX(Surface_Engine!$F$12:$F$72,$A97+1)-(Surface_Engine!G236*12),1000*12*INDEX(Surface_Engine!$C$12:$C$72,$A97+1)/(1+Assumptions!$B$10)^20+INDEX(Surface_Engine!$D$12:$D$72,$A97+1)))*INDEX(Surface_Engine!$B$12:$B$72,$A97+1)+G98</f>
        <v>33353.2771330164</v>
      </c>
      <c r="H97" s="48" t="n">
        <f aca="false">D97*(IF($A97&lt;$Q$69,INDEX(Surface_Engine!$D$12:$D$72,$A97+1)+(Surface_Engine!G236*12)*INDEX(Surface_Engine!$F$12:$F$72,$A97+1)-(Surface_Engine!G236*12),1000*12*INDEX(Surface_Engine!$C$12:$C$72,$A97+1)/(1+Assumptions!$B$10)^20+INDEX(Surface_Engine!$D$12:$D$72,$A97+1)))*INDEX(Surface_Engine!$B$12:$B$72,$A97+1)+H98</f>
        <v>24032.107959922</v>
      </c>
      <c r="I97" s="48" t="n">
        <f aca="false">E97*(IF($A97&lt;$Q$69,INDEX(Surface_Engine!$D$12:$D$72,$A97+1)+(Surface_Engine!G236*12)*INDEX(Surface_Engine!$F$12:$F$72,$A97+1)-(Surface_Engine!G236*12),1000*12*INDEX(Surface_Engine!$C$12:$C$72,$A97+1)/(1+Assumptions!$B$10)^20+INDEX(Surface_Engine!$D$12:$D$72,$A97+1)))*INDEX(Surface_Engine!$B$12:$B$72,$A97+1)+I98</f>
        <v>30633.3843414866</v>
      </c>
      <c r="J97" s="48" t="n">
        <f aca="false">B97*(IF($A97&lt;$Q$69,INDEX(Surface_Engine!$D$12:$D$72,$A97+1)*(1+Assumptions!$B$24)+(Surface_Engine!G236*12)*INDEX(Surface_Engine!$F$12:$F$72,$A97+1)-(Surface_Engine!G236*12),1000*12*INDEX(Surface_Engine!$C$12:$C$72,$A97+1)/(1+Assumptions!$B$10)^20+INDEX(Surface_Engine!$D$12:$D$72,$A97+1)*(1+Assumptions!$B$24)))*INDEX(Surface_Engine!$B$12:$B$72,$A97+1)+J98</f>
        <v>27178.3831412681</v>
      </c>
      <c r="K97" s="12" t="n">
        <f aca="false">SQRT((IF(C97&lt;=0,0,MAX(0,(B97/C97)*G97/INDEX(Surface_Engine!$B$12:$B$72,$A97+1)-F97/INDEX(Surface_Engine!$B$12:$B$72,$A97+1))))^2+(MAX(IF(D97&lt;=0,0,MAX(0,(B97/D97)*H97/INDEX(Surface_Engine!$B$12:$B$72,$A97+1)-F97/INDEX(Surface_Engine!$B$12:$B$72,$A97+1))),IF(E97&lt;=0,0,MAX(0,(B97/E97)*I97/INDEX(Surface_Engine!$B$12:$B$72,$A97+1)-F97/INDEX(Surface_Engine!$B$12:$B$72,$A97+1))),IF($A97&lt;$Q$69,MAX(0,-Assumptions!$B$22*(F97/INDEX(Surface_Engine!$B$12:$B$72,$A97+1))),0)))^2+(MAX(0,J97/INDEX(Surface_Engine!$B$12:$B$72,$A97+1)-(F97/INDEX(Surface_Engine!$B$12:$B$72,$A97+1))))^2+2*Assumptions!$B$26*(IF(C97&lt;=0,0,MAX(0,(B97/C97)*G97/INDEX(Surface_Engine!$B$12:$B$72,$A97+1)-F97/INDEX(Surface_Engine!$B$12:$B$72,$A97+1))))*(MAX(IF(D97&lt;=0,0,MAX(0,(B97/D97)*H97/INDEX(Surface_Engine!$B$12:$B$72,$A97+1)-F97/INDEX(Surface_Engine!$B$12:$B$72,$A97+1))),IF(E97&lt;=0,0,MAX(0,(B97/E97)*I97/INDEX(Surface_Engine!$B$12:$B$72,$A97+1)-F97/INDEX(Surface_Engine!$B$12:$B$72,$A97+1))),IF($A97&lt;$Q$69,MAX(0,-Assumptions!$B$22*(F97/INDEX(Surface_Engine!$B$12:$B$72,$A97+1))),0)))+2*Assumptions!$B$27*(IF(C97&lt;=0,0,MAX(0,(B97/C97)*G97/INDEX(Surface_Engine!$B$12:$B$72,$A97+1)-F97/INDEX(Surface_Engine!$B$12:$B$72,$A97+1))))*(MAX(0,J97/INDEX(Surface_Engine!$B$12:$B$72,$A97+1)-(F97/INDEX(Surface_Engine!$B$12:$B$72,$A97+1))))+2*Assumptions!$B$28*(MAX(IF(D97&lt;=0,0,MAX(0,(B97/D97)*H97/INDEX(Surface_Engine!$B$12:$B$72,$A97+1)-F97/INDEX(Surface_Engine!$B$12:$B$72,$A97+1))),IF(E97&lt;=0,0,MAX(0,(B97/E97)*I97/INDEX(Surface_Engine!$B$12:$B$72,$A97+1)-F97/INDEX(Surface_Engine!$B$12:$B$72,$A97+1))),IF($A97&lt;$Q$69,MAX(0,-Assumptions!$B$22*(F97/INDEX(Surface_Engine!$B$12:$B$72,$A97+1))),0)))*(MAX(0,J97/INDEX(Surface_Engine!$B$12:$B$72,$A97+1)-(F97/INDEX(Surface_Engine!$B$12:$B$72,$A97+1)))))</f>
        <v>8273.2557566563</v>
      </c>
      <c r="L97" s="48" t="n">
        <f aca="false">K97*INDEX(Surface_Engine!$B$12:$B$72,$A97+1)+L98</f>
        <v>27122.9453265303</v>
      </c>
      <c r="M97" s="48" t="n">
        <f aca="false">M96+B96*(IF($A96&lt;$Q$69,(Surface_Engine!G236*12)-(Surface_Engine!G236*12)*INDEX(Surface_Engine!$F$12:$F$72,$A96+1)-INDEX(Surface_Engine!$D$12:$D$72,$A96+1),-(1000*12*INDEX(Surface_Engine!$C$12:$C$72,$A96+1)/(1+Assumptions!$B$10)^20+INDEX(Surface_Engine!$D$12:$D$72,$A96+1))))*INDEX(Surface_Engine!$B$12:$B$72,$A96+1)</f>
        <v>28972.4368552055</v>
      </c>
      <c r="N97" s="12" t="n">
        <f aca="false">IF(B97&lt;=0,0,MAX(0,(K97+Assumptions!$B$29*L97/INDEX(Surface_Engine!$B$12:$B$72,$A97+1)-(M97/INDEX(Surface_Engine!$B$12:$B$72,$A97+1)-(F97/INDEX(Surface_Engine!$B$12:$B$72,$A97+1))))/B97))</f>
        <v>14747.8649193733</v>
      </c>
    </row>
    <row r="98" customFormat="false" ht="15" hidden="false" customHeight="true" outlineLevel="0" collapsed="false">
      <c r="A98" s="1" t="n">
        <v>27</v>
      </c>
      <c r="B98" s="32" t="n">
        <f aca="false">INDEX(Surface_Engine!$G$12:$G$72,$A98+1)*IF($A98&lt;$Q$69,INDEX(Surface_Engine!$E$12:$E$72,$A98+1),INDEX(Surface_Engine!$E$12:$E$72,$Q$69+1))</f>
        <v>0.502828649861899</v>
      </c>
      <c r="C98" s="32" t="n">
        <f aca="false">INDEX(Panel_Reserving!$B$8:$B$68,$A98+1)*IF($A98&lt;$Q$69,INDEX(Surface_Engine!$E$12:$E$72,$A98+1),INDEX(Surface_Engine!$E$12:$E$72,$Q$69+1))</f>
        <v>0.550404193942779</v>
      </c>
      <c r="D98" s="32" t="n">
        <f aca="false">INDEX(Surface_Engine!$G$12:$G$72,$A98+1)*IF($A98&lt;$Q$69,INDEX(Surface_Engine!$Y$12:$Y$72,$A98+1),INDEX(Surface_Engine!$Y$12:$Y$72,$Q$69+1))</f>
        <v>0.445139607456373</v>
      </c>
      <c r="E98" s="32" t="n">
        <f aca="false">INDEX(Surface_Engine!$G$12:$G$72,$A98+1)*IF($A98&lt;$Q$69,INDEX(Surface_Engine!$Z$12:$Z$72,$A98+1),INDEX(Surface_Engine!$Z$12:$Z$72,$Q$69+1))</f>
        <v>0.567413091834071</v>
      </c>
      <c r="F98" s="48" t="n">
        <f aca="false">B98*(IF($A98&lt;$Q$69,INDEX(Surface_Engine!$D$12:$D$72,$A98+1)+(Surface_Engine!G236*12)*INDEX(Surface_Engine!$F$12:$F$72,$A98+1)-(Surface_Engine!G236*12),1000*12*INDEX(Surface_Engine!$C$12:$C$72,$A98+1)/(1+Assumptions!$B$10)^20+INDEX(Surface_Engine!$D$12:$D$72,$A98+1)))*INDEX(Surface_Engine!$B$12:$B$72,$A98+1)+F99</f>
        <v>23929.9708807077</v>
      </c>
      <c r="G98" s="48" t="n">
        <f aca="false">C98*(IF($A98&lt;$Q$69,INDEX(Surface_Engine!$D$12:$D$72,$A98+1)+(Surface_Engine!G236*12)*INDEX(Surface_Engine!$F$12:$F$72,$A98+1)-(Surface_Engine!G236*12),1000*12*INDEX(Surface_Engine!$C$12:$C$72,$A98+1)/(1+Assumptions!$B$10)^20+INDEX(Surface_Engine!$D$12:$D$72,$A98+1)))*INDEX(Surface_Engine!$B$12:$B$72,$A98+1)+G99</f>
        <v>29870.8077267187</v>
      </c>
      <c r="H98" s="48" t="n">
        <f aca="false">D98*(IF($A98&lt;$Q$69,INDEX(Surface_Engine!$D$12:$D$72,$A98+1)+(Surface_Engine!G236*12)*INDEX(Surface_Engine!$F$12:$F$72,$A98+1)-(Surface_Engine!G236*12),1000*12*INDEX(Surface_Engine!$C$12:$C$72,$A98+1)/(1+Assumptions!$B$10)^20+INDEX(Surface_Engine!$D$12:$D$72,$A98+1)))*INDEX(Surface_Engine!$B$12:$B$72,$A98+1)+H99</f>
        <v>21184.5085740565</v>
      </c>
      <c r="I98" s="48" t="n">
        <f aca="false">E98*(IF($A98&lt;$Q$69,INDEX(Surface_Engine!$D$12:$D$72,$A98+1)+(Surface_Engine!G236*12)*INDEX(Surface_Engine!$F$12:$F$72,$A98+1)-(Surface_Engine!G236*12),1000*12*INDEX(Surface_Engine!$C$12:$C$72,$A98+1)/(1+Assumptions!$B$10)^20+INDEX(Surface_Engine!$D$12:$D$72,$A98+1)))*INDEX(Surface_Engine!$B$12:$B$72,$A98+1)+I99</f>
        <v>27003.590126877</v>
      </c>
      <c r="J98" s="48" t="n">
        <f aca="false">B98*(IF($A98&lt;$Q$69,INDEX(Surface_Engine!$D$12:$D$72,$A98+1)*(1+Assumptions!$B$24)+(Surface_Engine!G236*12)*INDEX(Surface_Engine!$F$12:$F$72,$A98+1)-(Surface_Engine!G236*12),1000*12*INDEX(Surface_Engine!$C$12:$C$72,$A98+1)/(1+Assumptions!$B$10)^20+INDEX(Surface_Engine!$D$12:$D$72,$A98+1)*(1+Assumptions!$B$24)))*INDEX(Surface_Engine!$B$12:$B$72,$A98+1)+J99</f>
        <v>23958.0748937075</v>
      </c>
      <c r="K98" s="12" t="n">
        <f aca="false">SQRT((IF(C98&lt;=0,0,MAX(0,(B98/C98)*G98/INDEX(Surface_Engine!$B$12:$B$72,$A98+1)-F98/INDEX(Surface_Engine!$B$12:$B$72,$A98+1))))^2+(MAX(IF(D98&lt;=0,0,MAX(0,(B98/D98)*H98/INDEX(Surface_Engine!$B$12:$B$72,$A98+1)-F98/INDEX(Surface_Engine!$B$12:$B$72,$A98+1))),IF(E98&lt;=0,0,MAX(0,(B98/E98)*I98/INDEX(Surface_Engine!$B$12:$B$72,$A98+1)-F98/INDEX(Surface_Engine!$B$12:$B$72,$A98+1))),IF($A98&lt;$Q$69,MAX(0,-Assumptions!$B$22*(F98/INDEX(Surface_Engine!$B$12:$B$72,$A98+1))),0)))^2+(MAX(0,J98/INDEX(Surface_Engine!$B$12:$B$72,$A98+1)-(F98/INDEX(Surface_Engine!$B$12:$B$72,$A98+1))))^2+2*Assumptions!$B$26*(IF(C98&lt;=0,0,MAX(0,(B98/C98)*G98/INDEX(Surface_Engine!$B$12:$B$72,$A98+1)-F98/INDEX(Surface_Engine!$B$12:$B$72,$A98+1))))*(MAX(IF(D98&lt;=0,0,MAX(0,(B98/D98)*H98/INDEX(Surface_Engine!$B$12:$B$72,$A98+1)-F98/INDEX(Surface_Engine!$B$12:$B$72,$A98+1))),IF(E98&lt;=0,0,MAX(0,(B98/E98)*I98/INDEX(Surface_Engine!$B$12:$B$72,$A98+1)-F98/INDEX(Surface_Engine!$B$12:$B$72,$A98+1))),IF($A98&lt;$Q$69,MAX(0,-Assumptions!$B$22*(F98/INDEX(Surface_Engine!$B$12:$B$72,$A98+1))),0)))+2*Assumptions!$B$27*(IF(C98&lt;=0,0,MAX(0,(B98/C98)*G98/INDEX(Surface_Engine!$B$12:$B$72,$A98+1)-F98/INDEX(Surface_Engine!$B$12:$B$72,$A98+1))))*(MAX(0,J98/INDEX(Surface_Engine!$B$12:$B$72,$A98+1)-(F98/INDEX(Surface_Engine!$B$12:$B$72,$A98+1))))+2*Assumptions!$B$28*(MAX(IF(D98&lt;=0,0,MAX(0,(B98/D98)*H98/INDEX(Surface_Engine!$B$12:$B$72,$A98+1)-F98/INDEX(Surface_Engine!$B$12:$B$72,$A98+1))),IF(E98&lt;=0,0,MAX(0,(B98/E98)*I98/INDEX(Surface_Engine!$B$12:$B$72,$A98+1)-F98/INDEX(Surface_Engine!$B$12:$B$72,$A98+1))),IF($A98&lt;$Q$69,MAX(0,-Assumptions!$B$22*(F98/INDEX(Surface_Engine!$B$12:$B$72,$A98+1))),0)))*(MAX(0,J98/INDEX(Surface_Engine!$B$12:$B$72,$A98+1)-(F98/INDEX(Surface_Engine!$B$12:$B$72,$A98+1)))))</f>
        <v>7833.71929317155</v>
      </c>
      <c r="L98" s="48" t="n">
        <f aca="false">K98*INDEX(Surface_Engine!$B$12:$B$72,$A98+1)+L99</f>
        <v>23454.1696977808</v>
      </c>
      <c r="M98" s="48" t="n">
        <f aca="false">M97+B97*(IF($A97&lt;$Q$69,(Surface_Engine!G236*12)-(Surface_Engine!G236*12)*INDEX(Surface_Engine!$F$12:$F$72,$A97+1)-INDEX(Surface_Engine!$D$12:$D$72,$A97+1),-(1000*12*INDEX(Surface_Engine!$C$12:$C$72,$A97+1)/(1+Assumptions!$B$10)^20+INDEX(Surface_Engine!$D$12:$D$72,$A97+1))))*INDEX(Surface_Engine!$B$12:$B$72,$A97+1)</f>
        <v>25755.7953104904</v>
      </c>
      <c r="N98" s="12" t="n">
        <f aca="false">IF(B98&lt;=0,0,MAX(0,(K98+Assumptions!$B$29*L98/INDEX(Surface_Engine!$B$12:$B$72,$A98+1)-(M98/INDEX(Surface_Engine!$B$12:$B$72,$A98+1)-(F98/INDEX(Surface_Engine!$B$12:$B$72,$A98+1))))/B98))</f>
        <v>13641.9685529077</v>
      </c>
    </row>
    <row r="99" customFormat="false" ht="15" hidden="false" customHeight="true" outlineLevel="0" collapsed="false">
      <c r="A99" s="1" t="n">
        <v>28</v>
      </c>
      <c r="B99" s="32" t="n">
        <f aca="false">INDEX(Surface_Engine!$G$12:$G$72,$A99+1)*IF($A99&lt;$Q$69,INDEX(Surface_Engine!$E$12:$E$72,$A99+1),INDEX(Surface_Engine!$E$12:$E$72,$Q$69+1))</f>
        <v>0.472854455722337</v>
      </c>
      <c r="C99" s="32" t="n">
        <f aca="false">INDEX(Panel_Reserving!$B$8:$B$68,$A99+1)*IF($A99&lt;$Q$69,INDEX(Surface_Engine!$E$12:$E$72,$A99+1),INDEX(Surface_Engine!$E$12:$E$72,$Q$69+1))</f>
        <v>0.524156012310327</v>
      </c>
      <c r="D99" s="32" t="n">
        <f aca="false">INDEX(Surface_Engine!$G$12:$G$72,$A99+1)*IF($A99&lt;$Q$69,INDEX(Surface_Engine!$Y$12:$Y$72,$A99+1),INDEX(Surface_Engine!$Y$12:$Y$72,$Q$69+1))</f>
        <v>0.418604323484845</v>
      </c>
      <c r="E99" s="32" t="n">
        <f aca="false">INDEX(Surface_Engine!$G$12:$G$72,$A99+1)*IF($A99&lt;$Q$69,INDEX(Surface_Engine!$Z$12:$Z$72,$A99+1),INDEX(Surface_Engine!$Z$12:$Z$72,$Q$69+1))</f>
        <v>0.533588944827661</v>
      </c>
      <c r="F99" s="48" t="n">
        <f aca="false">B99*(IF($A99&lt;$Q$69,INDEX(Surface_Engine!$D$12:$D$72,$A99+1)+(Surface_Engine!G236*12)*INDEX(Surface_Engine!$F$12:$F$72,$A99+1)-(Surface_Engine!G236*12),1000*12*INDEX(Surface_Engine!$C$12:$C$72,$A99+1)/(1+Assumptions!$B$10)^20+INDEX(Surface_Engine!$D$12:$D$72,$A99+1)))*INDEX(Surface_Engine!$B$12:$B$72,$A99+1)+F100</f>
        <v>20917.2845634306</v>
      </c>
      <c r="G99" s="48" t="n">
        <f aca="false">C99*(IF($A99&lt;$Q$69,INDEX(Surface_Engine!$D$12:$D$72,$A99+1)+(Surface_Engine!G236*12)*INDEX(Surface_Engine!$F$12:$F$72,$A99+1)-(Surface_Engine!G236*12),1000*12*INDEX(Surface_Engine!$C$12:$C$72,$A99+1)/(1+Assumptions!$B$10)^20+INDEX(Surface_Engine!$D$12:$D$72,$A99+1)))*INDEX(Surface_Engine!$B$12:$B$72,$A99+1)+G100</f>
        <v>26573.0736287934</v>
      </c>
      <c r="H99" s="48" t="n">
        <f aca="false">D99*(IF($A99&lt;$Q$69,INDEX(Surface_Engine!$D$12:$D$72,$A99+1)+(Surface_Engine!G236*12)*INDEX(Surface_Engine!$F$12:$F$72,$A99+1)-(Surface_Engine!G236*12),1000*12*INDEX(Surface_Engine!$C$12:$C$72,$A99+1)/(1+Assumptions!$B$10)^20+INDEX(Surface_Engine!$D$12:$D$72,$A99+1)))*INDEX(Surface_Engine!$B$12:$B$72,$A99+1)+H100</f>
        <v>18517.4648305661</v>
      </c>
      <c r="I99" s="48" t="n">
        <f aca="false">E99*(IF($A99&lt;$Q$69,INDEX(Surface_Engine!$D$12:$D$72,$A99+1)+(Surface_Engine!G236*12)*INDEX(Surface_Engine!$F$12:$F$72,$A99+1)-(Surface_Engine!G236*12),1000*12*INDEX(Surface_Engine!$C$12:$C$72,$A99+1)/(1+Assumptions!$B$10)^20+INDEX(Surface_Engine!$D$12:$D$72,$A99+1)))*INDEX(Surface_Engine!$B$12:$B$72,$A99+1)+I100</f>
        <v>23603.9476075378</v>
      </c>
      <c r="J99" s="48" t="n">
        <f aca="false">B99*(IF($A99&lt;$Q$69,INDEX(Surface_Engine!$D$12:$D$72,$A99+1)*(1+Assumptions!$B$24)+(Surface_Engine!G236*12)*INDEX(Surface_Engine!$F$12:$F$72,$A99+1)-(Surface_Engine!G236*12),1000*12*INDEX(Surface_Engine!$C$12:$C$72,$A99+1)/(1+Assumptions!$B$10)^20+INDEX(Surface_Engine!$D$12:$D$72,$A99+1)*(1+Assumptions!$B$24)))*INDEX(Surface_Engine!$B$12:$B$72,$A99+1)+J100</f>
        <v>20941.9377239789</v>
      </c>
      <c r="K99" s="12" t="n">
        <f aca="false">SQRT((IF(C99&lt;=0,0,MAX(0,(B99/C99)*G99/INDEX(Surface_Engine!$B$12:$B$72,$A99+1)-F99/INDEX(Surface_Engine!$B$12:$B$72,$A99+1))))^2+(MAX(IF(D99&lt;=0,0,MAX(0,(B99/D99)*H99/INDEX(Surface_Engine!$B$12:$B$72,$A99+1)-F99/INDEX(Surface_Engine!$B$12:$B$72,$A99+1))),IF(E99&lt;=0,0,MAX(0,(B99/E99)*I99/INDEX(Surface_Engine!$B$12:$B$72,$A99+1)-F99/INDEX(Surface_Engine!$B$12:$B$72,$A99+1))),IF($A99&lt;$Q$69,MAX(0,-Assumptions!$B$22*(F99/INDEX(Surface_Engine!$B$12:$B$72,$A99+1))),0)))^2+(MAX(0,J99/INDEX(Surface_Engine!$B$12:$B$72,$A99+1)-(F99/INDEX(Surface_Engine!$B$12:$B$72,$A99+1))))^2+2*Assumptions!$B$26*(IF(C99&lt;=0,0,MAX(0,(B99/C99)*G99/INDEX(Surface_Engine!$B$12:$B$72,$A99+1)-F99/INDEX(Surface_Engine!$B$12:$B$72,$A99+1))))*(MAX(IF(D99&lt;=0,0,MAX(0,(B99/D99)*H99/INDEX(Surface_Engine!$B$12:$B$72,$A99+1)-F99/INDEX(Surface_Engine!$B$12:$B$72,$A99+1))),IF(E99&lt;=0,0,MAX(0,(B99/E99)*I99/INDEX(Surface_Engine!$B$12:$B$72,$A99+1)-F99/INDEX(Surface_Engine!$B$12:$B$72,$A99+1))),IF($A99&lt;$Q$69,MAX(0,-Assumptions!$B$22*(F99/INDEX(Surface_Engine!$B$12:$B$72,$A99+1))),0)))+2*Assumptions!$B$27*(IF(C99&lt;=0,0,MAX(0,(B99/C99)*G99/INDEX(Surface_Engine!$B$12:$B$72,$A99+1)-F99/INDEX(Surface_Engine!$B$12:$B$72,$A99+1))))*(MAX(0,J99/INDEX(Surface_Engine!$B$12:$B$72,$A99+1)-(F99/INDEX(Surface_Engine!$B$12:$B$72,$A99+1))))+2*Assumptions!$B$28*(MAX(IF(D99&lt;=0,0,MAX(0,(B99/D99)*H99/INDEX(Surface_Engine!$B$12:$B$72,$A99+1)-F99/INDEX(Surface_Engine!$B$12:$B$72,$A99+1))),IF(E99&lt;=0,0,MAX(0,(B99/E99)*I99/INDEX(Surface_Engine!$B$12:$B$72,$A99+1)-F99/INDEX(Surface_Engine!$B$12:$B$72,$A99+1))),IF($A99&lt;$Q$69,MAX(0,-Assumptions!$B$22*(F99/INDEX(Surface_Engine!$B$12:$B$72,$A99+1))),0)))*(MAX(0,J99/INDEX(Surface_Engine!$B$12:$B$72,$A99+1)-(F99/INDEX(Surface_Engine!$B$12:$B$72,$A99+1)))))</f>
        <v>7354.76372344474</v>
      </c>
      <c r="L99" s="48" t="n">
        <f aca="false">K99*INDEX(Surface_Engine!$B$12:$B$72,$A99+1)+L100</f>
        <v>20088.1537970512</v>
      </c>
      <c r="M99" s="48" t="n">
        <f aca="false">M98+B98*(IF($A98&lt;$Q$69,(Surface_Engine!G236*12)-(Surface_Engine!G236*12)*INDEX(Surface_Engine!$F$12:$F$72,$A98+1)-INDEX(Surface_Engine!$D$12:$D$72,$A98+1),-(1000*12*INDEX(Surface_Engine!$C$12:$C$72,$A98+1)/(1+Assumptions!$B$10)^20+INDEX(Surface_Engine!$D$12:$D$72,$A98+1))))*INDEX(Surface_Engine!$B$12:$B$72,$A98+1)</f>
        <v>22743.1089932133</v>
      </c>
      <c r="N99" s="12" t="n">
        <f aca="false">IF(B99&lt;=0,0,MAX(0,(K99+Assumptions!$B$29*L99/INDEX(Surface_Engine!$B$12:$B$72,$A99+1)-(M99/INDEX(Surface_Engine!$B$12:$B$72,$A99+1)-(F99/INDEX(Surface_Engine!$B$12:$B$72,$A99+1))))/B99))</f>
        <v>12401.0446913002</v>
      </c>
    </row>
    <row r="100" customFormat="false" ht="15" hidden="false" customHeight="true" outlineLevel="0" collapsed="false">
      <c r="A100" s="1" t="n">
        <v>29</v>
      </c>
      <c r="B100" s="32" t="n">
        <f aca="false">INDEX(Surface_Engine!$G$12:$G$72,$A100+1)*IF($A100&lt;$Q$69,INDEX(Surface_Engine!$E$12:$E$72,$A100+1),INDEX(Surface_Engine!$E$12:$E$72,$Q$69+1))</f>
        <v>0.440807466385932</v>
      </c>
      <c r="C100" s="32" t="n">
        <f aca="false">INDEX(Panel_Reserving!$B$8:$B$68,$A100+1)*IF($A100&lt;$Q$69,INDEX(Surface_Engine!$E$12:$E$72,$A100+1),INDEX(Surface_Engine!$E$12:$E$72,$Q$69+1))</f>
        <v>0.49573691305669</v>
      </c>
      <c r="D100" s="32" t="n">
        <f aca="false">INDEX(Surface_Engine!$G$12:$G$72,$A100+1)*IF($A100&lt;$Q$69,INDEX(Surface_Engine!$Y$12:$Y$72,$A100+1),INDEX(Surface_Engine!$Y$12:$Y$72,$Q$69+1))</f>
        <v>0.390234054095294</v>
      </c>
      <c r="E100" s="32" t="n">
        <f aca="false">INDEX(Surface_Engine!$G$12:$G$72,$A100+1)*IF($A100&lt;$Q$69,INDEX(Surface_Engine!$Z$12:$Z$72,$A100+1),INDEX(Surface_Engine!$Z$12:$Z$72,$Q$69+1))</f>
        <v>0.497425768150403</v>
      </c>
      <c r="F100" s="48" t="n">
        <f aca="false">B100*(IF($A100&lt;$Q$69,INDEX(Surface_Engine!$D$12:$D$72,$A100+1)+(Surface_Engine!G236*12)*INDEX(Surface_Engine!$F$12:$F$72,$A100+1)-(Surface_Engine!G236*12),1000*12*INDEX(Surface_Engine!$C$12:$C$72,$A100+1)/(1+Assumptions!$B$10)^20+INDEX(Surface_Engine!$D$12:$D$72,$A100+1)))*INDEX(Surface_Engine!$B$12:$B$72,$A100+1)+F101</f>
        <v>18117.8963771909</v>
      </c>
      <c r="G100" s="48" t="n">
        <f aca="false">C100*(IF($A100&lt;$Q$69,INDEX(Surface_Engine!$D$12:$D$72,$A100+1)+(Surface_Engine!G236*12)*INDEX(Surface_Engine!$F$12:$F$72,$A100+1)-(Surface_Engine!G236*12),1000*12*INDEX(Surface_Engine!$C$12:$C$72,$A100+1)/(1+Assumptions!$B$10)^20+INDEX(Surface_Engine!$D$12:$D$72,$A100+1)))*INDEX(Surface_Engine!$B$12:$B$72,$A100+1)+G101</f>
        <v>23469.970483944</v>
      </c>
      <c r="H100" s="48" t="n">
        <f aca="false">D100*(IF($A100&lt;$Q$69,INDEX(Surface_Engine!$D$12:$D$72,$A100+1)+(Surface_Engine!G236*12)*INDEX(Surface_Engine!$F$12:$F$72,$A100+1)-(Surface_Engine!G236*12),1000*12*INDEX(Surface_Engine!$C$12:$C$72,$A100+1)/(1+Assumptions!$B$10)^20+INDEX(Surface_Engine!$D$12:$D$72,$A100+1)))*INDEX(Surface_Engine!$B$12:$B$72,$A100+1)+H101</f>
        <v>16039.2477307986</v>
      </c>
      <c r="I100" s="48" t="n">
        <f aca="false">E100*(IF($A100&lt;$Q$69,INDEX(Surface_Engine!$D$12:$D$72,$A100+1)+(Surface_Engine!G236*12)*INDEX(Surface_Engine!$F$12:$F$72,$A100+1)-(Surface_Engine!G236*12),1000*12*INDEX(Surface_Engine!$C$12:$C$72,$A100+1)/(1+Assumptions!$B$10)^20+INDEX(Surface_Engine!$D$12:$D$72,$A100+1)))*INDEX(Surface_Engine!$B$12:$B$72,$A100+1)+I101</f>
        <v>20444.9997106066</v>
      </c>
      <c r="J100" s="48" t="n">
        <f aca="false">B100*(IF($A100&lt;$Q$69,INDEX(Surface_Engine!$D$12:$D$72,$A100+1)*(1+Assumptions!$B$24)+(Surface_Engine!G236*12)*INDEX(Surface_Engine!$F$12:$F$72,$A100+1)-(Surface_Engine!G236*12),1000*12*INDEX(Surface_Engine!$C$12:$C$72,$A100+1)/(1+Assumptions!$B$10)^20+INDEX(Surface_Engine!$D$12:$D$72,$A100+1)*(1+Assumptions!$B$24)))*INDEX(Surface_Engine!$B$12:$B$72,$A100+1)+J101</f>
        <v>18139.3274681935</v>
      </c>
      <c r="K100" s="12" t="n">
        <f aca="false">SQRT((IF(C100&lt;=0,0,MAX(0,(B100/C100)*G100/INDEX(Surface_Engine!$B$12:$B$72,$A100+1)-F100/INDEX(Surface_Engine!$B$12:$B$72,$A100+1))))^2+(MAX(IF(D100&lt;=0,0,MAX(0,(B100/D100)*H100/INDEX(Surface_Engine!$B$12:$B$72,$A100+1)-F100/INDEX(Surface_Engine!$B$12:$B$72,$A100+1))),IF(E100&lt;=0,0,MAX(0,(B100/E100)*I100/INDEX(Surface_Engine!$B$12:$B$72,$A100+1)-F100/INDEX(Surface_Engine!$B$12:$B$72,$A100+1))),IF($A100&lt;$Q$69,MAX(0,-Assumptions!$B$22*(F100/INDEX(Surface_Engine!$B$12:$B$72,$A100+1))),0)))^2+(MAX(0,J100/INDEX(Surface_Engine!$B$12:$B$72,$A100+1)-(F100/INDEX(Surface_Engine!$B$12:$B$72,$A100+1))))^2+2*Assumptions!$B$26*(IF(C100&lt;=0,0,MAX(0,(B100/C100)*G100/INDEX(Surface_Engine!$B$12:$B$72,$A100+1)-F100/INDEX(Surface_Engine!$B$12:$B$72,$A100+1))))*(MAX(IF(D100&lt;=0,0,MAX(0,(B100/D100)*H100/INDEX(Surface_Engine!$B$12:$B$72,$A100+1)-F100/INDEX(Surface_Engine!$B$12:$B$72,$A100+1))),IF(E100&lt;=0,0,MAX(0,(B100/E100)*I100/INDEX(Surface_Engine!$B$12:$B$72,$A100+1)-F100/INDEX(Surface_Engine!$B$12:$B$72,$A100+1))),IF($A100&lt;$Q$69,MAX(0,-Assumptions!$B$22*(F100/INDEX(Surface_Engine!$B$12:$B$72,$A100+1))),0)))+2*Assumptions!$B$27*(IF(C100&lt;=0,0,MAX(0,(B100/C100)*G100/INDEX(Surface_Engine!$B$12:$B$72,$A100+1)-F100/INDEX(Surface_Engine!$B$12:$B$72,$A100+1))))*(MAX(0,J100/INDEX(Surface_Engine!$B$12:$B$72,$A100+1)-(F100/INDEX(Surface_Engine!$B$12:$B$72,$A100+1))))+2*Assumptions!$B$28*(MAX(IF(D100&lt;=0,0,MAX(0,(B100/D100)*H100/INDEX(Surface_Engine!$B$12:$B$72,$A100+1)-F100/INDEX(Surface_Engine!$B$12:$B$72,$A100+1))),IF(E100&lt;=0,0,MAX(0,(B100/E100)*I100/INDEX(Surface_Engine!$B$12:$B$72,$A100+1)-F100/INDEX(Surface_Engine!$B$12:$B$72,$A100+1))),IF($A100&lt;$Q$69,MAX(0,-Assumptions!$B$22*(F100/INDEX(Surface_Engine!$B$12:$B$72,$A100+1))),0)))*(MAX(0,J100/INDEX(Surface_Engine!$B$12:$B$72,$A100+1)-(F100/INDEX(Surface_Engine!$B$12:$B$72,$A100+1)))))</f>
        <v>6838.22743268324</v>
      </c>
      <c r="L100" s="48" t="n">
        <f aca="false">K100*INDEX(Surface_Engine!$B$12:$B$72,$A100+1)+L101</f>
        <v>17026.9371508995</v>
      </c>
      <c r="M100" s="48" t="n">
        <f aca="false">M99+B99*(IF($A99&lt;$Q$69,(Surface_Engine!G236*12)-(Surface_Engine!G236*12)*INDEX(Surface_Engine!$F$12:$F$72,$A99+1)-INDEX(Surface_Engine!$D$12:$D$72,$A99+1),-(1000*12*INDEX(Surface_Engine!$C$12:$C$72,$A99+1)/(1+Assumptions!$B$10)^20+INDEX(Surface_Engine!$D$12:$D$72,$A99+1))))*INDEX(Surface_Engine!$B$12:$B$72,$A99+1)</f>
        <v>19943.7208069736</v>
      </c>
      <c r="N100" s="12" t="n">
        <f aca="false">IF(B100&lt;=0,0,MAX(0,(K100+Assumptions!$B$29*L100/INDEX(Surface_Engine!$B$12:$B$72,$A100+1)-(M100/INDEX(Surface_Engine!$B$12:$B$72,$A100+1)-(F100/INDEX(Surface_Engine!$B$12:$B$72,$A100+1))))/B100))</f>
        <v>10987.7981615566</v>
      </c>
    </row>
    <row r="101" customFormat="false" ht="15" hidden="false" customHeight="true" outlineLevel="0" collapsed="false">
      <c r="A101" s="1" t="n">
        <v>30</v>
      </c>
      <c r="B101" s="32" t="n">
        <f aca="false">INDEX(Surface_Engine!$G$12:$G$72,$A101+1)*IF($A101&lt;$Q$69,INDEX(Surface_Engine!$E$12:$E$72,$A101+1),INDEX(Surface_Engine!$E$12:$E$72,$Q$69+1))</f>
        <v>0.406873169360739</v>
      </c>
      <c r="C101" s="32" t="n">
        <f aca="false">INDEX(Panel_Reserving!$B$8:$B$68,$A101+1)*IF($A101&lt;$Q$69,INDEX(Surface_Engine!$E$12:$E$72,$A101+1),INDEX(Surface_Engine!$E$12:$E$72,$Q$69+1))</f>
        <v>0.465206606858492</v>
      </c>
      <c r="D101" s="32" t="n">
        <f aca="false">INDEX(Surface_Engine!$G$12:$G$72,$A101+1)*IF($A101&lt;$Q$69,INDEX(Surface_Engine!$Y$12:$Y$72,$A101+1),INDEX(Surface_Engine!$Y$12:$Y$72,$Q$69+1))</f>
        <v>0.360193005994214</v>
      </c>
      <c r="E101" s="32" t="n">
        <f aca="false">INDEX(Surface_Engine!$G$12:$G$72,$A101+1)*IF($A101&lt;$Q$69,INDEX(Surface_Engine!$Z$12:$Z$72,$A101+1),INDEX(Surface_Engine!$Z$12:$Z$72,$Q$69+1))</f>
        <v>0.459132873742797</v>
      </c>
      <c r="F101" s="48" t="n">
        <f aca="false">B101*(IF($A101&lt;$Q$69,INDEX(Surface_Engine!$D$12:$D$72,$A101+1)+(Surface_Engine!G236*12)*INDEX(Surface_Engine!$F$12:$F$72,$A101+1)-(Surface_Engine!G236*12),1000*12*INDEX(Surface_Engine!$C$12:$C$72,$A101+1)/(1+Assumptions!$B$10)^20+INDEX(Surface_Engine!$D$12:$D$72,$A101+1)))*INDEX(Surface_Engine!$B$12:$B$72,$A101+1)+F102</f>
        <v>15539.3817021513</v>
      </c>
      <c r="G101" s="48" t="n">
        <f aca="false">C101*(IF($A101&lt;$Q$69,INDEX(Surface_Engine!$D$12:$D$72,$A101+1)+(Surface_Engine!G236*12)*INDEX(Surface_Engine!$F$12:$F$72,$A101+1)-(Surface_Engine!G236*12),1000*12*INDEX(Surface_Engine!$C$12:$C$72,$A101+1)/(1+Assumptions!$B$10)^20+INDEX(Surface_Engine!$D$12:$D$72,$A101+1)))*INDEX(Surface_Engine!$B$12:$B$72,$A101+1)+G102</f>
        <v>20570.144589987</v>
      </c>
      <c r="H101" s="48" t="n">
        <f aca="false">D101*(IF($A101&lt;$Q$69,INDEX(Surface_Engine!$D$12:$D$72,$A101+1)+(Surface_Engine!G236*12)*INDEX(Surface_Engine!$F$12:$F$72,$A101+1)-(Surface_Engine!G236*12),1000*12*INDEX(Surface_Engine!$C$12:$C$72,$A101+1)/(1+Assumptions!$B$10)^20+INDEX(Surface_Engine!$D$12:$D$72,$A101+1)))*INDEX(Surface_Engine!$B$12:$B$72,$A101+1)+H102</f>
        <v>13756.5635389117</v>
      </c>
      <c r="I101" s="48" t="n">
        <f aca="false">E101*(IF($A101&lt;$Q$69,INDEX(Surface_Engine!$D$12:$D$72,$A101+1)+(Surface_Engine!G236*12)*INDEX(Surface_Engine!$F$12:$F$72,$A101+1)-(Surface_Engine!G236*12),1000*12*INDEX(Surface_Engine!$C$12:$C$72,$A101+1)/(1+Assumptions!$B$10)^20+INDEX(Surface_Engine!$D$12:$D$72,$A101+1)))*INDEX(Surface_Engine!$B$12:$B$72,$A101+1)+I102</f>
        <v>17535.2948151007</v>
      </c>
      <c r="J101" s="48" t="n">
        <f aca="false">B101*(IF($A101&lt;$Q$69,INDEX(Surface_Engine!$D$12:$D$72,$A101+1)*(1+Assumptions!$B$24)+(Surface_Engine!G236*12)*INDEX(Surface_Engine!$F$12:$F$72,$A101+1)-(Surface_Engine!G236*12),1000*12*INDEX(Surface_Engine!$C$12:$C$72,$A101+1)/(1+Assumptions!$B$10)^20+INDEX(Surface_Engine!$D$12:$D$72,$A101+1)*(1+Assumptions!$B$24)))*INDEX(Surface_Engine!$B$12:$B$72,$A101+1)+J102</f>
        <v>15557.8305669427</v>
      </c>
      <c r="K101" s="12" t="n">
        <f aca="false">SQRT((IF(C101&lt;=0,0,MAX(0,(B101/C101)*G101/INDEX(Surface_Engine!$B$12:$B$72,$A101+1)-F101/INDEX(Surface_Engine!$B$12:$B$72,$A101+1))))^2+(MAX(IF(D101&lt;=0,0,MAX(0,(B101/D101)*H101/INDEX(Surface_Engine!$B$12:$B$72,$A101+1)-F101/INDEX(Surface_Engine!$B$12:$B$72,$A101+1))),IF(E101&lt;=0,0,MAX(0,(B101/E101)*I101/INDEX(Surface_Engine!$B$12:$B$72,$A101+1)-F101/INDEX(Surface_Engine!$B$12:$B$72,$A101+1))),IF($A101&lt;$Q$69,MAX(0,-Assumptions!$B$22*(F101/INDEX(Surface_Engine!$B$12:$B$72,$A101+1))),0)))^2+(MAX(0,J101/INDEX(Surface_Engine!$B$12:$B$72,$A101+1)-(F101/INDEX(Surface_Engine!$B$12:$B$72,$A101+1))))^2+2*Assumptions!$B$26*(IF(C101&lt;=0,0,MAX(0,(B101/C101)*G101/INDEX(Surface_Engine!$B$12:$B$72,$A101+1)-F101/INDEX(Surface_Engine!$B$12:$B$72,$A101+1))))*(MAX(IF(D101&lt;=0,0,MAX(0,(B101/D101)*H101/INDEX(Surface_Engine!$B$12:$B$72,$A101+1)-F101/INDEX(Surface_Engine!$B$12:$B$72,$A101+1))),IF(E101&lt;=0,0,MAX(0,(B101/E101)*I101/INDEX(Surface_Engine!$B$12:$B$72,$A101+1)-F101/INDEX(Surface_Engine!$B$12:$B$72,$A101+1))),IF($A101&lt;$Q$69,MAX(0,-Assumptions!$B$22*(F101/INDEX(Surface_Engine!$B$12:$B$72,$A101+1))),0)))+2*Assumptions!$B$27*(IF(C101&lt;=0,0,MAX(0,(B101/C101)*G101/INDEX(Surface_Engine!$B$12:$B$72,$A101+1)-F101/INDEX(Surface_Engine!$B$12:$B$72,$A101+1))))*(MAX(0,J101/INDEX(Surface_Engine!$B$12:$B$72,$A101+1)-(F101/INDEX(Surface_Engine!$B$12:$B$72,$A101+1))))+2*Assumptions!$B$28*(MAX(IF(D101&lt;=0,0,MAX(0,(B101/D101)*H101/INDEX(Surface_Engine!$B$12:$B$72,$A101+1)-F101/INDEX(Surface_Engine!$B$12:$B$72,$A101+1))),IF(E101&lt;=0,0,MAX(0,(B101/E101)*I101/INDEX(Surface_Engine!$B$12:$B$72,$A101+1)-F101/INDEX(Surface_Engine!$B$12:$B$72,$A101+1))),IF($A101&lt;$Q$69,MAX(0,-Assumptions!$B$22*(F101/INDEX(Surface_Engine!$B$12:$B$72,$A101+1))),0)))*(MAX(0,J101/INDEX(Surface_Engine!$B$12:$B$72,$A101+1)-(F101/INDEX(Surface_Engine!$B$12:$B$72,$A101+1)))))</f>
        <v>6289.50367022245</v>
      </c>
      <c r="L101" s="48" t="n">
        <f aca="false">K101*INDEX(Surface_Engine!$B$12:$B$72,$A101+1)+L102</f>
        <v>14269.9849714188</v>
      </c>
      <c r="M101" s="48" t="n">
        <f aca="false">M100+B100*(IF($A100&lt;$Q$69,(Surface_Engine!G236*12)-(Surface_Engine!G236*12)*INDEX(Surface_Engine!$F$12:$F$72,$A100+1)-INDEX(Surface_Engine!$D$12:$D$72,$A100+1),-(1000*12*INDEX(Surface_Engine!$C$12:$C$72,$A100+1)/(1+Assumptions!$B$10)^20+INDEX(Surface_Engine!$D$12:$D$72,$A100+1))))*INDEX(Surface_Engine!$B$12:$B$72,$A100+1)</f>
        <v>17365.206131934</v>
      </c>
      <c r="N101" s="12" t="n">
        <f aca="false">IF(B101&lt;=0,0,MAX(0,(K101+Assumptions!$B$29*L101/INDEX(Surface_Engine!$B$12:$B$72,$A101+1)-(M101/INDEX(Surface_Engine!$B$12:$B$72,$A101+1)-(F101/INDEX(Surface_Engine!$B$12:$B$72,$A101+1))))/B101))</f>
        <v>9355.53206853314</v>
      </c>
    </row>
    <row r="102" customFormat="false" ht="15" hidden="false" customHeight="true" outlineLevel="0" collapsed="false">
      <c r="A102" s="1" t="n">
        <v>31</v>
      </c>
      <c r="B102" s="32" t="n">
        <f aca="false">INDEX(Surface_Engine!$G$12:$G$72,$A102+1)*IF($A102&lt;$Q$69,INDEX(Surface_Engine!$E$12:$E$72,$A102+1),INDEX(Surface_Engine!$E$12:$E$72,$Q$69+1))</f>
        <v>0.370208339316241</v>
      </c>
      <c r="C102" s="32" t="n">
        <f aca="false">INDEX(Panel_Reserving!$B$8:$B$68,$A102+1)*IF($A102&lt;$Q$69,INDEX(Surface_Engine!$E$12:$E$72,$A102+1),INDEX(Surface_Engine!$E$12:$E$72,$Q$69+1))</f>
        <v>0.431669431226404</v>
      </c>
      <c r="D102" s="32" t="n">
        <f aca="false">INDEX(Surface_Engine!$G$12:$G$72,$A102+1)*IF($A102&lt;$Q$69,INDEX(Surface_Engine!$Y$12:$Y$72,$A102+1),INDEX(Surface_Engine!$Y$12:$Y$72,$Q$69+1))</f>
        <v>0.327734696273905</v>
      </c>
      <c r="E102" s="32" t="n">
        <f aca="false">INDEX(Surface_Engine!$G$12:$G$72,$A102+1)*IF($A102&lt;$Q$69,INDEX(Surface_Engine!$Z$12:$Z$72,$A102+1),INDEX(Surface_Engine!$Z$12:$Z$72,$Q$69+1))</f>
        <v>0.417758730517599</v>
      </c>
      <c r="F102" s="48" t="n">
        <f aca="false">B102*(IF($A102&lt;$Q$69,INDEX(Surface_Engine!$D$12:$D$72,$A102+1)+(Surface_Engine!G236*12)*INDEX(Surface_Engine!$F$12:$F$72,$A102+1)-(Surface_Engine!G236*12),1000*12*INDEX(Surface_Engine!$C$12:$C$72,$A102+1)/(1+Assumptions!$B$10)^20+INDEX(Surface_Engine!$D$12:$D$72,$A102+1)))*INDEX(Surface_Engine!$B$12:$B$72,$A102+1)+F103</f>
        <v>13187.8652018038</v>
      </c>
      <c r="G102" s="48" t="n">
        <f aca="false">C102*(IF($A102&lt;$Q$69,INDEX(Surface_Engine!$D$12:$D$72,$A102+1)+(Surface_Engine!G236*12)*INDEX(Surface_Engine!$F$12:$F$72,$A102+1)-(Surface_Engine!G236*12),1000*12*INDEX(Surface_Engine!$C$12:$C$72,$A102+1)/(1+Assumptions!$B$10)^20+INDEX(Surface_Engine!$D$12:$D$72,$A102+1)))*INDEX(Surface_Engine!$B$12:$B$72,$A102+1)+G103</f>
        <v>17881.4909886272</v>
      </c>
      <c r="H102" s="48" t="n">
        <f aca="false">D102*(IF($A102&lt;$Q$69,INDEX(Surface_Engine!$D$12:$D$72,$A102+1)+(Surface_Engine!G236*12)*INDEX(Surface_Engine!$F$12:$F$72,$A102+1)-(Surface_Engine!G236*12),1000*12*INDEX(Surface_Engine!$C$12:$C$72,$A102+1)/(1+Assumptions!$B$10)^20+INDEX(Surface_Engine!$D$12:$D$72,$A102+1)))*INDEX(Surface_Engine!$B$12:$B$72,$A102+1)+H103</f>
        <v>11674.8342417061</v>
      </c>
      <c r="I102" s="48" t="n">
        <f aca="false">E102*(IF($A102&lt;$Q$69,INDEX(Surface_Engine!$D$12:$D$72,$A102+1)+(Surface_Engine!G236*12)*INDEX(Surface_Engine!$F$12:$F$72,$A102+1)-(Surface_Engine!G236*12),1000*12*INDEX(Surface_Engine!$C$12:$C$72,$A102+1)/(1+Assumptions!$B$10)^20+INDEX(Surface_Engine!$D$12:$D$72,$A102+1)))*INDEX(Surface_Engine!$B$12:$B$72,$A102+1)+I103</f>
        <v>14881.7442500575</v>
      </c>
      <c r="J102" s="48" t="n">
        <f aca="false">B102*(IF($A102&lt;$Q$69,INDEX(Surface_Engine!$D$12:$D$72,$A102+1)*(1+Assumptions!$B$24)+(Surface_Engine!G236*12)*INDEX(Surface_Engine!$F$12:$F$72,$A102+1)-(Surface_Engine!G236*12),1000*12*INDEX(Surface_Engine!$C$12:$C$72,$A102+1)/(1+Assumptions!$B$10)^20+INDEX(Surface_Engine!$D$12:$D$72,$A102+1)*(1+Assumptions!$B$24)))*INDEX(Surface_Engine!$B$12:$B$72,$A102+1)+J103</f>
        <v>13203.5812022271</v>
      </c>
      <c r="K102" s="12" t="n">
        <f aca="false">SQRT((IF(C102&lt;=0,0,MAX(0,(B102/C102)*G102/INDEX(Surface_Engine!$B$12:$B$72,$A102+1)-F102/INDEX(Surface_Engine!$B$12:$B$72,$A102+1))))^2+(MAX(IF(D102&lt;=0,0,MAX(0,(B102/D102)*H102/INDEX(Surface_Engine!$B$12:$B$72,$A102+1)-F102/INDEX(Surface_Engine!$B$12:$B$72,$A102+1))),IF(E102&lt;=0,0,MAX(0,(B102/E102)*I102/INDEX(Surface_Engine!$B$12:$B$72,$A102+1)-F102/INDEX(Surface_Engine!$B$12:$B$72,$A102+1))),IF($A102&lt;$Q$69,MAX(0,-Assumptions!$B$22*(F102/INDEX(Surface_Engine!$B$12:$B$72,$A102+1))),0)))^2+(MAX(0,J102/INDEX(Surface_Engine!$B$12:$B$72,$A102+1)-(F102/INDEX(Surface_Engine!$B$12:$B$72,$A102+1))))^2+2*Assumptions!$B$26*(IF(C102&lt;=0,0,MAX(0,(B102/C102)*G102/INDEX(Surface_Engine!$B$12:$B$72,$A102+1)-F102/INDEX(Surface_Engine!$B$12:$B$72,$A102+1))))*(MAX(IF(D102&lt;=0,0,MAX(0,(B102/D102)*H102/INDEX(Surface_Engine!$B$12:$B$72,$A102+1)-F102/INDEX(Surface_Engine!$B$12:$B$72,$A102+1))),IF(E102&lt;=0,0,MAX(0,(B102/E102)*I102/INDEX(Surface_Engine!$B$12:$B$72,$A102+1)-F102/INDEX(Surface_Engine!$B$12:$B$72,$A102+1))),IF($A102&lt;$Q$69,MAX(0,-Assumptions!$B$22*(F102/INDEX(Surface_Engine!$B$12:$B$72,$A102+1))),0)))+2*Assumptions!$B$27*(IF(C102&lt;=0,0,MAX(0,(B102/C102)*G102/INDEX(Surface_Engine!$B$12:$B$72,$A102+1)-F102/INDEX(Surface_Engine!$B$12:$B$72,$A102+1))))*(MAX(0,J102/INDEX(Surface_Engine!$B$12:$B$72,$A102+1)-(F102/INDEX(Surface_Engine!$B$12:$B$72,$A102+1))))+2*Assumptions!$B$28*(MAX(IF(D102&lt;=0,0,MAX(0,(B102/D102)*H102/INDEX(Surface_Engine!$B$12:$B$72,$A102+1)-F102/INDEX(Surface_Engine!$B$12:$B$72,$A102+1))),IF(E102&lt;=0,0,MAX(0,(B102/E102)*I102/INDEX(Surface_Engine!$B$12:$B$72,$A102+1)-F102/INDEX(Surface_Engine!$B$12:$B$72,$A102+1))),IF($A102&lt;$Q$69,MAX(0,-Assumptions!$B$22*(F102/INDEX(Surface_Engine!$B$12:$B$72,$A102+1))),0)))*(MAX(0,J102/INDEX(Surface_Engine!$B$12:$B$72,$A102+1)-(F102/INDEX(Surface_Engine!$B$12:$B$72,$A102+1)))))</f>
        <v>5687.00529781415</v>
      </c>
      <c r="L102" s="48" t="n">
        <f aca="false">K102*INDEX(Surface_Engine!$B$12:$B$72,$A102+1)+L103</f>
        <v>11813.8875616748</v>
      </c>
      <c r="M102" s="48" t="n">
        <f aca="false">M101+B101*(IF($A101&lt;$Q$69,(Surface_Engine!G236*12)-(Surface_Engine!G236*12)*INDEX(Surface_Engine!$F$12:$F$72,$A101+1)-INDEX(Surface_Engine!$D$12:$D$72,$A101+1),-(1000*12*INDEX(Surface_Engine!$C$12:$C$72,$A101+1)/(1+Assumptions!$B$10)^20+INDEX(Surface_Engine!$D$12:$D$72,$A101+1))))*INDEX(Surface_Engine!$B$12:$B$72,$A101+1)</f>
        <v>15013.6896315866</v>
      </c>
      <c r="N102" s="12" t="n">
        <f aca="false">IF(B102&lt;=0,0,MAX(0,(K102+Assumptions!$B$29*L102/INDEX(Surface_Engine!$B$12:$B$72,$A102+1)-(M102/INDEX(Surface_Engine!$B$12:$B$72,$A102+1)-(F102/INDEX(Surface_Engine!$B$12:$B$72,$A102+1))))/B102))</f>
        <v>7386.88309519402</v>
      </c>
    </row>
    <row r="103" customFormat="false" ht="15" hidden="false" customHeight="true" outlineLevel="0" collapsed="false">
      <c r="A103" s="1" t="n">
        <v>32</v>
      </c>
      <c r="B103" s="32" t="n">
        <f aca="false">INDEX(Surface_Engine!$G$12:$G$72,$A103+1)*IF($A103&lt;$Q$69,INDEX(Surface_Engine!$E$12:$E$72,$A103+1),INDEX(Surface_Engine!$E$12:$E$72,$Q$69+1))</f>
        <v>0.332494879669657</v>
      </c>
      <c r="C103" s="32" t="n">
        <f aca="false">INDEX(Panel_Reserving!$B$8:$B$68,$A103+1)*IF($A103&lt;$Q$69,INDEX(Surface_Engine!$E$12:$E$72,$A103+1),INDEX(Surface_Engine!$E$12:$E$72,$Q$69+1))</f>
        <v>0.396489785721306</v>
      </c>
      <c r="D103" s="32" t="n">
        <f aca="false">INDEX(Surface_Engine!$G$12:$G$72,$A103+1)*IF($A103&lt;$Q$69,INDEX(Surface_Engine!$Y$12:$Y$72,$A103+1),INDEX(Surface_Engine!$Y$12:$Y$72,$Q$69+1))</f>
        <v>0.294348065206816</v>
      </c>
      <c r="E103" s="32" t="n">
        <f aca="false">INDEX(Surface_Engine!$G$12:$G$72,$A103+1)*IF($A103&lt;$Q$69,INDEX(Surface_Engine!$Z$12:$Z$72,$A103+1),INDEX(Surface_Engine!$Z$12:$Z$72,$Q$69+1))</f>
        <v>0.375201269347268</v>
      </c>
      <c r="F103" s="48" t="n">
        <f aca="false">B103*(IF($A103&lt;$Q$69,INDEX(Surface_Engine!$D$12:$D$72,$A103+1)+(Surface_Engine!G236*12)*INDEX(Surface_Engine!$F$12:$F$72,$A103+1)-(Surface_Engine!G236*12),1000*12*INDEX(Surface_Engine!$C$12:$C$72,$A103+1)/(1+Assumptions!$B$10)^20+INDEX(Surface_Engine!$D$12:$D$72,$A103+1)))*INDEX(Surface_Engine!$B$12:$B$72,$A103+1)+F104</f>
        <v>11073.3186401038</v>
      </c>
      <c r="G103" s="48" t="n">
        <f aca="false">C103*(IF($A103&lt;$Q$69,INDEX(Surface_Engine!$D$12:$D$72,$A103+1)+(Surface_Engine!G236*12)*INDEX(Surface_Engine!$F$12:$F$72,$A103+1)-(Surface_Engine!G236*12),1000*12*INDEX(Surface_Engine!$C$12:$C$72,$A103+1)/(1+Assumptions!$B$10)^20+INDEX(Surface_Engine!$D$12:$D$72,$A103+1)))*INDEX(Surface_Engine!$B$12:$B$72,$A103+1)+G104</f>
        <v>15415.8925278343</v>
      </c>
      <c r="H103" s="48" t="n">
        <f aca="false">D103*(IF($A103&lt;$Q$69,INDEX(Surface_Engine!$D$12:$D$72,$A103+1)+(Surface_Engine!G236*12)*INDEX(Surface_Engine!$F$12:$F$72,$A103+1)-(Surface_Engine!G236*12),1000*12*INDEX(Surface_Engine!$C$12:$C$72,$A103+1)/(1+Assumptions!$B$10)^20+INDEX(Surface_Engine!$D$12:$D$72,$A103+1)))*INDEX(Surface_Engine!$B$12:$B$72,$A103+1)+H104</f>
        <v>9802.88755234794</v>
      </c>
      <c r="I103" s="48" t="n">
        <f aca="false">E103*(IF($A103&lt;$Q$69,INDEX(Surface_Engine!$D$12:$D$72,$A103+1)+(Surface_Engine!G236*12)*INDEX(Surface_Engine!$F$12:$F$72,$A103+1)-(Surface_Engine!G236*12),1000*12*INDEX(Surface_Engine!$C$12:$C$72,$A103+1)/(1+Assumptions!$B$10)^20+INDEX(Surface_Engine!$D$12:$D$72,$A103+1)))*INDEX(Surface_Engine!$B$12:$B$72,$A103+1)+I104</f>
        <v>12495.6005752075</v>
      </c>
      <c r="J103" s="48" t="n">
        <f aca="false">B103*(IF($A103&lt;$Q$69,INDEX(Surface_Engine!$D$12:$D$72,$A103+1)*(1+Assumptions!$B$24)+(Surface_Engine!G236*12)*INDEX(Surface_Engine!$F$12:$F$72,$A103+1)-(Surface_Engine!G236*12),1000*12*INDEX(Surface_Engine!$C$12:$C$72,$A103+1)/(1+Assumptions!$B$10)^20+INDEX(Surface_Engine!$D$12:$D$72,$A103+1)*(1+Assumptions!$B$24)))*INDEX(Surface_Engine!$B$12:$B$72,$A103+1)+J104</f>
        <v>11086.56527004</v>
      </c>
      <c r="K103" s="12" t="n">
        <f aca="false">SQRT((IF(C103&lt;=0,0,MAX(0,(B103/C103)*G103/INDEX(Surface_Engine!$B$12:$B$72,$A103+1)-F103/INDEX(Surface_Engine!$B$12:$B$72,$A103+1))))^2+(MAX(IF(D103&lt;=0,0,MAX(0,(B103/D103)*H103/INDEX(Surface_Engine!$B$12:$B$72,$A103+1)-F103/INDEX(Surface_Engine!$B$12:$B$72,$A103+1))),IF(E103&lt;=0,0,MAX(0,(B103/E103)*I103/INDEX(Surface_Engine!$B$12:$B$72,$A103+1)-F103/INDEX(Surface_Engine!$B$12:$B$72,$A103+1))),IF($A103&lt;$Q$69,MAX(0,-Assumptions!$B$22*(F103/INDEX(Surface_Engine!$B$12:$B$72,$A103+1))),0)))^2+(MAX(0,J103/INDEX(Surface_Engine!$B$12:$B$72,$A103+1)-(F103/INDEX(Surface_Engine!$B$12:$B$72,$A103+1))))^2+2*Assumptions!$B$26*(IF(C103&lt;=0,0,MAX(0,(B103/C103)*G103/INDEX(Surface_Engine!$B$12:$B$72,$A103+1)-F103/INDEX(Surface_Engine!$B$12:$B$72,$A103+1))))*(MAX(IF(D103&lt;=0,0,MAX(0,(B103/D103)*H103/INDEX(Surface_Engine!$B$12:$B$72,$A103+1)-F103/INDEX(Surface_Engine!$B$12:$B$72,$A103+1))),IF(E103&lt;=0,0,MAX(0,(B103/E103)*I103/INDEX(Surface_Engine!$B$12:$B$72,$A103+1)-F103/INDEX(Surface_Engine!$B$12:$B$72,$A103+1))),IF($A103&lt;$Q$69,MAX(0,-Assumptions!$B$22*(F103/INDEX(Surface_Engine!$B$12:$B$72,$A103+1))),0)))+2*Assumptions!$B$27*(IF(C103&lt;=0,0,MAX(0,(B103/C103)*G103/INDEX(Surface_Engine!$B$12:$B$72,$A103+1)-F103/INDEX(Surface_Engine!$B$12:$B$72,$A103+1))))*(MAX(0,J103/INDEX(Surface_Engine!$B$12:$B$72,$A103+1)-(F103/INDEX(Surface_Engine!$B$12:$B$72,$A103+1))))+2*Assumptions!$B$28*(MAX(IF(D103&lt;=0,0,MAX(0,(B103/D103)*H103/INDEX(Surface_Engine!$B$12:$B$72,$A103+1)-F103/INDEX(Surface_Engine!$B$12:$B$72,$A103+1))),IF(E103&lt;=0,0,MAX(0,(B103/E103)*I103/INDEX(Surface_Engine!$B$12:$B$72,$A103+1)-F103/INDEX(Surface_Engine!$B$12:$B$72,$A103+1))),IF($A103&lt;$Q$69,MAX(0,-Assumptions!$B$22*(F103/INDEX(Surface_Engine!$B$12:$B$72,$A103+1))),0)))*(MAX(0,J103/INDEX(Surface_Engine!$B$12:$B$72,$A103+1)-(F103/INDEX(Surface_Engine!$B$12:$B$72,$A103+1)))))</f>
        <v>5069.74843820353</v>
      </c>
      <c r="L103" s="48" t="n">
        <f aca="false">K103*INDEX(Surface_Engine!$B$12:$B$72,$A103+1)+L104</f>
        <v>9662.24558123603</v>
      </c>
      <c r="M103" s="48" t="n">
        <f aca="false">M102+B102*(IF($A102&lt;$Q$69,(Surface_Engine!G236*12)-(Surface_Engine!G236*12)*INDEX(Surface_Engine!$F$12:$F$72,$A102+1)-INDEX(Surface_Engine!$D$12:$D$72,$A102+1),-(1000*12*INDEX(Surface_Engine!$C$12:$C$72,$A102+1)/(1+Assumptions!$B$10)^20+INDEX(Surface_Engine!$D$12:$D$72,$A102+1))))*INDEX(Surface_Engine!$B$12:$B$72,$A102+1)</f>
        <v>12899.1430698865</v>
      </c>
      <c r="N103" s="12" t="n">
        <f aca="false">IF(B103&lt;=0,0,MAX(0,(K103+Assumptions!$B$29*L103/INDEX(Surface_Engine!$B$12:$B$72,$A103+1)-(M103/INDEX(Surface_Engine!$B$12:$B$72,$A103+1)-(F103/INDEX(Surface_Engine!$B$12:$B$72,$A103+1))))/B103))</f>
        <v>5020.23009521829</v>
      </c>
    </row>
    <row r="104" customFormat="false" ht="15" hidden="false" customHeight="true" outlineLevel="0" collapsed="false">
      <c r="A104" s="1" t="n">
        <v>33</v>
      </c>
      <c r="B104" s="32" t="n">
        <f aca="false">INDEX(Surface_Engine!$G$12:$G$72,$A104+1)*IF($A104&lt;$Q$69,INDEX(Surface_Engine!$E$12:$E$72,$A104+1),INDEX(Surface_Engine!$E$12:$E$72,$Q$69+1))</f>
        <v>0.294623068917701</v>
      </c>
      <c r="C104" s="32" t="n">
        <f aca="false">INDEX(Panel_Reserving!$B$8:$B$68,$A104+1)*IF($A104&lt;$Q$69,INDEX(Surface_Engine!$E$12:$E$72,$A104+1),INDEX(Surface_Engine!$E$12:$E$72,$Q$69+1))</f>
        <v>0.360361022126896</v>
      </c>
      <c r="D104" s="32" t="n">
        <f aca="false">INDEX(Surface_Engine!$G$12:$G$72,$A104+1)*IF($A104&lt;$Q$69,INDEX(Surface_Engine!$Y$12:$Y$72,$A104+1),INDEX(Surface_Engine!$Y$12:$Y$72,$Q$69+1))</f>
        <v>0.260821250502805</v>
      </c>
      <c r="E104" s="32" t="n">
        <f aca="false">INDEX(Surface_Engine!$G$12:$G$72,$A104+1)*IF($A104&lt;$Q$69,INDEX(Surface_Engine!$Z$12:$Z$72,$A104+1),INDEX(Surface_Engine!$Z$12:$Z$72,$Q$69+1))</f>
        <v>0.332465118099673</v>
      </c>
      <c r="F104" s="48" t="n">
        <f aca="false">B104*(IF($A104&lt;$Q$69,INDEX(Surface_Engine!$D$12:$D$72,$A104+1)+(Surface_Engine!G236*12)*INDEX(Surface_Engine!$F$12:$F$72,$A104+1)-(Surface_Engine!G236*12),1000*12*INDEX(Surface_Engine!$C$12:$C$72,$A104+1)/(1+Assumptions!$B$10)^20+INDEX(Surface_Engine!$D$12:$D$72,$A104+1)))*INDEX(Surface_Engine!$B$12:$B$72,$A104+1)+F105</f>
        <v>9197.0495923357</v>
      </c>
      <c r="G104" s="48" t="n">
        <f aca="false">C104*(IF($A104&lt;$Q$69,INDEX(Surface_Engine!$D$12:$D$72,$A104+1)+(Surface_Engine!G236*12)*INDEX(Surface_Engine!$F$12:$F$72,$A104+1)-(Surface_Engine!G236*12),1000*12*INDEX(Surface_Engine!$C$12:$C$72,$A104+1)/(1+Assumptions!$B$10)^20+INDEX(Surface_Engine!$D$12:$D$72,$A104+1)))*INDEX(Surface_Engine!$B$12:$B$72,$A104+1)+G105</f>
        <v>13178.5001401856</v>
      </c>
      <c r="H104" s="48" t="n">
        <f aca="false">D104*(IF($A104&lt;$Q$69,INDEX(Surface_Engine!$D$12:$D$72,$A104+1)+(Surface_Engine!G236*12)*INDEX(Surface_Engine!$F$12:$F$72,$A104+1)-(Surface_Engine!G236*12),1000*12*INDEX(Surface_Engine!$C$12:$C$72,$A104+1)/(1+Assumptions!$B$10)^20+INDEX(Surface_Engine!$D$12:$D$72,$A104+1)))*INDEX(Surface_Engine!$B$12:$B$72,$A104+1)+H105</f>
        <v>8141.88102928008</v>
      </c>
      <c r="I104" s="48" t="n">
        <f aca="false">E104*(IF($A104&lt;$Q$69,INDEX(Surface_Engine!$D$12:$D$72,$A104+1)+(Surface_Engine!G236*12)*INDEX(Surface_Engine!$F$12:$F$72,$A104+1)-(Surface_Engine!G236*12),1000*12*INDEX(Surface_Engine!$C$12:$C$72,$A104+1)/(1+Assumptions!$B$10)^20+INDEX(Surface_Engine!$D$12:$D$72,$A104+1)))*INDEX(Surface_Engine!$B$12:$B$72,$A104+1)+I105</f>
        <v>10378.3393137438</v>
      </c>
      <c r="J104" s="48" t="n">
        <f aca="false">B104*(IF($A104&lt;$Q$69,INDEX(Surface_Engine!$D$12:$D$72,$A104+1)*(1+Assumptions!$B$24)+(Surface_Engine!G236*12)*INDEX(Surface_Engine!$F$12:$F$72,$A104+1)-(Surface_Engine!G236*12),1000*12*INDEX(Surface_Engine!$C$12:$C$72,$A104+1)/(1+Assumptions!$B$10)^20+INDEX(Surface_Engine!$D$12:$D$72,$A104+1)*(1+Assumptions!$B$24)))*INDEX(Surface_Engine!$B$12:$B$72,$A104+1)+J105</f>
        <v>9208.09449790955</v>
      </c>
      <c r="K104" s="12" t="n">
        <f aca="false">SQRT((IF(C104&lt;=0,0,MAX(0,(B104/C104)*G104/INDEX(Surface_Engine!$B$12:$B$72,$A104+1)-F104/INDEX(Surface_Engine!$B$12:$B$72,$A104+1))))^2+(MAX(IF(D104&lt;=0,0,MAX(0,(B104/D104)*H104/INDEX(Surface_Engine!$B$12:$B$72,$A104+1)-F104/INDEX(Surface_Engine!$B$12:$B$72,$A104+1))),IF(E104&lt;=0,0,MAX(0,(B104/E104)*I104/INDEX(Surface_Engine!$B$12:$B$72,$A104+1)-F104/INDEX(Surface_Engine!$B$12:$B$72,$A104+1))),IF($A104&lt;$Q$69,MAX(0,-Assumptions!$B$22*(F104/INDEX(Surface_Engine!$B$12:$B$72,$A104+1))),0)))^2+(MAX(0,J104/INDEX(Surface_Engine!$B$12:$B$72,$A104+1)-(F104/INDEX(Surface_Engine!$B$12:$B$72,$A104+1))))^2+2*Assumptions!$B$26*(IF(C104&lt;=0,0,MAX(0,(B104/C104)*G104/INDEX(Surface_Engine!$B$12:$B$72,$A104+1)-F104/INDEX(Surface_Engine!$B$12:$B$72,$A104+1))))*(MAX(IF(D104&lt;=0,0,MAX(0,(B104/D104)*H104/INDEX(Surface_Engine!$B$12:$B$72,$A104+1)-F104/INDEX(Surface_Engine!$B$12:$B$72,$A104+1))),IF(E104&lt;=0,0,MAX(0,(B104/E104)*I104/INDEX(Surface_Engine!$B$12:$B$72,$A104+1)-F104/INDEX(Surface_Engine!$B$12:$B$72,$A104+1))),IF($A104&lt;$Q$69,MAX(0,-Assumptions!$B$22*(F104/INDEX(Surface_Engine!$B$12:$B$72,$A104+1))),0)))+2*Assumptions!$B$27*(IF(C104&lt;=0,0,MAX(0,(B104/C104)*G104/INDEX(Surface_Engine!$B$12:$B$72,$A104+1)-F104/INDEX(Surface_Engine!$B$12:$B$72,$A104+1))))*(MAX(0,J104/INDEX(Surface_Engine!$B$12:$B$72,$A104+1)-(F104/INDEX(Surface_Engine!$B$12:$B$72,$A104+1))))+2*Assumptions!$B$28*(MAX(IF(D104&lt;=0,0,MAX(0,(B104/D104)*H104/INDEX(Surface_Engine!$B$12:$B$72,$A104+1)-F104/INDEX(Surface_Engine!$B$12:$B$72,$A104+1))),IF(E104&lt;=0,0,MAX(0,(B104/E104)*I104/INDEX(Surface_Engine!$B$12:$B$72,$A104+1)-F104/INDEX(Surface_Engine!$B$12:$B$72,$A104+1))),IF($A104&lt;$Q$69,MAX(0,-Assumptions!$B$22*(F104/INDEX(Surface_Engine!$B$12:$B$72,$A104+1))),0)))*(MAX(0,J104/INDEX(Surface_Engine!$B$12:$B$72,$A104+1)-(F104/INDEX(Surface_Engine!$B$12:$B$72,$A104+1)))))</f>
        <v>4452.58805090464</v>
      </c>
      <c r="L104" s="48" t="n">
        <f aca="false">K104*INDEX(Surface_Engine!$B$12:$B$72,$A104+1)+L105</f>
        <v>7804.49737141936</v>
      </c>
      <c r="M104" s="48" t="n">
        <f aca="false">M103+B103*(IF($A103&lt;$Q$69,(Surface_Engine!G236*12)-(Surface_Engine!G236*12)*INDEX(Surface_Engine!$F$12:$F$72,$A103+1)-INDEX(Surface_Engine!$D$12:$D$72,$A103+1),-(1000*12*INDEX(Surface_Engine!$C$12:$C$72,$A103+1)/(1+Assumptions!$B$10)^20+INDEX(Surface_Engine!$D$12:$D$72,$A103+1))))*INDEX(Surface_Engine!$B$12:$B$72,$A103+1)</f>
        <v>11022.8740221184</v>
      </c>
      <c r="N104" s="12" t="n">
        <f aca="false">IF(B104&lt;=0,0,MAX(0,(K104+Assumptions!$B$29*L104/INDEX(Surface_Engine!$B$12:$B$72,$A104+1)-(M104/INDEX(Surface_Engine!$B$12:$B$72,$A104+1)-(F104/INDEX(Surface_Engine!$B$12:$B$72,$A104+1))))/B104))</f>
        <v>2129.29626347885</v>
      </c>
    </row>
    <row r="105" customFormat="false" ht="15" hidden="false" customHeight="true" outlineLevel="0" collapsed="false">
      <c r="A105" s="1" t="n">
        <v>34</v>
      </c>
      <c r="B105" s="32" t="n">
        <f aca="false">INDEX(Surface_Engine!$G$12:$G$72,$A105+1)*IF($A105&lt;$Q$69,INDEX(Surface_Engine!$E$12:$E$72,$A105+1),INDEX(Surface_Engine!$E$12:$E$72,$Q$69+1))</f>
        <v>0.257684333800182</v>
      </c>
      <c r="C105" s="32" t="n">
        <f aca="false">INDEX(Panel_Reserving!$B$8:$B$68,$A105+1)*IF($A105&lt;$Q$69,INDEX(Surface_Engine!$E$12:$E$72,$A105+1),INDEX(Surface_Engine!$E$12:$E$72,$Q$69+1))</f>
        <v>0.324216451664242</v>
      </c>
      <c r="D105" s="32" t="n">
        <f aca="false">INDEX(Surface_Engine!$G$12:$G$72,$A105+1)*IF($A105&lt;$Q$69,INDEX(Surface_Engine!$Y$12:$Y$72,$A105+1),INDEX(Surface_Engine!$Y$12:$Y$72,$Q$69+1))</f>
        <v>0.228120460572351</v>
      </c>
      <c r="E105" s="32" t="n">
        <f aca="false">INDEX(Surface_Engine!$G$12:$G$72,$A105+1)*IF($A105&lt;$Q$69,INDEX(Surface_Engine!$Z$12:$Z$72,$A105+1),INDEX(Surface_Engine!$Z$12:$Z$72,$Q$69+1))</f>
        <v>0.290781888818231</v>
      </c>
      <c r="F105" s="48" t="n">
        <f aca="false">B105*(IF($A105&lt;$Q$69,INDEX(Surface_Engine!$D$12:$D$72,$A105+1)+(Surface_Engine!G236*12)*INDEX(Surface_Engine!$F$12:$F$72,$A105+1)-(Surface_Engine!G236*12),1000*12*INDEX(Surface_Engine!$C$12:$C$72,$A105+1)/(1+Assumptions!$B$10)^20+INDEX(Surface_Engine!$D$12:$D$72,$A105+1)))*INDEX(Surface_Engine!$B$12:$B$72,$A105+1)+F106</f>
        <v>7554.5726205272</v>
      </c>
      <c r="G105" s="48" t="n">
        <f aca="false">C105*(IF($A105&lt;$Q$69,INDEX(Surface_Engine!$D$12:$D$72,$A105+1)+(Surface_Engine!G236*12)*INDEX(Surface_Engine!$F$12:$F$72,$A105+1)-(Surface_Engine!G236*12),1000*12*INDEX(Surface_Engine!$C$12:$C$72,$A105+1)/(1+Assumptions!$B$10)^20+INDEX(Surface_Engine!$D$12:$D$72,$A105+1)))*INDEX(Surface_Engine!$B$12:$B$72,$A105+1)+G106</f>
        <v>11169.5444852361</v>
      </c>
      <c r="H105" s="48" t="n">
        <f aca="false">D105*(IF($A105&lt;$Q$69,INDEX(Surface_Engine!$D$12:$D$72,$A105+1)+(Surface_Engine!G236*12)*INDEX(Surface_Engine!$F$12:$F$72,$A105+1)-(Surface_Engine!G236*12),1000*12*INDEX(Surface_Engine!$C$12:$C$72,$A105+1)/(1+Assumptions!$B$10)^20+INDEX(Surface_Engine!$D$12:$D$72,$A105+1)))*INDEX(Surface_Engine!$B$12:$B$72,$A105+1)+H106</f>
        <v>6687.84384447017</v>
      </c>
      <c r="I105" s="48" t="n">
        <f aca="false">E105*(IF($A105&lt;$Q$69,INDEX(Surface_Engine!$D$12:$D$72,$A105+1)+(Surface_Engine!G236*12)*INDEX(Surface_Engine!$F$12:$F$72,$A105+1)-(Surface_Engine!G236*12),1000*12*INDEX(Surface_Engine!$C$12:$C$72,$A105+1)/(1+Assumptions!$B$10)^20+INDEX(Surface_Engine!$D$12:$D$72,$A105+1)))*INDEX(Surface_Engine!$B$12:$B$72,$A105+1)+I106</f>
        <v>8524.89890795933</v>
      </c>
      <c r="J105" s="48" t="n">
        <f aca="false">B105*(IF($A105&lt;$Q$69,INDEX(Surface_Engine!$D$12:$D$72,$A105+1)*(1+Assumptions!$B$24)+(Surface_Engine!G236*12)*INDEX(Surface_Engine!$F$12:$F$72,$A105+1)-(Surface_Engine!G236*12),1000*12*INDEX(Surface_Engine!$C$12:$C$72,$A105+1)/(1+Assumptions!$B$10)^20+INDEX(Surface_Engine!$D$12:$D$72,$A105+1)*(1+Assumptions!$B$24)))*INDEX(Surface_Engine!$B$12:$B$72,$A105+1)+J106</f>
        <v>7563.68081056816</v>
      </c>
      <c r="K105" s="12" t="n">
        <f aca="false">SQRT((IF(C105&lt;=0,0,MAX(0,(B105/C105)*G105/INDEX(Surface_Engine!$B$12:$B$72,$A105+1)-F105/INDEX(Surface_Engine!$B$12:$B$72,$A105+1))))^2+(MAX(IF(D105&lt;=0,0,MAX(0,(B105/D105)*H105/INDEX(Surface_Engine!$B$12:$B$72,$A105+1)-F105/INDEX(Surface_Engine!$B$12:$B$72,$A105+1))),IF(E105&lt;=0,0,MAX(0,(B105/E105)*I105/INDEX(Surface_Engine!$B$12:$B$72,$A105+1)-F105/INDEX(Surface_Engine!$B$12:$B$72,$A105+1))),IF($A105&lt;$Q$69,MAX(0,-Assumptions!$B$22*(F105/INDEX(Surface_Engine!$B$12:$B$72,$A105+1))),0)))^2+(MAX(0,J105/INDEX(Surface_Engine!$B$12:$B$72,$A105+1)-(F105/INDEX(Surface_Engine!$B$12:$B$72,$A105+1))))^2+2*Assumptions!$B$26*(IF(C105&lt;=0,0,MAX(0,(B105/C105)*G105/INDEX(Surface_Engine!$B$12:$B$72,$A105+1)-F105/INDEX(Surface_Engine!$B$12:$B$72,$A105+1))))*(MAX(IF(D105&lt;=0,0,MAX(0,(B105/D105)*H105/INDEX(Surface_Engine!$B$12:$B$72,$A105+1)-F105/INDEX(Surface_Engine!$B$12:$B$72,$A105+1))),IF(E105&lt;=0,0,MAX(0,(B105/E105)*I105/INDEX(Surface_Engine!$B$12:$B$72,$A105+1)-F105/INDEX(Surface_Engine!$B$12:$B$72,$A105+1))),IF($A105&lt;$Q$69,MAX(0,-Assumptions!$B$22*(F105/INDEX(Surface_Engine!$B$12:$B$72,$A105+1))),0)))+2*Assumptions!$B$27*(IF(C105&lt;=0,0,MAX(0,(B105/C105)*G105/INDEX(Surface_Engine!$B$12:$B$72,$A105+1)-F105/INDEX(Surface_Engine!$B$12:$B$72,$A105+1))))*(MAX(0,J105/INDEX(Surface_Engine!$B$12:$B$72,$A105+1)-(F105/INDEX(Surface_Engine!$B$12:$B$72,$A105+1))))+2*Assumptions!$B$28*(MAX(IF(D105&lt;=0,0,MAX(0,(B105/D105)*H105/INDEX(Surface_Engine!$B$12:$B$72,$A105+1)-F105/INDEX(Surface_Engine!$B$12:$B$72,$A105+1))),IF(E105&lt;=0,0,MAX(0,(B105/E105)*I105/INDEX(Surface_Engine!$B$12:$B$72,$A105+1)-F105/INDEX(Surface_Engine!$B$12:$B$72,$A105+1))),IF($A105&lt;$Q$69,MAX(0,-Assumptions!$B$22*(F105/INDEX(Surface_Engine!$B$12:$B$72,$A105+1))),0)))*(MAX(0,J105/INDEX(Surface_Engine!$B$12:$B$72,$A105+1)-(F105/INDEX(Surface_Engine!$B$12:$B$72,$A105+1)))))</f>
        <v>3855.66534219414</v>
      </c>
      <c r="L105" s="48" t="n">
        <f aca="false">K105*INDEX(Surface_Engine!$B$12:$B$72,$A105+1)+L106</f>
        <v>6224.30415573275</v>
      </c>
      <c r="M105" s="48" t="n">
        <f aca="false">M104+B104*(IF($A104&lt;$Q$69,(Surface_Engine!G236*12)-(Surface_Engine!G236*12)*INDEX(Surface_Engine!$F$12:$F$72,$A104+1)-INDEX(Surface_Engine!$D$12:$D$72,$A104+1),-(1000*12*INDEX(Surface_Engine!$C$12:$C$72,$A104+1)/(1+Assumptions!$B$10)^20+INDEX(Surface_Engine!$D$12:$D$72,$A104+1))))*INDEX(Surface_Engine!$B$12:$B$72,$A104+1)</f>
        <v>9380.39705030993</v>
      </c>
      <c r="N105" s="12" t="n">
        <f aca="false">IF(B105&lt;=0,0,MAX(0,(K105+Assumptions!$B$29*L105/INDEX(Surface_Engine!$B$12:$B$72,$A105+1)-(M105/INDEX(Surface_Engine!$B$12:$B$72,$A105+1)-(F105/INDEX(Surface_Engine!$B$12:$B$72,$A105+1))))/B105))</f>
        <v>0</v>
      </c>
    </row>
    <row r="106" customFormat="false" ht="15" hidden="false" customHeight="true" outlineLevel="0" collapsed="false">
      <c r="A106" s="1" t="n">
        <v>35</v>
      </c>
      <c r="B106" s="32" t="n">
        <f aca="false">INDEX(Surface_Engine!$G$12:$G$72,$A106+1)*IF($A106&lt;$Q$69,INDEX(Surface_Engine!$E$12:$E$72,$A106+1),INDEX(Surface_Engine!$E$12:$E$72,$Q$69+1))</f>
        <v>0.222585706785975</v>
      </c>
      <c r="C106" s="32" t="n">
        <f aca="false">INDEX(Panel_Reserving!$B$8:$B$68,$A106+1)*IF($A106&lt;$Q$69,INDEX(Surface_Engine!$E$12:$E$72,$A106+1),INDEX(Surface_Engine!$E$12:$E$72,$Q$69+1))</f>
        <v>0.288887793096564</v>
      </c>
      <c r="D106" s="32" t="n">
        <f aca="false">INDEX(Surface_Engine!$G$12:$G$72,$A106+1)*IF($A106&lt;$Q$69,INDEX(Surface_Engine!$Y$12:$Y$72,$A106+1),INDEX(Surface_Engine!$Y$12:$Y$72,$Q$69+1))</f>
        <v>0.19704866493053</v>
      </c>
      <c r="E106" s="32" t="n">
        <f aca="false">INDEX(Surface_Engine!$G$12:$G$72,$A106+1)*IF($A106&lt;$Q$69,INDEX(Surface_Engine!$Z$12:$Z$72,$A106+1),INDEX(Surface_Engine!$Z$12:$Z$72,$Q$69+1))</f>
        <v>0.251175115260814</v>
      </c>
      <c r="F106" s="48" t="n">
        <f aca="false">B106*(IF($A106&lt;$Q$69,INDEX(Surface_Engine!$D$12:$D$72,$A106+1)+(Surface_Engine!G236*12)*INDEX(Surface_Engine!$F$12:$F$72,$A106+1)-(Surface_Engine!G236*12),1000*12*INDEX(Surface_Engine!$C$12:$C$72,$A106+1)/(1+Assumptions!$B$10)^20+INDEX(Surface_Engine!$D$12:$D$72,$A106+1)))*INDEX(Surface_Engine!$B$12:$B$72,$A106+1)+F107</f>
        <v>6135.42937177995</v>
      </c>
      <c r="G106" s="48" t="n">
        <f aca="false">C106*(IF($A106&lt;$Q$69,INDEX(Surface_Engine!$D$12:$D$72,$A106+1)+(Surface_Engine!G236*12)*INDEX(Surface_Engine!$F$12:$F$72,$A106+1)-(Surface_Engine!G236*12),1000*12*INDEX(Surface_Engine!$C$12:$C$72,$A106+1)/(1+Assumptions!$B$10)^20+INDEX(Surface_Engine!$D$12:$D$72,$A106+1)))*INDEX(Surface_Engine!$B$12:$B$72,$A106+1)+G107</f>
        <v>9383.98933825966</v>
      </c>
      <c r="H106" s="48" t="n">
        <f aca="false">D106*(IF($A106&lt;$Q$69,INDEX(Surface_Engine!$D$12:$D$72,$A106+1)+(Surface_Engine!G236*12)*INDEX(Surface_Engine!$F$12:$F$72,$A106+1)-(Surface_Engine!G236*12),1000*12*INDEX(Surface_Engine!$C$12:$C$72,$A106+1)/(1+Assumptions!$B$10)^20+INDEX(Surface_Engine!$D$12:$D$72,$A106+1)))*INDEX(Surface_Engine!$B$12:$B$72,$A106+1)+H107</f>
        <v>5431.51752168562</v>
      </c>
      <c r="I106" s="48" t="n">
        <f aca="false">E106*(IF($A106&lt;$Q$69,INDEX(Surface_Engine!$D$12:$D$72,$A106+1)+(Surface_Engine!G236*12)*INDEX(Surface_Engine!$F$12:$F$72,$A106+1)-(Surface_Engine!G236*12),1000*12*INDEX(Surface_Engine!$C$12:$C$72,$A106+1)/(1+Assumptions!$B$10)^20+INDEX(Surface_Engine!$D$12:$D$72,$A106+1)))*INDEX(Surface_Engine!$B$12:$B$72,$A106+1)+I107</f>
        <v>6923.47771060256</v>
      </c>
      <c r="J106" s="48" t="n">
        <f aca="false">B106*(IF($A106&lt;$Q$69,INDEX(Surface_Engine!$D$12:$D$72,$A106+1)*(1+Assumptions!$B$24)+(Surface_Engine!G236*12)*INDEX(Surface_Engine!$F$12:$F$72,$A106+1)-(Surface_Engine!G236*12),1000*12*INDEX(Surface_Engine!$C$12:$C$72,$A106+1)/(1+Assumptions!$B$10)^20+INDEX(Surface_Engine!$D$12:$D$72,$A106+1)*(1+Assumptions!$B$24)))*INDEX(Surface_Engine!$B$12:$B$72,$A106+1)+J107</f>
        <v>6142.85608310832</v>
      </c>
      <c r="K106" s="12" t="n">
        <f aca="false">SQRT((IF(C106&lt;=0,0,MAX(0,(B106/C106)*G106/INDEX(Surface_Engine!$B$12:$B$72,$A106+1)-F106/INDEX(Surface_Engine!$B$12:$B$72,$A106+1))))^2+(MAX(IF(D106&lt;=0,0,MAX(0,(B106/D106)*H106/INDEX(Surface_Engine!$B$12:$B$72,$A106+1)-F106/INDEX(Surface_Engine!$B$12:$B$72,$A106+1))),IF(E106&lt;=0,0,MAX(0,(B106/E106)*I106/INDEX(Surface_Engine!$B$12:$B$72,$A106+1)-F106/INDEX(Surface_Engine!$B$12:$B$72,$A106+1))),IF($A106&lt;$Q$69,MAX(0,-Assumptions!$B$22*(F106/INDEX(Surface_Engine!$B$12:$B$72,$A106+1))),0)))^2+(MAX(0,J106/INDEX(Surface_Engine!$B$12:$B$72,$A106+1)-(F106/INDEX(Surface_Engine!$B$12:$B$72,$A106+1))))^2+2*Assumptions!$B$26*(IF(C106&lt;=0,0,MAX(0,(B106/C106)*G106/INDEX(Surface_Engine!$B$12:$B$72,$A106+1)-F106/INDEX(Surface_Engine!$B$12:$B$72,$A106+1))))*(MAX(IF(D106&lt;=0,0,MAX(0,(B106/D106)*H106/INDEX(Surface_Engine!$B$12:$B$72,$A106+1)-F106/INDEX(Surface_Engine!$B$12:$B$72,$A106+1))),IF(E106&lt;=0,0,MAX(0,(B106/E106)*I106/INDEX(Surface_Engine!$B$12:$B$72,$A106+1)-F106/INDEX(Surface_Engine!$B$12:$B$72,$A106+1))),IF($A106&lt;$Q$69,MAX(0,-Assumptions!$B$22*(F106/INDEX(Surface_Engine!$B$12:$B$72,$A106+1))),0)))+2*Assumptions!$B$27*(IF(C106&lt;=0,0,MAX(0,(B106/C106)*G106/INDEX(Surface_Engine!$B$12:$B$72,$A106+1)-F106/INDEX(Surface_Engine!$B$12:$B$72,$A106+1))))*(MAX(0,J106/INDEX(Surface_Engine!$B$12:$B$72,$A106+1)-(F106/INDEX(Surface_Engine!$B$12:$B$72,$A106+1))))+2*Assumptions!$B$28*(MAX(IF(D106&lt;=0,0,MAX(0,(B106/D106)*H106/INDEX(Surface_Engine!$B$12:$B$72,$A106+1)-F106/INDEX(Surface_Engine!$B$12:$B$72,$A106+1))),IF(E106&lt;=0,0,MAX(0,(B106/E106)*I106/INDEX(Surface_Engine!$B$12:$B$72,$A106+1)-F106/INDEX(Surface_Engine!$B$12:$B$72,$A106+1))),IF($A106&lt;$Q$69,MAX(0,-Assumptions!$B$22*(F106/INDEX(Surface_Engine!$B$12:$B$72,$A106+1))),0)))*(MAX(0,J106/INDEX(Surface_Engine!$B$12:$B$72,$A106+1)-(F106/INDEX(Surface_Engine!$B$12:$B$72,$A106+1)))))</f>
        <v>3295.04629330606</v>
      </c>
      <c r="L106" s="48" t="n">
        <f aca="false">K106*INDEX(Surface_Engine!$B$12:$B$72,$A106+1)+L107</f>
        <v>4899.11640284447</v>
      </c>
      <c r="M106" s="48" t="n">
        <f aca="false">M105+B105*(IF($A105&lt;$Q$69,(Surface_Engine!G236*12)-(Surface_Engine!G236*12)*INDEX(Surface_Engine!$F$12:$F$72,$A105+1)-INDEX(Surface_Engine!$D$12:$D$72,$A105+1),-(1000*12*INDEX(Surface_Engine!$C$12:$C$72,$A105+1)/(1+Assumptions!$B$10)^20+INDEX(Surface_Engine!$D$12:$D$72,$A105+1))))*INDEX(Surface_Engine!$B$12:$B$72,$A105+1)</f>
        <v>7961.25380156267</v>
      </c>
      <c r="N106" s="12" t="n">
        <f aca="false">IF(B106&lt;=0,0,MAX(0,(K106+Assumptions!$B$29*L106/INDEX(Surface_Engine!$B$12:$B$72,$A106+1)-(M106/INDEX(Surface_Engine!$B$12:$B$72,$A106+1)-(F106/INDEX(Surface_Engine!$B$12:$B$72,$A106+1))))/B106))</f>
        <v>0</v>
      </c>
    </row>
    <row r="107" customFormat="false" ht="15" hidden="false" customHeight="true" outlineLevel="0" collapsed="false">
      <c r="A107" s="1" t="n">
        <v>36</v>
      </c>
      <c r="B107" s="32" t="n">
        <f aca="false">INDEX(Surface_Engine!$G$12:$G$72,$A107+1)*IF($A107&lt;$Q$69,INDEX(Surface_Engine!$E$12:$E$72,$A107+1),INDEX(Surface_Engine!$E$12:$E$72,$Q$69+1))</f>
        <v>0.188970975389025</v>
      </c>
      <c r="C107" s="32" t="n">
        <f aca="false">INDEX(Panel_Reserving!$B$8:$B$68,$A107+1)*IF($A107&lt;$Q$69,INDEX(Surface_Engine!$E$12:$E$72,$A107+1),INDEX(Surface_Engine!$E$12:$E$72,$Q$69+1))</f>
        <v>0.253985693733513</v>
      </c>
      <c r="D107" s="32" t="n">
        <f aca="false">INDEX(Surface_Engine!$G$12:$G$72,$A107+1)*IF($A107&lt;$Q$69,INDEX(Surface_Engine!$Y$12:$Y$72,$A107+1),INDEX(Surface_Engine!$Y$12:$Y$72,$Q$69+1))</f>
        <v>0.167290519003683</v>
      </c>
      <c r="E107" s="32" t="n">
        <f aca="false">INDEX(Surface_Engine!$G$12:$G$72,$A107+1)*IF($A107&lt;$Q$69,INDEX(Surface_Engine!$Z$12:$Z$72,$A107+1),INDEX(Surface_Engine!$Z$12:$Z$72,$Q$69+1))</f>
        <v>0.213242832209015</v>
      </c>
      <c r="F107" s="48" t="n">
        <f aca="false">B107*(IF($A107&lt;$Q$69,INDEX(Surface_Engine!$D$12:$D$72,$A107+1)+(Surface_Engine!G236*12)*INDEX(Surface_Engine!$F$12:$F$72,$A107+1)-(Surface_Engine!G236*12),1000*12*INDEX(Surface_Engine!$C$12:$C$72,$A107+1)/(1+Assumptions!$B$10)^20+INDEX(Surface_Engine!$D$12:$D$72,$A107+1)))*INDEX(Surface_Engine!$B$12:$B$72,$A107+1)+F108</f>
        <v>4924.4842437614</v>
      </c>
      <c r="G107" s="48" t="n">
        <f aca="false">C107*(IF($A107&lt;$Q$69,INDEX(Surface_Engine!$D$12:$D$72,$A107+1)+(Surface_Engine!G236*12)*INDEX(Surface_Engine!$F$12:$F$72,$A107+1)-(Surface_Engine!G236*12),1000*12*INDEX(Surface_Engine!$C$12:$C$72,$A107+1)/(1+Assumptions!$B$10)^20+INDEX(Surface_Engine!$D$12:$D$72,$A107+1)))*INDEX(Surface_Engine!$B$12:$B$72,$A107+1)+G108</f>
        <v>7812.33736363091</v>
      </c>
      <c r="H107" s="48" t="n">
        <f aca="false">D107*(IF($A107&lt;$Q$69,INDEX(Surface_Engine!$D$12:$D$72,$A107+1)+(Surface_Engine!G236*12)*INDEX(Surface_Engine!$F$12:$F$72,$A107+1)-(Surface_Engine!G236*12),1000*12*INDEX(Surface_Engine!$C$12:$C$72,$A107+1)/(1+Assumptions!$B$10)^20+INDEX(Surface_Engine!$D$12:$D$72,$A107+1)))*INDEX(Surface_Engine!$B$12:$B$72,$A107+1)+H108</f>
        <v>4359.50295154244</v>
      </c>
      <c r="I107" s="48" t="n">
        <f aca="false">E107*(IF($A107&lt;$Q$69,INDEX(Surface_Engine!$D$12:$D$72,$A107+1)+(Surface_Engine!G236*12)*INDEX(Surface_Engine!$F$12:$F$72,$A107+1)-(Surface_Engine!G236*12),1000*12*INDEX(Surface_Engine!$C$12:$C$72,$A107+1)/(1+Assumptions!$B$10)^20+INDEX(Surface_Engine!$D$12:$D$72,$A107+1)))*INDEX(Surface_Engine!$B$12:$B$72,$A107+1)+I108</f>
        <v>5556.99606855786</v>
      </c>
      <c r="J107" s="48" t="n">
        <f aca="false">B107*(IF($A107&lt;$Q$69,INDEX(Surface_Engine!$D$12:$D$72,$A107+1)*(1+Assumptions!$B$24)+(Surface_Engine!G236*12)*INDEX(Surface_Engine!$F$12:$F$72,$A107+1)-(Surface_Engine!G236*12),1000*12*INDEX(Surface_Engine!$C$12:$C$72,$A107+1)/(1+Assumptions!$B$10)^20+INDEX(Surface_Engine!$D$12:$D$72,$A107+1)*(1+Assumptions!$B$24)))*INDEX(Surface_Engine!$B$12:$B$72,$A107+1)+J108</f>
        <v>4930.46921135653</v>
      </c>
      <c r="K107" s="12" t="n">
        <f aca="false">SQRT((IF(C107&lt;=0,0,MAX(0,(B107/C107)*G107/INDEX(Surface_Engine!$B$12:$B$72,$A107+1)-F107/INDEX(Surface_Engine!$B$12:$B$72,$A107+1))))^2+(MAX(IF(D107&lt;=0,0,MAX(0,(B107/D107)*H107/INDEX(Surface_Engine!$B$12:$B$72,$A107+1)-F107/INDEX(Surface_Engine!$B$12:$B$72,$A107+1))),IF(E107&lt;=0,0,MAX(0,(B107/E107)*I107/INDEX(Surface_Engine!$B$12:$B$72,$A107+1)-F107/INDEX(Surface_Engine!$B$12:$B$72,$A107+1))),IF($A107&lt;$Q$69,MAX(0,-Assumptions!$B$22*(F107/INDEX(Surface_Engine!$B$12:$B$72,$A107+1))),0)))^2+(MAX(0,J107/INDEX(Surface_Engine!$B$12:$B$72,$A107+1)-(F107/INDEX(Surface_Engine!$B$12:$B$72,$A107+1))))^2+2*Assumptions!$B$26*(IF(C107&lt;=0,0,MAX(0,(B107/C107)*G107/INDEX(Surface_Engine!$B$12:$B$72,$A107+1)-F107/INDEX(Surface_Engine!$B$12:$B$72,$A107+1))))*(MAX(IF(D107&lt;=0,0,MAX(0,(B107/D107)*H107/INDEX(Surface_Engine!$B$12:$B$72,$A107+1)-F107/INDEX(Surface_Engine!$B$12:$B$72,$A107+1))),IF(E107&lt;=0,0,MAX(0,(B107/E107)*I107/INDEX(Surface_Engine!$B$12:$B$72,$A107+1)-F107/INDEX(Surface_Engine!$B$12:$B$72,$A107+1))),IF($A107&lt;$Q$69,MAX(0,-Assumptions!$B$22*(F107/INDEX(Surface_Engine!$B$12:$B$72,$A107+1))),0)))+2*Assumptions!$B$27*(IF(C107&lt;=0,0,MAX(0,(B107/C107)*G107/INDEX(Surface_Engine!$B$12:$B$72,$A107+1)-F107/INDEX(Surface_Engine!$B$12:$B$72,$A107+1))))*(MAX(0,J107/INDEX(Surface_Engine!$B$12:$B$72,$A107+1)-(F107/INDEX(Surface_Engine!$B$12:$B$72,$A107+1))))+2*Assumptions!$B$28*(MAX(IF(D107&lt;=0,0,MAX(0,(B107/D107)*H107/INDEX(Surface_Engine!$B$12:$B$72,$A107+1)-F107/INDEX(Surface_Engine!$B$12:$B$72,$A107+1))),IF(E107&lt;=0,0,MAX(0,(B107/E107)*I107/INDEX(Surface_Engine!$B$12:$B$72,$A107+1)-F107/INDEX(Surface_Engine!$B$12:$B$72,$A107+1))),IF($A107&lt;$Q$69,MAX(0,-Assumptions!$B$22*(F107/INDEX(Surface_Engine!$B$12:$B$72,$A107+1))),0)))*(MAX(0,J107/INDEX(Surface_Engine!$B$12:$B$72,$A107+1)-(F107/INDEX(Surface_Engine!$B$12:$B$72,$A107+1)))))</f>
        <v>2758.96647222613</v>
      </c>
      <c r="L107" s="48" t="n">
        <f aca="false">K107*INDEX(Surface_Engine!$B$12:$B$72,$A107+1)+L108</f>
        <v>3802.37767649759</v>
      </c>
      <c r="M107" s="48" t="n">
        <f aca="false">M106+B106*(IF($A106&lt;$Q$69,(Surface_Engine!G236*12)-(Surface_Engine!G236*12)*INDEX(Surface_Engine!$F$12:$F$72,$A106+1)-INDEX(Surface_Engine!$D$12:$D$72,$A106+1),-(1000*12*INDEX(Surface_Engine!$C$12:$C$72,$A106+1)/(1+Assumptions!$B$10)^20+INDEX(Surface_Engine!$D$12:$D$72,$A106+1))))*INDEX(Surface_Engine!$B$12:$B$72,$A106+1)</f>
        <v>6750.30867354413</v>
      </c>
      <c r="N107" s="12" t="n">
        <f aca="false">IF(B107&lt;=0,0,MAX(0,(K107+Assumptions!$B$29*L107/INDEX(Surface_Engine!$B$12:$B$72,$A107+1)-(M107/INDEX(Surface_Engine!$B$12:$B$72,$A107+1)-(F107/INDEX(Surface_Engine!$B$12:$B$72,$A107+1))))/B107))</f>
        <v>0</v>
      </c>
    </row>
    <row r="108" customFormat="false" ht="15" hidden="false" customHeight="true" outlineLevel="0" collapsed="false">
      <c r="A108" s="1" t="n">
        <v>37</v>
      </c>
      <c r="B108" s="32" t="n">
        <f aca="false">INDEX(Surface_Engine!$G$12:$G$72,$A108+1)*IF($A108&lt;$Q$69,INDEX(Surface_Engine!$E$12:$E$72,$A108+1),INDEX(Surface_Engine!$E$12:$E$72,$Q$69+1))</f>
        <v>0.158502397271537</v>
      </c>
      <c r="C108" s="32" t="n">
        <f aca="false">INDEX(Panel_Reserving!$B$8:$B$68,$A108+1)*IF($A108&lt;$Q$69,INDEX(Surface_Engine!$E$12:$E$72,$A108+1),INDEX(Surface_Engine!$E$12:$E$72,$Q$69+1))</f>
        <v>0.221224755989237</v>
      </c>
      <c r="D108" s="32" t="n">
        <f aca="false">INDEX(Surface_Engine!$G$12:$G$72,$A108+1)*IF($A108&lt;$Q$69,INDEX(Surface_Engine!$Y$12:$Y$72,$A108+1),INDEX(Surface_Engine!$Y$12:$Y$72,$Q$69+1))</f>
        <v>0.140317571247629</v>
      </c>
      <c r="E108" s="32" t="n">
        <f aca="false">INDEX(Surface_Engine!$G$12:$G$72,$A108+1)*IF($A108&lt;$Q$69,INDEX(Surface_Engine!$Z$12:$Z$72,$A108+1),INDEX(Surface_Engine!$Z$12:$Z$72,$Q$69+1))</f>
        <v>0.178860801435352</v>
      </c>
      <c r="F108" s="48" t="n">
        <f aca="false">B108*(IF($A108&lt;$Q$69,INDEX(Surface_Engine!$D$12:$D$72,$A108+1)+(Surface_Engine!G236*12)*INDEX(Surface_Engine!$F$12:$F$72,$A108+1)-(Surface_Engine!G236*12),1000*12*INDEX(Surface_Engine!$C$12:$C$72,$A108+1)/(1+Assumptions!$B$10)^20+INDEX(Surface_Engine!$D$12:$D$72,$A108+1)))*INDEX(Surface_Engine!$B$12:$B$72,$A108+1)+F109</f>
        <v>3908.59568872152</v>
      </c>
      <c r="G108" s="48" t="n">
        <f aca="false">C108*(IF($A108&lt;$Q$69,INDEX(Surface_Engine!$D$12:$D$72,$A108+1)+(Surface_Engine!G236*12)*INDEX(Surface_Engine!$F$12:$F$72,$A108+1)-(Surface_Engine!G236*12),1000*12*INDEX(Surface_Engine!$C$12:$C$72,$A108+1)/(1+Assumptions!$B$10)^20+INDEX(Surface_Engine!$D$12:$D$72,$A108+1)))*INDEX(Surface_Engine!$B$12:$B$72,$A108+1)+G109</f>
        <v>6446.93636024102</v>
      </c>
      <c r="H108" s="48" t="n">
        <f aca="false">D108*(IF($A108&lt;$Q$69,INDEX(Surface_Engine!$D$12:$D$72,$A108+1)+(Surface_Engine!G236*12)*INDEX(Surface_Engine!$F$12:$F$72,$A108+1)-(Surface_Engine!G236*12),1000*12*INDEX(Surface_Engine!$C$12:$C$72,$A108+1)/(1+Assumptions!$B$10)^20+INDEX(Surface_Engine!$D$12:$D$72,$A108+1)))*INDEX(Surface_Engine!$B$12:$B$72,$A108+1)+H109</f>
        <v>3460.16630329442</v>
      </c>
      <c r="I108" s="48" t="n">
        <f aca="false">E108*(IF($A108&lt;$Q$69,INDEX(Surface_Engine!$D$12:$D$72,$A108+1)+(Surface_Engine!G236*12)*INDEX(Surface_Engine!$F$12:$F$72,$A108+1)-(Surface_Engine!G236*12),1000*12*INDEX(Surface_Engine!$C$12:$C$72,$A108+1)/(1+Assumptions!$B$10)^20+INDEX(Surface_Engine!$D$12:$D$72,$A108+1)))*INDEX(Surface_Engine!$B$12:$B$72,$A108+1)+I109</f>
        <v>4410.62450414453</v>
      </c>
      <c r="J108" s="48" t="n">
        <f aca="false">B108*(IF($A108&lt;$Q$69,INDEX(Surface_Engine!$D$12:$D$72,$A108+1)*(1+Assumptions!$B$24)+(Surface_Engine!G236*12)*INDEX(Surface_Engine!$F$12:$F$72,$A108+1)-(Surface_Engine!G236*12),1000*12*INDEX(Surface_Engine!$C$12:$C$72,$A108+1)/(1+Assumptions!$B$10)^20+INDEX(Surface_Engine!$D$12:$D$72,$A108+1)*(1+Assumptions!$B$24)))*INDEX(Surface_Engine!$B$12:$B$72,$A108+1)+J109</f>
        <v>3913.36528768368</v>
      </c>
      <c r="K108" s="12" t="n">
        <f aca="false">SQRT((IF(C108&lt;=0,0,MAX(0,(B108/C108)*G108/INDEX(Surface_Engine!$B$12:$B$72,$A108+1)-F108/INDEX(Surface_Engine!$B$12:$B$72,$A108+1))))^2+(MAX(IF(D108&lt;=0,0,MAX(0,(B108/D108)*H108/INDEX(Surface_Engine!$B$12:$B$72,$A108+1)-F108/INDEX(Surface_Engine!$B$12:$B$72,$A108+1))),IF(E108&lt;=0,0,MAX(0,(B108/E108)*I108/INDEX(Surface_Engine!$B$12:$B$72,$A108+1)-F108/INDEX(Surface_Engine!$B$12:$B$72,$A108+1))),IF($A108&lt;$Q$69,MAX(0,-Assumptions!$B$22*(F108/INDEX(Surface_Engine!$B$12:$B$72,$A108+1))),0)))^2+(MAX(0,J108/INDEX(Surface_Engine!$B$12:$B$72,$A108+1)-(F108/INDEX(Surface_Engine!$B$12:$B$72,$A108+1))))^2+2*Assumptions!$B$26*(IF(C108&lt;=0,0,MAX(0,(B108/C108)*G108/INDEX(Surface_Engine!$B$12:$B$72,$A108+1)-F108/INDEX(Surface_Engine!$B$12:$B$72,$A108+1))))*(MAX(IF(D108&lt;=0,0,MAX(0,(B108/D108)*H108/INDEX(Surface_Engine!$B$12:$B$72,$A108+1)-F108/INDEX(Surface_Engine!$B$12:$B$72,$A108+1))),IF(E108&lt;=0,0,MAX(0,(B108/E108)*I108/INDEX(Surface_Engine!$B$12:$B$72,$A108+1)-F108/INDEX(Surface_Engine!$B$12:$B$72,$A108+1))),IF($A108&lt;$Q$69,MAX(0,-Assumptions!$B$22*(F108/INDEX(Surface_Engine!$B$12:$B$72,$A108+1))),0)))+2*Assumptions!$B$27*(IF(C108&lt;=0,0,MAX(0,(B108/C108)*G108/INDEX(Surface_Engine!$B$12:$B$72,$A108+1)-F108/INDEX(Surface_Engine!$B$12:$B$72,$A108+1))))*(MAX(0,J108/INDEX(Surface_Engine!$B$12:$B$72,$A108+1)-(F108/INDEX(Surface_Engine!$B$12:$B$72,$A108+1))))+2*Assumptions!$B$28*(MAX(IF(D108&lt;=0,0,MAX(0,(B108/D108)*H108/INDEX(Surface_Engine!$B$12:$B$72,$A108+1)-F108/INDEX(Surface_Engine!$B$12:$B$72,$A108+1))),IF(E108&lt;=0,0,MAX(0,(B108/E108)*I108/INDEX(Surface_Engine!$B$12:$B$72,$A108+1)-F108/INDEX(Surface_Engine!$B$12:$B$72,$A108+1))),IF($A108&lt;$Q$69,MAX(0,-Assumptions!$B$22*(F108/INDEX(Surface_Engine!$B$12:$B$72,$A108+1))),0)))*(MAX(0,J108/INDEX(Surface_Engine!$B$12:$B$72,$A108+1)-(F108/INDEX(Surface_Engine!$B$12:$B$72,$A108+1)))))</f>
        <v>2279.38623558999</v>
      </c>
      <c r="L108" s="48" t="n">
        <f aca="false">K108*INDEX(Surface_Engine!$B$12:$B$72,$A108+1)+L109</f>
        <v>2912.7949626236</v>
      </c>
      <c r="M108" s="48" t="n">
        <f aca="false">M107+B107*(IF($A107&lt;$Q$69,(Surface_Engine!G236*12)-(Surface_Engine!G236*12)*INDEX(Surface_Engine!$F$12:$F$72,$A107+1)-INDEX(Surface_Engine!$D$12:$D$72,$A107+1),-(1000*12*INDEX(Surface_Engine!$C$12:$C$72,$A107+1)/(1+Assumptions!$B$10)^20+INDEX(Surface_Engine!$D$12:$D$72,$A107+1))))*INDEX(Surface_Engine!$B$12:$B$72,$A107+1)</f>
        <v>5734.42011850425</v>
      </c>
      <c r="N108" s="12" t="n">
        <f aca="false">IF(B108&lt;=0,0,MAX(0,(K108+Assumptions!$B$29*L108/INDEX(Surface_Engine!$B$12:$B$72,$A108+1)-(M108/INDEX(Surface_Engine!$B$12:$B$72,$A108+1)-(F108/INDEX(Surface_Engine!$B$12:$B$72,$A108+1))))/B108))</f>
        <v>0</v>
      </c>
    </row>
    <row r="109" customFormat="false" ht="15" hidden="false" customHeight="true" outlineLevel="0" collapsed="false">
      <c r="A109" s="1" t="n">
        <v>38</v>
      </c>
      <c r="B109" s="32" t="n">
        <f aca="false">INDEX(Surface_Engine!$G$12:$G$72,$A109+1)*IF($A109&lt;$Q$69,INDEX(Surface_Engine!$E$12:$E$72,$A109+1),INDEX(Surface_Engine!$E$12:$E$72,$Q$69+1))</f>
        <v>0.131358718342882</v>
      </c>
      <c r="C109" s="32" t="n">
        <f aca="false">INDEX(Panel_Reserving!$B$8:$B$68,$A109+1)*IF($A109&lt;$Q$69,INDEX(Surface_Engine!$E$12:$E$72,$A109+1),INDEX(Surface_Engine!$E$12:$E$72,$Q$69+1))</f>
        <v>0.190916804306438</v>
      </c>
      <c r="D109" s="32" t="n">
        <f aca="false">INDEX(Surface_Engine!$G$12:$G$72,$A109+1)*IF($A109&lt;$Q$69,INDEX(Surface_Engine!$Y$12:$Y$72,$A109+1),INDEX(Surface_Engine!$Y$12:$Y$72,$Q$69+1))</f>
        <v>0.116288060227241</v>
      </c>
      <c r="E109" s="32" t="n">
        <f aca="false">INDEX(Surface_Engine!$G$12:$G$72,$A109+1)*IF($A109&lt;$Q$69,INDEX(Surface_Engine!$Z$12:$Z$72,$A109+1),INDEX(Surface_Engine!$Z$12:$Z$72,$Q$69+1))</f>
        <v>0.148230727375551</v>
      </c>
      <c r="F109" s="48" t="n">
        <f aca="false">B109*(IF($A109&lt;$Q$69,INDEX(Surface_Engine!$D$12:$D$72,$A109+1)+(Surface_Engine!G236*12)*INDEX(Surface_Engine!$F$12:$F$72,$A109+1)-(Surface_Engine!G236*12),1000*12*INDEX(Surface_Engine!$C$12:$C$72,$A109+1)/(1+Assumptions!$B$10)^20+INDEX(Surface_Engine!$D$12:$D$72,$A109+1)))*INDEX(Surface_Engine!$B$12:$B$72,$A109+1)+F110</f>
        <v>3066.91654926101</v>
      </c>
      <c r="G109" s="48" t="n">
        <f aca="false">C109*(IF($A109&lt;$Q$69,INDEX(Surface_Engine!$D$12:$D$72,$A109+1)+(Surface_Engine!G236*12)*INDEX(Surface_Engine!$F$12:$F$72,$A109+1)-(Surface_Engine!G236*12),1000*12*INDEX(Surface_Engine!$C$12:$C$72,$A109+1)/(1+Assumptions!$B$10)^20+INDEX(Surface_Engine!$D$12:$D$72,$A109+1)))*INDEX(Surface_Engine!$B$12:$B$72,$A109+1)+G110</f>
        <v>5272.18906648625</v>
      </c>
      <c r="H109" s="48" t="n">
        <f aca="false">D109*(IF($A109&lt;$Q$69,INDEX(Surface_Engine!$D$12:$D$72,$A109+1)+(Surface_Engine!G236*12)*INDEX(Surface_Engine!$F$12:$F$72,$A109+1)-(Surface_Engine!G236*12),1000*12*INDEX(Surface_Engine!$C$12:$C$72,$A109+1)/(1+Assumptions!$B$10)^20+INDEX(Surface_Engine!$D$12:$D$72,$A109+1)))*INDEX(Surface_Engine!$B$12:$B$72,$A109+1)+H110</f>
        <v>2715.05219365375</v>
      </c>
      <c r="I109" s="48" t="n">
        <f aca="false">E109*(IF($A109&lt;$Q$69,INDEX(Surface_Engine!$D$12:$D$72,$A109+1)+(Surface_Engine!G236*12)*INDEX(Surface_Engine!$F$12:$F$72,$A109+1)-(Surface_Engine!G236*12),1000*12*INDEX(Surface_Engine!$C$12:$C$72,$A109+1)/(1+Assumptions!$B$10)^20+INDEX(Surface_Engine!$D$12:$D$72,$A109+1)))*INDEX(Surface_Engine!$B$12:$B$72,$A109+1)+I110</f>
        <v>3460.83820420976</v>
      </c>
      <c r="J109" s="48" t="n">
        <f aca="false">B109*(IF($A109&lt;$Q$69,INDEX(Surface_Engine!$D$12:$D$72,$A109+1)*(1+Assumptions!$B$24)+(Surface_Engine!G236*12)*INDEX(Surface_Engine!$F$12:$F$72,$A109+1)-(Surface_Engine!G236*12),1000*12*INDEX(Surface_Engine!$C$12:$C$72,$A109+1)/(1+Assumptions!$B$10)^20+INDEX(Surface_Engine!$D$12:$D$72,$A109+1)*(1+Assumptions!$B$24)))*INDEX(Surface_Engine!$B$12:$B$72,$A109+1)+J110</f>
        <v>3070.67432010351</v>
      </c>
      <c r="K109" s="12" t="n">
        <f aca="false">SQRT((IF(C109&lt;=0,0,MAX(0,(B109/C109)*G109/INDEX(Surface_Engine!$B$12:$B$72,$A109+1)-F109/INDEX(Surface_Engine!$B$12:$B$72,$A109+1))))^2+(MAX(IF(D109&lt;=0,0,MAX(0,(B109/D109)*H109/INDEX(Surface_Engine!$B$12:$B$72,$A109+1)-F109/INDEX(Surface_Engine!$B$12:$B$72,$A109+1))),IF(E109&lt;=0,0,MAX(0,(B109/E109)*I109/INDEX(Surface_Engine!$B$12:$B$72,$A109+1)-F109/INDEX(Surface_Engine!$B$12:$B$72,$A109+1))),IF($A109&lt;$Q$69,MAX(0,-Assumptions!$B$22*(F109/INDEX(Surface_Engine!$B$12:$B$72,$A109+1))),0)))^2+(MAX(0,J109/INDEX(Surface_Engine!$B$12:$B$72,$A109+1)-(F109/INDEX(Surface_Engine!$B$12:$B$72,$A109+1))))^2+2*Assumptions!$B$26*(IF(C109&lt;=0,0,MAX(0,(B109/C109)*G109/INDEX(Surface_Engine!$B$12:$B$72,$A109+1)-F109/INDEX(Surface_Engine!$B$12:$B$72,$A109+1))))*(MAX(IF(D109&lt;=0,0,MAX(0,(B109/D109)*H109/INDEX(Surface_Engine!$B$12:$B$72,$A109+1)-F109/INDEX(Surface_Engine!$B$12:$B$72,$A109+1))),IF(E109&lt;=0,0,MAX(0,(B109/E109)*I109/INDEX(Surface_Engine!$B$12:$B$72,$A109+1)-F109/INDEX(Surface_Engine!$B$12:$B$72,$A109+1))),IF($A109&lt;$Q$69,MAX(0,-Assumptions!$B$22*(F109/INDEX(Surface_Engine!$B$12:$B$72,$A109+1))),0)))+2*Assumptions!$B$27*(IF(C109&lt;=0,0,MAX(0,(B109/C109)*G109/INDEX(Surface_Engine!$B$12:$B$72,$A109+1)-F109/INDEX(Surface_Engine!$B$12:$B$72,$A109+1))))*(MAX(0,J109/INDEX(Surface_Engine!$B$12:$B$72,$A109+1)-(F109/INDEX(Surface_Engine!$B$12:$B$72,$A109+1))))+2*Assumptions!$B$28*(MAX(IF(D109&lt;=0,0,MAX(0,(B109/D109)*H109/INDEX(Surface_Engine!$B$12:$B$72,$A109+1)-F109/INDEX(Surface_Engine!$B$12:$B$72,$A109+1))),IF(E109&lt;=0,0,MAX(0,(B109/E109)*I109/INDEX(Surface_Engine!$B$12:$B$72,$A109+1)-F109/INDEX(Surface_Engine!$B$12:$B$72,$A109+1))),IF($A109&lt;$Q$69,MAX(0,-Assumptions!$B$22*(F109/INDEX(Surface_Engine!$B$12:$B$72,$A109+1))),0)))*(MAX(0,J109/INDEX(Surface_Engine!$B$12:$B$72,$A109+1)-(F109/INDEX(Surface_Engine!$B$12:$B$72,$A109+1)))))</f>
        <v>1857.26671122699</v>
      </c>
      <c r="L109" s="48" t="n">
        <f aca="false">K109*INDEX(Surface_Engine!$B$12:$B$72,$A109+1)+L110</f>
        <v>2201.10316733071</v>
      </c>
      <c r="M109" s="48" t="n">
        <f aca="false">M108+B108*(IF($A108&lt;$Q$69,(Surface_Engine!G236*12)-(Surface_Engine!G236*12)*INDEX(Surface_Engine!$F$12:$F$72,$A108+1)-INDEX(Surface_Engine!$D$12:$D$72,$A108+1),-(1000*12*INDEX(Surface_Engine!$C$12:$C$72,$A108+1)/(1+Assumptions!$B$10)^20+INDEX(Surface_Engine!$D$12:$D$72,$A108+1))))*INDEX(Surface_Engine!$B$12:$B$72,$A108+1)</f>
        <v>4892.74097904374</v>
      </c>
      <c r="N109" s="12" t="n">
        <f aca="false">IF(B109&lt;=0,0,MAX(0,(K109+Assumptions!$B$29*L109/INDEX(Surface_Engine!$B$12:$B$72,$A109+1)-(M109/INDEX(Surface_Engine!$B$12:$B$72,$A109+1)-(F109/INDEX(Surface_Engine!$B$12:$B$72,$A109+1))))/B109))</f>
        <v>0</v>
      </c>
    </row>
    <row r="110" customFormat="false" ht="15" hidden="false" customHeight="true" outlineLevel="0" collapsed="false">
      <c r="A110" s="1" t="n">
        <v>39</v>
      </c>
      <c r="B110" s="32" t="n">
        <f aca="false">INDEX(Surface_Engine!$G$12:$G$72,$A110+1)*IF($A110&lt;$Q$69,INDEX(Surface_Engine!$E$12:$E$72,$A110+1),INDEX(Surface_Engine!$E$12:$E$72,$Q$69+1))</f>
        <v>0.107543761047313</v>
      </c>
      <c r="C110" s="32" t="n">
        <f aca="false">INDEX(Panel_Reserving!$B$8:$B$68,$A110+1)*IF($A110&lt;$Q$69,INDEX(Surface_Engine!$E$12:$E$72,$A110+1),INDEX(Surface_Engine!$E$12:$E$72,$Q$69+1))</f>
        <v>0.163226670913411</v>
      </c>
      <c r="D110" s="32" t="n">
        <f aca="false">INDEX(Surface_Engine!$G$12:$G$72,$A110+1)*IF($A110&lt;$Q$69,INDEX(Surface_Engine!$Y$12:$Y$72,$A110+1),INDEX(Surface_Engine!$Y$12:$Y$72,$Q$69+1))</f>
        <v>0.095205369841458</v>
      </c>
      <c r="E110" s="32" t="n">
        <f aca="false">INDEX(Surface_Engine!$G$12:$G$72,$A110+1)*IF($A110&lt;$Q$69,INDEX(Surface_Engine!$Z$12:$Z$72,$A110+1),INDEX(Surface_Engine!$Z$12:$Z$72,$Q$69+1))</f>
        <v>0.121356923437199</v>
      </c>
      <c r="F110" s="48" t="n">
        <f aca="false">B110*(IF($A110&lt;$Q$69,INDEX(Surface_Engine!$D$12:$D$72,$A110+1)+(Surface_Engine!G236*12)*INDEX(Surface_Engine!$F$12:$F$72,$A110+1)-(Surface_Engine!G236*12),1000*12*INDEX(Surface_Engine!$C$12:$C$72,$A110+1)/(1+Assumptions!$B$10)^20+INDEX(Surface_Engine!$D$12:$D$72,$A110+1)))*INDEX(Surface_Engine!$B$12:$B$72,$A110+1)+F111</f>
        <v>2377.92690863311</v>
      </c>
      <c r="G110" s="48" t="n">
        <f aca="false">C110*(IF($A110&lt;$Q$69,INDEX(Surface_Engine!$D$12:$D$72,$A110+1)+(Surface_Engine!G236*12)*INDEX(Surface_Engine!$F$12:$F$72,$A110+1)-(Surface_Engine!G236*12),1000*12*INDEX(Surface_Engine!$C$12:$C$72,$A110+1)/(1+Assumptions!$B$10)^20+INDEX(Surface_Engine!$D$12:$D$72,$A110+1)))*INDEX(Surface_Engine!$B$12:$B$72,$A110+1)+G111</f>
        <v>4270.81129690749</v>
      </c>
      <c r="H110" s="48" t="n">
        <f aca="false">D110*(IF($A110&lt;$Q$69,INDEX(Surface_Engine!$D$12:$D$72,$A110+1)+(Surface_Engine!G236*12)*INDEX(Surface_Engine!$F$12:$F$72,$A110+1)-(Surface_Engine!G236*12),1000*12*INDEX(Surface_Engine!$C$12:$C$72,$A110+1)/(1+Assumptions!$B$10)^20+INDEX(Surface_Engine!$D$12:$D$72,$A110+1)))*INDEX(Surface_Engine!$B$12:$B$72,$A110+1)+H111</f>
        <v>2105.10966501135</v>
      </c>
      <c r="I110" s="48" t="n">
        <f aca="false">E110*(IF($A110&lt;$Q$69,INDEX(Surface_Engine!$D$12:$D$72,$A110+1)+(Surface_Engine!G236*12)*INDEX(Surface_Engine!$F$12:$F$72,$A110+1)-(Surface_Engine!G236*12),1000*12*INDEX(Surface_Engine!$C$12:$C$72,$A110+1)/(1+Assumptions!$B$10)^20+INDEX(Surface_Engine!$D$12:$D$72,$A110+1)))*INDEX(Surface_Engine!$B$12:$B$72,$A110+1)+I111</f>
        <v>2683.35318553055</v>
      </c>
      <c r="J110" s="48" t="n">
        <f aca="false">B110*(IF($A110&lt;$Q$69,INDEX(Surface_Engine!$D$12:$D$72,$A110+1)*(1+Assumptions!$B$24)+(Surface_Engine!G236*12)*INDEX(Surface_Engine!$F$12:$F$72,$A110+1)-(Surface_Engine!G236*12),1000*12*INDEX(Surface_Engine!$C$12:$C$72,$A110+1)/(1+Assumptions!$B$10)^20+INDEX(Surface_Engine!$D$12:$D$72,$A110+1)*(1+Assumptions!$B$24)))*INDEX(Surface_Engine!$B$12:$B$72,$A110+1)+J111</f>
        <v>2380.85239656941</v>
      </c>
      <c r="K110" s="12" t="n">
        <f aca="false">SQRT((IF(C110&lt;=0,0,MAX(0,(B110/C110)*G110/INDEX(Surface_Engine!$B$12:$B$72,$A110+1)-F110/INDEX(Surface_Engine!$B$12:$B$72,$A110+1))))^2+(MAX(IF(D110&lt;=0,0,MAX(0,(B110/D110)*H110/INDEX(Surface_Engine!$B$12:$B$72,$A110+1)-F110/INDEX(Surface_Engine!$B$12:$B$72,$A110+1))),IF(E110&lt;=0,0,MAX(0,(B110/E110)*I110/INDEX(Surface_Engine!$B$12:$B$72,$A110+1)-F110/INDEX(Surface_Engine!$B$12:$B$72,$A110+1))),IF($A110&lt;$Q$69,MAX(0,-Assumptions!$B$22*(F110/INDEX(Surface_Engine!$B$12:$B$72,$A110+1))),0)))^2+(MAX(0,J110/INDEX(Surface_Engine!$B$12:$B$72,$A110+1)-(F110/INDEX(Surface_Engine!$B$12:$B$72,$A110+1))))^2+2*Assumptions!$B$26*(IF(C110&lt;=0,0,MAX(0,(B110/C110)*G110/INDEX(Surface_Engine!$B$12:$B$72,$A110+1)-F110/INDEX(Surface_Engine!$B$12:$B$72,$A110+1))))*(MAX(IF(D110&lt;=0,0,MAX(0,(B110/D110)*H110/INDEX(Surface_Engine!$B$12:$B$72,$A110+1)-F110/INDEX(Surface_Engine!$B$12:$B$72,$A110+1))),IF(E110&lt;=0,0,MAX(0,(B110/E110)*I110/INDEX(Surface_Engine!$B$12:$B$72,$A110+1)-F110/INDEX(Surface_Engine!$B$12:$B$72,$A110+1))),IF($A110&lt;$Q$69,MAX(0,-Assumptions!$B$22*(F110/INDEX(Surface_Engine!$B$12:$B$72,$A110+1))),0)))+2*Assumptions!$B$27*(IF(C110&lt;=0,0,MAX(0,(B110/C110)*G110/INDEX(Surface_Engine!$B$12:$B$72,$A110+1)-F110/INDEX(Surface_Engine!$B$12:$B$72,$A110+1))))*(MAX(0,J110/INDEX(Surface_Engine!$B$12:$B$72,$A110+1)-(F110/INDEX(Surface_Engine!$B$12:$B$72,$A110+1))))+2*Assumptions!$B$28*(MAX(IF(D110&lt;=0,0,MAX(0,(B110/D110)*H110/INDEX(Surface_Engine!$B$12:$B$72,$A110+1)-F110/INDEX(Surface_Engine!$B$12:$B$72,$A110+1))),IF(E110&lt;=0,0,MAX(0,(B110/E110)*I110/INDEX(Surface_Engine!$B$12:$B$72,$A110+1)-F110/INDEX(Surface_Engine!$B$12:$B$72,$A110+1))),IF($A110&lt;$Q$69,MAX(0,-Assumptions!$B$22*(F110/INDEX(Surface_Engine!$B$12:$B$72,$A110+1))),0)))*(MAX(0,J110/INDEX(Surface_Engine!$B$12:$B$72,$A110+1)-(F110/INDEX(Surface_Engine!$B$12:$B$72,$A110+1)))))</f>
        <v>1491.1245126128</v>
      </c>
      <c r="L110" s="48" t="n">
        <f aca="false">K110*INDEX(Surface_Engine!$B$12:$B$72,$A110+1)+L111</f>
        <v>1639.58267521904</v>
      </c>
      <c r="M110" s="48" t="n">
        <f aca="false">M109+B109*(IF($A109&lt;$Q$69,(Surface_Engine!G236*12)-(Surface_Engine!G236*12)*INDEX(Surface_Engine!$F$12:$F$72,$A109+1)-INDEX(Surface_Engine!$D$12:$D$72,$A109+1),-(1000*12*INDEX(Surface_Engine!$C$12:$C$72,$A109+1)/(1+Assumptions!$B$10)^20+INDEX(Surface_Engine!$D$12:$D$72,$A109+1))))*INDEX(Surface_Engine!$B$12:$B$72,$A109+1)</f>
        <v>4203.75133841584</v>
      </c>
      <c r="N110" s="12" t="n">
        <f aca="false">IF(B110&lt;=0,0,MAX(0,(K110+Assumptions!$B$29*L110/INDEX(Surface_Engine!$B$12:$B$72,$A110+1)-(M110/INDEX(Surface_Engine!$B$12:$B$72,$A110+1)-(F110/INDEX(Surface_Engine!$B$12:$B$72,$A110+1))))/B110))</f>
        <v>0</v>
      </c>
    </row>
    <row r="111" customFormat="false" ht="15" hidden="false" customHeight="true" outlineLevel="0" collapsed="false">
      <c r="A111" s="1" t="n">
        <v>40</v>
      </c>
      <c r="B111" s="32" t="n">
        <f aca="false">INDEX(Surface_Engine!$G$12:$G$72,$A111+1)*IF($A111&lt;$Q$69,INDEX(Surface_Engine!$E$12:$E$72,$A111+1),INDEX(Surface_Engine!$E$12:$E$72,$Q$69+1))</f>
        <v>0.0869362811509678</v>
      </c>
      <c r="C111" s="32" t="n">
        <f aca="false">INDEX(Panel_Reserving!$B$8:$B$68,$A111+1)*IF($A111&lt;$Q$69,INDEX(Surface_Engine!$E$12:$E$72,$A111+1),INDEX(Surface_Engine!$E$12:$E$72,$Q$69+1))</f>
        <v>0.138204742674054</v>
      </c>
      <c r="D111" s="32" t="n">
        <f aca="false">INDEX(Surface_Engine!$G$12:$G$72,$A111+1)*IF($A111&lt;$Q$69,INDEX(Surface_Engine!$Y$12:$Y$72,$A111+1),INDEX(Surface_Engine!$Y$12:$Y$72,$Q$69+1))</f>
        <v>0.0769621660895561</v>
      </c>
      <c r="E111" s="32" t="n">
        <f aca="false">INDEX(Surface_Engine!$G$12:$G$72,$A111+1)*IF($A111&lt;$Q$69,INDEX(Surface_Engine!$Z$12:$Z$72,$A111+1),INDEX(Surface_Engine!$Z$12:$Z$72,$Q$69+1))</f>
        <v>0.0981025725045199</v>
      </c>
      <c r="F111" s="48" t="n">
        <f aca="false">B111*(IF($A111&lt;$Q$69,INDEX(Surface_Engine!$D$12:$D$72,$A111+1)+(Surface_Engine!G236*12)*INDEX(Surface_Engine!$F$12:$F$72,$A111+1)-(Surface_Engine!G236*12),1000*12*INDEX(Surface_Engine!$C$12:$C$72,$A111+1)/(1+Assumptions!$B$10)^20+INDEX(Surface_Engine!$D$12:$D$72,$A111+1)))*INDEX(Surface_Engine!$B$12:$B$72,$A111+1)+F112</f>
        <v>1820.57500100947</v>
      </c>
      <c r="G111" s="48" t="n">
        <f aca="false">C111*(IF($A111&lt;$Q$69,INDEX(Surface_Engine!$D$12:$D$72,$A111+1)+(Surface_Engine!G236*12)*INDEX(Surface_Engine!$F$12:$F$72,$A111+1)-(Surface_Engine!G236*12),1000*12*INDEX(Surface_Engine!$C$12:$C$72,$A111+1)/(1+Assumptions!$B$10)^20+INDEX(Surface_Engine!$D$12:$D$72,$A111+1)))*INDEX(Surface_Engine!$B$12:$B$72,$A111+1)+G112</f>
        <v>3424.87941278246</v>
      </c>
      <c r="H111" s="48" t="n">
        <f aca="false">D111*(IF($A111&lt;$Q$69,INDEX(Surface_Engine!$D$12:$D$72,$A111+1)+(Surface_Engine!G236*12)*INDEX(Surface_Engine!$F$12:$F$72,$A111+1)-(Surface_Engine!G236*12),1000*12*INDEX(Surface_Engine!$C$12:$C$72,$A111+1)/(1+Assumptions!$B$10)^20+INDEX(Surface_Engine!$D$12:$D$72,$A111+1)))*INDEX(Surface_Engine!$B$12:$B$72,$A111+1)+H112</f>
        <v>1611.70220017658</v>
      </c>
      <c r="I111" s="48" t="n">
        <f aca="false">E111*(IF($A111&lt;$Q$69,INDEX(Surface_Engine!$D$12:$D$72,$A111+1)+(Surface_Engine!G236*12)*INDEX(Surface_Engine!$F$12:$F$72,$A111+1)-(Surface_Engine!G236*12),1000*12*INDEX(Surface_Engine!$C$12:$C$72,$A111+1)/(1+Assumptions!$B$10)^20+INDEX(Surface_Engine!$D$12:$D$72,$A111+1)))*INDEX(Surface_Engine!$B$12:$B$72,$A111+1)+I112</f>
        <v>2054.4137461585</v>
      </c>
      <c r="J111" s="48" t="n">
        <f aca="false">B111*(IF($A111&lt;$Q$69,INDEX(Surface_Engine!$D$12:$D$72,$A111+1)*(1+Assumptions!$B$24)+(Surface_Engine!G236*12)*INDEX(Surface_Engine!$F$12:$F$72,$A111+1)-(Surface_Engine!G236*12),1000*12*INDEX(Surface_Engine!$C$12:$C$72,$A111+1)/(1+Assumptions!$B$10)^20+INDEX(Surface_Engine!$D$12:$D$72,$A111+1)*(1+Assumptions!$B$24)))*INDEX(Surface_Engine!$B$12:$B$72,$A111+1)+J112</f>
        <v>1822.82396098178</v>
      </c>
      <c r="K111" s="12" t="n">
        <f aca="false">SQRT((IF(C111&lt;=0,0,MAX(0,(B111/C111)*G111/INDEX(Surface_Engine!$B$12:$B$72,$A111+1)-F111/INDEX(Surface_Engine!$B$12:$B$72,$A111+1))))^2+(MAX(IF(D111&lt;=0,0,MAX(0,(B111/D111)*H111/INDEX(Surface_Engine!$B$12:$B$72,$A111+1)-F111/INDEX(Surface_Engine!$B$12:$B$72,$A111+1))),IF(E111&lt;=0,0,MAX(0,(B111/E111)*I111/INDEX(Surface_Engine!$B$12:$B$72,$A111+1)-F111/INDEX(Surface_Engine!$B$12:$B$72,$A111+1))),IF($A111&lt;$Q$69,MAX(0,-Assumptions!$B$22*(F111/INDEX(Surface_Engine!$B$12:$B$72,$A111+1))),0)))^2+(MAX(0,J111/INDEX(Surface_Engine!$B$12:$B$72,$A111+1)-(F111/INDEX(Surface_Engine!$B$12:$B$72,$A111+1))))^2+2*Assumptions!$B$26*(IF(C111&lt;=0,0,MAX(0,(B111/C111)*G111/INDEX(Surface_Engine!$B$12:$B$72,$A111+1)-F111/INDEX(Surface_Engine!$B$12:$B$72,$A111+1))))*(MAX(IF(D111&lt;=0,0,MAX(0,(B111/D111)*H111/INDEX(Surface_Engine!$B$12:$B$72,$A111+1)-F111/INDEX(Surface_Engine!$B$12:$B$72,$A111+1))),IF(E111&lt;=0,0,MAX(0,(B111/E111)*I111/INDEX(Surface_Engine!$B$12:$B$72,$A111+1)-F111/INDEX(Surface_Engine!$B$12:$B$72,$A111+1))),IF($A111&lt;$Q$69,MAX(0,-Assumptions!$B$22*(F111/INDEX(Surface_Engine!$B$12:$B$72,$A111+1))),0)))+2*Assumptions!$B$27*(IF(C111&lt;=0,0,MAX(0,(B111/C111)*G111/INDEX(Surface_Engine!$B$12:$B$72,$A111+1)-F111/INDEX(Surface_Engine!$B$12:$B$72,$A111+1))))*(MAX(0,J111/INDEX(Surface_Engine!$B$12:$B$72,$A111+1)-(F111/INDEX(Surface_Engine!$B$12:$B$72,$A111+1))))+2*Assumptions!$B$28*(MAX(IF(D111&lt;=0,0,MAX(0,(B111/D111)*H111/INDEX(Surface_Engine!$B$12:$B$72,$A111+1)-F111/INDEX(Surface_Engine!$B$12:$B$72,$A111+1))),IF(E111&lt;=0,0,MAX(0,(B111/E111)*I111/INDEX(Surface_Engine!$B$12:$B$72,$A111+1)-F111/INDEX(Surface_Engine!$B$12:$B$72,$A111+1))),IF($A111&lt;$Q$69,MAX(0,-Assumptions!$B$22*(F111/INDEX(Surface_Engine!$B$12:$B$72,$A111+1))),0)))*(MAX(0,J111/INDEX(Surface_Engine!$B$12:$B$72,$A111+1)-(F111/INDEX(Surface_Engine!$B$12:$B$72,$A111+1)))))</f>
        <v>1179.22359735274</v>
      </c>
      <c r="L111" s="48" t="n">
        <f aca="false">K111*INDEX(Surface_Engine!$B$12:$B$72,$A111+1)+L112</f>
        <v>1202.8961019026</v>
      </c>
      <c r="M111" s="48" t="n">
        <f aca="false">M110+B110*(IF($A110&lt;$Q$69,(Surface_Engine!G236*12)-(Surface_Engine!G236*12)*INDEX(Surface_Engine!$F$12:$F$72,$A110+1)-INDEX(Surface_Engine!$D$12:$D$72,$A110+1),-(1000*12*INDEX(Surface_Engine!$C$12:$C$72,$A110+1)/(1+Assumptions!$B$10)^20+INDEX(Surface_Engine!$D$12:$D$72,$A110+1))))*INDEX(Surface_Engine!$B$12:$B$72,$A110+1)</f>
        <v>3646.3994307922</v>
      </c>
      <c r="N111" s="12" t="n">
        <f aca="false">IF(B111&lt;=0,0,MAX(0,(K111+Assumptions!$B$29*L111/INDEX(Surface_Engine!$B$12:$B$72,$A111+1)-(M111/INDEX(Surface_Engine!$B$12:$B$72,$A111+1)-(F111/INDEX(Surface_Engine!$B$12:$B$72,$A111+1))))/B111))</f>
        <v>0</v>
      </c>
    </row>
    <row r="112" customFormat="false" ht="15" hidden="false" customHeight="true" outlineLevel="0" collapsed="false">
      <c r="A112" s="1" t="n">
        <v>41</v>
      </c>
      <c r="B112" s="32" t="n">
        <f aca="false">INDEX(Surface_Engine!$G$12:$G$72,$A112+1)*IF($A112&lt;$Q$69,INDEX(Surface_Engine!$E$12:$E$72,$A112+1),INDEX(Surface_Engine!$E$12:$E$72,$Q$69+1))</f>
        <v>0.0693323085938822</v>
      </c>
      <c r="C112" s="32" t="n">
        <f aca="false">INDEX(Panel_Reserving!$B$8:$B$68,$A112+1)*IF($A112&lt;$Q$69,INDEX(Surface_Engine!$E$12:$E$72,$A112+1),INDEX(Surface_Engine!$E$12:$E$72,$Q$69+1))</f>
        <v>0.115816368429536</v>
      </c>
      <c r="D112" s="32" t="n">
        <f aca="false">INDEX(Surface_Engine!$G$12:$G$72,$A112+1)*IF($A112&lt;$Q$69,INDEX(Surface_Engine!$Y$12:$Y$72,$A112+1),INDEX(Surface_Engine!$Y$12:$Y$72,$Q$69+1))</f>
        <v>0.0613778801983562</v>
      </c>
      <c r="E112" s="32" t="n">
        <f aca="false">INDEX(Surface_Engine!$G$12:$G$72,$A112+1)*IF($A112&lt;$Q$69,INDEX(Surface_Engine!$Z$12:$Z$72,$A112+1),INDEX(Surface_Engine!$Z$12:$Z$72,$Q$69+1))</f>
        <v>0.0782375061445948</v>
      </c>
      <c r="F112" s="48" t="n">
        <f aca="false">B112*(IF($A112&lt;$Q$69,INDEX(Surface_Engine!$D$12:$D$72,$A112+1)+(Surface_Engine!G236*12)*INDEX(Surface_Engine!$F$12:$F$72,$A112+1)-(Surface_Engine!G236*12),1000*12*INDEX(Surface_Engine!$C$12:$C$72,$A112+1)/(1+Assumptions!$B$10)^20+INDEX(Surface_Engine!$D$12:$D$72,$A112+1)))*INDEX(Surface_Engine!$B$12:$B$72,$A112+1)+F113</f>
        <v>1375.57584173362</v>
      </c>
      <c r="G112" s="48" t="n">
        <f aca="false">C112*(IF($A112&lt;$Q$69,INDEX(Surface_Engine!$D$12:$D$72,$A112+1)+(Surface_Engine!G236*12)*INDEX(Surface_Engine!$F$12:$F$72,$A112+1)-(Surface_Engine!G236*12),1000*12*INDEX(Surface_Engine!$C$12:$C$72,$A112+1)/(1+Assumptions!$B$10)^20+INDEX(Surface_Engine!$D$12:$D$72,$A112+1)))*INDEX(Surface_Engine!$B$12:$B$72,$A112+1)+G113</f>
        <v>2717.45331307281</v>
      </c>
      <c r="H112" s="48" t="n">
        <f aca="false">D112*(IF($A112&lt;$Q$69,INDEX(Surface_Engine!$D$12:$D$72,$A112+1)+(Surface_Engine!G236*12)*INDEX(Surface_Engine!$F$12:$F$72,$A112+1)-(Surface_Engine!G236*12),1000*12*INDEX(Surface_Engine!$C$12:$C$72,$A112+1)/(1+Assumptions!$B$10)^20+INDEX(Surface_Engine!$D$12:$D$72,$A112+1)))*INDEX(Surface_Engine!$B$12:$B$72,$A112+1)+H113</f>
        <v>1217.7573620436</v>
      </c>
      <c r="I112" s="48" t="n">
        <f aca="false">E112*(IF($A112&lt;$Q$69,INDEX(Surface_Engine!$D$12:$D$72,$A112+1)+(Surface_Engine!G236*12)*INDEX(Surface_Engine!$F$12:$F$72,$A112+1)-(Surface_Engine!G236*12),1000*12*INDEX(Surface_Engine!$C$12:$C$72,$A112+1)/(1+Assumptions!$B$10)^20+INDEX(Surface_Engine!$D$12:$D$72,$A112+1)))*INDEX(Surface_Engine!$B$12:$B$72,$A112+1)+I113</f>
        <v>1552.25789466192</v>
      </c>
      <c r="J112" s="48" t="n">
        <f aca="false">B112*(IF($A112&lt;$Q$69,INDEX(Surface_Engine!$D$12:$D$72,$A112+1)*(1+Assumptions!$B$24)+(Surface_Engine!G236*12)*INDEX(Surface_Engine!$F$12:$F$72,$A112+1)-(Surface_Engine!G236*12),1000*12*INDEX(Surface_Engine!$C$12:$C$72,$A112+1)/(1+Assumptions!$B$10)^20+INDEX(Surface_Engine!$D$12:$D$72,$A112+1)*(1+Assumptions!$B$24)))*INDEX(Surface_Engine!$B$12:$B$72,$A112+1)+J113</f>
        <v>1377.28203486875</v>
      </c>
      <c r="K112" s="12" t="n">
        <f aca="false">SQRT((IF(C112&lt;=0,0,MAX(0,(B112/C112)*G112/INDEX(Surface_Engine!$B$12:$B$72,$A112+1)-F112/INDEX(Surface_Engine!$B$12:$B$72,$A112+1))))^2+(MAX(IF(D112&lt;=0,0,MAX(0,(B112/D112)*H112/INDEX(Surface_Engine!$B$12:$B$72,$A112+1)-F112/INDEX(Surface_Engine!$B$12:$B$72,$A112+1))),IF(E112&lt;=0,0,MAX(0,(B112/E112)*I112/INDEX(Surface_Engine!$B$12:$B$72,$A112+1)-F112/INDEX(Surface_Engine!$B$12:$B$72,$A112+1))),IF($A112&lt;$Q$69,MAX(0,-Assumptions!$B$22*(F112/INDEX(Surface_Engine!$B$12:$B$72,$A112+1))),0)))^2+(MAX(0,J112/INDEX(Surface_Engine!$B$12:$B$72,$A112+1)-(F112/INDEX(Surface_Engine!$B$12:$B$72,$A112+1))))^2+2*Assumptions!$B$26*(IF(C112&lt;=0,0,MAX(0,(B112/C112)*G112/INDEX(Surface_Engine!$B$12:$B$72,$A112+1)-F112/INDEX(Surface_Engine!$B$12:$B$72,$A112+1))))*(MAX(IF(D112&lt;=0,0,MAX(0,(B112/D112)*H112/INDEX(Surface_Engine!$B$12:$B$72,$A112+1)-F112/INDEX(Surface_Engine!$B$12:$B$72,$A112+1))),IF(E112&lt;=0,0,MAX(0,(B112/E112)*I112/INDEX(Surface_Engine!$B$12:$B$72,$A112+1)-F112/INDEX(Surface_Engine!$B$12:$B$72,$A112+1))),IF($A112&lt;$Q$69,MAX(0,-Assumptions!$B$22*(F112/INDEX(Surface_Engine!$B$12:$B$72,$A112+1))),0)))+2*Assumptions!$B$27*(IF(C112&lt;=0,0,MAX(0,(B112/C112)*G112/INDEX(Surface_Engine!$B$12:$B$72,$A112+1)-F112/INDEX(Surface_Engine!$B$12:$B$72,$A112+1))))*(MAX(0,J112/INDEX(Surface_Engine!$B$12:$B$72,$A112+1)-(F112/INDEX(Surface_Engine!$B$12:$B$72,$A112+1))))+2*Assumptions!$B$28*(MAX(IF(D112&lt;=0,0,MAX(0,(B112/D112)*H112/INDEX(Surface_Engine!$B$12:$B$72,$A112+1)-F112/INDEX(Surface_Engine!$B$12:$B$72,$A112+1))),IF(E112&lt;=0,0,MAX(0,(B112/E112)*I112/INDEX(Surface_Engine!$B$12:$B$72,$A112+1)-F112/INDEX(Surface_Engine!$B$12:$B$72,$A112+1))),IF($A112&lt;$Q$69,MAX(0,-Assumptions!$B$22*(F112/INDEX(Surface_Engine!$B$12:$B$72,$A112+1))),0)))*(MAX(0,J112/INDEX(Surface_Engine!$B$12:$B$72,$A112+1)-(F112/INDEX(Surface_Engine!$B$12:$B$72,$A112+1)))))</f>
        <v>916.540451658694</v>
      </c>
      <c r="L112" s="48" t="n">
        <f aca="false">K112*INDEX(Surface_Engine!$B$12:$B$72,$A112+1)+L113</f>
        <v>868.516374638627</v>
      </c>
      <c r="M112" s="48" t="n">
        <f aca="false">M111+B111*(IF($A111&lt;$Q$69,(Surface_Engine!G236*12)-(Surface_Engine!G236*12)*INDEX(Surface_Engine!$F$12:$F$72,$A111+1)-INDEX(Surface_Engine!$D$12:$D$72,$A111+1),-(1000*12*INDEX(Surface_Engine!$C$12:$C$72,$A111+1)/(1+Assumptions!$B$10)^20+INDEX(Surface_Engine!$D$12:$D$72,$A111+1))))*INDEX(Surface_Engine!$B$12:$B$72,$A111+1)</f>
        <v>3201.40027151634</v>
      </c>
      <c r="N112" s="12" t="n">
        <f aca="false">IF(B112&lt;=0,0,MAX(0,(K112+Assumptions!$B$29*L112/INDEX(Surface_Engine!$B$12:$B$72,$A112+1)-(M112/INDEX(Surface_Engine!$B$12:$B$72,$A112+1)-(F112/INDEX(Surface_Engine!$B$12:$B$72,$A112+1))))/B112))</f>
        <v>0</v>
      </c>
    </row>
    <row r="113" customFormat="false" ht="15" hidden="false" customHeight="true" outlineLevel="0" collapsed="false">
      <c r="A113" s="1" t="n">
        <v>42</v>
      </c>
      <c r="B113" s="32" t="n">
        <f aca="false">INDEX(Surface_Engine!$G$12:$G$72,$A113+1)*IF($A113&lt;$Q$69,INDEX(Surface_Engine!$E$12:$E$72,$A113+1),INDEX(Surface_Engine!$E$12:$E$72,$Q$69+1))</f>
        <v>0.0544782174331794</v>
      </c>
      <c r="C113" s="32" t="n">
        <f aca="false">INDEX(Panel_Reserving!$B$8:$B$68,$A113+1)*IF($A113&lt;$Q$69,INDEX(Surface_Engine!$E$12:$E$72,$A113+1),INDEX(Surface_Engine!$E$12:$E$72,$Q$69+1))</f>
        <v>0.0959659185663316</v>
      </c>
      <c r="D113" s="32" t="n">
        <f aca="false">INDEX(Surface_Engine!$G$12:$G$72,$A113+1)*IF($A113&lt;$Q$69,INDEX(Surface_Engine!$Y$12:$Y$72,$A113+1),INDEX(Surface_Engine!$Y$12:$Y$72,$Q$69+1))</f>
        <v>0.0482279844829621</v>
      </c>
      <c r="E113" s="32" t="n">
        <f aca="false">INDEX(Surface_Engine!$G$12:$G$72,$A113+1)*IF($A113&lt;$Q$69,INDEX(Surface_Engine!$Z$12:$Z$72,$A113+1),INDEX(Surface_Engine!$Z$12:$Z$72,$Q$69+1))</f>
        <v>0.0614755221283811</v>
      </c>
      <c r="F113" s="48" t="n">
        <f aca="false">B113*(IF($A113&lt;$Q$69,INDEX(Surface_Engine!$D$12:$D$72,$A113+1)+(Surface_Engine!G236*12)*INDEX(Surface_Engine!$F$12:$F$72,$A113+1)-(Surface_Engine!G236*12),1000*12*INDEX(Surface_Engine!$C$12:$C$72,$A113+1)/(1+Assumptions!$B$10)^20+INDEX(Surface_Engine!$D$12:$D$72,$A113+1)))*INDEX(Surface_Engine!$B$12:$B$72,$A113+1)+F114</f>
        <v>1025.07347676538</v>
      </c>
      <c r="G113" s="48" t="n">
        <f aca="false">C113*(IF($A113&lt;$Q$69,INDEX(Surface_Engine!$D$12:$D$72,$A113+1)+(Surface_Engine!G236*12)*INDEX(Surface_Engine!$F$12:$F$72,$A113+1)-(Surface_Engine!G236*12),1000*12*INDEX(Surface_Engine!$C$12:$C$72,$A113+1)/(1+Assumptions!$B$10)^20+INDEX(Surface_Engine!$D$12:$D$72,$A113+1)))*INDEX(Surface_Engine!$B$12:$B$72,$A113+1)+G114</f>
        <v>2131.95555798771</v>
      </c>
      <c r="H113" s="48" t="n">
        <f aca="false">D113*(IF($A113&lt;$Q$69,INDEX(Surface_Engine!$D$12:$D$72,$A113+1)+(Surface_Engine!G236*12)*INDEX(Surface_Engine!$F$12:$F$72,$A113+1)-(Surface_Engine!G236*12),1000*12*INDEX(Surface_Engine!$C$12:$C$72,$A113+1)/(1+Assumptions!$B$10)^20+INDEX(Surface_Engine!$D$12:$D$72,$A113+1)))*INDEX(Surface_Engine!$B$12:$B$72,$A113+1)+H114</f>
        <v>907.467792828834</v>
      </c>
      <c r="I113" s="48" t="n">
        <f aca="false">E113*(IF($A113&lt;$Q$69,INDEX(Surface_Engine!$D$12:$D$72,$A113+1)+(Surface_Engine!G236*12)*INDEX(Surface_Engine!$F$12:$F$72,$A113+1)-(Surface_Engine!G236*12),1000*12*INDEX(Surface_Engine!$C$12:$C$72,$A113+1)/(1+Assumptions!$B$10)^20+INDEX(Surface_Engine!$D$12:$D$72,$A113+1)))*INDEX(Surface_Engine!$B$12:$B$72,$A113+1)+I114</f>
        <v>1156.73621812976</v>
      </c>
      <c r="J113" s="48" t="n">
        <f aca="false">B113*(IF($A113&lt;$Q$69,INDEX(Surface_Engine!$D$12:$D$72,$A113+1)*(1+Assumptions!$B$24)+(Surface_Engine!G236*12)*INDEX(Surface_Engine!$F$12:$F$72,$A113+1)-(Surface_Engine!G236*12),1000*12*INDEX(Surface_Engine!$C$12:$C$72,$A113+1)/(1+Assumptions!$B$10)^20+INDEX(Surface_Engine!$D$12:$D$72,$A113+1)*(1+Assumptions!$B$24)))*INDEX(Surface_Engine!$B$12:$B$72,$A113+1)+J114</f>
        <v>1026.35009114554</v>
      </c>
      <c r="K113" s="12" t="n">
        <f aca="false">SQRT((IF(C113&lt;=0,0,MAX(0,(B113/C113)*G113/INDEX(Surface_Engine!$B$12:$B$72,$A113+1)-F113/INDEX(Surface_Engine!$B$12:$B$72,$A113+1))))^2+(MAX(IF(D113&lt;=0,0,MAX(0,(B113/D113)*H113/INDEX(Surface_Engine!$B$12:$B$72,$A113+1)-F113/INDEX(Surface_Engine!$B$12:$B$72,$A113+1))),IF(E113&lt;=0,0,MAX(0,(B113/E113)*I113/INDEX(Surface_Engine!$B$12:$B$72,$A113+1)-F113/INDEX(Surface_Engine!$B$12:$B$72,$A113+1))),IF($A113&lt;$Q$69,MAX(0,-Assumptions!$B$22*(F113/INDEX(Surface_Engine!$B$12:$B$72,$A113+1))),0)))^2+(MAX(0,J113/INDEX(Surface_Engine!$B$12:$B$72,$A113+1)-(F113/INDEX(Surface_Engine!$B$12:$B$72,$A113+1))))^2+2*Assumptions!$B$26*(IF(C113&lt;=0,0,MAX(0,(B113/C113)*G113/INDEX(Surface_Engine!$B$12:$B$72,$A113+1)-F113/INDEX(Surface_Engine!$B$12:$B$72,$A113+1))))*(MAX(IF(D113&lt;=0,0,MAX(0,(B113/D113)*H113/INDEX(Surface_Engine!$B$12:$B$72,$A113+1)-F113/INDEX(Surface_Engine!$B$12:$B$72,$A113+1))),IF(E113&lt;=0,0,MAX(0,(B113/E113)*I113/INDEX(Surface_Engine!$B$12:$B$72,$A113+1)-F113/INDEX(Surface_Engine!$B$12:$B$72,$A113+1))),IF($A113&lt;$Q$69,MAX(0,-Assumptions!$B$22*(F113/INDEX(Surface_Engine!$B$12:$B$72,$A113+1))),0)))+2*Assumptions!$B$27*(IF(C113&lt;=0,0,MAX(0,(B113/C113)*G113/INDEX(Surface_Engine!$B$12:$B$72,$A113+1)-F113/INDEX(Surface_Engine!$B$12:$B$72,$A113+1))))*(MAX(0,J113/INDEX(Surface_Engine!$B$12:$B$72,$A113+1)-(F113/INDEX(Surface_Engine!$B$12:$B$72,$A113+1))))+2*Assumptions!$B$28*(MAX(IF(D113&lt;=0,0,MAX(0,(B113/D113)*H113/INDEX(Surface_Engine!$B$12:$B$72,$A113+1)-F113/INDEX(Surface_Engine!$B$12:$B$72,$A113+1))),IF(E113&lt;=0,0,MAX(0,(B113/E113)*I113/INDEX(Surface_Engine!$B$12:$B$72,$A113+1)-F113/INDEX(Surface_Engine!$B$12:$B$72,$A113+1))),IF($A113&lt;$Q$69,MAX(0,-Assumptions!$B$22*(F113/INDEX(Surface_Engine!$B$12:$B$72,$A113+1))),0)))*(MAX(0,J113/INDEX(Surface_Engine!$B$12:$B$72,$A113+1)-(F113/INDEX(Surface_Engine!$B$12:$B$72,$A113+1)))))</f>
        <v>697.679384169608</v>
      </c>
      <c r="L113" s="48" t="n">
        <f aca="false">K113*INDEX(Surface_Engine!$B$12:$B$72,$A113+1)+L114</f>
        <v>616.88404548151</v>
      </c>
      <c r="M113" s="48" t="n">
        <f aca="false">M112+B112*(IF($A112&lt;$Q$69,(Surface_Engine!G236*12)-(Surface_Engine!G236*12)*INDEX(Surface_Engine!$F$12:$F$72,$A112+1)-INDEX(Surface_Engine!$D$12:$D$72,$A112+1),-(1000*12*INDEX(Surface_Engine!$C$12:$C$72,$A112+1)/(1+Assumptions!$B$10)^20+INDEX(Surface_Engine!$D$12:$D$72,$A112+1))))*INDEX(Surface_Engine!$B$12:$B$72,$A112+1)</f>
        <v>2850.8979065481</v>
      </c>
      <c r="N113" s="12" t="n">
        <f aca="false">IF(B113&lt;=0,0,MAX(0,(K113+Assumptions!$B$29*L113/INDEX(Surface_Engine!$B$12:$B$72,$A113+1)-(M113/INDEX(Surface_Engine!$B$12:$B$72,$A113+1)-(F113/INDEX(Surface_Engine!$B$12:$B$72,$A113+1))))/B113))</f>
        <v>0</v>
      </c>
    </row>
    <row r="114" customFormat="false" ht="15" hidden="false" customHeight="true" outlineLevel="0" collapsed="false">
      <c r="A114" s="1" t="n">
        <v>43</v>
      </c>
      <c r="B114" s="32" t="n">
        <f aca="false">INDEX(Surface_Engine!$G$12:$G$72,$A114+1)*IF($A114&lt;$Q$69,INDEX(Surface_Engine!$E$12:$E$72,$A114+1),INDEX(Surface_Engine!$E$12:$E$72,$Q$69+1))</f>
        <v>0.0420953445845966</v>
      </c>
      <c r="C114" s="32" t="n">
        <f aca="false">INDEX(Panel_Reserving!$B$8:$B$68,$A114+1)*IF($A114&lt;$Q$69,INDEX(Surface_Engine!$E$12:$E$72,$A114+1),INDEX(Surface_Engine!$E$12:$E$72,$Q$69+1))</f>
        <v>0.0785155125377292</v>
      </c>
      <c r="D114" s="32" t="n">
        <f aca="false">INDEX(Surface_Engine!$G$12:$G$72,$A114+1)*IF($A114&lt;$Q$69,INDEX(Surface_Engine!$Y$12:$Y$72,$A114+1),INDEX(Surface_Engine!$Y$12:$Y$72,$Q$69+1))</f>
        <v>0.0372657866039943</v>
      </c>
      <c r="E114" s="32" t="n">
        <f aca="false">INDEX(Surface_Engine!$G$12:$G$72,$A114+1)*IF($A114&lt;$Q$69,INDEX(Surface_Engine!$Z$12:$Z$72,$A114+1),INDEX(Surface_Engine!$Z$12:$Z$72,$Q$69+1))</f>
        <v>0.0475021652587352</v>
      </c>
      <c r="F114" s="48" t="n">
        <f aca="false">B114*(IF($A114&lt;$Q$69,INDEX(Surface_Engine!$D$12:$D$72,$A114+1)+(Surface_Engine!G236*12)*INDEX(Surface_Engine!$F$12:$F$72,$A114+1)-(Surface_Engine!G236*12),1000*12*INDEX(Surface_Engine!$C$12:$C$72,$A114+1)/(1+Assumptions!$B$10)^20+INDEX(Surface_Engine!$D$12:$D$72,$A114+1)))*INDEX(Surface_Engine!$B$12:$B$72,$A114+1)+F115</f>
        <v>752.969192870303</v>
      </c>
      <c r="G114" s="48" t="n">
        <f aca="false">C114*(IF($A114&lt;$Q$69,INDEX(Surface_Engine!$D$12:$D$72,$A114+1)+(Surface_Engine!G236*12)*INDEX(Surface_Engine!$F$12:$F$72,$A114+1)-(Surface_Engine!G236*12),1000*12*INDEX(Surface_Engine!$C$12:$C$72,$A114+1)/(1+Assumptions!$B$10)^20+INDEX(Surface_Engine!$D$12:$D$72,$A114+1)))*INDEX(Surface_Engine!$B$12:$B$72,$A114+1)+G115</f>
        <v>1652.63118248197</v>
      </c>
      <c r="H114" s="48" t="n">
        <f aca="false">D114*(IF($A114&lt;$Q$69,INDEX(Surface_Engine!$D$12:$D$72,$A114+1)+(Surface_Engine!G236*12)*INDEX(Surface_Engine!$F$12:$F$72,$A114+1)-(Surface_Engine!G236*12),1000*12*INDEX(Surface_Engine!$C$12:$C$72,$A114+1)/(1+Assumptions!$B$10)^20+INDEX(Surface_Engine!$D$12:$D$72,$A114+1)))*INDEX(Surface_Engine!$B$12:$B$72,$A114+1)+H115</f>
        <v>666.581769024268</v>
      </c>
      <c r="I114" s="48" t="n">
        <f aca="false">E114*(IF($A114&lt;$Q$69,INDEX(Surface_Engine!$D$12:$D$72,$A114+1)+(Surface_Engine!G236*12)*INDEX(Surface_Engine!$F$12:$F$72,$A114+1)-(Surface_Engine!G236*12),1000*12*INDEX(Surface_Engine!$C$12:$C$72,$A114+1)/(1+Assumptions!$B$10)^20+INDEX(Surface_Engine!$D$12:$D$72,$A114+1)))*INDEX(Surface_Engine!$B$12:$B$72,$A114+1)+I115</f>
        <v>849.682248415411</v>
      </c>
      <c r="J114" s="48" t="n">
        <f aca="false">B114*(IF($A114&lt;$Q$69,INDEX(Surface_Engine!$D$12:$D$72,$A114+1)*(1+Assumptions!$B$24)+(Surface_Engine!G236*12)*INDEX(Surface_Engine!$F$12:$F$72,$A114+1)-(Surface_Engine!G236*12),1000*12*INDEX(Surface_Engine!$C$12:$C$72,$A114+1)/(1+Assumptions!$B$10)^20+INDEX(Surface_Engine!$D$12:$D$72,$A114+1)*(1+Assumptions!$B$24)))*INDEX(Surface_Engine!$B$12:$B$72,$A114+1)+J115</f>
        <v>753.910699228729</v>
      </c>
      <c r="K114" s="12" t="n">
        <f aca="false">SQRT((IF(C114&lt;=0,0,MAX(0,(B114/C114)*G114/INDEX(Surface_Engine!$B$12:$B$72,$A114+1)-F114/INDEX(Surface_Engine!$B$12:$B$72,$A114+1))))^2+(MAX(IF(D114&lt;=0,0,MAX(0,(B114/D114)*H114/INDEX(Surface_Engine!$B$12:$B$72,$A114+1)-F114/INDEX(Surface_Engine!$B$12:$B$72,$A114+1))),IF(E114&lt;=0,0,MAX(0,(B114/E114)*I114/INDEX(Surface_Engine!$B$12:$B$72,$A114+1)-F114/INDEX(Surface_Engine!$B$12:$B$72,$A114+1))),IF($A114&lt;$Q$69,MAX(0,-Assumptions!$B$22*(F114/INDEX(Surface_Engine!$B$12:$B$72,$A114+1))),0)))^2+(MAX(0,J114/INDEX(Surface_Engine!$B$12:$B$72,$A114+1)-(F114/INDEX(Surface_Engine!$B$12:$B$72,$A114+1))))^2+2*Assumptions!$B$26*(IF(C114&lt;=0,0,MAX(0,(B114/C114)*G114/INDEX(Surface_Engine!$B$12:$B$72,$A114+1)-F114/INDEX(Surface_Engine!$B$12:$B$72,$A114+1))))*(MAX(IF(D114&lt;=0,0,MAX(0,(B114/D114)*H114/INDEX(Surface_Engine!$B$12:$B$72,$A114+1)-F114/INDEX(Surface_Engine!$B$12:$B$72,$A114+1))),IF(E114&lt;=0,0,MAX(0,(B114/E114)*I114/INDEX(Surface_Engine!$B$12:$B$72,$A114+1)-F114/INDEX(Surface_Engine!$B$12:$B$72,$A114+1))),IF($A114&lt;$Q$69,MAX(0,-Assumptions!$B$22*(F114/INDEX(Surface_Engine!$B$12:$B$72,$A114+1))),0)))+2*Assumptions!$B$27*(IF(C114&lt;=0,0,MAX(0,(B114/C114)*G114/INDEX(Surface_Engine!$B$12:$B$72,$A114+1)-F114/INDEX(Surface_Engine!$B$12:$B$72,$A114+1))))*(MAX(0,J114/INDEX(Surface_Engine!$B$12:$B$72,$A114+1)-(F114/INDEX(Surface_Engine!$B$12:$B$72,$A114+1))))+2*Assumptions!$B$28*(MAX(IF(D114&lt;=0,0,MAX(0,(B114/D114)*H114/INDEX(Surface_Engine!$B$12:$B$72,$A114+1)-F114/INDEX(Surface_Engine!$B$12:$B$72,$A114+1))),IF(E114&lt;=0,0,MAX(0,(B114/E114)*I114/INDEX(Surface_Engine!$B$12:$B$72,$A114+1)-F114/INDEX(Surface_Engine!$B$12:$B$72,$A114+1))),IF($A114&lt;$Q$69,MAX(0,-Assumptions!$B$22*(F114/INDEX(Surface_Engine!$B$12:$B$72,$A114+1))),0)))*(MAX(0,J114/INDEX(Surface_Engine!$B$12:$B$72,$A114+1)-(F114/INDEX(Surface_Engine!$B$12:$B$72,$A114+1)))))</f>
        <v>517.822840799089</v>
      </c>
      <c r="L114" s="48" t="n">
        <f aca="false">K114*INDEX(Surface_Engine!$B$12:$B$72,$A114+1)+L115</f>
        <v>431.359393070358</v>
      </c>
      <c r="M114" s="48" t="n">
        <f aca="false">M113+B113*(IF($A113&lt;$Q$69,(Surface_Engine!G236*12)-(Surface_Engine!G236*12)*INDEX(Surface_Engine!$F$12:$F$72,$A113+1)-INDEX(Surface_Engine!$D$12:$D$72,$A113+1),-(1000*12*INDEX(Surface_Engine!$C$12:$C$72,$A113+1)/(1+Assumptions!$B$10)^20+INDEX(Surface_Engine!$D$12:$D$72,$A113+1))))*INDEX(Surface_Engine!$B$12:$B$72,$A113+1)</f>
        <v>2578.79362265303</v>
      </c>
      <c r="N114" s="12" t="n">
        <f aca="false">IF(B114&lt;=0,0,MAX(0,(K114+Assumptions!$B$29*L114/INDEX(Surface_Engine!$B$12:$B$72,$A114+1)-(M114/INDEX(Surface_Engine!$B$12:$B$72,$A114+1)-(F114/INDEX(Surface_Engine!$B$12:$B$72,$A114+1))))/B114))</f>
        <v>0</v>
      </c>
    </row>
    <row r="115" customFormat="false" ht="15" hidden="false" customHeight="true" outlineLevel="0" collapsed="false">
      <c r="A115" s="1" t="n">
        <v>44</v>
      </c>
      <c r="B115" s="32" t="n">
        <f aca="false">INDEX(Surface_Engine!$G$12:$G$72,$A115+1)*IF($A115&lt;$Q$69,INDEX(Surface_Engine!$E$12:$E$72,$A115+1),INDEX(Surface_Engine!$E$12:$E$72,$Q$69+1))</f>
        <v>0.031898040186843</v>
      </c>
      <c r="C115" s="32" t="n">
        <f aca="false">INDEX(Panel_Reserving!$B$8:$B$68,$A115+1)*IF($A115&lt;$Q$69,INDEX(Surface_Engine!$E$12:$E$72,$A115+1),INDEX(Surface_Engine!$E$12:$E$72,$Q$69+1))</f>
        <v>0.0632996431499141</v>
      </c>
      <c r="D115" s="32" t="n">
        <f aca="false">INDEX(Surface_Engine!$G$12:$G$72,$A115+1)*IF($A115&lt;$Q$69,INDEX(Surface_Engine!$Y$12:$Y$72,$A115+1),INDEX(Surface_Engine!$Y$12:$Y$72,$Q$69+1))</f>
        <v>0.0282384090311852</v>
      </c>
      <c r="E115" s="32" t="n">
        <f aca="false">INDEX(Surface_Engine!$G$12:$G$72,$A115+1)*IF($A115&lt;$Q$69,INDEX(Surface_Engine!$Z$12:$Z$72,$A115+1),INDEX(Surface_Engine!$Z$12:$Z$72,$Q$69+1))</f>
        <v>0.0359950961641407</v>
      </c>
      <c r="F115" s="48" t="n">
        <f aca="false">B115*(IF($A115&lt;$Q$69,INDEX(Surface_Engine!$D$12:$D$72,$A115+1)+(Surface_Engine!G236*12)*INDEX(Surface_Engine!$F$12:$F$72,$A115+1)-(Surface_Engine!G236*12),1000*12*INDEX(Surface_Engine!$C$12:$C$72,$A115+1)/(1+Assumptions!$B$10)^20+INDEX(Surface_Engine!$D$12:$D$72,$A115+1)))*INDEX(Surface_Engine!$B$12:$B$72,$A115+1)+F116</f>
        <v>545.327517672081</v>
      </c>
      <c r="G115" s="48" t="n">
        <f aca="false">C115*(IF($A115&lt;$Q$69,INDEX(Surface_Engine!$D$12:$D$72,$A115+1)+(Surface_Engine!G236*12)*INDEX(Surface_Engine!$F$12:$F$72,$A115+1)-(Surface_Engine!G236*12),1000*12*INDEX(Surface_Engine!$C$12:$C$72,$A115+1)/(1+Assumptions!$B$10)^20+INDEX(Surface_Engine!$D$12:$D$72,$A115+1)))*INDEX(Surface_Engine!$B$12:$B$72,$A115+1)+G116</f>
        <v>1265.3415020372</v>
      </c>
      <c r="H115" s="48" t="n">
        <f aca="false">D115*(IF($A115&lt;$Q$69,INDEX(Surface_Engine!$D$12:$D$72,$A115+1)+(Surface_Engine!G236*12)*INDEX(Surface_Engine!$F$12:$F$72,$A115+1)-(Surface_Engine!G236*12),1000*12*INDEX(Surface_Engine!$C$12:$C$72,$A115+1)/(1+Assumptions!$B$10)^20+INDEX(Surface_Engine!$D$12:$D$72,$A115+1)))*INDEX(Surface_Engine!$B$12:$B$72,$A115+1)+H116</f>
        <v>482.762621458381</v>
      </c>
      <c r="I115" s="48" t="n">
        <f aca="false">E115*(IF($A115&lt;$Q$69,INDEX(Surface_Engine!$D$12:$D$72,$A115+1)+(Surface_Engine!G236*12)*INDEX(Surface_Engine!$F$12:$F$72,$A115+1)-(Surface_Engine!G236*12),1000*12*INDEX(Surface_Engine!$C$12:$C$72,$A115+1)/(1+Assumptions!$B$10)^20+INDEX(Surface_Engine!$D$12:$D$72,$A115+1)))*INDEX(Surface_Engine!$B$12:$B$72,$A115+1)+I116</f>
        <v>615.370609748466</v>
      </c>
      <c r="J115" s="48" t="n">
        <f aca="false">B115*(IF($A115&lt;$Q$69,INDEX(Surface_Engine!$D$12:$D$72,$A115+1)*(1+Assumptions!$B$24)+(Surface_Engine!G236*12)*INDEX(Surface_Engine!$F$12:$F$72,$A115+1)-(Surface_Engine!G236*12),1000*12*INDEX(Surface_Engine!$C$12:$C$72,$A115+1)/(1+Assumptions!$B$10)^20+INDEX(Surface_Engine!$D$12:$D$72,$A115+1)*(1+Assumptions!$B$24)))*INDEX(Surface_Engine!$B$12:$B$72,$A115+1)+J116</f>
        <v>546.012066443696</v>
      </c>
      <c r="K115" s="12" t="n">
        <f aca="false">SQRT((IF(C115&lt;=0,0,MAX(0,(B115/C115)*G115/INDEX(Surface_Engine!$B$12:$B$72,$A115+1)-F115/INDEX(Surface_Engine!$B$12:$B$72,$A115+1))))^2+(MAX(IF(D115&lt;=0,0,MAX(0,(B115/D115)*H115/INDEX(Surface_Engine!$B$12:$B$72,$A115+1)-F115/INDEX(Surface_Engine!$B$12:$B$72,$A115+1))),IF(E115&lt;=0,0,MAX(0,(B115/E115)*I115/INDEX(Surface_Engine!$B$12:$B$72,$A115+1)-F115/INDEX(Surface_Engine!$B$12:$B$72,$A115+1))),IF($A115&lt;$Q$69,MAX(0,-Assumptions!$B$22*(F115/INDEX(Surface_Engine!$B$12:$B$72,$A115+1))),0)))^2+(MAX(0,J115/INDEX(Surface_Engine!$B$12:$B$72,$A115+1)-(F115/INDEX(Surface_Engine!$B$12:$B$72,$A115+1))))^2+2*Assumptions!$B$26*(IF(C115&lt;=0,0,MAX(0,(B115/C115)*G115/INDEX(Surface_Engine!$B$12:$B$72,$A115+1)-F115/INDEX(Surface_Engine!$B$12:$B$72,$A115+1))))*(MAX(IF(D115&lt;=0,0,MAX(0,(B115/D115)*H115/INDEX(Surface_Engine!$B$12:$B$72,$A115+1)-F115/INDEX(Surface_Engine!$B$12:$B$72,$A115+1))),IF(E115&lt;=0,0,MAX(0,(B115/E115)*I115/INDEX(Surface_Engine!$B$12:$B$72,$A115+1)-F115/INDEX(Surface_Engine!$B$12:$B$72,$A115+1))),IF($A115&lt;$Q$69,MAX(0,-Assumptions!$B$22*(F115/INDEX(Surface_Engine!$B$12:$B$72,$A115+1))),0)))+2*Assumptions!$B$27*(IF(C115&lt;=0,0,MAX(0,(B115/C115)*G115/INDEX(Surface_Engine!$B$12:$B$72,$A115+1)-F115/INDEX(Surface_Engine!$B$12:$B$72,$A115+1))))*(MAX(0,J115/INDEX(Surface_Engine!$B$12:$B$72,$A115+1)-(F115/INDEX(Surface_Engine!$B$12:$B$72,$A115+1))))+2*Assumptions!$B$28*(MAX(IF(D115&lt;=0,0,MAX(0,(B115/D115)*H115/INDEX(Surface_Engine!$B$12:$B$72,$A115+1)-F115/INDEX(Surface_Engine!$B$12:$B$72,$A115+1))),IF(E115&lt;=0,0,MAX(0,(B115/E115)*I115/INDEX(Surface_Engine!$B$12:$B$72,$A115+1)-F115/INDEX(Surface_Engine!$B$12:$B$72,$A115+1))),IF($A115&lt;$Q$69,MAX(0,-Assumptions!$B$22*(F115/INDEX(Surface_Engine!$B$12:$B$72,$A115+1))),0)))*(MAX(0,J115/INDEX(Surface_Engine!$B$12:$B$72,$A115+1)-(F115/INDEX(Surface_Engine!$B$12:$B$72,$A115+1)))))</f>
        <v>370.888923828798</v>
      </c>
      <c r="L115" s="48" t="n">
        <f aca="false">K115*INDEX(Surface_Engine!$B$12:$B$72,$A115+1)+L116</f>
        <v>298.047616892644</v>
      </c>
      <c r="M115" s="48" t="n">
        <f aca="false">M114+B114*(IF($A114&lt;$Q$69,(Surface_Engine!G236*12)-(Surface_Engine!G236*12)*INDEX(Surface_Engine!$F$12:$F$72,$A114+1)-INDEX(Surface_Engine!$D$12:$D$72,$A114+1),-(1000*12*INDEX(Surface_Engine!$C$12:$C$72,$A114+1)/(1+Assumptions!$B$10)^20+INDEX(Surface_Engine!$D$12:$D$72,$A114+1))))*INDEX(Surface_Engine!$B$12:$B$72,$A114+1)</f>
        <v>2371.15194745481</v>
      </c>
      <c r="N115" s="12" t="n">
        <f aca="false">IF(B115&lt;=0,0,MAX(0,(K115+Assumptions!$B$29*L115/INDEX(Surface_Engine!$B$12:$B$72,$A115+1)-(M115/INDEX(Surface_Engine!$B$12:$B$72,$A115+1)-(F115/INDEX(Surface_Engine!$B$12:$B$72,$A115+1))))/B115))</f>
        <v>0</v>
      </c>
    </row>
    <row r="116" customFormat="false" ht="15" hidden="false" customHeight="true" outlineLevel="0" collapsed="false">
      <c r="A116" s="1" t="n">
        <v>45</v>
      </c>
      <c r="B116" s="32" t="n">
        <f aca="false">INDEX(Surface_Engine!$G$12:$G$72,$A116+1)*IF($A116&lt;$Q$69,INDEX(Surface_Engine!$E$12:$E$72,$A116+1),INDEX(Surface_Engine!$E$12:$E$72,$Q$69+1))</f>
        <v>0.024446533630392</v>
      </c>
      <c r="C116" s="32" t="n">
        <f aca="false">INDEX(Panel_Reserving!$B$8:$B$68,$A116+1)*IF($A116&lt;$Q$69,INDEX(Surface_Engine!$E$12:$E$72,$A116+1),INDEX(Surface_Engine!$E$12:$E$72,$Q$69+1))</f>
        <v>0.0514700083964373</v>
      </c>
      <c r="D116" s="32" t="n">
        <f aca="false">INDEX(Surface_Engine!$G$12:$G$72,$A116+1)*IF($A116&lt;$Q$69,INDEX(Surface_Engine!$Y$12:$Y$72,$A116+1),INDEX(Surface_Engine!$Y$12:$Y$72,$Q$69+1))</f>
        <v>0.0216418065814079</v>
      </c>
      <c r="E116" s="32" t="n">
        <f aca="false">INDEX(Surface_Engine!$G$12:$G$72,$A116+1)*IF($A116&lt;$Q$69,INDEX(Surface_Engine!$Z$12:$Z$72,$A116+1),INDEX(Surface_Engine!$Z$12:$Z$72,$Q$69+1))</f>
        <v>0.0275865013571841</v>
      </c>
      <c r="F116" s="48" t="n">
        <f aca="false">B116*(IF($A116&lt;$Q$69,INDEX(Surface_Engine!$D$12:$D$72,$A116+1)+(Surface_Engine!G236*12)*INDEX(Surface_Engine!$F$12:$F$72,$A116+1)-(Surface_Engine!G236*12),1000*12*INDEX(Surface_Engine!$C$12:$C$72,$A116+1)/(1+Assumptions!$B$10)^20+INDEX(Surface_Engine!$D$12:$D$72,$A116+1)))*INDEX(Surface_Engine!$B$12:$B$72,$A116+1)+F117</f>
        <v>389.881044456682</v>
      </c>
      <c r="G116" s="48" t="n">
        <f aca="false">C116*(IF($A116&lt;$Q$69,INDEX(Surface_Engine!$D$12:$D$72,$A116+1)+(Surface_Engine!G236*12)*INDEX(Surface_Engine!$F$12:$F$72,$A116+1)-(Surface_Engine!G236*12),1000*12*INDEX(Surface_Engine!$C$12:$C$72,$A116+1)/(1+Assumptions!$B$10)^20+INDEX(Surface_Engine!$D$12:$D$72,$A116+1)))*INDEX(Surface_Engine!$B$12:$B$72,$A116+1)+G117</f>
        <v>956.867808173521</v>
      </c>
      <c r="H116" s="48" t="n">
        <f aca="false">D116*(IF($A116&lt;$Q$69,INDEX(Surface_Engine!$D$12:$D$72,$A116+1)+(Surface_Engine!G236*12)*INDEX(Surface_Engine!$F$12:$F$72,$A116+1)-(Surface_Engine!G236*12),1000*12*INDEX(Surface_Engine!$C$12:$C$72,$A116+1)/(1+Assumptions!$B$10)^20+INDEX(Surface_Engine!$D$12:$D$72,$A116+1)))*INDEX(Surface_Engine!$B$12:$B$72,$A116+1)+H117</f>
        <v>345.150371069337</v>
      </c>
      <c r="I116" s="48" t="n">
        <f aca="false">E116*(IF($A116&lt;$Q$69,INDEX(Surface_Engine!$D$12:$D$72,$A116+1)+(Surface_Engine!G236*12)*INDEX(Surface_Engine!$F$12:$F$72,$A116+1)-(Surface_Engine!G236*12),1000*12*INDEX(Surface_Engine!$C$12:$C$72,$A116+1)/(1+Assumptions!$B$10)^20+INDEX(Surface_Engine!$D$12:$D$72,$A116+1)))*INDEX(Surface_Engine!$B$12:$B$72,$A116+1)+I117</f>
        <v>439.958242123677</v>
      </c>
      <c r="J116" s="48" t="n">
        <f aca="false">B116*(IF($A116&lt;$Q$69,INDEX(Surface_Engine!$D$12:$D$72,$A116+1)*(1+Assumptions!$B$24)+(Surface_Engine!G236*12)*INDEX(Surface_Engine!$F$12:$F$72,$A116+1)-(Surface_Engine!G236*12),1000*12*INDEX(Surface_Engine!$C$12:$C$72,$A116+1)/(1+Assumptions!$B$10)^20+INDEX(Surface_Engine!$D$12:$D$72,$A116+1)*(1+Assumptions!$B$24)))*INDEX(Surface_Engine!$B$12:$B$72,$A116+1)+J117</f>
        <v>390.372296215095</v>
      </c>
      <c r="K116" s="12" t="n">
        <f aca="false">SQRT((IF(C116&lt;=0,0,MAX(0,(B116/C116)*G116/INDEX(Surface_Engine!$B$12:$B$72,$A116+1)-F116/INDEX(Surface_Engine!$B$12:$B$72,$A116+1))))^2+(MAX(IF(D116&lt;=0,0,MAX(0,(B116/D116)*H116/INDEX(Surface_Engine!$B$12:$B$72,$A116+1)-F116/INDEX(Surface_Engine!$B$12:$B$72,$A116+1))),IF(E116&lt;=0,0,MAX(0,(B116/E116)*I116/INDEX(Surface_Engine!$B$12:$B$72,$A116+1)-F116/INDEX(Surface_Engine!$B$12:$B$72,$A116+1))),IF($A116&lt;$Q$69,MAX(0,-Assumptions!$B$22*(F116/INDEX(Surface_Engine!$B$12:$B$72,$A116+1))),0)))^2+(MAX(0,J116/INDEX(Surface_Engine!$B$12:$B$72,$A116+1)-(F116/INDEX(Surface_Engine!$B$12:$B$72,$A116+1))))^2+2*Assumptions!$B$26*(IF(C116&lt;=0,0,MAX(0,(B116/C116)*G116/INDEX(Surface_Engine!$B$12:$B$72,$A116+1)-F116/INDEX(Surface_Engine!$B$12:$B$72,$A116+1))))*(MAX(IF(D116&lt;=0,0,MAX(0,(B116/D116)*H116/INDEX(Surface_Engine!$B$12:$B$72,$A116+1)-F116/INDEX(Surface_Engine!$B$12:$B$72,$A116+1))),IF(E116&lt;=0,0,MAX(0,(B116/E116)*I116/INDEX(Surface_Engine!$B$12:$B$72,$A116+1)-F116/INDEX(Surface_Engine!$B$12:$B$72,$A116+1))),IF($A116&lt;$Q$69,MAX(0,-Assumptions!$B$22*(F116/INDEX(Surface_Engine!$B$12:$B$72,$A116+1))),0)))+2*Assumptions!$B$27*(IF(C116&lt;=0,0,MAX(0,(B116/C116)*G116/INDEX(Surface_Engine!$B$12:$B$72,$A116+1)-F116/INDEX(Surface_Engine!$B$12:$B$72,$A116+1))))*(MAX(0,J116/INDEX(Surface_Engine!$B$12:$B$72,$A116+1)-(F116/INDEX(Surface_Engine!$B$12:$B$72,$A116+1))))+2*Assumptions!$B$28*(MAX(IF(D116&lt;=0,0,MAX(0,(B116/D116)*H116/INDEX(Surface_Engine!$B$12:$B$72,$A116+1)-F116/INDEX(Surface_Engine!$B$12:$B$72,$A116+1))),IF(E116&lt;=0,0,MAX(0,(B116/E116)*I116/INDEX(Surface_Engine!$B$12:$B$72,$A116+1)-F116/INDEX(Surface_Engine!$B$12:$B$72,$A116+1))),IF($A116&lt;$Q$69,MAX(0,-Assumptions!$B$22*(F116/INDEX(Surface_Engine!$B$12:$B$72,$A116+1))),0)))*(MAX(0,J116/INDEX(Surface_Engine!$B$12:$B$72,$A116+1)-(F116/INDEX(Surface_Engine!$B$12:$B$72,$A116+1)))))</f>
        <v>268.135475972606</v>
      </c>
      <c r="L116" s="48" t="n">
        <f aca="false">K116*INDEX(Surface_Engine!$B$12:$B$72,$A116+1)+L117</f>
        <v>205.569053036262</v>
      </c>
      <c r="M116" s="48" t="n">
        <f aca="false">M115+B115*(IF($A115&lt;$Q$69,(Surface_Engine!G236*12)-(Surface_Engine!G236*12)*INDEX(Surface_Engine!$F$12:$F$72,$A115+1)-INDEX(Surface_Engine!$D$12:$D$72,$A115+1),-(1000*12*INDEX(Surface_Engine!$C$12:$C$72,$A115+1)/(1+Assumptions!$B$10)^20+INDEX(Surface_Engine!$D$12:$D$72,$A115+1))))*INDEX(Surface_Engine!$B$12:$B$72,$A115+1)</f>
        <v>2215.70547423941</v>
      </c>
      <c r="N116" s="12" t="n">
        <f aca="false">IF(B116&lt;=0,0,MAX(0,(K116+Assumptions!$B$29*L116/INDEX(Surface_Engine!$B$12:$B$72,$A116+1)-(M116/INDEX(Surface_Engine!$B$12:$B$72,$A116+1)-(F116/INDEX(Surface_Engine!$B$12:$B$72,$A116+1))))/B116))</f>
        <v>0</v>
      </c>
    </row>
    <row r="117" customFormat="false" ht="15" hidden="false" customHeight="true" outlineLevel="0" collapsed="false">
      <c r="A117" s="1" t="n">
        <v>46</v>
      </c>
      <c r="B117" s="32" t="n">
        <f aca="false">INDEX(Surface_Engine!$G$12:$G$72,$A117+1)*IF($A117&lt;$Q$69,INDEX(Surface_Engine!$E$12:$E$72,$A117+1),INDEX(Surface_Engine!$E$12:$E$72,$Q$69+1))</f>
        <v>0.0215079945247466</v>
      </c>
      <c r="C117" s="32" t="n">
        <f aca="false">INDEX(Panel_Reserving!$B$8:$B$68,$A117+1)*IF($A117&lt;$Q$69,INDEX(Surface_Engine!$E$12:$E$72,$A117+1),INDEX(Surface_Engine!$E$12:$E$72,$Q$69+1))</f>
        <v>0.0465205416220461</v>
      </c>
      <c r="D117" s="32" t="n">
        <f aca="false">INDEX(Surface_Engine!$G$12:$G$72,$A117+1)*IF($A117&lt;$Q$69,INDEX(Surface_Engine!$Y$12:$Y$72,$A117+1),INDEX(Surface_Engine!$Y$12:$Y$72,$Q$69+1))</f>
        <v>0.0190404032120068</v>
      </c>
      <c r="E117" s="32" t="n">
        <f aca="false">INDEX(Surface_Engine!$G$12:$G$72,$A117+1)*IF($A117&lt;$Q$69,INDEX(Surface_Engine!$Z$12:$Z$72,$A117+1),INDEX(Surface_Engine!$Z$12:$Z$72,$Q$69+1))</f>
        <v>0.0242705296839958</v>
      </c>
      <c r="F117" s="48" t="n">
        <f aca="false">B117*(IF($A117&lt;$Q$69,INDEX(Surface_Engine!$D$12:$D$72,$A117+1)+(Surface_Engine!G236*12)*INDEX(Surface_Engine!$F$12:$F$72,$A117+1)-(Surface_Engine!G236*12),1000*12*INDEX(Surface_Engine!$C$12:$C$72,$A117+1)/(1+Assumptions!$B$10)^20+INDEX(Surface_Engine!$D$12:$D$72,$A117+1)))*INDEX(Surface_Engine!$B$12:$B$72,$A117+1)+F118</f>
        <v>272.236190912022</v>
      </c>
      <c r="G117" s="48" t="n">
        <f aca="false">C117*(IF($A117&lt;$Q$69,INDEX(Surface_Engine!$D$12:$D$72,$A117+1)+(Surface_Engine!G236*12)*INDEX(Surface_Engine!$F$12:$F$72,$A117+1)-(Surface_Engine!G236*12),1000*12*INDEX(Surface_Engine!$C$12:$C$72,$A117+1)/(1+Assumptions!$B$10)^20+INDEX(Surface_Engine!$D$12:$D$72,$A117+1)))*INDEX(Surface_Engine!$B$12:$B$72,$A117+1)+G118</f>
        <v>709.177002953862</v>
      </c>
      <c r="H117" s="48" t="n">
        <f aca="false">D117*(IF($A117&lt;$Q$69,INDEX(Surface_Engine!$D$12:$D$72,$A117+1)+(Surface_Engine!G236*12)*INDEX(Surface_Engine!$F$12:$F$72,$A117+1)-(Surface_Engine!G236*12),1000*12*INDEX(Surface_Engine!$C$12:$C$72,$A117+1)/(1+Assumptions!$B$10)^20+INDEX(Surface_Engine!$D$12:$D$72,$A117+1)))*INDEX(Surface_Engine!$B$12:$B$72,$A117+1)+H118</f>
        <v>241.002797257632</v>
      </c>
      <c r="I117" s="48" t="n">
        <f aca="false">E117*(IF($A117&lt;$Q$69,INDEX(Surface_Engine!$D$12:$D$72,$A117+1)+(Surface_Engine!G236*12)*INDEX(Surface_Engine!$F$12:$F$72,$A117+1)-(Surface_Engine!G236*12),1000*12*INDEX(Surface_Engine!$C$12:$C$72,$A117+1)/(1+Assumptions!$B$10)^20+INDEX(Surface_Engine!$D$12:$D$72,$A117+1)))*INDEX(Surface_Engine!$B$12:$B$72,$A117+1)+I118</f>
        <v>307.20281916503</v>
      </c>
      <c r="J117" s="48" t="n">
        <f aca="false">B117*(IF($A117&lt;$Q$69,INDEX(Surface_Engine!$D$12:$D$72,$A117+1)*(1+Assumptions!$B$24)+(Surface_Engine!G236*12)*INDEX(Surface_Engine!$F$12:$F$72,$A117+1)-(Surface_Engine!G236*12),1000*12*INDEX(Surface_Engine!$C$12:$C$72,$A117+1)/(1+Assumptions!$B$10)^20+INDEX(Surface_Engine!$D$12:$D$72,$A117+1)*(1+Assumptions!$B$24)))*INDEX(Surface_Engine!$B$12:$B$72,$A117+1)+J118</f>
        <v>272.580443655192</v>
      </c>
      <c r="K117" s="12" t="n">
        <f aca="false">SQRT((IF(C117&lt;=0,0,MAX(0,(B117/C117)*G117/INDEX(Surface_Engine!$B$12:$B$72,$A117+1)-F117/INDEX(Surface_Engine!$B$12:$B$72,$A117+1))))^2+(MAX(IF(D117&lt;=0,0,MAX(0,(B117/D117)*H117/INDEX(Surface_Engine!$B$12:$B$72,$A117+1)-F117/INDEX(Surface_Engine!$B$12:$B$72,$A117+1))),IF(E117&lt;=0,0,MAX(0,(B117/E117)*I117/INDEX(Surface_Engine!$B$12:$B$72,$A117+1)-F117/INDEX(Surface_Engine!$B$12:$B$72,$A117+1))),IF($A117&lt;$Q$69,MAX(0,-Assumptions!$B$22*(F117/INDEX(Surface_Engine!$B$12:$B$72,$A117+1))),0)))^2+(MAX(0,J117/INDEX(Surface_Engine!$B$12:$B$72,$A117+1)-(F117/INDEX(Surface_Engine!$B$12:$B$72,$A117+1))))^2+2*Assumptions!$B$26*(IF(C117&lt;=0,0,MAX(0,(B117/C117)*G117/INDEX(Surface_Engine!$B$12:$B$72,$A117+1)-F117/INDEX(Surface_Engine!$B$12:$B$72,$A117+1))))*(MAX(IF(D117&lt;=0,0,MAX(0,(B117/D117)*H117/INDEX(Surface_Engine!$B$12:$B$72,$A117+1)-F117/INDEX(Surface_Engine!$B$12:$B$72,$A117+1))),IF(E117&lt;=0,0,MAX(0,(B117/E117)*I117/INDEX(Surface_Engine!$B$12:$B$72,$A117+1)-F117/INDEX(Surface_Engine!$B$12:$B$72,$A117+1))),IF($A117&lt;$Q$69,MAX(0,-Assumptions!$B$22*(F117/INDEX(Surface_Engine!$B$12:$B$72,$A117+1))),0)))+2*Assumptions!$B$27*(IF(C117&lt;=0,0,MAX(0,(B117/C117)*G117/INDEX(Surface_Engine!$B$12:$B$72,$A117+1)-F117/INDEX(Surface_Engine!$B$12:$B$72,$A117+1))))*(MAX(0,J117/INDEX(Surface_Engine!$B$12:$B$72,$A117+1)-(F117/INDEX(Surface_Engine!$B$12:$B$72,$A117+1))))+2*Assumptions!$B$28*(MAX(IF(D117&lt;=0,0,MAX(0,(B117/D117)*H117/INDEX(Surface_Engine!$B$12:$B$72,$A117+1)-F117/INDEX(Surface_Engine!$B$12:$B$72,$A117+1))),IF(E117&lt;=0,0,MAX(0,(B117/E117)*I117/INDEX(Surface_Engine!$B$12:$B$72,$A117+1)-F117/INDEX(Surface_Engine!$B$12:$B$72,$A117+1))),IF($A117&lt;$Q$69,MAX(0,-Assumptions!$B$22*(F117/INDEX(Surface_Engine!$B$12:$B$72,$A117+1))),0)))*(MAX(0,J117/INDEX(Surface_Engine!$B$12:$B$72,$A117+1)-(F117/INDEX(Surface_Engine!$B$12:$B$72,$A117+1)))))</f>
        <v>238.37869514083</v>
      </c>
      <c r="L117" s="48" t="n">
        <f aca="false">K117*INDEX(Surface_Engine!$B$12:$B$72,$A117+1)+L118</f>
        <v>140.845310673219</v>
      </c>
      <c r="M117" s="48" t="n">
        <f aca="false">M116+B116*(IF($A116&lt;$Q$69,(Surface_Engine!G236*12)-(Surface_Engine!G236*12)*INDEX(Surface_Engine!$F$12:$F$72,$A116+1)-INDEX(Surface_Engine!$D$12:$D$72,$A116+1),-(1000*12*INDEX(Surface_Engine!$C$12:$C$72,$A116+1)/(1+Assumptions!$B$10)^20+INDEX(Surface_Engine!$D$12:$D$72,$A116+1))))*INDEX(Surface_Engine!$B$12:$B$72,$A116+1)</f>
        <v>2098.06062069475</v>
      </c>
      <c r="N117" s="12" t="n">
        <f aca="false">IF(B117&lt;=0,0,MAX(0,(K117+Assumptions!$B$29*L117/INDEX(Surface_Engine!$B$12:$B$72,$A117+1)-(M117/INDEX(Surface_Engine!$B$12:$B$72,$A117+1)-(F117/INDEX(Surface_Engine!$B$12:$B$72,$A117+1))))/B117))</f>
        <v>0</v>
      </c>
    </row>
    <row r="118" customFormat="false" ht="15" hidden="false" customHeight="true" outlineLevel="0" collapsed="false">
      <c r="A118" s="1" t="n">
        <v>47</v>
      </c>
      <c r="B118" s="32" t="n">
        <f aca="false">INDEX(Surface_Engine!$G$12:$G$72,$A118+1)*IF($A118&lt;$Q$69,INDEX(Surface_Engine!$E$12:$E$72,$A118+1),INDEX(Surface_Engine!$E$12:$E$72,$Q$69+1))</f>
        <v>0.014409035742589</v>
      </c>
      <c r="C118" s="32" t="n">
        <f aca="false">INDEX(Panel_Reserving!$B$8:$B$68,$A118+1)*IF($A118&lt;$Q$69,INDEX(Surface_Engine!$E$12:$E$72,$A118+1),INDEX(Surface_Engine!$E$12:$E$72,$Q$69+1))</f>
        <v>0.0342368335480618</v>
      </c>
      <c r="D118" s="32" t="n">
        <f aca="false">INDEX(Surface_Engine!$G$12:$G$72,$A118+1)*IF($A118&lt;$Q$69,INDEX(Surface_Engine!$Y$12:$Y$72,$A118+1),INDEX(Surface_Engine!$Y$12:$Y$72,$Q$69+1))</f>
        <v>0.0127559010729451</v>
      </c>
      <c r="E118" s="32" t="n">
        <f aca="false">INDEX(Surface_Engine!$G$12:$G$72,$A118+1)*IF($A118&lt;$Q$69,INDEX(Surface_Engine!$Z$12:$Z$72,$A118+1),INDEX(Surface_Engine!$Z$12:$Z$72,$Q$69+1))</f>
        <v>0.0162597646798678</v>
      </c>
      <c r="F118" s="48" t="n">
        <f aca="false">B118*(IF($A118&lt;$Q$69,INDEX(Surface_Engine!$D$12:$D$72,$A118+1)+(Surface_Engine!G236*12)*INDEX(Surface_Engine!$F$12:$F$72,$A118+1)-(Surface_Engine!G236*12),1000*12*INDEX(Surface_Engine!$C$12:$C$72,$A118+1)/(1+Assumptions!$B$10)^20+INDEX(Surface_Engine!$D$12:$D$72,$A118+1)))*INDEX(Surface_Engine!$B$12:$B$72,$A118+1)+F119</f>
        <v>169.984334441385</v>
      </c>
      <c r="G118" s="48" t="n">
        <f aca="false">C118*(IF($A118&lt;$Q$69,INDEX(Surface_Engine!$D$12:$D$72,$A118+1)+(Surface_Engine!G236*12)*INDEX(Surface_Engine!$F$12:$F$72,$A118+1)-(Surface_Engine!G236*12),1000*12*INDEX(Surface_Engine!$C$12:$C$72,$A118+1)/(1+Assumptions!$B$10)^20+INDEX(Surface_Engine!$D$12:$D$72,$A118+1)))*INDEX(Surface_Engine!$B$12:$B$72,$A118+1)+G119</f>
        <v>488.012182616907</v>
      </c>
      <c r="H118" s="48" t="n">
        <f aca="false">D118*(IF($A118&lt;$Q$69,INDEX(Surface_Engine!$D$12:$D$72,$A118+1)+(Surface_Engine!G236*12)*INDEX(Surface_Engine!$F$12:$F$72,$A118+1)-(Surface_Engine!G236*12),1000*12*INDEX(Surface_Engine!$C$12:$C$72,$A118+1)/(1+Assumptions!$B$10)^20+INDEX(Surface_Engine!$D$12:$D$72,$A118+1)))*INDEX(Surface_Engine!$B$12:$B$72,$A118+1)+H119</f>
        <v>150.482196922854</v>
      </c>
      <c r="I118" s="48" t="n">
        <f aca="false">E118*(IF($A118&lt;$Q$69,INDEX(Surface_Engine!$D$12:$D$72,$A118+1)+(Surface_Engine!G236*12)*INDEX(Surface_Engine!$F$12:$F$72,$A118+1)-(Surface_Engine!G236*12),1000*12*INDEX(Surface_Engine!$C$12:$C$72,$A118+1)/(1+Assumptions!$B$10)^20+INDEX(Surface_Engine!$D$12:$D$72,$A118+1)))*INDEX(Surface_Engine!$B$12:$B$72,$A118+1)+I119</f>
        <v>191.817504422696</v>
      </c>
      <c r="J118" s="48" t="n">
        <f aca="false">B118*(IF($A118&lt;$Q$69,INDEX(Surface_Engine!$D$12:$D$72,$A118+1)*(1+Assumptions!$B$24)+(Surface_Engine!G236*12)*INDEX(Surface_Engine!$F$12:$F$72,$A118+1)-(Surface_Engine!G236*12),1000*12*INDEX(Surface_Engine!$C$12:$C$72,$A118+1)/(1+Assumptions!$B$10)^20+INDEX(Surface_Engine!$D$12:$D$72,$A118+1)*(1+Assumptions!$B$24)))*INDEX(Surface_Engine!$B$12:$B$72,$A118+1)+J119</f>
        <v>170.200203514272</v>
      </c>
      <c r="K118" s="12" t="n">
        <f aca="false">SQRT((IF(C118&lt;=0,0,MAX(0,(B118/C118)*G118/INDEX(Surface_Engine!$B$12:$B$72,$A118+1)-F118/INDEX(Surface_Engine!$B$12:$B$72,$A118+1))))^2+(MAX(IF(D118&lt;=0,0,MAX(0,(B118/D118)*H118/INDEX(Surface_Engine!$B$12:$B$72,$A118+1)-F118/INDEX(Surface_Engine!$B$12:$B$72,$A118+1))),IF(E118&lt;=0,0,MAX(0,(B118/E118)*I118/INDEX(Surface_Engine!$B$12:$B$72,$A118+1)-F118/INDEX(Surface_Engine!$B$12:$B$72,$A118+1))),IF($A118&lt;$Q$69,MAX(0,-Assumptions!$B$22*(F118/INDEX(Surface_Engine!$B$12:$B$72,$A118+1))),0)))^2+(MAX(0,J118/INDEX(Surface_Engine!$B$12:$B$72,$A118+1)-(F118/INDEX(Surface_Engine!$B$12:$B$72,$A118+1))))^2+2*Assumptions!$B$26*(IF(C118&lt;=0,0,MAX(0,(B118/C118)*G118/INDEX(Surface_Engine!$B$12:$B$72,$A118+1)-F118/INDEX(Surface_Engine!$B$12:$B$72,$A118+1))))*(MAX(IF(D118&lt;=0,0,MAX(0,(B118/D118)*H118/INDEX(Surface_Engine!$B$12:$B$72,$A118+1)-F118/INDEX(Surface_Engine!$B$12:$B$72,$A118+1))),IF(E118&lt;=0,0,MAX(0,(B118/E118)*I118/INDEX(Surface_Engine!$B$12:$B$72,$A118+1)-F118/INDEX(Surface_Engine!$B$12:$B$72,$A118+1))),IF($A118&lt;$Q$69,MAX(0,-Assumptions!$B$22*(F118/INDEX(Surface_Engine!$B$12:$B$72,$A118+1))),0)))+2*Assumptions!$B$27*(IF(C118&lt;=0,0,MAX(0,(B118/C118)*G118/INDEX(Surface_Engine!$B$12:$B$72,$A118+1)-F118/INDEX(Surface_Engine!$B$12:$B$72,$A118+1))))*(MAX(0,J118/INDEX(Surface_Engine!$B$12:$B$72,$A118+1)-(F118/INDEX(Surface_Engine!$B$12:$B$72,$A118+1))))+2*Assumptions!$B$28*(MAX(IF(D118&lt;=0,0,MAX(0,(B118/D118)*H118/INDEX(Surface_Engine!$B$12:$B$72,$A118+1)-F118/INDEX(Surface_Engine!$B$12:$B$72,$A118+1))),IF(E118&lt;=0,0,MAX(0,(B118/E118)*I118/INDEX(Surface_Engine!$B$12:$B$72,$A118+1)-F118/INDEX(Surface_Engine!$B$12:$B$72,$A118+1))),IF($A118&lt;$Q$69,MAX(0,-Assumptions!$B$22*(F118/INDEX(Surface_Engine!$B$12:$B$72,$A118+1))),0)))*(MAX(0,J118/INDEX(Surface_Engine!$B$12:$B$72,$A118+1)-(F118/INDEX(Surface_Engine!$B$12:$B$72,$A118+1)))))</f>
        <v>156.610476263816</v>
      </c>
      <c r="L118" s="48" t="n">
        <f aca="false">K118*INDEX(Surface_Engine!$B$12:$B$72,$A118+1)+L119</f>
        <v>85.1183127413856</v>
      </c>
      <c r="M118" s="48" t="n">
        <f aca="false">M117+B117*(IF($A117&lt;$Q$69,(Surface_Engine!G236*12)-(Surface_Engine!G236*12)*INDEX(Surface_Engine!$F$12:$F$72,$A117+1)-INDEX(Surface_Engine!$D$12:$D$72,$A117+1),-(1000*12*INDEX(Surface_Engine!$C$12:$C$72,$A117+1)/(1+Assumptions!$B$10)^20+INDEX(Surface_Engine!$D$12:$D$72,$A117+1))))*INDEX(Surface_Engine!$B$12:$B$72,$A117+1)</f>
        <v>1995.80876422411</v>
      </c>
      <c r="N118" s="12" t="n">
        <f aca="false">IF(B118&lt;=0,0,MAX(0,(K118+Assumptions!$B$29*L118/INDEX(Surface_Engine!$B$12:$B$72,$A118+1)-(M118/INDEX(Surface_Engine!$B$12:$B$72,$A118+1)-(F118/INDEX(Surface_Engine!$B$12:$B$72,$A118+1))))/B118))</f>
        <v>0</v>
      </c>
    </row>
    <row r="119" customFormat="false" ht="15" hidden="false" customHeight="true" outlineLevel="0" collapsed="false">
      <c r="A119" s="1" t="n">
        <v>48</v>
      </c>
      <c r="B119" s="32" t="n">
        <f aca="false">INDEX(Surface_Engine!$G$12:$G$72,$A119+1)*IF($A119&lt;$Q$69,INDEX(Surface_Engine!$E$12:$E$72,$A119+1),INDEX(Surface_Engine!$E$12:$E$72,$Q$69+1))</f>
        <v>0.00929359797318034</v>
      </c>
      <c r="C119" s="32" t="n">
        <f aca="false">INDEX(Panel_Reserving!$B$8:$B$68,$A119+1)*IF($A119&lt;$Q$69,INDEX(Surface_Engine!$E$12:$E$72,$A119+1),INDEX(Surface_Engine!$E$12:$E$72,$Q$69+1))</f>
        <v>0.0245131354705251</v>
      </c>
      <c r="D119" s="32" t="n">
        <f aca="false">INDEX(Surface_Engine!$G$12:$G$72,$A119+1)*IF($A119&lt;$Q$69,INDEX(Surface_Engine!$Y$12:$Y$72,$A119+1),INDEX(Surface_Engine!$Y$12:$Y$72,$Q$69+1))</f>
        <v>0.00822735250820543</v>
      </c>
      <c r="E119" s="32" t="n">
        <f aca="false">INDEX(Surface_Engine!$G$12:$G$72,$A119+1)*IF($A119&lt;$Q$69,INDEX(Surface_Engine!$Z$12:$Z$72,$A119+1),INDEX(Surface_Engine!$Z$12:$Z$72,$Q$69+1))</f>
        <v>0.0104872885856314</v>
      </c>
      <c r="F119" s="48" t="n">
        <f aca="false">B119*(IF($A119&lt;$Q$69,INDEX(Surface_Engine!$D$12:$D$72,$A119+1)+(Surface_Engine!G236*12)*INDEX(Surface_Engine!$F$12:$F$72,$A119+1)-(Surface_Engine!G236*12),1000*12*INDEX(Surface_Engine!$C$12:$C$72,$A119+1)/(1+Assumptions!$B$10)^20+INDEX(Surface_Engine!$D$12:$D$72,$A119+1)))*INDEX(Surface_Engine!$B$12:$B$72,$A119+1)+F120</f>
        <v>102.311626284324</v>
      </c>
      <c r="G119" s="48" t="n">
        <f aca="false">C119*(IF($A119&lt;$Q$69,INDEX(Surface_Engine!$D$12:$D$72,$A119+1)+(Surface_Engine!G236*12)*INDEX(Surface_Engine!$F$12:$F$72,$A119+1)-(Surface_Engine!G236*12),1000*12*INDEX(Surface_Engine!$C$12:$C$72,$A119+1)/(1+Assumptions!$B$10)^20+INDEX(Surface_Engine!$D$12:$D$72,$A119+1)))*INDEX(Surface_Engine!$B$12:$B$72,$A119+1)+G120</f>
        <v>327.21729763569</v>
      </c>
      <c r="H119" s="48" t="n">
        <f aca="false">D119*(IF($A119&lt;$Q$69,INDEX(Surface_Engine!$D$12:$D$72,$A119+1)+(Surface_Engine!G236*12)*INDEX(Surface_Engine!$F$12:$F$72,$A119+1)-(Surface_Engine!G236*12),1000*12*INDEX(Surface_Engine!$C$12:$C$72,$A119+1)/(1+Assumptions!$B$10)^20+INDEX(Surface_Engine!$D$12:$D$72,$A119+1)))*INDEX(Surface_Engine!$B$12:$B$72,$A119+1)+H120</f>
        <v>90.5735128158181</v>
      </c>
      <c r="I119" s="48" t="n">
        <f aca="false">E119*(IF($A119&lt;$Q$69,INDEX(Surface_Engine!$D$12:$D$72,$A119+1)+(Surface_Engine!G236*12)*INDEX(Surface_Engine!$F$12:$F$72,$A119+1)-(Surface_Engine!G236*12),1000*12*INDEX(Surface_Engine!$C$12:$C$72,$A119+1)/(1+Assumptions!$B$10)^20+INDEX(Surface_Engine!$D$12:$D$72,$A119+1)))*INDEX(Surface_Engine!$B$12:$B$72,$A119+1)+I120</f>
        <v>115.452761525232</v>
      </c>
      <c r="J119" s="48" t="n">
        <f aca="false">B119*(IF($A119&lt;$Q$69,INDEX(Surface_Engine!$D$12:$D$72,$A119+1)*(1+Assumptions!$B$24)+(Surface_Engine!G236*12)*INDEX(Surface_Engine!$F$12:$F$72,$A119+1)-(Surface_Engine!G236*12),1000*12*INDEX(Surface_Engine!$C$12:$C$72,$A119+1)/(1+Assumptions!$B$10)^20+INDEX(Surface_Engine!$D$12:$D$72,$A119+1)*(1+Assumptions!$B$24)))*INDEX(Surface_Engine!$B$12:$B$72,$A119+1)+J120</f>
        <v>102.442116741905</v>
      </c>
      <c r="K119" s="12" t="n">
        <f aca="false">SQRT((IF(C119&lt;=0,0,MAX(0,(B119/C119)*G119/INDEX(Surface_Engine!$B$12:$B$72,$A119+1)-F119/INDEX(Surface_Engine!$B$12:$B$72,$A119+1))))^2+(MAX(IF(D119&lt;=0,0,MAX(0,(B119/D119)*H119/INDEX(Surface_Engine!$B$12:$B$72,$A119+1)-F119/INDEX(Surface_Engine!$B$12:$B$72,$A119+1))),IF(E119&lt;=0,0,MAX(0,(B119/E119)*I119/INDEX(Surface_Engine!$B$12:$B$72,$A119+1)-F119/INDEX(Surface_Engine!$B$12:$B$72,$A119+1))),IF($A119&lt;$Q$69,MAX(0,-Assumptions!$B$22*(F119/INDEX(Surface_Engine!$B$12:$B$72,$A119+1))),0)))^2+(MAX(0,J119/INDEX(Surface_Engine!$B$12:$B$72,$A119+1)-(F119/INDEX(Surface_Engine!$B$12:$B$72,$A119+1))))^2+2*Assumptions!$B$26*(IF(C119&lt;=0,0,MAX(0,(B119/C119)*G119/INDEX(Surface_Engine!$B$12:$B$72,$A119+1)-F119/INDEX(Surface_Engine!$B$12:$B$72,$A119+1))))*(MAX(IF(D119&lt;=0,0,MAX(0,(B119/D119)*H119/INDEX(Surface_Engine!$B$12:$B$72,$A119+1)-F119/INDEX(Surface_Engine!$B$12:$B$72,$A119+1))),IF(E119&lt;=0,0,MAX(0,(B119/E119)*I119/INDEX(Surface_Engine!$B$12:$B$72,$A119+1)-F119/INDEX(Surface_Engine!$B$12:$B$72,$A119+1))),IF($A119&lt;$Q$69,MAX(0,-Assumptions!$B$22*(F119/INDEX(Surface_Engine!$B$12:$B$72,$A119+1))),0)))+2*Assumptions!$B$27*(IF(C119&lt;=0,0,MAX(0,(B119/C119)*G119/INDEX(Surface_Engine!$B$12:$B$72,$A119+1)-F119/INDEX(Surface_Engine!$B$12:$B$72,$A119+1))))*(MAX(0,J119/INDEX(Surface_Engine!$B$12:$B$72,$A119+1)-(F119/INDEX(Surface_Engine!$B$12:$B$72,$A119+1))))+2*Assumptions!$B$28*(MAX(IF(D119&lt;=0,0,MAX(0,(B119/D119)*H119/INDEX(Surface_Engine!$B$12:$B$72,$A119+1)-F119/INDEX(Surface_Engine!$B$12:$B$72,$A119+1))),IF(E119&lt;=0,0,MAX(0,(B119/E119)*I119/INDEX(Surface_Engine!$B$12:$B$72,$A119+1)-F119/INDEX(Surface_Engine!$B$12:$B$72,$A119+1))),IF($A119&lt;$Q$69,MAX(0,-Assumptions!$B$22*(F119/INDEX(Surface_Engine!$B$12:$B$72,$A119+1))),0)))*(MAX(0,J119/INDEX(Surface_Engine!$B$12:$B$72,$A119+1)-(F119/INDEX(Surface_Engine!$B$12:$B$72,$A119+1)))))</f>
        <v>99.3748470864222</v>
      </c>
      <c r="L119" s="48" t="n">
        <f aca="false">K119*INDEX(Surface_Engine!$B$12:$B$72,$A119+1)+L120</f>
        <v>49.6615180327554</v>
      </c>
      <c r="M119" s="48" t="n">
        <f aca="false">M118+B118*(IF($A118&lt;$Q$69,(Surface_Engine!G236*12)-(Surface_Engine!G236*12)*INDEX(Surface_Engine!$F$12:$F$72,$A118+1)-INDEX(Surface_Engine!$D$12:$D$72,$A118+1),-(1000*12*INDEX(Surface_Engine!$C$12:$C$72,$A118+1)/(1+Assumptions!$B$10)^20+INDEX(Surface_Engine!$D$12:$D$72,$A118+1))))*INDEX(Surface_Engine!$B$12:$B$72,$A118+1)</f>
        <v>1928.13605606705</v>
      </c>
      <c r="N119" s="12" t="n">
        <f aca="false">IF(B119&lt;=0,0,MAX(0,(K119+Assumptions!$B$29*L119/INDEX(Surface_Engine!$B$12:$B$72,$A119+1)-(M119/INDEX(Surface_Engine!$B$12:$B$72,$A119+1)-(F119/INDEX(Surface_Engine!$B$12:$B$72,$A119+1))))/B119))</f>
        <v>0</v>
      </c>
    </row>
    <row r="120" customFormat="false" ht="15" hidden="false" customHeight="true" outlineLevel="0" collapsed="false">
      <c r="A120" s="1" t="n">
        <v>49</v>
      </c>
      <c r="B120" s="32" t="n">
        <f aca="false">INDEX(Surface_Engine!$G$12:$G$72,$A120+1)*IF($A120&lt;$Q$69,INDEX(Surface_Engine!$E$12:$E$72,$A120+1),INDEX(Surface_Engine!$E$12:$E$72,$Q$69+1))</f>
        <v>0.00574633769841381</v>
      </c>
      <c r="C120" s="32" t="n">
        <f aca="false">INDEX(Panel_Reserving!$B$8:$B$68,$A120+1)*IF($A120&lt;$Q$69,INDEX(Surface_Engine!$E$12:$E$72,$A120+1),INDEX(Surface_Engine!$E$12:$E$72,$Q$69+1))</f>
        <v>0.0170280282459174</v>
      </c>
      <c r="D120" s="32" t="n">
        <f aca="false">INDEX(Surface_Engine!$G$12:$G$72,$A120+1)*IF($A120&lt;$Q$69,INDEX(Surface_Engine!$Y$12:$Y$72,$A120+1),INDEX(Surface_Engine!$Y$12:$Y$72,$Q$69+1))</f>
        <v>0.00508706595792864</v>
      </c>
      <c r="E120" s="32" t="n">
        <f aca="false">INDEX(Surface_Engine!$G$12:$G$72,$A120+1)*IF($A120&lt;$Q$69,INDEX(Surface_Engine!$Z$12:$Z$72,$A120+1),INDEX(Surface_Engine!$Z$12:$Z$72,$Q$69+1))</f>
        <v>0.00648441022816653</v>
      </c>
      <c r="F120" s="48" t="n">
        <f aca="false">B120*(IF($A120&lt;$Q$69,INDEX(Surface_Engine!$D$12:$D$72,$A120+1)+(Surface_Engine!G236*12)*INDEX(Surface_Engine!$F$12:$F$72,$A120+1)-(Surface_Engine!G236*12),1000*12*INDEX(Surface_Engine!$C$12:$C$72,$A120+1)/(1+Assumptions!$B$10)^20+INDEX(Surface_Engine!$D$12:$D$72,$A120+1)))*INDEX(Surface_Engine!$B$12:$B$72,$A120+1)+F121</f>
        <v>59.2133782998661</v>
      </c>
      <c r="G120" s="48" t="n">
        <f aca="false">C120*(IF($A120&lt;$Q$69,INDEX(Surface_Engine!$D$12:$D$72,$A120+1)+(Surface_Engine!G236*12)*INDEX(Surface_Engine!$F$12:$F$72,$A120+1)-(Surface_Engine!G236*12),1000*12*INDEX(Surface_Engine!$C$12:$C$72,$A120+1)/(1+Assumptions!$B$10)^20+INDEX(Surface_Engine!$D$12:$D$72,$A120+1)))*INDEX(Surface_Engine!$B$12:$B$72,$A120+1)+G121</f>
        <v>213.539775277386</v>
      </c>
      <c r="H120" s="48" t="n">
        <f aca="false">D120*(IF($A120&lt;$Q$69,INDEX(Surface_Engine!$D$12:$D$72,$A120+1)+(Surface_Engine!G236*12)*INDEX(Surface_Engine!$F$12:$F$72,$A120+1)-(Surface_Engine!G236*12),1000*12*INDEX(Surface_Engine!$C$12:$C$72,$A120+1)/(1+Assumptions!$B$10)^20+INDEX(Surface_Engine!$D$12:$D$72,$A120+1)))*INDEX(Surface_Engine!$B$12:$B$72,$A120+1)+H121</f>
        <v>52.4198849445182</v>
      </c>
      <c r="I120" s="48" t="n">
        <f aca="false">E120*(IF($A120&lt;$Q$69,INDEX(Surface_Engine!$D$12:$D$72,$A120+1)+(Surface_Engine!G236*12)*INDEX(Surface_Engine!$F$12:$F$72,$A120+1)-(Surface_Engine!G236*12),1000*12*INDEX(Surface_Engine!$C$12:$C$72,$A120+1)/(1+Assumptions!$B$10)^20+INDEX(Surface_Engine!$D$12:$D$72,$A120+1)))*INDEX(Surface_Engine!$B$12:$B$72,$A120+1)+I121</f>
        <v>66.8188776997797</v>
      </c>
      <c r="J120" s="48" t="n">
        <f aca="false">B120*(IF($A120&lt;$Q$69,INDEX(Surface_Engine!$D$12:$D$72,$A120+1)*(1+Assumptions!$B$24)+(Surface_Engine!G236*12)*INDEX(Surface_Engine!$F$12:$F$72,$A120+1)-(Surface_Engine!G236*12),1000*12*INDEX(Surface_Engine!$C$12:$C$72,$A120+1)/(1+Assumptions!$B$10)^20+INDEX(Surface_Engine!$D$12:$D$72,$A120+1)*(1+Assumptions!$B$24)))*INDEX(Surface_Engine!$B$12:$B$72,$A120+1)+J121</f>
        <v>59.28923110873</v>
      </c>
      <c r="K120" s="12" t="n">
        <f aca="false">SQRT((IF(C120&lt;=0,0,MAX(0,(B120/C120)*G120/INDEX(Surface_Engine!$B$12:$B$72,$A120+1)-F120/INDEX(Surface_Engine!$B$12:$B$72,$A120+1))))^2+(MAX(IF(D120&lt;=0,0,MAX(0,(B120/D120)*H120/INDEX(Surface_Engine!$B$12:$B$72,$A120+1)-F120/INDEX(Surface_Engine!$B$12:$B$72,$A120+1))),IF(E120&lt;=0,0,MAX(0,(B120/E120)*I120/INDEX(Surface_Engine!$B$12:$B$72,$A120+1)-F120/INDEX(Surface_Engine!$B$12:$B$72,$A120+1))),IF($A120&lt;$Q$69,MAX(0,-Assumptions!$B$22*(F120/INDEX(Surface_Engine!$B$12:$B$72,$A120+1))),0)))^2+(MAX(0,J120/INDEX(Surface_Engine!$B$12:$B$72,$A120+1)-(F120/INDEX(Surface_Engine!$B$12:$B$72,$A120+1))))^2+2*Assumptions!$B$26*(IF(C120&lt;=0,0,MAX(0,(B120/C120)*G120/INDEX(Surface_Engine!$B$12:$B$72,$A120+1)-F120/INDEX(Surface_Engine!$B$12:$B$72,$A120+1))))*(MAX(IF(D120&lt;=0,0,MAX(0,(B120/D120)*H120/INDEX(Surface_Engine!$B$12:$B$72,$A120+1)-F120/INDEX(Surface_Engine!$B$12:$B$72,$A120+1))),IF(E120&lt;=0,0,MAX(0,(B120/E120)*I120/INDEX(Surface_Engine!$B$12:$B$72,$A120+1)-F120/INDEX(Surface_Engine!$B$12:$B$72,$A120+1))),IF($A120&lt;$Q$69,MAX(0,-Assumptions!$B$22*(F120/INDEX(Surface_Engine!$B$12:$B$72,$A120+1))),0)))+2*Assumptions!$B$27*(IF(C120&lt;=0,0,MAX(0,(B120/C120)*G120/INDEX(Surface_Engine!$B$12:$B$72,$A120+1)-F120/INDEX(Surface_Engine!$B$12:$B$72,$A120+1))))*(MAX(0,J120/INDEX(Surface_Engine!$B$12:$B$72,$A120+1)-(F120/INDEX(Surface_Engine!$B$12:$B$72,$A120+1))))+2*Assumptions!$B$28*(MAX(IF(D120&lt;=0,0,MAX(0,(B120/D120)*H120/INDEX(Surface_Engine!$B$12:$B$72,$A120+1)-F120/INDEX(Surface_Engine!$B$12:$B$72,$A120+1))),IF(E120&lt;=0,0,MAX(0,(B120/E120)*I120/INDEX(Surface_Engine!$B$12:$B$72,$A120+1)-F120/INDEX(Surface_Engine!$B$12:$B$72,$A120+1))),IF($A120&lt;$Q$69,MAX(0,-Assumptions!$B$22*(F120/INDEX(Surface_Engine!$B$12:$B$72,$A120+1))),0)))*(MAX(0,J120/INDEX(Surface_Engine!$B$12:$B$72,$A120+1)-(F120/INDEX(Surface_Engine!$B$12:$B$72,$A120+1)))))</f>
        <v>60.6305886258304</v>
      </c>
      <c r="L120" s="48" t="n">
        <f aca="false">K120*INDEX(Surface_Engine!$B$12:$B$72,$A120+1)+L121</f>
        <v>27.8831565449381</v>
      </c>
      <c r="M120" s="48" t="n">
        <f aca="false">M119+B119*(IF($A119&lt;$Q$69,(Surface_Engine!G236*12)-(Surface_Engine!G236*12)*INDEX(Surface_Engine!$F$12:$F$72,$A119+1)-INDEX(Surface_Engine!$D$12:$D$72,$A119+1),-(1000*12*INDEX(Surface_Engine!$C$12:$C$72,$A119+1)/(1+Assumptions!$B$10)^20+INDEX(Surface_Engine!$D$12:$D$72,$A119+1))))*INDEX(Surface_Engine!$B$12:$B$72,$A119+1)</f>
        <v>1885.03780808259</v>
      </c>
      <c r="N120" s="12" t="n">
        <f aca="false">IF(B120&lt;=0,0,MAX(0,(K120+Assumptions!$B$29*L120/INDEX(Surface_Engine!$B$12:$B$72,$A120+1)-(M120/INDEX(Surface_Engine!$B$12:$B$72,$A120+1)-(F120/INDEX(Surface_Engine!$B$12:$B$72,$A120+1))))/B120))</f>
        <v>0</v>
      </c>
    </row>
    <row r="121" customFormat="false" ht="15" hidden="false" customHeight="true" outlineLevel="0" collapsed="false">
      <c r="A121" s="1" t="n">
        <v>50</v>
      </c>
      <c r="B121" s="32" t="n">
        <f aca="false">INDEX(Surface_Engine!$G$12:$G$72,$A121+1)*IF($A121&lt;$Q$69,INDEX(Surface_Engine!$E$12:$E$72,$A121+1),INDEX(Surface_Engine!$E$12:$E$72,$Q$69+1))</f>
        <v>0.00338931466456819</v>
      </c>
      <c r="C121" s="32" t="n">
        <f aca="false">INDEX(Panel_Reserving!$B$8:$B$68,$A121+1)*IF($A121&lt;$Q$69,INDEX(Surface_Engine!$E$12:$E$72,$A121+1),INDEX(Surface_Engine!$E$12:$E$72,$Q$69+1))</f>
        <v>0.0114404060903062</v>
      </c>
      <c r="D121" s="32" t="n">
        <f aca="false">INDEX(Surface_Engine!$G$12:$G$72,$A121+1)*IF($A121&lt;$Q$69,INDEX(Surface_Engine!$Y$12:$Y$72,$A121+1),INDEX(Surface_Engine!$Y$12:$Y$72,$Q$69+1))</f>
        <v>0.00300046188646248</v>
      </c>
      <c r="E121" s="32" t="n">
        <f aca="false">INDEX(Surface_Engine!$G$12:$G$72,$A121+1)*IF($A121&lt;$Q$69,INDEX(Surface_Engine!$Z$12:$Z$72,$A121+1),INDEX(Surface_Engine!$Z$12:$Z$72,$Q$69+1))</f>
        <v>0.00382464585808582</v>
      </c>
      <c r="F121" s="48" t="n">
        <f aca="false">B121*(IF($A121&lt;$Q$69,INDEX(Surface_Engine!$D$12:$D$72,$A121+1)+(Surface_Engine!G236*12)*INDEX(Surface_Engine!$F$12:$F$72,$A121+1)-(Surface_Engine!G236*12),1000*12*INDEX(Surface_Engine!$C$12:$C$72,$A121+1)/(1+Assumptions!$B$10)^20+INDEX(Surface_Engine!$D$12:$D$72,$A121+1)))*INDEX(Surface_Engine!$B$12:$B$72,$A121+1)+F122</f>
        <v>32.8892827435483</v>
      </c>
      <c r="G121" s="48" t="n">
        <f aca="false">C121*(IF($A121&lt;$Q$69,INDEX(Surface_Engine!$D$12:$D$72,$A121+1)+(Surface_Engine!G236*12)*INDEX(Surface_Engine!$F$12:$F$72,$A121+1)-(Surface_Engine!G236*12),1000*12*INDEX(Surface_Engine!$C$12:$C$72,$A121+1)/(1+Assumptions!$B$10)^20+INDEX(Surface_Engine!$D$12:$D$72,$A121+1)))*INDEX(Surface_Engine!$B$12:$B$72,$A121+1)+G122</f>
        <v>135.534014703144</v>
      </c>
      <c r="H121" s="48" t="n">
        <f aca="false">D121*(IF($A121&lt;$Q$69,INDEX(Surface_Engine!$D$12:$D$72,$A121+1)+(Surface_Engine!G236*12)*INDEX(Surface_Engine!$F$12:$F$72,$A121+1)-(Surface_Engine!G236*12),1000*12*INDEX(Surface_Engine!$C$12:$C$72,$A121+1)/(1+Assumptions!$B$10)^20+INDEX(Surface_Engine!$D$12:$D$72,$A121+1)))*INDEX(Surface_Engine!$B$12:$B$72,$A121+1)+H122</f>
        <v>29.1159272925393</v>
      </c>
      <c r="I121" s="48" t="n">
        <f aca="false">E121*(IF($A121&lt;$Q$69,INDEX(Surface_Engine!$D$12:$D$72,$A121+1)+(Surface_Engine!G236*12)*INDEX(Surface_Engine!$F$12:$F$72,$A121+1)-(Surface_Engine!G236*12),1000*12*INDEX(Surface_Engine!$C$12:$C$72,$A121+1)/(1+Assumptions!$B$10)^20+INDEX(Surface_Engine!$D$12:$D$72,$A121+1)))*INDEX(Surface_Engine!$B$12:$B$72,$A121+1)+I122</f>
        <v>37.1136561427976</v>
      </c>
      <c r="J121" s="48" t="n">
        <f aca="false">B121*(IF($A121&lt;$Q$69,INDEX(Surface_Engine!$D$12:$D$72,$A121+1)*(1+Assumptions!$B$24)+(Surface_Engine!G236*12)*INDEX(Surface_Engine!$F$12:$F$72,$A121+1)-(Surface_Engine!G236*12),1000*12*INDEX(Surface_Engine!$C$12:$C$72,$A121+1)/(1+Assumptions!$B$10)^20+INDEX(Surface_Engine!$D$12:$D$72,$A121+1)*(1+Assumptions!$B$24)))*INDEX(Surface_Engine!$B$12:$B$72,$A121+1)+J122</f>
        <v>32.9316017693876</v>
      </c>
      <c r="K121" s="12" t="n">
        <f aca="false">SQRT((IF(C121&lt;=0,0,MAX(0,(B121/C121)*G121/INDEX(Surface_Engine!$B$12:$B$72,$A121+1)-F121/INDEX(Surface_Engine!$B$12:$B$72,$A121+1))))^2+(MAX(IF(D121&lt;=0,0,MAX(0,(B121/D121)*H121/INDEX(Surface_Engine!$B$12:$B$72,$A121+1)-F121/INDEX(Surface_Engine!$B$12:$B$72,$A121+1))),IF(E121&lt;=0,0,MAX(0,(B121/E121)*I121/INDEX(Surface_Engine!$B$12:$B$72,$A121+1)-F121/INDEX(Surface_Engine!$B$12:$B$72,$A121+1))),IF($A121&lt;$Q$69,MAX(0,-Assumptions!$B$22*(F121/INDEX(Surface_Engine!$B$12:$B$72,$A121+1))),0)))^2+(MAX(0,J121/INDEX(Surface_Engine!$B$12:$B$72,$A121+1)-(F121/INDEX(Surface_Engine!$B$12:$B$72,$A121+1))))^2+2*Assumptions!$B$26*(IF(C121&lt;=0,0,MAX(0,(B121/C121)*G121/INDEX(Surface_Engine!$B$12:$B$72,$A121+1)-F121/INDEX(Surface_Engine!$B$12:$B$72,$A121+1))))*(MAX(IF(D121&lt;=0,0,MAX(0,(B121/D121)*H121/INDEX(Surface_Engine!$B$12:$B$72,$A121+1)-F121/INDEX(Surface_Engine!$B$12:$B$72,$A121+1))),IF(E121&lt;=0,0,MAX(0,(B121/E121)*I121/INDEX(Surface_Engine!$B$12:$B$72,$A121+1)-F121/INDEX(Surface_Engine!$B$12:$B$72,$A121+1))),IF($A121&lt;$Q$69,MAX(0,-Assumptions!$B$22*(F121/INDEX(Surface_Engine!$B$12:$B$72,$A121+1))),0)))+2*Assumptions!$B$27*(IF(C121&lt;=0,0,MAX(0,(B121/C121)*G121/INDEX(Surface_Engine!$B$12:$B$72,$A121+1)-F121/INDEX(Surface_Engine!$B$12:$B$72,$A121+1))))*(MAX(0,J121/INDEX(Surface_Engine!$B$12:$B$72,$A121+1)-(F121/INDEX(Surface_Engine!$B$12:$B$72,$A121+1))))+2*Assumptions!$B$28*(MAX(IF(D121&lt;=0,0,MAX(0,(B121/D121)*H121/INDEX(Surface_Engine!$B$12:$B$72,$A121+1)-F121/INDEX(Surface_Engine!$B$12:$B$72,$A121+1))),IF(E121&lt;=0,0,MAX(0,(B121/E121)*I121/INDEX(Surface_Engine!$B$12:$B$72,$A121+1)-F121/INDEX(Surface_Engine!$B$12:$B$72,$A121+1))),IF($A121&lt;$Q$69,MAX(0,-Assumptions!$B$22*(F121/INDEX(Surface_Engine!$B$12:$B$72,$A121+1))),0)))*(MAX(0,J121/INDEX(Surface_Engine!$B$12:$B$72,$A121+1)-(F121/INDEX(Surface_Engine!$B$12:$B$72,$A121+1)))))</f>
        <v>35.4122327720014</v>
      </c>
      <c r="L121" s="48" t="n">
        <f aca="false">K121*INDEX(Surface_Engine!$B$12:$B$72,$A121+1)+L122</f>
        <v>15.0154859967625</v>
      </c>
      <c r="M121" s="48" t="n">
        <f aca="false">M120+B120*(IF($A120&lt;$Q$69,(Surface_Engine!G236*12)-(Surface_Engine!G236*12)*INDEX(Surface_Engine!$F$12:$F$72,$A120+1)-INDEX(Surface_Engine!$D$12:$D$72,$A120+1),-(1000*12*INDEX(Surface_Engine!$C$12:$C$72,$A120+1)/(1+Assumptions!$B$10)^20+INDEX(Surface_Engine!$D$12:$D$72,$A120+1))))*INDEX(Surface_Engine!$B$12:$B$72,$A120+1)</f>
        <v>1858.71371252627</v>
      </c>
      <c r="N121" s="12" t="n">
        <f aca="false">IF(B121&lt;=0,0,MAX(0,(K121+Assumptions!$B$29*L121/INDEX(Surface_Engine!$B$12:$B$72,$A121+1)-(M121/INDEX(Surface_Engine!$B$12:$B$72,$A121+1)-(F121/INDEX(Surface_Engine!$B$12:$B$72,$A121+1))))/B121))</f>
        <v>0</v>
      </c>
    </row>
    <row r="122" customFormat="false" ht="15" hidden="false" customHeight="true" outlineLevel="0" collapsed="false">
      <c r="A122" s="1" t="n">
        <v>51</v>
      </c>
      <c r="B122" s="32" t="n">
        <f aca="false">INDEX(Surface_Engine!$G$12:$G$72,$A122+1)*IF($A122&lt;$Q$69,INDEX(Surface_Engine!$E$12:$E$72,$A122+1),INDEX(Surface_Engine!$E$12:$E$72,$Q$69+1))</f>
        <v>0.00189601346001582</v>
      </c>
      <c r="C122" s="32" t="n">
        <f aca="false">INDEX(Panel_Reserving!$B$8:$B$68,$A122+1)*IF($A122&lt;$Q$69,INDEX(Surface_Engine!$E$12:$E$72,$A122+1),INDEX(Surface_Engine!$E$12:$E$72,$Q$69+1))</f>
        <v>0.0074079750212602</v>
      </c>
      <c r="D122" s="32" t="n">
        <f aca="false">INDEX(Surface_Engine!$G$12:$G$72,$A122+1)*IF($A122&lt;$Q$69,INDEX(Surface_Engine!$Y$12:$Y$72,$A122+1),INDEX(Surface_Engine!$Y$12:$Y$72,$Q$69+1))</f>
        <v>0.00167848567808386</v>
      </c>
      <c r="E122" s="32" t="n">
        <f aca="false">INDEX(Surface_Engine!$G$12:$G$72,$A122+1)*IF($A122&lt;$Q$69,INDEX(Surface_Engine!$Z$12:$Z$72,$A122+1),INDEX(Surface_Engine!$Z$12:$Z$72,$Q$69+1))</f>
        <v>0.00213954169039904</v>
      </c>
      <c r="F122" s="48" t="n">
        <f aca="false">B122*(IF($A122&lt;$Q$69,INDEX(Surface_Engine!$D$12:$D$72,$A122+1)+(Surface_Engine!G236*12)*INDEX(Surface_Engine!$F$12:$F$72,$A122+1)-(Surface_Engine!G236*12),1000*12*INDEX(Surface_Engine!$C$12:$C$72,$A122+1)/(1+Assumptions!$B$10)^20+INDEX(Surface_Engine!$D$12:$D$72,$A122+1)))*INDEX(Surface_Engine!$B$12:$B$72,$A122+1)+F123</f>
        <v>17.5592840117217</v>
      </c>
      <c r="G122" s="48" t="n">
        <f aca="false">C122*(IF($A122&lt;$Q$69,INDEX(Surface_Engine!$D$12:$D$72,$A122+1)+(Surface_Engine!G236*12)*INDEX(Surface_Engine!$F$12:$F$72,$A122+1)-(Surface_Engine!G236*12),1000*12*INDEX(Surface_Engine!$C$12:$C$72,$A122+1)/(1+Assumptions!$B$10)^20+INDEX(Surface_Engine!$D$12:$D$72,$A122+1)))*INDEX(Surface_Engine!$B$12:$B$72,$A122+1)+G123</f>
        <v>83.7886242000406</v>
      </c>
      <c r="H122" s="48" t="n">
        <f aca="false">D122*(IF($A122&lt;$Q$69,INDEX(Surface_Engine!$D$12:$D$72,$A122+1)+(Surface_Engine!G236*12)*INDEX(Surface_Engine!$F$12:$F$72,$A122+1)-(Surface_Engine!G236*12),1000*12*INDEX(Surface_Engine!$C$12:$C$72,$A122+1)/(1+Assumptions!$B$10)^20+INDEX(Surface_Engine!$D$12:$D$72,$A122+1)))*INDEX(Surface_Engine!$B$12:$B$72,$A122+1)+H123</f>
        <v>15.5447244192222</v>
      </c>
      <c r="I122" s="48" t="n">
        <f aca="false">E122*(IF($A122&lt;$Q$69,INDEX(Surface_Engine!$D$12:$D$72,$A122+1)+(Surface_Engine!G236*12)*INDEX(Surface_Engine!$F$12:$F$72,$A122+1)-(Surface_Engine!G236*12),1000*12*INDEX(Surface_Engine!$C$12:$C$72,$A122+1)/(1+Assumptions!$B$10)^20+INDEX(Surface_Engine!$D$12:$D$72,$A122+1)))*INDEX(Surface_Engine!$B$12:$B$72,$A122+1)+I123</f>
        <v>19.8146379173502</v>
      </c>
      <c r="J122" s="48" t="n">
        <f aca="false">B122*(IF($A122&lt;$Q$69,INDEX(Surface_Engine!$D$12:$D$72,$A122+1)*(1+Assumptions!$B$24)+(Surface_Engine!G236*12)*INDEX(Surface_Engine!$F$12:$F$72,$A122+1)-(Surface_Engine!G236*12),1000*12*INDEX(Surface_Engine!$C$12:$C$72,$A122+1)/(1+Assumptions!$B$10)^20+INDEX(Surface_Engine!$D$12:$D$72,$A122+1)*(1+Assumptions!$B$24)))*INDEX(Surface_Engine!$B$12:$B$72,$A122+1)+J123</f>
        <v>17.5819799299647</v>
      </c>
      <c r="K122" s="12" t="n">
        <f aca="false">SQRT((IF(C122&lt;=0,0,MAX(0,(B122/C122)*G122/INDEX(Surface_Engine!$B$12:$B$72,$A122+1)-F122/INDEX(Surface_Engine!$B$12:$B$72,$A122+1))))^2+(MAX(IF(D122&lt;=0,0,MAX(0,(B122/D122)*H122/INDEX(Surface_Engine!$B$12:$B$72,$A122+1)-F122/INDEX(Surface_Engine!$B$12:$B$72,$A122+1))),IF(E122&lt;=0,0,MAX(0,(B122/E122)*I122/INDEX(Surface_Engine!$B$12:$B$72,$A122+1)-F122/INDEX(Surface_Engine!$B$12:$B$72,$A122+1))),IF($A122&lt;$Q$69,MAX(0,-Assumptions!$B$22*(F122/INDEX(Surface_Engine!$B$12:$B$72,$A122+1))),0)))^2+(MAX(0,J122/INDEX(Surface_Engine!$B$12:$B$72,$A122+1)-(F122/INDEX(Surface_Engine!$B$12:$B$72,$A122+1))))^2+2*Assumptions!$B$26*(IF(C122&lt;=0,0,MAX(0,(B122/C122)*G122/INDEX(Surface_Engine!$B$12:$B$72,$A122+1)-F122/INDEX(Surface_Engine!$B$12:$B$72,$A122+1))))*(MAX(IF(D122&lt;=0,0,MAX(0,(B122/D122)*H122/INDEX(Surface_Engine!$B$12:$B$72,$A122+1)-F122/INDEX(Surface_Engine!$B$12:$B$72,$A122+1))),IF(E122&lt;=0,0,MAX(0,(B122/E122)*I122/INDEX(Surface_Engine!$B$12:$B$72,$A122+1)-F122/INDEX(Surface_Engine!$B$12:$B$72,$A122+1))),IF($A122&lt;$Q$69,MAX(0,-Assumptions!$B$22*(F122/INDEX(Surface_Engine!$B$12:$B$72,$A122+1))),0)))+2*Assumptions!$B$27*(IF(C122&lt;=0,0,MAX(0,(B122/C122)*G122/INDEX(Surface_Engine!$B$12:$B$72,$A122+1)-F122/INDEX(Surface_Engine!$B$12:$B$72,$A122+1))))*(MAX(0,J122/INDEX(Surface_Engine!$B$12:$B$72,$A122+1)-(F122/INDEX(Surface_Engine!$B$12:$B$72,$A122+1))))+2*Assumptions!$B$28*(MAX(IF(D122&lt;=0,0,MAX(0,(B122/D122)*H122/INDEX(Surface_Engine!$B$12:$B$72,$A122+1)-F122/INDEX(Surface_Engine!$B$12:$B$72,$A122+1))),IF(E122&lt;=0,0,MAX(0,(B122/E122)*I122/INDEX(Surface_Engine!$B$12:$B$72,$A122+1)-F122/INDEX(Surface_Engine!$B$12:$B$72,$A122+1))),IF($A122&lt;$Q$69,MAX(0,-Assumptions!$B$22*(F122/INDEX(Surface_Engine!$B$12:$B$72,$A122+1))),0)))*(MAX(0,J122/INDEX(Surface_Engine!$B$12:$B$72,$A122+1)-(F122/INDEX(Surface_Engine!$B$12:$B$72,$A122+1)))))</f>
        <v>19.5627347162259</v>
      </c>
      <c r="L122" s="48" t="n">
        <f aca="false">K122*INDEX(Surface_Engine!$B$12:$B$72,$A122+1)+L123</f>
        <v>7.74100384315351</v>
      </c>
      <c r="M122" s="48" t="n">
        <f aca="false">M121+B121*(IF($A121&lt;$Q$69,(Surface_Engine!G236*12)-(Surface_Engine!G236*12)*INDEX(Surface_Engine!$F$12:$F$72,$A121+1)-INDEX(Surface_Engine!$D$12:$D$72,$A121+1),-(1000*12*INDEX(Surface_Engine!$C$12:$C$72,$A121+1)/(1+Assumptions!$B$10)^20+INDEX(Surface_Engine!$D$12:$D$72,$A121+1))))*INDEX(Surface_Engine!$B$12:$B$72,$A121+1)</f>
        <v>1843.38371379445</v>
      </c>
      <c r="N122" s="12" t="n">
        <f aca="false">IF(B122&lt;=0,0,MAX(0,(K122+Assumptions!$B$29*L122/INDEX(Surface_Engine!$B$12:$B$72,$A122+1)-(M122/INDEX(Surface_Engine!$B$12:$B$72,$A122+1)-(F122/INDEX(Surface_Engine!$B$12:$B$72,$A122+1))))/B122))</f>
        <v>0</v>
      </c>
    </row>
    <row r="123" customFormat="false" ht="15" hidden="false" customHeight="true" outlineLevel="0" collapsed="false">
      <c r="A123" s="1" t="n">
        <v>52</v>
      </c>
      <c r="B123" s="32" t="n">
        <f aca="false">INDEX(Surface_Engine!$G$12:$G$72,$A123+1)*IF($A123&lt;$Q$69,INDEX(Surface_Engine!$E$12:$E$72,$A123+1),INDEX(Surface_Engine!$E$12:$E$72,$Q$69+1))</f>
        <v>0.00102718778079157</v>
      </c>
      <c r="C123" s="32" t="n">
        <f aca="false">INDEX(Panel_Reserving!$B$8:$B$68,$A123+1)*IF($A123&lt;$Q$69,INDEX(Surface_Engine!$E$12:$E$72,$A123+1),INDEX(Surface_Engine!$E$12:$E$72,$Q$69+1))</f>
        <v>0.00469228167192335</v>
      </c>
      <c r="D123" s="32" t="n">
        <f aca="false">INDEX(Surface_Engine!$G$12:$G$72,$A123+1)*IF($A123&lt;$Q$69,INDEX(Surface_Engine!$Y$12:$Y$72,$A123+1),INDEX(Surface_Engine!$Y$12:$Y$72,$Q$69+1))</f>
        <v>0.000909339524808551</v>
      </c>
      <c r="E123" s="32" t="n">
        <f aca="false">INDEX(Surface_Engine!$G$12:$G$72,$A123+1)*IF($A123&lt;$Q$69,INDEX(Surface_Engine!$Z$12:$Z$72,$A123+1),INDEX(Surface_Engine!$Z$12:$Z$72,$Q$69+1))</f>
        <v>0.0011591220881173</v>
      </c>
      <c r="F123" s="48" t="n">
        <f aca="false">B123*(IF($A123&lt;$Q$69,INDEX(Surface_Engine!$D$12:$D$72,$A123+1)+(Surface_Engine!G236*12)*INDEX(Surface_Engine!$F$12:$F$72,$A123+1)-(Surface_Engine!G236*12),1000*12*INDEX(Surface_Engine!$C$12:$C$72,$A123+1)/(1+Assumptions!$B$10)^20+INDEX(Surface_Engine!$D$12:$D$72,$A123+1)))*INDEX(Surface_Engine!$B$12:$B$72,$A123+1)+F124</f>
        <v>9.08822994610316</v>
      </c>
      <c r="G123" s="48" t="n">
        <f aca="false">C123*(IF($A123&lt;$Q$69,INDEX(Surface_Engine!$D$12:$D$72,$A123+1)+(Surface_Engine!G236*12)*INDEX(Surface_Engine!$F$12:$F$72,$A123+1)-(Surface_Engine!G236*12),1000*12*INDEX(Surface_Engine!$C$12:$C$72,$A123+1)/(1+Assumptions!$B$10)^20+INDEX(Surface_Engine!$D$12:$D$72,$A123+1)))*INDEX(Surface_Engine!$B$12:$B$72,$A123+1)+G124</f>
        <v>50.6910970752471</v>
      </c>
      <c r="H123" s="48" t="n">
        <f aca="false">D123*(IF($A123&lt;$Q$69,INDEX(Surface_Engine!$D$12:$D$72,$A123+1)+(Surface_Engine!G236*12)*INDEX(Surface_Engine!$F$12:$F$72,$A123+1)-(Surface_Engine!G236*12),1000*12*INDEX(Surface_Engine!$C$12:$C$72,$A123+1)/(1+Assumptions!$B$10)^20+INDEX(Surface_Engine!$D$12:$D$72,$A123+1)))*INDEX(Surface_Engine!$B$12:$B$72,$A123+1)+H124</f>
        <v>8.04554615532094</v>
      </c>
      <c r="I123" s="48" t="n">
        <f aca="false">E123*(IF($A123&lt;$Q$69,INDEX(Surface_Engine!$D$12:$D$72,$A123+1)+(Surface_Engine!G236*12)*INDEX(Surface_Engine!$F$12:$F$72,$A123+1)-(Surface_Engine!G236*12),1000*12*INDEX(Surface_Engine!$C$12:$C$72,$A123+1)/(1+Assumptions!$B$10)^20+INDEX(Surface_Engine!$D$12:$D$72,$A123+1)))*INDEX(Surface_Engine!$B$12:$B$72,$A123+1)+I124</f>
        <v>10.2555426275605</v>
      </c>
      <c r="J123" s="48" t="n">
        <f aca="false">B123*(IF($A123&lt;$Q$69,INDEX(Surface_Engine!$D$12:$D$72,$A123+1)*(1+Assumptions!$B$24)+(Surface_Engine!G236*12)*INDEX(Surface_Engine!$F$12:$F$72,$A123+1)-(Surface_Engine!G236*12),1000*12*INDEX(Surface_Engine!$C$12:$C$72,$A123+1)/(1+Assumptions!$B$10)^20+INDEX(Surface_Engine!$D$12:$D$72,$A123+1)*(1+Assumptions!$B$24)))*INDEX(Surface_Engine!$B$12:$B$72,$A123+1)+J124</f>
        <v>9.10003005329191</v>
      </c>
      <c r="K123" s="12" t="n">
        <f aca="false">SQRT((IF(C123&lt;=0,0,MAX(0,(B123/C123)*G123/INDEX(Surface_Engine!$B$12:$B$72,$A123+1)-F123/INDEX(Surface_Engine!$B$12:$B$72,$A123+1))))^2+(MAX(IF(D123&lt;=0,0,MAX(0,(B123/D123)*H123/INDEX(Surface_Engine!$B$12:$B$72,$A123+1)-F123/INDEX(Surface_Engine!$B$12:$B$72,$A123+1))),IF(E123&lt;=0,0,MAX(0,(B123/E123)*I123/INDEX(Surface_Engine!$B$12:$B$72,$A123+1)-F123/INDEX(Surface_Engine!$B$12:$B$72,$A123+1))),IF($A123&lt;$Q$69,MAX(0,-Assumptions!$B$22*(F123/INDEX(Surface_Engine!$B$12:$B$72,$A123+1))),0)))^2+(MAX(0,J123/INDEX(Surface_Engine!$B$12:$B$72,$A123+1)-(F123/INDEX(Surface_Engine!$B$12:$B$72,$A123+1))))^2+2*Assumptions!$B$26*(IF(C123&lt;=0,0,MAX(0,(B123/C123)*G123/INDEX(Surface_Engine!$B$12:$B$72,$A123+1)-F123/INDEX(Surface_Engine!$B$12:$B$72,$A123+1))))*(MAX(IF(D123&lt;=0,0,MAX(0,(B123/D123)*H123/INDEX(Surface_Engine!$B$12:$B$72,$A123+1)-F123/INDEX(Surface_Engine!$B$12:$B$72,$A123+1))),IF(E123&lt;=0,0,MAX(0,(B123/E123)*I123/INDEX(Surface_Engine!$B$12:$B$72,$A123+1)-F123/INDEX(Surface_Engine!$B$12:$B$72,$A123+1))),IF($A123&lt;$Q$69,MAX(0,-Assumptions!$B$22*(F123/INDEX(Surface_Engine!$B$12:$B$72,$A123+1))),0)))+2*Assumptions!$B$27*(IF(C123&lt;=0,0,MAX(0,(B123/C123)*G123/INDEX(Surface_Engine!$B$12:$B$72,$A123+1)-F123/INDEX(Surface_Engine!$B$12:$B$72,$A123+1))))*(MAX(0,J123/INDEX(Surface_Engine!$B$12:$B$72,$A123+1)-(F123/INDEX(Surface_Engine!$B$12:$B$72,$A123+1))))+2*Assumptions!$B$28*(MAX(IF(D123&lt;=0,0,MAX(0,(B123/D123)*H123/INDEX(Surface_Engine!$B$12:$B$72,$A123+1)-F123/INDEX(Surface_Engine!$B$12:$B$72,$A123+1))),IF(E123&lt;=0,0,MAX(0,(B123/E123)*I123/INDEX(Surface_Engine!$B$12:$B$72,$A123+1)-F123/INDEX(Surface_Engine!$B$12:$B$72,$A123+1))),IF($A123&lt;$Q$69,MAX(0,-Assumptions!$B$22*(F123/INDEX(Surface_Engine!$B$12:$B$72,$A123+1))),0)))*(MAX(0,J123/INDEX(Surface_Engine!$B$12:$B$72,$A123+1)-(F123/INDEX(Surface_Engine!$B$12:$B$72,$A123+1)))))</f>
        <v>10.4426951229748</v>
      </c>
      <c r="L123" s="48" t="n">
        <f aca="false">K123*INDEX(Surface_Engine!$B$12:$B$72,$A123+1)+L124</f>
        <v>3.84950661333138</v>
      </c>
      <c r="M123" s="48" t="n">
        <f aca="false">M122+B122*(IF($A122&lt;$Q$69,(Surface_Engine!G236*12)-(Surface_Engine!G236*12)*INDEX(Surface_Engine!$F$12:$F$72,$A122+1)-INDEX(Surface_Engine!$D$12:$D$72,$A122+1),-(1000*12*INDEX(Surface_Engine!$C$12:$C$72,$A122+1)/(1+Assumptions!$B$10)^20+INDEX(Surface_Engine!$D$12:$D$72,$A122+1))))*INDEX(Surface_Engine!$B$12:$B$72,$A122+1)</f>
        <v>1834.91265972883</v>
      </c>
      <c r="N123" s="12" t="n">
        <f aca="false">IF(B123&lt;=0,0,MAX(0,(K123+Assumptions!$B$29*L123/INDEX(Surface_Engine!$B$12:$B$72,$A123+1)-(M123/INDEX(Surface_Engine!$B$12:$B$72,$A123+1)-(F123/INDEX(Surface_Engine!$B$12:$B$72,$A123+1))))/B123))</f>
        <v>0</v>
      </c>
    </row>
    <row r="124" customFormat="false" ht="15" hidden="false" customHeight="true" outlineLevel="0" collapsed="false">
      <c r="A124" s="1" t="n">
        <v>53</v>
      </c>
      <c r="B124" s="32" t="n">
        <f aca="false">INDEX(Surface_Engine!$G$12:$G$72,$A124+1)*IF($A124&lt;$Q$69,INDEX(Surface_Engine!$E$12:$E$72,$A124+1),INDEX(Surface_Engine!$E$12:$E$72,$Q$69+1))</f>
        <v>0.000538437888674231</v>
      </c>
      <c r="C124" s="32" t="n">
        <f aca="false">INDEX(Panel_Reserving!$B$8:$B$68,$A124+1)*IF($A124&lt;$Q$69,INDEX(Surface_Engine!$E$12:$E$72,$A124+1),INDEX(Surface_Engine!$E$12:$E$72,$Q$69+1))</f>
        <v>0.00290616061104436</v>
      </c>
      <c r="D124" s="32" t="n">
        <f aca="false">INDEX(Surface_Engine!$G$12:$G$72,$A124+1)*IF($A124&lt;$Q$69,INDEX(Surface_Engine!$Y$12:$Y$72,$A124+1),INDEX(Surface_Engine!$Y$12:$Y$72,$Q$69+1))</f>
        <v>0.000476663432900876</v>
      </c>
      <c r="E124" s="32" t="n">
        <f aca="false">INDEX(Surface_Engine!$G$12:$G$72,$A124+1)*IF($A124&lt;$Q$69,INDEX(Surface_Engine!$Z$12:$Z$72,$A124+1),INDEX(Surface_Engine!$Z$12:$Z$72,$Q$69+1))</f>
        <v>0.000607596061316642</v>
      </c>
      <c r="F124" s="48" t="n">
        <f aca="false">B124*(IF($A124&lt;$Q$69,INDEX(Surface_Engine!$D$12:$D$72,$A124+1)+(Surface_Engine!G236*12)*INDEX(Surface_Engine!$F$12:$F$72,$A124+1)-(Surface_Engine!G236*12),1000*12*INDEX(Surface_Engine!$C$12:$C$72,$A124+1)/(1+Assumptions!$B$10)^20+INDEX(Surface_Engine!$D$12:$D$72,$A124+1)))*INDEX(Surface_Engine!$B$12:$B$72,$A124+1)+F125</f>
        <v>4.55504529167889</v>
      </c>
      <c r="G124" s="48" t="n">
        <f aca="false">C124*(IF($A124&lt;$Q$69,INDEX(Surface_Engine!$D$12:$D$72,$A124+1)+(Surface_Engine!G236*12)*INDEX(Surface_Engine!$F$12:$F$72,$A124+1)-(Surface_Engine!G236*12),1000*12*INDEX(Surface_Engine!$C$12:$C$72,$A124+1)/(1+Assumptions!$B$10)^20+INDEX(Surface_Engine!$D$12:$D$72,$A124+1)))*INDEX(Surface_Engine!$B$12:$B$72,$A124+1)+G125</f>
        <v>29.9831217009614</v>
      </c>
      <c r="H124" s="48" t="n">
        <f aca="false">D124*(IF($A124&lt;$Q$69,INDEX(Surface_Engine!$D$12:$D$72,$A124+1)+(Surface_Engine!G236*12)*INDEX(Surface_Engine!$F$12:$F$72,$A124+1)-(Surface_Engine!G236*12),1000*12*INDEX(Surface_Engine!$C$12:$C$72,$A124+1)/(1+Assumptions!$B$10)^20+INDEX(Surface_Engine!$D$12:$D$72,$A124+1)))*INDEX(Surface_Engine!$B$12:$B$72,$A124+1)+H125</f>
        <v>4.03244937145254</v>
      </c>
      <c r="I124" s="48" t="n">
        <f aca="false">E124*(IF($A124&lt;$Q$69,INDEX(Surface_Engine!$D$12:$D$72,$A124+1)+(Surface_Engine!G236*12)*INDEX(Surface_Engine!$F$12:$F$72,$A124+1)-(Surface_Engine!G236*12),1000*12*INDEX(Surface_Engine!$C$12:$C$72,$A124+1)/(1+Assumptions!$B$10)^20+INDEX(Surface_Engine!$D$12:$D$72,$A124+1)))*INDEX(Surface_Engine!$B$12:$B$72,$A124+1)+I125</f>
        <v>5.1401055470996</v>
      </c>
      <c r="J124" s="48" t="n">
        <f aca="false">B124*(IF($A124&lt;$Q$69,INDEX(Surface_Engine!$D$12:$D$72,$A124+1)*(1+Assumptions!$B$24)+(Surface_Engine!G236*12)*INDEX(Surface_Engine!$F$12:$F$72,$A124+1)-(Surface_Engine!G236*12),1000*12*INDEX(Surface_Engine!$C$12:$C$72,$A124+1)/(1+Assumptions!$B$10)^20+INDEX(Surface_Engine!$D$12:$D$72,$A124+1)*(1+Assumptions!$B$24)))*INDEX(Surface_Engine!$B$12:$B$72,$A124+1)+J125</f>
        <v>4.56098642134864</v>
      </c>
      <c r="K124" s="12" t="n">
        <f aca="false">SQRT((IF(C124&lt;=0,0,MAX(0,(B124/C124)*G124/INDEX(Surface_Engine!$B$12:$B$72,$A124+1)-F124/INDEX(Surface_Engine!$B$12:$B$72,$A124+1))))^2+(MAX(IF(D124&lt;=0,0,MAX(0,(B124/D124)*H124/INDEX(Surface_Engine!$B$12:$B$72,$A124+1)-F124/INDEX(Surface_Engine!$B$12:$B$72,$A124+1))),IF(E124&lt;=0,0,MAX(0,(B124/E124)*I124/INDEX(Surface_Engine!$B$12:$B$72,$A124+1)-F124/INDEX(Surface_Engine!$B$12:$B$72,$A124+1))),IF($A124&lt;$Q$69,MAX(0,-Assumptions!$B$22*(F124/INDEX(Surface_Engine!$B$12:$B$72,$A124+1))),0)))^2+(MAX(0,J124/INDEX(Surface_Engine!$B$12:$B$72,$A124+1)-(F124/INDEX(Surface_Engine!$B$12:$B$72,$A124+1))))^2+2*Assumptions!$B$26*(IF(C124&lt;=0,0,MAX(0,(B124/C124)*G124/INDEX(Surface_Engine!$B$12:$B$72,$A124+1)-F124/INDEX(Surface_Engine!$B$12:$B$72,$A124+1))))*(MAX(IF(D124&lt;=0,0,MAX(0,(B124/D124)*H124/INDEX(Surface_Engine!$B$12:$B$72,$A124+1)-F124/INDEX(Surface_Engine!$B$12:$B$72,$A124+1))),IF(E124&lt;=0,0,MAX(0,(B124/E124)*I124/INDEX(Surface_Engine!$B$12:$B$72,$A124+1)-F124/INDEX(Surface_Engine!$B$12:$B$72,$A124+1))),IF($A124&lt;$Q$69,MAX(0,-Assumptions!$B$22*(F124/INDEX(Surface_Engine!$B$12:$B$72,$A124+1))),0)))+2*Assumptions!$B$27*(IF(C124&lt;=0,0,MAX(0,(B124/C124)*G124/INDEX(Surface_Engine!$B$12:$B$72,$A124+1)-F124/INDEX(Surface_Engine!$B$12:$B$72,$A124+1))))*(MAX(0,J124/INDEX(Surface_Engine!$B$12:$B$72,$A124+1)-(F124/INDEX(Surface_Engine!$B$12:$B$72,$A124+1))))+2*Assumptions!$B$28*(MAX(IF(D124&lt;=0,0,MAX(0,(B124/D124)*H124/INDEX(Surface_Engine!$B$12:$B$72,$A124+1)-F124/INDEX(Surface_Engine!$B$12:$B$72,$A124+1))),IF(E124&lt;=0,0,MAX(0,(B124/E124)*I124/INDEX(Surface_Engine!$B$12:$B$72,$A124+1)-F124/INDEX(Surface_Engine!$B$12:$B$72,$A124+1))),IF($A124&lt;$Q$69,MAX(0,-Assumptions!$B$22*(F124/INDEX(Surface_Engine!$B$12:$B$72,$A124+1))),0)))*(MAX(0,J124/INDEX(Surface_Engine!$B$12:$B$72,$A124+1)-(F124/INDEX(Surface_Engine!$B$12:$B$72,$A124+1)))))</f>
        <v>5.36960234085737</v>
      </c>
      <c r="L124" s="48" t="n">
        <f aca="false">K124*INDEX(Surface_Engine!$B$12:$B$72,$A124+1)+L125</f>
        <v>1.83796170283487</v>
      </c>
      <c r="M124" s="48" t="n">
        <f aca="false">M123+B123*(IF($A123&lt;$Q$69,(Surface_Engine!G236*12)-(Surface_Engine!G236*12)*INDEX(Surface_Engine!$F$12:$F$72,$A123+1)-INDEX(Surface_Engine!$D$12:$D$72,$A123+1),-(1000*12*INDEX(Surface_Engine!$C$12:$C$72,$A123+1)/(1+Assumptions!$B$10)^20+INDEX(Surface_Engine!$D$12:$D$72,$A123+1))))*INDEX(Surface_Engine!$B$12:$B$72,$A123+1)</f>
        <v>1830.3794750744</v>
      </c>
      <c r="N124" s="12" t="n">
        <f aca="false">IF(B124&lt;=0,0,MAX(0,(K124+Assumptions!$B$29*L124/INDEX(Surface_Engine!$B$12:$B$72,$A124+1)-(M124/INDEX(Surface_Engine!$B$12:$B$72,$A124+1)-(F124/INDEX(Surface_Engine!$B$12:$B$72,$A124+1))))/B124))</f>
        <v>0</v>
      </c>
    </row>
    <row r="125" customFormat="false" ht="15" hidden="false" customHeight="true" outlineLevel="0" collapsed="false">
      <c r="A125" s="1" t="n">
        <v>54</v>
      </c>
      <c r="B125" s="32" t="n">
        <f aca="false">INDEX(Surface_Engine!$G$12:$G$72,$A125+1)*IF($A125&lt;$Q$69,INDEX(Surface_Engine!$E$12:$E$72,$A125+1),INDEX(Surface_Engine!$E$12:$E$72,$Q$69+1))</f>
        <v>0.000272846392213705</v>
      </c>
      <c r="C125" s="32" t="n">
        <f aca="false">INDEX(Panel_Reserving!$B$8:$B$68,$A125+1)*IF($A125&lt;$Q$69,INDEX(Surface_Engine!$E$12:$E$72,$A125+1),INDEX(Surface_Engine!$E$12:$E$72,$Q$69+1))</f>
        <v>0.00175935937453792</v>
      </c>
      <c r="D125" s="32" t="n">
        <f aca="false">INDEX(Surface_Engine!$G$12:$G$72,$A125+1)*IF($A125&lt;$Q$69,INDEX(Surface_Engine!$Y$12:$Y$72,$A125+1),INDEX(Surface_Engine!$Y$12:$Y$72,$Q$69+1))</f>
        <v>0.000241542990756898</v>
      </c>
      <c r="E125" s="32" t="n">
        <f aca="false">INDEX(Surface_Engine!$G$12:$G$72,$A125+1)*IF($A125&lt;$Q$69,INDEX(Surface_Engine!$Z$12:$Z$72,$A125+1),INDEX(Surface_Engine!$Z$12:$Z$72,$Q$69+1))</f>
        <v>0.000307891396093421</v>
      </c>
      <c r="F125" s="48" t="n">
        <f aca="false">B125*(IF($A125&lt;$Q$69,INDEX(Surface_Engine!$D$12:$D$72,$A125+1)+(Surface_Engine!G236*12)*INDEX(Surface_Engine!$F$12:$F$72,$A125+1)-(Surface_Engine!G236*12),1000*12*INDEX(Surface_Engine!$C$12:$C$72,$A125+1)/(1+Assumptions!$B$10)^20+INDEX(Surface_Engine!$D$12:$D$72,$A125+1)))*INDEX(Surface_Engine!$B$12:$B$72,$A125+1)+F126</f>
        <v>2.20790836775987</v>
      </c>
      <c r="G125" s="48" t="n">
        <f aca="false">C125*(IF($A125&lt;$Q$69,INDEX(Surface_Engine!$D$12:$D$72,$A125+1)+(Surface_Engine!G236*12)*INDEX(Surface_Engine!$F$12:$F$72,$A125+1)-(Surface_Engine!G236*12),1000*12*INDEX(Surface_Engine!$C$12:$C$72,$A125+1)/(1+Assumptions!$B$10)^20+INDEX(Surface_Engine!$D$12:$D$72,$A125+1)))*INDEX(Surface_Engine!$B$12:$B$72,$A125+1)+G126</f>
        <v>17.3147025192862</v>
      </c>
      <c r="H125" s="48" t="n">
        <f aca="false">D125*(IF($A125&lt;$Q$69,INDEX(Surface_Engine!$D$12:$D$72,$A125+1)+(Surface_Engine!G236*12)*INDEX(Surface_Engine!$F$12:$F$72,$A125+1)-(Surface_Engine!G236*12),1000*12*INDEX(Surface_Engine!$C$12:$C$72,$A125+1)/(1+Assumptions!$B$10)^20+INDEX(Surface_Engine!$D$12:$D$72,$A125+1)))*INDEX(Surface_Engine!$B$12:$B$72,$A125+1)+H126</f>
        <v>1.95459718612732</v>
      </c>
      <c r="I125" s="48" t="n">
        <f aca="false">E125*(IF($A125&lt;$Q$69,INDEX(Surface_Engine!$D$12:$D$72,$A125+1)+(Surface_Engine!G236*12)*INDEX(Surface_Engine!$F$12:$F$72,$A125+1)-(Surface_Engine!G236*12),1000*12*INDEX(Surface_Engine!$C$12:$C$72,$A125+1)/(1+Assumptions!$B$10)^20+INDEX(Surface_Engine!$D$12:$D$72,$A125+1)))*INDEX(Surface_Engine!$B$12:$B$72,$A125+1)+I126</f>
        <v>2.491497081125</v>
      </c>
      <c r="J125" s="48" t="n">
        <f aca="false">B125*(IF($A125&lt;$Q$69,INDEX(Surface_Engine!$D$12:$D$72,$A125+1)*(1+Assumptions!$B$24)+(Surface_Engine!G236*12)*INDEX(Surface_Engine!$F$12:$F$72,$A125+1)-(Surface_Engine!G236*12),1000*12*INDEX(Surface_Engine!$C$12:$C$72,$A125+1)/(1+Assumptions!$B$10)^20+INDEX(Surface_Engine!$D$12:$D$72,$A125+1)*(1+Assumptions!$B$24)))*INDEX(Surface_Engine!$B$12:$B$72,$A125+1)+J126</f>
        <v>2.2108012302748</v>
      </c>
      <c r="K125" s="12" t="n">
        <f aca="false">SQRT((IF(C125&lt;=0,0,MAX(0,(B125/C125)*G125/INDEX(Surface_Engine!$B$12:$B$72,$A125+1)-F125/INDEX(Surface_Engine!$B$12:$B$72,$A125+1))))^2+(MAX(IF(D125&lt;=0,0,MAX(0,(B125/D125)*H125/INDEX(Surface_Engine!$B$12:$B$72,$A125+1)-F125/INDEX(Surface_Engine!$B$12:$B$72,$A125+1))),IF(E125&lt;=0,0,MAX(0,(B125/E125)*I125/INDEX(Surface_Engine!$B$12:$B$72,$A125+1)-F125/INDEX(Surface_Engine!$B$12:$B$72,$A125+1))),IF($A125&lt;$Q$69,MAX(0,-Assumptions!$B$22*(F125/INDEX(Surface_Engine!$B$12:$B$72,$A125+1))),0)))^2+(MAX(0,J125/INDEX(Surface_Engine!$B$12:$B$72,$A125+1)-(F125/INDEX(Surface_Engine!$B$12:$B$72,$A125+1))))^2+2*Assumptions!$B$26*(IF(C125&lt;=0,0,MAX(0,(B125/C125)*G125/INDEX(Surface_Engine!$B$12:$B$72,$A125+1)-F125/INDEX(Surface_Engine!$B$12:$B$72,$A125+1))))*(MAX(IF(D125&lt;=0,0,MAX(0,(B125/D125)*H125/INDEX(Surface_Engine!$B$12:$B$72,$A125+1)-F125/INDEX(Surface_Engine!$B$12:$B$72,$A125+1))),IF(E125&lt;=0,0,MAX(0,(B125/E125)*I125/INDEX(Surface_Engine!$B$12:$B$72,$A125+1)-F125/INDEX(Surface_Engine!$B$12:$B$72,$A125+1))),IF($A125&lt;$Q$69,MAX(0,-Assumptions!$B$22*(F125/INDEX(Surface_Engine!$B$12:$B$72,$A125+1))),0)))+2*Assumptions!$B$27*(IF(C125&lt;=0,0,MAX(0,(B125/C125)*G125/INDEX(Surface_Engine!$B$12:$B$72,$A125+1)-F125/INDEX(Surface_Engine!$B$12:$B$72,$A125+1))))*(MAX(0,J125/INDEX(Surface_Engine!$B$12:$B$72,$A125+1)-(F125/INDEX(Surface_Engine!$B$12:$B$72,$A125+1))))+2*Assumptions!$B$28*(MAX(IF(D125&lt;=0,0,MAX(0,(B125/D125)*H125/INDEX(Surface_Engine!$B$12:$B$72,$A125+1)-F125/INDEX(Surface_Engine!$B$12:$B$72,$A125+1))),IF(E125&lt;=0,0,MAX(0,(B125/E125)*I125/INDEX(Surface_Engine!$B$12:$B$72,$A125+1)-F125/INDEX(Surface_Engine!$B$12:$B$72,$A125+1))),IF($A125&lt;$Q$69,MAX(0,-Assumptions!$B$22*(F125/INDEX(Surface_Engine!$B$12:$B$72,$A125+1))),0)))*(MAX(0,J125/INDEX(Surface_Engine!$B$12:$B$72,$A125+1)-(F125/INDEX(Surface_Engine!$B$12:$B$72,$A125+1)))))</f>
        <v>2.64810820340494</v>
      </c>
      <c r="L125" s="48" t="n">
        <f aca="false">K125*INDEX(Surface_Engine!$B$12:$B$72,$A125+1)+L126</f>
        <v>0.836392827591076</v>
      </c>
      <c r="M125" s="48" t="n">
        <f aca="false">M124+B124*(IF($A124&lt;$Q$69,(Surface_Engine!G236*12)-(Surface_Engine!G236*12)*INDEX(Surface_Engine!$F$12:$F$72,$A124+1)-INDEX(Surface_Engine!$D$12:$D$72,$A124+1),-(1000*12*INDEX(Surface_Engine!$C$12:$C$72,$A124+1)/(1+Assumptions!$B$10)^20+INDEX(Surface_Engine!$D$12:$D$72,$A124+1))))*INDEX(Surface_Engine!$B$12:$B$72,$A124+1)</f>
        <v>1828.03233815049</v>
      </c>
      <c r="N125" s="12" t="n">
        <f aca="false">IF(B125&lt;=0,0,MAX(0,(K125+Assumptions!$B$29*L125/INDEX(Surface_Engine!$B$12:$B$72,$A125+1)-(M125/INDEX(Surface_Engine!$B$12:$B$72,$A125+1)-(F125/INDEX(Surface_Engine!$B$12:$B$72,$A125+1))))/B125))</f>
        <v>0</v>
      </c>
    </row>
    <row r="126" customFormat="false" ht="15" hidden="false" customHeight="true" outlineLevel="0" collapsed="false">
      <c r="A126" s="1" t="n">
        <v>55</v>
      </c>
      <c r="B126" s="32" t="n">
        <f aca="false">INDEX(Surface_Engine!$G$12:$G$72,$A126+1)*IF($A126&lt;$Q$69,INDEX(Surface_Engine!$E$12:$E$72,$A126+1),INDEX(Surface_Engine!$E$12:$E$72,$Q$69+1))</f>
        <v>0.000133548858897602</v>
      </c>
      <c r="C126" s="32" t="n">
        <f aca="false">INDEX(Panel_Reserving!$B$8:$B$68,$A126+1)*IF($A126&lt;$Q$69,INDEX(Surface_Engine!$E$12:$E$72,$A126+1),INDEX(Surface_Engine!$E$12:$E$72,$Q$69+1))</f>
        <v>0.00104078825735711</v>
      </c>
      <c r="D126" s="32" t="n">
        <f aca="false">INDEX(Surface_Engine!$G$12:$G$72,$A126+1)*IF($A126&lt;$Q$69,INDEX(Surface_Engine!$Y$12:$Y$72,$A126+1),INDEX(Surface_Engine!$Y$12:$Y$72,$Q$69+1))</f>
        <v>0.000118226928084254</v>
      </c>
      <c r="E126" s="32" t="n">
        <f aca="false">INDEX(Surface_Engine!$G$12:$G$72,$A126+1)*IF($A126&lt;$Q$69,INDEX(Surface_Engine!$Z$12:$Z$72,$A126+1),INDEX(Surface_Engine!$Z$12:$Z$72,$Q$69+1))</f>
        <v>0.000150702174505793</v>
      </c>
      <c r="F126" s="48" t="n">
        <f aca="false">B126*(IF($A126&lt;$Q$69,INDEX(Surface_Engine!$D$12:$D$72,$A126+1)+(Surface_Engine!G236*12)*INDEX(Surface_Engine!$F$12:$F$72,$A126+1)-(Surface_Engine!G236*12),1000*12*INDEX(Surface_Engine!$C$12:$C$72,$A126+1)/(1+Assumptions!$B$10)^20+INDEX(Surface_Engine!$D$12:$D$72,$A126+1)))*INDEX(Surface_Engine!$B$12:$B$72,$A126+1)+F127</f>
        <v>1.03372805511959</v>
      </c>
      <c r="G126" s="48" t="n">
        <f aca="false">C126*(IF($A126&lt;$Q$69,INDEX(Surface_Engine!$D$12:$D$72,$A126+1)+(Surface_Engine!G236*12)*INDEX(Surface_Engine!$F$12:$F$72,$A126+1)-(Surface_Engine!G236*12),1000*12*INDEX(Surface_Engine!$C$12:$C$72,$A126+1)/(1+Assumptions!$B$10)^20+INDEX(Surface_Engine!$D$12:$D$72,$A126+1)))*INDEX(Surface_Engine!$B$12:$B$72,$A126+1)+G127</f>
        <v>9.74339060388624</v>
      </c>
      <c r="H126" s="48" t="n">
        <f aca="false">D126*(IF($A126&lt;$Q$69,INDEX(Surface_Engine!$D$12:$D$72,$A126+1)+(Surface_Engine!G236*12)*INDEX(Surface_Engine!$F$12:$F$72,$A126+1)-(Surface_Engine!G236*12),1000*12*INDEX(Surface_Engine!$C$12:$C$72,$A126+1)/(1+Assumptions!$B$10)^20+INDEX(Surface_Engine!$D$12:$D$72,$A126+1)))*INDEX(Surface_Engine!$B$12:$B$72,$A126+1)+H127</f>
        <v>0.915129439818029</v>
      </c>
      <c r="I126" s="48" t="n">
        <f aca="false">E126*(IF($A126&lt;$Q$69,INDEX(Surface_Engine!$D$12:$D$72,$A126+1)+(Surface_Engine!G236*12)*INDEX(Surface_Engine!$F$12:$F$72,$A126+1)-(Surface_Engine!G236*12),1000*12*INDEX(Surface_Engine!$C$12:$C$72,$A126+1)/(1+Assumptions!$B$10)^20+INDEX(Surface_Engine!$D$12:$D$72,$A126+1)))*INDEX(Surface_Engine!$B$12:$B$72,$A126+1)+I127</f>
        <v>1.16650240998027</v>
      </c>
      <c r="J126" s="48" t="n">
        <f aca="false">B126*(IF($A126&lt;$Q$69,INDEX(Surface_Engine!$D$12:$D$72,$A126+1)*(1+Assumptions!$B$24)+(Surface_Engine!G236*12)*INDEX(Surface_Engine!$F$12:$F$72,$A126+1)-(Surface_Engine!G236*12),1000*12*INDEX(Surface_Engine!$C$12:$C$72,$A126+1)/(1+Assumptions!$B$10)^20+INDEX(Surface_Engine!$D$12:$D$72,$A126+1)*(1+Assumptions!$B$24)))*INDEX(Surface_Engine!$B$12:$B$72,$A126+1)+J127</f>
        <v>1.03508861184845</v>
      </c>
      <c r="K126" s="12" t="n">
        <f aca="false">SQRT((IF(C126&lt;=0,0,MAX(0,(B126/C126)*G126/INDEX(Surface_Engine!$B$12:$B$72,$A126+1)-F126/INDEX(Surface_Engine!$B$12:$B$72,$A126+1))))^2+(MAX(IF(D126&lt;=0,0,MAX(0,(B126/D126)*H126/INDEX(Surface_Engine!$B$12:$B$72,$A126+1)-F126/INDEX(Surface_Engine!$B$12:$B$72,$A126+1))),IF(E126&lt;=0,0,MAX(0,(B126/E126)*I126/INDEX(Surface_Engine!$B$12:$B$72,$A126+1)-F126/INDEX(Surface_Engine!$B$12:$B$72,$A126+1))),IF($A126&lt;$Q$69,MAX(0,-Assumptions!$B$22*(F126/INDEX(Surface_Engine!$B$12:$B$72,$A126+1))),0)))^2+(MAX(0,J126/INDEX(Surface_Engine!$B$12:$B$72,$A126+1)-(F126/INDEX(Surface_Engine!$B$12:$B$72,$A126+1))))^2+2*Assumptions!$B$26*(IF(C126&lt;=0,0,MAX(0,(B126/C126)*G126/INDEX(Surface_Engine!$B$12:$B$72,$A126+1)-F126/INDEX(Surface_Engine!$B$12:$B$72,$A126+1))))*(MAX(IF(D126&lt;=0,0,MAX(0,(B126/D126)*H126/INDEX(Surface_Engine!$B$12:$B$72,$A126+1)-F126/INDEX(Surface_Engine!$B$12:$B$72,$A126+1))),IF(E126&lt;=0,0,MAX(0,(B126/E126)*I126/INDEX(Surface_Engine!$B$12:$B$72,$A126+1)-F126/INDEX(Surface_Engine!$B$12:$B$72,$A126+1))),IF($A126&lt;$Q$69,MAX(0,-Assumptions!$B$22*(F126/INDEX(Surface_Engine!$B$12:$B$72,$A126+1))),0)))+2*Assumptions!$B$27*(IF(C126&lt;=0,0,MAX(0,(B126/C126)*G126/INDEX(Surface_Engine!$B$12:$B$72,$A126+1)-F126/INDEX(Surface_Engine!$B$12:$B$72,$A126+1))))*(MAX(0,J126/INDEX(Surface_Engine!$B$12:$B$72,$A126+1)-(F126/INDEX(Surface_Engine!$B$12:$B$72,$A126+1))))+2*Assumptions!$B$28*(MAX(IF(D126&lt;=0,0,MAX(0,(B126/D126)*H126/INDEX(Surface_Engine!$B$12:$B$72,$A126+1)-F126/INDEX(Surface_Engine!$B$12:$B$72,$A126+1))),IF(E126&lt;=0,0,MAX(0,(B126/E126)*I126/INDEX(Surface_Engine!$B$12:$B$72,$A126+1)-F126/INDEX(Surface_Engine!$B$12:$B$72,$A126+1))),IF($A126&lt;$Q$69,MAX(0,-Assumptions!$B$22*(F126/INDEX(Surface_Engine!$B$12:$B$72,$A126+1))),0)))*(MAX(0,J126/INDEX(Surface_Engine!$B$12:$B$72,$A126+1)-(F126/INDEX(Surface_Engine!$B$12:$B$72,$A126+1)))))</f>
        <v>1.24055166665034</v>
      </c>
      <c r="L126" s="48" t="n">
        <f aca="false">K126*INDEX(Surface_Engine!$B$12:$B$72,$A126+1)+L127</f>
        <v>0.358357085910032</v>
      </c>
      <c r="M126" s="48" t="n">
        <f aca="false">M125+B125*(IF($A125&lt;$Q$69,(Surface_Engine!G236*12)-(Surface_Engine!G236*12)*INDEX(Surface_Engine!$F$12:$F$72,$A125+1)-INDEX(Surface_Engine!$D$12:$D$72,$A125+1),-(1000*12*INDEX(Surface_Engine!$C$12:$C$72,$A125+1)/(1+Assumptions!$B$10)^20+INDEX(Surface_Engine!$D$12:$D$72,$A125+1))))*INDEX(Surface_Engine!$B$12:$B$72,$A125+1)</f>
        <v>1826.85815783785</v>
      </c>
      <c r="N126" s="12" t="n">
        <f aca="false">IF(B126&lt;=0,0,MAX(0,(K126+Assumptions!$B$29*L126/INDEX(Surface_Engine!$B$12:$B$72,$A126+1)-(M126/INDEX(Surface_Engine!$B$12:$B$72,$A126+1)-(F126/INDEX(Surface_Engine!$B$12:$B$72,$A126+1))))/B126))</f>
        <v>0</v>
      </c>
    </row>
    <row r="127" customFormat="false" ht="15" hidden="false" customHeight="true" outlineLevel="0" collapsed="false">
      <c r="A127" s="1" t="n">
        <v>56</v>
      </c>
      <c r="B127" s="32" t="n">
        <f aca="false">INDEX(Surface_Engine!$G$12:$G$72,$A127+1)*IF($A127&lt;$Q$69,INDEX(Surface_Engine!$E$12:$E$72,$A127+1),INDEX(Surface_Engine!$E$12:$E$72,$Q$69+1))</f>
        <v>6.3091211761388E-005</v>
      </c>
      <c r="C127" s="32" t="n">
        <f aca="false">INDEX(Panel_Reserving!$B$8:$B$68,$A127+1)*IF($A127&lt;$Q$69,INDEX(Surface_Engine!$E$12:$E$72,$A127+1),INDEX(Surface_Engine!$E$12:$E$72,$Q$69+1))</f>
        <v>0.000601509375391617</v>
      </c>
      <c r="D127" s="32" t="n">
        <f aca="false">INDEX(Surface_Engine!$G$12:$G$72,$A127+1)*IF($A127&lt;$Q$69,INDEX(Surface_Engine!$Y$12:$Y$72,$A127+1),INDEX(Surface_Engine!$Y$12:$Y$72,$Q$69+1))</f>
        <v>5.58528183410482E-005</v>
      </c>
      <c r="E127" s="32" t="n">
        <f aca="false">INDEX(Surface_Engine!$G$12:$G$72,$A127+1)*IF($A127&lt;$Q$69,INDEX(Surface_Engine!$Z$12:$Z$72,$A127+1),INDEX(Surface_Engine!$Z$12:$Z$72,$Q$69+1))</f>
        <v>7.11947888071203E-005</v>
      </c>
      <c r="F127" s="48" t="n">
        <f aca="false">B127*(IF($A127&lt;$Q$69,INDEX(Surface_Engine!$D$12:$D$72,$A127+1)+(Surface_Engine!G236*12)*INDEX(Surface_Engine!$F$12:$F$72,$A127+1)-(Surface_Engine!G236*12),1000*12*INDEX(Surface_Engine!$C$12:$C$72,$A127+1)/(1+Assumptions!$B$10)^20+INDEX(Surface_Engine!$D$12:$D$72,$A127+1)))*INDEX(Surface_Engine!$B$12:$B$72,$A127+1)+F128</f>
        <v>0.466072040351693</v>
      </c>
      <c r="G127" s="48" t="n">
        <f aca="false">C127*(IF($A127&lt;$Q$69,INDEX(Surface_Engine!$D$12:$D$72,$A127+1)+(Surface_Engine!G236*12)*INDEX(Surface_Engine!$F$12:$F$72,$A127+1)-(Surface_Engine!G236*12),1000*12*INDEX(Surface_Engine!$C$12:$C$72,$A127+1)/(1+Assumptions!$B$10)^20+INDEX(Surface_Engine!$D$12:$D$72,$A127+1)))*INDEX(Surface_Engine!$B$12:$B$72,$A127+1)+G128</f>
        <v>5.3194687578631</v>
      </c>
      <c r="H127" s="48" t="n">
        <f aca="false">D127*(IF($A127&lt;$Q$69,INDEX(Surface_Engine!$D$12:$D$72,$A127+1)+(Surface_Engine!G236*12)*INDEX(Surface_Engine!$F$12:$F$72,$A127+1)-(Surface_Engine!G236*12),1000*12*INDEX(Surface_Engine!$C$12:$C$72,$A127+1)/(1+Assumptions!$B$10)^20+INDEX(Surface_Engine!$D$12:$D$72,$A127+1)))*INDEX(Surface_Engine!$B$12:$B$72,$A127+1)+H128</f>
        <v>0.412600048039275</v>
      </c>
      <c r="I127" s="48" t="n">
        <f aca="false">E127*(IF($A127&lt;$Q$69,INDEX(Surface_Engine!$D$12:$D$72,$A127+1)+(Surface_Engine!G236*12)*INDEX(Surface_Engine!$F$12:$F$72,$A127+1)-(Surface_Engine!G236*12),1000*12*INDEX(Surface_Engine!$C$12:$C$72,$A127+1)/(1+Assumptions!$B$10)^20+INDEX(Surface_Engine!$D$12:$D$72,$A127+1)))*INDEX(Surface_Engine!$B$12:$B$72,$A127+1)+I128</f>
        <v>0.525935380782301</v>
      </c>
      <c r="J127" s="48" t="n">
        <f aca="false">B127*(IF($A127&lt;$Q$69,INDEX(Surface_Engine!$D$12:$D$72,$A127+1)*(1+Assumptions!$B$24)+(Surface_Engine!G236*12)*INDEX(Surface_Engine!$F$12:$F$72,$A127+1)-(Surface_Engine!G236*12),1000*12*INDEX(Surface_Engine!$C$12:$C$72,$A127+1)/(1+Assumptions!$B$10)^20+INDEX(Surface_Engine!$D$12:$D$72,$A127+1)*(1+Assumptions!$B$24)))*INDEX(Surface_Engine!$B$12:$B$72,$A127+1)+J128</f>
        <v>0.466688222038228</v>
      </c>
      <c r="K127" s="12" t="n">
        <f aca="false">SQRT((IF(C127&lt;=0,0,MAX(0,(B127/C127)*G127/INDEX(Surface_Engine!$B$12:$B$72,$A127+1)-F127/INDEX(Surface_Engine!$B$12:$B$72,$A127+1))))^2+(MAX(IF(D127&lt;=0,0,MAX(0,(B127/D127)*H127/INDEX(Surface_Engine!$B$12:$B$72,$A127+1)-F127/INDEX(Surface_Engine!$B$12:$B$72,$A127+1))),IF(E127&lt;=0,0,MAX(0,(B127/E127)*I127/INDEX(Surface_Engine!$B$12:$B$72,$A127+1)-F127/INDEX(Surface_Engine!$B$12:$B$72,$A127+1))),IF($A127&lt;$Q$69,MAX(0,-Assumptions!$B$22*(F127/INDEX(Surface_Engine!$B$12:$B$72,$A127+1))),0)))^2+(MAX(0,J127/INDEX(Surface_Engine!$B$12:$B$72,$A127+1)-(F127/INDEX(Surface_Engine!$B$12:$B$72,$A127+1))))^2+2*Assumptions!$B$26*(IF(C127&lt;=0,0,MAX(0,(B127/C127)*G127/INDEX(Surface_Engine!$B$12:$B$72,$A127+1)-F127/INDEX(Surface_Engine!$B$12:$B$72,$A127+1))))*(MAX(IF(D127&lt;=0,0,MAX(0,(B127/D127)*H127/INDEX(Surface_Engine!$B$12:$B$72,$A127+1)-F127/INDEX(Surface_Engine!$B$12:$B$72,$A127+1))),IF(E127&lt;=0,0,MAX(0,(B127/E127)*I127/INDEX(Surface_Engine!$B$12:$B$72,$A127+1)-F127/INDEX(Surface_Engine!$B$12:$B$72,$A127+1))),IF($A127&lt;$Q$69,MAX(0,-Assumptions!$B$22*(F127/INDEX(Surface_Engine!$B$12:$B$72,$A127+1))),0)))+2*Assumptions!$B$27*(IF(C127&lt;=0,0,MAX(0,(B127/C127)*G127/INDEX(Surface_Engine!$B$12:$B$72,$A127+1)-F127/INDEX(Surface_Engine!$B$12:$B$72,$A127+1))))*(MAX(0,J127/INDEX(Surface_Engine!$B$12:$B$72,$A127+1)-(F127/INDEX(Surface_Engine!$B$12:$B$72,$A127+1))))+2*Assumptions!$B$28*(MAX(IF(D127&lt;=0,0,MAX(0,(B127/D127)*H127/INDEX(Surface_Engine!$B$12:$B$72,$A127+1)-F127/INDEX(Surface_Engine!$B$12:$B$72,$A127+1))),IF(E127&lt;=0,0,MAX(0,(B127/E127)*I127/INDEX(Surface_Engine!$B$12:$B$72,$A127+1)-F127/INDEX(Surface_Engine!$B$12:$B$72,$A127+1))),IF($A127&lt;$Q$69,MAX(0,-Assumptions!$B$22*(F127/INDEX(Surface_Engine!$B$12:$B$72,$A127+1))),0)))*(MAX(0,J127/INDEX(Surface_Engine!$B$12:$B$72,$A127+1)-(F127/INDEX(Surface_Engine!$B$12:$B$72,$A127+1)))))</f>
        <v>0.543785189872794</v>
      </c>
      <c r="L127" s="48" t="n">
        <f aca="false">K127*INDEX(Surface_Engine!$B$12:$B$72,$A127+1)+L128</f>
        <v>0.141516770879414</v>
      </c>
      <c r="M127" s="48" t="n">
        <f aca="false">M126+B126*(IF($A126&lt;$Q$69,(Surface_Engine!G236*12)-(Surface_Engine!G236*12)*INDEX(Surface_Engine!$F$12:$F$72,$A126+1)-INDEX(Surface_Engine!$D$12:$D$72,$A126+1),-(1000*12*INDEX(Surface_Engine!$C$12:$C$72,$A126+1)/(1+Assumptions!$B$10)^20+INDEX(Surface_Engine!$D$12:$D$72,$A126+1))))*INDEX(Surface_Engine!$B$12:$B$72,$A126+1)</f>
        <v>1826.29050182308</v>
      </c>
      <c r="N127" s="12" t="n">
        <f aca="false">IF(B127&lt;=0,0,MAX(0,(K127+Assumptions!$B$29*L127/INDEX(Surface_Engine!$B$12:$B$72,$A127+1)-(M127/INDEX(Surface_Engine!$B$12:$B$72,$A127+1)-(F127/INDEX(Surface_Engine!$B$12:$B$72,$A127+1))))/B127))</f>
        <v>0</v>
      </c>
    </row>
    <row r="128" customFormat="false" ht="15" hidden="false" customHeight="true" outlineLevel="0" collapsed="false">
      <c r="A128" s="1" t="n">
        <v>57</v>
      </c>
      <c r="B128" s="32" t="n">
        <f aca="false">INDEX(Surface_Engine!$G$12:$G$72,$A128+1)*IF($A128&lt;$Q$69,INDEX(Surface_Engine!$E$12:$E$72,$A128+1),INDEX(Surface_Engine!$E$12:$E$72,$Q$69+1))</f>
        <v>2.87473677468118E-005</v>
      </c>
      <c r="C128" s="32" t="n">
        <f aca="false">INDEX(Panel_Reserving!$B$8:$B$68,$A128+1)*IF($A128&lt;$Q$69,INDEX(Surface_Engine!$E$12:$E$72,$A128+1),INDEX(Surface_Engine!$E$12:$E$72,$Q$69+1))</f>
        <v>0.000339562982732249</v>
      </c>
      <c r="D128" s="32" t="n">
        <f aca="false">INDEX(Surface_Engine!$G$12:$G$72,$A128+1)*IF($A128&lt;$Q$69,INDEX(Surface_Engine!$Y$12:$Y$72,$A128+1),INDEX(Surface_Engine!$Y$12:$Y$72,$Q$69+1))</f>
        <v>2.54492101787246E-005</v>
      </c>
      <c r="E128" s="32" t="n">
        <f aca="false">INDEX(Surface_Engine!$G$12:$G$72,$A128+1)*IF($A128&lt;$Q$69,INDEX(Surface_Engine!$Z$12:$Z$72,$A128+1),INDEX(Surface_Engine!$Z$12:$Z$72,$Q$69+1))</f>
        <v>3.2439744274296E-005</v>
      </c>
      <c r="F128" s="48" t="n">
        <f aca="false">B128*(IF($A128&lt;$Q$69,INDEX(Surface_Engine!$D$12:$D$72,$A128+1)+(Surface_Engine!G236*12)*INDEX(Surface_Engine!$F$12:$F$72,$A128+1)-(Surface_Engine!G236*12),1000*12*INDEX(Surface_Engine!$C$12:$C$72,$A128+1)/(1+Assumptions!$B$10)^20+INDEX(Surface_Engine!$D$12:$D$72,$A128+1)))*INDEX(Surface_Engine!$B$12:$B$72,$A128+1)+F129</f>
        <v>0.201201207835028</v>
      </c>
      <c r="G128" s="48" t="n">
        <f aca="false">C128*(IF($A128&lt;$Q$69,INDEX(Surface_Engine!$D$12:$D$72,$A128+1)+(Surface_Engine!G236*12)*INDEX(Surface_Engine!$F$12:$F$72,$A128+1)-(Surface_Engine!G236*12),1000*12*INDEX(Surface_Engine!$C$12:$C$72,$A128+1)/(1+Assumptions!$B$10)^20+INDEX(Surface_Engine!$D$12:$D$72,$A128+1)))*INDEX(Surface_Engine!$B$12:$B$72,$A128+1)+G129</f>
        <v>2.79419963434212</v>
      </c>
      <c r="H128" s="48" t="n">
        <f aca="false">D128*(IF($A128&lt;$Q$69,INDEX(Surface_Engine!$D$12:$D$72,$A128+1)+(Surface_Engine!G236*12)*INDEX(Surface_Engine!$F$12:$F$72,$A128+1)-(Surface_Engine!G236*12),1000*12*INDEX(Surface_Engine!$C$12:$C$72,$A128+1)/(1+Assumptions!$B$10)^20+INDEX(Surface_Engine!$D$12:$D$72,$A128+1)))*INDEX(Surface_Engine!$B$12:$B$72,$A128+1)+H129</f>
        <v>0.17811758876514</v>
      </c>
      <c r="I128" s="48" t="n">
        <f aca="false">E128*(IF($A128&lt;$Q$69,INDEX(Surface_Engine!$D$12:$D$72,$A128+1)+(Surface_Engine!G236*12)*INDEX(Surface_Engine!$F$12:$F$72,$A128+1)-(Surface_Engine!G236*12),1000*12*INDEX(Surface_Engine!$C$12:$C$72,$A128+1)/(1+Assumptions!$B$10)^20+INDEX(Surface_Engine!$D$12:$D$72,$A128+1)))*INDEX(Surface_Engine!$B$12:$B$72,$A128+1)+I129</f>
        <v>0.227043943199692</v>
      </c>
      <c r="J128" s="48" t="n">
        <f aca="false">B128*(IF($A128&lt;$Q$69,INDEX(Surface_Engine!$D$12:$D$72,$A128+1)*(1+Assumptions!$B$24)+(Surface_Engine!G236*12)*INDEX(Surface_Engine!$F$12:$F$72,$A128+1)-(Surface_Engine!G236*12),1000*12*INDEX(Surface_Engine!$C$12:$C$72,$A128+1)/(1+Assumptions!$B$10)^20+INDEX(Surface_Engine!$D$12:$D$72,$A128+1)*(1+Assumptions!$B$24)))*INDEX(Surface_Engine!$B$12:$B$72,$A128+1)+J129</f>
        <v>0.201468380643841</v>
      </c>
      <c r="K128" s="12" t="n">
        <f aca="false">SQRT((IF(C128&lt;=0,0,MAX(0,(B128/C128)*G128/INDEX(Surface_Engine!$B$12:$B$72,$A128+1)-F128/INDEX(Surface_Engine!$B$12:$B$72,$A128+1))))^2+(MAX(IF(D128&lt;=0,0,MAX(0,(B128/D128)*H128/INDEX(Surface_Engine!$B$12:$B$72,$A128+1)-F128/INDEX(Surface_Engine!$B$12:$B$72,$A128+1))),IF(E128&lt;=0,0,MAX(0,(B128/E128)*I128/INDEX(Surface_Engine!$B$12:$B$72,$A128+1)-F128/INDEX(Surface_Engine!$B$12:$B$72,$A128+1))),IF($A128&lt;$Q$69,MAX(0,-Assumptions!$B$22*(F128/INDEX(Surface_Engine!$B$12:$B$72,$A128+1))),0)))^2+(MAX(0,J128/INDEX(Surface_Engine!$B$12:$B$72,$A128+1)-(F128/INDEX(Surface_Engine!$B$12:$B$72,$A128+1))))^2+2*Assumptions!$B$26*(IF(C128&lt;=0,0,MAX(0,(B128/C128)*G128/INDEX(Surface_Engine!$B$12:$B$72,$A128+1)-F128/INDEX(Surface_Engine!$B$12:$B$72,$A128+1))))*(MAX(IF(D128&lt;=0,0,MAX(0,(B128/D128)*H128/INDEX(Surface_Engine!$B$12:$B$72,$A128+1)-F128/INDEX(Surface_Engine!$B$12:$B$72,$A128+1))),IF(E128&lt;=0,0,MAX(0,(B128/E128)*I128/INDEX(Surface_Engine!$B$12:$B$72,$A128+1)-F128/INDEX(Surface_Engine!$B$12:$B$72,$A128+1))),IF($A128&lt;$Q$69,MAX(0,-Assumptions!$B$22*(F128/INDEX(Surface_Engine!$B$12:$B$72,$A128+1))),0)))+2*Assumptions!$B$27*(IF(C128&lt;=0,0,MAX(0,(B128/C128)*G128/INDEX(Surface_Engine!$B$12:$B$72,$A128+1)-F128/INDEX(Surface_Engine!$B$12:$B$72,$A128+1))))*(MAX(0,J128/INDEX(Surface_Engine!$B$12:$B$72,$A128+1)-(F128/INDEX(Surface_Engine!$B$12:$B$72,$A128+1))))+2*Assumptions!$B$28*(MAX(IF(D128&lt;=0,0,MAX(0,(B128/D128)*H128/INDEX(Surface_Engine!$B$12:$B$72,$A128+1)-F128/INDEX(Surface_Engine!$B$12:$B$72,$A128+1))),IF(E128&lt;=0,0,MAX(0,(B128/E128)*I128/INDEX(Surface_Engine!$B$12:$B$72,$A128+1)-F128/INDEX(Surface_Engine!$B$12:$B$72,$A128+1))),IF($A128&lt;$Q$69,MAX(0,-Assumptions!$B$22*(F128/INDEX(Surface_Engine!$B$12:$B$72,$A128+1))),0)))*(MAX(0,J128/INDEX(Surface_Engine!$B$12:$B$72,$A128+1)-(F128/INDEX(Surface_Engine!$B$12:$B$72,$A128+1)))))</f>
        <v>0.216165633128309</v>
      </c>
      <c r="L128" s="48" t="n">
        <f aca="false">K128*INDEX(Surface_Engine!$B$12:$B$72,$A128+1)+L129</f>
        <v>0.0494835404274507</v>
      </c>
      <c r="M128" s="48" t="n">
        <f aca="false">M127+B127*(IF($A127&lt;$Q$69,(Surface_Engine!G236*12)-(Surface_Engine!G236*12)*INDEX(Surface_Engine!$F$12:$F$72,$A127+1)-INDEX(Surface_Engine!$D$12:$D$72,$A127+1),-(1000*12*INDEX(Surface_Engine!$C$12:$C$72,$A127+1)/(1+Assumptions!$B$10)^20+INDEX(Surface_Engine!$D$12:$D$72,$A127+1))))*INDEX(Surface_Engine!$B$12:$B$72,$A127+1)</f>
        <v>1826.02563099056</v>
      </c>
      <c r="N128" s="12" t="n">
        <f aca="false">IF(B128&lt;=0,0,MAX(0,(K128+Assumptions!$B$29*L128/INDEX(Surface_Engine!$B$12:$B$72,$A128+1)-(M128/INDEX(Surface_Engine!$B$12:$B$72,$A128+1)-(F128/INDEX(Surface_Engine!$B$12:$B$72,$A128+1))))/B128))</f>
        <v>0</v>
      </c>
    </row>
    <row r="129" customFormat="false" ht="15" hidden="false" customHeight="true" outlineLevel="0" collapsed="false">
      <c r="A129" s="1" t="n">
        <v>58</v>
      </c>
      <c r="B129" s="32" t="n">
        <f aca="false">INDEX(Surface_Engine!$G$12:$G$72,$A129+1)*IF($A129&lt;$Q$69,INDEX(Surface_Engine!$E$12:$E$72,$A129+1),INDEX(Surface_Engine!$E$12:$E$72,$Q$69+1))</f>
        <v>1.26255274860952E-005</v>
      </c>
      <c r="C129" s="32" t="n">
        <f aca="false">INDEX(Panel_Reserving!$B$8:$B$68,$A129+1)*IF($A129&lt;$Q$69,INDEX(Surface_Engine!$E$12:$E$72,$A129+1),INDEX(Surface_Engine!$E$12:$E$72,$Q$69+1))</f>
        <v>0.000187218456046492</v>
      </c>
      <c r="D129" s="32" t="n">
        <f aca="false">INDEX(Surface_Engine!$G$12:$G$72,$A129+1)*IF($A129&lt;$Q$69,INDEX(Surface_Engine!$Y$12:$Y$72,$A129+1),INDEX(Surface_Engine!$Y$12:$Y$72,$Q$69+1))</f>
        <v>1.11770129857032E-005</v>
      </c>
      <c r="E129" s="32" t="n">
        <f aca="false">INDEX(Surface_Engine!$G$12:$G$72,$A129+1)*IF($A129&lt;$Q$69,INDEX(Surface_Engine!$Z$12:$Z$72,$A129+1),INDEX(Surface_Engine!$Z$12:$Z$72,$Q$69+1))</f>
        <v>1.42471786142036E-005</v>
      </c>
      <c r="F129" s="48" t="n">
        <f aca="false">B129*(IF($A129&lt;$Q$69,INDEX(Surface_Engine!$D$12:$D$72,$A129+1)+(Surface_Engine!G236*12)*INDEX(Surface_Engine!$F$12:$F$72,$A129+1)-(Surface_Engine!G236*12),1000*12*INDEX(Surface_Engine!$C$12:$C$72,$A129+1)/(1+Assumptions!$B$10)^20+INDEX(Surface_Engine!$D$12:$D$72,$A129+1)))*INDEX(Surface_Engine!$B$12:$B$72,$A129+1)+F130</f>
        <v>0.082001475395542</v>
      </c>
      <c r="G129" s="48" t="n">
        <f aca="false">C129*(IF($A129&lt;$Q$69,INDEX(Surface_Engine!$D$12:$D$72,$A129+1)+(Surface_Engine!G236*12)*INDEX(Surface_Engine!$F$12:$F$72,$A129+1)-(Surface_Engine!G236*12),1000*12*INDEX(Surface_Engine!$C$12:$C$72,$A129+1)/(1+Assumptions!$B$10)^20+INDEX(Surface_Engine!$D$12:$D$72,$A129+1)))*INDEX(Surface_Engine!$B$12:$B$72,$A129+1)+G130</f>
        <v>1.3862162306259</v>
      </c>
      <c r="H129" s="48" t="n">
        <f aca="false">D129*(IF($A129&lt;$Q$69,INDEX(Surface_Engine!$D$12:$D$72,$A129+1)+(Surface_Engine!G236*12)*INDEX(Surface_Engine!$F$12:$F$72,$A129+1)-(Surface_Engine!G236*12),1000*12*INDEX(Surface_Engine!$C$12:$C$72,$A129+1)/(1+Assumptions!$B$10)^20+INDEX(Surface_Engine!$D$12:$D$72,$A129+1)))*INDEX(Surface_Engine!$B$12:$B$72,$A129+1)+H130</f>
        <v>0.0725935258033533</v>
      </c>
      <c r="I129" s="48" t="n">
        <f aca="false">E129*(IF($A129&lt;$Q$69,INDEX(Surface_Engine!$D$12:$D$72,$A129+1)+(Surface_Engine!G236*12)*INDEX(Surface_Engine!$F$12:$F$72,$A129+1)-(Surface_Engine!G236*12),1000*12*INDEX(Surface_Engine!$C$12:$C$72,$A129+1)/(1+Assumptions!$B$10)^20+INDEX(Surface_Engine!$D$12:$D$72,$A129+1)))*INDEX(Surface_Engine!$B$12:$B$72,$A129+1)+I130</f>
        <v>0.0925339292061402</v>
      </c>
      <c r="J129" s="48" t="n">
        <f aca="false">B129*(IF($A129&lt;$Q$69,INDEX(Surface_Engine!$D$12:$D$72,$A129+1)*(1+Assumptions!$B$24)+(Surface_Engine!G236*12)*INDEX(Surface_Engine!$F$12:$F$72,$A129+1)-(Surface_Engine!G236*12),1000*12*INDEX(Surface_Engine!$C$12:$C$72,$A129+1)/(1+Assumptions!$B$10)^20+INDEX(Surface_Engine!$D$12:$D$72,$A129+1)*(1+Assumptions!$B$24)))*INDEX(Surface_Engine!$B$12:$B$72,$A129+1)+J130</f>
        <v>0.0821108241262269</v>
      </c>
      <c r="K129" s="12" t="n">
        <f aca="false">SQRT((IF(C129&lt;=0,0,MAX(0,(B129/C129)*G129/INDEX(Surface_Engine!$B$12:$B$72,$A129+1)-F129/INDEX(Surface_Engine!$B$12:$B$72,$A129+1))))^2+(MAX(IF(D129&lt;=0,0,MAX(0,(B129/D129)*H129/INDEX(Surface_Engine!$B$12:$B$72,$A129+1)-F129/INDEX(Surface_Engine!$B$12:$B$72,$A129+1))),IF(E129&lt;=0,0,MAX(0,(B129/E129)*I129/INDEX(Surface_Engine!$B$12:$B$72,$A129+1)-F129/INDEX(Surface_Engine!$B$12:$B$72,$A129+1))),IF($A129&lt;$Q$69,MAX(0,-Assumptions!$B$22*(F129/INDEX(Surface_Engine!$B$12:$B$72,$A129+1))),0)))^2+(MAX(0,J129/INDEX(Surface_Engine!$B$12:$B$72,$A129+1)-(F129/INDEX(Surface_Engine!$B$12:$B$72,$A129+1))))^2+2*Assumptions!$B$26*(IF(C129&lt;=0,0,MAX(0,(B129/C129)*G129/INDEX(Surface_Engine!$B$12:$B$72,$A129+1)-F129/INDEX(Surface_Engine!$B$12:$B$72,$A129+1))))*(MAX(IF(D129&lt;=0,0,MAX(0,(B129/D129)*H129/INDEX(Surface_Engine!$B$12:$B$72,$A129+1)-F129/INDEX(Surface_Engine!$B$12:$B$72,$A129+1))),IF(E129&lt;=0,0,MAX(0,(B129/E129)*I129/INDEX(Surface_Engine!$B$12:$B$72,$A129+1)-F129/INDEX(Surface_Engine!$B$12:$B$72,$A129+1))),IF($A129&lt;$Q$69,MAX(0,-Assumptions!$B$22*(F129/INDEX(Surface_Engine!$B$12:$B$72,$A129+1))),0)))+2*Assumptions!$B$27*(IF(C129&lt;=0,0,MAX(0,(B129/C129)*G129/INDEX(Surface_Engine!$B$12:$B$72,$A129+1)-F129/INDEX(Surface_Engine!$B$12:$B$72,$A129+1))))*(MAX(0,J129/INDEX(Surface_Engine!$B$12:$B$72,$A129+1)-(F129/INDEX(Surface_Engine!$B$12:$B$72,$A129+1))))+2*Assumptions!$B$28*(MAX(IF(D129&lt;=0,0,MAX(0,(B129/D129)*H129/INDEX(Surface_Engine!$B$12:$B$72,$A129+1)-F129/INDEX(Surface_Engine!$B$12:$B$72,$A129+1))),IF(E129&lt;=0,0,MAX(0,(B129/E129)*I129/INDEX(Surface_Engine!$B$12:$B$72,$A129+1)-F129/INDEX(Surface_Engine!$B$12:$B$72,$A129+1))),IF($A129&lt;$Q$69,MAX(0,-Assumptions!$B$22*(F129/INDEX(Surface_Engine!$B$12:$B$72,$A129+1))),0)))*(MAX(0,J129/INDEX(Surface_Engine!$B$12:$B$72,$A129+1)-(F129/INDEX(Surface_Engine!$B$12:$B$72,$A129+1)))))</f>
        <v>0.072538413182486</v>
      </c>
      <c r="L129" s="48" t="n">
        <f aca="false">K129*INDEX(Surface_Engine!$B$12:$B$72,$A129+1)+L130</f>
        <v>0.0140603522605168</v>
      </c>
      <c r="M129" s="48" t="n">
        <f aca="false">M128+B128*(IF($A128&lt;$Q$69,(Surface_Engine!G236*12)-(Surface_Engine!G236*12)*INDEX(Surface_Engine!$F$12:$F$72,$A128+1)-INDEX(Surface_Engine!$D$12:$D$72,$A128+1),-(1000*12*INDEX(Surface_Engine!$C$12:$C$72,$A128+1)/(1+Assumptions!$B$10)^20+INDEX(Surface_Engine!$D$12:$D$72,$A128+1))))*INDEX(Surface_Engine!$B$12:$B$72,$A128+1)</f>
        <v>1825.90643125812</v>
      </c>
      <c r="N129" s="12" t="n">
        <f aca="false">IF(B129&lt;=0,0,MAX(0,(K129+Assumptions!$B$29*L129/INDEX(Surface_Engine!$B$12:$B$72,$A129+1)-(M129/INDEX(Surface_Engine!$B$12:$B$72,$A129+1)-(F129/INDEX(Surface_Engine!$B$12:$B$72,$A129+1))))/B129))</f>
        <v>0</v>
      </c>
    </row>
    <row r="130" customFormat="false" ht="15" hidden="false" customHeight="true" outlineLevel="0" collapsed="false">
      <c r="A130" s="1" t="n">
        <v>59</v>
      </c>
      <c r="B130" s="32" t="n">
        <f aca="false">INDEX(Surface_Engine!$G$12:$G$72,$A130+1)*IF($A130&lt;$Q$69,INDEX(Surface_Engine!$E$12:$E$72,$A130+1),INDEX(Surface_Engine!$E$12:$E$72,$Q$69+1))</f>
        <v>5.3416334677938E-006</v>
      </c>
      <c r="C130" s="32" t="n">
        <f aca="false">INDEX(Panel_Reserving!$B$8:$B$68,$A130+1)*IF($A130&lt;$Q$69,INDEX(Surface_Engine!$E$12:$E$72,$A130+1),INDEX(Surface_Engine!$E$12:$E$72,$Q$69+1))</f>
        <v>0.000100810698834636</v>
      </c>
      <c r="D130" s="32" t="n">
        <f aca="false">INDEX(Surface_Engine!$G$12:$G$72,$A130+1)*IF($A130&lt;$Q$69,INDEX(Surface_Engine!$Y$12:$Y$72,$A130+1),INDEX(Surface_Engine!$Y$12:$Y$72,$Q$69+1))</f>
        <v>4.72879305044096E-006</v>
      </c>
      <c r="E130" s="32" t="n">
        <f aca="false">INDEX(Surface_Engine!$G$12:$G$72,$A130+1)*IF($A130&lt;$Q$69,INDEX(Surface_Engine!$Z$12:$Z$72,$A130+1),INDEX(Surface_Engine!$Z$12:$Z$72,$Q$69+1))</f>
        <v>6.02772487653133E-006</v>
      </c>
      <c r="F130" s="48" t="n">
        <f aca="false">B130*(IF($A130&lt;$Q$69,INDEX(Surface_Engine!$D$12:$D$72,$A130+1)+(Surface_Engine!G236*12)*INDEX(Surface_Engine!$F$12:$F$72,$A130+1)-(Surface_Engine!G236*12),1000*12*INDEX(Surface_Engine!$C$12:$C$72,$A130+1)/(1+Assumptions!$B$10)^20+INDEX(Surface_Engine!$D$12:$D$72,$A130+1)))*INDEX(Surface_Engine!$B$12:$B$72,$A130+1)+F131</f>
        <v>0.0302967329543231</v>
      </c>
      <c r="G130" s="48" t="n">
        <f aca="false">C130*(IF($A130&lt;$Q$69,INDEX(Surface_Engine!$D$12:$D$72,$A130+1)+(Surface_Engine!G236*12)*INDEX(Surface_Engine!$F$12:$F$72,$A130+1)-(Surface_Engine!G236*12),1000*12*INDEX(Surface_Engine!$C$12:$C$72,$A130+1)/(1+Assumptions!$B$10)^20+INDEX(Surface_Engine!$D$12:$D$72,$A130+1)))*INDEX(Surface_Engine!$B$12:$B$72,$A130+1)+G131</f>
        <v>0.619509092188521</v>
      </c>
      <c r="H130" s="48" t="n">
        <f aca="false">D130*(IF($A130&lt;$Q$69,INDEX(Surface_Engine!$D$12:$D$72,$A130+1)+(Surface_Engine!G236*12)*INDEX(Surface_Engine!$F$12:$F$72,$A130+1)-(Surface_Engine!G236*12),1000*12*INDEX(Surface_Engine!$C$12:$C$72,$A130+1)/(1+Assumptions!$B$10)^20+INDEX(Surface_Engine!$D$12:$D$72,$A130+1)))*INDEX(Surface_Engine!$B$12:$B$72,$A130+1)+H131</f>
        <v>0.0268208182214795</v>
      </c>
      <c r="I130" s="48" t="n">
        <f aca="false">E130*(IF($A130&lt;$Q$69,INDEX(Surface_Engine!$D$12:$D$72,$A130+1)+(Surface_Engine!G236*12)*INDEX(Surface_Engine!$F$12:$F$72,$A130+1)-(Surface_Engine!G236*12),1000*12*INDEX(Surface_Engine!$C$12:$C$72,$A130+1)/(1+Assumptions!$B$10)^20+INDEX(Surface_Engine!$D$12:$D$72,$A130+1)))*INDEX(Surface_Engine!$B$12:$B$72,$A130+1)+I131</f>
        <v>0.0341881134314941</v>
      </c>
      <c r="J130" s="48" t="n">
        <f aca="false">B130*(IF($A130&lt;$Q$69,INDEX(Surface_Engine!$D$12:$D$72,$A130+1)*(1+Assumptions!$B$24)+(Surface_Engine!G236*12)*INDEX(Surface_Engine!$F$12:$F$72,$A130+1)-(Surface_Engine!G236*12),1000*12*INDEX(Surface_Engine!$C$12:$C$72,$A130+1)/(1+Assumptions!$B$10)^20+INDEX(Surface_Engine!$D$12:$D$72,$A130+1)*(1+Assumptions!$B$24)))*INDEX(Surface_Engine!$B$12:$B$72,$A130+1)+J131</f>
        <v>0.0303372919134686</v>
      </c>
      <c r="K130" s="12" t="n">
        <f aca="false">SQRT((IF(C130&lt;=0,0,MAX(0,(B130/C130)*G130/INDEX(Surface_Engine!$B$12:$B$72,$A130+1)-F130/INDEX(Surface_Engine!$B$12:$B$72,$A130+1))))^2+(MAX(IF(D130&lt;=0,0,MAX(0,(B130/D130)*H130/INDEX(Surface_Engine!$B$12:$B$72,$A130+1)-F130/INDEX(Surface_Engine!$B$12:$B$72,$A130+1))),IF(E130&lt;=0,0,MAX(0,(B130/E130)*I130/INDEX(Surface_Engine!$B$12:$B$72,$A130+1)-F130/INDEX(Surface_Engine!$B$12:$B$72,$A130+1))),IF($A130&lt;$Q$69,MAX(0,-Assumptions!$B$22*(F130/INDEX(Surface_Engine!$B$12:$B$72,$A130+1))),0)))^2+(MAX(0,J130/INDEX(Surface_Engine!$B$12:$B$72,$A130+1)-(F130/INDEX(Surface_Engine!$B$12:$B$72,$A130+1))))^2+2*Assumptions!$B$26*(IF(C130&lt;=0,0,MAX(0,(B130/C130)*G130/INDEX(Surface_Engine!$B$12:$B$72,$A130+1)-F130/INDEX(Surface_Engine!$B$12:$B$72,$A130+1))))*(MAX(IF(D130&lt;=0,0,MAX(0,(B130/D130)*H130/INDEX(Surface_Engine!$B$12:$B$72,$A130+1)-F130/INDEX(Surface_Engine!$B$12:$B$72,$A130+1))),IF(E130&lt;=0,0,MAX(0,(B130/E130)*I130/INDEX(Surface_Engine!$B$12:$B$72,$A130+1)-F130/INDEX(Surface_Engine!$B$12:$B$72,$A130+1))),IF($A130&lt;$Q$69,MAX(0,-Assumptions!$B$22*(F130/INDEX(Surface_Engine!$B$12:$B$72,$A130+1))),0)))+2*Assumptions!$B$27*(IF(C130&lt;=0,0,MAX(0,(B130/C130)*G130/INDEX(Surface_Engine!$B$12:$B$72,$A130+1)-F130/INDEX(Surface_Engine!$B$12:$B$72,$A130+1))))*(MAX(0,J130/INDEX(Surface_Engine!$B$12:$B$72,$A130+1)-(F130/INDEX(Surface_Engine!$B$12:$B$72,$A130+1))))+2*Assumptions!$B$28*(MAX(IF(D130&lt;=0,0,MAX(0,(B130/D130)*H130/INDEX(Surface_Engine!$B$12:$B$72,$A130+1)-F130/INDEX(Surface_Engine!$B$12:$B$72,$A130+1))),IF(E130&lt;=0,0,MAX(0,(B130/E130)*I130/INDEX(Surface_Engine!$B$12:$B$72,$A130+1)-F130/INDEX(Surface_Engine!$B$12:$B$72,$A130+1))),IF($A130&lt;$Q$69,MAX(0,-Assumptions!$B$22*(F130/INDEX(Surface_Engine!$B$12:$B$72,$A130+1))),0)))*(MAX(0,J130/INDEX(Surface_Engine!$B$12:$B$72,$A130+1)-(F130/INDEX(Surface_Engine!$B$12:$B$72,$A130+1)))))</f>
        <v>0.0165312069932714</v>
      </c>
      <c r="L130" s="48" t="n">
        <f aca="false">K130*INDEX(Surface_Engine!$B$12:$B$72,$A130+1)+L131</f>
        <v>0.00255117335074992</v>
      </c>
      <c r="M130" s="48" t="n">
        <f aca="false">M129+B129*(IF($A129&lt;$Q$69,(Surface_Engine!G236*12)-(Surface_Engine!G236*12)*INDEX(Surface_Engine!$F$12:$F$72,$A129+1)-INDEX(Surface_Engine!$D$12:$D$72,$A129+1),-(1000*12*INDEX(Surface_Engine!$C$12:$C$72,$A129+1)/(1+Assumptions!$B$10)^20+INDEX(Surface_Engine!$D$12:$D$72,$A129+1))))*INDEX(Surface_Engine!$B$12:$B$72,$A129+1)</f>
        <v>1825.85472651568</v>
      </c>
      <c r="N130" s="12" t="n">
        <f aca="false">IF(B130&lt;=0,0,MAX(0,(K130+Assumptions!$B$29*L130/INDEX(Surface_Engine!$B$12:$B$72,$A130+1)-(M130/INDEX(Surface_Engine!$B$12:$B$72,$A130+1)-(F130/INDEX(Surface_Engine!$B$12:$B$72,$A130+1))))/B130))</f>
        <v>0</v>
      </c>
    </row>
    <row r="131" customFormat="false" ht="15" hidden="false" customHeight="true" outlineLevel="0" collapsed="false">
      <c r="A131" s="1" t="n">
        <v>60</v>
      </c>
      <c r="B131" s="32" t="n">
        <f aca="false">INDEX(Surface_Engine!$G$12:$G$72,$A131+1)*IF($A131&lt;$Q$69,INDEX(Surface_Engine!$E$12:$E$72,$A131+1),INDEX(Surface_Engine!$E$12:$E$72,$Q$69+1))</f>
        <v>2.17596999403765E-006</v>
      </c>
      <c r="C131" s="32" t="n">
        <f aca="false">INDEX(Panel_Reserving!$B$8:$B$68,$A131+1)*IF($A131&lt;$Q$69,INDEX(Surface_Engine!$E$12:$E$72,$A131+1),INDEX(Surface_Engine!$E$12:$E$72,$Q$69+1))</f>
        <v>5.3015169772033E-005</v>
      </c>
      <c r="D131" s="32" t="n">
        <f aca="false">INDEX(Surface_Engine!$G$12:$G$72,$A131+1)*IF($A131&lt;$Q$69,INDEX(Surface_Engine!$Y$12:$Y$72,$A131+1),INDEX(Surface_Engine!$Y$12:$Y$72,$Q$69+1))</f>
        <v>1.92632307098809E-006</v>
      </c>
      <c r="E131" s="32" t="n">
        <f aca="false">INDEX(Surface_Engine!$G$12:$G$72,$A131+1)*IF($A131&lt;$Q$69,INDEX(Surface_Engine!$Z$12:$Z$72,$A131+1),INDEX(Surface_Engine!$Z$12:$Z$72,$Q$69+1))</f>
        <v>2.45545647089555E-006</v>
      </c>
      <c r="F131" s="48" t="n">
        <f aca="false">B131*(IF($A131&lt;$Q$69,INDEX(Surface_Engine!$D$12:$D$72,$A131+1)+(Surface_Engine!G236*12)*INDEX(Surface_Engine!$F$12:$F$72,$A131+1)-(Surface_Engine!G236*12),1000*12*INDEX(Surface_Engine!$C$12:$C$72,$A131+1)/(1+Assumptions!$B$10)^20+INDEX(Surface_Engine!$D$12:$D$72,$A131+1)))*INDEX(Surface_Engine!$B$12:$B$72,$A131+1)</f>
        <v>0.00869193011700952</v>
      </c>
      <c r="G131" s="48" t="n">
        <f aca="false">C131*(IF($A131&lt;$Q$69,INDEX(Surface_Engine!$D$12:$D$72,$A131+1)+(Surface_Engine!G236*12)*INDEX(Surface_Engine!$F$12:$F$72,$A131+1)-(Surface_Engine!G236*12),1000*12*INDEX(Surface_Engine!$C$12:$C$72,$A131+1)/(1+Assumptions!$B$10)^20+INDEX(Surface_Engine!$D$12:$D$72,$A131+1)))*INDEX(Surface_Engine!$B$12:$B$72,$A131+1)</f>
        <v>0.211769533616065</v>
      </c>
      <c r="H131" s="48" t="n">
        <f aca="false">D131*(IF($A131&lt;$Q$69,INDEX(Surface_Engine!$D$12:$D$72,$A131+1)+(Surface_Engine!G236*12)*INDEX(Surface_Engine!$F$12:$F$72,$A131+1)-(Surface_Engine!G236*12),1000*12*INDEX(Surface_Engine!$C$12:$C$72,$A131+1)/(1+Assumptions!$B$10)^20+INDEX(Surface_Engine!$D$12:$D$72,$A131+1)))*INDEX(Surface_Engine!$B$12:$B$72,$A131+1)</f>
        <v>0.00769471342053897</v>
      </c>
      <c r="I131" s="48" t="n">
        <f aca="false">E131*(IF($A131&lt;$Q$69,INDEX(Surface_Engine!$D$12:$D$72,$A131+1)+(Surface_Engine!G236*12)*INDEX(Surface_Engine!$F$12:$F$72,$A131+1)-(Surface_Engine!G236*12),1000*12*INDEX(Surface_Engine!$C$12:$C$72,$A131+1)/(1+Assumptions!$B$10)^20+INDEX(Surface_Engine!$D$12:$D$72,$A131+1)))*INDEX(Surface_Engine!$B$12:$B$72,$A131+1)</f>
        <v>0.00980834115767388</v>
      </c>
      <c r="J131" s="48" t="n">
        <f aca="false">B131*(IF($A131&lt;$Q$69,INDEX(Surface_Engine!$D$12:$D$72,$A131+1)*(1+Assumptions!$B$24)+(Surface_Engine!G236*12)*INDEX(Surface_Engine!$F$12:$F$72,$A131+1)-(Surface_Engine!G236*12),1000*12*INDEX(Surface_Engine!$C$12:$C$72,$A131+1)/(1+Assumptions!$B$10)^20+INDEX(Surface_Engine!$D$12:$D$72,$A131+1)*(1+Assumptions!$B$24)))*INDEX(Surface_Engine!$B$12:$B$72,$A131+1)</f>
        <v>0.00870360628457568</v>
      </c>
      <c r="K131" s="12" t="n">
        <f aca="false">SQRT((IF(C131&lt;=0,0,MAX(0,(B131/C131)*G131/INDEX(Surface_Engine!$B$12:$B$72,$A131+1)-F131/INDEX(Surface_Engine!$B$12:$B$72,$A131+1))))^2+(MAX(IF(D131&lt;=0,0,MAX(0,(B131/D131)*H131/INDEX(Surface_Engine!$B$12:$B$72,$A131+1)-F131/INDEX(Surface_Engine!$B$12:$B$72,$A131+1))),IF(E131&lt;=0,0,MAX(0,(B131/E131)*I131/INDEX(Surface_Engine!$B$12:$B$72,$A131+1)-F131/INDEX(Surface_Engine!$B$12:$B$72,$A131+1))),IF($A131&lt;$Q$69,MAX(0,-Assumptions!$B$22*(F131/INDEX(Surface_Engine!$B$12:$B$72,$A131+1))),0)))^2+(MAX(0,J131/INDEX(Surface_Engine!$B$12:$B$72,$A131+1)-(F131/INDEX(Surface_Engine!$B$12:$B$72,$A131+1))))^2+2*Assumptions!$B$26*(IF(C131&lt;=0,0,MAX(0,(B131/C131)*G131/INDEX(Surface_Engine!$B$12:$B$72,$A131+1)-F131/INDEX(Surface_Engine!$B$12:$B$72,$A131+1))))*(MAX(IF(D131&lt;=0,0,MAX(0,(B131/D131)*H131/INDEX(Surface_Engine!$B$12:$B$72,$A131+1)-F131/INDEX(Surface_Engine!$B$12:$B$72,$A131+1))),IF(E131&lt;=0,0,MAX(0,(B131/E131)*I131/INDEX(Surface_Engine!$B$12:$B$72,$A131+1)-F131/INDEX(Surface_Engine!$B$12:$B$72,$A131+1))),IF($A131&lt;$Q$69,MAX(0,-Assumptions!$B$22*(F131/INDEX(Surface_Engine!$B$12:$B$72,$A131+1))),0)))+2*Assumptions!$B$27*(IF(C131&lt;=0,0,MAX(0,(B131/C131)*G131/INDEX(Surface_Engine!$B$12:$B$72,$A131+1)-F131/INDEX(Surface_Engine!$B$12:$B$72,$A131+1))))*(MAX(0,J131/INDEX(Surface_Engine!$B$12:$B$72,$A131+1)-(F131/INDEX(Surface_Engine!$B$12:$B$72,$A131+1))))+2*Assumptions!$B$28*(MAX(IF(D131&lt;=0,0,MAX(0,(B131/D131)*H131/INDEX(Surface_Engine!$B$12:$B$72,$A131+1)-F131/INDEX(Surface_Engine!$B$12:$B$72,$A131+1))),IF(E131&lt;=0,0,MAX(0,(B131/E131)*I131/INDEX(Surface_Engine!$B$12:$B$72,$A131+1)-F131/INDEX(Surface_Engine!$B$12:$B$72,$A131+1))),IF($A131&lt;$Q$69,MAX(0,-Assumptions!$B$22*(F131/INDEX(Surface_Engine!$B$12:$B$72,$A131+1))),0)))*(MAX(0,J131/INDEX(Surface_Engine!$B$12:$B$72,$A131+1)-(F131/INDEX(Surface_Engine!$B$12:$B$72,$A131+1)))))</f>
        <v>7.85052458826471E-005</v>
      </c>
      <c r="L131" s="48" t="n">
        <f aca="false">K131*INDEX(Surface_Engine!$B$12:$B$72,$A131+1)</f>
        <v>1.16761675661654E-005</v>
      </c>
      <c r="M131" s="48" t="n">
        <f aca="false">M130+B130*(IF($A130&lt;$Q$69,(Surface_Engine!G236*12)-(Surface_Engine!G236*12)*INDEX(Surface_Engine!$F$12:$F$72,$A130+1)-INDEX(Surface_Engine!$D$12:$D$72,$A130+1),-(1000*12*INDEX(Surface_Engine!$C$12:$C$72,$A130+1)/(1+Assumptions!$B$10)^20+INDEX(Surface_Engine!$D$12:$D$72,$A130+1))))*INDEX(Surface_Engine!$B$12:$B$72,$A130+1)</f>
        <v>1825.83312171284</v>
      </c>
      <c r="N131" s="12" t="n">
        <f aca="false">IF(B131&lt;=0,0,MAX(0,(K131+Assumptions!$B$29*L131/INDEX(Surface_Engine!$B$12:$B$72,$A131+1)-(M131/INDEX(Surface_Engine!$B$12:$B$72,$A131+1)-(F131/INDEX(Surface_Engine!$B$12:$B$72,$A131+1))))/B131))</f>
        <v>0</v>
      </c>
    </row>
    <row r="132" customFormat="false" ht="15" hidden="false" customHeight="true" outlineLevel="0" collapsed="false">
      <c r="A132" s="4" t="str">
        <f aca="false">"entry "&amp;O132&amp;" / vesting "&amp;P132&amp;"   deferral "&amp;Q132</f>
        <v>entry 60 / vesting 85   deferral 25</v>
      </c>
      <c r="C132" s="49" t="n">
        <f aca="false">MAX(N71:N131)</f>
        <v>21189.4137593223</v>
      </c>
      <c r="E132" s="7" t="s">
        <v>1634</v>
      </c>
      <c r="G132" s="21" t="n">
        <f aca="false">INDEX(A71:A131,MATCH(C132,N71:N131,0))</f>
        <v>13</v>
      </c>
      <c r="J132" s="7" t="s">
        <v>1624</v>
      </c>
      <c r="K132" s="50" t="n">
        <f aca="false">Surface_Engine!L236</f>
        <v>188.533466631527</v>
      </c>
      <c r="O132" s="1" t="n">
        <f aca="false">A1714</f>
        <v>60</v>
      </c>
      <c r="P132" s="76" t="n">
        <f aca="false">D$1713</f>
        <v>85</v>
      </c>
      <c r="Q132" s="1" t="n">
        <f aca="false">P132-O132</f>
        <v>25</v>
      </c>
    </row>
    <row r="133" customFormat="false" ht="15" hidden="false" customHeight="true" outlineLevel="0" collapsed="false">
      <c r="A133" s="8" t="s">
        <v>802</v>
      </c>
      <c r="B133" s="8" t="s">
        <v>1584</v>
      </c>
      <c r="C133" s="8" t="s">
        <v>1585</v>
      </c>
      <c r="D133" s="8" t="s">
        <v>1587</v>
      </c>
      <c r="E133" s="8" t="s">
        <v>1588</v>
      </c>
      <c r="F133" s="8" t="s">
        <v>1625</v>
      </c>
      <c r="G133" s="8" t="s">
        <v>1626</v>
      </c>
      <c r="H133" s="8" t="s">
        <v>1627</v>
      </c>
      <c r="I133" s="8" t="s">
        <v>1628</v>
      </c>
      <c r="J133" s="8" t="s">
        <v>1629</v>
      </c>
      <c r="K133" s="8" t="s">
        <v>812</v>
      </c>
      <c r="L133" s="8" t="s">
        <v>1630</v>
      </c>
      <c r="M133" s="8" t="s">
        <v>341</v>
      </c>
      <c r="N133" s="8" t="s">
        <v>1631</v>
      </c>
      <c r="O133" s="1" t="s">
        <v>1544</v>
      </c>
      <c r="P133" s="1" t="s">
        <v>1632</v>
      </c>
      <c r="Q133" s="1" t="s">
        <v>1633</v>
      </c>
    </row>
    <row r="134" customFormat="false" ht="15" hidden="false" customHeight="true" outlineLevel="0" collapsed="false">
      <c r="A134" s="1" t="n">
        <v>0</v>
      </c>
      <c r="B134" s="32" t="n">
        <f aca="false">INDEX(Surface_Engine!$G$12:$G$72,$A134+1)*IF($A134&lt;$Q$132,INDEX(Surface_Engine!$E$12:$E$72,$A134+1),INDEX(Surface_Engine!$E$12:$E$72,$Q$132+1))</f>
        <v>1</v>
      </c>
      <c r="C134" s="32" t="n">
        <f aca="false">INDEX(Panel_Reserving!$B$8:$B$68,$A134+1)*IF($A134&lt;$Q$132,INDEX(Surface_Engine!$E$12:$E$72,$A134+1),INDEX(Surface_Engine!$E$12:$E$72,$Q$132+1))</f>
        <v>1</v>
      </c>
      <c r="D134" s="32" t="n">
        <f aca="false">INDEX(Surface_Engine!$G$12:$G$72,$A134+1)*IF($A134&lt;$Q$132,INDEX(Surface_Engine!$Y$12:$Y$72,$A134+1),INDEX(Surface_Engine!$Y$12:$Y$72,$Q$132+1))</f>
        <v>1</v>
      </c>
      <c r="E134" s="32" t="n">
        <f aca="false">INDEX(Surface_Engine!$G$12:$G$72,$A134+1)*IF($A134&lt;$Q$132,INDEX(Surface_Engine!$Z$12:$Z$72,$A134+1),INDEX(Surface_Engine!$Z$12:$Z$72,$Q$132+1))</f>
        <v>1</v>
      </c>
      <c r="F134" s="48" t="n">
        <f aca="false">B134*(IF($A134&lt;$Q$132,INDEX(Surface_Engine!$D$12:$D$72,$A134+1)+(Surface_Engine!L236*12)*INDEX(Surface_Engine!$F$12:$F$72,$A134+1)-(Surface_Engine!L236*12),1000*12*INDEX(Surface_Engine!$C$12:$C$72,$A134+1)/(1+Assumptions!$B$10)^25+INDEX(Surface_Engine!$D$12:$D$72,$A134+1)))*INDEX(Surface_Engine!$B$12:$B$72,$A134+1)+F135</f>
        <v>-982.857864719405</v>
      </c>
      <c r="G134" s="48" t="n">
        <f aca="false">C134*(IF($A134&lt;$Q$132,INDEX(Surface_Engine!$D$12:$D$72,$A134+1)+(Surface_Engine!L236*12)*INDEX(Surface_Engine!$F$12:$F$72,$A134+1)-(Surface_Engine!L236*12),1000*12*INDEX(Surface_Engine!$C$12:$C$72,$A134+1)/(1+Assumptions!$B$10)^25+INDEX(Surface_Engine!$D$12:$D$72,$A134+1)))*INDEX(Surface_Engine!$B$12:$B$72,$A134+1)+G135</f>
        <v>4227.26889012903</v>
      </c>
      <c r="H134" s="48" t="n">
        <f aca="false">D134*(IF($A134&lt;$Q$132,INDEX(Surface_Engine!$D$12:$D$72,$A134+1)+(Surface_Engine!L236*12)*INDEX(Surface_Engine!$F$12:$F$72,$A134+1)-(Surface_Engine!L236*12),1000*12*INDEX(Surface_Engine!$C$12:$C$72,$A134+1)/(1+Assumptions!$B$10)^25+INDEX(Surface_Engine!$D$12:$D$72,$A134+1)))*INDEX(Surface_Engine!$B$12:$B$72,$A134+1)+H135</f>
        <v>-2600.82647251675</v>
      </c>
      <c r="I134" s="48" t="n">
        <f aca="false">E134*(IF($A134&lt;$Q$132,INDEX(Surface_Engine!$D$12:$D$72,$A134+1)+(Surface_Engine!L236*12)*INDEX(Surface_Engine!$F$12:$F$72,$A134+1)-(Surface_Engine!L236*12),1000*12*INDEX(Surface_Engine!$C$12:$C$72,$A134+1)/(1+Assumptions!$B$10)^25+INDEX(Surface_Engine!$D$12:$D$72,$A134+1)))*INDEX(Surface_Engine!$B$12:$B$72,$A134+1)+I135</f>
        <v>1000.48956434155</v>
      </c>
      <c r="J134" s="48" t="n">
        <f aca="false">B134*(IF($A134&lt;$Q$132,INDEX(Surface_Engine!$D$12:$D$72,$A134+1)*(1+Assumptions!$B$24)+(Surface_Engine!L236*12)*INDEX(Surface_Engine!$F$12:$F$72,$A134+1)-(Surface_Engine!L236*12),1000*12*INDEX(Surface_Engine!$C$12:$C$72,$A134+1)/(1+Assumptions!$B$10)^25+INDEX(Surface_Engine!$D$12:$D$72,$A134+1)*(1+Assumptions!$B$24)))*INDEX(Surface_Engine!$B$12:$B$72,$A134+1)+J135</f>
        <v>-797.002187440291</v>
      </c>
      <c r="K134" s="12" t="n">
        <f aca="false">SQRT((IF(C134&lt;=0,0,MAX(0,(B134/C134)*G134/INDEX(Surface_Engine!$B$12:$B$72,$A134+1)-F134/INDEX(Surface_Engine!$B$12:$B$72,$A134+1))))^2+(MAX(IF(D134&lt;=0,0,MAX(0,(B134/D134)*H134/INDEX(Surface_Engine!$B$12:$B$72,$A134+1)-F134/INDEX(Surface_Engine!$B$12:$B$72,$A134+1))),IF(E134&lt;=0,0,MAX(0,(B134/E134)*I134/INDEX(Surface_Engine!$B$12:$B$72,$A134+1)-F134/INDEX(Surface_Engine!$B$12:$B$72,$A134+1))),IF($A134&lt;$Q$132,MAX(0,-Assumptions!$B$22*(F134/INDEX(Surface_Engine!$B$12:$B$72,$A134+1))),0)))^2+(MAX(0,J134/INDEX(Surface_Engine!$B$12:$B$72,$A134+1)-(F134/INDEX(Surface_Engine!$B$12:$B$72,$A134+1))))^2+2*Assumptions!$B$26*(IF(C134&lt;=0,0,MAX(0,(B134/C134)*G134/INDEX(Surface_Engine!$B$12:$B$72,$A134+1)-F134/INDEX(Surface_Engine!$B$12:$B$72,$A134+1))))*(MAX(IF(D134&lt;=0,0,MAX(0,(B134/D134)*H134/INDEX(Surface_Engine!$B$12:$B$72,$A134+1)-F134/INDEX(Surface_Engine!$B$12:$B$72,$A134+1))),IF(E134&lt;=0,0,MAX(0,(B134/E134)*I134/INDEX(Surface_Engine!$B$12:$B$72,$A134+1)-F134/INDEX(Surface_Engine!$B$12:$B$72,$A134+1))),IF($A134&lt;$Q$132,MAX(0,-Assumptions!$B$22*(F134/INDEX(Surface_Engine!$B$12:$B$72,$A134+1))),0)))+2*Assumptions!$B$27*(IF(C134&lt;=0,0,MAX(0,(B134/C134)*G134/INDEX(Surface_Engine!$B$12:$B$72,$A134+1)-F134/INDEX(Surface_Engine!$B$12:$B$72,$A134+1))))*(MAX(0,J134/INDEX(Surface_Engine!$B$12:$B$72,$A134+1)-(F134/INDEX(Surface_Engine!$B$12:$B$72,$A134+1))))+2*Assumptions!$B$28*(MAX(IF(D134&lt;=0,0,MAX(0,(B134/D134)*H134/INDEX(Surface_Engine!$B$12:$B$72,$A134+1)-F134/INDEX(Surface_Engine!$B$12:$B$72,$A134+1))),IF(E134&lt;=0,0,MAX(0,(B134/E134)*I134/INDEX(Surface_Engine!$B$12:$B$72,$A134+1)-F134/INDEX(Surface_Engine!$B$12:$B$72,$A134+1))),IF($A134&lt;$Q$132,MAX(0,-Assumptions!$B$22*(F134/INDEX(Surface_Engine!$B$12:$B$72,$A134+1))),0)))*(MAX(0,J134/INDEX(Surface_Engine!$B$12:$B$72,$A134+1)-(F134/INDEX(Surface_Engine!$B$12:$B$72,$A134+1)))))</f>
        <v>6093.69822923291</v>
      </c>
      <c r="L134" s="48" t="n">
        <f aca="false">K134*INDEX(Surface_Engine!$B$12:$B$72,$A134+1)+L135</f>
        <v>160403.391545342</v>
      </c>
      <c r="M134" s="48" t="n">
        <v>0</v>
      </c>
      <c r="N134" s="12" t="n">
        <f aca="false">IF(B134&lt;=0,0,MAX(0,(K134+Assumptions!$B$29*L134/INDEX(Surface_Engine!$B$12:$B$72,$A134+1)-(M134/INDEX(Surface_Engine!$B$12:$B$72,$A134+1)-(F134/INDEX(Surface_Engine!$B$12:$B$72,$A134+1))))/B134))</f>
        <v>14735.043857234</v>
      </c>
    </row>
    <row r="135" customFormat="false" ht="15" hidden="false" customHeight="true" outlineLevel="0" collapsed="false">
      <c r="A135" s="1" t="n">
        <v>1</v>
      </c>
      <c r="B135" s="32" t="n">
        <f aca="false">INDEX(Surface_Engine!$G$12:$G$72,$A135+1)*IF($A135&lt;$Q$132,INDEX(Surface_Engine!$E$12:$E$72,$A135+1),INDEX(Surface_Engine!$E$12:$E$72,$Q$132+1))</f>
        <v>0.956605798055555</v>
      </c>
      <c r="C135" s="32" t="n">
        <f aca="false">INDEX(Panel_Reserving!$B$8:$B$68,$A135+1)*IF($A135&lt;$Q$132,INDEX(Surface_Engine!$E$12:$E$72,$A135+1),INDEX(Surface_Engine!$E$12:$E$72,$Q$132+1))</f>
        <v>0.957164638444444</v>
      </c>
      <c r="D135" s="32" t="n">
        <f aca="false">INDEX(Surface_Engine!$G$12:$G$72,$A135+1)*IF($A135&lt;$Q$132,INDEX(Surface_Engine!$Y$12:$Y$72,$A135+1),INDEX(Surface_Engine!$Y$12:$Y$72,$Q$132+1))</f>
        <v>0.936364920735847</v>
      </c>
      <c r="E135" s="32" t="n">
        <f aca="false">INDEX(Surface_Engine!$G$12:$G$72,$A135+1)*IF($A135&lt;$Q$132,INDEX(Surface_Engine!$Z$12:$Z$72,$A135+1),INDEX(Surface_Engine!$Z$12:$Z$72,$Q$132+1))</f>
        <v>0.976846675375263</v>
      </c>
      <c r="F135" s="48" t="n">
        <f aca="false">B135*(IF($A135&lt;$Q$132,INDEX(Surface_Engine!$D$12:$D$72,$A135+1)+(Surface_Engine!L236*12)*INDEX(Surface_Engine!$F$12:$F$72,$A135+1)-(Surface_Engine!L236*12),1000*12*INDEX(Surface_Engine!$C$12:$C$72,$A135+1)/(1+Assumptions!$B$10)^25+INDEX(Surface_Engine!$D$12:$D$72,$A135+1)))*INDEX(Surface_Engine!$B$12:$B$72,$A135+1)+F136</f>
        <v>-1064.8578647194</v>
      </c>
      <c r="G135" s="48" t="n">
        <f aca="false">C135*(IF($A135&lt;$Q$132,INDEX(Surface_Engine!$D$12:$D$72,$A135+1)+(Surface_Engine!L236*12)*INDEX(Surface_Engine!$F$12:$F$72,$A135+1)-(Surface_Engine!L236*12),1000*12*INDEX(Surface_Engine!$C$12:$C$72,$A135+1)/(1+Assumptions!$B$10)^25+INDEX(Surface_Engine!$D$12:$D$72,$A135+1)))*INDEX(Surface_Engine!$B$12:$B$72,$A135+1)+G136</f>
        <v>4145.26889012903</v>
      </c>
      <c r="H135" s="48" t="n">
        <f aca="false">D135*(IF($A135&lt;$Q$132,INDEX(Surface_Engine!$D$12:$D$72,$A135+1)+(Surface_Engine!L236*12)*INDEX(Surface_Engine!$F$12:$F$72,$A135+1)-(Surface_Engine!L236*12),1000*12*INDEX(Surface_Engine!$C$12:$C$72,$A135+1)/(1+Assumptions!$B$10)^25+INDEX(Surface_Engine!$D$12:$D$72,$A135+1)))*INDEX(Surface_Engine!$B$12:$B$72,$A135+1)+H136</f>
        <v>-2682.82647251675</v>
      </c>
      <c r="I135" s="48" t="n">
        <f aca="false">E135*(IF($A135&lt;$Q$132,INDEX(Surface_Engine!$D$12:$D$72,$A135+1)+(Surface_Engine!L236*12)*INDEX(Surface_Engine!$F$12:$F$72,$A135+1)-(Surface_Engine!L236*12),1000*12*INDEX(Surface_Engine!$C$12:$C$72,$A135+1)/(1+Assumptions!$B$10)^25+INDEX(Surface_Engine!$D$12:$D$72,$A135+1)))*INDEX(Surface_Engine!$B$12:$B$72,$A135+1)+I136</f>
        <v>918.489564341552</v>
      </c>
      <c r="J135" s="48" t="n">
        <f aca="false">B135*(IF($A135&lt;$Q$132,INDEX(Surface_Engine!$D$12:$D$72,$A135+1)*(1+Assumptions!$B$24)+(Surface_Engine!L236*12)*INDEX(Surface_Engine!$F$12:$F$72,$A135+1)-(Surface_Engine!L236*12),1000*12*INDEX(Surface_Engine!$C$12:$C$72,$A135+1)/(1+Assumptions!$B$10)^25+INDEX(Surface_Engine!$D$12:$D$72,$A135+1)*(1+Assumptions!$B$24)))*INDEX(Surface_Engine!$B$12:$B$72,$A135+1)+J136</f>
        <v>-887.20218744029</v>
      </c>
      <c r="K135" s="12" t="n">
        <f aca="false">SQRT((IF(C135&lt;=0,0,MAX(0,(B135/C135)*G135/INDEX(Surface_Engine!$B$12:$B$72,$A135+1)-F135/INDEX(Surface_Engine!$B$12:$B$72,$A135+1))))^2+(MAX(IF(D135&lt;=0,0,MAX(0,(B135/D135)*H135/INDEX(Surface_Engine!$B$12:$B$72,$A135+1)-F135/INDEX(Surface_Engine!$B$12:$B$72,$A135+1))),IF(E135&lt;=0,0,MAX(0,(B135/E135)*I135/INDEX(Surface_Engine!$B$12:$B$72,$A135+1)-F135/INDEX(Surface_Engine!$B$12:$B$72,$A135+1))),IF($A135&lt;$Q$132,MAX(0,-Assumptions!$B$22*(F135/INDEX(Surface_Engine!$B$12:$B$72,$A135+1))),0)))^2+(MAX(0,J135/INDEX(Surface_Engine!$B$12:$B$72,$A135+1)-(F135/INDEX(Surface_Engine!$B$12:$B$72,$A135+1))))^2+2*Assumptions!$B$26*(IF(C135&lt;=0,0,MAX(0,(B135/C135)*G135/INDEX(Surface_Engine!$B$12:$B$72,$A135+1)-F135/INDEX(Surface_Engine!$B$12:$B$72,$A135+1))))*(MAX(IF(D135&lt;=0,0,MAX(0,(B135/D135)*H135/INDEX(Surface_Engine!$B$12:$B$72,$A135+1)-F135/INDEX(Surface_Engine!$B$12:$B$72,$A135+1))),IF(E135&lt;=0,0,MAX(0,(B135/E135)*I135/INDEX(Surface_Engine!$B$12:$B$72,$A135+1)-F135/INDEX(Surface_Engine!$B$12:$B$72,$A135+1))),IF($A135&lt;$Q$132,MAX(0,-Assumptions!$B$22*(F135/INDEX(Surface_Engine!$B$12:$B$72,$A135+1))),0)))+2*Assumptions!$B$27*(IF(C135&lt;=0,0,MAX(0,(B135/C135)*G135/INDEX(Surface_Engine!$B$12:$B$72,$A135+1)-F135/INDEX(Surface_Engine!$B$12:$B$72,$A135+1))))*(MAX(0,J135/INDEX(Surface_Engine!$B$12:$B$72,$A135+1)-(F135/INDEX(Surface_Engine!$B$12:$B$72,$A135+1))))+2*Assumptions!$B$28*(MAX(IF(D135&lt;=0,0,MAX(0,(B135/D135)*H135/INDEX(Surface_Engine!$B$12:$B$72,$A135+1)-F135/INDEX(Surface_Engine!$B$12:$B$72,$A135+1))),IF(E135&lt;=0,0,MAX(0,(B135/E135)*I135/INDEX(Surface_Engine!$B$12:$B$72,$A135+1)-F135/INDEX(Surface_Engine!$B$12:$B$72,$A135+1))),IF($A135&lt;$Q$132,MAX(0,-Assumptions!$B$22*(F135/INDEX(Surface_Engine!$B$12:$B$72,$A135+1))),0)))*(MAX(0,J135/INDEX(Surface_Engine!$B$12:$B$72,$A135+1)-(F135/INDEX(Surface_Engine!$B$12:$B$72,$A135+1)))))</f>
        <v>6235.3267809813</v>
      </c>
      <c r="L135" s="48" t="n">
        <f aca="false">K135*INDEX(Surface_Engine!$B$12:$B$72,$A135+1)+L136</f>
        <v>154309.693316109</v>
      </c>
      <c r="M135" s="48" t="n">
        <f aca="false">M134+B134*(IF($A134&lt;$Q$132,(Surface_Engine!L236*12)-(Surface_Engine!L236*12)*INDEX(Surface_Engine!$F$12:$F$72,$A134+1)-INDEX(Surface_Engine!$D$12:$D$72,$A134+1),-(1000*12*INDEX(Surface_Engine!$C$12:$C$72,$A134+1)/(1+Assumptions!$B$10)^25+INDEX(Surface_Engine!$D$12:$D$72,$A134+1))))*INDEX(Surface_Engine!$B$12:$B$72,$A134+1)</f>
        <v>-82</v>
      </c>
      <c r="N135" s="12" t="n">
        <f aca="false">IF(B135&lt;=0,0,MAX(0,(K135+Assumptions!$B$29*L135/INDEX(Surface_Engine!$B$12:$B$72,$A135+1)-(M135/INDEX(Surface_Engine!$B$12:$B$72,$A135+1)-(F135/INDEX(Surface_Engine!$B$12:$B$72,$A135+1))))/B135))</f>
        <v>15393.8940505087</v>
      </c>
    </row>
    <row r="136" customFormat="false" ht="15" hidden="false" customHeight="true" outlineLevel="0" collapsed="false">
      <c r="A136" s="1" t="n">
        <v>2</v>
      </c>
      <c r="B136" s="32" t="n">
        <f aca="false">INDEX(Surface_Engine!$G$12:$G$72,$A136+1)*IF($A136&lt;$Q$132,INDEX(Surface_Engine!$E$12:$E$72,$A136+1),INDEX(Surface_Engine!$E$12:$E$72,$Q$132+1))</f>
        <v>0.93290204615754</v>
      </c>
      <c r="C136" s="32" t="n">
        <f aca="false">INDEX(Panel_Reserving!$B$8:$B$68,$A136+1)*IF($A136&lt;$Q$132,INDEX(Surface_Engine!$E$12:$E$72,$A136+1),INDEX(Surface_Engine!$E$12:$E$72,$Q$132+1))</f>
        <v>0.934036464382521</v>
      </c>
      <c r="D136" s="32" t="n">
        <f aca="false">INDEX(Surface_Engine!$G$12:$G$72,$A136+1)*IF($A136&lt;$Q$132,INDEX(Surface_Engine!$Y$12:$Y$72,$A136+1),INDEX(Surface_Engine!$Y$12:$Y$72,$Q$132+1))</f>
        <v>0.903035133829689</v>
      </c>
      <c r="E136" s="32" t="n">
        <f aca="false">INDEX(Surface_Engine!$G$12:$G$72,$A136+1)*IF($A136&lt;$Q$132,INDEX(Surface_Engine!$Z$12:$Z$72,$A136+1),INDEX(Surface_Engine!$Z$12:$Z$72,$Q$132+1))</f>
        <v>0.963206803137687</v>
      </c>
      <c r="F136" s="48" t="n">
        <f aca="false">B136*(IF($A136&lt;$Q$132,INDEX(Surface_Engine!$D$12:$D$72,$A136+1)+(Surface_Engine!L236*12)*INDEX(Surface_Engine!$F$12:$F$72,$A136+1)-(Surface_Engine!L236*12),1000*12*INDEX(Surface_Engine!$C$12:$C$72,$A136+1)/(1+Assumptions!$B$10)^25+INDEX(Surface_Engine!$D$12:$D$72,$A136+1)))*INDEX(Surface_Engine!$B$12:$B$72,$A136+1)+F137</f>
        <v>860.765401271353</v>
      </c>
      <c r="G136" s="48" t="n">
        <f aca="false">C136*(IF($A136&lt;$Q$132,INDEX(Surface_Engine!$D$12:$D$72,$A136+1)+(Surface_Engine!L236*12)*INDEX(Surface_Engine!$F$12:$F$72,$A136+1)-(Surface_Engine!L236*12),1000*12*INDEX(Surface_Engine!$C$12:$C$72,$A136+1)/(1+Assumptions!$B$10)^25+INDEX(Surface_Engine!$D$12:$D$72,$A136+1)))*INDEX(Surface_Engine!$B$12:$B$72,$A136+1)+G137</f>
        <v>6072.01708768199</v>
      </c>
      <c r="H136" s="48" t="n">
        <f aca="false">D136*(IF($A136&lt;$Q$132,INDEX(Surface_Engine!$D$12:$D$72,$A136+1)+(Surface_Engine!L236*12)*INDEX(Surface_Engine!$F$12:$F$72,$A136+1)-(Surface_Engine!L236*12),1000*12*INDEX(Surface_Engine!$C$12:$C$72,$A136+1)/(1+Assumptions!$B$10)^25+INDEX(Surface_Engine!$D$12:$D$72,$A136+1)))*INDEX(Surface_Engine!$B$12:$B$72,$A136+1)+H137</f>
        <v>-797.947580405097</v>
      </c>
      <c r="I136" s="48" t="n">
        <f aca="false">E136*(IF($A136&lt;$Q$132,INDEX(Surface_Engine!$D$12:$D$72,$A136+1)+(Surface_Engine!L236*12)*INDEX(Surface_Engine!$F$12:$F$72,$A136+1)-(Surface_Engine!L236*12),1000*12*INDEX(Surface_Engine!$C$12:$C$72,$A136+1)/(1+Assumptions!$B$10)^25+INDEX(Surface_Engine!$D$12:$D$72,$A136+1)))*INDEX(Surface_Engine!$B$12:$B$72,$A136+1)+I137</f>
        <v>2884.85720421141</v>
      </c>
      <c r="J136" s="48" t="n">
        <f aca="false">B136*(IF($A136&lt;$Q$132,INDEX(Surface_Engine!$D$12:$D$72,$A136+1)*(1+Assumptions!$B$24)+(Surface_Engine!L236*12)*INDEX(Surface_Engine!$F$12:$F$72,$A136+1)-(Surface_Engine!L236*12),1000*12*INDEX(Surface_Engine!$C$12:$C$72,$A136+1)/(1+Assumptions!$B$10)^25+INDEX(Surface_Engine!$D$12:$D$72,$A136+1)*(1+Assumptions!$B$24)))*INDEX(Surface_Engine!$B$12:$B$72,$A136+1)+J137</f>
        <v>1030.58425086454</v>
      </c>
      <c r="K136" s="12" t="n">
        <f aca="false">SQRT((IF(C136&lt;=0,0,MAX(0,(B136/C136)*G136/INDEX(Surface_Engine!$B$12:$B$72,$A136+1)-F136/INDEX(Surface_Engine!$B$12:$B$72,$A136+1))))^2+(MAX(IF(D136&lt;=0,0,MAX(0,(B136/D136)*H136/INDEX(Surface_Engine!$B$12:$B$72,$A136+1)-F136/INDEX(Surface_Engine!$B$12:$B$72,$A136+1))),IF(E136&lt;=0,0,MAX(0,(B136/E136)*I136/INDEX(Surface_Engine!$B$12:$B$72,$A136+1)-F136/INDEX(Surface_Engine!$B$12:$B$72,$A136+1))),IF($A136&lt;$Q$132,MAX(0,-Assumptions!$B$22*(F136/INDEX(Surface_Engine!$B$12:$B$72,$A136+1))),0)))^2+(MAX(0,J136/INDEX(Surface_Engine!$B$12:$B$72,$A136+1)-(F136/INDEX(Surface_Engine!$B$12:$B$72,$A136+1))))^2+2*Assumptions!$B$26*(IF(C136&lt;=0,0,MAX(0,(B136/C136)*G136/INDEX(Surface_Engine!$B$12:$B$72,$A136+1)-F136/INDEX(Surface_Engine!$B$12:$B$72,$A136+1))))*(MAX(IF(D136&lt;=0,0,MAX(0,(B136/D136)*H136/INDEX(Surface_Engine!$B$12:$B$72,$A136+1)-F136/INDEX(Surface_Engine!$B$12:$B$72,$A136+1))),IF(E136&lt;=0,0,MAX(0,(B136/E136)*I136/INDEX(Surface_Engine!$B$12:$B$72,$A136+1)-F136/INDEX(Surface_Engine!$B$12:$B$72,$A136+1))),IF($A136&lt;$Q$132,MAX(0,-Assumptions!$B$22*(F136/INDEX(Surface_Engine!$B$12:$B$72,$A136+1))),0)))+2*Assumptions!$B$27*(IF(C136&lt;=0,0,MAX(0,(B136/C136)*G136/INDEX(Surface_Engine!$B$12:$B$72,$A136+1)-F136/INDEX(Surface_Engine!$B$12:$B$72,$A136+1))))*(MAX(0,J136/INDEX(Surface_Engine!$B$12:$B$72,$A136+1)-(F136/INDEX(Surface_Engine!$B$12:$B$72,$A136+1))))+2*Assumptions!$B$28*(MAX(IF(D136&lt;=0,0,MAX(0,(B136/D136)*H136/INDEX(Surface_Engine!$B$12:$B$72,$A136+1)-F136/INDEX(Surface_Engine!$B$12:$B$72,$A136+1))),IF(E136&lt;=0,0,MAX(0,(B136/E136)*I136/INDEX(Surface_Engine!$B$12:$B$72,$A136+1)-F136/INDEX(Surface_Engine!$B$12:$B$72,$A136+1))),IF($A136&lt;$Q$132,MAX(0,-Assumptions!$B$22*(F136/INDEX(Surface_Engine!$B$12:$B$72,$A136+1))),0)))*(MAX(0,J136/INDEX(Surface_Engine!$B$12:$B$72,$A136+1)-(F136/INDEX(Surface_Engine!$B$12:$B$72,$A136+1)))))</f>
        <v>6375.83386527715</v>
      </c>
      <c r="L136" s="48" t="n">
        <f aca="false">K136*INDEX(Surface_Engine!$B$12:$B$72,$A136+1)+L137</f>
        <v>148232.139823789</v>
      </c>
      <c r="M136" s="48" t="n">
        <f aca="false">M135+B135*(IF($A135&lt;$Q$132,(Surface_Engine!L236*12)-(Surface_Engine!L236*12)*INDEX(Surface_Engine!$F$12:$F$72,$A135+1)-INDEX(Surface_Engine!$D$12:$D$72,$A135+1),-(1000*12*INDEX(Surface_Engine!$C$12:$C$72,$A135+1)/(1+Assumptions!$B$10)^25+INDEX(Surface_Engine!$D$12:$D$72,$A135+1))))*INDEX(Surface_Engine!$B$12:$B$72,$A135+1)</f>
        <v>1843.62326599076</v>
      </c>
      <c r="N136" s="12" t="n">
        <f aca="false">IF(B136&lt;=0,0,MAX(0,(K136+Assumptions!$B$29*L136/INDEX(Surface_Engine!$B$12:$B$72,$A136+1)-(M136/INDEX(Surface_Engine!$B$12:$B$72,$A136+1)-(F136/INDEX(Surface_Engine!$B$12:$B$72,$A136+1))))/B136))</f>
        <v>15765.6950701934</v>
      </c>
    </row>
    <row r="137" customFormat="false" ht="15" hidden="false" customHeight="true" outlineLevel="0" collapsed="false">
      <c r="A137" s="1" t="n">
        <v>3</v>
      </c>
      <c r="B137" s="32" t="n">
        <f aca="false">INDEX(Surface_Engine!$G$12:$G$72,$A137+1)*IF($A137&lt;$Q$132,INDEX(Surface_Engine!$E$12:$E$72,$A137+1),INDEX(Surface_Engine!$E$12:$E$72,$Q$132+1))</f>
        <v>0.917354343634536</v>
      </c>
      <c r="C137" s="32" t="n">
        <f aca="false">INDEX(Panel_Reserving!$B$8:$B$68,$A137+1)*IF($A137&lt;$Q$132,INDEX(Surface_Engine!$E$12:$E$72,$A137+1),INDEX(Surface_Engine!$E$12:$E$72,$Q$132+1))</f>
        <v>0.91909864043936</v>
      </c>
      <c r="D137" s="32" t="n">
        <f aca="false">INDEX(Surface_Engine!$G$12:$G$72,$A137+1)*IF($A137&lt;$Q$132,INDEX(Surface_Engine!$Y$12:$Y$72,$A137+1),INDEX(Surface_Engine!$Y$12:$Y$72,$Q$132+1))</f>
        <v>0.882000493881983</v>
      </c>
      <c r="E137" s="32" t="n">
        <f aca="false">INDEX(Surface_Engine!$G$12:$G$72,$A137+1)*IF($A137&lt;$Q$132,INDEX(Surface_Engine!$Z$12:$Z$72,$A137+1),INDEX(Surface_Engine!$Z$12:$Z$72,$Q$132+1))</f>
        <v>0.953537517528614</v>
      </c>
      <c r="F137" s="48" t="n">
        <f aca="false">B137*(IF($A137&lt;$Q$132,INDEX(Surface_Engine!$D$12:$D$72,$A137+1)+(Surface_Engine!L236*12)*INDEX(Surface_Engine!$F$12:$F$72,$A137+1)-(Surface_Engine!L236*12),1000*12*INDEX(Surface_Engine!$C$12:$C$72,$A137+1)/(1+Assumptions!$B$10)^25+INDEX(Surface_Engine!$D$12:$D$72,$A137+1)))*INDEX(Surface_Engine!$B$12:$B$72,$A137+1)+F138</f>
        <v>2688.22545543279</v>
      </c>
      <c r="G137" s="48" t="n">
        <f aca="false">C137*(IF($A137&lt;$Q$132,INDEX(Surface_Engine!$D$12:$D$72,$A137+1)+(Surface_Engine!L236*12)*INDEX(Surface_Engine!$F$12:$F$72,$A137+1)-(Surface_Engine!L236*12),1000*12*INDEX(Surface_Engine!$C$12:$C$72,$A137+1)/(1+Assumptions!$B$10)^25+INDEX(Surface_Engine!$D$12:$D$72,$A137+1)))*INDEX(Surface_Engine!$B$12:$B$72,$A137+1)+G138</f>
        <v>7901.69935155923</v>
      </c>
      <c r="H137" s="48" t="n">
        <f aca="false">D137*(IF($A137&lt;$Q$132,INDEX(Surface_Engine!$D$12:$D$72,$A137+1)+(Surface_Engine!L236*12)*INDEX(Surface_Engine!$F$12:$F$72,$A137+1)-(Surface_Engine!L236*12),1000*12*INDEX(Surface_Engine!$C$12:$C$72,$A137+1)/(1+Assumptions!$B$10)^25+INDEX(Surface_Engine!$D$12:$D$72,$A137+1)))*INDEX(Surface_Engine!$B$12:$B$72,$A137+1)+H138</f>
        <v>971.006235673688</v>
      </c>
      <c r="I137" s="48" t="n">
        <f aca="false">E137*(IF($A137&lt;$Q$132,INDEX(Surface_Engine!$D$12:$D$72,$A137+1)+(Surface_Engine!L236*12)*INDEX(Surface_Engine!$F$12:$F$72,$A137+1)-(Surface_Engine!L236*12),1000*12*INDEX(Surface_Engine!$C$12:$C$72,$A137+1)/(1+Assumptions!$B$10)^25+INDEX(Surface_Engine!$D$12:$D$72,$A137+1)))*INDEX(Surface_Engine!$B$12:$B$72,$A137+1)+I138</f>
        <v>4771.68118951696</v>
      </c>
      <c r="J137" s="48" t="n">
        <f aca="false">B137*(IF($A137&lt;$Q$132,INDEX(Surface_Engine!$D$12:$D$72,$A137+1)*(1+Assumptions!$B$24)+(Surface_Engine!L236*12)*INDEX(Surface_Engine!$F$12:$F$72,$A137+1)-(Surface_Engine!L236*12),1000*12*INDEX(Surface_Engine!$C$12:$C$72,$A137+1)/(1+Assumptions!$B$10)^25+INDEX(Surface_Engine!$D$12:$D$72,$A137+1)*(1+Assumptions!$B$24)))*INDEX(Surface_Engine!$B$12:$B$72,$A137+1)+J138</f>
        <v>2850.41328093065</v>
      </c>
      <c r="K137" s="12" t="n">
        <f aca="false">SQRT((IF(C137&lt;=0,0,MAX(0,(B137/C137)*G137/INDEX(Surface_Engine!$B$12:$B$72,$A137+1)-F137/INDEX(Surface_Engine!$B$12:$B$72,$A137+1))))^2+(MAX(IF(D137&lt;=0,0,MAX(0,(B137/D137)*H137/INDEX(Surface_Engine!$B$12:$B$72,$A137+1)-F137/INDEX(Surface_Engine!$B$12:$B$72,$A137+1))),IF(E137&lt;=0,0,MAX(0,(B137/E137)*I137/INDEX(Surface_Engine!$B$12:$B$72,$A137+1)-F137/INDEX(Surface_Engine!$B$12:$B$72,$A137+1))),IF($A137&lt;$Q$132,MAX(0,-Assumptions!$B$22*(F137/INDEX(Surface_Engine!$B$12:$B$72,$A137+1))),0)))^2+(MAX(0,J137/INDEX(Surface_Engine!$B$12:$B$72,$A137+1)-(F137/INDEX(Surface_Engine!$B$12:$B$72,$A137+1))))^2+2*Assumptions!$B$26*(IF(C137&lt;=0,0,MAX(0,(B137/C137)*G137/INDEX(Surface_Engine!$B$12:$B$72,$A137+1)-F137/INDEX(Surface_Engine!$B$12:$B$72,$A137+1))))*(MAX(IF(D137&lt;=0,0,MAX(0,(B137/D137)*H137/INDEX(Surface_Engine!$B$12:$B$72,$A137+1)-F137/INDEX(Surface_Engine!$B$12:$B$72,$A137+1))),IF(E137&lt;=0,0,MAX(0,(B137/E137)*I137/INDEX(Surface_Engine!$B$12:$B$72,$A137+1)-F137/INDEX(Surface_Engine!$B$12:$B$72,$A137+1))),IF($A137&lt;$Q$132,MAX(0,-Assumptions!$B$22*(F137/INDEX(Surface_Engine!$B$12:$B$72,$A137+1))),0)))+2*Assumptions!$B$27*(IF(C137&lt;=0,0,MAX(0,(B137/C137)*G137/INDEX(Surface_Engine!$B$12:$B$72,$A137+1)-F137/INDEX(Surface_Engine!$B$12:$B$72,$A137+1))))*(MAX(0,J137/INDEX(Surface_Engine!$B$12:$B$72,$A137+1)-(F137/INDEX(Surface_Engine!$B$12:$B$72,$A137+1))))+2*Assumptions!$B$28*(MAX(IF(D137&lt;=0,0,MAX(0,(B137/D137)*H137/INDEX(Surface_Engine!$B$12:$B$72,$A137+1)-F137/INDEX(Surface_Engine!$B$12:$B$72,$A137+1))),IF(E137&lt;=0,0,MAX(0,(B137/E137)*I137/INDEX(Surface_Engine!$B$12:$B$72,$A137+1)-F137/INDEX(Surface_Engine!$B$12:$B$72,$A137+1))),IF($A137&lt;$Q$132,MAX(0,-Assumptions!$B$22*(F137/INDEX(Surface_Engine!$B$12:$B$72,$A137+1))),0)))*(MAX(0,J137/INDEX(Surface_Engine!$B$12:$B$72,$A137+1)-(F137/INDEX(Surface_Engine!$B$12:$B$72,$A137+1)))))</f>
        <v>6515.76984822529</v>
      </c>
      <c r="L137" s="48" t="n">
        <f aca="false">K137*INDEX(Surface_Engine!$B$12:$B$72,$A137+1)+L138</f>
        <v>142178.421798105</v>
      </c>
      <c r="M137" s="48" t="n">
        <f aca="false">M136+B136*(IF($A136&lt;$Q$132,(Surface_Engine!L236*12)-(Surface_Engine!L236*12)*INDEX(Surface_Engine!$F$12:$F$72,$A136+1)-INDEX(Surface_Engine!$D$12:$D$72,$A136+1),-(1000*12*INDEX(Surface_Engine!$C$12:$C$72,$A136+1)/(1+Assumptions!$B$10)^25+INDEX(Surface_Engine!$D$12:$D$72,$A136+1))))*INDEX(Surface_Engine!$B$12:$B$72,$A136+1)</f>
        <v>3671.0833201522</v>
      </c>
      <c r="N137" s="12" t="n">
        <f aca="false">IF(B137&lt;=0,0,MAX(0,(K137+Assumptions!$B$29*L137/INDEX(Surface_Engine!$B$12:$B$72,$A137+1)-(M137/INDEX(Surface_Engine!$B$12:$B$72,$A137+1)-(F137/INDEX(Surface_Engine!$B$12:$B$72,$A137+1))))/B137))</f>
        <v>15995.4670110827</v>
      </c>
    </row>
    <row r="138" customFormat="false" ht="15" hidden="false" customHeight="true" outlineLevel="0" collapsed="false">
      <c r="A138" s="1" t="n">
        <v>4</v>
      </c>
      <c r="B138" s="32" t="n">
        <f aca="false">INDEX(Surface_Engine!$G$12:$G$72,$A138+1)*IF($A138&lt;$Q$132,INDEX(Surface_Engine!$E$12:$E$72,$A138+1),INDEX(Surface_Engine!$E$12:$E$72,$Q$132+1))</f>
        <v>0.901796298392175</v>
      </c>
      <c r="C138" s="32" t="n">
        <f aca="false">INDEX(Panel_Reserving!$B$8:$B$68,$A138+1)*IF($A138&lt;$Q$132,INDEX(Surface_Engine!$E$12:$E$72,$A138+1),INDEX(Surface_Engine!$E$12:$E$72,$Q$132+1))</f>
        <v>0.90418373567551</v>
      </c>
      <c r="D138" s="32" t="n">
        <f aca="false">INDEX(Surface_Engine!$G$12:$G$72,$A138+1)*IF($A138&lt;$Q$132,INDEX(Surface_Engine!$Y$12:$Y$72,$A138+1),INDEX(Surface_Engine!$Y$12:$Y$72,$Q$132+1))</f>
        <v>0.861198490212338</v>
      </c>
      <c r="E138" s="32" t="n">
        <f aca="false">INDEX(Surface_Engine!$G$12:$G$72,$A138+1)*IF($A138&lt;$Q$132,INDEX(Surface_Engine!$Z$12:$Z$72,$A138+1),INDEX(Surface_Engine!$Z$12:$Z$72,$Q$132+1))</f>
        <v>0.943683322381046</v>
      </c>
      <c r="F138" s="48" t="n">
        <f aca="false">B138*(IF($A138&lt;$Q$132,INDEX(Surface_Engine!$D$12:$D$72,$A138+1)+(Surface_Engine!L236*12)*INDEX(Surface_Engine!$F$12:$F$72,$A138+1)-(Surface_Engine!L236*12),1000*12*INDEX(Surface_Engine!$C$12:$C$72,$A138+1)/(1+Assumptions!$B$10)^25+INDEX(Surface_Engine!$D$12:$D$72,$A138+1)))*INDEX(Surface_Engine!$B$12:$B$72,$A138+1)+F139</f>
        <v>4437.52162147602</v>
      </c>
      <c r="G138" s="48" t="n">
        <f aca="false">C138*(IF($A138&lt;$Q$132,INDEX(Surface_Engine!$D$12:$D$72,$A138+1)+(Surface_Engine!L236*12)*INDEX(Surface_Engine!$F$12:$F$72,$A138+1)-(Surface_Engine!L236*12),1000*12*INDEX(Surface_Engine!$C$12:$C$72,$A138+1)/(1+Assumptions!$B$10)^25+INDEX(Surface_Engine!$D$12:$D$72,$A138+1)))*INDEX(Surface_Engine!$B$12:$B$72,$A138+1)+G139</f>
        <v>9654.32170418924</v>
      </c>
      <c r="H138" s="48" t="n">
        <f aca="false">D138*(IF($A138&lt;$Q$132,INDEX(Surface_Engine!$D$12:$D$72,$A138+1)+(Surface_Engine!L236*12)*INDEX(Surface_Engine!$F$12:$F$72,$A138+1)-(Surface_Engine!L236*12),1000*12*INDEX(Surface_Engine!$C$12:$C$72,$A138+1)/(1+Assumptions!$B$10)^25+INDEX(Surface_Engine!$D$12:$D$72,$A138+1)))*INDEX(Surface_Engine!$B$12:$B$72,$A138+1)+H139</f>
        <v>2652.88640891528</v>
      </c>
      <c r="I138" s="48" t="n">
        <f aca="false">E138*(IF($A138&lt;$Q$132,INDEX(Surface_Engine!$D$12:$D$72,$A138+1)+(Surface_Engine!L236*12)*INDEX(Surface_Engine!$F$12:$F$72,$A138+1)-(Surface_Engine!L236*12),1000*12*INDEX(Surface_Engine!$C$12:$C$72,$A138+1)/(1+Assumptions!$B$10)^25+INDEX(Surface_Engine!$D$12:$D$72,$A138+1)))*INDEX(Surface_Engine!$B$12:$B$72,$A138+1)+I139</f>
        <v>6589.97478039104</v>
      </c>
      <c r="J138" s="48" t="n">
        <f aca="false">B138*(IF($A138&lt;$Q$132,INDEX(Surface_Engine!$D$12:$D$72,$A138+1)*(1+Assumptions!$B$24)+(Surface_Engine!L236*12)*INDEX(Surface_Engine!$F$12:$F$72,$A138+1)-(Surface_Engine!L236*12),1000*12*INDEX(Surface_Engine!$C$12:$C$72,$A138+1)/(1+Assumptions!$B$10)^25+INDEX(Surface_Engine!$D$12:$D$72,$A138+1)*(1+Assumptions!$B$24)))*INDEX(Surface_Engine!$B$12:$B$72,$A138+1)+J139</f>
        <v>4592.21437590047</v>
      </c>
      <c r="K138" s="12" t="n">
        <f aca="false">SQRT((IF(C138&lt;=0,0,MAX(0,(B138/C138)*G138/INDEX(Surface_Engine!$B$12:$B$72,$A138+1)-F138/INDEX(Surface_Engine!$B$12:$B$72,$A138+1))))^2+(MAX(IF(D138&lt;=0,0,MAX(0,(B138/D138)*H138/INDEX(Surface_Engine!$B$12:$B$72,$A138+1)-F138/INDEX(Surface_Engine!$B$12:$B$72,$A138+1))),IF(E138&lt;=0,0,MAX(0,(B138/E138)*I138/INDEX(Surface_Engine!$B$12:$B$72,$A138+1)-F138/INDEX(Surface_Engine!$B$12:$B$72,$A138+1))),IF($A138&lt;$Q$132,MAX(0,-Assumptions!$B$22*(F138/INDEX(Surface_Engine!$B$12:$B$72,$A138+1))),0)))^2+(MAX(0,J138/INDEX(Surface_Engine!$B$12:$B$72,$A138+1)-(F138/INDEX(Surface_Engine!$B$12:$B$72,$A138+1))))^2+2*Assumptions!$B$26*(IF(C138&lt;=0,0,MAX(0,(B138/C138)*G138/INDEX(Surface_Engine!$B$12:$B$72,$A138+1)-F138/INDEX(Surface_Engine!$B$12:$B$72,$A138+1))))*(MAX(IF(D138&lt;=0,0,MAX(0,(B138/D138)*H138/INDEX(Surface_Engine!$B$12:$B$72,$A138+1)-F138/INDEX(Surface_Engine!$B$12:$B$72,$A138+1))),IF(E138&lt;=0,0,MAX(0,(B138/E138)*I138/INDEX(Surface_Engine!$B$12:$B$72,$A138+1)-F138/INDEX(Surface_Engine!$B$12:$B$72,$A138+1))),IF($A138&lt;$Q$132,MAX(0,-Assumptions!$B$22*(F138/INDEX(Surface_Engine!$B$12:$B$72,$A138+1))),0)))+2*Assumptions!$B$27*(IF(C138&lt;=0,0,MAX(0,(B138/C138)*G138/INDEX(Surface_Engine!$B$12:$B$72,$A138+1)-F138/INDEX(Surface_Engine!$B$12:$B$72,$A138+1))))*(MAX(0,J138/INDEX(Surface_Engine!$B$12:$B$72,$A138+1)-(F138/INDEX(Surface_Engine!$B$12:$B$72,$A138+1))))+2*Assumptions!$B$28*(MAX(IF(D138&lt;=0,0,MAX(0,(B138/D138)*H138/INDEX(Surface_Engine!$B$12:$B$72,$A138+1)-F138/INDEX(Surface_Engine!$B$12:$B$72,$A138+1))),IF(E138&lt;=0,0,MAX(0,(B138/E138)*I138/INDEX(Surface_Engine!$B$12:$B$72,$A138+1)-F138/INDEX(Surface_Engine!$B$12:$B$72,$A138+1))),IF($A138&lt;$Q$132,MAX(0,-Assumptions!$B$22*(F138/INDEX(Surface_Engine!$B$12:$B$72,$A138+1))),0)))*(MAX(0,J138/INDEX(Surface_Engine!$B$12:$B$72,$A138+1)-(F138/INDEX(Surface_Engine!$B$12:$B$72,$A138+1)))))</f>
        <v>6653.47516264731</v>
      </c>
      <c r="L138" s="48" t="n">
        <f aca="false">K138*INDEX(Surface_Engine!$B$12:$B$72,$A138+1)+L139</f>
        <v>136149.787765267</v>
      </c>
      <c r="M138" s="48" t="n">
        <f aca="false">M137+B137*(IF($A137&lt;$Q$132,(Surface_Engine!L236*12)-(Surface_Engine!L236*12)*INDEX(Surface_Engine!$F$12:$F$72,$A137+1)-INDEX(Surface_Engine!$D$12:$D$72,$A137+1),-(1000*12*INDEX(Surface_Engine!$C$12:$C$72,$A137+1)/(1+Assumptions!$B$10)^25+INDEX(Surface_Engine!$D$12:$D$72,$A137+1))))*INDEX(Surface_Engine!$B$12:$B$72,$A137+1)</f>
        <v>5420.37948619542</v>
      </c>
      <c r="N138" s="12" t="n">
        <f aca="false">IF(B138&lt;=0,0,MAX(0,(K138+Assumptions!$B$29*L138/INDEX(Surface_Engine!$B$12:$B$72,$A138+1)-(M138/INDEX(Surface_Engine!$B$12:$B$72,$A138+1)-(F138/INDEX(Surface_Engine!$B$12:$B$72,$A138+1))))/B138))</f>
        <v>16220.7360018626</v>
      </c>
    </row>
    <row r="139" customFormat="false" ht="15" hidden="false" customHeight="true" outlineLevel="0" collapsed="false">
      <c r="A139" s="1" t="n">
        <v>5</v>
      </c>
      <c r="B139" s="32" t="n">
        <f aca="false">INDEX(Surface_Engine!$G$12:$G$72,$A139+1)*IF($A139&lt;$Q$132,INDEX(Surface_Engine!$E$12:$E$72,$A139+1),INDEX(Surface_Engine!$E$12:$E$72,$Q$132+1))</f>
        <v>0.886202752861798</v>
      </c>
      <c r="C139" s="32" t="n">
        <f aca="false">INDEX(Panel_Reserving!$B$8:$B$68,$A139+1)*IF($A139&lt;$Q$132,INDEX(Surface_Engine!$E$12:$E$72,$A139+1),INDEX(Surface_Engine!$E$12:$E$72,$Q$132+1))</f>
        <v>0.889270744331308</v>
      </c>
      <c r="D139" s="32" t="n">
        <f aca="false">INDEX(Surface_Engine!$G$12:$G$72,$A139+1)*IF($A139&lt;$Q$132,INDEX(Surface_Engine!$Y$12:$Y$72,$A139+1),INDEX(Surface_Engine!$Y$12:$Y$72,$Q$132+1))</f>
        <v>0.840603145986252</v>
      </c>
      <c r="E139" s="32" t="n">
        <f aca="false">INDEX(Surface_Engine!$G$12:$G$72,$A139+1)*IF($A139&lt;$Q$132,INDEX(Surface_Engine!$Z$12:$Z$72,$A139+1),INDEX(Surface_Engine!$Z$12:$Z$72,$Q$132+1))</f>
        <v>0.933615587983189</v>
      </c>
      <c r="F139" s="48" t="n">
        <f aca="false">B139*(IF($A139&lt;$Q$132,INDEX(Surface_Engine!$D$12:$D$72,$A139+1)+(Surface_Engine!L236*12)*INDEX(Surface_Engine!$F$12:$F$72,$A139+1)-(Surface_Engine!L236*12),1000*12*INDEX(Surface_Engine!$C$12:$C$72,$A139+1)/(1+Assumptions!$B$10)^25+INDEX(Surface_Engine!$D$12:$D$72,$A139+1)))*INDEX(Surface_Engine!$B$12:$B$72,$A139+1)+F140</f>
        <v>6110.60339188981</v>
      </c>
      <c r="G139" s="48" t="n">
        <f aca="false">C139*(IF($A139&lt;$Q$132,INDEX(Surface_Engine!$D$12:$D$72,$A139+1)+(Surface_Engine!L236*12)*INDEX(Surface_Engine!$F$12:$F$72,$A139+1)-(Surface_Engine!L236*12),1000*12*INDEX(Surface_Engine!$C$12:$C$72,$A139+1)/(1+Assumptions!$B$10)^25+INDEX(Surface_Engine!$D$12:$D$72,$A139+1)))*INDEX(Surface_Engine!$B$12:$B$72,$A139+1)+G140</f>
        <v>11331.8328316584</v>
      </c>
      <c r="H139" s="48" t="n">
        <f aca="false">D139*(IF($A139&lt;$Q$132,INDEX(Surface_Engine!$D$12:$D$72,$A139+1)+(Surface_Engine!L236*12)*INDEX(Surface_Engine!$F$12:$F$72,$A139+1)-(Surface_Engine!L236*12),1000*12*INDEX(Surface_Engine!$C$12:$C$72,$A139+1)/(1+Assumptions!$B$10)^25+INDEX(Surface_Engine!$D$12:$D$72,$A139+1)))*INDEX(Surface_Engine!$B$12:$B$72,$A139+1)+H140</f>
        <v>4250.64800679617</v>
      </c>
      <c r="I139" s="48" t="n">
        <f aca="false">E139*(IF($A139&lt;$Q$132,INDEX(Surface_Engine!$D$12:$D$72,$A139+1)+(Surface_Engine!L236*12)*INDEX(Surface_Engine!$F$12:$F$72,$A139+1)-(Surface_Engine!L236*12),1000*12*INDEX(Surface_Engine!$C$12:$C$72,$A139+1)/(1+Assumptions!$B$10)^25+INDEX(Surface_Engine!$D$12:$D$72,$A139+1)))*INDEX(Surface_Engine!$B$12:$B$72,$A139+1)+I140</f>
        <v>8340.76857554658</v>
      </c>
      <c r="J139" s="48" t="n">
        <f aca="false">B139*(IF($A139&lt;$Q$132,INDEX(Surface_Engine!$D$12:$D$72,$A139+1)*(1+Assumptions!$B$24)+(Surface_Engine!L236*12)*INDEX(Surface_Engine!$F$12:$F$72,$A139+1)-(Surface_Engine!L236*12),1000*12*INDEX(Surface_Engine!$C$12:$C$72,$A139+1)/(1+Assumptions!$B$10)^25+INDEX(Surface_Engine!$D$12:$D$72,$A139+1)*(1+Assumptions!$B$24)))*INDEX(Surface_Engine!$B$12:$B$72,$A139+1)+J140</f>
        <v>6257.94053300458</v>
      </c>
      <c r="K139" s="12" t="n">
        <f aca="false">SQRT((IF(C139&lt;=0,0,MAX(0,(B139/C139)*G139/INDEX(Surface_Engine!$B$12:$B$72,$A139+1)-F139/INDEX(Surface_Engine!$B$12:$B$72,$A139+1))))^2+(MAX(IF(D139&lt;=0,0,MAX(0,(B139/D139)*H139/INDEX(Surface_Engine!$B$12:$B$72,$A139+1)-F139/INDEX(Surface_Engine!$B$12:$B$72,$A139+1))),IF(E139&lt;=0,0,MAX(0,(B139/E139)*I139/INDEX(Surface_Engine!$B$12:$B$72,$A139+1)-F139/INDEX(Surface_Engine!$B$12:$B$72,$A139+1))),IF($A139&lt;$Q$132,MAX(0,-Assumptions!$B$22*(F139/INDEX(Surface_Engine!$B$12:$B$72,$A139+1))),0)))^2+(MAX(0,J139/INDEX(Surface_Engine!$B$12:$B$72,$A139+1)-(F139/INDEX(Surface_Engine!$B$12:$B$72,$A139+1))))^2+2*Assumptions!$B$26*(IF(C139&lt;=0,0,MAX(0,(B139/C139)*G139/INDEX(Surface_Engine!$B$12:$B$72,$A139+1)-F139/INDEX(Surface_Engine!$B$12:$B$72,$A139+1))))*(MAX(IF(D139&lt;=0,0,MAX(0,(B139/D139)*H139/INDEX(Surface_Engine!$B$12:$B$72,$A139+1)-F139/INDEX(Surface_Engine!$B$12:$B$72,$A139+1))),IF(E139&lt;=0,0,MAX(0,(B139/E139)*I139/INDEX(Surface_Engine!$B$12:$B$72,$A139+1)-F139/INDEX(Surface_Engine!$B$12:$B$72,$A139+1))),IF($A139&lt;$Q$132,MAX(0,-Assumptions!$B$22*(F139/INDEX(Surface_Engine!$B$12:$B$72,$A139+1))),0)))+2*Assumptions!$B$27*(IF(C139&lt;=0,0,MAX(0,(B139/C139)*G139/INDEX(Surface_Engine!$B$12:$B$72,$A139+1)-F139/INDEX(Surface_Engine!$B$12:$B$72,$A139+1))))*(MAX(0,J139/INDEX(Surface_Engine!$B$12:$B$72,$A139+1)-(F139/INDEX(Surface_Engine!$B$12:$B$72,$A139+1))))+2*Assumptions!$B$28*(MAX(IF(D139&lt;=0,0,MAX(0,(B139/D139)*H139/INDEX(Surface_Engine!$B$12:$B$72,$A139+1)-F139/INDEX(Surface_Engine!$B$12:$B$72,$A139+1))),IF(E139&lt;=0,0,MAX(0,(B139/E139)*I139/INDEX(Surface_Engine!$B$12:$B$72,$A139+1)-F139/INDEX(Surface_Engine!$B$12:$B$72,$A139+1))),IF($A139&lt;$Q$132,MAX(0,-Assumptions!$B$22*(F139/INDEX(Surface_Engine!$B$12:$B$72,$A139+1))),0)))*(MAX(0,J139/INDEX(Surface_Engine!$B$12:$B$72,$A139+1)-(F139/INDEX(Surface_Engine!$B$12:$B$72,$A139+1)))))</f>
        <v>6793.92212605332</v>
      </c>
      <c r="L139" s="48" t="n">
        <f aca="false">K139*INDEX(Surface_Engine!$B$12:$B$72,$A139+1)+L140</f>
        <v>130153.952837763</v>
      </c>
      <c r="M139" s="48" t="n">
        <f aca="false">M138+B138*(IF($A138&lt;$Q$132,(Surface_Engine!L236*12)-(Surface_Engine!L236*12)*INDEX(Surface_Engine!$F$12:$F$72,$A138+1)-INDEX(Surface_Engine!$D$12:$D$72,$A138+1),-(1000*12*INDEX(Surface_Engine!$C$12:$C$72,$A138+1)/(1+Assumptions!$B$10)^25+INDEX(Surface_Engine!$D$12:$D$72,$A138+1))))*INDEX(Surface_Engine!$B$12:$B$72,$A138+1)</f>
        <v>7093.46125660922</v>
      </c>
      <c r="N139" s="12" t="n">
        <f aca="false">IF(B139&lt;=0,0,MAX(0,(K139+Assumptions!$B$29*L139/INDEX(Surface_Engine!$B$12:$B$72,$A139+1)-(M139/INDEX(Surface_Engine!$B$12:$B$72,$A139+1)-(F139/INDEX(Surface_Engine!$B$12:$B$72,$A139+1))))/B139))</f>
        <v>16453.5995061306</v>
      </c>
    </row>
    <row r="140" customFormat="false" ht="15" hidden="false" customHeight="true" outlineLevel="0" collapsed="false">
      <c r="A140" s="1" t="n">
        <v>6</v>
      </c>
      <c r="B140" s="32" t="n">
        <f aca="false">INDEX(Surface_Engine!$G$12:$G$72,$A140+1)*IF($A140&lt;$Q$132,INDEX(Surface_Engine!$E$12:$E$72,$A140+1),INDEX(Surface_Engine!$E$12:$E$72,$Q$132+1))</f>
        <v>0.874052188827989</v>
      </c>
      <c r="C140" s="32" t="n">
        <f aca="false">INDEX(Panel_Reserving!$B$8:$B$68,$A140+1)*IF($A140&lt;$Q$132,INDEX(Surface_Engine!$E$12:$E$72,$A140+1),INDEX(Surface_Engine!$E$12:$E$72,$Q$132+1))</f>
        <v>0.877898168613168</v>
      </c>
      <c r="D140" s="32" t="n">
        <f aca="false">INDEX(Surface_Engine!$G$12:$G$72,$A140+1)*IF($A140&lt;$Q$132,INDEX(Surface_Engine!$Y$12:$Y$72,$A140+1),INDEX(Surface_Engine!$Y$12:$Y$72,$Q$132+1))</f>
        <v>0.825270842668277</v>
      </c>
      <c r="E140" s="32" t="n">
        <f aca="false">INDEX(Surface_Engine!$G$12:$G$72,$A140+1)*IF($A140&lt;$Q$132,INDEX(Surface_Engine!$Z$12:$Z$72,$A140+1),INDEX(Surface_Engine!$Z$12:$Z$72,$Q$132+1))</f>
        <v>0.925043139754908</v>
      </c>
      <c r="F140" s="48" t="n">
        <f aca="false">B140*(IF($A140&lt;$Q$132,INDEX(Surface_Engine!$D$12:$D$72,$A140+1)+(Surface_Engine!L236*12)*INDEX(Surface_Engine!$F$12:$F$72,$A140+1)-(Surface_Engine!L236*12),1000*12*INDEX(Surface_Engine!$C$12:$C$72,$A140+1)/(1+Assumptions!$B$10)^25+INDEX(Surface_Engine!$D$12:$D$72,$A140+1)))*INDEX(Surface_Engine!$B$12:$B$72,$A140+1)+F141</f>
        <v>7708.19740899414</v>
      </c>
      <c r="G140" s="48" t="n">
        <f aca="false">C140*(IF($A140&lt;$Q$132,INDEX(Surface_Engine!$D$12:$D$72,$A140+1)+(Surface_Engine!L236*12)*INDEX(Surface_Engine!$F$12:$F$72,$A140+1)-(Surface_Engine!L236*12),1000*12*INDEX(Surface_Engine!$C$12:$C$72,$A140+1)/(1+Assumptions!$B$10)^25+INDEX(Surface_Engine!$D$12:$D$72,$A140+1)))*INDEX(Surface_Engine!$B$12:$B$72,$A140+1)+G141</f>
        <v>12934.9576427039</v>
      </c>
      <c r="H140" s="48" t="n">
        <f aca="false">D140*(IF($A140&lt;$Q$132,INDEX(Surface_Engine!$D$12:$D$72,$A140+1)+(Surface_Engine!L236*12)*INDEX(Surface_Engine!$F$12:$F$72,$A140+1)-(Surface_Engine!L236*12),1000*12*INDEX(Surface_Engine!$C$12:$C$72,$A140+1)/(1+Assumptions!$B$10)^25+INDEX(Surface_Engine!$D$12:$D$72,$A140+1)))*INDEX(Surface_Engine!$B$12:$B$72,$A140+1)+H141</f>
        <v>5766.03774402049</v>
      </c>
      <c r="I140" s="48" t="n">
        <f aca="false">E140*(IF($A140&lt;$Q$132,INDEX(Surface_Engine!$D$12:$D$72,$A140+1)+(Surface_Engine!L236*12)*INDEX(Surface_Engine!$F$12:$F$72,$A140+1)-(Surface_Engine!L236*12),1000*12*INDEX(Surface_Engine!$C$12:$C$72,$A140+1)/(1+Assumptions!$B$10)^25+INDEX(Surface_Engine!$D$12:$D$72,$A140+1)))*INDEX(Surface_Engine!$B$12:$B$72,$A140+1)+I141</f>
        <v>10023.8356533916</v>
      </c>
      <c r="J140" s="48" t="n">
        <f aca="false">B140*(IF($A140&lt;$Q$132,INDEX(Surface_Engine!$D$12:$D$72,$A140+1)*(1+Assumptions!$B$24)+(Surface_Engine!L236*12)*INDEX(Surface_Engine!$F$12:$F$72,$A140+1)-(Surface_Engine!L236*12),1000*12*INDEX(Surface_Engine!$C$12:$C$72,$A140+1)/(1+Assumptions!$B$10)^25+INDEX(Surface_Engine!$D$12:$D$72,$A140+1)*(1+Assumptions!$B$24)))*INDEX(Surface_Engine!$B$12:$B$72,$A140+1)+J141</f>
        <v>7848.32729965579</v>
      </c>
      <c r="K140" s="12" t="n">
        <f aca="false">SQRT((IF(C140&lt;=0,0,MAX(0,(B140/C140)*G140/INDEX(Surface_Engine!$B$12:$B$72,$A140+1)-F140/INDEX(Surface_Engine!$B$12:$B$72,$A140+1))))^2+(MAX(IF(D140&lt;=0,0,MAX(0,(B140/D140)*H140/INDEX(Surface_Engine!$B$12:$B$72,$A140+1)-F140/INDEX(Surface_Engine!$B$12:$B$72,$A140+1))),IF(E140&lt;=0,0,MAX(0,(B140/E140)*I140/INDEX(Surface_Engine!$B$12:$B$72,$A140+1)-F140/INDEX(Surface_Engine!$B$12:$B$72,$A140+1))),IF($A140&lt;$Q$132,MAX(0,-Assumptions!$B$22*(F140/INDEX(Surface_Engine!$B$12:$B$72,$A140+1))),0)))^2+(MAX(0,J140/INDEX(Surface_Engine!$B$12:$B$72,$A140+1)-(F140/INDEX(Surface_Engine!$B$12:$B$72,$A140+1))))^2+2*Assumptions!$B$26*(IF(C140&lt;=0,0,MAX(0,(B140/C140)*G140/INDEX(Surface_Engine!$B$12:$B$72,$A140+1)-F140/INDEX(Surface_Engine!$B$12:$B$72,$A140+1))))*(MAX(IF(D140&lt;=0,0,MAX(0,(B140/D140)*H140/INDEX(Surface_Engine!$B$12:$B$72,$A140+1)-F140/INDEX(Surface_Engine!$B$12:$B$72,$A140+1))),IF(E140&lt;=0,0,MAX(0,(B140/E140)*I140/INDEX(Surface_Engine!$B$12:$B$72,$A140+1)-F140/INDEX(Surface_Engine!$B$12:$B$72,$A140+1))),IF($A140&lt;$Q$132,MAX(0,-Assumptions!$B$22*(F140/INDEX(Surface_Engine!$B$12:$B$72,$A140+1))),0)))+2*Assumptions!$B$27*(IF(C140&lt;=0,0,MAX(0,(B140/C140)*G140/INDEX(Surface_Engine!$B$12:$B$72,$A140+1)-F140/INDEX(Surface_Engine!$B$12:$B$72,$A140+1))))*(MAX(0,J140/INDEX(Surface_Engine!$B$12:$B$72,$A140+1)-(F140/INDEX(Surface_Engine!$B$12:$B$72,$A140+1))))+2*Assumptions!$B$28*(MAX(IF(D140&lt;=0,0,MAX(0,(B140/D140)*H140/INDEX(Surface_Engine!$B$12:$B$72,$A140+1)-F140/INDEX(Surface_Engine!$B$12:$B$72,$A140+1))),IF(E140&lt;=0,0,MAX(0,(B140/E140)*I140/INDEX(Surface_Engine!$B$12:$B$72,$A140+1)-F140/INDEX(Surface_Engine!$B$12:$B$72,$A140+1))),IF($A140&lt;$Q$132,MAX(0,-Assumptions!$B$22*(F140/INDEX(Surface_Engine!$B$12:$B$72,$A140+1))),0)))*(MAX(0,J140/INDEX(Surface_Engine!$B$12:$B$72,$A140+1)-(F140/INDEX(Surface_Engine!$B$12:$B$72,$A140+1)))))</f>
        <v>6946.46729118477</v>
      </c>
      <c r="L140" s="48" t="n">
        <f aca="false">K140*INDEX(Surface_Engine!$B$12:$B$72,$A140+1)+L141</f>
        <v>124198.375007743</v>
      </c>
      <c r="M140" s="48" t="n">
        <f aca="false">M139+B139*(IF($A139&lt;$Q$132,(Surface_Engine!L236*12)-(Surface_Engine!L236*12)*INDEX(Surface_Engine!$F$12:$F$72,$A139+1)-INDEX(Surface_Engine!$D$12:$D$72,$A139+1),-(1000*12*INDEX(Surface_Engine!$C$12:$C$72,$A139+1)/(1+Assumptions!$B$10)^25+INDEX(Surface_Engine!$D$12:$D$72,$A139+1))))*INDEX(Surface_Engine!$B$12:$B$72,$A139+1)</f>
        <v>8691.05527371354</v>
      </c>
      <c r="N140" s="12" t="n">
        <f aca="false">IF(B140&lt;=0,0,MAX(0,(K140+Assumptions!$B$29*L140/INDEX(Surface_Engine!$B$12:$B$72,$A140+1)-(M140/INDEX(Surface_Engine!$B$12:$B$72,$A140+1)-(F140/INDEX(Surface_Engine!$B$12:$B$72,$A140+1))))/B140))</f>
        <v>16634.5856247471</v>
      </c>
    </row>
    <row r="141" customFormat="false" ht="15" hidden="false" customHeight="true" outlineLevel="0" collapsed="false">
      <c r="A141" s="1" t="n">
        <v>7</v>
      </c>
      <c r="B141" s="32" t="n">
        <f aca="false">INDEX(Surface_Engine!$G$12:$G$72,$A141+1)*IF($A141&lt;$Q$132,INDEX(Surface_Engine!$E$12:$E$72,$A141+1),INDEX(Surface_Engine!$E$12:$E$72,$Q$132+1))</f>
        <v>0.861675798625979</v>
      </c>
      <c r="C141" s="32" t="n">
        <f aca="false">INDEX(Panel_Reserving!$B$8:$B$68,$A141+1)*IF($A141&lt;$Q$132,INDEX(Surface_Engine!$E$12:$E$72,$A141+1),INDEX(Surface_Engine!$E$12:$E$72,$Q$132+1))</f>
        <v>0.866355715190251</v>
      </c>
      <c r="D141" s="32" t="n">
        <f aca="false">INDEX(Surface_Engine!$G$12:$G$72,$A141+1)*IF($A141&lt;$Q$132,INDEX(Surface_Engine!$Y$12:$Y$72,$A141+1),INDEX(Surface_Engine!$Y$12:$Y$72,$Q$132+1))</f>
        <v>0.809849377339046</v>
      </c>
      <c r="E141" s="32" t="n">
        <f aca="false">INDEX(Surface_Engine!$G$12:$G$72,$A141+1)*IF($A141&lt;$Q$132,INDEX(Surface_Engine!$Z$12:$Z$72,$A141+1),INDEX(Surface_Engine!$Z$12:$Z$72,$Q$132+1))</f>
        <v>0.916132183051795</v>
      </c>
      <c r="F141" s="48" t="n">
        <f aca="false">B141*(IF($A141&lt;$Q$132,INDEX(Surface_Engine!$D$12:$D$72,$A141+1)+(Surface_Engine!L236*12)*INDEX(Surface_Engine!$F$12:$F$72,$A141+1)-(Surface_Engine!L236*12),1000*12*INDEX(Surface_Engine!$C$12:$C$72,$A141+1)/(1+Assumptions!$B$10)^25+INDEX(Surface_Engine!$D$12:$D$72,$A141+1)))*INDEX(Surface_Engine!$B$12:$B$72,$A141+1)+F142</f>
        <v>9237.88370624771</v>
      </c>
      <c r="G141" s="48" t="n">
        <f aca="false">C141*(IF($A141&lt;$Q$132,INDEX(Surface_Engine!$D$12:$D$72,$A141+1)+(Surface_Engine!L236*12)*INDEX(Surface_Engine!$F$12:$F$72,$A141+1)-(Surface_Engine!L236*12),1000*12*INDEX(Surface_Engine!$C$12:$C$72,$A141+1)/(1+Assumptions!$B$10)^25+INDEX(Surface_Engine!$D$12:$D$72,$A141+1)))*INDEX(Surface_Engine!$B$12:$B$72,$A141+1)+G142</f>
        <v>14471.3748224518</v>
      </c>
      <c r="H141" s="48" t="n">
        <f aca="false">D141*(IF($A141&lt;$Q$132,INDEX(Surface_Engine!$D$12:$D$72,$A141+1)+(Surface_Engine!L236*12)*INDEX(Surface_Engine!$F$12:$F$72,$A141+1)-(Surface_Engine!L236*12),1000*12*INDEX(Surface_Engine!$C$12:$C$72,$A141+1)/(1+Assumptions!$B$10)^25+INDEX(Surface_Engine!$D$12:$D$72,$A141+1)))*INDEX(Surface_Engine!$B$12:$B$72,$A141+1)+H142</f>
        <v>7210.35138534358</v>
      </c>
      <c r="I141" s="48" t="n">
        <f aca="false">E141*(IF($A141&lt;$Q$132,INDEX(Surface_Engine!$D$12:$D$72,$A141+1)+(Surface_Engine!L236*12)*INDEX(Surface_Engine!$F$12:$F$72,$A141+1)-(Surface_Engine!L236*12),1000*12*INDEX(Surface_Engine!$C$12:$C$72,$A141+1)/(1+Assumptions!$B$10)^25+INDEX(Surface_Engine!$D$12:$D$72,$A141+1)))*INDEX(Surface_Engine!$B$12:$B$72,$A141+1)+I142</f>
        <v>11642.7616549944</v>
      </c>
      <c r="J141" s="48" t="n">
        <f aca="false">B141*(IF($A141&lt;$Q$132,INDEX(Surface_Engine!$D$12:$D$72,$A141+1)*(1+Assumptions!$B$24)+(Surface_Engine!L236*12)*INDEX(Surface_Engine!$F$12:$F$72,$A141+1)-(Surface_Engine!L236*12),1000*12*INDEX(Surface_Engine!$C$12:$C$72,$A141+1)/(1+Assumptions!$B$10)^25+INDEX(Surface_Engine!$D$12:$D$72,$A141+1)*(1+Assumptions!$B$24)))*INDEX(Surface_Engine!$B$12:$B$72,$A141+1)+J142</f>
        <v>9370.93219054976</v>
      </c>
      <c r="K141" s="12" t="n">
        <f aca="false">SQRT((IF(C141&lt;=0,0,MAX(0,(B141/C141)*G141/INDEX(Surface_Engine!$B$12:$B$72,$A141+1)-F141/INDEX(Surface_Engine!$B$12:$B$72,$A141+1))))^2+(MAX(IF(D141&lt;=0,0,MAX(0,(B141/D141)*H141/INDEX(Surface_Engine!$B$12:$B$72,$A141+1)-F141/INDEX(Surface_Engine!$B$12:$B$72,$A141+1))),IF(E141&lt;=0,0,MAX(0,(B141/E141)*I141/INDEX(Surface_Engine!$B$12:$B$72,$A141+1)-F141/INDEX(Surface_Engine!$B$12:$B$72,$A141+1))),IF($A141&lt;$Q$132,MAX(0,-Assumptions!$B$22*(F141/INDEX(Surface_Engine!$B$12:$B$72,$A141+1))),0)))^2+(MAX(0,J141/INDEX(Surface_Engine!$B$12:$B$72,$A141+1)-(F141/INDEX(Surface_Engine!$B$12:$B$72,$A141+1))))^2+2*Assumptions!$B$26*(IF(C141&lt;=0,0,MAX(0,(B141/C141)*G141/INDEX(Surface_Engine!$B$12:$B$72,$A141+1)-F141/INDEX(Surface_Engine!$B$12:$B$72,$A141+1))))*(MAX(IF(D141&lt;=0,0,MAX(0,(B141/D141)*H141/INDEX(Surface_Engine!$B$12:$B$72,$A141+1)-F141/INDEX(Surface_Engine!$B$12:$B$72,$A141+1))),IF(E141&lt;=0,0,MAX(0,(B141/E141)*I141/INDEX(Surface_Engine!$B$12:$B$72,$A141+1)-F141/INDEX(Surface_Engine!$B$12:$B$72,$A141+1))),IF($A141&lt;$Q$132,MAX(0,-Assumptions!$B$22*(F141/INDEX(Surface_Engine!$B$12:$B$72,$A141+1))),0)))+2*Assumptions!$B$27*(IF(C141&lt;=0,0,MAX(0,(B141/C141)*G141/INDEX(Surface_Engine!$B$12:$B$72,$A141+1)-F141/INDEX(Surface_Engine!$B$12:$B$72,$A141+1))))*(MAX(0,J141/INDEX(Surface_Engine!$B$12:$B$72,$A141+1)-(F141/INDEX(Surface_Engine!$B$12:$B$72,$A141+1))))+2*Assumptions!$B$28*(MAX(IF(D141&lt;=0,0,MAX(0,(B141/D141)*H141/INDEX(Surface_Engine!$B$12:$B$72,$A141+1)-F141/INDEX(Surface_Engine!$B$12:$B$72,$A141+1))),IF(E141&lt;=0,0,MAX(0,(B141/E141)*I141/INDEX(Surface_Engine!$B$12:$B$72,$A141+1)-F141/INDEX(Surface_Engine!$B$12:$B$72,$A141+1))),IF($A141&lt;$Q$132,MAX(0,-Assumptions!$B$22*(F141/INDEX(Surface_Engine!$B$12:$B$72,$A141+1))),0)))*(MAX(0,J141/INDEX(Surface_Engine!$B$12:$B$72,$A141+1)-(F141/INDEX(Surface_Engine!$B$12:$B$72,$A141+1)))))</f>
        <v>7103.53399086452</v>
      </c>
      <c r="L141" s="48" t="n">
        <f aca="false">K141*INDEX(Surface_Engine!$B$12:$B$72,$A141+1)+L142</f>
        <v>118280.182302913</v>
      </c>
      <c r="M141" s="48" t="n">
        <f aca="false">M140+B140*(IF($A140&lt;$Q$132,(Surface_Engine!L236*12)-(Surface_Engine!L236*12)*INDEX(Surface_Engine!$F$12:$F$72,$A140+1)-INDEX(Surface_Engine!$D$12:$D$72,$A140+1),-(1000*12*INDEX(Surface_Engine!$C$12:$C$72,$A140+1)/(1+Assumptions!$B$10)^25+INDEX(Surface_Engine!$D$12:$D$72,$A140+1))))*INDEX(Surface_Engine!$B$12:$B$72,$A140+1)</f>
        <v>10220.7415709671</v>
      </c>
      <c r="N141" s="12" t="n">
        <f aca="false">IF(B141&lt;=0,0,MAX(0,(K141+Assumptions!$B$29*L141/INDEX(Surface_Engine!$B$12:$B$72,$A141+1)-(M141/INDEX(Surface_Engine!$B$12:$B$72,$A141+1)-(F141/INDEX(Surface_Engine!$B$12:$B$72,$A141+1))))/B141))</f>
        <v>16823.1427426647</v>
      </c>
    </row>
    <row r="142" customFormat="false" ht="15" hidden="false" customHeight="true" outlineLevel="0" collapsed="false">
      <c r="A142" s="1" t="n">
        <v>8</v>
      </c>
      <c r="B142" s="32" t="n">
        <f aca="false">INDEX(Surface_Engine!$G$12:$G$72,$A142+1)*IF($A142&lt;$Q$132,INDEX(Surface_Engine!$E$12:$E$72,$A142+1),INDEX(Surface_Engine!$E$12:$E$72,$Q$132+1))</f>
        <v>0.849037015354748</v>
      </c>
      <c r="C142" s="32" t="n">
        <f aca="false">INDEX(Panel_Reserving!$B$8:$B$68,$A142+1)*IF($A142&lt;$Q$132,INDEX(Surface_Engine!$E$12:$E$72,$A142+1),INDEX(Surface_Engine!$E$12:$E$72,$Q$132+1))</f>
        <v>0.854613006363728</v>
      </c>
      <c r="D142" s="32" t="n">
        <f aca="false">INDEX(Surface_Engine!$G$12:$G$72,$A142+1)*IF($A142&lt;$Q$132,INDEX(Surface_Engine!$Y$12:$Y$72,$A142+1),INDEX(Surface_Engine!$Y$12:$Y$72,$Q$132+1))</f>
        <v>0.794306656938183</v>
      </c>
      <c r="E142" s="32" t="n">
        <f aca="false">INDEX(Surface_Engine!$G$12:$G$72,$A142+1)*IF($A142&lt;$Q$132,INDEX(Surface_Engine!$Z$12:$Z$72,$A142+1),INDEX(Surface_Engine!$Z$12:$Z$72,$Q$132+1))</f>
        <v>0.906839631041542</v>
      </c>
      <c r="F142" s="48" t="n">
        <f aca="false">B142*(IF($A142&lt;$Q$132,INDEX(Surface_Engine!$D$12:$D$72,$A142+1)+(Surface_Engine!L236*12)*INDEX(Surface_Engine!$F$12:$F$72,$A142+1)-(Surface_Engine!L236*12),1000*12*INDEX(Surface_Engine!$C$12:$C$72,$A142+1)/(1+Assumptions!$B$10)^25+INDEX(Surface_Engine!$D$12:$D$72,$A142+1)))*INDEX(Surface_Engine!$B$12:$B$72,$A142+1)+F143</f>
        <v>10700.0880606564</v>
      </c>
      <c r="G142" s="48" t="n">
        <f aca="false">C142*(IF($A142&lt;$Q$132,INDEX(Surface_Engine!$D$12:$D$72,$A142+1)+(Surface_Engine!L236*12)*INDEX(Surface_Engine!$F$12:$F$72,$A142+1)-(Surface_Engine!L236*12),1000*12*INDEX(Surface_Engine!$C$12:$C$72,$A142+1)/(1+Assumptions!$B$10)^25+INDEX(Surface_Engine!$D$12:$D$72,$A142+1)))*INDEX(Surface_Engine!$B$12:$B$72,$A142+1)+G143</f>
        <v>15941.5206722459</v>
      </c>
      <c r="H142" s="48" t="n">
        <f aca="false">D142*(IF($A142&lt;$Q$132,INDEX(Surface_Engine!$D$12:$D$72,$A142+1)+(Surface_Engine!L236*12)*INDEX(Surface_Engine!$F$12:$F$72,$A142+1)-(Surface_Engine!L236*12),1000*12*INDEX(Surface_Engine!$C$12:$C$72,$A142+1)/(1+Assumptions!$B$10)^25+INDEX(Surface_Engine!$D$12:$D$72,$A142+1)))*INDEX(Surface_Engine!$B$12:$B$72,$A142+1)+H143</f>
        <v>8584.60988006813</v>
      </c>
      <c r="I142" s="48" t="n">
        <f aca="false">E142*(IF($A142&lt;$Q$132,INDEX(Surface_Engine!$D$12:$D$72,$A142+1)+(Surface_Engine!L236*12)*INDEX(Surface_Engine!$F$12:$F$72,$A142+1)-(Surface_Engine!L236*12),1000*12*INDEX(Surface_Engine!$C$12:$C$72,$A142+1)/(1+Assumptions!$B$10)^25+INDEX(Surface_Engine!$D$12:$D$72,$A142+1)))*INDEX(Surface_Engine!$B$12:$B$72,$A142+1)+I143</f>
        <v>13197.3747350047</v>
      </c>
      <c r="J142" s="48" t="n">
        <f aca="false">B142*(IF($A142&lt;$Q$132,INDEX(Surface_Engine!$D$12:$D$72,$A142+1)*(1+Assumptions!$B$24)+(Surface_Engine!L236*12)*INDEX(Surface_Engine!$F$12:$F$72,$A142+1)-(Surface_Engine!L236*12),1000*12*INDEX(Surface_Engine!$C$12:$C$72,$A142+1)/(1+Assumptions!$B$10)^25+INDEX(Surface_Engine!$D$12:$D$72,$A142+1)*(1+Assumptions!$B$24)))*INDEX(Surface_Engine!$B$12:$B$72,$A142+1)+J143</f>
        <v>10826.1902696579</v>
      </c>
      <c r="K142" s="12" t="n">
        <f aca="false">SQRT((IF(C142&lt;=0,0,MAX(0,(B142/C142)*G142/INDEX(Surface_Engine!$B$12:$B$72,$A142+1)-F142/INDEX(Surface_Engine!$B$12:$B$72,$A142+1))))^2+(MAX(IF(D142&lt;=0,0,MAX(0,(B142/D142)*H142/INDEX(Surface_Engine!$B$12:$B$72,$A142+1)-F142/INDEX(Surface_Engine!$B$12:$B$72,$A142+1))),IF(E142&lt;=0,0,MAX(0,(B142/E142)*I142/INDEX(Surface_Engine!$B$12:$B$72,$A142+1)-F142/INDEX(Surface_Engine!$B$12:$B$72,$A142+1))),IF($A142&lt;$Q$132,MAX(0,-Assumptions!$B$22*(F142/INDEX(Surface_Engine!$B$12:$B$72,$A142+1))),0)))^2+(MAX(0,J142/INDEX(Surface_Engine!$B$12:$B$72,$A142+1)-(F142/INDEX(Surface_Engine!$B$12:$B$72,$A142+1))))^2+2*Assumptions!$B$26*(IF(C142&lt;=0,0,MAX(0,(B142/C142)*G142/INDEX(Surface_Engine!$B$12:$B$72,$A142+1)-F142/INDEX(Surface_Engine!$B$12:$B$72,$A142+1))))*(MAX(IF(D142&lt;=0,0,MAX(0,(B142/D142)*H142/INDEX(Surface_Engine!$B$12:$B$72,$A142+1)-F142/INDEX(Surface_Engine!$B$12:$B$72,$A142+1))),IF(E142&lt;=0,0,MAX(0,(B142/E142)*I142/INDEX(Surface_Engine!$B$12:$B$72,$A142+1)-F142/INDEX(Surface_Engine!$B$12:$B$72,$A142+1))),IF($A142&lt;$Q$132,MAX(0,-Assumptions!$B$22*(F142/INDEX(Surface_Engine!$B$12:$B$72,$A142+1))),0)))+2*Assumptions!$B$27*(IF(C142&lt;=0,0,MAX(0,(B142/C142)*G142/INDEX(Surface_Engine!$B$12:$B$72,$A142+1)-F142/INDEX(Surface_Engine!$B$12:$B$72,$A142+1))))*(MAX(0,J142/INDEX(Surface_Engine!$B$12:$B$72,$A142+1)-(F142/INDEX(Surface_Engine!$B$12:$B$72,$A142+1))))+2*Assumptions!$B$28*(MAX(IF(D142&lt;=0,0,MAX(0,(B142/D142)*H142/INDEX(Surface_Engine!$B$12:$B$72,$A142+1)-F142/INDEX(Surface_Engine!$B$12:$B$72,$A142+1))),IF(E142&lt;=0,0,MAX(0,(B142/E142)*I142/INDEX(Surface_Engine!$B$12:$B$72,$A142+1)-F142/INDEX(Surface_Engine!$B$12:$B$72,$A142+1))),IF($A142&lt;$Q$132,MAX(0,-Assumptions!$B$22*(F142/INDEX(Surface_Engine!$B$12:$B$72,$A142+1))),0)))*(MAX(0,J142/INDEX(Surface_Engine!$B$12:$B$72,$A142+1)-(F142/INDEX(Surface_Engine!$B$12:$B$72,$A142+1)))))</f>
        <v>7264.78042890962</v>
      </c>
      <c r="L142" s="48" t="n">
        <f aca="false">K142*INDEX(Surface_Engine!$B$12:$B$72,$A142+1)+L143</f>
        <v>112405.266469573</v>
      </c>
      <c r="M142" s="48" t="n">
        <f aca="false">M141+B141*(IF($A141&lt;$Q$132,(Surface_Engine!L236*12)-(Surface_Engine!L236*12)*INDEX(Surface_Engine!$F$12:$F$72,$A141+1)-INDEX(Surface_Engine!$D$12:$D$72,$A141+1),-(1000*12*INDEX(Surface_Engine!$C$12:$C$72,$A141+1)/(1+Assumptions!$B$10)^25+INDEX(Surface_Engine!$D$12:$D$72,$A141+1))))*INDEX(Surface_Engine!$B$12:$B$72,$A141+1)</f>
        <v>11682.9459253758</v>
      </c>
      <c r="N142" s="12" t="n">
        <f aca="false">IF(B142&lt;=0,0,MAX(0,(K142+Assumptions!$B$29*L142/INDEX(Surface_Engine!$B$12:$B$72,$A142+1)-(M142/INDEX(Surface_Engine!$B$12:$B$72,$A142+1)-(F142/INDEX(Surface_Engine!$B$12:$B$72,$A142+1))))/B142))</f>
        <v>17018.6908818459</v>
      </c>
    </row>
    <row r="143" customFormat="false" ht="15" hidden="false" customHeight="true" outlineLevel="0" collapsed="false">
      <c r="A143" s="1" t="n">
        <v>9</v>
      </c>
      <c r="B143" s="32" t="n">
        <f aca="false">INDEX(Surface_Engine!$G$12:$G$72,$A143+1)*IF($A143&lt;$Q$132,INDEX(Surface_Engine!$E$12:$E$72,$A143+1),INDEX(Surface_Engine!$E$12:$E$72,$Q$132+1))</f>
        <v>0.836096678851343</v>
      </c>
      <c r="C143" s="32" t="n">
        <f aca="false">INDEX(Panel_Reserving!$B$8:$B$68,$A143+1)*IF($A143&lt;$Q$132,INDEX(Surface_Engine!$E$12:$E$72,$A143+1),INDEX(Surface_Engine!$E$12:$E$72,$Q$132+1))</f>
        <v>0.842637353688004</v>
      </c>
      <c r="D143" s="32" t="n">
        <f aca="false">INDEX(Surface_Engine!$G$12:$G$72,$A143+1)*IF($A143&lt;$Q$132,INDEX(Surface_Engine!$Y$12:$Y$72,$A143+1),INDEX(Surface_Engine!$Y$12:$Y$72,$Q$132+1))</f>
        <v>0.77860877975083</v>
      </c>
      <c r="E143" s="32" t="n">
        <f aca="false">INDEX(Surface_Engine!$G$12:$G$72,$A143+1)*IF($A143&lt;$Q$132,INDEX(Surface_Engine!$Z$12:$Z$72,$A143+1),INDEX(Surface_Engine!$Z$12:$Z$72,$Q$132+1))</f>
        <v>0.897118862068647</v>
      </c>
      <c r="F143" s="48" t="n">
        <f aca="false">B143*(IF($A143&lt;$Q$132,INDEX(Surface_Engine!$D$12:$D$72,$A143+1)+(Surface_Engine!L236*12)*INDEX(Surface_Engine!$F$12:$F$72,$A143+1)-(Surface_Engine!L236*12),1000*12*INDEX(Surface_Engine!$C$12:$C$72,$A143+1)/(1+Assumptions!$B$10)^25+INDEX(Surface_Engine!$D$12:$D$72,$A143+1)))*INDEX(Surface_Engine!$B$12:$B$72,$A143+1)+F144</f>
        <v>12095.3964414892</v>
      </c>
      <c r="G143" s="48" t="n">
        <f aca="false">C143*(IF($A143&lt;$Q$132,INDEX(Surface_Engine!$D$12:$D$72,$A143+1)+(Surface_Engine!L236*12)*INDEX(Surface_Engine!$F$12:$F$72,$A143+1)-(Surface_Engine!L236*12),1000*12*INDEX(Surface_Engine!$C$12:$C$72,$A143+1)/(1+Assumptions!$B$10)^25+INDEX(Surface_Engine!$D$12:$D$72,$A143+1)))*INDEX(Surface_Engine!$B$12:$B$72,$A143+1)+G144</f>
        <v>17345.9926429407</v>
      </c>
      <c r="H143" s="48" t="n">
        <f aca="false">D143*(IF($A143&lt;$Q$132,INDEX(Surface_Engine!$D$12:$D$72,$A143+1)+(Surface_Engine!L236*12)*INDEX(Surface_Engine!$F$12:$F$72,$A143+1)-(Surface_Engine!L236*12),1000*12*INDEX(Surface_Engine!$C$12:$C$72,$A143+1)/(1+Assumptions!$B$10)^25+INDEX(Surface_Engine!$D$12:$D$72,$A143+1)))*INDEX(Surface_Engine!$B$12:$B$72,$A143+1)+H144</f>
        <v>9889.97432865357</v>
      </c>
      <c r="I143" s="48" t="n">
        <f aca="false">E143*(IF($A143&lt;$Q$132,INDEX(Surface_Engine!$D$12:$D$72,$A143+1)+(Surface_Engine!L236*12)*INDEX(Surface_Engine!$F$12:$F$72,$A143+1)-(Surface_Engine!L236*12),1000*12*INDEX(Surface_Engine!$C$12:$C$72,$A143+1)/(1+Assumptions!$B$10)^25+INDEX(Surface_Engine!$D$12:$D$72,$A143+1)))*INDEX(Surface_Engine!$B$12:$B$72,$A143+1)+I144</f>
        <v>14687.6759991197</v>
      </c>
      <c r="J143" s="48" t="n">
        <f aca="false">B143*(IF($A143&lt;$Q$132,INDEX(Surface_Engine!$D$12:$D$72,$A143+1)*(1+Assumptions!$B$24)+(Surface_Engine!L236*12)*INDEX(Surface_Engine!$F$12:$F$72,$A143+1)-(Surface_Engine!L236*12),1000*12*INDEX(Surface_Engine!$C$12:$C$72,$A143+1)/(1+Assumptions!$B$10)^25+INDEX(Surface_Engine!$D$12:$D$72,$A143+1)*(1+Assumptions!$B$24)))*INDEX(Surface_Engine!$B$12:$B$72,$A143+1)+J144</f>
        <v>12214.6963771752</v>
      </c>
      <c r="K143" s="12" t="n">
        <f aca="false">SQRT((IF(C143&lt;=0,0,MAX(0,(B143/C143)*G143/INDEX(Surface_Engine!$B$12:$B$72,$A143+1)-F143/INDEX(Surface_Engine!$B$12:$B$72,$A143+1))))^2+(MAX(IF(D143&lt;=0,0,MAX(0,(B143/D143)*H143/INDEX(Surface_Engine!$B$12:$B$72,$A143+1)-F143/INDEX(Surface_Engine!$B$12:$B$72,$A143+1))),IF(E143&lt;=0,0,MAX(0,(B143/E143)*I143/INDEX(Surface_Engine!$B$12:$B$72,$A143+1)-F143/INDEX(Surface_Engine!$B$12:$B$72,$A143+1))),IF($A143&lt;$Q$132,MAX(0,-Assumptions!$B$22*(F143/INDEX(Surface_Engine!$B$12:$B$72,$A143+1))),0)))^2+(MAX(0,J143/INDEX(Surface_Engine!$B$12:$B$72,$A143+1)-(F143/INDEX(Surface_Engine!$B$12:$B$72,$A143+1))))^2+2*Assumptions!$B$26*(IF(C143&lt;=0,0,MAX(0,(B143/C143)*G143/INDEX(Surface_Engine!$B$12:$B$72,$A143+1)-F143/INDEX(Surface_Engine!$B$12:$B$72,$A143+1))))*(MAX(IF(D143&lt;=0,0,MAX(0,(B143/D143)*H143/INDEX(Surface_Engine!$B$12:$B$72,$A143+1)-F143/INDEX(Surface_Engine!$B$12:$B$72,$A143+1))),IF(E143&lt;=0,0,MAX(0,(B143/E143)*I143/INDEX(Surface_Engine!$B$12:$B$72,$A143+1)-F143/INDEX(Surface_Engine!$B$12:$B$72,$A143+1))),IF($A143&lt;$Q$132,MAX(0,-Assumptions!$B$22*(F143/INDEX(Surface_Engine!$B$12:$B$72,$A143+1))),0)))+2*Assumptions!$B$27*(IF(C143&lt;=0,0,MAX(0,(B143/C143)*G143/INDEX(Surface_Engine!$B$12:$B$72,$A143+1)-F143/INDEX(Surface_Engine!$B$12:$B$72,$A143+1))))*(MAX(0,J143/INDEX(Surface_Engine!$B$12:$B$72,$A143+1)-(F143/INDEX(Surface_Engine!$B$12:$B$72,$A143+1))))+2*Assumptions!$B$28*(MAX(IF(D143&lt;=0,0,MAX(0,(B143/D143)*H143/INDEX(Surface_Engine!$B$12:$B$72,$A143+1)-F143/INDEX(Surface_Engine!$B$12:$B$72,$A143+1))),IF(E143&lt;=0,0,MAX(0,(B143/E143)*I143/INDEX(Surface_Engine!$B$12:$B$72,$A143+1)-F143/INDEX(Surface_Engine!$B$12:$B$72,$A143+1))),IF($A143&lt;$Q$132,MAX(0,-Assumptions!$B$22*(F143/INDEX(Surface_Engine!$B$12:$B$72,$A143+1))),0)))*(MAX(0,J143/INDEX(Surface_Engine!$B$12:$B$72,$A143+1)-(F143/INDEX(Surface_Engine!$B$12:$B$72,$A143+1)))))</f>
        <v>7428.86054753236</v>
      </c>
      <c r="L143" s="48" t="n">
        <f aca="false">K143*INDEX(Surface_Engine!$B$12:$B$72,$A143+1)+L144</f>
        <v>106579.605986347</v>
      </c>
      <c r="M143" s="48" t="n">
        <f aca="false">M142+B142*(IF($A142&lt;$Q$132,(Surface_Engine!L236*12)-(Surface_Engine!L236*12)*INDEX(Surface_Engine!$F$12:$F$72,$A142+1)-INDEX(Surface_Engine!$D$12:$D$72,$A142+1),-(1000*12*INDEX(Surface_Engine!$C$12:$C$72,$A142+1)/(1+Assumptions!$B$10)^25+INDEX(Surface_Engine!$D$12:$D$72,$A142+1))))*INDEX(Surface_Engine!$B$12:$B$72,$A142+1)</f>
        <v>13078.2543062087</v>
      </c>
      <c r="N143" s="12" t="n">
        <f aca="false">IF(B143&lt;=0,0,MAX(0,(K143+Assumptions!$B$29*L143/INDEX(Surface_Engine!$B$12:$B$72,$A143+1)-(M143/INDEX(Surface_Engine!$B$12:$B$72,$A143+1)-(F143/INDEX(Surface_Engine!$B$12:$B$72,$A143+1))))/B143))</f>
        <v>17218.5150624418</v>
      </c>
    </row>
    <row r="144" customFormat="false" ht="15" hidden="false" customHeight="true" outlineLevel="0" collapsed="false">
      <c r="A144" s="1" t="n">
        <v>10</v>
      </c>
      <c r="B144" s="32" t="n">
        <f aca="false">INDEX(Surface_Engine!$G$12:$G$72,$A144+1)*IF($A144&lt;$Q$132,INDEX(Surface_Engine!$E$12:$E$72,$A144+1),INDEX(Surface_Engine!$E$12:$E$72,$Q$132+1))</f>
        <v>0.822813755074838</v>
      </c>
      <c r="C144" s="32" t="n">
        <f aca="false">INDEX(Panel_Reserving!$B$8:$B$68,$A144+1)*IF($A144&lt;$Q$132,INDEX(Surface_Engine!$E$12:$E$72,$A144+1),INDEX(Surface_Engine!$E$12:$E$72,$Q$132+1))</f>
        <v>0.830394286224382</v>
      </c>
      <c r="D144" s="32" t="n">
        <f aca="false">INDEX(Surface_Engine!$G$12:$G$72,$A144+1)*IF($A144&lt;$Q$132,INDEX(Surface_Engine!$Y$12:$Y$72,$A144+1),INDEX(Surface_Engine!$Y$12:$Y$72,$Q$132+1))</f>
        <v>0.762720750662555</v>
      </c>
      <c r="E144" s="32" t="n">
        <f aca="false">INDEX(Surface_Engine!$G$12:$G$72,$A144+1)*IF($A144&lt;$Q$132,INDEX(Surface_Engine!$Z$12:$Z$72,$A144+1),INDEX(Surface_Engine!$Z$12:$Z$72,$Q$132+1))</f>
        <v>0.886920422708789</v>
      </c>
      <c r="F144" s="48" t="n">
        <f aca="false">B144*(IF($A144&lt;$Q$132,INDEX(Surface_Engine!$D$12:$D$72,$A144+1)+(Surface_Engine!L236*12)*INDEX(Surface_Engine!$F$12:$F$72,$A144+1)-(Surface_Engine!L236*12),1000*12*INDEX(Surface_Engine!$C$12:$C$72,$A144+1)/(1+Assumptions!$B$10)^25+INDEX(Surface_Engine!$D$12:$D$72,$A144+1)))*INDEX(Surface_Engine!$B$12:$B$72,$A144+1)+F145</f>
        <v>13424.6967815397</v>
      </c>
      <c r="G144" s="48" t="n">
        <f aca="false">C144*(IF($A144&lt;$Q$132,INDEX(Surface_Engine!$D$12:$D$72,$A144+1)+(Surface_Engine!L236*12)*INDEX(Surface_Engine!$F$12:$F$72,$A144+1)-(Surface_Engine!L236*12),1000*12*INDEX(Surface_Engine!$C$12:$C$72,$A144+1)/(1+Assumptions!$B$10)^25+INDEX(Surface_Engine!$D$12:$D$72,$A144+1)))*INDEX(Surface_Engine!$B$12:$B$72,$A144+1)+G145</f>
        <v>18685.6919254872</v>
      </c>
      <c r="H144" s="48" t="n">
        <f aca="false">D144*(IF($A144&lt;$Q$132,INDEX(Surface_Engine!$D$12:$D$72,$A144+1)+(Surface_Engine!L236*12)*INDEX(Surface_Engine!$F$12:$F$72,$A144+1)-(Surface_Engine!L236*12),1000*12*INDEX(Surface_Engine!$C$12:$C$72,$A144+1)/(1+Assumptions!$B$10)^25+INDEX(Surface_Engine!$D$12:$D$72,$A144+1)))*INDEX(Surface_Engine!$B$12:$B$72,$A144+1)+H145</f>
        <v>11127.875329661</v>
      </c>
      <c r="I144" s="48" t="n">
        <f aca="false">E144*(IF($A144&lt;$Q$132,INDEX(Surface_Engine!$D$12:$D$72,$A144+1)+(Surface_Engine!L236*12)*INDEX(Surface_Engine!$F$12:$F$72,$A144+1)-(Surface_Engine!L236*12),1000*12*INDEX(Surface_Engine!$C$12:$C$72,$A144+1)/(1+Assumptions!$B$10)^25+INDEX(Surface_Engine!$D$12:$D$72,$A144+1)))*INDEX(Surface_Engine!$B$12:$B$72,$A144+1)+I145</f>
        <v>16113.994795233</v>
      </c>
      <c r="J144" s="48" t="n">
        <f aca="false">B144*(IF($A144&lt;$Q$132,INDEX(Surface_Engine!$D$12:$D$72,$A144+1)*(1+Assumptions!$B$24)+(Surface_Engine!L236*12)*INDEX(Surface_Engine!$F$12:$F$72,$A144+1)-(Surface_Engine!L236*12),1000*12*INDEX(Surface_Engine!$C$12:$C$72,$A144+1)/(1+Assumptions!$B$10)^25+INDEX(Surface_Engine!$D$12:$D$72,$A144+1)*(1+Assumptions!$B$24)))*INDEX(Surface_Engine!$B$12:$B$72,$A144+1)+J145</f>
        <v>13537.34612245</v>
      </c>
      <c r="K144" s="12" t="n">
        <f aca="false">SQRT((IF(C144&lt;=0,0,MAX(0,(B144/C144)*G144/INDEX(Surface_Engine!$B$12:$B$72,$A144+1)-F144/INDEX(Surface_Engine!$B$12:$B$72,$A144+1))))^2+(MAX(IF(D144&lt;=0,0,MAX(0,(B144/D144)*H144/INDEX(Surface_Engine!$B$12:$B$72,$A144+1)-F144/INDEX(Surface_Engine!$B$12:$B$72,$A144+1))),IF(E144&lt;=0,0,MAX(0,(B144/E144)*I144/INDEX(Surface_Engine!$B$12:$B$72,$A144+1)-F144/INDEX(Surface_Engine!$B$12:$B$72,$A144+1))),IF($A144&lt;$Q$132,MAX(0,-Assumptions!$B$22*(F144/INDEX(Surface_Engine!$B$12:$B$72,$A144+1))),0)))^2+(MAX(0,J144/INDEX(Surface_Engine!$B$12:$B$72,$A144+1)-(F144/INDEX(Surface_Engine!$B$12:$B$72,$A144+1))))^2+2*Assumptions!$B$26*(IF(C144&lt;=0,0,MAX(0,(B144/C144)*G144/INDEX(Surface_Engine!$B$12:$B$72,$A144+1)-F144/INDEX(Surface_Engine!$B$12:$B$72,$A144+1))))*(MAX(IF(D144&lt;=0,0,MAX(0,(B144/D144)*H144/INDEX(Surface_Engine!$B$12:$B$72,$A144+1)-F144/INDEX(Surface_Engine!$B$12:$B$72,$A144+1))),IF(E144&lt;=0,0,MAX(0,(B144/E144)*I144/INDEX(Surface_Engine!$B$12:$B$72,$A144+1)-F144/INDEX(Surface_Engine!$B$12:$B$72,$A144+1))),IF($A144&lt;$Q$132,MAX(0,-Assumptions!$B$22*(F144/INDEX(Surface_Engine!$B$12:$B$72,$A144+1))),0)))+2*Assumptions!$B$27*(IF(C144&lt;=0,0,MAX(0,(B144/C144)*G144/INDEX(Surface_Engine!$B$12:$B$72,$A144+1)-F144/INDEX(Surface_Engine!$B$12:$B$72,$A144+1))))*(MAX(0,J144/INDEX(Surface_Engine!$B$12:$B$72,$A144+1)-(F144/INDEX(Surface_Engine!$B$12:$B$72,$A144+1))))+2*Assumptions!$B$28*(MAX(IF(D144&lt;=0,0,MAX(0,(B144/D144)*H144/INDEX(Surface_Engine!$B$12:$B$72,$A144+1)-F144/INDEX(Surface_Engine!$B$12:$B$72,$A144+1))),IF(E144&lt;=0,0,MAX(0,(B144/E144)*I144/INDEX(Surface_Engine!$B$12:$B$72,$A144+1)-F144/INDEX(Surface_Engine!$B$12:$B$72,$A144+1))),IF($A144&lt;$Q$132,MAX(0,-Assumptions!$B$22*(F144/INDEX(Surface_Engine!$B$12:$B$72,$A144+1))),0)))*(MAX(0,J144/INDEX(Surface_Engine!$B$12:$B$72,$A144+1)-(F144/INDEX(Surface_Engine!$B$12:$B$72,$A144+1)))))</f>
        <v>7605.85638667877</v>
      </c>
      <c r="L144" s="48" t="n">
        <f aca="false">K144*INDEX(Surface_Engine!$B$12:$B$72,$A144+1)+L145</f>
        <v>100809.317137705</v>
      </c>
      <c r="M144" s="48" t="n">
        <f aca="false">M143+B143*(IF($A143&lt;$Q$132,(Surface_Engine!L236*12)-(Surface_Engine!L236*12)*INDEX(Surface_Engine!$F$12:$F$72,$A143+1)-INDEX(Surface_Engine!$D$12:$D$72,$A143+1),-(1000*12*INDEX(Surface_Engine!$C$12:$C$72,$A143+1)/(1+Assumptions!$B$10)^25+INDEX(Surface_Engine!$D$12:$D$72,$A143+1))))*INDEX(Surface_Engine!$B$12:$B$72,$A143+1)</f>
        <v>14407.5546462591</v>
      </c>
      <c r="N144" s="12" t="n">
        <f aca="false">IF(B144&lt;=0,0,MAX(0,(K144+Assumptions!$B$29*L144/INDEX(Surface_Engine!$B$12:$B$72,$A144+1)-(M144/INDEX(Surface_Engine!$B$12:$B$72,$A144+1)-(F144/INDEX(Surface_Engine!$B$12:$B$72,$A144+1))))/B144))</f>
        <v>17446.400126129</v>
      </c>
    </row>
    <row r="145" customFormat="false" ht="15" hidden="false" customHeight="true" outlineLevel="0" collapsed="false">
      <c r="A145" s="1" t="n">
        <v>11</v>
      </c>
      <c r="B145" s="32" t="n">
        <f aca="false">INDEX(Surface_Engine!$G$12:$G$72,$A145+1)*IF($A145&lt;$Q$132,INDEX(Surface_Engine!$E$12:$E$72,$A145+1),INDEX(Surface_Engine!$E$12:$E$72,$Q$132+1))</f>
        <v>0.808919890264123</v>
      </c>
      <c r="C145" s="32" t="n">
        <f aca="false">INDEX(Panel_Reserving!$B$8:$B$68,$A145+1)*IF($A145&lt;$Q$132,INDEX(Surface_Engine!$E$12:$E$72,$A145+1),INDEX(Surface_Engine!$E$12:$E$72,$Q$132+1))</f>
        <v>0.817665474135805</v>
      </c>
      <c r="D145" s="32" t="n">
        <f aca="false">INDEX(Surface_Engine!$G$12:$G$72,$A145+1)*IF($A145&lt;$Q$132,INDEX(Surface_Engine!$Y$12:$Y$72,$A145+1),INDEX(Surface_Engine!$Y$12:$Y$72,$Q$132+1))</f>
        <v>0.746398492421855</v>
      </c>
      <c r="E145" s="32" t="n">
        <f aca="false">INDEX(Surface_Engine!$G$12:$G$72,$A145+1)*IF($A145&lt;$Q$132,INDEX(Surface_Engine!$Z$12:$Z$72,$A145+1),INDEX(Surface_Engine!$Z$12:$Z$72,$Q$132+1))</f>
        <v>0.875947845714131</v>
      </c>
      <c r="F145" s="48" t="n">
        <f aca="false">B145*(IF($A145&lt;$Q$132,INDEX(Surface_Engine!$D$12:$D$72,$A145+1)+(Surface_Engine!L236*12)*INDEX(Surface_Engine!$F$12:$F$72,$A145+1)-(Surface_Engine!L236*12),1000*12*INDEX(Surface_Engine!$C$12:$C$72,$A145+1)/(1+Assumptions!$B$10)^25+INDEX(Surface_Engine!$D$12:$D$72,$A145+1)))*INDEX(Surface_Engine!$B$12:$B$72,$A145+1)+F146</f>
        <v>14687.196493052</v>
      </c>
      <c r="G145" s="48" t="n">
        <f aca="false">C145*(IF($A145&lt;$Q$132,INDEX(Surface_Engine!$D$12:$D$72,$A145+1)+(Surface_Engine!L236*12)*INDEX(Surface_Engine!$F$12:$F$72,$A145+1)-(Surface_Engine!L236*12),1000*12*INDEX(Surface_Engine!$C$12:$C$72,$A145+1)/(1+Assumptions!$B$10)^25+INDEX(Surface_Engine!$D$12:$D$72,$A145+1)))*INDEX(Surface_Engine!$B$12:$B$72,$A145+1)+G146</f>
        <v>19959.8229670914</v>
      </c>
      <c r="H145" s="48" t="n">
        <f aca="false">D145*(IF($A145&lt;$Q$132,INDEX(Surface_Engine!$D$12:$D$72,$A145+1)+(Surface_Engine!L236*12)*INDEX(Surface_Engine!$F$12:$F$72,$A145+1)-(Surface_Engine!L236*12),1000*12*INDEX(Surface_Engine!$C$12:$C$72,$A145+1)/(1+Assumptions!$B$10)^25+INDEX(Surface_Engine!$D$12:$D$72,$A145+1)))*INDEX(Surface_Engine!$B$12:$B$72,$A145+1)+H146</f>
        <v>12298.1702132077</v>
      </c>
      <c r="I145" s="48" t="n">
        <f aca="false">E145*(IF($A145&lt;$Q$132,INDEX(Surface_Engine!$D$12:$D$72,$A145+1)+(Surface_Engine!L236*12)*INDEX(Surface_Engine!$F$12:$F$72,$A145+1)-(Surface_Engine!L236*12),1000*12*INDEX(Surface_Engine!$C$12:$C$72,$A145+1)/(1+Assumptions!$B$10)^25+INDEX(Surface_Engine!$D$12:$D$72,$A145+1)))*INDEX(Surface_Engine!$B$12:$B$72,$A145+1)+I146</f>
        <v>17474.8577741247</v>
      </c>
      <c r="J145" s="48" t="n">
        <f aca="false">B145*(IF($A145&lt;$Q$132,INDEX(Surface_Engine!$D$12:$D$72,$A145+1)*(1+Assumptions!$B$24)+(Surface_Engine!L236*12)*INDEX(Surface_Engine!$F$12:$F$72,$A145+1)-(Surface_Engine!L236*12),1000*12*INDEX(Surface_Engine!$C$12:$C$72,$A145+1)/(1+Assumptions!$B$10)^25+INDEX(Surface_Engine!$D$12:$D$72,$A145+1)*(1+Assumptions!$B$24)))*INDEX(Surface_Engine!$B$12:$B$72,$A145+1)+J146</f>
        <v>14793.3634303734</v>
      </c>
      <c r="K145" s="12" t="n">
        <f aca="false">SQRT((IF(C145&lt;=0,0,MAX(0,(B145/C145)*G145/INDEX(Surface_Engine!$B$12:$B$72,$A145+1)-F145/INDEX(Surface_Engine!$B$12:$B$72,$A145+1))))^2+(MAX(IF(D145&lt;=0,0,MAX(0,(B145/D145)*H145/INDEX(Surface_Engine!$B$12:$B$72,$A145+1)-F145/INDEX(Surface_Engine!$B$12:$B$72,$A145+1))),IF(E145&lt;=0,0,MAX(0,(B145/E145)*I145/INDEX(Surface_Engine!$B$12:$B$72,$A145+1)-F145/INDEX(Surface_Engine!$B$12:$B$72,$A145+1))),IF($A145&lt;$Q$132,MAX(0,-Assumptions!$B$22*(F145/INDEX(Surface_Engine!$B$12:$B$72,$A145+1))),0)))^2+(MAX(0,J145/INDEX(Surface_Engine!$B$12:$B$72,$A145+1)-(F145/INDEX(Surface_Engine!$B$12:$B$72,$A145+1))))^2+2*Assumptions!$B$26*(IF(C145&lt;=0,0,MAX(0,(B145/C145)*G145/INDEX(Surface_Engine!$B$12:$B$72,$A145+1)-F145/INDEX(Surface_Engine!$B$12:$B$72,$A145+1))))*(MAX(IF(D145&lt;=0,0,MAX(0,(B145/D145)*H145/INDEX(Surface_Engine!$B$12:$B$72,$A145+1)-F145/INDEX(Surface_Engine!$B$12:$B$72,$A145+1))),IF(E145&lt;=0,0,MAX(0,(B145/E145)*I145/INDEX(Surface_Engine!$B$12:$B$72,$A145+1)-F145/INDEX(Surface_Engine!$B$12:$B$72,$A145+1))),IF($A145&lt;$Q$132,MAX(0,-Assumptions!$B$22*(F145/INDEX(Surface_Engine!$B$12:$B$72,$A145+1))),0)))+2*Assumptions!$B$27*(IF(C145&lt;=0,0,MAX(0,(B145/C145)*G145/INDEX(Surface_Engine!$B$12:$B$72,$A145+1)-F145/INDEX(Surface_Engine!$B$12:$B$72,$A145+1))))*(MAX(0,J145/INDEX(Surface_Engine!$B$12:$B$72,$A145+1)-(F145/INDEX(Surface_Engine!$B$12:$B$72,$A145+1))))+2*Assumptions!$B$28*(MAX(IF(D145&lt;=0,0,MAX(0,(B145/D145)*H145/INDEX(Surface_Engine!$B$12:$B$72,$A145+1)-F145/INDEX(Surface_Engine!$B$12:$B$72,$A145+1))),IF(E145&lt;=0,0,MAX(0,(B145/E145)*I145/INDEX(Surface_Engine!$B$12:$B$72,$A145+1)-F145/INDEX(Surface_Engine!$B$12:$B$72,$A145+1))),IF($A145&lt;$Q$132,MAX(0,-Assumptions!$B$22*(F145/INDEX(Surface_Engine!$B$12:$B$72,$A145+1))),0)))*(MAX(0,J145/INDEX(Surface_Engine!$B$12:$B$72,$A145+1)-(F145/INDEX(Surface_Engine!$B$12:$B$72,$A145+1)))))</f>
        <v>7757.06236457455</v>
      </c>
      <c r="L145" s="48" t="n">
        <f aca="false">K145*INDEX(Surface_Engine!$B$12:$B$72,$A145+1)+L146</f>
        <v>95100.7102439175</v>
      </c>
      <c r="M145" s="48" t="n">
        <f aca="false">M144+B144*(IF($A144&lt;$Q$132,(Surface_Engine!L236*12)-(Surface_Engine!L236*12)*INDEX(Surface_Engine!$F$12:$F$72,$A144+1)-INDEX(Surface_Engine!$D$12:$D$72,$A144+1),-(1000*12*INDEX(Surface_Engine!$C$12:$C$72,$A144+1)/(1+Assumptions!$B$10)^25+INDEX(Surface_Engine!$D$12:$D$72,$A144+1))))*INDEX(Surface_Engine!$B$12:$B$72,$A144+1)</f>
        <v>15670.0543577715</v>
      </c>
      <c r="N145" s="12" t="n">
        <f aca="false">IF(B145&lt;=0,0,MAX(0,(K145+Assumptions!$B$29*L145/INDEX(Surface_Engine!$B$12:$B$72,$A145+1)-(M145/INDEX(Surface_Engine!$B$12:$B$72,$A145+1)-(F145/INDEX(Surface_Engine!$B$12:$B$72,$A145+1))))/B145))</f>
        <v>17620.9992246479</v>
      </c>
    </row>
    <row r="146" customFormat="false" ht="15" hidden="false" customHeight="true" outlineLevel="0" collapsed="false">
      <c r="A146" s="1" t="n">
        <v>12</v>
      </c>
      <c r="B146" s="32" t="n">
        <f aca="false">INDEX(Surface_Engine!$G$12:$G$72,$A146+1)*IF($A146&lt;$Q$132,INDEX(Surface_Engine!$E$12:$E$72,$A146+1),INDEX(Surface_Engine!$E$12:$E$72,$Q$132+1))</f>
        <v>0.794579330161838</v>
      </c>
      <c r="C146" s="32" t="n">
        <f aca="false">INDEX(Panel_Reserving!$B$8:$B$68,$A146+1)*IF($A146&lt;$Q$132,INDEX(Surface_Engine!$E$12:$E$72,$A146+1),INDEX(Surface_Engine!$E$12:$E$72,$Q$132+1))</f>
        <v>0.804580841277684</v>
      </c>
      <c r="D146" s="32" t="n">
        <f aca="false">INDEX(Surface_Engine!$G$12:$G$72,$A146+1)*IF($A146&lt;$Q$132,INDEX(Surface_Engine!$Y$12:$Y$72,$A146+1),INDEX(Surface_Engine!$Y$12:$Y$72,$Q$132+1))</f>
        <v>0.729799771584279</v>
      </c>
      <c r="E146" s="32" t="n">
        <f aca="false">INDEX(Surface_Engine!$G$12:$G$72,$A146+1)*IF($A146&lt;$Q$132,INDEX(Surface_Engine!$Z$12:$Z$72,$A146+1),INDEX(Surface_Engine!$Z$12:$Z$72,$Q$132+1))</f>
        <v>0.864369870996635</v>
      </c>
      <c r="F146" s="48" t="n">
        <f aca="false">B146*(IF($A146&lt;$Q$132,INDEX(Surface_Engine!$D$12:$D$72,$A146+1)+(Surface_Engine!L236*12)*INDEX(Surface_Engine!$F$12:$F$72,$A146+1)-(Surface_Engine!L236*12),1000*12*INDEX(Surface_Engine!$C$12:$C$72,$A146+1)/(1+Assumptions!$B$10)^25+INDEX(Surface_Engine!$D$12:$D$72,$A146+1)))*INDEX(Surface_Engine!$B$12:$B$72,$A146+1)+F147</f>
        <v>15887.8652036836</v>
      </c>
      <c r="G146" s="48" t="n">
        <f aca="false">C146*(IF($A146&lt;$Q$132,INDEX(Surface_Engine!$D$12:$D$72,$A146+1)+(Surface_Engine!L236*12)*INDEX(Surface_Engine!$F$12:$F$72,$A146+1)-(Surface_Engine!L236*12),1000*12*INDEX(Surface_Engine!$C$12:$C$72,$A146+1)/(1+Assumptions!$B$10)^25+INDEX(Surface_Engine!$D$12:$D$72,$A146+1)))*INDEX(Surface_Engine!$B$12:$B$72,$A146+1)+G147</f>
        <v>21173.4726280461</v>
      </c>
      <c r="H146" s="48" t="n">
        <f aca="false">D146*(IF($A146&lt;$Q$132,INDEX(Surface_Engine!$D$12:$D$72,$A146+1)+(Surface_Engine!L236*12)*INDEX(Surface_Engine!$F$12:$F$72,$A146+1)-(Surface_Engine!L236*12),1000*12*INDEX(Surface_Engine!$C$12:$C$72,$A146+1)/(1+Assumptions!$B$10)^25+INDEX(Surface_Engine!$D$12:$D$72,$A146+1)))*INDEX(Surface_Engine!$B$12:$B$72,$A146+1)+H147</f>
        <v>13406.0392695871</v>
      </c>
      <c r="I146" s="48" t="n">
        <f aca="false">E146*(IF($A146&lt;$Q$132,INDEX(Surface_Engine!$D$12:$D$72,$A146+1)+(Surface_Engine!L236*12)*INDEX(Surface_Engine!$F$12:$F$72,$A146+1)-(Surface_Engine!L236*12),1000*12*INDEX(Surface_Engine!$C$12:$C$72,$A146+1)/(1+Assumptions!$B$10)^25+INDEX(Surface_Engine!$D$12:$D$72,$A146+1)))*INDEX(Surface_Engine!$B$12:$B$72,$A146+1)+I147</f>
        <v>18775.0151607241</v>
      </c>
      <c r="J146" s="48" t="n">
        <f aca="false">B146*(IF($A146&lt;$Q$132,INDEX(Surface_Engine!$D$12:$D$72,$A146+1)*(1+Assumptions!$B$24)+(Surface_Engine!L236*12)*INDEX(Surface_Engine!$F$12:$F$72,$A146+1)-(Surface_Engine!L236*12),1000*12*INDEX(Surface_Engine!$C$12:$C$72,$A146+1)/(1+Assumptions!$B$10)^25+INDEX(Surface_Engine!$D$12:$D$72,$A146+1)*(1+Assumptions!$B$24)))*INDEX(Surface_Engine!$B$12:$B$72,$A146+1)+J147</f>
        <v>15987.7049685021</v>
      </c>
      <c r="K146" s="12" t="n">
        <f aca="false">SQRT((IF(C146&lt;=0,0,MAX(0,(B146/C146)*G146/INDEX(Surface_Engine!$B$12:$B$72,$A146+1)-F146/INDEX(Surface_Engine!$B$12:$B$72,$A146+1))))^2+(MAX(IF(D146&lt;=0,0,MAX(0,(B146/D146)*H146/INDEX(Surface_Engine!$B$12:$B$72,$A146+1)-F146/INDEX(Surface_Engine!$B$12:$B$72,$A146+1))),IF(E146&lt;=0,0,MAX(0,(B146/E146)*I146/INDEX(Surface_Engine!$B$12:$B$72,$A146+1)-F146/INDEX(Surface_Engine!$B$12:$B$72,$A146+1))),IF($A146&lt;$Q$132,MAX(0,-Assumptions!$B$22*(F146/INDEX(Surface_Engine!$B$12:$B$72,$A146+1))),0)))^2+(MAX(0,J146/INDEX(Surface_Engine!$B$12:$B$72,$A146+1)-(F146/INDEX(Surface_Engine!$B$12:$B$72,$A146+1))))^2+2*Assumptions!$B$26*(IF(C146&lt;=0,0,MAX(0,(B146/C146)*G146/INDEX(Surface_Engine!$B$12:$B$72,$A146+1)-F146/INDEX(Surface_Engine!$B$12:$B$72,$A146+1))))*(MAX(IF(D146&lt;=0,0,MAX(0,(B146/D146)*H146/INDEX(Surface_Engine!$B$12:$B$72,$A146+1)-F146/INDEX(Surface_Engine!$B$12:$B$72,$A146+1))),IF(E146&lt;=0,0,MAX(0,(B146/E146)*I146/INDEX(Surface_Engine!$B$12:$B$72,$A146+1)-F146/INDEX(Surface_Engine!$B$12:$B$72,$A146+1))),IF($A146&lt;$Q$132,MAX(0,-Assumptions!$B$22*(F146/INDEX(Surface_Engine!$B$12:$B$72,$A146+1))),0)))+2*Assumptions!$B$27*(IF(C146&lt;=0,0,MAX(0,(B146/C146)*G146/INDEX(Surface_Engine!$B$12:$B$72,$A146+1)-F146/INDEX(Surface_Engine!$B$12:$B$72,$A146+1))))*(MAX(0,J146/INDEX(Surface_Engine!$B$12:$B$72,$A146+1)-(F146/INDEX(Surface_Engine!$B$12:$B$72,$A146+1))))+2*Assumptions!$B$28*(MAX(IF(D146&lt;=0,0,MAX(0,(B146/D146)*H146/INDEX(Surface_Engine!$B$12:$B$72,$A146+1)-F146/INDEX(Surface_Engine!$B$12:$B$72,$A146+1))),IF(E146&lt;=0,0,MAX(0,(B146/E146)*I146/INDEX(Surface_Engine!$B$12:$B$72,$A146+1)-F146/INDEX(Surface_Engine!$B$12:$B$72,$A146+1))),IF($A146&lt;$Q$132,MAX(0,-Assumptions!$B$22*(F146/INDEX(Surface_Engine!$B$12:$B$72,$A146+1))),0)))*(MAX(0,J146/INDEX(Surface_Engine!$B$12:$B$72,$A146+1)-(F146/INDEX(Surface_Engine!$B$12:$B$72,$A146+1)))))</f>
        <v>7923.97434434252</v>
      </c>
      <c r="L146" s="48" t="n">
        <f aca="false">K146*INDEX(Surface_Engine!$B$12:$B$72,$A146+1)+L147</f>
        <v>89461.4118878988</v>
      </c>
      <c r="M146" s="48" t="n">
        <f aca="false">M145+B145*(IF($A145&lt;$Q$132,(Surface_Engine!L236*12)-(Surface_Engine!L236*12)*INDEX(Surface_Engine!$F$12:$F$72,$A145+1)-INDEX(Surface_Engine!$D$12:$D$72,$A145+1),-(1000*12*INDEX(Surface_Engine!$C$12:$C$72,$A145+1)/(1+Assumptions!$B$10)^25+INDEX(Surface_Engine!$D$12:$D$72,$A145+1))))*INDEX(Surface_Engine!$B$12:$B$72,$A145+1)</f>
        <v>16870.723068403</v>
      </c>
      <c r="N146" s="12" t="n">
        <f aca="false">IF(B146&lt;=0,0,MAX(0,(K146+Assumptions!$B$29*L146/INDEX(Surface_Engine!$B$12:$B$72,$A146+1)-(M146/INDEX(Surface_Engine!$B$12:$B$72,$A146+1)-(F146/INDEX(Surface_Engine!$B$12:$B$72,$A146+1))))/B146))</f>
        <v>17833.1653875298</v>
      </c>
    </row>
    <row r="147" customFormat="false" ht="15" hidden="false" customHeight="true" outlineLevel="0" collapsed="false">
      <c r="A147" s="1" t="n">
        <v>13</v>
      </c>
      <c r="B147" s="32" t="n">
        <f aca="false">INDEX(Surface_Engine!$G$12:$G$72,$A147+1)*IF($A147&lt;$Q$132,INDEX(Surface_Engine!$E$12:$E$72,$A147+1),INDEX(Surface_Engine!$E$12:$E$72,$Q$132+1))</f>
        <v>0.779740737451754</v>
      </c>
      <c r="C147" s="32" t="n">
        <f aca="false">INDEX(Panel_Reserving!$B$8:$B$68,$A147+1)*IF($A147&lt;$Q$132,INDEX(Surface_Engine!$E$12:$E$72,$A147+1),INDEX(Surface_Engine!$E$12:$E$72,$Q$132+1))</f>
        <v>0.791096209177521</v>
      </c>
      <c r="D147" s="32" t="n">
        <f aca="false">INDEX(Surface_Engine!$G$12:$G$72,$A147+1)*IF($A147&lt;$Q$132,INDEX(Surface_Engine!$Y$12:$Y$72,$A147+1),INDEX(Surface_Engine!$Y$12:$Y$72,$Q$132+1))</f>
        <v>0.712882419682469</v>
      </c>
      <c r="E147" s="32" t="n">
        <f aca="false">INDEX(Surface_Engine!$G$12:$G$72,$A147+1)*IF($A147&lt;$Q$132,INDEX(Surface_Engine!$Z$12:$Z$72,$A147+1),INDEX(Surface_Engine!$Z$12:$Z$72,$Q$132+1))</f>
        <v>0.852122836030496</v>
      </c>
      <c r="F147" s="48" t="n">
        <f aca="false">B147*(IF($A147&lt;$Q$132,INDEX(Surface_Engine!$D$12:$D$72,$A147+1)+(Surface_Engine!L236*12)*INDEX(Surface_Engine!$F$12:$F$72,$A147+1)-(Surface_Engine!L236*12),1000*12*INDEX(Surface_Engine!$C$12:$C$72,$A147+1)/(1+Assumptions!$B$10)^25+INDEX(Surface_Engine!$D$12:$D$72,$A147+1)))*INDEX(Surface_Engine!$B$12:$B$72,$A147+1)+F148</f>
        <v>17025.2638921872</v>
      </c>
      <c r="G147" s="48" t="n">
        <f aca="false">C147*(IF($A147&lt;$Q$132,INDEX(Surface_Engine!$D$12:$D$72,$A147+1)+(Surface_Engine!L236*12)*INDEX(Surface_Engine!$F$12:$F$72,$A147+1)-(Surface_Engine!L236*12),1000*12*INDEX(Surface_Engine!$C$12:$C$72,$A147+1)/(1+Assumptions!$B$10)^25+INDEX(Surface_Engine!$D$12:$D$72,$A147+1)))*INDEX(Surface_Engine!$B$12:$B$72,$A147+1)+G148</f>
        <v>22325.1879558007</v>
      </c>
      <c r="H147" s="48" t="n">
        <f aca="false">D147*(IF($A147&lt;$Q$132,INDEX(Surface_Engine!$D$12:$D$72,$A147+1)+(Surface_Engine!L236*12)*INDEX(Surface_Engine!$F$12:$F$72,$A147+1)-(Surface_Engine!L236*12),1000*12*INDEX(Surface_Engine!$C$12:$C$72,$A147+1)/(1+Assumptions!$B$10)^25+INDEX(Surface_Engine!$D$12:$D$72,$A147+1)))*INDEX(Surface_Engine!$B$12:$B$72,$A147+1)+H148</f>
        <v>14450.7094133488</v>
      </c>
      <c r="I147" s="48" t="n">
        <f aca="false">E147*(IF($A147&lt;$Q$132,INDEX(Surface_Engine!$D$12:$D$72,$A147+1)+(Surface_Engine!L236*12)*INDEX(Surface_Engine!$F$12:$F$72,$A147+1)-(Surface_Engine!L236*12),1000*12*INDEX(Surface_Engine!$C$12:$C$72,$A147+1)/(1+Assumptions!$B$10)^25+INDEX(Surface_Engine!$D$12:$D$72,$A147+1)))*INDEX(Surface_Engine!$B$12:$B$72,$A147+1)+I148</f>
        <v>20012.3153525795</v>
      </c>
      <c r="J147" s="48" t="n">
        <f aca="false">B147*(IF($A147&lt;$Q$132,INDEX(Surface_Engine!$D$12:$D$72,$A147+1)*(1+Assumptions!$B$24)+(Surface_Engine!L236*12)*INDEX(Surface_Engine!$F$12:$F$72,$A147+1)-(Surface_Engine!L236*12),1000*12*INDEX(Surface_Engine!$C$12:$C$72,$A147+1)/(1+Assumptions!$B$10)^25+INDEX(Surface_Engine!$D$12:$D$72,$A147+1)*(1+Assumptions!$B$24)))*INDEX(Surface_Engine!$B$12:$B$72,$A147+1)+J148</f>
        <v>17118.9519506186</v>
      </c>
      <c r="K147" s="12" t="n">
        <f aca="false">SQRT((IF(C147&lt;=0,0,MAX(0,(B147/C147)*G147/INDEX(Surface_Engine!$B$12:$B$72,$A147+1)-F147/INDEX(Surface_Engine!$B$12:$B$72,$A147+1))))^2+(MAX(IF(D147&lt;=0,0,MAX(0,(B147/D147)*H147/INDEX(Surface_Engine!$B$12:$B$72,$A147+1)-F147/INDEX(Surface_Engine!$B$12:$B$72,$A147+1))),IF(E147&lt;=0,0,MAX(0,(B147/E147)*I147/INDEX(Surface_Engine!$B$12:$B$72,$A147+1)-F147/INDEX(Surface_Engine!$B$12:$B$72,$A147+1))),IF($A147&lt;$Q$132,MAX(0,-Assumptions!$B$22*(F147/INDEX(Surface_Engine!$B$12:$B$72,$A147+1))),0)))^2+(MAX(0,J147/INDEX(Surface_Engine!$B$12:$B$72,$A147+1)-(F147/INDEX(Surface_Engine!$B$12:$B$72,$A147+1))))^2+2*Assumptions!$B$26*(IF(C147&lt;=0,0,MAX(0,(B147/C147)*G147/INDEX(Surface_Engine!$B$12:$B$72,$A147+1)-F147/INDEX(Surface_Engine!$B$12:$B$72,$A147+1))))*(MAX(IF(D147&lt;=0,0,MAX(0,(B147/D147)*H147/INDEX(Surface_Engine!$B$12:$B$72,$A147+1)-F147/INDEX(Surface_Engine!$B$12:$B$72,$A147+1))),IF(E147&lt;=0,0,MAX(0,(B147/E147)*I147/INDEX(Surface_Engine!$B$12:$B$72,$A147+1)-F147/INDEX(Surface_Engine!$B$12:$B$72,$A147+1))),IF($A147&lt;$Q$132,MAX(0,-Assumptions!$B$22*(F147/INDEX(Surface_Engine!$B$12:$B$72,$A147+1))),0)))+2*Assumptions!$B$27*(IF(C147&lt;=0,0,MAX(0,(B147/C147)*G147/INDEX(Surface_Engine!$B$12:$B$72,$A147+1)-F147/INDEX(Surface_Engine!$B$12:$B$72,$A147+1))))*(MAX(0,J147/INDEX(Surface_Engine!$B$12:$B$72,$A147+1)-(F147/INDEX(Surface_Engine!$B$12:$B$72,$A147+1))))+2*Assumptions!$B$28*(MAX(IF(D147&lt;=0,0,MAX(0,(B147/D147)*H147/INDEX(Surface_Engine!$B$12:$B$72,$A147+1)-F147/INDEX(Surface_Engine!$B$12:$B$72,$A147+1))),IF(E147&lt;=0,0,MAX(0,(B147/E147)*I147/INDEX(Surface_Engine!$B$12:$B$72,$A147+1)-F147/INDEX(Surface_Engine!$B$12:$B$72,$A147+1))),IF($A147&lt;$Q$132,MAX(0,-Assumptions!$B$22*(F147/INDEX(Surface_Engine!$B$12:$B$72,$A147+1))),0)))*(MAX(0,J147/INDEX(Surface_Engine!$B$12:$B$72,$A147+1)-(F147/INDEX(Surface_Engine!$B$12:$B$72,$A147+1)))))</f>
        <v>8079.62355251978</v>
      </c>
      <c r="L147" s="48" t="n">
        <f aca="false">K147*INDEX(Surface_Engine!$B$12:$B$72,$A147+1)+L148</f>
        <v>83898.5130882043</v>
      </c>
      <c r="M147" s="48" t="n">
        <f aca="false">M146+B146*(IF($A146&lt;$Q$132,(Surface_Engine!L236*12)-(Surface_Engine!L236*12)*INDEX(Surface_Engine!$F$12:$F$72,$A146+1)-INDEX(Surface_Engine!$D$12:$D$72,$A146+1),-(1000*12*INDEX(Surface_Engine!$C$12:$C$72,$A146+1)/(1+Assumptions!$B$10)^25+INDEX(Surface_Engine!$D$12:$D$72,$A146+1))))*INDEX(Surface_Engine!$B$12:$B$72,$A146+1)</f>
        <v>18008.1217569066</v>
      </c>
      <c r="N147" s="12" t="n">
        <f aca="false">IF(B147&lt;=0,0,MAX(0,(K147+Assumptions!$B$29*L147/INDEX(Surface_Engine!$B$12:$B$72,$A147+1)-(M147/INDEX(Surface_Engine!$B$12:$B$72,$A147+1)-(F147/INDEX(Surface_Engine!$B$12:$B$72,$A147+1))))/B147))</f>
        <v>18023.3719712197</v>
      </c>
    </row>
    <row r="148" customFormat="false" ht="15" hidden="false" customHeight="true" outlineLevel="0" collapsed="false">
      <c r="A148" s="1" t="n">
        <v>14</v>
      </c>
      <c r="B148" s="32" t="n">
        <f aca="false">INDEX(Surface_Engine!$G$12:$G$72,$A148+1)*IF($A148&lt;$Q$132,INDEX(Surface_Engine!$E$12:$E$72,$A148+1),INDEX(Surface_Engine!$E$12:$E$72,$Q$132+1))</f>
        <v>0.76434787187485</v>
      </c>
      <c r="C148" s="32" t="n">
        <f aca="false">INDEX(Panel_Reserving!$B$8:$B$68,$A148+1)*IF($A148&lt;$Q$132,INDEX(Surface_Engine!$E$12:$E$72,$A148+1),INDEX(Surface_Engine!$E$12:$E$72,$Q$132+1))</f>
        <v>0.777162786878564</v>
      </c>
      <c r="D148" s="32" t="n">
        <f aca="false">INDEX(Surface_Engine!$G$12:$G$72,$A148+1)*IF($A148&lt;$Q$132,INDEX(Surface_Engine!$Y$12:$Y$72,$A148+1),INDEX(Surface_Engine!$Y$12:$Y$72,$Q$132+1))</f>
        <v>0.695600621759054</v>
      </c>
      <c r="E148" s="32" t="n">
        <f aca="false">INDEX(Surface_Engine!$G$12:$G$72,$A148+1)*IF($A148&lt;$Q$132,INDEX(Surface_Engine!$Z$12:$Z$72,$A148+1),INDEX(Surface_Engine!$Z$12:$Z$72,$Q$132+1))</f>
        <v>0.839136598256457</v>
      </c>
      <c r="F148" s="48" t="n">
        <f aca="false">B148*(IF($A148&lt;$Q$132,INDEX(Surface_Engine!$D$12:$D$72,$A148+1)+(Surface_Engine!L236*12)*INDEX(Surface_Engine!$F$12:$F$72,$A148+1)-(Surface_Engine!L236*12),1000*12*INDEX(Surface_Engine!$C$12:$C$72,$A148+1)/(1+Assumptions!$B$10)^25+INDEX(Surface_Engine!$D$12:$D$72,$A148+1)))*INDEX(Surface_Engine!$B$12:$B$72,$A148+1)+F149</f>
        <v>18101.9459371265</v>
      </c>
      <c r="G148" s="48" t="n">
        <f aca="false">C148*(IF($A148&lt;$Q$132,INDEX(Surface_Engine!$D$12:$D$72,$A148+1)+(Surface_Engine!L236*12)*INDEX(Surface_Engine!$F$12:$F$72,$A148+1)-(Surface_Engine!L236*12),1000*12*INDEX(Surface_Engine!$C$12:$C$72,$A148+1)/(1+Assumptions!$B$10)^25+INDEX(Surface_Engine!$D$12:$D$72,$A148+1)))*INDEX(Surface_Engine!$B$12:$B$72,$A148+1)+G149</f>
        <v>23417.549869614</v>
      </c>
      <c r="H148" s="48" t="n">
        <f aca="false">D148*(IF($A148&lt;$Q$132,INDEX(Surface_Engine!$D$12:$D$72,$A148+1)+(Surface_Engine!L236*12)*INDEX(Surface_Engine!$F$12:$F$72,$A148+1)-(Surface_Engine!L236*12),1000*12*INDEX(Surface_Engine!$C$12:$C$72,$A148+1)/(1+Assumptions!$B$10)^25+INDEX(Surface_Engine!$D$12:$D$72,$A148+1)))*INDEX(Surface_Engine!$B$12:$B$72,$A148+1)+H149</f>
        <v>15435.0721182312</v>
      </c>
      <c r="I148" s="48" t="n">
        <f aca="false">E148*(IF($A148&lt;$Q$132,INDEX(Surface_Engine!$D$12:$D$72,$A148+1)+(Surface_Engine!L236*12)*INDEX(Surface_Engine!$F$12:$F$72,$A148+1)-(Surface_Engine!L236*12),1000*12*INDEX(Surface_Engine!$C$12:$C$72,$A148+1)/(1+Assumptions!$B$10)^25+INDEX(Surface_Engine!$D$12:$D$72,$A148+1)))*INDEX(Surface_Engine!$B$12:$B$72,$A148+1)+I149</f>
        <v>21188.944087709</v>
      </c>
      <c r="J148" s="48" t="n">
        <f aca="false">B148*(IF($A148&lt;$Q$132,INDEX(Surface_Engine!$D$12:$D$72,$A148+1)*(1+Assumptions!$B$24)+(Surface_Engine!L236*12)*INDEX(Surface_Engine!$F$12:$F$72,$A148+1)-(Surface_Engine!L236*12),1000*12*INDEX(Surface_Engine!$C$12:$C$72,$A148+1)/(1+Assumptions!$B$10)^25+INDEX(Surface_Engine!$D$12:$D$72,$A148+1)*(1+Assumptions!$B$24)))*INDEX(Surface_Engine!$B$12:$B$72,$A148+1)+J149</f>
        <v>18189.6570150724</v>
      </c>
      <c r="K148" s="12" t="n">
        <f aca="false">SQRT((IF(C148&lt;=0,0,MAX(0,(B148/C148)*G148/INDEX(Surface_Engine!$B$12:$B$72,$A148+1)-F148/INDEX(Surface_Engine!$B$12:$B$72,$A148+1))))^2+(MAX(IF(D148&lt;=0,0,MAX(0,(B148/D148)*H148/INDEX(Surface_Engine!$B$12:$B$72,$A148+1)-F148/INDEX(Surface_Engine!$B$12:$B$72,$A148+1))),IF(E148&lt;=0,0,MAX(0,(B148/E148)*I148/INDEX(Surface_Engine!$B$12:$B$72,$A148+1)-F148/INDEX(Surface_Engine!$B$12:$B$72,$A148+1))),IF($A148&lt;$Q$132,MAX(0,-Assumptions!$B$22*(F148/INDEX(Surface_Engine!$B$12:$B$72,$A148+1))),0)))^2+(MAX(0,J148/INDEX(Surface_Engine!$B$12:$B$72,$A148+1)-(F148/INDEX(Surface_Engine!$B$12:$B$72,$A148+1))))^2+2*Assumptions!$B$26*(IF(C148&lt;=0,0,MAX(0,(B148/C148)*G148/INDEX(Surface_Engine!$B$12:$B$72,$A148+1)-F148/INDEX(Surface_Engine!$B$12:$B$72,$A148+1))))*(MAX(IF(D148&lt;=0,0,MAX(0,(B148/D148)*H148/INDEX(Surface_Engine!$B$12:$B$72,$A148+1)-F148/INDEX(Surface_Engine!$B$12:$B$72,$A148+1))),IF(E148&lt;=0,0,MAX(0,(B148/E148)*I148/INDEX(Surface_Engine!$B$12:$B$72,$A148+1)-F148/INDEX(Surface_Engine!$B$12:$B$72,$A148+1))),IF($A148&lt;$Q$132,MAX(0,-Assumptions!$B$22*(F148/INDEX(Surface_Engine!$B$12:$B$72,$A148+1))),0)))+2*Assumptions!$B$27*(IF(C148&lt;=0,0,MAX(0,(B148/C148)*G148/INDEX(Surface_Engine!$B$12:$B$72,$A148+1)-F148/INDEX(Surface_Engine!$B$12:$B$72,$A148+1))))*(MAX(0,J148/INDEX(Surface_Engine!$B$12:$B$72,$A148+1)-(F148/INDEX(Surface_Engine!$B$12:$B$72,$A148+1))))+2*Assumptions!$B$28*(MAX(IF(D148&lt;=0,0,MAX(0,(B148/D148)*H148/INDEX(Surface_Engine!$B$12:$B$72,$A148+1)-F148/INDEX(Surface_Engine!$B$12:$B$72,$A148+1))),IF(E148&lt;=0,0,MAX(0,(B148/E148)*I148/INDEX(Surface_Engine!$B$12:$B$72,$A148+1)-F148/INDEX(Surface_Engine!$B$12:$B$72,$A148+1))),IF($A148&lt;$Q$132,MAX(0,-Assumptions!$B$22*(F148/INDEX(Surface_Engine!$B$12:$B$72,$A148+1))),0)))*(MAX(0,J148/INDEX(Surface_Engine!$B$12:$B$72,$A148+1)-(F148/INDEX(Surface_Engine!$B$12:$B$72,$A148+1)))))</f>
        <v>8218.27560177782</v>
      </c>
      <c r="L148" s="48" t="n">
        <f aca="false">K148*INDEX(Surface_Engine!$B$12:$B$72,$A148+1)+L149</f>
        <v>78419.5466839761</v>
      </c>
      <c r="M148" s="48" t="n">
        <f aca="false">M147+B147*(IF($A147&lt;$Q$132,(Surface_Engine!L236*12)-(Surface_Engine!L236*12)*INDEX(Surface_Engine!$F$12:$F$72,$A147+1)-INDEX(Surface_Engine!$D$12:$D$72,$A147+1),-(1000*12*INDEX(Surface_Engine!$C$12:$C$72,$A147+1)/(1+Assumptions!$B$10)^25+INDEX(Surface_Engine!$D$12:$D$72,$A147+1))))*INDEX(Surface_Engine!$B$12:$B$72,$A147+1)</f>
        <v>19084.8038018459</v>
      </c>
      <c r="N148" s="12" t="n">
        <f aca="false">IF(B148&lt;=0,0,MAX(0,(K148+Assumptions!$B$29*L148/INDEX(Surface_Engine!$B$12:$B$72,$A148+1)-(M148/INDEX(Surface_Engine!$B$12:$B$72,$A148+1)-(F148/INDEX(Surface_Engine!$B$12:$B$72,$A148+1))))/B148))</f>
        <v>18181.5332433895</v>
      </c>
    </row>
    <row r="149" customFormat="false" ht="15" hidden="false" customHeight="true" outlineLevel="0" collapsed="false">
      <c r="A149" s="1" t="n">
        <v>15</v>
      </c>
      <c r="B149" s="32" t="n">
        <f aca="false">INDEX(Surface_Engine!$G$12:$G$72,$A149+1)*IF($A149&lt;$Q$132,INDEX(Surface_Engine!$E$12:$E$72,$A149+1),INDEX(Surface_Engine!$E$12:$E$72,$Q$132+1))</f>
        <v>0.74833941160122</v>
      </c>
      <c r="C149" s="32" t="n">
        <f aca="false">INDEX(Panel_Reserving!$B$8:$B$68,$A149+1)*IF($A149&lt;$Q$132,INDEX(Surface_Engine!$E$12:$E$72,$A149+1),INDEX(Surface_Engine!$E$12:$E$72,$Q$132+1))</f>
        <v>0.762726866481032</v>
      </c>
      <c r="D149" s="32" t="n">
        <f aca="false">INDEX(Surface_Engine!$G$12:$G$72,$A149+1)*IF($A149&lt;$Q$132,INDEX(Surface_Engine!$Y$12:$Y$72,$A149+1),INDEX(Surface_Engine!$Y$12:$Y$72,$Q$132+1))</f>
        <v>0.677904847464119</v>
      </c>
      <c r="E149" s="32" t="n">
        <f aca="false">INDEX(Surface_Engine!$G$12:$G$72,$A149+1)*IF($A149&lt;$Q$132,INDEX(Surface_Engine!$Z$12:$Z$72,$A149+1),INDEX(Surface_Engine!$Z$12:$Z$72,$Q$132+1))</f>
        <v>0.825334202163495</v>
      </c>
      <c r="F149" s="48" t="n">
        <f aca="false">B149*(IF($A149&lt;$Q$132,INDEX(Surface_Engine!$D$12:$D$72,$A149+1)+(Surface_Engine!L236*12)*INDEX(Surface_Engine!$F$12:$F$72,$A149+1)-(Surface_Engine!L236*12),1000*12*INDEX(Surface_Engine!$C$12:$C$72,$A149+1)/(1+Assumptions!$B$10)^25+INDEX(Surface_Engine!$D$12:$D$72,$A149+1)))*INDEX(Surface_Engine!$B$12:$B$72,$A149+1)+F150</f>
        <v>19120.7220043172</v>
      </c>
      <c r="G149" s="48" t="n">
        <f aca="false">C149*(IF($A149&lt;$Q$132,INDEX(Surface_Engine!$D$12:$D$72,$A149+1)+(Surface_Engine!L236*12)*INDEX(Surface_Engine!$F$12:$F$72,$A149+1)-(Surface_Engine!L236*12),1000*12*INDEX(Surface_Engine!$C$12:$C$72,$A149+1)/(1+Assumptions!$B$10)^25+INDEX(Surface_Engine!$D$12:$D$72,$A149+1)))*INDEX(Surface_Engine!$B$12:$B$72,$A149+1)+G150</f>
        <v>24453.406547858</v>
      </c>
      <c r="H149" s="48" t="n">
        <f aca="false">D149*(IF($A149&lt;$Q$132,INDEX(Surface_Engine!$D$12:$D$72,$A149+1)+(Surface_Engine!L236*12)*INDEX(Surface_Engine!$F$12:$F$72,$A149+1)-(Surface_Engine!L236*12),1000*12*INDEX(Surface_Engine!$C$12:$C$72,$A149+1)/(1+Assumptions!$B$10)^25+INDEX(Surface_Engine!$D$12:$D$72,$A149+1)))*INDEX(Surface_Engine!$B$12:$B$72,$A149+1)+H150</f>
        <v>16362.2170634154</v>
      </c>
      <c r="I149" s="48" t="n">
        <f aca="false">E149*(IF($A149&lt;$Q$132,INDEX(Surface_Engine!$D$12:$D$72,$A149+1)+(Surface_Engine!L236*12)*INDEX(Surface_Engine!$F$12:$F$72,$A149+1)-(Surface_Engine!L236*12),1000*12*INDEX(Surface_Engine!$C$12:$C$72,$A149+1)/(1+Assumptions!$B$10)^25+INDEX(Surface_Engine!$D$12:$D$72,$A149+1)))*INDEX(Surface_Engine!$B$12:$B$72,$A149+1)+I150</f>
        <v>22307.4037771572</v>
      </c>
      <c r="J149" s="48" t="n">
        <f aca="false">B149*(IF($A149&lt;$Q$132,INDEX(Surface_Engine!$D$12:$D$72,$A149+1)*(1+Assumptions!$B$24)+(Surface_Engine!L236*12)*INDEX(Surface_Engine!$F$12:$F$72,$A149+1)-(Surface_Engine!L236*12),1000*12*INDEX(Surface_Engine!$C$12:$C$72,$A149+1)/(1+Assumptions!$B$10)^25+INDEX(Surface_Engine!$D$12:$D$72,$A149+1)*(1+Assumptions!$B$24)))*INDEX(Surface_Engine!$B$12:$B$72,$A149+1)+J150</f>
        <v>19202.6281105265</v>
      </c>
      <c r="K149" s="12" t="n">
        <f aca="false">SQRT((IF(C149&lt;=0,0,MAX(0,(B149/C149)*G149/INDEX(Surface_Engine!$B$12:$B$72,$A149+1)-F149/INDEX(Surface_Engine!$B$12:$B$72,$A149+1))))^2+(MAX(IF(D149&lt;=0,0,MAX(0,(B149/D149)*H149/INDEX(Surface_Engine!$B$12:$B$72,$A149+1)-F149/INDEX(Surface_Engine!$B$12:$B$72,$A149+1))),IF(E149&lt;=0,0,MAX(0,(B149/E149)*I149/INDEX(Surface_Engine!$B$12:$B$72,$A149+1)-F149/INDEX(Surface_Engine!$B$12:$B$72,$A149+1))),IF($A149&lt;$Q$132,MAX(0,-Assumptions!$B$22*(F149/INDEX(Surface_Engine!$B$12:$B$72,$A149+1))),0)))^2+(MAX(0,J149/INDEX(Surface_Engine!$B$12:$B$72,$A149+1)-(F149/INDEX(Surface_Engine!$B$12:$B$72,$A149+1))))^2+2*Assumptions!$B$26*(IF(C149&lt;=0,0,MAX(0,(B149/C149)*G149/INDEX(Surface_Engine!$B$12:$B$72,$A149+1)-F149/INDEX(Surface_Engine!$B$12:$B$72,$A149+1))))*(MAX(IF(D149&lt;=0,0,MAX(0,(B149/D149)*H149/INDEX(Surface_Engine!$B$12:$B$72,$A149+1)-F149/INDEX(Surface_Engine!$B$12:$B$72,$A149+1))),IF(E149&lt;=0,0,MAX(0,(B149/E149)*I149/INDEX(Surface_Engine!$B$12:$B$72,$A149+1)-F149/INDEX(Surface_Engine!$B$12:$B$72,$A149+1))),IF($A149&lt;$Q$132,MAX(0,-Assumptions!$B$22*(F149/INDEX(Surface_Engine!$B$12:$B$72,$A149+1))),0)))+2*Assumptions!$B$27*(IF(C149&lt;=0,0,MAX(0,(B149/C149)*G149/INDEX(Surface_Engine!$B$12:$B$72,$A149+1)-F149/INDEX(Surface_Engine!$B$12:$B$72,$A149+1))))*(MAX(0,J149/INDEX(Surface_Engine!$B$12:$B$72,$A149+1)-(F149/INDEX(Surface_Engine!$B$12:$B$72,$A149+1))))+2*Assumptions!$B$28*(MAX(IF(D149&lt;=0,0,MAX(0,(B149/D149)*H149/INDEX(Surface_Engine!$B$12:$B$72,$A149+1)-F149/INDEX(Surface_Engine!$B$12:$B$72,$A149+1))),IF(E149&lt;=0,0,MAX(0,(B149/E149)*I149/INDEX(Surface_Engine!$B$12:$B$72,$A149+1)-F149/INDEX(Surface_Engine!$B$12:$B$72,$A149+1))),IF($A149&lt;$Q$132,MAX(0,-Assumptions!$B$22*(F149/INDEX(Surface_Engine!$B$12:$B$72,$A149+1))),0)))*(MAX(0,J149/INDEX(Surface_Engine!$B$12:$B$72,$A149+1)-(F149/INDEX(Surface_Engine!$B$12:$B$72,$A149+1)))))</f>
        <v>8364.84960381259</v>
      </c>
      <c r="L149" s="48" t="n">
        <f aca="false">K149*INDEX(Surface_Engine!$B$12:$B$72,$A149+1)+L150</f>
        <v>73032.6111006577</v>
      </c>
      <c r="M149" s="48" t="n">
        <f aca="false">M148+B148*(IF($A148&lt;$Q$132,(Surface_Engine!L236*12)-(Surface_Engine!L236*12)*INDEX(Surface_Engine!$F$12:$F$72,$A148+1)-INDEX(Surface_Engine!$D$12:$D$72,$A148+1),-(1000*12*INDEX(Surface_Engine!$C$12:$C$72,$A148+1)/(1+Assumptions!$B$10)^25+INDEX(Surface_Engine!$D$12:$D$72,$A148+1))))*INDEX(Surface_Engine!$B$12:$B$72,$A148+1)</f>
        <v>20103.5798690366</v>
      </c>
      <c r="N149" s="12" t="n">
        <f aca="false">IF(B149&lt;=0,0,MAX(0,(K149+Assumptions!$B$29*L149/INDEX(Surface_Engine!$B$12:$B$72,$A149+1)-(M149/INDEX(Surface_Engine!$B$12:$B$72,$A149+1)-(F149/INDEX(Surface_Engine!$B$12:$B$72,$A149+1))))/B149))</f>
        <v>18365.5404155386</v>
      </c>
    </row>
    <row r="150" customFormat="false" ht="15" hidden="false" customHeight="true" outlineLevel="0" collapsed="false">
      <c r="A150" s="1" t="n">
        <v>16</v>
      </c>
      <c r="B150" s="32" t="n">
        <f aca="false">INDEX(Surface_Engine!$G$12:$G$72,$A150+1)*IF($A150&lt;$Q$132,INDEX(Surface_Engine!$E$12:$E$72,$A150+1),INDEX(Surface_Engine!$E$12:$E$72,$Q$132+1))</f>
        <v>0.731299836812306</v>
      </c>
      <c r="C150" s="32" t="n">
        <f aca="false">INDEX(Panel_Reserving!$B$8:$B$68,$A150+1)*IF($A150&lt;$Q$132,INDEX(Surface_Engine!$E$12:$E$72,$A150+1),INDEX(Surface_Engine!$E$12:$E$72,$Q$132+1))</f>
        <v>0.747444963622263</v>
      </c>
      <c r="D150" s="32" t="n">
        <f aca="false">INDEX(Surface_Engine!$G$12:$G$72,$A150+1)*IF($A150&lt;$Q$132,INDEX(Surface_Engine!$Y$12:$Y$72,$A150+1),INDEX(Surface_Engine!$Y$12:$Y$72,$Q$132+1))</f>
        <v>0.659427141365475</v>
      </c>
      <c r="E150" s="32" t="n">
        <f aca="false">INDEX(Surface_Engine!$G$12:$G$72,$A150+1)*IF($A150&lt;$Q$132,INDEX(Surface_Engine!$Z$12:$Z$72,$A150+1),INDEX(Surface_Engine!$Z$12:$Z$72,$Q$132+1))</f>
        <v>0.810244932894244</v>
      </c>
      <c r="F150" s="48" t="n">
        <f aca="false">B150*(IF($A150&lt;$Q$132,INDEX(Surface_Engine!$D$12:$D$72,$A150+1)+(Surface_Engine!L236*12)*INDEX(Surface_Engine!$F$12:$F$72,$A150+1)-(Surface_Engine!L236*12),1000*12*INDEX(Surface_Engine!$C$12:$C$72,$A150+1)/(1+Assumptions!$B$10)^25+INDEX(Surface_Engine!$D$12:$D$72,$A150+1)))*INDEX(Surface_Engine!$B$12:$B$72,$A150+1)+F151</f>
        <v>20080.9709881947</v>
      </c>
      <c r="G150" s="48" t="n">
        <f aca="false">C150*(IF($A150&lt;$Q$132,INDEX(Surface_Engine!$D$12:$D$72,$A150+1)+(Surface_Engine!L236*12)*INDEX(Surface_Engine!$F$12:$F$72,$A150+1)-(Surface_Engine!L236*12),1000*12*INDEX(Surface_Engine!$C$12:$C$72,$A150+1)/(1+Assumptions!$B$10)^25+INDEX(Surface_Engine!$D$12:$D$72,$A150+1)))*INDEX(Surface_Engine!$B$12:$B$72,$A150+1)+G151</f>
        <v>25432.1171264541</v>
      </c>
      <c r="H150" s="48" t="n">
        <f aca="false">D150*(IF($A150&lt;$Q$132,INDEX(Surface_Engine!$D$12:$D$72,$A150+1)+(Surface_Engine!L236*12)*INDEX(Surface_Engine!$F$12:$F$72,$A150+1)-(Surface_Engine!L236*12),1000*12*INDEX(Surface_Engine!$C$12:$C$72,$A150+1)/(1+Assumptions!$B$10)^25+INDEX(Surface_Engine!$D$12:$D$72,$A150+1)))*INDEX(Surface_Engine!$B$12:$B$72,$A150+1)+H151</f>
        <v>17232.0863110476</v>
      </c>
      <c r="I150" s="48" t="n">
        <f aca="false">E150*(IF($A150&lt;$Q$132,INDEX(Surface_Engine!$D$12:$D$72,$A150+1)+(Surface_Engine!L236*12)*INDEX(Surface_Engine!$F$12:$F$72,$A150+1)-(Surface_Engine!L236*12),1000*12*INDEX(Surface_Engine!$C$12:$C$72,$A150+1)/(1+Assumptions!$B$10)^25+INDEX(Surface_Engine!$D$12:$D$72,$A150+1)))*INDEX(Surface_Engine!$B$12:$B$72,$A150+1)+I151</f>
        <v>23366.4504031943</v>
      </c>
      <c r="J150" s="48" t="n">
        <f aca="false">B150*(IF($A150&lt;$Q$132,INDEX(Surface_Engine!$D$12:$D$72,$A150+1)*(1+Assumptions!$B$24)+(Surface_Engine!L236*12)*INDEX(Surface_Engine!$F$12:$F$72,$A150+1)-(Surface_Engine!L236*12),1000*12*INDEX(Surface_Engine!$C$12:$C$72,$A150+1)/(1+Assumptions!$B$10)^25+INDEX(Surface_Engine!$D$12:$D$72,$A150+1)*(1+Assumptions!$B$24)))*INDEX(Surface_Engine!$B$12:$B$72,$A150+1)+J151</f>
        <v>20157.2608216753</v>
      </c>
      <c r="K150" s="12" t="n">
        <f aca="false">SQRT((IF(C150&lt;=0,0,MAX(0,(B150/C150)*G150/INDEX(Surface_Engine!$B$12:$B$72,$A150+1)-F150/INDEX(Surface_Engine!$B$12:$B$72,$A150+1))))^2+(MAX(IF(D150&lt;=0,0,MAX(0,(B150/D150)*H150/INDEX(Surface_Engine!$B$12:$B$72,$A150+1)-F150/INDEX(Surface_Engine!$B$12:$B$72,$A150+1))),IF(E150&lt;=0,0,MAX(0,(B150/E150)*I150/INDEX(Surface_Engine!$B$12:$B$72,$A150+1)-F150/INDEX(Surface_Engine!$B$12:$B$72,$A150+1))),IF($A150&lt;$Q$132,MAX(0,-Assumptions!$B$22*(F150/INDEX(Surface_Engine!$B$12:$B$72,$A150+1))),0)))^2+(MAX(0,J150/INDEX(Surface_Engine!$B$12:$B$72,$A150+1)-(F150/INDEX(Surface_Engine!$B$12:$B$72,$A150+1))))^2+2*Assumptions!$B$26*(IF(C150&lt;=0,0,MAX(0,(B150/C150)*G150/INDEX(Surface_Engine!$B$12:$B$72,$A150+1)-F150/INDEX(Surface_Engine!$B$12:$B$72,$A150+1))))*(MAX(IF(D150&lt;=0,0,MAX(0,(B150/D150)*H150/INDEX(Surface_Engine!$B$12:$B$72,$A150+1)-F150/INDEX(Surface_Engine!$B$12:$B$72,$A150+1))),IF(E150&lt;=0,0,MAX(0,(B150/E150)*I150/INDEX(Surface_Engine!$B$12:$B$72,$A150+1)-F150/INDEX(Surface_Engine!$B$12:$B$72,$A150+1))),IF($A150&lt;$Q$132,MAX(0,-Assumptions!$B$22*(F150/INDEX(Surface_Engine!$B$12:$B$72,$A150+1))),0)))+2*Assumptions!$B$27*(IF(C150&lt;=0,0,MAX(0,(B150/C150)*G150/INDEX(Surface_Engine!$B$12:$B$72,$A150+1)-F150/INDEX(Surface_Engine!$B$12:$B$72,$A150+1))))*(MAX(0,J150/INDEX(Surface_Engine!$B$12:$B$72,$A150+1)-(F150/INDEX(Surface_Engine!$B$12:$B$72,$A150+1))))+2*Assumptions!$B$28*(MAX(IF(D150&lt;=0,0,MAX(0,(B150/D150)*H150/INDEX(Surface_Engine!$B$12:$B$72,$A150+1)-F150/INDEX(Surface_Engine!$B$12:$B$72,$A150+1))),IF(E150&lt;=0,0,MAX(0,(B150/E150)*I150/INDEX(Surface_Engine!$B$12:$B$72,$A150+1)-F150/INDEX(Surface_Engine!$B$12:$B$72,$A150+1))),IF($A150&lt;$Q$132,MAX(0,-Assumptions!$B$22*(F150/INDEX(Surface_Engine!$B$12:$B$72,$A150+1))),0)))*(MAX(0,J150/INDEX(Surface_Engine!$B$12:$B$72,$A150+1)-(F150/INDEX(Surface_Engine!$B$12:$B$72,$A150+1)))))</f>
        <v>8482.69241486051</v>
      </c>
      <c r="L150" s="48" t="n">
        <f aca="false">K150*INDEX(Surface_Engine!$B$12:$B$72,$A150+1)+L151</f>
        <v>67746.5050137335</v>
      </c>
      <c r="M150" s="48" t="n">
        <f aca="false">M149+B149*(IF($A149&lt;$Q$132,(Surface_Engine!L236*12)-(Surface_Engine!L236*12)*INDEX(Surface_Engine!$F$12:$F$72,$A149+1)-INDEX(Surface_Engine!$D$12:$D$72,$A149+1),-(1000*12*INDEX(Surface_Engine!$C$12:$C$72,$A149+1)/(1+Assumptions!$B$10)^25+INDEX(Surface_Engine!$D$12:$D$72,$A149+1))))*INDEX(Surface_Engine!$B$12:$B$72,$A149+1)</f>
        <v>21063.8288529141</v>
      </c>
      <c r="N150" s="12" t="n">
        <f aca="false">IF(B150&lt;=0,0,MAX(0,(K150+Assumptions!$B$29*L150/INDEX(Surface_Engine!$B$12:$B$72,$A150+1)-(M150/INDEX(Surface_Engine!$B$12:$B$72,$A150+1)-(F150/INDEX(Surface_Engine!$B$12:$B$72,$A150+1))))/B150))</f>
        <v>18509.731164412</v>
      </c>
    </row>
    <row r="151" customFormat="false" ht="15" hidden="false" customHeight="true" outlineLevel="0" collapsed="false">
      <c r="A151" s="1" t="n">
        <v>17</v>
      </c>
      <c r="B151" s="32" t="n">
        <f aca="false">INDEX(Surface_Engine!$G$12:$G$72,$A151+1)*IF($A151&lt;$Q$132,INDEX(Surface_Engine!$E$12:$E$72,$A151+1),INDEX(Surface_Engine!$E$12:$E$72,$Q$132+1))</f>
        <v>0.713482050644402</v>
      </c>
      <c r="C151" s="32" t="n">
        <f aca="false">INDEX(Panel_Reserving!$B$8:$B$68,$A151+1)*IF($A151&lt;$Q$132,INDEX(Surface_Engine!$E$12:$E$72,$A151+1),INDEX(Surface_Engine!$E$12:$E$72,$Q$132+1))</f>
        <v>0.731515689947711</v>
      </c>
      <c r="D151" s="32" t="n">
        <f aca="false">INDEX(Surface_Engine!$G$12:$G$72,$A151+1)*IF($A151&lt;$Q$132,INDEX(Surface_Engine!$Y$12:$Y$72,$A151+1),INDEX(Surface_Engine!$Y$12:$Y$72,$Q$132+1))</f>
        <v>0.640406327307206</v>
      </c>
      <c r="E151" s="32" t="n">
        <f aca="false">INDEX(Surface_Engine!$G$12:$G$72,$A151+1)*IF($A151&lt;$Q$132,INDEX(Surface_Engine!$Z$12:$Z$72,$A151+1),INDEX(Surface_Engine!$Z$12:$Z$72,$Q$132+1))</f>
        <v>0.794133508714652</v>
      </c>
      <c r="F151" s="48" t="n">
        <f aca="false">B151*(IF($A151&lt;$Q$132,INDEX(Surface_Engine!$D$12:$D$72,$A151+1)+(Surface_Engine!L236*12)*INDEX(Surface_Engine!$F$12:$F$72,$A151+1)-(Surface_Engine!L236*12),1000*12*INDEX(Surface_Engine!$C$12:$C$72,$A151+1)/(1+Assumptions!$B$10)^25+INDEX(Surface_Engine!$D$12:$D$72,$A151+1)))*INDEX(Surface_Engine!$B$12:$B$72,$A151+1)+F152</f>
        <v>20985.246622984</v>
      </c>
      <c r="G151" s="48" t="n">
        <f aca="false">C151*(IF($A151&lt;$Q$132,INDEX(Surface_Engine!$D$12:$D$72,$A151+1)+(Surface_Engine!L236*12)*INDEX(Surface_Engine!$F$12:$F$72,$A151+1)-(Surface_Engine!L236*12),1000*12*INDEX(Surface_Engine!$C$12:$C$72,$A151+1)/(1+Assumptions!$B$10)^25+INDEX(Surface_Engine!$D$12:$D$72,$A151+1)))*INDEX(Surface_Engine!$B$12:$B$72,$A151+1)+G152</f>
        <v>26356.3567268562</v>
      </c>
      <c r="H151" s="48" t="n">
        <f aca="false">D151*(IF($A151&lt;$Q$132,INDEX(Surface_Engine!$D$12:$D$72,$A151+1)+(Surface_Engine!L236*12)*INDEX(Surface_Engine!$F$12:$F$72,$A151+1)-(Surface_Engine!L236*12),1000*12*INDEX(Surface_Engine!$C$12:$C$72,$A151+1)/(1+Assumptions!$B$10)^25+INDEX(Surface_Engine!$D$12:$D$72,$A151+1)))*INDEX(Surface_Engine!$B$12:$B$72,$A151+1)+H152</f>
        <v>18047.4890594671</v>
      </c>
      <c r="I151" s="48" t="n">
        <f aca="false">E151*(IF($A151&lt;$Q$132,INDEX(Surface_Engine!$D$12:$D$72,$A151+1)+(Surface_Engine!L236*12)*INDEX(Surface_Engine!$F$12:$F$72,$A151+1)-(Surface_Engine!L236*12),1000*12*INDEX(Surface_Engine!$C$12:$C$72,$A151+1)/(1+Assumptions!$B$10)^25+INDEX(Surface_Engine!$D$12:$D$72,$A151+1)))*INDEX(Surface_Engine!$B$12:$B$72,$A151+1)+I152</f>
        <v>24368.34417391</v>
      </c>
      <c r="J151" s="48" t="n">
        <f aca="false">B151*(IF($A151&lt;$Q$132,INDEX(Surface_Engine!$D$12:$D$72,$A151+1)*(1+Assumptions!$B$24)+(Surface_Engine!L236*12)*INDEX(Surface_Engine!$F$12:$F$72,$A151+1)-(Surface_Engine!L236*12),1000*12*INDEX(Surface_Engine!$C$12:$C$72,$A151+1)/(1+Assumptions!$B$10)^25+INDEX(Surface_Engine!$D$12:$D$72,$A151+1)*(1+Assumptions!$B$24)))*INDEX(Surface_Engine!$B$12:$B$72,$A151+1)+J152</f>
        <v>21056.1073980563</v>
      </c>
      <c r="K151" s="12" t="n">
        <f aca="false">SQRT((IF(C151&lt;=0,0,MAX(0,(B151/C151)*G151/INDEX(Surface_Engine!$B$12:$B$72,$A151+1)-F151/INDEX(Surface_Engine!$B$12:$B$72,$A151+1))))^2+(MAX(IF(D151&lt;=0,0,MAX(0,(B151/D151)*H151/INDEX(Surface_Engine!$B$12:$B$72,$A151+1)-F151/INDEX(Surface_Engine!$B$12:$B$72,$A151+1))),IF(E151&lt;=0,0,MAX(0,(B151/E151)*I151/INDEX(Surface_Engine!$B$12:$B$72,$A151+1)-F151/INDEX(Surface_Engine!$B$12:$B$72,$A151+1))),IF($A151&lt;$Q$132,MAX(0,-Assumptions!$B$22*(F151/INDEX(Surface_Engine!$B$12:$B$72,$A151+1))),0)))^2+(MAX(0,J151/INDEX(Surface_Engine!$B$12:$B$72,$A151+1)-(F151/INDEX(Surface_Engine!$B$12:$B$72,$A151+1))))^2+2*Assumptions!$B$26*(IF(C151&lt;=0,0,MAX(0,(B151/C151)*G151/INDEX(Surface_Engine!$B$12:$B$72,$A151+1)-F151/INDEX(Surface_Engine!$B$12:$B$72,$A151+1))))*(MAX(IF(D151&lt;=0,0,MAX(0,(B151/D151)*H151/INDEX(Surface_Engine!$B$12:$B$72,$A151+1)-F151/INDEX(Surface_Engine!$B$12:$B$72,$A151+1))),IF(E151&lt;=0,0,MAX(0,(B151/E151)*I151/INDEX(Surface_Engine!$B$12:$B$72,$A151+1)-F151/INDEX(Surface_Engine!$B$12:$B$72,$A151+1))),IF($A151&lt;$Q$132,MAX(0,-Assumptions!$B$22*(F151/INDEX(Surface_Engine!$B$12:$B$72,$A151+1))),0)))+2*Assumptions!$B$27*(IF(C151&lt;=0,0,MAX(0,(B151/C151)*G151/INDEX(Surface_Engine!$B$12:$B$72,$A151+1)-F151/INDEX(Surface_Engine!$B$12:$B$72,$A151+1))))*(MAX(0,J151/INDEX(Surface_Engine!$B$12:$B$72,$A151+1)-(F151/INDEX(Surface_Engine!$B$12:$B$72,$A151+1))))+2*Assumptions!$B$28*(MAX(IF(D151&lt;=0,0,MAX(0,(B151/D151)*H151/INDEX(Surface_Engine!$B$12:$B$72,$A151+1)-F151/INDEX(Surface_Engine!$B$12:$B$72,$A151+1))),IF(E151&lt;=0,0,MAX(0,(B151/E151)*I151/INDEX(Surface_Engine!$B$12:$B$72,$A151+1)-F151/INDEX(Surface_Engine!$B$12:$B$72,$A151+1))),IF($A151&lt;$Q$132,MAX(0,-Assumptions!$B$22*(F151/INDEX(Surface_Engine!$B$12:$B$72,$A151+1))),0)))*(MAX(0,J151/INDEX(Surface_Engine!$B$12:$B$72,$A151+1)-(F151/INDEX(Surface_Engine!$B$12:$B$72,$A151+1)))))</f>
        <v>8563.49519570542</v>
      </c>
      <c r="L151" s="48" t="n">
        <f aca="false">K151*INDEX(Surface_Engine!$B$12:$B$72,$A151+1)+L152</f>
        <v>62573.2122256014</v>
      </c>
      <c r="M151" s="48" t="n">
        <f aca="false">M150+B150*(IF($A150&lt;$Q$132,(Surface_Engine!L236*12)-(Surface_Engine!L236*12)*INDEX(Surface_Engine!$F$12:$F$72,$A150+1)-INDEX(Surface_Engine!$D$12:$D$72,$A150+1),-(1000*12*INDEX(Surface_Engine!$C$12:$C$72,$A150+1)/(1+Assumptions!$B$10)^25+INDEX(Surface_Engine!$D$12:$D$72,$A150+1))))*INDEX(Surface_Engine!$B$12:$B$72,$A150+1)</f>
        <v>21968.1044877034</v>
      </c>
      <c r="N151" s="12" t="n">
        <f aca="false">IF(B151&lt;=0,0,MAX(0,(K151+Assumptions!$B$29*L151/INDEX(Surface_Engine!$B$12:$B$72,$A151+1)-(M151/INDEX(Surface_Engine!$B$12:$B$72,$A151+1)-(F151/INDEX(Surface_Engine!$B$12:$B$72,$A151+1))))/B151))</f>
        <v>18590.2472518791</v>
      </c>
    </row>
    <row r="152" customFormat="false" ht="15" hidden="false" customHeight="true" outlineLevel="0" collapsed="false">
      <c r="A152" s="1" t="n">
        <v>18</v>
      </c>
      <c r="B152" s="32" t="n">
        <f aca="false">INDEX(Surface_Engine!$G$12:$G$72,$A152+1)*IF($A152&lt;$Q$132,INDEX(Surface_Engine!$E$12:$E$72,$A152+1),INDEX(Surface_Engine!$E$12:$E$72,$Q$132+1))</f>
        <v>0.694809270432386</v>
      </c>
      <c r="C152" s="32" t="n">
        <f aca="false">INDEX(Panel_Reserving!$B$8:$B$68,$A152+1)*IF($A152&lt;$Q$132,INDEX(Surface_Engine!$E$12:$E$72,$A152+1),INDEX(Surface_Engine!$E$12:$E$72,$Q$132+1))</f>
        <v>0.71486853564051</v>
      </c>
      <c r="D152" s="32" t="n">
        <f aca="false">INDEX(Surface_Engine!$G$12:$G$72,$A152+1)*IF($A152&lt;$Q$132,INDEX(Surface_Engine!$Y$12:$Y$72,$A152+1),INDEX(Surface_Engine!$Y$12:$Y$72,$Q$132+1))</f>
        <v>0.620782387912415</v>
      </c>
      <c r="E152" s="32" t="n">
        <f aca="false">INDEX(Surface_Engine!$G$12:$G$72,$A152+1)*IF($A152&lt;$Q$132,INDEX(Surface_Engine!$Z$12:$Z$72,$A152+1),INDEX(Surface_Engine!$Z$12:$Z$72,$Q$132+1))</f>
        <v>0.776901028889261</v>
      </c>
      <c r="F152" s="48" t="n">
        <f aca="false">B152*(IF($A152&lt;$Q$132,INDEX(Surface_Engine!$D$12:$D$72,$A152+1)+(Surface_Engine!L236*12)*INDEX(Surface_Engine!$F$12:$F$72,$A152+1)-(Surface_Engine!L236*12),1000*12*INDEX(Surface_Engine!$C$12:$C$72,$A152+1)/(1+Assumptions!$B$10)^25+INDEX(Surface_Engine!$D$12:$D$72,$A152+1)))*INDEX(Surface_Engine!$B$12:$B$72,$A152+1)+F153</f>
        <v>21836.965624153</v>
      </c>
      <c r="G152" s="48" t="n">
        <f aca="false">C152*(IF($A152&lt;$Q$132,INDEX(Surface_Engine!$D$12:$D$72,$A152+1)+(Surface_Engine!L236*12)*INDEX(Surface_Engine!$F$12:$F$72,$A152+1)-(Surface_Engine!L236*12),1000*12*INDEX(Surface_Engine!$C$12:$C$72,$A152+1)/(1+Assumptions!$B$10)^25+INDEX(Surface_Engine!$D$12:$D$72,$A152+1)))*INDEX(Surface_Engine!$B$12:$B$72,$A152+1)+G153</f>
        <v>27229.6033799696</v>
      </c>
      <c r="H152" s="48" t="n">
        <f aca="false">D152*(IF($A152&lt;$Q$132,INDEX(Surface_Engine!$D$12:$D$72,$A152+1)+(Surface_Engine!L236*12)*INDEX(Surface_Engine!$F$12:$F$72,$A152+1)-(Surface_Engine!L236*12),1000*12*INDEX(Surface_Engine!$C$12:$C$72,$A152+1)/(1+Assumptions!$B$10)^25+INDEX(Surface_Engine!$D$12:$D$72,$A152+1)))*INDEX(Surface_Engine!$B$12:$B$72,$A152+1)+H153</f>
        <v>18811.9739360576</v>
      </c>
      <c r="I152" s="48" t="n">
        <f aca="false">E152*(IF($A152&lt;$Q$132,INDEX(Surface_Engine!$D$12:$D$72,$A152+1)+(Surface_Engine!L236*12)*INDEX(Surface_Engine!$F$12:$F$72,$A152+1)-(Surface_Engine!L236*12),1000*12*INDEX(Surface_Engine!$C$12:$C$72,$A152+1)/(1+Assumptions!$B$10)^25+INDEX(Surface_Engine!$D$12:$D$72,$A152+1)))*INDEX(Surface_Engine!$B$12:$B$72,$A152+1)+I153</f>
        <v>25316.3408309057</v>
      </c>
      <c r="J152" s="48" t="n">
        <f aca="false">B152*(IF($A152&lt;$Q$132,INDEX(Surface_Engine!$D$12:$D$72,$A152+1)*(1+Assumptions!$B$24)+(Surface_Engine!L236*12)*INDEX(Surface_Engine!$F$12:$F$72,$A152+1)-(Surface_Engine!L236*12),1000*12*INDEX(Surface_Engine!$C$12:$C$72,$A152+1)/(1+Assumptions!$B$10)^25+INDEX(Surface_Engine!$D$12:$D$72,$A152+1)*(1+Assumptions!$B$24)))*INDEX(Surface_Engine!$B$12:$B$72,$A152+1)+J153</f>
        <v>21902.5771616793</v>
      </c>
      <c r="K152" s="12" t="n">
        <f aca="false">SQRT((IF(C152&lt;=0,0,MAX(0,(B152/C152)*G152/INDEX(Surface_Engine!$B$12:$B$72,$A152+1)-F152/INDEX(Surface_Engine!$B$12:$B$72,$A152+1))))^2+(MAX(IF(D152&lt;=0,0,MAX(0,(B152/D152)*H152/INDEX(Surface_Engine!$B$12:$B$72,$A152+1)-F152/INDEX(Surface_Engine!$B$12:$B$72,$A152+1))),IF(E152&lt;=0,0,MAX(0,(B152/E152)*I152/INDEX(Surface_Engine!$B$12:$B$72,$A152+1)-F152/INDEX(Surface_Engine!$B$12:$B$72,$A152+1))),IF($A152&lt;$Q$132,MAX(0,-Assumptions!$B$22*(F152/INDEX(Surface_Engine!$B$12:$B$72,$A152+1))),0)))^2+(MAX(0,J152/INDEX(Surface_Engine!$B$12:$B$72,$A152+1)-(F152/INDEX(Surface_Engine!$B$12:$B$72,$A152+1))))^2+2*Assumptions!$B$26*(IF(C152&lt;=0,0,MAX(0,(B152/C152)*G152/INDEX(Surface_Engine!$B$12:$B$72,$A152+1)-F152/INDEX(Surface_Engine!$B$12:$B$72,$A152+1))))*(MAX(IF(D152&lt;=0,0,MAX(0,(B152/D152)*H152/INDEX(Surface_Engine!$B$12:$B$72,$A152+1)-F152/INDEX(Surface_Engine!$B$12:$B$72,$A152+1))),IF(E152&lt;=0,0,MAX(0,(B152/E152)*I152/INDEX(Surface_Engine!$B$12:$B$72,$A152+1)-F152/INDEX(Surface_Engine!$B$12:$B$72,$A152+1))),IF($A152&lt;$Q$132,MAX(0,-Assumptions!$B$22*(F152/INDEX(Surface_Engine!$B$12:$B$72,$A152+1))),0)))+2*Assumptions!$B$27*(IF(C152&lt;=0,0,MAX(0,(B152/C152)*G152/INDEX(Surface_Engine!$B$12:$B$72,$A152+1)-F152/INDEX(Surface_Engine!$B$12:$B$72,$A152+1))))*(MAX(0,J152/INDEX(Surface_Engine!$B$12:$B$72,$A152+1)-(F152/INDEX(Surface_Engine!$B$12:$B$72,$A152+1))))+2*Assumptions!$B$28*(MAX(IF(D152&lt;=0,0,MAX(0,(B152/D152)*H152/INDEX(Surface_Engine!$B$12:$B$72,$A152+1)-F152/INDEX(Surface_Engine!$B$12:$B$72,$A152+1))),IF(E152&lt;=0,0,MAX(0,(B152/E152)*I152/INDEX(Surface_Engine!$B$12:$B$72,$A152+1)-F152/INDEX(Surface_Engine!$B$12:$B$72,$A152+1))),IF($A152&lt;$Q$132,MAX(0,-Assumptions!$B$22*(F152/INDEX(Surface_Engine!$B$12:$B$72,$A152+1))),0)))*(MAX(0,J152/INDEX(Surface_Engine!$B$12:$B$72,$A152+1)-(F152/INDEX(Surface_Engine!$B$12:$B$72,$A152+1)))))</f>
        <v>8609.13992745872</v>
      </c>
      <c r="L152" s="48" t="n">
        <f aca="false">K152*INDEX(Surface_Engine!$B$12:$B$72,$A152+1)+L153</f>
        <v>57523.7553321875</v>
      </c>
      <c r="M152" s="48" t="n">
        <f aca="false">M151+B151*(IF($A151&lt;$Q$132,(Surface_Engine!L236*12)-(Surface_Engine!L236*12)*INDEX(Surface_Engine!$F$12:$F$72,$A151+1)-INDEX(Surface_Engine!$D$12:$D$72,$A151+1),-(1000*12*INDEX(Surface_Engine!$C$12:$C$72,$A151+1)/(1+Assumptions!$B$10)^25+INDEX(Surface_Engine!$D$12:$D$72,$A151+1))))*INDEX(Surface_Engine!$B$12:$B$72,$A151+1)</f>
        <v>22819.8234888724</v>
      </c>
      <c r="N152" s="12" t="n">
        <f aca="false">IF(B152&lt;=0,0,MAX(0,(K152+Assumptions!$B$29*L152/INDEX(Surface_Engine!$B$12:$B$72,$A152+1)-(M152/INDEX(Surface_Engine!$B$12:$B$72,$A152+1)-(F152/INDEX(Surface_Engine!$B$12:$B$72,$A152+1))))/B152))</f>
        <v>18615.9806688428</v>
      </c>
    </row>
    <row r="153" customFormat="false" ht="15" hidden="false" customHeight="true" outlineLevel="0" collapsed="false">
      <c r="A153" s="1" t="n">
        <v>19</v>
      </c>
      <c r="B153" s="32" t="n">
        <f aca="false">INDEX(Surface_Engine!$G$12:$G$72,$A153+1)*IF($A153&lt;$Q$132,INDEX(Surface_Engine!$E$12:$E$72,$A153+1),INDEX(Surface_Engine!$E$12:$E$72,$Q$132+1))</f>
        <v>0.675204232687693</v>
      </c>
      <c r="C153" s="32" t="n">
        <f aca="false">INDEX(Panel_Reserving!$B$8:$B$68,$A153+1)*IF($A153&lt;$Q$132,INDEX(Surface_Engine!$E$12:$E$72,$A153+1),INDEX(Surface_Engine!$E$12:$E$72,$Q$132+1))</f>
        <v>0.697430644013905</v>
      </c>
      <c r="D153" s="32" t="n">
        <f aca="false">INDEX(Surface_Engine!$G$12:$G$72,$A153+1)*IF($A153&lt;$Q$132,INDEX(Surface_Engine!$Y$12:$Y$72,$A153+1),INDEX(Surface_Engine!$Y$12:$Y$72,$Q$132+1))</f>
        <v>0.600496056090523</v>
      </c>
      <c r="E153" s="32" t="n">
        <f aca="false">INDEX(Surface_Engine!$G$12:$G$72,$A153+1)*IF($A153&lt;$Q$132,INDEX(Surface_Engine!$Z$12:$Z$72,$A153+1),INDEX(Surface_Engine!$Z$12:$Z$72,$Q$132+1))</f>
        <v>0.758446359156707</v>
      </c>
      <c r="F153" s="48" t="n">
        <f aca="false">B153*(IF($A153&lt;$Q$132,INDEX(Surface_Engine!$D$12:$D$72,$A153+1)+(Surface_Engine!L236*12)*INDEX(Surface_Engine!$F$12:$F$72,$A153+1)-(Surface_Engine!L236*12),1000*12*INDEX(Surface_Engine!$C$12:$C$72,$A153+1)/(1+Assumptions!$B$10)^25+INDEX(Surface_Engine!$D$12:$D$72,$A153+1)))*INDEX(Surface_Engine!$B$12:$B$72,$A153+1)+F154</f>
        <v>22638.5195131415</v>
      </c>
      <c r="G153" s="48" t="n">
        <f aca="false">C153*(IF($A153&lt;$Q$132,INDEX(Surface_Engine!$D$12:$D$72,$A153+1)+(Surface_Engine!L236*12)*INDEX(Surface_Engine!$F$12:$F$72,$A153+1)-(Surface_Engine!L236*12),1000*12*INDEX(Surface_Engine!$C$12:$C$72,$A153+1)/(1+Assumptions!$B$10)^25+INDEX(Surface_Engine!$D$12:$D$72,$A153+1)))*INDEX(Surface_Engine!$B$12:$B$72,$A153+1)+G154</f>
        <v>28054.2982699811</v>
      </c>
      <c r="H153" s="48" t="n">
        <f aca="false">D153*(IF($A153&lt;$Q$132,INDEX(Surface_Engine!$D$12:$D$72,$A153+1)+(Surface_Engine!L236*12)*INDEX(Surface_Engine!$F$12:$F$72,$A153+1)-(Surface_Engine!L236*12),1000*12*INDEX(Surface_Engine!$C$12:$C$72,$A153+1)/(1+Assumptions!$B$10)^25+INDEX(Surface_Engine!$D$12:$D$72,$A153+1)))*INDEX(Surface_Engine!$B$12:$B$72,$A153+1)+H154</f>
        <v>19528.1280785278</v>
      </c>
      <c r="I153" s="48" t="n">
        <f aca="false">E153*(IF($A153&lt;$Q$132,INDEX(Surface_Engine!$D$12:$D$72,$A153+1)+(Surface_Engine!L236*12)*INDEX(Surface_Engine!$F$12:$F$72,$A153+1)-(Surface_Engine!L236*12),1000*12*INDEX(Surface_Engine!$C$12:$C$72,$A153+1)/(1+Assumptions!$B$10)^25+INDEX(Surface_Engine!$D$12:$D$72,$A153+1)))*INDEX(Surface_Engine!$B$12:$B$72,$A153+1)+I154</f>
        <v>26212.5983616635</v>
      </c>
      <c r="J153" s="48" t="n">
        <f aca="false">B153*(IF($A153&lt;$Q$132,INDEX(Surface_Engine!$D$12:$D$72,$A153+1)*(1+Assumptions!$B$24)+(Surface_Engine!L236*12)*INDEX(Surface_Engine!$F$12:$F$72,$A153+1)-(Surface_Engine!L236*12),1000*12*INDEX(Surface_Engine!$C$12:$C$72,$A153+1)/(1+Assumptions!$B$10)^25+INDEX(Surface_Engine!$D$12:$D$72,$A153+1)*(1+Assumptions!$B$24)))*INDEX(Surface_Engine!$B$12:$B$72,$A153+1)+J154</f>
        <v>22699.0596707268</v>
      </c>
      <c r="K153" s="12" t="n">
        <f aca="false">SQRT((IF(C153&lt;=0,0,MAX(0,(B153/C153)*G153/INDEX(Surface_Engine!$B$12:$B$72,$A153+1)-F153/INDEX(Surface_Engine!$B$12:$B$72,$A153+1))))^2+(MAX(IF(D153&lt;=0,0,MAX(0,(B153/D153)*H153/INDEX(Surface_Engine!$B$12:$B$72,$A153+1)-F153/INDEX(Surface_Engine!$B$12:$B$72,$A153+1))),IF(E153&lt;=0,0,MAX(0,(B153/E153)*I153/INDEX(Surface_Engine!$B$12:$B$72,$A153+1)-F153/INDEX(Surface_Engine!$B$12:$B$72,$A153+1))),IF($A153&lt;$Q$132,MAX(0,-Assumptions!$B$22*(F153/INDEX(Surface_Engine!$B$12:$B$72,$A153+1))),0)))^2+(MAX(0,J153/INDEX(Surface_Engine!$B$12:$B$72,$A153+1)-(F153/INDEX(Surface_Engine!$B$12:$B$72,$A153+1))))^2+2*Assumptions!$B$26*(IF(C153&lt;=0,0,MAX(0,(B153/C153)*G153/INDEX(Surface_Engine!$B$12:$B$72,$A153+1)-F153/INDEX(Surface_Engine!$B$12:$B$72,$A153+1))))*(MAX(IF(D153&lt;=0,0,MAX(0,(B153/D153)*H153/INDEX(Surface_Engine!$B$12:$B$72,$A153+1)-F153/INDEX(Surface_Engine!$B$12:$B$72,$A153+1))),IF(E153&lt;=0,0,MAX(0,(B153/E153)*I153/INDEX(Surface_Engine!$B$12:$B$72,$A153+1)-F153/INDEX(Surface_Engine!$B$12:$B$72,$A153+1))),IF($A153&lt;$Q$132,MAX(0,-Assumptions!$B$22*(F153/INDEX(Surface_Engine!$B$12:$B$72,$A153+1))),0)))+2*Assumptions!$B$27*(IF(C153&lt;=0,0,MAX(0,(B153/C153)*G153/INDEX(Surface_Engine!$B$12:$B$72,$A153+1)-F153/INDEX(Surface_Engine!$B$12:$B$72,$A153+1))))*(MAX(0,J153/INDEX(Surface_Engine!$B$12:$B$72,$A153+1)-(F153/INDEX(Surface_Engine!$B$12:$B$72,$A153+1))))+2*Assumptions!$B$28*(MAX(IF(D153&lt;=0,0,MAX(0,(B153/D153)*H153/INDEX(Surface_Engine!$B$12:$B$72,$A153+1)-F153/INDEX(Surface_Engine!$B$12:$B$72,$A153+1))),IF(E153&lt;=0,0,MAX(0,(B153/E153)*I153/INDEX(Surface_Engine!$B$12:$B$72,$A153+1)-F153/INDEX(Surface_Engine!$B$12:$B$72,$A153+1))),IF($A153&lt;$Q$132,MAX(0,-Assumptions!$B$22*(F153/INDEX(Surface_Engine!$B$12:$B$72,$A153+1))),0)))*(MAX(0,J153/INDEX(Surface_Engine!$B$12:$B$72,$A153+1)-(F153/INDEX(Surface_Engine!$B$12:$B$72,$A153+1)))))</f>
        <v>8615.50377809886</v>
      </c>
      <c r="L153" s="48" t="n">
        <f aca="false">K153*INDEX(Surface_Engine!$B$12:$B$72,$A153+1)+L154</f>
        <v>52610.4146161135</v>
      </c>
      <c r="M153" s="48" t="n">
        <f aca="false">M152+B152*(IF($A152&lt;$Q$132,(Surface_Engine!L236*12)-(Surface_Engine!L236*12)*INDEX(Surface_Engine!$F$12:$F$72,$A152+1)-INDEX(Surface_Engine!$D$12:$D$72,$A152+1),-(1000*12*INDEX(Surface_Engine!$C$12:$C$72,$A152+1)/(1+Assumptions!$B$10)^25+INDEX(Surface_Engine!$D$12:$D$72,$A152+1))))*INDEX(Surface_Engine!$B$12:$B$72,$A152+1)</f>
        <v>23621.3773778609</v>
      </c>
      <c r="N153" s="12" t="n">
        <f aca="false">IF(B153&lt;=0,0,MAX(0,(K153+Assumptions!$B$29*L153/INDEX(Surface_Engine!$B$12:$B$72,$A153+1)-(M153/INDEX(Surface_Engine!$B$12:$B$72,$A153+1)-(F153/INDEX(Surface_Engine!$B$12:$B$72,$A153+1))))/B153))</f>
        <v>18582.6644407777</v>
      </c>
    </row>
    <row r="154" customFormat="false" ht="15" hidden="false" customHeight="true" outlineLevel="0" collapsed="false">
      <c r="A154" s="1" t="n">
        <v>20</v>
      </c>
      <c r="B154" s="32" t="n">
        <f aca="false">INDEX(Surface_Engine!$G$12:$G$72,$A154+1)*IF($A154&lt;$Q$132,INDEX(Surface_Engine!$E$12:$E$72,$A154+1),INDEX(Surface_Engine!$E$12:$E$72,$Q$132+1))</f>
        <v>0.654591355485922</v>
      </c>
      <c r="C154" s="32" t="n">
        <f aca="false">INDEX(Panel_Reserving!$B$8:$B$68,$A154+1)*IF($A154&lt;$Q$132,INDEX(Surface_Engine!$E$12:$E$72,$A154+1),INDEX(Surface_Engine!$E$12:$E$72,$Q$132+1))</f>
        <v>0.679128189789301</v>
      </c>
      <c r="D154" s="32" t="n">
        <f aca="false">INDEX(Surface_Engine!$G$12:$G$72,$A154+1)*IF($A154&lt;$Q$132,INDEX(Surface_Engine!$Y$12:$Y$72,$A154+1),INDEX(Surface_Engine!$Y$12:$Y$72,$Q$132+1))</f>
        <v>0.579490725330323</v>
      </c>
      <c r="E154" s="32" t="n">
        <f aca="false">INDEX(Surface_Engine!$G$12:$G$72,$A154+1)*IF($A154&lt;$Q$132,INDEX(Surface_Engine!$Z$12:$Z$72,$A154+1),INDEX(Surface_Engine!$Z$12:$Z$72,$Q$132+1))</f>
        <v>0.73866854047822</v>
      </c>
      <c r="F154" s="48" t="n">
        <f aca="false">B154*(IF($A154&lt;$Q$132,INDEX(Surface_Engine!$D$12:$D$72,$A154+1)+(Surface_Engine!L236*12)*INDEX(Surface_Engine!$F$12:$F$72,$A154+1)-(Surface_Engine!L236*12),1000*12*INDEX(Surface_Engine!$C$12:$C$72,$A154+1)/(1+Assumptions!$B$10)^25+INDEX(Surface_Engine!$D$12:$D$72,$A154+1)))*INDEX(Surface_Engine!$B$12:$B$72,$A154+1)+F155</f>
        <v>23391.948739232</v>
      </c>
      <c r="G154" s="48" t="n">
        <f aca="false">C154*(IF($A154&lt;$Q$132,INDEX(Surface_Engine!$D$12:$D$72,$A154+1)+(Surface_Engine!L236*12)*INDEX(Surface_Engine!$F$12:$F$72,$A154+1)-(Surface_Engine!L236*12),1000*12*INDEX(Surface_Engine!$C$12:$C$72,$A154+1)/(1+Assumptions!$B$10)^25+INDEX(Surface_Engine!$D$12:$D$72,$A154+1)))*INDEX(Surface_Engine!$B$12:$B$72,$A154+1)+G155</f>
        <v>28832.5289221788</v>
      </c>
      <c r="H154" s="48" t="n">
        <f aca="false">D154*(IF($A154&lt;$Q$132,INDEX(Surface_Engine!$D$12:$D$72,$A154+1)+(Surface_Engine!L236*12)*INDEX(Surface_Engine!$F$12:$F$72,$A154+1)-(Surface_Engine!L236*12),1000*12*INDEX(Surface_Engine!$C$12:$C$72,$A154+1)/(1+Assumptions!$B$10)^25+INDEX(Surface_Engine!$D$12:$D$72,$A154+1)))*INDEX(Surface_Engine!$B$12:$B$72,$A154+1)+H155</f>
        <v>20198.1938999604</v>
      </c>
      <c r="I154" s="48" t="n">
        <f aca="false">E154*(IF($A154&lt;$Q$132,INDEX(Surface_Engine!$D$12:$D$72,$A154+1)+(Surface_Engine!L236*12)*INDEX(Surface_Engine!$F$12:$F$72,$A154+1)-(Surface_Engine!L236*12),1000*12*INDEX(Surface_Engine!$C$12:$C$72,$A154+1)/(1+Assumptions!$B$10)^25+INDEX(Surface_Engine!$D$12:$D$72,$A154+1)))*INDEX(Surface_Engine!$B$12:$B$72,$A154+1)+I155</f>
        <v>27058.9136330237</v>
      </c>
      <c r="J154" s="48" t="n">
        <f aca="false">B154*(IF($A154&lt;$Q$132,INDEX(Surface_Engine!$D$12:$D$72,$A154+1)*(1+Assumptions!$B$24)+(Surface_Engine!L236*12)*INDEX(Surface_Engine!$F$12:$F$72,$A154+1)-(Surface_Engine!L236*12),1000*12*INDEX(Surface_Engine!$C$12:$C$72,$A154+1)/(1+Assumptions!$B$10)^25+INDEX(Surface_Engine!$D$12:$D$72,$A154+1)*(1+Assumptions!$B$24)))*INDEX(Surface_Engine!$B$12:$B$72,$A154+1)+J155</f>
        <v>23447.5950853605</v>
      </c>
      <c r="K154" s="12" t="n">
        <f aca="false">SQRT((IF(C154&lt;=0,0,MAX(0,(B154/C154)*G154/INDEX(Surface_Engine!$B$12:$B$72,$A154+1)-F154/INDEX(Surface_Engine!$B$12:$B$72,$A154+1))))^2+(MAX(IF(D154&lt;=0,0,MAX(0,(B154/D154)*H154/INDEX(Surface_Engine!$B$12:$B$72,$A154+1)-F154/INDEX(Surface_Engine!$B$12:$B$72,$A154+1))),IF(E154&lt;=0,0,MAX(0,(B154/E154)*I154/INDEX(Surface_Engine!$B$12:$B$72,$A154+1)-F154/INDEX(Surface_Engine!$B$12:$B$72,$A154+1))),IF($A154&lt;$Q$132,MAX(0,-Assumptions!$B$22*(F154/INDEX(Surface_Engine!$B$12:$B$72,$A154+1))),0)))^2+(MAX(0,J154/INDEX(Surface_Engine!$B$12:$B$72,$A154+1)-(F154/INDEX(Surface_Engine!$B$12:$B$72,$A154+1))))^2+2*Assumptions!$B$26*(IF(C154&lt;=0,0,MAX(0,(B154/C154)*G154/INDEX(Surface_Engine!$B$12:$B$72,$A154+1)-F154/INDEX(Surface_Engine!$B$12:$B$72,$A154+1))))*(MAX(IF(D154&lt;=0,0,MAX(0,(B154/D154)*H154/INDEX(Surface_Engine!$B$12:$B$72,$A154+1)-F154/INDEX(Surface_Engine!$B$12:$B$72,$A154+1))),IF(E154&lt;=0,0,MAX(0,(B154/E154)*I154/INDEX(Surface_Engine!$B$12:$B$72,$A154+1)-F154/INDEX(Surface_Engine!$B$12:$B$72,$A154+1))),IF($A154&lt;$Q$132,MAX(0,-Assumptions!$B$22*(F154/INDEX(Surface_Engine!$B$12:$B$72,$A154+1))),0)))+2*Assumptions!$B$27*(IF(C154&lt;=0,0,MAX(0,(B154/C154)*G154/INDEX(Surface_Engine!$B$12:$B$72,$A154+1)-F154/INDEX(Surface_Engine!$B$12:$B$72,$A154+1))))*(MAX(0,J154/INDEX(Surface_Engine!$B$12:$B$72,$A154+1)-(F154/INDEX(Surface_Engine!$B$12:$B$72,$A154+1))))+2*Assumptions!$B$28*(MAX(IF(D154&lt;=0,0,MAX(0,(B154/D154)*H154/INDEX(Surface_Engine!$B$12:$B$72,$A154+1)-F154/INDEX(Surface_Engine!$B$12:$B$72,$A154+1))),IF(E154&lt;=0,0,MAX(0,(B154/E154)*I154/INDEX(Surface_Engine!$B$12:$B$72,$A154+1)-F154/INDEX(Surface_Engine!$B$12:$B$72,$A154+1))),IF($A154&lt;$Q$132,MAX(0,-Assumptions!$B$22*(F154/INDEX(Surface_Engine!$B$12:$B$72,$A154+1))),0)))*(MAX(0,J154/INDEX(Surface_Engine!$B$12:$B$72,$A154+1)-(F154/INDEX(Surface_Engine!$B$12:$B$72,$A154+1)))))</f>
        <v>8581.78325348354</v>
      </c>
      <c r="L154" s="48" t="n">
        <f aca="false">K154*INDEX(Surface_Engine!$B$12:$B$72,$A154+1)+L155</f>
        <v>47846.9224030227</v>
      </c>
      <c r="M154" s="48" t="n">
        <f aca="false">M153+B153*(IF($A153&lt;$Q$132,(Surface_Engine!L236*12)-(Surface_Engine!L236*12)*INDEX(Surface_Engine!$F$12:$F$72,$A153+1)-INDEX(Surface_Engine!$D$12:$D$72,$A153+1),-(1000*12*INDEX(Surface_Engine!$C$12:$C$72,$A153+1)/(1+Assumptions!$B$10)^25+INDEX(Surface_Engine!$D$12:$D$72,$A153+1))))*INDEX(Surface_Engine!$B$12:$B$72,$A153+1)</f>
        <v>24374.8066039514</v>
      </c>
      <c r="N154" s="12" t="n">
        <f aca="false">IF(B154&lt;=0,0,MAX(0,(K154+Assumptions!$B$29*L154/INDEX(Surface_Engine!$B$12:$B$72,$A154+1)-(M154/INDEX(Surface_Engine!$B$12:$B$72,$A154+1)-(F154/INDEX(Surface_Engine!$B$12:$B$72,$A154+1))))/B154))</f>
        <v>18492.9150771276</v>
      </c>
    </row>
    <row r="155" customFormat="false" ht="15" hidden="false" customHeight="true" outlineLevel="0" collapsed="false">
      <c r="A155" s="1" t="n">
        <v>21</v>
      </c>
      <c r="B155" s="32" t="n">
        <f aca="false">INDEX(Surface_Engine!$G$12:$G$72,$A155+1)*IF($A155&lt;$Q$132,INDEX(Surface_Engine!$E$12:$E$72,$A155+1),INDEX(Surface_Engine!$E$12:$E$72,$Q$132+1))</f>
        <v>0.632363304955836</v>
      </c>
      <c r="C155" s="32" t="n">
        <f aca="false">INDEX(Panel_Reserving!$B$8:$B$68,$A155+1)*IF($A155&lt;$Q$132,INDEX(Surface_Engine!$E$12:$E$72,$A155+1),INDEX(Surface_Engine!$E$12:$E$72,$Q$132+1))</f>
        <v>0.65944317547887</v>
      </c>
      <c r="D155" s="32" t="n">
        <f aca="false">INDEX(Surface_Engine!$G$12:$G$72,$A155+1)*IF($A155&lt;$Q$132,INDEX(Surface_Engine!$Y$12:$Y$72,$A155+1),INDEX(Surface_Engine!$Y$12:$Y$72,$Q$132+1))</f>
        <v>0.557242336927802</v>
      </c>
      <c r="E155" s="32" t="n">
        <f aca="false">INDEX(Surface_Engine!$G$12:$G$72,$A155+1)*IF($A155&lt;$Q$132,INDEX(Surface_Engine!$Z$12:$Z$72,$A155+1),INDEX(Surface_Engine!$Z$12:$Z$72,$Q$132+1))</f>
        <v>0.716862100406063</v>
      </c>
      <c r="F155" s="48" t="n">
        <f aca="false">B155*(IF($A155&lt;$Q$132,INDEX(Surface_Engine!$D$12:$D$72,$A155+1)+(Surface_Engine!L236*12)*INDEX(Surface_Engine!$F$12:$F$72,$A155+1)-(Surface_Engine!L236*12),1000*12*INDEX(Surface_Engine!$C$12:$C$72,$A155+1)/(1+Assumptions!$B$10)^25+INDEX(Surface_Engine!$D$12:$D$72,$A155+1)))*INDEX(Surface_Engine!$B$12:$B$72,$A155+1)+F156</f>
        <v>24098.66090764</v>
      </c>
      <c r="G155" s="48" t="n">
        <f aca="false">C155*(IF($A155&lt;$Q$132,INDEX(Surface_Engine!$D$12:$D$72,$A155+1)+(Surface_Engine!L236*12)*INDEX(Surface_Engine!$F$12:$F$72,$A155+1)-(Surface_Engine!L236*12),1000*12*INDEX(Surface_Engine!$C$12:$C$72,$A155+1)/(1+Assumptions!$B$10)^25+INDEX(Surface_Engine!$D$12:$D$72,$A155+1)))*INDEX(Surface_Engine!$B$12:$B$72,$A155+1)+G156</f>
        <v>29565.7316319468</v>
      </c>
      <c r="H155" s="48" t="n">
        <f aca="false">D155*(IF($A155&lt;$Q$132,INDEX(Surface_Engine!$D$12:$D$72,$A155+1)+(Surface_Engine!L236*12)*INDEX(Surface_Engine!$F$12:$F$72,$A155+1)-(Surface_Engine!L236*12),1000*12*INDEX(Surface_Engine!$C$12:$C$72,$A155+1)/(1+Assumptions!$B$10)^25+INDEX(Surface_Engine!$D$12:$D$72,$A155+1)))*INDEX(Surface_Engine!$B$12:$B$72,$A155+1)+H156</f>
        <v>20823.8256679914</v>
      </c>
      <c r="I155" s="48" t="n">
        <f aca="false">E155*(IF($A155&lt;$Q$132,INDEX(Surface_Engine!$D$12:$D$72,$A155+1)+(Surface_Engine!L236*12)*INDEX(Surface_Engine!$F$12:$F$72,$A155+1)-(Surface_Engine!L236*12),1000*12*INDEX(Surface_Engine!$C$12:$C$72,$A155+1)/(1+Assumptions!$B$10)^25+INDEX(Surface_Engine!$D$12:$D$72,$A155+1)))*INDEX(Surface_Engine!$B$12:$B$72,$A155+1)+I156</f>
        <v>27856.3975007851</v>
      </c>
      <c r="J155" s="48" t="n">
        <f aca="false">B155*(IF($A155&lt;$Q$132,INDEX(Surface_Engine!$D$12:$D$72,$A155+1)*(1+Assumptions!$B$24)+(Surface_Engine!L236*12)*INDEX(Surface_Engine!$F$12:$F$72,$A155+1)-(Surface_Engine!L236*12),1000*12*INDEX(Surface_Engine!$C$12:$C$72,$A155+1)/(1+Assumptions!$B$10)^25+INDEX(Surface_Engine!$D$12:$D$72,$A155+1)*(1+Assumptions!$B$24)))*INDEX(Surface_Engine!$B$12:$B$72,$A155+1)+J156</f>
        <v>24149.5944755165</v>
      </c>
      <c r="K155" s="12" t="n">
        <f aca="false">SQRT((IF(C155&lt;=0,0,MAX(0,(B155/C155)*G155/INDEX(Surface_Engine!$B$12:$B$72,$A155+1)-F155/INDEX(Surface_Engine!$B$12:$B$72,$A155+1))))^2+(MAX(IF(D155&lt;=0,0,MAX(0,(B155/D155)*H155/INDEX(Surface_Engine!$B$12:$B$72,$A155+1)-F155/INDEX(Surface_Engine!$B$12:$B$72,$A155+1))),IF(E155&lt;=0,0,MAX(0,(B155/E155)*I155/INDEX(Surface_Engine!$B$12:$B$72,$A155+1)-F155/INDEX(Surface_Engine!$B$12:$B$72,$A155+1))),IF($A155&lt;$Q$132,MAX(0,-Assumptions!$B$22*(F155/INDEX(Surface_Engine!$B$12:$B$72,$A155+1))),0)))^2+(MAX(0,J155/INDEX(Surface_Engine!$B$12:$B$72,$A155+1)-(F155/INDEX(Surface_Engine!$B$12:$B$72,$A155+1))))^2+2*Assumptions!$B$26*(IF(C155&lt;=0,0,MAX(0,(B155/C155)*G155/INDEX(Surface_Engine!$B$12:$B$72,$A155+1)-F155/INDEX(Surface_Engine!$B$12:$B$72,$A155+1))))*(MAX(IF(D155&lt;=0,0,MAX(0,(B155/D155)*H155/INDEX(Surface_Engine!$B$12:$B$72,$A155+1)-F155/INDEX(Surface_Engine!$B$12:$B$72,$A155+1))),IF(E155&lt;=0,0,MAX(0,(B155/E155)*I155/INDEX(Surface_Engine!$B$12:$B$72,$A155+1)-F155/INDEX(Surface_Engine!$B$12:$B$72,$A155+1))),IF($A155&lt;$Q$132,MAX(0,-Assumptions!$B$22*(F155/INDEX(Surface_Engine!$B$12:$B$72,$A155+1))),0)))+2*Assumptions!$B$27*(IF(C155&lt;=0,0,MAX(0,(B155/C155)*G155/INDEX(Surface_Engine!$B$12:$B$72,$A155+1)-F155/INDEX(Surface_Engine!$B$12:$B$72,$A155+1))))*(MAX(0,J155/INDEX(Surface_Engine!$B$12:$B$72,$A155+1)-(F155/INDEX(Surface_Engine!$B$12:$B$72,$A155+1))))+2*Assumptions!$B$28*(MAX(IF(D155&lt;=0,0,MAX(0,(B155/D155)*H155/INDEX(Surface_Engine!$B$12:$B$72,$A155+1)-F155/INDEX(Surface_Engine!$B$12:$B$72,$A155+1))),IF(E155&lt;=0,0,MAX(0,(B155/E155)*I155/INDEX(Surface_Engine!$B$12:$B$72,$A155+1)-F155/INDEX(Surface_Engine!$B$12:$B$72,$A155+1))),IF($A155&lt;$Q$132,MAX(0,-Assumptions!$B$22*(F155/INDEX(Surface_Engine!$B$12:$B$72,$A155+1))),0)))*(MAX(0,J155/INDEX(Surface_Engine!$B$12:$B$72,$A155+1)-(F155/INDEX(Surface_Engine!$B$12:$B$72,$A155+1)))))</f>
        <v>8494.72085751054</v>
      </c>
      <c r="L155" s="48" t="n">
        <f aca="false">K155*INDEX(Surface_Engine!$B$12:$B$72,$A155+1)+L156</f>
        <v>43248.6666679188</v>
      </c>
      <c r="M155" s="48" t="n">
        <f aca="false">M154+B154*(IF($A154&lt;$Q$132,(Surface_Engine!L236*12)-(Surface_Engine!L236*12)*INDEX(Surface_Engine!$F$12:$F$72,$A154+1)-INDEX(Surface_Engine!$D$12:$D$72,$A154+1),-(1000*12*INDEX(Surface_Engine!$C$12:$C$72,$A154+1)/(1+Assumptions!$B$10)^25+INDEX(Surface_Engine!$D$12:$D$72,$A154+1))))*INDEX(Surface_Engine!$B$12:$B$72,$A154+1)</f>
        <v>25081.5187723594</v>
      </c>
      <c r="N155" s="12" t="n">
        <f aca="false">IF(B155&lt;=0,0,MAX(0,(K155+Assumptions!$B$29*L155/INDEX(Surface_Engine!$B$12:$B$72,$A155+1)-(M155/INDEX(Surface_Engine!$B$12:$B$72,$A155+1)-(F155/INDEX(Surface_Engine!$B$12:$B$72,$A155+1))))/B155))</f>
        <v>18342.7906906112</v>
      </c>
    </row>
    <row r="156" customFormat="false" ht="15" hidden="false" customHeight="true" outlineLevel="0" collapsed="false">
      <c r="A156" s="1" t="n">
        <v>22</v>
      </c>
      <c r="B156" s="32" t="n">
        <f aca="false">INDEX(Surface_Engine!$G$12:$G$72,$A156+1)*IF($A156&lt;$Q$132,INDEX(Surface_Engine!$E$12:$E$72,$A156+1),INDEX(Surface_Engine!$E$12:$E$72,$Q$132+1))</f>
        <v>0.608967883066987</v>
      </c>
      <c r="C156" s="32" t="n">
        <f aca="false">INDEX(Panel_Reserving!$B$8:$B$68,$A156+1)*IF($A156&lt;$Q$132,INDEX(Surface_Engine!$E$12:$E$72,$A156+1),INDEX(Surface_Engine!$E$12:$E$72,$Q$132+1))</f>
        <v>0.638725156436872</v>
      </c>
      <c r="D156" s="32" t="n">
        <f aca="false">INDEX(Surface_Engine!$G$12:$G$72,$A156+1)*IF($A156&lt;$Q$132,INDEX(Surface_Engine!$Y$12:$Y$72,$A156+1),INDEX(Surface_Engine!$Y$12:$Y$72,$Q$132+1))</f>
        <v>0.534162078803312</v>
      </c>
      <c r="E156" s="32" t="n">
        <f aca="false">INDEX(Surface_Engine!$G$12:$G$72,$A156+1)*IF($A156&lt;$Q$132,INDEX(Surface_Engine!$Z$12:$Z$72,$A156+1),INDEX(Surface_Engine!$Z$12:$Z$72,$Q$132+1))</f>
        <v>0.693510388348933</v>
      </c>
      <c r="F156" s="48" t="n">
        <f aca="false">B156*(IF($A156&lt;$Q$132,INDEX(Surface_Engine!$D$12:$D$72,$A156+1)+(Surface_Engine!L236*12)*INDEX(Surface_Engine!$F$12:$F$72,$A156+1)-(Surface_Engine!L236*12),1000*12*INDEX(Surface_Engine!$C$12:$C$72,$A156+1)/(1+Assumptions!$B$10)^25+INDEX(Surface_Engine!$D$12:$D$72,$A156+1)))*INDEX(Surface_Engine!$B$12:$B$72,$A156+1)+F157</f>
        <v>24759.166813472</v>
      </c>
      <c r="G156" s="48" t="n">
        <f aca="false">C156*(IF($A156&lt;$Q$132,INDEX(Surface_Engine!$D$12:$D$72,$A156+1)+(Surface_Engine!L236*12)*INDEX(Surface_Engine!$F$12:$F$72,$A156+1)-(Surface_Engine!L236*12),1000*12*INDEX(Surface_Engine!$C$12:$C$72,$A156+1)/(1+Assumptions!$B$10)^25+INDEX(Surface_Engine!$D$12:$D$72,$A156+1)))*INDEX(Surface_Engine!$B$12:$B$72,$A156+1)+G157</f>
        <v>30254.5225667637</v>
      </c>
      <c r="H156" s="48" t="n">
        <f aca="false">D156*(IF($A156&lt;$Q$132,INDEX(Surface_Engine!$D$12:$D$72,$A156+1)+(Surface_Engine!L236*12)*INDEX(Surface_Engine!$F$12:$F$72,$A156+1)-(Surface_Engine!L236*12),1000*12*INDEX(Surface_Engine!$C$12:$C$72,$A156+1)/(1+Assumptions!$B$10)^25+INDEX(Surface_Engine!$D$12:$D$72,$A156+1)))*INDEX(Surface_Engine!$B$12:$B$72,$A156+1)+H157</f>
        <v>21405.8674335967</v>
      </c>
      <c r="I156" s="48" t="n">
        <f aca="false">E156*(IF($A156&lt;$Q$132,INDEX(Surface_Engine!$D$12:$D$72,$A156+1)+(Surface_Engine!L236*12)*INDEX(Surface_Engine!$F$12:$F$72,$A156+1)-(Surface_Engine!L236*12),1000*12*INDEX(Surface_Engine!$C$12:$C$72,$A156+1)/(1+Assumptions!$B$10)^25+INDEX(Surface_Engine!$D$12:$D$72,$A156+1)))*INDEX(Surface_Engine!$B$12:$B$72,$A156+1)+I157</f>
        <v>28605.1627236793</v>
      </c>
      <c r="J156" s="48" t="n">
        <f aca="false">B156*(IF($A156&lt;$Q$132,INDEX(Surface_Engine!$D$12:$D$72,$A156+1)*(1+Assumptions!$B$24)+(Surface_Engine!L236*12)*INDEX(Surface_Engine!$F$12:$F$72,$A156+1)-(Surface_Engine!L236*12),1000*12*INDEX(Surface_Engine!$C$12:$C$72,$A156+1)/(1+Assumptions!$B$10)^25+INDEX(Surface_Engine!$D$12:$D$72,$A156+1)*(1+Assumptions!$B$24)))*INDEX(Surface_Engine!$B$12:$B$72,$A156+1)+J157</f>
        <v>24805.5780784783</v>
      </c>
      <c r="K156" s="12" t="n">
        <f aca="false">SQRT((IF(C156&lt;=0,0,MAX(0,(B156/C156)*G156/INDEX(Surface_Engine!$B$12:$B$72,$A156+1)-F156/INDEX(Surface_Engine!$B$12:$B$72,$A156+1))))^2+(MAX(IF(D156&lt;=0,0,MAX(0,(B156/D156)*H156/INDEX(Surface_Engine!$B$12:$B$72,$A156+1)-F156/INDEX(Surface_Engine!$B$12:$B$72,$A156+1))),IF(E156&lt;=0,0,MAX(0,(B156/E156)*I156/INDEX(Surface_Engine!$B$12:$B$72,$A156+1)-F156/INDEX(Surface_Engine!$B$12:$B$72,$A156+1))),IF($A156&lt;$Q$132,MAX(0,-Assumptions!$B$22*(F156/INDEX(Surface_Engine!$B$12:$B$72,$A156+1))),0)))^2+(MAX(0,J156/INDEX(Surface_Engine!$B$12:$B$72,$A156+1)-(F156/INDEX(Surface_Engine!$B$12:$B$72,$A156+1))))^2+2*Assumptions!$B$26*(IF(C156&lt;=0,0,MAX(0,(B156/C156)*G156/INDEX(Surface_Engine!$B$12:$B$72,$A156+1)-F156/INDEX(Surface_Engine!$B$12:$B$72,$A156+1))))*(MAX(IF(D156&lt;=0,0,MAX(0,(B156/D156)*H156/INDEX(Surface_Engine!$B$12:$B$72,$A156+1)-F156/INDEX(Surface_Engine!$B$12:$B$72,$A156+1))),IF(E156&lt;=0,0,MAX(0,(B156/E156)*I156/INDEX(Surface_Engine!$B$12:$B$72,$A156+1)-F156/INDEX(Surface_Engine!$B$12:$B$72,$A156+1))),IF($A156&lt;$Q$132,MAX(0,-Assumptions!$B$22*(F156/INDEX(Surface_Engine!$B$12:$B$72,$A156+1))),0)))+2*Assumptions!$B$27*(IF(C156&lt;=0,0,MAX(0,(B156/C156)*G156/INDEX(Surface_Engine!$B$12:$B$72,$A156+1)-F156/INDEX(Surface_Engine!$B$12:$B$72,$A156+1))))*(MAX(0,J156/INDEX(Surface_Engine!$B$12:$B$72,$A156+1)-(F156/INDEX(Surface_Engine!$B$12:$B$72,$A156+1))))+2*Assumptions!$B$28*(MAX(IF(D156&lt;=0,0,MAX(0,(B156/D156)*H156/INDEX(Surface_Engine!$B$12:$B$72,$A156+1)-F156/INDEX(Surface_Engine!$B$12:$B$72,$A156+1))),IF(E156&lt;=0,0,MAX(0,(B156/E156)*I156/INDEX(Surface_Engine!$B$12:$B$72,$A156+1)-F156/INDEX(Surface_Engine!$B$12:$B$72,$A156+1))),IF($A156&lt;$Q$132,MAX(0,-Assumptions!$B$22*(F156/INDEX(Surface_Engine!$B$12:$B$72,$A156+1))),0)))*(MAX(0,J156/INDEX(Surface_Engine!$B$12:$B$72,$A156+1)-(F156/INDEX(Surface_Engine!$B$12:$B$72,$A156+1)))))</f>
        <v>8353.76848920706</v>
      </c>
      <c r="L156" s="48" t="n">
        <f aca="false">K156*INDEX(Surface_Engine!$B$12:$B$72,$A156+1)+L157</f>
        <v>38837.7681010893</v>
      </c>
      <c r="M156" s="48" t="n">
        <f aca="false">M155+B155*(IF($A155&lt;$Q$132,(Surface_Engine!L236*12)-(Surface_Engine!L236*12)*INDEX(Surface_Engine!$F$12:$F$72,$A155+1)-INDEX(Surface_Engine!$D$12:$D$72,$A155+1),-(1000*12*INDEX(Surface_Engine!$C$12:$C$72,$A155+1)/(1+Assumptions!$B$10)^25+INDEX(Surface_Engine!$D$12:$D$72,$A155+1))))*INDEX(Surface_Engine!$B$12:$B$72,$A155+1)</f>
        <v>25742.0246781914</v>
      </c>
      <c r="N156" s="12" t="n">
        <f aca="false">IF(B156&lt;=0,0,MAX(0,(K156+Assumptions!$B$29*L156/INDEX(Surface_Engine!$B$12:$B$72,$A156+1)-(M156/INDEX(Surface_Engine!$B$12:$B$72,$A156+1)-(F156/INDEX(Surface_Engine!$B$12:$B$72,$A156+1))))/B156))</f>
        <v>18115.0793208096</v>
      </c>
    </row>
    <row r="157" customFormat="false" ht="15" hidden="false" customHeight="true" outlineLevel="0" collapsed="false">
      <c r="A157" s="1" t="n">
        <v>23</v>
      </c>
      <c r="B157" s="32" t="n">
        <f aca="false">INDEX(Surface_Engine!$G$12:$G$72,$A157+1)*IF($A157&lt;$Q$132,INDEX(Surface_Engine!$E$12:$E$72,$A157+1),INDEX(Surface_Engine!$E$12:$E$72,$Q$132+1))</f>
        <v>0.584357475745609</v>
      </c>
      <c r="C157" s="32" t="n">
        <f aca="false">INDEX(Panel_Reserving!$B$8:$B$68,$A157+1)*IF($A157&lt;$Q$132,INDEX(Surface_Engine!$E$12:$E$72,$A157+1),INDEX(Surface_Engine!$E$12:$E$72,$Q$132+1))</f>
        <v>0.616912278884506</v>
      </c>
      <c r="D157" s="32" t="n">
        <f aca="false">INDEX(Surface_Engine!$G$12:$G$72,$A157+1)*IF($A157&lt;$Q$132,INDEX(Surface_Engine!$Y$12:$Y$72,$A157+1),INDEX(Surface_Engine!$Y$12:$Y$72,$Q$132+1))</f>
        <v>0.510221188072878</v>
      </c>
      <c r="E157" s="32" t="n">
        <f aca="false">INDEX(Surface_Engine!$G$12:$G$72,$A157+1)*IF($A157&lt;$Q$132,INDEX(Surface_Engine!$Z$12:$Z$72,$A157+1),INDEX(Surface_Engine!$Z$12:$Z$72,$Q$132+1))</f>
        <v>0.668539095200783</v>
      </c>
      <c r="F157" s="48" t="n">
        <f aca="false">B157*(IF($A157&lt;$Q$132,INDEX(Surface_Engine!$D$12:$D$72,$A157+1)+(Surface_Engine!L236*12)*INDEX(Surface_Engine!$F$12:$F$72,$A157+1)-(Surface_Engine!L236*12),1000*12*INDEX(Surface_Engine!$C$12:$C$72,$A157+1)/(1+Assumptions!$B$10)^25+INDEX(Surface_Engine!$D$12:$D$72,$A157+1)))*INDEX(Surface_Engine!$B$12:$B$72,$A157+1)+F158</f>
        <v>25374.5057310426</v>
      </c>
      <c r="G157" s="48" t="n">
        <f aca="false">C157*(IF($A157&lt;$Q$132,INDEX(Surface_Engine!$D$12:$D$72,$A157+1)+(Surface_Engine!L236*12)*INDEX(Surface_Engine!$F$12:$F$72,$A157+1)-(Surface_Engine!L236*12),1000*12*INDEX(Surface_Engine!$C$12:$C$72,$A157+1)/(1+Assumptions!$B$10)^25+INDEX(Surface_Engine!$D$12:$D$72,$A157+1)))*INDEX(Surface_Engine!$B$12:$B$72,$A157+1)+G158</f>
        <v>30899.9300789095</v>
      </c>
      <c r="H157" s="48" t="n">
        <f aca="false">D157*(IF($A157&lt;$Q$132,INDEX(Surface_Engine!$D$12:$D$72,$A157+1)+(Surface_Engine!L236*12)*INDEX(Surface_Engine!$F$12:$F$72,$A157+1)-(Surface_Engine!L236*12),1000*12*INDEX(Surface_Engine!$C$12:$C$72,$A157+1)/(1+Assumptions!$B$10)^25+INDEX(Surface_Engine!$D$12:$D$72,$A157+1)))*INDEX(Surface_Engine!$B$12:$B$72,$A157+1)+H158</f>
        <v>21945.6179270426</v>
      </c>
      <c r="I157" s="48" t="n">
        <f aca="false">E157*(IF($A157&lt;$Q$132,INDEX(Surface_Engine!$D$12:$D$72,$A157+1)+(Surface_Engine!L236*12)*INDEX(Surface_Engine!$F$12:$F$72,$A157+1)-(Surface_Engine!L236*12),1000*12*INDEX(Surface_Engine!$C$12:$C$72,$A157+1)/(1+Assumptions!$B$10)^25+INDEX(Surface_Engine!$D$12:$D$72,$A157+1)))*INDEX(Surface_Engine!$B$12:$B$72,$A157+1)+I158</f>
        <v>29305.928631959</v>
      </c>
      <c r="J157" s="48" t="n">
        <f aca="false">B157*(IF($A157&lt;$Q$132,INDEX(Surface_Engine!$D$12:$D$72,$A157+1)*(1+Assumptions!$B$24)+(Surface_Engine!L236*12)*INDEX(Surface_Engine!$F$12:$F$72,$A157+1)-(Surface_Engine!L236*12),1000*12*INDEX(Surface_Engine!$C$12:$C$72,$A157+1)/(1+Assumptions!$B$10)^25+INDEX(Surface_Engine!$D$12:$D$72,$A157+1)*(1+Assumptions!$B$24)))*INDEX(Surface_Engine!$B$12:$B$72,$A157+1)+J158</f>
        <v>25416.5912083727</v>
      </c>
      <c r="K157" s="12" t="n">
        <f aca="false">SQRT((IF(C157&lt;=0,0,MAX(0,(B157/C157)*G157/INDEX(Surface_Engine!$B$12:$B$72,$A157+1)-F157/INDEX(Surface_Engine!$B$12:$B$72,$A157+1))))^2+(MAX(IF(D157&lt;=0,0,MAX(0,(B157/D157)*H157/INDEX(Surface_Engine!$B$12:$B$72,$A157+1)-F157/INDEX(Surface_Engine!$B$12:$B$72,$A157+1))),IF(E157&lt;=0,0,MAX(0,(B157/E157)*I157/INDEX(Surface_Engine!$B$12:$B$72,$A157+1)-F157/INDEX(Surface_Engine!$B$12:$B$72,$A157+1))),IF($A157&lt;$Q$132,MAX(0,-Assumptions!$B$22*(F157/INDEX(Surface_Engine!$B$12:$B$72,$A157+1))),0)))^2+(MAX(0,J157/INDEX(Surface_Engine!$B$12:$B$72,$A157+1)-(F157/INDEX(Surface_Engine!$B$12:$B$72,$A157+1))))^2+2*Assumptions!$B$26*(IF(C157&lt;=0,0,MAX(0,(B157/C157)*G157/INDEX(Surface_Engine!$B$12:$B$72,$A157+1)-F157/INDEX(Surface_Engine!$B$12:$B$72,$A157+1))))*(MAX(IF(D157&lt;=0,0,MAX(0,(B157/D157)*H157/INDEX(Surface_Engine!$B$12:$B$72,$A157+1)-F157/INDEX(Surface_Engine!$B$12:$B$72,$A157+1))),IF(E157&lt;=0,0,MAX(0,(B157/E157)*I157/INDEX(Surface_Engine!$B$12:$B$72,$A157+1)-F157/INDEX(Surface_Engine!$B$12:$B$72,$A157+1))),IF($A157&lt;$Q$132,MAX(0,-Assumptions!$B$22*(F157/INDEX(Surface_Engine!$B$12:$B$72,$A157+1))),0)))+2*Assumptions!$B$27*(IF(C157&lt;=0,0,MAX(0,(B157/C157)*G157/INDEX(Surface_Engine!$B$12:$B$72,$A157+1)-F157/INDEX(Surface_Engine!$B$12:$B$72,$A157+1))))*(MAX(0,J157/INDEX(Surface_Engine!$B$12:$B$72,$A157+1)-(F157/INDEX(Surface_Engine!$B$12:$B$72,$A157+1))))+2*Assumptions!$B$28*(MAX(IF(D157&lt;=0,0,MAX(0,(B157/D157)*H157/INDEX(Surface_Engine!$B$12:$B$72,$A157+1)-F157/INDEX(Surface_Engine!$B$12:$B$72,$A157+1))),IF(E157&lt;=0,0,MAX(0,(B157/E157)*I157/INDEX(Surface_Engine!$B$12:$B$72,$A157+1)-F157/INDEX(Surface_Engine!$B$12:$B$72,$A157+1))),IF($A157&lt;$Q$132,MAX(0,-Assumptions!$B$22*(F157/INDEX(Surface_Engine!$B$12:$B$72,$A157+1))),0)))*(MAX(0,J157/INDEX(Surface_Engine!$B$12:$B$72,$A157+1)-(F157/INDEX(Surface_Engine!$B$12:$B$72,$A157+1)))))</f>
        <v>8149.5660216288</v>
      </c>
      <c r="L157" s="48" t="n">
        <f aca="false">K157*INDEX(Surface_Engine!$B$12:$B$72,$A157+1)+L158</f>
        <v>34634.2361310469</v>
      </c>
      <c r="M157" s="48" t="n">
        <f aca="false">M156+B156*(IF($A156&lt;$Q$132,(Surface_Engine!L236*12)-(Surface_Engine!L236*12)*INDEX(Surface_Engine!$F$12:$F$72,$A156+1)-INDEX(Surface_Engine!$D$12:$D$72,$A156+1),-(1000*12*INDEX(Surface_Engine!$C$12:$C$72,$A156+1)/(1+Assumptions!$B$10)^25+INDEX(Surface_Engine!$D$12:$D$72,$A156+1))))*INDEX(Surface_Engine!$B$12:$B$72,$A156+1)</f>
        <v>26357.363595762</v>
      </c>
      <c r="N157" s="12" t="n">
        <f aca="false">IF(B157&lt;=0,0,MAX(0,(K157+Assumptions!$B$29*L157/INDEX(Surface_Engine!$B$12:$B$72,$A157+1)-(M157/INDEX(Surface_Engine!$B$12:$B$72,$A157+1)-(F157/INDEX(Surface_Engine!$B$12:$B$72,$A157+1))))/B157))</f>
        <v>17789.7794485751</v>
      </c>
    </row>
    <row r="158" customFormat="false" ht="15" hidden="false" customHeight="true" outlineLevel="0" collapsed="false">
      <c r="A158" s="1" t="n">
        <v>24</v>
      </c>
      <c r="B158" s="32" t="n">
        <f aca="false">INDEX(Surface_Engine!$G$12:$G$72,$A158+1)*IF($A158&lt;$Q$132,INDEX(Surface_Engine!$E$12:$E$72,$A158+1),INDEX(Surface_Engine!$E$12:$E$72,$Q$132+1))</f>
        <v>0.558503854457862</v>
      </c>
      <c r="C158" s="32" t="n">
        <f aca="false">INDEX(Panel_Reserving!$B$8:$B$68,$A158+1)*IF($A158&lt;$Q$132,INDEX(Surface_Engine!$E$12:$E$72,$A158+1),INDEX(Surface_Engine!$E$12:$E$72,$Q$132+1))</f>
        <v>0.593954348529567</v>
      </c>
      <c r="D158" s="32" t="n">
        <f aca="false">INDEX(Surface_Engine!$G$12:$G$72,$A158+1)*IF($A158&lt;$Q$132,INDEX(Surface_Engine!$Y$12:$Y$72,$A158+1),INDEX(Surface_Engine!$Y$12:$Y$72,$Q$132+1))</f>
        <v>0.485408392153404</v>
      </c>
      <c r="E158" s="32" t="n">
        <f aca="false">INDEX(Surface_Engine!$G$12:$G$72,$A158+1)*IF($A158&lt;$Q$132,INDEX(Surface_Engine!$Z$12:$Z$72,$A158+1),INDEX(Surface_Engine!$Z$12:$Z$72,$Q$132+1))</f>
        <v>0.641895013752031</v>
      </c>
      <c r="F158" s="48" t="n">
        <f aca="false">B158*(IF($A158&lt;$Q$132,INDEX(Surface_Engine!$D$12:$D$72,$A158+1)+(Surface_Engine!L236*12)*INDEX(Surface_Engine!$F$12:$F$72,$A158+1)-(Surface_Engine!L236*12),1000*12*INDEX(Surface_Engine!$C$12:$C$72,$A158+1)/(1+Assumptions!$B$10)^25+INDEX(Surface_Engine!$D$12:$D$72,$A158+1)))*INDEX(Surface_Engine!$B$12:$B$72,$A158+1)+F159</f>
        <v>25945.6952184004</v>
      </c>
      <c r="G158" s="48" t="n">
        <f aca="false">C158*(IF($A158&lt;$Q$132,INDEX(Surface_Engine!$D$12:$D$72,$A158+1)+(Surface_Engine!L236*12)*INDEX(Surface_Engine!$F$12:$F$72,$A158+1)-(Surface_Engine!L236*12),1000*12*INDEX(Surface_Engine!$C$12:$C$72,$A158+1)/(1+Assumptions!$B$10)^25+INDEX(Surface_Engine!$D$12:$D$72,$A158+1)))*INDEX(Surface_Engine!$B$12:$B$72,$A158+1)+G159</f>
        <v>31502.9407751809</v>
      </c>
      <c r="H158" s="48" t="n">
        <f aca="false">D158*(IF($A158&lt;$Q$132,INDEX(Surface_Engine!$D$12:$D$72,$A158+1)+(Surface_Engine!L236*12)*INDEX(Surface_Engine!$F$12:$F$72,$A158+1)-(Surface_Engine!L236*12),1000*12*INDEX(Surface_Engine!$C$12:$C$72,$A158+1)/(1+Assumptions!$B$10)^25+INDEX(Surface_Engine!$D$12:$D$72,$A158+1)))*INDEX(Surface_Engine!$B$12:$B$72,$A158+1)+H159</f>
        <v>22444.3417236066</v>
      </c>
      <c r="I158" s="48" t="n">
        <f aca="false">E158*(IF($A158&lt;$Q$132,INDEX(Surface_Engine!$D$12:$D$72,$A158+1)+(Surface_Engine!L236*12)*INDEX(Surface_Engine!$F$12:$F$72,$A158+1)-(Surface_Engine!L236*12),1000*12*INDEX(Surface_Engine!$C$12:$C$72,$A158+1)/(1+Assumptions!$B$10)^25+INDEX(Surface_Engine!$D$12:$D$72,$A158+1)))*INDEX(Surface_Engine!$B$12:$B$72,$A158+1)+I159</f>
        <v>29959.4027790624</v>
      </c>
      <c r="J158" s="48" t="n">
        <f aca="false">B158*(IF($A158&lt;$Q$132,INDEX(Surface_Engine!$D$12:$D$72,$A158+1)*(1+Assumptions!$B$24)+(Surface_Engine!L236*12)*INDEX(Surface_Engine!$F$12:$F$72,$A158+1)-(Surface_Engine!L236*12),1000*12*INDEX(Surface_Engine!$C$12:$C$72,$A158+1)/(1+Assumptions!$B$10)^25+INDEX(Surface_Engine!$D$12:$D$72,$A158+1)*(1+Assumptions!$B$24)))*INDEX(Surface_Engine!$B$12:$B$72,$A158+1)+J159</f>
        <v>25983.6576436273</v>
      </c>
      <c r="K158" s="12" t="n">
        <f aca="false">SQRT((IF(C158&lt;=0,0,MAX(0,(B158/C158)*G158/INDEX(Surface_Engine!$B$12:$B$72,$A158+1)-F158/INDEX(Surface_Engine!$B$12:$B$72,$A158+1))))^2+(MAX(IF(D158&lt;=0,0,MAX(0,(B158/D158)*H158/INDEX(Surface_Engine!$B$12:$B$72,$A158+1)-F158/INDEX(Surface_Engine!$B$12:$B$72,$A158+1))),IF(E158&lt;=0,0,MAX(0,(B158/E158)*I158/INDEX(Surface_Engine!$B$12:$B$72,$A158+1)-F158/INDEX(Surface_Engine!$B$12:$B$72,$A158+1))),IF($A158&lt;$Q$132,MAX(0,-Assumptions!$B$22*(F158/INDEX(Surface_Engine!$B$12:$B$72,$A158+1))),0)))^2+(MAX(0,J158/INDEX(Surface_Engine!$B$12:$B$72,$A158+1)-(F158/INDEX(Surface_Engine!$B$12:$B$72,$A158+1))))^2+2*Assumptions!$B$26*(IF(C158&lt;=0,0,MAX(0,(B158/C158)*G158/INDEX(Surface_Engine!$B$12:$B$72,$A158+1)-F158/INDEX(Surface_Engine!$B$12:$B$72,$A158+1))))*(MAX(IF(D158&lt;=0,0,MAX(0,(B158/D158)*H158/INDEX(Surface_Engine!$B$12:$B$72,$A158+1)-F158/INDEX(Surface_Engine!$B$12:$B$72,$A158+1))),IF(E158&lt;=0,0,MAX(0,(B158/E158)*I158/INDEX(Surface_Engine!$B$12:$B$72,$A158+1)-F158/INDEX(Surface_Engine!$B$12:$B$72,$A158+1))),IF($A158&lt;$Q$132,MAX(0,-Assumptions!$B$22*(F158/INDEX(Surface_Engine!$B$12:$B$72,$A158+1))),0)))+2*Assumptions!$B$27*(IF(C158&lt;=0,0,MAX(0,(B158/C158)*G158/INDEX(Surface_Engine!$B$12:$B$72,$A158+1)-F158/INDEX(Surface_Engine!$B$12:$B$72,$A158+1))))*(MAX(0,J158/INDEX(Surface_Engine!$B$12:$B$72,$A158+1)-(F158/INDEX(Surface_Engine!$B$12:$B$72,$A158+1))))+2*Assumptions!$B$28*(MAX(IF(D158&lt;=0,0,MAX(0,(B158/D158)*H158/INDEX(Surface_Engine!$B$12:$B$72,$A158+1)-F158/INDEX(Surface_Engine!$B$12:$B$72,$A158+1))),IF(E158&lt;=0,0,MAX(0,(B158/E158)*I158/INDEX(Surface_Engine!$B$12:$B$72,$A158+1)-F158/INDEX(Surface_Engine!$B$12:$B$72,$A158+1))),IF($A158&lt;$Q$132,MAX(0,-Assumptions!$B$22*(F158/INDEX(Surface_Engine!$B$12:$B$72,$A158+1))),0)))*(MAX(0,J158/INDEX(Surface_Engine!$B$12:$B$72,$A158+1)-(F158/INDEX(Surface_Engine!$B$12:$B$72,$A158+1)))))</f>
        <v>7873.43818564313</v>
      </c>
      <c r="L158" s="48" t="n">
        <f aca="false">K158*INDEX(Surface_Engine!$B$12:$B$72,$A158+1)+L159</f>
        <v>30660.3817864287</v>
      </c>
      <c r="M158" s="48" t="n">
        <f aca="false">M157+B157*(IF($A157&lt;$Q$132,(Surface_Engine!L236*12)-(Surface_Engine!L236*12)*INDEX(Surface_Engine!$F$12:$F$72,$A157+1)-INDEX(Surface_Engine!$D$12:$D$72,$A157+1),-(1000*12*INDEX(Surface_Engine!$C$12:$C$72,$A157+1)/(1+Assumptions!$B$10)^25+INDEX(Surface_Engine!$D$12:$D$72,$A157+1))))*INDEX(Surface_Engine!$B$12:$B$72,$A157+1)</f>
        <v>26928.5530831198</v>
      </c>
      <c r="N158" s="12" t="n">
        <f aca="false">IF(B158&lt;=0,0,MAX(0,(K158+Assumptions!$B$29*L158/INDEX(Surface_Engine!$B$12:$B$72,$A158+1)-(M158/INDEX(Surface_Engine!$B$12:$B$72,$A158+1)-(F158/INDEX(Surface_Engine!$B$12:$B$72,$A158+1))))/B158))</f>
        <v>17344.6717625223</v>
      </c>
    </row>
    <row r="159" customFormat="false" ht="15" hidden="false" customHeight="true" outlineLevel="0" collapsed="false">
      <c r="A159" s="1" t="n">
        <v>25</v>
      </c>
      <c r="B159" s="32" t="n">
        <f aca="false">INDEX(Surface_Engine!$G$12:$G$72,$A159+1)*IF($A159&lt;$Q$132,INDEX(Surface_Engine!$E$12:$E$72,$A159+1),INDEX(Surface_Engine!$E$12:$E$72,$Q$132+1))</f>
        <v>0.531404311681528</v>
      </c>
      <c r="C159" s="32" t="n">
        <f aca="false">INDEX(Panel_Reserving!$B$8:$B$68,$A159+1)*IF($A159&lt;$Q$132,INDEX(Surface_Engine!$E$12:$E$72,$A159+1),INDEX(Surface_Engine!$E$12:$E$72,$Q$132+1))</f>
        <v>0.569817623499217</v>
      </c>
      <c r="D159" s="32" t="n">
        <f aca="false">INDEX(Surface_Engine!$G$12:$G$72,$A159+1)*IF($A159&lt;$Q$132,INDEX(Surface_Engine!$Y$12:$Y$72,$A159+1),INDEX(Surface_Engine!$Y$12:$Y$72,$Q$132+1))</f>
        <v>0.459734822114588</v>
      </c>
      <c r="E159" s="32" t="n">
        <f aca="false">INDEX(Surface_Engine!$G$12:$G$72,$A159+1)*IF($A159&lt;$Q$132,INDEX(Surface_Engine!$Z$12:$Z$72,$A159+1),INDEX(Surface_Engine!$Z$12:$Z$72,$Q$132+1))</f>
        <v>0.613553621336743</v>
      </c>
      <c r="F159" s="48" t="n">
        <f aca="false">B159*(IF($A159&lt;$Q$132,INDEX(Surface_Engine!$D$12:$D$72,$A159+1)+(Surface_Engine!L236*12)*INDEX(Surface_Engine!$F$12:$F$72,$A159+1)-(Surface_Engine!L236*12),1000*12*INDEX(Surface_Engine!$C$12:$C$72,$A159+1)/(1+Assumptions!$B$10)^25+INDEX(Surface_Engine!$D$12:$D$72,$A159+1)))*INDEX(Surface_Engine!$B$12:$B$72,$A159+1)+F160</f>
        <v>26473.6289902614</v>
      </c>
      <c r="G159" s="48" t="n">
        <f aca="false">C159*(IF($A159&lt;$Q$132,INDEX(Surface_Engine!$D$12:$D$72,$A159+1)+(Surface_Engine!L236*12)*INDEX(Surface_Engine!$F$12:$F$72,$A159+1)-(Surface_Engine!L236*12),1000*12*INDEX(Surface_Engine!$C$12:$C$72,$A159+1)/(1+Assumptions!$B$10)^25+INDEX(Surface_Engine!$D$12:$D$72,$A159+1)))*INDEX(Surface_Engine!$B$12:$B$72,$A159+1)+G160</f>
        <v>32064.3846345735</v>
      </c>
      <c r="H159" s="48" t="n">
        <f aca="false">D159*(IF($A159&lt;$Q$132,INDEX(Surface_Engine!$D$12:$D$72,$A159+1)+(Surface_Engine!L236*12)*INDEX(Surface_Engine!$F$12:$F$72,$A159+1)-(Surface_Engine!L236*12),1000*12*INDEX(Surface_Engine!$C$12:$C$72,$A159+1)/(1+Assumptions!$B$10)^25+INDEX(Surface_Engine!$D$12:$D$72,$A159+1)))*INDEX(Surface_Engine!$B$12:$B$72,$A159+1)+H160</f>
        <v>22903.1809622566</v>
      </c>
      <c r="I159" s="48" t="n">
        <f aca="false">E159*(IF($A159&lt;$Q$132,INDEX(Surface_Engine!$D$12:$D$72,$A159+1)+(Surface_Engine!L236*12)*INDEX(Surface_Engine!$F$12:$F$72,$A159+1)-(Surface_Engine!L236*12),1000*12*INDEX(Surface_Engine!$C$12:$C$72,$A159+1)/(1+Assumptions!$B$10)^25+INDEX(Surface_Engine!$D$12:$D$72,$A159+1)))*INDEX(Surface_Engine!$B$12:$B$72,$A159+1)+I160</f>
        <v>30566.1632392527</v>
      </c>
      <c r="J159" s="48" t="n">
        <f aca="false">B159*(IF($A159&lt;$Q$132,INDEX(Surface_Engine!$D$12:$D$72,$A159+1)*(1+Assumptions!$B$24)+(Surface_Engine!L236*12)*INDEX(Surface_Engine!$F$12:$F$72,$A159+1)-(Surface_Engine!L236*12),1000*12*INDEX(Surface_Engine!$C$12:$C$72,$A159+1)/(1+Assumptions!$B$10)^25+INDEX(Surface_Engine!$D$12:$D$72,$A159+1)*(1+Assumptions!$B$24)))*INDEX(Surface_Engine!$B$12:$B$72,$A159+1)+J160</f>
        <v>26507.6782667205</v>
      </c>
      <c r="K159" s="12" t="n">
        <f aca="false">SQRT((IF(C159&lt;=0,0,MAX(0,(B159/C159)*G159/INDEX(Surface_Engine!$B$12:$B$72,$A159+1)-F159/INDEX(Surface_Engine!$B$12:$B$72,$A159+1))))^2+(MAX(IF(D159&lt;=0,0,MAX(0,(B159/D159)*H159/INDEX(Surface_Engine!$B$12:$B$72,$A159+1)-F159/INDEX(Surface_Engine!$B$12:$B$72,$A159+1))),IF(E159&lt;=0,0,MAX(0,(B159/E159)*I159/INDEX(Surface_Engine!$B$12:$B$72,$A159+1)-F159/INDEX(Surface_Engine!$B$12:$B$72,$A159+1))),IF($A159&lt;$Q$132,MAX(0,-Assumptions!$B$22*(F159/INDEX(Surface_Engine!$B$12:$B$72,$A159+1))),0)))^2+(MAX(0,J159/INDEX(Surface_Engine!$B$12:$B$72,$A159+1)-(F159/INDEX(Surface_Engine!$B$12:$B$72,$A159+1))))^2+2*Assumptions!$B$26*(IF(C159&lt;=0,0,MAX(0,(B159/C159)*G159/INDEX(Surface_Engine!$B$12:$B$72,$A159+1)-F159/INDEX(Surface_Engine!$B$12:$B$72,$A159+1))))*(MAX(IF(D159&lt;=0,0,MAX(0,(B159/D159)*H159/INDEX(Surface_Engine!$B$12:$B$72,$A159+1)-F159/INDEX(Surface_Engine!$B$12:$B$72,$A159+1))),IF(E159&lt;=0,0,MAX(0,(B159/E159)*I159/INDEX(Surface_Engine!$B$12:$B$72,$A159+1)-F159/INDEX(Surface_Engine!$B$12:$B$72,$A159+1))),IF($A159&lt;$Q$132,MAX(0,-Assumptions!$B$22*(F159/INDEX(Surface_Engine!$B$12:$B$72,$A159+1))),0)))+2*Assumptions!$B$27*(IF(C159&lt;=0,0,MAX(0,(B159/C159)*G159/INDEX(Surface_Engine!$B$12:$B$72,$A159+1)-F159/INDEX(Surface_Engine!$B$12:$B$72,$A159+1))))*(MAX(0,J159/INDEX(Surface_Engine!$B$12:$B$72,$A159+1)-(F159/INDEX(Surface_Engine!$B$12:$B$72,$A159+1))))+2*Assumptions!$B$28*(MAX(IF(D159&lt;=0,0,MAX(0,(B159/D159)*H159/INDEX(Surface_Engine!$B$12:$B$72,$A159+1)-F159/INDEX(Surface_Engine!$B$12:$B$72,$A159+1))),IF(E159&lt;=0,0,MAX(0,(B159/E159)*I159/INDEX(Surface_Engine!$B$12:$B$72,$A159+1)-F159/INDEX(Surface_Engine!$B$12:$B$72,$A159+1))),IF($A159&lt;$Q$132,MAX(0,-Assumptions!$B$22*(F159/INDEX(Surface_Engine!$B$12:$B$72,$A159+1))),0)))*(MAX(0,J159/INDEX(Surface_Engine!$B$12:$B$72,$A159+1)-(F159/INDEX(Surface_Engine!$B$12:$B$72,$A159+1)))))</f>
        <v>7510.1732026737</v>
      </c>
      <c r="L159" s="48" t="n">
        <f aca="false">K159*INDEX(Surface_Engine!$B$12:$B$72,$A159+1)+L160</f>
        <v>26940.938126144</v>
      </c>
      <c r="M159" s="48" t="n">
        <f aca="false">M158+B158*(IF($A158&lt;$Q$132,(Surface_Engine!L236*12)-(Surface_Engine!L236*12)*INDEX(Surface_Engine!$F$12:$F$72,$A158+1)-INDEX(Surface_Engine!$D$12:$D$72,$A158+1),-(1000*12*INDEX(Surface_Engine!$C$12:$C$72,$A158+1)/(1+Assumptions!$B$10)^25+INDEX(Surface_Engine!$D$12:$D$72,$A158+1))))*INDEX(Surface_Engine!$B$12:$B$72,$A158+1)</f>
        <v>27456.4868549808</v>
      </c>
      <c r="N159" s="12" t="n">
        <f aca="false">IF(B159&lt;=0,0,MAX(0,(K159+Assumptions!$B$29*L159/INDEX(Surface_Engine!$B$12:$B$72,$A159+1)-(M159/INDEX(Surface_Engine!$B$12:$B$72,$A159+1)-(F159/INDEX(Surface_Engine!$B$12:$B$72,$A159+1))))/B159))</f>
        <v>16737.3509786354</v>
      </c>
    </row>
    <row r="160" customFormat="false" ht="15" hidden="false" customHeight="true" outlineLevel="0" collapsed="false">
      <c r="A160" s="1" t="n">
        <v>26</v>
      </c>
      <c r="B160" s="32" t="n">
        <f aca="false">INDEX(Surface_Engine!$G$12:$G$72,$A160+1)*IF($A160&lt;$Q$132,INDEX(Surface_Engine!$E$12:$E$72,$A160+1),INDEX(Surface_Engine!$E$12:$E$72,$Q$132+1))</f>
        <v>0.506927443015469</v>
      </c>
      <c r="C160" s="32" t="n">
        <f aca="false">INDEX(Panel_Reserving!$B$8:$B$68,$A160+1)*IF($A160&lt;$Q$132,INDEX(Surface_Engine!$E$12:$E$72,$A160+1),INDEX(Surface_Engine!$E$12:$E$72,$Q$132+1))</f>
        <v>0.548820652526418</v>
      </c>
      <c r="D160" s="32" t="n">
        <f aca="false">INDEX(Surface_Engine!$G$12:$G$72,$A160+1)*IF($A160&lt;$Q$132,INDEX(Surface_Engine!$Y$12:$Y$72,$A160+1),INDEX(Surface_Engine!$Y$12:$Y$72,$Q$132+1))</f>
        <v>0.43855910220651</v>
      </c>
      <c r="E160" s="32" t="n">
        <f aca="false">INDEX(Surface_Engine!$G$12:$G$72,$A160+1)*IF($A160&lt;$Q$132,INDEX(Surface_Engine!$Z$12:$Z$72,$A160+1),INDEX(Surface_Engine!$Z$12:$Z$72,$Q$132+1))</f>
        <v>0.585292895785753</v>
      </c>
      <c r="F160" s="48" t="n">
        <f aca="false">B160*(IF($A160&lt;$Q$132,INDEX(Surface_Engine!$D$12:$D$72,$A160+1)+(Surface_Engine!L236*12)*INDEX(Surface_Engine!$F$12:$F$72,$A160+1)-(Surface_Engine!L236*12),1000*12*INDEX(Surface_Engine!$C$12:$C$72,$A160+1)/(1+Assumptions!$B$10)^25+INDEX(Surface_Engine!$D$12:$D$72,$A160+1)))*INDEX(Surface_Engine!$B$12:$B$72,$A160+1)+F161</f>
        <v>23517.5792817515</v>
      </c>
      <c r="G160" s="48" t="n">
        <f aca="false">C160*(IF($A160&lt;$Q$132,INDEX(Surface_Engine!$D$12:$D$72,$A160+1)+(Surface_Engine!L236*12)*INDEX(Surface_Engine!$F$12:$F$72,$A160+1)-(Surface_Engine!L236*12),1000*12*INDEX(Surface_Engine!$C$12:$C$72,$A160+1)/(1+Assumptions!$B$10)^25+INDEX(Surface_Engine!$D$12:$D$72,$A160+1)))*INDEX(Surface_Engine!$B$12:$B$72,$A160+1)+G161</f>
        <v>28894.6526944643</v>
      </c>
      <c r="H160" s="48" t="n">
        <f aca="false">D160*(IF($A160&lt;$Q$132,INDEX(Surface_Engine!$D$12:$D$72,$A160+1)+(Surface_Engine!L236*12)*INDEX(Surface_Engine!$F$12:$F$72,$A160+1)-(Surface_Engine!L236*12),1000*12*INDEX(Surface_Engine!$C$12:$C$72,$A160+1)/(1+Assumptions!$B$10)^25+INDEX(Surface_Engine!$D$12:$D$72,$A160+1)))*INDEX(Surface_Engine!$B$12:$B$72,$A160+1)+H161</f>
        <v>20345.8080598738</v>
      </c>
      <c r="I160" s="48" t="n">
        <f aca="false">E160*(IF($A160&lt;$Q$132,INDEX(Surface_Engine!$D$12:$D$72,$A160+1)+(Surface_Engine!L236*12)*INDEX(Surface_Engine!$F$12:$F$72,$A160+1)-(Surface_Engine!L236*12),1000*12*INDEX(Surface_Engine!$C$12:$C$72,$A160+1)/(1+Assumptions!$B$10)^25+INDEX(Surface_Engine!$D$12:$D$72,$A160+1)))*INDEX(Surface_Engine!$B$12:$B$72,$A160+1)+I161</f>
        <v>27153.1404924695</v>
      </c>
      <c r="J160" s="48" t="n">
        <f aca="false">B160*(IF($A160&lt;$Q$132,INDEX(Surface_Engine!$D$12:$D$72,$A160+1)*(1+Assumptions!$B$24)+(Surface_Engine!L236*12)*INDEX(Surface_Engine!$F$12:$F$72,$A160+1)-(Surface_Engine!L236*12),1000*12*INDEX(Surface_Engine!$C$12:$C$72,$A160+1)/(1+Assumptions!$B$10)^25+INDEX(Surface_Engine!$D$12:$D$72,$A160+1)*(1+Assumptions!$B$24)))*INDEX(Surface_Engine!$B$12:$B$72,$A160+1)+J161</f>
        <v>23547.9305010281</v>
      </c>
      <c r="K160" s="12" t="n">
        <f aca="false">SQRT((IF(C160&lt;=0,0,MAX(0,(B160/C160)*G160/INDEX(Surface_Engine!$B$12:$B$72,$A160+1)-F160/INDEX(Surface_Engine!$B$12:$B$72,$A160+1))))^2+(MAX(IF(D160&lt;=0,0,MAX(0,(B160/D160)*H160/INDEX(Surface_Engine!$B$12:$B$72,$A160+1)-F160/INDEX(Surface_Engine!$B$12:$B$72,$A160+1))),IF(E160&lt;=0,0,MAX(0,(B160/E160)*I160/INDEX(Surface_Engine!$B$12:$B$72,$A160+1)-F160/INDEX(Surface_Engine!$B$12:$B$72,$A160+1))),IF($A160&lt;$Q$132,MAX(0,-Assumptions!$B$22*(F160/INDEX(Surface_Engine!$B$12:$B$72,$A160+1))),0)))^2+(MAX(0,J160/INDEX(Surface_Engine!$B$12:$B$72,$A160+1)-(F160/INDEX(Surface_Engine!$B$12:$B$72,$A160+1))))^2+2*Assumptions!$B$26*(IF(C160&lt;=0,0,MAX(0,(B160/C160)*G160/INDEX(Surface_Engine!$B$12:$B$72,$A160+1)-F160/INDEX(Surface_Engine!$B$12:$B$72,$A160+1))))*(MAX(IF(D160&lt;=0,0,MAX(0,(B160/D160)*H160/INDEX(Surface_Engine!$B$12:$B$72,$A160+1)-F160/INDEX(Surface_Engine!$B$12:$B$72,$A160+1))),IF(E160&lt;=0,0,MAX(0,(B160/E160)*I160/INDEX(Surface_Engine!$B$12:$B$72,$A160+1)-F160/INDEX(Surface_Engine!$B$12:$B$72,$A160+1))),IF($A160&lt;$Q$132,MAX(0,-Assumptions!$B$22*(F160/INDEX(Surface_Engine!$B$12:$B$72,$A160+1))),0)))+2*Assumptions!$B$27*(IF(C160&lt;=0,0,MAX(0,(B160/C160)*G160/INDEX(Surface_Engine!$B$12:$B$72,$A160+1)-F160/INDEX(Surface_Engine!$B$12:$B$72,$A160+1))))*(MAX(0,J160/INDEX(Surface_Engine!$B$12:$B$72,$A160+1)-(F160/INDEX(Surface_Engine!$B$12:$B$72,$A160+1))))+2*Assumptions!$B$28*(MAX(IF(D160&lt;=0,0,MAX(0,(B160/D160)*H160/INDEX(Surface_Engine!$B$12:$B$72,$A160+1)-F160/INDEX(Surface_Engine!$B$12:$B$72,$A160+1))),IF(E160&lt;=0,0,MAX(0,(B160/E160)*I160/INDEX(Surface_Engine!$B$12:$B$72,$A160+1)-F160/INDEX(Surface_Engine!$B$12:$B$72,$A160+1))),IF($A160&lt;$Q$132,MAX(0,-Assumptions!$B$22*(F160/INDEX(Surface_Engine!$B$12:$B$72,$A160+1))),0)))*(MAX(0,J160/INDEX(Surface_Engine!$B$12:$B$72,$A160+1)-(F160/INDEX(Surface_Engine!$B$12:$B$72,$A160+1)))))</f>
        <v>7169.18898434164</v>
      </c>
      <c r="L160" s="48" t="n">
        <f aca="false">K160*INDEX(Surface_Engine!$B$12:$B$72,$A160+1)+L161</f>
        <v>23503.0794930245</v>
      </c>
      <c r="M160" s="48" t="n">
        <f aca="false">M159+B159*(IF($A159&lt;$Q$132,(Surface_Engine!L236*12)-(Surface_Engine!L236*12)*INDEX(Surface_Engine!$F$12:$F$72,$A159+1)-INDEX(Surface_Engine!$D$12:$D$72,$A159+1),-(1000*12*INDEX(Surface_Engine!$C$12:$C$72,$A159+1)/(1+Assumptions!$B$10)^25+INDEX(Surface_Engine!$D$12:$D$72,$A159+1))))*INDEX(Surface_Engine!$B$12:$B$72,$A159+1)</f>
        <v>24500.4371464709</v>
      </c>
      <c r="N160" s="12" t="n">
        <f aca="false">IF(B160&lt;=0,0,MAX(0,(K160+Assumptions!$B$29*L160/INDEX(Surface_Engine!$B$12:$B$72,$A160+1)-(M160/INDEX(Surface_Engine!$B$12:$B$72,$A160+1)-(F160/INDEX(Surface_Engine!$B$12:$B$72,$A160+1))))/B160))</f>
        <v>16043.3819181397</v>
      </c>
    </row>
    <row r="161" customFormat="false" ht="15" hidden="false" customHeight="true" outlineLevel="0" collapsed="false">
      <c r="A161" s="1" t="n">
        <v>27</v>
      </c>
      <c r="B161" s="32" t="n">
        <f aca="false">INDEX(Surface_Engine!$G$12:$G$72,$A161+1)*IF($A161&lt;$Q$132,INDEX(Surface_Engine!$E$12:$E$72,$A161+1),INDEX(Surface_Engine!$E$12:$E$72,$Q$132+1))</f>
        <v>0.480362566736597</v>
      </c>
      <c r="C161" s="32" t="n">
        <f aca="false">INDEX(Panel_Reserving!$B$8:$B$68,$A161+1)*IF($A161&lt;$Q$132,INDEX(Surface_Engine!$E$12:$E$72,$A161+1),INDEX(Surface_Engine!$E$12:$E$72,$Q$132+1))</f>
        <v>0.525812463982625</v>
      </c>
      <c r="D161" s="32" t="n">
        <f aca="false">INDEX(Surface_Engine!$G$12:$G$72,$A161+1)*IF($A161&lt;$Q$132,INDEX(Surface_Engine!$Y$12:$Y$72,$A161+1),INDEX(Surface_Engine!$Y$12:$Y$72,$Q$132+1))</f>
        <v>0.41557698030404</v>
      </c>
      <c r="E161" s="32" t="n">
        <f aca="false">INDEX(Surface_Engine!$G$12:$G$72,$A161+1)*IF($A161&lt;$Q$132,INDEX(Surface_Engine!$Z$12:$Z$72,$A161+1),INDEX(Surface_Engine!$Z$12:$Z$72,$Q$132+1))</f>
        <v>0.55462137942246</v>
      </c>
      <c r="F161" s="48" t="n">
        <f aca="false">B161*(IF($A161&lt;$Q$132,INDEX(Surface_Engine!$D$12:$D$72,$A161+1)+(Surface_Engine!L236*12)*INDEX(Surface_Engine!$F$12:$F$72,$A161+1)-(Surface_Engine!L236*12),1000*12*INDEX(Surface_Engine!$C$12:$C$72,$A161+1)/(1+Assumptions!$B$10)^25+INDEX(Surface_Engine!$D$12:$D$72,$A161+1)))*INDEX(Surface_Engine!$B$12:$B$72,$A161+1)+F162</f>
        <v>20731.0352724249</v>
      </c>
      <c r="G161" s="48" t="n">
        <f aca="false">C161*(IF($A161&lt;$Q$132,INDEX(Surface_Engine!$D$12:$D$72,$A161+1)+(Surface_Engine!L236*12)*INDEX(Surface_Engine!$F$12:$F$72,$A161+1)-(Surface_Engine!L236*12),1000*12*INDEX(Surface_Engine!$C$12:$C$72,$A161+1)/(1+Assumptions!$B$10)^25+INDEX(Surface_Engine!$D$12:$D$72,$A161+1)))*INDEX(Surface_Engine!$B$12:$B$72,$A161+1)+G162</f>
        <v>25877.8246995247</v>
      </c>
      <c r="H161" s="48" t="n">
        <f aca="false">D161*(IF($A161&lt;$Q$132,INDEX(Surface_Engine!$D$12:$D$72,$A161+1)+(Surface_Engine!L236*12)*INDEX(Surface_Engine!$F$12:$F$72,$A161+1)-(Surface_Engine!L236*12),1000*12*INDEX(Surface_Engine!$C$12:$C$72,$A161+1)/(1+Assumptions!$B$10)^25+INDEX(Surface_Engine!$D$12:$D$72,$A161+1)))*INDEX(Surface_Engine!$B$12:$B$72,$A161+1)+H162</f>
        <v>17935.0799451761</v>
      </c>
      <c r="I161" s="48" t="n">
        <f aca="false">E161*(IF($A161&lt;$Q$132,INDEX(Surface_Engine!$D$12:$D$72,$A161+1)+(Surface_Engine!L236*12)*INDEX(Surface_Engine!$F$12:$F$72,$A161+1)-(Surface_Engine!L236*12),1000*12*INDEX(Surface_Engine!$C$12:$C$72,$A161+1)/(1+Assumptions!$B$10)^25+INDEX(Surface_Engine!$D$12:$D$72,$A161+1)))*INDEX(Surface_Engine!$B$12:$B$72,$A161+1)+I162</f>
        <v>23935.8271768764</v>
      </c>
      <c r="J161" s="48" t="n">
        <f aca="false">B161*(IF($A161&lt;$Q$132,INDEX(Surface_Engine!$D$12:$D$72,$A161+1)*(1+Assumptions!$B$24)+(Surface_Engine!L236*12)*INDEX(Surface_Engine!$F$12:$F$72,$A161+1)-(Surface_Engine!L236*12),1000*12*INDEX(Surface_Engine!$C$12:$C$72,$A161+1)/(1+Assumptions!$B$10)^25+INDEX(Surface_Engine!$D$12:$D$72,$A161+1)*(1+Assumptions!$B$24)))*INDEX(Surface_Engine!$B$12:$B$72,$A161+1)+J162</f>
        <v>20757.8836149445</v>
      </c>
      <c r="K161" s="12" t="n">
        <f aca="false">SQRT((IF(C161&lt;=0,0,MAX(0,(B161/C161)*G161/INDEX(Surface_Engine!$B$12:$B$72,$A161+1)-F161/INDEX(Surface_Engine!$B$12:$B$72,$A161+1))))^2+(MAX(IF(D161&lt;=0,0,MAX(0,(B161/D161)*H161/INDEX(Surface_Engine!$B$12:$B$72,$A161+1)-F161/INDEX(Surface_Engine!$B$12:$B$72,$A161+1))),IF(E161&lt;=0,0,MAX(0,(B161/E161)*I161/INDEX(Surface_Engine!$B$12:$B$72,$A161+1)-F161/INDEX(Surface_Engine!$B$12:$B$72,$A161+1))),IF($A161&lt;$Q$132,MAX(0,-Assumptions!$B$22*(F161/INDEX(Surface_Engine!$B$12:$B$72,$A161+1))),0)))^2+(MAX(0,J161/INDEX(Surface_Engine!$B$12:$B$72,$A161+1)-(F161/INDEX(Surface_Engine!$B$12:$B$72,$A161+1))))^2+2*Assumptions!$B$26*(IF(C161&lt;=0,0,MAX(0,(B161/C161)*G161/INDEX(Surface_Engine!$B$12:$B$72,$A161+1)-F161/INDEX(Surface_Engine!$B$12:$B$72,$A161+1))))*(MAX(IF(D161&lt;=0,0,MAX(0,(B161/D161)*H161/INDEX(Surface_Engine!$B$12:$B$72,$A161+1)-F161/INDEX(Surface_Engine!$B$12:$B$72,$A161+1))),IF(E161&lt;=0,0,MAX(0,(B161/E161)*I161/INDEX(Surface_Engine!$B$12:$B$72,$A161+1)-F161/INDEX(Surface_Engine!$B$12:$B$72,$A161+1))),IF($A161&lt;$Q$132,MAX(0,-Assumptions!$B$22*(F161/INDEX(Surface_Engine!$B$12:$B$72,$A161+1))),0)))+2*Assumptions!$B$27*(IF(C161&lt;=0,0,MAX(0,(B161/C161)*G161/INDEX(Surface_Engine!$B$12:$B$72,$A161+1)-F161/INDEX(Surface_Engine!$B$12:$B$72,$A161+1))))*(MAX(0,J161/INDEX(Surface_Engine!$B$12:$B$72,$A161+1)-(F161/INDEX(Surface_Engine!$B$12:$B$72,$A161+1))))+2*Assumptions!$B$28*(MAX(IF(D161&lt;=0,0,MAX(0,(B161/D161)*H161/INDEX(Surface_Engine!$B$12:$B$72,$A161+1)-F161/INDEX(Surface_Engine!$B$12:$B$72,$A161+1))),IF(E161&lt;=0,0,MAX(0,(B161/E161)*I161/INDEX(Surface_Engine!$B$12:$B$72,$A161+1)-F161/INDEX(Surface_Engine!$B$12:$B$72,$A161+1))),IF($A161&lt;$Q$132,MAX(0,-Assumptions!$B$22*(F161/INDEX(Surface_Engine!$B$12:$B$72,$A161+1))),0)))*(MAX(0,J161/INDEX(Surface_Engine!$B$12:$B$72,$A161+1)-(F161/INDEX(Surface_Engine!$B$12:$B$72,$A161+1)))))</f>
        <v>6788.26912896059</v>
      </c>
      <c r="L161" s="48" t="n">
        <f aca="false">K161*INDEX(Surface_Engine!$B$12:$B$72,$A161+1)+L162</f>
        <v>20323.9023229618</v>
      </c>
      <c r="M161" s="48" t="n">
        <f aca="false">M160+B160*(IF($A160&lt;$Q$132,(Surface_Engine!L236*12)-(Surface_Engine!L236*12)*INDEX(Surface_Engine!$F$12:$F$72,$A160+1)-INDEX(Surface_Engine!$D$12:$D$72,$A160+1),-(1000*12*INDEX(Surface_Engine!$C$12:$C$72,$A160+1)/(1+Assumptions!$B$10)^25+INDEX(Surface_Engine!$D$12:$D$72,$A160+1))))*INDEX(Surface_Engine!$B$12:$B$72,$A160+1)</f>
        <v>21713.8931371443</v>
      </c>
      <c r="N161" s="12" t="n">
        <f aca="false">IF(B161&lt;=0,0,MAX(0,(K161+Assumptions!$B$29*L161/INDEX(Surface_Engine!$B$12:$B$72,$A161+1)-(M161/INDEX(Surface_Engine!$B$12:$B$72,$A161+1)-(F161/INDEX(Surface_Engine!$B$12:$B$72,$A161+1))))/B161))</f>
        <v>15277.73588656</v>
      </c>
    </row>
    <row r="162" customFormat="false" ht="15" hidden="false" customHeight="true" outlineLevel="0" collapsed="false">
      <c r="A162" s="1" t="n">
        <v>28</v>
      </c>
      <c r="B162" s="32" t="n">
        <f aca="false">INDEX(Surface_Engine!$G$12:$G$72,$A162+1)*IF($A162&lt;$Q$132,INDEX(Surface_Engine!$E$12:$E$72,$A162+1),INDEX(Surface_Engine!$E$12:$E$72,$Q$132+1))</f>
        <v>0.451727601651184</v>
      </c>
      <c r="C162" s="32" t="n">
        <f aca="false">INDEX(Panel_Reserving!$B$8:$B$68,$A162+1)*IF($A162&lt;$Q$132,INDEX(Surface_Engine!$E$12:$E$72,$A162+1),INDEX(Surface_Engine!$E$12:$E$72,$Q$132+1))</f>
        <v>0.500737035395578</v>
      </c>
      <c r="D162" s="32" t="n">
        <f aca="false">INDEX(Surface_Engine!$G$12:$G$72,$A162+1)*IF($A162&lt;$Q$132,INDEX(Surface_Engine!$Y$12:$Y$72,$A162+1),INDEX(Surface_Engine!$Y$12:$Y$72,$Q$132+1))</f>
        <v>0.390803958538102</v>
      </c>
      <c r="E162" s="32" t="n">
        <f aca="false">INDEX(Surface_Engine!$G$12:$G$72,$A162+1)*IF($A162&lt;$Q$132,INDEX(Surface_Engine!$Z$12:$Z$72,$A162+1),INDEX(Surface_Engine!$Z$12:$Z$72,$Q$132+1))</f>
        <v>0.521559761105115</v>
      </c>
      <c r="F162" s="48" t="n">
        <f aca="false">B162*(IF($A162&lt;$Q$132,INDEX(Surface_Engine!$D$12:$D$72,$A162+1)+(Surface_Engine!L236*12)*INDEX(Surface_Engine!$F$12:$F$72,$A162+1)-(Surface_Engine!L236*12),1000*12*INDEX(Surface_Engine!$C$12:$C$72,$A162+1)/(1+Assumptions!$B$10)^25+INDEX(Surface_Engine!$D$12:$D$72,$A162+1)))*INDEX(Surface_Engine!$B$12:$B$72,$A162+1)+F163</f>
        <v>18121.1606251441</v>
      </c>
      <c r="G162" s="48" t="n">
        <f aca="false">C162*(IF($A162&lt;$Q$132,INDEX(Surface_Engine!$D$12:$D$72,$A162+1)+(Surface_Engine!L236*12)*INDEX(Surface_Engine!$F$12:$F$72,$A162+1)-(Surface_Engine!L236*12),1000*12*INDEX(Surface_Engine!$C$12:$C$72,$A162+1)/(1+Assumptions!$B$10)^25+INDEX(Surface_Engine!$D$12:$D$72,$A162+1)))*INDEX(Surface_Engine!$B$12:$B$72,$A162+1)+G163</f>
        <v>23021.0146273007</v>
      </c>
      <c r="H162" s="48" t="n">
        <f aca="false">D162*(IF($A162&lt;$Q$132,INDEX(Surface_Engine!$D$12:$D$72,$A162+1)+(Surface_Engine!L236*12)*INDEX(Surface_Engine!$F$12:$F$72,$A162+1)-(Surface_Engine!L236*12),1000*12*INDEX(Surface_Engine!$C$12:$C$72,$A162+1)/(1+Assumptions!$B$10)^25+INDEX(Surface_Engine!$D$12:$D$72,$A162+1)))*INDEX(Surface_Engine!$B$12:$B$72,$A162+1)+H163</f>
        <v>15677.1941314305</v>
      </c>
      <c r="I162" s="48" t="n">
        <f aca="false">E162*(IF($A162&lt;$Q$132,INDEX(Surface_Engine!$D$12:$D$72,$A162+1)+(Surface_Engine!L236*12)*INDEX(Surface_Engine!$F$12:$F$72,$A162+1)-(Surface_Engine!L236*12),1000*12*INDEX(Surface_Engine!$C$12:$C$72,$A162+1)/(1+Assumptions!$B$10)^25+INDEX(Surface_Engine!$D$12:$D$72,$A162+1)))*INDEX(Surface_Engine!$B$12:$B$72,$A162+1)+I163</f>
        <v>20922.4943794683</v>
      </c>
      <c r="J162" s="48" t="n">
        <f aca="false">B162*(IF($A162&lt;$Q$132,INDEX(Surface_Engine!$D$12:$D$72,$A162+1)*(1+Assumptions!$B$24)+(Surface_Engine!L236*12)*INDEX(Surface_Engine!$F$12:$F$72,$A162+1)-(Surface_Engine!L236*12),1000*12*INDEX(Surface_Engine!$C$12:$C$72,$A162+1)/(1+Assumptions!$B$10)^25+INDEX(Surface_Engine!$D$12:$D$72,$A162+1)*(1+Assumptions!$B$24)))*INDEX(Surface_Engine!$B$12:$B$72,$A162+1)+J163</f>
        <v>18144.7122972345</v>
      </c>
      <c r="K162" s="12" t="n">
        <f aca="false">SQRT((IF(C162&lt;=0,0,MAX(0,(B162/C162)*G162/INDEX(Surface_Engine!$B$12:$B$72,$A162+1)-F162/INDEX(Surface_Engine!$B$12:$B$72,$A162+1))))^2+(MAX(IF(D162&lt;=0,0,MAX(0,(B162/D162)*H162/INDEX(Surface_Engine!$B$12:$B$72,$A162+1)-F162/INDEX(Surface_Engine!$B$12:$B$72,$A162+1))),IF(E162&lt;=0,0,MAX(0,(B162/E162)*I162/INDEX(Surface_Engine!$B$12:$B$72,$A162+1)-F162/INDEX(Surface_Engine!$B$12:$B$72,$A162+1))),IF($A162&lt;$Q$132,MAX(0,-Assumptions!$B$22*(F162/INDEX(Surface_Engine!$B$12:$B$72,$A162+1))),0)))^2+(MAX(0,J162/INDEX(Surface_Engine!$B$12:$B$72,$A162+1)-(F162/INDEX(Surface_Engine!$B$12:$B$72,$A162+1))))^2+2*Assumptions!$B$26*(IF(C162&lt;=0,0,MAX(0,(B162/C162)*G162/INDEX(Surface_Engine!$B$12:$B$72,$A162+1)-F162/INDEX(Surface_Engine!$B$12:$B$72,$A162+1))))*(MAX(IF(D162&lt;=0,0,MAX(0,(B162/D162)*H162/INDEX(Surface_Engine!$B$12:$B$72,$A162+1)-F162/INDEX(Surface_Engine!$B$12:$B$72,$A162+1))),IF(E162&lt;=0,0,MAX(0,(B162/E162)*I162/INDEX(Surface_Engine!$B$12:$B$72,$A162+1)-F162/INDEX(Surface_Engine!$B$12:$B$72,$A162+1))),IF($A162&lt;$Q$132,MAX(0,-Assumptions!$B$22*(F162/INDEX(Surface_Engine!$B$12:$B$72,$A162+1))),0)))+2*Assumptions!$B$27*(IF(C162&lt;=0,0,MAX(0,(B162/C162)*G162/INDEX(Surface_Engine!$B$12:$B$72,$A162+1)-F162/INDEX(Surface_Engine!$B$12:$B$72,$A162+1))))*(MAX(0,J162/INDEX(Surface_Engine!$B$12:$B$72,$A162+1)-(F162/INDEX(Surface_Engine!$B$12:$B$72,$A162+1))))+2*Assumptions!$B$28*(MAX(IF(D162&lt;=0,0,MAX(0,(B162/D162)*H162/INDEX(Surface_Engine!$B$12:$B$72,$A162+1)-F162/INDEX(Surface_Engine!$B$12:$B$72,$A162+1))),IF(E162&lt;=0,0,MAX(0,(B162/E162)*I162/INDEX(Surface_Engine!$B$12:$B$72,$A162+1)-F162/INDEX(Surface_Engine!$B$12:$B$72,$A162+1))),IF($A162&lt;$Q$132,MAX(0,-Assumptions!$B$22*(F162/INDEX(Surface_Engine!$B$12:$B$72,$A162+1))),0)))*(MAX(0,J162/INDEX(Surface_Engine!$B$12:$B$72,$A162+1)-(F162/INDEX(Surface_Engine!$B$12:$B$72,$A162+1)))))</f>
        <v>6373.1989271071</v>
      </c>
      <c r="L162" s="48" t="n">
        <f aca="false">K162*INDEX(Surface_Engine!$B$12:$B$72,$A162+1)+L163</f>
        <v>17407.0985709521</v>
      </c>
      <c r="M162" s="48" t="n">
        <f aca="false">M161+B161*(IF($A161&lt;$Q$132,(Surface_Engine!L236*12)-(Surface_Engine!L236*12)*INDEX(Surface_Engine!$F$12:$F$72,$A161+1)-INDEX(Surface_Engine!$D$12:$D$72,$A161+1),-(1000*12*INDEX(Surface_Engine!$C$12:$C$72,$A161+1)/(1+Assumptions!$B$10)^25+INDEX(Surface_Engine!$D$12:$D$72,$A161+1))))*INDEX(Surface_Engine!$B$12:$B$72,$A161+1)</f>
        <v>19104.0184898635</v>
      </c>
      <c r="N162" s="12" t="n">
        <f aca="false">IF(B162&lt;=0,0,MAX(0,(K162+Assumptions!$B$29*L162/INDEX(Surface_Engine!$B$12:$B$72,$A162+1)-(M162/INDEX(Surface_Engine!$B$12:$B$72,$A162+1)-(F162/INDEX(Surface_Engine!$B$12:$B$72,$A162+1))))/B162))</f>
        <v>14435.9564886491</v>
      </c>
    </row>
    <row r="163" customFormat="false" ht="15" hidden="false" customHeight="true" outlineLevel="0" collapsed="false">
      <c r="A163" s="1" t="n">
        <v>29</v>
      </c>
      <c r="B163" s="32" t="n">
        <f aca="false">INDEX(Surface_Engine!$G$12:$G$72,$A163+1)*IF($A163&lt;$Q$132,INDEX(Surface_Engine!$E$12:$E$72,$A163+1),INDEX(Surface_Engine!$E$12:$E$72,$Q$132+1))</f>
        <v>0.421112452617723</v>
      </c>
      <c r="C163" s="32" t="n">
        <f aca="false">INDEX(Panel_Reserving!$B$8:$B$68,$A163+1)*IF($A163&lt;$Q$132,INDEX(Surface_Engine!$E$12:$E$72,$A163+1),INDEX(Surface_Engine!$E$12:$E$72,$Q$132+1))</f>
        <v>0.473587684487334</v>
      </c>
      <c r="D163" s="32" t="n">
        <f aca="false">INDEX(Surface_Engine!$G$12:$G$72,$A163+1)*IF($A163&lt;$Q$132,INDEX(Surface_Engine!$Y$12:$Y$72,$A163+1),INDEX(Surface_Engine!$Y$12:$Y$72,$Q$132+1))</f>
        <v>0.364317816469791</v>
      </c>
      <c r="E163" s="32" t="n">
        <f aca="false">INDEX(Surface_Engine!$G$12:$G$72,$A163+1)*IF($A163&lt;$Q$132,INDEX(Surface_Engine!$Z$12:$Z$72,$A163+1),INDEX(Surface_Engine!$Z$12:$Z$72,$Q$132+1))</f>
        <v>0.486211844002588</v>
      </c>
      <c r="F163" s="48" t="n">
        <f aca="false">B163*(IF($A163&lt;$Q$132,INDEX(Surface_Engine!$D$12:$D$72,$A163+1)+(Surface_Engine!L236*12)*INDEX(Surface_Engine!$F$12:$F$72,$A163+1)-(Surface_Engine!L236*12),1000*12*INDEX(Surface_Engine!$C$12:$C$72,$A163+1)/(1+Assumptions!$B$10)^25+INDEX(Surface_Engine!$D$12:$D$72,$A163+1)))*INDEX(Surface_Engine!$B$12:$B$72,$A163+1)+F164</f>
        <v>15696.0510581738</v>
      </c>
      <c r="G163" s="48" t="n">
        <f aca="false">C163*(IF($A163&lt;$Q$132,INDEX(Surface_Engine!$D$12:$D$72,$A163+1)+(Surface_Engine!L236*12)*INDEX(Surface_Engine!$F$12:$F$72,$A163+1)-(Surface_Engine!L236*12),1000*12*INDEX(Surface_Engine!$C$12:$C$72,$A163+1)/(1+Assumptions!$B$10)^25+INDEX(Surface_Engine!$D$12:$D$72,$A163+1)))*INDEX(Surface_Engine!$B$12:$B$72,$A163+1)+G164</f>
        <v>20332.7968371205</v>
      </c>
      <c r="H163" s="48" t="n">
        <f aca="false">D163*(IF($A163&lt;$Q$132,INDEX(Surface_Engine!$D$12:$D$72,$A163+1)+(Surface_Engine!L236*12)*INDEX(Surface_Engine!$F$12:$F$72,$A163+1)-(Surface_Engine!L236*12),1000*12*INDEX(Surface_Engine!$C$12:$C$72,$A163+1)/(1+Assumptions!$B$10)^25+INDEX(Surface_Engine!$D$12:$D$72,$A163+1)))*INDEX(Surface_Engine!$B$12:$B$72,$A163+1)+H164</f>
        <v>13579.1544827653</v>
      </c>
      <c r="I163" s="48" t="n">
        <f aca="false">E163*(IF($A163&lt;$Q$132,INDEX(Surface_Engine!$D$12:$D$72,$A163+1)+(Surface_Engine!L236*12)*INDEX(Surface_Engine!$F$12:$F$72,$A163+1)-(Surface_Engine!L236*12),1000*12*INDEX(Surface_Engine!$C$12:$C$72,$A163+1)/(1+Assumptions!$B$10)^25+INDEX(Surface_Engine!$D$12:$D$72,$A163+1)))*INDEX(Surface_Engine!$B$12:$B$72,$A163+1)+I164</f>
        <v>18122.4893282395</v>
      </c>
      <c r="J163" s="48" t="n">
        <f aca="false">B163*(IF($A163&lt;$Q$132,INDEX(Surface_Engine!$D$12:$D$72,$A163+1)*(1+Assumptions!$B$24)+(Surface_Engine!L236*12)*INDEX(Surface_Engine!$F$12:$F$72,$A163+1)-(Surface_Engine!L236*12),1000*12*INDEX(Surface_Engine!$C$12:$C$72,$A163+1)/(1+Assumptions!$B$10)^25+INDEX(Surface_Engine!$D$12:$D$72,$A163+1)*(1+Assumptions!$B$24)))*INDEX(Surface_Engine!$B$12:$B$72,$A163+1)+J164</f>
        <v>15716.5246208573</v>
      </c>
      <c r="K163" s="12" t="n">
        <f aca="false">SQRT((IF(C163&lt;=0,0,MAX(0,(B163/C163)*G163/INDEX(Surface_Engine!$B$12:$B$72,$A163+1)-F163/INDEX(Surface_Engine!$B$12:$B$72,$A163+1))))^2+(MAX(IF(D163&lt;=0,0,MAX(0,(B163/D163)*H163/INDEX(Surface_Engine!$B$12:$B$72,$A163+1)-F163/INDEX(Surface_Engine!$B$12:$B$72,$A163+1))),IF(E163&lt;=0,0,MAX(0,(B163/E163)*I163/INDEX(Surface_Engine!$B$12:$B$72,$A163+1)-F163/INDEX(Surface_Engine!$B$12:$B$72,$A163+1))),IF($A163&lt;$Q$132,MAX(0,-Assumptions!$B$22*(F163/INDEX(Surface_Engine!$B$12:$B$72,$A163+1))),0)))^2+(MAX(0,J163/INDEX(Surface_Engine!$B$12:$B$72,$A163+1)-(F163/INDEX(Surface_Engine!$B$12:$B$72,$A163+1))))^2+2*Assumptions!$B$26*(IF(C163&lt;=0,0,MAX(0,(B163/C163)*G163/INDEX(Surface_Engine!$B$12:$B$72,$A163+1)-F163/INDEX(Surface_Engine!$B$12:$B$72,$A163+1))))*(MAX(IF(D163&lt;=0,0,MAX(0,(B163/D163)*H163/INDEX(Surface_Engine!$B$12:$B$72,$A163+1)-F163/INDEX(Surface_Engine!$B$12:$B$72,$A163+1))),IF(E163&lt;=0,0,MAX(0,(B163/E163)*I163/INDEX(Surface_Engine!$B$12:$B$72,$A163+1)-F163/INDEX(Surface_Engine!$B$12:$B$72,$A163+1))),IF($A163&lt;$Q$132,MAX(0,-Assumptions!$B$22*(F163/INDEX(Surface_Engine!$B$12:$B$72,$A163+1))),0)))+2*Assumptions!$B$27*(IF(C163&lt;=0,0,MAX(0,(B163/C163)*G163/INDEX(Surface_Engine!$B$12:$B$72,$A163+1)-F163/INDEX(Surface_Engine!$B$12:$B$72,$A163+1))))*(MAX(0,J163/INDEX(Surface_Engine!$B$12:$B$72,$A163+1)-(F163/INDEX(Surface_Engine!$B$12:$B$72,$A163+1))))+2*Assumptions!$B$28*(MAX(IF(D163&lt;=0,0,MAX(0,(B163/D163)*H163/INDEX(Surface_Engine!$B$12:$B$72,$A163+1)-F163/INDEX(Surface_Engine!$B$12:$B$72,$A163+1))),IF(E163&lt;=0,0,MAX(0,(B163/E163)*I163/INDEX(Surface_Engine!$B$12:$B$72,$A163+1)-F163/INDEX(Surface_Engine!$B$12:$B$72,$A163+1))),IF($A163&lt;$Q$132,MAX(0,-Assumptions!$B$22*(F163/INDEX(Surface_Engine!$B$12:$B$72,$A163+1))),0)))*(MAX(0,J163/INDEX(Surface_Engine!$B$12:$B$72,$A163+1)-(F163/INDEX(Surface_Engine!$B$12:$B$72,$A163+1)))))</f>
        <v>5925.5715384726</v>
      </c>
      <c r="L163" s="48" t="n">
        <f aca="false">K163*INDEX(Surface_Engine!$B$12:$B$72,$A163+1)+L164</f>
        <v>14754.4310783574</v>
      </c>
      <c r="M163" s="48" t="n">
        <f aca="false">M162+B162*(IF($A162&lt;$Q$132,(Surface_Engine!L236*12)-(Surface_Engine!L236*12)*INDEX(Surface_Engine!$F$12:$F$72,$A162+1)-INDEX(Surface_Engine!$D$12:$D$72,$A162+1),-(1000*12*INDEX(Surface_Engine!$C$12:$C$72,$A162+1)/(1+Assumptions!$B$10)^25+INDEX(Surface_Engine!$D$12:$D$72,$A162+1))))*INDEX(Surface_Engine!$B$12:$B$72,$A162+1)</f>
        <v>16678.9089228932</v>
      </c>
      <c r="N163" s="12" t="n">
        <f aca="false">IF(B163&lt;=0,0,MAX(0,(K163+Assumptions!$B$29*L163/INDEX(Surface_Engine!$B$12:$B$72,$A163+1)-(M163/INDEX(Surface_Engine!$B$12:$B$72,$A163+1)-(F163/INDEX(Surface_Engine!$B$12:$B$72,$A163+1))))/B163))</f>
        <v>13496.4151242527</v>
      </c>
    </row>
    <row r="164" customFormat="false" ht="15" hidden="false" customHeight="true" outlineLevel="0" collapsed="false">
      <c r="A164" s="1" t="n">
        <v>30</v>
      </c>
      <c r="B164" s="32" t="n">
        <f aca="false">INDEX(Surface_Engine!$G$12:$G$72,$A164+1)*IF($A164&lt;$Q$132,INDEX(Surface_Engine!$E$12:$E$72,$A164+1),INDEX(Surface_Engine!$E$12:$E$72,$Q$132+1))</f>
        <v>0.388694319673427</v>
      </c>
      <c r="C164" s="32" t="n">
        <f aca="false">INDEX(Panel_Reserving!$B$8:$B$68,$A164+1)*IF($A164&lt;$Q$132,INDEX(Surface_Engine!$E$12:$E$72,$A164+1),INDEX(Surface_Engine!$E$12:$E$72,$Q$132+1))</f>
        <v>0.444421454097223</v>
      </c>
      <c r="D164" s="32" t="n">
        <f aca="false">INDEX(Surface_Engine!$G$12:$G$72,$A164+1)*IF($A164&lt;$Q$132,INDEX(Surface_Engine!$Y$12:$Y$72,$A164+1),INDEX(Surface_Engine!$Y$12:$Y$72,$Q$132+1))</f>
        <v>0.336271855504076</v>
      </c>
      <c r="E164" s="32" t="n">
        <f aca="false">INDEX(Surface_Engine!$G$12:$G$72,$A164+1)*IF($A164&lt;$Q$132,INDEX(Surface_Engine!$Z$12:$Z$72,$A164+1),INDEX(Surface_Engine!$Z$12:$Z$72,$Q$132+1))</f>
        <v>0.448782221344823</v>
      </c>
      <c r="F164" s="48" t="n">
        <f aca="false">B164*(IF($A164&lt;$Q$132,INDEX(Surface_Engine!$D$12:$D$72,$A164+1)+(Surface_Engine!L236*12)*INDEX(Surface_Engine!$F$12:$F$72,$A164+1)-(Surface_Engine!L236*12),1000*12*INDEX(Surface_Engine!$C$12:$C$72,$A164+1)/(1+Assumptions!$B$10)^25+INDEX(Surface_Engine!$D$12:$D$72,$A164+1)))*INDEX(Surface_Engine!$B$12:$B$72,$A164+1)+F165</f>
        <v>13462.2712306707</v>
      </c>
      <c r="G164" s="48" t="n">
        <f aca="false">C164*(IF($A164&lt;$Q$132,INDEX(Surface_Engine!$D$12:$D$72,$A164+1)+(Surface_Engine!L236*12)*INDEX(Surface_Engine!$F$12:$F$72,$A164+1)-(Surface_Engine!L236*12),1000*12*INDEX(Surface_Engine!$C$12:$C$72,$A164+1)/(1+Assumptions!$B$10)^25+INDEX(Surface_Engine!$D$12:$D$72,$A164+1)))*INDEX(Surface_Engine!$B$12:$B$72,$A164+1)+G165</f>
        <v>17820.6635349926</v>
      </c>
      <c r="H164" s="48" t="n">
        <f aca="false">D164*(IF($A164&lt;$Q$132,INDEX(Surface_Engine!$D$12:$D$72,$A164+1)+(Surface_Engine!L236*12)*INDEX(Surface_Engine!$F$12:$F$72,$A164+1)-(Surface_Engine!L236*12),1000*12*INDEX(Surface_Engine!$C$12:$C$72,$A164+1)/(1+Assumptions!$B$10)^25+INDEX(Surface_Engine!$D$12:$D$72,$A164+1)))*INDEX(Surface_Engine!$B$12:$B$72,$A164+1)+H165</f>
        <v>11646.6402952332</v>
      </c>
      <c r="I164" s="48" t="n">
        <f aca="false">E164*(IF($A164&lt;$Q$132,INDEX(Surface_Engine!$D$12:$D$72,$A164+1)+(Surface_Engine!L236*12)*INDEX(Surface_Engine!$F$12:$F$72,$A164+1)-(Surface_Engine!L236*12),1000*12*INDEX(Surface_Engine!$C$12:$C$72,$A164+1)/(1+Assumptions!$B$10)^25+INDEX(Surface_Engine!$D$12:$D$72,$A164+1)))*INDEX(Surface_Engine!$B$12:$B$72,$A164+1)+I165</f>
        <v>15543.3915070407</v>
      </c>
      <c r="J164" s="48" t="n">
        <f aca="false">B164*(IF($A164&lt;$Q$132,INDEX(Surface_Engine!$D$12:$D$72,$A164+1)*(1+Assumptions!$B$24)+(Surface_Engine!L236*12)*INDEX(Surface_Engine!$F$12:$F$72,$A164+1)-(Surface_Engine!L236*12),1000*12*INDEX(Surface_Engine!$C$12:$C$72,$A164+1)/(1+Assumptions!$B$10)^25+INDEX(Surface_Engine!$D$12:$D$72,$A164+1)*(1+Assumptions!$B$24)))*INDEX(Surface_Engine!$B$12:$B$72,$A164+1)+J165</f>
        <v>13479.8958112252</v>
      </c>
      <c r="K164" s="12" t="n">
        <f aca="false">SQRT((IF(C164&lt;=0,0,MAX(0,(B164/C164)*G164/INDEX(Surface_Engine!$B$12:$B$72,$A164+1)-F164/INDEX(Surface_Engine!$B$12:$B$72,$A164+1))))^2+(MAX(IF(D164&lt;=0,0,MAX(0,(B164/D164)*H164/INDEX(Surface_Engine!$B$12:$B$72,$A164+1)-F164/INDEX(Surface_Engine!$B$12:$B$72,$A164+1))),IF(E164&lt;=0,0,MAX(0,(B164/E164)*I164/INDEX(Surface_Engine!$B$12:$B$72,$A164+1)-F164/INDEX(Surface_Engine!$B$12:$B$72,$A164+1))),IF($A164&lt;$Q$132,MAX(0,-Assumptions!$B$22*(F164/INDEX(Surface_Engine!$B$12:$B$72,$A164+1))),0)))^2+(MAX(0,J164/INDEX(Surface_Engine!$B$12:$B$72,$A164+1)-(F164/INDEX(Surface_Engine!$B$12:$B$72,$A164+1))))^2+2*Assumptions!$B$26*(IF(C164&lt;=0,0,MAX(0,(B164/C164)*G164/INDEX(Surface_Engine!$B$12:$B$72,$A164+1)-F164/INDEX(Surface_Engine!$B$12:$B$72,$A164+1))))*(MAX(IF(D164&lt;=0,0,MAX(0,(B164/D164)*H164/INDEX(Surface_Engine!$B$12:$B$72,$A164+1)-F164/INDEX(Surface_Engine!$B$12:$B$72,$A164+1))),IF(E164&lt;=0,0,MAX(0,(B164/E164)*I164/INDEX(Surface_Engine!$B$12:$B$72,$A164+1)-F164/INDEX(Surface_Engine!$B$12:$B$72,$A164+1))),IF($A164&lt;$Q$132,MAX(0,-Assumptions!$B$22*(F164/INDEX(Surface_Engine!$B$12:$B$72,$A164+1))),0)))+2*Assumptions!$B$27*(IF(C164&lt;=0,0,MAX(0,(B164/C164)*G164/INDEX(Surface_Engine!$B$12:$B$72,$A164+1)-F164/INDEX(Surface_Engine!$B$12:$B$72,$A164+1))))*(MAX(0,J164/INDEX(Surface_Engine!$B$12:$B$72,$A164+1)-(F164/INDEX(Surface_Engine!$B$12:$B$72,$A164+1))))+2*Assumptions!$B$28*(MAX(IF(D164&lt;=0,0,MAX(0,(B164/D164)*H164/INDEX(Surface_Engine!$B$12:$B$72,$A164+1)-F164/INDEX(Surface_Engine!$B$12:$B$72,$A164+1))),IF(E164&lt;=0,0,MAX(0,(B164/E164)*I164/INDEX(Surface_Engine!$B$12:$B$72,$A164+1)-F164/INDEX(Surface_Engine!$B$12:$B$72,$A164+1))),IF($A164&lt;$Q$132,MAX(0,-Assumptions!$B$22*(F164/INDEX(Surface_Engine!$B$12:$B$72,$A164+1))),0)))*(MAX(0,J164/INDEX(Surface_Engine!$B$12:$B$72,$A164+1)-(F164/INDEX(Surface_Engine!$B$12:$B$72,$A164+1)))))</f>
        <v>5450.06034481448</v>
      </c>
      <c r="L164" s="48" t="n">
        <f aca="false">K164*INDEX(Surface_Engine!$B$12:$B$72,$A164+1)+L165</f>
        <v>12365.4322437208</v>
      </c>
      <c r="M164" s="48" t="n">
        <f aca="false">M163+B163*(IF($A163&lt;$Q$132,(Surface_Engine!L236*12)-(Surface_Engine!L236*12)*INDEX(Surface_Engine!$F$12:$F$72,$A163+1)-INDEX(Surface_Engine!$D$12:$D$72,$A163+1),-(1000*12*INDEX(Surface_Engine!$C$12:$C$72,$A163+1)/(1+Assumptions!$B$10)^25+INDEX(Surface_Engine!$D$12:$D$72,$A163+1))))*INDEX(Surface_Engine!$B$12:$B$72,$A163+1)</f>
        <v>14445.1290953901</v>
      </c>
      <c r="N164" s="12" t="n">
        <f aca="false">IF(B164&lt;=0,0,MAX(0,(K164+Assumptions!$B$29*L164/INDEX(Surface_Engine!$B$12:$B$72,$A164+1)-(M164/INDEX(Surface_Engine!$B$12:$B$72,$A164+1)-(F164/INDEX(Surface_Engine!$B$12:$B$72,$A164+1))))/B164))</f>
        <v>12434.1636521257</v>
      </c>
    </row>
    <row r="165" customFormat="false" ht="15" hidden="false" customHeight="true" outlineLevel="0" collapsed="false">
      <c r="A165" s="1" t="n">
        <v>31</v>
      </c>
      <c r="B165" s="32" t="n">
        <f aca="false">INDEX(Surface_Engine!$G$12:$G$72,$A165+1)*IF($A165&lt;$Q$132,INDEX(Surface_Engine!$E$12:$E$72,$A165+1),INDEX(Surface_Engine!$E$12:$E$72,$Q$132+1))</f>
        <v>0.353667652290864</v>
      </c>
      <c r="C165" s="32" t="n">
        <f aca="false">INDEX(Panel_Reserving!$B$8:$B$68,$A165+1)*IF($A165&lt;$Q$132,INDEX(Surface_Engine!$E$12:$E$72,$A165+1),INDEX(Surface_Engine!$E$12:$E$72,$Q$132+1))</f>
        <v>0.412382699399871</v>
      </c>
      <c r="D165" s="32" t="n">
        <f aca="false">INDEX(Surface_Engine!$G$12:$G$72,$A165+1)*IF($A165&lt;$Q$132,INDEX(Surface_Engine!$Y$12:$Y$72,$A165+1),INDEX(Surface_Engine!$Y$12:$Y$72,$Q$132+1))</f>
        <v>0.305969168182186</v>
      </c>
      <c r="E165" s="32" t="n">
        <f aca="false">INDEX(Surface_Engine!$G$12:$G$72,$A165+1)*IF($A165&lt;$Q$132,INDEX(Surface_Engine!$Z$12:$Z$72,$A165+1),INDEX(Surface_Engine!$Z$12:$Z$72,$Q$132+1))</f>
        <v>0.408340813280357</v>
      </c>
      <c r="F165" s="48" t="n">
        <f aca="false">B165*(IF($A165&lt;$Q$132,INDEX(Surface_Engine!$D$12:$D$72,$A165+1)+(Surface_Engine!L236*12)*INDEX(Surface_Engine!$F$12:$F$72,$A165+1)-(Surface_Engine!L236*12),1000*12*INDEX(Surface_Engine!$C$12:$C$72,$A165+1)/(1+Assumptions!$B$10)^25+INDEX(Surface_Engine!$D$12:$D$72,$A165+1)))*INDEX(Surface_Engine!$B$12:$B$72,$A165+1)+F166</f>
        <v>11425.1291612869</v>
      </c>
      <c r="G165" s="48" t="n">
        <f aca="false">C165*(IF($A165&lt;$Q$132,INDEX(Surface_Engine!$D$12:$D$72,$A165+1)+(Surface_Engine!L236*12)*INDEX(Surface_Engine!$F$12:$F$72,$A165+1)-(Surface_Engine!L236*12),1000*12*INDEX(Surface_Engine!$C$12:$C$72,$A165+1)/(1+Assumptions!$B$10)^25+INDEX(Surface_Engine!$D$12:$D$72,$A165+1)))*INDEX(Surface_Engine!$B$12:$B$72,$A165+1)+G166</f>
        <v>15491.4562508758</v>
      </c>
      <c r="H165" s="48" t="n">
        <f aca="false">D165*(IF($A165&lt;$Q$132,INDEX(Surface_Engine!$D$12:$D$72,$A165+1)+(Surface_Engine!L236*12)*INDEX(Surface_Engine!$F$12:$F$72,$A165+1)-(Surface_Engine!L236*12),1000*12*INDEX(Surface_Engine!$C$12:$C$72,$A165+1)/(1+Assumptions!$B$10)^25+INDEX(Surface_Engine!$D$12:$D$72,$A165+1)))*INDEX(Surface_Engine!$B$12:$B$72,$A165+1)+H166</f>
        <v>9884.24370509861</v>
      </c>
      <c r="I165" s="48" t="n">
        <f aca="false">E165*(IF($A165&lt;$Q$132,INDEX(Surface_Engine!$D$12:$D$72,$A165+1)+(Surface_Engine!L236*12)*INDEX(Surface_Engine!$F$12:$F$72,$A165+1)-(Surface_Engine!L236*12),1000*12*INDEX(Surface_Engine!$C$12:$C$72,$A165+1)/(1+Assumptions!$B$10)^25+INDEX(Surface_Engine!$D$12:$D$72,$A165+1)))*INDEX(Surface_Engine!$B$12:$B$72,$A165+1)+I166</f>
        <v>13191.3294963038</v>
      </c>
      <c r="J165" s="48" t="n">
        <f aca="false">B165*(IF($A165&lt;$Q$132,INDEX(Surface_Engine!$D$12:$D$72,$A165+1)*(1+Assumptions!$B$24)+(Surface_Engine!L236*12)*INDEX(Surface_Engine!$F$12:$F$72,$A165+1)-(Surface_Engine!L236*12),1000*12*INDEX(Surface_Engine!$C$12:$C$72,$A165+1)/(1+Assumptions!$B$10)^25+INDEX(Surface_Engine!$D$12:$D$72,$A165+1)*(1+Assumptions!$B$24)))*INDEX(Surface_Engine!$B$12:$B$72,$A165+1)+J166</f>
        <v>11440.1429802174</v>
      </c>
      <c r="K165" s="12" t="n">
        <f aca="false">SQRT((IF(C165&lt;=0,0,MAX(0,(B165/C165)*G165/INDEX(Surface_Engine!$B$12:$B$72,$A165+1)-F165/INDEX(Surface_Engine!$B$12:$B$72,$A165+1))))^2+(MAX(IF(D165&lt;=0,0,MAX(0,(B165/D165)*H165/INDEX(Surface_Engine!$B$12:$B$72,$A165+1)-F165/INDEX(Surface_Engine!$B$12:$B$72,$A165+1))),IF(E165&lt;=0,0,MAX(0,(B165/E165)*I165/INDEX(Surface_Engine!$B$12:$B$72,$A165+1)-F165/INDEX(Surface_Engine!$B$12:$B$72,$A165+1))),IF($A165&lt;$Q$132,MAX(0,-Assumptions!$B$22*(F165/INDEX(Surface_Engine!$B$12:$B$72,$A165+1))),0)))^2+(MAX(0,J165/INDEX(Surface_Engine!$B$12:$B$72,$A165+1)-(F165/INDEX(Surface_Engine!$B$12:$B$72,$A165+1))))^2+2*Assumptions!$B$26*(IF(C165&lt;=0,0,MAX(0,(B165/C165)*G165/INDEX(Surface_Engine!$B$12:$B$72,$A165+1)-F165/INDEX(Surface_Engine!$B$12:$B$72,$A165+1))))*(MAX(IF(D165&lt;=0,0,MAX(0,(B165/D165)*H165/INDEX(Surface_Engine!$B$12:$B$72,$A165+1)-F165/INDEX(Surface_Engine!$B$12:$B$72,$A165+1))),IF(E165&lt;=0,0,MAX(0,(B165/E165)*I165/INDEX(Surface_Engine!$B$12:$B$72,$A165+1)-F165/INDEX(Surface_Engine!$B$12:$B$72,$A165+1))),IF($A165&lt;$Q$132,MAX(0,-Assumptions!$B$22*(F165/INDEX(Surface_Engine!$B$12:$B$72,$A165+1))),0)))+2*Assumptions!$B$27*(IF(C165&lt;=0,0,MAX(0,(B165/C165)*G165/INDEX(Surface_Engine!$B$12:$B$72,$A165+1)-F165/INDEX(Surface_Engine!$B$12:$B$72,$A165+1))))*(MAX(0,J165/INDEX(Surface_Engine!$B$12:$B$72,$A165+1)-(F165/INDEX(Surface_Engine!$B$12:$B$72,$A165+1))))+2*Assumptions!$B$28*(MAX(IF(D165&lt;=0,0,MAX(0,(B165/D165)*H165/INDEX(Surface_Engine!$B$12:$B$72,$A165+1)-F165/INDEX(Surface_Engine!$B$12:$B$72,$A165+1))),IF(E165&lt;=0,0,MAX(0,(B165/E165)*I165/INDEX(Surface_Engine!$B$12:$B$72,$A165+1)-F165/INDEX(Surface_Engine!$B$12:$B$72,$A165+1))),IF($A165&lt;$Q$132,MAX(0,-Assumptions!$B$22*(F165/INDEX(Surface_Engine!$B$12:$B$72,$A165+1))),0)))*(MAX(0,J165/INDEX(Surface_Engine!$B$12:$B$72,$A165+1)-(F165/INDEX(Surface_Engine!$B$12:$B$72,$A165+1)))))</f>
        <v>4927.96443360126</v>
      </c>
      <c r="L165" s="48" t="n">
        <f aca="false">K165*INDEX(Surface_Engine!$B$12:$B$72,$A165+1)+L166</f>
        <v>10237.1436222795</v>
      </c>
      <c r="M165" s="48" t="n">
        <f aca="false">M164+B164*(IF($A164&lt;$Q$132,(Surface_Engine!L236*12)-(Surface_Engine!L236*12)*INDEX(Surface_Engine!$F$12:$F$72,$A164+1)-INDEX(Surface_Engine!$D$12:$D$72,$A164+1),-(1000*12*INDEX(Surface_Engine!$C$12:$C$72,$A164+1)/(1+Assumptions!$B$10)^25+INDEX(Surface_Engine!$D$12:$D$72,$A164+1))))*INDEX(Surface_Engine!$B$12:$B$72,$A164+1)</f>
        <v>12407.9870260062</v>
      </c>
      <c r="N165" s="12" t="n">
        <f aca="false">IF(B165&lt;=0,0,MAX(0,(K165+Assumptions!$B$29*L165/INDEX(Surface_Engine!$B$12:$B$72,$A165+1)-(M165/INDEX(Surface_Engine!$B$12:$B$72,$A165+1)-(F165/INDEX(Surface_Engine!$B$12:$B$72,$A165+1))))/B165))</f>
        <v>11178.9709328758</v>
      </c>
    </row>
    <row r="166" customFormat="false" ht="15" hidden="false" customHeight="true" outlineLevel="0" collapsed="false">
      <c r="A166" s="1" t="n">
        <v>32</v>
      </c>
      <c r="B166" s="32" t="n">
        <f aca="false">INDEX(Surface_Engine!$G$12:$G$72,$A166+1)*IF($A166&lt;$Q$132,INDEX(Surface_Engine!$E$12:$E$72,$A166+1),INDEX(Surface_Engine!$E$12:$E$72,$Q$132+1))</f>
        <v>0.317639207449215</v>
      </c>
      <c r="C166" s="32" t="n">
        <f aca="false">INDEX(Panel_Reserving!$B$8:$B$68,$A166+1)*IF($A166&lt;$Q$132,INDEX(Surface_Engine!$E$12:$E$72,$A166+1),INDEX(Surface_Engine!$E$12:$E$72,$Q$132+1))</f>
        <v>0.378774859400393</v>
      </c>
      <c r="D166" s="32" t="n">
        <f aca="false">INDEX(Surface_Engine!$G$12:$G$72,$A166+1)*IF($A166&lt;$Q$132,INDEX(Surface_Engine!$Y$12:$Y$72,$A166+1),INDEX(Surface_Engine!$Y$12:$Y$72,$Q$132+1))</f>
        <v>0.27479981122321</v>
      </c>
      <c r="E166" s="32" t="n">
        <f aca="false">INDEX(Surface_Engine!$G$12:$G$72,$A166+1)*IF($A166&lt;$Q$132,INDEX(Surface_Engine!$Z$12:$Z$72,$A166+1),INDEX(Surface_Engine!$Z$12:$Z$72,$Q$132+1))</f>
        <v>0.366742763889722</v>
      </c>
      <c r="F166" s="48" t="n">
        <f aca="false">B166*(IF($A166&lt;$Q$132,INDEX(Surface_Engine!$D$12:$D$72,$A166+1)+(Surface_Engine!L236*12)*INDEX(Surface_Engine!$F$12:$F$72,$A166+1)-(Surface_Engine!L236*12),1000*12*INDEX(Surface_Engine!$C$12:$C$72,$A166+1)/(1+Assumptions!$B$10)^25+INDEX(Surface_Engine!$D$12:$D$72,$A166+1)))*INDEX(Surface_Engine!$B$12:$B$72,$A166+1)+F167</f>
        <v>9593.26577833443</v>
      </c>
      <c r="G166" s="48" t="n">
        <f aca="false">C166*(IF($A166&lt;$Q$132,INDEX(Surface_Engine!$D$12:$D$72,$A166+1)+(Surface_Engine!L236*12)*INDEX(Surface_Engine!$F$12:$F$72,$A166+1)-(Surface_Engine!L236*12),1000*12*INDEX(Surface_Engine!$C$12:$C$72,$A166+1)/(1+Assumptions!$B$10)^25+INDEX(Surface_Engine!$D$12:$D$72,$A166+1)))*INDEX(Surface_Engine!$B$12:$B$72,$A166+1)+G167</f>
        <v>13355.4713455545</v>
      </c>
      <c r="H166" s="48" t="n">
        <f aca="false">D166*(IF($A166&lt;$Q$132,INDEX(Surface_Engine!$D$12:$D$72,$A166+1)+(Surface_Engine!L236*12)*INDEX(Surface_Engine!$F$12:$F$72,$A166+1)-(Surface_Engine!L236*12),1000*12*INDEX(Surface_Engine!$C$12:$C$72,$A166+1)/(1+Assumptions!$B$10)^25+INDEX(Surface_Engine!$D$12:$D$72,$A166+1)))*INDEX(Surface_Engine!$B$12:$B$72,$A166+1)+H167</f>
        <v>8299.44025509467</v>
      </c>
      <c r="I166" s="48" t="n">
        <f aca="false">E166*(IF($A166&lt;$Q$132,INDEX(Surface_Engine!$D$12:$D$72,$A166+1)+(Surface_Engine!L236*12)*INDEX(Surface_Engine!$F$12:$F$72,$A166+1)-(Surface_Engine!L236*12),1000*12*INDEX(Surface_Engine!$C$12:$C$72,$A166+1)/(1+Assumptions!$B$10)^25+INDEX(Surface_Engine!$D$12:$D$72,$A166+1)))*INDEX(Surface_Engine!$B$12:$B$72,$A166+1)+I167</f>
        <v>11076.2800175969</v>
      </c>
      <c r="J166" s="48" t="n">
        <f aca="false">B166*(IF($A166&lt;$Q$132,INDEX(Surface_Engine!$D$12:$D$72,$A166+1)*(1+Assumptions!$B$24)+(Surface_Engine!L236*12)*INDEX(Surface_Engine!$F$12:$F$72,$A166+1)-(Surface_Engine!L236*12),1000*12*INDEX(Surface_Engine!$C$12:$C$72,$A166+1)/(1+Assumptions!$B$10)^25+INDEX(Surface_Engine!$D$12:$D$72,$A166+1)*(1+Assumptions!$B$24)))*INDEX(Surface_Engine!$B$12:$B$72,$A166+1)+J167</f>
        <v>9605.92055677341</v>
      </c>
      <c r="K166" s="12" t="n">
        <f aca="false">SQRT((IF(C166&lt;=0,0,MAX(0,(B166/C166)*G166/INDEX(Surface_Engine!$B$12:$B$72,$A166+1)-F166/INDEX(Surface_Engine!$B$12:$B$72,$A166+1))))^2+(MAX(IF(D166&lt;=0,0,MAX(0,(B166/D166)*H166/INDEX(Surface_Engine!$B$12:$B$72,$A166+1)-F166/INDEX(Surface_Engine!$B$12:$B$72,$A166+1))),IF(E166&lt;=0,0,MAX(0,(B166/E166)*I166/INDEX(Surface_Engine!$B$12:$B$72,$A166+1)-F166/INDEX(Surface_Engine!$B$12:$B$72,$A166+1))),IF($A166&lt;$Q$132,MAX(0,-Assumptions!$B$22*(F166/INDEX(Surface_Engine!$B$12:$B$72,$A166+1))),0)))^2+(MAX(0,J166/INDEX(Surface_Engine!$B$12:$B$72,$A166+1)-(F166/INDEX(Surface_Engine!$B$12:$B$72,$A166+1))))^2+2*Assumptions!$B$26*(IF(C166&lt;=0,0,MAX(0,(B166/C166)*G166/INDEX(Surface_Engine!$B$12:$B$72,$A166+1)-F166/INDEX(Surface_Engine!$B$12:$B$72,$A166+1))))*(MAX(IF(D166&lt;=0,0,MAX(0,(B166/D166)*H166/INDEX(Surface_Engine!$B$12:$B$72,$A166+1)-F166/INDEX(Surface_Engine!$B$12:$B$72,$A166+1))),IF(E166&lt;=0,0,MAX(0,(B166/E166)*I166/INDEX(Surface_Engine!$B$12:$B$72,$A166+1)-F166/INDEX(Surface_Engine!$B$12:$B$72,$A166+1))),IF($A166&lt;$Q$132,MAX(0,-Assumptions!$B$22*(F166/INDEX(Surface_Engine!$B$12:$B$72,$A166+1))),0)))+2*Assumptions!$B$27*(IF(C166&lt;=0,0,MAX(0,(B166/C166)*G166/INDEX(Surface_Engine!$B$12:$B$72,$A166+1)-F166/INDEX(Surface_Engine!$B$12:$B$72,$A166+1))))*(MAX(0,J166/INDEX(Surface_Engine!$B$12:$B$72,$A166+1)-(F166/INDEX(Surface_Engine!$B$12:$B$72,$A166+1))))+2*Assumptions!$B$28*(MAX(IF(D166&lt;=0,0,MAX(0,(B166/D166)*H166/INDEX(Surface_Engine!$B$12:$B$72,$A166+1)-F166/INDEX(Surface_Engine!$B$12:$B$72,$A166+1))),IF(E166&lt;=0,0,MAX(0,(B166/E166)*I166/INDEX(Surface_Engine!$B$12:$B$72,$A166+1)-F166/INDEX(Surface_Engine!$B$12:$B$72,$A166+1))),IF($A166&lt;$Q$132,MAX(0,-Assumptions!$B$22*(F166/INDEX(Surface_Engine!$B$12:$B$72,$A166+1))),0)))*(MAX(0,J166/INDEX(Surface_Engine!$B$12:$B$72,$A166+1)-(F166/INDEX(Surface_Engine!$B$12:$B$72,$A166+1)))))</f>
        <v>4393.08710642401</v>
      </c>
      <c r="L166" s="48" t="n">
        <f aca="false">K166*INDEX(Surface_Engine!$B$12:$B$72,$A166+1)+L167</f>
        <v>8372.67988465627</v>
      </c>
      <c r="M166" s="48" t="n">
        <f aca="false">M165+B165*(IF($A165&lt;$Q$132,(Surface_Engine!L236*12)-(Surface_Engine!L236*12)*INDEX(Surface_Engine!$F$12:$F$72,$A165+1)-INDEX(Surface_Engine!$D$12:$D$72,$A165+1),-(1000*12*INDEX(Surface_Engine!$C$12:$C$72,$A165+1)/(1+Assumptions!$B$10)^25+INDEX(Surface_Engine!$D$12:$D$72,$A165+1))))*INDEX(Surface_Engine!$B$12:$B$72,$A165+1)</f>
        <v>10576.1236430538</v>
      </c>
      <c r="N166" s="12" t="n">
        <f aca="false">IF(B166&lt;=0,0,MAX(0,(K166+Assumptions!$B$29*L166/INDEX(Surface_Engine!$B$12:$B$72,$A166+1)-(M166/INDEX(Surface_Engine!$B$12:$B$72,$A166+1)-(F166/INDEX(Surface_Engine!$B$12:$B$72,$A166+1))))/B166))</f>
        <v>9702.2739434911</v>
      </c>
    </row>
    <row r="167" customFormat="false" ht="15" hidden="false" customHeight="true" outlineLevel="0" collapsed="false">
      <c r="A167" s="1" t="n">
        <v>33</v>
      </c>
      <c r="B167" s="32" t="n">
        <f aca="false">INDEX(Surface_Engine!$G$12:$G$72,$A167+1)*IF($A167&lt;$Q$132,INDEX(Surface_Engine!$E$12:$E$72,$A167+1),INDEX(Surface_Engine!$E$12:$E$72,$Q$132+1))</f>
        <v>0.281459486534807</v>
      </c>
      <c r="C167" s="32" t="n">
        <f aca="false">INDEX(Panel_Reserving!$B$8:$B$68,$A167+1)*IF($A167&lt;$Q$132,INDEX(Surface_Engine!$E$12:$E$72,$A167+1),INDEX(Surface_Engine!$E$12:$E$72,$Q$132+1))</f>
        <v>0.344260307339772</v>
      </c>
      <c r="D167" s="32" t="n">
        <f aca="false">INDEX(Surface_Engine!$G$12:$G$72,$A167+1)*IF($A167&lt;$Q$132,INDEX(Surface_Engine!$Y$12:$Y$72,$A167+1),INDEX(Surface_Engine!$Y$12:$Y$72,$Q$132+1))</f>
        <v>0.243499580507903</v>
      </c>
      <c r="E167" s="32" t="n">
        <f aca="false">INDEX(Surface_Engine!$G$12:$G$72,$A167+1)*IF($A167&lt;$Q$132,INDEX(Surface_Engine!$Z$12:$Z$72,$A167+1),INDEX(Surface_Engine!$Z$12:$Z$72,$Q$132+1))</f>
        <v>0.324970052795704</v>
      </c>
      <c r="F167" s="48" t="n">
        <f aca="false">B167*(IF($A167&lt;$Q$132,INDEX(Surface_Engine!$D$12:$D$72,$A167+1)+(Surface_Engine!L236*12)*INDEX(Surface_Engine!$F$12:$F$72,$A167+1)-(Surface_Engine!L236*12),1000*12*INDEX(Surface_Engine!$C$12:$C$72,$A167+1)/(1+Assumptions!$B$10)^25+INDEX(Surface_Engine!$D$12:$D$72,$A167+1)))*INDEX(Surface_Engine!$B$12:$B$72,$A167+1)+F168</f>
        <v>7967.8162181166</v>
      </c>
      <c r="G167" s="48" t="n">
        <f aca="false">C167*(IF($A167&lt;$Q$132,INDEX(Surface_Engine!$D$12:$D$72,$A167+1)+(Surface_Engine!L236*12)*INDEX(Surface_Engine!$F$12:$F$72,$A167+1)-(Surface_Engine!L236*12),1000*12*INDEX(Surface_Engine!$C$12:$C$72,$A167+1)/(1+Assumptions!$B$10)^25+INDEX(Surface_Engine!$D$12:$D$72,$A167+1)))*INDEX(Surface_Engine!$B$12:$B$72,$A167+1)+G168</f>
        <v>11417.1733829758</v>
      </c>
      <c r="H167" s="48" t="n">
        <f aca="false">D167*(IF($A167&lt;$Q$132,INDEX(Surface_Engine!$D$12:$D$72,$A167+1)+(Surface_Engine!L236*12)*INDEX(Surface_Engine!$F$12:$F$72,$A167+1)-(Surface_Engine!L236*12),1000*12*INDEX(Surface_Engine!$C$12:$C$72,$A167+1)/(1+Assumptions!$B$10)^25+INDEX(Surface_Engine!$D$12:$D$72,$A167+1)))*INDEX(Surface_Engine!$B$12:$B$72,$A167+1)+H168</f>
        <v>6893.21198784864</v>
      </c>
      <c r="I167" s="48" t="n">
        <f aca="false">E167*(IF($A167&lt;$Q$132,INDEX(Surface_Engine!$D$12:$D$72,$A167+1)+(Surface_Engine!L236*12)*INDEX(Surface_Engine!$F$12:$F$72,$A167+1)-(Surface_Engine!L236*12),1000*12*INDEX(Surface_Engine!$C$12:$C$72,$A167+1)/(1+Assumptions!$B$10)^25+INDEX(Surface_Engine!$D$12:$D$72,$A167+1)))*INDEX(Surface_Engine!$B$12:$B$72,$A167+1)+I168</f>
        <v>9199.55368691264</v>
      </c>
      <c r="J167" s="48" t="n">
        <f aca="false">B167*(IF($A167&lt;$Q$132,INDEX(Surface_Engine!$D$12:$D$72,$A167+1)*(1+Assumptions!$B$24)+(Surface_Engine!L236*12)*INDEX(Surface_Engine!$F$12:$F$72,$A167+1)-(Surface_Engine!L236*12),1000*12*INDEX(Surface_Engine!$C$12:$C$72,$A167+1)/(1+Assumptions!$B$10)^25+INDEX(Surface_Engine!$D$12:$D$72,$A167+1)*(1+Assumptions!$B$24)))*INDEX(Surface_Engine!$B$12:$B$72,$A167+1)+J168</f>
        <v>7978.36764391995</v>
      </c>
      <c r="K167" s="12" t="n">
        <f aca="false">SQRT((IF(C167&lt;=0,0,MAX(0,(B167/C167)*G167/INDEX(Surface_Engine!$B$12:$B$72,$A167+1)-F167/INDEX(Surface_Engine!$B$12:$B$72,$A167+1))))^2+(MAX(IF(D167&lt;=0,0,MAX(0,(B167/D167)*H167/INDEX(Surface_Engine!$B$12:$B$72,$A167+1)-F167/INDEX(Surface_Engine!$B$12:$B$72,$A167+1))),IF(E167&lt;=0,0,MAX(0,(B167/E167)*I167/INDEX(Surface_Engine!$B$12:$B$72,$A167+1)-F167/INDEX(Surface_Engine!$B$12:$B$72,$A167+1))),IF($A167&lt;$Q$132,MAX(0,-Assumptions!$B$22*(F167/INDEX(Surface_Engine!$B$12:$B$72,$A167+1))),0)))^2+(MAX(0,J167/INDEX(Surface_Engine!$B$12:$B$72,$A167+1)-(F167/INDEX(Surface_Engine!$B$12:$B$72,$A167+1))))^2+2*Assumptions!$B$26*(IF(C167&lt;=0,0,MAX(0,(B167/C167)*G167/INDEX(Surface_Engine!$B$12:$B$72,$A167+1)-F167/INDEX(Surface_Engine!$B$12:$B$72,$A167+1))))*(MAX(IF(D167&lt;=0,0,MAX(0,(B167/D167)*H167/INDEX(Surface_Engine!$B$12:$B$72,$A167+1)-F167/INDEX(Surface_Engine!$B$12:$B$72,$A167+1))),IF(E167&lt;=0,0,MAX(0,(B167/E167)*I167/INDEX(Surface_Engine!$B$12:$B$72,$A167+1)-F167/INDEX(Surface_Engine!$B$12:$B$72,$A167+1))),IF($A167&lt;$Q$132,MAX(0,-Assumptions!$B$22*(F167/INDEX(Surface_Engine!$B$12:$B$72,$A167+1))),0)))+2*Assumptions!$B$27*(IF(C167&lt;=0,0,MAX(0,(B167/C167)*G167/INDEX(Surface_Engine!$B$12:$B$72,$A167+1)-F167/INDEX(Surface_Engine!$B$12:$B$72,$A167+1))))*(MAX(0,J167/INDEX(Surface_Engine!$B$12:$B$72,$A167+1)-(F167/INDEX(Surface_Engine!$B$12:$B$72,$A167+1))))+2*Assumptions!$B$28*(MAX(IF(D167&lt;=0,0,MAX(0,(B167/D167)*H167/INDEX(Surface_Engine!$B$12:$B$72,$A167+1)-F167/INDEX(Surface_Engine!$B$12:$B$72,$A167+1))),IF(E167&lt;=0,0,MAX(0,(B167/E167)*I167/INDEX(Surface_Engine!$B$12:$B$72,$A167+1)-F167/INDEX(Surface_Engine!$B$12:$B$72,$A167+1))),IF($A167&lt;$Q$132,MAX(0,-Assumptions!$B$22*(F167/INDEX(Surface_Engine!$B$12:$B$72,$A167+1))),0)))*(MAX(0,J167/INDEX(Surface_Engine!$B$12:$B$72,$A167+1)-(F167/INDEX(Surface_Engine!$B$12:$B$72,$A167+1)))))</f>
        <v>3858.2987721096</v>
      </c>
      <c r="L167" s="48" t="n">
        <f aca="false">K167*INDEX(Surface_Engine!$B$12:$B$72,$A167+1)+L168</f>
        <v>6762.88606411321</v>
      </c>
      <c r="M167" s="48" t="n">
        <f aca="false">M166+B166*(IF($A166&lt;$Q$132,(Surface_Engine!L236*12)-(Surface_Engine!L236*12)*INDEX(Surface_Engine!$F$12:$F$72,$A166+1)-INDEX(Surface_Engine!$D$12:$D$72,$A166+1),-(1000*12*INDEX(Surface_Engine!$C$12:$C$72,$A166+1)/(1+Assumptions!$B$10)^25+INDEX(Surface_Engine!$D$12:$D$72,$A166+1))))*INDEX(Surface_Engine!$B$12:$B$72,$A166+1)</f>
        <v>8950.674082836</v>
      </c>
      <c r="N167" s="12" t="n">
        <f aca="false">IF(B167&lt;=0,0,MAX(0,(K167+Assumptions!$B$29*L167/INDEX(Surface_Engine!$B$12:$B$72,$A167+1)-(M167/INDEX(Surface_Engine!$B$12:$B$72,$A167+1)-(F167/INDEX(Surface_Engine!$B$12:$B$72,$A167+1))))/B167))</f>
        <v>7930.8709350335</v>
      </c>
    </row>
    <row r="168" customFormat="false" ht="15" hidden="false" customHeight="true" outlineLevel="0" collapsed="false">
      <c r="A168" s="1" t="n">
        <v>34</v>
      </c>
      <c r="B168" s="32" t="n">
        <f aca="false">INDEX(Surface_Engine!$G$12:$G$72,$A168+1)*IF($A168&lt;$Q$132,INDEX(Surface_Engine!$E$12:$E$72,$A168+1),INDEX(Surface_Engine!$E$12:$E$72,$Q$132+1))</f>
        <v>0.246171151993949</v>
      </c>
      <c r="C168" s="32" t="n">
        <f aca="false">INDEX(Panel_Reserving!$B$8:$B$68,$A168+1)*IF($A168&lt;$Q$132,INDEX(Surface_Engine!$E$12:$E$72,$A168+1),INDEX(Surface_Engine!$E$12:$E$72,$Q$132+1))</f>
        <v>0.309730654652319</v>
      </c>
      <c r="D168" s="32" t="n">
        <f aca="false">INDEX(Surface_Engine!$G$12:$G$72,$A168+1)*IF($A168&lt;$Q$132,INDEX(Surface_Engine!$Y$12:$Y$72,$A168+1),INDEX(Surface_Engine!$Y$12:$Y$72,$Q$132+1))</f>
        <v>0.212970516580051</v>
      </c>
      <c r="E168" s="32" t="n">
        <f aca="false">INDEX(Surface_Engine!$G$12:$G$72,$A168+1)*IF($A168&lt;$Q$132,INDEX(Surface_Engine!$Z$12:$Z$72,$A168+1),INDEX(Surface_Engine!$Z$12:$Z$72,$Q$132+1))</f>
        <v>0.28422652668472</v>
      </c>
      <c r="F168" s="48" t="n">
        <f aca="false">B168*(IF($A168&lt;$Q$132,INDEX(Surface_Engine!$D$12:$D$72,$A168+1)+(Surface_Engine!L236*12)*INDEX(Surface_Engine!$F$12:$F$72,$A168+1)-(Surface_Engine!L236*12),1000*12*INDEX(Surface_Engine!$C$12:$C$72,$A168+1)/(1+Assumptions!$B$10)^25+INDEX(Surface_Engine!$D$12:$D$72,$A168+1)))*INDEX(Surface_Engine!$B$12:$B$72,$A168+1)+F169</f>
        <v>6544.89702069756</v>
      </c>
      <c r="G168" s="48" t="n">
        <f aca="false">C168*(IF($A168&lt;$Q$132,INDEX(Surface_Engine!$D$12:$D$72,$A168+1)+(Surface_Engine!L236*12)*INDEX(Surface_Engine!$F$12:$F$72,$A168+1)-(Surface_Engine!L236*12),1000*12*INDEX(Surface_Engine!$C$12:$C$72,$A168+1)/(1+Assumptions!$B$10)^25+INDEX(Surface_Engine!$D$12:$D$72,$A168+1)))*INDEX(Surface_Engine!$B$12:$B$72,$A168+1)+G169</f>
        <v>9676.76446567831</v>
      </c>
      <c r="H168" s="48" t="n">
        <f aca="false">D168*(IF($A168&lt;$Q$132,INDEX(Surface_Engine!$D$12:$D$72,$A168+1)+(Surface_Engine!L236*12)*INDEX(Surface_Engine!$F$12:$F$72,$A168+1)-(Surface_Engine!L236*12),1000*12*INDEX(Surface_Engine!$C$12:$C$72,$A168+1)/(1+Assumptions!$B$10)^25+INDEX(Surface_Engine!$D$12:$D$72,$A168+1)))*INDEX(Surface_Engine!$B$12:$B$72,$A168+1)+H169</f>
        <v>5662.19919828566</v>
      </c>
      <c r="I168" s="48" t="n">
        <f aca="false">E168*(IF($A168&lt;$Q$132,INDEX(Surface_Engine!$D$12:$D$72,$A168+1)+(Surface_Engine!L236*12)*INDEX(Surface_Engine!$F$12:$F$72,$A168+1)-(Surface_Engine!L236*12),1000*12*INDEX(Surface_Engine!$C$12:$C$72,$A168+1)/(1+Assumptions!$B$10)^25+INDEX(Surface_Engine!$D$12:$D$72,$A168+1)))*INDEX(Surface_Engine!$B$12:$B$72,$A168+1)+I169</f>
        <v>7556.6667037727</v>
      </c>
      <c r="J168" s="48" t="n">
        <f aca="false">B168*(IF($A168&lt;$Q$132,INDEX(Surface_Engine!$D$12:$D$72,$A168+1)*(1+Assumptions!$B$24)+(Surface_Engine!L236*12)*INDEX(Surface_Engine!$F$12:$F$72,$A168+1)-(Surface_Engine!L236*12),1000*12*INDEX(Surface_Engine!$C$12:$C$72,$A168+1)/(1+Assumptions!$B$10)^25+INDEX(Surface_Engine!$D$12:$D$72,$A168+1)*(1+Assumptions!$B$24)))*INDEX(Surface_Engine!$B$12:$B$72,$A168+1)+J169</f>
        <v>6553.59826225888</v>
      </c>
      <c r="K168" s="12" t="n">
        <f aca="false">SQRT((IF(C168&lt;=0,0,MAX(0,(B168/C168)*G168/INDEX(Surface_Engine!$B$12:$B$72,$A168+1)-F168/INDEX(Surface_Engine!$B$12:$B$72,$A168+1))))^2+(MAX(IF(D168&lt;=0,0,MAX(0,(B168/D168)*H168/INDEX(Surface_Engine!$B$12:$B$72,$A168+1)-F168/INDEX(Surface_Engine!$B$12:$B$72,$A168+1))),IF(E168&lt;=0,0,MAX(0,(B168/E168)*I168/INDEX(Surface_Engine!$B$12:$B$72,$A168+1)-F168/INDEX(Surface_Engine!$B$12:$B$72,$A168+1))),IF($A168&lt;$Q$132,MAX(0,-Assumptions!$B$22*(F168/INDEX(Surface_Engine!$B$12:$B$72,$A168+1))),0)))^2+(MAX(0,J168/INDEX(Surface_Engine!$B$12:$B$72,$A168+1)-(F168/INDEX(Surface_Engine!$B$12:$B$72,$A168+1))))^2+2*Assumptions!$B$26*(IF(C168&lt;=0,0,MAX(0,(B168/C168)*G168/INDEX(Surface_Engine!$B$12:$B$72,$A168+1)-F168/INDEX(Surface_Engine!$B$12:$B$72,$A168+1))))*(MAX(IF(D168&lt;=0,0,MAX(0,(B168/D168)*H168/INDEX(Surface_Engine!$B$12:$B$72,$A168+1)-F168/INDEX(Surface_Engine!$B$12:$B$72,$A168+1))),IF(E168&lt;=0,0,MAX(0,(B168/E168)*I168/INDEX(Surface_Engine!$B$12:$B$72,$A168+1)-F168/INDEX(Surface_Engine!$B$12:$B$72,$A168+1))),IF($A168&lt;$Q$132,MAX(0,-Assumptions!$B$22*(F168/INDEX(Surface_Engine!$B$12:$B$72,$A168+1))),0)))+2*Assumptions!$B$27*(IF(C168&lt;=0,0,MAX(0,(B168/C168)*G168/INDEX(Surface_Engine!$B$12:$B$72,$A168+1)-F168/INDEX(Surface_Engine!$B$12:$B$72,$A168+1))))*(MAX(0,J168/INDEX(Surface_Engine!$B$12:$B$72,$A168+1)-(F168/INDEX(Surface_Engine!$B$12:$B$72,$A168+1))))+2*Assumptions!$B$28*(MAX(IF(D168&lt;=0,0,MAX(0,(B168/D168)*H168/INDEX(Surface_Engine!$B$12:$B$72,$A168+1)-F168/INDEX(Surface_Engine!$B$12:$B$72,$A168+1))),IF(E168&lt;=0,0,MAX(0,(B168/E168)*I168/INDEX(Surface_Engine!$B$12:$B$72,$A168+1)-F168/INDEX(Surface_Engine!$B$12:$B$72,$A168+1))),IF($A168&lt;$Q$132,MAX(0,-Assumptions!$B$22*(F168/INDEX(Surface_Engine!$B$12:$B$72,$A168+1))),0)))*(MAX(0,J168/INDEX(Surface_Engine!$B$12:$B$72,$A168+1)-(F168/INDEX(Surface_Engine!$B$12:$B$72,$A168+1)))))</f>
        <v>3341.04979240129</v>
      </c>
      <c r="L168" s="48" t="n">
        <f aca="false">K168*INDEX(Surface_Engine!$B$12:$B$72,$A168+1)+L169</f>
        <v>5393.60207150562</v>
      </c>
      <c r="M168" s="48" t="n">
        <f aca="false">M167+B167*(IF($A167&lt;$Q$132,(Surface_Engine!L236*12)-(Surface_Engine!L236*12)*INDEX(Surface_Engine!$F$12:$F$72,$A167+1)-INDEX(Surface_Engine!$D$12:$D$72,$A167+1),-(1000*12*INDEX(Surface_Engine!$C$12:$C$72,$A167+1)/(1+Assumptions!$B$10)^25+INDEX(Surface_Engine!$D$12:$D$72,$A167+1))))*INDEX(Surface_Engine!$B$12:$B$72,$A167+1)</f>
        <v>7527.75488541696</v>
      </c>
      <c r="N168" s="12" t="n">
        <f aca="false">IF(B168&lt;=0,0,MAX(0,(K168+Assumptions!$B$29*L168/INDEX(Surface_Engine!$B$12:$B$72,$A168+1)-(M168/INDEX(Surface_Engine!$B$12:$B$72,$A168+1)-(F168/INDEX(Surface_Engine!$B$12:$B$72,$A168+1))))/B168))</f>
        <v>5780.41021210405</v>
      </c>
    </row>
    <row r="169" customFormat="false" ht="15" hidden="false" customHeight="true" outlineLevel="0" collapsed="false">
      <c r="A169" s="1" t="n">
        <v>35</v>
      </c>
      <c r="B169" s="32" t="n">
        <f aca="false">INDEX(Surface_Engine!$G$12:$G$72,$A169+1)*IF($A169&lt;$Q$132,INDEX(Surface_Engine!$E$12:$E$72,$A169+1),INDEX(Surface_Engine!$E$12:$E$72,$Q$132+1))</f>
        <v>0.212640710627679</v>
      </c>
      <c r="C169" s="32" t="n">
        <f aca="false">INDEX(Panel_Reserving!$B$8:$B$68,$A169+1)*IF($A169&lt;$Q$132,INDEX(Surface_Engine!$E$12:$E$72,$A169+1),INDEX(Surface_Engine!$E$12:$E$72,$Q$132+1))</f>
        <v>0.275980459404709</v>
      </c>
      <c r="D169" s="32" t="n">
        <f aca="false">INDEX(Surface_Engine!$G$12:$G$72,$A169+1)*IF($A169&lt;$Q$132,INDEX(Surface_Engine!$Y$12:$Y$72,$A169+1),INDEX(Surface_Engine!$Y$12:$Y$72,$Q$132+1))</f>
        <v>0.183962262115258</v>
      </c>
      <c r="E169" s="32" t="n">
        <f aca="false">INDEX(Surface_Engine!$G$12:$G$72,$A169+1)*IF($A169&lt;$Q$132,INDEX(Surface_Engine!$Z$12:$Z$72,$A169+1),INDEX(Surface_Engine!$Z$12:$Z$72,$Q$132+1))</f>
        <v>0.245512644856784</v>
      </c>
      <c r="F169" s="48" t="n">
        <f aca="false">B169*(IF($A169&lt;$Q$132,INDEX(Surface_Engine!$D$12:$D$72,$A169+1)+(Surface_Engine!L236*12)*INDEX(Surface_Engine!$F$12:$F$72,$A169+1)-(Surface_Engine!L236*12),1000*12*INDEX(Surface_Engine!$C$12:$C$72,$A169+1)/(1+Assumptions!$B$10)^25+INDEX(Surface_Engine!$D$12:$D$72,$A169+1)))*INDEX(Surface_Engine!$B$12:$B$72,$A169+1)+F170</f>
        <v>5315.45015673531</v>
      </c>
      <c r="G169" s="48" t="n">
        <f aca="false">C169*(IF($A169&lt;$Q$132,INDEX(Surface_Engine!$D$12:$D$72,$A169+1)+(Surface_Engine!L236*12)*INDEX(Surface_Engine!$F$12:$F$72,$A169+1)-(Surface_Engine!L236*12),1000*12*INDEX(Surface_Engine!$C$12:$C$72,$A169+1)/(1+Assumptions!$B$10)^25+INDEX(Surface_Engine!$D$12:$D$72,$A169+1)))*INDEX(Surface_Engine!$B$12:$B$72,$A169+1)+G170</f>
        <v>8129.88385456336</v>
      </c>
      <c r="H169" s="48" t="n">
        <f aca="false">D169*(IF($A169&lt;$Q$132,INDEX(Surface_Engine!$D$12:$D$72,$A169+1)+(Surface_Engine!L236*12)*INDEX(Surface_Engine!$F$12:$F$72,$A169+1)-(Surface_Engine!L236*12),1000*12*INDEX(Surface_Engine!$C$12:$C$72,$A169+1)/(1+Assumptions!$B$10)^25+INDEX(Surface_Engine!$D$12:$D$72,$A169+1)))*INDEX(Surface_Engine!$B$12:$B$72,$A169+1)+H170</f>
        <v>4598.56549626601</v>
      </c>
      <c r="I169" s="48" t="n">
        <f aca="false">E169*(IF($A169&lt;$Q$132,INDEX(Surface_Engine!$D$12:$D$72,$A169+1)+(Surface_Engine!L236*12)*INDEX(Surface_Engine!$F$12:$F$72,$A169+1)-(Surface_Engine!L236*12),1000*12*INDEX(Surface_Engine!$C$12:$C$72,$A169+1)/(1+Assumptions!$B$10)^25+INDEX(Surface_Engine!$D$12:$D$72,$A169+1)))*INDEX(Surface_Engine!$B$12:$B$72,$A169+1)+I170</f>
        <v>6137.16076631012</v>
      </c>
      <c r="J169" s="48" t="n">
        <f aca="false">B169*(IF($A169&lt;$Q$132,INDEX(Surface_Engine!$D$12:$D$72,$A169+1)*(1+Assumptions!$B$24)+(Surface_Engine!L236*12)*INDEX(Surface_Engine!$F$12:$F$72,$A169+1)-(Surface_Engine!L236*12),1000*12*INDEX(Surface_Engine!$C$12:$C$72,$A169+1)/(1+Assumptions!$B$10)^25+INDEX(Surface_Engine!$D$12:$D$72,$A169+1)*(1+Assumptions!$B$24)))*INDEX(Surface_Engine!$B$12:$B$72,$A169+1)+J170</f>
        <v>5322.54504704653</v>
      </c>
      <c r="K169" s="12" t="n">
        <f aca="false">SQRT((IF(C169&lt;=0,0,MAX(0,(B169/C169)*G169/INDEX(Surface_Engine!$B$12:$B$72,$A169+1)-F169/INDEX(Surface_Engine!$B$12:$B$72,$A169+1))))^2+(MAX(IF(D169&lt;=0,0,MAX(0,(B169/D169)*H169/INDEX(Surface_Engine!$B$12:$B$72,$A169+1)-F169/INDEX(Surface_Engine!$B$12:$B$72,$A169+1))),IF(E169&lt;=0,0,MAX(0,(B169/E169)*I169/INDEX(Surface_Engine!$B$12:$B$72,$A169+1)-F169/INDEX(Surface_Engine!$B$12:$B$72,$A169+1))),IF($A169&lt;$Q$132,MAX(0,-Assumptions!$B$22*(F169/INDEX(Surface_Engine!$B$12:$B$72,$A169+1))),0)))^2+(MAX(0,J169/INDEX(Surface_Engine!$B$12:$B$72,$A169+1)-(F169/INDEX(Surface_Engine!$B$12:$B$72,$A169+1))))^2+2*Assumptions!$B$26*(IF(C169&lt;=0,0,MAX(0,(B169/C169)*G169/INDEX(Surface_Engine!$B$12:$B$72,$A169+1)-F169/INDEX(Surface_Engine!$B$12:$B$72,$A169+1))))*(MAX(IF(D169&lt;=0,0,MAX(0,(B169/D169)*H169/INDEX(Surface_Engine!$B$12:$B$72,$A169+1)-F169/INDEX(Surface_Engine!$B$12:$B$72,$A169+1))),IF(E169&lt;=0,0,MAX(0,(B169/E169)*I169/INDEX(Surface_Engine!$B$12:$B$72,$A169+1)-F169/INDEX(Surface_Engine!$B$12:$B$72,$A169+1))),IF($A169&lt;$Q$132,MAX(0,-Assumptions!$B$22*(F169/INDEX(Surface_Engine!$B$12:$B$72,$A169+1))),0)))+2*Assumptions!$B$27*(IF(C169&lt;=0,0,MAX(0,(B169/C169)*G169/INDEX(Surface_Engine!$B$12:$B$72,$A169+1)-F169/INDEX(Surface_Engine!$B$12:$B$72,$A169+1))))*(MAX(0,J169/INDEX(Surface_Engine!$B$12:$B$72,$A169+1)-(F169/INDEX(Surface_Engine!$B$12:$B$72,$A169+1))))+2*Assumptions!$B$28*(MAX(IF(D169&lt;=0,0,MAX(0,(B169/D169)*H169/INDEX(Surface_Engine!$B$12:$B$72,$A169+1)-F169/INDEX(Surface_Engine!$B$12:$B$72,$A169+1))),IF(E169&lt;=0,0,MAX(0,(B169/E169)*I169/INDEX(Surface_Engine!$B$12:$B$72,$A169+1)-F169/INDEX(Surface_Engine!$B$12:$B$72,$A169+1))),IF($A169&lt;$Q$132,MAX(0,-Assumptions!$B$22*(F169/INDEX(Surface_Engine!$B$12:$B$72,$A169+1))),0)))*(MAX(0,J169/INDEX(Surface_Engine!$B$12:$B$72,$A169+1)-(F169/INDEX(Surface_Engine!$B$12:$B$72,$A169+1)))))</f>
        <v>2855.25978596764</v>
      </c>
      <c r="L169" s="48" t="n">
        <f aca="false">K169*INDEX(Surface_Engine!$B$12:$B$72,$A169+1)+L170</f>
        <v>4245.28709244663</v>
      </c>
      <c r="M169" s="48" t="n">
        <f aca="false">M168+B168*(IF($A168&lt;$Q$132,(Surface_Engine!L236*12)-(Surface_Engine!L236*12)*INDEX(Surface_Engine!$F$12:$F$72,$A168+1)-INDEX(Surface_Engine!$D$12:$D$72,$A168+1),-(1000*12*INDEX(Surface_Engine!$C$12:$C$72,$A168+1)/(1+Assumptions!$B$10)^25+INDEX(Surface_Engine!$D$12:$D$72,$A168+1))))*INDEX(Surface_Engine!$B$12:$B$72,$A168+1)</f>
        <v>6298.3080214547</v>
      </c>
      <c r="N169" s="12" t="n">
        <f aca="false">IF(B169&lt;=0,0,MAX(0,(K169+Assumptions!$B$29*L169/INDEX(Surface_Engine!$B$12:$B$72,$A169+1)-(M169/INDEX(Surface_Engine!$B$12:$B$72,$A169+1)-(F169/INDEX(Surface_Engine!$B$12:$B$72,$A169+1))))/B169))</f>
        <v>3139.71432864134</v>
      </c>
    </row>
    <row r="170" customFormat="false" ht="15" hidden="false" customHeight="true" outlineLevel="0" collapsed="false">
      <c r="A170" s="1" t="n">
        <v>36</v>
      </c>
      <c r="B170" s="32" t="n">
        <f aca="false">INDEX(Surface_Engine!$G$12:$G$72,$A170+1)*IF($A170&lt;$Q$132,INDEX(Surface_Engine!$E$12:$E$72,$A170+1),INDEX(Surface_Engine!$E$12:$E$72,$Q$132+1))</f>
        <v>0.180527865310621</v>
      </c>
      <c r="C170" s="32" t="n">
        <f aca="false">INDEX(Panel_Reserving!$B$8:$B$68,$A170+1)*IF($A170&lt;$Q$132,INDEX(Surface_Engine!$E$12:$E$72,$A170+1),INDEX(Surface_Engine!$E$12:$E$72,$Q$132+1))</f>
        <v>0.242637764951767</v>
      </c>
      <c r="D170" s="32" t="n">
        <f aca="false">INDEX(Surface_Engine!$G$12:$G$72,$A170+1)*IF($A170&lt;$Q$132,INDEX(Surface_Engine!$Y$12:$Y$72,$A170+1),INDEX(Surface_Engine!$Y$12:$Y$72,$Q$132+1))</f>
        <v>0.156180415214703</v>
      </c>
      <c r="E170" s="32" t="n">
        <f aca="false">INDEX(Surface_Engine!$G$12:$G$72,$A170+1)*IF($A170&lt;$Q$132,INDEX(Surface_Engine!$Z$12:$Z$72,$A170+1),INDEX(Surface_Engine!$Z$12:$Z$72,$Q$132+1))</f>
        <v>0.208435503963137</v>
      </c>
      <c r="F170" s="48" t="n">
        <f aca="false">B170*(IF($A170&lt;$Q$132,INDEX(Surface_Engine!$D$12:$D$72,$A170+1)+(Surface_Engine!L236*12)*INDEX(Surface_Engine!$F$12:$F$72,$A170+1)-(Surface_Engine!L236*12),1000*12*INDEX(Surface_Engine!$C$12:$C$72,$A170+1)/(1+Assumptions!$B$10)^25+INDEX(Surface_Engine!$D$12:$D$72,$A170+1)))*INDEX(Surface_Engine!$B$12:$B$72,$A170+1)+F171</f>
        <v>4266.36538447878</v>
      </c>
      <c r="G170" s="48" t="n">
        <f aca="false">C170*(IF($A170&lt;$Q$132,INDEX(Surface_Engine!$D$12:$D$72,$A170+1)+(Surface_Engine!L236*12)*INDEX(Surface_Engine!$F$12:$F$72,$A170+1)-(Surface_Engine!L236*12),1000*12*INDEX(Surface_Engine!$C$12:$C$72,$A170+1)/(1+Assumptions!$B$10)^25+INDEX(Surface_Engine!$D$12:$D$72,$A170+1)))*INDEX(Surface_Engine!$B$12:$B$72,$A170+1)+G171</f>
        <v>6768.30593024583</v>
      </c>
      <c r="H170" s="48" t="n">
        <f aca="false">D170*(IF($A170&lt;$Q$132,INDEX(Surface_Engine!$D$12:$D$72,$A170+1)+(Surface_Engine!L236*12)*INDEX(Surface_Engine!$F$12:$F$72,$A170+1)-(Surface_Engine!L236*12),1000*12*INDEX(Surface_Engine!$C$12:$C$72,$A170+1)/(1+Assumptions!$B$10)^25+INDEX(Surface_Engine!$D$12:$D$72,$A170+1)))*INDEX(Surface_Engine!$B$12:$B$72,$A170+1)+H171</f>
        <v>3690.96879342722</v>
      </c>
      <c r="I170" s="48" t="n">
        <f aca="false">E170*(IF($A170&lt;$Q$132,INDEX(Surface_Engine!$D$12:$D$72,$A170+1)+(Surface_Engine!L236*12)*INDEX(Surface_Engine!$F$12:$F$72,$A170+1)-(Surface_Engine!L236*12),1000*12*INDEX(Surface_Engine!$C$12:$C$72,$A170+1)/(1+Assumptions!$B$10)^25+INDEX(Surface_Engine!$D$12:$D$72,$A170+1)))*INDEX(Surface_Engine!$B$12:$B$72,$A170+1)+I171</f>
        <v>4925.89893241484</v>
      </c>
      <c r="J170" s="48" t="n">
        <f aca="false">B170*(IF($A170&lt;$Q$132,INDEX(Surface_Engine!$D$12:$D$72,$A170+1)*(1+Assumptions!$B$24)+(Surface_Engine!L236*12)*INDEX(Surface_Engine!$F$12:$F$72,$A170+1)-(Surface_Engine!L236*12),1000*12*INDEX(Surface_Engine!$C$12:$C$72,$A170+1)/(1+Assumptions!$B$10)^25+INDEX(Surface_Engine!$D$12:$D$72,$A170+1)*(1+Assumptions!$B$24)))*INDEX(Surface_Engine!$B$12:$B$72,$A170+1)+J171</f>
        <v>4272.08294730386</v>
      </c>
      <c r="K170" s="12" t="n">
        <f aca="false">SQRT((IF(C170&lt;=0,0,MAX(0,(B170/C170)*G170/INDEX(Surface_Engine!$B$12:$B$72,$A170+1)-F170/INDEX(Surface_Engine!$B$12:$B$72,$A170+1))))^2+(MAX(IF(D170&lt;=0,0,MAX(0,(B170/D170)*H170/INDEX(Surface_Engine!$B$12:$B$72,$A170+1)-F170/INDEX(Surface_Engine!$B$12:$B$72,$A170+1))),IF(E170&lt;=0,0,MAX(0,(B170/E170)*I170/INDEX(Surface_Engine!$B$12:$B$72,$A170+1)-F170/INDEX(Surface_Engine!$B$12:$B$72,$A170+1))),IF($A170&lt;$Q$132,MAX(0,-Assumptions!$B$22*(F170/INDEX(Surface_Engine!$B$12:$B$72,$A170+1))),0)))^2+(MAX(0,J170/INDEX(Surface_Engine!$B$12:$B$72,$A170+1)-(F170/INDEX(Surface_Engine!$B$12:$B$72,$A170+1))))^2+2*Assumptions!$B$26*(IF(C170&lt;=0,0,MAX(0,(B170/C170)*G170/INDEX(Surface_Engine!$B$12:$B$72,$A170+1)-F170/INDEX(Surface_Engine!$B$12:$B$72,$A170+1))))*(MAX(IF(D170&lt;=0,0,MAX(0,(B170/D170)*H170/INDEX(Surface_Engine!$B$12:$B$72,$A170+1)-F170/INDEX(Surface_Engine!$B$12:$B$72,$A170+1))),IF(E170&lt;=0,0,MAX(0,(B170/E170)*I170/INDEX(Surface_Engine!$B$12:$B$72,$A170+1)-F170/INDEX(Surface_Engine!$B$12:$B$72,$A170+1))),IF($A170&lt;$Q$132,MAX(0,-Assumptions!$B$22*(F170/INDEX(Surface_Engine!$B$12:$B$72,$A170+1))),0)))+2*Assumptions!$B$27*(IF(C170&lt;=0,0,MAX(0,(B170/C170)*G170/INDEX(Surface_Engine!$B$12:$B$72,$A170+1)-F170/INDEX(Surface_Engine!$B$12:$B$72,$A170+1))))*(MAX(0,J170/INDEX(Surface_Engine!$B$12:$B$72,$A170+1)-(F170/INDEX(Surface_Engine!$B$12:$B$72,$A170+1))))+2*Assumptions!$B$28*(MAX(IF(D170&lt;=0,0,MAX(0,(B170/D170)*H170/INDEX(Surface_Engine!$B$12:$B$72,$A170+1)-F170/INDEX(Surface_Engine!$B$12:$B$72,$A170+1))),IF(E170&lt;=0,0,MAX(0,(B170/E170)*I170/INDEX(Surface_Engine!$B$12:$B$72,$A170+1)-F170/INDEX(Surface_Engine!$B$12:$B$72,$A170+1))),IF($A170&lt;$Q$132,MAX(0,-Assumptions!$B$22*(F170/INDEX(Surface_Engine!$B$12:$B$72,$A170+1))),0)))*(MAX(0,J170/INDEX(Surface_Engine!$B$12:$B$72,$A170+1)-(F170/INDEX(Surface_Engine!$B$12:$B$72,$A170+1)))))</f>
        <v>2390.73693176658</v>
      </c>
      <c r="L170" s="48" t="n">
        <f aca="false">K170*INDEX(Surface_Engine!$B$12:$B$72,$A170+1)+L171</f>
        <v>3294.92897838516</v>
      </c>
      <c r="M170" s="48" t="n">
        <f aca="false">M169+B169*(IF($A169&lt;$Q$132,(Surface_Engine!L236*12)-(Surface_Engine!L236*12)*INDEX(Surface_Engine!$F$12:$F$72,$A169+1)-INDEX(Surface_Engine!$D$12:$D$72,$A169+1),-(1000*12*INDEX(Surface_Engine!$C$12:$C$72,$A169+1)/(1+Assumptions!$B$10)^25+INDEX(Surface_Engine!$D$12:$D$72,$A169+1))))*INDEX(Surface_Engine!$B$12:$B$72,$A169+1)</f>
        <v>5249.22324919818</v>
      </c>
      <c r="N170" s="12" t="n">
        <f aca="false">IF(B170&lt;=0,0,MAX(0,(K170+Assumptions!$B$29*L170/INDEX(Surface_Engine!$B$12:$B$72,$A170+1)-(M170/INDEX(Surface_Engine!$B$12:$B$72,$A170+1)-(F170/INDEX(Surface_Engine!$B$12:$B$72,$A170+1))))/B170))</f>
        <v>0</v>
      </c>
    </row>
    <row r="171" customFormat="false" ht="15" hidden="false" customHeight="true" outlineLevel="0" collapsed="false">
      <c r="A171" s="1" t="n">
        <v>37</v>
      </c>
      <c r="B171" s="32" t="n">
        <f aca="false">INDEX(Surface_Engine!$G$12:$G$72,$A171+1)*IF($A171&lt;$Q$132,INDEX(Surface_Engine!$E$12:$E$72,$A171+1),INDEX(Surface_Engine!$E$12:$E$72,$Q$132+1))</f>
        <v>0.151420605027519</v>
      </c>
      <c r="C171" s="32" t="n">
        <f aca="false">INDEX(Panel_Reserving!$B$8:$B$68,$A171+1)*IF($A171&lt;$Q$132,INDEX(Surface_Engine!$E$12:$E$72,$A171+1),INDEX(Surface_Engine!$E$12:$E$72,$Q$132+1))</f>
        <v>0.21134056629799</v>
      </c>
      <c r="D171" s="32" t="n">
        <f aca="false">INDEX(Surface_Engine!$G$12:$G$72,$A171+1)*IF($A171&lt;$Q$132,INDEX(Surface_Engine!$Y$12:$Y$72,$A171+1),INDEX(Surface_Engine!$Y$12:$Y$72,$Q$132+1))</f>
        <v>0.130998795806778</v>
      </c>
      <c r="E171" s="32" t="n">
        <f aca="false">INDEX(Surface_Engine!$G$12:$G$72,$A171+1)*IF($A171&lt;$Q$132,INDEX(Surface_Engine!$Z$12:$Z$72,$A171+1),INDEX(Surface_Engine!$Z$12:$Z$72,$Q$132+1))</f>
        <v>0.174828578762668</v>
      </c>
      <c r="F171" s="48" t="n">
        <f aca="false">B171*(IF($A171&lt;$Q$132,INDEX(Surface_Engine!$D$12:$D$72,$A171+1)+(Surface_Engine!L236*12)*INDEX(Surface_Engine!$F$12:$F$72,$A171+1)-(Surface_Engine!L236*12),1000*12*INDEX(Surface_Engine!$C$12:$C$72,$A171+1)/(1+Assumptions!$B$10)^25+INDEX(Surface_Engine!$D$12:$D$72,$A171+1)))*INDEX(Surface_Engine!$B$12:$B$72,$A171+1)+F172</f>
        <v>3386.25977341709</v>
      </c>
      <c r="G171" s="48" t="n">
        <f aca="false">C171*(IF($A171&lt;$Q$132,INDEX(Surface_Engine!$D$12:$D$72,$A171+1)+(Surface_Engine!L236*12)*INDEX(Surface_Engine!$F$12:$F$72,$A171+1)-(Surface_Engine!L236*12),1000*12*INDEX(Surface_Engine!$C$12:$C$72,$A171+1)/(1+Assumptions!$B$10)^25+INDEX(Surface_Engine!$D$12:$D$72,$A171+1)))*INDEX(Surface_Engine!$B$12:$B$72,$A171+1)+G172</f>
        <v>5585.40345686819</v>
      </c>
      <c r="H171" s="48" t="n">
        <f aca="false">D171*(IF($A171&lt;$Q$132,INDEX(Surface_Engine!$D$12:$D$72,$A171+1)+(Surface_Engine!L236*12)*INDEX(Surface_Engine!$F$12:$F$72,$A171+1)-(Surface_Engine!L236*12),1000*12*INDEX(Surface_Engine!$C$12:$C$72,$A171+1)/(1+Assumptions!$B$10)^25+INDEX(Surface_Engine!$D$12:$D$72,$A171+1)))*INDEX(Surface_Engine!$B$12:$B$72,$A171+1)+H172</f>
        <v>2929.56135346277</v>
      </c>
      <c r="I171" s="48" t="n">
        <f aca="false">E171*(IF($A171&lt;$Q$132,INDEX(Surface_Engine!$D$12:$D$72,$A171+1)+(Surface_Engine!L236*12)*INDEX(Surface_Engine!$F$12:$F$72,$A171+1)-(Surface_Engine!L236*12),1000*12*INDEX(Surface_Engine!$C$12:$C$72,$A171+1)/(1+Assumptions!$B$10)^25+INDEX(Surface_Engine!$D$12:$D$72,$A171+1)))*INDEX(Surface_Engine!$B$12:$B$72,$A171+1)+I172</f>
        <v>3909.73859469198</v>
      </c>
      <c r="J171" s="48" t="n">
        <f aca="false">B171*(IF($A171&lt;$Q$132,INDEX(Surface_Engine!$D$12:$D$72,$A171+1)*(1+Assumptions!$B$24)+(Surface_Engine!L236*12)*INDEX(Surface_Engine!$F$12:$F$72,$A171+1)-(Surface_Engine!L236*12),1000*12*INDEX(Surface_Engine!$C$12:$C$72,$A171+1)/(1+Assumptions!$B$10)^25+INDEX(Surface_Engine!$D$12:$D$72,$A171+1)*(1+Assumptions!$B$24)))*INDEX(Surface_Engine!$B$12:$B$72,$A171+1)+J172</f>
        <v>3390.81626955229</v>
      </c>
      <c r="K171" s="12" t="n">
        <f aca="false">SQRT((IF(C171&lt;=0,0,MAX(0,(B171/C171)*G171/INDEX(Surface_Engine!$B$12:$B$72,$A171+1)-F171/INDEX(Surface_Engine!$B$12:$B$72,$A171+1))))^2+(MAX(IF(D171&lt;=0,0,MAX(0,(B171/D171)*H171/INDEX(Surface_Engine!$B$12:$B$72,$A171+1)-F171/INDEX(Surface_Engine!$B$12:$B$72,$A171+1))),IF(E171&lt;=0,0,MAX(0,(B171/E171)*I171/INDEX(Surface_Engine!$B$12:$B$72,$A171+1)-F171/INDEX(Surface_Engine!$B$12:$B$72,$A171+1))),IF($A171&lt;$Q$132,MAX(0,-Assumptions!$B$22*(F171/INDEX(Surface_Engine!$B$12:$B$72,$A171+1))),0)))^2+(MAX(0,J171/INDEX(Surface_Engine!$B$12:$B$72,$A171+1)-(F171/INDEX(Surface_Engine!$B$12:$B$72,$A171+1))))^2+2*Assumptions!$B$26*(IF(C171&lt;=0,0,MAX(0,(B171/C171)*G171/INDEX(Surface_Engine!$B$12:$B$72,$A171+1)-F171/INDEX(Surface_Engine!$B$12:$B$72,$A171+1))))*(MAX(IF(D171&lt;=0,0,MAX(0,(B171/D171)*H171/INDEX(Surface_Engine!$B$12:$B$72,$A171+1)-F171/INDEX(Surface_Engine!$B$12:$B$72,$A171+1))),IF(E171&lt;=0,0,MAX(0,(B171/E171)*I171/INDEX(Surface_Engine!$B$12:$B$72,$A171+1)-F171/INDEX(Surface_Engine!$B$12:$B$72,$A171+1))),IF($A171&lt;$Q$132,MAX(0,-Assumptions!$B$22*(F171/INDEX(Surface_Engine!$B$12:$B$72,$A171+1))),0)))+2*Assumptions!$B$27*(IF(C171&lt;=0,0,MAX(0,(B171/C171)*G171/INDEX(Surface_Engine!$B$12:$B$72,$A171+1)-F171/INDEX(Surface_Engine!$B$12:$B$72,$A171+1))))*(MAX(0,J171/INDEX(Surface_Engine!$B$12:$B$72,$A171+1)-(F171/INDEX(Surface_Engine!$B$12:$B$72,$A171+1))))+2*Assumptions!$B$28*(MAX(IF(D171&lt;=0,0,MAX(0,(B171/D171)*H171/INDEX(Surface_Engine!$B$12:$B$72,$A171+1)-F171/INDEX(Surface_Engine!$B$12:$B$72,$A171+1))),IF(E171&lt;=0,0,MAX(0,(B171/E171)*I171/INDEX(Surface_Engine!$B$12:$B$72,$A171+1)-F171/INDEX(Surface_Engine!$B$12:$B$72,$A171+1))),IF($A171&lt;$Q$132,MAX(0,-Assumptions!$B$22*(F171/INDEX(Surface_Engine!$B$12:$B$72,$A171+1))),0)))*(MAX(0,J171/INDEX(Surface_Engine!$B$12:$B$72,$A171+1)-(F171/INDEX(Surface_Engine!$B$12:$B$72,$A171+1)))))</f>
        <v>1975.17139661734</v>
      </c>
      <c r="L171" s="48" t="n">
        <f aca="false">K171*INDEX(Surface_Engine!$B$12:$B$72,$A171+1)+L172</f>
        <v>2524.07573702493</v>
      </c>
      <c r="M171" s="48" t="n">
        <f aca="false">M170+B170*(IF($A170&lt;$Q$132,(Surface_Engine!L236*12)-(Surface_Engine!L236*12)*INDEX(Surface_Engine!$F$12:$F$72,$A170+1)-INDEX(Surface_Engine!$D$12:$D$72,$A170+1),-(1000*12*INDEX(Surface_Engine!$C$12:$C$72,$A170+1)/(1+Assumptions!$B$10)^25+INDEX(Surface_Engine!$D$12:$D$72,$A170+1))))*INDEX(Surface_Engine!$B$12:$B$72,$A170+1)</f>
        <v>4369.11763813649</v>
      </c>
      <c r="N171" s="12" t="n">
        <f aca="false">IF(B171&lt;=0,0,MAX(0,(K171+Assumptions!$B$29*L171/INDEX(Surface_Engine!$B$12:$B$72,$A171+1)-(M171/INDEX(Surface_Engine!$B$12:$B$72,$A171+1)-(F171/INDEX(Surface_Engine!$B$12:$B$72,$A171+1))))/B171))</f>
        <v>0</v>
      </c>
    </row>
    <row r="172" customFormat="false" ht="15" hidden="false" customHeight="true" outlineLevel="0" collapsed="false">
      <c r="A172" s="1" t="n">
        <v>38</v>
      </c>
      <c r="B172" s="32" t="n">
        <f aca="false">INDEX(Surface_Engine!$G$12:$G$72,$A172+1)*IF($A172&lt;$Q$132,INDEX(Surface_Engine!$E$12:$E$72,$A172+1),INDEX(Surface_Engine!$E$12:$E$72,$Q$132+1))</f>
        <v>0.125489689427495</v>
      </c>
      <c r="C172" s="32" t="n">
        <f aca="false">INDEX(Panel_Reserving!$B$8:$B$68,$A172+1)*IF($A172&lt;$Q$132,INDEX(Surface_Engine!$E$12:$E$72,$A172+1),INDEX(Surface_Engine!$E$12:$E$72,$Q$132+1))</f>
        <v>0.182386755756612</v>
      </c>
      <c r="D172" s="32" t="n">
        <f aca="false">INDEX(Surface_Engine!$G$12:$G$72,$A172+1)*IF($A172&lt;$Q$132,INDEX(Surface_Engine!$Y$12:$Y$72,$A172+1),INDEX(Surface_Engine!$Y$12:$Y$72,$Q$132+1))</f>
        <v>0.10856513351126</v>
      </c>
      <c r="E172" s="32" t="n">
        <f aca="false">INDEX(Surface_Engine!$G$12:$G$72,$A172+1)*IF($A172&lt;$Q$132,INDEX(Surface_Engine!$Z$12:$Z$72,$A172+1),INDEX(Surface_Engine!$Z$12:$Z$72,$Q$132+1))</f>
        <v>0.144889026483485</v>
      </c>
      <c r="F172" s="48" t="n">
        <f aca="false">B172*(IF($A172&lt;$Q$132,INDEX(Surface_Engine!$D$12:$D$72,$A172+1)+(Surface_Engine!L236*12)*INDEX(Surface_Engine!$F$12:$F$72,$A172+1)-(Surface_Engine!L236*12),1000*12*INDEX(Surface_Engine!$C$12:$C$72,$A172+1)/(1+Assumptions!$B$10)^25+INDEX(Surface_Engine!$D$12:$D$72,$A172+1)))*INDEX(Surface_Engine!$B$12:$B$72,$A172+1)+F173</f>
        <v>2657.07447914477</v>
      </c>
      <c r="G172" s="48" t="n">
        <f aca="false">C172*(IF($A172&lt;$Q$132,INDEX(Surface_Engine!$D$12:$D$72,$A172+1)+(Surface_Engine!L236*12)*INDEX(Surface_Engine!$F$12:$F$72,$A172+1)-(Surface_Engine!L236*12),1000*12*INDEX(Surface_Engine!$C$12:$C$72,$A172+1)/(1+Assumptions!$B$10)^25+INDEX(Surface_Engine!$D$12:$D$72,$A172+1)))*INDEX(Surface_Engine!$B$12:$B$72,$A172+1)+G173</f>
        <v>4567.66592372551</v>
      </c>
      <c r="H172" s="48" t="n">
        <f aca="false">D172*(IF($A172&lt;$Q$132,INDEX(Surface_Engine!$D$12:$D$72,$A172+1)+(Surface_Engine!L236*12)*INDEX(Surface_Engine!$F$12:$F$72,$A172+1)-(Surface_Engine!L236*12),1000*12*INDEX(Surface_Engine!$C$12:$C$72,$A172+1)/(1+Assumptions!$B$10)^25+INDEX(Surface_Engine!$D$12:$D$72,$A172+1)))*INDEX(Surface_Engine!$B$12:$B$72,$A172+1)+H173</f>
        <v>2298.71989399083</v>
      </c>
      <c r="I172" s="48" t="n">
        <f aca="false">E172*(IF($A172&lt;$Q$132,INDEX(Surface_Engine!$D$12:$D$72,$A172+1)+(Surface_Engine!L236*12)*INDEX(Surface_Engine!$F$12:$F$72,$A172+1)-(Surface_Engine!L236*12),1000*12*INDEX(Surface_Engine!$C$12:$C$72,$A172+1)/(1+Assumptions!$B$10)^25+INDEX(Surface_Engine!$D$12:$D$72,$A172+1)))*INDEX(Surface_Engine!$B$12:$B$72,$A172+1)+I173</f>
        <v>3067.8292083895</v>
      </c>
      <c r="J172" s="48" t="n">
        <f aca="false">B172*(IF($A172&lt;$Q$132,INDEX(Surface_Engine!$D$12:$D$72,$A172+1)*(1+Assumptions!$B$24)+(Surface_Engine!L236*12)*INDEX(Surface_Engine!$F$12:$F$72,$A172+1)-(Surface_Engine!L236*12),1000*12*INDEX(Surface_Engine!$C$12:$C$72,$A172+1)/(1+Assumptions!$B$10)^25+INDEX(Surface_Engine!$D$12:$D$72,$A172+1)*(1+Assumptions!$B$24)))*INDEX(Surface_Engine!$B$12:$B$72,$A172+1)+J173</f>
        <v>2660.66435503511</v>
      </c>
      <c r="K172" s="12" t="n">
        <f aca="false">SQRT((IF(C172&lt;=0,0,MAX(0,(B172/C172)*G172/INDEX(Surface_Engine!$B$12:$B$72,$A172+1)-F172/INDEX(Surface_Engine!$B$12:$B$72,$A172+1))))^2+(MAX(IF(D172&lt;=0,0,MAX(0,(B172/D172)*H172/INDEX(Surface_Engine!$B$12:$B$72,$A172+1)-F172/INDEX(Surface_Engine!$B$12:$B$72,$A172+1))),IF(E172&lt;=0,0,MAX(0,(B172/E172)*I172/INDEX(Surface_Engine!$B$12:$B$72,$A172+1)-F172/INDEX(Surface_Engine!$B$12:$B$72,$A172+1))),IF($A172&lt;$Q$132,MAX(0,-Assumptions!$B$22*(F172/INDEX(Surface_Engine!$B$12:$B$72,$A172+1))),0)))^2+(MAX(0,J172/INDEX(Surface_Engine!$B$12:$B$72,$A172+1)-(F172/INDEX(Surface_Engine!$B$12:$B$72,$A172+1))))^2+2*Assumptions!$B$26*(IF(C172&lt;=0,0,MAX(0,(B172/C172)*G172/INDEX(Surface_Engine!$B$12:$B$72,$A172+1)-F172/INDEX(Surface_Engine!$B$12:$B$72,$A172+1))))*(MAX(IF(D172&lt;=0,0,MAX(0,(B172/D172)*H172/INDEX(Surface_Engine!$B$12:$B$72,$A172+1)-F172/INDEX(Surface_Engine!$B$12:$B$72,$A172+1))),IF(E172&lt;=0,0,MAX(0,(B172/E172)*I172/INDEX(Surface_Engine!$B$12:$B$72,$A172+1)-F172/INDEX(Surface_Engine!$B$12:$B$72,$A172+1))),IF($A172&lt;$Q$132,MAX(0,-Assumptions!$B$22*(F172/INDEX(Surface_Engine!$B$12:$B$72,$A172+1))),0)))+2*Assumptions!$B$27*(IF(C172&lt;=0,0,MAX(0,(B172/C172)*G172/INDEX(Surface_Engine!$B$12:$B$72,$A172+1)-F172/INDEX(Surface_Engine!$B$12:$B$72,$A172+1))))*(MAX(0,J172/INDEX(Surface_Engine!$B$12:$B$72,$A172+1)-(F172/INDEX(Surface_Engine!$B$12:$B$72,$A172+1))))+2*Assumptions!$B$28*(MAX(IF(D172&lt;=0,0,MAX(0,(B172/D172)*H172/INDEX(Surface_Engine!$B$12:$B$72,$A172+1)-F172/INDEX(Surface_Engine!$B$12:$B$72,$A172+1))),IF(E172&lt;=0,0,MAX(0,(B172/E172)*I172/INDEX(Surface_Engine!$B$12:$B$72,$A172+1)-F172/INDEX(Surface_Engine!$B$12:$B$72,$A172+1))),IF($A172&lt;$Q$132,MAX(0,-Assumptions!$B$22*(F172/INDEX(Surface_Engine!$B$12:$B$72,$A172+1))),0)))*(MAX(0,J172/INDEX(Surface_Engine!$B$12:$B$72,$A172+1)-(F172/INDEX(Surface_Engine!$B$12:$B$72,$A172+1)))))</f>
        <v>1609.39577431004</v>
      </c>
      <c r="L172" s="48" t="n">
        <f aca="false">K172*INDEX(Surface_Engine!$B$12:$B$72,$A172+1)+L173</f>
        <v>1907.3688115723</v>
      </c>
      <c r="M172" s="48" t="n">
        <f aca="false">M171+B171*(IF($A171&lt;$Q$132,(Surface_Engine!L236*12)-(Surface_Engine!L236*12)*INDEX(Surface_Engine!$F$12:$F$72,$A171+1)-INDEX(Surface_Engine!$D$12:$D$72,$A171+1),-(1000*12*INDEX(Surface_Engine!$C$12:$C$72,$A171+1)/(1+Assumptions!$B$10)^25+INDEX(Surface_Engine!$D$12:$D$72,$A171+1))))*INDEX(Surface_Engine!$B$12:$B$72,$A171+1)</f>
        <v>3639.93234386416</v>
      </c>
      <c r="N172" s="12" t="n">
        <f aca="false">IF(B172&lt;=0,0,MAX(0,(K172+Assumptions!$B$29*L172/INDEX(Surface_Engine!$B$12:$B$72,$A172+1)-(M172/INDEX(Surface_Engine!$B$12:$B$72,$A172+1)-(F172/INDEX(Surface_Engine!$B$12:$B$72,$A172+1))))/B172))</f>
        <v>0</v>
      </c>
    </row>
    <row r="173" customFormat="false" ht="15" hidden="false" customHeight="true" outlineLevel="0" collapsed="false">
      <c r="A173" s="1" t="n">
        <v>39</v>
      </c>
      <c r="B173" s="32" t="n">
        <f aca="false">INDEX(Surface_Engine!$G$12:$G$72,$A173+1)*IF($A173&lt;$Q$132,INDEX(Surface_Engine!$E$12:$E$72,$A173+1),INDEX(Surface_Engine!$E$12:$E$72,$Q$132+1))</f>
        <v>0.102738770170282</v>
      </c>
      <c r="C173" s="32" t="n">
        <f aca="false">INDEX(Panel_Reserving!$B$8:$B$68,$A173+1)*IF($A173&lt;$Q$132,INDEX(Surface_Engine!$E$12:$E$72,$A173+1),INDEX(Surface_Engine!$E$12:$E$72,$Q$132+1))</f>
        <v>0.155933800950624</v>
      </c>
      <c r="D173" s="32" t="n">
        <f aca="false">INDEX(Surface_Engine!$G$12:$G$72,$A173+1)*IF($A173&lt;$Q$132,INDEX(Surface_Engine!$Y$12:$Y$72,$A173+1),INDEX(Surface_Engine!$Y$12:$Y$72,$Q$132+1))</f>
        <v>0.0888825874954749</v>
      </c>
      <c r="E173" s="32" t="n">
        <f aca="false">INDEX(Surface_Engine!$G$12:$G$72,$A173+1)*IF($A173&lt;$Q$132,INDEX(Surface_Engine!$Z$12:$Z$72,$A173+1),INDEX(Surface_Engine!$Z$12:$Z$72,$Q$132+1))</f>
        <v>0.118621063292082</v>
      </c>
      <c r="F173" s="48" t="n">
        <f aca="false">B173*(IF($A173&lt;$Q$132,INDEX(Surface_Engine!$D$12:$D$72,$A173+1)+(Surface_Engine!L236*12)*INDEX(Surface_Engine!$F$12:$F$72,$A173+1)-(Surface_Engine!L236*12),1000*12*INDEX(Surface_Engine!$C$12:$C$72,$A173+1)/(1+Assumptions!$B$10)^25+INDEX(Surface_Engine!$D$12:$D$72,$A173+1)))*INDEX(Surface_Engine!$B$12:$B$72,$A173+1)+F174</f>
        <v>2060.16749797699</v>
      </c>
      <c r="G173" s="48" t="n">
        <f aca="false">C173*(IF($A173&lt;$Q$132,INDEX(Surface_Engine!$D$12:$D$72,$A173+1)+(Surface_Engine!L236*12)*INDEX(Surface_Engine!$F$12:$F$72,$A173+1)-(Surface_Engine!L236*12),1000*12*INDEX(Surface_Engine!$C$12:$C$72,$A173+1)/(1+Assumptions!$B$10)^25+INDEX(Surface_Engine!$D$12:$D$72,$A173+1)))*INDEX(Surface_Engine!$B$12:$B$72,$A173+1)+G174</f>
        <v>3700.12112159605</v>
      </c>
      <c r="H173" s="48" t="n">
        <f aca="false">D173*(IF($A173&lt;$Q$132,INDEX(Surface_Engine!$D$12:$D$72,$A173+1)+(Surface_Engine!L236*12)*INDEX(Surface_Engine!$F$12:$F$72,$A173+1)-(Surface_Engine!L236*12),1000*12*INDEX(Surface_Engine!$C$12:$C$72,$A173+1)/(1+Assumptions!$B$10)^25+INDEX(Surface_Engine!$D$12:$D$72,$A173+1)))*INDEX(Surface_Engine!$B$12:$B$72,$A173+1)+H174</f>
        <v>1782.31662293385</v>
      </c>
      <c r="I173" s="48" t="n">
        <f aca="false">E173*(IF($A173&lt;$Q$132,INDEX(Surface_Engine!$D$12:$D$72,$A173+1)+(Surface_Engine!L236*12)*INDEX(Surface_Engine!$F$12:$F$72,$A173+1)-(Surface_Engine!L236*12),1000*12*INDEX(Surface_Engine!$C$12:$C$72,$A173+1)/(1+Assumptions!$B$10)^25+INDEX(Surface_Engine!$D$12:$D$72,$A173+1)))*INDEX(Surface_Engine!$B$12:$B$72,$A173+1)+I174</f>
        <v>2378.64691941297</v>
      </c>
      <c r="J173" s="48" t="n">
        <f aca="false">B173*(IF($A173&lt;$Q$132,INDEX(Surface_Engine!$D$12:$D$72,$A173+1)*(1+Assumptions!$B$24)+(Surface_Engine!L236*12)*INDEX(Surface_Engine!$F$12:$F$72,$A173+1)-(Surface_Engine!L236*12),1000*12*INDEX(Surface_Engine!$C$12:$C$72,$A173+1)/(1+Assumptions!$B$10)^25+INDEX(Surface_Engine!$D$12:$D$72,$A173+1)*(1+Assumptions!$B$24)))*INDEX(Surface_Engine!$B$12:$B$72,$A173+1)+J174</f>
        <v>2062.96227686324</v>
      </c>
      <c r="K173" s="12" t="n">
        <f aca="false">SQRT((IF(C173&lt;=0,0,MAX(0,(B173/C173)*G173/INDEX(Surface_Engine!$B$12:$B$72,$A173+1)-F173/INDEX(Surface_Engine!$B$12:$B$72,$A173+1))))^2+(MAX(IF(D173&lt;=0,0,MAX(0,(B173/D173)*H173/INDEX(Surface_Engine!$B$12:$B$72,$A173+1)-F173/INDEX(Surface_Engine!$B$12:$B$72,$A173+1))),IF(E173&lt;=0,0,MAX(0,(B173/E173)*I173/INDEX(Surface_Engine!$B$12:$B$72,$A173+1)-F173/INDEX(Surface_Engine!$B$12:$B$72,$A173+1))),IF($A173&lt;$Q$132,MAX(0,-Assumptions!$B$22*(F173/INDEX(Surface_Engine!$B$12:$B$72,$A173+1))),0)))^2+(MAX(0,J173/INDEX(Surface_Engine!$B$12:$B$72,$A173+1)-(F173/INDEX(Surface_Engine!$B$12:$B$72,$A173+1))))^2+2*Assumptions!$B$26*(IF(C173&lt;=0,0,MAX(0,(B173/C173)*G173/INDEX(Surface_Engine!$B$12:$B$72,$A173+1)-F173/INDEX(Surface_Engine!$B$12:$B$72,$A173+1))))*(MAX(IF(D173&lt;=0,0,MAX(0,(B173/D173)*H173/INDEX(Surface_Engine!$B$12:$B$72,$A173+1)-F173/INDEX(Surface_Engine!$B$12:$B$72,$A173+1))),IF(E173&lt;=0,0,MAX(0,(B173/E173)*I173/INDEX(Surface_Engine!$B$12:$B$72,$A173+1)-F173/INDEX(Surface_Engine!$B$12:$B$72,$A173+1))),IF($A173&lt;$Q$132,MAX(0,-Assumptions!$B$22*(F173/INDEX(Surface_Engine!$B$12:$B$72,$A173+1))),0)))+2*Assumptions!$B$27*(IF(C173&lt;=0,0,MAX(0,(B173/C173)*G173/INDEX(Surface_Engine!$B$12:$B$72,$A173+1)-F173/INDEX(Surface_Engine!$B$12:$B$72,$A173+1))))*(MAX(0,J173/INDEX(Surface_Engine!$B$12:$B$72,$A173+1)-(F173/INDEX(Surface_Engine!$B$12:$B$72,$A173+1))))+2*Assumptions!$B$28*(MAX(IF(D173&lt;=0,0,MAX(0,(B173/D173)*H173/INDEX(Surface_Engine!$B$12:$B$72,$A173+1)-F173/INDEX(Surface_Engine!$B$12:$B$72,$A173+1))),IF(E173&lt;=0,0,MAX(0,(B173/E173)*I173/INDEX(Surface_Engine!$B$12:$B$72,$A173+1)-F173/INDEX(Surface_Engine!$B$12:$B$72,$A173+1))),IF($A173&lt;$Q$132,MAX(0,-Assumptions!$B$22*(F173/INDEX(Surface_Engine!$B$12:$B$72,$A173+1))),0)))*(MAX(0,J173/INDEX(Surface_Engine!$B$12:$B$72,$A173+1)-(F173/INDEX(Surface_Engine!$B$12:$B$72,$A173+1)))))</f>
        <v>1292.12468933164</v>
      </c>
      <c r="L173" s="48" t="n">
        <f aca="false">K173*INDEX(Surface_Engine!$B$12:$B$72,$A173+1)+L174</f>
        <v>1420.7888811131</v>
      </c>
      <c r="M173" s="48" t="n">
        <f aca="false">M172+B172*(IF($A172&lt;$Q$132,(Surface_Engine!L236*12)-(Surface_Engine!L236*12)*INDEX(Surface_Engine!$F$12:$F$72,$A172+1)-INDEX(Surface_Engine!$D$12:$D$72,$A172+1),-(1000*12*INDEX(Surface_Engine!$C$12:$C$72,$A172+1)/(1+Assumptions!$B$10)^25+INDEX(Surface_Engine!$D$12:$D$72,$A172+1))))*INDEX(Surface_Engine!$B$12:$B$72,$A172+1)</f>
        <v>3043.02536269639</v>
      </c>
      <c r="N173" s="12" t="n">
        <f aca="false">IF(B173&lt;=0,0,MAX(0,(K173+Assumptions!$B$29*L173/INDEX(Surface_Engine!$B$12:$B$72,$A173+1)-(M173/INDEX(Surface_Engine!$B$12:$B$72,$A173+1)-(F173/INDEX(Surface_Engine!$B$12:$B$72,$A173+1))))/B173))</f>
        <v>0</v>
      </c>
    </row>
    <row r="174" customFormat="false" ht="15" hidden="false" customHeight="true" outlineLevel="0" collapsed="false">
      <c r="A174" s="1" t="n">
        <v>40</v>
      </c>
      <c r="B174" s="32" t="n">
        <f aca="false">INDEX(Surface_Engine!$G$12:$G$72,$A174+1)*IF($A174&lt;$Q$132,INDEX(Surface_Engine!$E$12:$E$72,$A174+1),INDEX(Surface_Engine!$E$12:$E$72,$Q$132+1))</f>
        <v>0.0830520201418176</v>
      </c>
      <c r="C174" s="32" t="n">
        <f aca="false">INDEX(Panel_Reserving!$B$8:$B$68,$A174+1)*IF($A174&lt;$Q$132,INDEX(Surface_Engine!$E$12:$E$72,$A174+1),INDEX(Surface_Engine!$E$12:$E$72,$Q$132+1))</f>
        <v>0.132029837489</v>
      </c>
      <c r="D174" s="32" t="n">
        <f aca="false">INDEX(Surface_Engine!$G$12:$G$72,$A174+1)*IF($A174&lt;$Q$132,INDEX(Surface_Engine!$Y$12:$Y$72,$A174+1),INDEX(Surface_Engine!$Y$12:$Y$72,$Q$132+1))</f>
        <v>0.0718509520281014</v>
      </c>
      <c r="E174" s="32" t="n">
        <f aca="false">INDEX(Surface_Engine!$G$12:$G$72,$A174+1)*IF($A174&lt;$Q$132,INDEX(Surface_Engine!$Z$12:$Z$72,$A174+1),INDEX(Surface_Engine!$Z$12:$Z$72,$Q$132+1))</f>
        <v>0.095890956466087</v>
      </c>
      <c r="F174" s="48" t="n">
        <f aca="false">B174*(IF($A174&lt;$Q$132,INDEX(Surface_Engine!$D$12:$D$72,$A174+1)+(Surface_Engine!L236*12)*INDEX(Surface_Engine!$F$12:$F$72,$A174+1)-(Surface_Engine!L236*12),1000*12*INDEX(Surface_Engine!$C$12:$C$72,$A174+1)/(1+Assumptions!$B$10)^25+INDEX(Surface_Engine!$D$12:$D$72,$A174+1)))*INDEX(Surface_Engine!$B$12:$B$72,$A174+1)+F175</f>
        <v>1577.30208468044</v>
      </c>
      <c r="G174" s="48" t="n">
        <f aca="false">C174*(IF($A174&lt;$Q$132,INDEX(Surface_Engine!$D$12:$D$72,$A174+1)+(Surface_Engine!L236*12)*INDEX(Surface_Engine!$F$12:$F$72,$A174+1)-(Surface_Engine!L236*12),1000*12*INDEX(Surface_Engine!$C$12:$C$72,$A174+1)/(1+Assumptions!$B$10)^25+INDEX(Surface_Engine!$D$12:$D$72,$A174+1)))*INDEX(Surface_Engine!$B$12:$B$72,$A174+1)+G175</f>
        <v>2967.24258783388</v>
      </c>
      <c r="H174" s="48" t="n">
        <f aca="false">D174*(IF($A174&lt;$Q$132,INDEX(Surface_Engine!$D$12:$D$72,$A174+1)+(Surface_Engine!L236*12)*INDEX(Surface_Engine!$F$12:$F$72,$A174+1)-(Surface_Engine!L236*12),1000*12*INDEX(Surface_Engine!$C$12:$C$72,$A174+1)/(1+Assumptions!$B$10)^25+INDEX(Surface_Engine!$D$12:$D$72,$A174+1)))*INDEX(Surface_Engine!$B$12:$B$72,$A174+1)+H175</f>
        <v>1364.57435022866</v>
      </c>
      <c r="I174" s="48" t="n">
        <f aca="false">E174*(IF($A174&lt;$Q$132,INDEX(Surface_Engine!$D$12:$D$72,$A174+1)+(Surface_Engine!L236*12)*INDEX(Surface_Engine!$F$12:$F$72,$A174+1)-(Surface_Engine!L236*12),1000*12*INDEX(Surface_Engine!$C$12:$C$72,$A174+1)/(1+Assumptions!$B$10)^25+INDEX(Surface_Engine!$D$12:$D$72,$A174+1)))*INDEX(Surface_Engine!$B$12:$B$72,$A174+1)+I175</f>
        <v>1821.1357806552</v>
      </c>
      <c r="J174" s="48" t="n">
        <f aca="false">B174*(IF($A174&lt;$Q$132,INDEX(Surface_Engine!$D$12:$D$72,$A174+1)*(1+Assumptions!$B$24)+(Surface_Engine!L236*12)*INDEX(Surface_Engine!$F$12:$F$72,$A174+1)-(Surface_Engine!L236*12),1000*12*INDEX(Surface_Engine!$C$12:$C$72,$A174+1)/(1+Assumptions!$B$10)^25+INDEX(Surface_Engine!$D$12:$D$72,$A174+1)*(1+Assumptions!$B$24)))*INDEX(Surface_Engine!$B$12:$B$72,$A174+1)+J175</f>
        <v>1579.45056246722</v>
      </c>
      <c r="K174" s="12" t="n">
        <f aca="false">SQRT((IF(C174&lt;=0,0,MAX(0,(B174/C174)*G174/INDEX(Surface_Engine!$B$12:$B$72,$A174+1)-F174/INDEX(Surface_Engine!$B$12:$B$72,$A174+1))))^2+(MAX(IF(D174&lt;=0,0,MAX(0,(B174/D174)*H174/INDEX(Surface_Engine!$B$12:$B$72,$A174+1)-F174/INDEX(Surface_Engine!$B$12:$B$72,$A174+1))),IF(E174&lt;=0,0,MAX(0,(B174/E174)*I174/INDEX(Surface_Engine!$B$12:$B$72,$A174+1)-F174/INDEX(Surface_Engine!$B$12:$B$72,$A174+1))),IF($A174&lt;$Q$132,MAX(0,-Assumptions!$B$22*(F174/INDEX(Surface_Engine!$B$12:$B$72,$A174+1))),0)))^2+(MAX(0,J174/INDEX(Surface_Engine!$B$12:$B$72,$A174+1)-(F174/INDEX(Surface_Engine!$B$12:$B$72,$A174+1))))^2+2*Assumptions!$B$26*(IF(C174&lt;=0,0,MAX(0,(B174/C174)*G174/INDEX(Surface_Engine!$B$12:$B$72,$A174+1)-F174/INDEX(Surface_Engine!$B$12:$B$72,$A174+1))))*(MAX(IF(D174&lt;=0,0,MAX(0,(B174/D174)*H174/INDEX(Surface_Engine!$B$12:$B$72,$A174+1)-F174/INDEX(Surface_Engine!$B$12:$B$72,$A174+1))),IF(E174&lt;=0,0,MAX(0,(B174/E174)*I174/INDEX(Surface_Engine!$B$12:$B$72,$A174+1)-F174/INDEX(Surface_Engine!$B$12:$B$72,$A174+1))),IF($A174&lt;$Q$132,MAX(0,-Assumptions!$B$22*(F174/INDEX(Surface_Engine!$B$12:$B$72,$A174+1))),0)))+2*Assumptions!$B$27*(IF(C174&lt;=0,0,MAX(0,(B174/C174)*G174/INDEX(Surface_Engine!$B$12:$B$72,$A174+1)-F174/INDEX(Surface_Engine!$B$12:$B$72,$A174+1))))*(MAX(0,J174/INDEX(Surface_Engine!$B$12:$B$72,$A174+1)-(F174/INDEX(Surface_Engine!$B$12:$B$72,$A174+1))))+2*Assumptions!$B$28*(MAX(IF(D174&lt;=0,0,MAX(0,(B174/D174)*H174/INDEX(Surface_Engine!$B$12:$B$72,$A174+1)-F174/INDEX(Surface_Engine!$B$12:$B$72,$A174+1))),IF(E174&lt;=0,0,MAX(0,(B174/E174)*I174/INDEX(Surface_Engine!$B$12:$B$72,$A174+1)-F174/INDEX(Surface_Engine!$B$12:$B$72,$A174+1))),IF($A174&lt;$Q$132,MAX(0,-Assumptions!$B$22*(F174/INDEX(Surface_Engine!$B$12:$B$72,$A174+1))),0)))*(MAX(0,J174/INDEX(Surface_Engine!$B$12:$B$72,$A174+1)-(F174/INDEX(Surface_Engine!$B$12:$B$72,$A174+1)))))</f>
        <v>1021.85401859305</v>
      </c>
      <c r="L174" s="48" t="n">
        <f aca="false">K174*INDEX(Surface_Engine!$B$12:$B$72,$A174+1)+L175</f>
        <v>1042.38084200636</v>
      </c>
      <c r="M174" s="48" t="n">
        <f aca="false">M173+B173*(IF($A173&lt;$Q$132,(Surface_Engine!L236*12)-(Surface_Engine!L236*12)*INDEX(Surface_Engine!$F$12:$F$72,$A173+1)-INDEX(Surface_Engine!$D$12:$D$72,$A173+1),-(1000*12*INDEX(Surface_Engine!$C$12:$C$72,$A173+1)/(1+Assumptions!$B$10)^25+INDEX(Surface_Engine!$D$12:$D$72,$A173+1))))*INDEX(Surface_Engine!$B$12:$B$72,$A173+1)</f>
        <v>2560.15994939984</v>
      </c>
      <c r="N174" s="12" t="n">
        <f aca="false">IF(B174&lt;=0,0,MAX(0,(K174+Assumptions!$B$29*L174/INDEX(Surface_Engine!$B$12:$B$72,$A174+1)-(M174/INDEX(Surface_Engine!$B$12:$B$72,$A174+1)-(F174/INDEX(Surface_Engine!$B$12:$B$72,$A174+1))))/B174))</f>
        <v>0</v>
      </c>
    </row>
    <row r="175" customFormat="false" ht="15" hidden="false" customHeight="true" outlineLevel="0" collapsed="false">
      <c r="A175" s="1" t="n">
        <v>41</v>
      </c>
      <c r="B175" s="32" t="n">
        <f aca="false">INDEX(Surface_Engine!$G$12:$G$72,$A175+1)*IF($A175&lt;$Q$132,INDEX(Surface_Engine!$E$12:$E$72,$A175+1),INDEX(Surface_Engine!$E$12:$E$72,$Q$132+1))</f>
        <v>0.0662345825423395</v>
      </c>
      <c r="C175" s="32" t="n">
        <f aca="false">INDEX(Panel_Reserving!$B$8:$B$68,$A175+1)*IF($A175&lt;$Q$132,INDEX(Surface_Engine!$E$12:$E$72,$A175+1),INDEX(Surface_Engine!$E$12:$E$72,$Q$132+1))</f>
        <v>0.110641762405947</v>
      </c>
      <c r="D175" s="32" t="n">
        <f aca="false">INDEX(Surface_Engine!$G$12:$G$72,$A175+1)*IF($A175&lt;$Q$132,INDEX(Surface_Engine!$Y$12:$Y$72,$A175+1),INDEX(Surface_Engine!$Y$12:$Y$72,$Q$132+1))</f>
        <v>0.0573016502756294</v>
      </c>
      <c r="E175" s="32" t="n">
        <f aca="false">INDEX(Surface_Engine!$G$12:$G$72,$A175+1)*IF($A175&lt;$Q$132,INDEX(Surface_Engine!$Z$12:$Z$72,$A175+1),INDEX(Surface_Engine!$Z$12:$Z$72,$Q$132+1))</f>
        <v>0.0764737264701281</v>
      </c>
      <c r="F175" s="48" t="n">
        <f aca="false">B175*(IF($A175&lt;$Q$132,INDEX(Surface_Engine!$D$12:$D$72,$A175+1)+(Surface_Engine!L236*12)*INDEX(Surface_Engine!$F$12:$F$72,$A175+1)-(Surface_Engine!L236*12),1000*12*INDEX(Surface_Engine!$C$12:$C$72,$A175+1)/(1+Assumptions!$B$10)^25+INDEX(Surface_Engine!$D$12:$D$72,$A175+1)))*INDEX(Surface_Engine!$B$12:$B$72,$A175+1)+F176</f>
        <v>1191.77184276739</v>
      </c>
      <c r="G175" s="48" t="n">
        <f aca="false">C175*(IF($A175&lt;$Q$132,INDEX(Surface_Engine!$D$12:$D$72,$A175+1)+(Surface_Engine!L236*12)*INDEX(Surface_Engine!$F$12:$F$72,$A175+1)-(Surface_Engine!L236*12),1000*12*INDEX(Surface_Engine!$C$12:$C$72,$A175+1)/(1+Assumptions!$B$10)^25+INDEX(Surface_Engine!$D$12:$D$72,$A175+1)))*INDEX(Surface_Engine!$B$12:$B$72,$A175+1)+G176</f>
        <v>2354.35568755191</v>
      </c>
      <c r="H175" s="48" t="n">
        <f aca="false">D175*(IF($A175&lt;$Q$132,INDEX(Surface_Engine!$D$12:$D$72,$A175+1)+(Surface_Engine!L236*12)*INDEX(Surface_Engine!$F$12:$F$72,$A175+1)-(Surface_Engine!L236*12),1000*12*INDEX(Surface_Engine!$C$12:$C$72,$A175+1)/(1+Assumptions!$B$10)^25+INDEX(Surface_Engine!$D$12:$D$72,$A175+1)))*INDEX(Surface_Engine!$B$12:$B$72,$A175+1)+H176</f>
        <v>1031.03983933085</v>
      </c>
      <c r="I175" s="48" t="n">
        <f aca="false">E175*(IF($A175&lt;$Q$132,INDEX(Surface_Engine!$D$12:$D$72,$A175+1)+(Surface_Engine!L236*12)*INDEX(Surface_Engine!$F$12:$F$72,$A175+1)-(Surface_Engine!L236*12),1000*12*INDEX(Surface_Engine!$C$12:$C$72,$A175+1)/(1+Assumptions!$B$10)^25+INDEX(Surface_Engine!$D$12:$D$72,$A175+1)))*INDEX(Surface_Engine!$B$12:$B$72,$A175+1)+I176</f>
        <v>1376.00676897653</v>
      </c>
      <c r="J175" s="48" t="n">
        <f aca="false">B175*(IF($A175&lt;$Q$132,INDEX(Surface_Engine!$D$12:$D$72,$A175+1)*(1+Assumptions!$B$24)+(Surface_Engine!L236*12)*INDEX(Surface_Engine!$F$12:$F$72,$A175+1)-(Surface_Engine!L236*12),1000*12*INDEX(Surface_Engine!$C$12:$C$72,$A175+1)/(1+Assumptions!$B$10)^25+INDEX(Surface_Engine!$D$12:$D$72,$A175+1)*(1+Assumptions!$B$24)))*INDEX(Surface_Engine!$B$12:$B$72,$A175+1)+J176</f>
        <v>1193.40180421443</v>
      </c>
      <c r="K175" s="12" t="n">
        <f aca="false">SQRT((IF(C175&lt;=0,0,MAX(0,(B175/C175)*G175/INDEX(Surface_Engine!$B$12:$B$72,$A175+1)-F175/INDEX(Surface_Engine!$B$12:$B$72,$A175+1))))^2+(MAX(IF(D175&lt;=0,0,MAX(0,(B175/D175)*H175/INDEX(Surface_Engine!$B$12:$B$72,$A175+1)-F175/INDEX(Surface_Engine!$B$12:$B$72,$A175+1))),IF(E175&lt;=0,0,MAX(0,(B175/E175)*I175/INDEX(Surface_Engine!$B$12:$B$72,$A175+1)-F175/INDEX(Surface_Engine!$B$12:$B$72,$A175+1))),IF($A175&lt;$Q$132,MAX(0,-Assumptions!$B$22*(F175/INDEX(Surface_Engine!$B$12:$B$72,$A175+1))),0)))^2+(MAX(0,J175/INDEX(Surface_Engine!$B$12:$B$72,$A175+1)-(F175/INDEX(Surface_Engine!$B$12:$B$72,$A175+1))))^2+2*Assumptions!$B$26*(IF(C175&lt;=0,0,MAX(0,(B175/C175)*G175/INDEX(Surface_Engine!$B$12:$B$72,$A175+1)-F175/INDEX(Surface_Engine!$B$12:$B$72,$A175+1))))*(MAX(IF(D175&lt;=0,0,MAX(0,(B175/D175)*H175/INDEX(Surface_Engine!$B$12:$B$72,$A175+1)-F175/INDEX(Surface_Engine!$B$12:$B$72,$A175+1))),IF(E175&lt;=0,0,MAX(0,(B175/E175)*I175/INDEX(Surface_Engine!$B$12:$B$72,$A175+1)-F175/INDEX(Surface_Engine!$B$12:$B$72,$A175+1))),IF($A175&lt;$Q$132,MAX(0,-Assumptions!$B$22*(F175/INDEX(Surface_Engine!$B$12:$B$72,$A175+1))),0)))+2*Assumptions!$B$27*(IF(C175&lt;=0,0,MAX(0,(B175/C175)*G175/INDEX(Surface_Engine!$B$12:$B$72,$A175+1)-F175/INDEX(Surface_Engine!$B$12:$B$72,$A175+1))))*(MAX(0,J175/INDEX(Surface_Engine!$B$12:$B$72,$A175+1)-(F175/INDEX(Surface_Engine!$B$12:$B$72,$A175+1))))+2*Assumptions!$B$28*(MAX(IF(D175&lt;=0,0,MAX(0,(B175/D175)*H175/INDEX(Surface_Engine!$B$12:$B$72,$A175+1)-F175/INDEX(Surface_Engine!$B$12:$B$72,$A175+1))),IF(E175&lt;=0,0,MAX(0,(B175/E175)*I175/INDEX(Surface_Engine!$B$12:$B$72,$A175+1)-F175/INDEX(Surface_Engine!$B$12:$B$72,$A175+1))),IF($A175&lt;$Q$132,MAX(0,-Assumptions!$B$22*(F175/INDEX(Surface_Engine!$B$12:$B$72,$A175+1))),0)))*(MAX(0,J175/INDEX(Surface_Engine!$B$12:$B$72,$A175+1)-(F175/INDEX(Surface_Engine!$B$12:$B$72,$A175+1)))))</f>
        <v>794.231071959766</v>
      </c>
      <c r="L175" s="48" t="n">
        <f aca="false">K175*INDEX(Surface_Engine!$B$12:$B$72,$A175+1)+L176</f>
        <v>752.624710253398</v>
      </c>
      <c r="M175" s="48" t="n">
        <f aca="false">M174+B174*(IF($A174&lt;$Q$132,(Surface_Engine!L236*12)-(Surface_Engine!L236*12)*INDEX(Surface_Engine!$F$12:$F$72,$A174+1)-INDEX(Surface_Engine!$D$12:$D$72,$A174+1),-(1000*12*INDEX(Surface_Engine!$C$12:$C$72,$A174+1)/(1+Assumptions!$B$10)^25+INDEX(Surface_Engine!$D$12:$D$72,$A174+1))))*INDEX(Surface_Engine!$B$12:$B$72,$A174+1)</f>
        <v>2174.62970748679</v>
      </c>
      <c r="N175" s="12" t="n">
        <f aca="false">IF(B175&lt;=0,0,MAX(0,(K175+Assumptions!$B$29*L175/INDEX(Surface_Engine!$B$12:$B$72,$A175+1)-(M175/INDEX(Surface_Engine!$B$12:$B$72,$A175+1)-(F175/INDEX(Surface_Engine!$B$12:$B$72,$A175+1))))/B175))</f>
        <v>0</v>
      </c>
    </row>
    <row r="176" customFormat="false" ht="15" hidden="false" customHeight="true" outlineLevel="0" collapsed="false">
      <c r="A176" s="1" t="n">
        <v>42</v>
      </c>
      <c r="B176" s="32" t="n">
        <f aca="false">INDEX(Surface_Engine!$G$12:$G$72,$A176+1)*IF($A176&lt;$Q$132,INDEX(Surface_Engine!$E$12:$E$72,$A176+1),INDEX(Surface_Engine!$E$12:$E$72,$Q$132+1))</f>
        <v>0.0520441632842995</v>
      </c>
      <c r="C176" s="32" t="n">
        <f aca="false">INDEX(Panel_Reserving!$B$8:$B$68,$A176+1)*IF($A176&lt;$Q$132,INDEX(Surface_Engine!$E$12:$E$72,$A176+1),INDEX(Surface_Engine!$E$12:$E$72,$Q$132+1))</f>
        <v>0.091678218761837</v>
      </c>
      <c r="D176" s="32" t="n">
        <f aca="false">INDEX(Surface_Engine!$G$12:$G$72,$A176+1)*IF($A176&lt;$Q$132,INDEX(Surface_Engine!$Y$12:$Y$72,$A176+1),INDEX(Surface_Engine!$Y$12:$Y$72,$Q$132+1))</f>
        <v>0.0450250658936114</v>
      </c>
      <c r="E176" s="32" t="n">
        <f aca="false">INDEX(Surface_Engine!$G$12:$G$72,$A176+1)*IF($A176&lt;$Q$132,INDEX(Surface_Engine!$Z$12:$Z$72,$A176+1),INDEX(Surface_Engine!$Z$12:$Z$72,$Q$132+1))</f>
        <v>0.0600896231938358</v>
      </c>
      <c r="F176" s="48" t="n">
        <f aca="false">B176*(IF($A176&lt;$Q$132,INDEX(Surface_Engine!$D$12:$D$72,$A176+1)+(Surface_Engine!L236*12)*INDEX(Surface_Engine!$F$12:$F$72,$A176+1)-(Surface_Engine!L236*12),1000*12*INDEX(Surface_Engine!$C$12:$C$72,$A176+1)/(1+Assumptions!$B$10)^25+INDEX(Surface_Engine!$D$12:$D$72,$A176+1)))*INDEX(Surface_Engine!$B$12:$B$72,$A176+1)+F177</f>
        <v>888.108143003854</v>
      </c>
      <c r="G176" s="48" t="n">
        <f aca="false">C176*(IF($A176&lt;$Q$132,INDEX(Surface_Engine!$D$12:$D$72,$A176+1)+(Surface_Engine!L236*12)*INDEX(Surface_Engine!$F$12:$F$72,$A176+1)-(Surface_Engine!L236*12),1000*12*INDEX(Surface_Engine!$C$12:$C$72,$A176+1)/(1+Assumptions!$B$10)^25+INDEX(Surface_Engine!$D$12:$D$72,$A176+1)))*INDEX(Surface_Engine!$B$12:$B$72,$A176+1)+G177</f>
        <v>1847.09972501797</v>
      </c>
      <c r="H176" s="48" t="n">
        <f aca="false">D176*(IF($A176&lt;$Q$132,INDEX(Surface_Engine!$D$12:$D$72,$A176+1)+(Surface_Engine!L236*12)*INDEX(Surface_Engine!$F$12:$F$72,$A176+1)-(Surface_Engine!L236*12),1000*12*INDEX(Surface_Engine!$C$12:$C$72,$A176+1)/(1+Assumptions!$B$10)^25+INDEX(Surface_Engine!$D$12:$D$72,$A176+1)))*INDEX(Surface_Engine!$B$12:$B$72,$A176+1)+H177</f>
        <v>768.330685632611</v>
      </c>
      <c r="I176" s="48" t="n">
        <f aca="false">E176*(IF($A176&lt;$Q$132,INDEX(Surface_Engine!$D$12:$D$72,$A176+1)+(Surface_Engine!L236*12)*INDEX(Surface_Engine!$F$12:$F$72,$A176+1)-(Surface_Engine!L236*12),1000*12*INDEX(Surface_Engine!$C$12:$C$72,$A176+1)/(1+Assumptions!$B$10)^25+INDEX(Surface_Engine!$D$12:$D$72,$A176+1)))*INDEX(Surface_Engine!$B$12:$B$72,$A176+1)+I177</f>
        <v>1025.39997380606</v>
      </c>
      <c r="J176" s="48" t="n">
        <f aca="false">B176*(IF($A176&lt;$Q$132,INDEX(Surface_Engine!$D$12:$D$72,$A176+1)*(1+Assumptions!$B$24)+(Surface_Engine!L236*12)*INDEX(Surface_Engine!$F$12:$F$72,$A176+1)-(Surface_Engine!L236*12),1000*12*INDEX(Surface_Engine!$C$12:$C$72,$A176+1)/(1+Assumptions!$B$10)^25+INDEX(Surface_Engine!$D$12:$D$72,$A176+1)*(1+Assumptions!$B$24)))*INDEX(Surface_Engine!$B$12:$B$72,$A176+1)+J177</f>
        <v>889.327719017585</v>
      </c>
      <c r="K176" s="12" t="n">
        <f aca="false">SQRT((IF(C176&lt;=0,0,MAX(0,(B176/C176)*G176/INDEX(Surface_Engine!$B$12:$B$72,$A176+1)-F176/INDEX(Surface_Engine!$B$12:$B$72,$A176+1))))^2+(MAX(IF(D176&lt;=0,0,MAX(0,(B176/D176)*H176/INDEX(Surface_Engine!$B$12:$B$72,$A176+1)-F176/INDEX(Surface_Engine!$B$12:$B$72,$A176+1))),IF(E176&lt;=0,0,MAX(0,(B176/E176)*I176/INDEX(Surface_Engine!$B$12:$B$72,$A176+1)-F176/INDEX(Surface_Engine!$B$12:$B$72,$A176+1))),IF($A176&lt;$Q$132,MAX(0,-Assumptions!$B$22*(F176/INDEX(Surface_Engine!$B$12:$B$72,$A176+1))),0)))^2+(MAX(0,J176/INDEX(Surface_Engine!$B$12:$B$72,$A176+1)-(F176/INDEX(Surface_Engine!$B$12:$B$72,$A176+1))))^2+2*Assumptions!$B$26*(IF(C176&lt;=0,0,MAX(0,(B176/C176)*G176/INDEX(Surface_Engine!$B$12:$B$72,$A176+1)-F176/INDEX(Surface_Engine!$B$12:$B$72,$A176+1))))*(MAX(IF(D176&lt;=0,0,MAX(0,(B176/D176)*H176/INDEX(Surface_Engine!$B$12:$B$72,$A176+1)-F176/INDEX(Surface_Engine!$B$12:$B$72,$A176+1))),IF(E176&lt;=0,0,MAX(0,(B176/E176)*I176/INDEX(Surface_Engine!$B$12:$B$72,$A176+1)-F176/INDEX(Surface_Engine!$B$12:$B$72,$A176+1))),IF($A176&lt;$Q$132,MAX(0,-Assumptions!$B$22*(F176/INDEX(Surface_Engine!$B$12:$B$72,$A176+1))),0)))+2*Assumptions!$B$27*(IF(C176&lt;=0,0,MAX(0,(B176/C176)*G176/INDEX(Surface_Engine!$B$12:$B$72,$A176+1)-F176/INDEX(Surface_Engine!$B$12:$B$72,$A176+1))))*(MAX(0,J176/INDEX(Surface_Engine!$B$12:$B$72,$A176+1)-(F176/INDEX(Surface_Engine!$B$12:$B$72,$A176+1))))+2*Assumptions!$B$28*(MAX(IF(D176&lt;=0,0,MAX(0,(B176/D176)*H176/INDEX(Surface_Engine!$B$12:$B$72,$A176+1)-F176/INDEX(Surface_Engine!$B$12:$B$72,$A176+1))),IF(E176&lt;=0,0,MAX(0,(B176/E176)*I176/INDEX(Surface_Engine!$B$12:$B$72,$A176+1)-F176/INDEX(Surface_Engine!$B$12:$B$72,$A176+1))),IF($A176&lt;$Q$132,MAX(0,-Assumptions!$B$22*(F176/INDEX(Surface_Engine!$B$12:$B$72,$A176+1))),0)))*(MAX(0,J176/INDEX(Surface_Engine!$B$12:$B$72,$A176+1)-(F176/INDEX(Surface_Engine!$B$12:$B$72,$A176+1)))))</f>
        <v>604.580664235128</v>
      </c>
      <c r="L176" s="48" t="n">
        <f aca="false">K176*INDEX(Surface_Engine!$B$12:$B$72,$A176+1)+L177</f>
        <v>534.571907276173</v>
      </c>
      <c r="M176" s="48" t="n">
        <f aca="false">M175+B175*(IF($A175&lt;$Q$132,(Surface_Engine!L236*12)-(Surface_Engine!L236*12)*INDEX(Surface_Engine!$F$12:$F$72,$A175+1)-INDEX(Surface_Engine!$D$12:$D$72,$A175+1),-(1000*12*INDEX(Surface_Engine!$C$12:$C$72,$A175+1)/(1+Assumptions!$B$10)^25+INDEX(Surface_Engine!$D$12:$D$72,$A175+1))))*INDEX(Surface_Engine!$B$12:$B$72,$A175+1)</f>
        <v>1870.96600772325</v>
      </c>
      <c r="N176" s="12" t="n">
        <f aca="false">IF(B176&lt;=0,0,MAX(0,(K176+Assumptions!$B$29*L176/INDEX(Surface_Engine!$B$12:$B$72,$A176+1)-(M176/INDEX(Surface_Engine!$B$12:$B$72,$A176+1)-(F176/INDEX(Surface_Engine!$B$12:$B$72,$A176+1))))/B176))</f>
        <v>0</v>
      </c>
    </row>
    <row r="177" customFormat="false" ht="15" hidden="false" customHeight="true" outlineLevel="0" collapsed="false">
      <c r="A177" s="1" t="n">
        <v>43</v>
      </c>
      <c r="B177" s="32" t="n">
        <f aca="false">INDEX(Surface_Engine!$G$12:$G$72,$A177+1)*IF($A177&lt;$Q$132,INDEX(Surface_Engine!$E$12:$E$72,$A177+1),INDEX(Surface_Engine!$E$12:$E$72,$Q$132+1))</f>
        <v>0.0402145497832553</v>
      </c>
      <c r="C177" s="32" t="n">
        <f aca="false">INDEX(Panel_Reserving!$B$8:$B$68,$A177+1)*IF($A177&lt;$Q$132,INDEX(Surface_Engine!$E$12:$E$72,$A177+1),INDEX(Surface_Engine!$E$12:$E$72,$Q$132+1))</f>
        <v>0.0750074864302615</v>
      </c>
      <c r="D177" s="32" t="n">
        <f aca="false">INDEX(Surface_Engine!$G$12:$G$72,$A177+1)*IF($A177&lt;$Q$132,INDEX(Surface_Engine!$Y$12:$Y$72,$A177+1),INDEX(Surface_Engine!$Y$12:$Y$72,$Q$132+1))</f>
        <v>0.0347908898829241</v>
      </c>
      <c r="E177" s="32" t="n">
        <f aca="false">INDEX(Surface_Engine!$G$12:$G$72,$A177+1)*IF($A177&lt;$Q$132,INDEX(Surface_Engine!$Z$12:$Z$72,$A177+1),INDEX(Surface_Engine!$Z$12:$Z$72,$Q$132+1))</f>
        <v>0.0464312804912469</v>
      </c>
      <c r="F177" s="48" t="n">
        <f aca="false">B177*(IF($A177&lt;$Q$132,INDEX(Surface_Engine!$D$12:$D$72,$A177+1)+(Surface_Engine!L236*12)*INDEX(Surface_Engine!$F$12:$F$72,$A177+1)-(Surface_Engine!L236*12),1000*12*INDEX(Surface_Engine!$C$12:$C$72,$A177+1)/(1+Assumptions!$B$10)^25+INDEX(Surface_Engine!$D$12:$D$72,$A177+1)))*INDEX(Surface_Engine!$B$12:$B$72,$A177+1)+F178</f>
        <v>652.364503322489</v>
      </c>
      <c r="G177" s="48" t="n">
        <f aca="false">C177*(IF($A177&lt;$Q$132,INDEX(Surface_Engine!$D$12:$D$72,$A177+1)+(Surface_Engine!L236*12)*INDEX(Surface_Engine!$F$12:$F$72,$A177+1)-(Surface_Engine!L236*12),1000*12*INDEX(Surface_Engine!$C$12:$C$72,$A177+1)/(1+Assumptions!$B$10)^25+INDEX(Surface_Engine!$D$12:$D$72,$A177+1)))*INDEX(Surface_Engine!$B$12:$B$72,$A177+1)+G178</f>
        <v>1431.82631861584</v>
      </c>
      <c r="H177" s="48" t="n">
        <f aca="false">D177*(IF($A177&lt;$Q$132,INDEX(Surface_Engine!$D$12:$D$72,$A177+1)+(Surface_Engine!L236*12)*INDEX(Surface_Engine!$F$12:$F$72,$A177+1)-(Surface_Engine!L236*12),1000*12*INDEX(Surface_Engine!$C$12:$C$72,$A177+1)/(1+Assumptions!$B$10)^25+INDEX(Surface_Engine!$D$12:$D$72,$A177+1)))*INDEX(Surface_Engine!$B$12:$B$72,$A177+1)+H178</f>
        <v>564.38134259734</v>
      </c>
      <c r="I177" s="48" t="n">
        <f aca="false">E177*(IF($A177&lt;$Q$132,INDEX(Surface_Engine!$D$12:$D$72,$A177+1)+(Surface_Engine!L236*12)*INDEX(Surface_Engine!$F$12:$F$72,$A177+1)-(Surface_Engine!L236*12),1000*12*INDEX(Surface_Engine!$C$12:$C$72,$A177+1)/(1+Assumptions!$B$10)^25+INDEX(Surface_Engine!$D$12:$D$72,$A177+1)))*INDEX(Surface_Engine!$B$12:$B$72,$A177+1)+I178</f>
        <v>753.212939086833</v>
      </c>
      <c r="J177" s="48" t="n">
        <f aca="false">B177*(IF($A177&lt;$Q$132,INDEX(Surface_Engine!$D$12:$D$72,$A177+1)*(1+Assumptions!$B$24)+(Surface_Engine!L236*12)*INDEX(Surface_Engine!$F$12:$F$72,$A177+1)-(Surface_Engine!L236*12),1000*12*INDEX(Surface_Engine!$C$12:$C$72,$A177+1)/(1+Assumptions!$B$10)^25+INDEX(Surface_Engine!$D$12:$D$72,$A177+1)*(1+Assumptions!$B$24)))*INDEX(Surface_Engine!$B$12:$B$72,$A177+1)+J178</f>
        <v>653.263943740327</v>
      </c>
      <c r="K177" s="12" t="n">
        <f aca="false">SQRT((IF(C177&lt;=0,0,MAX(0,(B177/C177)*G177/INDEX(Surface_Engine!$B$12:$B$72,$A177+1)-F177/INDEX(Surface_Engine!$B$12:$B$72,$A177+1))))^2+(MAX(IF(D177&lt;=0,0,MAX(0,(B177/D177)*H177/INDEX(Surface_Engine!$B$12:$B$72,$A177+1)-F177/INDEX(Surface_Engine!$B$12:$B$72,$A177+1))),IF(E177&lt;=0,0,MAX(0,(B177/E177)*I177/INDEX(Surface_Engine!$B$12:$B$72,$A177+1)-F177/INDEX(Surface_Engine!$B$12:$B$72,$A177+1))),IF($A177&lt;$Q$132,MAX(0,-Assumptions!$B$22*(F177/INDEX(Surface_Engine!$B$12:$B$72,$A177+1))),0)))^2+(MAX(0,J177/INDEX(Surface_Engine!$B$12:$B$72,$A177+1)-(F177/INDEX(Surface_Engine!$B$12:$B$72,$A177+1))))^2+2*Assumptions!$B$26*(IF(C177&lt;=0,0,MAX(0,(B177/C177)*G177/INDEX(Surface_Engine!$B$12:$B$72,$A177+1)-F177/INDEX(Surface_Engine!$B$12:$B$72,$A177+1))))*(MAX(IF(D177&lt;=0,0,MAX(0,(B177/D177)*H177/INDEX(Surface_Engine!$B$12:$B$72,$A177+1)-F177/INDEX(Surface_Engine!$B$12:$B$72,$A177+1))),IF(E177&lt;=0,0,MAX(0,(B177/E177)*I177/INDEX(Surface_Engine!$B$12:$B$72,$A177+1)-F177/INDEX(Surface_Engine!$B$12:$B$72,$A177+1))),IF($A177&lt;$Q$132,MAX(0,-Assumptions!$B$22*(F177/INDEX(Surface_Engine!$B$12:$B$72,$A177+1))),0)))+2*Assumptions!$B$27*(IF(C177&lt;=0,0,MAX(0,(B177/C177)*G177/INDEX(Surface_Engine!$B$12:$B$72,$A177+1)-F177/INDEX(Surface_Engine!$B$12:$B$72,$A177+1))))*(MAX(0,J177/INDEX(Surface_Engine!$B$12:$B$72,$A177+1)-(F177/INDEX(Surface_Engine!$B$12:$B$72,$A177+1))))+2*Assumptions!$B$28*(MAX(IF(D177&lt;=0,0,MAX(0,(B177/D177)*H177/INDEX(Surface_Engine!$B$12:$B$72,$A177+1)-F177/INDEX(Surface_Engine!$B$12:$B$72,$A177+1))),IF(E177&lt;=0,0,MAX(0,(B177/E177)*I177/INDEX(Surface_Engine!$B$12:$B$72,$A177+1)-F177/INDEX(Surface_Engine!$B$12:$B$72,$A177+1))),IF($A177&lt;$Q$132,MAX(0,-Assumptions!$B$22*(F177/INDEX(Surface_Engine!$B$12:$B$72,$A177+1))),0)))*(MAX(0,J177/INDEX(Surface_Engine!$B$12:$B$72,$A177+1)-(F177/INDEX(Surface_Engine!$B$12:$B$72,$A177+1)))))</f>
        <v>448.728586903999</v>
      </c>
      <c r="L177" s="48" t="n">
        <f aca="false">K177*INDEX(Surface_Engine!$B$12:$B$72,$A177+1)+L178</f>
        <v>373.803766305193</v>
      </c>
      <c r="M177" s="48" t="n">
        <f aca="false">M176+B176*(IF($A176&lt;$Q$132,(Surface_Engine!L236*12)-(Surface_Engine!L236*12)*INDEX(Surface_Engine!$F$12:$F$72,$A176+1)-INDEX(Surface_Engine!$D$12:$D$72,$A176+1),-(1000*12*INDEX(Surface_Engine!$C$12:$C$72,$A176+1)/(1+Assumptions!$B$10)^25+INDEX(Surface_Engine!$D$12:$D$72,$A176+1))))*INDEX(Surface_Engine!$B$12:$B$72,$A176+1)</f>
        <v>1635.22236804189</v>
      </c>
      <c r="N177" s="12" t="n">
        <f aca="false">IF(B177&lt;=0,0,MAX(0,(K177+Assumptions!$B$29*L177/INDEX(Surface_Engine!$B$12:$B$72,$A177+1)-(M177/INDEX(Surface_Engine!$B$12:$B$72,$A177+1)-(F177/INDEX(Surface_Engine!$B$12:$B$72,$A177+1))))/B177))</f>
        <v>0</v>
      </c>
    </row>
    <row r="178" customFormat="false" ht="15" hidden="false" customHeight="true" outlineLevel="0" collapsed="false">
      <c r="A178" s="1" t="n">
        <v>44</v>
      </c>
      <c r="B178" s="32" t="n">
        <f aca="false">INDEX(Surface_Engine!$G$12:$G$72,$A178+1)*IF($A178&lt;$Q$132,INDEX(Surface_Engine!$E$12:$E$72,$A178+1),INDEX(Surface_Engine!$E$12:$E$72,$Q$132+1))</f>
        <v>0.0304728548427529</v>
      </c>
      <c r="C178" s="32" t="n">
        <f aca="false">INDEX(Panel_Reserving!$B$8:$B$68,$A178+1)*IF($A178&lt;$Q$132,INDEX(Surface_Engine!$E$12:$E$72,$A178+1),INDEX(Surface_Engine!$E$12:$E$72,$Q$132+1))</f>
        <v>0.0604714529797668</v>
      </c>
      <c r="D178" s="32" t="n">
        <f aca="false">INDEX(Surface_Engine!$G$12:$G$72,$A178+1)*IF($A178&lt;$Q$132,INDEX(Surface_Engine!$Y$12:$Y$72,$A178+1),INDEX(Surface_Engine!$Y$12:$Y$72,$Q$132+1))</f>
        <v>0.026363038824669</v>
      </c>
      <c r="E178" s="32" t="n">
        <f aca="false">INDEX(Surface_Engine!$G$12:$G$72,$A178+1)*IF($A178&lt;$Q$132,INDEX(Surface_Engine!$Z$12:$Z$72,$A178+1),INDEX(Surface_Engine!$Z$12:$Z$72,$Q$132+1))</f>
        <v>0.0351836257821802</v>
      </c>
      <c r="F178" s="48" t="n">
        <f aca="false">B178*(IF($A178&lt;$Q$132,INDEX(Surface_Engine!$D$12:$D$72,$A178+1)+(Surface_Engine!L236*12)*INDEX(Surface_Engine!$F$12:$F$72,$A178+1)-(Surface_Engine!L236*12),1000*12*INDEX(Surface_Engine!$C$12:$C$72,$A178+1)/(1+Assumptions!$B$10)^25+INDEX(Surface_Engine!$D$12:$D$72,$A178+1)))*INDEX(Surface_Engine!$B$12:$B$72,$A178+1)+F179</f>
        <v>472.46837329723</v>
      </c>
      <c r="G178" s="48" t="n">
        <f aca="false">C178*(IF($A178&lt;$Q$132,INDEX(Surface_Engine!$D$12:$D$72,$A178+1)+(Surface_Engine!L236*12)*INDEX(Surface_Engine!$F$12:$F$72,$A178+1)-(Surface_Engine!L236*12),1000*12*INDEX(Surface_Engine!$C$12:$C$72,$A178+1)/(1+Assumptions!$B$10)^25+INDEX(Surface_Engine!$D$12:$D$72,$A178+1)))*INDEX(Surface_Engine!$B$12:$B$72,$A178+1)+G179</f>
        <v>1096.28715171101</v>
      </c>
      <c r="H178" s="48" t="n">
        <f aca="false">D178*(IF($A178&lt;$Q$132,INDEX(Surface_Engine!$D$12:$D$72,$A178+1)+(Surface_Engine!L236*12)*INDEX(Surface_Engine!$F$12:$F$72,$A178+1)-(Surface_Engine!L236*12),1000*12*INDEX(Surface_Engine!$C$12:$C$72,$A178+1)/(1+Assumptions!$B$10)^25+INDEX(Surface_Engine!$D$12:$D$72,$A178+1)))*INDEX(Surface_Engine!$B$12:$B$72,$A178+1)+H179</f>
        <v>408.747461730694</v>
      </c>
      <c r="I178" s="48" t="n">
        <f aca="false">E178*(IF($A178&lt;$Q$132,INDEX(Surface_Engine!$D$12:$D$72,$A178+1)+(Surface_Engine!L236*12)*INDEX(Surface_Engine!$F$12:$F$72,$A178+1)-(Surface_Engine!L236*12),1000*12*INDEX(Surface_Engine!$C$12:$C$72,$A178+1)/(1+Assumptions!$B$10)^25+INDEX(Surface_Engine!$D$12:$D$72,$A178+1)))*INDEX(Surface_Engine!$B$12:$B$72,$A178+1)+I179</f>
        <v>545.506829792763</v>
      </c>
      <c r="J178" s="48" t="n">
        <f aca="false">B178*(IF($A178&lt;$Q$132,INDEX(Surface_Engine!$D$12:$D$72,$A178+1)*(1+Assumptions!$B$24)+(Surface_Engine!L236*12)*INDEX(Surface_Engine!$F$12:$F$72,$A178+1)-(Surface_Engine!L236*12),1000*12*INDEX(Surface_Engine!$C$12:$C$72,$A178+1)/(1+Assumptions!$B$10)^25+INDEX(Surface_Engine!$D$12:$D$72,$A178+1)*(1+Assumptions!$B$24)))*INDEX(Surface_Engine!$B$12:$B$72,$A178+1)+J179</f>
        <v>473.122336839443</v>
      </c>
      <c r="K178" s="12" t="n">
        <f aca="false">SQRT((IF(C178&lt;=0,0,MAX(0,(B178/C178)*G178/INDEX(Surface_Engine!$B$12:$B$72,$A178+1)-F178/INDEX(Surface_Engine!$B$12:$B$72,$A178+1))))^2+(MAX(IF(D178&lt;=0,0,MAX(0,(B178/D178)*H178/INDEX(Surface_Engine!$B$12:$B$72,$A178+1)-F178/INDEX(Surface_Engine!$B$12:$B$72,$A178+1))),IF(E178&lt;=0,0,MAX(0,(B178/E178)*I178/INDEX(Surface_Engine!$B$12:$B$72,$A178+1)-F178/INDEX(Surface_Engine!$B$12:$B$72,$A178+1))),IF($A178&lt;$Q$132,MAX(0,-Assumptions!$B$22*(F178/INDEX(Surface_Engine!$B$12:$B$72,$A178+1))),0)))^2+(MAX(0,J178/INDEX(Surface_Engine!$B$12:$B$72,$A178+1)-(F178/INDEX(Surface_Engine!$B$12:$B$72,$A178+1))))^2+2*Assumptions!$B$26*(IF(C178&lt;=0,0,MAX(0,(B178/C178)*G178/INDEX(Surface_Engine!$B$12:$B$72,$A178+1)-F178/INDEX(Surface_Engine!$B$12:$B$72,$A178+1))))*(MAX(IF(D178&lt;=0,0,MAX(0,(B178/D178)*H178/INDEX(Surface_Engine!$B$12:$B$72,$A178+1)-F178/INDEX(Surface_Engine!$B$12:$B$72,$A178+1))),IF(E178&lt;=0,0,MAX(0,(B178/E178)*I178/INDEX(Surface_Engine!$B$12:$B$72,$A178+1)-F178/INDEX(Surface_Engine!$B$12:$B$72,$A178+1))),IF($A178&lt;$Q$132,MAX(0,-Assumptions!$B$22*(F178/INDEX(Surface_Engine!$B$12:$B$72,$A178+1))),0)))+2*Assumptions!$B$27*(IF(C178&lt;=0,0,MAX(0,(B178/C178)*G178/INDEX(Surface_Engine!$B$12:$B$72,$A178+1)-F178/INDEX(Surface_Engine!$B$12:$B$72,$A178+1))))*(MAX(0,J178/INDEX(Surface_Engine!$B$12:$B$72,$A178+1)-(F178/INDEX(Surface_Engine!$B$12:$B$72,$A178+1))))+2*Assumptions!$B$28*(MAX(IF(D178&lt;=0,0,MAX(0,(B178/D178)*H178/INDEX(Surface_Engine!$B$12:$B$72,$A178+1)-F178/INDEX(Surface_Engine!$B$12:$B$72,$A178+1))),IF(E178&lt;=0,0,MAX(0,(B178/E178)*I178/INDEX(Surface_Engine!$B$12:$B$72,$A178+1)-F178/INDEX(Surface_Engine!$B$12:$B$72,$A178+1))),IF($A178&lt;$Q$132,MAX(0,-Assumptions!$B$22*(F178/INDEX(Surface_Engine!$B$12:$B$72,$A178+1))),0)))*(MAX(0,J178/INDEX(Surface_Engine!$B$12:$B$72,$A178+1)-(F178/INDEX(Surface_Engine!$B$12:$B$72,$A178+1)))))</f>
        <v>321.405010729158</v>
      </c>
      <c r="L178" s="48" t="n">
        <f aca="false">K178*INDEX(Surface_Engine!$B$12:$B$72,$A178+1)+L179</f>
        <v>258.280077065117</v>
      </c>
      <c r="M178" s="48" t="n">
        <f aca="false">M177+B177*(IF($A177&lt;$Q$132,(Surface_Engine!L236*12)-(Surface_Engine!L236*12)*INDEX(Surface_Engine!$F$12:$F$72,$A177+1)-INDEX(Surface_Engine!$D$12:$D$72,$A177+1),-(1000*12*INDEX(Surface_Engine!$C$12:$C$72,$A177+1)/(1+Assumptions!$B$10)^25+INDEX(Surface_Engine!$D$12:$D$72,$A177+1))))*INDEX(Surface_Engine!$B$12:$B$72,$A177+1)</f>
        <v>1455.32623801663</v>
      </c>
      <c r="N178" s="12" t="n">
        <f aca="false">IF(B178&lt;=0,0,MAX(0,(K178+Assumptions!$B$29*L178/INDEX(Surface_Engine!$B$12:$B$72,$A178+1)-(M178/INDEX(Surface_Engine!$B$12:$B$72,$A178+1)-(F178/INDEX(Surface_Engine!$B$12:$B$72,$A178+1))))/B178))</f>
        <v>0</v>
      </c>
    </row>
    <row r="179" customFormat="false" ht="15" hidden="false" customHeight="true" outlineLevel="0" collapsed="false">
      <c r="A179" s="1" t="n">
        <v>45</v>
      </c>
      <c r="B179" s="32" t="n">
        <f aca="false">INDEX(Surface_Engine!$G$12:$G$72,$A179+1)*IF($A179&lt;$Q$132,INDEX(Surface_Engine!$E$12:$E$72,$A179+1),INDEX(Surface_Engine!$E$12:$E$72,$Q$132+1))</f>
        <v>0.023354277139405</v>
      </c>
      <c r="C179" s="32" t="n">
        <f aca="false">INDEX(Panel_Reserving!$B$8:$B$68,$A179+1)*IF($A179&lt;$Q$132,INDEX(Surface_Engine!$E$12:$E$72,$A179+1),INDEX(Surface_Engine!$E$12:$E$72,$Q$132+1))</f>
        <v>0.0491703592268605</v>
      </c>
      <c r="D179" s="32" t="n">
        <f aca="false">INDEX(Surface_Engine!$G$12:$G$72,$A179+1)*IF($A179&lt;$Q$132,INDEX(Surface_Engine!$Y$12:$Y$72,$A179+1),INDEX(Surface_Engine!$Y$12:$Y$72,$Q$132+1))</f>
        <v>0.0202045301671051</v>
      </c>
      <c r="E179" s="32" t="n">
        <f aca="false">INDEX(Surface_Engine!$G$12:$G$72,$A179+1)*IF($A179&lt;$Q$132,INDEX(Surface_Engine!$Z$12:$Z$72,$A179+1),INDEX(Surface_Engine!$Z$12:$Z$72,$Q$132+1))</f>
        <v>0.0269645936203305</v>
      </c>
      <c r="F179" s="48" t="n">
        <f aca="false">B179*(IF($A179&lt;$Q$132,INDEX(Surface_Engine!$D$12:$D$72,$A179+1)+(Surface_Engine!L236*12)*INDEX(Surface_Engine!$F$12:$F$72,$A179+1)-(Surface_Engine!L236*12),1000*12*INDEX(Surface_Engine!$C$12:$C$72,$A179+1)/(1+Assumptions!$B$10)^25+INDEX(Surface_Engine!$D$12:$D$72,$A179+1)))*INDEX(Surface_Engine!$B$12:$B$72,$A179+1)+F180</f>
        <v>337.792166942591</v>
      </c>
      <c r="G179" s="48" t="n">
        <f aca="false">C179*(IF($A179&lt;$Q$132,INDEX(Surface_Engine!$D$12:$D$72,$A179+1)+(Surface_Engine!L236*12)*INDEX(Surface_Engine!$F$12:$F$72,$A179+1)-(Surface_Engine!L236*12),1000*12*INDEX(Surface_Engine!$C$12:$C$72,$A179+1)/(1+Assumptions!$B$10)^25+INDEX(Surface_Engine!$D$12:$D$72,$A179+1)))*INDEX(Surface_Engine!$B$12:$B$72,$A179+1)+G180</f>
        <v>829.030738680682</v>
      </c>
      <c r="H179" s="48" t="n">
        <f aca="false">D179*(IF($A179&lt;$Q$132,INDEX(Surface_Engine!$D$12:$D$72,$A179+1)+(Surface_Engine!L236*12)*INDEX(Surface_Engine!$F$12:$F$72,$A179+1)-(Surface_Engine!L236*12),1000*12*INDEX(Surface_Engine!$C$12:$C$72,$A179+1)/(1+Assumptions!$B$10)^25+INDEX(Surface_Engine!$D$12:$D$72,$A179+1)))*INDEX(Surface_Engine!$B$12:$B$72,$A179+1)+H180</f>
        <v>292.234779371007</v>
      </c>
      <c r="I179" s="48" t="n">
        <f aca="false">E179*(IF($A179&lt;$Q$132,INDEX(Surface_Engine!$D$12:$D$72,$A179+1)+(Surface_Engine!L236*12)*INDEX(Surface_Engine!$F$12:$F$72,$A179+1)-(Surface_Engine!L236*12),1000*12*INDEX(Surface_Engine!$C$12:$C$72,$A179+1)/(1+Assumptions!$B$10)^25+INDEX(Surface_Engine!$D$12:$D$72,$A179+1)))*INDEX(Surface_Engine!$B$12:$B$72,$A179+1)+I180</f>
        <v>390.011151078165</v>
      </c>
      <c r="J179" s="48" t="n">
        <f aca="false">B179*(IF($A179&lt;$Q$132,INDEX(Surface_Engine!$D$12:$D$72,$A179+1)*(1+Assumptions!$B$24)+(Surface_Engine!L236*12)*INDEX(Surface_Engine!$F$12:$F$72,$A179+1)-(Surface_Engine!L236*12),1000*12*INDEX(Surface_Engine!$C$12:$C$72,$A179+1)/(1+Assumptions!$B$10)^25+INDEX(Surface_Engine!$D$12:$D$72,$A179+1)*(1+Assumptions!$B$24)))*INDEX(Surface_Engine!$B$12:$B$72,$A179+1)+J180</f>
        <v>338.26146986646</v>
      </c>
      <c r="K179" s="12" t="n">
        <f aca="false">SQRT((IF(C179&lt;=0,0,MAX(0,(B179/C179)*G179/INDEX(Surface_Engine!$B$12:$B$72,$A179+1)-F179/INDEX(Surface_Engine!$B$12:$B$72,$A179+1))))^2+(MAX(IF(D179&lt;=0,0,MAX(0,(B179/D179)*H179/INDEX(Surface_Engine!$B$12:$B$72,$A179+1)-F179/INDEX(Surface_Engine!$B$12:$B$72,$A179+1))),IF(E179&lt;=0,0,MAX(0,(B179/E179)*I179/INDEX(Surface_Engine!$B$12:$B$72,$A179+1)-F179/INDEX(Surface_Engine!$B$12:$B$72,$A179+1))),IF($A179&lt;$Q$132,MAX(0,-Assumptions!$B$22*(F179/INDEX(Surface_Engine!$B$12:$B$72,$A179+1))),0)))^2+(MAX(0,J179/INDEX(Surface_Engine!$B$12:$B$72,$A179+1)-(F179/INDEX(Surface_Engine!$B$12:$B$72,$A179+1))))^2+2*Assumptions!$B$26*(IF(C179&lt;=0,0,MAX(0,(B179/C179)*G179/INDEX(Surface_Engine!$B$12:$B$72,$A179+1)-F179/INDEX(Surface_Engine!$B$12:$B$72,$A179+1))))*(MAX(IF(D179&lt;=0,0,MAX(0,(B179/D179)*H179/INDEX(Surface_Engine!$B$12:$B$72,$A179+1)-F179/INDEX(Surface_Engine!$B$12:$B$72,$A179+1))),IF(E179&lt;=0,0,MAX(0,(B179/E179)*I179/INDEX(Surface_Engine!$B$12:$B$72,$A179+1)-F179/INDEX(Surface_Engine!$B$12:$B$72,$A179+1))),IF($A179&lt;$Q$132,MAX(0,-Assumptions!$B$22*(F179/INDEX(Surface_Engine!$B$12:$B$72,$A179+1))),0)))+2*Assumptions!$B$27*(IF(C179&lt;=0,0,MAX(0,(B179/C179)*G179/INDEX(Surface_Engine!$B$12:$B$72,$A179+1)-F179/INDEX(Surface_Engine!$B$12:$B$72,$A179+1))))*(MAX(0,J179/INDEX(Surface_Engine!$B$12:$B$72,$A179+1)-(F179/INDEX(Surface_Engine!$B$12:$B$72,$A179+1))))+2*Assumptions!$B$28*(MAX(IF(D179&lt;=0,0,MAX(0,(B179/D179)*H179/INDEX(Surface_Engine!$B$12:$B$72,$A179+1)-F179/INDEX(Surface_Engine!$B$12:$B$72,$A179+1))),IF(E179&lt;=0,0,MAX(0,(B179/E179)*I179/INDEX(Surface_Engine!$B$12:$B$72,$A179+1)-F179/INDEX(Surface_Engine!$B$12:$B$72,$A179+1))),IF($A179&lt;$Q$132,MAX(0,-Assumptions!$B$22*(F179/INDEX(Surface_Engine!$B$12:$B$72,$A179+1))),0)))*(MAX(0,J179/INDEX(Surface_Engine!$B$12:$B$72,$A179+1)-(F179/INDEX(Surface_Engine!$B$12:$B$72,$A179+1)))))</f>
        <v>232.363284041095</v>
      </c>
      <c r="L179" s="48" t="n">
        <f aca="false">K179*INDEX(Surface_Engine!$B$12:$B$72,$A179+1)+L180</f>
        <v>178.139981476288</v>
      </c>
      <c r="M179" s="48" t="n">
        <f aca="false">M178+B178*(IF($A178&lt;$Q$132,(Surface_Engine!L236*12)-(Surface_Engine!L236*12)*INDEX(Surface_Engine!$F$12:$F$72,$A178+1)-INDEX(Surface_Engine!$D$12:$D$72,$A178+1),-(1000*12*INDEX(Surface_Engine!$C$12:$C$72,$A178+1)/(1+Assumptions!$B$10)^25+INDEX(Surface_Engine!$D$12:$D$72,$A178+1))))*INDEX(Surface_Engine!$B$12:$B$72,$A178+1)</f>
        <v>1320.65003166199</v>
      </c>
      <c r="N179" s="12" t="n">
        <f aca="false">IF(B179&lt;=0,0,MAX(0,(K179+Assumptions!$B$29*L179/INDEX(Surface_Engine!$B$12:$B$72,$A179+1)-(M179/INDEX(Surface_Engine!$B$12:$B$72,$A179+1)-(F179/INDEX(Surface_Engine!$B$12:$B$72,$A179+1))))/B179))</f>
        <v>0</v>
      </c>
    </row>
    <row r="180" customFormat="false" ht="15" hidden="false" customHeight="true" outlineLevel="0" collapsed="false">
      <c r="A180" s="1" t="n">
        <v>46</v>
      </c>
      <c r="B180" s="32" t="n">
        <f aca="false">INDEX(Surface_Engine!$G$12:$G$72,$A180+1)*IF($A180&lt;$Q$132,INDEX(Surface_Engine!$E$12:$E$72,$A180+1),INDEX(Surface_Engine!$E$12:$E$72,$Q$132+1))</f>
        <v>0.0205470302022399</v>
      </c>
      <c r="C180" s="32" t="n">
        <f aca="false">INDEX(Panel_Reserving!$B$8:$B$68,$A180+1)*IF($A180&lt;$Q$132,INDEX(Surface_Engine!$E$12:$E$72,$A180+1),INDEX(Surface_Engine!$E$12:$E$72,$Q$132+1))</f>
        <v>0.0444420316656187</v>
      </c>
      <c r="D180" s="32" t="n">
        <f aca="false">INDEX(Surface_Engine!$G$12:$G$72,$A180+1)*IF($A180&lt;$Q$132,INDEX(Surface_Engine!$Y$12:$Y$72,$A180+1),INDEX(Surface_Engine!$Y$12:$Y$72,$Q$132+1))</f>
        <v>0.0177758912891</v>
      </c>
      <c r="E180" s="32" t="n">
        <f aca="false">INDEX(Surface_Engine!$G$12:$G$72,$A180+1)*IF($A180&lt;$Q$132,INDEX(Surface_Engine!$Z$12:$Z$72,$A180+1),INDEX(Surface_Engine!$Z$12:$Z$72,$Q$132+1))</f>
        <v>0.0237233769300972</v>
      </c>
      <c r="F180" s="48" t="n">
        <f aca="false">B180*(IF($A180&lt;$Q$132,INDEX(Surface_Engine!$D$12:$D$72,$A180+1)+(Surface_Engine!L236*12)*INDEX(Surface_Engine!$F$12:$F$72,$A180+1)-(Surface_Engine!L236*12),1000*12*INDEX(Surface_Engine!$C$12:$C$72,$A180+1)/(1+Assumptions!$B$10)^25+INDEX(Surface_Engine!$D$12:$D$72,$A180+1)))*INDEX(Surface_Engine!$B$12:$B$72,$A180+1)+F181</f>
        <v>235.866009471195</v>
      </c>
      <c r="G180" s="48" t="n">
        <f aca="false">C180*(IF($A180&lt;$Q$132,INDEX(Surface_Engine!$D$12:$D$72,$A180+1)+(Surface_Engine!L236*12)*INDEX(Surface_Engine!$F$12:$F$72,$A180+1)-(Surface_Engine!L236*12),1000*12*INDEX(Surface_Engine!$C$12:$C$72,$A180+1)/(1+Assumptions!$B$10)^25+INDEX(Surface_Engine!$D$12:$D$72,$A180+1)))*INDEX(Surface_Engine!$B$12:$B$72,$A180+1)+G181</f>
        <v>614.434253952584</v>
      </c>
      <c r="H180" s="48" t="n">
        <f aca="false">D180*(IF($A180&lt;$Q$132,INDEX(Surface_Engine!$D$12:$D$72,$A180+1)+(Surface_Engine!L236*12)*INDEX(Surface_Engine!$F$12:$F$72,$A180+1)-(Surface_Engine!L236*12),1000*12*INDEX(Surface_Engine!$C$12:$C$72,$A180+1)/(1+Assumptions!$B$10)^25+INDEX(Surface_Engine!$D$12:$D$72,$A180+1)))*INDEX(Surface_Engine!$B$12:$B$72,$A180+1)+H181</f>
        <v>204.055209044114</v>
      </c>
      <c r="I180" s="48" t="n">
        <f aca="false">E180*(IF($A180&lt;$Q$132,INDEX(Surface_Engine!$D$12:$D$72,$A180+1)+(Surface_Engine!L236*12)*INDEX(Surface_Engine!$F$12:$F$72,$A180+1)-(Surface_Engine!L236*12),1000*12*INDEX(Surface_Engine!$C$12:$C$72,$A180+1)/(1+Assumptions!$B$10)^25+INDEX(Surface_Engine!$D$12:$D$72,$A180+1)))*INDEX(Surface_Engine!$B$12:$B$72,$A180+1)+I181</f>
        <v>272.328321543667</v>
      </c>
      <c r="J180" s="48" t="n">
        <f aca="false">B180*(IF($A180&lt;$Q$132,INDEX(Surface_Engine!$D$12:$D$72,$A180+1)*(1+Assumptions!$B$24)+(Surface_Engine!L236*12)*INDEX(Surface_Engine!$F$12:$F$72,$A180+1)-(Surface_Engine!L236*12),1000*12*INDEX(Surface_Engine!$C$12:$C$72,$A180+1)/(1+Assumptions!$B$10)^25+INDEX(Surface_Engine!$D$12:$D$72,$A180+1)*(1+Assumptions!$B$24)))*INDEX(Surface_Engine!$B$12:$B$72,$A180+1)+J181</f>
        <v>236.19488120784</v>
      </c>
      <c r="K180" s="12" t="n">
        <f aca="false">SQRT((IF(C180&lt;=0,0,MAX(0,(B180/C180)*G180/INDEX(Surface_Engine!$B$12:$B$72,$A180+1)-F180/INDEX(Surface_Engine!$B$12:$B$72,$A180+1))))^2+(MAX(IF(D180&lt;=0,0,MAX(0,(B180/D180)*H180/INDEX(Surface_Engine!$B$12:$B$72,$A180+1)-F180/INDEX(Surface_Engine!$B$12:$B$72,$A180+1))),IF(E180&lt;=0,0,MAX(0,(B180/E180)*I180/INDEX(Surface_Engine!$B$12:$B$72,$A180+1)-F180/INDEX(Surface_Engine!$B$12:$B$72,$A180+1))),IF($A180&lt;$Q$132,MAX(0,-Assumptions!$B$22*(F180/INDEX(Surface_Engine!$B$12:$B$72,$A180+1))),0)))^2+(MAX(0,J180/INDEX(Surface_Engine!$B$12:$B$72,$A180+1)-(F180/INDEX(Surface_Engine!$B$12:$B$72,$A180+1))))^2+2*Assumptions!$B$26*(IF(C180&lt;=0,0,MAX(0,(B180/C180)*G180/INDEX(Surface_Engine!$B$12:$B$72,$A180+1)-F180/INDEX(Surface_Engine!$B$12:$B$72,$A180+1))))*(MAX(IF(D180&lt;=0,0,MAX(0,(B180/D180)*H180/INDEX(Surface_Engine!$B$12:$B$72,$A180+1)-F180/INDEX(Surface_Engine!$B$12:$B$72,$A180+1))),IF(E180&lt;=0,0,MAX(0,(B180/E180)*I180/INDEX(Surface_Engine!$B$12:$B$72,$A180+1)-F180/INDEX(Surface_Engine!$B$12:$B$72,$A180+1))),IF($A180&lt;$Q$132,MAX(0,-Assumptions!$B$22*(F180/INDEX(Surface_Engine!$B$12:$B$72,$A180+1))),0)))+2*Assumptions!$B$27*(IF(C180&lt;=0,0,MAX(0,(B180/C180)*G180/INDEX(Surface_Engine!$B$12:$B$72,$A180+1)-F180/INDEX(Surface_Engine!$B$12:$B$72,$A180+1))))*(MAX(0,J180/INDEX(Surface_Engine!$B$12:$B$72,$A180+1)-(F180/INDEX(Surface_Engine!$B$12:$B$72,$A180+1))))+2*Assumptions!$B$28*(MAX(IF(D180&lt;=0,0,MAX(0,(B180/D180)*H180/INDEX(Surface_Engine!$B$12:$B$72,$A180+1)-F180/INDEX(Surface_Engine!$B$12:$B$72,$A180+1))),IF(E180&lt;=0,0,MAX(0,(B180/E180)*I180/INDEX(Surface_Engine!$B$12:$B$72,$A180+1)-F180/INDEX(Surface_Engine!$B$12:$B$72,$A180+1))),IF($A180&lt;$Q$132,MAX(0,-Assumptions!$B$22*(F180/INDEX(Surface_Engine!$B$12:$B$72,$A180+1))),0)))*(MAX(0,J180/INDEX(Surface_Engine!$B$12:$B$72,$A180+1)-(F180/INDEX(Surface_Engine!$B$12:$B$72,$A180+1)))))</f>
        <v>206.568903278305</v>
      </c>
      <c r="L180" s="48" t="n">
        <f aca="false">K180*INDEX(Surface_Engine!$B$12:$B$72,$A180+1)+L181</f>
        <v>122.0510910512</v>
      </c>
      <c r="M180" s="48" t="n">
        <f aca="false">M179+B179*(IF($A179&lt;$Q$132,(Surface_Engine!L236*12)-(Surface_Engine!L236*12)*INDEX(Surface_Engine!$F$12:$F$72,$A179+1)-INDEX(Surface_Engine!$D$12:$D$72,$A179+1),-(1000*12*INDEX(Surface_Engine!$C$12:$C$72,$A179+1)/(1+Assumptions!$B$10)^25+INDEX(Surface_Engine!$D$12:$D$72,$A179+1))))*INDEX(Surface_Engine!$B$12:$B$72,$A179+1)</f>
        <v>1218.72387419059</v>
      </c>
      <c r="N180" s="12" t="n">
        <f aca="false">IF(B180&lt;=0,0,MAX(0,(K180+Assumptions!$B$29*L180/INDEX(Surface_Engine!$B$12:$B$72,$A180+1)-(M180/INDEX(Surface_Engine!$B$12:$B$72,$A180+1)-(F180/INDEX(Surface_Engine!$B$12:$B$72,$A180+1))))/B180))</f>
        <v>0</v>
      </c>
    </row>
    <row r="181" customFormat="false" ht="15" hidden="false" customHeight="true" outlineLevel="0" collapsed="false">
      <c r="A181" s="1" t="n">
        <v>47</v>
      </c>
      <c r="B181" s="32" t="n">
        <f aca="false">INDEX(Surface_Engine!$G$12:$G$72,$A181+1)*IF($A181&lt;$Q$132,INDEX(Surface_Engine!$E$12:$E$72,$A181+1),INDEX(Surface_Engine!$E$12:$E$72,$Q$132+1))</f>
        <v>0.0137652486496353</v>
      </c>
      <c r="C181" s="32" t="n">
        <f aca="false">INDEX(Panel_Reserving!$B$8:$B$68,$A181+1)*IF($A181&lt;$Q$132,INDEX(Surface_Engine!$E$12:$E$72,$A181+1),INDEX(Surface_Engine!$E$12:$E$72,$Q$132+1))</f>
        <v>0.0327071523163955</v>
      </c>
      <c r="D181" s="32" t="n">
        <f aca="false">INDEX(Surface_Engine!$G$12:$G$72,$A181+1)*IF($A181&lt;$Q$132,INDEX(Surface_Engine!$Y$12:$Y$72,$A181+1),INDEX(Surface_Engine!$Y$12:$Y$72,$Q$132+1))</f>
        <v>0.0119087557255195</v>
      </c>
      <c r="E181" s="32" t="n">
        <f aca="false">INDEX(Surface_Engine!$G$12:$G$72,$A181+1)*IF($A181&lt;$Q$132,INDEX(Surface_Engine!$Z$12:$Z$72,$A181+1),INDEX(Surface_Engine!$Z$12:$Z$72,$Q$132+1))</f>
        <v>0.0158932059298871</v>
      </c>
      <c r="F181" s="48" t="n">
        <f aca="false">B181*(IF($A181&lt;$Q$132,INDEX(Surface_Engine!$D$12:$D$72,$A181+1)+(Surface_Engine!L236*12)*INDEX(Surface_Engine!$F$12:$F$72,$A181+1)-(Surface_Engine!L236*12),1000*12*INDEX(Surface_Engine!$C$12:$C$72,$A181+1)/(1+Assumptions!$B$10)^25+INDEX(Surface_Engine!$D$12:$D$72,$A181+1)))*INDEX(Surface_Engine!$B$12:$B$72,$A181+1)+F182</f>
        <v>147.275611911707</v>
      </c>
      <c r="G181" s="48" t="n">
        <f aca="false">C181*(IF($A181&lt;$Q$132,INDEX(Surface_Engine!$D$12:$D$72,$A181+1)+(Surface_Engine!L236*12)*INDEX(Surface_Engine!$F$12:$F$72,$A181+1)-(Surface_Engine!L236*12),1000*12*INDEX(Surface_Engine!$C$12:$C$72,$A181+1)/(1+Assumptions!$B$10)^25+INDEX(Surface_Engine!$D$12:$D$72,$A181+1)))*INDEX(Surface_Engine!$B$12:$B$72,$A181+1)+G182</f>
        <v>422.818374925</v>
      </c>
      <c r="H181" s="48" t="n">
        <f aca="false">D181*(IF($A181&lt;$Q$132,INDEX(Surface_Engine!$D$12:$D$72,$A181+1)+(Surface_Engine!L236*12)*INDEX(Surface_Engine!$F$12:$F$72,$A181+1)-(Surface_Engine!L236*12),1000*12*INDEX(Surface_Engine!$C$12:$C$72,$A181+1)/(1+Assumptions!$B$10)^25+INDEX(Surface_Engine!$D$12:$D$72,$A181+1)))*INDEX(Surface_Engine!$B$12:$B$72,$A181+1)+H182</f>
        <v>127.412830034814</v>
      </c>
      <c r="I181" s="48" t="n">
        <f aca="false">E181*(IF($A181&lt;$Q$132,INDEX(Surface_Engine!$D$12:$D$72,$A181+1)+(Surface_Engine!L236*12)*INDEX(Surface_Engine!$F$12:$F$72,$A181+1)-(Surface_Engine!L236*12),1000*12*INDEX(Surface_Engine!$C$12:$C$72,$A181+1)/(1+Assumptions!$B$10)^25+INDEX(Surface_Engine!$D$12:$D$72,$A181+1)))*INDEX(Surface_Engine!$B$12:$B$72,$A181+1)+I182</f>
        <v>170.042814927641</v>
      </c>
      <c r="J181" s="48" t="n">
        <f aca="false">B181*(IF($A181&lt;$Q$132,INDEX(Surface_Engine!$D$12:$D$72,$A181+1)*(1+Assumptions!$B$24)+(Surface_Engine!L236*12)*INDEX(Surface_Engine!$F$12:$F$72,$A181+1)-(Surface_Engine!L236*12),1000*12*INDEX(Surface_Engine!$C$12:$C$72,$A181+1)/(1+Assumptions!$B$10)^25+INDEX(Surface_Engine!$D$12:$D$72,$A181+1)*(1+Assumptions!$B$24)))*INDEX(Surface_Engine!$B$12:$B$72,$A181+1)+J182</f>
        <v>147.481836083619</v>
      </c>
      <c r="K181" s="12" t="n">
        <f aca="false">SQRT((IF(C181&lt;=0,0,MAX(0,(B181/C181)*G181/INDEX(Surface_Engine!$B$12:$B$72,$A181+1)-F181/INDEX(Surface_Engine!$B$12:$B$72,$A181+1))))^2+(MAX(IF(D181&lt;=0,0,MAX(0,(B181/D181)*H181/INDEX(Surface_Engine!$B$12:$B$72,$A181+1)-F181/INDEX(Surface_Engine!$B$12:$B$72,$A181+1))),IF(E181&lt;=0,0,MAX(0,(B181/E181)*I181/INDEX(Surface_Engine!$B$12:$B$72,$A181+1)-F181/INDEX(Surface_Engine!$B$12:$B$72,$A181+1))),IF($A181&lt;$Q$132,MAX(0,-Assumptions!$B$22*(F181/INDEX(Surface_Engine!$B$12:$B$72,$A181+1))),0)))^2+(MAX(0,J181/INDEX(Surface_Engine!$B$12:$B$72,$A181+1)-(F181/INDEX(Surface_Engine!$B$12:$B$72,$A181+1))))^2+2*Assumptions!$B$26*(IF(C181&lt;=0,0,MAX(0,(B181/C181)*G181/INDEX(Surface_Engine!$B$12:$B$72,$A181+1)-F181/INDEX(Surface_Engine!$B$12:$B$72,$A181+1))))*(MAX(IF(D181&lt;=0,0,MAX(0,(B181/D181)*H181/INDEX(Surface_Engine!$B$12:$B$72,$A181+1)-F181/INDEX(Surface_Engine!$B$12:$B$72,$A181+1))),IF(E181&lt;=0,0,MAX(0,(B181/E181)*I181/INDEX(Surface_Engine!$B$12:$B$72,$A181+1)-F181/INDEX(Surface_Engine!$B$12:$B$72,$A181+1))),IF($A181&lt;$Q$132,MAX(0,-Assumptions!$B$22*(F181/INDEX(Surface_Engine!$B$12:$B$72,$A181+1))),0)))+2*Assumptions!$B$27*(IF(C181&lt;=0,0,MAX(0,(B181/C181)*G181/INDEX(Surface_Engine!$B$12:$B$72,$A181+1)-F181/INDEX(Surface_Engine!$B$12:$B$72,$A181+1))))*(MAX(0,J181/INDEX(Surface_Engine!$B$12:$B$72,$A181+1)-(F181/INDEX(Surface_Engine!$B$12:$B$72,$A181+1))))+2*Assumptions!$B$28*(MAX(IF(D181&lt;=0,0,MAX(0,(B181/D181)*H181/INDEX(Surface_Engine!$B$12:$B$72,$A181+1)-F181/INDEX(Surface_Engine!$B$12:$B$72,$A181+1))),IF(E181&lt;=0,0,MAX(0,(B181/E181)*I181/INDEX(Surface_Engine!$B$12:$B$72,$A181+1)-F181/INDEX(Surface_Engine!$B$12:$B$72,$A181+1))),IF($A181&lt;$Q$132,MAX(0,-Assumptions!$B$22*(F181/INDEX(Surface_Engine!$B$12:$B$72,$A181+1))),0)))*(MAX(0,J181/INDEX(Surface_Engine!$B$12:$B$72,$A181+1)-(F181/INDEX(Surface_Engine!$B$12:$B$72,$A181+1)))))</f>
        <v>135.712376865487</v>
      </c>
      <c r="L181" s="48" t="n">
        <f aca="false">K181*INDEX(Surface_Engine!$B$12:$B$72,$A181+1)+L182</f>
        <v>73.7604296774123</v>
      </c>
      <c r="M181" s="48" t="n">
        <f aca="false">M180+B180*(IF($A180&lt;$Q$132,(Surface_Engine!L236*12)-(Surface_Engine!L236*12)*INDEX(Surface_Engine!$F$12:$F$72,$A180+1)-INDEX(Surface_Engine!$D$12:$D$72,$A180+1),-(1000*12*INDEX(Surface_Engine!$C$12:$C$72,$A180+1)/(1+Assumptions!$B$10)^25+INDEX(Surface_Engine!$D$12:$D$72,$A180+1))))*INDEX(Surface_Engine!$B$12:$B$72,$A180+1)</f>
        <v>1130.13347663111</v>
      </c>
      <c r="N181" s="12" t="n">
        <f aca="false">IF(B181&lt;=0,0,MAX(0,(K181+Assumptions!$B$29*L181/INDEX(Surface_Engine!$B$12:$B$72,$A181+1)-(M181/INDEX(Surface_Engine!$B$12:$B$72,$A181+1)-(F181/INDEX(Surface_Engine!$B$12:$B$72,$A181+1))))/B181))</f>
        <v>0</v>
      </c>
    </row>
    <row r="182" customFormat="false" ht="15" hidden="false" customHeight="true" outlineLevel="0" collapsed="false">
      <c r="A182" s="1" t="n">
        <v>48</v>
      </c>
      <c r="B182" s="32" t="n">
        <f aca="false">INDEX(Surface_Engine!$G$12:$G$72,$A182+1)*IF($A182&lt;$Q$132,INDEX(Surface_Engine!$E$12:$E$72,$A182+1),INDEX(Surface_Engine!$E$12:$E$72,$Q$132+1))</f>
        <v>0.00887836557809715</v>
      </c>
      <c r="C182" s="32" t="n">
        <f aca="false">INDEX(Panel_Reserving!$B$8:$B$68,$A182+1)*IF($A182&lt;$Q$132,INDEX(Surface_Engine!$E$12:$E$72,$A182+1),INDEX(Surface_Engine!$E$12:$E$72,$Q$132+1))</f>
        <v>0.0234179032491832</v>
      </c>
      <c r="D182" s="32" t="n">
        <f aca="false">INDEX(Surface_Engine!$G$12:$G$72,$A182+1)*IF($A182&lt;$Q$132,INDEX(Surface_Engine!$Y$12:$Y$72,$A182+1),INDEX(Surface_Engine!$Y$12:$Y$72,$Q$132+1))</f>
        <v>0.0076809572861745</v>
      </c>
      <c r="E182" s="32" t="n">
        <f aca="false">INDEX(Surface_Engine!$G$12:$G$72,$A182+1)*IF($A182&lt;$Q$132,INDEX(Surface_Engine!$Z$12:$Z$72,$A182+1),INDEX(Surface_Engine!$Z$12:$Z$72,$Q$132+1))</f>
        <v>0.0102508640450355</v>
      </c>
      <c r="F182" s="48" t="n">
        <f aca="false">B182*(IF($A182&lt;$Q$132,INDEX(Surface_Engine!$D$12:$D$72,$A182+1)+(Surface_Engine!L236*12)*INDEX(Surface_Engine!$F$12:$F$72,$A182+1)-(Surface_Engine!L236*12),1000*12*INDEX(Surface_Engine!$C$12:$C$72,$A182+1)/(1+Assumptions!$B$10)^25+INDEX(Surface_Engine!$D$12:$D$72,$A182+1)))*INDEX(Surface_Engine!$B$12:$B$72,$A182+1)+F183</f>
        <v>88.6440115014199</v>
      </c>
      <c r="G182" s="48" t="n">
        <f aca="false">C182*(IF($A182&lt;$Q$132,INDEX(Surface_Engine!$D$12:$D$72,$A182+1)+(Surface_Engine!L236*12)*INDEX(Surface_Engine!$F$12:$F$72,$A182+1)-(Surface_Engine!L236*12),1000*12*INDEX(Surface_Engine!$C$12:$C$72,$A182+1)/(1+Assumptions!$B$10)^25+INDEX(Surface_Engine!$D$12:$D$72,$A182+1)))*INDEX(Surface_Engine!$B$12:$B$72,$A182+1)+G183</f>
        <v>283.505767213835</v>
      </c>
      <c r="H182" s="48" t="n">
        <f aca="false">D182*(IF($A182&lt;$Q$132,INDEX(Surface_Engine!$D$12:$D$72,$A182+1)+(Surface_Engine!L236*12)*INDEX(Surface_Engine!$F$12:$F$72,$A182+1)-(Surface_Engine!L236*12),1000*12*INDEX(Surface_Engine!$C$12:$C$72,$A182+1)/(1+Assumptions!$B$10)^25+INDEX(Surface_Engine!$D$12:$D$72,$A182+1)))*INDEX(Surface_Engine!$B$12:$B$72,$A182+1)+H183</f>
        <v>76.6887621407784</v>
      </c>
      <c r="I182" s="48" t="n">
        <f aca="false">E182*(IF($A182&lt;$Q$132,INDEX(Surface_Engine!$D$12:$D$72,$A182+1)+(Surface_Engine!L236*12)*INDEX(Surface_Engine!$F$12:$F$72,$A182+1)-(Surface_Engine!L236*12),1000*12*INDEX(Surface_Engine!$C$12:$C$72,$A182+1)/(1+Assumptions!$B$10)^25+INDEX(Surface_Engine!$D$12:$D$72,$A182+1)))*INDEX(Surface_Engine!$B$12:$B$72,$A182+1)+I183</f>
        <v>102.347408688522</v>
      </c>
      <c r="J182" s="48" t="n">
        <f aca="false">B182*(IF($A182&lt;$Q$132,INDEX(Surface_Engine!$D$12:$D$72,$A182+1)*(1+Assumptions!$B$24)+(Surface_Engine!L236*12)*INDEX(Surface_Engine!$F$12:$F$72,$A182+1)-(Surface_Engine!L236*12),1000*12*INDEX(Surface_Engine!$C$12:$C$72,$A182+1)/(1+Assumptions!$B$10)^25+INDEX(Surface_Engine!$D$12:$D$72,$A182+1)*(1+Assumptions!$B$24)))*INDEX(Surface_Engine!$B$12:$B$72,$A182+1)+J183</f>
        <v>88.7686717234562</v>
      </c>
      <c r="K182" s="12" t="n">
        <f aca="false">SQRT((IF(C182&lt;=0,0,MAX(0,(B182/C182)*G182/INDEX(Surface_Engine!$B$12:$B$72,$A182+1)-F182/INDEX(Surface_Engine!$B$12:$B$72,$A182+1))))^2+(MAX(IF(D182&lt;=0,0,MAX(0,(B182/D182)*H182/INDEX(Surface_Engine!$B$12:$B$72,$A182+1)-F182/INDEX(Surface_Engine!$B$12:$B$72,$A182+1))),IF(E182&lt;=0,0,MAX(0,(B182/E182)*I182/INDEX(Surface_Engine!$B$12:$B$72,$A182+1)-F182/INDEX(Surface_Engine!$B$12:$B$72,$A182+1))),IF($A182&lt;$Q$132,MAX(0,-Assumptions!$B$22*(F182/INDEX(Surface_Engine!$B$12:$B$72,$A182+1))),0)))^2+(MAX(0,J182/INDEX(Surface_Engine!$B$12:$B$72,$A182+1)-(F182/INDEX(Surface_Engine!$B$12:$B$72,$A182+1))))^2+2*Assumptions!$B$26*(IF(C182&lt;=0,0,MAX(0,(B182/C182)*G182/INDEX(Surface_Engine!$B$12:$B$72,$A182+1)-F182/INDEX(Surface_Engine!$B$12:$B$72,$A182+1))))*(MAX(IF(D182&lt;=0,0,MAX(0,(B182/D182)*H182/INDEX(Surface_Engine!$B$12:$B$72,$A182+1)-F182/INDEX(Surface_Engine!$B$12:$B$72,$A182+1))),IF(E182&lt;=0,0,MAX(0,(B182/E182)*I182/INDEX(Surface_Engine!$B$12:$B$72,$A182+1)-F182/INDEX(Surface_Engine!$B$12:$B$72,$A182+1))),IF($A182&lt;$Q$132,MAX(0,-Assumptions!$B$22*(F182/INDEX(Surface_Engine!$B$12:$B$72,$A182+1))),0)))+2*Assumptions!$B$27*(IF(C182&lt;=0,0,MAX(0,(B182/C182)*G182/INDEX(Surface_Engine!$B$12:$B$72,$A182+1)-F182/INDEX(Surface_Engine!$B$12:$B$72,$A182+1))))*(MAX(0,J182/INDEX(Surface_Engine!$B$12:$B$72,$A182+1)-(F182/INDEX(Surface_Engine!$B$12:$B$72,$A182+1))))+2*Assumptions!$B$28*(MAX(IF(D182&lt;=0,0,MAX(0,(B182/D182)*H182/INDEX(Surface_Engine!$B$12:$B$72,$A182+1)-F182/INDEX(Surface_Engine!$B$12:$B$72,$A182+1))),IF(E182&lt;=0,0,MAX(0,(B182/E182)*I182/INDEX(Surface_Engine!$B$12:$B$72,$A182+1)-F182/INDEX(Surface_Engine!$B$12:$B$72,$A182+1))),IF($A182&lt;$Q$132,MAX(0,-Assumptions!$B$22*(F182/INDEX(Surface_Engine!$B$12:$B$72,$A182+1))),0)))*(MAX(0,J182/INDEX(Surface_Engine!$B$12:$B$72,$A182+1)-(F182/INDEX(Surface_Engine!$B$12:$B$72,$A182+1)))))</f>
        <v>86.1144881221265</v>
      </c>
      <c r="L182" s="48" t="n">
        <f aca="false">K182*INDEX(Surface_Engine!$B$12:$B$72,$A182+1)+L183</f>
        <v>43.0349890764018</v>
      </c>
      <c r="M182" s="48" t="n">
        <f aca="false">M181+B181*(IF($A181&lt;$Q$132,(Surface_Engine!L236*12)-(Surface_Engine!L236*12)*INDEX(Surface_Engine!$F$12:$F$72,$A181+1)-INDEX(Surface_Engine!$D$12:$D$72,$A181+1),-(1000*12*INDEX(Surface_Engine!$C$12:$C$72,$A181+1)/(1+Assumptions!$B$10)^25+INDEX(Surface_Engine!$D$12:$D$72,$A181+1))))*INDEX(Surface_Engine!$B$12:$B$72,$A181+1)</f>
        <v>1071.50187622082</v>
      </c>
      <c r="N182" s="12" t="n">
        <f aca="false">IF(B182&lt;=0,0,MAX(0,(K182+Assumptions!$B$29*L182/INDEX(Surface_Engine!$B$12:$B$72,$A182+1)-(M182/INDEX(Surface_Engine!$B$12:$B$72,$A182+1)-(F182/INDEX(Surface_Engine!$B$12:$B$72,$A182+1))))/B182))</f>
        <v>0</v>
      </c>
    </row>
    <row r="183" customFormat="false" ht="15" hidden="false" customHeight="true" outlineLevel="0" collapsed="false">
      <c r="A183" s="1" t="n">
        <v>49</v>
      </c>
      <c r="B183" s="32" t="n">
        <f aca="false">INDEX(Surface_Engine!$G$12:$G$72,$A183+1)*IF($A183&lt;$Q$132,INDEX(Surface_Engine!$E$12:$E$72,$A183+1),INDEX(Surface_Engine!$E$12:$E$72,$Q$132+1))</f>
        <v>0.00548959476931843</v>
      </c>
      <c r="C183" s="32" t="n">
        <f aca="false">INDEX(Panel_Reserving!$B$8:$B$68,$A183+1)*IF($A183&lt;$Q$132,INDEX(Surface_Engine!$E$12:$E$72,$A183+1),INDEX(Surface_Engine!$E$12:$E$72,$Q$132+1))</f>
        <v>0.0162672261354215</v>
      </c>
      <c r="D183" s="32" t="n">
        <f aca="false">INDEX(Surface_Engine!$G$12:$G$72,$A183+1)*IF($A183&lt;$Q$132,INDEX(Surface_Engine!$Y$12:$Y$72,$A183+1),INDEX(Surface_Engine!$Y$12:$Y$72,$Q$132+1))</f>
        <v>0.00474922355591702</v>
      </c>
      <c r="E183" s="32" t="n">
        <f aca="false">INDEX(Surface_Engine!$G$12:$G$72,$A183+1)*IF($A183&lt;$Q$132,INDEX(Surface_Engine!$Z$12:$Z$72,$A183+1),INDEX(Surface_Engine!$Z$12:$Z$72,$Q$132+1))</f>
        <v>0.00633822623630708</v>
      </c>
      <c r="F183" s="48" t="n">
        <f aca="false">B183*(IF($A183&lt;$Q$132,INDEX(Surface_Engine!$D$12:$D$72,$A183+1)+(Surface_Engine!L236*12)*INDEX(Surface_Engine!$F$12:$F$72,$A183+1)-(Surface_Engine!L236*12),1000*12*INDEX(Surface_Engine!$C$12:$C$72,$A183+1)/(1+Assumptions!$B$10)^25+INDEX(Surface_Engine!$D$12:$D$72,$A183+1)))*INDEX(Surface_Engine!$B$12:$B$72,$A183+1)+F184</f>
        <v>51.3034740638362</v>
      </c>
      <c r="G183" s="48" t="n">
        <f aca="false">C183*(IF($A183&lt;$Q$132,INDEX(Surface_Engine!$D$12:$D$72,$A183+1)+(Surface_Engine!L236*12)*INDEX(Surface_Engine!$F$12:$F$72,$A183+1)-(Surface_Engine!L236*12),1000*12*INDEX(Surface_Engine!$C$12:$C$72,$A183+1)/(1+Assumptions!$B$10)^25+INDEX(Surface_Engine!$D$12:$D$72,$A183+1)))*INDEX(Surface_Engine!$B$12:$B$72,$A183+1)+G184</f>
        <v>185.014993738245</v>
      </c>
      <c r="H183" s="48" t="n">
        <f aca="false">D183*(IF($A183&lt;$Q$132,INDEX(Surface_Engine!$D$12:$D$72,$A183+1)+(Surface_Engine!L236*12)*INDEX(Surface_Engine!$F$12:$F$72,$A183+1)-(Surface_Engine!L236*12),1000*12*INDEX(Surface_Engine!$C$12:$C$72,$A183+1)/(1+Assumptions!$B$10)^25+INDEX(Surface_Engine!$D$12:$D$72,$A183+1)))*INDEX(Surface_Engine!$B$12:$B$72,$A183+1)+H184</f>
        <v>44.3842720206103</v>
      </c>
      <c r="I183" s="48" t="n">
        <f aca="false">E183*(IF($A183&lt;$Q$132,INDEX(Surface_Engine!$D$12:$D$72,$A183+1)+(Surface_Engine!L236*12)*INDEX(Surface_Engine!$F$12:$F$72,$A183+1)-(Surface_Engine!L236*12),1000*12*INDEX(Surface_Engine!$C$12:$C$72,$A183+1)/(1+Assumptions!$B$10)^25+INDEX(Surface_Engine!$D$12:$D$72,$A183+1)))*INDEX(Surface_Engine!$B$12:$B$72,$A183+1)+I184</f>
        <v>59.2344314998461</v>
      </c>
      <c r="J183" s="48" t="n">
        <f aca="false">B183*(IF($A183&lt;$Q$132,INDEX(Surface_Engine!$D$12:$D$72,$A183+1)*(1+Assumptions!$B$24)+(Surface_Engine!L236*12)*INDEX(Surface_Engine!$F$12:$F$72,$A183+1)-(Surface_Engine!L236*12),1000*12*INDEX(Surface_Engine!$C$12:$C$72,$A183+1)/(1+Assumptions!$B$10)^25+INDEX(Surface_Engine!$D$12:$D$72,$A183+1)*(1+Assumptions!$B$24)))*INDEX(Surface_Engine!$B$12:$B$72,$A183+1)+J184</f>
        <v>51.375937814599</v>
      </c>
      <c r="K183" s="12" t="n">
        <f aca="false">SQRT((IF(C183&lt;=0,0,MAX(0,(B183/C183)*G183/INDEX(Surface_Engine!$B$12:$B$72,$A183+1)-F183/INDEX(Surface_Engine!$B$12:$B$72,$A183+1))))^2+(MAX(IF(D183&lt;=0,0,MAX(0,(B183/D183)*H183/INDEX(Surface_Engine!$B$12:$B$72,$A183+1)-F183/INDEX(Surface_Engine!$B$12:$B$72,$A183+1))),IF(E183&lt;=0,0,MAX(0,(B183/E183)*I183/INDEX(Surface_Engine!$B$12:$B$72,$A183+1)-F183/INDEX(Surface_Engine!$B$12:$B$72,$A183+1))),IF($A183&lt;$Q$132,MAX(0,-Assumptions!$B$22*(F183/INDEX(Surface_Engine!$B$12:$B$72,$A183+1))),0)))^2+(MAX(0,J183/INDEX(Surface_Engine!$B$12:$B$72,$A183+1)-(F183/INDEX(Surface_Engine!$B$12:$B$72,$A183+1))))^2+2*Assumptions!$B$26*(IF(C183&lt;=0,0,MAX(0,(B183/C183)*G183/INDEX(Surface_Engine!$B$12:$B$72,$A183+1)-F183/INDEX(Surface_Engine!$B$12:$B$72,$A183+1))))*(MAX(IF(D183&lt;=0,0,MAX(0,(B183/D183)*H183/INDEX(Surface_Engine!$B$12:$B$72,$A183+1)-F183/INDEX(Surface_Engine!$B$12:$B$72,$A183+1))),IF(E183&lt;=0,0,MAX(0,(B183/E183)*I183/INDEX(Surface_Engine!$B$12:$B$72,$A183+1)-F183/INDEX(Surface_Engine!$B$12:$B$72,$A183+1))),IF($A183&lt;$Q$132,MAX(0,-Assumptions!$B$22*(F183/INDEX(Surface_Engine!$B$12:$B$72,$A183+1))),0)))+2*Assumptions!$B$27*(IF(C183&lt;=0,0,MAX(0,(B183/C183)*G183/INDEX(Surface_Engine!$B$12:$B$72,$A183+1)-F183/INDEX(Surface_Engine!$B$12:$B$72,$A183+1))))*(MAX(0,J183/INDEX(Surface_Engine!$B$12:$B$72,$A183+1)-(F183/INDEX(Surface_Engine!$B$12:$B$72,$A183+1))))+2*Assumptions!$B$28*(MAX(IF(D183&lt;=0,0,MAX(0,(B183/D183)*H183/INDEX(Surface_Engine!$B$12:$B$72,$A183+1)-F183/INDEX(Surface_Engine!$B$12:$B$72,$A183+1))),IF(E183&lt;=0,0,MAX(0,(B183/E183)*I183/INDEX(Surface_Engine!$B$12:$B$72,$A183+1)-F183/INDEX(Surface_Engine!$B$12:$B$72,$A183+1))),IF($A183&lt;$Q$132,MAX(0,-Assumptions!$B$22*(F183/INDEX(Surface_Engine!$B$12:$B$72,$A183+1))),0)))*(MAX(0,J183/INDEX(Surface_Engine!$B$12:$B$72,$A183+1)-(F183/INDEX(Surface_Engine!$B$12:$B$72,$A183+1)))))</f>
        <v>52.5403160757717</v>
      </c>
      <c r="L183" s="48" t="n">
        <f aca="false">K183*INDEX(Surface_Engine!$B$12:$B$72,$A183+1)+L184</f>
        <v>24.1626837934459</v>
      </c>
      <c r="M183" s="48" t="n">
        <f aca="false">M182+B182*(IF($A182&lt;$Q$132,(Surface_Engine!L236*12)-(Surface_Engine!L236*12)*INDEX(Surface_Engine!$F$12:$F$72,$A182+1)-INDEX(Surface_Engine!$D$12:$D$72,$A182+1),-(1000*12*INDEX(Surface_Engine!$C$12:$C$72,$A182+1)/(1+Assumptions!$B$10)^25+INDEX(Surface_Engine!$D$12:$D$72,$A182+1))))*INDEX(Surface_Engine!$B$12:$B$72,$A182+1)</f>
        <v>1034.16133878323</v>
      </c>
      <c r="N183" s="12" t="n">
        <f aca="false">IF(B183&lt;=0,0,MAX(0,(K183+Assumptions!$B$29*L183/INDEX(Surface_Engine!$B$12:$B$72,$A183+1)-(M183/INDEX(Surface_Engine!$B$12:$B$72,$A183+1)-(F183/INDEX(Surface_Engine!$B$12:$B$72,$A183+1))))/B183))</f>
        <v>0</v>
      </c>
    </row>
    <row r="184" customFormat="false" ht="15" hidden="false" customHeight="true" outlineLevel="0" collapsed="false">
      <c r="A184" s="1" t="n">
        <v>50</v>
      </c>
      <c r="B184" s="32" t="n">
        <f aca="false">INDEX(Surface_Engine!$G$12:$G$72,$A184+1)*IF($A184&lt;$Q$132,INDEX(Surface_Engine!$E$12:$E$72,$A184+1),INDEX(Surface_Engine!$E$12:$E$72,$Q$132+1))</f>
        <v>0.00323788211391121</v>
      </c>
      <c r="C184" s="32" t="n">
        <f aca="false">INDEX(Panel_Reserving!$B$8:$B$68,$A184+1)*IF($A184&lt;$Q$132,INDEX(Surface_Engine!$E$12:$E$72,$A184+1),INDEX(Surface_Engine!$E$12:$E$72,$Q$132+1))</f>
        <v>0.0109292555934469</v>
      </c>
      <c r="D184" s="32" t="n">
        <f aca="false">INDEX(Surface_Engine!$G$12:$G$72,$A184+1)*IF($A184&lt;$Q$132,INDEX(Surface_Engine!$Y$12:$Y$72,$A184+1),INDEX(Surface_Engine!$Y$12:$Y$72,$Q$132+1))</f>
        <v>0.00280119510689834</v>
      </c>
      <c r="E184" s="32" t="n">
        <f aca="false">INDEX(Surface_Engine!$G$12:$G$72,$A184+1)*IF($A184&lt;$Q$132,INDEX(Surface_Engine!$Z$12:$Z$72,$A184+1),INDEX(Surface_Engine!$Z$12:$Z$72,$Q$132+1))</f>
        <v>0.00373842336763402</v>
      </c>
      <c r="F184" s="48" t="n">
        <f aca="false">B184*(IF($A184&lt;$Q$132,INDEX(Surface_Engine!$D$12:$D$72,$A184+1)+(Surface_Engine!L236*12)*INDEX(Surface_Engine!$F$12:$F$72,$A184+1)-(Surface_Engine!L236*12),1000*12*INDEX(Surface_Engine!$C$12:$C$72,$A184+1)/(1+Assumptions!$B$10)^25+INDEX(Surface_Engine!$D$12:$D$72,$A184+1)))*INDEX(Surface_Engine!$B$12:$B$72,$A184+1)+F185</f>
        <v>28.4960006713253</v>
      </c>
      <c r="G184" s="48" t="n">
        <f aca="false">C184*(IF($A184&lt;$Q$132,INDEX(Surface_Engine!$D$12:$D$72,$A184+1)+(Surface_Engine!L236*12)*INDEX(Surface_Engine!$F$12:$F$72,$A184+1)-(Surface_Engine!L236*12),1000*12*INDEX(Surface_Engine!$C$12:$C$72,$A184+1)/(1+Assumptions!$B$10)^25+INDEX(Surface_Engine!$D$12:$D$72,$A184+1)))*INDEX(Surface_Engine!$B$12:$B$72,$A184+1)+G185</f>
        <v>117.429981939706</v>
      </c>
      <c r="H184" s="48" t="n">
        <f aca="false">D184*(IF($A184&lt;$Q$132,INDEX(Surface_Engine!$D$12:$D$72,$A184+1)+(Surface_Engine!L236*12)*INDEX(Surface_Engine!$F$12:$F$72,$A184+1)-(Surface_Engine!L236*12),1000*12*INDEX(Surface_Engine!$C$12:$C$72,$A184+1)/(1+Assumptions!$B$10)^25+INDEX(Surface_Engine!$D$12:$D$72,$A184+1)))*INDEX(Surface_Engine!$B$12:$B$72,$A184+1)+H185</f>
        <v>24.6527992182723</v>
      </c>
      <c r="I184" s="48" t="n">
        <f aca="false">E184*(IF($A184&lt;$Q$132,INDEX(Surface_Engine!$D$12:$D$72,$A184+1)+(Surface_Engine!L236*12)*INDEX(Surface_Engine!$F$12:$F$72,$A184+1)-(Surface_Engine!L236*12),1000*12*INDEX(Surface_Engine!$C$12:$C$72,$A184+1)/(1+Assumptions!$B$10)^25+INDEX(Surface_Engine!$D$12:$D$72,$A184+1)))*INDEX(Surface_Engine!$B$12:$B$72,$A184+1)+I185</f>
        <v>32.901171520761</v>
      </c>
      <c r="J184" s="48" t="n">
        <f aca="false">B184*(IF($A184&lt;$Q$132,INDEX(Surface_Engine!$D$12:$D$72,$A184+1)*(1+Assumptions!$B$24)+(Surface_Engine!L236*12)*INDEX(Surface_Engine!$F$12:$F$72,$A184+1)-(Surface_Engine!L236*12),1000*12*INDEX(Surface_Engine!$C$12:$C$72,$A184+1)/(1+Assumptions!$B$10)^25+INDEX(Surface_Engine!$D$12:$D$72,$A184+1)*(1+Assumptions!$B$24)))*INDEX(Surface_Engine!$B$12:$B$72,$A184+1)+J185</f>
        <v>28.5364289084186</v>
      </c>
      <c r="K184" s="12" t="n">
        <f aca="false">SQRT((IF(C184&lt;=0,0,MAX(0,(B184/C184)*G184/INDEX(Surface_Engine!$B$12:$B$72,$A184+1)-F184/INDEX(Surface_Engine!$B$12:$B$72,$A184+1))))^2+(MAX(IF(D184&lt;=0,0,MAX(0,(B184/D184)*H184/INDEX(Surface_Engine!$B$12:$B$72,$A184+1)-F184/INDEX(Surface_Engine!$B$12:$B$72,$A184+1))),IF(E184&lt;=0,0,MAX(0,(B184/E184)*I184/INDEX(Surface_Engine!$B$12:$B$72,$A184+1)-F184/INDEX(Surface_Engine!$B$12:$B$72,$A184+1))),IF($A184&lt;$Q$132,MAX(0,-Assumptions!$B$22*(F184/INDEX(Surface_Engine!$B$12:$B$72,$A184+1))),0)))^2+(MAX(0,J184/INDEX(Surface_Engine!$B$12:$B$72,$A184+1)-(F184/INDEX(Surface_Engine!$B$12:$B$72,$A184+1))))^2+2*Assumptions!$B$26*(IF(C184&lt;=0,0,MAX(0,(B184/C184)*G184/INDEX(Surface_Engine!$B$12:$B$72,$A184+1)-F184/INDEX(Surface_Engine!$B$12:$B$72,$A184+1))))*(MAX(IF(D184&lt;=0,0,MAX(0,(B184/D184)*H184/INDEX(Surface_Engine!$B$12:$B$72,$A184+1)-F184/INDEX(Surface_Engine!$B$12:$B$72,$A184+1))),IF(E184&lt;=0,0,MAX(0,(B184/E184)*I184/INDEX(Surface_Engine!$B$12:$B$72,$A184+1)-F184/INDEX(Surface_Engine!$B$12:$B$72,$A184+1))),IF($A184&lt;$Q$132,MAX(0,-Assumptions!$B$22*(F184/INDEX(Surface_Engine!$B$12:$B$72,$A184+1))),0)))+2*Assumptions!$B$27*(IF(C184&lt;=0,0,MAX(0,(B184/C184)*G184/INDEX(Surface_Engine!$B$12:$B$72,$A184+1)-F184/INDEX(Surface_Engine!$B$12:$B$72,$A184+1))))*(MAX(0,J184/INDEX(Surface_Engine!$B$12:$B$72,$A184+1)-(F184/INDEX(Surface_Engine!$B$12:$B$72,$A184+1))))+2*Assumptions!$B$28*(MAX(IF(D184&lt;=0,0,MAX(0,(B184/D184)*H184/INDEX(Surface_Engine!$B$12:$B$72,$A184+1)-F184/INDEX(Surface_Engine!$B$12:$B$72,$A184+1))),IF(E184&lt;=0,0,MAX(0,(B184/E184)*I184/INDEX(Surface_Engine!$B$12:$B$72,$A184+1)-F184/INDEX(Surface_Engine!$B$12:$B$72,$A184+1))),IF($A184&lt;$Q$132,MAX(0,-Assumptions!$B$22*(F184/INDEX(Surface_Engine!$B$12:$B$72,$A184+1))),0)))*(MAX(0,J184/INDEX(Surface_Engine!$B$12:$B$72,$A184+1)-(F184/INDEX(Surface_Engine!$B$12:$B$72,$A184+1)))))</f>
        <v>30.6870842903287</v>
      </c>
      <c r="L184" s="48" t="n">
        <f aca="false">K184*INDEX(Surface_Engine!$B$12:$B$72,$A184+1)+L185</f>
        <v>13.0120172226117</v>
      </c>
      <c r="M184" s="48" t="n">
        <f aca="false">M183+B183*(IF($A183&lt;$Q$132,(Surface_Engine!L236*12)-(Surface_Engine!L236*12)*INDEX(Surface_Engine!$F$12:$F$72,$A183+1)-INDEX(Surface_Engine!$D$12:$D$72,$A183+1),-(1000*12*INDEX(Surface_Engine!$C$12:$C$72,$A183+1)/(1+Assumptions!$B$10)^25+INDEX(Surface_Engine!$D$12:$D$72,$A183+1))))*INDEX(Surface_Engine!$B$12:$B$72,$A183+1)</f>
        <v>1011.35386539072</v>
      </c>
      <c r="N184" s="12" t="n">
        <f aca="false">IF(B184&lt;=0,0,MAX(0,(K184+Assumptions!$B$29*L184/INDEX(Surface_Engine!$B$12:$B$72,$A184+1)-(M184/INDEX(Surface_Engine!$B$12:$B$72,$A184+1)-(F184/INDEX(Surface_Engine!$B$12:$B$72,$A184+1))))/B184))</f>
        <v>0</v>
      </c>
    </row>
    <row r="185" customFormat="false" ht="15" hidden="false" customHeight="true" outlineLevel="0" collapsed="false">
      <c r="A185" s="1" t="n">
        <v>51</v>
      </c>
      <c r="B185" s="32" t="n">
        <f aca="false">INDEX(Surface_Engine!$G$12:$G$72,$A185+1)*IF($A185&lt;$Q$132,INDEX(Surface_Engine!$E$12:$E$72,$A185+1),INDEX(Surface_Engine!$E$12:$E$72,$Q$132+1))</f>
        <v>0.00181130071341496</v>
      </c>
      <c r="C185" s="32" t="n">
        <f aca="false">INDEX(Panel_Reserving!$B$8:$B$68,$A185+1)*IF($A185&lt;$Q$132,INDEX(Surface_Engine!$E$12:$E$72,$A185+1),INDEX(Surface_Engine!$E$12:$E$72,$Q$132+1))</f>
        <v>0.00707699113109504</v>
      </c>
      <c r="D185" s="32" t="n">
        <f aca="false">INDEX(Surface_Engine!$G$12:$G$72,$A185+1)*IF($A185&lt;$Q$132,INDEX(Surface_Engine!$Y$12:$Y$72,$A185+1),INDEX(Surface_Engine!$Y$12:$Y$72,$Q$132+1))</f>
        <v>0.00156701402862704</v>
      </c>
      <c r="E185" s="32" t="n">
        <f aca="false">INDEX(Surface_Engine!$G$12:$G$72,$A185+1)*IF($A185&lt;$Q$132,INDEX(Surface_Engine!$Z$12:$Z$72,$A185+1),INDEX(Surface_Engine!$Z$12:$Z$72,$Q$132+1))</f>
        <v>0.002091308044771</v>
      </c>
      <c r="F185" s="48" t="n">
        <f aca="false">B185*(IF($A185&lt;$Q$132,INDEX(Surface_Engine!$D$12:$D$72,$A185+1)+(Surface_Engine!L236*12)*INDEX(Surface_Engine!$F$12:$F$72,$A185+1)-(Surface_Engine!L236*12),1000*12*INDEX(Surface_Engine!$C$12:$C$72,$A185+1)/(1+Assumptions!$B$10)^25+INDEX(Surface_Engine!$D$12:$D$72,$A185+1)))*INDEX(Surface_Engine!$B$12:$B$72,$A185+1)+F186</f>
        <v>15.2138433490275</v>
      </c>
      <c r="G185" s="48" t="n">
        <f aca="false">C185*(IF($A185&lt;$Q$132,INDEX(Surface_Engine!$D$12:$D$72,$A185+1)+(Surface_Engine!L236*12)*INDEX(Surface_Engine!$F$12:$F$72,$A185+1)-(Surface_Engine!L236*12),1000*12*INDEX(Surface_Engine!$C$12:$C$72,$A185+1)/(1+Assumptions!$B$10)^25+INDEX(Surface_Engine!$D$12:$D$72,$A185+1)))*INDEX(Surface_Engine!$B$12:$B$72,$A185+1)+G186</f>
        <v>72.5969438299859</v>
      </c>
      <c r="H185" s="48" t="n">
        <f aca="false">D185*(IF($A185&lt;$Q$132,INDEX(Surface_Engine!$D$12:$D$72,$A185+1)+(Surface_Engine!L236*12)*INDEX(Surface_Engine!$F$12:$F$72,$A185+1)-(Surface_Engine!L236*12),1000*12*INDEX(Surface_Engine!$C$12:$C$72,$A185+1)/(1+Assumptions!$B$10)^25+INDEX(Surface_Engine!$D$12:$D$72,$A185+1)))*INDEX(Surface_Engine!$B$12:$B$72,$A185+1)+H186</f>
        <v>13.1619812109016</v>
      </c>
      <c r="I185" s="48" t="n">
        <f aca="false">E185*(IF($A185&lt;$Q$132,INDEX(Surface_Engine!$D$12:$D$72,$A185+1)+(Surface_Engine!L236*12)*INDEX(Surface_Engine!$F$12:$F$72,$A185+1)-(Surface_Engine!L236*12),1000*12*INDEX(Surface_Engine!$C$12:$C$72,$A185+1)/(1+Assumptions!$B$10)^25+INDEX(Surface_Engine!$D$12:$D$72,$A185+1)))*INDEX(Surface_Engine!$B$12:$B$72,$A185+1)+I186</f>
        <v>17.565737567519</v>
      </c>
      <c r="J185" s="48" t="n">
        <f aca="false">B185*(IF($A185&lt;$Q$132,INDEX(Surface_Engine!$D$12:$D$72,$A185+1)*(1+Assumptions!$B$24)+(Surface_Engine!L236*12)*INDEX(Surface_Engine!$F$12:$F$72,$A185+1)-(Surface_Engine!L236*12),1000*12*INDEX(Surface_Engine!$C$12:$C$72,$A185+1)/(1+Assumptions!$B$10)^25+INDEX(Surface_Engine!$D$12:$D$72,$A185+1)*(1+Assumptions!$B$24)))*INDEX(Surface_Engine!$B$12:$B$72,$A185+1)+J186</f>
        <v>15.2355252272272</v>
      </c>
      <c r="K185" s="12" t="n">
        <f aca="false">SQRT((IF(C185&lt;=0,0,MAX(0,(B185/C185)*G185/INDEX(Surface_Engine!$B$12:$B$72,$A185+1)-F185/INDEX(Surface_Engine!$B$12:$B$72,$A185+1))))^2+(MAX(IF(D185&lt;=0,0,MAX(0,(B185/D185)*H185/INDEX(Surface_Engine!$B$12:$B$72,$A185+1)-F185/INDEX(Surface_Engine!$B$12:$B$72,$A185+1))),IF(E185&lt;=0,0,MAX(0,(B185/E185)*I185/INDEX(Surface_Engine!$B$12:$B$72,$A185+1)-F185/INDEX(Surface_Engine!$B$12:$B$72,$A185+1))),IF($A185&lt;$Q$132,MAX(0,-Assumptions!$B$22*(F185/INDEX(Surface_Engine!$B$12:$B$72,$A185+1))),0)))^2+(MAX(0,J185/INDEX(Surface_Engine!$B$12:$B$72,$A185+1)-(F185/INDEX(Surface_Engine!$B$12:$B$72,$A185+1))))^2+2*Assumptions!$B$26*(IF(C185&lt;=0,0,MAX(0,(B185/C185)*G185/INDEX(Surface_Engine!$B$12:$B$72,$A185+1)-F185/INDEX(Surface_Engine!$B$12:$B$72,$A185+1))))*(MAX(IF(D185&lt;=0,0,MAX(0,(B185/D185)*H185/INDEX(Surface_Engine!$B$12:$B$72,$A185+1)-F185/INDEX(Surface_Engine!$B$12:$B$72,$A185+1))),IF(E185&lt;=0,0,MAX(0,(B185/E185)*I185/INDEX(Surface_Engine!$B$12:$B$72,$A185+1)-F185/INDEX(Surface_Engine!$B$12:$B$72,$A185+1))),IF($A185&lt;$Q$132,MAX(0,-Assumptions!$B$22*(F185/INDEX(Surface_Engine!$B$12:$B$72,$A185+1))),0)))+2*Assumptions!$B$27*(IF(C185&lt;=0,0,MAX(0,(B185/C185)*G185/INDEX(Surface_Engine!$B$12:$B$72,$A185+1)-F185/INDEX(Surface_Engine!$B$12:$B$72,$A185+1))))*(MAX(0,J185/INDEX(Surface_Engine!$B$12:$B$72,$A185+1)-(F185/INDEX(Surface_Engine!$B$12:$B$72,$A185+1))))+2*Assumptions!$B$28*(MAX(IF(D185&lt;=0,0,MAX(0,(B185/D185)*H185/INDEX(Surface_Engine!$B$12:$B$72,$A185+1)-F185/INDEX(Surface_Engine!$B$12:$B$72,$A185+1))),IF(E185&lt;=0,0,MAX(0,(B185/E185)*I185/INDEX(Surface_Engine!$B$12:$B$72,$A185+1)-F185/INDEX(Surface_Engine!$B$12:$B$72,$A185+1))),IF($A185&lt;$Q$132,MAX(0,-Assumptions!$B$22*(F185/INDEX(Surface_Engine!$B$12:$B$72,$A185+1))),0)))*(MAX(0,J185/INDEX(Surface_Engine!$B$12:$B$72,$A185+1)-(F185/INDEX(Surface_Engine!$B$12:$B$72,$A185+1)))))</f>
        <v>16.9525271679687</v>
      </c>
      <c r="L185" s="48" t="n">
        <f aca="false">K185*INDEX(Surface_Engine!$B$12:$B$72,$A185+1)+L186</f>
        <v>6.70818858651429</v>
      </c>
      <c r="M185" s="48" t="n">
        <f aca="false">M184+B184*(IF($A184&lt;$Q$132,(Surface_Engine!L236*12)-(Surface_Engine!L236*12)*INDEX(Surface_Engine!$F$12:$F$72,$A184+1)-INDEX(Surface_Engine!$D$12:$D$72,$A184+1),-(1000*12*INDEX(Surface_Engine!$C$12:$C$72,$A184+1)/(1+Assumptions!$B$10)^25+INDEX(Surface_Engine!$D$12:$D$72,$A184+1))))*INDEX(Surface_Engine!$B$12:$B$72,$A184+1)</f>
        <v>998.071708068426</v>
      </c>
      <c r="N185" s="12" t="n">
        <f aca="false">IF(B185&lt;=0,0,MAX(0,(K185+Assumptions!$B$29*L185/INDEX(Surface_Engine!$B$12:$B$72,$A185+1)-(M185/INDEX(Surface_Engine!$B$12:$B$72,$A185+1)-(F185/INDEX(Surface_Engine!$B$12:$B$72,$A185+1))))/B185))</f>
        <v>0</v>
      </c>
    </row>
    <row r="186" customFormat="false" ht="15" hidden="false" customHeight="true" outlineLevel="0" collapsed="false">
      <c r="A186" s="1" t="n">
        <v>52</v>
      </c>
      <c r="B186" s="32" t="n">
        <f aca="false">INDEX(Surface_Engine!$G$12:$G$72,$A186+1)*IF($A186&lt;$Q$132,INDEX(Surface_Engine!$E$12:$E$72,$A186+1),INDEX(Surface_Engine!$E$12:$E$72,$Q$132+1))</f>
        <v>0.00098129364553318</v>
      </c>
      <c r="C186" s="32" t="n">
        <f aca="false">INDEX(Panel_Reserving!$B$8:$B$68,$A186+1)*IF($A186&lt;$Q$132,INDEX(Surface_Engine!$E$12:$E$72,$A186+1),INDEX(Surface_Engine!$E$12:$E$72,$Q$132+1))</f>
        <v>0.00448263333522314</v>
      </c>
      <c r="D186" s="32" t="n">
        <f aca="false">INDEX(Surface_Engine!$G$12:$G$72,$A186+1)*IF($A186&lt;$Q$132,INDEX(Surface_Engine!$Y$12:$Y$72,$A186+1),INDEX(Surface_Engine!$Y$12:$Y$72,$Q$132+1))</f>
        <v>0.000848948436537599</v>
      </c>
      <c r="E186" s="32" t="n">
        <f aca="false">INDEX(Surface_Engine!$G$12:$G$72,$A186+1)*IF($A186&lt;$Q$132,INDEX(Surface_Engine!$Z$12:$Z$72,$A186+1),INDEX(Surface_Engine!$Z$12:$Z$72,$Q$132+1))</f>
        <v>0.00113299093849363</v>
      </c>
      <c r="F186" s="48" t="n">
        <f aca="false">B186*(IF($A186&lt;$Q$132,INDEX(Surface_Engine!$D$12:$D$72,$A186+1)+(Surface_Engine!L236*12)*INDEX(Surface_Engine!$F$12:$F$72,$A186+1)-(Surface_Engine!L236*12),1000*12*INDEX(Surface_Engine!$C$12:$C$72,$A186+1)/(1+Assumptions!$B$10)^25+INDEX(Surface_Engine!$D$12:$D$72,$A186+1)))*INDEX(Surface_Engine!$B$12:$B$72,$A186+1)+F187</f>
        <v>7.87433868616211</v>
      </c>
      <c r="G186" s="48" t="n">
        <f aca="false">C186*(IF($A186&lt;$Q$132,INDEX(Surface_Engine!$D$12:$D$72,$A186+1)+(Surface_Engine!L236*12)*INDEX(Surface_Engine!$F$12:$F$72,$A186+1)-(Surface_Engine!L236*12),1000*12*INDEX(Surface_Engine!$C$12:$C$72,$A186+1)/(1+Assumptions!$B$10)^25+INDEX(Surface_Engine!$D$12:$D$72,$A186+1)))*INDEX(Surface_Engine!$B$12:$B$72,$A186+1)+G187</f>
        <v>43.9205296812825</v>
      </c>
      <c r="H186" s="48" t="n">
        <f aca="false">D186*(IF($A186&lt;$Q$132,INDEX(Surface_Engine!$D$12:$D$72,$A186+1)+(Surface_Engine!L236*12)*INDEX(Surface_Engine!$F$12:$F$72,$A186+1)-(Surface_Engine!L236*12),1000*12*INDEX(Surface_Engine!$C$12:$C$72,$A186+1)/(1+Assumptions!$B$10)^25+INDEX(Surface_Engine!$D$12:$D$72,$A186+1)))*INDEX(Surface_Engine!$B$12:$B$72,$A186+1)+H187</f>
        <v>6.81234159297205</v>
      </c>
      <c r="I186" s="48" t="n">
        <f aca="false">E186*(IF($A186&lt;$Q$132,INDEX(Surface_Engine!$D$12:$D$72,$A186+1)+(Surface_Engine!L236*12)*INDEX(Surface_Engine!$F$12:$F$72,$A186+1)-(Surface_Engine!L236*12),1000*12*INDEX(Surface_Engine!$C$12:$C$72,$A186+1)/(1+Assumptions!$B$10)^25+INDEX(Surface_Engine!$D$12:$D$72,$A186+1)))*INDEX(Surface_Engine!$B$12:$B$72,$A186+1)+I187</f>
        <v>9.09162554823642</v>
      </c>
      <c r="J186" s="48" t="n">
        <f aca="false">B186*(IF($A186&lt;$Q$132,INDEX(Surface_Engine!$D$12:$D$72,$A186+1)*(1+Assumptions!$B$24)+(Surface_Engine!L236*12)*INDEX(Surface_Engine!$F$12:$F$72,$A186+1)-(Surface_Engine!L236*12),1000*12*INDEX(Surface_Engine!$C$12:$C$72,$A186+1)/(1+Assumptions!$B$10)^25+INDEX(Surface_Engine!$D$12:$D$72,$A186+1)*(1+Assumptions!$B$24)))*INDEX(Surface_Engine!$B$12:$B$72,$A186+1)+J187</f>
        <v>7.88561157162421</v>
      </c>
      <c r="K186" s="12" t="n">
        <f aca="false">SQRT((IF(C186&lt;=0,0,MAX(0,(B186/C186)*G186/INDEX(Surface_Engine!$B$12:$B$72,$A186+1)-F186/INDEX(Surface_Engine!$B$12:$B$72,$A186+1))))^2+(MAX(IF(D186&lt;=0,0,MAX(0,(B186/D186)*H186/INDEX(Surface_Engine!$B$12:$B$72,$A186+1)-F186/INDEX(Surface_Engine!$B$12:$B$72,$A186+1))),IF(E186&lt;=0,0,MAX(0,(B186/E186)*I186/INDEX(Surface_Engine!$B$12:$B$72,$A186+1)-F186/INDEX(Surface_Engine!$B$12:$B$72,$A186+1))),IF($A186&lt;$Q$132,MAX(0,-Assumptions!$B$22*(F186/INDEX(Surface_Engine!$B$12:$B$72,$A186+1))),0)))^2+(MAX(0,J186/INDEX(Surface_Engine!$B$12:$B$72,$A186+1)-(F186/INDEX(Surface_Engine!$B$12:$B$72,$A186+1))))^2+2*Assumptions!$B$26*(IF(C186&lt;=0,0,MAX(0,(B186/C186)*G186/INDEX(Surface_Engine!$B$12:$B$72,$A186+1)-F186/INDEX(Surface_Engine!$B$12:$B$72,$A186+1))))*(MAX(IF(D186&lt;=0,0,MAX(0,(B186/D186)*H186/INDEX(Surface_Engine!$B$12:$B$72,$A186+1)-F186/INDEX(Surface_Engine!$B$12:$B$72,$A186+1))),IF(E186&lt;=0,0,MAX(0,(B186/E186)*I186/INDEX(Surface_Engine!$B$12:$B$72,$A186+1)-F186/INDEX(Surface_Engine!$B$12:$B$72,$A186+1))),IF($A186&lt;$Q$132,MAX(0,-Assumptions!$B$22*(F186/INDEX(Surface_Engine!$B$12:$B$72,$A186+1))),0)))+2*Assumptions!$B$27*(IF(C186&lt;=0,0,MAX(0,(B186/C186)*G186/INDEX(Surface_Engine!$B$12:$B$72,$A186+1)-F186/INDEX(Surface_Engine!$B$12:$B$72,$A186+1))))*(MAX(0,J186/INDEX(Surface_Engine!$B$12:$B$72,$A186+1)-(F186/INDEX(Surface_Engine!$B$12:$B$72,$A186+1))))+2*Assumptions!$B$28*(MAX(IF(D186&lt;=0,0,MAX(0,(B186/D186)*H186/INDEX(Surface_Engine!$B$12:$B$72,$A186+1)-F186/INDEX(Surface_Engine!$B$12:$B$72,$A186+1))),IF(E186&lt;=0,0,MAX(0,(B186/E186)*I186/INDEX(Surface_Engine!$B$12:$B$72,$A186+1)-F186/INDEX(Surface_Engine!$B$12:$B$72,$A186+1))),IF($A186&lt;$Q$132,MAX(0,-Assumptions!$B$22*(F186/INDEX(Surface_Engine!$B$12:$B$72,$A186+1))),0)))*(MAX(0,J186/INDEX(Surface_Engine!$B$12:$B$72,$A186+1)-(F186/INDEX(Surface_Engine!$B$12:$B$72,$A186+1)))))</f>
        <v>9.04941005616248</v>
      </c>
      <c r="L186" s="48" t="n">
        <f aca="false">K186*INDEX(Surface_Engine!$B$12:$B$72,$A186+1)+L187</f>
        <v>3.33592425488603</v>
      </c>
      <c r="M186" s="48" t="n">
        <f aca="false">M185+B185*(IF($A185&lt;$Q$132,(Surface_Engine!L236*12)-(Surface_Engine!L236*12)*INDEX(Surface_Engine!$F$12:$F$72,$A185+1)-INDEX(Surface_Engine!$D$12:$D$72,$A185+1),-(1000*12*INDEX(Surface_Engine!$C$12:$C$72,$A185+1)/(1+Assumptions!$B$10)^25+INDEX(Surface_Engine!$D$12:$D$72,$A185+1))))*INDEX(Surface_Engine!$B$12:$B$72,$A185+1)</f>
        <v>990.73220340556</v>
      </c>
      <c r="N186" s="12" t="n">
        <f aca="false">IF(B186&lt;=0,0,MAX(0,(K186+Assumptions!$B$29*L186/INDEX(Surface_Engine!$B$12:$B$72,$A186+1)-(M186/INDEX(Surface_Engine!$B$12:$B$72,$A186+1)-(F186/INDEX(Surface_Engine!$B$12:$B$72,$A186+1))))/B186))</f>
        <v>0</v>
      </c>
    </row>
    <row r="187" customFormat="false" ht="15" hidden="false" customHeight="true" outlineLevel="0" collapsed="false">
      <c r="A187" s="1" t="n">
        <v>53</v>
      </c>
      <c r="B187" s="32" t="n">
        <f aca="false">INDEX(Surface_Engine!$G$12:$G$72,$A187+1)*IF($A187&lt;$Q$132,INDEX(Surface_Engine!$E$12:$E$72,$A187+1),INDEX(Surface_Engine!$E$12:$E$72,$Q$132+1))</f>
        <v>0.00051438080607146</v>
      </c>
      <c r="C187" s="32" t="n">
        <f aca="false">INDEX(Panel_Reserving!$B$8:$B$68,$A187+1)*IF($A187&lt;$Q$132,INDEX(Surface_Engine!$E$12:$E$72,$A187+1),INDEX(Surface_Engine!$E$12:$E$72,$Q$132+1))</f>
        <v>0.00277631509432384</v>
      </c>
      <c r="D187" s="32" t="n">
        <f aca="false">INDEX(Surface_Engine!$G$12:$G$72,$A187+1)*IF($A187&lt;$Q$132,INDEX(Surface_Engine!$Y$12:$Y$72,$A187+1),INDEX(Surface_Engine!$Y$12:$Y$72,$Q$132+1))</f>
        <v>0.000445007244352476</v>
      </c>
      <c r="E187" s="32" t="n">
        <f aca="false">INDEX(Surface_Engine!$G$12:$G$72,$A187+1)*IF($A187&lt;$Q$132,INDEX(Surface_Engine!$Z$12:$Z$72,$A187+1),INDEX(Surface_Engine!$Z$12:$Z$72,$Q$132+1))</f>
        <v>0.000593898467463692</v>
      </c>
      <c r="F187" s="48" t="n">
        <f aca="false">B187*(IF($A187&lt;$Q$132,INDEX(Surface_Engine!$D$12:$D$72,$A187+1)+(Surface_Engine!L236*12)*INDEX(Surface_Engine!$F$12:$F$72,$A187+1)-(Surface_Engine!L236*12),1000*12*INDEX(Surface_Engine!$C$12:$C$72,$A187+1)/(1+Assumptions!$B$10)^25+INDEX(Surface_Engine!$D$12:$D$72,$A187+1)))*INDEX(Surface_Engine!$B$12:$B$72,$A187+1)+F188</f>
        <v>3.94666393864345</v>
      </c>
      <c r="G187" s="48" t="n">
        <f aca="false">C187*(IF($A187&lt;$Q$132,INDEX(Surface_Engine!$D$12:$D$72,$A187+1)+(Surface_Engine!L236*12)*INDEX(Surface_Engine!$F$12:$F$72,$A187+1)-(Surface_Engine!L236*12),1000*12*INDEX(Surface_Engine!$C$12:$C$72,$A187+1)/(1+Assumptions!$B$10)^25+INDEX(Surface_Engine!$D$12:$D$72,$A187+1)))*INDEX(Surface_Engine!$B$12:$B$72,$A187+1)+G188</f>
        <v>25.9785753709853</v>
      </c>
      <c r="H187" s="48" t="n">
        <f aca="false">D187*(IF($A187&lt;$Q$132,INDEX(Surface_Engine!$D$12:$D$72,$A187+1)+(Surface_Engine!L236*12)*INDEX(Surface_Engine!$F$12:$F$72,$A187+1)-(Surface_Engine!L236*12),1000*12*INDEX(Surface_Engine!$C$12:$C$72,$A187+1)/(1+Assumptions!$B$10)^25+INDEX(Surface_Engine!$D$12:$D$72,$A187+1)))*INDEX(Surface_Engine!$B$12:$B$72,$A187+1)+H188</f>
        <v>3.41438487398968</v>
      </c>
      <c r="I187" s="48" t="n">
        <f aca="false">E187*(IF($A187&lt;$Q$132,INDEX(Surface_Engine!$D$12:$D$72,$A187+1)+(Surface_Engine!L236*12)*INDEX(Surface_Engine!$F$12:$F$72,$A187+1)-(Surface_Engine!L236*12),1000*12*INDEX(Surface_Engine!$C$12:$C$72,$A187+1)/(1+Assumptions!$B$10)^25+INDEX(Surface_Engine!$D$12:$D$72,$A187+1)))*INDEX(Surface_Engine!$B$12:$B$72,$A187+1)+I188</f>
        <v>4.55677513058085</v>
      </c>
      <c r="J187" s="48" t="n">
        <f aca="false">B187*(IF($A187&lt;$Q$132,INDEX(Surface_Engine!$D$12:$D$72,$A187+1)*(1+Assumptions!$B$24)+(Surface_Engine!L236*12)*INDEX(Surface_Engine!$F$12:$F$72,$A187+1)-(Surface_Engine!L236*12),1000*12*INDEX(Surface_Engine!$C$12:$C$72,$A187+1)/(1+Assumptions!$B$10)^25+INDEX(Surface_Engine!$D$12:$D$72,$A187+1)*(1+Assumptions!$B$24)))*INDEX(Surface_Engine!$B$12:$B$72,$A187+1)+J188</f>
        <v>3.95233962219542</v>
      </c>
      <c r="K187" s="12" t="n">
        <f aca="false">SQRT((IF(C187&lt;=0,0,MAX(0,(B187/C187)*G187/INDEX(Surface_Engine!$B$12:$B$72,$A187+1)-F187/INDEX(Surface_Engine!$B$12:$B$72,$A187+1))))^2+(MAX(IF(D187&lt;=0,0,MAX(0,(B187/D187)*H187/INDEX(Surface_Engine!$B$12:$B$72,$A187+1)-F187/INDEX(Surface_Engine!$B$12:$B$72,$A187+1))),IF(E187&lt;=0,0,MAX(0,(B187/E187)*I187/INDEX(Surface_Engine!$B$12:$B$72,$A187+1)-F187/INDEX(Surface_Engine!$B$12:$B$72,$A187+1))),IF($A187&lt;$Q$132,MAX(0,-Assumptions!$B$22*(F187/INDEX(Surface_Engine!$B$12:$B$72,$A187+1))),0)))^2+(MAX(0,J187/INDEX(Surface_Engine!$B$12:$B$72,$A187+1)-(F187/INDEX(Surface_Engine!$B$12:$B$72,$A187+1))))^2+2*Assumptions!$B$26*(IF(C187&lt;=0,0,MAX(0,(B187/C187)*G187/INDEX(Surface_Engine!$B$12:$B$72,$A187+1)-F187/INDEX(Surface_Engine!$B$12:$B$72,$A187+1))))*(MAX(IF(D187&lt;=0,0,MAX(0,(B187/D187)*H187/INDEX(Surface_Engine!$B$12:$B$72,$A187+1)-F187/INDEX(Surface_Engine!$B$12:$B$72,$A187+1))),IF(E187&lt;=0,0,MAX(0,(B187/E187)*I187/INDEX(Surface_Engine!$B$12:$B$72,$A187+1)-F187/INDEX(Surface_Engine!$B$12:$B$72,$A187+1))),IF($A187&lt;$Q$132,MAX(0,-Assumptions!$B$22*(F187/INDEX(Surface_Engine!$B$12:$B$72,$A187+1))),0)))+2*Assumptions!$B$27*(IF(C187&lt;=0,0,MAX(0,(B187/C187)*G187/INDEX(Surface_Engine!$B$12:$B$72,$A187+1)-F187/INDEX(Surface_Engine!$B$12:$B$72,$A187+1))))*(MAX(0,J187/INDEX(Surface_Engine!$B$12:$B$72,$A187+1)-(F187/INDEX(Surface_Engine!$B$12:$B$72,$A187+1))))+2*Assumptions!$B$28*(MAX(IF(D187&lt;=0,0,MAX(0,(B187/D187)*H187/INDEX(Surface_Engine!$B$12:$B$72,$A187+1)-F187/INDEX(Surface_Engine!$B$12:$B$72,$A187+1))),IF(E187&lt;=0,0,MAX(0,(B187/E187)*I187/INDEX(Surface_Engine!$B$12:$B$72,$A187+1)-F187/INDEX(Surface_Engine!$B$12:$B$72,$A187+1))),IF($A187&lt;$Q$132,MAX(0,-Assumptions!$B$22*(F187/INDEX(Surface_Engine!$B$12:$B$72,$A187+1))),0)))*(MAX(0,J187/INDEX(Surface_Engine!$B$12:$B$72,$A187+1)-(F187/INDEX(Surface_Engine!$B$12:$B$72,$A187+1)))))</f>
        <v>4.65321289414211</v>
      </c>
      <c r="L187" s="48" t="n">
        <f aca="false">K187*INDEX(Surface_Engine!$B$12:$B$72,$A187+1)+L188</f>
        <v>1.59276365054925</v>
      </c>
      <c r="M187" s="48" t="n">
        <f aca="false">M186+B186*(IF($A186&lt;$Q$132,(Surface_Engine!L236*12)-(Surface_Engine!L236*12)*INDEX(Surface_Engine!$F$12:$F$72,$A186+1)-INDEX(Surface_Engine!$D$12:$D$72,$A186+1),-(1000*12*INDEX(Surface_Engine!$C$12:$C$72,$A186+1)/(1+Assumptions!$B$10)^25+INDEX(Surface_Engine!$D$12:$D$72,$A186+1))))*INDEX(Surface_Engine!$B$12:$B$72,$A186+1)</f>
        <v>986.804528658042</v>
      </c>
      <c r="N187" s="12" t="n">
        <f aca="false">IF(B187&lt;=0,0,MAX(0,(K187+Assumptions!$B$29*L187/INDEX(Surface_Engine!$B$12:$B$72,$A187+1)-(M187/INDEX(Surface_Engine!$B$12:$B$72,$A187+1)-(F187/INDEX(Surface_Engine!$B$12:$B$72,$A187+1))))/B187))</f>
        <v>0</v>
      </c>
    </row>
    <row r="188" customFormat="false" ht="15" hidden="false" customHeight="true" outlineLevel="0" collapsed="false">
      <c r="A188" s="1" t="n">
        <v>54</v>
      </c>
      <c r="B188" s="32" t="n">
        <f aca="false">INDEX(Surface_Engine!$G$12:$G$72,$A188+1)*IF($A188&lt;$Q$132,INDEX(Surface_Engine!$E$12:$E$72,$A188+1),INDEX(Surface_Engine!$E$12:$E$72,$Q$132+1))</f>
        <v>0.000260655778712276</v>
      </c>
      <c r="C188" s="32" t="n">
        <f aca="false">INDEX(Panel_Reserving!$B$8:$B$68,$A188+1)*IF($A188&lt;$Q$132,INDEX(Surface_Engine!$E$12:$E$72,$A188+1),INDEX(Surface_Engine!$E$12:$E$72,$Q$132+1))</f>
        <v>0.00168075225068668</v>
      </c>
      <c r="D188" s="32" t="n">
        <f aca="false">INDEX(Surface_Engine!$G$12:$G$72,$A188+1)*IF($A188&lt;$Q$132,INDEX(Surface_Engine!$Y$12:$Y$72,$A188+1),INDEX(Surface_Engine!$Y$12:$Y$72,$Q$132+1))</f>
        <v>0.000225501629221337</v>
      </c>
      <c r="E188" s="32" t="n">
        <f aca="false">INDEX(Surface_Engine!$G$12:$G$72,$A188+1)*IF($A188&lt;$Q$132,INDEX(Surface_Engine!$Z$12:$Z$72,$A188+1),INDEX(Surface_Engine!$Z$12:$Z$72,$Q$132+1))</f>
        <v>0.000300950318685239</v>
      </c>
      <c r="F188" s="48" t="n">
        <f aca="false">B188*(IF($A188&lt;$Q$132,INDEX(Surface_Engine!$D$12:$D$72,$A188+1)+(Surface_Engine!L236*12)*INDEX(Surface_Engine!$F$12:$F$72,$A188+1)-(Surface_Engine!L236*12),1000*12*INDEX(Surface_Engine!$C$12:$C$72,$A188+1)/(1+Assumptions!$B$10)^25+INDEX(Surface_Engine!$D$12:$D$72,$A188+1)))*INDEX(Surface_Engine!$B$12:$B$72,$A188+1)+F189</f>
        <v>1.91302731277866</v>
      </c>
      <c r="G188" s="48" t="n">
        <f aca="false">C188*(IF($A188&lt;$Q$132,INDEX(Surface_Engine!$D$12:$D$72,$A188+1)+(Surface_Engine!L236*12)*INDEX(Surface_Engine!$F$12:$F$72,$A188+1)-(Surface_Engine!L236*12),1000*12*INDEX(Surface_Engine!$C$12:$C$72,$A188+1)/(1+Assumptions!$B$10)^25+INDEX(Surface_Engine!$D$12:$D$72,$A188+1)))*INDEX(Surface_Engine!$B$12:$B$72,$A188+1)+G189</f>
        <v>15.0022403403702</v>
      </c>
      <c r="H188" s="48" t="n">
        <f aca="false">D188*(IF($A188&lt;$Q$132,INDEX(Surface_Engine!$D$12:$D$72,$A188+1)+(Surface_Engine!L236*12)*INDEX(Surface_Engine!$F$12:$F$72,$A188+1)-(Surface_Engine!L236*12),1000*12*INDEX(Surface_Engine!$C$12:$C$72,$A188+1)/(1+Assumptions!$B$10)^25+INDEX(Surface_Engine!$D$12:$D$72,$A188+1)))*INDEX(Surface_Engine!$B$12:$B$72,$A188+1)+H189</f>
        <v>1.65502095486896</v>
      </c>
      <c r="I188" s="48" t="n">
        <f aca="false">E188*(IF($A188&lt;$Q$132,INDEX(Surface_Engine!$D$12:$D$72,$A188+1)+(Surface_Engine!L236*12)*INDEX(Surface_Engine!$F$12:$F$72,$A188+1)-(Surface_Engine!L236*12),1000*12*INDEX(Surface_Engine!$C$12:$C$72,$A188+1)/(1+Assumptions!$B$10)^25+INDEX(Surface_Engine!$D$12:$D$72,$A188+1)))*INDEX(Surface_Engine!$B$12:$B$72,$A188+1)+I189</f>
        <v>2.20876046669127</v>
      </c>
      <c r="J188" s="48" t="n">
        <f aca="false">B188*(IF($A188&lt;$Q$132,INDEX(Surface_Engine!$D$12:$D$72,$A188+1)*(1+Assumptions!$B$24)+(Surface_Engine!L236*12)*INDEX(Surface_Engine!$F$12:$F$72,$A188+1)-(Surface_Engine!L236*12),1000*12*INDEX(Surface_Engine!$C$12:$C$72,$A188+1)/(1+Assumptions!$B$10)^25+INDEX(Surface_Engine!$D$12:$D$72,$A188+1)*(1+Assumptions!$B$24)))*INDEX(Surface_Engine!$B$12:$B$72,$A188+1)+J189</f>
        <v>1.91579092392785</v>
      </c>
      <c r="K188" s="12" t="n">
        <f aca="false">SQRT((IF(C188&lt;=0,0,MAX(0,(B188/C188)*G188/INDEX(Surface_Engine!$B$12:$B$72,$A188+1)-F188/INDEX(Surface_Engine!$B$12:$B$72,$A188+1))))^2+(MAX(IF(D188&lt;=0,0,MAX(0,(B188/D188)*H188/INDEX(Surface_Engine!$B$12:$B$72,$A188+1)-F188/INDEX(Surface_Engine!$B$12:$B$72,$A188+1))),IF(E188&lt;=0,0,MAX(0,(B188/E188)*I188/INDEX(Surface_Engine!$B$12:$B$72,$A188+1)-F188/INDEX(Surface_Engine!$B$12:$B$72,$A188+1))),IF($A188&lt;$Q$132,MAX(0,-Assumptions!$B$22*(F188/INDEX(Surface_Engine!$B$12:$B$72,$A188+1))),0)))^2+(MAX(0,J188/INDEX(Surface_Engine!$B$12:$B$72,$A188+1)-(F188/INDEX(Surface_Engine!$B$12:$B$72,$A188+1))))^2+2*Assumptions!$B$26*(IF(C188&lt;=0,0,MAX(0,(B188/C188)*G188/INDEX(Surface_Engine!$B$12:$B$72,$A188+1)-F188/INDEX(Surface_Engine!$B$12:$B$72,$A188+1))))*(MAX(IF(D188&lt;=0,0,MAX(0,(B188/D188)*H188/INDEX(Surface_Engine!$B$12:$B$72,$A188+1)-F188/INDEX(Surface_Engine!$B$12:$B$72,$A188+1))),IF(E188&lt;=0,0,MAX(0,(B188/E188)*I188/INDEX(Surface_Engine!$B$12:$B$72,$A188+1)-F188/INDEX(Surface_Engine!$B$12:$B$72,$A188+1))),IF($A188&lt;$Q$132,MAX(0,-Assumptions!$B$22*(F188/INDEX(Surface_Engine!$B$12:$B$72,$A188+1))),0)))+2*Assumptions!$B$27*(IF(C188&lt;=0,0,MAX(0,(B188/C188)*G188/INDEX(Surface_Engine!$B$12:$B$72,$A188+1)-F188/INDEX(Surface_Engine!$B$12:$B$72,$A188+1))))*(MAX(0,J188/INDEX(Surface_Engine!$B$12:$B$72,$A188+1)-(F188/INDEX(Surface_Engine!$B$12:$B$72,$A188+1))))+2*Assumptions!$B$28*(MAX(IF(D188&lt;=0,0,MAX(0,(B188/D188)*H188/INDEX(Surface_Engine!$B$12:$B$72,$A188+1)-F188/INDEX(Surface_Engine!$B$12:$B$72,$A188+1))),IF(E188&lt;=0,0,MAX(0,(B188/E188)*I188/INDEX(Surface_Engine!$B$12:$B$72,$A188+1)-F188/INDEX(Surface_Engine!$B$12:$B$72,$A188+1))),IF($A188&lt;$Q$132,MAX(0,-Assumptions!$B$22*(F188/INDEX(Surface_Engine!$B$12:$B$72,$A188+1))),0)))*(MAX(0,J188/INDEX(Surface_Engine!$B$12:$B$72,$A188+1)-(F188/INDEX(Surface_Engine!$B$12:$B$72,$A188+1)))))</f>
        <v>2.29482850973601</v>
      </c>
      <c r="L188" s="48" t="n">
        <f aca="false">K188*INDEX(Surface_Engine!$B$12:$B$72,$A188+1)+L189</f>
        <v>0.72481982364908</v>
      </c>
      <c r="M188" s="48" t="n">
        <f aca="false">M187+B187*(IF($A187&lt;$Q$132,(Surface_Engine!L236*12)-(Surface_Engine!L236*12)*INDEX(Surface_Engine!$F$12:$F$72,$A187+1)-INDEX(Surface_Engine!$D$12:$D$72,$A187+1),-(1000*12*INDEX(Surface_Engine!$C$12:$C$72,$A187+1)/(1+Assumptions!$B$10)^25+INDEX(Surface_Engine!$D$12:$D$72,$A187+1))))*INDEX(Surface_Engine!$B$12:$B$72,$A187+1)</f>
        <v>984.770892032177</v>
      </c>
      <c r="N188" s="12" t="n">
        <f aca="false">IF(B188&lt;=0,0,MAX(0,(K188+Assumptions!$B$29*L188/INDEX(Surface_Engine!$B$12:$B$72,$A188+1)-(M188/INDEX(Surface_Engine!$B$12:$B$72,$A188+1)-(F188/INDEX(Surface_Engine!$B$12:$B$72,$A188+1))))/B188))</f>
        <v>0</v>
      </c>
    </row>
    <row r="189" customFormat="false" ht="15" hidden="false" customHeight="true" outlineLevel="0" collapsed="false">
      <c r="A189" s="1" t="n">
        <v>55</v>
      </c>
      <c r="B189" s="32" t="n">
        <f aca="false">INDEX(Surface_Engine!$G$12:$G$72,$A189+1)*IF($A189&lt;$Q$132,INDEX(Surface_Engine!$E$12:$E$72,$A189+1),INDEX(Surface_Engine!$E$12:$E$72,$Q$132+1))</f>
        <v>0.000127581975813062</v>
      </c>
      <c r="C189" s="32" t="n">
        <f aca="false">INDEX(Panel_Reserving!$B$8:$B$68,$A189+1)*IF($A189&lt;$Q$132,INDEX(Surface_Engine!$E$12:$E$72,$A189+1),INDEX(Surface_Engine!$E$12:$E$72,$Q$132+1))</f>
        <v>0.000994286460945856</v>
      </c>
      <c r="D189" s="32" t="n">
        <f aca="false">INDEX(Surface_Engine!$G$12:$G$72,$A189+1)*IF($A189&lt;$Q$132,INDEX(Surface_Engine!$Y$12:$Y$72,$A189+1),INDEX(Surface_Engine!$Y$12:$Y$72,$Q$132+1))</f>
        <v>0.000110375237208458</v>
      </c>
      <c r="E189" s="32" t="n">
        <f aca="false">INDEX(Surface_Engine!$G$12:$G$72,$A189+1)*IF($A189&lt;$Q$132,INDEX(Surface_Engine!$Z$12:$Z$72,$A189+1),INDEX(Surface_Engine!$Z$12:$Z$72,$Q$132+1))</f>
        <v>0.000147304757520134</v>
      </c>
      <c r="F189" s="48" t="n">
        <f aca="false">B189*(IF($A189&lt;$Q$132,INDEX(Surface_Engine!$D$12:$D$72,$A189+1)+(Surface_Engine!L236*12)*INDEX(Surface_Engine!$F$12:$F$72,$A189+1)-(Surface_Engine!L236*12),1000*12*INDEX(Surface_Engine!$C$12:$C$72,$A189+1)/(1+Assumptions!$B$10)^25+INDEX(Surface_Engine!$D$12:$D$72,$A189+1)))*INDEX(Surface_Engine!$B$12:$B$72,$A189+1)+F190</f>
        <v>0.895672228237123</v>
      </c>
      <c r="G189" s="48" t="n">
        <f aca="false">C189*(IF($A189&lt;$Q$132,INDEX(Surface_Engine!$D$12:$D$72,$A189+1)+(Surface_Engine!L236*12)*INDEX(Surface_Engine!$F$12:$F$72,$A189+1)-(Surface_Engine!L236*12),1000*12*INDEX(Surface_Engine!$C$12:$C$72,$A189+1)/(1+Assumptions!$B$10)^25+INDEX(Surface_Engine!$D$12:$D$72,$A189+1)))*INDEX(Surface_Engine!$B$12:$B$72,$A189+1)+G190</f>
        <v>8.44216384201558</v>
      </c>
      <c r="H189" s="48" t="n">
        <f aca="false">D189*(IF($A189&lt;$Q$132,INDEX(Surface_Engine!$D$12:$D$72,$A189+1)+(Surface_Engine!L236*12)*INDEX(Surface_Engine!$F$12:$F$72,$A189+1)-(Surface_Engine!L236*12),1000*12*INDEX(Surface_Engine!$C$12:$C$72,$A189+1)/(1+Assumptions!$B$10)^25+INDEX(Surface_Engine!$D$12:$D$72,$A189+1)))*INDEX(Surface_Engine!$B$12:$B$72,$A189+1)+H190</f>
        <v>0.774874617066235</v>
      </c>
      <c r="I189" s="48" t="n">
        <f aca="false">E189*(IF($A189&lt;$Q$132,INDEX(Surface_Engine!$D$12:$D$72,$A189+1)+(Surface_Engine!L236*12)*INDEX(Surface_Engine!$F$12:$F$72,$A189+1)-(Surface_Engine!L236*12),1000*12*INDEX(Surface_Engine!$C$12:$C$72,$A189+1)/(1+Assumptions!$B$10)^25+INDEX(Surface_Engine!$D$12:$D$72,$A189+1)))*INDEX(Surface_Engine!$B$12:$B$72,$A189+1)+I190</f>
        <v>1.03413338410205</v>
      </c>
      <c r="J189" s="48" t="n">
        <f aca="false">B189*(IF($A189&lt;$Q$132,INDEX(Surface_Engine!$D$12:$D$72,$A189+1)*(1+Assumptions!$B$24)+(Surface_Engine!L236*12)*INDEX(Surface_Engine!$F$12:$F$72,$A189+1)-(Surface_Engine!L236*12),1000*12*INDEX(Surface_Engine!$C$12:$C$72,$A189+1)/(1+Assumptions!$B$10)^25+INDEX(Surface_Engine!$D$12:$D$72,$A189+1)*(1+Assumptions!$B$24)))*INDEX(Surface_Engine!$B$12:$B$72,$A189+1)+J190</f>
        <v>0.896971996105652</v>
      </c>
      <c r="K189" s="12" t="n">
        <f aca="false">SQRT((IF(C189&lt;=0,0,MAX(0,(B189/C189)*G189/INDEX(Surface_Engine!$B$12:$B$72,$A189+1)-F189/INDEX(Surface_Engine!$B$12:$B$72,$A189+1))))^2+(MAX(IF(D189&lt;=0,0,MAX(0,(B189/D189)*H189/INDEX(Surface_Engine!$B$12:$B$72,$A189+1)-F189/INDEX(Surface_Engine!$B$12:$B$72,$A189+1))),IF(E189&lt;=0,0,MAX(0,(B189/E189)*I189/INDEX(Surface_Engine!$B$12:$B$72,$A189+1)-F189/INDEX(Surface_Engine!$B$12:$B$72,$A189+1))),IF($A189&lt;$Q$132,MAX(0,-Assumptions!$B$22*(F189/INDEX(Surface_Engine!$B$12:$B$72,$A189+1))),0)))^2+(MAX(0,J189/INDEX(Surface_Engine!$B$12:$B$72,$A189+1)-(F189/INDEX(Surface_Engine!$B$12:$B$72,$A189+1))))^2+2*Assumptions!$B$26*(IF(C189&lt;=0,0,MAX(0,(B189/C189)*G189/INDEX(Surface_Engine!$B$12:$B$72,$A189+1)-F189/INDEX(Surface_Engine!$B$12:$B$72,$A189+1))))*(MAX(IF(D189&lt;=0,0,MAX(0,(B189/D189)*H189/INDEX(Surface_Engine!$B$12:$B$72,$A189+1)-F189/INDEX(Surface_Engine!$B$12:$B$72,$A189+1))),IF(E189&lt;=0,0,MAX(0,(B189/E189)*I189/INDEX(Surface_Engine!$B$12:$B$72,$A189+1)-F189/INDEX(Surface_Engine!$B$12:$B$72,$A189+1))),IF($A189&lt;$Q$132,MAX(0,-Assumptions!$B$22*(F189/INDEX(Surface_Engine!$B$12:$B$72,$A189+1))),0)))+2*Assumptions!$B$27*(IF(C189&lt;=0,0,MAX(0,(B189/C189)*G189/INDEX(Surface_Engine!$B$12:$B$72,$A189+1)-F189/INDEX(Surface_Engine!$B$12:$B$72,$A189+1))))*(MAX(0,J189/INDEX(Surface_Engine!$B$12:$B$72,$A189+1)-(F189/INDEX(Surface_Engine!$B$12:$B$72,$A189+1))))+2*Assumptions!$B$28*(MAX(IF(D189&lt;=0,0,MAX(0,(B189/D189)*H189/INDEX(Surface_Engine!$B$12:$B$72,$A189+1)-F189/INDEX(Surface_Engine!$B$12:$B$72,$A189+1))),IF(E189&lt;=0,0,MAX(0,(B189/E189)*I189/INDEX(Surface_Engine!$B$12:$B$72,$A189+1)-F189/INDEX(Surface_Engine!$B$12:$B$72,$A189+1))),IF($A189&lt;$Q$132,MAX(0,-Assumptions!$B$22*(F189/INDEX(Surface_Engine!$B$12:$B$72,$A189+1))),0)))*(MAX(0,J189/INDEX(Surface_Engine!$B$12:$B$72,$A189+1)-(F189/INDEX(Surface_Engine!$B$12:$B$72,$A189+1)))))</f>
        <v>1.07506371187676</v>
      </c>
      <c r="L189" s="48" t="n">
        <f aca="false">K189*INDEX(Surface_Engine!$B$12:$B$72,$A189+1)+L190</f>
        <v>0.310558032053131</v>
      </c>
      <c r="M189" s="48" t="n">
        <f aca="false">M188+B188*(IF($A188&lt;$Q$132,(Surface_Engine!L236*12)-(Surface_Engine!L236*12)*INDEX(Surface_Engine!$F$12:$F$72,$A188+1)-INDEX(Surface_Engine!$D$12:$D$72,$A188+1),-(1000*12*INDEX(Surface_Engine!$C$12:$C$72,$A188+1)/(1+Assumptions!$B$10)^25+INDEX(Surface_Engine!$D$12:$D$72,$A188+1))))*INDEX(Surface_Engine!$B$12:$B$72,$A188+1)</f>
        <v>983.753536947635</v>
      </c>
      <c r="N189" s="12" t="n">
        <f aca="false">IF(B189&lt;=0,0,MAX(0,(K189+Assumptions!$B$29*L189/INDEX(Surface_Engine!$B$12:$B$72,$A189+1)-(M189/INDEX(Surface_Engine!$B$12:$B$72,$A189+1)-(F189/INDEX(Surface_Engine!$B$12:$B$72,$A189+1))))/B189))</f>
        <v>0</v>
      </c>
    </row>
    <row r="190" customFormat="false" ht="15" hidden="false" customHeight="true" outlineLevel="0" collapsed="false">
      <c r="A190" s="1" t="n">
        <v>56</v>
      </c>
      <c r="B190" s="32" t="n">
        <f aca="false">INDEX(Surface_Engine!$G$12:$G$72,$A190+1)*IF($A190&lt;$Q$132,INDEX(Surface_Engine!$E$12:$E$72,$A190+1),INDEX(Surface_Engine!$E$12:$E$72,$Q$132+1))</f>
        <v>6.02723341809307E-005</v>
      </c>
      <c r="C190" s="32" t="n">
        <f aca="false">INDEX(Panel_Reserving!$B$8:$B$68,$A190+1)*IF($A190&lt;$Q$132,INDEX(Surface_Engine!$E$12:$E$72,$A190+1),INDEX(Surface_Engine!$E$12:$E$72,$Q$132+1))</f>
        <v>0.00057463429651155</v>
      </c>
      <c r="D190" s="32" t="n">
        <f aca="false">INDEX(Surface_Engine!$G$12:$G$72,$A190+1)*IF($A190&lt;$Q$132,INDEX(Surface_Engine!$Y$12:$Y$72,$A190+1),INDEX(Surface_Engine!$Y$12:$Y$72,$Q$132+1))</f>
        <v>5.21435190192951E-005</v>
      </c>
      <c r="E190" s="32" t="n">
        <f aca="false">INDEX(Surface_Engine!$G$12:$G$72,$A190+1)*IF($A190&lt;$Q$132,INDEX(Surface_Engine!$Z$12:$Z$72,$A190+1),INDEX(Surface_Engine!$Z$12:$Z$72,$Q$132+1))</f>
        <v>6.95897795524301E-005</v>
      </c>
      <c r="F190" s="48" t="n">
        <f aca="false">B190*(IF($A190&lt;$Q$132,INDEX(Surface_Engine!$D$12:$D$72,$A190+1)+(Surface_Engine!L236*12)*INDEX(Surface_Engine!$F$12:$F$72,$A190+1)-(Surface_Engine!L236*12),1000*12*INDEX(Surface_Engine!$C$12:$C$72,$A190+1)/(1+Assumptions!$B$10)^25+INDEX(Surface_Engine!$D$12:$D$72,$A190+1)))*INDEX(Surface_Engine!$B$12:$B$72,$A190+1)+F191</f>
        <v>0.403829947949857</v>
      </c>
      <c r="G190" s="48" t="n">
        <f aca="false">C190*(IF($A190&lt;$Q$132,INDEX(Surface_Engine!$D$12:$D$72,$A190+1)+(Surface_Engine!L236*12)*INDEX(Surface_Engine!$F$12:$F$72,$A190+1)-(Surface_Engine!L236*12),1000*12*INDEX(Surface_Engine!$C$12:$C$72,$A190+1)/(1+Assumptions!$B$10)^25+INDEX(Surface_Engine!$D$12:$D$72,$A190+1)))*INDEX(Surface_Engine!$B$12:$B$72,$A190+1)+G191</f>
        <v>4.60908227156779</v>
      </c>
      <c r="H190" s="48" t="n">
        <f aca="false">D190*(IF($A190&lt;$Q$132,INDEX(Surface_Engine!$D$12:$D$72,$A190+1)+(Surface_Engine!L236*12)*INDEX(Surface_Engine!$F$12:$F$72,$A190+1)-(Surface_Engine!L236*12),1000*12*INDEX(Surface_Engine!$C$12:$C$72,$A190+1)/(1+Assumptions!$B$10)^25+INDEX(Surface_Engine!$D$12:$D$72,$A190+1)))*INDEX(Surface_Engine!$B$12:$B$72,$A190+1)+H191</f>
        <v>0.349366170360571</v>
      </c>
      <c r="I190" s="48" t="n">
        <f aca="false">E190*(IF($A190&lt;$Q$132,INDEX(Surface_Engine!$D$12:$D$72,$A190+1)+(Surface_Engine!L236*12)*INDEX(Surface_Engine!$F$12:$F$72,$A190+1)-(Surface_Engine!L236*12),1000*12*INDEX(Surface_Engine!$C$12:$C$72,$A190+1)/(1+Assumptions!$B$10)^25+INDEX(Surface_Engine!$D$12:$D$72,$A190+1)))*INDEX(Surface_Engine!$B$12:$B$72,$A190+1)+I191</f>
        <v>0.466257652642745</v>
      </c>
      <c r="J190" s="48" t="n">
        <f aca="false">B190*(IF($A190&lt;$Q$132,INDEX(Surface_Engine!$D$12:$D$72,$A190+1)*(1+Assumptions!$B$24)+(Surface_Engine!L236*12)*INDEX(Surface_Engine!$F$12:$F$72,$A190+1)-(Surface_Engine!L236*12),1000*12*INDEX(Surface_Engine!$C$12:$C$72,$A190+1)/(1+Assumptions!$B$10)^25+INDEX(Surface_Engine!$D$12:$D$72,$A190+1)*(1+Assumptions!$B$24)))*INDEX(Surface_Engine!$B$12:$B$72,$A190+1)+J191</f>
        <v>0.404418599007432</v>
      </c>
      <c r="K190" s="12" t="n">
        <f aca="false">SQRT((IF(C190&lt;=0,0,MAX(0,(B190/C190)*G190/INDEX(Surface_Engine!$B$12:$B$72,$A190+1)-F190/INDEX(Surface_Engine!$B$12:$B$72,$A190+1))))^2+(MAX(IF(D190&lt;=0,0,MAX(0,(B190/D190)*H190/INDEX(Surface_Engine!$B$12:$B$72,$A190+1)-F190/INDEX(Surface_Engine!$B$12:$B$72,$A190+1))),IF(E190&lt;=0,0,MAX(0,(B190/E190)*I190/INDEX(Surface_Engine!$B$12:$B$72,$A190+1)-F190/INDEX(Surface_Engine!$B$12:$B$72,$A190+1))),IF($A190&lt;$Q$132,MAX(0,-Assumptions!$B$22*(F190/INDEX(Surface_Engine!$B$12:$B$72,$A190+1))),0)))^2+(MAX(0,J190/INDEX(Surface_Engine!$B$12:$B$72,$A190+1)-(F190/INDEX(Surface_Engine!$B$12:$B$72,$A190+1))))^2+2*Assumptions!$B$26*(IF(C190&lt;=0,0,MAX(0,(B190/C190)*G190/INDEX(Surface_Engine!$B$12:$B$72,$A190+1)-F190/INDEX(Surface_Engine!$B$12:$B$72,$A190+1))))*(MAX(IF(D190&lt;=0,0,MAX(0,(B190/D190)*H190/INDEX(Surface_Engine!$B$12:$B$72,$A190+1)-F190/INDEX(Surface_Engine!$B$12:$B$72,$A190+1))),IF(E190&lt;=0,0,MAX(0,(B190/E190)*I190/INDEX(Surface_Engine!$B$12:$B$72,$A190+1)-F190/INDEX(Surface_Engine!$B$12:$B$72,$A190+1))),IF($A190&lt;$Q$132,MAX(0,-Assumptions!$B$22*(F190/INDEX(Surface_Engine!$B$12:$B$72,$A190+1))),0)))+2*Assumptions!$B$27*(IF(C190&lt;=0,0,MAX(0,(B190/C190)*G190/INDEX(Surface_Engine!$B$12:$B$72,$A190+1)-F190/INDEX(Surface_Engine!$B$12:$B$72,$A190+1))))*(MAX(0,J190/INDEX(Surface_Engine!$B$12:$B$72,$A190+1)-(F190/INDEX(Surface_Engine!$B$12:$B$72,$A190+1))))+2*Assumptions!$B$28*(MAX(IF(D190&lt;=0,0,MAX(0,(B190/D190)*H190/INDEX(Surface_Engine!$B$12:$B$72,$A190+1)-F190/INDEX(Surface_Engine!$B$12:$B$72,$A190+1))),IF(E190&lt;=0,0,MAX(0,(B190/E190)*I190/INDEX(Surface_Engine!$B$12:$B$72,$A190+1)-F190/INDEX(Surface_Engine!$B$12:$B$72,$A190+1))),IF($A190&lt;$Q$132,MAX(0,-Assumptions!$B$22*(F190/INDEX(Surface_Engine!$B$12:$B$72,$A190+1))),0)))*(MAX(0,J190/INDEX(Surface_Engine!$B$12:$B$72,$A190+1)-(F190/INDEX(Surface_Engine!$B$12:$B$72,$A190+1)))))</f>
        <v>0.471252598912963</v>
      </c>
      <c r="L190" s="48" t="n">
        <f aca="false">K190*INDEX(Surface_Engine!$B$12:$B$72,$A190+1)+L191</f>
        <v>0.122643928813247</v>
      </c>
      <c r="M190" s="48" t="n">
        <f aca="false">M189+B189*(IF($A189&lt;$Q$132,(Surface_Engine!L236*12)-(Surface_Engine!L236*12)*INDEX(Surface_Engine!$F$12:$F$72,$A189+1)-INDEX(Surface_Engine!$D$12:$D$72,$A189+1),-(1000*12*INDEX(Surface_Engine!$C$12:$C$72,$A189+1)/(1+Assumptions!$B$10)^25+INDEX(Surface_Engine!$D$12:$D$72,$A189+1))))*INDEX(Surface_Engine!$B$12:$B$72,$A189+1)</f>
        <v>983.261694667348</v>
      </c>
      <c r="N190" s="12" t="n">
        <f aca="false">IF(B190&lt;=0,0,MAX(0,(K190+Assumptions!$B$29*L190/INDEX(Surface_Engine!$B$12:$B$72,$A190+1)-(M190/INDEX(Surface_Engine!$B$12:$B$72,$A190+1)-(F190/INDEX(Surface_Engine!$B$12:$B$72,$A190+1))))/B190))</f>
        <v>0</v>
      </c>
    </row>
    <row r="191" customFormat="false" ht="15" hidden="false" customHeight="true" outlineLevel="0" collapsed="false">
      <c r="A191" s="1" t="n">
        <v>57</v>
      </c>
      <c r="B191" s="32" t="n">
        <f aca="false">INDEX(Surface_Engine!$G$12:$G$72,$A191+1)*IF($A191&lt;$Q$132,INDEX(Surface_Engine!$E$12:$E$72,$A191+1),INDEX(Surface_Engine!$E$12:$E$72,$Q$132+1))</f>
        <v>2.74629525616173E-005</v>
      </c>
      <c r="C191" s="32" t="n">
        <f aca="false">INDEX(Panel_Reserving!$B$8:$B$68,$A191+1)*IF($A191&lt;$Q$132,INDEX(Surface_Engine!$E$12:$E$72,$A191+1),INDEX(Surface_Engine!$E$12:$E$72,$Q$132+1))</f>
        <v>0.000324391511897337</v>
      </c>
      <c r="D191" s="32" t="n">
        <f aca="false">INDEX(Surface_Engine!$G$12:$G$72,$A191+1)*IF($A191&lt;$Q$132,INDEX(Surface_Engine!$Y$12:$Y$72,$A191+1),INDEX(Surface_Engine!$Y$12:$Y$72,$Q$132+1))</f>
        <v>2.37590763437823E-005</v>
      </c>
      <c r="E191" s="32" t="n">
        <f aca="false">INDEX(Surface_Engine!$G$12:$G$72,$A191+1)*IF($A191&lt;$Q$132,INDEX(Surface_Engine!$Z$12:$Z$72,$A191+1),INDEX(Surface_Engine!$Z$12:$Z$72,$Q$132+1))</f>
        <v>3.17084254425051E-005</v>
      </c>
      <c r="F191" s="48" t="n">
        <f aca="false">B191*(IF($A191&lt;$Q$132,INDEX(Surface_Engine!$D$12:$D$72,$A191+1)+(Surface_Engine!L236*12)*INDEX(Surface_Engine!$F$12:$F$72,$A191+1)-(Surface_Engine!L236*12),1000*12*INDEX(Surface_Engine!$C$12:$C$72,$A191+1)/(1+Assumptions!$B$10)^25+INDEX(Surface_Engine!$D$12:$D$72,$A191+1)))*INDEX(Surface_Engine!$B$12:$B$72,$A191+1)+F192</f>
        <v>0.174332629538329</v>
      </c>
      <c r="G191" s="48" t="n">
        <f aca="false">C191*(IF($A191&lt;$Q$132,INDEX(Surface_Engine!$D$12:$D$72,$A191+1)+(Surface_Engine!L236*12)*INDEX(Surface_Engine!$F$12:$F$72,$A191+1)-(Surface_Engine!L236*12),1000*12*INDEX(Surface_Engine!$C$12:$C$72,$A191+1)/(1+Assumptions!$B$10)^25+INDEX(Surface_Engine!$D$12:$D$72,$A191+1)))*INDEX(Surface_Engine!$B$12:$B$72,$A191+1)+G192</f>
        <v>2.42106297699698</v>
      </c>
      <c r="H191" s="48" t="n">
        <f aca="false">D191*(IF($A191&lt;$Q$132,INDEX(Surface_Engine!$D$12:$D$72,$A191+1)+(Surface_Engine!L236*12)*INDEX(Surface_Engine!$F$12:$F$72,$A191+1)-(Surface_Engine!L236*12),1000*12*INDEX(Surface_Engine!$C$12:$C$72,$A191+1)/(1+Assumptions!$B$10)^25+INDEX(Surface_Engine!$D$12:$D$72,$A191+1)))*INDEX(Surface_Engine!$B$12:$B$72,$A191+1)+H192</f>
        <v>0.150820719116792</v>
      </c>
      <c r="I191" s="48" t="n">
        <f aca="false">E191*(IF($A191&lt;$Q$132,INDEX(Surface_Engine!$D$12:$D$72,$A191+1)+(Surface_Engine!L236*12)*INDEX(Surface_Engine!$F$12:$F$72,$A191+1)-(Surface_Engine!L236*12),1000*12*INDEX(Surface_Engine!$C$12:$C$72,$A191+1)/(1+Assumptions!$B$10)^25+INDEX(Surface_Engine!$D$12:$D$72,$A191+1)))*INDEX(Surface_Engine!$B$12:$B$72,$A191+1)+I192</f>
        <v>0.201282552322423</v>
      </c>
      <c r="J191" s="48" t="n">
        <f aca="false">B191*(IF($A191&lt;$Q$132,INDEX(Surface_Engine!$D$12:$D$72,$A191+1)*(1+Assumptions!$B$24)+(Surface_Engine!L236*12)*INDEX(Surface_Engine!$F$12:$F$72,$A191+1)-(Surface_Engine!L236*12),1000*12*INDEX(Surface_Engine!$C$12:$C$72,$A191+1)/(1+Assumptions!$B$10)^25+INDEX(Surface_Engine!$D$12:$D$72,$A191+1)*(1+Assumptions!$B$24)))*INDEX(Surface_Engine!$B$12:$B$72,$A191+1)+J192</f>
        <v>0.174587865225951</v>
      </c>
      <c r="K191" s="12" t="n">
        <f aca="false">SQRT((IF(C191&lt;=0,0,MAX(0,(B191/C191)*G191/INDEX(Surface_Engine!$B$12:$B$72,$A191+1)-F191/INDEX(Surface_Engine!$B$12:$B$72,$A191+1))))^2+(MAX(IF(D191&lt;=0,0,MAX(0,(B191/D191)*H191/INDEX(Surface_Engine!$B$12:$B$72,$A191+1)-F191/INDEX(Surface_Engine!$B$12:$B$72,$A191+1))),IF(E191&lt;=0,0,MAX(0,(B191/E191)*I191/INDEX(Surface_Engine!$B$12:$B$72,$A191+1)-F191/INDEX(Surface_Engine!$B$12:$B$72,$A191+1))),IF($A191&lt;$Q$132,MAX(0,-Assumptions!$B$22*(F191/INDEX(Surface_Engine!$B$12:$B$72,$A191+1))),0)))^2+(MAX(0,J191/INDEX(Surface_Engine!$B$12:$B$72,$A191+1)-(F191/INDEX(Surface_Engine!$B$12:$B$72,$A191+1))))^2+2*Assumptions!$B$26*(IF(C191&lt;=0,0,MAX(0,(B191/C191)*G191/INDEX(Surface_Engine!$B$12:$B$72,$A191+1)-F191/INDEX(Surface_Engine!$B$12:$B$72,$A191+1))))*(MAX(IF(D191&lt;=0,0,MAX(0,(B191/D191)*H191/INDEX(Surface_Engine!$B$12:$B$72,$A191+1)-F191/INDEX(Surface_Engine!$B$12:$B$72,$A191+1))),IF(E191&lt;=0,0,MAX(0,(B191/E191)*I191/INDEX(Surface_Engine!$B$12:$B$72,$A191+1)-F191/INDEX(Surface_Engine!$B$12:$B$72,$A191+1))),IF($A191&lt;$Q$132,MAX(0,-Assumptions!$B$22*(F191/INDEX(Surface_Engine!$B$12:$B$72,$A191+1))),0)))+2*Assumptions!$B$27*(IF(C191&lt;=0,0,MAX(0,(B191/C191)*G191/INDEX(Surface_Engine!$B$12:$B$72,$A191+1)-F191/INDEX(Surface_Engine!$B$12:$B$72,$A191+1))))*(MAX(0,J191/INDEX(Surface_Engine!$B$12:$B$72,$A191+1)-(F191/INDEX(Surface_Engine!$B$12:$B$72,$A191+1))))+2*Assumptions!$B$28*(MAX(IF(D191&lt;=0,0,MAX(0,(B191/D191)*H191/INDEX(Surface_Engine!$B$12:$B$72,$A191+1)-F191/INDEX(Surface_Engine!$B$12:$B$72,$A191+1))),IF(E191&lt;=0,0,MAX(0,(B191/E191)*I191/INDEX(Surface_Engine!$B$12:$B$72,$A191+1)-F191/INDEX(Surface_Engine!$B$12:$B$72,$A191+1))),IF($A191&lt;$Q$132,MAX(0,-Assumptions!$B$22*(F191/INDEX(Surface_Engine!$B$12:$B$72,$A191+1))),0)))*(MAX(0,J191/INDEX(Surface_Engine!$B$12:$B$72,$A191+1)-(F191/INDEX(Surface_Engine!$B$12:$B$72,$A191+1)))))</f>
        <v>0.187337594436109</v>
      </c>
      <c r="L191" s="48" t="n">
        <f aca="false">K191*INDEX(Surface_Engine!$B$12:$B$72,$A191+1)+L192</f>
        <v>0.042886517532905</v>
      </c>
      <c r="M191" s="48" t="n">
        <f aca="false">M190+B190*(IF($A190&lt;$Q$132,(Surface_Engine!L236*12)-(Surface_Engine!L236*12)*INDEX(Surface_Engine!$F$12:$F$72,$A190+1)-INDEX(Surface_Engine!$D$12:$D$72,$A190+1),-(1000*12*INDEX(Surface_Engine!$C$12:$C$72,$A190+1)/(1+Assumptions!$B$10)^25+INDEX(Surface_Engine!$D$12:$D$72,$A190+1))))*INDEX(Surface_Engine!$B$12:$B$72,$A190+1)</f>
        <v>983.032197348937</v>
      </c>
      <c r="N191" s="12" t="n">
        <f aca="false">IF(B191&lt;=0,0,MAX(0,(K191+Assumptions!$B$29*L191/INDEX(Surface_Engine!$B$12:$B$72,$A191+1)-(M191/INDEX(Surface_Engine!$B$12:$B$72,$A191+1)-(F191/INDEX(Surface_Engine!$B$12:$B$72,$A191+1))))/B191))</f>
        <v>0</v>
      </c>
    </row>
    <row r="192" customFormat="false" ht="15" hidden="false" customHeight="true" outlineLevel="0" collapsed="false">
      <c r="A192" s="1" t="n">
        <v>58</v>
      </c>
      <c r="B192" s="32" t="n">
        <f aca="false">INDEX(Surface_Engine!$G$12:$G$72,$A192+1)*IF($A192&lt;$Q$132,INDEX(Surface_Engine!$E$12:$E$72,$A192+1),INDEX(Surface_Engine!$E$12:$E$72,$Q$132+1))</f>
        <v>1.2061426474585E-005</v>
      </c>
      <c r="C192" s="32" t="n">
        <f aca="false">INDEX(Panel_Reserving!$B$8:$B$68,$A192+1)*IF($A192&lt;$Q$132,INDEX(Surface_Engine!$E$12:$E$72,$A192+1),INDEX(Surface_Engine!$E$12:$E$72,$Q$132+1))</f>
        <v>0.000178853647483403</v>
      </c>
      <c r="D192" s="32" t="n">
        <f aca="false">INDEX(Surface_Engine!$G$12:$G$72,$A192+1)*IF($A192&lt;$Q$132,INDEX(Surface_Engine!$Y$12:$Y$72,$A192+1),INDEX(Surface_Engine!$Y$12:$Y$72,$Q$132+1))</f>
        <v>1.0434724809054E-005</v>
      </c>
      <c r="E192" s="32" t="n">
        <f aca="false">INDEX(Surface_Engine!$G$12:$G$72,$A192+1)*IF($A192&lt;$Q$132,INDEX(Surface_Engine!$Z$12:$Z$72,$A192+1),INDEX(Surface_Engine!$Z$12:$Z$72,$Q$132+1))</f>
        <v>1.39259914330607E-005</v>
      </c>
      <c r="F192" s="48" t="n">
        <f aca="false">B192*(IF($A192&lt;$Q$132,INDEX(Surface_Engine!$D$12:$D$72,$A192+1)+(Surface_Engine!L236*12)*INDEX(Surface_Engine!$F$12:$F$72,$A192+1)-(Surface_Engine!L236*12),1000*12*INDEX(Surface_Engine!$C$12:$C$72,$A192+1)/(1+Assumptions!$B$10)^25+INDEX(Surface_Engine!$D$12:$D$72,$A192+1)))*INDEX(Surface_Engine!$B$12:$B$72,$A192+1)+F193</f>
        <v>0.0710513436650527</v>
      </c>
      <c r="G192" s="48" t="n">
        <f aca="false">C192*(IF($A192&lt;$Q$132,INDEX(Surface_Engine!$D$12:$D$72,$A192+1)+(Surface_Engine!L236*12)*INDEX(Surface_Engine!$F$12:$F$72,$A192+1)-(Surface_Engine!L236*12),1000*12*INDEX(Surface_Engine!$C$12:$C$72,$A192+1)/(1+Assumptions!$B$10)^25+INDEX(Surface_Engine!$D$12:$D$72,$A192+1)))*INDEX(Surface_Engine!$B$12:$B$72,$A192+1)+G193</f>
        <v>1.20110775186368</v>
      </c>
      <c r="H192" s="48" t="n">
        <f aca="false">D192*(IF($A192&lt;$Q$132,INDEX(Surface_Engine!$D$12:$D$72,$A192+1)+(Surface_Engine!L236*12)*INDEX(Surface_Engine!$F$12:$F$72,$A192+1)-(Surface_Engine!L236*12),1000*12*INDEX(Surface_Engine!$C$12:$C$72,$A192+1)/(1+Assumptions!$B$10)^25+INDEX(Surface_Engine!$D$12:$D$72,$A192+1)))*INDEX(Surface_Engine!$B$12:$B$72,$A192+1)+H193</f>
        <v>0.0614687839801186</v>
      </c>
      <c r="I192" s="48" t="n">
        <f aca="false">E192*(IF($A192&lt;$Q$132,INDEX(Surface_Engine!$D$12:$D$72,$A192+1)+(Surface_Engine!L236*12)*INDEX(Surface_Engine!$F$12:$F$72,$A192+1)-(Surface_Engine!L236*12),1000*12*INDEX(Surface_Engine!$C$12:$C$72,$A192+1)/(1+Assumptions!$B$10)^25+INDEX(Surface_Engine!$D$12:$D$72,$A192+1)))*INDEX(Surface_Engine!$B$12:$B$72,$A192+1)+I193</f>
        <v>0.0820351063178057</v>
      </c>
      <c r="J192" s="48" t="n">
        <f aca="false">B192*(IF($A192&lt;$Q$132,INDEX(Surface_Engine!$D$12:$D$72,$A192+1)*(1+Assumptions!$B$24)+(Surface_Engine!L236*12)*INDEX(Surface_Engine!$F$12:$F$72,$A192+1)-(Surface_Engine!L236*12),1000*12*INDEX(Surface_Engine!$C$12:$C$72,$A192+1)/(1+Assumptions!$B$10)^25+INDEX(Surface_Engine!$D$12:$D$72,$A192+1)*(1+Assumptions!$B$24)))*INDEX(Surface_Engine!$B$12:$B$72,$A192+1)+J193</f>
        <v>0.0711558067598974</v>
      </c>
      <c r="K192" s="12" t="n">
        <f aca="false">SQRT((IF(C192&lt;=0,0,MAX(0,(B192/C192)*G192/INDEX(Surface_Engine!$B$12:$B$72,$A192+1)-F192/INDEX(Surface_Engine!$B$12:$B$72,$A192+1))))^2+(MAX(IF(D192&lt;=0,0,MAX(0,(B192/D192)*H192/INDEX(Surface_Engine!$B$12:$B$72,$A192+1)-F192/INDEX(Surface_Engine!$B$12:$B$72,$A192+1))),IF(E192&lt;=0,0,MAX(0,(B192/E192)*I192/INDEX(Surface_Engine!$B$12:$B$72,$A192+1)-F192/INDEX(Surface_Engine!$B$12:$B$72,$A192+1))),IF($A192&lt;$Q$132,MAX(0,-Assumptions!$B$22*(F192/INDEX(Surface_Engine!$B$12:$B$72,$A192+1))),0)))^2+(MAX(0,J192/INDEX(Surface_Engine!$B$12:$B$72,$A192+1)-(F192/INDEX(Surface_Engine!$B$12:$B$72,$A192+1))))^2+2*Assumptions!$B$26*(IF(C192&lt;=0,0,MAX(0,(B192/C192)*G192/INDEX(Surface_Engine!$B$12:$B$72,$A192+1)-F192/INDEX(Surface_Engine!$B$12:$B$72,$A192+1))))*(MAX(IF(D192&lt;=0,0,MAX(0,(B192/D192)*H192/INDEX(Surface_Engine!$B$12:$B$72,$A192+1)-F192/INDEX(Surface_Engine!$B$12:$B$72,$A192+1))),IF(E192&lt;=0,0,MAX(0,(B192/E192)*I192/INDEX(Surface_Engine!$B$12:$B$72,$A192+1)-F192/INDEX(Surface_Engine!$B$12:$B$72,$A192+1))),IF($A192&lt;$Q$132,MAX(0,-Assumptions!$B$22*(F192/INDEX(Surface_Engine!$B$12:$B$72,$A192+1))),0)))+2*Assumptions!$B$27*(IF(C192&lt;=0,0,MAX(0,(B192/C192)*G192/INDEX(Surface_Engine!$B$12:$B$72,$A192+1)-F192/INDEX(Surface_Engine!$B$12:$B$72,$A192+1))))*(MAX(0,J192/INDEX(Surface_Engine!$B$12:$B$72,$A192+1)-(F192/INDEX(Surface_Engine!$B$12:$B$72,$A192+1))))+2*Assumptions!$B$28*(MAX(IF(D192&lt;=0,0,MAX(0,(B192/D192)*H192/INDEX(Surface_Engine!$B$12:$B$72,$A192+1)-F192/INDEX(Surface_Engine!$B$12:$B$72,$A192+1))),IF(E192&lt;=0,0,MAX(0,(B192/E192)*I192/INDEX(Surface_Engine!$B$12:$B$72,$A192+1)-F192/INDEX(Surface_Engine!$B$12:$B$72,$A192+1))),IF($A192&lt;$Q$132,MAX(0,-Assumptions!$B$22*(F192/INDEX(Surface_Engine!$B$12:$B$72,$A192+1))),0)))*(MAX(0,J192/INDEX(Surface_Engine!$B$12:$B$72,$A192+1)-(F192/INDEX(Surface_Engine!$B$12:$B$72,$A192+1)))))</f>
        <v>0.0628682460835703</v>
      </c>
      <c r="L192" s="48" t="n">
        <f aca="false">K192*INDEX(Surface_Engine!$B$12:$B$72,$A192+1)+L193</f>
        <v>0.0121873968520887</v>
      </c>
      <c r="M192" s="48" t="n">
        <f aca="false">M191+B191*(IF($A191&lt;$Q$132,(Surface_Engine!L236*12)-(Surface_Engine!L236*12)*INDEX(Surface_Engine!$F$12:$F$72,$A191+1)-INDEX(Surface_Engine!$D$12:$D$72,$A191+1),-(1000*12*INDEX(Surface_Engine!$C$12:$C$72,$A191+1)/(1+Assumptions!$B$10)^25+INDEX(Surface_Engine!$D$12:$D$72,$A191+1))))*INDEX(Surface_Engine!$B$12:$B$72,$A191+1)</f>
        <v>982.928916063063</v>
      </c>
      <c r="N192" s="12" t="n">
        <f aca="false">IF(B192&lt;=0,0,MAX(0,(K192+Assumptions!$B$29*L192/INDEX(Surface_Engine!$B$12:$B$72,$A192+1)-(M192/INDEX(Surface_Engine!$B$12:$B$72,$A192+1)-(F192/INDEX(Surface_Engine!$B$12:$B$72,$A192+1))))/B192))</f>
        <v>0</v>
      </c>
    </row>
    <row r="193" customFormat="false" ht="15" hidden="false" customHeight="true" outlineLevel="0" collapsed="false">
      <c r="A193" s="1" t="n">
        <v>59</v>
      </c>
      <c r="B193" s="32" t="n">
        <f aca="false">INDEX(Surface_Engine!$G$12:$G$72,$A193+1)*IF($A193&lt;$Q$132,INDEX(Surface_Engine!$E$12:$E$72,$A193+1),INDEX(Surface_Engine!$E$12:$E$72,$Q$132+1))</f>
        <v>5.10297248150094E-006</v>
      </c>
      <c r="C193" s="32" t="n">
        <f aca="false">INDEX(Panel_Reserving!$B$8:$B$68,$A193+1)*IF($A193&lt;$Q$132,INDEX(Surface_Engine!$E$12:$E$72,$A193+1),INDEX(Surface_Engine!$E$12:$E$72,$Q$132+1))</f>
        <v>9.63065371474275E-005</v>
      </c>
      <c r="D193" s="32" t="n">
        <f aca="false">INDEX(Surface_Engine!$G$12:$G$72,$A193+1)*IF($A193&lt;$Q$132,INDEX(Surface_Engine!$Y$12:$Y$72,$A193+1),INDEX(Surface_Engine!$Y$12:$Y$72,$Q$132+1))</f>
        <v>4.41474428127042E-006</v>
      </c>
      <c r="E193" s="32" t="n">
        <f aca="false">INDEX(Surface_Engine!$G$12:$G$72,$A193+1)*IF($A193&lt;$Q$132,INDEX(Surface_Engine!$Z$12:$Z$72,$A193+1),INDEX(Surface_Engine!$Z$12:$Z$72,$Q$132+1))</f>
        <v>5.89183636033994E-006</v>
      </c>
      <c r="F193" s="48" t="n">
        <f aca="false">B193*(IF($A193&lt;$Q$132,INDEX(Surface_Engine!$D$12:$D$72,$A193+1)+(Surface_Engine!L236*12)*INDEX(Surface_Engine!$F$12:$F$72,$A193+1)-(Surface_Engine!L236*12),1000*12*INDEX(Surface_Engine!$C$12:$C$72,$A193+1)/(1+Assumptions!$B$10)^25+INDEX(Surface_Engine!$D$12:$D$72,$A193+1)))*INDEX(Surface_Engine!$B$12:$B$72,$A193+1)+F194</f>
        <v>0.0262511774184682</v>
      </c>
      <c r="G193" s="48" t="n">
        <f aca="false">C193*(IF($A193&lt;$Q$132,INDEX(Surface_Engine!$D$12:$D$72,$A193+1)+(Surface_Engine!L236*12)*INDEX(Surface_Engine!$F$12:$F$72,$A193+1)-(Surface_Engine!L236*12),1000*12*INDEX(Surface_Engine!$C$12:$C$72,$A193+1)/(1+Assumptions!$B$10)^25+INDEX(Surface_Engine!$D$12:$D$72,$A193+1)))*INDEX(Surface_Engine!$B$12:$B$72,$A193+1)+G194</f>
        <v>0.53678557090538</v>
      </c>
      <c r="H193" s="48" t="n">
        <f aca="false">D193*(IF($A193&lt;$Q$132,INDEX(Surface_Engine!$D$12:$D$72,$A193+1)+(Surface_Engine!L236*12)*INDEX(Surface_Engine!$F$12:$F$72,$A193+1)-(Surface_Engine!L236*12),1000*12*INDEX(Surface_Engine!$C$12:$C$72,$A193+1)/(1+Assumptions!$B$10)^25+INDEX(Surface_Engine!$D$12:$D$72,$A193+1)))*INDEX(Surface_Engine!$B$12:$B$72,$A193+1)+H194</f>
        <v>0.0227107310111754</v>
      </c>
      <c r="I193" s="48" t="n">
        <f aca="false">E193*(IF($A193&lt;$Q$132,INDEX(Surface_Engine!$D$12:$D$72,$A193+1)+(Surface_Engine!L236*12)*INDEX(Surface_Engine!$F$12:$F$72,$A193+1)-(Surface_Engine!L236*12),1000*12*INDEX(Surface_Engine!$C$12:$C$72,$A193+1)/(1+Assumptions!$B$10)^25+INDEX(Surface_Engine!$D$12:$D$72,$A193+1)))*INDEX(Surface_Engine!$B$12:$B$72,$A193+1)+I194</f>
        <v>0.0303093230811179</v>
      </c>
      <c r="J193" s="48" t="n">
        <f aca="false">B193*(IF($A193&lt;$Q$132,INDEX(Surface_Engine!$D$12:$D$72,$A193+1)*(1+Assumptions!$B$24)+(Surface_Engine!L236*12)*INDEX(Surface_Engine!$F$12:$F$72,$A193+1)-(Surface_Engine!L236*12),1000*12*INDEX(Surface_Engine!$C$12:$C$72,$A193+1)/(1+Assumptions!$B$10)^25+INDEX(Surface_Engine!$D$12:$D$72,$A193+1)*(1+Assumptions!$B$24)))*INDEX(Surface_Engine!$B$12:$B$72,$A193+1)+J194</f>
        <v>0.0262899242275943</v>
      </c>
      <c r="K193" s="12" t="n">
        <f aca="false">SQRT((IF(C193&lt;=0,0,MAX(0,(B193/C193)*G193/INDEX(Surface_Engine!$B$12:$B$72,$A193+1)-F193/INDEX(Surface_Engine!$B$12:$B$72,$A193+1))))^2+(MAX(IF(D193&lt;=0,0,MAX(0,(B193/D193)*H193/INDEX(Surface_Engine!$B$12:$B$72,$A193+1)-F193/INDEX(Surface_Engine!$B$12:$B$72,$A193+1))),IF(E193&lt;=0,0,MAX(0,(B193/E193)*I193/INDEX(Surface_Engine!$B$12:$B$72,$A193+1)-F193/INDEX(Surface_Engine!$B$12:$B$72,$A193+1))),IF($A193&lt;$Q$132,MAX(0,-Assumptions!$B$22*(F193/INDEX(Surface_Engine!$B$12:$B$72,$A193+1))),0)))^2+(MAX(0,J193/INDEX(Surface_Engine!$B$12:$B$72,$A193+1)-(F193/INDEX(Surface_Engine!$B$12:$B$72,$A193+1))))^2+2*Assumptions!$B$26*(IF(C193&lt;=0,0,MAX(0,(B193/C193)*G193/INDEX(Surface_Engine!$B$12:$B$72,$A193+1)-F193/INDEX(Surface_Engine!$B$12:$B$72,$A193+1))))*(MAX(IF(D193&lt;=0,0,MAX(0,(B193/D193)*H193/INDEX(Surface_Engine!$B$12:$B$72,$A193+1)-F193/INDEX(Surface_Engine!$B$12:$B$72,$A193+1))),IF(E193&lt;=0,0,MAX(0,(B193/E193)*I193/INDEX(Surface_Engine!$B$12:$B$72,$A193+1)-F193/INDEX(Surface_Engine!$B$12:$B$72,$A193+1))),IF($A193&lt;$Q$132,MAX(0,-Assumptions!$B$22*(F193/INDEX(Surface_Engine!$B$12:$B$72,$A193+1))),0)))+2*Assumptions!$B$27*(IF(C193&lt;=0,0,MAX(0,(B193/C193)*G193/INDEX(Surface_Engine!$B$12:$B$72,$A193+1)-F193/INDEX(Surface_Engine!$B$12:$B$72,$A193+1))))*(MAX(0,J193/INDEX(Surface_Engine!$B$12:$B$72,$A193+1)-(F193/INDEX(Surface_Engine!$B$12:$B$72,$A193+1))))+2*Assumptions!$B$28*(MAX(IF(D193&lt;=0,0,MAX(0,(B193/D193)*H193/INDEX(Surface_Engine!$B$12:$B$72,$A193+1)-F193/INDEX(Surface_Engine!$B$12:$B$72,$A193+1))),IF(E193&lt;=0,0,MAX(0,(B193/E193)*I193/INDEX(Surface_Engine!$B$12:$B$72,$A193+1)-F193/INDEX(Surface_Engine!$B$12:$B$72,$A193+1))),IF($A193&lt;$Q$132,MAX(0,-Assumptions!$B$22*(F193/INDEX(Surface_Engine!$B$12:$B$72,$A193+1))),0)))*(MAX(0,J193/INDEX(Surface_Engine!$B$12:$B$72,$A193+1)-(F193/INDEX(Surface_Engine!$B$12:$B$72,$A193+1)))))</f>
        <v>0.0143300785327763</v>
      </c>
      <c r="L193" s="48" t="n">
        <f aca="false">K193*INDEX(Surface_Engine!$B$12:$B$72,$A193+1)+L194</f>
        <v>0.0022125178855639</v>
      </c>
      <c r="M193" s="48" t="n">
        <f aca="false">M192+B192*(IF($A192&lt;$Q$132,(Surface_Engine!L236*12)-(Surface_Engine!L236*12)*INDEX(Surface_Engine!$F$12:$F$72,$A192+1)-INDEX(Surface_Engine!$D$12:$D$72,$A192+1),-(1000*12*INDEX(Surface_Engine!$C$12:$C$72,$A192+1)/(1+Assumptions!$B$10)^25+INDEX(Surface_Engine!$D$12:$D$72,$A192+1))))*INDEX(Surface_Engine!$B$12:$B$72,$A192+1)</f>
        <v>982.884115896817</v>
      </c>
      <c r="N193" s="12" t="n">
        <f aca="false">IF(B193&lt;=0,0,MAX(0,(K193+Assumptions!$B$29*L193/INDEX(Surface_Engine!$B$12:$B$72,$A193+1)-(M193/INDEX(Surface_Engine!$B$12:$B$72,$A193+1)-(F193/INDEX(Surface_Engine!$B$12:$B$72,$A193+1))))/B193))</f>
        <v>0</v>
      </c>
    </row>
    <row r="194" customFormat="false" ht="15" hidden="false" customHeight="true" outlineLevel="0" collapsed="false">
      <c r="A194" s="1" t="n">
        <v>60</v>
      </c>
      <c r="B194" s="32" t="n">
        <f aca="false">INDEX(Surface_Engine!$G$12:$G$72,$A194+1)*IF($A194&lt;$Q$132,INDEX(Surface_Engine!$E$12:$E$72,$A194+1),INDEX(Surface_Engine!$E$12:$E$72,$Q$132+1))</f>
        <v>2.0787489570549E-006</v>
      </c>
      <c r="C194" s="32" t="n">
        <f aca="false">INDEX(Panel_Reserving!$B$8:$B$68,$A194+1)*IF($A194&lt;$Q$132,INDEX(Surface_Engine!$E$12:$E$72,$A194+1),INDEX(Surface_Engine!$E$12:$E$72,$Q$132+1))</f>
        <v>5.0646483716997E-005</v>
      </c>
      <c r="D194" s="32" t="n">
        <f aca="false">INDEX(Surface_Engine!$G$12:$G$72,$A194+1)*IF($A194&lt;$Q$132,INDEX(Surface_Engine!$Y$12:$Y$72,$A194+1),INDEX(Surface_Engine!$Y$12:$Y$72,$Q$132+1))</f>
        <v>1.79839203594053E-006</v>
      </c>
      <c r="E194" s="32" t="n">
        <f aca="false">INDEX(Surface_Engine!$G$12:$G$72,$A194+1)*IF($A194&lt;$Q$132,INDEX(Surface_Engine!$Z$12:$Z$72,$A194+1),INDEX(Surface_Engine!$Z$12:$Z$72,$Q$132+1))</f>
        <v>2.40010086936475E-006</v>
      </c>
      <c r="F194" s="48" t="n">
        <f aca="false">B194*(IF($A194&lt;$Q$132,INDEX(Surface_Engine!$D$12:$D$72,$A194+1)+(Surface_Engine!L236*12)*INDEX(Surface_Engine!$F$12:$F$72,$A194+1)-(Surface_Engine!L236*12),1000*12*INDEX(Surface_Engine!$C$12:$C$72,$A194+1)/(1+Assumptions!$B$10)^25+INDEX(Surface_Engine!$D$12:$D$72,$A194+1)))*INDEX(Surface_Engine!$B$12:$B$72,$A194+1)</f>
        <v>0.00753132337183585</v>
      </c>
      <c r="G194" s="48" t="n">
        <f aca="false">C194*(IF($A194&lt;$Q$132,INDEX(Surface_Engine!$D$12:$D$72,$A194+1)+(Surface_Engine!L236*12)*INDEX(Surface_Engine!$F$12:$F$72,$A194+1)-(Surface_Engine!L236*12),1000*12*INDEX(Surface_Engine!$C$12:$C$72,$A194+1)/(1+Assumptions!$B$10)^25+INDEX(Surface_Engine!$D$12:$D$72,$A194+1)))*INDEX(Surface_Engine!$B$12:$B$72,$A194+1)</f>
        <v>0.183492597903466</v>
      </c>
      <c r="H194" s="48" t="n">
        <f aca="false">D194*(IF($A194&lt;$Q$132,INDEX(Surface_Engine!$D$12:$D$72,$A194+1)+(Surface_Engine!L236*12)*INDEX(Surface_Engine!$F$12:$F$72,$A194+1)-(Surface_Engine!L236*12),1000*12*INDEX(Surface_Engine!$C$12:$C$72,$A194+1)/(1+Assumptions!$B$10)^25+INDEX(Surface_Engine!$D$12:$D$72,$A194+1)))*INDEX(Surface_Engine!$B$12:$B$72,$A194+1)</f>
        <v>0.00651558810217827</v>
      </c>
      <c r="I194" s="48" t="n">
        <f aca="false">E194*(IF($A194&lt;$Q$132,INDEX(Surface_Engine!$D$12:$D$72,$A194+1)+(Surface_Engine!L236*12)*INDEX(Surface_Engine!$F$12:$F$72,$A194+1)-(Surface_Engine!L236*12),1000*12*INDEX(Surface_Engine!$C$12:$C$72,$A194+1)/(1+Assumptions!$B$10)^25+INDEX(Surface_Engine!$D$12:$D$72,$A194+1)))*INDEX(Surface_Engine!$B$12:$B$72,$A194+1)</f>
        <v>0.00869558380816684</v>
      </c>
      <c r="J194" s="48" t="n">
        <f aca="false">B194*(IF($A194&lt;$Q$132,INDEX(Surface_Engine!$D$12:$D$72,$A194+1)*(1+Assumptions!$B$24)+(Surface_Engine!L236*12)*INDEX(Surface_Engine!$F$12:$F$72,$A194+1)-(Surface_Engine!L236*12),1000*12*INDEX(Surface_Engine!$C$12:$C$72,$A194+1)/(1+Assumptions!$B$10)^25+INDEX(Surface_Engine!$D$12:$D$72,$A194+1)*(1+Assumptions!$B$24)))*INDEX(Surface_Engine!$B$12:$B$72,$A194+1)</f>
        <v>0.00754247785522352</v>
      </c>
      <c r="K194" s="12" t="n">
        <f aca="false">SQRT((IF(C194&lt;=0,0,MAX(0,(B194/C194)*G194/INDEX(Surface_Engine!$B$12:$B$72,$A194+1)-F194/INDEX(Surface_Engine!$B$12:$B$72,$A194+1))))^2+(MAX(IF(D194&lt;=0,0,MAX(0,(B194/D194)*H194/INDEX(Surface_Engine!$B$12:$B$72,$A194+1)-F194/INDEX(Surface_Engine!$B$12:$B$72,$A194+1))),IF(E194&lt;=0,0,MAX(0,(B194/E194)*I194/INDEX(Surface_Engine!$B$12:$B$72,$A194+1)-F194/INDEX(Surface_Engine!$B$12:$B$72,$A194+1))),IF($A194&lt;$Q$132,MAX(0,-Assumptions!$B$22*(F194/INDEX(Surface_Engine!$B$12:$B$72,$A194+1))),0)))^2+(MAX(0,J194/INDEX(Surface_Engine!$B$12:$B$72,$A194+1)-(F194/INDEX(Surface_Engine!$B$12:$B$72,$A194+1))))^2+2*Assumptions!$B$26*(IF(C194&lt;=0,0,MAX(0,(B194/C194)*G194/INDEX(Surface_Engine!$B$12:$B$72,$A194+1)-F194/INDEX(Surface_Engine!$B$12:$B$72,$A194+1))))*(MAX(IF(D194&lt;=0,0,MAX(0,(B194/D194)*H194/INDEX(Surface_Engine!$B$12:$B$72,$A194+1)-F194/INDEX(Surface_Engine!$B$12:$B$72,$A194+1))),IF(E194&lt;=0,0,MAX(0,(B194/E194)*I194/INDEX(Surface_Engine!$B$12:$B$72,$A194+1)-F194/INDEX(Surface_Engine!$B$12:$B$72,$A194+1))),IF($A194&lt;$Q$132,MAX(0,-Assumptions!$B$22*(F194/INDEX(Surface_Engine!$B$12:$B$72,$A194+1))),0)))+2*Assumptions!$B$27*(IF(C194&lt;=0,0,MAX(0,(B194/C194)*G194/INDEX(Surface_Engine!$B$12:$B$72,$A194+1)-F194/INDEX(Surface_Engine!$B$12:$B$72,$A194+1))))*(MAX(0,J194/INDEX(Surface_Engine!$B$12:$B$72,$A194+1)-(F194/INDEX(Surface_Engine!$B$12:$B$72,$A194+1))))+2*Assumptions!$B$28*(MAX(IF(D194&lt;=0,0,MAX(0,(B194/D194)*H194/INDEX(Surface_Engine!$B$12:$B$72,$A194+1)-F194/INDEX(Surface_Engine!$B$12:$B$72,$A194+1))),IF(E194&lt;=0,0,MAX(0,(B194/E194)*I194/INDEX(Surface_Engine!$B$12:$B$72,$A194+1)-F194/INDEX(Surface_Engine!$B$12:$B$72,$A194+1))),IF($A194&lt;$Q$132,MAX(0,-Assumptions!$B$22*(F194/INDEX(Surface_Engine!$B$12:$B$72,$A194+1))),0)))*(MAX(0,J194/INDEX(Surface_Engine!$B$12:$B$72,$A194+1)-(F194/INDEX(Surface_Engine!$B$12:$B$72,$A194+1)))))</f>
        <v>7.49976784832004E-005</v>
      </c>
      <c r="L194" s="48" t="n">
        <f aca="false">K194*INDEX(Surface_Engine!$B$12:$B$72,$A194+1)</f>
        <v>1.11544833876739E-005</v>
      </c>
      <c r="M194" s="48" t="n">
        <f aca="false">M193+B193*(IF($A193&lt;$Q$132,(Surface_Engine!L236*12)-(Surface_Engine!L236*12)*INDEX(Surface_Engine!$F$12:$F$72,$A193+1)-INDEX(Surface_Engine!$D$12:$D$72,$A193+1),-(1000*12*INDEX(Surface_Engine!$C$12:$C$72,$A193+1)/(1+Assumptions!$B$10)^25+INDEX(Surface_Engine!$D$12:$D$72,$A193+1))))*INDEX(Surface_Engine!$B$12:$B$72,$A193+1)</f>
        <v>982.86539604277</v>
      </c>
      <c r="N194" s="12" t="n">
        <f aca="false">IF(B194&lt;=0,0,MAX(0,(K194+Assumptions!$B$29*L194/INDEX(Surface_Engine!$B$12:$B$72,$A194+1)-(M194/INDEX(Surface_Engine!$B$12:$B$72,$A194+1)-(F194/INDEX(Surface_Engine!$B$12:$B$72,$A194+1))))/B194))</f>
        <v>0</v>
      </c>
    </row>
    <row r="195" customFormat="false" ht="15" hidden="false" customHeight="true" outlineLevel="0" collapsed="false">
      <c r="A195" s="4" t="str">
        <f aca="false">"entry "&amp;O195&amp;" / vesting "&amp;P195&amp;"   deferral "&amp;Q195</f>
        <v>entry 60 / vesting 90   deferral 30</v>
      </c>
      <c r="C195" s="49" t="n">
        <f aca="false">MAX(N134:N194)</f>
        <v>18615.9806688428</v>
      </c>
      <c r="E195" s="7" t="s">
        <v>1634</v>
      </c>
      <c r="G195" s="21" t="n">
        <f aca="false">INDEX(A134:A194,MATCH(C195,N134:N194,0))</f>
        <v>18</v>
      </c>
      <c r="J195" s="7" t="s">
        <v>1624</v>
      </c>
      <c r="K195" s="50" t="n">
        <f aca="false">Surface_Engine!Q236</f>
        <v>83.5662983332313</v>
      </c>
      <c r="O195" s="1" t="n">
        <f aca="false">A1714</f>
        <v>60</v>
      </c>
      <c r="P195" s="76" t="n">
        <f aca="false">E$1713</f>
        <v>90</v>
      </c>
      <c r="Q195" s="1" t="n">
        <f aca="false">P195-O195</f>
        <v>30</v>
      </c>
    </row>
    <row r="196" customFormat="false" ht="15" hidden="false" customHeight="true" outlineLevel="0" collapsed="false">
      <c r="A196" s="8" t="s">
        <v>802</v>
      </c>
      <c r="B196" s="8" t="s">
        <v>1584</v>
      </c>
      <c r="C196" s="8" t="s">
        <v>1585</v>
      </c>
      <c r="D196" s="8" t="s">
        <v>1587</v>
      </c>
      <c r="E196" s="8" t="s">
        <v>1588</v>
      </c>
      <c r="F196" s="8" t="s">
        <v>1625</v>
      </c>
      <c r="G196" s="8" t="s">
        <v>1626</v>
      </c>
      <c r="H196" s="8" t="s">
        <v>1627</v>
      </c>
      <c r="I196" s="8" t="s">
        <v>1628</v>
      </c>
      <c r="J196" s="8" t="s">
        <v>1629</v>
      </c>
      <c r="K196" s="8" t="s">
        <v>812</v>
      </c>
      <c r="L196" s="8" t="s">
        <v>1630</v>
      </c>
      <c r="M196" s="8" t="s">
        <v>341</v>
      </c>
      <c r="N196" s="8" t="s">
        <v>1631</v>
      </c>
      <c r="O196" s="1" t="s">
        <v>1544</v>
      </c>
      <c r="P196" s="1" t="s">
        <v>1632</v>
      </c>
      <c r="Q196" s="1" t="s">
        <v>1633</v>
      </c>
    </row>
    <row r="197" customFormat="false" ht="15" hidden="false" customHeight="true" outlineLevel="0" collapsed="false">
      <c r="A197" s="1" t="n">
        <v>0</v>
      </c>
      <c r="B197" s="32" t="n">
        <f aca="false">INDEX(Surface_Engine!$G$12:$G$72,$A197+1)*IF($A197&lt;$Q$195,INDEX(Surface_Engine!$E$12:$E$72,$A197+1),INDEX(Surface_Engine!$E$12:$E$72,$Q$195+1))</f>
        <v>1</v>
      </c>
      <c r="C197" s="32" t="n">
        <f aca="false">INDEX(Panel_Reserving!$B$8:$B$68,$A197+1)*IF($A197&lt;$Q$195,INDEX(Surface_Engine!$E$12:$E$72,$A197+1),INDEX(Surface_Engine!$E$12:$E$72,$Q$195+1))</f>
        <v>1</v>
      </c>
      <c r="D197" s="32" t="n">
        <f aca="false">INDEX(Surface_Engine!$G$12:$G$72,$A197+1)*IF($A197&lt;$Q$195,INDEX(Surface_Engine!$Y$12:$Y$72,$A197+1),INDEX(Surface_Engine!$Y$12:$Y$72,$Q$195+1))</f>
        <v>1</v>
      </c>
      <c r="E197" s="32" t="n">
        <f aca="false">INDEX(Surface_Engine!$G$12:$G$72,$A197+1)*IF($A197&lt;$Q$195,INDEX(Surface_Engine!$Z$12:$Z$72,$A197+1),INDEX(Surface_Engine!$Z$12:$Z$72,$Q$195+1))</f>
        <v>1</v>
      </c>
      <c r="F197" s="48" t="n">
        <f aca="false">B197*(IF($A197&lt;$Q$195,INDEX(Surface_Engine!$D$12:$D$72,$A197+1)+(Surface_Engine!Q236*12)*INDEX(Surface_Engine!$F$12:$F$72,$A197+1)-(Surface_Engine!Q236*12),1000*12*INDEX(Surface_Engine!$C$12:$C$72,$A197+1)/(1+Assumptions!$B$10)^30+INDEX(Surface_Engine!$D$12:$D$72,$A197+1)))*INDEX(Surface_Engine!$B$12:$B$72,$A197+1)+F198</f>
        <v>-466.189451917713</v>
      </c>
      <c r="G197" s="48" t="n">
        <f aca="false">C197*(IF($A197&lt;$Q$195,INDEX(Surface_Engine!$D$12:$D$72,$A197+1)+(Surface_Engine!Q236*12)*INDEX(Surface_Engine!$F$12:$F$72,$A197+1)-(Surface_Engine!Q236*12),1000*12*INDEX(Surface_Engine!$C$12:$C$72,$A197+1)/(1+Assumptions!$B$10)^30+INDEX(Surface_Engine!$D$12:$D$72,$A197+1)))*INDEX(Surface_Engine!$B$12:$B$72,$A197+1)+G198</f>
        <v>3078.96822597461</v>
      </c>
      <c r="H197" s="48" t="n">
        <f aca="false">D197*(IF($A197&lt;$Q$195,INDEX(Surface_Engine!$D$12:$D$72,$A197+1)+(Surface_Engine!Q236*12)*INDEX(Surface_Engine!$F$12:$F$72,$A197+1)-(Surface_Engine!Q236*12),1000*12*INDEX(Surface_Engine!$C$12:$C$72,$A197+1)/(1+Assumptions!$B$10)^30+INDEX(Surface_Engine!$D$12:$D$72,$A197+1)))*INDEX(Surface_Engine!$B$12:$B$72,$A197+1)+H198</f>
        <v>-1349.95919414129</v>
      </c>
      <c r="I197" s="48" t="n">
        <f aca="false">E197*(IF($A197&lt;$Q$195,INDEX(Surface_Engine!$D$12:$D$72,$A197+1)+(Surface_Engine!Q236*12)*INDEX(Surface_Engine!$F$12:$F$72,$A197+1)-(Surface_Engine!Q236*12),1000*12*INDEX(Surface_Engine!$C$12:$C$72,$A197+1)/(1+Assumptions!$B$10)^30+INDEX(Surface_Engine!$D$12:$D$72,$A197+1)))*INDEX(Surface_Engine!$B$12:$B$72,$A197+1)+I198</f>
        <v>648.021595991568</v>
      </c>
      <c r="J197" s="48" t="n">
        <f aca="false">B197*(IF($A197&lt;$Q$195,INDEX(Surface_Engine!$D$12:$D$72,$A197+1)*(1+Assumptions!$B$24)+(Surface_Engine!Q236*12)*INDEX(Surface_Engine!$F$12:$F$72,$A197+1)-(Surface_Engine!Q236*12),1000*12*INDEX(Surface_Engine!$C$12:$C$72,$A197+1)/(1+Assumptions!$B$10)^30+INDEX(Surface_Engine!$D$12:$D$72,$A197+1)*(1+Assumptions!$B$24)))*INDEX(Surface_Engine!$B$12:$B$72,$A197+1)+J198</f>
        <v>-281.398398916232</v>
      </c>
      <c r="K197" s="12" t="n">
        <f aca="false">SQRT((IF(C197&lt;=0,0,MAX(0,(B197/C197)*G197/INDEX(Surface_Engine!$B$12:$B$72,$A197+1)-F197/INDEX(Surface_Engine!$B$12:$B$72,$A197+1))))^2+(MAX(IF(D197&lt;=0,0,MAX(0,(B197/D197)*H197/INDEX(Surface_Engine!$B$12:$B$72,$A197+1)-F197/INDEX(Surface_Engine!$B$12:$B$72,$A197+1))),IF(E197&lt;=0,0,MAX(0,(B197/E197)*I197/INDEX(Surface_Engine!$B$12:$B$72,$A197+1)-F197/INDEX(Surface_Engine!$B$12:$B$72,$A197+1))),IF($A197&lt;$Q$195,MAX(0,-Assumptions!$B$22*(F197/INDEX(Surface_Engine!$B$12:$B$72,$A197+1))),0)))^2+(MAX(0,J197/INDEX(Surface_Engine!$B$12:$B$72,$A197+1)-(F197/INDEX(Surface_Engine!$B$12:$B$72,$A197+1))))^2+2*Assumptions!$B$26*(IF(C197&lt;=0,0,MAX(0,(B197/C197)*G197/INDEX(Surface_Engine!$B$12:$B$72,$A197+1)-F197/INDEX(Surface_Engine!$B$12:$B$72,$A197+1))))*(MAX(IF(D197&lt;=0,0,MAX(0,(B197/D197)*H197/INDEX(Surface_Engine!$B$12:$B$72,$A197+1)-F197/INDEX(Surface_Engine!$B$12:$B$72,$A197+1))),IF(E197&lt;=0,0,MAX(0,(B197/E197)*I197/INDEX(Surface_Engine!$B$12:$B$72,$A197+1)-F197/INDEX(Surface_Engine!$B$12:$B$72,$A197+1))),IF($A197&lt;$Q$195,MAX(0,-Assumptions!$B$22*(F197/INDEX(Surface_Engine!$B$12:$B$72,$A197+1))),0)))+2*Assumptions!$B$27*(IF(C197&lt;=0,0,MAX(0,(B197/C197)*G197/INDEX(Surface_Engine!$B$12:$B$72,$A197+1)-F197/INDEX(Surface_Engine!$B$12:$B$72,$A197+1))))*(MAX(0,J197/INDEX(Surface_Engine!$B$12:$B$72,$A197+1)-(F197/INDEX(Surface_Engine!$B$12:$B$72,$A197+1))))+2*Assumptions!$B$28*(MAX(IF(D197&lt;=0,0,MAX(0,(B197/D197)*H197/INDEX(Surface_Engine!$B$12:$B$72,$A197+1)-F197/INDEX(Surface_Engine!$B$12:$B$72,$A197+1))),IF(E197&lt;=0,0,MAX(0,(B197/E197)*I197/INDEX(Surface_Engine!$B$12:$B$72,$A197+1)-F197/INDEX(Surface_Engine!$B$12:$B$72,$A197+1))),IF($A197&lt;$Q$195,MAX(0,-Assumptions!$B$22*(F197/INDEX(Surface_Engine!$B$12:$B$72,$A197+1))),0)))*(MAX(0,J197/INDEX(Surface_Engine!$B$12:$B$72,$A197+1)-(F197/INDEX(Surface_Engine!$B$12:$B$72,$A197+1)))))</f>
        <v>4043.78990827929</v>
      </c>
      <c r="L197" s="48" t="n">
        <f aca="false">K197*INDEX(Surface_Engine!$B$12:$B$72,$A197+1)+L198</f>
        <v>115186.811505848</v>
      </c>
      <c r="M197" s="48" t="n">
        <v>0</v>
      </c>
      <c r="N197" s="12" t="n">
        <f aca="false">IF(B197&lt;=0,0,MAX(0,(K197+Assumptions!$B$29*L197/INDEX(Surface_Engine!$B$12:$B$72,$A197+1)-(M197/INDEX(Surface_Engine!$B$12:$B$72,$A197+1)-(F197/INDEX(Surface_Engine!$B$12:$B$72,$A197+1))))/B197))</f>
        <v>10488.8091467125</v>
      </c>
    </row>
    <row r="198" customFormat="false" ht="15" hidden="false" customHeight="true" outlineLevel="0" collapsed="false">
      <c r="A198" s="1" t="n">
        <v>1</v>
      </c>
      <c r="B198" s="32" t="n">
        <f aca="false">INDEX(Surface_Engine!$G$12:$G$72,$A198+1)*IF($A198&lt;$Q$195,INDEX(Surface_Engine!$E$12:$E$72,$A198+1),INDEX(Surface_Engine!$E$12:$E$72,$Q$195+1))</f>
        <v>0.956605798055555</v>
      </c>
      <c r="C198" s="32" t="n">
        <f aca="false">INDEX(Panel_Reserving!$B$8:$B$68,$A198+1)*IF($A198&lt;$Q$195,INDEX(Surface_Engine!$E$12:$E$72,$A198+1),INDEX(Surface_Engine!$E$12:$E$72,$Q$195+1))</f>
        <v>0.957164638444444</v>
      </c>
      <c r="D198" s="32" t="n">
        <f aca="false">INDEX(Surface_Engine!$G$12:$G$72,$A198+1)*IF($A198&lt;$Q$195,INDEX(Surface_Engine!$Y$12:$Y$72,$A198+1),INDEX(Surface_Engine!$Y$12:$Y$72,$Q$195+1))</f>
        <v>0.936364920735847</v>
      </c>
      <c r="E198" s="32" t="n">
        <f aca="false">INDEX(Surface_Engine!$G$12:$G$72,$A198+1)*IF($A198&lt;$Q$195,INDEX(Surface_Engine!$Z$12:$Z$72,$A198+1),INDEX(Surface_Engine!$Z$12:$Z$72,$Q$195+1))</f>
        <v>0.976846675375263</v>
      </c>
      <c r="F198" s="48" t="n">
        <f aca="false">B198*(IF($A198&lt;$Q$195,INDEX(Surface_Engine!$D$12:$D$72,$A198+1)+(Surface_Engine!Q236*12)*INDEX(Surface_Engine!$F$12:$F$72,$A198+1)-(Surface_Engine!Q236*12),1000*12*INDEX(Surface_Engine!$C$12:$C$72,$A198+1)/(1+Assumptions!$B$10)^30+INDEX(Surface_Engine!$D$12:$D$72,$A198+1)))*INDEX(Surface_Engine!$B$12:$B$72,$A198+1)+F199</f>
        <v>-548.189451917713</v>
      </c>
      <c r="G198" s="48" t="n">
        <f aca="false">C198*(IF($A198&lt;$Q$195,INDEX(Surface_Engine!$D$12:$D$72,$A198+1)+(Surface_Engine!Q236*12)*INDEX(Surface_Engine!$F$12:$F$72,$A198+1)-(Surface_Engine!Q236*12),1000*12*INDEX(Surface_Engine!$C$12:$C$72,$A198+1)/(1+Assumptions!$B$10)^30+INDEX(Surface_Engine!$D$12:$D$72,$A198+1)))*INDEX(Surface_Engine!$B$12:$B$72,$A198+1)+G199</f>
        <v>2996.96822597461</v>
      </c>
      <c r="H198" s="48" t="n">
        <f aca="false">D198*(IF($A198&lt;$Q$195,INDEX(Surface_Engine!$D$12:$D$72,$A198+1)+(Surface_Engine!Q236*12)*INDEX(Surface_Engine!$F$12:$F$72,$A198+1)-(Surface_Engine!Q236*12),1000*12*INDEX(Surface_Engine!$C$12:$C$72,$A198+1)/(1+Assumptions!$B$10)^30+INDEX(Surface_Engine!$D$12:$D$72,$A198+1)))*INDEX(Surface_Engine!$B$12:$B$72,$A198+1)+H199</f>
        <v>-1431.95919414129</v>
      </c>
      <c r="I198" s="48" t="n">
        <f aca="false">E198*(IF($A198&lt;$Q$195,INDEX(Surface_Engine!$D$12:$D$72,$A198+1)+(Surface_Engine!Q236*12)*INDEX(Surface_Engine!$F$12:$F$72,$A198+1)-(Surface_Engine!Q236*12),1000*12*INDEX(Surface_Engine!$C$12:$C$72,$A198+1)/(1+Assumptions!$B$10)^30+INDEX(Surface_Engine!$D$12:$D$72,$A198+1)))*INDEX(Surface_Engine!$B$12:$B$72,$A198+1)+I199</f>
        <v>566.021595991568</v>
      </c>
      <c r="J198" s="48" t="n">
        <f aca="false">B198*(IF($A198&lt;$Q$195,INDEX(Surface_Engine!$D$12:$D$72,$A198+1)*(1+Assumptions!$B$24)+(Surface_Engine!Q236*12)*INDEX(Surface_Engine!$F$12:$F$72,$A198+1)-(Surface_Engine!Q236*12),1000*12*INDEX(Surface_Engine!$C$12:$C$72,$A198+1)/(1+Assumptions!$B$10)^30+INDEX(Surface_Engine!$D$12:$D$72,$A198+1)*(1+Assumptions!$B$24)))*INDEX(Surface_Engine!$B$12:$B$72,$A198+1)+J199</f>
        <v>-371.598398916232</v>
      </c>
      <c r="K198" s="12" t="n">
        <f aca="false">SQRT((IF(C198&lt;=0,0,MAX(0,(B198/C198)*G198/INDEX(Surface_Engine!$B$12:$B$72,$A198+1)-F198/INDEX(Surface_Engine!$B$12:$B$72,$A198+1))))^2+(MAX(IF(D198&lt;=0,0,MAX(0,(B198/D198)*H198/INDEX(Surface_Engine!$B$12:$B$72,$A198+1)-F198/INDEX(Surface_Engine!$B$12:$B$72,$A198+1))),IF(E198&lt;=0,0,MAX(0,(B198/E198)*I198/INDEX(Surface_Engine!$B$12:$B$72,$A198+1)-F198/INDEX(Surface_Engine!$B$12:$B$72,$A198+1))),IF($A198&lt;$Q$195,MAX(0,-Assumptions!$B$22*(F198/INDEX(Surface_Engine!$B$12:$B$72,$A198+1))),0)))^2+(MAX(0,J198/INDEX(Surface_Engine!$B$12:$B$72,$A198+1)-(F198/INDEX(Surface_Engine!$B$12:$B$72,$A198+1))))^2+2*Assumptions!$B$26*(IF(C198&lt;=0,0,MAX(0,(B198/C198)*G198/INDEX(Surface_Engine!$B$12:$B$72,$A198+1)-F198/INDEX(Surface_Engine!$B$12:$B$72,$A198+1))))*(MAX(IF(D198&lt;=0,0,MAX(0,(B198/D198)*H198/INDEX(Surface_Engine!$B$12:$B$72,$A198+1)-F198/INDEX(Surface_Engine!$B$12:$B$72,$A198+1))),IF(E198&lt;=0,0,MAX(0,(B198/E198)*I198/INDEX(Surface_Engine!$B$12:$B$72,$A198+1)-F198/INDEX(Surface_Engine!$B$12:$B$72,$A198+1))),IF($A198&lt;$Q$195,MAX(0,-Assumptions!$B$22*(F198/INDEX(Surface_Engine!$B$12:$B$72,$A198+1))),0)))+2*Assumptions!$B$27*(IF(C198&lt;=0,0,MAX(0,(B198/C198)*G198/INDEX(Surface_Engine!$B$12:$B$72,$A198+1)-F198/INDEX(Surface_Engine!$B$12:$B$72,$A198+1))))*(MAX(0,J198/INDEX(Surface_Engine!$B$12:$B$72,$A198+1)-(F198/INDEX(Surface_Engine!$B$12:$B$72,$A198+1))))+2*Assumptions!$B$28*(MAX(IF(D198&lt;=0,0,MAX(0,(B198/D198)*H198/INDEX(Surface_Engine!$B$12:$B$72,$A198+1)-F198/INDEX(Surface_Engine!$B$12:$B$72,$A198+1))),IF(E198&lt;=0,0,MAX(0,(B198/E198)*I198/INDEX(Surface_Engine!$B$12:$B$72,$A198+1)-F198/INDEX(Surface_Engine!$B$12:$B$72,$A198+1))),IF($A198&lt;$Q$195,MAX(0,-Assumptions!$B$22*(F198/INDEX(Surface_Engine!$B$12:$B$72,$A198+1))),0)))*(MAX(0,J198/INDEX(Surface_Engine!$B$12:$B$72,$A198+1)-(F198/INDEX(Surface_Engine!$B$12:$B$72,$A198+1)))))</f>
        <v>4137.45903890514</v>
      </c>
      <c r="L198" s="48" t="n">
        <f aca="false">K198*INDEX(Surface_Engine!$B$12:$B$72,$A198+1)+L199</f>
        <v>111143.021597569</v>
      </c>
      <c r="M198" s="48" t="n">
        <f aca="false">M197+B197*(IF($A197&lt;$Q$195,(Surface_Engine!Q236*12)-(Surface_Engine!Q236*12)*INDEX(Surface_Engine!$F$12:$F$72,$A197+1)-INDEX(Surface_Engine!$D$12:$D$72,$A197+1),-(1000*12*INDEX(Surface_Engine!$C$12:$C$72,$A197+1)/(1+Assumptions!$B$10)^30+INDEX(Surface_Engine!$D$12:$D$72,$A197+1))))*INDEX(Surface_Engine!$B$12:$B$72,$A197+1)</f>
        <v>-82</v>
      </c>
      <c r="N198" s="12" t="n">
        <f aca="false">IF(B198&lt;=0,0,MAX(0,(K198+Assumptions!$B$29*L198/INDEX(Surface_Engine!$B$12:$B$72,$A198+1)-(M198/INDEX(Surface_Engine!$B$12:$B$72,$A198+1)-(F198/INDEX(Surface_Engine!$B$12:$B$72,$A198+1))))/B198))</f>
        <v>10977.2123443687</v>
      </c>
    </row>
    <row r="199" customFormat="false" ht="15" hidden="false" customHeight="true" outlineLevel="0" collapsed="false">
      <c r="A199" s="1" t="n">
        <v>2</v>
      </c>
      <c r="B199" s="32" t="n">
        <f aca="false">INDEX(Surface_Engine!$G$12:$G$72,$A199+1)*IF($A199&lt;$Q$195,INDEX(Surface_Engine!$E$12:$E$72,$A199+1),INDEX(Surface_Engine!$E$12:$E$72,$Q$195+1))</f>
        <v>0.93290204615754</v>
      </c>
      <c r="C199" s="32" t="n">
        <f aca="false">INDEX(Panel_Reserving!$B$8:$B$68,$A199+1)*IF($A199&lt;$Q$195,INDEX(Surface_Engine!$E$12:$E$72,$A199+1),INDEX(Surface_Engine!$E$12:$E$72,$Q$195+1))</f>
        <v>0.934036464382521</v>
      </c>
      <c r="D199" s="32" t="n">
        <f aca="false">INDEX(Surface_Engine!$G$12:$G$72,$A199+1)*IF($A199&lt;$Q$195,INDEX(Surface_Engine!$Y$12:$Y$72,$A199+1),INDEX(Surface_Engine!$Y$12:$Y$72,$Q$195+1))</f>
        <v>0.903035133829689</v>
      </c>
      <c r="E199" s="32" t="n">
        <f aca="false">INDEX(Surface_Engine!$G$12:$G$72,$A199+1)*IF($A199&lt;$Q$195,INDEX(Surface_Engine!$Z$12:$Z$72,$A199+1),INDEX(Surface_Engine!$Z$12:$Z$72,$Q$195+1))</f>
        <v>0.963206803137687</v>
      </c>
      <c r="F199" s="48" t="n">
        <f aca="false">B199*(IF($A199&lt;$Q$195,INDEX(Surface_Engine!$D$12:$D$72,$A199+1)+(Surface_Engine!Q236*12)*INDEX(Surface_Engine!$F$12:$F$72,$A199+1)-(Surface_Engine!Q236*12),1000*12*INDEX(Surface_Engine!$C$12:$C$72,$A199+1)/(1+Assumptions!$B$10)^30+INDEX(Surface_Engine!$D$12:$D$72,$A199+1)))*INDEX(Surface_Engine!$B$12:$B$72,$A199+1)+F200</f>
        <v>261.699184540021</v>
      </c>
      <c r="G199" s="48" t="n">
        <f aca="false">C199*(IF($A199&lt;$Q$195,INDEX(Surface_Engine!$D$12:$D$72,$A199+1)+(Surface_Engine!Q236*12)*INDEX(Surface_Engine!$F$12:$F$72,$A199+1)-(Surface_Engine!Q236*12),1000*12*INDEX(Surface_Engine!$C$12:$C$72,$A199+1)/(1+Assumptions!$B$10)^30+INDEX(Surface_Engine!$D$12:$D$72,$A199+1)))*INDEX(Surface_Engine!$B$12:$B$72,$A199+1)+G200</f>
        <v>3807.32999199259</v>
      </c>
      <c r="H199" s="48" t="n">
        <f aca="false">D199*(IF($A199&lt;$Q$195,INDEX(Surface_Engine!$D$12:$D$72,$A199+1)+(Surface_Engine!Q236*12)*INDEX(Surface_Engine!$F$12:$F$72,$A199+1)-(Surface_Engine!Q236*12),1000*12*INDEX(Surface_Engine!$C$12:$C$72,$A199+1)/(1+Assumptions!$B$10)^30+INDEX(Surface_Engine!$D$12:$D$72,$A199+1)))*INDEX(Surface_Engine!$B$12:$B$72,$A199+1)+H200</f>
        <v>-639.207038108919</v>
      </c>
      <c r="I199" s="48" t="n">
        <f aca="false">E199*(IF($A199&lt;$Q$195,INDEX(Surface_Engine!$D$12:$D$72,$A199+1)+(Surface_Engine!Q236*12)*INDEX(Surface_Engine!$F$12:$F$72,$A199+1)-(Surface_Engine!Q236*12),1000*12*INDEX(Surface_Engine!$C$12:$C$72,$A199+1)/(1+Assumptions!$B$10)^30+INDEX(Surface_Engine!$D$12:$D$72,$A199+1)))*INDEX(Surface_Engine!$B$12:$B$72,$A199+1)+I200</f>
        <v>1393.04671287466</v>
      </c>
      <c r="J199" s="48" t="n">
        <f aca="false">B199*(IF($A199&lt;$Q$195,INDEX(Surface_Engine!$D$12:$D$72,$A199+1)*(1+Assumptions!$B$24)+(Surface_Engine!Q236*12)*INDEX(Surface_Engine!$F$12:$F$72,$A199+1)-(Surface_Engine!Q236*12),1000*12*INDEX(Surface_Engine!$C$12:$C$72,$A199+1)/(1+Assumptions!$B$10)^30+INDEX(Surface_Engine!$D$12:$D$72,$A199+1)*(1+Assumptions!$B$24)))*INDEX(Surface_Engine!$B$12:$B$72,$A199+1)+J200</f>
        <v>430.453409855572</v>
      </c>
      <c r="K199" s="12" t="n">
        <f aca="false">SQRT((IF(C199&lt;=0,0,MAX(0,(B199/C199)*G199/INDEX(Surface_Engine!$B$12:$B$72,$A199+1)-F199/INDEX(Surface_Engine!$B$12:$B$72,$A199+1))))^2+(MAX(IF(D199&lt;=0,0,MAX(0,(B199/D199)*H199/INDEX(Surface_Engine!$B$12:$B$72,$A199+1)-F199/INDEX(Surface_Engine!$B$12:$B$72,$A199+1))),IF(E199&lt;=0,0,MAX(0,(B199/E199)*I199/INDEX(Surface_Engine!$B$12:$B$72,$A199+1)-F199/INDEX(Surface_Engine!$B$12:$B$72,$A199+1))),IF($A199&lt;$Q$195,MAX(0,-Assumptions!$B$22*(F199/INDEX(Surface_Engine!$B$12:$B$72,$A199+1))),0)))^2+(MAX(0,J199/INDEX(Surface_Engine!$B$12:$B$72,$A199+1)-(F199/INDEX(Surface_Engine!$B$12:$B$72,$A199+1))))^2+2*Assumptions!$B$26*(IF(C199&lt;=0,0,MAX(0,(B199/C199)*G199/INDEX(Surface_Engine!$B$12:$B$72,$A199+1)-F199/INDEX(Surface_Engine!$B$12:$B$72,$A199+1))))*(MAX(IF(D199&lt;=0,0,MAX(0,(B199/D199)*H199/INDEX(Surface_Engine!$B$12:$B$72,$A199+1)-F199/INDEX(Surface_Engine!$B$12:$B$72,$A199+1))),IF(E199&lt;=0,0,MAX(0,(B199/E199)*I199/INDEX(Surface_Engine!$B$12:$B$72,$A199+1)-F199/INDEX(Surface_Engine!$B$12:$B$72,$A199+1))),IF($A199&lt;$Q$195,MAX(0,-Assumptions!$B$22*(F199/INDEX(Surface_Engine!$B$12:$B$72,$A199+1))),0)))+2*Assumptions!$B$27*(IF(C199&lt;=0,0,MAX(0,(B199/C199)*G199/INDEX(Surface_Engine!$B$12:$B$72,$A199+1)-F199/INDEX(Surface_Engine!$B$12:$B$72,$A199+1))))*(MAX(0,J199/INDEX(Surface_Engine!$B$12:$B$72,$A199+1)-(F199/INDEX(Surface_Engine!$B$12:$B$72,$A199+1))))+2*Assumptions!$B$28*(MAX(IF(D199&lt;=0,0,MAX(0,(B199/D199)*H199/INDEX(Surface_Engine!$B$12:$B$72,$A199+1)-F199/INDEX(Surface_Engine!$B$12:$B$72,$A199+1))),IF(E199&lt;=0,0,MAX(0,(B199/E199)*I199/INDEX(Surface_Engine!$B$12:$B$72,$A199+1)-F199/INDEX(Surface_Engine!$B$12:$B$72,$A199+1))),IF($A199&lt;$Q$195,MAX(0,-Assumptions!$B$22*(F199/INDEX(Surface_Engine!$B$12:$B$72,$A199+1))),0)))*(MAX(0,J199/INDEX(Surface_Engine!$B$12:$B$72,$A199+1)-(F199/INDEX(Surface_Engine!$B$12:$B$72,$A199+1)))))</f>
        <v>4233.54401770839</v>
      </c>
      <c r="L199" s="48" t="n">
        <f aca="false">K199*INDEX(Surface_Engine!$B$12:$B$72,$A199+1)+L200</f>
        <v>107110.2532256</v>
      </c>
      <c r="M199" s="48" t="n">
        <f aca="false">M198+B198*(IF($A198&lt;$Q$195,(Surface_Engine!Q236*12)-(Surface_Engine!Q236*12)*INDEX(Surface_Engine!$F$12:$F$72,$A198+1)-INDEX(Surface_Engine!$D$12:$D$72,$A198+1),-(1000*12*INDEX(Surface_Engine!$C$12:$C$72,$A198+1)/(1+Assumptions!$B$10)^30+INDEX(Surface_Engine!$D$12:$D$72,$A198+1))))*INDEX(Surface_Engine!$B$12:$B$72,$A198+1)</f>
        <v>727.888636457734</v>
      </c>
      <c r="N199" s="12" t="n">
        <f aca="false">IF(B199&lt;=0,0,MAX(0,(K199+Assumptions!$B$29*L199/INDEX(Surface_Engine!$B$12:$B$72,$A199+1)-(M199/INDEX(Surface_Engine!$B$12:$B$72,$A199+1)-(F199/INDEX(Surface_Engine!$B$12:$B$72,$A199+1))))/B199))</f>
        <v>11267.1224146759</v>
      </c>
    </row>
    <row r="200" customFormat="false" ht="15" hidden="false" customHeight="true" outlineLevel="0" collapsed="false">
      <c r="A200" s="1" t="n">
        <v>3</v>
      </c>
      <c r="B200" s="32" t="n">
        <f aca="false">INDEX(Surface_Engine!$G$12:$G$72,$A200+1)*IF($A200&lt;$Q$195,INDEX(Surface_Engine!$E$12:$E$72,$A200+1),INDEX(Surface_Engine!$E$12:$E$72,$Q$195+1))</f>
        <v>0.917354343634536</v>
      </c>
      <c r="C200" s="32" t="n">
        <f aca="false">INDEX(Panel_Reserving!$B$8:$B$68,$A200+1)*IF($A200&lt;$Q$195,INDEX(Surface_Engine!$E$12:$E$72,$A200+1),INDEX(Surface_Engine!$E$12:$E$72,$Q$195+1))</f>
        <v>0.91909864043936</v>
      </c>
      <c r="D200" s="32" t="n">
        <f aca="false">INDEX(Surface_Engine!$G$12:$G$72,$A200+1)*IF($A200&lt;$Q$195,INDEX(Surface_Engine!$Y$12:$Y$72,$A200+1),INDEX(Surface_Engine!$Y$12:$Y$72,$Q$195+1))</f>
        <v>0.882000493881983</v>
      </c>
      <c r="E200" s="32" t="n">
        <f aca="false">INDEX(Surface_Engine!$G$12:$G$72,$A200+1)*IF($A200&lt;$Q$195,INDEX(Surface_Engine!$Z$12:$Z$72,$A200+1),INDEX(Surface_Engine!$Z$12:$Z$72,$Q$195+1))</f>
        <v>0.953537517528614</v>
      </c>
      <c r="F200" s="48" t="n">
        <f aca="false">B200*(IF($A200&lt;$Q$195,INDEX(Surface_Engine!$D$12:$D$72,$A200+1)+(Surface_Engine!Q236*12)*INDEX(Surface_Engine!$F$12:$F$72,$A200+1)-(Surface_Engine!Q236*12),1000*12*INDEX(Surface_Engine!$C$12:$C$72,$A200+1)/(1+Assumptions!$B$10)^30+INDEX(Surface_Engine!$D$12:$D$72,$A200+1)))*INDEX(Surface_Engine!$B$12:$B$72,$A200+1)+F201</f>
        <v>1029.22340588109</v>
      </c>
      <c r="G200" s="48" t="n">
        <f aca="false">C200*(IF($A200&lt;$Q$195,INDEX(Surface_Engine!$D$12:$D$72,$A200+1)+(Surface_Engine!Q236*12)*INDEX(Surface_Engine!$F$12:$F$72,$A200+1)-(Surface_Engine!Q236*12),1000*12*INDEX(Surface_Engine!$C$12:$C$72,$A200+1)/(1+Assumptions!$B$10)^30+INDEX(Surface_Engine!$D$12:$D$72,$A200+1)))*INDEX(Surface_Engine!$B$12:$B$72,$A200+1)+G201</f>
        <v>4575.78753046849</v>
      </c>
      <c r="H200" s="48" t="n">
        <f aca="false">D200*(IF($A200&lt;$Q$195,INDEX(Surface_Engine!$D$12:$D$72,$A200+1)+(Surface_Engine!Q236*12)*INDEX(Surface_Engine!$F$12:$F$72,$A200+1)-(Surface_Engine!Q236*12),1000*12*INDEX(Surface_Engine!$C$12:$C$72,$A200+1)/(1+Assumptions!$B$10)^30+INDEX(Surface_Engine!$D$12:$D$72,$A200+1)))*INDEX(Surface_Engine!$B$12:$B$72,$A200+1)+H201</f>
        <v>103.744851417983</v>
      </c>
      <c r="I200" s="48" t="n">
        <f aca="false">E200*(IF($A200&lt;$Q$195,INDEX(Surface_Engine!$D$12:$D$72,$A200+1)+(Surface_Engine!Q236*12)*INDEX(Surface_Engine!$F$12:$F$72,$A200+1)-(Surface_Engine!Q236*12),1000*12*INDEX(Surface_Engine!$C$12:$C$72,$A200+1)/(1+Assumptions!$B$10)^30+INDEX(Surface_Engine!$D$12:$D$72,$A200+1)))*INDEX(Surface_Engine!$B$12:$B$72,$A200+1)+I201</f>
        <v>2185.50349289102</v>
      </c>
      <c r="J200" s="48" t="n">
        <f aca="false">B200*(IF($A200&lt;$Q$195,INDEX(Surface_Engine!$D$12:$D$72,$A200+1)*(1+Assumptions!$B$24)+(Surface_Engine!Q236*12)*INDEX(Surface_Engine!$F$12:$F$72,$A200+1)-(Surface_Engine!Q236*12),1000*12*INDEX(Surface_Engine!$C$12:$C$72,$A200+1)/(1+Assumptions!$B$10)^30+INDEX(Surface_Engine!$D$12:$D$72,$A200+1)*(1+Assumptions!$B$24)))*INDEX(Surface_Engine!$B$12:$B$72,$A200+1)+J201</f>
        <v>1190.34660710131</v>
      </c>
      <c r="K200" s="12" t="n">
        <f aca="false">SQRT((IF(C200&lt;=0,0,MAX(0,(B200/C200)*G200/INDEX(Surface_Engine!$B$12:$B$72,$A200+1)-F200/INDEX(Surface_Engine!$B$12:$B$72,$A200+1))))^2+(MAX(IF(D200&lt;=0,0,MAX(0,(B200/D200)*H200/INDEX(Surface_Engine!$B$12:$B$72,$A200+1)-F200/INDEX(Surface_Engine!$B$12:$B$72,$A200+1))),IF(E200&lt;=0,0,MAX(0,(B200/E200)*I200/INDEX(Surface_Engine!$B$12:$B$72,$A200+1)-F200/INDEX(Surface_Engine!$B$12:$B$72,$A200+1))),IF($A200&lt;$Q$195,MAX(0,-Assumptions!$B$22*(F200/INDEX(Surface_Engine!$B$12:$B$72,$A200+1))),0)))^2+(MAX(0,J200/INDEX(Surface_Engine!$B$12:$B$72,$A200+1)-(F200/INDEX(Surface_Engine!$B$12:$B$72,$A200+1))))^2+2*Assumptions!$B$26*(IF(C200&lt;=0,0,MAX(0,(B200/C200)*G200/INDEX(Surface_Engine!$B$12:$B$72,$A200+1)-F200/INDEX(Surface_Engine!$B$12:$B$72,$A200+1))))*(MAX(IF(D200&lt;=0,0,MAX(0,(B200/D200)*H200/INDEX(Surface_Engine!$B$12:$B$72,$A200+1)-F200/INDEX(Surface_Engine!$B$12:$B$72,$A200+1))),IF(E200&lt;=0,0,MAX(0,(B200/E200)*I200/INDEX(Surface_Engine!$B$12:$B$72,$A200+1)-F200/INDEX(Surface_Engine!$B$12:$B$72,$A200+1))),IF($A200&lt;$Q$195,MAX(0,-Assumptions!$B$22*(F200/INDEX(Surface_Engine!$B$12:$B$72,$A200+1))),0)))+2*Assumptions!$B$27*(IF(C200&lt;=0,0,MAX(0,(B200/C200)*G200/INDEX(Surface_Engine!$B$12:$B$72,$A200+1)-F200/INDEX(Surface_Engine!$B$12:$B$72,$A200+1))))*(MAX(0,J200/INDEX(Surface_Engine!$B$12:$B$72,$A200+1)-(F200/INDEX(Surface_Engine!$B$12:$B$72,$A200+1))))+2*Assumptions!$B$28*(MAX(IF(D200&lt;=0,0,MAX(0,(B200/D200)*H200/INDEX(Surface_Engine!$B$12:$B$72,$A200+1)-F200/INDEX(Surface_Engine!$B$12:$B$72,$A200+1))),IF(E200&lt;=0,0,MAX(0,(B200/E200)*I200/INDEX(Surface_Engine!$B$12:$B$72,$A200+1)-F200/INDEX(Surface_Engine!$B$12:$B$72,$A200+1))),IF($A200&lt;$Q$195,MAX(0,-Assumptions!$B$22*(F200/INDEX(Surface_Engine!$B$12:$B$72,$A200+1))),0)))*(MAX(0,J200/INDEX(Surface_Engine!$B$12:$B$72,$A200+1)-(F200/INDEX(Surface_Engine!$B$12:$B$72,$A200+1)))))</f>
        <v>4330.13716789099</v>
      </c>
      <c r="L200" s="48" t="n">
        <f aca="false">K200*INDEX(Surface_Engine!$B$12:$B$72,$A200+1)+L201</f>
        <v>103090.593636899</v>
      </c>
      <c r="M200" s="48" t="n">
        <f aca="false">M199+B199*(IF($A199&lt;$Q$195,(Surface_Engine!Q236*12)-(Surface_Engine!Q236*12)*INDEX(Surface_Engine!$F$12:$F$72,$A199+1)-INDEX(Surface_Engine!$D$12:$D$72,$A199+1),-(1000*12*INDEX(Surface_Engine!$C$12:$C$72,$A199+1)/(1+Assumptions!$B$10)^30+INDEX(Surface_Engine!$D$12:$D$72,$A199+1))))*INDEX(Surface_Engine!$B$12:$B$72,$A199+1)</f>
        <v>1495.4128577988</v>
      </c>
      <c r="N200" s="12" t="n">
        <f aca="false">IF(B200&lt;=0,0,MAX(0,(K200+Assumptions!$B$29*L200/INDEX(Surface_Engine!$B$12:$B$72,$A200+1)-(M200/INDEX(Surface_Engine!$B$12:$B$72,$A200+1)-(F200/INDEX(Surface_Engine!$B$12:$B$72,$A200+1))))/B200))</f>
        <v>11458.5160514482</v>
      </c>
    </row>
    <row r="201" customFormat="false" ht="15" hidden="false" customHeight="true" outlineLevel="0" collapsed="false">
      <c r="A201" s="1" t="n">
        <v>4</v>
      </c>
      <c r="B201" s="32" t="n">
        <f aca="false">INDEX(Surface_Engine!$G$12:$G$72,$A201+1)*IF($A201&lt;$Q$195,INDEX(Surface_Engine!$E$12:$E$72,$A201+1),INDEX(Surface_Engine!$E$12:$E$72,$Q$195+1))</f>
        <v>0.901796298392175</v>
      </c>
      <c r="C201" s="32" t="n">
        <f aca="false">INDEX(Panel_Reserving!$B$8:$B$68,$A201+1)*IF($A201&lt;$Q$195,INDEX(Surface_Engine!$E$12:$E$72,$A201+1),INDEX(Surface_Engine!$E$12:$E$72,$Q$195+1))</f>
        <v>0.90418373567551</v>
      </c>
      <c r="D201" s="32" t="n">
        <f aca="false">INDEX(Surface_Engine!$G$12:$G$72,$A201+1)*IF($A201&lt;$Q$195,INDEX(Surface_Engine!$Y$12:$Y$72,$A201+1),INDEX(Surface_Engine!$Y$12:$Y$72,$Q$195+1))</f>
        <v>0.861198490212338</v>
      </c>
      <c r="E201" s="32" t="n">
        <f aca="false">INDEX(Surface_Engine!$G$12:$G$72,$A201+1)*IF($A201&lt;$Q$195,INDEX(Surface_Engine!$Z$12:$Z$72,$A201+1),INDEX(Surface_Engine!$Z$12:$Z$72,$Q$195+1))</f>
        <v>0.943683322381046</v>
      </c>
      <c r="F201" s="48" t="n">
        <f aca="false">B201*(IF($A201&lt;$Q$195,INDEX(Surface_Engine!$D$12:$D$72,$A201+1)+(Surface_Engine!Q236*12)*INDEX(Surface_Engine!$F$12:$F$72,$A201+1)-(Surface_Engine!Q236*12),1000*12*INDEX(Surface_Engine!$C$12:$C$72,$A201+1)/(1+Assumptions!$B$10)^30+INDEX(Surface_Engine!$D$12:$D$72,$A201+1)))*INDEX(Surface_Engine!$B$12:$B$72,$A201+1)+F202</f>
        <v>1762.85889186816</v>
      </c>
      <c r="G201" s="48" t="n">
        <f aca="false">C201*(IF($A201&lt;$Q$195,INDEX(Surface_Engine!$D$12:$D$72,$A201+1)+(Surface_Engine!Q236*12)*INDEX(Surface_Engine!$F$12:$F$72,$A201+1)-(Surface_Engine!Q236*12),1000*12*INDEX(Surface_Engine!$C$12:$C$72,$A201+1)/(1+Assumptions!$B$10)^30+INDEX(Surface_Engine!$D$12:$D$72,$A201+1)))*INDEX(Surface_Engine!$B$12:$B$72,$A201+1)+G202</f>
        <v>5310.81798236268</v>
      </c>
      <c r="H201" s="48" t="n">
        <f aca="false">D201*(IF($A201&lt;$Q$195,INDEX(Surface_Engine!$D$12:$D$72,$A201+1)+(Surface_Engine!Q236*12)*INDEX(Surface_Engine!$F$12:$F$72,$A201+1)-(Surface_Engine!Q236*12),1000*12*INDEX(Surface_Engine!$C$12:$C$72,$A201+1)/(1+Assumptions!$B$10)^30+INDEX(Surface_Engine!$D$12:$D$72,$A201+1)))*INDEX(Surface_Engine!$B$12:$B$72,$A201+1)+H202</f>
        <v>809.10681482929</v>
      </c>
      <c r="I201" s="48" t="n">
        <f aca="false">E201*(IF($A201&lt;$Q$195,INDEX(Surface_Engine!$D$12:$D$72,$A201+1)+(Surface_Engine!Q236*12)*INDEX(Surface_Engine!$F$12:$F$72,$A201+1)-(Surface_Engine!Q236*12),1000*12*INDEX(Surface_Engine!$C$12:$C$72,$A201+1)/(1+Assumptions!$B$10)^30+INDEX(Surface_Engine!$D$12:$D$72,$A201+1)))*INDEX(Surface_Engine!$B$12:$B$72,$A201+1)+I202</f>
        <v>2948.07573657541</v>
      </c>
      <c r="J201" s="48" t="n">
        <f aca="false">B201*(IF($A201&lt;$Q$195,INDEX(Surface_Engine!$D$12:$D$72,$A201+1)*(1+Assumptions!$B$24)+(Surface_Engine!Q236*12)*INDEX(Surface_Engine!$F$12:$F$72,$A201+1)-(Surface_Engine!Q236*12),1000*12*INDEX(Surface_Engine!$C$12:$C$72,$A201+1)/(1+Assumptions!$B$10)^30+INDEX(Surface_Engine!$D$12:$D$72,$A201+1)*(1+Assumptions!$B$24)))*INDEX(Surface_Engine!$B$12:$B$72,$A201+1)+J202</f>
        <v>1916.48702201498</v>
      </c>
      <c r="K201" s="12" t="n">
        <f aca="false">SQRT((IF(C201&lt;=0,0,MAX(0,(B201/C201)*G201/INDEX(Surface_Engine!$B$12:$B$72,$A201+1)-F201/INDEX(Surface_Engine!$B$12:$B$72,$A201+1))))^2+(MAX(IF(D201&lt;=0,0,MAX(0,(B201/D201)*H201/INDEX(Surface_Engine!$B$12:$B$72,$A201+1)-F201/INDEX(Surface_Engine!$B$12:$B$72,$A201+1))),IF(E201&lt;=0,0,MAX(0,(B201/E201)*I201/INDEX(Surface_Engine!$B$12:$B$72,$A201+1)-F201/INDEX(Surface_Engine!$B$12:$B$72,$A201+1))),IF($A201&lt;$Q$195,MAX(0,-Assumptions!$B$22*(F201/INDEX(Surface_Engine!$B$12:$B$72,$A201+1))),0)))^2+(MAX(0,J201/INDEX(Surface_Engine!$B$12:$B$72,$A201+1)-(F201/INDEX(Surface_Engine!$B$12:$B$72,$A201+1))))^2+2*Assumptions!$B$26*(IF(C201&lt;=0,0,MAX(0,(B201/C201)*G201/INDEX(Surface_Engine!$B$12:$B$72,$A201+1)-F201/INDEX(Surface_Engine!$B$12:$B$72,$A201+1))))*(MAX(IF(D201&lt;=0,0,MAX(0,(B201/D201)*H201/INDEX(Surface_Engine!$B$12:$B$72,$A201+1)-F201/INDEX(Surface_Engine!$B$12:$B$72,$A201+1))),IF(E201&lt;=0,0,MAX(0,(B201/E201)*I201/INDEX(Surface_Engine!$B$12:$B$72,$A201+1)-F201/INDEX(Surface_Engine!$B$12:$B$72,$A201+1))),IF($A201&lt;$Q$195,MAX(0,-Assumptions!$B$22*(F201/INDEX(Surface_Engine!$B$12:$B$72,$A201+1))),0)))+2*Assumptions!$B$27*(IF(C201&lt;=0,0,MAX(0,(B201/C201)*G201/INDEX(Surface_Engine!$B$12:$B$72,$A201+1)-F201/INDEX(Surface_Engine!$B$12:$B$72,$A201+1))))*(MAX(0,J201/INDEX(Surface_Engine!$B$12:$B$72,$A201+1)-(F201/INDEX(Surface_Engine!$B$12:$B$72,$A201+1))))+2*Assumptions!$B$28*(MAX(IF(D201&lt;=0,0,MAX(0,(B201/D201)*H201/INDEX(Surface_Engine!$B$12:$B$72,$A201+1)-F201/INDEX(Surface_Engine!$B$12:$B$72,$A201+1))),IF(E201&lt;=0,0,MAX(0,(B201/E201)*I201/INDEX(Surface_Engine!$B$12:$B$72,$A201+1)-F201/INDEX(Surface_Engine!$B$12:$B$72,$A201+1))),IF($A201&lt;$Q$195,MAX(0,-Assumptions!$B$22*(F201/INDEX(Surface_Engine!$B$12:$B$72,$A201+1))),0)))*(MAX(0,J201/INDEX(Surface_Engine!$B$12:$B$72,$A201+1)-(F201/INDEX(Surface_Engine!$B$12:$B$72,$A201+1)))))</f>
        <v>4427.68229081241</v>
      </c>
      <c r="L201" s="48" t="n">
        <f aca="false">K201*INDEX(Surface_Engine!$B$12:$B$72,$A201+1)+L202</f>
        <v>99084.1887292244</v>
      </c>
      <c r="M201" s="48" t="n">
        <f aca="false">M200+B200*(IF($A200&lt;$Q$195,(Surface_Engine!Q236*12)-(Surface_Engine!Q236*12)*INDEX(Surface_Engine!$F$12:$F$72,$A200+1)-INDEX(Surface_Engine!$D$12:$D$72,$A200+1),-(1000*12*INDEX(Surface_Engine!$C$12:$C$72,$A200+1)/(1+Assumptions!$B$10)^30+INDEX(Surface_Engine!$D$12:$D$72,$A200+1))))*INDEX(Surface_Engine!$B$12:$B$72,$A200+1)</f>
        <v>2229.04834378587</v>
      </c>
      <c r="N201" s="12" t="n">
        <f aca="false">IF(B201&lt;=0,0,MAX(0,(K201+Assumptions!$B$29*L201/INDEX(Surface_Engine!$B$12:$B$72,$A201+1)-(M201/INDEX(Surface_Engine!$B$12:$B$72,$A201+1)-(F201/INDEX(Surface_Engine!$B$12:$B$72,$A201+1))))/B201))</f>
        <v>11651.7237216513</v>
      </c>
    </row>
    <row r="202" customFormat="false" ht="15" hidden="false" customHeight="true" outlineLevel="0" collapsed="false">
      <c r="A202" s="1" t="n">
        <v>5</v>
      </c>
      <c r="B202" s="32" t="n">
        <f aca="false">INDEX(Surface_Engine!$G$12:$G$72,$A202+1)*IF($A202&lt;$Q$195,INDEX(Surface_Engine!$E$12:$E$72,$A202+1),INDEX(Surface_Engine!$E$12:$E$72,$Q$195+1))</f>
        <v>0.886202752861798</v>
      </c>
      <c r="C202" s="32" t="n">
        <f aca="false">INDEX(Panel_Reserving!$B$8:$B$68,$A202+1)*IF($A202&lt;$Q$195,INDEX(Surface_Engine!$E$12:$E$72,$A202+1),INDEX(Surface_Engine!$E$12:$E$72,$Q$195+1))</f>
        <v>0.889270744331308</v>
      </c>
      <c r="D202" s="32" t="n">
        <f aca="false">INDEX(Surface_Engine!$G$12:$G$72,$A202+1)*IF($A202&lt;$Q$195,INDEX(Surface_Engine!$Y$12:$Y$72,$A202+1),INDEX(Surface_Engine!$Y$12:$Y$72,$Q$195+1))</f>
        <v>0.840603145986252</v>
      </c>
      <c r="E202" s="32" t="n">
        <f aca="false">INDEX(Surface_Engine!$G$12:$G$72,$A202+1)*IF($A202&lt;$Q$195,INDEX(Surface_Engine!$Z$12:$Z$72,$A202+1),INDEX(Surface_Engine!$Z$12:$Z$72,$Q$195+1))</f>
        <v>0.933615587983189</v>
      </c>
      <c r="F202" s="48" t="n">
        <f aca="false">B202*(IF($A202&lt;$Q$195,INDEX(Surface_Engine!$D$12:$D$72,$A202+1)+(Surface_Engine!Q236*12)*INDEX(Surface_Engine!$F$12:$F$72,$A202+1)-(Surface_Engine!Q236*12),1000*12*INDEX(Surface_Engine!$C$12:$C$72,$A202+1)/(1+Assumptions!$B$10)^30+INDEX(Surface_Engine!$D$12:$D$72,$A202+1)))*INDEX(Surface_Engine!$B$12:$B$72,$A202+1)+F203</f>
        <v>2463.48925591013</v>
      </c>
      <c r="G202" s="48" t="n">
        <f aca="false">C202*(IF($A202&lt;$Q$195,INDEX(Surface_Engine!$D$12:$D$72,$A202+1)+(Surface_Engine!Q236*12)*INDEX(Surface_Engine!$F$12:$F$72,$A202+1)-(Surface_Engine!Q236*12),1000*12*INDEX(Surface_Engine!$C$12:$C$72,$A202+1)/(1+Assumptions!$B$10)^30+INDEX(Surface_Engine!$D$12:$D$72,$A202+1)))*INDEX(Surface_Engine!$B$12:$B$72,$A202+1)+G203</f>
        <v>6013.30321213867</v>
      </c>
      <c r="H202" s="48" t="n">
        <f aca="false">D202*(IF($A202&lt;$Q$195,INDEX(Surface_Engine!$D$12:$D$72,$A202+1)+(Surface_Engine!Q236*12)*INDEX(Surface_Engine!$F$12:$F$72,$A202+1)-(Surface_Engine!Q236*12),1000*12*INDEX(Surface_Engine!$C$12:$C$72,$A202+1)/(1+Assumptions!$B$10)^30+INDEX(Surface_Engine!$D$12:$D$72,$A202+1)))*INDEX(Surface_Engine!$B$12:$B$72,$A202+1)+H203</f>
        <v>1478.19562433721</v>
      </c>
      <c r="I202" s="48" t="n">
        <f aca="false">E202*(IF($A202&lt;$Q$195,INDEX(Surface_Engine!$D$12:$D$72,$A202+1)+(Surface_Engine!Q236*12)*INDEX(Surface_Engine!$F$12:$F$72,$A202+1)-(Surface_Engine!Q236*12),1000*12*INDEX(Surface_Engine!$C$12:$C$72,$A202+1)/(1+Assumptions!$B$10)^30+INDEX(Surface_Engine!$D$12:$D$72,$A202+1)))*INDEX(Surface_Engine!$B$12:$B$72,$A202+1)+I203</f>
        <v>3681.24928239611</v>
      </c>
      <c r="J202" s="48" t="n">
        <f aca="false">B202*(IF($A202&lt;$Q$195,INDEX(Surface_Engine!$D$12:$D$72,$A202+1)*(1+Assumptions!$B$24)+(Surface_Engine!Q236*12)*INDEX(Surface_Engine!$F$12:$F$72,$A202+1)-(Surface_Engine!Q236*12),1000*12*INDEX(Surface_Engine!$C$12:$C$72,$A202+1)/(1+Assumptions!$B$10)^30+INDEX(Surface_Engine!$D$12:$D$72,$A202+1)*(1+Assumptions!$B$24)))*INDEX(Surface_Engine!$B$12:$B$72,$A202+1)+J203</f>
        <v>2609.76177274727</v>
      </c>
      <c r="K202" s="12" t="n">
        <f aca="false">SQRT((IF(C202&lt;=0,0,MAX(0,(B202/C202)*G202/INDEX(Surface_Engine!$B$12:$B$72,$A202+1)-F202/INDEX(Surface_Engine!$B$12:$B$72,$A202+1))))^2+(MAX(IF(D202&lt;=0,0,MAX(0,(B202/D202)*H202/INDEX(Surface_Engine!$B$12:$B$72,$A202+1)-F202/INDEX(Surface_Engine!$B$12:$B$72,$A202+1))),IF(E202&lt;=0,0,MAX(0,(B202/E202)*I202/INDEX(Surface_Engine!$B$12:$B$72,$A202+1)-F202/INDEX(Surface_Engine!$B$12:$B$72,$A202+1))),IF($A202&lt;$Q$195,MAX(0,-Assumptions!$B$22*(F202/INDEX(Surface_Engine!$B$12:$B$72,$A202+1))),0)))^2+(MAX(0,J202/INDEX(Surface_Engine!$B$12:$B$72,$A202+1)-(F202/INDEX(Surface_Engine!$B$12:$B$72,$A202+1))))^2+2*Assumptions!$B$26*(IF(C202&lt;=0,0,MAX(0,(B202/C202)*G202/INDEX(Surface_Engine!$B$12:$B$72,$A202+1)-F202/INDEX(Surface_Engine!$B$12:$B$72,$A202+1))))*(MAX(IF(D202&lt;=0,0,MAX(0,(B202/D202)*H202/INDEX(Surface_Engine!$B$12:$B$72,$A202+1)-F202/INDEX(Surface_Engine!$B$12:$B$72,$A202+1))),IF(E202&lt;=0,0,MAX(0,(B202/E202)*I202/INDEX(Surface_Engine!$B$12:$B$72,$A202+1)-F202/INDEX(Surface_Engine!$B$12:$B$72,$A202+1))),IF($A202&lt;$Q$195,MAX(0,-Assumptions!$B$22*(F202/INDEX(Surface_Engine!$B$12:$B$72,$A202+1))),0)))+2*Assumptions!$B$27*(IF(C202&lt;=0,0,MAX(0,(B202/C202)*G202/INDEX(Surface_Engine!$B$12:$B$72,$A202+1)-F202/INDEX(Surface_Engine!$B$12:$B$72,$A202+1))))*(MAX(0,J202/INDEX(Surface_Engine!$B$12:$B$72,$A202+1)-(F202/INDEX(Surface_Engine!$B$12:$B$72,$A202+1))))+2*Assumptions!$B$28*(MAX(IF(D202&lt;=0,0,MAX(0,(B202/D202)*H202/INDEX(Surface_Engine!$B$12:$B$72,$A202+1)-F202/INDEX(Surface_Engine!$B$12:$B$72,$A202+1))),IF(E202&lt;=0,0,MAX(0,(B202/E202)*I202/INDEX(Surface_Engine!$B$12:$B$72,$A202+1)-F202/INDEX(Surface_Engine!$B$12:$B$72,$A202+1))),IF($A202&lt;$Q$195,MAX(0,-Assumptions!$B$22*(F202/INDEX(Surface_Engine!$B$12:$B$72,$A202+1))),0)))*(MAX(0,J202/INDEX(Surface_Engine!$B$12:$B$72,$A202+1)-(F202/INDEX(Surface_Engine!$B$12:$B$72,$A202+1)))))</f>
        <v>4529.58491042672</v>
      </c>
      <c r="L202" s="48" t="n">
        <f aca="false">K202*INDEX(Surface_Engine!$B$12:$B$72,$A202+1)+L203</f>
        <v>95094.1457098743</v>
      </c>
      <c r="M202" s="48" t="n">
        <f aca="false">M201+B201*(IF($A201&lt;$Q$195,(Surface_Engine!Q236*12)-(Surface_Engine!Q236*12)*INDEX(Surface_Engine!$F$12:$F$72,$A201+1)-INDEX(Surface_Engine!$D$12:$D$72,$A201+1),-(1000*12*INDEX(Surface_Engine!$C$12:$C$72,$A201+1)/(1+Assumptions!$B$10)^30+INDEX(Surface_Engine!$D$12:$D$72,$A201+1))))*INDEX(Surface_Engine!$B$12:$B$72,$A201+1)</f>
        <v>2929.67870782785</v>
      </c>
      <c r="N202" s="12" t="n">
        <f aca="false">IF(B202&lt;=0,0,MAX(0,(K202+Assumptions!$B$29*L202/INDEX(Surface_Engine!$B$12:$B$72,$A202+1)-(M202/INDEX(Surface_Engine!$B$12:$B$72,$A202+1)-(F202/INDEX(Surface_Engine!$B$12:$B$72,$A202+1))))/B202))</f>
        <v>11855.7329564637</v>
      </c>
    </row>
    <row r="203" customFormat="false" ht="15" hidden="false" customHeight="true" outlineLevel="0" collapsed="false">
      <c r="A203" s="1" t="n">
        <v>6</v>
      </c>
      <c r="B203" s="32" t="n">
        <f aca="false">INDEX(Surface_Engine!$G$12:$G$72,$A203+1)*IF($A203&lt;$Q$195,INDEX(Surface_Engine!$E$12:$E$72,$A203+1),INDEX(Surface_Engine!$E$12:$E$72,$Q$195+1))</f>
        <v>0.874052188827989</v>
      </c>
      <c r="C203" s="32" t="n">
        <f aca="false">INDEX(Panel_Reserving!$B$8:$B$68,$A203+1)*IF($A203&lt;$Q$195,INDEX(Surface_Engine!$E$12:$E$72,$A203+1),INDEX(Surface_Engine!$E$12:$E$72,$Q$195+1))</f>
        <v>0.877898168613168</v>
      </c>
      <c r="D203" s="32" t="n">
        <f aca="false">INDEX(Surface_Engine!$G$12:$G$72,$A203+1)*IF($A203&lt;$Q$195,INDEX(Surface_Engine!$Y$12:$Y$72,$A203+1),INDEX(Surface_Engine!$Y$12:$Y$72,$Q$195+1))</f>
        <v>0.825270842668277</v>
      </c>
      <c r="E203" s="32" t="n">
        <f aca="false">INDEX(Surface_Engine!$G$12:$G$72,$A203+1)*IF($A203&lt;$Q$195,INDEX(Surface_Engine!$Z$12:$Z$72,$A203+1),INDEX(Surface_Engine!$Z$12:$Z$72,$Q$195+1))</f>
        <v>0.925043139754908</v>
      </c>
      <c r="F203" s="48" t="n">
        <f aca="false">B203*(IF($A203&lt;$Q$195,INDEX(Surface_Engine!$D$12:$D$72,$A203+1)+(Surface_Engine!Q236*12)*INDEX(Surface_Engine!$F$12:$F$72,$A203+1)-(Surface_Engine!Q236*12),1000*12*INDEX(Surface_Engine!$C$12:$C$72,$A203+1)/(1+Assumptions!$B$10)^30+INDEX(Surface_Engine!$D$12:$D$72,$A203+1)))*INDEX(Surface_Engine!$B$12:$B$72,$A203+1)+F204</f>
        <v>3131.48615739427</v>
      </c>
      <c r="G203" s="48" t="n">
        <f aca="false">C203*(IF($A203&lt;$Q$195,INDEX(Surface_Engine!$D$12:$D$72,$A203+1)+(Surface_Engine!Q236*12)*INDEX(Surface_Engine!$F$12:$F$72,$A203+1)-(Surface_Engine!Q236*12),1000*12*INDEX(Surface_Engine!$C$12:$C$72,$A203+1)/(1+Assumptions!$B$10)^30+INDEX(Surface_Engine!$D$12:$D$72,$A203+1)))*INDEX(Surface_Engine!$B$12:$B$72,$A203+1)+G204</f>
        <v>6683.6126868898</v>
      </c>
      <c r="H203" s="48" t="n">
        <f aca="false">D203*(IF($A203&lt;$Q$195,INDEX(Surface_Engine!$D$12:$D$72,$A203+1)+(Surface_Engine!Q236*12)*INDEX(Surface_Engine!$F$12:$F$72,$A203+1)-(Surface_Engine!Q236*12),1000*12*INDEX(Surface_Engine!$C$12:$C$72,$A203+1)/(1+Assumptions!$B$10)^30+INDEX(Surface_Engine!$D$12:$D$72,$A203+1)))*INDEX(Surface_Engine!$B$12:$B$72,$A203+1)+H204</f>
        <v>2111.82071191827</v>
      </c>
      <c r="I203" s="48" t="n">
        <f aca="false">E203*(IF($A203&lt;$Q$195,INDEX(Surface_Engine!$D$12:$D$72,$A203+1)+(Surface_Engine!Q236*12)*INDEX(Surface_Engine!$F$12:$F$72,$A203+1)-(Surface_Engine!Q236*12),1000*12*INDEX(Surface_Engine!$C$12:$C$72,$A203+1)/(1+Assumptions!$B$10)^30+INDEX(Surface_Engine!$D$12:$D$72,$A203+1)))*INDEX(Surface_Engine!$B$12:$B$72,$A203+1)+I204</f>
        <v>4384.98476272057</v>
      </c>
      <c r="J203" s="48" t="n">
        <f aca="false">B203*(IF($A203&lt;$Q$195,INDEX(Surface_Engine!$D$12:$D$72,$A203+1)*(1+Assumptions!$B$24)+(Surface_Engine!Q236*12)*INDEX(Surface_Engine!$F$12:$F$72,$A203+1)-(Surface_Engine!Q236*12),1000*12*INDEX(Surface_Engine!$C$12:$C$72,$A203+1)/(1+Assumptions!$B$10)^30+INDEX(Surface_Engine!$D$12:$D$72,$A203+1)*(1+Assumptions!$B$24)))*INDEX(Surface_Engine!$B$12:$B$72,$A203+1)+J204</f>
        <v>3270.55142377829</v>
      </c>
      <c r="K203" s="12" t="n">
        <f aca="false">SQRT((IF(C203&lt;=0,0,MAX(0,(B203/C203)*G203/INDEX(Surface_Engine!$B$12:$B$72,$A203+1)-F203/INDEX(Surface_Engine!$B$12:$B$72,$A203+1))))^2+(MAX(IF(D203&lt;=0,0,MAX(0,(B203/D203)*H203/INDEX(Surface_Engine!$B$12:$B$72,$A203+1)-F203/INDEX(Surface_Engine!$B$12:$B$72,$A203+1))),IF(E203&lt;=0,0,MAX(0,(B203/E203)*I203/INDEX(Surface_Engine!$B$12:$B$72,$A203+1)-F203/INDEX(Surface_Engine!$B$12:$B$72,$A203+1))),IF($A203&lt;$Q$195,MAX(0,-Assumptions!$B$22*(F203/INDEX(Surface_Engine!$B$12:$B$72,$A203+1))),0)))^2+(MAX(0,J203/INDEX(Surface_Engine!$B$12:$B$72,$A203+1)-(F203/INDEX(Surface_Engine!$B$12:$B$72,$A203+1))))^2+2*Assumptions!$B$26*(IF(C203&lt;=0,0,MAX(0,(B203/C203)*G203/INDEX(Surface_Engine!$B$12:$B$72,$A203+1)-F203/INDEX(Surface_Engine!$B$12:$B$72,$A203+1))))*(MAX(IF(D203&lt;=0,0,MAX(0,(B203/D203)*H203/INDEX(Surface_Engine!$B$12:$B$72,$A203+1)-F203/INDEX(Surface_Engine!$B$12:$B$72,$A203+1))),IF(E203&lt;=0,0,MAX(0,(B203/E203)*I203/INDEX(Surface_Engine!$B$12:$B$72,$A203+1)-F203/INDEX(Surface_Engine!$B$12:$B$72,$A203+1))),IF($A203&lt;$Q$195,MAX(0,-Assumptions!$B$22*(F203/INDEX(Surface_Engine!$B$12:$B$72,$A203+1))),0)))+2*Assumptions!$B$27*(IF(C203&lt;=0,0,MAX(0,(B203/C203)*G203/INDEX(Surface_Engine!$B$12:$B$72,$A203+1)-F203/INDEX(Surface_Engine!$B$12:$B$72,$A203+1))))*(MAX(0,J203/INDEX(Surface_Engine!$B$12:$B$72,$A203+1)-(F203/INDEX(Surface_Engine!$B$12:$B$72,$A203+1))))+2*Assumptions!$B$28*(MAX(IF(D203&lt;=0,0,MAX(0,(B203/D203)*H203/INDEX(Surface_Engine!$B$12:$B$72,$A203+1)-F203/INDEX(Surface_Engine!$B$12:$B$72,$A203+1))),IF(E203&lt;=0,0,MAX(0,(B203/E203)*I203/INDEX(Surface_Engine!$B$12:$B$72,$A203+1)-F203/INDEX(Surface_Engine!$B$12:$B$72,$A203+1))),IF($A203&lt;$Q$195,MAX(0,-Assumptions!$B$22*(F203/INDEX(Surface_Engine!$B$12:$B$72,$A203+1))),0)))*(MAX(0,J203/INDEX(Surface_Engine!$B$12:$B$72,$A203+1)-(F203/INDEX(Surface_Engine!$B$12:$B$72,$A203+1)))))</f>
        <v>4639.10274514586</v>
      </c>
      <c r="L203" s="48" t="n">
        <f aca="false">K203*INDEX(Surface_Engine!$B$12:$B$72,$A203+1)+L204</f>
        <v>91123.4944466986</v>
      </c>
      <c r="M203" s="48" t="n">
        <f aca="false">M202+B202*(IF($A202&lt;$Q$195,(Surface_Engine!Q236*12)-(Surface_Engine!Q236*12)*INDEX(Surface_Engine!$F$12:$F$72,$A202+1)-INDEX(Surface_Engine!$D$12:$D$72,$A202+1),-(1000*12*INDEX(Surface_Engine!$C$12:$C$72,$A202+1)/(1+Assumptions!$B$10)^30+INDEX(Surface_Engine!$D$12:$D$72,$A202+1))))*INDEX(Surface_Engine!$B$12:$B$72,$A202+1)</f>
        <v>3597.67560931198</v>
      </c>
      <c r="N203" s="12" t="n">
        <f aca="false">IF(B203&lt;=0,0,MAX(0,(K203+Assumptions!$B$29*L203/INDEX(Surface_Engine!$B$12:$B$72,$A203+1)-(M203/INDEX(Surface_Engine!$B$12:$B$72,$A203+1)-(F203/INDEX(Surface_Engine!$B$12:$B$72,$A203+1))))/B203))</f>
        <v>12023.6245344529</v>
      </c>
    </row>
    <row r="204" customFormat="false" ht="15" hidden="false" customHeight="true" outlineLevel="0" collapsed="false">
      <c r="A204" s="1" t="n">
        <v>7</v>
      </c>
      <c r="B204" s="32" t="n">
        <f aca="false">INDEX(Surface_Engine!$G$12:$G$72,$A204+1)*IF($A204&lt;$Q$195,INDEX(Surface_Engine!$E$12:$E$72,$A204+1),INDEX(Surface_Engine!$E$12:$E$72,$Q$195+1))</f>
        <v>0.861675798625979</v>
      </c>
      <c r="C204" s="32" t="n">
        <f aca="false">INDEX(Panel_Reserving!$B$8:$B$68,$A204+1)*IF($A204&lt;$Q$195,INDEX(Surface_Engine!$E$12:$E$72,$A204+1),INDEX(Surface_Engine!$E$12:$E$72,$Q$195+1))</f>
        <v>0.866355715190251</v>
      </c>
      <c r="D204" s="32" t="n">
        <f aca="false">INDEX(Surface_Engine!$G$12:$G$72,$A204+1)*IF($A204&lt;$Q$195,INDEX(Surface_Engine!$Y$12:$Y$72,$A204+1),INDEX(Surface_Engine!$Y$12:$Y$72,$Q$195+1))</f>
        <v>0.809849377339046</v>
      </c>
      <c r="E204" s="32" t="n">
        <f aca="false">INDEX(Surface_Engine!$G$12:$G$72,$A204+1)*IF($A204&lt;$Q$195,INDEX(Surface_Engine!$Z$12:$Z$72,$A204+1),INDEX(Surface_Engine!$Z$12:$Z$72,$Q$195+1))</f>
        <v>0.916132183051795</v>
      </c>
      <c r="F204" s="48" t="n">
        <f aca="false">B204*(IF($A204&lt;$Q$195,INDEX(Surface_Engine!$D$12:$D$72,$A204+1)+(Surface_Engine!Q236*12)*INDEX(Surface_Engine!$F$12:$F$72,$A204+1)-(Surface_Engine!Q236*12),1000*12*INDEX(Surface_Engine!$C$12:$C$72,$A204+1)/(1+Assumptions!$B$10)^30+INDEX(Surface_Engine!$D$12:$D$72,$A204+1)))*INDEX(Surface_Engine!$B$12:$B$72,$A204+1)+F205</f>
        <v>3770.08402488315</v>
      </c>
      <c r="G204" s="48" t="n">
        <f aca="false">C204*(IF($A204&lt;$Q$195,INDEX(Surface_Engine!$D$12:$D$72,$A204+1)+(Surface_Engine!Q236*12)*INDEX(Surface_Engine!$F$12:$F$72,$A204+1)-(Surface_Engine!Q236*12),1000*12*INDEX(Surface_Engine!$C$12:$C$72,$A204+1)/(1+Assumptions!$B$10)^30+INDEX(Surface_Engine!$D$12:$D$72,$A204+1)))*INDEX(Surface_Engine!$B$12:$B$72,$A204+1)+G205</f>
        <v>7325.02049470103</v>
      </c>
      <c r="H204" s="48" t="n">
        <f aca="false">D204*(IF($A204&lt;$Q$195,INDEX(Surface_Engine!$D$12:$D$72,$A204+1)+(Surface_Engine!Q236*12)*INDEX(Surface_Engine!$F$12:$F$72,$A204+1)-(Surface_Engine!Q236*12),1000*12*INDEX(Surface_Engine!$C$12:$C$72,$A204+1)/(1+Assumptions!$B$10)^30+INDEX(Surface_Engine!$D$12:$D$72,$A204+1)))*INDEX(Surface_Engine!$B$12:$B$72,$A204+1)+H205</f>
        <v>2714.77807186195</v>
      </c>
      <c r="I204" s="48" t="n">
        <f aca="false">E204*(IF($A204&lt;$Q$195,INDEX(Surface_Engine!$D$12:$D$72,$A204+1)+(Surface_Engine!Q236*12)*INDEX(Surface_Engine!$F$12:$F$72,$A204+1)-(Surface_Engine!Q236*12),1000*12*INDEX(Surface_Engine!$C$12:$C$72,$A204+1)/(1+Assumptions!$B$10)^30+INDEX(Surface_Engine!$D$12:$D$72,$A204+1)))*INDEX(Surface_Engine!$B$12:$B$72,$A204+1)+I205</f>
        <v>5060.8375137729</v>
      </c>
      <c r="J204" s="48" t="n">
        <f aca="false">B204*(IF($A204&lt;$Q$195,INDEX(Surface_Engine!$D$12:$D$72,$A204+1)*(1+Assumptions!$B$24)+(Surface_Engine!Q236*12)*INDEX(Surface_Engine!$F$12:$F$72,$A204+1)-(Surface_Engine!Q236*12),1000*12*INDEX(Surface_Engine!$C$12:$C$72,$A204+1)/(1+Assumptions!$B$10)^30+INDEX(Surface_Engine!$D$12:$D$72,$A204+1)*(1+Assumptions!$B$24)))*INDEX(Surface_Engine!$B$12:$B$72,$A204+1)+J205</f>
        <v>3902.06788490757</v>
      </c>
      <c r="K204" s="12" t="n">
        <f aca="false">SQRT((IF(C204&lt;=0,0,MAX(0,(B204/C204)*G204/INDEX(Surface_Engine!$B$12:$B$72,$A204+1)-F204/INDEX(Surface_Engine!$B$12:$B$72,$A204+1))))^2+(MAX(IF(D204&lt;=0,0,MAX(0,(B204/D204)*H204/INDEX(Surface_Engine!$B$12:$B$72,$A204+1)-F204/INDEX(Surface_Engine!$B$12:$B$72,$A204+1))),IF(E204&lt;=0,0,MAX(0,(B204/E204)*I204/INDEX(Surface_Engine!$B$12:$B$72,$A204+1)-F204/INDEX(Surface_Engine!$B$12:$B$72,$A204+1))),IF($A204&lt;$Q$195,MAX(0,-Assumptions!$B$22*(F204/INDEX(Surface_Engine!$B$12:$B$72,$A204+1))),0)))^2+(MAX(0,J204/INDEX(Surface_Engine!$B$12:$B$72,$A204+1)-(F204/INDEX(Surface_Engine!$B$12:$B$72,$A204+1))))^2+2*Assumptions!$B$26*(IF(C204&lt;=0,0,MAX(0,(B204/C204)*G204/INDEX(Surface_Engine!$B$12:$B$72,$A204+1)-F204/INDEX(Surface_Engine!$B$12:$B$72,$A204+1))))*(MAX(IF(D204&lt;=0,0,MAX(0,(B204/D204)*H204/INDEX(Surface_Engine!$B$12:$B$72,$A204+1)-F204/INDEX(Surface_Engine!$B$12:$B$72,$A204+1))),IF(E204&lt;=0,0,MAX(0,(B204/E204)*I204/INDEX(Surface_Engine!$B$12:$B$72,$A204+1)-F204/INDEX(Surface_Engine!$B$12:$B$72,$A204+1))),IF($A204&lt;$Q$195,MAX(0,-Assumptions!$B$22*(F204/INDEX(Surface_Engine!$B$12:$B$72,$A204+1))),0)))+2*Assumptions!$B$27*(IF(C204&lt;=0,0,MAX(0,(B204/C204)*G204/INDEX(Surface_Engine!$B$12:$B$72,$A204+1)-F204/INDEX(Surface_Engine!$B$12:$B$72,$A204+1))))*(MAX(0,J204/INDEX(Surface_Engine!$B$12:$B$72,$A204+1)-(F204/INDEX(Surface_Engine!$B$12:$B$72,$A204+1))))+2*Assumptions!$B$28*(MAX(IF(D204&lt;=0,0,MAX(0,(B204/D204)*H204/INDEX(Surface_Engine!$B$12:$B$72,$A204+1)-F204/INDEX(Surface_Engine!$B$12:$B$72,$A204+1))),IF(E204&lt;=0,0,MAX(0,(B204/E204)*I204/INDEX(Surface_Engine!$B$12:$B$72,$A204+1)-F204/INDEX(Surface_Engine!$B$12:$B$72,$A204+1))),IF($A204&lt;$Q$195,MAX(0,-Assumptions!$B$22*(F204/INDEX(Surface_Engine!$B$12:$B$72,$A204+1))),0)))*(MAX(0,J204/INDEX(Surface_Engine!$B$12:$B$72,$A204+1)-(F204/INDEX(Surface_Engine!$B$12:$B$72,$A204+1)))))</f>
        <v>4753.86502818243</v>
      </c>
      <c r="L204" s="48" t="n">
        <f aca="false">K204*INDEX(Surface_Engine!$B$12:$B$72,$A204+1)+L205</f>
        <v>87171.1107569169</v>
      </c>
      <c r="M204" s="48" t="n">
        <f aca="false">M203+B203*(IF($A203&lt;$Q$195,(Surface_Engine!Q236*12)-(Surface_Engine!Q236*12)*INDEX(Surface_Engine!$F$12:$F$72,$A203+1)-INDEX(Surface_Engine!$D$12:$D$72,$A203+1),-(1000*12*INDEX(Surface_Engine!$C$12:$C$72,$A203+1)/(1+Assumptions!$B$10)^30+INDEX(Surface_Engine!$D$12:$D$72,$A203+1))))*INDEX(Surface_Engine!$B$12:$B$72,$A203+1)</f>
        <v>4236.27347680087</v>
      </c>
      <c r="N204" s="12" t="n">
        <f aca="false">IF(B204&lt;=0,0,MAX(0,(K204+Assumptions!$B$29*L204/INDEX(Surface_Engine!$B$12:$B$72,$A204+1)-(M204/INDEX(Surface_Engine!$B$12:$B$72,$A204+1)-(F204/INDEX(Surface_Engine!$B$12:$B$72,$A204+1))))/B204))</f>
        <v>12202.0965155415</v>
      </c>
    </row>
    <row r="205" customFormat="false" ht="15" hidden="false" customHeight="true" outlineLevel="0" collapsed="false">
      <c r="A205" s="1" t="n">
        <v>8</v>
      </c>
      <c r="B205" s="32" t="n">
        <f aca="false">INDEX(Surface_Engine!$G$12:$G$72,$A205+1)*IF($A205&lt;$Q$195,INDEX(Surface_Engine!$E$12:$E$72,$A205+1),INDEX(Surface_Engine!$E$12:$E$72,$Q$195+1))</f>
        <v>0.849037015354748</v>
      </c>
      <c r="C205" s="32" t="n">
        <f aca="false">INDEX(Panel_Reserving!$B$8:$B$68,$A205+1)*IF($A205&lt;$Q$195,INDEX(Surface_Engine!$E$12:$E$72,$A205+1),INDEX(Surface_Engine!$E$12:$E$72,$Q$195+1))</f>
        <v>0.854613006363728</v>
      </c>
      <c r="D205" s="32" t="n">
        <f aca="false">INDEX(Surface_Engine!$G$12:$G$72,$A205+1)*IF($A205&lt;$Q$195,INDEX(Surface_Engine!$Y$12:$Y$72,$A205+1),INDEX(Surface_Engine!$Y$12:$Y$72,$Q$195+1))</f>
        <v>0.794306656938183</v>
      </c>
      <c r="E205" s="32" t="n">
        <f aca="false">INDEX(Surface_Engine!$G$12:$G$72,$A205+1)*IF($A205&lt;$Q$195,INDEX(Surface_Engine!$Z$12:$Z$72,$A205+1),INDEX(Surface_Engine!$Z$12:$Z$72,$Q$195+1))</f>
        <v>0.906839631041542</v>
      </c>
      <c r="F205" s="48" t="n">
        <f aca="false">B205*(IF($A205&lt;$Q$195,INDEX(Surface_Engine!$D$12:$D$72,$A205+1)+(Surface_Engine!Q236*12)*INDEX(Surface_Engine!$F$12:$F$72,$A205+1)-(Surface_Engine!Q236*12),1000*12*INDEX(Surface_Engine!$C$12:$C$72,$A205+1)/(1+Assumptions!$B$10)^30+INDEX(Surface_Engine!$D$12:$D$72,$A205+1)))*INDEX(Surface_Engine!$B$12:$B$72,$A205+1)+F206</f>
        <v>4379.52328716554</v>
      </c>
      <c r="G205" s="48" t="n">
        <f aca="false">C205*(IF($A205&lt;$Q$195,INDEX(Surface_Engine!$D$12:$D$72,$A205+1)+(Surface_Engine!Q236*12)*INDEX(Surface_Engine!$F$12:$F$72,$A205+1)-(Surface_Engine!Q236*12),1000*12*INDEX(Surface_Engine!$C$12:$C$72,$A205+1)/(1+Assumptions!$B$10)^30+INDEX(Surface_Engine!$D$12:$D$72,$A205+1)))*INDEX(Surface_Engine!$B$12:$B$72,$A205+1)+G206</f>
        <v>7937.76973145761</v>
      </c>
      <c r="H205" s="48" t="n">
        <f aca="false">D205*(IF($A205&lt;$Q$195,INDEX(Surface_Engine!$D$12:$D$72,$A205+1)+(Surface_Engine!Q236*12)*INDEX(Surface_Engine!$F$12:$F$72,$A205+1)-(Surface_Engine!Q236*12),1000*12*INDEX(Surface_Engine!$C$12:$C$72,$A205+1)/(1+Assumptions!$B$10)^30+INDEX(Surface_Engine!$D$12:$D$72,$A205+1)))*INDEX(Surface_Engine!$B$12:$B$72,$A205+1)+H206</f>
        <v>3287.56195168354</v>
      </c>
      <c r="I205" s="48" t="n">
        <f aca="false">E205*(IF($A205&lt;$Q$195,INDEX(Surface_Engine!$D$12:$D$72,$A205+1)+(Surface_Engine!Q236*12)*INDEX(Surface_Engine!$F$12:$F$72,$A205+1)-(Surface_Engine!Q236*12),1000*12*INDEX(Surface_Engine!$C$12:$C$72,$A205+1)/(1+Assumptions!$B$10)^30+INDEX(Surface_Engine!$D$12:$D$72,$A205+1)))*INDEX(Surface_Engine!$B$12:$B$72,$A205+1)+I206</f>
        <v>5708.79225810081</v>
      </c>
      <c r="J205" s="48" t="n">
        <f aca="false">B205*(IF($A205&lt;$Q$195,INDEX(Surface_Engine!$D$12:$D$72,$A205+1)*(1+Assumptions!$B$24)+(Surface_Engine!Q236*12)*INDEX(Surface_Engine!$F$12:$F$72,$A205+1)-(Surface_Engine!Q236*12),1000*12*INDEX(Surface_Engine!$C$12:$C$72,$A205+1)/(1+Assumptions!$B$10)^30+INDEX(Surface_Engine!$D$12:$D$72,$A205+1)*(1+Assumptions!$B$24)))*INDEX(Surface_Engine!$B$12:$B$72,$A205+1)+J206</f>
        <v>4504.5608718894</v>
      </c>
      <c r="K205" s="12" t="n">
        <f aca="false">SQRT((IF(C205&lt;=0,0,MAX(0,(B205/C205)*G205/INDEX(Surface_Engine!$B$12:$B$72,$A205+1)-F205/INDEX(Surface_Engine!$B$12:$B$72,$A205+1))))^2+(MAX(IF(D205&lt;=0,0,MAX(0,(B205/D205)*H205/INDEX(Surface_Engine!$B$12:$B$72,$A205+1)-F205/INDEX(Surface_Engine!$B$12:$B$72,$A205+1))),IF(E205&lt;=0,0,MAX(0,(B205/E205)*I205/INDEX(Surface_Engine!$B$12:$B$72,$A205+1)-F205/INDEX(Surface_Engine!$B$12:$B$72,$A205+1))),IF($A205&lt;$Q$195,MAX(0,-Assumptions!$B$22*(F205/INDEX(Surface_Engine!$B$12:$B$72,$A205+1))),0)))^2+(MAX(0,J205/INDEX(Surface_Engine!$B$12:$B$72,$A205+1)-(F205/INDEX(Surface_Engine!$B$12:$B$72,$A205+1))))^2+2*Assumptions!$B$26*(IF(C205&lt;=0,0,MAX(0,(B205/C205)*G205/INDEX(Surface_Engine!$B$12:$B$72,$A205+1)-F205/INDEX(Surface_Engine!$B$12:$B$72,$A205+1))))*(MAX(IF(D205&lt;=0,0,MAX(0,(B205/D205)*H205/INDEX(Surface_Engine!$B$12:$B$72,$A205+1)-F205/INDEX(Surface_Engine!$B$12:$B$72,$A205+1))),IF(E205&lt;=0,0,MAX(0,(B205/E205)*I205/INDEX(Surface_Engine!$B$12:$B$72,$A205+1)-F205/INDEX(Surface_Engine!$B$12:$B$72,$A205+1))),IF($A205&lt;$Q$195,MAX(0,-Assumptions!$B$22*(F205/INDEX(Surface_Engine!$B$12:$B$72,$A205+1))),0)))+2*Assumptions!$B$27*(IF(C205&lt;=0,0,MAX(0,(B205/C205)*G205/INDEX(Surface_Engine!$B$12:$B$72,$A205+1)-F205/INDEX(Surface_Engine!$B$12:$B$72,$A205+1))))*(MAX(0,J205/INDEX(Surface_Engine!$B$12:$B$72,$A205+1)-(F205/INDEX(Surface_Engine!$B$12:$B$72,$A205+1))))+2*Assumptions!$B$28*(MAX(IF(D205&lt;=0,0,MAX(0,(B205/D205)*H205/INDEX(Surface_Engine!$B$12:$B$72,$A205+1)-F205/INDEX(Surface_Engine!$B$12:$B$72,$A205+1))),IF(E205&lt;=0,0,MAX(0,(B205/E205)*I205/INDEX(Surface_Engine!$B$12:$B$72,$A205+1)-F205/INDEX(Surface_Engine!$B$12:$B$72,$A205+1))),IF($A205&lt;$Q$195,MAX(0,-Assumptions!$B$22*(F205/INDEX(Surface_Engine!$B$12:$B$72,$A205+1))),0)))*(MAX(0,J205/INDEX(Surface_Engine!$B$12:$B$72,$A205+1)-(F205/INDEX(Surface_Engine!$B$12:$B$72,$A205+1)))))</f>
        <v>4873.85188450099</v>
      </c>
      <c r="L205" s="48" t="n">
        <f aca="false">K205*INDEX(Surface_Engine!$B$12:$B$72,$A205+1)+L206</f>
        <v>83239.4681464151</v>
      </c>
      <c r="M205" s="48" t="n">
        <f aca="false">M204+B204*(IF($A204&lt;$Q$195,(Surface_Engine!Q236*12)-(Surface_Engine!Q236*12)*INDEX(Surface_Engine!$F$12:$F$72,$A204+1)-INDEX(Surface_Engine!$D$12:$D$72,$A204+1),-(1000*12*INDEX(Surface_Engine!$C$12:$C$72,$A204+1)/(1+Assumptions!$B$10)^30+INDEX(Surface_Engine!$D$12:$D$72,$A204+1))))*INDEX(Surface_Engine!$B$12:$B$72,$A204+1)</f>
        <v>4845.71273908326</v>
      </c>
      <c r="N205" s="12" t="n">
        <f aca="false">IF(B205&lt;=0,0,MAX(0,(K205+Assumptions!$B$29*L205/INDEX(Surface_Engine!$B$12:$B$72,$A205+1)-(M205/INDEX(Surface_Engine!$B$12:$B$72,$A205+1)-(F205/INDEX(Surface_Engine!$B$12:$B$72,$A205+1))))/B205))</f>
        <v>12391.2524061031</v>
      </c>
    </row>
    <row r="206" customFormat="false" ht="15" hidden="false" customHeight="true" outlineLevel="0" collapsed="false">
      <c r="A206" s="1" t="n">
        <v>9</v>
      </c>
      <c r="B206" s="32" t="n">
        <f aca="false">INDEX(Surface_Engine!$G$12:$G$72,$A206+1)*IF($A206&lt;$Q$195,INDEX(Surface_Engine!$E$12:$E$72,$A206+1),INDEX(Surface_Engine!$E$12:$E$72,$Q$195+1))</f>
        <v>0.836096678851343</v>
      </c>
      <c r="C206" s="32" t="n">
        <f aca="false">INDEX(Panel_Reserving!$B$8:$B$68,$A206+1)*IF($A206&lt;$Q$195,INDEX(Surface_Engine!$E$12:$E$72,$A206+1),INDEX(Surface_Engine!$E$12:$E$72,$Q$195+1))</f>
        <v>0.842637353688004</v>
      </c>
      <c r="D206" s="32" t="n">
        <f aca="false">INDEX(Surface_Engine!$G$12:$G$72,$A206+1)*IF($A206&lt;$Q$195,INDEX(Surface_Engine!$Y$12:$Y$72,$A206+1),INDEX(Surface_Engine!$Y$12:$Y$72,$Q$195+1))</f>
        <v>0.77860877975083</v>
      </c>
      <c r="E206" s="32" t="n">
        <f aca="false">INDEX(Surface_Engine!$G$12:$G$72,$A206+1)*IF($A206&lt;$Q$195,INDEX(Surface_Engine!$Z$12:$Z$72,$A206+1),INDEX(Surface_Engine!$Z$12:$Z$72,$Q$195+1))</f>
        <v>0.897118862068647</v>
      </c>
      <c r="F206" s="48" t="n">
        <f aca="false">B206*(IF($A206&lt;$Q$195,INDEX(Surface_Engine!$D$12:$D$72,$A206+1)+(Surface_Engine!Q236*12)*INDEX(Surface_Engine!$F$12:$F$72,$A206+1)-(Surface_Engine!Q236*12),1000*12*INDEX(Surface_Engine!$C$12:$C$72,$A206+1)/(1+Assumptions!$B$10)^30+INDEX(Surface_Engine!$D$12:$D$72,$A206+1)))*INDEX(Surface_Engine!$B$12:$B$72,$A206+1)+F207</f>
        <v>4960.11306093916</v>
      </c>
      <c r="G206" s="48" t="n">
        <f aca="false">C206*(IF($A206&lt;$Q$195,INDEX(Surface_Engine!$D$12:$D$72,$A206+1)+(Surface_Engine!Q236*12)*INDEX(Surface_Engine!$F$12:$F$72,$A206+1)-(Surface_Engine!Q236*12),1000*12*INDEX(Surface_Engine!$C$12:$C$72,$A206+1)/(1+Assumptions!$B$10)^30+INDEX(Surface_Engine!$D$12:$D$72,$A206+1)))*INDEX(Surface_Engine!$B$12:$B$72,$A206+1)+G207</f>
        <v>8522.17248782199</v>
      </c>
      <c r="H206" s="48" t="n">
        <f aca="false">D206*(IF($A206&lt;$Q$195,INDEX(Surface_Engine!$D$12:$D$72,$A206+1)+(Surface_Engine!Q236*12)*INDEX(Surface_Engine!$F$12:$F$72,$A206+1)-(Surface_Engine!Q236*12),1000*12*INDEX(Surface_Engine!$C$12:$C$72,$A206+1)/(1+Assumptions!$B$10)^30+INDEX(Surface_Engine!$D$12:$D$72,$A206+1)))*INDEX(Surface_Engine!$B$12:$B$72,$A206+1)+H207</f>
        <v>3830.72592912913</v>
      </c>
      <c r="I206" s="48" t="n">
        <f aca="false">E206*(IF($A206&lt;$Q$195,INDEX(Surface_Engine!$D$12:$D$72,$A206+1)+(Surface_Engine!Q236*12)*INDEX(Surface_Engine!$F$12:$F$72,$A206+1)-(Surface_Engine!Q236*12),1000*12*INDEX(Surface_Engine!$C$12:$C$72,$A206+1)/(1+Assumptions!$B$10)^30+INDEX(Surface_Engine!$D$12:$D$72,$A206+1)))*INDEX(Surface_Engine!$B$12:$B$72,$A206+1)+I207</f>
        <v>6328.90870380768</v>
      </c>
      <c r="J206" s="48" t="n">
        <f aca="false">B206*(IF($A206&lt;$Q$195,INDEX(Surface_Engine!$D$12:$D$72,$A206+1)*(1+Assumptions!$B$24)+(Surface_Engine!Q236*12)*INDEX(Surface_Engine!$F$12:$F$72,$A206+1)-(Surface_Engine!Q236*12),1000*12*INDEX(Surface_Engine!$C$12:$C$72,$A206+1)/(1+Assumptions!$B$10)^30+INDEX(Surface_Engine!$D$12:$D$72,$A206+1)*(1+Assumptions!$B$24)))*INDEX(Surface_Engine!$B$12:$B$72,$A206+1)+J207</f>
        <v>5078.34837234752</v>
      </c>
      <c r="K206" s="12" t="n">
        <f aca="false">SQRT((IF(C206&lt;=0,0,MAX(0,(B206/C206)*G206/INDEX(Surface_Engine!$B$12:$B$72,$A206+1)-F206/INDEX(Surface_Engine!$B$12:$B$72,$A206+1))))^2+(MAX(IF(D206&lt;=0,0,MAX(0,(B206/D206)*H206/INDEX(Surface_Engine!$B$12:$B$72,$A206+1)-F206/INDEX(Surface_Engine!$B$12:$B$72,$A206+1))),IF(E206&lt;=0,0,MAX(0,(B206/E206)*I206/INDEX(Surface_Engine!$B$12:$B$72,$A206+1)-F206/INDEX(Surface_Engine!$B$12:$B$72,$A206+1))),IF($A206&lt;$Q$195,MAX(0,-Assumptions!$B$22*(F206/INDEX(Surface_Engine!$B$12:$B$72,$A206+1))),0)))^2+(MAX(0,J206/INDEX(Surface_Engine!$B$12:$B$72,$A206+1)-(F206/INDEX(Surface_Engine!$B$12:$B$72,$A206+1))))^2+2*Assumptions!$B$26*(IF(C206&lt;=0,0,MAX(0,(B206/C206)*G206/INDEX(Surface_Engine!$B$12:$B$72,$A206+1)-F206/INDEX(Surface_Engine!$B$12:$B$72,$A206+1))))*(MAX(IF(D206&lt;=0,0,MAX(0,(B206/D206)*H206/INDEX(Surface_Engine!$B$12:$B$72,$A206+1)-F206/INDEX(Surface_Engine!$B$12:$B$72,$A206+1))),IF(E206&lt;=0,0,MAX(0,(B206/E206)*I206/INDEX(Surface_Engine!$B$12:$B$72,$A206+1)-F206/INDEX(Surface_Engine!$B$12:$B$72,$A206+1))),IF($A206&lt;$Q$195,MAX(0,-Assumptions!$B$22*(F206/INDEX(Surface_Engine!$B$12:$B$72,$A206+1))),0)))+2*Assumptions!$B$27*(IF(C206&lt;=0,0,MAX(0,(B206/C206)*G206/INDEX(Surface_Engine!$B$12:$B$72,$A206+1)-F206/INDEX(Surface_Engine!$B$12:$B$72,$A206+1))))*(MAX(0,J206/INDEX(Surface_Engine!$B$12:$B$72,$A206+1)-(F206/INDEX(Surface_Engine!$B$12:$B$72,$A206+1))))+2*Assumptions!$B$28*(MAX(IF(D206&lt;=0,0,MAX(0,(B206/D206)*H206/INDEX(Surface_Engine!$B$12:$B$72,$A206+1)-F206/INDEX(Surface_Engine!$B$12:$B$72,$A206+1))),IF(E206&lt;=0,0,MAX(0,(B206/E206)*I206/INDEX(Surface_Engine!$B$12:$B$72,$A206+1)-F206/INDEX(Surface_Engine!$B$12:$B$72,$A206+1))),IF($A206&lt;$Q$195,MAX(0,-Assumptions!$B$22*(F206/INDEX(Surface_Engine!$B$12:$B$72,$A206+1))),0)))*(MAX(0,J206/INDEX(Surface_Engine!$B$12:$B$72,$A206+1)-(F206/INDEX(Surface_Engine!$B$12:$B$72,$A206+1)))))</f>
        <v>4998.40647879062</v>
      </c>
      <c r="L206" s="48" t="n">
        <f aca="false">K206*INDEX(Surface_Engine!$B$12:$B$72,$A206+1)+L207</f>
        <v>79331.1041425088</v>
      </c>
      <c r="M206" s="48" t="n">
        <f aca="false">M205+B205*(IF($A205&lt;$Q$195,(Surface_Engine!Q236*12)-(Surface_Engine!Q236*12)*INDEX(Surface_Engine!$F$12:$F$72,$A205+1)-INDEX(Surface_Engine!$D$12:$D$72,$A205+1),-(1000*12*INDEX(Surface_Engine!$C$12:$C$72,$A205+1)/(1+Assumptions!$B$10)^30+INDEX(Surface_Engine!$D$12:$D$72,$A205+1))))*INDEX(Surface_Engine!$B$12:$B$72,$A205+1)</f>
        <v>5426.30251285687</v>
      </c>
      <c r="N206" s="12" t="n">
        <f aca="false">IF(B206&lt;=0,0,MAX(0,(K206+Assumptions!$B$29*L206/INDEX(Surface_Engine!$B$12:$B$72,$A206+1)-(M206/INDEX(Surface_Engine!$B$12:$B$72,$A206+1)-(F206/INDEX(Surface_Engine!$B$12:$B$72,$A206+1))))/B206))</f>
        <v>12589.725735075</v>
      </c>
    </row>
    <row r="207" customFormat="false" ht="15" hidden="false" customHeight="true" outlineLevel="0" collapsed="false">
      <c r="A207" s="1" t="n">
        <v>10</v>
      </c>
      <c r="B207" s="32" t="n">
        <f aca="false">INDEX(Surface_Engine!$G$12:$G$72,$A207+1)*IF($A207&lt;$Q$195,INDEX(Surface_Engine!$E$12:$E$72,$A207+1),INDEX(Surface_Engine!$E$12:$E$72,$Q$195+1))</f>
        <v>0.822813755074838</v>
      </c>
      <c r="C207" s="32" t="n">
        <f aca="false">INDEX(Panel_Reserving!$B$8:$B$68,$A207+1)*IF($A207&lt;$Q$195,INDEX(Surface_Engine!$E$12:$E$72,$A207+1),INDEX(Surface_Engine!$E$12:$E$72,$Q$195+1))</f>
        <v>0.830394286224382</v>
      </c>
      <c r="D207" s="32" t="n">
        <f aca="false">INDEX(Surface_Engine!$G$12:$G$72,$A207+1)*IF($A207&lt;$Q$195,INDEX(Surface_Engine!$Y$12:$Y$72,$A207+1),INDEX(Surface_Engine!$Y$12:$Y$72,$Q$195+1))</f>
        <v>0.762720750662555</v>
      </c>
      <c r="E207" s="32" t="n">
        <f aca="false">INDEX(Surface_Engine!$G$12:$G$72,$A207+1)*IF($A207&lt;$Q$195,INDEX(Surface_Engine!$Z$12:$Z$72,$A207+1),INDEX(Surface_Engine!$Z$12:$Z$72,$Q$195+1))</f>
        <v>0.886920422708789</v>
      </c>
      <c r="F207" s="48" t="n">
        <f aca="false">B207*(IF($A207&lt;$Q$195,INDEX(Surface_Engine!$D$12:$D$72,$A207+1)+(Surface_Engine!Q236*12)*INDEX(Surface_Engine!$F$12:$F$72,$A207+1)-(Surface_Engine!Q236*12),1000*12*INDEX(Surface_Engine!$C$12:$C$72,$A207+1)/(1+Assumptions!$B$10)^30+INDEX(Surface_Engine!$D$12:$D$72,$A207+1)))*INDEX(Surface_Engine!$B$12:$B$72,$A207+1)+F208</f>
        <v>5512.28965663905</v>
      </c>
      <c r="G207" s="48" t="n">
        <f aca="false">C207*(IF($A207&lt;$Q$195,INDEX(Surface_Engine!$D$12:$D$72,$A207+1)+(Surface_Engine!Q236*12)*INDEX(Surface_Engine!$F$12:$F$72,$A207+1)-(Surface_Engine!Q236*12),1000*12*INDEX(Surface_Engine!$C$12:$C$72,$A207+1)/(1+Assumptions!$B$10)^30+INDEX(Surface_Engine!$D$12:$D$72,$A207+1)))*INDEX(Surface_Engine!$B$12:$B$72,$A207+1)+G208</f>
        <v>9078.66868872573</v>
      </c>
      <c r="H207" s="48" t="n">
        <f aca="false">D207*(IF($A207&lt;$Q$195,INDEX(Surface_Engine!$D$12:$D$72,$A207+1)+(Surface_Engine!Q236*12)*INDEX(Surface_Engine!$F$12:$F$72,$A207+1)-(Surface_Engine!Q236*12),1000*12*INDEX(Surface_Engine!$C$12:$C$72,$A207+1)/(1+Assumptions!$B$10)^30+INDEX(Surface_Engine!$D$12:$D$72,$A207+1)))*INDEX(Surface_Engine!$B$12:$B$72,$A207+1)+H208</f>
        <v>4344.93625463301</v>
      </c>
      <c r="I207" s="48" t="n">
        <f aca="false">E207*(IF($A207&lt;$Q$195,INDEX(Surface_Engine!$D$12:$D$72,$A207+1)+(Surface_Engine!Q236*12)*INDEX(Surface_Engine!$F$12:$F$72,$A207+1)-(Surface_Engine!Q236*12),1000*12*INDEX(Surface_Engine!$C$12:$C$72,$A207+1)/(1+Assumptions!$B$10)^30+INDEX(Surface_Engine!$D$12:$D$72,$A207+1)))*INDEX(Surface_Engine!$B$12:$B$72,$A207+1)+I208</f>
        <v>6921.38568849775</v>
      </c>
      <c r="J207" s="48" t="n">
        <f aca="false">B207*(IF($A207&lt;$Q$195,INDEX(Surface_Engine!$D$12:$D$72,$A207+1)*(1+Assumptions!$B$24)+(Surface_Engine!Q236*12)*INDEX(Surface_Engine!$F$12:$F$72,$A207+1)-(Surface_Engine!Q236*12),1000*12*INDEX(Surface_Engine!$C$12:$C$72,$A207+1)/(1+Assumptions!$B$10)^30+INDEX(Surface_Engine!$D$12:$D$72,$A207+1)*(1+Assumptions!$B$24)))*INDEX(Surface_Engine!$B$12:$B$72,$A207+1)+J208</f>
        <v>5623.87437327173</v>
      </c>
      <c r="K207" s="12" t="n">
        <f aca="false">SQRT((IF(C207&lt;=0,0,MAX(0,(B207/C207)*G207/INDEX(Surface_Engine!$B$12:$B$72,$A207+1)-F207/INDEX(Surface_Engine!$B$12:$B$72,$A207+1))))^2+(MAX(IF(D207&lt;=0,0,MAX(0,(B207/D207)*H207/INDEX(Surface_Engine!$B$12:$B$72,$A207+1)-F207/INDEX(Surface_Engine!$B$12:$B$72,$A207+1))),IF(E207&lt;=0,0,MAX(0,(B207/E207)*I207/INDEX(Surface_Engine!$B$12:$B$72,$A207+1)-F207/INDEX(Surface_Engine!$B$12:$B$72,$A207+1))),IF($A207&lt;$Q$195,MAX(0,-Assumptions!$B$22*(F207/INDEX(Surface_Engine!$B$12:$B$72,$A207+1))),0)))^2+(MAX(0,J207/INDEX(Surface_Engine!$B$12:$B$72,$A207+1)-(F207/INDEX(Surface_Engine!$B$12:$B$72,$A207+1))))^2+2*Assumptions!$B$26*(IF(C207&lt;=0,0,MAX(0,(B207/C207)*G207/INDEX(Surface_Engine!$B$12:$B$72,$A207+1)-F207/INDEX(Surface_Engine!$B$12:$B$72,$A207+1))))*(MAX(IF(D207&lt;=0,0,MAX(0,(B207/D207)*H207/INDEX(Surface_Engine!$B$12:$B$72,$A207+1)-F207/INDEX(Surface_Engine!$B$12:$B$72,$A207+1))),IF(E207&lt;=0,0,MAX(0,(B207/E207)*I207/INDEX(Surface_Engine!$B$12:$B$72,$A207+1)-F207/INDEX(Surface_Engine!$B$12:$B$72,$A207+1))),IF($A207&lt;$Q$195,MAX(0,-Assumptions!$B$22*(F207/INDEX(Surface_Engine!$B$12:$B$72,$A207+1))),0)))+2*Assumptions!$B$27*(IF(C207&lt;=0,0,MAX(0,(B207/C207)*G207/INDEX(Surface_Engine!$B$12:$B$72,$A207+1)-F207/INDEX(Surface_Engine!$B$12:$B$72,$A207+1))))*(MAX(0,J207/INDEX(Surface_Engine!$B$12:$B$72,$A207+1)-(F207/INDEX(Surface_Engine!$B$12:$B$72,$A207+1))))+2*Assumptions!$B$28*(MAX(IF(D207&lt;=0,0,MAX(0,(B207/D207)*H207/INDEX(Surface_Engine!$B$12:$B$72,$A207+1)-F207/INDEX(Surface_Engine!$B$12:$B$72,$A207+1))),IF(E207&lt;=0,0,MAX(0,(B207/E207)*I207/INDEX(Surface_Engine!$B$12:$B$72,$A207+1)-F207/INDEX(Surface_Engine!$B$12:$B$72,$A207+1))),IF($A207&lt;$Q$195,MAX(0,-Assumptions!$B$22*(F207/INDEX(Surface_Engine!$B$12:$B$72,$A207+1))),0)))*(MAX(0,J207/INDEX(Surface_Engine!$B$12:$B$72,$A207+1)-(F207/INDEX(Surface_Engine!$B$12:$B$72,$A207+1)))))</f>
        <v>5134.62458484022</v>
      </c>
      <c r="L207" s="48" t="n">
        <f aca="false">K207*INDEX(Surface_Engine!$B$12:$B$72,$A207+1)+L208</f>
        <v>75448.6447826917</v>
      </c>
      <c r="M207" s="48" t="n">
        <f aca="false">M206+B206*(IF($A206&lt;$Q$195,(Surface_Engine!Q236*12)-(Surface_Engine!Q236*12)*INDEX(Surface_Engine!$F$12:$F$72,$A206+1)-INDEX(Surface_Engine!$D$12:$D$72,$A206+1),-(1000*12*INDEX(Surface_Engine!$C$12:$C$72,$A206+1)/(1+Assumptions!$B$10)^30+INDEX(Surface_Engine!$D$12:$D$72,$A206+1))))*INDEX(Surface_Engine!$B$12:$B$72,$A206+1)</f>
        <v>5978.47910855676</v>
      </c>
      <c r="N207" s="12" t="n">
        <f aca="false">IF(B207&lt;=0,0,MAX(0,(K207+Assumptions!$B$29*L207/INDEX(Surface_Engine!$B$12:$B$72,$A207+1)-(M207/INDEX(Surface_Engine!$B$12:$B$72,$A207+1)-(F207/INDEX(Surface_Engine!$B$12:$B$72,$A207+1))))/B207))</f>
        <v>12815.6983791662</v>
      </c>
    </row>
    <row r="208" customFormat="false" ht="15" hidden="false" customHeight="true" outlineLevel="0" collapsed="false">
      <c r="A208" s="1" t="n">
        <v>11</v>
      </c>
      <c r="B208" s="32" t="n">
        <f aca="false">INDEX(Surface_Engine!$G$12:$G$72,$A208+1)*IF($A208&lt;$Q$195,INDEX(Surface_Engine!$E$12:$E$72,$A208+1),INDEX(Surface_Engine!$E$12:$E$72,$Q$195+1))</f>
        <v>0.808919890264123</v>
      </c>
      <c r="C208" s="32" t="n">
        <f aca="false">INDEX(Panel_Reserving!$B$8:$B$68,$A208+1)*IF($A208&lt;$Q$195,INDEX(Surface_Engine!$E$12:$E$72,$A208+1),INDEX(Surface_Engine!$E$12:$E$72,$Q$195+1))</f>
        <v>0.817665474135805</v>
      </c>
      <c r="D208" s="32" t="n">
        <f aca="false">INDEX(Surface_Engine!$G$12:$G$72,$A208+1)*IF($A208&lt;$Q$195,INDEX(Surface_Engine!$Y$12:$Y$72,$A208+1),INDEX(Surface_Engine!$Y$12:$Y$72,$Q$195+1))</f>
        <v>0.746398492421855</v>
      </c>
      <c r="E208" s="32" t="n">
        <f aca="false">INDEX(Surface_Engine!$G$12:$G$72,$A208+1)*IF($A208&lt;$Q$195,INDEX(Surface_Engine!$Z$12:$Z$72,$A208+1),INDEX(Surface_Engine!$Z$12:$Z$72,$Q$195+1))</f>
        <v>0.875947845714131</v>
      </c>
      <c r="F208" s="48" t="n">
        <f aca="false">B208*(IF($A208&lt;$Q$195,INDEX(Surface_Engine!$D$12:$D$72,$A208+1)+(Surface_Engine!Q236*12)*INDEX(Surface_Engine!$F$12:$F$72,$A208+1)-(Surface_Engine!Q236*12),1000*12*INDEX(Surface_Engine!$C$12:$C$72,$A208+1)/(1+Assumptions!$B$10)^30+INDEX(Surface_Engine!$D$12:$D$72,$A208+1)))*INDEX(Surface_Engine!$B$12:$B$72,$A208+1)+F209</f>
        <v>6035.79369980042</v>
      </c>
      <c r="G208" s="48" t="n">
        <f aca="false">C208*(IF($A208&lt;$Q$195,INDEX(Surface_Engine!$D$12:$D$72,$A208+1)+(Surface_Engine!Q236*12)*INDEX(Surface_Engine!$F$12:$F$72,$A208+1)-(Surface_Engine!Q236*12),1000*12*INDEX(Surface_Engine!$C$12:$C$72,$A208+1)/(1+Assumptions!$B$10)^30+INDEX(Surface_Engine!$D$12:$D$72,$A208+1)))*INDEX(Surface_Engine!$B$12:$B$72,$A208+1)+G209</f>
        <v>9606.99574156775</v>
      </c>
      <c r="H208" s="48" t="n">
        <f aca="false">D208*(IF($A208&lt;$Q$195,INDEX(Surface_Engine!$D$12:$D$72,$A208+1)+(Surface_Engine!Q236*12)*INDEX(Surface_Engine!$F$12:$F$72,$A208+1)-(Surface_Engine!Q236*12),1000*12*INDEX(Surface_Engine!$C$12:$C$72,$A208+1)/(1+Assumptions!$B$10)^30+INDEX(Surface_Engine!$D$12:$D$72,$A208+1)))*INDEX(Surface_Engine!$B$12:$B$72,$A208+1)+H209</f>
        <v>4830.2069423339</v>
      </c>
      <c r="I208" s="48" t="n">
        <f aca="false">E208*(IF($A208&lt;$Q$195,INDEX(Surface_Engine!$D$12:$D$72,$A208+1)+(Surface_Engine!Q236*12)*INDEX(Surface_Engine!$F$12:$F$72,$A208+1)-(Surface_Engine!Q236*12),1000*12*INDEX(Surface_Engine!$C$12:$C$72,$A208+1)/(1+Assumptions!$B$10)^30+INDEX(Surface_Engine!$D$12:$D$72,$A208+1)))*INDEX(Surface_Engine!$B$12:$B$72,$A208+1)+I209</f>
        <v>7485.67672566959</v>
      </c>
      <c r="J208" s="48" t="n">
        <f aca="false">B208*(IF($A208&lt;$Q$195,INDEX(Surface_Engine!$D$12:$D$72,$A208+1)*(1+Assumptions!$B$24)+(Surface_Engine!Q236*12)*INDEX(Surface_Engine!$F$12:$F$72,$A208+1)-(Surface_Engine!Q236*12),1000*12*INDEX(Surface_Engine!$C$12:$C$72,$A208+1)/(1+Assumptions!$B$10)^30+INDEX(Surface_Engine!$D$12:$D$72,$A208+1)*(1+Assumptions!$B$24)))*INDEX(Surface_Engine!$B$12:$B$72,$A208+1)+J209</f>
        <v>6140.89601284411</v>
      </c>
      <c r="K208" s="12" t="n">
        <f aca="false">SQRT((IF(C208&lt;=0,0,MAX(0,(B208/C208)*G208/INDEX(Surface_Engine!$B$12:$B$72,$A208+1)-F208/INDEX(Surface_Engine!$B$12:$B$72,$A208+1))))^2+(MAX(IF(D208&lt;=0,0,MAX(0,(B208/D208)*H208/INDEX(Surface_Engine!$B$12:$B$72,$A208+1)-F208/INDEX(Surface_Engine!$B$12:$B$72,$A208+1))),IF(E208&lt;=0,0,MAX(0,(B208/E208)*I208/INDEX(Surface_Engine!$B$12:$B$72,$A208+1)-F208/INDEX(Surface_Engine!$B$12:$B$72,$A208+1))),IF($A208&lt;$Q$195,MAX(0,-Assumptions!$B$22*(F208/INDEX(Surface_Engine!$B$12:$B$72,$A208+1))),0)))^2+(MAX(0,J208/INDEX(Surface_Engine!$B$12:$B$72,$A208+1)-(F208/INDEX(Surface_Engine!$B$12:$B$72,$A208+1))))^2+2*Assumptions!$B$26*(IF(C208&lt;=0,0,MAX(0,(B208/C208)*G208/INDEX(Surface_Engine!$B$12:$B$72,$A208+1)-F208/INDEX(Surface_Engine!$B$12:$B$72,$A208+1))))*(MAX(IF(D208&lt;=0,0,MAX(0,(B208/D208)*H208/INDEX(Surface_Engine!$B$12:$B$72,$A208+1)-F208/INDEX(Surface_Engine!$B$12:$B$72,$A208+1))),IF(E208&lt;=0,0,MAX(0,(B208/E208)*I208/INDEX(Surface_Engine!$B$12:$B$72,$A208+1)-F208/INDEX(Surface_Engine!$B$12:$B$72,$A208+1))),IF($A208&lt;$Q$195,MAX(0,-Assumptions!$B$22*(F208/INDEX(Surface_Engine!$B$12:$B$72,$A208+1))),0)))+2*Assumptions!$B$27*(IF(C208&lt;=0,0,MAX(0,(B208/C208)*G208/INDEX(Surface_Engine!$B$12:$B$72,$A208+1)-F208/INDEX(Surface_Engine!$B$12:$B$72,$A208+1))))*(MAX(0,J208/INDEX(Surface_Engine!$B$12:$B$72,$A208+1)-(F208/INDEX(Surface_Engine!$B$12:$B$72,$A208+1))))+2*Assumptions!$B$28*(MAX(IF(D208&lt;=0,0,MAX(0,(B208/D208)*H208/INDEX(Surface_Engine!$B$12:$B$72,$A208+1)-F208/INDEX(Surface_Engine!$B$12:$B$72,$A208+1))),IF(E208&lt;=0,0,MAX(0,(B208/E208)*I208/INDEX(Surface_Engine!$B$12:$B$72,$A208+1)-F208/INDEX(Surface_Engine!$B$12:$B$72,$A208+1))),IF($A208&lt;$Q$195,MAX(0,-Assumptions!$B$22*(F208/INDEX(Surface_Engine!$B$12:$B$72,$A208+1))),0)))*(MAX(0,J208/INDEX(Surface_Engine!$B$12:$B$72,$A208+1)-(F208/INDEX(Surface_Engine!$B$12:$B$72,$A208+1)))))</f>
        <v>5256.98685115414</v>
      </c>
      <c r="L208" s="48" t="n">
        <f aca="false">K208*INDEX(Surface_Engine!$B$12:$B$72,$A208+1)+L209</f>
        <v>71594.8311144019</v>
      </c>
      <c r="M208" s="48" t="n">
        <f aca="false">M207+B207*(IF($A207&lt;$Q$195,(Surface_Engine!Q236*12)-(Surface_Engine!Q236*12)*INDEX(Surface_Engine!$F$12:$F$72,$A207+1)-INDEX(Surface_Engine!$D$12:$D$72,$A207+1),-(1000*12*INDEX(Surface_Engine!$C$12:$C$72,$A207+1)/(1+Assumptions!$B$10)^30+INDEX(Surface_Engine!$D$12:$D$72,$A207+1))))*INDEX(Surface_Engine!$B$12:$B$72,$A207+1)</f>
        <v>6501.98315171813</v>
      </c>
      <c r="N208" s="12" t="n">
        <f aca="false">IF(B208&lt;=0,0,MAX(0,(K208+Assumptions!$B$29*L208/INDEX(Surface_Engine!$B$12:$B$72,$A208+1)-(M208/INDEX(Surface_Engine!$B$12:$B$72,$A208+1)-(F208/INDEX(Surface_Engine!$B$12:$B$72,$A208+1))))/B208))</f>
        <v>13010.6895503935</v>
      </c>
    </row>
    <row r="209" customFormat="false" ht="15" hidden="false" customHeight="true" outlineLevel="0" collapsed="false">
      <c r="A209" s="1" t="n">
        <v>12</v>
      </c>
      <c r="B209" s="32" t="n">
        <f aca="false">INDEX(Surface_Engine!$G$12:$G$72,$A209+1)*IF($A209&lt;$Q$195,INDEX(Surface_Engine!$E$12:$E$72,$A209+1),INDEX(Surface_Engine!$E$12:$E$72,$Q$195+1))</f>
        <v>0.794579330161838</v>
      </c>
      <c r="C209" s="32" t="n">
        <f aca="false">INDEX(Panel_Reserving!$B$8:$B$68,$A209+1)*IF($A209&lt;$Q$195,INDEX(Surface_Engine!$E$12:$E$72,$A209+1),INDEX(Surface_Engine!$E$12:$E$72,$Q$195+1))</f>
        <v>0.804580841277684</v>
      </c>
      <c r="D209" s="32" t="n">
        <f aca="false">INDEX(Surface_Engine!$G$12:$G$72,$A209+1)*IF($A209&lt;$Q$195,INDEX(Surface_Engine!$Y$12:$Y$72,$A209+1),INDEX(Surface_Engine!$Y$12:$Y$72,$Q$195+1))</f>
        <v>0.729799771584279</v>
      </c>
      <c r="E209" s="32" t="n">
        <f aca="false">INDEX(Surface_Engine!$G$12:$G$72,$A209+1)*IF($A209&lt;$Q$195,INDEX(Surface_Engine!$Z$12:$Z$72,$A209+1),INDEX(Surface_Engine!$Z$12:$Z$72,$Q$195+1))</f>
        <v>0.864369870996635</v>
      </c>
      <c r="F209" s="48" t="n">
        <f aca="false">B209*(IF($A209&lt;$Q$195,INDEX(Surface_Engine!$D$12:$D$72,$A209+1)+(Surface_Engine!Q236*12)*INDEX(Surface_Engine!$F$12:$F$72,$A209+1)-(Surface_Engine!Q236*12),1000*12*INDEX(Surface_Engine!$C$12:$C$72,$A209+1)/(1+Assumptions!$B$10)^30+INDEX(Surface_Engine!$D$12:$D$72,$A209+1)))*INDEX(Surface_Engine!$B$12:$B$72,$A209+1)+F210</f>
        <v>6532.75579112851</v>
      </c>
      <c r="G209" s="48" t="n">
        <f aca="false">C209*(IF($A209&lt;$Q$195,INDEX(Surface_Engine!$D$12:$D$72,$A209+1)+(Surface_Engine!Q236*12)*INDEX(Surface_Engine!$F$12:$F$72,$A209+1)-(Surface_Engine!Q236*12),1000*12*INDEX(Surface_Engine!$C$12:$C$72,$A209+1)/(1+Assumptions!$B$10)^30+INDEX(Surface_Engine!$D$12:$D$72,$A209+1)))*INDEX(Surface_Engine!$B$12:$B$72,$A209+1)+G210</f>
        <v>10109.3307056649</v>
      </c>
      <c r="H209" s="48" t="n">
        <f aca="false">D209*(IF($A209&lt;$Q$195,INDEX(Surface_Engine!$D$12:$D$72,$A209+1)+(Surface_Engine!Q236*12)*INDEX(Surface_Engine!$F$12:$F$72,$A209+1)-(Surface_Engine!Q236*12),1000*12*INDEX(Surface_Engine!$C$12:$C$72,$A209+1)/(1+Assumptions!$B$10)^30+INDEX(Surface_Engine!$D$12:$D$72,$A209+1)))*INDEX(Surface_Engine!$B$12:$B$72,$A209+1)+H210</f>
        <v>5288.75884620288</v>
      </c>
      <c r="I209" s="48" t="n">
        <f aca="false">E209*(IF($A209&lt;$Q$195,INDEX(Surface_Engine!$D$12:$D$72,$A209+1)+(Surface_Engine!Q236*12)*INDEX(Surface_Engine!$F$12:$F$72,$A209+1)-(Surface_Engine!Q236*12),1000*12*INDEX(Surface_Engine!$C$12:$C$72,$A209+1)/(1+Assumptions!$B$10)^30+INDEX(Surface_Engine!$D$12:$D$72,$A209+1)))*INDEX(Surface_Engine!$B$12:$B$72,$A209+1)+I210</f>
        <v>8023.81762013851</v>
      </c>
      <c r="J209" s="48" t="n">
        <f aca="false">B209*(IF($A209&lt;$Q$195,INDEX(Surface_Engine!$D$12:$D$72,$A209+1)*(1+Assumptions!$B$24)+(Surface_Engine!Q236*12)*INDEX(Surface_Engine!$F$12:$F$72,$A209+1)-(Surface_Engine!Q236*12),1000*12*INDEX(Surface_Engine!$C$12:$C$72,$A209+1)/(1+Assumptions!$B$10)^30+INDEX(Surface_Engine!$D$12:$D$72,$A209+1)*(1+Assumptions!$B$24)))*INDEX(Surface_Engine!$B$12:$B$72,$A209+1)+J210</f>
        <v>6631.53093166947</v>
      </c>
      <c r="K209" s="12" t="n">
        <f aca="false">SQRT((IF(C209&lt;=0,0,MAX(0,(B209/C209)*G209/INDEX(Surface_Engine!$B$12:$B$72,$A209+1)-F209/INDEX(Surface_Engine!$B$12:$B$72,$A209+1))))^2+(MAX(IF(D209&lt;=0,0,MAX(0,(B209/D209)*H209/INDEX(Surface_Engine!$B$12:$B$72,$A209+1)-F209/INDEX(Surface_Engine!$B$12:$B$72,$A209+1))),IF(E209&lt;=0,0,MAX(0,(B209/E209)*I209/INDEX(Surface_Engine!$B$12:$B$72,$A209+1)-F209/INDEX(Surface_Engine!$B$12:$B$72,$A209+1))),IF($A209&lt;$Q$195,MAX(0,-Assumptions!$B$22*(F209/INDEX(Surface_Engine!$B$12:$B$72,$A209+1))),0)))^2+(MAX(0,J209/INDEX(Surface_Engine!$B$12:$B$72,$A209+1)-(F209/INDEX(Surface_Engine!$B$12:$B$72,$A209+1))))^2+2*Assumptions!$B$26*(IF(C209&lt;=0,0,MAX(0,(B209/C209)*G209/INDEX(Surface_Engine!$B$12:$B$72,$A209+1)-F209/INDEX(Surface_Engine!$B$12:$B$72,$A209+1))))*(MAX(IF(D209&lt;=0,0,MAX(0,(B209/D209)*H209/INDEX(Surface_Engine!$B$12:$B$72,$A209+1)-F209/INDEX(Surface_Engine!$B$12:$B$72,$A209+1))),IF(E209&lt;=0,0,MAX(0,(B209/E209)*I209/INDEX(Surface_Engine!$B$12:$B$72,$A209+1)-F209/INDEX(Surface_Engine!$B$12:$B$72,$A209+1))),IF($A209&lt;$Q$195,MAX(0,-Assumptions!$B$22*(F209/INDEX(Surface_Engine!$B$12:$B$72,$A209+1))),0)))+2*Assumptions!$B$27*(IF(C209&lt;=0,0,MAX(0,(B209/C209)*G209/INDEX(Surface_Engine!$B$12:$B$72,$A209+1)-F209/INDEX(Surface_Engine!$B$12:$B$72,$A209+1))))*(MAX(0,J209/INDEX(Surface_Engine!$B$12:$B$72,$A209+1)-(F209/INDEX(Surface_Engine!$B$12:$B$72,$A209+1))))+2*Assumptions!$B$28*(MAX(IF(D209&lt;=0,0,MAX(0,(B209/D209)*H209/INDEX(Surface_Engine!$B$12:$B$72,$A209+1)-F209/INDEX(Surface_Engine!$B$12:$B$72,$A209+1))),IF(E209&lt;=0,0,MAX(0,(B209/E209)*I209/INDEX(Surface_Engine!$B$12:$B$72,$A209+1)-F209/INDEX(Surface_Engine!$B$12:$B$72,$A209+1))),IF($A209&lt;$Q$195,MAX(0,-Assumptions!$B$22*(F209/INDEX(Surface_Engine!$B$12:$B$72,$A209+1))),0)))*(MAX(0,J209/INDEX(Surface_Engine!$B$12:$B$72,$A209+1)-(F209/INDEX(Surface_Engine!$B$12:$B$72,$A209+1)))))</f>
        <v>5393.72255608248</v>
      </c>
      <c r="L209" s="48" t="n">
        <f aca="false">K209*INDEX(Surface_Engine!$B$12:$B$72,$A209+1)+L210</f>
        <v>67773.059944595</v>
      </c>
      <c r="M209" s="48" t="n">
        <f aca="false">M208+B208*(IF($A208&lt;$Q$195,(Surface_Engine!Q236*12)-(Surface_Engine!Q236*12)*INDEX(Surface_Engine!$F$12:$F$72,$A208+1)-INDEX(Surface_Engine!$D$12:$D$72,$A208+1),-(1000*12*INDEX(Surface_Engine!$C$12:$C$72,$A208+1)/(1+Assumptions!$B$10)^30+INDEX(Surface_Engine!$D$12:$D$72,$A208+1))))*INDEX(Surface_Engine!$B$12:$B$72,$A208+1)</f>
        <v>6998.94524304622</v>
      </c>
      <c r="N209" s="12" t="n">
        <f aca="false">IF(B209&lt;=0,0,MAX(0,(K209+Assumptions!$B$29*L209/INDEX(Surface_Engine!$B$12:$B$72,$A209+1)-(M209/INDEX(Surface_Engine!$B$12:$B$72,$A209+1)-(F209/INDEX(Surface_Engine!$B$12:$B$72,$A209+1))))/B209))</f>
        <v>13242.1723373207</v>
      </c>
    </row>
    <row r="210" customFormat="false" ht="15" hidden="false" customHeight="true" outlineLevel="0" collapsed="false">
      <c r="A210" s="1" t="n">
        <v>13</v>
      </c>
      <c r="B210" s="32" t="n">
        <f aca="false">INDEX(Surface_Engine!$G$12:$G$72,$A210+1)*IF($A210&lt;$Q$195,INDEX(Surface_Engine!$E$12:$E$72,$A210+1),INDEX(Surface_Engine!$E$12:$E$72,$Q$195+1))</f>
        <v>0.779740737451754</v>
      </c>
      <c r="C210" s="32" t="n">
        <f aca="false">INDEX(Panel_Reserving!$B$8:$B$68,$A210+1)*IF($A210&lt;$Q$195,INDEX(Surface_Engine!$E$12:$E$72,$A210+1),INDEX(Surface_Engine!$E$12:$E$72,$Q$195+1))</f>
        <v>0.791096209177521</v>
      </c>
      <c r="D210" s="32" t="n">
        <f aca="false">INDEX(Surface_Engine!$G$12:$G$72,$A210+1)*IF($A210&lt;$Q$195,INDEX(Surface_Engine!$Y$12:$Y$72,$A210+1),INDEX(Surface_Engine!$Y$12:$Y$72,$Q$195+1))</f>
        <v>0.712882419682469</v>
      </c>
      <c r="E210" s="32" t="n">
        <f aca="false">INDEX(Surface_Engine!$G$12:$G$72,$A210+1)*IF($A210&lt;$Q$195,INDEX(Surface_Engine!$Z$12:$Z$72,$A210+1),INDEX(Surface_Engine!$Z$12:$Z$72,$Q$195+1))</f>
        <v>0.852122836030496</v>
      </c>
      <c r="F210" s="48" t="n">
        <f aca="false">B210*(IF($A210&lt;$Q$195,INDEX(Surface_Engine!$D$12:$D$72,$A210+1)+(Surface_Engine!Q236*12)*INDEX(Surface_Engine!$F$12:$F$72,$A210+1)-(Surface_Engine!Q236*12),1000*12*INDEX(Surface_Engine!$C$12:$C$72,$A210+1)/(1+Assumptions!$B$10)^30+INDEX(Surface_Engine!$D$12:$D$72,$A210+1)))*INDEX(Surface_Engine!$B$12:$B$72,$A210+1)+F211</f>
        <v>7002.65075308671</v>
      </c>
      <c r="G210" s="48" t="n">
        <f aca="false">C210*(IF($A210&lt;$Q$195,INDEX(Surface_Engine!$D$12:$D$72,$A210+1)+(Surface_Engine!Q236*12)*INDEX(Surface_Engine!$F$12:$F$72,$A210+1)-(Surface_Engine!Q236*12),1000*12*INDEX(Surface_Engine!$C$12:$C$72,$A210+1)/(1+Assumptions!$B$10)^30+INDEX(Surface_Engine!$D$12:$D$72,$A210+1)))*INDEX(Surface_Engine!$B$12:$B$72,$A210+1)+G211</f>
        <v>10585.1403189448</v>
      </c>
      <c r="H210" s="48" t="n">
        <f aca="false">D210*(IF($A210&lt;$Q$195,INDEX(Surface_Engine!$D$12:$D$72,$A210+1)+(Surface_Engine!Q236*12)*INDEX(Surface_Engine!$F$12:$F$72,$A210+1)-(Surface_Engine!Q236*12),1000*12*INDEX(Surface_Engine!$C$12:$C$72,$A210+1)/(1+Assumptions!$B$10)^30+INDEX(Surface_Engine!$D$12:$D$72,$A210+1)))*INDEX(Surface_Engine!$B$12:$B$72,$A210+1)+H211</f>
        <v>5720.3447469283</v>
      </c>
      <c r="I210" s="48" t="n">
        <f aca="false">E210*(IF($A210&lt;$Q$195,INDEX(Surface_Engine!$D$12:$D$72,$A210+1)+(Surface_Engine!Q236*12)*INDEX(Surface_Engine!$F$12:$F$72,$A210+1)-(Surface_Engine!Q236*12),1000*12*INDEX(Surface_Engine!$C$12:$C$72,$A210+1)/(1+Assumptions!$B$10)^30+INDEX(Surface_Engine!$D$12:$D$72,$A210+1)))*INDEX(Surface_Engine!$B$12:$B$72,$A210+1)+I211</f>
        <v>8534.98501681248</v>
      </c>
      <c r="J210" s="48" t="n">
        <f aca="false">B210*(IF($A210&lt;$Q$195,INDEX(Surface_Engine!$D$12:$D$72,$A210+1)*(1+Assumptions!$B$24)+(Surface_Engine!Q236*12)*INDEX(Surface_Engine!$F$12:$F$72,$A210+1)-(Surface_Engine!Q236*12),1000*12*INDEX(Surface_Engine!$C$12:$C$72,$A210+1)/(1+Assumptions!$B$10)^30+INDEX(Surface_Engine!$D$12:$D$72,$A210+1)*(1+Assumptions!$B$24)))*INDEX(Surface_Engine!$B$12:$B$72,$A210+1)+J211</f>
        <v>7095.27418724049</v>
      </c>
      <c r="K210" s="12" t="n">
        <f aca="false">SQRT((IF(C210&lt;=0,0,MAX(0,(B210/C210)*G210/INDEX(Surface_Engine!$B$12:$B$72,$A210+1)-F210/INDEX(Surface_Engine!$B$12:$B$72,$A210+1))))^2+(MAX(IF(D210&lt;=0,0,MAX(0,(B210/D210)*H210/INDEX(Surface_Engine!$B$12:$B$72,$A210+1)-F210/INDEX(Surface_Engine!$B$12:$B$72,$A210+1))),IF(E210&lt;=0,0,MAX(0,(B210/E210)*I210/INDEX(Surface_Engine!$B$12:$B$72,$A210+1)-F210/INDEX(Surface_Engine!$B$12:$B$72,$A210+1))),IF($A210&lt;$Q$195,MAX(0,-Assumptions!$B$22*(F210/INDEX(Surface_Engine!$B$12:$B$72,$A210+1))),0)))^2+(MAX(0,J210/INDEX(Surface_Engine!$B$12:$B$72,$A210+1)-(F210/INDEX(Surface_Engine!$B$12:$B$72,$A210+1))))^2+2*Assumptions!$B$26*(IF(C210&lt;=0,0,MAX(0,(B210/C210)*G210/INDEX(Surface_Engine!$B$12:$B$72,$A210+1)-F210/INDEX(Surface_Engine!$B$12:$B$72,$A210+1))))*(MAX(IF(D210&lt;=0,0,MAX(0,(B210/D210)*H210/INDEX(Surface_Engine!$B$12:$B$72,$A210+1)-F210/INDEX(Surface_Engine!$B$12:$B$72,$A210+1))),IF(E210&lt;=0,0,MAX(0,(B210/E210)*I210/INDEX(Surface_Engine!$B$12:$B$72,$A210+1)-F210/INDEX(Surface_Engine!$B$12:$B$72,$A210+1))),IF($A210&lt;$Q$195,MAX(0,-Assumptions!$B$22*(F210/INDEX(Surface_Engine!$B$12:$B$72,$A210+1))),0)))+2*Assumptions!$B$27*(IF(C210&lt;=0,0,MAX(0,(B210/C210)*G210/INDEX(Surface_Engine!$B$12:$B$72,$A210+1)-F210/INDEX(Surface_Engine!$B$12:$B$72,$A210+1))))*(MAX(0,J210/INDEX(Surface_Engine!$B$12:$B$72,$A210+1)-(F210/INDEX(Surface_Engine!$B$12:$B$72,$A210+1))))+2*Assumptions!$B$28*(MAX(IF(D210&lt;=0,0,MAX(0,(B210/D210)*H210/INDEX(Surface_Engine!$B$12:$B$72,$A210+1)-F210/INDEX(Surface_Engine!$B$12:$B$72,$A210+1))),IF(E210&lt;=0,0,MAX(0,(B210/E210)*I210/INDEX(Surface_Engine!$B$12:$B$72,$A210+1)-F210/INDEX(Surface_Engine!$B$12:$B$72,$A210+1))),IF($A210&lt;$Q$195,MAX(0,-Assumptions!$B$22*(F210/INDEX(Surface_Engine!$B$12:$B$72,$A210+1))),0)))*(MAX(0,J210/INDEX(Surface_Engine!$B$12:$B$72,$A210+1)-(F210/INDEX(Surface_Engine!$B$12:$B$72,$A210+1)))))</f>
        <v>5527.03745506574</v>
      </c>
      <c r="L210" s="48" t="n">
        <f aca="false">K210*INDEX(Surface_Engine!$B$12:$B$72,$A210+1)+L211</f>
        <v>63986.483735582</v>
      </c>
      <c r="M210" s="48" t="n">
        <f aca="false">M209+B209*(IF($A209&lt;$Q$195,(Surface_Engine!Q236*12)-(Surface_Engine!Q236*12)*INDEX(Surface_Engine!$F$12:$F$72,$A209+1)-INDEX(Surface_Engine!$D$12:$D$72,$A209+1),-(1000*12*INDEX(Surface_Engine!$C$12:$C$72,$A209+1)/(1+Assumptions!$B$10)^30+INDEX(Surface_Engine!$D$12:$D$72,$A209+1))))*INDEX(Surface_Engine!$B$12:$B$72,$A209+1)</f>
        <v>7468.84020500442</v>
      </c>
      <c r="N210" s="12" t="n">
        <f aca="false">IF(B210&lt;=0,0,MAX(0,(K210+Assumptions!$B$29*L210/INDEX(Surface_Engine!$B$12:$B$72,$A210+1)-(M210/INDEX(Surface_Engine!$B$12:$B$72,$A210+1)-(F210/INDEX(Surface_Engine!$B$12:$B$72,$A210+1))))/B210))</f>
        <v>13467.3888947468</v>
      </c>
    </row>
    <row r="211" customFormat="false" ht="15" hidden="false" customHeight="true" outlineLevel="0" collapsed="false">
      <c r="A211" s="1" t="n">
        <v>14</v>
      </c>
      <c r="B211" s="32" t="n">
        <f aca="false">INDEX(Surface_Engine!$G$12:$G$72,$A211+1)*IF($A211&lt;$Q$195,INDEX(Surface_Engine!$E$12:$E$72,$A211+1),INDEX(Surface_Engine!$E$12:$E$72,$Q$195+1))</f>
        <v>0.76434787187485</v>
      </c>
      <c r="C211" s="32" t="n">
        <f aca="false">INDEX(Panel_Reserving!$B$8:$B$68,$A211+1)*IF($A211&lt;$Q$195,INDEX(Surface_Engine!$E$12:$E$72,$A211+1),INDEX(Surface_Engine!$E$12:$E$72,$Q$195+1))</f>
        <v>0.777162786878564</v>
      </c>
      <c r="D211" s="32" t="n">
        <f aca="false">INDEX(Surface_Engine!$G$12:$G$72,$A211+1)*IF($A211&lt;$Q$195,INDEX(Surface_Engine!$Y$12:$Y$72,$A211+1),INDEX(Surface_Engine!$Y$12:$Y$72,$Q$195+1))</f>
        <v>0.695600621759054</v>
      </c>
      <c r="E211" s="32" t="n">
        <f aca="false">INDEX(Surface_Engine!$G$12:$G$72,$A211+1)*IF($A211&lt;$Q$195,INDEX(Surface_Engine!$Z$12:$Z$72,$A211+1),INDEX(Surface_Engine!$Z$12:$Z$72,$Q$195+1))</f>
        <v>0.839136598256457</v>
      </c>
      <c r="F211" s="48" t="n">
        <f aca="false">B211*(IF($A211&lt;$Q$195,INDEX(Surface_Engine!$D$12:$D$72,$A211+1)+(Surface_Engine!Q236*12)*INDEX(Surface_Engine!$F$12:$F$72,$A211+1)-(Surface_Engine!Q236*12),1000*12*INDEX(Surface_Engine!$C$12:$C$72,$A211+1)/(1+Assumptions!$B$10)^30+INDEX(Surface_Engine!$D$12:$D$72,$A211+1)))*INDEX(Surface_Engine!$B$12:$B$72,$A211+1)+F212</f>
        <v>7446.60623381664</v>
      </c>
      <c r="G211" s="48" t="n">
        <f aca="false">C211*(IF($A211&lt;$Q$195,INDEX(Surface_Engine!$D$12:$D$72,$A211+1)+(Surface_Engine!Q236*12)*INDEX(Surface_Engine!$F$12:$F$72,$A211+1)-(Surface_Engine!Q236*12),1000*12*INDEX(Surface_Engine!$C$12:$C$72,$A211+1)/(1+Assumptions!$B$10)^30+INDEX(Surface_Engine!$D$12:$D$72,$A211+1)))*INDEX(Surface_Engine!$B$12:$B$72,$A211+1)+G212</f>
        <v>11035.5611844709</v>
      </c>
      <c r="H211" s="48" t="n">
        <f aca="false">D211*(IF($A211&lt;$Q$195,INDEX(Surface_Engine!$D$12:$D$72,$A211+1)+(Surface_Engine!Q236*12)*INDEX(Surface_Engine!$F$12:$F$72,$A211+1)-(Surface_Engine!Q236*12),1000*12*INDEX(Surface_Engine!$C$12:$C$72,$A211+1)/(1+Assumptions!$B$10)^30+INDEX(Surface_Engine!$D$12:$D$72,$A211+1)))*INDEX(Surface_Engine!$B$12:$B$72,$A211+1)+H212</f>
        <v>6126.23357911674</v>
      </c>
      <c r="I211" s="48" t="n">
        <f aca="false">E211*(IF($A211&lt;$Q$195,INDEX(Surface_Engine!$D$12:$D$72,$A211+1)+(Surface_Engine!Q236*12)*INDEX(Surface_Engine!$F$12:$F$72,$A211+1)-(Surface_Engine!Q236*12),1000*12*INDEX(Surface_Engine!$C$12:$C$72,$A211+1)/(1+Assumptions!$B$10)^30+INDEX(Surface_Engine!$D$12:$D$72,$A211+1)))*INDEX(Surface_Engine!$B$12:$B$72,$A211+1)+I212</f>
        <v>9020.15218217978</v>
      </c>
      <c r="J211" s="48" t="n">
        <f aca="false">B211*(IF($A211&lt;$Q$195,INDEX(Surface_Engine!$D$12:$D$72,$A211+1)*(1+Assumptions!$B$24)+(Surface_Engine!Q236*12)*INDEX(Surface_Engine!$F$12:$F$72,$A211+1)-(Surface_Engine!Q236*12),1000*12*INDEX(Surface_Engine!$C$12:$C$72,$A211+1)/(1+Assumptions!$B$10)^30+INDEX(Surface_Engine!$D$12:$D$72,$A211+1)*(1+Assumptions!$B$24)))*INDEX(Surface_Engine!$B$12:$B$72,$A211+1)+J212</f>
        <v>7533.25268748494</v>
      </c>
      <c r="K211" s="12" t="n">
        <f aca="false">SQRT((IF(C211&lt;=0,0,MAX(0,(B211/C211)*G211/INDEX(Surface_Engine!$B$12:$B$72,$A211+1)-F211/INDEX(Surface_Engine!$B$12:$B$72,$A211+1))))^2+(MAX(IF(D211&lt;=0,0,MAX(0,(B211/D211)*H211/INDEX(Surface_Engine!$B$12:$B$72,$A211+1)-F211/INDEX(Surface_Engine!$B$12:$B$72,$A211+1))),IF(E211&lt;=0,0,MAX(0,(B211/E211)*I211/INDEX(Surface_Engine!$B$12:$B$72,$A211+1)-F211/INDEX(Surface_Engine!$B$12:$B$72,$A211+1))),IF($A211&lt;$Q$195,MAX(0,-Assumptions!$B$22*(F211/INDEX(Surface_Engine!$B$12:$B$72,$A211+1))),0)))^2+(MAX(0,J211/INDEX(Surface_Engine!$B$12:$B$72,$A211+1)-(F211/INDEX(Surface_Engine!$B$12:$B$72,$A211+1))))^2+2*Assumptions!$B$26*(IF(C211&lt;=0,0,MAX(0,(B211/C211)*G211/INDEX(Surface_Engine!$B$12:$B$72,$A211+1)-F211/INDEX(Surface_Engine!$B$12:$B$72,$A211+1))))*(MAX(IF(D211&lt;=0,0,MAX(0,(B211/D211)*H211/INDEX(Surface_Engine!$B$12:$B$72,$A211+1)-F211/INDEX(Surface_Engine!$B$12:$B$72,$A211+1))),IF(E211&lt;=0,0,MAX(0,(B211/E211)*I211/INDEX(Surface_Engine!$B$12:$B$72,$A211+1)-F211/INDEX(Surface_Engine!$B$12:$B$72,$A211+1))),IF($A211&lt;$Q$195,MAX(0,-Assumptions!$B$22*(F211/INDEX(Surface_Engine!$B$12:$B$72,$A211+1))),0)))+2*Assumptions!$B$27*(IF(C211&lt;=0,0,MAX(0,(B211/C211)*G211/INDEX(Surface_Engine!$B$12:$B$72,$A211+1)-F211/INDEX(Surface_Engine!$B$12:$B$72,$A211+1))))*(MAX(0,J211/INDEX(Surface_Engine!$B$12:$B$72,$A211+1)-(F211/INDEX(Surface_Engine!$B$12:$B$72,$A211+1))))+2*Assumptions!$B$28*(MAX(IF(D211&lt;=0,0,MAX(0,(B211/D211)*H211/INDEX(Surface_Engine!$B$12:$B$72,$A211+1)-F211/INDEX(Surface_Engine!$B$12:$B$72,$A211+1))),IF(E211&lt;=0,0,MAX(0,(B211/E211)*I211/INDEX(Surface_Engine!$B$12:$B$72,$A211+1)-F211/INDEX(Surface_Engine!$B$12:$B$72,$A211+1))),IF($A211&lt;$Q$195,MAX(0,-Assumptions!$B$22*(F211/INDEX(Surface_Engine!$B$12:$B$72,$A211+1))),0)))*(MAX(0,J211/INDEX(Surface_Engine!$B$12:$B$72,$A211+1)-(F211/INDEX(Surface_Engine!$B$12:$B$72,$A211+1)))))</f>
        <v>5653.49217673557</v>
      </c>
      <c r="L211" s="48" t="n">
        <f aca="false">K211*INDEX(Surface_Engine!$B$12:$B$72,$A211+1)+L212</f>
        <v>60238.4808324304</v>
      </c>
      <c r="M211" s="48" t="n">
        <f aca="false">M210+B210*(IF($A210&lt;$Q$195,(Surface_Engine!Q236*12)-(Surface_Engine!Q236*12)*INDEX(Surface_Engine!$F$12:$F$72,$A210+1)-INDEX(Surface_Engine!$D$12:$D$72,$A210+1),-(1000*12*INDEX(Surface_Engine!$C$12:$C$72,$A210+1)/(1+Assumptions!$B$10)^30+INDEX(Surface_Engine!$D$12:$D$72,$A210+1))))*INDEX(Surface_Engine!$B$12:$B$72,$A210+1)</f>
        <v>7912.79568573435</v>
      </c>
      <c r="N211" s="12" t="n">
        <f aca="false">IF(B211&lt;=0,0,MAX(0,(K211+Assumptions!$B$29*L211/INDEX(Surface_Engine!$B$12:$B$72,$A211+1)-(M211/INDEX(Surface_Engine!$B$12:$B$72,$A211+1)-(F211/INDEX(Surface_Engine!$B$12:$B$72,$A211+1))))/B211))</f>
        <v>13679.9539065004</v>
      </c>
    </row>
    <row r="212" customFormat="false" ht="15" hidden="false" customHeight="true" outlineLevel="0" collapsed="false">
      <c r="A212" s="1" t="n">
        <v>15</v>
      </c>
      <c r="B212" s="32" t="n">
        <f aca="false">INDEX(Surface_Engine!$G$12:$G$72,$A212+1)*IF($A212&lt;$Q$195,INDEX(Surface_Engine!$E$12:$E$72,$A212+1),INDEX(Surface_Engine!$E$12:$E$72,$Q$195+1))</f>
        <v>0.74833941160122</v>
      </c>
      <c r="C212" s="32" t="n">
        <f aca="false">INDEX(Panel_Reserving!$B$8:$B$68,$A212+1)*IF($A212&lt;$Q$195,INDEX(Surface_Engine!$E$12:$E$72,$A212+1),INDEX(Surface_Engine!$E$12:$E$72,$Q$195+1))</f>
        <v>0.762726866481032</v>
      </c>
      <c r="D212" s="32" t="n">
        <f aca="false">INDEX(Surface_Engine!$G$12:$G$72,$A212+1)*IF($A212&lt;$Q$195,INDEX(Surface_Engine!$Y$12:$Y$72,$A212+1),INDEX(Surface_Engine!$Y$12:$Y$72,$Q$195+1))</f>
        <v>0.677904847464119</v>
      </c>
      <c r="E212" s="32" t="n">
        <f aca="false">INDEX(Surface_Engine!$G$12:$G$72,$A212+1)*IF($A212&lt;$Q$195,INDEX(Surface_Engine!$Z$12:$Z$72,$A212+1),INDEX(Surface_Engine!$Z$12:$Z$72,$Q$195+1))</f>
        <v>0.825334202163495</v>
      </c>
      <c r="F212" s="48" t="n">
        <f aca="false">B212*(IF($A212&lt;$Q$195,INDEX(Surface_Engine!$D$12:$D$72,$A212+1)+(Surface_Engine!Q236*12)*INDEX(Surface_Engine!$F$12:$F$72,$A212+1)-(Surface_Engine!Q236*12),1000*12*INDEX(Surface_Engine!$C$12:$C$72,$A212+1)/(1+Assumptions!$B$10)^30+INDEX(Surface_Engine!$D$12:$D$72,$A212+1)))*INDEX(Surface_Engine!$B$12:$B$72,$A212+1)+F213</f>
        <v>7865.85291572092</v>
      </c>
      <c r="G212" s="48" t="n">
        <f aca="false">C212*(IF($A212&lt;$Q$195,INDEX(Surface_Engine!$D$12:$D$72,$A212+1)+(Surface_Engine!Q236*12)*INDEX(Surface_Engine!$F$12:$F$72,$A212+1)-(Surface_Engine!Q236*12),1000*12*INDEX(Surface_Engine!$C$12:$C$72,$A212+1)/(1+Assumptions!$B$10)^30+INDEX(Surface_Engine!$D$12:$D$72,$A212+1)))*INDEX(Surface_Engine!$B$12:$B$72,$A212+1)+G213</f>
        <v>11461.8368786769</v>
      </c>
      <c r="H212" s="48" t="n">
        <f aca="false">D212*(IF($A212&lt;$Q$195,INDEX(Surface_Engine!$D$12:$D$72,$A212+1)+(Surface_Engine!Q236*12)*INDEX(Surface_Engine!$F$12:$F$72,$A212+1)-(Surface_Engine!Q236*12),1000*12*INDEX(Surface_Engine!$C$12:$C$72,$A212+1)/(1+Assumptions!$B$10)^30+INDEX(Surface_Engine!$D$12:$D$72,$A212+1)))*INDEX(Surface_Engine!$B$12:$B$72,$A212+1)+H213</f>
        <v>6507.77222576426</v>
      </c>
      <c r="I212" s="48" t="n">
        <f aca="false">E212*(IF($A212&lt;$Q$195,INDEX(Surface_Engine!$D$12:$D$72,$A212+1)+(Surface_Engine!Q236*12)*INDEX(Surface_Engine!$F$12:$F$72,$A212+1)-(Surface_Engine!Q236*12),1000*12*INDEX(Surface_Engine!$C$12:$C$72,$A212+1)/(1+Assumptions!$B$10)^30+INDEX(Surface_Engine!$D$12:$D$72,$A212+1)))*INDEX(Surface_Engine!$B$12:$B$72,$A212+1)+I213</f>
        <v>9480.42066388632</v>
      </c>
      <c r="J212" s="48" t="n">
        <f aca="false">B212*(IF($A212&lt;$Q$195,INDEX(Surface_Engine!$D$12:$D$72,$A212+1)*(1+Assumptions!$B$24)+(Surface_Engine!Q236*12)*INDEX(Surface_Engine!$F$12:$F$72,$A212+1)-(Surface_Engine!Q236*12),1000*12*INDEX(Surface_Engine!$C$12:$C$72,$A212+1)/(1+Assumptions!$B$10)^30+INDEX(Surface_Engine!$D$12:$D$72,$A212+1)*(1+Assumptions!$B$24)))*INDEX(Surface_Engine!$B$12:$B$72,$A212+1)+J213</f>
        <v>7946.69439765261</v>
      </c>
      <c r="K212" s="12" t="n">
        <f aca="false">SQRT((IF(C212&lt;=0,0,MAX(0,(B212/C212)*G212/INDEX(Surface_Engine!$B$12:$B$72,$A212+1)-F212/INDEX(Surface_Engine!$B$12:$B$72,$A212+1))))^2+(MAX(IF(D212&lt;=0,0,MAX(0,(B212/D212)*H212/INDEX(Surface_Engine!$B$12:$B$72,$A212+1)-F212/INDEX(Surface_Engine!$B$12:$B$72,$A212+1))),IF(E212&lt;=0,0,MAX(0,(B212/E212)*I212/INDEX(Surface_Engine!$B$12:$B$72,$A212+1)-F212/INDEX(Surface_Engine!$B$12:$B$72,$A212+1))),IF($A212&lt;$Q$195,MAX(0,-Assumptions!$B$22*(F212/INDEX(Surface_Engine!$B$12:$B$72,$A212+1))),0)))^2+(MAX(0,J212/INDEX(Surface_Engine!$B$12:$B$72,$A212+1)-(F212/INDEX(Surface_Engine!$B$12:$B$72,$A212+1))))^2+2*Assumptions!$B$26*(IF(C212&lt;=0,0,MAX(0,(B212/C212)*G212/INDEX(Surface_Engine!$B$12:$B$72,$A212+1)-F212/INDEX(Surface_Engine!$B$12:$B$72,$A212+1))))*(MAX(IF(D212&lt;=0,0,MAX(0,(B212/D212)*H212/INDEX(Surface_Engine!$B$12:$B$72,$A212+1)-F212/INDEX(Surface_Engine!$B$12:$B$72,$A212+1))),IF(E212&lt;=0,0,MAX(0,(B212/E212)*I212/INDEX(Surface_Engine!$B$12:$B$72,$A212+1)-F212/INDEX(Surface_Engine!$B$12:$B$72,$A212+1))),IF($A212&lt;$Q$195,MAX(0,-Assumptions!$B$22*(F212/INDEX(Surface_Engine!$B$12:$B$72,$A212+1))),0)))+2*Assumptions!$B$27*(IF(C212&lt;=0,0,MAX(0,(B212/C212)*G212/INDEX(Surface_Engine!$B$12:$B$72,$A212+1)-F212/INDEX(Surface_Engine!$B$12:$B$72,$A212+1))))*(MAX(0,J212/INDEX(Surface_Engine!$B$12:$B$72,$A212+1)-(F212/INDEX(Surface_Engine!$B$12:$B$72,$A212+1))))+2*Assumptions!$B$28*(MAX(IF(D212&lt;=0,0,MAX(0,(B212/D212)*H212/INDEX(Surface_Engine!$B$12:$B$72,$A212+1)-F212/INDEX(Surface_Engine!$B$12:$B$72,$A212+1))),IF(E212&lt;=0,0,MAX(0,(B212/E212)*I212/INDEX(Surface_Engine!$B$12:$B$72,$A212+1)-F212/INDEX(Surface_Engine!$B$12:$B$72,$A212+1))),IF($A212&lt;$Q$195,MAX(0,-Assumptions!$B$22*(F212/INDEX(Surface_Engine!$B$12:$B$72,$A212+1))),0)))*(MAX(0,J212/INDEX(Surface_Engine!$B$12:$B$72,$A212+1)-(F212/INDEX(Surface_Engine!$B$12:$B$72,$A212+1)))))</f>
        <v>5790.89625861177</v>
      </c>
      <c r="L212" s="48" t="n">
        <f aca="false">K212*INDEX(Surface_Engine!$B$12:$B$72,$A212+1)+L213</f>
        <v>56532.7158213031</v>
      </c>
      <c r="M212" s="48" t="n">
        <f aca="false">M211+B211*(IF($A211&lt;$Q$195,(Surface_Engine!Q236*12)-(Surface_Engine!Q236*12)*INDEX(Surface_Engine!$F$12:$F$72,$A211+1)-INDEX(Surface_Engine!$D$12:$D$72,$A211+1),-(1000*12*INDEX(Surface_Engine!$C$12:$C$72,$A211+1)/(1+Assumptions!$B$10)^30+INDEX(Surface_Engine!$D$12:$D$72,$A211+1))))*INDEX(Surface_Engine!$B$12:$B$72,$A211+1)</f>
        <v>8332.04236763863</v>
      </c>
      <c r="N212" s="12" t="n">
        <f aca="false">IF(B212&lt;=0,0,MAX(0,(K212+Assumptions!$B$29*L212/INDEX(Surface_Engine!$B$12:$B$72,$A212+1)-(M212/INDEX(Surface_Engine!$B$12:$B$72,$A212+1)-(F212/INDEX(Surface_Engine!$B$12:$B$72,$A212+1))))/B212))</f>
        <v>13925.1039215524</v>
      </c>
    </row>
    <row r="213" customFormat="false" ht="15" hidden="false" customHeight="true" outlineLevel="0" collapsed="false">
      <c r="A213" s="1" t="n">
        <v>16</v>
      </c>
      <c r="B213" s="32" t="n">
        <f aca="false">INDEX(Surface_Engine!$G$12:$G$72,$A213+1)*IF($A213&lt;$Q$195,INDEX(Surface_Engine!$E$12:$E$72,$A213+1),INDEX(Surface_Engine!$E$12:$E$72,$Q$195+1))</f>
        <v>0.731299836812306</v>
      </c>
      <c r="C213" s="32" t="n">
        <f aca="false">INDEX(Panel_Reserving!$B$8:$B$68,$A213+1)*IF($A213&lt;$Q$195,INDEX(Surface_Engine!$E$12:$E$72,$A213+1),INDEX(Surface_Engine!$E$12:$E$72,$Q$195+1))</f>
        <v>0.747444963622263</v>
      </c>
      <c r="D213" s="32" t="n">
        <f aca="false">INDEX(Surface_Engine!$G$12:$G$72,$A213+1)*IF($A213&lt;$Q$195,INDEX(Surface_Engine!$Y$12:$Y$72,$A213+1),INDEX(Surface_Engine!$Y$12:$Y$72,$Q$195+1))</f>
        <v>0.659427141365475</v>
      </c>
      <c r="E213" s="32" t="n">
        <f aca="false">INDEX(Surface_Engine!$G$12:$G$72,$A213+1)*IF($A213&lt;$Q$195,INDEX(Surface_Engine!$Z$12:$Z$72,$A213+1),INDEX(Surface_Engine!$Z$12:$Z$72,$Q$195+1))</f>
        <v>0.810244932894244</v>
      </c>
      <c r="F213" s="48" t="n">
        <f aca="false">B213*(IF($A213&lt;$Q$195,INDEX(Surface_Engine!$D$12:$D$72,$A213+1)+(Surface_Engine!Q236*12)*INDEX(Surface_Engine!$F$12:$F$72,$A213+1)-(Surface_Engine!Q236*12),1000*12*INDEX(Surface_Engine!$C$12:$C$72,$A213+1)/(1+Assumptions!$B$10)^30+INDEX(Surface_Engine!$D$12:$D$72,$A213+1)))*INDEX(Surface_Engine!$B$12:$B$72,$A213+1)+F214</f>
        <v>8260.20842162624</v>
      </c>
      <c r="G213" s="48" t="n">
        <f aca="false">C213*(IF($A213&lt;$Q$195,INDEX(Surface_Engine!$D$12:$D$72,$A213+1)+(Surface_Engine!Q236*12)*INDEX(Surface_Engine!$F$12:$F$72,$A213+1)-(Surface_Engine!Q236*12),1000*12*INDEX(Surface_Engine!$C$12:$C$72,$A213+1)/(1+Assumptions!$B$10)^30+INDEX(Surface_Engine!$D$12:$D$72,$A213+1)))*INDEX(Surface_Engine!$B$12:$B$72,$A213+1)+G214</f>
        <v>11863.7742010145</v>
      </c>
      <c r="H213" s="48" t="n">
        <f aca="false">D213*(IF($A213&lt;$Q$195,INDEX(Surface_Engine!$D$12:$D$72,$A213+1)+(Surface_Engine!Q236*12)*INDEX(Surface_Engine!$F$12:$F$72,$A213+1)-(Surface_Engine!Q236*12),1000*12*INDEX(Surface_Engine!$C$12:$C$72,$A213+1)/(1+Assumptions!$B$10)^30+INDEX(Surface_Engine!$D$12:$D$72,$A213+1)))*INDEX(Surface_Engine!$B$12:$B$72,$A213+1)+H214</f>
        <v>6865.01053893203</v>
      </c>
      <c r="I213" s="48" t="n">
        <f aca="false">E213*(IF($A213&lt;$Q$195,INDEX(Surface_Engine!$D$12:$D$72,$A213+1)+(Surface_Engine!Q236*12)*INDEX(Surface_Engine!$F$12:$F$72,$A213+1)-(Surface_Engine!Q236*12),1000*12*INDEX(Surface_Engine!$C$12:$C$72,$A213+1)/(1+Assumptions!$B$10)^30+INDEX(Surface_Engine!$D$12:$D$72,$A213+1)))*INDEX(Surface_Engine!$B$12:$B$72,$A213+1)+I214</f>
        <v>9915.35043210303</v>
      </c>
      <c r="J213" s="48" t="n">
        <f aca="false">B213*(IF($A213&lt;$Q$195,INDEX(Surface_Engine!$D$12:$D$72,$A213+1)*(1+Assumptions!$B$24)+(Surface_Engine!Q236*12)*INDEX(Surface_Engine!$F$12:$F$72,$A213+1)-(Surface_Engine!Q236*12),1000*12*INDEX(Surface_Engine!$C$12:$C$72,$A213+1)/(1+Assumptions!$B$10)^30+INDEX(Surface_Engine!$D$12:$D$72,$A213+1)*(1+Assumptions!$B$24)))*INDEX(Surface_Engine!$B$12:$B$72,$A213+1)+J214</f>
        <v>8335.43363082913</v>
      </c>
      <c r="K213" s="12" t="n">
        <f aca="false">SQRT((IF(C213&lt;=0,0,MAX(0,(B213/C213)*G213/INDEX(Surface_Engine!$B$12:$B$72,$A213+1)-F213/INDEX(Surface_Engine!$B$12:$B$72,$A213+1))))^2+(MAX(IF(D213&lt;=0,0,MAX(0,(B213/D213)*H213/INDEX(Surface_Engine!$B$12:$B$72,$A213+1)-F213/INDEX(Surface_Engine!$B$12:$B$72,$A213+1))),IF(E213&lt;=0,0,MAX(0,(B213/E213)*I213/INDEX(Surface_Engine!$B$12:$B$72,$A213+1)-F213/INDEX(Surface_Engine!$B$12:$B$72,$A213+1))),IF($A213&lt;$Q$195,MAX(0,-Assumptions!$B$22*(F213/INDEX(Surface_Engine!$B$12:$B$72,$A213+1))),0)))^2+(MAX(0,J213/INDEX(Surface_Engine!$B$12:$B$72,$A213+1)-(F213/INDEX(Surface_Engine!$B$12:$B$72,$A213+1))))^2+2*Assumptions!$B$26*(IF(C213&lt;=0,0,MAX(0,(B213/C213)*G213/INDEX(Surface_Engine!$B$12:$B$72,$A213+1)-F213/INDEX(Surface_Engine!$B$12:$B$72,$A213+1))))*(MAX(IF(D213&lt;=0,0,MAX(0,(B213/D213)*H213/INDEX(Surface_Engine!$B$12:$B$72,$A213+1)-F213/INDEX(Surface_Engine!$B$12:$B$72,$A213+1))),IF(E213&lt;=0,0,MAX(0,(B213/E213)*I213/INDEX(Surface_Engine!$B$12:$B$72,$A213+1)-F213/INDEX(Surface_Engine!$B$12:$B$72,$A213+1))),IF($A213&lt;$Q$195,MAX(0,-Assumptions!$B$22*(F213/INDEX(Surface_Engine!$B$12:$B$72,$A213+1))),0)))+2*Assumptions!$B$27*(IF(C213&lt;=0,0,MAX(0,(B213/C213)*G213/INDEX(Surface_Engine!$B$12:$B$72,$A213+1)-F213/INDEX(Surface_Engine!$B$12:$B$72,$A213+1))))*(MAX(0,J213/INDEX(Surface_Engine!$B$12:$B$72,$A213+1)-(F213/INDEX(Surface_Engine!$B$12:$B$72,$A213+1))))+2*Assumptions!$B$28*(MAX(IF(D213&lt;=0,0,MAX(0,(B213/D213)*H213/INDEX(Surface_Engine!$B$12:$B$72,$A213+1)-F213/INDEX(Surface_Engine!$B$12:$B$72,$A213+1))),IF(E213&lt;=0,0,MAX(0,(B213/E213)*I213/INDEX(Surface_Engine!$B$12:$B$72,$A213+1)-F213/INDEX(Surface_Engine!$B$12:$B$72,$A213+1))),IF($A213&lt;$Q$195,MAX(0,-Assumptions!$B$22*(F213/INDEX(Surface_Engine!$B$12:$B$72,$A213+1))),0)))*(MAX(0,J213/INDEX(Surface_Engine!$B$12:$B$72,$A213+1)-(F213/INDEX(Surface_Engine!$B$12:$B$72,$A213+1)))))</f>
        <v>5915.65923125571</v>
      </c>
      <c r="L213" s="48" t="n">
        <f aca="false">K213*INDEX(Surface_Engine!$B$12:$B$72,$A213+1)+L214</f>
        <v>52873.2008973956</v>
      </c>
      <c r="M213" s="48" t="n">
        <f aca="false">M212+B212*(IF($A212&lt;$Q$195,(Surface_Engine!Q236*12)-(Surface_Engine!Q236*12)*INDEX(Surface_Engine!$F$12:$F$72,$A212+1)-INDEX(Surface_Engine!$D$12:$D$72,$A212+1),-(1000*12*INDEX(Surface_Engine!$C$12:$C$72,$A212+1)/(1+Assumptions!$B$10)^30+INDEX(Surface_Engine!$D$12:$D$72,$A212+1))))*INDEX(Surface_Engine!$B$12:$B$72,$A212+1)</f>
        <v>8726.39787354395</v>
      </c>
      <c r="N213" s="12" t="n">
        <f aca="false">IF(B213&lt;=0,0,MAX(0,(K213+Assumptions!$B$29*L213/INDEX(Surface_Engine!$B$12:$B$72,$A213+1)-(M213/INDEX(Surface_Engine!$B$12:$B$72,$A213+1)-(F213/INDEX(Surface_Engine!$B$12:$B$72,$A213+1))))/B213))</f>
        <v>14157.0423699442</v>
      </c>
    </row>
    <row r="214" customFormat="false" ht="15" hidden="false" customHeight="true" outlineLevel="0" collapsed="false">
      <c r="A214" s="1" t="n">
        <v>17</v>
      </c>
      <c r="B214" s="32" t="n">
        <f aca="false">INDEX(Surface_Engine!$G$12:$G$72,$A214+1)*IF($A214&lt;$Q$195,INDEX(Surface_Engine!$E$12:$E$72,$A214+1),INDEX(Surface_Engine!$E$12:$E$72,$Q$195+1))</f>
        <v>0.713482050644402</v>
      </c>
      <c r="C214" s="32" t="n">
        <f aca="false">INDEX(Panel_Reserving!$B$8:$B$68,$A214+1)*IF($A214&lt;$Q$195,INDEX(Surface_Engine!$E$12:$E$72,$A214+1),INDEX(Surface_Engine!$E$12:$E$72,$Q$195+1))</f>
        <v>0.731515689947711</v>
      </c>
      <c r="D214" s="32" t="n">
        <f aca="false">INDEX(Surface_Engine!$G$12:$G$72,$A214+1)*IF($A214&lt;$Q$195,INDEX(Surface_Engine!$Y$12:$Y$72,$A214+1),INDEX(Surface_Engine!$Y$12:$Y$72,$Q$195+1))</f>
        <v>0.640406327307206</v>
      </c>
      <c r="E214" s="32" t="n">
        <f aca="false">INDEX(Surface_Engine!$G$12:$G$72,$A214+1)*IF($A214&lt;$Q$195,INDEX(Surface_Engine!$Z$12:$Z$72,$A214+1),INDEX(Surface_Engine!$Z$12:$Z$72,$Q$195+1))</f>
        <v>0.794133508714652</v>
      </c>
      <c r="F214" s="48" t="n">
        <f aca="false">B214*(IF($A214&lt;$Q$195,INDEX(Surface_Engine!$D$12:$D$72,$A214+1)+(Surface_Engine!Q236*12)*INDEX(Surface_Engine!$F$12:$F$72,$A214+1)-(Surface_Engine!Q236*12),1000*12*INDEX(Surface_Engine!$C$12:$C$72,$A214+1)/(1+Assumptions!$B$10)^30+INDEX(Surface_Engine!$D$12:$D$72,$A214+1)))*INDEX(Surface_Engine!$B$12:$B$72,$A214+1)+F215</f>
        <v>8630.79641241798</v>
      </c>
      <c r="G214" s="48" t="n">
        <f aca="false">C214*(IF($A214&lt;$Q$195,INDEX(Surface_Engine!$D$12:$D$72,$A214+1)+(Surface_Engine!Q236*12)*INDEX(Surface_Engine!$F$12:$F$72,$A214+1)-(Surface_Engine!Q236*12),1000*12*INDEX(Surface_Engine!$C$12:$C$72,$A214+1)/(1+Assumptions!$B$10)^30+INDEX(Surface_Engine!$D$12:$D$72,$A214+1)))*INDEX(Surface_Engine!$B$12:$B$72,$A214+1)+G215</f>
        <v>12242.543774523</v>
      </c>
      <c r="H214" s="48" t="n">
        <f aca="false">D214*(IF($A214&lt;$Q$195,INDEX(Surface_Engine!$D$12:$D$72,$A214+1)+(Surface_Engine!Q236*12)*INDEX(Surface_Engine!$F$12:$F$72,$A214+1)-(Surface_Engine!Q236*12),1000*12*INDEX(Surface_Engine!$C$12:$C$72,$A214+1)/(1+Assumptions!$B$10)^30+INDEX(Surface_Engine!$D$12:$D$72,$A214+1)))*INDEX(Surface_Engine!$B$12:$B$72,$A214+1)+H215</f>
        <v>7199.17686454943</v>
      </c>
      <c r="I214" s="48" t="n">
        <f aca="false">E214*(IF($A214&lt;$Q$195,INDEX(Surface_Engine!$D$12:$D$72,$A214+1)+(Surface_Engine!Q236*12)*INDEX(Surface_Engine!$F$12:$F$72,$A214+1)-(Surface_Engine!Q236*12),1000*12*INDEX(Surface_Engine!$C$12:$C$72,$A214+1)/(1+Assumptions!$B$10)^30+INDEX(Surface_Engine!$D$12:$D$72,$A214+1)))*INDEX(Surface_Engine!$B$12:$B$72,$A214+1)+I215</f>
        <v>10325.9440444841</v>
      </c>
      <c r="J214" s="48" t="n">
        <f aca="false">B214*(IF($A214&lt;$Q$195,INDEX(Surface_Engine!$D$12:$D$72,$A214+1)*(1+Assumptions!$B$24)+(Surface_Engine!Q236*12)*INDEX(Surface_Engine!$F$12:$F$72,$A214+1)-(Surface_Engine!Q236*12),1000*12*INDEX(Surface_Engine!$C$12:$C$72,$A214+1)/(1+Assumptions!$B$10)^30+INDEX(Surface_Engine!$D$12:$D$72,$A214+1)*(1+Assumptions!$B$24)))*INDEX(Surface_Engine!$B$12:$B$72,$A214+1)+J215</f>
        <v>8700.59256321273</v>
      </c>
      <c r="K214" s="12" t="n">
        <f aca="false">SQRT((IF(C214&lt;=0,0,MAX(0,(B214/C214)*G214/INDEX(Surface_Engine!$B$12:$B$72,$A214+1)-F214/INDEX(Surface_Engine!$B$12:$B$72,$A214+1))))^2+(MAX(IF(D214&lt;=0,0,MAX(0,(B214/D214)*H214/INDEX(Surface_Engine!$B$12:$B$72,$A214+1)-F214/INDEX(Surface_Engine!$B$12:$B$72,$A214+1))),IF(E214&lt;=0,0,MAX(0,(B214/E214)*I214/INDEX(Surface_Engine!$B$12:$B$72,$A214+1)-F214/INDEX(Surface_Engine!$B$12:$B$72,$A214+1))),IF($A214&lt;$Q$195,MAX(0,-Assumptions!$B$22*(F214/INDEX(Surface_Engine!$B$12:$B$72,$A214+1))),0)))^2+(MAX(0,J214/INDEX(Surface_Engine!$B$12:$B$72,$A214+1)-(F214/INDEX(Surface_Engine!$B$12:$B$72,$A214+1))))^2+2*Assumptions!$B$26*(IF(C214&lt;=0,0,MAX(0,(B214/C214)*G214/INDEX(Surface_Engine!$B$12:$B$72,$A214+1)-F214/INDEX(Surface_Engine!$B$12:$B$72,$A214+1))))*(MAX(IF(D214&lt;=0,0,MAX(0,(B214/D214)*H214/INDEX(Surface_Engine!$B$12:$B$72,$A214+1)-F214/INDEX(Surface_Engine!$B$12:$B$72,$A214+1))),IF(E214&lt;=0,0,MAX(0,(B214/E214)*I214/INDEX(Surface_Engine!$B$12:$B$72,$A214+1)-F214/INDEX(Surface_Engine!$B$12:$B$72,$A214+1))),IF($A214&lt;$Q$195,MAX(0,-Assumptions!$B$22*(F214/INDEX(Surface_Engine!$B$12:$B$72,$A214+1))),0)))+2*Assumptions!$B$27*(IF(C214&lt;=0,0,MAX(0,(B214/C214)*G214/INDEX(Surface_Engine!$B$12:$B$72,$A214+1)-F214/INDEX(Surface_Engine!$B$12:$B$72,$A214+1))))*(MAX(0,J214/INDEX(Surface_Engine!$B$12:$B$72,$A214+1)-(F214/INDEX(Surface_Engine!$B$12:$B$72,$A214+1))))+2*Assumptions!$B$28*(MAX(IF(D214&lt;=0,0,MAX(0,(B214/D214)*H214/INDEX(Surface_Engine!$B$12:$B$72,$A214+1)-F214/INDEX(Surface_Engine!$B$12:$B$72,$A214+1))),IF(E214&lt;=0,0,MAX(0,(B214/E214)*I214/INDEX(Surface_Engine!$B$12:$B$72,$A214+1)-F214/INDEX(Surface_Engine!$B$12:$B$72,$A214+1))),IF($A214&lt;$Q$195,MAX(0,-Assumptions!$B$22*(F214/INDEX(Surface_Engine!$B$12:$B$72,$A214+1))),0)))*(MAX(0,J214/INDEX(Surface_Engine!$B$12:$B$72,$A214+1)-(F214/INDEX(Surface_Engine!$B$12:$B$72,$A214+1)))))</f>
        <v>6022.07385385475</v>
      </c>
      <c r="L214" s="48" t="n">
        <f aca="false">K214*INDEX(Surface_Engine!$B$12:$B$72,$A214+1)+L215</f>
        <v>49265.450463761</v>
      </c>
      <c r="M214" s="48" t="n">
        <f aca="false">M213+B213*(IF($A213&lt;$Q$195,(Surface_Engine!Q236*12)-(Surface_Engine!Q236*12)*INDEX(Surface_Engine!$F$12:$F$72,$A213+1)-INDEX(Surface_Engine!$D$12:$D$72,$A213+1),-(1000*12*INDEX(Surface_Engine!$C$12:$C$72,$A213+1)/(1+Assumptions!$B$10)^30+INDEX(Surface_Engine!$D$12:$D$72,$A213+1))))*INDEX(Surface_Engine!$B$12:$B$72,$A213+1)</f>
        <v>9096.9858643357</v>
      </c>
      <c r="N214" s="12" t="n">
        <f aca="false">IF(B214&lt;=0,0,MAX(0,(K214+Assumptions!$B$29*L214/INDEX(Surface_Engine!$B$12:$B$72,$A214+1)-(M214/INDEX(Surface_Engine!$B$12:$B$72,$A214+1)-(F214/INDEX(Surface_Engine!$B$12:$B$72,$A214+1))))/B214))</f>
        <v>14358.4265146516</v>
      </c>
    </row>
    <row r="215" customFormat="false" ht="15" hidden="false" customHeight="true" outlineLevel="0" collapsed="false">
      <c r="A215" s="1" t="n">
        <v>18</v>
      </c>
      <c r="B215" s="32" t="n">
        <f aca="false">INDEX(Surface_Engine!$G$12:$G$72,$A215+1)*IF($A215&lt;$Q$195,INDEX(Surface_Engine!$E$12:$E$72,$A215+1),INDEX(Surface_Engine!$E$12:$E$72,$Q$195+1))</f>
        <v>0.694809270432386</v>
      </c>
      <c r="C215" s="32" t="n">
        <f aca="false">INDEX(Panel_Reserving!$B$8:$B$68,$A215+1)*IF($A215&lt;$Q$195,INDEX(Surface_Engine!$E$12:$E$72,$A215+1),INDEX(Surface_Engine!$E$12:$E$72,$Q$195+1))</f>
        <v>0.71486853564051</v>
      </c>
      <c r="D215" s="32" t="n">
        <f aca="false">INDEX(Surface_Engine!$G$12:$G$72,$A215+1)*IF($A215&lt;$Q$195,INDEX(Surface_Engine!$Y$12:$Y$72,$A215+1),INDEX(Surface_Engine!$Y$12:$Y$72,$Q$195+1))</f>
        <v>0.620782387912415</v>
      </c>
      <c r="E215" s="32" t="n">
        <f aca="false">INDEX(Surface_Engine!$G$12:$G$72,$A215+1)*IF($A215&lt;$Q$195,INDEX(Surface_Engine!$Z$12:$Z$72,$A215+1),INDEX(Surface_Engine!$Z$12:$Z$72,$Q$195+1))</f>
        <v>0.776901028889261</v>
      </c>
      <c r="F215" s="48" t="n">
        <f aca="false">B215*(IF($A215&lt;$Q$195,INDEX(Surface_Engine!$D$12:$D$72,$A215+1)+(Surface_Engine!Q236*12)*INDEX(Surface_Engine!$F$12:$F$72,$A215+1)-(Surface_Engine!Q236*12),1000*12*INDEX(Surface_Engine!$C$12:$C$72,$A215+1)/(1+Assumptions!$B$10)^30+INDEX(Surface_Engine!$D$12:$D$72,$A215+1)))*INDEX(Surface_Engine!$B$12:$B$72,$A215+1)+F216</f>
        <v>8979.09016265591</v>
      </c>
      <c r="G215" s="48" t="n">
        <f aca="false">C215*(IF($A215&lt;$Q$195,INDEX(Surface_Engine!$D$12:$D$72,$A215+1)+(Surface_Engine!Q236*12)*INDEX(Surface_Engine!$F$12:$F$72,$A215+1)-(Surface_Engine!Q236*12),1000*12*INDEX(Surface_Engine!$C$12:$C$72,$A215+1)/(1+Assumptions!$B$10)^30+INDEX(Surface_Engine!$D$12:$D$72,$A215+1)))*INDEX(Surface_Engine!$B$12:$B$72,$A215+1)+G216</f>
        <v>12599.6408350302</v>
      </c>
      <c r="H215" s="48" t="n">
        <f aca="false">D215*(IF($A215&lt;$Q$195,INDEX(Surface_Engine!$D$12:$D$72,$A215+1)+(Surface_Engine!Q236*12)*INDEX(Surface_Engine!$F$12:$F$72,$A215+1)-(Surface_Engine!Q236*12),1000*12*INDEX(Surface_Engine!$C$12:$C$72,$A215+1)/(1+Assumptions!$B$10)^30+INDEX(Surface_Engine!$D$12:$D$72,$A215+1)))*INDEX(Surface_Engine!$B$12:$B$72,$A215+1)+H216</f>
        <v>7511.7979335903</v>
      </c>
      <c r="I215" s="48" t="n">
        <f aca="false">E215*(IF($A215&lt;$Q$195,INDEX(Surface_Engine!$D$12:$D$72,$A215+1)+(Surface_Engine!Q236*12)*INDEX(Surface_Engine!$F$12:$F$72,$A215+1)-(Surface_Engine!Q236*12),1000*12*INDEX(Surface_Engine!$C$12:$C$72,$A215+1)/(1+Assumptions!$B$10)^30+INDEX(Surface_Engine!$D$12:$D$72,$A215+1)))*INDEX(Surface_Engine!$B$12:$B$72,$A215+1)+I216</f>
        <v>10713.6086503281</v>
      </c>
      <c r="J215" s="48" t="n">
        <f aca="false">B215*(IF($A215&lt;$Q$195,INDEX(Surface_Engine!$D$12:$D$72,$A215+1)*(1+Assumptions!$B$24)+(Surface_Engine!Q236*12)*INDEX(Surface_Engine!$F$12:$F$72,$A215+1)-(Surface_Engine!Q236*12),1000*12*INDEX(Surface_Engine!$C$12:$C$72,$A215+1)/(1+Assumptions!$B$10)^30+INDEX(Surface_Engine!$D$12:$D$72,$A215+1)*(1+Assumptions!$B$24)))*INDEX(Surface_Engine!$B$12:$B$72,$A215+1)+J216</f>
        <v>9043.63707590462</v>
      </c>
      <c r="K215" s="12" t="n">
        <f aca="false">SQRT((IF(C215&lt;=0,0,MAX(0,(B215/C215)*G215/INDEX(Surface_Engine!$B$12:$B$72,$A215+1)-F215/INDEX(Surface_Engine!$B$12:$B$72,$A215+1))))^2+(MAX(IF(D215&lt;=0,0,MAX(0,(B215/D215)*H215/INDEX(Surface_Engine!$B$12:$B$72,$A215+1)-F215/INDEX(Surface_Engine!$B$12:$B$72,$A215+1))),IF(E215&lt;=0,0,MAX(0,(B215/E215)*I215/INDEX(Surface_Engine!$B$12:$B$72,$A215+1)-F215/INDEX(Surface_Engine!$B$12:$B$72,$A215+1))),IF($A215&lt;$Q$195,MAX(0,-Assumptions!$B$22*(F215/INDEX(Surface_Engine!$B$12:$B$72,$A215+1))),0)))^2+(MAX(0,J215/INDEX(Surface_Engine!$B$12:$B$72,$A215+1)-(F215/INDEX(Surface_Engine!$B$12:$B$72,$A215+1))))^2+2*Assumptions!$B$26*(IF(C215&lt;=0,0,MAX(0,(B215/C215)*G215/INDEX(Surface_Engine!$B$12:$B$72,$A215+1)-F215/INDEX(Surface_Engine!$B$12:$B$72,$A215+1))))*(MAX(IF(D215&lt;=0,0,MAX(0,(B215/D215)*H215/INDEX(Surface_Engine!$B$12:$B$72,$A215+1)-F215/INDEX(Surface_Engine!$B$12:$B$72,$A215+1))),IF(E215&lt;=0,0,MAX(0,(B215/E215)*I215/INDEX(Surface_Engine!$B$12:$B$72,$A215+1)-F215/INDEX(Surface_Engine!$B$12:$B$72,$A215+1))),IF($A215&lt;$Q$195,MAX(0,-Assumptions!$B$22*(F215/INDEX(Surface_Engine!$B$12:$B$72,$A215+1))),0)))+2*Assumptions!$B$27*(IF(C215&lt;=0,0,MAX(0,(B215/C215)*G215/INDEX(Surface_Engine!$B$12:$B$72,$A215+1)-F215/INDEX(Surface_Engine!$B$12:$B$72,$A215+1))))*(MAX(0,J215/INDEX(Surface_Engine!$B$12:$B$72,$A215+1)-(F215/INDEX(Surface_Engine!$B$12:$B$72,$A215+1))))+2*Assumptions!$B$28*(MAX(IF(D215&lt;=0,0,MAX(0,(B215/D215)*H215/INDEX(Surface_Engine!$B$12:$B$72,$A215+1)-F215/INDEX(Surface_Engine!$B$12:$B$72,$A215+1))),IF(E215&lt;=0,0,MAX(0,(B215/E215)*I215/INDEX(Surface_Engine!$B$12:$B$72,$A215+1)-F215/INDEX(Surface_Engine!$B$12:$B$72,$A215+1))),IF($A215&lt;$Q$195,MAX(0,-Assumptions!$B$22*(F215/INDEX(Surface_Engine!$B$12:$B$72,$A215+1))),0)))*(MAX(0,J215/INDEX(Surface_Engine!$B$12:$B$72,$A215+1)-(F215/INDEX(Surface_Engine!$B$12:$B$72,$A215+1)))))</f>
        <v>6112.34871719902</v>
      </c>
      <c r="L215" s="48" t="n">
        <f aca="false">K215*INDEX(Surface_Engine!$B$12:$B$72,$A215+1)+L216</f>
        <v>45714.5402759157</v>
      </c>
      <c r="M215" s="48" t="n">
        <f aca="false">M214+B214*(IF($A214&lt;$Q$195,(Surface_Engine!Q236*12)-(Surface_Engine!Q236*12)*INDEX(Surface_Engine!$F$12:$F$72,$A214+1)-INDEX(Surface_Engine!$D$12:$D$72,$A214+1),-(1000*12*INDEX(Surface_Engine!$C$12:$C$72,$A214+1)/(1+Assumptions!$B$10)^30+INDEX(Surface_Engine!$D$12:$D$72,$A214+1))))*INDEX(Surface_Engine!$B$12:$B$72,$A214+1)</f>
        <v>9445.27961457362</v>
      </c>
      <c r="N215" s="12" t="n">
        <f aca="false">IF(B215&lt;=0,0,MAX(0,(K215+Assumptions!$B$29*L215/INDEX(Surface_Engine!$B$12:$B$72,$A215+1)-(M215/INDEX(Surface_Engine!$B$12:$B$72,$A215+1)-(F215/INDEX(Surface_Engine!$B$12:$B$72,$A215+1))))/B215))</f>
        <v>14538.5874574597</v>
      </c>
    </row>
    <row r="216" customFormat="false" ht="15" hidden="false" customHeight="true" outlineLevel="0" collapsed="false">
      <c r="A216" s="1" t="n">
        <v>19</v>
      </c>
      <c r="B216" s="32" t="n">
        <f aca="false">INDEX(Surface_Engine!$G$12:$G$72,$A216+1)*IF($A216&lt;$Q$195,INDEX(Surface_Engine!$E$12:$E$72,$A216+1),INDEX(Surface_Engine!$E$12:$E$72,$Q$195+1))</f>
        <v>0.675204232687693</v>
      </c>
      <c r="C216" s="32" t="n">
        <f aca="false">INDEX(Panel_Reserving!$B$8:$B$68,$A216+1)*IF($A216&lt;$Q$195,INDEX(Surface_Engine!$E$12:$E$72,$A216+1),INDEX(Surface_Engine!$E$12:$E$72,$Q$195+1))</f>
        <v>0.697430644013905</v>
      </c>
      <c r="D216" s="32" t="n">
        <f aca="false">INDEX(Surface_Engine!$G$12:$G$72,$A216+1)*IF($A216&lt;$Q$195,INDEX(Surface_Engine!$Y$12:$Y$72,$A216+1),INDEX(Surface_Engine!$Y$12:$Y$72,$Q$195+1))</f>
        <v>0.600496056090523</v>
      </c>
      <c r="E216" s="32" t="n">
        <f aca="false">INDEX(Surface_Engine!$G$12:$G$72,$A216+1)*IF($A216&lt;$Q$195,INDEX(Surface_Engine!$Z$12:$Z$72,$A216+1),INDEX(Surface_Engine!$Z$12:$Z$72,$Q$195+1))</f>
        <v>0.758446359156707</v>
      </c>
      <c r="F216" s="48" t="n">
        <f aca="false">B216*(IF($A216&lt;$Q$195,INDEX(Surface_Engine!$D$12:$D$72,$A216+1)+(Surface_Engine!Q236*12)*INDEX(Surface_Engine!$F$12:$F$72,$A216+1)-(Surface_Engine!Q236*12),1000*12*INDEX(Surface_Engine!$C$12:$C$72,$A216+1)/(1+Assumptions!$B$10)^30+INDEX(Surface_Engine!$D$12:$D$72,$A216+1)))*INDEX(Surface_Engine!$B$12:$B$72,$A216+1)+F217</f>
        <v>9306.13876893902</v>
      </c>
      <c r="G216" s="48" t="n">
        <f aca="false">C216*(IF($A216&lt;$Q$195,INDEX(Surface_Engine!$D$12:$D$72,$A216+1)+(Surface_Engine!Q236*12)*INDEX(Surface_Engine!$F$12:$F$72,$A216+1)-(Surface_Engine!Q236*12),1000*12*INDEX(Surface_Engine!$C$12:$C$72,$A216+1)/(1+Assumptions!$B$10)^30+INDEX(Surface_Engine!$D$12:$D$72,$A216+1)))*INDEX(Surface_Engine!$B$12:$B$72,$A216+1)+G217</f>
        <v>12936.1313918004</v>
      </c>
      <c r="H216" s="48" t="n">
        <f aca="false">D216*(IF($A216&lt;$Q$195,INDEX(Surface_Engine!$D$12:$D$72,$A216+1)+(Surface_Engine!Q236*12)*INDEX(Surface_Engine!$F$12:$F$72,$A216+1)-(Surface_Engine!Q236*12),1000*12*INDEX(Surface_Engine!$C$12:$C$72,$A216+1)/(1+Assumptions!$B$10)^30+INDEX(Surface_Engine!$D$12:$D$72,$A216+1)))*INDEX(Surface_Engine!$B$12:$B$72,$A216+1)+H217</f>
        <v>7804.00188568425</v>
      </c>
      <c r="I216" s="48" t="n">
        <f aca="false">E216*(IF($A216&lt;$Q$195,INDEX(Surface_Engine!$D$12:$D$72,$A216+1)+(Surface_Engine!Q236*12)*INDEX(Surface_Engine!$F$12:$F$72,$A216+1)-(Surface_Engine!Q236*12),1000*12*INDEX(Surface_Engine!$C$12:$C$72,$A216+1)/(1+Assumptions!$B$10)^30+INDEX(Surface_Engine!$D$12:$D$72,$A216+1)))*INDEX(Surface_Engine!$B$12:$B$72,$A216+1)+I217</f>
        <v>11079.2980697569</v>
      </c>
      <c r="J216" s="48" t="n">
        <f aca="false">B216*(IF($A216&lt;$Q$195,INDEX(Surface_Engine!$D$12:$D$72,$A216+1)*(1+Assumptions!$B$24)+(Surface_Engine!Q236*12)*INDEX(Surface_Engine!$F$12:$F$72,$A216+1)-(Surface_Engine!Q236*12),1000*12*INDEX(Surface_Engine!$C$12:$C$72,$A216+1)/(1+Assumptions!$B$10)^30+INDEX(Surface_Engine!$D$12:$D$72,$A216+1)*(1+Assumptions!$B$24)))*INDEX(Surface_Engine!$B$12:$B$72,$A216+1)+J217</f>
        <v>9365.61430224664</v>
      </c>
      <c r="K216" s="12" t="n">
        <f aca="false">SQRT((IF(C216&lt;=0,0,MAX(0,(B216/C216)*G216/INDEX(Surface_Engine!$B$12:$B$72,$A216+1)-F216/INDEX(Surface_Engine!$B$12:$B$72,$A216+1))))^2+(MAX(IF(D216&lt;=0,0,MAX(0,(B216/D216)*H216/INDEX(Surface_Engine!$B$12:$B$72,$A216+1)-F216/INDEX(Surface_Engine!$B$12:$B$72,$A216+1))),IF(E216&lt;=0,0,MAX(0,(B216/E216)*I216/INDEX(Surface_Engine!$B$12:$B$72,$A216+1)-F216/INDEX(Surface_Engine!$B$12:$B$72,$A216+1))),IF($A216&lt;$Q$195,MAX(0,-Assumptions!$B$22*(F216/INDEX(Surface_Engine!$B$12:$B$72,$A216+1))),0)))^2+(MAX(0,J216/INDEX(Surface_Engine!$B$12:$B$72,$A216+1)-(F216/INDEX(Surface_Engine!$B$12:$B$72,$A216+1))))^2+2*Assumptions!$B$26*(IF(C216&lt;=0,0,MAX(0,(B216/C216)*G216/INDEX(Surface_Engine!$B$12:$B$72,$A216+1)-F216/INDEX(Surface_Engine!$B$12:$B$72,$A216+1))))*(MAX(IF(D216&lt;=0,0,MAX(0,(B216/D216)*H216/INDEX(Surface_Engine!$B$12:$B$72,$A216+1)-F216/INDEX(Surface_Engine!$B$12:$B$72,$A216+1))),IF(E216&lt;=0,0,MAX(0,(B216/E216)*I216/INDEX(Surface_Engine!$B$12:$B$72,$A216+1)-F216/INDEX(Surface_Engine!$B$12:$B$72,$A216+1))),IF($A216&lt;$Q$195,MAX(0,-Assumptions!$B$22*(F216/INDEX(Surface_Engine!$B$12:$B$72,$A216+1))),0)))+2*Assumptions!$B$27*(IF(C216&lt;=0,0,MAX(0,(B216/C216)*G216/INDEX(Surface_Engine!$B$12:$B$72,$A216+1)-F216/INDEX(Surface_Engine!$B$12:$B$72,$A216+1))))*(MAX(0,J216/INDEX(Surface_Engine!$B$12:$B$72,$A216+1)-(F216/INDEX(Surface_Engine!$B$12:$B$72,$A216+1))))+2*Assumptions!$B$28*(MAX(IF(D216&lt;=0,0,MAX(0,(B216/D216)*H216/INDEX(Surface_Engine!$B$12:$B$72,$A216+1)-F216/INDEX(Surface_Engine!$B$12:$B$72,$A216+1))),IF(E216&lt;=0,0,MAX(0,(B216/E216)*I216/INDEX(Surface_Engine!$B$12:$B$72,$A216+1)-F216/INDEX(Surface_Engine!$B$12:$B$72,$A216+1))),IF($A216&lt;$Q$195,MAX(0,-Assumptions!$B$22*(F216/INDEX(Surface_Engine!$B$12:$B$72,$A216+1))),0)))*(MAX(0,J216/INDEX(Surface_Engine!$B$12:$B$72,$A216+1)-(F216/INDEX(Surface_Engine!$B$12:$B$72,$A216+1)))))</f>
        <v>6184.69396530736</v>
      </c>
      <c r="L216" s="48" t="n">
        <f aca="false">K216*INDEX(Surface_Engine!$B$12:$B$72,$A216+1)+L217</f>
        <v>42226.1486274921</v>
      </c>
      <c r="M216" s="48" t="n">
        <f aca="false">M215+B215*(IF($A215&lt;$Q$195,(Surface_Engine!Q236*12)-(Surface_Engine!Q236*12)*INDEX(Surface_Engine!$F$12:$F$72,$A215+1)-INDEX(Surface_Engine!$D$12:$D$72,$A215+1),-(1000*12*INDEX(Surface_Engine!$C$12:$C$72,$A215+1)/(1+Assumptions!$B$10)^30+INDEX(Surface_Engine!$D$12:$D$72,$A215+1))))*INDEX(Surface_Engine!$B$12:$B$72,$A215+1)</f>
        <v>9772.32822085673</v>
      </c>
      <c r="N216" s="12" t="n">
        <f aca="false">IF(B216&lt;=0,0,MAX(0,(K216+Assumptions!$B$29*L216/INDEX(Surface_Engine!$B$12:$B$72,$A216+1)-(M216/INDEX(Surface_Engine!$B$12:$B$72,$A216+1)-(F216/INDEX(Surface_Engine!$B$12:$B$72,$A216+1))))/B216))</f>
        <v>14697.5763070676</v>
      </c>
    </row>
    <row r="217" customFormat="false" ht="15" hidden="false" customHeight="true" outlineLevel="0" collapsed="false">
      <c r="A217" s="1" t="n">
        <v>20</v>
      </c>
      <c r="B217" s="32" t="n">
        <f aca="false">INDEX(Surface_Engine!$G$12:$G$72,$A217+1)*IF($A217&lt;$Q$195,INDEX(Surface_Engine!$E$12:$E$72,$A217+1),INDEX(Surface_Engine!$E$12:$E$72,$Q$195+1))</f>
        <v>0.654591355485922</v>
      </c>
      <c r="C217" s="32" t="n">
        <f aca="false">INDEX(Panel_Reserving!$B$8:$B$68,$A217+1)*IF($A217&lt;$Q$195,INDEX(Surface_Engine!$E$12:$E$72,$A217+1),INDEX(Surface_Engine!$E$12:$E$72,$Q$195+1))</f>
        <v>0.679128189789301</v>
      </c>
      <c r="D217" s="32" t="n">
        <f aca="false">INDEX(Surface_Engine!$G$12:$G$72,$A217+1)*IF($A217&lt;$Q$195,INDEX(Surface_Engine!$Y$12:$Y$72,$A217+1),INDEX(Surface_Engine!$Y$12:$Y$72,$Q$195+1))</f>
        <v>0.579490725330323</v>
      </c>
      <c r="E217" s="32" t="n">
        <f aca="false">INDEX(Surface_Engine!$G$12:$G$72,$A217+1)*IF($A217&lt;$Q$195,INDEX(Surface_Engine!$Z$12:$Z$72,$A217+1),INDEX(Surface_Engine!$Z$12:$Z$72,$Q$195+1))</f>
        <v>0.73866854047822</v>
      </c>
      <c r="F217" s="48" t="n">
        <f aca="false">B217*(IF($A217&lt;$Q$195,INDEX(Surface_Engine!$D$12:$D$72,$A217+1)+(Surface_Engine!Q236*12)*INDEX(Surface_Engine!$F$12:$F$72,$A217+1)-(Surface_Engine!Q236*12),1000*12*INDEX(Surface_Engine!$C$12:$C$72,$A217+1)/(1+Assumptions!$B$10)^30+INDEX(Surface_Engine!$D$12:$D$72,$A217+1)))*INDEX(Surface_Engine!$B$12:$B$72,$A217+1)+F218</f>
        <v>9612.84503815243</v>
      </c>
      <c r="G217" s="48" t="n">
        <f aca="false">C217*(IF($A217&lt;$Q$195,INDEX(Surface_Engine!$D$12:$D$72,$A217+1)+(Surface_Engine!Q236*12)*INDEX(Surface_Engine!$F$12:$F$72,$A217+1)-(Surface_Engine!Q236*12),1000*12*INDEX(Surface_Engine!$C$12:$C$72,$A217+1)/(1+Assumptions!$B$10)^30+INDEX(Surface_Engine!$D$12:$D$72,$A217+1)))*INDEX(Surface_Engine!$B$12:$B$72,$A217+1)+G218</f>
        <v>13252.9338354242</v>
      </c>
      <c r="H217" s="48" t="n">
        <f aca="false">D217*(IF($A217&lt;$Q$195,INDEX(Surface_Engine!$D$12:$D$72,$A217+1)+(Surface_Engine!Q236*12)*INDEX(Surface_Engine!$F$12:$F$72,$A217+1)-(Surface_Engine!Q236*12),1000*12*INDEX(Surface_Engine!$C$12:$C$72,$A217+1)/(1+Assumptions!$B$10)^30+INDEX(Surface_Engine!$D$12:$D$72,$A217+1)))*INDEX(Surface_Engine!$B$12:$B$72,$A217+1)+H218</f>
        <v>8076.77254695182</v>
      </c>
      <c r="I217" s="48" t="n">
        <f aca="false">E217*(IF($A217&lt;$Q$195,INDEX(Surface_Engine!$D$12:$D$72,$A217+1)+(Surface_Engine!Q236*12)*INDEX(Surface_Engine!$F$12:$F$72,$A217+1)-(Surface_Engine!Q236*12),1000*12*INDEX(Surface_Engine!$C$12:$C$72,$A217+1)/(1+Assumptions!$B$10)^30+INDEX(Surface_Engine!$D$12:$D$72,$A217+1)))*INDEX(Surface_Engine!$B$12:$B$72,$A217+1)+I218</f>
        <v>11423.8164272463</v>
      </c>
      <c r="J217" s="48" t="n">
        <f aca="false">B217*(IF($A217&lt;$Q$195,INDEX(Surface_Engine!$D$12:$D$72,$A217+1)*(1+Assumptions!$B$24)+(Surface_Engine!Q236*12)*INDEX(Surface_Engine!$F$12:$F$72,$A217+1)-(Surface_Engine!Q236*12),1000*12*INDEX(Surface_Engine!$C$12:$C$72,$A217+1)/(1+Assumptions!$B$10)^30+INDEX(Surface_Engine!$D$12:$D$72,$A217+1)*(1+Assumptions!$B$24)))*INDEX(Surface_Engine!$B$12:$B$72,$A217+1)+J218</f>
        <v>9667.42676000327</v>
      </c>
      <c r="K217" s="12" t="n">
        <f aca="false">SQRT((IF(C217&lt;=0,0,MAX(0,(B217/C217)*G217/INDEX(Surface_Engine!$B$12:$B$72,$A217+1)-F217/INDEX(Surface_Engine!$B$12:$B$72,$A217+1))))^2+(MAX(IF(D217&lt;=0,0,MAX(0,(B217/D217)*H217/INDEX(Surface_Engine!$B$12:$B$72,$A217+1)-F217/INDEX(Surface_Engine!$B$12:$B$72,$A217+1))),IF(E217&lt;=0,0,MAX(0,(B217/E217)*I217/INDEX(Surface_Engine!$B$12:$B$72,$A217+1)-F217/INDEX(Surface_Engine!$B$12:$B$72,$A217+1))),IF($A217&lt;$Q$195,MAX(0,-Assumptions!$B$22*(F217/INDEX(Surface_Engine!$B$12:$B$72,$A217+1))),0)))^2+(MAX(0,J217/INDEX(Surface_Engine!$B$12:$B$72,$A217+1)-(F217/INDEX(Surface_Engine!$B$12:$B$72,$A217+1))))^2+2*Assumptions!$B$26*(IF(C217&lt;=0,0,MAX(0,(B217/C217)*G217/INDEX(Surface_Engine!$B$12:$B$72,$A217+1)-F217/INDEX(Surface_Engine!$B$12:$B$72,$A217+1))))*(MAX(IF(D217&lt;=0,0,MAX(0,(B217/D217)*H217/INDEX(Surface_Engine!$B$12:$B$72,$A217+1)-F217/INDEX(Surface_Engine!$B$12:$B$72,$A217+1))),IF(E217&lt;=0,0,MAX(0,(B217/E217)*I217/INDEX(Surface_Engine!$B$12:$B$72,$A217+1)-F217/INDEX(Surface_Engine!$B$12:$B$72,$A217+1))),IF($A217&lt;$Q$195,MAX(0,-Assumptions!$B$22*(F217/INDEX(Surface_Engine!$B$12:$B$72,$A217+1))),0)))+2*Assumptions!$B$27*(IF(C217&lt;=0,0,MAX(0,(B217/C217)*G217/INDEX(Surface_Engine!$B$12:$B$72,$A217+1)-F217/INDEX(Surface_Engine!$B$12:$B$72,$A217+1))))*(MAX(0,J217/INDEX(Surface_Engine!$B$12:$B$72,$A217+1)-(F217/INDEX(Surface_Engine!$B$12:$B$72,$A217+1))))+2*Assumptions!$B$28*(MAX(IF(D217&lt;=0,0,MAX(0,(B217/D217)*H217/INDEX(Surface_Engine!$B$12:$B$72,$A217+1)-F217/INDEX(Surface_Engine!$B$12:$B$72,$A217+1))),IF(E217&lt;=0,0,MAX(0,(B217/E217)*I217/INDEX(Surface_Engine!$B$12:$B$72,$A217+1)-F217/INDEX(Surface_Engine!$B$12:$B$72,$A217+1))),IF($A217&lt;$Q$195,MAX(0,-Assumptions!$B$22*(F217/INDEX(Surface_Engine!$B$12:$B$72,$A217+1))),0)))*(MAX(0,J217/INDEX(Surface_Engine!$B$12:$B$72,$A217+1)-(F217/INDEX(Surface_Engine!$B$12:$B$72,$A217+1)))))</f>
        <v>6239.93488533106</v>
      </c>
      <c r="L217" s="48" t="n">
        <f aca="false">K217*INDEX(Surface_Engine!$B$12:$B$72,$A217+1)+L218</f>
        <v>38806.6455661642</v>
      </c>
      <c r="M217" s="48" t="n">
        <f aca="false">M216+B216*(IF($A216&lt;$Q$195,(Surface_Engine!Q236*12)-(Surface_Engine!Q236*12)*INDEX(Surface_Engine!$F$12:$F$72,$A216+1)-INDEX(Surface_Engine!$D$12:$D$72,$A216+1),-(1000*12*INDEX(Surface_Engine!$C$12:$C$72,$A216+1)/(1+Assumptions!$B$10)^30+INDEX(Surface_Engine!$D$12:$D$72,$A216+1))))*INDEX(Surface_Engine!$B$12:$B$72,$A216+1)</f>
        <v>10079.0344900701</v>
      </c>
      <c r="N217" s="12" t="n">
        <f aca="false">IF(B217&lt;=0,0,MAX(0,(K217+Assumptions!$B$29*L217/INDEX(Surface_Engine!$B$12:$B$72,$A217+1)-(M217/INDEX(Surface_Engine!$B$12:$B$72,$A217+1)-(F217/INDEX(Surface_Engine!$B$12:$B$72,$A217+1))))/B217))</f>
        <v>14841.9310900282</v>
      </c>
    </row>
    <row r="218" customFormat="false" ht="15" hidden="false" customHeight="true" outlineLevel="0" collapsed="false">
      <c r="A218" s="1" t="n">
        <v>21</v>
      </c>
      <c r="B218" s="32" t="n">
        <f aca="false">INDEX(Surface_Engine!$G$12:$G$72,$A218+1)*IF($A218&lt;$Q$195,INDEX(Surface_Engine!$E$12:$E$72,$A218+1),INDEX(Surface_Engine!$E$12:$E$72,$Q$195+1))</f>
        <v>0.632363304955836</v>
      </c>
      <c r="C218" s="32" t="n">
        <f aca="false">INDEX(Panel_Reserving!$B$8:$B$68,$A218+1)*IF($A218&lt;$Q$195,INDEX(Surface_Engine!$E$12:$E$72,$A218+1),INDEX(Surface_Engine!$E$12:$E$72,$Q$195+1))</f>
        <v>0.65944317547887</v>
      </c>
      <c r="D218" s="32" t="n">
        <f aca="false">INDEX(Surface_Engine!$G$12:$G$72,$A218+1)*IF($A218&lt;$Q$195,INDEX(Surface_Engine!$Y$12:$Y$72,$A218+1),INDEX(Surface_Engine!$Y$12:$Y$72,$Q$195+1))</f>
        <v>0.557242336927802</v>
      </c>
      <c r="E218" s="32" t="n">
        <f aca="false">INDEX(Surface_Engine!$G$12:$G$72,$A218+1)*IF($A218&lt;$Q$195,INDEX(Surface_Engine!$Z$12:$Z$72,$A218+1),INDEX(Surface_Engine!$Z$12:$Z$72,$Q$195+1))</f>
        <v>0.716862100406063</v>
      </c>
      <c r="F218" s="48" t="n">
        <f aca="false">B218*(IF($A218&lt;$Q$195,INDEX(Surface_Engine!$D$12:$D$72,$A218+1)+(Surface_Engine!Q236*12)*INDEX(Surface_Engine!$F$12:$F$72,$A218+1)-(Surface_Engine!Q236*12),1000*12*INDEX(Surface_Engine!$C$12:$C$72,$A218+1)/(1+Assumptions!$B$10)^30+INDEX(Surface_Engine!$D$12:$D$72,$A218+1)))*INDEX(Surface_Engine!$B$12:$B$72,$A218+1)+F219</f>
        <v>9899.85217268631</v>
      </c>
      <c r="G218" s="48" t="n">
        <f aca="false">C218*(IF($A218&lt;$Q$195,INDEX(Surface_Engine!$D$12:$D$72,$A218+1)+(Surface_Engine!Q236*12)*INDEX(Surface_Engine!$F$12:$F$72,$A218+1)-(Surface_Engine!Q236*12),1000*12*INDEX(Surface_Engine!$C$12:$C$72,$A218+1)/(1+Assumptions!$B$10)^30+INDEX(Surface_Engine!$D$12:$D$72,$A218+1)))*INDEX(Surface_Engine!$B$12:$B$72,$A218+1)+G219</f>
        <v>13550.6992032359</v>
      </c>
      <c r="H218" s="48" t="n">
        <f aca="false">D218*(IF($A218&lt;$Q$195,INDEX(Surface_Engine!$D$12:$D$72,$A218+1)+(Surface_Engine!Q236*12)*INDEX(Surface_Engine!$F$12:$F$72,$A218+1)-(Surface_Engine!Q236*12),1000*12*INDEX(Surface_Engine!$C$12:$C$72,$A218+1)/(1+Assumptions!$B$10)^30+INDEX(Surface_Engine!$D$12:$D$72,$A218+1)))*INDEX(Surface_Engine!$B$12:$B$72,$A218+1)+H219</f>
        <v>8330.85163182235</v>
      </c>
      <c r="I218" s="48" t="n">
        <f aca="false">E218*(IF($A218&lt;$Q$195,INDEX(Surface_Engine!$D$12:$D$72,$A218+1)+(Surface_Engine!Q236*12)*INDEX(Surface_Engine!$F$12:$F$72,$A218+1)-(Surface_Engine!Q236*12),1000*12*INDEX(Surface_Engine!$C$12:$C$72,$A218+1)/(1+Assumptions!$B$10)^30+INDEX(Surface_Engine!$D$12:$D$72,$A218+1)))*INDEX(Surface_Engine!$B$12:$B$72,$A218+1)+I219</f>
        <v>11747.6874032319</v>
      </c>
      <c r="J218" s="48" t="n">
        <f aca="false">B218*(IF($A218&lt;$Q$195,INDEX(Surface_Engine!$D$12:$D$72,$A218+1)*(1+Assumptions!$B$24)+(Surface_Engine!Q236*12)*INDEX(Surface_Engine!$F$12:$F$72,$A218+1)-(Surface_Engine!Q236*12),1000*12*INDEX(Surface_Engine!$C$12:$C$72,$A218+1)/(1+Assumptions!$B$10)^30+INDEX(Surface_Engine!$D$12:$D$72,$A218+1)*(1+Assumptions!$B$24)))*INDEX(Surface_Engine!$B$12:$B$72,$A218+1)+J219</f>
        <v>9949.72111628521</v>
      </c>
      <c r="K218" s="12" t="n">
        <f aca="false">SQRT((IF(C218&lt;=0,0,MAX(0,(B218/C218)*G218/INDEX(Surface_Engine!$B$12:$B$72,$A218+1)-F218/INDEX(Surface_Engine!$B$12:$B$72,$A218+1))))^2+(MAX(IF(D218&lt;=0,0,MAX(0,(B218/D218)*H218/INDEX(Surface_Engine!$B$12:$B$72,$A218+1)-F218/INDEX(Surface_Engine!$B$12:$B$72,$A218+1))),IF(E218&lt;=0,0,MAX(0,(B218/E218)*I218/INDEX(Surface_Engine!$B$12:$B$72,$A218+1)-F218/INDEX(Surface_Engine!$B$12:$B$72,$A218+1))),IF($A218&lt;$Q$195,MAX(0,-Assumptions!$B$22*(F218/INDEX(Surface_Engine!$B$12:$B$72,$A218+1))),0)))^2+(MAX(0,J218/INDEX(Surface_Engine!$B$12:$B$72,$A218+1)-(F218/INDEX(Surface_Engine!$B$12:$B$72,$A218+1))))^2+2*Assumptions!$B$26*(IF(C218&lt;=0,0,MAX(0,(B218/C218)*G218/INDEX(Surface_Engine!$B$12:$B$72,$A218+1)-F218/INDEX(Surface_Engine!$B$12:$B$72,$A218+1))))*(MAX(IF(D218&lt;=0,0,MAX(0,(B218/D218)*H218/INDEX(Surface_Engine!$B$12:$B$72,$A218+1)-F218/INDEX(Surface_Engine!$B$12:$B$72,$A218+1))),IF(E218&lt;=0,0,MAX(0,(B218/E218)*I218/INDEX(Surface_Engine!$B$12:$B$72,$A218+1)-F218/INDEX(Surface_Engine!$B$12:$B$72,$A218+1))),IF($A218&lt;$Q$195,MAX(0,-Assumptions!$B$22*(F218/INDEX(Surface_Engine!$B$12:$B$72,$A218+1))),0)))+2*Assumptions!$B$27*(IF(C218&lt;=0,0,MAX(0,(B218/C218)*G218/INDEX(Surface_Engine!$B$12:$B$72,$A218+1)-F218/INDEX(Surface_Engine!$B$12:$B$72,$A218+1))))*(MAX(0,J218/INDEX(Surface_Engine!$B$12:$B$72,$A218+1)-(F218/INDEX(Surface_Engine!$B$12:$B$72,$A218+1))))+2*Assumptions!$B$28*(MAX(IF(D218&lt;=0,0,MAX(0,(B218/D218)*H218/INDEX(Surface_Engine!$B$12:$B$72,$A218+1)-F218/INDEX(Surface_Engine!$B$12:$B$72,$A218+1))),IF(E218&lt;=0,0,MAX(0,(B218/E218)*I218/INDEX(Surface_Engine!$B$12:$B$72,$A218+1)-F218/INDEX(Surface_Engine!$B$12:$B$72,$A218+1))),IF($A218&lt;$Q$195,MAX(0,-Assumptions!$B$22*(F218/INDEX(Surface_Engine!$B$12:$B$72,$A218+1))),0)))*(MAX(0,J218/INDEX(Surface_Engine!$B$12:$B$72,$A218+1)-(F218/INDEX(Surface_Engine!$B$12:$B$72,$A218+1)))))</f>
        <v>6272.75585699161</v>
      </c>
      <c r="L218" s="48" t="n">
        <f aca="false">K218*INDEX(Surface_Engine!$B$12:$B$72,$A218+1)+L219</f>
        <v>35463.189372313</v>
      </c>
      <c r="M218" s="48" t="n">
        <f aca="false">M217+B217*(IF($A217&lt;$Q$195,(Surface_Engine!Q236*12)-(Surface_Engine!Q236*12)*INDEX(Surface_Engine!$F$12:$F$72,$A217+1)-INDEX(Surface_Engine!$D$12:$D$72,$A217+1),-(1000*12*INDEX(Surface_Engine!$C$12:$C$72,$A217+1)/(1+Assumptions!$B$10)^30+INDEX(Surface_Engine!$D$12:$D$72,$A217+1))))*INDEX(Surface_Engine!$B$12:$B$72,$A217+1)</f>
        <v>10366.041624604</v>
      </c>
      <c r="N218" s="12" t="n">
        <f aca="false">IF(B218&lt;=0,0,MAX(0,(K218+Assumptions!$B$29*L218/INDEX(Surface_Engine!$B$12:$B$72,$A218+1)-(M218/INDEX(Surface_Engine!$B$12:$B$72,$A218+1)-(F218/INDEX(Surface_Engine!$B$12:$B$72,$A218+1))))/B218))</f>
        <v>14979.9154264254</v>
      </c>
    </row>
    <row r="219" customFormat="false" ht="15" hidden="false" customHeight="true" outlineLevel="0" collapsed="false">
      <c r="A219" s="1" t="n">
        <v>22</v>
      </c>
      <c r="B219" s="32" t="n">
        <f aca="false">INDEX(Surface_Engine!$G$12:$G$72,$A219+1)*IF($A219&lt;$Q$195,INDEX(Surface_Engine!$E$12:$E$72,$A219+1),INDEX(Surface_Engine!$E$12:$E$72,$Q$195+1))</f>
        <v>0.608967883066987</v>
      </c>
      <c r="C219" s="32" t="n">
        <f aca="false">INDEX(Panel_Reserving!$B$8:$B$68,$A219+1)*IF($A219&lt;$Q$195,INDEX(Surface_Engine!$E$12:$E$72,$A219+1),INDEX(Surface_Engine!$E$12:$E$72,$Q$195+1))</f>
        <v>0.638725156436872</v>
      </c>
      <c r="D219" s="32" t="n">
        <f aca="false">INDEX(Surface_Engine!$G$12:$G$72,$A219+1)*IF($A219&lt;$Q$195,INDEX(Surface_Engine!$Y$12:$Y$72,$A219+1),INDEX(Surface_Engine!$Y$12:$Y$72,$Q$195+1))</f>
        <v>0.534162078803312</v>
      </c>
      <c r="E219" s="32" t="n">
        <f aca="false">INDEX(Surface_Engine!$G$12:$G$72,$A219+1)*IF($A219&lt;$Q$195,INDEX(Surface_Engine!$Z$12:$Z$72,$A219+1),INDEX(Surface_Engine!$Z$12:$Z$72,$Q$195+1))</f>
        <v>0.693510388348933</v>
      </c>
      <c r="F219" s="48" t="n">
        <f aca="false">B219*(IF($A219&lt;$Q$195,INDEX(Surface_Engine!$D$12:$D$72,$A219+1)+(Surface_Engine!Q236*12)*INDEX(Surface_Engine!$F$12:$F$72,$A219+1)-(Surface_Engine!Q236*12),1000*12*INDEX(Surface_Engine!$C$12:$C$72,$A219+1)/(1+Assumptions!$B$10)^30+INDEX(Surface_Engine!$D$12:$D$72,$A219+1)))*INDEX(Surface_Engine!$B$12:$B$72,$A219+1)+F220</f>
        <v>10167.4391492278</v>
      </c>
      <c r="G219" s="48" t="n">
        <f aca="false">C219*(IF($A219&lt;$Q$195,INDEX(Surface_Engine!$D$12:$D$72,$A219+1)+(Surface_Engine!Q236*12)*INDEX(Surface_Engine!$F$12:$F$72,$A219+1)-(Surface_Engine!Q236*12),1000*12*INDEX(Surface_Engine!$C$12:$C$72,$A219+1)/(1+Assumptions!$B$10)^30+INDEX(Surface_Engine!$D$12:$D$72,$A219+1)))*INDEX(Surface_Engine!$B$12:$B$72,$A219+1)+G220</f>
        <v>13829.7451316514</v>
      </c>
      <c r="H219" s="48" t="n">
        <f aca="false">D219*(IF($A219&lt;$Q$195,INDEX(Surface_Engine!$D$12:$D$72,$A219+1)+(Surface_Engine!Q236*12)*INDEX(Surface_Engine!$F$12:$F$72,$A219+1)-(Surface_Engine!Q236*12),1000*12*INDEX(Surface_Engine!$C$12:$C$72,$A219+1)/(1+Assumptions!$B$10)^30+INDEX(Surface_Engine!$D$12:$D$72,$A219+1)))*INDEX(Surface_Engine!$B$12:$B$72,$A219+1)+H220</f>
        <v>8566.65088040438</v>
      </c>
      <c r="I219" s="48" t="n">
        <f aca="false">E219*(IF($A219&lt;$Q$195,INDEX(Surface_Engine!$D$12:$D$72,$A219+1)+(Surface_Engine!Q236*12)*INDEX(Surface_Engine!$F$12:$F$72,$A219+1)-(Surface_Engine!Q236*12),1000*12*INDEX(Surface_Engine!$C$12:$C$72,$A219+1)/(1+Assumptions!$B$10)^30+INDEX(Surface_Engine!$D$12:$D$72,$A219+1)))*INDEX(Surface_Engine!$B$12:$B$72,$A219+1)+I220</f>
        <v>12051.0303716514</v>
      </c>
      <c r="J219" s="48" t="n">
        <f aca="false">B219*(IF($A219&lt;$Q$195,INDEX(Surface_Engine!$D$12:$D$72,$A219+1)*(1+Assumptions!$B$24)+(Surface_Engine!Q236*12)*INDEX(Surface_Engine!$F$12:$F$72,$A219+1)-(Surface_Engine!Q236*12),1000*12*INDEX(Surface_Engine!$C$12:$C$72,$A219+1)/(1+Assumptions!$B$10)^30+INDEX(Surface_Engine!$D$12:$D$72,$A219+1)*(1+Assumptions!$B$24)))*INDEX(Surface_Engine!$B$12:$B$72,$A219+1)+J220</f>
        <v>10212.7857899564</v>
      </c>
      <c r="K219" s="12" t="n">
        <f aca="false">SQRT((IF(C219&lt;=0,0,MAX(0,(B219/C219)*G219/INDEX(Surface_Engine!$B$12:$B$72,$A219+1)-F219/INDEX(Surface_Engine!$B$12:$B$72,$A219+1))))^2+(MAX(IF(D219&lt;=0,0,MAX(0,(B219/D219)*H219/INDEX(Surface_Engine!$B$12:$B$72,$A219+1)-F219/INDEX(Surface_Engine!$B$12:$B$72,$A219+1))),IF(E219&lt;=0,0,MAX(0,(B219/E219)*I219/INDEX(Surface_Engine!$B$12:$B$72,$A219+1)-F219/INDEX(Surface_Engine!$B$12:$B$72,$A219+1))),IF($A219&lt;$Q$195,MAX(0,-Assumptions!$B$22*(F219/INDEX(Surface_Engine!$B$12:$B$72,$A219+1))),0)))^2+(MAX(0,J219/INDEX(Surface_Engine!$B$12:$B$72,$A219+1)-(F219/INDEX(Surface_Engine!$B$12:$B$72,$A219+1))))^2+2*Assumptions!$B$26*(IF(C219&lt;=0,0,MAX(0,(B219/C219)*G219/INDEX(Surface_Engine!$B$12:$B$72,$A219+1)-F219/INDEX(Surface_Engine!$B$12:$B$72,$A219+1))))*(MAX(IF(D219&lt;=0,0,MAX(0,(B219/D219)*H219/INDEX(Surface_Engine!$B$12:$B$72,$A219+1)-F219/INDEX(Surface_Engine!$B$12:$B$72,$A219+1))),IF(E219&lt;=0,0,MAX(0,(B219/E219)*I219/INDEX(Surface_Engine!$B$12:$B$72,$A219+1)-F219/INDEX(Surface_Engine!$B$12:$B$72,$A219+1))),IF($A219&lt;$Q$195,MAX(0,-Assumptions!$B$22*(F219/INDEX(Surface_Engine!$B$12:$B$72,$A219+1))),0)))+2*Assumptions!$B$27*(IF(C219&lt;=0,0,MAX(0,(B219/C219)*G219/INDEX(Surface_Engine!$B$12:$B$72,$A219+1)-F219/INDEX(Surface_Engine!$B$12:$B$72,$A219+1))))*(MAX(0,J219/INDEX(Surface_Engine!$B$12:$B$72,$A219+1)-(F219/INDEX(Surface_Engine!$B$12:$B$72,$A219+1))))+2*Assumptions!$B$28*(MAX(IF(D219&lt;=0,0,MAX(0,(B219/D219)*H219/INDEX(Surface_Engine!$B$12:$B$72,$A219+1)-F219/INDEX(Surface_Engine!$B$12:$B$72,$A219+1))),IF(E219&lt;=0,0,MAX(0,(B219/E219)*I219/INDEX(Surface_Engine!$B$12:$B$72,$A219+1)-F219/INDEX(Surface_Engine!$B$12:$B$72,$A219+1))),IF($A219&lt;$Q$195,MAX(0,-Assumptions!$B$22*(F219/INDEX(Surface_Engine!$B$12:$B$72,$A219+1))),0)))*(MAX(0,J219/INDEX(Surface_Engine!$B$12:$B$72,$A219+1)-(F219/INDEX(Surface_Engine!$B$12:$B$72,$A219+1)))))</f>
        <v>6282.86033720755</v>
      </c>
      <c r="L219" s="48" t="n">
        <f aca="false">K219*INDEX(Surface_Engine!$B$12:$B$72,$A219+1)+L220</f>
        <v>32206.0499931875</v>
      </c>
      <c r="M219" s="48" t="n">
        <f aca="false">M218+B218*(IF($A218&lt;$Q$195,(Surface_Engine!Q236*12)-(Surface_Engine!Q236*12)*INDEX(Surface_Engine!$F$12:$F$72,$A218+1)-INDEX(Surface_Engine!$D$12:$D$72,$A218+1),-(1000*12*INDEX(Surface_Engine!$C$12:$C$72,$A218+1)/(1+Assumptions!$B$10)^30+INDEX(Surface_Engine!$D$12:$D$72,$A218+1))))*INDEX(Surface_Engine!$B$12:$B$72,$A218+1)</f>
        <v>10633.6286011455</v>
      </c>
      <c r="N219" s="12" t="n">
        <f aca="false">IF(B219&lt;=0,0,MAX(0,(K219+Assumptions!$B$29*L219/INDEX(Surface_Engine!$B$12:$B$72,$A219+1)-(M219/INDEX(Surface_Engine!$B$12:$B$72,$A219+1)-(F219/INDEX(Surface_Engine!$B$12:$B$72,$A219+1))))/B219))</f>
        <v>15101.9757664455</v>
      </c>
    </row>
    <row r="220" customFormat="false" ht="15" hidden="false" customHeight="true" outlineLevel="0" collapsed="false">
      <c r="A220" s="1" t="n">
        <v>23</v>
      </c>
      <c r="B220" s="32" t="n">
        <f aca="false">INDEX(Surface_Engine!$G$12:$G$72,$A220+1)*IF($A220&lt;$Q$195,INDEX(Surface_Engine!$E$12:$E$72,$A220+1),INDEX(Surface_Engine!$E$12:$E$72,$Q$195+1))</f>
        <v>0.584357475745609</v>
      </c>
      <c r="C220" s="32" t="n">
        <f aca="false">INDEX(Panel_Reserving!$B$8:$B$68,$A220+1)*IF($A220&lt;$Q$195,INDEX(Surface_Engine!$E$12:$E$72,$A220+1),INDEX(Surface_Engine!$E$12:$E$72,$Q$195+1))</f>
        <v>0.616912278884506</v>
      </c>
      <c r="D220" s="32" t="n">
        <f aca="false">INDEX(Surface_Engine!$G$12:$G$72,$A220+1)*IF($A220&lt;$Q$195,INDEX(Surface_Engine!$Y$12:$Y$72,$A220+1),INDEX(Surface_Engine!$Y$12:$Y$72,$Q$195+1))</f>
        <v>0.510221188072878</v>
      </c>
      <c r="E220" s="32" t="n">
        <f aca="false">INDEX(Surface_Engine!$G$12:$G$72,$A220+1)*IF($A220&lt;$Q$195,INDEX(Surface_Engine!$Z$12:$Z$72,$A220+1),INDEX(Surface_Engine!$Z$12:$Z$72,$Q$195+1))</f>
        <v>0.668539095200783</v>
      </c>
      <c r="F220" s="48" t="n">
        <f aca="false">B220*(IF($A220&lt;$Q$195,INDEX(Surface_Engine!$D$12:$D$72,$A220+1)+(Surface_Engine!Q236*12)*INDEX(Surface_Engine!$F$12:$F$72,$A220+1)-(Surface_Engine!Q236*12),1000*12*INDEX(Surface_Engine!$C$12:$C$72,$A220+1)/(1+Assumptions!$B$10)^30+INDEX(Surface_Engine!$D$12:$D$72,$A220+1)))*INDEX(Surface_Engine!$B$12:$B$72,$A220+1)+F221</f>
        <v>10416.1002467461</v>
      </c>
      <c r="G220" s="48" t="n">
        <f aca="false">C220*(IF($A220&lt;$Q$195,INDEX(Surface_Engine!$D$12:$D$72,$A220+1)+(Surface_Engine!Q236*12)*INDEX(Surface_Engine!$F$12:$F$72,$A220+1)-(Surface_Engine!Q236*12),1000*12*INDEX(Surface_Engine!$C$12:$C$72,$A220+1)/(1+Assumptions!$B$10)^30+INDEX(Surface_Engine!$D$12:$D$72,$A220+1)))*INDEX(Surface_Engine!$B$12:$B$72,$A220+1)+G221</f>
        <v>14090.5570772868</v>
      </c>
      <c r="H220" s="48" t="n">
        <f aca="false">D220*(IF($A220&lt;$Q$195,INDEX(Surface_Engine!$D$12:$D$72,$A220+1)+(Surface_Engine!Q236*12)*INDEX(Surface_Engine!$F$12:$F$72,$A220+1)-(Surface_Engine!Q236*12),1000*12*INDEX(Surface_Engine!$C$12:$C$72,$A220+1)/(1+Assumptions!$B$10)^30+INDEX(Surface_Engine!$D$12:$D$72,$A220+1)))*INDEX(Surface_Engine!$B$12:$B$72,$A220+1)+H221</f>
        <v>8784.76637132145</v>
      </c>
      <c r="I220" s="48" t="n">
        <f aca="false">E220*(IF($A220&lt;$Q$195,INDEX(Surface_Engine!$D$12:$D$72,$A220+1)+(Surface_Engine!Q236*12)*INDEX(Surface_Engine!$F$12:$F$72,$A220+1)-(Surface_Engine!Q236*12),1000*12*INDEX(Surface_Engine!$C$12:$C$72,$A220+1)/(1+Assumptions!$B$10)^30+INDEX(Surface_Engine!$D$12:$D$72,$A220+1)))*INDEX(Surface_Engine!$B$12:$B$72,$A220+1)+I221</f>
        <v>12334.2128827531</v>
      </c>
      <c r="J220" s="48" t="n">
        <f aca="false">B220*(IF($A220&lt;$Q$195,INDEX(Surface_Engine!$D$12:$D$72,$A220+1)*(1+Assumptions!$B$24)+(Surface_Engine!Q236*12)*INDEX(Surface_Engine!$F$12:$F$72,$A220+1)-(Surface_Engine!Q236*12),1000*12*INDEX(Surface_Engine!$C$12:$C$72,$A220+1)/(1+Assumptions!$B$10)^30+INDEX(Surface_Engine!$D$12:$D$72,$A220+1)*(1+Assumptions!$B$24)))*INDEX(Surface_Engine!$B$12:$B$72,$A220+1)+J221</f>
        <v>10457.1210997986</v>
      </c>
      <c r="K220" s="12" t="n">
        <f aca="false">SQRT((IF(C220&lt;=0,0,MAX(0,(B220/C220)*G220/INDEX(Surface_Engine!$B$12:$B$72,$A220+1)-F220/INDEX(Surface_Engine!$B$12:$B$72,$A220+1))))^2+(MAX(IF(D220&lt;=0,0,MAX(0,(B220/D220)*H220/INDEX(Surface_Engine!$B$12:$B$72,$A220+1)-F220/INDEX(Surface_Engine!$B$12:$B$72,$A220+1))),IF(E220&lt;=0,0,MAX(0,(B220/E220)*I220/INDEX(Surface_Engine!$B$12:$B$72,$A220+1)-F220/INDEX(Surface_Engine!$B$12:$B$72,$A220+1))),IF($A220&lt;$Q$195,MAX(0,-Assumptions!$B$22*(F220/INDEX(Surface_Engine!$B$12:$B$72,$A220+1))),0)))^2+(MAX(0,J220/INDEX(Surface_Engine!$B$12:$B$72,$A220+1)-(F220/INDEX(Surface_Engine!$B$12:$B$72,$A220+1))))^2+2*Assumptions!$B$26*(IF(C220&lt;=0,0,MAX(0,(B220/C220)*G220/INDEX(Surface_Engine!$B$12:$B$72,$A220+1)-F220/INDEX(Surface_Engine!$B$12:$B$72,$A220+1))))*(MAX(IF(D220&lt;=0,0,MAX(0,(B220/D220)*H220/INDEX(Surface_Engine!$B$12:$B$72,$A220+1)-F220/INDEX(Surface_Engine!$B$12:$B$72,$A220+1))),IF(E220&lt;=0,0,MAX(0,(B220/E220)*I220/INDEX(Surface_Engine!$B$12:$B$72,$A220+1)-F220/INDEX(Surface_Engine!$B$12:$B$72,$A220+1))),IF($A220&lt;$Q$195,MAX(0,-Assumptions!$B$22*(F220/INDEX(Surface_Engine!$B$12:$B$72,$A220+1))),0)))+2*Assumptions!$B$27*(IF(C220&lt;=0,0,MAX(0,(B220/C220)*G220/INDEX(Surface_Engine!$B$12:$B$72,$A220+1)-F220/INDEX(Surface_Engine!$B$12:$B$72,$A220+1))))*(MAX(0,J220/INDEX(Surface_Engine!$B$12:$B$72,$A220+1)-(F220/INDEX(Surface_Engine!$B$12:$B$72,$A220+1))))+2*Assumptions!$B$28*(MAX(IF(D220&lt;=0,0,MAX(0,(B220/D220)*H220/INDEX(Surface_Engine!$B$12:$B$72,$A220+1)-F220/INDEX(Surface_Engine!$B$12:$B$72,$A220+1))),IF(E220&lt;=0,0,MAX(0,(B220/E220)*I220/INDEX(Surface_Engine!$B$12:$B$72,$A220+1)-F220/INDEX(Surface_Engine!$B$12:$B$72,$A220+1))),IF($A220&lt;$Q$195,MAX(0,-Assumptions!$B$22*(F220/INDEX(Surface_Engine!$B$12:$B$72,$A220+1))),0)))*(MAX(0,J220/INDEX(Surface_Engine!$B$12:$B$72,$A220+1)-(F220/INDEX(Surface_Engine!$B$12:$B$72,$A220+1)))))</f>
        <v>6265.84844056563</v>
      </c>
      <c r="L220" s="48" t="n">
        <f aca="false">K220*INDEX(Surface_Engine!$B$12:$B$72,$A220+1)+L221</f>
        <v>29044.5780988102</v>
      </c>
      <c r="M220" s="48" t="n">
        <f aca="false">M219+B219*(IF($A219&lt;$Q$195,(Surface_Engine!Q236*12)-(Surface_Engine!Q236*12)*INDEX(Surface_Engine!$F$12:$F$72,$A219+1)-INDEX(Surface_Engine!$D$12:$D$72,$A219+1),-(1000*12*INDEX(Surface_Engine!$C$12:$C$72,$A219+1)/(1+Assumptions!$B$10)^30+INDEX(Surface_Engine!$D$12:$D$72,$A219+1))))*INDEX(Surface_Engine!$B$12:$B$72,$A219+1)</f>
        <v>10882.2896986638</v>
      </c>
      <c r="N220" s="12" t="n">
        <f aca="false">IF(B220&lt;=0,0,MAX(0,(K220+Assumptions!$B$29*L220/INDEX(Surface_Engine!$B$12:$B$72,$A220+1)-(M220/INDEX(Surface_Engine!$B$12:$B$72,$A220+1)-(F220/INDEX(Surface_Engine!$B$12:$B$72,$A220+1))))/B220))</f>
        <v>15202.4404233292</v>
      </c>
    </row>
    <row r="221" customFormat="false" ht="15" hidden="false" customHeight="true" outlineLevel="0" collapsed="false">
      <c r="A221" s="1" t="n">
        <v>24</v>
      </c>
      <c r="B221" s="32" t="n">
        <f aca="false">INDEX(Surface_Engine!$G$12:$G$72,$A221+1)*IF($A221&lt;$Q$195,INDEX(Surface_Engine!$E$12:$E$72,$A221+1),INDEX(Surface_Engine!$E$12:$E$72,$Q$195+1))</f>
        <v>0.558503854457862</v>
      </c>
      <c r="C221" s="32" t="n">
        <f aca="false">INDEX(Panel_Reserving!$B$8:$B$68,$A221+1)*IF($A221&lt;$Q$195,INDEX(Surface_Engine!$E$12:$E$72,$A221+1),INDEX(Surface_Engine!$E$12:$E$72,$Q$195+1))</f>
        <v>0.593954348529567</v>
      </c>
      <c r="D221" s="32" t="n">
        <f aca="false">INDEX(Surface_Engine!$G$12:$G$72,$A221+1)*IF($A221&lt;$Q$195,INDEX(Surface_Engine!$Y$12:$Y$72,$A221+1),INDEX(Surface_Engine!$Y$12:$Y$72,$Q$195+1))</f>
        <v>0.485408392153404</v>
      </c>
      <c r="E221" s="32" t="n">
        <f aca="false">INDEX(Surface_Engine!$G$12:$G$72,$A221+1)*IF($A221&lt;$Q$195,INDEX(Surface_Engine!$Z$12:$Z$72,$A221+1),INDEX(Surface_Engine!$Z$12:$Z$72,$Q$195+1))</f>
        <v>0.641895013752031</v>
      </c>
      <c r="F221" s="48" t="n">
        <f aca="false">B221*(IF($A221&lt;$Q$195,INDEX(Surface_Engine!$D$12:$D$72,$A221+1)+(Surface_Engine!Q236*12)*INDEX(Surface_Engine!$F$12:$F$72,$A221+1)-(Surface_Engine!Q236*12),1000*12*INDEX(Surface_Engine!$C$12:$C$72,$A221+1)/(1+Assumptions!$B$10)^30+INDEX(Surface_Engine!$D$12:$D$72,$A221+1)))*INDEX(Surface_Engine!$B$12:$B$72,$A221+1)+F222</f>
        <v>10646.3211239232</v>
      </c>
      <c r="G221" s="48" t="n">
        <f aca="false">C221*(IF($A221&lt;$Q$195,INDEX(Surface_Engine!$D$12:$D$72,$A221+1)+(Surface_Engine!Q236*12)*INDEX(Surface_Engine!$F$12:$F$72,$A221+1)-(Surface_Engine!Q236*12),1000*12*INDEX(Surface_Engine!$C$12:$C$72,$A221+1)/(1+Assumptions!$B$10)^30+INDEX(Surface_Engine!$D$12:$D$72,$A221+1)))*INDEX(Surface_Engine!$B$12:$B$72,$A221+1)+G222</f>
        <v>14333.6036573017</v>
      </c>
      <c r="H221" s="48" t="n">
        <f aca="false">D221*(IF($A221&lt;$Q$195,INDEX(Surface_Engine!$D$12:$D$72,$A221+1)+(Surface_Engine!Q236*12)*INDEX(Surface_Engine!$F$12:$F$72,$A221+1)-(Surface_Engine!Q236*12),1000*12*INDEX(Surface_Engine!$C$12:$C$72,$A221+1)/(1+Assumptions!$B$10)^30+INDEX(Surface_Engine!$D$12:$D$72,$A221+1)))*INDEX(Surface_Engine!$B$12:$B$72,$A221+1)+H222</f>
        <v>8985.77957701822</v>
      </c>
      <c r="I221" s="48" t="n">
        <f aca="false">E221*(IF($A221&lt;$Q$195,INDEX(Surface_Engine!$D$12:$D$72,$A221+1)+(Surface_Engine!Q236*12)*INDEX(Surface_Engine!$F$12:$F$72,$A221+1)-(Surface_Engine!Q236*12),1000*12*INDEX(Surface_Engine!$C$12:$C$72,$A221+1)/(1+Assumptions!$B$10)^30+INDEX(Surface_Engine!$D$12:$D$72,$A221+1)))*INDEX(Surface_Engine!$B$12:$B$72,$A221+1)+I222</f>
        <v>12597.5990176321</v>
      </c>
      <c r="J221" s="48" t="n">
        <f aca="false">B221*(IF($A221&lt;$Q$195,INDEX(Surface_Engine!$D$12:$D$72,$A221+1)*(1+Assumptions!$B$24)+(Surface_Engine!Q236*12)*INDEX(Surface_Engine!$F$12:$F$72,$A221+1)-(Surface_Engine!Q236*12),1000*12*INDEX(Surface_Engine!$C$12:$C$72,$A221+1)/(1+Assumptions!$B$10)^30+INDEX(Surface_Engine!$D$12:$D$72,$A221+1)*(1+Assumptions!$B$24)))*INDEX(Surface_Engine!$B$12:$B$72,$A221+1)+J222</f>
        <v>10683.2189248725</v>
      </c>
      <c r="K221" s="12" t="n">
        <f aca="false">SQRT((IF(C221&lt;=0,0,MAX(0,(B221/C221)*G221/INDEX(Surface_Engine!$B$12:$B$72,$A221+1)-F221/INDEX(Surface_Engine!$B$12:$B$72,$A221+1))))^2+(MAX(IF(D221&lt;=0,0,MAX(0,(B221/D221)*H221/INDEX(Surface_Engine!$B$12:$B$72,$A221+1)-F221/INDEX(Surface_Engine!$B$12:$B$72,$A221+1))),IF(E221&lt;=0,0,MAX(0,(B221/E221)*I221/INDEX(Surface_Engine!$B$12:$B$72,$A221+1)-F221/INDEX(Surface_Engine!$B$12:$B$72,$A221+1))),IF($A221&lt;$Q$195,MAX(0,-Assumptions!$B$22*(F221/INDEX(Surface_Engine!$B$12:$B$72,$A221+1))),0)))^2+(MAX(0,J221/INDEX(Surface_Engine!$B$12:$B$72,$A221+1)-(F221/INDEX(Surface_Engine!$B$12:$B$72,$A221+1))))^2+2*Assumptions!$B$26*(IF(C221&lt;=0,0,MAX(0,(B221/C221)*G221/INDEX(Surface_Engine!$B$12:$B$72,$A221+1)-F221/INDEX(Surface_Engine!$B$12:$B$72,$A221+1))))*(MAX(IF(D221&lt;=0,0,MAX(0,(B221/D221)*H221/INDEX(Surface_Engine!$B$12:$B$72,$A221+1)-F221/INDEX(Surface_Engine!$B$12:$B$72,$A221+1))),IF(E221&lt;=0,0,MAX(0,(B221/E221)*I221/INDEX(Surface_Engine!$B$12:$B$72,$A221+1)-F221/INDEX(Surface_Engine!$B$12:$B$72,$A221+1))),IF($A221&lt;$Q$195,MAX(0,-Assumptions!$B$22*(F221/INDEX(Surface_Engine!$B$12:$B$72,$A221+1))),0)))+2*Assumptions!$B$27*(IF(C221&lt;=0,0,MAX(0,(B221/C221)*G221/INDEX(Surface_Engine!$B$12:$B$72,$A221+1)-F221/INDEX(Surface_Engine!$B$12:$B$72,$A221+1))))*(MAX(0,J221/INDEX(Surface_Engine!$B$12:$B$72,$A221+1)-(F221/INDEX(Surface_Engine!$B$12:$B$72,$A221+1))))+2*Assumptions!$B$28*(MAX(IF(D221&lt;=0,0,MAX(0,(B221/D221)*H221/INDEX(Surface_Engine!$B$12:$B$72,$A221+1)-F221/INDEX(Surface_Engine!$B$12:$B$72,$A221+1))),IF(E221&lt;=0,0,MAX(0,(B221/E221)*I221/INDEX(Surface_Engine!$B$12:$B$72,$A221+1)-F221/INDEX(Surface_Engine!$B$12:$B$72,$A221+1))),IF($A221&lt;$Q$195,MAX(0,-Assumptions!$B$22*(F221/INDEX(Surface_Engine!$B$12:$B$72,$A221+1))),0)))*(MAX(0,J221/INDEX(Surface_Engine!$B$12:$B$72,$A221+1)-(F221/INDEX(Surface_Engine!$B$12:$B$72,$A221+1)))))</f>
        <v>6218.12650077339</v>
      </c>
      <c r="L221" s="48" t="n">
        <f aca="false">K221*INDEX(Surface_Engine!$B$12:$B$72,$A221+1)+L222</f>
        <v>25989.2535597884</v>
      </c>
      <c r="M221" s="48" t="n">
        <f aca="false">M220+B220*(IF($A220&lt;$Q$195,(Surface_Engine!Q236*12)-(Surface_Engine!Q236*12)*INDEX(Surface_Engine!$F$12:$F$72,$A220+1)-INDEX(Surface_Engine!$D$12:$D$72,$A220+1),-(1000*12*INDEX(Surface_Engine!$C$12:$C$72,$A220+1)/(1+Assumptions!$B$10)^30+INDEX(Surface_Engine!$D$12:$D$72,$A220+1))))*INDEX(Surface_Engine!$B$12:$B$72,$A220+1)</f>
        <v>11112.510575841</v>
      </c>
      <c r="N221" s="12" t="n">
        <f aca="false">IF(B221&lt;=0,0,MAX(0,(K221+Assumptions!$B$29*L221/INDEX(Surface_Engine!$B$12:$B$72,$A221+1)-(M221/INDEX(Surface_Engine!$B$12:$B$72,$A221+1)-(F221/INDEX(Surface_Engine!$B$12:$B$72,$A221+1))))/B221))</f>
        <v>15276.8417626248</v>
      </c>
    </row>
    <row r="222" customFormat="false" ht="15" hidden="false" customHeight="true" outlineLevel="0" collapsed="false">
      <c r="A222" s="1" t="n">
        <v>25</v>
      </c>
      <c r="B222" s="32" t="n">
        <f aca="false">INDEX(Surface_Engine!$G$12:$G$72,$A222+1)*IF($A222&lt;$Q$195,INDEX(Surface_Engine!$E$12:$E$72,$A222+1),INDEX(Surface_Engine!$E$12:$E$72,$Q$195+1))</f>
        <v>0.531404311681528</v>
      </c>
      <c r="C222" s="32" t="n">
        <f aca="false">INDEX(Panel_Reserving!$B$8:$B$68,$A222+1)*IF($A222&lt;$Q$195,INDEX(Surface_Engine!$E$12:$E$72,$A222+1),INDEX(Surface_Engine!$E$12:$E$72,$Q$195+1))</f>
        <v>0.569817623499217</v>
      </c>
      <c r="D222" s="32" t="n">
        <f aca="false">INDEX(Surface_Engine!$G$12:$G$72,$A222+1)*IF($A222&lt;$Q$195,INDEX(Surface_Engine!$Y$12:$Y$72,$A222+1),INDEX(Surface_Engine!$Y$12:$Y$72,$Q$195+1))</f>
        <v>0.459734822114588</v>
      </c>
      <c r="E222" s="32" t="n">
        <f aca="false">INDEX(Surface_Engine!$G$12:$G$72,$A222+1)*IF($A222&lt;$Q$195,INDEX(Surface_Engine!$Z$12:$Z$72,$A222+1),INDEX(Surface_Engine!$Z$12:$Z$72,$Q$195+1))</f>
        <v>0.613553621336743</v>
      </c>
      <c r="F222" s="48" t="n">
        <f aca="false">B222*(IF($A222&lt;$Q$195,INDEX(Surface_Engine!$D$12:$D$72,$A222+1)+(Surface_Engine!Q236*12)*INDEX(Surface_Engine!$F$12:$F$72,$A222+1)-(Surface_Engine!Q236*12),1000*12*INDEX(Surface_Engine!$C$12:$C$72,$A222+1)/(1+Assumptions!$B$10)^30+INDEX(Surface_Engine!$D$12:$D$72,$A222+1)))*INDEX(Surface_Engine!$B$12:$B$72,$A222+1)+F223</f>
        <v>10858.537821263</v>
      </c>
      <c r="G222" s="48" t="n">
        <f aca="false">C222*(IF($A222&lt;$Q$195,INDEX(Surface_Engine!$D$12:$D$72,$A222+1)+(Surface_Engine!Q236*12)*INDEX(Surface_Engine!$F$12:$F$72,$A222+1)-(Surface_Engine!Q236*12),1000*12*INDEX(Surface_Engine!$C$12:$C$72,$A222+1)/(1+Assumptions!$B$10)^30+INDEX(Surface_Engine!$D$12:$D$72,$A222+1)))*INDEX(Surface_Engine!$B$12:$B$72,$A222+1)+G223</f>
        <v>14559.2906050451</v>
      </c>
      <c r="H222" s="48" t="n">
        <f aca="false">D222*(IF($A222&lt;$Q$195,INDEX(Surface_Engine!$D$12:$D$72,$A222+1)+(Surface_Engine!Q236*12)*INDEX(Surface_Engine!$F$12:$F$72,$A222+1)-(Surface_Engine!Q236*12),1000*12*INDEX(Surface_Engine!$C$12:$C$72,$A222+1)/(1+Assumptions!$B$10)^30+INDEX(Surface_Engine!$D$12:$D$72,$A222+1)))*INDEX(Surface_Engine!$B$12:$B$72,$A222+1)+H223</f>
        <v>9170.22193139336</v>
      </c>
      <c r="I222" s="48" t="n">
        <f aca="false">E222*(IF($A222&lt;$Q$195,INDEX(Surface_Engine!$D$12:$D$72,$A222+1)+(Surface_Engine!Q236*12)*INDEX(Surface_Engine!$F$12:$F$72,$A222+1)-(Surface_Engine!Q236*12),1000*12*INDEX(Surface_Engine!$C$12:$C$72,$A222+1)/(1+Assumptions!$B$10)^30+INDEX(Surface_Engine!$D$12:$D$72,$A222+1)))*INDEX(Surface_Engine!$B$12:$B$72,$A222+1)+I223</f>
        <v>12841.5021505649</v>
      </c>
      <c r="J222" s="48" t="n">
        <f aca="false">B222*(IF($A222&lt;$Q$195,INDEX(Surface_Engine!$D$12:$D$72,$A222+1)*(1+Assumptions!$B$24)+(Surface_Engine!Q236*12)*INDEX(Surface_Engine!$F$12:$F$72,$A222+1)-(Surface_Engine!Q236*12),1000*12*INDEX(Surface_Engine!$C$12:$C$72,$A222+1)/(1+Assumptions!$B$10)^30+INDEX(Surface_Engine!$D$12:$D$72,$A222+1)*(1+Assumptions!$B$24)))*INDEX(Surface_Engine!$B$12:$B$72,$A222+1)+J223</f>
        <v>10891.5224734444</v>
      </c>
      <c r="K222" s="12" t="n">
        <f aca="false">SQRT((IF(C222&lt;=0,0,MAX(0,(B222/C222)*G222/INDEX(Surface_Engine!$B$12:$B$72,$A222+1)-F222/INDEX(Surface_Engine!$B$12:$B$72,$A222+1))))^2+(MAX(IF(D222&lt;=0,0,MAX(0,(B222/D222)*H222/INDEX(Surface_Engine!$B$12:$B$72,$A222+1)-F222/INDEX(Surface_Engine!$B$12:$B$72,$A222+1))),IF(E222&lt;=0,0,MAX(0,(B222/E222)*I222/INDEX(Surface_Engine!$B$12:$B$72,$A222+1)-F222/INDEX(Surface_Engine!$B$12:$B$72,$A222+1))),IF($A222&lt;$Q$195,MAX(0,-Assumptions!$B$22*(F222/INDEX(Surface_Engine!$B$12:$B$72,$A222+1))),0)))^2+(MAX(0,J222/INDEX(Surface_Engine!$B$12:$B$72,$A222+1)-(F222/INDEX(Surface_Engine!$B$12:$B$72,$A222+1))))^2+2*Assumptions!$B$26*(IF(C222&lt;=0,0,MAX(0,(B222/C222)*G222/INDEX(Surface_Engine!$B$12:$B$72,$A222+1)-F222/INDEX(Surface_Engine!$B$12:$B$72,$A222+1))))*(MAX(IF(D222&lt;=0,0,MAX(0,(B222/D222)*H222/INDEX(Surface_Engine!$B$12:$B$72,$A222+1)-F222/INDEX(Surface_Engine!$B$12:$B$72,$A222+1))),IF(E222&lt;=0,0,MAX(0,(B222/E222)*I222/INDEX(Surface_Engine!$B$12:$B$72,$A222+1)-F222/INDEX(Surface_Engine!$B$12:$B$72,$A222+1))),IF($A222&lt;$Q$195,MAX(0,-Assumptions!$B$22*(F222/INDEX(Surface_Engine!$B$12:$B$72,$A222+1))),0)))+2*Assumptions!$B$27*(IF(C222&lt;=0,0,MAX(0,(B222/C222)*G222/INDEX(Surface_Engine!$B$12:$B$72,$A222+1)-F222/INDEX(Surface_Engine!$B$12:$B$72,$A222+1))))*(MAX(0,J222/INDEX(Surface_Engine!$B$12:$B$72,$A222+1)-(F222/INDEX(Surface_Engine!$B$12:$B$72,$A222+1))))+2*Assumptions!$B$28*(MAX(IF(D222&lt;=0,0,MAX(0,(B222/D222)*H222/INDEX(Surface_Engine!$B$12:$B$72,$A222+1)-F222/INDEX(Surface_Engine!$B$12:$B$72,$A222+1))),IF(E222&lt;=0,0,MAX(0,(B222/E222)*I222/INDEX(Surface_Engine!$B$12:$B$72,$A222+1)-F222/INDEX(Surface_Engine!$B$12:$B$72,$A222+1))),IF($A222&lt;$Q$195,MAX(0,-Assumptions!$B$22*(F222/INDEX(Surface_Engine!$B$12:$B$72,$A222+1))),0)))*(MAX(0,J222/INDEX(Surface_Engine!$B$12:$B$72,$A222+1)-(F222/INDEX(Surface_Engine!$B$12:$B$72,$A222+1)))))</f>
        <v>6131.11941675309</v>
      </c>
      <c r="L222" s="48" t="n">
        <f aca="false">K222*INDEX(Surface_Engine!$B$12:$B$72,$A222+1)+L223</f>
        <v>23051.7857538783</v>
      </c>
      <c r="M222" s="48" t="n">
        <f aca="false">M221+B221*(IF($A221&lt;$Q$195,(Surface_Engine!Q236*12)-(Surface_Engine!Q236*12)*INDEX(Surface_Engine!$F$12:$F$72,$A221+1)-INDEX(Surface_Engine!$D$12:$D$72,$A221+1),-(1000*12*INDEX(Surface_Engine!$C$12:$C$72,$A221+1)/(1+Assumptions!$B$10)^30+INDEX(Surface_Engine!$D$12:$D$72,$A221+1))))*INDEX(Surface_Engine!$B$12:$B$72,$A221+1)</f>
        <v>11324.7272731807</v>
      </c>
      <c r="N222" s="12" t="n">
        <f aca="false">IF(B222&lt;=0,0,MAX(0,(K222+Assumptions!$B$29*L222/INDEX(Surface_Engine!$B$12:$B$72,$A222+1)-(M222/INDEX(Surface_Engine!$B$12:$B$72,$A222+1)-(F222/INDEX(Surface_Engine!$B$12:$B$72,$A222+1))))/B222))</f>
        <v>15306.9358898446</v>
      </c>
    </row>
    <row r="223" customFormat="false" ht="15" hidden="false" customHeight="true" outlineLevel="0" collapsed="false">
      <c r="A223" s="1" t="n">
        <v>26</v>
      </c>
      <c r="B223" s="32" t="n">
        <f aca="false">INDEX(Surface_Engine!$G$12:$G$72,$A223+1)*IF($A223&lt;$Q$195,INDEX(Surface_Engine!$E$12:$E$72,$A223+1),INDEX(Surface_Engine!$E$12:$E$72,$Q$195+1))</f>
        <v>0.502314403284028</v>
      </c>
      <c r="C223" s="32" t="n">
        <f aca="false">INDEX(Panel_Reserving!$B$8:$B$68,$A223+1)*IF($A223&lt;$Q$195,INDEX(Surface_Engine!$E$12:$E$72,$A223+1),INDEX(Surface_Engine!$E$12:$E$72,$Q$195+1))</f>
        <v>0.543826384588428</v>
      </c>
      <c r="D223" s="32" t="n">
        <f aca="false">INDEX(Surface_Engine!$G$12:$G$72,$A223+1)*IF($A223&lt;$Q$195,INDEX(Surface_Engine!$Y$12:$Y$72,$A223+1),INDEX(Surface_Engine!$Y$12:$Y$72,$Q$195+1))</f>
        <v>0.432572770461391</v>
      </c>
      <c r="E223" s="32" t="n">
        <f aca="false">INDEX(Surface_Engine!$G$12:$G$72,$A223+1)*IF($A223&lt;$Q$195,INDEX(Surface_Engine!$Z$12:$Z$72,$A223+1),INDEX(Surface_Engine!$Z$12:$Z$72,$Q$195+1))</f>
        <v>0.582629813109928</v>
      </c>
      <c r="F223" s="48" t="n">
        <f aca="false">B223*(IF($A223&lt;$Q$195,INDEX(Surface_Engine!$D$12:$D$72,$A223+1)+(Surface_Engine!Q236*12)*INDEX(Surface_Engine!$F$12:$F$72,$A223+1)-(Surface_Engine!Q236*12),1000*12*INDEX(Surface_Engine!$C$12:$C$72,$A223+1)/(1+Assumptions!$B$10)^30+INDEX(Surface_Engine!$D$12:$D$72,$A223+1)))*INDEX(Surface_Engine!$B$12:$B$72,$A223+1)+F224</f>
        <v>11053.2962616546</v>
      </c>
      <c r="G223" s="48" t="n">
        <f aca="false">C223*(IF($A223&lt;$Q$195,INDEX(Surface_Engine!$D$12:$D$72,$A223+1)+(Surface_Engine!Q236*12)*INDEX(Surface_Engine!$F$12:$F$72,$A223+1)-(Surface_Engine!Q236*12),1000*12*INDEX(Surface_Engine!$C$12:$C$72,$A223+1)/(1+Assumptions!$B$10)^30+INDEX(Surface_Engine!$D$12:$D$72,$A223+1)))*INDEX(Surface_Engine!$B$12:$B$72,$A223+1)+G224</f>
        <v>14768.1274345944</v>
      </c>
      <c r="H223" s="48" t="n">
        <f aca="false">D223*(IF($A223&lt;$Q$195,INDEX(Surface_Engine!$D$12:$D$72,$A223+1)+(Surface_Engine!Q236*12)*INDEX(Surface_Engine!$F$12:$F$72,$A223+1)-(Surface_Engine!Q236*12),1000*12*INDEX(Surface_Engine!$C$12:$C$72,$A223+1)/(1+Assumptions!$B$10)^30+INDEX(Surface_Engine!$D$12:$D$72,$A223+1)))*INDEX(Surface_Engine!$B$12:$B$72,$A223+1)+H224</f>
        <v>9338.71367107353</v>
      </c>
      <c r="I223" s="48" t="n">
        <f aca="false">E223*(IF($A223&lt;$Q$195,INDEX(Surface_Engine!$D$12:$D$72,$A223+1)+(Surface_Engine!Q236*12)*INDEX(Surface_Engine!$F$12:$F$72,$A223+1)-(Surface_Engine!Q236*12),1000*12*INDEX(Surface_Engine!$C$12:$C$72,$A223+1)/(1+Assumptions!$B$10)^30+INDEX(Surface_Engine!$D$12:$D$72,$A223+1)))*INDEX(Surface_Engine!$B$12:$B$72,$A223+1)+I224</f>
        <v>13066.3681212795</v>
      </c>
      <c r="J223" s="48" t="n">
        <f aca="false">B223*(IF($A223&lt;$Q$195,INDEX(Surface_Engine!$D$12:$D$72,$A223+1)*(1+Assumptions!$B$24)+(Surface_Engine!Q236*12)*INDEX(Surface_Engine!$F$12:$F$72,$A223+1)-(Surface_Engine!Q236*12),1000*12*INDEX(Surface_Engine!$C$12:$C$72,$A223+1)/(1+Assumptions!$B$10)^30+INDEX(Surface_Engine!$D$12:$D$72,$A223+1)*(1+Assumptions!$B$24)))*INDEX(Surface_Engine!$B$12:$B$72,$A223+1)+J224</f>
        <v>11082.5828566537</v>
      </c>
      <c r="K223" s="12" t="n">
        <f aca="false">SQRT((IF(C223&lt;=0,0,MAX(0,(B223/C223)*G223/INDEX(Surface_Engine!$B$12:$B$72,$A223+1)-F223/INDEX(Surface_Engine!$B$12:$B$72,$A223+1))))^2+(MAX(IF(D223&lt;=0,0,MAX(0,(B223/D223)*H223/INDEX(Surface_Engine!$B$12:$B$72,$A223+1)-F223/INDEX(Surface_Engine!$B$12:$B$72,$A223+1))),IF(E223&lt;=0,0,MAX(0,(B223/E223)*I223/INDEX(Surface_Engine!$B$12:$B$72,$A223+1)-F223/INDEX(Surface_Engine!$B$12:$B$72,$A223+1))),IF($A223&lt;$Q$195,MAX(0,-Assumptions!$B$22*(F223/INDEX(Surface_Engine!$B$12:$B$72,$A223+1))),0)))^2+(MAX(0,J223/INDEX(Surface_Engine!$B$12:$B$72,$A223+1)-(F223/INDEX(Surface_Engine!$B$12:$B$72,$A223+1))))^2+2*Assumptions!$B$26*(IF(C223&lt;=0,0,MAX(0,(B223/C223)*G223/INDEX(Surface_Engine!$B$12:$B$72,$A223+1)-F223/INDEX(Surface_Engine!$B$12:$B$72,$A223+1))))*(MAX(IF(D223&lt;=0,0,MAX(0,(B223/D223)*H223/INDEX(Surface_Engine!$B$12:$B$72,$A223+1)-F223/INDEX(Surface_Engine!$B$12:$B$72,$A223+1))),IF(E223&lt;=0,0,MAX(0,(B223/E223)*I223/INDEX(Surface_Engine!$B$12:$B$72,$A223+1)-F223/INDEX(Surface_Engine!$B$12:$B$72,$A223+1))),IF($A223&lt;$Q$195,MAX(0,-Assumptions!$B$22*(F223/INDEX(Surface_Engine!$B$12:$B$72,$A223+1))),0)))+2*Assumptions!$B$27*(IF(C223&lt;=0,0,MAX(0,(B223/C223)*G223/INDEX(Surface_Engine!$B$12:$B$72,$A223+1)-F223/INDEX(Surface_Engine!$B$12:$B$72,$A223+1))))*(MAX(0,J223/INDEX(Surface_Engine!$B$12:$B$72,$A223+1)-(F223/INDEX(Surface_Engine!$B$12:$B$72,$A223+1))))+2*Assumptions!$B$28*(MAX(IF(D223&lt;=0,0,MAX(0,(B223/D223)*H223/INDEX(Surface_Engine!$B$12:$B$72,$A223+1)-F223/INDEX(Surface_Engine!$B$12:$B$72,$A223+1))),IF(E223&lt;=0,0,MAX(0,(B223/E223)*I223/INDEX(Surface_Engine!$B$12:$B$72,$A223+1)-F223/INDEX(Surface_Engine!$B$12:$B$72,$A223+1))),IF($A223&lt;$Q$195,MAX(0,-Assumptions!$B$22*(F223/INDEX(Surface_Engine!$B$12:$B$72,$A223+1))),0)))*(MAX(0,J223/INDEX(Surface_Engine!$B$12:$B$72,$A223+1)-(F223/INDEX(Surface_Engine!$B$12:$B$72,$A223+1)))))</f>
        <v>5991.50381608068</v>
      </c>
      <c r="L223" s="48" t="n">
        <f aca="false">K223*INDEX(Surface_Engine!$B$12:$B$72,$A223+1)+L224</f>
        <v>20245.2031027528</v>
      </c>
      <c r="M223" s="48" t="n">
        <f aca="false">M222+B222*(IF($A222&lt;$Q$195,(Surface_Engine!Q236*12)-(Surface_Engine!Q236*12)*INDEX(Surface_Engine!$F$12:$F$72,$A222+1)-INDEX(Surface_Engine!$D$12:$D$72,$A222+1),-(1000*12*INDEX(Surface_Engine!$C$12:$C$72,$A222+1)/(1+Assumptions!$B$10)^30+INDEX(Surface_Engine!$D$12:$D$72,$A222+1))))*INDEX(Surface_Engine!$B$12:$B$72,$A222+1)</f>
        <v>11519.4857135724</v>
      </c>
      <c r="N223" s="12" t="n">
        <f aca="false">IF(B223&lt;=0,0,MAX(0,(K223+Assumptions!$B$29*L223/INDEX(Surface_Engine!$B$12:$B$72,$A223+1)-(M223/INDEX(Surface_Engine!$B$12:$B$72,$A223+1)-(F223/INDEX(Surface_Engine!$B$12:$B$72,$A223+1))))/B223))</f>
        <v>15288.1473145626</v>
      </c>
    </row>
    <row r="224" customFormat="false" ht="15" hidden="false" customHeight="true" outlineLevel="0" collapsed="false">
      <c r="A224" s="1" t="n">
        <v>27</v>
      </c>
      <c r="B224" s="32" t="n">
        <f aca="false">INDEX(Surface_Engine!$G$12:$G$72,$A224+1)*IF($A224&lt;$Q$195,INDEX(Surface_Engine!$E$12:$E$72,$A224+1),INDEX(Surface_Engine!$E$12:$E$72,$Q$195+1))</f>
        <v>0.471659746846143</v>
      </c>
      <c r="C224" s="32" t="n">
        <f aca="false">INDEX(Panel_Reserving!$B$8:$B$68,$A224+1)*IF($A224&lt;$Q$195,INDEX(Surface_Engine!$E$12:$E$72,$A224+1),INDEX(Surface_Engine!$E$12:$E$72,$Q$195+1))</f>
        <v>0.516286219668283</v>
      </c>
      <c r="D224" s="32" t="n">
        <f aca="false">INDEX(Surface_Engine!$G$12:$G$72,$A224+1)*IF($A224&lt;$Q$195,INDEX(Surface_Engine!$Y$12:$Y$72,$A224+1),INDEX(Surface_Engine!$Y$12:$Y$72,$Q$195+1))</f>
        <v>0.404309160083653</v>
      </c>
      <c r="E224" s="32" t="n">
        <f aca="false">INDEX(Surface_Engine!$G$12:$G$72,$A224+1)*IF($A224&lt;$Q$195,INDEX(Surface_Engine!$Z$12:$Z$72,$A224+1),INDEX(Surface_Engine!$Z$12:$Z$72,$Q$195+1))</f>
        <v>0.549585806918823</v>
      </c>
      <c r="F224" s="48" t="n">
        <f aca="false">B224*(IF($A224&lt;$Q$195,INDEX(Surface_Engine!$D$12:$D$72,$A224+1)+(Surface_Engine!Q236*12)*INDEX(Surface_Engine!$F$12:$F$72,$A224+1)-(Surface_Engine!Q236*12),1000*12*INDEX(Surface_Engine!$C$12:$C$72,$A224+1)/(1+Assumptions!$B$10)^30+INDEX(Surface_Engine!$D$12:$D$72,$A224+1)))*INDEX(Surface_Engine!$B$12:$B$72,$A224+1)+F225</f>
        <v>11230.7916161055</v>
      </c>
      <c r="G224" s="48" t="n">
        <f aca="false">C224*(IF($A224&lt;$Q$195,INDEX(Surface_Engine!$D$12:$D$72,$A224+1)+(Surface_Engine!Q236*12)*INDEX(Surface_Engine!$F$12:$F$72,$A224+1)-(Surface_Engine!Q236*12),1000*12*INDEX(Surface_Engine!$C$12:$C$72,$A224+1)/(1+Assumptions!$B$10)^30+INDEX(Surface_Engine!$D$12:$D$72,$A224+1)))*INDEX(Surface_Engine!$B$12:$B$72,$A224+1)+G225</f>
        <v>14960.2912592054</v>
      </c>
      <c r="H224" s="48" t="n">
        <f aca="false">D224*(IF($A224&lt;$Q$195,INDEX(Surface_Engine!$D$12:$D$72,$A224+1)+(Surface_Engine!Q236*12)*INDEX(Surface_Engine!$F$12:$F$72,$A224+1)-(Surface_Engine!Q236*12),1000*12*INDEX(Surface_Engine!$C$12:$C$72,$A224+1)/(1+Assumptions!$B$10)^30+INDEX(Surface_Engine!$D$12:$D$72,$A224+1)))*INDEX(Surface_Engine!$B$12:$B$72,$A224+1)+H225</f>
        <v>9491.56546412756</v>
      </c>
      <c r="I224" s="48" t="n">
        <f aca="false">E224*(IF($A224&lt;$Q$195,INDEX(Surface_Engine!$D$12:$D$72,$A224+1)+(Surface_Engine!Q236*12)*INDEX(Surface_Engine!$F$12:$F$72,$A224+1)-(Surface_Engine!Q236*12),1000*12*INDEX(Surface_Engine!$C$12:$C$72,$A224+1)/(1+Assumptions!$B$10)^30+INDEX(Surface_Engine!$D$12:$D$72,$A224+1)))*INDEX(Surface_Engine!$B$12:$B$72,$A224+1)+I225</f>
        <v>13272.2433351207</v>
      </c>
      <c r="J224" s="48" t="n">
        <f aca="false">B224*(IF($A224&lt;$Q$195,INDEX(Surface_Engine!$D$12:$D$72,$A224+1)*(1+Assumptions!$B$24)+(Surface_Engine!Q236*12)*INDEX(Surface_Engine!$F$12:$F$72,$A224+1)-(Surface_Engine!Q236*12),1000*12*INDEX(Surface_Engine!$C$12:$C$72,$A224+1)/(1+Assumptions!$B$10)^30+INDEX(Surface_Engine!$D$12:$D$72,$A224+1)*(1+Assumptions!$B$24)))*INDEX(Surface_Engine!$B$12:$B$72,$A224+1)+J225</f>
        <v>11256.607210526</v>
      </c>
      <c r="K224" s="12" t="n">
        <f aca="false">SQRT((IF(C224&lt;=0,0,MAX(0,(B224/C224)*G224/INDEX(Surface_Engine!$B$12:$B$72,$A224+1)-F224/INDEX(Surface_Engine!$B$12:$B$72,$A224+1))))^2+(MAX(IF(D224&lt;=0,0,MAX(0,(B224/D224)*H224/INDEX(Surface_Engine!$B$12:$B$72,$A224+1)-F224/INDEX(Surface_Engine!$B$12:$B$72,$A224+1))),IF(E224&lt;=0,0,MAX(0,(B224/E224)*I224/INDEX(Surface_Engine!$B$12:$B$72,$A224+1)-F224/INDEX(Surface_Engine!$B$12:$B$72,$A224+1))),IF($A224&lt;$Q$195,MAX(0,-Assumptions!$B$22*(F224/INDEX(Surface_Engine!$B$12:$B$72,$A224+1))),0)))^2+(MAX(0,J224/INDEX(Surface_Engine!$B$12:$B$72,$A224+1)-(F224/INDEX(Surface_Engine!$B$12:$B$72,$A224+1))))^2+2*Assumptions!$B$26*(IF(C224&lt;=0,0,MAX(0,(B224/C224)*G224/INDEX(Surface_Engine!$B$12:$B$72,$A224+1)-F224/INDEX(Surface_Engine!$B$12:$B$72,$A224+1))))*(MAX(IF(D224&lt;=0,0,MAX(0,(B224/D224)*H224/INDEX(Surface_Engine!$B$12:$B$72,$A224+1)-F224/INDEX(Surface_Engine!$B$12:$B$72,$A224+1))),IF(E224&lt;=0,0,MAX(0,(B224/E224)*I224/INDEX(Surface_Engine!$B$12:$B$72,$A224+1)-F224/INDEX(Surface_Engine!$B$12:$B$72,$A224+1))),IF($A224&lt;$Q$195,MAX(0,-Assumptions!$B$22*(F224/INDEX(Surface_Engine!$B$12:$B$72,$A224+1))),0)))+2*Assumptions!$B$27*(IF(C224&lt;=0,0,MAX(0,(B224/C224)*G224/INDEX(Surface_Engine!$B$12:$B$72,$A224+1)-F224/INDEX(Surface_Engine!$B$12:$B$72,$A224+1))))*(MAX(0,J224/INDEX(Surface_Engine!$B$12:$B$72,$A224+1)-(F224/INDEX(Surface_Engine!$B$12:$B$72,$A224+1))))+2*Assumptions!$B$28*(MAX(IF(D224&lt;=0,0,MAX(0,(B224/D224)*H224/INDEX(Surface_Engine!$B$12:$B$72,$A224+1)-F224/INDEX(Surface_Engine!$B$12:$B$72,$A224+1))),IF(E224&lt;=0,0,MAX(0,(B224/E224)*I224/INDEX(Surface_Engine!$B$12:$B$72,$A224+1)-F224/INDEX(Surface_Engine!$B$12:$B$72,$A224+1))),IF($A224&lt;$Q$195,MAX(0,-Assumptions!$B$22*(F224/INDEX(Surface_Engine!$B$12:$B$72,$A224+1))),0)))*(MAX(0,J224/INDEX(Surface_Engine!$B$12:$B$72,$A224+1)-(F224/INDEX(Surface_Engine!$B$12:$B$72,$A224+1)))))</f>
        <v>5791.17693826027</v>
      </c>
      <c r="L224" s="48" t="n">
        <f aca="false">K224*INDEX(Surface_Engine!$B$12:$B$72,$A224+1)+L225</f>
        <v>17588.2704722934</v>
      </c>
      <c r="M224" s="48" t="n">
        <f aca="false">M223+B223*(IF($A223&lt;$Q$195,(Surface_Engine!Q236*12)-(Surface_Engine!Q236*12)*INDEX(Surface_Engine!$F$12:$F$72,$A223+1)-INDEX(Surface_Engine!$D$12:$D$72,$A223+1),-(1000*12*INDEX(Surface_Engine!$C$12:$C$72,$A223+1)/(1+Assumptions!$B$10)^30+INDEX(Surface_Engine!$D$12:$D$72,$A223+1))))*INDEX(Surface_Engine!$B$12:$B$72,$A223+1)</f>
        <v>11696.9810680232</v>
      </c>
      <c r="N224" s="12" t="n">
        <f aca="false">IF(B224&lt;=0,0,MAX(0,(K224+Assumptions!$B$29*L224/INDEX(Surface_Engine!$B$12:$B$72,$A224+1)-(M224/INDEX(Surface_Engine!$B$12:$B$72,$A224+1)-(F224/INDEX(Surface_Engine!$B$12:$B$72,$A224+1))))/B224))</f>
        <v>15185.1064714701</v>
      </c>
    </row>
    <row r="225" customFormat="false" ht="15" hidden="false" customHeight="true" outlineLevel="0" collapsed="false">
      <c r="A225" s="1" t="n">
        <v>28</v>
      </c>
      <c r="B225" s="32" t="n">
        <f aca="false">INDEX(Surface_Engine!$G$12:$G$72,$A225+1)*IF($A225&lt;$Q$195,INDEX(Surface_Engine!$E$12:$E$72,$A225+1),INDEX(Surface_Engine!$E$12:$E$72,$Q$195+1))</f>
        <v>0.439507320405364</v>
      </c>
      <c r="C225" s="32" t="n">
        <f aca="false">INDEX(Panel_Reserving!$B$8:$B$68,$A225+1)*IF($A225&lt;$Q$195,INDEX(Surface_Engine!$E$12:$E$72,$A225+1),INDEX(Surface_Engine!$E$12:$E$72,$Q$195+1))</f>
        <v>0.487190935090073</v>
      </c>
      <c r="D225" s="32" t="n">
        <f aca="false">INDEX(Surface_Engine!$G$12:$G$72,$A225+1)*IF($A225&lt;$Q$195,INDEX(Surface_Engine!$Y$12:$Y$72,$A225+1),INDEX(Surface_Engine!$Y$12:$Y$72,$Q$195+1))</f>
        <v>0.375017989215123</v>
      </c>
      <c r="E225" s="32" t="n">
        <f aca="false">INDEX(Surface_Engine!$G$12:$G$72,$A225+1)*IF($A225&lt;$Q$195,INDEX(Surface_Engine!$Z$12:$Z$72,$A225+1),INDEX(Surface_Engine!$Z$12:$Z$72,$Q$195+1))</f>
        <v>0.514472814009854</v>
      </c>
      <c r="F225" s="48" t="n">
        <f aca="false">B225*(IF($A225&lt;$Q$195,INDEX(Surface_Engine!$D$12:$D$72,$A225+1)+(Surface_Engine!Q236*12)*INDEX(Surface_Engine!$F$12:$F$72,$A225+1)-(Surface_Engine!Q236*12),1000*12*INDEX(Surface_Engine!$C$12:$C$72,$A225+1)/(1+Assumptions!$B$10)^30+INDEX(Surface_Engine!$D$12:$D$72,$A225+1)))*INDEX(Surface_Engine!$B$12:$B$72,$A225+1)+F226</f>
        <v>11391.4913717319</v>
      </c>
      <c r="G225" s="48" t="n">
        <f aca="false">C225*(IF($A225&lt;$Q$195,INDEX(Surface_Engine!$D$12:$D$72,$A225+1)+(Surface_Engine!Q236*12)*INDEX(Surface_Engine!$F$12:$F$72,$A225+1)-(Surface_Engine!Q236*12),1000*12*INDEX(Surface_Engine!$C$12:$C$72,$A225+1)/(1+Assumptions!$B$10)^30+INDEX(Surface_Engine!$D$12:$D$72,$A225+1)))*INDEX(Surface_Engine!$B$12:$B$72,$A225+1)+G226</f>
        <v>15136.195753682</v>
      </c>
      <c r="H225" s="48" t="n">
        <f aca="false">D225*(IF($A225&lt;$Q$195,INDEX(Surface_Engine!$D$12:$D$72,$A225+1)+(Surface_Engine!Q236*12)*INDEX(Surface_Engine!$F$12:$F$72,$A225+1)-(Surface_Engine!Q236*12),1000*12*INDEX(Surface_Engine!$C$12:$C$72,$A225+1)/(1+Assumptions!$B$10)^30+INDEX(Surface_Engine!$D$12:$D$72,$A225+1)))*INDEX(Surface_Engine!$B$12:$B$72,$A225+1)+H226</f>
        <v>9629.31812090482</v>
      </c>
      <c r="I225" s="48" t="n">
        <f aca="false">E225*(IF($A225&lt;$Q$195,INDEX(Surface_Engine!$D$12:$D$72,$A225+1)+(Surface_Engine!Q236*12)*INDEX(Surface_Engine!$F$12:$F$72,$A225+1)-(Surface_Engine!Q236*12),1000*12*INDEX(Surface_Engine!$C$12:$C$72,$A225+1)/(1+Assumptions!$B$10)^30+INDEX(Surface_Engine!$D$12:$D$72,$A225+1)))*INDEX(Surface_Engine!$B$12:$B$72,$A225+1)+I226</f>
        <v>13459.4933717374</v>
      </c>
      <c r="J225" s="48" t="n">
        <f aca="false">B225*(IF($A225&lt;$Q$195,INDEX(Surface_Engine!$D$12:$D$72,$A225+1)*(1+Assumptions!$B$24)+(Surface_Engine!Q236*12)*INDEX(Surface_Engine!$F$12:$F$72,$A225+1)-(Surface_Engine!Q236*12),1000*12*INDEX(Surface_Engine!$C$12:$C$72,$A225+1)/(1+Assumptions!$B$10)^30+INDEX(Surface_Engine!$D$12:$D$72,$A225+1)*(1+Assumptions!$B$24)))*INDEX(Surface_Engine!$B$12:$B$72,$A225+1)+J226</f>
        <v>11414.0700221276</v>
      </c>
      <c r="K225" s="12" t="n">
        <f aca="false">SQRT((IF(C225&lt;=0,0,MAX(0,(B225/C225)*G225/INDEX(Surface_Engine!$B$12:$B$72,$A225+1)-F225/INDEX(Surface_Engine!$B$12:$B$72,$A225+1))))^2+(MAX(IF(D225&lt;=0,0,MAX(0,(B225/D225)*H225/INDEX(Surface_Engine!$B$12:$B$72,$A225+1)-F225/INDEX(Surface_Engine!$B$12:$B$72,$A225+1))),IF(E225&lt;=0,0,MAX(0,(B225/E225)*I225/INDEX(Surface_Engine!$B$12:$B$72,$A225+1)-F225/INDEX(Surface_Engine!$B$12:$B$72,$A225+1))),IF($A225&lt;$Q$195,MAX(0,-Assumptions!$B$22*(F225/INDEX(Surface_Engine!$B$12:$B$72,$A225+1))),0)))^2+(MAX(0,J225/INDEX(Surface_Engine!$B$12:$B$72,$A225+1)-(F225/INDEX(Surface_Engine!$B$12:$B$72,$A225+1))))^2+2*Assumptions!$B$26*(IF(C225&lt;=0,0,MAX(0,(B225/C225)*G225/INDEX(Surface_Engine!$B$12:$B$72,$A225+1)-F225/INDEX(Surface_Engine!$B$12:$B$72,$A225+1))))*(MAX(IF(D225&lt;=0,0,MAX(0,(B225/D225)*H225/INDEX(Surface_Engine!$B$12:$B$72,$A225+1)-F225/INDEX(Surface_Engine!$B$12:$B$72,$A225+1))),IF(E225&lt;=0,0,MAX(0,(B225/E225)*I225/INDEX(Surface_Engine!$B$12:$B$72,$A225+1)-F225/INDEX(Surface_Engine!$B$12:$B$72,$A225+1))),IF($A225&lt;$Q$195,MAX(0,-Assumptions!$B$22*(F225/INDEX(Surface_Engine!$B$12:$B$72,$A225+1))),0)))+2*Assumptions!$B$27*(IF(C225&lt;=0,0,MAX(0,(B225/C225)*G225/INDEX(Surface_Engine!$B$12:$B$72,$A225+1)-F225/INDEX(Surface_Engine!$B$12:$B$72,$A225+1))))*(MAX(0,J225/INDEX(Surface_Engine!$B$12:$B$72,$A225+1)-(F225/INDEX(Surface_Engine!$B$12:$B$72,$A225+1))))+2*Assumptions!$B$28*(MAX(IF(D225&lt;=0,0,MAX(0,(B225/D225)*H225/INDEX(Surface_Engine!$B$12:$B$72,$A225+1)-F225/INDEX(Surface_Engine!$B$12:$B$72,$A225+1))),IF(E225&lt;=0,0,MAX(0,(B225/E225)*I225/INDEX(Surface_Engine!$B$12:$B$72,$A225+1)-F225/INDEX(Surface_Engine!$B$12:$B$72,$A225+1))),IF($A225&lt;$Q$195,MAX(0,-Assumptions!$B$22*(F225/INDEX(Surface_Engine!$B$12:$B$72,$A225+1))),0)))*(MAX(0,J225/INDEX(Surface_Engine!$B$12:$B$72,$A225+1)-(F225/INDEX(Surface_Engine!$B$12:$B$72,$A225+1)))))</f>
        <v>5522.25049295237</v>
      </c>
      <c r="L225" s="48" t="n">
        <f aca="false">K225*INDEX(Surface_Engine!$B$12:$B$72,$A225+1)+L226</f>
        <v>15099.900270528</v>
      </c>
      <c r="M225" s="48" t="n">
        <f aca="false">M224+B224*(IF($A224&lt;$Q$195,(Surface_Engine!Q236*12)-(Surface_Engine!Q236*12)*INDEX(Surface_Engine!$F$12:$F$72,$A224+1)-INDEX(Surface_Engine!$D$12:$D$72,$A224+1),-(1000*12*INDEX(Surface_Engine!$C$12:$C$72,$A224+1)/(1+Assumptions!$B$10)^30+INDEX(Surface_Engine!$D$12:$D$72,$A224+1))))*INDEX(Surface_Engine!$B$12:$B$72,$A224+1)</f>
        <v>11857.6808236496</v>
      </c>
      <c r="N225" s="12" t="n">
        <f aca="false">IF(B225&lt;=0,0,MAX(0,(K225+Assumptions!$B$29*L225/INDEX(Surface_Engine!$B$12:$B$72,$A225+1)-(M225/INDEX(Surface_Engine!$B$12:$B$72,$A225+1)-(F225/INDEX(Surface_Engine!$B$12:$B$72,$A225+1))))/B225))</f>
        <v>14968.8254451693</v>
      </c>
    </row>
    <row r="226" customFormat="false" ht="15" hidden="false" customHeight="true" outlineLevel="0" collapsed="false">
      <c r="A226" s="1" t="n">
        <v>29</v>
      </c>
      <c r="B226" s="32" t="n">
        <f aca="false">INDEX(Surface_Engine!$G$12:$G$72,$A226+1)*IF($A226&lt;$Q$195,INDEX(Surface_Engine!$E$12:$E$72,$A226+1),INDEX(Surface_Engine!$E$12:$E$72,$Q$195+1))</f>
        <v>0.405991926810894</v>
      </c>
      <c r="C226" s="32" t="n">
        <f aca="false">INDEX(Panel_Reserving!$B$8:$B$68,$A226+1)*IF($A226&lt;$Q$195,INDEX(Surface_Engine!$E$12:$E$72,$A226+1),INDEX(Surface_Engine!$E$12:$E$72,$Q$195+1))</f>
        <v>0.456582975268755</v>
      </c>
      <c r="D226" s="32" t="n">
        <f aca="false">INDEX(Surface_Engine!$G$12:$G$72,$A226+1)*IF($A226&lt;$Q$195,INDEX(Surface_Engine!$Y$12:$Y$72,$A226+1),INDEX(Surface_Engine!$Y$12:$Y$72,$Q$195+1))</f>
        <v>0.344829653695273</v>
      </c>
      <c r="E226" s="32" t="n">
        <f aca="false">INDEX(Surface_Engine!$G$12:$G$72,$A226+1)*IF($A226&lt;$Q$195,INDEX(Surface_Engine!$Z$12:$Z$72,$A226+1),INDEX(Surface_Engine!$Z$12:$Z$72,$Q$195+1))</f>
        <v>0.477423000256758</v>
      </c>
      <c r="F226" s="48" t="n">
        <f aca="false">B226*(IF($A226&lt;$Q$195,INDEX(Surface_Engine!$D$12:$D$72,$A226+1)+(Surface_Engine!Q236*12)*INDEX(Surface_Engine!$F$12:$F$72,$A226+1)-(Surface_Engine!Q236*12),1000*12*INDEX(Surface_Engine!$C$12:$C$72,$A226+1)/(1+Assumptions!$B$10)^30+INDEX(Surface_Engine!$D$12:$D$72,$A226+1)))*INDEX(Surface_Engine!$B$12:$B$72,$A226+1)+F227</f>
        <v>11535.8149196074</v>
      </c>
      <c r="G226" s="48" t="n">
        <f aca="false">C226*(IF($A226&lt;$Q$195,INDEX(Surface_Engine!$D$12:$D$72,$A226+1)+(Surface_Engine!Q236*12)*INDEX(Surface_Engine!$F$12:$F$72,$A226+1)-(Surface_Engine!Q236*12),1000*12*INDEX(Surface_Engine!$C$12:$C$72,$A226+1)/(1+Assumptions!$B$10)^30+INDEX(Surface_Engine!$D$12:$D$72,$A226+1)))*INDEX(Surface_Engine!$B$12:$B$72,$A226+1)+G227</f>
        <v>15296.1774444992</v>
      </c>
      <c r="H226" s="48" t="n">
        <f aca="false">D226*(IF($A226&lt;$Q$195,INDEX(Surface_Engine!$D$12:$D$72,$A226+1)+(Surface_Engine!Q236*12)*INDEX(Surface_Engine!$F$12:$F$72,$A226+1)-(Surface_Engine!Q236*12),1000*12*INDEX(Surface_Engine!$C$12:$C$72,$A226+1)/(1+Assumptions!$B$10)^30+INDEX(Surface_Engine!$D$12:$D$72,$A226+1)))*INDEX(Surface_Engine!$B$12:$B$72,$A226+1)+H227</f>
        <v>9752.46493600394</v>
      </c>
      <c r="I226" s="48" t="n">
        <f aca="false">E226*(IF($A226&lt;$Q$195,INDEX(Surface_Engine!$D$12:$D$72,$A226+1)+(Surface_Engine!Q236*12)*INDEX(Surface_Engine!$F$12:$F$72,$A226+1)-(Surface_Engine!Q236*12),1000*12*INDEX(Surface_Engine!$C$12:$C$72,$A226+1)/(1+Assumptions!$B$10)^30+INDEX(Surface_Engine!$D$12:$D$72,$A226+1)))*INDEX(Surface_Engine!$B$12:$B$72,$A226+1)+I227</f>
        <v>13628.4337701247</v>
      </c>
      <c r="J226" s="48" t="n">
        <f aca="false">B226*(IF($A226&lt;$Q$195,INDEX(Surface_Engine!$D$12:$D$72,$A226+1)*(1+Assumptions!$B$24)+(Surface_Engine!Q236*12)*INDEX(Surface_Engine!$F$12:$F$72,$A226+1)-(Surface_Engine!Q236*12),1000*12*INDEX(Surface_Engine!$C$12:$C$72,$A226+1)/(1+Assumptions!$B$10)^30+INDEX(Surface_Engine!$D$12:$D$72,$A226+1)*(1+Assumptions!$B$24)))*INDEX(Surface_Engine!$B$12:$B$72,$A226+1)+J227</f>
        <v>11555.3987306079</v>
      </c>
      <c r="K226" s="12" t="n">
        <f aca="false">SQRT((IF(C226&lt;=0,0,MAX(0,(B226/C226)*G226/INDEX(Surface_Engine!$B$12:$B$72,$A226+1)-F226/INDEX(Surface_Engine!$B$12:$B$72,$A226+1))))^2+(MAX(IF(D226&lt;=0,0,MAX(0,(B226/D226)*H226/INDEX(Surface_Engine!$B$12:$B$72,$A226+1)-F226/INDEX(Surface_Engine!$B$12:$B$72,$A226+1))),IF(E226&lt;=0,0,MAX(0,(B226/E226)*I226/INDEX(Surface_Engine!$B$12:$B$72,$A226+1)-F226/INDEX(Surface_Engine!$B$12:$B$72,$A226+1))),IF($A226&lt;$Q$195,MAX(0,-Assumptions!$B$22*(F226/INDEX(Surface_Engine!$B$12:$B$72,$A226+1))),0)))^2+(MAX(0,J226/INDEX(Surface_Engine!$B$12:$B$72,$A226+1)-(F226/INDEX(Surface_Engine!$B$12:$B$72,$A226+1))))^2+2*Assumptions!$B$26*(IF(C226&lt;=0,0,MAX(0,(B226/C226)*G226/INDEX(Surface_Engine!$B$12:$B$72,$A226+1)-F226/INDEX(Surface_Engine!$B$12:$B$72,$A226+1))))*(MAX(IF(D226&lt;=0,0,MAX(0,(B226/D226)*H226/INDEX(Surface_Engine!$B$12:$B$72,$A226+1)-F226/INDEX(Surface_Engine!$B$12:$B$72,$A226+1))),IF(E226&lt;=0,0,MAX(0,(B226/E226)*I226/INDEX(Surface_Engine!$B$12:$B$72,$A226+1)-F226/INDEX(Surface_Engine!$B$12:$B$72,$A226+1))),IF($A226&lt;$Q$195,MAX(0,-Assumptions!$B$22*(F226/INDEX(Surface_Engine!$B$12:$B$72,$A226+1))),0)))+2*Assumptions!$B$27*(IF(C226&lt;=0,0,MAX(0,(B226/C226)*G226/INDEX(Surface_Engine!$B$12:$B$72,$A226+1)-F226/INDEX(Surface_Engine!$B$12:$B$72,$A226+1))))*(MAX(0,J226/INDEX(Surface_Engine!$B$12:$B$72,$A226+1)-(F226/INDEX(Surface_Engine!$B$12:$B$72,$A226+1))))+2*Assumptions!$B$28*(MAX(IF(D226&lt;=0,0,MAX(0,(B226/D226)*H226/INDEX(Surface_Engine!$B$12:$B$72,$A226+1)-F226/INDEX(Surface_Engine!$B$12:$B$72,$A226+1))),IF(E226&lt;=0,0,MAX(0,(B226/E226)*I226/INDEX(Surface_Engine!$B$12:$B$72,$A226+1)-F226/INDEX(Surface_Engine!$B$12:$B$72,$A226+1))),IF($A226&lt;$Q$195,MAX(0,-Assumptions!$B$22*(F226/INDEX(Surface_Engine!$B$12:$B$72,$A226+1))),0)))*(MAX(0,J226/INDEX(Surface_Engine!$B$12:$B$72,$A226+1)-(F226/INDEX(Surface_Engine!$B$12:$B$72,$A226+1)))))</f>
        <v>5170.87139292158</v>
      </c>
      <c r="L226" s="48" t="n">
        <f aca="false">K226*INDEX(Surface_Engine!$B$12:$B$72,$A226+1)+L227</f>
        <v>12801.4164892805</v>
      </c>
      <c r="M226" s="48" t="n">
        <f aca="false">M225+B225*(IF($A225&lt;$Q$195,(Surface_Engine!Q236*12)-(Surface_Engine!Q236*12)*INDEX(Surface_Engine!$F$12:$F$72,$A225+1)-INDEX(Surface_Engine!$D$12:$D$72,$A225+1),-(1000*12*INDEX(Surface_Engine!$C$12:$C$72,$A225+1)/(1+Assumptions!$B$10)^30+INDEX(Surface_Engine!$D$12:$D$72,$A225+1))))*INDEX(Surface_Engine!$B$12:$B$72,$A225+1)</f>
        <v>12002.0043715251</v>
      </c>
      <c r="N226" s="12" t="n">
        <f aca="false">IF(B226&lt;=0,0,MAX(0,(K226+Assumptions!$B$29*L226/INDEX(Surface_Engine!$B$12:$B$72,$A226+1)-(M226/INDEX(Surface_Engine!$B$12:$B$72,$A226+1)-(F226/INDEX(Surface_Engine!$B$12:$B$72,$A226+1))))/B226))</f>
        <v>14580.7832820866</v>
      </c>
    </row>
    <row r="227" customFormat="false" ht="15" hidden="false" customHeight="true" outlineLevel="0" collapsed="false">
      <c r="A227" s="1" t="n">
        <v>30</v>
      </c>
      <c r="B227" s="32" t="n">
        <f aca="false">INDEX(Surface_Engine!$G$12:$G$72,$A227+1)*IF($A227&lt;$Q$195,INDEX(Surface_Engine!$E$12:$E$72,$A227+1),INDEX(Surface_Engine!$E$12:$E$72,$Q$195+1))</f>
        <v>0.371327690109829</v>
      </c>
      <c r="C227" s="32" t="n">
        <f aca="false">INDEX(Panel_Reserving!$B$8:$B$68,$A227+1)*IF($A227&lt;$Q$195,INDEX(Surface_Engine!$E$12:$E$72,$A227+1),INDEX(Surface_Engine!$E$12:$E$72,$Q$195+1))</f>
        <v>0.4245649695211</v>
      </c>
      <c r="D227" s="32" t="n">
        <f aca="false">INDEX(Surface_Engine!$G$12:$G$72,$A227+1)*IF($A227&lt;$Q$195,INDEX(Surface_Engine!$Y$12:$Y$72,$A227+1),INDEX(Surface_Engine!$Y$12:$Y$72,$Q$195+1))</f>
        <v>0.31393935729549</v>
      </c>
      <c r="E227" s="32" t="n">
        <f aca="false">INDEX(Surface_Engine!$G$12:$G$72,$A227+1)*IF($A227&lt;$Q$195,INDEX(Surface_Engine!$Z$12:$Z$72,$A227+1),INDEX(Surface_Engine!$Z$12:$Z$72,$Q$195+1))</f>
        <v>0.438664913172869</v>
      </c>
      <c r="F227" s="48" t="n">
        <f aca="false">B227*(IF($A227&lt;$Q$195,INDEX(Surface_Engine!$D$12:$D$72,$A227+1)+(Surface_Engine!Q236*12)*INDEX(Surface_Engine!$F$12:$F$72,$A227+1)-(Surface_Engine!Q236*12),1000*12*INDEX(Surface_Engine!$C$12:$C$72,$A227+1)/(1+Assumptions!$B$10)^30+INDEX(Surface_Engine!$D$12:$D$72,$A227+1)))*INDEX(Surface_Engine!$B$12:$B$72,$A227+1)+F228</f>
        <v>11664.2814429019</v>
      </c>
      <c r="G227" s="48" t="n">
        <f aca="false">C227*(IF($A227&lt;$Q$195,INDEX(Surface_Engine!$D$12:$D$72,$A227+1)+(Surface_Engine!Q236*12)*INDEX(Surface_Engine!$F$12:$F$72,$A227+1)-(Surface_Engine!Q236*12),1000*12*INDEX(Surface_Engine!$C$12:$C$72,$A227+1)/(1+Assumptions!$B$10)^30+INDEX(Surface_Engine!$D$12:$D$72,$A227+1)))*INDEX(Surface_Engine!$B$12:$B$72,$A227+1)+G228</f>
        <v>15440.6523060783</v>
      </c>
      <c r="H227" s="48" t="n">
        <f aca="false">D227*(IF($A227&lt;$Q$195,INDEX(Surface_Engine!$D$12:$D$72,$A227+1)+(Surface_Engine!Q236*12)*INDEX(Surface_Engine!$F$12:$F$72,$A227+1)-(Surface_Engine!Q236*12),1000*12*INDEX(Surface_Engine!$C$12:$C$72,$A227+1)/(1+Assumptions!$B$10)^30+INDEX(Surface_Engine!$D$12:$D$72,$A227+1)))*INDEX(Surface_Engine!$B$12:$B$72,$A227+1)+H228</f>
        <v>9861.57810750725</v>
      </c>
      <c r="I227" s="48" t="n">
        <f aca="false">E227*(IF($A227&lt;$Q$195,INDEX(Surface_Engine!$D$12:$D$72,$A227+1)+(Surface_Engine!Q236*12)*INDEX(Surface_Engine!$F$12:$F$72,$A227+1)-(Surface_Engine!Q236*12),1000*12*INDEX(Surface_Engine!$C$12:$C$72,$A227+1)/(1+Assumptions!$B$10)^30+INDEX(Surface_Engine!$D$12:$D$72,$A227+1)))*INDEX(Surface_Engine!$B$12:$B$72,$A227+1)+I228</f>
        <v>13779.5029637059</v>
      </c>
      <c r="J227" s="48" t="n">
        <f aca="false">B227*(IF($A227&lt;$Q$195,INDEX(Surface_Engine!$D$12:$D$72,$A227+1)*(1+Assumptions!$B$24)+(Surface_Engine!Q236*12)*INDEX(Surface_Engine!$F$12:$F$72,$A227+1)-(Surface_Engine!Q236*12),1000*12*INDEX(Surface_Engine!$C$12:$C$72,$A227+1)/(1+Assumptions!$B$10)^30+INDEX(Surface_Engine!$D$12:$D$72,$A227+1)*(1+Assumptions!$B$24)))*INDEX(Surface_Engine!$B$12:$B$72,$A227+1)+J228</f>
        <v>11681.1185677458</v>
      </c>
      <c r="K227" s="12" t="n">
        <f aca="false">SQRT((IF(C227&lt;=0,0,MAX(0,(B227/C227)*G227/INDEX(Surface_Engine!$B$12:$B$72,$A227+1)-F227/INDEX(Surface_Engine!$B$12:$B$72,$A227+1))))^2+(MAX(IF(D227&lt;=0,0,MAX(0,(B227/D227)*H227/INDEX(Surface_Engine!$B$12:$B$72,$A227+1)-F227/INDEX(Surface_Engine!$B$12:$B$72,$A227+1))),IF(E227&lt;=0,0,MAX(0,(B227/E227)*I227/INDEX(Surface_Engine!$B$12:$B$72,$A227+1)-F227/INDEX(Surface_Engine!$B$12:$B$72,$A227+1))),IF($A227&lt;$Q$195,MAX(0,-Assumptions!$B$22*(F227/INDEX(Surface_Engine!$B$12:$B$72,$A227+1))),0)))^2+(MAX(0,J227/INDEX(Surface_Engine!$B$12:$B$72,$A227+1)-(F227/INDEX(Surface_Engine!$B$12:$B$72,$A227+1))))^2+2*Assumptions!$B$26*(IF(C227&lt;=0,0,MAX(0,(B227/C227)*G227/INDEX(Surface_Engine!$B$12:$B$72,$A227+1)-F227/INDEX(Surface_Engine!$B$12:$B$72,$A227+1))))*(MAX(IF(D227&lt;=0,0,MAX(0,(B227/D227)*H227/INDEX(Surface_Engine!$B$12:$B$72,$A227+1)-F227/INDEX(Surface_Engine!$B$12:$B$72,$A227+1))),IF(E227&lt;=0,0,MAX(0,(B227/E227)*I227/INDEX(Surface_Engine!$B$12:$B$72,$A227+1)-F227/INDEX(Surface_Engine!$B$12:$B$72,$A227+1))),IF($A227&lt;$Q$195,MAX(0,-Assumptions!$B$22*(F227/INDEX(Surface_Engine!$B$12:$B$72,$A227+1))),0)))+2*Assumptions!$B$27*(IF(C227&lt;=0,0,MAX(0,(B227/C227)*G227/INDEX(Surface_Engine!$B$12:$B$72,$A227+1)-F227/INDEX(Surface_Engine!$B$12:$B$72,$A227+1))))*(MAX(0,J227/INDEX(Surface_Engine!$B$12:$B$72,$A227+1)-(F227/INDEX(Surface_Engine!$B$12:$B$72,$A227+1))))+2*Assumptions!$B$28*(MAX(IF(D227&lt;=0,0,MAX(0,(B227/D227)*H227/INDEX(Surface_Engine!$B$12:$B$72,$A227+1)-F227/INDEX(Surface_Engine!$B$12:$B$72,$A227+1))),IF(E227&lt;=0,0,MAX(0,(B227/E227)*I227/INDEX(Surface_Engine!$B$12:$B$72,$A227+1)-F227/INDEX(Surface_Engine!$B$12:$B$72,$A227+1))),IF($A227&lt;$Q$195,MAX(0,-Assumptions!$B$22*(F227/INDEX(Surface_Engine!$B$12:$B$72,$A227+1))),0)))*(MAX(0,J227/INDEX(Surface_Engine!$B$12:$B$72,$A227+1)-(F227/INDEX(Surface_Engine!$B$12:$B$72,$A227+1)))))</f>
        <v>4723.36717153636</v>
      </c>
      <c r="L227" s="48" t="n">
        <f aca="false">K227*INDEX(Surface_Engine!$B$12:$B$72,$A227+1)+L228</f>
        <v>10716.6883492959</v>
      </c>
      <c r="M227" s="48" t="n">
        <f aca="false">M226+B226*(IF($A226&lt;$Q$195,(Surface_Engine!Q236*12)-(Surface_Engine!Q236*12)*INDEX(Surface_Engine!$F$12:$F$72,$A226+1)-INDEX(Surface_Engine!$D$12:$D$72,$A226+1),-(1000*12*INDEX(Surface_Engine!$C$12:$C$72,$A226+1)/(1+Assumptions!$B$10)^30+INDEX(Surface_Engine!$D$12:$D$72,$A226+1))))*INDEX(Surface_Engine!$B$12:$B$72,$A226+1)</f>
        <v>12130.4708948196</v>
      </c>
      <c r="N227" s="12" t="n">
        <f aca="false">IF(B227&lt;=0,0,MAX(0,(K227+Assumptions!$B$29*L227/INDEX(Surface_Engine!$B$12:$B$72,$A227+1)-(M227/INDEX(Surface_Engine!$B$12:$B$72,$A227+1)-(F227/INDEX(Surface_Engine!$B$12:$B$72,$A227+1))))/B227))</f>
        <v>13939.5526153433</v>
      </c>
    </row>
    <row r="228" customFormat="false" ht="15" hidden="false" customHeight="true" outlineLevel="0" collapsed="false">
      <c r="A228" s="1" t="n">
        <v>31</v>
      </c>
      <c r="B228" s="32" t="n">
        <f aca="false">INDEX(Surface_Engine!$G$12:$G$72,$A228+1)*IF($A228&lt;$Q$195,INDEX(Surface_Engine!$E$12:$E$72,$A228+1),INDEX(Surface_Engine!$E$12:$E$72,$Q$195+1))</f>
        <v>0.33786599326193</v>
      </c>
      <c r="C228" s="32" t="n">
        <f aca="false">INDEX(Panel_Reserving!$B$8:$B$68,$A228+1)*IF($A228&lt;$Q$195,INDEX(Surface_Engine!$E$12:$E$72,$A228+1),INDEX(Surface_Engine!$E$12:$E$72,$Q$195+1))</f>
        <v>0.393957687207948</v>
      </c>
      <c r="D228" s="32" t="n">
        <f aca="false">INDEX(Surface_Engine!$G$12:$G$72,$A228+1)*IF($A228&lt;$Q$195,INDEX(Surface_Engine!$Y$12:$Y$72,$A228+1),INDEX(Surface_Engine!$Y$12:$Y$72,$Q$195+1))</f>
        <v>0.285649133102032</v>
      </c>
      <c r="E228" s="32" t="n">
        <f aca="false">INDEX(Surface_Engine!$G$12:$G$72,$A228+1)*IF($A228&lt;$Q$195,INDEX(Surface_Engine!$Z$12:$Z$72,$A228+1),INDEX(Surface_Engine!$Z$12:$Z$72,$Q$195+1))</f>
        <v>0.399135212767119</v>
      </c>
      <c r="F228" s="48" t="n">
        <f aca="false">B228*(IF($A228&lt;$Q$195,INDEX(Surface_Engine!$D$12:$D$72,$A228+1)+(Surface_Engine!Q236*12)*INDEX(Surface_Engine!$F$12:$F$72,$A228+1)-(Surface_Engine!Q236*12),1000*12*INDEX(Surface_Engine!$C$12:$C$72,$A228+1)/(1+Assumptions!$B$10)^30+INDEX(Surface_Engine!$D$12:$D$72,$A228+1)))*INDEX(Surface_Engine!$B$12:$B$72,$A228+1)+F229</f>
        <v>9899.26599331556</v>
      </c>
      <c r="G228" s="48" t="n">
        <f aca="false">C228*(IF($A228&lt;$Q$195,INDEX(Surface_Engine!$D$12:$D$72,$A228+1)+(Surface_Engine!Q236*12)*INDEX(Surface_Engine!$F$12:$F$72,$A228+1)-(Surface_Engine!Q236*12),1000*12*INDEX(Surface_Engine!$C$12:$C$72,$A228+1)/(1+Assumptions!$B$10)^30+INDEX(Surface_Engine!$D$12:$D$72,$A228+1)))*INDEX(Surface_Engine!$B$12:$B$72,$A228+1)+G229</f>
        <v>13422.586456111</v>
      </c>
      <c r="H228" s="48" t="n">
        <f aca="false">D228*(IF($A228&lt;$Q$195,INDEX(Surface_Engine!$D$12:$D$72,$A228+1)+(Surface_Engine!Q236*12)*INDEX(Surface_Engine!$F$12:$F$72,$A228+1)-(Surface_Engine!Q236*12),1000*12*INDEX(Surface_Engine!$C$12:$C$72,$A228+1)/(1+Assumptions!$B$10)^30+INDEX(Surface_Engine!$D$12:$D$72,$A228+1)))*INDEX(Surface_Engine!$B$12:$B$72,$A228+1)+H229</f>
        <v>8369.34407643931</v>
      </c>
      <c r="I228" s="48" t="n">
        <f aca="false">E228*(IF($A228&lt;$Q$195,INDEX(Surface_Engine!$D$12:$D$72,$A228+1)+(Surface_Engine!Q236*12)*INDEX(Surface_Engine!$F$12:$F$72,$A228+1)-(Surface_Engine!Q236*12),1000*12*INDEX(Surface_Engine!$C$12:$C$72,$A228+1)/(1+Assumptions!$B$10)^30+INDEX(Surface_Engine!$D$12:$D$72,$A228+1)))*INDEX(Surface_Engine!$B$12:$B$72,$A228+1)+I229</f>
        <v>11694.4164765857</v>
      </c>
      <c r="J228" s="48" t="n">
        <f aca="false">B228*(IF($A228&lt;$Q$195,INDEX(Surface_Engine!$D$12:$D$72,$A228+1)*(1+Assumptions!$B$24)+(Surface_Engine!Q236*12)*INDEX(Surface_Engine!$F$12:$F$72,$A228+1)-(Surface_Engine!Q236*12),1000*12*INDEX(Surface_Engine!$C$12:$C$72,$A228+1)/(1+Assumptions!$B$10)^30+INDEX(Surface_Engine!$D$12:$D$72,$A228+1)*(1+Assumptions!$B$24)))*INDEX(Surface_Engine!$B$12:$B$72,$A228+1)+J229</f>
        <v>9913.60900380232</v>
      </c>
      <c r="K228" s="12" t="n">
        <f aca="false">SQRT((IF(C228&lt;=0,0,MAX(0,(B228/C228)*G228/INDEX(Surface_Engine!$B$12:$B$72,$A228+1)-F228/INDEX(Surface_Engine!$B$12:$B$72,$A228+1))))^2+(MAX(IF(D228&lt;=0,0,MAX(0,(B228/D228)*H228/INDEX(Surface_Engine!$B$12:$B$72,$A228+1)-F228/INDEX(Surface_Engine!$B$12:$B$72,$A228+1))),IF(E228&lt;=0,0,MAX(0,(B228/E228)*I228/INDEX(Surface_Engine!$B$12:$B$72,$A228+1)-F228/INDEX(Surface_Engine!$B$12:$B$72,$A228+1))),IF($A228&lt;$Q$195,MAX(0,-Assumptions!$B$22*(F228/INDEX(Surface_Engine!$B$12:$B$72,$A228+1))),0)))^2+(MAX(0,J228/INDEX(Surface_Engine!$B$12:$B$72,$A228+1)-(F228/INDEX(Surface_Engine!$B$12:$B$72,$A228+1))))^2+2*Assumptions!$B$26*(IF(C228&lt;=0,0,MAX(0,(B228/C228)*G228/INDEX(Surface_Engine!$B$12:$B$72,$A228+1)-F228/INDEX(Surface_Engine!$B$12:$B$72,$A228+1))))*(MAX(IF(D228&lt;=0,0,MAX(0,(B228/D228)*H228/INDEX(Surface_Engine!$B$12:$B$72,$A228+1)-F228/INDEX(Surface_Engine!$B$12:$B$72,$A228+1))),IF(E228&lt;=0,0,MAX(0,(B228/E228)*I228/INDEX(Surface_Engine!$B$12:$B$72,$A228+1)-F228/INDEX(Surface_Engine!$B$12:$B$72,$A228+1))),IF($A228&lt;$Q$195,MAX(0,-Assumptions!$B$22*(F228/INDEX(Surface_Engine!$B$12:$B$72,$A228+1))),0)))+2*Assumptions!$B$27*(IF(C228&lt;=0,0,MAX(0,(B228/C228)*G228/INDEX(Surface_Engine!$B$12:$B$72,$A228+1)-F228/INDEX(Surface_Engine!$B$12:$B$72,$A228+1))))*(MAX(0,J228/INDEX(Surface_Engine!$B$12:$B$72,$A228+1)-(F228/INDEX(Surface_Engine!$B$12:$B$72,$A228+1))))+2*Assumptions!$B$28*(MAX(IF(D228&lt;=0,0,MAX(0,(B228/D228)*H228/INDEX(Surface_Engine!$B$12:$B$72,$A228+1)-F228/INDEX(Surface_Engine!$B$12:$B$72,$A228+1))),IF(E228&lt;=0,0,MAX(0,(B228/E228)*I228/INDEX(Surface_Engine!$B$12:$B$72,$A228+1)-F228/INDEX(Surface_Engine!$B$12:$B$72,$A228+1))),IF($A228&lt;$Q$195,MAX(0,-Assumptions!$B$22*(F228/INDEX(Surface_Engine!$B$12:$B$72,$A228+1))),0)))*(MAX(0,J228/INDEX(Surface_Engine!$B$12:$B$72,$A228+1)-(F228/INDEX(Surface_Engine!$B$12:$B$72,$A228+1)))))</f>
        <v>4270.87479887447</v>
      </c>
      <c r="L228" s="48" t="n">
        <f aca="false">K228*INDEX(Surface_Engine!$B$12:$B$72,$A228+1)+L229</f>
        <v>8872.17875306095</v>
      </c>
      <c r="M228" s="48" t="n">
        <f aca="false">M227+B227*(IF($A227&lt;$Q$195,(Surface_Engine!Q236*12)-(Surface_Engine!Q236*12)*INDEX(Surface_Engine!$F$12:$F$72,$A227+1)-INDEX(Surface_Engine!$D$12:$D$72,$A227+1),-(1000*12*INDEX(Surface_Engine!$C$12:$C$72,$A227+1)/(1+Assumptions!$B$10)^30+INDEX(Surface_Engine!$D$12:$D$72,$A227+1))))*INDEX(Surface_Engine!$B$12:$B$72,$A227+1)</f>
        <v>10365.4554452333</v>
      </c>
      <c r="N228" s="12" t="n">
        <f aca="false">IF(B228&lt;=0,0,MAX(0,(K228+Assumptions!$B$29*L228/INDEX(Surface_Engine!$B$12:$B$72,$A228+1)-(M228/INDEX(Surface_Engine!$B$12:$B$72,$A228+1)-(F228/INDEX(Surface_Engine!$B$12:$B$72,$A228+1))))/B228))</f>
        <v>13158.1541160235</v>
      </c>
    </row>
    <row r="229" customFormat="false" ht="15" hidden="false" customHeight="true" outlineLevel="0" collapsed="false">
      <c r="A229" s="1" t="n">
        <v>32</v>
      </c>
      <c r="B229" s="32" t="n">
        <f aca="false">INDEX(Surface_Engine!$G$12:$G$72,$A229+1)*IF($A229&lt;$Q$195,INDEX(Surface_Engine!$E$12:$E$72,$A229+1),INDEX(Surface_Engine!$E$12:$E$72,$Q$195+1))</f>
        <v>0.303447277772239</v>
      </c>
      <c r="C229" s="32" t="n">
        <f aca="false">INDEX(Panel_Reserving!$B$8:$B$68,$A229+1)*IF($A229&lt;$Q$195,INDEX(Surface_Engine!$E$12:$E$72,$A229+1),INDEX(Surface_Engine!$E$12:$E$72,$Q$195+1))</f>
        <v>0.361851425384847</v>
      </c>
      <c r="D229" s="32" t="n">
        <f aca="false">INDEX(Surface_Engine!$G$12:$G$72,$A229+1)*IF($A229&lt;$Q$195,INDEX(Surface_Engine!$Y$12:$Y$72,$A229+1),INDEX(Surface_Engine!$Y$12:$Y$72,$Q$195+1))</f>
        <v>0.256549796565686</v>
      </c>
      <c r="E229" s="32" t="n">
        <f aca="false">INDEX(Surface_Engine!$G$12:$G$72,$A229+1)*IF($A229&lt;$Q$195,INDEX(Surface_Engine!$Z$12:$Z$72,$A229+1),INDEX(Surface_Engine!$Z$12:$Z$72,$Q$195+1))</f>
        <v>0.358474946258739</v>
      </c>
      <c r="F229" s="48" t="n">
        <f aca="false">B229*(IF($A229&lt;$Q$195,INDEX(Surface_Engine!$D$12:$D$72,$A229+1)+(Surface_Engine!Q236*12)*INDEX(Surface_Engine!$F$12:$F$72,$A229+1)-(Surface_Engine!Q236*12),1000*12*INDEX(Surface_Engine!$C$12:$C$72,$A229+1)/(1+Assumptions!$B$10)^30+INDEX(Surface_Engine!$D$12:$D$72,$A229+1)))*INDEX(Surface_Engine!$B$12:$B$72,$A229+1)+F230</f>
        <v>8312.09735048837</v>
      </c>
      <c r="G229" s="48" t="n">
        <f aca="false">C229*(IF($A229&lt;$Q$195,INDEX(Surface_Engine!$D$12:$D$72,$A229+1)+(Surface_Engine!Q236*12)*INDEX(Surface_Engine!$F$12:$F$72,$A229+1)-(Surface_Engine!Q236*12),1000*12*INDEX(Surface_Engine!$C$12:$C$72,$A229+1)/(1+Assumptions!$B$10)^30+INDEX(Surface_Engine!$D$12:$D$72,$A229+1)))*INDEX(Surface_Engine!$B$12:$B$72,$A229+1)+G230</f>
        <v>11571.9199190605</v>
      </c>
      <c r="H229" s="48" t="n">
        <f aca="false">D229*(IF($A229&lt;$Q$195,INDEX(Surface_Engine!$D$12:$D$72,$A229+1)+(Surface_Engine!Q236*12)*INDEX(Surface_Engine!$F$12:$F$72,$A229+1)-(Surface_Engine!Q236*12),1000*12*INDEX(Surface_Engine!$C$12:$C$72,$A229+1)/(1+Assumptions!$B$10)^30+INDEX(Surface_Engine!$D$12:$D$72,$A229+1)))*INDEX(Surface_Engine!$B$12:$B$72,$A229+1)+H230</f>
        <v>7027.47080137774</v>
      </c>
      <c r="I229" s="48" t="n">
        <f aca="false">E229*(IF($A229&lt;$Q$195,INDEX(Surface_Engine!$D$12:$D$72,$A229+1)+(Surface_Engine!Q236*12)*INDEX(Surface_Engine!$F$12:$F$72,$A229+1)-(Surface_Engine!Q236*12),1000*12*INDEX(Surface_Engine!$C$12:$C$72,$A229+1)/(1+Assumptions!$B$10)^30+INDEX(Surface_Engine!$D$12:$D$72,$A229+1)))*INDEX(Surface_Engine!$B$12:$B$72,$A229+1)+I230</f>
        <v>9819.42785214308</v>
      </c>
      <c r="J229" s="48" t="n">
        <f aca="false">B229*(IF($A229&lt;$Q$195,INDEX(Surface_Engine!$D$12:$D$72,$A229+1)*(1+Assumptions!$B$24)+(Surface_Engine!Q236*12)*INDEX(Surface_Engine!$F$12:$F$72,$A229+1)-(Surface_Engine!Q236*12),1000*12*INDEX(Surface_Engine!$C$12:$C$72,$A229+1)/(1+Assumptions!$B$10)^30+INDEX(Surface_Engine!$D$12:$D$72,$A229+1)*(1+Assumptions!$B$24)))*INDEX(Surface_Engine!$B$12:$B$72,$A229+1)+J230</f>
        <v>8324.18672100077</v>
      </c>
      <c r="K229" s="12" t="n">
        <f aca="false">SQRT((IF(C229&lt;=0,0,MAX(0,(B229/C229)*G229/INDEX(Surface_Engine!$B$12:$B$72,$A229+1)-F229/INDEX(Surface_Engine!$B$12:$B$72,$A229+1))))^2+(MAX(IF(D229&lt;=0,0,MAX(0,(B229/D229)*H229/INDEX(Surface_Engine!$B$12:$B$72,$A229+1)-F229/INDEX(Surface_Engine!$B$12:$B$72,$A229+1))),IF(E229&lt;=0,0,MAX(0,(B229/E229)*I229/INDEX(Surface_Engine!$B$12:$B$72,$A229+1)-F229/INDEX(Surface_Engine!$B$12:$B$72,$A229+1))),IF($A229&lt;$Q$195,MAX(0,-Assumptions!$B$22*(F229/INDEX(Surface_Engine!$B$12:$B$72,$A229+1))),0)))^2+(MAX(0,J229/INDEX(Surface_Engine!$B$12:$B$72,$A229+1)-(F229/INDEX(Surface_Engine!$B$12:$B$72,$A229+1))))^2+2*Assumptions!$B$26*(IF(C229&lt;=0,0,MAX(0,(B229/C229)*G229/INDEX(Surface_Engine!$B$12:$B$72,$A229+1)-F229/INDEX(Surface_Engine!$B$12:$B$72,$A229+1))))*(MAX(IF(D229&lt;=0,0,MAX(0,(B229/D229)*H229/INDEX(Surface_Engine!$B$12:$B$72,$A229+1)-F229/INDEX(Surface_Engine!$B$12:$B$72,$A229+1))),IF(E229&lt;=0,0,MAX(0,(B229/E229)*I229/INDEX(Surface_Engine!$B$12:$B$72,$A229+1)-F229/INDEX(Surface_Engine!$B$12:$B$72,$A229+1))),IF($A229&lt;$Q$195,MAX(0,-Assumptions!$B$22*(F229/INDEX(Surface_Engine!$B$12:$B$72,$A229+1))),0)))+2*Assumptions!$B$27*(IF(C229&lt;=0,0,MAX(0,(B229/C229)*G229/INDEX(Surface_Engine!$B$12:$B$72,$A229+1)-F229/INDEX(Surface_Engine!$B$12:$B$72,$A229+1))))*(MAX(0,J229/INDEX(Surface_Engine!$B$12:$B$72,$A229+1)-(F229/INDEX(Surface_Engine!$B$12:$B$72,$A229+1))))+2*Assumptions!$B$28*(MAX(IF(D229&lt;=0,0,MAX(0,(B229/D229)*H229/INDEX(Surface_Engine!$B$12:$B$72,$A229+1)-F229/INDEX(Surface_Engine!$B$12:$B$72,$A229+1))),IF(E229&lt;=0,0,MAX(0,(B229/E229)*I229/INDEX(Surface_Engine!$B$12:$B$72,$A229+1)-F229/INDEX(Surface_Engine!$B$12:$B$72,$A229+1))),IF($A229&lt;$Q$195,MAX(0,-Assumptions!$B$22*(F229/INDEX(Surface_Engine!$B$12:$B$72,$A229+1))),0)))*(MAX(0,J229/INDEX(Surface_Engine!$B$12:$B$72,$A229+1)-(F229/INDEX(Surface_Engine!$B$12:$B$72,$A229+1)))))</f>
        <v>3807.31225809654</v>
      </c>
      <c r="L229" s="48" t="n">
        <f aca="false">K229*INDEX(Surface_Engine!$B$12:$B$72,$A229+1)+L230</f>
        <v>7256.32066444825</v>
      </c>
      <c r="M229" s="48" t="n">
        <f aca="false">M228+B228*(IF($A228&lt;$Q$195,(Surface_Engine!Q236*12)-(Surface_Engine!Q236*12)*INDEX(Surface_Engine!$F$12:$F$72,$A228+1)-INDEX(Surface_Engine!$D$12:$D$72,$A228+1),-(1000*12*INDEX(Surface_Engine!$C$12:$C$72,$A228+1)/(1+Assumptions!$B$10)^30+INDEX(Surface_Engine!$D$12:$D$72,$A228+1))))*INDEX(Surface_Engine!$B$12:$B$72,$A228+1)</f>
        <v>8778.28680240608</v>
      </c>
      <c r="N229" s="12" t="n">
        <f aca="false">IF(B229&lt;=0,0,MAX(0,(K229+Assumptions!$B$29*L229/INDEX(Surface_Engine!$B$12:$B$72,$A229+1)-(M229/INDEX(Surface_Engine!$B$12:$B$72,$A229+1)-(F229/INDEX(Surface_Engine!$B$12:$B$72,$A229+1))))/B229))</f>
        <v>12269.7820415859</v>
      </c>
    </row>
    <row r="230" customFormat="false" ht="15" hidden="false" customHeight="true" outlineLevel="0" collapsed="false">
      <c r="A230" s="1" t="n">
        <v>33</v>
      </c>
      <c r="B230" s="32" t="n">
        <f aca="false">INDEX(Surface_Engine!$G$12:$G$72,$A230+1)*IF($A230&lt;$Q$195,INDEX(Surface_Engine!$E$12:$E$72,$A230+1),INDEX(Surface_Engine!$E$12:$E$72,$Q$195+1))</f>
        <v>0.268884045134178</v>
      </c>
      <c r="C230" s="32" t="n">
        <f aca="false">INDEX(Panel_Reserving!$B$8:$B$68,$A230+1)*IF($A230&lt;$Q$195,INDEX(Surface_Engine!$E$12:$E$72,$A230+1),INDEX(Surface_Engine!$E$12:$E$72,$Q$195+1))</f>
        <v>0.328878962852815</v>
      </c>
      <c r="D230" s="32" t="n">
        <f aca="false">INDEX(Surface_Engine!$G$12:$G$72,$A230+1)*IF($A230&lt;$Q$195,INDEX(Surface_Engine!$Y$12:$Y$72,$A230+1),INDEX(Surface_Engine!$Y$12:$Y$72,$Q$195+1))</f>
        <v>0.227328277865484</v>
      </c>
      <c r="E230" s="32" t="n">
        <f aca="false">INDEX(Surface_Engine!$G$12:$G$72,$A230+1)*IF($A230&lt;$Q$195,INDEX(Surface_Engine!$Z$12:$Z$72,$A230+1),INDEX(Surface_Engine!$Z$12:$Z$72,$Q$195+1))</f>
        <v>0.317643955605539</v>
      </c>
      <c r="F230" s="48" t="n">
        <f aca="false">B230*(IF($A230&lt;$Q$195,INDEX(Surface_Engine!$D$12:$D$72,$A230+1)+(Surface_Engine!Q236*12)*INDEX(Surface_Engine!$F$12:$F$72,$A230+1)-(Surface_Engine!Q236*12),1000*12*INDEX(Surface_Engine!$C$12:$C$72,$A230+1)/(1+Assumptions!$B$10)^30+INDEX(Surface_Engine!$D$12:$D$72,$A230+1)))*INDEX(Surface_Engine!$B$12:$B$72,$A230+1)+F231</f>
        <v>6903.76127852734</v>
      </c>
      <c r="G230" s="48" t="n">
        <f aca="false">C230*(IF($A230&lt;$Q$195,INDEX(Surface_Engine!$D$12:$D$72,$A230+1)+(Surface_Engine!Q236*12)*INDEX(Surface_Engine!$F$12:$F$72,$A230+1)-(Surface_Engine!Q236*12),1000*12*INDEX(Surface_Engine!$C$12:$C$72,$A230+1)/(1+Assumptions!$B$10)^30+INDEX(Surface_Engine!$D$12:$D$72,$A230+1)))*INDEX(Surface_Engine!$B$12:$B$72,$A230+1)+G231</f>
        <v>9892.52302744468</v>
      </c>
      <c r="H230" s="48" t="n">
        <f aca="false">D230*(IF($A230&lt;$Q$195,INDEX(Surface_Engine!$D$12:$D$72,$A230+1)+(Surface_Engine!Q236*12)*INDEX(Surface_Engine!$F$12:$F$72,$A230+1)-(Surface_Engine!Q236*12),1000*12*INDEX(Surface_Engine!$C$12:$C$72,$A230+1)/(1+Assumptions!$B$10)^30+INDEX(Surface_Engine!$D$12:$D$72,$A230+1)))*INDEX(Surface_Engine!$B$12:$B$72,$A230+1)+H231</f>
        <v>5836.79169754703</v>
      </c>
      <c r="I230" s="48" t="n">
        <f aca="false">E230*(IF($A230&lt;$Q$195,INDEX(Surface_Engine!$D$12:$D$72,$A230+1)+(Surface_Engine!Q236*12)*INDEX(Surface_Engine!$F$12:$F$72,$A230+1)-(Surface_Engine!Q236*12),1000*12*INDEX(Surface_Engine!$C$12:$C$72,$A230+1)/(1+Assumptions!$B$10)^30+INDEX(Surface_Engine!$D$12:$D$72,$A230+1)))*INDEX(Surface_Engine!$B$12:$B$72,$A230+1)+I231</f>
        <v>8155.70161469961</v>
      </c>
      <c r="J230" s="48" t="n">
        <f aca="false">B230*(IF($A230&lt;$Q$195,INDEX(Surface_Engine!$D$12:$D$72,$A230+1)*(1+Assumptions!$B$24)+(Surface_Engine!Q236*12)*INDEX(Surface_Engine!$F$12:$F$72,$A230+1)-(Surface_Engine!Q236*12),1000*12*INDEX(Surface_Engine!$C$12:$C$72,$A230+1)/(1+Assumptions!$B$10)^30+INDEX(Surface_Engine!$D$12:$D$72,$A230+1)*(1+Assumptions!$B$24)))*INDEX(Surface_Engine!$B$12:$B$72,$A230+1)+J231</f>
        <v>6913.84127294099</v>
      </c>
      <c r="K230" s="12" t="n">
        <f aca="false">SQRT((IF(C230&lt;=0,0,MAX(0,(B230/C230)*G230/INDEX(Surface_Engine!$B$12:$B$72,$A230+1)-F230/INDEX(Surface_Engine!$B$12:$B$72,$A230+1))))^2+(MAX(IF(D230&lt;=0,0,MAX(0,(B230/D230)*H230/INDEX(Surface_Engine!$B$12:$B$72,$A230+1)-F230/INDEX(Surface_Engine!$B$12:$B$72,$A230+1))),IF(E230&lt;=0,0,MAX(0,(B230/E230)*I230/INDEX(Surface_Engine!$B$12:$B$72,$A230+1)-F230/INDEX(Surface_Engine!$B$12:$B$72,$A230+1))),IF($A230&lt;$Q$195,MAX(0,-Assumptions!$B$22*(F230/INDEX(Surface_Engine!$B$12:$B$72,$A230+1))),0)))^2+(MAX(0,J230/INDEX(Surface_Engine!$B$12:$B$72,$A230+1)-(F230/INDEX(Surface_Engine!$B$12:$B$72,$A230+1))))^2+2*Assumptions!$B$26*(IF(C230&lt;=0,0,MAX(0,(B230/C230)*G230/INDEX(Surface_Engine!$B$12:$B$72,$A230+1)-F230/INDEX(Surface_Engine!$B$12:$B$72,$A230+1))))*(MAX(IF(D230&lt;=0,0,MAX(0,(B230/D230)*H230/INDEX(Surface_Engine!$B$12:$B$72,$A230+1)-F230/INDEX(Surface_Engine!$B$12:$B$72,$A230+1))),IF(E230&lt;=0,0,MAX(0,(B230/E230)*I230/INDEX(Surface_Engine!$B$12:$B$72,$A230+1)-F230/INDEX(Surface_Engine!$B$12:$B$72,$A230+1))),IF($A230&lt;$Q$195,MAX(0,-Assumptions!$B$22*(F230/INDEX(Surface_Engine!$B$12:$B$72,$A230+1))),0)))+2*Assumptions!$B$27*(IF(C230&lt;=0,0,MAX(0,(B230/C230)*G230/INDEX(Surface_Engine!$B$12:$B$72,$A230+1)-F230/INDEX(Surface_Engine!$B$12:$B$72,$A230+1))))*(MAX(0,J230/INDEX(Surface_Engine!$B$12:$B$72,$A230+1)-(F230/INDEX(Surface_Engine!$B$12:$B$72,$A230+1))))+2*Assumptions!$B$28*(MAX(IF(D230&lt;=0,0,MAX(0,(B230/D230)*H230/INDEX(Surface_Engine!$B$12:$B$72,$A230+1)-F230/INDEX(Surface_Engine!$B$12:$B$72,$A230+1))),IF(E230&lt;=0,0,MAX(0,(B230/E230)*I230/INDEX(Surface_Engine!$B$12:$B$72,$A230+1)-F230/INDEX(Surface_Engine!$B$12:$B$72,$A230+1))),IF($A230&lt;$Q$195,MAX(0,-Assumptions!$B$22*(F230/INDEX(Surface_Engine!$B$12:$B$72,$A230+1))),0)))*(MAX(0,J230/INDEX(Surface_Engine!$B$12:$B$72,$A230+1)-(F230/INDEX(Surface_Engine!$B$12:$B$72,$A230+1)))))</f>
        <v>3343.83203806074</v>
      </c>
      <c r="L230" s="48" t="n">
        <f aca="false">K230*INDEX(Surface_Engine!$B$12:$B$72,$A230+1)+L231</f>
        <v>5861.17697676693</v>
      </c>
      <c r="M230" s="48" t="n">
        <f aca="false">M229+B229*(IF($A229&lt;$Q$195,(Surface_Engine!Q236*12)-(Surface_Engine!Q236*12)*INDEX(Surface_Engine!$F$12:$F$72,$A229+1)-INDEX(Surface_Engine!$D$12:$D$72,$A229+1),-(1000*12*INDEX(Surface_Engine!$C$12:$C$72,$A229+1)/(1+Assumptions!$B$10)^30+INDEX(Surface_Engine!$D$12:$D$72,$A229+1))))*INDEX(Surface_Engine!$B$12:$B$72,$A229+1)</f>
        <v>7369.95073044505</v>
      </c>
      <c r="N230" s="12" t="n">
        <f aca="false">IF(B230&lt;=0,0,MAX(0,(K230+Assumptions!$B$29*L230/INDEX(Surface_Engine!$B$12:$B$72,$A230+1)-(M230/INDEX(Surface_Engine!$B$12:$B$72,$A230+1)-(F230/INDEX(Surface_Engine!$B$12:$B$72,$A230+1))))/B230))</f>
        <v>11235.871932036</v>
      </c>
    </row>
    <row r="231" customFormat="false" ht="15" hidden="false" customHeight="true" outlineLevel="0" collapsed="false">
      <c r="A231" s="1" t="n">
        <v>34</v>
      </c>
      <c r="B231" s="32" t="n">
        <f aca="false">INDEX(Surface_Engine!$G$12:$G$72,$A231+1)*IF($A231&lt;$Q$195,INDEX(Surface_Engine!$E$12:$E$72,$A231+1),INDEX(Surface_Engine!$E$12:$E$72,$Q$195+1))</f>
        <v>0.235172372260005</v>
      </c>
      <c r="C231" s="32" t="n">
        <f aca="false">INDEX(Panel_Reserving!$B$8:$B$68,$A231+1)*IF($A231&lt;$Q$195,INDEX(Surface_Engine!$E$12:$E$72,$A231+1),INDEX(Surface_Engine!$E$12:$E$72,$Q$195+1))</f>
        <v>0.29589207438092</v>
      </c>
      <c r="D231" s="32" t="n">
        <f aca="false">INDEX(Surface_Engine!$G$12:$G$72,$A231+1)*IF($A231&lt;$Q$195,INDEX(Surface_Engine!$Y$12:$Y$72,$A231+1),INDEX(Surface_Engine!$Y$12:$Y$72,$Q$195+1))</f>
        <v>0.198826711197123</v>
      </c>
      <c r="E231" s="32" t="n">
        <f aca="false">INDEX(Surface_Engine!$G$12:$G$72,$A231+1)*IF($A231&lt;$Q$195,INDEX(Surface_Engine!$Z$12:$Z$72,$A231+1),INDEX(Surface_Engine!$Z$12:$Z$72,$Q$195+1))</f>
        <v>0.277818948076778</v>
      </c>
      <c r="F231" s="48" t="n">
        <f aca="false">B231*(IF($A231&lt;$Q$195,INDEX(Surface_Engine!$D$12:$D$72,$A231+1)+(Surface_Engine!Q236*12)*INDEX(Surface_Engine!$F$12:$F$72,$A231+1)-(Surface_Engine!Q236*12),1000*12*INDEX(Surface_Engine!$C$12:$C$72,$A231+1)/(1+Assumptions!$B$10)^30+INDEX(Surface_Engine!$D$12:$D$72,$A231+1)))*INDEX(Surface_Engine!$B$12:$B$72,$A231+1)+F232</f>
        <v>5670.89529311582</v>
      </c>
      <c r="G231" s="48" t="n">
        <f aca="false">C231*(IF($A231&lt;$Q$195,INDEX(Surface_Engine!$D$12:$D$72,$A231+1)+(Surface_Engine!Q236*12)*INDEX(Surface_Engine!$F$12:$F$72,$A231+1)-(Surface_Engine!Q236*12),1000*12*INDEX(Surface_Engine!$C$12:$C$72,$A231+1)/(1+Assumptions!$B$10)^30+INDEX(Surface_Engine!$D$12:$D$72,$A231+1)))*INDEX(Surface_Engine!$B$12:$B$72,$A231+1)+G232</f>
        <v>8384.57306181425</v>
      </c>
      <c r="H231" s="48" t="n">
        <f aca="false">D231*(IF($A231&lt;$Q$195,INDEX(Surface_Engine!$D$12:$D$72,$A231+1)+(Surface_Engine!Q236*12)*INDEX(Surface_Engine!$F$12:$F$72,$A231+1)-(Surface_Engine!Q236*12),1000*12*INDEX(Surface_Engine!$C$12:$C$72,$A231+1)/(1+Assumptions!$B$10)^30+INDEX(Surface_Engine!$D$12:$D$72,$A231+1)))*INDEX(Surface_Engine!$B$12:$B$72,$A231+1)+H232</f>
        <v>4794.46394930641</v>
      </c>
      <c r="I231" s="48" t="n">
        <f aca="false">E231*(IF($A231&lt;$Q$195,INDEX(Surface_Engine!$D$12:$D$72,$A231+1)+(Surface_Engine!Q236*12)*INDEX(Surface_Engine!$F$12:$F$72,$A231+1)-(Surface_Engine!Q236*12),1000*12*INDEX(Surface_Engine!$C$12:$C$72,$A231+1)/(1+Assumptions!$B$10)^30+INDEX(Surface_Engine!$D$12:$D$72,$A231+1)))*INDEX(Surface_Engine!$B$12:$B$72,$A231+1)+I232</f>
        <v>6699.26552105851</v>
      </c>
      <c r="J231" s="48" t="n">
        <f aca="false">B231*(IF($A231&lt;$Q$195,INDEX(Surface_Engine!$D$12:$D$72,$A231+1)*(1+Assumptions!$B$24)+(Surface_Engine!Q236*12)*INDEX(Surface_Engine!$F$12:$F$72,$A231+1)-(Surface_Engine!Q236*12),1000*12*INDEX(Surface_Engine!$C$12:$C$72,$A231+1)/(1+Assumptions!$B$10)^30+INDEX(Surface_Engine!$D$12:$D$72,$A231+1)*(1+Assumptions!$B$24)))*INDEX(Surface_Engine!$B$12:$B$72,$A231+1)+J232</f>
        <v>5679.207768412</v>
      </c>
      <c r="K231" s="12" t="n">
        <f aca="false">SQRT((IF(C231&lt;=0,0,MAX(0,(B231/C231)*G231/INDEX(Surface_Engine!$B$12:$B$72,$A231+1)-F231/INDEX(Surface_Engine!$B$12:$B$72,$A231+1))))^2+(MAX(IF(D231&lt;=0,0,MAX(0,(B231/D231)*H231/INDEX(Surface_Engine!$B$12:$B$72,$A231+1)-F231/INDEX(Surface_Engine!$B$12:$B$72,$A231+1))),IF(E231&lt;=0,0,MAX(0,(B231/E231)*I231/INDEX(Surface_Engine!$B$12:$B$72,$A231+1)-F231/INDEX(Surface_Engine!$B$12:$B$72,$A231+1))),IF($A231&lt;$Q$195,MAX(0,-Assumptions!$B$22*(F231/INDEX(Surface_Engine!$B$12:$B$72,$A231+1))),0)))^2+(MAX(0,J231/INDEX(Surface_Engine!$B$12:$B$72,$A231+1)-(F231/INDEX(Surface_Engine!$B$12:$B$72,$A231+1))))^2+2*Assumptions!$B$26*(IF(C231&lt;=0,0,MAX(0,(B231/C231)*G231/INDEX(Surface_Engine!$B$12:$B$72,$A231+1)-F231/INDEX(Surface_Engine!$B$12:$B$72,$A231+1))))*(MAX(IF(D231&lt;=0,0,MAX(0,(B231/D231)*H231/INDEX(Surface_Engine!$B$12:$B$72,$A231+1)-F231/INDEX(Surface_Engine!$B$12:$B$72,$A231+1))),IF(E231&lt;=0,0,MAX(0,(B231/E231)*I231/INDEX(Surface_Engine!$B$12:$B$72,$A231+1)-F231/INDEX(Surface_Engine!$B$12:$B$72,$A231+1))),IF($A231&lt;$Q$195,MAX(0,-Assumptions!$B$22*(F231/INDEX(Surface_Engine!$B$12:$B$72,$A231+1))),0)))+2*Assumptions!$B$27*(IF(C231&lt;=0,0,MAX(0,(B231/C231)*G231/INDEX(Surface_Engine!$B$12:$B$72,$A231+1)-F231/INDEX(Surface_Engine!$B$12:$B$72,$A231+1))))*(MAX(0,J231/INDEX(Surface_Engine!$B$12:$B$72,$A231+1)-(F231/INDEX(Surface_Engine!$B$12:$B$72,$A231+1))))+2*Assumptions!$B$28*(MAX(IF(D231&lt;=0,0,MAX(0,(B231/D231)*H231/INDEX(Surface_Engine!$B$12:$B$72,$A231+1)-F231/INDEX(Surface_Engine!$B$12:$B$72,$A231+1))),IF(E231&lt;=0,0,MAX(0,(B231/E231)*I231/INDEX(Surface_Engine!$B$12:$B$72,$A231+1)-F231/INDEX(Surface_Engine!$B$12:$B$72,$A231+1))),IF($A231&lt;$Q$195,MAX(0,-Assumptions!$B$22*(F231/INDEX(Surface_Engine!$B$12:$B$72,$A231+1))),0)))*(MAX(0,J231/INDEX(Surface_Engine!$B$12:$B$72,$A231+1)-(F231/INDEX(Surface_Engine!$B$12:$B$72,$A231+1)))))</f>
        <v>2895.55518291849</v>
      </c>
      <c r="L231" s="48" t="n">
        <f aca="false">K231*INDEX(Surface_Engine!$B$12:$B$72,$A231+1)+L232</f>
        <v>4674.47372900846</v>
      </c>
      <c r="M231" s="48" t="n">
        <f aca="false">M230+B230*(IF($A230&lt;$Q$195,(Surface_Engine!Q236*12)-(Surface_Engine!Q236*12)*INDEX(Surface_Engine!$F$12:$F$72,$A230+1)-INDEX(Surface_Engine!$D$12:$D$72,$A230+1),-(1000*12*INDEX(Surface_Engine!$C$12:$C$72,$A230+1)/(1+Assumptions!$B$10)^30+INDEX(Surface_Engine!$D$12:$D$72,$A230+1))))*INDEX(Surface_Engine!$B$12:$B$72,$A230+1)</f>
        <v>6137.08474503353</v>
      </c>
      <c r="N231" s="12" t="n">
        <f aca="false">IF(B231&lt;=0,0,MAX(0,(K231+Assumptions!$B$29*L231/INDEX(Surface_Engine!$B$12:$B$72,$A231+1)-(M231/INDEX(Surface_Engine!$B$12:$B$72,$A231+1)-(F231/INDEX(Surface_Engine!$B$12:$B$72,$A231+1))))/B231))</f>
        <v>10014.7623789316</v>
      </c>
    </row>
    <row r="232" customFormat="false" ht="15" hidden="false" customHeight="true" outlineLevel="0" collapsed="false">
      <c r="A232" s="1" t="n">
        <v>35</v>
      </c>
      <c r="B232" s="32" t="n">
        <f aca="false">INDEX(Surface_Engine!$G$12:$G$72,$A232+1)*IF($A232&lt;$Q$195,INDEX(Surface_Engine!$E$12:$E$72,$A232+1),INDEX(Surface_Engine!$E$12:$E$72,$Q$195+1))</f>
        <v>0.203140050945505</v>
      </c>
      <c r="C232" s="32" t="n">
        <f aca="false">INDEX(Panel_Reserving!$B$8:$B$68,$A232+1)*IF($A232&lt;$Q$195,INDEX(Surface_Engine!$E$12:$E$72,$A232+1),INDEX(Surface_Engine!$E$12:$E$72,$Q$195+1))</f>
        <v>0.263649817656973</v>
      </c>
      <c r="D232" s="32" t="n">
        <f aca="false">INDEX(Surface_Engine!$G$12:$G$72,$A232+1)*IF($A232&lt;$Q$195,INDEX(Surface_Engine!$Y$12:$Y$72,$A232+1),INDEX(Surface_Engine!$Y$12:$Y$72,$Q$195+1))</f>
        <v>0.171744953940662</v>
      </c>
      <c r="E232" s="32" t="n">
        <f aca="false">INDEX(Surface_Engine!$G$12:$G$72,$A232+1)*IF($A232&lt;$Q$195,INDEX(Surface_Engine!$Z$12:$Z$72,$A232+1),INDEX(Surface_Engine!$Z$12:$Z$72,$Q$195+1))</f>
        <v>0.239977828703229</v>
      </c>
      <c r="F232" s="48" t="n">
        <f aca="false">B232*(IF($A232&lt;$Q$195,INDEX(Surface_Engine!$D$12:$D$72,$A232+1)+(Surface_Engine!Q236*12)*INDEX(Surface_Engine!$F$12:$F$72,$A232+1)-(Surface_Engine!Q236*12),1000*12*INDEX(Surface_Engine!$C$12:$C$72,$A232+1)/(1+Assumptions!$B$10)^30+INDEX(Surface_Engine!$D$12:$D$72,$A232+1)))*INDEX(Surface_Engine!$B$12:$B$72,$A232+1)+F233</f>
        <v>4605.6534066892</v>
      </c>
      <c r="G232" s="48" t="n">
        <f aca="false">C232*(IF($A232&lt;$Q$195,INDEX(Surface_Engine!$D$12:$D$72,$A232+1)+(Surface_Engine!Q236*12)*INDEX(Surface_Engine!$F$12:$F$72,$A232+1)-(Surface_Engine!Q236*12),1000*12*INDEX(Surface_Engine!$C$12:$C$72,$A232+1)/(1+Assumptions!$B$10)^30+INDEX(Surface_Engine!$D$12:$D$72,$A232+1)))*INDEX(Surface_Engine!$B$12:$B$72,$A232+1)+G233</f>
        <v>7044.2938935464</v>
      </c>
      <c r="H232" s="48" t="n">
        <f aca="false">D232*(IF($A232&lt;$Q$195,INDEX(Surface_Engine!$D$12:$D$72,$A232+1)+(Surface_Engine!Q236*12)*INDEX(Surface_Engine!$F$12:$F$72,$A232+1)-(Surface_Engine!Q236*12),1000*12*INDEX(Surface_Engine!$C$12:$C$72,$A232+1)/(1+Assumptions!$B$10)^30+INDEX(Surface_Engine!$D$12:$D$72,$A232+1)))*INDEX(Surface_Engine!$B$12:$B$72,$A232+1)+H233</f>
        <v>3893.85415882703</v>
      </c>
      <c r="I232" s="48" t="n">
        <f aca="false">E232*(IF($A232&lt;$Q$195,INDEX(Surface_Engine!$D$12:$D$72,$A232+1)+(Surface_Engine!Q236*12)*INDEX(Surface_Engine!$F$12:$F$72,$A232+1)-(Surface_Engine!Q236*12),1000*12*INDEX(Surface_Engine!$C$12:$C$72,$A232+1)/(1+Assumptions!$B$10)^30+INDEX(Surface_Engine!$D$12:$D$72,$A232+1)))*INDEX(Surface_Engine!$B$12:$B$72,$A232+1)+I233</f>
        <v>5440.85077833027</v>
      </c>
      <c r="J232" s="48" t="n">
        <f aca="false">B232*(IF($A232&lt;$Q$195,INDEX(Surface_Engine!$D$12:$D$72,$A232+1)*(1+Assumptions!$B$24)+(Surface_Engine!Q236*12)*INDEX(Surface_Engine!$F$12:$F$72,$A232+1)-(Surface_Engine!Q236*12),1000*12*INDEX(Surface_Engine!$C$12:$C$72,$A232+1)/(1+Assumptions!$B$10)^30+INDEX(Surface_Engine!$D$12:$D$72,$A232+1)*(1+Assumptions!$B$24)))*INDEX(Surface_Engine!$B$12:$B$72,$A232+1)+J233</f>
        <v>4612.43130154772</v>
      </c>
      <c r="K232" s="12" t="n">
        <f aca="false">SQRT((IF(C232&lt;=0,0,MAX(0,(B232/C232)*G232/INDEX(Surface_Engine!$B$12:$B$72,$A232+1)-F232/INDEX(Surface_Engine!$B$12:$B$72,$A232+1))))^2+(MAX(IF(D232&lt;=0,0,MAX(0,(B232/D232)*H232/INDEX(Surface_Engine!$B$12:$B$72,$A232+1)-F232/INDEX(Surface_Engine!$B$12:$B$72,$A232+1))),IF(E232&lt;=0,0,MAX(0,(B232/E232)*I232/INDEX(Surface_Engine!$B$12:$B$72,$A232+1)-F232/INDEX(Surface_Engine!$B$12:$B$72,$A232+1))),IF($A232&lt;$Q$195,MAX(0,-Assumptions!$B$22*(F232/INDEX(Surface_Engine!$B$12:$B$72,$A232+1))),0)))^2+(MAX(0,J232/INDEX(Surface_Engine!$B$12:$B$72,$A232+1)-(F232/INDEX(Surface_Engine!$B$12:$B$72,$A232+1))))^2+2*Assumptions!$B$26*(IF(C232&lt;=0,0,MAX(0,(B232/C232)*G232/INDEX(Surface_Engine!$B$12:$B$72,$A232+1)-F232/INDEX(Surface_Engine!$B$12:$B$72,$A232+1))))*(MAX(IF(D232&lt;=0,0,MAX(0,(B232/D232)*H232/INDEX(Surface_Engine!$B$12:$B$72,$A232+1)-F232/INDEX(Surface_Engine!$B$12:$B$72,$A232+1))),IF(E232&lt;=0,0,MAX(0,(B232/E232)*I232/INDEX(Surface_Engine!$B$12:$B$72,$A232+1)-F232/INDEX(Surface_Engine!$B$12:$B$72,$A232+1))),IF($A232&lt;$Q$195,MAX(0,-Assumptions!$B$22*(F232/INDEX(Surface_Engine!$B$12:$B$72,$A232+1))),0)))+2*Assumptions!$B$27*(IF(C232&lt;=0,0,MAX(0,(B232/C232)*G232/INDEX(Surface_Engine!$B$12:$B$72,$A232+1)-F232/INDEX(Surface_Engine!$B$12:$B$72,$A232+1))))*(MAX(0,J232/INDEX(Surface_Engine!$B$12:$B$72,$A232+1)-(F232/INDEX(Surface_Engine!$B$12:$B$72,$A232+1))))+2*Assumptions!$B$28*(MAX(IF(D232&lt;=0,0,MAX(0,(B232/D232)*H232/INDEX(Surface_Engine!$B$12:$B$72,$A232+1)-F232/INDEX(Surface_Engine!$B$12:$B$72,$A232+1))),IF(E232&lt;=0,0,MAX(0,(B232/E232)*I232/INDEX(Surface_Engine!$B$12:$B$72,$A232+1)-F232/INDEX(Surface_Engine!$B$12:$B$72,$A232+1))),IF($A232&lt;$Q$195,MAX(0,-Assumptions!$B$22*(F232/INDEX(Surface_Engine!$B$12:$B$72,$A232+1))),0)))*(MAX(0,J232/INDEX(Surface_Engine!$B$12:$B$72,$A232+1)-(F232/INDEX(Surface_Engine!$B$12:$B$72,$A232+1)))))</f>
        <v>2474.5433199633</v>
      </c>
      <c r="L232" s="48" t="n">
        <f aca="false">K232*INDEX(Surface_Engine!$B$12:$B$72,$A232+1)+L233</f>
        <v>3679.27473592568</v>
      </c>
      <c r="M232" s="48" t="n">
        <f aca="false">M231+B231*(IF($A231&lt;$Q$195,(Surface_Engine!Q236*12)-(Surface_Engine!Q236*12)*INDEX(Surface_Engine!$F$12:$F$72,$A231+1)-INDEX(Surface_Engine!$D$12:$D$72,$A231+1),-(1000*12*INDEX(Surface_Engine!$C$12:$C$72,$A231+1)/(1+Assumptions!$B$10)^30+INDEX(Surface_Engine!$D$12:$D$72,$A231+1))))*INDEX(Surface_Engine!$B$12:$B$72,$A231+1)</f>
        <v>5071.84285860691</v>
      </c>
      <c r="N232" s="12" t="n">
        <f aca="false">IF(B232&lt;=0,0,MAX(0,(K232+Assumptions!$B$29*L232/INDEX(Surface_Engine!$B$12:$B$72,$A232+1)-(M232/INDEX(Surface_Engine!$B$12:$B$72,$A232+1)-(F232/INDEX(Surface_Engine!$B$12:$B$72,$A232+1))))/B232))</f>
        <v>8551.55595653806</v>
      </c>
    </row>
    <row r="233" customFormat="false" ht="15" hidden="false" customHeight="true" outlineLevel="0" collapsed="false">
      <c r="A233" s="1" t="n">
        <v>36</v>
      </c>
      <c r="B233" s="32" t="n">
        <f aca="false">INDEX(Surface_Engine!$G$12:$G$72,$A233+1)*IF($A233&lt;$Q$195,INDEX(Surface_Engine!$E$12:$E$72,$A233+1),INDEX(Surface_Engine!$E$12:$E$72,$Q$195+1))</f>
        <v>0.172461988337192</v>
      </c>
      <c r="C233" s="32" t="n">
        <f aca="false">INDEX(Panel_Reserving!$B$8:$B$68,$A233+1)*IF($A233&lt;$Q$195,INDEX(Surface_Engine!$E$12:$E$72,$A233+1),INDEX(Surface_Engine!$E$12:$E$72,$Q$195+1))</f>
        <v>0.231796854836083</v>
      </c>
      <c r="D233" s="32" t="n">
        <f aca="false">INDEX(Surface_Engine!$G$12:$G$72,$A233+1)*IF($A233&lt;$Q$195,INDEX(Surface_Engine!$Y$12:$Y$72,$A233+1),INDEX(Surface_Engine!$Y$12:$Y$72,$Q$195+1))</f>
        <v>0.145808156026464</v>
      </c>
      <c r="E233" s="32" t="n">
        <f aca="false">INDEX(Surface_Engine!$G$12:$G$72,$A233+1)*IF($A233&lt;$Q$195,INDEX(Surface_Engine!$Z$12:$Z$72,$A233+1),INDEX(Surface_Engine!$Z$12:$Z$72,$Q$195+1))</f>
        <v>0.203736551715759</v>
      </c>
      <c r="F233" s="48" t="n">
        <f aca="false">B233*(IF($A233&lt;$Q$195,INDEX(Surface_Engine!$D$12:$D$72,$A233+1)+(Surface_Engine!Q236*12)*INDEX(Surface_Engine!$F$12:$F$72,$A233+1)-(Surface_Engine!Q236*12),1000*12*INDEX(Surface_Engine!$C$12:$C$72,$A233+1)/(1+Assumptions!$B$10)^30+INDEX(Surface_Engine!$D$12:$D$72,$A233+1)))*INDEX(Surface_Engine!$B$12:$B$72,$A233+1)+F234</f>
        <v>3696.67847142408</v>
      </c>
      <c r="G233" s="48" t="n">
        <f aca="false">C233*(IF($A233&lt;$Q$195,INDEX(Surface_Engine!$D$12:$D$72,$A233+1)+(Surface_Engine!Q236*12)*INDEX(Surface_Engine!$F$12:$F$72,$A233+1)-(Surface_Engine!Q236*12),1000*12*INDEX(Surface_Engine!$C$12:$C$72,$A233+1)/(1+Assumptions!$B$10)^30+INDEX(Surface_Engine!$D$12:$D$72,$A233+1)))*INDEX(Surface_Engine!$B$12:$B$72,$A233+1)+G234</f>
        <v>5864.56062666002</v>
      </c>
      <c r="H233" s="48" t="n">
        <f aca="false">D233*(IF($A233&lt;$Q$195,INDEX(Surface_Engine!$D$12:$D$72,$A233+1)+(Surface_Engine!Q236*12)*INDEX(Surface_Engine!$F$12:$F$72,$A233+1)-(Surface_Engine!Q236*12),1000*12*INDEX(Surface_Engine!$C$12:$C$72,$A233+1)/(1+Assumptions!$B$10)^30+INDEX(Surface_Engine!$D$12:$D$72,$A233+1)))*INDEX(Surface_Engine!$B$12:$B$72,$A233+1)+H234</f>
        <v>3125.36041441912</v>
      </c>
      <c r="I233" s="48" t="n">
        <f aca="false">E233*(IF($A233&lt;$Q$195,INDEX(Surface_Engine!$D$12:$D$72,$A233+1)+(Surface_Engine!Q236*12)*INDEX(Surface_Engine!$F$12:$F$72,$A233+1)-(Surface_Engine!Q236*12),1000*12*INDEX(Surface_Engine!$C$12:$C$72,$A233+1)/(1+Assumptions!$B$10)^30+INDEX(Surface_Engine!$D$12:$D$72,$A233+1)))*INDEX(Surface_Engine!$B$12:$B$72,$A233+1)+I234</f>
        <v>4367.04071332689</v>
      </c>
      <c r="J233" s="48" t="n">
        <f aca="false">B233*(IF($A233&lt;$Q$195,INDEX(Surface_Engine!$D$12:$D$72,$A233+1)*(1+Assumptions!$B$24)+(Surface_Engine!Q236*12)*INDEX(Surface_Engine!$F$12:$F$72,$A233+1)-(Surface_Engine!Q236*12),1000*12*INDEX(Surface_Engine!$C$12:$C$72,$A233+1)/(1+Assumptions!$B$10)^30+INDEX(Surface_Engine!$D$12:$D$72,$A233+1)*(1+Assumptions!$B$24)))*INDEX(Surface_Engine!$B$12:$B$72,$A233+1)+J234</f>
        <v>3702.14057696418</v>
      </c>
      <c r="K233" s="12" t="n">
        <f aca="false">SQRT((IF(C233&lt;=0,0,MAX(0,(B233/C233)*G233/INDEX(Surface_Engine!$B$12:$B$72,$A233+1)-F233/INDEX(Surface_Engine!$B$12:$B$72,$A233+1))))^2+(MAX(IF(D233&lt;=0,0,MAX(0,(B233/D233)*H233/INDEX(Surface_Engine!$B$12:$B$72,$A233+1)-F233/INDEX(Surface_Engine!$B$12:$B$72,$A233+1))),IF(E233&lt;=0,0,MAX(0,(B233/E233)*I233/INDEX(Surface_Engine!$B$12:$B$72,$A233+1)-F233/INDEX(Surface_Engine!$B$12:$B$72,$A233+1))),IF($A233&lt;$Q$195,MAX(0,-Assumptions!$B$22*(F233/INDEX(Surface_Engine!$B$12:$B$72,$A233+1))),0)))^2+(MAX(0,J233/INDEX(Surface_Engine!$B$12:$B$72,$A233+1)-(F233/INDEX(Surface_Engine!$B$12:$B$72,$A233+1))))^2+2*Assumptions!$B$26*(IF(C233&lt;=0,0,MAX(0,(B233/C233)*G233/INDEX(Surface_Engine!$B$12:$B$72,$A233+1)-F233/INDEX(Surface_Engine!$B$12:$B$72,$A233+1))))*(MAX(IF(D233&lt;=0,0,MAX(0,(B233/D233)*H233/INDEX(Surface_Engine!$B$12:$B$72,$A233+1)-F233/INDEX(Surface_Engine!$B$12:$B$72,$A233+1))),IF(E233&lt;=0,0,MAX(0,(B233/E233)*I233/INDEX(Surface_Engine!$B$12:$B$72,$A233+1)-F233/INDEX(Surface_Engine!$B$12:$B$72,$A233+1))),IF($A233&lt;$Q$195,MAX(0,-Assumptions!$B$22*(F233/INDEX(Surface_Engine!$B$12:$B$72,$A233+1))),0)))+2*Assumptions!$B$27*(IF(C233&lt;=0,0,MAX(0,(B233/C233)*G233/INDEX(Surface_Engine!$B$12:$B$72,$A233+1)-F233/INDEX(Surface_Engine!$B$12:$B$72,$A233+1))))*(MAX(0,J233/INDEX(Surface_Engine!$B$12:$B$72,$A233+1)-(F233/INDEX(Surface_Engine!$B$12:$B$72,$A233+1))))+2*Assumptions!$B$28*(MAX(IF(D233&lt;=0,0,MAX(0,(B233/D233)*H233/INDEX(Surface_Engine!$B$12:$B$72,$A233+1)-F233/INDEX(Surface_Engine!$B$12:$B$72,$A233+1))),IF(E233&lt;=0,0,MAX(0,(B233/E233)*I233/INDEX(Surface_Engine!$B$12:$B$72,$A233+1)-F233/INDEX(Surface_Engine!$B$12:$B$72,$A233+1))),IF($A233&lt;$Q$195,MAX(0,-Assumptions!$B$22*(F233/INDEX(Surface_Engine!$B$12:$B$72,$A233+1))),0)))*(MAX(0,J233/INDEX(Surface_Engine!$B$12:$B$72,$A233+1)-(F233/INDEX(Surface_Engine!$B$12:$B$72,$A233+1)))))</f>
        <v>2071.96591294401</v>
      </c>
      <c r="L233" s="48" t="n">
        <f aca="false">K233*INDEX(Surface_Engine!$B$12:$B$72,$A233+1)+L234</f>
        <v>2855.63608340049</v>
      </c>
      <c r="M233" s="48" t="n">
        <f aca="false">M232+B232*(IF($A232&lt;$Q$195,(Surface_Engine!Q236*12)-(Surface_Engine!Q236*12)*INDEX(Surface_Engine!$F$12:$F$72,$A232+1)-INDEX(Surface_Engine!$D$12:$D$72,$A232+1),-(1000*12*INDEX(Surface_Engine!$C$12:$C$72,$A232+1)/(1+Assumptions!$B$10)^30+INDEX(Surface_Engine!$D$12:$D$72,$A232+1))))*INDEX(Surface_Engine!$B$12:$B$72,$A232+1)</f>
        <v>4162.86792334179</v>
      </c>
      <c r="N233" s="12" t="n">
        <f aca="false">IF(B233&lt;=0,0,MAX(0,(K233+Assumptions!$B$29*L233/INDEX(Surface_Engine!$B$12:$B$72,$A233+1)-(M233/INDEX(Surface_Engine!$B$12:$B$72,$A233+1)-(F233/INDEX(Surface_Engine!$B$12:$B$72,$A233+1))))/B233))</f>
        <v>6711.67768227858</v>
      </c>
    </row>
    <row r="234" customFormat="false" ht="15" hidden="false" customHeight="true" outlineLevel="0" collapsed="false">
      <c r="A234" s="1" t="n">
        <v>37</v>
      </c>
      <c r="B234" s="32" t="n">
        <f aca="false">INDEX(Surface_Engine!$G$12:$G$72,$A234+1)*IF($A234&lt;$Q$195,INDEX(Surface_Engine!$E$12:$E$72,$A234+1),INDEX(Surface_Engine!$E$12:$E$72,$Q$195+1))</f>
        <v>0.144655223022405</v>
      </c>
      <c r="C234" s="32" t="n">
        <f aca="false">INDEX(Panel_Reserving!$B$8:$B$68,$A234+1)*IF($A234&lt;$Q$195,INDEX(Surface_Engine!$E$12:$E$72,$A234+1),INDEX(Surface_Engine!$E$12:$E$72,$Q$195+1))</f>
        <v>0.201897996286311</v>
      </c>
      <c r="D234" s="32" t="n">
        <f aca="false">INDEX(Surface_Engine!$G$12:$G$72,$A234+1)*IF($A234&lt;$Q$195,INDEX(Surface_Engine!$Y$12:$Y$72,$A234+1),INDEX(Surface_Engine!$Y$12:$Y$72,$Q$195+1))</f>
        <v>0.122298899205868</v>
      </c>
      <c r="E234" s="32" t="n">
        <f aca="false">INDEX(Surface_Engine!$G$12:$G$72,$A234+1)*IF($A234&lt;$Q$195,INDEX(Surface_Engine!$Z$12:$Z$72,$A234+1),INDEX(Surface_Engine!$Z$12:$Z$72,$Q$195+1))</f>
        <v>0.170887258174463</v>
      </c>
      <c r="F234" s="48" t="n">
        <f aca="false">B234*(IF($A234&lt;$Q$195,INDEX(Surface_Engine!$D$12:$D$72,$A234+1)+(Surface_Engine!Q236*12)*INDEX(Surface_Engine!$F$12:$F$72,$A234+1)-(Surface_Engine!Q236*12),1000*12*INDEX(Surface_Engine!$C$12:$C$72,$A234+1)/(1+Assumptions!$B$10)^30+INDEX(Surface_Engine!$D$12:$D$72,$A234+1)))*INDEX(Surface_Engine!$B$12:$B$72,$A234+1)+F235</f>
        <v>2934.10976132644</v>
      </c>
      <c r="G234" s="48" t="n">
        <f aca="false">C234*(IF($A234&lt;$Q$195,INDEX(Surface_Engine!$D$12:$D$72,$A234+1)+(Surface_Engine!Q236*12)*INDEX(Surface_Engine!$F$12:$F$72,$A234+1)-(Surface_Engine!Q236*12),1000*12*INDEX(Surface_Engine!$C$12:$C$72,$A234+1)/(1+Assumptions!$B$10)^30+INDEX(Surface_Engine!$D$12:$D$72,$A234+1)))*INDEX(Surface_Engine!$B$12:$B$72,$A234+1)+G235</f>
        <v>4839.63316118604</v>
      </c>
      <c r="H234" s="48" t="n">
        <f aca="false">D234*(IF($A234&lt;$Q$195,INDEX(Surface_Engine!$D$12:$D$72,$A234+1)+(Surface_Engine!Q236*12)*INDEX(Surface_Engine!$F$12:$F$72,$A234+1)-(Surface_Engine!Q236*12),1000*12*INDEX(Surface_Engine!$C$12:$C$72,$A234+1)/(1+Assumptions!$B$10)^30+INDEX(Surface_Engine!$D$12:$D$72,$A234+1)))*INDEX(Surface_Engine!$B$12:$B$72,$A234+1)+H235</f>
        <v>2480.6459556862</v>
      </c>
      <c r="I234" s="48" t="n">
        <f aca="false">E234*(IF($A234&lt;$Q$195,INDEX(Surface_Engine!$D$12:$D$72,$A234+1)+(Surface_Engine!Q236*12)*INDEX(Surface_Engine!$F$12:$F$72,$A234+1)-(Surface_Engine!Q236*12),1000*12*INDEX(Surface_Engine!$C$12:$C$72,$A234+1)/(1+Assumptions!$B$10)^30+INDEX(Surface_Engine!$D$12:$D$72,$A234+1)))*INDEX(Surface_Engine!$B$12:$B$72,$A234+1)+I235</f>
        <v>3466.18643848306</v>
      </c>
      <c r="J234" s="48" t="n">
        <f aca="false">B234*(IF($A234&lt;$Q$195,INDEX(Surface_Engine!$D$12:$D$72,$A234+1)*(1+Assumptions!$B$24)+(Surface_Engine!Q236*12)*INDEX(Surface_Engine!$F$12:$F$72,$A234+1)-(Surface_Engine!Q236*12),1000*12*INDEX(Surface_Engine!$C$12:$C$72,$A234+1)/(1+Assumptions!$B$10)^30+INDEX(Surface_Engine!$D$12:$D$72,$A234+1)*(1+Assumptions!$B$24)))*INDEX(Surface_Engine!$B$12:$B$72,$A234+1)+J235</f>
        <v>2938.46267594146</v>
      </c>
      <c r="K234" s="12" t="n">
        <f aca="false">SQRT((IF(C234&lt;=0,0,MAX(0,(B234/C234)*G234/INDEX(Surface_Engine!$B$12:$B$72,$A234+1)-F234/INDEX(Surface_Engine!$B$12:$B$72,$A234+1))))^2+(MAX(IF(D234&lt;=0,0,MAX(0,(B234/D234)*H234/INDEX(Surface_Engine!$B$12:$B$72,$A234+1)-F234/INDEX(Surface_Engine!$B$12:$B$72,$A234+1))),IF(E234&lt;=0,0,MAX(0,(B234/E234)*I234/INDEX(Surface_Engine!$B$12:$B$72,$A234+1)-F234/INDEX(Surface_Engine!$B$12:$B$72,$A234+1))),IF($A234&lt;$Q$195,MAX(0,-Assumptions!$B$22*(F234/INDEX(Surface_Engine!$B$12:$B$72,$A234+1))),0)))^2+(MAX(0,J234/INDEX(Surface_Engine!$B$12:$B$72,$A234+1)-(F234/INDEX(Surface_Engine!$B$12:$B$72,$A234+1))))^2+2*Assumptions!$B$26*(IF(C234&lt;=0,0,MAX(0,(B234/C234)*G234/INDEX(Surface_Engine!$B$12:$B$72,$A234+1)-F234/INDEX(Surface_Engine!$B$12:$B$72,$A234+1))))*(MAX(IF(D234&lt;=0,0,MAX(0,(B234/D234)*H234/INDEX(Surface_Engine!$B$12:$B$72,$A234+1)-F234/INDEX(Surface_Engine!$B$12:$B$72,$A234+1))),IF(E234&lt;=0,0,MAX(0,(B234/E234)*I234/INDEX(Surface_Engine!$B$12:$B$72,$A234+1)-F234/INDEX(Surface_Engine!$B$12:$B$72,$A234+1))),IF($A234&lt;$Q$195,MAX(0,-Assumptions!$B$22*(F234/INDEX(Surface_Engine!$B$12:$B$72,$A234+1))),0)))+2*Assumptions!$B$27*(IF(C234&lt;=0,0,MAX(0,(B234/C234)*G234/INDEX(Surface_Engine!$B$12:$B$72,$A234+1)-F234/INDEX(Surface_Engine!$B$12:$B$72,$A234+1))))*(MAX(0,J234/INDEX(Surface_Engine!$B$12:$B$72,$A234+1)-(F234/INDEX(Surface_Engine!$B$12:$B$72,$A234+1))))+2*Assumptions!$B$28*(MAX(IF(D234&lt;=0,0,MAX(0,(B234/D234)*H234/INDEX(Surface_Engine!$B$12:$B$72,$A234+1)-F234/INDEX(Surface_Engine!$B$12:$B$72,$A234+1))),IF(E234&lt;=0,0,MAX(0,(B234/E234)*I234/INDEX(Surface_Engine!$B$12:$B$72,$A234+1)-F234/INDEX(Surface_Engine!$B$12:$B$72,$A234+1))),IF($A234&lt;$Q$195,MAX(0,-Assumptions!$B$22*(F234/INDEX(Surface_Engine!$B$12:$B$72,$A234+1))),0)))*(MAX(0,J234/INDEX(Surface_Engine!$B$12:$B$72,$A234+1)-(F234/INDEX(Surface_Engine!$B$12:$B$72,$A234+1)))))</f>
        <v>1711.81667018024</v>
      </c>
      <c r="L234" s="48" t="n">
        <f aca="false">K234*INDEX(Surface_Engine!$B$12:$B$72,$A234+1)+L235</f>
        <v>2187.56523931954</v>
      </c>
      <c r="M234" s="48" t="n">
        <f aca="false">M233+B233*(IF($A233&lt;$Q$195,(Surface_Engine!Q236*12)-(Surface_Engine!Q236*12)*INDEX(Surface_Engine!$F$12:$F$72,$A233+1)-INDEX(Surface_Engine!$D$12:$D$72,$A233+1),-(1000*12*INDEX(Surface_Engine!$C$12:$C$72,$A233+1)/(1+Assumptions!$B$10)^30+INDEX(Surface_Engine!$D$12:$D$72,$A233+1))))*INDEX(Surface_Engine!$B$12:$B$72,$A233+1)</f>
        <v>3400.29921324416</v>
      </c>
      <c r="N234" s="12" t="n">
        <f aca="false">IF(B234&lt;=0,0,MAX(0,(K234+Assumptions!$B$29*L234/INDEX(Surface_Engine!$B$12:$B$72,$A234+1)-(M234/INDEX(Surface_Engine!$B$12:$B$72,$A234+1)-(F234/INDEX(Surface_Engine!$B$12:$B$72,$A234+1))))/B234))</f>
        <v>4418.05449854376</v>
      </c>
    </row>
    <row r="235" customFormat="false" ht="15" hidden="false" customHeight="true" outlineLevel="0" collapsed="false">
      <c r="A235" s="1" t="n">
        <v>38</v>
      </c>
      <c r="B235" s="32" t="n">
        <f aca="false">INDEX(Surface_Engine!$G$12:$G$72,$A235+1)*IF($A235&lt;$Q$195,INDEX(Surface_Engine!$E$12:$E$72,$A235+1),INDEX(Surface_Engine!$E$12:$E$72,$Q$195+1))</f>
        <v>0.119882885211346</v>
      </c>
      <c r="C235" s="32" t="n">
        <f aca="false">INDEX(Panel_Reserving!$B$8:$B$68,$A235+1)*IF($A235&lt;$Q$195,INDEX(Surface_Engine!$E$12:$E$72,$A235+1),INDEX(Surface_Engine!$E$12:$E$72,$Q$195+1))</f>
        <v>0.17423782467063</v>
      </c>
      <c r="D235" s="32" t="n">
        <f aca="false">INDEX(Surface_Engine!$G$12:$G$72,$A235+1)*IF($A235&lt;$Q$195,INDEX(Surface_Engine!$Y$12:$Y$72,$A235+1),INDEX(Surface_Engine!$Y$12:$Y$72,$Q$195+1))</f>
        <v>0.101355102073986</v>
      </c>
      <c r="E235" s="32" t="n">
        <f aca="false">INDEX(Surface_Engine!$G$12:$G$72,$A235+1)*IF($A235&lt;$Q$195,INDEX(Surface_Engine!$Z$12:$Z$72,$A235+1),INDEX(Surface_Engine!$Z$12:$Z$72,$Q$195+1))</f>
        <v>0.141622660611693</v>
      </c>
      <c r="F235" s="48" t="n">
        <f aca="false">B235*(IF($A235&lt;$Q$195,INDEX(Surface_Engine!$D$12:$D$72,$A235+1)+(Surface_Engine!Q236*12)*INDEX(Surface_Engine!$F$12:$F$72,$A235+1)-(Surface_Engine!Q236*12),1000*12*INDEX(Surface_Engine!$C$12:$C$72,$A235+1)/(1+Assumptions!$B$10)^30+INDEX(Surface_Engine!$D$12:$D$72,$A235+1)))*INDEX(Surface_Engine!$B$12:$B$72,$A235+1)+F236</f>
        <v>2302.30197568817</v>
      </c>
      <c r="G235" s="48" t="n">
        <f aca="false">C235*(IF($A235&lt;$Q$195,INDEX(Surface_Engine!$D$12:$D$72,$A235+1)+(Surface_Engine!Q236*12)*INDEX(Surface_Engine!$F$12:$F$72,$A235+1)-(Surface_Engine!Q236*12),1000*12*INDEX(Surface_Engine!$C$12:$C$72,$A235+1)/(1+Assumptions!$B$10)^30+INDEX(Surface_Engine!$D$12:$D$72,$A235+1)))*INDEX(Surface_Engine!$B$12:$B$72,$A235+1)+G236</f>
        <v>3957.80723542116</v>
      </c>
      <c r="H235" s="48" t="n">
        <f aca="false">D235*(IF($A235&lt;$Q$195,INDEX(Surface_Engine!$D$12:$D$72,$A235+1)+(Surface_Engine!Q236*12)*INDEX(Surface_Engine!$F$12:$F$72,$A235+1)-(Surface_Engine!Q236*12),1000*12*INDEX(Surface_Engine!$C$12:$C$72,$A235+1)/(1+Assumptions!$B$10)^30+INDEX(Surface_Engine!$D$12:$D$72,$A235+1)))*INDEX(Surface_Engine!$B$12:$B$72,$A235+1)+H236</f>
        <v>1946.48344790528</v>
      </c>
      <c r="I235" s="48" t="n">
        <f aca="false">E235*(IF($A235&lt;$Q$195,INDEX(Surface_Engine!$D$12:$D$72,$A235+1)+(Surface_Engine!Q236*12)*INDEX(Surface_Engine!$F$12:$F$72,$A235+1)-(Surface_Engine!Q236*12),1000*12*INDEX(Surface_Engine!$C$12:$C$72,$A235+1)/(1+Assumptions!$B$10)^30+INDEX(Surface_Engine!$D$12:$D$72,$A235+1)))*INDEX(Surface_Engine!$B$12:$B$72,$A235+1)+I236</f>
        <v>2719.80550646321</v>
      </c>
      <c r="J235" s="48" t="n">
        <f aca="false">B235*(IF($A235&lt;$Q$195,INDEX(Surface_Engine!$D$12:$D$72,$A235+1)*(1+Assumptions!$B$24)+(Surface_Engine!Q236*12)*INDEX(Surface_Engine!$F$12:$F$72,$A235+1)-(Surface_Engine!Q236*12),1000*12*INDEX(Surface_Engine!$C$12:$C$72,$A235+1)/(1+Assumptions!$B$10)^30+INDEX(Surface_Engine!$D$12:$D$72,$A235+1)*(1+Assumptions!$B$24)))*INDEX(Surface_Engine!$B$12:$B$72,$A235+1)+J236</f>
        <v>2305.73145807233</v>
      </c>
      <c r="K235" s="12" t="n">
        <f aca="false">SQRT((IF(C235&lt;=0,0,MAX(0,(B235/C235)*G235/INDEX(Surface_Engine!$B$12:$B$72,$A235+1)-F235/INDEX(Surface_Engine!$B$12:$B$72,$A235+1))))^2+(MAX(IF(D235&lt;=0,0,MAX(0,(B235/D235)*H235/INDEX(Surface_Engine!$B$12:$B$72,$A235+1)-F235/INDEX(Surface_Engine!$B$12:$B$72,$A235+1))),IF(E235&lt;=0,0,MAX(0,(B235/E235)*I235/INDEX(Surface_Engine!$B$12:$B$72,$A235+1)-F235/INDEX(Surface_Engine!$B$12:$B$72,$A235+1))),IF($A235&lt;$Q$195,MAX(0,-Assumptions!$B$22*(F235/INDEX(Surface_Engine!$B$12:$B$72,$A235+1))),0)))^2+(MAX(0,J235/INDEX(Surface_Engine!$B$12:$B$72,$A235+1)-(F235/INDEX(Surface_Engine!$B$12:$B$72,$A235+1))))^2+2*Assumptions!$B$26*(IF(C235&lt;=0,0,MAX(0,(B235/C235)*G235/INDEX(Surface_Engine!$B$12:$B$72,$A235+1)-F235/INDEX(Surface_Engine!$B$12:$B$72,$A235+1))))*(MAX(IF(D235&lt;=0,0,MAX(0,(B235/D235)*H235/INDEX(Surface_Engine!$B$12:$B$72,$A235+1)-F235/INDEX(Surface_Engine!$B$12:$B$72,$A235+1))),IF(E235&lt;=0,0,MAX(0,(B235/E235)*I235/INDEX(Surface_Engine!$B$12:$B$72,$A235+1)-F235/INDEX(Surface_Engine!$B$12:$B$72,$A235+1))),IF($A235&lt;$Q$195,MAX(0,-Assumptions!$B$22*(F235/INDEX(Surface_Engine!$B$12:$B$72,$A235+1))),0)))+2*Assumptions!$B$27*(IF(C235&lt;=0,0,MAX(0,(B235/C235)*G235/INDEX(Surface_Engine!$B$12:$B$72,$A235+1)-F235/INDEX(Surface_Engine!$B$12:$B$72,$A235+1))))*(MAX(0,J235/INDEX(Surface_Engine!$B$12:$B$72,$A235+1)-(F235/INDEX(Surface_Engine!$B$12:$B$72,$A235+1))))+2*Assumptions!$B$28*(MAX(IF(D235&lt;=0,0,MAX(0,(B235/D235)*H235/INDEX(Surface_Engine!$B$12:$B$72,$A235+1)-F235/INDEX(Surface_Engine!$B$12:$B$72,$A235+1))),IF(E235&lt;=0,0,MAX(0,(B235/E235)*I235/INDEX(Surface_Engine!$B$12:$B$72,$A235+1)-F235/INDEX(Surface_Engine!$B$12:$B$72,$A235+1))),IF($A235&lt;$Q$195,MAX(0,-Assumptions!$B$22*(F235/INDEX(Surface_Engine!$B$12:$B$72,$A235+1))),0)))*(MAX(0,J235/INDEX(Surface_Engine!$B$12:$B$72,$A235+1)-(F235/INDEX(Surface_Engine!$B$12:$B$72,$A235+1)))))</f>
        <v>1394.81692312585</v>
      </c>
      <c r="L235" s="48" t="n">
        <f aca="false">K235*INDEX(Surface_Engine!$B$12:$B$72,$A235+1)+L236</f>
        <v>1653.08544814123</v>
      </c>
      <c r="M235" s="48" t="n">
        <f aca="false">M234+B234*(IF($A234&lt;$Q$195,(Surface_Engine!Q236*12)-(Surface_Engine!Q236*12)*INDEX(Surface_Engine!$F$12:$F$72,$A234+1)-INDEX(Surface_Engine!$D$12:$D$72,$A234+1),-(1000*12*INDEX(Surface_Engine!$C$12:$C$72,$A234+1)/(1+Assumptions!$B$10)^30+INDEX(Surface_Engine!$D$12:$D$72,$A234+1))))*INDEX(Surface_Engine!$B$12:$B$72,$A234+1)</f>
        <v>2768.49142760589</v>
      </c>
      <c r="N235" s="12" t="n">
        <f aca="false">IF(B235&lt;=0,0,MAX(0,(K235+Assumptions!$B$29*L235/INDEX(Surface_Engine!$B$12:$B$72,$A235+1)-(M235/INDEX(Surface_Engine!$B$12:$B$72,$A235+1)-(F235/INDEX(Surface_Engine!$B$12:$B$72,$A235+1))))/B235))</f>
        <v>1509.18530330552</v>
      </c>
    </row>
    <row r="236" customFormat="false" ht="15" hidden="false" customHeight="true" outlineLevel="0" collapsed="false">
      <c r="A236" s="1" t="n">
        <v>39</v>
      </c>
      <c r="B236" s="32" t="n">
        <f aca="false">INDEX(Surface_Engine!$G$12:$G$72,$A236+1)*IF($A236&lt;$Q$195,INDEX(Surface_Engine!$E$12:$E$72,$A236+1),INDEX(Surface_Engine!$E$12:$E$72,$Q$195+1))</f>
        <v>0.0981484634097766</v>
      </c>
      <c r="C236" s="32" t="n">
        <f aca="false">INDEX(Panel_Reserving!$B$8:$B$68,$A236+1)*IF($A236&lt;$Q$195,INDEX(Surface_Engine!$E$12:$E$72,$A236+1),INDEX(Surface_Engine!$E$12:$E$72,$Q$195+1))</f>
        <v>0.148966772052881</v>
      </c>
      <c r="D236" s="32" t="n">
        <f aca="false">INDEX(Surface_Engine!$G$12:$G$72,$A236+1)*IF($A236&lt;$Q$195,INDEX(Surface_Engine!$Y$12:$Y$72,$A236+1),INDEX(Surface_Engine!$Y$12:$Y$72,$Q$195+1))</f>
        <v>0.0829797139914117</v>
      </c>
      <c r="E236" s="32" t="n">
        <f aca="false">INDEX(Surface_Engine!$G$12:$G$72,$A236+1)*IF($A236&lt;$Q$195,INDEX(Surface_Engine!$Z$12:$Z$72,$A236+1),INDEX(Surface_Engine!$Z$12:$Z$72,$Q$195+1))</f>
        <v>0.115946880145043</v>
      </c>
      <c r="F236" s="48" t="n">
        <f aca="false">B236*(IF($A236&lt;$Q$195,INDEX(Surface_Engine!$D$12:$D$72,$A236+1)+(Surface_Engine!Q236*12)*INDEX(Surface_Engine!$F$12:$F$72,$A236+1)-(Surface_Engine!Q236*12),1000*12*INDEX(Surface_Engine!$C$12:$C$72,$A236+1)/(1+Assumptions!$B$10)^30+INDEX(Surface_Engine!$D$12:$D$72,$A236+1)))*INDEX(Surface_Engine!$B$12:$B$72,$A236+1)+F237</f>
        <v>1785.104228876</v>
      </c>
      <c r="G236" s="48" t="n">
        <f aca="false">C236*(IF($A236&lt;$Q$195,INDEX(Surface_Engine!$D$12:$D$72,$A236+1)+(Surface_Engine!Q236*12)*INDEX(Surface_Engine!$F$12:$F$72,$A236+1)-(Surface_Engine!Q236*12),1000*12*INDEX(Surface_Engine!$C$12:$C$72,$A236+1)/(1+Assumptions!$B$10)^30+INDEX(Surface_Engine!$D$12:$D$72,$A236+1)))*INDEX(Surface_Engine!$B$12:$B$72,$A236+1)+G237</f>
        <v>3206.11186063738</v>
      </c>
      <c r="H236" s="48" t="n">
        <f aca="false">D236*(IF($A236&lt;$Q$195,INDEX(Surface_Engine!$D$12:$D$72,$A236+1)+(Surface_Engine!Q236*12)*INDEX(Surface_Engine!$F$12:$F$72,$A236+1)-(Surface_Engine!Q236*12),1000*12*INDEX(Surface_Engine!$C$12:$C$72,$A236+1)/(1+Assumptions!$B$10)^30+INDEX(Surface_Engine!$D$12:$D$72,$A236+1)))*INDEX(Surface_Engine!$B$12:$B$72,$A236+1)+H237</f>
        <v>1509.21810908591</v>
      </c>
      <c r="I236" s="48" t="n">
        <f aca="false">E236*(IF($A236&lt;$Q$195,INDEX(Surface_Engine!$D$12:$D$72,$A236+1)+(Surface_Engine!Q236*12)*INDEX(Surface_Engine!$F$12:$F$72,$A236+1)-(Surface_Engine!Q236*12),1000*12*INDEX(Surface_Engine!$C$12:$C$72,$A236+1)/(1+Assumptions!$B$10)^30+INDEX(Surface_Engine!$D$12:$D$72,$A236+1)))*INDEX(Surface_Engine!$B$12:$B$72,$A236+1)+I237</f>
        <v>2108.81820133802</v>
      </c>
      <c r="J236" s="48" t="n">
        <f aca="false">B236*(IF($A236&lt;$Q$195,INDEX(Surface_Engine!$D$12:$D$72,$A236+1)*(1+Assumptions!$B$24)+(Surface_Engine!Q236*12)*INDEX(Surface_Engine!$F$12:$F$72,$A236+1)-(Surface_Engine!Q236*12),1000*12*INDEX(Surface_Engine!$C$12:$C$72,$A236+1)/(1+Assumptions!$B$10)^30+INDEX(Surface_Engine!$D$12:$D$72,$A236+1)*(1+Assumptions!$B$24)))*INDEX(Surface_Engine!$B$12:$B$72,$A236+1)+J237</f>
        <v>1787.77413871434</v>
      </c>
      <c r="K236" s="12" t="n">
        <f aca="false">SQRT((IF(C236&lt;=0,0,MAX(0,(B236/C236)*G236/INDEX(Surface_Engine!$B$12:$B$72,$A236+1)-F236/INDEX(Surface_Engine!$B$12:$B$72,$A236+1))))^2+(MAX(IF(D236&lt;=0,0,MAX(0,(B236/D236)*H236/INDEX(Surface_Engine!$B$12:$B$72,$A236+1)-F236/INDEX(Surface_Engine!$B$12:$B$72,$A236+1))),IF(E236&lt;=0,0,MAX(0,(B236/E236)*I236/INDEX(Surface_Engine!$B$12:$B$72,$A236+1)-F236/INDEX(Surface_Engine!$B$12:$B$72,$A236+1))),IF($A236&lt;$Q$195,MAX(0,-Assumptions!$B$22*(F236/INDEX(Surface_Engine!$B$12:$B$72,$A236+1))),0)))^2+(MAX(0,J236/INDEX(Surface_Engine!$B$12:$B$72,$A236+1)-(F236/INDEX(Surface_Engine!$B$12:$B$72,$A236+1))))^2+2*Assumptions!$B$26*(IF(C236&lt;=0,0,MAX(0,(B236/C236)*G236/INDEX(Surface_Engine!$B$12:$B$72,$A236+1)-F236/INDEX(Surface_Engine!$B$12:$B$72,$A236+1))))*(MAX(IF(D236&lt;=0,0,MAX(0,(B236/D236)*H236/INDEX(Surface_Engine!$B$12:$B$72,$A236+1)-F236/INDEX(Surface_Engine!$B$12:$B$72,$A236+1))),IF(E236&lt;=0,0,MAX(0,(B236/E236)*I236/INDEX(Surface_Engine!$B$12:$B$72,$A236+1)-F236/INDEX(Surface_Engine!$B$12:$B$72,$A236+1))),IF($A236&lt;$Q$195,MAX(0,-Assumptions!$B$22*(F236/INDEX(Surface_Engine!$B$12:$B$72,$A236+1))),0)))+2*Assumptions!$B$27*(IF(C236&lt;=0,0,MAX(0,(B236/C236)*G236/INDEX(Surface_Engine!$B$12:$B$72,$A236+1)-F236/INDEX(Surface_Engine!$B$12:$B$72,$A236+1))))*(MAX(0,J236/INDEX(Surface_Engine!$B$12:$B$72,$A236+1)-(F236/INDEX(Surface_Engine!$B$12:$B$72,$A236+1))))+2*Assumptions!$B$28*(MAX(IF(D236&lt;=0,0,MAX(0,(B236/D236)*H236/INDEX(Surface_Engine!$B$12:$B$72,$A236+1)-F236/INDEX(Surface_Engine!$B$12:$B$72,$A236+1))),IF(E236&lt;=0,0,MAX(0,(B236/E236)*I236/INDEX(Surface_Engine!$B$12:$B$72,$A236+1)-F236/INDEX(Surface_Engine!$B$12:$B$72,$A236+1))),IF($A236&lt;$Q$195,MAX(0,-Assumptions!$B$22*(F236/INDEX(Surface_Engine!$B$12:$B$72,$A236+1))),0)))*(MAX(0,J236/INDEX(Surface_Engine!$B$12:$B$72,$A236+1)-(F236/INDEX(Surface_Engine!$B$12:$B$72,$A236+1)))))</f>
        <v>1119.85270773635</v>
      </c>
      <c r="L236" s="48" t="n">
        <f aca="false">K236*INDEX(Surface_Engine!$B$12:$B$72,$A236+1)+L237</f>
        <v>1231.38064917787</v>
      </c>
      <c r="M236" s="48" t="n">
        <f aca="false">M235+B235*(IF($A235&lt;$Q$195,(Surface_Engine!Q236*12)-(Surface_Engine!Q236*12)*INDEX(Surface_Engine!$F$12:$F$72,$A235+1)-INDEX(Surface_Engine!$D$12:$D$72,$A235+1),-(1000*12*INDEX(Surface_Engine!$C$12:$C$72,$A235+1)/(1+Assumptions!$B$10)^30+INDEX(Surface_Engine!$D$12:$D$72,$A235+1))))*INDEX(Surface_Engine!$B$12:$B$72,$A235+1)</f>
        <v>2251.29368079372</v>
      </c>
      <c r="N236" s="12" t="n">
        <f aca="false">IF(B236&lt;=0,0,MAX(0,(K236+Assumptions!$B$29*L236/INDEX(Surface_Engine!$B$12:$B$72,$A236+1)-(M236/INDEX(Surface_Engine!$B$12:$B$72,$A236+1)-(F236/INDEX(Surface_Engine!$B$12:$B$72,$A236+1))))/B236))</f>
        <v>0</v>
      </c>
    </row>
    <row r="237" customFormat="false" ht="15" hidden="false" customHeight="true" outlineLevel="0" collapsed="false">
      <c r="A237" s="1" t="n">
        <v>40</v>
      </c>
      <c r="B237" s="32" t="n">
        <f aca="false">INDEX(Surface_Engine!$G$12:$G$72,$A237+1)*IF($A237&lt;$Q$195,INDEX(Surface_Engine!$E$12:$E$72,$A237+1),INDEX(Surface_Engine!$E$12:$E$72,$Q$195+1))</f>
        <v>0.0793413055897675</v>
      </c>
      <c r="C237" s="32" t="n">
        <f aca="false">INDEX(Panel_Reserving!$B$8:$B$68,$A237+1)*IF($A237&lt;$Q$195,INDEX(Surface_Engine!$E$12:$E$72,$A237+1),INDEX(Surface_Engine!$E$12:$E$72,$Q$195+1))</f>
        <v>0.12613082337184</v>
      </c>
      <c r="D237" s="32" t="n">
        <f aca="false">INDEX(Surface_Engine!$G$12:$G$72,$A237+1)*IF($A237&lt;$Q$195,INDEX(Surface_Engine!$Y$12:$Y$72,$A237+1),INDEX(Surface_Engine!$Y$12:$Y$72,$Q$195+1))</f>
        <v>0.0670791840933528</v>
      </c>
      <c r="E237" s="32" t="n">
        <f aca="false">INDEX(Surface_Engine!$G$12:$G$72,$A237+1)*IF($A237&lt;$Q$195,INDEX(Surface_Engine!$Z$12:$Z$72,$A237+1),INDEX(Surface_Engine!$Z$12:$Z$72,$Q$195+1))</f>
        <v>0.0937291989112451</v>
      </c>
      <c r="F237" s="48" t="n">
        <f aca="false">B237*(IF($A237&lt;$Q$195,INDEX(Surface_Engine!$D$12:$D$72,$A237+1)+(Surface_Engine!Q236*12)*INDEX(Surface_Engine!$F$12:$F$72,$A237+1)-(Surface_Engine!Q236*12),1000*12*INDEX(Surface_Engine!$C$12:$C$72,$A237+1)/(1+Assumptions!$B$10)^30+INDEX(Surface_Engine!$D$12:$D$72,$A237+1)))*INDEX(Surface_Engine!$B$12:$B$72,$A237+1)+F238</f>
        <v>1366.71646691501</v>
      </c>
      <c r="G237" s="48" t="n">
        <f aca="false">C237*(IF($A237&lt;$Q$195,INDEX(Surface_Engine!$D$12:$D$72,$A237+1)+(Surface_Engine!Q236*12)*INDEX(Surface_Engine!$F$12:$F$72,$A237+1)-(Surface_Engine!Q236*12),1000*12*INDEX(Surface_Engine!$C$12:$C$72,$A237+1)/(1+Assumptions!$B$10)^30+INDEX(Surface_Engine!$D$12:$D$72,$A237+1)))*INDEX(Surface_Engine!$B$12:$B$72,$A237+1)+G238</f>
        <v>2571.09555777849</v>
      </c>
      <c r="H237" s="48" t="n">
        <f aca="false">D237*(IF($A237&lt;$Q$195,INDEX(Surface_Engine!$D$12:$D$72,$A237+1)+(Surface_Engine!Q236*12)*INDEX(Surface_Engine!$F$12:$F$72,$A237+1)-(Surface_Engine!Q236*12),1000*12*INDEX(Surface_Engine!$C$12:$C$72,$A237+1)/(1+Assumptions!$B$10)^30+INDEX(Surface_Engine!$D$12:$D$72,$A237+1)))*INDEX(Surface_Engine!$B$12:$B$72,$A237+1)+H238</f>
        <v>1155.49176820494</v>
      </c>
      <c r="I237" s="48" t="n">
        <f aca="false">E237*(IF($A237&lt;$Q$195,INDEX(Surface_Engine!$D$12:$D$72,$A237+1)+(Surface_Engine!Q236*12)*INDEX(Surface_Engine!$F$12:$F$72,$A237+1)-(Surface_Engine!Q236*12),1000*12*INDEX(Surface_Engine!$C$12:$C$72,$A237+1)/(1+Assumptions!$B$10)^30+INDEX(Surface_Engine!$D$12:$D$72,$A237+1)))*INDEX(Surface_Engine!$B$12:$B$72,$A237+1)+I238</f>
        <v>1614.5592592728</v>
      </c>
      <c r="J237" s="48" t="n">
        <f aca="false">B237*(IF($A237&lt;$Q$195,INDEX(Surface_Engine!$D$12:$D$72,$A237+1)*(1+Assumptions!$B$24)+(Surface_Engine!Q236*12)*INDEX(Surface_Engine!$F$12:$F$72,$A237+1)-(Surface_Engine!Q236*12),1000*12*INDEX(Surface_Engine!$C$12:$C$72,$A237+1)/(1+Assumptions!$B$10)^30+INDEX(Surface_Engine!$D$12:$D$72,$A237+1)*(1+Assumptions!$B$24)))*INDEX(Surface_Engine!$B$12:$B$72,$A237+1)+J238</f>
        <v>1368.76895200018</v>
      </c>
      <c r="K237" s="12" t="n">
        <f aca="false">SQRT((IF(C237&lt;=0,0,MAX(0,(B237/C237)*G237/INDEX(Surface_Engine!$B$12:$B$72,$A237+1)-F237/INDEX(Surface_Engine!$B$12:$B$72,$A237+1))))^2+(MAX(IF(D237&lt;=0,0,MAX(0,(B237/D237)*H237/INDEX(Surface_Engine!$B$12:$B$72,$A237+1)-F237/INDEX(Surface_Engine!$B$12:$B$72,$A237+1))),IF(E237&lt;=0,0,MAX(0,(B237/E237)*I237/INDEX(Surface_Engine!$B$12:$B$72,$A237+1)-F237/INDEX(Surface_Engine!$B$12:$B$72,$A237+1))),IF($A237&lt;$Q$195,MAX(0,-Assumptions!$B$22*(F237/INDEX(Surface_Engine!$B$12:$B$72,$A237+1))),0)))^2+(MAX(0,J237/INDEX(Surface_Engine!$B$12:$B$72,$A237+1)-(F237/INDEX(Surface_Engine!$B$12:$B$72,$A237+1))))^2+2*Assumptions!$B$26*(IF(C237&lt;=0,0,MAX(0,(B237/C237)*G237/INDEX(Surface_Engine!$B$12:$B$72,$A237+1)-F237/INDEX(Surface_Engine!$B$12:$B$72,$A237+1))))*(MAX(IF(D237&lt;=0,0,MAX(0,(B237/D237)*H237/INDEX(Surface_Engine!$B$12:$B$72,$A237+1)-F237/INDEX(Surface_Engine!$B$12:$B$72,$A237+1))),IF(E237&lt;=0,0,MAX(0,(B237/E237)*I237/INDEX(Surface_Engine!$B$12:$B$72,$A237+1)-F237/INDEX(Surface_Engine!$B$12:$B$72,$A237+1))),IF($A237&lt;$Q$195,MAX(0,-Assumptions!$B$22*(F237/INDEX(Surface_Engine!$B$12:$B$72,$A237+1))),0)))+2*Assumptions!$B$27*(IF(C237&lt;=0,0,MAX(0,(B237/C237)*G237/INDEX(Surface_Engine!$B$12:$B$72,$A237+1)-F237/INDEX(Surface_Engine!$B$12:$B$72,$A237+1))))*(MAX(0,J237/INDEX(Surface_Engine!$B$12:$B$72,$A237+1)-(F237/INDEX(Surface_Engine!$B$12:$B$72,$A237+1))))+2*Assumptions!$B$28*(MAX(IF(D237&lt;=0,0,MAX(0,(B237/D237)*H237/INDEX(Surface_Engine!$B$12:$B$72,$A237+1)-F237/INDEX(Surface_Engine!$B$12:$B$72,$A237+1))),IF(E237&lt;=0,0,MAX(0,(B237/E237)*I237/INDEX(Surface_Engine!$B$12:$B$72,$A237+1)-F237/INDEX(Surface_Engine!$B$12:$B$72,$A237+1))),IF($A237&lt;$Q$195,MAX(0,-Assumptions!$B$22*(F237/INDEX(Surface_Engine!$B$12:$B$72,$A237+1))),0)))*(MAX(0,J237/INDEX(Surface_Engine!$B$12:$B$72,$A237+1)-(F237/INDEX(Surface_Engine!$B$12:$B$72,$A237+1)))))</f>
        <v>885.620658772231</v>
      </c>
      <c r="L237" s="48" t="n">
        <f aca="false">K237*INDEX(Surface_Engine!$B$12:$B$72,$A237+1)+L238</f>
        <v>903.423702977825</v>
      </c>
      <c r="M237" s="48" t="n">
        <f aca="false">M236+B236*(IF($A236&lt;$Q$195,(Surface_Engine!Q236*12)-(Surface_Engine!Q236*12)*INDEX(Surface_Engine!$F$12:$F$72,$A236+1)-INDEX(Surface_Engine!$D$12:$D$72,$A236+1),-(1000*12*INDEX(Surface_Engine!$C$12:$C$72,$A236+1)/(1+Assumptions!$B$10)^30+INDEX(Surface_Engine!$D$12:$D$72,$A236+1))))*INDEX(Surface_Engine!$B$12:$B$72,$A236+1)</f>
        <v>1832.90591883273</v>
      </c>
      <c r="N237" s="12" t="n">
        <f aca="false">IF(B237&lt;=0,0,MAX(0,(K237+Assumptions!$B$29*L237/INDEX(Surface_Engine!$B$12:$B$72,$A237+1)-(M237/INDEX(Surface_Engine!$B$12:$B$72,$A237+1)-(F237/INDEX(Surface_Engine!$B$12:$B$72,$A237+1))))/B237))</f>
        <v>0</v>
      </c>
    </row>
    <row r="238" customFormat="false" ht="15" hidden="false" customHeight="true" outlineLevel="0" collapsed="false">
      <c r="A238" s="1" t="n">
        <v>41</v>
      </c>
      <c r="B238" s="32" t="n">
        <f aca="false">INDEX(Surface_Engine!$G$12:$G$72,$A238+1)*IF($A238&lt;$Q$195,INDEX(Surface_Engine!$E$12:$E$72,$A238+1),INDEX(Surface_Engine!$E$12:$E$72,$Q$195+1))</f>
        <v>0.0632752610367441</v>
      </c>
      <c r="C238" s="32" t="n">
        <f aca="false">INDEX(Panel_Reserving!$B$8:$B$68,$A238+1)*IF($A238&lt;$Q$195,INDEX(Surface_Engine!$E$12:$E$72,$A238+1),INDEX(Surface_Engine!$E$12:$E$72,$Q$195+1))</f>
        <v>0.105698354682413</v>
      </c>
      <c r="D238" s="32" t="n">
        <f aca="false">INDEX(Surface_Engine!$G$12:$G$72,$A238+1)*IF($A238&lt;$Q$195,INDEX(Surface_Engine!$Y$12:$Y$72,$A238+1),INDEX(Surface_Engine!$Y$12:$Y$72,$Q$195+1))</f>
        <v>0.0534961310768512</v>
      </c>
      <c r="E238" s="32" t="n">
        <f aca="false">INDEX(Surface_Engine!$G$12:$G$72,$A238+1)*IF($A238&lt;$Q$195,INDEX(Surface_Engine!$Z$12:$Z$72,$A238+1),INDEX(Surface_Engine!$Z$12:$Z$72,$Q$195+1))</f>
        <v>0.0747497092944085</v>
      </c>
      <c r="F238" s="48" t="n">
        <f aca="false">B238*(IF($A238&lt;$Q$195,INDEX(Surface_Engine!$D$12:$D$72,$A238+1)+(Surface_Engine!Q236*12)*INDEX(Surface_Engine!$F$12:$F$72,$A238+1)-(Surface_Engine!Q236*12),1000*12*INDEX(Surface_Engine!$C$12:$C$72,$A238+1)/(1+Assumptions!$B$10)^30+INDEX(Surface_Engine!$D$12:$D$72,$A238+1)))*INDEX(Surface_Engine!$B$12:$B$72,$A238+1)+F239</f>
        <v>1032.66433599053</v>
      </c>
      <c r="G238" s="48" t="n">
        <f aca="false">C238*(IF($A238&lt;$Q$195,INDEX(Surface_Engine!$D$12:$D$72,$A238+1)+(Surface_Engine!Q236*12)*INDEX(Surface_Engine!$F$12:$F$72,$A238+1)-(Surface_Engine!Q236*12),1000*12*INDEX(Surface_Engine!$C$12:$C$72,$A238+1)/(1+Assumptions!$B$10)^30+INDEX(Surface_Engine!$D$12:$D$72,$A238+1)))*INDEX(Surface_Engine!$B$12:$B$72,$A238+1)+G239</f>
        <v>2040.04467565062</v>
      </c>
      <c r="H238" s="48" t="n">
        <f aca="false">D238*(IF($A238&lt;$Q$195,INDEX(Surface_Engine!$D$12:$D$72,$A238+1)+(Surface_Engine!Q236*12)*INDEX(Surface_Engine!$F$12:$F$72,$A238+1)-(Surface_Engine!Q236*12),1000*12*INDEX(Surface_Engine!$C$12:$C$72,$A238+1)/(1+Assumptions!$B$10)^30+INDEX(Surface_Engine!$D$12:$D$72,$A238+1)))*INDEX(Surface_Engine!$B$12:$B$72,$A238+1)+H239</f>
        <v>873.067068731001</v>
      </c>
      <c r="I238" s="48" t="n">
        <f aca="false">E238*(IF($A238&lt;$Q$195,INDEX(Surface_Engine!$D$12:$D$72,$A238+1)+(Surface_Engine!Q236*12)*INDEX(Surface_Engine!$F$12:$F$72,$A238+1)-(Surface_Engine!Q236*12),1000*12*INDEX(Surface_Engine!$C$12:$C$72,$A238+1)/(1+Assumptions!$B$10)^30+INDEX(Surface_Engine!$D$12:$D$72,$A238+1)))*INDEX(Surface_Engine!$B$12:$B$72,$A238+1)+I239</f>
        <v>1219.92952141549</v>
      </c>
      <c r="J238" s="48" t="n">
        <f aca="false">B238*(IF($A238&lt;$Q$195,INDEX(Surface_Engine!$D$12:$D$72,$A238+1)*(1+Assumptions!$B$24)+(Surface_Engine!Q236*12)*INDEX(Surface_Engine!$F$12:$F$72,$A238+1)-(Surface_Engine!Q236*12),1000*12*INDEX(Surface_Engine!$C$12:$C$72,$A238+1)/(1+Assumptions!$B$10)^30+INDEX(Surface_Engine!$D$12:$D$72,$A238+1)*(1+Assumptions!$B$24)))*INDEX(Surface_Engine!$B$12:$B$72,$A238+1)+J239</f>
        <v>1034.22147173568</v>
      </c>
      <c r="K238" s="12" t="n">
        <f aca="false">SQRT((IF(C238&lt;=0,0,MAX(0,(B238/C238)*G238/INDEX(Surface_Engine!$B$12:$B$72,$A238+1)-F238/INDEX(Surface_Engine!$B$12:$B$72,$A238+1))))^2+(MAX(IF(D238&lt;=0,0,MAX(0,(B238/D238)*H238/INDEX(Surface_Engine!$B$12:$B$72,$A238+1)-F238/INDEX(Surface_Engine!$B$12:$B$72,$A238+1))),IF(E238&lt;=0,0,MAX(0,(B238/E238)*I238/INDEX(Surface_Engine!$B$12:$B$72,$A238+1)-F238/INDEX(Surface_Engine!$B$12:$B$72,$A238+1))),IF($A238&lt;$Q$195,MAX(0,-Assumptions!$B$22*(F238/INDEX(Surface_Engine!$B$12:$B$72,$A238+1))),0)))^2+(MAX(0,J238/INDEX(Surface_Engine!$B$12:$B$72,$A238+1)-(F238/INDEX(Surface_Engine!$B$12:$B$72,$A238+1))))^2+2*Assumptions!$B$26*(IF(C238&lt;=0,0,MAX(0,(B238/C238)*G238/INDEX(Surface_Engine!$B$12:$B$72,$A238+1)-F238/INDEX(Surface_Engine!$B$12:$B$72,$A238+1))))*(MAX(IF(D238&lt;=0,0,MAX(0,(B238/D238)*H238/INDEX(Surface_Engine!$B$12:$B$72,$A238+1)-F238/INDEX(Surface_Engine!$B$12:$B$72,$A238+1))),IF(E238&lt;=0,0,MAX(0,(B238/E238)*I238/INDEX(Surface_Engine!$B$12:$B$72,$A238+1)-F238/INDEX(Surface_Engine!$B$12:$B$72,$A238+1))),IF($A238&lt;$Q$195,MAX(0,-Assumptions!$B$22*(F238/INDEX(Surface_Engine!$B$12:$B$72,$A238+1))),0)))+2*Assumptions!$B$27*(IF(C238&lt;=0,0,MAX(0,(B238/C238)*G238/INDEX(Surface_Engine!$B$12:$B$72,$A238+1)-F238/INDEX(Surface_Engine!$B$12:$B$72,$A238+1))))*(MAX(0,J238/INDEX(Surface_Engine!$B$12:$B$72,$A238+1)-(F238/INDEX(Surface_Engine!$B$12:$B$72,$A238+1))))+2*Assumptions!$B$28*(MAX(IF(D238&lt;=0,0,MAX(0,(B238/D238)*H238/INDEX(Surface_Engine!$B$12:$B$72,$A238+1)-F238/INDEX(Surface_Engine!$B$12:$B$72,$A238+1))),IF(E238&lt;=0,0,MAX(0,(B238/E238)*I238/INDEX(Surface_Engine!$B$12:$B$72,$A238+1)-F238/INDEX(Surface_Engine!$B$12:$B$72,$A238+1))),IF($A238&lt;$Q$195,MAX(0,-Assumptions!$B$22*(F238/INDEX(Surface_Engine!$B$12:$B$72,$A238+1))),0)))*(MAX(0,J238/INDEX(Surface_Engine!$B$12:$B$72,$A238+1)-(F238/INDEX(Surface_Engine!$B$12:$B$72,$A238+1)))))</f>
        <v>688.348791931031</v>
      </c>
      <c r="L238" s="48" t="n">
        <f aca="false">K238*INDEX(Surface_Engine!$B$12:$B$72,$A238+1)+L239</f>
        <v>652.297796911839</v>
      </c>
      <c r="M238" s="48" t="n">
        <f aca="false">M237+B237*(IF($A237&lt;$Q$195,(Surface_Engine!Q236*12)-(Surface_Engine!Q236*12)*INDEX(Surface_Engine!$F$12:$F$72,$A237+1)-INDEX(Surface_Engine!$D$12:$D$72,$A237+1),-(1000*12*INDEX(Surface_Engine!$C$12:$C$72,$A237+1)/(1+Assumptions!$B$10)^30+INDEX(Surface_Engine!$D$12:$D$72,$A237+1))))*INDEX(Surface_Engine!$B$12:$B$72,$A237+1)</f>
        <v>1498.85378790824</v>
      </c>
      <c r="N238" s="12" t="n">
        <f aca="false">IF(B238&lt;=0,0,MAX(0,(K238+Assumptions!$B$29*L238/INDEX(Surface_Engine!$B$12:$B$72,$A238+1)-(M238/INDEX(Surface_Engine!$B$12:$B$72,$A238+1)-(F238/INDEX(Surface_Engine!$B$12:$B$72,$A238+1))))/B238))</f>
        <v>0</v>
      </c>
    </row>
    <row r="239" customFormat="false" ht="15" hidden="false" customHeight="true" outlineLevel="0" collapsed="false">
      <c r="A239" s="1" t="n">
        <v>42</v>
      </c>
      <c r="B239" s="32" t="n">
        <f aca="false">INDEX(Surface_Engine!$G$12:$G$72,$A239+1)*IF($A239&lt;$Q$195,INDEX(Surface_Engine!$E$12:$E$72,$A239+1),INDEX(Surface_Engine!$E$12:$E$72,$Q$195+1))</f>
        <v>0.0497188612179734</v>
      </c>
      <c r="C239" s="32" t="n">
        <f aca="false">INDEX(Panel_Reserving!$B$8:$B$68,$A239+1)*IF($A239&lt;$Q$195,INDEX(Surface_Engine!$E$12:$E$72,$A239+1),INDEX(Surface_Engine!$E$12:$E$72,$Q$195+1))</f>
        <v>0.0875820908183544</v>
      </c>
      <c r="D239" s="32" t="n">
        <f aca="false">INDEX(Surface_Engine!$G$12:$G$72,$A239+1)*IF($A239&lt;$Q$195,INDEX(Surface_Engine!$Y$12:$Y$72,$A239+1),INDEX(Surface_Engine!$Y$12:$Y$72,$Q$195+1))</f>
        <v>0.0420348596454457</v>
      </c>
      <c r="E239" s="32" t="n">
        <f aca="false">INDEX(Surface_Engine!$G$12:$G$72,$A239+1)*IF($A239&lt;$Q$195,INDEX(Surface_Engine!$Z$12:$Z$72,$A239+1),INDEX(Surface_Engine!$Z$12:$Z$72,$Q$195+1))</f>
        <v>0.0587349678468239</v>
      </c>
      <c r="F239" s="48" t="n">
        <f aca="false">B239*(IF($A239&lt;$Q$195,INDEX(Surface_Engine!$D$12:$D$72,$A239+1)+(Surface_Engine!Q236*12)*INDEX(Surface_Engine!$F$12:$F$72,$A239+1)-(Surface_Engine!Q236*12),1000*12*INDEX(Surface_Engine!$C$12:$C$72,$A239+1)/(1+Assumptions!$B$10)^30+INDEX(Surface_Engine!$D$12:$D$72,$A239+1)))*INDEX(Surface_Engine!$B$12:$B$72,$A239+1)+F240</f>
        <v>769.545699205817</v>
      </c>
      <c r="G239" s="48" t="n">
        <f aca="false">C239*(IF($A239&lt;$Q$195,INDEX(Surface_Engine!$D$12:$D$72,$A239+1)+(Surface_Engine!Q236*12)*INDEX(Surface_Engine!$F$12:$F$72,$A239+1)-(Surface_Engine!Q236*12),1000*12*INDEX(Surface_Engine!$C$12:$C$72,$A239+1)/(1+Assumptions!$B$10)^30+INDEX(Surface_Engine!$D$12:$D$72,$A239+1)))*INDEX(Surface_Engine!$B$12:$B$72,$A239+1)+G240</f>
        <v>1600.51733844574</v>
      </c>
      <c r="H239" s="48" t="n">
        <f aca="false">D239*(IF($A239&lt;$Q$195,INDEX(Surface_Engine!$D$12:$D$72,$A239+1)+(Surface_Engine!Q236*12)*INDEX(Surface_Engine!$F$12:$F$72,$A239+1)-(Surface_Engine!Q236*12),1000*12*INDEX(Surface_Engine!$C$12:$C$72,$A239+1)/(1+Assumptions!$B$10)^30+INDEX(Surface_Engine!$D$12:$D$72,$A239+1)))*INDEX(Surface_Engine!$B$12:$B$72,$A239+1)+H240</f>
        <v>650.613160970372</v>
      </c>
      <c r="I239" s="48" t="n">
        <f aca="false">E239*(IF($A239&lt;$Q$195,INDEX(Surface_Engine!$D$12:$D$72,$A239+1)+(Surface_Engine!Q236*12)*INDEX(Surface_Engine!$F$12:$F$72,$A239+1)-(Surface_Engine!Q236*12),1000*12*INDEX(Surface_Engine!$C$12:$C$72,$A239+1)/(1+Assumptions!$B$10)^30+INDEX(Surface_Engine!$D$12:$D$72,$A239+1)))*INDEX(Surface_Engine!$B$12:$B$72,$A239+1)+I240</f>
        <v>909.09648355292</v>
      </c>
      <c r="J239" s="48" t="n">
        <f aca="false">B239*(IF($A239&lt;$Q$195,INDEX(Surface_Engine!$D$12:$D$72,$A239+1)*(1+Assumptions!$B$24)+(Surface_Engine!Q236*12)*INDEX(Surface_Engine!$F$12:$F$72,$A239+1)-(Surface_Engine!Q236*12),1000*12*INDEX(Surface_Engine!$C$12:$C$72,$A239+1)/(1+Assumptions!$B$10)^30+INDEX(Surface_Engine!$D$12:$D$72,$A239+1)*(1+Assumptions!$B$24)))*INDEX(Surface_Engine!$B$12:$B$72,$A239+1)+J240</f>
        <v>770.710785293189</v>
      </c>
      <c r="K239" s="12" t="n">
        <f aca="false">SQRT((IF(C239&lt;=0,0,MAX(0,(B239/C239)*G239/INDEX(Surface_Engine!$B$12:$B$72,$A239+1)-F239/INDEX(Surface_Engine!$B$12:$B$72,$A239+1))))^2+(MAX(IF(D239&lt;=0,0,MAX(0,(B239/D239)*H239/INDEX(Surface_Engine!$B$12:$B$72,$A239+1)-F239/INDEX(Surface_Engine!$B$12:$B$72,$A239+1))),IF(E239&lt;=0,0,MAX(0,(B239/E239)*I239/INDEX(Surface_Engine!$B$12:$B$72,$A239+1)-F239/INDEX(Surface_Engine!$B$12:$B$72,$A239+1))),IF($A239&lt;$Q$195,MAX(0,-Assumptions!$B$22*(F239/INDEX(Surface_Engine!$B$12:$B$72,$A239+1))),0)))^2+(MAX(0,J239/INDEX(Surface_Engine!$B$12:$B$72,$A239+1)-(F239/INDEX(Surface_Engine!$B$12:$B$72,$A239+1))))^2+2*Assumptions!$B$26*(IF(C239&lt;=0,0,MAX(0,(B239/C239)*G239/INDEX(Surface_Engine!$B$12:$B$72,$A239+1)-F239/INDEX(Surface_Engine!$B$12:$B$72,$A239+1))))*(MAX(IF(D239&lt;=0,0,MAX(0,(B239/D239)*H239/INDEX(Surface_Engine!$B$12:$B$72,$A239+1)-F239/INDEX(Surface_Engine!$B$12:$B$72,$A239+1))),IF(E239&lt;=0,0,MAX(0,(B239/E239)*I239/INDEX(Surface_Engine!$B$12:$B$72,$A239+1)-F239/INDEX(Surface_Engine!$B$12:$B$72,$A239+1))),IF($A239&lt;$Q$195,MAX(0,-Assumptions!$B$22*(F239/INDEX(Surface_Engine!$B$12:$B$72,$A239+1))),0)))+2*Assumptions!$B$27*(IF(C239&lt;=0,0,MAX(0,(B239/C239)*G239/INDEX(Surface_Engine!$B$12:$B$72,$A239+1)-F239/INDEX(Surface_Engine!$B$12:$B$72,$A239+1))))*(MAX(0,J239/INDEX(Surface_Engine!$B$12:$B$72,$A239+1)-(F239/INDEX(Surface_Engine!$B$12:$B$72,$A239+1))))+2*Assumptions!$B$28*(MAX(IF(D239&lt;=0,0,MAX(0,(B239/D239)*H239/INDEX(Surface_Engine!$B$12:$B$72,$A239+1)-F239/INDEX(Surface_Engine!$B$12:$B$72,$A239+1))),IF(E239&lt;=0,0,MAX(0,(B239/E239)*I239/INDEX(Surface_Engine!$B$12:$B$72,$A239+1)-F239/INDEX(Surface_Engine!$B$12:$B$72,$A239+1))),IF($A239&lt;$Q$195,MAX(0,-Assumptions!$B$22*(F239/INDEX(Surface_Engine!$B$12:$B$72,$A239+1))),0)))*(MAX(0,J239/INDEX(Surface_Engine!$B$12:$B$72,$A239+1)-(F239/INDEX(Surface_Engine!$B$12:$B$72,$A239+1)))))</f>
        <v>523.985637264142</v>
      </c>
      <c r="L239" s="48" t="n">
        <f aca="false">K239*INDEX(Surface_Engine!$B$12:$B$72,$A239+1)+L240</f>
        <v>463.314528936456</v>
      </c>
      <c r="M239" s="48" t="n">
        <f aca="false">M238+B238*(IF($A238&lt;$Q$195,(Surface_Engine!Q236*12)-(Surface_Engine!Q236*12)*INDEX(Surface_Engine!$F$12:$F$72,$A238+1)-INDEX(Surface_Engine!$D$12:$D$72,$A238+1),-(1000*12*INDEX(Surface_Engine!$C$12:$C$72,$A238+1)/(1+Assumptions!$B$10)^30+INDEX(Surface_Engine!$D$12:$D$72,$A238+1))))*INDEX(Surface_Engine!$B$12:$B$72,$A238+1)</f>
        <v>1235.73515112353</v>
      </c>
      <c r="N239" s="12" t="n">
        <f aca="false">IF(B239&lt;=0,0,MAX(0,(K239+Assumptions!$B$29*L239/INDEX(Surface_Engine!$B$12:$B$72,$A239+1)-(M239/INDEX(Surface_Engine!$B$12:$B$72,$A239+1)-(F239/INDEX(Surface_Engine!$B$12:$B$72,$A239+1))))/B239))</f>
        <v>0</v>
      </c>
    </row>
    <row r="240" customFormat="false" ht="15" hidden="false" customHeight="true" outlineLevel="0" collapsed="false">
      <c r="A240" s="1" t="n">
        <v>43</v>
      </c>
      <c r="B240" s="32" t="n">
        <f aca="false">INDEX(Surface_Engine!$G$12:$G$72,$A240+1)*IF($A240&lt;$Q$195,INDEX(Surface_Engine!$E$12:$E$72,$A240+1),INDEX(Surface_Engine!$E$12:$E$72,$Q$195+1))</f>
        <v>0.0384177877679538</v>
      </c>
      <c r="C240" s="32" t="n">
        <f aca="false">INDEX(Panel_Reserving!$B$8:$B$68,$A240+1)*IF($A240&lt;$Q$195,INDEX(Surface_Engine!$E$12:$E$72,$A240+1),INDEX(Surface_Engine!$E$12:$E$72,$Q$195+1))</f>
        <v>0.071656196829669</v>
      </c>
      <c r="D240" s="32" t="n">
        <f aca="false">INDEX(Surface_Engine!$G$12:$G$72,$A240+1)*IF($A240&lt;$Q$195,INDEX(Surface_Engine!$Y$12:$Y$72,$A240+1),INDEX(Surface_Engine!$Y$12:$Y$72,$Q$195+1))</f>
        <v>0.0324803560893039</v>
      </c>
      <c r="E240" s="32" t="n">
        <f aca="false">INDEX(Surface_Engine!$G$12:$G$72,$A240+1)*IF($A240&lt;$Q$195,INDEX(Surface_Engine!$Z$12:$Z$72,$A240+1),INDEX(Surface_Engine!$Z$12:$Z$72,$Q$195+1))</f>
        <v>0.0453845376587418</v>
      </c>
      <c r="F240" s="48" t="n">
        <f aca="false">B240*(IF($A240&lt;$Q$195,INDEX(Surface_Engine!$D$12:$D$72,$A240+1)+(Surface_Engine!Q236*12)*INDEX(Surface_Engine!$F$12:$F$72,$A240+1)-(Surface_Engine!Q236*12),1000*12*INDEX(Surface_Engine!$C$12:$C$72,$A240+1)/(1+Assumptions!$B$10)^30+INDEX(Surface_Engine!$D$12:$D$72,$A240+1)))*INDEX(Surface_Engine!$B$12:$B$72,$A240+1)+F241</f>
        <v>565.277074265279</v>
      </c>
      <c r="G240" s="48" t="n">
        <f aca="false">C240*(IF($A240&lt;$Q$195,INDEX(Surface_Engine!$D$12:$D$72,$A240+1)+(Surface_Engine!Q236*12)*INDEX(Surface_Engine!$F$12:$F$72,$A240+1)-(Surface_Engine!Q236*12),1000*12*INDEX(Surface_Engine!$C$12:$C$72,$A240+1)/(1+Assumptions!$B$10)^30+INDEX(Surface_Engine!$D$12:$D$72,$A240+1)))*INDEX(Surface_Engine!$B$12:$B$72,$A240+1)+G241</f>
        <v>1240.6886371718</v>
      </c>
      <c r="H240" s="48" t="n">
        <f aca="false">D240*(IF($A240&lt;$Q$195,INDEX(Surface_Engine!$D$12:$D$72,$A240+1)+(Surface_Engine!Q236*12)*INDEX(Surface_Engine!$F$12:$F$72,$A240+1)-(Surface_Engine!Q236*12),1000*12*INDEX(Surface_Engine!$C$12:$C$72,$A240+1)/(1+Assumptions!$B$10)^30+INDEX(Surface_Engine!$D$12:$D$72,$A240+1)))*INDEX(Surface_Engine!$B$12:$B$72,$A240+1)+H241</f>
        <v>477.914053046321</v>
      </c>
      <c r="I240" s="48" t="n">
        <f aca="false">E240*(IF($A240&lt;$Q$195,INDEX(Surface_Engine!$D$12:$D$72,$A240+1)+(Surface_Engine!Q236*12)*INDEX(Surface_Engine!$F$12:$F$72,$A240+1)-(Surface_Engine!Q236*12),1000*12*INDEX(Surface_Engine!$C$12:$C$72,$A240+1)/(1+Assumptions!$B$10)^30+INDEX(Surface_Engine!$D$12:$D$72,$A240+1)))*INDEX(Surface_Engine!$B$12:$B$72,$A240+1)+I241</f>
        <v>667.78542324126</v>
      </c>
      <c r="J240" s="48" t="n">
        <f aca="false">B240*(IF($A240&lt;$Q$195,INDEX(Surface_Engine!$D$12:$D$72,$A240+1)*(1+Assumptions!$B$24)+(Surface_Engine!Q236*12)*INDEX(Surface_Engine!$F$12:$F$72,$A240+1)-(Surface_Engine!Q236*12),1000*12*INDEX(Surface_Engine!$C$12:$C$72,$A240+1)/(1+Assumptions!$B$10)^30+INDEX(Surface_Engine!$D$12:$D$72,$A240+1)*(1+Assumptions!$B$24)))*INDEX(Surface_Engine!$B$12:$B$72,$A240+1)+J241</f>
        <v>566.136328223576</v>
      </c>
      <c r="K240" s="12" t="n">
        <f aca="false">SQRT((IF(C240&lt;=0,0,MAX(0,(B240/C240)*G240/INDEX(Surface_Engine!$B$12:$B$72,$A240+1)-F240/INDEX(Surface_Engine!$B$12:$B$72,$A240+1))))^2+(MAX(IF(D240&lt;=0,0,MAX(0,(B240/D240)*H240/INDEX(Surface_Engine!$B$12:$B$72,$A240+1)-F240/INDEX(Surface_Engine!$B$12:$B$72,$A240+1))),IF(E240&lt;=0,0,MAX(0,(B240/E240)*I240/INDEX(Surface_Engine!$B$12:$B$72,$A240+1)-F240/INDEX(Surface_Engine!$B$12:$B$72,$A240+1))),IF($A240&lt;$Q$195,MAX(0,-Assumptions!$B$22*(F240/INDEX(Surface_Engine!$B$12:$B$72,$A240+1))),0)))^2+(MAX(0,J240/INDEX(Surface_Engine!$B$12:$B$72,$A240+1)-(F240/INDEX(Surface_Engine!$B$12:$B$72,$A240+1))))^2+2*Assumptions!$B$26*(IF(C240&lt;=0,0,MAX(0,(B240/C240)*G240/INDEX(Surface_Engine!$B$12:$B$72,$A240+1)-F240/INDEX(Surface_Engine!$B$12:$B$72,$A240+1))))*(MAX(IF(D240&lt;=0,0,MAX(0,(B240/D240)*H240/INDEX(Surface_Engine!$B$12:$B$72,$A240+1)-F240/INDEX(Surface_Engine!$B$12:$B$72,$A240+1))),IF(E240&lt;=0,0,MAX(0,(B240/E240)*I240/INDEX(Surface_Engine!$B$12:$B$72,$A240+1)-F240/INDEX(Surface_Engine!$B$12:$B$72,$A240+1))),IF($A240&lt;$Q$195,MAX(0,-Assumptions!$B$22*(F240/INDEX(Surface_Engine!$B$12:$B$72,$A240+1))),0)))+2*Assumptions!$B$27*(IF(C240&lt;=0,0,MAX(0,(B240/C240)*G240/INDEX(Surface_Engine!$B$12:$B$72,$A240+1)-F240/INDEX(Surface_Engine!$B$12:$B$72,$A240+1))))*(MAX(0,J240/INDEX(Surface_Engine!$B$12:$B$72,$A240+1)-(F240/INDEX(Surface_Engine!$B$12:$B$72,$A240+1))))+2*Assumptions!$B$28*(MAX(IF(D240&lt;=0,0,MAX(0,(B240/D240)*H240/INDEX(Surface_Engine!$B$12:$B$72,$A240+1)-F240/INDEX(Surface_Engine!$B$12:$B$72,$A240+1))),IF(E240&lt;=0,0,MAX(0,(B240/E240)*I240/INDEX(Surface_Engine!$B$12:$B$72,$A240+1)-F240/INDEX(Surface_Engine!$B$12:$B$72,$A240+1))),IF($A240&lt;$Q$195,MAX(0,-Assumptions!$B$22*(F240/INDEX(Surface_Engine!$B$12:$B$72,$A240+1))),0)))*(MAX(0,J240/INDEX(Surface_Engine!$B$12:$B$72,$A240+1)-(F240/INDEX(Surface_Engine!$B$12:$B$72,$A240+1)))))</f>
        <v>388.9139049716</v>
      </c>
      <c r="L240" s="48" t="n">
        <f aca="false">K240*INDEX(Surface_Engine!$B$12:$B$72,$A240+1)+L241</f>
        <v>323.977957686654</v>
      </c>
      <c r="M240" s="48" t="n">
        <f aca="false">M239+B239*(IF($A239&lt;$Q$195,(Surface_Engine!Q236*12)-(Surface_Engine!Q236*12)*INDEX(Surface_Engine!$F$12:$F$72,$A239+1)-INDEX(Surface_Engine!$D$12:$D$72,$A239+1),-(1000*12*INDEX(Surface_Engine!$C$12:$C$72,$A239+1)/(1+Assumptions!$B$10)^30+INDEX(Surface_Engine!$D$12:$D$72,$A239+1))))*INDEX(Surface_Engine!$B$12:$B$72,$A239+1)</f>
        <v>1031.46652618299</v>
      </c>
      <c r="N240" s="12" t="n">
        <f aca="false">IF(B240&lt;=0,0,MAX(0,(K240+Assumptions!$B$29*L240/INDEX(Surface_Engine!$B$12:$B$72,$A240+1)-(M240/INDEX(Surface_Engine!$B$12:$B$72,$A240+1)-(F240/INDEX(Surface_Engine!$B$12:$B$72,$A240+1))))/B240))</f>
        <v>0</v>
      </c>
    </row>
    <row r="241" customFormat="false" ht="15" hidden="false" customHeight="true" outlineLevel="0" collapsed="false">
      <c r="A241" s="1" t="n">
        <v>44</v>
      </c>
      <c r="B241" s="32" t="n">
        <f aca="false">INDEX(Surface_Engine!$G$12:$G$72,$A241+1)*IF($A241&lt;$Q$195,INDEX(Surface_Engine!$E$12:$E$72,$A241+1),INDEX(Surface_Engine!$E$12:$E$72,$Q$195+1))</f>
        <v>0.0291113459268417</v>
      </c>
      <c r="C241" s="32" t="n">
        <f aca="false">INDEX(Panel_Reserving!$B$8:$B$68,$A241+1)*IF($A241&lt;$Q$195,INDEX(Surface_Engine!$E$12:$E$72,$A241+1),INDEX(Surface_Engine!$E$12:$E$72,$Q$195+1))</f>
        <v>0.0577696246537071</v>
      </c>
      <c r="D241" s="32" t="n">
        <f aca="false">INDEX(Surface_Engine!$G$12:$G$72,$A241+1)*IF($A241&lt;$Q$195,INDEX(Surface_Engine!$Y$12:$Y$72,$A241+1),INDEX(Surface_Engine!$Y$12:$Y$72,$Q$195+1))</f>
        <v>0.0246122157697861</v>
      </c>
      <c r="E241" s="32" t="n">
        <f aca="false">INDEX(Surface_Engine!$G$12:$G$72,$A241+1)*IF($A241&lt;$Q$195,INDEX(Surface_Engine!$Z$12:$Z$72,$A241+1),INDEX(Surface_Engine!$Z$12:$Z$72,$Q$195+1))</f>
        <v>0.0343904491193918</v>
      </c>
      <c r="F241" s="48" t="n">
        <f aca="false">B241*(IF($A241&lt;$Q$195,INDEX(Surface_Engine!$D$12:$D$72,$A241+1)+(Surface_Engine!Q236*12)*INDEX(Surface_Engine!$F$12:$F$72,$A241+1)-(Surface_Engine!Q236*12),1000*12*INDEX(Surface_Engine!$C$12:$C$72,$A241+1)/(1+Assumptions!$B$10)^30+INDEX(Surface_Engine!$D$12:$D$72,$A241+1)))*INDEX(Surface_Engine!$B$12:$B$72,$A241+1)+F242</f>
        <v>409.398485416792</v>
      </c>
      <c r="G241" s="48" t="n">
        <f aca="false">C241*(IF($A241&lt;$Q$195,INDEX(Surface_Engine!$D$12:$D$72,$A241+1)+(Surface_Engine!Q236*12)*INDEX(Surface_Engine!$F$12:$F$72,$A241+1)-(Surface_Engine!Q236*12),1000*12*INDEX(Surface_Engine!$C$12:$C$72,$A241+1)/(1+Assumptions!$B$10)^30+INDEX(Surface_Engine!$D$12:$D$72,$A241+1)))*INDEX(Surface_Engine!$B$12:$B$72,$A241+1)+G242</f>
        <v>949.946574887432</v>
      </c>
      <c r="H241" s="48" t="n">
        <f aca="false">D241*(IF($A241&lt;$Q$195,INDEX(Surface_Engine!$D$12:$D$72,$A241+1)+(Surface_Engine!Q236*12)*INDEX(Surface_Engine!$F$12:$F$72,$A241+1)-(Surface_Engine!Q236*12),1000*12*INDEX(Surface_Engine!$C$12:$C$72,$A241+1)/(1+Assumptions!$B$10)^30+INDEX(Surface_Engine!$D$12:$D$72,$A241+1)))*INDEX(Surface_Engine!$B$12:$B$72,$A241+1)+H242</f>
        <v>346.126348270661</v>
      </c>
      <c r="I241" s="48" t="n">
        <f aca="false">E241*(IF($A241&lt;$Q$195,INDEX(Surface_Engine!$D$12:$D$72,$A241+1)+(Surface_Engine!Q236*12)*INDEX(Surface_Engine!$F$12:$F$72,$A241+1)-(Surface_Engine!Q236*12),1000*12*INDEX(Surface_Engine!$C$12:$C$72,$A241+1)/(1+Assumptions!$B$10)^30+INDEX(Surface_Engine!$D$12:$D$72,$A241+1)))*INDEX(Surface_Engine!$B$12:$B$72,$A241+1)+I242</f>
        <v>483.639534141242</v>
      </c>
      <c r="J241" s="48" t="n">
        <f aca="false">B241*(IF($A241&lt;$Q$195,INDEX(Surface_Engine!$D$12:$D$72,$A241+1)*(1+Assumptions!$B$24)+(Surface_Engine!Q236*12)*INDEX(Surface_Engine!$F$12:$F$72,$A241+1)-(Surface_Engine!Q236*12),1000*12*INDEX(Surface_Engine!$C$12:$C$72,$A241+1)/(1+Assumptions!$B$10)^30+INDEX(Surface_Engine!$D$12:$D$72,$A241+1)*(1+Assumptions!$B$24)))*INDEX(Surface_Engine!$B$12:$B$72,$A241+1)+J242</f>
        <v>410.023230259346</v>
      </c>
      <c r="K241" s="12" t="n">
        <f aca="false">SQRT((IF(C241&lt;=0,0,MAX(0,(B241/C241)*G241/INDEX(Surface_Engine!$B$12:$B$72,$A241+1)-F241/INDEX(Surface_Engine!$B$12:$B$72,$A241+1))))^2+(MAX(IF(D241&lt;=0,0,MAX(0,(B241/D241)*H241/INDEX(Surface_Engine!$B$12:$B$72,$A241+1)-F241/INDEX(Surface_Engine!$B$12:$B$72,$A241+1))),IF(E241&lt;=0,0,MAX(0,(B241/E241)*I241/INDEX(Surface_Engine!$B$12:$B$72,$A241+1)-F241/INDEX(Surface_Engine!$B$12:$B$72,$A241+1))),IF($A241&lt;$Q$195,MAX(0,-Assumptions!$B$22*(F241/INDEX(Surface_Engine!$B$12:$B$72,$A241+1))),0)))^2+(MAX(0,J241/INDEX(Surface_Engine!$B$12:$B$72,$A241+1)-(F241/INDEX(Surface_Engine!$B$12:$B$72,$A241+1))))^2+2*Assumptions!$B$26*(IF(C241&lt;=0,0,MAX(0,(B241/C241)*G241/INDEX(Surface_Engine!$B$12:$B$72,$A241+1)-F241/INDEX(Surface_Engine!$B$12:$B$72,$A241+1))))*(MAX(IF(D241&lt;=0,0,MAX(0,(B241/D241)*H241/INDEX(Surface_Engine!$B$12:$B$72,$A241+1)-F241/INDEX(Surface_Engine!$B$12:$B$72,$A241+1))),IF(E241&lt;=0,0,MAX(0,(B241/E241)*I241/INDEX(Surface_Engine!$B$12:$B$72,$A241+1)-F241/INDEX(Surface_Engine!$B$12:$B$72,$A241+1))),IF($A241&lt;$Q$195,MAX(0,-Assumptions!$B$22*(F241/INDEX(Surface_Engine!$B$12:$B$72,$A241+1))),0)))+2*Assumptions!$B$27*(IF(C241&lt;=0,0,MAX(0,(B241/C241)*G241/INDEX(Surface_Engine!$B$12:$B$72,$A241+1)-F241/INDEX(Surface_Engine!$B$12:$B$72,$A241+1))))*(MAX(0,J241/INDEX(Surface_Engine!$B$12:$B$72,$A241+1)-(F241/INDEX(Surface_Engine!$B$12:$B$72,$A241+1))))+2*Assumptions!$B$28*(MAX(IF(D241&lt;=0,0,MAX(0,(B241/D241)*H241/INDEX(Surface_Engine!$B$12:$B$72,$A241+1)-F241/INDEX(Surface_Engine!$B$12:$B$72,$A241+1))),IF(E241&lt;=0,0,MAX(0,(B241/E241)*I241/INDEX(Surface_Engine!$B$12:$B$72,$A241+1)-F241/INDEX(Surface_Engine!$B$12:$B$72,$A241+1))),IF($A241&lt;$Q$195,MAX(0,-Assumptions!$B$22*(F241/INDEX(Surface_Engine!$B$12:$B$72,$A241+1))),0)))*(MAX(0,J241/INDEX(Surface_Engine!$B$12:$B$72,$A241+1)-(F241/INDEX(Surface_Engine!$B$12:$B$72,$A241+1)))))</f>
        <v>278.56674720947</v>
      </c>
      <c r="L241" s="48" t="n">
        <f aca="false">K241*INDEX(Surface_Engine!$B$12:$B$72,$A241+1)+L242</f>
        <v>223.853360301252</v>
      </c>
      <c r="M241" s="48" t="n">
        <f aca="false">M240+B240*(IF($A240&lt;$Q$195,(Surface_Engine!Q236*12)-(Surface_Engine!Q236*12)*INDEX(Surface_Engine!$F$12:$F$72,$A240+1)-INDEX(Surface_Engine!$D$12:$D$72,$A240+1),-(1000*12*INDEX(Surface_Engine!$C$12:$C$72,$A240+1)/(1+Assumptions!$B$10)^30+INDEX(Surface_Engine!$D$12:$D$72,$A240+1))))*INDEX(Surface_Engine!$B$12:$B$72,$A240+1)</f>
        <v>875.587937334504</v>
      </c>
      <c r="N241" s="12" t="n">
        <f aca="false">IF(B241&lt;=0,0,MAX(0,(K241+Assumptions!$B$29*L241/INDEX(Surface_Engine!$B$12:$B$72,$A241+1)-(M241/INDEX(Surface_Engine!$B$12:$B$72,$A241+1)-(F241/INDEX(Surface_Engine!$B$12:$B$72,$A241+1))))/B241))</f>
        <v>0</v>
      </c>
    </row>
    <row r="242" customFormat="false" ht="15" hidden="false" customHeight="true" outlineLevel="0" collapsed="false">
      <c r="A242" s="1" t="n">
        <v>45</v>
      </c>
      <c r="B242" s="32" t="n">
        <f aca="false">INDEX(Surface_Engine!$G$12:$G$72,$A242+1)*IF($A242&lt;$Q$195,INDEX(Surface_Engine!$E$12:$E$72,$A242+1),INDEX(Surface_Engine!$E$12:$E$72,$Q$195+1))</f>
        <v>0.0223108220147034</v>
      </c>
      <c r="C242" s="32" t="n">
        <f aca="false">INDEX(Panel_Reserving!$B$8:$B$68,$A242+1)*IF($A242&lt;$Q$195,INDEX(Surface_Engine!$E$12:$E$72,$A242+1),INDEX(Surface_Engine!$E$12:$E$72,$Q$195+1))</f>
        <v>0.0469734570058058</v>
      </c>
      <c r="D242" s="32" t="n">
        <f aca="false">INDEX(Surface_Engine!$G$12:$G$72,$A242+1)*IF($A242&lt;$Q$195,INDEX(Surface_Engine!$Y$12:$Y$72,$A242+1),INDEX(Surface_Engine!$Y$12:$Y$72,$Q$195+1))</f>
        <v>0.0188627062042111</v>
      </c>
      <c r="E242" s="32" t="n">
        <f aca="false">INDEX(Surface_Engine!$G$12:$G$72,$A242+1)*IF($A242&lt;$Q$195,INDEX(Surface_Engine!$Z$12:$Z$72,$A242+1),INDEX(Surface_Engine!$Z$12:$Z$72,$Q$195+1))</f>
        <v>0.0263567061185242</v>
      </c>
      <c r="F242" s="48" t="n">
        <f aca="false">B242*(IF($A242&lt;$Q$195,INDEX(Surface_Engine!$D$12:$D$72,$A242+1)+(Surface_Engine!Q236*12)*INDEX(Surface_Engine!$F$12:$F$72,$A242+1)-(Surface_Engine!Q236*12),1000*12*INDEX(Surface_Engine!$C$12:$C$72,$A242+1)/(1+Assumptions!$B$10)^30+INDEX(Surface_Engine!$D$12:$D$72,$A242+1)))*INDEX(Surface_Engine!$B$12:$B$72,$A242+1)+F243</f>
        <v>292.701806398228</v>
      </c>
      <c r="G242" s="48" t="n">
        <f aca="false">C242*(IF($A242&lt;$Q$195,INDEX(Surface_Engine!$D$12:$D$72,$A242+1)+(Surface_Engine!Q236*12)*INDEX(Surface_Engine!$F$12:$F$72,$A242+1)-(Surface_Engine!Q236*12),1000*12*INDEX(Surface_Engine!$C$12:$C$72,$A242+1)/(1+Assumptions!$B$10)^30+INDEX(Surface_Engine!$D$12:$D$72,$A242+1)))*INDEX(Surface_Engine!$B$12:$B$72,$A242+1)+G243</f>
        <v>718.369396622353</v>
      </c>
      <c r="H242" s="48" t="n">
        <f aca="false">D242*(IF($A242&lt;$Q$195,INDEX(Surface_Engine!$D$12:$D$72,$A242+1)+(Surface_Engine!Q236*12)*INDEX(Surface_Engine!$F$12:$F$72,$A242+1)-(Surface_Engine!Q236*12),1000*12*INDEX(Surface_Engine!$C$12:$C$72,$A242+1)/(1+Assumptions!$B$10)^30+INDEX(Surface_Engine!$D$12:$D$72,$A242+1)))*INDEX(Surface_Engine!$B$12:$B$72,$A242+1)+H243</f>
        <v>247.46502732589</v>
      </c>
      <c r="I242" s="48" t="n">
        <f aca="false">E242*(IF($A242&lt;$Q$195,INDEX(Surface_Engine!$D$12:$D$72,$A242+1)+(Surface_Engine!Q236*12)*INDEX(Surface_Engine!$F$12:$F$72,$A242+1)-(Surface_Engine!Q236*12),1000*12*INDEX(Surface_Engine!$C$12:$C$72,$A242+1)/(1+Assumptions!$B$10)^30+INDEX(Surface_Engine!$D$12:$D$72,$A242+1)))*INDEX(Surface_Engine!$B$12:$B$72,$A242+1)+I243</f>
        <v>345.780872014267</v>
      </c>
      <c r="J242" s="48" t="n">
        <f aca="false">B242*(IF($A242&lt;$Q$195,INDEX(Surface_Engine!$D$12:$D$72,$A242+1)*(1+Assumptions!$B$24)+(Surface_Engine!Q236*12)*INDEX(Surface_Engine!$F$12:$F$72,$A242+1)-(Surface_Engine!Q236*12),1000*12*INDEX(Surface_Engine!$C$12:$C$72,$A242+1)/(1+Assumptions!$B$10)^30+INDEX(Surface_Engine!$D$12:$D$72,$A242+1)*(1+Assumptions!$B$24)))*INDEX(Surface_Engine!$B$12:$B$72,$A242+1)+J243</f>
        <v>293.150141148343</v>
      </c>
      <c r="K242" s="12" t="n">
        <f aca="false">SQRT((IF(C242&lt;=0,0,MAX(0,(B242/C242)*G242/INDEX(Surface_Engine!$B$12:$B$72,$A242+1)-F242/INDEX(Surface_Engine!$B$12:$B$72,$A242+1))))^2+(MAX(IF(D242&lt;=0,0,MAX(0,(B242/D242)*H242/INDEX(Surface_Engine!$B$12:$B$72,$A242+1)-F242/INDEX(Surface_Engine!$B$12:$B$72,$A242+1))),IF(E242&lt;=0,0,MAX(0,(B242/E242)*I242/INDEX(Surface_Engine!$B$12:$B$72,$A242+1)-F242/INDEX(Surface_Engine!$B$12:$B$72,$A242+1))),IF($A242&lt;$Q$195,MAX(0,-Assumptions!$B$22*(F242/INDEX(Surface_Engine!$B$12:$B$72,$A242+1))),0)))^2+(MAX(0,J242/INDEX(Surface_Engine!$B$12:$B$72,$A242+1)-(F242/INDEX(Surface_Engine!$B$12:$B$72,$A242+1))))^2+2*Assumptions!$B$26*(IF(C242&lt;=0,0,MAX(0,(B242/C242)*G242/INDEX(Surface_Engine!$B$12:$B$72,$A242+1)-F242/INDEX(Surface_Engine!$B$12:$B$72,$A242+1))))*(MAX(IF(D242&lt;=0,0,MAX(0,(B242/D242)*H242/INDEX(Surface_Engine!$B$12:$B$72,$A242+1)-F242/INDEX(Surface_Engine!$B$12:$B$72,$A242+1))),IF(E242&lt;=0,0,MAX(0,(B242/E242)*I242/INDEX(Surface_Engine!$B$12:$B$72,$A242+1)-F242/INDEX(Surface_Engine!$B$12:$B$72,$A242+1))),IF($A242&lt;$Q$195,MAX(0,-Assumptions!$B$22*(F242/INDEX(Surface_Engine!$B$12:$B$72,$A242+1))),0)))+2*Assumptions!$B$27*(IF(C242&lt;=0,0,MAX(0,(B242/C242)*G242/INDEX(Surface_Engine!$B$12:$B$72,$A242+1)-F242/INDEX(Surface_Engine!$B$12:$B$72,$A242+1))))*(MAX(0,J242/INDEX(Surface_Engine!$B$12:$B$72,$A242+1)-(F242/INDEX(Surface_Engine!$B$12:$B$72,$A242+1))))+2*Assumptions!$B$28*(MAX(IF(D242&lt;=0,0,MAX(0,(B242/D242)*H242/INDEX(Surface_Engine!$B$12:$B$72,$A242+1)-F242/INDEX(Surface_Engine!$B$12:$B$72,$A242+1))),IF(E242&lt;=0,0,MAX(0,(B242/E242)*I242/INDEX(Surface_Engine!$B$12:$B$72,$A242+1)-F242/INDEX(Surface_Engine!$B$12:$B$72,$A242+1))),IF($A242&lt;$Q$195,MAX(0,-Assumptions!$B$22*(F242/INDEX(Surface_Engine!$B$12:$B$72,$A242+1))),0)))*(MAX(0,J242/INDEX(Surface_Engine!$B$12:$B$72,$A242+1)-(F242/INDEX(Surface_Engine!$B$12:$B$72,$A242+1)))))</f>
        <v>201.395167626365</v>
      </c>
      <c r="L242" s="48" t="n">
        <f aca="false">K242*INDEX(Surface_Engine!$B$12:$B$72,$A242+1)+L243</f>
        <v>154.39468665273</v>
      </c>
      <c r="M242" s="48" t="n">
        <f aca="false">M241+B241*(IF($A241&lt;$Q$195,(Surface_Engine!Q236*12)-(Surface_Engine!Q236*12)*INDEX(Surface_Engine!$F$12:$F$72,$A241+1)-INDEX(Surface_Engine!$D$12:$D$72,$A241+1),-(1000*12*INDEX(Surface_Engine!$C$12:$C$72,$A241+1)/(1+Assumptions!$B$10)^30+INDEX(Surface_Engine!$D$12:$D$72,$A241+1))))*INDEX(Surface_Engine!$B$12:$B$72,$A241+1)</f>
        <v>758.891258315939</v>
      </c>
      <c r="N242" s="12" t="n">
        <f aca="false">IF(B242&lt;=0,0,MAX(0,(K242+Assumptions!$B$29*L242/INDEX(Surface_Engine!$B$12:$B$72,$A242+1)-(M242/INDEX(Surface_Engine!$B$12:$B$72,$A242+1)-(F242/INDEX(Surface_Engine!$B$12:$B$72,$A242+1))))/B242))</f>
        <v>0</v>
      </c>
    </row>
    <row r="243" customFormat="false" ht="15" hidden="false" customHeight="true" outlineLevel="0" collapsed="false">
      <c r="A243" s="1" t="n">
        <v>46</v>
      </c>
      <c r="B243" s="32" t="n">
        <f aca="false">INDEX(Surface_Engine!$G$12:$G$72,$A243+1)*IF($A243&lt;$Q$195,INDEX(Surface_Engine!$E$12:$E$72,$A243+1),INDEX(Surface_Engine!$E$12:$E$72,$Q$195+1))</f>
        <v>0.0196290011905112</v>
      </c>
      <c r="C243" s="32" t="n">
        <f aca="false">INDEX(Panel_Reserving!$B$8:$B$68,$A243+1)*IF($A243&lt;$Q$195,INDEX(Surface_Engine!$E$12:$E$72,$A243+1),INDEX(Surface_Engine!$E$12:$E$72,$Q$195+1))</f>
        <v>0.0424563882900248</v>
      </c>
      <c r="D243" s="32" t="n">
        <f aca="false">INDEX(Surface_Engine!$G$12:$G$72,$A243+1)*IF($A243&lt;$Q$195,INDEX(Surface_Engine!$Y$12:$Y$72,$A243+1),INDEX(Surface_Engine!$Y$12:$Y$72,$Q$195+1))</f>
        <v>0.0165953581761674</v>
      </c>
      <c r="E243" s="32" t="n">
        <f aca="false">INDEX(Surface_Engine!$G$12:$G$72,$A243+1)*IF($A243&lt;$Q$195,INDEX(Surface_Engine!$Z$12:$Z$72,$A243+1),INDEX(Surface_Engine!$Z$12:$Z$72,$Q$195+1))</f>
        <v>0.0231885591412775</v>
      </c>
      <c r="F243" s="48" t="n">
        <f aca="false">B243*(IF($A243&lt;$Q$195,INDEX(Surface_Engine!$D$12:$D$72,$A243+1)+(Surface_Engine!Q236*12)*INDEX(Surface_Engine!$F$12:$F$72,$A243+1)-(Surface_Engine!Q236*12),1000*12*INDEX(Surface_Engine!$C$12:$C$72,$A243+1)/(1+Assumptions!$B$10)^30+INDEX(Surface_Engine!$D$12:$D$72,$A243+1)))*INDEX(Surface_Engine!$B$12:$B$72,$A243+1)+F244</f>
        <v>204.382374561039</v>
      </c>
      <c r="G243" s="48" t="n">
        <f aca="false">C243*(IF($A243&lt;$Q$195,INDEX(Surface_Engine!$D$12:$D$72,$A243+1)+(Surface_Engine!Q236*12)*INDEX(Surface_Engine!$F$12:$F$72,$A243+1)-(Surface_Engine!Q236*12),1000*12*INDEX(Surface_Engine!$C$12:$C$72,$A243+1)/(1+Assumptions!$B$10)^30+INDEX(Surface_Engine!$D$12:$D$72,$A243+1)))*INDEX(Surface_Engine!$B$12:$B$72,$A243+1)+G244</f>
        <v>532.420665936981</v>
      </c>
      <c r="H243" s="48" t="n">
        <f aca="false">D243*(IF($A243&lt;$Q$195,INDEX(Surface_Engine!$D$12:$D$72,$A243+1)+(Surface_Engine!Q236*12)*INDEX(Surface_Engine!$F$12:$F$72,$A243+1)-(Surface_Engine!Q236*12),1000*12*INDEX(Surface_Engine!$C$12:$C$72,$A243+1)/(1+Assumptions!$B$10)^30+INDEX(Surface_Engine!$D$12:$D$72,$A243+1)))*INDEX(Surface_Engine!$B$12:$B$72,$A243+1)+H244</f>
        <v>172.795277651502</v>
      </c>
      <c r="I243" s="48" t="n">
        <f aca="false">E243*(IF($A243&lt;$Q$195,INDEX(Surface_Engine!$D$12:$D$72,$A243+1)+(Surface_Engine!Q236*12)*INDEX(Surface_Engine!$F$12:$F$72,$A243+1)-(Surface_Engine!Q236*12),1000*12*INDEX(Surface_Engine!$C$12:$C$72,$A243+1)/(1+Assumptions!$B$10)^30+INDEX(Surface_Engine!$D$12:$D$72,$A243+1)))*INDEX(Surface_Engine!$B$12:$B$72,$A243+1)+I244</f>
        <v>241.445437490442</v>
      </c>
      <c r="J243" s="48" t="n">
        <f aca="false">B243*(IF($A243&lt;$Q$195,INDEX(Surface_Engine!$D$12:$D$72,$A243+1)*(1+Assumptions!$B$24)+(Surface_Engine!Q236*12)*INDEX(Surface_Engine!$F$12:$F$72,$A243+1)-(Surface_Engine!Q236*12),1000*12*INDEX(Surface_Engine!$C$12:$C$72,$A243+1)/(1+Assumptions!$B$10)^30+INDEX(Surface_Engine!$D$12:$D$72,$A243+1)*(1+Assumptions!$B$24)))*INDEX(Surface_Engine!$B$12:$B$72,$A243+1)+J244</f>
        <v>204.696552505326</v>
      </c>
      <c r="K243" s="12" t="n">
        <f aca="false">SQRT((IF(C243&lt;=0,0,MAX(0,(B243/C243)*G243/INDEX(Surface_Engine!$B$12:$B$72,$A243+1)-F243/INDEX(Surface_Engine!$B$12:$B$72,$A243+1))))^2+(MAX(IF(D243&lt;=0,0,MAX(0,(B243/D243)*H243/INDEX(Surface_Engine!$B$12:$B$72,$A243+1)-F243/INDEX(Surface_Engine!$B$12:$B$72,$A243+1))),IF(E243&lt;=0,0,MAX(0,(B243/E243)*I243/INDEX(Surface_Engine!$B$12:$B$72,$A243+1)-F243/INDEX(Surface_Engine!$B$12:$B$72,$A243+1))),IF($A243&lt;$Q$195,MAX(0,-Assumptions!$B$22*(F243/INDEX(Surface_Engine!$B$12:$B$72,$A243+1))),0)))^2+(MAX(0,J243/INDEX(Surface_Engine!$B$12:$B$72,$A243+1)-(F243/INDEX(Surface_Engine!$B$12:$B$72,$A243+1))))^2+2*Assumptions!$B$26*(IF(C243&lt;=0,0,MAX(0,(B243/C243)*G243/INDEX(Surface_Engine!$B$12:$B$72,$A243+1)-F243/INDEX(Surface_Engine!$B$12:$B$72,$A243+1))))*(MAX(IF(D243&lt;=0,0,MAX(0,(B243/D243)*H243/INDEX(Surface_Engine!$B$12:$B$72,$A243+1)-F243/INDEX(Surface_Engine!$B$12:$B$72,$A243+1))),IF(E243&lt;=0,0,MAX(0,(B243/E243)*I243/INDEX(Surface_Engine!$B$12:$B$72,$A243+1)-F243/INDEX(Surface_Engine!$B$12:$B$72,$A243+1))),IF($A243&lt;$Q$195,MAX(0,-Assumptions!$B$22*(F243/INDEX(Surface_Engine!$B$12:$B$72,$A243+1))),0)))+2*Assumptions!$B$27*(IF(C243&lt;=0,0,MAX(0,(B243/C243)*G243/INDEX(Surface_Engine!$B$12:$B$72,$A243+1)-F243/INDEX(Surface_Engine!$B$12:$B$72,$A243+1))))*(MAX(0,J243/INDEX(Surface_Engine!$B$12:$B$72,$A243+1)-(F243/INDEX(Surface_Engine!$B$12:$B$72,$A243+1))))+2*Assumptions!$B$28*(MAX(IF(D243&lt;=0,0,MAX(0,(B243/D243)*H243/INDEX(Surface_Engine!$B$12:$B$72,$A243+1)-F243/INDEX(Surface_Engine!$B$12:$B$72,$A243+1))),IF(E243&lt;=0,0,MAX(0,(B243/E243)*I243/INDEX(Surface_Engine!$B$12:$B$72,$A243+1)-F243/INDEX(Surface_Engine!$B$12:$B$72,$A243+1))),IF($A243&lt;$Q$195,MAX(0,-Assumptions!$B$22*(F243/INDEX(Surface_Engine!$B$12:$B$72,$A243+1))),0)))*(MAX(0,J243/INDEX(Surface_Engine!$B$12:$B$72,$A243+1)-(F243/INDEX(Surface_Engine!$B$12:$B$72,$A243+1)))))</f>
        <v>179.031348919135</v>
      </c>
      <c r="L243" s="48" t="n">
        <f aca="false">K243*INDEX(Surface_Engine!$B$12:$B$72,$A243+1)+L244</f>
        <v>105.781018896426</v>
      </c>
      <c r="M243" s="48" t="n">
        <f aca="false">M242+B242*(IF($A242&lt;$Q$195,(Surface_Engine!Q236*12)-(Surface_Engine!Q236*12)*INDEX(Surface_Engine!$F$12:$F$72,$A242+1)-INDEX(Surface_Engine!$D$12:$D$72,$A242+1),-(1000*12*INDEX(Surface_Engine!$C$12:$C$72,$A242+1)/(1+Assumptions!$B$10)^30+INDEX(Surface_Engine!$D$12:$D$72,$A242+1))))*INDEX(Surface_Engine!$B$12:$B$72,$A242+1)</f>
        <v>670.571826478751</v>
      </c>
      <c r="N243" s="12" t="n">
        <f aca="false">IF(B243&lt;=0,0,MAX(0,(K243+Assumptions!$B$29*L243/INDEX(Surface_Engine!$B$12:$B$72,$A243+1)-(M243/INDEX(Surface_Engine!$B$12:$B$72,$A243+1)-(F243/INDEX(Surface_Engine!$B$12:$B$72,$A243+1))))/B243))</f>
        <v>0</v>
      </c>
    </row>
    <row r="244" customFormat="false" ht="15" hidden="false" customHeight="true" outlineLevel="0" collapsed="false">
      <c r="A244" s="1" t="n">
        <v>47</v>
      </c>
      <c r="B244" s="32" t="n">
        <f aca="false">INDEX(Surface_Engine!$G$12:$G$72,$A244+1)*IF($A244&lt;$Q$195,INDEX(Surface_Engine!$E$12:$E$72,$A244+1),INDEX(Surface_Engine!$E$12:$E$72,$Q$195+1))</f>
        <v>0.0131502255786785</v>
      </c>
      <c r="C244" s="32" t="n">
        <f aca="false">INDEX(Panel_Reserving!$B$8:$B$68,$A244+1)*IF($A244&lt;$Q$195,INDEX(Surface_Engine!$E$12:$E$72,$A244+1),INDEX(Surface_Engine!$E$12:$E$72,$Q$195+1))</f>
        <v>0.0312458163266227</v>
      </c>
      <c r="D244" s="32" t="n">
        <f aca="false">INDEX(Surface_Engine!$G$12:$G$72,$A244+1)*IF($A244&lt;$Q$195,INDEX(Surface_Engine!$Y$12:$Y$72,$A244+1),INDEX(Surface_Engine!$Y$12:$Y$72,$Q$195+1))</f>
        <v>0.011117871024485</v>
      </c>
      <c r="E244" s="32" t="n">
        <f aca="false">INDEX(Surface_Engine!$G$12:$G$72,$A244+1)*IF($A244&lt;$Q$195,INDEX(Surface_Engine!$Z$12:$Z$72,$A244+1),INDEX(Surface_Engine!$Z$12:$Z$72,$Q$195+1))</f>
        <v>0.0155349108491436</v>
      </c>
      <c r="F244" s="48" t="n">
        <f aca="false">B244*(IF($A244&lt;$Q$195,INDEX(Surface_Engine!$D$12:$D$72,$A244+1)+(Surface_Engine!Q236*12)*INDEX(Surface_Engine!$F$12:$F$72,$A244+1)-(Surface_Engine!Q236*12),1000*12*INDEX(Surface_Engine!$C$12:$C$72,$A244+1)/(1+Assumptions!$B$10)^30+INDEX(Surface_Engine!$D$12:$D$72,$A244+1)))*INDEX(Surface_Engine!$B$12:$B$72,$A244+1)+F245</f>
        <v>127.617901794549</v>
      </c>
      <c r="G244" s="48" t="n">
        <f aca="false">C244*(IF($A244&lt;$Q$195,INDEX(Surface_Engine!$D$12:$D$72,$A244+1)+(Surface_Engine!Q236*12)*INDEX(Surface_Engine!$F$12:$F$72,$A244+1)-(Surface_Engine!Q236*12),1000*12*INDEX(Surface_Engine!$C$12:$C$72,$A244+1)/(1+Assumptions!$B$10)^30+INDEX(Surface_Engine!$D$12:$D$72,$A244+1)))*INDEX(Surface_Engine!$B$12:$B$72,$A244+1)+G245</f>
        <v>366.383574644294</v>
      </c>
      <c r="H244" s="48" t="n">
        <f aca="false">D244*(IF($A244&lt;$Q$195,INDEX(Surface_Engine!$D$12:$D$72,$A244+1)+(Surface_Engine!Q236*12)*INDEX(Surface_Engine!$F$12:$F$72,$A244+1)-(Surface_Engine!Q236*12),1000*12*INDEX(Surface_Engine!$C$12:$C$72,$A244+1)/(1+Assumptions!$B$10)^30+INDEX(Surface_Engine!$D$12:$D$72,$A244+1)))*INDEX(Surface_Engine!$B$12:$B$72,$A244+1)+H245</f>
        <v>107.894679378556</v>
      </c>
      <c r="I244" s="48" t="n">
        <f aca="false">E244*(IF($A244&lt;$Q$195,INDEX(Surface_Engine!$D$12:$D$72,$A244+1)+(Surface_Engine!Q236*12)*INDEX(Surface_Engine!$F$12:$F$72,$A244+1)-(Surface_Engine!Q236*12),1000*12*INDEX(Surface_Engine!$C$12:$C$72,$A244+1)/(1+Assumptions!$B$10)^30+INDEX(Surface_Engine!$D$12:$D$72,$A244+1)))*INDEX(Surface_Engine!$B$12:$B$72,$A244+1)+I245</f>
        <v>150.76035884491</v>
      </c>
      <c r="J244" s="48" t="n">
        <f aca="false">B244*(IF($A244&lt;$Q$195,INDEX(Surface_Engine!$D$12:$D$72,$A244+1)*(1+Assumptions!$B$24)+(Surface_Engine!Q236*12)*INDEX(Surface_Engine!$F$12:$F$72,$A244+1)-(Surface_Engine!Q236*12),1000*12*INDEX(Surface_Engine!$C$12:$C$72,$A244+1)/(1+Assumptions!$B$10)^30+INDEX(Surface_Engine!$D$12:$D$72,$A244+1)*(1+Assumptions!$B$24)))*INDEX(Surface_Engine!$B$12:$B$72,$A244+1)+J245</f>
        <v>127.814911993888</v>
      </c>
      <c r="K244" s="12" t="n">
        <f aca="false">SQRT((IF(C244&lt;=0,0,MAX(0,(B244/C244)*G244/INDEX(Surface_Engine!$B$12:$B$72,$A244+1)-F244/INDEX(Surface_Engine!$B$12:$B$72,$A244+1))))^2+(MAX(IF(D244&lt;=0,0,MAX(0,(B244/D244)*H244/INDEX(Surface_Engine!$B$12:$B$72,$A244+1)-F244/INDEX(Surface_Engine!$B$12:$B$72,$A244+1))),IF(E244&lt;=0,0,MAX(0,(B244/E244)*I244/INDEX(Surface_Engine!$B$12:$B$72,$A244+1)-F244/INDEX(Surface_Engine!$B$12:$B$72,$A244+1))),IF($A244&lt;$Q$195,MAX(0,-Assumptions!$B$22*(F244/INDEX(Surface_Engine!$B$12:$B$72,$A244+1))),0)))^2+(MAX(0,J244/INDEX(Surface_Engine!$B$12:$B$72,$A244+1)-(F244/INDEX(Surface_Engine!$B$12:$B$72,$A244+1))))^2+2*Assumptions!$B$26*(IF(C244&lt;=0,0,MAX(0,(B244/C244)*G244/INDEX(Surface_Engine!$B$12:$B$72,$A244+1)-F244/INDEX(Surface_Engine!$B$12:$B$72,$A244+1))))*(MAX(IF(D244&lt;=0,0,MAX(0,(B244/D244)*H244/INDEX(Surface_Engine!$B$12:$B$72,$A244+1)-F244/INDEX(Surface_Engine!$B$12:$B$72,$A244+1))),IF(E244&lt;=0,0,MAX(0,(B244/E244)*I244/INDEX(Surface_Engine!$B$12:$B$72,$A244+1)-F244/INDEX(Surface_Engine!$B$12:$B$72,$A244+1))),IF($A244&lt;$Q$195,MAX(0,-Assumptions!$B$22*(F244/INDEX(Surface_Engine!$B$12:$B$72,$A244+1))),0)))+2*Assumptions!$B$27*(IF(C244&lt;=0,0,MAX(0,(B244/C244)*G244/INDEX(Surface_Engine!$B$12:$B$72,$A244+1)-F244/INDEX(Surface_Engine!$B$12:$B$72,$A244+1))))*(MAX(0,J244/INDEX(Surface_Engine!$B$12:$B$72,$A244+1)-(F244/INDEX(Surface_Engine!$B$12:$B$72,$A244+1))))+2*Assumptions!$B$28*(MAX(IF(D244&lt;=0,0,MAX(0,(B244/D244)*H244/INDEX(Surface_Engine!$B$12:$B$72,$A244+1)-F244/INDEX(Surface_Engine!$B$12:$B$72,$A244+1))),IF(E244&lt;=0,0,MAX(0,(B244/E244)*I244/INDEX(Surface_Engine!$B$12:$B$72,$A244+1)-F244/INDEX(Surface_Engine!$B$12:$B$72,$A244+1))),IF($A244&lt;$Q$195,MAX(0,-Assumptions!$B$22*(F244/INDEX(Surface_Engine!$B$12:$B$72,$A244+1))),0)))*(MAX(0,J244/INDEX(Surface_Engine!$B$12:$B$72,$A244+1)-(F244/INDEX(Surface_Engine!$B$12:$B$72,$A244+1)))))</f>
        <v>117.62099453447</v>
      </c>
      <c r="L244" s="48" t="n">
        <f aca="false">K244*INDEX(Surface_Engine!$B$12:$B$72,$A244+1)+L245</f>
        <v>63.9279514272224</v>
      </c>
      <c r="M244" s="48" t="n">
        <f aca="false">M243+B243*(IF($A243&lt;$Q$195,(Surface_Engine!Q236*12)-(Surface_Engine!Q236*12)*INDEX(Surface_Engine!$F$12:$F$72,$A243+1)-INDEX(Surface_Engine!$D$12:$D$72,$A243+1),-(1000*12*INDEX(Surface_Engine!$C$12:$C$72,$A243+1)/(1+Assumptions!$B$10)^30+INDEX(Surface_Engine!$D$12:$D$72,$A243+1))))*INDEX(Surface_Engine!$B$12:$B$72,$A243+1)</f>
        <v>593.80735371226</v>
      </c>
      <c r="N244" s="12" t="n">
        <f aca="false">IF(B244&lt;=0,0,MAX(0,(K244+Assumptions!$B$29*L244/INDEX(Surface_Engine!$B$12:$B$72,$A244+1)-(M244/INDEX(Surface_Engine!$B$12:$B$72,$A244+1)-(F244/INDEX(Surface_Engine!$B$12:$B$72,$A244+1))))/B244))</f>
        <v>0</v>
      </c>
    </row>
    <row r="245" customFormat="false" ht="15" hidden="false" customHeight="true" outlineLevel="0" collapsed="false">
      <c r="A245" s="1" t="n">
        <v>48</v>
      </c>
      <c r="B245" s="32" t="n">
        <f aca="false">INDEX(Surface_Engine!$G$12:$G$72,$A245+1)*IF($A245&lt;$Q$195,INDEX(Surface_Engine!$E$12:$E$72,$A245+1),INDEX(Surface_Engine!$E$12:$E$72,$Q$195+1))</f>
        <v>0.00848168551790343</v>
      </c>
      <c r="C245" s="32" t="n">
        <f aca="false">INDEX(Panel_Reserving!$B$8:$B$68,$A245+1)*IF($A245&lt;$Q$195,INDEX(Surface_Engine!$E$12:$E$72,$A245+1),INDEX(Surface_Engine!$E$12:$E$72,$Q$195+1))</f>
        <v>0.0223716053479778</v>
      </c>
      <c r="D245" s="32" t="n">
        <f aca="false">INDEX(Surface_Engine!$G$12:$G$72,$A245+1)*IF($A245&lt;$Q$195,INDEX(Surface_Engine!$Y$12:$Y$72,$A245+1),INDEX(Surface_Engine!$Y$12:$Y$72,$Q$195+1))</f>
        <v>0.00717084928270634</v>
      </c>
      <c r="E245" s="32" t="n">
        <f aca="false">INDEX(Surface_Engine!$G$12:$G$72,$A245+1)*IF($A245&lt;$Q$195,INDEX(Surface_Engine!$Z$12:$Z$72,$A245+1),INDEX(Surface_Engine!$Z$12:$Z$72,$Q$195+1))</f>
        <v>0.0100197694391448</v>
      </c>
      <c r="F245" s="48" t="n">
        <f aca="false">B245*(IF($A245&lt;$Q$195,INDEX(Surface_Engine!$D$12:$D$72,$A245+1)+(Surface_Engine!Q236*12)*INDEX(Surface_Engine!$F$12:$F$72,$A245+1)-(Surface_Engine!Q236*12),1000*12*INDEX(Surface_Engine!$C$12:$C$72,$A245+1)/(1+Assumptions!$B$10)^30+INDEX(Surface_Engine!$D$12:$D$72,$A245+1)))*INDEX(Surface_Engine!$B$12:$B$72,$A245+1)+F246</f>
        <v>76.8126754875858</v>
      </c>
      <c r="G245" s="48" t="n">
        <f aca="false">C245*(IF($A245&lt;$Q$195,INDEX(Surface_Engine!$D$12:$D$72,$A245+1)+(Surface_Engine!Q236*12)*INDEX(Surface_Engine!$F$12:$F$72,$A245+1)-(Surface_Engine!Q236*12),1000*12*INDEX(Surface_Engine!$C$12:$C$72,$A245+1)/(1+Assumptions!$B$10)^30+INDEX(Surface_Engine!$D$12:$D$72,$A245+1)))*INDEX(Surface_Engine!$B$12:$B$72,$A245+1)+G246</f>
        <v>245.666955745092</v>
      </c>
      <c r="H245" s="48" t="n">
        <f aca="false">D245*(IF($A245&lt;$Q$195,INDEX(Surface_Engine!$D$12:$D$72,$A245+1)+(Surface_Engine!Q236*12)*INDEX(Surface_Engine!$F$12:$F$72,$A245+1)-(Surface_Engine!Q236*12),1000*12*INDEX(Surface_Engine!$C$12:$C$72,$A245+1)/(1+Assumptions!$B$10)^30+INDEX(Surface_Engine!$D$12:$D$72,$A245+1)))*INDEX(Surface_Engine!$B$12:$B$72,$A245+1)+H246</f>
        <v>64.9413513104484</v>
      </c>
      <c r="I245" s="48" t="n">
        <f aca="false">E245*(IF($A245&lt;$Q$195,INDEX(Surface_Engine!$D$12:$D$72,$A245+1)+(Surface_Engine!Q236*12)*INDEX(Surface_Engine!$F$12:$F$72,$A245+1)-(Surface_Engine!Q236*12),1000*12*INDEX(Surface_Engine!$C$12:$C$72,$A245+1)/(1+Assumptions!$B$10)^30+INDEX(Surface_Engine!$D$12:$D$72,$A245+1)))*INDEX(Surface_Engine!$B$12:$B$72,$A245+1)+I246</f>
        <v>90.7420225337125</v>
      </c>
      <c r="J245" s="48" t="n">
        <f aca="false">B245*(IF($A245&lt;$Q$195,INDEX(Surface_Engine!$D$12:$D$72,$A245+1)*(1+Assumptions!$B$24)+(Surface_Engine!Q236*12)*INDEX(Surface_Engine!$F$12:$F$72,$A245+1)-(Surface_Engine!Q236*12),1000*12*INDEX(Surface_Engine!$C$12:$C$72,$A245+1)/(1+Assumptions!$B$10)^30+INDEX(Surface_Engine!$D$12:$D$72,$A245+1)*(1+Assumptions!$B$24)))*INDEX(Surface_Engine!$B$12:$B$72,$A245+1)+J246</f>
        <v>76.9317659655125</v>
      </c>
      <c r="K245" s="12" t="n">
        <f aca="false">SQRT((IF(C245&lt;=0,0,MAX(0,(B245/C245)*G245/INDEX(Surface_Engine!$B$12:$B$72,$A245+1)-F245/INDEX(Surface_Engine!$B$12:$B$72,$A245+1))))^2+(MAX(IF(D245&lt;=0,0,MAX(0,(B245/D245)*H245/INDEX(Surface_Engine!$B$12:$B$72,$A245+1)-F245/INDEX(Surface_Engine!$B$12:$B$72,$A245+1))),IF(E245&lt;=0,0,MAX(0,(B245/E245)*I245/INDEX(Surface_Engine!$B$12:$B$72,$A245+1)-F245/INDEX(Surface_Engine!$B$12:$B$72,$A245+1))),IF($A245&lt;$Q$195,MAX(0,-Assumptions!$B$22*(F245/INDEX(Surface_Engine!$B$12:$B$72,$A245+1))),0)))^2+(MAX(0,J245/INDEX(Surface_Engine!$B$12:$B$72,$A245+1)-(F245/INDEX(Surface_Engine!$B$12:$B$72,$A245+1))))^2+2*Assumptions!$B$26*(IF(C245&lt;=0,0,MAX(0,(B245/C245)*G245/INDEX(Surface_Engine!$B$12:$B$72,$A245+1)-F245/INDEX(Surface_Engine!$B$12:$B$72,$A245+1))))*(MAX(IF(D245&lt;=0,0,MAX(0,(B245/D245)*H245/INDEX(Surface_Engine!$B$12:$B$72,$A245+1)-F245/INDEX(Surface_Engine!$B$12:$B$72,$A245+1))),IF(E245&lt;=0,0,MAX(0,(B245/E245)*I245/INDEX(Surface_Engine!$B$12:$B$72,$A245+1)-F245/INDEX(Surface_Engine!$B$12:$B$72,$A245+1))),IF($A245&lt;$Q$195,MAX(0,-Assumptions!$B$22*(F245/INDEX(Surface_Engine!$B$12:$B$72,$A245+1))),0)))+2*Assumptions!$B$27*(IF(C245&lt;=0,0,MAX(0,(B245/C245)*G245/INDEX(Surface_Engine!$B$12:$B$72,$A245+1)-F245/INDEX(Surface_Engine!$B$12:$B$72,$A245+1))))*(MAX(0,J245/INDEX(Surface_Engine!$B$12:$B$72,$A245+1)-(F245/INDEX(Surface_Engine!$B$12:$B$72,$A245+1))))+2*Assumptions!$B$28*(MAX(IF(D245&lt;=0,0,MAX(0,(B245/D245)*H245/INDEX(Surface_Engine!$B$12:$B$72,$A245+1)-F245/INDEX(Surface_Engine!$B$12:$B$72,$A245+1))),IF(E245&lt;=0,0,MAX(0,(B245/E245)*I245/INDEX(Surface_Engine!$B$12:$B$72,$A245+1)-F245/INDEX(Surface_Engine!$B$12:$B$72,$A245+1))),IF($A245&lt;$Q$195,MAX(0,-Assumptions!$B$22*(F245/INDEX(Surface_Engine!$B$12:$B$72,$A245+1))),0)))*(MAX(0,J245/INDEX(Surface_Engine!$B$12:$B$72,$A245+1)-(F245/INDEX(Surface_Engine!$B$12:$B$72,$A245+1)))))</f>
        <v>74.6350494194345</v>
      </c>
      <c r="L245" s="48" t="n">
        <f aca="false">K245*INDEX(Surface_Engine!$B$12:$B$72,$A245+1)+L246</f>
        <v>37.2984209122373</v>
      </c>
      <c r="M245" s="48" t="n">
        <f aca="false">M244+B244*(IF($A244&lt;$Q$195,(Surface_Engine!Q236*12)-(Surface_Engine!Q236*12)*INDEX(Surface_Engine!$F$12:$F$72,$A244+1)-INDEX(Surface_Engine!$D$12:$D$72,$A244+1),-(1000*12*INDEX(Surface_Engine!$C$12:$C$72,$A244+1)/(1+Assumptions!$B$10)^30+INDEX(Surface_Engine!$D$12:$D$72,$A244+1))))*INDEX(Surface_Engine!$B$12:$B$72,$A244+1)</f>
        <v>543.002127405297</v>
      </c>
      <c r="N245" s="12" t="n">
        <f aca="false">IF(B245&lt;=0,0,MAX(0,(K245+Assumptions!$B$29*L245/INDEX(Surface_Engine!$B$12:$B$72,$A245+1)-(M245/INDEX(Surface_Engine!$B$12:$B$72,$A245+1)-(F245/INDEX(Surface_Engine!$B$12:$B$72,$A245+1))))/B245))</f>
        <v>0</v>
      </c>
    </row>
    <row r="246" customFormat="false" ht="15" hidden="false" customHeight="true" outlineLevel="0" collapsed="false">
      <c r="A246" s="1" t="n">
        <v>49</v>
      </c>
      <c r="B246" s="32" t="n">
        <f aca="false">INDEX(Surface_Engine!$G$12:$G$72,$A246+1)*IF($A246&lt;$Q$195,INDEX(Surface_Engine!$E$12:$E$72,$A246+1),INDEX(Surface_Engine!$E$12:$E$72,$Q$195+1))</f>
        <v>0.00524432296063052</v>
      </c>
      <c r="C246" s="32" t="n">
        <f aca="false">INDEX(Panel_Reserving!$B$8:$B$68,$A246+1)*IF($A246&lt;$Q$195,INDEX(Surface_Engine!$E$12:$E$72,$A246+1),INDEX(Surface_Engine!$E$12:$E$72,$Q$195+1))</f>
        <v>0.0155404162078709</v>
      </c>
      <c r="D246" s="32" t="n">
        <f aca="false">INDEX(Surface_Engine!$G$12:$G$72,$A246+1)*IF($A246&lt;$Q$195,INDEX(Surface_Engine!$Y$12:$Y$72,$A246+1),INDEX(Surface_Engine!$Y$12:$Y$72,$Q$195+1))</f>
        <v>0.00443381795530348</v>
      </c>
      <c r="E246" s="32" t="n">
        <f aca="false">INDEX(Surface_Engine!$G$12:$G$72,$A246+1)*IF($A246&lt;$Q$195,INDEX(Surface_Engine!$Z$12:$Z$72,$A246+1),INDEX(Surface_Engine!$Z$12:$Z$72,$Q$195+1))</f>
        <v>0.00619533780390856</v>
      </c>
      <c r="F246" s="48" t="n">
        <f aca="false">B246*(IF($A246&lt;$Q$195,INDEX(Surface_Engine!$D$12:$D$72,$A246+1)+(Surface_Engine!Q236*12)*INDEX(Surface_Engine!$F$12:$F$72,$A246+1)-(Surface_Engine!Q236*12),1000*12*INDEX(Surface_Engine!$C$12:$C$72,$A246+1)/(1+Assumptions!$B$10)^30+INDEX(Surface_Engine!$D$12:$D$72,$A246+1)))*INDEX(Surface_Engine!$B$12:$B$72,$A246+1)+F247</f>
        <v>44.4562721329102</v>
      </c>
      <c r="G246" s="48" t="n">
        <f aca="false">C246*(IF($A246&lt;$Q$195,INDEX(Surface_Engine!$D$12:$D$72,$A246+1)+(Surface_Engine!Q236*12)*INDEX(Surface_Engine!$F$12:$F$72,$A246+1)-(Surface_Engine!Q236*12),1000*12*INDEX(Surface_Engine!$C$12:$C$72,$A246+1)/(1+Assumptions!$B$10)^30+INDEX(Surface_Engine!$D$12:$D$72,$A246+1)))*INDEX(Surface_Engine!$B$12:$B$72,$A246+1)+G247</f>
        <v>160.322517448856</v>
      </c>
      <c r="H246" s="48" t="n">
        <f aca="false">D246*(IF($A246&lt;$Q$195,INDEX(Surface_Engine!$D$12:$D$72,$A246+1)+(Surface_Engine!Q236*12)*INDEX(Surface_Engine!$F$12:$F$72,$A246+1)-(Surface_Engine!Q236*12),1000*12*INDEX(Surface_Engine!$C$12:$C$72,$A246+1)/(1+Assumptions!$B$10)^30+INDEX(Surface_Engine!$D$12:$D$72,$A246+1)))*INDEX(Surface_Engine!$B$12:$B$72,$A246+1)+H247</f>
        <v>37.5855985774485</v>
      </c>
      <c r="I246" s="48" t="n">
        <f aca="false">E246*(IF($A246&lt;$Q$195,INDEX(Surface_Engine!$D$12:$D$72,$A246+1)+(Surface_Engine!Q236*12)*INDEX(Surface_Engine!$F$12:$F$72,$A246+1)-(Surface_Engine!Q236*12),1000*12*INDEX(Surface_Engine!$C$12:$C$72,$A246+1)/(1+Assumptions!$B$10)^30+INDEX(Surface_Engine!$D$12:$D$72,$A246+1)))*INDEX(Surface_Engine!$B$12:$B$72,$A246+1)+I247</f>
        <v>52.5180515070245</v>
      </c>
      <c r="J246" s="48" t="n">
        <f aca="false">B246*(IF($A246&lt;$Q$195,INDEX(Surface_Engine!$D$12:$D$72,$A246+1)*(1+Assumptions!$B$24)+(Surface_Engine!Q236*12)*INDEX(Surface_Engine!$F$12:$F$72,$A246+1)-(Surface_Engine!Q236*12),1000*12*INDEX(Surface_Engine!$C$12:$C$72,$A246+1)/(1+Assumptions!$B$10)^30+INDEX(Surface_Engine!$D$12:$D$72,$A246+1)*(1+Assumptions!$B$24)))*INDEX(Surface_Engine!$B$12:$B$72,$A246+1)+J247</f>
        <v>44.5254982466596</v>
      </c>
      <c r="K246" s="12" t="n">
        <f aca="false">SQRT((IF(C246&lt;=0,0,MAX(0,(B246/C246)*G246/INDEX(Surface_Engine!$B$12:$B$72,$A246+1)-F246/INDEX(Surface_Engine!$B$12:$B$72,$A246+1))))^2+(MAX(IF(D246&lt;=0,0,MAX(0,(B246/D246)*H246/INDEX(Surface_Engine!$B$12:$B$72,$A246+1)-F246/INDEX(Surface_Engine!$B$12:$B$72,$A246+1))),IF(E246&lt;=0,0,MAX(0,(B246/E246)*I246/INDEX(Surface_Engine!$B$12:$B$72,$A246+1)-F246/INDEX(Surface_Engine!$B$12:$B$72,$A246+1))),IF($A246&lt;$Q$195,MAX(0,-Assumptions!$B$22*(F246/INDEX(Surface_Engine!$B$12:$B$72,$A246+1))),0)))^2+(MAX(0,J246/INDEX(Surface_Engine!$B$12:$B$72,$A246+1)-(F246/INDEX(Surface_Engine!$B$12:$B$72,$A246+1))))^2+2*Assumptions!$B$26*(IF(C246&lt;=0,0,MAX(0,(B246/C246)*G246/INDEX(Surface_Engine!$B$12:$B$72,$A246+1)-F246/INDEX(Surface_Engine!$B$12:$B$72,$A246+1))))*(MAX(IF(D246&lt;=0,0,MAX(0,(B246/D246)*H246/INDEX(Surface_Engine!$B$12:$B$72,$A246+1)-F246/INDEX(Surface_Engine!$B$12:$B$72,$A246+1))),IF(E246&lt;=0,0,MAX(0,(B246/E246)*I246/INDEX(Surface_Engine!$B$12:$B$72,$A246+1)-F246/INDEX(Surface_Engine!$B$12:$B$72,$A246+1))),IF($A246&lt;$Q$195,MAX(0,-Assumptions!$B$22*(F246/INDEX(Surface_Engine!$B$12:$B$72,$A246+1))),0)))+2*Assumptions!$B$27*(IF(C246&lt;=0,0,MAX(0,(B246/C246)*G246/INDEX(Surface_Engine!$B$12:$B$72,$A246+1)-F246/INDEX(Surface_Engine!$B$12:$B$72,$A246+1))))*(MAX(0,J246/INDEX(Surface_Engine!$B$12:$B$72,$A246+1)-(F246/INDEX(Surface_Engine!$B$12:$B$72,$A246+1))))+2*Assumptions!$B$28*(MAX(IF(D246&lt;=0,0,MAX(0,(B246/D246)*H246/INDEX(Surface_Engine!$B$12:$B$72,$A246+1)-F246/INDEX(Surface_Engine!$B$12:$B$72,$A246+1))),IF(E246&lt;=0,0,MAX(0,(B246/E246)*I246/INDEX(Surface_Engine!$B$12:$B$72,$A246+1)-F246/INDEX(Surface_Engine!$B$12:$B$72,$A246+1))),IF($A246&lt;$Q$195,MAX(0,-Assumptions!$B$22*(F246/INDEX(Surface_Engine!$B$12:$B$72,$A246+1))),0)))*(MAX(0,J246/INDEX(Surface_Engine!$B$12:$B$72,$A246+1)-(F246/INDEX(Surface_Engine!$B$12:$B$72,$A246+1)))))</f>
        <v>45.53659325791</v>
      </c>
      <c r="L246" s="48" t="n">
        <f aca="false">K246*INDEX(Surface_Engine!$B$12:$B$72,$A246+1)+L247</f>
        <v>20.9418766399831</v>
      </c>
      <c r="M246" s="48" t="n">
        <f aca="false">M245+B245*(IF($A245&lt;$Q$195,(Surface_Engine!Q236*12)-(Surface_Engine!Q236*12)*INDEX(Surface_Engine!$F$12:$F$72,$A245+1)-INDEX(Surface_Engine!$D$12:$D$72,$A245+1),-(1000*12*INDEX(Surface_Engine!$C$12:$C$72,$A245+1)/(1+Assumptions!$B$10)^30+INDEX(Surface_Engine!$D$12:$D$72,$A245+1))))*INDEX(Surface_Engine!$B$12:$B$72,$A245+1)</f>
        <v>510.645724050622</v>
      </c>
      <c r="N246" s="12" t="n">
        <f aca="false">IF(B246&lt;=0,0,MAX(0,(K246+Assumptions!$B$29*L246/INDEX(Surface_Engine!$B$12:$B$72,$A246+1)-(M246/INDEX(Surface_Engine!$B$12:$B$72,$A246+1)-(F246/INDEX(Surface_Engine!$B$12:$B$72,$A246+1))))/B246))</f>
        <v>0</v>
      </c>
    </row>
    <row r="247" customFormat="false" ht="15" hidden="false" customHeight="true" outlineLevel="0" collapsed="false">
      <c r="A247" s="1" t="n">
        <v>50</v>
      </c>
      <c r="B247" s="32" t="n">
        <f aca="false">INDEX(Surface_Engine!$G$12:$G$72,$A247+1)*IF($A247&lt;$Q$195,INDEX(Surface_Engine!$E$12:$E$72,$A247+1),INDEX(Surface_Engine!$E$12:$E$72,$Q$195+1))</f>
        <v>0.00309321547898292</v>
      </c>
      <c r="C247" s="32" t="n">
        <f aca="false">INDEX(Panel_Reserving!$B$8:$B$68,$A247+1)*IF($A247&lt;$Q$195,INDEX(Surface_Engine!$E$12:$E$72,$A247+1),INDEX(Surface_Engine!$E$12:$E$72,$Q$195+1))</f>
        <v>0.0104409429948559</v>
      </c>
      <c r="D247" s="32" t="n">
        <f aca="false">INDEX(Surface_Engine!$G$12:$G$72,$A247+1)*IF($A247&lt;$Q$195,INDEX(Surface_Engine!$Y$12:$Y$72,$A247+1),INDEX(Surface_Engine!$Y$12:$Y$72,$Q$195+1))</f>
        <v>0.00261516203965597</v>
      </c>
      <c r="E247" s="32" t="n">
        <f aca="false">INDEX(Surface_Engine!$G$12:$G$72,$A247+1)*IF($A247&lt;$Q$195,INDEX(Surface_Engine!$Z$12:$Z$72,$A247+1),INDEX(Surface_Engine!$Z$12:$Z$72,$Q$195+1))</f>
        <v>0.00365414466966276</v>
      </c>
      <c r="F247" s="48" t="n">
        <f aca="false">B247*(IF($A247&lt;$Q$195,INDEX(Surface_Engine!$D$12:$D$72,$A247+1)+(Surface_Engine!Q236*12)*INDEX(Surface_Engine!$F$12:$F$72,$A247+1)-(Surface_Engine!Q236*12),1000*12*INDEX(Surface_Engine!$C$12:$C$72,$A247+1)/(1+Assumptions!$B$10)^30+INDEX(Surface_Engine!$D$12:$D$72,$A247+1)))*INDEX(Surface_Engine!$B$12:$B$72,$A247+1)+F248</f>
        <v>24.6929521373035</v>
      </c>
      <c r="G247" s="48" t="n">
        <f aca="false">C247*(IF($A247&lt;$Q$195,INDEX(Surface_Engine!$D$12:$D$72,$A247+1)+(Surface_Engine!Q236*12)*INDEX(Surface_Engine!$F$12:$F$72,$A247+1)-(Surface_Engine!Q236*12),1000*12*INDEX(Surface_Engine!$C$12:$C$72,$A247+1)/(1+Assumptions!$B$10)^30+INDEX(Surface_Engine!$D$12:$D$72,$A247+1)))*INDEX(Surface_Engine!$B$12:$B$72,$A247+1)+G248</f>
        <v>101.758195478849</v>
      </c>
      <c r="H247" s="48" t="n">
        <f aca="false">D247*(IF($A247&lt;$Q$195,INDEX(Surface_Engine!$D$12:$D$72,$A247+1)+(Surface_Engine!Q236*12)*INDEX(Surface_Engine!$F$12:$F$72,$A247+1)-(Surface_Engine!Q236*12),1000*12*INDEX(Surface_Engine!$C$12:$C$72,$A247+1)/(1+Assumptions!$B$10)^30+INDEX(Surface_Engine!$D$12:$D$72,$A247+1)))*INDEX(Surface_Engine!$B$12:$B$72,$A247+1)+H248</f>
        <v>20.8766804366798</v>
      </c>
      <c r="I247" s="48" t="n">
        <f aca="false">E247*(IF($A247&lt;$Q$195,INDEX(Surface_Engine!$D$12:$D$72,$A247+1)+(Surface_Engine!Q236*12)*INDEX(Surface_Engine!$F$12:$F$72,$A247+1)-(Surface_Engine!Q236*12),1000*12*INDEX(Surface_Engine!$C$12:$C$72,$A247+1)/(1+Assumptions!$B$10)^30+INDEX(Surface_Engine!$D$12:$D$72,$A247+1)))*INDEX(Surface_Engine!$B$12:$B$72,$A247+1)+I248</f>
        <v>29.1708159498911</v>
      </c>
      <c r="J247" s="48" t="n">
        <f aca="false">B247*(IF($A247&lt;$Q$195,INDEX(Surface_Engine!$D$12:$D$72,$A247+1)*(1+Assumptions!$B$24)+(Surface_Engine!Q236*12)*INDEX(Surface_Engine!$F$12:$F$72,$A247+1)-(Surface_Engine!Q236*12),1000*12*INDEX(Surface_Engine!$C$12:$C$72,$A247+1)/(1+Assumptions!$B$10)^30+INDEX(Surface_Engine!$D$12:$D$72,$A247+1)*(1+Assumptions!$B$24)))*INDEX(Surface_Engine!$B$12:$B$72,$A247+1)+J248</f>
        <v>24.7315740649604</v>
      </c>
      <c r="K247" s="12" t="n">
        <f aca="false">SQRT((IF(C247&lt;=0,0,MAX(0,(B247/C247)*G247/INDEX(Surface_Engine!$B$12:$B$72,$A247+1)-F247/INDEX(Surface_Engine!$B$12:$B$72,$A247+1))))^2+(MAX(IF(D247&lt;=0,0,MAX(0,(B247/D247)*H247/INDEX(Surface_Engine!$B$12:$B$72,$A247+1)-F247/INDEX(Surface_Engine!$B$12:$B$72,$A247+1))),IF(E247&lt;=0,0,MAX(0,(B247/E247)*I247/INDEX(Surface_Engine!$B$12:$B$72,$A247+1)-F247/INDEX(Surface_Engine!$B$12:$B$72,$A247+1))),IF($A247&lt;$Q$195,MAX(0,-Assumptions!$B$22*(F247/INDEX(Surface_Engine!$B$12:$B$72,$A247+1))),0)))^2+(MAX(0,J247/INDEX(Surface_Engine!$B$12:$B$72,$A247+1)-(F247/INDEX(Surface_Engine!$B$12:$B$72,$A247+1))))^2+2*Assumptions!$B$26*(IF(C247&lt;=0,0,MAX(0,(B247/C247)*G247/INDEX(Surface_Engine!$B$12:$B$72,$A247+1)-F247/INDEX(Surface_Engine!$B$12:$B$72,$A247+1))))*(MAX(IF(D247&lt;=0,0,MAX(0,(B247/D247)*H247/INDEX(Surface_Engine!$B$12:$B$72,$A247+1)-F247/INDEX(Surface_Engine!$B$12:$B$72,$A247+1))),IF(E247&lt;=0,0,MAX(0,(B247/E247)*I247/INDEX(Surface_Engine!$B$12:$B$72,$A247+1)-F247/INDEX(Surface_Engine!$B$12:$B$72,$A247+1))),IF($A247&lt;$Q$195,MAX(0,-Assumptions!$B$22*(F247/INDEX(Surface_Engine!$B$12:$B$72,$A247+1))),0)))+2*Assumptions!$B$27*(IF(C247&lt;=0,0,MAX(0,(B247/C247)*G247/INDEX(Surface_Engine!$B$12:$B$72,$A247+1)-F247/INDEX(Surface_Engine!$B$12:$B$72,$A247+1))))*(MAX(0,J247/INDEX(Surface_Engine!$B$12:$B$72,$A247+1)-(F247/INDEX(Surface_Engine!$B$12:$B$72,$A247+1))))+2*Assumptions!$B$28*(MAX(IF(D247&lt;=0,0,MAX(0,(B247/D247)*H247/INDEX(Surface_Engine!$B$12:$B$72,$A247+1)-F247/INDEX(Surface_Engine!$B$12:$B$72,$A247+1))),IF(E247&lt;=0,0,MAX(0,(B247/E247)*I247/INDEX(Surface_Engine!$B$12:$B$72,$A247+1)-F247/INDEX(Surface_Engine!$B$12:$B$72,$A247+1))),IF($A247&lt;$Q$195,MAX(0,-Assumptions!$B$22*(F247/INDEX(Surface_Engine!$B$12:$B$72,$A247+1))),0)))*(MAX(0,J247/INDEX(Surface_Engine!$B$12:$B$72,$A247+1)-(F247/INDEX(Surface_Engine!$B$12:$B$72,$A247+1)))))</f>
        <v>26.5965337109261</v>
      </c>
      <c r="L247" s="48" t="n">
        <f aca="false">K247*INDEX(Surface_Engine!$B$12:$B$72,$A247+1)+L248</f>
        <v>11.2776148670168</v>
      </c>
      <c r="M247" s="48" t="n">
        <f aca="false">M246+B246*(IF($A246&lt;$Q$195,(Surface_Engine!Q236*12)-(Surface_Engine!Q236*12)*INDEX(Surface_Engine!$F$12:$F$72,$A246+1)-INDEX(Surface_Engine!$D$12:$D$72,$A246+1),-(1000*12*INDEX(Surface_Engine!$C$12:$C$72,$A246+1)/(1+Assumptions!$B$10)^30+INDEX(Surface_Engine!$D$12:$D$72,$A246+1))))*INDEX(Surface_Engine!$B$12:$B$72,$A246+1)</f>
        <v>490.882404055015</v>
      </c>
      <c r="N247" s="12" t="n">
        <f aca="false">IF(B247&lt;=0,0,MAX(0,(K247+Assumptions!$B$29*L247/INDEX(Surface_Engine!$B$12:$B$72,$A247+1)-(M247/INDEX(Surface_Engine!$B$12:$B$72,$A247+1)-(F247/INDEX(Surface_Engine!$B$12:$B$72,$A247+1))))/B247))</f>
        <v>0</v>
      </c>
    </row>
    <row r="248" customFormat="false" ht="15" hidden="false" customHeight="true" outlineLevel="0" collapsed="false">
      <c r="A248" s="1" t="n">
        <v>51</v>
      </c>
      <c r="B248" s="32" t="n">
        <f aca="false">INDEX(Surface_Engine!$G$12:$G$72,$A248+1)*IF($A248&lt;$Q$195,INDEX(Surface_Engine!$E$12:$E$72,$A248+1),INDEX(Surface_Engine!$E$12:$E$72,$Q$195+1))</f>
        <v>0.00173037288163036</v>
      </c>
      <c r="C248" s="32" t="n">
        <f aca="false">INDEX(Panel_Reserving!$B$8:$B$68,$A248+1)*IF($A248&lt;$Q$195,INDEX(Surface_Engine!$E$12:$E$72,$A248+1),INDEX(Surface_Engine!$E$12:$E$72,$Q$195+1))</f>
        <v>0.00676079540304361</v>
      </c>
      <c r="D248" s="32" t="n">
        <f aca="false">INDEX(Surface_Engine!$G$12:$G$72,$A248+1)*IF($A248&lt;$Q$195,INDEX(Surface_Engine!$Y$12:$Y$72,$A248+1),INDEX(Surface_Engine!$Y$12:$Y$72,$Q$195+1))</f>
        <v>0.00146294543824595</v>
      </c>
      <c r="E248" s="32" t="n">
        <f aca="false">INDEX(Surface_Engine!$G$12:$G$72,$A248+1)*IF($A248&lt;$Q$195,INDEX(Surface_Engine!$Z$12:$Z$72,$A248+1),INDEX(Surface_Engine!$Z$12:$Z$72,$Q$195+1))</f>
        <v>0.00204416177434158</v>
      </c>
      <c r="F248" s="48" t="n">
        <f aca="false">B248*(IF($A248&lt;$Q$195,INDEX(Surface_Engine!$D$12:$D$72,$A248+1)+(Surface_Engine!Q236*12)*INDEX(Surface_Engine!$F$12:$F$72,$A248+1)-(Surface_Engine!Q236*12),1000*12*INDEX(Surface_Engine!$C$12:$C$72,$A248+1)/(1+Assumptions!$B$10)^30+INDEX(Surface_Engine!$D$12:$D$72,$A248+1)))*INDEX(Surface_Engine!$B$12:$B$72,$A248+1)+F249</f>
        <v>13.1835064057425</v>
      </c>
      <c r="G248" s="48" t="n">
        <f aca="false">C248*(IF($A248&lt;$Q$195,INDEX(Surface_Engine!$D$12:$D$72,$A248+1)+(Surface_Engine!Q236*12)*INDEX(Surface_Engine!$F$12:$F$72,$A248+1)-(Surface_Engine!Q236*12),1000*12*INDEX(Surface_Engine!$C$12:$C$72,$A248+1)/(1+Assumptions!$B$10)^30+INDEX(Surface_Engine!$D$12:$D$72,$A248+1)))*INDEX(Surface_Engine!$B$12:$B$72,$A248+1)+G249</f>
        <v>62.908827369153</v>
      </c>
      <c r="H248" s="48" t="n">
        <f aca="false">D248*(IF($A248&lt;$Q$195,INDEX(Surface_Engine!$D$12:$D$72,$A248+1)+(Surface_Engine!Q236*12)*INDEX(Surface_Engine!$F$12:$F$72,$A248+1)-(Surface_Engine!Q236*12),1000*12*INDEX(Surface_Engine!$C$12:$C$72,$A248+1)/(1+Assumptions!$B$10)^30+INDEX(Surface_Engine!$D$12:$D$72,$A248+1)))*INDEX(Surface_Engine!$B$12:$B$72,$A248+1)+H249</f>
        <v>11.1460083321435</v>
      </c>
      <c r="I248" s="48" t="n">
        <f aca="false">E248*(IF($A248&lt;$Q$195,INDEX(Surface_Engine!$D$12:$D$72,$A248+1)+(Surface_Engine!Q236*12)*INDEX(Surface_Engine!$F$12:$F$72,$A248+1)-(Surface_Engine!Q236*12),1000*12*INDEX(Surface_Engine!$C$12:$C$72,$A248+1)/(1+Assumptions!$B$10)^30+INDEX(Surface_Engine!$D$12:$D$72,$A248+1)))*INDEX(Surface_Engine!$B$12:$B$72,$A248+1)+I249</f>
        <v>15.5742268805175</v>
      </c>
      <c r="J248" s="48" t="n">
        <f aca="false">B248*(IF($A248&lt;$Q$195,INDEX(Surface_Engine!$D$12:$D$72,$A248+1)*(1+Assumptions!$B$24)+(Surface_Engine!Q236*12)*INDEX(Surface_Engine!$F$12:$F$72,$A248+1)-(Surface_Engine!Q236*12),1000*12*INDEX(Surface_Engine!$C$12:$C$72,$A248+1)/(1+Assumptions!$B$10)^30+INDEX(Surface_Engine!$D$12:$D$72,$A248+1)*(1+Assumptions!$B$24)))*INDEX(Surface_Engine!$B$12:$B$72,$A248+1)+J249</f>
        <v>13.2042195506011</v>
      </c>
      <c r="K248" s="12" t="n">
        <f aca="false">SQRT((IF(C248&lt;=0,0,MAX(0,(B248/C248)*G248/INDEX(Surface_Engine!$B$12:$B$72,$A248+1)-F248/INDEX(Surface_Engine!$B$12:$B$72,$A248+1))))^2+(MAX(IF(D248&lt;=0,0,MAX(0,(B248/D248)*H248/INDEX(Surface_Engine!$B$12:$B$72,$A248+1)-F248/INDEX(Surface_Engine!$B$12:$B$72,$A248+1))),IF(E248&lt;=0,0,MAX(0,(B248/E248)*I248/INDEX(Surface_Engine!$B$12:$B$72,$A248+1)-F248/INDEX(Surface_Engine!$B$12:$B$72,$A248+1))),IF($A248&lt;$Q$195,MAX(0,-Assumptions!$B$22*(F248/INDEX(Surface_Engine!$B$12:$B$72,$A248+1))),0)))^2+(MAX(0,J248/INDEX(Surface_Engine!$B$12:$B$72,$A248+1)-(F248/INDEX(Surface_Engine!$B$12:$B$72,$A248+1))))^2+2*Assumptions!$B$26*(IF(C248&lt;=0,0,MAX(0,(B248/C248)*G248/INDEX(Surface_Engine!$B$12:$B$72,$A248+1)-F248/INDEX(Surface_Engine!$B$12:$B$72,$A248+1))))*(MAX(IF(D248&lt;=0,0,MAX(0,(B248/D248)*H248/INDEX(Surface_Engine!$B$12:$B$72,$A248+1)-F248/INDEX(Surface_Engine!$B$12:$B$72,$A248+1))),IF(E248&lt;=0,0,MAX(0,(B248/E248)*I248/INDEX(Surface_Engine!$B$12:$B$72,$A248+1)-F248/INDEX(Surface_Engine!$B$12:$B$72,$A248+1))),IF($A248&lt;$Q$195,MAX(0,-Assumptions!$B$22*(F248/INDEX(Surface_Engine!$B$12:$B$72,$A248+1))),0)))+2*Assumptions!$B$27*(IF(C248&lt;=0,0,MAX(0,(B248/C248)*G248/INDEX(Surface_Engine!$B$12:$B$72,$A248+1)-F248/INDEX(Surface_Engine!$B$12:$B$72,$A248+1))))*(MAX(0,J248/INDEX(Surface_Engine!$B$12:$B$72,$A248+1)-(F248/INDEX(Surface_Engine!$B$12:$B$72,$A248+1))))+2*Assumptions!$B$28*(MAX(IF(D248&lt;=0,0,MAX(0,(B248/D248)*H248/INDEX(Surface_Engine!$B$12:$B$72,$A248+1)-F248/INDEX(Surface_Engine!$B$12:$B$72,$A248+1))),IF(E248&lt;=0,0,MAX(0,(B248/E248)*I248/INDEX(Surface_Engine!$B$12:$B$72,$A248+1)-F248/INDEX(Surface_Engine!$B$12:$B$72,$A248+1))),IF($A248&lt;$Q$195,MAX(0,-Assumptions!$B$22*(F248/INDEX(Surface_Engine!$B$12:$B$72,$A248+1))),0)))*(MAX(0,J248/INDEX(Surface_Engine!$B$12:$B$72,$A248+1)-(F248/INDEX(Surface_Engine!$B$12:$B$72,$A248+1)))))</f>
        <v>14.6928717789148</v>
      </c>
      <c r="L248" s="48" t="n">
        <f aca="false">K248*INDEX(Surface_Engine!$B$12:$B$72,$A248+1)+L249</f>
        <v>5.81407883206326</v>
      </c>
      <c r="M248" s="48" t="n">
        <f aca="false">M247+B247*(IF($A247&lt;$Q$195,(Surface_Engine!Q236*12)-(Surface_Engine!Q236*12)*INDEX(Surface_Engine!$F$12:$F$72,$A247+1)-INDEX(Surface_Engine!$D$12:$D$72,$A247+1),-(1000*12*INDEX(Surface_Engine!$C$12:$C$72,$A247+1)/(1+Assumptions!$B$10)^30+INDEX(Surface_Engine!$D$12:$D$72,$A247+1))))*INDEX(Surface_Engine!$B$12:$B$72,$A247+1)</f>
        <v>479.372958323454</v>
      </c>
      <c r="N248" s="12" t="n">
        <f aca="false">IF(B248&lt;=0,0,MAX(0,(K248+Assumptions!$B$29*L248/INDEX(Surface_Engine!$B$12:$B$72,$A248+1)-(M248/INDEX(Surface_Engine!$B$12:$B$72,$A248+1)-(F248/INDEX(Surface_Engine!$B$12:$B$72,$A248+1))))/B248))</f>
        <v>0</v>
      </c>
    </row>
    <row r="249" customFormat="false" ht="15" hidden="false" customHeight="true" outlineLevel="0" collapsed="false">
      <c r="A249" s="1" t="n">
        <v>52</v>
      </c>
      <c r="B249" s="32" t="n">
        <f aca="false">INDEX(Surface_Engine!$G$12:$G$72,$A249+1)*IF($A249&lt;$Q$195,INDEX(Surface_Engine!$E$12:$E$72,$A249+1),INDEX(Surface_Engine!$E$12:$E$72,$Q$195+1))</f>
        <v>0.0009374500327698</v>
      </c>
      <c r="C249" s="32" t="n">
        <f aca="false">INDEX(Panel_Reserving!$B$8:$B$68,$A249+1)*IF($A249&lt;$Q$195,INDEX(Surface_Engine!$E$12:$E$72,$A249+1),INDEX(Surface_Engine!$E$12:$E$72,$Q$195+1))</f>
        <v>0.00428235196072901</v>
      </c>
      <c r="D249" s="32" t="n">
        <f aca="false">INDEX(Surface_Engine!$G$12:$G$72,$A249+1)*IF($A249&lt;$Q$195,INDEX(Surface_Engine!$Y$12:$Y$72,$A249+1),INDEX(Surface_Engine!$Y$12:$Y$72,$Q$195+1))</f>
        <v>0.000792568043329438</v>
      </c>
      <c r="E249" s="32" t="n">
        <f aca="false">INDEX(Surface_Engine!$G$12:$G$72,$A249+1)*IF($A249&lt;$Q$195,INDEX(Surface_Engine!$Z$12:$Z$72,$A249+1),INDEX(Surface_Engine!$Z$12:$Z$72,$Q$195+1))</f>
        <v>0.0011074488872813</v>
      </c>
      <c r="F249" s="48" t="n">
        <f aca="false">B249*(IF($A249&lt;$Q$195,INDEX(Surface_Engine!$D$12:$D$72,$A249+1)+(Surface_Engine!Q236*12)*INDEX(Surface_Engine!$F$12:$F$72,$A249+1)-(Surface_Engine!Q236*12),1000*12*INDEX(Surface_Engine!$C$12:$C$72,$A249+1)/(1+Assumptions!$B$10)^30+INDEX(Surface_Engine!$D$12:$D$72,$A249+1)))*INDEX(Surface_Engine!$B$12:$B$72,$A249+1)+F250</f>
        <v>6.82352832789752</v>
      </c>
      <c r="G249" s="48" t="n">
        <f aca="false">C249*(IF($A249&lt;$Q$195,INDEX(Surface_Engine!$D$12:$D$72,$A249+1)+(Surface_Engine!Q236*12)*INDEX(Surface_Engine!$F$12:$F$72,$A249+1)-(Surface_Engine!Q236*12),1000*12*INDEX(Surface_Engine!$C$12:$C$72,$A249+1)/(1+Assumptions!$B$10)^30+INDEX(Surface_Engine!$D$12:$D$72,$A249+1)))*INDEX(Surface_Engine!$B$12:$B$72,$A249+1)+G250</f>
        <v>38.0595529678813</v>
      </c>
      <c r="H249" s="48" t="n">
        <f aca="false">D249*(IF($A249&lt;$Q$195,INDEX(Surface_Engine!$D$12:$D$72,$A249+1)+(Surface_Engine!Q236*12)*INDEX(Surface_Engine!$F$12:$F$72,$A249+1)-(Surface_Engine!Q236*12),1000*12*INDEX(Surface_Engine!$C$12:$C$72,$A249+1)/(1+Assumptions!$B$10)^30+INDEX(Surface_Engine!$D$12:$D$72,$A249+1)))*INDEX(Surface_Engine!$B$12:$B$72,$A249+1)+H250</f>
        <v>5.76895867128605</v>
      </c>
      <c r="I249" s="48" t="n">
        <f aca="false">E249*(IF($A249&lt;$Q$195,INDEX(Surface_Engine!$D$12:$D$72,$A249+1)+(Surface_Engine!Q236*12)*INDEX(Surface_Engine!$F$12:$F$72,$A249+1)-(Surface_Engine!Q236*12),1000*12*INDEX(Surface_Engine!$C$12:$C$72,$A249+1)/(1+Assumptions!$B$10)^30+INDEX(Surface_Engine!$D$12:$D$72,$A249+1)))*INDEX(Surface_Engine!$B$12:$B$72,$A249+1)+I250</f>
        <v>8.06091907825256</v>
      </c>
      <c r="J249" s="48" t="n">
        <f aca="false">B249*(IF($A249&lt;$Q$195,INDEX(Surface_Engine!$D$12:$D$72,$A249+1)*(1+Assumptions!$B$24)+(Surface_Engine!Q236*12)*INDEX(Surface_Engine!$F$12:$F$72,$A249+1)-(Surface_Engine!Q236*12),1000*12*INDEX(Surface_Engine!$C$12:$C$72,$A249+1)/(1+Assumptions!$B$10)^30+INDEX(Surface_Engine!$D$12:$D$72,$A249+1)*(1+Assumptions!$B$24)))*INDEX(Surface_Engine!$B$12:$B$72,$A249+1)+J250</f>
        <v>6.83429754758417</v>
      </c>
      <c r="K249" s="12" t="n">
        <f aca="false">SQRT((IF(C249&lt;=0,0,MAX(0,(B249/C249)*G249/INDEX(Surface_Engine!$B$12:$B$72,$A249+1)-F249/INDEX(Surface_Engine!$B$12:$B$72,$A249+1))))^2+(MAX(IF(D249&lt;=0,0,MAX(0,(B249/D249)*H249/INDEX(Surface_Engine!$B$12:$B$72,$A249+1)-F249/INDEX(Surface_Engine!$B$12:$B$72,$A249+1))),IF(E249&lt;=0,0,MAX(0,(B249/E249)*I249/INDEX(Surface_Engine!$B$12:$B$72,$A249+1)-F249/INDEX(Surface_Engine!$B$12:$B$72,$A249+1))),IF($A249&lt;$Q$195,MAX(0,-Assumptions!$B$22*(F249/INDEX(Surface_Engine!$B$12:$B$72,$A249+1))),0)))^2+(MAX(0,J249/INDEX(Surface_Engine!$B$12:$B$72,$A249+1)-(F249/INDEX(Surface_Engine!$B$12:$B$72,$A249+1))))^2+2*Assumptions!$B$26*(IF(C249&lt;=0,0,MAX(0,(B249/C249)*G249/INDEX(Surface_Engine!$B$12:$B$72,$A249+1)-F249/INDEX(Surface_Engine!$B$12:$B$72,$A249+1))))*(MAX(IF(D249&lt;=0,0,MAX(0,(B249/D249)*H249/INDEX(Surface_Engine!$B$12:$B$72,$A249+1)-F249/INDEX(Surface_Engine!$B$12:$B$72,$A249+1))),IF(E249&lt;=0,0,MAX(0,(B249/E249)*I249/INDEX(Surface_Engine!$B$12:$B$72,$A249+1)-F249/INDEX(Surface_Engine!$B$12:$B$72,$A249+1))),IF($A249&lt;$Q$195,MAX(0,-Assumptions!$B$22*(F249/INDEX(Surface_Engine!$B$12:$B$72,$A249+1))),0)))+2*Assumptions!$B$27*(IF(C249&lt;=0,0,MAX(0,(B249/C249)*G249/INDEX(Surface_Engine!$B$12:$B$72,$A249+1)-F249/INDEX(Surface_Engine!$B$12:$B$72,$A249+1))))*(MAX(0,J249/INDEX(Surface_Engine!$B$12:$B$72,$A249+1)-(F249/INDEX(Surface_Engine!$B$12:$B$72,$A249+1))))+2*Assumptions!$B$28*(MAX(IF(D249&lt;=0,0,MAX(0,(B249/D249)*H249/INDEX(Surface_Engine!$B$12:$B$72,$A249+1)-F249/INDEX(Surface_Engine!$B$12:$B$72,$A249+1))),IF(E249&lt;=0,0,MAX(0,(B249/E249)*I249/INDEX(Surface_Engine!$B$12:$B$72,$A249+1)-F249/INDEX(Surface_Engine!$B$12:$B$72,$A249+1))),IF($A249&lt;$Q$195,MAX(0,-Assumptions!$B$22*(F249/INDEX(Surface_Engine!$B$12:$B$72,$A249+1))),0)))*(MAX(0,J249/INDEX(Surface_Engine!$B$12:$B$72,$A249+1)-(F249/INDEX(Surface_Engine!$B$12:$B$72,$A249+1)))))</f>
        <v>7.84324127634699</v>
      </c>
      <c r="L249" s="48" t="n">
        <f aca="false">K249*INDEX(Surface_Engine!$B$12:$B$72,$A249+1)+L250</f>
        <v>2.89131416469012</v>
      </c>
      <c r="M249" s="48" t="n">
        <f aca="false">M248+B248*(IF($A248&lt;$Q$195,(Surface_Engine!Q236*12)-(Surface_Engine!Q236*12)*INDEX(Surface_Engine!$F$12:$F$72,$A248+1)-INDEX(Surface_Engine!$D$12:$D$72,$A248+1),-(1000*12*INDEX(Surface_Engine!$C$12:$C$72,$A248+1)/(1+Assumptions!$B$10)^30+INDEX(Surface_Engine!$D$12:$D$72,$A248+1))))*INDEX(Surface_Engine!$B$12:$B$72,$A248+1)</f>
        <v>473.012980245609</v>
      </c>
      <c r="N249" s="12" t="n">
        <f aca="false">IF(B249&lt;=0,0,MAX(0,(K249+Assumptions!$B$29*L249/INDEX(Surface_Engine!$B$12:$B$72,$A249+1)-(M249/INDEX(Surface_Engine!$B$12:$B$72,$A249+1)-(F249/INDEX(Surface_Engine!$B$12:$B$72,$A249+1))))/B249))</f>
        <v>0</v>
      </c>
    </row>
    <row r="250" customFormat="false" ht="15" hidden="false" customHeight="true" outlineLevel="0" collapsed="false">
      <c r="A250" s="1" t="n">
        <v>53</v>
      </c>
      <c r="B250" s="32" t="n">
        <f aca="false">INDEX(Surface_Engine!$G$12:$G$72,$A250+1)*IF($A250&lt;$Q$195,INDEX(Surface_Engine!$E$12:$E$72,$A250+1),INDEX(Surface_Engine!$E$12:$E$72,$Q$195+1))</f>
        <v>0.000491398579520855</v>
      </c>
      <c r="C250" s="32" t="n">
        <f aca="false">INDEX(Panel_Reserving!$B$8:$B$68,$A250+1)*IF($A250&lt;$Q$195,INDEX(Surface_Engine!$E$12:$E$72,$A250+1),INDEX(Surface_Engine!$E$12:$E$72,$Q$195+1))</f>
        <v>0.00265227099757589</v>
      </c>
      <c r="D250" s="32" t="n">
        <f aca="false">INDEX(Surface_Engine!$G$12:$G$72,$A250+1)*IF($A250&lt;$Q$195,INDEX(Surface_Engine!$Y$12:$Y$72,$A250+1),INDEX(Surface_Engine!$Y$12:$Y$72,$Q$195+1))</f>
        <v>0.000415453407703221</v>
      </c>
      <c r="E250" s="32" t="n">
        <f aca="false">INDEX(Surface_Engine!$G$12:$G$72,$A250+1)*IF($A250&lt;$Q$195,INDEX(Surface_Engine!$Z$12:$Z$72,$A250+1),INDEX(Surface_Engine!$Z$12:$Z$72,$Q$195+1))</f>
        <v>0.000580509670999839</v>
      </c>
      <c r="F250" s="48" t="n">
        <f aca="false">B250*(IF($A250&lt;$Q$195,INDEX(Surface_Engine!$D$12:$D$72,$A250+1)+(Surface_Engine!Q236*12)*INDEX(Surface_Engine!$F$12:$F$72,$A250+1)-(Surface_Engine!Q236*12),1000*12*INDEX(Surface_Engine!$C$12:$C$72,$A250+1)/(1+Assumptions!$B$10)^30+INDEX(Surface_Engine!$D$12:$D$72,$A250+1)))*INDEX(Surface_Engine!$B$12:$B$72,$A250+1)+F251</f>
        <v>3.42001482825447</v>
      </c>
      <c r="G250" s="48" t="n">
        <f aca="false">C250*(IF($A250&lt;$Q$195,INDEX(Surface_Engine!$D$12:$D$72,$A250+1)+(Surface_Engine!Q236*12)*INDEX(Surface_Engine!$F$12:$F$72,$A250+1)-(Surface_Engine!Q236*12),1000*12*INDEX(Surface_Engine!$C$12:$C$72,$A250+1)/(1+Assumptions!$B$10)^30+INDEX(Surface_Engine!$D$12:$D$72,$A250+1)))*INDEX(Surface_Engine!$B$12:$B$72,$A250+1)+G251</f>
        <v>22.5120120866885</v>
      </c>
      <c r="H250" s="48" t="n">
        <f aca="false">D250*(IF($A250&lt;$Q$195,INDEX(Surface_Engine!$D$12:$D$72,$A250+1)+(Surface_Engine!Q236*12)*INDEX(Surface_Engine!$F$12:$F$72,$A250+1)-(Surface_Engine!Q236*12),1000*12*INDEX(Surface_Engine!$C$12:$C$72,$A250+1)/(1+Assumptions!$B$10)^30+INDEX(Surface_Engine!$D$12:$D$72,$A250+1)))*INDEX(Surface_Engine!$B$12:$B$72,$A250+1)+H251</f>
        <v>2.89145486781686</v>
      </c>
      <c r="I250" s="48" t="n">
        <f aca="false">E250*(IF($A250&lt;$Q$195,INDEX(Surface_Engine!$D$12:$D$72,$A250+1)+(Surface_Engine!Q236*12)*INDEX(Surface_Engine!$F$12:$F$72,$A250+1)-(Surface_Engine!Q236*12),1000*12*INDEX(Surface_Engine!$C$12:$C$72,$A250+1)/(1+Assumptions!$B$10)^30+INDEX(Surface_Engine!$D$12:$D$72,$A250+1)))*INDEX(Surface_Engine!$B$12:$B$72,$A250+1)+I251</f>
        <v>4.04020639355616</v>
      </c>
      <c r="J250" s="48" t="n">
        <f aca="false">B250*(IF($A250&lt;$Q$195,INDEX(Surface_Engine!$D$12:$D$72,$A250+1)*(1+Assumptions!$B$24)+(Surface_Engine!Q236*12)*INDEX(Surface_Engine!$F$12:$F$72,$A250+1)-(Surface_Engine!Q236*12),1000*12*INDEX(Surface_Engine!$C$12:$C$72,$A250+1)/(1+Assumptions!$B$10)^30+INDEX(Surface_Engine!$D$12:$D$72,$A250+1)*(1+Assumptions!$B$24)))*INDEX(Surface_Engine!$B$12:$B$72,$A250+1)+J251</f>
        <v>3.42543692566232</v>
      </c>
      <c r="K250" s="12" t="n">
        <f aca="false">SQRT((IF(C250&lt;=0,0,MAX(0,(B250/C250)*G250/INDEX(Surface_Engine!$B$12:$B$72,$A250+1)-F250/INDEX(Surface_Engine!$B$12:$B$72,$A250+1))))^2+(MAX(IF(D250&lt;=0,0,MAX(0,(B250/D250)*H250/INDEX(Surface_Engine!$B$12:$B$72,$A250+1)-F250/INDEX(Surface_Engine!$B$12:$B$72,$A250+1))),IF(E250&lt;=0,0,MAX(0,(B250/E250)*I250/INDEX(Surface_Engine!$B$12:$B$72,$A250+1)-F250/INDEX(Surface_Engine!$B$12:$B$72,$A250+1))),IF($A250&lt;$Q$195,MAX(0,-Assumptions!$B$22*(F250/INDEX(Surface_Engine!$B$12:$B$72,$A250+1))),0)))^2+(MAX(0,J250/INDEX(Surface_Engine!$B$12:$B$72,$A250+1)-(F250/INDEX(Surface_Engine!$B$12:$B$72,$A250+1))))^2+2*Assumptions!$B$26*(IF(C250&lt;=0,0,MAX(0,(B250/C250)*G250/INDEX(Surface_Engine!$B$12:$B$72,$A250+1)-F250/INDEX(Surface_Engine!$B$12:$B$72,$A250+1))))*(MAX(IF(D250&lt;=0,0,MAX(0,(B250/D250)*H250/INDEX(Surface_Engine!$B$12:$B$72,$A250+1)-F250/INDEX(Surface_Engine!$B$12:$B$72,$A250+1))),IF(E250&lt;=0,0,MAX(0,(B250/E250)*I250/INDEX(Surface_Engine!$B$12:$B$72,$A250+1)-F250/INDEX(Surface_Engine!$B$12:$B$72,$A250+1))),IF($A250&lt;$Q$195,MAX(0,-Assumptions!$B$22*(F250/INDEX(Surface_Engine!$B$12:$B$72,$A250+1))),0)))+2*Assumptions!$B$27*(IF(C250&lt;=0,0,MAX(0,(B250/C250)*G250/INDEX(Surface_Engine!$B$12:$B$72,$A250+1)-F250/INDEX(Surface_Engine!$B$12:$B$72,$A250+1))))*(MAX(0,J250/INDEX(Surface_Engine!$B$12:$B$72,$A250+1)-(F250/INDEX(Surface_Engine!$B$12:$B$72,$A250+1))))+2*Assumptions!$B$28*(MAX(IF(D250&lt;=0,0,MAX(0,(B250/D250)*H250/INDEX(Surface_Engine!$B$12:$B$72,$A250+1)-F250/INDEX(Surface_Engine!$B$12:$B$72,$A250+1))),IF(E250&lt;=0,0,MAX(0,(B250/E250)*I250/INDEX(Surface_Engine!$B$12:$B$72,$A250+1)-F250/INDEX(Surface_Engine!$B$12:$B$72,$A250+1))),IF($A250&lt;$Q$195,MAX(0,-Assumptions!$B$22*(F250/INDEX(Surface_Engine!$B$12:$B$72,$A250+1))),0)))*(MAX(0,J250/INDEX(Surface_Engine!$B$12:$B$72,$A250+1)-(F250/INDEX(Surface_Engine!$B$12:$B$72,$A250+1)))))</f>
        <v>4.03303209679437</v>
      </c>
      <c r="L250" s="48" t="n">
        <f aca="false">K250*INDEX(Surface_Engine!$B$12:$B$72,$A250+1)+L251</f>
        <v>1.38049421970091</v>
      </c>
      <c r="M250" s="48" t="n">
        <f aca="false">M249+B249*(IF($A249&lt;$Q$195,(Surface_Engine!Q236*12)-(Surface_Engine!Q236*12)*INDEX(Surface_Engine!$F$12:$F$72,$A249+1)-INDEX(Surface_Engine!$D$12:$D$72,$A249+1),-(1000*12*INDEX(Surface_Engine!$C$12:$C$72,$A249+1)/(1+Assumptions!$B$10)^30+INDEX(Surface_Engine!$D$12:$D$72,$A249+1))))*INDEX(Surface_Engine!$B$12:$B$72,$A249+1)</f>
        <v>469.609466745966</v>
      </c>
      <c r="N250" s="12" t="n">
        <f aca="false">IF(B250&lt;=0,0,MAX(0,(K250+Assumptions!$B$29*L250/INDEX(Surface_Engine!$B$12:$B$72,$A250+1)-(M250/INDEX(Surface_Engine!$B$12:$B$72,$A250+1)-(F250/INDEX(Surface_Engine!$B$12:$B$72,$A250+1))))/B250))</f>
        <v>0</v>
      </c>
    </row>
    <row r="251" customFormat="false" ht="15" hidden="false" customHeight="true" outlineLevel="0" collapsed="false">
      <c r="A251" s="1" t="n">
        <v>54</v>
      </c>
      <c r="B251" s="32" t="n">
        <f aca="false">INDEX(Surface_Engine!$G$12:$G$72,$A251+1)*IF($A251&lt;$Q$195,INDEX(Surface_Engine!$E$12:$E$72,$A251+1),INDEX(Surface_Engine!$E$12:$E$72,$Q$195+1))</f>
        <v>0.000249009834525825</v>
      </c>
      <c r="C251" s="32" t="n">
        <f aca="false">INDEX(Panel_Reserving!$B$8:$B$68,$A251+1)*IF($A251&lt;$Q$195,INDEX(Surface_Engine!$E$12:$E$72,$A251+1),INDEX(Surface_Engine!$E$12:$E$72,$Q$195+1))</f>
        <v>0.00160565724608156</v>
      </c>
      <c r="D251" s="32" t="n">
        <f aca="false">INDEX(Surface_Engine!$G$12:$G$72,$A251+1)*IF($A251&lt;$Q$195,INDEX(Surface_Engine!$Y$12:$Y$72,$A251+1),INDEX(Surface_Engine!$Y$12:$Y$72,$Q$195+1))</f>
        <v>0.000210525607148156</v>
      </c>
      <c r="E251" s="32" t="n">
        <f aca="false">INDEX(Surface_Engine!$G$12:$G$72,$A251+1)*IF($A251&lt;$Q$195,INDEX(Surface_Engine!$Z$12:$Z$72,$A251+1),INDEX(Surface_Engine!$Z$12:$Z$72,$Q$195+1))</f>
        <v>0.000294165720334925</v>
      </c>
      <c r="F251" s="48" t="n">
        <f aca="false">B251*(IF($A251&lt;$Q$195,INDEX(Surface_Engine!$D$12:$D$72,$A251+1)+(Surface_Engine!Q236*12)*INDEX(Surface_Engine!$F$12:$F$72,$A251+1)-(Surface_Engine!Q236*12),1000*12*INDEX(Surface_Engine!$C$12:$C$72,$A251+1)/(1+Assumptions!$B$10)^30+INDEX(Surface_Engine!$D$12:$D$72,$A251+1)))*INDEX(Surface_Engine!$B$12:$B$72,$A251+1)+F252</f>
        <v>1.65776115794355</v>
      </c>
      <c r="G251" s="48" t="n">
        <f aca="false">C251*(IF($A251&lt;$Q$195,INDEX(Surface_Engine!$D$12:$D$72,$A251+1)+(Surface_Engine!Q236*12)*INDEX(Surface_Engine!$F$12:$F$72,$A251+1)-(Surface_Engine!Q236*12),1000*12*INDEX(Surface_Engine!$C$12:$C$72,$A251+1)/(1+Assumptions!$B$10)^30+INDEX(Surface_Engine!$D$12:$D$72,$A251+1)))*INDEX(Surface_Engine!$B$12:$B$72,$A251+1)+G252</f>
        <v>13.0004373794625</v>
      </c>
      <c r="H251" s="48" t="n">
        <f aca="false">D251*(IF($A251&lt;$Q$195,INDEX(Surface_Engine!$D$12:$D$72,$A251+1)+(Surface_Engine!Q236*12)*INDEX(Surface_Engine!$F$12:$F$72,$A251+1)-(Surface_Engine!Q236*12),1000*12*INDEX(Surface_Engine!$C$12:$C$72,$A251+1)/(1+Assumptions!$B$10)^30+INDEX(Surface_Engine!$D$12:$D$72,$A251+1)))*INDEX(Surface_Engine!$B$12:$B$72,$A251+1)+H252</f>
        <v>1.40155578572741</v>
      </c>
      <c r="I251" s="48" t="n">
        <f aca="false">E251*(IF($A251&lt;$Q$195,INDEX(Surface_Engine!$D$12:$D$72,$A251+1)+(Surface_Engine!Q236*12)*INDEX(Surface_Engine!$F$12:$F$72,$A251+1)-(Surface_Engine!Q236*12),1000*12*INDEX(Surface_Engine!$C$12:$C$72,$A251+1)/(1+Assumptions!$B$10)^30+INDEX(Surface_Engine!$D$12:$D$72,$A251+1)))*INDEX(Surface_Engine!$B$12:$B$72,$A251+1)+I252</f>
        <v>1.95838251167203</v>
      </c>
      <c r="J251" s="48" t="n">
        <f aca="false">B251*(IF($A251&lt;$Q$195,INDEX(Surface_Engine!$D$12:$D$72,$A251+1)*(1+Assumptions!$B$24)+(Surface_Engine!Q236*12)*INDEX(Surface_Engine!$F$12:$F$72,$A251+1)-(Surface_Engine!Q236*12),1000*12*INDEX(Surface_Engine!$C$12:$C$72,$A251+1)/(1+Assumptions!$B$10)^30+INDEX(Surface_Engine!$D$12:$D$72,$A251+1)*(1+Assumptions!$B$24)))*INDEX(Surface_Engine!$B$12:$B$72,$A251+1)+J252</f>
        <v>1.66040129260066</v>
      </c>
      <c r="K251" s="12" t="n">
        <f aca="false">SQRT((IF(C251&lt;=0,0,MAX(0,(B251/C251)*G251/INDEX(Surface_Engine!$B$12:$B$72,$A251+1)-F251/INDEX(Surface_Engine!$B$12:$B$72,$A251+1))))^2+(MAX(IF(D251&lt;=0,0,MAX(0,(B251/D251)*H251/INDEX(Surface_Engine!$B$12:$B$72,$A251+1)-F251/INDEX(Surface_Engine!$B$12:$B$72,$A251+1))),IF(E251&lt;=0,0,MAX(0,(B251/E251)*I251/INDEX(Surface_Engine!$B$12:$B$72,$A251+1)-F251/INDEX(Surface_Engine!$B$12:$B$72,$A251+1))),IF($A251&lt;$Q$195,MAX(0,-Assumptions!$B$22*(F251/INDEX(Surface_Engine!$B$12:$B$72,$A251+1))),0)))^2+(MAX(0,J251/INDEX(Surface_Engine!$B$12:$B$72,$A251+1)-(F251/INDEX(Surface_Engine!$B$12:$B$72,$A251+1))))^2+2*Assumptions!$B$26*(IF(C251&lt;=0,0,MAX(0,(B251/C251)*G251/INDEX(Surface_Engine!$B$12:$B$72,$A251+1)-F251/INDEX(Surface_Engine!$B$12:$B$72,$A251+1))))*(MAX(IF(D251&lt;=0,0,MAX(0,(B251/D251)*H251/INDEX(Surface_Engine!$B$12:$B$72,$A251+1)-F251/INDEX(Surface_Engine!$B$12:$B$72,$A251+1))),IF(E251&lt;=0,0,MAX(0,(B251/E251)*I251/INDEX(Surface_Engine!$B$12:$B$72,$A251+1)-F251/INDEX(Surface_Engine!$B$12:$B$72,$A251+1))),IF($A251&lt;$Q$195,MAX(0,-Assumptions!$B$22*(F251/INDEX(Surface_Engine!$B$12:$B$72,$A251+1))),0)))+2*Assumptions!$B$27*(IF(C251&lt;=0,0,MAX(0,(B251/C251)*G251/INDEX(Surface_Engine!$B$12:$B$72,$A251+1)-F251/INDEX(Surface_Engine!$B$12:$B$72,$A251+1))))*(MAX(0,J251/INDEX(Surface_Engine!$B$12:$B$72,$A251+1)-(F251/INDEX(Surface_Engine!$B$12:$B$72,$A251+1))))+2*Assumptions!$B$28*(MAX(IF(D251&lt;=0,0,MAX(0,(B251/D251)*H251/INDEX(Surface_Engine!$B$12:$B$72,$A251+1)-F251/INDEX(Surface_Engine!$B$12:$B$72,$A251+1))),IF(E251&lt;=0,0,MAX(0,(B251/E251)*I251/INDEX(Surface_Engine!$B$12:$B$72,$A251+1)-F251/INDEX(Surface_Engine!$B$12:$B$72,$A251+1))),IF($A251&lt;$Q$195,MAX(0,-Assumptions!$B$22*(F251/INDEX(Surface_Engine!$B$12:$B$72,$A251+1))),0)))*(MAX(0,J251/INDEX(Surface_Engine!$B$12:$B$72,$A251+1)-(F251/INDEX(Surface_Engine!$B$12:$B$72,$A251+1)))))</f>
        <v>1.98899221654784</v>
      </c>
      <c r="L251" s="48" t="n">
        <f aca="false">K251*INDEX(Surface_Engine!$B$12:$B$72,$A251+1)+L252</f>
        <v>0.628230054760257</v>
      </c>
      <c r="M251" s="48" t="n">
        <f aca="false">M250+B250*(IF($A250&lt;$Q$195,(Surface_Engine!Q236*12)-(Surface_Engine!Q236*12)*INDEX(Surface_Engine!$F$12:$F$72,$A250+1)-INDEX(Surface_Engine!$D$12:$D$72,$A250+1),-(1000*12*INDEX(Surface_Engine!$C$12:$C$72,$A250+1)/(1+Assumptions!$B$10)^30+INDEX(Surface_Engine!$D$12:$D$72,$A250+1))))*INDEX(Surface_Engine!$B$12:$B$72,$A250+1)</f>
        <v>467.847213075655</v>
      </c>
      <c r="N251" s="12" t="n">
        <f aca="false">IF(B251&lt;=0,0,MAX(0,(K251+Assumptions!$B$29*L251/INDEX(Surface_Engine!$B$12:$B$72,$A251+1)-(M251/INDEX(Surface_Engine!$B$12:$B$72,$A251+1)-(F251/INDEX(Surface_Engine!$B$12:$B$72,$A251+1))))/B251))</f>
        <v>0</v>
      </c>
    </row>
    <row r="252" customFormat="false" ht="15" hidden="false" customHeight="true" outlineLevel="0" collapsed="false">
      <c r="A252" s="1" t="n">
        <v>55</v>
      </c>
      <c r="B252" s="32" t="n">
        <f aca="false">INDEX(Surface_Engine!$G$12:$G$72,$A252+1)*IF($A252&lt;$Q$195,INDEX(Surface_Engine!$E$12:$E$72,$A252+1),INDEX(Surface_Engine!$E$12:$E$72,$Q$195+1))</f>
        <v>0.000121881689493471</v>
      </c>
      <c r="C252" s="32" t="n">
        <f aca="false">INDEX(Panel_Reserving!$B$8:$B$68,$A252+1)*IF($A252&lt;$Q$195,INDEX(Surface_Engine!$E$12:$E$72,$A252+1),INDEX(Surface_Engine!$E$12:$E$72,$Q$195+1))</f>
        <v>0.000949862336966233</v>
      </c>
      <c r="D252" s="32" t="n">
        <f aca="false">INDEX(Surface_Engine!$G$12:$G$72,$A252+1)*IF($A252&lt;$Q$195,INDEX(Surface_Engine!$Y$12:$Y$72,$A252+1),INDEX(Surface_Engine!$Y$12:$Y$72,$Q$195+1))</f>
        <v>0.000103044993101245</v>
      </c>
      <c r="E252" s="32" t="n">
        <f aca="false">INDEX(Surface_Engine!$G$12:$G$72,$A252+1)*IF($A252&lt;$Q$195,INDEX(Surface_Engine!$Z$12:$Z$72,$A252+1),INDEX(Surface_Engine!$Z$12:$Z$72,$Q$195+1))</f>
        <v>0.000143983931613617</v>
      </c>
      <c r="F252" s="48" t="n">
        <f aca="false">B252*(IF($A252&lt;$Q$195,INDEX(Surface_Engine!$D$12:$D$72,$A252+1)+(Surface_Engine!Q236*12)*INDEX(Surface_Engine!$F$12:$F$72,$A252+1)-(Surface_Engine!Q236*12),1000*12*INDEX(Surface_Engine!$C$12:$C$72,$A252+1)/(1+Assumptions!$B$10)^30+INDEX(Surface_Engine!$D$12:$D$72,$A252+1)))*INDEX(Surface_Engine!$B$12:$B$72,$A252+1)+F253</f>
        <v>0.776162843169835</v>
      </c>
      <c r="G252" s="48" t="n">
        <f aca="false">C252*(IF($A252&lt;$Q$195,INDEX(Surface_Engine!$D$12:$D$72,$A252+1)+(Surface_Engine!Q236*12)*INDEX(Surface_Engine!$F$12:$F$72,$A252+1)-(Surface_Engine!Q236*12),1000*12*INDEX(Surface_Engine!$C$12:$C$72,$A252+1)/(1+Assumptions!$B$10)^30+INDEX(Surface_Engine!$D$12:$D$72,$A252+1)))*INDEX(Surface_Engine!$B$12:$B$72,$A252+1)+G253</f>
        <v>7.31574333938478</v>
      </c>
      <c r="H252" s="48" t="n">
        <f aca="false">D252*(IF($A252&lt;$Q$195,INDEX(Surface_Engine!$D$12:$D$72,$A252+1)+(Surface_Engine!Q236*12)*INDEX(Surface_Engine!$F$12:$F$72,$A252+1)-(Surface_Engine!Q236*12),1000*12*INDEX(Surface_Engine!$C$12:$C$72,$A252+1)/(1+Assumptions!$B$10)^30+INDEX(Surface_Engine!$D$12:$D$72,$A252+1)))*INDEX(Surface_Engine!$B$12:$B$72,$A252+1)+H253</f>
        <v>0.656207631780188</v>
      </c>
      <c r="I252" s="48" t="n">
        <f aca="false">E252*(IF($A252&lt;$Q$195,INDEX(Surface_Engine!$D$12:$D$72,$A252+1)+(Surface_Engine!Q236*12)*INDEX(Surface_Engine!$F$12:$F$72,$A252+1)-(Surface_Engine!Q236*12),1000*12*INDEX(Surface_Engine!$C$12:$C$72,$A252+1)/(1+Assumptions!$B$10)^30+INDEX(Surface_Engine!$D$12:$D$72,$A252+1)))*INDEX(Surface_Engine!$B$12:$B$72,$A252+1)+I253</f>
        <v>0.916913592160064</v>
      </c>
      <c r="J252" s="48" t="n">
        <f aca="false">B252*(IF($A252&lt;$Q$195,INDEX(Surface_Engine!$D$12:$D$72,$A252+1)*(1+Assumptions!$B$24)+(Surface_Engine!Q236*12)*INDEX(Surface_Engine!$F$12:$F$72,$A252+1)-(Surface_Engine!Q236*12),1000*12*INDEX(Surface_Engine!$C$12:$C$72,$A252+1)/(1+Assumptions!$B$10)^30+INDEX(Surface_Engine!$D$12:$D$72,$A252+1)*(1+Assumptions!$B$24)))*INDEX(Surface_Engine!$B$12:$B$72,$A252+1)+J253</f>
        <v>0.777404538187929</v>
      </c>
      <c r="K252" s="12" t="n">
        <f aca="false">SQRT((IF(C252&lt;=0,0,MAX(0,(B252/C252)*G252/INDEX(Surface_Engine!$B$12:$B$72,$A252+1)-F252/INDEX(Surface_Engine!$B$12:$B$72,$A252+1))))^2+(MAX(IF(D252&lt;=0,0,MAX(0,(B252/D252)*H252/INDEX(Surface_Engine!$B$12:$B$72,$A252+1)-F252/INDEX(Surface_Engine!$B$12:$B$72,$A252+1))),IF(E252&lt;=0,0,MAX(0,(B252/E252)*I252/INDEX(Surface_Engine!$B$12:$B$72,$A252+1)-F252/INDEX(Surface_Engine!$B$12:$B$72,$A252+1))),IF($A252&lt;$Q$195,MAX(0,-Assumptions!$B$22*(F252/INDEX(Surface_Engine!$B$12:$B$72,$A252+1))),0)))^2+(MAX(0,J252/INDEX(Surface_Engine!$B$12:$B$72,$A252+1)-(F252/INDEX(Surface_Engine!$B$12:$B$72,$A252+1))))^2+2*Assumptions!$B$26*(IF(C252&lt;=0,0,MAX(0,(B252/C252)*G252/INDEX(Surface_Engine!$B$12:$B$72,$A252+1)-F252/INDEX(Surface_Engine!$B$12:$B$72,$A252+1))))*(MAX(IF(D252&lt;=0,0,MAX(0,(B252/D252)*H252/INDEX(Surface_Engine!$B$12:$B$72,$A252+1)-F252/INDEX(Surface_Engine!$B$12:$B$72,$A252+1))),IF(E252&lt;=0,0,MAX(0,(B252/E252)*I252/INDEX(Surface_Engine!$B$12:$B$72,$A252+1)-F252/INDEX(Surface_Engine!$B$12:$B$72,$A252+1))),IF($A252&lt;$Q$195,MAX(0,-Assumptions!$B$22*(F252/INDEX(Surface_Engine!$B$12:$B$72,$A252+1))),0)))+2*Assumptions!$B$27*(IF(C252&lt;=0,0,MAX(0,(B252/C252)*G252/INDEX(Surface_Engine!$B$12:$B$72,$A252+1)-F252/INDEX(Surface_Engine!$B$12:$B$72,$A252+1))))*(MAX(0,J252/INDEX(Surface_Engine!$B$12:$B$72,$A252+1)-(F252/INDEX(Surface_Engine!$B$12:$B$72,$A252+1))))+2*Assumptions!$B$28*(MAX(IF(D252&lt;=0,0,MAX(0,(B252/D252)*H252/INDEX(Surface_Engine!$B$12:$B$72,$A252+1)-F252/INDEX(Surface_Engine!$B$12:$B$72,$A252+1))),IF(E252&lt;=0,0,MAX(0,(B252/E252)*I252/INDEX(Surface_Engine!$B$12:$B$72,$A252+1)-F252/INDEX(Surface_Engine!$B$12:$B$72,$A252+1))),IF($A252&lt;$Q$195,MAX(0,-Assumptions!$B$22*(F252/INDEX(Surface_Engine!$B$12:$B$72,$A252+1))),0)))*(MAX(0,J252/INDEX(Surface_Engine!$B$12:$B$72,$A252+1)-(F252/INDEX(Surface_Engine!$B$12:$B$72,$A252+1)))))</f>
        <v>0.931799312138238</v>
      </c>
      <c r="L252" s="48" t="n">
        <f aca="false">K252*INDEX(Surface_Engine!$B$12:$B$72,$A252+1)+L253</f>
        <v>0.269177744053044</v>
      </c>
      <c r="M252" s="48" t="n">
        <f aca="false">M251+B251*(IF($A251&lt;$Q$195,(Surface_Engine!Q236*12)-(Surface_Engine!Q236*12)*INDEX(Surface_Engine!$F$12:$F$72,$A251+1)-INDEX(Surface_Engine!$D$12:$D$72,$A251+1),-(1000*12*INDEX(Surface_Engine!$C$12:$C$72,$A251+1)/(1+Assumptions!$B$10)^30+INDEX(Surface_Engine!$D$12:$D$72,$A251+1))))*INDEX(Surface_Engine!$B$12:$B$72,$A251+1)</f>
        <v>466.965614760881</v>
      </c>
      <c r="N252" s="12" t="n">
        <f aca="false">IF(B252&lt;=0,0,MAX(0,(K252+Assumptions!$B$29*L252/INDEX(Surface_Engine!$B$12:$B$72,$A252+1)-(M252/INDEX(Surface_Engine!$B$12:$B$72,$A252+1)-(F252/INDEX(Surface_Engine!$B$12:$B$72,$A252+1))))/B252))</f>
        <v>0</v>
      </c>
    </row>
    <row r="253" customFormat="false" ht="15" hidden="false" customHeight="true" outlineLevel="0" collapsed="false">
      <c r="A253" s="1" t="n">
        <v>56</v>
      </c>
      <c r="B253" s="32" t="n">
        <f aca="false">INDEX(Surface_Engine!$G$12:$G$72,$A253+1)*IF($A253&lt;$Q$195,INDEX(Surface_Engine!$E$12:$E$72,$A253+1),INDEX(Surface_Engine!$E$12:$E$72,$Q$195+1))</f>
        <v>5.75794023636275E-005</v>
      </c>
      <c r="C253" s="32" t="n">
        <f aca="false">INDEX(Panel_Reserving!$B$8:$B$68,$A253+1)*IF($A253&lt;$Q$195,INDEX(Surface_Engine!$E$12:$E$72,$A253+1),INDEX(Surface_Engine!$E$12:$E$72,$Q$195+1))</f>
        <v>0.000548959980070705</v>
      </c>
      <c r="D253" s="32" t="n">
        <f aca="false">INDEX(Surface_Engine!$G$12:$G$72,$A253+1)*IF($A253&lt;$Q$195,INDEX(Surface_Engine!$Y$12:$Y$72,$A253+1),INDEX(Surface_Engine!$Y$12:$Y$72,$Q$195+1))</f>
        <v>4.86805618136075E-005</v>
      </c>
      <c r="E253" s="32" t="n">
        <f aca="false">INDEX(Surface_Engine!$G$12:$G$72,$A253+1)*IF($A253&lt;$Q$195,INDEX(Surface_Engine!$Z$12:$Z$72,$A253+1),INDEX(Surface_Engine!$Z$12:$Z$72,$Q$195+1))</f>
        <v>6.80209534896673E-005</v>
      </c>
      <c r="F253" s="48" t="n">
        <f aca="false">B253*(IF($A253&lt;$Q$195,INDEX(Surface_Engine!$D$12:$D$72,$A253+1)+(Surface_Engine!Q236*12)*INDEX(Surface_Engine!$F$12:$F$72,$A253+1)-(Surface_Engine!Q236*12),1000*12*INDEX(Surface_Engine!$C$12:$C$72,$A253+1)/(1+Assumptions!$B$10)^30+INDEX(Surface_Engine!$D$12:$D$72,$A253+1)))*INDEX(Surface_Engine!$B$12:$B$72,$A253+1)+F254</f>
        <v>0.349949356379515</v>
      </c>
      <c r="G253" s="48" t="n">
        <f aca="false">C253*(IF($A253&lt;$Q$195,INDEX(Surface_Engine!$D$12:$D$72,$A253+1)+(Surface_Engine!Q236*12)*INDEX(Surface_Engine!$F$12:$F$72,$A253+1)-(Surface_Engine!Q236*12),1000*12*INDEX(Surface_Engine!$C$12:$C$72,$A253+1)/(1+Assumptions!$B$10)^30+INDEX(Surface_Engine!$D$12:$D$72,$A253+1)))*INDEX(Surface_Engine!$B$12:$B$72,$A253+1)+G254</f>
        <v>3.99412759635008</v>
      </c>
      <c r="H253" s="48" t="n">
        <f aca="false">D253*(IF($A253&lt;$Q$195,INDEX(Surface_Engine!$D$12:$D$72,$A253+1)+(Surface_Engine!Q236*12)*INDEX(Surface_Engine!$F$12:$F$72,$A253+1)-(Surface_Engine!Q236*12),1000*12*INDEX(Surface_Engine!$C$12:$C$72,$A253+1)/(1+Assumptions!$B$10)^30+INDEX(Surface_Engine!$D$12:$D$72,$A253+1)))*INDEX(Surface_Engine!$B$12:$B$72,$A253+1)+H254</f>
        <v>0.295865024219607</v>
      </c>
      <c r="I253" s="48" t="n">
        <f aca="false">E253*(IF($A253&lt;$Q$195,INDEX(Surface_Engine!$D$12:$D$72,$A253+1)+(Surface_Engine!Q236*12)*INDEX(Surface_Engine!$F$12:$F$72,$A253+1)-(Surface_Engine!Q236*12),1000*12*INDEX(Surface_Engine!$C$12:$C$72,$A253+1)/(1+Assumptions!$B$10)^30+INDEX(Surface_Engine!$D$12:$D$72,$A253+1)))*INDEX(Surface_Engine!$B$12:$B$72,$A253+1)+I254</f>
        <v>0.413409794420979</v>
      </c>
      <c r="J253" s="48" t="n">
        <f aca="false">B253*(IF($A253&lt;$Q$195,INDEX(Surface_Engine!$D$12:$D$72,$A253+1)*(1+Assumptions!$B$24)+(Surface_Engine!Q236*12)*INDEX(Surface_Engine!$F$12:$F$72,$A253+1)-(Surface_Engine!Q236*12),1000*12*INDEX(Surface_Engine!$C$12:$C$72,$A253+1)/(1+Assumptions!$B$10)^30+INDEX(Surface_Engine!$D$12:$D$72,$A253+1)*(1+Assumptions!$B$24)))*INDEX(Surface_Engine!$B$12:$B$72,$A253+1)+J254</f>
        <v>0.350511706860155</v>
      </c>
      <c r="K253" s="12" t="n">
        <f aca="false">SQRT((IF(C253&lt;=0,0,MAX(0,(B253/C253)*G253/INDEX(Surface_Engine!$B$12:$B$72,$A253+1)-F253/INDEX(Surface_Engine!$B$12:$B$72,$A253+1))))^2+(MAX(IF(D253&lt;=0,0,MAX(0,(B253/D253)*H253/INDEX(Surface_Engine!$B$12:$B$72,$A253+1)-F253/INDEX(Surface_Engine!$B$12:$B$72,$A253+1))),IF(E253&lt;=0,0,MAX(0,(B253/E253)*I253/INDEX(Surface_Engine!$B$12:$B$72,$A253+1)-F253/INDEX(Surface_Engine!$B$12:$B$72,$A253+1))),IF($A253&lt;$Q$195,MAX(0,-Assumptions!$B$22*(F253/INDEX(Surface_Engine!$B$12:$B$72,$A253+1))),0)))^2+(MAX(0,J253/INDEX(Surface_Engine!$B$12:$B$72,$A253+1)-(F253/INDEX(Surface_Engine!$B$12:$B$72,$A253+1))))^2+2*Assumptions!$B$26*(IF(C253&lt;=0,0,MAX(0,(B253/C253)*G253/INDEX(Surface_Engine!$B$12:$B$72,$A253+1)-F253/INDEX(Surface_Engine!$B$12:$B$72,$A253+1))))*(MAX(IF(D253&lt;=0,0,MAX(0,(B253/D253)*H253/INDEX(Surface_Engine!$B$12:$B$72,$A253+1)-F253/INDEX(Surface_Engine!$B$12:$B$72,$A253+1))),IF(E253&lt;=0,0,MAX(0,(B253/E253)*I253/INDEX(Surface_Engine!$B$12:$B$72,$A253+1)-F253/INDEX(Surface_Engine!$B$12:$B$72,$A253+1))),IF($A253&lt;$Q$195,MAX(0,-Assumptions!$B$22*(F253/INDEX(Surface_Engine!$B$12:$B$72,$A253+1))),0)))+2*Assumptions!$B$27*(IF(C253&lt;=0,0,MAX(0,(B253/C253)*G253/INDEX(Surface_Engine!$B$12:$B$72,$A253+1)-F253/INDEX(Surface_Engine!$B$12:$B$72,$A253+1))))*(MAX(0,J253/INDEX(Surface_Engine!$B$12:$B$72,$A253+1)-(F253/INDEX(Surface_Engine!$B$12:$B$72,$A253+1))))+2*Assumptions!$B$28*(MAX(IF(D253&lt;=0,0,MAX(0,(B253/D253)*H253/INDEX(Surface_Engine!$B$12:$B$72,$A253+1)-F253/INDEX(Surface_Engine!$B$12:$B$72,$A253+1))),IF(E253&lt;=0,0,MAX(0,(B253/E253)*I253/INDEX(Surface_Engine!$B$12:$B$72,$A253+1)-F253/INDEX(Surface_Engine!$B$12:$B$72,$A253+1))),IF($A253&lt;$Q$195,MAX(0,-Assumptions!$B$22*(F253/INDEX(Surface_Engine!$B$12:$B$72,$A253+1))),0)))*(MAX(0,J253/INDEX(Surface_Engine!$B$12:$B$72,$A253+1)-(F253/INDEX(Surface_Engine!$B$12:$B$72,$A253+1)))))</f>
        <v>0.408460168112845</v>
      </c>
      <c r="L253" s="48" t="n">
        <f aca="false">K253*INDEX(Surface_Engine!$B$12:$B$72,$A253+1)+L254</f>
        <v>0.106305320581206</v>
      </c>
      <c r="M253" s="48" t="n">
        <f aca="false">M252+B252*(IF($A252&lt;$Q$195,(Surface_Engine!Q236*12)-(Surface_Engine!Q236*12)*INDEX(Surface_Engine!$F$12:$F$72,$A252+1)-INDEX(Surface_Engine!$D$12:$D$72,$A252+1),-(1000*12*INDEX(Surface_Engine!$C$12:$C$72,$A252+1)/(1+Assumptions!$B$10)^30+INDEX(Surface_Engine!$D$12:$D$72,$A252+1))))*INDEX(Surface_Engine!$B$12:$B$72,$A252+1)</f>
        <v>466.539401274091</v>
      </c>
      <c r="N253" s="12" t="n">
        <f aca="false">IF(B253&lt;=0,0,MAX(0,(K253+Assumptions!$B$29*L253/INDEX(Surface_Engine!$B$12:$B$72,$A253+1)-(M253/INDEX(Surface_Engine!$B$12:$B$72,$A253+1)-(F253/INDEX(Surface_Engine!$B$12:$B$72,$A253+1))))/B253))</f>
        <v>0</v>
      </c>
    </row>
    <row r="254" customFormat="false" ht="15" hidden="false" customHeight="true" outlineLevel="0" collapsed="false">
      <c r="A254" s="1" t="n">
        <v>57</v>
      </c>
      <c r="B254" s="32" t="n">
        <f aca="false">INDEX(Surface_Engine!$G$12:$G$72,$A254+1)*IF($A254&lt;$Q$195,INDEX(Surface_Engine!$E$12:$E$72,$A254+1),INDEX(Surface_Engine!$E$12:$E$72,$Q$195+1))</f>
        <v>2.62359242781554E-005</v>
      </c>
      <c r="C254" s="32" t="n">
        <f aca="false">INDEX(Panel_Reserving!$B$8:$B$68,$A254+1)*IF($A254&lt;$Q$195,INDEX(Surface_Engine!$E$12:$E$72,$A254+1),INDEX(Surface_Engine!$E$12:$E$72,$Q$195+1))</f>
        <v>0.000309897893298975</v>
      </c>
      <c r="D254" s="32" t="n">
        <f aca="false">INDEX(Surface_Engine!$G$12:$G$72,$A254+1)*IF($A254&lt;$Q$195,INDEX(Surface_Engine!$Y$12:$Y$72,$A254+1),INDEX(Surface_Engine!$Y$12:$Y$72,$Q$195+1))</f>
        <v>2.21811877360967E-005</v>
      </c>
      <c r="E254" s="32" t="n">
        <f aca="false">INDEX(Surface_Engine!$G$12:$G$72,$A254+1)*IF($A254&lt;$Q$195,INDEX(Surface_Engine!$Z$12:$Z$72,$A254+1),INDEX(Surface_Engine!$Z$12:$Z$72,$Q$195+1))</f>
        <v>3.09935934001663E-005</v>
      </c>
      <c r="F254" s="48" t="n">
        <f aca="false">B254*(IF($A254&lt;$Q$195,INDEX(Surface_Engine!$D$12:$D$72,$A254+1)+(Surface_Engine!Q236*12)*INDEX(Surface_Engine!$F$12:$F$72,$A254+1)-(Surface_Engine!Q236*12),1000*12*INDEX(Surface_Engine!$C$12:$C$72,$A254+1)/(1+Assumptions!$B$10)^30+INDEX(Surface_Engine!$D$12:$D$72,$A254+1)))*INDEX(Surface_Engine!$B$12:$B$72,$A254+1)+F255</f>
        <v>0.151073484583801</v>
      </c>
      <c r="G254" s="48" t="n">
        <f aca="false">C254*(IF($A254&lt;$Q$195,INDEX(Surface_Engine!$D$12:$D$72,$A254+1)+(Surface_Engine!Q236*12)*INDEX(Surface_Engine!$F$12:$F$72,$A254+1)-(Surface_Engine!Q236*12),1000*12*INDEX(Surface_Engine!$C$12:$C$72,$A254+1)/(1+Assumptions!$B$10)^30+INDEX(Surface_Engine!$D$12:$D$72,$A254+1)))*INDEX(Surface_Engine!$B$12:$B$72,$A254+1)+G255</f>
        <v>2.09805208781919</v>
      </c>
      <c r="H254" s="48" t="n">
        <f aca="false">D254*(IF($A254&lt;$Q$195,INDEX(Surface_Engine!$D$12:$D$72,$A254+1)+(Surface_Engine!Q236*12)*INDEX(Surface_Engine!$F$12:$F$72,$A254+1)-(Surface_Engine!Q236*12),1000*12*INDEX(Surface_Engine!$C$12:$C$72,$A254+1)/(1+Assumptions!$B$10)^30+INDEX(Surface_Engine!$D$12:$D$72,$A254+1)))*INDEX(Surface_Engine!$B$12:$B$72,$A254+1)+H255</f>
        <v>0.127725224694664</v>
      </c>
      <c r="I254" s="48" t="n">
        <f aca="false">E254*(IF($A254&lt;$Q$195,INDEX(Surface_Engine!$D$12:$D$72,$A254+1)+(Surface_Engine!Q236*12)*INDEX(Surface_Engine!$F$12:$F$72,$A254+1)-(Surface_Engine!Q236*12),1000*12*INDEX(Surface_Engine!$C$12:$C$72,$A254+1)/(1+Assumptions!$B$10)^30+INDEX(Surface_Engine!$D$12:$D$72,$A254+1)))*INDEX(Surface_Engine!$B$12:$B$72,$A254+1)+I255</f>
        <v>0.178469418690738</v>
      </c>
      <c r="J254" s="48" t="n">
        <f aca="false">B254*(IF($A254&lt;$Q$195,INDEX(Surface_Engine!$D$12:$D$72,$A254+1)*(1+Assumptions!$B$24)+(Surface_Engine!Q236*12)*INDEX(Surface_Engine!$F$12:$F$72,$A254+1)-(Surface_Engine!Q236*12),1000*12*INDEX(Surface_Engine!$C$12:$C$72,$A254+1)/(1+Assumptions!$B$10)^30+INDEX(Surface_Engine!$D$12:$D$72,$A254+1)*(1+Assumptions!$B$24)))*INDEX(Surface_Engine!$B$12:$B$72,$A254+1)+J255</f>
        <v>0.151317316493663</v>
      </c>
      <c r="K254" s="12" t="n">
        <f aca="false">SQRT((IF(C254&lt;=0,0,MAX(0,(B254/C254)*G254/INDEX(Surface_Engine!$B$12:$B$72,$A254+1)-F254/INDEX(Surface_Engine!$B$12:$B$72,$A254+1))))^2+(MAX(IF(D254&lt;=0,0,MAX(0,(B254/D254)*H254/INDEX(Surface_Engine!$B$12:$B$72,$A254+1)-F254/INDEX(Surface_Engine!$B$12:$B$72,$A254+1))),IF(E254&lt;=0,0,MAX(0,(B254/E254)*I254/INDEX(Surface_Engine!$B$12:$B$72,$A254+1)-F254/INDEX(Surface_Engine!$B$12:$B$72,$A254+1))),IF($A254&lt;$Q$195,MAX(0,-Assumptions!$B$22*(F254/INDEX(Surface_Engine!$B$12:$B$72,$A254+1))),0)))^2+(MAX(0,J254/INDEX(Surface_Engine!$B$12:$B$72,$A254+1)-(F254/INDEX(Surface_Engine!$B$12:$B$72,$A254+1))))^2+2*Assumptions!$B$26*(IF(C254&lt;=0,0,MAX(0,(B254/C254)*G254/INDEX(Surface_Engine!$B$12:$B$72,$A254+1)-F254/INDEX(Surface_Engine!$B$12:$B$72,$A254+1))))*(MAX(IF(D254&lt;=0,0,MAX(0,(B254/D254)*H254/INDEX(Surface_Engine!$B$12:$B$72,$A254+1)-F254/INDEX(Surface_Engine!$B$12:$B$72,$A254+1))),IF(E254&lt;=0,0,MAX(0,(B254/E254)*I254/INDEX(Surface_Engine!$B$12:$B$72,$A254+1)-F254/INDEX(Surface_Engine!$B$12:$B$72,$A254+1))),IF($A254&lt;$Q$195,MAX(0,-Assumptions!$B$22*(F254/INDEX(Surface_Engine!$B$12:$B$72,$A254+1))),0)))+2*Assumptions!$B$27*(IF(C254&lt;=0,0,MAX(0,(B254/C254)*G254/INDEX(Surface_Engine!$B$12:$B$72,$A254+1)-F254/INDEX(Surface_Engine!$B$12:$B$72,$A254+1))))*(MAX(0,J254/INDEX(Surface_Engine!$B$12:$B$72,$A254+1)-(F254/INDEX(Surface_Engine!$B$12:$B$72,$A254+1))))+2*Assumptions!$B$28*(MAX(IF(D254&lt;=0,0,MAX(0,(B254/D254)*H254/INDEX(Surface_Engine!$B$12:$B$72,$A254+1)-F254/INDEX(Surface_Engine!$B$12:$B$72,$A254+1))),IF(E254&lt;=0,0,MAX(0,(B254/E254)*I254/INDEX(Surface_Engine!$B$12:$B$72,$A254+1)-F254/INDEX(Surface_Engine!$B$12:$B$72,$A254+1))),IF($A254&lt;$Q$195,MAX(0,-Assumptions!$B$22*(F254/INDEX(Surface_Engine!$B$12:$B$72,$A254+1))),0)))*(MAX(0,J254/INDEX(Surface_Engine!$B$12:$B$72,$A254+1)-(F254/INDEX(Surface_Engine!$B$12:$B$72,$A254+1)))))</f>
        <v>0.162380567461087</v>
      </c>
      <c r="L254" s="48" t="n">
        <f aca="false">K254*INDEX(Surface_Engine!$B$12:$B$72,$A254+1)+L255</f>
        <v>0.0371752495853946</v>
      </c>
      <c r="M254" s="48" t="n">
        <f aca="false">M253+B253*(IF($A253&lt;$Q$195,(Surface_Engine!Q236*12)-(Surface_Engine!Q236*12)*INDEX(Surface_Engine!$F$12:$F$72,$A253+1)-INDEX(Surface_Engine!$D$12:$D$72,$A253+1),-(1000*12*INDEX(Surface_Engine!$C$12:$C$72,$A253+1)/(1+Assumptions!$B$10)^30+INDEX(Surface_Engine!$D$12:$D$72,$A253+1))))*INDEX(Surface_Engine!$B$12:$B$72,$A253+1)</f>
        <v>466.340525402295</v>
      </c>
      <c r="N254" s="12" t="n">
        <f aca="false">IF(B254&lt;=0,0,MAX(0,(K254+Assumptions!$B$29*L254/INDEX(Surface_Engine!$B$12:$B$72,$A254+1)-(M254/INDEX(Surface_Engine!$B$12:$B$72,$A254+1)-(F254/INDEX(Surface_Engine!$B$12:$B$72,$A254+1))))/B254))</f>
        <v>0</v>
      </c>
    </row>
    <row r="255" customFormat="false" ht="15" hidden="false" customHeight="true" outlineLevel="0" collapsed="false">
      <c r="A255" s="1" t="n">
        <v>58</v>
      </c>
      <c r="B255" s="32" t="n">
        <f aca="false">INDEX(Surface_Engine!$G$12:$G$72,$A255+1)*IF($A255&lt;$Q$195,INDEX(Surface_Engine!$E$12:$E$72,$A255+1),INDEX(Surface_Engine!$E$12:$E$72,$Q$195+1))</f>
        <v>1.15225291586461E-005</v>
      </c>
      <c r="C255" s="32" t="n">
        <f aca="false">INDEX(Panel_Reserving!$B$8:$B$68,$A255+1)*IF($A255&lt;$Q$195,INDEX(Surface_Engine!$E$12:$E$72,$A255+1),INDEX(Surface_Engine!$E$12:$E$72,$Q$195+1))</f>
        <v>0.00017086257356045</v>
      </c>
      <c r="D255" s="32" t="n">
        <f aca="false">INDEX(Surface_Engine!$G$12:$G$72,$A255+1)*IF($A255&lt;$Q$195,INDEX(Surface_Engine!$Y$12:$Y$72,$A255+1),INDEX(Surface_Engine!$Y$12:$Y$72,$Q$195+1))</f>
        <v>9.74173350070927E-006</v>
      </c>
      <c r="E255" s="32" t="n">
        <f aca="false">INDEX(Surface_Engine!$G$12:$G$72,$A255+1)*IF($A255&lt;$Q$195,INDEX(Surface_Engine!$Z$12:$Z$72,$A255+1),INDEX(Surface_Engine!$Z$12:$Z$72,$Q$195+1))</f>
        <v>1.36120450683717E-005</v>
      </c>
      <c r="F255" s="48" t="n">
        <f aca="false">B255*(IF($A255&lt;$Q$195,INDEX(Surface_Engine!$D$12:$D$72,$A255+1)+(Surface_Engine!Q236*12)*INDEX(Surface_Engine!$F$12:$F$72,$A255+1)-(Surface_Engine!Q236*12),1000*12*INDEX(Surface_Engine!$C$12:$C$72,$A255+1)/(1+Assumptions!$B$10)^30+INDEX(Surface_Engine!$D$12:$D$72,$A255+1)))*INDEX(Surface_Engine!$B$12:$B$72,$A255+1)+F256</f>
        <v>0.0615721966840338</v>
      </c>
      <c r="G255" s="48" t="n">
        <f aca="false">C255*(IF($A255&lt;$Q$195,INDEX(Surface_Engine!$D$12:$D$72,$A255+1)+(Surface_Engine!Q236*12)*INDEX(Surface_Engine!$F$12:$F$72,$A255+1)-(Surface_Engine!Q236*12),1000*12*INDEX(Surface_Engine!$C$12:$C$72,$A255+1)/(1+Assumptions!$B$10)^30+INDEX(Surface_Engine!$D$12:$D$72,$A255+1)))*INDEX(Surface_Engine!$B$12:$B$72,$A255+1)+G256</f>
        <v>1.0408657553073</v>
      </c>
      <c r="H255" s="48" t="n">
        <f aca="false">D255*(IF($A255&lt;$Q$195,INDEX(Surface_Engine!$D$12:$D$72,$A255+1)+(Surface_Engine!Q236*12)*INDEX(Surface_Engine!$F$12:$F$72,$A255+1)-(Surface_Engine!Q236*12),1000*12*INDEX(Surface_Engine!$C$12:$C$72,$A255+1)/(1+Assumptions!$B$10)^30+INDEX(Surface_Engine!$D$12:$D$72,$A255+1)))*INDEX(Surface_Engine!$B$12:$B$72,$A255+1)+H256</f>
        <v>0.0520562736609807</v>
      </c>
      <c r="I255" s="48" t="n">
        <f aca="false">E255*(IF($A255&lt;$Q$195,INDEX(Surface_Engine!$D$12:$D$72,$A255+1)+(Surface_Engine!Q236*12)*INDEX(Surface_Engine!$F$12:$F$72,$A255+1)-(Surface_Engine!Q236*12),1000*12*INDEX(Surface_Engine!$C$12:$C$72,$A255+1)/(1+Assumptions!$B$10)^30+INDEX(Surface_Engine!$D$12:$D$72,$A255+1)))*INDEX(Surface_Engine!$B$12:$B$72,$A255+1)+I256</f>
        <v>0.0727378082261405</v>
      </c>
      <c r="J255" s="48" t="n">
        <f aca="false">B255*(IF($A255&lt;$Q$195,INDEX(Surface_Engine!$D$12:$D$72,$A255+1)*(1+Assumptions!$B$24)+(Surface_Engine!Q236*12)*INDEX(Surface_Engine!$F$12:$F$72,$A255+1)-(Surface_Engine!Q236*12),1000*12*INDEX(Surface_Engine!$C$12:$C$72,$A255+1)/(1+Assumptions!$B$10)^30+INDEX(Surface_Engine!$D$12:$D$72,$A255+1)*(1+Assumptions!$B$24)))*INDEX(Surface_Engine!$B$12:$B$72,$A255+1)+J256</f>
        <v>0.0616719924303237</v>
      </c>
      <c r="K255" s="12" t="n">
        <f aca="false">SQRT((IF(C255&lt;=0,0,MAX(0,(B255/C255)*G255/INDEX(Surface_Engine!$B$12:$B$72,$A255+1)-F255/INDEX(Surface_Engine!$B$12:$B$72,$A255+1))))^2+(MAX(IF(D255&lt;=0,0,MAX(0,(B255/D255)*H255/INDEX(Surface_Engine!$B$12:$B$72,$A255+1)-F255/INDEX(Surface_Engine!$B$12:$B$72,$A255+1))),IF(E255&lt;=0,0,MAX(0,(B255/E255)*I255/INDEX(Surface_Engine!$B$12:$B$72,$A255+1)-F255/INDEX(Surface_Engine!$B$12:$B$72,$A255+1))),IF($A255&lt;$Q$195,MAX(0,-Assumptions!$B$22*(F255/INDEX(Surface_Engine!$B$12:$B$72,$A255+1))),0)))^2+(MAX(0,J255/INDEX(Surface_Engine!$B$12:$B$72,$A255+1)-(F255/INDEX(Surface_Engine!$B$12:$B$72,$A255+1))))^2+2*Assumptions!$B$26*(IF(C255&lt;=0,0,MAX(0,(B255/C255)*G255/INDEX(Surface_Engine!$B$12:$B$72,$A255+1)-F255/INDEX(Surface_Engine!$B$12:$B$72,$A255+1))))*(MAX(IF(D255&lt;=0,0,MAX(0,(B255/D255)*H255/INDEX(Surface_Engine!$B$12:$B$72,$A255+1)-F255/INDEX(Surface_Engine!$B$12:$B$72,$A255+1))),IF(E255&lt;=0,0,MAX(0,(B255/E255)*I255/INDEX(Surface_Engine!$B$12:$B$72,$A255+1)-F255/INDEX(Surface_Engine!$B$12:$B$72,$A255+1))),IF($A255&lt;$Q$195,MAX(0,-Assumptions!$B$22*(F255/INDEX(Surface_Engine!$B$12:$B$72,$A255+1))),0)))+2*Assumptions!$B$27*(IF(C255&lt;=0,0,MAX(0,(B255/C255)*G255/INDEX(Surface_Engine!$B$12:$B$72,$A255+1)-F255/INDEX(Surface_Engine!$B$12:$B$72,$A255+1))))*(MAX(0,J255/INDEX(Surface_Engine!$B$12:$B$72,$A255+1)-(F255/INDEX(Surface_Engine!$B$12:$B$72,$A255+1))))+2*Assumptions!$B$28*(MAX(IF(D255&lt;=0,0,MAX(0,(B255/D255)*H255/INDEX(Surface_Engine!$B$12:$B$72,$A255+1)-F255/INDEX(Surface_Engine!$B$12:$B$72,$A255+1))),IF(E255&lt;=0,0,MAX(0,(B255/E255)*I255/INDEX(Surface_Engine!$B$12:$B$72,$A255+1)-F255/INDEX(Surface_Engine!$B$12:$B$72,$A255+1))),IF($A255&lt;$Q$195,MAX(0,-Assumptions!$B$22*(F255/INDEX(Surface_Engine!$B$12:$B$72,$A255+1))),0)))*(MAX(0,J255/INDEX(Surface_Engine!$B$12:$B$72,$A255+1)-(F255/INDEX(Surface_Engine!$B$12:$B$72,$A255+1)))))</f>
        <v>0.0544964404118681</v>
      </c>
      <c r="L255" s="48" t="n">
        <f aca="false">K255*INDEX(Surface_Engine!$B$12:$B$72,$A255+1)+L256</f>
        <v>0.010565851446638</v>
      </c>
      <c r="M255" s="48" t="n">
        <f aca="false">M254+B254*(IF($A254&lt;$Q$195,(Surface_Engine!Q236*12)-(Surface_Engine!Q236*12)*INDEX(Surface_Engine!$F$12:$F$72,$A254+1)-INDEX(Surface_Engine!$D$12:$D$72,$A254+1),-(1000*12*INDEX(Surface_Engine!$C$12:$C$72,$A254+1)/(1+Assumptions!$B$10)^30+INDEX(Surface_Engine!$D$12:$D$72,$A254+1))))*INDEX(Surface_Engine!$B$12:$B$72,$A254+1)</f>
        <v>466.251024114396</v>
      </c>
      <c r="N255" s="12" t="n">
        <f aca="false">IF(B255&lt;=0,0,MAX(0,(K255+Assumptions!$B$29*L255/INDEX(Surface_Engine!$B$12:$B$72,$A255+1)-(M255/INDEX(Surface_Engine!$B$12:$B$72,$A255+1)-(F255/INDEX(Surface_Engine!$B$12:$B$72,$A255+1))))/B255))</f>
        <v>0</v>
      </c>
    </row>
    <row r="256" customFormat="false" ht="15" hidden="false" customHeight="true" outlineLevel="0" collapsed="false">
      <c r="A256" s="1" t="n">
        <v>59</v>
      </c>
      <c r="B256" s="32" t="n">
        <f aca="false">INDEX(Surface_Engine!$G$12:$G$72,$A256+1)*IF($A256&lt;$Q$195,INDEX(Surface_Engine!$E$12:$E$72,$A256+1),INDEX(Surface_Engine!$E$12:$E$72,$Q$195+1))</f>
        <v>4.87497472523345E-006</v>
      </c>
      <c r="C256" s="32" t="n">
        <f aca="false">INDEX(Panel_Reserving!$B$8:$B$68,$A256+1)*IF($A256&lt;$Q$195,INDEX(Surface_Engine!$E$12:$E$72,$A256+1),INDEX(Surface_Engine!$E$12:$E$72,$Q$195+1))</f>
        <v>9.20036187085949E-005</v>
      </c>
      <c r="D256" s="32" t="n">
        <f aca="false">INDEX(Surface_Engine!$G$12:$G$72,$A256+1)*IF($A256&lt;$Q$195,INDEX(Surface_Engine!$Y$12:$Y$72,$A256+1),INDEX(Surface_Engine!$Y$12:$Y$72,$Q$195+1))</f>
        <v>4.12155212992298E-006</v>
      </c>
      <c r="E256" s="32" t="n">
        <f aca="false">INDEX(Surface_Engine!$G$12:$G$72,$A256+1)*IF($A256&lt;$Q$195,INDEX(Surface_Engine!$Z$12:$Z$72,$A256+1),INDEX(Surface_Engine!$Z$12:$Z$72,$Q$195+1))</f>
        <v>5.75901130328296E-006</v>
      </c>
      <c r="F256" s="48" t="n">
        <f aca="false">B256*(IF($A256&lt;$Q$195,INDEX(Surface_Engine!$D$12:$D$72,$A256+1)+(Surface_Engine!Q236*12)*INDEX(Surface_Engine!$F$12:$F$72,$A256+1)-(Surface_Engine!Q236*12),1000*12*INDEX(Surface_Engine!$C$12:$C$72,$A256+1)/(1+Assumptions!$B$10)^30+INDEX(Surface_Engine!$D$12:$D$72,$A256+1)))*INDEX(Surface_Engine!$B$12:$B$72,$A256+1)+F257</f>
        <v>0.0227490747144857</v>
      </c>
      <c r="G256" s="48" t="n">
        <f aca="false">C256*(IF($A256&lt;$Q$195,INDEX(Surface_Engine!$D$12:$D$72,$A256+1)+(Surface_Engine!Q236*12)*INDEX(Surface_Engine!$F$12:$F$72,$A256+1)-(Surface_Engine!Q236*12),1000*12*INDEX(Surface_Engine!$C$12:$C$72,$A256+1)/(1+Assumptions!$B$10)^30+INDEX(Surface_Engine!$D$12:$D$72,$A256+1)))*INDEX(Surface_Engine!$B$12:$B$72,$A256+1)+G257</f>
        <v>0.465174564420556</v>
      </c>
      <c r="H256" s="48" t="n">
        <f aca="false">D256*(IF($A256&lt;$Q$195,INDEX(Surface_Engine!$D$12:$D$72,$A256+1)+(Surface_Engine!Q236*12)*INDEX(Surface_Engine!$F$12:$F$72,$A256+1)-(Surface_Engine!Q236*12),1000*12*INDEX(Surface_Engine!$C$12:$C$72,$A256+1)/(1+Assumptions!$B$10)^30+INDEX(Surface_Engine!$D$12:$D$72,$A256+1)))*INDEX(Surface_Engine!$B$12:$B$72,$A256+1)+H257</f>
        <v>0.0192332273761226</v>
      </c>
      <c r="I256" s="48" t="n">
        <f aca="false">E256*(IF($A256&lt;$Q$195,INDEX(Surface_Engine!$D$12:$D$72,$A256+1)+(Surface_Engine!Q236*12)*INDEX(Surface_Engine!$F$12:$F$72,$A256+1)-(Surface_Engine!Q236*12),1000*12*INDEX(Surface_Engine!$C$12:$C$72,$A256+1)/(1+Assumptions!$B$10)^30+INDEX(Surface_Engine!$D$12:$D$72,$A256+1)))*INDEX(Surface_Engine!$B$12:$B$72,$A256+1)+I257</f>
        <v>0.0268744323415293</v>
      </c>
      <c r="J256" s="48" t="n">
        <f aca="false">B256*(IF($A256&lt;$Q$195,INDEX(Surface_Engine!$D$12:$D$72,$A256+1)*(1+Assumptions!$B$24)+(Surface_Engine!Q236*12)*INDEX(Surface_Engine!$F$12:$F$72,$A256+1)-(Surface_Engine!Q236*12),1000*12*INDEX(Surface_Engine!$C$12:$C$72,$A256+1)/(1+Assumptions!$B$10)^30+INDEX(Surface_Engine!$D$12:$D$72,$A256+1)*(1+Assumptions!$B$24)))*INDEX(Surface_Engine!$B$12:$B$72,$A256+1)+J257</f>
        <v>0.0227860903393705</v>
      </c>
      <c r="K256" s="12" t="n">
        <f aca="false">SQRT((IF(C256&lt;=0,0,MAX(0,(B256/C256)*G256/INDEX(Surface_Engine!$B$12:$B$72,$A256+1)-F256/INDEX(Surface_Engine!$B$12:$B$72,$A256+1))))^2+(MAX(IF(D256&lt;=0,0,MAX(0,(B256/D256)*H256/INDEX(Surface_Engine!$B$12:$B$72,$A256+1)-F256/INDEX(Surface_Engine!$B$12:$B$72,$A256+1))),IF(E256&lt;=0,0,MAX(0,(B256/E256)*I256/INDEX(Surface_Engine!$B$12:$B$72,$A256+1)-F256/INDEX(Surface_Engine!$B$12:$B$72,$A256+1))),IF($A256&lt;$Q$195,MAX(0,-Assumptions!$B$22*(F256/INDEX(Surface_Engine!$B$12:$B$72,$A256+1))),0)))^2+(MAX(0,J256/INDEX(Surface_Engine!$B$12:$B$72,$A256+1)-(F256/INDEX(Surface_Engine!$B$12:$B$72,$A256+1))))^2+2*Assumptions!$B$26*(IF(C256&lt;=0,0,MAX(0,(B256/C256)*G256/INDEX(Surface_Engine!$B$12:$B$72,$A256+1)-F256/INDEX(Surface_Engine!$B$12:$B$72,$A256+1))))*(MAX(IF(D256&lt;=0,0,MAX(0,(B256/D256)*H256/INDEX(Surface_Engine!$B$12:$B$72,$A256+1)-F256/INDEX(Surface_Engine!$B$12:$B$72,$A256+1))),IF(E256&lt;=0,0,MAX(0,(B256/E256)*I256/INDEX(Surface_Engine!$B$12:$B$72,$A256+1)-F256/INDEX(Surface_Engine!$B$12:$B$72,$A256+1))),IF($A256&lt;$Q$195,MAX(0,-Assumptions!$B$22*(F256/INDEX(Surface_Engine!$B$12:$B$72,$A256+1))),0)))+2*Assumptions!$B$27*(IF(C256&lt;=0,0,MAX(0,(B256/C256)*G256/INDEX(Surface_Engine!$B$12:$B$72,$A256+1)-F256/INDEX(Surface_Engine!$B$12:$B$72,$A256+1))))*(MAX(0,J256/INDEX(Surface_Engine!$B$12:$B$72,$A256+1)-(F256/INDEX(Surface_Engine!$B$12:$B$72,$A256+1))))+2*Assumptions!$B$28*(MAX(IF(D256&lt;=0,0,MAX(0,(B256/D256)*H256/INDEX(Surface_Engine!$B$12:$B$72,$A256+1)-F256/INDEX(Surface_Engine!$B$12:$B$72,$A256+1))),IF(E256&lt;=0,0,MAX(0,(B256/E256)*I256/INDEX(Surface_Engine!$B$12:$B$72,$A256+1)-F256/INDEX(Surface_Engine!$B$12:$B$72,$A256+1))),IF($A256&lt;$Q$195,MAX(0,-Assumptions!$B$22*(F256/INDEX(Surface_Engine!$B$12:$B$72,$A256+1))),0)))*(MAX(0,J256/INDEX(Surface_Engine!$B$12:$B$72,$A256+1)-(F256/INDEX(Surface_Engine!$B$12:$B$72,$A256+1)))))</f>
        <v>0.0124243865826214</v>
      </c>
      <c r="L256" s="48" t="n">
        <f aca="false">K256*INDEX(Surface_Engine!$B$12:$B$72,$A256+1)+L257</f>
        <v>0.00191927020605085</v>
      </c>
      <c r="M256" s="48" t="n">
        <f aca="false">M255+B255*(IF($A255&lt;$Q$195,(Surface_Engine!Q236*12)-(Surface_Engine!Q236*12)*INDEX(Surface_Engine!$F$12:$F$72,$A255+1)-INDEX(Surface_Engine!$D$12:$D$72,$A255+1),-(1000*12*INDEX(Surface_Engine!$C$12:$C$72,$A255+1)/(1+Assumptions!$B$10)^30+INDEX(Surface_Engine!$D$12:$D$72,$A255+1))))*INDEX(Surface_Engine!$B$12:$B$72,$A255+1)</f>
        <v>466.212200992426</v>
      </c>
      <c r="N256" s="12" t="n">
        <f aca="false">IF(B256&lt;=0,0,MAX(0,(K256+Assumptions!$B$29*L256/INDEX(Surface_Engine!$B$12:$B$72,$A256+1)-(M256/INDEX(Surface_Engine!$B$12:$B$72,$A256+1)-(F256/INDEX(Surface_Engine!$B$12:$B$72,$A256+1))))/B256))</f>
        <v>0</v>
      </c>
    </row>
    <row r="257" customFormat="false" ht="15" hidden="false" customHeight="true" outlineLevel="0" collapsed="false">
      <c r="A257" s="1" t="n">
        <v>60</v>
      </c>
      <c r="B257" s="32" t="n">
        <f aca="false">INDEX(Surface_Engine!$G$12:$G$72,$A257+1)*IF($A257&lt;$Q$195,INDEX(Surface_Engine!$E$12:$E$72,$A257+1),INDEX(Surface_Engine!$E$12:$E$72,$Q$195+1))</f>
        <v>1.98587169781628E-006</v>
      </c>
      <c r="C257" s="32" t="n">
        <f aca="false">INDEX(Panel_Reserving!$B$8:$B$68,$A257+1)*IF($A257&lt;$Q$195,INDEX(Surface_Engine!$E$12:$E$72,$A257+1),INDEX(Surface_Engine!$E$12:$E$72,$Q$195+1))</f>
        <v>4.83836291372057E-005</v>
      </c>
      <c r="D257" s="32" t="n">
        <f aca="false">INDEX(Surface_Engine!$G$12:$G$72,$A257+1)*IF($A257&lt;$Q$195,INDEX(Surface_Engine!$Y$12:$Y$72,$A257+1),INDEX(Surface_Engine!$Y$12:$Y$72,$Q$195+1))</f>
        <v>1.67895716125923E-006</v>
      </c>
      <c r="E257" s="32" t="n">
        <f aca="false">INDEX(Surface_Engine!$G$12:$G$72,$A257+1)*IF($A257&lt;$Q$195,INDEX(Surface_Engine!$Z$12:$Z$72,$A257+1),INDEX(Surface_Engine!$Z$12:$Z$72,$Q$195+1))</f>
        <v>2.34599319979982E-006</v>
      </c>
      <c r="F257" s="48" t="n">
        <f aca="false">B257*(IF($A257&lt;$Q$195,INDEX(Surface_Engine!$D$12:$D$72,$A257+1)+(Surface_Engine!Q236*12)*INDEX(Surface_Engine!$F$12:$F$72,$A257+1)-(Surface_Engine!Q236*12),1000*12*INDEX(Surface_Engine!$C$12:$C$72,$A257+1)/(1+Assumptions!$B$10)^30+INDEX(Surface_Engine!$D$12:$D$72,$A257+1)))*INDEX(Surface_Engine!$B$12:$B$72,$A257+1)</f>
        <v>0.00652662313558895</v>
      </c>
      <c r="G257" s="48" t="n">
        <f aca="false">C257*(IF($A257&lt;$Q$195,INDEX(Surface_Engine!$D$12:$D$72,$A257+1)+(Surface_Engine!Q236*12)*INDEX(Surface_Engine!$F$12:$F$72,$A257+1)-(Surface_Engine!Q236*12),1000*12*INDEX(Surface_Engine!$C$12:$C$72,$A257+1)/(1+Assumptions!$B$10)^30+INDEX(Surface_Engine!$D$12:$D$72,$A257+1)))*INDEX(Surface_Engine!$B$12:$B$72,$A257+1)</f>
        <v>0.159014156683881</v>
      </c>
      <c r="H257" s="48" t="n">
        <f aca="false">D257*(IF($A257&lt;$Q$195,INDEX(Surface_Engine!$D$12:$D$72,$A257+1)+(Surface_Engine!Q236*12)*INDEX(Surface_Engine!$F$12:$F$72,$A257+1)-(Surface_Engine!Q236*12),1000*12*INDEX(Surface_Engine!$C$12:$C$72,$A257+1)/(1+Assumptions!$B$10)^30+INDEX(Surface_Engine!$D$12:$D$72,$A257+1)))*INDEX(Surface_Engine!$B$12:$B$72,$A257+1)</f>
        <v>0.00551793988724795</v>
      </c>
      <c r="I257" s="48" t="n">
        <f aca="false">E257*(IF($A257&lt;$Q$195,INDEX(Surface_Engine!$D$12:$D$72,$A257+1)+(Surface_Engine!Q236*12)*INDEX(Surface_Engine!$F$12:$F$72,$A257+1)-(Surface_Engine!Q236*12),1000*12*INDEX(Surface_Engine!$C$12:$C$72,$A257+1)/(1+Assumptions!$B$10)^30+INDEX(Surface_Engine!$D$12:$D$72,$A257+1)))*INDEX(Surface_Engine!$B$12:$B$72,$A257+1)</f>
        <v>0.0077101725708588</v>
      </c>
      <c r="J257" s="48" t="n">
        <f aca="false">B257*(IF($A257&lt;$Q$195,INDEX(Surface_Engine!$D$12:$D$72,$A257+1)*(1+Assumptions!$B$24)+(Surface_Engine!Q236*12)*INDEX(Surface_Engine!$F$12:$F$72,$A257+1)-(Surface_Engine!Q236*12),1000*12*INDEX(Surface_Engine!$C$12:$C$72,$A257+1)/(1+Assumptions!$B$10)^30+INDEX(Surface_Engine!$D$12:$D$72,$A257+1)*(1+Assumptions!$B$24)))*INDEX(Surface_Engine!$B$12:$B$72,$A257+1)</f>
        <v>0.00653727924333499</v>
      </c>
      <c r="K257" s="12" t="n">
        <f aca="false">SQRT((IF(C257&lt;=0,0,MAX(0,(B257/C257)*G257/INDEX(Surface_Engine!$B$12:$B$72,$A257+1)-F257/INDEX(Surface_Engine!$B$12:$B$72,$A257+1))))^2+(MAX(IF(D257&lt;=0,0,MAX(0,(B257/D257)*H257/INDEX(Surface_Engine!$B$12:$B$72,$A257+1)-F257/INDEX(Surface_Engine!$B$12:$B$72,$A257+1))),IF(E257&lt;=0,0,MAX(0,(B257/E257)*I257/INDEX(Surface_Engine!$B$12:$B$72,$A257+1)-F257/INDEX(Surface_Engine!$B$12:$B$72,$A257+1))),IF($A257&lt;$Q$195,MAX(0,-Assumptions!$B$22*(F257/INDEX(Surface_Engine!$B$12:$B$72,$A257+1))),0)))^2+(MAX(0,J257/INDEX(Surface_Engine!$B$12:$B$72,$A257+1)-(F257/INDEX(Surface_Engine!$B$12:$B$72,$A257+1))))^2+2*Assumptions!$B$26*(IF(C257&lt;=0,0,MAX(0,(B257/C257)*G257/INDEX(Surface_Engine!$B$12:$B$72,$A257+1)-F257/INDEX(Surface_Engine!$B$12:$B$72,$A257+1))))*(MAX(IF(D257&lt;=0,0,MAX(0,(B257/D257)*H257/INDEX(Surface_Engine!$B$12:$B$72,$A257+1)-F257/INDEX(Surface_Engine!$B$12:$B$72,$A257+1))),IF(E257&lt;=0,0,MAX(0,(B257/E257)*I257/INDEX(Surface_Engine!$B$12:$B$72,$A257+1)-F257/INDEX(Surface_Engine!$B$12:$B$72,$A257+1))),IF($A257&lt;$Q$195,MAX(0,-Assumptions!$B$22*(F257/INDEX(Surface_Engine!$B$12:$B$72,$A257+1))),0)))+2*Assumptions!$B$27*(IF(C257&lt;=0,0,MAX(0,(B257/C257)*G257/INDEX(Surface_Engine!$B$12:$B$72,$A257+1)-F257/INDEX(Surface_Engine!$B$12:$B$72,$A257+1))))*(MAX(0,J257/INDEX(Surface_Engine!$B$12:$B$72,$A257+1)-(F257/INDEX(Surface_Engine!$B$12:$B$72,$A257+1))))+2*Assumptions!$B$28*(MAX(IF(D257&lt;=0,0,MAX(0,(B257/D257)*H257/INDEX(Surface_Engine!$B$12:$B$72,$A257+1)-F257/INDEX(Surface_Engine!$B$12:$B$72,$A257+1))),IF(E257&lt;=0,0,MAX(0,(B257/E257)*I257/INDEX(Surface_Engine!$B$12:$B$72,$A257+1)-F257/INDEX(Surface_Engine!$B$12:$B$72,$A257+1))),IF($A257&lt;$Q$195,MAX(0,-Assumptions!$B$22*(F257/INDEX(Surface_Engine!$B$12:$B$72,$A257+1))),0)))*(MAX(0,J257/INDEX(Surface_Engine!$B$12:$B$72,$A257+1)-(F257/INDEX(Surface_Engine!$B$12:$B$72,$A257+1)))))</f>
        <v>7.16468270958171E-005</v>
      </c>
      <c r="L257" s="48" t="n">
        <f aca="false">K257*INDEX(Surface_Engine!$B$12:$B$72,$A257+1)</f>
        <v>1.06561077460398E-005</v>
      </c>
      <c r="M257" s="48" t="n">
        <f aca="false">M256+B256*(IF($A256&lt;$Q$195,(Surface_Engine!Q236*12)-(Surface_Engine!Q236*12)*INDEX(Surface_Engine!$F$12:$F$72,$A256+1)-INDEX(Surface_Engine!$D$12:$D$72,$A256+1),-(1000*12*INDEX(Surface_Engine!$C$12:$C$72,$A256+1)/(1+Assumptions!$B$10)^30+INDEX(Surface_Engine!$D$12:$D$72,$A256+1))))*INDEX(Surface_Engine!$B$12:$B$72,$A256+1)</f>
        <v>466.195978540847</v>
      </c>
      <c r="N257" s="12" t="n">
        <f aca="false">IF(B257&lt;=0,0,MAX(0,(K257+Assumptions!$B$29*L257/INDEX(Surface_Engine!$B$12:$B$72,$A257+1)-(M257/INDEX(Surface_Engine!$B$12:$B$72,$A257+1)-(F257/INDEX(Surface_Engine!$B$12:$B$72,$A257+1))))/B257))</f>
        <v>0</v>
      </c>
    </row>
    <row r="258" customFormat="false" ht="15" hidden="false" customHeight="true" outlineLevel="0" collapsed="false">
      <c r="A258" s="4" t="str">
        <f aca="false">"entry "&amp;O258&amp;" / vesting "&amp;P258&amp;"   deferral "&amp;Q258</f>
        <v>entry 63 / vesting 75   deferral 12</v>
      </c>
      <c r="C258" s="49" t="n">
        <f aca="false">MAX(N197:N257)</f>
        <v>15306.9358898446</v>
      </c>
      <c r="E258" s="7" t="s">
        <v>1634</v>
      </c>
      <c r="G258" s="21" t="n">
        <f aca="false">INDEX(A197:A257,MATCH(C258,N197:N257,0))</f>
        <v>25</v>
      </c>
      <c r="J258" s="7" t="s">
        <v>1624</v>
      </c>
      <c r="K258" s="50" t="n">
        <f aca="false">Surface_Engine!B239</f>
        <v>1070.57722488807</v>
      </c>
      <c r="O258" s="1" t="n">
        <f aca="false">A1715</f>
        <v>63</v>
      </c>
      <c r="P258" s="76" t="n">
        <f aca="false">B$1713</f>
        <v>75</v>
      </c>
      <c r="Q258" s="1" t="n">
        <f aca="false">P258-O258</f>
        <v>12</v>
      </c>
    </row>
    <row r="259" customFormat="false" ht="15" hidden="false" customHeight="true" outlineLevel="0" collapsed="false">
      <c r="A259" s="8" t="s">
        <v>802</v>
      </c>
      <c r="B259" s="8" t="s">
        <v>1584</v>
      </c>
      <c r="C259" s="8" t="s">
        <v>1585</v>
      </c>
      <c r="D259" s="8" t="s">
        <v>1587</v>
      </c>
      <c r="E259" s="8" t="s">
        <v>1588</v>
      </c>
      <c r="F259" s="8" t="s">
        <v>1625</v>
      </c>
      <c r="G259" s="8" t="s">
        <v>1626</v>
      </c>
      <c r="H259" s="8" t="s">
        <v>1627</v>
      </c>
      <c r="I259" s="8" t="s">
        <v>1628</v>
      </c>
      <c r="J259" s="8" t="s">
        <v>1629</v>
      </c>
      <c r="K259" s="8" t="s">
        <v>812</v>
      </c>
      <c r="L259" s="8" t="s">
        <v>1630</v>
      </c>
      <c r="M259" s="8" t="s">
        <v>341</v>
      </c>
      <c r="N259" s="8" t="s">
        <v>1631</v>
      </c>
      <c r="O259" s="1" t="s">
        <v>1544</v>
      </c>
      <c r="P259" s="1" t="s">
        <v>1632</v>
      </c>
      <c r="Q259" s="1" t="s">
        <v>1633</v>
      </c>
    </row>
    <row r="260" customFormat="false" ht="15" hidden="false" customHeight="true" outlineLevel="0" collapsed="false">
      <c r="A260" s="1" t="n">
        <v>0</v>
      </c>
      <c r="B260" s="32" t="n">
        <f aca="false">INDEX(Surface_Engine!$J$12:$J$72,$A260+1)*IF($A260&lt;$Q$258,INDEX(Surface_Engine!$E$12:$E$72,$A260+1),INDEX(Surface_Engine!$E$12:$E$72,$Q$258+1))</f>
        <v>1</v>
      </c>
      <c r="C260" s="32" t="n">
        <f aca="false">INDEX(Panel_Reserving!$C$8:$C$68,$A260+1)*IF($A260&lt;$Q$258,INDEX(Surface_Engine!$E$12:$E$72,$A260+1),INDEX(Surface_Engine!$E$12:$E$72,$Q$258+1))</f>
        <v>1</v>
      </c>
      <c r="D260" s="32" t="n">
        <f aca="false">INDEX(Surface_Engine!$J$12:$J$72,$A260+1)*IF($A260&lt;$Q$258,INDEX(Surface_Engine!$Y$12:$Y$72,$A260+1),INDEX(Surface_Engine!$Y$12:$Y$72,$Q$258+1))</f>
        <v>1</v>
      </c>
      <c r="E260" s="32" t="n">
        <f aca="false">INDEX(Surface_Engine!$J$12:$J$72,$A260+1)*IF($A260&lt;$Q$258,INDEX(Surface_Engine!$Z$12:$Z$72,$A260+1),INDEX(Surface_Engine!$Z$12:$Z$72,$Q$258+1))</f>
        <v>1</v>
      </c>
      <c r="F260" s="48" t="n">
        <f aca="false">B260*(IF($A260&lt;$Q$258,INDEX(Surface_Engine!$D$12:$D$72,$A260+1)+(Surface_Engine!B239*12)*INDEX(Surface_Engine!$F$12:$F$72,$A260+1)-(Surface_Engine!B239*12),1000*12*INDEX(Surface_Engine!$C$12:$C$72,$A260+1)/(1+Assumptions!$B$10)^12+INDEX(Surface_Engine!$D$12:$D$72,$A260+1)))*INDEX(Surface_Engine!$B$12:$B$72,$A260+1)+F261</f>
        <v>-3534.9912643671</v>
      </c>
      <c r="G260" s="48" t="n">
        <f aca="false">C260*(IF($A260&lt;$Q$258,INDEX(Surface_Engine!$D$12:$D$72,$A260+1)+(Surface_Engine!B239*12)*INDEX(Surface_Engine!$F$12:$F$72,$A260+1)-(Surface_Engine!B239*12),1000*12*INDEX(Surface_Engine!$C$12:$C$72,$A260+1)/(1+Assumptions!$B$10)^12+INDEX(Surface_Engine!$D$12:$D$72,$A260+1)))*INDEX(Surface_Engine!$B$12:$B$72,$A260+1)+G261</f>
        <v>6219.35683317339</v>
      </c>
      <c r="H260" s="48" t="n">
        <f aca="false">D260*(IF($A260&lt;$Q$258,INDEX(Surface_Engine!$D$12:$D$72,$A260+1)+(Surface_Engine!B239*12)*INDEX(Surface_Engine!$F$12:$F$72,$A260+1)-(Surface_Engine!B239*12),1000*12*INDEX(Surface_Engine!$C$12:$C$72,$A260+1)/(1+Assumptions!$B$10)^12+INDEX(Surface_Engine!$D$12:$D$72,$A260+1)))*INDEX(Surface_Engine!$B$12:$B$72,$A260+1)+H261</f>
        <v>-6271.76446215238</v>
      </c>
      <c r="I260" s="48" t="n">
        <f aca="false">E260*(IF($A260&lt;$Q$258,INDEX(Surface_Engine!$D$12:$D$72,$A260+1)+(Surface_Engine!B239*12)*INDEX(Surface_Engine!$F$12:$F$72,$A260+1)-(Surface_Engine!B239*12),1000*12*INDEX(Surface_Engine!$C$12:$C$72,$A260+1)/(1+Assumptions!$B$10)^12+INDEX(Surface_Engine!$D$12:$D$72,$A260+1)))*INDEX(Surface_Engine!$B$12:$B$72,$A260+1)+I261</f>
        <v>-429.42585805831</v>
      </c>
      <c r="J260" s="48" t="n">
        <f aca="false">B260*(IF($A260&lt;$Q$258,INDEX(Surface_Engine!$D$12:$D$72,$A260+1)*(1+Assumptions!$B$24)+(Surface_Engine!B239*12)*INDEX(Surface_Engine!$F$12:$F$72,$A260+1)-(Surface_Engine!B239*12),1000*12*INDEX(Surface_Engine!$C$12:$C$72,$A260+1)/(1+Assumptions!$B$10)^12+INDEX(Surface_Engine!$D$12:$D$72,$A260+1)*(1+Assumptions!$B$24)))*INDEX(Surface_Engine!$B$12:$B$72,$A260+1)+J261</f>
        <v>-3359.07271032404</v>
      </c>
      <c r="K260" s="12" t="n">
        <f aca="false">SQRT((IF(C260&lt;=0,0,MAX(0,(B260/C260)*G260/INDEX(Surface_Engine!$B$12:$B$72,$A260+1)-F260/INDEX(Surface_Engine!$B$12:$B$72,$A260+1))))^2+(MAX(IF(D260&lt;=0,0,MAX(0,(B260/D260)*H260/INDEX(Surface_Engine!$B$12:$B$72,$A260+1)-F260/INDEX(Surface_Engine!$B$12:$B$72,$A260+1))),IF(E260&lt;=0,0,MAX(0,(B260/E260)*I260/INDEX(Surface_Engine!$B$12:$B$72,$A260+1)-F260/INDEX(Surface_Engine!$B$12:$B$72,$A260+1))),IF($A260&lt;$Q$258,MAX(0,-Assumptions!$B$22*(F260/INDEX(Surface_Engine!$B$12:$B$72,$A260+1))),0)))^2+(MAX(0,J260/INDEX(Surface_Engine!$B$12:$B$72,$A260+1)-(F260/INDEX(Surface_Engine!$B$12:$B$72,$A260+1))))^2+2*Assumptions!$B$26*(IF(C260&lt;=0,0,MAX(0,(B260/C260)*G260/INDEX(Surface_Engine!$B$12:$B$72,$A260+1)-F260/INDEX(Surface_Engine!$B$12:$B$72,$A260+1))))*(MAX(IF(D260&lt;=0,0,MAX(0,(B260/D260)*H260/INDEX(Surface_Engine!$B$12:$B$72,$A260+1)-F260/INDEX(Surface_Engine!$B$12:$B$72,$A260+1))),IF(E260&lt;=0,0,MAX(0,(B260/E260)*I260/INDEX(Surface_Engine!$B$12:$B$72,$A260+1)-F260/INDEX(Surface_Engine!$B$12:$B$72,$A260+1))),IF($A260&lt;$Q$258,MAX(0,-Assumptions!$B$22*(F260/INDEX(Surface_Engine!$B$12:$B$72,$A260+1))),0)))+2*Assumptions!$B$27*(IF(C260&lt;=0,0,MAX(0,(B260/C260)*G260/INDEX(Surface_Engine!$B$12:$B$72,$A260+1)-F260/INDEX(Surface_Engine!$B$12:$B$72,$A260+1))))*(MAX(0,J260/INDEX(Surface_Engine!$B$12:$B$72,$A260+1)-(F260/INDEX(Surface_Engine!$B$12:$B$72,$A260+1))))+2*Assumptions!$B$28*(MAX(IF(D260&lt;=0,0,MAX(0,(B260/D260)*H260/INDEX(Surface_Engine!$B$12:$B$72,$A260+1)-F260/INDEX(Surface_Engine!$B$12:$B$72,$A260+1))),IF(E260&lt;=0,0,MAX(0,(B260/E260)*I260/INDEX(Surface_Engine!$B$12:$B$72,$A260+1)-F260/INDEX(Surface_Engine!$B$12:$B$72,$A260+1))),IF($A260&lt;$Q$258,MAX(0,-Assumptions!$B$22*(F260/INDEX(Surface_Engine!$B$12:$B$72,$A260+1))),0)))*(MAX(0,J260/INDEX(Surface_Engine!$B$12:$B$72,$A260+1)-(F260/INDEX(Surface_Engine!$B$12:$B$72,$A260+1)))))</f>
        <v>11016.9635393405</v>
      </c>
      <c r="L260" s="48" t="n">
        <f aca="false">K260*INDEX(Surface_Engine!$B$12:$B$72,$A260+1)+L261</f>
        <v>233311.528673382</v>
      </c>
      <c r="M260" s="48" t="n">
        <v>0</v>
      </c>
      <c r="N260" s="12" t="n">
        <f aca="false">IF(B260&lt;=0,0,MAX(0,(K260+Assumptions!$B$29*L260/INDEX(Surface_Engine!$B$12:$B$72,$A260+1)-(M260/INDEX(Surface_Engine!$B$12:$B$72,$A260+1)-(F260/INDEX(Surface_Engine!$B$12:$B$72,$A260+1))))/B260))</f>
        <v>21480.6639953763</v>
      </c>
    </row>
    <row r="261" customFormat="false" ht="15" hidden="false" customHeight="true" outlineLevel="0" collapsed="false">
      <c r="A261" s="1" t="n">
        <v>1</v>
      </c>
      <c r="B261" s="32" t="n">
        <f aca="false">INDEX(Surface_Engine!$J$12:$J$72,$A261+1)*IF($A261&lt;$Q$258,INDEX(Surface_Engine!$E$12:$E$72,$A261+1),INDEX(Surface_Engine!$E$12:$E$72,$Q$258+1))</f>
        <v>0.955579876255788</v>
      </c>
      <c r="C261" s="32" t="n">
        <f aca="false">INDEX(Panel_Reserving!$C$8:$C$68,$A261+1)*IF($A261&lt;$Q$258,INDEX(Surface_Engine!$E$12:$E$72,$A261+1),INDEX(Surface_Engine!$E$12:$E$72,$Q$258+1))</f>
        <v>0.95634390100463</v>
      </c>
      <c r="D261" s="32" t="n">
        <f aca="false">INDEX(Surface_Engine!$J$12:$J$72,$A261+1)*IF($A261&lt;$Q$258,INDEX(Surface_Engine!$Y$12:$Y$72,$A261+1),INDEX(Surface_Engine!$Y$12:$Y$72,$Q$258+1))</f>
        <v>0.935360706474682</v>
      </c>
      <c r="E261" s="32" t="n">
        <f aca="false">INDEX(Surface_Engine!$J$12:$J$72,$A261+1)*IF($A261&lt;$Q$258,INDEX(Surface_Engine!$Z$12:$Z$72,$A261+1),INDEX(Surface_Engine!$Z$12:$Z$72,$Q$258+1))</f>
        <v>0.975799046036893</v>
      </c>
      <c r="F261" s="48" t="n">
        <f aca="false">B261*(IF($A261&lt;$Q$258,INDEX(Surface_Engine!$D$12:$D$72,$A261+1)+(Surface_Engine!B239*12)*INDEX(Surface_Engine!$F$12:$F$72,$A261+1)-(Surface_Engine!B239*12),1000*12*INDEX(Surface_Engine!$C$12:$C$72,$A261+1)/(1+Assumptions!$B$10)^12+INDEX(Surface_Engine!$D$12:$D$72,$A261+1)))*INDEX(Surface_Engine!$B$12:$B$72,$A261+1)+F262</f>
        <v>-3616.9912643671</v>
      </c>
      <c r="G261" s="48" t="n">
        <f aca="false">C261*(IF($A261&lt;$Q$258,INDEX(Surface_Engine!$D$12:$D$72,$A261+1)+(Surface_Engine!B239*12)*INDEX(Surface_Engine!$F$12:$F$72,$A261+1)-(Surface_Engine!B239*12),1000*12*INDEX(Surface_Engine!$C$12:$C$72,$A261+1)/(1+Assumptions!$B$10)^12+INDEX(Surface_Engine!$D$12:$D$72,$A261+1)))*INDEX(Surface_Engine!$B$12:$B$72,$A261+1)+G262</f>
        <v>6137.35683317339</v>
      </c>
      <c r="H261" s="48" t="n">
        <f aca="false">D261*(IF($A261&lt;$Q$258,INDEX(Surface_Engine!$D$12:$D$72,$A261+1)+(Surface_Engine!B239*12)*INDEX(Surface_Engine!$F$12:$F$72,$A261+1)-(Surface_Engine!B239*12),1000*12*INDEX(Surface_Engine!$C$12:$C$72,$A261+1)/(1+Assumptions!$B$10)^12+INDEX(Surface_Engine!$D$12:$D$72,$A261+1)))*INDEX(Surface_Engine!$B$12:$B$72,$A261+1)+H262</f>
        <v>-6353.76446215238</v>
      </c>
      <c r="I261" s="48" t="n">
        <f aca="false">E261*(IF($A261&lt;$Q$258,INDEX(Surface_Engine!$D$12:$D$72,$A261+1)+(Surface_Engine!B239*12)*INDEX(Surface_Engine!$F$12:$F$72,$A261+1)-(Surface_Engine!B239*12),1000*12*INDEX(Surface_Engine!$C$12:$C$72,$A261+1)/(1+Assumptions!$B$10)^12+INDEX(Surface_Engine!$D$12:$D$72,$A261+1)))*INDEX(Surface_Engine!$B$12:$B$72,$A261+1)+I262</f>
        <v>-511.42585805831</v>
      </c>
      <c r="J261" s="48" t="n">
        <f aca="false">B261*(IF($A261&lt;$Q$258,INDEX(Surface_Engine!$D$12:$D$72,$A261+1)*(1+Assumptions!$B$24)+(Surface_Engine!B239*12)*INDEX(Surface_Engine!$F$12:$F$72,$A261+1)-(Surface_Engine!B239*12),1000*12*INDEX(Surface_Engine!$C$12:$C$72,$A261+1)/(1+Assumptions!$B$10)^12+INDEX(Surface_Engine!$D$12:$D$72,$A261+1)*(1+Assumptions!$B$24)))*INDEX(Surface_Engine!$B$12:$B$72,$A261+1)+J262</f>
        <v>-3449.27271032404</v>
      </c>
      <c r="K261" s="12" t="n">
        <f aca="false">SQRT((IF(C261&lt;=0,0,MAX(0,(B261/C261)*G261/INDEX(Surface_Engine!$B$12:$B$72,$A261+1)-F261/INDEX(Surface_Engine!$B$12:$B$72,$A261+1))))^2+(MAX(IF(D261&lt;=0,0,MAX(0,(B261/D261)*H261/INDEX(Surface_Engine!$B$12:$B$72,$A261+1)-F261/INDEX(Surface_Engine!$B$12:$B$72,$A261+1))),IF(E261&lt;=0,0,MAX(0,(B261/E261)*I261/INDEX(Surface_Engine!$B$12:$B$72,$A261+1)-F261/INDEX(Surface_Engine!$B$12:$B$72,$A261+1))),IF($A261&lt;$Q$258,MAX(0,-Assumptions!$B$22*(F261/INDEX(Surface_Engine!$B$12:$B$72,$A261+1))),0)))^2+(MAX(0,J261/INDEX(Surface_Engine!$B$12:$B$72,$A261+1)-(F261/INDEX(Surface_Engine!$B$12:$B$72,$A261+1))))^2+2*Assumptions!$B$26*(IF(C261&lt;=0,0,MAX(0,(B261/C261)*G261/INDEX(Surface_Engine!$B$12:$B$72,$A261+1)-F261/INDEX(Surface_Engine!$B$12:$B$72,$A261+1))))*(MAX(IF(D261&lt;=0,0,MAX(0,(B261/D261)*H261/INDEX(Surface_Engine!$B$12:$B$72,$A261+1)-F261/INDEX(Surface_Engine!$B$12:$B$72,$A261+1))),IF(E261&lt;=0,0,MAX(0,(B261/E261)*I261/INDEX(Surface_Engine!$B$12:$B$72,$A261+1)-F261/INDEX(Surface_Engine!$B$12:$B$72,$A261+1))),IF($A261&lt;$Q$258,MAX(0,-Assumptions!$B$22*(F261/INDEX(Surface_Engine!$B$12:$B$72,$A261+1))),0)))+2*Assumptions!$B$27*(IF(C261&lt;=0,0,MAX(0,(B261/C261)*G261/INDEX(Surface_Engine!$B$12:$B$72,$A261+1)-F261/INDEX(Surface_Engine!$B$12:$B$72,$A261+1))))*(MAX(0,J261/INDEX(Surface_Engine!$B$12:$B$72,$A261+1)-(F261/INDEX(Surface_Engine!$B$12:$B$72,$A261+1))))+2*Assumptions!$B$28*(MAX(IF(D261&lt;=0,0,MAX(0,(B261/D261)*H261/INDEX(Surface_Engine!$B$12:$B$72,$A261+1)-F261/INDEX(Surface_Engine!$B$12:$B$72,$A261+1))),IF(E261&lt;=0,0,MAX(0,(B261/E261)*I261/INDEX(Surface_Engine!$B$12:$B$72,$A261+1)-F261/INDEX(Surface_Engine!$B$12:$B$72,$A261+1))),IF($A261&lt;$Q$258,MAX(0,-Assumptions!$B$22*(F261/INDEX(Surface_Engine!$B$12:$B$72,$A261+1))),0)))*(MAX(0,J261/INDEX(Surface_Engine!$B$12:$B$72,$A261+1)-(F261/INDEX(Surface_Engine!$B$12:$B$72,$A261+1)))))</f>
        <v>11300.5161348739</v>
      </c>
      <c r="L261" s="48" t="n">
        <f aca="false">K261*INDEX(Surface_Engine!$B$12:$B$72,$A261+1)+L262</f>
        <v>222294.565134042</v>
      </c>
      <c r="M261" s="48" t="n">
        <f aca="false">M260+B260*(IF($A260&lt;$Q$258,(Surface_Engine!B239*12)-(Surface_Engine!B239*12)*INDEX(Surface_Engine!$F$12:$F$72,$A260+1)-INDEX(Surface_Engine!$D$12:$D$72,$A260+1),-(1000*12*INDEX(Surface_Engine!$C$12:$C$72,$A260+1)/(1+Assumptions!$B$10)^12+INDEX(Surface_Engine!$D$12:$D$72,$A260+1))))*INDEX(Surface_Engine!$B$12:$B$72,$A260+1)</f>
        <v>-82</v>
      </c>
      <c r="N261" s="12" t="n">
        <f aca="false">IF(B261&lt;=0,0,MAX(0,(K261+Assumptions!$B$29*L261/INDEX(Surface_Engine!$B$12:$B$72,$A261+1)-(M261/INDEX(Surface_Engine!$B$12:$B$72,$A261+1)-(F261/INDEX(Surface_Engine!$B$12:$B$72,$A261+1))))/B261))</f>
        <v>22350.4878562995</v>
      </c>
    </row>
    <row r="262" customFormat="false" ht="15" hidden="false" customHeight="true" outlineLevel="0" collapsed="false">
      <c r="A262" s="1" t="n">
        <v>2</v>
      </c>
      <c r="B262" s="32" t="n">
        <f aca="false">INDEX(Surface_Engine!$J$12:$J$72,$A262+1)*IF($A262&lt;$Q$258,INDEX(Surface_Engine!$E$12:$E$72,$A262+1),INDEX(Surface_Engine!$E$12:$E$72,$Q$258+1))</f>
        <v>0.930804150629766</v>
      </c>
      <c r="C262" s="32" t="n">
        <f aca="false">INDEX(Panel_Reserving!$C$8:$C$68,$A262+1)*IF($A262&lt;$Q$258,INDEX(Surface_Engine!$E$12:$E$72,$A262+1),INDEX(Surface_Engine!$E$12:$E$72,$Q$258+1))</f>
        <v>0.93235694061792</v>
      </c>
      <c r="D262" s="32" t="n">
        <f aca="false">INDEX(Surface_Engine!$J$12:$J$72,$A262+1)*IF($A262&lt;$Q$258,INDEX(Surface_Engine!$Y$12:$Y$72,$A262+1),INDEX(Surface_Engine!$Y$12:$Y$72,$Q$258+1))</f>
        <v>0.901004402547142</v>
      </c>
      <c r="E262" s="32" t="n">
        <f aca="false">INDEX(Surface_Engine!$J$12:$J$72,$A262+1)*IF($A262&lt;$Q$258,INDEX(Surface_Engine!$Z$12:$Z$72,$A262+1),INDEX(Surface_Engine!$Z$12:$Z$72,$Q$258+1))</f>
        <v>0.961040758746481</v>
      </c>
      <c r="F262" s="48" t="n">
        <f aca="false">B262*(IF($A262&lt;$Q$258,INDEX(Surface_Engine!$D$12:$D$72,$A262+1)+(Surface_Engine!B239*12)*INDEX(Surface_Engine!$F$12:$F$72,$A262+1)-(Surface_Engine!B239*12),1000*12*INDEX(Surface_Engine!$C$12:$C$72,$A262+1)/(1+Assumptions!$B$10)^12+INDEX(Surface_Engine!$D$12:$D$72,$A262+1)))*INDEX(Surface_Engine!$B$12:$B$72,$A262+1)+F263</f>
        <v>7672.07936716035</v>
      </c>
      <c r="G262" s="48" t="n">
        <f aca="false">C262*(IF($A262&lt;$Q$258,INDEX(Surface_Engine!$D$12:$D$72,$A262+1)+(Surface_Engine!B239*12)*INDEX(Surface_Engine!$F$12:$F$72,$A262+1)-(Surface_Engine!B239*12),1000*12*INDEX(Surface_Engine!$C$12:$C$72,$A262+1)/(1+Assumptions!$B$10)^12+INDEX(Surface_Engine!$D$12:$D$72,$A262+1)))*INDEX(Surface_Engine!$B$12:$B$72,$A262+1)+G263</f>
        <v>17435.4535331314</v>
      </c>
      <c r="H262" s="48" t="n">
        <f aca="false">D262*(IF($A262&lt;$Q$258,INDEX(Surface_Engine!$D$12:$D$72,$A262+1)+(Surface_Engine!B239*12)*INDEX(Surface_Engine!$F$12:$F$72,$A262+1)-(Surface_Engine!B239*12),1000*12*INDEX(Surface_Engine!$C$12:$C$72,$A262+1)/(1+Assumptions!$B$10)^12+INDEX(Surface_Engine!$D$12:$D$72,$A262+1)))*INDEX(Surface_Engine!$B$12:$B$72,$A262+1)+H263</f>
        <v>4696.44007200171</v>
      </c>
      <c r="I262" s="48" t="n">
        <f aca="false">E262*(IF($A262&lt;$Q$258,INDEX(Surface_Engine!$D$12:$D$72,$A262+1)+(Surface_Engine!B239*12)*INDEX(Surface_Engine!$F$12:$F$72,$A262+1)-(Surface_Engine!B239*12),1000*12*INDEX(Surface_Engine!$C$12:$C$72,$A262+1)/(1+Assumptions!$B$10)^12+INDEX(Surface_Engine!$D$12:$D$72,$A262+1)))*INDEX(Surface_Engine!$B$12:$B$72,$A262+1)+I263</f>
        <v>11016.5108708425</v>
      </c>
      <c r="J262" s="48" t="n">
        <f aca="false">B262*(IF($A262&lt;$Q$258,INDEX(Surface_Engine!$D$12:$D$72,$A262+1)*(1+Assumptions!$B$24)+(Surface_Engine!B239*12)*INDEX(Surface_Engine!$F$12:$F$72,$A262+1)-(Surface_Engine!B239*12),1000*12*INDEX(Surface_Engine!$C$12:$C$72,$A262+1)/(1+Assumptions!$B$10)^12+INDEX(Surface_Engine!$D$12:$D$72,$A262+1)*(1+Assumptions!$B$24)))*INDEX(Surface_Engine!$B$12:$B$72,$A262+1)+J263</f>
        <v>7831.96949820454</v>
      </c>
      <c r="K262" s="12" t="n">
        <f aca="false">SQRT((IF(C262&lt;=0,0,MAX(0,(B262/C262)*G262/INDEX(Surface_Engine!$B$12:$B$72,$A262+1)-F262/INDEX(Surface_Engine!$B$12:$B$72,$A262+1))))^2+(MAX(IF(D262&lt;=0,0,MAX(0,(B262/D262)*H262/INDEX(Surface_Engine!$B$12:$B$72,$A262+1)-F262/INDEX(Surface_Engine!$B$12:$B$72,$A262+1))),IF(E262&lt;=0,0,MAX(0,(B262/E262)*I262/INDEX(Surface_Engine!$B$12:$B$72,$A262+1)-F262/INDEX(Surface_Engine!$B$12:$B$72,$A262+1))),IF($A262&lt;$Q$258,MAX(0,-Assumptions!$B$22*(F262/INDEX(Surface_Engine!$B$12:$B$72,$A262+1))),0)))^2+(MAX(0,J262/INDEX(Surface_Engine!$B$12:$B$72,$A262+1)-(F262/INDEX(Surface_Engine!$B$12:$B$72,$A262+1))))^2+2*Assumptions!$B$26*(IF(C262&lt;=0,0,MAX(0,(B262/C262)*G262/INDEX(Surface_Engine!$B$12:$B$72,$A262+1)-F262/INDEX(Surface_Engine!$B$12:$B$72,$A262+1))))*(MAX(IF(D262&lt;=0,0,MAX(0,(B262/D262)*H262/INDEX(Surface_Engine!$B$12:$B$72,$A262+1)-F262/INDEX(Surface_Engine!$B$12:$B$72,$A262+1))),IF(E262&lt;=0,0,MAX(0,(B262/E262)*I262/INDEX(Surface_Engine!$B$12:$B$72,$A262+1)-F262/INDEX(Surface_Engine!$B$12:$B$72,$A262+1))),IF($A262&lt;$Q$258,MAX(0,-Assumptions!$B$22*(F262/INDEX(Surface_Engine!$B$12:$B$72,$A262+1))),0)))+2*Assumptions!$B$27*(IF(C262&lt;=0,0,MAX(0,(B262/C262)*G262/INDEX(Surface_Engine!$B$12:$B$72,$A262+1)-F262/INDEX(Surface_Engine!$B$12:$B$72,$A262+1))))*(MAX(0,J262/INDEX(Surface_Engine!$B$12:$B$72,$A262+1)-(F262/INDEX(Surface_Engine!$B$12:$B$72,$A262+1))))+2*Assumptions!$B$28*(MAX(IF(D262&lt;=0,0,MAX(0,(B262/D262)*H262/INDEX(Surface_Engine!$B$12:$B$72,$A262+1)-F262/INDEX(Surface_Engine!$B$12:$B$72,$A262+1))),IF(E262&lt;=0,0,MAX(0,(B262/E262)*I262/INDEX(Surface_Engine!$B$12:$B$72,$A262+1)-F262/INDEX(Surface_Engine!$B$12:$B$72,$A262+1))),IF($A262&lt;$Q$258,MAX(0,-Assumptions!$B$22*(F262/INDEX(Surface_Engine!$B$12:$B$72,$A262+1))),0)))*(MAX(0,J262/INDEX(Surface_Engine!$B$12:$B$72,$A262+1)-(F262/INDEX(Surface_Engine!$B$12:$B$72,$A262+1)))))</f>
        <v>11518.9686839822</v>
      </c>
      <c r="L262" s="48" t="n">
        <f aca="false">K262*INDEX(Surface_Engine!$B$12:$B$72,$A262+1)+L263</f>
        <v>211279.987436204</v>
      </c>
      <c r="M262" s="48" t="n">
        <f aca="false">M261+B261*(IF($A261&lt;$Q$258,(Surface_Engine!B239*12)-(Surface_Engine!B239*12)*INDEX(Surface_Engine!$F$12:$F$72,$A261+1)-INDEX(Surface_Engine!$D$12:$D$72,$A261+1),-(1000*12*INDEX(Surface_Engine!$C$12:$C$72,$A261+1)/(1+Assumptions!$B$10)^12+INDEX(Surface_Engine!$D$12:$D$72,$A261+1))))*INDEX(Surface_Engine!$B$12:$B$72,$A261+1)</f>
        <v>11207.0706315275</v>
      </c>
      <c r="N262" s="12" t="n">
        <f aca="false">IF(B262&lt;=0,0,MAX(0,(K262+Assumptions!$B$29*L262/INDEX(Surface_Engine!$B$12:$B$72,$A262+1)-(M262/INDEX(Surface_Engine!$B$12:$B$72,$A262+1)-(F262/INDEX(Surface_Engine!$B$12:$B$72,$A262+1))))/B262))</f>
        <v>22719.2889977013</v>
      </c>
    </row>
    <row r="263" customFormat="false" ht="15" hidden="false" customHeight="true" outlineLevel="0" collapsed="false">
      <c r="A263" s="1" t="n">
        <v>3</v>
      </c>
      <c r="B263" s="32" t="n">
        <f aca="false">INDEX(Surface_Engine!$J$12:$J$72,$A263+1)*IF($A263&lt;$Q$258,INDEX(Surface_Engine!$E$12:$E$72,$A263+1),INDEX(Surface_Engine!$E$12:$E$72,$Q$258+1))</f>
        <v>0.913882007956711</v>
      </c>
      <c r="C263" s="32" t="n">
        <f aca="false">INDEX(Panel_Reserving!$C$8:$C$68,$A263+1)*IF($A263&lt;$Q$258,INDEX(Surface_Engine!$E$12:$E$72,$A263+1),INDEX(Surface_Engine!$E$12:$E$72,$Q$258+1))</f>
        <v>0.916316573075405</v>
      </c>
      <c r="D263" s="32" t="n">
        <f aca="false">INDEX(Surface_Engine!$J$12:$J$72,$A263+1)*IF($A263&lt;$Q$258,INDEX(Surface_Engine!$Y$12:$Y$72,$A263+1),INDEX(Surface_Engine!$Y$12:$Y$72,$Q$258+1))</f>
        <v>0.878661978286545</v>
      </c>
      <c r="E263" s="32" t="n">
        <f aca="false">INDEX(Surface_Engine!$J$12:$J$72,$A263+1)*IF($A263&lt;$Q$258,INDEX(Surface_Engine!$Z$12:$Z$72,$A263+1),INDEX(Surface_Engine!$Z$12:$Z$72,$Q$258+1))</f>
        <v>0.949928222641382</v>
      </c>
      <c r="F263" s="48" t="n">
        <f aca="false">B263*(IF($A263&lt;$Q$258,INDEX(Surface_Engine!$D$12:$D$72,$A263+1)+(Surface_Engine!B239*12)*INDEX(Surface_Engine!$F$12:$F$72,$A263+1)-(Surface_Engine!B239*12),1000*12*INDEX(Surface_Engine!$C$12:$C$72,$A263+1)/(1+Assumptions!$B$10)^12+INDEX(Surface_Engine!$D$12:$D$72,$A263+1)))*INDEX(Surface_Engine!$B$12:$B$72,$A263+1)+F264</f>
        <v>18382.0883254636</v>
      </c>
      <c r="G263" s="48" t="n">
        <f aca="false">C263*(IF($A263&lt;$Q$258,INDEX(Surface_Engine!$D$12:$D$72,$A263+1)+(Surface_Engine!B239*12)*INDEX(Surface_Engine!$F$12:$F$72,$A263+1)-(Surface_Engine!B239*12),1000*12*INDEX(Surface_Engine!$C$12:$C$72,$A263+1)/(1+Assumptions!$B$10)^12+INDEX(Surface_Engine!$D$12:$D$72,$A263+1)))*INDEX(Surface_Engine!$B$12:$B$72,$A263+1)+G264</f>
        <v>28163.329187315</v>
      </c>
      <c r="H263" s="48" t="n">
        <f aca="false">D263*(IF($A263&lt;$Q$258,INDEX(Surface_Engine!$D$12:$D$72,$A263+1)+(Surface_Engine!B239*12)*INDEX(Surface_Engine!$F$12:$F$72,$A263+1)-(Surface_Engine!B239*12),1000*12*INDEX(Surface_Engine!$C$12:$C$72,$A263+1)/(1+Assumptions!$B$10)^12+INDEX(Surface_Engine!$D$12:$D$72,$A263+1)))*INDEX(Surface_Engine!$B$12:$B$72,$A263+1)+H264</f>
        <v>15063.5674813732</v>
      </c>
      <c r="I263" s="48" t="n">
        <f aca="false">E263*(IF($A263&lt;$Q$258,INDEX(Surface_Engine!$D$12:$D$72,$A263+1)+(Surface_Engine!B239*12)*INDEX(Surface_Engine!$F$12:$F$72,$A263+1)-(Surface_Engine!B239*12),1000*12*INDEX(Surface_Engine!$C$12:$C$72,$A263+1)/(1+Assumptions!$B$10)^12+INDEX(Surface_Engine!$D$12:$D$72,$A263+1)))*INDEX(Surface_Engine!$B$12:$B$72,$A263+1)+I264</f>
        <v>22074.4279724213</v>
      </c>
      <c r="J263" s="48" t="n">
        <f aca="false">B263*(IF($A263&lt;$Q$258,INDEX(Surface_Engine!$D$12:$D$72,$A263+1)*(1+Assumptions!$B$24)+(Surface_Engine!B239*12)*INDEX(Surface_Engine!$F$12:$F$72,$A263+1)-(Surface_Engine!B239*12),1000*12*INDEX(Surface_Engine!$C$12:$C$72,$A263+1)/(1+Assumptions!$B$10)^12+INDEX(Surface_Engine!$D$12:$D$72,$A263+1)*(1+Assumptions!$B$24)))*INDEX(Surface_Engine!$B$12:$B$72,$A263+1)+J264</f>
        <v>18534.3645929401</v>
      </c>
      <c r="K263" s="12" t="n">
        <f aca="false">SQRT((IF(C263&lt;=0,0,MAX(0,(B263/C263)*G263/INDEX(Surface_Engine!$B$12:$B$72,$A263+1)-F263/INDEX(Surface_Engine!$B$12:$B$72,$A263+1))))^2+(MAX(IF(D263&lt;=0,0,MAX(0,(B263/D263)*H263/INDEX(Surface_Engine!$B$12:$B$72,$A263+1)-F263/INDEX(Surface_Engine!$B$12:$B$72,$A263+1))),IF(E263&lt;=0,0,MAX(0,(B263/E263)*I263/INDEX(Surface_Engine!$B$12:$B$72,$A263+1)-F263/INDEX(Surface_Engine!$B$12:$B$72,$A263+1))),IF($A263&lt;$Q$258,MAX(0,-Assumptions!$B$22*(F263/INDEX(Surface_Engine!$B$12:$B$72,$A263+1))),0)))^2+(MAX(0,J263/INDEX(Surface_Engine!$B$12:$B$72,$A263+1)-(F263/INDEX(Surface_Engine!$B$12:$B$72,$A263+1))))^2+2*Assumptions!$B$26*(IF(C263&lt;=0,0,MAX(0,(B263/C263)*G263/INDEX(Surface_Engine!$B$12:$B$72,$A263+1)-F263/INDEX(Surface_Engine!$B$12:$B$72,$A263+1))))*(MAX(IF(D263&lt;=0,0,MAX(0,(B263/D263)*H263/INDEX(Surface_Engine!$B$12:$B$72,$A263+1)-F263/INDEX(Surface_Engine!$B$12:$B$72,$A263+1))),IF(E263&lt;=0,0,MAX(0,(B263/E263)*I263/INDEX(Surface_Engine!$B$12:$B$72,$A263+1)-F263/INDEX(Surface_Engine!$B$12:$B$72,$A263+1))),IF($A263&lt;$Q$258,MAX(0,-Assumptions!$B$22*(F263/INDEX(Surface_Engine!$B$12:$B$72,$A263+1))),0)))+2*Assumptions!$B$27*(IF(C263&lt;=0,0,MAX(0,(B263/C263)*G263/INDEX(Surface_Engine!$B$12:$B$72,$A263+1)-F263/INDEX(Surface_Engine!$B$12:$B$72,$A263+1))))*(MAX(0,J263/INDEX(Surface_Engine!$B$12:$B$72,$A263+1)-(F263/INDEX(Surface_Engine!$B$12:$B$72,$A263+1))))+2*Assumptions!$B$28*(MAX(IF(D263&lt;=0,0,MAX(0,(B263/D263)*H263/INDEX(Surface_Engine!$B$12:$B$72,$A263+1)-F263/INDEX(Surface_Engine!$B$12:$B$72,$A263+1))),IF(E263&lt;=0,0,MAX(0,(B263/E263)*I263/INDEX(Surface_Engine!$B$12:$B$72,$A263+1)-F263/INDEX(Surface_Engine!$B$12:$B$72,$A263+1))),IF($A263&lt;$Q$258,MAX(0,-Assumptions!$B$22*(F263/INDEX(Surface_Engine!$B$12:$B$72,$A263+1))),0)))*(MAX(0,J263/INDEX(Surface_Engine!$B$12:$B$72,$A263+1)-(F263/INDEX(Surface_Engine!$B$12:$B$72,$A263+1)))))</f>
        <v>11711.4005121769</v>
      </c>
      <c r="L263" s="48" t="n">
        <f aca="false">K263*INDEX(Surface_Engine!$B$12:$B$72,$A263+1)+L264</f>
        <v>200342.972791065</v>
      </c>
      <c r="M263" s="48" t="n">
        <f aca="false">M262+B262*(IF($A262&lt;$Q$258,(Surface_Engine!B239*12)-(Surface_Engine!B239*12)*INDEX(Surface_Engine!$F$12:$F$72,$A262+1)-INDEX(Surface_Engine!$D$12:$D$72,$A262+1),-(1000*12*INDEX(Surface_Engine!$C$12:$C$72,$A262+1)/(1+Assumptions!$B$10)^12+INDEX(Surface_Engine!$D$12:$D$72,$A262+1))))*INDEX(Surface_Engine!$B$12:$B$72,$A262+1)</f>
        <v>21917.0795898307</v>
      </c>
      <c r="N263" s="12" t="n">
        <f aca="false">IF(B263&lt;=0,0,MAX(0,(K263+Assumptions!$B$29*L263/INDEX(Surface_Engine!$B$12:$B$72,$A263+1)-(M263/INDEX(Surface_Engine!$B$12:$B$72,$A263+1)-(F263/INDEX(Surface_Engine!$B$12:$B$72,$A263+1))))/B263))</f>
        <v>22850.4928410622</v>
      </c>
    </row>
    <row r="264" customFormat="false" ht="15" hidden="false" customHeight="true" outlineLevel="0" collapsed="false">
      <c r="A264" s="1" t="n">
        <v>4</v>
      </c>
      <c r="B264" s="32" t="n">
        <f aca="false">INDEX(Surface_Engine!$J$12:$J$72,$A264+1)*IF($A264&lt;$Q$258,INDEX(Surface_Engine!$E$12:$E$72,$A264+1),INDEX(Surface_Engine!$E$12:$E$72,$Q$258+1))</f>
        <v>0.896855770646062</v>
      </c>
      <c r="C264" s="32" t="n">
        <f aca="false">INDEX(Panel_Reserving!$C$8:$C$68,$A264+1)*IF($A264&lt;$Q$258,INDEX(Surface_Engine!$E$12:$E$72,$A264+1),INDEX(Surface_Engine!$E$12:$E$72,$Q$258+1))</f>
        <v>0.900221895072226</v>
      </c>
      <c r="D264" s="32" t="n">
        <f aca="false">INDEX(Surface_Engine!$J$12:$J$72,$A264+1)*IF($A264&lt;$Q$258,INDEX(Surface_Engine!$Y$12:$Y$72,$A264+1),INDEX(Surface_Engine!$Y$12:$Y$72,$Q$258+1))</f>
        <v>0.856480379211671</v>
      </c>
      <c r="E264" s="32" t="n">
        <f aca="false">INDEX(Surface_Engine!$J$12:$J$72,$A264+1)*IF($A264&lt;$Q$258,INDEX(Surface_Engine!$Z$12:$Z$72,$A264+1),INDEX(Surface_Engine!$Z$12:$Z$72,$Q$258+1))</f>
        <v>0.938513314868174</v>
      </c>
      <c r="F264" s="48" t="n">
        <f aca="false">B264*(IF($A264&lt;$Q$258,INDEX(Surface_Engine!$D$12:$D$72,$A264+1)+(Surface_Engine!B239*12)*INDEX(Surface_Engine!$F$12:$F$72,$A264+1)-(Surface_Engine!B239*12),1000*12*INDEX(Surface_Engine!$C$12:$C$72,$A264+1)/(1+Assumptions!$B$10)^12+INDEX(Surface_Engine!$D$12:$D$72,$A264+1)))*INDEX(Surface_Engine!$B$12:$B$72,$A264+1)+F265</f>
        <v>28627.099731721</v>
      </c>
      <c r="G264" s="48" t="n">
        <f aca="false">C264*(IF($A264&lt;$Q$258,INDEX(Surface_Engine!$D$12:$D$72,$A264+1)+(Surface_Engine!B239*12)*INDEX(Surface_Engine!$F$12:$F$72,$A264+1)-(Surface_Engine!B239*12),1000*12*INDEX(Surface_Engine!$C$12:$C$72,$A264+1)/(1+Assumptions!$B$10)^12+INDEX(Surface_Engine!$D$12:$D$72,$A264+1)))*INDEX(Surface_Engine!$B$12:$B$72,$A264+1)+G265</f>
        <v>38435.6331184204</v>
      </c>
      <c r="H264" s="48" t="n">
        <f aca="false">D264*(IF($A264&lt;$Q$258,INDEX(Surface_Engine!$D$12:$D$72,$A264+1)+(Surface_Engine!B239*12)*INDEX(Surface_Engine!$F$12:$F$72,$A264+1)-(Surface_Engine!B239*12),1000*12*INDEX(Surface_Engine!$C$12:$C$72,$A264+1)/(1+Assumptions!$B$10)^12+INDEX(Surface_Engine!$D$12:$D$72,$A264+1)))*INDEX(Surface_Engine!$B$12:$B$72,$A264+1)+H265</f>
        <v>24913.7471669511</v>
      </c>
      <c r="I264" s="48" t="n">
        <f aca="false">E264*(IF($A264&lt;$Q$258,INDEX(Surface_Engine!$D$12:$D$72,$A264+1)+(Surface_Engine!B239*12)*INDEX(Surface_Engine!$F$12:$F$72,$A264+1)-(Surface_Engine!B239*12),1000*12*INDEX(Surface_Engine!$C$12:$C$72,$A264+1)/(1+Assumptions!$B$10)^12+INDEX(Surface_Engine!$D$12:$D$72,$A264+1)))*INDEX(Surface_Engine!$B$12:$B$72,$A264+1)+I265</f>
        <v>32723.5329896499</v>
      </c>
      <c r="J264" s="48" t="n">
        <f aca="false">B264*(IF($A264&lt;$Q$258,INDEX(Surface_Engine!$D$12:$D$72,$A264+1)*(1+Assumptions!$B$24)+(Surface_Engine!B239*12)*INDEX(Surface_Engine!$F$12:$F$72,$A264+1)-(Surface_Engine!B239*12),1000*12*INDEX(Surface_Engine!$C$12:$C$72,$A264+1)/(1+Assumptions!$B$10)^12+INDEX(Surface_Engine!$D$12:$D$72,$A264+1)*(1+Assumptions!$B$24)))*INDEX(Surface_Engine!$B$12:$B$72,$A264+1)+J265</f>
        <v>28771.9092981895</v>
      </c>
      <c r="K264" s="12" t="n">
        <f aca="false">SQRT((IF(C264&lt;=0,0,MAX(0,(B264/C264)*G264/INDEX(Surface_Engine!$B$12:$B$72,$A264+1)-F264/INDEX(Surface_Engine!$B$12:$B$72,$A264+1))))^2+(MAX(IF(D264&lt;=0,0,MAX(0,(B264/D264)*H264/INDEX(Surface_Engine!$B$12:$B$72,$A264+1)-F264/INDEX(Surface_Engine!$B$12:$B$72,$A264+1))),IF(E264&lt;=0,0,MAX(0,(B264/E264)*I264/INDEX(Surface_Engine!$B$12:$B$72,$A264+1)-F264/INDEX(Surface_Engine!$B$12:$B$72,$A264+1))),IF($A264&lt;$Q$258,MAX(0,-Assumptions!$B$22*(F264/INDEX(Surface_Engine!$B$12:$B$72,$A264+1))),0)))^2+(MAX(0,J264/INDEX(Surface_Engine!$B$12:$B$72,$A264+1)-(F264/INDEX(Surface_Engine!$B$12:$B$72,$A264+1))))^2+2*Assumptions!$B$26*(IF(C264&lt;=0,0,MAX(0,(B264/C264)*G264/INDEX(Surface_Engine!$B$12:$B$72,$A264+1)-F264/INDEX(Surface_Engine!$B$12:$B$72,$A264+1))))*(MAX(IF(D264&lt;=0,0,MAX(0,(B264/D264)*H264/INDEX(Surface_Engine!$B$12:$B$72,$A264+1)-F264/INDEX(Surface_Engine!$B$12:$B$72,$A264+1))),IF(E264&lt;=0,0,MAX(0,(B264/E264)*I264/INDEX(Surface_Engine!$B$12:$B$72,$A264+1)-F264/INDEX(Surface_Engine!$B$12:$B$72,$A264+1))),IF($A264&lt;$Q$258,MAX(0,-Assumptions!$B$22*(F264/INDEX(Surface_Engine!$B$12:$B$72,$A264+1))),0)))+2*Assumptions!$B$27*(IF(C264&lt;=0,0,MAX(0,(B264/C264)*G264/INDEX(Surface_Engine!$B$12:$B$72,$A264+1)-F264/INDEX(Surface_Engine!$B$12:$B$72,$A264+1))))*(MAX(0,J264/INDEX(Surface_Engine!$B$12:$B$72,$A264+1)-(F264/INDEX(Surface_Engine!$B$12:$B$72,$A264+1))))+2*Assumptions!$B$28*(MAX(IF(D264&lt;=0,0,MAX(0,(B264/D264)*H264/INDEX(Surface_Engine!$B$12:$B$72,$A264+1)-F264/INDEX(Surface_Engine!$B$12:$B$72,$A264+1))),IF(E264&lt;=0,0,MAX(0,(B264/E264)*I264/INDEX(Surface_Engine!$B$12:$B$72,$A264+1)-F264/INDEX(Surface_Engine!$B$12:$B$72,$A264+1))),IF($A264&lt;$Q$258,MAX(0,-Assumptions!$B$22*(F264/INDEX(Surface_Engine!$B$12:$B$72,$A264+1))),0)))*(MAX(0,J264/INDEX(Surface_Engine!$B$12:$B$72,$A264+1)-(F264/INDEX(Surface_Engine!$B$12:$B$72,$A264+1)))))</f>
        <v>11862.6751012376</v>
      </c>
      <c r="L264" s="48" t="n">
        <f aca="false">K264*INDEX(Surface_Engine!$B$12:$B$72,$A264+1)+L265</f>
        <v>189507.146887984</v>
      </c>
      <c r="M264" s="48" t="n">
        <f aca="false">M263+B263*(IF($A263&lt;$Q$258,(Surface_Engine!B239*12)-(Surface_Engine!B239*12)*INDEX(Surface_Engine!$F$12:$F$72,$A263+1)-INDEX(Surface_Engine!$D$12:$D$72,$A263+1),-(1000*12*INDEX(Surface_Engine!$C$12:$C$72,$A263+1)/(1+Assumptions!$B$10)^12+INDEX(Surface_Engine!$D$12:$D$72,$A263+1))))*INDEX(Surface_Engine!$B$12:$B$72,$A263+1)</f>
        <v>32162.0909960881</v>
      </c>
      <c r="N264" s="12" t="n">
        <f aca="false">IF(B264&lt;=0,0,MAX(0,(K264+Assumptions!$B$29*L264/INDEX(Surface_Engine!$B$12:$B$72,$A264+1)-(M264/INDEX(Surface_Engine!$B$12:$B$72,$A264+1)-(F264/INDEX(Surface_Engine!$B$12:$B$72,$A264+1))))/B264))</f>
        <v>22921.7745015217</v>
      </c>
    </row>
    <row r="265" customFormat="false" ht="15" hidden="false" customHeight="true" outlineLevel="0" collapsed="false">
      <c r="A265" s="1" t="n">
        <v>5</v>
      </c>
      <c r="B265" s="32" t="n">
        <f aca="false">INDEX(Surface_Engine!$J$12:$J$72,$A265+1)*IF($A265&lt;$Q$258,INDEX(Surface_Engine!$E$12:$E$72,$A265+1),INDEX(Surface_Engine!$E$12:$E$72,$Q$258+1))</f>
        <v>0.879688270493715</v>
      </c>
      <c r="C265" s="32" t="n">
        <f aca="false">INDEX(Panel_Reserving!$C$8:$C$68,$A265+1)*IF($A265&lt;$Q$258,INDEX(Surface_Engine!$E$12:$E$72,$A265+1),INDEX(Surface_Engine!$E$12:$E$72,$Q$258+1))</f>
        <v>0.884041757565766</v>
      </c>
      <c r="D265" s="32" t="n">
        <f aca="false">INDEX(Surface_Engine!$J$12:$J$72,$A265+1)*IF($A265&lt;$Q$258,INDEX(Surface_Engine!$Y$12:$Y$72,$A265+1),INDEX(Surface_Engine!$Y$12:$Y$72,$Q$258+1))</f>
        <v>0.834423866633532</v>
      </c>
      <c r="E265" s="32" t="n">
        <f aca="false">INDEX(Surface_Engine!$J$12:$J$72,$A265+1)*IF($A265&lt;$Q$258,INDEX(Surface_Engine!$Z$12:$Z$72,$A265+1),INDEX(Surface_Engine!$Z$12:$Z$72,$Q$258+1))</f>
        <v>0.926752573546771</v>
      </c>
      <c r="F265" s="48" t="n">
        <f aca="false">B265*(IF($A265&lt;$Q$258,INDEX(Surface_Engine!$D$12:$D$72,$A265+1)+(Surface_Engine!B239*12)*INDEX(Surface_Engine!$F$12:$F$72,$A265+1)-(Surface_Engine!B239*12),1000*12*INDEX(Surface_Engine!$C$12:$C$72,$A265+1)/(1+Assumptions!$B$10)^12+INDEX(Surface_Engine!$D$12:$D$72,$A265+1)))*INDEX(Surface_Engine!$B$12:$B$72,$A265+1)+F266</f>
        <v>38417.7994565974</v>
      </c>
      <c r="G265" s="48" t="n">
        <f aca="false">C265*(IF($A265&lt;$Q$258,INDEX(Surface_Engine!$D$12:$D$72,$A265+1)+(Surface_Engine!B239*12)*INDEX(Surface_Engine!$F$12:$F$72,$A265+1)-(Surface_Engine!B239*12),1000*12*INDEX(Surface_Engine!$C$12:$C$72,$A265+1)/(1+Assumptions!$B$10)^12+INDEX(Surface_Engine!$D$12:$D$72,$A265+1)))*INDEX(Surface_Engine!$B$12:$B$72,$A265+1)+G266</f>
        <v>48263.0797925519</v>
      </c>
      <c r="H265" s="48" t="n">
        <f aca="false">D265*(IF($A265&lt;$Q$258,INDEX(Surface_Engine!$D$12:$D$72,$A265+1)+(Surface_Engine!B239*12)*INDEX(Surface_Engine!$F$12:$F$72,$A265+1)-(Surface_Engine!B239*12),1000*12*INDEX(Surface_Engine!$C$12:$C$72,$A265+1)/(1+Assumptions!$B$10)^12+INDEX(Surface_Engine!$D$12:$D$72,$A265+1)))*INDEX(Surface_Engine!$B$12:$B$72,$A265+1)+H266</f>
        <v>34263.6811112564</v>
      </c>
      <c r="I265" s="48" t="n">
        <f aca="false">E265*(IF($A265&lt;$Q$258,INDEX(Surface_Engine!$D$12:$D$72,$A265+1)+(Surface_Engine!B239*12)*INDEX(Surface_Engine!$F$12:$F$72,$A265+1)-(Surface_Engine!B239*12),1000*12*INDEX(Surface_Engine!$C$12:$C$72,$A265+1)/(1+Assumptions!$B$10)^12+INDEX(Surface_Engine!$D$12:$D$72,$A265+1)))*INDEX(Surface_Engine!$B$12:$B$72,$A265+1)+I266</f>
        <v>42968.9953643341</v>
      </c>
      <c r="J265" s="48" t="n">
        <f aca="false">B265*(IF($A265&lt;$Q$258,INDEX(Surface_Engine!$D$12:$D$72,$A265+1)*(1+Assumptions!$B$24)+(Surface_Engine!B239*12)*INDEX(Surface_Engine!$F$12:$F$72,$A265+1)-(Surface_Engine!B239*12),1000*12*INDEX(Surface_Engine!$C$12:$C$72,$A265+1)/(1+Assumptions!$B$10)^12+INDEX(Surface_Engine!$D$12:$D$72,$A265+1)*(1+Assumptions!$B$24)))*INDEX(Surface_Engine!$B$12:$B$72,$A265+1)+J266</f>
        <v>38555.2937077832</v>
      </c>
      <c r="K265" s="12" t="n">
        <f aca="false">SQRT((IF(C265&lt;=0,0,MAX(0,(B265/C265)*G265/INDEX(Surface_Engine!$B$12:$B$72,$A265+1)-F265/INDEX(Surface_Engine!$B$12:$B$72,$A265+1))))^2+(MAX(IF(D265&lt;=0,0,MAX(0,(B265/D265)*H265/INDEX(Surface_Engine!$B$12:$B$72,$A265+1)-F265/INDEX(Surface_Engine!$B$12:$B$72,$A265+1))),IF(E265&lt;=0,0,MAX(0,(B265/E265)*I265/INDEX(Surface_Engine!$B$12:$B$72,$A265+1)-F265/INDEX(Surface_Engine!$B$12:$B$72,$A265+1))),IF($A265&lt;$Q$258,MAX(0,-Assumptions!$B$22*(F265/INDEX(Surface_Engine!$B$12:$B$72,$A265+1))),0)))^2+(MAX(0,J265/INDEX(Surface_Engine!$B$12:$B$72,$A265+1)-(F265/INDEX(Surface_Engine!$B$12:$B$72,$A265+1))))^2+2*Assumptions!$B$26*(IF(C265&lt;=0,0,MAX(0,(B265/C265)*G265/INDEX(Surface_Engine!$B$12:$B$72,$A265+1)-F265/INDEX(Surface_Engine!$B$12:$B$72,$A265+1))))*(MAX(IF(D265&lt;=0,0,MAX(0,(B265/D265)*H265/INDEX(Surface_Engine!$B$12:$B$72,$A265+1)-F265/INDEX(Surface_Engine!$B$12:$B$72,$A265+1))),IF(E265&lt;=0,0,MAX(0,(B265/E265)*I265/INDEX(Surface_Engine!$B$12:$B$72,$A265+1)-F265/INDEX(Surface_Engine!$B$12:$B$72,$A265+1))),IF($A265&lt;$Q$258,MAX(0,-Assumptions!$B$22*(F265/INDEX(Surface_Engine!$B$12:$B$72,$A265+1))),0)))+2*Assumptions!$B$27*(IF(C265&lt;=0,0,MAX(0,(B265/C265)*G265/INDEX(Surface_Engine!$B$12:$B$72,$A265+1)-F265/INDEX(Surface_Engine!$B$12:$B$72,$A265+1))))*(MAX(0,J265/INDEX(Surface_Engine!$B$12:$B$72,$A265+1)-(F265/INDEX(Surface_Engine!$B$12:$B$72,$A265+1))))+2*Assumptions!$B$28*(MAX(IF(D265&lt;=0,0,MAX(0,(B265/D265)*H265/INDEX(Surface_Engine!$B$12:$B$72,$A265+1)-F265/INDEX(Surface_Engine!$B$12:$B$72,$A265+1))),IF(E265&lt;=0,0,MAX(0,(B265/E265)*I265/INDEX(Surface_Engine!$B$12:$B$72,$A265+1)-F265/INDEX(Surface_Engine!$B$12:$B$72,$A265+1))),IF($A265&lt;$Q$258,MAX(0,-Assumptions!$B$22*(F265/INDEX(Surface_Engine!$B$12:$B$72,$A265+1))),0)))*(MAX(0,J265/INDEX(Surface_Engine!$B$12:$B$72,$A265+1)-(F265/INDEX(Surface_Engine!$B$12:$B$72,$A265+1)))))</f>
        <v>11980.9861054426</v>
      </c>
      <c r="L265" s="48" t="n">
        <f aca="false">K265*INDEX(Surface_Engine!$B$12:$B$72,$A265+1)+L266</f>
        <v>178816.997760363</v>
      </c>
      <c r="M265" s="48" t="n">
        <f aca="false">M264+B264*(IF($A264&lt;$Q$258,(Surface_Engine!B239*12)-(Surface_Engine!B239*12)*INDEX(Surface_Engine!$F$12:$F$72,$A264+1)-INDEX(Surface_Engine!$D$12:$D$72,$A264+1),-(1000*12*INDEX(Surface_Engine!$C$12:$C$72,$A264+1)/(1+Assumptions!$B$10)^12+INDEX(Surface_Engine!$D$12:$D$72,$A264+1))))*INDEX(Surface_Engine!$B$12:$B$72,$A264+1)</f>
        <v>41952.7907209645</v>
      </c>
      <c r="N265" s="12" t="n">
        <f aca="false">IF(B265&lt;=0,0,MAX(0,(K265+Assumptions!$B$29*L265/INDEX(Surface_Engine!$B$12:$B$72,$A265+1)-(M265/INDEX(Surface_Engine!$B$12:$B$72,$A265+1)-(F265/INDEX(Surface_Engine!$B$12:$B$72,$A265+1))))/B265))</f>
        <v>22948.6873224423</v>
      </c>
    </row>
    <row r="266" customFormat="false" ht="15" hidden="false" customHeight="true" outlineLevel="0" collapsed="false">
      <c r="A266" s="1" t="n">
        <v>6</v>
      </c>
      <c r="B266" s="32" t="n">
        <f aca="false">INDEX(Surface_Engine!$J$12:$J$72,$A266+1)*IF($A266&lt;$Q$258,INDEX(Surface_Engine!$E$12:$E$72,$A266+1),INDEX(Surface_Engine!$E$12:$E$72,$Q$258+1))</f>
        <v>0.866009413503451</v>
      </c>
      <c r="C266" s="32" t="n">
        <f aca="false">INDEX(Panel_Reserving!$C$8:$C$68,$A266+1)*IF($A266&lt;$Q$258,INDEX(Surface_Engine!$E$12:$E$72,$A266+1),INDEX(Surface_Engine!$E$12:$E$72,$Q$258+1))</f>
        <v>0.871435559765987</v>
      </c>
      <c r="D266" s="32" t="n">
        <f aca="false">INDEX(Surface_Engine!$J$12:$J$72,$A266+1)*IF($A266&lt;$Q$258,INDEX(Surface_Engine!$Y$12:$Y$72,$A266+1),INDEX(Surface_Engine!$Y$12:$Y$72,$Q$258+1))</f>
        <v>0.817676939175658</v>
      </c>
      <c r="E266" s="32" t="n">
        <f aca="false">INDEX(Surface_Engine!$J$12:$J$72,$A266+1)*IF($A266&lt;$Q$258,INDEX(Surface_Engine!$Z$12:$Z$72,$A266+1),INDEX(Surface_Engine!$Z$12:$Z$72,$Q$258+1))</f>
        <v>0.91653116045476</v>
      </c>
      <c r="F266" s="48" t="n">
        <f aca="false">B266*(IF($A266&lt;$Q$258,INDEX(Surface_Engine!$D$12:$D$72,$A266+1)+(Surface_Engine!B239*12)*INDEX(Surface_Engine!$F$12:$F$72,$A266+1)-(Surface_Engine!B239*12),1000*12*INDEX(Surface_Engine!$C$12:$C$72,$A266+1)/(1+Assumptions!$B$10)^12+INDEX(Surface_Engine!$D$12:$D$72,$A266+1)))*INDEX(Surface_Engine!$B$12:$B$72,$A266+1)+F267</f>
        <v>47757.673241616</v>
      </c>
      <c r="G266" s="48" t="n">
        <f aca="false">C266*(IF($A266&lt;$Q$258,INDEX(Surface_Engine!$D$12:$D$72,$A266+1)+(Surface_Engine!B239*12)*INDEX(Surface_Engine!$F$12:$F$72,$A266+1)-(Surface_Engine!B239*12),1000*12*INDEX(Surface_Engine!$C$12:$C$72,$A266+1)/(1+Assumptions!$B$10)^12+INDEX(Surface_Engine!$D$12:$D$72,$A266+1)))*INDEX(Surface_Engine!$B$12:$B$72,$A266+1)+G267</f>
        <v>57649.1756554833</v>
      </c>
      <c r="H266" s="48" t="n">
        <f aca="false">D266*(IF($A266&lt;$Q$258,INDEX(Surface_Engine!$D$12:$D$72,$A266+1)+(Surface_Engine!B239*12)*INDEX(Surface_Engine!$F$12:$F$72,$A266+1)-(Surface_Engine!B239*12),1000*12*INDEX(Surface_Engine!$C$12:$C$72,$A266+1)/(1+Assumptions!$B$10)^12+INDEX(Surface_Engine!$D$12:$D$72,$A266+1)))*INDEX(Surface_Engine!$B$12:$B$72,$A266+1)+H267</f>
        <v>43122.971224549</v>
      </c>
      <c r="I266" s="48" t="n">
        <f aca="false">E266*(IF($A266&lt;$Q$258,INDEX(Surface_Engine!$D$12:$D$72,$A266+1)+(Surface_Engine!B239*12)*INDEX(Surface_Engine!$F$12:$F$72,$A266+1)-(Surface_Engine!B239*12),1000*12*INDEX(Surface_Engine!$C$12:$C$72,$A266+1)/(1+Assumptions!$B$10)^12+INDEX(Surface_Engine!$D$12:$D$72,$A266+1)))*INDEX(Surface_Engine!$B$12:$B$72,$A266+1)+I267</f>
        <v>52808.5628079356</v>
      </c>
      <c r="J266" s="48" t="n">
        <f aca="false">B266*(IF($A266&lt;$Q$258,INDEX(Surface_Engine!$D$12:$D$72,$A266+1)*(1+Assumptions!$B$24)+(Surface_Engine!B239*12)*INDEX(Surface_Engine!$F$12:$F$72,$A266+1)-(Surface_Engine!B239*12),1000*12*INDEX(Surface_Engine!$C$12:$C$72,$A266+1)/(1+Assumptions!$B$10)^12+INDEX(Surface_Engine!$D$12:$D$72,$A266+1)*(1+Assumptions!$B$24)))*INDEX(Surface_Engine!$B$12:$B$72,$A266+1)+J267</f>
        <v>47888.0132228951</v>
      </c>
      <c r="K266" s="12" t="n">
        <f aca="false">SQRT((IF(C266&lt;=0,0,MAX(0,(B266/C266)*G266/INDEX(Surface_Engine!$B$12:$B$72,$A266+1)-F266/INDEX(Surface_Engine!$B$12:$B$72,$A266+1))))^2+(MAX(IF(D266&lt;=0,0,MAX(0,(B266/D266)*H266/INDEX(Surface_Engine!$B$12:$B$72,$A266+1)-F266/INDEX(Surface_Engine!$B$12:$B$72,$A266+1))),IF(E266&lt;=0,0,MAX(0,(B266/E266)*I266/INDEX(Surface_Engine!$B$12:$B$72,$A266+1)-F266/INDEX(Surface_Engine!$B$12:$B$72,$A266+1))),IF($A266&lt;$Q$258,MAX(0,-Assumptions!$B$22*(F266/INDEX(Surface_Engine!$B$12:$B$72,$A266+1))),0)))^2+(MAX(0,J266/INDEX(Surface_Engine!$B$12:$B$72,$A266+1)-(F266/INDEX(Surface_Engine!$B$12:$B$72,$A266+1))))^2+2*Assumptions!$B$26*(IF(C266&lt;=0,0,MAX(0,(B266/C266)*G266/INDEX(Surface_Engine!$B$12:$B$72,$A266+1)-F266/INDEX(Surface_Engine!$B$12:$B$72,$A266+1))))*(MAX(IF(D266&lt;=0,0,MAX(0,(B266/D266)*H266/INDEX(Surface_Engine!$B$12:$B$72,$A266+1)-F266/INDEX(Surface_Engine!$B$12:$B$72,$A266+1))),IF(E266&lt;=0,0,MAX(0,(B266/E266)*I266/INDEX(Surface_Engine!$B$12:$B$72,$A266+1)-F266/INDEX(Surface_Engine!$B$12:$B$72,$A266+1))),IF($A266&lt;$Q$258,MAX(0,-Assumptions!$B$22*(F266/INDEX(Surface_Engine!$B$12:$B$72,$A266+1))),0)))+2*Assumptions!$B$27*(IF(C266&lt;=0,0,MAX(0,(B266/C266)*G266/INDEX(Surface_Engine!$B$12:$B$72,$A266+1)-F266/INDEX(Surface_Engine!$B$12:$B$72,$A266+1))))*(MAX(0,J266/INDEX(Surface_Engine!$B$12:$B$72,$A266+1)-(F266/INDEX(Surface_Engine!$B$12:$B$72,$A266+1))))+2*Assumptions!$B$28*(MAX(IF(D266&lt;=0,0,MAX(0,(B266/D266)*H266/INDEX(Surface_Engine!$B$12:$B$72,$A266+1)-F266/INDEX(Surface_Engine!$B$12:$B$72,$A266+1))),IF(E266&lt;=0,0,MAX(0,(B266/E266)*I266/INDEX(Surface_Engine!$B$12:$B$72,$A266+1)-F266/INDEX(Surface_Engine!$B$12:$B$72,$A266+1))),IF($A266&lt;$Q$258,MAX(0,-Assumptions!$B$22*(F266/INDEX(Surface_Engine!$B$12:$B$72,$A266+1))),0)))*(MAX(0,J266/INDEX(Surface_Engine!$B$12:$B$72,$A266+1)-(F266/INDEX(Surface_Engine!$B$12:$B$72,$A266+1)))))</f>
        <v>12116.6556224703</v>
      </c>
      <c r="L266" s="48" t="n">
        <f aca="false">K266*INDEX(Surface_Engine!$B$12:$B$72,$A266+1)+L267</f>
        <v>168314.420028758</v>
      </c>
      <c r="M266" s="48" t="n">
        <f aca="false">M265+B265*(IF($A265&lt;$Q$258,(Surface_Engine!B239*12)-(Surface_Engine!B239*12)*INDEX(Surface_Engine!$F$12:$F$72,$A265+1)-INDEX(Surface_Engine!$D$12:$D$72,$A265+1),-(1000*12*INDEX(Surface_Engine!$C$12:$C$72,$A265+1)/(1+Assumptions!$B$10)^12+INDEX(Surface_Engine!$D$12:$D$72,$A265+1))))*INDEX(Surface_Engine!$B$12:$B$72,$A265+1)</f>
        <v>51292.6645059831</v>
      </c>
      <c r="N266" s="12" t="n">
        <f aca="false">IF(B266&lt;=0,0,MAX(0,(K266+Assumptions!$B$29*L266/INDEX(Surface_Engine!$B$12:$B$72,$A266+1)-(M266/INDEX(Surface_Engine!$B$12:$B$72,$A266+1)-(F266/INDEX(Surface_Engine!$B$12:$B$72,$A266+1))))/B266))</f>
        <v>22887.7304425835</v>
      </c>
    </row>
    <row r="267" customFormat="false" ht="15" hidden="false" customHeight="true" outlineLevel="0" collapsed="false">
      <c r="A267" s="1" t="n">
        <v>7</v>
      </c>
      <c r="B267" s="32" t="n">
        <f aca="false">INDEX(Surface_Engine!$J$12:$J$72,$A267+1)*IF($A267&lt;$Q$258,INDEX(Surface_Engine!$E$12:$E$72,$A267+1),INDEX(Surface_Engine!$E$12:$E$72,$Q$258+1))</f>
        <v>0.851970227585295</v>
      </c>
      <c r="C267" s="32" t="n">
        <f aca="false">INDEX(Panel_Reserving!$C$8:$C$68,$A267+1)*IF($A267&lt;$Q$258,INDEX(Surface_Engine!$E$12:$E$72,$A267+1),INDEX(Surface_Engine!$E$12:$E$72,$Q$258+1))</f>
        <v>0.858547826166602</v>
      </c>
      <c r="D267" s="32" t="n">
        <f aca="false">INDEX(Surface_Engine!$J$12:$J$72,$A267+1)*IF($A267&lt;$Q$258,INDEX(Surface_Engine!$Y$12:$Y$72,$A267+1),INDEX(Surface_Engine!$Y$12:$Y$72,$Q$258+1))</f>
        <v>0.800727558348016</v>
      </c>
      <c r="E267" s="32" t="n">
        <f aca="false">INDEX(Surface_Engine!$J$12:$J$72,$A267+1)*IF($A267&lt;$Q$258,INDEX(Surface_Engine!$Z$12:$Z$72,$A267+1),INDEX(Surface_Engine!$Z$12:$Z$72,$Q$258+1))</f>
        <v>0.905813237110126</v>
      </c>
      <c r="F267" s="48" t="n">
        <f aca="false">B267*(IF($A267&lt;$Q$258,INDEX(Surface_Engine!$D$12:$D$72,$A267+1)+(Surface_Engine!B239*12)*INDEX(Surface_Engine!$F$12:$F$72,$A267+1)-(Surface_Engine!B239*12),1000*12*INDEX(Surface_Engine!$C$12:$C$72,$A267+1)/(1+Assumptions!$B$10)^12+INDEX(Surface_Engine!$D$12:$D$72,$A267+1)))*INDEX(Surface_Engine!$B$12:$B$72,$A267+1)+F268</f>
        <v>56692.2382197716</v>
      </c>
      <c r="G267" s="48" t="n">
        <f aca="false">C267*(IF($A267&lt;$Q$258,INDEX(Surface_Engine!$D$12:$D$72,$A267+1)+(Surface_Engine!B239*12)*INDEX(Surface_Engine!$F$12:$F$72,$A267+1)-(Surface_Engine!B239*12),1000*12*INDEX(Surface_Engine!$C$12:$C$72,$A267+1)/(1+Assumptions!$B$10)^12+INDEX(Surface_Engine!$D$12:$D$72,$A267+1)))*INDEX(Surface_Engine!$B$12:$B$72,$A267+1)+G268</f>
        <v>66639.7218453991</v>
      </c>
      <c r="H267" s="48" t="n">
        <f aca="false">D267*(IF($A267&lt;$Q$258,INDEX(Surface_Engine!$D$12:$D$72,$A267+1)+(Surface_Engine!B239*12)*INDEX(Surface_Engine!$F$12:$F$72,$A267+1)-(Surface_Engine!B239*12),1000*12*INDEX(Surface_Engine!$C$12:$C$72,$A267+1)/(1+Assumptions!$B$10)^12+INDEX(Surface_Engine!$D$12:$D$72,$A267+1)))*INDEX(Surface_Engine!$B$12:$B$72,$A267+1)+H268</f>
        <v>51558.8930867023</v>
      </c>
      <c r="I267" s="48" t="n">
        <f aca="false">E267*(IF($A267&lt;$Q$258,INDEX(Surface_Engine!$D$12:$D$72,$A267+1)+(Surface_Engine!B239*12)*INDEX(Surface_Engine!$F$12:$F$72,$A267+1)-(Surface_Engine!B239*12),1000*12*INDEX(Surface_Engine!$C$12:$C$72,$A267+1)/(1+Assumptions!$B$10)^12+INDEX(Surface_Engine!$D$12:$D$72,$A267+1)))*INDEX(Surface_Engine!$B$12:$B$72,$A267+1)+I268</f>
        <v>62264.3574908819</v>
      </c>
      <c r="J267" s="48" t="n">
        <f aca="false">B267*(IF($A267&lt;$Q$258,INDEX(Surface_Engine!$D$12:$D$72,$A267+1)*(1+Assumptions!$B$24)+(Surface_Engine!B239*12)*INDEX(Surface_Engine!$F$12:$F$72,$A267+1)-(Surface_Engine!B239*12),1000*12*INDEX(Surface_Engine!$C$12:$C$72,$A267+1)/(1+Assumptions!$B$10)^12+INDEX(Surface_Engine!$D$12:$D$72,$A267+1)*(1+Assumptions!$B$24)))*INDEX(Surface_Engine!$B$12:$B$72,$A267+1)+J268</f>
        <v>56815.5619557433</v>
      </c>
      <c r="K267" s="12" t="n">
        <f aca="false">SQRT((IF(C267&lt;=0,0,MAX(0,(B267/C267)*G267/INDEX(Surface_Engine!$B$12:$B$72,$A267+1)-F267/INDEX(Surface_Engine!$B$12:$B$72,$A267+1))))^2+(MAX(IF(D267&lt;=0,0,MAX(0,(B267/D267)*H267/INDEX(Surface_Engine!$B$12:$B$72,$A267+1)-F267/INDEX(Surface_Engine!$B$12:$B$72,$A267+1))),IF(E267&lt;=0,0,MAX(0,(B267/E267)*I267/INDEX(Surface_Engine!$B$12:$B$72,$A267+1)-F267/INDEX(Surface_Engine!$B$12:$B$72,$A267+1))),IF($A267&lt;$Q$258,MAX(0,-Assumptions!$B$22*(F267/INDEX(Surface_Engine!$B$12:$B$72,$A267+1))),0)))^2+(MAX(0,J267/INDEX(Surface_Engine!$B$12:$B$72,$A267+1)-(F267/INDEX(Surface_Engine!$B$12:$B$72,$A267+1))))^2+2*Assumptions!$B$26*(IF(C267&lt;=0,0,MAX(0,(B267/C267)*G267/INDEX(Surface_Engine!$B$12:$B$72,$A267+1)-F267/INDEX(Surface_Engine!$B$12:$B$72,$A267+1))))*(MAX(IF(D267&lt;=0,0,MAX(0,(B267/D267)*H267/INDEX(Surface_Engine!$B$12:$B$72,$A267+1)-F267/INDEX(Surface_Engine!$B$12:$B$72,$A267+1))),IF(E267&lt;=0,0,MAX(0,(B267/E267)*I267/INDEX(Surface_Engine!$B$12:$B$72,$A267+1)-F267/INDEX(Surface_Engine!$B$12:$B$72,$A267+1))),IF($A267&lt;$Q$258,MAX(0,-Assumptions!$B$22*(F267/INDEX(Surface_Engine!$B$12:$B$72,$A267+1))),0)))+2*Assumptions!$B$27*(IF(C267&lt;=0,0,MAX(0,(B267/C267)*G267/INDEX(Surface_Engine!$B$12:$B$72,$A267+1)-F267/INDEX(Surface_Engine!$B$12:$B$72,$A267+1))))*(MAX(0,J267/INDEX(Surface_Engine!$B$12:$B$72,$A267+1)-(F267/INDEX(Surface_Engine!$B$12:$B$72,$A267+1))))+2*Assumptions!$B$28*(MAX(IF(D267&lt;=0,0,MAX(0,(B267/D267)*H267/INDEX(Surface_Engine!$B$12:$B$72,$A267+1)-F267/INDEX(Surface_Engine!$B$12:$B$72,$A267+1))),IF(E267&lt;=0,0,MAX(0,(B267/E267)*I267/INDEX(Surface_Engine!$B$12:$B$72,$A267+1)-F267/INDEX(Surface_Engine!$B$12:$B$72,$A267+1))),IF($A267&lt;$Q$258,MAX(0,-Assumptions!$B$22*(F267/INDEX(Surface_Engine!$B$12:$B$72,$A267+1))),0)))*(MAX(0,J267/INDEX(Surface_Engine!$B$12:$B$72,$A267+1)-(F267/INDEX(Surface_Engine!$B$12:$B$72,$A267+1)))))</f>
        <v>12224.3362170279</v>
      </c>
      <c r="L267" s="48" t="n">
        <f aca="false">K267*INDEX(Surface_Engine!$B$12:$B$72,$A267+1)+L268</f>
        <v>157991.373808869</v>
      </c>
      <c r="M267" s="48" t="n">
        <f aca="false">M266+B266*(IF($A266&lt;$Q$258,(Surface_Engine!B239*12)-(Surface_Engine!B239*12)*INDEX(Surface_Engine!$F$12:$F$72,$A266+1)-INDEX(Surface_Engine!$D$12:$D$72,$A266+1),-(1000*12*INDEX(Surface_Engine!$C$12:$C$72,$A266+1)/(1+Assumptions!$B$10)^12+INDEX(Surface_Engine!$D$12:$D$72,$A266+1))))*INDEX(Surface_Engine!$B$12:$B$72,$A266+1)</f>
        <v>60227.2294841387</v>
      </c>
      <c r="N267" s="12" t="n">
        <f aca="false">IF(B267&lt;=0,0,MAX(0,(K267+Assumptions!$B$29*L267/INDEX(Surface_Engine!$B$12:$B$72,$A267+1)-(M267/INDEX(Surface_Engine!$B$12:$B$72,$A267+1)-(F267/INDEX(Surface_Engine!$B$12:$B$72,$A267+1))))/B267))</f>
        <v>22784.82881644</v>
      </c>
    </row>
    <row r="268" customFormat="false" ht="15" hidden="false" customHeight="true" outlineLevel="0" collapsed="false">
      <c r="A268" s="1" t="n">
        <v>8</v>
      </c>
      <c r="B268" s="32" t="n">
        <f aca="false">INDEX(Surface_Engine!$J$12:$J$72,$A268+1)*IF($A268&lt;$Q$258,INDEX(Surface_Engine!$E$12:$E$72,$A268+1),INDEX(Surface_Engine!$E$12:$E$72,$Q$258+1))</f>
        <v>0.837274546391867</v>
      </c>
      <c r="C268" s="32" t="n">
        <f aca="false">INDEX(Panel_Reserving!$C$8:$C$68,$A268+1)*IF($A268&lt;$Q$258,INDEX(Surface_Engine!$E$12:$E$72,$A268+1),INDEX(Surface_Engine!$E$12:$E$72,$Q$258+1))</f>
        <v>0.845137958281224</v>
      </c>
      <c r="D268" s="32" t="n">
        <f aca="false">INDEX(Surface_Engine!$J$12:$J$72,$A268+1)*IF($A268&lt;$Q$258,INDEX(Surface_Engine!$Y$12:$Y$72,$A268+1),INDEX(Surface_Engine!$Y$12:$Y$72,$Q$258+1))</f>
        <v>0.783302416569062</v>
      </c>
      <c r="E268" s="32" t="n">
        <f aca="false">INDEX(Surface_Engine!$J$12:$J$72,$A268+1)*IF($A268&lt;$Q$258,INDEX(Surface_Engine!$Z$12:$Z$72,$A268+1),INDEX(Surface_Engine!$Z$12:$Z$72,$Q$258+1))</f>
        <v>0.894276370757796</v>
      </c>
      <c r="F268" s="48" t="n">
        <f aca="false">B268*(IF($A268&lt;$Q$258,INDEX(Surface_Engine!$D$12:$D$72,$A268+1)+(Surface_Engine!B239*12)*INDEX(Surface_Engine!$F$12:$F$72,$A268+1)-(Surface_Engine!B239*12),1000*12*INDEX(Surface_Engine!$C$12:$C$72,$A268+1)/(1+Assumptions!$B$10)^12+INDEX(Surface_Engine!$D$12:$D$72,$A268+1)))*INDEX(Surface_Engine!$B$12:$B$72,$A268+1)+F269</f>
        <v>65223.0827222581</v>
      </c>
      <c r="G268" s="48" t="n">
        <f aca="false">C268*(IF($A268&lt;$Q$258,INDEX(Surface_Engine!$D$12:$D$72,$A268+1)+(Surface_Engine!B239*12)*INDEX(Surface_Engine!$F$12:$F$72,$A268+1)-(Surface_Engine!B239*12),1000*12*INDEX(Surface_Engine!$C$12:$C$72,$A268+1)/(1+Assumptions!$B$10)^12+INDEX(Surface_Engine!$D$12:$D$72,$A268+1)))*INDEX(Surface_Engine!$B$12:$B$72,$A268+1)+G269</f>
        <v>75236.4283567681</v>
      </c>
      <c r="H268" s="48" t="n">
        <f aca="false">D268*(IF($A268&lt;$Q$258,INDEX(Surface_Engine!$D$12:$D$72,$A268+1)+(Surface_Engine!B239*12)*INDEX(Surface_Engine!$F$12:$F$72,$A268+1)-(Surface_Engine!B239*12),1000*12*INDEX(Surface_Engine!$C$12:$C$72,$A268+1)/(1+Assumptions!$B$10)^12+INDEX(Surface_Engine!$D$12:$D$72,$A268+1)))*INDEX(Surface_Engine!$B$12:$B$72,$A268+1)+H269</f>
        <v>59576.6407355645</v>
      </c>
      <c r="I268" s="48" t="n">
        <f aca="false">E268*(IF($A268&lt;$Q$258,INDEX(Surface_Engine!$D$12:$D$72,$A268+1)+(Surface_Engine!B239*12)*INDEX(Surface_Engine!$F$12:$F$72,$A268+1)-(Surface_Engine!B239*12),1000*12*INDEX(Surface_Engine!$C$12:$C$72,$A268+1)/(1+Assumptions!$B$10)^12+INDEX(Surface_Engine!$D$12:$D$72,$A268+1)))*INDEX(Surface_Engine!$B$12:$B$72,$A268+1)+I269</f>
        <v>71334.3362576068</v>
      </c>
      <c r="J268" s="48" t="n">
        <f aca="false">B268*(IF($A268&lt;$Q$258,INDEX(Surface_Engine!$D$12:$D$72,$A268+1)*(1+Assumptions!$B$24)+(Surface_Engine!B239*12)*INDEX(Surface_Engine!$F$12:$F$72,$A268+1)-(Surface_Engine!B239*12),1000*12*INDEX(Surface_Engine!$C$12:$C$72,$A268+1)/(1+Assumptions!$B$10)^12+INDEX(Surface_Engine!$D$12:$D$72,$A268+1)*(1+Assumptions!$B$24)))*INDEX(Surface_Engine!$B$12:$B$72,$A268+1)+J269</f>
        <v>65339.5384229918</v>
      </c>
      <c r="K268" s="12" t="n">
        <f aca="false">SQRT((IF(C268&lt;=0,0,MAX(0,(B268/C268)*G268/INDEX(Surface_Engine!$B$12:$B$72,$A268+1)-F268/INDEX(Surface_Engine!$B$12:$B$72,$A268+1))))^2+(MAX(IF(D268&lt;=0,0,MAX(0,(B268/D268)*H268/INDEX(Surface_Engine!$B$12:$B$72,$A268+1)-F268/INDEX(Surface_Engine!$B$12:$B$72,$A268+1))),IF(E268&lt;=0,0,MAX(0,(B268/E268)*I268/INDEX(Surface_Engine!$B$12:$B$72,$A268+1)-F268/INDEX(Surface_Engine!$B$12:$B$72,$A268+1))),IF($A268&lt;$Q$258,MAX(0,-Assumptions!$B$22*(F268/INDEX(Surface_Engine!$B$12:$B$72,$A268+1))),0)))^2+(MAX(0,J268/INDEX(Surface_Engine!$B$12:$B$72,$A268+1)-(F268/INDEX(Surface_Engine!$B$12:$B$72,$A268+1))))^2+2*Assumptions!$B$26*(IF(C268&lt;=0,0,MAX(0,(B268/C268)*G268/INDEX(Surface_Engine!$B$12:$B$72,$A268+1)-F268/INDEX(Surface_Engine!$B$12:$B$72,$A268+1))))*(MAX(IF(D268&lt;=0,0,MAX(0,(B268/D268)*H268/INDEX(Surface_Engine!$B$12:$B$72,$A268+1)-F268/INDEX(Surface_Engine!$B$12:$B$72,$A268+1))),IF(E268&lt;=0,0,MAX(0,(B268/E268)*I268/INDEX(Surface_Engine!$B$12:$B$72,$A268+1)-F268/INDEX(Surface_Engine!$B$12:$B$72,$A268+1))),IF($A268&lt;$Q$258,MAX(0,-Assumptions!$B$22*(F268/INDEX(Surface_Engine!$B$12:$B$72,$A268+1))),0)))+2*Assumptions!$B$27*(IF(C268&lt;=0,0,MAX(0,(B268/C268)*G268/INDEX(Surface_Engine!$B$12:$B$72,$A268+1)-F268/INDEX(Surface_Engine!$B$12:$B$72,$A268+1))))*(MAX(0,J268/INDEX(Surface_Engine!$B$12:$B$72,$A268+1)-(F268/INDEX(Surface_Engine!$B$12:$B$72,$A268+1))))+2*Assumptions!$B$28*(MAX(IF(D268&lt;=0,0,MAX(0,(B268/D268)*H268/INDEX(Surface_Engine!$B$12:$B$72,$A268+1)-F268/INDEX(Surface_Engine!$B$12:$B$72,$A268+1))),IF(E268&lt;=0,0,MAX(0,(B268/E268)*I268/INDEX(Surface_Engine!$B$12:$B$72,$A268+1)-F268/INDEX(Surface_Engine!$B$12:$B$72,$A268+1))),IF($A268&lt;$Q$258,MAX(0,-Assumptions!$B$22*(F268/INDEX(Surface_Engine!$B$12:$B$72,$A268+1))),0)))*(MAX(0,J268/INDEX(Surface_Engine!$B$12:$B$72,$A268+1)-(F268/INDEX(Surface_Engine!$B$12:$B$72,$A268+1)))))</f>
        <v>12294.9868011971</v>
      </c>
      <c r="L268" s="48" t="n">
        <f aca="false">K268*INDEX(Surface_Engine!$B$12:$B$72,$A268+1)+L269</f>
        <v>147881.343155697</v>
      </c>
      <c r="M268" s="48" t="n">
        <f aca="false">M267+B267*(IF($A267&lt;$Q$258,(Surface_Engine!B239*12)-(Surface_Engine!B239*12)*INDEX(Surface_Engine!$F$12:$F$72,$A267+1)-INDEX(Surface_Engine!$D$12:$D$72,$A267+1),-(1000*12*INDEX(Surface_Engine!$C$12:$C$72,$A267+1)/(1+Assumptions!$B$10)^12+INDEX(Surface_Engine!$D$12:$D$72,$A267+1))))*INDEX(Surface_Engine!$B$12:$B$72,$A267+1)</f>
        <v>68758.0739866252</v>
      </c>
      <c r="N268" s="12" t="n">
        <f aca="false">IF(B268&lt;=0,0,MAX(0,(K268+Assumptions!$B$29*L268/INDEX(Surface_Engine!$B$12:$B$72,$A268+1)-(M268/INDEX(Surface_Engine!$B$12:$B$72,$A268+1)-(F268/INDEX(Surface_Engine!$B$12:$B$72,$A268+1))))/B268))</f>
        <v>22634.751593905</v>
      </c>
    </row>
    <row r="269" customFormat="false" ht="15" hidden="false" customHeight="true" outlineLevel="0" collapsed="false">
      <c r="A269" s="1" t="n">
        <v>9</v>
      </c>
      <c r="B269" s="32" t="n">
        <f aca="false">INDEX(Surface_Engine!$J$12:$J$72,$A269+1)*IF($A269&lt;$Q$258,INDEX(Surface_Engine!$E$12:$E$72,$A269+1),INDEX(Surface_Engine!$E$12:$E$72,$Q$258+1))</f>
        <v>0.822096230560809</v>
      </c>
      <c r="C269" s="32" t="n">
        <f aca="false">INDEX(Panel_Reserving!$C$8:$C$68,$A269+1)*IF($A269&lt;$Q$258,INDEX(Surface_Engine!$E$12:$E$72,$A269+1),INDEX(Surface_Engine!$E$12:$E$72,$Q$258+1))</f>
        <v>0.831343114663609</v>
      </c>
      <c r="D269" s="32" t="n">
        <f aca="false">INDEX(Surface_Engine!$J$12:$J$72,$A269+1)*IF($A269&lt;$Q$258,INDEX(Surface_Engine!$Y$12:$Y$72,$A269+1),INDEX(Surface_Engine!$Y$12:$Y$72,$Q$258+1))</f>
        <v>0.765570966977272</v>
      </c>
      <c r="E269" s="32" t="n">
        <f aca="false">INDEX(Surface_Engine!$J$12:$J$72,$A269+1)*IF($A269&lt;$Q$258,INDEX(Surface_Engine!$Z$12:$Z$72,$A269+1),INDEX(Surface_Engine!$Z$12:$Z$72,$Q$258+1))</f>
        <v>0.882096596633852</v>
      </c>
      <c r="F269" s="48" t="n">
        <f aca="false">B269*(IF($A269&lt;$Q$258,INDEX(Surface_Engine!$D$12:$D$72,$A269+1)+(Surface_Engine!B239*12)*INDEX(Surface_Engine!$F$12:$F$72,$A269+1)-(Surface_Engine!B239*12),1000*12*INDEX(Surface_Engine!$C$12:$C$72,$A269+1)/(1+Assumptions!$B$10)^12+INDEX(Surface_Engine!$D$12:$D$72,$A269+1)))*INDEX(Surface_Engine!$B$12:$B$72,$A269+1)+F270</f>
        <v>73350.3317678503</v>
      </c>
      <c r="G269" s="48" t="n">
        <f aca="false">C269*(IF($A269&lt;$Q$258,INDEX(Surface_Engine!$D$12:$D$72,$A269+1)+(Surface_Engine!B239*12)*INDEX(Surface_Engine!$F$12:$F$72,$A269+1)-(Surface_Engine!B239*12),1000*12*INDEX(Surface_Engine!$C$12:$C$72,$A269+1)/(1+Assumptions!$B$10)^12+INDEX(Surface_Engine!$D$12:$D$72,$A269+1)))*INDEX(Surface_Engine!$B$12:$B$72,$A269+1)+G270</f>
        <v>83440.0058982501</v>
      </c>
      <c r="H269" s="48" t="n">
        <f aca="false">D269*(IF($A269&lt;$Q$258,INDEX(Surface_Engine!$D$12:$D$72,$A269+1)+(Surface_Engine!B239*12)*INDEX(Surface_Engine!$F$12:$F$72,$A269+1)-(Surface_Engine!B239*12),1000*12*INDEX(Surface_Engine!$C$12:$C$72,$A269+1)/(1+Assumptions!$B$10)^12+INDEX(Surface_Engine!$D$12:$D$72,$A269+1)))*INDEX(Surface_Engine!$B$12:$B$72,$A269+1)+H270</f>
        <v>67179.99359623</v>
      </c>
      <c r="I269" s="48" t="n">
        <f aca="false">E269*(IF($A269&lt;$Q$258,INDEX(Surface_Engine!$D$12:$D$72,$A269+1)+(Surface_Engine!B239*12)*INDEX(Surface_Engine!$F$12:$F$72,$A269+1)-(Surface_Engine!B239*12),1000*12*INDEX(Surface_Engine!$C$12:$C$72,$A269+1)/(1+Assumptions!$B$10)^12+INDEX(Surface_Engine!$D$12:$D$72,$A269+1)))*INDEX(Surface_Engine!$B$12:$B$72,$A269+1)+I270</f>
        <v>80014.8900999009</v>
      </c>
      <c r="J269" s="48" t="n">
        <f aca="false">B269*(IF($A269&lt;$Q$258,INDEX(Surface_Engine!$D$12:$D$72,$A269+1)*(1+Assumptions!$B$24)+(Surface_Engine!B239*12)*INDEX(Surface_Engine!$F$12:$F$72,$A269+1)-(Surface_Engine!B239*12),1000*12*INDEX(Surface_Engine!$C$12:$C$72,$A269+1)/(1+Assumptions!$B$10)^12+INDEX(Surface_Engine!$D$12:$D$72,$A269+1)*(1+Assumptions!$B$24)))*INDEX(Surface_Engine!$B$12:$B$72,$A269+1)+J270</f>
        <v>73460.0794332432</v>
      </c>
      <c r="K269" s="12" t="n">
        <f aca="false">SQRT((IF(C269&lt;=0,0,MAX(0,(B269/C269)*G269/INDEX(Surface_Engine!$B$12:$B$72,$A269+1)-F269/INDEX(Surface_Engine!$B$12:$B$72,$A269+1))))^2+(MAX(IF(D269&lt;=0,0,MAX(0,(B269/D269)*H269/INDEX(Surface_Engine!$B$12:$B$72,$A269+1)-F269/INDEX(Surface_Engine!$B$12:$B$72,$A269+1))),IF(E269&lt;=0,0,MAX(0,(B269/E269)*I269/INDEX(Surface_Engine!$B$12:$B$72,$A269+1)-F269/INDEX(Surface_Engine!$B$12:$B$72,$A269+1))),IF($A269&lt;$Q$258,MAX(0,-Assumptions!$B$22*(F269/INDEX(Surface_Engine!$B$12:$B$72,$A269+1))),0)))^2+(MAX(0,J269/INDEX(Surface_Engine!$B$12:$B$72,$A269+1)-(F269/INDEX(Surface_Engine!$B$12:$B$72,$A269+1))))^2+2*Assumptions!$B$26*(IF(C269&lt;=0,0,MAX(0,(B269/C269)*G269/INDEX(Surface_Engine!$B$12:$B$72,$A269+1)-F269/INDEX(Surface_Engine!$B$12:$B$72,$A269+1))))*(MAX(IF(D269&lt;=0,0,MAX(0,(B269/D269)*H269/INDEX(Surface_Engine!$B$12:$B$72,$A269+1)-F269/INDEX(Surface_Engine!$B$12:$B$72,$A269+1))),IF(E269&lt;=0,0,MAX(0,(B269/E269)*I269/INDEX(Surface_Engine!$B$12:$B$72,$A269+1)-F269/INDEX(Surface_Engine!$B$12:$B$72,$A269+1))),IF($A269&lt;$Q$258,MAX(0,-Assumptions!$B$22*(F269/INDEX(Surface_Engine!$B$12:$B$72,$A269+1))),0)))+2*Assumptions!$B$27*(IF(C269&lt;=0,0,MAX(0,(B269/C269)*G269/INDEX(Surface_Engine!$B$12:$B$72,$A269+1)-F269/INDEX(Surface_Engine!$B$12:$B$72,$A269+1))))*(MAX(0,J269/INDEX(Surface_Engine!$B$12:$B$72,$A269+1)-(F269/INDEX(Surface_Engine!$B$12:$B$72,$A269+1))))+2*Assumptions!$B$28*(MAX(IF(D269&lt;=0,0,MAX(0,(B269/D269)*H269/INDEX(Surface_Engine!$B$12:$B$72,$A269+1)-F269/INDEX(Surface_Engine!$B$12:$B$72,$A269+1))),IF(E269&lt;=0,0,MAX(0,(B269/E269)*I269/INDEX(Surface_Engine!$B$12:$B$72,$A269+1)-F269/INDEX(Surface_Engine!$B$12:$B$72,$A269+1))),IF($A269&lt;$Q$258,MAX(0,-Assumptions!$B$22*(F269/INDEX(Surface_Engine!$B$12:$B$72,$A269+1))),0)))*(MAX(0,J269/INDEX(Surface_Engine!$B$12:$B$72,$A269+1)-(F269/INDEX(Surface_Engine!$B$12:$B$72,$A269+1)))))</f>
        <v>12326.7300694809</v>
      </c>
      <c r="L269" s="48" t="n">
        <f aca="false">K269*INDEX(Surface_Engine!$B$12:$B$72,$A269+1)+L270</f>
        <v>138021.937293341</v>
      </c>
      <c r="M269" s="48" t="n">
        <f aca="false">M268+B268*(IF($A268&lt;$Q$258,(Surface_Engine!B239*12)-(Surface_Engine!B239*12)*INDEX(Surface_Engine!$F$12:$F$72,$A268+1)-INDEX(Surface_Engine!$D$12:$D$72,$A268+1),-(1000*12*INDEX(Surface_Engine!$C$12:$C$72,$A268+1)/(1+Assumptions!$B$10)^12+INDEX(Surface_Engine!$D$12:$D$72,$A268+1))))*INDEX(Surface_Engine!$B$12:$B$72,$A268+1)</f>
        <v>76885.3230322174</v>
      </c>
      <c r="N269" s="12" t="n">
        <f aca="false">IF(B269&lt;=0,0,MAX(0,(K269+Assumptions!$B$29*L269/INDEX(Surface_Engine!$B$12:$B$72,$A269+1)-(M269/INDEX(Surface_Engine!$B$12:$B$72,$A269+1)-(F269/INDEX(Surface_Engine!$B$12:$B$72,$A269+1))))/B269))</f>
        <v>22427.1867461714</v>
      </c>
    </row>
    <row r="270" customFormat="false" ht="15" hidden="false" customHeight="true" outlineLevel="0" collapsed="false">
      <c r="A270" s="1" t="n">
        <v>10</v>
      </c>
      <c r="B270" s="32" t="n">
        <f aca="false">INDEX(Surface_Engine!$J$12:$J$72,$A270+1)*IF($A270&lt;$Q$258,INDEX(Surface_Engine!$E$12:$E$72,$A270+1),INDEX(Surface_Engine!$E$12:$E$72,$Q$258+1))</f>
        <v>0.806378655194533</v>
      </c>
      <c r="C270" s="32" t="n">
        <f aca="false">INDEX(Panel_Reserving!$C$8:$C$68,$A270+1)*IF($A270&lt;$Q$258,INDEX(Surface_Engine!$E$12:$E$72,$A270+1),INDEX(Surface_Engine!$E$12:$E$72,$Q$258+1))</f>
        <v>0.817114577702228</v>
      </c>
      <c r="D270" s="32" t="n">
        <f aca="false">INDEX(Surface_Engine!$J$12:$J$72,$A270+1)*IF($A270&lt;$Q$258,INDEX(Surface_Engine!$Y$12:$Y$72,$A270+1),INDEX(Surface_Engine!$Y$12:$Y$72,$Q$258+1))</f>
        <v>0.747485964369052</v>
      </c>
      <c r="E270" s="32" t="n">
        <f aca="false">INDEX(Surface_Engine!$J$12:$J$72,$A270+1)*IF($A270&lt;$Q$258,INDEX(Surface_Engine!$Z$12:$Z$72,$A270+1),INDEX(Surface_Engine!$Z$12:$Z$72,$Q$258+1))</f>
        <v>0.869204839269405</v>
      </c>
      <c r="F270" s="48" t="n">
        <f aca="false">B270*(IF($A270&lt;$Q$258,INDEX(Surface_Engine!$D$12:$D$72,$A270+1)+(Surface_Engine!B239*12)*INDEX(Surface_Engine!$F$12:$F$72,$A270+1)-(Surface_Engine!B239*12),1000*12*INDEX(Surface_Engine!$C$12:$C$72,$A270+1)/(1+Assumptions!$B$10)^12+INDEX(Surface_Engine!$D$12:$D$72,$A270+1)))*INDEX(Surface_Engine!$B$12:$B$72,$A270+1)+F271</f>
        <v>81078.2297978033</v>
      </c>
      <c r="G270" s="48" t="n">
        <f aca="false">C270*(IF($A270&lt;$Q$258,INDEX(Surface_Engine!$D$12:$D$72,$A270+1)+(Surface_Engine!B239*12)*INDEX(Surface_Engine!$F$12:$F$72,$A270+1)-(Surface_Engine!B239*12),1000*12*INDEX(Surface_Engine!$C$12:$C$72,$A270+1)/(1+Assumptions!$B$10)^12+INDEX(Surface_Engine!$D$12:$D$72,$A270+1)))*INDEX(Surface_Engine!$B$12:$B$72,$A270+1)+G271</f>
        <v>91254.8268148248</v>
      </c>
      <c r="H270" s="48" t="n">
        <f aca="false">D270*(IF($A270&lt;$Q$258,INDEX(Surface_Engine!$D$12:$D$72,$A270+1)+(Surface_Engine!B239*12)*INDEX(Surface_Engine!$F$12:$F$72,$A270+1)-(Surface_Engine!B239*12),1000*12*INDEX(Surface_Engine!$C$12:$C$72,$A270+1)/(1+Assumptions!$B$10)^12+INDEX(Surface_Engine!$D$12:$D$72,$A270+1)))*INDEX(Surface_Engine!$B$12:$B$72,$A270+1)+H271</f>
        <v>74376.5408464916</v>
      </c>
      <c r="I270" s="48" t="n">
        <f aca="false">E270*(IF($A270&lt;$Q$258,INDEX(Surface_Engine!$D$12:$D$72,$A270+1)+(Surface_Engine!B239*12)*INDEX(Surface_Engine!$F$12:$F$72,$A270+1)-(Surface_Engine!B239*12),1000*12*INDEX(Surface_Engine!$C$12:$C$72,$A270+1)/(1+Assumptions!$B$10)^12+INDEX(Surface_Engine!$D$12:$D$72,$A270+1)))*INDEX(Surface_Engine!$B$12:$B$72,$A270+1)+I271</f>
        <v>88306.8056907372</v>
      </c>
      <c r="J270" s="48" t="n">
        <f aca="false">B270*(IF($A270&lt;$Q$258,INDEX(Surface_Engine!$D$12:$D$72,$A270+1)*(1+Assumptions!$B$24)+(Surface_Engine!B239*12)*INDEX(Surface_Engine!$F$12:$F$72,$A270+1)-(Surface_Engine!B239*12),1000*12*INDEX(Surface_Engine!$C$12:$C$72,$A270+1)/(1+Assumptions!$B$10)^12+INDEX(Surface_Engine!$D$12:$D$72,$A270+1)*(1+Assumptions!$B$24)))*INDEX(Surface_Engine!$B$12:$B$72,$A270+1)+J271</f>
        <v>81181.4382327048</v>
      </c>
      <c r="K270" s="12" t="n">
        <f aca="false">SQRT((IF(C270&lt;=0,0,MAX(0,(B270/C270)*G270/INDEX(Surface_Engine!$B$12:$B$72,$A270+1)-F270/INDEX(Surface_Engine!$B$12:$B$72,$A270+1))))^2+(MAX(IF(D270&lt;=0,0,MAX(0,(B270/D270)*H270/INDEX(Surface_Engine!$B$12:$B$72,$A270+1)-F270/INDEX(Surface_Engine!$B$12:$B$72,$A270+1))),IF(E270&lt;=0,0,MAX(0,(B270/E270)*I270/INDEX(Surface_Engine!$B$12:$B$72,$A270+1)-F270/INDEX(Surface_Engine!$B$12:$B$72,$A270+1))),IF($A270&lt;$Q$258,MAX(0,-Assumptions!$B$22*(F270/INDEX(Surface_Engine!$B$12:$B$72,$A270+1))),0)))^2+(MAX(0,J270/INDEX(Surface_Engine!$B$12:$B$72,$A270+1)-(F270/INDEX(Surface_Engine!$B$12:$B$72,$A270+1))))^2+2*Assumptions!$B$26*(IF(C270&lt;=0,0,MAX(0,(B270/C270)*G270/INDEX(Surface_Engine!$B$12:$B$72,$A270+1)-F270/INDEX(Surface_Engine!$B$12:$B$72,$A270+1))))*(MAX(IF(D270&lt;=0,0,MAX(0,(B270/D270)*H270/INDEX(Surface_Engine!$B$12:$B$72,$A270+1)-F270/INDEX(Surface_Engine!$B$12:$B$72,$A270+1))),IF(E270&lt;=0,0,MAX(0,(B270/E270)*I270/INDEX(Surface_Engine!$B$12:$B$72,$A270+1)-F270/INDEX(Surface_Engine!$B$12:$B$72,$A270+1))),IF($A270&lt;$Q$258,MAX(0,-Assumptions!$B$22*(F270/INDEX(Surface_Engine!$B$12:$B$72,$A270+1))),0)))+2*Assumptions!$B$27*(IF(C270&lt;=0,0,MAX(0,(B270/C270)*G270/INDEX(Surface_Engine!$B$12:$B$72,$A270+1)-F270/INDEX(Surface_Engine!$B$12:$B$72,$A270+1))))*(MAX(0,J270/INDEX(Surface_Engine!$B$12:$B$72,$A270+1)-(F270/INDEX(Surface_Engine!$B$12:$B$72,$A270+1))))+2*Assumptions!$B$28*(MAX(IF(D270&lt;=0,0,MAX(0,(B270/D270)*H270/INDEX(Surface_Engine!$B$12:$B$72,$A270+1)-F270/INDEX(Surface_Engine!$B$12:$B$72,$A270+1))),IF(E270&lt;=0,0,MAX(0,(B270/E270)*I270/INDEX(Surface_Engine!$B$12:$B$72,$A270+1)-F270/INDEX(Surface_Engine!$B$12:$B$72,$A270+1))),IF($A270&lt;$Q$258,MAX(0,-Assumptions!$B$22*(F270/INDEX(Surface_Engine!$B$12:$B$72,$A270+1))),0)))*(MAX(0,J270/INDEX(Surface_Engine!$B$12:$B$72,$A270+1)-(F270/INDEX(Surface_Engine!$B$12:$B$72,$A270+1)))))</f>
        <v>12332.0064424137</v>
      </c>
      <c r="L270" s="48" t="n">
        <f aca="false">K270*INDEX(Surface_Engine!$B$12:$B$72,$A270+1)+L271</f>
        <v>128447.280102641</v>
      </c>
      <c r="M270" s="48" t="n">
        <f aca="false">M269+B269*(IF($A269&lt;$Q$258,(Surface_Engine!B239*12)-(Surface_Engine!B239*12)*INDEX(Surface_Engine!$F$12:$F$72,$A269+1)-INDEX(Surface_Engine!$D$12:$D$72,$A269+1),-(1000*12*INDEX(Surface_Engine!$C$12:$C$72,$A269+1)/(1+Assumptions!$B$10)^12+INDEX(Surface_Engine!$D$12:$D$72,$A269+1))))*INDEX(Surface_Engine!$B$12:$B$72,$A269+1)</f>
        <v>84613.2210621704</v>
      </c>
      <c r="N270" s="12" t="n">
        <f aca="false">IF(B270&lt;=0,0,MAX(0,(K270+Assumptions!$B$29*L270/INDEX(Surface_Engine!$B$12:$B$72,$A270+1)-(M270/INDEX(Surface_Engine!$B$12:$B$72,$A270+1)-(F270/INDEX(Surface_Engine!$B$12:$B$72,$A270+1))))/B270))</f>
        <v>22186.0540875452</v>
      </c>
    </row>
    <row r="271" customFormat="false" ht="15" hidden="false" customHeight="true" outlineLevel="0" collapsed="false">
      <c r="A271" s="1" t="n">
        <v>11</v>
      </c>
      <c r="B271" s="32" t="n">
        <f aca="false">INDEX(Surface_Engine!$J$12:$J$72,$A271+1)*IF($A271&lt;$Q$258,INDEX(Surface_Engine!$E$12:$E$72,$A271+1),INDEX(Surface_Engine!$E$12:$E$72,$Q$258+1))</f>
        <v>0.790061919629191</v>
      </c>
      <c r="C271" s="32" t="n">
        <f aca="false">INDEX(Panel_Reserving!$C$8:$C$68,$A271+1)*IF($A271&lt;$Q$258,INDEX(Surface_Engine!$E$12:$E$72,$A271+1),INDEX(Surface_Engine!$E$12:$E$72,$Q$258+1))</f>
        <v>0.802400251189282</v>
      </c>
      <c r="D271" s="32" t="n">
        <f aca="false">INDEX(Surface_Engine!$J$12:$J$72,$A271+1)*IF($A271&lt;$Q$258,INDEX(Surface_Engine!$Y$12:$Y$72,$A271+1),INDEX(Surface_Engine!$Y$12:$Y$72,$Q$258+1))</f>
        <v>0.728998053859943</v>
      </c>
      <c r="E271" s="32" t="n">
        <f aca="false">INDEX(Surface_Engine!$J$12:$J$72,$A271+1)*IF($A271&lt;$Q$258,INDEX(Surface_Engine!$Z$12:$Z$72,$A271+1),INDEX(Surface_Engine!$Z$12:$Z$72,$Q$258+1))</f>
        <v>0.855527283738809</v>
      </c>
      <c r="F271" s="48" t="n">
        <f aca="false">B271*(IF($A271&lt;$Q$258,INDEX(Surface_Engine!$D$12:$D$72,$A271+1)+(Surface_Engine!B239*12)*INDEX(Surface_Engine!$F$12:$F$72,$A271+1)-(Surface_Engine!B239*12),1000*12*INDEX(Surface_Engine!$C$12:$C$72,$A271+1)/(1+Assumptions!$B$10)^12+INDEX(Surface_Engine!$D$12:$D$72,$A271+1)))*INDEX(Surface_Engine!$B$12:$B$72,$A271+1)+F272</f>
        <v>88401.2888396471</v>
      </c>
      <c r="G271" s="48" t="n">
        <f aca="false">C271*(IF($A271&lt;$Q$258,INDEX(Surface_Engine!$D$12:$D$72,$A271+1)+(Surface_Engine!B239*12)*INDEX(Surface_Engine!$F$12:$F$72,$A271+1)-(Surface_Engine!B239*12),1000*12*INDEX(Surface_Engine!$C$12:$C$72,$A271+1)/(1+Assumptions!$B$10)^12+INDEX(Surface_Engine!$D$12:$D$72,$A271+1)))*INDEX(Surface_Engine!$B$12:$B$72,$A271+1)+G272</f>
        <v>98675.3832220639</v>
      </c>
      <c r="H271" s="48" t="n">
        <f aca="false">D271*(IF($A271&lt;$Q$258,INDEX(Surface_Engine!$D$12:$D$72,$A271+1)+(Surface_Engine!B239*12)*INDEX(Surface_Engine!$F$12:$F$72,$A271+1)-(Surface_Engine!B239*12),1000*12*INDEX(Surface_Engine!$C$12:$C$72,$A271+1)/(1+Assumptions!$B$10)^12+INDEX(Surface_Engine!$D$12:$D$72,$A271+1)))*INDEX(Surface_Engine!$B$12:$B$72,$A271+1)+H272</f>
        <v>81164.770935126</v>
      </c>
      <c r="I271" s="48" t="n">
        <f aca="false">E271*(IF($A271&lt;$Q$258,INDEX(Surface_Engine!$D$12:$D$72,$A271+1)+(Surface_Engine!B239*12)*INDEX(Surface_Engine!$F$12:$F$72,$A271+1)-(Surface_Engine!B239*12),1000*12*INDEX(Surface_Engine!$C$12:$C$72,$A271+1)/(1+Assumptions!$B$10)^12+INDEX(Surface_Engine!$D$12:$D$72,$A271+1)))*INDEX(Surface_Engine!$B$12:$B$72,$A271+1)+I272</f>
        <v>96200.4153695433</v>
      </c>
      <c r="J271" s="48" t="n">
        <f aca="false">B271*(IF($A271&lt;$Q$258,INDEX(Surface_Engine!$D$12:$D$72,$A271+1)*(1+Assumptions!$B$24)+(Surface_Engine!B239*12)*INDEX(Surface_Engine!$F$12:$F$72,$A271+1)-(Surface_Engine!B239*12),1000*12*INDEX(Surface_Engine!$C$12:$C$72,$A271+1)/(1+Assumptions!$B$10)^12+INDEX(Surface_Engine!$D$12:$D$72,$A271+1)*(1+Assumptions!$B$24)))*INDEX(Surface_Engine!$B$12:$B$72,$A271+1)+J272</f>
        <v>88498.1443522059</v>
      </c>
      <c r="K271" s="12" t="n">
        <f aca="false">SQRT((IF(C271&lt;=0,0,MAX(0,(B271/C271)*G271/INDEX(Surface_Engine!$B$12:$B$72,$A271+1)-F271/INDEX(Surface_Engine!$B$12:$B$72,$A271+1))))^2+(MAX(IF(D271&lt;=0,0,MAX(0,(B271/D271)*H271/INDEX(Surface_Engine!$B$12:$B$72,$A271+1)-F271/INDEX(Surface_Engine!$B$12:$B$72,$A271+1))),IF(E271&lt;=0,0,MAX(0,(B271/E271)*I271/INDEX(Surface_Engine!$B$12:$B$72,$A271+1)-F271/INDEX(Surface_Engine!$B$12:$B$72,$A271+1))),IF($A271&lt;$Q$258,MAX(0,-Assumptions!$B$22*(F271/INDEX(Surface_Engine!$B$12:$B$72,$A271+1))),0)))^2+(MAX(0,J271/INDEX(Surface_Engine!$B$12:$B$72,$A271+1)-(F271/INDEX(Surface_Engine!$B$12:$B$72,$A271+1))))^2+2*Assumptions!$B$26*(IF(C271&lt;=0,0,MAX(0,(B271/C271)*G271/INDEX(Surface_Engine!$B$12:$B$72,$A271+1)-F271/INDEX(Surface_Engine!$B$12:$B$72,$A271+1))))*(MAX(IF(D271&lt;=0,0,MAX(0,(B271/D271)*H271/INDEX(Surface_Engine!$B$12:$B$72,$A271+1)-F271/INDEX(Surface_Engine!$B$12:$B$72,$A271+1))),IF(E271&lt;=0,0,MAX(0,(B271/E271)*I271/INDEX(Surface_Engine!$B$12:$B$72,$A271+1)-F271/INDEX(Surface_Engine!$B$12:$B$72,$A271+1))),IF($A271&lt;$Q$258,MAX(0,-Assumptions!$B$22*(F271/INDEX(Surface_Engine!$B$12:$B$72,$A271+1))),0)))+2*Assumptions!$B$27*(IF(C271&lt;=0,0,MAX(0,(B271/C271)*G271/INDEX(Surface_Engine!$B$12:$B$72,$A271+1)-F271/INDEX(Surface_Engine!$B$12:$B$72,$A271+1))))*(MAX(0,J271/INDEX(Surface_Engine!$B$12:$B$72,$A271+1)-(F271/INDEX(Surface_Engine!$B$12:$B$72,$A271+1))))+2*Assumptions!$B$28*(MAX(IF(D271&lt;=0,0,MAX(0,(B271/D271)*H271/INDEX(Surface_Engine!$B$12:$B$72,$A271+1)-F271/INDEX(Surface_Engine!$B$12:$B$72,$A271+1))),IF(E271&lt;=0,0,MAX(0,(B271/E271)*I271/INDEX(Surface_Engine!$B$12:$B$72,$A271+1)-F271/INDEX(Surface_Engine!$B$12:$B$72,$A271+1))),IF($A271&lt;$Q$258,MAX(0,-Assumptions!$B$22*(F271/INDEX(Surface_Engine!$B$12:$B$72,$A271+1))),0)))*(MAX(0,J271/INDEX(Surface_Engine!$B$12:$B$72,$A271+1)-(F271/INDEX(Surface_Engine!$B$12:$B$72,$A271+1)))))</f>
        <v>12246.5881986892</v>
      </c>
      <c r="L271" s="48" t="n">
        <f aca="false">K271*INDEX(Surface_Engine!$B$12:$B$72,$A271+1)+L272</f>
        <v>119191.441783803</v>
      </c>
      <c r="M271" s="48" t="n">
        <f aca="false">M270+B270*(IF($A270&lt;$Q$258,(Surface_Engine!B239*12)-(Surface_Engine!B239*12)*INDEX(Surface_Engine!$F$12:$F$72,$A270+1)-INDEX(Surface_Engine!$D$12:$D$72,$A270+1),-(1000*12*INDEX(Surface_Engine!$C$12:$C$72,$A270+1)/(1+Assumptions!$B$10)^12+INDEX(Surface_Engine!$D$12:$D$72,$A270+1))))*INDEX(Surface_Engine!$B$12:$B$72,$A270+1)</f>
        <v>91936.2801040142</v>
      </c>
      <c r="N271" s="12" t="n">
        <f aca="false">IF(B271&lt;=0,0,MAX(0,(K271+Assumptions!$B$29*L271/INDEX(Surface_Engine!$B$12:$B$72,$A271+1)-(M271/INDEX(Surface_Engine!$B$12:$B$72,$A271+1)-(F271/INDEX(Surface_Engine!$B$12:$B$72,$A271+1))))/B271))</f>
        <v>21797.2921259312</v>
      </c>
    </row>
    <row r="272" customFormat="false" ht="15" hidden="false" customHeight="true" outlineLevel="0" collapsed="false">
      <c r="A272" s="1" t="n">
        <v>12</v>
      </c>
      <c r="B272" s="32" t="n">
        <f aca="false">INDEX(Surface_Engine!$J$12:$J$72,$A272+1)*IF($A272&lt;$Q$258,INDEX(Surface_Engine!$E$12:$E$72,$A272+1),INDEX(Surface_Engine!$E$12:$E$72,$Q$258+1))</f>
        <v>0.773080864838231</v>
      </c>
      <c r="C272" s="32" t="n">
        <f aca="false">INDEX(Panel_Reserving!$C$8:$C$68,$A272+1)*IF($A272&lt;$Q$258,INDEX(Surface_Engine!$E$12:$E$72,$A272+1),INDEX(Surface_Engine!$E$12:$E$72,$Q$258+1))</f>
        <v>0.78714288551841</v>
      </c>
      <c r="D272" s="32" t="n">
        <f aca="false">INDEX(Surface_Engine!$J$12:$J$72,$A272+1)*IF($A272&lt;$Q$258,INDEX(Surface_Engine!$Y$12:$Y$72,$A272+1),INDEX(Surface_Engine!$Y$12:$Y$72,$Q$258+1))</f>
        <v>0.710054008654118</v>
      </c>
      <c r="E272" s="32" t="n">
        <f aca="false">INDEX(Surface_Engine!$J$12:$J$72,$A272+1)*IF($A272&lt;$Q$258,INDEX(Surface_Engine!$Z$12:$Z$72,$A272+1),INDEX(Surface_Engine!$Z$12:$Z$72,$Q$258+1))</f>
        <v>0.840983124081626</v>
      </c>
      <c r="F272" s="48" t="n">
        <f aca="false">B272*(IF($A272&lt;$Q$258,INDEX(Surface_Engine!$D$12:$D$72,$A272+1)+(Surface_Engine!B239*12)*INDEX(Surface_Engine!$F$12:$F$72,$A272+1)-(Surface_Engine!B239*12),1000*12*INDEX(Surface_Engine!$C$12:$C$72,$A272+1)/(1+Assumptions!$B$10)^12+INDEX(Surface_Engine!$D$12:$D$72,$A272+1)))*INDEX(Surface_Engine!$B$12:$B$72,$A272+1)+F273</f>
        <v>95349.3912944294</v>
      </c>
      <c r="G272" s="48" t="n">
        <f aca="false">C272*(IF($A272&lt;$Q$258,INDEX(Surface_Engine!$D$12:$D$72,$A272+1)+(Surface_Engine!B239*12)*INDEX(Surface_Engine!$F$12:$F$72,$A272+1)-(Surface_Engine!B239*12),1000*12*INDEX(Surface_Engine!$C$12:$C$72,$A272+1)/(1+Assumptions!$B$10)^12+INDEX(Surface_Engine!$D$12:$D$72,$A272+1)))*INDEX(Surface_Engine!$B$12:$B$72,$A272+1)+G273</f>
        <v>105731.993617389</v>
      </c>
      <c r="H272" s="48" t="n">
        <f aca="false">D272*(IF($A272&lt;$Q$258,INDEX(Surface_Engine!$D$12:$D$72,$A272+1)+(Surface_Engine!B239*12)*INDEX(Surface_Engine!$F$12:$F$72,$A272+1)-(Surface_Engine!B239*12),1000*12*INDEX(Surface_Engine!$C$12:$C$72,$A272+1)/(1+Assumptions!$B$10)^12+INDEX(Surface_Engine!$D$12:$D$72,$A272+1)))*INDEX(Surface_Engine!$B$12:$B$72,$A272+1)+H273</f>
        <v>87575.854727056</v>
      </c>
      <c r="I272" s="48" t="n">
        <f aca="false">E272*(IF($A272&lt;$Q$258,INDEX(Surface_Engine!$D$12:$D$72,$A272+1)+(Surface_Engine!B239*12)*INDEX(Surface_Engine!$F$12:$F$72,$A272+1)-(Surface_Engine!B239*12),1000*12*INDEX(Surface_Engine!$C$12:$C$72,$A272+1)/(1+Assumptions!$B$10)^12+INDEX(Surface_Engine!$D$12:$D$72,$A272+1)))*INDEX(Surface_Engine!$B$12:$B$72,$A272+1)+I273</f>
        <v>103724.244923395</v>
      </c>
      <c r="J272" s="48" t="n">
        <f aca="false">B272*(IF($A272&lt;$Q$258,INDEX(Surface_Engine!$D$12:$D$72,$A272+1)*(1+Assumptions!$B$24)+(Surface_Engine!B239*12)*INDEX(Surface_Engine!$F$12:$F$72,$A272+1)-(Surface_Engine!B239*12),1000*12*INDEX(Surface_Engine!$C$12:$C$72,$A272+1)/(1+Assumptions!$B$10)^12+INDEX(Surface_Engine!$D$12:$D$72,$A272+1)*(1+Assumptions!$B$24)))*INDEX(Surface_Engine!$B$12:$B$72,$A272+1)+J273</f>
        <v>95440.0671368954</v>
      </c>
      <c r="K272" s="12" t="n">
        <f aca="false">SQRT((IF(C272&lt;=0,0,MAX(0,(B272/C272)*G272/INDEX(Surface_Engine!$B$12:$B$72,$A272+1)-F272/INDEX(Surface_Engine!$B$12:$B$72,$A272+1))))^2+(MAX(IF(D272&lt;=0,0,MAX(0,(B272/D272)*H272/INDEX(Surface_Engine!$B$12:$B$72,$A272+1)-F272/INDEX(Surface_Engine!$B$12:$B$72,$A272+1))),IF(E272&lt;=0,0,MAX(0,(B272/E272)*I272/INDEX(Surface_Engine!$B$12:$B$72,$A272+1)-F272/INDEX(Surface_Engine!$B$12:$B$72,$A272+1))),IF($A272&lt;$Q$258,MAX(0,-Assumptions!$B$22*(F272/INDEX(Surface_Engine!$B$12:$B$72,$A272+1))),0)))^2+(MAX(0,J272/INDEX(Surface_Engine!$B$12:$B$72,$A272+1)-(F272/INDEX(Surface_Engine!$B$12:$B$72,$A272+1))))^2+2*Assumptions!$B$26*(IF(C272&lt;=0,0,MAX(0,(B272/C272)*G272/INDEX(Surface_Engine!$B$12:$B$72,$A272+1)-F272/INDEX(Surface_Engine!$B$12:$B$72,$A272+1))))*(MAX(IF(D272&lt;=0,0,MAX(0,(B272/D272)*H272/INDEX(Surface_Engine!$B$12:$B$72,$A272+1)-F272/INDEX(Surface_Engine!$B$12:$B$72,$A272+1))),IF(E272&lt;=0,0,MAX(0,(B272/E272)*I272/INDEX(Surface_Engine!$B$12:$B$72,$A272+1)-F272/INDEX(Surface_Engine!$B$12:$B$72,$A272+1))),IF($A272&lt;$Q$258,MAX(0,-Assumptions!$B$22*(F272/INDEX(Surface_Engine!$B$12:$B$72,$A272+1))),0)))+2*Assumptions!$B$27*(IF(C272&lt;=0,0,MAX(0,(B272/C272)*G272/INDEX(Surface_Engine!$B$12:$B$72,$A272+1)-F272/INDEX(Surface_Engine!$B$12:$B$72,$A272+1))))*(MAX(0,J272/INDEX(Surface_Engine!$B$12:$B$72,$A272+1)-(F272/INDEX(Surface_Engine!$B$12:$B$72,$A272+1))))+2*Assumptions!$B$28*(MAX(IF(D272&lt;=0,0,MAX(0,(B272/D272)*H272/INDEX(Surface_Engine!$B$12:$B$72,$A272+1)-F272/INDEX(Surface_Engine!$B$12:$B$72,$A272+1))),IF(E272&lt;=0,0,MAX(0,(B272/E272)*I272/INDEX(Surface_Engine!$B$12:$B$72,$A272+1)-F272/INDEX(Surface_Engine!$B$12:$B$72,$A272+1))),IF($A272&lt;$Q$258,MAX(0,-Assumptions!$B$22*(F272/INDEX(Surface_Engine!$B$12:$B$72,$A272+1))),0)))*(MAX(0,J272/INDEX(Surface_Engine!$B$12:$B$72,$A272+1)-(F272/INDEX(Surface_Engine!$B$12:$B$72,$A272+1)))))</f>
        <v>12131.6933801628</v>
      </c>
      <c r="L272" s="48" t="n">
        <f aca="false">K272*INDEX(Surface_Engine!$B$12:$B$72,$A272+1)+L273</f>
        <v>110288.307910456</v>
      </c>
      <c r="M272" s="48" t="n">
        <f aca="false">M271+B271*(IF($A271&lt;$Q$258,(Surface_Engine!B239*12)-(Surface_Engine!B239*12)*INDEX(Surface_Engine!$F$12:$F$72,$A271+1)-INDEX(Surface_Engine!$D$12:$D$72,$A271+1),-(1000*12*INDEX(Surface_Engine!$C$12:$C$72,$A271+1)/(1+Assumptions!$B$10)^12+INDEX(Surface_Engine!$D$12:$D$72,$A271+1))))*INDEX(Surface_Engine!$B$12:$B$72,$A271+1)</f>
        <v>98884.3825587965</v>
      </c>
      <c r="N272" s="12" t="n">
        <f aca="false">IF(B272&lt;=0,0,MAX(0,(K272+Assumptions!$B$29*L272/INDEX(Surface_Engine!$B$12:$B$72,$A272+1)-(M272/INDEX(Surface_Engine!$B$12:$B$72,$A272+1)-(F272/INDEX(Surface_Engine!$B$12:$B$72,$A272+1))))/B272))</f>
        <v>21371.9327095953</v>
      </c>
    </row>
    <row r="273" customFormat="false" ht="15" hidden="false" customHeight="true" outlineLevel="0" collapsed="false">
      <c r="A273" s="1" t="n">
        <v>13</v>
      </c>
      <c r="B273" s="32" t="n">
        <f aca="false">INDEX(Surface_Engine!$J$12:$J$72,$A273+1)*IF($A273&lt;$Q$258,INDEX(Surface_Engine!$E$12:$E$72,$A273+1),INDEX(Surface_Engine!$E$12:$E$72,$Q$258+1))</f>
        <v>0.761921227144113</v>
      </c>
      <c r="C273" s="32" t="n">
        <f aca="false">INDEX(Panel_Reserving!$C$8:$C$68,$A273+1)*IF($A273&lt;$Q$258,INDEX(Surface_Engine!$E$12:$E$72,$A273+1),INDEX(Surface_Engine!$E$12:$E$72,$Q$258+1))</f>
        <v>0.778052784013723</v>
      </c>
      <c r="D273" s="32" t="n">
        <f aca="false">INDEX(Surface_Engine!$J$12:$J$72,$A273+1)*IF($A273&lt;$Q$258,INDEX(Surface_Engine!$Y$12:$Y$72,$A273+1),INDEX(Surface_Engine!$Y$12:$Y$72,$Q$258+1))</f>
        <v>0.699804181190734</v>
      </c>
      <c r="E273" s="32" t="n">
        <f aca="false">INDEX(Surface_Engine!$J$12:$J$72,$A273+1)*IF($A273&lt;$Q$258,INDEX(Surface_Engine!$Z$12:$Z$72,$A273+1),INDEX(Surface_Engine!$Z$12:$Z$72,$Q$258+1))</f>
        <v>0.828843298355138</v>
      </c>
      <c r="F273" s="48" t="n">
        <f aca="false">B273*(IF($A273&lt;$Q$258,INDEX(Surface_Engine!$D$12:$D$72,$A273+1)+(Surface_Engine!B239*12)*INDEX(Surface_Engine!$F$12:$F$72,$A273+1)-(Surface_Engine!B239*12),1000*12*INDEX(Surface_Engine!$C$12:$C$72,$A273+1)/(1+Assumptions!$B$10)^12+INDEX(Surface_Engine!$D$12:$D$72,$A273+1)))*INDEX(Surface_Engine!$B$12:$B$72,$A273+1)+F274</f>
        <v>88776.7907476528</v>
      </c>
      <c r="G273" s="48" t="n">
        <f aca="false">C273*(IF($A273&lt;$Q$258,INDEX(Surface_Engine!$D$12:$D$72,$A273+1)+(Surface_Engine!B239*12)*INDEX(Surface_Engine!$F$12:$F$72,$A273+1)-(Surface_Engine!B239*12),1000*12*INDEX(Surface_Engine!$C$12:$C$72,$A273+1)/(1+Assumptions!$B$10)^12+INDEX(Surface_Engine!$D$12:$D$72,$A273+1)))*INDEX(Surface_Engine!$B$12:$B$72,$A273+1)+G274</f>
        <v>99039.8401893879</v>
      </c>
      <c r="H273" s="48" t="n">
        <f aca="false">D273*(IF($A273&lt;$Q$258,INDEX(Surface_Engine!$D$12:$D$72,$A273+1)+(Surface_Engine!B239*12)*INDEX(Surface_Engine!$F$12:$F$72,$A273+1)-(Surface_Engine!B239*12),1000*12*INDEX(Surface_Engine!$C$12:$C$72,$A273+1)/(1+Assumptions!$B$10)^12+INDEX(Surface_Engine!$D$12:$D$72,$A273+1)))*INDEX(Surface_Engine!$B$12:$B$72,$A273+1)+H274</f>
        <v>81539.0976712498</v>
      </c>
      <c r="I273" s="48" t="n">
        <f aca="false">E273*(IF($A273&lt;$Q$258,INDEX(Surface_Engine!$D$12:$D$72,$A273+1)+(Surface_Engine!B239*12)*INDEX(Surface_Engine!$F$12:$F$72,$A273+1)-(Surface_Engine!B239*12),1000*12*INDEX(Surface_Engine!$C$12:$C$72,$A273+1)/(1+Assumptions!$B$10)^12+INDEX(Surface_Engine!$D$12:$D$72,$A273+1)))*INDEX(Surface_Engine!$B$12:$B$72,$A273+1)+I274</f>
        <v>96574.3510473832</v>
      </c>
      <c r="J273" s="48" t="n">
        <f aca="false">B273*(IF($A273&lt;$Q$258,INDEX(Surface_Engine!$D$12:$D$72,$A273+1)*(1+Assumptions!$B$24)+(Surface_Engine!B239*12)*INDEX(Surface_Engine!$F$12:$F$72,$A273+1)-(Surface_Engine!B239*12),1000*12*INDEX(Surface_Engine!$C$12:$C$72,$A273+1)/(1+Assumptions!$B$10)^12+INDEX(Surface_Engine!$D$12:$D$72,$A273+1)*(1+Assumptions!$B$24)))*INDEX(Surface_Engine!$B$12:$B$72,$A273+1)+J274</f>
        <v>88861.481326831</v>
      </c>
      <c r="K273" s="12" t="n">
        <f aca="false">SQRT((IF(C273&lt;=0,0,MAX(0,(B273/C273)*G273/INDEX(Surface_Engine!$B$12:$B$72,$A273+1)-F273/INDEX(Surface_Engine!$B$12:$B$72,$A273+1))))^2+(MAX(IF(D273&lt;=0,0,MAX(0,(B273/D273)*H273/INDEX(Surface_Engine!$B$12:$B$72,$A273+1)-F273/INDEX(Surface_Engine!$B$12:$B$72,$A273+1))),IF(E273&lt;=0,0,MAX(0,(B273/E273)*I273/INDEX(Surface_Engine!$B$12:$B$72,$A273+1)-F273/INDEX(Surface_Engine!$B$12:$B$72,$A273+1))),IF($A273&lt;$Q$258,MAX(0,-Assumptions!$B$22*(F273/INDEX(Surface_Engine!$B$12:$B$72,$A273+1))),0)))^2+(MAX(0,J273/INDEX(Surface_Engine!$B$12:$B$72,$A273+1)-(F273/INDEX(Surface_Engine!$B$12:$B$72,$A273+1))))^2+2*Assumptions!$B$26*(IF(C273&lt;=0,0,MAX(0,(B273/C273)*G273/INDEX(Surface_Engine!$B$12:$B$72,$A273+1)-F273/INDEX(Surface_Engine!$B$12:$B$72,$A273+1))))*(MAX(IF(D273&lt;=0,0,MAX(0,(B273/D273)*H273/INDEX(Surface_Engine!$B$12:$B$72,$A273+1)-F273/INDEX(Surface_Engine!$B$12:$B$72,$A273+1))),IF(E273&lt;=0,0,MAX(0,(B273/E273)*I273/INDEX(Surface_Engine!$B$12:$B$72,$A273+1)-F273/INDEX(Surface_Engine!$B$12:$B$72,$A273+1))),IF($A273&lt;$Q$258,MAX(0,-Assumptions!$B$22*(F273/INDEX(Surface_Engine!$B$12:$B$72,$A273+1))),0)))+2*Assumptions!$B$27*(IF(C273&lt;=0,0,MAX(0,(B273/C273)*G273/INDEX(Surface_Engine!$B$12:$B$72,$A273+1)-F273/INDEX(Surface_Engine!$B$12:$B$72,$A273+1))))*(MAX(0,J273/INDEX(Surface_Engine!$B$12:$B$72,$A273+1)-(F273/INDEX(Surface_Engine!$B$12:$B$72,$A273+1))))+2*Assumptions!$B$28*(MAX(IF(D273&lt;=0,0,MAX(0,(B273/D273)*H273/INDEX(Surface_Engine!$B$12:$B$72,$A273+1)-F273/INDEX(Surface_Engine!$B$12:$B$72,$A273+1))),IF(E273&lt;=0,0,MAX(0,(B273/E273)*I273/INDEX(Surface_Engine!$B$12:$B$72,$A273+1)-F273/INDEX(Surface_Engine!$B$12:$B$72,$A273+1))),IF($A273&lt;$Q$258,MAX(0,-Assumptions!$B$22*(F273/INDEX(Surface_Engine!$B$12:$B$72,$A273+1))),0)))*(MAX(0,J273/INDEX(Surface_Engine!$B$12:$B$72,$A273+1)-(F273/INDEX(Surface_Engine!$B$12:$B$72,$A273+1)))))</f>
        <v>12138.2578371453</v>
      </c>
      <c r="L273" s="48" t="n">
        <f aca="false">K273*INDEX(Surface_Engine!$B$12:$B$72,$A273+1)+L274</f>
        <v>101771.447606516</v>
      </c>
      <c r="M273" s="48" t="n">
        <f aca="false">M272+B272*(IF($A272&lt;$Q$258,(Surface_Engine!B239*12)-(Surface_Engine!B239*12)*INDEX(Surface_Engine!$F$12:$F$72,$A272+1)-INDEX(Surface_Engine!$D$12:$D$72,$A272+1),-(1000*12*INDEX(Surface_Engine!$C$12:$C$72,$A272+1)/(1+Assumptions!$B$10)^12+INDEX(Surface_Engine!$D$12:$D$72,$A272+1))))*INDEX(Surface_Engine!$B$12:$B$72,$A272+1)</f>
        <v>92311.7820120199</v>
      </c>
      <c r="N273" s="12" t="n">
        <f aca="false">IF(B273&lt;=0,0,MAX(0,(K273+Assumptions!$B$29*L273/INDEX(Surface_Engine!$B$12:$B$72,$A273+1)-(M273/INDEX(Surface_Engine!$B$12:$B$72,$A273+1)-(F273/INDEX(Surface_Engine!$B$12:$B$72,$A273+1))))/B273))</f>
        <v>20907.7384492079</v>
      </c>
    </row>
    <row r="274" customFormat="false" ht="15" hidden="false" customHeight="true" outlineLevel="0" collapsed="false">
      <c r="A274" s="1" t="n">
        <v>14</v>
      </c>
      <c r="B274" s="32" t="n">
        <f aca="false">INDEX(Surface_Engine!$J$12:$J$72,$A274+1)*IF($A274&lt;$Q$258,INDEX(Surface_Engine!$E$12:$E$72,$A274+1),INDEX(Surface_Engine!$E$12:$E$72,$Q$258+1))</f>
        <v>0.749639615682653</v>
      </c>
      <c r="C274" s="32" t="n">
        <f aca="false">INDEX(Panel_Reserving!$C$8:$C$68,$A274+1)*IF($A274&lt;$Q$258,INDEX(Surface_Engine!$E$12:$E$72,$A274+1),INDEX(Surface_Engine!$E$12:$E$72,$Q$258+1))</f>
        <v>0.768019471750637</v>
      </c>
      <c r="D274" s="32" t="n">
        <f aca="false">INDEX(Surface_Engine!$J$12:$J$72,$A274+1)*IF($A274&lt;$Q$258,INDEX(Surface_Engine!$Y$12:$Y$72,$A274+1),INDEX(Surface_Engine!$Y$12:$Y$72,$Q$258+1))</f>
        <v>0.688523850959347</v>
      </c>
      <c r="E274" s="32" t="n">
        <f aca="false">INDEX(Surface_Engine!$J$12:$J$72,$A274+1)*IF($A274&lt;$Q$258,INDEX(Surface_Engine!$Z$12:$Z$72,$A274+1),INDEX(Surface_Engine!$Z$12:$Z$72,$Q$258+1))</f>
        <v>0.815482952179999</v>
      </c>
      <c r="F274" s="48" t="n">
        <f aca="false">B274*(IF($A274&lt;$Q$258,INDEX(Surface_Engine!$D$12:$D$72,$A274+1)+(Surface_Engine!B239*12)*INDEX(Surface_Engine!$F$12:$F$72,$A274+1)-(Surface_Engine!B239*12),1000*12*INDEX(Surface_Engine!$C$12:$C$72,$A274+1)/(1+Assumptions!$B$10)^12+INDEX(Surface_Engine!$D$12:$D$72,$A274+1)))*INDEX(Surface_Engine!$B$12:$B$72,$A274+1)+F275</f>
        <v>82394.2828891533</v>
      </c>
      <c r="G274" s="48" t="n">
        <f aca="false">C274*(IF($A274&lt;$Q$258,INDEX(Surface_Engine!$D$12:$D$72,$A274+1)+(Surface_Engine!B239*12)*INDEX(Surface_Engine!$F$12:$F$72,$A274+1)-(Surface_Engine!B239*12),1000*12*INDEX(Surface_Engine!$C$12:$C$72,$A274+1)/(1+Assumptions!$B$10)^12+INDEX(Surface_Engine!$D$12:$D$72,$A274+1)))*INDEX(Surface_Engine!$B$12:$B$72,$A274+1)+G275</f>
        <v>92522.200528778</v>
      </c>
      <c r="H274" s="48" t="n">
        <f aca="false">D274*(IF($A274&lt;$Q$258,INDEX(Surface_Engine!$D$12:$D$72,$A274+1)+(Surface_Engine!B239*12)*INDEX(Surface_Engine!$F$12:$F$72,$A274+1)-(Surface_Engine!B239*12),1000*12*INDEX(Surface_Engine!$C$12:$C$72,$A274+1)/(1+Assumptions!$B$10)^12+INDEX(Surface_Engine!$D$12:$D$72,$A274+1)))*INDEX(Surface_Engine!$B$12:$B$72,$A274+1)+H275</f>
        <v>75676.9356435526</v>
      </c>
      <c r="I274" s="48" t="n">
        <f aca="false">E274*(IF($A274&lt;$Q$258,INDEX(Surface_Engine!$D$12:$D$72,$A274+1)+(Surface_Engine!B239*12)*INDEX(Surface_Engine!$F$12:$F$72,$A274+1)-(Surface_Engine!B239*12),1000*12*INDEX(Surface_Engine!$C$12:$C$72,$A274+1)/(1+Assumptions!$B$10)^12+INDEX(Surface_Engine!$D$12:$D$72,$A274+1)))*INDEX(Surface_Engine!$B$12:$B$72,$A274+1)+I275</f>
        <v>89631.2463316306</v>
      </c>
      <c r="J274" s="48" t="n">
        <f aca="false">B274*(IF($A274&lt;$Q$258,INDEX(Surface_Engine!$D$12:$D$72,$A274+1)*(1+Assumptions!$B$24)+(Surface_Engine!B239*12)*INDEX(Surface_Engine!$F$12:$F$72,$A274+1)-(Surface_Engine!B239*12),1000*12*INDEX(Surface_Engine!$C$12:$C$72,$A274+1)/(1+Assumptions!$B$10)^12+INDEX(Surface_Engine!$D$12:$D$72,$A274+1)*(1+Assumptions!$B$24)))*INDEX(Surface_Engine!$B$12:$B$72,$A274+1)+J275</f>
        <v>82473.1330805111</v>
      </c>
      <c r="K274" s="12" t="n">
        <f aca="false">SQRT((IF(C274&lt;=0,0,MAX(0,(B274/C274)*G274/INDEX(Surface_Engine!$B$12:$B$72,$A274+1)-F274/INDEX(Surface_Engine!$B$12:$B$72,$A274+1))))^2+(MAX(IF(D274&lt;=0,0,MAX(0,(B274/D274)*H274/INDEX(Surface_Engine!$B$12:$B$72,$A274+1)-F274/INDEX(Surface_Engine!$B$12:$B$72,$A274+1))),IF(E274&lt;=0,0,MAX(0,(B274/E274)*I274/INDEX(Surface_Engine!$B$12:$B$72,$A274+1)-F274/INDEX(Surface_Engine!$B$12:$B$72,$A274+1))),IF($A274&lt;$Q$258,MAX(0,-Assumptions!$B$22*(F274/INDEX(Surface_Engine!$B$12:$B$72,$A274+1))),0)))^2+(MAX(0,J274/INDEX(Surface_Engine!$B$12:$B$72,$A274+1)-(F274/INDEX(Surface_Engine!$B$12:$B$72,$A274+1))))^2+2*Assumptions!$B$26*(IF(C274&lt;=0,0,MAX(0,(B274/C274)*G274/INDEX(Surface_Engine!$B$12:$B$72,$A274+1)-F274/INDEX(Surface_Engine!$B$12:$B$72,$A274+1))))*(MAX(IF(D274&lt;=0,0,MAX(0,(B274/D274)*H274/INDEX(Surface_Engine!$B$12:$B$72,$A274+1)-F274/INDEX(Surface_Engine!$B$12:$B$72,$A274+1))),IF(E274&lt;=0,0,MAX(0,(B274/E274)*I274/INDEX(Surface_Engine!$B$12:$B$72,$A274+1)-F274/INDEX(Surface_Engine!$B$12:$B$72,$A274+1))),IF($A274&lt;$Q$258,MAX(0,-Assumptions!$B$22*(F274/INDEX(Surface_Engine!$B$12:$B$72,$A274+1))),0)))+2*Assumptions!$B$27*(IF(C274&lt;=0,0,MAX(0,(B274/C274)*G274/INDEX(Surface_Engine!$B$12:$B$72,$A274+1)-F274/INDEX(Surface_Engine!$B$12:$B$72,$A274+1))))*(MAX(0,J274/INDEX(Surface_Engine!$B$12:$B$72,$A274+1)-(F274/INDEX(Surface_Engine!$B$12:$B$72,$A274+1))))+2*Assumptions!$B$28*(MAX(IF(D274&lt;=0,0,MAX(0,(B274/D274)*H274/INDEX(Surface_Engine!$B$12:$B$72,$A274+1)-F274/INDEX(Surface_Engine!$B$12:$B$72,$A274+1))),IF(E274&lt;=0,0,MAX(0,(B274/E274)*I274/INDEX(Surface_Engine!$B$12:$B$72,$A274+1)-F274/INDEX(Surface_Engine!$B$12:$B$72,$A274+1))),IF($A274&lt;$Q$258,MAX(0,-Assumptions!$B$22*(F274/INDEX(Surface_Engine!$B$12:$B$72,$A274+1))),0)))*(MAX(0,J274/INDEX(Surface_Engine!$B$12:$B$72,$A274+1)-(F274/INDEX(Surface_Engine!$B$12:$B$72,$A274+1)))))</f>
        <v>12103.7603548073</v>
      </c>
      <c r="L274" s="48" t="n">
        <f aca="false">K274*INDEX(Surface_Engine!$B$12:$B$72,$A274+1)+L275</f>
        <v>93540.2340526575</v>
      </c>
      <c r="M274" s="48" t="n">
        <f aca="false">M273+B273*(IF($A273&lt;$Q$258,(Surface_Engine!B239*12)-(Surface_Engine!B239*12)*INDEX(Surface_Engine!$F$12:$F$72,$A273+1)-INDEX(Surface_Engine!$D$12:$D$72,$A273+1),-(1000*12*INDEX(Surface_Engine!$C$12:$C$72,$A273+1)/(1+Assumptions!$B$10)^12+INDEX(Surface_Engine!$D$12:$D$72,$A273+1))))*INDEX(Surface_Engine!$B$12:$B$72,$A273+1)</f>
        <v>85929.2741535204</v>
      </c>
      <c r="N274" s="12" t="n">
        <f aca="false">IF(B274&lt;=0,0,MAX(0,(K274+Assumptions!$B$29*L274/INDEX(Surface_Engine!$B$12:$B$72,$A274+1)-(M274/INDEX(Surface_Engine!$B$12:$B$72,$A274+1)-(F274/INDEX(Surface_Engine!$B$12:$B$72,$A274+1))))/B274))</f>
        <v>20373.8748266066</v>
      </c>
    </row>
    <row r="275" customFormat="false" ht="15" hidden="false" customHeight="true" outlineLevel="0" collapsed="false">
      <c r="A275" s="1" t="n">
        <v>15</v>
      </c>
      <c r="B275" s="32" t="n">
        <f aca="false">INDEX(Surface_Engine!$J$12:$J$72,$A275+1)*IF($A275&lt;$Q$258,INDEX(Surface_Engine!$E$12:$E$72,$A275+1),INDEX(Surface_Engine!$E$12:$E$72,$Q$258+1))</f>
        <v>0.736125688279906</v>
      </c>
      <c r="C275" s="32" t="n">
        <f aca="false">INDEX(Panel_Reserving!$C$8:$C$68,$A275+1)*IF($A275&lt;$Q$258,INDEX(Surface_Engine!$E$12:$E$72,$A275+1),INDEX(Surface_Engine!$E$12:$E$72,$Q$258+1))</f>
        <v>0.756943259482231</v>
      </c>
      <c r="D275" s="32" t="n">
        <f aca="false">INDEX(Surface_Engine!$J$12:$J$72,$A275+1)*IF($A275&lt;$Q$258,INDEX(Surface_Engine!$Y$12:$Y$72,$A275+1),INDEX(Surface_Engine!$Y$12:$Y$72,$Q$258+1))</f>
        <v>0.676111671637085</v>
      </c>
      <c r="E275" s="32" t="n">
        <f aca="false">INDEX(Surface_Engine!$J$12:$J$72,$A275+1)*IF($A275&lt;$Q$258,INDEX(Surface_Engine!$Z$12:$Z$72,$A275+1),INDEX(Surface_Engine!$Z$12:$Z$72,$Q$258+1))</f>
        <v>0.800782051662751</v>
      </c>
      <c r="F275" s="48" t="n">
        <f aca="false">B275*(IF($A275&lt;$Q$258,INDEX(Surface_Engine!$D$12:$D$72,$A275+1)+(Surface_Engine!B239*12)*INDEX(Surface_Engine!$F$12:$F$72,$A275+1)-(Surface_Engine!B239*12),1000*12*INDEX(Surface_Engine!$C$12:$C$72,$A275+1)/(1+Assumptions!$B$10)^12+INDEX(Surface_Engine!$D$12:$D$72,$A275+1)))*INDEX(Surface_Engine!$B$12:$B$72,$A275+1)+F276</f>
        <v>76202.6237972659</v>
      </c>
      <c r="G275" s="48" t="n">
        <f aca="false">C275*(IF($A275&lt;$Q$258,INDEX(Surface_Engine!$D$12:$D$72,$A275+1)+(Surface_Engine!B239*12)*INDEX(Surface_Engine!$F$12:$F$72,$A275+1)-(Surface_Engine!B239*12),1000*12*INDEX(Surface_Engine!$C$12:$C$72,$A275+1)/(1+Assumptions!$B$10)^12+INDEX(Surface_Engine!$D$12:$D$72,$A275+1)))*INDEX(Surface_Engine!$B$12:$B$72,$A275+1)+G276</f>
        <v>86178.7327536912</v>
      </c>
      <c r="H275" s="48" t="n">
        <f aca="false">D275*(IF($A275&lt;$Q$258,INDEX(Surface_Engine!$D$12:$D$72,$A275+1)+(Surface_Engine!B239*12)*INDEX(Surface_Engine!$F$12:$F$72,$A275+1)-(Surface_Engine!B239*12),1000*12*INDEX(Surface_Engine!$C$12:$C$72,$A275+1)/(1+Assumptions!$B$10)^12+INDEX(Surface_Engine!$D$12:$D$72,$A275+1)))*INDEX(Surface_Engine!$B$12:$B$72,$A275+1)+H276</f>
        <v>69990.0630816061</v>
      </c>
      <c r="I275" s="48" t="n">
        <f aca="false">E275*(IF($A275&lt;$Q$258,INDEX(Surface_Engine!$D$12:$D$72,$A275+1)+(Surface_Engine!B239*12)*INDEX(Surface_Engine!$F$12:$F$72,$A275+1)-(Surface_Engine!B239*12),1000*12*INDEX(Surface_Engine!$C$12:$C$72,$A275+1)/(1+Assumptions!$B$10)^12+INDEX(Surface_Engine!$D$12:$D$72,$A275+1)))*INDEX(Surface_Engine!$B$12:$B$72,$A275+1)+I276</f>
        <v>82895.7532633427</v>
      </c>
      <c r="J275" s="48" t="n">
        <f aca="false">B275*(IF($A275&lt;$Q$258,INDEX(Surface_Engine!$D$12:$D$72,$A275+1)*(1+Assumptions!$B$24)+(Surface_Engine!B239*12)*INDEX(Surface_Engine!$F$12:$F$72,$A275+1)-(Surface_Engine!B239*12),1000*12*INDEX(Surface_Engine!$C$12:$C$72,$A275+1)/(1+Assumptions!$B$10)^12+INDEX(Surface_Engine!$D$12:$D$72,$A275+1)*(1+Assumptions!$B$24)))*INDEX(Surface_Engine!$B$12:$B$72,$A275+1)+J276</f>
        <v>76275.7807212754</v>
      </c>
      <c r="K275" s="12" t="n">
        <f aca="false">SQRT((IF(C275&lt;=0,0,MAX(0,(B275/C275)*G275/INDEX(Surface_Engine!$B$12:$B$72,$A275+1)-F275/INDEX(Surface_Engine!$B$12:$B$72,$A275+1))))^2+(MAX(IF(D275&lt;=0,0,MAX(0,(B275/D275)*H275/INDEX(Surface_Engine!$B$12:$B$72,$A275+1)-F275/INDEX(Surface_Engine!$B$12:$B$72,$A275+1))),IF(E275&lt;=0,0,MAX(0,(B275/E275)*I275/INDEX(Surface_Engine!$B$12:$B$72,$A275+1)-F275/INDEX(Surface_Engine!$B$12:$B$72,$A275+1))),IF($A275&lt;$Q$258,MAX(0,-Assumptions!$B$22*(F275/INDEX(Surface_Engine!$B$12:$B$72,$A275+1))),0)))^2+(MAX(0,J275/INDEX(Surface_Engine!$B$12:$B$72,$A275+1)-(F275/INDEX(Surface_Engine!$B$12:$B$72,$A275+1))))^2+2*Assumptions!$B$26*(IF(C275&lt;=0,0,MAX(0,(B275/C275)*G275/INDEX(Surface_Engine!$B$12:$B$72,$A275+1)-F275/INDEX(Surface_Engine!$B$12:$B$72,$A275+1))))*(MAX(IF(D275&lt;=0,0,MAX(0,(B275/D275)*H275/INDEX(Surface_Engine!$B$12:$B$72,$A275+1)-F275/INDEX(Surface_Engine!$B$12:$B$72,$A275+1))),IF(E275&lt;=0,0,MAX(0,(B275/E275)*I275/INDEX(Surface_Engine!$B$12:$B$72,$A275+1)-F275/INDEX(Surface_Engine!$B$12:$B$72,$A275+1))),IF($A275&lt;$Q$258,MAX(0,-Assumptions!$B$22*(F275/INDEX(Surface_Engine!$B$12:$B$72,$A275+1))),0)))+2*Assumptions!$B$27*(IF(C275&lt;=0,0,MAX(0,(B275/C275)*G275/INDEX(Surface_Engine!$B$12:$B$72,$A275+1)-F275/INDEX(Surface_Engine!$B$12:$B$72,$A275+1))))*(MAX(0,J275/INDEX(Surface_Engine!$B$12:$B$72,$A275+1)-(F275/INDEX(Surface_Engine!$B$12:$B$72,$A275+1))))+2*Assumptions!$B$28*(MAX(IF(D275&lt;=0,0,MAX(0,(B275/D275)*H275/INDEX(Surface_Engine!$B$12:$B$72,$A275+1)-F275/INDEX(Surface_Engine!$B$12:$B$72,$A275+1))),IF(E275&lt;=0,0,MAX(0,(B275/E275)*I275/INDEX(Surface_Engine!$B$12:$B$72,$A275+1)-F275/INDEX(Surface_Engine!$B$12:$B$72,$A275+1))),IF($A275&lt;$Q$258,MAX(0,-Assumptions!$B$22*(F275/INDEX(Surface_Engine!$B$12:$B$72,$A275+1))),0)))*(MAX(0,J275/INDEX(Surface_Engine!$B$12:$B$72,$A275+1)-(F275/INDEX(Surface_Engine!$B$12:$B$72,$A275+1)))))</f>
        <v>12065.3750373871</v>
      </c>
      <c r="L275" s="48" t="n">
        <f aca="false">K275*INDEX(Surface_Engine!$B$12:$B$72,$A275+1)+L276</f>
        <v>85606.4313297157</v>
      </c>
      <c r="M275" s="48" t="n">
        <f aca="false">M274+B274*(IF($A274&lt;$Q$258,(Surface_Engine!B239*12)-(Surface_Engine!B239*12)*INDEX(Surface_Engine!$F$12:$F$72,$A274+1)-INDEX(Surface_Engine!$D$12:$D$72,$A274+1),-(1000*12*INDEX(Surface_Engine!$C$12:$C$72,$A274+1)/(1+Assumptions!$B$10)^12+INDEX(Surface_Engine!$D$12:$D$72,$A274+1))))*INDEX(Surface_Engine!$B$12:$B$72,$A274+1)</f>
        <v>79737.615061633</v>
      </c>
      <c r="N275" s="12" t="n">
        <f aca="false">IF(B275&lt;=0,0,MAX(0,(K275+Assumptions!$B$29*L275/INDEX(Surface_Engine!$B$12:$B$72,$A275+1)-(M275/INDEX(Surface_Engine!$B$12:$B$72,$A275+1)-(F275/INDEX(Surface_Engine!$B$12:$B$72,$A275+1))))/B275))</f>
        <v>19832.8316052146</v>
      </c>
    </row>
    <row r="276" customFormat="false" ht="15" hidden="false" customHeight="true" outlineLevel="0" collapsed="false">
      <c r="A276" s="1" t="n">
        <v>16</v>
      </c>
      <c r="B276" s="32" t="n">
        <f aca="false">INDEX(Surface_Engine!$J$12:$J$72,$A276+1)*IF($A276&lt;$Q$258,INDEX(Surface_Engine!$E$12:$E$72,$A276+1),INDEX(Surface_Engine!$E$12:$E$72,$Q$258+1))</f>
        <v>0.721265638507884</v>
      </c>
      <c r="C276" s="32" t="n">
        <f aca="false">INDEX(Panel_Reserving!$C$8:$C$68,$A276+1)*IF($A276&lt;$Q$258,INDEX(Surface_Engine!$E$12:$E$72,$A276+1),INDEX(Surface_Engine!$E$12:$E$72,$Q$258+1))</f>
        <v>0.744719026920222</v>
      </c>
      <c r="D276" s="32" t="n">
        <f aca="false">INDEX(Surface_Engine!$J$12:$J$72,$A276+1)*IF($A276&lt;$Q$258,INDEX(Surface_Engine!$Y$12:$Y$72,$A276+1),INDEX(Surface_Engine!$Y$12:$Y$72,$Q$258+1))</f>
        <v>0.662463115076793</v>
      </c>
      <c r="E276" s="32" t="n">
        <f aca="false">INDEX(Surface_Engine!$J$12:$J$72,$A276+1)*IF($A276&lt;$Q$258,INDEX(Surface_Engine!$Z$12:$Z$72,$A276+1),INDEX(Surface_Engine!$Z$12:$Z$72,$Q$258+1))</f>
        <v>0.784616794378963</v>
      </c>
      <c r="F276" s="48" t="n">
        <f aca="false">B276*(IF($A276&lt;$Q$258,INDEX(Surface_Engine!$D$12:$D$72,$A276+1)+(Surface_Engine!B239*12)*INDEX(Surface_Engine!$F$12:$F$72,$A276+1)-(Surface_Engine!B239*12),1000*12*INDEX(Surface_Engine!$C$12:$C$72,$A276+1)/(1+Assumptions!$B$10)^12+INDEX(Surface_Engine!$D$12:$D$72,$A276+1)))*INDEX(Surface_Engine!$B$12:$B$72,$A276+1)+F277</f>
        <v>70223.4265039371</v>
      </c>
      <c r="G276" s="48" t="n">
        <f aca="false">C276*(IF($A276&lt;$Q$258,INDEX(Surface_Engine!$D$12:$D$72,$A276+1)+(Surface_Engine!B239*12)*INDEX(Surface_Engine!$F$12:$F$72,$A276+1)-(Surface_Engine!B239*12),1000*12*INDEX(Surface_Engine!$C$12:$C$72,$A276+1)/(1+Assumptions!$B$10)^12+INDEX(Surface_Engine!$D$12:$D$72,$A276+1)))*INDEX(Surface_Engine!$B$12:$B$72,$A276+1)+G277</f>
        <v>80030.4442747559</v>
      </c>
      <c r="H276" s="48" t="n">
        <f aca="false">D276*(IF($A276&lt;$Q$258,INDEX(Surface_Engine!$D$12:$D$72,$A276+1)+(Surface_Engine!B239*12)*INDEX(Surface_Engine!$F$12:$F$72,$A276+1)-(Surface_Engine!B239*12),1000*12*INDEX(Surface_Engine!$C$12:$C$72,$A276+1)/(1+Assumptions!$B$10)^12+INDEX(Surface_Engine!$D$12:$D$72,$A276+1)))*INDEX(Surface_Engine!$B$12:$B$72,$A276+1)+H277</f>
        <v>64498.3309747063</v>
      </c>
      <c r="I276" s="48" t="n">
        <f aca="false">E276*(IF($A276&lt;$Q$258,INDEX(Surface_Engine!$D$12:$D$72,$A276+1)+(Surface_Engine!B239*12)*INDEX(Surface_Engine!$F$12:$F$72,$A276+1)-(Surface_Engine!B239*12),1000*12*INDEX(Surface_Engine!$C$12:$C$72,$A276+1)/(1+Assumptions!$B$10)^12+INDEX(Surface_Engine!$D$12:$D$72,$A276+1)))*INDEX(Surface_Engine!$B$12:$B$72,$A276+1)+I277</f>
        <v>76391.3832188244</v>
      </c>
      <c r="J276" s="48" t="n">
        <f aca="false">B276*(IF($A276&lt;$Q$258,INDEX(Surface_Engine!$D$12:$D$72,$A276+1)*(1+Assumptions!$B$24)+(Surface_Engine!B239*12)*INDEX(Surface_Engine!$F$12:$F$72,$A276+1)-(Surface_Engine!B239*12),1000*12*INDEX(Surface_Engine!$C$12:$C$72,$A276+1)/(1+Assumptions!$B$10)^12+INDEX(Surface_Engine!$D$12:$D$72,$A276+1)*(1+Assumptions!$B$24)))*INDEX(Surface_Engine!$B$12:$B$72,$A276+1)+J277</f>
        <v>70291.0588189738</v>
      </c>
      <c r="K276" s="12" t="n">
        <f aca="false">SQRT((IF(C276&lt;=0,0,MAX(0,(B276/C276)*G276/INDEX(Surface_Engine!$B$12:$B$72,$A276+1)-F276/INDEX(Surface_Engine!$B$12:$B$72,$A276+1))))^2+(MAX(IF(D276&lt;=0,0,MAX(0,(B276/D276)*H276/INDEX(Surface_Engine!$B$12:$B$72,$A276+1)-F276/INDEX(Surface_Engine!$B$12:$B$72,$A276+1))),IF(E276&lt;=0,0,MAX(0,(B276/E276)*I276/INDEX(Surface_Engine!$B$12:$B$72,$A276+1)-F276/INDEX(Surface_Engine!$B$12:$B$72,$A276+1))),IF($A276&lt;$Q$258,MAX(0,-Assumptions!$B$22*(F276/INDEX(Surface_Engine!$B$12:$B$72,$A276+1))),0)))^2+(MAX(0,J276/INDEX(Surface_Engine!$B$12:$B$72,$A276+1)-(F276/INDEX(Surface_Engine!$B$12:$B$72,$A276+1))))^2+2*Assumptions!$B$26*(IF(C276&lt;=0,0,MAX(0,(B276/C276)*G276/INDEX(Surface_Engine!$B$12:$B$72,$A276+1)-F276/INDEX(Surface_Engine!$B$12:$B$72,$A276+1))))*(MAX(IF(D276&lt;=0,0,MAX(0,(B276/D276)*H276/INDEX(Surface_Engine!$B$12:$B$72,$A276+1)-F276/INDEX(Surface_Engine!$B$12:$B$72,$A276+1))),IF(E276&lt;=0,0,MAX(0,(B276/E276)*I276/INDEX(Surface_Engine!$B$12:$B$72,$A276+1)-F276/INDEX(Surface_Engine!$B$12:$B$72,$A276+1))),IF($A276&lt;$Q$258,MAX(0,-Assumptions!$B$22*(F276/INDEX(Surface_Engine!$B$12:$B$72,$A276+1))),0)))+2*Assumptions!$B$27*(IF(C276&lt;=0,0,MAX(0,(B276/C276)*G276/INDEX(Surface_Engine!$B$12:$B$72,$A276+1)-F276/INDEX(Surface_Engine!$B$12:$B$72,$A276+1))))*(MAX(0,J276/INDEX(Surface_Engine!$B$12:$B$72,$A276+1)-(F276/INDEX(Surface_Engine!$B$12:$B$72,$A276+1))))+2*Assumptions!$B$28*(MAX(IF(D276&lt;=0,0,MAX(0,(B276/D276)*H276/INDEX(Surface_Engine!$B$12:$B$72,$A276+1)-F276/INDEX(Surface_Engine!$B$12:$B$72,$A276+1))),IF(E276&lt;=0,0,MAX(0,(B276/E276)*I276/INDEX(Surface_Engine!$B$12:$B$72,$A276+1)-F276/INDEX(Surface_Engine!$B$12:$B$72,$A276+1))),IF($A276&lt;$Q$258,MAX(0,-Assumptions!$B$22*(F276/INDEX(Surface_Engine!$B$12:$B$72,$A276+1))),0)))*(MAX(0,J276/INDEX(Surface_Engine!$B$12:$B$72,$A276+1)-(F276/INDEX(Surface_Engine!$B$12:$B$72,$A276+1)))))</f>
        <v>11976.1455826635</v>
      </c>
      <c r="L276" s="48" t="n">
        <f aca="false">K276*INDEX(Surface_Engine!$B$12:$B$72,$A276+1)+L277</f>
        <v>77981.8050128139</v>
      </c>
      <c r="M276" s="48" t="n">
        <f aca="false">M275+B275*(IF($A275&lt;$Q$258,(Surface_Engine!B239*12)-(Surface_Engine!B239*12)*INDEX(Surface_Engine!$F$12:$F$72,$A275+1)-INDEX(Surface_Engine!$D$12:$D$72,$A275+1),-(1000*12*INDEX(Surface_Engine!$C$12:$C$72,$A275+1)/(1+Assumptions!$B$10)^12+INDEX(Surface_Engine!$D$12:$D$72,$A275+1))))*INDEX(Surface_Engine!$B$12:$B$72,$A275+1)</f>
        <v>73758.4177683042</v>
      </c>
      <c r="N276" s="12" t="n">
        <f aca="false">IF(B276&lt;=0,0,MAX(0,(K276+Assumptions!$B$29*L276/INDEX(Surface_Engine!$B$12:$B$72,$A276+1)-(M276/INDEX(Surface_Engine!$B$12:$B$72,$A276+1)-(F276/INDEX(Surface_Engine!$B$12:$B$72,$A276+1))))/B276))</f>
        <v>19204.9023104274</v>
      </c>
    </row>
    <row r="277" customFormat="false" ht="15" hidden="false" customHeight="true" outlineLevel="0" collapsed="false">
      <c r="A277" s="1" t="n">
        <v>17</v>
      </c>
      <c r="B277" s="32" t="n">
        <f aca="false">INDEX(Surface_Engine!$J$12:$J$72,$A277+1)*IF($A277&lt;$Q$258,INDEX(Surface_Engine!$E$12:$E$72,$A277+1),INDEX(Surface_Engine!$E$12:$E$72,$Q$258+1))</f>
        <v>0.704944680924198</v>
      </c>
      <c r="C277" s="32" t="n">
        <f aca="false">INDEX(Panel_Reserving!$C$8:$C$68,$A277+1)*IF($A277&lt;$Q$258,INDEX(Surface_Engine!$E$12:$E$72,$A277+1),INDEX(Surface_Engine!$E$12:$E$72,$Q$258+1))</f>
        <v>0.731237694106117</v>
      </c>
      <c r="D277" s="32" t="n">
        <f aca="false">INDEX(Surface_Engine!$J$12:$J$72,$A277+1)*IF($A277&lt;$Q$258,INDEX(Surface_Engine!$Y$12:$Y$72,$A277+1),INDEX(Surface_Engine!$Y$12:$Y$72,$Q$258+1))</f>
        <v>0.647472753932884</v>
      </c>
      <c r="E277" s="32" t="n">
        <f aca="false">INDEX(Surface_Engine!$J$12:$J$72,$A277+1)*IF($A277&lt;$Q$258,INDEX(Surface_Engine!$Z$12:$Z$72,$A277+1),INDEX(Surface_Engine!$Z$12:$Z$72,$Q$258+1))</f>
        <v>0.766862312899714</v>
      </c>
      <c r="F277" s="48" t="n">
        <f aca="false">B277*(IF($A277&lt;$Q$258,INDEX(Surface_Engine!$D$12:$D$72,$A277+1)+(Surface_Engine!B239*12)*INDEX(Surface_Engine!$F$12:$F$72,$A277+1)-(Surface_Engine!B239*12),1000*12*INDEX(Surface_Engine!$C$12:$C$72,$A277+1)/(1+Assumptions!$B$10)^12+INDEX(Surface_Engine!$D$12:$D$72,$A277+1)))*INDEX(Surface_Engine!$B$12:$B$72,$A277+1)+F278</f>
        <v>64456.2718743611</v>
      </c>
      <c r="G277" s="48" t="n">
        <f aca="false">C277*(IF($A277&lt;$Q$258,INDEX(Surface_Engine!$D$12:$D$72,$A277+1)+(Surface_Engine!B239*12)*INDEX(Surface_Engine!$F$12:$F$72,$A277+1)-(Surface_Engine!B239*12),1000*12*INDEX(Surface_Engine!$C$12:$C$72,$A277+1)/(1+Assumptions!$B$10)^12+INDEX(Surface_Engine!$D$12:$D$72,$A277+1)))*INDEX(Surface_Engine!$B$12:$B$72,$A277+1)+G278</f>
        <v>74075.759128904</v>
      </c>
      <c r="H277" s="48" t="n">
        <f aca="false">D277*(IF($A277&lt;$Q$258,INDEX(Surface_Engine!$D$12:$D$72,$A277+1)+(Surface_Engine!B239*12)*INDEX(Surface_Engine!$F$12:$F$72,$A277+1)-(Surface_Engine!B239*12),1000*12*INDEX(Surface_Engine!$C$12:$C$72,$A277+1)/(1+Assumptions!$B$10)^12+INDEX(Surface_Engine!$D$12:$D$72,$A277+1)))*INDEX(Surface_Engine!$B$12:$B$72,$A277+1)+H278</f>
        <v>59201.3543587924</v>
      </c>
      <c r="I277" s="48" t="n">
        <f aca="false">E277*(IF($A277&lt;$Q$258,INDEX(Surface_Engine!$D$12:$D$72,$A277+1)+(Surface_Engine!B239*12)*INDEX(Surface_Engine!$F$12:$F$72,$A277+1)-(Surface_Engine!B239*12),1000*12*INDEX(Surface_Engine!$C$12:$C$72,$A277+1)/(1+Assumptions!$B$10)^12+INDEX(Surface_Engine!$D$12:$D$72,$A277+1)))*INDEX(Surface_Engine!$B$12:$B$72,$A277+1)+I278</f>
        <v>70117.6802492683</v>
      </c>
      <c r="J277" s="48" t="n">
        <f aca="false">B277*(IF($A277&lt;$Q$258,INDEX(Surface_Engine!$D$12:$D$72,$A277+1)*(1+Assumptions!$B$24)+(Surface_Engine!B239*12)*INDEX(Surface_Engine!$F$12:$F$72,$A277+1)-(Surface_Engine!B239*12),1000*12*INDEX(Surface_Engine!$C$12:$C$72,$A277+1)/(1+Assumptions!$B$10)^12+INDEX(Surface_Engine!$D$12:$D$72,$A277+1)*(1+Assumptions!$B$24)))*INDEX(Surface_Engine!$B$12:$B$72,$A277+1)+J278</f>
        <v>64518.5496233468</v>
      </c>
      <c r="K277" s="12" t="n">
        <f aca="false">SQRT((IF(C277&lt;=0,0,MAX(0,(B277/C277)*G277/INDEX(Surface_Engine!$B$12:$B$72,$A277+1)-F277/INDEX(Surface_Engine!$B$12:$B$72,$A277+1))))^2+(MAX(IF(D277&lt;=0,0,MAX(0,(B277/D277)*H277/INDEX(Surface_Engine!$B$12:$B$72,$A277+1)-F277/INDEX(Surface_Engine!$B$12:$B$72,$A277+1))),IF(E277&lt;=0,0,MAX(0,(B277/E277)*I277/INDEX(Surface_Engine!$B$12:$B$72,$A277+1)-F277/INDEX(Surface_Engine!$B$12:$B$72,$A277+1))),IF($A277&lt;$Q$258,MAX(0,-Assumptions!$B$22*(F277/INDEX(Surface_Engine!$B$12:$B$72,$A277+1))),0)))^2+(MAX(0,J277/INDEX(Surface_Engine!$B$12:$B$72,$A277+1)-(F277/INDEX(Surface_Engine!$B$12:$B$72,$A277+1))))^2+2*Assumptions!$B$26*(IF(C277&lt;=0,0,MAX(0,(B277/C277)*G277/INDEX(Surface_Engine!$B$12:$B$72,$A277+1)-F277/INDEX(Surface_Engine!$B$12:$B$72,$A277+1))))*(MAX(IF(D277&lt;=0,0,MAX(0,(B277/D277)*H277/INDEX(Surface_Engine!$B$12:$B$72,$A277+1)-F277/INDEX(Surface_Engine!$B$12:$B$72,$A277+1))),IF(E277&lt;=0,0,MAX(0,(B277/E277)*I277/INDEX(Surface_Engine!$B$12:$B$72,$A277+1)-F277/INDEX(Surface_Engine!$B$12:$B$72,$A277+1))),IF($A277&lt;$Q$258,MAX(0,-Assumptions!$B$22*(F277/INDEX(Surface_Engine!$B$12:$B$72,$A277+1))),0)))+2*Assumptions!$B$27*(IF(C277&lt;=0,0,MAX(0,(B277/C277)*G277/INDEX(Surface_Engine!$B$12:$B$72,$A277+1)-F277/INDEX(Surface_Engine!$B$12:$B$72,$A277+1))))*(MAX(0,J277/INDEX(Surface_Engine!$B$12:$B$72,$A277+1)-(F277/INDEX(Surface_Engine!$B$12:$B$72,$A277+1))))+2*Assumptions!$B$28*(MAX(IF(D277&lt;=0,0,MAX(0,(B277/D277)*H277/INDEX(Surface_Engine!$B$12:$B$72,$A277+1)-F277/INDEX(Surface_Engine!$B$12:$B$72,$A277+1))),IF(E277&lt;=0,0,MAX(0,(B277/E277)*I277/INDEX(Surface_Engine!$B$12:$B$72,$A277+1)-F277/INDEX(Surface_Engine!$B$12:$B$72,$A277+1))),IF($A277&lt;$Q$258,MAX(0,-Assumptions!$B$22*(F277/INDEX(Surface_Engine!$B$12:$B$72,$A277+1))),0)))*(MAX(0,J277/INDEX(Surface_Engine!$B$12:$B$72,$A277+1)-(F277/INDEX(Surface_Engine!$B$12:$B$72,$A277+1)))))</f>
        <v>11823.6185894705</v>
      </c>
      <c r="L277" s="48" t="n">
        <f aca="false">K277*INDEX(Surface_Engine!$B$12:$B$72,$A277+1)+L278</f>
        <v>70677.9792294018</v>
      </c>
      <c r="M277" s="48" t="n">
        <f aca="false">M276+B276*(IF($A276&lt;$Q$258,(Surface_Engine!B239*12)-(Surface_Engine!B239*12)*INDEX(Surface_Engine!$F$12:$F$72,$A276+1)-INDEX(Surface_Engine!$D$12:$D$72,$A276+1),-(1000*12*INDEX(Surface_Engine!$C$12:$C$72,$A276+1)/(1+Assumptions!$B$10)^12+INDEX(Surface_Engine!$D$12:$D$72,$A276+1))))*INDEX(Surface_Engine!$B$12:$B$72,$A276+1)</f>
        <v>67991.2631387282</v>
      </c>
      <c r="N277" s="12" t="n">
        <f aca="false">IF(B277&lt;=0,0,MAX(0,(K277+Assumptions!$B$29*L277/INDEX(Surface_Engine!$B$12:$B$72,$A277+1)-(M277/INDEX(Surface_Engine!$B$12:$B$72,$A277+1)-(F277/INDEX(Surface_Engine!$B$12:$B$72,$A277+1))))/B277))</f>
        <v>18470.1173019718</v>
      </c>
    </row>
    <row r="278" customFormat="false" ht="15" hidden="false" customHeight="true" outlineLevel="0" collapsed="false">
      <c r="A278" s="1" t="n">
        <v>18</v>
      </c>
      <c r="B278" s="32" t="n">
        <f aca="false">INDEX(Surface_Engine!$J$12:$J$72,$A278+1)*IF($A278&lt;$Q$258,INDEX(Surface_Engine!$E$12:$E$72,$A278+1),INDEX(Surface_Engine!$E$12:$E$72,$Q$258+1))</f>
        <v>0.686440593035728</v>
      </c>
      <c r="C278" s="32" t="n">
        <f aca="false">INDEX(Panel_Reserving!$C$8:$C$68,$A278+1)*IF($A278&lt;$Q$258,INDEX(Surface_Engine!$E$12:$E$72,$A278+1),INDEX(Surface_Engine!$E$12:$E$72,$Q$258+1))</f>
        <v>0.71588229170335</v>
      </c>
      <c r="D278" s="32" t="n">
        <f aca="false">INDEX(Surface_Engine!$J$12:$J$72,$A278+1)*IF($A278&lt;$Q$258,INDEX(Surface_Engine!$Y$12:$Y$72,$A278+1),INDEX(Surface_Engine!$Y$12:$Y$72,$Q$258+1))</f>
        <v>0.630477246245024</v>
      </c>
      <c r="E278" s="32" t="n">
        <f aca="false">INDEX(Surface_Engine!$J$12:$J$72,$A278+1)*IF($A278&lt;$Q$258,INDEX(Surface_Engine!$Z$12:$Z$72,$A278+1),INDEX(Surface_Engine!$Z$12:$Z$72,$Q$258+1))</f>
        <v>0.746732949532297</v>
      </c>
      <c r="F278" s="48" t="n">
        <f aca="false">B278*(IF($A278&lt;$Q$258,INDEX(Surface_Engine!$D$12:$D$72,$A278+1)+(Surface_Engine!B239*12)*INDEX(Surface_Engine!$F$12:$F$72,$A278+1)-(Surface_Engine!B239*12),1000*12*INDEX(Surface_Engine!$C$12:$C$72,$A278+1)/(1+Assumptions!$B$10)^12+INDEX(Surface_Engine!$D$12:$D$72,$A278+1)))*INDEX(Surface_Engine!$B$12:$B$72,$A278+1)+F279</f>
        <v>58897.2088184063</v>
      </c>
      <c r="G278" s="48" t="n">
        <f aca="false">C278*(IF($A278&lt;$Q$258,INDEX(Surface_Engine!$D$12:$D$72,$A278+1)+(Surface_Engine!B239*12)*INDEX(Surface_Engine!$F$12:$F$72,$A278+1)-(Surface_Engine!B239*12),1000*12*INDEX(Surface_Engine!$C$12:$C$72,$A278+1)/(1+Assumptions!$B$10)^12+INDEX(Surface_Engine!$D$12:$D$72,$A278+1)))*INDEX(Surface_Engine!$B$12:$B$72,$A278+1)+G279</f>
        <v>68309.3542457611</v>
      </c>
      <c r="H278" s="48" t="n">
        <f aca="false">D278*(IF($A278&lt;$Q$258,INDEX(Surface_Engine!$D$12:$D$72,$A278+1)+(Surface_Engine!B239*12)*INDEX(Surface_Engine!$F$12:$F$72,$A278+1)-(Surface_Engine!B239*12),1000*12*INDEX(Surface_Engine!$C$12:$C$72,$A278+1)/(1+Assumptions!$B$10)^12+INDEX(Surface_Engine!$D$12:$D$72,$A278+1)))*INDEX(Surface_Engine!$B$12:$B$72,$A278+1)+H279</f>
        <v>54095.5042637087</v>
      </c>
      <c r="I278" s="48" t="n">
        <f aca="false">E278*(IF($A278&lt;$Q$258,INDEX(Surface_Engine!$D$12:$D$72,$A278+1)+(Surface_Engine!B239*12)*INDEX(Surface_Engine!$F$12:$F$72,$A278+1)-(Surface_Engine!B239*12),1000*12*INDEX(Surface_Engine!$C$12:$C$72,$A278+1)/(1+Assumptions!$B$10)^12+INDEX(Surface_Engine!$D$12:$D$72,$A278+1)))*INDEX(Surface_Engine!$B$12:$B$72,$A278+1)+I279</f>
        <v>64070.3462271775</v>
      </c>
      <c r="J278" s="48" t="n">
        <f aca="false">B278*(IF($A278&lt;$Q$258,INDEX(Surface_Engine!$D$12:$D$72,$A278+1)*(1+Assumptions!$B$24)+(Surface_Engine!B239*12)*INDEX(Surface_Engine!$F$12:$F$72,$A278+1)-(Surface_Engine!B239*12),1000*12*INDEX(Surface_Engine!$C$12:$C$72,$A278+1)/(1+Assumptions!$B$10)^12+INDEX(Surface_Engine!$D$12:$D$72,$A278+1)*(1+Assumptions!$B$24)))*INDEX(Surface_Engine!$B$12:$B$72,$A278+1)+J279</f>
        <v>58954.3001410711</v>
      </c>
      <c r="K278" s="12" t="n">
        <f aca="false">SQRT((IF(C278&lt;=0,0,MAX(0,(B278/C278)*G278/INDEX(Surface_Engine!$B$12:$B$72,$A278+1)-F278/INDEX(Surface_Engine!$B$12:$B$72,$A278+1))))^2+(MAX(IF(D278&lt;=0,0,MAX(0,(B278/D278)*H278/INDEX(Surface_Engine!$B$12:$B$72,$A278+1)-F278/INDEX(Surface_Engine!$B$12:$B$72,$A278+1))),IF(E278&lt;=0,0,MAX(0,(B278/E278)*I278/INDEX(Surface_Engine!$B$12:$B$72,$A278+1)-F278/INDEX(Surface_Engine!$B$12:$B$72,$A278+1))),IF($A278&lt;$Q$258,MAX(0,-Assumptions!$B$22*(F278/INDEX(Surface_Engine!$B$12:$B$72,$A278+1))),0)))^2+(MAX(0,J278/INDEX(Surface_Engine!$B$12:$B$72,$A278+1)-(F278/INDEX(Surface_Engine!$B$12:$B$72,$A278+1))))^2+2*Assumptions!$B$26*(IF(C278&lt;=0,0,MAX(0,(B278/C278)*G278/INDEX(Surface_Engine!$B$12:$B$72,$A278+1)-F278/INDEX(Surface_Engine!$B$12:$B$72,$A278+1))))*(MAX(IF(D278&lt;=0,0,MAX(0,(B278/D278)*H278/INDEX(Surface_Engine!$B$12:$B$72,$A278+1)-F278/INDEX(Surface_Engine!$B$12:$B$72,$A278+1))),IF(E278&lt;=0,0,MAX(0,(B278/E278)*I278/INDEX(Surface_Engine!$B$12:$B$72,$A278+1)-F278/INDEX(Surface_Engine!$B$12:$B$72,$A278+1))),IF($A278&lt;$Q$258,MAX(0,-Assumptions!$B$22*(F278/INDEX(Surface_Engine!$B$12:$B$72,$A278+1))),0)))+2*Assumptions!$B$27*(IF(C278&lt;=0,0,MAX(0,(B278/C278)*G278/INDEX(Surface_Engine!$B$12:$B$72,$A278+1)-F278/INDEX(Surface_Engine!$B$12:$B$72,$A278+1))))*(MAX(0,J278/INDEX(Surface_Engine!$B$12:$B$72,$A278+1)-(F278/INDEX(Surface_Engine!$B$12:$B$72,$A278+1))))+2*Assumptions!$B$28*(MAX(IF(D278&lt;=0,0,MAX(0,(B278/D278)*H278/INDEX(Surface_Engine!$B$12:$B$72,$A278+1)-F278/INDEX(Surface_Engine!$B$12:$B$72,$A278+1))),IF(E278&lt;=0,0,MAX(0,(B278/E278)*I278/INDEX(Surface_Engine!$B$12:$B$72,$A278+1)-F278/INDEX(Surface_Engine!$B$12:$B$72,$A278+1))),IF($A278&lt;$Q$258,MAX(0,-Assumptions!$B$22*(F278/INDEX(Surface_Engine!$B$12:$B$72,$A278+1))),0)))*(MAX(0,J278/INDEX(Surface_Engine!$B$12:$B$72,$A278+1)-(F278/INDEX(Surface_Engine!$B$12:$B$72,$A278+1)))))</f>
        <v>11594.8606139913</v>
      </c>
      <c r="L278" s="48" t="n">
        <f aca="false">K278*INDEX(Surface_Engine!$B$12:$B$72,$A278+1)+L279</f>
        <v>63706.193641008</v>
      </c>
      <c r="M278" s="48" t="n">
        <f aca="false">M277+B277*(IF($A277&lt;$Q$258,(Surface_Engine!B239*12)-(Surface_Engine!B239*12)*INDEX(Surface_Engine!$F$12:$F$72,$A277+1)-INDEX(Surface_Engine!$D$12:$D$72,$A277+1),-(1000*12*INDEX(Surface_Engine!$C$12:$C$72,$A277+1)/(1+Assumptions!$B$10)^12+INDEX(Surface_Engine!$D$12:$D$72,$A277+1))))*INDEX(Surface_Engine!$B$12:$B$72,$A277+1)</f>
        <v>62432.2000827734</v>
      </c>
      <c r="N278" s="12" t="n">
        <f aca="false">IF(B278&lt;=0,0,MAX(0,(K278+Assumptions!$B$29*L278/INDEX(Surface_Engine!$B$12:$B$72,$A278+1)-(M278/INDEX(Surface_Engine!$B$12:$B$72,$A278+1)-(F278/INDEX(Surface_Engine!$B$12:$B$72,$A278+1))))/B278))</f>
        <v>17624.8428142738</v>
      </c>
    </row>
    <row r="279" customFormat="false" ht="15" hidden="false" customHeight="true" outlineLevel="0" collapsed="false">
      <c r="A279" s="1" t="n">
        <v>19</v>
      </c>
      <c r="B279" s="32" t="n">
        <f aca="false">INDEX(Surface_Engine!$J$12:$J$72,$A279+1)*IF($A279&lt;$Q$258,INDEX(Surface_Engine!$E$12:$E$72,$A279+1),INDEX(Surface_Engine!$E$12:$E$72,$Q$258+1))</f>
        <v>0.666218835219948</v>
      </c>
      <c r="C279" s="32" t="n">
        <f aca="false">INDEX(Panel_Reserving!$C$8:$C$68,$A279+1)*IF($A279&lt;$Q$258,INDEX(Surface_Engine!$E$12:$E$72,$A279+1),INDEX(Surface_Engine!$E$12:$E$72,$Q$258+1))</f>
        <v>0.699011030330639</v>
      </c>
      <c r="D279" s="32" t="n">
        <f aca="false">INDEX(Surface_Engine!$J$12:$J$72,$A279+1)*IF($A279&lt;$Q$258,INDEX(Surface_Engine!$Y$12:$Y$72,$A279+1),INDEX(Surface_Engine!$Y$12:$Y$72,$Q$258+1))</f>
        <v>0.611904104867204</v>
      </c>
      <c r="E279" s="32" t="n">
        <f aca="false">INDEX(Surface_Engine!$J$12:$J$72,$A279+1)*IF($A279&lt;$Q$258,INDEX(Surface_Engine!$Z$12:$Z$72,$A279+1),INDEX(Surface_Engine!$Z$12:$Z$72,$Q$258+1))</f>
        <v>0.724735047584619</v>
      </c>
      <c r="F279" s="48" t="n">
        <f aca="false">B279*(IF($A279&lt;$Q$258,INDEX(Surface_Engine!$D$12:$D$72,$A279+1)+(Surface_Engine!B239*12)*INDEX(Surface_Engine!$F$12:$F$72,$A279+1)-(Surface_Engine!B239*12),1000*12*INDEX(Surface_Engine!$C$12:$C$72,$A279+1)/(1+Assumptions!$B$10)^12+INDEX(Surface_Engine!$D$12:$D$72,$A279+1)))*INDEX(Surface_Engine!$B$12:$B$72,$A279+1)+F280</f>
        <v>53552.8813968957</v>
      </c>
      <c r="G279" s="48" t="n">
        <f aca="false">C279*(IF($A279&lt;$Q$258,INDEX(Surface_Engine!$D$12:$D$72,$A279+1)+(Surface_Engine!B239*12)*INDEX(Surface_Engine!$F$12:$F$72,$A279+1)-(Surface_Engine!B239*12),1000*12*INDEX(Surface_Engine!$C$12:$C$72,$A279+1)/(1+Assumptions!$B$10)^12+INDEX(Surface_Engine!$D$12:$D$72,$A279+1)))*INDEX(Surface_Engine!$B$12:$B$72,$A279+1)+G280</f>
        <v>62735.8065841867</v>
      </c>
      <c r="H279" s="48" t="n">
        <f aca="false">D279*(IF($A279&lt;$Q$258,INDEX(Surface_Engine!$D$12:$D$72,$A279+1)+(Surface_Engine!B239*12)*INDEX(Surface_Engine!$F$12:$F$72,$A279+1)-(Surface_Engine!B239*12),1000*12*INDEX(Surface_Engine!$C$12:$C$72,$A279+1)/(1+Assumptions!$B$10)^12+INDEX(Surface_Engine!$D$12:$D$72,$A279+1)))*INDEX(Surface_Engine!$B$12:$B$72,$A279+1)+H280</f>
        <v>49186.8830808551</v>
      </c>
      <c r="I279" s="48" t="n">
        <f aca="false">E279*(IF($A279&lt;$Q$258,INDEX(Surface_Engine!$D$12:$D$72,$A279+1)+(Surface_Engine!B239*12)*INDEX(Surface_Engine!$F$12:$F$72,$A279+1)-(Surface_Engine!B239*12),1000*12*INDEX(Surface_Engine!$C$12:$C$72,$A279+1)/(1+Assumptions!$B$10)^12+INDEX(Surface_Engine!$D$12:$D$72,$A279+1)))*INDEX(Surface_Engine!$B$12:$B$72,$A279+1)+I280</f>
        <v>58256.6087832976</v>
      </c>
      <c r="J279" s="48" t="n">
        <f aca="false">B279*(IF($A279&lt;$Q$258,INDEX(Surface_Engine!$D$12:$D$72,$A279+1)*(1+Assumptions!$B$24)+(Surface_Engine!B239*12)*INDEX(Surface_Engine!$F$12:$F$72,$A279+1)-(Surface_Engine!B239*12),1000*12*INDEX(Surface_Engine!$C$12:$C$72,$A279+1)/(1+Assumptions!$B$10)^12+INDEX(Surface_Engine!$D$12:$D$72,$A279+1)*(1+Assumptions!$B$24)))*INDEX(Surface_Engine!$B$12:$B$72,$A279+1)+J280</f>
        <v>53604.9624221991</v>
      </c>
      <c r="K279" s="12" t="n">
        <f aca="false">SQRT((IF(C279&lt;=0,0,MAX(0,(B279/C279)*G279/INDEX(Surface_Engine!$B$12:$B$72,$A279+1)-F279/INDEX(Surface_Engine!$B$12:$B$72,$A279+1))))^2+(MAX(IF(D279&lt;=0,0,MAX(0,(B279/D279)*H279/INDEX(Surface_Engine!$B$12:$B$72,$A279+1)-F279/INDEX(Surface_Engine!$B$12:$B$72,$A279+1))),IF(E279&lt;=0,0,MAX(0,(B279/E279)*I279/INDEX(Surface_Engine!$B$12:$B$72,$A279+1)-F279/INDEX(Surface_Engine!$B$12:$B$72,$A279+1))),IF($A279&lt;$Q$258,MAX(0,-Assumptions!$B$22*(F279/INDEX(Surface_Engine!$B$12:$B$72,$A279+1))),0)))^2+(MAX(0,J279/INDEX(Surface_Engine!$B$12:$B$72,$A279+1)-(F279/INDEX(Surface_Engine!$B$12:$B$72,$A279+1))))^2+2*Assumptions!$B$26*(IF(C279&lt;=0,0,MAX(0,(B279/C279)*G279/INDEX(Surface_Engine!$B$12:$B$72,$A279+1)-F279/INDEX(Surface_Engine!$B$12:$B$72,$A279+1))))*(MAX(IF(D279&lt;=0,0,MAX(0,(B279/D279)*H279/INDEX(Surface_Engine!$B$12:$B$72,$A279+1)-F279/INDEX(Surface_Engine!$B$12:$B$72,$A279+1))),IF(E279&lt;=0,0,MAX(0,(B279/E279)*I279/INDEX(Surface_Engine!$B$12:$B$72,$A279+1)-F279/INDEX(Surface_Engine!$B$12:$B$72,$A279+1))),IF($A279&lt;$Q$258,MAX(0,-Assumptions!$B$22*(F279/INDEX(Surface_Engine!$B$12:$B$72,$A279+1))),0)))+2*Assumptions!$B$27*(IF(C279&lt;=0,0,MAX(0,(B279/C279)*G279/INDEX(Surface_Engine!$B$12:$B$72,$A279+1)-F279/INDEX(Surface_Engine!$B$12:$B$72,$A279+1))))*(MAX(0,J279/INDEX(Surface_Engine!$B$12:$B$72,$A279+1)-(F279/INDEX(Surface_Engine!$B$12:$B$72,$A279+1))))+2*Assumptions!$B$28*(MAX(IF(D279&lt;=0,0,MAX(0,(B279/D279)*H279/INDEX(Surface_Engine!$B$12:$B$72,$A279+1)-F279/INDEX(Surface_Engine!$B$12:$B$72,$A279+1))),IF(E279&lt;=0,0,MAX(0,(B279/E279)*I279/INDEX(Surface_Engine!$B$12:$B$72,$A279+1)-F279/INDEX(Surface_Engine!$B$12:$B$72,$A279+1))),IF($A279&lt;$Q$258,MAX(0,-Assumptions!$B$22*(F279/INDEX(Surface_Engine!$B$12:$B$72,$A279+1))),0)))*(MAX(0,J279/INDEX(Surface_Engine!$B$12:$B$72,$A279+1)-(F279/INDEX(Surface_Engine!$B$12:$B$72,$A279+1)))))</f>
        <v>11309.6321668871</v>
      </c>
      <c r="L279" s="48" t="n">
        <f aca="false">K279*INDEX(Surface_Engine!$B$12:$B$72,$A279+1)+L280</f>
        <v>57088.8658670427</v>
      </c>
      <c r="M279" s="48" t="n">
        <f aca="false">M278+B278*(IF($A278&lt;$Q$258,(Surface_Engine!B239*12)-(Surface_Engine!B239*12)*INDEX(Surface_Engine!$F$12:$F$72,$A278+1)-INDEX(Surface_Engine!$D$12:$D$72,$A278+1),-(1000*12*INDEX(Surface_Engine!$C$12:$C$72,$A278+1)/(1+Assumptions!$B$10)^12+INDEX(Surface_Engine!$D$12:$D$72,$A278+1))))*INDEX(Surface_Engine!$B$12:$B$72,$A278+1)</f>
        <v>57087.8726612628</v>
      </c>
      <c r="N279" s="12" t="n">
        <f aca="false">IF(B279&lt;=0,0,MAX(0,(K279+Assumptions!$B$29*L279/INDEX(Surface_Engine!$B$12:$B$72,$A279+1)-(M279/INDEX(Surface_Engine!$B$12:$B$72,$A279+1)-(F279/INDEX(Surface_Engine!$B$12:$B$72,$A279+1))))/B279))</f>
        <v>16678.1483071789</v>
      </c>
    </row>
    <row r="280" customFormat="false" ht="15" hidden="false" customHeight="true" outlineLevel="0" collapsed="false">
      <c r="A280" s="1" t="n">
        <v>20</v>
      </c>
      <c r="B280" s="32" t="n">
        <f aca="false">INDEX(Surface_Engine!$J$12:$J$72,$A280+1)*IF($A280&lt;$Q$258,INDEX(Surface_Engine!$E$12:$E$72,$A280+1),INDEX(Surface_Engine!$E$12:$E$72,$Q$258+1))</f>
        <v>0.644189197628297</v>
      </c>
      <c r="C280" s="32" t="n">
        <f aca="false">INDEX(Panel_Reserving!$C$8:$C$68,$A280+1)*IF($A280&lt;$Q$258,INDEX(Surface_Engine!$E$12:$E$72,$A280+1),INDEX(Surface_Engine!$E$12:$E$72,$Q$258+1))</f>
        <v>0.680519857332606</v>
      </c>
      <c r="D280" s="32" t="n">
        <f aca="false">INDEX(Surface_Engine!$J$12:$J$72,$A280+1)*IF($A280&lt;$Q$258,INDEX(Surface_Engine!$Y$12:$Y$72,$A280+1),INDEX(Surface_Engine!$Y$12:$Y$72,$Q$258+1))</f>
        <v>0.591670474476647</v>
      </c>
      <c r="E280" s="32" t="n">
        <f aca="false">INDEX(Surface_Engine!$J$12:$J$72,$A280+1)*IF($A280&lt;$Q$258,INDEX(Surface_Engine!$Z$12:$Z$72,$A280+1),INDEX(Surface_Engine!$Z$12:$Z$72,$Q$258+1))</f>
        <v>0.700770473777597</v>
      </c>
      <c r="F280" s="48" t="n">
        <f aca="false">B280*(IF($A280&lt;$Q$258,INDEX(Surface_Engine!$D$12:$D$72,$A280+1)+(Surface_Engine!B239*12)*INDEX(Surface_Engine!$F$12:$F$72,$A280+1)-(Surface_Engine!B239*12),1000*12*INDEX(Surface_Engine!$C$12:$C$72,$A280+1)/(1+Assumptions!$B$10)^12+INDEX(Surface_Engine!$D$12:$D$72,$A280+1)))*INDEX(Surface_Engine!$B$12:$B$72,$A280+1)+F281</f>
        <v>48427.1622797371</v>
      </c>
      <c r="G280" s="48" t="n">
        <f aca="false">C280*(IF($A280&lt;$Q$258,INDEX(Surface_Engine!$D$12:$D$72,$A280+1)+(Surface_Engine!B239*12)*INDEX(Surface_Engine!$F$12:$F$72,$A280+1)-(Surface_Engine!B239*12),1000*12*INDEX(Surface_Engine!$C$12:$C$72,$A280+1)/(1+Assumptions!$B$10)^12+INDEX(Surface_Engine!$D$12:$D$72,$A280+1)))*INDEX(Surface_Engine!$B$12:$B$72,$A280+1)+G281</f>
        <v>57357.7926166176</v>
      </c>
      <c r="H280" s="48" t="n">
        <f aca="false">D280*(IF($A280&lt;$Q$258,INDEX(Surface_Engine!$D$12:$D$72,$A280+1)+(Surface_Engine!B239*12)*INDEX(Surface_Engine!$F$12:$F$72,$A280+1)-(Surface_Engine!B239*12),1000*12*INDEX(Surface_Engine!$C$12:$C$72,$A280+1)/(1+Assumptions!$B$10)^12+INDEX(Surface_Engine!$D$12:$D$72,$A280+1)))*INDEX(Surface_Engine!$B$12:$B$72,$A280+1)+H281</f>
        <v>44479.0477535182</v>
      </c>
      <c r="I280" s="48" t="n">
        <f aca="false">E280*(IF($A280&lt;$Q$258,INDEX(Surface_Engine!$D$12:$D$72,$A280+1)+(Surface_Engine!B239*12)*INDEX(Surface_Engine!$F$12:$F$72,$A280+1)-(Surface_Engine!B239*12),1000*12*INDEX(Surface_Engine!$C$12:$C$72,$A280+1)/(1+Assumptions!$B$10)^12+INDEX(Surface_Engine!$D$12:$D$72,$A280+1)))*INDEX(Surface_Engine!$B$12:$B$72,$A280+1)+I281</f>
        <v>52680.6807369929</v>
      </c>
      <c r="J280" s="48" t="n">
        <f aca="false">B280*(IF($A280&lt;$Q$258,INDEX(Surface_Engine!$D$12:$D$72,$A280+1)*(1+Assumptions!$B$24)+(Surface_Engine!B239*12)*INDEX(Surface_Engine!$F$12:$F$72,$A280+1)-(Surface_Engine!B239*12),1000*12*INDEX(Surface_Engine!$C$12:$C$72,$A280+1)/(1+Assumptions!$B$10)^12+INDEX(Surface_Engine!$D$12:$D$72,$A280+1)*(1+Assumptions!$B$24)))*INDEX(Surface_Engine!$B$12:$B$72,$A280+1)+J281</f>
        <v>48474.4146188287</v>
      </c>
      <c r="K280" s="12" t="n">
        <f aca="false">SQRT((IF(C280&lt;=0,0,MAX(0,(B280/C280)*G280/INDEX(Surface_Engine!$B$12:$B$72,$A280+1)-F280/INDEX(Surface_Engine!$B$12:$B$72,$A280+1))))^2+(MAX(IF(D280&lt;=0,0,MAX(0,(B280/D280)*H280/INDEX(Surface_Engine!$B$12:$B$72,$A280+1)-F280/INDEX(Surface_Engine!$B$12:$B$72,$A280+1))),IF(E280&lt;=0,0,MAX(0,(B280/E280)*I280/INDEX(Surface_Engine!$B$12:$B$72,$A280+1)-F280/INDEX(Surface_Engine!$B$12:$B$72,$A280+1))),IF($A280&lt;$Q$258,MAX(0,-Assumptions!$B$22*(F280/INDEX(Surface_Engine!$B$12:$B$72,$A280+1))),0)))^2+(MAX(0,J280/INDEX(Surface_Engine!$B$12:$B$72,$A280+1)-(F280/INDEX(Surface_Engine!$B$12:$B$72,$A280+1))))^2+2*Assumptions!$B$26*(IF(C280&lt;=0,0,MAX(0,(B280/C280)*G280/INDEX(Surface_Engine!$B$12:$B$72,$A280+1)-F280/INDEX(Surface_Engine!$B$12:$B$72,$A280+1))))*(MAX(IF(D280&lt;=0,0,MAX(0,(B280/D280)*H280/INDEX(Surface_Engine!$B$12:$B$72,$A280+1)-F280/INDEX(Surface_Engine!$B$12:$B$72,$A280+1))),IF(E280&lt;=0,0,MAX(0,(B280/E280)*I280/INDEX(Surface_Engine!$B$12:$B$72,$A280+1)-F280/INDEX(Surface_Engine!$B$12:$B$72,$A280+1))),IF($A280&lt;$Q$258,MAX(0,-Assumptions!$B$22*(F280/INDEX(Surface_Engine!$B$12:$B$72,$A280+1))),0)))+2*Assumptions!$B$27*(IF(C280&lt;=0,0,MAX(0,(B280/C280)*G280/INDEX(Surface_Engine!$B$12:$B$72,$A280+1)-F280/INDEX(Surface_Engine!$B$12:$B$72,$A280+1))))*(MAX(0,J280/INDEX(Surface_Engine!$B$12:$B$72,$A280+1)-(F280/INDEX(Surface_Engine!$B$12:$B$72,$A280+1))))+2*Assumptions!$B$28*(MAX(IF(D280&lt;=0,0,MAX(0,(B280/D280)*H280/INDEX(Surface_Engine!$B$12:$B$72,$A280+1)-F280/INDEX(Surface_Engine!$B$12:$B$72,$A280+1))),IF(E280&lt;=0,0,MAX(0,(B280/E280)*I280/INDEX(Surface_Engine!$B$12:$B$72,$A280+1)-F280/INDEX(Surface_Engine!$B$12:$B$72,$A280+1))),IF($A280&lt;$Q$258,MAX(0,-Assumptions!$B$22*(F280/INDEX(Surface_Engine!$B$12:$B$72,$A280+1))),0)))*(MAX(0,J280/INDEX(Surface_Engine!$B$12:$B$72,$A280+1)-(F280/INDEX(Surface_Engine!$B$12:$B$72,$A280+1)))))</f>
        <v>10974.8190870155</v>
      </c>
      <c r="L280" s="48" t="n">
        <f aca="false">K280*INDEX(Surface_Engine!$B$12:$B$72,$A280+1)+L281</f>
        <v>50835.7962674637</v>
      </c>
      <c r="M280" s="48" t="n">
        <f aca="false">M279+B279*(IF($A279&lt;$Q$258,(Surface_Engine!B239*12)-(Surface_Engine!B239*12)*INDEX(Surface_Engine!$F$12:$F$72,$A279+1)-INDEX(Surface_Engine!$D$12:$D$72,$A279+1),-(1000*12*INDEX(Surface_Engine!$C$12:$C$72,$A279+1)/(1+Assumptions!$B$10)^12+INDEX(Surface_Engine!$D$12:$D$72,$A279+1))))*INDEX(Surface_Engine!$B$12:$B$72,$A279+1)</f>
        <v>51962.1535441042</v>
      </c>
      <c r="N280" s="12" t="n">
        <f aca="false">IF(B280&lt;=0,0,MAX(0,(K280+Assumptions!$B$29*L280/INDEX(Surface_Engine!$B$12:$B$72,$A280+1)-(M280/INDEX(Surface_Engine!$B$12:$B$72,$A280+1)-(F280/INDEX(Surface_Engine!$B$12:$B$72,$A280+1))))/B280))</f>
        <v>15631.9751179344</v>
      </c>
    </row>
    <row r="281" customFormat="false" ht="15" hidden="false" customHeight="true" outlineLevel="0" collapsed="false">
      <c r="A281" s="1" t="n">
        <v>21</v>
      </c>
      <c r="B281" s="32" t="n">
        <f aca="false">INDEX(Surface_Engine!$J$12:$J$72,$A281+1)*IF($A281&lt;$Q$258,INDEX(Surface_Engine!$E$12:$E$72,$A281+1),INDEX(Surface_Engine!$E$12:$E$72,$Q$258+1))</f>
        <v>0.62028294536281</v>
      </c>
      <c r="C281" s="32" t="n">
        <f aca="false">INDEX(Panel_Reserving!$C$8:$C$68,$A281+1)*IF($A281&lt;$Q$258,INDEX(Surface_Engine!$E$12:$E$72,$A281+1),INDEX(Surface_Engine!$E$12:$E$72,$Q$258+1))</f>
        <v>0.660316253247392</v>
      </c>
      <c r="D281" s="32" t="n">
        <f aca="false">INDEX(Surface_Engine!$J$12:$J$72,$A281+1)*IF($A281&lt;$Q$258,INDEX(Surface_Engine!$Y$12:$Y$72,$A281+1),INDEX(Surface_Engine!$Y$12:$Y$72,$Q$258+1))</f>
        <v>0.569713223915856</v>
      </c>
      <c r="E281" s="32" t="n">
        <f aca="false">INDEX(Surface_Engine!$J$12:$J$72,$A281+1)*IF($A281&lt;$Q$258,INDEX(Surface_Engine!$Z$12:$Z$72,$A281+1),INDEX(Surface_Engine!$Z$12:$Z$72,$Q$258+1))</f>
        <v>0.674764455998952</v>
      </c>
      <c r="F281" s="48" t="n">
        <f aca="false">B281*(IF($A281&lt;$Q$258,INDEX(Surface_Engine!$D$12:$D$72,$A281+1)+(Surface_Engine!B239*12)*INDEX(Surface_Engine!$F$12:$F$72,$A281+1)-(Surface_Engine!B239*12),1000*12*INDEX(Surface_Engine!$C$12:$C$72,$A281+1)/(1+Assumptions!$B$10)^12+INDEX(Surface_Engine!$D$12:$D$72,$A281+1)))*INDEX(Surface_Engine!$B$12:$B$72,$A281+1)+F282</f>
        <v>43527.7683633305</v>
      </c>
      <c r="G281" s="48" t="n">
        <f aca="false">C281*(IF($A281&lt;$Q$258,INDEX(Surface_Engine!$D$12:$D$72,$A281+1)+(Surface_Engine!B239*12)*INDEX(Surface_Engine!$F$12:$F$72,$A281+1)-(Surface_Engine!B239*12),1000*12*INDEX(Surface_Engine!$C$12:$C$72,$A281+1)/(1+Assumptions!$B$10)^12+INDEX(Surface_Engine!$D$12:$D$72,$A281+1)))*INDEX(Surface_Engine!$B$12:$B$72,$A281+1)+G282</f>
        <v>52182.0851361374</v>
      </c>
      <c r="H281" s="48" t="n">
        <f aca="false">D281*(IF($A281&lt;$Q$258,INDEX(Surface_Engine!$D$12:$D$72,$A281+1)+(Surface_Engine!B239*12)*INDEX(Surface_Engine!$F$12:$F$72,$A281+1)-(Surface_Engine!B239*12),1000*12*INDEX(Surface_Engine!$C$12:$C$72,$A281+1)/(1+Assumptions!$B$10)^12+INDEX(Surface_Engine!$D$12:$D$72,$A281+1)))*INDEX(Surface_Engine!$B$12:$B$72,$A281+1)+H282</f>
        <v>39979.0860437583</v>
      </c>
      <c r="I281" s="48" t="n">
        <f aca="false">E281*(IF($A281&lt;$Q$258,INDEX(Surface_Engine!$D$12:$D$72,$A281+1)+(Surface_Engine!B239*12)*INDEX(Surface_Engine!$F$12:$F$72,$A281+1)-(Surface_Engine!B239*12),1000*12*INDEX(Surface_Engine!$C$12:$C$72,$A281+1)/(1+Assumptions!$B$10)^12+INDEX(Surface_Engine!$D$12:$D$72,$A281+1)))*INDEX(Surface_Engine!$B$12:$B$72,$A281+1)+I282</f>
        <v>47350.9567852969</v>
      </c>
      <c r="J281" s="48" t="n">
        <f aca="false">B281*(IF($A281&lt;$Q$258,INDEX(Surface_Engine!$D$12:$D$72,$A281+1)*(1+Assumptions!$B$24)+(Surface_Engine!B239*12)*INDEX(Surface_Engine!$F$12:$F$72,$A281+1)-(Surface_Engine!B239*12),1000*12*INDEX(Surface_Engine!$C$12:$C$72,$A281+1)/(1+Assumptions!$B$10)^12+INDEX(Surface_Engine!$D$12:$D$72,$A281+1)*(1+Assumptions!$B$24)))*INDEX(Surface_Engine!$B$12:$B$72,$A281+1)+J282</f>
        <v>43570.3828152651</v>
      </c>
      <c r="K281" s="12" t="n">
        <f aca="false">SQRT((IF(C281&lt;=0,0,MAX(0,(B281/C281)*G281/INDEX(Surface_Engine!$B$12:$B$72,$A281+1)-F281/INDEX(Surface_Engine!$B$12:$B$72,$A281+1))))^2+(MAX(IF(D281&lt;=0,0,MAX(0,(B281/D281)*H281/INDEX(Surface_Engine!$B$12:$B$72,$A281+1)-F281/INDEX(Surface_Engine!$B$12:$B$72,$A281+1))),IF(E281&lt;=0,0,MAX(0,(B281/E281)*I281/INDEX(Surface_Engine!$B$12:$B$72,$A281+1)-F281/INDEX(Surface_Engine!$B$12:$B$72,$A281+1))),IF($A281&lt;$Q$258,MAX(0,-Assumptions!$B$22*(F281/INDEX(Surface_Engine!$B$12:$B$72,$A281+1))),0)))^2+(MAX(0,J281/INDEX(Surface_Engine!$B$12:$B$72,$A281+1)-(F281/INDEX(Surface_Engine!$B$12:$B$72,$A281+1))))^2+2*Assumptions!$B$26*(IF(C281&lt;=0,0,MAX(0,(B281/C281)*G281/INDEX(Surface_Engine!$B$12:$B$72,$A281+1)-F281/INDEX(Surface_Engine!$B$12:$B$72,$A281+1))))*(MAX(IF(D281&lt;=0,0,MAX(0,(B281/D281)*H281/INDEX(Surface_Engine!$B$12:$B$72,$A281+1)-F281/INDEX(Surface_Engine!$B$12:$B$72,$A281+1))),IF(E281&lt;=0,0,MAX(0,(B281/E281)*I281/INDEX(Surface_Engine!$B$12:$B$72,$A281+1)-F281/INDEX(Surface_Engine!$B$12:$B$72,$A281+1))),IF($A281&lt;$Q$258,MAX(0,-Assumptions!$B$22*(F281/INDEX(Surface_Engine!$B$12:$B$72,$A281+1))),0)))+2*Assumptions!$B$27*(IF(C281&lt;=0,0,MAX(0,(B281/C281)*G281/INDEX(Surface_Engine!$B$12:$B$72,$A281+1)-F281/INDEX(Surface_Engine!$B$12:$B$72,$A281+1))))*(MAX(0,J281/INDEX(Surface_Engine!$B$12:$B$72,$A281+1)-(F281/INDEX(Surface_Engine!$B$12:$B$72,$A281+1))))+2*Assumptions!$B$28*(MAX(IF(D281&lt;=0,0,MAX(0,(B281/D281)*H281/INDEX(Surface_Engine!$B$12:$B$72,$A281+1)-F281/INDEX(Surface_Engine!$B$12:$B$72,$A281+1))),IF(E281&lt;=0,0,MAX(0,(B281/E281)*I281/INDEX(Surface_Engine!$B$12:$B$72,$A281+1)-F281/INDEX(Surface_Engine!$B$12:$B$72,$A281+1))),IF($A281&lt;$Q$258,MAX(0,-Assumptions!$B$22*(F281/INDEX(Surface_Engine!$B$12:$B$72,$A281+1))),0)))*(MAX(0,J281/INDEX(Surface_Engine!$B$12:$B$72,$A281+1)-(F281/INDEX(Surface_Engine!$B$12:$B$72,$A281+1)))))</f>
        <v>10594.9707973603</v>
      </c>
      <c r="L281" s="48" t="n">
        <f aca="false">K281*INDEX(Surface_Engine!$B$12:$B$72,$A281+1)+L282</f>
        <v>44955.3139343645</v>
      </c>
      <c r="M281" s="48" t="n">
        <f aca="false">M280+B280*(IF($A280&lt;$Q$258,(Surface_Engine!B239*12)-(Surface_Engine!B239*12)*INDEX(Surface_Engine!$F$12:$F$72,$A280+1)-INDEX(Surface_Engine!$D$12:$D$72,$A280+1),-(1000*12*INDEX(Surface_Engine!$C$12:$C$72,$A280+1)/(1+Assumptions!$B$10)^12+INDEX(Surface_Engine!$D$12:$D$72,$A280+1))))*INDEX(Surface_Engine!$B$12:$B$72,$A280+1)</f>
        <v>47062.7596276976</v>
      </c>
      <c r="N281" s="12" t="n">
        <f aca="false">IF(B281&lt;=0,0,MAX(0,(K281+Assumptions!$B$29*L281/INDEX(Surface_Engine!$B$12:$B$72,$A281+1)-(M281/INDEX(Surface_Engine!$B$12:$B$72,$A281+1)-(F281/INDEX(Surface_Engine!$B$12:$B$72,$A281+1))))/B281))</f>
        <v>14480.0706931075</v>
      </c>
    </row>
    <row r="282" customFormat="false" ht="15" hidden="false" customHeight="true" outlineLevel="0" collapsed="false">
      <c r="A282" s="1" t="n">
        <v>22</v>
      </c>
      <c r="B282" s="32" t="n">
        <f aca="false">INDEX(Surface_Engine!$J$12:$J$72,$A282+1)*IF($A282&lt;$Q$258,INDEX(Surface_Engine!$E$12:$E$72,$A282+1),INDEX(Surface_Engine!$E$12:$E$72,$Q$258+1))</f>
        <v>0.594461152145185</v>
      </c>
      <c r="C282" s="32" t="n">
        <f aca="false">INDEX(Panel_Reserving!$C$8:$C$68,$A282+1)*IF($A282&lt;$Q$258,INDEX(Surface_Engine!$E$12:$E$72,$A282+1),INDEX(Surface_Engine!$E$12:$E$72,$Q$258+1))</f>
        <v>0.638325579633604</v>
      </c>
      <c r="D282" s="32" t="n">
        <f aca="false">INDEX(Surface_Engine!$J$12:$J$72,$A282+1)*IF($A282&lt;$Q$258,INDEX(Surface_Engine!$Y$12:$Y$72,$A282+1),INDEX(Surface_Engine!$Y$12:$Y$72,$Q$258+1))</f>
        <v>0.54599660044381</v>
      </c>
      <c r="E282" s="32" t="n">
        <f aca="false">INDEX(Surface_Engine!$J$12:$J$72,$A282+1)*IF($A282&lt;$Q$258,INDEX(Surface_Engine!$Z$12:$Z$72,$A282+1),INDEX(Surface_Engine!$Z$12:$Z$72,$Q$258+1))</f>
        <v>0.646674648946114</v>
      </c>
      <c r="F282" s="48" t="n">
        <f aca="false">B282*(IF($A282&lt;$Q$258,INDEX(Surface_Engine!$D$12:$D$72,$A282+1)+(Surface_Engine!B239*12)*INDEX(Surface_Engine!$F$12:$F$72,$A282+1)-(Surface_Engine!B239*12),1000*12*INDEX(Surface_Engine!$C$12:$C$72,$A282+1)/(1+Assumptions!$B$10)^12+INDEX(Surface_Engine!$D$12:$D$72,$A282+1)))*INDEX(Surface_Engine!$B$12:$B$72,$A282+1)+F283</f>
        <v>38864.381295117</v>
      </c>
      <c r="G282" s="48" t="n">
        <f aca="false">C282*(IF($A282&lt;$Q$258,INDEX(Surface_Engine!$D$12:$D$72,$A282+1)+(Surface_Engine!B239*12)*INDEX(Surface_Engine!$F$12:$F$72,$A282+1)-(Surface_Engine!B239*12),1000*12*INDEX(Surface_Engine!$C$12:$C$72,$A282+1)/(1+Assumptions!$B$10)^12+INDEX(Surface_Engine!$D$12:$D$72,$A282+1)))*INDEX(Surface_Engine!$B$12:$B$72,$A282+1)+G283</f>
        <v>47217.7212126316</v>
      </c>
      <c r="H282" s="48" t="n">
        <f aca="false">D282*(IF($A282&lt;$Q$258,INDEX(Surface_Engine!$D$12:$D$72,$A282+1)+(Surface_Engine!B239*12)*INDEX(Surface_Engine!$F$12:$F$72,$A282+1)-(Surface_Engine!B239*12),1000*12*INDEX(Surface_Engine!$C$12:$C$72,$A282+1)/(1+Assumptions!$B$10)^12+INDEX(Surface_Engine!$D$12:$D$72,$A282+1)))*INDEX(Surface_Engine!$B$12:$B$72,$A282+1)+H283</f>
        <v>35695.8902846916</v>
      </c>
      <c r="I282" s="48" t="n">
        <f aca="false">E282*(IF($A282&lt;$Q$258,INDEX(Surface_Engine!$D$12:$D$72,$A282+1)+(Surface_Engine!B239*12)*INDEX(Surface_Engine!$F$12:$F$72,$A282+1)-(Surface_Engine!B239*12),1000*12*INDEX(Surface_Engine!$C$12:$C$72,$A282+1)/(1+Assumptions!$B$10)^12+INDEX(Surface_Engine!$D$12:$D$72,$A282+1)))*INDEX(Surface_Engine!$B$12:$B$72,$A282+1)+I283</f>
        <v>42277.9689468919</v>
      </c>
      <c r="J282" s="48" t="n">
        <f aca="false">B282*(IF($A282&lt;$Q$258,INDEX(Surface_Engine!$D$12:$D$72,$A282+1)*(1+Assumptions!$B$24)+(Surface_Engine!B239*12)*INDEX(Surface_Engine!$F$12:$F$72,$A282+1)-(Surface_Engine!B239*12),1000*12*INDEX(Surface_Engine!$C$12:$C$72,$A282+1)/(1+Assumptions!$B$10)^12+INDEX(Surface_Engine!$D$12:$D$72,$A282+1)*(1+Assumptions!$B$24)))*INDEX(Surface_Engine!$B$12:$B$72,$A282+1)+J283</f>
        <v>38902.5598360457</v>
      </c>
      <c r="K282" s="12" t="n">
        <f aca="false">SQRT((IF(C282&lt;=0,0,MAX(0,(B282/C282)*G282/INDEX(Surface_Engine!$B$12:$B$72,$A282+1)-F282/INDEX(Surface_Engine!$B$12:$B$72,$A282+1))))^2+(MAX(IF(D282&lt;=0,0,MAX(0,(B282/D282)*H282/INDEX(Surface_Engine!$B$12:$B$72,$A282+1)-F282/INDEX(Surface_Engine!$B$12:$B$72,$A282+1))),IF(E282&lt;=0,0,MAX(0,(B282/E282)*I282/INDEX(Surface_Engine!$B$12:$B$72,$A282+1)-F282/INDEX(Surface_Engine!$B$12:$B$72,$A282+1))),IF($A282&lt;$Q$258,MAX(0,-Assumptions!$B$22*(F282/INDEX(Surface_Engine!$B$12:$B$72,$A282+1))),0)))^2+(MAX(0,J282/INDEX(Surface_Engine!$B$12:$B$72,$A282+1)-(F282/INDEX(Surface_Engine!$B$12:$B$72,$A282+1))))^2+2*Assumptions!$B$26*(IF(C282&lt;=0,0,MAX(0,(B282/C282)*G282/INDEX(Surface_Engine!$B$12:$B$72,$A282+1)-F282/INDEX(Surface_Engine!$B$12:$B$72,$A282+1))))*(MAX(IF(D282&lt;=0,0,MAX(0,(B282/D282)*H282/INDEX(Surface_Engine!$B$12:$B$72,$A282+1)-F282/INDEX(Surface_Engine!$B$12:$B$72,$A282+1))),IF(E282&lt;=0,0,MAX(0,(B282/E282)*I282/INDEX(Surface_Engine!$B$12:$B$72,$A282+1)-F282/INDEX(Surface_Engine!$B$12:$B$72,$A282+1))),IF($A282&lt;$Q$258,MAX(0,-Assumptions!$B$22*(F282/INDEX(Surface_Engine!$B$12:$B$72,$A282+1))),0)))+2*Assumptions!$B$27*(IF(C282&lt;=0,0,MAX(0,(B282/C282)*G282/INDEX(Surface_Engine!$B$12:$B$72,$A282+1)-F282/INDEX(Surface_Engine!$B$12:$B$72,$A282+1))))*(MAX(0,J282/INDEX(Surface_Engine!$B$12:$B$72,$A282+1)-(F282/INDEX(Surface_Engine!$B$12:$B$72,$A282+1))))+2*Assumptions!$B$28*(MAX(IF(D282&lt;=0,0,MAX(0,(B282/D282)*H282/INDEX(Surface_Engine!$B$12:$B$72,$A282+1)-F282/INDEX(Surface_Engine!$B$12:$B$72,$A282+1))),IF(E282&lt;=0,0,MAX(0,(B282/E282)*I282/INDEX(Surface_Engine!$B$12:$B$72,$A282+1)-F282/INDEX(Surface_Engine!$B$12:$B$72,$A282+1))),IF($A282&lt;$Q$258,MAX(0,-Assumptions!$B$22*(F282/INDEX(Surface_Engine!$B$12:$B$72,$A282+1))),0)))*(MAX(0,J282/INDEX(Surface_Engine!$B$12:$B$72,$A282+1)-(F282/INDEX(Surface_Engine!$B$12:$B$72,$A282+1)))))</f>
        <v>10171.7320400552</v>
      </c>
      <c r="L282" s="48" t="n">
        <f aca="false">K282*INDEX(Surface_Engine!$B$12:$B$72,$A282+1)+L283</f>
        <v>39453.8569365918</v>
      </c>
      <c r="M282" s="48" t="n">
        <f aca="false">M281+B281*(IF($A281&lt;$Q$258,(Surface_Engine!B239*12)-(Surface_Engine!B239*12)*INDEX(Surface_Engine!$F$12:$F$72,$A281+1)-INDEX(Surface_Engine!$D$12:$D$72,$A281+1),-(1000*12*INDEX(Surface_Engine!$C$12:$C$72,$A281+1)/(1+Assumptions!$B$10)^12+INDEX(Surface_Engine!$D$12:$D$72,$A281+1))))*INDEX(Surface_Engine!$B$12:$B$72,$A281+1)</f>
        <v>42399.3725594841</v>
      </c>
      <c r="N282" s="12" t="n">
        <f aca="false">IF(B282&lt;=0,0,MAX(0,(K282+Assumptions!$B$29*L282/INDEX(Surface_Engine!$B$12:$B$72,$A282+1)-(M282/INDEX(Surface_Engine!$B$12:$B$72,$A282+1)-(F282/INDEX(Surface_Engine!$B$12:$B$72,$A282+1))))/B282))</f>
        <v>13206.9488953264</v>
      </c>
    </row>
    <row r="283" customFormat="false" ht="15" hidden="false" customHeight="true" outlineLevel="0" collapsed="false">
      <c r="A283" s="1" t="n">
        <v>23</v>
      </c>
      <c r="B283" s="32" t="n">
        <f aca="false">INDEX(Surface_Engine!$J$12:$J$72,$A283+1)*IF($A283&lt;$Q$258,INDEX(Surface_Engine!$E$12:$E$72,$A283+1),INDEX(Surface_Engine!$E$12:$E$72,$Q$258+1))</f>
        <v>0.565809770401821</v>
      </c>
      <c r="C283" s="32" t="n">
        <f aca="false">INDEX(Panel_Reserving!$C$8:$C$68,$A283+1)*IF($A283&lt;$Q$258,INDEX(Surface_Engine!$E$12:$E$72,$A283+1),INDEX(Surface_Engine!$E$12:$E$72,$Q$258+1))</f>
        <v>0.61371315906733</v>
      </c>
      <c r="D283" s="32" t="n">
        <f aca="false">INDEX(Surface_Engine!$J$12:$J$72,$A283+1)*IF($A283&lt;$Q$258,INDEX(Surface_Engine!$Y$12:$Y$72,$A283+1),INDEX(Surface_Engine!$Y$12:$Y$72,$Q$258+1))</f>
        <v>0.519681075916357</v>
      </c>
      <c r="E283" s="32" t="n">
        <f aca="false">INDEX(Surface_Engine!$J$12:$J$72,$A283+1)*IF($A283&lt;$Q$258,INDEX(Surface_Engine!$Z$12:$Z$72,$A283+1),INDEX(Surface_Engine!$Z$12:$Z$72,$Q$258+1))</f>
        <v>0.615506721212148</v>
      </c>
      <c r="F283" s="48" t="n">
        <f aca="false">B283*(IF($A283&lt;$Q$258,INDEX(Surface_Engine!$D$12:$D$72,$A283+1)+(Surface_Engine!B239*12)*INDEX(Surface_Engine!$F$12:$F$72,$A283+1)-(Surface_Engine!B239*12),1000*12*INDEX(Surface_Engine!$C$12:$C$72,$A283+1)/(1+Assumptions!$B$10)^12+INDEX(Surface_Engine!$D$12:$D$72,$A283+1)))*INDEX(Surface_Engine!$B$12:$B$72,$A283+1)+F284</f>
        <v>34446.5463606762</v>
      </c>
      <c r="G283" s="48" t="n">
        <f aca="false">C283*(IF($A283&lt;$Q$258,INDEX(Surface_Engine!$D$12:$D$72,$A283+1)+(Surface_Engine!B239*12)*INDEX(Surface_Engine!$F$12:$F$72,$A283+1)-(Surface_Engine!B239*12),1000*12*INDEX(Surface_Engine!$C$12:$C$72,$A283+1)/(1+Assumptions!$B$10)^12+INDEX(Surface_Engine!$D$12:$D$72,$A283+1)))*INDEX(Surface_Engine!$B$12:$B$72,$A283+1)+G284</f>
        <v>42473.900636508</v>
      </c>
      <c r="H283" s="48" t="n">
        <f aca="false">D283*(IF($A283&lt;$Q$258,INDEX(Surface_Engine!$D$12:$D$72,$A283+1)+(Surface_Engine!B239*12)*INDEX(Surface_Engine!$F$12:$F$72,$A283+1)-(Surface_Engine!B239*12),1000*12*INDEX(Surface_Engine!$C$12:$C$72,$A283+1)/(1+Assumptions!$B$10)^12+INDEX(Surface_Engine!$D$12:$D$72,$A283+1)))*INDEX(Surface_Engine!$B$12:$B$72,$A283+1)+H284</f>
        <v>31638.2275647272</v>
      </c>
      <c r="I283" s="48" t="n">
        <f aca="false">E283*(IF($A283&lt;$Q$258,INDEX(Surface_Engine!$D$12:$D$72,$A283+1)+(Surface_Engine!B239*12)*INDEX(Surface_Engine!$F$12:$F$72,$A283+1)-(Surface_Engine!B239*12),1000*12*INDEX(Surface_Engine!$C$12:$C$72,$A283+1)/(1+Assumptions!$B$10)^12+INDEX(Surface_Engine!$D$12:$D$72,$A283+1)))*INDEX(Surface_Engine!$B$12:$B$72,$A283+1)+I284</f>
        <v>37472.1009014832</v>
      </c>
      <c r="J283" s="48" t="n">
        <f aca="false">B283*(IF($A283&lt;$Q$258,INDEX(Surface_Engine!$D$12:$D$72,$A283+1)*(1+Assumptions!$B$24)+(Surface_Engine!B239*12)*INDEX(Surface_Engine!$F$12:$F$72,$A283+1)-(Surface_Engine!B239*12),1000*12*INDEX(Surface_Engine!$C$12:$C$72,$A283+1)/(1+Assumptions!$B$10)^12+INDEX(Surface_Engine!$D$12:$D$72,$A283+1)*(1+Assumptions!$B$24)))*INDEX(Surface_Engine!$B$12:$B$72,$A283+1)+J284</f>
        <v>34480.5021621183</v>
      </c>
      <c r="K283" s="12" t="n">
        <f aca="false">SQRT((IF(C283&lt;=0,0,MAX(0,(B283/C283)*G283/INDEX(Surface_Engine!$B$12:$B$72,$A283+1)-F283/INDEX(Surface_Engine!$B$12:$B$72,$A283+1))))^2+(MAX(IF(D283&lt;=0,0,MAX(0,(B283/D283)*H283/INDEX(Surface_Engine!$B$12:$B$72,$A283+1)-F283/INDEX(Surface_Engine!$B$12:$B$72,$A283+1))),IF(E283&lt;=0,0,MAX(0,(B283/E283)*I283/INDEX(Surface_Engine!$B$12:$B$72,$A283+1)-F283/INDEX(Surface_Engine!$B$12:$B$72,$A283+1))),IF($A283&lt;$Q$258,MAX(0,-Assumptions!$B$22*(F283/INDEX(Surface_Engine!$B$12:$B$72,$A283+1))),0)))^2+(MAX(0,J283/INDEX(Surface_Engine!$B$12:$B$72,$A283+1)-(F283/INDEX(Surface_Engine!$B$12:$B$72,$A283+1))))^2+2*Assumptions!$B$26*(IF(C283&lt;=0,0,MAX(0,(B283/C283)*G283/INDEX(Surface_Engine!$B$12:$B$72,$A283+1)-F283/INDEX(Surface_Engine!$B$12:$B$72,$A283+1))))*(MAX(IF(D283&lt;=0,0,MAX(0,(B283/D283)*H283/INDEX(Surface_Engine!$B$12:$B$72,$A283+1)-F283/INDEX(Surface_Engine!$B$12:$B$72,$A283+1))),IF(E283&lt;=0,0,MAX(0,(B283/E283)*I283/INDEX(Surface_Engine!$B$12:$B$72,$A283+1)-F283/INDEX(Surface_Engine!$B$12:$B$72,$A283+1))),IF($A283&lt;$Q$258,MAX(0,-Assumptions!$B$22*(F283/INDEX(Surface_Engine!$B$12:$B$72,$A283+1))),0)))+2*Assumptions!$B$27*(IF(C283&lt;=0,0,MAX(0,(B283/C283)*G283/INDEX(Surface_Engine!$B$12:$B$72,$A283+1)-F283/INDEX(Surface_Engine!$B$12:$B$72,$A283+1))))*(MAX(0,J283/INDEX(Surface_Engine!$B$12:$B$72,$A283+1)-(F283/INDEX(Surface_Engine!$B$12:$B$72,$A283+1))))+2*Assumptions!$B$28*(MAX(IF(D283&lt;=0,0,MAX(0,(B283/D283)*H283/INDEX(Surface_Engine!$B$12:$B$72,$A283+1)-F283/INDEX(Surface_Engine!$B$12:$B$72,$A283+1))),IF(E283&lt;=0,0,MAX(0,(B283/E283)*I283/INDEX(Surface_Engine!$B$12:$B$72,$A283+1)-F283/INDEX(Surface_Engine!$B$12:$B$72,$A283+1))),IF($A283&lt;$Q$258,MAX(0,-Assumptions!$B$22*(F283/INDEX(Surface_Engine!$B$12:$B$72,$A283+1))),0)))*(MAX(0,J283/INDEX(Surface_Engine!$B$12:$B$72,$A283+1)-(F283/INDEX(Surface_Engine!$B$12:$B$72,$A283+1)))))</f>
        <v>9681.10587480762</v>
      </c>
      <c r="L283" s="48" t="n">
        <f aca="false">K283*INDEX(Surface_Engine!$B$12:$B$72,$A283+1)+L284</f>
        <v>34335.5440606344</v>
      </c>
      <c r="M283" s="48" t="n">
        <f aca="false">M282+B282*(IF($A282&lt;$Q$258,(Surface_Engine!B239*12)-(Surface_Engine!B239*12)*INDEX(Surface_Engine!$F$12:$F$72,$A282+1)-INDEX(Surface_Engine!$D$12:$D$72,$A282+1),-(1000*12*INDEX(Surface_Engine!$C$12:$C$72,$A282+1)/(1+Assumptions!$B$10)^12+INDEX(Surface_Engine!$D$12:$D$72,$A282+1))))*INDEX(Surface_Engine!$B$12:$B$72,$A282+1)</f>
        <v>37981.5376250433</v>
      </c>
      <c r="N283" s="12" t="n">
        <f aca="false">IF(B283&lt;=0,0,MAX(0,(K283+Assumptions!$B$29*L283/INDEX(Surface_Engine!$B$12:$B$72,$A283+1)-(M283/INDEX(Surface_Engine!$B$12:$B$72,$A283+1)-(F283/INDEX(Surface_Engine!$B$12:$B$72,$A283+1))))/B283))</f>
        <v>11764.5037844926</v>
      </c>
    </row>
    <row r="284" customFormat="false" ht="15" hidden="false" customHeight="true" outlineLevel="0" collapsed="false">
      <c r="A284" s="1" t="n">
        <v>24</v>
      </c>
      <c r="B284" s="32" t="n">
        <f aca="false">INDEX(Surface_Engine!$J$12:$J$72,$A284+1)*IF($A284&lt;$Q$258,INDEX(Surface_Engine!$E$12:$E$72,$A284+1),INDEX(Surface_Engine!$E$12:$E$72,$Q$258+1))</f>
        <v>0.534840544292041</v>
      </c>
      <c r="C284" s="32" t="n">
        <f aca="false">INDEX(Panel_Reserving!$C$8:$C$68,$A284+1)*IF($A284&lt;$Q$258,INDEX(Surface_Engine!$E$12:$E$72,$A284+1),INDEX(Surface_Engine!$E$12:$E$72,$Q$258+1))</f>
        <v>0.586840209770317</v>
      </c>
      <c r="D284" s="32" t="n">
        <f aca="false">INDEX(Surface_Engine!$J$12:$J$72,$A284+1)*IF($A284&lt;$Q$258,INDEX(Surface_Engine!$Y$12:$Y$72,$A284+1),INDEX(Surface_Engine!$Y$12:$Y$72,$Q$258+1))</f>
        <v>0.491236673597892</v>
      </c>
      <c r="E284" s="32" t="n">
        <f aca="false">INDEX(Surface_Engine!$J$12:$J$72,$A284+1)*IF($A284&lt;$Q$258,INDEX(Surface_Engine!$Z$12:$Z$72,$A284+1),INDEX(Surface_Engine!$Z$12:$Z$72,$Q$258+1))</f>
        <v>0.581817365145053</v>
      </c>
      <c r="F284" s="48" t="n">
        <f aca="false">B284*(IF($A284&lt;$Q$258,INDEX(Surface_Engine!$D$12:$D$72,$A284+1)+(Surface_Engine!B239*12)*INDEX(Surface_Engine!$F$12:$F$72,$A284+1)-(Surface_Engine!B239*12),1000*12*INDEX(Surface_Engine!$C$12:$C$72,$A284+1)/(1+Assumptions!$B$10)^12+INDEX(Surface_Engine!$D$12:$D$72,$A284+1)))*INDEX(Surface_Engine!$B$12:$B$72,$A284+1)+F285</f>
        <v>30290.0968279394</v>
      </c>
      <c r="G284" s="48" t="n">
        <f aca="false">C284*(IF($A284&lt;$Q$258,INDEX(Surface_Engine!$D$12:$D$72,$A284+1)+(Surface_Engine!B239*12)*INDEX(Surface_Engine!$F$12:$F$72,$A284+1)-(Surface_Engine!B239*12),1000*12*INDEX(Surface_Engine!$C$12:$C$72,$A284+1)/(1+Assumptions!$B$10)^12+INDEX(Surface_Engine!$D$12:$D$72,$A284+1)))*INDEX(Surface_Engine!$B$12:$B$72,$A284+1)+G285</f>
        <v>37965.551882777</v>
      </c>
      <c r="H284" s="48" t="n">
        <f aca="false">D284*(IF($A284&lt;$Q$258,INDEX(Surface_Engine!$D$12:$D$72,$A284+1)+(Surface_Engine!B239*12)*INDEX(Surface_Engine!$F$12:$F$72,$A284+1)-(Surface_Engine!B239*12),1000*12*INDEX(Surface_Engine!$C$12:$C$72,$A284+1)/(1+Assumptions!$B$10)^12+INDEX(Surface_Engine!$D$12:$D$72,$A284+1)))*INDEX(Surface_Engine!$B$12:$B$72,$A284+1)+H285</f>
        <v>27820.6403151632</v>
      </c>
      <c r="I284" s="48" t="n">
        <f aca="false">E284*(IF($A284&lt;$Q$258,INDEX(Surface_Engine!$D$12:$D$72,$A284+1)+(Surface_Engine!B239*12)*INDEX(Surface_Engine!$F$12:$F$72,$A284+1)-(Surface_Engine!B239*12),1000*12*INDEX(Surface_Engine!$C$12:$C$72,$A284+1)/(1+Assumptions!$B$10)^12+INDEX(Surface_Engine!$D$12:$D$72,$A284+1)))*INDEX(Surface_Engine!$B$12:$B$72,$A284+1)+I285</f>
        <v>32950.5766054962</v>
      </c>
      <c r="J284" s="48" t="n">
        <f aca="false">B284*(IF($A284&lt;$Q$258,INDEX(Surface_Engine!$D$12:$D$72,$A284+1)*(1+Assumptions!$B$24)+(Surface_Engine!B239*12)*INDEX(Surface_Engine!$F$12:$F$72,$A284+1)-(Surface_Engine!B239*12),1000*12*INDEX(Surface_Engine!$C$12:$C$72,$A284+1)/(1+Assumptions!$B$10)^12+INDEX(Surface_Engine!$D$12:$D$72,$A284+1)*(1+Assumptions!$B$24)))*INDEX(Surface_Engine!$B$12:$B$72,$A284+1)+J285</f>
        <v>30320.0604443566</v>
      </c>
      <c r="K284" s="12" t="n">
        <f aca="false">SQRT((IF(C284&lt;=0,0,MAX(0,(B284/C284)*G284/INDEX(Surface_Engine!$B$12:$B$72,$A284+1)-F284/INDEX(Surface_Engine!$B$12:$B$72,$A284+1))))^2+(MAX(IF(D284&lt;=0,0,MAX(0,(B284/D284)*H284/INDEX(Surface_Engine!$B$12:$B$72,$A284+1)-F284/INDEX(Surface_Engine!$B$12:$B$72,$A284+1))),IF(E284&lt;=0,0,MAX(0,(B284/E284)*I284/INDEX(Surface_Engine!$B$12:$B$72,$A284+1)-F284/INDEX(Surface_Engine!$B$12:$B$72,$A284+1))),IF($A284&lt;$Q$258,MAX(0,-Assumptions!$B$22*(F284/INDEX(Surface_Engine!$B$12:$B$72,$A284+1))),0)))^2+(MAX(0,J284/INDEX(Surface_Engine!$B$12:$B$72,$A284+1)-(F284/INDEX(Surface_Engine!$B$12:$B$72,$A284+1))))^2+2*Assumptions!$B$26*(IF(C284&lt;=0,0,MAX(0,(B284/C284)*G284/INDEX(Surface_Engine!$B$12:$B$72,$A284+1)-F284/INDEX(Surface_Engine!$B$12:$B$72,$A284+1))))*(MAX(IF(D284&lt;=0,0,MAX(0,(B284/D284)*H284/INDEX(Surface_Engine!$B$12:$B$72,$A284+1)-F284/INDEX(Surface_Engine!$B$12:$B$72,$A284+1))),IF(E284&lt;=0,0,MAX(0,(B284/E284)*I284/INDEX(Surface_Engine!$B$12:$B$72,$A284+1)-F284/INDEX(Surface_Engine!$B$12:$B$72,$A284+1))),IF($A284&lt;$Q$258,MAX(0,-Assumptions!$B$22*(F284/INDEX(Surface_Engine!$B$12:$B$72,$A284+1))),0)))+2*Assumptions!$B$27*(IF(C284&lt;=0,0,MAX(0,(B284/C284)*G284/INDEX(Surface_Engine!$B$12:$B$72,$A284+1)-F284/INDEX(Surface_Engine!$B$12:$B$72,$A284+1))))*(MAX(0,J284/INDEX(Surface_Engine!$B$12:$B$72,$A284+1)-(F284/INDEX(Surface_Engine!$B$12:$B$72,$A284+1))))+2*Assumptions!$B$28*(MAX(IF(D284&lt;=0,0,MAX(0,(B284/D284)*H284/INDEX(Surface_Engine!$B$12:$B$72,$A284+1)-F284/INDEX(Surface_Engine!$B$12:$B$72,$A284+1))),IF(E284&lt;=0,0,MAX(0,(B284/E284)*I284/INDEX(Surface_Engine!$B$12:$B$72,$A284+1)-F284/INDEX(Surface_Engine!$B$12:$B$72,$A284+1))),IF($A284&lt;$Q$258,MAX(0,-Assumptions!$B$22*(F284/INDEX(Surface_Engine!$B$12:$B$72,$A284+1))),0)))*(MAX(0,J284/INDEX(Surface_Engine!$B$12:$B$72,$A284+1)-(F284/INDEX(Surface_Engine!$B$12:$B$72,$A284+1)))))</f>
        <v>9142.45385752897</v>
      </c>
      <c r="L284" s="48" t="n">
        <f aca="false">K284*INDEX(Surface_Engine!$B$12:$B$72,$A284+1)+L285</f>
        <v>29614.8872134831</v>
      </c>
      <c r="M284" s="48" t="n">
        <f aca="false">M283+B283*(IF($A283&lt;$Q$258,(Surface_Engine!B239*12)-(Surface_Engine!B239*12)*INDEX(Surface_Engine!$F$12:$F$72,$A283+1)-INDEX(Surface_Engine!$D$12:$D$72,$A283+1),-(1000*12*INDEX(Surface_Engine!$C$12:$C$72,$A283+1)/(1+Assumptions!$B$10)^12+INDEX(Surface_Engine!$D$12:$D$72,$A283+1))))*INDEX(Surface_Engine!$B$12:$B$72,$A283+1)</f>
        <v>33825.0880923065</v>
      </c>
      <c r="N284" s="12" t="n">
        <f aca="false">IF(B284&lt;=0,0,MAX(0,(K284+Assumptions!$B$29*L284/INDEX(Surface_Engine!$B$12:$B$72,$A284+1)-(M284/INDEX(Surface_Engine!$B$12:$B$72,$A284+1)-(F284/INDEX(Surface_Engine!$B$12:$B$72,$A284+1))))/B284))</f>
        <v>10135.460659931</v>
      </c>
    </row>
    <row r="285" customFormat="false" ht="15" hidden="false" customHeight="true" outlineLevel="0" collapsed="false">
      <c r="A285" s="1" t="n">
        <v>25</v>
      </c>
      <c r="B285" s="32" t="n">
        <f aca="false">INDEX(Surface_Engine!$J$12:$J$72,$A285+1)*IF($A285&lt;$Q$258,INDEX(Surface_Engine!$E$12:$E$72,$A285+1),INDEX(Surface_Engine!$E$12:$E$72,$Q$258+1))</f>
        <v>0.50160086471025</v>
      </c>
      <c r="C285" s="32" t="n">
        <f aca="false">INDEX(Panel_Reserving!$C$8:$C$68,$A285+1)*IF($A285&lt;$Q$258,INDEX(Surface_Engine!$E$12:$E$72,$A285+1),INDEX(Surface_Engine!$E$12:$E$72,$Q$258+1))</f>
        <v>0.557663094091031</v>
      </c>
      <c r="D285" s="32" t="n">
        <f aca="false">INDEX(Surface_Engine!$J$12:$J$72,$A285+1)*IF($A285&lt;$Q$258,INDEX(Surface_Engine!$Y$12:$Y$72,$A285+1),INDEX(Surface_Engine!$Y$12:$Y$72,$Q$258+1))</f>
        <v>0.460706920751962</v>
      </c>
      <c r="E285" s="32" t="n">
        <f aca="false">INDEX(Surface_Engine!$J$12:$J$72,$A285+1)*IF($A285&lt;$Q$258,INDEX(Surface_Engine!$Z$12:$Z$72,$A285+1),INDEX(Surface_Engine!$Z$12:$Z$72,$Q$258+1))</f>
        <v>0.545658134138842</v>
      </c>
      <c r="F285" s="48" t="n">
        <f aca="false">B285*(IF($A285&lt;$Q$258,INDEX(Surface_Engine!$D$12:$D$72,$A285+1)+(Surface_Engine!B239*12)*INDEX(Surface_Engine!$F$12:$F$72,$A285+1)-(Surface_Engine!B239*12),1000*12*INDEX(Surface_Engine!$C$12:$C$72,$A285+1)/(1+Assumptions!$B$10)^12+INDEX(Surface_Engine!$D$12:$D$72,$A285+1)))*INDEX(Surface_Engine!$B$12:$B$72,$A285+1)+F286</f>
        <v>26407.4033130405</v>
      </c>
      <c r="G285" s="48" t="n">
        <f aca="false">C285*(IF($A285&lt;$Q$258,INDEX(Surface_Engine!$D$12:$D$72,$A285+1)+(Surface_Engine!B239*12)*INDEX(Surface_Engine!$F$12:$F$72,$A285+1)-(Surface_Engine!B239*12),1000*12*INDEX(Surface_Engine!$C$12:$C$72,$A285+1)/(1+Assumptions!$B$10)^12+INDEX(Surface_Engine!$D$12:$D$72,$A285+1)))*INDEX(Surface_Engine!$B$12:$B$72,$A285+1)+G286</f>
        <v>33705.3649895542</v>
      </c>
      <c r="H285" s="48" t="n">
        <f aca="false">D285*(IF($A285&lt;$Q$258,INDEX(Surface_Engine!$D$12:$D$72,$A285+1)+(Surface_Engine!B239*12)*INDEX(Surface_Engine!$F$12:$F$72,$A285+1)-(Surface_Engine!B239*12),1000*12*INDEX(Surface_Engine!$C$12:$C$72,$A285+1)/(1+Assumptions!$B$10)^12+INDEX(Surface_Engine!$D$12:$D$72,$A285+1)))*INDEX(Surface_Engine!$B$12:$B$72,$A285+1)+H286</f>
        <v>24254.490614632</v>
      </c>
      <c r="I285" s="48" t="n">
        <f aca="false">E285*(IF($A285&lt;$Q$258,INDEX(Surface_Engine!$D$12:$D$72,$A285+1)+(Surface_Engine!B239*12)*INDEX(Surface_Engine!$F$12:$F$72,$A285+1)-(Surface_Engine!B239*12),1000*12*INDEX(Surface_Engine!$C$12:$C$72,$A285+1)/(1+Assumptions!$B$10)^12+INDEX(Surface_Engine!$D$12:$D$72,$A285+1)))*INDEX(Surface_Engine!$B$12:$B$72,$A285+1)+I286</f>
        <v>28726.8532273546</v>
      </c>
      <c r="J285" s="48" t="n">
        <f aca="false">B285*(IF($A285&lt;$Q$258,INDEX(Surface_Engine!$D$12:$D$72,$A285+1)*(1+Assumptions!$B$24)+(Surface_Engine!B239*12)*INDEX(Surface_Engine!$F$12:$F$72,$A285+1)-(Surface_Engine!B239*12),1000*12*INDEX(Surface_Engine!$C$12:$C$72,$A285+1)/(1+Assumptions!$B$10)^12+INDEX(Surface_Engine!$D$12:$D$72,$A285+1)*(1+Assumptions!$B$24)))*INDEX(Surface_Engine!$B$12:$B$72,$A285+1)+J286</f>
        <v>26433.6195773128</v>
      </c>
      <c r="K285" s="12" t="n">
        <f aca="false">SQRT((IF(C285&lt;=0,0,MAX(0,(B285/C285)*G285/INDEX(Surface_Engine!$B$12:$B$72,$A285+1)-F285/INDEX(Surface_Engine!$B$12:$B$72,$A285+1))))^2+(MAX(IF(D285&lt;=0,0,MAX(0,(B285/D285)*H285/INDEX(Surface_Engine!$B$12:$B$72,$A285+1)-F285/INDEX(Surface_Engine!$B$12:$B$72,$A285+1))),IF(E285&lt;=0,0,MAX(0,(B285/E285)*I285/INDEX(Surface_Engine!$B$12:$B$72,$A285+1)-F285/INDEX(Surface_Engine!$B$12:$B$72,$A285+1))),IF($A285&lt;$Q$258,MAX(0,-Assumptions!$B$22*(F285/INDEX(Surface_Engine!$B$12:$B$72,$A285+1))),0)))^2+(MAX(0,J285/INDEX(Surface_Engine!$B$12:$B$72,$A285+1)-(F285/INDEX(Surface_Engine!$B$12:$B$72,$A285+1))))^2+2*Assumptions!$B$26*(IF(C285&lt;=0,0,MAX(0,(B285/C285)*G285/INDEX(Surface_Engine!$B$12:$B$72,$A285+1)-F285/INDEX(Surface_Engine!$B$12:$B$72,$A285+1))))*(MAX(IF(D285&lt;=0,0,MAX(0,(B285/D285)*H285/INDEX(Surface_Engine!$B$12:$B$72,$A285+1)-F285/INDEX(Surface_Engine!$B$12:$B$72,$A285+1))),IF(E285&lt;=0,0,MAX(0,(B285/E285)*I285/INDEX(Surface_Engine!$B$12:$B$72,$A285+1)-F285/INDEX(Surface_Engine!$B$12:$B$72,$A285+1))),IF($A285&lt;$Q$258,MAX(0,-Assumptions!$B$22*(F285/INDEX(Surface_Engine!$B$12:$B$72,$A285+1))),0)))+2*Assumptions!$B$27*(IF(C285&lt;=0,0,MAX(0,(B285/C285)*G285/INDEX(Surface_Engine!$B$12:$B$72,$A285+1)-F285/INDEX(Surface_Engine!$B$12:$B$72,$A285+1))))*(MAX(0,J285/INDEX(Surface_Engine!$B$12:$B$72,$A285+1)-(F285/INDEX(Surface_Engine!$B$12:$B$72,$A285+1))))+2*Assumptions!$B$28*(MAX(IF(D285&lt;=0,0,MAX(0,(B285/D285)*H285/INDEX(Surface_Engine!$B$12:$B$72,$A285+1)-F285/INDEX(Surface_Engine!$B$12:$B$72,$A285+1))),IF(E285&lt;=0,0,MAX(0,(B285/E285)*I285/INDEX(Surface_Engine!$B$12:$B$72,$A285+1)-F285/INDEX(Surface_Engine!$B$12:$B$72,$A285+1))),IF($A285&lt;$Q$258,MAX(0,-Assumptions!$B$22*(F285/INDEX(Surface_Engine!$B$12:$B$72,$A285+1))),0)))*(MAX(0,J285/INDEX(Surface_Engine!$B$12:$B$72,$A285+1)-(F285/INDEX(Surface_Engine!$B$12:$B$72,$A285+1)))))</f>
        <v>8555.08127896915</v>
      </c>
      <c r="L285" s="48" t="n">
        <f aca="false">K285*INDEX(Surface_Engine!$B$12:$B$72,$A285+1)+L286</f>
        <v>25295.9554789535</v>
      </c>
      <c r="M285" s="48" t="n">
        <f aca="false">M284+B284*(IF($A284&lt;$Q$258,(Surface_Engine!B239*12)-(Surface_Engine!B239*12)*INDEX(Surface_Engine!$F$12:$F$72,$A284+1)-INDEX(Surface_Engine!$D$12:$D$72,$A284+1),-(1000*12*INDEX(Surface_Engine!$C$12:$C$72,$A284+1)/(1+Assumptions!$B$10)^12+INDEX(Surface_Engine!$D$12:$D$72,$A284+1))))*INDEX(Surface_Engine!$B$12:$B$72,$A284+1)</f>
        <v>29942.3945774075</v>
      </c>
      <c r="N285" s="12" t="n">
        <f aca="false">IF(B285&lt;=0,0,MAX(0,(K285+Assumptions!$B$29*L285/INDEX(Surface_Engine!$B$12:$B$72,$A285+1)-(M285/INDEX(Surface_Engine!$B$12:$B$72,$A285+1)-(F285/INDEX(Surface_Engine!$B$12:$B$72,$A285+1))))/B285))</f>
        <v>8270.18789192669</v>
      </c>
    </row>
    <row r="286" customFormat="false" ht="15" hidden="false" customHeight="true" outlineLevel="0" collapsed="false">
      <c r="A286" s="1" t="n">
        <v>26</v>
      </c>
      <c r="B286" s="32" t="n">
        <f aca="false">INDEX(Surface_Engine!$J$12:$J$72,$A286+1)*IF($A286&lt;$Q$258,INDEX(Surface_Engine!$E$12:$E$72,$A286+1),INDEX(Surface_Engine!$E$12:$E$72,$Q$258+1))</f>
        <v>0.466223082491727</v>
      </c>
      <c r="C286" s="32" t="n">
        <f aca="false">INDEX(Panel_Reserving!$C$8:$C$68,$A286+1)*IF($A286&lt;$Q$258,INDEX(Surface_Engine!$E$12:$E$72,$A286+1),INDEX(Surface_Engine!$E$12:$E$72,$Q$258+1))</f>
        <v>0.526197624420508</v>
      </c>
      <c r="D286" s="32" t="n">
        <f aca="false">INDEX(Surface_Engine!$J$12:$J$72,$A286+1)*IF($A286&lt;$Q$258,INDEX(Surface_Engine!$Y$12:$Y$72,$A286+1),INDEX(Surface_Engine!$Y$12:$Y$72,$Q$258+1))</f>
        <v>0.428213378065698</v>
      </c>
      <c r="E286" s="32" t="n">
        <f aca="false">INDEX(Surface_Engine!$J$12:$J$72,$A286+1)*IF($A286&lt;$Q$258,INDEX(Surface_Engine!$Z$12:$Z$72,$A286+1),INDEX(Surface_Engine!$Z$12:$Z$72,$Q$258+1))</f>
        <v>0.507173003842105</v>
      </c>
      <c r="F286" s="48" t="n">
        <f aca="false">B286*(IF($A286&lt;$Q$258,INDEX(Surface_Engine!$D$12:$D$72,$A286+1)+(Surface_Engine!B239*12)*INDEX(Surface_Engine!$F$12:$F$72,$A286+1)-(Surface_Engine!B239*12),1000*12*INDEX(Surface_Engine!$C$12:$C$72,$A286+1)/(1+Assumptions!$B$10)^12+INDEX(Surface_Engine!$D$12:$D$72,$A286+1)))*INDEX(Surface_Engine!$B$12:$B$72,$A286+1)+F287</f>
        <v>22808.1510892542</v>
      </c>
      <c r="G286" s="48" t="n">
        <f aca="false">C286*(IF($A286&lt;$Q$258,INDEX(Surface_Engine!$D$12:$D$72,$A286+1)+(Surface_Engine!B239*12)*INDEX(Surface_Engine!$F$12:$F$72,$A286+1)-(Surface_Engine!B239*12),1000*12*INDEX(Surface_Engine!$C$12:$C$72,$A286+1)/(1+Assumptions!$B$10)^12+INDEX(Surface_Engine!$D$12:$D$72,$A286+1)))*INDEX(Surface_Engine!$B$12:$B$72,$A286+1)+G287</f>
        <v>29703.8365378636</v>
      </c>
      <c r="H286" s="48" t="n">
        <f aca="false">D286*(IF($A286&lt;$Q$258,INDEX(Surface_Engine!$D$12:$D$72,$A286+1)+(Surface_Engine!B239*12)*INDEX(Surface_Engine!$F$12:$F$72,$A286+1)-(Surface_Engine!B239*12),1000*12*INDEX(Surface_Engine!$C$12:$C$72,$A286+1)/(1+Assumptions!$B$10)^12+INDEX(Surface_Engine!$D$12:$D$72,$A286+1)))*INDEX(Surface_Engine!$B$12:$B$72,$A286+1)+H287</f>
        <v>20948.6741264804</v>
      </c>
      <c r="I286" s="48" t="n">
        <f aca="false">E286*(IF($A286&lt;$Q$258,INDEX(Surface_Engine!$D$12:$D$72,$A286+1)+(Surface_Engine!B239*12)*INDEX(Surface_Engine!$F$12:$F$72,$A286+1)-(Surface_Engine!B239*12),1000*12*INDEX(Surface_Engine!$C$12:$C$72,$A286+1)/(1+Assumptions!$B$10)^12+INDEX(Surface_Engine!$D$12:$D$72,$A286+1)))*INDEX(Surface_Engine!$B$12:$B$72,$A286+1)+I287</f>
        <v>24811.4667300432</v>
      </c>
      <c r="J286" s="48" t="n">
        <f aca="false">B286*(IF($A286&lt;$Q$258,INDEX(Surface_Engine!$D$12:$D$72,$A286+1)*(1+Assumptions!$B$24)+(Surface_Engine!B239*12)*INDEX(Surface_Engine!$F$12:$F$72,$A286+1)-(Surface_Engine!B239*12),1000*12*INDEX(Surface_Engine!$C$12:$C$72,$A286+1)/(1+Assumptions!$B$10)^12+INDEX(Surface_Engine!$D$12:$D$72,$A286+1)*(1+Assumptions!$B$24)))*INDEX(Surface_Engine!$B$12:$B$72,$A286+1)+J287</f>
        <v>22830.8766993492</v>
      </c>
      <c r="K286" s="12" t="n">
        <f aca="false">SQRT((IF(C286&lt;=0,0,MAX(0,(B286/C286)*G286/INDEX(Surface_Engine!$B$12:$B$72,$A286+1)-F286/INDEX(Surface_Engine!$B$12:$B$72,$A286+1))))^2+(MAX(IF(D286&lt;=0,0,MAX(0,(B286/D286)*H286/INDEX(Surface_Engine!$B$12:$B$72,$A286+1)-F286/INDEX(Surface_Engine!$B$12:$B$72,$A286+1))),IF(E286&lt;=0,0,MAX(0,(B286/E286)*I286/INDEX(Surface_Engine!$B$12:$B$72,$A286+1)-F286/INDEX(Surface_Engine!$B$12:$B$72,$A286+1))),IF($A286&lt;$Q$258,MAX(0,-Assumptions!$B$22*(F286/INDEX(Surface_Engine!$B$12:$B$72,$A286+1))),0)))^2+(MAX(0,J286/INDEX(Surface_Engine!$B$12:$B$72,$A286+1)-(F286/INDEX(Surface_Engine!$B$12:$B$72,$A286+1))))^2+2*Assumptions!$B$26*(IF(C286&lt;=0,0,MAX(0,(B286/C286)*G286/INDEX(Surface_Engine!$B$12:$B$72,$A286+1)-F286/INDEX(Surface_Engine!$B$12:$B$72,$A286+1))))*(MAX(IF(D286&lt;=0,0,MAX(0,(B286/D286)*H286/INDEX(Surface_Engine!$B$12:$B$72,$A286+1)-F286/INDEX(Surface_Engine!$B$12:$B$72,$A286+1))),IF(E286&lt;=0,0,MAX(0,(B286/E286)*I286/INDEX(Surface_Engine!$B$12:$B$72,$A286+1)-F286/INDEX(Surface_Engine!$B$12:$B$72,$A286+1))),IF($A286&lt;$Q$258,MAX(0,-Assumptions!$B$22*(F286/INDEX(Surface_Engine!$B$12:$B$72,$A286+1))),0)))+2*Assumptions!$B$27*(IF(C286&lt;=0,0,MAX(0,(B286/C286)*G286/INDEX(Surface_Engine!$B$12:$B$72,$A286+1)-F286/INDEX(Surface_Engine!$B$12:$B$72,$A286+1))))*(MAX(0,J286/INDEX(Surface_Engine!$B$12:$B$72,$A286+1)-(F286/INDEX(Surface_Engine!$B$12:$B$72,$A286+1))))+2*Assumptions!$B$28*(MAX(IF(D286&lt;=0,0,MAX(0,(B286/D286)*H286/INDEX(Surface_Engine!$B$12:$B$72,$A286+1)-F286/INDEX(Surface_Engine!$B$12:$B$72,$A286+1))),IF(E286&lt;=0,0,MAX(0,(B286/E286)*I286/INDEX(Surface_Engine!$B$12:$B$72,$A286+1)-F286/INDEX(Surface_Engine!$B$12:$B$72,$A286+1))),IF($A286&lt;$Q$258,MAX(0,-Assumptions!$B$22*(F286/INDEX(Surface_Engine!$B$12:$B$72,$A286+1))),0)))*(MAX(0,J286/INDEX(Surface_Engine!$B$12:$B$72,$A286+1)-(F286/INDEX(Surface_Engine!$B$12:$B$72,$A286+1)))))</f>
        <v>7928.45794078531</v>
      </c>
      <c r="L286" s="48" t="n">
        <f aca="false">K286*INDEX(Surface_Engine!$B$12:$B$72,$A286+1)+L287</f>
        <v>21379.7794816446</v>
      </c>
      <c r="M286" s="48" t="n">
        <f aca="false">M285+B285*(IF($A285&lt;$Q$258,(Surface_Engine!B239*12)-(Surface_Engine!B239*12)*INDEX(Surface_Engine!$F$12:$F$72,$A285+1)-INDEX(Surface_Engine!$D$12:$D$72,$A285+1),-(1000*12*INDEX(Surface_Engine!$C$12:$C$72,$A285+1)/(1+Assumptions!$B$10)^12+INDEX(Surface_Engine!$D$12:$D$72,$A285+1))))*INDEX(Surface_Engine!$B$12:$B$72,$A285+1)</f>
        <v>26343.1423536213</v>
      </c>
      <c r="N286" s="12" t="n">
        <f aca="false">IF(B286&lt;=0,0,MAX(0,(K286+Assumptions!$B$29*L286/INDEX(Surface_Engine!$B$12:$B$72,$A286+1)-(M286/INDEX(Surface_Engine!$B$12:$B$72,$A286+1)-(F286/INDEX(Surface_Engine!$B$12:$B$72,$A286+1))))/B286))</f>
        <v>6112.16940448373</v>
      </c>
    </row>
    <row r="287" customFormat="false" ht="15" hidden="false" customHeight="true" outlineLevel="0" collapsed="false">
      <c r="A287" s="1" t="n">
        <v>27</v>
      </c>
      <c r="B287" s="32" t="n">
        <f aca="false">INDEX(Surface_Engine!$J$12:$J$72,$A287+1)*IF($A287&lt;$Q$258,INDEX(Surface_Engine!$E$12:$E$72,$A287+1),INDEX(Surface_Engine!$E$12:$E$72,$Q$258+1))</f>
        <v>0.428940643342723</v>
      </c>
      <c r="C287" s="32" t="n">
        <f aca="false">INDEX(Panel_Reserving!$C$8:$C$68,$A287+1)*IF($A287&lt;$Q$258,INDEX(Surface_Engine!$E$12:$E$72,$A287+1),INDEX(Surface_Engine!$E$12:$E$72,$Q$258+1))</f>
        <v>0.492534888018938</v>
      </c>
      <c r="D287" s="32" t="n">
        <f aca="false">INDEX(Surface_Engine!$J$12:$J$72,$A287+1)*IF($A287&lt;$Q$258,INDEX(Surface_Engine!$Y$12:$Y$72,$A287+1),INDEX(Surface_Engine!$Y$12:$Y$72,$Q$258+1))</f>
        <v>0.393970459149715</v>
      </c>
      <c r="E287" s="32" t="n">
        <f aca="false">INDEX(Surface_Engine!$J$12:$J$72,$A287+1)*IF($A287&lt;$Q$258,INDEX(Surface_Engine!$Z$12:$Z$72,$A287+1),INDEX(Surface_Engine!$Z$12:$Z$72,$Q$258+1))</f>
        <v>0.466615924272592</v>
      </c>
      <c r="F287" s="48" t="n">
        <f aca="false">B287*(IF($A287&lt;$Q$258,INDEX(Surface_Engine!$D$12:$D$72,$A287+1)+(Surface_Engine!B239*12)*INDEX(Surface_Engine!$F$12:$F$72,$A287+1)-(Surface_Engine!B239*12),1000*12*INDEX(Surface_Engine!$C$12:$C$72,$A287+1)/(1+Assumptions!$B$10)^12+INDEX(Surface_Engine!$D$12:$D$72,$A287+1)))*INDEX(Surface_Engine!$B$12:$B$72,$A287+1)+F288</f>
        <v>19502.3612882031</v>
      </c>
      <c r="G287" s="48" t="n">
        <f aca="false">C287*(IF($A287&lt;$Q$258,INDEX(Surface_Engine!$D$12:$D$72,$A287+1)+(Surface_Engine!B239*12)*INDEX(Surface_Engine!$F$12:$F$72,$A287+1)-(Surface_Engine!B239*12),1000*12*INDEX(Surface_Engine!$C$12:$C$72,$A287+1)/(1+Assumptions!$B$10)^12+INDEX(Surface_Engine!$D$12:$D$72,$A287+1)))*INDEX(Surface_Engine!$B$12:$B$72,$A287+1)+G288</f>
        <v>25972.7927404396</v>
      </c>
      <c r="H287" s="48" t="n">
        <f aca="false">D287*(IF($A287&lt;$Q$258,INDEX(Surface_Engine!$D$12:$D$72,$A287+1)+(Surface_Engine!B239*12)*INDEX(Surface_Engine!$F$12:$F$72,$A287+1)-(Surface_Engine!B239*12),1000*12*INDEX(Surface_Engine!$C$12:$C$72,$A287+1)/(1+Assumptions!$B$10)^12+INDEX(Surface_Engine!$D$12:$D$72,$A287+1)))*INDEX(Surface_Engine!$B$12:$B$72,$A287+1)+H288</f>
        <v>17912.3949909266</v>
      </c>
      <c r="I287" s="48" t="n">
        <f aca="false">E287*(IF($A287&lt;$Q$258,INDEX(Surface_Engine!$D$12:$D$72,$A287+1)+(Surface_Engine!B239*12)*INDEX(Surface_Engine!$F$12:$F$72,$A287+1)-(Surface_Engine!B239*12),1000*12*INDEX(Surface_Engine!$C$12:$C$72,$A287+1)/(1+Assumptions!$B$10)^12+INDEX(Surface_Engine!$D$12:$D$72,$A287+1)))*INDEX(Surface_Engine!$B$12:$B$72,$A287+1)+I288</f>
        <v>21215.3184344481</v>
      </c>
      <c r="J287" s="48" t="n">
        <f aca="false">B287*(IF($A287&lt;$Q$258,INDEX(Surface_Engine!$D$12:$D$72,$A287+1)*(1+Assumptions!$B$24)+(Surface_Engine!B239*12)*INDEX(Surface_Engine!$F$12:$F$72,$A287+1)-(Surface_Engine!B239*12),1000*12*INDEX(Surface_Engine!$C$12:$C$72,$A287+1)/(1+Assumptions!$B$10)^12+INDEX(Surface_Engine!$D$12:$D$72,$A287+1)*(1+Assumptions!$B$24)))*INDEX(Surface_Engine!$B$12:$B$72,$A287+1)+J288</f>
        <v>19521.8652893248</v>
      </c>
      <c r="K287" s="12" t="n">
        <f aca="false">SQRT((IF(C287&lt;=0,0,MAX(0,(B287/C287)*G287/INDEX(Surface_Engine!$B$12:$B$72,$A287+1)-F287/INDEX(Surface_Engine!$B$12:$B$72,$A287+1))))^2+(MAX(IF(D287&lt;=0,0,MAX(0,(B287/D287)*H287/INDEX(Surface_Engine!$B$12:$B$72,$A287+1)-F287/INDEX(Surface_Engine!$B$12:$B$72,$A287+1))),IF(E287&lt;=0,0,MAX(0,(B287/E287)*I287/INDEX(Surface_Engine!$B$12:$B$72,$A287+1)-F287/INDEX(Surface_Engine!$B$12:$B$72,$A287+1))),IF($A287&lt;$Q$258,MAX(0,-Assumptions!$B$22*(F287/INDEX(Surface_Engine!$B$12:$B$72,$A287+1))),0)))^2+(MAX(0,J287/INDEX(Surface_Engine!$B$12:$B$72,$A287+1)-(F287/INDEX(Surface_Engine!$B$12:$B$72,$A287+1))))^2+2*Assumptions!$B$26*(IF(C287&lt;=0,0,MAX(0,(B287/C287)*G287/INDEX(Surface_Engine!$B$12:$B$72,$A287+1)-F287/INDEX(Surface_Engine!$B$12:$B$72,$A287+1))))*(MAX(IF(D287&lt;=0,0,MAX(0,(B287/D287)*H287/INDEX(Surface_Engine!$B$12:$B$72,$A287+1)-F287/INDEX(Surface_Engine!$B$12:$B$72,$A287+1))),IF(E287&lt;=0,0,MAX(0,(B287/E287)*I287/INDEX(Surface_Engine!$B$12:$B$72,$A287+1)-F287/INDEX(Surface_Engine!$B$12:$B$72,$A287+1))),IF($A287&lt;$Q$258,MAX(0,-Assumptions!$B$22*(F287/INDEX(Surface_Engine!$B$12:$B$72,$A287+1))),0)))+2*Assumptions!$B$27*(IF(C287&lt;=0,0,MAX(0,(B287/C287)*G287/INDEX(Surface_Engine!$B$12:$B$72,$A287+1)-F287/INDEX(Surface_Engine!$B$12:$B$72,$A287+1))))*(MAX(0,J287/INDEX(Surface_Engine!$B$12:$B$72,$A287+1)-(F287/INDEX(Surface_Engine!$B$12:$B$72,$A287+1))))+2*Assumptions!$B$28*(MAX(IF(D287&lt;=0,0,MAX(0,(B287/D287)*H287/INDEX(Surface_Engine!$B$12:$B$72,$A287+1)-F287/INDEX(Surface_Engine!$B$12:$B$72,$A287+1))),IF(E287&lt;=0,0,MAX(0,(B287/E287)*I287/INDEX(Surface_Engine!$B$12:$B$72,$A287+1)-F287/INDEX(Surface_Engine!$B$12:$B$72,$A287+1))),IF($A287&lt;$Q$258,MAX(0,-Assumptions!$B$22*(F287/INDEX(Surface_Engine!$B$12:$B$72,$A287+1))),0)))*(MAX(0,J287/INDEX(Surface_Engine!$B$12:$B$72,$A287+1)-(F287/INDEX(Surface_Engine!$B$12:$B$72,$A287+1)))))</f>
        <v>7265.48585350255</v>
      </c>
      <c r="L287" s="48" t="n">
        <f aca="false">K287*INDEX(Surface_Engine!$B$12:$B$72,$A287+1)+L288</f>
        <v>17863.9044594908</v>
      </c>
      <c r="M287" s="48" t="n">
        <f aca="false">M286+B286*(IF($A286&lt;$Q$258,(Surface_Engine!B239*12)-(Surface_Engine!B239*12)*INDEX(Surface_Engine!$F$12:$F$72,$A286+1)-INDEX(Surface_Engine!$D$12:$D$72,$A286+1),-(1000*12*INDEX(Surface_Engine!$C$12:$C$72,$A286+1)/(1+Assumptions!$B$10)^12+INDEX(Surface_Engine!$D$12:$D$72,$A286+1))))*INDEX(Surface_Engine!$B$12:$B$72,$A286+1)</f>
        <v>23037.3525525702</v>
      </c>
      <c r="N287" s="12" t="n">
        <f aca="false">IF(B287&lt;=0,0,MAX(0,(K287+Assumptions!$B$29*L287/INDEX(Surface_Engine!$B$12:$B$72,$A287+1)-(M287/INDEX(Surface_Engine!$B$12:$B$72,$A287+1)-(F287/INDEX(Surface_Engine!$B$12:$B$72,$A287+1))))/B287))</f>
        <v>3573.89200511045</v>
      </c>
    </row>
    <row r="288" customFormat="false" ht="15" hidden="false" customHeight="true" outlineLevel="0" collapsed="false">
      <c r="A288" s="1" t="n">
        <v>28</v>
      </c>
      <c r="B288" s="32" t="n">
        <f aca="false">INDEX(Surface_Engine!$J$12:$J$72,$A288+1)*IF($A288&lt;$Q$258,INDEX(Surface_Engine!$E$12:$E$72,$A288+1),INDEX(Surface_Engine!$E$12:$E$72,$Q$258+1))</f>
        <v>0.3888616329753</v>
      </c>
      <c r="C288" s="32" t="n">
        <f aca="false">INDEX(Panel_Reserving!$C$8:$C$68,$A288+1)*IF($A288&lt;$Q$258,INDEX(Surface_Engine!$E$12:$E$72,$A288+1),INDEX(Surface_Engine!$E$12:$E$72,$Q$258+1))</f>
        <v>0.455718025472376</v>
      </c>
      <c r="D288" s="32" t="n">
        <f aca="false">INDEX(Surface_Engine!$J$12:$J$72,$A288+1)*IF($A288&lt;$Q$258,INDEX(Surface_Engine!$Y$12:$Y$72,$A288+1),INDEX(Surface_Engine!$Y$12:$Y$72,$Q$258+1))</f>
        <v>0.357158964688222</v>
      </c>
      <c r="E288" s="32" t="n">
        <f aca="false">INDEX(Surface_Engine!$J$12:$J$72,$A288+1)*IF($A288&lt;$Q$258,INDEX(Surface_Engine!$Z$12:$Z$72,$A288+1),INDEX(Surface_Engine!$Z$12:$Z$72,$Q$258+1))</f>
        <v>0.423016641349002</v>
      </c>
      <c r="F288" s="48" t="n">
        <f aca="false">B288*(IF($A288&lt;$Q$258,INDEX(Surface_Engine!$D$12:$D$72,$A288+1)+(Surface_Engine!B239*12)*INDEX(Surface_Engine!$F$12:$F$72,$A288+1)-(Surface_Engine!B239*12),1000*12*INDEX(Surface_Engine!$C$12:$C$72,$A288+1)/(1+Assumptions!$B$10)^12+INDEX(Surface_Engine!$D$12:$D$72,$A288+1)))*INDEX(Surface_Engine!$B$12:$B$72,$A288+1)+F289</f>
        <v>16496.2639673559</v>
      </c>
      <c r="G288" s="48" t="n">
        <f aca="false">C288*(IF($A288&lt;$Q$258,INDEX(Surface_Engine!$D$12:$D$72,$A288+1)+(Surface_Engine!B239*12)*INDEX(Surface_Engine!$F$12:$F$72,$A288+1)-(Surface_Engine!B239*12),1000*12*INDEX(Surface_Engine!$C$12:$C$72,$A288+1)/(1+Assumptions!$B$10)^12+INDEX(Surface_Engine!$D$12:$D$72,$A288+1)))*INDEX(Surface_Engine!$B$12:$B$72,$A288+1)+G289</f>
        <v>22521.0149005987</v>
      </c>
      <c r="H288" s="48" t="n">
        <f aca="false">D288*(IF($A288&lt;$Q$258,INDEX(Surface_Engine!$D$12:$D$72,$A288+1)+(Surface_Engine!B239*12)*INDEX(Surface_Engine!$F$12:$F$72,$A288+1)-(Surface_Engine!B239*12),1000*12*INDEX(Surface_Engine!$C$12:$C$72,$A288+1)/(1+Assumptions!$B$10)^12+INDEX(Surface_Engine!$D$12:$D$72,$A288+1)))*INDEX(Surface_Engine!$B$12:$B$72,$A288+1)+H289</f>
        <v>15151.3753484101</v>
      </c>
      <c r="I288" s="48" t="n">
        <f aca="false">E288*(IF($A288&lt;$Q$258,INDEX(Surface_Engine!$D$12:$D$72,$A288+1)+(Surface_Engine!B239*12)*INDEX(Surface_Engine!$F$12:$F$72,$A288+1)-(Surface_Engine!B239*12),1000*12*INDEX(Surface_Engine!$C$12:$C$72,$A288+1)/(1+Assumptions!$B$10)^12+INDEX(Surface_Engine!$D$12:$D$72,$A288+1)))*INDEX(Surface_Engine!$B$12:$B$72,$A288+1)+I289</f>
        <v>17945.1856046716</v>
      </c>
      <c r="J288" s="48" t="n">
        <f aca="false">B288*(IF($A288&lt;$Q$258,INDEX(Surface_Engine!$D$12:$D$72,$A288+1)*(1+Assumptions!$B$24)+(Surface_Engine!B239*12)*INDEX(Surface_Engine!$F$12:$F$72,$A288+1)-(Surface_Engine!B239*12),1000*12*INDEX(Surface_Engine!$C$12:$C$72,$A288+1)/(1+Assumptions!$B$10)^12+INDEX(Surface_Engine!$D$12:$D$72,$A288+1)*(1+Assumptions!$B$24)))*INDEX(Surface_Engine!$B$12:$B$72,$A288+1)+J289</f>
        <v>16512.824200514</v>
      </c>
      <c r="K288" s="12" t="n">
        <f aca="false">SQRT((IF(C288&lt;=0,0,MAX(0,(B288/C288)*G288/INDEX(Surface_Engine!$B$12:$B$72,$A288+1)-F288/INDEX(Surface_Engine!$B$12:$B$72,$A288+1))))^2+(MAX(IF(D288&lt;=0,0,MAX(0,(B288/D288)*H288/INDEX(Surface_Engine!$B$12:$B$72,$A288+1)-F288/INDEX(Surface_Engine!$B$12:$B$72,$A288+1))),IF(E288&lt;=0,0,MAX(0,(B288/E288)*I288/INDEX(Surface_Engine!$B$12:$B$72,$A288+1)-F288/INDEX(Surface_Engine!$B$12:$B$72,$A288+1))),IF($A288&lt;$Q$258,MAX(0,-Assumptions!$B$22*(F288/INDEX(Surface_Engine!$B$12:$B$72,$A288+1))),0)))^2+(MAX(0,J288/INDEX(Surface_Engine!$B$12:$B$72,$A288+1)-(F288/INDEX(Surface_Engine!$B$12:$B$72,$A288+1))))^2+2*Assumptions!$B$26*(IF(C288&lt;=0,0,MAX(0,(B288/C288)*G288/INDEX(Surface_Engine!$B$12:$B$72,$A288+1)-F288/INDEX(Surface_Engine!$B$12:$B$72,$A288+1))))*(MAX(IF(D288&lt;=0,0,MAX(0,(B288/D288)*H288/INDEX(Surface_Engine!$B$12:$B$72,$A288+1)-F288/INDEX(Surface_Engine!$B$12:$B$72,$A288+1))),IF(E288&lt;=0,0,MAX(0,(B288/E288)*I288/INDEX(Surface_Engine!$B$12:$B$72,$A288+1)-F288/INDEX(Surface_Engine!$B$12:$B$72,$A288+1))),IF($A288&lt;$Q$258,MAX(0,-Assumptions!$B$22*(F288/INDEX(Surface_Engine!$B$12:$B$72,$A288+1))),0)))+2*Assumptions!$B$27*(IF(C288&lt;=0,0,MAX(0,(B288/C288)*G288/INDEX(Surface_Engine!$B$12:$B$72,$A288+1)-F288/INDEX(Surface_Engine!$B$12:$B$72,$A288+1))))*(MAX(0,J288/INDEX(Surface_Engine!$B$12:$B$72,$A288+1)-(F288/INDEX(Surface_Engine!$B$12:$B$72,$A288+1))))+2*Assumptions!$B$28*(MAX(IF(D288&lt;=0,0,MAX(0,(B288/D288)*H288/INDEX(Surface_Engine!$B$12:$B$72,$A288+1)-F288/INDEX(Surface_Engine!$B$12:$B$72,$A288+1))),IF(E288&lt;=0,0,MAX(0,(B288/E288)*I288/INDEX(Surface_Engine!$B$12:$B$72,$A288+1)-F288/INDEX(Surface_Engine!$B$12:$B$72,$A288+1))),IF($A288&lt;$Q$258,MAX(0,-Assumptions!$B$22*(F288/INDEX(Surface_Engine!$B$12:$B$72,$A288+1))),0)))*(MAX(0,J288/INDEX(Surface_Engine!$B$12:$B$72,$A288+1)-(F288/INDEX(Surface_Engine!$B$12:$B$72,$A288+1)))))</f>
        <v>6546.93149233573</v>
      </c>
      <c r="L288" s="48" t="n">
        <f aca="false">K288*INDEX(Surface_Engine!$B$12:$B$72,$A288+1)+L289</f>
        <v>14742.0488001064</v>
      </c>
      <c r="M288" s="48" t="n">
        <f aca="false">M287+B287*(IF($A287&lt;$Q$258,(Surface_Engine!B239*12)-(Surface_Engine!B239*12)*INDEX(Surface_Engine!$F$12:$F$72,$A287+1)-INDEX(Surface_Engine!$D$12:$D$72,$A287+1),-(1000*12*INDEX(Surface_Engine!$C$12:$C$72,$A287+1)/(1+Assumptions!$B$10)^12+INDEX(Surface_Engine!$D$12:$D$72,$A287+1))))*INDEX(Surface_Engine!$B$12:$B$72,$A287+1)</f>
        <v>20031.255231723</v>
      </c>
      <c r="N288" s="12" t="n">
        <f aca="false">IF(B288&lt;=0,0,MAX(0,(K288+Assumptions!$B$29*L288/INDEX(Surface_Engine!$B$12:$B$72,$A288+1)-(M288/INDEX(Surface_Engine!$B$12:$B$72,$A288+1)-(F288/INDEX(Surface_Engine!$B$12:$B$72,$A288+1))))/B288))</f>
        <v>460.359572454499</v>
      </c>
    </row>
    <row r="289" customFormat="false" ht="15" hidden="false" customHeight="true" outlineLevel="0" collapsed="false">
      <c r="A289" s="1" t="n">
        <v>29</v>
      </c>
      <c r="B289" s="32" t="n">
        <f aca="false">INDEX(Surface_Engine!$J$12:$J$72,$A289+1)*IF($A289&lt;$Q$258,INDEX(Surface_Engine!$E$12:$E$72,$A289+1),INDEX(Surface_Engine!$E$12:$E$72,$Q$258+1))</f>
        <v>0.347861670989958</v>
      </c>
      <c r="C289" s="32" t="n">
        <f aca="false">INDEX(Panel_Reserving!$C$8:$C$68,$A289+1)*IF($A289&lt;$Q$258,INDEX(Surface_Engine!$E$12:$E$72,$A289+1),INDEX(Surface_Engine!$E$12:$E$72,$Q$258+1))</f>
        <v>0.417278806714913</v>
      </c>
      <c r="D289" s="32" t="n">
        <f aca="false">INDEX(Surface_Engine!$J$12:$J$72,$A289+1)*IF($A289&lt;$Q$258,INDEX(Surface_Engine!$Y$12:$Y$72,$A289+1),INDEX(Surface_Engine!$Y$12:$Y$72,$Q$258+1))</f>
        <v>0.319501600903322</v>
      </c>
      <c r="E289" s="32" t="n">
        <f aca="false">INDEX(Surface_Engine!$J$12:$J$72,$A289+1)*IF($A289&lt;$Q$258,INDEX(Surface_Engine!$Z$12:$Z$72,$A289+1),INDEX(Surface_Engine!$Z$12:$Z$72,$Q$258+1))</f>
        <v>0.378415516569027</v>
      </c>
      <c r="F289" s="48" t="n">
        <f aca="false">B289*(IF($A289&lt;$Q$258,INDEX(Surface_Engine!$D$12:$D$72,$A289+1)+(Surface_Engine!B239*12)*INDEX(Surface_Engine!$F$12:$F$72,$A289+1)-(Surface_Engine!B239*12),1000*12*INDEX(Surface_Engine!$C$12:$C$72,$A289+1)/(1+Assumptions!$B$10)^12+INDEX(Surface_Engine!$D$12:$D$72,$A289+1)))*INDEX(Surface_Engine!$B$12:$B$72,$A289+1)+F290</f>
        <v>13803.4947423604</v>
      </c>
      <c r="G289" s="48" t="n">
        <f aca="false">C289*(IF($A289&lt;$Q$258,INDEX(Surface_Engine!$D$12:$D$72,$A289+1)+(Surface_Engine!B239*12)*INDEX(Surface_Engine!$F$12:$F$72,$A289+1)-(Surface_Engine!B239*12),1000*12*INDEX(Surface_Engine!$C$12:$C$72,$A289+1)/(1+Assumptions!$B$10)^12+INDEX(Surface_Engine!$D$12:$D$72,$A289+1)))*INDEX(Surface_Engine!$B$12:$B$72,$A289+1)+G290</f>
        <v>19365.2819349202</v>
      </c>
      <c r="H289" s="48" t="n">
        <f aca="false">D289*(IF($A289&lt;$Q$258,INDEX(Surface_Engine!$D$12:$D$72,$A289+1)+(Surface_Engine!B239*12)*INDEX(Surface_Engine!$F$12:$F$72,$A289+1)-(Surface_Engine!B239*12),1000*12*INDEX(Surface_Engine!$C$12:$C$72,$A289+1)/(1+Assumptions!$B$10)^12+INDEX(Surface_Engine!$D$12:$D$72,$A289+1)))*INDEX(Surface_Engine!$B$12:$B$72,$A289+1)+H290</f>
        <v>12678.1391456377</v>
      </c>
      <c r="I289" s="48" t="n">
        <f aca="false">E289*(IF($A289&lt;$Q$258,INDEX(Surface_Engine!$D$12:$D$72,$A289+1)+(Surface_Engine!B239*12)*INDEX(Surface_Engine!$F$12:$F$72,$A289+1)-(Surface_Engine!B239*12),1000*12*INDEX(Surface_Engine!$C$12:$C$72,$A289+1)/(1+Assumptions!$B$10)^12+INDEX(Surface_Engine!$D$12:$D$72,$A289+1)))*INDEX(Surface_Engine!$B$12:$B$72,$A289+1)+I290</f>
        <v>15015.9015177586</v>
      </c>
      <c r="J289" s="48" t="n">
        <f aca="false">B289*(IF($A289&lt;$Q$258,INDEX(Surface_Engine!$D$12:$D$72,$A289+1)*(1+Assumptions!$B$24)+(Surface_Engine!B239*12)*INDEX(Surface_Engine!$F$12:$F$72,$A289+1)-(Surface_Engine!B239*12),1000*12*INDEX(Surface_Engine!$C$12:$C$72,$A289+1)/(1+Assumptions!$B$10)^12+INDEX(Surface_Engine!$D$12:$D$72,$A289+1)*(1+Assumptions!$B$24)))*INDEX(Surface_Engine!$B$12:$B$72,$A289+1)+J290</f>
        <v>13817.4052400451</v>
      </c>
      <c r="K289" s="12" t="n">
        <f aca="false">SQRT((IF(C289&lt;=0,0,MAX(0,(B289/C289)*G289/INDEX(Surface_Engine!$B$12:$B$72,$A289+1)-F289/INDEX(Surface_Engine!$B$12:$B$72,$A289+1))))^2+(MAX(IF(D289&lt;=0,0,MAX(0,(B289/D289)*H289/INDEX(Surface_Engine!$B$12:$B$72,$A289+1)-F289/INDEX(Surface_Engine!$B$12:$B$72,$A289+1))),IF(E289&lt;=0,0,MAX(0,(B289/E289)*I289/INDEX(Surface_Engine!$B$12:$B$72,$A289+1)-F289/INDEX(Surface_Engine!$B$12:$B$72,$A289+1))),IF($A289&lt;$Q$258,MAX(0,-Assumptions!$B$22*(F289/INDEX(Surface_Engine!$B$12:$B$72,$A289+1))),0)))^2+(MAX(0,J289/INDEX(Surface_Engine!$B$12:$B$72,$A289+1)-(F289/INDEX(Surface_Engine!$B$12:$B$72,$A289+1))))^2+2*Assumptions!$B$26*(IF(C289&lt;=0,0,MAX(0,(B289/C289)*G289/INDEX(Surface_Engine!$B$12:$B$72,$A289+1)-F289/INDEX(Surface_Engine!$B$12:$B$72,$A289+1))))*(MAX(IF(D289&lt;=0,0,MAX(0,(B289/D289)*H289/INDEX(Surface_Engine!$B$12:$B$72,$A289+1)-F289/INDEX(Surface_Engine!$B$12:$B$72,$A289+1))),IF(E289&lt;=0,0,MAX(0,(B289/E289)*I289/INDEX(Surface_Engine!$B$12:$B$72,$A289+1)-F289/INDEX(Surface_Engine!$B$12:$B$72,$A289+1))),IF($A289&lt;$Q$258,MAX(0,-Assumptions!$B$22*(F289/INDEX(Surface_Engine!$B$12:$B$72,$A289+1))),0)))+2*Assumptions!$B$27*(IF(C289&lt;=0,0,MAX(0,(B289/C289)*G289/INDEX(Surface_Engine!$B$12:$B$72,$A289+1)-F289/INDEX(Surface_Engine!$B$12:$B$72,$A289+1))))*(MAX(0,J289/INDEX(Surface_Engine!$B$12:$B$72,$A289+1)-(F289/INDEX(Surface_Engine!$B$12:$B$72,$A289+1))))+2*Assumptions!$B$28*(MAX(IF(D289&lt;=0,0,MAX(0,(B289/D289)*H289/INDEX(Surface_Engine!$B$12:$B$72,$A289+1)-F289/INDEX(Surface_Engine!$B$12:$B$72,$A289+1))),IF(E289&lt;=0,0,MAX(0,(B289/E289)*I289/INDEX(Surface_Engine!$B$12:$B$72,$A289+1)-F289/INDEX(Surface_Engine!$B$12:$B$72,$A289+1))),IF($A289&lt;$Q$258,MAX(0,-Assumptions!$B$22*(F289/INDEX(Surface_Engine!$B$12:$B$72,$A289+1))),0)))*(MAX(0,J289/INDEX(Surface_Engine!$B$12:$B$72,$A289+1)-(F289/INDEX(Surface_Engine!$B$12:$B$72,$A289+1)))))</f>
        <v>5813.35966279664</v>
      </c>
      <c r="L289" s="48" t="n">
        <f aca="false">K289*INDEX(Surface_Engine!$B$12:$B$72,$A289+1)+L290</f>
        <v>12017.0699402599</v>
      </c>
      <c r="M289" s="48" t="n">
        <f aca="false">M288+B288*(IF($A288&lt;$Q$258,(Surface_Engine!B239*12)-(Surface_Engine!B239*12)*INDEX(Surface_Engine!$F$12:$F$72,$A288+1)-INDEX(Surface_Engine!$D$12:$D$72,$A288+1),-(1000*12*INDEX(Surface_Engine!$C$12:$C$72,$A288+1)/(1+Assumptions!$B$10)^12+INDEX(Surface_Engine!$D$12:$D$72,$A288+1))))*INDEX(Surface_Engine!$B$12:$B$72,$A288+1)</f>
        <v>17338.4860067275</v>
      </c>
      <c r="N289" s="12" t="n">
        <f aca="false">IF(B289&lt;=0,0,MAX(0,(K289+Assumptions!$B$29*L289/INDEX(Surface_Engine!$B$12:$B$72,$A289+1)-(M289/INDEX(Surface_Engine!$B$12:$B$72,$A289+1)-(F289/INDEX(Surface_Engine!$B$12:$B$72,$A289+1))))/B289))</f>
        <v>0</v>
      </c>
    </row>
    <row r="290" customFormat="false" ht="15" hidden="false" customHeight="true" outlineLevel="0" collapsed="false">
      <c r="A290" s="1" t="n">
        <v>30</v>
      </c>
      <c r="B290" s="32" t="n">
        <f aca="false">INDEX(Surface_Engine!$J$12:$J$72,$A290+1)*IF($A290&lt;$Q$258,INDEX(Surface_Engine!$E$12:$E$72,$A290+1),INDEX(Surface_Engine!$E$12:$E$72,$Q$258+1))</f>
        <v>0.30692755984289</v>
      </c>
      <c r="C290" s="32" t="n">
        <f aca="false">INDEX(Panel_Reserving!$C$8:$C$68,$A290+1)*IF($A290&lt;$Q$258,INDEX(Surface_Engine!$E$12:$E$72,$A290+1),INDEX(Surface_Engine!$E$12:$E$72,$Q$258+1))</f>
        <v>0.377996670215598</v>
      </c>
      <c r="D290" s="32" t="n">
        <f aca="false">INDEX(Surface_Engine!$J$12:$J$72,$A290+1)*IF($A290&lt;$Q$258,INDEX(Surface_Engine!$Y$12:$Y$72,$A290+1),INDEX(Surface_Engine!$Y$12:$Y$72,$Q$258+1))</f>
        <v>0.281904719344559</v>
      </c>
      <c r="E290" s="32" t="n">
        <f aca="false">INDEX(Surface_Engine!$J$12:$J$72,$A290+1)*IF($A290&lt;$Q$258,INDEX(Surface_Engine!$Z$12:$Z$72,$A290+1),INDEX(Surface_Engine!$Z$12:$Z$72,$Q$258+1))</f>
        <v>0.333886026525098</v>
      </c>
      <c r="F290" s="48" t="n">
        <f aca="false">B290*(IF($A290&lt;$Q$258,INDEX(Surface_Engine!$D$12:$D$72,$A290+1)+(Surface_Engine!B239*12)*INDEX(Surface_Engine!$F$12:$F$72,$A290+1)-(Surface_Engine!B239*12),1000*12*INDEX(Surface_Engine!$C$12:$C$72,$A290+1)/(1+Assumptions!$B$10)^12+INDEX(Surface_Engine!$D$12:$D$72,$A290+1)))*INDEX(Surface_Engine!$B$12:$B$72,$A290+1)+F291</f>
        <v>11423.4118118392</v>
      </c>
      <c r="G290" s="48" t="n">
        <f aca="false">C290*(IF($A290&lt;$Q$258,INDEX(Surface_Engine!$D$12:$D$72,$A290+1)+(Surface_Engine!B239*12)*INDEX(Surface_Engine!$F$12:$F$72,$A290+1)-(Surface_Engine!B239*12),1000*12*INDEX(Surface_Engine!$C$12:$C$72,$A290+1)/(1+Assumptions!$B$10)^12+INDEX(Surface_Engine!$D$12:$D$72,$A290+1)))*INDEX(Surface_Engine!$B$12:$B$72,$A290+1)+G291</f>
        <v>16510.2442922157</v>
      </c>
      <c r="H290" s="48" t="n">
        <f aca="false">D290*(IF($A290&lt;$Q$258,INDEX(Surface_Engine!$D$12:$D$72,$A290+1)+(Surface_Engine!B239*12)*INDEX(Surface_Engine!$F$12:$F$72,$A290+1)-(Surface_Engine!B239*12),1000*12*INDEX(Surface_Engine!$C$12:$C$72,$A290+1)/(1+Assumptions!$B$10)^12+INDEX(Surface_Engine!$D$12:$D$72,$A290+1)))*INDEX(Surface_Engine!$B$12:$B$72,$A290+1)+H291</f>
        <v>10492.0969052836</v>
      </c>
      <c r="I290" s="48" t="n">
        <f aca="false">E290*(IF($A290&lt;$Q$258,INDEX(Surface_Engine!$D$12:$D$72,$A290+1)+(Surface_Engine!B239*12)*INDEX(Surface_Engine!$F$12:$F$72,$A290+1)-(Surface_Engine!B239*12),1000*12*INDEX(Surface_Engine!$C$12:$C$72,$A290+1)/(1+Assumptions!$B$10)^12+INDEX(Surface_Engine!$D$12:$D$72,$A290+1)))*INDEX(Surface_Engine!$B$12:$B$72,$A290+1)+I291</f>
        <v>12426.7680007857</v>
      </c>
      <c r="J290" s="48" t="n">
        <f aca="false">B290*(IF($A290&lt;$Q$258,INDEX(Surface_Engine!$D$12:$D$72,$A290+1)*(1+Assumptions!$B$24)+(Surface_Engine!B239*12)*INDEX(Surface_Engine!$F$12:$F$72,$A290+1)-(Surface_Engine!B239*12),1000*12*INDEX(Surface_Engine!$C$12:$C$72,$A290+1)/(1+Assumptions!$B$10)^12+INDEX(Surface_Engine!$D$12:$D$72,$A290+1)*(1+Assumptions!$B$24)))*INDEX(Surface_Engine!$B$12:$B$72,$A290+1)+J291</f>
        <v>11434.9688961355</v>
      </c>
      <c r="K290" s="12" t="n">
        <f aca="false">SQRT((IF(C290&lt;=0,0,MAX(0,(B290/C290)*G290/INDEX(Surface_Engine!$B$12:$B$72,$A290+1)-F290/INDEX(Surface_Engine!$B$12:$B$72,$A290+1))))^2+(MAX(IF(D290&lt;=0,0,MAX(0,(B290/D290)*H290/INDEX(Surface_Engine!$B$12:$B$72,$A290+1)-F290/INDEX(Surface_Engine!$B$12:$B$72,$A290+1))),IF(E290&lt;=0,0,MAX(0,(B290/E290)*I290/INDEX(Surface_Engine!$B$12:$B$72,$A290+1)-F290/INDEX(Surface_Engine!$B$12:$B$72,$A290+1))),IF($A290&lt;$Q$258,MAX(0,-Assumptions!$B$22*(F290/INDEX(Surface_Engine!$B$12:$B$72,$A290+1))),0)))^2+(MAX(0,J290/INDEX(Surface_Engine!$B$12:$B$72,$A290+1)-(F290/INDEX(Surface_Engine!$B$12:$B$72,$A290+1))))^2+2*Assumptions!$B$26*(IF(C290&lt;=0,0,MAX(0,(B290/C290)*G290/INDEX(Surface_Engine!$B$12:$B$72,$A290+1)-F290/INDEX(Surface_Engine!$B$12:$B$72,$A290+1))))*(MAX(IF(D290&lt;=0,0,MAX(0,(B290/D290)*H290/INDEX(Surface_Engine!$B$12:$B$72,$A290+1)-F290/INDEX(Surface_Engine!$B$12:$B$72,$A290+1))),IF(E290&lt;=0,0,MAX(0,(B290/E290)*I290/INDEX(Surface_Engine!$B$12:$B$72,$A290+1)-F290/INDEX(Surface_Engine!$B$12:$B$72,$A290+1))),IF($A290&lt;$Q$258,MAX(0,-Assumptions!$B$22*(F290/INDEX(Surface_Engine!$B$12:$B$72,$A290+1))),0)))+2*Assumptions!$B$27*(IF(C290&lt;=0,0,MAX(0,(B290/C290)*G290/INDEX(Surface_Engine!$B$12:$B$72,$A290+1)-F290/INDEX(Surface_Engine!$B$12:$B$72,$A290+1))))*(MAX(0,J290/INDEX(Surface_Engine!$B$12:$B$72,$A290+1)-(F290/INDEX(Surface_Engine!$B$12:$B$72,$A290+1))))+2*Assumptions!$B$28*(MAX(IF(D290&lt;=0,0,MAX(0,(B290/D290)*H290/INDEX(Surface_Engine!$B$12:$B$72,$A290+1)-F290/INDEX(Surface_Engine!$B$12:$B$72,$A290+1))),IF(E290&lt;=0,0,MAX(0,(B290/E290)*I290/INDEX(Surface_Engine!$B$12:$B$72,$A290+1)-F290/INDEX(Surface_Engine!$B$12:$B$72,$A290+1))),IF($A290&lt;$Q$258,MAX(0,-Assumptions!$B$22*(F290/INDEX(Surface_Engine!$B$12:$B$72,$A290+1))),0)))*(MAX(0,J290/INDEX(Surface_Engine!$B$12:$B$72,$A290+1)-(F290/INDEX(Surface_Engine!$B$12:$B$72,$A290+1)))))</f>
        <v>5084.60801811928</v>
      </c>
      <c r="L290" s="48" t="n">
        <f aca="false">K290*INDEX(Surface_Engine!$B$12:$B$72,$A290+1)+L291</f>
        <v>9673.31130540514</v>
      </c>
      <c r="M290" s="48" t="n">
        <f aca="false">M289+B289*(IF($A289&lt;$Q$258,(Surface_Engine!B239*12)-(Surface_Engine!B239*12)*INDEX(Surface_Engine!$F$12:$F$72,$A289+1)-INDEX(Surface_Engine!$D$12:$D$72,$A289+1),-(1000*12*INDEX(Surface_Engine!$C$12:$C$72,$A289+1)/(1+Assumptions!$B$10)^12+INDEX(Surface_Engine!$D$12:$D$72,$A289+1))))*INDEX(Surface_Engine!$B$12:$B$72,$A289+1)</f>
        <v>14958.4030762063</v>
      </c>
      <c r="N290" s="12" t="n">
        <f aca="false">IF(B290&lt;=0,0,MAX(0,(K290+Assumptions!$B$29*L290/INDEX(Surface_Engine!$B$12:$B$72,$A290+1)-(M290/INDEX(Surface_Engine!$B$12:$B$72,$A290+1)-(F290/INDEX(Surface_Engine!$B$12:$B$72,$A290+1))))/B290))</f>
        <v>0</v>
      </c>
    </row>
    <row r="291" customFormat="false" ht="15" hidden="false" customHeight="true" outlineLevel="0" collapsed="false">
      <c r="A291" s="1" t="n">
        <v>31</v>
      </c>
      <c r="B291" s="32" t="n">
        <f aca="false">INDEX(Surface_Engine!$J$12:$J$72,$A291+1)*IF($A291&lt;$Q$258,INDEX(Surface_Engine!$E$12:$E$72,$A291+1),INDEX(Surface_Engine!$E$12:$E$72,$Q$258+1))</f>
        <v>0.267244165824481</v>
      </c>
      <c r="C291" s="32" t="n">
        <f aca="false">INDEX(Panel_Reserving!$C$8:$C$68,$A291+1)*IF($A291&lt;$Q$258,INDEX(Surface_Engine!$E$12:$E$72,$A291+1),INDEX(Surface_Engine!$E$12:$E$72,$Q$258+1))</f>
        <v>0.338898999587414</v>
      </c>
      <c r="D291" s="32" t="n">
        <f aca="false">INDEX(Surface_Engine!$J$12:$J$72,$A291+1)*IF($A291&lt;$Q$258,INDEX(Surface_Engine!$Y$12:$Y$72,$A291+1),INDEX(Surface_Engine!$Y$12:$Y$72,$Q$258+1))</f>
        <v>0.245456587872999</v>
      </c>
      <c r="E291" s="32" t="n">
        <f aca="false">INDEX(Surface_Engine!$J$12:$J$72,$A291+1)*IF($A291&lt;$Q$258,INDEX(Surface_Engine!$Z$12:$Z$72,$A291+1),INDEX(Surface_Engine!$Z$12:$Z$72,$Q$258+1))</f>
        <v>0.290717108248035</v>
      </c>
      <c r="F291" s="48" t="n">
        <f aca="false">B291*(IF($A291&lt;$Q$258,INDEX(Surface_Engine!$D$12:$D$72,$A291+1)+(Surface_Engine!B239*12)*INDEX(Surface_Engine!$F$12:$F$72,$A291+1)-(Surface_Engine!B239*12),1000*12*INDEX(Surface_Engine!$C$12:$C$72,$A291+1)/(1+Assumptions!$B$10)^12+INDEX(Surface_Engine!$D$12:$D$72,$A291+1)))*INDEX(Surface_Engine!$B$12:$B$72,$A291+1)+F292</f>
        <v>9348.56451595875</v>
      </c>
      <c r="G291" s="48" t="n">
        <f aca="false">C291*(IF($A291&lt;$Q$258,INDEX(Surface_Engine!$D$12:$D$72,$A291+1)+(Surface_Engine!B239*12)*INDEX(Surface_Engine!$F$12:$F$72,$A291+1)-(Surface_Engine!B239*12),1000*12*INDEX(Surface_Engine!$C$12:$C$72,$A291+1)/(1+Assumptions!$B$10)^12+INDEX(Surface_Engine!$D$12:$D$72,$A291+1)))*INDEX(Surface_Engine!$B$12:$B$72,$A291+1)+G292</f>
        <v>13954.9658758685</v>
      </c>
      <c r="H291" s="48" t="n">
        <f aca="false">D291*(IF($A291&lt;$Q$258,INDEX(Surface_Engine!$D$12:$D$72,$A291+1)+(Surface_Engine!B239*12)*INDEX(Surface_Engine!$F$12:$F$72,$A291+1)-(Surface_Engine!B239*12),1000*12*INDEX(Surface_Engine!$C$12:$C$72,$A291+1)/(1+Assumptions!$B$10)^12+INDEX(Surface_Engine!$D$12:$D$72,$A291+1)))*INDEX(Surface_Engine!$B$12:$B$72,$A291+1)+H292</f>
        <v>8586.40539642276</v>
      </c>
      <c r="I291" s="48" t="n">
        <f aca="false">E291*(IF($A291&lt;$Q$258,INDEX(Surface_Engine!$D$12:$D$72,$A291+1)+(Surface_Engine!B239*12)*INDEX(Surface_Engine!$F$12:$F$72,$A291+1)-(Surface_Engine!B239*12),1000*12*INDEX(Surface_Engine!$C$12:$C$72,$A291+1)/(1+Assumptions!$B$10)^12+INDEX(Surface_Engine!$D$12:$D$72,$A291+1)))*INDEX(Surface_Engine!$B$12:$B$72,$A291+1)+I292</f>
        <v>10169.6799777275</v>
      </c>
      <c r="J291" s="48" t="n">
        <f aca="false">B291*(IF($A291&lt;$Q$258,INDEX(Surface_Engine!$D$12:$D$72,$A291+1)*(1+Assumptions!$B$24)+(Surface_Engine!B239*12)*INDEX(Surface_Engine!$F$12:$F$72,$A291+1)-(Surface_Engine!B239*12),1000*12*INDEX(Surface_Engine!$C$12:$C$72,$A291+1)/(1+Assumptions!$B$10)^12+INDEX(Surface_Engine!$D$12:$D$72,$A291+1)*(1+Assumptions!$B$24)))*INDEX(Surface_Engine!$B$12:$B$72,$A291+1)+J292</f>
        <v>9358.06004531587</v>
      </c>
      <c r="K291" s="12" t="n">
        <f aca="false">SQRT((IF(C291&lt;=0,0,MAX(0,(B291/C291)*G291/INDEX(Surface_Engine!$B$12:$B$72,$A291+1)-F291/INDEX(Surface_Engine!$B$12:$B$72,$A291+1))))^2+(MAX(IF(D291&lt;=0,0,MAX(0,(B291/D291)*H291/INDEX(Surface_Engine!$B$12:$B$72,$A291+1)-F291/INDEX(Surface_Engine!$B$12:$B$72,$A291+1))),IF(E291&lt;=0,0,MAX(0,(B291/E291)*I291/INDEX(Surface_Engine!$B$12:$B$72,$A291+1)-F291/INDEX(Surface_Engine!$B$12:$B$72,$A291+1))),IF($A291&lt;$Q$258,MAX(0,-Assumptions!$B$22*(F291/INDEX(Surface_Engine!$B$12:$B$72,$A291+1))),0)))^2+(MAX(0,J291/INDEX(Surface_Engine!$B$12:$B$72,$A291+1)-(F291/INDEX(Surface_Engine!$B$12:$B$72,$A291+1))))^2+2*Assumptions!$B$26*(IF(C291&lt;=0,0,MAX(0,(B291/C291)*G291/INDEX(Surface_Engine!$B$12:$B$72,$A291+1)-F291/INDEX(Surface_Engine!$B$12:$B$72,$A291+1))))*(MAX(IF(D291&lt;=0,0,MAX(0,(B291/D291)*H291/INDEX(Surface_Engine!$B$12:$B$72,$A291+1)-F291/INDEX(Surface_Engine!$B$12:$B$72,$A291+1))),IF(E291&lt;=0,0,MAX(0,(B291/E291)*I291/INDEX(Surface_Engine!$B$12:$B$72,$A291+1)-F291/INDEX(Surface_Engine!$B$12:$B$72,$A291+1))),IF($A291&lt;$Q$258,MAX(0,-Assumptions!$B$22*(F291/INDEX(Surface_Engine!$B$12:$B$72,$A291+1))),0)))+2*Assumptions!$B$27*(IF(C291&lt;=0,0,MAX(0,(B291/C291)*G291/INDEX(Surface_Engine!$B$12:$B$72,$A291+1)-F291/INDEX(Surface_Engine!$B$12:$B$72,$A291+1))))*(MAX(0,J291/INDEX(Surface_Engine!$B$12:$B$72,$A291+1)-(F291/INDEX(Surface_Engine!$B$12:$B$72,$A291+1))))+2*Assumptions!$B$28*(MAX(IF(D291&lt;=0,0,MAX(0,(B291/D291)*H291/INDEX(Surface_Engine!$B$12:$B$72,$A291+1)-F291/INDEX(Surface_Engine!$B$12:$B$72,$A291+1))),IF(E291&lt;=0,0,MAX(0,(B291/E291)*I291/INDEX(Surface_Engine!$B$12:$B$72,$A291+1)-F291/INDEX(Surface_Engine!$B$12:$B$72,$A291+1))),IF($A291&lt;$Q$258,MAX(0,-Assumptions!$B$22*(F291/INDEX(Surface_Engine!$B$12:$B$72,$A291+1))),0)))*(MAX(0,J291/INDEX(Surface_Engine!$B$12:$B$72,$A291+1)-(F291/INDEX(Surface_Engine!$B$12:$B$72,$A291+1)))))</f>
        <v>4382.90472859932</v>
      </c>
      <c r="L291" s="48" t="n">
        <f aca="false">K291*INDEX(Surface_Engine!$B$12:$B$72,$A291+1)+L292</f>
        <v>7687.73450353568</v>
      </c>
      <c r="M291" s="48" t="n">
        <f aca="false">M290+B290*(IF($A290&lt;$Q$258,(Surface_Engine!B239*12)-(Surface_Engine!B239*12)*INDEX(Surface_Engine!$F$12:$F$72,$A290+1)-INDEX(Surface_Engine!$D$12:$D$72,$A290+1),-(1000*12*INDEX(Surface_Engine!$C$12:$C$72,$A290+1)/(1+Assumptions!$B$10)^12+INDEX(Surface_Engine!$D$12:$D$72,$A290+1))))*INDEX(Surface_Engine!$B$12:$B$72,$A290+1)</f>
        <v>12883.5557803258</v>
      </c>
      <c r="N291" s="12" t="n">
        <f aca="false">IF(B291&lt;=0,0,MAX(0,(K291+Assumptions!$B$29*L291/INDEX(Surface_Engine!$B$12:$B$72,$A291+1)-(M291/INDEX(Surface_Engine!$B$12:$B$72,$A291+1)-(F291/INDEX(Surface_Engine!$B$12:$B$72,$A291+1))))/B291))</f>
        <v>0</v>
      </c>
    </row>
    <row r="292" customFormat="false" ht="15" hidden="false" customHeight="true" outlineLevel="0" collapsed="false">
      <c r="A292" s="1" t="n">
        <v>32</v>
      </c>
      <c r="B292" s="32" t="n">
        <f aca="false">INDEX(Surface_Engine!$J$12:$J$72,$A292+1)*IF($A292&lt;$Q$258,INDEX(Surface_Engine!$E$12:$E$72,$A292+1),INDEX(Surface_Engine!$E$12:$E$72,$Q$258+1))</f>
        <v>0.229774618178398</v>
      </c>
      <c r="C292" s="32" t="n">
        <f aca="false">INDEX(Panel_Reserving!$C$8:$C$68,$A292+1)*IF($A292&lt;$Q$258,INDEX(Surface_Engine!$E$12:$E$72,$A292+1),INDEX(Surface_Engine!$E$12:$E$72,$Q$258+1))</f>
        <v>0.300886144420082</v>
      </c>
      <c r="D292" s="32" t="n">
        <f aca="false">INDEX(Surface_Engine!$J$12:$J$72,$A292+1)*IF($A292&lt;$Q$258,INDEX(Surface_Engine!$Y$12:$Y$72,$A292+1),INDEX(Surface_Engine!$Y$12:$Y$72,$Q$258+1))</f>
        <v>0.211041814828364</v>
      </c>
      <c r="E292" s="32" t="n">
        <f aca="false">INDEX(Surface_Engine!$J$12:$J$72,$A292+1)*IF($A292&lt;$Q$258,INDEX(Surface_Engine!$Z$12:$Z$72,$A292+1),INDEX(Surface_Engine!$Z$12:$Z$72,$Q$258+1))</f>
        <v>0.249956485820882</v>
      </c>
      <c r="F292" s="48" t="n">
        <f aca="false">B292*(IF($A292&lt;$Q$258,INDEX(Surface_Engine!$D$12:$D$72,$A292+1)+(Surface_Engine!B239*12)*INDEX(Surface_Engine!$F$12:$F$72,$A292+1)-(Surface_Engine!B239*12),1000*12*INDEX(Surface_Engine!$C$12:$C$72,$A292+1)/(1+Assumptions!$B$10)^12+INDEX(Surface_Engine!$D$12:$D$72,$A292+1)))*INDEX(Surface_Engine!$B$12:$B$72,$A292+1)+F293</f>
        <v>7563.15858398463</v>
      </c>
      <c r="G292" s="48" t="n">
        <f aca="false">C292*(IF($A292&lt;$Q$258,INDEX(Surface_Engine!$D$12:$D$72,$A292+1)+(Surface_Engine!B239*12)*INDEX(Surface_Engine!$F$12:$F$72,$A292+1)-(Surface_Engine!B239*12),1000*12*INDEX(Surface_Engine!$C$12:$C$72,$A292+1)/(1+Assumptions!$B$10)^12+INDEX(Surface_Engine!$D$12:$D$72,$A292+1)))*INDEX(Surface_Engine!$B$12:$B$72,$A292+1)+G293</f>
        <v>11690.8480331581</v>
      </c>
      <c r="H292" s="48" t="n">
        <f aca="false">D292*(IF($A292&lt;$Q$258,INDEX(Surface_Engine!$D$12:$D$72,$A292+1)+(Surface_Engine!B239*12)*INDEX(Surface_Engine!$F$12:$F$72,$A292+1)-(Surface_Engine!B239*12),1000*12*INDEX(Surface_Engine!$C$12:$C$72,$A292+1)/(1+Assumptions!$B$10)^12+INDEX(Surface_Engine!$D$12:$D$72,$A292+1)))*INDEX(Surface_Engine!$B$12:$B$72,$A292+1)+H293</f>
        <v>6946.55800563481</v>
      </c>
      <c r="I292" s="48" t="n">
        <f aca="false">E292*(IF($A292&lt;$Q$258,INDEX(Surface_Engine!$D$12:$D$72,$A292+1)+(Surface_Engine!B239*12)*INDEX(Surface_Engine!$F$12:$F$72,$A292+1)-(Surface_Engine!B239*12),1000*12*INDEX(Surface_Engine!$C$12:$C$72,$A292+1)/(1+Assumptions!$B$10)^12+INDEX(Surface_Engine!$D$12:$D$72,$A292+1)))*INDEX(Surface_Engine!$B$12:$B$72,$A292+1)+I293</f>
        <v>8227.45591460877</v>
      </c>
      <c r="J292" s="48" t="n">
        <f aca="false">B292*(IF($A292&lt;$Q$258,INDEX(Surface_Engine!$D$12:$D$72,$A292+1)*(1+Assumptions!$B$24)+(Surface_Engine!B239*12)*INDEX(Surface_Engine!$F$12:$F$72,$A292+1)-(Surface_Engine!B239*12),1000*12*INDEX(Surface_Engine!$C$12:$C$72,$A292+1)/(1+Assumptions!$B$10)^12+INDEX(Surface_Engine!$D$12:$D$72,$A292+1)*(1+Assumptions!$B$24)))*INDEX(Surface_Engine!$B$12:$B$72,$A292+1)+J293</f>
        <v>7570.87153638217</v>
      </c>
      <c r="K292" s="12" t="n">
        <f aca="false">SQRT((IF(C292&lt;=0,0,MAX(0,(B292/C292)*G292/INDEX(Surface_Engine!$B$12:$B$72,$A292+1)-F292/INDEX(Surface_Engine!$B$12:$B$72,$A292+1))))^2+(MAX(IF(D292&lt;=0,0,MAX(0,(B292/D292)*H292/INDEX(Surface_Engine!$B$12:$B$72,$A292+1)-F292/INDEX(Surface_Engine!$B$12:$B$72,$A292+1))),IF(E292&lt;=0,0,MAX(0,(B292/E292)*I292/INDEX(Surface_Engine!$B$12:$B$72,$A292+1)-F292/INDEX(Surface_Engine!$B$12:$B$72,$A292+1))),IF($A292&lt;$Q$258,MAX(0,-Assumptions!$B$22*(F292/INDEX(Surface_Engine!$B$12:$B$72,$A292+1))),0)))^2+(MAX(0,J292/INDEX(Surface_Engine!$B$12:$B$72,$A292+1)-(F292/INDEX(Surface_Engine!$B$12:$B$72,$A292+1))))^2+2*Assumptions!$B$26*(IF(C292&lt;=0,0,MAX(0,(B292/C292)*G292/INDEX(Surface_Engine!$B$12:$B$72,$A292+1)-F292/INDEX(Surface_Engine!$B$12:$B$72,$A292+1))))*(MAX(IF(D292&lt;=0,0,MAX(0,(B292/D292)*H292/INDEX(Surface_Engine!$B$12:$B$72,$A292+1)-F292/INDEX(Surface_Engine!$B$12:$B$72,$A292+1))),IF(E292&lt;=0,0,MAX(0,(B292/E292)*I292/INDEX(Surface_Engine!$B$12:$B$72,$A292+1)-F292/INDEX(Surface_Engine!$B$12:$B$72,$A292+1))),IF($A292&lt;$Q$258,MAX(0,-Assumptions!$B$22*(F292/INDEX(Surface_Engine!$B$12:$B$72,$A292+1))),0)))+2*Assumptions!$B$27*(IF(C292&lt;=0,0,MAX(0,(B292/C292)*G292/INDEX(Surface_Engine!$B$12:$B$72,$A292+1)-F292/INDEX(Surface_Engine!$B$12:$B$72,$A292+1))))*(MAX(0,J292/INDEX(Surface_Engine!$B$12:$B$72,$A292+1)-(F292/INDEX(Surface_Engine!$B$12:$B$72,$A292+1))))+2*Assumptions!$B$28*(MAX(IF(D292&lt;=0,0,MAX(0,(B292/D292)*H292/INDEX(Surface_Engine!$B$12:$B$72,$A292+1)-F292/INDEX(Surface_Engine!$B$12:$B$72,$A292+1))),IF(E292&lt;=0,0,MAX(0,(B292/E292)*I292/INDEX(Surface_Engine!$B$12:$B$72,$A292+1)-F292/INDEX(Surface_Engine!$B$12:$B$72,$A292+1))),IF($A292&lt;$Q$258,MAX(0,-Assumptions!$B$22*(F292/INDEX(Surface_Engine!$B$12:$B$72,$A292+1))),0)))*(MAX(0,J292/INDEX(Surface_Engine!$B$12:$B$72,$A292+1)-(F292/INDEX(Surface_Engine!$B$12:$B$72,$A292+1)))))</f>
        <v>3729.47014091915</v>
      </c>
      <c r="L292" s="48" t="n">
        <f aca="false">K292*INDEX(Surface_Engine!$B$12:$B$72,$A292+1)+L293</f>
        <v>6029.49060952304</v>
      </c>
      <c r="M292" s="48" t="n">
        <f aca="false">M291+B291*(IF($A291&lt;$Q$258,(Surface_Engine!B239*12)-(Surface_Engine!B239*12)*INDEX(Surface_Engine!$F$12:$F$72,$A291+1)-INDEX(Surface_Engine!$D$12:$D$72,$A291+1),-(1000*12*INDEX(Surface_Engine!$C$12:$C$72,$A291+1)/(1+Assumptions!$B$10)^12+INDEX(Surface_Engine!$D$12:$D$72,$A291+1))))*INDEX(Surface_Engine!$B$12:$B$72,$A291+1)</f>
        <v>11098.1498483517</v>
      </c>
      <c r="N292" s="12" t="n">
        <f aca="false">IF(B292&lt;=0,0,MAX(0,(K292+Assumptions!$B$29*L292/INDEX(Surface_Engine!$B$12:$B$72,$A292+1)-(M292/INDEX(Surface_Engine!$B$12:$B$72,$A292+1)-(F292/INDEX(Surface_Engine!$B$12:$B$72,$A292+1))))/B292))</f>
        <v>0</v>
      </c>
    </row>
    <row r="293" customFormat="false" ht="15" hidden="false" customHeight="true" outlineLevel="0" collapsed="false">
      <c r="A293" s="1" t="n">
        <v>33</v>
      </c>
      <c r="B293" s="32" t="n">
        <f aca="false">INDEX(Surface_Engine!$J$12:$J$72,$A293+1)*IF($A293&lt;$Q$258,INDEX(Surface_Engine!$E$12:$E$72,$A293+1),INDEX(Surface_Engine!$E$12:$E$72,$Q$258+1))</f>
        <v>0.194120191119585</v>
      </c>
      <c r="C293" s="32" t="n">
        <f aca="false">INDEX(Panel_Reserving!$C$8:$C$68,$A293+1)*IF($A293&lt;$Q$258,INDEX(Surface_Engine!$E$12:$E$72,$A293+1),INDEX(Surface_Engine!$E$12:$E$72,$Q$258+1))</f>
        <v>0.263535028185288</v>
      </c>
      <c r="D293" s="32" t="n">
        <f aca="false">INDEX(Surface_Engine!$J$12:$J$72,$A293+1)*IF($A293&lt;$Q$258,INDEX(Surface_Engine!$Y$12:$Y$72,$A293+1),INDEX(Surface_Engine!$Y$12:$Y$72,$Q$258+1))</f>
        <v>0.178294181287241</v>
      </c>
      <c r="E293" s="32" t="n">
        <f aca="false">INDEX(Surface_Engine!$J$12:$J$72,$A293+1)*IF($A293&lt;$Q$258,INDEX(Surface_Engine!$Z$12:$Z$72,$A293+1),INDEX(Surface_Engine!$Z$12:$Z$72,$Q$258+1))</f>
        <v>0.21117041204898</v>
      </c>
      <c r="F293" s="48" t="n">
        <f aca="false">B293*(IF($A293&lt;$Q$258,INDEX(Surface_Engine!$D$12:$D$72,$A293+1)+(Surface_Engine!B239*12)*INDEX(Surface_Engine!$F$12:$F$72,$A293+1)-(Surface_Engine!B239*12),1000*12*INDEX(Surface_Engine!$C$12:$C$72,$A293+1)/(1+Assumptions!$B$10)^12+INDEX(Surface_Engine!$D$12:$D$72,$A293+1)))*INDEX(Surface_Engine!$B$12:$B$72,$A293+1)+F294</f>
        <v>6046.57522945649</v>
      </c>
      <c r="G293" s="48" t="n">
        <f aca="false">C293*(IF($A293&lt;$Q$258,INDEX(Surface_Engine!$D$12:$D$72,$A293+1)+(Surface_Engine!B239*12)*INDEX(Surface_Engine!$F$12:$F$72,$A293+1)-(Surface_Engine!B239*12),1000*12*INDEX(Surface_Engine!$C$12:$C$72,$A293+1)/(1+Assumptions!$B$10)^12+INDEX(Surface_Engine!$D$12:$D$72,$A293+1)))*INDEX(Surface_Engine!$B$12:$B$72,$A293+1)+G294</f>
        <v>9704.90667090828</v>
      </c>
      <c r="H293" s="48" t="n">
        <f aca="false">D293*(IF($A293&lt;$Q$258,INDEX(Surface_Engine!$D$12:$D$72,$A293+1)+(Surface_Engine!B239*12)*INDEX(Surface_Engine!$F$12:$F$72,$A293+1)-(Surface_Engine!B239*12),1000*12*INDEX(Surface_Engine!$C$12:$C$72,$A293+1)/(1+Assumptions!$B$10)^12+INDEX(Surface_Engine!$D$12:$D$72,$A293+1)))*INDEX(Surface_Engine!$B$12:$B$72,$A293+1)+H294</f>
        <v>5553.61693139654</v>
      </c>
      <c r="I293" s="48" t="n">
        <f aca="false">E293*(IF($A293&lt;$Q$258,INDEX(Surface_Engine!$D$12:$D$72,$A293+1)+(Surface_Engine!B239*12)*INDEX(Surface_Engine!$F$12:$F$72,$A293+1)-(Surface_Engine!B239*12),1000*12*INDEX(Surface_Engine!$C$12:$C$72,$A293+1)/(1+Assumptions!$B$10)^12+INDEX(Surface_Engine!$D$12:$D$72,$A293+1)))*INDEX(Surface_Engine!$B$12:$B$72,$A293+1)+I294</f>
        <v>6577.66600849312</v>
      </c>
      <c r="J293" s="48" t="n">
        <f aca="false">B293*(IF($A293&lt;$Q$258,INDEX(Surface_Engine!$D$12:$D$72,$A293+1)*(1+Assumptions!$B$24)+(Surface_Engine!B239*12)*INDEX(Surface_Engine!$F$12:$F$72,$A293+1)-(Surface_Engine!B239*12),1000*12*INDEX(Surface_Engine!$C$12:$C$72,$A293+1)/(1+Assumptions!$B$10)^12+INDEX(Surface_Engine!$D$12:$D$72,$A293+1)*(1+Assumptions!$B$24)))*INDEX(Surface_Engine!$B$12:$B$72,$A293+1)+J294</f>
        <v>6052.76665353696</v>
      </c>
      <c r="K293" s="12" t="n">
        <f aca="false">SQRT((IF(C293&lt;=0,0,MAX(0,(B293/C293)*G293/INDEX(Surface_Engine!$B$12:$B$72,$A293+1)-F293/INDEX(Surface_Engine!$B$12:$B$72,$A293+1))))^2+(MAX(IF(D293&lt;=0,0,MAX(0,(B293/D293)*H293/INDEX(Surface_Engine!$B$12:$B$72,$A293+1)-F293/INDEX(Surface_Engine!$B$12:$B$72,$A293+1))),IF(E293&lt;=0,0,MAX(0,(B293/E293)*I293/INDEX(Surface_Engine!$B$12:$B$72,$A293+1)-F293/INDEX(Surface_Engine!$B$12:$B$72,$A293+1))),IF($A293&lt;$Q$258,MAX(0,-Assumptions!$B$22*(F293/INDEX(Surface_Engine!$B$12:$B$72,$A293+1))),0)))^2+(MAX(0,J293/INDEX(Surface_Engine!$B$12:$B$72,$A293+1)-(F293/INDEX(Surface_Engine!$B$12:$B$72,$A293+1))))^2+2*Assumptions!$B$26*(IF(C293&lt;=0,0,MAX(0,(B293/C293)*G293/INDEX(Surface_Engine!$B$12:$B$72,$A293+1)-F293/INDEX(Surface_Engine!$B$12:$B$72,$A293+1))))*(MAX(IF(D293&lt;=0,0,MAX(0,(B293/D293)*H293/INDEX(Surface_Engine!$B$12:$B$72,$A293+1)-F293/INDEX(Surface_Engine!$B$12:$B$72,$A293+1))),IF(E293&lt;=0,0,MAX(0,(B293/E293)*I293/INDEX(Surface_Engine!$B$12:$B$72,$A293+1)-F293/INDEX(Surface_Engine!$B$12:$B$72,$A293+1))),IF($A293&lt;$Q$258,MAX(0,-Assumptions!$B$22*(F293/INDEX(Surface_Engine!$B$12:$B$72,$A293+1))),0)))+2*Assumptions!$B$27*(IF(C293&lt;=0,0,MAX(0,(B293/C293)*G293/INDEX(Surface_Engine!$B$12:$B$72,$A293+1)-F293/INDEX(Surface_Engine!$B$12:$B$72,$A293+1))))*(MAX(0,J293/INDEX(Surface_Engine!$B$12:$B$72,$A293+1)-(F293/INDEX(Surface_Engine!$B$12:$B$72,$A293+1))))+2*Assumptions!$B$28*(MAX(IF(D293&lt;=0,0,MAX(0,(B293/D293)*H293/INDEX(Surface_Engine!$B$12:$B$72,$A293+1)-F293/INDEX(Surface_Engine!$B$12:$B$72,$A293+1))),IF(E293&lt;=0,0,MAX(0,(B293/E293)*I293/INDEX(Surface_Engine!$B$12:$B$72,$A293+1)-F293/INDEX(Surface_Engine!$B$12:$B$72,$A293+1))),IF($A293&lt;$Q$258,MAX(0,-Assumptions!$B$22*(F293/INDEX(Surface_Engine!$B$12:$B$72,$A293+1))),0)))*(MAX(0,J293/INDEX(Surface_Engine!$B$12:$B$72,$A293+1)-(F293/INDEX(Surface_Engine!$B$12:$B$72,$A293+1)))))</f>
        <v>3109.76322492052</v>
      </c>
      <c r="L293" s="48" t="n">
        <f aca="false">K293*INDEX(Surface_Engine!$B$12:$B$72,$A293+1)+L294</f>
        <v>4662.87122745517</v>
      </c>
      <c r="M293" s="48" t="n">
        <f aca="false">M292+B292*(IF($A292&lt;$Q$258,(Surface_Engine!B239*12)-(Surface_Engine!B239*12)*INDEX(Surface_Engine!$F$12:$F$72,$A292+1)-INDEX(Surface_Engine!$D$12:$D$72,$A292+1),-(1000*12*INDEX(Surface_Engine!$C$12:$C$72,$A292+1)/(1+Assumptions!$B$10)^12+INDEX(Surface_Engine!$D$12:$D$72,$A292+1))))*INDEX(Surface_Engine!$B$12:$B$72,$A292+1)</f>
        <v>9581.56649382358</v>
      </c>
      <c r="N293" s="12" t="n">
        <f aca="false">IF(B293&lt;=0,0,MAX(0,(K293+Assumptions!$B$29*L293/INDEX(Surface_Engine!$B$12:$B$72,$A293+1)-(M293/INDEX(Surface_Engine!$B$12:$B$72,$A293+1)-(F293/INDEX(Surface_Engine!$B$12:$B$72,$A293+1))))/B293))</f>
        <v>0</v>
      </c>
    </row>
    <row r="294" customFormat="false" ht="15" hidden="false" customHeight="true" outlineLevel="0" collapsed="false">
      <c r="A294" s="1" t="n">
        <v>34</v>
      </c>
      <c r="B294" s="32" t="n">
        <f aca="false">INDEX(Surface_Engine!$J$12:$J$72,$A294+1)*IF($A294&lt;$Q$258,INDEX(Surface_Engine!$E$12:$E$72,$A294+1),INDEX(Surface_Engine!$E$12:$E$72,$Q$258+1))</f>
        <v>0.162019214994431</v>
      </c>
      <c r="C294" s="32" t="n">
        <f aca="false">INDEX(Panel_Reserving!$C$8:$C$68,$A294+1)*IF($A294&lt;$Q$258,INDEX(Surface_Engine!$E$12:$E$72,$A294+1),INDEX(Surface_Engine!$E$12:$E$72,$Q$258+1))</f>
        <v>0.228671136493749</v>
      </c>
      <c r="D294" s="32" t="n">
        <f aca="false">INDEX(Surface_Engine!$J$12:$J$72,$A294+1)*IF($A294&lt;$Q$258,INDEX(Surface_Engine!$Y$12:$Y$72,$A294+1),INDEX(Surface_Engine!$Y$12:$Y$72,$Q$258+1))</f>
        <v>0.148810296979556</v>
      </c>
      <c r="E294" s="32" t="n">
        <f aca="false">INDEX(Surface_Engine!$J$12:$J$72,$A294+1)*IF($A294&lt;$Q$258,INDEX(Surface_Engine!$Z$12:$Z$72,$A294+1),INDEX(Surface_Engine!$Z$12:$Z$72,$Q$258+1))</f>
        <v>0.176249900604876</v>
      </c>
      <c r="F294" s="48" t="n">
        <f aca="false">B294*(IF($A294&lt;$Q$258,INDEX(Surface_Engine!$D$12:$D$72,$A294+1)+(Surface_Engine!B239*12)*INDEX(Surface_Engine!$F$12:$F$72,$A294+1)-(Surface_Engine!B239*12),1000*12*INDEX(Surface_Engine!$C$12:$C$72,$A294+1)/(1+Assumptions!$B$10)^12+INDEX(Surface_Engine!$D$12:$D$72,$A294+1)))*INDEX(Surface_Engine!$B$12:$B$72,$A294+1)+F295</f>
        <v>4780.80841064981</v>
      </c>
      <c r="G294" s="48" t="n">
        <f aca="false">C294*(IF($A294&lt;$Q$258,INDEX(Surface_Engine!$D$12:$D$72,$A294+1)+(Surface_Engine!B239*12)*INDEX(Surface_Engine!$F$12:$F$72,$A294+1)-(Surface_Engine!B239*12),1000*12*INDEX(Surface_Engine!$C$12:$C$72,$A294+1)/(1+Assumptions!$B$10)^12+INDEX(Surface_Engine!$D$12:$D$72,$A294+1)))*INDEX(Surface_Engine!$B$12:$B$72,$A294+1)+G295</f>
        <v>7986.51822122492</v>
      </c>
      <c r="H294" s="48" t="n">
        <f aca="false">D294*(IF($A294&lt;$Q$258,INDEX(Surface_Engine!$D$12:$D$72,$A294+1)+(Surface_Engine!B239*12)*INDEX(Surface_Engine!$F$12:$F$72,$A294+1)-(Surface_Engine!B239*12),1000*12*INDEX(Surface_Engine!$C$12:$C$72,$A294+1)/(1+Assumptions!$B$10)^12+INDEX(Surface_Engine!$D$12:$D$72,$A294+1)))*INDEX(Surface_Engine!$B$12:$B$72,$A294+1)+H295</f>
        <v>4391.04410804367</v>
      </c>
      <c r="I294" s="48" t="n">
        <f aca="false">E294*(IF($A294&lt;$Q$258,INDEX(Surface_Engine!$D$12:$D$72,$A294+1)+(Surface_Engine!B239*12)*INDEX(Surface_Engine!$F$12:$F$72,$A294+1)-(Surface_Engine!B239*12),1000*12*INDEX(Surface_Engine!$C$12:$C$72,$A294+1)/(1+Assumptions!$B$10)^12+INDEX(Surface_Engine!$D$12:$D$72,$A294+1)))*INDEX(Surface_Engine!$B$12:$B$72,$A294+1)+I295</f>
        <v>5200.72268722536</v>
      </c>
      <c r="J294" s="48" t="n">
        <f aca="false">B294*(IF($A294&lt;$Q$258,INDEX(Surface_Engine!$D$12:$D$72,$A294+1)*(1+Assumptions!$B$24)+(Surface_Engine!B239*12)*INDEX(Surface_Engine!$F$12:$F$72,$A294+1)-(Surface_Engine!B239*12),1000*12*INDEX(Surface_Engine!$C$12:$C$72,$A294+1)/(1+Assumptions!$B$10)^12+INDEX(Surface_Engine!$D$12:$D$72,$A294+1)*(1+Assumptions!$B$24)))*INDEX(Surface_Engine!$B$12:$B$72,$A294+1)+J295</f>
        <v>4785.7237785451</v>
      </c>
      <c r="K294" s="12" t="n">
        <f aca="false">SQRT((IF(C294&lt;=0,0,MAX(0,(B294/C294)*G294/INDEX(Surface_Engine!$B$12:$B$72,$A294+1)-F294/INDEX(Surface_Engine!$B$12:$B$72,$A294+1))))^2+(MAX(IF(D294&lt;=0,0,MAX(0,(B294/D294)*H294/INDEX(Surface_Engine!$B$12:$B$72,$A294+1)-F294/INDEX(Surface_Engine!$B$12:$B$72,$A294+1))),IF(E294&lt;=0,0,MAX(0,(B294/E294)*I294/INDEX(Surface_Engine!$B$12:$B$72,$A294+1)-F294/INDEX(Surface_Engine!$B$12:$B$72,$A294+1))),IF($A294&lt;$Q$258,MAX(0,-Assumptions!$B$22*(F294/INDEX(Surface_Engine!$B$12:$B$72,$A294+1))),0)))^2+(MAX(0,J294/INDEX(Surface_Engine!$B$12:$B$72,$A294+1)-(F294/INDEX(Surface_Engine!$B$12:$B$72,$A294+1))))^2+2*Assumptions!$B$26*(IF(C294&lt;=0,0,MAX(0,(B294/C294)*G294/INDEX(Surface_Engine!$B$12:$B$72,$A294+1)-F294/INDEX(Surface_Engine!$B$12:$B$72,$A294+1))))*(MAX(IF(D294&lt;=0,0,MAX(0,(B294/D294)*H294/INDEX(Surface_Engine!$B$12:$B$72,$A294+1)-F294/INDEX(Surface_Engine!$B$12:$B$72,$A294+1))),IF(E294&lt;=0,0,MAX(0,(B294/E294)*I294/INDEX(Surface_Engine!$B$12:$B$72,$A294+1)-F294/INDEX(Surface_Engine!$B$12:$B$72,$A294+1))),IF($A294&lt;$Q$258,MAX(0,-Assumptions!$B$22*(F294/INDEX(Surface_Engine!$B$12:$B$72,$A294+1))),0)))+2*Assumptions!$B$27*(IF(C294&lt;=0,0,MAX(0,(B294/C294)*G294/INDEX(Surface_Engine!$B$12:$B$72,$A294+1)-F294/INDEX(Surface_Engine!$B$12:$B$72,$A294+1))))*(MAX(0,J294/INDEX(Surface_Engine!$B$12:$B$72,$A294+1)-(F294/INDEX(Surface_Engine!$B$12:$B$72,$A294+1))))+2*Assumptions!$B$28*(MAX(IF(D294&lt;=0,0,MAX(0,(B294/D294)*H294/INDEX(Surface_Engine!$B$12:$B$72,$A294+1)-F294/INDEX(Surface_Engine!$B$12:$B$72,$A294+1))),IF(E294&lt;=0,0,MAX(0,(B294/E294)*I294/INDEX(Surface_Engine!$B$12:$B$72,$A294+1)-F294/INDEX(Surface_Engine!$B$12:$B$72,$A294+1))),IF($A294&lt;$Q$258,MAX(0,-Assumptions!$B$22*(F294/INDEX(Surface_Engine!$B$12:$B$72,$A294+1))),0)))*(MAX(0,J294/INDEX(Surface_Engine!$B$12:$B$72,$A294+1)-(F294/INDEX(Surface_Engine!$B$12:$B$72,$A294+1)))))</f>
        <v>2557.70731267857</v>
      </c>
      <c r="L294" s="48" t="n">
        <f aca="false">K294*INDEX(Surface_Engine!$B$12:$B$72,$A294+1)+L295</f>
        <v>3559.23740949783</v>
      </c>
      <c r="M294" s="48" t="n">
        <f aca="false">M293+B293*(IF($A293&lt;$Q$258,(Surface_Engine!B239*12)-(Surface_Engine!B239*12)*INDEX(Surface_Engine!$F$12:$F$72,$A293+1)-INDEX(Surface_Engine!$D$12:$D$72,$A293+1),-(1000*12*INDEX(Surface_Engine!$C$12:$C$72,$A293+1)/(1+Assumptions!$B$10)^12+INDEX(Surface_Engine!$D$12:$D$72,$A293+1))))*INDEX(Surface_Engine!$B$12:$B$72,$A293+1)</f>
        <v>8315.7996750169</v>
      </c>
      <c r="N294" s="12" t="n">
        <f aca="false">IF(B294&lt;=0,0,MAX(0,(K294+Assumptions!$B$29*L294/INDEX(Surface_Engine!$B$12:$B$72,$A294+1)-(M294/INDEX(Surface_Engine!$B$12:$B$72,$A294+1)-(F294/INDEX(Surface_Engine!$B$12:$B$72,$A294+1))))/B294))</f>
        <v>0</v>
      </c>
    </row>
    <row r="295" customFormat="false" ht="15" hidden="false" customHeight="true" outlineLevel="0" collapsed="false">
      <c r="A295" s="1" t="n">
        <v>35</v>
      </c>
      <c r="B295" s="32" t="n">
        <f aca="false">INDEX(Surface_Engine!$J$12:$J$72,$A295+1)*IF($A295&lt;$Q$258,INDEX(Surface_Engine!$E$12:$E$72,$A295+1),INDEX(Surface_Engine!$E$12:$E$72,$Q$258+1))</f>
        <v>0.133613761316571</v>
      </c>
      <c r="C295" s="32" t="n">
        <f aca="false">INDEX(Panel_Reserving!$C$8:$C$68,$A295+1)*IF($A295&lt;$Q$258,INDEX(Surface_Engine!$E$12:$E$72,$A295+1),INDEX(Surface_Engine!$E$12:$E$72,$Q$258+1))</f>
        <v>0.196598361049873</v>
      </c>
      <c r="D295" s="32" t="n">
        <f aca="false">INDEX(Surface_Engine!$J$12:$J$72,$A295+1)*IF($A295&lt;$Q$258,INDEX(Surface_Engine!$Y$12:$Y$72,$A295+1),INDEX(Surface_Engine!$Y$12:$Y$72,$Q$258+1))</f>
        <v>0.122720650774403</v>
      </c>
      <c r="E295" s="32" t="n">
        <f aca="false">INDEX(Surface_Engine!$J$12:$J$72,$A295+1)*IF($A295&lt;$Q$258,INDEX(Surface_Engine!$Z$12:$Z$72,$A295+1),INDEX(Surface_Engine!$Z$12:$Z$72,$Q$258+1))</f>
        <v>0.14534950161497</v>
      </c>
      <c r="F295" s="48" t="n">
        <f aca="false">B295*(IF($A295&lt;$Q$258,INDEX(Surface_Engine!$D$12:$D$72,$A295+1)+(Surface_Engine!B239*12)*INDEX(Surface_Engine!$F$12:$F$72,$A295+1)-(Surface_Engine!B239*12),1000*12*INDEX(Surface_Engine!$C$12:$C$72,$A295+1)/(1+Assumptions!$B$10)^12+INDEX(Surface_Engine!$D$12:$D$72,$A295+1)))*INDEX(Surface_Engine!$B$12:$B$72,$A295+1)+F296</f>
        <v>3737.16638542705</v>
      </c>
      <c r="G295" s="48" t="n">
        <f aca="false">C295*(IF($A295&lt;$Q$258,INDEX(Surface_Engine!$D$12:$D$72,$A295+1)+(Surface_Engine!B239*12)*INDEX(Surface_Engine!$F$12:$F$72,$A295+1)-(Surface_Engine!B239*12),1000*12*INDEX(Surface_Engine!$C$12:$C$72,$A295+1)/(1+Assumptions!$B$10)^12+INDEX(Surface_Engine!$D$12:$D$72,$A295+1)))*INDEX(Surface_Engine!$B$12:$B$72,$A295+1)+G296</f>
        <v>6513.53979697734</v>
      </c>
      <c r="H295" s="48" t="n">
        <f aca="false">D295*(IF($A295&lt;$Q$258,INDEX(Surface_Engine!$D$12:$D$72,$A295+1)+(Surface_Engine!B239*12)*INDEX(Surface_Engine!$F$12:$F$72,$A295+1)-(Surface_Engine!B239*12),1000*12*INDEX(Surface_Engine!$C$12:$C$72,$A295+1)/(1+Assumptions!$B$10)^12+INDEX(Surface_Engine!$D$12:$D$72,$A295+1)))*INDEX(Surface_Engine!$B$12:$B$72,$A295+1)+H296</f>
        <v>3432.48694111083</v>
      </c>
      <c r="I295" s="48" t="n">
        <f aca="false">E295*(IF($A295&lt;$Q$258,INDEX(Surface_Engine!$D$12:$D$72,$A295+1)+(Surface_Engine!B239*12)*INDEX(Surface_Engine!$F$12:$F$72,$A295+1)-(Surface_Engine!B239*12),1000*12*INDEX(Surface_Engine!$C$12:$C$72,$A295+1)/(1+Assumptions!$B$10)^12+INDEX(Surface_Engine!$D$12:$D$72,$A295+1)))*INDEX(Surface_Engine!$B$12:$B$72,$A295+1)+I296</f>
        <v>4065.41411768992</v>
      </c>
      <c r="J295" s="48" t="n">
        <f aca="false">B295*(IF($A295&lt;$Q$258,INDEX(Surface_Engine!$D$12:$D$72,$A295+1)*(1+Assumptions!$B$24)+(Surface_Engine!B239*12)*INDEX(Surface_Engine!$F$12:$F$72,$A295+1)-(Surface_Engine!B239*12),1000*12*INDEX(Surface_Engine!$C$12:$C$72,$A295+1)/(1+Assumptions!$B$10)^12+INDEX(Surface_Engine!$D$12:$D$72,$A295+1)*(1+Assumptions!$B$24)))*INDEX(Surface_Engine!$B$12:$B$72,$A295+1)+J296</f>
        <v>3741.02452234122</v>
      </c>
      <c r="K295" s="12" t="n">
        <f aca="false">SQRT((IF(C295&lt;=0,0,MAX(0,(B295/C295)*G295/INDEX(Surface_Engine!$B$12:$B$72,$A295+1)-F295/INDEX(Surface_Engine!$B$12:$B$72,$A295+1))))^2+(MAX(IF(D295&lt;=0,0,MAX(0,(B295/D295)*H295/INDEX(Surface_Engine!$B$12:$B$72,$A295+1)-F295/INDEX(Surface_Engine!$B$12:$B$72,$A295+1))),IF(E295&lt;=0,0,MAX(0,(B295/E295)*I295/INDEX(Surface_Engine!$B$12:$B$72,$A295+1)-F295/INDEX(Surface_Engine!$B$12:$B$72,$A295+1))),IF($A295&lt;$Q$258,MAX(0,-Assumptions!$B$22*(F295/INDEX(Surface_Engine!$B$12:$B$72,$A295+1))),0)))^2+(MAX(0,J295/INDEX(Surface_Engine!$B$12:$B$72,$A295+1)-(F295/INDEX(Surface_Engine!$B$12:$B$72,$A295+1))))^2+2*Assumptions!$B$26*(IF(C295&lt;=0,0,MAX(0,(B295/C295)*G295/INDEX(Surface_Engine!$B$12:$B$72,$A295+1)-F295/INDEX(Surface_Engine!$B$12:$B$72,$A295+1))))*(MAX(IF(D295&lt;=0,0,MAX(0,(B295/D295)*H295/INDEX(Surface_Engine!$B$12:$B$72,$A295+1)-F295/INDEX(Surface_Engine!$B$12:$B$72,$A295+1))),IF(E295&lt;=0,0,MAX(0,(B295/E295)*I295/INDEX(Surface_Engine!$B$12:$B$72,$A295+1)-F295/INDEX(Surface_Engine!$B$12:$B$72,$A295+1))),IF($A295&lt;$Q$258,MAX(0,-Assumptions!$B$22*(F295/INDEX(Surface_Engine!$B$12:$B$72,$A295+1))),0)))+2*Assumptions!$B$27*(IF(C295&lt;=0,0,MAX(0,(B295/C295)*G295/INDEX(Surface_Engine!$B$12:$B$72,$A295+1)-F295/INDEX(Surface_Engine!$B$12:$B$72,$A295+1))))*(MAX(0,J295/INDEX(Surface_Engine!$B$12:$B$72,$A295+1)-(F295/INDEX(Surface_Engine!$B$12:$B$72,$A295+1))))+2*Assumptions!$B$28*(MAX(IF(D295&lt;=0,0,MAX(0,(B295/D295)*H295/INDEX(Surface_Engine!$B$12:$B$72,$A295+1)-F295/INDEX(Surface_Engine!$B$12:$B$72,$A295+1))),IF(E295&lt;=0,0,MAX(0,(B295/E295)*I295/INDEX(Surface_Engine!$B$12:$B$72,$A295+1)-F295/INDEX(Surface_Engine!$B$12:$B$72,$A295+1))),IF($A295&lt;$Q$258,MAX(0,-Assumptions!$B$22*(F295/INDEX(Surface_Engine!$B$12:$B$72,$A295+1))),0)))*(MAX(0,J295/INDEX(Surface_Engine!$B$12:$B$72,$A295+1)-(F295/INDEX(Surface_Engine!$B$12:$B$72,$A295+1)))))</f>
        <v>2074.81928407291</v>
      </c>
      <c r="L295" s="48" t="n">
        <f aca="false">K295*INDEX(Surface_Engine!$B$12:$B$72,$A295+1)+L296</f>
        <v>2680.15634166179</v>
      </c>
      <c r="M295" s="48" t="n">
        <f aca="false">M294+B294*(IF($A294&lt;$Q$258,(Surface_Engine!B239*12)-(Surface_Engine!B239*12)*INDEX(Surface_Engine!$F$12:$F$72,$A294+1)-INDEX(Surface_Engine!$D$12:$D$72,$A294+1),-(1000*12*INDEX(Surface_Engine!$C$12:$C$72,$A294+1)/(1+Assumptions!$B$10)^12+INDEX(Surface_Engine!$D$12:$D$72,$A294+1))))*INDEX(Surface_Engine!$B$12:$B$72,$A294+1)</f>
        <v>7272.15764979414</v>
      </c>
      <c r="N295" s="12" t="n">
        <f aca="false">IF(B295&lt;=0,0,MAX(0,(K295+Assumptions!$B$29*L295/INDEX(Surface_Engine!$B$12:$B$72,$A295+1)-(M295/INDEX(Surface_Engine!$B$12:$B$72,$A295+1)-(F295/INDEX(Surface_Engine!$B$12:$B$72,$A295+1))))/B295))</f>
        <v>0</v>
      </c>
    </row>
    <row r="296" customFormat="false" ht="15" hidden="false" customHeight="true" outlineLevel="0" collapsed="false">
      <c r="A296" s="1" t="n">
        <v>36</v>
      </c>
      <c r="B296" s="32" t="n">
        <f aca="false">INDEX(Surface_Engine!$J$12:$J$72,$A296+1)*IF($A296&lt;$Q$258,INDEX(Surface_Engine!$E$12:$E$72,$A296+1),INDEX(Surface_Engine!$E$12:$E$72,$Q$258+1))</f>
        <v>0.108859111389976</v>
      </c>
      <c r="C296" s="32" t="n">
        <f aca="false">INDEX(Panel_Reserving!$C$8:$C$68,$A296+1)*IF($A296&lt;$Q$258,INDEX(Surface_Engine!$E$12:$E$72,$A296+1),INDEX(Surface_Engine!$E$12:$E$72,$Q$258+1))</f>
        <v>0.167459304976742</v>
      </c>
      <c r="D296" s="32" t="n">
        <f aca="false">INDEX(Surface_Engine!$J$12:$J$72,$A296+1)*IF($A296&lt;$Q$258,INDEX(Surface_Engine!$Y$12:$Y$72,$A296+1),INDEX(Surface_Engine!$Y$12:$Y$72,$Q$258+1))</f>
        <v>0.0999841697506667</v>
      </c>
      <c r="E296" s="32" t="n">
        <f aca="false">INDEX(Surface_Engine!$J$12:$J$72,$A296+1)*IF($A296&lt;$Q$258,INDEX(Surface_Engine!$Z$12:$Z$72,$A296+1),INDEX(Surface_Engine!$Z$12:$Z$72,$Q$258+1))</f>
        <v>0.118420568591681</v>
      </c>
      <c r="F296" s="48" t="n">
        <f aca="false">B296*(IF($A296&lt;$Q$258,INDEX(Surface_Engine!$D$12:$D$72,$A296+1)+(Surface_Engine!B239*12)*INDEX(Surface_Engine!$F$12:$F$72,$A296+1)-(Surface_Engine!B239*12),1000*12*INDEX(Surface_Engine!$C$12:$C$72,$A296+1)/(1+Assumptions!$B$10)^12+INDEX(Surface_Engine!$D$12:$D$72,$A296+1)))*INDEX(Surface_Engine!$B$12:$B$72,$A296+1)+F297</f>
        <v>2886.96552738932</v>
      </c>
      <c r="G296" s="48" t="n">
        <f aca="false">C296*(IF($A296&lt;$Q$258,INDEX(Surface_Engine!$D$12:$D$72,$A296+1)+(Surface_Engine!B239*12)*INDEX(Surface_Engine!$F$12:$F$72,$A296+1)-(Surface_Engine!B239*12),1000*12*INDEX(Surface_Engine!$C$12:$C$72,$A296+1)/(1+Assumptions!$B$10)^12+INDEX(Surface_Engine!$D$12:$D$72,$A296+1)))*INDEX(Surface_Engine!$B$12:$B$72,$A296+1)+G297</f>
        <v>5262.56015531162</v>
      </c>
      <c r="H296" s="48" t="n">
        <f aca="false">D296*(IF($A296&lt;$Q$258,INDEX(Surface_Engine!$D$12:$D$72,$A296+1)+(Surface_Engine!B239*12)*INDEX(Surface_Engine!$F$12:$F$72,$A296+1)-(Surface_Engine!B239*12),1000*12*INDEX(Surface_Engine!$C$12:$C$72,$A296+1)/(1+Assumptions!$B$10)^12+INDEX(Surface_Engine!$D$12:$D$72,$A296+1)))*INDEX(Surface_Engine!$B$12:$B$72,$A296+1)+H297</f>
        <v>2651.60029022059</v>
      </c>
      <c r="I296" s="48" t="n">
        <f aca="false">E296*(IF($A296&lt;$Q$258,INDEX(Surface_Engine!$D$12:$D$72,$A296+1)+(Surface_Engine!B239*12)*INDEX(Surface_Engine!$F$12:$F$72,$A296+1)-(Surface_Engine!B239*12),1000*12*INDEX(Surface_Engine!$C$12:$C$72,$A296+1)/(1+Assumptions!$B$10)^12+INDEX(Surface_Engine!$D$12:$D$72,$A296+1)))*INDEX(Surface_Engine!$B$12:$B$72,$A296+1)+I297</f>
        <v>3140.53729534215</v>
      </c>
      <c r="J296" s="48" t="n">
        <f aca="false">B296*(IF($A296&lt;$Q$258,INDEX(Surface_Engine!$D$12:$D$72,$A296+1)*(1+Assumptions!$B$24)+(Surface_Engine!B239*12)*INDEX(Surface_Engine!$F$12:$F$72,$A296+1)-(Surface_Engine!B239*12),1000*12*INDEX(Surface_Engine!$C$12:$C$72,$A296+1)/(1+Assumptions!$B$10)^12+INDEX(Surface_Engine!$D$12:$D$72,$A296+1)*(1+Assumptions!$B$24)))*INDEX(Surface_Engine!$B$12:$B$72,$A296+1)+J297</f>
        <v>2889.95821428949</v>
      </c>
      <c r="K296" s="12" t="n">
        <f aca="false">SQRT((IF(C296&lt;=0,0,MAX(0,(B296/C296)*G296/INDEX(Surface_Engine!$B$12:$B$72,$A296+1)-F296/INDEX(Surface_Engine!$B$12:$B$72,$A296+1))))^2+(MAX(IF(D296&lt;=0,0,MAX(0,(B296/D296)*H296/INDEX(Surface_Engine!$B$12:$B$72,$A296+1)-F296/INDEX(Surface_Engine!$B$12:$B$72,$A296+1))),IF(E296&lt;=0,0,MAX(0,(B296/E296)*I296/INDEX(Surface_Engine!$B$12:$B$72,$A296+1)-F296/INDEX(Surface_Engine!$B$12:$B$72,$A296+1))),IF($A296&lt;$Q$258,MAX(0,-Assumptions!$B$22*(F296/INDEX(Surface_Engine!$B$12:$B$72,$A296+1))),0)))^2+(MAX(0,J296/INDEX(Surface_Engine!$B$12:$B$72,$A296+1)-(F296/INDEX(Surface_Engine!$B$12:$B$72,$A296+1))))^2+2*Assumptions!$B$26*(IF(C296&lt;=0,0,MAX(0,(B296/C296)*G296/INDEX(Surface_Engine!$B$12:$B$72,$A296+1)-F296/INDEX(Surface_Engine!$B$12:$B$72,$A296+1))))*(MAX(IF(D296&lt;=0,0,MAX(0,(B296/D296)*H296/INDEX(Surface_Engine!$B$12:$B$72,$A296+1)-F296/INDEX(Surface_Engine!$B$12:$B$72,$A296+1))),IF(E296&lt;=0,0,MAX(0,(B296/E296)*I296/INDEX(Surface_Engine!$B$12:$B$72,$A296+1)-F296/INDEX(Surface_Engine!$B$12:$B$72,$A296+1))),IF($A296&lt;$Q$258,MAX(0,-Assumptions!$B$22*(F296/INDEX(Surface_Engine!$B$12:$B$72,$A296+1))),0)))+2*Assumptions!$B$27*(IF(C296&lt;=0,0,MAX(0,(B296/C296)*G296/INDEX(Surface_Engine!$B$12:$B$72,$A296+1)-F296/INDEX(Surface_Engine!$B$12:$B$72,$A296+1))))*(MAX(0,J296/INDEX(Surface_Engine!$B$12:$B$72,$A296+1)-(F296/INDEX(Surface_Engine!$B$12:$B$72,$A296+1))))+2*Assumptions!$B$28*(MAX(IF(D296&lt;=0,0,MAX(0,(B296/D296)*H296/INDEX(Surface_Engine!$B$12:$B$72,$A296+1)-F296/INDEX(Surface_Engine!$B$12:$B$72,$A296+1))),IF(E296&lt;=0,0,MAX(0,(B296/E296)*I296/INDEX(Surface_Engine!$B$12:$B$72,$A296+1)-F296/INDEX(Surface_Engine!$B$12:$B$72,$A296+1))),IF($A296&lt;$Q$258,MAX(0,-Assumptions!$B$22*(F296/INDEX(Surface_Engine!$B$12:$B$72,$A296+1))),0)))*(MAX(0,J296/INDEX(Surface_Engine!$B$12:$B$72,$A296+1)-(F296/INDEX(Surface_Engine!$B$12:$B$72,$A296+1)))))</f>
        <v>1658.59581641869</v>
      </c>
      <c r="L296" s="48" t="n">
        <f aca="false">K296*INDEX(Surface_Engine!$B$12:$B$72,$A296+1)+L297</f>
        <v>1989.56371975027</v>
      </c>
      <c r="M296" s="48" t="n">
        <f aca="false">M295+B295*(IF($A295&lt;$Q$258,(Surface_Engine!B239*12)-(Surface_Engine!B239*12)*INDEX(Surface_Engine!$F$12:$F$72,$A295+1)-INDEX(Surface_Engine!$D$12:$D$72,$A295+1),-(1000*12*INDEX(Surface_Engine!$C$12:$C$72,$A295+1)/(1+Assumptions!$B$10)^12+INDEX(Surface_Engine!$D$12:$D$72,$A295+1))))*INDEX(Surface_Engine!$B$12:$B$72,$A295+1)</f>
        <v>6421.95679175641</v>
      </c>
      <c r="N296" s="12" t="n">
        <f aca="false">IF(B296&lt;=0,0,MAX(0,(K296+Assumptions!$B$29*L296/INDEX(Surface_Engine!$B$12:$B$72,$A296+1)-(M296/INDEX(Surface_Engine!$B$12:$B$72,$A296+1)-(F296/INDEX(Surface_Engine!$B$12:$B$72,$A296+1))))/B296))</f>
        <v>0</v>
      </c>
    </row>
    <row r="297" customFormat="false" ht="15" hidden="false" customHeight="true" outlineLevel="0" collapsed="false">
      <c r="A297" s="1" t="n">
        <v>37</v>
      </c>
      <c r="B297" s="32" t="n">
        <f aca="false">INDEX(Surface_Engine!$J$12:$J$72,$A297+1)*IF($A297&lt;$Q$258,INDEX(Surface_Engine!$E$12:$E$72,$A297+1),INDEX(Surface_Engine!$E$12:$E$72,$Q$258+1))</f>
        <v>0.0875810536978688</v>
      </c>
      <c r="C297" s="32" t="n">
        <f aca="false">INDEX(Panel_Reserving!$C$8:$C$68,$A297+1)*IF($A297&lt;$Q$258,INDEX(Surface_Engine!$E$12:$E$72,$A297+1),INDEX(Surface_Engine!$E$12:$E$72,$Q$258+1))</f>
        <v>0.14127346747079</v>
      </c>
      <c r="D297" s="32" t="n">
        <f aca="false">INDEX(Surface_Engine!$J$12:$J$72,$A297+1)*IF($A297&lt;$Q$258,INDEX(Surface_Engine!$Y$12:$Y$72,$A297+1),INDEX(Surface_Engine!$Y$12:$Y$72,$Q$258+1))</f>
        <v>0.0804408453096769</v>
      </c>
      <c r="E297" s="32" t="n">
        <f aca="false">INDEX(Surface_Engine!$J$12:$J$72,$A297+1)*IF($A297&lt;$Q$258,INDEX(Surface_Engine!$Z$12:$Z$72,$A297+1),INDEX(Surface_Engine!$Z$12:$Z$72,$Q$258+1))</f>
        <v>0.0952735884422734</v>
      </c>
      <c r="F297" s="48" t="n">
        <f aca="false">B297*(IF($A297&lt;$Q$258,INDEX(Surface_Engine!$D$12:$D$72,$A297+1)+(Surface_Engine!B239*12)*INDEX(Surface_Engine!$F$12:$F$72,$A297+1)-(Surface_Engine!B239*12),1000*12*INDEX(Surface_Engine!$C$12:$C$72,$A297+1)/(1+Assumptions!$B$10)^12+INDEX(Surface_Engine!$D$12:$D$72,$A297+1)))*INDEX(Surface_Engine!$B$12:$B$72,$A297+1)+F298</f>
        <v>2202.49424755719</v>
      </c>
      <c r="G297" s="48" t="n">
        <f aca="false">C297*(IF($A297&lt;$Q$258,INDEX(Surface_Engine!$D$12:$D$72,$A297+1)+(Surface_Engine!B239*12)*INDEX(Surface_Engine!$F$12:$F$72,$A297+1)-(Surface_Engine!B239*12),1000*12*INDEX(Surface_Engine!$C$12:$C$72,$A297+1)/(1+Assumptions!$B$10)^12+INDEX(Surface_Engine!$D$12:$D$72,$A297+1)))*INDEX(Surface_Engine!$B$12:$B$72,$A297+1)+G298</f>
        <v>4209.62959824864</v>
      </c>
      <c r="H297" s="48" t="n">
        <f aca="false">D297*(IF($A297&lt;$Q$258,INDEX(Surface_Engine!$D$12:$D$72,$A297+1)+(Surface_Engine!B239*12)*INDEX(Surface_Engine!$F$12:$F$72,$A297+1)-(Surface_Engine!B239*12),1000*12*INDEX(Surface_Engine!$C$12:$C$72,$A297+1)/(1+Assumptions!$B$10)^12+INDEX(Surface_Engine!$D$12:$D$72,$A297+1)))*INDEX(Surface_Engine!$B$12:$B$72,$A297+1)+H298</f>
        <v>2022.93180525541</v>
      </c>
      <c r="I297" s="48" t="n">
        <f aca="false">E297*(IF($A297&lt;$Q$258,INDEX(Surface_Engine!$D$12:$D$72,$A297+1)+(Surface_Engine!B239*12)*INDEX(Surface_Engine!$F$12:$F$72,$A297+1)-(Surface_Engine!B239*12),1000*12*INDEX(Surface_Engine!$C$12:$C$72,$A297+1)/(1+Assumptions!$B$10)^12+INDEX(Surface_Engine!$D$12:$D$72,$A297+1)))*INDEX(Surface_Engine!$B$12:$B$72,$A297+1)+I298</f>
        <v>2395.9466303309</v>
      </c>
      <c r="J297" s="48" t="n">
        <f aca="false">B297*(IF($A297&lt;$Q$258,INDEX(Surface_Engine!$D$12:$D$72,$A297+1)*(1+Assumptions!$B$24)+(Surface_Engine!B239*12)*INDEX(Surface_Engine!$F$12:$F$72,$A297+1)-(Surface_Engine!B239*12),1000*12*INDEX(Surface_Engine!$C$12:$C$72,$A297+1)/(1+Assumptions!$B$10)^12+INDEX(Surface_Engine!$D$12:$D$72,$A297+1)*(1+Assumptions!$B$24)))*INDEX(Surface_Engine!$B$12:$B$72,$A297+1)+J298</f>
        <v>2204.7868060428</v>
      </c>
      <c r="K297" s="12" t="n">
        <f aca="false">SQRT((IF(C297&lt;=0,0,MAX(0,(B297/C297)*G297/INDEX(Surface_Engine!$B$12:$B$72,$A297+1)-F297/INDEX(Surface_Engine!$B$12:$B$72,$A297+1))))^2+(MAX(IF(D297&lt;=0,0,MAX(0,(B297/D297)*H297/INDEX(Surface_Engine!$B$12:$B$72,$A297+1)-F297/INDEX(Surface_Engine!$B$12:$B$72,$A297+1))),IF(E297&lt;=0,0,MAX(0,(B297/E297)*I297/INDEX(Surface_Engine!$B$12:$B$72,$A297+1)-F297/INDEX(Surface_Engine!$B$12:$B$72,$A297+1))),IF($A297&lt;$Q$258,MAX(0,-Assumptions!$B$22*(F297/INDEX(Surface_Engine!$B$12:$B$72,$A297+1))),0)))^2+(MAX(0,J297/INDEX(Surface_Engine!$B$12:$B$72,$A297+1)-(F297/INDEX(Surface_Engine!$B$12:$B$72,$A297+1))))^2+2*Assumptions!$B$26*(IF(C297&lt;=0,0,MAX(0,(B297/C297)*G297/INDEX(Surface_Engine!$B$12:$B$72,$A297+1)-F297/INDEX(Surface_Engine!$B$12:$B$72,$A297+1))))*(MAX(IF(D297&lt;=0,0,MAX(0,(B297/D297)*H297/INDEX(Surface_Engine!$B$12:$B$72,$A297+1)-F297/INDEX(Surface_Engine!$B$12:$B$72,$A297+1))),IF(E297&lt;=0,0,MAX(0,(B297/E297)*I297/INDEX(Surface_Engine!$B$12:$B$72,$A297+1)-F297/INDEX(Surface_Engine!$B$12:$B$72,$A297+1))),IF($A297&lt;$Q$258,MAX(0,-Assumptions!$B$22*(F297/INDEX(Surface_Engine!$B$12:$B$72,$A297+1))),0)))+2*Assumptions!$B$27*(IF(C297&lt;=0,0,MAX(0,(B297/C297)*G297/INDEX(Surface_Engine!$B$12:$B$72,$A297+1)-F297/INDEX(Surface_Engine!$B$12:$B$72,$A297+1))))*(MAX(0,J297/INDEX(Surface_Engine!$B$12:$B$72,$A297+1)-(F297/INDEX(Surface_Engine!$B$12:$B$72,$A297+1))))+2*Assumptions!$B$28*(MAX(IF(D297&lt;=0,0,MAX(0,(B297/D297)*H297/INDEX(Surface_Engine!$B$12:$B$72,$A297+1)-F297/INDEX(Surface_Engine!$B$12:$B$72,$A297+1))),IF(E297&lt;=0,0,MAX(0,(B297/E297)*I297/INDEX(Surface_Engine!$B$12:$B$72,$A297+1)-F297/INDEX(Surface_Engine!$B$12:$B$72,$A297+1))),IF($A297&lt;$Q$258,MAX(0,-Assumptions!$B$22*(F297/INDEX(Surface_Engine!$B$12:$B$72,$A297+1))),0)))*(MAX(0,J297/INDEX(Surface_Engine!$B$12:$B$72,$A297+1)-(F297/INDEX(Surface_Engine!$B$12:$B$72,$A297+1)))))</f>
        <v>1306.09702480819</v>
      </c>
      <c r="L297" s="48" t="n">
        <f aca="false">K297*INDEX(Surface_Engine!$B$12:$B$72,$A297+1)+L298</f>
        <v>1454.77716745147</v>
      </c>
      <c r="M297" s="48" t="n">
        <f aca="false">M296+B296*(IF($A296&lt;$Q$258,(Surface_Engine!B239*12)-(Surface_Engine!B239*12)*INDEX(Surface_Engine!$F$12:$F$72,$A296+1)-INDEX(Surface_Engine!$D$12:$D$72,$A296+1),-(1000*12*INDEX(Surface_Engine!$C$12:$C$72,$A296+1)/(1+Assumptions!$B$10)^12+INDEX(Surface_Engine!$D$12:$D$72,$A296+1))))*INDEX(Surface_Engine!$B$12:$B$72,$A296+1)</f>
        <v>5737.48551192429</v>
      </c>
      <c r="N297" s="12" t="n">
        <f aca="false">IF(B297&lt;=0,0,MAX(0,(K297+Assumptions!$B$29*L297/INDEX(Surface_Engine!$B$12:$B$72,$A297+1)-(M297/INDEX(Surface_Engine!$B$12:$B$72,$A297+1)-(F297/INDEX(Surface_Engine!$B$12:$B$72,$A297+1))))/B297))</f>
        <v>0</v>
      </c>
    </row>
    <row r="298" customFormat="false" ht="15" hidden="false" customHeight="true" outlineLevel="0" collapsed="false">
      <c r="A298" s="1" t="n">
        <v>38</v>
      </c>
      <c r="B298" s="32" t="n">
        <f aca="false">INDEX(Surface_Engine!$J$12:$J$72,$A298+1)*IF($A298&lt;$Q$258,INDEX(Surface_Engine!$E$12:$E$72,$A298+1),INDEX(Surface_Engine!$E$12:$E$72,$Q$258+1))</f>
        <v>0.0695234283984856</v>
      </c>
      <c r="C298" s="32" t="n">
        <f aca="false">INDEX(Panel_Reserving!$C$8:$C$68,$A298+1)*IF($A298&lt;$Q$258,INDEX(Surface_Engine!$E$12:$E$72,$A298+1),INDEX(Surface_Engine!$E$12:$E$72,$Q$258+1))</f>
        <v>0.11797104547315</v>
      </c>
      <c r="D298" s="32" t="n">
        <f aca="false">INDEX(Surface_Engine!$J$12:$J$72,$A298+1)*IF($A298&lt;$Q$258,INDEX(Surface_Engine!$Y$12:$Y$72,$A298+1),INDEX(Surface_Engine!$Y$12:$Y$72,$Q$258+1))</f>
        <v>0.0638554015174754</v>
      </c>
      <c r="E298" s="32" t="n">
        <f aca="false">INDEX(Surface_Engine!$J$12:$J$72,$A298+1)*IF($A298&lt;$Q$258,INDEX(Surface_Engine!$Z$12:$Z$72,$A298+1),INDEX(Surface_Engine!$Z$12:$Z$72,$Q$258+1))</f>
        <v>0.0756299019555455</v>
      </c>
      <c r="F298" s="48" t="n">
        <f aca="false">B298*(IF($A298&lt;$Q$258,INDEX(Surface_Engine!$D$12:$D$72,$A298+1)+(Surface_Engine!B239*12)*INDEX(Surface_Engine!$F$12:$F$72,$A298+1)-(Surface_Engine!B239*12),1000*12*INDEX(Surface_Engine!$C$12:$C$72,$A298+1)/(1+Assumptions!$B$10)^12+INDEX(Surface_Engine!$D$12:$D$72,$A298+1)))*INDEX(Surface_Engine!$B$12:$B$72,$A298+1)+F299</f>
        <v>1658.5471252183</v>
      </c>
      <c r="G298" s="48" t="n">
        <f aca="false">C298*(IF($A298&lt;$Q$258,INDEX(Surface_Engine!$D$12:$D$72,$A298+1)+(Surface_Engine!B239*12)*INDEX(Surface_Engine!$F$12:$F$72,$A298+1)-(Surface_Engine!B239*12),1000*12*INDEX(Surface_Engine!$C$12:$C$72,$A298+1)/(1+Assumptions!$B$10)^12+INDEX(Surface_Engine!$D$12:$D$72,$A298+1)))*INDEX(Surface_Engine!$B$12:$B$72,$A298+1)+G299</f>
        <v>3332.21042082393</v>
      </c>
      <c r="H298" s="48" t="n">
        <f aca="false">D298*(IF($A298&lt;$Q$258,INDEX(Surface_Engine!$D$12:$D$72,$A298+1)+(Surface_Engine!B239*12)*INDEX(Surface_Engine!$F$12:$F$72,$A298+1)-(Surface_Engine!B239*12),1000*12*INDEX(Surface_Engine!$C$12:$C$72,$A298+1)/(1+Assumptions!$B$10)^12+INDEX(Surface_Engine!$D$12:$D$72,$A298+1)))*INDEX(Surface_Engine!$B$12:$B$72,$A298+1)+H299</f>
        <v>1523.33098433298</v>
      </c>
      <c r="I298" s="48" t="n">
        <f aca="false">E298*(IF($A298&lt;$Q$258,INDEX(Surface_Engine!$D$12:$D$72,$A298+1)+(Surface_Engine!B239*12)*INDEX(Surface_Engine!$F$12:$F$72,$A298+1)-(Surface_Engine!B239*12),1000*12*INDEX(Surface_Engine!$C$12:$C$72,$A298+1)/(1+Assumptions!$B$10)^12+INDEX(Surface_Engine!$D$12:$D$72,$A298+1)))*INDEX(Surface_Engine!$B$12:$B$72,$A298+1)+I299</f>
        <v>1804.22282615228</v>
      </c>
      <c r="J298" s="48" t="n">
        <f aca="false">B298*(IF($A298&lt;$Q$258,INDEX(Surface_Engine!$D$12:$D$72,$A298+1)*(1+Assumptions!$B$24)+(Surface_Engine!B239*12)*INDEX(Surface_Engine!$F$12:$F$72,$A298+1)-(Surface_Engine!B239*12),1000*12*INDEX(Surface_Engine!$C$12:$C$72,$A298+1)/(1+Assumptions!$B$10)^12+INDEX(Surface_Engine!$D$12:$D$72,$A298+1)*(1+Assumptions!$B$24)))*INDEX(Surface_Engine!$B$12:$B$72,$A298+1)+J299</f>
        <v>1660.28059453929</v>
      </c>
      <c r="K298" s="12" t="n">
        <f aca="false">SQRT((IF(C298&lt;=0,0,MAX(0,(B298/C298)*G298/INDEX(Surface_Engine!$B$12:$B$72,$A298+1)-F298/INDEX(Surface_Engine!$B$12:$B$72,$A298+1))))^2+(MAX(IF(D298&lt;=0,0,MAX(0,(B298/D298)*H298/INDEX(Surface_Engine!$B$12:$B$72,$A298+1)-F298/INDEX(Surface_Engine!$B$12:$B$72,$A298+1))),IF(E298&lt;=0,0,MAX(0,(B298/E298)*I298/INDEX(Surface_Engine!$B$12:$B$72,$A298+1)-F298/INDEX(Surface_Engine!$B$12:$B$72,$A298+1))),IF($A298&lt;$Q$258,MAX(0,-Assumptions!$B$22*(F298/INDEX(Surface_Engine!$B$12:$B$72,$A298+1))),0)))^2+(MAX(0,J298/INDEX(Surface_Engine!$B$12:$B$72,$A298+1)-(F298/INDEX(Surface_Engine!$B$12:$B$72,$A298+1))))^2+2*Assumptions!$B$26*(IF(C298&lt;=0,0,MAX(0,(B298/C298)*G298/INDEX(Surface_Engine!$B$12:$B$72,$A298+1)-F298/INDEX(Surface_Engine!$B$12:$B$72,$A298+1))))*(MAX(IF(D298&lt;=0,0,MAX(0,(B298/D298)*H298/INDEX(Surface_Engine!$B$12:$B$72,$A298+1)-F298/INDEX(Surface_Engine!$B$12:$B$72,$A298+1))),IF(E298&lt;=0,0,MAX(0,(B298/E298)*I298/INDEX(Surface_Engine!$B$12:$B$72,$A298+1)-F298/INDEX(Surface_Engine!$B$12:$B$72,$A298+1))),IF($A298&lt;$Q$258,MAX(0,-Assumptions!$B$22*(F298/INDEX(Surface_Engine!$B$12:$B$72,$A298+1))),0)))+2*Assumptions!$B$27*(IF(C298&lt;=0,0,MAX(0,(B298/C298)*G298/INDEX(Surface_Engine!$B$12:$B$72,$A298+1)-F298/INDEX(Surface_Engine!$B$12:$B$72,$A298+1))))*(MAX(0,J298/INDEX(Surface_Engine!$B$12:$B$72,$A298+1)-(F298/INDEX(Surface_Engine!$B$12:$B$72,$A298+1))))+2*Assumptions!$B$28*(MAX(IF(D298&lt;=0,0,MAX(0,(B298/D298)*H298/INDEX(Surface_Engine!$B$12:$B$72,$A298+1)-F298/INDEX(Surface_Engine!$B$12:$B$72,$A298+1))),IF(E298&lt;=0,0,MAX(0,(B298/E298)*I298/INDEX(Surface_Engine!$B$12:$B$72,$A298+1)-F298/INDEX(Surface_Engine!$B$12:$B$72,$A298+1))),IF($A298&lt;$Q$258,MAX(0,-Assumptions!$B$22*(F298/INDEX(Surface_Engine!$B$12:$B$72,$A298+1))),0)))*(MAX(0,J298/INDEX(Surface_Engine!$B$12:$B$72,$A298+1)-(F298/INDEX(Surface_Engine!$B$12:$B$72,$A298+1)))))</f>
        <v>1010.95712120221</v>
      </c>
      <c r="L298" s="48" t="n">
        <f aca="false">K298*INDEX(Surface_Engine!$B$12:$B$72,$A298+1)+L299</f>
        <v>1046.97504866231</v>
      </c>
      <c r="M298" s="48" t="n">
        <f aca="false">M297+B297*(IF($A297&lt;$Q$258,(Surface_Engine!B239*12)-(Surface_Engine!B239*12)*INDEX(Surface_Engine!$F$12:$F$72,$A297+1)-INDEX(Surface_Engine!$D$12:$D$72,$A297+1),-(1000*12*INDEX(Surface_Engine!$C$12:$C$72,$A297+1)/(1+Assumptions!$B$10)^12+INDEX(Surface_Engine!$D$12:$D$72,$A297+1))))*INDEX(Surface_Engine!$B$12:$B$72,$A297+1)</f>
        <v>5193.53838958539</v>
      </c>
      <c r="N298" s="12" t="n">
        <f aca="false">IF(B298&lt;=0,0,MAX(0,(K298+Assumptions!$B$29*L298/INDEX(Surface_Engine!$B$12:$B$72,$A298+1)-(M298/INDEX(Surface_Engine!$B$12:$B$72,$A298+1)-(F298/INDEX(Surface_Engine!$B$12:$B$72,$A298+1))))/B298))</f>
        <v>0</v>
      </c>
    </row>
    <row r="299" customFormat="false" ht="15" hidden="false" customHeight="true" outlineLevel="0" collapsed="false">
      <c r="A299" s="1" t="n">
        <v>39</v>
      </c>
      <c r="B299" s="32" t="n">
        <f aca="false">INDEX(Surface_Engine!$J$12:$J$72,$A299+1)*IF($A299&lt;$Q$258,INDEX(Surface_Engine!$E$12:$E$72,$A299+1),INDEX(Surface_Engine!$E$12:$E$72,$Q$258+1))</f>
        <v>0.054384461510257</v>
      </c>
      <c r="C299" s="32" t="n">
        <f aca="false">INDEX(Panel_Reserving!$C$8:$C$68,$A299+1)*IF($A299&lt;$Q$258,INDEX(Surface_Engine!$E$12:$E$72,$A299+1),INDEX(Surface_Engine!$E$12:$E$72,$Q$258+1))</f>
        <v>0.0974201630747597</v>
      </c>
      <c r="D299" s="32" t="n">
        <f aca="false">INDEX(Surface_Engine!$J$12:$J$72,$A299+1)*IF($A299&lt;$Q$258,INDEX(Surface_Engine!$Y$12:$Y$72,$A299+1),INDEX(Surface_Engine!$Y$12:$Y$72,$Q$258+1))</f>
        <v>0.0499506670779312</v>
      </c>
      <c r="E299" s="32" t="n">
        <f aca="false">INDEX(Surface_Engine!$J$12:$J$72,$A299+1)*IF($A299&lt;$Q$258,INDEX(Surface_Engine!$Z$12:$Z$72,$A299+1),INDEX(Surface_Engine!$Z$12:$Z$72,$Q$258+1))</f>
        <v>0.0591612293391369</v>
      </c>
      <c r="F299" s="48" t="n">
        <f aca="false">B299*(IF($A299&lt;$Q$258,INDEX(Surface_Engine!$D$12:$D$72,$A299+1)+(Surface_Engine!B239*12)*INDEX(Surface_Engine!$F$12:$F$72,$A299+1)-(Surface_Engine!B239*12),1000*12*INDEX(Surface_Engine!$C$12:$C$72,$A299+1)/(1+Assumptions!$B$10)^12+INDEX(Surface_Engine!$D$12:$D$72,$A299+1)))*INDEX(Surface_Engine!$B$12:$B$72,$A299+1)+F300</f>
        <v>1232.04907681215</v>
      </c>
      <c r="G299" s="48" t="n">
        <f aca="false">C299*(IF($A299&lt;$Q$258,INDEX(Surface_Engine!$D$12:$D$72,$A299+1)+(Surface_Engine!B239*12)*INDEX(Surface_Engine!$F$12:$F$72,$A299+1)-(Surface_Engine!B239*12),1000*12*INDEX(Surface_Engine!$C$12:$C$72,$A299+1)/(1+Assumptions!$B$10)^12+INDEX(Surface_Engine!$D$12:$D$72,$A299+1)))*INDEX(Surface_Engine!$B$12:$B$72,$A299+1)+G300</f>
        <v>2608.50588234309</v>
      </c>
      <c r="H299" s="48" t="n">
        <f aca="false">D299*(IF($A299&lt;$Q$258,INDEX(Surface_Engine!$D$12:$D$72,$A299+1)+(Surface_Engine!B239*12)*INDEX(Surface_Engine!$F$12:$F$72,$A299+1)-(Surface_Engine!B239*12),1000*12*INDEX(Surface_Engine!$C$12:$C$72,$A299+1)/(1+Assumptions!$B$10)^12+INDEX(Surface_Engine!$D$12:$D$72,$A299+1)))*INDEX(Surface_Engine!$B$12:$B$72,$A299+1)+H300</f>
        <v>1131.60398302205</v>
      </c>
      <c r="I299" s="48" t="n">
        <f aca="false">E299*(IF($A299&lt;$Q$258,INDEX(Surface_Engine!$D$12:$D$72,$A299+1)+(Surface_Engine!B239*12)*INDEX(Surface_Engine!$F$12:$F$72,$A299+1)-(Surface_Engine!B239*12),1000*12*INDEX(Surface_Engine!$C$12:$C$72,$A299+1)/(1+Assumptions!$B$10)^12+INDEX(Surface_Engine!$D$12:$D$72,$A299+1)))*INDEX(Surface_Engine!$B$12:$B$72,$A299+1)+I300</f>
        <v>1340.26403803976</v>
      </c>
      <c r="J299" s="48" t="n">
        <f aca="false">B299*(IF($A299&lt;$Q$258,INDEX(Surface_Engine!$D$12:$D$72,$A299+1)*(1+Assumptions!$B$24)+(Surface_Engine!B239*12)*INDEX(Surface_Engine!$F$12:$F$72,$A299+1)-(Surface_Engine!B239*12),1000*12*INDEX(Surface_Engine!$C$12:$C$72,$A299+1)/(1+Assumptions!$B$10)^12+INDEX(Surface_Engine!$D$12:$D$72,$A299+1)*(1+Assumptions!$B$24)))*INDEX(Surface_Engine!$B$12:$B$72,$A299+1)+J300</f>
        <v>1233.34204883105</v>
      </c>
      <c r="K299" s="12" t="n">
        <f aca="false">SQRT((IF(C299&lt;=0,0,MAX(0,(B299/C299)*G299/INDEX(Surface_Engine!$B$12:$B$72,$A299+1)-F299/INDEX(Surface_Engine!$B$12:$B$72,$A299+1))))^2+(MAX(IF(D299&lt;=0,0,MAX(0,(B299/D299)*H299/INDEX(Surface_Engine!$B$12:$B$72,$A299+1)-F299/INDEX(Surface_Engine!$B$12:$B$72,$A299+1))),IF(E299&lt;=0,0,MAX(0,(B299/E299)*I299/INDEX(Surface_Engine!$B$12:$B$72,$A299+1)-F299/INDEX(Surface_Engine!$B$12:$B$72,$A299+1))),IF($A299&lt;$Q$258,MAX(0,-Assumptions!$B$22*(F299/INDEX(Surface_Engine!$B$12:$B$72,$A299+1))),0)))^2+(MAX(0,J299/INDEX(Surface_Engine!$B$12:$B$72,$A299+1)-(F299/INDEX(Surface_Engine!$B$12:$B$72,$A299+1))))^2+2*Assumptions!$B$26*(IF(C299&lt;=0,0,MAX(0,(B299/C299)*G299/INDEX(Surface_Engine!$B$12:$B$72,$A299+1)-F299/INDEX(Surface_Engine!$B$12:$B$72,$A299+1))))*(MAX(IF(D299&lt;=0,0,MAX(0,(B299/D299)*H299/INDEX(Surface_Engine!$B$12:$B$72,$A299+1)-F299/INDEX(Surface_Engine!$B$12:$B$72,$A299+1))),IF(E299&lt;=0,0,MAX(0,(B299/E299)*I299/INDEX(Surface_Engine!$B$12:$B$72,$A299+1)-F299/INDEX(Surface_Engine!$B$12:$B$72,$A299+1))),IF($A299&lt;$Q$258,MAX(0,-Assumptions!$B$22*(F299/INDEX(Surface_Engine!$B$12:$B$72,$A299+1))),0)))+2*Assumptions!$B$27*(IF(C299&lt;=0,0,MAX(0,(B299/C299)*G299/INDEX(Surface_Engine!$B$12:$B$72,$A299+1)-F299/INDEX(Surface_Engine!$B$12:$B$72,$A299+1))))*(MAX(0,J299/INDEX(Surface_Engine!$B$12:$B$72,$A299+1)-(F299/INDEX(Surface_Engine!$B$12:$B$72,$A299+1))))+2*Assumptions!$B$28*(MAX(IF(D299&lt;=0,0,MAX(0,(B299/D299)*H299/INDEX(Surface_Engine!$B$12:$B$72,$A299+1)-F299/INDEX(Surface_Engine!$B$12:$B$72,$A299+1))),IF(E299&lt;=0,0,MAX(0,(B299/E299)*I299/INDEX(Surface_Engine!$B$12:$B$72,$A299+1)-F299/INDEX(Surface_Engine!$B$12:$B$72,$A299+1))),IF($A299&lt;$Q$258,MAX(0,-Assumptions!$B$22*(F299/INDEX(Surface_Engine!$B$12:$B$72,$A299+1))),0)))*(MAX(0,J299/INDEX(Surface_Engine!$B$12:$B$72,$A299+1)-(F299/INDEX(Surface_Engine!$B$12:$B$72,$A299+1)))))</f>
        <v>766.471949534076</v>
      </c>
      <c r="L299" s="48" t="n">
        <f aca="false">K299*INDEX(Surface_Engine!$B$12:$B$72,$A299+1)+L300</f>
        <v>741.325280231246</v>
      </c>
      <c r="M299" s="48" t="n">
        <f aca="false">M298+B298*(IF($A298&lt;$Q$258,(Surface_Engine!B239*12)-(Surface_Engine!B239*12)*INDEX(Surface_Engine!$F$12:$F$72,$A298+1)-INDEX(Surface_Engine!$D$12:$D$72,$A298+1),-(1000*12*INDEX(Surface_Engine!$C$12:$C$72,$A298+1)/(1+Assumptions!$B$10)^12+INDEX(Surface_Engine!$D$12:$D$72,$A298+1))))*INDEX(Surface_Engine!$B$12:$B$72,$A298+1)</f>
        <v>4767.04034117924</v>
      </c>
      <c r="N299" s="12" t="n">
        <f aca="false">IF(B299&lt;=0,0,MAX(0,(K299+Assumptions!$B$29*L299/INDEX(Surface_Engine!$B$12:$B$72,$A299+1)-(M299/INDEX(Surface_Engine!$B$12:$B$72,$A299+1)-(F299/INDEX(Surface_Engine!$B$12:$B$72,$A299+1))))/B299))</f>
        <v>0</v>
      </c>
    </row>
    <row r="300" customFormat="false" ht="15" hidden="false" customHeight="true" outlineLevel="0" collapsed="false">
      <c r="A300" s="1" t="n">
        <v>40</v>
      </c>
      <c r="B300" s="32" t="n">
        <f aca="false">INDEX(Surface_Engine!$J$12:$J$72,$A300+1)*IF($A300&lt;$Q$258,INDEX(Surface_Engine!$E$12:$E$72,$A300+1),INDEX(Surface_Engine!$E$12:$E$72,$Q$258+1))</f>
        <v>0.0418431702106273</v>
      </c>
      <c r="C300" s="32" t="n">
        <f aca="false">INDEX(Panel_Reserving!$C$8:$C$68,$A300+1)*IF($A300&lt;$Q$258,INDEX(Surface_Engine!$E$12:$E$72,$A300+1),INDEX(Surface_Engine!$E$12:$E$72,$Q$258+1))</f>
        <v>0.0794477553737465</v>
      </c>
      <c r="D300" s="32" t="n">
        <f aca="false">INDEX(Surface_Engine!$J$12:$J$72,$A300+1)*IF($A300&lt;$Q$258,INDEX(Surface_Engine!$Y$12:$Y$72,$A300+1),INDEX(Surface_Engine!$Y$12:$Y$72,$Q$258+1))</f>
        <v>0.0384318278904363</v>
      </c>
      <c r="E300" s="32" t="n">
        <f aca="false">INDEX(Surface_Engine!$J$12:$J$72,$A300+1)*IF($A300&lt;$Q$258,INDEX(Surface_Engine!$Z$12:$Z$72,$A300+1),INDEX(Surface_Engine!$Z$12:$Z$72,$Q$258+1))</f>
        <v>0.0455183947834177</v>
      </c>
      <c r="F300" s="48" t="n">
        <f aca="false">B300*(IF($A300&lt;$Q$258,INDEX(Surface_Engine!$D$12:$D$72,$A300+1)+(Surface_Engine!B239*12)*INDEX(Surface_Engine!$F$12:$F$72,$A300+1)-(Surface_Engine!B239*12),1000*12*INDEX(Surface_Engine!$C$12:$C$72,$A300+1)/(1+Assumptions!$B$10)^12+INDEX(Surface_Engine!$D$12:$D$72,$A300+1)))*INDEX(Surface_Engine!$B$12:$B$72,$A300+1)+F301</f>
        <v>902.403347501641</v>
      </c>
      <c r="G300" s="48" t="n">
        <f aca="false">C300*(IF($A300&lt;$Q$258,INDEX(Surface_Engine!$D$12:$D$72,$A300+1)+(Surface_Engine!B239*12)*INDEX(Surface_Engine!$F$12:$F$72,$A300+1)-(Surface_Engine!B239*12),1000*12*INDEX(Surface_Engine!$C$12:$C$72,$A300+1)/(1+Assumptions!$B$10)^12+INDEX(Surface_Engine!$D$12:$D$72,$A300+1)))*INDEX(Surface_Engine!$B$12:$B$72,$A300+1)+G301</f>
        <v>2018.00374598801</v>
      </c>
      <c r="H300" s="48" t="n">
        <f aca="false">D300*(IF($A300&lt;$Q$258,INDEX(Surface_Engine!$D$12:$D$72,$A300+1)+(Surface_Engine!B239*12)*INDEX(Surface_Engine!$F$12:$F$72,$A300+1)-(Surface_Engine!B239*12),1000*12*INDEX(Surface_Engine!$C$12:$C$72,$A300+1)/(1+Assumptions!$B$10)^12+INDEX(Surface_Engine!$D$12:$D$72,$A300+1)))*INDEX(Surface_Engine!$B$12:$B$72,$A300+1)+H301</f>
        <v>828.833235253488</v>
      </c>
      <c r="I300" s="48" t="n">
        <f aca="false">E300*(IF($A300&lt;$Q$258,INDEX(Surface_Engine!$D$12:$D$72,$A300+1)+(Surface_Engine!B239*12)*INDEX(Surface_Engine!$F$12:$F$72,$A300+1)-(Surface_Engine!B239*12),1000*12*INDEX(Surface_Engine!$C$12:$C$72,$A300+1)/(1+Assumptions!$B$10)^12+INDEX(Surface_Engine!$D$12:$D$72,$A300+1)))*INDEX(Surface_Engine!$B$12:$B$72,$A300+1)+I301</f>
        <v>981.66442979086</v>
      </c>
      <c r="J300" s="48" t="n">
        <f aca="false">B300*(IF($A300&lt;$Q$258,INDEX(Surface_Engine!$D$12:$D$72,$A300+1)*(1+Assumptions!$B$24)+(Surface_Engine!B239*12)*INDEX(Surface_Engine!$F$12:$F$72,$A300+1)-(Surface_Engine!B239*12),1000*12*INDEX(Surface_Engine!$C$12:$C$72,$A300+1)/(1+Assumptions!$B$10)^12+INDEX(Surface_Engine!$D$12:$D$72,$A300+1)*(1+Assumptions!$B$24)))*INDEX(Surface_Engine!$B$12:$B$72,$A300+1)+J301</f>
        <v>903.354201961514</v>
      </c>
      <c r="K300" s="12" t="n">
        <f aca="false">SQRT((IF(C300&lt;=0,0,MAX(0,(B300/C300)*G300/INDEX(Surface_Engine!$B$12:$B$72,$A300+1)-F300/INDEX(Surface_Engine!$B$12:$B$72,$A300+1))))^2+(MAX(IF(D300&lt;=0,0,MAX(0,(B300/D300)*H300/INDEX(Surface_Engine!$B$12:$B$72,$A300+1)-F300/INDEX(Surface_Engine!$B$12:$B$72,$A300+1))),IF(E300&lt;=0,0,MAX(0,(B300/E300)*I300/INDEX(Surface_Engine!$B$12:$B$72,$A300+1)-F300/INDEX(Surface_Engine!$B$12:$B$72,$A300+1))),IF($A300&lt;$Q$258,MAX(0,-Assumptions!$B$22*(F300/INDEX(Surface_Engine!$B$12:$B$72,$A300+1))),0)))^2+(MAX(0,J300/INDEX(Surface_Engine!$B$12:$B$72,$A300+1)-(F300/INDEX(Surface_Engine!$B$12:$B$72,$A300+1))))^2+2*Assumptions!$B$26*(IF(C300&lt;=0,0,MAX(0,(B300/C300)*G300/INDEX(Surface_Engine!$B$12:$B$72,$A300+1)-F300/INDEX(Surface_Engine!$B$12:$B$72,$A300+1))))*(MAX(IF(D300&lt;=0,0,MAX(0,(B300/D300)*H300/INDEX(Surface_Engine!$B$12:$B$72,$A300+1)-F300/INDEX(Surface_Engine!$B$12:$B$72,$A300+1))),IF(E300&lt;=0,0,MAX(0,(B300/E300)*I300/INDEX(Surface_Engine!$B$12:$B$72,$A300+1)-F300/INDEX(Surface_Engine!$B$12:$B$72,$A300+1))),IF($A300&lt;$Q$258,MAX(0,-Assumptions!$B$22*(F300/INDEX(Surface_Engine!$B$12:$B$72,$A300+1))),0)))+2*Assumptions!$B$27*(IF(C300&lt;=0,0,MAX(0,(B300/C300)*G300/INDEX(Surface_Engine!$B$12:$B$72,$A300+1)-F300/INDEX(Surface_Engine!$B$12:$B$72,$A300+1))))*(MAX(0,J300/INDEX(Surface_Engine!$B$12:$B$72,$A300+1)-(F300/INDEX(Surface_Engine!$B$12:$B$72,$A300+1))))+2*Assumptions!$B$28*(MAX(IF(D300&lt;=0,0,MAX(0,(B300/D300)*H300/INDEX(Surface_Engine!$B$12:$B$72,$A300+1)-F300/INDEX(Surface_Engine!$B$12:$B$72,$A300+1))),IF(E300&lt;=0,0,MAX(0,(B300/E300)*I300/INDEX(Surface_Engine!$B$12:$B$72,$A300+1)-F300/INDEX(Surface_Engine!$B$12:$B$72,$A300+1))),IF($A300&lt;$Q$258,MAX(0,-Assumptions!$B$22*(F300/INDEX(Surface_Engine!$B$12:$B$72,$A300+1))),0)))*(MAX(0,J300/INDEX(Surface_Engine!$B$12:$B$72,$A300+1)-(F300/INDEX(Surface_Engine!$B$12:$B$72,$A300+1)))))</f>
        <v>566.617885635005</v>
      </c>
      <c r="L300" s="48" t="n">
        <f aca="false">K300*INDEX(Surface_Engine!$B$12:$B$72,$A300+1)+L301</f>
        <v>516.858439029151</v>
      </c>
      <c r="M300" s="48" t="n">
        <f aca="false">M299+B299*(IF($A299&lt;$Q$258,(Surface_Engine!B239*12)-(Surface_Engine!B239*12)*INDEX(Surface_Engine!$F$12:$F$72,$A299+1)-INDEX(Surface_Engine!$D$12:$D$72,$A299+1),-(1000*12*INDEX(Surface_Engine!$C$12:$C$72,$A299+1)/(1+Assumptions!$B$10)^12+INDEX(Surface_Engine!$D$12:$D$72,$A299+1))))*INDEX(Surface_Engine!$B$12:$B$72,$A299+1)</f>
        <v>4437.39461186874</v>
      </c>
      <c r="N300" s="12" t="n">
        <f aca="false">IF(B300&lt;=0,0,MAX(0,(K300+Assumptions!$B$29*L300/INDEX(Surface_Engine!$B$12:$B$72,$A300+1)-(M300/INDEX(Surface_Engine!$B$12:$B$72,$A300+1)-(F300/INDEX(Surface_Engine!$B$12:$B$72,$A300+1))))/B300))</f>
        <v>0</v>
      </c>
    </row>
    <row r="301" customFormat="false" ht="15" hidden="false" customHeight="true" outlineLevel="0" collapsed="false">
      <c r="A301" s="1" t="n">
        <v>41</v>
      </c>
      <c r="B301" s="32" t="n">
        <f aca="false">INDEX(Surface_Engine!$J$12:$J$72,$A301+1)*IF($A301&lt;$Q$258,INDEX(Surface_Engine!$E$12:$E$72,$A301+1),INDEX(Surface_Engine!$E$12:$E$72,$Q$258+1))</f>
        <v>0.0315781565931937</v>
      </c>
      <c r="C301" s="32" t="n">
        <f aca="false">INDEX(Panel_Reserving!$C$8:$C$68,$A301+1)*IF($A301&lt;$Q$258,INDEX(Surface_Engine!$E$12:$E$72,$A301+1),INDEX(Surface_Engine!$E$12:$E$72,$Q$258+1))</f>
        <v>0.0638555851499156</v>
      </c>
      <c r="D301" s="32" t="n">
        <f aca="false">INDEX(Surface_Engine!$J$12:$J$72,$A301+1)*IF($A301&lt;$Q$258,INDEX(Surface_Engine!$Y$12:$Y$72,$A301+1),INDEX(Surface_Engine!$Y$12:$Y$72,$Q$258+1))</f>
        <v>0.0290036886110182</v>
      </c>
      <c r="E301" s="32" t="n">
        <f aca="false">INDEX(Surface_Engine!$J$12:$J$72,$A301+1)*IF($A301&lt;$Q$258,INDEX(Surface_Engine!$Z$12:$Z$72,$A301+1),INDEX(Surface_Engine!$Z$12:$Z$72,$Q$258+1))</f>
        <v>0.0343517709367181</v>
      </c>
      <c r="F301" s="48" t="n">
        <f aca="false">B301*(IF($A301&lt;$Q$258,INDEX(Surface_Engine!$D$12:$D$72,$A301+1)+(Surface_Engine!B239*12)*INDEX(Surface_Engine!$F$12:$F$72,$A301+1)-(Surface_Engine!B239*12),1000*12*INDEX(Surface_Engine!$C$12:$C$72,$A301+1)/(1+Assumptions!$B$10)^12+INDEX(Surface_Engine!$D$12:$D$72,$A301+1)))*INDEX(Surface_Engine!$B$12:$B$72,$A301+1)+F302</f>
        <v>651.903586293468</v>
      </c>
      <c r="G301" s="48" t="n">
        <f aca="false">C301*(IF($A301&lt;$Q$258,INDEX(Surface_Engine!$D$12:$D$72,$A301+1)+(Surface_Engine!B239*12)*INDEX(Surface_Engine!$F$12:$F$72,$A301+1)-(Surface_Engine!B239*12),1000*12*INDEX(Surface_Engine!$C$12:$C$72,$A301+1)/(1+Assumptions!$B$10)^12+INDEX(Surface_Engine!$D$12:$D$72,$A301+1)))*INDEX(Surface_Engine!$B$12:$B$72,$A301+1)+G302</f>
        <v>1542.37908252515</v>
      </c>
      <c r="H301" s="48" t="n">
        <f aca="false">D301*(IF($A301&lt;$Q$258,INDEX(Surface_Engine!$D$12:$D$72,$A301+1)+(Surface_Engine!B239*12)*INDEX(Surface_Engine!$F$12:$F$72,$A301+1)-(Surface_Engine!B239*12),1000*12*INDEX(Surface_Engine!$C$12:$C$72,$A301+1)/(1+Assumptions!$B$10)^12+INDEX(Surface_Engine!$D$12:$D$72,$A301+1)))*INDEX(Surface_Engine!$B$12:$B$72,$A301+1)+H302</f>
        <v>598.755933249665</v>
      </c>
      <c r="I301" s="48" t="n">
        <f aca="false">E301*(IF($A301&lt;$Q$258,INDEX(Surface_Engine!$D$12:$D$72,$A301+1)+(Surface_Engine!B239*12)*INDEX(Surface_Engine!$F$12:$F$72,$A301+1)-(Surface_Engine!B239*12),1000*12*INDEX(Surface_Engine!$C$12:$C$72,$A301+1)/(1+Assumptions!$B$10)^12+INDEX(Surface_Engine!$D$12:$D$72,$A301+1)))*INDEX(Surface_Engine!$B$12:$B$72,$A301+1)+I302</f>
        <v>709.162442813557</v>
      </c>
      <c r="J301" s="48" t="n">
        <f aca="false">B301*(IF($A301&lt;$Q$258,INDEX(Surface_Engine!$D$12:$D$72,$A301+1)*(1+Assumptions!$B$24)+(Surface_Engine!B239*12)*INDEX(Surface_Engine!$F$12:$F$72,$A301+1)-(Surface_Engine!B239*12),1000*12*INDEX(Surface_Engine!$C$12:$C$72,$A301+1)/(1+Assumptions!$B$10)^12+INDEX(Surface_Engine!$D$12:$D$72,$A301+1)*(1+Assumptions!$B$24)))*INDEX(Surface_Engine!$B$12:$B$72,$A301+1)+J302</f>
        <v>652.593202466498</v>
      </c>
      <c r="K301" s="12" t="n">
        <f aca="false">SQRT((IF(C301&lt;=0,0,MAX(0,(B301/C301)*G301/INDEX(Surface_Engine!$B$12:$B$72,$A301+1)-F301/INDEX(Surface_Engine!$B$12:$B$72,$A301+1))))^2+(MAX(IF(D301&lt;=0,0,MAX(0,(B301/D301)*H301/INDEX(Surface_Engine!$B$12:$B$72,$A301+1)-F301/INDEX(Surface_Engine!$B$12:$B$72,$A301+1))),IF(E301&lt;=0,0,MAX(0,(B301/E301)*I301/INDEX(Surface_Engine!$B$12:$B$72,$A301+1)-F301/INDEX(Surface_Engine!$B$12:$B$72,$A301+1))),IF($A301&lt;$Q$258,MAX(0,-Assumptions!$B$22*(F301/INDEX(Surface_Engine!$B$12:$B$72,$A301+1))),0)))^2+(MAX(0,J301/INDEX(Surface_Engine!$B$12:$B$72,$A301+1)-(F301/INDEX(Surface_Engine!$B$12:$B$72,$A301+1))))^2+2*Assumptions!$B$26*(IF(C301&lt;=0,0,MAX(0,(B301/C301)*G301/INDEX(Surface_Engine!$B$12:$B$72,$A301+1)-F301/INDEX(Surface_Engine!$B$12:$B$72,$A301+1))))*(MAX(IF(D301&lt;=0,0,MAX(0,(B301/D301)*H301/INDEX(Surface_Engine!$B$12:$B$72,$A301+1)-F301/INDEX(Surface_Engine!$B$12:$B$72,$A301+1))),IF(E301&lt;=0,0,MAX(0,(B301/E301)*I301/INDEX(Surface_Engine!$B$12:$B$72,$A301+1)-F301/INDEX(Surface_Engine!$B$12:$B$72,$A301+1))),IF($A301&lt;$Q$258,MAX(0,-Assumptions!$B$22*(F301/INDEX(Surface_Engine!$B$12:$B$72,$A301+1))),0)))+2*Assumptions!$B$27*(IF(C301&lt;=0,0,MAX(0,(B301/C301)*G301/INDEX(Surface_Engine!$B$12:$B$72,$A301+1)-F301/INDEX(Surface_Engine!$B$12:$B$72,$A301+1))))*(MAX(0,J301/INDEX(Surface_Engine!$B$12:$B$72,$A301+1)-(F301/INDEX(Surface_Engine!$B$12:$B$72,$A301+1))))+2*Assumptions!$B$28*(MAX(IF(D301&lt;=0,0,MAX(0,(B301/D301)*H301/INDEX(Surface_Engine!$B$12:$B$72,$A301+1)-F301/INDEX(Surface_Engine!$B$12:$B$72,$A301+1))),IF(E301&lt;=0,0,MAX(0,(B301/E301)*I301/INDEX(Surface_Engine!$B$12:$B$72,$A301+1)-F301/INDEX(Surface_Engine!$B$12:$B$72,$A301+1))),IF($A301&lt;$Q$258,MAX(0,-Assumptions!$B$22*(F301/INDEX(Surface_Engine!$B$12:$B$72,$A301+1))),0)))*(MAX(0,J301/INDEX(Surface_Engine!$B$12:$B$72,$A301+1)-(F301/INDEX(Surface_Engine!$B$12:$B$72,$A301+1)))))</f>
        <v>404.359487070134</v>
      </c>
      <c r="L301" s="48" t="n">
        <f aca="false">K301*INDEX(Surface_Engine!$B$12:$B$72,$A301+1)+L302</f>
        <v>356.188711517883</v>
      </c>
      <c r="M301" s="48" t="n">
        <f aca="false">M300+B300*(IF($A300&lt;$Q$258,(Surface_Engine!B239*12)-(Surface_Engine!B239*12)*INDEX(Surface_Engine!$F$12:$F$72,$A300+1)-INDEX(Surface_Engine!$D$12:$D$72,$A300+1),-(1000*12*INDEX(Surface_Engine!$C$12:$C$72,$A300+1)/(1+Assumptions!$B$10)^12+INDEX(Surface_Engine!$D$12:$D$72,$A300+1))))*INDEX(Surface_Engine!$B$12:$B$72,$A300+1)</f>
        <v>4186.89485066057</v>
      </c>
      <c r="N301" s="12" t="n">
        <f aca="false">IF(B301&lt;=0,0,MAX(0,(K301+Assumptions!$B$29*L301/INDEX(Surface_Engine!$B$12:$B$72,$A301+1)-(M301/INDEX(Surface_Engine!$B$12:$B$72,$A301+1)-(F301/INDEX(Surface_Engine!$B$12:$B$72,$A301+1))))/B301))</f>
        <v>0</v>
      </c>
    </row>
    <row r="302" customFormat="false" ht="15" hidden="false" customHeight="true" outlineLevel="0" collapsed="false">
      <c r="A302" s="1" t="n">
        <v>42</v>
      </c>
      <c r="B302" s="32" t="n">
        <f aca="false">INDEX(Surface_Engine!$J$12:$J$72,$A302+1)*IF($A302&lt;$Q$258,INDEX(Surface_Engine!$E$12:$E$72,$A302+1),INDEX(Surface_Engine!$E$12:$E$72,$Q$258+1))</f>
        <v>0.0241211297831677</v>
      </c>
      <c r="C302" s="32" t="n">
        <f aca="false">INDEX(Panel_Reserving!$C$8:$C$68,$A302+1)*IF($A302&lt;$Q$258,INDEX(Surface_Engine!$E$12:$E$72,$A302+1),INDEX(Surface_Engine!$E$12:$E$72,$Q$258+1))</f>
        <v>0.0517922385380883</v>
      </c>
      <c r="D302" s="32" t="n">
        <f aca="false">INDEX(Surface_Engine!$J$12:$J$72,$A302+1)*IF($A302&lt;$Q$258,INDEX(Surface_Engine!$Y$12:$Y$72,$A302+1),INDEX(Surface_Engine!$Y$12:$Y$72,$Q$258+1))</f>
        <v>0.0221546097889623</v>
      </c>
      <c r="E302" s="32" t="n">
        <f aca="false">INDEX(Surface_Engine!$J$12:$J$72,$A302+1)*IF($A302&lt;$Q$258,INDEX(Surface_Engine!$Z$12:$Z$72,$A302+1),INDEX(Surface_Engine!$Z$12:$Z$72,$Q$258+1))</f>
        <v>0.0262397687021674</v>
      </c>
      <c r="F302" s="48" t="n">
        <f aca="false">B302*(IF($A302&lt;$Q$258,INDEX(Surface_Engine!$D$12:$D$72,$A302+1)+(Surface_Engine!B239*12)*INDEX(Surface_Engine!$F$12:$F$72,$A302+1)-(Surface_Engine!B239*12),1000*12*INDEX(Surface_Engine!$C$12:$C$72,$A302+1)/(1+Assumptions!$B$10)^12+INDEX(Surface_Engine!$D$12:$D$72,$A302+1)))*INDEX(Surface_Engine!$B$12:$B$72,$A302+1)+F303</f>
        <v>465.195596051819</v>
      </c>
      <c r="G302" s="48" t="n">
        <f aca="false">C302*(IF($A302&lt;$Q$258,INDEX(Surface_Engine!$D$12:$D$72,$A302+1)+(Surface_Engine!B239*12)*INDEX(Surface_Engine!$F$12:$F$72,$A302+1)-(Surface_Engine!B239*12),1000*12*INDEX(Surface_Engine!$C$12:$C$72,$A302+1)/(1+Assumptions!$B$10)^12+INDEX(Surface_Engine!$D$12:$D$72,$A302+1)))*INDEX(Surface_Engine!$B$12:$B$72,$A302+1)+G303</f>
        <v>1164.82860918261</v>
      </c>
      <c r="H302" s="48" t="n">
        <f aca="false">D302*(IF($A302&lt;$Q$258,INDEX(Surface_Engine!$D$12:$D$72,$A302+1)+(Surface_Engine!B239*12)*INDEX(Surface_Engine!$F$12:$F$72,$A302+1)-(Surface_Engine!B239*12),1000*12*INDEX(Surface_Engine!$C$12:$C$72,$A302+1)/(1+Assumptions!$B$10)^12+INDEX(Surface_Engine!$D$12:$D$72,$A302+1)))*INDEX(Surface_Engine!$B$12:$B$72,$A302+1)+H303</f>
        <v>427.269659369923</v>
      </c>
      <c r="I302" s="48" t="n">
        <f aca="false">E302*(IF($A302&lt;$Q$258,INDEX(Surface_Engine!$D$12:$D$72,$A302+1)+(Surface_Engine!B239*12)*INDEX(Surface_Engine!$F$12:$F$72,$A302+1)-(Surface_Engine!B239*12),1000*12*INDEX(Surface_Engine!$C$12:$C$72,$A302+1)/(1+Assumptions!$B$10)^12+INDEX(Surface_Engine!$D$12:$D$72,$A302+1)))*INDEX(Surface_Engine!$B$12:$B$72,$A302+1)+I303</f>
        <v>506.055269856585</v>
      </c>
      <c r="J302" s="48" t="n">
        <f aca="false">B302*(IF($A302&lt;$Q$258,INDEX(Surface_Engine!$D$12:$D$72,$A302+1)*(1+Assumptions!$B$24)+(Surface_Engine!B239*12)*INDEX(Surface_Engine!$F$12:$F$72,$A302+1)-(Surface_Engine!B239*12),1000*12*INDEX(Surface_Engine!$C$12:$C$72,$A302+1)/(1+Assumptions!$B$10)^12+INDEX(Surface_Engine!$D$12:$D$72,$A302+1)*(1+Assumptions!$B$24)))*INDEX(Surface_Engine!$B$12:$B$72,$A302+1)+J303</f>
        <v>465.689555892776</v>
      </c>
      <c r="K302" s="12" t="n">
        <f aca="false">SQRT((IF(C302&lt;=0,0,MAX(0,(B302/C302)*G302/INDEX(Surface_Engine!$B$12:$B$72,$A302+1)-F302/INDEX(Surface_Engine!$B$12:$B$72,$A302+1))))^2+(MAX(IF(D302&lt;=0,0,MAX(0,(B302/D302)*H302/INDEX(Surface_Engine!$B$12:$B$72,$A302+1)-F302/INDEX(Surface_Engine!$B$12:$B$72,$A302+1))),IF(E302&lt;=0,0,MAX(0,(B302/E302)*I302/INDEX(Surface_Engine!$B$12:$B$72,$A302+1)-F302/INDEX(Surface_Engine!$B$12:$B$72,$A302+1))),IF($A302&lt;$Q$258,MAX(0,-Assumptions!$B$22*(F302/INDEX(Surface_Engine!$B$12:$B$72,$A302+1))),0)))^2+(MAX(0,J302/INDEX(Surface_Engine!$B$12:$B$72,$A302+1)-(F302/INDEX(Surface_Engine!$B$12:$B$72,$A302+1))))^2+2*Assumptions!$B$26*(IF(C302&lt;=0,0,MAX(0,(B302/C302)*G302/INDEX(Surface_Engine!$B$12:$B$72,$A302+1)-F302/INDEX(Surface_Engine!$B$12:$B$72,$A302+1))))*(MAX(IF(D302&lt;=0,0,MAX(0,(B302/D302)*H302/INDEX(Surface_Engine!$B$12:$B$72,$A302+1)-F302/INDEX(Surface_Engine!$B$12:$B$72,$A302+1))),IF(E302&lt;=0,0,MAX(0,(B302/E302)*I302/INDEX(Surface_Engine!$B$12:$B$72,$A302+1)-F302/INDEX(Surface_Engine!$B$12:$B$72,$A302+1))),IF($A302&lt;$Q$258,MAX(0,-Assumptions!$B$22*(F302/INDEX(Surface_Engine!$B$12:$B$72,$A302+1))),0)))+2*Assumptions!$B$27*(IF(C302&lt;=0,0,MAX(0,(B302/C302)*G302/INDEX(Surface_Engine!$B$12:$B$72,$A302+1)-F302/INDEX(Surface_Engine!$B$12:$B$72,$A302+1))))*(MAX(0,J302/INDEX(Surface_Engine!$B$12:$B$72,$A302+1)-(F302/INDEX(Surface_Engine!$B$12:$B$72,$A302+1))))+2*Assumptions!$B$28*(MAX(IF(D302&lt;=0,0,MAX(0,(B302/D302)*H302/INDEX(Surface_Engine!$B$12:$B$72,$A302+1)-F302/INDEX(Surface_Engine!$B$12:$B$72,$A302+1))),IF(E302&lt;=0,0,MAX(0,(B302/E302)*I302/INDEX(Surface_Engine!$B$12:$B$72,$A302+1)-F302/INDEX(Surface_Engine!$B$12:$B$72,$A302+1))),IF($A302&lt;$Q$258,MAX(0,-Assumptions!$B$22*(F302/INDEX(Surface_Engine!$B$12:$B$72,$A302+1))),0)))*(MAX(0,J302/INDEX(Surface_Engine!$B$12:$B$72,$A302+1)-(F302/INDEX(Surface_Engine!$B$12:$B$72,$A302+1)))))</f>
        <v>291.15664718738</v>
      </c>
      <c r="L302" s="48" t="n">
        <f aca="false">K302*INDEX(Surface_Engine!$B$12:$B$72,$A302+1)+L303</f>
        <v>245.173513700814</v>
      </c>
      <c r="M302" s="48" t="n">
        <f aca="false">M301+B301*(IF($A301&lt;$Q$258,(Surface_Engine!B239*12)-(Surface_Engine!B239*12)*INDEX(Surface_Engine!$F$12:$F$72,$A301+1)-INDEX(Surface_Engine!$D$12:$D$72,$A301+1),-(1000*12*INDEX(Surface_Engine!$C$12:$C$72,$A301+1)/(1+Assumptions!$B$10)^12+INDEX(Surface_Engine!$D$12:$D$72,$A301+1))))*INDEX(Surface_Engine!$B$12:$B$72,$A301+1)</f>
        <v>4000.18686041892</v>
      </c>
      <c r="N302" s="12" t="n">
        <f aca="false">IF(B302&lt;=0,0,MAX(0,(K302+Assumptions!$B$29*L302/INDEX(Surface_Engine!$B$12:$B$72,$A302+1)-(M302/INDEX(Surface_Engine!$B$12:$B$72,$A302+1)-(F302/INDEX(Surface_Engine!$B$12:$B$72,$A302+1))))/B302))</f>
        <v>0</v>
      </c>
    </row>
    <row r="303" customFormat="false" ht="15" hidden="false" customHeight="true" outlineLevel="0" collapsed="false">
      <c r="A303" s="1" t="n">
        <v>43</v>
      </c>
      <c r="B303" s="32" t="n">
        <f aca="false">INDEX(Surface_Engine!$J$12:$J$72,$A303+1)*IF($A303&lt;$Q$258,INDEX(Surface_Engine!$E$12:$E$72,$A303+1),INDEX(Surface_Engine!$E$12:$E$72,$Q$258+1))</f>
        <v>0.0211954529178169</v>
      </c>
      <c r="C303" s="32" t="n">
        <f aca="false">INDEX(Panel_Reserving!$C$8:$C$68,$A303+1)*IF($A303&lt;$Q$258,INDEX(Surface_Engine!$E$12:$E$72,$A303+1),INDEX(Surface_Engine!$E$12:$E$72,$Q$258+1))</f>
        <v>0.0467666910464826</v>
      </c>
      <c r="D303" s="32" t="n">
        <f aca="false">INDEX(Surface_Engine!$J$12:$J$72,$A303+1)*IF($A303&lt;$Q$258,INDEX(Surface_Engine!$Y$12:$Y$72,$A303+1),INDEX(Surface_Engine!$Y$12:$Y$72,$Q$258+1))</f>
        <v>0.019467454174648</v>
      </c>
      <c r="E303" s="32" t="n">
        <f aca="false">INDEX(Surface_Engine!$J$12:$J$72,$A303+1)*IF($A303&lt;$Q$258,INDEX(Surface_Engine!$Z$12:$Z$72,$A303+1),INDEX(Surface_Engine!$Z$12:$Z$72,$Q$258+1))</f>
        <v>0.0230571199235161</v>
      </c>
      <c r="F303" s="48" t="n">
        <f aca="false">B303*(IF($A303&lt;$Q$258,INDEX(Surface_Engine!$D$12:$D$72,$A303+1)+(Surface_Engine!B239*12)*INDEX(Surface_Engine!$F$12:$F$72,$A303+1)-(Surface_Engine!B239*12),1000*12*INDEX(Surface_Engine!$C$12:$C$72,$A303+1)/(1+Assumptions!$B$10)^12+INDEX(Surface_Engine!$D$12:$D$72,$A303+1)))*INDEX(Surface_Engine!$B$12:$B$72,$A303+1)+F304</f>
        <v>324.290340399547</v>
      </c>
      <c r="G303" s="48" t="n">
        <f aca="false">C303*(IF($A303&lt;$Q$258,INDEX(Surface_Engine!$D$12:$D$72,$A303+1)+(Surface_Engine!B239*12)*INDEX(Surface_Engine!$F$12:$F$72,$A303+1)-(Surface_Engine!B239*12),1000*12*INDEX(Surface_Engine!$C$12:$C$72,$A303+1)/(1+Assumptions!$B$10)^12+INDEX(Surface_Engine!$D$12:$D$72,$A303+1)))*INDEX(Surface_Engine!$B$12:$B$72,$A303+1)+G304</f>
        <v>862.280649049105</v>
      </c>
      <c r="H303" s="48" t="n">
        <f aca="false">D303*(IF($A303&lt;$Q$258,INDEX(Surface_Engine!$D$12:$D$72,$A303+1)+(Surface_Engine!B239*12)*INDEX(Surface_Engine!$F$12:$F$72,$A303+1)-(Surface_Engine!B239*12),1000*12*INDEX(Surface_Engine!$C$12:$C$72,$A303+1)/(1+Assumptions!$B$10)^12+INDEX(Surface_Engine!$D$12:$D$72,$A303+1)))*INDEX(Surface_Engine!$B$12:$B$72,$A303+1)+H304</f>
        <v>297.851966904769</v>
      </c>
      <c r="I303" s="48" t="n">
        <f aca="false">E303*(IF($A303&lt;$Q$258,INDEX(Surface_Engine!$D$12:$D$72,$A303+1)+(Surface_Engine!B239*12)*INDEX(Surface_Engine!$F$12:$F$72,$A303+1)-(Surface_Engine!B239*12),1000*12*INDEX(Surface_Engine!$C$12:$C$72,$A303+1)/(1+Assumptions!$B$10)^12+INDEX(Surface_Engine!$D$12:$D$72,$A303+1)))*INDEX(Surface_Engine!$B$12:$B$72,$A303+1)+I304</f>
        <v>352.773837748232</v>
      </c>
      <c r="J303" s="48" t="n">
        <f aca="false">B303*(IF($A303&lt;$Q$258,INDEX(Surface_Engine!$D$12:$D$72,$A303+1)*(1+Assumptions!$B$24)+(Surface_Engine!B239*12)*INDEX(Surface_Engine!$F$12:$F$72,$A303+1)-(Surface_Engine!B239*12),1000*12*INDEX(Surface_Engine!$C$12:$C$72,$A303+1)/(1+Assumptions!$B$10)^12+INDEX(Surface_Engine!$D$12:$D$72,$A303+1)*(1+Assumptions!$B$24)))*INDEX(Surface_Engine!$B$12:$B$72,$A303+1)+J304</f>
        <v>324.635925633834</v>
      </c>
      <c r="K303" s="12" t="n">
        <f aca="false">SQRT((IF(C303&lt;=0,0,MAX(0,(B303/C303)*G303/INDEX(Surface_Engine!$B$12:$B$72,$A303+1)-F303/INDEX(Surface_Engine!$B$12:$B$72,$A303+1))))^2+(MAX(IF(D303&lt;=0,0,MAX(0,(B303/D303)*H303/INDEX(Surface_Engine!$B$12:$B$72,$A303+1)-F303/INDEX(Surface_Engine!$B$12:$B$72,$A303+1))),IF(E303&lt;=0,0,MAX(0,(B303/E303)*I303/INDEX(Surface_Engine!$B$12:$B$72,$A303+1)-F303/INDEX(Surface_Engine!$B$12:$B$72,$A303+1))),IF($A303&lt;$Q$258,MAX(0,-Assumptions!$B$22*(F303/INDEX(Surface_Engine!$B$12:$B$72,$A303+1))),0)))^2+(MAX(0,J303/INDEX(Surface_Engine!$B$12:$B$72,$A303+1)-(F303/INDEX(Surface_Engine!$B$12:$B$72,$A303+1))))^2+2*Assumptions!$B$26*(IF(C303&lt;=0,0,MAX(0,(B303/C303)*G303/INDEX(Surface_Engine!$B$12:$B$72,$A303+1)-F303/INDEX(Surface_Engine!$B$12:$B$72,$A303+1))))*(MAX(IF(D303&lt;=0,0,MAX(0,(B303/D303)*H303/INDEX(Surface_Engine!$B$12:$B$72,$A303+1)-F303/INDEX(Surface_Engine!$B$12:$B$72,$A303+1))),IF(E303&lt;=0,0,MAX(0,(B303/E303)*I303/INDEX(Surface_Engine!$B$12:$B$72,$A303+1)-F303/INDEX(Surface_Engine!$B$12:$B$72,$A303+1))),IF($A303&lt;$Q$258,MAX(0,-Assumptions!$B$22*(F303/INDEX(Surface_Engine!$B$12:$B$72,$A303+1))),0)))+2*Assumptions!$B$27*(IF(C303&lt;=0,0,MAX(0,(B303/C303)*G303/INDEX(Surface_Engine!$B$12:$B$72,$A303+1)-F303/INDEX(Surface_Engine!$B$12:$B$72,$A303+1))))*(MAX(0,J303/INDEX(Surface_Engine!$B$12:$B$72,$A303+1)-(F303/INDEX(Surface_Engine!$B$12:$B$72,$A303+1))))+2*Assumptions!$B$28*(MAX(IF(D303&lt;=0,0,MAX(0,(B303/D303)*H303/INDEX(Surface_Engine!$B$12:$B$72,$A303+1)-F303/INDEX(Surface_Engine!$B$12:$B$72,$A303+1))),IF(E303&lt;=0,0,MAX(0,(B303/E303)*I303/INDEX(Surface_Engine!$B$12:$B$72,$A303+1)-F303/INDEX(Surface_Engine!$B$12:$B$72,$A303+1))),IF($A303&lt;$Q$258,MAX(0,-Assumptions!$B$22*(F303/INDEX(Surface_Engine!$B$12:$B$72,$A303+1))),0)))*(MAX(0,J303/INDEX(Surface_Engine!$B$12:$B$72,$A303+1)-(F303/INDEX(Surface_Engine!$B$12:$B$72,$A303+1)))))</f>
        <v>258.682781012426</v>
      </c>
      <c r="L303" s="48" t="n">
        <f aca="false">K303*INDEX(Surface_Engine!$B$12:$B$72,$A303+1)+L304</f>
        <v>167.750076815221</v>
      </c>
      <c r="M303" s="48" t="n">
        <f aca="false">M302+B302*(IF($A302&lt;$Q$258,(Surface_Engine!B239*12)-(Surface_Engine!B239*12)*INDEX(Surface_Engine!$F$12:$F$72,$A302+1)-INDEX(Surface_Engine!$D$12:$D$72,$A302+1),-(1000*12*INDEX(Surface_Engine!$C$12:$C$72,$A302+1)/(1+Assumptions!$B$10)^12+INDEX(Surface_Engine!$D$12:$D$72,$A302+1))))*INDEX(Surface_Engine!$B$12:$B$72,$A302+1)</f>
        <v>3859.28160476664</v>
      </c>
      <c r="N303" s="12" t="n">
        <f aca="false">IF(B303&lt;=0,0,MAX(0,(K303+Assumptions!$B$29*L303/INDEX(Surface_Engine!$B$12:$B$72,$A303+1)-(M303/INDEX(Surface_Engine!$B$12:$B$72,$A303+1)-(F303/INDEX(Surface_Engine!$B$12:$B$72,$A303+1))))/B303))</f>
        <v>0</v>
      </c>
    </row>
    <row r="304" customFormat="false" ht="15" hidden="false" customHeight="true" outlineLevel="0" collapsed="false">
      <c r="A304" s="1" t="n">
        <v>44</v>
      </c>
      <c r="B304" s="32" t="n">
        <f aca="false">INDEX(Surface_Engine!$J$12:$J$72,$A304+1)*IF($A304&lt;$Q$258,INDEX(Surface_Engine!$E$12:$E$72,$A304+1),INDEX(Surface_Engine!$E$12:$E$72,$Q$258+1))</f>
        <v>0.0141490395442977</v>
      </c>
      <c r="C304" s="32" t="n">
        <f aca="false">INDEX(Panel_Reserving!$C$8:$C$68,$A304+1)*IF($A304&lt;$Q$258,INDEX(Surface_Engine!$E$12:$E$72,$A304+1),INDEX(Surface_Engine!$E$12:$E$72,$Q$258+1))</f>
        <v>0.0343286482831439</v>
      </c>
      <c r="D304" s="32" t="n">
        <f aca="false">INDEX(Surface_Engine!$J$12:$J$72,$A304+1)*IF($A304&lt;$Q$258,INDEX(Surface_Engine!$Y$12:$Y$72,$A304+1),INDEX(Surface_Engine!$Y$12:$Y$72,$Q$258+1))</f>
        <v>0.0129955127645496</v>
      </c>
      <c r="E304" s="32" t="n">
        <f aca="false">INDEX(Surface_Engine!$J$12:$J$72,$A304+1)*IF($A304&lt;$Q$258,INDEX(Surface_Engine!$Z$12:$Z$72,$A304+1),INDEX(Surface_Engine!$Z$12:$Z$72,$Q$258+1))</f>
        <v>0.0153917966669734</v>
      </c>
      <c r="F304" s="48" t="n">
        <f aca="false">B304*(IF($A304&lt;$Q$258,INDEX(Surface_Engine!$D$12:$D$72,$A304+1)+(Surface_Engine!B239*12)*INDEX(Surface_Engine!$F$12:$F$72,$A304+1)-(Surface_Engine!B239*12),1000*12*INDEX(Surface_Engine!$C$12:$C$72,$A304+1)/(1+Assumptions!$B$10)^12+INDEX(Surface_Engine!$D$12:$D$72,$A304+1)))*INDEX(Surface_Engine!$B$12:$B$72,$A304+1)+F305</f>
        <v>202.015694959708</v>
      </c>
      <c r="G304" s="48" t="n">
        <f aca="false">C304*(IF($A304&lt;$Q$258,INDEX(Surface_Engine!$D$12:$D$72,$A304+1)+(Surface_Engine!B239*12)*INDEX(Surface_Engine!$F$12:$F$72,$A304+1)-(Surface_Engine!B239*12),1000*12*INDEX(Surface_Engine!$C$12:$C$72,$A304+1)/(1+Assumptions!$B$10)^12+INDEX(Surface_Engine!$D$12:$D$72,$A304+1)))*INDEX(Surface_Engine!$B$12:$B$72,$A304+1)+G305</f>
        <v>592.487850174952</v>
      </c>
      <c r="H304" s="48" t="n">
        <f aca="false">D304*(IF($A304&lt;$Q$258,INDEX(Surface_Engine!$D$12:$D$72,$A304+1)+(Surface_Engine!B239*12)*INDEX(Surface_Engine!$F$12:$F$72,$A304+1)-(Surface_Engine!B239*12),1000*12*INDEX(Surface_Engine!$C$12:$C$72,$A304+1)/(1+Assumptions!$B$10)^12+INDEX(Surface_Engine!$D$12:$D$72,$A304+1)))*INDEX(Surface_Engine!$B$12:$B$72,$A304+1)+H305</f>
        <v>185.545989483525</v>
      </c>
      <c r="I304" s="48" t="n">
        <f aca="false">E304*(IF($A304&lt;$Q$258,INDEX(Surface_Engine!$D$12:$D$72,$A304+1)+(Surface_Engine!B239*12)*INDEX(Surface_Engine!$F$12:$F$72,$A304+1)-(Surface_Engine!B239*12),1000*12*INDEX(Surface_Engine!$C$12:$C$72,$A304+1)/(1+Assumptions!$B$10)^12+INDEX(Surface_Engine!$D$12:$D$72,$A304+1)))*INDEX(Surface_Engine!$B$12:$B$72,$A304+1)+I305</f>
        <v>219.75940420707</v>
      </c>
      <c r="J304" s="48" t="n">
        <f aca="false">B304*(IF($A304&lt;$Q$258,INDEX(Surface_Engine!$D$12:$D$72,$A304+1)*(1+Assumptions!$B$24)+(Surface_Engine!B239*12)*INDEX(Surface_Engine!$F$12:$F$72,$A304+1)-(Surface_Engine!B239*12),1000*12*INDEX(Surface_Engine!$C$12:$C$72,$A304+1)/(1+Assumptions!$B$10)^12+INDEX(Surface_Engine!$D$12:$D$72,$A304+1)*(1+Assumptions!$B$24)))*INDEX(Surface_Engine!$B$12:$B$72,$A304+1)+J305</f>
        <v>202.231899320959</v>
      </c>
      <c r="K304" s="12" t="n">
        <f aca="false">SQRT((IF(C304&lt;=0,0,MAX(0,(B304/C304)*G304/INDEX(Surface_Engine!$B$12:$B$72,$A304+1)-F304/INDEX(Surface_Engine!$B$12:$B$72,$A304+1))))^2+(MAX(IF(D304&lt;=0,0,MAX(0,(B304/D304)*H304/INDEX(Surface_Engine!$B$12:$B$72,$A304+1)-F304/INDEX(Surface_Engine!$B$12:$B$72,$A304+1))),IF(E304&lt;=0,0,MAX(0,(B304/E304)*I304/INDEX(Surface_Engine!$B$12:$B$72,$A304+1)-F304/INDEX(Surface_Engine!$B$12:$B$72,$A304+1))),IF($A304&lt;$Q$258,MAX(0,-Assumptions!$B$22*(F304/INDEX(Surface_Engine!$B$12:$B$72,$A304+1))),0)))^2+(MAX(0,J304/INDEX(Surface_Engine!$B$12:$B$72,$A304+1)-(F304/INDEX(Surface_Engine!$B$12:$B$72,$A304+1))))^2+2*Assumptions!$B$26*(IF(C304&lt;=0,0,MAX(0,(B304/C304)*G304/INDEX(Surface_Engine!$B$12:$B$72,$A304+1)-F304/INDEX(Surface_Engine!$B$12:$B$72,$A304+1))))*(MAX(IF(D304&lt;=0,0,MAX(0,(B304/D304)*H304/INDEX(Surface_Engine!$B$12:$B$72,$A304+1)-F304/INDEX(Surface_Engine!$B$12:$B$72,$A304+1))),IF(E304&lt;=0,0,MAX(0,(B304/E304)*I304/INDEX(Surface_Engine!$B$12:$B$72,$A304+1)-F304/INDEX(Surface_Engine!$B$12:$B$72,$A304+1))),IF($A304&lt;$Q$258,MAX(0,-Assumptions!$B$22*(F304/INDEX(Surface_Engine!$B$12:$B$72,$A304+1))),0)))+2*Assumptions!$B$27*(IF(C304&lt;=0,0,MAX(0,(B304/C304)*G304/INDEX(Surface_Engine!$B$12:$B$72,$A304+1)-F304/INDEX(Surface_Engine!$B$12:$B$72,$A304+1))))*(MAX(0,J304/INDEX(Surface_Engine!$B$12:$B$72,$A304+1)-(F304/INDEX(Surface_Engine!$B$12:$B$72,$A304+1))))+2*Assumptions!$B$28*(MAX(IF(D304&lt;=0,0,MAX(0,(B304/D304)*H304/INDEX(Surface_Engine!$B$12:$B$72,$A304+1)-F304/INDEX(Surface_Engine!$B$12:$B$72,$A304+1))),IF(E304&lt;=0,0,MAX(0,(B304/E304)*I304/INDEX(Surface_Engine!$B$12:$B$72,$A304+1)-F304/INDEX(Surface_Engine!$B$12:$B$72,$A304+1))),IF($A304&lt;$Q$258,MAX(0,-Assumptions!$B$22*(F304/INDEX(Surface_Engine!$B$12:$B$72,$A304+1))),0)))*(MAX(0,J304/INDEX(Surface_Engine!$B$12:$B$72,$A304+1)-(F304/INDEX(Surface_Engine!$B$12:$B$72,$A304+1)))))</f>
        <v>169.409797262814</v>
      </c>
      <c r="L304" s="48" t="n">
        <f aca="false">K304*INDEX(Surface_Engine!$B$12:$B$72,$A304+1)+L305</f>
        <v>101.153051179697</v>
      </c>
      <c r="M304" s="48" t="n">
        <f aca="false">M303+B303*(IF($A303&lt;$Q$258,(Surface_Engine!B239*12)-(Surface_Engine!B239*12)*INDEX(Surface_Engine!$F$12:$F$72,$A303+1)-INDEX(Surface_Engine!$D$12:$D$72,$A303+1),-(1000*12*INDEX(Surface_Engine!$C$12:$C$72,$A303+1)/(1+Assumptions!$B$10)^12+INDEX(Surface_Engine!$D$12:$D$72,$A303+1))))*INDEX(Surface_Engine!$B$12:$B$72,$A303+1)</f>
        <v>3737.00695932681</v>
      </c>
      <c r="N304" s="12" t="n">
        <f aca="false">IF(B304&lt;=0,0,MAX(0,(K304+Assumptions!$B$29*L304/INDEX(Surface_Engine!$B$12:$B$72,$A304+1)-(M304/INDEX(Surface_Engine!$B$12:$B$72,$A304+1)-(F304/INDEX(Surface_Engine!$B$12:$B$72,$A304+1))))/B304))</f>
        <v>0</v>
      </c>
    </row>
    <row r="305" customFormat="false" ht="15" hidden="false" customHeight="true" outlineLevel="0" collapsed="false">
      <c r="A305" s="1" t="n">
        <v>45</v>
      </c>
      <c r="B305" s="32" t="n">
        <f aca="false">INDEX(Surface_Engine!$J$12:$J$72,$A305+1)*IF($A305&lt;$Q$258,INDEX(Surface_Engine!$E$12:$E$72,$A305+1),INDEX(Surface_Engine!$E$12:$E$72,$Q$258+1))</f>
        <v>0.00909868170454298</v>
      </c>
      <c r="C305" s="32" t="n">
        <f aca="false">INDEX(Panel_Reserving!$C$8:$C$68,$A305+1)*IF($A305&lt;$Q$258,INDEX(Surface_Engine!$E$12:$E$72,$A305+1),INDEX(Surface_Engine!$E$12:$E$72,$Q$258+1))</f>
        <v>0.0245260347591847</v>
      </c>
      <c r="D305" s="32" t="n">
        <f aca="false">INDEX(Surface_Engine!$J$12:$J$72,$A305+1)*IF($A305&lt;$Q$258,INDEX(Surface_Engine!$Y$12:$Y$72,$A305+1),INDEX(Surface_Engine!$Y$12:$Y$72,$Q$258+1))</f>
        <v>0.00835689474623139</v>
      </c>
      <c r="E305" s="32" t="n">
        <f aca="false">INDEX(Surface_Engine!$J$12:$J$72,$A305+1)*IF($A305&lt;$Q$258,INDEX(Surface_Engine!$Z$12:$Z$72,$A305+1),INDEX(Surface_Engine!$Z$12:$Z$72,$Q$258+1))</f>
        <v>0.00989784912929136</v>
      </c>
      <c r="F305" s="48" t="n">
        <f aca="false">B305*(IF($A305&lt;$Q$258,INDEX(Surface_Engine!$D$12:$D$72,$A305+1)+(Surface_Engine!B239*12)*INDEX(Surface_Engine!$F$12:$F$72,$A305+1)-(Surface_Engine!B239*12),1000*12*INDEX(Surface_Engine!$C$12:$C$72,$A305+1)/(1+Assumptions!$B$10)^12+INDEX(Surface_Engine!$D$12:$D$72,$A305+1)))*INDEX(Surface_Engine!$B$12:$B$72,$A305+1)+F306</f>
        <v>121.375184217887</v>
      </c>
      <c r="G305" s="48" t="n">
        <f aca="false">C305*(IF($A305&lt;$Q$258,INDEX(Surface_Engine!$D$12:$D$72,$A305+1)+(Surface_Engine!B239*12)*INDEX(Surface_Engine!$F$12:$F$72,$A305+1)-(Surface_Engine!B239*12),1000*12*INDEX(Surface_Engine!$C$12:$C$72,$A305+1)/(1+Assumptions!$B$10)^12+INDEX(Surface_Engine!$D$12:$D$72,$A305+1)))*INDEX(Surface_Engine!$B$12:$B$72,$A305+1)+G306</f>
        <v>396.836426489114</v>
      </c>
      <c r="H305" s="48" t="n">
        <f aca="false">D305*(IF($A305&lt;$Q$258,INDEX(Surface_Engine!$D$12:$D$72,$A305+1)+(Surface_Engine!B239*12)*INDEX(Surface_Engine!$F$12:$F$72,$A305+1)-(Surface_Engine!B239*12),1000*12*INDEX(Surface_Engine!$C$12:$C$72,$A305+1)/(1+Assumptions!$B$10)^12+INDEX(Surface_Engine!$D$12:$D$72,$A305+1)))*INDEX(Surface_Engine!$B$12:$B$72,$A305+1)+H306</f>
        <v>111.47984644928</v>
      </c>
      <c r="I305" s="48" t="n">
        <f aca="false">E305*(IF($A305&lt;$Q$258,INDEX(Surface_Engine!$D$12:$D$72,$A305+1)+(Surface_Engine!B239*12)*INDEX(Surface_Engine!$F$12:$F$72,$A305+1)-(Surface_Engine!B239*12),1000*12*INDEX(Surface_Engine!$C$12:$C$72,$A305+1)/(1+Assumptions!$B$10)^12+INDEX(Surface_Engine!$D$12:$D$72,$A305+1)))*INDEX(Surface_Engine!$B$12:$B$72,$A305+1)+I306</f>
        <v>132.035969653576</v>
      </c>
      <c r="J305" s="48" t="n">
        <f aca="false">B305*(IF($A305&lt;$Q$258,INDEX(Surface_Engine!$D$12:$D$72,$A305+1)*(1+Assumptions!$B$24)+(Surface_Engine!B239*12)*INDEX(Surface_Engine!$F$12:$F$72,$A305+1)-(Surface_Engine!B239*12),1000*12*INDEX(Surface_Engine!$C$12:$C$72,$A305+1)/(1+Assumptions!$B$10)^12+INDEX(Surface_Engine!$D$12:$D$72,$A305+1)*(1+Assumptions!$B$24)))*INDEX(Surface_Engine!$B$12:$B$72,$A305+1)+J306</f>
        <v>121.505647666292</v>
      </c>
      <c r="K305" s="12" t="n">
        <f aca="false">SQRT((IF(C305&lt;=0,0,MAX(0,(B305/C305)*G305/INDEX(Surface_Engine!$B$12:$B$72,$A305+1)-F305/INDEX(Surface_Engine!$B$12:$B$72,$A305+1))))^2+(MAX(IF(D305&lt;=0,0,MAX(0,(B305/D305)*H305/INDEX(Surface_Engine!$B$12:$B$72,$A305+1)-F305/INDEX(Surface_Engine!$B$12:$B$72,$A305+1))),IF(E305&lt;=0,0,MAX(0,(B305/E305)*I305/INDEX(Surface_Engine!$B$12:$B$72,$A305+1)-F305/INDEX(Surface_Engine!$B$12:$B$72,$A305+1))),IF($A305&lt;$Q$258,MAX(0,-Assumptions!$B$22*(F305/INDEX(Surface_Engine!$B$12:$B$72,$A305+1))),0)))^2+(MAX(0,J305/INDEX(Surface_Engine!$B$12:$B$72,$A305+1)-(F305/INDEX(Surface_Engine!$B$12:$B$72,$A305+1))))^2+2*Assumptions!$B$26*(IF(C305&lt;=0,0,MAX(0,(B305/C305)*G305/INDEX(Surface_Engine!$B$12:$B$72,$A305+1)-F305/INDEX(Surface_Engine!$B$12:$B$72,$A305+1))))*(MAX(IF(D305&lt;=0,0,MAX(0,(B305/D305)*H305/INDEX(Surface_Engine!$B$12:$B$72,$A305+1)-F305/INDEX(Surface_Engine!$B$12:$B$72,$A305+1))),IF(E305&lt;=0,0,MAX(0,(B305/E305)*I305/INDEX(Surface_Engine!$B$12:$B$72,$A305+1)-F305/INDEX(Surface_Engine!$B$12:$B$72,$A305+1))),IF($A305&lt;$Q$258,MAX(0,-Assumptions!$B$22*(F305/INDEX(Surface_Engine!$B$12:$B$72,$A305+1))),0)))+2*Assumptions!$B$27*(IF(C305&lt;=0,0,MAX(0,(B305/C305)*G305/INDEX(Surface_Engine!$B$12:$B$72,$A305+1)-F305/INDEX(Surface_Engine!$B$12:$B$72,$A305+1))))*(MAX(0,J305/INDEX(Surface_Engine!$B$12:$B$72,$A305+1)-(F305/INDEX(Surface_Engine!$B$12:$B$72,$A305+1))))+2*Assumptions!$B$28*(MAX(IF(D305&lt;=0,0,MAX(0,(B305/D305)*H305/INDEX(Surface_Engine!$B$12:$B$72,$A305+1)-F305/INDEX(Surface_Engine!$B$12:$B$72,$A305+1))),IF(E305&lt;=0,0,MAX(0,(B305/E305)*I305/INDEX(Surface_Engine!$B$12:$B$72,$A305+1)-F305/INDEX(Surface_Engine!$B$12:$B$72,$A305+1))),IF($A305&lt;$Q$258,MAX(0,-Assumptions!$B$22*(F305/INDEX(Surface_Engine!$B$12:$B$72,$A305+1))),0)))*(MAX(0,J305/INDEX(Surface_Engine!$B$12:$B$72,$A305+1)-(F305/INDEX(Surface_Engine!$B$12:$B$72,$A305+1)))))</f>
        <v>107.199655837018</v>
      </c>
      <c r="L305" s="48" t="n">
        <f aca="false">K305*INDEX(Surface_Engine!$B$12:$B$72,$A305+1)+L306</f>
        <v>58.9119009389912</v>
      </c>
      <c r="M305" s="48" t="n">
        <f aca="false">M304+B304*(IF($A304&lt;$Q$258,(Surface_Engine!B239*12)-(Surface_Engine!B239*12)*INDEX(Surface_Engine!$F$12:$F$72,$A304+1)-INDEX(Surface_Engine!$D$12:$D$72,$A304+1),-(1000*12*INDEX(Surface_Engine!$C$12:$C$72,$A304+1)/(1+Assumptions!$B$10)^12+INDEX(Surface_Engine!$D$12:$D$72,$A304+1))))*INDEX(Surface_Engine!$B$12:$B$72,$A304+1)</f>
        <v>3656.36644858498</v>
      </c>
      <c r="N305" s="12" t="n">
        <f aca="false">IF(B305&lt;=0,0,MAX(0,(K305+Assumptions!$B$29*L305/INDEX(Surface_Engine!$B$12:$B$72,$A305+1)-(M305/INDEX(Surface_Engine!$B$12:$B$72,$A305+1)-(F305/INDEX(Surface_Engine!$B$12:$B$72,$A305+1))))/B305))</f>
        <v>0</v>
      </c>
    </row>
    <row r="306" customFormat="false" ht="15" hidden="false" customHeight="true" outlineLevel="0" collapsed="false">
      <c r="A306" s="1" t="n">
        <v>46</v>
      </c>
      <c r="B306" s="32" t="n">
        <f aca="false">INDEX(Surface_Engine!$J$12:$J$72,$A306+1)*IF($A306&lt;$Q$258,INDEX(Surface_Engine!$E$12:$E$72,$A306+1),INDEX(Surface_Engine!$E$12:$E$72,$Q$258+1))</f>
        <v>0.00561328637254693</v>
      </c>
      <c r="C306" s="32" t="n">
        <f aca="false">INDEX(Panel_Reserving!$C$8:$C$68,$A306+1)*IF($A306&lt;$Q$258,INDEX(Surface_Engine!$E$12:$E$72,$A306+1),INDEX(Surface_Engine!$E$12:$E$72,$Q$258+1))</f>
        <v>0.017009963324849</v>
      </c>
      <c r="D306" s="32" t="n">
        <f aca="false">INDEX(Surface_Engine!$J$12:$J$72,$A306+1)*IF($A306&lt;$Q$258,INDEX(Surface_Engine!$Y$12:$Y$72,$A306+1),INDEX(Surface_Engine!$Y$12:$Y$72,$Q$258+1))</f>
        <v>0.0051556527548829</v>
      </c>
      <c r="E306" s="32" t="n">
        <f aca="false">INDEX(Surface_Engine!$J$12:$J$72,$A306+1)*IF($A306&lt;$Q$258,INDEX(Surface_Engine!$Z$12:$Z$72,$A306+1),INDEX(Surface_Engine!$Z$12:$Z$72,$Q$258+1))</f>
        <v>0.0061063199526186</v>
      </c>
      <c r="F306" s="48" t="n">
        <f aca="false">B306*(IF($A306&lt;$Q$258,INDEX(Surface_Engine!$D$12:$D$72,$A306+1)+(Surface_Engine!B239*12)*INDEX(Surface_Engine!$F$12:$F$72,$A306+1)-(Surface_Engine!B239*12),1000*12*INDEX(Surface_Engine!$C$12:$C$72,$A306+1)/(1+Assumptions!$B$10)^12+INDEX(Surface_Engine!$D$12:$D$72,$A306+1)))*INDEX(Surface_Engine!$B$12:$B$72,$A306+1)+F307</f>
        <v>70.1669596839445</v>
      </c>
      <c r="G306" s="48" t="n">
        <f aca="false">C306*(IF($A306&lt;$Q$258,INDEX(Surface_Engine!$D$12:$D$72,$A306+1)+(Surface_Engine!B239*12)*INDEX(Surface_Engine!$F$12:$F$72,$A306+1)-(Surface_Engine!B239*12),1000*12*INDEX(Surface_Engine!$C$12:$C$72,$A306+1)/(1+Assumptions!$B$10)^12+INDEX(Surface_Engine!$D$12:$D$72,$A306+1)))*INDEX(Surface_Engine!$B$12:$B$72,$A306+1)+G307</f>
        <v>258.801628079965</v>
      </c>
      <c r="H306" s="48" t="n">
        <f aca="false">D306*(IF($A306&lt;$Q$258,INDEX(Surface_Engine!$D$12:$D$72,$A306+1)+(Surface_Engine!B239*12)*INDEX(Surface_Engine!$F$12:$F$72,$A306+1)-(Surface_Engine!B239*12),1000*12*INDEX(Surface_Engine!$C$12:$C$72,$A306+1)/(1+Assumptions!$B$10)^12+INDEX(Surface_Engine!$D$12:$D$72,$A306+1)))*INDEX(Surface_Engine!$B$12:$B$72,$A306+1)+H307</f>
        <v>64.4464677172965</v>
      </c>
      <c r="I306" s="48" t="n">
        <f aca="false">E306*(IF($A306&lt;$Q$258,INDEX(Surface_Engine!$D$12:$D$72,$A306+1)+(Surface_Engine!B239*12)*INDEX(Surface_Engine!$F$12:$F$72,$A306+1)-(Surface_Engine!B239*12),1000*12*INDEX(Surface_Engine!$C$12:$C$72,$A306+1)/(1+Assumptions!$B$10)^12+INDEX(Surface_Engine!$D$12:$D$72,$A306+1)))*INDEX(Surface_Engine!$B$12:$B$72,$A306+1)+I307</f>
        <v>76.3299567305433</v>
      </c>
      <c r="J306" s="48" t="n">
        <f aca="false">B306*(IF($A306&lt;$Q$258,INDEX(Surface_Engine!$D$12:$D$72,$A306+1)*(1+Assumptions!$B$24)+(Surface_Engine!B239*12)*INDEX(Surface_Engine!$F$12:$F$72,$A306+1)-(Surface_Engine!B239*12),1000*12*INDEX(Surface_Engine!$C$12:$C$72,$A306+1)/(1+Assumptions!$B$10)^12+INDEX(Surface_Engine!$D$12:$D$72,$A306+1)*(1+Assumptions!$B$24)))*INDEX(Surface_Engine!$B$12:$B$72,$A306+1)+J307</f>
        <v>70.242712011714</v>
      </c>
      <c r="K306" s="12" t="n">
        <f aca="false">SQRT((IF(C306&lt;=0,0,MAX(0,(B306/C306)*G306/INDEX(Surface_Engine!$B$12:$B$72,$A306+1)-F306/INDEX(Surface_Engine!$B$12:$B$72,$A306+1))))^2+(MAX(IF(D306&lt;=0,0,MAX(0,(B306/D306)*H306/INDEX(Surface_Engine!$B$12:$B$72,$A306+1)-F306/INDEX(Surface_Engine!$B$12:$B$72,$A306+1))),IF(E306&lt;=0,0,MAX(0,(B306/E306)*I306/INDEX(Surface_Engine!$B$12:$B$72,$A306+1)-F306/INDEX(Surface_Engine!$B$12:$B$72,$A306+1))),IF($A306&lt;$Q$258,MAX(0,-Assumptions!$B$22*(F306/INDEX(Surface_Engine!$B$12:$B$72,$A306+1))),0)))^2+(MAX(0,J306/INDEX(Surface_Engine!$B$12:$B$72,$A306+1)-(F306/INDEX(Surface_Engine!$B$12:$B$72,$A306+1))))^2+2*Assumptions!$B$26*(IF(C306&lt;=0,0,MAX(0,(B306/C306)*G306/INDEX(Surface_Engine!$B$12:$B$72,$A306+1)-F306/INDEX(Surface_Engine!$B$12:$B$72,$A306+1))))*(MAX(IF(D306&lt;=0,0,MAX(0,(B306/D306)*H306/INDEX(Surface_Engine!$B$12:$B$72,$A306+1)-F306/INDEX(Surface_Engine!$B$12:$B$72,$A306+1))),IF(E306&lt;=0,0,MAX(0,(B306/E306)*I306/INDEX(Surface_Engine!$B$12:$B$72,$A306+1)-F306/INDEX(Surface_Engine!$B$12:$B$72,$A306+1))),IF($A306&lt;$Q$258,MAX(0,-Assumptions!$B$22*(F306/INDEX(Surface_Engine!$B$12:$B$72,$A306+1))),0)))+2*Assumptions!$B$27*(IF(C306&lt;=0,0,MAX(0,(B306/C306)*G306/INDEX(Surface_Engine!$B$12:$B$72,$A306+1)-F306/INDEX(Surface_Engine!$B$12:$B$72,$A306+1))))*(MAX(0,J306/INDEX(Surface_Engine!$B$12:$B$72,$A306+1)-(F306/INDEX(Surface_Engine!$B$12:$B$72,$A306+1))))+2*Assumptions!$B$28*(MAX(IF(D306&lt;=0,0,MAX(0,(B306/D306)*H306/INDEX(Surface_Engine!$B$12:$B$72,$A306+1)-F306/INDEX(Surface_Engine!$B$12:$B$72,$A306+1))),IF(E306&lt;=0,0,MAX(0,(B306/E306)*I306/INDEX(Surface_Engine!$B$12:$B$72,$A306+1)-F306/INDEX(Surface_Engine!$B$12:$B$72,$A306+1))),IF($A306&lt;$Q$258,MAX(0,-Assumptions!$B$22*(F306/INDEX(Surface_Engine!$B$12:$B$72,$A306+1))),0)))*(MAX(0,J306/INDEX(Surface_Engine!$B$12:$B$72,$A306+1)-(F306/INDEX(Surface_Engine!$B$12:$B$72,$A306+1)))))</f>
        <v>65.2621696879016</v>
      </c>
      <c r="L306" s="48" t="n">
        <f aca="false">K306*INDEX(Surface_Engine!$B$12:$B$72,$A306+1)+L307</f>
        <v>33.0355677882412</v>
      </c>
      <c r="M306" s="48" t="n">
        <f aca="false">M305+B305*(IF($A305&lt;$Q$258,(Surface_Engine!B239*12)-(Surface_Engine!B239*12)*INDEX(Surface_Engine!$F$12:$F$72,$A305+1)-INDEX(Surface_Engine!$D$12:$D$72,$A305+1),-(1000*12*INDEX(Surface_Engine!$C$12:$C$72,$A305+1)/(1+Assumptions!$B$10)^12+INDEX(Surface_Engine!$D$12:$D$72,$A305+1))))*INDEX(Surface_Engine!$B$12:$B$72,$A305+1)</f>
        <v>3605.15822405104</v>
      </c>
      <c r="N306" s="12" t="n">
        <f aca="false">IF(B306&lt;=0,0,MAX(0,(K306+Assumptions!$B$29*L306/INDEX(Surface_Engine!$B$12:$B$72,$A306+1)-(M306/INDEX(Surface_Engine!$B$12:$B$72,$A306+1)-(F306/INDEX(Surface_Engine!$B$12:$B$72,$A306+1))))/B306))</f>
        <v>0</v>
      </c>
    </row>
    <row r="307" customFormat="false" ht="15" hidden="false" customHeight="true" outlineLevel="0" collapsed="false">
      <c r="A307" s="1" t="n">
        <v>47</v>
      </c>
      <c r="B307" s="32" t="n">
        <f aca="false">INDEX(Surface_Engine!$J$12:$J$72,$A307+1)*IF($A307&lt;$Q$258,INDEX(Surface_Engine!$E$12:$E$72,$A307+1),INDEX(Surface_Engine!$E$12:$E$72,$Q$258+1))</f>
        <v>0.00330668872033838</v>
      </c>
      <c r="C307" s="32" t="n">
        <f aca="false">INDEX(Panel_Reserving!$C$8:$C$68,$A307+1)*IF($A307&lt;$Q$258,INDEX(Surface_Engine!$E$12:$E$72,$A307+1),INDEX(Surface_Engine!$E$12:$E$72,$Q$258+1))</f>
        <v>0.0114182099219029</v>
      </c>
      <c r="D307" s="32" t="n">
        <f aca="false">INDEX(Surface_Engine!$J$12:$J$72,$A307+1)*IF($A307&lt;$Q$258,INDEX(Surface_Engine!$Y$12:$Y$72,$A307+1),INDEX(Surface_Engine!$Y$12:$Y$72,$Q$258+1))</f>
        <v>0.00303710476877336</v>
      </c>
      <c r="E307" s="32" t="n">
        <f aca="false">INDEX(Surface_Engine!$J$12:$J$72,$A307+1)*IF($A307&lt;$Q$258,INDEX(Surface_Engine!$Z$12:$Z$72,$A307+1),INDEX(Surface_Engine!$Z$12:$Z$72,$Q$258+1))</f>
        <v>0.00359712616994802</v>
      </c>
      <c r="F307" s="48" t="n">
        <f aca="false">B307*(IF($A307&lt;$Q$258,INDEX(Surface_Engine!$D$12:$D$72,$A307+1)+(Surface_Engine!B239*12)*INDEX(Surface_Engine!$F$12:$F$72,$A307+1)-(Surface_Engine!B239*12),1000*12*INDEX(Surface_Engine!$C$12:$C$72,$A307+1)/(1+Assumptions!$B$10)^12+INDEX(Surface_Engine!$D$12:$D$72,$A307+1)))*INDEX(Surface_Engine!$B$12:$B$72,$A307+1)+F308</f>
        <v>38.9572141123945</v>
      </c>
      <c r="G307" s="48" t="n">
        <f aca="false">C307*(IF($A307&lt;$Q$258,INDEX(Surface_Engine!$D$12:$D$72,$A307+1)+(Surface_Engine!B239*12)*INDEX(Surface_Engine!$F$12:$F$72,$A307+1)-(Surface_Engine!B239*12),1000*12*INDEX(Surface_Engine!$C$12:$C$72,$A307+1)/(1+Assumptions!$B$10)^12+INDEX(Surface_Engine!$D$12:$D$72,$A307+1)))*INDEX(Surface_Engine!$B$12:$B$72,$A307+1)+G308</f>
        <v>164.226615811518</v>
      </c>
      <c r="H307" s="48" t="n">
        <f aca="false">D307*(IF($A307&lt;$Q$258,INDEX(Surface_Engine!$D$12:$D$72,$A307+1)+(Surface_Engine!B239*12)*INDEX(Surface_Engine!$F$12:$F$72,$A307+1)-(Surface_Engine!B239*12),1000*12*INDEX(Surface_Engine!$C$12:$C$72,$A307+1)/(1+Assumptions!$B$10)^12+INDEX(Surface_Engine!$D$12:$D$72,$A307+1)))*INDEX(Surface_Engine!$B$12:$B$72,$A307+1)+H308</f>
        <v>35.7811547337817</v>
      </c>
      <c r="I307" s="48" t="n">
        <f aca="false">E307*(IF($A307&lt;$Q$258,INDEX(Surface_Engine!$D$12:$D$72,$A307+1)+(Surface_Engine!B239*12)*INDEX(Surface_Engine!$F$12:$F$72,$A307+1)-(Surface_Engine!B239*12),1000*12*INDEX(Surface_Engine!$C$12:$C$72,$A307+1)/(1+Assumptions!$B$10)^12+INDEX(Surface_Engine!$D$12:$D$72,$A307+1)))*INDEX(Surface_Engine!$B$12:$B$72,$A307+1)+I308</f>
        <v>42.3789555787465</v>
      </c>
      <c r="J307" s="48" t="n">
        <f aca="false">B307*(IF($A307&lt;$Q$258,INDEX(Surface_Engine!$D$12:$D$72,$A307+1)*(1+Assumptions!$B$24)+(Surface_Engine!B239*12)*INDEX(Surface_Engine!$F$12:$F$72,$A307+1)-(Surface_Engine!B239*12),1000*12*INDEX(Surface_Engine!$C$12:$C$72,$A307+1)/(1+Assumptions!$B$10)^12+INDEX(Surface_Engine!$D$12:$D$72,$A307+1)*(1+Assumptions!$B$24)))*INDEX(Surface_Engine!$B$12:$B$72,$A307+1)+J308</f>
        <v>38.999460094139</v>
      </c>
      <c r="K307" s="12" t="n">
        <f aca="false">SQRT((IF(C307&lt;=0,0,MAX(0,(B307/C307)*G307/INDEX(Surface_Engine!$B$12:$B$72,$A307+1)-F307/INDEX(Surface_Engine!$B$12:$B$72,$A307+1))))^2+(MAX(IF(D307&lt;=0,0,MAX(0,(B307/D307)*H307/INDEX(Surface_Engine!$B$12:$B$72,$A307+1)-F307/INDEX(Surface_Engine!$B$12:$B$72,$A307+1))),IF(E307&lt;=0,0,MAX(0,(B307/E307)*I307/INDEX(Surface_Engine!$B$12:$B$72,$A307+1)-F307/INDEX(Surface_Engine!$B$12:$B$72,$A307+1))),IF($A307&lt;$Q$258,MAX(0,-Assumptions!$B$22*(F307/INDEX(Surface_Engine!$B$12:$B$72,$A307+1))),0)))^2+(MAX(0,J307/INDEX(Surface_Engine!$B$12:$B$72,$A307+1)-(F307/INDEX(Surface_Engine!$B$12:$B$72,$A307+1))))^2+2*Assumptions!$B$26*(IF(C307&lt;=0,0,MAX(0,(B307/C307)*G307/INDEX(Surface_Engine!$B$12:$B$72,$A307+1)-F307/INDEX(Surface_Engine!$B$12:$B$72,$A307+1))))*(MAX(IF(D307&lt;=0,0,MAX(0,(B307/D307)*H307/INDEX(Surface_Engine!$B$12:$B$72,$A307+1)-F307/INDEX(Surface_Engine!$B$12:$B$72,$A307+1))),IF(E307&lt;=0,0,MAX(0,(B307/E307)*I307/INDEX(Surface_Engine!$B$12:$B$72,$A307+1)-F307/INDEX(Surface_Engine!$B$12:$B$72,$A307+1))),IF($A307&lt;$Q$258,MAX(0,-Assumptions!$B$22*(F307/INDEX(Surface_Engine!$B$12:$B$72,$A307+1))),0)))+2*Assumptions!$B$27*(IF(C307&lt;=0,0,MAX(0,(B307/C307)*G307/INDEX(Surface_Engine!$B$12:$B$72,$A307+1)-F307/INDEX(Surface_Engine!$B$12:$B$72,$A307+1))))*(MAX(0,J307/INDEX(Surface_Engine!$B$12:$B$72,$A307+1)-(F307/INDEX(Surface_Engine!$B$12:$B$72,$A307+1))))+2*Assumptions!$B$28*(MAX(IF(D307&lt;=0,0,MAX(0,(B307/D307)*H307/INDEX(Surface_Engine!$B$12:$B$72,$A307+1)-F307/INDEX(Surface_Engine!$B$12:$B$72,$A307+1))),IF(E307&lt;=0,0,MAX(0,(B307/E307)*I307/INDEX(Surface_Engine!$B$12:$B$72,$A307+1)-F307/INDEX(Surface_Engine!$B$12:$B$72,$A307+1))),IF($A307&lt;$Q$258,MAX(0,-Assumptions!$B$22*(F307/INDEX(Surface_Engine!$B$12:$B$72,$A307+1))),0)))*(MAX(0,J307/INDEX(Surface_Engine!$B$12:$B$72,$A307+1)-(F307/INDEX(Surface_Engine!$B$12:$B$72,$A307+1)))))</f>
        <v>38.0435966473662</v>
      </c>
      <c r="L307" s="48" t="n">
        <f aca="false">K307*INDEX(Surface_Engine!$B$12:$B$72,$A307+1)+L308</f>
        <v>17.7788990113774</v>
      </c>
      <c r="M307" s="48" t="n">
        <f aca="false">M306+B306*(IF($A306&lt;$Q$258,(Surface_Engine!B239*12)-(Surface_Engine!B239*12)*INDEX(Surface_Engine!$F$12:$F$72,$A306+1)-INDEX(Surface_Engine!$D$12:$D$72,$A306+1),-(1000*12*INDEX(Surface_Engine!$C$12:$C$72,$A306+1)/(1+Assumptions!$B$10)^12+INDEX(Surface_Engine!$D$12:$D$72,$A306+1))))*INDEX(Surface_Engine!$B$12:$B$72,$A306+1)</f>
        <v>3573.94847847949</v>
      </c>
      <c r="N307" s="12" t="n">
        <f aca="false">IF(B307&lt;=0,0,MAX(0,(K307+Assumptions!$B$29*L307/INDEX(Surface_Engine!$B$12:$B$72,$A307+1)-(M307/INDEX(Surface_Engine!$B$12:$B$72,$A307+1)-(F307/INDEX(Surface_Engine!$B$12:$B$72,$A307+1))))/B307))</f>
        <v>0</v>
      </c>
    </row>
    <row r="308" customFormat="false" ht="15" hidden="false" customHeight="true" outlineLevel="0" collapsed="false">
      <c r="A308" s="1" t="n">
        <v>48</v>
      </c>
      <c r="B308" s="32" t="n">
        <f aca="false">INDEX(Surface_Engine!$J$12:$J$72,$A308+1)*IF($A308&lt;$Q$258,INDEX(Surface_Engine!$E$12:$E$72,$A308+1),INDEX(Surface_Engine!$E$12:$E$72,$Q$258+1))</f>
        <v>0.00184979175506645</v>
      </c>
      <c r="C308" s="32" t="n">
        <f aca="false">INDEX(Panel_Reserving!$C$8:$C$68,$A308+1)*IF($A308&lt;$Q$258,INDEX(Surface_Engine!$E$12:$E$72,$A308+1),INDEX(Surface_Engine!$E$12:$E$72,$Q$258+1))</f>
        <v>0.00739360239673958</v>
      </c>
      <c r="D308" s="32" t="n">
        <f aca="false">INDEX(Surface_Engine!$J$12:$J$72,$A308+1)*IF($A308&lt;$Q$258,INDEX(Surface_Engine!$Y$12:$Y$72,$A308+1),INDEX(Surface_Engine!$Y$12:$Y$72,$Q$258+1))</f>
        <v>0.00169898403983277</v>
      </c>
      <c r="E308" s="32" t="n">
        <f aca="false">INDEX(Surface_Engine!$J$12:$J$72,$A308+1)*IF($A308&lt;$Q$258,INDEX(Surface_Engine!$Z$12:$Z$72,$A308+1),INDEX(Surface_Engine!$Z$12:$Z$72,$Q$258+1))</f>
        <v>0.00201226510683555</v>
      </c>
      <c r="F308" s="48" t="n">
        <f aca="false">B308*(IF($A308&lt;$Q$258,INDEX(Surface_Engine!$D$12:$D$72,$A308+1)+(Surface_Engine!B239*12)*INDEX(Surface_Engine!$F$12:$F$72,$A308+1)-(Surface_Engine!B239*12),1000*12*INDEX(Surface_Engine!$C$12:$C$72,$A308+1)/(1+Assumptions!$B$10)^12+INDEX(Surface_Engine!$D$12:$D$72,$A308+1)))*INDEX(Surface_Engine!$B$12:$B$72,$A308+1)+F309</f>
        <v>20.7949568678683</v>
      </c>
      <c r="G308" s="48" t="n">
        <f aca="false">C308*(IF($A308&lt;$Q$258,INDEX(Surface_Engine!$D$12:$D$72,$A308+1)+(Surface_Engine!B239*12)*INDEX(Surface_Engine!$F$12:$F$72,$A308+1)-(Surface_Engine!B239*12),1000*12*INDEX(Surface_Engine!$C$12:$C$72,$A308+1)/(1+Assumptions!$B$10)^12+INDEX(Surface_Engine!$D$12:$D$72,$A308+1)))*INDEX(Surface_Engine!$B$12:$B$72,$A308+1)+G309</f>
        <v>101.511167393869</v>
      </c>
      <c r="H308" s="48" t="n">
        <f aca="false">D308*(IF($A308&lt;$Q$258,INDEX(Surface_Engine!$D$12:$D$72,$A308+1)+(Surface_Engine!B239*12)*INDEX(Surface_Engine!$F$12:$F$72,$A308+1)-(Surface_Engine!B239*12),1000*12*INDEX(Surface_Engine!$C$12:$C$72,$A308+1)/(1+Assumptions!$B$10)^12+INDEX(Surface_Engine!$D$12:$D$72,$A308+1)))*INDEX(Surface_Engine!$B$12:$B$72,$A308+1)+H309</f>
        <v>19.0996093104815</v>
      </c>
      <c r="I308" s="48" t="n">
        <f aca="false">E308*(IF($A308&lt;$Q$258,INDEX(Surface_Engine!$D$12:$D$72,$A308+1)+(Surface_Engine!B239*12)*INDEX(Surface_Engine!$F$12:$F$72,$A308+1)-(Surface_Engine!B239*12),1000*12*INDEX(Surface_Engine!$C$12:$C$72,$A308+1)/(1+Assumptions!$B$10)^12+INDEX(Surface_Engine!$D$12:$D$72,$A308+1)))*INDEX(Surface_Engine!$B$12:$B$72,$A308+1)+I309</f>
        <v>22.6214469757209</v>
      </c>
      <c r="J308" s="48" t="n">
        <f aca="false">B308*(IF($A308&lt;$Q$258,INDEX(Surface_Engine!$D$12:$D$72,$A308+1)*(1+Assumptions!$B$24)+(Surface_Engine!B239*12)*INDEX(Surface_Engine!$F$12:$F$72,$A308+1)-(Surface_Engine!B239*12),1000*12*INDEX(Surface_Engine!$C$12:$C$72,$A308+1)/(1+Assumptions!$B$10)^12+INDEX(Surface_Engine!$D$12:$D$72,$A308+1)*(1+Assumptions!$B$24)))*INDEX(Surface_Engine!$B$12:$B$72,$A308+1)+J309</f>
        <v>20.8176095534868</v>
      </c>
      <c r="K308" s="12" t="n">
        <f aca="false">SQRT((IF(C308&lt;=0,0,MAX(0,(B308/C308)*G308/INDEX(Surface_Engine!$B$12:$B$72,$A308+1)-F308/INDEX(Surface_Engine!$B$12:$B$72,$A308+1))))^2+(MAX(IF(D308&lt;=0,0,MAX(0,(B308/D308)*H308/INDEX(Surface_Engine!$B$12:$B$72,$A308+1)-F308/INDEX(Surface_Engine!$B$12:$B$72,$A308+1))),IF(E308&lt;=0,0,MAX(0,(B308/E308)*I308/INDEX(Surface_Engine!$B$12:$B$72,$A308+1)-F308/INDEX(Surface_Engine!$B$12:$B$72,$A308+1))),IF($A308&lt;$Q$258,MAX(0,-Assumptions!$B$22*(F308/INDEX(Surface_Engine!$B$12:$B$72,$A308+1))),0)))^2+(MAX(0,J308/INDEX(Surface_Engine!$B$12:$B$72,$A308+1)-(F308/INDEX(Surface_Engine!$B$12:$B$72,$A308+1))))^2+2*Assumptions!$B$26*(IF(C308&lt;=0,0,MAX(0,(B308/C308)*G308/INDEX(Surface_Engine!$B$12:$B$72,$A308+1)-F308/INDEX(Surface_Engine!$B$12:$B$72,$A308+1))))*(MAX(IF(D308&lt;=0,0,MAX(0,(B308/D308)*H308/INDEX(Surface_Engine!$B$12:$B$72,$A308+1)-F308/INDEX(Surface_Engine!$B$12:$B$72,$A308+1))),IF(E308&lt;=0,0,MAX(0,(B308/E308)*I308/INDEX(Surface_Engine!$B$12:$B$72,$A308+1)-F308/INDEX(Surface_Engine!$B$12:$B$72,$A308+1))),IF($A308&lt;$Q$258,MAX(0,-Assumptions!$B$22*(F308/INDEX(Surface_Engine!$B$12:$B$72,$A308+1))),0)))+2*Assumptions!$B$27*(IF(C308&lt;=0,0,MAX(0,(B308/C308)*G308/INDEX(Surface_Engine!$B$12:$B$72,$A308+1)-F308/INDEX(Surface_Engine!$B$12:$B$72,$A308+1))))*(MAX(0,J308/INDEX(Surface_Engine!$B$12:$B$72,$A308+1)-(F308/INDEX(Surface_Engine!$B$12:$B$72,$A308+1))))+2*Assumptions!$B$28*(MAX(IF(D308&lt;=0,0,MAX(0,(B308/D308)*H308/INDEX(Surface_Engine!$B$12:$B$72,$A308+1)-F308/INDEX(Surface_Engine!$B$12:$B$72,$A308+1))),IF(E308&lt;=0,0,MAX(0,(B308/E308)*I308/INDEX(Surface_Engine!$B$12:$B$72,$A308+1)-F308/INDEX(Surface_Engine!$B$12:$B$72,$A308+1))),IF($A308&lt;$Q$258,MAX(0,-Assumptions!$B$22*(F308/INDEX(Surface_Engine!$B$12:$B$72,$A308+1))),0)))*(MAX(0,J308/INDEX(Surface_Engine!$B$12:$B$72,$A308+1)-(F308/INDEX(Surface_Engine!$B$12:$B$72,$A308+1)))))</f>
        <v>21.0247474542938</v>
      </c>
      <c r="L308" s="48" t="n">
        <f aca="false">K308*INDEX(Surface_Engine!$B$12:$B$72,$A308+1)+L309</f>
        <v>9.1657843048534</v>
      </c>
      <c r="M308" s="48" t="n">
        <f aca="false">M307+B307*(IF($A307&lt;$Q$258,(Surface_Engine!B239*12)-(Surface_Engine!B239*12)*INDEX(Surface_Engine!$F$12:$F$72,$A307+1)-INDEX(Surface_Engine!$D$12:$D$72,$A307+1),-(1000*12*INDEX(Surface_Engine!$C$12:$C$72,$A307+1)/(1+Assumptions!$B$10)^12+INDEX(Surface_Engine!$D$12:$D$72,$A307+1))))*INDEX(Surface_Engine!$B$12:$B$72,$A307+1)</f>
        <v>3555.78622123497</v>
      </c>
      <c r="N308" s="12" t="n">
        <f aca="false">IF(B308&lt;=0,0,MAX(0,(K308+Assumptions!$B$29*L308/INDEX(Surface_Engine!$B$12:$B$72,$A308+1)-(M308/INDEX(Surface_Engine!$B$12:$B$72,$A308+1)-(F308/INDEX(Surface_Engine!$B$12:$B$72,$A308+1))))/B308))</f>
        <v>0</v>
      </c>
    </row>
    <row r="309" customFormat="false" ht="15" hidden="false" customHeight="true" outlineLevel="0" collapsed="false">
      <c r="A309" s="1" t="n">
        <v>49</v>
      </c>
      <c r="B309" s="32" t="n">
        <f aca="false">INDEX(Surface_Engine!$J$12:$J$72,$A309+1)*IF($A309&lt;$Q$258,INDEX(Surface_Engine!$E$12:$E$72,$A309+1),INDEX(Surface_Engine!$E$12:$E$72,$Q$258+1))</f>
        <v>0.00100214662389443</v>
      </c>
      <c r="C309" s="32" t="n">
        <f aca="false">INDEX(Panel_Reserving!$C$8:$C$68,$A309+1)*IF($A309&lt;$Q$258,INDEX(Surface_Engine!$E$12:$E$72,$A309+1),INDEX(Surface_Engine!$E$12:$E$72,$Q$258+1))</f>
        <v>0.00468317791517174</v>
      </c>
      <c r="D309" s="32" t="n">
        <f aca="false">INDEX(Surface_Engine!$J$12:$J$72,$A309+1)*IF($A309&lt;$Q$258,INDEX(Surface_Engine!$Y$12:$Y$72,$A309+1),INDEX(Surface_Engine!$Y$12:$Y$72,$Q$258+1))</f>
        <v>0.000920444755419388</v>
      </c>
      <c r="E309" s="32" t="n">
        <f aca="false">INDEX(Surface_Engine!$J$12:$J$72,$A309+1)*IF($A309&lt;$Q$258,INDEX(Surface_Engine!$Z$12:$Z$72,$A309+1),INDEX(Surface_Engine!$Z$12:$Z$72,$Q$258+1))</f>
        <v>0.00109016848932996</v>
      </c>
      <c r="F309" s="48" t="n">
        <f aca="false">B309*(IF($A309&lt;$Q$258,INDEX(Surface_Engine!$D$12:$D$72,$A309+1)+(Surface_Engine!B239*12)*INDEX(Surface_Engine!$F$12:$F$72,$A309+1)-(Surface_Engine!B239*12),1000*12*INDEX(Surface_Engine!$C$12:$C$72,$A309+1)/(1+Assumptions!$B$10)^12+INDEX(Surface_Engine!$D$12:$D$72,$A309+1)))*INDEX(Surface_Engine!$B$12:$B$72,$A309+1)+F310</f>
        <v>10.7628407172042</v>
      </c>
      <c r="G309" s="48" t="n">
        <f aca="false">C309*(IF($A309&lt;$Q$258,INDEX(Surface_Engine!$D$12:$D$72,$A309+1)+(Surface_Engine!B239*12)*INDEX(Surface_Engine!$F$12:$F$72,$A309+1)-(Surface_Engine!B239*12),1000*12*INDEX(Surface_Engine!$C$12:$C$72,$A309+1)/(1+Assumptions!$B$10)^12+INDEX(Surface_Engine!$D$12:$D$72,$A309+1)))*INDEX(Surface_Engine!$B$12:$B$72,$A309+1)+G310</f>
        <v>61.4128818367172</v>
      </c>
      <c r="H309" s="48" t="n">
        <f aca="false">D309*(IF($A309&lt;$Q$258,INDEX(Surface_Engine!$D$12:$D$72,$A309+1)+(Surface_Engine!B239*12)*INDEX(Surface_Engine!$F$12:$F$72,$A309+1)-(Surface_Engine!B239*12),1000*12*INDEX(Surface_Engine!$C$12:$C$72,$A309+1)/(1+Assumptions!$B$10)^12+INDEX(Surface_Engine!$D$12:$D$72,$A309+1)))*INDEX(Surface_Engine!$B$12:$B$72,$A309+1)+H310</f>
        <v>9.88538009843993</v>
      </c>
      <c r="I309" s="48" t="n">
        <f aca="false">E309*(IF($A309&lt;$Q$258,INDEX(Surface_Engine!$D$12:$D$72,$A309+1)+(Surface_Engine!B239*12)*INDEX(Surface_Engine!$F$12:$F$72,$A309+1)-(Surface_Engine!B239*12),1000*12*INDEX(Surface_Engine!$C$12:$C$72,$A309+1)/(1+Assumptions!$B$10)^12+INDEX(Surface_Engine!$D$12:$D$72,$A309+1)))*INDEX(Surface_Engine!$B$12:$B$72,$A309+1)+I310</f>
        <v>11.7081767535939</v>
      </c>
      <c r="J309" s="48" t="n">
        <f aca="false">B309*(IF($A309&lt;$Q$258,INDEX(Surface_Engine!$D$12:$D$72,$A309+1)*(1+Assumptions!$B$24)+(Surface_Engine!B239*12)*INDEX(Surface_Engine!$F$12:$F$72,$A309+1)-(Surface_Engine!B239*12),1000*12*INDEX(Surface_Engine!$C$12:$C$72,$A309+1)/(1+Assumptions!$B$10)^12+INDEX(Surface_Engine!$D$12:$D$72,$A309+1)*(1+Assumptions!$B$24)))*INDEX(Surface_Engine!$B$12:$B$72,$A309+1)+J310</f>
        <v>10.7746183604113</v>
      </c>
      <c r="K309" s="12" t="n">
        <f aca="false">SQRT((IF(C309&lt;=0,0,MAX(0,(B309/C309)*G309/INDEX(Surface_Engine!$B$12:$B$72,$A309+1)-F309/INDEX(Surface_Engine!$B$12:$B$72,$A309+1))))^2+(MAX(IF(D309&lt;=0,0,MAX(0,(B309/D309)*H309/INDEX(Surface_Engine!$B$12:$B$72,$A309+1)-F309/INDEX(Surface_Engine!$B$12:$B$72,$A309+1))),IF(E309&lt;=0,0,MAX(0,(B309/E309)*I309/INDEX(Surface_Engine!$B$12:$B$72,$A309+1)-F309/INDEX(Surface_Engine!$B$12:$B$72,$A309+1))),IF($A309&lt;$Q$258,MAX(0,-Assumptions!$B$22*(F309/INDEX(Surface_Engine!$B$12:$B$72,$A309+1))),0)))^2+(MAX(0,J309/INDEX(Surface_Engine!$B$12:$B$72,$A309+1)-(F309/INDEX(Surface_Engine!$B$12:$B$72,$A309+1))))^2+2*Assumptions!$B$26*(IF(C309&lt;=0,0,MAX(0,(B309/C309)*G309/INDEX(Surface_Engine!$B$12:$B$72,$A309+1)-F309/INDEX(Surface_Engine!$B$12:$B$72,$A309+1))))*(MAX(IF(D309&lt;=0,0,MAX(0,(B309/D309)*H309/INDEX(Surface_Engine!$B$12:$B$72,$A309+1)-F309/INDEX(Surface_Engine!$B$12:$B$72,$A309+1))),IF(E309&lt;=0,0,MAX(0,(B309/E309)*I309/INDEX(Surface_Engine!$B$12:$B$72,$A309+1)-F309/INDEX(Surface_Engine!$B$12:$B$72,$A309+1))),IF($A309&lt;$Q$258,MAX(0,-Assumptions!$B$22*(F309/INDEX(Surface_Engine!$B$12:$B$72,$A309+1))),0)))+2*Assumptions!$B$27*(IF(C309&lt;=0,0,MAX(0,(B309/C309)*G309/INDEX(Surface_Engine!$B$12:$B$72,$A309+1)-F309/INDEX(Surface_Engine!$B$12:$B$72,$A309+1))))*(MAX(0,J309/INDEX(Surface_Engine!$B$12:$B$72,$A309+1)-(F309/INDEX(Surface_Engine!$B$12:$B$72,$A309+1))))+2*Assumptions!$B$28*(MAX(IF(D309&lt;=0,0,MAX(0,(B309/D309)*H309/INDEX(Surface_Engine!$B$12:$B$72,$A309+1)-F309/INDEX(Surface_Engine!$B$12:$B$72,$A309+1))),IF(E309&lt;=0,0,MAX(0,(B309/E309)*I309/INDEX(Surface_Engine!$B$12:$B$72,$A309+1)-F309/INDEX(Surface_Engine!$B$12:$B$72,$A309+1))),IF($A309&lt;$Q$258,MAX(0,-Assumptions!$B$22*(F309/INDEX(Surface_Engine!$B$12:$B$72,$A309+1))),0)))*(MAX(0,J309/INDEX(Surface_Engine!$B$12:$B$72,$A309+1)-(F309/INDEX(Surface_Engine!$B$12:$B$72,$A309+1)))))</f>
        <v>11.222632295608</v>
      </c>
      <c r="L309" s="48" t="n">
        <f aca="false">K309*INDEX(Surface_Engine!$B$12:$B$72,$A309+1)+L310</f>
        <v>4.55813394186492</v>
      </c>
      <c r="M309" s="48" t="n">
        <f aca="false">M308+B308*(IF($A308&lt;$Q$258,(Surface_Engine!B239*12)-(Surface_Engine!B239*12)*INDEX(Surface_Engine!$F$12:$F$72,$A308+1)-INDEX(Surface_Engine!$D$12:$D$72,$A308+1),-(1000*12*INDEX(Surface_Engine!$C$12:$C$72,$A308+1)/(1+Assumptions!$B$10)^12+INDEX(Surface_Engine!$D$12:$D$72,$A308+1))))*INDEX(Surface_Engine!$B$12:$B$72,$A308+1)</f>
        <v>3545.7541050843</v>
      </c>
      <c r="N309" s="12" t="n">
        <f aca="false">IF(B309&lt;=0,0,MAX(0,(K309+Assumptions!$B$29*L309/INDEX(Surface_Engine!$B$12:$B$72,$A309+1)-(M309/INDEX(Surface_Engine!$B$12:$B$72,$A309+1)-(F309/INDEX(Surface_Engine!$B$12:$B$72,$A309+1))))/B309))</f>
        <v>0</v>
      </c>
    </row>
    <row r="310" customFormat="false" ht="15" hidden="false" customHeight="true" outlineLevel="0" collapsed="false">
      <c r="A310" s="1" t="n">
        <v>50</v>
      </c>
      <c r="B310" s="32" t="n">
        <f aca="false">INDEX(Surface_Engine!$J$12:$J$72,$A310+1)*IF($A310&lt;$Q$258,INDEX(Surface_Engine!$E$12:$E$72,$A310+1),INDEX(Surface_Engine!$E$12:$E$72,$Q$258+1))</f>
        <v>0.000525311654209812</v>
      </c>
      <c r="C310" s="32" t="n">
        <f aca="false">INDEX(Panel_Reserving!$C$8:$C$68,$A310+1)*IF($A310&lt;$Q$258,INDEX(Surface_Engine!$E$12:$E$72,$A310+1),INDEX(Surface_Engine!$E$12:$E$72,$Q$258+1))</f>
        <v>0.00290052220714326</v>
      </c>
      <c r="D310" s="32" t="n">
        <f aca="false">INDEX(Surface_Engine!$J$12:$J$72,$A310+1)*IF($A310&lt;$Q$258,INDEX(Surface_Engine!$Y$12:$Y$72,$A310+1),INDEX(Surface_Engine!$Y$12:$Y$72,$Q$258+1))</f>
        <v>0.000482484644012569</v>
      </c>
      <c r="E310" s="32" t="n">
        <f aca="false">INDEX(Surface_Engine!$J$12:$J$72,$A310+1)*IF($A310&lt;$Q$258,INDEX(Surface_Engine!$Z$12:$Z$72,$A310+1),INDEX(Surface_Engine!$Z$12:$Z$72,$Q$258+1))</f>
        <v>0.000571451521007828</v>
      </c>
      <c r="F310" s="48" t="n">
        <f aca="false">B310*(IF($A310&lt;$Q$258,INDEX(Surface_Engine!$D$12:$D$72,$A310+1)+(Surface_Engine!B239*12)*INDEX(Surface_Engine!$F$12:$F$72,$A310+1)-(Surface_Engine!B239*12),1000*12*INDEX(Surface_Engine!$C$12:$C$72,$A310+1)/(1+Assumptions!$B$10)^12+INDEX(Surface_Engine!$D$12:$D$72,$A310+1)))*INDEX(Surface_Engine!$B$12:$B$72,$A310+1)+F311</f>
        <v>5.39396131592245</v>
      </c>
      <c r="G310" s="48" t="n">
        <f aca="false">C310*(IF($A310&lt;$Q$258,INDEX(Surface_Engine!$D$12:$D$72,$A310+1)+(Surface_Engine!B239*12)*INDEX(Surface_Engine!$F$12:$F$72,$A310+1)-(Surface_Engine!B239*12),1000*12*INDEX(Surface_Engine!$C$12:$C$72,$A310+1)/(1+Assumptions!$B$10)^12+INDEX(Surface_Engine!$D$12:$D$72,$A310+1)))*INDEX(Surface_Engine!$B$12:$B$72,$A310+1)+G311</f>
        <v>36.3233222435378</v>
      </c>
      <c r="H310" s="48" t="n">
        <f aca="false">D310*(IF($A310&lt;$Q$258,INDEX(Surface_Engine!$D$12:$D$72,$A310+1)+(Surface_Engine!B239*12)*INDEX(Surface_Engine!$F$12:$F$72,$A310+1)-(Surface_Engine!B239*12),1000*12*INDEX(Surface_Engine!$C$12:$C$72,$A310+1)/(1+Assumptions!$B$10)^12+INDEX(Surface_Engine!$D$12:$D$72,$A310+1)))*INDEX(Surface_Engine!$B$12:$B$72,$A310+1)+H311</f>
        <v>4.95420858165648</v>
      </c>
      <c r="I310" s="48" t="n">
        <f aca="false">E310*(IF($A310&lt;$Q$258,INDEX(Surface_Engine!$D$12:$D$72,$A310+1)+(Surface_Engine!B239*12)*INDEX(Surface_Engine!$F$12:$F$72,$A310+1)-(Surface_Engine!B239*12),1000*12*INDEX(Surface_Engine!$C$12:$C$72,$A310+1)/(1+Assumptions!$B$10)^12+INDEX(Surface_Engine!$D$12:$D$72,$A310+1)))*INDEX(Surface_Engine!$B$12:$B$72,$A310+1)+I311</f>
        <v>5.86773084803892</v>
      </c>
      <c r="J310" s="48" t="n">
        <f aca="false">B310*(IF($A310&lt;$Q$258,INDEX(Surface_Engine!$D$12:$D$72,$A310+1)*(1+Assumptions!$B$24)+(Surface_Engine!B239*12)*INDEX(Surface_Engine!$F$12:$F$72,$A310+1)-(Surface_Engine!B239*12),1000*12*INDEX(Surface_Engine!$C$12:$C$72,$A310+1)/(1+Assumptions!$B$10)^12+INDEX(Surface_Engine!$D$12:$D$72,$A310+1)*(1+Assumptions!$B$24)))*INDEX(Surface_Engine!$B$12:$B$72,$A310+1)+J311</f>
        <v>5.39989075298368</v>
      </c>
      <c r="K310" s="12" t="n">
        <f aca="false">SQRT((IF(C310&lt;=0,0,MAX(0,(B310/C310)*G310/INDEX(Surface_Engine!$B$12:$B$72,$A310+1)-F310/INDEX(Surface_Engine!$B$12:$B$72,$A310+1))))^2+(MAX(IF(D310&lt;=0,0,MAX(0,(B310/D310)*H310/INDEX(Surface_Engine!$B$12:$B$72,$A310+1)-F310/INDEX(Surface_Engine!$B$12:$B$72,$A310+1))),IF(E310&lt;=0,0,MAX(0,(B310/E310)*I310/INDEX(Surface_Engine!$B$12:$B$72,$A310+1)-F310/INDEX(Surface_Engine!$B$12:$B$72,$A310+1))),IF($A310&lt;$Q$258,MAX(0,-Assumptions!$B$22*(F310/INDEX(Surface_Engine!$B$12:$B$72,$A310+1))),0)))^2+(MAX(0,J310/INDEX(Surface_Engine!$B$12:$B$72,$A310+1)-(F310/INDEX(Surface_Engine!$B$12:$B$72,$A310+1))))^2+2*Assumptions!$B$26*(IF(C310&lt;=0,0,MAX(0,(B310/C310)*G310/INDEX(Surface_Engine!$B$12:$B$72,$A310+1)-F310/INDEX(Surface_Engine!$B$12:$B$72,$A310+1))))*(MAX(IF(D310&lt;=0,0,MAX(0,(B310/D310)*H310/INDEX(Surface_Engine!$B$12:$B$72,$A310+1)-F310/INDEX(Surface_Engine!$B$12:$B$72,$A310+1))),IF(E310&lt;=0,0,MAX(0,(B310/E310)*I310/INDEX(Surface_Engine!$B$12:$B$72,$A310+1)-F310/INDEX(Surface_Engine!$B$12:$B$72,$A310+1))),IF($A310&lt;$Q$258,MAX(0,-Assumptions!$B$22*(F310/INDEX(Surface_Engine!$B$12:$B$72,$A310+1))),0)))+2*Assumptions!$B$27*(IF(C310&lt;=0,0,MAX(0,(B310/C310)*G310/INDEX(Surface_Engine!$B$12:$B$72,$A310+1)-F310/INDEX(Surface_Engine!$B$12:$B$72,$A310+1))))*(MAX(0,J310/INDEX(Surface_Engine!$B$12:$B$72,$A310+1)-(F310/INDEX(Surface_Engine!$B$12:$B$72,$A310+1))))+2*Assumptions!$B$28*(MAX(IF(D310&lt;=0,0,MAX(0,(B310/D310)*H310/INDEX(Surface_Engine!$B$12:$B$72,$A310+1)-F310/INDEX(Surface_Engine!$B$12:$B$72,$A310+1))),IF(E310&lt;=0,0,MAX(0,(B310/E310)*I310/INDEX(Surface_Engine!$B$12:$B$72,$A310+1)-F310/INDEX(Surface_Engine!$B$12:$B$72,$A310+1))),IF($A310&lt;$Q$258,MAX(0,-Assumptions!$B$22*(F310/INDEX(Surface_Engine!$B$12:$B$72,$A310+1))),0)))*(MAX(0,J310/INDEX(Surface_Engine!$B$12:$B$72,$A310+1)-(F310/INDEX(Surface_Engine!$B$12:$B$72,$A310+1)))))</f>
        <v>5.77359184387515</v>
      </c>
      <c r="L310" s="48" t="n">
        <f aca="false">K310*INDEX(Surface_Engine!$B$12:$B$72,$A310+1)+L311</f>
        <v>2.17634715179445</v>
      </c>
      <c r="M310" s="48" t="n">
        <f aca="false">M309+B309*(IF($A309&lt;$Q$258,(Surface_Engine!B239*12)-(Surface_Engine!B239*12)*INDEX(Surface_Engine!$F$12:$F$72,$A309+1)-INDEX(Surface_Engine!$D$12:$D$72,$A309+1),-(1000*12*INDEX(Surface_Engine!$C$12:$C$72,$A309+1)/(1+Assumptions!$B$10)^12+INDEX(Surface_Engine!$D$12:$D$72,$A309+1))))*INDEX(Surface_Engine!$B$12:$B$72,$A309+1)</f>
        <v>3540.38522568302</v>
      </c>
      <c r="N310" s="12" t="n">
        <f aca="false">IF(B310&lt;=0,0,MAX(0,(K310+Assumptions!$B$29*L310/INDEX(Surface_Engine!$B$12:$B$72,$A310+1)-(M310/INDEX(Surface_Engine!$B$12:$B$72,$A310+1)-(F310/INDEX(Surface_Engine!$B$12:$B$72,$A310+1))))/B310))</f>
        <v>0</v>
      </c>
    </row>
    <row r="311" customFormat="false" ht="15" hidden="false" customHeight="true" outlineLevel="0" collapsed="false">
      <c r="A311" s="1" t="n">
        <v>51</v>
      </c>
      <c r="B311" s="32" t="n">
        <f aca="false">INDEX(Surface_Engine!$J$12:$J$72,$A311+1)*IF($A311&lt;$Q$258,INDEX(Surface_Engine!$E$12:$E$72,$A311+1),INDEX(Surface_Engine!$E$12:$E$72,$Q$258+1))</f>
        <v>0.00026619484373931</v>
      </c>
      <c r="C311" s="32" t="n">
        <f aca="false">INDEX(Panel_Reserving!$C$8:$C$68,$A311+1)*IF($A311&lt;$Q$258,INDEX(Surface_Engine!$E$12:$E$72,$A311+1),INDEX(Surface_Engine!$E$12:$E$72,$Q$258+1))</f>
        <v>0.00175594594352411</v>
      </c>
      <c r="D311" s="32" t="n">
        <f aca="false">INDEX(Surface_Engine!$J$12:$J$72,$A311+1)*IF($A311&lt;$Q$258,INDEX(Surface_Engine!$Y$12:$Y$72,$A311+1),INDEX(Surface_Engine!$Y$12:$Y$72,$Q$258+1))</f>
        <v>0.000244492813723575</v>
      </c>
      <c r="E311" s="32" t="n">
        <f aca="false">INDEX(Surface_Engine!$J$12:$J$72,$A311+1)*IF($A311&lt;$Q$258,INDEX(Surface_Engine!$Z$12:$Z$72,$A311+1),INDEX(Surface_Engine!$Z$12:$Z$72,$Q$258+1))</f>
        <v>0.000289575620720026</v>
      </c>
      <c r="F311" s="48" t="n">
        <f aca="false">B311*(IF($A311&lt;$Q$258,INDEX(Surface_Engine!$D$12:$D$72,$A311+1)+(Surface_Engine!B239*12)*INDEX(Surface_Engine!$F$12:$F$72,$A311+1)-(Surface_Engine!B239*12),1000*12*INDEX(Surface_Engine!$C$12:$C$72,$A311+1)/(1+Assumptions!$B$10)^12+INDEX(Surface_Engine!$D$12:$D$72,$A311+1)))*INDEX(Surface_Engine!$B$12:$B$72,$A311+1)+F312</f>
        <v>2.61531416140923</v>
      </c>
      <c r="G311" s="48" t="n">
        <f aca="false">C311*(IF($A311&lt;$Q$258,INDEX(Surface_Engine!$D$12:$D$72,$A311+1)+(Surface_Engine!B239*12)*INDEX(Surface_Engine!$F$12:$F$72,$A311+1)-(Surface_Engine!B239*12),1000*12*INDEX(Surface_Engine!$C$12:$C$72,$A311+1)/(1+Assumptions!$B$10)^12+INDEX(Surface_Engine!$D$12:$D$72,$A311+1)))*INDEX(Surface_Engine!$B$12:$B$72,$A311+1)+G312</f>
        <v>20.9809484109901</v>
      </c>
      <c r="H311" s="48" t="n">
        <f aca="false">D311*(IF($A311&lt;$Q$258,INDEX(Surface_Engine!$D$12:$D$72,$A311+1)+(Surface_Engine!B239*12)*INDEX(Surface_Engine!$F$12:$F$72,$A311+1)-(Surface_Engine!B239*12),1000*12*INDEX(Surface_Engine!$C$12:$C$72,$A311+1)/(1+Assumptions!$B$10)^12+INDEX(Surface_Engine!$D$12:$D$72,$A311+1)))*INDEX(Surface_Engine!$B$12:$B$72,$A311+1)+H312</f>
        <v>2.40209580738632</v>
      </c>
      <c r="I311" s="48" t="n">
        <f aca="false">E311*(IF($A311&lt;$Q$258,INDEX(Surface_Engine!$D$12:$D$72,$A311+1)+(Surface_Engine!B239*12)*INDEX(Surface_Engine!$F$12:$F$72,$A311+1)-(Surface_Engine!B239*12),1000*12*INDEX(Surface_Engine!$C$12:$C$72,$A311+1)/(1+Assumptions!$B$10)^12+INDEX(Surface_Engine!$D$12:$D$72,$A311+1)))*INDEX(Surface_Engine!$B$12:$B$72,$A311+1)+I312</f>
        <v>2.84502588791547</v>
      </c>
      <c r="J311" s="48" t="n">
        <f aca="false">B311*(IF($A311&lt;$Q$258,INDEX(Surface_Engine!$D$12:$D$72,$A311+1)*(1+Assumptions!$B$24)+(Surface_Engine!B239*12)*INDEX(Surface_Engine!$F$12:$F$72,$A311+1)-(Surface_Engine!B239*12),1000*12*INDEX(Surface_Engine!$C$12:$C$72,$A311+1)/(1+Assumptions!$B$10)^12+INDEX(Surface_Engine!$D$12:$D$72,$A311+1)*(1+Assumptions!$B$24)))*INDEX(Surface_Engine!$B$12:$B$72,$A311+1)+J312</f>
        <v>2.61820220275116</v>
      </c>
      <c r="K311" s="12" t="n">
        <f aca="false">SQRT((IF(C311&lt;=0,0,MAX(0,(B311/C311)*G311/INDEX(Surface_Engine!$B$12:$B$72,$A311+1)-F311/INDEX(Surface_Engine!$B$12:$B$72,$A311+1))))^2+(MAX(IF(D311&lt;=0,0,MAX(0,(B311/D311)*H311/INDEX(Surface_Engine!$B$12:$B$72,$A311+1)-F311/INDEX(Surface_Engine!$B$12:$B$72,$A311+1))),IF(E311&lt;=0,0,MAX(0,(B311/E311)*I311/INDEX(Surface_Engine!$B$12:$B$72,$A311+1)-F311/INDEX(Surface_Engine!$B$12:$B$72,$A311+1))),IF($A311&lt;$Q$258,MAX(0,-Assumptions!$B$22*(F311/INDEX(Surface_Engine!$B$12:$B$72,$A311+1))),0)))^2+(MAX(0,J311/INDEX(Surface_Engine!$B$12:$B$72,$A311+1)-(F311/INDEX(Surface_Engine!$B$12:$B$72,$A311+1))))^2+2*Assumptions!$B$26*(IF(C311&lt;=0,0,MAX(0,(B311/C311)*G311/INDEX(Surface_Engine!$B$12:$B$72,$A311+1)-F311/INDEX(Surface_Engine!$B$12:$B$72,$A311+1))))*(MAX(IF(D311&lt;=0,0,MAX(0,(B311/D311)*H311/INDEX(Surface_Engine!$B$12:$B$72,$A311+1)-F311/INDEX(Surface_Engine!$B$12:$B$72,$A311+1))),IF(E311&lt;=0,0,MAX(0,(B311/E311)*I311/INDEX(Surface_Engine!$B$12:$B$72,$A311+1)-F311/INDEX(Surface_Engine!$B$12:$B$72,$A311+1))),IF($A311&lt;$Q$258,MAX(0,-Assumptions!$B$22*(F311/INDEX(Surface_Engine!$B$12:$B$72,$A311+1))),0)))+2*Assumptions!$B$27*(IF(C311&lt;=0,0,MAX(0,(B311/C311)*G311/INDEX(Surface_Engine!$B$12:$B$72,$A311+1)-F311/INDEX(Surface_Engine!$B$12:$B$72,$A311+1))))*(MAX(0,J311/INDEX(Surface_Engine!$B$12:$B$72,$A311+1)-(F311/INDEX(Surface_Engine!$B$12:$B$72,$A311+1))))+2*Assumptions!$B$28*(MAX(IF(D311&lt;=0,0,MAX(0,(B311/D311)*H311/INDEX(Surface_Engine!$B$12:$B$72,$A311+1)-F311/INDEX(Surface_Engine!$B$12:$B$72,$A311+1))),IF(E311&lt;=0,0,MAX(0,(B311/E311)*I311/INDEX(Surface_Engine!$B$12:$B$72,$A311+1)-F311/INDEX(Surface_Engine!$B$12:$B$72,$A311+1))),IF($A311&lt;$Q$258,MAX(0,-Assumptions!$B$22*(F311/INDEX(Surface_Engine!$B$12:$B$72,$A311+1))),0)))*(MAX(0,J311/INDEX(Surface_Engine!$B$12:$B$72,$A311+1)-(F311/INDEX(Surface_Engine!$B$12:$B$72,$A311+1)))))</f>
        <v>2.84554989867751</v>
      </c>
      <c r="L311" s="48" t="n">
        <f aca="false">K311*INDEX(Surface_Engine!$B$12:$B$72,$A311+1)+L312</f>
        <v>0.990319399720617</v>
      </c>
      <c r="M311" s="48" t="n">
        <f aca="false">M310+B310*(IF($A310&lt;$Q$258,(Surface_Engine!B239*12)-(Surface_Engine!B239*12)*INDEX(Surface_Engine!$F$12:$F$72,$A310+1)-INDEX(Surface_Engine!$D$12:$D$72,$A310+1),-(1000*12*INDEX(Surface_Engine!$C$12:$C$72,$A310+1)/(1+Assumptions!$B$10)^12+INDEX(Surface_Engine!$D$12:$D$72,$A310+1))))*INDEX(Surface_Engine!$B$12:$B$72,$A310+1)</f>
        <v>3537.60657852851</v>
      </c>
      <c r="N311" s="12" t="n">
        <f aca="false">IF(B311&lt;=0,0,MAX(0,(K311+Assumptions!$B$29*L311/INDEX(Surface_Engine!$B$12:$B$72,$A311+1)-(M311/INDEX(Surface_Engine!$B$12:$B$72,$A311+1)-(F311/INDEX(Surface_Engine!$B$12:$B$72,$A311+1))))/B311))</f>
        <v>0</v>
      </c>
    </row>
    <row r="312" customFormat="false" ht="15" hidden="false" customHeight="true" outlineLevel="0" collapsed="false">
      <c r="A312" s="1" t="n">
        <v>52</v>
      </c>
      <c r="B312" s="32" t="n">
        <f aca="false">INDEX(Surface_Engine!$J$12:$J$72,$A312+1)*IF($A312&lt;$Q$258,INDEX(Surface_Engine!$E$12:$E$72,$A312+1),INDEX(Surface_Engine!$E$12:$E$72,$Q$258+1))</f>
        <v>0.000130293156297137</v>
      </c>
      <c r="C312" s="32" t="n">
        <f aca="false">INDEX(Panel_Reserving!$C$8:$C$68,$A312+1)*IF($A312&lt;$Q$258,INDEX(Surface_Engine!$E$12:$E$72,$A312+1),INDEX(Surface_Engine!$E$12:$E$72,$Q$258+1))</f>
        <v>0.00103876896614925</v>
      </c>
      <c r="D312" s="32" t="n">
        <f aca="false">INDEX(Surface_Engine!$J$12:$J$72,$A312+1)*IF($A312&lt;$Q$258,INDEX(Surface_Engine!$Y$12:$Y$72,$A312+1),INDEX(Surface_Engine!$Y$12:$Y$72,$Q$258+1))</f>
        <v>0.000119670764258715</v>
      </c>
      <c r="E312" s="32" t="n">
        <f aca="false">INDEX(Surface_Engine!$J$12:$J$72,$A312+1)*IF($A312&lt;$Q$258,INDEX(Surface_Engine!$Z$12:$Z$72,$A312+1),INDEX(Surface_Engine!$Z$12:$Z$72,$Q$258+1))</f>
        <v>0.00014173723683117</v>
      </c>
      <c r="F312" s="48" t="n">
        <f aca="false">B312*(IF($A312&lt;$Q$258,INDEX(Surface_Engine!$D$12:$D$72,$A312+1)+(Surface_Engine!B239*12)*INDEX(Surface_Engine!$F$12:$F$72,$A312+1)-(Surface_Engine!B239*12),1000*12*INDEX(Surface_Engine!$C$12:$C$72,$A312+1)/(1+Assumptions!$B$10)^12+INDEX(Surface_Engine!$D$12:$D$72,$A312+1)))*INDEX(Surface_Engine!$B$12:$B$72,$A312+1)+F313</f>
        <v>1.22447194260242</v>
      </c>
      <c r="G312" s="48" t="n">
        <f aca="false">C312*(IF($A312&lt;$Q$258,INDEX(Surface_Engine!$D$12:$D$72,$A312+1)+(Surface_Engine!B239*12)*INDEX(Surface_Engine!$F$12:$F$72,$A312+1)-(Surface_Engine!B239*12),1000*12*INDEX(Surface_Engine!$C$12:$C$72,$A312+1)/(1+Assumptions!$B$10)^12+INDEX(Surface_Engine!$D$12:$D$72,$A312+1)))*INDEX(Surface_Engine!$B$12:$B$72,$A312+1)+G313</f>
        <v>11.8063013070528</v>
      </c>
      <c r="H312" s="48" t="n">
        <f aca="false">D312*(IF($A312&lt;$Q$258,INDEX(Surface_Engine!$D$12:$D$72,$A312+1)+(Surface_Engine!B239*12)*INDEX(Surface_Engine!$F$12:$F$72,$A312+1)-(Surface_Engine!B239*12),1000*12*INDEX(Surface_Engine!$C$12:$C$72,$A312+1)/(1+Assumptions!$B$10)^12+INDEX(Surface_Engine!$D$12:$D$72,$A312+1)))*INDEX(Surface_Engine!$B$12:$B$72,$A312+1)+H313</f>
        <v>1.12464458877957</v>
      </c>
      <c r="I312" s="48" t="n">
        <f aca="false">E312*(IF($A312&lt;$Q$258,INDEX(Surface_Engine!$D$12:$D$72,$A312+1)+(Surface_Engine!B239*12)*INDEX(Surface_Engine!$F$12:$F$72,$A312+1)-(Surface_Engine!B239*12),1000*12*INDEX(Surface_Engine!$C$12:$C$72,$A312+1)/(1+Assumptions!$B$10)^12+INDEX(Surface_Engine!$D$12:$D$72,$A312+1)))*INDEX(Surface_Engine!$B$12:$B$72,$A312+1)+I313</f>
        <v>1.3320213789738</v>
      </c>
      <c r="J312" s="48" t="n">
        <f aca="false">B312*(IF($A312&lt;$Q$258,INDEX(Surface_Engine!$D$12:$D$72,$A312+1)*(1+Assumptions!$B$24)+(Surface_Engine!B239*12)*INDEX(Surface_Engine!$F$12:$F$72,$A312+1)-(Surface_Engine!B239*12),1000*12*INDEX(Surface_Engine!$C$12:$C$72,$A312+1)/(1+Assumptions!$B$10)^12+INDEX(Surface_Engine!$D$12:$D$72,$A312+1)*(1+Assumptions!$B$24)))*INDEX(Surface_Engine!$B$12:$B$72,$A312+1)+J313</f>
        <v>1.22583024336912</v>
      </c>
      <c r="K312" s="12" t="n">
        <f aca="false">SQRT((IF(C312&lt;=0,0,MAX(0,(B312/C312)*G312/INDEX(Surface_Engine!$B$12:$B$72,$A312+1)-F312/INDEX(Surface_Engine!$B$12:$B$72,$A312+1))))^2+(MAX(IF(D312&lt;=0,0,MAX(0,(B312/D312)*H312/INDEX(Surface_Engine!$B$12:$B$72,$A312+1)-F312/INDEX(Surface_Engine!$B$12:$B$72,$A312+1))),IF(E312&lt;=0,0,MAX(0,(B312/E312)*I312/INDEX(Surface_Engine!$B$12:$B$72,$A312+1)-F312/INDEX(Surface_Engine!$B$12:$B$72,$A312+1))),IF($A312&lt;$Q$258,MAX(0,-Assumptions!$B$22*(F312/INDEX(Surface_Engine!$B$12:$B$72,$A312+1))),0)))^2+(MAX(0,J312/INDEX(Surface_Engine!$B$12:$B$72,$A312+1)-(F312/INDEX(Surface_Engine!$B$12:$B$72,$A312+1))))^2+2*Assumptions!$B$26*(IF(C312&lt;=0,0,MAX(0,(B312/C312)*G312/INDEX(Surface_Engine!$B$12:$B$72,$A312+1)-F312/INDEX(Surface_Engine!$B$12:$B$72,$A312+1))))*(MAX(IF(D312&lt;=0,0,MAX(0,(B312/D312)*H312/INDEX(Surface_Engine!$B$12:$B$72,$A312+1)-F312/INDEX(Surface_Engine!$B$12:$B$72,$A312+1))),IF(E312&lt;=0,0,MAX(0,(B312/E312)*I312/INDEX(Surface_Engine!$B$12:$B$72,$A312+1)-F312/INDEX(Surface_Engine!$B$12:$B$72,$A312+1))),IF($A312&lt;$Q$258,MAX(0,-Assumptions!$B$22*(F312/INDEX(Surface_Engine!$B$12:$B$72,$A312+1))),0)))+2*Assumptions!$B$27*(IF(C312&lt;=0,0,MAX(0,(B312/C312)*G312/INDEX(Surface_Engine!$B$12:$B$72,$A312+1)-F312/INDEX(Surface_Engine!$B$12:$B$72,$A312+1))))*(MAX(0,J312/INDEX(Surface_Engine!$B$12:$B$72,$A312+1)-(F312/INDEX(Surface_Engine!$B$12:$B$72,$A312+1))))+2*Assumptions!$B$28*(MAX(IF(D312&lt;=0,0,MAX(0,(B312/D312)*H312/INDEX(Surface_Engine!$B$12:$B$72,$A312+1)-F312/INDEX(Surface_Engine!$B$12:$B$72,$A312+1))),IF(E312&lt;=0,0,MAX(0,(B312/E312)*I312/INDEX(Surface_Engine!$B$12:$B$72,$A312+1)-F312/INDEX(Surface_Engine!$B$12:$B$72,$A312+1))),IF($A312&lt;$Q$258,MAX(0,-Assumptions!$B$22*(F312/INDEX(Surface_Engine!$B$12:$B$72,$A312+1))),0)))*(MAX(0,J312/INDEX(Surface_Engine!$B$12:$B$72,$A312+1)-(F312/INDEX(Surface_Engine!$B$12:$B$72,$A312+1)))))</f>
        <v>1.33283255620272</v>
      </c>
      <c r="L312" s="48" t="n">
        <f aca="false">K312*INDEX(Surface_Engine!$B$12:$B$72,$A312+1)+L313</f>
        <v>0.424271262348519</v>
      </c>
      <c r="M312" s="48" t="n">
        <f aca="false">M311+B311*(IF($A311&lt;$Q$258,(Surface_Engine!B239*12)-(Surface_Engine!B239*12)*INDEX(Surface_Engine!$F$12:$F$72,$A311+1)-INDEX(Surface_Engine!$D$12:$D$72,$A311+1),-(1000*12*INDEX(Surface_Engine!$C$12:$C$72,$A311+1)/(1+Assumptions!$B$10)^12+INDEX(Surface_Engine!$D$12:$D$72,$A311+1))))*INDEX(Surface_Engine!$B$12:$B$72,$A311+1)</f>
        <v>3536.2157363097</v>
      </c>
      <c r="N312" s="12" t="n">
        <f aca="false">IF(B312&lt;=0,0,MAX(0,(K312+Assumptions!$B$29*L312/INDEX(Surface_Engine!$B$12:$B$72,$A312+1)-(M312/INDEX(Surface_Engine!$B$12:$B$72,$A312+1)-(F312/INDEX(Surface_Engine!$B$12:$B$72,$A312+1))))/B312))</f>
        <v>0</v>
      </c>
    </row>
    <row r="313" customFormat="false" ht="15" hidden="false" customHeight="true" outlineLevel="0" collapsed="false">
      <c r="A313" s="1" t="n">
        <v>53</v>
      </c>
      <c r="B313" s="32" t="n">
        <f aca="false">INDEX(Surface_Engine!$J$12:$J$72,$A313+1)*IF($A313&lt;$Q$258,INDEX(Surface_Engine!$E$12:$E$72,$A313+1),INDEX(Surface_Engine!$E$12:$E$72,$Q$258+1))</f>
        <v>6.15531512800512E-005</v>
      </c>
      <c r="C313" s="32" t="n">
        <f aca="false">INDEX(Panel_Reserving!$C$8:$C$68,$A313+1)*IF($A313&lt;$Q$258,INDEX(Surface_Engine!$E$12:$E$72,$A313+1),INDEX(Surface_Engine!$E$12:$E$72,$Q$258+1))</f>
        <v>0.000600342353584265</v>
      </c>
      <c r="D313" s="32" t="n">
        <f aca="false">INDEX(Surface_Engine!$J$12:$J$72,$A313+1)*IF($A313&lt;$Q$258,INDEX(Surface_Engine!$Y$12:$Y$72,$A313+1),INDEX(Surface_Engine!$Y$12:$Y$72,$Q$258+1))</f>
        <v>5.6534916073546E-005</v>
      </c>
      <c r="E313" s="32" t="n">
        <f aca="false">INDEX(Surface_Engine!$J$12:$J$72,$A313+1)*IF($A313&lt;$Q$258,INDEX(Surface_Engine!$Z$12:$Z$72,$A313+1),INDEX(Surface_Engine!$Z$12:$Z$72,$Q$258+1))</f>
        <v>6.69595689338377E-005</v>
      </c>
      <c r="F313" s="48" t="n">
        <f aca="false">B313*(IF($A313&lt;$Q$258,INDEX(Surface_Engine!$D$12:$D$72,$A313+1)+(Surface_Engine!B239*12)*INDEX(Surface_Engine!$F$12:$F$72,$A313+1)-(Surface_Engine!B239*12),1000*12*INDEX(Surface_Engine!$C$12:$C$72,$A313+1)/(1+Assumptions!$B$10)^12+INDEX(Surface_Engine!$D$12:$D$72,$A313+1)))*INDEX(Surface_Engine!$B$12:$B$72,$A313+1)+F314</f>
        <v>0.552032171489943</v>
      </c>
      <c r="G313" s="48" t="n">
        <f aca="false">C313*(IF($A313&lt;$Q$258,INDEX(Surface_Engine!$D$12:$D$72,$A313+1)+(Surface_Engine!B239*12)*INDEX(Surface_Engine!$F$12:$F$72,$A313+1)-(Surface_Engine!B239*12),1000*12*INDEX(Surface_Engine!$C$12:$C$72,$A313+1)/(1+Assumptions!$B$10)^12+INDEX(Surface_Engine!$D$12:$D$72,$A313+1)))*INDEX(Surface_Engine!$B$12:$B$72,$A313+1)+G314</f>
        <v>6.44524025298503</v>
      </c>
      <c r="H313" s="48" t="n">
        <f aca="false">D313*(IF($A313&lt;$Q$258,INDEX(Surface_Engine!$D$12:$D$72,$A313+1)+(Surface_Engine!B239*12)*INDEX(Surface_Engine!$F$12:$F$72,$A313+1)-(Surface_Engine!B239*12),1000*12*INDEX(Surface_Engine!$C$12:$C$72,$A313+1)/(1+Assumptions!$B$10)^12+INDEX(Surface_Engine!$D$12:$D$72,$A313+1)))*INDEX(Surface_Engine!$B$12:$B$72,$A313+1)+H314</f>
        <v>0.507026721395431</v>
      </c>
      <c r="I313" s="48" t="n">
        <f aca="false">E313*(IF($A313&lt;$Q$258,INDEX(Surface_Engine!$D$12:$D$72,$A313+1)+(Surface_Engine!B239*12)*INDEX(Surface_Engine!$F$12:$F$72,$A313+1)-(Surface_Engine!B239*12),1000*12*INDEX(Surface_Engine!$C$12:$C$72,$A313+1)/(1+Assumptions!$B$10)^12+INDEX(Surface_Engine!$D$12:$D$72,$A313+1)))*INDEX(Surface_Engine!$B$12:$B$72,$A313+1)+I314</f>
        <v>0.600518990041646</v>
      </c>
      <c r="J313" s="48" t="n">
        <f aca="false">B313*(IF($A313&lt;$Q$258,INDEX(Surface_Engine!$D$12:$D$72,$A313+1)*(1+Assumptions!$B$24)+(Surface_Engine!B239*12)*INDEX(Surface_Engine!$F$12:$F$72,$A313+1)-(Surface_Engine!B239*12),1000*12*INDEX(Surface_Engine!$C$12:$C$72,$A313+1)/(1+Assumptions!$B$10)^12+INDEX(Surface_Engine!$D$12:$D$72,$A313+1)*(1+Assumptions!$B$24)))*INDEX(Surface_Engine!$B$12:$B$72,$A313+1)+J314</f>
        <v>0.552647292978324</v>
      </c>
      <c r="K313" s="12" t="n">
        <f aca="false">SQRT((IF(C313&lt;=0,0,MAX(0,(B313/C313)*G313/INDEX(Surface_Engine!$B$12:$B$72,$A313+1)-F313/INDEX(Surface_Engine!$B$12:$B$72,$A313+1))))^2+(MAX(IF(D313&lt;=0,0,MAX(0,(B313/D313)*H313/INDEX(Surface_Engine!$B$12:$B$72,$A313+1)-F313/INDEX(Surface_Engine!$B$12:$B$72,$A313+1))),IF(E313&lt;=0,0,MAX(0,(B313/E313)*I313/INDEX(Surface_Engine!$B$12:$B$72,$A313+1)-F313/INDEX(Surface_Engine!$B$12:$B$72,$A313+1))),IF($A313&lt;$Q$258,MAX(0,-Assumptions!$B$22*(F313/INDEX(Surface_Engine!$B$12:$B$72,$A313+1))),0)))^2+(MAX(0,J313/INDEX(Surface_Engine!$B$12:$B$72,$A313+1)-(F313/INDEX(Surface_Engine!$B$12:$B$72,$A313+1))))^2+2*Assumptions!$B$26*(IF(C313&lt;=0,0,MAX(0,(B313/C313)*G313/INDEX(Surface_Engine!$B$12:$B$72,$A313+1)-F313/INDEX(Surface_Engine!$B$12:$B$72,$A313+1))))*(MAX(IF(D313&lt;=0,0,MAX(0,(B313/D313)*H313/INDEX(Surface_Engine!$B$12:$B$72,$A313+1)-F313/INDEX(Surface_Engine!$B$12:$B$72,$A313+1))),IF(E313&lt;=0,0,MAX(0,(B313/E313)*I313/INDEX(Surface_Engine!$B$12:$B$72,$A313+1)-F313/INDEX(Surface_Engine!$B$12:$B$72,$A313+1))),IF($A313&lt;$Q$258,MAX(0,-Assumptions!$B$22*(F313/INDEX(Surface_Engine!$B$12:$B$72,$A313+1))),0)))+2*Assumptions!$B$27*(IF(C313&lt;=0,0,MAX(0,(B313/C313)*G313/INDEX(Surface_Engine!$B$12:$B$72,$A313+1)-F313/INDEX(Surface_Engine!$B$12:$B$72,$A313+1))))*(MAX(0,J313/INDEX(Surface_Engine!$B$12:$B$72,$A313+1)-(F313/INDEX(Surface_Engine!$B$12:$B$72,$A313+1))))+2*Assumptions!$B$28*(MAX(IF(D313&lt;=0,0,MAX(0,(B313/D313)*H313/INDEX(Surface_Engine!$B$12:$B$72,$A313+1)-F313/INDEX(Surface_Engine!$B$12:$B$72,$A313+1))),IF(E313&lt;=0,0,MAX(0,(B313/E313)*I313/INDEX(Surface_Engine!$B$12:$B$72,$A313+1)-F313/INDEX(Surface_Engine!$B$12:$B$72,$A313+1))),IF($A313&lt;$Q$258,MAX(0,-Assumptions!$B$22*(F313/INDEX(Surface_Engine!$B$12:$B$72,$A313+1))),0)))*(MAX(0,J313/INDEX(Surface_Engine!$B$12:$B$72,$A313+1)-(F313/INDEX(Surface_Engine!$B$12:$B$72,$A313+1)))))</f>
        <v>0.584124599753042</v>
      </c>
      <c r="L313" s="48" t="n">
        <f aca="false">K313*INDEX(Surface_Engine!$B$12:$B$72,$A313+1)+L314</f>
        <v>0.1675317412382</v>
      </c>
      <c r="M313" s="48" t="n">
        <f aca="false">M312+B312*(IF($A312&lt;$Q$258,(Surface_Engine!B239*12)-(Surface_Engine!B239*12)*INDEX(Surface_Engine!$F$12:$F$72,$A312+1)-INDEX(Surface_Engine!$D$12:$D$72,$A312+1),-(1000*12*INDEX(Surface_Engine!$C$12:$C$72,$A312+1)/(1+Assumptions!$B$10)^12+INDEX(Surface_Engine!$D$12:$D$72,$A312+1))))*INDEX(Surface_Engine!$B$12:$B$72,$A312+1)</f>
        <v>3535.54329653859</v>
      </c>
      <c r="N313" s="12" t="n">
        <f aca="false">IF(B313&lt;=0,0,MAX(0,(K313+Assumptions!$B$29*L313/INDEX(Surface_Engine!$B$12:$B$72,$A313+1)-(M313/INDEX(Surface_Engine!$B$12:$B$72,$A313+1)-(F313/INDEX(Surface_Engine!$B$12:$B$72,$A313+1))))/B313))</f>
        <v>0</v>
      </c>
    </row>
    <row r="314" customFormat="false" ht="15" hidden="false" customHeight="true" outlineLevel="0" collapsed="false">
      <c r="A314" s="1" t="n">
        <v>54</v>
      </c>
      <c r="B314" s="32" t="n">
        <f aca="false">INDEX(Surface_Engine!$J$12:$J$72,$A314+1)*IF($A314&lt;$Q$258,INDEX(Surface_Engine!$E$12:$E$72,$A314+1),INDEX(Surface_Engine!$E$12:$E$72,$Q$258+1))</f>
        <v>2.80465539719702E-005</v>
      </c>
      <c r="C314" s="32" t="n">
        <f aca="false">INDEX(Panel_Reserving!$C$8:$C$68,$A314+1)*IF($A314&lt;$Q$258,INDEX(Surface_Engine!$E$12:$E$72,$A314+1),INDEX(Surface_Engine!$E$12:$E$72,$Q$258+1))</f>
        <v>0.000338904177696068</v>
      </c>
      <c r="D314" s="32" t="n">
        <f aca="false">INDEX(Surface_Engine!$J$12:$J$72,$A314+1)*IF($A314&lt;$Q$258,INDEX(Surface_Engine!$Y$12:$Y$72,$A314+1),INDEX(Surface_Engine!$Y$12:$Y$72,$Q$258+1))</f>
        <v>2.57600064656868E-005</v>
      </c>
      <c r="E314" s="32" t="n">
        <f aca="false">INDEX(Surface_Engine!$J$12:$J$72,$A314+1)*IF($A314&lt;$Q$258,INDEX(Surface_Engine!$Z$12:$Z$72,$A314+1),INDEX(Surface_Engine!$Z$12:$Z$72,$Q$258+1))</f>
        <v>3.05099759311816E-005</v>
      </c>
      <c r="F314" s="48" t="n">
        <f aca="false">B314*(IF($A314&lt;$Q$258,INDEX(Surface_Engine!$D$12:$D$72,$A314+1)+(Surface_Engine!B239*12)*INDEX(Surface_Engine!$F$12:$F$72,$A314+1)-(Surface_Engine!B239*12),1000*12*INDEX(Surface_Engine!$C$12:$C$72,$A314+1)/(1+Assumptions!$B$10)^12+INDEX(Surface_Engine!$D$12:$D$72,$A314+1)))*INDEX(Surface_Engine!$B$12:$B$72,$A314+1)+F315</f>
        <v>0.238250667782379</v>
      </c>
      <c r="G314" s="48" t="n">
        <f aca="false">C314*(IF($A314&lt;$Q$258,INDEX(Surface_Engine!$D$12:$D$72,$A314+1)+(Surface_Engine!B239*12)*INDEX(Surface_Engine!$F$12:$F$72,$A314+1)-(Surface_Engine!B239*12),1000*12*INDEX(Surface_Engine!$C$12:$C$72,$A314+1)/(1+Assumptions!$B$10)^12+INDEX(Surface_Engine!$D$12:$D$72,$A314+1)))*INDEX(Surface_Engine!$B$12:$B$72,$A314+1)+G315</f>
        <v>3.38485548746841</v>
      </c>
      <c r="H314" s="48" t="n">
        <f aca="false">D314*(IF($A314&lt;$Q$258,INDEX(Surface_Engine!$D$12:$D$72,$A314+1)+(Surface_Engine!B239*12)*INDEX(Surface_Engine!$F$12:$F$72,$A314+1)-(Surface_Engine!B239*12),1000*12*INDEX(Surface_Engine!$C$12:$C$72,$A314+1)/(1+Assumptions!$B$10)^12+INDEX(Surface_Engine!$D$12:$D$72,$A314+1)))*INDEX(Surface_Engine!$B$12:$B$72,$A314+1)+H315</f>
        <v>0.218826838714729</v>
      </c>
      <c r="I314" s="48" t="n">
        <f aca="false">E314*(IF($A314&lt;$Q$258,INDEX(Surface_Engine!$D$12:$D$72,$A314+1)+(Surface_Engine!B239*12)*INDEX(Surface_Engine!$F$12:$F$72,$A314+1)-(Surface_Engine!B239*12),1000*12*INDEX(Surface_Engine!$C$12:$C$72,$A314+1)/(1+Assumptions!$B$10)^12+INDEX(Surface_Engine!$D$12:$D$72,$A314+1)))*INDEX(Surface_Engine!$B$12:$B$72,$A314+1)+I315</f>
        <v>0.259177015004874</v>
      </c>
      <c r="J314" s="48" t="n">
        <f aca="false">B314*(IF($A314&lt;$Q$258,INDEX(Surface_Engine!$D$12:$D$72,$A314+1)*(1+Assumptions!$B$24)+(Surface_Engine!B239*12)*INDEX(Surface_Engine!$F$12:$F$72,$A314+1)-(Surface_Engine!B239*12),1000*12*INDEX(Surface_Engine!$C$12:$C$72,$A314+1)/(1+Assumptions!$B$10)^12+INDEX(Surface_Engine!$D$12:$D$72,$A314+1)*(1+Assumptions!$B$24)))*INDEX(Surface_Engine!$B$12:$B$72,$A314+1)+J315</f>
        <v>0.238517317416773</v>
      </c>
      <c r="K314" s="12" t="n">
        <f aca="false">SQRT((IF(C314&lt;=0,0,MAX(0,(B314/C314)*G314/INDEX(Surface_Engine!$B$12:$B$72,$A314+1)-F314/INDEX(Surface_Engine!$B$12:$B$72,$A314+1))))^2+(MAX(IF(D314&lt;=0,0,MAX(0,(B314/D314)*H314/INDEX(Surface_Engine!$B$12:$B$72,$A314+1)-F314/INDEX(Surface_Engine!$B$12:$B$72,$A314+1))),IF(E314&lt;=0,0,MAX(0,(B314/E314)*I314/INDEX(Surface_Engine!$B$12:$B$72,$A314+1)-F314/INDEX(Surface_Engine!$B$12:$B$72,$A314+1))),IF($A314&lt;$Q$258,MAX(0,-Assumptions!$B$22*(F314/INDEX(Surface_Engine!$B$12:$B$72,$A314+1))),0)))^2+(MAX(0,J314/INDEX(Surface_Engine!$B$12:$B$72,$A314+1)-(F314/INDEX(Surface_Engine!$B$12:$B$72,$A314+1))))^2+2*Assumptions!$B$26*(IF(C314&lt;=0,0,MAX(0,(B314/C314)*G314/INDEX(Surface_Engine!$B$12:$B$72,$A314+1)-F314/INDEX(Surface_Engine!$B$12:$B$72,$A314+1))))*(MAX(IF(D314&lt;=0,0,MAX(0,(B314/D314)*H314/INDEX(Surface_Engine!$B$12:$B$72,$A314+1)-F314/INDEX(Surface_Engine!$B$12:$B$72,$A314+1))),IF(E314&lt;=0,0,MAX(0,(B314/E314)*I314/INDEX(Surface_Engine!$B$12:$B$72,$A314+1)-F314/INDEX(Surface_Engine!$B$12:$B$72,$A314+1))),IF($A314&lt;$Q$258,MAX(0,-Assumptions!$B$22*(F314/INDEX(Surface_Engine!$B$12:$B$72,$A314+1))),0)))+2*Assumptions!$B$27*(IF(C314&lt;=0,0,MAX(0,(B314/C314)*G314/INDEX(Surface_Engine!$B$12:$B$72,$A314+1)-F314/INDEX(Surface_Engine!$B$12:$B$72,$A314+1))))*(MAX(0,J314/INDEX(Surface_Engine!$B$12:$B$72,$A314+1)-(F314/INDEX(Surface_Engine!$B$12:$B$72,$A314+1))))+2*Assumptions!$B$28*(MAX(IF(D314&lt;=0,0,MAX(0,(B314/D314)*H314/INDEX(Surface_Engine!$B$12:$B$72,$A314+1)-F314/INDEX(Surface_Engine!$B$12:$B$72,$A314+1))),IF(E314&lt;=0,0,MAX(0,(B314/E314)*I314/INDEX(Surface_Engine!$B$12:$B$72,$A314+1)-F314/INDEX(Surface_Engine!$B$12:$B$72,$A314+1))),IF($A314&lt;$Q$258,MAX(0,-Assumptions!$B$22*(F314/INDEX(Surface_Engine!$B$12:$B$72,$A314+1))),0)))*(MAX(0,J314/INDEX(Surface_Engine!$B$12:$B$72,$A314+1)-(F314/INDEX(Surface_Engine!$B$12:$B$72,$A314+1)))))</f>
        <v>0.232306403575521</v>
      </c>
      <c r="L314" s="48" t="n">
        <f aca="false">K314*INDEX(Surface_Engine!$B$12:$B$72,$A314+1)+L315</f>
        <v>0.0585774870422598</v>
      </c>
      <c r="M314" s="48" t="n">
        <f aca="false">M313+B313*(IF($A313&lt;$Q$258,(Surface_Engine!B239*12)-(Surface_Engine!B239*12)*INDEX(Surface_Engine!$F$12:$F$72,$A313+1)-INDEX(Surface_Engine!$D$12:$D$72,$A313+1),-(1000*12*INDEX(Surface_Engine!$C$12:$C$72,$A313+1)/(1+Assumptions!$B$10)^12+INDEX(Surface_Engine!$D$12:$D$72,$A313+1))))*INDEX(Surface_Engine!$B$12:$B$72,$A313+1)</f>
        <v>3535.22951503488</v>
      </c>
      <c r="N314" s="12" t="n">
        <f aca="false">IF(B314&lt;=0,0,MAX(0,(K314+Assumptions!$B$29*L314/INDEX(Surface_Engine!$B$12:$B$72,$A314+1)-(M314/INDEX(Surface_Engine!$B$12:$B$72,$A314+1)-(F314/INDEX(Surface_Engine!$B$12:$B$72,$A314+1))))/B314))</f>
        <v>0</v>
      </c>
    </row>
    <row r="315" customFormat="false" ht="15" hidden="false" customHeight="true" outlineLevel="0" collapsed="false">
      <c r="A315" s="1" t="n">
        <v>55</v>
      </c>
      <c r="B315" s="32" t="n">
        <f aca="false">INDEX(Surface_Engine!$J$12:$J$72,$A315+1)*IF($A315&lt;$Q$258,INDEX(Surface_Engine!$E$12:$E$72,$A315+1),INDEX(Surface_Engine!$E$12:$E$72,$Q$258+1))</f>
        <v>1.23177377901889E-005</v>
      </c>
      <c r="C315" s="32" t="n">
        <f aca="false">INDEX(Panel_Reserving!$C$8:$C$68,$A315+1)*IF($A315&lt;$Q$258,INDEX(Surface_Engine!$E$12:$E$72,$A315+1),INDEX(Surface_Engine!$E$12:$E$72,$Q$258+1))</f>
        <v>0.000186855223103027</v>
      </c>
      <c r="D315" s="32" t="n">
        <f aca="false">INDEX(Surface_Engine!$J$12:$J$72,$A315+1)*IF($A315&lt;$Q$258,INDEX(Surface_Engine!$Y$12:$Y$72,$A315+1),INDEX(Surface_Engine!$Y$12:$Y$72,$Q$258+1))</f>
        <v>1.13135112939371E-005</v>
      </c>
      <c r="E315" s="32" t="n">
        <f aca="false">INDEX(Surface_Engine!$J$12:$J$72,$A315+1)*IF($A315&lt;$Q$258,INDEX(Surface_Engine!$Z$12:$Z$72,$A315+1),INDEX(Surface_Engine!$Z$12:$Z$72,$Q$258+1))</f>
        <v>1.33996455992725E-005</v>
      </c>
      <c r="F315" s="48" t="n">
        <f aca="false">B315*(IF($A315&lt;$Q$258,INDEX(Surface_Engine!$D$12:$D$72,$A315+1)+(Surface_Engine!B239*12)*INDEX(Surface_Engine!$F$12:$F$72,$A315+1)-(Surface_Engine!B239*12),1000*12*INDEX(Surface_Engine!$C$12:$C$72,$A315+1)/(1+Assumptions!$B$10)^12+INDEX(Surface_Engine!$D$12:$D$72,$A315+1)))*INDEX(Surface_Engine!$B$12:$B$72,$A315+1)+F316</f>
        <v>0.0971054019294638</v>
      </c>
      <c r="G315" s="48" t="n">
        <f aca="false">C315*(IF($A315&lt;$Q$258,INDEX(Surface_Engine!$D$12:$D$72,$A315+1)+(Surface_Engine!B239*12)*INDEX(Surface_Engine!$F$12:$F$72,$A315+1)-(Surface_Engine!B239*12),1000*12*INDEX(Surface_Engine!$C$12:$C$72,$A315+1)/(1+Assumptions!$B$10)^12+INDEX(Surface_Engine!$D$12:$D$72,$A315+1)))*INDEX(Surface_Engine!$B$12:$B$72,$A315+1)+G316</f>
        <v>1.67930833513799</v>
      </c>
      <c r="H315" s="48" t="n">
        <f aca="false">D315*(IF($A315&lt;$Q$258,INDEX(Surface_Engine!$D$12:$D$72,$A315+1)+(Surface_Engine!B239*12)*INDEX(Surface_Engine!$F$12:$F$72,$A315+1)-(Surface_Engine!B239*12),1000*12*INDEX(Surface_Engine!$C$12:$C$72,$A315+1)/(1+Assumptions!$B$10)^12+INDEX(Surface_Engine!$D$12:$D$72,$A315+1)))*INDEX(Surface_Engine!$B$12:$B$72,$A315+1)+H316</f>
        <v>0.089188703327191</v>
      </c>
      <c r="I315" s="48" t="n">
        <f aca="false">E315*(IF($A315&lt;$Q$258,INDEX(Surface_Engine!$D$12:$D$72,$A315+1)+(Surface_Engine!B239*12)*INDEX(Surface_Engine!$F$12:$F$72,$A315+1)-(Surface_Engine!B239*12),1000*12*INDEX(Surface_Engine!$C$12:$C$72,$A315+1)/(1+Assumptions!$B$10)^12+INDEX(Surface_Engine!$D$12:$D$72,$A315+1)))*INDEX(Surface_Engine!$B$12:$B$72,$A315+1)+I316</f>
        <v>0.105634491803042</v>
      </c>
      <c r="J315" s="48" t="n">
        <f aca="false">B315*(IF($A315&lt;$Q$258,INDEX(Surface_Engine!$D$12:$D$72,$A315+1)*(1+Assumptions!$B$24)+(Surface_Engine!B239*12)*INDEX(Surface_Engine!$F$12:$F$72,$A315+1)-(Surface_Engine!B239*12),1000*12*INDEX(Surface_Engine!$C$12:$C$72,$A315+1)/(1+Assumptions!$B$10)^12+INDEX(Surface_Engine!$D$12:$D$72,$A315+1)*(1+Assumptions!$B$24)))*INDEX(Surface_Engine!$B$12:$B$72,$A315+1)+J316</f>
        <v>0.0972145420707617</v>
      </c>
      <c r="K315" s="12" t="n">
        <f aca="false">SQRT((IF(C315&lt;=0,0,MAX(0,(B315/C315)*G315/INDEX(Surface_Engine!$B$12:$B$72,$A315+1)-F315/INDEX(Surface_Engine!$B$12:$B$72,$A315+1))))^2+(MAX(IF(D315&lt;=0,0,MAX(0,(B315/D315)*H315/INDEX(Surface_Engine!$B$12:$B$72,$A315+1)-F315/INDEX(Surface_Engine!$B$12:$B$72,$A315+1))),IF(E315&lt;=0,0,MAX(0,(B315/E315)*I315/INDEX(Surface_Engine!$B$12:$B$72,$A315+1)-F315/INDEX(Surface_Engine!$B$12:$B$72,$A315+1))),IF($A315&lt;$Q$258,MAX(0,-Assumptions!$B$22*(F315/INDEX(Surface_Engine!$B$12:$B$72,$A315+1))),0)))^2+(MAX(0,J315/INDEX(Surface_Engine!$B$12:$B$72,$A315+1)-(F315/INDEX(Surface_Engine!$B$12:$B$72,$A315+1))))^2+2*Assumptions!$B$26*(IF(C315&lt;=0,0,MAX(0,(B315/C315)*G315/INDEX(Surface_Engine!$B$12:$B$72,$A315+1)-F315/INDEX(Surface_Engine!$B$12:$B$72,$A315+1))))*(MAX(IF(D315&lt;=0,0,MAX(0,(B315/D315)*H315/INDEX(Surface_Engine!$B$12:$B$72,$A315+1)-F315/INDEX(Surface_Engine!$B$12:$B$72,$A315+1))),IF(E315&lt;=0,0,MAX(0,(B315/E315)*I315/INDEX(Surface_Engine!$B$12:$B$72,$A315+1)-F315/INDEX(Surface_Engine!$B$12:$B$72,$A315+1))),IF($A315&lt;$Q$258,MAX(0,-Assumptions!$B$22*(F315/INDEX(Surface_Engine!$B$12:$B$72,$A315+1))),0)))+2*Assumptions!$B$27*(IF(C315&lt;=0,0,MAX(0,(B315/C315)*G315/INDEX(Surface_Engine!$B$12:$B$72,$A315+1)-F315/INDEX(Surface_Engine!$B$12:$B$72,$A315+1))))*(MAX(0,J315/INDEX(Surface_Engine!$B$12:$B$72,$A315+1)-(F315/INDEX(Surface_Engine!$B$12:$B$72,$A315+1))))+2*Assumptions!$B$28*(MAX(IF(D315&lt;=0,0,MAX(0,(B315/D315)*H315/INDEX(Surface_Engine!$B$12:$B$72,$A315+1)-F315/INDEX(Surface_Engine!$B$12:$B$72,$A315+1))),IF(E315&lt;=0,0,MAX(0,(B315/E315)*I315/INDEX(Surface_Engine!$B$12:$B$72,$A315+1)-F315/INDEX(Surface_Engine!$B$12:$B$72,$A315+1))),IF($A315&lt;$Q$258,MAX(0,-Assumptions!$B$22*(F315/INDEX(Surface_Engine!$B$12:$B$72,$A315+1))),0)))*(MAX(0,J315/INDEX(Surface_Engine!$B$12:$B$72,$A315+1)-(F315/INDEX(Surface_Engine!$B$12:$B$72,$A315+1)))))</f>
        <v>0.0779461018646561</v>
      </c>
      <c r="L315" s="48" t="n">
        <f aca="false">K315*INDEX(Surface_Engine!$B$12:$B$72,$A315+1)+L316</f>
        <v>0.0166416009679329</v>
      </c>
      <c r="M315" s="48" t="n">
        <f aca="false">M314+B314*(IF($A314&lt;$Q$258,(Surface_Engine!B239*12)-(Surface_Engine!B239*12)*INDEX(Surface_Engine!$F$12:$F$72,$A314+1)-INDEX(Surface_Engine!$D$12:$D$72,$A314+1),-(1000*12*INDEX(Surface_Engine!$C$12:$C$72,$A314+1)/(1+Assumptions!$B$10)^12+INDEX(Surface_Engine!$D$12:$D$72,$A314+1))))*INDEX(Surface_Engine!$B$12:$B$72,$A314+1)</f>
        <v>3535.08836976903</v>
      </c>
      <c r="N315" s="12" t="n">
        <f aca="false">IF(B315&lt;=0,0,MAX(0,(K315+Assumptions!$B$29*L315/INDEX(Surface_Engine!$B$12:$B$72,$A315+1)-(M315/INDEX(Surface_Engine!$B$12:$B$72,$A315+1)-(F315/INDEX(Surface_Engine!$B$12:$B$72,$A315+1))))/B315))</f>
        <v>0</v>
      </c>
    </row>
    <row r="316" customFormat="false" ht="15" hidden="false" customHeight="true" outlineLevel="0" collapsed="false">
      <c r="A316" s="1" t="n">
        <v>56</v>
      </c>
      <c r="B316" s="32" t="n">
        <f aca="false">INDEX(Surface_Engine!$J$12:$J$72,$A316+1)*IF($A316&lt;$Q$258,INDEX(Surface_Engine!$E$12:$E$72,$A316+1),INDEX(Surface_Engine!$E$12:$E$72,$Q$258+1))</f>
        <v>5.21141318650214E-006</v>
      </c>
      <c r="C316" s="32" t="n">
        <f aca="false">INDEX(Panel_Reserving!$C$8:$C$68,$A316+1)*IF($A316&lt;$Q$258,INDEX(Surface_Engine!$E$12:$E$72,$A316+1),INDEX(Surface_Engine!$E$12:$E$72,$Q$258+1))</f>
        <v>0.00010061511038869</v>
      </c>
      <c r="D316" s="32" t="n">
        <f aca="false">INDEX(Surface_Engine!$J$12:$J$72,$A316+1)*IF($A316&lt;$Q$258,INDEX(Surface_Engine!$Y$12:$Y$72,$A316+1),INDEX(Surface_Engine!$Y$12:$Y$72,$Q$258+1))</f>
        <v>4.78654302820325E-006</v>
      </c>
      <c r="E316" s="32" t="n">
        <f aca="false">INDEX(Surface_Engine!$J$12:$J$72,$A316+1)*IF($A316&lt;$Q$258,INDEX(Surface_Engine!$Z$12:$Z$72,$A316+1),INDEX(Surface_Engine!$Z$12:$Z$72,$Q$258+1))</f>
        <v>5.66914891029135E-006</v>
      </c>
      <c r="F316" s="48" t="n">
        <f aca="false">B316*(IF($A316&lt;$Q$258,INDEX(Surface_Engine!$D$12:$D$72,$A316+1)+(Surface_Engine!B239*12)*INDEX(Surface_Engine!$F$12:$F$72,$A316+1)-(Surface_Engine!B239*12),1000*12*INDEX(Surface_Engine!$C$12:$C$72,$A316+1)/(1+Assumptions!$B$10)^12+INDEX(Surface_Engine!$D$12:$D$72,$A316+1)))*INDEX(Surface_Engine!$B$12:$B$72,$A316+1)+F317</f>
        <v>0.0358785088451013</v>
      </c>
      <c r="G316" s="48" t="n">
        <f aca="false">C316*(IF($A316&lt;$Q$258,INDEX(Surface_Engine!$D$12:$D$72,$A316+1)+(Surface_Engine!B239*12)*INDEX(Surface_Engine!$F$12:$F$72,$A316+1)-(Surface_Engine!B239*12),1000*12*INDEX(Surface_Engine!$C$12:$C$72,$A316+1)/(1+Assumptions!$B$10)^12+INDEX(Surface_Engine!$D$12:$D$72,$A316+1)))*INDEX(Surface_Engine!$B$12:$B$72,$A316+1)+G317</f>
        <v>0.75052052019553</v>
      </c>
      <c r="H316" s="48" t="n">
        <f aca="false">D316*(IF($A316&lt;$Q$258,INDEX(Surface_Engine!$D$12:$D$72,$A316+1)+(Surface_Engine!B239*12)*INDEX(Surface_Engine!$F$12:$F$72,$A316+1)-(Surface_Engine!B239*12),1000*12*INDEX(Surface_Engine!$C$12:$C$72,$A316+1)/(1+Assumptions!$B$10)^12+INDEX(Surface_Engine!$D$12:$D$72,$A316+1)))*INDEX(Surface_Engine!$B$12:$B$72,$A316+1)+H317</f>
        <v>0.0329534466427742</v>
      </c>
      <c r="I316" s="48" t="n">
        <f aca="false">E316*(IF($A316&lt;$Q$258,INDEX(Surface_Engine!$D$12:$D$72,$A316+1)+(Surface_Engine!B239*12)*INDEX(Surface_Engine!$F$12:$F$72,$A316+1)-(Surface_Engine!B239*12),1000*12*INDEX(Surface_Engine!$C$12:$C$72,$A316+1)/(1+Assumptions!$B$10)^12+INDEX(Surface_Engine!$D$12:$D$72,$A316+1)))*INDEX(Surface_Engine!$B$12:$B$72,$A316+1)+I317</f>
        <v>0.0390298374055052</v>
      </c>
      <c r="J316" s="48" t="n">
        <f aca="false">B316*(IF($A316&lt;$Q$258,INDEX(Surface_Engine!$D$12:$D$72,$A316+1)*(1+Assumptions!$B$24)+(Surface_Engine!B239*12)*INDEX(Surface_Engine!$F$12:$F$72,$A316+1)-(Surface_Engine!B239*12),1000*12*INDEX(Surface_Engine!$C$12:$C$72,$A316+1)/(1+Assumptions!$B$10)^12+INDEX(Surface_Engine!$D$12:$D$72,$A316+1)*(1+Assumptions!$B$24)))*INDEX(Surface_Engine!$B$12:$B$72,$A316+1)+J317</f>
        <v>0.0359189923414483</v>
      </c>
      <c r="K316" s="12" t="n">
        <f aca="false">SQRT((IF(C316&lt;=0,0,MAX(0,(B316/C316)*G316/INDEX(Surface_Engine!$B$12:$B$72,$A316+1)-F316/INDEX(Surface_Engine!$B$12:$B$72,$A316+1))))^2+(MAX(IF(D316&lt;=0,0,MAX(0,(B316/D316)*H316/INDEX(Surface_Engine!$B$12:$B$72,$A316+1)-F316/INDEX(Surface_Engine!$B$12:$B$72,$A316+1))),IF(E316&lt;=0,0,MAX(0,(B316/E316)*I316/INDEX(Surface_Engine!$B$12:$B$72,$A316+1)-F316/INDEX(Surface_Engine!$B$12:$B$72,$A316+1))),IF($A316&lt;$Q$258,MAX(0,-Assumptions!$B$22*(F316/INDEX(Surface_Engine!$B$12:$B$72,$A316+1))),0)))^2+(MAX(0,J316/INDEX(Surface_Engine!$B$12:$B$72,$A316+1)-(F316/INDEX(Surface_Engine!$B$12:$B$72,$A316+1))))^2+2*Assumptions!$B$26*(IF(C316&lt;=0,0,MAX(0,(B316/C316)*G316/INDEX(Surface_Engine!$B$12:$B$72,$A316+1)-F316/INDEX(Surface_Engine!$B$12:$B$72,$A316+1))))*(MAX(IF(D316&lt;=0,0,MAX(0,(B316/D316)*H316/INDEX(Surface_Engine!$B$12:$B$72,$A316+1)-F316/INDEX(Surface_Engine!$B$12:$B$72,$A316+1))),IF(E316&lt;=0,0,MAX(0,(B316/E316)*I316/INDEX(Surface_Engine!$B$12:$B$72,$A316+1)-F316/INDEX(Surface_Engine!$B$12:$B$72,$A316+1))),IF($A316&lt;$Q$258,MAX(0,-Assumptions!$B$22*(F316/INDEX(Surface_Engine!$B$12:$B$72,$A316+1))),0)))+2*Assumptions!$B$27*(IF(C316&lt;=0,0,MAX(0,(B316/C316)*G316/INDEX(Surface_Engine!$B$12:$B$72,$A316+1)-F316/INDEX(Surface_Engine!$B$12:$B$72,$A316+1))))*(MAX(0,J316/INDEX(Surface_Engine!$B$12:$B$72,$A316+1)-(F316/INDEX(Surface_Engine!$B$12:$B$72,$A316+1))))+2*Assumptions!$B$28*(MAX(IF(D316&lt;=0,0,MAX(0,(B316/D316)*H316/INDEX(Surface_Engine!$B$12:$B$72,$A316+1)-F316/INDEX(Surface_Engine!$B$12:$B$72,$A316+1))),IF(E316&lt;=0,0,MAX(0,(B316/E316)*I316/INDEX(Surface_Engine!$B$12:$B$72,$A316+1)-F316/INDEX(Surface_Engine!$B$12:$B$72,$A316+1))),IF($A316&lt;$Q$258,MAX(0,-Assumptions!$B$22*(F316/INDEX(Surface_Engine!$B$12:$B$72,$A316+1))),0)))*(MAX(0,J316/INDEX(Surface_Engine!$B$12:$B$72,$A316+1)-(F316/INDEX(Surface_Engine!$B$12:$B$72,$A316+1)))))</f>
        <v>0.0177580868306653</v>
      </c>
      <c r="L316" s="48" t="n">
        <f aca="false">K316*INDEX(Surface_Engine!$B$12:$B$72,$A316+1)+L317</f>
        <v>0.00301713232377078</v>
      </c>
      <c r="M316" s="48" t="n">
        <f aca="false">M315+B315*(IF($A315&lt;$Q$258,(Surface_Engine!B239*12)-(Surface_Engine!B239*12)*INDEX(Surface_Engine!$F$12:$F$72,$A315+1)-INDEX(Surface_Engine!$D$12:$D$72,$A315+1),-(1000*12*INDEX(Surface_Engine!$C$12:$C$72,$A315+1)/(1+Assumptions!$B$10)^12+INDEX(Surface_Engine!$D$12:$D$72,$A315+1))))*INDEX(Surface_Engine!$B$12:$B$72,$A315+1)</f>
        <v>3535.02714287594</v>
      </c>
      <c r="N316" s="12" t="n">
        <f aca="false">IF(B316&lt;=0,0,MAX(0,(K316+Assumptions!$B$29*L316/INDEX(Surface_Engine!$B$12:$B$72,$A316+1)-(M316/INDEX(Surface_Engine!$B$12:$B$72,$A316+1)-(F316/INDEX(Surface_Engine!$B$12:$B$72,$A316+1))))/B316))</f>
        <v>0</v>
      </c>
    </row>
    <row r="317" customFormat="false" ht="15" hidden="false" customHeight="true" outlineLevel="0" collapsed="false">
      <c r="A317" s="1" t="n">
        <v>57</v>
      </c>
      <c r="B317" s="32" t="n">
        <f aca="false">INDEX(Surface_Engine!$J$12:$J$72,$A317+1)*IF($A317&lt;$Q$258,INDEX(Surface_Engine!$E$12:$E$72,$A317+1),INDEX(Surface_Engine!$E$12:$E$72,$Q$258+1))</f>
        <v>2.12292340699378E-006</v>
      </c>
      <c r="C317" s="32" t="n">
        <f aca="false">INDEX(Panel_Reserving!$C$8:$C$68,$A317+1)*IF($A317&lt;$Q$258,INDEX(Surface_Engine!$E$12:$E$72,$A317+1),INDEX(Surface_Engine!$E$12:$E$72,$Q$258+1))</f>
        <v>5.29123120913789E-005</v>
      </c>
      <c r="D317" s="32" t="n">
        <f aca="false">INDEX(Surface_Engine!$J$12:$J$72,$A317+1)*IF($A317&lt;$Q$258,INDEX(Surface_Engine!$Y$12:$Y$72,$A317+1),INDEX(Surface_Engine!$Y$12:$Y$72,$Q$258+1))</f>
        <v>1.94984812554766E-006</v>
      </c>
      <c r="E317" s="32" t="n">
        <f aca="false">INDEX(Surface_Engine!$J$12:$J$72,$A317+1)*IF($A317&lt;$Q$258,INDEX(Surface_Engine!$Z$12:$Z$72,$A317+1),INDEX(Surface_Engine!$Z$12:$Z$72,$Q$258+1))</f>
        <v>2.30938681863924E-006</v>
      </c>
      <c r="F317" s="48" t="n">
        <f aca="false">B317*(IF($A317&lt;$Q$258,INDEX(Surface_Engine!$D$12:$D$72,$A317+1)+(Surface_Engine!B239*12)*INDEX(Surface_Engine!$F$12:$F$72,$A317+1)-(Surface_Engine!B239*12),1000*12*INDEX(Surface_Engine!$C$12:$C$72,$A317+1)/(1+Assumptions!$B$10)^12+INDEX(Surface_Engine!$D$12:$D$72,$A317+1)))*INDEX(Surface_Engine!$B$12:$B$72,$A317+1)+F318</f>
        <v>0.0102936552496041</v>
      </c>
      <c r="G317" s="48" t="n">
        <f aca="false">C317*(IF($A317&lt;$Q$258,INDEX(Surface_Engine!$D$12:$D$72,$A317+1)+(Surface_Engine!B239*12)*INDEX(Surface_Engine!$F$12:$F$72,$A317+1)-(Surface_Engine!B239*12),1000*12*INDEX(Surface_Engine!$C$12:$C$72,$A317+1)/(1+Assumptions!$B$10)^12+INDEX(Surface_Engine!$D$12:$D$72,$A317+1)))*INDEX(Surface_Engine!$B$12:$B$72,$A317+1)+G318</f>
        <v>0.256561822877725</v>
      </c>
      <c r="H317" s="48" t="n">
        <f aca="false">D317*(IF($A317&lt;$Q$258,INDEX(Surface_Engine!$D$12:$D$72,$A317+1)+(Surface_Engine!B239*12)*INDEX(Surface_Engine!$F$12:$F$72,$A317+1)-(Surface_Engine!B239*12),1000*12*INDEX(Surface_Engine!$C$12:$C$72,$A317+1)/(1+Assumptions!$B$10)^12+INDEX(Surface_Engine!$D$12:$D$72,$A317+1)))*INDEX(Surface_Engine!$B$12:$B$72,$A317+1)+H318</f>
        <v>0.00945444584922478</v>
      </c>
      <c r="I317" s="48" t="n">
        <f aca="false">E317*(IF($A317&lt;$Q$258,INDEX(Surface_Engine!$D$12:$D$72,$A317+1)+(Surface_Engine!B239*12)*INDEX(Surface_Engine!$F$12:$F$72,$A317+1)-(Surface_Engine!B239*12),1000*12*INDEX(Surface_Engine!$C$12:$C$72,$A317+1)/(1+Assumptions!$B$10)^12+INDEX(Surface_Engine!$D$12:$D$72,$A317+1)))*INDEX(Surface_Engine!$B$12:$B$72,$A317+1)+I318</f>
        <v>0.0111977811685234</v>
      </c>
      <c r="J317" s="48" t="n">
        <f aca="false">B317*(IF($A317&lt;$Q$258,INDEX(Surface_Engine!$D$12:$D$72,$A317+1)*(1+Assumptions!$B$24)+(Surface_Engine!B239*12)*INDEX(Surface_Engine!$F$12:$F$72,$A317+1)-(Surface_Engine!B239*12),1000*12*INDEX(Surface_Engine!$C$12:$C$72,$A317+1)/(1+Assumptions!$B$10)^12+INDEX(Surface_Engine!$D$12:$D$72,$A317+1)*(1+Assumptions!$B$24)))*INDEX(Surface_Engine!$B$12:$B$72,$A317+1)+J318</f>
        <v>0.0103053101751123</v>
      </c>
      <c r="K317" s="12" t="n">
        <f aca="false">SQRT((IF(C317&lt;=0,0,MAX(0,(B317/C317)*G317/INDEX(Surface_Engine!$B$12:$B$72,$A317+1)-F317/INDEX(Surface_Engine!$B$12:$B$72,$A317+1))))^2+(MAX(IF(D317&lt;=0,0,MAX(0,(B317/D317)*H317/INDEX(Surface_Engine!$B$12:$B$72,$A317+1)-F317/INDEX(Surface_Engine!$B$12:$B$72,$A317+1))),IF(E317&lt;=0,0,MAX(0,(B317/E317)*I317/INDEX(Surface_Engine!$B$12:$B$72,$A317+1)-F317/INDEX(Surface_Engine!$B$12:$B$72,$A317+1))),IF($A317&lt;$Q$258,MAX(0,-Assumptions!$B$22*(F317/INDEX(Surface_Engine!$B$12:$B$72,$A317+1))),0)))^2+(MAX(0,J317/INDEX(Surface_Engine!$B$12:$B$72,$A317+1)-(F317/INDEX(Surface_Engine!$B$12:$B$72,$A317+1))))^2+2*Assumptions!$B$26*(IF(C317&lt;=0,0,MAX(0,(B317/C317)*G317/INDEX(Surface_Engine!$B$12:$B$72,$A317+1)-F317/INDEX(Surface_Engine!$B$12:$B$72,$A317+1))))*(MAX(IF(D317&lt;=0,0,MAX(0,(B317/D317)*H317/INDEX(Surface_Engine!$B$12:$B$72,$A317+1)-F317/INDEX(Surface_Engine!$B$12:$B$72,$A317+1))),IF(E317&lt;=0,0,MAX(0,(B317/E317)*I317/INDEX(Surface_Engine!$B$12:$B$72,$A317+1)-F317/INDEX(Surface_Engine!$B$12:$B$72,$A317+1))),IF($A317&lt;$Q$258,MAX(0,-Assumptions!$B$22*(F317/INDEX(Surface_Engine!$B$12:$B$72,$A317+1))),0)))+2*Assumptions!$B$27*(IF(C317&lt;=0,0,MAX(0,(B317/C317)*G317/INDEX(Surface_Engine!$B$12:$B$72,$A317+1)-F317/INDEX(Surface_Engine!$B$12:$B$72,$A317+1))))*(MAX(0,J317/INDEX(Surface_Engine!$B$12:$B$72,$A317+1)-(F317/INDEX(Surface_Engine!$B$12:$B$72,$A317+1))))+2*Assumptions!$B$28*(MAX(IF(D317&lt;=0,0,MAX(0,(B317/D317)*H317/INDEX(Surface_Engine!$B$12:$B$72,$A317+1)-F317/INDEX(Surface_Engine!$B$12:$B$72,$A317+1))),IF(E317&lt;=0,0,MAX(0,(B317/E317)*I317/INDEX(Surface_Engine!$B$12:$B$72,$A317+1)-F317/INDEX(Surface_Engine!$B$12:$B$72,$A317+1))),IF($A317&lt;$Q$258,MAX(0,-Assumptions!$B$22*(F317/INDEX(Surface_Engine!$B$12:$B$72,$A317+1))),0)))*(MAX(0,J317/INDEX(Surface_Engine!$B$12:$B$72,$A317+1)-(F317/INDEX(Surface_Engine!$B$12:$B$72,$A317+1)))))</f>
        <v>7.11227442226209E-005</v>
      </c>
      <c r="L317" s="48" t="n">
        <f aca="false">K317*INDEX(Surface_Engine!$B$12:$B$72,$A317+1)+L318</f>
        <v>1.16549255082151E-005</v>
      </c>
      <c r="M317" s="48" t="n">
        <f aca="false">M316+B316*(IF($A316&lt;$Q$258,(Surface_Engine!B239*12)-(Surface_Engine!B239*12)*INDEX(Surface_Engine!$F$12:$F$72,$A316+1)-INDEX(Surface_Engine!$D$12:$D$72,$A316+1),-(1000*12*INDEX(Surface_Engine!$C$12:$C$72,$A316+1)/(1+Assumptions!$B$10)^12+INDEX(Surface_Engine!$D$12:$D$72,$A316+1))))*INDEX(Surface_Engine!$B$12:$B$72,$A316+1)</f>
        <v>3535.00155802235</v>
      </c>
      <c r="N317" s="12" t="n">
        <f aca="false">IF(B317&lt;=0,0,MAX(0,(K317+Assumptions!$B$29*L317/INDEX(Surface_Engine!$B$12:$B$72,$A317+1)-(M317/INDEX(Surface_Engine!$B$12:$B$72,$A317+1)-(F317/INDEX(Surface_Engine!$B$12:$B$72,$A317+1))))/B317))</f>
        <v>0</v>
      </c>
    </row>
    <row r="318" customFormat="false" ht="15" hidden="false" customHeight="true" outlineLevel="0" collapsed="false">
      <c r="A318" s="1" t="n">
        <v>58</v>
      </c>
      <c r="B318" s="32" t="n">
        <f aca="false">INDEX(Surface_Engine!$J$12:$J$72,$A318+1)*IF($A318&lt;$Q$258,INDEX(Surface_Engine!$E$12:$E$72,$A318+1),INDEX(Surface_Engine!$E$12:$E$72,$Q$258+1))</f>
        <v>0</v>
      </c>
      <c r="C318" s="32" t="n">
        <f aca="false">INDEX(Panel_Reserving!$C$8:$C$68,$A318+1)*IF($A318&lt;$Q$258,INDEX(Surface_Engine!$E$12:$E$72,$A318+1),INDEX(Surface_Engine!$E$12:$E$72,$Q$258+1))</f>
        <v>0</v>
      </c>
      <c r="D318" s="32" t="n">
        <f aca="false">INDEX(Surface_Engine!$J$12:$J$72,$A318+1)*IF($A318&lt;$Q$258,INDEX(Surface_Engine!$Y$12:$Y$72,$A318+1),INDEX(Surface_Engine!$Y$12:$Y$72,$Q$258+1))</f>
        <v>0</v>
      </c>
      <c r="E318" s="32" t="n">
        <f aca="false">INDEX(Surface_Engine!$J$12:$J$72,$A318+1)*IF($A318&lt;$Q$258,INDEX(Surface_Engine!$Z$12:$Z$72,$A318+1),INDEX(Surface_Engine!$Z$12:$Z$72,$Q$258+1))</f>
        <v>0</v>
      </c>
      <c r="F318" s="48" t="n">
        <f aca="false">B318*(IF($A318&lt;$Q$258,INDEX(Surface_Engine!$D$12:$D$72,$A318+1)+(Surface_Engine!B239*12)*INDEX(Surface_Engine!$F$12:$F$72,$A318+1)-(Surface_Engine!B239*12),1000*12*INDEX(Surface_Engine!$C$12:$C$72,$A318+1)/(1+Assumptions!$B$10)^12+INDEX(Surface_Engine!$D$12:$D$72,$A318+1)))*INDEX(Surface_Engine!$B$12:$B$72,$A318+1)+F319</f>
        <v>0</v>
      </c>
      <c r="G318" s="48" t="n">
        <f aca="false">C318*(IF($A318&lt;$Q$258,INDEX(Surface_Engine!$D$12:$D$72,$A318+1)+(Surface_Engine!B239*12)*INDEX(Surface_Engine!$F$12:$F$72,$A318+1)-(Surface_Engine!B239*12),1000*12*INDEX(Surface_Engine!$C$12:$C$72,$A318+1)/(1+Assumptions!$B$10)^12+INDEX(Surface_Engine!$D$12:$D$72,$A318+1)))*INDEX(Surface_Engine!$B$12:$B$72,$A318+1)+G319</f>
        <v>0</v>
      </c>
      <c r="H318" s="48" t="n">
        <f aca="false">D318*(IF($A318&lt;$Q$258,INDEX(Surface_Engine!$D$12:$D$72,$A318+1)+(Surface_Engine!B239*12)*INDEX(Surface_Engine!$F$12:$F$72,$A318+1)-(Surface_Engine!B239*12),1000*12*INDEX(Surface_Engine!$C$12:$C$72,$A318+1)/(1+Assumptions!$B$10)^12+INDEX(Surface_Engine!$D$12:$D$72,$A318+1)))*INDEX(Surface_Engine!$B$12:$B$72,$A318+1)+H319</f>
        <v>0</v>
      </c>
      <c r="I318" s="48" t="n">
        <f aca="false">E318*(IF($A318&lt;$Q$258,INDEX(Surface_Engine!$D$12:$D$72,$A318+1)+(Surface_Engine!B239*12)*INDEX(Surface_Engine!$F$12:$F$72,$A318+1)-(Surface_Engine!B239*12),1000*12*INDEX(Surface_Engine!$C$12:$C$72,$A318+1)/(1+Assumptions!$B$10)^12+INDEX(Surface_Engine!$D$12:$D$72,$A318+1)))*INDEX(Surface_Engine!$B$12:$B$72,$A318+1)+I319</f>
        <v>0</v>
      </c>
      <c r="J318" s="48" t="n">
        <f aca="false">B318*(IF($A318&lt;$Q$258,INDEX(Surface_Engine!$D$12:$D$72,$A318+1)*(1+Assumptions!$B$24)+(Surface_Engine!B239*12)*INDEX(Surface_Engine!$F$12:$F$72,$A318+1)-(Surface_Engine!B239*12),1000*12*INDEX(Surface_Engine!$C$12:$C$72,$A318+1)/(1+Assumptions!$B$10)^12+INDEX(Surface_Engine!$D$12:$D$72,$A318+1)*(1+Assumptions!$B$24)))*INDEX(Surface_Engine!$B$12:$B$72,$A318+1)+J319</f>
        <v>0</v>
      </c>
      <c r="K318" s="12" t="n">
        <f aca="false">SQRT((IF(C318&lt;=0,0,MAX(0,(B318/C318)*G318/INDEX(Surface_Engine!$B$12:$B$72,$A318+1)-F318/INDEX(Surface_Engine!$B$12:$B$72,$A318+1))))^2+(MAX(IF(D318&lt;=0,0,MAX(0,(B318/D318)*H318/INDEX(Surface_Engine!$B$12:$B$72,$A318+1)-F318/INDEX(Surface_Engine!$B$12:$B$72,$A318+1))),IF(E318&lt;=0,0,MAX(0,(B318/E318)*I318/INDEX(Surface_Engine!$B$12:$B$72,$A318+1)-F318/INDEX(Surface_Engine!$B$12:$B$72,$A318+1))),IF($A318&lt;$Q$258,MAX(0,-Assumptions!$B$22*(F318/INDEX(Surface_Engine!$B$12:$B$72,$A318+1))),0)))^2+(MAX(0,J318/INDEX(Surface_Engine!$B$12:$B$72,$A318+1)-(F318/INDEX(Surface_Engine!$B$12:$B$72,$A318+1))))^2+2*Assumptions!$B$26*(IF(C318&lt;=0,0,MAX(0,(B318/C318)*G318/INDEX(Surface_Engine!$B$12:$B$72,$A318+1)-F318/INDEX(Surface_Engine!$B$12:$B$72,$A318+1))))*(MAX(IF(D318&lt;=0,0,MAX(0,(B318/D318)*H318/INDEX(Surface_Engine!$B$12:$B$72,$A318+1)-F318/INDEX(Surface_Engine!$B$12:$B$72,$A318+1))),IF(E318&lt;=0,0,MAX(0,(B318/E318)*I318/INDEX(Surface_Engine!$B$12:$B$72,$A318+1)-F318/INDEX(Surface_Engine!$B$12:$B$72,$A318+1))),IF($A318&lt;$Q$258,MAX(0,-Assumptions!$B$22*(F318/INDEX(Surface_Engine!$B$12:$B$72,$A318+1))),0)))+2*Assumptions!$B$27*(IF(C318&lt;=0,0,MAX(0,(B318/C318)*G318/INDEX(Surface_Engine!$B$12:$B$72,$A318+1)-F318/INDEX(Surface_Engine!$B$12:$B$72,$A318+1))))*(MAX(0,J318/INDEX(Surface_Engine!$B$12:$B$72,$A318+1)-(F318/INDEX(Surface_Engine!$B$12:$B$72,$A318+1))))+2*Assumptions!$B$28*(MAX(IF(D318&lt;=0,0,MAX(0,(B318/D318)*H318/INDEX(Surface_Engine!$B$12:$B$72,$A318+1)-F318/INDEX(Surface_Engine!$B$12:$B$72,$A318+1))),IF(E318&lt;=0,0,MAX(0,(B318/E318)*I318/INDEX(Surface_Engine!$B$12:$B$72,$A318+1)-F318/INDEX(Surface_Engine!$B$12:$B$72,$A318+1))),IF($A318&lt;$Q$258,MAX(0,-Assumptions!$B$22*(F318/INDEX(Surface_Engine!$B$12:$B$72,$A318+1))),0)))*(MAX(0,J318/INDEX(Surface_Engine!$B$12:$B$72,$A318+1)-(F318/INDEX(Surface_Engine!$B$12:$B$72,$A318+1)))))</f>
        <v>0</v>
      </c>
      <c r="L318" s="48" t="n">
        <f aca="false">K318*INDEX(Surface_Engine!$B$12:$B$72,$A318+1)+L319</f>
        <v>0</v>
      </c>
      <c r="M318" s="48" t="n">
        <f aca="false">M317+B317*(IF($A317&lt;$Q$258,(Surface_Engine!B239*12)-(Surface_Engine!B239*12)*INDEX(Surface_Engine!$F$12:$F$72,$A317+1)-INDEX(Surface_Engine!$D$12:$D$72,$A317+1),-(1000*12*INDEX(Surface_Engine!$C$12:$C$72,$A317+1)/(1+Assumptions!$B$10)^12+INDEX(Surface_Engine!$D$12:$D$72,$A317+1))))*INDEX(Surface_Engine!$B$12:$B$72,$A317+1)</f>
        <v>3534.9912643671</v>
      </c>
      <c r="N318" s="12" t="n">
        <f aca="false">IF(B318&lt;=0,0,MAX(0,(K318+Assumptions!$B$29*L318/INDEX(Surface_Engine!$B$12:$B$72,$A318+1)-(M318/INDEX(Surface_Engine!$B$12:$B$72,$A318+1)-(F318/INDEX(Surface_Engine!$B$12:$B$72,$A318+1))))/B318))</f>
        <v>0</v>
      </c>
    </row>
    <row r="319" customFormat="false" ht="15" hidden="false" customHeight="true" outlineLevel="0" collapsed="false">
      <c r="A319" s="1" t="n">
        <v>59</v>
      </c>
      <c r="B319" s="32" t="n">
        <f aca="false">INDEX(Surface_Engine!$J$12:$J$72,$A319+1)*IF($A319&lt;$Q$258,INDEX(Surface_Engine!$E$12:$E$72,$A319+1),INDEX(Surface_Engine!$E$12:$E$72,$Q$258+1))</f>
        <v>0</v>
      </c>
      <c r="C319" s="32" t="n">
        <f aca="false">INDEX(Panel_Reserving!$C$8:$C$68,$A319+1)*IF($A319&lt;$Q$258,INDEX(Surface_Engine!$E$12:$E$72,$A319+1),INDEX(Surface_Engine!$E$12:$E$72,$Q$258+1))</f>
        <v>0</v>
      </c>
      <c r="D319" s="32" t="n">
        <f aca="false">INDEX(Surface_Engine!$J$12:$J$72,$A319+1)*IF($A319&lt;$Q$258,INDEX(Surface_Engine!$Y$12:$Y$72,$A319+1),INDEX(Surface_Engine!$Y$12:$Y$72,$Q$258+1))</f>
        <v>0</v>
      </c>
      <c r="E319" s="32" t="n">
        <f aca="false">INDEX(Surface_Engine!$J$12:$J$72,$A319+1)*IF($A319&lt;$Q$258,INDEX(Surface_Engine!$Z$12:$Z$72,$A319+1),INDEX(Surface_Engine!$Z$12:$Z$72,$Q$258+1))</f>
        <v>0</v>
      </c>
      <c r="F319" s="48" t="n">
        <f aca="false">B319*(IF($A319&lt;$Q$258,INDEX(Surface_Engine!$D$12:$D$72,$A319+1)+(Surface_Engine!B239*12)*INDEX(Surface_Engine!$F$12:$F$72,$A319+1)-(Surface_Engine!B239*12),1000*12*INDEX(Surface_Engine!$C$12:$C$72,$A319+1)/(1+Assumptions!$B$10)^12+INDEX(Surface_Engine!$D$12:$D$72,$A319+1)))*INDEX(Surface_Engine!$B$12:$B$72,$A319+1)+F320</f>
        <v>0</v>
      </c>
      <c r="G319" s="48" t="n">
        <f aca="false">C319*(IF($A319&lt;$Q$258,INDEX(Surface_Engine!$D$12:$D$72,$A319+1)+(Surface_Engine!B239*12)*INDEX(Surface_Engine!$F$12:$F$72,$A319+1)-(Surface_Engine!B239*12),1000*12*INDEX(Surface_Engine!$C$12:$C$72,$A319+1)/(1+Assumptions!$B$10)^12+INDEX(Surface_Engine!$D$12:$D$72,$A319+1)))*INDEX(Surface_Engine!$B$12:$B$72,$A319+1)+G320</f>
        <v>0</v>
      </c>
      <c r="H319" s="48" t="n">
        <f aca="false">D319*(IF($A319&lt;$Q$258,INDEX(Surface_Engine!$D$12:$D$72,$A319+1)+(Surface_Engine!B239*12)*INDEX(Surface_Engine!$F$12:$F$72,$A319+1)-(Surface_Engine!B239*12),1000*12*INDEX(Surface_Engine!$C$12:$C$72,$A319+1)/(1+Assumptions!$B$10)^12+INDEX(Surface_Engine!$D$12:$D$72,$A319+1)))*INDEX(Surface_Engine!$B$12:$B$72,$A319+1)+H320</f>
        <v>0</v>
      </c>
      <c r="I319" s="48" t="n">
        <f aca="false">E319*(IF($A319&lt;$Q$258,INDEX(Surface_Engine!$D$12:$D$72,$A319+1)+(Surface_Engine!B239*12)*INDEX(Surface_Engine!$F$12:$F$72,$A319+1)-(Surface_Engine!B239*12),1000*12*INDEX(Surface_Engine!$C$12:$C$72,$A319+1)/(1+Assumptions!$B$10)^12+INDEX(Surface_Engine!$D$12:$D$72,$A319+1)))*INDEX(Surface_Engine!$B$12:$B$72,$A319+1)+I320</f>
        <v>0</v>
      </c>
      <c r="J319" s="48" t="n">
        <f aca="false">B319*(IF($A319&lt;$Q$258,INDEX(Surface_Engine!$D$12:$D$72,$A319+1)*(1+Assumptions!$B$24)+(Surface_Engine!B239*12)*INDEX(Surface_Engine!$F$12:$F$72,$A319+1)-(Surface_Engine!B239*12),1000*12*INDEX(Surface_Engine!$C$12:$C$72,$A319+1)/(1+Assumptions!$B$10)^12+INDEX(Surface_Engine!$D$12:$D$72,$A319+1)*(1+Assumptions!$B$24)))*INDEX(Surface_Engine!$B$12:$B$72,$A319+1)+J320</f>
        <v>0</v>
      </c>
      <c r="K319" s="12" t="n">
        <f aca="false">SQRT((IF(C319&lt;=0,0,MAX(0,(B319/C319)*G319/INDEX(Surface_Engine!$B$12:$B$72,$A319+1)-F319/INDEX(Surface_Engine!$B$12:$B$72,$A319+1))))^2+(MAX(IF(D319&lt;=0,0,MAX(0,(B319/D319)*H319/INDEX(Surface_Engine!$B$12:$B$72,$A319+1)-F319/INDEX(Surface_Engine!$B$12:$B$72,$A319+1))),IF(E319&lt;=0,0,MAX(0,(B319/E319)*I319/INDEX(Surface_Engine!$B$12:$B$72,$A319+1)-F319/INDEX(Surface_Engine!$B$12:$B$72,$A319+1))),IF($A319&lt;$Q$258,MAX(0,-Assumptions!$B$22*(F319/INDEX(Surface_Engine!$B$12:$B$72,$A319+1))),0)))^2+(MAX(0,J319/INDEX(Surface_Engine!$B$12:$B$72,$A319+1)-(F319/INDEX(Surface_Engine!$B$12:$B$72,$A319+1))))^2+2*Assumptions!$B$26*(IF(C319&lt;=0,0,MAX(0,(B319/C319)*G319/INDEX(Surface_Engine!$B$12:$B$72,$A319+1)-F319/INDEX(Surface_Engine!$B$12:$B$72,$A319+1))))*(MAX(IF(D319&lt;=0,0,MAX(0,(B319/D319)*H319/INDEX(Surface_Engine!$B$12:$B$72,$A319+1)-F319/INDEX(Surface_Engine!$B$12:$B$72,$A319+1))),IF(E319&lt;=0,0,MAX(0,(B319/E319)*I319/INDEX(Surface_Engine!$B$12:$B$72,$A319+1)-F319/INDEX(Surface_Engine!$B$12:$B$72,$A319+1))),IF($A319&lt;$Q$258,MAX(0,-Assumptions!$B$22*(F319/INDEX(Surface_Engine!$B$12:$B$72,$A319+1))),0)))+2*Assumptions!$B$27*(IF(C319&lt;=0,0,MAX(0,(B319/C319)*G319/INDEX(Surface_Engine!$B$12:$B$72,$A319+1)-F319/INDEX(Surface_Engine!$B$12:$B$72,$A319+1))))*(MAX(0,J319/INDEX(Surface_Engine!$B$12:$B$72,$A319+1)-(F319/INDEX(Surface_Engine!$B$12:$B$72,$A319+1))))+2*Assumptions!$B$28*(MAX(IF(D319&lt;=0,0,MAX(0,(B319/D319)*H319/INDEX(Surface_Engine!$B$12:$B$72,$A319+1)-F319/INDEX(Surface_Engine!$B$12:$B$72,$A319+1))),IF(E319&lt;=0,0,MAX(0,(B319/E319)*I319/INDEX(Surface_Engine!$B$12:$B$72,$A319+1)-F319/INDEX(Surface_Engine!$B$12:$B$72,$A319+1))),IF($A319&lt;$Q$258,MAX(0,-Assumptions!$B$22*(F319/INDEX(Surface_Engine!$B$12:$B$72,$A319+1))),0)))*(MAX(0,J319/INDEX(Surface_Engine!$B$12:$B$72,$A319+1)-(F319/INDEX(Surface_Engine!$B$12:$B$72,$A319+1)))))</f>
        <v>0</v>
      </c>
      <c r="L319" s="48" t="n">
        <f aca="false">K319*INDEX(Surface_Engine!$B$12:$B$72,$A319+1)+L320</f>
        <v>0</v>
      </c>
      <c r="M319" s="48" t="n">
        <f aca="false">M318+B318*(IF($A318&lt;$Q$258,(Surface_Engine!B239*12)-(Surface_Engine!B239*12)*INDEX(Surface_Engine!$F$12:$F$72,$A318+1)-INDEX(Surface_Engine!$D$12:$D$72,$A318+1),-(1000*12*INDEX(Surface_Engine!$C$12:$C$72,$A318+1)/(1+Assumptions!$B$10)^12+INDEX(Surface_Engine!$D$12:$D$72,$A318+1))))*INDEX(Surface_Engine!$B$12:$B$72,$A318+1)</f>
        <v>3534.9912643671</v>
      </c>
      <c r="N319" s="12" t="n">
        <f aca="false">IF(B319&lt;=0,0,MAX(0,(K319+Assumptions!$B$29*L319/INDEX(Surface_Engine!$B$12:$B$72,$A319+1)-(M319/INDEX(Surface_Engine!$B$12:$B$72,$A319+1)-(F319/INDEX(Surface_Engine!$B$12:$B$72,$A319+1))))/B319))</f>
        <v>0</v>
      </c>
    </row>
    <row r="320" customFormat="false" ht="15" hidden="false" customHeight="true" outlineLevel="0" collapsed="false">
      <c r="A320" s="1" t="n">
        <v>60</v>
      </c>
      <c r="B320" s="32" t="n">
        <f aca="false">INDEX(Surface_Engine!$J$12:$J$72,$A320+1)*IF($A320&lt;$Q$258,INDEX(Surface_Engine!$E$12:$E$72,$A320+1),INDEX(Surface_Engine!$E$12:$E$72,$Q$258+1))</f>
        <v>0</v>
      </c>
      <c r="C320" s="32" t="n">
        <f aca="false">INDEX(Panel_Reserving!$C$8:$C$68,$A320+1)*IF($A320&lt;$Q$258,INDEX(Surface_Engine!$E$12:$E$72,$A320+1),INDEX(Surface_Engine!$E$12:$E$72,$Q$258+1))</f>
        <v>0</v>
      </c>
      <c r="D320" s="32" t="n">
        <f aca="false">INDEX(Surface_Engine!$J$12:$J$72,$A320+1)*IF($A320&lt;$Q$258,INDEX(Surface_Engine!$Y$12:$Y$72,$A320+1),INDEX(Surface_Engine!$Y$12:$Y$72,$Q$258+1))</f>
        <v>0</v>
      </c>
      <c r="E320" s="32" t="n">
        <f aca="false">INDEX(Surface_Engine!$J$12:$J$72,$A320+1)*IF($A320&lt;$Q$258,INDEX(Surface_Engine!$Z$12:$Z$72,$A320+1),INDEX(Surface_Engine!$Z$12:$Z$72,$Q$258+1))</f>
        <v>0</v>
      </c>
      <c r="F320" s="48" t="n">
        <f aca="false">B320*(IF($A320&lt;$Q$258,INDEX(Surface_Engine!$D$12:$D$72,$A320+1)+(Surface_Engine!B239*12)*INDEX(Surface_Engine!$F$12:$F$72,$A320+1)-(Surface_Engine!B239*12),1000*12*INDEX(Surface_Engine!$C$12:$C$72,$A320+1)/(1+Assumptions!$B$10)^12+INDEX(Surface_Engine!$D$12:$D$72,$A320+1)))*INDEX(Surface_Engine!$B$12:$B$72,$A320+1)</f>
        <v>0</v>
      </c>
      <c r="G320" s="48" t="n">
        <f aca="false">C320*(IF($A320&lt;$Q$258,INDEX(Surface_Engine!$D$12:$D$72,$A320+1)+(Surface_Engine!B239*12)*INDEX(Surface_Engine!$F$12:$F$72,$A320+1)-(Surface_Engine!B239*12),1000*12*INDEX(Surface_Engine!$C$12:$C$72,$A320+1)/(1+Assumptions!$B$10)^12+INDEX(Surface_Engine!$D$12:$D$72,$A320+1)))*INDEX(Surface_Engine!$B$12:$B$72,$A320+1)</f>
        <v>0</v>
      </c>
      <c r="H320" s="48" t="n">
        <f aca="false">D320*(IF($A320&lt;$Q$258,INDEX(Surface_Engine!$D$12:$D$72,$A320+1)+(Surface_Engine!B239*12)*INDEX(Surface_Engine!$F$12:$F$72,$A320+1)-(Surface_Engine!B239*12),1000*12*INDEX(Surface_Engine!$C$12:$C$72,$A320+1)/(1+Assumptions!$B$10)^12+INDEX(Surface_Engine!$D$12:$D$72,$A320+1)))*INDEX(Surface_Engine!$B$12:$B$72,$A320+1)</f>
        <v>0</v>
      </c>
      <c r="I320" s="48" t="n">
        <f aca="false">E320*(IF($A320&lt;$Q$258,INDEX(Surface_Engine!$D$12:$D$72,$A320+1)+(Surface_Engine!B239*12)*INDEX(Surface_Engine!$F$12:$F$72,$A320+1)-(Surface_Engine!B239*12),1000*12*INDEX(Surface_Engine!$C$12:$C$72,$A320+1)/(1+Assumptions!$B$10)^12+INDEX(Surface_Engine!$D$12:$D$72,$A320+1)))*INDEX(Surface_Engine!$B$12:$B$72,$A320+1)</f>
        <v>0</v>
      </c>
      <c r="J320" s="48" t="n">
        <f aca="false">B320*(IF($A320&lt;$Q$258,INDEX(Surface_Engine!$D$12:$D$72,$A320+1)*(1+Assumptions!$B$24)+(Surface_Engine!B239*12)*INDEX(Surface_Engine!$F$12:$F$72,$A320+1)-(Surface_Engine!B239*12),1000*12*INDEX(Surface_Engine!$C$12:$C$72,$A320+1)/(1+Assumptions!$B$10)^12+INDEX(Surface_Engine!$D$12:$D$72,$A320+1)*(1+Assumptions!$B$24)))*INDEX(Surface_Engine!$B$12:$B$72,$A320+1)</f>
        <v>0</v>
      </c>
      <c r="K320" s="12" t="n">
        <f aca="false">SQRT((IF(C320&lt;=0,0,MAX(0,(B320/C320)*G320/INDEX(Surface_Engine!$B$12:$B$72,$A320+1)-F320/INDEX(Surface_Engine!$B$12:$B$72,$A320+1))))^2+(MAX(IF(D320&lt;=0,0,MAX(0,(B320/D320)*H320/INDEX(Surface_Engine!$B$12:$B$72,$A320+1)-F320/INDEX(Surface_Engine!$B$12:$B$72,$A320+1))),IF(E320&lt;=0,0,MAX(0,(B320/E320)*I320/INDEX(Surface_Engine!$B$12:$B$72,$A320+1)-F320/INDEX(Surface_Engine!$B$12:$B$72,$A320+1))),IF($A320&lt;$Q$258,MAX(0,-Assumptions!$B$22*(F320/INDEX(Surface_Engine!$B$12:$B$72,$A320+1))),0)))^2+(MAX(0,J320/INDEX(Surface_Engine!$B$12:$B$72,$A320+1)-(F320/INDEX(Surface_Engine!$B$12:$B$72,$A320+1))))^2+2*Assumptions!$B$26*(IF(C320&lt;=0,0,MAX(0,(B320/C320)*G320/INDEX(Surface_Engine!$B$12:$B$72,$A320+1)-F320/INDEX(Surface_Engine!$B$12:$B$72,$A320+1))))*(MAX(IF(D320&lt;=0,0,MAX(0,(B320/D320)*H320/INDEX(Surface_Engine!$B$12:$B$72,$A320+1)-F320/INDEX(Surface_Engine!$B$12:$B$72,$A320+1))),IF(E320&lt;=0,0,MAX(0,(B320/E320)*I320/INDEX(Surface_Engine!$B$12:$B$72,$A320+1)-F320/INDEX(Surface_Engine!$B$12:$B$72,$A320+1))),IF($A320&lt;$Q$258,MAX(0,-Assumptions!$B$22*(F320/INDEX(Surface_Engine!$B$12:$B$72,$A320+1))),0)))+2*Assumptions!$B$27*(IF(C320&lt;=0,0,MAX(0,(B320/C320)*G320/INDEX(Surface_Engine!$B$12:$B$72,$A320+1)-F320/INDEX(Surface_Engine!$B$12:$B$72,$A320+1))))*(MAX(0,J320/INDEX(Surface_Engine!$B$12:$B$72,$A320+1)-(F320/INDEX(Surface_Engine!$B$12:$B$72,$A320+1))))+2*Assumptions!$B$28*(MAX(IF(D320&lt;=0,0,MAX(0,(B320/D320)*H320/INDEX(Surface_Engine!$B$12:$B$72,$A320+1)-F320/INDEX(Surface_Engine!$B$12:$B$72,$A320+1))),IF(E320&lt;=0,0,MAX(0,(B320/E320)*I320/INDEX(Surface_Engine!$B$12:$B$72,$A320+1)-F320/INDEX(Surface_Engine!$B$12:$B$72,$A320+1))),IF($A320&lt;$Q$258,MAX(0,-Assumptions!$B$22*(F320/INDEX(Surface_Engine!$B$12:$B$72,$A320+1))),0)))*(MAX(0,J320/INDEX(Surface_Engine!$B$12:$B$72,$A320+1)-(F320/INDEX(Surface_Engine!$B$12:$B$72,$A320+1)))))</f>
        <v>0</v>
      </c>
      <c r="L320" s="48" t="n">
        <f aca="false">K320*INDEX(Surface_Engine!$B$12:$B$72,$A320+1)</f>
        <v>0</v>
      </c>
      <c r="M320" s="48" t="n">
        <f aca="false">M319+B319*(IF($A319&lt;$Q$258,(Surface_Engine!B239*12)-(Surface_Engine!B239*12)*INDEX(Surface_Engine!$F$12:$F$72,$A319+1)-INDEX(Surface_Engine!$D$12:$D$72,$A319+1),-(1000*12*INDEX(Surface_Engine!$C$12:$C$72,$A319+1)/(1+Assumptions!$B$10)^12+INDEX(Surface_Engine!$D$12:$D$72,$A319+1))))*INDEX(Surface_Engine!$B$12:$B$72,$A319+1)</f>
        <v>3534.9912643671</v>
      </c>
      <c r="N320" s="12" t="n">
        <f aca="false">IF(B320&lt;=0,0,MAX(0,(K320+Assumptions!$B$29*L320/INDEX(Surface_Engine!$B$12:$B$72,$A320+1)-(M320/INDEX(Surface_Engine!$B$12:$B$72,$A320+1)-(F320/INDEX(Surface_Engine!$B$12:$B$72,$A320+1))))/B320))</f>
        <v>0</v>
      </c>
    </row>
    <row r="321" customFormat="false" ht="15" hidden="false" customHeight="true" outlineLevel="0" collapsed="false">
      <c r="A321" s="4" t="str">
        <f aca="false">"entry "&amp;O321&amp;" / vesting "&amp;P321&amp;"   deferral "&amp;Q321</f>
        <v>entry 63 / vesting 80   deferral 17</v>
      </c>
      <c r="C321" s="49" t="n">
        <f aca="false">MAX(N260:N320)</f>
        <v>22948.6873224423</v>
      </c>
      <c r="E321" s="7" t="s">
        <v>1634</v>
      </c>
      <c r="G321" s="21" t="n">
        <f aca="false">INDEX(A260:A320,MATCH(C321,N260:N320,0))</f>
        <v>5</v>
      </c>
      <c r="J321" s="7" t="s">
        <v>1624</v>
      </c>
      <c r="K321" s="50" t="n">
        <f aca="false">Surface_Engine!G239</f>
        <v>488.882955345569</v>
      </c>
      <c r="O321" s="1" t="n">
        <f aca="false">A1715</f>
        <v>63</v>
      </c>
      <c r="P321" s="76" t="n">
        <f aca="false">C$1713</f>
        <v>80</v>
      </c>
      <c r="Q321" s="1" t="n">
        <f aca="false">P321-O321</f>
        <v>17</v>
      </c>
    </row>
    <row r="322" customFormat="false" ht="15" hidden="false" customHeight="true" outlineLevel="0" collapsed="false">
      <c r="A322" s="8" t="s">
        <v>802</v>
      </c>
      <c r="B322" s="8" t="s">
        <v>1584</v>
      </c>
      <c r="C322" s="8" t="s">
        <v>1585</v>
      </c>
      <c r="D322" s="8" t="s">
        <v>1587</v>
      </c>
      <c r="E322" s="8" t="s">
        <v>1588</v>
      </c>
      <c r="F322" s="8" t="s">
        <v>1625</v>
      </c>
      <c r="G322" s="8" t="s">
        <v>1626</v>
      </c>
      <c r="H322" s="8" t="s">
        <v>1627</v>
      </c>
      <c r="I322" s="8" t="s">
        <v>1628</v>
      </c>
      <c r="J322" s="8" t="s">
        <v>1629</v>
      </c>
      <c r="K322" s="8" t="s">
        <v>812</v>
      </c>
      <c r="L322" s="8" t="s">
        <v>1630</v>
      </c>
      <c r="M322" s="8" t="s">
        <v>341</v>
      </c>
      <c r="N322" s="8" t="s">
        <v>1631</v>
      </c>
      <c r="O322" s="1" t="s">
        <v>1544</v>
      </c>
      <c r="P322" s="1" t="s">
        <v>1632</v>
      </c>
      <c r="Q322" s="1" t="s">
        <v>1633</v>
      </c>
    </row>
    <row r="323" customFormat="false" ht="15" hidden="false" customHeight="true" outlineLevel="0" collapsed="false">
      <c r="A323" s="1" t="n">
        <v>0</v>
      </c>
      <c r="B323" s="32" t="n">
        <f aca="false">INDEX(Surface_Engine!$J$12:$J$72,$A323+1)*IF($A323&lt;$Q$321,INDEX(Surface_Engine!$E$12:$E$72,$A323+1),INDEX(Surface_Engine!$E$12:$E$72,$Q$321+1))</f>
        <v>1</v>
      </c>
      <c r="C323" s="32" t="n">
        <f aca="false">INDEX(Panel_Reserving!$C$8:$C$68,$A323+1)*IF($A323&lt;$Q$321,INDEX(Surface_Engine!$E$12:$E$72,$A323+1),INDEX(Surface_Engine!$E$12:$E$72,$Q$321+1))</f>
        <v>1</v>
      </c>
      <c r="D323" s="32" t="n">
        <f aca="false">INDEX(Surface_Engine!$J$12:$J$72,$A323+1)*IF($A323&lt;$Q$321,INDEX(Surface_Engine!$Y$12:$Y$72,$A323+1),INDEX(Surface_Engine!$Y$12:$Y$72,$Q$321+1))</f>
        <v>1</v>
      </c>
      <c r="E323" s="32" t="n">
        <f aca="false">INDEX(Surface_Engine!$J$12:$J$72,$A323+1)*IF($A323&lt;$Q$321,INDEX(Surface_Engine!$Z$12:$Z$72,$A323+1),INDEX(Surface_Engine!$Z$12:$Z$72,$Q$321+1))</f>
        <v>1</v>
      </c>
      <c r="F323" s="48" t="n">
        <f aca="false">B323*(IF($A323&lt;$Q$321,INDEX(Surface_Engine!$D$12:$D$72,$A323+1)+(Surface_Engine!G239*12)*INDEX(Surface_Engine!$F$12:$F$72,$A323+1)-(Surface_Engine!G239*12),1000*12*INDEX(Surface_Engine!$C$12:$C$72,$A323+1)/(1+Assumptions!$B$10)^17+INDEX(Surface_Engine!$D$12:$D$72,$A323+1)))*INDEX(Surface_Engine!$B$12:$B$72,$A323+1)+F324</f>
        <v>-2039.10084054095</v>
      </c>
      <c r="G323" s="48" t="n">
        <f aca="false">C323*(IF($A323&lt;$Q$321,INDEX(Surface_Engine!$D$12:$D$72,$A323+1)+(Surface_Engine!G239*12)*INDEX(Surface_Engine!$F$12:$F$72,$A323+1)-(Surface_Engine!G239*12),1000*12*INDEX(Surface_Engine!$C$12:$C$72,$A323+1)/(1+Assumptions!$B$10)^17+INDEX(Surface_Engine!$D$12:$D$72,$A323+1)))*INDEX(Surface_Engine!$B$12:$B$72,$A323+1)+G324</f>
        <v>5686.15775966137</v>
      </c>
      <c r="H323" s="48" t="n">
        <f aca="false">D323*(IF($A323&lt;$Q$321,INDEX(Surface_Engine!$D$12:$D$72,$A323+1)+(Surface_Engine!G239*12)*INDEX(Surface_Engine!$F$12:$F$72,$A323+1)-(Surface_Engine!G239*12),1000*12*INDEX(Surface_Engine!$C$12:$C$72,$A323+1)/(1+Assumptions!$B$10)^17+INDEX(Surface_Engine!$D$12:$D$72,$A323+1)))*INDEX(Surface_Engine!$B$12:$B$72,$A323+1)+H324</f>
        <v>-4301.0339366198</v>
      </c>
      <c r="I323" s="48" t="n">
        <f aca="false">E323*(IF($A323&lt;$Q$321,INDEX(Surface_Engine!$D$12:$D$72,$A323+1)+(Surface_Engine!G239*12)*INDEX(Surface_Engine!$F$12:$F$72,$A323+1)-(Surface_Engine!G239*12),1000*12*INDEX(Surface_Engine!$C$12:$C$72,$A323+1)/(1+Assumptions!$B$10)^17+INDEX(Surface_Engine!$D$12:$D$72,$A323+1)))*INDEX(Surface_Engine!$B$12:$B$72,$A323+1)+I324</f>
        <v>607.152888019653</v>
      </c>
      <c r="J323" s="48" t="n">
        <f aca="false">B323*(IF($A323&lt;$Q$321,INDEX(Surface_Engine!$D$12:$D$72,$A323+1)*(1+Assumptions!$B$24)+(Surface_Engine!G239*12)*INDEX(Surface_Engine!$F$12:$F$72,$A323+1)-(Surface_Engine!G239*12),1000*12*INDEX(Surface_Engine!$C$12:$C$72,$A323+1)/(1+Assumptions!$B$10)^17+INDEX(Surface_Engine!$D$12:$D$72,$A323+1)*(1+Assumptions!$B$24)))*INDEX(Surface_Engine!$B$12:$B$72,$A323+1)+J324</f>
        <v>-1866.46282793141</v>
      </c>
      <c r="K323" s="12" t="n">
        <f aca="false">SQRT((IF(C323&lt;=0,0,MAX(0,(B323/C323)*G323/INDEX(Surface_Engine!$B$12:$B$72,$A323+1)-F323/INDEX(Surface_Engine!$B$12:$B$72,$A323+1))))^2+(MAX(IF(D323&lt;=0,0,MAX(0,(B323/D323)*H323/INDEX(Surface_Engine!$B$12:$B$72,$A323+1)-F323/INDEX(Surface_Engine!$B$12:$B$72,$A323+1))),IF(E323&lt;=0,0,MAX(0,(B323/E323)*I323/INDEX(Surface_Engine!$B$12:$B$72,$A323+1)-F323/INDEX(Surface_Engine!$B$12:$B$72,$A323+1))),IF($A323&lt;$Q$321,MAX(0,-Assumptions!$B$22*(F323/INDEX(Surface_Engine!$B$12:$B$72,$A323+1))),0)))^2+(MAX(0,J323/INDEX(Surface_Engine!$B$12:$B$72,$A323+1)-(F323/INDEX(Surface_Engine!$B$12:$B$72,$A323+1))))^2+2*Assumptions!$B$26*(IF(C323&lt;=0,0,MAX(0,(B323/C323)*G323/INDEX(Surface_Engine!$B$12:$B$72,$A323+1)-F323/INDEX(Surface_Engine!$B$12:$B$72,$A323+1))))*(MAX(IF(D323&lt;=0,0,MAX(0,(B323/D323)*H323/INDEX(Surface_Engine!$B$12:$B$72,$A323+1)-F323/INDEX(Surface_Engine!$B$12:$B$72,$A323+1))),IF(E323&lt;=0,0,MAX(0,(B323/E323)*I323/INDEX(Surface_Engine!$B$12:$B$72,$A323+1)-F323/INDEX(Surface_Engine!$B$12:$B$72,$A323+1))),IF($A323&lt;$Q$321,MAX(0,-Assumptions!$B$22*(F323/INDEX(Surface_Engine!$B$12:$B$72,$A323+1))),0)))+2*Assumptions!$B$27*(IF(C323&lt;=0,0,MAX(0,(B323/C323)*G323/INDEX(Surface_Engine!$B$12:$B$72,$A323+1)-F323/INDEX(Surface_Engine!$B$12:$B$72,$A323+1))))*(MAX(0,J323/INDEX(Surface_Engine!$B$12:$B$72,$A323+1)-(F323/INDEX(Surface_Engine!$B$12:$B$72,$A323+1))))+2*Assumptions!$B$28*(MAX(IF(D323&lt;=0,0,MAX(0,(B323/D323)*H323/INDEX(Surface_Engine!$B$12:$B$72,$A323+1)-F323/INDEX(Surface_Engine!$B$12:$B$72,$A323+1))),IF(E323&lt;=0,0,MAX(0,(B323/E323)*I323/INDEX(Surface_Engine!$B$12:$B$72,$A323+1)-F323/INDEX(Surface_Engine!$B$12:$B$72,$A323+1))),IF($A323&lt;$Q$321,MAX(0,-Assumptions!$B$22*(F323/INDEX(Surface_Engine!$B$12:$B$72,$A323+1))),0)))*(MAX(0,J323/INDEX(Surface_Engine!$B$12:$B$72,$A323+1)-(F323/INDEX(Surface_Engine!$B$12:$B$72,$A323+1)))))</f>
        <v>8835.00203379347</v>
      </c>
      <c r="L323" s="48" t="n">
        <f aca="false">K323*INDEX(Surface_Engine!$B$12:$B$72,$A323+1)+L324</f>
        <v>197263.926608158</v>
      </c>
      <c r="M323" s="48" t="n">
        <v>0</v>
      </c>
      <c r="N323" s="12" t="n">
        <f aca="false">IF(B323&lt;=0,0,MAX(0,(K323+Assumptions!$B$29*L323/INDEX(Surface_Engine!$B$12:$B$72,$A323+1)-(M323/INDEX(Surface_Engine!$B$12:$B$72,$A323+1)-(F323/INDEX(Surface_Engine!$B$12:$B$72,$A323+1))))/B323))</f>
        <v>18631.736789742</v>
      </c>
    </row>
    <row r="324" customFormat="false" ht="15" hidden="false" customHeight="true" outlineLevel="0" collapsed="false">
      <c r="A324" s="1" t="n">
        <v>1</v>
      </c>
      <c r="B324" s="32" t="n">
        <f aca="false">INDEX(Surface_Engine!$J$12:$J$72,$A324+1)*IF($A324&lt;$Q$321,INDEX(Surface_Engine!$E$12:$E$72,$A324+1),INDEX(Surface_Engine!$E$12:$E$72,$Q$321+1))</f>
        <v>0.955579876255788</v>
      </c>
      <c r="C324" s="32" t="n">
        <f aca="false">INDEX(Panel_Reserving!$C$8:$C$68,$A324+1)*IF($A324&lt;$Q$321,INDEX(Surface_Engine!$E$12:$E$72,$A324+1),INDEX(Surface_Engine!$E$12:$E$72,$Q$321+1))</f>
        <v>0.95634390100463</v>
      </c>
      <c r="D324" s="32" t="n">
        <f aca="false">INDEX(Surface_Engine!$J$12:$J$72,$A324+1)*IF($A324&lt;$Q$321,INDEX(Surface_Engine!$Y$12:$Y$72,$A324+1),INDEX(Surface_Engine!$Y$12:$Y$72,$Q$321+1))</f>
        <v>0.935360706474682</v>
      </c>
      <c r="E324" s="32" t="n">
        <f aca="false">INDEX(Surface_Engine!$J$12:$J$72,$A324+1)*IF($A324&lt;$Q$321,INDEX(Surface_Engine!$Z$12:$Z$72,$A324+1),INDEX(Surface_Engine!$Z$12:$Z$72,$Q$321+1))</f>
        <v>0.975799046036893</v>
      </c>
      <c r="F324" s="48" t="n">
        <f aca="false">B324*(IF($A324&lt;$Q$321,INDEX(Surface_Engine!$D$12:$D$72,$A324+1)+(Surface_Engine!G239*12)*INDEX(Surface_Engine!$F$12:$F$72,$A324+1)-(Surface_Engine!G239*12),1000*12*INDEX(Surface_Engine!$C$12:$C$72,$A324+1)/(1+Assumptions!$B$10)^17+INDEX(Surface_Engine!$D$12:$D$72,$A324+1)))*INDEX(Surface_Engine!$B$12:$B$72,$A324+1)+F325</f>
        <v>-2121.10084054095</v>
      </c>
      <c r="G324" s="48" t="n">
        <f aca="false">C324*(IF($A324&lt;$Q$321,INDEX(Surface_Engine!$D$12:$D$72,$A324+1)+(Surface_Engine!G239*12)*INDEX(Surface_Engine!$F$12:$F$72,$A324+1)-(Surface_Engine!G239*12),1000*12*INDEX(Surface_Engine!$C$12:$C$72,$A324+1)/(1+Assumptions!$B$10)^17+INDEX(Surface_Engine!$D$12:$D$72,$A324+1)))*INDEX(Surface_Engine!$B$12:$B$72,$A324+1)+G325</f>
        <v>5604.15775966137</v>
      </c>
      <c r="H324" s="48" t="n">
        <f aca="false">D324*(IF($A324&lt;$Q$321,INDEX(Surface_Engine!$D$12:$D$72,$A324+1)+(Surface_Engine!G239*12)*INDEX(Surface_Engine!$F$12:$F$72,$A324+1)-(Surface_Engine!G239*12),1000*12*INDEX(Surface_Engine!$C$12:$C$72,$A324+1)/(1+Assumptions!$B$10)^17+INDEX(Surface_Engine!$D$12:$D$72,$A324+1)))*INDEX(Surface_Engine!$B$12:$B$72,$A324+1)+H325</f>
        <v>-4383.0339366198</v>
      </c>
      <c r="I324" s="48" t="n">
        <f aca="false">E324*(IF($A324&lt;$Q$321,INDEX(Surface_Engine!$D$12:$D$72,$A324+1)+(Surface_Engine!G239*12)*INDEX(Surface_Engine!$F$12:$F$72,$A324+1)-(Surface_Engine!G239*12),1000*12*INDEX(Surface_Engine!$C$12:$C$72,$A324+1)/(1+Assumptions!$B$10)^17+INDEX(Surface_Engine!$D$12:$D$72,$A324+1)))*INDEX(Surface_Engine!$B$12:$B$72,$A324+1)+I325</f>
        <v>525.152888019653</v>
      </c>
      <c r="J324" s="48" t="n">
        <f aca="false">B324*(IF($A324&lt;$Q$321,INDEX(Surface_Engine!$D$12:$D$72,$A324+1)*(1+Assumptions!$B$24)+(Surface_Engine!G239*12)*INDEX(Surface_Engine!$F$12:$F$72,$A324+1)-(Surface_Engine!G239*12),1000*12*INDEX(Surface_Engine!$C$12:$C$72,$A324+1)/(1+Assumptions!$B$10)^17+INDEX(Surface_Engine!$D$12:$D$72,$A324+1)*(1+Assumptions!$B$24)))*INDEX(Surface_Engine!$B$12:$B$72,$A324+1)+J325</f>
        <v>-1956.66282793141</v>
      </c>
      <c r="K324" s="12" t="n">
        <f aca="false">SQRT((IF(C324&lt;=0,0,MAX(0,(B324/C324)*G324/INDEX(Surface_Engine!$B$12:$B$72,$A324+1)-F324/INDEX(Surface_Engine!$B$12:$B$72,$A324+1))))^2+(MAX(IF(D324&lt;=0,0,MAX(0,(B324/D324)*H324/INDEX(Surface_Engine!$B$12:$B$72,$A324+1)-F324/INDEX(Surface_Engine!$B$12:$B$72,$A324+1))),IF(E324&lt;=0,0,MAX(0,(B324/E324)*I324/INDEX(Surface_Engine!$B$12:$B$72,$A324+1)-F324/INDEX(Surface_Engine!$B$12:$B$72,$A324+1))),IF($A324&lt;$Q$321,MAX(0,-Assumptions!$B$22*(F324/INDEX(Surface_Engine!$B$12:$B$72,$A324+1))),0)))^2+(MAX(0,J324/INDEX(Surface_Engine!$B$12:$B$72,$A324+1)-(F324/INDEX(Surface_Engine!$B$12:$B$72,$A324+1))))^2+2*Assumptions!$B$26*(IF(C324&lt;=0,0,MAX(0,(B324/C324)*G324/INDEX(Surface_Engine!$B$12:$B$72,$A324+1)-F324/INDEX(Surface_Engine!$B$12:$B$72,$A324+1))))*(MAX(IF(D324&lt;=0,0,MAX(0,(B324/D324)*H324/INDEX(Surface_Engine!$B$12:$B$72,$A324+1)-F324/INDEX(Surface_Engine!$B$12:$B$72,$A324+1))),IF(E324&lt;=0,0,MAX(0,(B324/E324)*I324/INDEX(Surface_Engine!$B$12:$B$72,$A324+1)-F324/INDEX(Surface_Engine!$B$12:$B$72,$A324+1))),IF($A324&lt;$Q$321,MAX(0,-Assumptions!$B$22*(F324/INDEX(Surface_Engine!$B$12:$B$72,$A324+1))),0)))+2*Assumptions!$B$27*(IF(C324&lt;=0,0,MAX(0,(B324/C324)*G324/INDEX(Surface_Engine!$B$12:$B$72,$A324+1)-F324/INDEX(Surface_Engine!$B$12:$B$72,$A324+1))))*(MAX(0,J324/INDEX(Surface_Engine!$B$12:$B$72,$A324+1)-(F324/INDEX(Surface_Engine!$B$12:$B$72,$A324+1))))+2*Assumptions!$B$28*(MAX(IF(D324&lt;=0,0,MAX(0,(B324/D324)*H324/INDEX(Surface_Engine!$B$12:$B$72,$A324+1)-F324/INDEX(Surface_Engine!$B$12:$B$72,$A324+1))),IF(E324&lt;=0,0,MAX(0,(B324/E324)*I324/INDEX(Surface_Engine!$B$12:$B$72,$A324+1)-F324/INDEX(Surface_Engine!$B$12:$B$72,$A324+1))),IF($A324&lt;$Q$321,MAX(0,-Assumptions!$B$22*(F324/INDEX(Surface_Engine!$B$12:$B$72,$A324+1))),0)))*(MAX(0,J324/INDEX(Surface_Engine!$B$12:$B$72,$A324+1)-(F324/INDEX(Surface_Engine!$B$12:$B$72,$A324+1)))))</f>
        <v>9050.82870527739</v>
      </c>
      <c r="L324" s="48" t="n">
        <f aca="false">K324*INDEX(Surface_Engine!$B$12:$B$72,$A324+1)+L325</f>
        <v>188428.924574364</v>
      </c>
      <c r="M324" s="48" t="n">
        <f aca="false">M323+B323*(IF($A323&lt;$Q$321,(Surface_Engine!G239*12)-(Surface_Engine!G239*12)*INDEX(Surface_Engine!$F$12:$F$72,$A323+1)-INDEX(Surface_Engine!$D$12:$D$72,$A323+1),-(1000*12*INDEX(Surface_Engine!$C$12:$C$72,$A323+1)/(1+Assumptions!$B$10)^17+INDEX(Surface_Engine!$D$12:$D$72,$A323+1))))*INDEX(Surface_Engine!$B$12:$B$72,$A323+1)</f>
        <v>-82</v>
      </c>
      <c r="N324" s="12" t="n">
        <f aca="false">IF(B324&lt;=0,0,MAX(0,(K324+Assumptions!$B$29*L324/INDEX(Surface_Engine!$B$12:$B$72,$A324+1)-(M324/INDEX(Surface_Engine!$B$12:$B$72,$A324+1)-(F324/INDEX(Surface_Engine!$B$12:$B$72,$A324+1))))/B324))</f>
        <v>19420.6948423925</v>
      </c>
    </row>
    <row r="325" customFormat="false" ht="15" hidden="false" customHeight="true" outlineLevel="0" collapsed="false">
      <c r="A325" s="1" t="n">
        <v>2</v>
      </c>
      <c r="B325" s="32" t="n">
        <f aca="false">INDEX(Surface_Engine!$J$12:$J$72,$A325+1)*IF($A325&lt;$Q$321,INDEX(Surface_Engine!$E$12:$E$72,$A325+1),INDEX(Surface_Engine!$E$12:$E$72,$Q$321+1))</f>
        <v>0.930804150629766</v>
      </c>
      <c r="C325" s="32" t="n">
        <f aca="false">INDEX(Panel_Reserving!$C$8:$C$68,$A325+1)*IF($A325&lt;$Q$321,INDEX(Surface_Engine!$E$12:$E$72,$A325+1),INDEX(Surface_Engine!$E$12:$E$72,$Q$321+1))</f>
        <v>0.93235694061792</v>
      </c>
      <c r="D325" s="32" t="n">
        <f aca="false">INDEX(Surface_Engine!$J$12:$J$72,$A325+1)*IF($A325&lt;$Q$321,INDEX(Surface_Engine!$Y$12:$Y$72,$A325+1),INDEX(Surface_Engine!$Y$12:$Y$72,$Q$321+1))</f>
        <v>0.901004402547142</v>
      </c>
      <c r="E325" s="32" t="n">
        <f aca="false">INDEX(Surface_Engine!$J$12:$J$72,$A325+1)*IF($A325&lt;$Q$321,INDEX(Surface_Engine!$Z$12:$Z$72,$A325+1),INDEX(Surface_Engine!$Z$12:$Z$72,$Q$321+1))</f>
        <v>0.961040758746481</v>
      </c>
      <c r="F325" s="48" t="n">
        <f aca="false">B325*(IF($A325&lt;$Q$321,INDEX(Surface_Engine!$D$12:$D$72,$A325+1)+(Surface_Engine!G239*12)*INDEX(Surface_Engine!$F$12:$F$72,$A325+1)-(Surface_Engine!G239*12),1000*12*INDEX(Surface_Engine!$C$12:$C$72,$A325+1)/(1+Assumptions!$B$10)^17+INDEX(Surface_Engine!$D$12:$D$72,$A325+1)))*INDEX(Surface_Engine!$B$12:$B$72,$A325+1)+F326</f>
        <v>2991.55857180387</v>
      </c>
      <c r="G325" s="48" t="n">
        <f aca="false">C325*(IF($A325&lt;$Q$321,INDEX(Surface_Engine!$D$12:$D$72,$A325+1)+(Surface_Engine!G239*12)*INDEX(Surface_Engine!$F$12:$F$72,$A325+1)-(Surface_Engine!G239*12),1000*12*INDEX(Surface_Engine!$C$12:$C$72,$A325+1)/(1+Assumptions!$B$10)^17+INDEX(Surface_Engine!$D$12:$D$72,$A325+1)))*INDEX(Surface_Engine!$B$12:$B$72,$A325+1)+G326</f>
        <v>10720.9049499309</v>
      </c>
      <c r="H325" s="48" t="n">
        <f aca="false">D325*(IF($A325&lt;$Q$321,INDEX(Surface_Engine!$D$12:$D$72,$A325+1)+(Surface_Engine!G239*12)*INDEX(Surface_Engine!$F$12:$F$72,$A325+1)-(Surface_Engine!G239*12),1000*12*INDEX(Surface_Engine!$C$12:$C$72,$A325+1)/(1+Assumptions!$B$10)^17+INDEX(Surface_Engine!$D$12:$D$72,$A325+1)))*INDEX(Surface_Engine!$B$12:$B$72,$A325+1)+H326</f>
        <v>621.446419991637</v>
      </c>
      <c r="I325" s="48" t="n">
        <f aca="false">E325*(IF($A325&lt;$Q$321,INDEX(Surface_Engine!$D$12:$D$72,$A325+1)+(Surface_Engine!G239*12)*INDEX(Surface_Engine!$F$12:$F$72,$A325+1)-(Surface_Engine!G239*12),1000*12*INDEX(Surface_Engine!$C$12:$C$72,$A325+1)/(1+Assumptions!$B$10)^17+INDEX(Surface_Engine!$D$12:$D$72,$A325+1)))*INDEX(Surface_Engine!$B$12:$B$72,$A325+1)+I326</f>
        <v>5745.99135609784</v>
      </c>
      <c r="J325" s="48" t="n">
        <f aca="false">B325*(IF($A325&lt;$Q$321,INDEX(Surface_Engine!$D$12:$D$72,$A325+1)*(1+Assumptions!$B$24)+(Surface_Engine!G239*12)*INDEX(Surface_Engine!$F$12:$F$72,$A325+1)-(Surface_Engine!G239*12),1000*12*INDEX(Surface_Engine!$C$12:$C$72,$A325+1)/(1+Assumptions!$B$10)^17+INDEX(Surface_Engine!$D$12:$D$72,$A325+1)*(1+Assumptions!$B$24)))*INDEX(Surface_Engine!$B$12:$B$72,$A325+1)+J326</f>
        <v>3148.16816141452</v>
      </c>
      <c r="K325" s="12" t="n">
        <f aca="false">SQRT((IF(C325&lt;=0,0,MAX(0,(B325/C325)*G325/INDEX(Surface_Engine!$B$12:$B$72,$A325+1)-F325/INDEX(Surface_Engine!$B$12:$B$72,$A325+1))))^2+(MAX(IF(D325&lt;=0,0,MAX(0,(B325/D325)*H325/INDEX(Surface_Engine!$B$12:$B$72,$A325+1)-F325/INDEX(Surface_Engine!$B$12:$B$72,$A325+1))),IF(E325&lt;=0,0,MAX(0,(B325/E325)*I325/INDEX(Surface_Engine!$B$12:$B$72,$A325+1)-F325/INDEX(Surface_Engine!$B$12:$B$72,$A325+1))),IF($A325&lt;$Q$321,MAX(0,-Assumptions!$B$22*(F325/INDEX(Surface_Engine!$B$12:$B$72,$A325+1))),0)))^2+(MAX(0,J325/INDEX(Surface_Engine!$B$12:$B$72,$A325+1)-(F325/INDEX(Surface_Engine!$B$12:$B$72,$A325+1))))^2+2*Assumptions!$B$26*(IF(C325&lt;=0,0,MAX(0,(B325/C325)*G325/INDEX(Surface_Engine!$B$12:$B$72,$A325+1)-F325/INDEX(Surface_Engine!$B$12:$B$72,$A325+1))))*(MAX(IF(D325&lt;=0,0,MAX(0,(B325/D325)*H325/INDEX(Surface_Engine!$B$12:$B$72,$A325+1)-F325/INDEX(Surface_Engine!$B$12:$B$72,$A325+1))),IF(E325&lt;=0,0,MAX(0,(B325/E325)*I325/INDEX(Surface_Engine!$B$12:$B$72,$A325+1)-F325/INDEX(Surface_Engine!$B$12:$B$72,$A325+1))),IF($A325&lt;$Q$321,MAX(0,-Assumptions!$B$22*(F325/INDEX(Surface_Engine!$B$12:$B$72,$A325+1))),0)))+2*Assumptions!$B$27*(IF(C325&lt;=0,0,MAX(0,(B325/C325)*G325/INDEX(Surface_Engine!$B$12:$B$72,$A325+1)-F325/INDEX(Surface_Engine!$B$12:$B$72,$A325+1))))*(MAX(0,J325/INDEX(Surface_Engine!$B$12:$B$72,$A325+1)-(F325/INDEX(Surface_Engine!$B$12:$B$72,$A325+1))))+2*Assumptions!$B$28*(MAX(IF(D325&lt;=0,0,MAX(0,(B325/D325)*H325/INDEX(Surface_Engine!$B$12:$B$72,$A325+1)-F325/INDEX(Surface_Engine!$B$12:$B$72,$A325+1))),IF(E325&lt;=0,0,MAX(0,(B325/E325)*I325/INDEX(Surface_Engine!$B$12:$B$72,$A325+1)-F325/INDEX(Surface_Engine!$B$12:$B$72,$A325+1))),IF($A325&lt;$Q$321,MAX(0,-Assumptions!$B$22*(F325/INDEX(Surface_Engine!$B$12:$B$72,$A325+1))),0)))*(MAX(0,J325/INDEX(Surface_Engine!$B$12:$B$72,$A325+1)-(F325/INDEX(Surface_Engine!$B$12:$B$72,$A325+1)))))</f>
        <v>9244.60958359531</v>
      </c>
      <c r="L325" s="48" t="n">
        <f aca="false">K325*INDEX(Surface_Engine!$B$12:$B$72,$A325+1)+L326</f>
        <v>179607.110170998</v>
      </c>
      <c r="M325" s="48" t="n">
        <f aca="false">M324+B324*(IF($A324&lt;$Q$321,(Surface_Engine!G239*12)-(Surface_Engine!G239*12)*INDEX(Surface_Engine!$F$12:$F$72,$A324+1)-INDEX(Surface_Engine!$D$12:$D$72,$A324+1),-(1000*12*INDEX(Surface_Engine!$C$12:$C$72,$A324+1)/(1+Assumptions!$B$10)^17+INDEX(Surface_Engine!$D$12:$D$72,$A324+1))))*INDEX(Surface_Engine!$B$12:$B$72,$A324+1)</f>
        <v>5030.65941234481</v>
      </c>
      <c r="N325" s="12" t="n">
        <f aca="false">IF(B325&lt;=0,0,MAX(0,(K325+Assumptions!$B$29*L325/INDEX(Surface_Engine!$B$12:$B$72,$A325+1)-(M325/INDEX(Surface_Engine!$B$12:$B$72,$A325+1)-(F325/INDEX(Surface_Engine!$B$12:$B$72,$A325+1))))/B325))</f>
        <v>19818.1807008134</v>
      </c>
    </row>
    <row r="326" customFormat="false" ht="15" hidden="false" customHeight="true" outlineLevel="0" collapsed="false">
      <c r="A326" s="1" t="n">
        <v>3</v>
      </c>
      <c r="B326" s="32" t="n">
        <f aca="false">INDEX(Surface_Engine!$J$12:$J$72,$A326+1)*IF($A326&lt;$Q$321,INDEX(Surface_Engine!$E$12:$E$72,$A326+1),INDEX(Surface_Engine!$E$12:$E$72,$Q$321+1))</f>
        <v>0.913882007956711</v>
      </c>
      <c r="C326" s="32" t="n">
        <f aca="false">INDEX(Panel_Reserving!$C$8:$C$68,$A326+1)*IF($A326&lt;$Q$321,INDEX(Surface_Engine!$E$12:$E$72,$A326+1),INDEX(Surface_Engine!$E$12:$E$72,$Q$321+1))</f>
        <v>0.916316573075405</v>
      </c>
      <c r="D326" s="32" t="n">
        <f aca="false">INDEX(Surface_Engine!$J$12:$J$72,$A326+1)*IF($A326&lt;$Q$321,INDEX(Surface_Engine!$Y$12:$Y$72,$A326+1),INDEX(Surface_Engine!$Y$12:$Y$72,$Q$321+1))</f>
        <v>0.878661978286545</v>
      </c>
      <c r="E326" s="32" t="n">
        <f aca="false">INDEX(Surface_Engine!$J$12:$J$72,$A326+1)*IF($A326&lt;$Q$321,INDEX(Surface_Engine!$Z$12:$Z$72,$A326+1),INDEX(Surface_Engine!$Z$12:$Z$72,$Q$321+1))</f>
        <v>0.949928222641382</v>
      </c>
      <c r="F326" s="48" t="n">
        <f aca="false">B326*(IF($A326&lt;$Q$321,INDEX(Surface_Engine!$D$12:$D$72,$A326+1)+(Surface_Engine!G239*12)*INDEX(Surface_Engine!$F$12:$F$72,$A326+1)-(Surface_Engine!G239*12),1000*12*INDEX(Surface_Engine!$C$12:$C$72,$A326+1)/(1+Assumptions!$B$10)^17+INDEX(Surface_Engine!$D$12:$D$72,$A326+1)))*INDEX(Surface_Engine!$B$12:$B$72,$A326+1)+F327</f>
        <v>7840.95318113851</v>
      </c>
      <c r="G326" s="48" t="n">
        <f aca="false">C326*(IF($A326&lt;$Q$321,INDEX(Surface_Engine!$D$12:$D$72,$A326+1)+(Surface_Engine!G239*12)*INDEX(Surface_Engine!$F$12:$F$72,$A326+1)-(Surface_Engine!G239*12),1000*12*INDEX(Surface_Engine!$C$12:$C$72,$A326+1)/(1+Assumptions!$B$10)^17+INDEX(Surface_Engine!$D$12:$D$72,$A326+1)))*INDEX(Surface_Engine!$B$12:$B$72,$A326+1)+G327</f>
        <v>15578.3894365967</v>
      </c>
      <c r="H326" s="48" t="n">
        <f aca="false">D326*(IF($A326&lt;$Q$321,INDEX(Surface_Engine!$D$12:$D$72,$A326+1)+(Surface_Engine!G239*12)*INDEX(Surface_Engine!$F$12:$F$72,$A326+1)-(Surface_Engine!G239*12),1000*12*INDEX(Surface_Engine!$C$12:$C$72,$A326+1)/(1+Assumptions!$B$10)^17+INDEX(Surface_Engine!$D$12:$D$72,$A326+1)))*INDEX(Surface_Engine!$B$12:$B$72,$A326+1)+H327</f>
        <v>5315.58738374076</v>
      </c>
      <c r="I326" s="48" t="n">
        <f aca="false">E326*(IF($A326&lt;$Q$321,INDEX(Surface_Engine!$D$12:$D$72,$A326+1)+(Surface_Engine!G239*12)*INDEX(Surface_Engine!$F$12:$F$72,$A326+1)-(Surface_Engine!G239*12),1000*12*INDEX(Surface_Engine!$C$12:$C$72,$A326+1)/(1+Assumptions!$B$10)^17+INDEX(Surface_Engine!$D$12:$D$72,$A326+1)))*INDEX(Surface_Engine!$B$12:$B$72,$A326+1)+I327</f>
        <v>10752.9156072014</v>
      </c>
      <c r="J326" s="48" t="n">
        <f aca="false">B326*(IF($A326&lt;$Q$321,INDEX(Surface_Engine!$D$12:$D$72,$A326+1)*(1+Assumptions!$B$24)+(Surface_Engine!G239*12)*INDEX(Surface_Engine!$F$12:$F$72,$A326+1)-(Surface_Engine!G239*12),1000*12*INDEX(Surface_Engine!$C$12:$C$72,$A326+1)/(1+Assumptions!$B$10)^17+INDEX(Surface_Engine!$D$12:$D$72,$A326+1)*(1+Assumptions!$B$24)))*INDEX(Surface_Engine!$B$12:$B$72,$A326+1)+J327</f>
        <v>7989.94890718146</v>
      </c>
      <c r="K326" s="12" t="n">
        <f aca="false">SQRT((IF(C326&lt;=0,0,MAX(0,(B326/C326)*G326/INDEX(Surface_Engine!$B$12:$B$72,$A326+1)-F326/INDEX(Surface_Engine!$B$12:$B$72,$A326+1))))^2+(MAX(IF(D326&lt;=0,0,MAX(0,(B326/D326)*H326/INDEX(Surface_Engine!$B$12:$B$72,$A326+1)-F326/INDEX(Surface_Engine!$B$12:$B$72,$A326+1))),IF(E326&lt;=0,0,MAX(0,(B326/E326)*I326/INDEX(Surface_Engine!$B$12:$B$72,$A326+1)-F326/INDEX(Surface_Engine!$B$12:$B$72,$A326+1))),IF($A326&lt;$Q$321,MAX(0,-Assumptions!$B$22*(F326/INDEX(Surface_Engine!$B$12:$B$72,$A326+1))),0)))^2+(MAX(0,J326/INDEX(Surface_Engine!$B$12:$B$72,$A326+1)-(F326/INDEX(Surface_Engine!$B$12:$B$72,$A326+1))))^2+2*Assumptions!$B$26*(IF(C326&lt;=0,0,MAX(0,(B326/C326)*G326/INDEX(Surface_Engine!$B$12:$B$72,$A326+1)-F326/INDEX(Surface_Engine!$B$12:$B$72,$A326+1))))*(MAX(IF(D326&lt;=0,0,MAX(0,(B326/D326)*H326/INDEX(Surface_Engine!$B$12:$B$72,$A326+1)-F326/INDEX(Surface_Engine!$B$12:$B$72,$A326+1))),IF(E326&lt;=0,0,MAX(0,(B326/E326)*I326/INDEX(Surface_Engine!$B$12:$B$72,$A326+1)-F326/INDEX(Surface_Engine!$B$12:$B$72,$A326+1))),IF($A326&lt;$Q$321,MAX(0,-Assumptions!$B$22*(F326/INDEX(Surface_Engine!$B$12:$B$72,$A326+1))),0)))+2*Assumptions!$B$27*(IF(C326&lt;=0,0,MAX(0,(B326/C326)*G326/INDEX(Surface_Engine!$B$12:$B$72,$A326+1)-F326/INDEX(Surface_Engine!$B$12:$B$72,$A326+1))))*(MAX(0,J326/INDEX(Surface_Engine!$B$12:$B$72,$A326+1)-(F326/INDEX(Surface_Engine!$B$12:$B$72,$A326+1))))+2*Assumptions!$B$28*(MAX(IF(D326&lt;=0,0,MAX(0,(B326/D326)*H326/INDEX(Surface_Engine!$B$12:$B$72,$A326+1)-F326/INDEX(Surface_Engine!$B$12:$B$72,$A326+1))),IF(E326&lt;=0,0,MAX(0,(B326/E326)*I326/INDEX(Surface_Engine!$B$12:$B$72,$A326+1)-F326/INDEX(Surface_Engine!$B$12:$B$72,$A326+1))),IF($A326&lt;$Q$321,MAX(0,-Assumptions!$B$22*(F326/INDEX(Surface_Engine!$B$12:$B$72,$A326+1))),0)))*(MAX(0,J326/INDEX(Surface_Engine!$B$12:$B$72,$A326+1)-(F326/INDEX(Surface_Engine!$B$12:$B$72,$A326+1)))))</f>
        <v>9428.58460420295</v>
      </c>
      <c r="L326" s="48" t="n">
        <f aca="false">K326*INDEX(Surface_Engine!$B$12:$B$72,$A326+1)+L327</f>
        <v>170829.550896532</v>
      </c>
      <c r="M326" s="48" t="n">
        <f aca="false">M325+B325*(IF($A325&lt;$Q$321,(Surface_Engine!G239*12)-(Surface_Engine!G239*12)*INDEX(Surface_Engine!$F$12:$F$72,$A325+1)-INDEX(Surface_Engine!$D$12:$D$72,$A325+1),-(1000*12*INDEX(Surface_Engine!$C$12:$C$72,$A325+1)/(1+Assumptions!$B$10)^17+INDEX(Surface_Engine!$D$12:$D$72,$A325+1))))*INDEX(Surface_Engine!$B$12:$B$72,$A325+1)</f>
        <v>9880.05402167946</v>
      </c>
      <c r="N326" s="12" t="n">
        <f aca="false">IF(B326&lt;=0,0,MAX(0,(K326+Assumptions!$B$29*L326/INDEX(Surface_Engine!$B$12:$B$72,$A326+1)-(M326/INDEX(Surface_Engine!$B$12:$B$72,$A326+1)-(F326/INDEX(Surface_Engine!$B$12:$B$72,$A326+1))))/B326))</f>
        <v>20027.4315375776</v>
      </c>
    </row>
    <row r="327" customFormat="false" ht="15" hidden="false" customHeight="true" outlineLevel="0" collapsed="false">
      <c r="A327" s="1" t="n">
        <v>4</v>
      </c>
      <c r="B327" s="32" t="n">
        <f aca="false">INDEX(Surface_Engine!$J$12:$J$72,$A327+1)*IF($A327&lt;$Q$321,INDEX(Surface_Engine!$E$12:$E$72,$A327+1),INDEX(Surface_Engine!$E$12:$E$72,$Q$321+1))</f>
        <v>0.896855770646062</v>
      </c>
      <c r="C327" s="32" t="n">
        <f aca="false">INDEX(Panel_Reserving!$C$8:$C$68,$A327+1)*IF($A327&lt;$Q$321,INDEX(Surface_Engine!$E$12:$E$72,$A327+1),INDEX(Surface_Engine!$E$12:$E$72,$Q$321+1))</f>
        <v>0.900221895072226</v>
      </c>
      <c r="D327" s="32" t="n">
        <f aca="false">INDEX(Surface_Engine!$J$12:$J$72,$A327+1)*IF($A327&lt;$Q$321,INDEX(Surface_Engine!$Y$12:$Y$72,$A327+1),INDEX(Surface_Engine!$Y$12:$Y$72,$Q$321+1))</f>
        <v>0.856480379211671</v>
      </c>
      <c r="E327" s="32" t="n">
        <f aca="false">INDEX(Surface_Engine!$J$12:$J$72,$A327+1)*IF($A327&lt;$Q$321,INDEX(Surface_Engine!$Z$12:$Z$72,$A327+1),INDEX(Surface_Engine!$Z$12:$Z$72,$Q$321+1))</f>
        <v>0.938513314868174</v>
      </c>
      <c r="F327" s="48" t="n">
        <f aca="false">B327*(IF($A327&lt;$Q$321,INDEX(Surface_Engine!$D$12:$D$72,$A327+1)+(Surface_Engine!G239*12)*INDEX(Surface_Engine!$F$12:$F$72,$A327+1)-(Surface_Engine!G239*12),1000*12*INDEX(Surface_Engine!$C$12:$C$72,$A327+1)/(1+Assumptions!$B$10)^17+INDEX(Surface_Engine!$D$12:$D$72,$A327+1)))*INDEX(Surface_Engine!$B$12:$B$72,$A327+1)+F328</f>
        <v>12478.8045817898</v>
      </c>
      <c r="G327" s="48" t="n">
        <f aca="false">C327*(IF($A327&lt;$Q$321,INDEX(Surface_Engine!$D$12:$D$72,$A327+1)+(Surface_Engine!G239*12)*INDEX(Surface_Engine!$F$12:$F$72,$A327+1)-(Surface_Engine!G239*12),1000*12*INDEX(Surface_Engine!$C$12:$C$72,$A327+1)/(1+Assumptions!$B$10)^17+INDEX(Surface_Engine!$D$12:$D$72,$A327+1)))*INDEX(Surface_Engine!$B$12:$B$72,$A327+1)+G328</f>
        <v>20228.5959893874</v>
      </c>
      <c r="H327" s="48" t="n">
        <f aca="false">D327*(IF($A327&lt;$Q$321,INDEX(Surface_Engine!$D$12:$D$72,$A327+1)+(Surface_Engine!G239*12)*INDEX(Surface_Engine!$F$12:$F$72,$A327+1)-(Surface_Engine!G239*12),1000*12*INDEX(Surface_Engine!$C$12:$C$72,$A327+1)/(1+Assumptions!$B$10)^17+INDEX(Surface_Engine!$D$12:$D$72,$A327+1)))*INDEX(Surface_Engine!$B$12:$B$72,$A327+1)+H328</f>
        <v>9774.70097960483</v>
      </c>
      <c r="I327" s="48" t="n">
        <f aca="false">E327*(IF($A327&lt;$Q$321,INDEX(Surface_Engine!$D$12:$D$72,$A327+1)+(Surface_Engine!G239*12)*INDEX(Surface_Engine!$F$12:$F$72,$A327+1)-(Surface_Engine!G239*12),1000*12*INDEX(Surface_Engine!$C$12:$C$72,$A327+1)/(1+Assumptions!$B$10)^17+INDEX(Surface_Engine!$D$12:$D$72,$A327+1)))*INDEX(Surface_Engine!$B$12:$B$72,$A327+1)+I328</f>
        <v>15573.6976113748</v>
      </c>
      <c r="J327" s="48" t="n">
        <f aca="false">B327*(IF($A327&lt;$Q$321,INDEX(Surface_Engine!$D$12:$D$72,$A327+1)*(1+Assumptions!$B$24)+(Surface_Engine!G239*12)*INDEX(Surface_Engine!$F$12:$F$72,$A327+1)-(Surface_Engine!G239*12),1000*12*INDEX(Surface_Engine!$C$12:$C$72,$A327+1)/(1+Assumptions!$B$10)^17+INDEX(Surface_Engine!$D$12:$D$72,$A327+1)*(1+Assumptions!$B$24)))*INDEX(Surface_Engine!$B$12:$B$72,$A327+1)+J328</f>
        <v>12620.3336068248</v>
      </c>
      <c r="K327" s="12" t="n">
        <f aca="false">SQRT((IF(C327&lt;=0,0,MAX(0,(B327/C327)*G327/INDEX(Surface_Engine!$B$12:$B$72,$A327+1)-F327/INDEX(Surface_Engine!$B$12:$B$72,$A327+1))))^2+(MAX(IF(D327&lt;=0,0,MAX(0,(B327/D327)*H327/INDEX(Surface_Engine!$B$12:$B$72,$A327+1)-F327/INDEX(Surface_Engine!$B$12:$B$72,$A327+1))),IF(E327&lt;=0,0,MAX(0,(B327/E327)*I327/INDEX(Surface_Engine!$B$12:$B$72,$A327+1)-F327/INDEX(Surface_Engine!$B$12:$B$72,$A327+1))),IF($A327&lt;$Q$321,MAX(0,-Assumptions!$B$22*(F327/INDEX(Surface_Engine!$B$12:$B$72,$A327+1))),0)))^2+(MAX(0,J327/INDEX(Surface_Engine!$B$12:$B$72,$A327+1)-(F327/INDEX(Surface_Engine!$B$12:$B$72,$A327+1))))^2+2*Assumptions!$B$26*(IF(C327&lt;=0,0,MAX(0,(B327/C327)*G327/INDEX(Surface_Engine!$B$12:$B$72,$A327+1)-F327/INDEX(Surface_Engine!$B$12:$B$72,$A327+1))))*(MAX(IF(D327&lt;=0,0,MAX(0,(B327/D327)*H327/INDEX(Surface_Engine!$B$12:$B$72,$A327+1)-F327/INDEX(Surface_Engine!$B$12:$B$72,$A327+1))),IF(E327&lt;=0,0,MAX(0,(B327/E327)*I327/INDEX(Surface_Engine!$B$12:$B$72,$A327+1)-F327/INDEX(Surface_Engine!$B$12:$B$72,$A327+1))),IF($A327&lt;$Q$321,MAX(0,-Assumptions!$B$22*(F327/INDEX(Surface_Engine!$B$12:$B$72,$A327+1))),0)))+2*Assumptions!$B$27*(IF(C327&lt;=0,0,MAX(0,(B327/C327)*G327/INDEX(Surface_Engine!$B$12:$B$72,$A327+1)-F327/INDEX(Surface_Engine!$B$12:$B$72,$A327+1))))*(MAX(0,J327/INDEX(Surface_Engine!$B$12:$B$72,$A327+1)-(F327/INDEX(Surface_Engine!$B$12:$B$72,$A327+1))))+2*Assumptions!$B$28*(MAX(IF(D327&lt;=0,0,MAX(0,(B327/D327)*H327/INDEX(Surface_Engine!$B$12:$B$72,$A327+1)-F327/INDEX(Surface_Engine!$B$12:$B$72,$A327+1))),IF(E327&lt;=0,0,MAX(0,(B327/E327)*I327/INDEX(Surface_Engine!$B$12:$B$72,$A327+1)-F327/INDEX(Surface_Engine!$B$12:$B$72,$A327+1))),IF($A327&lt;$Q$321,MAX(0,-Assumptions!$B$22*(F327/INDEX(Surface_Engine!$B$12:$B$72,$A327+1))),0)))*(MAX(0,J327/INDEX(Surface_Engine!$B$12:$B$72,$A327+1)-(F327/INDEX(Surface_Engine!$B$12:$B$72,$A327+1)))))</f>
        <v>9597.07018949877</v>
      </c>
      <c r="L327" s="48" t="n">
        <f aca="false">K327*INDEX(Surface_Engine!$B$12:$B$72,$A327+1)+L328</f>
        <v>162105.871676666</v>
      </c>
      <c r="M327" s="48" t="n">
        <f aca="false">M326+B326*(IF($A326&lt;$Q$321,(Surface_Engine!G239*12)-(Surface_Engine!G239*12)*INDEX(Surface_Engine!$F$12:$F$72,$A326+1)-INDEX(Surface_Engine!$D$12:$D$72,$A326+1),-(1000*12*INDEX(Surface_Engine!$C$12:$C$72,$A326+1)/(1+Assumptions!$B$10)^17+INDEX(Surface_Engine!$D$12:$D$72,$A326+1))))*INDEX(Surface_Engine!$B$12:$B$72,$A326+1)</f>
        <v>14517.9054223308</v>
      </c>
      <c r="N327" s="12" t="n">
        <f aca="false">IF(B327&lt;=0,0,MAX(0,(K327+Assumptions!$B$29*L327/INDEX(Surface_Engine!$B$12:$B$72,$A327+1)-(M327/INDEX(Surface_Engine!$B$12:$B$72,$A327+1)-(F327/INDEX(Surface_Engine!$B$12:$B$72,$A327+1))))/B327))</f>
        <v>20212.2591569205</v>
      </c>
    </row>
    <row r="328" customFormat="false" ht="15" hidden="false" customHeight="true" outlineLevel="0" collapsed="false">
      <c r="A328" s="1" t="n">
        <v>5</v>
      </c>
      <c r="B328" s="32" t="n">
        <f aca="false">INDEX(Surface_Engine!$J$12:$J$72,$A328+1)*IF($A328&lt;$Q$321,INDEX(Surface_Engine!$E$12:$E$72,$A328+1),INDEX(Surface_Engine!$E$12:$E$72,$Q$321+1))</f>
        <v>0.879688270493715</v>
      </c>
      <c r="C328" s="32" t="n">
        <f aca="false">INDEX(Panel_Reserving!$C$8:$C$68,$A328+1)*IF($A328&lt;$Q$321,INDEX(Surface_Engine!$E$12:$E$72,$A328+1),INDEX(Surface_Engine!$E$12:$E$72,$Q$321+1))</f>
        <v>0.884041757565766</v>
      </c>
      <c r="D328" s="32" t="n">
        <f aca="false">INDEX(Surface_Engine!$J$12:$J$72,$A328+1)*IF($A328&lt;$Q$321,INDEX(Surface_Engine!$Y$12:$Y$72,$A328+1),INDEX(Surface_Engine!$Y$12:$Y$72,$Q$321+1))</f>
        <v>0.834423866633532</v>
      </c>
      <c r="E328" s="32" t="n">
        <f aca="false">INDEX(Surface_Engine!$J$12:$J$72,$A328+1)*IF($A328&lt;$Q$321,INDEX(Surface_Engine!$Z$12:$Z$72,$A328+1),INDEX(Surface_Engine!$Z$12:$Z$72,$Q$321+1))</f>
        <v>0.926752573546771</v>
      </c>
      <c r="F328" s="48" t="n">
        <f aca="false">B328*(IF($A328&lt;$Q$321,INDEX(Surface_Engine!$D$12:$D$72,$A328+1)+(Surface_Engine!G239*12)*INDEX(Surface_Engine!$F$12:$F$72,$A328+1)-(Surface_Engine!G239*12),1000*12*INDEX(Surface_Engine!$C$12:$C$72,$A328+1)/(1+Assumptions!$B$10)^17+INDEX(Surface_Engine!$D$12:$D$72,$A328+1)))*INDEX(Surface_Engine!$B$12:$B$72,$A328+1)+F329</f>
        <v>16910.0154615997</v>
      </c>
      <c r="G328" s="48" t="n">
        <f aca="false">C328*(IF($A328&lt;$Q$321,INDEX(Surface_Engine!$D$12:$D$72,$A328+1)+(Surface_Engine!G239*12)*INDEX(Surface_Engine!$F$12:$F$72,$A328+1)-(Surface_Engine!G239*12),1000*12*INDEX(Surface_Engine!$C$12:$C$72,$A328+1)/(1+Assumptions!$B$10)^17+INDEX(Surface_Engine!$D$12:$D$72,$A328+1)))*INDEX(Surface_Engine!$B$12:$B$72,$A328+1)+G329</f>
        <v>24676.438313927</v>
      </c>
      <c r="H328" s="48" t="n">
        <f aca="false">D328*(IF($A328&lt;$Q$321,INDEX(Surface_Engine!$D$12:$D$72,$A328+1)+(Surface_Engine!G239*12)*INDEX(Surface_Engine!$F$12:$F$72,$A328+1)-(Surface_Engine!G239*12),1000*12*INDEX(Surface_Engine!$C$12:$C$72,$A328+1)/(1+Assumptions!$B$10)^17+INDEX(Surface_Engine!$D$12:$D$72,$A328+1)))*INDEX(Surface_Engine!$B$12:$B$72,$A328+1)+H329</f>
        <v>14006.4239599593</v>
      </c>
      <c r="I328" s="48" t="n">
        <f aca="false">E328*(IF($A328&lt;$Q$321,INDEX(Surface_Engine!$D$12:$D$72,$A328+1)+(Surface_Engine!G239*12)*INDEX(Surface_Engine!$F$12:$F$72,$A328+1)-(Surface_Engine!G239*12),1000*12*INDEX(Surface_Engine!$C$12:$C$72,$A328+1)/(1+Assumptions!$B$10)^17+INDEX(Surface_Engine!$D$12:$D$72,$A328+1)))*INDEX(Surface_Engine!$B$12:$B$72,$A328+1)+I329</f>
        <v>20210.7312881437</v>
      </c>
      <c r="J328" s="48" t="n">
        <f aca="false">B328*(IF($A328&lt;$Q$321,INDEX(Surface_Engine!$D$12:$D$72,$A328+1)*(1+Assumptions!$B$24)+(Surface_Engine!G239*12)*INDEX(Surface_Engine!$F$12:$F$72,$A328+1)-(Surface_Engine!G239*12),1000*12*INDEX(Surface_Engine!$C$12:$C$72,$A328+1)/(1+Assumptions!$B$10)^17+INDEX(Surface_Engine!$D$12:$D$72,$A328+1)*(1+Assumptions!$B$24)))*INDEX(Surface_Engine!$B$12:$B$72,$A328+1)+J329</f>
        <v>17044.229171352</v>
      </c>
      <c r="K328" s="12" t="n">
        <f aca="false">SQRT((IF(C328&lt;=0,0,MAX(0,(B328/C328)*G328/INDEX(Surface_Engine!$B$12:$B$72,$A328+1)-F328/INDEX(Surface_Engine!$B$12:$B$72,$A328+1))))^2+(MAX(IF(D328&lt;=0,0,MAX(0,(B328/D328)*H328/INDEX(Surface_Engine!$B$12:$B$72,$A328+1)-F328/INDEX(Surface_Engine!$B$12:$B$72,$A328+1))),IF(E328&lt;=0,0,MAX(0,(B328/E328)*I328/INDEX(Surface_Engine!$B$12:$B$72,$A328+1)-F328/INDEX(Surface_Engine!$B$12:$B$72,$A328+1))),IF($A328&lt;$Q$321,MAX(0,-Assumptions!$B$22*(F328/INDEX(Surface_Engine!$B$12:$B$72,$A328+1))),0)))^2+(MAX(0,J328/INDEX(Surface_Engine!$B$12:$B$72,$A328+1)-(F328/INDEX(Surface_Engine!$B$12:$B$72,$A328+1))))^2+2*Assumptions!$B$26*(IF(C328&lt;=0,0,MAX(0,(B328/C328)*G328/INDEX(Surface_Engine!$B$12:$B$72,$A328+1)-F328/INDEX(Surface_Engine!$B$12:$B$72,$A328+1))))*(MAX(IF(D328&lt;=0,0,MAX(0,(B328/D328)*H328/INDEX(Surface_Engine!$B$12:$B$72,$A328+1)-F328/INDEX(Surface_Engine!$B$12:$B$72,$A328+1))),IF(E328&lt;=0,0,MAX(0,(B328/E328)*I328/INDEX(Surface_Engine!$B$12:$B$72,$A328+1)-F328/INDEX(Surface_Engine!$B$12:$B$72,$A328+1))),IF($A328&lt;$Q$321,MAX(0,-Assumptions!$B$22*(F328/INDEX(Surface_Engine!$B$12:$B$72,$A328+1))),0)))+2*Assumptions!$B$27*(IF(C328&lt;=0,0,MAX(0,(B328/C328)*G328/INDEX(Surface_Engine!$B$12:$B$72,$A328+1)-F328/INDEX(Surface_Engine!$B$12:$B$72,$A328+1))))*(MAX(0,J328/INDEX(Surface_Engine!$B$12:$B$72,$A328+1)-(F328/INDEX(Surface_Engine!$B$12:$B$72,$A328+1))))+2*Assumptions!$B$28*(MAX(IF(D328&lt;=0,0,MAX(0,(B328/D328)*H328/INDEX(Surface_Engine!$B$12:$B$72,$A328+1)-F328/INDEX(Surface_Engine!$B$12:$B$72,$A328+1))),IF(E328&lt;=0,0,MAX(0,(B328/E328)*I328/INDEX(Surface_Engine!$B$12:$B$72,$A328+1)-F328/INDEX(Surface_Engine!$B$12:$B$72,$A328+1))),IF($A328&lt;$Q$321,MAX(0,-Assumptions!$B$22*(F328/INDEX(Surface_Engine!$B$12:$B$72,$A328+1))),0)))*(MAX(0,J328/INDEX(Surface_Engine!$B$12:$B$72,$A328+1)-(F328/INDEX(Surface_Engine!$B$12:$B$72,$A328+1)))))</f>
        <v>9756.51535865</v>
      </c>
      <c r="L328" s="48" t="n">
        <f aca="false">K328*INDEX(Surface_Engine!$B$12:$B$72,$A328+1)+L329</f>
        <v>153457.391410753</v>
      </c>
      <c r="M328" s="48" t="n">
        <f aca="false">M327+B327*(IF($A327&lt;$Q$321,(Surface_Engine!G239*12)-(Surface_Engine!G239*12)*INDEX(Surface_Engine!$F$12:$F$72,$A327+1)-INDEX(Surface_Engine!$D$12:$D$72,$A327+1),-(1000*12*INDEX(Surface_Engine!$C$12:$C$72,$A327+1)/(1+Assumptions!$B$10)^17+INDEX(Surface_Engine!$D$12:$D$72,$A327+1))))*INDEX(Surface_Engine!$B$12:$B$72,$A327+1)</f>
        <v>18949.1163021407</v>
      </c>
      <c r="N328" s="12" t="n">
        <f aca="false">IF(B328&lt;=0,0,MAX(0,(K328+Assumptions!$B$29*L328/INDEX(Surface_Engine!$B$12:$B$72,$A328+1)-(M328/INDEX(Surface_Engine!$B$12:$B$72,$A328+1)-(F328/INDEX(Surface_Engine!$B$12:$B$72,$A328+1))))/B328))</f>
        <v>20386.6747378277</v>
      </c>
    </row>
    <row r="329" customFormat="false" ht="15" hidden="false" customHeight="true" outlineLevel="0" collapsed="false">
      <c r="A329" s="1" t="n">
        <v>6</v>
      </c>
      <c r="B329" s="32" t="n">
        <f aca="false">INDEX(Surface_Engine!$J$12:$J$72,$A329+1)*IF($A329&lt;$Q$321,INDEX(Surface_Engine!$E$12:$E$72,$A329+1),INDEX(Surface_Engine!$E$12:$E$72,$Q$321+1))</f>
        <v>0.866009413503451</v>
      </c>
      <c r="C329" s="32" t="n">
        <f aca="false">INDEX(Panel_Reserving!$C$8:$C$68,$A329+1)*IF($A329&lt;$Q$321,INDEX(Surface_Engine!$E$12:$E$72,$A329+1),INDEX(Surface_Engine!$E$12:$E$72,$Q$321+1))</f>
        <v>0.871435559765987</v>
      </c>
      <c r="D329" s="32" t="n">
        <f aca="false">INDEX(Surface_Engine!$J$12:$J$72,$A329+1)*IF($A329&lt;$Q$321,INDEX(Surface_Engine!$Y$12:$Y$72,$A329+1),INDEX(Surface_Engine!$Y$12:$Y$72,$Q$321+1))</f>
        <v>0.817676939175658</v>
      </c>
      <c r="E329" s="32" t="n">
        <f aca="false">INDEX(Surface_Engine!$J$12:$J$72,$A329+1)*IF($A329&lt;$Q$321,INDEX(Surface_Engine!$Z$12:$Z$72,$A329+1),INDEX(Surface_Engine!$Z$12:$Z$72,$Q$321+1))</f>
        <v>0.91653116045476</v>
      </c>
      <c r="F329" s="48" t="n">
        <f aca="false">B329*(IF($A329&lt;$Q$321,INDEX(Surface_Engine!$D$12:$D$72,$A329+1)+(Surface_Engine!G239*12)*INDEX(Surface_Engine!$F$12:$F$72,$A329+1)-(Surface_Engine!G239*12),1000*12*INDEX(Surface_Engine!$C$12:$C$72,$A329+1)/(1+Assumptions!$B$10)^17+INDEX(Surface_Engine!$D$12:$D$72,$A329+1)))*INDEX(Surface_Engine!$B$12:$B$72,$A329+1)+F330</f>
        <v>21136.2300823826</v>
      </c>
      <c r="G329" s="48" t="n">
        <f aca="false">C329*(IF($A329&lt;$Q$321,INDEX(Surface_Engine!$D$12:$D$72,$A329+1)+(Surface_Engine!G239*12)*INDEX(Surface_Engine!$F$12:$F$72,$A329+1)-(Surface_Engine!G239*12),1000*12*INDEX(Surface_Engine!$C$12:$C$72,$A329+1)/(1+Assumptions!$B$10)^17+INDEX(Surface_Engine!$D$12:$D$72,$A329+1)))*INDEX(Surface_Engine!$B$12:$B$72,$A329+1)+G330</f>
        <v>28923.5680376303</v>
      </c>
      <c r="H329" s="48" t="n">
        <f aca="false">D329*(IF($A329&lt;$Q$321,INDEX(Surface_Engine!$D$12:$D$72,$A329+1)+(Surface_Engine!G239*12)*INDEX(Surface_Engine!$F$12:$F$72,$A329+1)-(Surface_Engine!G239*12),1000*12*INDEX(Surface_Engine!$C$12:$C$72,$A329+1)/(1+Assumptions!$B$10)^17+INDEX(Surface_Engine!$D$12:$D$72,$A329+1)))*INDEX(Surface_Engine!$B$12:$B$72,$A329+1)+H330</f>
        <v>18015.1784965153</v>
      </c>
      <c r="I329" s="48" t="n">
        <f aca="false">E329*(IF($A329&lt;$Q$321,INDEX(Surface_Engine!$D$12:$D$72,$A329+1)+(Surface_Engine!G239*12)*INDEX(Surface_Engine!$F$12:$F$72,$A329+1)-(Surface_Engine!G239*12),1000*12*INDEX(Surface_Engine!$C$12:$C$72,$A329+1)/(1+Assumptions!$B$10)^17+INDEX(Surface_Engine!$D$12:$D$72,$A329+1)))*INDEX(Surface_Engine!$B$12:$B$72,$A329+1)+I330</f>
        <v>24663.0531020669</v>
      </c>
      <c r="J329" s="48" t="n">
        <f aca="false">B329*(IF($A329&lt;$Q$321,INDEX(Surface_Engine!$D$12:$D$72,$A329+1)*(1+Assumptions!$B$24)+(Surface_Engine!G239*12)*INDEX(Surface_Engine!$F$12:$F$72,$A329+1)-(Surface_Engine!G239*12),1000*12*INDEX(Surface_Engine!$C$12:$C$72,$A329+1)/(1+Assumptions!$B$10)^17+INDEX(Surface_Engine!$D$12:$D$72,$A329+1)*(1+Assumptions!$B$24)))*INDEX(Surface_Engine!$B$12:$B$72,$A329+1)+J330</f>
        <v>21263.2895222281</v>
      </c>
      <c r="K329" s="12" t="n">
        <f aca="false">SQRT((IF(C329&lt;=0,0,MAX(0,(B329/C329)*G329/INDEX(Surface_Engine!$B$12:$B$72,$A329+1)-F329/INDEX(Surface_Engine!$B$12:$B$72,$A329+1))))^2+(MAX(IF(D329&lt;=0,0,MAX(0,(B329/D329)*H329/INDEX(Surface_Engine!$B$12:$B$72,$A329+1)-F329/INDEX(Surface_Engine!$B$12:$B$72,$A329+1))),IF(E329&lt;=0,0,MAX(0,(B329/E329)*I329/INDEX(Surface_Engine!$B$12:$B$72,$A329+1)-F329/INDEX(Surface_Engine!$B$12:$B$72,$A329+1))),IF($A329&lt;$Q$321,MAX(0,-Assumptions!$B$22*(F329/INDEX(Surface_Engine!$B$12:$B$72,$A329+1))),0)))^2+(MAX(0,J329/INDEX(Surface_Engine!$B$12:$B$72,$A329+1)-(F329/INDEX(Surface_Engine!$B$12:$B$72,$A329+1))))^2+2*Assumptions!$B$26*(IF(C329&lt;=0,0,MAX(0,(B329/C329)*G329/INDEX(Surface_Engine!$B$12:$B$72,$A329+1)-F329/INDEX(Surface_Engine!$B$12:$B$72,$A329+1))))*(MAX(IF(D329&lt;=0,0,MAX(0,(B329/D329)*H329/INDEX(Surface_Engine!$B$12:$B$72,$A329+1)-F329/INDEX(Surface_Engine!$B$12:$B$72,$A329+1))),IF(E329&lt;=0,0,MAX(0,(B329/E329)*I329/INDEX(Surface_Engine!$B$12:$B$72,$A329+1)-F329/INDEX(Surface_Engine!$B$12:$B$72,$A329+1))),IF($A329&lt;$Q$321,MAX(0,-Assumptions!$B$22*(F329/INDEX(Surface_Engine!$B$12:$B$72,$A329+1))),0)))+2*Assumptions!$B$27*(IF(C329&lt;=0,0,MAX(0,(B329/C329)*G329/INDEX(Surface_Engine!$B$12:$B$72,$A329+1)-F329/INDEX(Surface_Engine!$B$12:$B$72,$A329+1))))*(MAX(0,J329/INDEX(Surface_Engine!$B$12:$B$72,$A329+1)-(F329/INDEX(Surface_Engine!$B$12:$B$72,$A329+1))))+2*Assumptions!$B$28*(MAX(IF(D329&lt;=0,0,MAX(0,(B329/D329)*H329/INDEX(Surface_Engine!$B$12:$B$72,$A329+1)-F329/INDEX(Surface_Engine!$B$12:$B$72,$A329+1))),IF(E329&lt;=0,0,MAX(0,(B329/E329)*I329/INDEX(Surface_Engine!$B$12:$B$72,$A329+1)-F329/INDEX(Surface_Engine!$B$12:$B$72,$A329+1))),IF($A329&lt;$Q$321,MAX(0,-Assumptions!$B$22*(F329/INDEX(Surface_Engine!$B$12:$B$72,$A329+1))),0)))*(MAX(0,J329/INDEX(Surface_Engine!$B$12:$B$72,$A329+1)-(F329/INDEX(Surface_Engine!$B$12:$B$72,$A329+1)))))</f>
        <v>9930.90124732347</v>
      </c>
      <c r="L329" s="48" t="n">
        <f aca="false">K329*INDEX(Surface_Engine!$B$12:$B$72,$A329+1)+L330</f>
        <v>144904.793148639</v>
      </c>
      <c r="M329" s="48" t="n">
        <f aca="false">M328+B328*(IF($A328&lt;$Q$321,(Surface_Engine!G239*12)-(Surface_Engine!G239*12)*INDEX(Surface_Engine!$F$12:$F$72,$A328+1)-INDEX(Surface_Engine!$D$12:$D$72,$A328+1),-(1000*12*INDEX(Surface_Engine!$C$12:$C$72,$A328+1)/(1+Assumptions!$B$10)^17+INDEX(Surface_Engine!$D$12:$D$72,$A328+1))))*INDEX(Surface_Engine!$B$12:$B$72,$A328+1)</f>
        <v>23175.3309229235</v>
      </c>
      <c r="N329" s="12" t="n">
        <f aca="false">IF(B329&lt;=0,0,MAX(0,(K329+Assumptions!$B$29*L329/INDEX(Surface_Engine!$B$12:$B$72,$A329+1)-(M329/INDEX(Surface_Engine!$B$12:$B$72,$A329+1)-(F329/INDEX(Surface_Engine!$B$12:$B$72,$A329+1))))/B329))</f>
        <v>20487.5531389248</v>
      </c>
    </row>
    <row r="330" customFormat="false" ht="15" hidden="false" customHeight="true" outlineLevel="0" collapsed="false">
      <c r="A330" s="1" t="n">
        <v>7</v>
      </c>
      <c r="B330" s="32" t="n">
        <f aca="false">INDEX(Surface_Engine!$J$12:$J$72,$A330+1)*IF($A330&lt;$Q$321,INDEX(Surface_Engine!$E$12:$E$72,$A330+1),INDEX(Surface_Engine!$E$12:$E$72,$Q$321+1))</f>
        <v>0.851970227585295</v>
      </c>
      <c r="C330" s="32" t="n">
        <f aca="false">INDEX(Panel_Reserving!$C$8:$C$68,$A330+1)*IF($A330&lt;$Q$321,INDEX(Surface_Engine!$E$12:$E$72,$A330+1),INDEX(Surface_Engine!$E$12:$E$72,$Q$321+1))</f>
        <v>0.858547826166602</v>
      </c>
      <c r="D330" s="32" t="n">
        <f aca="false">INDEX(Surface_Engine!$J$12:$J$72,$A330+1)*IF($A330&lt;$Q$321,INDEX(Surface_Engine!$Y$12:$Y$72,$A330+1),INDEX(Surface_Engine!$Y$12:$Y$72,$Q$321+1))</f>
        <v>0.800727558348016</v>
      </c>
      <c r="E330" s="32" t="n">
        <f aca="false">INDEX(Surface_Engine!$J$12:$J$72,$A330+1)*IF($A330&lt;$Q$321,INDEX(Surface_Engine!$Z$12:$Z$72,$A330+1),INDEX(Surface_Engine!$Z$12:$Z$72,$Q$321+1))</f>
        <v>0.905813237110126</v>
      </c>
      <c r="F330" s="48" t="n">
        <f aca="false">B330*(IF($A330&lt;$Q$321,INDEX(Surface_Engine!$D$12:$D$72,$A330+1)+(Surface_Engine!G239*12)*INDEX(Surface_Engine!$F$12:$F$72,$A330+1)-(Surface_Engine!G239*12),1000*12*INDEX(Surface_Engine!$C$12:$C$72,$A330+1)/(1+Assumptions!$B$10)^17+INDEX(Surface_Engine!$D$12:$D$72,$A330+1)))*INDEX(Surface_Engine!$B$12:$B$72,$A330+1)+F331</f>
        <v>25178.1089247147</v>
      </c>
      <c r="G330" s="48" t="n">
        <f aca="false">C330*(IF($A330&lt;$Q$321,INDEX(Surface_Engine!$D$12:$D$72,$A330+1)+(Surface_Engine!G239*12)*INDEX(Surface_Engine!$F$12:$F$72,$A330+1)-(Surface_Engine!G239*12),1000*12*INDEX(Surface_Engine!$C$12:$C$72,$A330+1)/(1+Assumptions!$B$10)^17+INDEX(Surface_Engine!$D$12:$D$72,$A330+1)))*INDEX(Surface_Engine!$B$12:$B$72,$A330+1)+G331</f>
        <v>32990.7720385946</v>
      </c>
      <c r="H330" s="48" t="n">
        <f aca="false">D330*(IF($A330&lt;$Q$321,INDEX(Surface_Engine!$D$12:$D$72,$A330+1)+(Surface_Engine!G239*12)*INDEX(Surface_Engine!$F$12:$F$72,$A330+1)-(Surface_Engine!G239*12),1000*12*INDEX(Surface_Engine!$C$12:$C$72,$A330+1)/(1+Assumptions!$B$10)^17+INDEX(Surface_Engine!$D$12:$D$72,$A330+1)))*INDEX(Surface_Engine!$B$12:$B$72,$A330+1)+H331</f>
        <v>21831.4777985596</v>
      </c>
      <c r="I330" s="48" t="n">
        <f aca="false">E330*(IF($A330&lt;$Q$321,INDEX(Surface_Engine!$D$12:$D$72,$A330+1)+(Surface_Engine!G239*12)*INDEX(Surface_Engine!$F$12:$F$72,$A330+1)-(Surface_Engine!G239*12),1000*12*INDEX(Surface_Engine!$C$12:$C$72,$A330+1)/(1+Assumptions!$B$10)^17+INDEX(Surface_Engine!$D$12:$D$72,$A330+1)))*INDEX(Surface_Engine!$B$12:$B$72,$A330+1)+I331</f>
        <v>28940.7293582563</v>
      </c>
      <c r="J330" s="48" t="n">
        <f aca="false">B330*(IF($A330&lt;$Q$321,INDEX(Surface_Engine!$D$12:$D$72,$A330+1)*(1+Assumptions!$B$24)+(Surface_Engine!G239*12)*INDEX(Surface_Engine!$F$12:$F$72,$A330+1)-(Surface_Engine!G239*12),1000*12*INDEX(Surface_Engine!$C$12:$C$72,$A330+1)/(1+Assumptions!$B$10)^17+INDEX(Surface_Engine!$D$12:$D$72,$A330+1)*(1+Assumptions!$B$24)))*INDEX(Surface_Engine!$B$12:$B$72,$A330+1)+J331</f>
        <v>25298.1521192528</v>
      </c>
      <c r="K330" s="12" t="n">
        <f aca="false">SQRT((IF(C330&lt;=0,0,MAX(0,(B330/C330)*G330/INDEX(Surface_Engine!$B$12:$B$72,$A330+1)-F330/INDEX(Surface_Engine!$B$12:$B$72,$A330+1))))^2+(MAX(IF(D330&lt;=0,0,MAX(0,(B330/D330)*H330/INDEX(Surface_Engine!$B$12:$B$72,$A330+1)-F330/INDEX(Surface_Engine!$B$12:$B$72,$A330+1))),IF(E330&lt;=0,0,MAX(0,(B330/E330)*I330/INDEX(Surface_Engine!$B$12:$B$72,$A330+1)-F330/INDEX(Surface_Engine!$B$12:$B$72,$A330+1))),IF($A330&lt;$Q$321,MAX(0,-Assumptions!$B$22*(F330/INDEX(Surface_Engine!$B$12:$B$72,$A330+1))),0)))^2+(MAX(0,J330/INDEX(Surface_Engine!$B$12:$B$72,$A330+1)-(F330/INDEX(Surface_Engine!$B$12:$B$72,$A330+1))))^2+2*Assumptions!$B$26*(IF(C330&lt;=0,0,MAX(0,(B330/C330)*G330/INDEX(Surface_Engine!$B$12:$B$72,$A330+1)-F330/INDEX(Surface_Engine!$B$12:$B$72,$A330+1))))*(MAX(IF(D330&lt;=0,0,MAX(0,(B330/D330)*H330/INDEX(Surface_Engine!$B$12:$B$72,$A330+1)-F330/INDEX(Surface_Engine!$B$12:$B$72,$A330+1))),IF(E330&lt;=0,0,MAX(0,(B330/E330)*I330/INDEX(Surface_Engine!$B$12:$B$72,$A330+1)-F330/INDEX(Surface_Engine!$B$12:$B$72,$A330+1))),IF($A330&lt;$Q$321,MAX(0,-Assumptions!$B$22*(F330/INDEX(Surface_Engine!$B$12:$B$72,$A330+1))),0)))+2*Assumptions!$B$27*(IF(C330&lt;=0,0,MAX(0,(B330/C330)*G330/INDEX(Surface_Engine!$B$12:$B$72,$A330+1)-F330/INDEX(Surface_Engine!$B$12:$B$72,$A330+1))))*(MAX(0,J330/INDEX(Surface_Engine!$B$12:$B$72,$A330+1)-(F330/INDEX(Surface_Engine!$B$12:$B$72,$A330+1))))+2*Assumptions!$B$28*(MAX(IF(D330&lt;=0,0,MAX(0,(B330/D330)*H330/INDEX(Surface_Engine!$B$12:$B$72,$A330+1)-F330/INDEX(Surface_Engine!$B$12:$B$72,$A330+1))),IF(E330&lt;=0,0,MAX(0,(B330/E330)*I330/INDEX(Surface_Engine!$B$12:$B$72,$A330+1)-F330/INDEX(Surface_Engine!$B$12:$B$72,$A330+1))),IF($A330&lt;$Q$321,MAX(0,-Assumptions!$B$22*(F330/INDEX(Surface_Engine!$B$12:$B$72,$A330+1))),0)))*(MAX(0,J330/INDEX(Surface_Engine!$B$12:$B$72,$A330+1)-(F330/INDEX(Surface_Engine!$B$12:$B$72,$A330+1)))))</f>
        <v>10098.7046217153</v>
      </c>
      <c r="L330" s="48" t="n">
        <f aca="false">K330*INDEX(Surface_Engine!$B$12:$B$72,$A330+1)+L331</f>
        <v>136443.947534511</v>
      </c>
      <c r="M330" s="48" t="n">
        <f aca="false">M329+B329*(IF($A329&lt;$Q$321,(Surface_Engine!G239*12)-(Surface_Engine!G239*12)*INDEX(Surface_Engine!$F$12:$F$72,$A329+1)-INDEX(Surface_Engine!$D$12:$D$72,$A329+1),-(1000*12*INDEX(Surface_Engine!$C$12:$C$72,$A329+1)/(1+Assumptions!$B$10)^17+INDEX(Surface_Engine!$D$12:$D$72,$A329+1))))*INDEX(Surface_Engine!$B$12:$B$72,$A329+1)</f>
        <v>27217.2097652557</v>
      </c>
      <c r="N330" s="12" t="n">
        <f aca="false">IF(B330&lt;=0,0,MAX(0,(K330+Assumptions!$B$29*L330/INDEX(Surface_Engine!$B$12:$B$72,$A330+1)-(M330/INDEX(Surface_Engine!$B$12:$B$72,$A330+1)-(F330/INDEX(Surface_Engine!$B$12:$B$72,$A330+1))))/B330))</f>
        <v>20578.0332952985</v>
      </c>
    </row>
    <row r="331" customFormat="false" ht="15" hidden="false" customHeight="true" outlineLevel="0" collapsed="false">
      <c r="A331" s="1" t="n">
        <v>8</v>
      </c>
      <c r="B331" s="32" t="n">
        <f aca="false">INDEX(Surface_Engine!$J$12:$J$72,$A331+1)*IF($A331&lt;$Q$321,INDEX(Surface_Engine!$E$12:$E$72,$A331+1),INDEX(Surface_Engine!$E$12:$E$72,$Q$321+1))</f>
        <v>0.837274546391867</v>
      </c>
      <c r="C331" s="32" t="n">
        <f aca="false">INDEX(Panel_Reserving!$C$8:$C$68,$A331+1)*IF($A331&lt;$Q$321,INDEX(Surface_Engine!$E$12:$E$72,$A331+1),INDEX(Surface_Engine!$E$12:$E$72,$Q$321+1))</f>
        <v>0.845137958281224</v>
      </c>
      <c r="D331" s="32" t="n">
        <f aca="false">INDEX(Surface_Engine!$J$12:$J$72,$A331+1)*IF($A331&lt;$Q$321,INDEX(Surface_Engine!$Y$12:$Y$72,$A331+1),INDEX(Surface_Engine!$Y$12:$Y$72,$Q$321+1))</f>
        <v>0.783302416569062</v>
      </c>
      <c r="E331" s="32" t="n">
        <f aca="false">INDEX(Surface_Engine!$J$12:$J$72,$A331+1)*IF($A331&lt;$Q$321,INDEX(Surface_Engine!$Z$12:$Z$72,$A331+1),INDEX(Surface_Engine!$Z$12:$Z$72,$Q$321+1))</f>
        <v>0.894276370757796</v>
      </c>
      <c r="F331" s="48" t="n">
        <f aca="false">B331*(IF($A331&lt;$Q$321,INDEX(Surface_Engine!$D$12:$D$72,$A331+1)+(Surface_Engine!G239*12)*INDEX(Surface_Engine!$F$12:$F$72,$A331+1)-(Surface_Engine!G239*12),1000*12*INDEX(Surface_Engine!$C$12:$C$72,$A331+1)/(1+Assumptions!$B$10)^17+INDEX(Surface_Engine!$D$12:$D$72,$A331+1)))*INDEX(Surface_Engine!$B$12:$B$72,$A331+1)+F332</f>
        <v>29036.4326481541</v>
      </c>
      <c r="G331" s="48" t="n">
        <f aca="false">C331*(IF($A331&lt;$Q$321,INDEX(Surface_Engine!$D$12:$D$72,$A331+1)+(Surface_Engine!G239*12)*INDEX(Surface_Engine!$F$12:$F$72,$A331+1)-(Surface_Engine!G239*12),1000*12*INDEX(Surface_Engine!$C$12:$C$72,$A331+1)/(1+Assumptions!$B$10)^17+INDEX(Surface_Engine!$D$12:$D$72,$A331+1)))*INDEX(Surface_Engine!$B$12:$B$72,$A331+1)+G332</f>
        <v>36878.8837802391</v>
      </c>
      <c r="H331" s="48" t="n">
        <f aca="false">D331*(IF($A331&lt;$Q$321,INDEX(Surface_Engine!$D$12:$D$72,$A331+1)+(Surface_Engine!G239*12)*INDEX(Surface_Engine!$F$12:$F$72,$A331+1)-(Surface_Engine!G239*12),1000*12*INDEX(Surface_Engine!$C$12:$C$72,$A331+1)/(1+Assumptions!$B$10)^17+INDEX(Surface_Engine!$D$12:$D$72,$A331+1)))*INDEX(Surface_Engine!$B$12:$B$72,$A331+1)+H332</f>
        <v>25457.7384756987</v>
      </c>
      <c r="I331" s="48" t="n">
        <f aca="false">E331*(IF($A331&lt;$Q$321,INDEX(Surface_Engine!$D$12:$D$72,$A331+1)+(Surface_Engine!G239*12)*INDEX(Surface_Engine!$F$12:$F$72,$A331+1)-(Surface_Engine!G239*12),1000*12*INDEX(Surface_Engine!$C$12:$C$72,$A331+1)/(1+Assumptions!$B$10)^17+INDEX(Surface_Engine!$D$12:$D$72,$A331+1)))*INDEX(Surface_Engine!$B$12:$B$72,$A331+1)+I332</f>
        <v>33042.8923078383</v>
      </c>
      <c r="J331" s="48" t="n">
        <f aca="false">B331*(IF($A331&lt;$Q$321,INDEX(Surface_Engine!$D$12:$D$72,$A331+1)*(1+Assumptions!$B$24)+(Surface_Engine!G239*12)*INDEX(Surface_Engine!$F$12:$F$72,$A331+1)-(Surface_Engine!G239*12),1000*12*INDEX(Surface_Engine!$C$12:$C$72,$A331+1)/(1+Assumptions!$B$10)^17+INDEX(Surface_Engine!$D$12:$D$72,$A331+1)*(1+Assumptions!$B$24)))*INDEX(Surface_Engine!$B$12:$B$72,$A331+1)+J332</f>
        <v>29149.6078074542</v>
      </c>
      <c r="K331" s="12" t="n">
        <f aca="false">SQRT((IF(C331&lt;=0,0,MAX(0,(B331/C331)*G331/INDEX(Surface_Engine!$B$12:$B$72,$A331+1)-F331/INDEX(Surface_Engine!$B$12:$B$72,$A331+1))))^2+(MAX(IF(D331&lt;=0,0,MAX(0,(B331/D331)*H331/INDEX(Surface_Engine!$B$12:$B$72,$A331+1)-F331/INDEX(Surface_Engine!$B$12:$B$72,$A331+1))),IF(E331&lt;=0,0,MAX(0,(B331/E331)*I331/INDEX(Surface_Engine!$B$12:$B$72,$A331+1)-F331/INDEX(Surface_Engine!$B$12:$B$72,$A331+1))),IF($A331&lt;$Q$321,MAX(0,-Assumptions!$B$22*(F331/INDEX(Surface_Engine!$B$12:$B$72,$A331+1))),0)))^2+(MAX(0,J331/INDEX(Surface_Engine!$B$12:$B$72,$A331+1)-(F331/INDEX(Surface_Engine!$B$12:$B$72,$A331+1))))^2+2*Assumptions!$B$26*(IF(C331&lt;=0,0,MAX(0,(B331/C331)*G331/INDEX(Surface_Engine!$B$12:$B$72,$A331+1)-F331/INDEX(Surface_Engine!$B$12:$B$72,$A331+1))))*(MAX(IF(D331&lt;=0,0,MAX(0,(B331/D331)*H331/INDEX(Surface_Engine!$B$12:$B$72,$A331+1)-F331/INDEX(Surface_Engine!$B$12:$B$72,$A331+1))),IF(E331&lt;=0,0,MAX(0,(B331/E331)*I331/INDEX(Surface_Engine!$B$12:$B$72,$A331+1)-F331/INDEX(Surface_Engine!$B$12:$B$72,$A331+1))),IF($A331&lt;$Q$321,MAX(0,-Assumptions!$B$22*(F331/INDEX(Surface_Engine!$B$12:$B$72,$A331+1))),0)))+2*Assumptions!$B$27*(IF(C331&lt;=0,0,MAX(0,(B331/C331)*G331/INDEX(Surface_Engine!$B$12:$B$72,$A331+1)-F331/INDEX(Surface_Engine!$B$12:$B$72,$A331+1))))*(MAX(0,J331/INDEX(Surface_Engine!$B$12:$B$72,$A331+1)-(F331/INDEX(Surface_Engine!$B$12:$B$72,$A331+1))))+2*Assumptions!$B$28*(MAX(IF(D331&lt;=0,0,MAX(0,(B331/D331)*H331/INDEX(Surface_Engine!$B$12:$B$72,$A331+1)-F331/INDEX(Surface_Engine!$B$12:$B$72,$A331+1))),IF(E331&lt;=0,0,MAX(0,(B331/E331)*I331/INDEX(Surface_Engine!$B$12:$B$72,$A331+1)-F331/INDEX(Surface_Engine!$B$12:$B$72,$A331+1))),IF($A331&lt;$Q$321,MAX(0,-Assumptions!$B$22*(F331/INDEX(Surface_Engine!$B$12:$B$72,$A331+1))),0)))*(MAX(0,J331/INDEX(Surface_Engine!$B$12:$B$72,$A331+1)-(F331/INDEX(Surface_Engine!$B$12:$B$72,$A331+1)))))</f>
        <v>10255.1550564031</v>
      </c>
      <c r="L331" s="48" t="n">
        <f aca="false">K331*INDEX(Surface_Engine!$B$12:$B$72,$A331+1)+L332</f>
        <v>128091.901953447</v>
      </c>
      <c r="M331" s="48" t="n">
        <f aca="false">M330+B330*(IF($A330&lt;$Q$321,(Surface_Engine!G239*12)-(Surface_Engine!G239*12)*INDEX(Surface_Engine!$F$12:$F$72,$A330+1)-INDEX(Surface_Engine!$D$12:$D$72,$A330+1),-(1000*12*INDEX(Surface_Engine!$C$12:$C$72,$A330+1)/(1+Assumptions!$B$10)^17+INDEX(Surface_Engine!$D$12:$D$72,$A330+1))))*INDEX(Surface_Engine!$B$12:$B$72,$A330+1)</f>
        <v>31075.533488695</v>
      </c>
      <c r="N331" s="12" t="n">
        <f aca="false">IF(B331&lt;=0,0,MAX(0,(K331+Assumptions!$B$29*L331/INDEX(Surface_Engine!$B$12:$B$72,$A331+1)-(M331/INDEX(Surface_Engine!$B$12:$B$72,$A331+1)-(F331/INDEX(Surface_Engine!$B$12:$B$72,$A331+1))))/B331))</f>
        <v>20657.9893051205</v>
      </c>
    </row>
    <row r="332" customFormat="false" ht="15" hidden="false" customHeight="true" outlineLevel="0" collapsed="false">
      <c r="A332" s="1" t="n">
        <v>9</v>
      </c>
      <c r="B332" s="32" t="n">
        <f aca="false">INDEX(Surface_Engine!$J$12:$J$72,$A332+1)*IF($A332&lt;$Q$321,INDEX(Surface_Engine!$E$12:$E$72,$A332+1),INDEX(Surface_Engine!$E$12:$E$72,$Q$321+1))</f>
        <v>0.822096230560809</v>
      </c>
      <c r="C332" s="32" t="n">
        <f aca="false">INDEX(Panel_Reserving!$C$8:$C$68,$A332+1)*IF($A332&lt;$Q$321,INDEX(Surface_Engine!$E$12:$E$72,$A332+1),INDEX(Surface_Engine!$E$12:$E$72,$Q$321+1))</f>
        <v>0.831343114663609</v>
      </c>
      <c r="D332" s="32" t="n">
        <f aca="false">INDEX(Surface_Engine!$J$12:$J$72,$A332+1)*IF($A332&lt;$Q$321,INDEX(Surface_Engine!$Y$12:$Y$72,$A332+1),INDEX(Surface_Engine!$Y$12:$Y$72,$Q$321+1))</f>
        <v>0.765570966977272</v>
      </c>
      <c r="E332" s="32" t="n">
        <f aca="false">INDEX(Surface_Engine!$J$12:$J$72,$A332+1)*IF($A332&lt;$Q$321,INDEX(Surface_Engine!$Z$12:$Z$72,$A332+1),INDEX(Surface_Engine!$Z$12:$Z$72,$Q$321+1))</f>
        <v>0.882096596633852</v>
      </c>
      <c r="F332" s="48" t="n">
        <f aca="false">B332*(IF($A332&lt;$Q$321,INDEX(Surface_Engine!$D$12:$D$72,$A332+1)+(Surface_Engine!G239*12)*INDEX(Surface_Engine!$F$12:$F$72,$A332+1)-(Surface_Engine!G239*12),1000*12*INDEX(Surface_Engine!$C$12:$C$72,$A332+1)/(1+Assumptions!$B$10)^17+INDEX(Surface_Engine!$D$12:$D$72,$A332+1)))*INDEX(Surface_Engine!$B$12:$B$72,$A332+1)+F333</f>
        <v>32711.3224025793</v>
      </c>
      <c r="G332" s="48" t="n">
        <f aca="false">C332*(IF($A332&lt;$Q$321,INDEX(Surface_Engine!$D$12:$D$72,$A332+1)+(Surface_Engine!G239*12)*INDEX(Surface_Engine!$F$12:$F$72,$A332+1)-(Surface_Engine!G239*12),1000*12*INDEX(Surface_Engine!$C$12:$C$72,$A332+1)/(1+Assumptions!$B$10)^17+INDEX(Surface_Engine!$D$12:$D$72,$A332+1)))*INDEX(Surface_Engine!$B$12:$B$72,$A332+1)+G333</f>
        <v>40588.2869113238</v>
      </c>
      <c r="H332" s="48" t="n">
        <f aca="false">D332*(IF($A332&lt;$Q$321,INDEX(Surface_Engine!$D$12:$D$72,$A332+1)+(Surface_Engine!G239*12)*INDEX(Surface_Engine!$F$12:$F$72,$A332+1)-(Surface_Engine!G239*12),1000*12*INDEX(Surface_Engine!$C$12:$C$72,$A332+1)/(1+Assumptions!$B$10)^17+INDEX(Surface_Engine!$D$12:$D$72,$A332+1)))*INDEX(Surface_Engine!$B$12:$B$72,$A332+1)+H333</f>
        <v>28895.7386366625</v>
      </c>
      <c r="I332" s="48" t="n">
        <f aca="false">E332*(IF($A332&lt;$Q$321,INDEX(Surface_Engine!$D$12:$D$72,$A332+1)+(Surface_Engine!G239*12)*INDEX(Surface_Engine!$F$12:$F$72,$A332+1)-(Surface_Engine!G239*12),1000*12*INDEX(Surface_Engine!$C$12:$C$72,$A332+1)/(1+Assumptions!$B$10)^17+INDEX(Surface_Engine!$D$12:$D$72,$A332+1)))*INDEX(Surface_Engine!$B$12:$B$72,$A332+1)+I333</f>
        <v>36967.9693171474</v>
      </c>
      <c r="J332" s="48" t="n">
        <f aca="false">B332*(IF($A332&lt;$Q$321,INDEX(Surface_Engine!$D$12:$D$72,$A332+1)*(1+Assumptions!$B$24)+(Surface_Engine!G239*12)*INDEX(Surface_Engine!$F$12:$F$72,$A332+1)-(Surface_Engine!G239*12),1000*12*INDEX(Surface_Engine!$C$12:$C$72,$A332+1)/(1+Assumptions!$B$10)^17+INDEX(Surface_Engine!$D$12:$D$72,$A332+1)*(1+Assumptions!$B$24)))*INDEX(Surface_Engine!$B$12:$B$72,$A332+1)+J333</f>
        <v>32817.7895265386</v>
      </c>
      <c r="K332" s="12" t="n">
        <f aca="false">SQRT((IF(C332&lt;=0,0,MAX(0,(B332/C332)*G332/INDEX(Surface_Engine!$B$12:$B$72,$A332+1)-F332/INDEX(Surface_Engine!$B$12:$B$72,$A332+1))))^2+(MAX(IF(D332&lt;=0,0,MAX(0,(B332/D332)*H332/INDEX(Surface_Engine!$B$12:$B$72,$A332+1)-F332/INDEX(Surface_Engine!$B$12:$B$72,$A332+1))),IF(E332&lt;=0,0,MAX(0,(B332/E332)*I332/INDEX(Surface_Engine!$B$12:$B$72,$A332+1)-F332/INDEX(Surface_Engine!$B$12:$B$72,$A332+1))),IF($A332&lt;$Q$321,MAX(0,-Assumptions!$B$22*(F332/INDEX(Surface_Engine!$B$12:$B$72,$A332+1))),0)))^2+(MAX(0,J332/INDEX(Surface_Engine!$B$12:$B$72,$A332+1)-(F332/INDEX(Surface_Engine!$B$12:$B$72,$A332+1))))^2+2*Assumptions!$B$26*(IF(C332&lt;=0,0,MAX(0,(B332/C332)*G332/INDEX(Surface_Engine!$B$12:$B$72,$A332+1)-F332/INDEX(Surface_Engine!$B$12:$B$72,$A332+1))))*(MAX(IF(D332&lt;=0,0,MAX(0,(B332/D332)*H332/INDEX(Surface_Engine!$B$12:$B$72,$A332+1)-F332/INDEX(Surface_Engine!$B$12:$B$72,$A332+1))),IF(E332&lt;=0,0,MAX(0,(B332/E332)*I332/INDEX(Surface_Engine!$B$12:$B$72,$A332+1)-F332/INDEX(Surface_Engine!$B$12:$B$72,$A332+1))),IF($A332&lt;$Q$321,MAX(0,-Assumptions!$B$22*(F332/INDEX(Surface_Engine!$B$12:$B$72,$A332+1))),0)))+2*Assumptions!$B$27*(IF(C332&lt;=0,0,MAX(0,(B332/C332)*G332/INDEX(Surface_Engine!$B$12:$B$72,$A332+1)-F332/INDEX(Surface_Engine!$B$12:$B$72,$A332+1))))*(MAX(0,J332/INDEX(Surface_Engine!$B$12:$B$72,$A332+1)-(F332/INDEX(Surface_Engine!$B$12:$B$72,$A332+1))))+2*Assumptions!$B$28*(MAX(IF(D332&lt;=0,0,MAX(0,(B332/D332)*H332/INDEX(Surface_Engine!$B$12:$B$72,$A332+1)-F332/INDEX(Surface_Engine!$B$12:$B$72,$A332+1))),IF(E332&lt;=0,0,MAX(0,(B332/E332)*I332/INDEX(Surface_Engine!$B$12:$B$72,$A332+1)-F332/INDEX(Surface_Engine!$B$12:$B$72,$A332+1))),IF($A332&lt;$Q$321,MAX(0,-Assumptions!$B$22*(F332/INDEX(Surface_Engine!$B$12:$B$72,$A332+1))),0)))*(MAX(0,J332/INDEX(Surface_Engine!$B$12:$B$72,$A332+1)-(F332/INDEX(Surface_Engine!$B$12:$B$72,$A332+1)))))</f>
        <v>10398.2052311511</v>
      </c>
      <c r="L332" s="48" t="n">
        <f aca="false">K332*INDEX(Surface_Engine!$B$12:$B$72,$A332+1)+L333</f>
        <v>119868.246449187</v>
      </c>
      <c r="M332" s="48" t="n">
        <f aca="false">M331+B331*(IF($A331&lt;$Q$321,(Surface_Engine!G239*12)-(Surface_Engine!G239*12)*INDEX(Surface_Engine!$F$12:$F$72,$A331+1)-INDEX(Surface_Engine!$D$12:$D$72,$A331+1),-(1000*12*INDEX(Surface_Engine!$C$12:$C$72,$A331+1)/(1+Assumptions!$B$10)^17+INDEX(Surface_Engine!$D$12:$D$72,$A331+1))))*INDEX(Surface_Engine!$B$12:$B$72,$A331+1)</f>
        <v>34750.4232431202</v>
      </c>
      <c r="N332" s="12" t="n">
        <f aca="false">IF(B332&lt;=0,0,MAX(0,(K332+Assumptions!$B$29*L332/INDEX(Surface_Engine!$B$12:$B$72,$A332+1)-(M332/INDEX(Surface_Engine!$B$12:$B$72,$A332+1)-(F332/INDEX(Surface_Engine!$B$12:$B$72,$A332+1))))/B332))</f>
        <v>20718.1827253122</v>
      </c>
    </row>
    <row r="333" customFormat="false" ht="15" hidden="false" customHeight="true" outlineLevel="0" collapsed="false">
      <c r="A333" s="1" t="n">
        <v>10</v>
      </c>
      <c r="B333" s="32" t="n">
        <f aca="false">INDEX(Surface_Engine!$J$12:$J$72,$A333+1)*IF($A333&lt;$Q$321,INDEX(Surface_Engine!$E$12:$E$72,$A333+1),INDEX(Surface_Engine!$E$12:$E$72,$Q$321+1))</f>
        <v>0.806378655194533</v>
      </c>
      <c r="C333" s="32" t="n">
        <f aca="false">INDEX(Panel_Reserving!$C$8:$C$68,$A333+1)*IF($A333&lt;$Q$321,INDEX(Surface_Engine!$E$12:$E$72,$A333+1),INDEX(Surface_Engine!$E$12:$E$72,$Q$321+1))</f>
        <v>0.817114577702228</v>
      </c>
      <c r="D333" s="32" t="n">
        <f aca="false">INDEX(Surface_Engine!$J$12:$J$72,$A333+1)*IF($A333&lt;$Q$321,INDEX(Surface_Engine!$Y$12:$Y$72,$A333+1),INDEX(Surface_Engine!$Y$12:$Y$72,$Q$321+1))</f>
        <v>0.747485964369052</v>
      </c>
      <c r="E333" s="32" t="n">
        <f aca="false">INDEX(Surface_Engine!$J$12:$J$72,$A333+1)*IF($A333&lt;$Q$321,INDEX(Surface_Engine!$Z$12:$Z$72,$A333+1),INDEX(Surface_Engine!$Z$12:$Z$72,$Q$321+1))</f>
        <v>0.869204839269405</v>
      </c>
      <c r="F333" s="48" t="n">
        <f aca="false">B333*(IF($A333&lt;$Q$321,INDEX(Surface_Engine!$D$12:$D$72,$A333+1)+(Surface_Engine!G239*12)*INDEX(Surface_Engine!$F$12:$F$72,$A333+1)-(Surface_Engine!G239*12),1000*12*INDEX(Surface_Engine!$C$12:$C$72,$A333+1)/(1+Assumptions!$B$10)^17+INDEX(Surface_Engine!$D$12:$D$72,$A333+1)))*INDEX(Surface_Engine!$B$12:$B$72,$A333+1)+F334</f>
        <v>36204.7642688054</v>
      </c>
      <c r="G333" s="48" t="n">
        <f aca="false">C333*(IF($A333&lt;$Q$321,INDEX(Surface_Engine!$D$12:$D$72,$A333+1)+(Surface_Engine!G239*12)*INDEX(Surface_Engine!$F$12:$F$72,$A333+1)-(Surface_Engine!G239*12),1000*12*INDEX(Surface_Engine!$C$12:$C$72,$A333+1)/(1+Assumptions!$B$10)^17+INDEX(Surface_Engine!$D$12:$D$72,$A333+1)))*INDEX(Surface_Engine!$B$12:$B$72,$A333+1)+G334</f>
        <v>44121.0227809232</v>
      </c>
      <c r="H333" s="48" t="n">
        <f aca="false">D333*(IF($A333&lt;$Q$321,INDEX(Surface_Engine!$D$12:$D$72,$A333+1)+(Surface_Engine!G239*12)*INDEX(Surface_Engine!$F$12:$F$72,$A333+1)-(Surface_Engine!G239*12),1000*12*INDEX(Surface_Engine!$C$12:$C$72,$A333+1)/(1+Assumptions!$B$10)^17+INDEX(Surface_Engine!$D$12:$D$72,$A333+1)))*INDEX(Surface_Engine!$B$12:$B$72,$A333+1)+H334</f>
        <v>32148.9802502157</v>
      </c>
      <c r="I333" s="48" t="n">
        <f aca="false">E333*(IF($A333&lt;$Q$321,INDEX(Surface_Engine!$D$12:$D$72,$A333+1)+(Surface_Engine!G239*12)*INDEX(Surface_Engine!$F$12:$F$72,$A333+1)-(Surface_Engine!G239*12),1000*12*INDEX(Surface_Engine!$C$12:$C$72,$A333+1)/(1+Assumptions!$B$10)^17+INDEX(Surface_Engine!$D$12:$D$72,$A333+1)))*INDEX(Surface_Engine!$B$12:$B$72,$A333+1)+I334</f>
        <v>40716.3786470796</v>
      </c>
      <c r="J333" s="48" t="n">
        <f aca="false">B333*(IF($A333&lt;$Q$321,INDEX(Surface_Engine!$D$12:$D$72,$A333+1)*(1+Assumptions!$B$24)+(Surface_Engine!G239*12)*INDEX(Surface_Engine!$F$12:$F$72,$A333+1)-(Surface_Engine!G239*12),1000*12*INDEX(Surface_Engine!$C$12:$C$72,$A333+1)/(1+Assumptions!$B$10)^17+INDEX(Surface_Engine!$D$12:$D$72,$A333+1)*(1+Assumptions!$B$24)))*INDEX(Surface_Engine!$B$12:$B$72,$A333+1)+J334</f>
        <v>36304.6921622733</v>
      </c>
      <c r="K333" s="12" t="n">
        <f aca="false">SQRT((IF(C333&lt;=0,0,MAX(0,(B333/C333)*G333/INDEX(Surface_Engine!$B$12:$B$72,$A333+1)-F333/INDEX(Surface_Engine!$B$12:$B$72,$A333+1))))^2+(MAX(IF(D333&lt;=0,0,MAX(0,(B333/D333)*H333/INDEX(Surface_Engine!$B$12:$B$72,$A333+1)-F333/INDEX(Surface_Engine!$B$12:$B$72,$A333+1))),IF(E333&lt;=0,0,MAX(0,(B333/E333)*I333/INDEX(Surface_Engine!$B$12:$B$72,$A333+1)-F333/INDEX(Surface_Engine!$B$12:$B$72,$A333+1))),IF($A333&lt;$Q$321,MAX(0,-Assumptions!$B$22*(F333/INDEX(Surface_Engine!$B$12:$B$72,$A333+1))),0)))^2+(MAX(0,J333/INDEX(Surface_Engine!$B$12:$B$72,$A333+1)-(F333/INDEX(Surface_Engine!$B$12:$B$72,$A333+1))))^2+2*Assumptions!$B$26*(IF(C333&lt;=0,0,MAX(0,(B333/C333)*G333/INDEX(Surface_Engine!$B$12:$B$72,$A333+1)-F333/INDEX(Surface_Engine!$B$12:$B$72,$A333+1))))*(MAX(IF(D333&lt;=0,0,MAX(0,(B333/D333)*H333/INDEX(Surface_Engine!$B$12:$B$72,$A333+1)-F333/INDEX(Surface_Engine!$B$12:$B$72,$A333+1))),IF(E333&lt;=0,0,MAX(0,(B333/E333)*I333/INDEX(Surface_Engine!$B$12:$B$72,$A333+1)-F333/INDEX(Surface_Engine!$B$12:$B$72,$A333+1))),IF($A333&lt;$Q$321,MAX(0,-Assumptions!$B$22*(F333/INDEX(Surface_Engine!$B$12:$B$72,$A333+1))),0)))+2*Assumptions!$B$27*(IF(C333&lt;=0,0,MAX(0,(B333/C333)*G333/INDEX(Surface_Engine!$B$12:$B$72,$A333+1)-F333/INDEX(Surface_Engine!$B$12:$B$72,$A333+1))))*(MAX(0,J333/INDEX(Surface_Engine!$B$12:$B$72,$A333+1)-(F333/INDEX(Surface_Engine!$B$12:$B$72,$A333+1))))+2*Assumptions!$B$28*(MAX(IF(D333&lt;=0,0,MAX(0,(B333/D333)*H333/INDEX(Surface_Engine!$B$12:$B$72,$A333+1)-F333/INDEX(Surface_Engine!$B$12:$B$72,$A333+1))),IF(E333&lt;=0,0,MAX(0,(B333/E333)*I333/INDEX(Surface_Engine!$B$12:$B$72,$A333+1)-F333/INDEX(Surface_Engine!$B$12:$B$72,$A333+1))),IF($A333&lt;$Q$321,MAX(0,-Assumptions!$B$22*(F333/INDEX(Surface_Engine!$B$12:$B$72,$A333+1))),0)))*(MAX(0,J333/INDEX(Surface_Engine!$B$12:$B$72,$A333+1)-(F333/INDEX(Surface_Engine!$B$12:$B$72,$A333+1)))))</f>
        <v>10539.3098863146</v>
      </c>
      <c r="L333" s="48" t="n">
        <f aca="false">K333*INDEX(Surface_Engine!$B$12:$B$72,$A333+1)+L334</f>
        <v>111791.55052694</v>
      </c>
      <c r="M333" s="48" t="n">
        <f aca="false">M332+B332*(IF($A332&lt;$Q$321,(Surface_Engine!G239*12)-(Surface_Engine!G239*12)*INDEX(Surface_Engine!$F$12:$F$72,$A332+1)-INDEX(Surface_Engine!$D$12:$D$72,$A332+1),-(1000*12*INDEX(Surface_Engine!$C$12:$C$72,$A332+1)/(1+Assumptions!$B$10)^17+INDEX(Surface_Engine!$D$12:$D$72,$A332+1))))*INDEX(Surface_Engine!$B$12:$B$72,$A332+1)</f>
        <v>38243.8651093463</v>
      </c>
      <c r="N333" s="12" t="n">
        <f aca="false">IF(B333&lt;=0,0,MAX(0,(K333+Assumptions!$B$29*L333/INDEX(Surface_Engine!$B$12:$B$72,$A333+1)-(M333/INDEX(Surface_Engine!$B$12:$B$72,$A333+1)-(F333/INDEX(Surface_Engine!$B$12:$B$72,$A333+1))))/B333))</f>
        <v>20783.3344802615</v>
      </c>
    </row>
    <row r="334" customFormat="false" ht="15" hidden="false" customHeight="true" outlineLevel="0" collapsed="false">
      <c r="A334" s="1" t="n">
        <v>11</v>
      </c>
      <c r="B334" s="32" t="n">
        <f aca="false">INDEX(Surface_Engine!$J$12:$J$72,$A334+1)*IF($A334&lt;$Q$321,INDEX(Surface_Engine!$E$12:$E$72,$A334+1),INDEX(Surface_Engine!$E$12:$E$72,$Q$321+1))</f>
        <v>0.790061919629191</v>
      </c>
      <c r="C334" s="32" t="n">
        <f aca="false">INDEX(Panel_Reserving!$C$8:$C$68,$A334+1)*IF($A334&lt;$Q$321,INDEX(Surface_Engine!$E$12:$E$72,$A334+1),INDEX(Surface_Engine!$E$12:$E$72,$Q$321+1))</f>
        <v>0.802400251189282</v>
      </c>
      <c r="D334" s="32" t="n">
        <f aca="false">INDEX(Surface_Engine!$J$12:$J$72,$A334+1)*IF($A334&lt;$Q$321,INDEX(Surface_Engine!$Y$12:$Y$72,$A334+1),INDEX(Surface_Engine!$Y$12:$Y$72,$Q$321+1))</f>
        <v>0.728998053859943</v>
      </c>
      <c r="E334" s="32" t="n">
        <f aca="false">INDEX(Surface_Engine!$J$12:$J$72,$A334+1)*IF($A334&lt;$Q$321,INDEX(Surface_Engine!$Z$12:$Z$72,$A334+1),INDEX(Surface_Engine!$Z$12:$Z$72,$Q$321+1))</f>
        <v>0.855527283738809</v>
      </c>
      <c r="F334" s="48" t="n">
        <f aca="false">B334*(IF($A334&lt;$Q$321,INDEX(Surface_Engine!$D$12:$D$72,$A334+1)+(Surface_Engine!G239*12)*INDEX(Surface_Engine!$F$12:$F$72,$A334+1)-(Surface_Engine!G239*12),1000*12*INDEX(Surface_Engine!$C$12:$C$72,$A334+1)/(1+Assumptions!$B$10)^17+INDEX(Surface_Engine!$D$12:$D$72,$A334+1)))*INDEX(Surface_Engine!$B$12:$B$72,$A334+1)+F335</f>
        <v>39514.3472479324</v>
      </c>
      <c r="G334" s="48" t="n">
        <f aca="false">C334*(IF($A334&lt;$Q$321,INDEX(Surface_Engine!$D$12:$D$72,$A334+1)+(Surface_Engine!G239*12)*INDEX(Surface_Engine!$F$12:$F$72,$A334+1)-(Surface_Engine!G239*12),1000*12*INDEX(Surface_Engine!$C$12:$C$72,$A334+1)/(1+Assumptions!$B$10)^17+INDEX(Surface_Engine!$D$12:$D$72,$A334+1)))*INDEX(Surface_Engine!$B$12:$B$72,$A334+1)+G335</f>
        <v>47474.6687150501</v>
      </c>
      <c r="H334" s="48" t="n">
        <f aca="false">D334*(IF($A334&lt;$Q$321,INDEX(Surface_Engine!$D$12:$D$72,$A334+1)+(Surface_Engine!G239*12)*INDEX(Surface_Engine!$F$12:$F$72,$A334+1)-(Surface_Engine!G239*12),1000*12*INDEX(Surface_Engine!$C$12:$C$72,$A334+1)/(1+Assumptions!$B$10)^17+INDEX(Surface_Engine!$D$12:$D$72,$A334+1)))*INDEX(Surface_Engine!$B$12:$B$72,$A334+1)+H335</f>
        <v>35216.8526559099</v>
      </c>
      <c r="I334" s="48" t="n">
        <f aca="false">E334*(IF($A334&lt;$Q$321,INDEX(Surface_Engine!$D$12:$D$72,$A334+1)+(Surface_Engine!G239*12)*INDEX(Surface_Engine!$F$12:$F$72,$A334+1)-(Surface_Engine!G239*12),1000*12*INDEX(Surface_Engine!$C$12:$C$72,$A334+1)/(1+Assumptions!$B$10)^17+INDEX(Surface_Engine!$D$12:$D$72,$A334+1)))*INDEX(Surface_Engine!$B$12:$B$72,$A334+1)+I335</f>
        <v>44283.816255813</v>
      </c>
      <c r="J334" s="48" t="n">
        <f aca="false">B334*(IF($A334&lt;$Q$321,INDEX(Surface_Engine!$D$12:$D$72,$A334+1)*(1+Assumptions!$B$24)+(Surface_Engine!G239*12)*INDEX(Surface_Engine!$F$12:$F$72,$A334+1)-(Surface_Engine!G239*12),1000*12*INDEX(Surface_Engine!$C$12:$C$72,$A334+1)/(1+Assumptions!$B$10)^17+INDEX(Surface_Engine!$D$12:$D$72,$A334+1)*(1+Assumptions!$B$24)))*INDEX(Surface_Engine!$B$12:$B$72,$A334+1)+J335</f>
        <v>39607.9222190576</v>
      </c>
      <c r="K334" s="12" t="n">
        <f aca="false">SQRT((IF(C334&lt;=0,0,MAX(0,(B334/C334)*G334/INDEX(Surface_Engine!$B$12:$B$72,$A334+1)-F334/INDEX(Surface_Engine!$B$12:$B$72,$A334+1))))^2+(MAX(IF(D334&lt;=0,0,MAX(0,(B334/D334)*H334/INDEX(Surface_Engine!$B$12:$B$72,$A334+1)-F334/INDEX(Surface_Engine!$B$12:$B$72,$A334+1))),IF(E334&lt;=0,0,MAX(0,(B334/E334)*I334/INDEX(Surface_Engine!$B$12:$B$72,$A334+1)-F334/INDEX(Surface_Engine!$B$12:$B$72,$A334+1))),IF($A334&lt;$Q$321,MAX(0,-Assumptions!$B$22*(F334/INDEX(Surface_Engine!$B$12:$B$72,$A334+1))),0)))^2+(MAX(0,J334/INDEX(Surface_Engine!$B$12:$B$72,$A334+1)-(F334/INDEX(Surface_Engine!$B$12:$B$72,$A334+1))))^2+2*Assumptions!$B$26*(IF(C334&lt;=0,0,MAX(0,(B334/C334)*G334/INDEX(Surface_Engine!$B$12:$B$72,$A334+1)-F334/INDEX(Surface_Engine!$B$12:$B$72,$A334+1))))*(MAX(IF(D334&lt;=0,0,MAX(0,(B334/D334)*H334/INDEX(Surface_Engine!$B$12:$B$72,$A334+1)-F334/INDEX(Surface_Engine!$B$12:$B$72,$A334+1))),IF(E334&lt;=0,0,MAX(0,(B334/E334)*I334/INDEX(Surface_Engine!$B$12:$B$72,$A334+1)-F334/INDEX(Surface_Engine!$B$12:$B$72,$A334+1))),IF($A334&lt;$Q$321,MAX(0,-Assumptions!$B$22*(F334/INDEX(Surface_Engine!$B$12:$B$72,$A334+1))),0)))+2*Assumptions!$B$27*(IF(C334&lt;=0,0,MAX(0,(B334/C334)*G334/INDEX(Surface_Engine!$B$12:$B$72,$A334+1)-F334/INDEX(Surface_Engine!$B$12:$B$72,$A334+1))))*(MAX(0,J334/INDEX(Surface_Engine!$B$12:$B$72,$A334+1)-(F334/INDEX(Surface_Engine!$B$12:$B$72,$A334+1))))+2*Assumptions!$B$28*(MAX(IF(D334&lt;=0,0,MAX(0,(B334/D334)*H334/INDEX(Surface_Engine!$B$12:$B$72,$A334+1)-F334/INDEX(Surface_Engine!$B$12:$B$72,$A334+1))),IF(E334&lt;=0,0,MAX(0,(B334/E334)*I334/INDEX(Surface_Engine!$B$12:$B$72,$A334+1)-F334/INDEX(Surface_Engine!$B$12:$B$72,$A334+1))),IF($A334&lt;$Q$321,MAX(0,-Assumptions!$B$22*(F334/INDEX(Surface_Engine!$B$12:$B$72,$A334+1))),0)))*(MAX(0,J334/INDEX(Surface_Engine!$B$12:$B$72,$A334+1)-(F334/INDEX(Surface_Engine!$B$12:$B$72,$A334+1)))))</f>
        <v>10623.956664624</v>
      </c>
      <c r="L334" s="48" t="n">
        <f aca="false">K334*INDEX(Surface_Engine!$B$12:$B$72,$A334+1)+L335</f>
        <v>103881.228005184</v>
      </c>
      <c r="M334" s="48" t="n">
        <f aca="false">M333+B333*(IF($A333&lt;$Q$321,(Surface_Engine!G239*12)-(Surface_Engine!G239*12)*INDEX(Surface_Engine!$F$12:$F$72,$A333+1)-INDEX(Surface_Engine!$D$12:$D$72,$A333+1),-(1000*12*INDEX(Surface_Engine!$C$12:$C$72,$A333+1)/(1+Assumptions!$B$10)^17+INDEX(Surface_Engine!$D$12:$D$72,$A333+1))))*INDEX(Surface_Engine!$B$12:$B$72,$A333+1)</f>
        <v>41553.4480884733</v>
      </c>
      <c r="N334" s="12" t="n">
        <f aca="false">IF(B334&lt;=0,0,MAX(0,(K334+Assumptions!$B$29*L334/INDEX(Surface_Engine!$B$12:$B$72,$A334+1)-(M334/INDEX(Surface_Engine!$B$12:$B$72,$A334+1)-(F334/INDEX(Surface_Engine!$B$12:$B$72,$A334+1))))/B334))</f>
        <v>20748.5579191679</v>
      </c>
    </row>
    <row r="335" customFormat="false" ht="15" hidden="false" customHeight="true" outlineLevel="0" collapsed="false">
      <c r="A335" s="1" t="n">
        <v>12</v>
      </c>
      <c r="B335" s="32" t="n">
        <f aca="false">INDEX(Surface_Engine!$J$12:$J$72,$A335+1)*IF($A335&lt;$Q$321,INDEX(Surface_Engine!$E$12:$E$72,$A335+1),INDEX(Surface_Engine!$E$12:$E$72,$Q$321+1))</f>
        <v>0.773080864838231</v>
      </c>
      <c r="C335" s="32" t="n">
        <f aca="false">INDEX(Panel_Reserving!$C$8:$C$68,$A335+1)*IF($A335&lt;$Q$321,INDEX(Surface_Engine!$E$12:$E$72,$A335+1),INDEX(Surface_Engine!$E$12:$E$72,$Q$321+1))</f>
        <v>0.78714288551841</v>
      </c>
      <c r="D335" s="32" t="n">
        <f aca="false">INDEX(Surface_Engine!$J$12:$J$72,$A335+1)*IF($A335&lt;$Q$321,INDEX(Surface_Engine!$Y$12:$Y$72,$A335+1),INDEX(Surface_Engine!$Y$12:$Y$72,$Q$321+1))</f>
        <v>0.710054008654118</v>
      </c>
      <c r="E335" s="32" t="n">
        <f aca="false">INDEX(Surface_Engine!$J$12:$J$72,$A335+1)*IF($A335&lt;$Q$321,INDEX(Surface_Engine!$Z$12:$Z$72,$A335+1),INDEX(Surface_Engine!$Z$12:$Z$72,$Q$321+1))</f>
        <v>0.840983124081626</v>
      </c>
      <c r="F335" s="48" t="n">
        <f aca="false">B335*(IF($A335&lt;$Q$321,INDEX(Surface_Engine!$D$12:$D$72,$A335+1)+(Surface_Engine!G239*12)*INDEX(Surface_Engine!$F$12:$F$72,$A335+1)-(Surface_Engine!G239*12),1000*12*INDEX(Surface_Engine!$C$12:$C$72,$A335+1)/(1+Assumptions!$B$10)^17+INDEX(Surface_Engine!$D$12:$D$72,$A335+1)))*INDEX(Surface_Engine!$B$12:$B$72,$A335+1)+F336</f>
        <v>42653.6463075427</v>
      </c>
      <c r="G335" s="48" t="n">
        <f aca="false">C335*(IF($A335&lt;$Q$321,INDEX(Surface_Engine!$D$12:$D$72,$A335+1)+(Surface_Engine!G239*12)*INDEX(Surface_Engine!$F$12:$F$72,$A335+1)-(Surface_Engine!G239*12),1000*12*INDEX(Surface_Engine!$C$12:$C$72,$A335+1)/(1+Assumptions!$B$10)^17+INDEX(Surface_Engine!$D$12:$D$72,$A335+1)))*INDEX(Surface_Engine!$B$12:$B$72,$A335+1)+G336</f>
        <v>50662.9939480544</v>
      </c>
      <c r="H335" s="48" t="n">
        <f aca="false">D335*(IF($A335&lt;$Q$321,INDEX(Surface_Engine!$D$12:$D$72,$A335+1)+(Surface_Engine!G239*12)*INDEX(Surface_Engine!$F$12:$F$72,$A335+1)-(Surface_Engine!G239*12),1000*12*INDEX(Surface_Engine!$C$12:$C$72,$A335+1)/(1+Assumptions!$B$10)^17+INDEX(Surface_Engine!$D$12:$D$72,$A335+1)))*INDEX(Surface_Engine!$B$12:$B$72,$A335+1)+H336</f>
        <v>38113.5153706682</v>
      </c>
      <c r="I335" s="48" t="n">
        <f aca="false">E335*(IF($A335&lt;$Q$321,INDEX(Surface_Engine!$D$12:$D$72,$A335+1)+(Surface_Engine!G239*12)*INDEX(Surface_Engine!$F$12:$F$72,$A335+1)-(Surface_Engine!G239*12),1000*12*INDEX(Surface_Engine!$C$12:$C$72,$A335+1)/(1+Assumptions!$B$10)^17+INDEX(Surface_Engine!$D$12:$D$72,$A335+1)))*INDEX(Surface_Engine!$B$12:$B$72,$A335+1)+I336</f>
        <v>47683.2409472002</v>
      </c>
      <c r="J335" s="48" t="n">
        <f aca="false">B335*(IF($A335&lt;$Q$321,INDEX(Surface_Engine!$D$12:$D$72,$A335+1)*(1+Assumptions!$B$24)+(Surface_Engine!G239*12)*INDEX(Surface_Engine!$F$12:$F$72,$A335+1)-(Surface_Engine!G239*12),1000*12*INDEX(Surface_Engine!$C$12:$C$72,$A335+1)/(1+Assumptions!$B$10)^17+INDEX(Surface_Engine!$D$12:$D$72,$A335+1)*(1+Assumptions!$B$24)))*INDEX(Surface_Engine!$B$12:$B$72,$A335+1)+J336</f>
        <v>42741.0416085751</v>
      </c>
      <c r="K335" s="12" t="n">
        <f aca="false">SQRT((IF(C335&lt;=0,0,MAX(0,(B335/C335)*G335/INDEX(Surface_Engine!$B$12:$B$72,$A335+1)-F335/INDEX(Surface_Engine!$B$12:$B$72,$A335+1))))^2+(MAX(IF(D335&lt;=0,0,MAX(0,(B335/D335)*H335/INDEX(Surface_Engine!$B$12:$B$72,$A335+1)-F335/INDEX(Surface_Engine!$B$12:$B$72,$A335+1))),IF(E335&lt;=0,0,MAX(0,(B335/E335)*I335/INDEX(Surface_Engine!$B$12:$B$72,$A335+1)-F335/INDEX(Surface_Engine!$B$12:$B$72,$A335+1))),IF($A335&lt;$Q$321,MAX(0,-Assumptions!$B$22*(F335/INDEX(Surface_Engine!$B$12:$B$72,$A335+1))),0)))^2+(MAX(0,J335/INDEX(Surface_Engine!$B$12:$B$72,$A335+1)-(F335/INDEX(Surface_Engine!$B$12:$B$72,$A335+1))))^2+2*Assumptions!$B$26*(IF(C335&lt;=0,0,MAX(0,(B335/C335)*G335/INDEX(Surface_Engine!$B$12:$B$72,$A335+1)-F335/INDEX(Surface_Engine!$B$12:$B$72,$A335+1))))*(MAX(IF(D335&lt;=0,0,MAX(0,(B335/D335)*H335/INDEX(Surface_Engine!$B$12:$B$72,$A335+1)-F335/INDEX(Surface_Engine!$B$12:$B$72,$A335+1))),IF(E335&lt;=0,0,MAX(0,(B335/E335)*I335/INDEX(Surface_Engine!$B$12:$B$72,$A335+1)-F335/INDEX(Surface_Engine!$B$12:$B$72,$A335+1))),IF($A335&lt;$Q$321,MAX(0,-Assumptions!$B$22*(F335/INDEX(Surface_Engine!$B$12:$B$72,$A335+1))),0)))+2*Assumptions!$B$27*(IF(C335&lt;=0,0,MAX(0,(B335/C335)*G335/INDEX(Surface_Engine!$B$12:$B$72,$A335+1)-F335/INDEX(Surface_Engine!$B$12:$B$72,$A335+1))))*(MAX(0,J335/INDEX(Surface_Engine!$B$12:$B$72,$A335+1)-(F335/INDEX(Surface_Engine!$B$12:$B$72,$A335+1))))+2*Assumptions!$B$28*(MAX(IF(D335&lt;=0,0,MAX(0,(B335/D335)*H335/INDEX(Surface_Engine!$B$12:$B$72,$A335+1)-F335/INDEX(Surface_Engine!$B$12:$B$72,$A335+1))),IF(E335&lt;=0,0,MAX(0,(B335/E335)*I335/INDEX(Surface_Engine!$B$12:$B$72,$A335+1)-F335/INDEX(Surface_Engine!$B$12:$B$72,$A335+1))),IF($A335&lt;$Q$321,MAX(0,-Assumptions!$B$22*(F335/INDEX(Surface_Engine!$B$12:$B$72,$A335+1))),0)))*(MAX(0,J335/INDEX(Surface_Engine!$B$12:$B$72,$A335+1)-(F335/INDEX(Surface_Engine!$B$12:$B$72,$A335+1)))))</f>
        <v>10704.4250929122</v>
      </c>
      <c r="L335" s="48" t="n">
        <f aca="false">K335*INDEX(Surface_Engine!$B$12:$B$72,$A335+1)+L336</f>
        <v>96157.7292710712</v>
      </c>
      <c r="M335" s="48" t="n">
        <f aca="false">M334+B334*(IF($A334&lt;$Q$321,(Surface_Engine!G239*12)-(Surface_Engine!G239*12)*INDEX(Surface_Engine!$F$12:$F$72,$A334+1)-INDEX(Surface_Engine!$D$12:$D$72,$A334+1),-(1000*12*INDEX(Surface_Engine!$C$12:$C$72,$A334+1)/(1+Assumptions!$B$10)^17+INDEX(Surface_Engine!$D$12:$D$72,$A334+1))))*INDEX(Surface_Engine!$B$12:$B$72,$A334+1)</f>
        <v>44692.7471480836</v>
      </c>
      <c r="N335" s="12" t="n">
        <f aca="false">IF(B335&lt;=0,0,MAX(0,(K335+Assumptions!$B$29*L335/INDEX(Surface_Engine!$B$12:$B$72,$A335+1)-(M335/INDEX(Surface_Engine!$B$12:$B$72,$A335+1)-(F335/INDEX(Surface_Engine!$B$12:$B$72,$A335+1))))/B335))</f>
        <v>20719.7931427286</v>
      </c>
    </row>
    <row r="336" customFormat="false" ht="15" hidden="false" customHeight="true" outlineLevel="0" collapsed="false">
      <c r="A336" s="1" t="n">
        <v>13</v>
      </c>
      <c r="B336" s="32" t="n">
        <f aca="false">INDEX(Surface_Engine!$J$12:$J$72,$A336+1)*IF($A336&lt;$Q$321,INDEX(Surface_Engine!$E$12:$E$72,$A336+1),INDEX(Surface_Engine!$E$12:$E$72,$Q$321+1))</f>
        <v>0.754987743977101</v>
      </c>
      <c r="C336" s="32" t="n">
        <f aca="false">INDEX(Panel_Reserving!$C$8:$C$68,$A336+1)*IF($A336&lt;$Q$321,INDEX(Surface_Engine!$E$12:$E$72,$A336+1),INDEX(Surface_Engine!$E$12:$E$72,$Q$321+1))</f>
        <v>0.770972503679198</v>
      </c>
      <c r="D336" s="32" t="n">
        <f aca="false">INDEX(Surface_Engine!$J$12:$J$72,$A336+1)*IF($A336&lt;$Q$321,INDEX(Surface_Engine!$Y$12:$Y$72,$A336+1),INDEX(Surface_Engine!$Y$12:$Y$72,$Q$321+1))</f>
        <v>0.69025185411748</v>
      </c>
      <c r="E336" s="32" t="n">
        <f aca="false">INDEX(Surface_Engine!$J$12:$J$72,$A336+1)*IF($A336&lt;$Q$321,INDEX(Surface_Engine!$Z$12:$Z$72,$A336+1),INDEX(Surface_Engine!$Z$12:$Z$72,$Q$321+1))</f>
        <v>0.825072061347622</v>
      </c>
      <c r="F336" s="48" t="n">
        <f aca="false">B336*(IF($A336&lt;$Q$321,INDEX(Surface_Engine!$D$12:$D$72,$A336+1)+(Surface_Engine!G239*12)*INDEX(Surface_Engine!$F$12:$F$72,$A336+1)-(Surface_Engine!G239*12),1000*12*INDEX(Surface_Engine!$C$12:$C$72,$A336+1)/(1+Assumptions!$B$10)^17+INDEX(Surface_Engine!$D$12:$D$72,$A336+1)))*INDEX(Surface_Engine!$B$12:$B$72,$A336+1)+F337</f>
        <v>45618.5665498542</v>
      </c>
      <c r="G336" s="48" t="n">
        <f aca="false">C336*(IF($A336&lt;$Q$321,INDEX(Surface_Engine!$D$12:$D$72,$A336+1)+(Surface_Engine!G239*12)*INDEX(Surface_Engine!$F$12:$F$72,$A336+1)-(Surface_Engine!G239*12),1000*12*INDEX(Surface_Engine!$C$12:$C$72,$A336+1)/(1+Assumptions!$B$10)^17+INDEX(Surface_Engine!$D$12:$D$72,$A336+1)))*INDEX(Surface_Engine!$B$12:$B$72,$A336+1)+G337</f>
        <v>53681.8448613459</v>
      </c>
      <c r="H336" s="48" t="n">
        <f aca="false">D336*(IF($A336&lt;$Q$321,INDEX(Surface_Engine!$D$12:$D$72,$A336+1)+(Surface_Engine!G239*12)*INDEX(Surface_Engine!$F$12:$F$72,$A336+1)-(Surface_Engine!G239*12),1000*12*INDEX(Surface_Engine!$C$12:$C$72,$A336+1)/(1+Assumptions!$B$10)^17+INDEX(Surface_Engine!$D$12:$D$72,$A336+1)))*INDEX(Surface_Engine!$B$12:$B$72,$A336+1)+H337</f>
        <v>40836.7149726058</v>
      </c>
      <c r="I336" s="48" t="n">
        <f aca="false">E336*(IF($A336&lt;$Q$321,INDEX(Surface_Engine!$D$12:$D$72,$A336+1)+(Surface_Engine!G239*12)*INDEX(Surface_Engine!$F$12:$F$72,$A336+1)-(Surface_Engine!G239*12),1000*12*INDEX(Surface_Engine!$C$12:$C$72,$A336+1)/(1+Assumptions!$B$10)^17+INDEX(Surface_Engine!$D$12:$D$72,$A336+1)))*INDEX(Surface_Engine!$B$12:$B$72,$A336+1)+I337</f>
        <v>50908.5799789116</v>
      </c>
      <c r="J336" s="48" t="n">
        <f aca="false">B336*(IF($A336&lt;$Q$321,INDEX(Surface_Engine!$D$12:$D$72,$A336+1)*(1+Assumptions!$B$24)+(Surface_Engine!G239*12)*INDEX(Surface_Engine!$F$12:$F$72,$A336+1)-(Surface_Engine!G239*12),1000*12*INDEX(Surface_Engine!$C$12:$C$72,$A336+1)/(1+Assumptions!$B$10)^17+INDEX(Surface_Engine!$D$12:$D$72,$A336+1)*(1+Assumptions!$B$24)))*INDEX(Surface_Engine!$B$12:$B$72,$A336+1)+J337</f>
        <v>45699.9765875989</v>
      </c>
      <c r="K336" s="12" t="n">
        <f aca="false">SQRT((IF(C336&lt;=0,0,MAX(0,(B336/C336)*G336/INDEX(Surface_Engine!$B$12:$B$72,$A336+1)-F336/INDEX(Surface_Engine!$B$12:$B$72,$A336+1))))^2+(MAX(IF(D336&lt;=0,0,MAX(0,(B336/D336)*H336/INDEX(Surface_Engine!$B$12:$B$72,$A336+1)-F336/INDEX(Surface_Engine!$B$12:$B$72,$A336+1))),IF(E336&lt;=0,0,MAX(0,(B336/E336)*I336/INDEX(Surface_Engine!$B$12:$B$72,$A336+1)-F336/INDEX(Surface_Engine!$B$12:$B$72,$A336+1))),IF($A336&lt;$Q$321,MAX(0,-Assumptions!$B$22*(F336/INDEX(Surface_Engine!$B$12:$B$72,$A336+1))),0)))^2+(MAX(0,J336/INDEX(Surface_Engine!$B$12:$B$72,$A336+1)-(F336/INDEX(Surface_Engine!$B$12:$B$72,$A336+1))))^2+2*Assumptions!$B$26*(IF(C336&lt;=0,0,MAX(0,(B336/C336)*G336/INDEX(Surface_Engine!$B$12:$B$72,$A336+1)-F336/INDEX(Surface_Engine!$B$12:$B$72,$A336+1))))*(MAX(IF(D336&lt;=0,0,MAX(0,(B336/D336)*H336/INDEX(Surface_Engine!$B$12:$B$72,$A336+1)-F336/INDEX(Surface_Engine!$B$12:$B$72,$A336+1))),IF(E336&lt;=0,0,MAX(0,(B336/E336)*I336/INDEX(Surface_Engine!$B$12:$B$72,$A336+1)-F336/INDEX(Surface_Engine!$B$12:$B$72,$A336+1))),IF($A336&lt;$Q$321,MAX(0,-Assumptions!$B$22*(F336/INDEX(Surface_Engine!$B$12:$B$72,$A336+1))),0)))+2*Assumptions!$B$27*(IF(C336&lt;=0,0,MAX(0,(B336/C336)*G336/INDEX(Surface_Engine!$B$12:$B$72,$A336+1)-F336/INDEX(Surface_Engine!$B$12:$B$72,$A336+1))))*(MAX(0,J336/INDEX(Surface_Engine!$B$12:$B$72,$A336+1)-(F336/INDEX(Surface_Engine!$B$12:$B$72,$A336+1))))+2*Assumptions!$B$28*(MAX(IF(D336&lt;=0,0,MAX(0,(B336/D336)*H336/INDEX(Surface_Engine!$B$12:$B$72,$A336+1)-F336/INDEX(Surface_Engine!$B$12:$B$72,$A336+1))),IF(E336&lt;=0,0,MAX(0,(B336/E336)*I336/INDEX(Surface_Engine!$B$12:$B$72,$A336+1)-F336/INDEX(Surface_Engine!$B$12:$B$72,$A336+1))),IF($A336&lt;$Q$321,MAX(0,-Assumptions!$B$22*(F336/INDEX(Surface_Engine!$B$12:$B$72,$A336+1))),0)))*(MAX(0,J336/INDEX(Surface_Engine!$B$12:$B$72,$A336+1)-(F336/INDEX(Surface_Engine!$B$12:$B$72,$A336+1)))))</f>
        <v>10731.9442741728</v>
      </c>
      <c r="L336" s="48" t="n">
        <f aca="false">K336*INDEX(Surface_Engine!$B$12:$B$72,$A336+1)+L337</f>
        <v>88642.8597229009</v>
      </c>
      <c r="M336" s="48" t="n">
        <f aca="false">M335+B335*(IF($A335&lt;$Q$321,(Surface_Engine!G239*12)-(Surface_Engine!G239*12)*INDEX(Surface_Engine!$F$12:$F$72,$A335+1)-INDEX(Surface_Engine!$D$12:$D$72,$A335+1),-(1000*12*INDEX(Surface_Engine!$C$12:$C$72,$A335+1)/(1+Assumptions!$B$10)^17+INDEX(Surface_Engine!$D$12:$D$72,$A335+1))))*INDEX(Surface_Engine!$B$12:$B$72,$A335+1)</f>
        <v>47657.6673903952</v>
      </c>
      <c r="N336" s="12" t="n">
        <f aca="false">IF(B336&lt;=0,0,MAX(0,(K336+Assumptions!$B$29*L336/INDEX(Surface_Engine!$B$12:$B$72,$A336+1)-(M336/INDEX(Surface_Engine!$B$12:$B$72,$A336+1)-(F336/INDEX(Surface_Engine!$B$12:$B$72,$A336+1))))/B336))</f>
        <v>20620.2753370444</v>
      </c>
    </row>
    <row r="337" customFormat="false" ht="15" hidden="false" customHeight="true" outlineLevel="0" collapsed="false">
      <c r="A337" s="1" t="n">
        <v>14</v>
      </c>
      <c r="B337" s="32" t="n">
        <f aca="false">INDEX(Surface_Engine!$J$12:$J$72,$A337+1)*IF($A337&lt;$Q$321,INDEX(Surface_Engine!$E$12:$E$72,$A337+1),INDEX(Surface_Engine!$E$12:$E$72,$Q$321+1))</f>
        <v>0.736058252333804</v>
      </c>
      <c r="C337" s="32" t="n">
        <f aca="false">INDEX(Panel_Reserving!$C$8:$C$68,$A337+1)*IF($A337&lt;$Q$321,INDEX(Surface_Engine!$E$12:$E$72,$A337+1),INDEX(Surface_Engine!$E$12:$E$72,$Q$321+1))</f>
        <v>0.754105117057231</v>
      </c>
      <c r="D337" s="32" t="n">
        <f aca="false">INDEX(Surface_Engine!$J$12:$J$72,$A337+1)*IF($A337&lt;$Q$321,INDEX(Surface_Engine!$Y$12:$Y$72,$A337+1),INDEX(Surface_Engine!$Y$12:$Y$72,$Q$321+1))</f>
        <v>0.669855437313377</v>
      </c>
      <c r="E337" s="32" t="n">
        <f aca="false">INDEX(Surface_Engine!$J$12:$J$72,$A337+1)*IF($A337&lt;$Q$321,INDEX(Surface_Engine!$Z$12:$Z$72,$A337+1),INDEX(Surface_Engine!$Z$12:$Z$72,$Q$321+1))</f>
        <v>0.808078939850979</v>
      </c>
      <c r="F337" s="48" t="n">
        <f aca="false">B337*(IF($A337&lt;$Q$321,INDEX(Surface_Engine!$D$12:$D$72,$A337+1)+(Surface_Engine!G239*12)*INDEX(Surface_Engine!$F$12:$F$72,$A337+1)-(Surface_Engine!G239*12),1000*12*INDEX(Surface_Engine!$C$12:$C$72,$A337+1)/(1+Assumptions!$B$10)^17+INDEX(Surface_Engine!$D$12:$D$72,$A337+1)))*INDEX(Surface_Engine!$B$12:$B$72,$A337+1)+F338</f>
        <v>48414.0580311314</v>
      </c>
      <c r="G337" s="48" t="n">
        <f aca="false">C337*(IF($A337&lt;$Q$321,INDEX(Surface_Engine!$D$12:$D$72,$A337+1)+(Surface_Engine!G239*12)*INDEX(Surface_Engine!$F$12:$F$72,$A337+1)-(Surface_Engine!G239*12),1000*12*INDEX(Surface_Engine!$C$12:$C$72,$A337+1)/(1+Assumptions!$B$10)^17+INDEX(Surface_Engine!$D$12:$D$72,$A337+1)))*INDEX(Surface_Engine!$B$12:$B$72,$A337+1)+G338</f>
        <v>56536.5230776846</v>
      </c>
      <c r="H337" s="48" t="n">
        <f aca="false">D337*(IF($A337&lt;$Q$321,INDEX(Surface_Engine!$D$12:$D$72,$A337+1)+(Surface_Engine!G239*12)*INDEX(Surface_Engine!$F$12:$F$72,$A337+1)-(Surface_Engine!G239*12),1000*12*INDEX(Surface_Engine!$C$12:$C$72,$A337+1)/(1+Assumptions!$B$10)^17+INDEX(Surface_Engine!$D$12:$D$72,$A337+1)))*INDEX(Surface_Engine!$B$12:$B$72,$A337+1)+H338</f>
        <v>43392.5090149787</v>
      </c>
      <c r="I337" s="48" t="n">
        <f aca="false">E337*(IF($A337&lt;$Q$321,INDEX(Surface_Engine!$D$12:$D$72,$A337+1)+(Surface_Engine!G239*12)*INDEX(Surface_Engine!$F$12:$F$72,$A337+1)-(Surface_Engine!G239*12),1000*12*INDEX(Surface_Engine!$C$12:$C$72,$A337+1)/(1+Assumptions!$B$10)^17+INDEX(Surface_Engine!$D$12:$D$72,$A337+1)))*INDEX(Surface_Engine!$B$12:$B$72,$A337+1)+I338</f>
        <v>53963.5725100315</v>
      </c>
      <c r="J337" s="48" t="n">
        <f aca="false">B337*(IF($A337&lt;$Q$321,INDEX(Surface_Engine!$D$12:$D$72,$A337+1)*(1+Assumptions!$B$24)+(Surface_Engine!G239*12)*INDEX(Surface_Engine!$F$12:$F$72,$A337+1)-(Surface_Engine!G239*12),1000*12*INDEX(Surface_Engine!$C$12:$C$72,$A337+1)/(1+Assumptions!$B$10)^17+INDEX(Surface_Engine!$D$12:$D$72,$A337+1)*(1+Assumptions!$B$24)))*INDEX(Surface_Engine!$B$12:$B$72,$A337+1)+J338</f>
        <v>48489.6808285848</v>
      </c>
      <c r="K337" s="12" t="n">
        <f aca="false">SQRT((IF(C337&lt;=0,0,MAX(0,(B337/C337)*G337/INDEX(Surface_Engine!$B$12:$B$72,$A337+1)-F337/INDEX(Surface_Engine!$B$12:$B$72,$A337+1))))^2+(MAX(IF(D337&lt;=0,0,MAX(0,(B337/D337)*H337/INDEX(Surface_Engine!$B$12:$B$72,$A337+1)-F337/INDEX(Surface_Engine!$B$12:$B$72,$A337+1))),IF(E337&lt;=0,0,MAX(0,(B337/E337)*I337/INDEX(Surface_Engine!$B$12:$B$72,$A337+1)-F337/INDEX(Surface_Engine!$B$12:$B$72,$A337+1))),IF($A337&lt;$Q$321,MAX(0,-Assumptions!$B$22*(F337/INDEX(Surface_Engine!$B$12:$B$72,$A337+1))),0)))^2+(MAX(0,J337/INDEX(Surface_Engine!$B$12:$B$72,$A337+1)-(F337/INDEX(Surface_Engine!$B$12:$B$72,$A337+1))))^2+2*Assumptions!$B$26*(IF(C337&lt;=0,0,MAX(0,(B337/C337)*G337/INDEX(Surface_Engine!$B$12:$B$72,$A337+1)-F337/INDEX(Surface_Engine!$B$12:$B$72,$A337+1))))*(MAX(IF(D337&lt;=0,0,MAX(0,(B337/D337)*H337/INDEX(Surface_Engine!$B$12:$B$72,$A337+1)-F337/INDEX(Surface_Engine!$B$12:$B$72,$A337+1))),IF(E337&lt;=0,0,MAX(0,(B337/E337)*I337/INDEX(Surface_Engine!$B$12:$B$72,$A337+1)-F337/INDEX(Surface_Engine!$B$12:$B$72,$A337+1))),IF($A337&lt;$Q$321,MAX(0,-Assumptions!$B$22*(F337/INDEX(Surface_Engine!$B$12:$B$72,$A337+1))),0)))+2*Assumptions!$B$27*(IF(C337&lt;=0,0,MAX(0,(B337/C337)*G337/INDEX(Surface_Engine!$B$12:$B$72,$A337+1)-F337/INDEX(Surface_Engine!$B$12:$B$72,$A337+1))))*(MAX(0,J337/INDEX(Surface_Engine!$B$12:$B$72,$A337+1)-(F337/INDEX(Surface_Engine!$B$12:$B$72,$A337+1))))+2*Assumptions!$B$28*(MAX(IF(D337&lt;=0,0,MAX(0,(B337/D337)*H337/INDEX(Surface_Engine!$B$12:$B$72,$A337+1)-F337/INDEX(Surface_Engine!$B$12:$B$72,$A337+1))),IF(E337&lt;=0,0,MAX(0,(B337/E337)*I337/INDEX(Surface_Engine!$B$12:$B$72,$A337+1)-F337/INDEX(Surface_Engine!$B$12:$B$72,$A337+1))),IF($A337&lt;$Q$321,MAX(0,-Assumptions!$B$22*(F337/INDEX(Surface_Engine!$B$12:$B$72,$A337+1))),0)))*(MAX(0,J337/INDEX(Surface_Engine!$B$12:$B$72,$A337+1)-(F337/INDEX(Surface_Engine!$B$12:$B$72,$A337+1)))))</f>
        <v>10700.4273851218</v>
      </c>
      <c r="L337" s="48" t="n">
        <f aca="false">K337*INDEX(Surface_Engine!$B$12:$B$72,$A337+1)+L338</f>
        <v>81365.2976251095</v>
      </c>
      <c r="M337" s="48" t="n">
        <f aca="false">M336+B336*(IF($A336&lt;$Q$321,(Surface_Engine!G239*12)-(Surface_Engine!G239*12)*INDEX(Surface_Engine!$F$12:$F$72,$A336+1)-INDEX(Surface_Engine!$D$12:$D$72,$A336+1),-(1000*12*INDEX(Surface_Engine!$C$12:$C$72,$A336+1)/(1+Assumptions!$B$10)^17+INDEX(Surface_Engine!$D$12:$D$72,$A336+1))))*INDEX(Surface_Engine!$B$12:$B$72,$A336+1)</f>
        <v>50453.1588716724</v>
      </c>
      <c r="N337" s="12" t="n">
        <f aca="false">IF(B337&lt;=0,0,MAX(0,(K337+Assumptions!$B$29*L337/INDEX(Surface_Engine!$B$12:$B$72,$A337+1)-(M337/INDEX(Surface_Engine!$B$12:$B$72,$A337+1)-(F337/INDEX(Surface_Engine!$B$12:$B$72,$A337+1))))/B337))</f>
        <v>20429.6485944825</v>
      </c>
    </row>
    <row r="338" customFormat="false" ht="15" hidden="false" customHeight="true" outlineLevel="0" collapsed="false">
      <c r="A338" s="1" t="n">
        <v>15</v>
      </c>
      <c r="B338" s="32" t="n">
        <f aca="false">INDEX(Surface_Engine!$J$12:$J$72,$A338+1)*IF($A338&lt;$Q$321,INDEX(Surface_Engine!$E$12:$E$72,$A338+1),INDEX(Surface_Engine!$E$12:$E$72,$Q$321+1))</f>
        <v>0.716211777971633</v>
      </c>
      <c r="C338" s="32" t="n">
        <f aca="false">INDEX(Panel_Reserving!$C$8:$C$68,$A338+1)*IF($A338&lt;$Q$321,INDEX(Surface_Engine!$E$12:$E$72,$A338+1),INDEX(Surface_Engine!$E$12:$E$72,$Q$321+1))</f>
        <v>0.73646618550183</v>
      </c>
      <c r="D338" s="32" t="n">
        <f aca="false">INDEX(Surface_Engine!$J$12:$J$72,$A338+1)*IF($A338&lt;$Q$321,INDEX(Surface_Engine!$Y$12:$Y$72,$A338+1),INDEX(Surface_Engine!$Y$12:$Y$72,$Q$321+1))</f>
        <v>0.648801103578111</v>
      </c>
      <c r="E338" s="32" t="n">
        <f aca="false">INDEX(Surface_Engine!$J$12:$J$72,$A338+1)*IF($A338&lt;$Q$321,INDEX(Surface_Engine!$Z$12:$Z$72,$A338+1),INDEX(Surface_Engine!$Z$12:$Z$72,$Q$321+1))</f>
        <v>0.789901035798062</v>
      </c>
      <c r="F338" s="48" t="n">
        <f aca="false">B338*(IF($A338&lt;$Q$321,INDEX(Surface_Engine!$D$12:$D$72,$A338+1)+(Surface_Engine!G239*12)*INDEX(Surface_Engine!$F$12:$F$72,$A338+1)-(Surface_Engine!G239*12),1000*12*INDEX(Surface_Engine!$C$12:$C$72,$A338+1)/(1+Assumptions!$B$10)^17+INDEX(Surface_Engine!$D$12:$D$72,$A338+1)))*INDEX(Surface_Engine!$B$12:$B$72,$A338+1)+F339</f>
        <v>51047.1085995641</v>
      </c>
      <c r="G338" s="48" t="n">
        <f aca="false">C338*(IF($A338&lt;$Q$321,INDEX(Surface_Engine!$D$12:$D$72,$A338+1)+(Surface_Engine!G239*12)*INDEX(Surface_Engine!$F$12:$F$72,$A338+1)-(Surface_Engine!G239*12),1000*12*INDEX(Surface_Engine!$C$12:$C$72,$A338+1)/(1+Assumptions!$B$10)^17+INDEX(Surface_Engine!$D$12:$D$72,$A338+1)))*INDEX(Surface_Engine!$B$12:$B$72,$A338+1)+G339</f>
        <v>59234.1314542361</v>
      </c>
      <c r="H338" s="48" t="n">
        <f aca="false">D338*(IF($A338&lt;$Q$321,INDEX(Surface_Engine!$D$12:$D$72,$A338+1)+(Surface_Engine!G239*12)*INDEX(Surface_Engine!$F$12:$F$72,$A338+1)-(Surface_Engine!G239*12),1000*12*INDEX(Surface_Engine!$C$12:$C$72,$A338+1)/(1+Assumptions!$B$10)^17+INDEX(Surface_Engine!$D$12:$D$72,$A338+1)))*INDEX(Surface_Engine!$B$12:$B$72,$A338+1)+H339</f>
        <v>45788.7368059088</v>
      </c>
      <c r="I338" s="48" t="n">
        <f aca="false">E338*(IF($A338&lt;$Q$321,INDEX(Surface_Engine!$D$12:$D$72,$A338+1)+(Surface_Engine!G239*12)*INDEX(Surface_Engine!$F$12:$F$72,$A338+1)-(Surface_Engine!G239*12),1000*12*INDEX(Surface_Engine!$C$12:$C$72,$A338+1)/(1+Assumptions!$B$10)^17+INDEX(Surface_Engine!$D$12:$D$72,$A338+1)))*INDEX(Surface_Engine!$B$12:$B$72,$A338+1)+I339</f>
        <v>56854.2577311629</v>
      </c>
      <c r="J338" s="48" t="n">
        <f aca="false">B338*(IF($A338&lt;$Q$321,INDEX(Surface_Engine!$D$12:$D$72,$A338+1)*(1+Assumptions!$B$24)+(Surface_Engine!G239*12)*INDEX(Surface_Engine!$F$12:$F$72,$A338+1)-(Surface_Engine!G239*12),1000*12*INDEX(Surface_Engine!$C$12:$C$72,$A338+1)/(1+Assumptions!$B$10)^17+INDEX(Surface_Engine!$D$12:$D$72,$A338+1)*(1+Assumptions!$B$24)))*INDEX(Surface_Engine!$B$12:$B$72,$A338+1)+J339</f>
        <v>51117.1412756755</v>
      </c>
      <c r="K338" s="12" t="n">
        <f aca="false">SQRT((IF(C338&lt;=0,0,MAX(0,(B338/C338)*G338/INDEX(Surface_Engine!$B$12:$B$72,$A338+1)-F338/INDEX(Surface_Engine!$B$12:$B$72,$A338+1))))^2+(MAX(IF(D338&lt;=0,0,MAX(0,(B338/D338)*H338/INDEX(Surface_Engine!$B$12:$B$72,$A338+1)-F338/INDEX(Surface_Engine!$B$12:$B$72,$A338+1))),IF(E338&lt;=0,0,MAX(0,(B338/E338)*I338/INDEX(Surface_Engine!$B$12:$B$72,$A338+1)-F338/INDEX(Surface_Engine!$B$12:$B$72,$A338+1))),IF($A338&lt;$Q$321,MAX(0,-Assumptions!$B$22*(F338/INDEX(Surface_Engine!$B$12:$B$72,$A338+1))),0)))^2+(MAX(0,J338/INDEX(Surface_Engine!$B$12:$B$72,$A338+1)-(F338/INDEX(Surface_Engine!$B$12:$B$72,$A338+1))))^2+2*Assumptions!$B$26*(IF(C338&lt;=0,0,MAX(0,(B338/C338)*G338/INDEX(Surface_Engine!$B$12:$B$72,$A338+1)-F338/INDEX(Surface_Engine!$B$12:$B$72,$A338+1))))*(MAX(IF(D338&lt;=0,0,MAX(0,(B338/D338)*H338/INDEX(Surface_Engine!$B$12:$B$72,$A338+1)-F338/INDEX(Surface_Engine!$B$12:$B$72,$A338+1))),IF(E338&lt;=0,0,MAX(0,(B338/E338)*I338/INDEX(Surface_Engine!$B$12:$B$72,$A338+1)-F338/INDEX(Surface_Engine!$B$12:$B$72,$A338+1))),IF($A338&lt;$Q$321,MAX(0,-Assumptions!$B$22*(F338/INDEX(Surface_Engine!$B$12:$B$72,$A338+1))),0)))+2*Assumptions!$B$27*(IF(C338&lt;=0,0,MAX(0,(B338/C338)*G338/INDEX(Surface_Engine!$B$12:$B$72,$A338+1)-F338/INDEX(Surface_Engine!$B$12:$B$72,$A338+1))))*(MAX(0,J338/INDEX(Surface_Engine!$B$12:$B$72,$A338+1)-(F338/INDEX(Surface_Engine!$B$12:$B$72,$A338+1))))+2*Assumptions!$B$28*(MAX(IF(D338&lt;=0,0,MAX(0,(B338/D338)*H338/INDEX(Surface_Engine!$B$12:$B$72,$A338+1)-F338/INDEX(Surface_Engine!$B$12:$B$72,$A338+1))),IF(E338&lt;=0,0,MAX(0,(B338/E338)*I338/INDEX(Surface_Engine!$B$12:$B$72,$A338+1)-F338/INDEX(Surface_Engine!$B$12:$B$72,$A338+1))),IF($A338&lt;$Q$321,MAX(0,-Assumptions!$B$22*(F338/INDEX(Surface_Engine!$B$12:$B$72,$A338+1))),0)))*(MAX(0,J338/INDEX(Surface_Engine!$B$12:$B$72,$A338+1)-(F338/INDEX(Surface_Engine!$B$12:$B$72,$A338+1)))))</f>
        <v>10636.4204792363</v>
      </c>
      <c r="L338" s="48" t="n">
        <f aca="false">K338*INDEX(Surface_Engine!$B$12:$B$72,$A338+1)+L339</f>
        <v>74351.3550621272</v>
      </c>
      <c r="M338" s="48" t="n">
        <f aca="false">M337+B337*(IF($A337&lt;$Q$321,(Surface_Engine!G239*12)-(Surface_Engine!G239*12)*INDEX(Surface_Engine!$F$12:$F$72,$A337+1)-INDEX(Surface_Engine!$D$12:$D$72,$A337+1),-(1000*12*INDEX(Surface_Engine!$C$12:$C$72,$A337+1)/(1+Assumptions!$B$10)^17+INDEX(Surface_Engine!$D$12:$D$72,$A337+1))))*INDEX(Surface_Engine!$B$12:$B$72,$A337+1)</f>
        <v>53086.2094401051</v>
      </c>
      <c r="N338" s="12" t="n">
        <f aca="false">IF(B338&lt;=0,0,MAX(0,(K338+Assumptions!$B$29*L338/INDEX(Surface_Engine!$B$12:$B$72,$A338+1)-(M338/INDEX(Surface_Engine!$B$12:$B$72,$A338+1)-(F338/INDEX(Surface_Engine!$B$12:$B$72,$A338+1))))/B338))</f>
        <v>20202.1464206401</v>
      </c>
    </row>
    <row r="339" customFormat="false" ht="15" hidden="false" customHeight="true" outlineLevel="0" collapsed="false">
      <c r="A339" s="1" t="n">
        <v>16</v>
      </c>
      <c r="B339" s="32" t="n">
        <f aca="false">INDEX(Surface_Engine!$J$12:$J$72,$A339+1)*IF($A339&lt;$Q$321,INDEX(Surface_Engine!$E$12:$E$72,$A339+1),INDEX(Surface_Engine!$E$12:$E$72,$Q$321+1))</f>
        <v>0.695367768157948</v>
      </c>
      <c r="C339" s="32" t="n">
        <f aca="false">INDEX(Panel_Reserving!$C$8:$C$68,$A339+1)*IF($A339&lt;$Q$321,INDEX(Surface_Engine!$E$12:$E$72,$A339+1),INDEX(Surface_Engine!$E$12:$E$72,$Q$321+1))</f>
        <v>0.717979035748302</v>
      </c>
      <c r="D339" s="32" t="n">
        <f aca="false">INDEX(Surface_Engine!$J$12:$J$72,$A339+1)*IF($A339&lt;$Q$321,INDEX(Surface_Engine!$Y$12:$Y$72,$A339+1),INDEX(Surface_Engine!$Y$12:$Y$72,$Q$321+1))</f>
        <v>0.627026503318878</v>
      </c>
      <c r="E339" s="32" t="n">
        <f aca="false">INDEX(Surface_Engine!$J$12:$J$72,$A339+1)*IF($A339&lt;$Q$321,INDEX(Surface_Engine!$Z$12:$Z$72,$A339+1),INDEX(Surface_Engine!$Z$12:$Z$72,$Q$321+1))</f>
        <v>0.77043393460043</v>
      </c>
      <c r="F339" s="48" t="n">
        <f aca="false">B339*(IF($A339&lt;$Q$321,INDEX(Surface_Engine!$D$12:$D$72,$A339+1)+(Surface_Engine!G239*12)*INDEX(Surface_Engine!$F$12:$F$72,$A339+1)-(Surface_Engine!G239*12),1000*12*INDEX(Surface_Engine!$C$12:$C$72,$A339+1)/(1+Assumptions!$B$10)^17+INDEX(Surface_Engine!$D$12:$D$72,$A339+1)))*INDEX(Surface_Engine!$B$12:$B$72,$A339+1)+F340</f>
        <v>53515.8440862507</v>
      </c>
      <c r="G339" s="48" t="n">
        <f aca="false">C339*(IF($A339&lt;$Q$321,INDEX(Surface_Engine!$D$12:$D$72,$A339+1)+(Surface_Engine!G239*12)*INDEX(Surface_Engine!$F$12:$F$72,$A339+1)-(Surface_Engine!G239*12),1000*12*INDEX(Surface_Engine!$C$12:$C$72,$A339+1)/(1+Assumptions!$B$10)^17+INDEX(Surface_Engine!$D$12:$D$72,$A339+1)))*INDEX(Surface_Engine!$B$12:$B$72,$A339+1)+G340</f>
        <v>61772.6825683245</v>
      </c>
      <c r="H339" s="48" t="n">
        <f aca="false">D339*(IF($A339&lt;$Q$321,INDEX(Surface_Engine!$D$12:$D$72,$A339+1)+(Surface_Engine!G239*12)*INDEX(Surface_Engine!$F$12:$F$72,$A339+1)-(Surface_Engine!G239*12),1000*12*INDEX(Surface_Engine!$C$12:$C$72,$A339+1)/(1+Assumptions!$B$10)^17+INDEX(Surface_Engine!$D$12:$D$72,$A339+1)))*INDEX(Surface_Engine!$B$12:$B$72,$A339+1)+H340</f>
        <v>48025.112075722</v>
      </c>
      <c r="I339" s="48" t="n">
        <f aca="false">E339*(IF($A339&lt;$Q$321,INDEX(Surface_Engine!$D$12:$D$72,$A339+1)+(Surface_Engine!G239*12)*INDEX(Surface_Engine!$F$12:$F$72,$A339+1)-(Surface_Engine!G239*12),1000*12*INDEX(Surface_Engine!$C$12:$C$72,$A339+1)/(1+Assumptions!$B$10)^17+INDEX(Surface_Engine!$D$12:$D$72,$A339+1)))*INDEX(Surface_Engine!$B$12:$B$72,$A339+1)+I340</f>
        <v>59576.9953040745</v>
      </c>
      <c r="J339" s="48" t="n">
        <f aca="false">B339*(IF($A339&lt;$Q$321,INDEX(Surface_Engine!$D$12:$D$72,$A339+1)*(1+Assumptions!$B$24)+(Surface_Engine!G239*12)*INDEX(Surface_Engine!$F$12:$F$72,$A339+1)-(Surface_Engine!G239*12),1000*12*INDEX(Surface_Engine!$C$12:$C$72,$A339+1)/(1+Assumptions!$B$10)^17+INDEX(Surface_Engine!$D$12:$D$72,$A339+1)*(1+Assumptions!$B$24)))*INDEX(Surface_Engine!$B$12:$B$72,$A339+1)+J340</f>
        <v>53580.5016068988</v>
      </c>
      <c r="K339" s="12" t="n">
        <f aca="false">SQRT((IF(C339&lt;=0,0,MAX(0,(B339/C339)*G339/INDEX(Surface_Engine!$B$12:$B$72,$A339+1)-F339/INDEX(Surface_Engine!$B$12:$B$72,$A339+1))))^2+(MAX(IF(D339&lt;=0,0,MAX(0,(B339/D339)*H339/INDEX(Surface_Engine!$B$12:$B$72,$A339+1)-F339/INDEX(Surface_Engine!$B$12:$B$72,$A339+1))),IF(E339&lt;=0,0,MAX(0,(B339/E339)*I339/INDEX(Surface_Engine!$B$12:$B$72,$A339+1)-F339/INDEX(Surface_Engine!$B$12:$B$72,$A339+1))),IF($A339&lt;$Q$321,MAX(0,-Assumptions!$B$22*(F339/INDEX(Surface_Engine!$B$12:$B$72,$A339+1))),0)))^2+(MAX(0,J339/INDEX(Surface_Engine!$B$12:$B$72,$A339+1)-(F339/INDEX(Surface_Engine!$B$12:$B$72,$A339+1))))^2+2*Assumptions!$B$26*(IF(C339&lt;=0,0,MAX(0,(B339/C339)*G339/INDEX(Surface_Engine!$B$12:$B$72,$A339+1)-F339/INDEX(Surface_Engine!$B$12:$B$72,$A339+1))))*(MAX(IF(D339&lt;=0,0,MAX(0,(B339/D339)*H339/INDEX(Surface_Engine!$B$12:$B$72,$A339+1)-F339/INDEX(Surface_Engine!$B$12:$B$72,$A339+1))),IF(E339&lt;=0,0,MAX(0,(B339/E339)*I339/INDEX(Surface_Engine!$B$12:$B$72,$A339+1)-F339/INDEX(Surface_Engine!$B$12:$B$72,$A339+1))),IF($A339&lt;$Q$321,MAX(0,-Assumptions!$B$22*(F339/INDEX(Surface_Engine!$B$12:$B$72,$A339+1))),0)))+2*Assumptions!$B$27*(IF(C339&lt;=0,0,MAX(0,(B339/C339)*G339/INDEX(Surface_Engine!$B$12:$B$72,$A339+1)-F339/INDEX(Surface_Engine!$B$12:$B$72,$A339+1))))*(MAX(0,J339/INDEX(Surface_Engine!$B$12:$B$72,$A339+1)-(F339/INDEX(Surface_Engine!$B$12:$B$72,$A339+1))))+2*Assumptions!$B$28*(MAX(IF(D339&lt;=0,0,MAX(0,(B339/D339)*H339/INDEX(Surface_Engine!$B$12:$B$72,$A339+1)-F339/INDEX(Surface_Engine!$B$12:$B$72,$A339+1))),IF(E339&lt;=0,0,MAX(0,(B339/E339)*I339/INDEX(Surface_Engine!$B$12:$B$72,$A339+1)-F339/INDEX(Surface_Engine!$B$12:$B$72,$A339+1))),IF($A339&lt;$Q$321,MAX(0,-Assumptions!$B$22*(F339/INDEX(Surface_Engine!$B$12:$B$72,$A339+1))),0)))*(MAX(0,J339/INDEX(Surface_Engine!$B$12:$B$72,$A339+1)-(F339/INDEX(Surface_Engine!$B$12:$B$72,$A339+1)))))</f>
        <v>10490.764118793</v>
      </c>
      <c r="L339" s="48" t="n">
        <f aca="false">K339*INDEX(Surface_Engine!$B$12:$B$72,$A339+1)+L340</f>
        <v>67629.7462225912</v>
      </c>
      <c r="M339" s="48" t="n">
        <f aca="false">M338+B338*(IF($A338&lt;$Q$321,(Surface_Engine!G239*12)-(Surface_Engine!G239*12)*INDEX(Surface_Engine!$F$12:$F$72,$A338+1)-INDEX(Surface_Engine!$D$12:$D$72,$A338+1),-(1000*12*INDEX(Surface_Engine!$C$12:$C$72,$A338+1)/(1+Assumptions!$B$10)^17+INDEX(Surface_Engine!$D$12:$D$72,$A338+1))))*INDEX(Surface_Engine!$B$12:$B$72,$A338+1)</f>
        <v>55554.9449267917</v>
      </c>
      <c r="N339" s="12" t="n">
        <f aca="false">IF(B339&lt;=0,0,MAX(0,(K339+Assumptions!$B$29*L339/INDEX(Surface_Engine!$B$12:$B$72,$A339+1)-(M339/INDEX(Surface_Engine!$B$12:$B$72,$A339+1)-(F339/INDEX(Surface_Engine!$B$12:$B$72,$A339+1))))/B339))</f>
        <v>19846.789072713</v>
      </c>
    </row>
    <row r="340" customFormat="false" ht="15" hidden="false" customHeight="true" outlineLevel="0" collapsed="false">
      <c r="A340" s="1" t="n">
        <v>17</v>
      </c>
      <c r="B340" s="32" t="n">
        <f aca="false">INDEX(Surface_Engine!$J$12:$J$72,$A340+1)*IF($A340&lt;$Q$321,INDEX(Surface_Engine!$E$12:$E$72,$A340+1),INDEX(Surface_Engine!$E$12:$E$72,$Q$321+1))</f>
        <v>0.673448174500525</v>
      </c>
      <c r="C340" s="32" t="n">
        <f aca="false">INDEX(Panel_Reserving!$C$8:$C$68,$A340+1)*IF($A340&lt;$Q$321,INDEX(Surface_Engine!$E$12:$E$72,$A340+1),INDEX(Surface_Engine!$E$12:$E$72,$Q$321+1))</f>
        <v>0.698566431590241</v>
      </c>
      <c r="D340" s="32" t="n">
        <f aca="false">INDEX(Surface_Engine!$J$12:$J$72,$A340+1)*IF($A340&lt;$Q$321,INDEX(Surface_Engine!$Y$12:$Y$72,$A340+1),INDEX(Surface_Engine!$Y$12:$Y$72,$Q$321+1))</f>
        <v>0.604472770792341</v>
      </c>
      <c r="E340" s="32" t="n">
        <f aca="false">INDEX(Surface_Engine!$J$12:$J$72,$A340+1)*IF($A340&lt;$Q$321,INDEX(Surface_Engine!$Z$12:$Z$72,$A340+1),INDEX(Surface_Engine!$Z$12:$Z$72,$Q$321+1))</f>
        <v>0.749574234236939</v>
      </c>
      <c r="F340" s="48" t="n">
        <f aca="false">B340*(IF($A340&lt;$Q$321,INDEX(Surface_Engine!$D$12:$D$72,$A340+1)+(Surface_Engine!G239*12)*INDEX(Surface_Engine!$F$12:$F$72,$A340+1)-(Surface_Engine!G239*12),1000*12*INDEX(Surface_Engine!$C$12:$C$72,$A340+1)/(1+Assumptions!$B$10)^17+INDEX(Surface_Engine!$D$12:$D$72,$A340+1)))*INDEX(Surface_Engine!$B$12:$B$72,$A340+1)+F341</f>
        <v>55827.732123906</v>
      </c>
      <c r="G340" s="48" t="n">
        <f aca="false">C340*(IF($A340&lt;$Q$321,INDEX(Surface_Engine!$D$12:$D$72,$A340+1)+(Surface_Engine!G239*12)*INDEX(Surface_Engine!$F$12:$F$72,$A340+1)-(Surface_Engine!G239*12),1000*12*INDEX(Surface_Engine!$C$12:$C$72,$A340+1)/(1+Assumptions!$B$10)^17+INDEX(Surface_Engine!$D$12:$D$72,$A340+1)))*INDEX(Surface_Engine!$B$12:$B$72,$A340+1)+G341</f>
        <v>64159.7462489303</v>
      </c>
      <c r="H340" s="48" t="n">
        <f aca="false">D340*(IF($A340&lt;$Q$321,INDEX(Surface_Engine!$D$12:$D$72,$A340+1)+(Surface_Engine!G239*12)*INDEX(Surface_Engine!$F$12:$F$72,$A340+1)-(Surface_Engine!G239*12),1000*12*INDEX(Surface_Engine!$C$12:$C$72,$A340+1)/(1+Assumptions!$B$10)^17+INDEX(Surface_Engine!$D$12:$D$72,$A340+1)))*INDEX(Surface_Engine!$B$12:$B$72,$A340+1)+H341</f>
        <v>50109.7860262501</v>
      </c>
      <c r="I340" s="48" t="n">
        <f aca="false">E340*(IF($A340&lt;$Q$321,INDEX(Surface_Engine!$D$12:$D$72,$A340+1)+(Surface_Engine!G239*12)*INDEX(Surface_Engine!$F$12:$F$72,$A340+1)-(Surface_Engine!G239*12),1000*12*INDEX(Surface_Engine!$C$12:$C$72,$A340+1)/(1+Assumptions!$B$10)^17+INDEX(Surface_Engine!$D$12:$D$72,$A340+1)))*INDEX(Surface_Engine!$B$12:$B$72,$A340+1)+I341</f>
        <v>62138.455697795</v>
      </c>
      <c r="J340" s="48" t="n">
        <f aca="false">B340*(IF($A340&lt;$Q$321,INDEX(Surface_Engine!$D$12:$D$72,$A340+1)*(1+Assumptions!$B$24)+(Surface_Engine!G239*12)*INDEX(Surface_Engine!$F$12:$F$72,$A340+1)-(Surface_Engine!G239*12),1000*12*INDEX(Surface_Engine!$C$12:$C$72,$A340+1)/(1+Assumptions!$B$10)^17+INDEX(Surface_Engine!$D$12:$D$72,$A340+1)*(1+Assumptions!$B$24)))*INDEX(Surface_Engine!$B$12:$B$72,$A340+1)+J341</f>
        <v>55887.2273403411</v>
      </c>
      <c r="K340" s="12" t="n">
        <f aca="false">SQRT((IF(C340&lt;=0,0,MAX(0,(B340/C340)*G340/INDEX(Surface_Engine!$B$12:$B$72,$A340+1)-F340/INDEX(Surface_Engine!$B$12:$B$72,$A340+1))))^2+(MAX(IF(D340&lt;=0,0,MAX(0,(B340/D340)*H340/INDEX(Surface_Engine!$B$12:$B$72,$A340+1)-F340/INDEX(Surface_Engine!$B$12:$B$72,$A340+1))),IF(E340&lt;=0,0,MAX(0,(B340/E340)*I340/INDEX(Surface_Engine!$B$12:$B$72,$A340+1)-F340/INDEX(Surface_Engine!$B$12:$B$72,$A340+1))),IF($A340&lt;$Q$321,MAX(0,-Assumptions!$B$22*(F340/INDEX(Surface_Engine!$B$12:$B$72,$A340+1))),0)))^2+(MAX(0,J340/INDEX(Surface_Engine!$B$12:$B$72,$A340+1)-(F340/INDEX(Surface_Engine!$B$12:$B$72,$A340+1))))^2+2*Assumptions!$B$26*(IF(C340&lt;=0,0,MAX(0,(B340/C340)*G340/INDEX(Surface_Engine!$B$12:$B$72,$A340+1)-F340/INDEX(Surface_Engine!$B$12:$B$72,$A340+1))))*(MAX(IF(D340&lt;=0,0,MAX(0,(B340/D340)*H340/INDEX(Surface_Engine!$B$12:$B$72,$A340+1)-F340/INDEX(Surface_Engine!$B$12:$B$72,$A340+1))),IF(E340&lt;=0,0,MAX(0,(B340/E340)*I340/INDEX(Surface_Engine!$B$12:$B$72,$A340+1)-F340/INDEX(Surface_Engine!$B$12:$B$72,$A340+1))),IF($A340&lt;$Q$321,MAX(0,-Assumptions!$B$22*(F340/INDEX(Surface_Engine!$B$12:$B$72,$A340+1))),0)))+2*Assumptions!$B$27*(IF(C340&lt;=0,0,MAX(0,(B340/C340)*G340/INDEX(Surface_Engine!$B$12:$B$72,$A340+1)-F340/INDEX(Surface_Engine!$B$12:$B$72,$A340+1))))*(MAX(0,J340/INDEX(Surface_Engine!$B$12:$B$72,$A340+1)-(F340/INDEX(Surface_Engine!$B$12:$B$72,$A340+1))))+2*Assumptions!$B$28*(MAX(IF(D340&lt;=0,0,MAX(0,(B340/D340)*H340/INDEX(Surface_Engine!$B$12:$B$72,$A340+1)-F340/INDEX(Surface_Engine!$B$12:$B$72,$A340+1))),IF(E340&lt;=0,0,MAX(0,(B340/E340)*I340/INDEX(Surface_Engine!$B$12:$B$72,$A340+1)-F340/INDEX(Surface_Engine!$B$12:$B$72,$A340+1))),IF($A340&lt;$Q$321,MAX(0,-Assumptions!$B$22*(F340/INDEX(Surface_Engine!$B$12:$B$72,$A340+1))),0)))*(MAX(0,J340/INDEX(Surface_Engine!$B$12:$B$72,$A340+1)-(F340/INDEX(Surface_Engine!$B$12:$B$72,$A340+1)))))</f>
        <v>10243.6853911992</v>
      </c>
      <c r="L340" s="48" t="n">
        <f aca="false">K340*INDEX(Surface_Engine!$B$12:$B$72,$A340+1)+L341</f>
        <v>61231.801831413</v>
      </c>
      <c r="M340" s="48" t="n">
        <f aca="false">M339+B339*(IF($A339&lt;$Q$321,(Surface_Engine!G239*12)-(Surface_Engine!G239*12)*INDEX(Surface_Engine!$F$12:$F$72,$A339+1)-INDEX(Surface_Engine!$D$12:$D$72,$A339+1),-(1000*12*INDEX(Surface_Engine!$C$12:$C$72,$A339+1)/(1+Assumptions!$B$10)^17+INDEX(Surface_Engine!$D$12:$D$72,$A339+1))))*INDEX(Surface_Engine!$B$12:$B$72,$A339+1)</f>
        <v>57866.8329644469</v>
      </c>
      <c r="N340" s="12" t="n">
        <f aca="false">IF(B340&lt;=0,0,MAX(0,(K340+Assumptions!$B$29*L340/INDEX(Surface_Engine!$B$12:$B$72,$A340+1)-(M340/INDEX(Surface_Engine!$B$12:$B$72,$A340+1)-(F340/INDEX(Surface_Engine!$B$12:$B$72,$A340+1))))/B340))</f>
        <v>19327.685170086</v>
      </c>
    </row>
    <row r="341" customFormat="false" ht="15" hidden="false" customHeight="true" outlineLevel="0" collapsed="false">
      <c r="A341" s="1" t="n">
        <v>18</v>
      </c>
      <c r="B341" s="32" t="n">
        <f aca="false">INDEX(Surface_Engine!$J$12:$J$72,$A341+1)*IF($A341&lt;$Q$321,INDEX(Surface_Engine!$E$12:$E$72,$A341+1),INDEX(Surface_Engine!$E$12:$E$72,$Q$321+1))</f>
        <v>0.655770838183936</v>
      </c>
      <c r="C341" s="32" t="n">
        <f aca="false">INDEX(Panel_Reserving!$C$8:$C$68,$A341+1)*IF($A341&lt;$Q$321,INDEX(Surface_Engine!$E$12:$E$72,$A341+1),INDEX(Surface_Engine!$E$12:$E$72,$Q$321+1))</f>
        <v>0.683897099376389</v>
      </c>
      <c r="D341" s="32" t="n">
        <f aca="false">INDEX(Surface_Engine!$J$12:$J$72,$A341+1)*IF($A341&lt;$Q$321,INDEX(Surface_Engine!$Y$12:$Y$72,$A341+1),INDEX(Surface_Engine!$Y$12:$Y$72,$Q$321+1))</f>
        <v>0.588605969354441</v>
      </c>
      <c r="E341" s="32" t="n">
        <f aca="false">INDEX(Surface_Engine!$J$12:$J$72,$A341+1)*IF($A341&lt;$Q$321,INDEX(Surface_Engine!$Z$12:$Z$72,$A341+1),INDEX(Surface_Engine!$Z$12:$Z$72,$Q$321+1))</f>
        <v>0.729898665522712</v>
      </c>
      <c r="F341" s="48" t="n">
        <f aca="false">B341*(IF($A341&lt;$Q$321,INDEX(Surface_Engine!$D$12:$D$72,$A341+1)+(Surface_Engine!G239*12)*INDEX(Surface_Engine!$F$12:$F$72,$A341+1)-(Surface_Engine!G239*12),1000*12*INDEX(Surface_Engine!$C$12:$C$72,$A341+1)/(1+Assumptions!$B$10)^17+INDEX(Surface_Engine!$D$12:$D$72,$A341+1)))*INDEX(Surface_Engine!$B$12:$B$72,$A341+1)+F342</f>
        <v>51013.0081274016</v>
      </c>
      <c r="G341" s="48" t="n">
        <f aca="false">C341*(IF($A341&lt;$Q$321,INDEX(Surface_Engine!$D$12:$D$72,$A341+1)+(Surface_Engine!G239*12)*INDEX(Surface_Engine!$F$12:$F$72,$A341+1)-(Surface_Engine!G239*12),1000*12*INDEX(Surface_Engine!$C$12:$C$72,$A341+1)/(1+Assumptions!$B$10)^17+INDEX(Surface_Engine!$D$12:$D$72,$A341+1)))*INDEX(Surface_Engine!$B$12:$B$72,$A341+1)+G342</f>
        <v>59165.4427691941</v>
      </c>
      <c r="H341" s="48" t="n">
        <f aca="false">D341*(IF($A341&lt;$Q$321,INDEX(Surface_Engine!$D$12:$D$72,$A341+1)+(Surface_Engine!G239*12)*INDEX(Surface_Engine!$F$12:$F$72,$A341+1)-(Surface_Engine!G239*12),1000*12*INDEX(Surface_Engine!$C$12:$C$72,$A341+1)/(1+Assumptions!$B$10)^17+INDEX(Surface_Engine!$D$12:$D$72,$A341+1)))*INDEX(Surface_Engine!$B$12:$B$72,$A341+1)+H342</f>
        <v>45788.192078912</v>
      </c>
      <c r="I341" s="48" t="n">
        <f aca="false">E341*(IF($A341&lt;$Q$321,INDEX(Surface_Engine!$D$12:$D$72,$A341+1)+(Surface_Engine!G239*12)*INDEX(Surface_Engine!$F$12:$F$72,$A341+1)-(Surface_Engine!G239*12),1000*12*INDEX(Surface_Engine!$C$12:$C$72,$A341+1)/(1+Assumptions!$B$10)^17+INDEX(Surface_Engine!$D$12:$D$72,$A341+1)))*INDEX(Surface_Engine!$B$12:$B$72,$A341+1)+I342</f>
        <v>56779.4790320424</v>
      </c>
      <c r="J341" s="48" t="n">
        <f aca="false">B341*(IF($A341&lt;$Q$321,INDEX(Surface_Engine!$D$12:$D$72,$A341+1)*(1+Assumptions!$B$24)+(Surface_Engine!G239*12)*INDEX(Surface_Engine!$F$12:$F$72,$A341+1)-(Surface_Engine!G239*12),1000*12*INDEX(Surface_Engine!$C$12:$C$72,$A341+1)/(1+Assumptions!$B$10)^17+INDEX(Surface_Engine!$D$12:$D$72,$A341+1)*(1+Assumptions!$B$24)))*INDEX(Surface_Engine!$B$12:$B$72,$A341+1)+J342</f>
        <v>51067.5486439397</v>
      </c>
      <c r="K341" s="12" t="n">
        <f aca="false">SQRT((IF(C341&lt;=0,0,MAX(0,(B341/C341)*G341/INDEX(Surface_Engine!$B$12:$B$72,$A341+1)-F341/INDEX(Surface_Engine!$B$12:$B$72,$A341+1))))^2+(MAX(IF(D341&lt;=0,0,MAX(0,(B341/D341)*H341/INDEX(Surface_Engine!$B$12:$B$72,$A341+1)-F341/INDEX(Surface_Engine!$B$12:$B$72,$A341+1))),IF(E341&lt;=0,0,MAX(0,(B341/E341)*I341/INDEX(Surface_Engine!$B$12:$B$72,$A341+1)-F341/INDEX(Surface_Engine!$B$12:$B$72,$A341+1))),IF($A341&lt;$Q$321,MAX(0,-Assumptions!$B$22*(F341/INDEX(Surface_Engine!$B$12:$B$72,$A341+1))),0)))^2+(MAX(0,J341/INDEX(Surface_Engine!$B$12:$B$72,$A341+1)-(F341/INDEX(Surface_Engine!$B$12:$B$72,$A341+1))))^2+2*Assumptions!$B$26*(IF(C341&lt;=0,0,MAX(0,(B341/C341)*G341/INDEX(Surface_Engine!$B$12:$B$72,$A341+1)-F341/INDEX(Surface_Engine!$B$12:$B$72,$A341+1))))*(MAX(IF(D341&lt;=0,0,MAX(0,(B341/D341)*H341/INDEX(Surface_Engine!$B$12:$B$72,$A341+1)-F341/INDEX(Surface_Engine!$B$12:$B$72,$A341+1))),IF(E341&lt;=0,0,MAX(0,(B341/E341)*I341/INDEX(Surface_Engine!$B$12:$B$72,$A341+1)-F341/INDEX(Surface_Engine!$B$12:$B$72,$A341+1))),IF($A341&lt;$Q$321,MAX(0,-Assumptions!$B$22*(F341/INDEX(Surface_Engine!$B$12:$B$72,$A341+1))),0)))+2*Assumptions!$B$27*(IF(C341&lt;=0,0,MAX(0,(B341/C341)*G341/INDEX(Surface_Engine!$B$12:$B$72,$A341+1)-F341/INDEX(Surface_Engine!$B$12:$B$72,$A341+1))))*(MAX(0,J341/INDEX(Surface_Engine!$B$12:$B$72,$A341+1)-(F341/INDEX(Surface_Engine!$B$12:$B$72,$A341+1))))+2*Assumptions!$B$28*(MAX(IF(D341&lt;=0,0,MAX(0,(B341/D341)*H341/INDEX(Surface_Engine!$B$12:$B$72,$A341+1)-F341/INDEX(Surface_Engine!$B$12:$B$72,$A341+1))),IF(E341&lt;=0,0,MAX(0,(B341/E341)*I341/INDEX(Surface_Engine!$B$12:$B$72,$A341+1)-F341/INDEX(Surface_Engine!$B$12:$B$72,$A341+1))),IF($A341&lt;$Q$321,MAX(0,-Assumptions!$B$22*(F341/INDEX(Surface_Engine!$B$12:$B$72,$A341+1))),0)))*(MAX(0,J341/INDEX(Surface_Engine!$B$12:$B$72,$A341+1)-(F341/INDEX(Surface_Engine!$B$12:$B$72,$A341+1)))))</f>
        <v>10045.4288609764</v>
      </c>
      <c r="L341" s="48" t="n">
        <f aca="false">K341*INDEX(Surface_Engine!$B$12:$B$72,$A341+1)+L342</f>
        <v>55191.6223684182</v>
      </c>
      <c r="M341" s="48" t="n">
        <f aca="false">M340+B340*(IF($A340&lt;$Q$321,(Surface_Engine!G239*12)-(Surface_Engine!G239*12)*INDEX(Surface_Engine!$F$12:$F$72,$A340+1)-INDEX(Surface_Engine!$D$12:$D$72,$A340+1),-(1000*12*INDEX(Surface_Engine!$C$12:$C$72,$A340+1)/(1+Assumptions!$B$10)^17+INDEX(Surface_Engine!$D$12:$D$72,$A340+1))))*INDEX(Surface_Engine!$B$12:$B$72,$A340+1)</f>
        <v>53052.1089679426</v>
      </c>
      <c r="N341" s="12" t="n">
        <f aca="false">IF(B341&lt;=0,0,MAX(0,(K341+Assumptions!$B$29*L341/INDEX(Surface_Engine!$B$12:$B$72,$A341+1)-(M341/INDEX(Surface_Engine!$B$12:$B$72,$A341+1)-(F341/INDEX(Surface_Engine!$B$12:$B$72,$A341+1))))/B341))</f>
        <v>18718.3040734602</v>
      </c>
    </row>
    <row r="342" customFormat="false" ht="15" hidden="false" customHeight="true" outlineLevel="0" collapsed="false">
      <c r="A342" s="1" t="n">
        <v>19</v>
      </c>
      <c r="B342" s="32" t="n">
        <f aca="false">INDEX(Surface_Engine!$J$12:$J$72,$A342+1)*IF($A342&lt;$Q$321,INDEX(Surface_Engine!$E$12:$E$72,$A342+1),INDEX(Surface_Engine!$E$12:$E$72,$Q$321+1))</f>
        <v>0.636452576404338</v>
      </c>
      <c r="C342" s="32" t="n">
        <f aca="false">INDEX(Panel_Reserving!$C$8:$C$68,$A342+1)*IF($A342&lt;$Q$321,INDEX(Surface_Engine!$E$12:$E$72,$A342+1),INDEX(Surface_Engine!$E$12:$E$72,$Q$321+1))</f>
        <v>0.667779635864107</v>
      </c>
      <c r="D342" s="32" t="n">
        <f aca="false">INDEX(Surface_Engine!$J$12:$J$72,$A342+1)*IF($A342&lt;$Q$321,INDEX(Surface_Engine!$Y$12:$Y$72,$A342+1),INDEX(Surface_Engine!$Y$12:$Y$72,$Q$321+1))</f>
        <v>0.571266308090282</v>
      </c>
      <c r="E342" s="32" t="n">
        <f aca="false">INDEX(Surface_Engine!$J$12:$J$72,$A342+1)*IF($A342&lt;$Q$321,INDEX(Surface_Engine!$Z$12:$Z$72,$A342+1),INDEX(Surface_Engine!$Z$12:$Z$72,$Q$321+1))</f>
        <v>0.708396682402822</v>
      </c>
      <c r="F342" s="48" t="n">
        <f aca="false">B342*(IF($A342&lt;$Q$321,INDEX(Surface_Engine!$D$12:$D$72,$A342+1)+(Surface_Engine!G239*12)*INDEX(Surface_Engine!$F$12:$F$72,$A342+1)-(Surface_Engine!G239*12),1000*12*INDEX(Surface_Engine!$C$12:$C$72,$A342+1)/(1+Assumptions!$B$10)^17+INDEX(Surface_Engine!$D$12:$D$72,$A342+1)))*INDEX(Surface_Engine!$B$12:$B$72,$A342+1)+F343</f>
        <v>46384.2456114265</v>
      </c>
      <c r="G342" s="48" t="n">
        <f aca="false">C342*(IF($A342&lt;$Q$321,INDEX(Surface_Engine!$D$12:$D$72,$A342+1)+(Surface_Engine!G239*12)*INDEX(Surface_Engine!$F$12:$F$72,$A342+1)-(Surface_Engine!G239*12),1000*12*INDEX(Surface_Engine!$C$12:$C$72,$A342+1)/(1+Assumptions!$B$10)^17+INDEX(Surface_Engine!$D$12:$D$72,$A342+1)))*INDEX(Surface_Engine!$B$12:$B$72,$A342+1)+G343</f>
        <v>54338.1508646864</v>
      </c>
      <c r="H342" s="48" t="n">
        <f aca="false">D342*(IF($A342&lt;$Q$321,INDEX(Surface_Engine!$D$12:$D$72,$A342+1)+(Surface_Engine!G239*12)*INDEX(Surface_Engine!$F$12:$F$72,$A342+1)-(Surface_Engine!G239*12),1000*12*INDEX(Surface_Engine!$C$12:$C$72,$A342+1)/(1+Assumptions!$B$10)^17+INDEX(Surface_Engine!$D$12:$D$72,$A342+1)))*INDEX(Surface_Engine!$B$12:$B$72,$A342+1)+H343</f>
        <v>41633.5132048526</v>
      </c>
      <c r="I342" s="48" t="n">
        <f aca="false">E342*(IF($A342&lt;$Q$321,INDEX(Surface_Engine!$D$12:$D$72,$A342+1)+(Surface_Engine!G239*12)*INDEX(Surface_Engine!$F$12:$F$72,$A342+1)-(Surface_Engine!G239*12),1000*12*INDEX(Surface_Engine!$C$12:$C$72,$A342+1)/(1+Assumptions!$B$10)^17+INDEX(Surface_Engine!$D$12:$D$72,$A342+1)))*INDEX(Surface_Engine!$B$12:$B$72,$A342+1)+I343</f>
        <v>51627.4847884616</v>
      </c>
      <c r="J342" s="48" t="n">
        <f aca="false">B342*(IF($A342&lt;$Q$321,INDEX(Surface_Engine!$D$12:$D$72,$A342+1)*(1+Assumptions!$B$24)+(Surface_Engine!G239*12)*INDEX(Surface_Engine!$F$12:$F$72,$A342+1)-(Surface_Engine!G239*12),1000*12*INDEX(Surface_Engine!$C$12:$C$72,$A342+1)/(1+Assumptions!$B$10)^17+INDEX(Surface_Engine!$D$12:$D$72,$A342+1)*(1+Assumptions!$B$24)))*INDEX(Surface_Engine!$B$12:$B$72,$A342+1)+J343</f>
        <v>46433.9996876906</v>
      </c>
      <c r="K342" s="12" t="n">
        <f aca="false">SQRT((IF(C342&lt;=0,0,MAX(0,(B342/C342)*G342/INDEX(Surface_Engine!$B$12:$B$72,$A342+1)-F342/INDEX(Surface_Engine!$B$12:$B$72,$A342+1))))^2+(MAX(IF(D342&lt;=0,0,MAX(0,(B342/D342)*H342/INDEX(Surface_Engine!$B$12:$B$72,$A342+1)-F342/INDEX(Surface_Engine!$B$12:$B$72,$A342+1))),IF(E342&lt;=0,0,MAX(0,(B342/E342)*I342/INDEX(Surface_Engine!$B$12:$B$72,$A342+1)-F342/INDEX(Surface_Engine!$B$12:$B$72,$A342+1))),IF($A342&lt;$Q$321,MAX(0,-Assumptions!$B$22*(F342/INDEX(Surface_Engine!$B$12:$B$72,$A342+1))),0)))^2+(MAX(0,J342/INDEX(Surface_Engine!$B$12:$B$72,$A342+1)-(F342/INDEX(Surface_Engine!$B$12:$B$72,$A342+1))))^2+2*Assumptions!$B$26*(IF(C342&lt;=0,0,MAX(0,(B342/C342)*G342/INDEX(Surface_Engine!$B$12:$B$72,$A342+1)-F342/INDEX(Surface_Engine!$B$12:$B$72,$A342+1))))*(MAX(IF(D342&lt;=0,0,MAX(0,(B342/D342)*H342/INDEX(Surface_Engine!$B$12:$B$72,$A342+1)-F342/INDEX(Surface_Engine!$B$12:$B$72,$A342+1))),IF(E342&lt;=0,0,MAX(0,(B342/E342)*I342/INDEX(Surface_Engine!$B$12:$B$72,$A342+1)-F342/INDEX(Surface_Engine!$B$12:$B$72,$A342+1))),IF($A342&lt;$Q$321,MAX(0,-Assumptions!$B$22*(F342/INDEX(Surface_Engine!$B$12:$B$72,$A342+1))),0)))+2*Assumptions!$B$27*(IF(C342&lt;=0,0,MAX(0,(B342/C342)*G342/INDEX(Surface_Engine!$B$12:$B$72,$A342+1)-F342/INDEX(Surface_Engine!$B$12:$B$72,$A342+1))))*(MAX(0,J342/INDEX(Surface_Engine!$B$12:$B$72,$A342+1)-(F342/INDEX(Surface_Engine!$B$12:$B$72,$A342+1))))+2*Assumptions!$B$28*(MAX(IF(D342&lt;=0,0,MAX(0,(B342/D342)*H342/INDEX(Surface_Engine!$B$12:$B$72,$A342+1)-F342/INDEX(Surface_Engine!$B$12:$B$72,$A342+1))),IF(E342&lt;=0,0,MAX(0,(B342/E342)*I342/INDEX(Surface_Engine!$B$12:$B$72,$A342+1)-F342/INDEX(Surface_Engine!$B$12:$B$72,$A342+1))),IF($A342&lt;$Q$321,MAX(0,-Assumptions!$B$22*(F342/INDEX(Surface_Engine!$B$12:$B$72,$A342+1))),0)))*(MAX(0,J342/INDEX(Surface_Engine!$B$12:$B$72,$A342+1)-(F342/INDEX(Surface_Engine!$B$12:$B$72,$A342+1)))))</f>
        <v>9798.25364557651</v>
      </c>
      <c r="L342" s="48" t="n">
        <f aca="false">K342*INDEX(Surface_Engine!$B$12:$B$72,$A342+1)+L343</f>
        <v>49458.5741140116</v>
      </c>
      <c r="M342" s="48" t="n">
        <f aca="false">M341+B341*(IF($A341&lt;$Q$321,(Surface_Engine!G239*12)-(Surface_Engine!G239*12)*INDEX(Surface_Engine!$F$12:$F$72,$A341+1)-INDEX(Surface_Engine!$D$12:$D$72,$A341+1),-(1000*12*INDEX(Surface_Engine!$C$12:$C$72,$A341+1)/(1+Assumptions!$B$10)^17+INDEX(Surface_Engine!$D$12:$D$72,$A341+1))))*INDEX(Surface_Engine!$B$12:$B$72,$A341+1)</f>
        <v>48423.3464519674</v>
      </c>
      <c r="N342" s="12" t="n">
        <f aca="false">IF(B342&lt;=0,0,MAX(0,(K342+Assumptions!$B$29*L342/INDEX(Surface_Engine!$B$12:$B$72,$A342+1)-(M342/INDEX(Surface_Engine!$B$12:$B$72,$A342+1)-(F342/INDEX(Surface_Engine!$B$12:$B$72,$A342+1))))/B342))</f>
        <v>18033.4434775386</v>
      </c>
    </row>
    <row r="343" customFormat="false" ht="15" hidden="false" customHeight="true" outlineLevel="0" collapsed="false">
      <c r="A343" s="1" t="n">
        <v>20</v>
      </c>
      <c r="B343" s="32" t="n">
        <f aca="false">INDEX(Surface_Engine!$J$12:$J$72,$A343+1)*IF($A343&lt;$Q$321,INDEX(Surface_Engine!$E$12:$E$72,$A343+1),INDEX(Surface_Engine!$E$12:$E$72,$Q$321+1))</f>
        <v>0.615407209835212</v>
      </c>
      <c r="C343" s="32" t="n">
        <f aca="false">INDEX(Panel_Reserving!$C$8:$C$68,$A343+1)*IF($A343&lt;$Q$321,INDEX(Surface_Engine!$E$12:$E$72,$A343+1),INDEX(Surface_Engine!$E$12:$E$72,$Q$321+1))</f>
        <v>0.65011463740838</v>
      </c>
      <c r="D343" s="32" t="n">
        <f aca="false">INDEX(Surface_Engine!$J$12:$J$72,$A343+1)*IF($A343&lt;$Q$321,INDEX(Surface_Engine!$Y$12:$Y$72,$A343+1),INDEX(Surface_Engine!$Y$12:$Y$72,$Q$321+1))</f>
        <v>0.552376434267675</v>
      </c>
      <c r="E343" s="32" t="n">
        <f aca="false">INDEX(Surface_Engine!$J$12:$J$72,$A343+1)*IF($A343&lt;$Q$321,INDEX(Surface_Engine!$Z$12:$Z$72,$A343+1),INDEX(Surface_Engine!$Z$12:$Z$72,$Q$321+1))</f>
        <v>0.684972363906469</v>
      </c>
      <c r="F343" s="48" t="n">
        <f aca="false">B343*(IF($A343&lt;$Q$321,INDEX(Surface_Engine!$D$12:$D$72,$A343+1)+(Surface_Engine!G239*12)*INDEX(Surface_Engine!$F$12:$F$72,$A343+1)-(Surface_Engine!G239*12),1000*12*INDEX(Surface_Engine!$C$12:$C$72,$A343+1)/(1+Assumptions!$B$10)^17+INDEX(Surface_Engine!$D$12:$D$72,$A343+1)))*INDEX(Surface_Engine!$B$12:$B$72,$A343+1)+F344</f>
        <v>41944.8003922344</v>
      </c>
      <c r="G343" s="48" t="n">
        <f aca="false">C343*(IF($A343&lt;$Q$321,INDEX(Surface_Engine!$D$12:$D$72,$A343+1)+(Surface_Engine!G239*12)*INDEX(Surface_Engine!$F$12:$F$72,$A343+1)-(Surface_Engine!G239*12),1000*12*INDEX(Surface_Engine!$C$12:$C$72,$A343+1)/(1+Assumptions!$B$10)^17+INDEX(Surface_Engine!$D$12:$D$72,$A343+1)))*INDEX(Surface_Engine!$B$12:$B$72,$A343+1)+G344</f>
        <v>49680.1901275971</v>
      </c>
      <c r="H343" s="48" t="n">
        <f aca="false">D343*(IF($A343&lt;$Q$321,INDEX(Surface_Engine!$D$12:$D$72,$A343+1)+(Surface_Engine!G239*12)*INDEX(Surface_Engine!$F$12:$F$72,$A343+1)-(Surface_Engine!G239*12),1000*12*INDEX(Surface_Engine!$C$12:$C$72,$A343+1)/(1+Assumptions!$B$10)^17+INDEX(Surface_Engine!$D$12:$D$72,$A343+1)))*INDEX(Surface_Engine!$B$12:$B$72,$A343+1)+H344</f>
        <v>37648.7615134309</v>
      </c>
      <c r="I343" s="48" t="n">
        <f aca="false">E343*(IF($A343&lt;$Q$321,INDEX(Surface_Engine!$D$12:$D$72,$A343+1)+(Surface_Engine!G239*12)*INDEX(Surface_Engine!$F$12:$F$72,$A343+1)-(Surface_Engine!G239*12),1000*12*INDEX(Surface_Engine!$C$12:$C$72,$A343+1)/(1+Assumptions!$B$10)^17+INDEX(Surface_Engine!$D$12:$D$72,$A343+1)))*INDEX(Surface_Engine!$B$12:$B$72,$A343+1)+I344</f>
        <v>46686.2081221751</v>
      </c>
      <c r="J343" s="48" t="n">
        <f aca="false">B343*(IF($A343&lt;$Q$321,INDEX(Surface_Engine!$D$12:$D$72,$A343+1)*(1+Assumptions!$B$24)+(Surface_Engine!G239*12)*INDEX(Surface_Engine!$F$12:$F$72,$A343+1)-(Surface_Engine!G239*12),1000*12*INDEX(Surface_Engine!$C$12:$C$72,$A343+1)/(1+Assumptions!$B$10)^17+INDEX(Surface_Engine!$D$12:$D$72,$A343+1)*(1+Assumptions!$B$24)))*INDEX(Surface_Engine!$B$12:$B$72,$A343+1)+J344</f>
        <v>41989.9415250967</v>
      </c>
      <c r="K343" s="12" t="n">
        <f aca="false">SQRT((IF(C343&lt;=0,0,MAX(0,(B343/C343)*G343/INDEX(Surface_Engine!$B$12:$B$72,$A343+1)-F343/INDEX(Surface_Engine!$B$12:$B$72,$A343+1))))^2+(MAX(IF(D343&lt;=0,0,MAX(0,(B343/D343)*H343/INDEX(Surface_Engine!$B$12:$B$72,$A343+1)-F343/INDEX(Surface_Engine!$B$12:$B$72,$A343+1))),IF(E343&lt;=0,0,MAX(0,(B343/E343)*I343/INDEX(Surface_Engine!$B$12:$B$72,$A343+1)-F343/INDEX(Surface_Engine!$B$12:$B$72,$A343+1))),IF($A343&lt;$Q$321,MAX(0,-Assumptions!$B$22*(F343/INDEX(Surface_Engine!$B$12:$B$72,$A343+1))),0)))^2+(MAX(0,J343/INDEX(Surface_Engine!$B$12:$B$72,$A343+1)-(F343/INDEX(Surface_Engine!$B$12:$B$72,$A343+1))))^2+2*Assumptions!$B$26*(IF(C343&lt;=0,0,MAX(0,(B343/C343)*G343/INDEX(Surface_Engine!$B$12:$B$72,$A343+1)-F343/INDEX(Surface_Engine!$B$12:$B$72,$A343+1))))*(MAX(IF(D343&lt;=0,0,MAX(0,(B343/D343)*H343/INDEX(Surface_Engine!$B$12:$B$72,$A343+1)-F343/INDEX(Surface_Engine!$B$12:$B$72,$A343+1))),IF(E343&lt;=0,0,MAX(0,(B343/E343)*I343/INDEX(Surface_Engine!$B$12:$B$72,$A343+1)-F343/INDEX(Surface_Engine!$B$12:$B$72,$A343+1))),IF($A343&lt;$Q$321,MAX(0,-Assumptions!$B$22*(F343/INDEX(Surface_Engine!$B$12:$B$72,$A343+1))),0)))+2*Assumptions!$B$27*(IF(C343&lt;=0,0,MAX(0,(B343/C343)*G343/INDEX(Surface_Engine!$B$12:$B$72,$A343+1)-F343/INDEX(Surface_Engine!$B$12:$B$72,$A343+1))))*(MAX(0,J343/INDEX(Surface_Engine!$B$12:$B$72,$A343+1)-(F343/INDEX(Surface_Engine!$B$12:$B$72,$A343+1))))+2*Assumptions!$B$28*(MAX(IF(D343&lt;=0,0,MAX(0,(B343/D343)*H343/INDEX(Surface_Engine!$B$12:$B$72,$A343+1)-F343/INDEX(Surface_Engine!$B$12:$B$72,$A343+1))),IF(E343&lt;=0,0,MAX(0,(B343/E343)*I343/INDEX(Surface_Engine!$B$12:$B$72,$A343+1)-F343/INDEX(Surface_Engine!$B$12:$B$72,$A343+1))),IF($A343&lt;$Q$321,MAX(0,-Assumptions!$B$22*(F343/INDEX(Surface_Engine!$B$12:$B$72,$A343+1))),0)))*(MAX(0,J343/INDEX(Surface_Engine!$B$12:$B$72,$A343+1)-(F343/INDEX(Surface_Engine!$B$12:$B$72,$A343+1)))))</f>
        <v>9508.12571955513</v>
      </c>
      <c r="L343" s="48" t="n">
        <f aca="false">K343*INDEX(Surface_Engine!$B$12:$B$72,$A343+1)+L344</f>
        <v>44041.142220912</v>
      </c>
      <c r="M343" s="48" t="n">
        <f aca="false">M342+B342*(IF($A342&lt;$Q$321,(Surface_Engine!G239*12)-(Surface_Engine!G239*12)*INDEX(Surface_Engine!$F$12:$F$72,$A342+1)-INDEX(Surface_Engine!$D$12:$D$72,$A342+1),-(1000*12*INDEX(Surface_Engine!$C$12:$C$72,$A342+1)/(1+Assumptions!$B$10)^17+INDEX(Surface_Engine!$D$12:$D$72,$A342+1))))*INDEX(Surface_Engine!$B$12:$B$72,$A342+1)</f>
        <v>43983.9012327754</v>
      </c>
      <c r="N343" s="12" t="n">
        <f aca="false">IF(B343&lt;=0,0,MAX(0,(K343+Assumptions!$B$29*L343/INDEX(Surface_Engine!$B$12:$B$72,$A343+1)-(M343/INDEX(Surface_Engine!$B$12:$B$72,$A343+1)-(F343/INDEX(Surface_Engine!$B$12:$B$72,$A343+1))))/B343))</f>
        <v>17279.9381621433</v>
      </c>
    </row>
    <row r="344" customFormat="false" ht="15" hidden="false" customHeight="true" outlineLevel="0" collapsed="false">
      <c r="A344" s="1" t="n">
        <v>21</v>
      </c>
      <c r="B344" s="32" t="n">
        <f aca="false">INDEX(Surface_Engine!$J$12:$J$72,$A344+1)*IF($A344&lt;$Q$321,INDEX(Surface_Engine!$E$12:$E$72,$A344+1),INDEX(Surface_Engine!$E$12:$E$72,$Q$321+1))</f>
        <v>0.592569074612694</v>
      </c>
      <c r="C344" s="32" t="n">
        <f aca="false">INDEX(Panel_Reserving!$C$8:$C$68,$A344+1)*IF($A344&lt;$Q$321,INDEX(Surface_Engine!$E$12:$E$72,$A344+1),INDEX(Surface_Engine!$E$12:$E$72,$Q$321+1))</f>
        <v>0.630813718261532</v>
      </c>
      <c r="D344" s="32" t="n">
        <f aca="false">INDEX(Surface_Engine!$J$12:$J$72,$A344+1)*IF($A344&lt;$Q$321,INDEX(Surface_Engine!$Y$12:$Y$72,$A344+1),INDEX(Surface_Engine!$Y$12:$Y$72,$Q$321+1))</f>
        <v>0.531877409397759</v>
      </c>
      <c r="E344" s="32" t="n">
        <f aca="false">INDEX(Surface_Engine!$J$12:$J$72,$A344+1)*IF($A344&lt;$Q$321,INDEX(Surface_Engine!$Z$12:$Z$72,$A344+1),INDEX(Surface_Engine!$Z$12:$Z$72,$Q$321+1))</f>
        <v>0.659552623577504</v>
      </c>
      <c r="F344" s="48" t="n">
        <f aca="false">B344*(IF($A344&lt;$Q$321,INDEX(Surface_Engine!$D$12:$D$72,$A344+1)+(Surface_Engine!G239*12)*INDEX(Surface_Engine!$F$12:$F$72,$A344+1)-(Surface_Engine!G239*12),1000*12*INDEX(Surface_Engine!$C$12:$C$72,$A344+1)/(1+Assumptions!$B$10)^17+INDEX(Surface_Engine!$D$12:$D$72,$A344+1)))*INDEX(Surface_Engine!$B$12:$B$72,$A344+1)+F345</f>
        <v>37701.3578914444</v>
      </c>
      <c r="G344" s="48" t="n">
        <f aca="false">C344*(IF($A344&lt;$Q$321,INDEX(Surface_Engine!$D$12:$D$72,$A344+1)+(Surface_Engine!G239*12)*INDEX(Surface_Engine!$F$12:$F$72,$A344+1)-(Surface_Engine!G239*12),1000*12*INDEX(Surface_Engine!$C$12:$C$72,$A344+1)/(1+Assumptions!$B$10)^17+INDEX(Surface_Engine!$D$12:$D$72,$A344+1)))*INDEX(Surface_Engine!$B$12:$B$72,$A344+1)+G345</f>
        <v>45197.4280821165</v>
      </c>
      <c r="H344" s="48" t="n">
        <f aca="false">D344*(IF($A344&lt;$Q$321,INDEX(Surface_Engine!$D$12:$D$72,$A344+1)+(Surface_Engine!G239*12)*INDEX(Surface_Engine!$F$12:$F$72,$A344+1)-(Surface_Engine!G239*12),1000*12*INDEX(Surface_Engine!$C$12:$C$72,$A344+1)/(1+Assumptions!$B$10)^17+INDEX(Surface_Engine!$D$12:$D$72,$A344+1)))*INDEX(Surface_Engine!$B$12:$B$72,$A344+1)+H345</f>
        <v>33839.9376970282</v>
      </c>
      <c r="I344" s="48" t="n">
        <f aca="false">E344*(IF($A344&lt;$Q$321,INDEX(Surface_Engine!$D$12:$D$72,$A344+1)+(Surface_Engine!G239*12)*INDEX(Surface_Engine!$F$12:$F$72,$A344+1)-(Surface_Engine!G239*12),1000*12*INDEX(Surface_Engine!$C$12:$C$72,$A344+1)/(1+Assumptions!$B$10)^17+INDEX(Surface_Engine!$D$12:$D$72,$A344+1)))*INDEX(Surface_Engine!$B$12:$B$72,$A344+1)+I345</f>
        <v>41963.0901696804</v>
      </c>
      <c r="J344" s="48" t="n">
        <f aca="false">B344*(IF($A344&lt;$Q$321,INDEX(Surface_Engine!$D$12:$D$72,$A344+1)*(1+Assumptions!$B$24)+(Surface_Engine!G239*12)*INDEX(Surface_Engine!$F$12:$F$72,$A344+1)-(Surface_Engine!G239*12),1000*12*INDEX(Surface_Engine!$C$12:$C$72,$A344+1)/(1+Assumptions!$B$10)^17+INDEX(Surface_Engine!$D$12:$D$72,$A344+1)*(1+Assumptions!$B$24)))*INDEX(Surface_Engine!$B$12:$B$72,$A344+1)+J345</f>
        <v>37742.068355172</v>
      </c>
      <c r="K344" s="12" t="n">
        <f aca="false">SQRT((IF(C344&lt;=0,0,MAX(0,(B344/C344)*G344/INDEX(Surface_Engine!$B$12:$B$72,$A344+1)-F344/INDEX(Surface_Engine!$B$12:$B$72,$A344+1))))^2+(MAX(IF(D344&lt;=0,0,MAX(0,(B344/D344)*H344/INDEX(Surface_Engine!$B$12:$B$72,$A344+1)-F344/INDEX(Surface_Engine!$B$12:$B$72,$A344+1))),IF(E344&lt;=0,0,MAX(0,(B344/E344)*I344/INDEX(Surface_Engine!$B$12:$B$72,$A344+1)-F344/INDEX(Surface_Engine!$B$12:$B$72,$A344+1))),IF($A344&lt;$Q$321,MAX(0,-Assumptions!$B$22*(F344/INDEX(Surface_Engine!$B$12:$B$72,$A344+1))),0)))^2+(MAX(0,J344/INDEX(Surface_Engine!$B$12:$B$72,$A344+1)-(F344/INDEX(Surface_Engine!$B$12:$B$72,$A344+1))))^2+2*Assumptions!$B$26*(IF(C344&lt;=0,0,MAX(0,(B344/C344)*G344/INDEX(Surface_Engine!$B$12:$B$72,$A344+1)-F344/INDEX(Surface_Engine!$B$12:$B$72,$A344+1))))*(MAX(IF(D344&lt;=0,0,MAX(0,(B344/D344)*H344/INDEX(Surface_Engine!$B$12:$B$72,$A344+1)-F344/INDEX(Surface_Engine!$B$12:$B$72,$A344+1))),IF(E344&lt;=0,0,MAX(0,(B344/E344)*I344/INDEX(Surface_Engine!$B$12:$B$72,$A344+1)-F344/INDEX(Surface_Engine!$B$12:$B$72,$A344+1))),IF($A344&lt;$Q$321,MAX(0,-Assumptions!$B$22*(F344/INDEX(Surface_Engine!$B$12:$B$72,$A344+1))),0)))+2*Assumptions!$B$27*(IF(C344&lt;=0,0,MAX(0,(B344/C344)*G344/INDEX(Surface_Engine!$B$12:$B$72,$A344+1)-F344/INDEX(Surface_Engine!$B$12:$B$72,$A344+1))))*(MAX(0,J344/INDEX(Surface_Engine!$B$12:$B$72,$A344+1)-(F344/INDEX(Surface_Engine!$B$12:$B$72,$A344+1))))+2*Assumptions!$B$28*(MAX(IF(D344&lt;=0,0,MAX(0,(B344/D344)*H344/INDEX(Surface_Engine!$B$12:$B$72,$A344+1)-F344/INDEX(Surface_Engine!$B$12:$B$72,$A344+1))),IF(E344&lt;=0,0,MAX(0,(B344/E344)*I344/INDEX(Surface_Engine!$B$12:$B$72,$A344+1)-F344/INDEX(Surface_Engine!$B$12:$B$72,$A344+1))),IF($A344&lt;$Q$321,MAX(0,-Assumptions!$B$22*(F344/INDEX(Surface_Engine!$B$12:$B$72,$A344+1))),0)))*(MAX(0,J344/INDEX(Surface_Engine!$B$12:$B$72,$A344+1)-(F344/INDEX(Surface_Engine!$B$12:$B$72,$A344+1)))))</f>
        <v>9178.98673816113</v>
      </c>
      <c r="L344" s="48" t="n">
        <f aca="false">K344*INDEX(Surface_Engine!$B$12:$B$72,$A344+1)+L345</f>
        <v>38946.5374833377</v>
      </c>
      <c r="M344" s="48" t="n">
        <f aca="false">M343+B343*(IF($A343&lt;$Q$321,(Surface_Engine!G239*12)-(Surface_Engine!G239*12)*INDEX(Surface_Engine!$F$12:$F$72,$A343+1)-INDEX(Surface_Engine!$D$12:$D$72,$A343+1),-(1000*12*INDEX(Surface_Engine!$C$12:$C$72,$A343+1)/(1+Assumptions!$B$10)^17+INDEX(Surface_Engine!$D$12:$D$72,$A343+1))))*INDEX(Surface_Engine!$B$12:$B$72,$A343+1)</f>
        <v>39740.4587319854</v>
      </c>
      <c r="N344" s="12" t="n">
        <f aca="false">IF(B344&lt;=0,0,MAX(0,(K344+Assumptions!$B$29*L344/INDEX(Surface_Engine!$B$12:$B$72,$A344+1)-(M344/INDEX(Surface_Engine!$B$12:$B$72,$A344+1)-(F344/INDEX(Surface_Engine!$B$12:$B$72,$A344+1))))/B344))</f>
        <v>16457.6512766004</v>
      </c>
    </row>
    <row r="345" customFormat="false" ht="15" hidden="false" customHeight="true" outlineLevel="0" collapsed="false">
      <c r="A345" s="1" t="n">
        <v>22</v>
      </c>
      <c r="B345" s="32" t="n">
        <f aca="false">INDEX(Surface_Engine!$J$12:$J$72,$A345+1)*IF($A345&lt;$Q$321,INDEX(Surface_Engine!$E$12:$E$72,$A345+1),INDEX(Surface_Engine!$E$12:$E$72,$Q$321+1))</f>
        <v>0.567900983661301</v>
      </c>
      <c r="C345" s="32" t="n">
        <f aca="false">INDEX(Panel_Reserving!$C$8:$C$68,$A345+1)*IF($A345&lt;$Q$321,INDEX(Surface_Engine!$E$12:$E$72,$A345+1),INDEX(Surface_Engine!$E$12:$E$72,$Q$321+1))</f>
        <v>0.609805574783058</v>
      </c>
      <c r="D345" s="32" t="n">
        <f aca="false">INDEX(Surface_Engine!$J$12:$J$72,$A345+1)*IF($A345&lt;$Q$321,INDEX(Surface_Engine!$Y$12:$Y$72,$A345+1),INDEX(Surface_Engine!$Y$12:$Y$72,$Q$321+1))</f>
        <v>0.509735855151799</v>
      </c>
      <c r="E345" s="32" t="n">
        <f aca="false">INDEX(Surface_Engine!$J$12:$J$72,$A345+1)*IF($A345&lt;$Q$321,INDEX(Surface_Engine!$Z$12:$Z$72,$A345+1),INDEX(Surface_Engine!$Z$12:$Z$72,$Q$321+1))</f>
        <v>0.632096070742252</v>
      </c>
      <c r="F345" s="48" t="n">
        <f aca="false">B345*(IF($A345&lt;$Q$321,INDEX(Surface_Engine!$D$12:$D$72,$A345+1)+(Surface_Engine!G239*12)*INDEX(Surface_Engine!$F$12:$F$72,$A345+1)-(Surface_Engine!G239*12),1000*12*INDEX(Surface_Engine!$C$12:$C$72,$A345+1)/(1+Assumptions!$B$10)^17+INDEX(Surface_Engine!$D$12:$D$72,$A345+1)))*INDEX(Surface_Engine!$B$12:$B$72,$A345+1)+F346</f>
        <v>33662.3053490556</v>
      </c>
      <c r="G345" s="48" t="n">
        <f aca="false">C345*(IF($A345&lt;$Q$321,INDEX(Surface_Engine!$D$12:$D$72,$A345+1)+(Surface_Engine!G239*12)*INDEX(Surface_Engine!$F$12:$F$72,$A345+1)-(Surface_Engine!G239*12),1000*12*INDEX(Surface_Engine!$C$12:$C$72,$A345+1)/(1+Assumptions!$B$10)^17+INDEX(Surface_Engine!$D$12:$D$72,$A345+1)))*INDEX(Surface_Engine!$B$12:$B$72,$A345+1)+G346</f>
        <v>40897.6934829336</v>
      </c>
      <c r="H345" s="48" t="n">
        <f aca="false">D345*(IF($A345&lt;$Q$321,INDEX(Surface_Engine!$D$12:$D$72,$A345+1)+(Surface_Engine!G239*12)*INDEX(Surface_Engine!$F$12:$F$72,$A345+1)-(Surface_Engine!G239*12),1000*12*INDEX(Surface_Engine!$C$12:$C$72,$A345+1)/(1+Assumptions!$B$10)^17+INDEX(Surface_Engine!$D$12:$D$72,$A345+1)))*INDEX(Surface_Engine!$B$12:$B$72,$A345+1)+H346</f>
        <v>30214.5699640405</v>
      </c>
      <c r="I345" s="48" t="n">
        <f aca="false">E345*(IF($A345&lt;$Q$321,INDEX(Surface_Engine!$D$12:$D$72,$A345+1)+(Surface_Engine!G239*12)*INDEX(Surface_Engine!$F$12:$F$72,$A345+1)-(Surface_Engine!G239*12),1000*12*INDEX(Surface_Engine!$C$12:$C$72,$A345+1)/(1+Assumptions!$B$10)^17+INDEX(Surface_Engine!$D$12:$D$72,$A345+1)))*INDEX(Surface_Engine!$B$12:$B$72,$A345+1)+I346</f>
        <v>37467.4662580865</v>
      </c>
      <c r="J345" s="48" t="n">
        <f aca="false">B345*(IF($A345&lt;$Q$321,INDEX(Surface_Engine!$D$12:$D$72,$A345+1)*(1+Assumptions!$B$24)+(Surface_Engine!G239*12)*INDEX(Surface_Engine!$F$12:$F$72,$A345+1)-(Surface_Engine!G239*12),1000*12*INDEX(Surface_Engine!$C$12:$C$72,$A345+1)/(1+Assumptions!$B$10)^17+INDEX(Surface_Engine!$D$12:$D$72,$A345+1)*(1+Assumptions!$B$24)))*INDEX(Surface_Engine!$B$12:$B$72,$A345+1)+J346</f>
        <v>33698.778095626</v>
      </c>
      <c r="K345" s="12" t="n">
        <f aca="false">SQRT((IF(C345&lt;=0,0,MAX(0,(B345/C345)*G345/INDEX(Surface_Engine!$B$12:$B$72,$A345+1)-F345/INDEX(Surface_Engine!$B$12:$B$72,$A345+1))))^2+(MAX(IF(D345&lt;=0,0,MAX(0,(B345/D345)*H345/INDEX(Surface_Engine!$B$12:$B$72,$A345+1)-F345/INDEX(Surface_Engine!$B$12:$B$72,$A345+1))),IF(E345&lt;=0,0,MAX(0,(B345/E345)*I345/INDEX(Surface_Engine!$B$12:$B$72,$A345+1)-F345/INDEX(Surface_Engine!$B$12:$B$72,$A345+1))),IF($A345&lt;$Q$321,MAX(0,-Assumptions!$B$22*(F345/INDEX(Surface_Engine!$B$12:$B$72,$A345+1))),0)))^2+(MAX(0,J345/INDEX(Surface_Engine!$B$12:$B$72,$A345+1)-(F345/INDEX(Surface_Engine!$B$12:$B$72,$A345+1))))^2+2*Assumptions!$B$26*(IF(C345&lt;=0,0,MAX(0,(B345/C345)*G345/INDEX(Surface_Engine!$B$12:$B$72,$A345+1)-F345/INDEX(Surface_Engine!$B$12:$B$72,$A345+1))))*(MAX(IF(D345&lt;=0,0,MAX(0,(B345/D345)*H345/INDEX(Surface_Engine!$B$12:$B$72,$A345+1)-F345/INDEX(Surface_Engine!$B$12:$B$72,$A345+1))),IF(E345&lt;=0,0,MAX(0,(B345/E345)*I345/INDEX(Surface_Engine!$B$12:$B$72,$A345+1)-F345/INDEX(Surface_Engine!$B$12:$B$72,$A345+1))),IF($A345&lt;$Q$321,MAX(0,-Assumptions!$B$22*(F345/INDEX(Surface_Engine!$B$12:$B$72,$A345+1))),0)))+2*Assumptions!$B$27*(IF(C345&lt;=0,0,MAX(0,(B345/C345)*G345/INDEX(Surface_Engine!$B$12:$B$72,$A345+1)-F345/INDEX(Surface_Engine!$B$12:$B$72,$A345+1))))*(MAX(0,J345/INDEX(Surface_Engine!$B$12:$B$72,$A345+1)-(F345/INDEX(Surface_Engine!$B$12:$B$72,$A345+1))))+2*Assumptions!$B$28*(MAX(IF(D345&lt;=0,0,MAX(0,(B345/D345)*H345/INDEX(Surface_Engine!$B$12:$B$72,$A345+1)-F345/INDEX(Surface_Engine!$B$12:$B$72,$A345+1))),IF(E345&lt;=0,0,MAX(0,(B345/E345)*I345/INDEX(Surface_Engine!$B$12:$B$72,$A345+1)-F345/INDEX(Surface_Engine!$B$12:$B$72,$A345+1))),IF($A345&lt;$Q$321,MAX(0,-Assumptions!$B$22*(F345/INDEX(Surface_Engine!$B$12:$B$72,$A345+1))),0)))*(MAX(0,J345/INDEX(Surface_Engine!$B$12:$B$72,$A345+1)-(F345/INDEX(Surface_Engine!$B$12:$B$72,$A345+1)))))</f>
        <v>8812.26174601516</v>
      </c>
      <c r="L345" s="48" t="n">
        <f aca="false">K345*INDEX(Surface_Engine!$B$12:$B$72,$A345+1)+L346</f>
        <v>34180.3326689081</v>
      </c>
      <c r="M345" s="48" t="n">
        <f aca="false">M344+B344*(IF($A344&lt;$Q$321,(Surface_Engine!G239*12)-(Surface_Engine!G239*12)*INDEX(Surface_Engine!$F$12:$F$72,$A344+1)-INDEX(Surface_Engine!$D$12:$D$72,$A344+1),-(1000*12*INDEX(Surface_Engine!$C$12:$C$72,$A344+1)/(1+Assumptions!$B$10)^17+INDEX(Surface_Engine!$D$12:$D$72,$A344+1))))*INDEX(Surface_Engine!$B$12:$B$72,$A344+1)</f>
        <v>35701.4061895965</v>
      </c>
      <c r="N345" s="12" t="n">
        <f aca="false">IF(B345&lt;=0,0,MAX(0,(K345+Assumptions!$B$29*L345/INDEX(Surface_Engine!$B$12:$B$72,$A345+1)-(M345/INDEX(Surface_Engine!$B$12:$B$72,$A345+1)-(F345/INDEX(Surface_Engine!$B$12:$B$72,$A345+1))))/B345))</f>
        <v>15558.2604289123</v>
      </c>
    </row>
    <row r="346" customFormat="false" ht="15" hidden="false" customHeight="true" outlineLevel="0" collapsed="false">
      <c r="A346" s="1" t="n">
        <v>23</v>
      </c>
      <c r="B346" s="32" t="n">
        <f aca="false">INDEX(Surface_Engine!$J$12:$J$72,$A346+1)*IF($A346&lt;$Q$321,INDEX(Surface_Engine!$E$12:$E$72,$A346+1),INDEX(Surface_Engine!$E$12:$E$72,$Q$321+1))</f>
        <v>0.540529728505946</v>
      </c>
      <c r="C346" s="32" t="n">
        <f aca="false">INDEX(Panel_Reserving!$C$8:$C$68,$A346+1)*IF($A346&lt;$Q$321,INDEX(Surface_Engine!$E$12:$E$72,$A346+1),INDEX(Surface_Engine!$E$12:$E$72,$Q$321+1))</f>
        <v>0.58629282243678</v>
      </c>
      <c r="D346" s="32" t="n">
        <f aca="false">INDEX(Surface_Engine!$J$12:$J$72,$A346+1)*IF($A346&lt;$Q$321,INDEX(Surface_Engine!$Y$12:$Y$72,$A346+1),INDEX(Surface_Engine!$Y$12:$Y$72,$Q$321+1))</f>
        <v>0.485167998158062</v>
      </c>
      <c r="E346" s="32" t="n">
        <f aca="false">INDEX(Surface_Engine!$J$12:$J$72,$A346+1)*IF($A346&lt;$Q$321,INDEX(Surface_Engine!$Z$12:$Z$72,$A346+1),INDEX(Surface_Engine!$Z$12:$Z$72,$Q$321+1))</f>
        <v>0.601630790116321</v>
      </c>
      <c r="F346" s="48" t="n">
        <f aca="false">B346*(IF($A346&lt;$Q$321,INDEX(Surface_Engine!$D$12:$D$72,$A346+1)+(Surface_Engine!G239*12)*INDEX(Surface_Engine!$F$12:$F$72,$A346+1)-(Surface_Engine!G239*12),1000*12*INDEX(Surface_Engine!$C$12:$C$72,$A346+1)/(1+Assumptions!$B$10)^17+INDEX(Surface_Engine!$D$12:$D$72,$A346+1)))*INDEX(Surface_Engine!$B$12:$B$72,$A346+1)+F347</f>
        <v>29835.9120326079</v>
      </c>
      <c r="G346" s="48" t="n">
        <f aca="false">C346*(IF($A346&lt;$Q$321,INDEX(Surface_Engine!$D$12:$D$72,$A346+1)+(Surface_Engine!G239*12)*INDEX(Surface_Engine!$F$12:$F$72,$A346+1)-(Surface_Engine!G239*12),1000*12*INDEX(Surface_Engine!$C$12:$C$72,$A346+1)/(1+Assumptions!$B$10)^17+INDEX(Surface_Engine!$D$12:$D$72,$A346+1)))*INDEX(Surface_Engine!$B$12:$B$72,$A346+1)+G347</f>
        <v>36788.9561452394</v>
      </c>
      <c r="H346" s="48" t="n">
        <f aca="false">D346*(IF($A346&lt;$Q$321,INDEX(Surface_Engine!$D$12:$D$72,$A346+1)+(Surface_Engine!G239*12)*INDEX(Surface_Engine!$F$12:$F$72,$A346+1)-(Surface_Engine!G239*12),1000*12*INDEX(Surface_Engine!$C$12:$C$72,$A346+1)/(1+Assumptions!$B$10)^17+INDEX(Surface_Engine!$D$12:$D$72,$A346+1)))*INDEX(Surface_Engine!$B$12:$B$72,$A346+1)+H347</f>
        <v>26780.0806332915</v>
      </c>
      <c r="I346" s="48" t="n">
        <f aca="false">E346*(IF($A346&lt;$Q$321,INDEX(Surface_Engine!$D$12:$D$72,$A346+1)+(Surface_Engine!G239*12)*INDEX(Surface_Engine!$F$12:$F$72,$A346+1)-(Surface_Engine!G239*12),1000*12*INDEX(Surface_Engine!$C$12:$C$72,$A346+1)/(1+Assumptions!$B$10)^17+INDEX(Surface_Engine!$D$12:$D$72,$A346+1)))*INDEX(Surface_Engine!$B$12:$B$72,$A346+1)+I347</f>
        <v>33208.5404065273</v>
      </c>
      <c r="J346" s="48" t="n">
        <f aca="false">B346*(IF($A346&lt;$Q$321,INDEX(Surface_Engine!$D$12:$D$72,$A346+1)*(1+Assumptions!$B$24)+(Surface_Engine!G239*12)*INDEX(Surface_Engine!$F$12:$F$72,$A346+1)-(Surface_Engine!G239*12),1000*12*INDEX(Surface_Engine!$C$12:$C$72,$A346+1)/(1+Assumptions!$B$10)^17+INDEX(Surface_Engine!$D$12:$D$72,$A346+1)*(1+Assumptions!$B$24)))*INDEX(Surface_Engine!$B$12:$B$72,$A346+1)+J347</f>
        <v>29868.3507091646</v>
      </c>
      <c r="K346" s="12" t="n">
        <f aca="false">SQRT((IF(C346&lt;=0,0,MAX(0,(B346/C346)*G346/INDEX(Surface_Engine!$B$12:$B$72,$A346+1)-F346/INDEX(Surface_Engine!$B$12:$B$72,$A346+1))))^2+(MAX(IF(D346&lt;=0,0,MAX(0,(B346/D346)*H346/INDEX(Surface_Engine!$B$12:$B$72,$A346+1)-F346/INDEX(Surface_Engine!$B$12:$B$72,$A346+1))),IF(E346&lt;=0,0,MAX(0,(B346/E346)*I346/INDEX(Surface_Engine!$B$12:$B$72,$A346+1)-F346/INDEX(Surface_Engine!$B$12:$B$72,$A346+1))),IF($A346&lt;$Q$321,MAX(0,-Assumptions!$B$22*(F346/INDEX(Surface_Engine!$B$12:$B$72,$A346+1))),0)))^2+(MAX(0,J346/INDEX(Surface_Engine!$B$12:$B$72,$A346+1)-(F346/INDEX(Surface_Engine!$B$12:$B$72,$A346+1))))^2+2*Assumptions!$B$26*(IF(C346&lt;=0,0,MAX(0,(B346/C346)*G346/INDEX(Surface_Engine!$B$12:$B$72,$A346+1)-F346/INDEX(Surface_Engine!$B$12:$B$72,$A346+1))))*(MAX(IF(D346&lt;=0,0,MAX(0,(B346/D346)*H346/INDEX(Surface_Engine!$B$12:$B$72,$A346+1)-F346/INDEX(Surface_Engine!$B$12:$B$72,$A346+1))),IF(E346&lt;=0,0,MAX(0,(B346/E346)*I346/INDEX(Surface_Engine!$B$12:$B$72,$A346+1)-F346/INDEX(Surface_Engine!$B$12:$B$72,$A346+1))),IF($A346&lt;$Q$321,MAX(0,-Assumptions!$B$22*(F346/INDEX(Surface_Engine!$B$12:$B$72,$A346+1))),0)))+2*Assumptions!$B$27*(IF(C346&lt;=0,0,MAX(0,(B346/C346)*G346/INDEX(Surface_Engine!$B$12:$B$72,$A346+1)-F346/INDEX(Surface_Engine!$B$12:$B$72,$A346+1))))*(MAX(0,J346/INDEX(Surface_Engine!$B$12:$B$72,$A346+1)-(F346/INDEX(Surface_Engine!$B$12:$B$72,$A346+1))))+2*Assumptions!$B$28*(MAX(IF(D346&lt;=0,0,MAX(0,(B346/D346)*H346/INDEX(Surface_Engine!$B$12:$B$72,$A346+1)-F346/INDEX(Surface_Engine!$B$12:$B$72,$A346+1))),IF(E346&lt;=0,0,MAX(0,(B346/E346)*I346/INDEX(Surface_Engine!$B$12:$B$72,$A346+1)-F346/INDEX(Surface_Engine!$B$12:$B$72,$A346+1))),IF($A346&lt;$Q$321,MAX(0,-Assumptions!$B$22*(F346/INDEX(Surface_Engine!$B$12:$B$72,$A346+1))),0)))*(MAX(0,J346/INDEX(Surface_Engine!$B$12:$B$72,$A346+1)-(F346/INDEX(Surface_Engine!$B$12:$B$72,$A346+1)))))</f>
        <v>8387.16635158298</v>
      </c>
      <c r="L346" s="48" t="n">
        <f aca="false">K346*INDEX(Surface_Engine!$B$12:$B$72,$A346+1)+L347</f>
        <v>29746.0915206629</v>
      </c>
      <c r="M346" s="48" t="n">
        <f aca="false">M345+B345*(IF($A345&lt;$Q$321,(Surface_Engine!G239*12)-(Surface_Engine!G239*12)*INDEX(Surface_Engine!$F$12:$F$72,$A345+1)-INDEX(Surface_Engine!$D$12:$D$72,$A345+1),-(1000*12*INDEX(Surface_Engine!$C$12:$C$72,$A345+1)/(1+Assumptions!$B$10)^17+INDEX(Surface_Engine!$D$12:$D$72,$A345+1))))*INDEX(Surface_Engine!$B$12:$B$72,$A345+1)</f>
        <v>31875.0128731488</v>
      </c>
      <c r="N346" s="12" t="n">
        <f aca="false">IF(B346&lt;=0,0,MAX(0,(K346+Assumptions!$B$29*L346/INDEX(Surface_Engine!$B$12:$B$72,$A346+1)-(M346/INDEX(Surface_Engine!$B$12:$B$72,$A346+1)-(F346/INDEX(Surface_Engine!$B$12:$B$72,$A346+1))))/B346))</f>
        <v>14551.6073000845</v>
      </c>
    </row>
    <row r="347" customFormat="false" ht="15" hidden="false" customHeight="true" outlineLevel="0" collapsed="false">
      <c r="A347" s="1" t="n">
        <v>24</v>
      </c>
      <c r="B347" s="32" t="n">
        <f aca="false">INDEX(Surface_Engine!$J$12:$J$72,$A347+1)*IF($A347&lt;$Q$321,INDEX(Surface_Engine!$E$12:$E$72,$A347+1),INDEX(Surface_Engine!$E$12:$E$72,$Q$321+1))</f>
        <v>0.510944188883202</v>
      </c>
      <c r="C347" s="32" t="n">
        <f aca="false">INDEX(Panel_Reserving!$C$8:$C$68,$A347+1)*IF($A347&lt;$Q$321,INDEX(Surface_Engine!$E$12:$E$72,$A347+1),INDEX(Surface_Engine!$E$12:$E$72,$Q$321+1))</f>
        <v>0.560620540430492</v>
      </c>
      <c r="D347" s="32" t="n">
        <f aca="false">INDEX(Surface_Engine!$J$12:$J$72,$A347+1)*IF($A347&lt;$Q$321,INDEX(Surface_Engine!$Y$12:$Y$72,$A347+1),INDEX(Surface_Engine!$Y$12:$Y$72,$Q$321+1))</f>
        <v>0.458612646479501</v>
      </c>
      <c r="E347" s="32" t="n">
        <f aca="false">INDEX(Surface_Engine!$J$12:$J$72,$A347+1)*IF($A347&lt;$Q$321,INDEX(Surface_Engine!$Z$12:$Z$72,$A347+1),INDEX(Surface_Engine!$Z$12:$Z$72,$Q$321+1))</f>
        <v>0.568700924022836</v>
      </c>
      <c r="F347" s="48" t="n">
        <f aca="false">B347*(IF($A347&lt;$Q$321,INDEX(Surface_Engine!$D$12:$D$72,$A347+1)+(Surface_Engine!G239*12)*INDEX(Surface_Engine!$F$12:$F$72,$A347+1)-(Surface_Engine!G239*12),1000*12*INDEX(Surface_Engine!$C$12:$C$72,$A347+1)/(1+Assumptions!$B$10)^17+INDEX(Surface_Engine!$D$12:$D$72,$A347+1)))*INDEX(Surface_Engine!$B$12:$B$72,$A347+1)+F348</f>
        <v>26235.8935423592</v>
      </c>
      <c r="G347" s="48" t="n">
        <f aca="false">C347*(IF($A347&lt;$Q$321,INDEX(Surface_Engine!$D$12:$D$72,$A347+1)+(Surface_Engine!G239*12)*INDEX(Surface_Engine!$F$12:$F$72,$A347+1)-(Surface_Engine!G239*12),1000*12*INDEX(Surface_Engine!$C$12:$C$72,$A347+1)/(1+Assumptions!$B$10)^17+INDEX(Surface_Engine!$D$12:$D$72,$A347+1)))*INDEX(Surface_Engine!$B$12:$B$72,$A347+1)+G348</f>
        <v>32884.1477875077</v>
      </c>
      <c r="H347" s="48" t="n">
        <f aca="false">D347*(IF($A347&lt;$Q$321,INDEX(Surface_Engine!$D$12:$D$72,$A347+1)+(Surface_Engine!G239*12)*INDEX(Surface_Engine!$F$12:$F$72,$A347+1)-(Surface_Engine!G239*12),1000*12*INDEX(Surface_Engine!$C$12:$C$72,$A347+1)/(1+Assumptions!$B$10)^17+INDEX(Surface_Engine!$D$12:$D$72,$A347+1)))*INDEX(Surface_Engine!$B$12:$B$72,$A347+1)+H348</f>
        <v>23548.7805361189</v>
      </c>
      <c r="I347" s="48" t="n">
        <f aca="false">E347*(IF($A347&lt;$Q$321,INDEX(Surface_Engine!$D$12:$D$72,$A347+1)+(Surface_Engine!G239*12)*INDEX(Surface_Engine!$F$12:$F$72,$A347+1)-(Surface_Engine!G239*12),1000*12*INDEX(Surface_Engine!$C$12:$C$72,$A347+1)/(1+Assumptions!$B$10)^17+INDEX(Surface_Engine!$D$12:$D$72,$A347+1)))*INDEX(Surface_Engine!$B$12:$B$72,$A347+1)+I348</f>
        <v>29201.5786160846</v>
      </c>
      <c r="J347" s="48" t="n">
        <f aca="false">B347*(IF($A347&lt;$Q$321,INDEX(Surface_Engine!$D$12:$D$72,$A347+1)*(1+Assumptions!$B$24)+(Surface_Engine!G239*12)*INDEX(Surface_Engine!$F$12:$F$72,$A347+1)-(Surface_Engine!G239*12),1000*12*INDEX(Surface_Engine!$C$12:$C$72,$A347+1)/(1+Assumptions!$B$10)^17+INDEX(Surface_Engine!$D$12:$D$72,$A347+1)*(1+Assumptions!$B$24)))*INDEX(Surface_Engine!$B$12:$B$72,$A347+1)+J348</f>
        <v>26264.5184023285</v>
      </c>
      <c r="K347" s="12" t="n">
        <f aca="false">SQRT((IF(C347&lt;=0,0,MAX(0,(B347/C347)*G347/INDEX(Surface_Engine!$B$12:$B$72,$A347+1)-F347/INDEX(Surface_Engine!$B$12:$B$72,$A347+1))))^2+(MAX(IF(D347&lt;=0,0,MAX(0,(B347/D347)*H347/INDEX(Surface_Engine!$B$12:$B$72,$A347+1)-F347/INDEX(Surface_Engine!$B$12:$B$72,$A347+1))),IF(E347&lt;=0,0,MAX(0,(B347/E347)*I347/INDEX(Surface_Engine!$B$12:$B$72,$A347+1)-F347/INDEX(Surface_Engine!$B$12:$B$72,$A347+1))),IF($A347&lt;$Q$321,MAX(0,-Assumptions!$B$22*(F347/INDEX(Surface_Engine!$B$12:$B$72,$A347+1))),0)))^2+(MAX(0,J347/INDEX(Surface_Engine!$B$12:$B$72,$A347+1)-(F347/INDEX(Surface_Engine!$B$12:$B$72,$A347+1))))^2+2*Assumptions!$B$26*(IF(C347&lt;=0,0,MAX(0,(B347/C347)*G347/INDEX(Surface_Engine!$B$12:$B$72,$A347+1)-F347/INDEX(Surface_Engine!$B$12:$B$72,$A347+1))))*(MAX(IF(D347&lt;=0,0,MAX(0,(B347/D347)*H347/INDEX(Surface_Engine!$B$12:$B$72,$A347+1)-F347/INDEX(Surface_Engine!$B$12:$B$72,$A347+1))),IF(E347&lt;=0,0,MAX(0,(B347/E347)*I347/INDEX(Surface_Engine!$B$12:$B$72,$A347+1)-F347/INDEX(Surface_Engine!$B$12:$B$72,$A347+1))),IF($A347&lt;$Q$321,MAX(0,-Assumptions!$B$22*(F347/INDEX(Surface_Engine!$B$12:$B$72,$A347+1))),0)))+2*Assumptions!$B$27*(IF(C347&lt;=0,0,MAX(0,(B347/C347)*G347/INDEX(Surface_Engine!$B$12:$B$72,$A347+1)-F347/INDEX(Surface_Engine!$B$12:$B$72,$A347+1))))*(MAX(0,J347/INDEX(Surface_Engine!$B$12:$B$72,$A347+1)-(F347/INDEX(Surface_Engine!$B$12:$B$72,$A347+1))))+2*Assumptions!$B$28*(MAX(IF(D347&lt;=0,0,MAX(0,(B347/D347)*H347/INDEX(Surface_Engine!$B$12:$B$72,$A347+1)-F347/INDEX(Surface_Engine!$B$12:$B$72,$A347+1))),IF(E347&lt;=0,0,MAX(0,(B347/E347)*I347/INDEX(Surface_Engine!$B$12:$B$72,$A347+1)-F347/INDEX(Surface_Engine!$B$12:$B$72,$A347+1))),IF($A347&lt;$Q$321,MAX(0,-Assumptions!$B$22*(F347/INDEX(Surface_Engine!$B$12:$B$72,$A347+1))),0)))*(MAX(0,J347/INDEX(Surface_Engine!$B$12:$B$72,$A347+1)-(F347/INDEX(Surface_Engine!$B$12:$B$72,$A347+1)))))</f>
        <v>7920.47181451853</v>
      </c>
      <c r="L347" s="48" t="n">
        <f aca="false">K347*INDEX(Surface_Engine!$B$12:$B$72,$A347+1)+L348</f>
        <v>25656.3795830188</v>
      </c>
      <c r="M347" s="48" t="n">
        <f aca="false">M346+B346*(IF($A346&lt;$Q$321,(Surface_Engine!G239*12)-(Surface_Engine!G239*12)*INDEX(Surface_Engine!$F$12:$F$72,$A346+1)-INDEX(Surface_Engine!$D$12:$D$72,$A346+1),-(1000*12*INDEX(Surface_Engine!$C$12:$C$72,$A346+1)/(1+Assumptions!$B$10)^17+INDEX(Surface_Engine!$D$12:$D$72,$A346+1))))*INDEX(Surface_Engine!$B$12:$B$72,$A346+1)</f>
        <v>28274.9943829002</v>
      </c>
      <c r="N347" s="12" t="n">
        <f aca="false">IF(B347&lt;=0,0,MAX(0,(K347+Assumptions!$B$29*L347/INDEX(Surface_Engine!$B$12:$B$72,$A347+1)-(M347/INDEX(Surface_Engine!$B$12:$B$72,$A347+1)-(F347/INDEX(Surface_Engine!$B$12:$B$72,$A347+1))))/B347))</f>
        <v>13431.3153198655</v>
      </c>
    </row>
    <row r="348" customFormat="false" ht="15" hidden="false" customHeight="true" outlineLevel="0" collapsed="false">
      <c r="A348" s="1" t="n">
        <v>25</v>
      </c>
      <c r="B348" s="32" t="n">
        <f aca="false">INDEX(Surface_Engine!$J$12:$J$72,$A348+1)*IF($A348&lt;$Q$321,INDEX(Surface_Engine!$E$12:$E$72,$A348+1),INDEX(Surface_Engine!$E$12:$E$72,$Q$321+1))</f>
        <v>0.479189638290676</v>
      </c>
      <c r="C348" s="32" t="n">
        <f aca="false">INDEX(Panel_Reserving!$C$8:$C$68,$A348+1)*IF($A348&lt;$Q$321,INDEX(Surface_Engine!$E$12:$E$72,$A348+1),INDEX(Surface_Engine!$E$12:$E$72,$Q$321+1))</f>
        <v>0.532747040816813</v>
      </c>
      <c r="D348" s="32" t="n">
        <f aca="false">INDEX(Surface_Engine!$J$12:$J$72,$A348+1)*IF($A348&lt;$Q$321,INDEX(Surface_Engine!$Y$12:$Y$72,$A348+1),INDEX(Surface_Engine!$Y$12:$Y$72,$Q$321+1))</f>
        <v>0.430110436645514</v>
      </c>
      <c r="E348" s="32" t="n">
        <f aca="false">INDEX(Surface_Engine!$J$12:$J$72,$A348+1)*IF($A348&lt;$Q$321,INDEX(Surface_Engine!$Z$12:$Z$72,$A348+1),INDEX(Surface_Engine!$Z$12:$Z$72,$Q$321+1))</f>
        <v>0.533356863640484</v>
      </c>
      <c r="F348" s="48" t="n">
        <f aca="false">B348*(IF($A348&lt;$Q$321,INDEX(Surface_Engine!$D$12:$D$72,$A348+1)+(Surface_Engine!G239*12)*INDEX(Surface_Engine!$F$12:$F$72,$A348+1)-(Surface_Engine!G239*12),1000*12*INDEX(Surface_Engine!$C$12:$C$72,$A348+1)/(1+Assumptions!$B$10)^17+INDEX(Surface_Engine!$D$12:$D$72,$A348+1)))*INDEX(Surface_Engine!$B$12:$B$72,$A348+1)+F349</f>
        <v>22872.9665771985</v>
      </c>
      <c r="G348" s="48" t="n">
        <f aca="false">C348*(IF($A348&lt;$Q$321,INDEX(Surface_Engine!$D$12:$D$72,$A348+1)+(Surface_Engine!G239*12)*INDEX(Surface_Engine!$F$12:$F$72,$A348+1)-(Surface_Engine!G239*12),1000*12*INDEX(Surface_Engine!$C$12:$C$72,$A348+1)/(1+Assumptions!$B$10)^17+INDEX(Surface_Engine!$D$12:$D$72,$A348+1)))*INDEX(Surface_Engine!$B$12:$B$72,$A348+1)+G349</f>
        <v>29194.2615461991</v>
      </c>
      <c r="H348" s="48" t="n">
        <f aca="false">D348*(IF($A348&lt;$Q$321,INDEX(Surface_Engine!$D$12:$D$72,$A348+1)+(Surface_Engine!G239*12)*INDEX(Surface_Engine!$F$12:$F$72,$A348+1)-(Surface_Engine!G239*12),1000*12*INDEX(Surface_Engine!$C$12:$C$72,$A348+1)/(1+Assumptions!$B$10)^17+INDEX(Surface_Engine!$D$12:$D$72,$A348+1)))*INDEX(Surface_Engine!$B$12:$B$72,$A348+1)+H349</f>
        <v>20530.2887537176</v>
      </c>
      <c r="I348" s="48" t="n">
        <f aca="false">E348*(IF($A348&lt;$Q$321,INDEX(Surface_Engine!$D$12:$D$72,$A348+1)+(Surface_Engine!G239*12)*INDEX(Surface_Engine!$F$12:$F$72,$A348+1)-(Surface_Engine!G239*12),1000*12*INDEX(Surface_Engine!$C$12:$C$72,$A348+1)/(1+Assumptions!$B$10)^17+INDEX(Surface_Engine!$D$12:$D$72,$A348+1)))*INDEX(Surface_Engine!$B$12:$B$72,$A348+1)+I349</f>
        <v>25458.5089929846</v>
      </c>
      <c r="J348" s="48" t="n">
        <f aca="false">B348*(IF($A348&lt;$Q$321,INDEX(Surface_Engine!$D$12:$D$72,$A348+1)*(1+Assumptions!$B$24)+(Surface_Engine!G239*12)*INDEX(Surface_Engine!$F$12:$F$72,$A348+1)-(Surface_Engine!G239*12),1000*12*INDEX(Surface_Engine!$C$12:$C$72,$A348+1)/(1+Assumptions!$B$10)^17+INDEX(Surface_Engine!$D$12:$D$72,$A348+1)*(1+Assumptions!$B$24)))*INDEX(Surface_Engine!$B$12:$B$72,$A348+1)+J349</f>
        <v>22898.011514474</v>
      </c>
      <c r="K348" s="12" t="n">
        <f aca="false">SQRT((IF(C348&lt;=0,0,MAX(0,(B348/C348)*G348/INDEX(Surface_Engine!$B$12:$B$72,$A348+1)-F348/INDEX(Surface_Engine!$B$12:$B$72,$A348+1))))^2+(MAX(IF(D348&lt;=0,0,MAX(0,(B348/D348)*H348/INDEX(Surface_Engine!$B$12:$B$72,$A348+1)-F348/INDEX(Surface_Engine!$B$12:$B$72,$A348+1))),IF(E348&lt;=0,0,MAX(0,(B348/E348)*I348/INDEX(Surface_Engine!$B$12:$B$72,$A348+1)-F348/INDEX(Surface_Engine!$B$12:$B$72,$A348+1))),IF($A348&lt;$Q$321,MAX(0,-Assumptions!$B$22*(F348/INDEX(Surface_Engine!$B$12:$B$72,$A348+1))),0)))^2+(MAX(0,J348/INDEX(Surface_Engine!$B$12:$B$72,$A348+1)-(F348/INDEX(Surface_Engine!$B$12:$B$72,$A348+1))))^2+2*Assumptions!$B$26*(IF(C348&lt;=0,0,MAX(0,(B348/C348)*G348/INDEX(Surface_Engine!$B$12:$B$72,$A348+1)-F348/INDEX(Surface_Engine!$B$12:$B$72,$A348+1))))*(MAX(IF(D348&lt;=0,0,MAX(0,(B348/D348)*H348/INDEX(Surface_Engine!$B$12:$B$72,$A348+1)-F348/INDEX(Surface_Engine!$B$12:$B$72,$A348+1))),IF(E348&lt;=0,0,MAX(0,(B348/E348)*I348/INDEX(Surface_Engine!$B$12:$B$72,$A348+1)-F348/INDEX(Surface_Engine!$B$12:$B$72,$A348+1))),IF($A348&lt;$Q$321,MAX(0,-Assumptions!$B$22*(F348/INDEX(Surface_Engine!$B$12:$B$72,$A348+1))),0)))+2*Assumptions!$B$27*(IF(C348&lt;=0,0,MAX(0,(B348/C348)*G348/INDEX(Surface_Engine!$B$12:$B$72,$A348+1)-F348/INDEX(Surface_Engine!$B$12:$B$72,$A348+1))))*(MAX(0,J348/INDEX(Surface_Engine!$B$12:$B$72,$A348+1)-(F348/INDEX(Surface_Engine!$B$12:$B$72,$A348+1))))+2*Assumptions!$B$28*(MAX(IF(D348&lt;=0,0,MAX(0,(B348/D348)*H348/INDEX(Surface_Engine!$B$12:$B$72,$A348+1)-F348/INDEX(Surface_Engine!$B$12:$B$72,$A348+1))),IF(E348&lt;=0,0,MAX(0,(B348/E348)*I348/INDEX(Surface_Engine!$B$12:$B$72,$A348+1)-F348/INDEX(Surface_Engine!$B$12:$B$72,$A348+1))),IF($A348&lt;$Q$321,MAX(0,-Assumptions!$B$22*(F348/INDEX(Surface_Engine!$B$12:$B$72,$A348+1))),0)))*(MAX(0,J348/INDEX(Surface_Engine!$B$12:$B$72,$A348+1)-(F348/INDEX(Surface_Engine!$B$12:$B$72,$A348+1)))))</f>
        <v>7411.57650189164</v>
      </c>
      <c r="L348" s="48" t="n">
        <f aca="false">K348*INDEX(Surface_Engine!$B$12:$B$72,$A348+1)+L349</f>
        <v>21914.7170485122</v>
      </c>
      <c r="M348" s="48" t="n">
        <f aca="false">M347+B347*(IF($A347&lt;$Q$321,(Surface_Engine!G239*12)-(Surface_Engine!G239*12)*INDEX(Surface_Engine!$F$12:$F$72,$A347+1)-INDEX(Surface_Engine!$D$12:$D$72,$A347+1),-(1000*12*INDEX(Surface_Engine!$C$12:$C$72,$A347+1)/(1+Assumptions!$B$10)^17+INDEX(Surface_Engine!$D$12:$D$72,$A347+1))))*INDEX(Surface_Engine!$B$12:$B$72,$A347+1)</f>
        <v>24912.0674177394</v>
      </c>
      <c r="N348" s="12" t="n">
        <f aca="false">IF(B348&lt;=0,0,MAX(0,(K348+Assumptions!$B$29*L348/INDEX(Surface_Engine!$B$12:$B$72,$A348+1)-(M348/INDEX(Surface_Engine!$B$12:$B$72,$A348+1)-(F348/INDEX(Surface_Engine!$B$12:$B$72,$A348+1))))/B348))</f>
        <v>12165.3019738975</v>
      </c>
    </row>
    <row r="349" customFormat="false" ht="15" hidden="false" customHeight="true" outlineLevel="0" collapsed="false">
      <c r="A349" s="1" t="n">
        <v>26</v>
      </c>
      <c r="B349" s="32" t="n">
        <f aca="false">INDEX(Surface_Engine!$J$12:$J$72,$A349+1)*IF($A349&lt;$Q$321,INDEX(Surface_Engine!$E$12:$E$72,$A349+1),INDEX(Surface_Engine!$E$12:$E$72,$Q$321+1))</f>
        <v>0.445392514207541</v>
      </c>
      <c r="C349" s="32" t="n">
        <f aca="false">INDEX(Panel_Reserving!$C$8:$C$68,$A349+1)*IF($A349&lt;$Q$321,INDEX(Surface_Engine!$E$12:$E$72,$A349+1),INDEX(Surface_Engine!$E$12:$E$72,$Q$321+1))</f>
        <v>0.502687429498612</v>
      </c>
      <c r="D349" s="32" t="n">
        <f aca="false">INDEX(Surface_Engine!$J$12:$J$72,$A349+1)*IF($A349&lt;$Q$321,INDEX(Surface_Engine!$Y$12:$Y$72,$A349+1),INDEX(Surface_Engine!$Y$12:$Y$72,$Q$321+1))</f>
        <v>0.399774856250634</v>
      </c>
      <c r="E349" s="32" t="n">
        <f aca="false">INDEX(Surface_Engine!$J$12:$J$72,$A349+1)*IF($A349&lt;$Q$321,INDEX(Surface_Engine!$Z$12:$Z$72,$A349+1),INDEX(Surface_Engine!$Z$12:$Z$72,$Q$321+1))</f>
        <v>0.495739338843099</v>
      </c>
      <c r="F349" s="48" t="n">
        <f aca="false">B349*(IF($A349&lt;$Q$321,INDEX(Surface_Engine!$D$12:$D$72,$A349+1)+(Surface_Engine!G239*12)*INDEX(Surface_Engine!$F$12:$F$72,$A349+1)-(Surface_Engine!G239*12),1000*12*INDEX(Surface_Engine!$C$12:$C$72,$A349+1)/(1+Assumptions!$B$10)^17+INDEX(Surface_Engine!$D$12:$D$72,$A349+1)))*INDEX(Surface_Engine!$B$12:$B$72,$A349+1)+F350</f>
        <v>19755.5221340118</v>
      </c>
      <c r="G349" s="48" t="n">
        <f aca="false">C349*(IF($A349&lt;$Q$321,INDEX(Surface_Engine!$D$12:$D$72,$A349+1)+(Surface_Engine!G239*12)*INDEX(Surface_Engine!$F$12:$F$72,$A349+1)-(Surface_Engine!G239*12),1000*12*INDEX(Surface_Engine!$C$12:$C$72,$A349+1)/(1+Assumptions!$B$10)^17+INDEX(Surface_Engine!$D$12:$D$72,$A349+1)))*INDEX(Surface_Engine!$B$12:$B$72,$A349+1)+G350</f>
        <v>25728.3908985307</v>
      </c>
      <c r="H349" s="48" t="n">
        <f aca="false">D349*(IF($A349&lt;$Q$321,INDEX(Surface_Engine!$D$12:$D$72,$A349+1)+(Surface_Engine!G239*12)*INDEX(Surface_Engine!$F$12:$F$72,$A349+1)-(Surface_Engine!G239*12),1000*12*INDEX(Surface_Engine!$C$12:$C$72,$A349+1)/(1+Assumptions!$B$10)^17+INDEX(Surface_Engine!$D$12:$D$72,$A349+1)))*INDEX(Surface_Engine!$B$12:$B$72,$A349+1)+H350</f>
        <v>17732.1368665857</v>
      </c>
      <c r="I349" s="48" t="n">
        <f aca="false">E349*(IF($A349&lt;$Q$321,INDEX(Surface_Engine!$D$12:$D$72,$A349+1)+(Surface_Engine!G239*12)*INDEX(Surface_Engine!$F$12:$F$72,$A349+1)-(Surface_Engine!G239*12),1000*12*INDEX(Surface_Engine!$C$12:$C$72,$A349+1)/(1+Assumptions!$B$10)^17+INDEX(Surface_Engine!$D$12:$D$72,$A349+1)))*INDEX(Surface_Engine!$B$12:$B$72,$A349+1)+I350</f>
        <v>21988.6710458984</v>
      </c>
      <c r="J349" s="48" t="n">
        <f aca="false">B349*(IF($A349&lt;$Q$321,INDEX(Surface_Engine!$D$12:$D$72,$A349+1)*(1+Assumptions!$B$24)+(Surface_Engine!G239*12)*INDEX(Surface_Engine!$F$12:$F$72,$A349+1)-(Surface_Engine!G239*12),1000*12*INDEX(Surface_Engine!$C$12:$C$72,$A349+1)/(1+Assumptions!$B$10)^17+INDEX(Surface_Engine!$D$12:$D$72,$A349+1)*(1+Assumptions!$B$24)))*INDEX(Surface_Engine!$B$12:$B$72,$A349+1)+J350</f>
        <v>19777.2323774494</v>
      </c>
      <c r="K349" s="12" t="n">
        <f aca="false">SQRT((IF(C349&lt;=0,0,MAX(0,(B349/C349)*G349/INDEX(Surface_Engine!$B$12:$B$72,$A349+1)-F349/INDEX(Surface_Engine!$B$12:$B$72,$A349+1))))^2+(MAX(IF(D349&lt;=0,0,MAX(0,(B349/D349)*H349/INDEX(Surface_Engine!$B$12:$B$72,$A349+1)-F349/INDEX(Surface_Engine!$B$12:$B$72,$A349+1))),IF(E349&lt;=0,0,MAX(0,(B349/E349)*I349/INDEX(Surface_Engine!$B$12:$B$72,$A349+1)-F349/INDEX(Surface_Engine!$B$12:$B$72,$A349+1))),IF($A349&lt;$Q$321,MAX(0,-Assumptions!$B$22*(F349/INDEX(Surface_Engine!$B$12:$B$72,$A349+1))),0)))^2+(MAX(0,J349/INDEX(Surface_Engine!$B$12:$B$72,$A349+1)-(F349/INDEX(Surface_Engine!$B$12:$B$72,$A349+1))))^2+2*Assumptions!$B$26*(IF(C349&lt;=0,0,MAX(0,(B349/C349)*G349/INDEX(Surface_Engine!$B$12:$B$72,$A349+1)-F349/INDEX(Surface_Engine!$B$12:$B$72,$A349+1))))*(MAX(IF(D349&lt;=0,0,MAX(0,(B349/D349)*H349/INDEX(Surface_Engine!$B$12:$B$72,$A349+1)-F349/INDEX(Surface_Engine!$B$12:$B$72,$A349+1))),IF(E349&lt;=0,0,MAX(0,(B349/E349)*I349/INDEX(Surface_Engine!$B$12:$B$72,$A349+1)-F349/INDEX(Surface_Engine!$B$12:$B$72,$A349+1))),IF($A349&lt;$Q$321,MAX(0,-Assumptions!$B$22*(F349/INDEX(Surface_Engine!$B$12:$B$72,$A349+1))),0)))+2*Assumptions!$B$27*(IF(C349&lt;=0,0,MAX(0,(B349/C349)*G349/INDEX(Surface_Engine!$B$12:$B$72,$A349+1)-F349/INDEX(Surface_Engine!$B$12:$B$72,$A349+1))))*(MAX(0,J349/INDEX(Surface_Engine!$B$12:$B$72,$A349+1)-(F349/INDEX(Surface_Engine!$B$12:$B$72,$A349+1))))+2*Assumptions!$B$28*(MAX(IF(D349&lt;=0,0,MAX(0,(B349/D349)*H349/INDEX(Surface_Engine!$B$12:$B$72,$A349+1)-F349/INDEX(Surface_Engine!$B$12:$B$72,$A349+1))),IF(E349&lt;=0,0,MAX(0,(B349/E349)*I349/INDEX(Surface_Engine!$B$12:$B$72,$A349+1)-F349/INDEX(Surface_Engine!$B$12:$B$72,$A349+1))),IF($A349&lt;$Q$321,MAX(0,-Assumptions!$B$22*(F349/INDEX(Surface_Engine!$B$12:$B$72,$A349+1))),0)))*(MAX(0,J349/INDEX(Surface_Engine!$B$12:$B$72,$A349+1)-(F349/INDEX(Surface_Engine!$B$12:$B$72,$A349+1)))))</f>
        <v>6868.68443734194</v>
      </c>
      <c r="L349" s="48" t="n">
        <f aca="false">K349*INDEX(Surface_Engine!$B$12:$B$72,$A349+1)+L350</f>
        <v>18521.9920640894</v>
      </c>
      <c r="M349" s="48" t="n">
        <f aca="false">M348+B348*(IF($A348&lt;$Q$321,(Surface_Engine!G239*12)-(Surface_Engine!G239*12)*INDEX(Surface_Engine!$F$12:$F$72,$A348+1)-INDEX(Surface_Engine!$D$12:$D$72,$A348+1),-(1000*12*INDEX(Surface_Engine!$C$12:$C$72,$A348+1)/(1+Assumptions!$B$10)^17+INDEX(Surface_Engine!$D$12:$D$72,$A348+1))))*INDEX(Surface_Engine!$B$12:$B$72,$A348+1)</f>
        <v>21794.6229745528</v>
      </c>
      <c r="N349" s="12" t="n">
        <f aca="false">IF(B349&lt;=0,0,MAX(0,(K349+Assumptions!$B$29*L349/INDEX(Surface_Engine!$B$12:$B$72,$A349+1)-(M349/INDEX(Surface_Engine!$B$12:$B$72,$A349+1)-(F349/INDEX(Surface_Engine!$B$12:$B$72,$A349+1))))/B349))</f>
        <v>10724.238186019</v>
      </c>
    </row>
    <row r="350" customFormat="false" ht="15" hidden="false" customHeight="true" outlineLevel="0" collapsed="false">
      <c r="A350" s="1" t="n">
        <v>27</v>
      </c>
      <c r="B350" s="32" t="n">
        <f aca="false">INDEX(Surface_Engine!$J$12:$J$72,$A350+1)*IF($A350&lt;$Q$321,INDEX(Surface_Engine!$E$12:$E$72,$A350+1),INDEX(Surface_Engine!$E$12:$E$72,$Q$321+1))</f>
        <v>0.409775832125612</v>
      </c>
      <c r="C350" s="32" t="n">
        <f aca="false">INDEX(Panel_Reserving!$C$8:$C$68,$A350+1)*IF($A350&lt;$Q$321,INDEX(Surface_Engine!$E$12:$E$72,$A350+1),INDEX(Surface_Engine!$E$12:$E$72,$Q$321+1))</f>
        <v>0.470528724011809</v>
      </c>
      <c r="D350" s="32" t="n">
        <f aca="false">INDEX(Surface_Engine!$J$12:$J$72,$A350+1)*IF($A350&lt;$Q$321,INDEX(Surface_Engine!$Y$12:$Y$72,$A350+1),INDEX(Surface_Engine!$Y$12:$Y$72,$Q$321+1))</f>
        <v>0.367806079261283</v>
      </c>
      <c r="E350" s="32" t="n">
        <f aca="false">INDEX(Surface_Engine!$J$12:$J$72,$A350+1)*IF($A350&lt;$Q$321,INDEX(Surface_Engine!$Z$12:$Z$72,$A350+1),INDEX(Surface_Engine!$Z$12:$Z$72,$Q$321+1))</f>
        <v>0.45609657462086</v>
      </c>
      <c r="F350" s="48" t="n">
        <f aca="false">B350*(IF($A350&lt;$Q$321,INDEX(Surface_Engine!$D$12:$D$72,$A350+1)+(Surface_Engine!G239*12)*INDEX(Surface_Engine!$F$12:$F$72,$A350+1)-(Surface_Engine!G239*12),1000*12*INDEX(Surface_Engine!$C$12:$C$72,$A350+1)/(1+Assumptions!$B$10)^17+INDEX(Surface_Engine!$D$12:$D$72,$A350+1)))*INDEX(Surface_Engine!$B$12:$B$72,$A350+1)+F351</f>
        <v>16892.2422497976</v>
      </c>
      <c r="G350" s="48" t="n">
        <f aca="false">C350*(IF($A350&lt;$Q$321,INDEX(Surface_Engine!$D$12:$D$72,$A350+1)+(Surface_Engine!G239*12)*INDEX(Surface_Engine!$F$12:$F$72,$A350+1)-(Surface_Engine!G239*12),1000*12*INDEX(Surface_Engine!$C$12:$C$72,$A350+1)/(1+Assumptions!$B$10)^17+INDEX(Surface_Engine!$D$12:$D$72,$A350+1)))*INDEX(Surface_Engine!$B$12:$B$72,$A350+1)+G351</f>
        <v>22496.7811183537</v>
      </c>
      <c r="H350" s="48" t="n">
        <f aca="false">D350*(IF($A350&lt;$Q$321,INDEX(Surface_Engine!$D$12:$D$72,$A350+1)+(Surface_Engine!G239*12)*INDEX(Surface_Engine!$F$12:$F$72,$A350+1)-(Surface_Engine!G239*12),1000*12*INDEX(Surface_Engine!$C$12:$C$72,$A350+1)/(1+Assumptions!$B$10)^17+INDEX(Surface_Engine!$D$12:$D$72,$A350+1)))*INDEX(Surface_Engine!$B$12:$B$72,$A350+1)+H351</f>
        <v>15162.1176866412</v>
      </c>
      <c r="I350" s="48" t="n">
        <f aca="false">E350*(IF($A350&lt;$Q$321,INDEX(Surface_Engine!$D$12:$D$72,$A350+1)+(Surface_Engine!G239*12)*INDEX(Surface_Engine!$F$12:$F$72,$A350+1)-(Surface_Engine!G239*12),1000*12*INDEX(Surface_Engine!$C$12:$C$72,$A350+1)/(1+Assumptions!$B$10)^17+INDEX(Surface_Engine!$D$12:$D$72,$A350+1)))*INDEX(Surface_Engine!$B$12:$B$72,$A350+1)+I351</f>
        <v>18801.7282225583</v>
      </c>
      <c r="J350" s="48" t="n">
        <f aca="false">B350*(IF($A350&lt;$Q$321,INDEX(Surface_Engine!$D$12:$D$72,$A350+1)*(1+Assumptions!$B$24)+(Surface_Engine!G239*12)*INDEX(Surface_Engine!$F$12:$F$72,$A350+1)-(Surface_Engine!G239*12),1000*12*INDEX(Surface_Engine!$C$12:$C$72,$A350+1)/(1+Assumptions!$B$10)^17+INDEX(Surface_Engine!$D$12:$D$72,$A350+1)*(1+Assumptions!$B$24)))*INDEX(Surface_Engine!$B$12:$B$72,$A350+1)+J351</f>
        <v>16910.8748238226</v>
      </c>
      <c r="K350" s="12" t="n">
        <f aca="false">SQRT((IF(C350&lt;=0,0,MAX(0,(B350/C350)*G350/INDEX(Surface_Engine!$B$12:$B$72,$A350+1)-F350/INDEX(Surface_Engine!$B$12:$B$72,$A350+1))))^2+(MAX(IF(D350&lt;=0,0,MAX(0,(B350/D350)*H350/INDEX(Surface_Engine!$B$12:$B$72,$A350+1)-F350/INDEX(Surface_Engine!$B$12:$B$72,$A350+1))),IF(E350&lt;=0,0,MAX(0,(B350/E350)*I350/INDEX(Surface_Engine!$B$12:$B$72,$A350+1)-F350/INDEX(Surface_Engine!$B$12:$B$72,$A350+1))),IF($A350&lt;$Q$321,MAX(0,-Assumptions!$B$22*(F350/INDEX(Surface_Engine!$B$12:$B$72,$A350+1))),0)))^2+(MAX(0,J350/INDEX(Surface_Engine!$B$12:$B$72,$A350+1)-(F350/INDEX(Surface_Engine!$B$12:$B$72,$A350+1))))^2+2*Assumptions!$B$26*(IF(C350&lt;=0,0,MAX(0,(B350/C350)*G350/INDEX(Surface_Engine!$B$12:$B$72,$A350+1)-F350/INDEX(Surface_Engine!$B$12:$B$72,$A350+1))))*(MAX(IF(D350&lt;=0,0,MAX(0,(B350/D350)*H350/INDEX(Surface_Engine!$B$12:$B$72,$A350+1)-F350/INDEX(Surface_Engine!$B$12:$B$72,$A350+1))),IF(E350&lt;=0,0,MAX(0,(B350/E350)*I350/INDEX(Surface_Engine!$B$12:$B$72,$A350+1)-F350/INDEX(Surface_Engine!$B$12:$B$72,$A350+1))),IF($A350&lt;$Q$321,MAX(0,-Assumptions!$B$22*(F350/INDEX(Surface_Engine!$B$12:$B$72,$A350+1))),0)))+2*Assumptions!$B$27*(IF(C350&lt;=0,0,MAX(0,(B350/C350)*G350/INDEX(Surface_Engine!$B$12:$B$72,$A350+1)-F350/INDEX(Surface_Engine!$B$12:$B$72,$A350+1))))*(MAX(0,J350/INDEX(Surface_Engine!$B$12:$B$72,$A350+1)-(F350/INDEX(Surface_Engine!$B$12:$B$72,$A350+1))))+2*Assumptions!$B$28*(MAX(IF(D350&lt;=0,0,MAX(0,(B350/D350)*H350/INDEX(Surface_Engine!$B$12:$B$72,$A350+1)-F350/INDEX(Surface_Engine!$B$12:$B$72,$A350+1))),IF(E350&lt;=0,0,MAX(0,(B350/E350)*I350/INDEX(Surface_Engine!$B$12:$B$72,$A350+1)-F350/INDEX(Surface_Engine!$B$12:$B$72,$A350+1))),IF($A350&lt;$Q$321,MAX(0,-Assumptions!$B$22*(F350/INDEX(Surface_Engine!$B$12:$B$72,$A350+1))),0)))*(MAX(0,J350/INDEX(Surface_Engine!$B$12:$B$72,$A350+1)-(F350/INDEX(Surface_Engine!$B$12:$B$72,$A350+1)))))</f>
        <v>6294.30964465464</v>
      </c>
      <c r="L350" s="48" t="n">
        <f aca="false">K350*INDEX(Surface_Engine!$B$12:$B$72,$A350+1)+L351</f>
        <v>15476.0736485955</v>
      </c>
      <c r="M350" s="48" t="n">
        <f aca="false">M349+B349*(IF($A349&lt;$Q$321,(Surface_Engine!G239*12)-(Surface_Engine!G239*12)*INDEX(Surface_Engine!$F$12:$F$72,$A349+1)-INDEX(Surface_Engine!$D$12:$D$72,$A349+1),-(1000*12*INDEX(Surface_Engine!$C$12:$C$72,$A349+1)/(1+Assumptions!$B$10)^17+INDEX(Surface_Engine!$D$12:$D$72,$A349+1))))*INDEX(Surface_Engine!$B$12:$B$72,$A349+1)</f>
        <v>18931.3430903386</v>
      </c>
      <c r="N350" s="12" t="n">
        <f aca="false">IF(B350&lt;=0,0,MAX(0,(K350+Assumptions!$B$29*L350/INDEX(Surface_Engine!$B$12:$B$72,$A350+1)-(M350/INDEX(Surface_Engine!$B$12:$B$72,$A350+1)-(F350/INDEX(Surface_Engine!$B$12:$B$72,$A350+1))))/B350))</f>
        <v>9053.14827820971</v>
      </c>
    </row>
    <row r="351" customFormat="false" ht="15" hidden="false" customHeight="true" outlineLevel="0" collapsed="false">
      <c r="A351" s="1" t="n">
        <v>28</v>
      </c>
      <c r="B351" s="32" t="n">
        <f aca="false">INDEX(Surface_Engine!$J$12:$J$72,$A351+1)*IF($A351&lt;$Q$321,INDEX(Surface_Engine!$E$12:$E$72,$A351+1),INDEX(Surface_Engine!$E$12:$E$72,$Q$321+1))</f>
        <v>0.371487527953514</v>
      </c>
      <c r="C351" s="32" t="n">
        <f aca="false">INDEX(Panel_Reserving!$C$8:$C$68,$A351+1)*IF($A351&lt;$Q$321,INDEX(Surface_Engine!$E$12:$E$72,$A351+1),INDEX(Surface_Engine!$E$12:$E$72,$Q$321+1))</f>
        <v>0.43535681684838</v>
      </c>
      <c r="D351" s="32" t="n">
        <f aca="false">INDEX(Surface_Engine!$J$12:$J$72,$A351+1)*IF($A351&lt;$Q$321,INDEX(Surface_Engine!$Y$12:$Y$72,$A351+1),INDEX(Surface_Engine!$Y$12:$Y$72,$Q$321+1))</f>
        <v>0.333439311055231</v>
      </c>
      <c r="E351" s="32" t="n">
        <f aca="false">INDEX(Surface_Engine!$J$12:$J$72,$A351+1)*IF($A351&lt;$Q$321,INDEX(Surface_Engine!$Z$12:$Z$72,$A351+1),INDEX(Surface_Engine!$Z$12:$Z$72,$Q$321+1))</f>
        <v>0.413480190217832</v>
      </c>
      <c r="F351" s="48" t="n">
        <f aca="false">B351*(IF($A351&lt;$Q$321,INDEX(Surface_Engine!$D$12:$D$72,$A351+1)+(Surface_Engine!G239*12)*INDEX(Surface_Engine!$F$12:$F$72,$A351+1)-(Surface_Engine!G239*12),1000*12*INDEX(Surface_Engine!$C$12:$C$72,$A351+1)/(1+Assumptions!$B$10)^17+INDEX(Surface_Engine!$D$12:$D$72,$A351+1)))*INDEX(Surface_Engine!$B$12:$B$72,$A351+1)+F352</f>
        <v>14288.5254859015</v>
      </c>
      <c r="G351" s="48" t="n">
        <f aca="false">C351*(IF($A351&lt;$Q$321,INDEX(Surface_Engine!$D$12:$D$72,$A351+1)+(Surface_Engine!G239*12)*INDEX(Surface_Engine!$F$12:$F$72,$A351+1)-(Surface_Engine!G239*12),1000*12*INDEX(Surface_Engine!$C$12:$C$72,$A351+1)/(1+Assumptions!$B$10)^17+INDEX(Surface_Engine!$D$12:$D$72,$A351+1)))*INDEX(Surface_Engine!$B$12:$B$72,$A351+1)+G352</f>
        <v>19507.0403123887</v>
      </c>
      <c r="H351" s="48" t="n">
        <f aca="false">D351*(IF($A351&lt;$Q$321,INDEX(Surface_Engine!$D$12:$D$72,$A351+1)+(Surface_Engine!G239*12)*INDEX(Surface_Engine!$F$12:$F$72,$A351+1)-(Surface_Engine!G239*12),1000*12*INDEX(Surface_Engine!$C$12:$C$72,$A351+1)/(1+Assumptions!$B$10)^17+INDEX(Surface_Engine!$D$12:$D$72,$A351+1)))*INDEX(Surface_Engine!$B$12:$B$72,$A351+1)+H352</f>
        <v>12825.0768478297</v>
      </c>
      <c r="I351" s="48" t="n">
        <f aca="false">E351*(IF($A351&lt;$Q$321,INDEX(Surface_Engine!$D$12:$D$72,$A351+1)+(Surface_Engine!G239*12)*INDEX(Surface_Engine!$F$12:$F$72,$A351+1)-(Surface_Engine!G239*12),1000*12*INDEX(Surface_Engine!$C$12:$C$72,$A351+1)/(1+Assumptions!$B$10)^17+INDEX(Surface_Engine!$D$12:$D$72,$A351+1)))*INDEX(Surface_Engine!$B$12:$B$72,$A351+1)+I352</f>
        <v>15903.6893335008</v>
      </c>
      <c r="J351" s="48" t="n">
        <f aca="false">B351*(IF($A351&lt;$Q$321,INDEX(Surface_Engine!$D$12:$D$72,$A351+1)*(1+Assumptions!$B$24)+(Surface_Engine!G239*12)*INDEX(Surface_Engine!$F$12:$F$72,$A351+1)-(Surface_Engine!G239*12),1000*12*INDEX(Surface_Engine!$C$12:$C$72,$A351+1)/(1+Assumptions!$B$10)^17+INDEX(Surface_Engine!$D$12:$D$72,$A351+1)*(1+Assumptions!$B$24)))*INDEX(Surface_Engine!$B$12:$B$72,$A351+1)+J352</f>
        <v>14304.3458177537</v>
      </c>
      <c r="K351" s="12" t="n">
        <f aca="false">SQRT((IF(C351&lt;=0,0,MAX(0,(B351/C351)*G351/INDEX(Surface_Engine!$B$12:$B$72,$A351+1)-F351/INDEX(Surface_Engine!$B$12:$B$72,$A351+1))))^2+(MAX(IF(D351&lt;=0,0,MAX(0,(B351/D351)*H351/INDEX(Surface_Engine!$B$12:$B$72,$A351+1)-F351/INDEX(Surface_Engine!$B$12:$B$72,$A351+1))),IF(E351&lt;=0,0,MAX(0,(B351/E351)*I351/INDEX(Surface_Engine!$B$12:$B$72,$A351+1)-F351/INDEX(Surface_Engine!$B$12:$B$72,$A351+1))),IF($A351&lt;$Q$321,MAX(0,-Assumptions!$B$22*(F351/INDEX(Surface_Engine!$B$12:$B$72,$A351+1))),0)))^2+(MAX(0,J351/INDEX(Surface_Engine!$B$12:$B$72,$A351+1)-(F351/INDEX(Surface_Engine!$B$12:$B$72,$A351+1))))^2+2*Assumptions!$B$26*(IF(C351&lt;=0,0,MAX(0,(B351/C351)*G351/INDEX(Surface_Engine!$B$12:$B$72,$A351+1)-F351/INDEX(Surface_Engine!$B$12:$B$72,$A351+1))))*(MAX(IF(D351&lt;=0,0,MAX(0,(B351/D351)*H351/INDEX(Surface_Engine!$B$12:$B$72,$A351+1)-F351/INDEX(Surface_Engine!$B$12:$B$72,$A351+1))),IF(E351&lt;=0,0,MAX(0,(B351/E351)*I351/INDEX(Surface_Engine!$B$12:$B$72,$A351+1)-F351/INDEX(Surface_Engine!$B$12:$B$72,$A351+1))),IF($A351&lt;$Q$321,MAX(0,-Assumptions!$B$22*(F351/INDEX(Surface_Engine!$B$12:$B$72,$A351+1))),0)))+2*Assumptions!$B$27*(IF(C351&lt;=0,0,MAX(0,(B351/C351)*G351/INDEX(Surface_Engine!$B$12:$B$72,$A351+1)-F351/INDEX(Surface_Engine!$B$12:$B$72,$A351+1))))*(MAX(0,J351/INDEX(Surface_Engine!$B$12:$B$72,$A351+1)-(F351/INDEX(Surface_Engine!$B$12:$B$72,$A351+1))))+2*Assumptions!$B$28*(MAX(IF(D351&lt;=0,0,MAX(0,(B351/D351)*H351/INDEX(Surface_Engine!$B$12:$B$72,$A351+1)-F351/INDEX(Surface_Engine!$B$12:$B$72,$A351+1))),IF(E351&lt;=0,0,MAX(0,(B351/E351)*I351/INDEX(Surface_Engine!$B$12:$B$72,$A351+1)-F351/INDEX(Surface_Engine!$B$12:$B$72,$A351+1))),IF($A351&lt;$Q$321,MAX(0,-Assumptions!$B$22*(F351/INDEX(Surface_Engine!$B$12:$B$72,$A351+1))),0)))*(MAX(0,J351/INDEX(Surface_Engine!$B$12:$B$72,$A351+1)-(F351/INDEX(Surface_Engine!$B$12:$B$72,$A351+1)))))</f>
        <v>5671.79440210381</v>
      </c>
      <c r="L351" s="48" t="n">
        <f aca="false">K351*INDEX(Surface_Engine!$B$12:$B$72,$A351+1)+L352</f>
        <v>12771.5158829768</v>
      </c>
      <c r="M351" s="48" t="n">
        <f aca="false">M350+B350*(IF($A350&lt;$Q$321,(Surface_Engine!G239*12)-(Surface_Engine!G239*12)*INDEX(Surface_Engine!$F$12:$F$72,$A350+1)-INDEX(Surface_Engine!$D$12:$D$72,$A350+1),-(1000*12*INDEX(Surface_Engine!$C$12:$C$72,$A350+1)/(1+Assumptions!$B$10)^17+INDEX(Surface_Engine!$D$12:$D$72,$A350+1))))*INDEX(Surface_Engine!$B$12:$B$72,$A350+1)</f>
        <v>16327.6263264424</v>
      </c>
      <c r="N351" s="12" t="n">
        <f aca="false">IF(B351&lt;=0,0,MAX(0,(K351+Assumptions!$B$29*L351/INDEX(Surface_Engine!$B$12:$B$72,$A351+1)-(M351/INDEX(Surface_Engine!$B$12:$B$72,$A351+1)-(F351/INDEX(Surface_Engine!$B$12:$B$72,$A351+1))))/B351))</f>
        <v>7036.00833761087</v>
      </c>
    </row>
    <row r="352" customFormat="false" ht="15" hidden="false" customHeight="true" outlineLevel="0" collapsed="false">
      <c r="A352" s="1" t="n">
        <v>29</v>
      </c>
      <c r="B352" s="32" t="n">
        <f aca="false">INDEX(Surface_Engine!$J$12:$J$72,$A352+1)*IF($A352&lt;$Q$321,INDEX(Surface_Engine!$E$12:$E$72,$A352+1),INDEX(Surface_Engine!$E$12:$E$72,$Q$321+1))</f>
        <v>0.332319419730581</v>
      </c>
      <c r="C352" s="32" t="n">
        <f aca="false">INDEX(Panel_Reserving!$C$8:$C$68,$A352+1)*IF($A352&lt;$Q$321,INDEX(Surface_Engine!$E$12:$E$72,$A352+1),INDEX(Surface_Engine!$E$12:$E$72,$Q$321+1))</f>
        <v>0.398635039378548</v>
      </c>
      <c r="D352" s="32" t="n">
        <f aca="false">INDEX(Surface_Engine!$J$12:$J$72,$A352+1)*IF($A352&lt;$Q$321,INDEX(Surface_Engine!$Y$12:$Y$72,$A352+1),INDEX(Surface_Engine!$Y$12:$Y$72,$Q$321+1))</f>
        <v>0.298282849428811</v>
      </c>
      <c r="E352" s="32" t="n">
        <f aca="false">INDEX(Surface_Engine!$J$12:$J$72,$A352+1)*IF($A352&lt;$Q$321,INDEX(Surface_Engine!$Z$12:$Z$72,$A352+1),INDEX(Surface_Engine!$Z$12:$Z$72,$Q$321+1))</f>
        <v>0.369884549395894</v>
      </c>
      <c r="F352" s="48" t="n">
        <f aca="false">B352*(IF($A352&lt;$Q$321,INDEX(Surface_Engine!$D$12:$D$72,$A352+1)+(Surface_Engine!G239*12)*INDEX(Surface_Engine!$F$12:$F$72,$A352+1)-(Surface_Engine!G239*12),1000*12*INDEX(Surface_Engine!$C$12:$C$72,$A352+1)/(1+Assumptions!$B$10)^17+INDEX(Surface_Engine!$D$12:$D$72,$A352+1)))*INDEX(Surface_Engine!$B$12:$B$72,$A352+1)+F353</f>
        <v>11956.1848217173</v>
      </c>
      <c r="G352" s="48" t="n">
        <f aca="false">C352*(IF($A352&lt;$Q$321,INDEX(Surface_Engine!$D$12:$D$72,$A352+1)+(Surface_Engine!G239*12)*INDEX(Surface_Engine!$F$12:$F$72,$A352+1)-(Surface_Engine!G239*12),1000*12*INDEX(Surface_Engine!$C$12:$C$72,$A352+1)/(1+Assumptions!$B$10)^17+INDEX(Surface_Engine!$D$12:$D$72,$A352+1)))*INDEX(Surface_Engine!$B$12:$B$72,$A352+1)+G353</f>
        <v>16773.7038449196</v>
      </c>
      <c r="H352" s="48" t="n">
        <f aca="false">D352*(IF($A352&lt;$Q$321,INDEX(Surface_Engine!$D$12:$D$72,$A352+1)+(Surface_Engine!G239*12)*INDEX(Surface_Engine!$F$12:$F$72,$A352+1)-(Surface_Engine!G239*12),1000*12*INDEX(Surface_Engine!$C$12:$C$72,$A352+1)/(1+Assumptions!$B$10)^17+INDEX(Surface_Engine!$D$12:$D$72,$A352+1)))*INDEX(Surface_Engine!$B$12:$B$72,$A352+1)+H353</f>
        <v>10731.6174294317</v>
      </c>
      <c r="I352" s="48" t="n">
        <f aca="false">E352*(IF($A352&lt;$Q$321,INDEX(Surface_Engine!$D$12:$D$72,$A352+1)+(Surface_Engine!G239*12)*INDEX(Surface_Engine!$F$12:$F$72,$A352+1)-(Surface_Engine!G239*12),1000*12*INDEX(Surface_Engine!$C$12:$C$72,$A352+1)/(1+Assumptions!$B$10)^17+INDEX(Surface_Engine!$D$12:$D$72,$A352+1)))*INDEX(Surface_Engine!$B$12:$B$72,$A352+1)+I353</f>
        <v>13307.7026881555</v>
      </c>
      <c r="J352" s="48" t="n">
        <f aca="false">B352*(IF($A352&lt;$Q$321,INDEX(Surface_Engine!$D$12:$D$72,$A352+1)*(1+Assumptions!$B$24)+(Surface_Engine!G239*12)*INDEX(Surface_Engine!$F$12:$F$72,$A352+1)-(Surface_Engine!G239*12),1000*12*INDEX(Surface_Engine!$C$12:$C$72,$A352+1)/(1+Assumptions!$B$10)^17+INDEX(Surface_Engine!$D$12:$D$72,$A352+1)*(1+Assumptions!$B$24)))*INDEX(Surface_Engine!$B$12:$B$72,$A352+1)+J353</f>
        <v>11969.4738066911</v>
      </c>
      <c r="K352" s="12" t="n">
        <f aca="false">SQRT((IF(C352&lt;=0,0,MAX(0,(B352/C352)*G352/INDEX(Surface_Engine!$B$12:$B$72,$A352+1)-F352/INDEX(Surface_Engine!$B$12:$B$72,$A352+1))))^2+(MAX(IF(D352&lt;=0,0,MAX(0,(B352/D352)*H352/INDEX(Surface_Engine!$B$12:$B$72,$A352+1)-F352/INDEX(Surface_Engine!$B$12:$B$72,$A352+1))),IF(E352&lt;=0,0,MAX(0,(B352/E352)*I352/INDEX(Surface_Engine!$B$12:$B$72,$A352+1)-F352/INDEX(Surface_Engine!$B$12:$B$72,$A352+1))),IF($A352&lt;$Q$321,MAX(0,-Assumptions!$B$22*(F352/INDEX(Surface_Engine!$B$12:$B$72,$A352+1))),0)))^2+(MAX(0,J352/INDEX(Surface_Engine!$B$12:$B$72,$A352+1)-(F352/INDEX(Surface_Engine!$B$12:$B$72,$A352+1))))^2+2*Assumptions!$B$26*(IF(C352&lt;=0,0,MAX(0,(B352/C352)*G352/INDEX(Surface_Engine!$B$12:$B$72,$A352+1)-F352/INDEX(Surface_Engine!$B$12:$B$72,$A352+1))))*(MAX(IF(D352&lt;=0,0,MAX(0,(B352/D352)*H352/INDEX(Surface_Engine!$B$12:$B$72,$A352+1)-F352/INDEX(Surface_Engine!$B$12:$B$72,$A352+1))),IF(E352&lt;=0,0,MAX(0,(B352/E352)*I352/INDEX(Surface_Engine!$B$12:$B$72,$A352+1)-F352/INDEX(Surface_Engine!$B$12:$B$72,$A352+1))),IF($A352&lt;$Q$321,MAX(0,-Assumptions!$B$22*(F352/INDEX(Surface_Engine!$B$12:$B$72,$A352+1))),0)))+2*Assumptions!$B$27*(IF(C352&lt;=0,0,MAX(0,(B352/C352)*G352/INDEX(Surface_Engine!$B$12:$B$72,$A352+1)-F352/INDEX(Surface_Engine!$B$12:$B$72,$A352+1))))*(MAX(0,J352/INDEX(Surface_Engine!$B$12:$B$72,$A352+1)-(F352/INDEX(Surface_Engine!$B$12:$B$72,$A352+1))))+2*Assumptions!$B$28*(MAX(IF(D352&lt;=0,0,MAX(0,(B352/D352)*H352/INDEX(Surface_Engine!$B$12:$B$72,$A352+1)-F352/INDEX(Surface_Engine!$B$12:$B$72,$A352+1))),IF(E352&lt;=0,0,MAX(0,(B352/E352)*I352/INDEX(Surface_Engine!$B$12:$B$72,$A352+1)-F352/INDEX(Surface_Engine!$B$12:$B$72,$A352+1))),IF($A352&lt;$Q$321,MAX(0,-Assumptions!$B$22*(F352/INDEX(Surface_Engine!$B$12:$B$72,$A352+1))),0)))*(MAX(0,J352/INDEX(Surface_Engine!$B$12:$B$72,$A352+1)-(F352/INDEX(Surface_Engine!$B$12:$B$72,$A352+1)))))</f>
        <v>5036.27592581771</v>
      </c>
      <c r="L352" s="48" t="n">
        <f aca="false">K352*INDEX(Surface_Engine!$B$12:$B$72,$A352+1)+L353</f>
        <v>10410.7885924558</v>
      </c>
      <c r="M352" s="48" t="n">
        <f aca="false">M351+B351*(IF($A351&lt;$Q$321,(Surface_Engine!G239*12)-(Surface_Engine!G239*12)*INDEX(Surface_Engine!$F$12:$F$72,$A351+1)-INDEX(Surface_Engine!$D$12:$D$72,$A351+1),-(1000*12*INDEX(Surface_Engine!$C$12:$C$72,$A351+1)/(1+Assumptions!$B$10)^17+INDEX(Surface_Engine!$D$12:$D$72,$A351+1))))*INDEX(Surface_Engine!$B$12:$B$72,$A351+1)</f>
        <v>13995.2856622582</v>
      </c>
      <c r="N352" s="12" t="n">
        <f aca="false">IF(B352&lt;=0,0,MAX(0,(K352+Assumptions!$B$29*L352/INDEX(Surface_Engine!$B$12:$B$72,$A352+1)-(M352/INDEX(Surface_Engine!$B$12:$B$72,$A352+1)-(F352/INDEX(Surface_Engine!$B$12:$B$72,$A352+1))))/B352))</f>
        <v>4597.7611055945</v>
      </c>
    </row>
    <row r="353" customFormat="false" ht="15" hidden="false" customHeight="true" outlineLevel="0" collapsed="false">
      <c r="A353" s="1" t="n">
        <v>30</v>
      </c>
      <c r="B353" s="32" t="n">
        <f aca="false">INDEX(Surface_Engine!$J$12:$J$72,$A353+1)*IF($A353&lt;$Q$321,INDEX(Surface_Engine!$E$12:$E$72,$A353+1),INDEX(Surface_Engine!$E$12:$E$72,$Q$321+1))</f>
        <v>0.293214220169881</v>
      </c>
      <c r="C353" s="32" t="n">
        <f aca="false">INDEX(Panel_Reserving!$C$8:$C$68,$A353+1)*IF($A353&lt;$Q$321,INDEX(Surface_Engine!$E$12:$E$72,$A353+1),INDEX(Surface_Engine!$E$12:$E$72,$Q$321+1))</f>
        <v>0.361108005227071</v>
      </c>
      <c r="D353" s="32" t="n">
        <f aca="false">INDEX(Surface_Engine!$J$12:$J$72,$A353+1)*IF($A353&lt;$Q$321,INDEX(Surface_Engine!$Y$12:$Y$72,$A353+1),INDEX(Surface_Engine!$Y$12:$Y$72,$Q$321+1))</f>
        <v>0.263182853280814</v>
      </c>
      <c r="E353" s="32" t="n">
        <f aca="false">INDEX(Surface_Engine!$J$12:$J$72,$A353+1)*IF($A353&lt;$Q$321,INDEX(Surface_Engine!$Z$12:$Z$72,$A353+1),INDEX(Surface_Engine!$Z$12:$Z$72,$Q$321+1))</f>
        <v>0.326358928382616</v>
      </c>
      <c r="F353" s="48" t="n">
        <f aca="false">B353*(IF($A353&lt;$Q$321,INDEX(Surface_Engine!$D$12:$D$72,$A353+1)+(Surface_Engine!G239*12)*INDEX(Surface_Engine!$F$12:$F$72,$A353+1)-(Surface_Engine!G239*12),1000*12*INDEX(Surface_Engine!$C$12:$C$72,$A353+1)/(1+Assumptions!$B$10)^17+INDEX(Surface_Engine!$D$12:$D$72,$A353+1)))*INDEX(Surface_Engine!$B$12:$B$72,$A353+1)+F354</f>
        <v>9894.66699201509</v>
      </c>
      <c r="G353" s="48" t="n">
        <f aca="false">C353*(IF($A353&lt;$Q$321,INDEX(Surface_Engine!$D$12:$D$72,$A353+1)+(Surface_Engine!G239*12)*INDEX(Surface_Engine!$F$12:$F$72,$A353+1)-(Surface_Engine!G239*12),1000*12*INDEX(Surface_Engine!$C$12:$C$72,$A353+1)/(1+Assumptions!$B$10)^17+INDEX(Surface_Engine!$D$12:$D$72,$A353+1)))*INDEX(Surface_Engine!$B$12:$B$72,$A353+1)+G354</f>
        <v>14300.8021953887</v>
      </c>
      <c r="H353" s="48" t="n">
        <f aca="false">D353*(IF($A353&lt;$Q$321,INDEX(Surface_Engine!$D$12:$D$72,$A353+1)+(Surface_Engine!G239*12)*INDEX(Surface_Engine!$F$12:$F$72,$A353+1)-(Surface_Engine!G239*12),1000*12*INDEX(Surface_Engine!$C$12:$C$72,$A353+1)/(1+Assumptions!$B$10)^17+INDEX(Surface_Engine!$D$12:$D$72,$A353+1)))*INDEX(Surface_Engine!$B$12:$B$72,$A353+1)+H354</f>
        <v>8881.24283233352</v>
      </c>
      <c r="I353" s="48" t="n">
        <f aca="false">E353*(IF($A353&lt;$Q$321,INDEX(Surface_Engine!$D$12:$D$72,$A353+1)+(Surface_Engine!G239*12)*INDEX(Surface_Engine!$F$12:$F$72,$A353+1)-(Surface_Engine!G239*12),1000*12*INDEX(Surface_Engine!$C$12:$C$72,$A353+1)/(1+Assumptions!$B$10)^17+INDEX(Surface_Engine!$D$12:$D$72,$A353+1)))*INDEX(Surface_Engine!$B$12:$B$72,$A353+1)+I354</f>
        <v>11013.1524806196</v>
      </c>
      <c r="J353" s="48" t="n">
        <f aca="false">B353*(IF($A353&lt;$Q$321,INDEX(Surface_Engine!$D$12:$D$72,$A353+1)*(1+Assumptions!$B$24)+(Surface_Engine!G239*12)*INDEX(Surface_Engine!$F$12:$F$72,$A353+1)-(Surface_Engine!G239*12),1000*12*INDEX(Surface_Engine!$C$12:$C$72,$A353+1)/(1+Assumptions!$B$10)^17+INDEX(Surface_Engine!$D$12:$D$72,$A353+1)*(1+Assumptions!$B$24)))*INDEX(Surface_Engine!$B$12:$B$72,$A353+1)+J354</f>
        <v>9905.70771270214</v>
      </c>
      <c r="K353" s="12" t="n">
        <f aca="false">SQRT((IF(C353&lt;=0,0,MAX(0,(B353/C353)*G353/INDEX(Surface_Engine!$B$12:$B$72,$A353+1)-F353/INDEX(Surface_Engine!$B$12:$B$72,$A353+1))))^2+(MAX(IF(D353&lt;=0,0,MAX(0,(B353/D353)*H353/INDEX(Surface_Engine!$B$12:$B$72,$A353+1)-F353/INDEX(Surface_Engine!$B$12:$B$72,$A353+1))),IF(E353&lt;=0,0,MAX(0,(B353/E353)*I353/INDEX(Surface_Engine!$B$12:$B$72,$A353+1)-F353/INDEX(Surface_Engine!$B$12:$B$72,$A353+1))),IF($A353&lt;$Q$321,MAX(0,-Assumptions!$B$22*(F353/INDEX(Surface_Engine!$B$12:$B$72,$A353+1))),0)))^2+(MAX(0,J353/INDEX(Surface_Engine!$B$12:$B$72,$A353+1)-(F353/INDEX(Surface_Engine!$B$12:$B$72,$A353+1))))^2+2*Assumptions!$B$26*(IF(C353&lt;=0,0,MAX(0,(B353/C353)*G353/INDEX(Surface_Engine!$B$12:$B$72,$A353+1)-F353/INDEX(Surface_Engine!$B$12:$B$72,$A353+1))))*(MAX(IF(D353&lt;=0,0,MAX(0,(B353/D353)*H353/INDEX(Surface_Engine!$B$12:$B$72,$A353+1)-F353/INDEX(Surface_Engine!$B$12:$B$72,$A353+1))),IF(E353&lt;=0,0,MAX(0,(B353/E353)*I353/INDEX(Surface_Engine!$B$12:$B$72,$A353+1)-F353/INDEX(Surface_Engine!$B$12:$B$72,$A353+1))),IF($A353&lt;$Q$321,MAX(0,-Assumptions!$B$22*(F353/INDEX(Surface_Engine!$B$12:$B$72,$A353+1))),0)))+2*Assumptions!$B$27*(IF(C353&lt;=0,0,MAX(0,(B353/C353)*G353/INDEX(Surface_Engine!$B$12:$B$72,$A353+1)-F353/INDEX(Surface_Engine!$B$12:$B$72,$A353+1))))*(MAX(0,J353/INDEX(Surface_Engine!$B$12:$B$72,$A353+1)-(F353/INDEX(Surface_Engine!$B$12:$B$72,$A353+1))))+2*Assumptions!$B$28*(MAX(IF(D353&lt;=0,0,MAX(0,(B353/D353)*H353/INDEX(Surface_Engine!$B$12:$B$72,$A353+1)-F353/INDEX(Surface_Engine!$B$12:$B$72,$A353+1))),IF(E353&lt;=0,0,MAX(0,(B353/E353)*I353/INDEX(Surface_Engine!$B$12:$B$72,$A353+1)-F353/INDEX(Surface_Engine!$B$12:$B$72,$A353+1))),IF($A353&lt;$Q$321,MAX(0,-Assumptions!$B$22*(F353/INDEX(Surface_Engine!$B$12:$B$72,$A353+1))),0)))*(MAX(0,J353/INDEX(Surface_Engine!$B$12:$B$72,$A353+1)-(F353/INDEX(Surface_Engine!$B$12:$B$72,$A353+1)))))</f>
        <v>4404.93825426058</v>
      </c>
      <c r="L353" s="48" t="n">
        <f aca="false">K353*INDEX(Surface_Engine!$B$12:$B$72,$A353+1)+L354</f>
        <v>8380.32499251951</v>
      </c>
      <c r="M353" s="48" t="n">
        <f aca="false">M352+B352*(IF($A352&lt;$Q$321,(Surface_Engine!G239*12)-(Surface_Engine!G239*12)*INDEX(Surface_Engine!$F$12:$F$72,$A352+1)-INDEX(Surface_Engine!$D$12:$D$72,$A352+1),-(1000*12*INDEX(Surface_Engine!$C$12:$C$72,$A352+1)/(1+Assumptions!$B$10)^17+INDEX(Surface_Engine!$D$12:$D$72,$A352+1))))*INDEX(Surface_Engine!$B$12:$B$72,$A352+1)</f>
        <v>11933.767832556</v>
      </c>
      <c r="N353" s="12" t="n">
        <f aca="false">IF(B353&lt;=0,0,MAX(0,(K353+Assumptions!$B$29*L353/INDEX(Surface_Engine!$B$12:$B$72,$A353+1)-(M353/INDEX(Surface_Engine!$B$12:$B$72,$A353+1)-(F353/INDEX(Surface_Engine!$B$12:$B$72,$A353+1))))/B353))</f>
        <v>1605.90145136108</v>
      </c>
    </row>
    <row r="354" customFormat="false" ht="15" hidden="false" customHeight="true" outlineLevel="0" collapsed="false">
      <c r="A354" s="1" t="n">
        <v>31</v>
      </c>
      <c r="B354" s="32" t="n">
        <f aca="false">INDEX(Surface_Engine!$J$12:$J$72,$A354+1)*IF($A354&lt;$Q$321,INDEX(Surface_Engine!$E$12:$E$72,$A354+1),INDEX(Surface_Engine!$E$12:$E$72,$Q$321+1))</f>
        <v>0.255303856445106</v>
      </c>
      <c r="C354" s="32" t="n">
        <f aca="false">INDEX(Panel_Reserving!$C$8:$C$68,$A354+1)*IF($A354&lt;$Q$321,INDEX(Surface_Engine!$E$12:$E$72,$A354+1),INDEX(Surface_Engine!$E$12:$E$72,$Q$321+1))</f>
        <v>0.323757195122009</v>
      </c>
      <c r="D354" s="32" t="n">
        <f aca="false">INDEX(Surface_Engine!$J$12:$J$72,$A354+1)*IF($A354&lt;$Q$321,INDEX(Surface_Engine!$Y$12:$Y$72,$A354+1),INDEX(Surface_Engine!$Y$12:$Y$72,$Q$321+1))</f>
        <v>0.229155316389121</v>
      </c>
      <c r="E354" s="32" t="n">
        <f aca="false">INDEX(Surface_Engine!$J$12:$J$72,$A354+1)*IF($A354&lt;$Q$321,INDEX(Surface_Engine!$Z$12:$Z$72,$A354+1),INDEX(Surface_Engine!$Z$12:$Z$72,$Q$321+1))</f>
        <v>0.28416320652218</v>
      </c>
      <c r="F354" s="48" t="n">
        <f aca="false">B354*(IF($A354&lt;$Q$321,INDEX(Surface_Engine!$D$12:$D$72,$A354+1)+(Surface_Engine!G239*12)*INDEX(Surface_Engine!$F$12:$F$72,$A354+1)-(Surface_Engine!G239*12),1000*12*INDEX(Surface_Engine!$C$12:$C$72,$A354+1)/(1+Assumptions!$B$10)^17+INDEX(Surface_Engine!$D$12:$D$72,$A354+1)))*INDEX(Surface_Engine!$B$12:$B$72,$A354+1)+F355</f>
        <v>8097.52119445513</v>
      </c>
      <c r="G354" s="48" t="n">
        <f aca="false">C354*(IF($A354&lt;$Q$321,INDEX(Surface_Engine!$D$12:$D$72,$A354+1)+(Surface_Engine!G239*12)*INDEX(Surface_Engine!$F$12:$F$72,$A354+1)-(Surface_Engine!G239*12),1000*12*INDEX(Surface_Engine!$C$12:$C$72,$A354+1)/(1+Assumptions!$B$10)^17+INDEX(Surface_Engine!$D$12:$D$72,$A354+1)))*INDEX(Surface_Engine!$B$12:$B$72,$A354+1)+G355</f>
        <v>12087.527089962</v>
      </c>
      <c r="H354" s="48" t="n">
        <f aca="false">D354*(IF($A354&lt;$Q$321,INDEX(Surface_Engine!$D$12:$D$72,$A354+1)+(Surface_Engine!G239*12)*INDEX(Surface_Engine!$F$12:$F$72,$A354+1)-(Surface_Engine!G239*12),1000*12*INDEX(Surface_Engine!$C$12:$C$72,$A354+1)/(1+Assumptions!$B$10)^17+INDEX(Surface_Engine!$D$12:$D$72,$A354+1)))*INDEX(Surface_Engine!$B$12:$B$72,$A354+1)+H355</f>
        <v>7268.1629534333</v>
      </c>
      <c r="I354" s="48" t="n">
        <f aca="false">E354*(IF($A354&lt;$Q$321,INDEX(Surface_Engine!$D$12:$D$72,$A354+1)+(Surface_Engine!G239*12)*INDEX(Surface_Engine!$F$12:$F$72,$A354+1)-(Surface_Engine!G239*12),1000*12*INDEX(Surface_Engine!$C$12:$C$72,$A354+1)/(1+Assumptions!$B$10)^17+INDEX(Surface_Engine!$D$12:$D$72,$A354+1)))*INDEX(Surface_Engine!$B$12:$B$72,$A354+1)+I355</f>
        <v>9012.85871485625</v>
      </c>
      <c r="J354" s="48" t="n">
        <f aca="false">B354*(IF($A354&lt;$Q$321,INDEX(Surface_Engine!$D$12:$D$72,$A354+1)*(1+Assumptions!$B$24)+(Surface_Engine!G239*12)*INDEX(Surface_Engine!$F$12:$F$72,$A354+1)-(Surface_Engine!G239*12),1000*12*INDEX(Surface_Engine!$C$12:$C$72,$A354+1)/(1+Assumptions!$B$10)^17+INDEX(Surface_Engine!$D$12:$D$72,$A354+1)*(1+Assumptions!$B$24)))*INDEX(Surface_Engine!$B$12:$B$72,$A354+1)+J355</f>
        <v>8106.59246924379</v>
      </c>
      <c r="K354" s="12" t="n">
        <f aca="false">SQRT((IF(C354&lt;=0,0,MAX(0,(B354/C354)*G354/INDEX(Surface_Engine!$B$12:$B$72,$A354+1)-F354/INDEX(Surface_Engine!$B$12:$B$72,$A354+1))))^2+(MAX(IF(D354&lt;=0,0,MAX(0,(B354/D354)*H354/INDEX(Surface_Engine!$B$12:$B$72,$A354+1)-F354/INDEX(Surface_Engine!$B$12:$B$72,$A354+1))),IF(E354&lt;=0,0,MAX(0,(B354/E354)*I354/INDEX(Surface_Engine!$B$12:$B$72,$A354+1)-F354/INDEX(Surface_Engine!$B$12:$B$72,$A354+1))),IF($A354&lt;$Q$321,MAX(0,-Assumptions!$B$22*(F354/INDEX(Surface_Engine!$B$12:$B$72,$A354+1))),0)))^2+(MAX(0,J354/INDEX(Surface_Engine!$B$12:$B$72,$A354+1)-(F354/INDEX(Surface_Engine!$B$12:$B$72,$A354+1))))^2+2*Assumptions!$B$26*(IF(C354&lt;=0,0,MAX(0,(B354/C354)*G354/INDEX(Surface_Engine!$B$12:$B$72,$A354+1)-F354/INDEX(Surface_Engine!$B$12:$B$72,$A354+1))))*(MAX(IF(D354&lt;=0,0,MAX(0,(B354/D354)*H354/INDEX(Surface_Engine!$B$12:$B$72,$A354+1)-F354/INDEX(Surface_Engine!$B$12:$B$72,$A354+1))),IF(E354&lt;=0,0,MAX(0,(B354/E354)*I354/INDEX(Surface_Engine!$B$12:$B$72,$A354+1)-F354/INDEX(Surface_Engine!$B$12:$B$72,$A354+1))),IF($A354&lt;$Q$321,MAX(0,-Assumptions!$B$22*(F354/INDEX(Surface_Engine!$B$12:$B$72,$A354+1))),0)))+2*Assumptions!$B$27*(IF(C354&lt;=0,0,MAX(0,(B354/C354)*G354/INDEX(Surface_Engine!$B$12:$B$72,$A354+1)-F354/INDEX(Surface_Engine!$B$12:$B$72,$A354+1))))*(MAX(0,J354/INDEX(Surface_Engine!$B$12:$B$72,$A354+1)-(F354/INDEX(Surface_Engine!$B$12:$B$72,$A354+1))))+2*Assumptions!$B$28*(MAX(IF(D354&lt;=0,0,MAX(0,(B354/D354)*H354/INDEX(Surface_Engine!$B$12:$B$72,$A354+1)-F354/INDEX(Surface_Engine!$B$12:$B$72,$A354+1))),IF(E354&lt;=0,0,MAX(0,(B354/E354)*I354/INDEX(Surface_Engine!$B$12:$B$72,$A354+1)-F354/INDEX(Surface_Engine!$B$12:$B$72,$A354+1))),IF($A354&lt;$Q$321,MAX(0,-Assumptions!$B$22*(F354/INDEX(Surface_Engine!$B$12:$B$72,$A354+1))),0)))*(MAX(0,J354/INDEX(Surface_Engine!$B$12:$B$72,$A354+1)-(F354/INDEX(Surface_Engine!$B$12:$B$72,$A354+1)))))</f>
        <v>3797.03575699448</v>
      </c>
      <c r="L354" s="48" t="n">
        <f aca="false">K354*INDEX(Surface_Engine!$B$12:$B$72,$A354+1)+L355</f>
        <v>6660.16422886593</v>
      </c>
      <c r="M354" s="48" t="n">
        <f aca="false">M353+B353*(IF($A353&lt;$Q$321,(Surface_Engine!G239*12)-(Surface_Engine!G239*12)*INDEX(Surface_Engine!$F$12:$F$72,$A353+1)-INDEX(Surface_Engine!$D$12:$D$72,$A353+1),-(1000*12*INDEX(Surface_Engine!$C$12:$C$72,$A353+1)/(1+Assumptions!$B$10)^17+INDEX(Surface_Engine!$D$12:$D$72,$A353+1))))*INDEX(Surface_Engine!$B$12:$B$72,$A353+1)</f>
        <v>10136.6220349961</v>
      </c>
      <c r="N354" s="12" t="n">
        <f aca="false">IF(B354&lt;=0,0,MAX(0,(K354+Assumptions!$B$29*L354/INDEX(Surface_Engine!$B$12:$B$72,$A354+1)-(M354/INDEX(Surface_Engine!$B$12:$B$72,$A354+1)-(F354/INDEX(Surface_Engine!$B$12:$B$72,$A354+1))))/B354))</f>
        <v>0</v>
      </c>
    </row>
    <row r="355" customFormat="false" ht="15" hidden="false" customHeight="true" outlineLevel="0" collapsed="false">
      <c r="A355" s="1" t="n">
        <v>32</v>
      </c>
      <c r="B355" s="32" t="n">
        <f aca="false">INDEX(Surface_Engine!$J$12:$J$72,$A355+1)*IF($A355&lt;$Q$321,INDEX(Surface_Engine!$E$12:$E$72,$A355+1),INDEX(Surface_Engine!$E$12:$E$72,$Q$321+1))</f>
        <v>0.219508425761761</v>
      </c>
      <c r="C355" s="32" t="n">
        <f aca="false">INDEX(Panel_Reserving!$C$8:$C$68,$A355+1)*IF($A355&lt;$Q$321,INDEX(Surface_Engine!$E$12:$E$72,$A355+1),INDEX(Surface_Engine!$E$12:$E$72,$Q$321+1))</f>
        <v>0.287442731572287</v>
      </c>
      <c r="D355" s="32" t="n">
        <f aca="false">INDEX(Surface_Engine!$J$12:$J$72,$A355+1)*IF($A355&lt;$Q$321,INDEX(Surface_Engine!$Y$12:$Y$72,$A355+1),INDEX(Surface_Engine!$Y$12:$Y$72,$Q$321+1))</f>
        <v>0.197026098453509</v>
      </c>
      <c r="E355" s="32" t="n">
        <f aca="false">INDEX(Surface_Engine!$J$12:$J$72,$A355+1)*IF($A355&lt;$Q$321,INDEX(Surface_Engine!$Z$12:$Z$72,$A355+1),INDEX(Surface_Engine!$Z$12:$Z$72,$Q$321+1))</f>
        <v>0.244321488095146</v>
      </c>
      <c r="F355" s="48" t="n">
        <f aca="false">B355*(IF($A355&lt;$Q$321,INDEX(Surface_Engine!$D$12:$D$72,$A355+1)+(Surface_Engine!G239*12)*INDEX(Surface_Engine!$F$12:$F$72,$A355+1)-(Surface_Engine!G239*12),1000*12*INDEX(Surface_Engine!$C$12:$C$72,$A355+1)/(1+Assumptions!$B$10)^17+INDEX(Surface_Engine!$D$12:$D$72,$A355+1)))*INDEX(Surface_Engine!$B$12:$B$72,$A355+1)+F356</f>
        <v>6551.06962642802</v>
      </c>
      <c r="G355" s="48" t="n">
        <f aca="false">C355*(IF($A355&lt;$Q$321,INDEX(Surface_Engine!$D$12:$D$72,$A355+1)+(Surface_Engine!G239*12)*INDEX(Surface_Engine!$F$12:$F$72,$A355+1)-(Surface_Engine!G239*12),1000*12*INDEX(Surface_Engine!$C$12:$C$72,$A355+1)/(1+Assumptions!$B$10)^17+INDEX(Surface_Engine!$D$12:$D$72,$A355+1)))*INDEX(Surface_Engine!$B$12:$B$72,$A355+1)+G356</f>
        <v>10126.4332427011</v>
      </c>
      <c r="H355" s="48" t="n">
        <f aca="false">D355*(IF($A355&lt;$Q$321,INDEX(Surface_Engine!$D$12:$D$72,$A355+1)+(Surface_Engine!G239*12)*INDEX(Surface_Engine!$F$12:$F$72,$A355+1)-(Surface_Engine!G239*12),1000*12*INDEX(Surface_Engine!$C$12:$C$72,$A355+1)/(1+Assumptions!$B$10)^17+INDEX(Surface_Engine!$D$12:$D$72,$A355+1)))*INDEX(Surface_Engine!$B$12:$B$72,$A355+1)+H356</f>
        <v>5880.10088775942</v>
      </c>
      <c r="I355" s="48" t="n">
        <f aca="false">E355*(IF($A355&lt;$Q$321,INDEX(Surface_Engine!$D$12:$D$72,$A355+1)+(Surface_Engine!G239*12)*INDEX(Surface_Engine!$F$12:$F$72,$A355+1)-(Surface_Engine!G239*12),1000*12*INDEX(Surface_Engine!$C$12:$C$72,$A355+1)/(1+Assumptions!$B$10)^17+INDEX(Surface_Engine!$D$12:$D$72,$A355+1)))*INDEX(Surface_Engine!$B$12:$B$72,$A355+1)+I356</f>
        <v>7291.59746004899</v>
      </c>
      <c r="J355" s="48" t="n">
        <f aca="false">B355*(IF($A355&lt;$Q$321,INDEX(Surface_Engine!$D$12:$D$72,$A355+1)*(1+Assumptions!$B$24)+(Surface_Engine!G239*12)*INDEX(Surface_Engine!$F$12:$F$72,$A355+1)-(Surface_Engine!G239*12),1000*12*INDEX(Surface_Engine!$C$12:$C$72,$A355+1)/(1+Assumptions!$B$10)^17+INDEX(Surface_Engine!$D$12:$D$72,$A355+1)*(1+Assumptions!$B$24)))*INDEX(Surface_Engine!$B$12:$B$72,$A355+1)+J356</f>
        <v>6558.43796872876</v>
      </c>
      <c r="K355" s="12" t="n">
        <f aca="false">SQRT((IF(C355&lt;=0,0,MAX(0,(B355/C355)*G355/INDEX(Surface_Engine!$B$12:$B$72,$A355+1)-F355/INDEX(Surface_Engine!$B$12:$B$72,$A355+1))))^2+(MAX(IF(D355&lt;=0,0,MAX(0,(B355/D355)*H355/INDEX(Surface_Engine!$B$12:$B$72,$A355+1)-F355/INDEX(Surface_Engine!$B$12:$B$72,$A355+1))),IF(E355&lt;=0,0,MAX(0,(B355/E355)*I355/INDEX(Surface_Engine!$B$12:$B$72,$A355+1)-F355/INDEX(Surface_Engine!$B$12:$B$72,$A355+1))),IF($A355&lt;$Q$321,MAX(0,-Assumptions!$B$22*(F355/INDEX(Surface_Engine!$B$12:$B$72,$A355+1))),0)))^2+(MAX(0,J355/INDEX(Surface_Engine!$B$12:$B$72,$A355+1)-(F355/INDEX(Surface_Engine!$B$12:$B$72,$A355+1))))^2+2*Assumptions!$B$26*(IF(C355&lt;=0,0,MAX(0,(B355/C355)*G355/INDEX(Surface_Engine!$B$12:$B$72,$A355+1)-F355/INDEX(Surface_Engine!$B$12:$B$72,$A355+1))))*(MAX(IF(D355&lt;=0,0,MAX(0,(B355/D355)*H355/INDEX(Surface_Engine!$B$12:$B$72,$A355+1)-F355/INDEX(Surface_Engine!$B$12:$B$72,$A355+1))),IF(E355&lt;=0,0,MAX(0,(B355/E355)*I355/INDEX(Surface_Engine!$B$12:$B$72,$A355+1)-F355/INDEX(Surface_Engine!$B$12:$B$72,$A355+1))),IF($A355&lt;$Q$321,MAX(0,-Assumptions!$B$22*(F355/INDEX(Surface_Engine!$B$12:$B$72,$A355+1))),0)))+2*Assumptions!$B$27*(IF(C355&lt;=0,0,MAX(0,(B355/C355)*G355/INDEX(Surface_Engine!$B$12:$B$72,$A355+1)-F355/INDEX(Surface_Engine!$B$12:$B$72,$A355+1))))*(MAX(0,J355/INDEX(Surface_Engine!$B$12:$B$72,$A355+1)-(F355/INDEX(Surface_Engine!$B$12:$B$72,$A355+1))))+2*Assumptions!$B$28*(MAX(IF(D355&lt;=0,0,MAX(0,(B355/D355)*H355/INDEX(Surface_Engine!$B$12:$B$72,$A355+1)-F355/INDEX(Surface_Engine!$B$12:$B$72,$A355+1))),IF(E355&lt;=0,0,MAX(0,(B355/E355)*I355/INDEX(Surface_Engine!$B$12:$B$72,$A355+1)-F355/INDEX(Surface_Engine!$B$12:$B$72,$A355+1))),IF($A355&lt;$Q$321,MAX(0,-Assumptions!$B$22*(F355/INDEX(Surface_Engine!$B$12:$B$72,$A355+1))),0)))*(MAX(0,J355/INDEX(Surface_Engine!$B$12:$B$72,$A355+1)-(F355/INDEX(Surface_Engine!$B$12:$B$72,$A355+1)))))</f>
        <v>3230.95023787451</v>
      </c>
      <c r="L355" s="48" t="n">
        <f aca="false">K355*INDEX(Surface_Engine!$B$12:$B$72,$A355+1)+L356</f>
        <v>5223.58010275012</v>
      </c>
      <c r="M355" s="48" t="n">
        <f aca="false">M354+B354*(IF($A354&lt;$Q$321,(Surface_Engine!G239*12)-(Surface_Engine!G239*12)*INDEX(Surface_Engine!$F$12:$F$72,$A354+1)-INDEX(Surface_Engine!$D$12:$D$72,$A354+1),-(1000*12*INDEX(Surface_Engine!$C$12:$C$72,$A354+1)/(1+Assumptions!$B$10)^17+INDEX(Surface_Engine!$D$12:$D$72,$A354+1))))*INDEX(Surface_Engine!$B$12:$B$72,$A354+1)</f>
        <v>8590.17046696897</v>
      </c>
      <c r="N355" s="12" t="n">
        <f aca="false">IF(B355&lt;=0,0,MAX(0,(K355+Assumptions!$B$29*L355/INDEX(Surface_Engine!$B$12:$B$72,$A355+1)-(M355/INDEX(Surface_Engine!$B$12:$B$72,$A355+1)-(F355/INDEX(Surface_Engine!$B$12:$B$72,$A355+1))))/B355))</f>
        <v>0</v>
      </c>
    </row>
    <row r="356" customFormat="false" ht="15" hidden="false" customHeight="true" outlineLevel="0" collapsed="false">
      <c r="A356" s="1" t="n">
        <v>33</v>
      </c>
      <c r="B356" s="32" t="n">
        <f aca="false">INDEX(Surface_Engine!$J$12:$J$72,$A356+1)*IF($A356&lt;$Q$321,INDEX(Surface_Engine!$E$12:$E$72,$A356+1),INDEX(Surface_Engine!$E$12:$E$72,$Q$321+1))</f>
        <v>0.185447017164223</v>
      </c>
      <c r="C356" s="32" t="n">
        <f aca="false">INDEX(Panel_Reserving!$C$8:$C$68,$A356+1)*IF($A356&lt;$Q$321,INDEX(Surface_Engine!$E$12:$E$72,$A356+1),INDEX(Surface_Engine!$E$12:$E$72,$Q$321+1))</f>
        <v>0.251760440855657</v>
      </c>
      <c r="D356" s="32" t="n">
        <f aca="false">INDEX(Surface_Engine!$J$12:$J$72,$A356+1)*IF($A356&lt;$Q$321,INDEX(Surface_Engine!$Y$12:$Y$72,$A356+1),INDEX(Surface_Engine!$Y$12:$Y$72,$Q$321+1))</f>
        <v>0.166453301894496</v>
      </c>
      <c r="E356" s="32" t="n">
        <f aca="false">INDEX(Surface_Engine!$J$12:$J$72,$A356+1)*IF($A356&lt;$Q$321,INDEX(Surface_Engine!$Z$12:$Z$72,$A356+1),INDEX(Surface_Engine!$Z$12:$Z$72,$Q$321+1))</f>
        <v>0.206409804266666</v>
      </c>
      <c r="F356" s="48" t="n">
        <f aca="false">B356*(IF($A356&lt;$Q$321,INDEX(Surface_Engine!$D$12:$D$72,$A356+1)+(Surface_Engine!G239*12)*INDEX(Surface_Engine!$F$12:$F$72,$A356+1)-(Surface_Engine!G239*12),1000*12*INDEX(Surface_Engine!$C$12:$C$72,$A356+1)/(1+Assumptions!$B$10)^17+INDEX(Surface_Engine!$D$12:$D$72,$A356+1)))*INDEX(Surface_Engine!$B$12:$B$72,$A356+1)+F357</f>
        <v>5237.45546205594</v>
      </c>
      <c r="G356" s="48" t="n">
        <f aca="false">C356*(IF($A356&lt;$Q$321,INDEX(Surface_Engine!$D$12:$D$72,$A356+1)+(Surface_Engine!G239*12)*INDEX(Surface_Engine!$F$12:$F$72,$A356+1)-(Surface_Engine!G239*12),1000*12*INDEX(Surface_Engine!$C$12:$C$72,$A356+1)/(1+Assumptions!$B$10)^17+INDEX(Surface_Engine!$D$12:$D$72,$A356+1)))*INDEX(Surface_Engine!$B$12:$B$72,$A356+1)+G357</f>
        <v>8406.27675062655</v>
      </c>
      <c r="H356" s="48" t="n">
        <f aca="false">D356*(IF($A356&lt;$Q$321,INDEX(Surface_Engine!$D$12:$D$72,$A356+1)+(Surface_Engine!G239*12)*INDEX(Surface_Engine!$F$12:$F$72,$A356+1)-(Surface_Engine!G239*12),1000*12*INDEX(Surface_Engine!$C$12:$C$72,$A356+1)/(1+Assumptions!$B$10)^17+INDEX(Surface_Engine!$D$12:$D$72,$A356+1)))*INDEX(Surface_Engine!$B$12:$B$72,$A356+1)+H357</f>
        <v>4701.02872785792</v>
      </c>
      <c r="I356" s="48" t="n">
        <f aca="false">E356*(IF($A356&lt;$Q$321,INDEX(Surface_Engine!$D$12:$D$72,$A356+1)+(Surface_Engine!G239*12)*INDEX(Surface_Engine!$F$12:$F$72,$A356+1)-(Surface_Engine!G239*12),1000*12*INDEX(Surface_Engine!$C$12:$C$72,$A356+1)/(1+Assumptions!$B$10)^17+INDEX(Surface_Engine!$D$12:$D$72,$A356+1)))*INDEX(Surface_Engine!$B$12:$B$72,$A356+1)+I357</f>
        <v>5829.4933685615</v>
      </c>
      <c r="J356" s="48" t="n">
        <f aca="false">B356*(IF($A356&lt;$Q$321,INDEX(Surface_Engine!$D$12:$D$72,$A356+1)*(1+Assumptions!$B$24)+(Surface_Engine!G239*12)*INDEX(Surface_Engine!$F$12:$F$72,$A356+1)-(Surface_Engine!G239*12),1000*12*INDEX(Surface_Engine!$C$12:$C$72,$A356+1)/(1+Assumptions!$B$10)^17+INDEX(Surface_Engine!$D$12:$D$72,$A356+1)*(1+Assumptions!$B$24)))*INDEX(Surface_Engine!$B$12:$B$72,$A356+1)+J357</f>
        <v>5243.37025701416</v>
      </c>
      <c r="K356" s="12" t="n">
        <f aca="false">SQRT((IF(C356&lt;=0,0,MAX(0,(B356/C356)*G356/INDEX(Surface_Engine!$B$12:$B$72,$A356+1)-F356/INDEX(Surface_Engine!$B$12:$B$72,$A356+1))))^2+(MAX(IF(D356&lt;=0,0,MAX(0,(B356/D356)*H356/INDEX(Surface_Engine!$B$12:$B$72,$A356+1)-F356/INDEX(Surface_Engine!$B$12:$B$72,$A356+1))),IF(E356&lt;=0,0,MAX(0,(B356/E356)*I356/INDEX(Surface_Engine!$B$12:$B$72,$A356+1)-F356/INDEX(Surface_Engine!$B$12:$B$72,$A356+1))),IF($A356&lt;$Q$321,MAX(0,-Assumptions!$B$22*(F356/INDEX(Surface_Engine!$B$12:$B$72,$A356+1))),0)))^2+(MAX(0,J356/INDEX(Surface_Engine!$B$12:$B$72,$A356+1)-(F356/INDEX(Surface_Engine!$B$12:$B$72,$A356+1))))^2+2*Assumptions!$B$26*(IF(C356&lt;=0,0,MAX(0,(B356/C356)*G356/INDEX(Surface_Engine!$B$12:$B$72,$A356+1)-F356/INDEX(Surface_Engine!$B$12:$B$72,$A356+1))))*(MAX(IF(D356&lt;=0,0,MAX(0,(B356/D356)*H356/INDEX(Surface_Engine!$B$12:$B$72,$A356+1)-F356/INDEX(Surface_Engine!$B$12:$B$72,$A356+1))),IF(E356&lt;=0,0,MAX(0,(B356/E356)*I356/INDEX(Surface_Engine!$B$12:$B$72,$A356+1)-F356/INDEX(Surface_Engine!$B$12:$B$72,$A356+1))),IF($A356&lt;$Q$321,MAX(0,-Assumptions!$B$22*(F356/INDEX(Surface_Engine!$B$12:$B$72,$A356+1))),0)))+2*Assumptions!$B$27*(IF(C356&lt;=0,0,MAX(0,(B356/C356)*G356/INDEX(Surface_Engine!$B$12:$B$72,$A356+1)-F356/INDEX(Surface_Engine!$B$12:$B$72,$A356+1))))*(MAX(0,J356/INDEX(Surface_Engine!$B$12:$B$72,$A356+1)-(F356/INDEX(Surface_Engine!$B$12:$B$72,$A356+1))))+2*Assumptions!$B$28*(MAX(IF(D356&lt;=0,0,MAX(0,(B356/D356)*H356/INDEX(Surface_Engine!$B$12:$B$72,$A356+1)-F356/INDEX(Surface_Engine!$B$12:$B$72,$A356+1))),IF(E356&lt;=0,0,MAX(0,(B356/E356)*I356/INDEX(Surface_Engine!$B$12:$B$72,$A356+1)-F356/INDEX(Surface_Engine!$B$12:$B$72,$A356+1))),IF($A356&lt;$Q$321,MAX(0,-Assumptions!$B$22*(F356/INDEX(Surface_Engine!$B$12:$B$72,$A356+1))),0)))*(MAX(0,J356/INDEX(Surface_Engine!$B$12:$B$72,$A356+1)-(F356/INDEX(Surface_Engine!$B$12:$B$72,$A356+1)))))</f>
        <v>2694.08677547562</v>
      </c>
      <c r="L356" s="48" t="n">
        <f aca="false">K356*INDEX(Surface_Engine!$B$12:$B$72,$A356+1)+L357</f>
        <v>4039.63733052353</v>
      </c>
      <c r="M356" s="48" t="n">
        <f aca="false">M355+B355*(IF($A355&lt;$Q$321,(Surface_Engine!G239*12)-(Surface_Engine!G239*12)*INDEX(Surface_Engine!$F$12:$F$72,$A355+1)-INDEX(Surface_Engine!$D$12:$D$72,$A355+1),-(1000*12*INDEX(Surface_Engine!$C$12:$C$72,$A355+1)/(1+Assumptions!$B$10)^17+INDEX(Surface_Engine!$D$12:$D$72,$A355+1))))*INDEX(Surface_Engine!$B$12:$B$72,$A355+1)</f>
        <v>7276.55630259689</v>
      </c>
      <c r="N356" s="12" t="n">
        <f aca="false">IF(B356&lt;=0,0,MAX(0,(K356+Assumptions!$B$29*L356/INDEX(Surface_Engine!$B$12:$B$72,$A356+1)-(M356/INDEX(Surface_Engine!$B$12:$B$72,$A356+1)-(F356/INDEX(Surface_Engine!$B$12:$B$72,$A356+1))))/B356))</f>
        <v>0</v>
      </c>
    </row>
    <row r="357" customFormat="false" ht="15" hidden="false" customHeight="true" outlineLevel="0" collapsed="false">
      <c r="A357" s="1" t="n">
        <v>34</v>
      </c>
      <c r="B357" s="32" t="n">
        <f aca="false">INDEX(Surface_Engine!$J$12:$J$72,$A357+1)*IF($A357&lt;$Q$321,INDEX(Surface_Engine!$E$12:$E$72,$A357+1),INDEX(Surface_Engine!$E$12:$E$72,$Q$321+1))</f>
        <v>0.154780293439423</v>
      </c>
      <c r="C357" s="32" t="n">
        <f aca="false">INDEX(Panel_Reserving!$C$8:$C$68,$A357+1)*IF($A357&lt;$Q$321,INDEX(Surface_Engine!$E$12:$E$72,$A357+1),INDEX(Surface_Engine!$E$12:$E$72,$Q$321+1))</f>
        <v>0.218454246978331</v>
      </c>
      <c r="D357" s="32" t="n">
        <f aca="false">INDEX(Surface_Engine!$J$12:$J$72,$A357+1)*IF($A357&lt;$Q$321,INDEX(Surface_Engine!$Y$12:$Y$72,$A357+1),INDEX(Surface_Engine!$Y$12:$Y$72,$Q$321+1))</f>
        <v>0.138927502340875</v>
      </c>
      <c r="E357" s="32" t="n">
        <f aca="false">INDEX(Surface_Engine!$J$12:$J$72,$A357+1)*IF($A357&lt;$Q$321,INDEX(Surface_Engine!$Z$12:$Z$72,$A357+1),INDEX(Surface_Engine!$Z$12:$Z$72,$Q$321+1))</f>
        <v>0.172276537858124</v>
      </c>
      <c r="F357" s="48" t="n">
        <f aca="false">B357*(IF($A357&lt;$Q$321,INDEX(Surface_Engine!$D$12:$D$72,$A357+1)+(Surface_Engine!G239*12)*INDEX(Surface_Engine!$F$12:$F$72,$A357+1)-(Surface_Engine!G239*12),1000*12*INDEX(Surface_Engine!$C$12:$C$72,$A357+1)/(1+Assumptions!$B$10)^17+INDEX(Surface_Engine!$D$12:$D$72,$A357+1)))*INDEX(Surface_Engine!$B$12:$B$72,$A357+1)+F358</f>
        <v>4141.08470648352</v>
      </c>
      <c r="G357" s="48" t="n">
        <f aca="false">C357*(IF($A357&lt;$Q$321,INDEX(Surface_Engine!$D$12:$D$72,$A357+1)+(Surface_Engine!G239*12)*INDEX(Surface_Engine!$F$12:$F$72,$A357+1)-(Surface_Engine!G239*12),1000*12*INDEX(Surface_Engine!$C$12:$C$72,$A357+1)/(1+Assumptions!$B$10)^17+INDEX(Surface_Engine!$D$12:$D$72,$A357+1)))*INDEX(Surface_Engine!$B$12:$B$72,$A357+1)+G358</f>
        <v>6917.85817703617</v>
      </c>
      <c r="H357" s="48" t="n">
        <f aca="false">D357*(IF($A357&lt;$Q$321,INDEX(Surface_Engine!$D$12:$D$72,$A357+1)+(Surface_Engine!G239*12)*INDEX(Surface_Engine!$F$12:$F$72,$A357+1)-(Surface_Engine!G239*12),1000*12*INDEX(Surface_Engine!$C$12:$C$72,$A357+1)/(1+Assumptions!$B$10)^17+INDEX(Surface_Engine!$D$12:$D$72,$A357+1)))*INDEX(Surface_Engine!$B$12:$B$72,$A357+1)+H358</f>
        <v>3716.9496353159</v>
      </c>
      <c r="I357" s="48" t="n">
        <f aca="false">E357*(IF($A357&lt;$Q$321,INDEX(Surface_Engine!$D$12:$D$72,$A357+1)+(Surface_Engine!G239*12)*INDEX(Surface_Engine!$F$12:$F$72,$A357+1)-(Surface_Engine!G239*12),1000*12*INDEX(Surface_Engine!$C$12:$C$72,$A357+1)/(1+Assumptions!$B$10)^17+INDEX(Surface_Engine!$D$12:$D$72,$A357+1)))*INDEX(Surface_Engine!$B$12:$B$72,$A357+1)+I358</f>
        <v>4609.189712445</v>
      </c>
      <c r="J357" s="48" t="n">
        <f aca="false">B357*(IF($A357&lt;$Q$321,INDEX(Surface_Engine!$D$12:$D$72,$A357+1)*(1+Assumptions!$B$24)+(Surface_Engine!G239*12)*INDEX(Surface_Engine!$F$12:$F$72,$A357+1)-(Surface_Engine!G239*12),1000*12*INDEX(Surface_Engine!$C$12:$C$72,$A357+1)/(1+Assumptions!$B$10)^17+INDEX(Surface_Engine!$D$12:$D$72,$A357+1)*(1+Assumptions!$B$24)))*INDEX(Surface_Engine!$B$12:$B$72,$A357+1)+J358</f>
        <v>4145.78045868317</v>
      </c>
      <c r="K357" s="12" t="n">
        <f aca="false">SQRT((IF(C357&lt;=0,0,MAX(0,(B357/C357)*G357/INDEX(Surface_Engine!$B$12:$B$72,$A357+1)-F357/INDEX(Surface_Engine!$B$12:$B$72,$A357+1))))^2+(MAX(IF(D357&lt;=0,0,MAX(0,(B357/D357)*H357/INDEX(Surface_Engine!$B$12:$B$72,$A357+1)-F357/INDEX(Surface_Engine!$B$12:$B$72,$A357+1))),IF(E357&lt;=0,0,MAX(0,(B357/E357)*I357/INDEX(Surface_Engine!$B$12:$B$72,$A357+1)-F357/INDEX(Surface_Engine!$B$12:$B$72,$A357+1))),IF($A357&lt;$Q$321,MAX(0,-Assumptions!$B$22*(F357/INDEX(Surface_Engine!$B$12:$B$72,$A357+1))),0)))^2+(MAX(0,J357/INDEX(Surface_Engine!$B$12:$B$72,$A357+1)-(F357/INDEX(Surface_Engine!$B$12:$B$72,$A357+1))))^2+2*Assumptions!$B$26*(IF(C357&lt;=0,0,MAX(0,(B357/C357)*G357/INDEX(Surface_Engine!$B$12:$B$72,$A357+1)-F357/INDEX(Surface_Engine!$B$12:$B$72,$A357+1))))*(MAX(IF(D357&lt;=0,0,MAX(0,(B357/D357)*H357/INDEX(Surface_Engine!$B$12:$B$72,$A357+1)-F357/INDEX(Surface_Engine!$B$12:$B$72,$A357+1))),IF(E357&lt;=0,0,MAX(0,(B357/E357)*I357/INDEX(Surface_Engine!$B$12:$B$72,$A357+1)-F357/INDEX(Surface_Engine!$B$12:$B$72,$A357+1))),IF($A357&lt;$Q$321,MAX(0,-Assumptions!$B$22*(F357/INDEX(Surface_Engine!$B$12:$B$72,$A357+1))),0)))+2*Assumptions!$B$27*(IF(C357&lt;=0,0,MAX(0,(B357/C357)*G357/INDEX(Surface_Engine!$B$12:$B$72,$A357+1)-F357/INDEX(Surface_Engine!$B$12:$B$72,$A357+1))))*(MAX(0,J357/INDEX(Surface_Engine!$B$12:$B$72,$A357+1)-(F357/INDEX(Surface_Engine!$B$12:$B$72,$A357+1))))+2*Assumptions!$B$28*(MAX(IF(D357&lt;=0,0,MAX(0,(B357/D357)*H357/INDEX(Surface_Engine!$B$12:$B$72,$A357+1)-F357/INDEX(Surface_Engine!$B$12:$B$72,$A357+1))),IF(E357&lt;=0,0,MAX(0,(B357/E357)*I357/INDEX(Surface_Engine!$B$12:$B$72,$A357+1)-F357/INDEX(Surface_Engine!$B$12:$B$72,$A357+1))),IF($A357&lt;$Q$321,MAX(0,-Assumptions!$B$22*(F357/INDEX(Surface_Engine!$B$12:$B$72,$A357+1))),0)))*(MAX(0,J357/INDEX(Surface_Engine!$B$12:$B$72,$A357+1)-(F357/INDEX(Surface_Engine!$B$12:$B$72,$A357+1)))))</f>
        <v>2215.82994273227</v>
      </c>
      <c r="L357" s="48" t="n">
        <f aca="false">K357*INDEX(Surface_Engine!$B$12:$B$72,$A357+1)+L358</f>
        <v>3083.52425731599</v>
      </c>
      <c r="M357" s="48" t="n">
        <f aca="false">M356+B356*(IF($A356&lt;$Q$321,(Surface_Engine!G239*12)-(Surface_Engine!G239*12)*INDEX(Surface_Engine!$F$12:$F$72,$A356+1)-INDEX(Surface_Engine!$D$12:$D$72,$A356+1),-(1000*12*INDEX(Surface_Engine!$C$12:$C$72,$A356+1)/(1+Assumptions!$B$10)^17+INDEX(Surface_Engine!$D$12:$D$72,$A356+1))))*INDEX(Surface_Engine!$B$12:$B$72,$A356+1)</f>
        <v>6180.18554702447</v>
      </c>
      <c r="N357" s="12" t="n">
        <f aca="false">IF(B357&lt;=0,0,MAX(0,(K357+Assumptions!$B$29*L357/INDEX(Surface_Engine!$B$12:$B$72,$A357+1)-(M357/INDEX(Surface_Engine!$B$12:$B$72,$A357+1)-(F357/INDEX(Surface_Engine!$B$12:$B$72,$A357+1))))/B357))</f>
        <v>0</v>
      </c>
    </row>
    <row r="358" customFormat="false" ht="15" hidden="false" customHeight="true" outlineLevel="0" collapsed="false">
      <c r="A358" s="1" t="n">
        <v>35</v>
      </c>
      <c r="B358" s="32" t="n">
        <f aca="false">INDEX(Surface_Engine!$J$12:$J$72,$A358+1)*IF($A358&lt;$Q$321,INDEX(Surface_Engine!$E$12:$E$72,$A358+1),INDEX(Surface_Engine!$E$12:$E$72,$Q$321+1))</f>
        <v>0.127643978430797</v>
      </c>
      <c r="C358" s="32" t="n">
        <f aca="false">INDEX(Panel_Reserving!$C$8:$C$68,$A358+1)*IF($A358&lt;$Q$321,INDEX(Surface_Engine!$E$12:$E$72,$A358+1),INDEX(Surface_Engine!$E$12:$E$72,$Q$321+1))</f>
        <v>0.187814463945248</v>
      </c>
      <c r="D358" s="32" t="n">
        <f aca="false">INDEX(Surface_Engine!$J$12:$J$72,$A358+1)*IF($A358&lt;$Q$321,INDEX(Surface_Engine!$Y$12:$Y$72,$A358+1),INDEX(Surface_Engine!$Y$12:$Y$72,$Q$321+1))</f>
        <v>0.114570522630412</v>
      </c>
      <c r="E358" s="32" t="n">
        <f aca="false">INDEX(Surface_Engine!$J$12:$J$72,$A358+1)*IF($A358&lt;$Q$321,INDEX(Surface_Engine!$Z$12:$Z$72,$A358+1),INDEX(Surface_Engine!$Z$12:$Z$72,$Q$321+1))</f>
        <v>0.142072754831035</v>
      </c>
      <c r="F358" s="48" t="n">
        <f aca="false">B358*(IF($A358&lt;$Q$321,INDEX(Surface_Engine!$D$12:$D$72,$A358+1)+(Surface_Engine!G239*12)*INDEX(Surface_Engine!$F$12:$F$72,$A358+1)-(Surface_Engine!G239*12),1000*12*INDEX(Surface_Engine!$C$12:$C$72,$A358+1)/(1+Assumptions!$B$10)^17+INDEX(Surface_Engine!$D$12:$D$72,$A358+1)))*INDEX(Surface_Engine!$B$12:$B$72,$A358+1)+F359</f>
        <v>3237.10745074149</v>
      </c>
      <c r="G358" s="48" t="n">
        <f aca="false">C358*(IF($A358&lt;$Q$321,INDEX(Surface_Engine!$D$12:$D$72,$A358+1)+(Surface_Engine!G239*12)*INDEX(Surface_Engine!$F$12:$F$72,$A358+1)-(Surface_Engine!G239*12),1000*12*INDEX(Surface_Engine!$C$12:$C$72,$A358+1)/(1+Assumptions!$B$10)^17+INDEX(Surface_Engine!$D$12:$D$72,$A358+1)))*INDEX(Surface_Engine!$B$12:$B$72,$A358+1)+G359</f>
        <v>5642.00020894186</v>
      </c>
      <c r="H358" s="48" t="n">
        <f aca="false">D358*(IF($A358&lt;$Q$321,INDEX(Surface_Engine!$D$12:$D$72,$A358+1)+(Surface_Engine!G239*12)*INDEX(Surface_Engine!$F$12:$F$72,$A358+1)-(Surface_Engine!G239*12),1000*12*INDEX(Surface_Engine!$C$12:$C$72,$A358+1)/(1+Assumptions!$B$10)^17+INDEX(Surface_Engine!$D$12:$D$72,$A358+1)))*INDEX(Surface_Engine!$B$12:$B$72,$A358+1)+H359</f>
        <v>2905.55885989816</v>
      </c>
      <c r="I358" s="48" t="n">
        <f aca="false">E358*(IF($A358&lt;$Q$321,INDEX(Surface_Engine!$D$12:$D$72,$A358+1)+(Surface_Engine!G239*12)*INDEX(Surface_Engine!$F$12:$F$72,$A358+1)-(Surface_Engine!G239*12),1000*12*INDEX(Surface_Engine!$C$12:$C$72,$A358+1)/(1+Assumptions!$B$10)^17+INDEX(Surface_Engine!$D$12:$D$72,$A358+1)))*INDEX(Surface_Engine!$B$12:$B$72,$A358+1)+I359</f>
        <v>3603.02756827853</v>
      </c>
      <c r="J358" s="48" t="n">
        <f aca="false">B358*(IF($A358&lt;$Q$321,INDEX(Surface_Engine!$D$12:$D$72,$A358+1)*(1+Assumptions!$B$24)+(Surface_Engine!G239*12)*INDEX(Surface_Engine!$F$12:$F$72,$A358+1)-(Surface_Engine!G239*12),1000*12*INDEX(Surface_Engine!$C$12:$C$72,$A358+1)/(1+Assumptions!$B$10)^17+INDEX(Surface_Engine!$D$12:$D$72,$A358+1)*(1+Assumptions!$B$24)))*INDEX(Surface_Engine!$B$12:$B$72,$A358+1)+J359</f>
        <v>3240.79320840749</v>
      </c>
      <c r="K358" s="12" t="n">
        <f aca="false">SQRT((IF(C358&lt;=0,0,MAX(0,(B358/C358)*G358/INDEX(Surface_Engine!$B$12:$B$72,$A358+1)-F358/INDEX(Surface_Engine!$B$12:$B$72,$A358+1))))^2+(MAX(IF(D358&lt;=0,0,MAX(0,(B358/D358)*H358/INDEX(Surface_Engine!$B$12:$B$72,$A358+1)-F358/INDEX(Surface_Engine!$B$12:$B$72,$A358+1))),IF(E358&lt;=0,0,MAX(0,(B358/E358)*I358/INDEX(Surface_Engine!$B$12:$B$72,$A358+1)-F358/INDEX(Surface_Engine!$B$12:$B$72,$A358+1))),IF($A358&lt;$Q$321,MAX(0,-Assumptions!$B$22*(F358/INDEX(Surface_Engine!$B$12:$B$72,$A358+1))),0)))^2+(MAX(0,J358/INDEX(Surface_Engine!$B$12:$B$72,$A358+1)-(F358/INDEX(Surface_Engine!$B$12:$B$72,$A358+1))))^2+2*Assumptions!$B$26*(IF(C358&lt;=0,0,MAX(0,(B358/C358)*G358/INDEX(Surface_Engine!$B$12:$B$72,$A358+1)-F358/INDEX(Surface_Engine!$B$12:$B$72,$A358+1))))*(MAX(IF(D358&lt;=0,0,MAX(0,(B358/D358)*H358/INDEX(Surface_Engine!$B$12:$B$72,$A358+1)-F358/INDEX(Surface_Engine!$B$12:$B$72,$A358+1))),IF(E358&lt;=0,0,MAX(0,(B358/E358)*I358/INDEX(Surface_Engine!$B$12:$B$72,$A358+1)-F358/INDEX(Surface_Engine!$B$12:$B$72,$A358+1))),IF($A358&lt;$Q$321,MAX(0,-Assumptions!$B$22*(F358/INDEX(Surface_Engine!$B$12:$B$72,$A358+1))),0)))+2*Assumptions!$B$27*(IF(C358&lt;=0,0,MAX(0,(B358/C358)*G358/INDEX(Surface_Engine!$B$12:$B$72,$A358+1)-F358/INDEX(Surface_Engine!$B$12:$B$72,$A358+1))))*(MAX(0,J358/INDEX(Surface_Engine!$B$12:$B$72,$A358+1)-(F358/INDEX(Surface_Engine!$B$12:$B$72,$A358+1))))+2*Assumptions!$B$28*(MAX(IF(D358&lt;=0,0,MAX(0,(B358/D358)*H358/INDEX(Surface_Engine!$B$12:$B$72,$A358+1)-F358/INDEX(Surface_Engine!$B$12:$B$72,$A358+1))),IF(E358&lt;=0,0,MAX(0,(B358/E358)*I358/INDEX(Surface_Engine!$B$12:$B$72,$A358+1)-F358/INDEX(Surface_Engine!$B$12:$B$72,$A358+1))),IF($A358&lt;$Q$321,MAX(0,-Assumptions!$B$22*(F358/INDEX(Surface_Engine!$B$12:$B$72,$A358+1))),0)))*(MAX(0,J358/INDEX(Surface_Engine!$B$12:$B$72,$A358+1)-(F358/INDEX(Surface_Engine!$B$12:$B$72,$A358+1)))))</f>
        <v>1797.49364028865</v>
      </c>
      <c r="L358" s="48" t="n">
        <f aca="false">K358*INDEX(Surface_Engine!$B$12:$B$72,$A358+1)+L359</f>
        <v>2321.94604915103</v>
      </c>
      <c r="M358" s="48" t="n">
        <f aca="false">M357+B357*(IF($A357&lt;$Q$321,(Surface_Engine!G239*12)-(Surface_Engine!G239*12)*INDEX(Surface_Engine!$F$12:$F$72,$A357+1)-INDEX(Surface_Engine!$D$12:$D$72,$A357+1),-(1000*12*INDEX(Surface_Engine!$C$12:$C$72,$A357+1)/(1+Assumptions!$B$10)^17+INDEX(Surface_Engine!$D$12:$D$72,$A357+1))))*INDEX(Surface_Engine!$B$12:$B$72,$A357+1)</f>
        <v>5276.20829128244</v>
      </c>
      <c r="N358" s="12" t="n">
        <f aca="false">IF(B358&lt;=0,0,MAX(0,(K358+Assumptions!$B$29*L358/INDEX(Surface_Engine!$B$12:$B$72,$A358+1)-(M358/INDEX(Surface_Engine!$B$12:$B$72,$A358+1)-(F358/INDEX(Surface_Engine!$B$12:$B$72,$A358+1))))/B358))</f>
        <v>0</v>
      </c>
    </row>
    <row r="359" customFormat="false" ht="15" hidden="false" customHeight="true" outlineLevel="0" collapsed="false">
      <c r="A359" s="1" t="n">
        <v>36</v>
      </c>
      <c r="B359" s="32" t="n">
        <f aca="false">INDEX(Surface_Engine!$J$12:$J$72,$A359+1)*IF($A359&lt;$Q$321,INDEX(Surface_Engine!$E$12:$E$72,$A359+1),INDEX(Surface_Engine!$E$12:$E$72,$Q$321+1))</f>
        <v>0.103995351446892</v>
      </c>
      <c r="C359" s="32" t="n">
        <f aca="false">INDEX(Panel_Reserving!$C$8:$C$68,$A359+1)*IF($A359&lt;$Q$321,INDEX(Surface_Engine!$E$12:$E$72,$A359+1),INDEX(Surface_Engine!$E$12:$E$72,$Q$321+1))</f>
        <v>0.1599773234573</v>
      </c>
      <c r="D359" s="32" t="n">
        <f aca="false">INDEX(Surface_Engine!$J$12:$J$72,$A359+1)*IF($A359&lt;$Q$321,INDEX(Surface_Engine!$Y$12:$Y$72,$A359+1),INDEX(Surface_Engine!$Y$12:$Y$72,$Q$321+1))</f>
        <v>0.0933440175782627</v>
      </c>
      <c r="E359" s="32" t="n">
        <f aca="false">INDEX(Surface_Engine!$J$12:$J$72,$A359+1)*IF($A359&lt;$Q$321,INDEX(Surface_Engine!$Z$12:$Z$72,$A359+1),INDEX(Surface_Engine!$Z$12:$Z$72,$Q$321+1))</f>
        <v>0.115750905380091</v>
      </c>
      <c r="F359" s="48" t="n">
        <f aca="false">B359*(IF($A359&lt;$Q$321,INDEX(Surface_Engine!$D$12:$D$72,$A359+1)+(Surface_Engine!G239*12)*INDEX(Surface_Engine!$F$12:$F$72,$A359+1)-(Surface_Engine!G239*12),1000*12*INDEX(Surface_Engine!$C$12:$C$72,$A359+1)/(1+Assumptions!$B$10)^17+INDEX(Surface_Engine!$D$12:$D$72,$A359+1)))*INDEX(Surface_Engine!$B$12:$B$72,$A359+1)+F360</f>
        <v>2500.68045030553</v>
      </c>
      <c r="G359" s="48" t="n">
        <f aca="false">C359*(IF($A359&lt;$Q$321,INDEX(Surface_Engine!$D$12:$D$72,$A359+1)+(Surface_Engine!G239*12)*INDEX(Surface_Engine!$F$12:$F$72,$A359+1)-(Surface_Engine!G239*12),1000*12*INDEX(Surface_Engine!$C$12:$C$72,$A359+1)/(1+Assumptions!$B$10)^17+INDEX(Surface_Engine!$D$12:$D$72,$A359+1)))*INDEX(Surface_Engine!$B$12:$B$72,$A359+1)+G360</f>
        <v>4558.42663169965</v>
      </c>
      <c r="H359" s="48" t="n">
        <f aca="false">D359*(IF($A359&lt;$Q$321,INDEX(Surface_Engine!$D$12:$D$72,$A359+1)+(Surface_Engine!G239*12)*INDEX(Surface_Engine!$F$12:$F$72,$A359+1)-(Surface_Engine!G239*12),1000*12*INDEX(Surface_Engine!$C$12:$C$72,$A359+1)/(1+Assumptions!$B$10)^17+INDEX(Surface_Engine!$D$12:$D$72,$A359+1)))*INDEX(Surface_Engine!$B$12:$B$72,$A359+1)+H360</f>
        <v>2244.55763323366</v>
      </c>
      <c r="I359" s="48" t="n">
        <f aca="false">E359*(IF($A359&lt;$Q$321,INDEX(Surface_Engine!$D$12:$D$72,$A359+1)+(Surface_Engine!G239*12)*INDEX(Surface_Engine!$F$12:$F$72,$A359+1)-(Surface_Engine!G239*12),1000*12*INDEX(Surface_Engine!$C$12:$C$72,$A359+1)/(1+Assumptions!$B$10)^17+INDEX(Surface_Engine!$D$12:$D$72,$A359+1)))*INDEX(Surface_Engine!$B$12:$B$72,$A359+1)+I360</f>
        <v>2783.35543042977</v>
      </c>
      <c r="J359" s="48" t="n">
        <f aca="false">B359*(IF($A359&lt;$Q$321,INDEX(Surface_Engine!$D$12:$D$72,$A359+1)*(1+Assumptions!$B$24)+(Surface_Engine!G239*12)*INDEX(Surface_Engine!$F$12:$F$72,$A359+1)-(Surface_Engine!G239*12),1000*12*INDEX(Surface_Engine!$C$12:$C$72,$A359+1)/(1+Assumptions!$B$10)^17+INDEX(Surface_Engine!$D$12:$D$72,$A359+1)*(1+Assumptions!$B$24)))*INDEX(Surface_Engine!$B$12:$B$72,$A359+1)+J360</f>
        <v>2503.53942574618</v>
      </c>
      <c r="K359" s="12" t="n">
        <f aca="false">SQRT((IF(C359&lt;=0,0,MAX(0,(B359/C359)*G359/INDEX(Surface_Engine!$B$12:$B$72,$A359+1)-F359/INDEX(Surface_Engine!$B$12:$B$72,$A359+1))))^2+(MAX(IF(D359&lt;=0,0,MAX(0,(B359/D359)*H359/INDEX(Surface_Engine!$B$12:$B$72,$A359+1)-F359/INDEX(Surface_Engine!$B$12:$B$72,$A359+1))),IF(E359&lt;=0,0,MAX(0,(B359/E359)*I359/INDEX(Surface_Engine!$B$12:$B$72,$A359+1)-F359/INDEX(Surface_Engine!$B$12:$B$72,$A359+1))),IF($A359&lt;$Q$321,MAX(0,-Assumptions!$B$22*(F359/INDEX(Surface_Engine!$B$12:$B$72,$A359+1))),0)))^2+(MAX(0,J359/INDEX(Surface_Engine!$B$12:$B$72,$A359+1)-(F359/INDEX(Surface_Engine!$B$12:$B$72,$A359+1))))^2+2*Assumptions!$B$26*(IF(C359&lt;=0,0,MAX(0,(B359/C359)*G359/INDEX(Surface_Engine!$B$12:$B$72,$A359+1)-F359/INDEX(Surface_Engine!$B$12:$B$72,$A359+1))))*(MAX(IF(D359&lt;=0,0,MAX(0,(B359/D359)*H359/INDEX(Surface_Engine!$B$12:$B$72,$A359+1)-F359/INDEX(Surface_Engine!$B$12:$B$72,$A359+1))),IF(E359&lt;=0,0,MAX(0,(B359/E359)*I359/INDEX(Surface_Engine!$B$12:$B$72,$A359+1)-F359/INDEX(Surface_Engine!$B$12:$B$72,$A359+1))),IF($A359&lt;$Q$321,MAX(0,-Assumptions!$B$22*(F359/INDEX(Surface_Engine!$B$12:$B$72,$A359+1))),0)))+2*Assumptions!$B$27*(IF(C359&lt;=0,0,MAX(0,(B359/C359)*G359/INDEX(Surface_Engine!$B$12:$B$72,$A359+1)-F359/INDEX(Surface_Engine!$B$12:$B$72,$A359+1))))*(MAX(0,J359/INDEX(Surface_Engine!$B$12:$B$72,$A359+1)-(F359/INDEX(Surface_Engine!$B$12:$B$72,$A359+1))))+2*Assumptions!$B$28*(MAX(IF(D359&lt;=0,0,MAX(0,(B359/D359)*H359/INDEX(Surface_Engine!$B$12:$B$72,$A359+1)-F359/INDEX(Surface_Engine!$B$12:$B$72,$A359+1))),IF(E359&lt;=0,0,MAX(0,(B359/E359)*I359/INDEX(Surface_Engine!$B$12:$B$72,$A359+1)-F359/INDEX(Surface_Engine!$B$12:$B$72,$A359+1))),IF($A359&lt;$Q$321,MAX(0,-Assumptions!$B$22*(F359/INDEX(Surface_Engine!$B$12:$B$72,$A359+1))),0)))*(MAX(0,J359/INDEX(Surface_Engine!$B$12:$B$72,$A359+1)-(F359/INDEX(Surface_Engine!$B$12:$B$72,$A359+1)))))</f>
        <v>1436.90924246122</v>
      </c>
      <c r="L359" s="48" t="n">
        <f aca="false">K359*INDEX(Surface_Engine!$B$12:$B$72,$A359+1)+L360</f>
        <v>1723.65980058704</v>
      </c>
      <c r="M359" s="48" t="n">
        <f aca="false">M358+B358*(IF($A358&lt;$Q$321,(Surface_Engine!G239*12)-(Surface_Engine!G239*12)*INDEX(Surface_Engine!$F$12:$F$72,$A358+1)-INDEX(Surface_Engine!$D$12:$D$72,$A358+1),-(1000*12*INDEX(Surface_Engine!$C$12:$C$72,$A358+1)/(1+Assumptions!$B$10)^17+INDEX(Surface_Engine!$D$12:$D$72,$A358+1))))*INDEX(Surface_Engine!$B$12:$B$72,$A358+1)</f>
        <v>4539.78129084648</v>
      </c>
      <c r="N359" s="12" t="n">
        <f aca="false">IF(B359&lt;=0,0,MAX(0,(K359+Assumptions!$B$29*L359/INDEX(Surface_Engine!$B$12:$B$72,$A359+1)-(M359/INDEX(Surface_Engine!$B$12:$B$72,$A359+1)-(F359/INDEX(Surface_Engine!$B$12:$B$72,$A359+1))))/B359))</f>
        <v>0</v>
      </c>
    </row>
    <row r="360" customFormat="false" ht="15" hidden="false" customHeight="true" outlineLevel="0" collapsed="false">
      <c r="A360" s="1" t="n">
        <v>37</v>
      </c>
      <c r="B360" s="32" t="n">
        <f aca="false">INDEX(Surface_Engine!$J$12:$J$72,$A360+1)*IF($A360&lt;$Q$321,INDEX(Surface_Engine!$E$12:$E$72,$A360+1),INDEX(Surface_Engine!$E$12:$E$72,$Q$321+1))</f>
        <v>0.0836679846372292</v>
      </c>
      <c r="C360" s="32" t="n">
        <f aca="false">INDEX(Panel_Reserving!$C$8:$C$68,$A360+1)*IF($A360&lt;$Q$321,INDEX(Surface_Engine!$E$12:$E$72,$A360+1),INDEX(Surface_Engine!$E$12:$E$72,$Q$321+1))</f>
        <v>0.134961453498495</v>
      </c>
      <c r="D360" s="32" t="n">
        <f aca="false">INDEX(Surface_Engine!$J$12:$J$72,$A360+1)*IF($A360&lt;$Q$321,INDEX(Surface_Engine!$Y$12:$Y$72,$A360+1),INDEX(Surface_Engine!$Y$12:$Y$72,$Q$321+1))</f>
        <v>0.0750986050823983</v>
      </c>
      <c r="E360" s="32" t="n">
        <f aca="false">INDEX(Surface_Engine!$J$12:$J$72,$A360+1)*IF($A360&lt;$Q$321,INDEX(Surface_Engine!$Z$12:$Z$72,$A360+1),INDEX(Surface_Engine!$Z$12:$Z$72,$Q$321+1))</f>
        <v>0.0931257487795746</v>
      </c>
      <c r="F360" s="48" t="n">
        <f aca="false">B360*(IF($A360&lt;$Q$321,INDEX(Surface_Engine!$D$12:$D$72,$A360+1)+(Surface_Engine!G239*12)*INDEX(Surface_Engine!$F$12:$F$72,$A360+1)-(Surface_Engine!G239*12),1000*12*INDEX(Surface_Engine!$C$12:$C$72,$A360+1)/(1+Assumptions!$B$10)^17+INDEX(Surface_Engine!$D$12:$D$72,$A360+1)))*INDEX(Surface_Engine!$B$12:$B$72,$A360+1)+F361</f>
        <v>1907.80205567342</v>
      </c>
      <c r="G360" s="48" t="n">
        <f aca="false">C360*(IF($A360&lt;$Q$321,INDEX(Surface_Engine!$D$12:$D$72,$A360+1)+(Surface_Engine!G239*12)*INDEX(Surface_Engine!$F$12:$F$72,$A360+1)-(Surface_Engine!G239*12),1000*12*INDEX(Surface_Engine!$C$12:$C$72,$A360+1)/(1+Assumptions!$B$10)^17+INDEX(Surface_Engine!$D$12:$D$72,$A360+1)))*INDEX(Surface_Engine!$B$12:$B$72,$A360+1)+G361</f>
        <v>3646.39453229046</v>
      </c>
      <c r="H360" s="48" t="n">
        <f aca="false">D360*(IF($A360&lt;$Q$321,INDEX(Surface_Engine!$D$12:$D$72,$A360+1)+(Surface_Engine!G239*12)*INDEX(Surface_Engine!$F$12:$F$72,$A360+1)-(Surface_Engine!G239*12),1000*12*INDEX(Surface_Engine!$C$12:$C$72,$A360+1)/(1+Assumptions!$B$10)^17+INDEX(Surface_Engine!$D$12:$D$72,$A360+1)))*INDEX(Surface_Engine!$B$12:$B$72,$A360+1)+H361</f>
        <v>1712.40258475946</v>
      </c>
      <c r="I360" s="48" t="n">
        <f aca="false">E360*(IF($A360&lt;$Q$321,INDEX(Surface_Engine!$D$12:$D$72,$A360+1)+(Surface_Engine!G239*12)*INDEX(Surface_Engine!$F$12:$F$72,$A360+1)-(Surface_Engine!G239*12),1000*12*INDEX(Surface_Engine!$C$12:$C$72,$A360+1)/(1+Assumptions!$B$10)^17+INDEX(Surface_Engine!$D$12:$D$72,$A360+1)))*INDEX(Surface_Engine!$B$12:$B$72,$A360+1)+I361</f>
        <v>2123.45852153758</v>
      </c>
      <c r="J360" s="48" t="n">
        <f aca="false">B360*(IF($A360&lt;$Q$321,INDEX(Surface_Engine!$D$12:$D$72,$A360+1)*(1+Assumptions!$B$24)+(Surface_Engine!G239*12)*INDEX(Surface_Engine!$F$12:$F$72,$A360+1)-(Surface_Engine!G239*12),1000*12*INDEX(Surface_Engine!$C$12:$C$72,$A360+1)/(1+Assumptions!$B$10)^17+INDEX(Surface_Engine!$D$12:$D$72,$A360+1)*(1+Assumptions!$B$24)))*INDEX(Surface_Engine!$B$12:$B$72,$A360+1)+J361</f>
        <v>1909.99218401803</v>
      </c>
      <c r="K360" s="12" t="n">
        <f aca="false">SQRT((IF(C360&lt;=0,0,MAX(0,(B360/C360)*G360/INDEX(Surface_Engine!$B$12:$B$72,$A360+1)-F360/INDEX(Surface_Engine!$B$12:$B$72,$A360+1))))^2+(MAX(IF(D360&lt;=0,0,MAX(0,(B360/D360)*H360/INDEX(Surface_Engine!$B$12:$B$72,$A360+1)-F360/INDEX(Surface_Engine!$B$12:$B$72,$A360+1))),IF(E360&lt;=0,0,MAX(0,(B360/E360)*I360/INDEX(Surface_Engine!$B$12:$B$72,$A360+1)-F360/INDEX(Surface_Engine!$B$12:$B$72,$A360+1))),IF($A360&lt;$Q$321,MAX(0,-Assumptions!$B$22*(F360/INDEX(Surface_Engine!$B$12:$B$72,$A360+1))),0)))^2+(MAX(0,J360/INDEX(Surface_Engine!$B$12:$B$72,$A360+1)-(F360/INDEX(Surface_Engine!$B$12:$B$72,$A360+1))))^2+2*Assumptions!$B$26*(IF(C360&lt;=0,0,MAX(0,(B360/C360)*G360/INDEX(Surface_Engine!$B$12:$B$72,$A360+1)-F360/INDEX(Surface_Engine!$B$12:$B$72,$A360+1))))*(MAX(IF(D360&lt;=0,0,MAX(0,(B360/D360)*H360/INDEX(Surface_Engine!$B$12:$B$72,$A360+1)-F360/INDEX(Surface_Engine!$B$12:$B$72,$A360+1))),IF(E360&lt;=0,0,MAX(0,(B360/E360)*I360/INDEX(Surface_Engine!$B$12:$B$72,$A360+1)-F360/INDEX(Surface_Engine!$B$12:$B$72,$A360+1))),IF($A360&lt;$Q$321,MAX(0,-Assumptions!$B$22*(F360/INDEX(Surface_Engine!$B$12:$B$72,$A360+1))),0)))+2*Assumptions!$B$27*(IF(C360&lt;=0,0,MAX(0,(B360/C360)*G360/INDEX(Surface_Engine!$B$12:$B$72,$A360+1)-F360/INDEX(Surface_Engine!$B$12:$B$72,$A360+1))))*(MAX(0,J360/INDEX(Surface_Engine!$B$12:$B$72,$A360+1)-(F360/INDEX(Surface_Engine!$B$12:$B$72,$A360+1))))+2*Assumptions!$B$28*(MAX(IF(D360&lt;=0,0,MAX(0,(B360/D360)*H360/INDEX(Surface_Engine!$B$12:$B$72,$A360+1)-F360/INDEX(Surface_Engine!$B$12:$B$72,$A360+1))),IF(E360&lt;=0,0,MAX(0,(B360/E360)*I360/INDEX(Surface_Engine!$B$12:$B$72,$A360+1)-F360/INDEX(Surface_Engine!$B$12:$B$72,$A360+1))),IF($A360&lt;$Q$321,MAX(0,-Assumptions!$B$22*(F360/INDEX(Surface_Engine!$B$12:$B$72,$A360+1))),0)))*(MAX(0,J360/INDEX(Surface_Engine!$B$12:$B$72,$A360+1)-(F360/INDEX(Surface_Engine!$B$12:$B$72,$A360+1)))))</f>
        <v>1131.53008638977</v>
      </c>
      <c r="L360" s="48" t="n">
        <f aca="false">K360*INDEX(Surface_Engine!$B$12:$B$72,$A360+1)+L361</f>
        <v>1260.35238588406</v>
      </c>
      <c r="M360" s="48" t="n">
        <f aca="false">M359+B359*(IF($A359&lt;$Q$321,(Surface_Engine!G239*12)-(Surface_Engine!G239*12)*INDEX(Surface_Engine!$F$12:$F$72,$A359+1)-INDEX(Surface_Engine!$D$12:$D$72,$A359+1),-(1000*12*INDEX(Surface_Engine!$C$12:$C$72,$A359+1)/(1+Assumptions!$B$10)^17+INDEX(Surface_Engine!$D$12:$D$72,$A359+1))))*INDEX(Surface_Engine!$B$12:$B$72,$A359+1)</f>
        <v>3946.90289621437</v>
      </c>
      <c r="N360" s="12" t="n">
        <f aca="false">IF(B360&lt;=0,0,MAX(0,(K360+Assumptions!$B$29*L360/INDEX(Surface_Engine!$B$12:$B$72,$A360+1)-(M360/INDEX(Surface_Engine!$B$12:$B$72,$A360+1)-(F360/INDEX(Surface_Engine!$B$12:$B$72,$A360+1))))/B360))</f>
        <v>0</v>
      </c>
    </row>
    <row r="361" customFormat="false" ht="15" hidden="false" customHeight="true" outlineLevel="0" collapsed="false">
      <c r="A361" s="1" t="n">
        <v>38</v>
      </c>
      <c r="B361" s="32" t="n">
        <f aca="false">INDEX(Surface_Engine!$J$12:$J$72,$A361+1)*IF($A361&lt;$Q$321,INDEX(Surface_Engine!$E$12:$E$72,$A361+1),INDEX(Surface_Engine!$E$12:$E$72,$Q$321+1))</f>
        <v>0.0664171632284614</v>
      </c>
      <c r="C361" s="32" t="n">
        <f aca="false">INDEX(Panel_Reserving!$C$8:$C$68,$A361+1)*IF($A361&lt;$Q$321,INDEX(Surface_Engine!$E$12:$E$72,$A361+1),INDEX(Surface_Engine!$E$12:$E$72,$Q$321+1))</f>
        <v>0.112700169768859</v>
      </c>
      <c r="D361" s="32" t="n">
        <f aca="false">INDEX(Surface_Engine!$J$12:$J$72,$A361+1)*IF($A361&lt;$Q$321,INDEX(Surface_Engine!$Y$12:$Y$72,$A361+1),INDEX(Surface_Engine!$Y$12:$Y$72,$Q$321+1))</f>
        <v>0.0596146343624011</v>
      </c>
      <c r="E361" s="32" t="n">
        <f aca="false">INDEX(Surface_Engine!$J$12:$J$72,$A361+1)*IF($A361&lt;$Q$321,INDEX(Surface_Engine!$Z$12:$Z$72,$A361+1),INDEX(Surface_Engine!$Z$12:$Z$72,$Q$321+1))</f>
        <v>0.073924907887808</v>
      </c>
      <c r="F361" s="48" t="n">
        <f aca="false">B361*(IF($A361&lt;$Q$321,INDEX(Surface_Engine!$D$12:$D$72,$A361+1)+(Surface_Engine!G239*12)*INDEX(Surface_Engine!$F$12:$F$72,$A361+1)-(Surface_Engine!G239*12),1000*12*INDEX(Surface_Engine!$C$12:$C$72,$A361+1)/(1+Assumptions!$B$10)^17+INDEX(Surface_Engine!$D$12:$D$72,$A361+1)))*INDEX(Surface_Engine!$B$12:$B$72,$A361+1)+F362</f>
        <v>1436.6410733302</v>
      </c>
      <c r="G361" s="48" t="n">
        <f aca="false">C361*(IF($A361&lt;$Q$321,INDEX(Surface_Engine!$D$12:$D$72,$A361+1)+(Surface_Engine!G239*12)*INDEX(Surface_Engine!$F$12:$F$72,$A361+1)-(Surface_Engine!G239*12),1000*12*INDEX(Surface_Engine!$C$12:$C$72,$A361+1)/(1+Assumptions!$B$10)^17+INDEX(Surface_Engine!$D$12:$D$72,$A361+1)))*INDEX(Surface_Engine!$B$12:$B$72,$A361+1)+G362</f>
        <v>2886.38374340233</v>
      </c>
      <c r="H361" s="48" t="n">
        <f aca="false">D361*(IF($A361&lt;$Q$321,INDEX(Surface_Engine!$D$12:$D$72,$A361+1)+(Surface_Engine!G239*12)*INDEX(Surface_Engine!$F$12:$F$72,$A361+1)-(Surface_Engine!G239*12),1000*12*INDEX(Surface_Engine!$C$12:$C$72,$A361+1)/(1+Assumptions!$B$10)^17+INDEX(Surface_Engine!$D$12:$D$72,$A361+1)))*INDEX(Surface_Engine!$B$12:$B$72,$A361+1)+H362</f>
        <v>1289.49849908504</v>
      </c>
      <c r="I361" s="48" t="n">
        <f aca="false">E361*(IF($A361&lt;$Q$321,INDEX(Surface_Engine!$D$12:$D$72,$A361+1)+(Surface_Engine!G239*12)*INDEX(Surface_Engine!$F$12:$F$72,$A361+1)-(Surface_Engine!G239*12),1000*12*INDEX(Surface_Engine!$C$12:$C$72,$A361+1)/(1+Assumptions!$B$10)^17+INDEX(Surface_Engine!$D$12:$D$72,$A361+1)))*INDEX(Surface_Engine!$B$12:$B$72,$A361+1)+I362</f>
        <v>1599.0378668908</v>
      </c>
      <c r="J361" s="48" t="n">
        <f aca="false">B361*(IF($A361&lt;$Q$321,INDEX(Surface_Engine!$D$12:$D$72,$A361+1)*(1+Assumptions!$B$24)+(Surface_Engine!G239*12)*INDEX(Surface_Engine!$F$12:$F$72,$A361+1)-(Surface_Engine!G239*12),1000*12*INDEX(Surface_Engine!$C$12:$C$72,$A361+1)/(1+Assumptions!$B$10)^17+INDEX(Surface_Engine!$D$12:$D$72,$A361+1)*(1+Assumptions!$B$24)))*INDEX(Surface_Engine!$B$12:$B$72,$A361+1)+J362</f>
        <v>1438.29709227944</v>
      </c>
      <c r="K361" s="12" t="n">
        <f aca="false">SQRT((IF(C361&lt;=0,0,MAX(0,(B361/C361)*G361/INDEX(Surface_Engine!$B$12:$B$72,$A361+1)-F361/INDEX(Surface_Engine!$B$12:$B$72,$A361+1))))^2+(MAX(IF(D361&lt;=0,0,MAX(0,(B361/D361)*H361/INDEX(Surface_Engine!$B$12:$B$72,$A361+1)-F361/INDEX(Surface_Engine!$B$12:$B$72,$A361+1))),IF(E361&lt;=0,0,MAX(0,(B361/E361)*I361/INDEX(Surface_Engine!$B$12:$B$72,$A361+1)-F361/INDEX(Surface_Engine!$B$12:$B$72,$A361+1))),IF($A361&lt;$Q$321,MAX(0,-Assumptions!$B$22*(F361/INDEX(Surface_Engine!$B$12:$B$72,$A361+1))),0)))^2+(MAX(0,J361/INDEX(Surface_Engine!$B$12:$B$72,$A361+1)-(F361/INDEX(Surface_Engine!$B$12:$B$72,$A361+1))))^2+2*Assumptions!$B$26*(IF(C361&lt;=0,0,MAX(0,(B361/C361)*G361/INDEX(Surface_Engine!$B$12:$B$72,$A361+1)-F361/INDEX(Surface_Engine!$B$12:$B$72,$A361+1))))*(MAX(IF(D361&lt;=0,0,MAX(0,(B361/D361)*H361/INDEX(Surface_Engine!$B$12:$B$72,$A361+1)-F361/INDEX(Surface_Engine!$B$12:$B$72,$A361+1))),IF(E361&lt;=0,0,MAX(0,(B361/E361)*I361/INDEX(Surface_Engine!$B$12:$B$72,$A361+1)-F361/INDEX(Surface_Engine!$B$12:$B$72,$A361+1))),IF($A361&lt;$Q$321,MAX(0,-Assumptions!$B$22*(F361/INDEX(Surface_Engine!$B$12:$B$72,$A361+1))),0)))+2*Assumptions!$B$27*(IF(C361&lt;=0,0,MAX(0,(B361/C361)*G361/INDEX(Surface_Engine!$B$12:$B$72,$A361+1)-F361/INDEX(Surface_Engine!$B$12:$B$72,$A361+1))))*(MAX(0,J361/INDEX(Surface_Engine!$B$12:$B$72,$A361+1)-(F361/INDEX(Surface_Engine!$B$12:$B$72,$A361+1))))+2*Assumptions!$B$28*(MAX(IF(D361&lt;=0,0,MAX(0,(B361/D361)*H361/INDEX(Surface_Engine!$B$12:$B$72,$A361+1)-F361/INDEX(Surface_Engine!$B$12:$B$72,$A361+1))),IF(E361&lt;=0,0,MAX(0,(B361/E361)*I361/INDEX(Surface_Engine!$B$12:$B$72,$A361+1)-F361/INDEX(Surface_Engine!$B$12:$B$72,$A361+1))),IF($A361&lt;$Q$321,MAX(0,-Assumptions!$B$22*(F361/INDEX(Surface_Engine!$B$12:$B$72,$A361+1))),0)))*(MAX(0,J361/INDEX(Surface_Engine!$B$12:$B$72,$A361+1)-(F361/INDEX(Surface_Engine!$B$12:$B$72,$A361+1)))))</f>
        <v>875.84165569818</v>
      </c>
      <c r="L361" s="48" t="n">
        <f aca="false">K361*INDEX(Surface_Engine!$B$12:$B$72,$A361+1)+L362</f>
        <v>907.055228062884</v>
      </c>
      <c r="M361" s="48" t="n">
        <f aca="false">M360+B360*(IF($A360&lt;$Q$321,(Surface_Engine!G239*12)-(Surface_Engine!G239*12)*INDEX(Surface_Engine!$F$12:$F$72,$A360+1)-INDEX(Surface_Engine!$D$12:$D$72,$A360+1),-(1000*12*INDEX(Surface_Engine!$C$12:$C$72,$A360+1)/(1+Assumptions!$B$10)^17+INDEX(Surface_Engine!$D$12:$D$72,$A360+1))))*INDEX(Surface_Engine!$B$12:$B$72,$A360+1)</f>
        <v>3475.74191387115</v>
      </c>
      <c r="N361" s="12" t="n">
        <f aca="false">IF(B361&lt;=0,0,MAX(0,(K361+Assumptions!$B$29*L361/INDEX(Surface_Engine!$B$12:$B$72,$A361+1)-(M361/INDEX(Surface_Engine!$B$12:$B$72,$A361+1)-(F361/INDEX(Surface_Engine!$B$12:$B$72,$A361+1))))/B361))</f>
        <v>0</v>
      </c>
    </row>
    <row r="362" customFormat="false" ht="15" hidden="false" customHeight="true" outlineLevel="0" collapsed="false">
      <c r="A362" s="1" t="n">
        <v>39</v>
      </c>
      <c r="B362" s="32" t="n">
        <f aca="false">INDEX(Surface_Engine!$J$12:$J$72,$A362+1)*IF($A362&lt;$Q$321,INDEX(Surface_Engine!$E$12:$E$72,$A362+1),INDEX(Surface_Engine!$E$12:$E$72,$Q$321+1))</f>
        <v>0.0519545963198989</v>
      </c>
      <c r="C362" s="32" t="n">
        <f aca="false">INDEX(Panel_Reserving!$C$8:$C$68,$A362+1)*IF($A362&lt;$Q$321,INDEX(Surface_Engine!$E$12:$E$72,$A362+1),INDEX(Surface_Engine!$E$12:$E$72,$Q$321+1))</f>
        <v>0.0930674884960158</v>
      </c>
      <c r="D362" s="32" t="n">
        <f aca="false">INDEX(Surface_Engine!$J$12:$J$72,$A362+1)*IF($A362&lt;$Q$321,INDEX(Surface_Engine!$Y$12:$Y$72,$A362+1),INDEX(Surface_Engine!$Y$12:$Y$72,$Q$321+1))</f>
        <v>0.0466333416319364</v>
      </c>
      <c r="E362" s="32" t="n">
        <f aca="false">INDEX(Surface_Engine!$J$12:$J$72,$A362+1)*IF($A362&lt;$Q$321,INDEX(Surface_Engine!$Z$12:$Z$72,$A362+1),INDEX(Surface_Engine!$Z$12:$Z$72,$Q$321+1))</f>
        <v>0.0578275036241073</v>
      </c>
      <c r="F362" s="48" t="n">
        <f aca="false">B362*(IF($A362&lt;$Q$321,INDEX(Surface_Engine!$D$12:$D$72,$A362+1)+(Surface_Engine!G239*12)*INDEX(Surface_Engine!$F$12:$F$72,$A362+1)-(Surface_Engine!G239*12),1000*12*INDEX(Surface_Engine!$C$12:$C$72,$A362+1)/(1+Assumptions!$B$10)^17+INDEX(Surface_Engine!$D$12:$D$72,$A362+1)))*INDEX(Surface_Engine!$B$12:$B$72,$A362+1)+F363</f>
        <v>1067.21126483091</v>
      </c>
      <c r="G362" s="48" t="n">
        <f aca="false">C362*(IF($A362&lt;$Q$321,INDEX(Surface_Engine!$D$12:$D$72,$A362+1)+(Surface_Engine!G239*12)*INDEX(Surface_Engine!$F$12:$F$72,$A362+1)-(Surface_Engine!G239*12),1000*12*INDEX(Surface_Engine!$C$12:$C$72,$A362+1)/(1+Assumptions!$B$10)^17+INDEX(Surface_Engine!$D$12:$D$72,$A362+1)))*INDEX(Surface_Engine!$B$12:$B$72,$A362+1)+G363</f>
        <v>2259.51562510688</v>
      </c>
      <c r="H362" s="48" t="n">
        <f aca="false">D362*(IF($A362&lt;$Q$321,INDEX(Surface_Engine!$D$12:$D$72,$A362+1)+(Surface_Engine!G239*12)*INDEX(Surface_Engine!$F$12:$F$72,$A362+1)-(Surface_Engine!G239*12),1000*12*INDEX(Surface_Engine!$C$12:$C$72,$A362+1)/(1+Assumptions!$B$10)^17+INDEX(Surface_Engine!$D$12:$D$72,$A362+1)))*INDEX(Surface_Engine!$B$12:$B$72,$A362+1)+H363</f>
        <v>957.906153285794</v>
      </c>
      <c r="I362" s="48" t="n">
        <f aca="false">E362*(IF($A362&lt;$Q$321,INDEX(Surface_Engine!$D$12:$D$72,$A362+1)+(Surface_Engine!G239*12)*INDEX(Surface_Engine!$F$12:$F$72,$A362+1)-(Surface_Engine!G239*12),1000*12*INDEX(Surface_Engine!$C$12:$C$72,$A362+1)/(1+Assumptions!$B$10)^17+INDEX(Surface_Engine!$D$12:$D$72,$A362+1)))*INDEX(Surface_Engine!$B$12:$B$72,$A362+1)+I363</f>
        <v>1187.8479991396</v>
      </c>
      <c r="J362" s="48" t="n">
        <f aca="false">B362*(IF($A362&lt;$Q$321,INDEX(Surface_Engine!$D$12:$D$72,$A362+1)*(1+Assumptions!$B$24)+(Surface_Engine!G239*12)*INDEX(Surface_Engine!$F$12:$F$72,$A362+1)-(Surface_Engine!G239*12),1000*12*INDEX(Surface_Engine!$C$12:$C$72,$A362+1)/(1+Assumptions!$B$10)^17+INDEX(Surface_Engine!$D$12:$D$72,$A362+1)*(1+Assumptions!$B$24)))*INDEX(Surface_Engine!$B$12:$B$72,$A362+1)+J363</f>
        <v>1068.44646763387</v>
      </c>
      <c r="K362" s="12" t="n">
        <f aca="false">SQRT((IF(C362&lt;=0,0,MAX(0,(B362/C362)*G362/INDEX(Surface_Engine!$B$12:$B$72,$A362+1)-F362/INDEX(Surface_Engine!$B$12:$B$72,$A362+1))))^2+(MAX(IF(D362&lt;=0,0,MAX(0,(B362/D362)*H362/INDEX(Surface_Engine!$B$12:$B$72,$A362+1)-F362/INDEX(Surface_Engine!$B$12:$B$72,$A362+1))),IF(E362&lt;=0,0,MAX(0,(B362/E362)*I362/INDEX(Surface_Engine!$B$12:$B$72,$A362+1)-F362/INDEX(Surface_Engine!$B$12:$B$72,$A362+1))),IF($A362&lt;$Q$321,MAX(0,-Assumptions!$B$22*(F362/INDEX(Surface_Engine!$B$12:$B$72,$A362+1))),0)))^2+(MAX(0,J362/INDEX(Surface_Engine!$B$12:$B$72,$A362+1)-(F362/INDEX(Surface_Engine!$B$12:$B$72,$A362+1))))^2+2*Assumptions!$B$26*(IF(C362&lt;=0,0,MAX(0,(B362/C362)*G362/INDEX(Surface_Engine!$B$12:$B$72,$A362+1)-F362/INDEX(Surface_Engine!$B$12:$B$72,$A362+1))))*(MAX(IF(D362&lt;=0,0,MAX(0,(B362/D362)*H362/INDEX(Surface_Engine!$B$12:$B$72,$A362+1)-F362/INDEX(Surface_Engine!$B$12:$B$72,$A362+1))),IF(E362&lt;=0,0,MAX(0,(B362/E362)*I362/INDEX(Surface_Engine!$B$12:$B$72,$A362+1)-F362/INDEX(Surface_Engine!$B$12:$B$72,$A362+1))),IF($A362&lt;$Q$321,MAX(0,-Assumptions!$B$22*(F362/INDEX(Surface_Engine!$B$12:$B$72,$A362+1))),0)))+2*Assumptions!$B$27*(IF(C362&lt;=0,0,MAX(0,(B362/C362)*G362/INDEX(Surface_Engine!$B$12:$B$72,$A362+1)-F362/INDEX(Surface_Engine!$B$12:$B$72,$A362+1))))*(MAX(0,J362/INDEX(Surface_Engine!$B$12:$B$72,$A362+1)-(F362/INDEX(Surface_Engine!$B$12:$B$72,$A362+1))))+2*Assumptions!$B$28*(MAX(IF(D362&lt;=0,0,MAX(0,(B362/D362)*H362/INDEX(Surface_Engine!$B$12:$B$72,$A362+1)-F362/INDEX(Surface_Engine!$B$12:$B$72,$A362+1))),IF(E362&lt;=0,0,MAX(0,(B362/E362)*I362/INDEX(Surface_Engine!$B$12:$B$72,$A362+1)-F362/INDEX(Surface_Engine!$B$12:$B$72,$A362+1))),IF($A362&lt;$Q$321,MAX(0,-Assumptions!$B$22*(F362/INDEX(Surface_Engine!$B$12:$B$72,$A362+1))),0)))*(MAX(0,J362/INDEX(Surface_Engine!$B$12:$B$72,$A362+1)-(F362/INDEX(Surface_Engine!$B$12:$B$72,$A362+1)))))</f>
        <v>664.036294617728</v>
      </c>
      <c r="L362" s="48" t="n">
        <f aca="false">K362*INDEX(Surface_Engine!$B$12:$B$72,$A362+1)+L363</f>
        <v>642.25586750436</v>
      </c>
      <c r="M362" s="48" t="n">
        <f aca="false">M361+B361*(IF($A361&lt;$Q$321,(Surface_Engine!G239*12)-(Surface_Engine!G239*12)*INDEX(Surface_Engine!$F$12:$F$72,$A361+1)-INDEX(Surface_Engine!$D$12:$D$72,$A361+1),-(1000*12*INDEX(Surface_Engine!$C$12:$C$72,$A361+1)/(1+Assumptions!$B$10)^17+INDEX(Surface_Engine!$D$12:$D$72,$A361+1))))*INDEX(Surface_Engine!$B$12:$B$72,$A361+1)</f>
        <v>3106.31210537186</v>
      </c>
      <c r="N362" s="12" t="n">
        <f aca="false">IF(B362&lt;=0,0,MAX(0,(K362+Assumptions!$B$29*L362/INDEX(Surface_Engine!$B$12:$B$72,$A362+1)-(M362/INDEX(Surface_Engine!$B$12:$B$72,$A362+1)-(F362/INDEX(Surface_Engine!$B$12:$B$72,$A362+1))))/B362))</f>
        <v>0</v>
      </c>
    </row>
    <row r="363" customFormat="false" ht="15" hidden="false" customHeight="true" outlineLevel="0" collapsed="false">
      <c r="A363" s="1" t="n">
        <v>40</v>
      </c>
      <c r="B363" s="32" t="n">
        <f aca="false">INDEX(Surface_Engine!$J$12:$J$72,$A363+1)*IF($A363&lt;$Q$321,INDEX(Surface_Engine!$E$12:$E$72,$A363+1),INDEX(Surface_Engine!$E$12:$E$72,$Q$321+1))</f>
        <v>0.0399736424093847</v>
      </c>
      <c r="C363" s="32" t="n">
        <f aca="false">INDEX(Panel_Reserving!$C$8:$C$68,$A363+1)*IF($A363&lt;$Q$321,INDEX(Surface_Engine!$E$12:$E$72,$A363+1),INDEX(Surface_Engine!$E$12:$E$72,$Q$321+1))</f>
        <v>0.075898077214327</v>
      </c>
      <c r="D363" s="32" t="n">
        <f aca="false">INDEX(Surface_Engine!$J$12:$J$72,$A363+1)*IF($A363&lt;$Q$321,INDEX(Surface_Engine!$Y$12:$Y$72,$A363+1),INDEX(Surface_Engine!$Y$12:$Y$72,$Q$321+1))</f>
        <v>0.0358794919947388</v>
      </c>
      <c r="E363" s="32" t="n">
        <f aca="false">INDEX(Surface_Engine!$J$12:$J$72,$A363+1)*IF($A363&lt;$Q$321,INDEX(Surface_Engine!$Z$12:$Z$72,$A363+1),INDEX(Surface_Engine!$Z$12:$Z$72,$Q$321+1))</f>
        <v>0.0444922319685528</v>
      </c>
      <c r="F363" s="48" t="n">
        <f aca="false">B363*(IF($A363&lt;$Q$321,INDEX(Surface_Engine!$D$12:$D$72,$A363+1)+(Surface_Engine!G239*12)*INDEX(Surface_Engine!$F$12:$F$72,$A363+1)-(Surface_Engine!G239*12),1000*12*INDEX(Surface_Engine!$C$12:$C$72,$A363+1)/(1+Assumptions!$B$10)^17+INDEX(Surface_Engine!$D$12:$D$72,$A363+1)))*INDEX(Surface_Engine!$B$12:$B$72,$A363+1)+F364</f>
        <v>781.672811640611</v>
      </c>
      <c r="G363" s="48" t="n">
        <f aca="false">C363*(IF($A363&lt;$Q$321,INDEX(Surface_Engine!$D$12:$D$72,$A363+1)+(Surface_Engine!G239*12)*INDEX(Surface_Engine!$F$12:$F$72,$A363+1)-(Surface_Engine!G239*12),1000*12*INDEX(Surface_Engine!$C$12:$C$72,$A363+1)/(1+Assumptions!$B$10)^17+INDEX(Surface_Engine!$D$12:$D$72,$A363+1)))*INDEX(Surface_Engine!$B$12:$B$72,$A363+1)+G364</f>
        <v>1748.02388828666</v>
      </c>
      <c r="H363" s="48" t="n">
        <f aca="false">D363*(IF($A363&lt;$Q$321,INDEX(Surface_Engine!$D$12:$D$72,$A363+1)+(Surface_Engine!G239*12)*INDEX(Surface_Engine!$F$12:$F$72,$A363+1)-(Surface_Engine!G239*12),1000*12*INDEX(Surface_Engine!$C$12:$C$72,$A363+1)/(1+Assumptions!$B$10)^17+INDEX(Surface_Engine!$D$12:$D$72,$A363+1)))*INDEX(Surface_Engine!$B$12:$B$72,$A363+1)+H364</f>
        <v>701.612905337338</v>
      </c>
      <c r="I363" s="48" t="n">
        <f aca="false">E363*(IF($A363&lt;$Q$321,INDEX(Surface_Engine!$D$12:$D$72,$A363+1)+(Surface_Engine!G239*12)*INDEX(Surface_Engine!$F$12:$F$72,$A363+1)-(Surface_Engine!G239*12),1000*12*INDEX(Surface_Engine!$C$12:$C$72,$A363+1)/(1+Assumptions!$B$10)^17+INDEX(Surface_Engine!$D$12:$D$72,$A363+1)))*INDEX(Surface_Engine!$B$12:$B$72,$A363+1)+I364</f>
        <v>870.032500487369</v>
      </c>
      <c r="J363" s="48" t="n">
        <f aca="false">B363*(IF($A363&lt;$Q$321,INDEX(Surface_Engine!$D$12:$D$72,$A363+1)*(1+Assumptions!$B$24)+(Surface_Engine!G239*12)*INDEX(Surface_Engine!$F$12:$F$72,$A363+1)-(Surface_Engine!G239*12),1000*12*INDEX(Surface_Engine!$C$12:$C$72,$A363+1)/(1+Assumptions!$B$10)^17+INDEX(Surface_Engine!$D$12:$D$72,$A363+1)*(1+Assumptions!$B$24)))*INDEX(Surface_Engine!$B$12:$B$72,$A363+1)+J364</f>
        <v>782.581182492318</v>
      </c>
      <c r="K363" s="12" t="n">
        <f aca="false">SQRT((IF(C363&lt;=0,0,MAX(0,(B363/C363)*G363/INDEX(Surface_Engine!$B$12:$B$72,$A363+1)-F363/INDEX(Surface_Engine!$B$12:$B$72,$A363+1))))^2+(MAX(IF(D363&lt;=0,0,MAX(0,(B363/D363)*H363/INDEX(Surface_Engine!$B$12:$B$72,$A363+1)-F363/INDEX(Surface_Engine!$B$12:$B$72,$A363+1))),IF(E363&lt;=0,0,MAX(0,(B363/E363)*I363/INDEX(Surface_Engine!$B$12:$B$72,$A363+1)-F363/INDEX(Surface_Engine!$B$12:$B$72,$A363+1))),IF($A363&lt;$Q$321,MAX(0,-Assumptions!$B$22*(F363/INDEX(Surface_Engine!$B$12:$B$72,$A363+1))),0)))^2+(MAX(0,J363/INDEX(Surface_Engine!$B$12:$B$72,$A363+1)-(F363/INDEX(Surface_Engine!$B$12:$B$72,$A363+1))))^2+2*Assumptions!$B$26*(IF(C363&lt;=0,0,MAX(0,(B363/C363)*G363/INDEX(Surface_Engine!$B$12:$B$72,$A363+1)-F363/INDEX(Surface_Engine!$B$12:$B$72,$A363+1))))*(MAX(IF(D363&lt;=0,0,MAX(0,(B363/D363)*H363/INDEX(Surface_Engine!$B$12:$B$72,$A363+1)-F363/INDEX(Surface_Engine!$B$12:$B$72,$A363+1))),IF(E363&lt;=0,0,MAX(0,(B363/E363)*I363/INDEX(Surface_Engine!$B$12:$B$72,$A363+1)-F363/INDEX(Surface_Engine!$B$12:$B$72,$A363+1))),IF($A363&lt;$Q$321,MAX(0,-Assumptions!$B$22*(F363/INDEX(Surface_Engine!$B$12:$B$72,$A363+1))),0)))+2*Assumptions!$B$27*(IF(C363&lt;=0,0,MAX(0,(B363/C363)*G363/INDEX(Surface_Engine!$B$12:$B$72,$A363+1)-F363/INDEX(Surface_Engine!$B$12:$B$72,$A363+1))))*(MAX(0,J363/INDEX(Surface_Engine!$B$12:$B$72,$A363+1)-(F363/INDEX(Surface_Engine!$B$12:$B$72,$A363+1))))+2*Assumptions!$B$28*(MAX(IF(D363&lt;=0,0,MAX(0,(B363/D363)*H363/INDEX(Surface_Engine!$B$12:$B$72,$A363+1)-F363/INDEX(Surface_Engine!$B$12:$B$72,$A363+1))),IF(E363&lt;=0,0,MAX(0,(B363/E363)*I363/INDEX(Surface_Engine!$B$12:$B$72,$A363+1)-F363/INDEX(Surface_Engine!$B$12:$B$72,$A363+1))),IF($A363&lt;$Q$321,MAX(0,-Assumptions!$B$22*(F363/INDEX(Surface_Engine!$B$12:$B$72,$A363+1))),0)))*(MAX(0,J363/INDEX(Surface_Engine!$B$12:$B$72,$A363+1)-(F363/INDEX(Surface_Engine!$B$12:$B$72,$A363+1)))))</f>
        <v>490.895904818509</v>
      </c>
      <c r="L363" s="48" t="n">
        <f aca="false">K363*INDEX(Surface_Engine!$B$12:$B$72,$A363+1)+L364</f>
        <v>447.788047009439</v>
      </c>
      <c r="M363" s="48" t="n">
        <f aca="false">M362+B362*(IF($A362&lt;$Q$321,(Surface_Engine!G239*12)-(Surface_Engine!G239*12)*INDEX(Surface_Engine!$F$12:$F$72,$A362+1)-INDEX(Surface_Engine!$D$12:$D$72,$A362+1),-(1000*12*INDEX(Surface_Engine!$C$12:$C$72,$A362+1)/(1+Assumptions!$B$10)^17+INDEX(Surface_Engine!$D$12:$D$72,$A362+1))))*INDEX(Surface_Engine!$B$12:$B$72,$A362+1)</f>
        <v>2820.77365218156</v>
      </c>
      <c r="N363" s="12" t="n">
        <f aca="false">IF(B363&lt;=0,0,MAX(0,(K363+Assumptions!$B$29*L363/INDEX(Surface_Engine!$B$12:$B$72,$A363+1)-(M363/INDEX(Surface_Engine!$B$12:$B$72,$A363+1)-(F363/INDEX(Surface_Engine!$B$12:$B$72,$A363+1))))/B363))</f>
        <v>0</v>
      </c>
    </row>
    <row r="364" customFormat="false" ht="15" hidden="false" customHeight="true" outlineLevel="0" collapsed="false">
      <c r="A364" s="1" t="n">
        <v>41</v>
      </c>
      <c r="B364" s="32" t="n">
        <f aca="false">INDEX(Surface_Engine!$J$12:$J$72,$A364+1)*IF($A364&lt;$Q$321,INDEX(Surface_Engine!$E$12:$E$72,$A364+1),INDEX(Surface_Engine!$E$12:$E$72,$Q$321+1))</f>
        <v>0.0301672634566126</v>
      </c>
      <c r="C364" s="32" t="n">
        <f aca="false">INDEX(Panel_Reserving!$C$8:$C$68,$A364+1)*IF($A364&lt;$Q$321,INDEX(Surface_Engine!$E$12:$E$72,$A364+1),INDEX(Surface_Engine!$E$12:$E$72,$Q$321+1))</f>
        <v>0.0610025558239478</v>
      </c>
      <c r="D364" s="32" t="n">
        <f aca="false">INDEX(Surface_Engine!$J$12:$J$72,$A364+1)*IF($A364&lt;$Q$321,INDEX(Surface_Engine!$Y$12:$Y$72,$A364+1),INDEX(Surface_Engine!$Y$12:$Y$72,$Q$321+1))</f>
        <v>0.0270774946303266</v>
      </c>
      <c r="E364" s="32" t="n">
        <f aca="false">INDEX(Surface_Engine!$J$12:$J$72,$A364+1)*IF($A364&lt;$Q$321,INDEX(Surface_Engine!$Z$12:$Z$72,$A364+1),INDEX(Surface_Engine!$Z$12:$Z$72,$Q$321+1))</f>
        <v>0.0335773475387107</v>
      </c>
      <c r="F364" s="48" t="n">
        <f aca="false">B364*(IF($A364&lt;$Q$321,INDEX(Surface_Engine!$D$12:$D$72,$A364+1)+(Surface_Engine!G239*12)*INDEX(Surface_Engine!$F$12:$F$72,$A364+1)-(Surface_Engine!G239*12),1000*12*INDEX(Surface_Engine!$C$12:$C$72,$A364+1)/(1+Assumptions!$B$10)^17+INDEX(Surface_Engine!$D$12:$D$72,$A364+1)))*INDEX(Surface_Engine!$B$12:$B$72,$A364+1)+F365</f>
        <v>564.689297628138</v>
      </c>
      <c r="G364" s="48" t="n">
        <f aca="false">C364*(IF($A364&lt;$Q$321,INDEX(Surface_Engine!$D$12:$D$72,$A364+1)+(Surface_Engine!G239*12)*INDEX(Surface_Engine!$F$12:$F$72,$A364+1)-(Surface_Engine!G239*12),1000*12*INDEX(Surface_Engine!$C$12:$C$72,$A364+1)/(1+Assumptions!$B$10)^17+INDEX(Surface_Engine!$D$12:$D$72,$A364+1)))*INDEX(Surface_Engine!$B$12:$B$72,$A364+1)+G365</f>
        <v>1336.03662597783</v>
      </c>
      <c r="H364" s="48" t="n">
        <f aca="false">D364*(IF($A364&lt;$Q$321,INDEX(Surface_Engine!$D$12:$D$72,$A364+1)+(Surface_Engine!G239*12)*INDEX(Surface_Engine!$F$12:$F$72,$A364+1)-(Surface_Engine!G239*12),1000*12*INDEX(Surface_Engine!$C$12:$C$72,$A364+1)/(1+Assumptions!$B$10)^17+INDEX(Surface_Engine!$D$12:$D$72,$A364+1)))*INDEX(Surface_Engine!$B$12:$B$72,$A364+1)+H365</f>
        <v>506.853114016119</v>
      </c>
      <c r="I364" s="48" t="n">
        <f aca="false">E364*(IF($A364&lt;$Q$321,INDEX(Surface_Engine!$D$12:$D$72,$A364+1)+(Surface_Engine!G239*12)*INDEX(Surface_Engine!$F$12:$F$72,$A364+1)-(Surface_Engine!G239*12),1000*12*INDEX(Surface_Engine!$C$12:$C$72,$A364+1)/(1+Assumptions!$B$10)^17+INDEX(Surface_Engine!$D$12:$D$72,$A364+1)))*INDEX(Surface_Engine!$B$12:$B$72,$A364+1)+I365</f>
        <v>628.521338208893</v>
      </c>
      <c r="J364" s="48" t="n">
        <f aca="false">B364*(IF($A364&lt;$Q$321,INDEX(Surface_Engine!$D$12:$D$72,$A364+1)*(1+Assumptions!$B$24)+(Surface_Engine!G239*12)*INDEX(Surface_Engine!$F$12:$F$72,$A364+1)-(Surface_Engine!G239*12),1000*12*INDEX(Surface_Engine!$C$12:$C$72,$A364+1)/(1+Assumptions!$B$10)^17+INDEX(Surface_Engine!$D$12:$D$72,$A364+1)*(1+Assumptions!$B$24)))*INDEX(Surface_Engine!$B$12:$B$72,$A364+1)+J365</f>
        <v>565.348102163302</v>
      </c>
      <c r="K364" s="12" t="n">
        <f aca="false">SQRT((IF(C364&lt;=0,0,MAX(0,(B364/C364)*G364/INDEX(Surface_Engine!$B$12:$B$72,$A364+1)-F364/INDEX(Surface_Engine!$B$12:$B$72,$A364+1))))^2+(MAX(IF(D364&lt;=0,0,MAX(0,(B364/D364)*H364/INDEX(Surface_Engine!$B$12:$B$72,$A364+1)-F364/INDEX(Surface_Engine!$B$12:$B$72,$A364+1))),IF(E364&lt;=0,0,MAX(0,(B364/E364)*I364/INDEX(Surface_Engine!$B$12:$B$72,$A364+1)-F364/INDEX(Surface_Engine!$B$12:$B$72,$A364+1))),IF($A364&lt;$Q$321,MAX(0,-Assumptions!$B$22*(F364/INDEX(Surface_Engine!$B$12:$B$72,$A364+1))),0)))^2+(MAX(0,J364/INDEX(Surface_Engine!$B$12:$B$72,$A364+1)-(F364/INDEX(Surface_Engine!$B$12:$B$72,$A364+1))))^2+2*Assumptions!$B$26*(IF(C364&lt;=0,0,MAX(0,(B364/C364)*G364/INDEX(Surface_Engine!$B$12:$B$72,$A364+1)-F364/INDEX(Surface_Engine!$B$12:$B$72,$A364+1))))*(MAX(IF(D364&lt;=0,0,MAX(0,(B364/D364)*H364/INDEX(Surface_Engine!$B$12:$B$72,$A364+1)-F364/INDEX(Surface_Engine!$B$12:$B$72,$A364+1))),IF(E364&lt;=0,0,MAX(0,(B364/E364)*I364/INDEX(Surface_Engine!$B$12:$B$72,$A364+1)-F364/INDEX(Surface_Engine!$B$12:$B$72,$A364+1))),IF($A364&lt;$Q$321,MAX(0,-Assumptions!$B$22*(F364/INDEX(Surface_Engine!$B$12:$B$72,$A364+1))),0)))+2*Assumptions!$B$27*(IF(C364&lt;=0,0,MAX(0,(B364/C364)*G364/INDEX(Surface_Engine!$B$12:$B$72,$A364+1)-F364/INDEX(Surface_Engine!$B$12:$B$72,$A364+1))))*(MAX(0,J364/INDEX(Surface_Engine!$B$12:$B$72,$A364+1)-(F364/INDEX(Surface_Engine!$B$12:$B$72,$A364+1))))+2*Assumptions!$B$28*(MAX(IF(D364&lt;=0,0,MAX(0,(B364/D364)*H364/INDEX(Surface_Engine!$B$12:$B$72,$A364+1)-F364/INDEX(Surface_Engine!$B$12:$B$72,$A364+1))),IF(E364&lt;=0,0,MAX(0,(B364/E364)*I364/INDEX(Surface_Engine!$B$12:$B$72,$A364+1)-F364/INDEX(Surface_Engine!$B$12:$B$72,$A364+1))),IF($A364&lt;$Q$321,MAX(0,-Assumptions!$B$22*(F364/INDEX(Surface_Engine!$B$12:$B$72,$A364+1))),0)))*(MAX(0,J364/INDEX(Surface_Engine!$B$12:$B$72,$A364+1)-(F364/INDEX(Surface_Engine!$B$12:$B$72,$A364+1)))))</f>
        <v>350.325790890646</v>
      </c>
      <c r="L364" s="48" t="n">
        <f aca="false">K364*INDEX(Surface_Engine!$B$12:$B$72,$A364+1)+L365</f>
        <v>308.589985558915</v>
      </c>
      <c r="M364" s="48" t="n">
        <f aca="false">M363+B363*(IF($A363&lt;$Q$321,(Surface_Engine!G239*12)-(Surface_Engine!G239*12)*INDEX(Surface_Engine!$F$12:$F$72,$A363+1)-INDEX(Surface_Engine!$D$12:$D$72,$A363+1),-(1000*12*INDEX(Surface_Engine!$C$12:$C$72,$A363+1)/(1+Assumptions!$B$10)^17+INDEX(Surface_Engine!$D$12:$D$72,$A363+1))))*INDEX(Surface_Engine!$B$12:$B$72,$A363+1)</f>
        <v>2603.79013816909</v>
      </c>
      <c r="N364" s="12" t="n">
        <f aca="false">IF(B364&lt;=0,0,MAX(0,(K364+Assumptions!$B$29*L364/INDEX(Surface_Engine!$B$12:$B$72,$A364+1)-(M364/INDEX(Surface_Engine!$B$12:$B$72,$A364+1)-(F364/INDEX(Surface_Engine!$B$12:$B$72,$A364+1))))/B364))</f>
        <v>0</v>
      </c>
    </row>
    <row r="365" customFormat="false" ht="15" hidden="false" customHeight="true" outlineLevel="0" collapsed="false">
      <c r="A365" s="1" t="n">
        <v>42</v>
      </c>
      <c r="B365" s="32" t="n">
        <f aca="false">INDEX(Surface_Engine!$J$12:$J$72,$A365+1)*IF($A365&lt;$Q$321,INDEX(Surface_Engine!$E$12:$E$72,$A365+1),INDEX(Surface_Engine!$E$12:$E$72,$Q$321+1))</f>
        <v>0.0230434121413156</v>
      </c>
      <c r="C365" s="32" t="n">
        <f aca="false">INDEX(Panel_Reserving!$C$8:$C$68,$A365+1)*IF($A365&lt;$Q$321,INDEX(Surface_Engine!$E$12:$E$72,$A365+1),INDEX(Surface_Engine!$E$12:$E$72,$Q$321+1))</f>
        <v>0.0494781923186422</v>
      </c>
      <c r="D365" s="32" t="n">
        <f aca="false">INDEX(Surface_Engine!$J$12:$J$72,$A365+1)*IF($A365&lt;$Q$321,INDEX(Surface_Engine!$Y$12:$Y$72,$A365+1),INDEX(Surface_Engine!$Y$12:$Y$72,$Q$321+1))</f>
        <v>0.0206832770701349</v>
      </c>
      <c r="E365" s="32" t="n">
        <f aca="false">INDEX(Surface_Engine!$J$12:$J$72,$A365+1)*IF($A365&lt;$Q$321,INDEX(Surface_Engine!$Z$12:$Z$72,$A365+1),INDEX(Surface_Engine!$Z$12:$Z$72,$Q$321+1))</f>
        <v>0.0256482215915775</v>
      </c>
      <c r="F365" s="48" t="n">
        <f aca="false">B365*(IF($A365&lt;$Q$321,INDEX(Surface_Engine!$D$12:$D$72,$A365+1)+(Surface_Engine!G239*12)*INDEX(Surface_Engine!$F$12:$F$72,$A365+1)-(Surface_Engine!G239*12),1000*12*INDEX(Surface_Engine!$C$12:$C$72,$A365+1)/(1+Assumptions!$B$10)^17+INDEX(Surface_Engine!$D$12:$D$72,$A365+1)))*INDEX(Surface_Engine!$B$12:$B$72,$A365+1)+F366</f>
        <v>402.96152317013</v>
      </c>
      <c r="G365" s="48" t="n">
        <f aca="false">C365*(IF($A365&lt;$Q$321,INDEX(Surface_Engine!$D$12:$D$72,$A365+1)+(Surface_Engine!G239*12)*INDEX(Surface_Engine!$F$12:$F$72,$A365+1)-(Surface_Engine!G239*12),1000*12*INDEX(Surface_Engine!$C$12:$C$72,$A365+1)/(1+Assumptions!$B$10)^17+INDEX(Surface_Engine!$D$12:$D$72,$A365+1)))*INDEX(Surface_Engine!$B$12:$B$72,$A365+1)+G366</f>
        <v>1008.99975026497</v>
      </c>
      <c r="H365" s="48" t="n">
        <f aca="false">D365*(IF($A365&lt;$Q$321,INDEX(Surface_Engine!$D$12:$D$72,$A365+1)+(Surface_Engine!G239*12)*INDEX(Surface_Engine!$F$12:$F$72,$A365+1)-(Surface_Engine!G239*12),1000*12*INDEX(Surface_Engine!$C$12:$C$72,$A365+1)/(1+Assumptions!$B$10)^17+INDEX(Surface_Engine!$D$12:$D$72,$A365+1)))*INDEX(Surface_Engine!$B$12:$B$72,$A365+1)+H366</f>
        <v>361.689700345547</v>
      </c>
      <c r="I365" s="48" t="n">
        <f aca="false">E365*(IF($A365&lt;$Q$321,INDEX(Surface_Engine!$D$12:$D$72,$A365+1)+(Surface_Engine!G239*12)*INDEX(Surface_Engine!$F$12:$F$72,$A365+1)-(Surface_Engine!G239*12),1000*12*INDEX(Surface_Engine!$C$12:$C$72,$A365+1)/(1+Assumptions!$B$10)^17+INDEX(Surface_Engine!$D$12:$D$72,$A365+1)))*INDEX(Surface_Engine!$B$12:$B$72,$A365+1)+I366</f>
        <v>448.511981462005</v>
      </c>
      <c r="J365" s="48" t="n">
        <f aca="false">B365*(IF($A365&lt;$Q$321,INDEX(Surface_Engine!$D$12:$D$72,$A365+1)*(1+Assumptions!$B$24)+(Surface_Engine!G239*12)*INDEX(Surface_Engine!$F$12:$F$72,$A365+1)-(Surface_Engine!G239*12),1000*12*INDEX(Surface_Engine!$C$12:$C$72,$A365+1)/(1+Assumptions!$B$10)^17+INDEX(Surface_Engine!$D$12:$D$72,$A365+1)*(1+Assumptions!$B$24)))*INDEX(Surface_Engine!$B$12:$B$72,$A365+1)+J366</f>
        <v>403.433413181035</v>
      </c>
      <c r="K365" s="12" t="n">
        <f aca="false">SQRT((IF(C365&lt;=0,0,MAX(0,(B365/C365)*G365/INDEX(Surface_Engine!$B$12:$B$72,$A365+1)-F365/INDEX(Surface_Engine!$B$12:$B$72,$A365+1))))^2+(MAX(IF(D365&lt;=0,0,MAX(0,(B365/D365)*H365/INDEX(Surface_Engine!$B$12:$B$72,$A365+1)-F365/INDEX(Surface_Engine!$B$12:$B$72,$A365+1))),IF(E365&lt;=0,0,MAX(0,(B365/E365)*I365/INDEX(Surface_Engine!$B$12:$B$72,$A365+1)-F365/INDEX(Surface_Engine!$B$12:$B$72,$A365+1))),IF($A365&lt;$Q$321,MAX(0,-Assumptions!$B$22*(F365/INDEX(Surface_Engine!$B$12:$B$72,$A365+1))),0)))^2+(MAX(0,J365/INDEX(Surface_Engine!$B$12:$B$72,$A365+1)-(F365/INDEX(Surface_Engine!$B$12:$B$72,$A365+1))))^2+2*Assumptions!$B$26*(IF(C365&lt;=0,0,MAX(0,(B365/C365)*G365/INDEX(Surface_Engine!$B$12:$B$72,$A365+1)-F365/INDEX(Surface_Engine!$B$12:$B$72,$A365+1))))*(MAX(IF(D365&lt;=0,0,MAX(0,(B365/D365)*H365/INDEX(Surface_Engine!$B$12:$B$72,$A365+1)-F365/INDEX(Surface_Engine!$B$12:$B$72,$A365+1))),IF(E365&lt;=0,0,MAX(0,(B365/E365)*I365/INDEX(Surface_Engine!$B$12:$B$72,$A365+1)-F365/INDEX(Surface_Engine!$B$12:$B$72,$A365+1))),IF($A365&lt;$Q$321,MAX(0,-Assumptions!$B$22*(F365/INDEX(Surface_Engine!$B$12:$B$72,$A365+1))),0)))+2*Assumptions!$B$27*(IF(C365&lt;=0,0,MAX(0,(B365/C365)*G365/INDEX(Surface_Engine!$B$12:$B$72,$A365+1)-F365/INDEX(Surface_Engine!$B$12:$B$72,$A365+1))))*(MAX(0,J365/INDEX(Surface_Engine!$B$12:$B$72,$A365+1)-(F365/INDEX(Surface_Engine!$B$12:$B$72,$A365+1))))+2*Assumptions!$B$28*(MAX(IF(D365&lt;=0,0,MAX(0,(B365/D365)*H365/INDEX(Surface_Engine!$B$12:$B$72,$A365+1)-F365/INDEX(Surface_Engine!$B$12:$B$72,$A365+1))),IF(E365&lt;=0,0,MAX(0,(B365/E365)*I365/INDEX(Surface_Engine!$B$12:$B$72,$A365+1)-F365/INDEX(Surface_Engine!$B$12:$B$72,$A365+1))),IF($A365&lt;$Q$321,MAX(0,-Assumptions!$B$22*(F365/INDEX(Surface_Engine!$B$12:$B$72,$A365+1))),0)))*(MAX(0,J365/INDEX(Surface_Engine!$B$12:$B$72,$A365+1)-(F365/INDEX(Surface_Engine!$B$12:$B$72,$A365+1)))))</f>
        <v>252.252252720282</v>
      </c>
      <c r="L365" s="48" t="n">
        <f aca="false">K365*INDEX(Surface_Engine!$B$12:$B$72,$A365+1)+L366</f>
        <v>212.409511946334</v>
      </c>
      <c r="M365" s="48" t="n">
        <f aca="false">M364+B364*(IF($A364&lt;$Q$321,(Surface_Engine!G239*12)-(Surface_Engine!G239*12)*INDEX(Surface_Engine!$F$12:$F$72,$A364+1)-INDEX(Surface_Engine!$D$12:$D$72,$A364+1),-(1000*12*INDEX(Surface_Engine!$C$12:$C$72,$A364+1)/(1+Assumptions!$B$10)^17+INDEX(Surface_Engine!$D$12:$D$72,$A364+1))))*INDEX(Surface_Engine!$B$12:$B$72,$A364+1)</f>
        <v>2442.06236371108</v>
      </c>
      <c r="N365" s="12" t="n">
        <f aca="false">IF(B365&lt;=0,0,MAX(0,(K365+Assumptions!$B$29*L365/INDEX(Surface_Engine!$B$12:$B$72,$A365+1)-(M365/INDEX(Surface_Engine!$B$12:$B$72,$A365+1)-(F365/INDEX(Surface_Engine!$B$12:$B$72,$A365+1))))/B365))</f>
        <v>0</v>
      </c>
    </row>
    <row r="366" customFormat="false" ht="15" hidden="false" customHeight="true" outlineLevel="0" collapsed="false">
      <c r="A366" s="1" t="n">
        <v>43</v>
      </c>
      <c r="B366" s="32" t="n">
        <f aca="false">INDEX(Surface_Engine!$J$12:$J$72,$A366+1)*IF($A366&lt;$Q$321,INDEX(Surface_Engine!$E$12:$E$72,$A366+1),INDEX(Surface_Engine!$E$12:$E$72,$Q$321+1))</f>
        <v>0.020248452767247</v>
      </c>
      <c r="C366" s="32" t="n">
        <f aca="false">INDEX(Panel_Reserving!$C$8:$C$68,$A366+1)*IF($A366&lt;$Q$321,INDEX(Surface_Engine!$E$12:$E$72,$A366+1),INDEX(Surface_Engine!$E$12:$E$72,$Q$321+1))</f>
        <v>0.0446771832810955</v>
      </c>
      <c r="D366" s="32" t="n">
        <f aca="false">INDEX(Surface_Engine!$J$12:$J$72,$A366+1)*IF($A366&lt;$Q$321,INDEX(Surface_Engine!$Y$12:$Y$72,$A366+1),INDEX(Surface_Engine!$Y$12:$Y$72,$Q$321+1))</f>
        <v>0.0181745809282999</v>
      </c>
      <c r="E366" s="32" t="n">
        <f aca="false">INDEX(Surface_Engine!$J$12:$J$72,$A366+1)*IF($A366&lt;$Q$321,INDEX(Surface_Engine!$Z$12:$Z$72,$A366+1),INDEX(Surface_Engine!$Z$12:$Z$72,$Q$321+1))</f>
        <v>0.0225373221759028</v>
      </c>
      <c r="F366" s="48" t="n">
        <f aca="false">B366*(IF($A366&lt;$Q$321,INDEX(Surface_Engine!$D$12:$D$72,$A366+1)+(Surface_Engine!G239*12)*INDEX(Surface_Engine!$F$12:$F$72,$A366+1)-(Surface_Engine!G239*12),1000*12*INDEX(Surface_Engine!$C$12:$C$72,$A366+1)/(1+Assumptions!$B$10)^17+INDEX(Surface_Engine!$D$12:$D$72,$A366+1)))*INDEX(Surface_Engine!$B$12:$B$72,$A366+1)+F367</f>
        <v>280.907754606634</v>
      </c>
      <c r="G366" s="48" t="n">
        <f aca="false">C366*(IF($A366&lt;$Q$321,INDEX(Surface_Engine!$D$12:$D$72,$A366+1)+(Surface_Engine!G239*12)*INDEX(Surface_Engine!$F$12:$F$72,$A366+1)-(Surface_Engine!G239*12),1000*12*INDEX(Surface_Engine!$C$12:$C$72,$A366+1)/(1+Assumptions!$B$10)^17+INDEX(Surface_Engine!$D$12:$D$72,$A366+1)))*INDEX(Surface_Engine!$B$12:$B$72,$A366+1)+G367</f>
        <v>746.929194170017</v>
      </c>
      <c r="H366" s="48" t="n">
        <f aca="false">D366*(IF($A366&lt;$Q$321,INDEX(Surface_Engine!$D$12:$D$72,$A366+1)+(Surface_Engine!G239*12)*INDEX(Surface_Engine!$F$12:$F$72,$A366+1)-(Surface_Engine!G239*12),1000*12*INDEX(Surface_Engine!$C$12:$C$72,$A366+1)/(1+Assumptions!$B$10)^17+INDEX(Surface_Engine!$D$12:$D$72,$A366+1)))*INDEX(Surface_Engine!$B$12:$B$72,$A366+1)+H367</f>
        <v>252.136831301181</v>
      </c>
      <c r="I366" s="48" t="n">
        <f aca="false">E366*(IF($A366&lt;$Q$321,INDEX(Surface_Engine!$D$12:$D$72,$A366+1)+(Surface_Engine!G239*12)*INDEX(Surface_Engine!$F$12:$F$72,$A366+1)-(Surface_Engine!G239*12),1000*12*INDEX(Surface_Engine!$C$12:$C$72,$A366+1)/(1+Assumptions!$B$10)^17+INDEX(Surface_Engine!$D$12:$D$72,$A366+1)))*INDEX(Surface_Engine!$B$12:$B$72,$A366+1)+I367</f>
        <v>312.661349489368</v>
      </c>
      <c r="J366" s="48" t="n">
        <f aca="false">B366*(IF($A366&lt;$Q$321,INDEX(Surface_Engine!$D$12:$D$72,$A366+1)*(1+Assumptions!$B$24)+(Surface_Engine!G239*12)*INDEX(Surface_Engine!$F$12:$F$72,$A366+1)-(Surface_Engine!G239*12),1000*12*INDEX(Surface_Engine!$C$12:$C$72,$A366+1)/(1+Assumptions!$B$10)^17+INDEX(Surface_Engine!$D$12:$D$72,$A366+1)*(1+Assumptions!$B$24)))*INDEX(Surface_Engine!$B$12:$B$72,$A366+1)+J367</f>
        <v>281.237899299491</v>
      </c>
      <c r="K366" s="12" t="n">
        <f aca="false">SQRT((IF(C366&lt;=0,0,MAX(0,(B366/C366)*G366/INDEX(Surface_Engine!$B$12:$B$72,$A366+1)-F366/INDEX(Surface_Engine!$B$12:$B$72,$A366+1))))^2+(MAX(IF(D366&lt;=0,0,MAX(0,(B366/D366)*H366/INDEX(Surface_Engine!$B$12:$B$72,$A366+1)-F366/INDEX(Surface_Engine!$B$12:$B$72,$A366+1))),IF(E366&lt;=0,0,MAX(0,(B366/E366)*I366/INDEX(Surface_Engine!$B$12:$B$72,$A366+1)-F366/INDEX(Surface_Engine!$B$12:$B$72,$A366+1))),IF($A366&lt;$Q$321,MAX(0,-Assumptions!$B$22*(F366/INDEX(Surface_Engine!$B$12:$B$72,$A366+1))),0)))^2+(MAX(0,J366/INDEX(Surface_Engine!$B$12:$B$72,$A366+1)-(F366/INDEX(Surface_Engine!$B$12:$B$72,$A366+1))))^2+2*Assumptions!$B$26*(IF(C366&lt;=0,0,MAX(0,(B366/C366)*G366/INDEX(Surface_Engine!$B$12:$B$72,$A366+1)-F366/INDEX(Surface_Engine!$B$12:$B$72,$A366+1))))*(MAX(IF(D366&lt;=0,0,MAX(0,(B366/D366)*H366/INDEX(Surface_Engine!$B$12:$B$72,$A366+1)-F366/INDEX(Surface_Engine!$B$12:$B$72,$A366+1))),IF(E366&lt;=0,0,MAX(0,(B366/E366)*I366/INDEX(Surface_Engine!$B$12:$B$72,$A366+1)-F366/INDEX(Surface_Engine!$B$12:$B$72,$A366+1))),IF($A366&lt;$Q$321,MAX(0,-Assumptions!$B$22*(F366/INDEX(Surface_Engine!$B$12:$B$72,$A366+1))),0)))+2*Assumptions!$B$27*(IF(C366&lt;=0,0,MAX(0,(B366/C366)*G366/INDEX(Surface_Engine!$B$12:$B$72,$A366+1)-F366/INDEX(Surface_Engine!$B$12:$B$72,$A366+1))))*(MAX(0,J366/INDEX(Surface_Engine!$B$12:$B$72,$A366+1)-(F366/INDEX(Surface_Engine!$B$12:$B$72,$A366+1))))+2*Assumptions!$B$28*(MAX(IF(D366&lt;=0,0,MAX(0,(B366/D366)*H366/INDEX(Surface_Engine!$B$12:$B$72,$A366+1)-F366/INDEX(Surface_Engine!$B$12:$B$72,$A366+1))),IF(E366&lt;=0,0,MAX(0,(B366/E366)*I366/INDEX(Surface_Engine!$B$12:$B$72,$A366+1)-F366/INDEX(Surface_Engine!$B$12:$B$72,$A366+1))),IF($A366&lt;$Q$321,MAX(0,-Assumptions!$B$22*(F366/INDEX(Surface_Engine!$B$12:$B$72,$A366+1))),0)))*(MAX(0,J366/INDEX(Surface_Engine!$B$12:$B$72,$A366+1)-(F366/INDEX(Surface_Engine!$B$12:$B$72,$A366+1)))))</f>
        <v>224.110754691316</v>
      </c>
      <c r="L366" s="48" t="n">
        <f aca="false">K366*INDEX(Surface_Engine!$B$12:$B$72,$A366+1)+L367</f>
        <v>145.331406203591</v>
      </c>
      <c r="M366" s="48" t="n">
        <f aca="false">M365+B365*(IF($A365&lt;$Q$321,(Surface_Engine!G239*12)-(Surface_Engine!G239*12)*INDEX(Surface_Engine!$F$12:$F$72,$A365+1)-INDEX(Surface_Engine!$D$12:$D$72,$A365+1),-(1000*12*INDEX(Surface_Engine!$C$12:$C$72,$A365+1)/(1+Assumptions!$B$10)^17+INDEX(Surface_Engine!$D$12:$D$72,$A365+1))))*INDEX(Surface_Engine!$B$12:$B$72,$A365+1)</f>
        <v>2320.00859514758</v>
      </c>
      <c r="N366" s="12" t="n">
        <f aca="false">IF(B366&lt;=0,0,MAX(0,(K366+Assumptions!$B$29*L366/INDEX(Surface_Engine!$B$12:$B$72,$A366+1)-(M366/INDEX(Surface_Engine!$B$12:$B$72,$A366+1)-(F366/INDEX(Surface_Engine!$B$12:$B$72,$A366+1))))/B366))</f>
        <v>0</v>
      </c>
    </row>
    <row r="367" customFormat="false" ht="15" hidden="false" customHeight="true" outlineLevel="0" collapsed="false">
      <c r="A367" s="1" t="n">
        <v>44</v>
      </c>
      <c r="B367" s="32" t="n">
        <f aca="false">INDEX(Surface_Engine!$J$12:$J$72,$A367+1)*IF($A367&lt;$Q$321,INDEX(Surface_Engine!$E$12:$E$72,$A367+1),INDEX(Surface_Engine!$E$12:$E$72,$Q$321+1))</f>
        <v>0.013516868925872</v>
      </c>
      <c r="C367" s="32" t="n">
        <f aca="false">INDEX(Panel_Reserving!$C$8:$C$68,$A367+1)*IF($A367&lt;$Q$321,INDEX(Surface_Engine!$E$12:$E$72,$A367+1),INDEX(Surface_Engine!$E$12:$E$72,$Q$321+1))</f>
        <v>0.0327948648240666</v>
      </c>
      <c r="D367" s="32" t="n">
        <f aca="false">INDEX(Surface_Engine!$J$12:$J$72,$A367+1)*IF($A367&lt;$Q$321,INDEX(Surface_Engine!$Y$12:$Y$72,$A367+1),INDEX(Surface_Engine!$Y$12:$Y$72,$Q$321+1))</f>
        <v>0.0121324543170952</v>
      </c>
      <c r="E367" s="32" t="n">
        <f aca="false">INDEX(Surface_Engine!$J$12:$J$72,$A367+1)*IF($A367&lt;$Q$321,INDEX(Surface_Engine!$Z$12:$Z$72,$A367+1),INDEX(Surface_Engine!$Z$12:$Z$72,$Q$321+1))</f>
        <v>0.0150448053139443</v>
      </c>
      <c r="F367" s="48" t="n">
        <f aca="false">B367*(IF($A367&lt;$Q$321,INDEX(Surface_Engine!$D$12:$D$72,$A367+1)+(Surface_Engine!G239*12)*INDEX(Surface_Engine!$F$12:$F$72,$A367+1)-(Surface_Engine!G239*12),1000*12*INDEX(Surface_Engine!$C$12:$C$72,$A367+1)/(1+Assumptions!$B$10)^17+INDEX(Surface_Engine!$D$12:$D$72,$A367+1)))*INDEX(Surface_Engine!$B$12:$B$72,$A367+1)+F368</f>
        <v>174.991474547794</v>
      </c>
      <c r="G367" s="48" t="n">
        <f aca="false">C367*(IF($A367&lt;$Q$321,INDEX(Surface_Engine!$D$12:$D$72,$A367+1)+(Surface_Engine!G239*12)*INDEX(Surface_Engine!$F$12:$F$72,$A367+1)-(Surface_Engine!G239*12),1000*12*INDEX(Surface_Engine!$C$12:$C$72,$A367+1)/(1+Assumptions!$B$10)^17+INDEX(Surface_Engine!$D$12:$D$72,$A367+1)))*INDEX(Surface_Engine!$B$12:$B$72,$A367+1)+G368</f>
        <v>513.230298208198</v>
      </c>
      <c r="H367" s="48" t="n">
        <f aca="false">D367*(IF($A367&lt;$Q$321,INDEX(Surface_Engine!$D$12:$D$72,$A367+1)+(Surface_Engine!G239*12)*INDEX(Surface_Engine!$F$12:$F$72,$A367+1)-(Surface_Engine!G239*12),1000*12*INDEX(Surface_Engine!$C$12:$C$72,$A367+1)/(1+Assumptions!$B$10)^17+INDEX(Surface_Engine!$D$12:$D$72,$A367+1)))*INDEX(Surface_Engine!$B$12:$B$72,$A367+1)+H368</f>
        <v>157.068629020183</v>
      </c>
      <c r="I367" s="48" t="n">
        <f aca="false">E367*(IF($A367&lt;$Q$321,INDEX(Surface_Engine!$D$12:$D$72,$A367+1)+(Surface_Engine!G239*12)*INDEX(Surface_Engine!$F$12:$F$72,$A367+1)-(Surface_Engine!G239*12),1000*12*INDEX(Surface_Engine!$C$12:$C$72,$A367+1)/(1+Assumptions!$B$10)^17+INDEX(Surface_Engine!$D$12:$D$72,$A367+1)))*INDEX(Surface_Engine!$B$12:$B$72,$A367+1)+I368</f>
        <v>194.772375215716</v>
      </c>
      <c r="J367" s="48" t="n">
        <f aca="false">B367*(IF($A367&lt;$Q$321,INDEX(Surface_Engine!$D$12:$D$72,$A367+1)*(1+Assumptions!$B$24)+(Surface_Engine!G239*12)*INDEX(Surface_Engine!$F$12:$F$72,$A367+1)-(Surface_Engine!G239*12),1000*12*INDEX(Surface_Engine!$C$12:$C$72,$A367+1)/(1+Assumptions!$B$10)^17+INDEX(Surface_Engine!$D$12:$D$72,$A367+1)*(1+Assumptions!$B$24)))*INDEX(Surface_Engine!$B$12:$B$72,$A367+1)+J368</f>
        <v>175.198019027585</v>
      </c>
      <c r="K367" s="12" t="n">
        <f aca="false">SQRT((IF(C367&lt;=0,0,MAX(0,(B367/C367)*G367/INDEX(Surface_Engine!$B$12:$B$72,$A367+1)-F367/INDEX(Surface_Engine!$B$12:$B$72,$A367+1))))^2+(MAX(IF(D367&lt;=0,0,MAX(0,(B367/D367)*H367/INDEX(Surface_Engine!$B$12:$B$72,$A367+1)-F367/INDEX(Surface_Engine!$B$12:$B$72,$A367+1))),IF(E367&lt;=0,0,MAX(0,(B367/E367)*I367/INDEX(Surface_Engine!$B$12:$B$72,$A367+1)-F367/INDEX(Surface_Engine!$B$12:$B$72,$A367+1))),IF($A367&lt;$Q$321,MAX(0,-Assumptions!$B$22*(F367/INDEX(Surface_Engine!$B$12:$B$72,$A367+1))),0)))^2+(MAX(0,J367/INDEX(Surface_Engine!$B$12:$B$72,$A367+1)-(F367/INDEX(Surface_Engine!$B$12:$B$72,$A367+1))))^2+2*Assumptions!$B$26*(IF(C367&lt;=0,0,MAX(0,(B367/C367)*G367/INDEX(Surface_Engine!$B$12:$B$72,$A367+1)-F367/INDEX(Surface_Engine!$B$12:$B$72,$A367+1))))*(MAX(IF(D367&lt;=0,0,MAX(0,(B367/D367)*H367/INDEX(Surface_Engine!$B$12:$B$72,$A367+1)-F367/INDEX(Surface_Engine!$B$12:$B$72,$A367+1))),IF(E367&lt;=0,0,MAX(0,(B367/E367)*I367/INDEX(Surface_Engine!$B$12:$B$72,$A367+1)-F367/INDEX(Surface_Engine!$B$12:$B$72,$A367+1))),IF($A367&lt;$Q$321,MAX(0,-Assumptions!$B$22*(F367/INDEX(Surface_Engine!$B$12:$B$72,$A367+1))),0)))+2*Assumptions!$B$27*(IF(C367&lt;=0,0,MAX(0,(B367/C367)*G367/INDEX(Surface_Engine!$B$12:$B$72,$A367+1)-F367/INDEX(Surface_Engine!$B$12:$B$72,$A367+1))))*(MAX(0,J367/INDEX(Surface_Engine!$B$12:$B$72,$A367+1)-(F367/INDEX(Surface_Engine!$B$12:$B$72,$A367+1))))+2*Assumptions!$B$28*(MAX(IF(D367&lt;=0,0,MAX(0,(B367/D367)*H367/INDEX(Surface_Engine!$B$12:$B$72,$A367+1)-F367/INDEX(Surface_Engine!$B$12:$B$72,$A367+1))),IF(E367&lt;=0,0,MAX(0,(B367/E367)*I367/INDEX(Surface_Engine!$B$12:$B$72,$A367+1)-F367/INDEX(Surface_Engine!$B$12:$B$72,$A367+1))),IF($A367&lt;$Q$321,MAX(0,-Assumptions!$B$22*(F367/INDEX(Surface_Engine!$B$12:$B$72,$A367+1))),0)))*(MAX(0,J367/INDEX(Surface_Engine!$B$12:$B$72,$A367+1)-(F367/INDEX(Surface_Engine!$B$12:$B$72,$A367+1)))))</f>
        <v>146.769132783412</v>
      </c>
      <c r="L367" s="48" t="n">
        <f aca="false">K367*INDEX(Surface_Engine!$B$12:$B$72,$A367+1)+L368</f>
        <v>87.6348342981832</v>
      </c>
      <c r="M367" s="48" t="n">
        <f aca="false">M366+B366*(IF($A366&lt;$Q$321,(Surface_Engine!G239*12)-(Surface_Engine!G239*12)*INDEX(Surface_Engine!$F$12:$F$72,$A366+1)-INDEX(Surface_Engine!$D$12:$D$72,$A366+1),-(1000*12*INDEX(Surface_Engine!$C$12:$C$72,$A366+1)/(1+Assumptions!$B$10)^17+INDEX(Surface_Engine!$D$12:$D$72,$A366+1))))*INDEX(Surface_Engine!$B$12:$B$72,$A366+1)</f>
        <v>2214.09231508874</v>
      </c>
      <c r="N367" s="12" t="n">
        <f aca="false">IF(B367&lt;=0,0,MAX(0,(K367+Assumptions!$B$29*L367/INDEX(Surface_Engine!$B$12:$B$72,$A367+1)-(M367/INDEX(Surface_Engine!$B$12:$B$72,$A367+1)-(F367/INDEX(Surface_Engine!$B$12:$B$72,$A367+1))))/B367))</f>
        <v>0</v>
      </c>
    </row>
    <row r="368" customFormat="false" ht="15" hidden="false" customHeight="true" outlineLevel="0" collapsed="false">
      <c r="A368" s="1" t="n">
        <v>45</v>
      </c>
      <c r="B368" s="32" t="n">
        <f aca="false">INDEX(Surface_Engine!$J$12:$J$72,$A368+1)*IF($A368&lt;$Q$321,INDEX(Surface_Engine!$E$12:$E$72,$A368+1),INDEX(Surface_Engine!$E$12:$E$72,$Q$321+1))</f>
        <v>0.00869215805168218</v>
      </c>
      <c r="C368" s="32" t="n">
        <f aca="false">INDEX(Panel_Reserving!$C$8:$C$68,$A368+1)*IF($A368&lt;$Q$321,INDEX(Surface_Engine!$E$12:$E$72,$A368+1),INDEX(Surface_Engine!$E$12:$E$72,$Q$321+1))</f>
        <v>0.0234302262053459</v>
      </c>
      <c r="D368" s="32" t="n">
        <f aca="false">INDEX(Surface_Engine!$J$12:$J$72,$A368+1)*IF($A368&lt;$Q$321,INDEX(Surface_Engine!$Y$12:$Y$72,$A368+1),INDEX(Surface_Engine!$Y$12:$Y$72,$Q$321+1))</f>
        <v>0.00780189636056575</v>
      </c>
      <c r="E368" s="32" t="n">
        <f aca="false">INDEX(Surface_Engine!$J$12:$J$72,$A368+1)*IF($A368&lt;$Q$321,INDEX(Surface_Engine!$Z$12:$Z$72,$A368+1),INDEX(Surface_Engine!$Z$12:$Z$72,$Q$321+1))</f>
        <v>0.00967471286159235</v>
      </c>
      <c r="F368" s="48" t="n">
        <f aca="false">B368*(IF($A368&lt;$Q$321,INDEX(Surface_Engine!$D$12:$D$72,$A368+1)+(Surface_Engine!G239*12)*INDEX(Surface_Engine!$F$12:$F$72,$A368+1)-(Surface_Engine!G239*12),1000*12*INDEX(Surface_Engine!$C$12:$C$72,$A368+1)/(1+Assumptions!$B$10)^17+INDEX(Surface_Engine!$D$12:$D$72,$A368+1)))*INDEX(Surface_Engine!$B$12:$B$72,$A368+1)+F369</f>
        <v>105.138984212445</v>
      </c>
      <c r="G368" s="48" t="n">
        <f aca="false">C368*(IF($A368&lt;$Q$321,INDEX(Surface_Engine!$D$12:$D$72,$A368+1)+(Surface_Engine!G239*12)*INDEX(Surface_Engine!$F$12:$F$72,$A368+1)-(Surface_Engine!G239*12),1000*12*INDEX(Surface_Engine!$C$12:$C$72,$A368+1)/(1+Assumptions!$B$10)^17+INDEX(Surface_Engine!$D$12:$D$72,$A368+1)))*INDEX(Surface_Engine!$B$12:$B$72,$A368+1)+G369</f>
        <v>343.752959133949</v>
      </c>
      <c r="H368" s="48" t="n">
        <f aca="false">D368*(IF($A368&lt;$Q$321,INDEX(Surface_Engine!$D$12:$D$72,$A368+1)+(Surface_Engine!G239*12)*INDEX(Surface_Engine!$F$12:$F$72,$A368+1)-(Surface_Engine!G239*12),1000*12*INDEX(Surface_Engine!$C$12:$C$72,$A368+1)/(1+Assumptions!$B$10)^17+INDEX(Surface_Engine!$D$12:$D$72,$A368+1)))*INDEX(Surface_Engine!$B$12:$B$72,$A368+1)+H369</f>
        <v>94.3705180466553</v>
      </c>
      <c r="I368" s="48" t="n">
        <f aca="false">E368*(IF($A368&lt;$Q$321,INDEX(Surface_Engine!$D$12:$D$72,$A368+1)+(Surface_Engine!G239*12)*INDEX(Surface_Engine!$F$12:$F$72,$A368+1)-(Surface_Engine!G239*12),1000*12*INDEX(Surface_Engine!$C$12:$C$72,$A368+1)/(1+Assumptions!$B$10)^17+INDEX(Surface_Engine!$D$12:$D$72,$A368+1)))*INDEX(Surface_Engine!$B$12:$B$72,$A368+1)+I369</f>
        <v>117.023813507169</v>
      </c>
      <c r="J368" s="48" t="n">
        <f aca="false">B368*(IF($A368&lt;$Q$321,INDEX(Surface_Engine!$D$12:$D$72,$A368+1)*(1+Assumptions!$B$24)+(Surface_Engine!G239*12)*INDEX(Surface_Engine!$F$12:$F$72,$A368+1)-(Surface_Engine!G239*12),1000*12*INDEX(Surface_Engine!$C$12:$C$72,$A368+1)/(1+Assumptions!$B$10)^17+INDEX(Surface_Engine!$D$12:$D$72,$A368+1)*(1+Assumptions!$B$24)))*INDEX(Surface_Engine!$B$12:$B$72,$A368+1)+J369</f>
        <v>105.26361863206</v>
      </c>
      <c r="K368" s="12" t="n">
        <f aca="false">SQRT((IF(C368&lt;=0,0,MAX(0,(B368/C368)*G368/INDEX(Surface_Engine!$B$12:$B$72,$A368+1)-F368/INDEX(Surface_Engine!$B$12:$B$72,$A368+1))))^2+(MAX(IF(D368&lt;=0,0,MAX(0,(B368/D368)*H368/INDEX(Surface_Engine!$B$12:$B$72,$A368+1)-F368/INDEX(Surface_Engine!$B$12:$B$72,$A368+1))),IF(E368&lt;=0,0,MAX(0,(B368/E368)*I368/INDEX(Surface_Engine!$B$12:$B$72,$A368+1)-F368/INDEX(Surface_Engine!$B$12:$B$72,$A368+1))),IF($A368&lt;$Q$321,MAX(0,-Assumptions!$B$22*(F368/INDEX(Surface_Engine!$B$12:$B$72,$A368+1))),0)))^2+(MAX(0,J368/INDEX(Surface_Engine!$B$12:$B$72,$A368+1)-(F368/INDEX(Surface_Engine!$B$12:$B$72,$A368+1))))^2+2*Assumptions!$B$26*(IF(C368&lt;=0,0,MAX(0,(B368/C368)*G368/INDEX(Surface_Engine!$B$12:$B$72,$A368+1)-F368/INDEX(Surface_Engine!$B$12:$B$72,$A368+1))))*(MAX(IF(D368&lt;=0,0,MAX(0,(B368/D368)*H368/INDEX(Surface_Engine!$B$12:$B$72,$A368+1)-F368/INDEX(Surface_Engine!$B$12:$B$72,$A368+1))),IF(E368&lt;=0,0,MAX(0,(B368/E368)*I368/INDEX(Surface_Engine!$B$12:$B$72,$A368+1)-F368/INDEX(Surface_Engine!$B$12:$B$72,$A368+1))),IF($A368&lt;$Q$321,MAX(0,-Assumptions!$B$22*(F368/INDEX(Surface_Engine!$B$12:$B$72,$A368+1))),0)))+2*Assumptions!$B$27*(IF(C368&lt;=0,0,MAX(0,(B368/C368)*G368/INDEX(Surface_Engine!$B$12:$B$72,$A368+1)-F368/INDEX(Surface_Engine!$B$12:$B$72,$A368+1))))*(MAX(0,J368/INDEX(Surface_Engine!$B$12:$B$72,$A368+1)-(F368/INDEX(Surface_Engine!$B$12:$B$72,$A368+1))))+2*Assumptions!$B$28*(MAX(IF(D368&lt;=0,0,MAX(0,(B368/D368)*H368/INDEX(Surface_Engine!$B$12:$B$72,$A368+1)-F368/INDEX(Surface_Engine!$B$12:$B$72,$A368+1))),IF(E368&lt;=0,0,MAX(0,(B368/E368)*I368/INDEX(Surface_Engine!$B$12:$B$72,$A368+1)-F368/INDEX(Surface_Engine!$B$12:$B$72,$A368+1))),IF($A368&lt;$Q$321,MAX(0,-Assumptions!$B$22*(F368/INDEX(Surface_Engine!$B$12:$B$72,$A368+1))),0)))*(MAX(0,J368/INDEX(Surface_Engine!$B$12:$B$72,$A368+1)-(F368/INDEX(Surface_Engine!$B$12:$B$72,$A368+1)))))</f>
        <v>92.8732403435737</v>
      </c>
      <c r="L368" s="48" t="n">
        <f aca="false">K368*INDEX(Surface_Engine!$B$12:$B$72,$A368+1)+L369</f>
        <v>51.0389756833224</v>
      </c>
      <c r="M368" s="48" t="n">
        <f aca="false">M367+B367*(IF($A367&lt;$Q$321,(Surface_Engine!G239*12)-(Surface_Engine!G239*12)*INDEX(Surface_Engine!$F$12:$F$72,$A367+1)-INDEX(Surface_Engine!$D$12:$D$72,$A367+1),-(1000*12*INDEX(Surface_Engine!$C$12:$C$72,$A367+1)/(1+Assumptions!$B$10)^17+INDEX(Surface_Engine!$D$12:$D$72,$A367+1))))*INDEX(Surface_Engine!$B$12:$B$72,$A367+1)</f>
        <v>2144.23982475339</v>
      </c>
      <c r="N368" s="12" t="n">
        <f aca="false">IF(B368&lt;=0,0,MAX(0,(K368+Assumptions!$B$29*L368/INDEX(Surface_Engine!$B$12:$B$72,$A368+1)-(M368/INDEX(Surface_Engine!$B$12:$B$72,$A368+1)-(F368/INDEX(Surface_Engine!$B$12:$B$72,$A368+1))))/B368))</f>
        <v>0</v>
      </c>
    </row>
    <row r="369" customFormat="false" ht="15" hidden="false" customHeight="true" outlineLevel="0" collapsed="false">
      <c r="A369" s="1" t="n">
        <v>46</v>
      </c>
      <c r="B369" s="32" t="n">
        <f aca="false">INDEX(Surface_Engine!$J$12:$J$72,$A369+1)*IF($A369&lt;$Q$321,INDEX(Surface_Engine!$E$12:$E$72,$A369+1),INDEX(Surface_Engine!$E$12:$E$72,$Q$321+1))</f>
        <v>0.00536248809705806</v>
      </c>
      <c r="C369" s="32" t="n">
        <f aca="false">INDEX(Panel_Reserving!$C$8:$C$68,$A369+1)*IF($A369&lt;$Q$321,INDEX(Surface_Engine!$E$12:$E$72,$A369+1),INDEX(Surface_Engine!$E$12:$E$72,$Q$321+1))</f>
        <v>0.0162499683442142</v>
      </c>
      <c r="D369" s="32" t="n">
        <f aca="false">INDEX(Surface_Engine!$J$12:$J$72,$A369+1)*IF($A369&lt;$Q$321,INDEX(Surface_Engine!$Y$12:$Y$72,$A369+1),INDEX(Surface_Engine!$Y$12:$Y$72,$Q$321+1))</f>
        <v>0.00481325536411727</v>
      </c>
      <c r="E369" s="32" t="n">
        <f aca="false">INDEX(Surface_Engine!$J$12:$J$72,$A369+1)*IF($A369&lt;$Q$321,INDEX(Surface_Engine!$Z$12:$Z$72,$A369+1),INDEX(Surface_Engine!$Z$12:$Z$72,$Q$321+1))</f>
        <v>0.00596865959572641</v>
      </c>
      <c r="F369" s="48" t="n">
        <f aca="false">B369*(IF($A369&lt;$Q$321,INDEX(Surface_Engine!$D$12:$D$72,$A369+1)+(Surface_Engine!G239*12)*INDEX(Surface_Engine!$F$12:$F$72,$A369+1)-(Surface_Engine!G239*12),1000*12*INDEX(Surface_Engine!$C$12:$C$72,$A369+1)/(1+Assumptions!$B$10)^17+INDEX(Surface_Engine!$D$12:$D$72,$A369+1)))*INDEX(Surface_Engine!$B$12:$B$72,$A369+1)+F370</f>
        <v>60.7811155412561</v>
      </c>
      <c r="G369" s="48" t="n">
        <f aca="false">C369*(IF($A369&lt;$Q$321,INDEX(Surface_Engine!$D$12:$D$72,$A369+1)+(Surface_Engine!G239*12)*INDEX(Surface_Engine!$F$12:$F$72,$A369+1)-(Surface_Engine!G239*12),1000*12*INDEX(Surface_Engine!$C$12:$C$72,$A369+1)/(1+Assumptions!$B$10)^17+INDEX(Surface_Engine!$D$12:$D$72,$A369+1)))*INDEX(Surface_Engine!$B$12:$B$72,$A369+1)+G370</f>
        <v>224.183700179685</v>
      </c>
      <c r="H369" s="48" t="n">
        <f aca="false">D369*(IF($A369&lt;$Q$321,INDEX(Surface_Engine!$D$12:$D$72,$A369+1)+(Surface_Engine!G239*12)*INDEX(Surface_Engine!$F$12:$F$72,$A369+1)-(Surface_Engine!G239*12),1000*12*INDEX(Surface_Engine!$C$12:$C$72,$A369+1)/(1+Assumptions!$B$10)^17+INDEX(Surface_Engine!$D$12:$D$72,$A369+1)))*INDEX(Surface_Engine!$B$12:$B$72,$A369+1)+H370</f>
        <v>54.5558377232544</v>
      </c>
      <c r="I369" s="48" t="n">
        <f aca="false">E369*(IF($A369&lt;$Q$321,INDEX(Surface_Engine!$D$12:$D$72,$A369+1)+(Surface_Engine!G239*12)*INDEX(Surface_Engine!$F$12:$F$72,$A369+1)-(Surface_Engine!G239*12),1000*12*INDEX(Surface_Engine!$C$12:$C$72,$A369+1)/(1+Assumptions!$B$10)^17+INDEX(Surface_Engine!$D$12:$D$72,$A369+1)))*INDEX(Surface_Engine!$B$12:$B$72,$A369+1)+I370</f>
        <v>67.6517657378674</v>
      </c>
      <c r="J369" s="48" t="n">
        <f aca="false">B369*(IF($A369&lt;$Q$321,INDEX(Surface_Engine!$D$12:$D$72,$A369+1)*(1+Assumptions!$B$24)+(Surface_Engine!G239*12)*INDEX(Surface_Engine!$F$12:$F$72,$A369+1)-(Surface_Engine!G239*12),1000*12*INDEX(Surface_Engine!$C$12:$C$72,$A369+1)/(1+Assumptions!$B$10)^17+INDEX(Surface_Engine!$D$12:$D$72,$A369+1)*(1+Assumptions!$B$24)))*INDEX(Surface_Engine!$B$12:$B$72,$A369+1)+J370</f>
        <v>60.8534833003598</v>
      </c>
      <c r="K369" s="12" t="n">
        <f aca="false">SQRT((IF(C369&lt;=0,0,MAX(0,(B369/C369)*G369/INDEX(Surface_Engine!$B$12:$B$72,$A369+1)-F369/INDEX(Surface_Engine!$B$12:$B$72,$A369+1))))^2+(MAX(IF(D369&lt;=0,0,MAX(0,(B369/D369)*H369/INDEX(Surface_Engine!$B$12:$B$72,$A369+1)-F369/INDEX(Surface_Engine!$B$12:$B$72,$A369+1))),IF(E369&lt;=0,0,MAX(0,(B369/E369)*I369/INDEX(Surface_Engine!$B$12:$B$72,$A369+1)-F369/INDEX(Surface_Engine!$B$12:$B$72,$A369+1))),IF($A369&lt;$Q$321,MAX(0,-Assumptions!$B$22*(F369/INDEX(Surface_Engine!$B$12:$B$72,$A369+1))),0)))^2+(MAX(0,J369/INDEX(Surface_Engine!$B$12:$B$72,$A369+1)-(F369/INDEX(Surface_Engine!$B$12:$B$72,$A369+1))))^2+2*Assumptions!$B$26*(IF(C369&lt;=0,0,MAX(0,(B369/C369)*G369/INDEX(Surface_Engine!$B$12:$B$72,$A369+1)-F369/INDEX(Surface_Engine!$B$12:$B$72,$A369+1))))*(MAX(IF(D369&lt;=0,0,MAX(0,(B369/D369)*H369/INDEX(Surface_Engine!$B$12:$B$72,$A369+1)-F369/INDEX(Surface_Engine!$B$12:$B$72,$A369+1))),IF(E369&lt;=0,0,MAX(0,(B369/E369)*I369/INDEX(Surface_Engine!$B$12:$B$72,$A369+1)-F369/INDEX(Surface_Engine!$B$12:$B$72,$A369+1))),IF($A369&lt;$Q$321,MAX(0,-Assumptions!$B$22*(F369/INDEX(Surface_Engine!$B$12:$B$72,$A369+1))),0)))+2*Assumptions!$B$27*(IF(C369&lt;=0,0,MAX(0,(B369/C369)*G369/INDEX(Surface_Engine!$B$12:$B$72,$A369+1)-F369/INDEX(Surface_Engine!$B$12:$B$72,$A369+1))))*(MAX(0,J369/INDEX(Surface_Engine!$B$12:$B$72,$A369+1)-(F369/INDEX(Surface_Engine!$B$12:$B$72,$A369+1))))+2*Assumptions!$B$28*(MAX(IF(D369&lt;=0,0,MAX(0,(B369/D369)*H369/INDEX(Surface_Engine!$B$12:$B$72,$A369+1)-F369/INDEX(Surface_Engine!$B$12:$B$72,$A369+1))),IF(E369&lt;=0,0,MAX(0,(B369/E369)*I369/INDEX(Surface_Engine!$B$12:$B$72,$A369+1)-F369/INDEX(Surface_Engine!$B$12:$B$72,$A369+1))),IF($A369&lt;$Q$321,MAX(0,-Assumptions!$B$22*(F369/INDEX(Surface_Engine!$B$12:$B$72,$A369+1))),0)))*(MAX(0,J369/INDEX(Surface_Engine!$B$12:$B$72,$A369+1)-(F369/INDEX(Surface_Engine!$B$12:$B$72,$A369+1)))))</f>
        <v>56.5405142086626</v>
      </c>
      <c r="L369" s="48" t="n">
        <f aca="false">K369*INDEX(Surface_Engine!$B$12:$B$72,$A369+1)+L370</f>
        <v>28.6208168827593</v>
      </c>
      <c r="M369" s="48" t="n">
        <f aca="false">M368+B368*(IF($A368&lt;$Q$321,(Surface_Engine!G239*12)-(Surface_Engine!G239*12)*INDEX(Surface_Engine!$F$12:$F$72,$A368+1)-INDEX(Surface_Engine!$D$12:$D$72,$A368+1),-(1000*12*INDEX(Surface_Engine!$C$12:$C$72,$A368+1)/(1+Assumptions!$B$10)^17+INDEX(Surface_Engine!$D$12:$D$72,$A368+1))))*INDEX(Surface_Engine!$B$12:$B$72,$A368+1)</f>
        <v>2099.8819560822</v>
      </c>
      <c r="N369" s="12" t="n">
        <f aca="false">IF(B369&lt;=0,0,MAX(0,(K369+Assumptions!$B$29*L369/INDEX(Surface_Engine!$B$12:$B$72,$A369+1)-(M369/INDEX(Surface_Engine!$B$12:$B$72,$A369+1)-(F369/INDEX(Surface_Engine!$B$12:$B$72,$A369+1))))/B369))</f>
        <v>0</v>
      </c>
    </row>
    <row r="370" customFormat="false" ht="15" hidden="false" customHeight="true" outlineLevel="0" collapsed="false">
      <c r="A370" s="1" t="n">
        <v>47</v>
      </c>
      <c r="B370" s="32" t="n">
        <f aca="false">INDEX(Surface_Engine!$J$12:$J$72,$A370+1)*IF($A370&lt;$Q$321,INDEX(Surface_Engine!$E$12:$E$72,$A370+1),INDEX(Surface_Engine!$E$12:$E$72,$Q$321+1))</f>
        <v>0.00315894784741672</v>
      </c>
      <c r="C370" s="32" t="n">
        <f aca="false">INDEX(Panel_Reserving!$C$8:$C$68,$A370+1)*IF($A370&lt;$Q$321,INDEX(Surface_Engine!$E$12:$E$72,$A370+1),INDEX(Surface_Engine!$E$12:$E$72,$Q$321+1))</f>
        <v>0.0109080511365631</v>
      </c>
      <c r="D370" s="32" t="n">
        <f aca="false">INDEX(Surface_Engine!$J$12:$J$72,$A370+1)*IF($A370&lt;$Q$321,INDEX(Surface_Engine!$Y$12:$Y$72,$A370+1),INDEX(Surface_Engine!$Y$12:$Y$72,$Q$321+1))</f>
        <v>0.00283540446082982</v>
      </c>
      <c r="E370" s="32" t="n">
        <f aca="false">INDEX(Surface_Engine!$J$12:$J$72,$A370+1)*IF($A370&lt;$Q$321,INDEX(Surface_Engine!$Z$12:$Z$72,$A370+1),INDEX(Surface_Engine!$Z$12:$Z$72,$Q$321+1))</f>
        <v>0.00351603286396608</v>
      </c>
      <c r="F370" s="48" t="n">
        <f aca="false">B370*(IF($A370&lt;$Q$321,INDEX(Surface_Engine!$D$12:$D$72,$A370+1)+(Surface_Engine!G239*12)*INDEX(Surface_Engine!$F$12:$F$72,$A370+1)-(Surface_Engine!G239*12),1000*12*INDEX(Surface_Engine!$C$12:$C$72,$A370+1)/(1+Assumptions!$B$10)^17+INDEX(Surface_Engine!$D$12:$D$72,$A370+1)))*INDEX(Surface_Engine!$B$12:$B$72,$A370+1)+F371</f>
        <v>33.7462932061644</v>
      </c>
      <c r="G370" s="48" t="n">
        <f aca="false">C370*(IF($A370&lt;$Q$321,INDEX(Surface_Engine!$D$12:$D$72,$A370+1)+(Surface_Engine!G239*12)*INDEX(Surface_Engine!$F$12:$F$72,$A370+1)-(Surface_Engine!G239*12),1000*12*INDEX(Surface_Engine!$C$12:$C$72,$A370+1)/(1+Assumptions!$B$10)^17+INDEX(Surface_Engine!$D$12:$D$72,$A370+1)))*INDEX(Surface_Engine!$B$12:$B$72,$A370+1)+G371</f>
        <v>142.259973882239</v>
      </c>
      <c r="H370" s="48" t="n">
        <f aca="false">D370*(IF($A370&lt;$Q$321,INDEX(Surface_Engine!$D$12:$D$72,$A370+1)+(Surface_Engine!G239*12)*INDEX(Surface_Engine!$F$12:$F$72,$A370+1)-(Surface_Engine!G239*12),1000*12*INDEX(Surface_Engine!$C$12:$C$72,$A370+1)/(1+Assumptions!$B$10)^17+INDEX(Surface_Engine!$D$12:$D$72,$A370+1)))*INDEX(Surface_Engine!$B$12:$B$72,$A370+1)+H371</f>
        <v>30.2899556798562</v>
      </c>
      <c r="I370" s="48" t="n">
        <f aca="false">E370*(IF($A370&lt;$Q$321,INDEX(Surface_Engine!$D$12:$D$72,$A370+1)+(Surface_Engine!G239*12)*INDEX(Surface_Engine!$F$12:$F$72,$A370+1)-(Surface_Engine!G239*12),1000*12*INDEX(Surface_Engine!$C$12:$C$72,$A370+1)/(1+Assumptions!$B$10)^17+INDEX(Surface_Engine!$D$12:$D$72,$A370+1)))*INDEX(Surface_Engine!$B$12:$B$72,$A370+1)+I371</f>
        <v>37.5609480374739</v>
      </c>
      <c r="J370" s="48" t="n">
        <f aca="false">B370*(IF($A370&lt;$Q$321,INDEX(Surface_Engine!$D$12:$D$72,$A370+1)*(1+Assumptions!$B$24)+(Surface_Engine!G239*12)*INDEX(Surface_Engine!$F$12:$F$72,$A370+1)-(Surface_Engine!G239*12),1000*12*INDEX(Surface_Engine!$C$12:$C$72,$A370+1)/(1+Assumptions!$B$10)^17+INDEX(Surface_Engine!$D$12:$D$72,$A370+1)*(1+Assumptions!$B$24)))*INDEX(Surface_Engine!$B$12:$B$72,$A370+1)+J371</f>
        <v>33.7866516627293</v>
      </c>
      <c r="K370" s="12" t="n">
        <f aca="false">SQRT((IF(C370&lt;=0,0,MAX(0,(B370/C370)*G370/INDEX(Surface_Engine!$B$12:$B$72,$A370+1)-F370/INDEX(Surface_Engine!$B$12:$B$72,$A370+1))))^2+(MAX(IF(D370&lt;=0,0,MAX(0,(B370/D370)*H370/INDEX(Surface_Engine!$B$12:$B$72,$A370+1)-F370/INDEX(Surface_Engine!$B$12:$B$72,$A370+1))),IF(E370&lt;=0,0,MAX(0,(B370/E370)*I370/INDEX(Surface_Engine!$B$12:$B$72,$A370+1)-F370/INDEX(Surface_Engine!$B$12:$B$72,$A370+1))),IF($A370&lt;$Q$321,MAX(0,-Assumptions!$B$22*(F370/INDEX(Surface_Engine!$B$12:$B$72,$A370+1))),0)))^2+(MAX(0,J370/INDEX(Surface_Engine!$B$12:$B$72,$A370+1)-(F370/INDEX(Surface_Engine!$B$12:$B$72,$A370+1))))^2+2*Assumptions!$B$26*(IF(C370&lt;=0,0,MAX(0,(B370/C370)*G370/INDEX(Surface_Engine!$B$12:$B$72,$A370+1)-F370/INDEX(Surface_Engine!$B$12:$B$72,$A370+1))))*(MAX(IF(D370&lt;=0,0,MAX(0,(B370/D370)*H370/INDEX(Surface_Engine!$B$12:$B$72,$A370+1)-F370/INDEX(Surface_Engine!$B$12:$B$72,$A370+1))),IF(E370&lt;=0,0,MAX(0,(B370/E370)*I370/INDEX(Surface_Engine!$B$12:$B$72,$A370+1)-F370/INDEX(Surface_Engine!$B$12:$B$72,$A370+1))),IF($A370&lt;$Q$321,MAX(0,-Assumptions!$B$22*(F370/INDEX(Surface_Engine!$B$12:$B$72,$A370+1))),0)))+2*Assumptions!$B$27*(IF(C370&lt;=0,0,MAX(0,(B370/C370)*G370/INDEX(Surface_Engine!$B$12:$B$72,$A370+1)-F370/INDEX(Surface_Engine!$B$12:$B$72,$A370+1))))*(MAX(0,J370/INDEX(Surface_Engine!$B$12:$B$72,$A370+1)-(F370/INDEX(Surface_Engine!$B$12:$B$72,$A370+1))))+2*Assumptions!$B$28*(MAX(IF(D370&lt;=0,0,MAX(0,(B370/D370)*H370/INDEX(Surface_Engine!$B$12:$B$72,$A370+1)-F370/INDEX(Surface_Engine!$B$12:$B$72,$A370+1))),IF(E370&lt;=0,0,MAX(0,(B370/E370)*I370/INDEX(Surface_Engine!$B$12:$B$72,$A370+1)-F370/INDEX(Surface_Engine!$B$12:$B$72,$A370+1))),IF($A370&lt;$Q$321,MAX(0,-Assumptions!$B$22*(F370/INDEX(Surface_Engine!$B$12:$B$72,$A370+1))),0)))*(MAX(0,J370/INDEX(Surface_Engine!$B$12:$B$72,$A370+1)-(F370/INDEX(Surface_Engine!$B$12:$B$72,$A370+1)))))</f>
        <v>32.9595352458958</v>
      </c>
      <c r="L370" s="48" t="n">
        <f aca="false">K370*INDEX(Surface_Engine!$B$12:$B$72,$A370+1)+L371</f>
        <v>15.4030537915172</v>
      </c>
      <c r="M370" s="48" t="n">
        <f aca="false">M369+B369*(IF($A369&lt;$Q$321,(Surface_Engine!G239*12)-(Surface_Engine!G239*12)*INDEX(Surface_Engine!$F$12:$F$72,$A369+1)-INDEX(Surface_Engine!$D$12:$D$72,$A369+1),-(1000*12*INDEX(Surface_Engine!$C$12:$C$72,$A369+1)/(1+Assumptions!$B$10)^17+INDEX(Surface_Engine!$D$12:$D$72,$A369+1))))*INDEX(Surface_Engine!$B$12:$B$72,$A369+1)</f>
        <v>2072.84713374711</v>
      </c>
      <c r="N370" s="12" t="n">
        <f aca="false">IF(B370&lt;=0,0,MAX(0,(K370+Assumptions!$B$29*L370/INDEX(Surface_Engine!$B$12:$B$72,$A370+1)-(M370/INDEX(Surface_Engine!$B$12:$B$72,$A370+1)-(F370/INDEX(Surface_Engine!$B$12:$B$72,$A370+1))))/B370))</f>
        <v>0</v>
      </c>
    </row>
    <row r="371" customFormat="false" ht="15" hidden="false" customHeight="true" outlineLevel="0" collapsed="false">
      <c r="A371" s="1" t="n">
        <v>48</v>
      </c>
      <c r="B371" s="32" t="n">
        <f aca="false">INDEX(Surface_Engine!$J$12:$J$72,$A371+1)*IF($A371&lt;$Q$321,INDEX(Surface_Engine!$E$12:$E$72,$A371+1),INDEX(Surface_Engine!$E$12:$E$72,$Q$321+1))</f>
        <v>0.00176714416657834</v>
      </c>
      <c r="C371" s="32" t="n">
        <f aca="false">INDEX(Panel_Reserving!$C$8:$C$68,$A371+1)*IF($A371&lt;$Q$321,INDEX(Surface_Engine!$E$12:$E$72,$A371+1),INDEX(Surface_Engine!$E$12:$E$72,$Q$321+1))</f>
        <v>0.00706326066683577</v>
      </c>
      <c r="D371" s="32" t="n">
        <f aca="false">INDEX(Surface_Engine!$J$12:$J$72,$A371+1)*IF($A371&lt;$Q$321,INDEX(Surface_Engine!$Y$12:$Y$72,$A371+1),INDEX(Surface_Engine!$Y$12:$Y$72,$Q$321+1))</f>
        <v>0.00158615105245979</v>
      </c>
      <c r="E371" s="32" t="n">
        <f aca="false">INDEX(Surface_Engine!$J$12:$J$72,$A371+1)*IF($A371&lt;$Q$321,INDEX(Surface_Engine!$Z$12:$Z$72,$A371+1),INDEX(Surface_Engine!$Z$12:$Z$72,$Q$321+1))</f>
        <v>0.00196690077366629</v>
      </c>
      <c r="F371" s="48" t="n">
        <f aca="false">B371*(IF($A371&lt;$Q$321,INDEX(Surface_Engine!$D$12:$D$72,$A371+1)+(Surface_Engine!G239*12)*INDEX(Surface_Engine!$F$12:$F$72,$A371+1)-(Surface_Engine!G239*12),1000*12*INDEX(Surface_Engine!$C$12:$C$72,$A371+1)/(1+Assumptions!$B$10)^17+INDEX(Surface_Engine!$D$12:$D$72,$A371+1)))*INDEX(Surface_Engine!$B$12:$B$72,$A371+1)+F372</f>
        <v>18.0135133859887</v>
      </c>
      <c r="G371" s="48" t="n">
        <f aca="false">C371*(IF($A371&lt;$Q$321,INDEX(Surface_Engine!$D$12:$D$72,$A371+1)+(Surface_Engine!G239*12)*INDEX(Surface_Engine!$F$12:$F$72,$A371+1)-(Surface_Engine!G239*12),1000*12*INDEX(Surface_Engine!$C$12:$C$72,$A371+1)/(1+Assumptions!$B$10)^17+INDEX(Surface_Engine!$D$12:$D$72,$A371+1)))*INDEX(Surface_Engine!$B$12:$B$72,$A371+1)+G372</f>
        <v>87.9336680715546</v>
      </c>
      <c r="H371" s="48" t="n">
        <f aca="false">D371*(IF($A371&lt;$Q$321,INDEX(Surface_Engine!$D$12:$D$72,$A371+1)+(Surface_Engine!G239*12)*INDEX(Surface_Engine!$F$12:$F$72,$A371+1)-(Surface_Engine!G239*12),1000*12*INDEX(Surface_Engine!$C$12:$C$72,$A371+1)/(1+Assumptions!$B$10)^17+INDEX(Surface_Engine!$D$12:$D$72,$A371+1)))*INDEX(Surface_Engine!$B$12:$B$72,$A371+1)+H372</f>
        <v>16.1685468316984</v>
      </c>
      <c r="I371" s="48" t="n">
        <f aca="false">E371*(IF($A371&lt;$Q$321,INDEX(Surface_Engine!$D$12:$D$72,$A371+1)+(Surface_Engine!G239*12)*INDEX(Surface_Engine!$F$12:$F$72,$A371+1)-(Surface_Engine!G239*12),1000*12*INDEX(Surface_Engine!$C$12:$C$72,$A371+1)/(1+Assumptions!$B$10)^17+INDEX(Surface_Engine!$D$12:$D$72,$A371+1)))*INDEX(Surface_Engine!$B$12:$B$72,$A371+1)+I372</f>
        <v>20.0497469790213</v>
      </c>
      <c r="J371" s="48" t="n">
        <f aca="false">B371*(IF($A371&lt;$Q$321,INDEX(Surface_Engine!$D$12:$D$72,$A371+1)*(1+Assumptions!$B$24)+(Surface_Engine!G239*12)*INDEX(Surface_Engine!$F$12:$F$72,$A371+1)-(Surface_Engine!G239*12),1000*12*INDEX(Surface_Engine!$C$12:$C$72,$A371+1)/(1+Assumptions!$B$10)^17+INDEX(Surface_Engine!$D$12:$D$72,$A371+1)*(1+Assumptions!$B$24)))*INDEX(Surface_Engine!$B$12:$B$72,$A371+1)+J372</f>
        <v>18.0351539631717</v>
      </c>
      <c r="K371" s="12" t="n">
        <f aca="false">SQRT((IF(C371&lt;=0,0,MAX(0,(B371/C371)*G371/INDEX(Surface_Engine!$B$12:$B$72,$A371+1)-F371/INDEX(Surface_Engine!$B$12:$B$72,$A371+1))))^2+(MAX(IF(D371&lt;=0,0,MAX(0,(B371/D371)*H371/INDEX(Surface_Engine!$B$12:$B$72,$A371+1)-F371/INDEX(Surface_Engine!$B$12:$B$72,$A371+1))),IF(E371&lt;=0,0,MAX(0,(B371/E371)*I371/INDEX(Surface_Engine!$B$12:$B$72,$A371+1)-F371/INDEX(Surface_Engine!$B$12:$B$72,$A371+1))),IF($A371&lt;$Q$321,MAX(0,-Assumptions!$B$22*(F371/INDEX(Surface_Engine!$B$12:$B$72,$A371+1))),0)))^2+(MAX(0,J371/INDEX(Surface_Engine!$B$12:$B$72,$A371+1)-(F371/INDEX(Surface_Engine!$B$12:$B$72,$A371+1))))^2+2*Assumptions!$B$26*(IF(C371&lt;=0,0,MAX(0,(B371/C371)*G371/INDEX(Surface_Engine!$B$12:$B$72,$A371+1)-F371/INDEX(Surface_Engine!$B$12:$B$72,$A371+1))))*(MAX(IF(D371&lt;=0,0,MAX(0,(B371/D371)*H371/INDEX(Surface_Engine!$B$12:$B$72,$A371+1)-F371/INDEX(Surface_Engine!$B$12:$B$72,$A371+1))),IF(E371&lt;=0,0,MAX(0,(B371/E371)*I371/INDEX(Surface_Engine!$B$12:$B$72,$A371+1)-F371/INDEX(Surface_Engine!$B$12:$B$72,$A371+1))),IF($A371&lt;$Q$321,MAX(0,-Assumptions!$B$22*(F371/INDEX(Surface_Engine!$B$12:$B$72,$A371+1))),0)))+2*Assumptions!$B$27*(IF(C371&lt;=0,0,MAX(0,(B371/C371)*G371/INDEX(Surface_Engine!$B$12:$B$72,$A371+1)-F371/INDEX(Surface_Engine!$B$12:$B$72,$A371+1))))*(MAX(0,J371/INDEX(Surface_Engine!$B$12:$B$72,$A371+1)-(F371/INDEX(Surface_Engine!$B$12:$B$72,$A371+1))))+2*Assumptions!$B$28*(MAX(IF(D371&lt;=0,0,MAX(0,(B371/D371)*H371/INDEX(Surface_Engine!$B$12:$B$72,$A371+1)-F371/INDEX(Surface_Engine!$B$12:$B$72,$A371+1))),IF(E371&lt;=0,0,MAX(0,(B371/E371)*I371/INDEX(Surface_Engine!$B$12:$B$72,$A371+1)-F371/INDEX(Surface_Engine!$B$12:$B$72,$A371+1))),IF($A371&lt;$Q$321,MAX(0,-Assumptions!$B$22*(F371/INDEX(Surface_Engine!$B$12:$B$72,$A371+1))),0)))*(MAX(0,J371/INDEX(Surface_Engine!$B$12:$B$72,$A371+1)-(F371/INDEX(Surface_Engine!$B$12:$B$72,$A371+1)))))</f>
        <v>18.2151375935592</v>
      </c>
      <c r="L371" s="48" t="n">
        <f aca="false">K371*INDEX(Surface_Engine!$B$12:$B$72,$A371+1)+L372</f>
        <v>7.94097652321887</v>
      </c>
      <c r="M371" s="48" t="n">
        <f aca="false">M370+B370*(IF($A370&lt;$Q$321,(Surface_Engine!G239*12)-(Surface_Engine!G239*12)*INDEX(Surface_Engine!$F$12:$F$72,$A370+1)-INDEX(Surface_Engine!$D$12:$D$72,$A370+1),-(1000*12*INDEX(Surface_Engine!$C$12:$C$72,$A370+1)/(1+Assumptions!$B$10)^17+INDEX(Surface_Engine!$D$12:$D$72,$A370+1))))*INDEX(Surface_Engine!$B$12:$B$72,$A370+1)</f>
        <v>2057.11435392694</v>
      </c>
      <c r="N371" s="12" t="n">
        <f aca="false">IF(B371&lt;=0,0,MAX(0,(K371+Assumptions!$B$29*L371/INDEX(Surface_Engine!$B$12:$B$72,$A371+1)-(M371/INDEX(Surface_Engine!$B$12:$B$72,$A371+1)-(F371/INDEX(Surface_Engine!$B$12:$B$72,$A371+1))))/B371))</f>
        <v>0</v>
      </c>
    </row>
    <row r="372" customFormat="false" ht="15" hidden="false" customHeight="true" outlineLevel="0" collapsed="false">
      <c r="A372" s="1" t="n">
        <v>49</v>
      </c>
      <c r="B372" s="32" t="n">
        <f aca="false">INDEX(Surface_Engine!$J$12:$J$72,$A372+1)*IF($A372&lt;$Q$321,INDEX(Surface_Engine!$E$12:$E$72,$A372+1),INDEX(Surface_Engine!$E$12:$E$72,$Q$321+1))</f>
        <v>0.000957371312538695</v>
      </c>
      <c r="C372" s="32" t="n">
        <f aca="false">INDEX(Panel_Reserving!$C$8:$C$68,$A372+1)*IF($A372&lt;$Q$321,INDEX(Surface_Engine!$E$12:$E$72,$A372+1),INDEX(Surface_Engine!$E$12:$E$72,$Q$321+1))</f>
        <v>0.00447393632887446</v>
      </c>
      <c r="D372" s="32" t="n">
        <f aca="false">INDEX(Surface_Engine!$J$12:$J$72,$A372+1)*IF($A372&lt;$Q$321,INDEX(Surface_Engine!$Y$12:$Y$72,$A372+1),INDEX(Surface_Engine!$Y$12:$Y$72,$Q$321+1))</f>
        <v>0.000859316146185373</v>
      </c>
      <c r="E372" s="32" t="n">
        <f aca="false">INDEX(Surface_Engine!$J$12:$J$72,$A372+1)*IF($A372&lt;$Q$321,INDEX(Surface_Engine!$Z$12:$Z$72,$A372+1),INDEX(Surface_Engine!$Z$12:$Z$72,$Q$321+1))</f>
        <v>0.00106559182376408</v>
      </c>
      <c r="F372" s="48" t="n">
        <f aca="false">B372*(IF($A372&lt;$Q$321,INDEX(Surface_Engine!$D$12:$D$72,$A372+1)+(Surface_Engine!G239*12)*INDEX(Surface_Engine!$F$12:$F$72,$A372+1)-(Surface_Engine!G239*12),1000*12*INDEX(Surface_Engine!$C$12:$C$72,$A372+1)/(1+Assumptions!$B$10)^17+INDEX(Surface_Engine!$D$12:$D$72,$A372+1)))*INDEX(Surface_Engine!$B$12:$B$72,$A372+1)+F373</f>
        <v>9.32329769662058</v>
      </c>
      <c r="G372" s="48" t="n">
        <f aca="false">C372*(IF($A372&lt;$Q$321,INDEX(Surface_Engine!$D$12:$D$72,$A372+1)+(Surface_Engine!G239*12)*INDEX(Surface_Engine!$F$12:$F$72,$A372+1)-(Surface_Engine!G239*12),1000*12*INDEX(Surface_Engine!$C$12:$C$72,$A372+1)/(1+Assumptions!$B$10)^17+INDEX(Surface_Engine!$D$12:$D$72,$A372+1)))*INDEX(Surface_Engine!$B$12:$B$72,$A372+1)+G373</f>
        <v>53.198947596607</v>
      </c>
      <c r="H372" s="48" t="n">
        <f aca="false">D372*(IF($A372&lt;$Q$321,INDEX(Surface_Engine!$D$12:$D$72,$A372+1)+(Surface_Engine!G239*12)*INDEX(Surface_Engine!$F$12:$F$72,$A372+1)-(Surface_Engine!G239*12),1000*12*INDEX(Surface_Engine!$C$12:$C$72,$A372+1)/(1+Assumptions!$B$10)^17+INDEX(Surface_Engine!$D$12:$D$72,$A372+1)))*INDEX(Surface_Engine!$B$12:$B$72,$A372+1)+H373</f>
        <v>8.36839389427093</v>
      </c>
      <c r="I372" s="48" t="n">
        <f aca="false">E372*(IF($A372&lt;$Q$321,INDEX(Surface_Engine!$D$12:$D$72,$A372+1)+(Surface_Engine!G239*12)*INDEX(Surface_Engine!$F$12:$F$72,$A372+1)-(Surface_Engine!G239*12),1000*12*INDEX(Surface_Engine!$C$12:$C$72,$A372+1)/(1+Assumptions!$B$10)^17+INDEX(Surface_Engine!$D$12:$D$72,$A372+1)))*INDEX(Surface_Engine!$B$12:$B$72,$A372+1)+I373</f>
        <v>10.3771960428737</v>
      </c>
      <c r="J372" s="48" t="n">
        <f aca="false">B372*(IF($A372&lt;$Q$321,INDEX(Surface_Engine!$D$12:$D$72,$A372+1)*(1+Assumptions!$B$24)+(Surface_Engine!G239*12)*INDEX(Surface_Engine!$F$12:$F$72,$A372+1)-(Surface_Engine!G239*12),1000*12*INDEX(Surface_Engine!$C$12:$C$72,$A372+1)/(1+Assumptions!$B$10)^17+INDEX(Surface_Engine!$D$12:$D$72,$A372+1)*(1+Assumptions!$B$24)))*INDEX(Surface_Engine!$B$12:$B$72,$A372+1)+J373</f>
        <v>9.33454912177834</v>
      </c>
      <c r="K372" s="12" t="n">
        <f aca="false">SQRT((IF(C372&lt;=0,0,MAX(0,(B372/C372)*G372/INDEX(Surface_Engine!$B$12:$B$72,$A372+1)-F372/INDEX(Surface_Engine!$B$12:$B$72,$A372+1))))^2+(MAX(IF(D372&lt;=0,0,MAX(0,(B372/D372)*H372/INDEX(Surface_Engine!$B$12:$B$72,$A372+1)-F372/INDEX(Surface_Engine!$B$12:$B$72,$A372+1))),IF(E372&lt;=0,0,MAX(0,(B372/E372)*I372/INDEX(Surface_Engine!$B$12:$B$72,$A372+1)-F372/INDEX(Surface_Engine!$B$12:$B$72,$A372+1))),IF($A372&lt;$Q$321,MAX(0,-Assumptions!$B$22*(F372/INDEX(Surface_Engine!$B$12:$B$72,$A372+1))),0)))^2+(MAX(0,J372/INDEX(Surface_Engine!$B$12:$B$72,$A372+1)-(F372/INDEX(Surface_Engine!$B$12:$B$72,$A372+1))))^2+2*Assumptions!$B$26*(IF(C372&lt;=0,0,MAX(0,(B372/C372)*G372/INDEX(Surface_Engine!$B$12:$B$72,$A372+1)-F372/INDEX(Surface_Engine!$B$12:$B$72,$A372+1))))*(MAX(IF(D372&lt;=0,0,MAX(0,(B372/D372)*H372/INDEX(Surface_Engine!$B$12:$B$72,$A372+1)-F372/INDEX(Surface_Engine!$B$12:$B$72,$A372+1))),IF(E372&lt;=0,0,MAX(0,(B372/E372)*I372/INDEX(Surface_Engine!$B$12:$B$72,$A372+1)-F372/INDEX(Surface_Engine!$B$12:$B$72,$A372+1))),IF($A372&lt;$Q$321,MAX(0,-Assumptions!$B$22*(F372/INDEX(Surface_Engine!$B$12:$B$72,$A372+1))),0)))+2*Assumptions!$B$27*(IF(C372&lt;=0,0,MAX(0,(B372/C372)*G372/INDEX(Surface_Engine!$B$12:$B$72,$A372+1)-F372/INDEX(Surface_Engine!$B$12:$B$72,$A372+1))))*(MAX(0,J372/INDEX(Surface_Engine!$B$12:$B$72,$A372+1)-(F372/INDEX(Surface_Engine!$B$12:$B$72,$A372+1))))+2*Assumptions!$B$28*(MAX(IF(D372&lt;=0,0,MAX(0,(B372/D372)*H372/INDEX(Surface_Engine!$B$12:$B$72,$A372+1)-F372/INDEX(Surface_Engine!$B$12:$B$72,$A372+1))),IF(E372&lt;=0,0,MAX(0,(B372/E372)*I372/INDEX(Surface_Engine!$B$12:$B$72,$A372+1)-F372/INDEX(Surface_Engine!$B$12:$B$72,$A372+1))),IF($A372&lt;$Q$321,MAX(0,-Assumptions!$B$22*(F372/INDEX(Surface_Engine!$B$12:$B$72,$A372+1))),0)))*(MAX(0,J372/INDEX(Surface_Engine!$B$12:$B$72,$A372+1)-(F372/INDEX(Surface_Engine!$B$12:$B$72,$A372+1)))))</f>
        <v>9.72296566501557</v>
      </c>
      <c r="L372" s="48" t="n">
        <f aca="false">K372*INDEX(Surface_Engine!$B$12:$B$72,$A372+1)+L373</f>
        <v>3.94906244542539</v>
      </c>
      <c r="M372" s="48" t="n">
        <f aca="false">M371+B371*(IF($A371&lt;$Q$321,(Surface_Engine!G239*12)-(Surface_Engine!G239*12)*INDEX(Surface_Engine!$F$12:$F$72,$A371+1)-INDEX(Surface_Engine!$D$12:$D$72,$A371+1),-(1000*12*INDEX(Surface_Engine!$C$12:$C$72,$A371+1)/(1+Assumptions!$B$10)^17+INDEX(Surface_Engine!$D$12:$D$72,$A371+1))))*INDEX(Surface_Engine!$B$12:$B$72,$A371+1)</f>
        <v>2048.42413823757</v>
      </c>
      <c r="N372" s="12" t="n">
        <f aca="false">IF(B372&lt;=0,0,MAX(0,(K372+Assumptions!$B$29*L372/INDEX(Surface_Engine!$B$12:$B$72,$A372+1)-(M372/INDEX(Surface_Engine!$B$12:$B$72,$A372+1)-(F372/INDEX(Surface_Engine!$B$12:$B$72,$A372+1))))/B372))</f>
        <v>0</v>
      </c>
    </row>
    <row r="373" customFormat="false" ht="15" hidden="false" customHeight="true" outlineLevel="0" collapsed="false">
      <c r="A373" s="1" t="n">
        <v>50</v>
      </c>
      <c r="B373" s="32" t="n">
        <f aca="false">INDEX(Surface_Engine!$J$12:$J$72,$A373+1)*IF($A373&lt;$Q$321,INDEX(Surface_Engine!$E$12:$E$72,$A373+1),INDEX(Surface_Engine!$E$12:$E$72,$Q$321+1))</f>
        <v>0.000501841043906663</v>
      </c>
      <c r="C373" s="32" t="n">
        <f aca="false">INDEX(Panel_Reserving!$C$8:$C$68,$A373+1)*IF($A373&lt;$Q$321,INDEX(Surface_Engine!$E$12:$E$72,$A373+1),INDEX(Surface_Engine!$E$12:$E$72,$Q$321+1))</f>
        <v>0.00277092861093437</v>
      </c>
      <c r="D373" s="32" t="n">
        <f aca="false">INDEX(Surface_Engine!$J$12:$J$72,$A373+1)*IF($A373&lt;$Q$321,INDEX(Surface_Engine!$Y$12:$Y$72,$A373+1),INDEX(Surface_Engine!$Y$12:$Y$72,$Q$321+1))</f>
        <v>0.000450441856988574</v>
      </c>
      <c r="E373" s="32" t="n">
        <f aca="false">INDEX(Surface_Engine!$J$12:$J$72,$A373+1)*IF($A373&lt;$Q$321,INDEX(Surface_Engine!$Z$12:$Z$72,$A373+1),INDEX(Surface_Engine!$Z$12:$Z$72,$Q$321+1))</f>
        <v>0.000558568766592907</v>
      </c>
      <c r="F373" s="48" t="n">
        <f aca="false">B373*(IF($A373&lt;$Q$321,INDEX(Surface_Engine!$D$12:$D$72,$A373+1)+(Surface_Engine!G239*12)*INDEX(Surface_Engine!$F$12:$F$72,$A373+1)-(Surface_Engine!G239*12),1000*12*INDEX(Surface_Engine!$C$12:$C$72,$A373+1)/(1+Assumptions!$B$10)^17+INDEX(Surface_Engine!$D$12:$D$72,$A373+1)))*INDEX(Surface_Engine!$B$12:$B$72,$A373+1)+F374</f>
        <v>4.67253665560241</v>
      </c>
      <c r="G373" s="48" t="n">
        <f aca="false">C373*(IF($A373&lt;$Q$321,INDEX(Surface_Engine!$D$12:$D$72,$A373+1)+(Surface_Engine!G239*12)*INDEX(Surface_Engine!$F$12:$F$72,$A373+1)-(Surface_Engine!G239*12),1000*12*INDEX(Surface_Engine!$C$12:$C$72,$A373+1)/(1+Assumptions!$B$10)^17+INDEX(Surface_Engine!$D$12:$D$72,$A373+1)))*INDEX(Surface_Engine!$B$12:$B$72,$A373+1)+G374</f>
        <v>31.4652602531352</v>
      </c>
      <c r="H373" s="48" t="n">
        <f aca="false">D373*(IF($A373&lt;$Q$321,INDEX(Surface_Engine!$D$12:$D$72,$A373+1)+(Surface_Engine!G239*12)*INDEX(Surface_Engine!$F$12:$F$72,$A373+1)-(Surface_Engine!G239*12),1000*12*INDEX(Surface_Engine!$C$12:$C$72,$A373+1)/(1+Assumptions!$B$10)^17+INDEX(Surface_Engine!$D$12:$D$72,$A373+1)))*INDEX(Surface_Engine!$B$12:$B$72,$A373+1)+H374</f>
        <v>4.19396961159714</v>
      </c>
      <c r="I373" s="48" t="n">
        <f aca="false">E373*(IF($A373&lt;$Q$321,INDEX(Surface_Engine!$D$12:$D$72,$A373+1)+(Surface_Engine!G239*12)*INDEX(Surface_Engine!$F$12:$F$72,$A373+1)-(Surface_Engine!G239*12),1000*12*INDEX(Surface_Engine!$C$12:$C$72,$A373+1)/(1+Assumptions!$B$10)^17+INDEX(Surface_Engine!$D$12:$D$72,$A373+1)))*INDEX(Surface_Engine!$B$12:$B$72,$A373+1)+I374</f>
        <v>5.20071657802745</v>
      </c>
      <c r="J373" s="48" t="n">
        <f aca="false">B373*(IF($A373&lt;$Q$321,INDEX(Surface_Engine!$D$12:$D$72,$A373+1)*(1+Assumptions!$B$24)+(Surface_Engine!G239*12)*INDEX(Surface_Engine!$F$12:$F$72,$A373+1)-(Surface_Engine!G239*12),1000*12*INDEX(Surface_Engine!$C$12:$C$72,$A373+1)/(1+Assumptions!$B$10)^17+INDEX(Surface_Engine!$D$12:$D$72,$A373+1)*(1+Assumptions!$B$24)))*INDEX(Surface_Engine!$B$12:$B$72,$A373+1)+J374</f>
        <v>4.67820116896461</v>
      </c>
      <c r="K373" s="12" t="n">
        <f aca="false">SQRT((IF(C373&lt;=0,0,MAX(0,(B373/C373)*G373/INDEX(Surface_Engine!$B$12:$B$72,$A373+1)-F373/INDEX(Surface_Engine!$B$12:$B$72,$A373+1))))^2+(MAX(IF(D373&lt;=0,0,MAX(0,(B373/D373)*H373/INDEX(Surface_Engine!$B$12:$B$72,$A373+1)-F373/INDEX(Surface_Engine!$B$12:$B$72,$A373+1))),IF(E373&lt;=0,0,MAX(0,(B373/E373)*I373/INDEX(Surface_Engine!$B$12:$B$72,$A373+1)-F373/INDEX(Surface_Engine!$B$12:$B$72,$A373+1))),IF($A373&lt;$Q$321,MAX(0,-Assumptions!$B$22*(F373/INDEX(Surface_Engine!$B$12:$B$72,$A373+1))),0)))^2+(MAX(0,J373/INDEX(Surface_Engine!$B$12:$B$72,$A373+1)-(F373/INDEX(Surface_Engine!$B$12:$B$72,$A373+1))))^2+2*Assumptions!$B$26*(IF(C373&lt;=0,0,MAX(0,(B373/C373)*G373/INDEX(Surface_Engine!$B$12:$B$72,$A373+1)-F373/INDEX(Surface_Engine!$B$12:$B$72,$A373+1))))*(MAX(IF(D373&lt;=0,0,MAX(0,(B373/D373)*H373/INDEX(Surface_Engine!$B$12:$B$72,$A373+1)-F373/INDEX(Surface_Engine!$B$12:$B$72,$A373+1))),IF(E373&lt;=0,0,MAX(0,(B373/E373)*I373/INDEX(Surface_Engine!$B$12:$B$72,$A373+1)-F373/INDEX(Surface_Engine!$B$12:$B$72,$A373+1))),IF($A373&lt;$Q$321,MAX(0,-Assumptions!$B$22*(F373/INDEX(Surface_Engine!$B$12:$B$72,$A373+1))),0)))+2*Assumptions!$B$27*(IF(C373&lt;=0,0,MAX(0,(B373/C373)*G373/INDEX(Surface_Engine!$B$12:$B$72,$A373+1)-F373/INDEX(Surface_Engine!$B$12:$B$72,$A373+1))))*(MAX(0,J373/INDEX(Surface_Engine!$B$12:$B$72,$A373+1)-(F373/INDEX(Surface_Engine!$B$12:$B$72,$A373+1))))+2*Assumptions!$B$28*(MAX(IF(D373&lt;=0,0,MAX(0,(B373/D373)*H373/INDEX(Surface_Engine!$B$12:$B$72,$A373+1)-F373/INDEX(Surface_Engine!$B$12:$B$72,$A373+1))),IF(E373&lt;=0,0,MAX(0,(B373/E373)*I373/INDEX(Surface_Engine!$B$12:$B$72,$A373+1)-F373/INDEX(Surface_Engine!$B$12:$B$72,$A373+1))),IF($A373&lt;$Q$321,MAX(0,-Assumptions!$B$22*(F373/INDEX(Surface_Engine!$B$12:$B$72,$A373+1))),0)))*(MAX(0,J373/INDEX(Surface_Engine!$B$12:$B$72,$A373+1)-(F373/INDEX(Surface_Engine!$B$12:$B$72,$A373+1)))))</f>
        <v>5.00210411880807</v>
      </c>
      <c r="L373" s="48" t="n">
        <f aca="false">K373*INDEX(Surface_Engine!$B$12:$B$72,$A373+1)+L374</f>
        <v>1.88555091165575</v>
      </c>
      <c r="M373" s="48" t="n">
        <f aca="false">M372+B372*(IF($A372&lt;$Q$321,(Surface_Engine!G239*12)-(Surface_Engine!G239*12)*INDEX(Surface_Engine!$F$12:$F$72,$A372+1)-INDEX(Surface_Engine!$D$12:$D$72,$A372+1),-(1000*12*INDEX(Surface_Engine!$C$12:$C$72,$A372+1)/(1+Assumptions!$B$10)^17+INDEX(Surface_Engine!$D$12:$D$72,$A372+1))))*INDEX(Surface_Engine!$B$12:$B$72,$A372+1)</f>
        <v>2043.77337719655</v>
      </c>
      <c r="N373" s="12" t="n">
        <f aca="false">IF(B373&lt;=0,0,MAX(0,(K373+Assumptions!$B$29*L373/INDEX(Surface_Engine!$B$12:$B$72,$A373+1)-(M373/INDEX(Surface_Engine!$B$12:$B$72,$A373+1)-(F373/INDEX(Surface_Engine!$B$12:$B$72,$A373+1))))/B373))</f>
        <v>0</v>
      </c>
    </row>
    <row r="374" customFormat="false" ht="15" hidden="false" customHeight="true" outlineLevel="0" collapsed="false">
      <c r="A374" s="1" t="n">
        <v>51</v>
      </c>
      <c r="B374" s="32" t="n">
        <f aca="false">INDEX(Surface_Engine!$J$12:$J$72,$A374+1)*IF($A374&lt;$Q$321,INDEX(Surface_Engine!$E$12:$E$72,$A374+1),INDEX(Surface_Engine!$E$12:$E$72,$Q$321+1))</f>
        <v>0.000254301417442665</v>
      </c>
      <c r="C374" s="32" t="n">
        <f aca="false">INDEX(Panel_Reserving!$C$8:$C$68,$A374+1)*IF($A374&lt;$Q$321,INDEX(Surface_Engine!$E$12:$E$72,$A374+1),INDEX(Surface_Engine!$E$12:$E$72,$Q$321+1))</f>
        <v>0.00167749132972758</v>
      </c>
      <c r="D374" s="32" t="n">
        <f aca="false">INDEX(Surface_Engine!$J$12:$J$72,$A374+1)*IF($A374&lt;$Q$321,INDEX(Surface_Engine!$Y$12:$Y$72,$A374+1),INDEX(Surface_Engine!$Y$12:$Y$72,$Q$321+1))</f>
        <v>0.000228255548442158</v>
      </c>
      <c r="E374" s="32" t="n">
        <f aca="false">INDEX(Surface_Engine!$J$12:$J$72,$A374+1)*IF($A374&lt;$Q$321,INDEX(Surface_Engine!$Z$12:$Z$72,$A374+1),INDEX(Surface_Engine!$Z$12:$Z$72,$Q$321+1))</f>
        <v>0.000283047452591773</v>
      </c>
      <c r="F374" s="48" t="n">
        <f aca="false">B374*(IF($A374&lt;$Q$321,INDEX(Surface_Engine!$D$12:$D$72,$A374+1)+(Surface_Engine!G239*12)*INDEX(Surface_Engine!$F$12:$F$72,$A374+1)-(Surface_Engine!G239*12),1000*12*INDEX(Surface_Engine!$C$12:$C$72,$A374+1)/(1+Assumptions!$B$10)^17+INDEX(Surface_Engine!$D$12:$D$72,$A374+1)))*INDEX(Surface_Engine!$B$12:$B$72,$A374+1)+F375</f>
        <v>2.26553625214385</v>
      </c>
      <c r="G374" s="48" t="n">
        <f aca="false">C374*(IF($A374&lt;$Q$321,INDEX(Surface_Engine!$D$12:$D$72,$A374+1)+(Surface_Engine!G239*12)*INDEX(Surface_Engine!$F$12:$F$72,$A374+1)-(Surface_Engine!G239*12),1000*12*INDEX(Surface_Engine!$C$12:$C$72,$A374+1)/(1+Assumptions!$B$10)^17+INDEX(Surface_Engine!$D$12:$D$72,$A374+1)))*INDEX(Surface_Engine!$B$12:$B$72,$A374+1)+G375</f>
        <v>18.1749437964479</v>
      </c>
      <c r="H374" s="48" t="n">
        <f aca="false">D374*(IF($A374&lt;$Q$321,INDEX(Surface_Engine!$D$12:$D$72,$A374+1)+(Surface_Engine!G239*12)*INDEX(Surface_Engine!$F$12:$F$72,$A374+1)-(Surface_Engine!G239*12),1000*12*INDEX(Surface_Engine!$C$12:$C$72,$A374+1)/(1+Assumptions!$B$10)^17+INDEX(Surface_Engine!$D$12:$D$72,$A374+1)))*INDEX(Surface_Engine!$B$12:$B$72,$A374+1)+H375</f>
        <v>2.03349719773102</v>
      </c>
      <c r="I374" s="48" t="n">
        <f aca="false">E374*(IF($A374&lt;$Q$321,INDEX(Surface_Engine!$D$12:$D$72,$A374+1)+(Surface_Engine!G239*12)*INDEX(Surface_Engine!$F$12:$F$72,$A374+1)-(Surface_Engine!G239*12),1000*12*INDEX(Surface_Engine!$C$12:$C$72,$A374+1)/(1+Assumptions!$B$10)^17+INDEX(Surface_Engine!$D$12:$D$72,$A374+1)))*INDEX(Surface_Engine!$B$12:$B$72,$A374+1)+I375</f>
        <v>2.52163071434003</v>
      </c>
      <c r="J374" s="48" t="n">
        <f aca="false">B374*(IF($A374&lt;$Q$321,INDEX(Surface_Engine!$D$12:$D$72,$A374+1)*(1+Assumptions!$B$24)+(Surface_Engine!G239*12)*INDEX(Surface_Engine!$F$12:$F$72,$A374+1)-(Surface_Engine!G239*12),1000*12*INDEX(Surface_Engine!$C$12:$C$72,$A374+1)/(1+Assumptions!$B$10)^17+INDEX(Surface_Engine!$D$12:$D$72,$A374+1)*(1+Assumptions!$B$24)))*INDEX(Surface_Engine!$B$12:$B$72,$A374+1)+J375</f>
        <v>2.26829525752716</v>
      </c>
      <c r="K374" s="12" t="n">
        <f aca="false">SQRT((IF(C374&lt;=0,0,MAX(0,(B374/C374)*G374/INDEX(Surface_Engine!$B$12:$B$72,$A374+1)-F374/INDEX(Surface_Engine!$B$12:$B$72,$A374+1))))^2+(MAX(IF(D374&lt;=0,0,MAX(0,(B374/D374)*H374/INDEX(Surface_Engine!$B$12:$B$72,$A374+1)-F374/INDEX(Surface_Engine!$B$12:$B$72,$A374+1))),IF(E374&lt;=0,0,MAX(0,(B374/E374)*I374/INDEX(Surface_Engine!$B$12:$B$72,$A374+1)-F374/INDEX(Surface_Engine!$B$12:$B$72,$A374+1))),IF($A374&lt;$Q$321,MAX(0,-Assumptions!$B$22*(F374/INDEX(Surface_Engine!$B$12:$B$72,$A374+1))),0)))^2+(MAX(0,J374/INDEX(Surface_Engine!$B$12:$B$72,$A374+1)-(F374/INDEX(Surface_Engine!$B$12:$B$72,$A374+1))))^2+2*Assumptions!$B$26*(IF(C374&lt;=0,0,MAX(0,(B374/C374)*G374/INDEX(Surface_Engine!$B$12:$B$72,$A374+1)-F374/INDEX(Surface_Engine!$B$12:$B$72,$A374+1))))*(MAX(IF(D374&lt;=0,0,MAX(0,(B374/D374)*H374/INDEX(Surface_Engine!$B$12:$B$72,$A374+1)-F374/INDEX(Surface_Engine!$B$12:$B$72,$A374+1))),IF(E374&lt;=0,0,MAX(0,(B374/E374)*I374/INDEX(Surface_Engine!$B$12:$B$72,$A374+1)-F374/INDEX(Surface_Engine!$B$12:$B$72,$A374+1))),IF($A374&lt;$Q$321,MAX(0,-Assumptions!$B$22*(F374/INDEX(Surface_Engine!$B$12:$B$72,$A374+1))),0)))+2*Assumptions!$B$27*(IF(C374&lt;=0,0,MAX(0,(B374/C374)*G374/INDEX(Surface_Engine!$B$12:$B$72,$A374+1)-F374/INDEX(Surface_Engine!$B$12:$B$72,$A374+1))))*(MAX(0,J374/INDEX(Surface_Engine!$B$12:$B$72,$A374+1)-(F374/INDEX(Surface_Engine!$B$12:$B$72,$A374+1))))+2*Assumptions!$B$28*(MAX(IF(D374&lt;=0,0,MAX(0,(B374/D374)*H374/INDEX(Surface_Engine!$B$12:$B$72,$A374+1)-F374/INDEX(Surface_Engine!$B$12:$B$72,$A374+1))),IF(E374&lt;=0,0,MAX(0,(B374/E374)*I374/INDEX(Surface_Engine!$B$12:$B$72,$A374+1)-F374/INDEX(Surface_Engine!$B$12:$B$72,$A374+1))),IF($A374&lt;$Q$321,MAX(0,-Assumptions!$B$22*(F374/INDEX(Surface_Engine!$B$12:$B$72,$A374+1))),0)))*(MAX(0,J374/INDEX(Surface_Engine!$B$12:$B$72,$A374+1)-(F374/INDEX(Surface_Engine!$B$12:$B$72,$A374+1)))))</f>
        <v>2.46533534612938</v>
      </c>
      <c r="L374" s="48" t="n">
        <f aca="false">K374*INDEX(Surface_Engine!$B$12:$B$72,$A374+1)+L375</f>
        <v>0.858004374925282</v>
      </c>
      <c r="M374" s="48" t="n">
        <f aca="false">M373+B373*(IF($A373&lt;$Q$321,(Surface_Engine!G239*12)-(Surface_Engine!G239*12)*INDEX(Surface_Engine!$F$12:$F$72,$A373+1)-INDEX(Surface_Engine!$D$12:$D$72,$A373+1),-(1000*12*INDEX(Surface_Engine!$C$12:$C$72,$A373+1)/(1+Assumptions!$B$10)^17+INDEX(Surface_Engine!$D$12:$D$72,$A373+1))))*INDEX(Surface_Engine!$B$12:$B$72,$A373+1)</f>
        <v>2041.36637679309</v>
      </c>
      <c r="N374" s="12" t="n">
        <f aca="false">IF(B374&lt;=0,0,MAX(0,(K374+Assumptions!$B$29*L374/INDEX(Surface_Engine!$B$12:$B$72,$A374+1)-(M374/INDEX(Surface_Engine!$B$12:$B$72,$A374+1)-(F374/INDEX(Surface_Engine!$B$12:$B$72,$A374+1))))/B374))</f>
        <v>0</v>
      </c>
    </row>
    <row r="375" customFormat="false" ht="15" hidden="false" customHeight="true" outlineLevel="0" collapsed="false">
      <c r="A375" s="1" t="n">
        <v>52</v>
      </c>
      <c r="B375" s="32" t="n">
        <f aca="false">INDEX(Surface_Engine!$J$12:$J$72,$A375+1)*IF($A375&lt;$Q$321,INDEX(Surface_Engine!$E$12:$E$72,$A375+1),INDEX(Surface_Engine!$E$12:$E$72,$Q$321+1))</f>
        <v>0.000124471736056199</v>
      </c>
      <c r="C375" s="32" t="n">
        <f aca="false">INDEX(Panel_Reserving!$C$8:$C$68,$A375+1)*IF($A375&lt;$Q$321,INDEX(Surface_Engine!$E$12:$E$72,$A375+1),INDEX(Surface_Engine!$E$12:$E$72,$Q$321+1))</f>
        <v>0.000992357390460589</v>
      </c>
      <c r="D375" s="32" t="n">
        <f aca="false">INDEX(Surface_Engine!$J$12:$J$72,$A375+1)*IF($A375&lt;$Q$321,INDEX(Surface_Engine!$Y$12:$Y$72,$A375+1),INDEX(Surface_Engine!$Y$12:$Y$72,$Q$321+1))</f>
        <v>0.00011172318528449</v>
      </c>
      <c r="E375" s="32" t="n">
        <f aca="false">INDEX(Surface_Engine!$J$12:$J$72,$A375+1)*IF($A375&lt;$Q$321,INDEX(Surface_Engine!$Z$12:$Z$72,$A375+1),INDEX(Surface_Engine!$Z$12:$Z$72,$Q$321+1))</f>
        <v>0.000138541924636838</v>
      </c>
      <c r="F375" s="48" t="n">
        <f aca="false">B375*(IF($A375&lt;$Q$321,INDEX(Surface_Engine!$D$12:$D$72,$A375+1)+(Surface_Engine!G239*12)*INDEX(Surface_Engine!$F$12:$F$72,$A375+1)-(Surface_Engine!G239*12),1000*12*INDEX(Surface_Engine!$C$12:$C$72,$A375+1)/(1+Assumptions!$B$10)^17+INDEX(Surface_Engine!$D$12:$D$72,$A375+1)))*INDEX(Surface_Engine!$B$12:$B$72,$A375+1)+F376</f>
        <v>1.06071388199091</v>
      </c>
      <c r="G375" s="48" t="n">
        <f aca="false">C375*(IF($A375&lt;$Q$321,INDEX(Surface_Engine!$D$12:$D$72,$A375+1)+(Surface_Engine!G239*12)*INDEX(Surface_Engine!$F$12:$F$72,$A375+1)-(Surface_Engine!G239*12),1000*12*INDEX(Surface_Engine!$C$12:$C$72,$A375+1)/(1+Assumptions!$B$10)^17+INDEX(Surface_Engine!$D$12:$D$72,$A375+1)))*INDEX(Surface_Engine!$B$12:$B$72,$A375+1)+G376</f>
        <v>10.2273707938354</v>
      </c>
      <c r="H375" s="48" t="n">
        <f aca="false">D375*(IF($A375&lt;$Q$321,INDEX(Surface_Engine!$D$12:$D$72,$A375+1)+(Surface_Engine!G239*12)*INDEX(Surface_Engine!$F$12:$F$72,$A375+1)-(Surface_Engine!G239*12),1000*12*INDEX(Surface_Engine!$C$12:$C$72,$A375+1)/(1+Assumptions!$B$10)^17+INDEX(Surface_Engine!$D$12:$D$72,$A375+1)))*INDEX(Surface_Engine!$B$12:$B$72,$A375+1)+H376</f>
        <v>0.952074240516697</v>
      </c>
      <c r="I375" s="48" t="n">
        <f aca="false">E375*(IF($A375&lt;$Q$321,INDEX(Surface_Engine!$D$12:$D$72,$A375+1)+(Surface_Engine!G239*12)*INDEX(Surface_Engine!$F$12:$F$72,$A375+1)-(Surface_Engine!G239*12),1000*12*INDEX(Surface_Engine!$C$12:$C$72,$A375+1)/(1+Assumptions!$B$10)^17+INDEX(Surface_Engine!$D$12:$D$72,$A375+1)))*INDEX(Surface_Engine!$B$12:$B$72,$A375+1)+I376</f>
        <v>1.1806161571787</v>
      </c>
      <c r="J375" s="48" t="n">
        <f aca="false">B375*(IF($A375&lt;$Q$321,INDEX(Surface_Engine!$D$12:$D$72,$A375+1)*(1+Assumptions!$B$24)+(Surface_Engine!G239*12)*INDEX(Surface_Engine!$F$12:$F$72,$A375+1)-(Surface_Engine!G239*12),1000*12*INDEX(Surface_Engine!$C$12:$C$72,$A375+1)/(1+Assumptions!$B$10)^17+INDEX(Surface_Engine!$D$12:$D$72,$A375+1)*(1+Assumptions!$B$24)))*INDEX(Surface_Engine!$B$12:$B$72,$A375+1)+J376</f>
        <v>1.06201149469231</v>
      </c>
      <c r="K375" s="12" t="n">
        <f aca="false">SQRT((IF(C375&lt;=0,0,MAX(0,(B375/C375)*G375/INDEX(Surface_Engine!$B$12:$B$72,$A375+1)-F375/INDEX(Surface_Engine!$B$12:$B$72,$A375+1))))^2+(MAX(IF(D375&lt;=0,0,MAX(0,(B375/D375)*H375/INDEX(Surface_Engine!$B$12:$B$72,$A375+1)-F375/INDEX(Surface_Engine!$B$12:$B$72,$A375+1))),IF(E375&lt;=0,0,MAX(0,(B375/E375)*I375/INDEX(Surface_Engine!$B$12:$B$72,$A375+1)-F375/INDEX(Surface_Engine!$B$12:$B$72,$A375+1))),IF($A375&lt;$Q$321,MAX(0,-Assumptions!$B$22*(F375/INDEX(Surface_Engine!$B$12:$B$72,$A375+1))),0)))^2+(MAX(0,J375/INDEX(Surface_Engine!$B$12:$B$72,$A375+1)-(F375/INDEX(Surface_Engine!$B$12:$B$72,$A375+1))))^2+2*Assumptions!$B$26*(IF(C375&lt;=0,0,MAX(0,(B375/C375)*G375/INDEX(Surface_Engine!$B$12:$B$72,$A375+1)-F375/INDEX(Surface_Engine!$B$12:$B$72,$A375+1))))*(MAX(IF(D375&lt;=0,0,MAX(0,(B375/D375)*H375/INDEX(Surface_Engine!$B$12:$B$72,$A375+1)-F375/INDEX(Surface_Engine!$B$12:$B$72,$A375+1))),IF(E375&lt;=0,0,MAX(0,(B375/E375)*I375/INDEX(Surface_Engine!$B$12:$B$72,$A375+1)-F375/INDEX(Surface_Engine!$B$12:$B$72,$A375+1))),IF($A375&lt;$Q$321,MAX(0,-Assumptions!$B$22*(F375/INDEX(Surface_Engine!$B$12:$B$72,$A375+1))),0)))+2*Assumptions!$B$27*(IF(C375&lt;=0,0,MAX(0,(B375/C375)*G375/INDEX(Surface_Engine!$B$12:$B$72,$A375+1)-F375/INDEX(Surface_Engine!$B$12:$B$72,$A375+1))))*(MAX(0,J375/INDEX(Surface_Engine!$B$12:$B$72,$A375+1)-(F375/INDEX(Surface_Engine!$B$12:$B$72,$A375+1))))+2*Assumptions!$B$28*(MAX(IF(D375&lt;=0,0,MAX(0,(B375/D375)*H375/INDEX(Surface_Engine!$B$12:$B$72,$A375+1)-F375/INDEX(Surface_Engine!$B$12:$B$72,$A375+1))),IF(E375&lt;=0,0,MAX(0,(B375/E375)*I375/INDEX(Surface_Engine!$B$12:$B$72,$A375+1)-F375/INDEX(Surface_Engine!$B$12:$B$72,$A375+1))),IF($A375&lt;$Q$321,MAX(0,-Assumptions!$B$22*(F375/INDEX(Surface_Engine!$B$12:$B$72,$A375+1))),0)))*(MAX(0,J375/INDEX(Surface_Engine!$B$12:$B$72,$A375+1)-(F375/INDEX(Surface_Engine!$B$12:$B$72,$A375+1)))))</f>
        <v>1.15475397651723</v>
      </c>
      <c r="L375" s="48" t="n">
        <f aca="false">K375*INDEX(Surface_Engine!$B$12:$B$72,$A375+1)+L376</f>
        <v>0.367590033105901</v>
      </c>
      <c r="M375" s="48" t="n">
        <f aca="false">M374+B374*(IF($A374&lt;$Q$321,(Surface_Engine!G239*12)-(Surface_Engine!G239*12)*INDEX(Surface_Engine!$F$12:$F$72,$A374+1)-INDEX(Surface_Engine!$D$12:$D$72,$A374+1),-(1000*12*INDEX(Surface_Engine!$C$12:$C$72,$A374+1)/(1+Assumptions!$B$10)^17+INDEX(Surface_Engine!$D$12:$D$72,$A374+1))))*INDEX(Surface_Engine!$B$12:$B$72,$A374+1)</f>
        <v>2040.16155442294</v>
      </c>
      <c r="N375" s="12" t="n">
        <f aca="false">IF(B375&lt;=0,0,MAX(0,(K375+Assumptions!$B$29*L375/INDEX(Surface_Engine!$B$12:$B$72,$A375+1)-(M375/INDEX(Surface_Engine!$B$12:$B$72,$A375+1)-(F375/INDEX(Surface_Engine!$B$12:$B$72,$A375+1))))/B375))</f>
        <v>0</v>
      </c>
    </row>
    <row r="376" customFormat="false" ht="15" hidden="false" customHeight="true" outlineLevel="0" collapsed="false">
      <c r="A376" s="1" t="n">
        <v>53</v>
      </c>
      <c r="B376" s="32" t="n">
        <f aca="false">INDEX(Surface_Engine!$J$12:$J$72,$A376+1)*IF($A376&lt;$Q$321,INDEX(Surface_Engine!$E$12:$E$72,$A376+1),INDEX(Surface_Engine!$E$12:$E$72,$Q$321+1))</f>
        <v>5.88029933213476E-005</v>
      </c>
      <c r="C376" s="32" t="n">
        <f aca="false">INDEX(Panel_Reserving!$C$8:$C$68,$A376+1)*IF($A376&lt;$Q$321,INDEX(Surface_Engine!$E$12:$E$72,$A376+1),INDEX(Surface_Engine!$E$12:$E$72,$Q$321+1))</f>
        <v>0.00057351941654007</v>
      </c>
      <c r="D376" s="32" t="n">
        <f aca="false">INDEX(Surface_Engine!$J$12:$J$72,$A376+1)*IF($A376&lt;$Q$321,INDEX(Surface_Engine!$Y$12:$Y$72,$A376+1),INDEX(Surface_Engine!$Y$12:$Y$72,$Q$321+1))</f>
        <v>5.2780317253367E-005</v>
      </c>
      <c r="E376" s="32" t="n">
        <f aca="false">INDEX(Surface_Engine!$J$12:$J$72,$A376+1)*IF($A376&lt;$Q$321,INDEX(Surface_Engine!$Z$12:$Z$72,$A376+1),INDEX(Surface_Engine!$Z$12:$Z$72,$Q$321+1))</f>
        <v>6.54500381152264E-005</v>
      </c>
      <c r="F376" s="48" t="n">
        <f aca="false">B376*(IF($A376&lt;$Q$321,INDEX(Surface_Engine!$D$12:$D$72,$A376+1)+(Surface_Engine!G239*12)*INDEX(Surface_Engine!$F$12:$F$72,$A376+1)-(Surface_Engine!G239*12),1000*12*INDEX(Surface_Engine!$C$12:$C$72,$A376+1)/(1+Assumptions!$B$10)^17+INDEX(Surface_Engine!$D$12:$D$72,$A376+1)))*INDEX(Surface_Engine!$B$12:$B$72,$A376+1)+F377</f>
        <v>0.478207139844436</v>
      </c>
      <c r="G376" s="48" t="n">
        <f aca="false">C376*(IF($A376&lt;$Q$321,INDEX(Surface_Engine!$D$12:$D$72,$A376+1)+(Surface_Engine!G239*12)*INDEX(Surface_Engine!$F$12:$F$72,$A376+1)-(Surface_Engine!G239*12),1000*12*INDEX(Surface_Engine!$C$12:$C$72,$A376+1)/(1+Assumptions!$B$10)^17+INDEX(Surface_Engine!$D$12:$D$72,$A376+1)))*INDEX(Surface_Engine!$B$12:$B$72,$A376+1)+G377</f>
        <v>5.58330549132229</v>
      </c>
      <c r="H376" s="48" t="n">
        <f aca="false">D376*(IF($A376&lt;$Q$321,INDEX(Surface_Engine!$D$12:$D$72,$A376+1)+(Surface_Engine!G239*12)*INDEX(Surface_Engine!$F$12:$F$72,$A376+1)-(Surface_Engine!G239*12),1000*12*INDEX(Surface_Engine!$C$12:$C$72,$A376+1)/(1+Assumptions!$B$10)^17+INDEX(Surface_Engine!$D$12:$D$72,$A376+1)))*INDEX(Surface_Engine!$B$12:$B$72,$A376+1)+H377</f>
        <v>0.429228566918065</v>
      </c>
      <c r="I376" s="48" t="n">
        <f aca="false">E376*(IF($A376&lt;$Q$321,INDEX(Surface_Engine!$D$12:$D$72,$A376+1)+(Surface_Engine!G239*12)*INDEX(Surface_Engine!$F$12:$F$72,$A376+1)-(Surface_Engine!G239*12),1000*12*INDEX(Surface_Engine!$C$12:$C$72,$A376+1)/(1+Assumptions!$B$10)^17+INDEX(Surface_Engine!$D$12:$D$72,$A376+1)))*INDEX(Surface_Engine!$B$12:$B$72,$A376+1)+I377</f>
        <v>0.532263304331298</v>
      </c>
      <c r="J376" s="48" t="n">
        <f aca="false">B376*(IF($A376&lt;$Q$321,INDEX(Surface_Engine!$D$12:$D$72,$A376+1)*(1+Assumptions!$B$24)+(Surface_Engine!G239*12)*INDEX(Surface_Engine!$F$12:$F$72,$A376+1)-(Surface_Engine!G239*12),1000*12*INDEX(Surface_Engine!$C$12:$C$72,$A376+1)/(1+Assumptions!$B$10)^17+INDEX(Surface_Engine!$D$12:$D$72,$A376+1)*(1+Assumptions!$B$24)))*INDEX(Surface_Engine!$B$12:$B$72,$A376+1)+J377</f>
        <v>0.478794778072875</v>
      </c>
      <c r="K376" s="12" t="n">
        <f aca="false">SQRT((IF(C376&lt;=0,0,MAX(0,(B376/C376)*G376/INDEX(Surface_Engine!$B$12:$B$72,$A376+1)-F376/INDEX(Surface_Engine!$B$12:$B$72,$A376+1))))^2+(MAX(IF(D376&lt;=0,0,MAX(0,(B376/D376)*H376/INDEX(Surface_Engine!$B$12:$B$72,$A376+1)-F376/INDEX(Surface_Engine!$B$12:$B$72,$A376+1))),IF(E376&lt;=0,0,MAX(0,(B376/E376)*I376/INDEX(Surface_Engine!$B$12:$B$72,$A376+1)-F376/INDEX(Surface_Engine!$B$12:$B$72,$A376+1))),IF($A376&lt;$Q$321,MAX(0,-Assumptions!$B$22*(F376/INDEX(Surface_Engine!$B$12:$B$72,$A376+1))),0)))^2+(MAX(0,J376/INDEX(Surface_Engine!$B$12:$B$72,$A376+1)-(F376/INDEX(Surface_Engine!$B$12:$B$72,$A376+1))))^2+2*Assumptions!$B$26*(IF(C376&lt;=0,0,MAX(0,(B376/C376)*G376/INDEX(Surface_Engine!$B$12:$B$72,$A376+1)-F376/INDEX(Surface_Engine!$B$12:$B$72,$A376+1))))*(MAX(IF(D376&lt;=0,0,MAX(0,(B376/D376)*H376/INDEX(Surface_Engine!$B$12:$B$72,$A376+1)-F376/INDEX(Surface_Engine!$B$12:$B$72,$A376+1))),IF(E376&lt;=0,0,MAX(0,(B376/E376)*I376/INDEX(Surface_Engine!$B$12:$B$72,$A376+1)-F376/INDEX(Surface_Engine!$B$12:$B$72,$A376+1))),IF($A376&lt;$Q$321,MAX(0,-Assumptions!$B$22*(F376/INDEX(Surface_Engine!$B$12:$B$72,$A376+1))),0)))+2*Assumptions!$B$27*(IF(C376&lt;=0,0,MAX(0,(B376/C376)*G376/INDEX(Surface_Engine!$B$12:$B$72,$A376+1)-F376/INDEX(Surface_Engine!$B$12:$B$72,$A376+1))))*(MAX(0,J376/INDEX(Surface_Engine!$B$12:$B$72,$A376+1)-(F376/INDEX(Surface_Engine!$B$12:$B$72,$A376+1))))+2*Assumptions!$B$28*(MAX(IF(D376&lt;=0,0,MAX(0,(B376/D376)*H376/INDEX(Surface_Engine!$B$12:$B$72,$A376+1)-F376/INDEX(Surface_Engine!$B$12:$B$72,$A376+1))),IF(E376&lt;=0,0,MAX(0,(B376/E376)*I376/INDEX(Surface_Engine!$B$12:$B$72,$A376+1)-F376/INDEX(Surface_Engine!$B$12:$B$72,$A376+1))),IF($A376&lt;$Q$321,MAX(0,-Assumptions!$B$22*(F376/INDEX(Surface_Engine!$B$12:$B$72,$A376+1))),0)))*(MAX(0,J376/INDEX(Surface_Engine!$B$12:$B$72,$A376+1)-(F376/INDEX(Surface_Engine!$B$12:$B$72,$A376+1)))))</f>
        <v>0.506087126726581</v>
      </c>
      <c r="L376" s="48" t="n">
        <f aca="false">K376*INDEX(Surface_Engine!$B$12:$B$72,$A376+1)+L377</f>
        <v>0.145153252467885</v>
      </c>
      <c r="M376" s="48" t="n">
        <f aca="false">M375+B375*(IF($A375&lt;$Q$321,(Surface_Engine!G239*12)-(Surface_Engine!G239*12)*INDEX(Surface_Engine!$F$12:$F$72,$A375+1)-INDEX(Surface_Engine!$D$12:$D$72,$A375+1),-(1000*12*INDEX(Surface_Engine!$C$12:$C$72,$A375+1)/(1+Assumptions!$B$10)^17+INDEX(Surface_Engine!$D$12:$D$72,$A375+1))))*INDEX(Surface_Engine!$B$12:$B$72,$A375+1)</f>
        <v>2039.57904768079</v>
      </c>
      <c r="N376" s="12" t="n">
        <f aca="false">IF(B376&lt;=0,0,MAX(0,(K376+Assumptions!$B$29*L376/INDEX(Surface_Engine!$B$12:$B$72,$A376+1)-(M376/INDEX(Surface_Engine!$B$12:$B$72,$A376+1)-(F376/INDEX(Surface_Engine!$B$12:$B$72,$A376+1))))/B376))</f>
        <v>0</v>
      </c>
    </row>
    <row r="377" customFormat="false" ht="15" hidden="false" customHeight="true" outlineLevel="0" collapsed="false">
      <c r="A377" s="1" t="n">
        <v>54</v>
      </c>
      <c r="B377" s="32" t="n">
        <f aca="false">INDEX(Surface_Engine!$J$12:$J$72,$A377+1)*IF($A377&lt;$Q$321,INDEX(Surface_Engine!$E$12:$E$72,$A377+1),INDEX(Surface_Engine!$E$12:$E$72,$Q$321+1))</f>
        <v>2.6793450726788E-005</v>
      </c>
      <c r="C377" s="32" t="n">
        <f aca="false">INDEX(Panel_Reserving!$C$8:$C$68,$A377+1)*IF($A377&lt;$Q$321,INDEX(Surface_Engine!$E$12:$E$72,$A377+1),INDEX(Surface_Engine!$E$12:$E$72,$Q$321+1))</f>
        <v>0.000323762141875867</v>
      </c>
      <c r="D377" s="32" t="n">
        <f aca="false">INDEX(Surface_Engine!$J$12:$J$72,$A377+1)*IF($A377&lt;$Q$321,INDEX(Surface_Engine!$Y$12:$Y$72,$A377+1),INDEX(Surface_Engine!$Y$12:$Y$72,$Q$321+1))</f>
        <v>2.40492320168833E-005</v>
      </c>
      <c r="E377" s="32" t="n">
        <f aca="false">INDEX(Surface_Engine!$J$12:$J$72,$A377+1)*IF($A377&lt;$Q$321,INDEX(Surface_Engine!$Z$12:$Z$72,$A377+1),INDEX(Surface_Engine!$Z$12:$Z$72,$Q$321+1))</f>
        <v>2.98221616325454E-005</v>
      </c>
      <c r="F377" s="48" t="n">
        <f aca="false">B377*(IF($A377&lt;$Q$321,INDEX(Surface_Engine!$D$12:$D$72,$A377+1)+(Surface_Engine!G239*12)*INDEX(Surface_Engine!$F$12:$F$72,$A377+1)-(Surface_Engine!G239*12),1000*12*INDEX(Surface_Engine!$C$12:$C$72,$A377+1)/(1+Assumptions!$B$10)^17+INDEX(Surface_Engine!$D$12:$D$72,$A377+1)))*INDEX(Surface_Engine!$B$12:$B$72,$A377+1)+F378</f>
        <v>0.206389696334396</v>
      </c>
      <c r="G377" s="48" t="n">
        <f aca="false">C377*(IF($A377&lt;$Q$321,INDEX(Surface_Engine!$D$12:$D$72,$A377+1)+(Surface_Engine!G239*12)*INDEX(Surface_Engine!$F$12:$F$72,$A377+1)-(Surface_Engine!G239*12),1000*12*INDEX(Surface_Engine!$C$12:$C$72,$A377+1)/(1+Assumptions!$B$10)^17+INDEX(Surface_Engine!$D$12:$D$72,$A377+1)))*INDEX(Surface_Engine!$B$12:$B$72,$A377+1)+G378</f>
        <v>2.93220606930193</v>
      </c>
      <c r="H377" s="48" t="n">
        <f aca="false">D377*(IF($A377&lt;$Q$321,INDEX(Surface_Engine!$D$12:$D$72,$A377+1)+(Surface_Engine!G239*12)*INDEX(Surface_Engine!$F$12:$F$72,$A377+1)-(Surface_Engine!G239*12),1000*12*INDEX(Surface_Engine!$C$12:$C$72,$A377+1)/(1+Assumptions!$B$10)^17+INDEX(Surface_Engine!$D$12:$D$72,$A377+1)))*INDEX(Surface_Engine!$B$12:$B$72,$A377+1)+H378</f>
        <v>0.18525100568989</v>
      </c>
      <c r="I377" s="48" t="n">
        <f aca="false">E377*(IF($A377&lt;$Q$321,INDEX(Surface_Engine!$D$12:$D$72,$A377+1)+(Surface_Engine!G239*12)*INDEX(Surface_Engine!$F$12:$F$72,$A377+1)-(Surface_Engine!G239*12),1000*12*INDEX(Surface_Engine!$C$12:$C$72,$A377+1)/(1+Assumptions!$B$10)^17+INDEX(Surface_Engine!$D$12:$D$72,$A377+1)))*INDEX(Surface_Engine!$B$12:$B$72,$A377+1)+I378</f>
        <v>0.22971982766007</v>
      </c>
      <c r="J377" s="48" t="n">
        <f aca="false">B377*(IF($A377&lt;$Q$321,INDEX(Surface_Engine!$D$12:$D$72,$A377+1)*(1+Assumptions!$B$24)+(Surface_Engine!G239*12)*INDEX(Surface_Engine!$F$12:$F$72,$A377+1)-(Surface_Engine!G239*12),1000*12*INDEX(Surface_Engine!$C$12:$C$72,$A377+1)/(1+Assumptions!$B$10)^17+INDEX(Surface_Engine!$D$12:$D$72,$A377+1)*(1+Assumptions!$B$24)))*INDEX(Surface_Engine!$B$12:$B$72,$A377+1)+J378</f>
        <v>0.206644432222719</v>
      </c>
      <c r="K377" s="12" t="n">
        <f aca="false">SQRT((IF(C377&lt;=0,0,MAX(0,(B377/C377)*G377/INDEX(Surface_Engine!$B$12:$B$72,$A377+1)-F377/INDEX(Surface_Engine!$B$12:$B$72,$A377+1))))^2+(MAX(IF(D377&lt;=0,0,MAX(0,(B377/D377)*H377/INDEX(Surface_Engine!$B$12:$B$72,$A377+1)-F377/INDEX(Surface_Engine!$B$12:$B$72,$A377+1))),IF(E377&lt;=0,0,MAX(0,(B377/E377)*I377/INDEX(Surface_Engine!$B$12:$B$72,$A377+1)-F377/INDEX(Surface_Engine!$B$12:$B$72,$A377+1))),IF($A377&lt;$Q$321,MAX(0,-Assumptions!$B$22*(F377/INDEX(Surface_Engine!$B$12:$B$72,$A377+1))),0)))^2+(MAX(0,J377/INDEX(Surface_Engine!$B$12:$B$72,$A377+1)-(F377/INDEX(Surface_Engine!$B$12:$B$72,$A377+1))))^2+2*Assumptions!$B$26*(IF(C377&lt;=0,0,MAX(0,(B377/C377)*G377/INDEX(Surface_Engine!$B$12:$B$72,$A377+1)-F377/INDEX(Surface_Engine!$B$12:$B$72,$A377+1))))*(MAX(IF(D377&lt;=0,0,MAX(0,(B377/D377)*H377/INDEX(Surface_Engine!$B$12:$B$72,$A377+1)-F377/INDEX(Surface_Engine!$B$12:$B$72,$A377+1))),IF(E377&lt;=0,0,MAX(0,(B377/E377)*I377/INDEX(Surface_Engine!$B$12:$B$72,$A377+1)-F377/INDEX(Surface_Engine!$B$12:$B$72,$A377+1))),IF($A377&lt;$Q$321,MAX(0,-Assumptions!$B$22*(F377/INDEX(Surface_Engine!$B$12:$B$72,$A377+1))),0)))+2*Assumptions!$B$27*(IF(C377&lt;=0,0,MAX(0,(B377/C377)*G377/INDEX(Surface_Engine!$B$12:$B$72,$A377+1)-F377/INDEX(Surface_Engine!$B$12:$B$72,$A377+1))))*(MAX(0,J377/INDEX(Surface_Engine!$B$12:$B$72,$A377+1)-(F377/INDEX(Surface_Engine!$B$12:$B$72,$A377+1))))+2*Assumptions!$B$28*(MAX(IF(D377&lt;=0,0,MAX(0,(B377/D377)*H377/INDEX(Surface_Engine!$B$12:$B$72,$A377+1)-F377/INDEX(Surface_Engine!$B$12:$B$72,$A377+1))),IF(E377&lt;=0,0,MAX(0,(B377/E377)*I377/INDEX(Surface_Engine!$B$12:$B$72,$A377+1)-F377/INDEX(Surface_Engine!$B$12:$B$72,$A377+1))),IF($A377&lt;$Q$321,MAX(0,-Assumptions!$B$22*(F377/INDEX(Surface_Engine!$B$12:$B$72,$A377+1))),0)))*(MAX(0,J377/INDEX(Surface_Engine!$B$12:$B$72,$A377+1)-(F377/INDEX(Surface_Engine!$B$12:$B$72,$A377+1)))))</f>
        <v>0.201275517461267</v>
      </c>
      <c r="L377" s="48" t="n">
        <f aca="false">K377*INDEX(Surface_Engine!$B$12:$B$72,$A377+1)+L378</f>
        <v>0.0507549931342204</v>
      </c>
      <c r="M377" s="48" t="n">
        <f aca="false">M376+B376*(IF($A376&lt;$Q$321,(Surface_Engine!G239*12)-(Surface_Engine!G239*12)*INDEX(Surface_Engine!$F$12:$F$72,$A376+1)-INDEX(Surface_Engine!$D$12:$D$72,$A376+1),-(1000*12*INDEX(Surface_Engine!$C$12:$C$72,$A376+1)/(1+Assumptions!$B$10)^17+INDEX(Surface_Engine!$D$12:$D$72,$A376+1))))*INDEX(Surface_Engine!$B$12:$B$72,$A376+1)</f>
        <v>2039.30723023728</v>
      </c>
      <c r="N377" s="12" t="n">
        <f aca="false">IF(B377&lt;=0,0,MAX(0,(K377+Assumptions!$B$29*L377/INDEX(Surface_Engine!$B$12:$B$72,$A377+1)-(M377/INDEX(Surface_Engine!$B$12:$B$72,$A377+1)-(F377/INDEX(Surface_Engine!$B$12:$B$72,$A377+1))))/B377))</f>
        <v>0</v>
      </c>
    </row>
    <row r="378" customFormat="false" ht="15" hidden="false" customHeight="true" outlineLevel="0" collapsed="false">
      <c r="A378" s="1" t="n">
        <v>55</v>
      </c>
      <c r="B378" s="32" t="n">
        <f aca="false">INDEX(Surface_Engine!$J$12:$J$72,$A378+1)*IF($A378&lt;$Q$321,INDEX(Surface_Engine!$E$12:$E$72,$A378+1),INDEX(Surface_Engine!$E$12:$E$72,$Q$321+1))</f>
        <v>1.17673886380751E-005</v>
      </c>
      <c r="C378" s="32" t="n">
        <f aca="false">INDEX(Panel_Reserving!$C$8:$C$68,$A378+1)*IF($A378&lt;$Q$321,INDEX(Surface_Engine!$E$12:$E$72,$A378+1),INDEX(Surface_Engine!$E$12:$E$72,$Q$321+1))</f>
        <v>0.000178506643570452</v>
      </c>
      <c r="D378" s="32" t="n">
        <f aca="false">INDEX(Surface_Engine!$J$12:$J$72,$A378+1)*IF($A378&lt;$Q$321,INDEX(Surface_Engine!$Y$12:$Y$72,$A378+1),INDEX(Surface_Engine!$Y$12:$Y$72,$Q$321+1))</f>
        <v>1.05621579868756E-005</v>
      </c>
      <c r="E378" s="32" t="n">
        <f aca="false">INDEX(Surface_Engine!$J$12:$J$72,$A378+1)*IF($A378&lt;$Q$321,INDEX(Surface_Engine!$Z$12:$Z$72,$A378+1),INDEX(Surface_Engine!$Z$12:$Z$72,$Q$321+1))</f>
        <v>1.30975651302277E-005</v>
      </c>
      <c r="F378" s="48" t="n">
        <f aca="false">B378*(IF($A378&lt;$Q$321,INDEX(Surface_Engine!$D$12:$D$72,$A378+1)+(Surface_Engine!G239*12)*INDEX(Surface_Engine!$F$12:$F$72,$A378+1)-(Surface_Engine!G239*12),1000*12*INDEX(Surface_Engine!$C$12:$C$72,$A378+1)/(1+Assumptions!$B$10)^17+INDEX(Surface_Engine!$D$12:$D$72,$A378+1)))*INDEX(Surface_Engine!$B$12:$B$72,$A378+1)+F379</f>
        <v>0.0841200291208184</v>
      </c>
      <c r="G378" s="48" t="n">
        <f aca="false">C378*(IF($A378&lt;$Q$321,INDEX(Surface_Engine!$D$12:$D$72,$A378+1)+(Surface_Engine!G239*12)*INDEX(Surface_Engine!$F$12:$F$72,$A378+1)-(Surface_Engine!G239*12),1000*12*INDEX(Surface_Engine!$C$12:$C$72,$A378+1)/(1+Assumptions!$B$10)^17+INDEX(Surface_Engine!$D$12:$D$72,$A378+1)))*INDEX(Surface_Engine!$B$12:$B$72,$A378+1)+G379</f>
        <v>1.45474466475282</v>
      </c>
      <c r="H378" s="48" t="n">
        <f aca="false">D378*(IF($A378&lt;$Q$321,INDEX(Surface_Engine!$D$12:$D$72,$A378+1)+(Surface_Engine!G239*12)*INDEX(Surface_Engine!$F$12:$F$72,$A378+1)-(Surface_Engine!G239*12),1000*12*INDEX(Surface_Engine!$C$12:$C$72,$A378+1)/(1+Assumptions!$B$10)^17+INDEX(Surface_Engine!$D$12:$D$72,$A378+1)))*INDEX(Surface_Engine!$B$12:$B$72,$A378+1)+H379</f>
        <v>0.0755043506050129</v>
      </c>
      <c r="I378" s="48" t="n">
        <f aca="false">E378*(IF($A378&lt;$Q$321,INDEX(Surface_Engine!$D$12:$D$72,$A378+1)+(Surface_Engine!G239*12)*INDEX(Surface_Engine!$F$12:$F$72,$A378+1)-(Surface_Engine!G239*12),1000*12*INDEX(Surface_Engine!$C$12:$C$72,$A378+1)/(1+Assumptions!$B$10)^17+INDEX(Surface_Engine!$D$12:$D$72,$A378+1)))*INDEX(Surface_Engine!$B$12:$B$72,$A378+1)+I379</f>
        <v>0.0936288920212632</v>
      </c>
      <c r="J378" s="48" t="n">
        <f aca="false">B378*(IF($A378&lt;$Q$321,INDEX(Surface_Engine!$D$12:$D$72,$A378+1)*(1+Assumptions!$B$24)+(Surface_Engine!G239*12)*INDEX(Surface_Engine!$F$12:$F$72,$A378+1)-(Surface_Engine!G239*12),1000*12*INDEX(Surface_Engine!$C$12:$C$72,$A378+1)/(1+Assumptions!$B$10)^17+INDEX(Surface_Engine!$D$12:$D$72,$A378+1)*(1+Assumptions!$B$24)))*INDEX(Surface_Engine!$B$12:$B$72,$A378+1)+J379</f>
        <v>0.0842242929459251</v>
      </c>
      <c r="K378" s="12" t="n">
        <f aca="false">SQRT((IF(C378&lt;=0,0,MAX(0,(B378/C378)*G378/INDEX(Surface_Engine!$B$12:$B$72,$A378+1)-F378/INDEX(Surface_Engine!$B$12:$B$72,$A378+1))))^2+(MAX(IF(D378&lt;=0,0,MAX(0,(B378/D378)*H378/INDEX(Surface_Engine!$B$12:$B$72,$A378+1)-F378/INDEX(Surface_Engine!$B$12:$B$72,$A378+1))),IF(E378&lt;=0,0,MAX(0,(B378/E378)*I378/INDEX(Surface_Engine!$B$12:$B$72,$A378+1)-F378/INDEX(Surface_Engine!$B$12:$B$72,$A378+1))),IF($A378&lt;$Q$321,MAX(0,-Assumptions!$B$22*(F378/INDEX(Surface_Engine!$B$12:$B$72,$A378+1))),0)))^2+(MAX(0,J378/INDEX(Surface_Engine!$B$12:$B$72,$A378+1)-(F378/INDEX(Surface_Engine!$B$12:$B$72,$A378+1))))^2+2*Assumptions!$B$26*(IF(C378&lt;=0,0,MAX(0,(B378/C378)*G378/INDEX(Surface_Engine!$B$12:$B$72,$A378+1)-F378/INDEX(Surface_Engine!$B$12:$B$72,$A378+1))))*(MAX(IF(D378&lt;=0,0,MAX(0,(B378/D378)*H378/INDEX(Surface_Engine!$B$12:$B$72,$A378+1)-F378/INDEX(Surface_Engine!$B$12:$B$72,$A378+1))),IF(E378&lt;=0,0,MAX(0,(B378/E378)*I378/INDEX(Surface_Engine!$B$12:$B$72,$A378+1)-F378/INDEX(Surface_Engine!$B$12:$B$72,$A378+1))),IF($A378&lt;$Q$321,MAX(0,-Assumptions!$B$22*(F378/INDEX(Surface_Engine!$B$12:$B$72,$A378+1))),0)))+2*Assumptions!$B$27*(IF(C378&lt;=0,0,MAX(0,(B378/C378)*G378/INDEX(Surface_Engine!$B$12:$B$72,$A378+1)-F378/INDEX(Surface_Engine!$B$12:$B$72,$A378+1))))*(MAX(0,J378/INDEX(Surface_Engine!$B$12:$B$72,$A378+1)-(F378/INDEX(Surface_Engine!$B$12:$B$72,$A378+1))))+2*Assumptions!$B$28*(MAX(IF(D378&lt;=0,0,MAX(0,(B378/D378)*H378/INDEX(Surface_Engine!$B$12:$B$72,$A378+1)-F378/INDEX(Surface_Engine!$B$12:$B$72,$A378+1))),IF(E378&lt;=0,0,MAX(0,(B378/E378)*I378/INDEX(Surface_Engine!$B$12:$B$72,$A378+1)-F378/INDEX(Surface_Engine!$B$12:$B$72,$A378+1))),IF($A378&lt;$Q$321,MAX(0,-Assumptions!$B$22*(F378/INDEX(Surface_Engine!$B$12:$B$72,$A378+1))),0)))*(MAX(0,J378/INDEX(Surface_Engine!$B$12:$B$72,$A378+1)-(F378/INDEX(Surface_Engine!$B$12:$B$72,$A378+1)))))</f>
        <v>0.0675375212258833</v>
      </c>
      <c r="L378" s="48" t="n">
        <f aca="false">K378*INDEX(Surface_Engine!$B$12:$B$72,$A378+1)+L379</f>
        <v>0.0144207938186044</v>
      </c>
      <c r="M378" s="48" t="n">
        <f aca="false">M377+B377*(IF($A377&lt;$Q$321,(Surface_Engine!G239*12)-(Surface_Engine!G239*12)*INDEX(Surface_Engine!$F$12:$F$72,$A377+1)-INDEX(Surface_Engine!$D$12:$D$72,$A377+1),-(1000*12*INDEX(Surface_Engine!$C$12:$C$72,$A377+1)/(1+Assumptions!$B$10)^17+INDEX(Surface_Engine!$D$12:$D$72,$A377+1))))*INDEX(Surface_Engine!$B$12:$B$72,$A377+1)</f>
        <v>2039.18496057007</v>
      </c>
      <c r="N378" s="12" t="n">
        <f aca="false">IF(B378&lt;=0,0,MAX(0,(K378+Assumptions!$B$29*L378/INDEX(Surface_Engine!$B$12:$B$72,$A378+1)-(M378/INDEX(Surface_Engine!$B$12:$B$72,$A378+1)-(F378/INDEX(Surface_Engine!$B$12:$B$72,$A378+1))))/B378))</f>
        <v>0</v>
      </c>
    </row>
    <row r="379" customFormat="false" ht="15" hidden="false" customHeight="true" outlineLevel="0" collapsed="false">
      <c r="A379" s="1" t="n">
        <v>56</v>
      </c>
      <c r="B379" s="32" t="n">
        <f aca="false">INDEX(Surface_Engine!$J$12:$J$72,$A379+1)*IF($A379&lt;$Q$321,INDEX(Surface_Engine!$E$12:$E$72,$A379+1),INDEX(Surface_Engine!$E$12:$E$72,$Q$321+1))</f>
        <v>4.97857036443859E-006</v>
      </c>
      <c r="C379" s="32" t="n">
        <f aca="false">INDEX(Panel_Reserving!$C$8:$C$68,$A379+1)*IF($A379&lt;$Q$321,INDEX(Surface_Engine!$E$12:$E$72,$A379+1),INDEX(Surface_Engine!$E$12:$E$72,$Q$321+1))</f>
        <v>9.61196874761842E-005</v>
      </c>
      <c r="D379" s="32" t="n">
        <f aca="false">INDEX(Surface_Engine!$J$12:$J$72,$A379+1)*IF($A379&lt;$Q$321,INDEX(Surface_Engine!$Y$12:$Y$72,$A379+1),INDEX(Surface_Engine!$Y$12:$Y$72,$Q$321+1))</f>
        <v>4.46865896549324E-006</v>
      </c>
      <c r="E379" s="32" t="n">
        <f aca="false">INDEX(Surface_Engine!$J$12:$J$72,$A379+1)*IF($A379&lt;$Q$321,INDEX(Surface_Engine!$Z$12:$Z$72,$A379+1),INDEX(Surface_Engine!$Z$12:$Z$72,$Q$321+1))</f>
        <v>5.54134410014035E-006</v>
      </c>
      <c r="F379" s="48" t="n">
        <f aca="false">B379*(IF($A379&lt;$Q$321,INDEX(Surface_Engine!$D$12:$D$72,$A379+1)+(Surface_Engine!G239*12)*INDEX(Surface_Engine!$F$12:$F$72,$A379+1)-(Surface_Engine!G239*12),1000*12*INDEX(Surface_Engine!$C$12:$C$72,$A379+1)/(1+Assumptions!$B$10)^17+INDEX(Surface_Engine!$D$12:$D$72,$A379+1)))*INDEX(Surface_Engine!$B$12:$B$72,$A379+1)+F380</f>
        <v>0.0310808152821427</v>
      </c>
      <c r="G379" s="48" t="n">
        <f aca="false">C379*(IF($A379&lt;$Q$321,INDEX(Surface_Engine!$D$12:$D$72,$A379+1)+(Surface_Engine!G239*12)*INDEX(Surface_Engine!$F$12:$F$72,$A379+1)-(Surface_Engine!G239*12),1000*12*INDEX(Surface_Engine!$C$12:$C$72,$A379+1)/(1+Assumptions!$B$10)^17+INDEX(Surface_Engine!$D$12:$D$72,$A379+1)))*INDEX(Surface_Engine!$B$12:$B$72,$A379+1)+G380</f>
        <v>0.650160714043242</v>
      </c>
      <c r="H379" s="48" t="n">
        <f aca="false">D379*(IF($A379&lt;$Q$321,INDEX(Surface_Engine!$D$12:$D$72,$A379+1)+(Surface_Engine!G239*12)*INDEX(Surface_Engine!$F$12:$F$72,$A379+1)-(Surface_Engine!G239*12),1000*12*INDEX(Surface_Engine!$C$12:$C$72,$A379+1)/(1+Assumptions!$B$10)^17+INDEX(Surface_Engine!$D$12:$D$72,$A379+1)))*INDEX(Surface_Engine!$B$12:$B$72,$A379+1)+H380</f>
        <v>0.0278974793361283</v>
      </c>
      <c r="I379" s="48" t="n">
        <f aca="false">E379*(IF($A379&lt;$Q$321,INDEX(Surface_Engine!$D$12:$D$72,$A379+1)+(Surface_Engine!G239*12)*INDEX(Surface_Engine!$F$12:$F$72,$A379+1)-(Surface_Engine!G239*12),1000*12*INDEX(Surface_Engine!$C$12:$C$72,$A379+1)/(1+Assumptions!$B$10)^17+INDEX(Surface_Engine!$D$12:$D$72,$A379+1)))*INDEX(Surface_Engine!$B$12:$B$72,$A379+1)+I380</f>
        <v>0.0345941665546139</v>
      </c>
      <c r="J379" s="48" t="n">
        <f aca="false">B379*(IF($A379&lt;$Q$321,INDEX(Surface_Engine!$D$12:$D$72,$A379+1)*(1+Assumptions!$B$24)+(Surface_Engine!G239*12)*INDEX(Surface_Engine!$F$12:$F$72,$A379+1)-(Surface_Engine!G239*12),1000*12*INDEX(Surface_Engine!$C$12:$C$72,$A379+1)/(1+Assumptions!$B$10)^17+INDEX(Surface_Engine!$D$12:$D$72,$A379+1)*(1+Assumptions!$B$24)))*INDEX(Surface_Engine!$B$12:$B$72,$A379+1)+J380</f>
        <v>0.0311194900001029</v>
      </c>
      <c r="K379" s="12" t="n">
        <f aca="false">SQRT((IF(C379&lt;=0,0,MAX(0,(B379/C379)*G379/INDEX(Surface_Engine!$B$12:$B$72,$A379+1)-F379/INDEX(Surface_Engine!$B$12:$B$72,$A379+1))))^2+(MAX(IF(D379&lt;=0,0,MAX(0,(B379/D379)*H379/INDEX(Surface_Engine!$B$12:$B$72,$A379+1)-F379/INDEX(Surface_Engine!$B$12:$B$72,$A379+1))),IF(E379&lt;=0,0,MAX(0,(B379/E379)*I379/INDEX(Surface_Engine!$B$12:$B$72,$A379+1)-F379/INDEX(Surface_Engine!$B$12:$B$72,$A379+1))),IF($A379&lt;$Q$321,MAX(0,-Assumptions!$B$22*(F379/INDEX(Surface_Engine!$B$12:$B$72,$A379+1))),0)))^2+(MAX(0,J379/INDEX(Surface_Engine!$B$12:$B$72,$A379+1)-(F379/INDEX(Surface_Engine!$B$12:$B$72,$A379+1))))^2+2*Assumptions!$B$26*(IF(C379&lt;=0,0,MAX(0,(B379/C379)*G379/INDEX(Surface_Engine!$B$12:$B$72,$A379+1)-F379/INDEX(Surface_Engine!$B$12:$B$72,$A379+1))))*(MAX(IF(D379&lt;=0,0,MAX(0,(B379/D379)*H379/INDEX(Surface_Engine!$B$12:$B$72,$A379+1)-F379/INDEX(Surface_Engine!$B$12:$B$72,$A379+1))),IF(E379&lt;=0,0,MAX(0,(B379/E379)*I379/INDEX(Surface_Engine!$B$12:$B$72,$A379+1)-F379/INDEX(Surface_Engine!$B$12:$B$72,$A379+1))),IF($A379&lt;$Q$321,MAX(0,-Assumptions!$B$22*(F379/INDEX(Surface_Engine!$B$12:$B$72,$A379+1))),0)))+2*Assumptions!$B$27*(IF(C379&lt;=0,0,MAX(0,(B379/C379)*G379/INDEX(Surface_Engine!$B$12:$B$72,$A379+1)-F379/INDEX(Surface_Engine!$B$12:$B$72,$A379+1))))*(MAX(0,J379/INDEX(Surface_Engine!$B$12:$B$72,$A379+1)-(F379/INDEX(Surface_Engine!$B$12:$B$72,$A379+1))))+2*Assumptions!$B$28*(MAX(IF(D379&lt;=0,0,MAX(0,(B379/D379)*H379/INDEX(Surface_Engine!$B$12:$B$72,$A379+1)-F379/INDEX(Surface_Engine!$B$12:$B$72,$A379+1))),IF(E379&lt;=0,0,MAX(0,(B379/E379)*I379/INDEX(Surface_Engine!$B$12:$B$72,$A379+1)-F379/INDEX(Surface_Engine!$B$12:$B$72,$A379+1))),IF($A379&lt;$Q$321,MAX(0,-Assumptions!$B$22*(F379/INDEX(Surface_Engine!$B$12:$B$72,$A379+1))),0)))*(MAX(0,J379/INDEX(Surface_Engine!$B$12:$B$72,$A379+1)-(F379/INDEX(Surface_Engine!$B$12:$B$72,$A379+1)))))</f>
        <v>0.0153891348166739</v>
      </c>
      <c r="L379" s="48" t="n">
        <f aca="false">K379*INDEX(Surface_Engine!$B$12:$B$72,$A379+1)+L380</f>
        <v>0.00261567697203995</v>
      </c>
      <c r="M379" s="48" t="n">
        <f aca="false">M378+B378*(IF($A378&lt;$Q$321,(Surface_Engine!G239*12)-(Surface_Engine!G239*12)*INDEX(Surface_Engine!$F$12:$F$72,$A378+1)-INDEX(Surface_Engine!$D$12:$D$72,$A378+1),-(1000*12*INDEX(Surface_Engine!$C$12:$C$72,$A378+1)/(1+Assumptions!$B$10)^17+INDEX(Surface_Engine!$D$12:$D$72,$A378+1))))*INDEX(Surface_Engine!$B$12:$B$72,$A378+1)</f>
        <v>2039.13192135623</v>
      </c>
      <c r="N379" s="12" t="n">
        <f aca="false">IF(B379&lt;=0,0,MAX(0,(K379+Assumptions!$B$29*L379/INDEX(Surface_Engine!$B$12:$B$72,$A379+1)-(M379/INDEX(Surface_Engine!$B$12:$B$72,$A379+1)-(F379/INDEX(Surface_Engine!$B$12:$B$72,$A379+1))))/B379))</f>
        <v>0</v>
      </c>
    </row>
    <row r="380" customFormat="false" ht="15" hidden="false" customHeight="true" outlineLevel="0" collapsed="false">
      <c r="A380" s="1" t="n">
        <v>57</v>
      </c>
      <c r="B380" s="32" t="n">
        <f aca="false">INDEX(Surface_Engine!$J$12:$J$72,$A380+1)*IF($A380&lt;$Q$321,INDEX(Surface_Engine!$E$12:$E$72,$A380+1),INDEX(Surface_Engine!$E$12:$E$72,$Q$321+1))</f>
        <v>2.02807245977096E-006</v>
      </c>
      <c r="C380" s="32" t="n">
        <f aca="false">INDEX(Panel_Reserving!$C$8:$C$68,$A380+1)*IF($A380&lt;$Q$321,INDEX(Surface_Engine!$E$12:$E$72,$A380+1),INDEX(Surface_Engine!$E$12:$E$72,$Q$321+1))</f>
        <v>5.05482216559527E-005</v>
      </c>
      <c r="D380" s="32" t="n">
        <f aca="false">INDEX(Surface_Engine!$J$12:$J$72,$A380+1)*IF($A380&lt;$Q$321,INDEX(Surface_Engine!$Y$12:$Y$72,$A380+1),INDEX(Surface_Engine!$Y$12:$Y$72,$Q$321+1))</f>
        <v>1.82035474375532E-006</v>
      </c>
      <c r="E380" s="32" t="n">
        <f aca="false">INDEX(Surface_Engine!$J$12:$J$72,$A380+1)*IF($A380&lt;$Q$321,INDEX(Surface_Engine!$Z$12:$Z$72,$A380+1),INDEX(Surface_Engine!$Z$12:$Z$72,$Q$321+1))</f>
        <v>2.2573241989071E-006</v>
      </c>
      <c r="F380" s="48" t="n">
        <f aca="false">B380*(IF($A380&lt;$Q$321,INDEX(Surface_Engine!$D$12:$D$72,$A380+1)+(Surface_Engine!G239*12)*INDEX(Surface_Engine!$F$12:$F$72,$A380+1)-(Surface_Engine!G239*12),1000*12*INDEX(Surface_Engine!$C$12:$C$72,$A380+1)/(1+Assumptions!$B$10)^17+INDEX(Surface_Engine!$D$12:$D$72,$A380+1)))*INDEX(Surface_Engine!$B$12:$B$72,$A380+1)+F381</f>
        <v>0.00891721821467719</v>
      </c>
      <c r="G380" s="48" t="n">
        <f aca="false">C380*(IF($A380&lt;$Q$321,INDEX(Surface_Engine!$D$12:$D$72,$A380+1)+(Surface_Engine!G239*12)*INDEX(Surface_Engine!$F$12:$F$72,$A380+1)-(Surface_Engine!G239*12),1000*12*INDEX(Surface_Engine!$C$12:$C$72,$A380+1)/(1+Assumptions!$B$10)^17+INDEX(Surface_Engine!$D$12:$D$72,$A380+1)))*INDEX(Surface_Engine!$B$12:$B$72,$A380+1)+G381</f>
        <v>0.222255137235533</v>
      </c>
      <c r="H380" s="48" t="n">
        <f aca="false">D380*(IF($A380&lt;$Q$321,INDEX(Surface_Engine!$D$12:$D$72,$A380+1)+(Surface_Engine!G239*12)*INDEX(Surface_Engine!$F$12:$F$72,$A380+1)-(Surface_Engine!G239*12),1000*12*INDEX(Surface_Engine!$C$12:$C$72,$A380+1)/(1+Assumptions!$B$10)^17+INDEX(Surface_Engine!$D$12:$D$72,$A380+1)))*INDEX(Surface_Engine!$B$12:$B$72,$A380+1)+H381</f>
        <v>0.00800390558038651</v>
      </c>
      <c r="I380" s="48" t="n">
        <f aca="false">E380*(IF($A380&lt;$Q$321,INDEX(Surface_Engine!$D$12:$D$72,$A380+1)+(Surface_Engine!G239*12)*INDEX(Surface_Engine!$F$12:$F$72,$A380+1)-(Surface_Engine!G239*12),1000*12*INDEX(Surface_Engine!$C$12:$C$72,$A380+1)/(1+Assumptions!$B$10)^17+INDEX(Surface_Engine!$D$12:$D$72,$A380+1)))*INDEX(Surface_Engine!$B$12:$B$72,$A380+1)+I381</f>
        <v>0.0099252136509951</v>
      </c>
      <c r="J380" s="48" t="n">
        <f aca="false">B380*(IF($A380&lt;$Q$321,INDEX(Surface_Engine!$D$12:$D$72,$A380+1)*(1+Assumptions!$B$24)+(Surface_Engine!G239*12)*INDEX(Surface_Engine!$F$12:$F$72,$A380+1)-(Surface_Engine!G239*12),1000*12*INDEX(Surface_Engine!$C$12:$C$72,$A380+1)/(1+Assumptions!$B$10)^17+INDEX(Surface_Engine!$D$12:$D$72,$A380+1)*(1+Assumptions!$B$24)))*INDEX(Surface_Engine!$B$12:$B$72,$A380+1)+J381</f>
        <v>0.00892835240508935</v>
      </c>
      <c r="K380" s="12" t="n">
        <f aca="false">SQRT((IF(C380&lt;=0,0,MAX(0,(B380/C380)*G380/INDEX(Surface_Engine!$B$12:$B$72,$A380+1)-F380/INDEX(Surface_Engine!$B$12:$B$72,$A380+1))))^2+(MAX(IF(D380&lt;=0,0,MAX(0,(B380/D380)*H380/INDEX(Surface_Engine!$B$12:$B$72,$A380+1)-F380/INDEX(Surface_Engine!$B$12:$B$72,$A380+1))),IF(E380&lt;=0,0,MAX(0,(B380/E380)*I380/INDEX(Surface_Engine!$B$12:$B$72,$A380+1)-F380/INDEX(Surface_Engine!$B$12:$B$72,$A380+1))),IF($A380&lt;$Q$321,MAX(0,-Assumptions!$B$22*(F380/INDEX(Surface_Engine!$B$12:$B$72,$A380+1))),0)))^2+(MAX(0,J380/INDEX(Surface_Engine!$B$12:$B$72,$A380+1)-(F380/INDEX(Surface_Engine!$B$12:$B$72,$A380+1))))^2+2*Assumptions!$B$26*(IF(C380&lt;=0,0,MAX(0,(B380/C380)*G380/INDEX(Surface_Engine!$B$12:$B$72,$A380+1)-F380/INDEX(Surface_Engine!$B$12:$B$72,$A380+1))))*(MAX(IF(D380&lt;=0,0,MAX(0,(B380/D380)*H380/INDEX(Surface_Engine!$B$12:$B$72,$A380+1)-F380/INDEX(Surface_Engine!$B$12:$B$72,$A380+1))),IF(E380&lt;=0,0,MAX(0,(B380/E380)*I380/INDEX(Surface_Engine!$B$12:$B$72,$A380+1)-F380/INDEX(Surface_Engine!$B$12:$B$72,$A380+1))),IF($A380&lt;$Q$321,MAX(0,-Assumptions!$B$22*(F380/INDEX(Surface_Engine!$B$12:$B$72,$A380+1))),0)))+2*Assumptions!$B$27*(IF(C380&lt;=0,0,MAX(0,(B380/C380)*G380/INDEX(Surface_Engine!$B$12:$B$72,$A380+1)-F380/INDEX(Surface_Engine!$B$12:$B$72,$A380+1))))*(MAX(0,J380/INDEX(Surface_Engine!$B$12:$B$72,$A380+1)-(F380/INDEX(Surface_Engine!$B$12:$B$72,$A380+1))))+2*Assumptions!$B$28*(MAX(IF(D380&lt;=0,0,MAX(0,(B380/D380)*H380/INDEX(Surface_Engine!$B$12:$B$72,$A380+1)-F380/INDEX(Surface_Engine!$B$12:$B$72,$A380+1))),IF(E380&lt;=0,0,MAX(0,(B380/E380)*I380/INDEX(Surface_Engine!$B$12:$B$72,$A380+1)-F380/INDEX(Surface_Engine!$B$12:$B$72,$A380+1))),IF($A380&lt;$Q$321,MAX(0,-Assumptions!$B$22*(F380/INDEX(Surface_Engine!$B$12:$B$72,$A380+1))),0)))*(MAX(0,J380/INDEX(Surface_Engine!$B$12:$B$72,$A380+1)-(F380/INDEX(Surface_Engine!$B$12:$B$72,$A380+1)))))</f>
        <v>6.79450225787998E-005</v>
      </c>
      <c r="L380" s="48" t="n">
        <f aca="false">K380*INDEX(Surface_Engine!$B$12:$B$72,$A380+1)+L381</f>
        <v>1.11341904121585E-005</v>
      </c>
      <c r="M380" s="48" t="n">
        <f aca="false">M379+B379*(IF($A379&lt;$Q$321,(Surface_Engine!G239*12)-(Surface_Engine!G239*12)*INDEX(Surface_Engine!$F$12:$F$72,$A379+1)-INDEX(Surface_Engine!$D$12:$D$72,$A379+1),-(1000*12*INDEX(Surface_Engine!$C$12:$C$72,$A379+1)/(1+Assumptions!$B$10)^17+INDEX(Surface_Engine!$D$12:$D$72,$A379+1))))*INDEX(Surface_Engine!$B$12:$B$72,$A379+1)</f>
        <v>2039.10975775916</v>
      </c>
      <c r="N380" s="12" t="n">
        <f aca="false">IF(B380&lt;=0,0,MAX(0,(K380+Assumptions!$B$29*L380/INDEX(Surface_Engine!$B$12:$B$72,$A380+1)-(M380/INDEX(Surface_Engine!$B$12:$B$72,$A380+1)-(F380/INDEX(Surface_Engine!$B$12:$B$72,$A380+1))))/B380))</f>
        <v>0</v>
      </c>
    </row>
    <row r="381" customFormat="false" ht="15" hidden="false" customHeight="true" outlineLevel="0" collapsed="false">
      <c r="A381" s="1" t="n">
        <v>58</v>
      </c>
      <c r="B381" s="32" t="n">
        <f aca="false">INDEX(Surface_Engine!$J$12:$J$72,$A381+1)*IF($A381&lt;$Q$321,INDEX(Surface_Engine!$E$12:$E$72,$A381+1),INDEX(Surface_Engine!$E$12:$E$72,$Q$321+1))</f>
        <v>0</v>
      </c>
      <c r="C381" s="32" t="n">
        <f aca="false">INDEX(Panel_Reserving!$C$8:$C$68,$A381+1)*IF($A381&lt;$Q$321,INDEX(Surface_Engine!$E$12:$E$72,$A381+1),INDEX(Surface_Engine!$E$12:$E$72,$Q$321+1))</f>
        <v>0</v>
      </c>
      <c r="D381" s="32" t="n">
        <f aca="false">INDEX(Surface_Engine!$J$12:$J$72,$A381+1)*IF($A381&lt;$Q$321,INDEX(Surface_Engine!$Y$12:$Y$72,$A381+1),INDEX(Surface_Engine!$Y$12:$Y$72,$Q$321+1))</f>
        <v>0</v>
      </c>
      <c r="E381" s="32" t="n">
        <f aca="false">INDEX(Surface_Engine!$J$12:$J$72,$A381+1)*IF($A381&lt;$Q$321,INDEX(Surface_Engine!$Z$12:$Z$72,$A381+1),INDEX(Surface_Engine!$Z$12:$Z$72,$Q$321+1))</f>
        <v>0</v>
      </c>
      <c r="F381" s="48" t="n">
        <f aca="false">B381*(IF($A381&lt;$Q$321,INDEX(Surface_Engine!$D$12:$D$72,$A381+1)+(Surface_Engine!G239*12)*INDEX(Surface_Engine!$F$12:$F$72,$A381+1)-(Surface_Engine!G239*12),1000*12*INDEX(Surface_Engine!$C$12:$C$72,$A381+1)/(1+Assumptions!$B$10)^17+INDEX(Surface_Engine!$D$12:$D$72,$A381+1)))*INDEX(Surface_Engine!$B$12:$B$72,$A381+1)+F382</f>
        <v>0</v>
      </c>
      <c r="G381" s="48" t="n">
        <f aca="false">C381*(IF($A381&lt;$Q$321,INDEX(Surface_Engine!$D$12:$D$72,$A381+1)+(Surface_Engine!G239*12)*INDEX(Surface_Engine!$F$12:$F$72,$A381+1)-(Surface_Engine!G239*12),1000*12*INDEX(Surface_Engine!$C$12:$C$72,$A381+1)/(1+Assumptions!$B$10)^17+INDEX(Surface_Engine!$D$12:$D$72,$A381+1)))*INDEX(Surface_Engine!$B$12:$B$72,$A381+1)+G382</f>
        <v>0</v>
      </c>
      <c r="H381" s="48" t="n">
        <f aca="false">D381*(IF($A381&lt;$Q$321,INDEX(Surface_Engine!$D$12:$D$72,$A381+1)+(Surface_Engine!G239*12)*INDEX(Surface_Engine!$F$12:$F$72,$A381+1)-(Surface_Engine!G239*12),1000*12*INDEX(Surface_Engine!$C$12:$C$72,$A381+1)/(1+Assumptions!$B$10)^17+INDEX(Surface_Engine!$D$12:$D$72,$A381+1)))*INDEX(Surface_Engine!$B$12:$B$72,$A381+1)+H382</f>
        <v>0</v>
      </c>
      <c r="I381" s="48" t="n">
        <f aca="false">E381*(IF($A381&lt;$Q$321,INDEX(Surface_Engine!$D$12:$D$72,$A381+1)+(Surface_Engine!G239*12)*INDEX(Surface_Engine!$F$12:$F$72,$A381+1)-(Surface_Engine!G239*12),1000*12*INDEX(Surface_Engine!$C$12:$C$72,$A381+1)/(1+Assumptions!$B$10)^17+INDEX(Surface_Engine!$D$12:$D$72,$A381+1)))*INDEX(Surface_Engine!$B$12:$B$72,$A381+1)+I382</f>
        <v>0</v>
      </c>
      <c r="J381" s="48" t="n">
        <f aca="false">B381*(IF($A381&lt;$Q$321,INDEX(Surface_Engine!$D$12:$D$72,$A381+1)*(1+Assumptions!$B$24)+(Surface_Engine!G239*12)*INDEX(Surface_Engine!$F$12:$F$72,$A381+1)-(Surface_Engine!G239*12),1000*12*INDEX(Surface_Engine!$C$12:$C$72,$A381+1)/(1+Assumptions!$B$10)^17+INDEX(Surface_Engine!$D$12:$D$72,$A381+1)*(1+Assumptions!$B$24)))*INDEX(Surface_Engine!$B$12:$B$72,$A381+1)+J382</f>
        <v>0</v>
      </c>
      <c r="K381" s="12" t="n">
        <f aca="false">SQRT((IF(C381&lt;=0,0,MAX(0,(B381/C381)*G381/INDEX(Surface_Engine!$B$12:$B$72,$A381+1)-F381/INDEX(Surface_Engine!$B$12:$B$72,$A381+1))))^2+(MAX(IF(D381&lt;=0,0,MAX(0,(B381/D381)*H381/INDEX(Surface_Engine!$B$12:$B$72,$A381+1)-F381/INDEX(Surface_Engine!$B$12:$B$72,$A381+1))),IF(E381&lt;=0,0,MAX(0,(B381/E381)*I381/INDEX(Surface_Engine!$B$12:$B$72,$A381+1)-F381/INDEX(Surface_Engine!$B$12:$B$72,$A381+1))),IF($A381&lt;$Q$321,MAX(0,-Assumptions!$B$22*(F381/INDEX(Surface_Engine!$B$12:$B$72,$A381+1))),0)))^2+(MAX(0,J381/INDEX(Surface_Engine!$B$12:$B$72,$A381+1)-(F381/INDEX(Surface_Engine!$B$12:$B$72,$A381+1))))^2+2*Assumptions!$B$26*(IF(C381&lt;=0,0,MAX(0,(B381/C381)*G381/INDEX(Surface_Engine!$B$12:$B$72,$A381+1)-F381/INDEX(Surface_Engine!$B$12:$B$72,$A381+1))))*(MAX(IF(D381&lt;=0,0,MAX(0,(B381/D381)*H381/INDEX(Surface_Engine!$B$12:$B$72,$A381+1)-F381/INDEX(Surface_Engine!$B$12:$B$72,$A381+1))),IF(E381&lt;=0,0,MAX(0,(B381/E381)*I381/INDEX(Surface_Engine!$B$12:$B$72,$A381+1)-F381/INDEX(Surface_Engine!$B$12:$B$72,$A381+1))),IF($A381&lt;$Q$321,MAX(0,-Assumptions!$B$22*(F381/INDEX(Surface_Engine!$B$12:$B$72,$A381+1))),0)))+2*Assumptions!$B$27*(IF(C381&lt;=0,0,MAX(0,(B381/C381)*G381/INDEX(Surface_Engine!$B$12:$B$72,$A381+1)-F381/INDEX(Surface_Engine!$B$12:$B$72,$A381+1))))*(MAX(0,J381/INDEX(Surface_Engine!$B$12:$B$72,$A381+1)-(F381/INDEX(Surface_Engine!$B$12:$B$72,$A381+1))))+2*Assumptions!$B$28*(MAX(IF(D381&lt;=0,0,MAX(0,(B381/D381)*H381/INDEX(Surface_Engine!$B$12:$B$72,$A381+1)-F381/INDEX(Surface_Engine!$B$12:$B$72,$A381+1))),IF(E381&lt;=0,0,MAX(0,(B381/E381)*I381/INDEX(Surface_Engine!$B$12:$B$72,$A381+1)-F381/INDEX(Surface_Engine!$B$12:$B$72,$A381+1))),IF($A381&lt;$Q$321,MAX(0,-Assumptions!$B$22*(F381/INDEX(Surface_Engine!$B$12:$B$72,$A381+1))),0)))*(MAX(0,J381/INDEX(Surface_Engine!$B$12:$B$72,$A381+1)-(F381/INDEX(Surface_Engine!$B$12:$B$72,$A381+1)))))</f>
        <v>0</v>
      </c>
      <c r="L381" s="48" t="n">
        <f aca="false">K381*INDEX(Surface_Engine!$B$12:$B$72,$A381+1)+L382</f>
        <v>0</v>
      </c>
      <c r="M381" s="48" t="n">
        <f aca="false">M380+B380*(IF($A380&lt;$Q$321,(Surface_Engine!G239*12)-(Surface_Engine!G239*12)*INDEX(Surface_Engine!$F$12:$F$72,$A380+1)-INDEX(Surface_Engine!$D$12:$D$72,$A380+1),-(1000*12*INDEX(Surface_Engine!$C$12:$C$72,$A380+1)/(1+Assumptions!$B$10)^17+INDEX(Surface_Engine!$D$12:$D$72,$A380+1))))*INDEX(Surface_Engine!$B$12:$B$72,$A380+1)</f>
        <v>2039.10084054095</v>
      </c>
      <c r="N381" s="12" t="n">
        <f aca="false">IF(B381&lt;=0,0,MAX(0,(K381+Assumptions!$B$29*L381/INDEX(Surface_Engine!$B$12:$B$72,$A381+1)-(M381/INDEX(Surface_Engine!$B$12:$B$72,$A381+1)-(F381/INDEX(Surface_Engine!$B$12:$B$72,$A381+1))))/B381))</f>
        <v>0</v>
      </c>
    </row>
    <row r="382" customFormat="false" ht="15" hidden="false" customHeight="true" outlineLevel="0" collapsed="false">
      <c r="A382" s="1" t="n">
        <v>59</v>
      </c>
      <c r="B382" s="32" t="n">
        <f aca="false">INDEX(Surface_Engine!$J$12:$J$72,$A382+1)*IF($A382&lt;$Q$321,INDEX(Surface_Engine!$E$12:$E$72,$A382+1),INDEX(Surface_Engine!$E$12:$E$72,$Q$321+1))</f>
        <v>0</v>
      </c>
      <c r="C382" s="32" t="n">
        <f aca="false">INDEX(Panel_Reserving!$C$8:$C$68,$A382+1)*IF($A382&lt;$Q$321,INDEX(Surface_Engine!$E$12:$E$72,$A382+1),INDEX(Surface_Engine!$E$12:$E$72,$Q$321+1))</f>
        <v>0</v>
      </c>
      <c r="D382" s="32" t="n">
        <f aca="false">INDEX(Surface_Engine!$J$12:$J$72,$A382+1)*IF($A382&lt;$Q$321,INDEX(Surface_Engine!$Y$12:$Y$72,$A382+1),INDEX(Surface_Engine!$Y$12:$Y$72,$Q$321+1))</f>
        <v>0</v>
      </c>
      <c r="E382" s="32" t="n">
        <f aca="false">INDEX(Surface_Engine!$J$12:$J$72,$A382+1)*IF($A382&lt;$Q$321,INDEX(Surface_Engine!$Z$12:$Z$72,$A382+1),INDEX(Surface_Engine!$Z$12:$Z$72,$Q$321+1))</f>
        <v>0</v>
      </c>
      <c r="F382" s="48" t="n">
        <f aca="false">B382*(IF($A382&lt;$Q$321,INDEX(Surface_Engine!$D$12:$D$72,$A382+1)+(Surface_Engine!G239*12)*INDEX(Surface_Engine!$F$12:$F$72,$A382+1)-(Surface_Engine!G239*12),1000*12*INDEX(Surface_Engine!$C$12:$C$72,$A382+1)/(1+Assumptions!$B$10)^17+INDEX(Surface_Engine!$D$12:$D$72,$A382+1)))*INDEX(Surface_Engine!$B$12:$B$72,$A382+1)+F383</f>
        <v>0</v>
      </c>
      <c r="G382" s="48" t="n">
        <f aca="false">C382*(IF($A382&lt;$Q$321,INDEX(Surface_Engine!$D$12:$D$72,$A382+1)+(Surface_Engine!G239*12)*INDEX(Surface_Engine!$F$12:$F$72,$A382+1)-(Surface_Engine!G239*12),1000*12*INDEX(Surface_Engine!$C$12:$C$72,$A382+1)/(1+Assumptions!$B$10)^17+INDEX(Surface_Engine!$D$12:$D$72,$A382+1)))*INDEX(Surface_Engine!$B$12:$B$72,$A382+1)+G383</f>
        <v>0</v>
      </c>
      <c r="H382" s="48" t="n">
        <f aca="false">D382*(IF($A382&lt;$Q$321,INDEX(Surface_Engine!$D$12:$D$72,$A382+1)+(Surface_Engine!G239*12)*INDEX(Surface_Engine!$F$12:$F$72,$A382+1)-(Surface_Engine!G239*12),1000*12*INDEX(Surface_Engine!$C$12:$C$72,$A382+1)/(1+Assumptions!$B$10)^17+INDEX(Surface_Engine!$D$12:$D$72,$A382+1)))*INDEX(Surface_Engine!$B$12:$B$72,$A382+1)+H383</f>
        <v>0</v>
      </c>
      <c r="I382" s="48" t="n">
        <f aca="false">E382*(IF($A382&lt;$Q$321,INDEX(Surface_Engine!$D$12:$D$72,$A382+1)+(Surface_Engine!G239*12)*INDEX(Surface_Engine!$F$12:$F$72,$A382+1)-(Surface_Engine!G239*12),1000*12*INDEX(Surface_Engine!$C$12:$C$72,$A382+1)/(1+Assumptions!$B$10)^17+INDEX(Surface_Engine!$D$12:$D$72,$A382+1)))*INDEX(Surface_Engine!$B$12:$B$72,$A382+1)+I383</f>
        <v>0</v>
      </c>
      <c r="J382" s="48" t="n">
        <f aca="false">B382*(IF($A382&lt;$Q$321,INDEX(Surface_Engine!$D$12:$D$72,$A382+1)*(1+Assumptions!$B$24)+(Surface_Engine!G239*12)*INDEX(Surface_Engine!$F$12:$F$72,$A382+1)-(Surface_Engine!G239*12),1000*12*INDEX(Surface_Engine!$C$12:$C$72,$A382+1)/(1+Assumptions!$B$10)^17+INDEX(Surface_Engine!$D$12:$D$72,$A382+1)*(1+Assumptions!$B$24)))*INDEX(Surface_Engine!$B$12:$B$72,$A382+1)+J383</f>
        <v>0</v>
      </c>
      <c r="K382" s="12" t="n">
        <f aca="false">SQRT((IF(C382&lt;=0,0,MAX(0,(B382/C382)*G382/INDEX(Surface_Engine!$B$12:$B$72,$A382+1)-F382/INDEX(Surface_Engine!$B$12:$B$72,$A382+1))))^2+(MAX(IF(D382&lt;=0,0,MAX(0,(B382/D382)*H382/INDEX(Surface_Engine!$B$12:$B$72,$A382+1)-F382/INDEX(Surface_Engine!$B$12:$B$72,$A382+1))),IF(E382&lt;=0,0,MAX(0,(B382/E382)*I382/INDEX(Surface_Engine!$B$12:$B$72,$A382+1)-F382/INDEX(Surface_Engine!$B$12:$B$72,$A382+1))),IF($A382&lt;$Q$321,MAX(0,-Assumptions!$B$22*(F382/INDEX(Surface_Engine!$B$12:$B$72,$A382+1))),0)))^2+(MAX(0,J382/INDEX(Surface_Engine!$B$12:$B$72,$A382+1)-(F382/INDEX(Surface_Engine!$B$12:$B$72,$A382+1))))^2+2*Assumptions!$B$26*(IF(C382&lt;=0,0,MAX(0,(B382/C382)*G382/INDEX(Surface_Engine!$B$12:$B$72,$A382+1)-F382/INDEX(Surface_Engine!$B$12:$B$72,$A382+1))))*(MAX(IF(D382&lt;=0,0,MAX(0,(B382/D382)*H382/INDEX(Surface_Engine!$B$12:$B$72,$A382+1)-F382/INDEX(Surface_Engine!$B$12:$B$72,$A382+1))),IF(E382&lt;=0,0,MAX(0,(B382/E382)*I382/INDEX(Surface_Engine!$B$12:$B$72,$A382+1)-F382/INDEX(Surface_Engine!$B$12:$B$72,$A382+1))),IF($A382&lt;$Q$321,MAX(0,-Assumptions!$B$22*(F382/INDEX(Surface_Engine!$B$12:$B$72,$A382+1))),0)))+2*Assumptions!$B$27*(IF(C382&lt;=0,0,MAX(0,(B382/C382)*G382/INDEX(Surface_Engine!$B$12:$B$72,$A382+1)-F382/INDEX(Surface_Engine!$B$12:$B$72,$A382+1))))*(MAX(0,J382/INDEX(Surface_Engine!$B$12:$B$72,$A382+1)-(F382/INDEX(Surface_Engine!$B$12:$B$72,$A382+1))))+2*Assumptions!$B$28*(MAX(IF(D382&lt;=0,0,MAX(0,(B382/D382)*H382/INDEX(Surface_Engine!$B$12:$B$72,$A382+1)-F382/INDEX(Surface_Engine!$B$12:$B$72,$A382+1))),IF(E382&lt;=0,0,MAX(0,(B382/E382)*I382/INDEX(Surface_Engine!$B$12:$B$72,$A382+1)-F382/INDEX(Surface_Engine!$B$12:$B$72,$A382+1))),IF($A382&lt;$Q$321,MAX(0,-Assumptions!$B$22*(F382/INDEX(Surface_Engine!$B$12:$B$72,$A382+1))),0)))*(MAX(0,J382/INDEX(Surface_Engine!$B$12:$B$72,$A382+1)-(F382/INDEX(Surface_Engine!$B$12:$B$72,$A382+1)))))</f>
        <v>0</v>
      </c>
      <c r="L382" s="48" t="n">
        <f aca="false">K382*INDEX(Surface_Engine!$B$12:$B$72,$A382+1)+L383</f>
        <v>0</v>
      </c>
      <c r="M382" s="48" t="n">
        <f aca="false">M381+B381*(IF($A381&lt;$Q$321,(Surface_Engine!G239*12)-(Surface_Engine!G239*12)*INDEX(Surface_Engine!$F$12:$F$72,$A381+1)-INDEX(Surface_Engine!$D$12:$D$72,$A381+1),-(1000*12*INDEX(Surface_Engine!$C$12:$C$72,$A381+1)/(1+Assumptions!$B$10)^17+INDEX(Surface_Engine!$D$12:$D$72,$A381+1))))*INDEX(Surface_Engine!$B$12:$B$72,$A381+1)</f>
        <v>2039.10084054095</v>
      </c>
      <c r="N382" s="12" t="n">
        <f aca="false">IF(B382&lt;=0,0,MAX(0,(K382+Assumptions!$B$29*L382/INDEX(Surface_Engine!$B$12:$B$72,$A382+1)-(M382/INDEX(Surface_Engine!$B$12:$B$72,$A382+1)-(F382/INDEX(Surface_Engine!$B$12:$B$72,$A382+1))))/B382))</f>
        <v>0</v>
      </c>
    </row>
    <row r="383" customFormat="false" ht="15" hidden="false" customHeight="true" outlineLevel="0" collapsed="false">
      <c r="A383" s="1" t="n">
        <v>60</v>
      </c>
      <c r="B383" s="32" t="n">
        <f aca="false">INDEX(Surface_Engine!$J$12:$J$72,$A383+1)*IF($A383&lt;$Q$321,INDEX(Surface_Engine!$E$12:$E$72,$A383+1),INDEX(Surface_Engine!$E$12:$E$72,$Q$321+1))</f>
        <v>0</v>
      </c>
      <c r="C383" s="32" t="n">
        <f aca="false">INDEX(Panel_Reserving!$C$8:$C$68,$A383+1)*IF($A383&lt;$Q$321,INDEX(Surface_Engine!$E$12:$E$72,$A383+1),INDEX(Surface_Engine!$E$12:$E$72,$Q$321+1))</f>
        <v>0</v>
      </c>
      <c r="D383" s="32" t="n">
        <f aca="false">INDEX(Surface_Engine!$J$12:$J$72,$A383+1)*IF($A383&lt;$Q$321,INDEX(Surface_Engine!$Y$12:$Y$72,$A383+1),INDEX(Surface_Engine!$Y$12:$Y$72,$Q$321+1))</f>
        <v>0</v>
      </c>
      <c r="E383" s="32" t="n">
        <f aca="false">INDEX(Surface_Engine!$J$12:$J$72,$A383+1)*IF($A383&lt;$Q$321,INDEX(Surface_Engine!$Z$12:$Z$72,$A383+1),INDEX(Surface_Engine!$Z$12:$Z$72,$Q$321+1))</f>
        <v>0</v>
      </c>
      <c r="F383" s="48" t="n">
        <f aca="false">B383*(IF($A383&lt;$Q$321,INDEX(Surface_Engine!$D$12:$D$72,$A383+1)+(Surface_Engine!G239*12)*INDEX(Surface_Engine!$F$12:$F$72,$A383+1)-(Surface_Engine!G239*12),1000*12*INDEX(Surface_Engine!$C$12:$C$72,$A383+1)/(1+Assumptions!$B$10)^17+INDEX(Surface_Engine!$D$12:$D$72,$A383+1)))*INDEX(Surface_Engine!$B$12:$B$72,$A383+1)</f>
        <v>0</v>
      </c>
      <c r="G383" s="48" t="n">
        <f aca="false">C383*(IF($A383&lt;$Q$321,INDEX(Surface_Engine!$D$12:$D$72,$A383+1)+(Surface_Engine!G239*12)*INDEX(Surface_Engine!$F$12:$F$72,$A383+1)-(Surface_Engine!G239*12),1000*12*INDEX(Surface_Engine!$C$12:$C$72,$A383+1)/(1+Assumptions!$B$10)^17+INDEX(Surface_Engine!$D$12:$D$72,$A383+1)))*INDEX(Surface_Engine!$B$12:$B$72,$A383+1)</f>
        <v>0</v>
      </c>
      <c r="H383" s="48" t="n">
        <f aca="false">D383*(IF($A383&lt;$Q$321,INDEX(Surface_Engine!$D$12:$D$72,$A383+1)+(Surface_Engine!G239*12)*INDEX(Surface_Engine!$F$12:$F$72,$A383+1)-(Surface_Engine!G239*12),1000*12*INDEX(Surface_Engine!$C$12:$C$72,$A383+1)/(1+Assumptions!$B$10)^17+INDEX(Surface_Engine!$D$12:$D$72,$A383+1)))*INDEX(Surface_Engine!$B$12:$B$72,$A383+1)</f>
        <v>0</v>
      </c>
      <c r="I383" s="48" t="n">
        <f aca="false">E383*(IF($A383&lt;$Q$321,INDEX(Surface_Engine!$D$12:$D$72,$A383+1)+(Surface_Engine!G239*12)*INDEX(Surface_Engine!$F$12:$F$72,$A383+1)-(Surface_Engine!G239*12),1000*12*INDEX(Surface_Engine!$C$12:$C$72,$A383+1)/(1+Assumptions!$B$10)^17+INDEX(Surface_Engine!$D$12:$D$72,$A383+1)))*INDEX(Surface_Engine!$B$12:$B$72,$A383+1)</f>
        <v>0</v>
      </c>
      <c r="J383" s="48" t="n">
        <f aca="false">B383*(IF($A383&lt;$Q$321,INDEX(Surface_Engine!$D$12:$D$72,$A383+1)*(1+Assumptions!$B$24)+(Surface_Engine!G239*12)*INDEX(Surface_Engine!$F$12:$F$72,$A383+1)-(Surface_Engine!G239*12),1000*12*INDEX(Surface_Engine!$C$12:$C$72,$A383+1)/(1+Assumptions!$B$10)^17+INDEX(Surface_Engine!$D$12:$D$72,$A383+1)*(1+Assumptions!$B$24)))*INDEX(Surface_Engine!$B$12:$B$72,$A383+1)</f>
        <v>0</v>
      </c>
      <c r="K383" s="12" t="n">
        <f aca="false">SQRT((IF(C383&lt;=0,0,MAX(0,(B383/C383)*G383/INDEX(Surface_Engine!$B$12:$B$72,$A383+1)-F383/INDEX(Surface_Engine!$B$12:$B$72,$A383+1))))^2+(MAX(IF(D383&lt;=0,0,MAX(0,(B383/D383)*H383/INDEX(Surface_Engine!$B$12:$B$72,$A383+1)-F383/INDEX(Surface_Engine!$B$12:$B$72,$A383+1))),IF(E383&lt;=0,0,MAX(0,(B383/E383)*I383/INDEX(Surface_Engine!$B$12:$B$72,$A383+1)-F383/INDEX(Surface_Engine!$B$12:$B$72,$A383+1))),IF($A383&lt;$Q$321,MAX(0,-Assumptions!$B$22*(F383/INDEX(Surface_Engine!$B$12:$B$72,$A383+1))),0)))^2+(MAX(0,J383/INDEX(Surface_Engine!$B$12:$B$72,$A383+1)-(F383/INDEX(Surface_Engine!$B$12:$B$72,$A383+1))))^2+2*Assumptions!$B$26*(IF(C383&lt;=0,0,MAX(0,(B383/C383)*G383/INDEX(Surface_Engine!$B$12:$B$72,$A383+1)-F383/INDEX(Surface_Engine!$B$12:$B$72,$A383+1))))*(MAX(IF(D383&lt;=0,0,MAX(0,(B383/D383)*H383/INDEX(Surface_Engine!$B$12:$B$72,$A383+1)-F383/INDEX(Surface_Engine!$B$12:$B$72,$A383+1))),IF(E383&lt;=0,0,MAX(0,(B383/E383)*I383/INDEX(Surface_Engine!$B$12:$B$72,$A383+1)-F383/INDEX(Surface_Engine!$B$12:$B$72,$A383+1))),IF($A383&lt;$Q$321,MAX(0,-Assumptions!$B$22*(F383/INDEX(Surface_Engine!$B$12:$B$72,$A383+1))),0)))+2*Assumptions!$B$27*(IF(C383&lt;=0,0,MAX(0,(B383/C383)*G383/INDEX(Surface_Engine!$B$12:$B$72,$A383+1)-F383/INDEX(Surface_Engine!$B$12:$B$72,$A383+1))))*(MAX(0,J383/INDEX(Surface_Engine!$B$12:$B$72,$A383+1)-(F383/INDEX(Surface_Engine!$B$12:$B$72,$A383+1))))+2*Assumptions!$B$28*(MAX(IF(D383&lt;=0,0,MAX(0,(B383/D383)*H383/INDEX(Surface_Engine!$B$12:$B$72,$A383+1)-F383/INDEX(Surface_Engine!$B$12:$B$72,$A383+1))),IF(E383&lt;=0,0,MAX(0,(B383/E383)*I383/INDEX(Surface_Engine!$B$12:$B$72,$A383+1)-F383/INDEX(Surface_Engine!$B$12:$B$72,$A383+1))),IF($A383&lt;$Q$321,MAX(0,-Assumptions!$B$22*(F383/INDEX(Surface_Engine!$B$12:$B$72,$A383+1))),0)))*(MAX(0,J383/INDEX(Surface_Engine!$B$12:$B$72,$A383+1)-(F383/INDEX(Surface_Engine!$B$12:$B$72,$A383+1)))))</f>
        <v>0</v>
      </c>
      <c r="L383" s="48" t="n">
        <f aca="false">K383*INDEX(Surface_Engine!$B$12:$B$72,$A383+1)</f>
        <v>0</v>
      </c>
      <c r="M383" s="48" t="n">
        <f aca="false">M382+B382*(IF($A382&lt;$Q$321,(Surface_Engine!G239*12)-(Surface_Engine!G239*12)*INDEX(Surface_Engine!$F$12:$F$72,$A382+1)-INDEX(Surface_Engine!$D$12:$D$72,$A382+1),-(1000*12*INDEX(Surface_Engine!$C$12:$C$72,$A382+1)/(1+Assumptions!$B$10)^17+INDEX(Surface_Engine!$D$12:$D$72,$A382+1))))*INDEX(Surface_Engine!$B$12:$B$72,$A382+1)</f>
        <v>2039.10084054095</v>
      </c>
      <c r="N383" s="12" t="n">
        <f aca="false">IF(B383&lt;=0,0,MAX(0,(K383+Assumptions!$B$29*L383/INDEX(Surface_Engine!$B$12:$B$72,$A383+1)-(M383/INDEX(Surface_Engine!$B$12:$B$72,$A383+1)-(F383/INDEX(Surface_Engine!$B$12:$B$72,$A383+1))))/B383))</f>
        <v>0</v>
      </c>
    </row>
    <row r="384" customFormat="false" ht="15" hidden="false" customHeight="true" outlineLevel="0" collapsed="false">
      <c r="A384" s="4" t="str">
        <f aca="false">"entry "&amp;O384&amp;" / vesting "&amp;P384&amp;"   deferral "&amp;Q384</f>
        <v>entry 63 / vesting 85   deferral 22</v>
      </c>
      <c r="C384" s="49" t="n">
        <f aca="false">MAX(N323:N383)</f>
        <v>20783.3344802615</v>
      </c>
      <c r="E384" s="7" t="s">
        <v>1634</v>
      </c>
      <c r="G384" s="21" t="n">
        <f aca="false">INDEX(A323:A383,MATCH(C384,N323:N383,0))</f>
        <v>10</v>
      </c>
      <c r="J384" s="7" t="s">
        <v>1624</v>
      </c>
      <c r="K384" s="50" t="n">
        <f aca="false">Surface_Engine!L239</f>
        <v>225.023180732087</v>
      </c>
      <c r="O384" s="1" t="n">
        <f aca="false">A1715</f>
        <v>63</v>
      </c>
      <c r="P384" s="76" t="n">
        <f aca="false">D$1713</f>
        <v>85</v>
      </c>
      <c r="Q384" s="1" t="n">
        <f aca="false">P384-O384</f>
        <v>22</v>
      </c>
    </row>
    <row r="385" customFormat="false" ht="15" hidden="false" customHeight="true" outlineLevel="0" collapsed="false">
      <c r="A385" s="8" t="s">
        <v>802</v>
      </c>
      <c r="B385" s="8" t="s">
        <v>1584</v>
      </c>
      <c r="C385" s="8" t="s">
        <v>1585</v>
      </c>
      <c r="D385" s="8" t="s">
        <v>1587</v>
      </c>
      <c r="E385" s="8" t="s">
        <v>1588</v>
      </c>
      <c r="F385" s="8" t="s">
        <v>1625</v>
      </c>
      <c r="G385" s="8" t="s">
        <v>1626</v>
      </c>
      <c r="H385" s="8" t="s">
        <v>1627</v>
      </c>
      <c r="I385" s="8" t="s">
        <v>1628</v>
      </c>
      <c r="J385" s="8" t="s">
        <v>1629</v>
      </c>
      <c r="K385" s="8" t="s">
        <v>812</v>
      </c>
      <c r="L385" s="8" t="s">
        <v>1630</v>
      </c>
      <c r="M385" s="8" t="s">
        <v>341</v>
      </c>
      <c r="N385" s="8" t="s">
        <v>1631</v>
      </c>
      <c r="O385" s="1" t="s">
        <v>1544</v>
      </c>
      <c r="P385" s="1" t="s">
        <v>1632</v>
      </c>
      <c r="Q385" s="1" t="s">
        <v>1633</v>
      </c>
    </row>
    <row r="386" customFormat="false" ht="15" hidden="false" customHeight="true" outlineLevel="0" collapsed="false">
      <c r="A386" s="1" t="n">
        <v>0</v>
      </c>
      <c r="B386" s="32" t="n">
        <f aca="false">INDEX(Surface_Engine!$J$12:$J$72,$A386+1)*IF($A386&lt;$Q$384,INDEX(Surface_Engine!$E$12:$E$72,$A386+1),INDEX(Surface_Engine!$E$12:$E$72,$Q$384+1))</f>
        <v>1</v>
      </c>
      <c r="C386" s="32" t="n">
        <f aca="false">INDEX(Panel_Reserving!$C$8:$C$68,$A386+1)*IF($A386&lt;$Q$384,INDEX(Surface_Engine!$E$12:$E$72,$A386+1),INDEX(Surface_Engine!$E$12:$E$72,$Q$384+1))</f>
        <v>1</v>
      </c>
      <c r="D386" s="32" t="n">
        <f aca="false">INDEX(Surface_Engine!$J$12:$J$72,$A386+1)*IF($A386&lt;$Q$384,INDEX(Surface_Engine!$Y$12:$Y$72,$A386+1),INDEX(Surface_Engine!$Y$12:$Y$72,$Q$384+1))</f>
        <v>1</v>
      </c>
      <c r="E386" s="32" t="n">
        <f aca="false">INDEX(Surface_Engine!$J$12:$J$72,$A386+1)*IF($A386&lt;$Q$384,INDEX(Surface_Engine!$Z$12:$Z$72,$A386+1),INDEX(Surface_Engine!$Z$12:$Z$72,$Q$384+1))</f>
        <v>1</v>
      </c>
      <c r="F386" s="48" t="n">
        <f aca="false">B386*(IF($A386&lt;$Q$384,INDEX(Surface_Engine!$D$12:$D$72,$A386+1)+(Surface_Engine!L239*12)*INDEX(Surface_Engine!$F$12:$F$72,$A386+1)-(Surface_Engine!L239*12),1000*12*INDEX(Surface_Engine!$C$12:$C$72,$A386+1)/(1+Assumptions!$B$10)^22+INDEX(Surface_Engine!$D$12:$D$72,$A386+1)))*INDEX(Surface_Engine!$B$12:$B$72,$A386+1)+F387</f>
        <v>-1078.77812541034</v>
      </c>
      <c r="G386" s="48" t="n">
        <f aca="false">C386*(IF($A386&lt;$Q$384,INDEX(Surface_Engine!$D$12:$D$72,$A386+1)+(Surface_Engine!L239*12)*INDEX(Surface_Engine!$F$12:$F$72,$A386+1)-(Surface_Engine!L239*12),1000*12*INDEX(Surface_Engine!$C$12:$C$72,$A386+1)/(1+Assumptions!$B$10)^22+INDEX(Surface_Engine!$D$12:$D$72,$A386+1)))*INDEX(Surface_Engine!$B$12:$B$72,$A386+1)+G387</f>
        <v>4709.40143788353</v>
      </c>
      <c r="H386" s="48" t="n">
        <f aca="false">D386*(IF($A386&lt;$Q$384,INDEX(Surface_Engine!$D$12:$D$72,$A386+1)+(Surface_Engine!L239*12)*INDEX(Surface_Engine!$F$12:$F$72,$A386+1)-(Surface_Engine!L239*12),1000*12*INDEX(Surface_Engine!$C$12:$C$72,$A386+1)/(1+Assumptions!$B$10)^22+INDEX(Surface_Engine!$D$12:$D$72,$A386+1)))*INDEX(Surface_Engine!$B$12:$B$72,$A386+1)+H387</f>
        <v>-2641.58303623013</v>
      </c>
      <c r="I386" s="48" t="n">
        <f aca="false">E386*(IF($A386&lt;$Q$384,INDEX(Surface_Engine!$D$12:$D$72,$A386+1)+(Surface_Engine!L239*12)*INDEX(Surface_Engine!$F$12:$F$72,$A386+1)-(Surface_Engine!L239*12),1000*12*INDEX(Surface_Engine!$C$12:$C$72,$A386+1)/(1+Assumptions!$B$10)^22+INDEX(Surface_Engine!$D$12:$D$72,$A386+1)))*INDEX(Surface_Engine!$B$12:$B$72,$A386+1)+I387</f>
        <v>803.741506099085</v>
      </c>
      <c r="J386" s="48" t="n">
        <f aca="false">B386*(IF($A386&lt;$Q$384,INDEX(Surface_Engine!$D$12:$D$72,$A386+1)*(1+Assumptions!$B$24)+(Surface_Engine!L239*12)*INDEX(Surface_Engine!$F$12:$F$72,$A386+1)-(Surface_Engine!L239*12),1000*12*INDEX(Surface_Engine!$C$12:$C$72,$A386+1)/(1+Assumptions!$B$10)^22+INDEX(Surface_Engine!$D$12:$D$72,$A386+1)*(1+Assumptions!$B$24)))*INDEX(Surface_Engine!$B$12:$B$72,$A386+1)+J387</f>
        <v>-908.168843458692</v>
      </c>
      <c r="K386" s="12" t="n">
        <f aca="false">SQRT((IF(C386&lt;=0,0,MAX(0,(B386/C386)*G386/INDEX(Surface_Engine!$B$12:$B$72,$A386+1)-F386/INDEX(Surface_Engine!$B$12:$B$72,$A386+1))))^2+(MAX(IF(D386&lt;=0,0,MAX(0,(B386/D386)*H386/INDEX(Surface_Engine!$B$12:$B$72,$A386+1)-F386/INDEX(Surface_Engine!$B$12:$B$72,$A386+1))),IF(E386&lt;=0,0,MAX(0,(B386/E386)*I386/INDEX(Surface_Engine!$B$12:$B$72,$A386+1)-F386/INDEX(Surface_Engine!$B$12:$B$72,$A386+1))),IF($A386&lt;$Q$384,MAX(0,-Assumptions!$B$22*(F386/INDEX(Surface_Engine!$B$12:$B$72,$A386+1))),0)))^2+(MAX(0,J386/INDEX(Surface_Engine!$B$12:$B$72,$A386+1)-(F386/INDEX(Surface_Engine!$B$12:$B$72,$A386+1))))^2+2*Assumptions!$B$26*(IF(C386&lt;=0,0,MAX(0,(B386/C386)*G386/INDEX(Surface_Engine!$B$12:$B$72,$A386+1)-F386/INDEX(Surface_Engine!$B$12:$B$72,$A386+1))))*(MAX(IF(D386&lt;=0,0,MAX(0,(B386/D386)*H386/INDEX(Surface_Engine!$B$12:$B$72,$A386+1)-F386/INDEX(Surface_Engine!$B$12:$B$72,$A386+1))),IF(E386&lt;=0,0,MAX(0,(B386/E386)*I386/INDEX(Surface_Engine!$B$12:$B$72,$A386+1)-F386/INDEX(Surface_Engine!$B$12:$B$72,$A386+1))),IF($A386&lt;$Q$384,MAX(0,-Assumptions!$B$22*(F386/INDEX(Surface_Engine!$B$12:$B$72,$A386+1))),0)))+2*Assumptions!$B$27*(IF(C386&lt;=0,0,MAX(0,(B386/C386)*G386/INDEX(Surface_Engine!$B$12:$B$72,$A386+1)-F386/INDEX(Surface_Engine!$B$12:$B$72,$A386+1))))*(MAX(0,J386/INDEX(Surface_Engine!$B$12:$B$72,$A386+1)-(F386/INDEX(Surface_Engine!$B$12:$B$72,$A386+1))))+2*Assumptions!$B$28*(MAX(IF(D386&lt;=0,0,MAX(0,(B386/D386)*H386/INDEX(Surface_Engine!$B$12:$B$72,$A386+1)-F386/INDEX(Surface_Engine!$B$12:$B$72,$A386+1))),IF(E386&lt;=0,0,MAX(0,(B386/E386)*I386/INDEX(Surface_Engine!$B$12:$B$72,$A386+1)-F386/INDEX(Surface_Engine!$B$12:$B$72,$A386+1))),IF($A386&lt;$Q$384,MAX(0,-Assumptions!$B$22*(F386/INDEX(Surface_Engine!$B$12:$B$72,$A386+1))),0)))*(MAX(0,J386/INDEX(Surface_Engine!$B$12:$B$72,$A386+1)-(F386/INDEX(Surface_Engine!$B$12:$B$72,$A386+1)))))</f>
        <v>6583.24578596931</v>
      </c>
      <c r="L386" s="48" t="n">
        <f aca="false">K386*INDEX(Surface_Engine!$B$12:$B$72,$A386+1)+L387</f>
        <v>157648.50648167</v>
      </c>
      <c r="M386" s="48" t="n">
        <v>0</v>
      </c>
      <c r="N386" s="12" t="n">
        <f aca="false">IF(B386&lt;=0,0,MAX(0,(K386+Assumptions!$B$29*L386/INDEX(Surface_Engine!$B$12:$B$72,$A386+1)-(M386/INDEX(Surface_Engine!$B$12:$B$72,$A386+1)-(F386/INDEX(Surface_Engine!$B$12:$B$72,$A386+1))))/B386))</f>
        <v>14963.3780494592</v>
      </c>
    </row>
    <row r="387" customFormat="false" ht="15" hidden="false" customHeight="true" outlineLevel="0" collapsed="false">
      <c r="A387" s="1" t="n">
        <v>1</v>
      </c>
      <c r="B387" s="32" t="n">
        <f aca="false">INDEX(Surface_Engine!$J$12:$J$72,$A387+1)*IF($A387&lt;$Q$384,INDEX(Surface_Engine!$E$12:$E$72,$A387+1),INDEX(Surface_Engine!$E$12:$E$72,$Q$384+1))</f>
        <v>0.955579876255788</v>
      </c>
      <c r="C387" s="32" t="n">
        <f aca="false">INDEX(Panel_Reserving!$C$8:$C$68,$A387+1)*IF($A387&lt;$Q$384,INDEX(Surface_Engine!$E$12:$E$72,$A387+1),INDEX(Surface_Engine!$E$12:$E$72,$Q$384+1))</f>
        <v>0.95634390100463</v>
      </c>
      <c r="D387" s="32" t="n">
        <f aca="false">INDEX(Surface_Engine!$J$12:$J$72,$A387+1)*IF($A387&lt;$Q$384,INDEX(Surface_Engine!$Y$12:$Y$72,$A387+1),INDEX(Surface_Engine!$Y$12:$Y$72,$Q$384+1))</f>
        <v>0.935360706474682</v>
      </c>
      <c r="E387" s="32" t="n">
        <f aca="false">INDEX(Surface_Engine!$J$12:$J$72,$A387+1)*IF($A387&lt;$Q$384,INDEX(Surface_Engine!$Z$12:$Z$72,$A387+1),INDEX(Surface_Engine!$Z$12:$Z$72,$Q$384+1))</f>
        <v>0.975799046036893</v>
      </c>
      <c r="F387" s="48" t="n">
        <f aca="false">B387*(IF($A387&lt;$Q$384,INDEX(Surface_Engine!$D$12:$D$72,$A387+1)+(Surface_Engine!L239*12)*INDEX(Surface_Engine!$F$12:$F$72,$A387+1)-(Surface_Engine!L239*12),1000*12*INDEX(Surface_Engine!$C$12:$C$72,$A387+1)/(1+Assumptions!$B$10)^22+INDEX(Surface_Engine!$D$12:$D$72,$A387+1)))*INDEX(Surface_Engine!$B$12:$B$72,$A387+1)+F388</f>
        <v>-1160.77812541034</v>
      </c>
      <c r="G387" s="48" t="n">
        <f aca="false">C387*(IF($A387&lt;$Q$384,INDEX(Surface_Engine!$D$12:$D$72,$A387+1)+(Surface_Engine!L239*12)*INDEX(Surface_Engine!$F$12:$F$72,$A387+1)-(Surface_Engine!L239*12),1000*12*INDEX(Surface_Engine!$C$12:$C$72,$A387+1)/(1+Assumptions!$B$10)^22+INDEX(Surface_Engine!$D$12:$D$72,$A387+1)))*INDEX(Surface_Engine!$B$12:$B$72,$A387+1)+G388</f>
        <v>4627.40143788353</v>
      </c>
      <c r="H387" s="48" t="n">
        <f aca="false">D387*(IF($A387&lt;$Q$384,INDEX(Surface_Engine!$D$12:$D$72,$A387+1)+(Surface_Engine!L239*12)*INDEX(Surface_Engine!$F$12:$F$72,$A387+1)-(Surface_Engine!L239*12),1000*12*INDEX(Surface_Engine!$C$12:$C$72,$A387+1)/(1+Assumptions!$B$10)^22+INDEX(Surface_Engine!$D$12:$D$72,$A387+1)))*INDEX(Surface_Engine!$B$12:$B$72,$A387+1)+H388</f>
        <v>-2723.58303623013</v>
      </c>
      <c r="I387" s="48" t="n">
        <f aca="false">E387*(IF($A387&lt;$Q$384,INDEX(Surface_Engine!$D$12:$D$72,$A387+1)+(Surface_Engine!L239*12)*INDEX(Surface_Engine!$F$12:$F$72,$A387+1)-(Surface_Engine!L239*12),1000*12*INDEX(Surface_Engine!$C$12:$C$72,$A387+1)/(1+Assumptions!$B$10)^22+INDEX(Surface_Engine!$D$12:$D$72,$A387+1)))*INDEX(Surface_Engine!$B$12:$B$72,$A387+1)+I388</f>
        <v>721.741506099085</v>
      </c>
      <c r="J387" s="48" t="n">
        <f aca="false">B387*(IF($A387&lt;$Q$384,INDEX(Surface_Engine!$D$12:$D$72,$A387+1)*(1+Assumptions!$B$24)+(Surface_Engine!L239*12)*INDEX(Surface_Engine!$F$12:$F$72,$A387+1)-(Surface_Engine!L239*12),1000*12*INDEX(Surface_Engine!$C$12:$C$72,$A387+1)/(1+Assumptions!$B$10)^22+INDEX(Surface_Engine!$D$12:$D$72,$A387+1)*(1+Assumptions!$B$24)))*INDEX(Surface_Engine!$B$12:$B$72,$A387+1)+J388</f>
        <v>-998.368843458692</v>
      </c>
      <c r="K387" s="12" t="n">
        <f aca="false">SQRT((IF(C387&lt;=0,0,MAX(0,(B387/C387)*G387/INDEX(Surface_Engine!$B$12:$B$72,$A387+1)-F387/INDEX(Surface_Engine!$B$12:$B$72,$A387+1))))^2+(MAX(IF(D387&lt;=0,0,MAX(0,(B387/D387)*H387/INDEX(Surface_Engine!$B$12:$B$72,$A387+1)-F387/INDEX(Surface_Engine!$B$12:$B$72,$A387+1))),IF(E387&lt;=0,0,MAX(0,(B387/E387)*I387/INDEX(Surface_Engine!$B$12:$B$72,$A387+1)-F387/INDEX(Surface_Engine!$B$12:$B$72,$A387+1))),IF($A387&lt;$Q$384,MAX(0,-Assumptions!$B$22*(F387/INDEX(Surface_Engine!$B$12:$B$72,$A387+1))),0)))^2+(MAX(0,J387/INDEX(Surface_Engine!$B$12:$B$72,$A387+1)-(F387/INDEX(Surface_Engine!$B$12:$B$72,$A387+1))))^2+2*Assumptions!$B$26*(IF(C387&lt;=0,0,MAX(0,(B387/C387)*G387/INDEX(Surface_Engine!$B$12:$B$72,$A387+1)-F387/INDEX(Surface_Engine!$B$12:$B$72,$A387+1))))*(MAX(IF(D387&lt;=0,0,MAX(0,(B387/D387)*H387/INDEX(Surface_Engine!$B$12:$B$72,$A387+1)-F387/INDEX(Surface_Engine!$B$12:$B$72,$A387+1))),IF(E387&lt;=0,0,MAX(0,(B387/E387)*I387/INDEX(Surface_Engine!$B$12:$B$72,$A387+1)-F387/INDEX(Surface_Engine!$B$12:$B$72,$A387+1))),IF($A387&lt;$Q$384,MAX(0,-Assumptions!$B$22*(F387/INDEX(Surface_Engine!$B$12:$B$72,$A387+1))),0)))+2*Assumptions!$B$27*(IF(C387&lt;=0,0,MAX(0,(B387/C387)*G387/INDEX(Surface_Engine!$B$12:$B$72,$A387+1)-F387/INDEX(Surface_Engine!$B$12:$B$72,$A387+1))))*(MAX(0,J387/INDEX(Surface_Engine!$B$12:$B$72,$A387+1)-(F387/INDEX(Surface_Engine!$B$12:$B$72,$A387+1))))+2*Assumptions!$B$28*(MAX(IF(D387&lt;=0,0,MAX(0,(B387/D387)*H387/INDEX(Surface_Engine!$B$12:$B$72,$A387+1)-F387/INDEX(Surface_Engine!$B$12:$B$72,$A387+1))),IF(E387&lt;=0,0,MAX(0,(B387/E387)*I387/INDEX(Surface_Engine!$B$12:$B$72,$A387+1)-F387/INDEX(Surface_Engine!$B$12:$B$72,$A387+1))),IF($A387&lt;$Q$384,MAX(0,-Assumptions!$B$22*(F387/INDEX(Surface_Engine!$B$12:$B$72,$A387+1))),0)))*(MAX(0,J387/INDEX(Surface_Engine!$B$12:$B$72,$A387+1)-(F387/INDEX(Surface_Engine!$B$12:$B$72,$A387+1)))))</f>
        <v>6739.30778565744</v>
      </c>
      <c r="L387" s="48" t="n">
        <f aca="false">K387*INDEX(Surface_Engine!$B$12:$B$72,$A387+1)+L388</f>
        <v>151065.260695701</v>
      </c>
      <c r="M387" s="48" t="n">
        <f aca="false">M386+B386*(IF($A386&lt;$Q$384,(Surface_Engine!L239*12)-(Surface_Engine!L239*12)*INDEX(Surface_Engine!$F$12:$F$72,$A386+1)-INDEX(Surface_Engine!$D$12:$D$72,$A386+1),-(1000*12*INDEX(Surface_Engine!$C$12:$C$72,$A386+1)/(1+Assumptions!$B$10)^22+INDEX(Surface_Engine!$D$12:$D$72,$A386+1))))*INDEX(Surface_Engine!$B$12:$B$72,$A386+1)</f>
        <v>-82</v>
      </c>
      <c r="N387" s="12" t="n">
        <f aca="false">IF(B387&lt;=0,0,MAX(0,(K387+Assumptions!$B$29*L387/INDEX(Surface_Engine!$B$12:$B$72,$A387+1)-(M387/INDEX(Surface_Engine!$B$12:$B$72,$A387+1)-(F387/INDEX(Surface_Engine!$B$12:$B$72,$A387+1))))/B387))</f>
        <v>15625.841274954</v>
      </c>
    </row>
    <row r="388" customFormat="false" ht="15" hidden="false" customHeight="true" outlineLevel="0" collapsed="false">
      <c r="A388" s="1" t="n">
        <v>2</v>
      </c>
      <c r="B388" s="32" t="n">
        <f aca="false">INDEX(Surface_Engine!$J$12:$J$72,$A388+1)*IF($A388&lt;$Q$384,INDEX(Surface_Engine!$E$12:$E$72,$A388+1),INDEX(Surface_Engine!$E$12:$E$72,$Q$384+1))</f>
        <v>0.930804150629766</v>
      </c>
      <c r="C388" s="32" t="n">
        <f aca="false">INDEX(Panel_Reserving!$C$8:$C$68,$A388+1)*IF($A388&lt;$Q$384,INDEX(Surface_Engine!$E$12:$E$72,$A388+1),INDEX(Surface_Engine!$E$12:$E$72,$Q$384+1))</f>
        <v>0.93235694061792</v>
      </c>
      <c r="D388" s="32" t="n">
        <f aca="false">INDEX(Surface_Engine!$J$12:$J$72,$A388+1)*IF($A388&lt;$Q$384,INDEX(Surface_Engine!$Y$12:$Y$72,$A388+1),INDEX(Surface_Engine!$Y$12:$Y$72,$Q$384+1))</f>
        <v>0.901004402547142</v>
      </c>
      <c r="E388" s="32" t="n">
        <f aca="false">INDEX(Surface_Engine!$J$12:$J$72,$A388+1)*IF($A388&lt;$Q$384,INDEX(Surface_Engine!$Z$12:$Z$72,$A388+1),INDEX(Surface_Engine!$Z$12:$Z$72,$Q$384+1))</f>
        <v>0.961040758746481</v>
      </c>
      <c r="F388" s="48" t="n">
        <f aca="false">B388*(IF($A388&lt;$Q$384,INDEX(Surface_Engine!$D$12:$D$72,$A388+1)+(Surface_Engine!L239*12)*INDEX(Surface_Engine!$F$12:$F$72,$A388+1)-(Surface_Engine!L239*12),1000*12*INDEX(Surface_Engine!$C$12:$C$72,$A388+1)/(1+Assumptions!$B$10)^22+INDEX(Surface_Engine!$D$12:$D$72,$A388+1)))*INDEX(Surface_Engine!$B$12:$B$72,$A388+1)+F389</f>
        <v>1150.22660758639</v>
      </c>
      <c r="G388" s="48" t="n">
        <f aca="false">C388*(IF($A388&lt;$Q$384,INDEX(Surface_Engine!$D$12:$D$72,$A388+1)+(Surface_Engine!L239*12)*INDEX(Surface_Engine!$F$12:$F$72,$A388+1)-(Surface_Engine!L239*12),1000*12*INDEX(Surface_Engine!$C$12:$C$72,$A388+1)/(1+Assumptions!$B$10)^22+INDEX(Surface_Engine!$D$12:$D$72,$A388+1)))*INDEX(Surface_Engine!$B$12:$B$72,$A388+1)+G389</f>
        <v>6940.25391260712</v>
      </c>
      <c r="H388" s="48" t="n">
        <f aca="false">D388*(IF($A388&lt;$Q$384,INDEX(Surface_Engine!$D$12:$D$72,$A388+1)+(Surface_Engine!L239*12)*INDEX(Surface_Engine!$F$12:$F$72,$A388+1)-(Surface_Engine!L239*12),1000*12*INDEX(Surface_Engine!$C$12:$C$72,$A388+1)/(1+Assumptions!$B$10)^22+INDEX(Surface_Engine!$D$12:$D$72,$A388+1)))*INDEX(Surface_Engine!$B$12:$B$72,$A388+1)+H389</f>
        <v>-461.476985826507</v>
      </c>
      <c r="I388" s="48" t="n">
        <f aca="false">E388*(IF($A388&lt;$Q$384,INDEX(Surface_Engine!$D$12:$D$72,$A388+1)+(Surface_Engine!L239*12)*INDEX(Surface_Engine!$F$12:$F$72,$A388+1)-(Surface_Engine!L239*12),1000*12*INDEX(Surface_Engine!$C$12:$C$72,$A388+1)/(1+Assumptions!$B$10)^22+INDEX(Surface_Engine!$D$12:$D$72,$A388+1)))*INDEX(Surface_Engine!$B$12:$B$72,$A388+1)+I389</f>
        <v>3081.64492168894</v>
      </c>
      <c r="J388" s="48" t="n">
        <f aca="false">B388*(IF($A388&lt;$Q$384,INDEX(Surface_Engine!$D$12:$D$72,$A388+1)*(1+Assumptions!$B$24)+(Surface_Engine!L239*12)*INDEX(Surface_Engine!$F$12:$F$72,$A388+1)-(Surface_Engine!L239*12),1000*12*INDEX(Surface_Engine!$C$12:$C$72,$A388+1)/(1+Assumptions!$B$10)^22+INDEX(Surface_Engine!$D$12:$D$72,$A388+1)*(1+Assumptions!$B$24)))*INDEX(Surface_Engine!$B$12:$B$72,$A388+1)+J389</f>
        <v>1304.80746653917</v>
      </c>
      <c r="K388" s="12" t="n">
        <f aca="false">SQRT((IF(C388&lt;=0,0,MAX(0,(B388/C388)*G388/INDEX(Surface_Engine!$B$12:$B$72,$A388+1)-F388/INDEX(Surface_Engine!$B$12:$B$72,$A388+1))))^2+(MAX(IF(D388&lt;=0,0,MAX(0,(B388/D388)*H388/INDEX(Surface_Engine!$B$12:$B$72,$A388+1)-F388/INDEX(Surface_Engine!$B$12:$B$72,$A388+1))),IF(E388&lt;=0,0,MAX(0,(B388/E388)*I388/INDEX(Surface_Engine!$B$12:$B$72,$A388+1)-F388/INDEX(Surface_Engine!$B$12:$B$72,$A388+1))),IF($A388&lt;$Q$384,MAX(0,-Assumptions!$B$22*(F388/INDEX(Surface_Engine!$B$12:$B$72,$A388+1))),0)))^2+(MAX(0,J388/INDEX(Surface_Engine!$B$12:$B$72,$A388+1)-(F388/INDEX(Surface_Engine!$B$12:$B$72,$A388+1))))^2+2*Assumptions!$B$26*(IF(C388&lt;=0,0,MAX(0,(B388/C388)*G388/INDEX(Surface_Engine!$B$12:$B$72,$A388+1)-F388/INDEX(Surface_Engine!$B$12:$B$72,$A388+1))))*(MAX(IF(D388&lt;=0,0,MAX(0,(B388/D388)*H388/INDEX(Surface_Engine!$B$12:$B$72,$A388+1)-F388/INDEX(Surface_Engine!$B$12:$B$72,$A388+1))),IF(E388&lt;=0,0,MAX(0,(B388/E388)*I388/INDEX(Surface_Engine!$B$12:$B$72,$A388+1)-F388/INDEX(Surface_Engine!$B$12:$B$72,$A388+1))),IF($A388&lt;$Q$384,MAX(0,-Assumptions!$B$22*(F388/INDEX(Surface_Engine!$B$12:$B$72,$A388+1))),0)))+2*Assumptions!$B$27*(IF(C388&lt;=0,0,MAX(0,(B388/C388)*G388/INDEX(Surface_Engine!$B$12:$B$72,$A388+1)-F388/INDEX(Surface_Engine!$B$12:$B$72,$A388+1))))*(MAX(0,J388/INDEX(Surface_Engine!$B$12:$B$72,$A388+1)-(F388/INDEX(Surface_Engine!$B$12:$B$72,$A388+1))))+2*Assumptions!$B$28*(MAX(IF(D388&lt;=0,0,MAX(0,(B388/D388)*H388/INDEX(Surface_Engine!$B$12:$B$72,$A388+1)-F388/INDEX(Surface_Engine!$B$12:$B$72,$A388+1))),IF(E388&lt;=0,0,MAX(0,(B388/E388)*I388/INDEX(Surface_Engine!$B$12:$B$72,$A388+1)-F388/INDEX(Surface_Engine!$B$12:$B$72,$A388+1))),IF($A388&lt;$Q$384,MAX(0,-Assumptions!$B$22*(F388/INDEX(Surface_Engine!$B$12:$B$72,$A388+1))),0)))*(MAX(0,J388/INDEX(Surface_Engine!$B$12:$B$72,$A388+1)-(F388/INDEX(Surface_Engine!$B$12:$B$72,$A388+1)))))</f>
        <v>6891.10078996809</v>
      </c>
      <c r="L388" s="48" t="n">
        <f aca="false">K388*INDEX(Surface_Engine!$B$12:$B$72,$A388+1)+L389</f>
        <v>144496.478495949</v>
      </c>
      <c r="M388" s="48" t="n">
        <f aca="false">M387+B387*(IF($A387&lt;$Q$384,(Surface_Engine!L239*12)-(Surface_Engine!L239*12)*INDEX(Surface_Engine!$F$12:$F$72,$A387+1)-INDEX(Surface_Engine!$D$12:$D$72,$A387+1),-(1000*12*INDEX(Surface_Engine!$C$12:$C$72,$A387+1)/(1+Assumptions!$B$10)^22+INDEX(Surface_Engine!$D$12:$D$72,$A387+1))))*INDEX(Surface_Engine!$B$12:$B$72,$A387+1)</f>
        <v>2229.00473299674</v>
      </c>
      <c r="N388" s="12" t="n">
        <f aca="false">IF(B388&lt;=0,0,MAX(0,(K388+Assumptions!$B$29*L388/INDEX(Surface_Engine!$B$12:$B$72,$A388+1)-(M388/INDEX(Surface_Engine!$B$12:$B$72,$A388+1)-(F388/INDEX(Surface_Engine!$B$12:$B$72,$A388+1))))/B388))</f>
        <v>15992.6509856057</v>
      </c>
    </row>
    <row r="389" customFormat="false" ht="15" hidden="false" customHeight="true" outlineLevel="0" collapsed="false">
      <c r="A389" s="1" t="n">
        <v>3</v>
      </c>
      <c r="B389" s="32" t="n">
        <f aca="false">INDEX(Surface_Engine!$J$12:$J$72,$A389+1)*IF($A389&lt;$Q$384,INDEX(Surface_Engine!$E$12:$E$72,$A389+1),INDEX(Surface_Engine!$E$12:$E$72,$Q$384+1))</f>
        <v>0.913882007956711</v>
      </c>
      <c r="C389" s="32" t="n">
        <f aca="false">INDEX(Panel_Reserving!$C$8:$C$68,$A389+1)*IF($A389&lt;$Q$384,INDEX(Surface_Engine!$E$12:$E$72,$A389+1),INDEX(Surface_Engine!$E$12:$E$72,$Q$384+1))</f>
        <v>0.916316573075405</v>
      </c>
      <c r="D389" s="32" t="n">
        <f aca="false">INDEX(Surface_Engine!$J$12:$J$72,$A389+1)*IF($A389&lt;$Q$384,INDEX(Surface_Engine!$Y$12:$Y$72,$A389+1),INDEX(Surface_Engine!$Y$12:$Y$72,$Q$384+1))</f>
        <v>0.878661978286545</v>
      </c>
      <c r="E389" s="32" t="n">
        <f aca="false">INDEX(Surface_Engine!$J$12:$J$72,$A389+1)*IF($A389&lt;$Q$384,INDEX(Surface_Engine!$Z$12:$Z$72,$A389+1),INDEX(Surface_Engine!$Z$12:$Z$72,$Q$384+1))</f>
        <v>0.949928222641382</v>
      </c>
      <c r="F389" s="48" t="n">
        <f aca="false">B389*(IF($A389&lt;$Q$384,INDEX(Surface_Engine!$D$12:$D$72,$A389+1)+(Surface_Engine!L239*12)*INDEX(Surface_Engine!$F$12:$F$72,$A389+1)-(Surface_Engine!L239*12),1000*12*INDEX(Surface_Engine!$C$12:$C$72,$A389+1)/(1+Assumptions!$B$10)^22+INDEX(Surface_Engine!$D$12:$D$72,$A389+1)))*INDEX(Surface_Engine!$B$12:$B$72,$A389+1)+F390</f>
        <v>3341.21376444327</v>
      </c>
      <c r="G389" s="48" t="n">
        <f aca="false">C389*(IF($A389&lt;$Q$384,INDEX(Surface_Engine!$D$12:$D$72,$A389+1)+(Surface_Engine!L239*12)*INDEX(Surface_Engine!$F$12:$F$72,$A389+1)-(Surface_Engine!L239*12),1000*12*INDEX(Surface_Engine!$C$12:$C$72,$A389+1)/(1+Assumptions!$B$10)^22+INDEX(Surface_Engine!$D$12:$D$72,$A389+1)))*INDEX(Surface_Engine!$B$12:$B$72,$A389+1)+G390</f>
        <v>9134.89612721061</v>
      </c>
      <c r="H389" s="48" t="n">
        <f aca="false">D389*(IF($A389&lt;$Q$384,INDEX(Surface_Engine!$D$12:$D$72,$A389+1)+(Surface_Engine!L239*12)*INDEX(Surface_Engine!$F$12:$F$72,$A389+1)-(Surface_Engine!L239*12),1000*12*INDEX(Surface_Engine!$C$12:$C$72,$A389+1)/(1+Assumptions!$B$10)^22+INDEX(Surface_Engine!$D$12:$D$72,$A389+1)))*INDEX(Surface_Engine!$B$12:$B$72,$A389+1)+H390</f>
        <v>1659.36559197748</v>
      </c>
      <c r="I389" s="48" t="n">
        <f aca="false">E389*(IF($A389&lt;$Q$384,INDEX(Surface_Engine!$D$12:$D$72,$A389+1)+(Surface_Engine!L239*12)*INDEX(Surface_Engine!$F$12:$F$72,$A389+1)-(Surface_Engine!L239*12),1000*12*INDEX(Surface_Engine!$C$12:$C$72,$A389+1)/(1+Assumptions!$B$10)^22+INDEX(Surface_Engine!$D$12:$D$72,$A389+1)))*INDEX(Surface_Engine!$B$12:$B$72,$A389+1)+I390</f>
        <v>5343.80496707001</v>
      </c>
      <c r="J389" s="48" t="n">
        <f aca="false">B389*(IF($A389&lt;$Q$384,INDEX(Surface_Engine!$D$12:$D$72,$A389+1)*(1+Assumptions!$B$24)+(Surface_Engine!L239*12)*INDEX(Surface_Engine!$F$12:$F$72,$A389+1)-(Surface_Engine!L239*12),1000*12*INDEX(Surface_Engine!$C$12:$C$72,$A389+1)/(1+Assumptions!$B$10)^22+INDEX(Surface_Engine!$D$12:$D$72,$A389+1)*(1+Assumptions!$B$24)))*INDEX(Surface_Engine!$B$12:$B$72,$A389+1)+J390</f>
        <v>3488.18075982832</v>
      </c>
      <c r="K389" s="12" t="n">
        <f aca="false">SQRT((IF(C389&lt;=0,0,MAX(0,(B389/C389)*G389/INDEX(Surface_Engine!$B$12:$B$72,$A389+1)-F389/INDEX(Surface_Engine!$B$12:$B$72,$A389+1))))^2+(MAX(IF(D389&lt;=0,0,MAX(0,(B389/D389)*H389/INDEX(Surface_Engine!$B$12:$B$72,$A389+1)-F389/INDEX(Surface_Engine!$B$12:$B$72,$A389+1))),IF(E389&lt;=0,0,MAX(0,(B389/E389)*I389/INDEX(Surface_Engine!$B$12:$B$72,$A389+1)-F389/INDEX(Surface_Engine!$B$12:$B$72,$A389+1))),IF($A389&lt;$Q$384,MAX(0,-Assumptions!$B$22*(F389/INDEX(Surface_Engine!$B$12:$B$72,$A389+1))),0)))^2+(MAX(0,J389/INDEX(Surface_Engine!$B$12:$B$72,$A389+1)-(F389/INDEX(Surface_Engine!$B$12:$B$72,$A389+1))))^2+2*Assumptions!$B$26*(IF(C389&lt;=0,0,MAX(0,(B389/C389)*G389/INDEX(Surface_Engine!$B$12:$B$72,$A389+1)-F389/INDEX(Surface_Engine!$B$12:$B$72,$A389+1))))*(MAX(IF(D389&lt;=0,0,MAX(0,(B389/D389)*H389/INDEX(Surface_Engine!$B$12:$B$72,$A389+1)-F389/INDEX(Surface_Engine!$B$12:$B$72,$A389+1))),IF(E389&lt;=0,0,MAX(0,(B389/E389)*I389/INDEX(Surface_Engine!$B$12:$B$72,$A389+1)-F389/INDEX(Surface_Engine!$B$12:$B$72,$A389+1))),IF($A389&lt;$Q$384,MAX(0,-Assumptions!$B$22*(F389/INDEX(Surface_Engine!$B$12:$B$72,$A389+1))),0)))+2*Assumptions!$B$27*(IF(C389&lt;=0,0,MAX(0,(B389/C389)*G389/INDEX(Surface_Engine!$B$12:$B$72,$A389+1)-F389/INDEX(Surface_Engine!$B$12:$B$72,$A389+1))))*(MAX(0,J389/INDEX(Surface_Engine!$B$12:$B$72,$A389+1)-(F389/INDEX(Surface_Engine!$B$12:$B$72,$A389+1))))+2*Assumptions!$B$28*(MAX(IF(D389&lt;=0,0,MAX(0,(B389/D389)*H389/INDEX(Surface_Engine!$B$12:$B$72,$A389+1)-F389/INDEX(Surface_Engine!$B$12:$B$72,$A389+1))),IF(E389&lt;=0,0,MAX(0,(B389/E389)*I389/INDEX(Surface_Engine!$B$12:$B$72,$A389+1)-F389/INDEX(Surface_Engine!$B$12:$B$72,$A389+1))),IF($A389&lt;$Q$384,MAX(0,-Assumptions!$B$22*(F389/INDEX(Surface_Engine!$B$12:$B$72,$A389+1))),0)))*(MAX(0,J389/INDEX(Surface_Engine!$B$12:$B$72,$A389+1)-(F389/INDEX(Surface_Engine!$B$12:$B$72,$A389+1)))))</f>
        <v>7039.96104428922</v>
      </c>
      <c r="L389" s="48" t="n">
        <f aca="false">K389*INDEX(Surface_Engine!$B$12:$B$72,$A389+1)+L390</f>
        <v>137953.525534733</v>
      </c>
      <c r="M389" s="48" t="n">
        <f aca="false">M388+B388*(IF($A388&lt;$Q$384,(Surface_Engine!L239*12)-(Surface_Engine!L239*12)*INDEX(Surface_Engine!$F$12:$F$72,$A388+1)-INDEX(Surface_Engine!$D$12:$D$72,$A388+1),-(1000*12*INDEX(Surface_Engine!$C$12:$C$72,$A388+1)/(1+Assumptions!$B$10)^22+INDEX(Surface_Engine!$D$12:$D$72,$A388+1))))*INDEX(Surface_Engine!$B$12:$B$72,$A388+1)</f>
        <v>4419.99188985361</v>
      </c>
      <c r="N389" s="12" t="n">
        <f aca="false">IF(B389&lt;=0,0,MAX(0,(K389+Assumptions!$B$29*L389/INDEX(Surface_Engine!$B$12:$B$72,$A389+1)-(M389/INDEX(Surface_Engine!$B$12:$B$72,$A389+1)-(F389/INDEX(Surface_Engine!$B$12:$B$72,$A389+1))))/B389))</f>
        <v>16216.5949560424</v>
      </c>
    </row>
    <row r="390" customFormat="false" ht="15" hidden="false" customHeight="true" outlineLevel="0" collapsed="false">
      <c r="A390" s="1" t="n">
        <v>4</v>
      </c>
      <c r="B390" s="32" t="n">
        <f aca="false">INDEX(Surface_Engine!$J$12:$J$72,$A390+1)*IF($A390&lt;$Q$384,INDEX(Surface_Engine!$E$12:$E$72,$A390+1),INDEX(Surface_Engine!$E$12:$E$72,$Q$384+1))</f>
        <v>0.896855770646062</v>
      </c>
      <c r="C390" s="32" t="n">
        <f aca="false">INDEX(Panel_Reserving!$C$8:$C$68,$A390+1)*IF($A390&lt;$Q$384,INDEX(Surface_Engine!$E$12:$E$72,$A390+1),INDEX(Surface_Engine!$E$12:$E$72,$Q$384+1))</f>
        <v>0.900221895072226</v>
      </c>
      <c r="D390" s="32" t="n">
        <f aca="false">INDEX(Surface_Engine!$J$12:$J$72,$A390+1)*IF($A390&lt;$Q$384,INDEX(Surface_Engine!$Y$12:$Y$72,$A390+1),INDEX(Surface_Engine!$Y$12:$Y$72,$Q$384+1))</f>
        <v>0.856480379211671</v>
      </c>
      <c r="E390" s="32" t="n">
        <f aca="false">INDEX(Surface_Engine!$J$12:$J$72,$A390+1)*IF($A390&lt;$Q$384,INDEX(Surface_Engine!$Z$12:$Z$72,$A390+1),INDEX(Surface_Engine!$Z$12:$Z$72,$Q$384+1))</f>
        <v>0.938513314868174</v>
      </c>
      <c r="F390" s="48" t="n">
        <f aca="false">B390*(IF($A390&lt;$Q$384,INDEX(Surface_Engine!$D$12:$D$72,$A390+1)+(Surface_Engine!L239*12)*INDEX(Surface_Engine!$F$12:$F$72,$A390+1)-(Surface_Engine!L239*12),1000*12*INDEX(Surface_Engine!$C$12:$C$72,$A390+1)/(1+Assumptions!$B$10)^22+INDEX(Surface_Engine!$D$12:$D$72,$A390+1)))*INDEX(Surface_Engine!$B$12:$B$72,$A390+1)+F391</f>
        <v>5435.62602056846</v>
      </c>
      <c r="G390" s="48" t="n">
        <f aca="false">C390*(IF($A390&lt;$Q$384,INDEX(Surface_Engine!$D$12:$D$72,$A390+1)+(Surface_Engine!L239*12)*INDEX(Surface_Engine!$F$12:$F$72,$A390+1)-(Surface_Engine!L239*12),1000*12*INDEX(Surface_Engine!$C$12:$C$72,$A390+1)/(1+Assumptions!$B$10)^22+INDEX(Surface_Engine!$D$12:$D$72,$A390+1)))*INDEX(Surface_Engine!$B$12:$B$72,$A390+1)+G391</f>
        <v>11234.8878596561</v>
      </c>
      <c r="H390" s="48" t="n">
        <f aca="false">D390*(IF($A390&lt;$Q$384,INDEX(Surface_Engine!$D$12:$D$72,$A390+1)+(Surface_Engine!L239*12)*INDEX(Surface_Engine!$F$12:$F$72,$A390+1)-(Surface_Engine!L239*12),1000*12*INDEX(Surface_Engine!$C$12:$C$72,$A390+1)/(1+Assumptions!$B$10)^22+INDEX(Surface_Engine!$D$12:$D$72,$A390+1)))*INDEX(Surface_Engine!$B$12:$B$72,$A390+1)+H391</f>
        <v>3673.06145237538</v>
      </c>
      <c r="I390" s="48" t="n">
        <f aca="false">E390*(IF($A390&lt;$Q$384,INDEX(Surface_Engine!$D$12:$D$72,$A390+1)+(Surface_Engine!L239*12)*INDEX(Surface_Engine!$F$12:$F$72,$A390+1)-(Surface_Engine!L239*12),1000*12*INDEX(Surface_Engine!$C$12:$C$72,$A390+1)/(1+Assumptions!$B$10)^22+INDEX(Surface_Engine!$D$12:$D$72,$A390+1)))*INDEX(Surface_Engine!$B$12:$B$72,$A390+1)+I391</f>
        <v>7520.827049371</v>
      </c>
      <c r="J390" s="48" t="n">
        <f aca="false">B390*(IF($A390&lt;$Q$384,INDEX(Surface_Engine!$D$12:$D$72,$A390+1)*(1+Assumptions!$B$24)+(Surface_Engine!L239*12)*INDEX(Surface_Engine!$F$12:$F$72,$A390+1)-(Surface_Engine!L239*12),1000*12*INDEX(Surface_Engine!$C$12:$C$72,$A390+1)/(1+Assumptions!$B$10)^22+INDEX(Surface_Engine!$D$12:$D$72,$A390+1)*(1+Assumptions!$B$24)))*INDEX(Surface_Engine!$B$12:$B$72,$A390+1)+J391</f>
        <v>5575.12631494548</v>
      </c>
      <c r="K390" s="12" t="n">
        <f aca="false">SQRT((IF(C390&lt;=0,0,MAX(0,(B390/C390)*G390/INDEX(Surface_Engine!$B$12:$B$72,$A390+1)-F390/INDEX(Surface_Engine!$B$12:$B$72,$A390+1))))^2+(MAX(IF(D390&lt;=0,0,MAX(0,(B390/D390)*H390/INDEX(Surface_Engine!$B$12:$B$72,$A390+1)-F390/INDEX(Surface_Engine!$B$12:$B$72,$A390+1))),IF(E390&lt;=0,0,MAX(0,(B390/E390)*I390/INDEX(Surface_Engine!$B$12:$B$72,$A390+1)-F390/INDEX(Surface_Engine!$B$12:$B$72,$A390+1))),IF($A390&lt;$Q$384,MAX(0,-Assumptions!$B$22*(F390/INDEX(Surface_Engine!$B$12:$B$72,$A390+1))),0)))^2+(MAX(0,J390/INDEX(Surface_Engine!$B$12:$B$72,$A390+1)-(F390/INDEX(Surface_Engine!$B$12:$B$72,$A390+1))))^2+2*Assumptions!$B$26*(IF(C390&lt;=0,0,MAX(0,(B390/C390)*G390/INDEX(Surface_Engine!$B$12:$B$72,$A390+1)-F390/INDEX(Surface_Engine!$B$12:$B$72,$A390+1))))*(MAX(IF(D390&lt;=0,0,MAX(0,(B390/D390)*H390/INDEX(Surface_Engine!$B$12:$B$72,$A390+1)-F390/INDEX(Surface_Engine!$B$12:$B$72,$A390+1))),IF(E390&lt;=0,0,MAX(0,(B390/E390)*I390/INDEX(Surface_Engine!$B$12:$B$72,$A390+1)-F390/INDEX(Surface_Engine!$B$12:$B$72,$A390+1))),IF($A390&lt;$Q$384,MAX(0,-Assumptions!$B$22*(F390/INDEX(Surface_Engine!$B$12:$B$72,$A390+1))),0)))+2*Assumptions!$B$27*(IF(C390&lt;=0,0,MAX(0,(B390/C390)*G390/INDEX(Surface_Engine!$B$12:$B$72,$A390+1)-F390/INDEX(Surface_Engine!$B$12:$B$72,$A390+1))))*(MAX(0,J390/INDEX(Surface_Engine!$B$12:$B$72,$A390+1)-(F390/INDEX(Surface_Engine!$B$12:$B$72,$A390+1))))+2*Assumptions!$B$28*(MAX(IF(D390&lt;=0,0,MAX(0,(B390/D390)*H390/INDEX(Surface_Engine!$B$12:$B$72,$A390+1)-F390/INDEX(Surface_Engine!$B$12:$B$72,$A390+1))),IF(E390&lt;=0,0,MAX(0,(B390/E390)*I390/INDEX(Surface_Engine!$B$12:$B$72,$A390+1)-F390/INDEX(Surface_Engine!$B$12:$B$72,$A390+1))),IF($A390&lt;$Q$384,MAX(0,-Assumptions!$B$22*(F390/INDEX(Surface_Engine!$B$12:$B$72,$A390+1))),0)))*(MAX(0,J390/INDEX(Surface_Engine!$B$12:$B$72,$A390+1)-(F390/INDEX(Surface_Engine!$B$12:$B$72,$A390+1)))))</f>
        <v>7184.72934054881</v>
      </c>
      <c r="L390" s="48" t="n">
        <f aca="false">K390*INDEX(Surface_Engine!$B$12:$B$72,$A390+1)+L391</f>
        <v>131439.890196153</v>
      </c>
      <c r="M390" s="48" t="n">
        <f aca="false">M389+B389*(IF($A389&lt;$Q$384,(Surface_Engine!L239*12)-(Surface_Engine!L239*12)*INDEX(Surface_Engine!$F$12:$F$72,$A389+1)-INDEX(Surface_Engine!$D$12:$D$72,$A389+1),-(1000*12*INDEX(Surface_Engine!$C$12:$C$72,$A389+1)/(1+Assumptions!$B$10)^22+INDEX(Surface_Engine!$D$12:$D$72,$A389+1))))*INDEX(Surface_Engine!$B$12:$B$72,$A389+1)</f>
        <v>6514.4041459788</v>
      </c>
      <c r="N390" s="12" t="n">
        <f aca="false">IF(B390&lt;=0,0,MAX(0,(K390+Assumptions!$B$29*L390/INDEX(Surface_Engine!$B$12:$B$72,$A390+1)-(M390/INDEX(Surface_Engine!$B$12:$B$72,$A390+1)-(F390/INDEX(Surface_Engine!$B$12:$B$72,$A390+1))))/B390))</f>
        <v>16434.1064907228</v>
      </c>
    </row>
    <row r="391" customFormat="false" ht="15" hidden="false" customHeight="true" outlineLevel="0" collapsed="false">
      <c r="A391" s="1" t="n">
        <v>5</v>
      </c>
      <c r="B391" s="32" t="n">
        <f aca="false">INDEX(Surface_Engine!$J$12:$J$72,$A391+1)*IF($A391&lt;$Q$384,INDEX(Surface_Engine!$E$12:$E$72,$A391+1),INDEX(Surface_Engine!$E$12:$E$72,$Q$384+1))</f>
        <v>0.879688270493715</v>
      </c>
      <c r="C391" s="32" t="n">
        <f aca="false">INDEX(Panel_Reserving!$C$8:$C$68,$A391+1)*IF($A391&lt;$Q$384,INDEX(Surface_Engine!$E$12:$E$72,$A391+1),INDEX(Surface_Engine!$E$12:$E$72,$Q$384+1))</f>
        <v>0.884041757565766</v>
      </c>
      <c r="D391" s="32" t="n">
        <f aca="false">INDEX(Surface_Engine!$J$12:$J$72,$A391+1)*IF($A391&lt;$Q$384,INDEX(Surface_Engine!$Y$12:$Y$72,$A391+1),INDEX(Surface_Engine!$Y$12:$Y$72,$Q$384+1))</f>
        <v>0.834423866633532</v>
      </c>
      <c r="E391" s="32" t="n">
        <f aca="false">INDEX(Surface_Engine!$J$12:$J$72,$A391+1)*IF($A391&lt;$Q$384,INDEX(Surface_Engine!$Z$12:$Z$72,$A391+1),INDEX(Surface_Engine!$Z$12:$Z$72,$Q$384+1))</f>
        <v>0.926752573546771</v>
      </c>
      <c r="F391" s="48" t="n">
        <f aca="false">B391*(IF($A391&lt;$Q$384,INDEX(Surface_Engine!$D$12:$D$72,$A391+1)+(Surface_Engine!L239*12)*INDEX(Surface_Engine!$F$12:$F$72,$A391+1)-(Surface_Engine!L239*12),1000*12*INDEX(Surface_Engine!$C$12:$C$72,$A391+1)/(1+Assumptions!$B$10)^22+INDEX(Surface_Engine!$D$12:$D$72,$A391+1)))*INDEX(Surface_Engine!$B$12:$B$72,$A391+1)+F392</f>
        <v>7435.74277972465</v>
      </c>
      <c r="G391" s="48" t="n">
        <f aca="false">C391*(IF($A391&lt;$Q$384,INDEX(Surface_Engine!$D$12:$D$72,$A391+1)+(Surface_Engine!L239*12)*INDEX(Surface_Engine!$F$12:$F$72,$A391+1)-(Surface_Engine!L239*12),1000*12*INDEX(Surface_Engine!$C$12:$C$72,$A391+1)/(1+Assumptions!$B$10)^22+INDEX(Surface_Engine!$D$12:$D$72,$A391+1)))*INDEX(Surface_Engine!$B$12:$B$72,$A391+1)+G392</f>
        <v>13242.5115581648</v>
      </c>
      <c r="H391" s="48" t="n">
        <f aca="false">D391*(IF($A391&lt;$Q$384,INDEX(Surface_Engine!$D$12:$D$72,$A391+1)+(Surface_Engine!L239*12)*INDEX(Surface_Engine!$F$12:$F$72,$A391+1)-(Surface_Engine!L239*12),1000*12*INDEX(Surface_Engine!$C$12:$C$72,$A391+1)/(1+Assumptions!$B$10)^22+INDEX(Surface_Engine!$D$12:$D$72,$A391+1)))*INDEX(Surface_Engine!$B$12:$B$72,$A391+1)+H392</f>
        <v>5583.13530863845</v>
      </c>
      <c r="I391" s="48" t="n">
        <f aca="false">E391*(IF($A391&lt;$Q$384,INDEX(Surface_Engine!$D$12:$D$72,$A391+1)+(Surface_Engine!L239*12)*INDEX(Surface_Engine!$F$12:$F$72,$A391+1)-(Surface_Engine!L239*12),1000*12*INDEX(Surface_Engine!$C$12:$C$72,$A391+1)/(1+Assumptions!$B$10)^22+INDEX(Surface_Engine!$D$12:$D$72,$A391+1)))*INDEX(Surface_Engine!$B$12:$B$72,$A391+1)+I392</f>
        <v>9613.84609568527</v>
      </c>
      <c r="J391" s="48" t="n">
        <f aca="false">B391*(IF($A391&lt;$Q$384,INDEX(Surface_Engine!$D$12:$D$72,$A391+1)*(1+Assumptions!$B$24)+(Surface_Engine!L239*12)*INDEX(Surface_Engine!$F$12:$F$72,$A391+1)-(Surface_Engine!L239*12),1000*12*INDEX(Surface_Engine!$C$12:$C$72,$A391+1)/(1+Assumptions!$B$10)^22+INDEX(Surface_Engine!$D$12:$D$72,$A391+1)*(1+Assumptions!$B$24)))*INDEX(Surface_Engine!$B$12:$B$72,$A391+1)+J392</f>
        <v>7567.92775881906</v>
      </c>
      <c r="K391" s="12" t="n">
        <f aca="false">SQRT((IF(C391&lt;=0,0,MAX(0,(B391/C391)*G391/INDEX(Surface_Engine!$B$12:$B$72,$A391+1)-F391/INDEX(Surface_Engine!$B$12:$B$72,$A391+1))))^2+(MAX(IF(D391&lt;=0,0,MAX(0,(B391/D391)*H391/INDEX(Surface_Engine!$B$12:$B$72,$A391+1)-F391/INDEX(Surface_Engine!$B$12:$B$72,$A391+1))),IF(E391&lt;=0,0,MAX(0,(B391/E391)*I391/INDEX(Surface_Engine!$B$12:$B$72,$A391+1)-F391/INDEX(Surface_Engine!$B$12:$B$72,$A391+1))),IF($A391&lt;$Q$384,MAX(0,-Assumptions!$B$22*(F391/INDEX(Surface_Engine!$B$12:$B$72,$A391+1))),0)))^2+(MAX(0,J391/INDEX(Surface_Engine!$B$12:$B$72,$A391+1)-(F391/INDEX(Surface_Engine!$B$12:$B$72,$A391+1))))^2+2*Assumptions!$B$26*(IF(C391&lt;=0,0,MAX(0,(B391/C391)*G391/INDEX(Surface_Engine!$B$12:$B$72,$A391+1)-F391/INDEX(Surface_Engine!$B$12:$B$72,$A391+1))))*(MAX(IF(D391&lt;=0,0,MAX(0,(B391/D391)*H391/INDEX(Surface_Engine!$B$12:$B$72,$A391+1)-F391/INDEX(Surface_Engine!$B$12:$B$72,$A391+1))),IF(E391&lt;=0,0,MAX(0,(B391/E391)*I391/INDEX(Surface_Engine!$B$12:$B$72,$A391+1)-F391/INDEX(Surface_Engine!$B$12:$B$72,$A391+1))),IF($A391&lt;$Q$384,MAX(0,-Assumptions!$B$22*(F391/INDEX(Surface_Engine!$B$12:$B$72,$A391+1))),0)))+2*Assumptions!$B$27*(IF(C391&lt;=0,0,MAX(0,(B391/C391)*G391/INDEX(Surface_Engine!$B$12:$B$72,$A391+1)-F391/INDEX(Surface_Engine!$B$12:$B$72,$A391+1))))*(MAX(0,J391/INDEX(Surface_Engine!$B$12:$B$72,$A391+1)-(F391/INDEX(Surface_Engine!$B$12:$B$72,$A391+1))))+2*Assumptions!$B$28*(MAX(IF(D391&lt;=0,0,MAX(0,(B391/D391)*H391/INDEX(Surface_Engine!$B$12:$B$72,$A391+1)-F391/INDEX(Surface_Engine!$B$12:$B$72,$A391+1))),IF(E391&lt;=0,0,MAX(0,(B391/E391)*I391/INDEX(Surface_Engine!$B$12:$B$72,$A391+1)-F391/INDEX(Surface_Engine!$B$12:$B$72,$A391+1))),IF($A391&lt;$Q$384,MAX(0,-Assumptions!$B$22*(F391/INDEX(Surface_Engine!$B$12:$B$72,$A391+1))),0)))*(MAX(0,J391/INDEX(Surface_Engine!$B$12:$B$72,$A391+1)-(F391/INDEX(Surface_Engine!$B$12:$B$72,$A391+1)))))</f>
        <v>7330.4952354596</v>
      </c>
      <c r="L391" s="48" t="n">
        <f aca="false">K391*INDEX(Surface_Engine!$B$12:$B$72,$A391+1)+L392</f>
        <v>124965.311112043</v>
      </c>
      <c r="M391" s="48" t="n">
        <f aca="false">M390+B390*(IF($A390&lt;$Q$384,(Surface_Engine!L239*12)-(Surface_Engine!L239*12)*INDEX(Surface_Engine!$F$12:$F$72,$A390+1)-INDEX(Surface_Engine!$D$12:$D$72,$A390+1),-(1000*12*INDEX(Surface_Engine!$C$12:$C$72,$A390+1)/(1+Assumptions!$B$10)^22+INDEX(Surface_Engine!$D$12:$D$72,$A390+1))))*INDEX(Surface_Engine!$B$12:$B$72,$A390+1)</f>
        <v>8514.52090513499</v>
      </c>
      <c r="N391" s="12" t="n">
        <f aca="false">IF(B391&lt;=0,0,MAX(0,(K391+Assumptions!$B$29*L391/INDEX(Surface_Engine!$B$12:$B$72,$A391+1)-(M391/INDEX(Surface_Engine!$B$12:$B$72,$A391+1)-(F391/INDEX(Surface_Engine!$B$12:$B$72,$A391+1))))/B391))</f>
        <v>16657.3029833495</v>
      </c>
    </row>
    <row r="392" customFormat="false" ht="15" hidden="false" customHeight="true" outlineLevel="0" collapsed="false">
      <c r="A392" s="1" t="n">
        <v>6</v>
      </c>
      <c r="B392" s="32" t="n">
        <f aca="false">INDEX(Surface_Engine!$J$12:$J$72,$A392+1)*IF($A392&lt;$Q$384,INDEX(Surface_Engine!$E$12:$E$72,$A392+1),INDEX(Surface_Engine!$E$12:$E$72,$Q$384+1))</f>
        <v>0.866009413503451</v>
      </c>
      <c r="C392" s="32" t="n">
        <f aca="false">INDEX(Panel_Reserving!$C$8:$C$68,$A392+1)*IF($A392&lt;$Q$384,INDEX(Surface_Engine!$E$12:$E$72,$A392+1),INDEX(Surface_Engine!$E$12:$E$72,$Q$384+1))</f>
        <v>0.871435559765987</v>
      </c>
      <c r="D392" s="32" t="n">
        <f aca="false">INDEX(Surface_Engine!$J$12:$J$72,$A392+1)*IF($A392&lt;$Q$384,INDEX(Surface_Engine!$Y$12:$Y$72,$A392+1),INDEX(Surface_Engine!$Y$12:$Y$72,$Q$384+1))</f>
        <v>0.817676939175658</v>
      </c>
      <c r="E392" s="32" t="n">
        <f aca="false">INDEX(Surface_Engine!$J$12:$J$72,$A392+1)*IF($A392&lt;$Q$384,INDEX(Surface_Engine!$Z$12:$Z$72,$A392+1),INDEX(Surface_Engine!$Z$12:$Z$72,$Q$384+1))</f>
        <v>0.91653116045476</v>
      </c>
      <c r="F392" s="48" t="n">
        <f aca="false">B392*(IF($A392&lt;$Q$384,INDEX(Surface_Engine!$D$12:$D$72,$A392+1)+(Surface_Engine!L239*12)*INDEX(Surface_Engine!$F$12:$F$72,$A392+1)-(Surface_Engine!L239*12),1000*12*INDEX(Surface_Engine!$C$12:$C$72,$A392+1)/(1+Assumptions!$B$10)^22+INDEX(Surface_Engine!$D$12:$D$72,$A392+1)))*INDEX(Surface_Engine!$B$12:$B$72,$A392+1)+F393</f>
        <v>9342.37299822926</v>
      </c>
      <c r="G392" s="48" t="n">
        <f aca="false">C392*(IF($A392&lt;$Q$384,INDEX(Surface_Engine!$D$12:$D$72,$A392+1)+(Surface_Engine!L239*12)*INDEX(Surface_Engine!$F$12:$F$72,$A392+1)-(Surface_Engine!L239*12),1000*12*INDEX(Surface_Engine!$C$12:$C$72,$A392+1)/(1+Assumptions!$B$10)^22+INDEX(Surface_Engine!$D$12:$D$72,$A392+1)))*INDEX(Surface_Engine!$B$12:$B$72,$A392+1)+G393</f>
        <v>15158.5774941683</v>
      </c>
      <c r="H392" s="48" t="n">
        <f aca="false">D392*(IF($A392&lt;$Q$384,INDEX(Surface_Engine!$D$12:$D$72,$A392+1)+(Surface_Engine!L239*12)*INDEX(Surface_Engine!$F$12:$F$72,$A392+1)-(Surface_Engine!L239*12),1000*12*INDEX(Surface_Engine!$C$12:$C$72,$A392+1)/(1+Assumptions!$B$10)^22+INDEX(Surface_Engine!$D$12:$D$72,$A392+1)))*INDEX(Surface_Engine!$B$12:$B$72,$A392+1)+H393</f>
        <v>7391.65977409718</v>
      </c>
      <c r="I392" s="48" t="n">
        <f aca="false">E392*(IF($A392&lt;$Q$384,INDEX(Surface_Engine!$D$12:$D$72,$A392+1)+(Surface_Engine!L239*12)*INDEX(Surface_Engine!$F$12:$F$72,$A392+1)-(Surface_Engine!L239*12),1000*12*INDEX(Surface_Engine!$C$12:$C$72,$A392+1)/(1+Assumptions!$B$10)^22+INDEX(Surface_Engine!$D$12:$D$72,$A392+1)))*INDEX(Surface_Engine!$B$12:$B$72,$A392+1)+I393</f>
        <v>11622.4831561857</v>
      </c>
      <c r="J392" s="48" t="n">
        <f aca="false">B392*(IF($A392&lt;$Q$384,INDEX(Surface_Engine!$D$12:$D$72,$A392+1)*(1+Assumptions!$B$24)+(Surface_Engine!L239*12)*INDEX(Surface_Engine!$F$12:$F$72,$A392+1)-(Surface_Engine!L239*12),1000*12*INDEX(Surface_Engine!$C$12:$C$72,$A392+1)/(1+Assumptions!$B$10)^22+INDEX(Surface_Engine!$D$12:$D$72,$A392+1)*(1+Assumptions!$B$24)))*INDEX(Surface_Engine!$B$12:$B$72,$A392+1)+J393</f>
        <v>9467.40370741688</v>
      </c>
      <c r="K392" s="12" t="n">
        <f aca="false">SQRT((IF(C392&lt;=0,0,MAX(0,(B392/C392)*G392/INDEX(Surface_Engine!$B$12:$B$72,$A392+1)-F392/INDEX(Surface_Engine!$B$12:$B$72,$A392+1))))^2+(MAX(IF(D392&lt;=0,0,MAX(0,(B392/D392)*H392/INDEX(Surface_Engine!$B$12:$B$72,$A392+1)-F392/INDEX(Surface_Engine!$B$12:$B$72,$A392+1))),IF(E392&lt;=0,0,MAX(0,(B392/E392)*I392/INDEX(Surface_Engine!$B$12:$B$72,$A392+1)-F392/INDEX(Surface_Engine!$B$12:$B$72,$A392+1))),IF($A392&lt;$Q$384,MAX(0,-Assumptions!$B$22*(F392/INDEX(Surface_Engine!$B$12:$B$72,$A392+1))),0)))^2+(MAX(0,J392/INDEX(Surface_Engine!$B$12:$B$72,$A392+1)-(F392/INDEX(Surface_Engine!$B$12:$B$72,$A392+1))))^2+2*Assumptions!$B$26*(IF(C392&lt;=0,0,MAX(0,(B392/C392)*G392/INDEX(Surface_Engine!$B$12:$B$72,$A392+1)-F392/INDEX(Surface_Engine!$B$12:$B$72,$A392+1))))*(MAX(IF(D392&lt;=0,0,MAX(0,(B392/D392)*H392/INDEX(Surface_Engine!$B$12:$B$72,$A392+1)-F392/INDEX(Surface_Engine!$B$12:$B$72,$A392+1))),IF(E392&lt;=0,0,MAX(0,(B392/E392)*I392/INDEX(Surface_Engine!$B$12:$B$72,$A392+1)-F392/INDEX(Surface_Engine!$B$12:$B$72,$A392+1))),IF($A392&lt;$Q$384,MAX(0,-Assumptions!$B$22*(F392/INDEX(Surface_Engine!$B$12:$B$72,$A392+1))),0)))+2*Assumptions!$B$27*(IF(C392&lt;=0,0,MAX(0,(B392/C392)*G392/INDEX(Surface_Engine!$B$12:$B$72,$A392+1)-F392/INDEX(Surface_Engine!$B$12:$B$72,$A392+1))))*(MAX(0,J392/INDEX(Surface_Engine!$B$12:$B$72,$A392+1)-(F392/INDEX(Surface_Engine!$B$12:$B$72,$A392+1))))+2*Assumptions!$B$28*(MAX(IF(D392&lt;=0,0,MAX(0,(B392/D392)*H392/INDEX(Surface_Engine!$B$12:$B$72,$A392+1)-F392/INDEX(Surface_Engine!$B$12:$B$72,$A392+1))),IF(E392&lt;=0,0,MAX(0,(B392/E392)*I392/INDEX(Surface_Engine!$B$12:$B$72,$A392+1)-F392/INDEX(Surface_Engine!$B$12:$B$72,$A392+1))),IF($A392&lt;$Q$384,MAX(0,-Assumptions!$B$22*(F392/INDEX(Surface_Engine!$B$12:$B$72,$A392+1))),0)))*(MAX(0,J392/INDEX(Surface_Engine!$B$12:$B$72,$A392+1)-(F392/INDEX(Surface_Engine!$B$12:$B$72,$A392+1)))))</f>
        <v>7487.70283168229</v>
      </c>
      <c r="L392" s="48" t="n">
        <f aca="false">K392*INDEX(Surface_Engine!$B$12:$B$72,$A392+1)+L393</f>
        <v>118539.371265021</v>
      </c>
      <c r="M392" s="48" t="n">
        <f aca="false">M391+B391*(IF($A391&lt;$Q$384,(Surface_Engine!L239*12)-(Surface_Engine!L239*12)*INDEX(Surface_Engine!$F$12:$F$72,$A391+1)-INDEX(Surface_Engine!$D$12:$D$72,$A391+1),-(1000*12*INDEX(Surface_Engine!$C$12:$C$72,$A391+1)/(1+Assumptions!$B$10)^22+INDEX(Surface_Engine!$D$12:$D$72,$A391+1))))*INDEX(Surface_Engine!$B$12:$B$72,$A391+1)</f>
        <v>10421.1511236396</v>
      </c>
      <c r="N392" s="12" t="n">
        <f aca="false">IF(B392&lt;=0,0,MAX(0,(K392+Assumptions!$B$29*L392/INDEX(Surface_Engine!$B$12:$B$72,$A392+1)-(M392/INDEX(Surface_Engine!$B$12:$B$72,$A392+1)-(F392/INDEX(Surface_Engine!$B$12:$B$72,$A392+1))))/B392))</f>
        <v>16823.8478506499</v>
      </c>
    </row>
    <row r="393" customFormat="false" ht="15" hidden="false" customHeight="true" outlineLevel="0" collapsed="false">
      <c r="A393" s="1" t="n">
        <v>7</v>
      </c>
      <c r="B393" s="32" t="n">
        <f aca="false">INDEX(Surface_Engine!$J$12:$J$72,$A393+1)*IF($A393&lt;$Q$384,INDEX(Surface_Engine!$E$12:$E$72,$A393+1),INDEX(Surface_Engine!$E$12:$E$72,$Q$384+1))</f>
        <v>0.851970227585295</v>
      </c>
      <c r="C393" s="32" t="n">
        <f aca="false">INDEX(Panel_Reserving!$C$8:$C$68,$A393+1)*IF($A393&lt;$Q$384,INDEX(Surface_Engine!$E$12:$E$72,$A393+1),INDEX(Surface_Engine!$E$12:$E$72,$Q$384+1))</f>
        <v>0.858547826166602</v>
      </c>
      <c r="D393" s="32" t="n">
        <f aca="false">INDEX(Surface_Engine!$J$12:$J$72,$A393+1)*IF($A393&lt;$Q$384,INDEX(Surface_Engine!$Y$12:$Y$72,$A393+1),INDEX(Surface_Engine!$Y$12:$Y$72,$Q$384+1))</f>
        <v>0.800727558348016</v>
      </c>
      <c r="E393" s="32" t="n">
        <f aca="false">INDEX(Surface_Engine!$J$12:$J$72,$A393+1)*IF($A393&lt;$Q$384,INDEX(Surface_Engine!$Z$12:$Z$72,$A393+1),INDEX(Surface_Engine!$Z$12:$Z$72,$Q$384+1))</f>
        <v>0.905813237110126</v>
      </c>
      <c r="F393" s="48" t="n">
        <f aca="false">B393*(IF($A393&lt;$Q$384,INDEX(Surface_Engine!$D$12:$D$72,$A393+1)+(Surface_Engine!L239*12)*INDEX(Surface_Engine!$F$12:$F$72,$A393+1)-(Surface_Engine!L239*12),1000*12*INDEX(Surface_Engine!$C$12:$C$72,$A393+1)/(1+Assumptions!$B$10)^22+INDEX(Surface_Engine!$D$12:$D$72,$A393+1)))*INDEX(Surface_Engine!$B$12:$B$72,$A393+1)+F394</f>
        <v>11164.9020400756</v>
      </c>
      <c r="G393" s="48" t="n">
        <f aca="false">C393*(IF($A393&lt;$Q$384,INDEX(Surface_Engine!$D$12:$D$72,$A393+1)+(Surface_Engine!L239*12)*INDEX(Surface_Engine!$F$12:$F$72,$A393+1)-(Surface_Engine!L239*12),1000*12*INDEX(Surface_Engine!$C$12:$C$72,$A393+1)/(1+Assumptions!$B$10)^22+INDEX(Surface_Engine!$D$12:$D$72,$A393+1)))*INDEX(Surface_Engine!$B$12:$B$72,$A393+1)+G394</f>
        <v>16992.5259374605</v>
      </c>
      <c r="H393" s="48" t="n">
        <f aca="false">D393*(IF($A393&lt;$Q$384,INDEX(Surface_Engine!$D$12:$D$72,$A393+1)+(Surface_Engine!L239*12)*INDEX(Surface_Engine!$F$12:$F$72,$A393+1)-(Surface_Engine!L239*12),1000*12*INDEX(Surface_Engine!$C$12:$C$72,$A393+1)/(1+Assumptions!$B$10)^22+INDEX(Surface_Engine!$D$12:$D$72,$A393+1)))*INDEX(Surface_Engine!$B$12:$B$72,$A393+1)+H394</f>
        <v>9112.47244109449</v>
      </c>
      <c r="I393" s="48" t="n">
        <f aca="false">E393*(IF($A393&lt;$Q$384,INDEX(Surface_Engine!$D$12:$D$72,$A393+1)+(Surface_Engine!L239*12)*INDEX(Surface_Engine!$F$12:$F$72,$A393+1)-(Surface_Engine!L239*12),1000*12*INDEX(Surface_Engine!$C$12:$C$72,$A393+1)/(1+Assumptions!$B$10)^22+INDEX(Surface_Engine!$D$12:$D$72,$A393+1)))*INDEX(Surface_Engine!$B$12:$B$72,$A393+1)+I394</f>
        <v>13551.3359280375</v>
      </c>
      <c r="J393" s="48" t="n">
        <f aca="false">B393*(IF($A393&lt;$Q$384,INDEX(Surface_Engine!$D$12:$D$72,$A393+1)*(1+Assumptions!$B$24)+(Surface_Engine!L239*12)*INDEX(Surface_Engine!$F$12:$F$72,$A393+1)-(Surface_Engine!L239*12),1000*12*INDEX(Surface_Engine!$C$12:$C$72,$A393+1)/(1+Assumptions!$B$10)^22+INDEX(Surface_Engine!$D$12:$D$72,$A393+1)*(1+Assumptions!$B$24)))*INDEX(Surface_Engine!$B$12:$B$72,$A393+1)+J394</f>
        <v>11282.9165039558</v>
      </c>
      <c r="K393" s="12" t="n">
        <f aca="false">SQRT((IF(C393&lt;=0,0,MAX(0,(B393/C393)*G393/INDEX(Surface_Engine!$B$12:$B$72,$A393+1)-F393/INDEX(Surface_Engine!$B$12:$B$72,$A393+1))))^2+(MAX(IF(D393&lt;=0,0,MAX(0,(B393/D393)*H393/INDEX(Surface_Engine!$B$12:$B$72,$A393+1)-F393/INDEX(Surface_Engine!$B$12:$B$72,$A393+1))),IF(E393&lt;=0,0,MAX(0,(B393/E393)*I393/INDEX(Surface_Engine!$B$12:$B$72,$A393+1)-F393/INDEX(Surface_Engine!$B$12:$B$72,$A393+1))),IF($A393&lt;$Q$384,MAX(0,-Assumptions!$B$22*(F393/INDEX(Surface_Engine!$B$12:$B$72,$A393+1))),0)))^2+(MAX(0,J393/INDEX(Surface_Engine!$B$12:$B$72,$A393+1)-(F393/INDEX(Surface_Engine!$B$12:$B$72,$A393+1))))^2+2*Assumptions!$B$26*(IF(C393&lt;=0,0,MAX(0,(B393/C393)*G393/INDEX(Surface_Engine!$B$12:$B$72,$A393+1)-F393/INDEX(Surface_Engine!$B$12:$B$72,$A393+1))))*(MAX(IF(D393&lt;=0,0,MAX(0,(B393/D393)*H393/INDEX(Surface_Engine!$B$12:$B$72,$A393+1)-F393/INDEX(Surface_Engine!$B$12:$B$72,$A393+1))),IF(E393&lt;=0,0,MAX(0,(B393/E393)*I393/INDEX(Surface_Engine!$B$12:$B$72,$A393+1)-F393/INDEX(Surface_Engine!$B$12:$B$72,$A393+1))),IF($A393&lt;$Q$384,MAX(0,-Assumptions!$B$22*(F393/INDEX(Surface_Engine!$B$12:$B$72,$A393+1))),0)))+2*Assumptions!$B$27*(IF(C393&lt;=0,0,MAX(0,(B393/C393)*G393/INDEX(Surface_Engine!$B$12:$B$72,$A393+1)-F393/INDEX(Surface_Engine!$B$12:$B$72,$A393+1))))*(MAX(0,J393/INDEX(Surface_Engine!$B$12:$B$72,$A393+1)-(F393/INDEX(Surface_Engine!$B$12:$B$72,$A393+1))))+2*Assumptions!$B$28*(MAX(IF(D393&lt;=0,0,MAX(0,(B393/D393)*H393/INDEX(Surface_Engine!$B$12:$B$72,$A393+1)-F393/INDEX(Surface_Engine!$B$12:$B$72,$A393+1))),IF(E393&lt;=0,0,MAX(0,(B393/E393)*I393/INDEX(Surface_Engine!$B$12:$B$72,$A393+1)-F393/INDEX(Surface_Engine!$B$12:$B$72,$A393+1))),IF($A393&lt;$Q$384,MAX(0,-Assumptions!$B$22*(F393/INDEX(Surface_Engine!$B$12:$B$72,$A393+1))),0)))*(MAX(0,J393/INDEX(Surface_Engine!$B$12:$B$72,$A393+1)-(F393/INDEX(Surface_Engine!$B$12:$B$72,$A393+1)))))</f>
        <v>7647.24535006354</v>
      </c>
      <c r="L393" s="48" t="n">
        <f aca="false">K393*INDEX(Surface_Engine!$B$12:$B$72,$A393+1)+L394</f>
        <v>112160.061262276</v>
      </c>
      <c r="M393" s="48" t="n">
        <f aca="false">M392+B392*(IF($A392&lt;$Q$384,(Surface_Engine!L239*12)-(Surface_Engine!L239*12)*INDEX(Surface_Engine!$F$12:$F$72,$A392+1)-INDEX(Surface_Engine!$D$12:$D$72,$A392+1),-(1000*12*INDEX(Surface_Engine!$C$12:$C$72,$A392+1)/(1+Assumptions!$B$10)^22+INDEX(Surface_Engine!$D$12:$D$72,$A392+1))))*INDEX(Surface_Engine!$B$12:$B$72,$A392+1)</f>
        <v>12243.6801654859</v>
      </c>
      <c r="N393" s="12" t="n">
        <f aca="false">IF(B393&lt;=0,0,MAX(0,(K393+Assumptions!$B$29*L393/INDEX(Surface_Engine!$B$12:$B$72,$A393+1)-(M393/INDEX(Surface_Engine!$B$12:$B$72,$A393+1)-(F393/INDEX(Surface_Engine!$B$12:$B$72,$A393+1))))/B393))</f>
        <v>16995.6938661377</v>
      </c>
    </row>
    <row r="394" customFormat="false" ht="15" hidden="false" customHeight="true" outlineLevel="0" collapsed="false">
      <c r="A394" s="1" t="n">
        <v>8</v>
      </c>
      <c r="B394" s="32" t="n">
        <f aca="false">INDEX(Surface_Engine!$J$12:$J$72,$A394+1)*IF($A394&lt;$Q$384,INDEX(Surface_Engine!$E$12:$E$72,$A394+1),INDEX(Surface_Engine!$E$12:$E$72,$Q$384+1))</f>
        <v>0.837274546391867</v>
      </c>
      <c r="C394" s="32" t="n">
        <f aca="false">INDEX(Panel_Reserving!$C$8:$C$68,$A394+1)*IF($A394&lt;$Q$384,INDEX(Surface_Engine!$E$12:$E$72,$A394+1),INDEX(Surface_Engine!$E$12:$E$72,$Q$384+1))</f>
        <v>0.845137958281224</v>
      </c>
      <c r="D394" s="32" t="n">
        <f aca="false">INDEX(Surface_Engine!$J$12:$J$72,$A394+1)*IF($A394&lt;$Q$384,INDEX(Surface_Engine!$Y$12:$Y$72,$A394+1),INDEX(Surface_Engine!$Y$12:$Y$72,$Q$384+1))</f>
        <v>0.783302416569062</v>
      </c>
      <c r="E394" s="32" t="n">
        <f aca="false">INDEX(Surface_Engine!$J$12:$J$72,$A394+1)*IF($A394&lt;$Q$384,INDEX(Surface_Engine!$Z$12:$Z$72,$A394+1),INDEX(Surface_Engine!$Z$12:$Z$72,$Q$384+1))</f>
        <v>0.894276370757796</v>
      </c>
      <c r="F394" s="48" t="n">
        <f aca="false">B394*(IF($A394&lt;$Q$384,INDEX(Surface_Engine!$D$12:$D$72,$A394+1)+(Surface_Engine!L239*12)*INDEX(Surface_Engine!$F$12:$F$72,$A394+1)-(Surface_Engine!L239*12),1000*12*INDEX(Surface_Engine!$C$12:$C$72,$A394+1)/(1+Assumptions!$B$10)^22+INDEX(Surface_Engine!$D$12:$D$72,$A394+1)))*INDEX(Surface_Engine!$B$12:$B$72,$A394+1)+F395</f>
        <v>12903.7442004494</v>
      </c>
      <c r="G394" s="48" t="n">
        <f aca="false">C394*(IF($A394&lt;$Q$384,INDEX(Surface_Engine!$D$12:$D$72,$A394+1)+(Surface_Engine!L239*12)*INDEX(Surface_Engine!$F$12:$F$72,$A394+1)-(Surface_Engine!L239*12),1000*12*INDEX(Surface_Engine!$C$12:$C$72,$A394+1)/(1+Assumptions!$B$10)^22+INDEX(Surface_Engine!$D$12:$D$72,$A394+1)))*INDEX(Surface_Engine!$B$12:$B$72,$A394+1)+G395</f>
        <v>18744.7927520733</v>
      </c>
      <c r="H394" s="48" t="n">
        <f aca="false">D394*(IF($A394&lt;$Q$384,INDEX(Surface_Engine!$D$12:$D$72,$A394+1)+(Surface_Engine!L239*12)*INDEX(Surface_Engine!$F$12:$F$72,$A394+1)-(Surface_Engine!L239*12),1000*12*INDEX(Surface_Engine!$C$12:$C$72,$A394+1)/(1+Assumptions!$B$10)^22+INDEX(Surface_Engine!$D$12:$D$72,$A394+1)))*INDEX(Surface_Engine!$B$12:$B$72,$A394+1)+H395</f>
        <v>10746.7300622499</v>
      </c>
      <c r="I394" s="48" t="n">
        <f aca="false">E394*(IF($A394&lt;$Q$384,INDEX(Surface_Engine!$D$12:$D$72,$A394+1)+(Surface_Engine!L239*12)*INDEX(Surface_Engine!$F$12:$F$72,$A394+1)-(Surface_Engine!L239*12),1000*12*INDEX(Surface_Engine!$C$12:$C$72,$A394+1)/(1+Assumptions!$B$10)^22+INDEX(Surface_Engine!$D$12:$D$72,$A394+1)))*INDEX(Surface_Engine!$B$12:$B$72,$A394+1)+I395</f>
        <v>15400.0698334182</v>
      </c>
      <c r="J394" s="48" t="n">
        <f aca="false">B394*(IF($A394&lt;$Q$384,INDEX(Surface_Engine!$D$12:$D$72,$A394+1)*(1+Assumptions!$B$24)+(Surface_Engine!L239*12)*INDEX(Surface_Engine!$F$12:$F$72,$A394+1)-(Surface_Engine!L239*12),1000*12*INDEX(Surface_Engine!$C$12:$C$72,$A394+1)/(1+Assumptions!$B$10)^22+INDEX(Surface_Engine!$D$12:$D$72,$A394+1)*(1+Assumptions!$B$24)))*INDEX(Surface_Engine!$B$12:$B$72,$A394+1)+J395</f>
        <v>13014.8906290917</v>
      </c>
      <c r="K394" s="12" t="n">
        <f aca="false">SQRT((IF(C394&lt;=0,0,MAX(0,(B394/C394)*G394/INDEX(Surface_Engine!$B$12:$B$72,$A394+1)-F394/INDEX(Surface_Engine!$B$12:$B$72,$A394+1))))^2+(MAX(IF(D394&lt;=0,0,MAX(0,(B394/D394)*H394/INDEX(Surface_Engine!$B$12:$B$72,$A394+1)-F394/INDEX(Surface_Engine!$B$12:$B$72,$A394+1))),IF(E394&lt;=0,0,MAX(0,(B394/E394)*I394/INDEX(Surface_Engine!$B$12:$B$72,$A394+1)-F394/INDEX(Surface_Engine!$B$12:$B$72,$A394+1))),IF($A394&lt;$Q$384,MAX(0,-Assumptions!$B$22*(F394/INDEX(Surface_Engine!$B$12:$B$72,$A394+1))),0)))^2+(MAX(0,J394/INDEX(Surface_Engine!$B$12:$B$72,$A394+1)-(F394/INDEX(Surface_Engine!$B$12:$B$72,$A394+1))))^2+2*Assumptions!$B$26*(IF(C394&lt;=0,0,MAX(0,(B394/C394)*G394/INDEX(Surface_Engine!$B$12:$B$72,$A394+1)-F394/INDEX(Surface_Engine!$B$12:$B$72,$A394+1))))*(MAX(IF(D394&lt;=0,0,MAX(0,(B394/D394)*H394/INDEX(Surface_Engine!$B$12:$B$72,$A394+1)-F394/INDEX(Surface_Engine!$B$12:$B$72,$A394+1))),IF(E394&lt;=0,0,MAX(0,(B394/E394)*I394/INDEX(Surface_Engine!$B$12:$B$72,$A394+1)-F394/INDEX(Surface_Engine!$B$12:$B$72,$A394+1))),IF($A394&lt;$Q$384,MAX(0,-Assumptions!$B$22*(F394/INDEX(Surface_Engine!$B$12:$B$72,$A394+1))),0)))+2*Assumptions!$B$27*(IF(C394&lt;=0,0,MAX(0,(B394/C394)*G394/INDEX(Surface_Engine!$B$12:$B$72,$A394+1)-F394/INDEX(Surface_Engine!$B$12:$B$72,$A394+1))))*(MAX(0,J394/INDEX(Surface_Engine!$B$12:$B$72,$A394+1)-(F394/INDEX(Surface_Engine!$B$12:$B$72,$A394+1))))+2*Assumptions!$B$28*(MAX(IF(D394&lt;=0,0,MAX(0,(B394/D394)*H394/INDEX(Surface_Engine!$B$12:$B$72,$A394+1)-F394/INDEX(Surface_Engine!$B$12:$B$72,$A394+1))),IF(E394&lt;=0,0,MAX(0,(B394/E394)*I394/INDEX(Surface_Engine!$B$12:$B$72,$A394+1)-F394/INDEX(Surface_Engine!$B$12:$B$72,$A394+1))),IF($A394&lt;$Q$384,MAX(0,-Assumptions!$B$22*(F394/INDEX(Surface_Engine!$B$12:$B$72,$A394+1))),0)))*(MAX(0,J394/INDEX(Surface_Engine!$B$12:$B$72,$A394+1)-(F394/INDEX(Surface_Engine!$B$12:$B$72,$A394+1)))))</f>
        <v>7806.90111545437</v>
      </c>
      <c r="L394" s="48" t="n">
        <f aca="false">K394*INDEX(Surface_Engine!$B$12:$B$72,$A394+1)+L395</f>
        <v>105835.473691314</v>
      </c>
      <c r="M394" s="48" t="n">
        <f aca="false">M393+B393*(IF($A393&lt;$Q$384,(Surface_Engine!L239*12)-(Surface_Engine!L239*12)*INDEX(Surface_Engine!$F$12:$F$72,$A393+1)-INDEX(Surface_Engine!$D$12:$D$72,$A393+1),-(1000*12*INDEX(Surface_Engine!$C$12:$C$72,$A393+1)/(1+Assumptions!$B$10)^22+INDEX(Surface_Engine!$D$12:$D$72,$A393+1))))*INDEX(Surface_Engine!$B$12:$B$72,$A393+1)</f>
        <v>13982.5223258598</v>
      </c>
      <c r="N394" s="12" t="n">
        <f aca="false">IF(B394&lt;=0,0,MAX(0,(K394+Assumptions!$B$29*L394/INDEX(Surface_Engine!$B$12:$B$72,$A394+1)-(M394/INDEX(Surface_Engine!$B$12:$B$72,$A394+1)-(F394/INDEX(Surface_Engine!$B$12:$B$72,$A394+1))))/B394))</f>
        <v>17175.2975223259</v>
      </c>
    </row>
    <row r="395" customFormat="false" ht="15" hidden="false" customHeight="true" outlineLevel="0" collapsed="false">
      <c r="A395" s="1" t="n">
        <v>9</v>
      </c>
      <c r="B395" s="32" t="n">
        <f aca="false">INDEX(Surface_Engine!$J$12:$J$72,$A395+1)*IF($A395&lt;$Q$384,INDEX(Surface_Engine!$E$12:$E$72,$A395+1),INDEX(Surface_Engine!$E$12:$E$72,$Q$384+1))</f>
        <v>0.822096230560809</v>
      </c>
      <c r="C395" s="32" t="n">
        <f aca="false">INDEX(Panel_Reserving!$C$8:$C$68,$A395+1)*IF($A395&lt;$Q$384,INDEX(Surface_Engine!$E$12:$E$72,$A395+1),INDEX(Surface_Engine!$E$12:$E$72,$Q$384+1))</f>
        <v>0.831343114663609</v>
      </c>
      <c r="D395" s="32" t="n">
        <f aca="false">INDEX(Surface_Engine!$J$12:$J$72,$A395+1)*IF($A395&lt;$Q$384,INDEX(Surface_Engine!$Y$12:$Y$72,$A395+1),INDEX(Surface_Engine!$Y$12:$Y$72,$Q$384+1))</f>
        <v>0.765570966977272</v>
      </c>
      <c r="E395" s="32" t="n">
        <f aca="false">INDEX(Surface_Engine!$J$12:$J$72,$A395+1)*IF($A395&lt;$Q$384,INDEX(Surface_Engine!$Z$12:$Z$72,$A395+1),INDEX(Surface_Engine!$Z$12:$Z$72,$Q$384+1))</f>
        <v>0.882096596633852</v>
      </c>
      <c r="F395" s="48" t="n">
        <f aca="false">B395*(IF($A395&lt;$Q$384,INDEX(Surface_Engine!$D$12:$D$72,$A395+1)+(Surface_Engine!L239*12)*INDEX(Surface_Engine!$F$12:$F$72,$A395+1)-(Surface_Engine!L239*12),1000*12*INDEX(Surface_Engine!$C$12:$C$72,$A395+1)/(1+Assumptions!$B$10)^22+INDEX(Surface_Engine!$D$12:$D$72,$A395+1)))*INDEX(Surface_Engine!$B$12:$B$72,$A395+1)+F396</f>
        <v>14559.0188742765</v>
      </c>
      <c r="G395" s="48" t="n">
        <f aca="false">C395*(IF($A395&lt;$Q$384,INDEX(Surface_Engine!$D$12:$D$72,$A395+1)+(Surface_Engine!L239*12)*INDEX(Surface_Engine!$F$12:$F$72,$A395+1)-(Surface_Engine!L239*12),1000*12*INDEX(Surface_Engine!$C$12:$C$72,$A395+1)/(1+Assumptions!$B$10)^22+INDEX(Surface_Engine!$D$12:$D$72,$A395+1)))*INDEX(Surface_Engine!$B$12:$B$72,$A395+1)+G396</f>
        <v>20415.6132305667</v>
      </c>
      <c r="H395" s="48" t="n">
        <f aca="false">D395*(IF($A395&lt;$Q$384,INDEX(Surface_Engine!$D$12:$D$72,$A395+1)+(Surface_Engine!L239*12)*INDEX(Surface_Engine!$F$12:$F$72,$A395+1)-(Surface_Engine!L239*12),1000*12*INDEX(Surface_Engine!$C$12:$C$72,$A395+1)/(1+Assumptions!$B$10)^22+INDEX(Surface_Engine!$D$12:$D$72,$A395+1)))*INDEX(Surface_Engine!$B$12:$B$72,$A395+1)+H396</f>
        <v>12295.302937995</v>
      </c>
      <c r="I395" s="48" t="n">
        <f aca="false">E395*(IF($A395&lt;$Q$384,INDEX(Surface_Engine!$D$12:$D$72,$A395+1)+(Surface_Engine!L239*12)*INDEX(Surface_Engine!$F$12:$F$72,$A395+1)-(Surface_Engine!L239*12),1000*12*INDEX(Surface_Engine!$C$12:$C$72,$A395+1)/(1+Assumptions!$B$10)^22+INDEX(Surface_Engine!$D$12:$D$72,$A395+1)))*INDEX(Surface_Engine!$B$12:$B$72,$A395+1)+I396</f>
        <v>17168.0359495463</v>
      </c>
      <c r="J395" s="48" t="n">
        <f aca="false">B395*(IF($A395&lt;$Q$384,INDEX(Surface_Engine!$D$12:$D$72,$A395+1)*(1+Assumptions!$B$24)+(Surface_Engine!L239*12)*INDEX(Surface_Engine!$F$12:$F$72,$A395+1)-(Surface_Engine!L239*12),1000*12*INDEX(Surface_Engine!$C$12:$C$72,$A395+1)/(1+Assumptions!$B$10)^22+INDEX(Surface_Engine!$D$12:$D$72,$A395+1)*(1+Assumptions!$B$24)))*INDEX(Surface_Engine!$B$12:$B$72,$A395+1)+J396</f>
        <v>14663.4572675779</v>
      </c>
      <c r="K395" s="12" t="n">
        <f aca="false">SQRT((IF(C395&lt;=0,0,MAX(0,(B395/C395)*G395/INDEX(Surface_Engine!$B$12:$B$72,$A395+1)-F395/INDEX(Surface_Engine!$B$12:$B$72,$A395+1))))^2+(MAX(IF(D395&lt;=0,0,MAX(0,(B395/D395)*H395/INDEX(Surface_Engine!$B$12:$B$72,$A395+1)-F395/INDEX(Surface_Engine!$B$12:$B$72,$A395+1))),IF(E395&lt;=0,0,MAX(0,(B395/E395)*I395/INDEX(Surface_Engine!$B$12:$B$72,$A395+1)-F395/INDEX(Surface_Engine!$B$12:$B$72,$A395+1))),IF($A395&lt;$Q$384,MAX(0,-Assumptions!$B$22*(F395/INDEX(Surface_Engine!$B$12:$B$72,$A395+1))),0)))^2+(MAX(0,J395/INDEX(Surface_Engine!$B$12:$B$72,$A395+1)-(F395/INDEX(Surface_Engine!$B$12:$B$72,$A395+1))))^2+2*Assumptions!$B$26*(IF(C395&lt;=0,0,MAX(0,(B395/C395)*G395/INDEX(Surface_Engine!$B$12:$B$72,$A395+1)-F395/INDEX(Surface_Engine!$B$12:$B$72,$A395+1))))*(MAX(IF(D395&lt;=0,0,MAX(0,(B395/D395)*H395/INDEX(Surface_Engine!$B$12:$B$72,$A395+1)-F395/INDEX(Surface_Engine!$B$12:$B$72,$A395+1))),IF(E395&lt;=0,0,MAX(0,(B395/E395)*I395/INDEX(Surface_Engine!$B$12:$B$72,$A395+1)-F395/INDEX(Surface_Engine!$B$12:$B$72,$A395+1))),IF($A395&lt;$Q$384,MAX(0,-Assumptions!$B$22*(F395/INDEX(Surface_Engine!$B$12:$B$72,$A395+1))),0)))+2*Assumptions!$B$27*(IF(C395&lt;=0,0,MAX(0,(B395/C395)*G395/INDEX(Surface_Engine!$B$12:$B$72,$A395+1)-F395/INDEX(Surface_Engine!$B$12:$B$72,$A395+1))))*(MAX(0,J395/INDEX(Surface_Engine!$B$12:$B$72,$A395+1)-(F395/INDEX(Surface_Engine!$B$12:$B$72,$A395+1))))+2*Assumptions!$B$28*(MAX(IF(D395&lt;=0,0,MAX(0,(B395/D395)*H395/INDEX(Surface_Engine!$B$12:$B$72,$A395+1)-F395/INDEX(Surface_Engine!$B$12:$B$72,$A395+1))),IF(E395&lt;=0,0,MAX(0,(B395/E395)*I395/INDEX(Surface_Engine!$B$12:$B$72,$A395+1)-F395/INDEX(Surface_Engine!$B$12:$B$72,$A395+1))),IF($A395&lt;$Q$384,MAX(0,-Assumptions!$B$22*(F395/INDEX(Surface_Engine!$B$12:$B$72,$A395+1))),0)))*(MAX(0,J395/INDEX(Surface_Engine!$B$12:$B$72,$A395+1)-(F395/INDEX(Surface_Engine!$B$12:$B$72,$A395+1)))))</f>
        <v>7965.53617789906</v>
      </c>
      <c r="L395" s="48" t="n">
        <f aca="false">K395*INDEX(Surface_Engine!$B$12:$B$72,$A395+1)+L396</f>
        <v>99575.0841627099</v>
      </c>
      <c r="M395" s="48" t="n">
        <f aca="false">M394+B394*(IF($A394&lt;$Q$384,(Surface_Engine!L239*12)-(Surface_Engine!L239*12)*INDEX(Surface_Engine!$F$12:$F$72,$A394+1)-INDEX(Surface_Engine!$D$12:$D$72,$A394+1),-(1000*12*INDEX(Surface_Engine!$C$12:$C$72,$A394+1)/(1+Assumptions!$B$10)^22+INDEX(Surface_Engine!$D$12:$D$72,$A394+1))))*INDEX(Surface_Engine!$B$12:$B$72,$A394+1)</f>
        <v>15637.7969996868</v>
      </c>
      <c r="N395" s="12" t="n">
        <f aca="false">IF(B395&lt;=0,0,MAX(0,(K395+Assumptions!$B$29*L395/INDEX(Surface_Engine!$B$12:$B$72,$A395+1)-(M395/INDEX(Surface_Engine!$B$12:$B$72,$A395+1)-(F395/INDEX(Surface_Engine!$B$12:$B$72,$A395+1))))/B395))</f>
        <v>17356.1880873392</v>
      </c>
    </row>
    <row r="396" customFormat="false" ht="15" hidden="false" customHeight="true" outlineLevel="0" collapsed="false">
      <c r="A396" s="1" t="n">
        <v>10</v>
      </c>
      <c r="B396" s="32" t="n">
        <f aca="false">INDEX(Surface_Engine!$J$12:$J$72,$A396+1)*IF($A396&lt;$Q$384,INDEX(Surface_Engine!$E$12:$E$72,$A396+1),INDEX(Surface_Engine!$E$12:$E$72,$Q$384+1))</f>
        <v>0.806378655194533</v>
      </c>
      <c r="C396" s="32" t="n">
        <f aca="false">INDEX(Panel_Reserving!$C$8:$C$68,$A396+1)*IF($A396&lt;$Q$384,INDEX(Surface_Engine!$E$12:$E$72,$A396+1),INDEX(Surface_Engine!$E$12:$E$72,$Q$384+1))</f>
        <v>0.817114577702228</v>
      </c>
      <c r="D396" s="32" t="n">
        <f aca="false">INDEX(Surface_Engine!$J$12:$J$72,$A396+1)*IF($A396&lt;$Q$384,INDEX(Surface_Engine!$Y$12:$Y$72,$A396+1),INDEX(Surface_Engine!$Y$12:$Y$72,$Q$384+1))</f>
        <v>0.747485964369052</v>
      </c>
      <c r="E396" s="32" t="n">
        <f aca="false">INDEX(Surface_Engine!$J$12:$J$72,$A396+1)*IF($A396&lt;$Q$384,INDEX(Surface_Engine!$Z$12:$Z$72,$A396+1),INDEX(Surface_Engine!$Z$12:$Z$72,$Q$384+1))</f>
        <v>0.869204839269405</v>
      </c>
      <c r="F396" s="48" t="n">
        <f aca="false">B396*(IF($A396&lt;$Q$384,INDEX(Surface_Engine!$D$12:$D$72,$A396+1)+(Surface_Engine!L239*12)*INDEX(Surface_Engine!$F$12:$F$72,$A396+1)-(Surface_Engine!L239*12),1000*12*INDEX(Surface_Engine!$C$12:$C$72,$A396+1)/(1+Assumptions!$B$10)^22+INDEX(Surface_Engine!$D$12:$D$72,$A396+1)))*INDEX(Surface_Engine!$B$12:$B$72,$A396+1)+F397</f>
        <v>16131.6877374431</v>
      </c>
      <c r="G396" s="48" t="n">
        <f aca="false">C396*(IF($A396&lt;$Q$384,INDEX(Surface_Engine!$D$12:$D$72,$A396+1)+(Surface_Engine!L239*12)*INDEX(Surface_Engine!$F$12:$F$72,$A396+1)-(Surface_Engine!L239*12),1000*12*INDEX(Surface_Engine!$C$12:$C$72,$A396+1)/(1+Assumptions!$B$10)^22+INDEX(Surface_Engine!$D$12:$D$72,$A396+1)))*INDEX(Surface_Engine!$B$12:$B$72,$A396+1)+G397</f>
        <v>22005.9713692332</v>
      </c>
      <c r="H396" s="48" t="n">
        <f aca="false">D396*(IF($A396&lt;$Q$384,INDEX(Surface_Engine!$D$12:$D$72,$A396+1)+(Surface_Engine!L239*12)*INDEX(Surface_Engine!$F$12:$F$72,$A396+1)-(Surface_Engine!L239*12),1000*12*INDEX(Surface_Engine!$C$12:$C$72,$A396+1)/(1+Assumptions!$B$10)^22+INDEX(Surface_Engine!$D$12:$D$72,$A396+1)))*INDEX(Surface_Engine!$B$12:$B$72,$A396+1)+H397</f>
        <v>13759.8390562159</v>
      </c>
      <c r="I396" s="48" t="n">
        <f aca="false">E396*(IF($A396&lt;$Q$384,INDEX(Surface_Engine!$D$12:$D$72,$A396+1)+(Surface_Engine!L239*12)*INDEX(Surface_Engine!$F$12:$F$72,$A396+1)-(Surface_Engine!L239*12),1000*12*INDEX(Surface_Engine!$C$12:$C$72,$A396+1)/(1+Assumptions!$B$10)^22+INDEX(Surface_Engine!$D$12:$D$72,$A396+1)))*INDEX(Surface_Engine!$B$12:$B$72,$A396+1)+I397</f>
        <v>18855.4854235391</v>
      </c>
      <c r="J396" s="48" t="n">
        <f aca="false">B396*(IF($A396&lt;$Q$384,INDEX(Surface_Engine!$D$12:$D$72,$A396+1)*(1+Assumptions!$B$24)+(Surface_Engine!L239*12)*INDEX(Surface_Engine!$F$12:$F$72,$A396+1)-(Surface_Engine!L239*12),1000*12*INDEX(Surface_Engine!$C$12:$C$72,$A396+1)/(1+Assumptions!$B$10)^22+INDEX(Surface_Engine!$D$12:$D$72,$A396+1)*(1+Assumptions!$B$24)))*INDEX(Surface_Engine!$B$12:$B$72,$A396+1)+J397</f>
        <v>16229.5869002532</v>
      </c>
      <c r="K396" s="12" t="n">
        <f aca="false">SQRT((IF(C396&lt;=0,0,MAX(0,(B396/C396)*G396/INDEX(Surface_Engine!$B$12:$B$72,$A396+1)-F396/INDEX(Surface_Engine!$B$12:$B$72,$A396+1))))^2+(MAX(IF(D396&lt;=0,0,MAX(0,(B396/D396)*H396/INDEX(Surface_Engine!$B$12:$B$72,$A396+1)-F396/INDEX(Surface_Engine!$B$12:$B$72,$A396+1))),IF(E396&lt;=0,0,MAX(0,(B396/E396)*I396/INDEX(Surface_Engine!$B$12:$B$72,$A396+1)-F396/INDEX(Surface_Engine!$B$12:$B$72,$A396+1))),IF($A396&lt;$Q$384,MAX(0,-Assumptions!$B$22*(F396/INDEX(Surface_Engine!$B$12:$B$72,$A396+1))),0)))^2+(MAX(0,J396/INDEX(Surface_Engine!$B$12:$B$72,$A396+1)-(F396/INDEX(Surface_Engine!$B$12:$B$72,$A396+1))))^2+2*Assumptions!$B$26*(IF(C396&lt;=0,0,MAX(0,(B396/C396)*G396/INDEX(Surface_Engine!$B$12:$B$72,$A396+1)-F396/INDEX(Surface_Engine!$B$12:$B$72,$A396+1))))*(MAX(IF(D396&lt;=0,0,MAX(0,(B396/D396)*H396/INDEX(Surface_Engine!$B$12:$B$72,$A396+1)-F396/INDEX(Surface_Engine!$B$12:$B$72,$A396+1))),IF(E396&lt;=0,0,MAX(0,(B396/E396)*I396/INDEX(Surface_Engine!$B$12:$B$72,$A396+1)-F396/INDEX(Surface_Engine!$B$12:$B$72,$A396+1))),IF($A396&lt;$Q$384,MAX(0,-Assumptions!$B$22*(F396/INDEX(Surface_Engine!$B$12:$B$72,$A396+1))),0)))+2*Assumptions!$B$27*(IF(C396&lt;=0,0,MAX(0,(B396/C396)*G396/INDEX(Surface_Engine!$B$12:$B$72,$A396+1)-F396/INDEX(Surface_Engine!$B$12:$B$72,$A396+1))))*(MAX(0,J396/INDEX(Surface_Engine!$B$12:$B$72,$A396+1)-(F396/INDEX(Surface_Engine!$B$12:$B$72,$A396+1))))+2*Assumptions!$B$28*(MAX(IF(D396&lt;=0,0,MAX(0,(B396/D396)*H396/INDEX(Surface_Engine!$B$12:$B$72,$A396+1)-F396/INDEX(Surface_Engine!$B$12:$B$72,$A396+1))),IF(E396&lt;=0,0,MAX(0,(B396/E396)*I396/INDEX(Surface_Engine!$B$12:$B$72,$A396+1)-F396/INDEX(Surface_Engine!$B$12:$B$72,$A396+1))),IF($A396&lt;$Q$384,MAX(0,-Assumptions!$B$22*(F396/INDEX(Surface_Engine!$B$12:$B$72,$A396+1))),0)))*(MAX(0,J396/INDEX(Surface_Engine!$B$12:$B$72,$A396+1)-(F396/INDEX(Surface_Engine!$B$12:$B$72,$A396+1)))))</f>
        <v>8133.08260331083</v>
      </c>
      <c r="L396" s="48" t="n">
        <f aca="false">K396*INDEX(Surface_Engine!$B$12:$B$72,$A396+1)+L397</f>
        <v>93387.9381950756</v>
      </c>
      <c r="M396" s="48" t="n">
        <f aca="false">M395+B395*(IF($A395&lt;$Q$384,(Surface_Engine!L239*12)-(Surface_Engine!L239*12)*INDEX(Surface_Engine!$F$12:$F$72,$A395+1)-INDEX(Surface_Engine!$D$12:$D$72,$A395+1),-(1000*12*INDEX(Surface_Engine!$C$12:$C$72,$A395+1)/(1+Assumptions!$B$10)^22+INDEX(Surface_Engine!$D$12:$D$72,$A395+1))))*INDEX(Surface_Engine!$B$12:$B$72,$A395+1)</f>
        <v>17210.4658628535</v>
      </c>
      <c r="N396" s="12" t="n">
        <f aca="false">IF(B396&lt;=0,0,MAX(0,(K396+Assumptions!$B$29*L396/INDEX(Surface_Engine!$B$12:$B$72,$A396+1)-(M396/INDEX(Surface_Engine!$B$12:$B$72,$A396+1)-(F396/INDEX(Surface_Engine!$B$12:$B$72,$A396+1))))/B396))</f>
        <v>17561.5920411004</v>
      </c>
    </row>
    <row r="397" customFormat="false" ht="15" hidden="false" customHeight="true" outlineLevel="0" collapsed="false">
      <c r="A397" s="1" t="n">
        <v>11</v>
      </c>
      <c r="B397" s="32" t="n">
        <f aca="false">INDEX(Surface_Engine!$J$12:$J$72,$A397+1)*IF($A397&lt;$Q$384,INDEX(Surface_Engine!$E$12:$E$72,$A397+1),INDEX(Surface_Engine!$E$12:$E$72,$Q$384+1))</f>
        <v>0.790061919629191</v>
      </c>
      <c r="C397" s="32" t="n">
        <f aca="false">INDEX(Panel_Reserving!$C$8:$C$68,$A397+1)*IF($A397&lt;$Q$384,INDEX(Surface_Engine!$E$12:$E$72,$A397+1),INDEX(Surface_Engine!$E$12:$E$72,$Q$384+1))</f>
        <v>0.802400251189282</v>
      </c>
      <c r="D397" s="32" t="n">
        <f aca="false">INDEX(Surface_Engine!$J$12:$J$72,$A397+1)*IF($A397&lt;$Q$384,INDEX(Surface_Engine!$Y$12:$Y$72,$A397+1),INDEX(Surface_Engine!$Y$12:$Y$72,$Q$384+1))</f>
        <v>0.728998053859943</v>
      </c>
      <c r="E397" s="32" t="n">
        <f aca="false">INDEX(Surface_Engine!$J$12:$J$72,$A397+1)*IF($A397&lt;$Q$384,INDEX(Surface_Engine!$Z$12:$Z$72,$A397+1),INDEX(Surface_Engine!$Z$12:$Z$72,$Q$384+1))</f>
        <v>0.855527283738809</v>
      </c>
      <c r="F397" s="48" t="n">
        <f aca="false">B397*(IF($A397&lt;$Q$384,INDEX(Surface_Engine!$D$12:$D$72,$A397+1)+(Surface_Engine!L239*12)*INDEX(Surface_Engine!$F$12:$F$72,$A397+1)-(Surface_Engine!L239*12),1000*12*INDEX(Surface_Engine!$C$12:$C$72,$A397+1)/(1+Assumptions!$B$10)^22+INDEX(Surface_Engine!$D$12:$D$72,$A397+1)))*INDEX(Surface_Engine!$B$12:$B$72,$A397+1)+F398</f>
        <v>17620.735523473</v>
      </c>
      <c r="G397" s="48" t="n">
        <f aca="false">C397*(IF($A397&lt;$Q$384,INDEX(Surface_Engine!$D$12:$D$72,$A397+1)+(Surface_Engine!L239*12)*INDEX(Surface_Engine!$F$12:$F$72,$A397+1)-(Surface_Engine!L239*12),1000*12*INDEX(Surface_Engine!$C$12:$C$72,$A397+1)/(1+Assumptions!$B$10)^22+INDEX(Surface_Engine!$D$12:$D$72,$A397+1)))*INDEX(Surface_Engine!$B$12:$B$72,$A397+1)+G398</f>
        <v>23514.8439628</v>
      </c>
      <c r="H397" s="48" t="n">
        <f aca="false">D397*(IF($A397&lt;$Q$384,INDEX(Surface_Engine!$D$12:$D$72,$A397+1)+(Surface_Engine!L239*12)*INDEX(Surface_Engine!$F$12:$F$72,$A397+1)-(Surface_Engine!L239*12),1000*12*INDEX(Surface_Engine!$C$12:$C$72,$A397+1)/(1+Assumptions!$B$10)^22+INDEX(Surface_Engine!$D$12:$D$72,$A397+1)))*INDEX(Surface_Engine!$B$12:$B$72,$A397+1)+H398</f>
        <v>15140.1364055593</v>
      </c>
      <c r="I397" s="48" t="n">
        <f aca="false">E397*(IF($A397&lt;$Q$384,INDEX(Surface_Engine!$D$12:$D$72,$A397+1)+(Surface_Engine!L239*12)*INDEX(Surface_Engine!$F$12:$F$72,$A397+1)-(Surface_Engine!L239*12),1000*12*INDEX(Surface_Engine!$C$12:$C$72,$A397+1)/(1+Assumptions!$B$10)^22+INDEX(Surface_Engine!$D$12:$D$72,$A397+1)))*INDEX(Surface_Engine!$B$12:$B$72,$A397+1)+I398</f>
        <v>20460.5471810435</v>
      </c>
      <c r="J397" s="48" t="n">
        <f aca="false">B397*(IF($A397&lt;$Q$384,INDEX(Surface_Engine!$D$12:$D$72,$A397+1)*(1+Assumptions!$B$24)+(Surface_Engine!L239*12)*INDEX(Surface_Engine!$F$12:$F$72,$A397+1)-(Surface_Engine!L239*12),1000*12*INDEX(Surface_Engine!$C$12:$C$72,$A397+1)/(1+Assumptions!$B$10)^22+INDEX(Surface_Engine!$D$12:$D$72,$A397+1)*(1+Assumptions!$B$24)))*INDEX(Surface_Engine!$B$12:$B$72,$A397+1)+J398</f>
        <v>17712.2817639403</v>
      </c>
      <c r="K397" s="12" t="n">
        <f aca="false">SQRT((IF(C397&lt;=0,0,MAX(0,(B397/C397)*G397/INDEX(Surface_Engine!$B$12:$B$72,$A397+1)-F397/INDEX(Surface_Engine!$B$12:$B$72,$A397+1))))^2+(MAX(IF(D397&lt;=0,0,MAX(0,(B397/D397)*H397/INDEX(Surface_Engine!$B$12:$B$72,$A397+1)-F397/INDEX(Surface_Engine!$B$12:$B$72,$A397+1))),IF(E397&lt;=0,0,MAX(0,(B397/E397)*I397/INDEX(Surface_Engine!$B$12:$B$72,$A397+1)-F397/INDEX(Surface_Engine!$B$12:$B$72,$A397+1))),IF($A397&lt;$Q$384,MAX(0,-Assumptions!$B$22*(F397/INDEX(Surface_Engine!$B$12:$B$72,$A397+1))),0)))^2+(MAX(0,J397/INDEX(Surface_Engine!$B$12:$B$72,$A397+1)-(F397/INDEX(Surface_Engine!$B$12:$B$72,$A397+1))))^2+2*Assumptions!$B$26*(IF(C397&lt;=0,0,MAX(0,(B397/C397)*G397/INDEX(Surface_Engine!$B$12:$B$72,$A397+1)-F397/INDEX(Surface_Engine!$B$12:$B$72,$A397+1))))*(MAX(IF(D397&lt;=0,0,MAX(0,(B397/D397)*H397/INDEX(Surface_Engine!$B$12:$B$72,$A397+1)-F397/INDEX(Surface_Engine!$B$12:$B$72,$A397+1))),IF(E397&lt;=0,0,MAX(0,(B397/E397)*I397/INDEX(Surface_Engine!$B$12:$B$72,$A397+1)-F397/INDEX(Surface_Engine!$B$12:$B$72,$A397+1))),IF($A397&lt;$Q$384,MAX(0,-Assumptions!$B$22*(F397/INDEX(Surface_Engine!$B$12:$B$72,$A397+1))),0)))+2*Assumptions!$B$27*(IF(C397&lt;=0,0,MAX(0,(B397/C397)*G397/INDEX(Surface_Engine!$B$12:$B$72,$A397+1)-F397/INDEX(Surface_Engine!$B$12:$B$72,$A397+1))))*(MAX(0,J397/INDEX(Surface_Engine!$B$12:$B$72,$A397+1)-(F397/INDEX(Surface_Engine!$B$12:$B$72,$A397+1))))+2*Assumptions!$B$28*(MAX(IF(D397&lt;=0,0,MAX(0,(B397/D397)*H397/INDEX(Surface_Engine!$B$12:$B$72,$A397+1)-F397/INDEX(Surface_Engine!$B$12:$B$72,$A397+1))),IF(E397&lt;=0,0,MAX(0,(B397/E397)*I397/INDEX(Surface_Engine!$B$12:$B$72,$A397+1)-F397/INDEX(Surface_Engine!$B$12:$B$72,$A397+1))),IF($A397&lt;$Q$384,MAX(0,-Assumptions!$B$22*(F397/INDEX(Surface_Engine!$B$12:$B$72,$A397+1))),0)))*(MAX(0,J397/INDEX(Surface_Engine!$B$12:$B$72,$A397+1)-(F397/INDEX(Surface_Engine!$B$12:$B$72,$A397+1)))))</f>
        <v>8268.7105143509</v>
      </c>
      <c r="L397" s="48" t="n">
        <f aca="false">K397*INDEX(Surface_Engine!$B$12:$B$72,$A397+1)+L398</f>
        <v>87283.6194889896</v>
      </c>
      <c r="M397" s="48" t="n">
        <f aca="false">M396+B396*(IF($A396&lt;$Q$384,(Surface_Engine!L239*12)-(Surface_Engine!L239*12)*INDEX(Surface_Engine!$F$12:$F$72,$A396+1)-INDEX(Surface_Engine!$D$12:$D$72,$A396+1),-(1000*12*INDEX(Surface_Engine!$C$12:$C$72,$A396+1)/(1+Assumptions!$B$10)^22+INDEX(Surface_Engine!$D$12:$D$72,$A396+1))))*INDEX(Surface_Engine!$B$12:$B$72,$A396+1)</f>
        <v>18699.5136488833</v>
      </c>
      <c r="N397" s="12" t="n">
        <f aca="false">IF(B397&lt;=0,0,MAX(0,(K397+Assumptions!$B$29*L397/INDEX(Surface_Engine!$B$12:$B$72,$A397+1)-(M397/INDEX(Surface_Engine!$B$12:$B$72,$A397+1)-(F397/INDEX(Surface_Engine!$B$12:$B$72,$A397+1))))/B397))</f>
        <v>17705.6012419147</v>
      </c>
    </row>
    <row r="398" customFormat="false" ht="15" hidden="false" customHeight="true" outlineLevel="0" collapsed="false">
      <c r="A398" s="1" t="n">
        <v>12</v>
      </c>
      <c r="B398" s="32" t="n">
        <f aca="false">INDEX(Surface_Engine!$J$12:$J$72,$A398+1)*IF($A398&lt;$Q$384,INDEX(Surface_Engine!$E$12:$E$72,$A398+1),INDEX(Surface_Engine!$E$12:$E$72,$Q$384+1))</f>
        <v>0.773080864838231</v>
      </c>
      <c r="C398" s="32" t="n">
        <f aca="false">INDEX(Panel_Reserving!$C$8:$C$68,$A398+1)*IF($A398&lt;$Q$384,INDEX(Surface_Engine!$E$12:$E$72,$A398+1),INDEX(Surface_Engine!$E$12:$E$72,$Q$384+1))</f>
        <v>0.78714288551841</v>
      </c>
      <c r="D398" s="32" t="n">
        <f aca="false">INDEX(Surface_Engine!$J$12:$J$72,$A398+1)*IF($A398&lt;$Q$384,INDEX(Surface_Engine!$Y$12:$Y$72,$A398+1),INDEX(Surface_Engine!$Y$12:$Y$72,$Q$384+1))</f>
        <v>0.710054008654118</v>
      </c>
      <c r="E398" s="32" t="n">
        <f aca="false">INDEX(Surface_Engine!$J$12:$J$72,$A398+1)*IF($A398&lt;$Q$384,INDEX(Surface_Engine!$Z$12:$Z$72,$A398+1),INDEX(Surface_Engine!$Z$12:$Z$72,$Q$384+1))</f>
        <v>0.840983124081626</v>
      </c>
      <c r="F398" s="48" t="n">
        <f aca="false">B398*(IF($A398&lt;$Q$384,INDEX(Surface_Engine!$D$12:$D$72,$A398+1)+(Surface_Engine!L239*12)*INDEX(Surface_Engine!$F$12:$F$72,$A398+1)-(Surface_Engine!L239*12),1000*12*INDEX(Surface_Engine!$C$12:$C$72,$A398+1)/(1+Assumptions!$B$10)^22+INDEX(Surface_Engine!$D$12:$D$72,$A398+1)))*INDEX(Surface_Engine!$B$12:$B$72,$A398+1)+F399</f>
        <v>19032.3400569062</v>
      </c>
      <c r="G398" s="48" t="n">
        <f aca="false">C398*(IF($A398&lt;$Q$384,INDEX(Surface_Engine!$D$12:$D$72,$A398+1)+(Surface_Engine!L239*12)*INDEX(Surface_Engine!$F$12:$F$72,$A398+1)-(Surface_Engine!L239*12),1000*12*INDEX(Surface_Engine!$C$12:$C$72,$A398+1)/(1+Assumptions!$B$10)^22+INDEX(Surface_Engine!$D$12:$D$72,$A398+1)))*INDEX(Surface_Engine!$B$12:$B$72,$A398+1)+G399</f>
        <v>24948.4934073123</v>
      </c>
      <c r="H398" s="48" t="n">
        <f aca="false">D398*(IF($A398&lt;$Q$384,INDEX(Surface_Engine!$D$12:$D$72,$A398+1)+(Surface_Engine!L239*12)*INDEX(Surface_Engine!$F$12:$F$72,$A398+1)-(Surface_Engine!L239*12),1000*12*INDEX(Surface_Engine!$C$12:$C$72,$A398+1)/(1+Assumptions!$B$10)^22+INDEX(Surface_Engine!$D$12:$D$72,$A398+1)))*INDEX(Surface_Engine!$B$12:$B$72,$A398+1)+H399</f>
        <v>16442.6380603356</v>
      </c>
      <c r="I398" s="48" t="n">
        <f aca="false">E398*(IF($A398&lt;$Q$384,INDEX(Surface_Engine!$D$12:$D$72,$A398+1)+(Surface_Engine!L239*12)*INDEX(Surface_Engine!$F$12:$F$72,$A398+1)-(Surface_Engine!L239*12),1000*12*INDEX(Surface_Engine!$C$12:$C$72,$A398+1)/(1+Assumptions!$B$10)^22+INDEX(Surface_Engine!$D$12:$D$72,$A398+1)))*INDEX(Surface_Engine!$B$12:$B$72,$A398+1)+I399</f>
        <v>21989.1187552415</v>
      </c>
      <c r="J398" s="48" t="n">
        <f aca="false">B398*(IF($A398&lt;$Q$384,INDEX(Surface_Engine!$D$12:$D$72,$A398+1)*(1+Assumptions!$B$24)+(Surface_Engine!L239*12)*INDEX(Surface_Engine!$F$12:$F$72,$A398+1)-(Surface_Engine!L239*12),1000*12*INDEX(Surface_Engine!$C$12:$C$72,$A398+1)/(1+Assumptions!$B$10)^22+INDEX(Surface_Engine!$D$12:$D$72,$A398+1)*(1+Assumptions!$B$24)))*INDEX(Surface_Engine!$B$12:$B$72,$A398+1)+J399</f>
        <v>19117.7066272808</v>
      </c>
      <c r="K398" s="12" t="n">
        <f aca="false">SQRT((IF(C398&lt;=0,0,MAX(0,(B398/C398)*G398/INDEX(Surface_Engine!$B$12:$B$72,$A398+1)-F398/INDEX(Surface_Engine!$B$12:$B$72,$A398+1))))^2+(MAX(IF(D398&lt;=0,0,MAX(0,(B398/D398)*H398/INDEX(Surface_Engine!$B$12:$B$72,$A398+1)-F398/INDEX(Surface_Engine!$B$12:$B$72,$A398+1))),IF(E398&lt;=0,0,MAX(0,(B398/E398)*I398/INDEX(Surface_Engine!$B$12:$B$72,$A398+1)-F398/INDEX(Surface_Engine!$B$12:$B$72,$A398+1))),IF($A398&lt;$Q$384,MAX(0,-Assumptions!$B$22*(F398/INDEX(Surface_Engine!$B$12:$B$72,$A398+1))),0)))^2+(MAX(0,J398/INDEX(Surface_Engine!$B$12:$B$72,$A398+1)-(F398/INDEX(Surface_Engine!$B$12:$B$72,$A398+1))))^2+2*Assumptions!$B$26*(IF(C398&lt;=0,0,MAX(0,(B398/C398)*G398/INDEX(Surface_Engine!$B$12:$B$72,$A398+1)-F398/INDEX(Surface_Engine!$B$12:$B$72,$A398+1))))*(MAX(IF(D398&lt;=0,0,MAX(0,(B398/D398)*H398/INDEX(Surface_Engine!$B$12:$B$72,$A398+1)-F398/INDEX(Surface_Engine!$B$12:$B$72,$A398+1))),IF(E398&lt;=0,0,MAX(0,(B398/E398)*I398/INDEX(Surface_Engine!$B$12:$B$72,$A398+1)-F398/INDEX(Surface_Engine!$B$12:$B$72,$A398+1))),IF($A398&lt;$Q$384,MAX(0,-Assumptions!$B$22*(F398/INDEX(Surface_Engine!$B$12:$B$72,$A398+1))),0)))+2*Assumptions!$B$27*(IF(C398&lt;=0,0,MAX(0,(B398/C398)*G398/INDEX(Surface_Engine!$B$12:$B$72,$A398+1)-F398/INDEX(Surface_Engine!$B$12:$B$72,$A398+1))))*(MAX(0,J398/INDEX(Surface_Engine!$B$12:$B$72,$A398+1)-(F398/INDEX(Surface_Engine!$B$12:$B$72,$A398+1))))+2*Assumptions!$B$28*(MAX(IF(D398&lt;=0,0,MAX(0,(B398/D398)*H398/INDEX(Surface_Engine!$B$12:$B$72,$A398+1)-F398/INDEX(Surface_Engine!$B$12:$B$72,$A398+1))),IF(E398&lt;=0,0,MAX(0,(B398/E398)*I398/INDEX(Surface_Engine!$B$12:$B$72,$A398+1)-F398/INDEX(Surface_Engine!$B$12:$B$72,$A398+1))),IF($A398&lt;$Q$384,MAX(0,-Assumptions!$B$22*(F398/INDEX(Surface_Engine!$B$12:$B$72,$A398+1))),0)))*(MAX(0,J398/INDEX(Surface_Engine!$B$12:$B$72,$A398+1)-(F398/INDEX(Surface_Engine!$B$12:$B$72,$A398+1)))))</f>
        <v>8414.32920882855</v>
      </c>
      <c r="L398" s="48" t="n">
        <f aca="false">K398*INDEX(Surface_Engine!$B$12:$B$72,$A398+1)+L399</f>
        <v>81272.3585994388</v>
      </c>
      <c r="M398" s="48" t="n">
        <f aca="false">M397+B397*(IF($A397&lt;$Q$384,(Surface_Engine!L239*12)-(Surface_Engine!L239*12)*INDEX(Surface_Engine!$F$12:$F$72,$A397+1)-INDEX(Surface_Engine!$D$12:$D$72,$A397+1),-(1000*12*INDEX(Surface_Engine!$C$12:$C$72,$A397+1)/(1+Assumptions!$B$10)^22+INDEX(Surface_Engine!$D$12:$D$72,$A397+1))))*INDEX(Surface_Engine!$B$12:$B$72,$A397+1)</f>
        <v>20111.1181823166</v>
      </c>
      <c r="N398" s="12" t="n">
        <f aca="false">IF(B398&lt;=0,0,MAX(0,(K398+Assumptions!$B$29*L398/INDEX(Surface_Engine!$B$12:$B$72,$A398+1)-(M398/INDEX(Surface_Engine!$B$12:$B$72,$A398+1)-(F398/INDEX(Surface_Engine!$B$12:$B$72,$A398+1))))/B398))</f>
        <v>17881.3147409413</v>
      </c>
    </row>
    <row r="399" customFormat="false" ht="15" hidden="false" customHeight="true" outlineLevel="0" collapsed="false">
      <c r="A399" s="1" t="n">
        <v>13</v>
      </c>
      <c r="B399" s="32" t="n">
        <f aca="false">INDEX(Surface_Engine!$J$12:$J$72,$A399+1)*IF($A399&lt;$Q$384,INDEX(Surface_Engine!$E$12:$E$72,$A399+1),INDEX(Surface_Engine!$E$12:$E$72,$Q$384+1))</f>
        <v>0.754987743977101</v>
      </c>
      <c r="C399" s="32" t="n">
        <f aca="false">INDEX(Panel_Reserving!$C$8:$C$68,$A399+1)*IF($A399&lt;$Q$384,INDEX(Surface_Engine!$E$12:$E$72,$A399+1),INDEX(Surface_Engine!$E$12:$E$72,$Q$384+1))</f>
        <v>0.770972503679198</v>
      </c>
      <c r="D399" s="32" t="n">
        <f aca="false">INDEX(Surface_Engine!$J$12:$J$72,$A399+1)*IF($A399&lt;$Q$384,INDEX(Surface_Engine!$Y$12:$Y$72,$A399+1),INDEX(Surface_Engine!$Y$12:$Y$72,$Q$384+1))</f>
        <v>0.69025185411748</v>
      </c>
      <c r="E399" s="32" t="n">
        <f aca="false">INDEX(Surface_Engine!$J$12:$J$72,$A399+1)*IF($A399&lt;$Q$384,INDEX(Surface_Engine!$Z$12:$Z$72,$A399+1),INDEX(Surface_Engine!$Z$12:$Z$72,$Q$384+1))</f>
        <v>0.825072061347622</v>
      </c>
      <c r="F399" s="48" t="n">
        <f aca="false">B399*(IF($A399&lt;$Q$384,INDEX(Surface_Engine!$D$12:$D$72,$A399+1)+(Surface_Engine!L239*12)*INDEX(Surface_Engine!$F$12:$F$72,$A399+1)-(Surface_Engine!L239*12),1000*12*INDEX(Surface_Engine!$C$12:$C$72,$A399+1)/(1+Assumptions!$B$10)^22+INDEX(Surface_Engine!$D$12:$D$72,$A399+1)))*INDEX(Surface_Engine!$B$12:$B$72,$A399+1)+F400</f>
        <v>20364.7307123758</v>
      </c>
      <c r="G399" s="48" t="n">
        <f aca="false">C399*(IF($A399&lt;$Q$384,INDEX(Surface_Engine!$D$12:$D$72,$A399+1)+(Surface_Engine!L239*12)*INDEX(Surface_Engine!$F$12:$F$72,$A399+1)-(Surface_Engine!L239*12),1000*12*INDEX(Surface_Engine!$C$12:$C$72,$A399+1)/(1+Assumptions!$B$10)^22+INDEX(Surface_Engine!$D$12:$D$72,$A399+1)))*INDEX(Surface_Engine!$B$12:$B$72,$A399+1)+G400</f>
        <v>26305.1196968578</v>
      </c>
      <c r="H399" s="48" t="n">
        <f aca="false">D399*(IF($A399&lt;$Q$384,INDEX(Surface_Engine!$D$12:$D$72,$A399+1)+(Surface_Engine!L239*12)*INDEX(Surface_Engine!$F$12:$F$72,$A399+1)-(Surface_Engine!L239*12),1000*12*INDEX(Surface_Engine!$C$12:$C$72,$A399+1)/(1+Assumptions!$B$10)^22+INDEX(Surface_Engine!$D$12:$D$72,$A399+1)))*INDEX(Surface_Engine!$B$12:$B$72,$A399+1)+H400</f>
        <v>17666.4030880826</v>
      </c>
      <c r="I399" s="48" t="n">
        <f aca="false">E399*(IF($A399&lt;$Q$384,INDEX(Surface_Engine!$D$12:$D$72,$A399+1)+(Surface_Engine!L239*12)*INDEX(Surface_Engine!$F$12:$F$72,$A399+1)-(Surface_Engine!L239*12),1000*12*INDEX(Surface_Engine!$C$12:$C$72,$A399+1)/(1+Assumptions!$B$10)^22+INDEX(Surface_Engine!$D$12:$D$72,$A399+1)))*INDEX(Surface_Engine!$B$12:$B$72,$A399+1)+I400</f>
        <v>23438.5377059595</v>
      </c>
      <c r="J399" s="48" t="n">
        <f aca="false">B399*(IF($A399&lt;$Q$384,INDEX(Surface_Engine!$D$12:$D$72,$A399+1)*(1+Assumptions!$B$24)+(Surface_Engine!L239*12)*INDEX(Surface_Engine!$F$12:$F$72,$A399+1)-(Surface_Engine!L239*12),1000*12*INDEX(Surface_Engine!$C$12:$C$72,$A399+1)/(1+Assumptions!$B$10)^22+INDEX(Surface_Engine!$D$12:$D$72,$A399+1)*(1+Assumptions!$B$24)))*INDEX(Surface_Engine!$B$12:$B$72,$A399+1)+J400</f>
        <v>20444.1120194626</v>
      </c>
      <c r="K399" s="12" t="n">
        <f aca="false">SQRT((IF(C399&lt;=0,0,MAX(0,(B399/C399)*G399/INDEX(Surface_Engine!$B$12:$B$72,$A399+1)-F399/INDEX(Surface_Engine!$B$12:$B$72,$A399+1))))^2+(MAX(IF(D399&lt;=0,0,MAX(0,(B399/D399)*H399/INDEX(Surface_Engine!$B$12:$B$72,$A399+1)-F399/INDEX(Surface_Engine!$B$12:$B$72,$A399+1))),IF(E399&lt;=0,0,MAX(0,(B399/E399)*I399/INDEX(Surface_Engine!$B$12:$B$72,$A399+1)-F399/INDEX(Surface_Engine!$B$12:$B$72,$A399+1))),IF($A399&lt;$Q$384,MAX(0,-Assumptions!$B$22*(F399/INDEX(Surface_Engine!$B$12:$B$72,$A399+1))),0)))^2+(MAX(0,J399/INDEX(Surface_Engine!$B$12:$B$72,$A399+1)-(F399/INDEX(Surface_Engine!$B$12:$B$72,$A399+1))))^2+2*Assumptions!$B$26*(IF(C399&lt;=0,0,MAX(0,(B399/C399)*G399/INDEX(Surface_Engine!$B$12:$B$72,$A399+1)-F399/INDEX(Surface_Engine!$B$12:$B$72,$A399+1))))*(MAX(IF(D399&lt;=0,0,MAX(0,(B399/D399)*H399/INDEX(Surface_Engine!$B$12:$B$72,$A399+1)-F399/INDEX(Surface_Engine!$B$12:$B$72,$A399+1))),IF(E399&lt;=0,0,MAX(0,(B399/E399)*I399/INDEX(Surface_Engine!$B$12:$B$72,$A399+1)-F399/INDEX(Surface_Engine!$B$12:$B$72,$A399+1))),IF($A399&lt;$Q$384,MAX(0,-Assumptions!$B$22*(F399/INDEX(Surface_Engine!$B$12:$B$72,$A399+1))),0)))+2*Assumptions!$B$27*(IF(C399&lt;=0,0,MAX(0,(B399/C399)*G399/INDEX(Surface_Engine!$B$12:$B$72,$A399+1)-F399/INDEX(Surface_Engine!$B$12:$B$72,$A399+1))))*(MAX(0,J399/INDEX(Surface_Engine!$B$12:$B$72,$A399+1)-(F399/INDEX(Surface_Engine!$B$12:$B$72,$A399+1))))+2*Assumptions!$B$28*(MAX(IF(D399&lt;=0,0,MAX(0,(B399/D399)*H399/INDEX(Surface_Engine!$B$12:$B$72,$A399+1)-F399/INDEX(Surface_Engine!$B$12:$B$72,$A399+1))),IF(E399&lt;=0,0,MAX(0,(B399/E399)*I399/INDEX(Surface_Engine!$B$12:$B$72,$A399+1)-F399/INDEX(Surface_Engine!$B$12:$B$72,$A399+1))),IF($A399&lt;$Q$384,MAX(0,-Assumptions!$B$22*(F399/INDEX(Surface_Engine!$B$12:$B$72,$A399+1))),0)))*(MAX(0,J399/INDEX(Surface_Engine!$B$12:$B$72,$A399+1)-(F399/INDEX(Surface_Engine!$B$12:$B$72,$A399+1)))))</f>
        <v>8535.98841865433</v>
      </c>
      <c r="L399" s="48" t="n">
        <f aca="false">K399*INDEX(Surface_Engine!$B$12:$B$72,$A399+1)+L400</f>
        <v>75365.2140502586</v>
      </c>
      <c r="M399" s="48" t="n">
        <f aca="false">M398+B398*(IF($A398&lt;$Q$384,(Surface_Engine!L239*12)-(Surface_Engine!L239*12)*INDEX(Surface_Engine!$F$12:$F$72,$A398+1)-INDEX(Surface_Engine!$D$12:$D$72,$A398+1),-(1000*12*INDEX(Surface_Engine!$C$12:$C$72,$A398+1)/(1+Assumptions!$B$10)^22+INDEX(Surface_Engine!$D$12:$D$72,$A398+1))))*INDEX(Surface_Engine!$B$12:$B$72,$A398+1)</f>
        <v>21443.5088377861</v>
      </c>
      <c r="N399" s="12" t="n">
        <f aca="false">IF(B399&lt;=0,0,MAX(0,(K399+Assumptions!$B$29*L399/INDEX(Surface_Engine!$B$12:$B$72,$A399+1)-(M399/INDEX(Surface_Engine!$B$12:$B$72,$A399+1)-(F399/INDEX(Surface_Engine!$B$12:$B$72,$A399+1))))/B399))</f>
        <v>18031.3501169493</v>
      </c>
    </row>
    <row r="400" customFormat="false" ht="15" hidden="false" customHeight="true" outlineLevel="0" collapsed="false">
      <c r="A400" s="1" t="n">
        <v>14</v>
      </c>
      <c r="B400" s="32" t="n">
        <f aca="false">INDEX(Surface_Engine!$J$12:$J$72,$A400+1)*IF($A400&lt;$Q$384,INDEX(Surface_Engine!$E$12:$E$72,$A400+1),INDEX(Surface_Engine!$E$12:$E$72,$Q$384+1))</f>
        <v>0.736058252333804</v>
      </c>
      <c r="C400" s="32" t="n">
        <f aca="false">INDEX(Panel_Reserving!$C$8:$C$68,$A400+1)*IF($A400&lt;$Q$384,INDEX(Surface_Engine!$E$12:$E$72,$A400+1),INDEX(Surface_Engine!$E$12:$E$72,$Q$384+1))</f>
        <v>0.754105117057231</v>
      </c>
      <c r="D400" s="32" t="n">
        <f aca="false">INDEX(Surface_Engine!$J$12:$J$72,$A400+1)*IF($A400&lt;$Q$384,INDEX(Surface_Engine!$Y$12:$Y$72,$A400+1),INDEX(Surface_Engine!$Y$12:$Y$72,$Q$384+1))</f>
        <v>0.669855437313377</v>
      </c>
      <c r="E400" s="32" t="n">
        <f aca="false">INDEX(Surface_Engine!$J$12:$J$72,$A400+1)*IF($A400&lt;$Q$384,INDEX(Surface_Engine!$Z$12:$Z$72,$A400+1),INDEX(Surface_Engine!$Z$12:$Z$72,$Q$384+1))</f>
        <v>0.808078939850979</v>
      </c>
      <c r="F400" s="48" t="n">
        <f aca="false">B400*(IF($A400&lt;$Q$384,INDEX(Surface_Engine!$D$12:$D$72,$A400+1)+(Surface_Engine!L239*12)*INDEX(Surface_Engine!$F$12:$F$72,$A400+1)-(Surface_Engine!L239*12),1000*12*INDEX(Surface_Engine!$C$12:$C$72,$A400+1)/(1+Assumptions!$B$10)^22+INDEX(Surface_Engine!$D$12:$D$72,$A400+1)))*INDEX(Surface_Engine!$B$12:$B$72,$A400+1)+F401</f>
        <v>21620.2054204349</v>
      </c>
      <c r="G400" s="48" t="n">
        <f aca="false">C400*(IF($A400&lt;$Q$384,INDEX(Surface_Engine!$D$12:$D$72,$A400+1)+(Surface_Engine!L239*12)*INDEX(Surface_Engine!$F$12:$F$72,$A400+1)-(Surface_Engine!L239*12),1000*12*INDEX(Surface_Engine!$C$12:$C$72,$A400+1)/(1+Assumptions!$B$10)^22+INDEX(Surface_Engine!$D$12:$D$72,$A400+1)))*INDEX(Surface_Engine!$B$12:$B$72,$A400+1)+G401</f>
        <v>27587.1755801485</v>
      </c>
      <c r="H400" s="48" t="n">
        <f aca="false">D400*(IF($A400&lt;$Q$384,INDEX(Surface_Engine!$D$12:$D$72,$A400+1)+(Surface_Engine!L239*12)*INDEX(Surface_Engine!$F$12:$F$72,$A400+1)-(Surface_Engine!L239*12),1000*12*INDEX(Surface_Engine!$C$12:$C$72,$A400+1)/(1+Assumptions!$B$10)^22+INDEX(Surface_Engine!$D$12:$D$72,$A400+1)))*INDEX(Surface_Engine!$B$12:$B$72,$A400+1)+H401</f>
        <v>18814.2280057036</v>
      </c>
      <c r="I400" s="48" t="n">
        <f aca="false">E400*(IF($A400&lt;$Q$384,INDEX(Surface_Engine!$D$12:$D$72,$A400+1)+(Surface_Engine!L239*12)*INDEX(Surface_Engine!$F$12:$F$72,$A400+1)-(Surface_Engine!L239*12),1000*12*INDEX(Surface_Engine!$C$12:$C$72,$A400+1)/(1+Assumptions!$B$10)^22+INDEX(Surface_Engine!$D$12:$D$72,$A400+1)))*INDEX(Surface_Engine!$B$12:$B$72,$A400+1)+I401</f>
        <v>24810.5561441549</v>
      </c>
      <c r="J400" s="48" t="n">
        <f aca="false">B400*(IF($A400&lt;$Q$384,INDEX(Surface_Engine!$D$12:$D$72,$A400+1)*(1+Assumptions!$B$24)+(Surface_Engine!L239*12)*INDEX(Surface_Engine!$F$12:$F$72,$A400+1)-(Surface_Engine!L239*12),1000*12*INDEX(Surface_Engine!$C$12:$C$72,$A400+1)/(1+Assumptions!$B$10)^22+INDEX(Surface_Engine!$D$12:$D$72,$A400+1)*(1+Assumptions!$B$24)))*INDEX(Surface_Engine!$B$12:$B$72,$A400+1)+J401</f>
        <v>21693.7994872304</v>
      </c>
      <c r="K400" s="12" t="n">
        <f aca="false">SQRT((IF(C400&lt;=0,0,MAX(0,(B400/C400)*G400/INDEX(Surface_Engine!$B$12:$B$72,$A400+1)-F400/INDEX(Surface_Engine!$B$12:$B$72,$A400+1))))^2+(MAX(IF(D400&lt;=0,0,MAX(0,(B400/D400)*H400/INDEX(Surface_Engine!$B$12:$B$72,$A400+1)-F400/INDEX(Surface_Engine!$B$12:$B$72,$A400+1))),IF(E400&lt;=0,0,MAX(0,(B400/E400)*I400/INDEX(Surface_Engine!$B$12:$B$72,$A400+1)-F400/INDEX(Surface_Engine!$B$12:$B$72,$A400+1))),IF($A400&lt;$Q$384,MAX(0,-Assumptions!$B$22*(F400/INDEX(Surface_Engine!$B$12:$B$72,$A400+1))),0)))^2+(MAX(0,J400/INDEX(Surface_Engine!$B$12:$B$72,$A400+1)-(F400/INDEX(Surface_Engine!$B$12:$B$72,$A400+1))))^2+2*Assumptions!$B$26*(IF(C400&lt;=0,0,MAX(0,(B400/C400)*G400/INDEX(Surface_Engine!$B$12:$B$72,$A400+1)-F400/INDEX(Surface_Engine!$B$12:$B$72,$A400+1))))*(MAX(IF(D400&lt;=0,0,MAX(0,(B400/D400)*H400/INDEX(Surface_Engine!$B$12:$B$72,$A400+1)-F400/INDEX(Surface_Engine!$B$12:$B$72,$A400+1))),IF(E400&lt;=0,0,MAX(0,(B400/E400)*I400/INDEX(Surface_Engine!$B$12:$B$72,$A400+1)-F400/INDEX(Surface_Engine!$B$12:$B$72,$A400+1))),IF($A400&lt;$Q$384,MAX(0,-Assumptions!$B$22*(F400/INDEX(Surface_Engine!$B$12:$B$72,$A400+1))),0)))+2*Assumptions!$B$27*(IF(C400&lt;=0,0,MAX(0,(B400/C400)*G400/INDEX(Surface_Engine!$B$12:$B$72,$A400+1)-F400/INDEX(Surface_Engine!$B$12:$B$72,$A400+1))))*(MAX(0,J400/INDEX(Surface_Engine!$B$12:$B$72,$A400+1)-(F400/INDEX(Surface_Engine!$B$12:$B$72,$A400+1))))+2*Assumptions!$B$28*(MAX(IF(D400&lt;=0,0,MAX(0,(B400/D400)*H400/INDEX(Surface_Engine!$B$12:$B$72,$A400+1)-F400/INDEX(Surface_Engine!$B$12:$B$72,$A400+1))),IF(E400&lt;=0,0,MAX(0,(B400/E400)*I400/INDEX(Surface_Engine!$B$12:$B$72,$A400+1)-F400/INDEX(Surface_Engine!$B$12:$B$72,$A400+1))),IF($A400&lt;$Q$384,MAX(0,-Assumptions!$B$22*(F400/INDEX(Surface_Engine!$B$12:$B$72,$A400+1))),0)))*(MAX(0,J400/INDEX(Surface_Engine!$B$12:$B$72,$A400+1)-(F400/INDEX(Surface_Engine!$B$12:$B$72,$A400+1)))))</f>
        <v>8628.85446445816</v>
      </c>
      <c r="L400" s="48" t="n">
        <f aca="false">K400*INDEX(Surface_Engine!$B$12:$B$72,$A400+1)+L401</f>
        <v>69576.7768206426</v>
      </c>
      <c r="M400" s="48" t="n">
        <f aca="false">M399+B399*(IF($A399&lt;$Q$384,(Surface_Engine!L239*12)-(Surface_Engine!L239*12)*INDEX(Surface_Engine!$F$12:$F$72,$A399+1)-INDEX(Surface_Engine!$D$12:$D$72,$A399+1),-(1000*12*INDEX(Surface_Engine!$C$12:$C$72,$A399+1)/(1+Assumptions!$B$10)^22+INDEX(Surface_Engine!$D$12:$D$72,$A399+1))))*INDEX(Surface_Engine!$B$12:$B$72,$A399+1)</f>
        <v>22698.9835458452</v>
      </c>
      <c r="N400" s="12" t="n">
        <f aca="false">IF(B400&lt;=0,0,MAX(0,(K400+Assumptions!$B$29*L400/INDEX(Surface_Engine!$B$12:$B$72,$A400+1)-(M400/INDEX(Surface_Engine!$B$12:$B$72,$A400+1)-(F400/INDEX(Surface_Engine!$B$12:$B$72,$A400+1))))/B400))</f>
        <v>18139.6393640604</v>
      </c>
    </row>
    <row r="401" customFormat="false" ht="15" hidden="false" customHeight="true" outlineLevel="0" collapsed="false">
      <c r="A401" s="1" t="n">
        <v>15</v>
      </c>
      <c r="B401" s="32" t="n">
        <f aca="false">INDEX(Surface_Engine!$J$12:$J$72,$A401+1)*IF($A401&lt;$Q$384,INDEX(Surface_Engine!$E$12:$E$72,$A401+1),INDEX(Surface_Engine!$E$12:$E$72,$Q$384+1))</f>
        <v>0.716211777971633</v>
      </c>
      <c r="C401" s="32" t="n">
        <f aca="false">INDEX(Panel_Reserving!$C$8:$C$68,$A401+1)*IF($A401&lt;$Q$384,INDEX(Surface_Engine!$E$12:$E$72,$A401+1),INDEX(Surface_Engine!$E$12:$E$72,$Q$384+1))</f>
        <v>0.73646618550183</v>
      </c>
      <c r="D401" s="32" t="n">
        <f aca="false">INDEX(Surface_Engine!$J$12:$J$72,$A401+1)*IF($A401&lt;$Q$384,INDEX(Surface_Engine!$Y$12:$Y$72,$A401+1),INDEX(Surface_Engine!$Y$12:$Y$72,$Q$384+1))</f>
        <v>0.648801103578111</v>
      </c>
      <c r="E401" s="32" t="n">
        <f aca="false">INDEX(Surface_Engine!$J$12:$J$72,$A401+1)*IF($A401&lt;$Q$384,INDEX(Surface_Engine!$Z$12:$Z$72,$A401+1),INDEX(Surface_Engine!$Z$12:$Z$72,$Q$384+1))</f>
        <v>0.789901035798062</v>
      </c>
      <c r="F401" s="48" t="n">
        <f aca="false">B401*(IF($A401&lt;$Q$384,INDEX(Surface_Engine!$D$12:$D$72,$A401+1)+(Surface_Engine!L239*12)*INDEX(Surface_Engine!$F$12:$F$72,$A401+1)-(Surface_Engine!L239*12),1000*12*INDEX(Surface_Engine!$C$12:$C$72,$A401+1)/(1+Assumptions!$B$10)^22+INDEX(Surface_Engine!$D$12:$D$72,$A401+1)))*INDEX(Surface_Engine!$B$12:$B$72,$A401+1)+F402</f>
        <v>22801.9756704431</v>
      </c>
      <c r="G401" s="48" t="n">
        <f aca="false">C401*(IF($A401&lt;$Q$384,INDEX(Surface_Engine!$D$12:$D$72,$A401+1)+(Surface_Engine!L239*12)*INDEX(Surface_Engine!$F$12:$F$72,$A401+1)-(Surface_Engine!L239*12),1000*12*INDEX(Surface_Engine!$C$12:$C$72,$A401+1)/(1+Assumptions!$B$10)^22+INDEX(Surface_Engine!$D$12:$D$72,$A401+1)))*INDEX(Surface_Engine!$B$12:$B$72,$A401+1)+G402</f>
        <v>28797.9207757788</v>
      </c>
      <c r="H401" s="48" t="n">
        <f aca="false">D401*(IF($A401&lt;$Q$384,INDEX(Surface_Engine!$D$12:$D$72,$A401+1)+(Surface_Engine!L239*12)*INDEX(Surface_Engine!$F$12:$F$72,$A401+1)-(Surface_Engine!L239*12),1000*12*INDEX(Surface_Engine!$C$12:$C$72,$A401+1)/(1+Assumptions!$B$10)^22+INDEX(Surface_Engine!$D$12:$D$72,$A401+1)))*INDEX(Surface_Engine!$B$12:$B$72,$A401+1)+H402</f>
        <v>19889.7070525225</v>
      </c>
      <c r="I401" s="48" t="n">
        <f aca="false">E401*(IF($A401&lt;$Q$384,INDEX(Surface_Engine!$D$12:$D$72,$A401+1)+(Surface_Engine!L239*12)*INDEX(Surface_Engine!$F$12:$F$72,$A401+1)-(Surface_Engine!L239*12),1000*12*INDEX(Surface_Engine!$C$12:$C$72,$A401+1)/(1+Assumptions!$B$10)^22+INDEX(Surface_Engine!$D$12:$D$72,$A401+1)))*INDEX(Surface_Engine!$B$12:$B$72,$A401+1)+I402</f>
        <v>26107.9584186979</v>
      </c>
      <c r="J401" s="48" t="n">
        <f aca="false">B401*(IF($A401&lt;$Q$384,INDEX(Surface_Engine!$D$12:$D$72,$A401+1)*(1+Assumptions!$B$24)+(Surface_Engine!L239*12)*INDEX(Surface_Engine!$F$12:$F$72,$A401+1)-(Surface_Engine!L239*12),1000*12*INDEX(Surface_Engine!$C$12:$C$72,$A401+1)/(1+Assumptions!$B$10)^22+INDEX(Surface_Engine!$D$12:$D$72,$A401+1)*(1+Assumptions!$B$24)))*INDEX(Surface_Engine!$B$12:$B$72,$A401+1)+J402</f>
        <v>22869.9796158966</v>
      </c>
      <c r="K401" s="12" t="n">
        <f aca="false">SQRT((IF(C401&lt;=0,0,MAX(0,(B401/C401)*G401/INDEX(Surface_Engine!$B$12:$B$72,$A401+1)-F401/INDEX(Surface_Engine!$B$12:$B$72,$A401+1))))^2+(MAX(IF(D401&lt;=0,0,MAX(0,(B401/D401)*H401/INDEX(Surface_Engine!$B$12:$B$72,$A401+1)-F401/INDEX(Surface_Engine!$B$12:$B$72,$A401+1))),IF(E401&lt;=0,0,MAX(0,(B401/E401)*I401/INDEX(Surface_Engine!$B$12:$B$72,$A401+1)-F401/INDEX(Surface_Engine!$B$12:$B$72,$A401+1))),IF($A401&lt;$Q$384,MAX(0,-Assumptions!$B$22*(F401/INDEX(Surface_Engine!$B$12:$B$72,$A401+1))),0)))^2+(MAX(0,J401/INDEX(Surface_Engine!$B$12:$B$72,$A401+1)-(F401/INDEX(Surface_Engine!$B$12:$B$72,$A401+1))))^2+2*Assumptions!$B$26*(IF(C401&lt;=0,0,MAX(0,(B401/C401)*G401/INDEX(Surface_Engine!$B$12:$B$72,$A401+1)-F401/INDEX(Surface_Engine!$B$12:$B$72,$A401+1))))*(MAX(IF(D401&lt;=0,0,MAX(0,(B401/D401)*H401/INDEX(Surface_Engine!$B$12:$B$72,$A401+1)-F401/INDEX(Surface_Engine!$B$12:$B$72,$A401+1))),IF(E401&lt;=0,0,MAX(0,(B401/E401)*I401/INDEX(Surface_Engine!$B$12:$B$72,$A401+1)-F401/INDEX(Surface_Engine!$B$12:$B$72,$A401+1))),IF($A401&lt;$Q$384,MAX(0,-Assumptions!$B$22*(F401/INDEX(Surface_Engine!$B$12:$B$72,$A401+1))),0)))+2*Assumptions!$B$27*(IF(C401&lt;=0,0,MAX(0,(B401/C401)*G401/INDEX(Surface_Engine!$B$12:$B$72,$A401+1)-F401/INDEX(Surface_Engine!$B$12:$B$72,$A401+1))))*(MAX(0,J401/INDEX(Surface_Engine!$B$12:$B$72,$A401+1)-(F401/INDEX(Surface_Engine!$B$12:$B$72,$A401+1))))+2*Assumptions!$B$28*(MAX(IF(D401&lt;=0,0,MAX(0,(B401/D401)*H401/INDEX(Surface_Engine!$B$12:$B$72,$A401+1)-F401/INDEX(Surface_Engine!$B$12:$B$72,$A401+1))),IF(E401&lt;=0,0,MAX(0,(B401/E401)*I401/INDEX(Surface_Engine!$B$12:$B$72,$A401+1)-F401/INDEX(Surface_Engine!$B$12:$B$72,$A401+1))),IF($A401&lt;$Q$384,MAX(0,-Assumptions!$B$22*(F401/INDEX(Surface_Engine!$B$12:$B$72,$A401+1))),0)))*(MAX(0,J401/INDEX(Surface_Engine!$B$12:$B$72,$A401+1)-(F401/INDEX(Surface_Engine!$B$12:$B$72,$A401+1)))))</f>
        <v>8716.84156184501</v>
      </c>
      <c r="L401" s="48" t="n">
        <f aca="false">K401*INDEX(Surface_Engine!$B$12:$B$72,$A401+1)+L402</f>
        <v>63920.7139906481</v>
      </c>
      <c r="M401" s="48" t="n">
        <f aca="false">M400+B400*(IF($A400&lt;$Q$384,(Surface_Engine!L239*12)-(Surface_Engine!L239*12)*INDEX(Surface_Engine!$F$12:$F$72,$A400+1)-INDEX(Surface_Engine!$D$12:$D$72,$A400+1),-(1000*12*INDEX(Surface_Engine!$C$12:$C$72,$A400+1)/(1+Assumptions!$B$10)^22+INDEX(Surface_Engine!$D$12:$D$72,$A400+1))))*INDEX(Surface_Engine!$B$12:$B$72,$A400+1)</f>
        <v>23880.7537958534</v>
      </c>
      <c r="N401" s="12" t="n">
        <f aca="false">IF(B401&lt;=0,0,MAX(0,(K401+Assumptions!$B$29*L401/INDEX(Surface_Engine!$B$12:$B$72,$A401+1)-(M401/INDEX(Surface_Engine!$B$12:$B$72,$A401+1)-(F401/INDEX(Surface_Engine!$B$12:$B$72,$A401+1))))/B401))</f>
        <v>18260.983507843</v>
      </c>
    </row>
    <row r="402" customFormat="false" ht="15" hidden="false" customHeight="true" outlineLevel="0" collapsed="false">
      <c r="A402" s="1" t="n">
        <v>16</v>
      </c>
      <c r="B402" s="32" t="n">
        <f aca="false">INDEX(Surface_Engine!$J$12:$J$72,$A402+1)*IF($A402&lt;$Q$384,INDEX(Surface_Engine!$E$12:$E$72,$A402+1),INDEX(Surface_Engine!$E$12:$E$72,$Q$384+1))</f>
        <v>0.695367768157948</v>
      </c>
      <c r="C402" s="32" t="n">
        <f aca="false">INDEX(Panel_Reserving!$C$8:$C$68,$A402+1)*IF($A402&lt;$Q$384,INDEX(Surface_Engine!$E$12:$E$72,$A402+1),INDEX(Surface_Engine!$E$12:$E$72,$Q$384+1))</f>
        <v>0.717979035748302</v>
      </c>
      <c r="D402" s="32" t="n">
        <f aca="false">INDEX(Surface_Engine!$J$12:$J$72,$A402+1)*IF($A402&lt;$Q$384,INDEX(Surface_Engine!$Y$12:$Y$72,$A402+1),INDEX(Surface_Engine!$Y$12:$Y$72,$Q$384+1))</f>
        <v>0.627026503318878</v>
      </c>
      <c r="E402" s="32" t="n">
        <f aca="false">INDEX(Surface_Engine!$J$12:$J$72,$A402+1)*IF($A402&lt;$Q$384,INDEX(Surface_Engine!$Z$12:$Z$72,$A402+1),INDEX(Surface_Engine!$Z$12:$Z$72,$Q$384+1))</f>
        <v>0.77043393460043</v>
      </c>
      <c r="F402" s="48" t="n">
        <f aca="false">B402*(IF($A402&lt;$Q$384,INDEX(Surface_Engine!$D$12:$D$72,$A402+1)+(Surface_Engine!L239*12)*INDEX(Surface_Engine!$F$12:$F$72,$A402+1)-(Surface_Engine!L239*12),1000*12*INDEX(Surface_Engine!$C$12:$C$72,$A402+1)/(1+Assumptions!$B$10)^22+INDEX(Surface_Engine!$D$12:$D$72,$A402+1)))*INDEX(Surface_Engine!$B$12:$B$72,$A402+1)+F403</f>
        <v>23909.2751428233</v>
      </c>
      <c r="G402" s="48" t="n">
        <f aca="false">C402*(IF($A402&lt;$Q$384,INDEX(Surface_Engine!$D$12:$D$72,$A402+1)+(Surface_Engine!L239*12)*INDEX(Surface_Engine!$F$12:$F$72,$A402+1)-(Surface_Engine!L239*12),1000*12*INDEX(Surface_Engine!$C$12:$C$72,$A402+1)/(1+Assumptions!$B$10)^22+INDEX(Surface_Engine!$D$12:$D$72,$A402+1)))*INDEX(Surface_Engine!$B$12:$B$72,$A402+1)+G403</f>
        <v>29936.5345820772</v>
      </c>
      <c r="H402" s="48" t="n">
        <f aca="false">D402*(IF($A402&lt;$Q$384,INDEX(Surface_Engine!$D$12:$D$72,$A402+1)+(Surface_Engine!L239*12)*INDEX(Surface_Engine!$F$12:$F$72,$A402+1)-(Surface_Engine!L239*12),1000*12*INDEX(Surface_Engine!$C$12:$C$72,$A402+1)/(1+Assumptions!$B$10)^22+INDEX(Surface_Engine!$D$12:$D$72,$A402+1)))*INDEX(Surface_Engine!$B$12:$B$72,$A402+1)+H403</f>
        <v>20892.7862279395</v>
      </c>
      <c r="I402" s="48" t="n">
        <f aca="false">E402*(IF($A402&lt;$Q$384,INDEX(Surface_Engine!$D$12:$D$72,$A402+1)+(Surface_Engine!L239*12)*INDEX(Surface_Engine!$F$12:$F$72,$A402+1)-(Surface_Engine!L239*12),1000*12*INDEX(Surface_Engine!$C$12:$C$72,$A402+1)/(1+Assumptions!$B$10)^22+INDEX(Surface_Engine!$D$12:$D$72,$A402+1)))*INDEX(Surface_Engine!$B$12:$B$72,$A402+1)+I403</f>
        <v>27329.1851941761</v>
      </c>
      <c r="J402" s="48" t="n">
        <f aca="false">B402*(IF($A402&lt;$Q$384,INDEX(Surface_Engine!$D$12:$D$72,$A402+1)*(1+Assumptions!$B$24)+(Surface_Engine!L239*12)*INDEX(Surface_Engine!$F$12:$F$72,$A402+1)-(Surface_Engine!L239*12),1000*12*INDEX(Surface_Engine!$C$12:$C$72,$A402+1)/(1+Assumptions!$B$10)^22+INDEX(Surface_Engine!$D$12:$D$72,$A402+1)*(1+Assumptions!$B$24)))*INDEX(Surface_Engine!$B$12:$B$72,$A402+1)+J403</f>
        <v>23971.9039328135</v>
      </c>
      <c r="K402" s="12" t="n">
        <f aca="false">SQRT((IF(C402&lt;=0,0,MAX(0,(B402/C402)*G402/INDEX(Surface_Engine!$B$12:$B$72,$A402+1)-F402/INDEX(Surface_Engine!$B$12:$B$72,$A402+1))))^2+(MAX(IF(D402&lt;=0,0,MAX(0,(B402/D402)*H402/INDEX(Surface_Engine!$B$12:$B$72,$A402+1)-F402/INDEX(Surface_Engine!$B$12:$B$72,$A402+1))),IF(E402&lt;=0,0,MAX(0,(B402/E402)*I402/INDEX(Surface_Engine!$B$12:$B$72,$A402+1)-F402/INDEX(Surface_Engine!$B$12:$B$72,$A402+1))),IF($A402&lt;$Q$384,MAX(0,-Assumptions!$B$22*(F402/INDEX(Surface_Engine!$B$12:$B$72,$A402+1))),0)))^2+(MAX(0,J402/INDEX(Surface_Engine!$B$12:$B$72,$A402+1)-(F402/INDEX(Surface_Engine!$B$12:$B$72,$A402+1))))^2+2*Assumptions!$B$26*(IF(C402&lt;=0,0,MAX(0,(B402/C402)*G402/INDEX(Surface_Engine!$B$12:$B$72,$A402+1)-F402/INDEX(Surface_Engine!$B$12:$B$72,$A402+1))))*(MAX(IF(D402&lt;=0,0,MAX(0,(B402/D402)*H402/INDEX(Surface_Engine!$B$12:$B$72,$A402+1)-F402/INDEX(Surface_Engine!$B$12:$B$72,$A402+1))),IF(E402&lt;=0,0,MAX(0,(B402/E402)*I402/INDEX(Surface_Engine!$B$12:$B$72,$A402+1)-F402/INDEX(Surface_Engine!$B$12:$B$72,$A402+1))),IF($A402&lt;$Q$384,MAX(0,-Assumptions!$B$22*(F402/INDEX(Surface_Engine!$B$12:$B$72,$A402+1))),0)))+2*Assumptions!$B$27*(IF(C402&lt;=0,0,MAX(0,(B402/C402)*G402/INDEX(Surface_Engine!$B$12:$B$72,$A402+1)-F402/INDEX(Surface_Engine!$B$12:$B$72,$A402+1))))*(MAX(0,J402/INDEX(Surface_Engine!$B$12:$B$72,$A402+1)-(F402/INDEX(Surface_Engine!$B$12:$B$72,$A402+1))))+2*Assumptions!$B$28*(MAX(IF(D402&lt;=0,0,MAX(0,(B402/D402)*H402/INDEX(Surface_Engine!$B$12:$B$72,$A402+1)-F402/INDEX(Surface_Engine!$B$12:$B$72,$A402+1))),IF(E402&lt;=0,0,MAX(0,(B402/E402)*I402/INDEX(Surface_Engine!$B$12:$B$72,$A402+1)-F402/INDEX(Surface_Engine!$B$12:$B$72,$A402+1))),IF($A402&lt;$Q$384,MAX(0,-Assumptions!$B$22*(F402/INDEX(Surface_Engine!$B$12:$B$72,$A402+1))),0)))*(MAX(0,J402/INDEX(Surface_Engine!$B$12:$B$72,$A402+1)-(F402/INDEX(Surface_Engine!$B$12:$B$72,$A402+1)))))</f>
        <v>8762.92469358443</v>
      </c>
      <c r="L402" s="48" t="n">
        <f aca="false">K402*INDEX(Surface_Engine!$B$12:$B$72,$A402+1)+L403</f>
        <v>58412.169136737</v>
      </c>
      <c r="M402" s="48" t="n">
        <f aca="false">M401+B401*(IF($A401&lt;$Q$384,(Surface_Engine!L239*12)-(Surface_Engine!L239*12)*INDEX(Surface_Engine!$F$12:$F$72,$A401+1)-INDEX(Surface_Engine!$D$12:$D$72,$A401+1),-(1000*12*INDEX(Surface_Engine!$C$12:$C$72,$A401+1)/(1+Assumptions!$B$10)^22+INDEX(Surface_Engine!$D$12:$D$72,$A401+1))))*INDEX(Surface_Engine!$B$12:$B$72,$A401+1)</f>
        <v>24988.0532682336</v>
      </c>
      <c r="N402" s="12" t="n">
        <f aca="false">IF(B402&lt;=0,0,MAX(0,(K402+Assumptions!$B$29*L402/INDEX(Surface_Engine!$B$12:$B$72,$A402+1)-(M402/INDEX(Surface_Engine!$B$12:$B$72,$A402+1)-(F402/INDEX(Surface_Engine!$B$12:$B$72,$A402+1))))/B402))</f>
        <v>18322.3605550484</v>
      </c>
    </row>
    <row r="403" customFormat="false" ht="15" hidden="false" customHeight="true" outlineLevel="0" collapsed="false">
      <c r="A403" s="1" t="n">
        <v>17</v>
      </c>
      <c r="B403" s="32" t="n">
        <f aca="false">INDEX(Surface_Engine!$J$12:$J$72,$A403+1)*IF($A403&lt;$Q$384,INDEX(Surface_Engine!$E$12:$E$72,$A403+1),INDEX(Surface_Engine!$E$12:$E$72,$Q$384+1))</f>
        <v>0.673448174500525</v>
      </c>
      <c r="C403" s="32" t="n">
        <f aca="false">INDEX(Panel_Reserving!$C$8:$C$68,$A403+1)*IF($A403&lt;$Q$384,INDEX(Surface_Engine!$E$12:$E$72,$A403+1),INDEX(Surface_Engine!$E$12:$E$72,$Q$384+1))</f>
        <v>0.698566431590241</v>
      </c>
      <c r="D403" s="32" t="n">
        <f aca="false">INDEX(Surface_Engine!$J$12:$J$72,$A403+1)*IF($A403&lt;$Q$384,INDEX(Surface_Engine!$Y$12:$Y$72,$A403+1),INDEX(Surface_Engine!$Y$12:$Y$72,$Q$384+1))</f>
        <v>0.604472770792341</v>
      </c>
      <c r="E403" s="32" t="n">
        <f aca="false">INDEX(Surface_Engine!$J$12:$J$72,$A403+1)*IF($A403&lt;$Q$384,INDEX(Surface_Engine!$Z$12:$Z$72,$A403+1),INDEX(Surface_Engine!$Z$12:$Z$72,$Q$384+1))</f>
        <v>0.749574234236939</v>
      </c>
      <c r="F403" s="48" t="n">
        <f aca="false">B403*(IF($A403&lt;$Q$384,INDEX(Surface_Engine!$D$12:$D$72,$A403+1)+(Surface_Engine!L239*12)*INDEX(Surface_Engine!$F$12:$F$72,$A403+1)-(Surface_Engine!L239*12),1000*12*INDEX(Surface_Engine!$C$12:$C$72,$A403+1)/(1+Assumptions!$B$10)^22+INDEX(Surface_Engine!$D$12:$D$72,$A403+1)))*INDEX(Surface_Engine!$B$12:$B$72,$A403+1)+F404</f>
        <v>24945.5296285427</v>
      </c>
      <c r="G403" s="48" t="n">
        <f aca="false">C403*(IF($A403&lt;$Q$384,INDEX(Surface_Engine!$D$12:$D$72,$A403+1)+(Surface_Engine!L239*12)*INDEX(Surface_Engine!$F$12:$F$72,$A403+1)-(Surface_Engine!L239*12),1000*12*INDEX(Surface_Engine!$C$12:$C$72,$A403+1)/(1+Assumptions!$B$10)^22+INDEX(Surface_Engine!$D$12:$D$72,$A403+1)))*INDEX(Surface_Engine!$B$12:$B$72,$A403+1)+G404</f>
        <v>31006.4849457784</v>
      </c>
      <c r="H403" s="48" t="n">
        <f aca="false">D403*(IF($A403&lt;$Q$384,INDEX(Surface_Engine!$D$12:$D$72,$A403+1)+(Surface_Engine!L239*12)*INDEX(Surface_Engine!$F$12:$F$72,$A403+1)-(Surface_Engine!L239*12),1000*12*INDEX(Surface_Engine!$C$12:$C$72,$A403+1)/(1+Assumptions!$B$10)^22+INDEX(Surface_Engine!$D$12:$D$72,$A403+1)))*INDEX(Surface_Engine!$B$12:$B$72,$A403+1)+H404</f>
        <v>21827.1968470144</v>
      </c>
      <c r="I403" s="48" t="n">
        <f aca="false">E403*(IF($A403&lt;$Q$384,INDEX(Surface_Engine!$D$12:$D$72,$A403+1)+(Surface_Engine!L239*12)*INDEX(Surface_Engine!$F$12:$F$72,$A403+1)-(Surface_Engine!L239*12),1000*12*INDEX(Surface_Engine!$C$12:$C$72,$A403+1)/(1+Assumptions!$B$10)^22+INDEX(Surface_Engine!$D$12:$D$72,$A403+1)))*INDEX(Surface_Engine!$B$12:$B$72,$A403+1)+I404</f>
        <v>28477.3051635486</v>
      </c>
      <c r="J403" s="48" t="n">
        <f aca="false">B403*(IF($A403&lt;$Q$384,INDEX(Surface_Engine!$D$12:$D$72,$A403+1)*(1+Assumptions!$B$24)+(Surface_Engine!L239*12)*INDEX(Surface_Engine!$F$12:$F$72,$A403+1)-(Surface_Engine!L239*12),1000*12*INDEX(Surface_Engine!$C$12:$C$72,$A403+1)/(1+Assumptions!$B$10)^22+INDEX(Surface_Engine!$D$12:$D$72,$A403+1)*(1+Assumptions!$B$24)))*INDEX(Surface_Engine!$B$12:$B$72,$A403+1)+J404</f>
        <v>25002.99611432</v>
      </c>
      <c r="K403" s="12" t="n">
        <f aca="false">SQRT((IF(C403&lt;=0,0,MAX(0,(B403/C403)*G403/INDEX(Surface_Engine!$B$12:$B$72,$A403+1)-F403/INDEX(Surface_Engine!$B$12:$B$72,$A403+1))))^2+(MAX(IF(D403&lt;=0,0,MAX(0,(B403/D403)*H403/INDEX(Surface_Engine!$B$12:$B$72,$A403+1)-F403/INDEX(Surface_Engine!$B$12:$B$72,$A403+1))),IF(E403&lt;=0,0,MAX(0,(B403/E403)*I403/INDEX(Surface_Engine!$B$12:$B$72,$A403+1)-F403/INDEX(Surface_Engine!$B$12:$B$72,$A403+1))),IF($A403&lt;$Q$384,MAX(0,-Assumptions!$B$22*(F403/INDEX(Surface_Engine!$B$12:$B$72,$A403+1))),0)))^2+(MAX(0,J403/INDEX(Surface_Engine!$B$12:$B$72,$A403+1)-(F403/INDEX(Surface_Engine!$B$12:$B$72,$A403+1))))^2+2*Assumptions!$B$26*(IF(C403&lt;=0,0,MAX(0,(B403/C403)*G403/INDEX(Surface_Engine!$B$12:$B$72,$A403+1)-F403/INDEX(Surface_Engine!$B$12:$B$72,$A403+1))))*(MAX(IF(D403&lt;=0,0,MAX(0,(B403/D403)*H403/INDEX(Surface_Engine!$B$12:$B$72,$A403+1)-F403/INDEX(Surface_Engine!$B$12:$B$72,$A403+1))),IF(E403&lt;=0,0,MAX(0,(B403/E403)*I403/INDEX(Surface_Engine!$B$12:$B$72,$A403+1)-F403/INDEX(Surface_Engine!$B$12:$B$72,$A403+1))),IF($A403&lt;$Q$384,MAX(0,-Assumptions!$B$22*(F403/INDEX(Surface_Engine!$B$12:$B$72,$A403+1))),0)))+2*Assumptions!$B$27*(IF(C403&lt;=0,0,MAX(0,(B403/C403)*G403/INDEX(Surface_Engine!$B$12:$B$72,$A403+1)-F403/INDEX(Surface_Engine!$B$12:$B$72,$A403+1))))*(MAX(0,J403/INDEX(Surface_Engine!$B$12:$B$72,$A403+1)-(F403/INDEX(Surface_Engine!$B$12:$B$72,$A403+1))))+2*Assumptions!$B$28*(MAX(IF(D403&lt;=0,0,MAX(0,(B403/D403)*H403/INDEX(Surface_Engine!$B$12:$B$72,$A403+1)-F403/INDEX(Surface_Engine!$B$12:$B$72,$A403+1))),IF(E403&lt;=0,0,MAX(0,(B403/E403)*I403/INDEX(Surface_Engine!$B$12:$B$72,$A403+1)-F403/INDEX(Surface_Engine!$B$12:$B$72,$A403+1))),IF($A403&lt;$Q$384,MAX(0,-Assumptions!$B$22*(F403/INDEX(Surface_Engine!$B$12:$B$72,$A403+1))),0)))*(MAX(0,J403/INDEX(Surface_Engine!$B$12:$B$72,$A403+1)-(F403/INDEX(Surface_Engine!$B$12:$B$72,$A403+1)))))</f>
        <v>8752.79098273825</v>
      </c>
      <c r="L403" s="48" t="n">
        <f aca="false">K403*INDEX(Surface_Engine!$B$12:$B$72,$A403+1)+L404</f>
        <v>53067.9726360071</v>
      </c>
      <c r="M403" s="48" t="n">
        <f aca="false">M402+B402*(IF($A402&lt;$Q$384,(Surface_Engine!L239*12)-(Surface_Engine!L239*12)*INDEX(Surface_Engine!$F$12:$F$72,$A402+1)-INDEX(Surface_Engine!$D$12:$D$72,$A402+1),-(1000*12*INDEX(Surface_Engine!$C$12:$C$72,$A402+1)/(1+Assumptions!$B$10)^22+INDEX(Surface_Engine!$D$12:$D$72,$A402+1))))*INDEX(Surface_Engine!$B$12:$B$72,$A402+1)</f>
        <v>26024.3077539531</v>
      </c>
      <c r="N403" s="12" t="n">
        <f aca="false">IF(B403&lt;=0,0,MAX(0,(K403+Assumptions!$B$29*L403/INDEX(Surface_Engine!$B$12:$B$72,$A403+1)-(M403/INDEX(Surface_Engine!$B$12:$B$72,$A403+1)-(F403/INDEX(Surface_Engine!$B$12:$B$72,$A403+1))))/B403))</f>
        <v>18298.6912246878</v>
      </c>
    </row>
    <row r="404" customFormat="false" ht="15" hidden="false" customHeight="true" outlineLevel="0" collapsed="false">
      <c r="A404" s="1" t="n">
        <v>18</v>
      </c>
      <c r="B404" s="32" t="n">
        <f aca="false">INDEX(Surface_Engine!$J$12:$J$72,$A404+1)*IF($A404&lt;$Q$384,INDEX(Surface_Engine!$E$12:$E$72,$A404+1),INDEX(Surface_Engine!$E$12:$E$72,$Q$384+1))</f>
        <v>0.649803323556463</v>
      </c>
      <c r="C404" s="32" t="n">
        <f aca="false">INDEX(Panel_Reserving!$C$8:$C$68,$A404+1)*IF($A404&lt;$Q$384,INDEX(Surface_Engine!$E$12:$E$72,$A404+1),INDEX(Surface_Engine!$E$12:$E$72,$Q$384+1))</f>
        <v>0.677673635772064</v>
      </c>
      <c r="D404" s="32" t="n">
        <f aca="false">INDEX(Surface_Engine!$J$12:$J$72,$A404+1)*IF($A404&lt;$Q$384,INDEX(Surface_Engine!$Y$12:$Y$72,$A404+1),INDEX(Surface_Engine!$Y$12:$Y$72,$Q$384+1))</f>
        <v>0.580571497872753</v>
      </c>
      <c r="E404" s="32" t="n">
        <f aca="false">INDEX(Surface_Engine!$J$12:$J$72,$A404+1)*IF($A404&lt;$Q$384,INDEX(Surface_Engine!$Z$12:$Z$72,$A404+1),INDEX(Surface_Engine!$Z$12:$Z$72,$Q$384+1))</f>
        <v>0.726577626594584</v>
      </c>
      <c r="F404" s="48" t="n">
        <f aca="false">B404*(IF($A404&lt;$Q$384,INDEX(Surface_Engine!$D$12:$D$72,$A404+1)+(Surface_Engine!L239*12)*INDEX(Surface_Engine!$F$12:$F$72,$A404+1)-(Surface_Engine!L239*12),1000*12*INDEX(Surface_Engine!$C$12:$C$72,$A404+1)/(1+Assumptions!$B$10)^22+INDEX(Surface_Engine!$D$12:$D$72,$A404+1)))*INDEX(Surface_Engine!$B$12:$B$72,$A404+1)+F405</f>
        <v>25914.6441500715</v>
      </c>
      <c r="G404" s="48" t="n">
        <f aca="false">C404*(IF($A404&lt;$Q$384,INDEX(Surface_Engine!$D$12:$D$72,$A404+1)+(Surface_Engine!L239*12)*INDEX(Surface_Engine!$F$12:$F$72,$A404+1)-(Surface_Engine!L239*12),1000*12*INDEX(Surface_Engine!$C$12:$C$72,$A404+1)/(1+Assumptions!$B$10)^22+INDEX(Surface_Engine!$D$12:$D$72,$A404+1)))*INDEX(Surface_Engine!$B$12:$B$72,$A404+1)+G405</f>
        <v>32011.7454821348</v>
      </c>
      <c r="H404" s="48" t="n">
        <f aca="false">D404*(IF($A404&lt;$Q$384,INDEX(Surface_Engine!$D$12:$D$72,$A404+1)+(Surface_Engine!L239*12)*INDEX(Surface_Engine!$F$12:$F$72,$A404+1)-(Surface_Engine!L239*12),1000*12*INDEX(Surface_Engine!$C$12:$C$72,$A404+1)/(1+Assumptions!$B$10)^22+INDEX(Surface_Engine!$D$12:$D$72,$A404+1)))*INDEX(Surface_Engine!$B$12:$B$72,$A404+1)+H405</f>
        <v>22697.0534480484</v>
      </c>
      <c r="I404" s="48" t="n">
        <f aca="false">E404*(IF($A404&lt;$Q$384,INDEX(Surface_Engine!$D$12:$D$72,$A404+1)+(Surface_Engine!L239*12)*INDEX(Surface_Engine!$F$12:$F$72,$A404+1)-(Surface_Engine!L239*12),1000*12*INDEX(Surface_Engine!$C$12:$C$72,$A404+1)/(1+Assumptions!$B$10)^22+INDEX(Surface_Engine!$D$12:$D$72,$A404+1)))*INDEX(Surface_Engine!$B$12:$B$72,$A404+1)+I405</f>
        <v>29555.9676395463</v>
      </c>
      <c r="J404" s="48" t="n">
        <f aca="false">B404*(IF($A404&lt;$Q$384,INDEX(Surface_Engine!$D$12:$D$72,$A404+1)*(1+Assumptions!$B$24)+(Surface_Engine!L239*12)*INDEX(Surface_Engine!$F$12:$F$72,$A404+1)-(Surface_Engine!L239*12),1000*12*INDEX(Surface_Engine!$C$12:$C$72,$A404+1)/(1+Assumptions!$B$10)^22+INDEX(Surface_Engine!$D$12:$D$72,$A404+1)*(1+Assumptions!$B$24)))*INDEX(Surface_Engine!$B$12:$B$72,$A404+1)+J405</f>
        <v>25967.1559359517</v>
      </c>
      <c r="K404" s="12" t="n">
        <f aca="false">SQRT((IF(C404&lt;=0,0,MAX(0,(B404/C404)*G404/INDEX(Surface_Engine!$B$12:$B$72,$A404+1)-F404/INDEX(Surface_Engine!$B$12:$B$72,$A404+1))))^2+(MAX(IF(D404&lt;=0,0,MAX(0,(B404/D404)*H404/INDEX(Surface_Engine!$B$12:$B$72,$A404+1)-F404/INDEX(Surface_Engine!$B$12:$B$72,$A404+1))),IF(E404&lt;=0,0,MAX(0,(B404/E404)*I404/INDEX(Surface_Engine!$B$12:$B$72,$A404+1)-F404/INDEX(Surface_Engine!$B$12:$B$72,$A404+1))),IF($A404&lt;$Q$384,MAX(0,-Assumptions!$B$22*(F404/INDEX(Surface_Engine!$B$12:$B$72,$A404+1))),0)))^2+(MAX(0,J404/INDEX(Surface_Engine!$B$12:$B$72,$A404+1)-(F404/INDEX(Surface_Engine!$B$12:$B$72,$A404+1))))^2+2*Assumptions!$B$26*(IF(C404&lt;=0,0,MAX(0,(B404/C404)*G404/INDEX(Surface_Engine!$B$12:$B$72,$A404+1)-F404/INDEX(Surface_Engine!$B$12:$B$72,$A404+1))))*(MAX(IF(D404&lt;=0,0,MAX(0,(B404/D404)*H404/INDEX(Surface_Engine!$B$12:$B$72,$A404+1)-F404/INDEX(Surface_Engine!$B$12:$B$72,$A404+1))),IF(E404&lt;=0,0,MAX(0,(B404/E404)*I404/INDEX(Surface_Engine!$B$12:$B$72,$A404+1)-F404/INDEX(Surface_Engine!$B$12:$B$72,$A404+1))),IF($A404&lt;$Q$384,MAX(0,-Assumptions!$B$22*(F404/INDEX(Surface_Engine!$B$12:$B$72,$A404+1))),0)))+2*Assumptions!$B$27*(IF(C404&lt;=0,0,MAX(0,(B404/C404)*G404/INDEX(Surface_Engine!$B$12:$B$72,$A404+1)-F404/INDEX(Surface_Engine!$B$12:$B$72,$A404+1))))*(MAX(0,J404/INDEX(Surface_Engine!$B$12:$B$72,$A404+1)-(F404/INDEX(Surface_Engine!$B$12:$B$72,$A404+1))))+2*Assumptions!$B$28*(MAX(IF(D404&lt;=0,0,MAX(0,(B404/D404)*H404/INDEX(Surface_Engine!$B$12:$B$72,$A404+1)-F404/INDEX(Surface_Engine!$B$12:$B$72,$A404+1))),IF(E404&lt;=0,0,MAX(0,(B404/E404)*I404/INDEX(Surface_Engine!$B$12:$B$72,$A404+1)-F404/INDEX(Surface_Engine!$B$12:$B$72,$A404+1))),IF($A404&lt;$Q$384,MAX(0,-Assumptions!$B$22*(F404/INDEX(Surface_Engine!$B$12:$B$72,$A404+1))),0)))*(MAX(0,J404/INDEX(Surface_Engine!$B$12:$B$72,$A404+1)-(F404/INDEX(Surface_Engine!$B$12:$B$72,$A404+1)))))</f>
        <v>8675.90206669758</v>
      </c>
      <c r="L404" s="48" t="n">
        <f aca="false">K404*INDEX(Surface_Engine!$B$12:$B$72,$A404+1)+L405</f>
        <v>47906.8976596863</v>
      </c>
      <c r="M404" s="48" t="n">
        <f aca="false">M403+B403*(IF($A403&lt;$Q$384,(Surface_Engine!L239*12)-(Surface_Engine!L239*12)*INDEX(Surface_Engine!$F$12:$F$72,$A403+1)-INDEX(Surface_Engine!$D$12:$D$72,$A403+1),-(1000*12*INDEX(Surface_Engine!$C$12:$C$72,$A403+1)/(1+Assumptions!$B$10)^22+INDEX(Surface_Engine!$D$12:$D$72,$A403+1))))*INDEX(Surface_Engine!$B$12:$B$72,$A403+1)</f>
        <v>26993.4222754818</v>
      </c>
      <c r="N404" s="12" t="n">
        <f aca="false">IF(B404&lt;=0,0,MAX(0,(K404+Assumptions!$B$29*L404/INDEX(Surface_Engine!$B$12:$B$72,$A404+1)-(M404/INDEX(Surface_Engine!$B$12:$B$72,$A404+1)-(F404/INDEX(Surface_Engine!$B$12:$B$72,$A404+1))))/B404))</f>
        <v>18193.5192431947</v>
      </c>
    </row>
    <row r="405" customFormat="false" ht="15" hidden="false" customHeight="true" outlineLevel="0" collapsed="false">
      <c r="A405" s="1" t="n">
        <v>19</v>
      </c>
      <c r="B405" s="32" t="n">
        <f aca="false">INDEX(Surface_Engine!$J$12:$J$72,$A405+1)*IF($A405&lt;$Q$384,INDEX(Surface_Engine!$E$12:$E$72,$A405+1),INDEX(Surface_Engine!$E$12:$E$72,$Q$384+1))</f>
        <v>0.624921844151631</v>
      </c>
      <c r="C405" s="32" t="n">
        <f aca="false">INDEX(Panel_Reserving!$C$8:$C$68,$A405+1)*IF($A405&lt;$Q$384,INDEX(Surface_Engine!$E$12:$E$72,$A405+1),INDEX(Surface_Engine!$E$12:$E$72,$Q$384+1))</f>
        <v>0.655681345323026</v>
      </c>
      <c r="D405" s="32" t="n">
        <f aca="false">INDEX(Surface_Engine!$J$12:$J$72,$A405+1)*IF($A405&lt;$Q$384,INDEX(Surface_Engine!$Y$12:$Y$72,$A405+1),INDEX(Surface_Engine!$Y$12:$Y$72,$Q$384+1))</f>
        <v>0.555777177646106</v>
      </c>
      <c r="E405" s="32" t="n">
        <f aca="false">INDEX(Surface_Engine!$J$12:$J$72,$A405+1)*IF($A405&lt;$Q$384,INDEX(Surface_Engine!$Z$12:$Z$72,$A405+1),INDEX(Surface_Engine!$Z$12:$Z$72,$Q$384+1))</f>
        <v>0.701964938175274</v>
      </c>
      <c r="F405" s="48" t="n">
        <f aca="false">B405*(IF($A405&lt;$Q$384,INDEX(Surface_Engine!$D$12:$D$72,$A405+1)+(Surface_Engine!L239*12)*INDEX(Surface_Engine!$F$12:$F$72,$A405+1)-(Surface_Engine!L239*12),1000*12*INDEX(Surface_Engine!$C$12:$C$72,$A405+1)/(1+Assumptions!$B$10)^22+INDEX(Surface_Engine!$D$12:$D$72,$A405+1)))*INDEX(Surface_Engine!$B$12:$B$72,$A405+1)+F406</f>
        <v>26818.5452284994</v>
      </c>
      <c r="G405" s="48" t="n">
        <f aca="false">C405*(IF($A405&lt;$Q$384,INDEX(Surface_Engine!$D$12:$D$72,$A405+1)+(Surface_Engine!L239*12)*INDEX(Surface_Engine!$F$12:$F$72,$A405+1)-(Surface_Engine!L239*12),1000*12*INDEX(Surface_Engine!$C$12:$C$72,$A405+1)/(1+Assumptions!$B$10)^22+INDEX(Surface_Engine!$D$12:$D$72,$A405+1)))*INDEX(Surface_Engine!$B$12:$B$72,$A405+1)+G406</f>
        <v>32954.4152223324</v>
      </c>
      <c r="H405" s="48" t="n">
        <f aca="false">D405*(IF($A405&lt;$Q$384,INDEX(Surface_Engine!$D$12:$D$72,$A405+1)+(Surface_Engine!L239*12)*INDEX(Surface_Engine!$F$12:$F$72,$A405+1)-(Surface_Engine!L239*12),1000*12*INDEX(Surface_Engine!$C$12:$C$72,$A405+1)/(1+Assumptions!$B$10)^22+INDEX(Surface_Engine!$D$12:$D$72,$A405+1)))*INDEX(Surface_Engine!$B$12:$B$72,$A405+1)+H406</f>
        <v>23504.6504301006</v>
      </c>
      <c r="I405" s="48" t="n">
        <f aca="false">E405*(IF($A405&lt;$Q$384,INDEX(Surface_Engine!$D$12:$D$72,$A405+1)+(Surface_Engine!L239*12)*INDEX(Surface_Engine!$F$12:$F$72,$A405+1)-(Surface_Engine!L239*12),1000*12*INDEX(Surface_Engine!$C$12:$C$72,$A405+1)/(1+Assumptions!$B$10)^22+INDEX(Surface_Engine!$D$12:$D$72,$A405+1)))*INDEX(Surface_Engine!$B$12:$B$72,$A405+1)+I406</f>
        <v>30566.6646865326</v>
      </c>
      <c r="J405" s="48" t="n">
        <f aca="false">B405*(IF($A405&lt;$Q$384,INDEX(Surface_Engine!$D$12:$D$72,$A405+1)*(1+Assumptions!$B$24)+(Surface_Engine!L239*12)*INDEX(Surface_Engine!$F$12:$F$72,$A405+1)-(Surface_Engine!L239*12),1000*12*INDEX(Surface_Engine!$C$12:$C$72,$A405+1)/(1+Assumptions!$B$10)^22+INDEX(Surface_Engine!$D$12:$D$72,$A405+1)*(1+Assumptions!$B$24)))*INDEX(Surface_Engine!$B$12:$B$72,$A405+1)+J406</f>
        <v>26866.3141307121</v>
      </c>
      <c r="K405" s="12" t="n">
        <f aca="false">SQRT((IF(C405&lt;=0,0,MAX(0,(B405/C405)*G405/INDEX(Surface_Engine!$B$12:$B$72,$A405+1)-F405/INDEX(Surface_Engine!$B$12:$B$72,$A405+1))))^2+(MAX(IF(D405&lt;=0,0,MAX(0,(B405/D405)*H405/INDEX(Surface_Engine!$B$12:$B$72,$A405+1)-F405/INDEX(Surface_Engine!$B$12:$B$72,$A405+1))),IF(E405&lt;=0,0,MAX(0,(B405/E405)*I405/INDEX(Surface_Engine!$B$12:$B$72,$A405+1)-F405/INDEX(Surface_Engine!$B$12:$B$72,$A405+1))),IF($A405&lt;$Q$384,MAX(0,-Assumptions!$B$22*(F405/INDEX(Surface_Engine!$B$12:$B$72,$A405+1))),0)))^2+(MAX(0,J405/INDEX(Surface_Engine!$B$12:$B$72,$A405+1)-(F405/INDEX(Surface_Engine!$B$12:$B$72,$A405+1))))^2+2*Assumptions!$B$26*(IF(C405&lt;=0,0,MAX(0,(B405/C405)*G405/INDEX(Surface_Engine!$B$12:$B$72,$A405+1)-F405/INDEX(Surface_Engine!$B$12:$B$72,$A405+1))))*(MAX(IF(D405&lt;=0,0,MAX(0,(B405/D405)*H405/INDEX(Surface_Engine!$B$12:$B$72,$A405+1)-F405/INDEX(Surface_Engine!$B$12:$B$72,$A405+1))),IF(E405&lt;=0,0,MAX(0,(B405/E405)*I405/INDEX(Surface_Engine!$B$12:$B$72,$A405+1)-F405/INDEX(Surface_Engine!$B$12:$B$72,$A405+1))),IF($A405&lt;$Q$384,MAX(0,-Assumptions!$B$22*(F405/INDEX(Surface_Engine!$B$12:$B$72,$A405+1))),0)))+2*Assumptions!$B$27*(IF(C405&lt;=0,0,MAX(0,(B405/C405)*G405/INDEX(Surface_Engine!$B$12:$B$72,$A405+1)-F405/INDEX(Surface_Engine!$B$12:$B$72,$A405+1))))*(MAX(0,J405/INDEX(Surface_Engine!$B$12:$B$72,$A405+1)-(F405/INDEX(Surface_Engine!$B$12:$B$72,$A405+1))))+2*Assumptions!$B$28*(MAX(IF(D405&lt;=0,0,MAX(0,(B405/D405)*H405/INDEX(Surface_Engine!$B$12:$B$72,$A405+1)-F405/INDEX(Surface_Engine!$B$12:$B$72,$A405+1))),IF(E405&lt;=0,0,MAX(0,(B405/E405)*I405/INDEX(Surface_Engine!$B$12:$B$72,$A405+1)-F405/INDEX(Surface_Engine!$B$12:$B$72,$A405+1))),IF($A405&lt;$Q$384,MAX(0,-Assumptions!$B$22*(F405/INDEX(Surface_Engine!$B$12:$B$72,$A405+1))),0)))*(MAX(0,J405/INDEX(Surface_Engine!$B$12:$B$72,$A405+1)-(F405/INDEX(Surface_Engine!$B$12:$B$72,$A405+1)))))</f>
        <v>8532.4084057725</v>
      </c>
      <c r="L405" s="48" t="n">
        <f aca="false">K405*INDEX(Surface_Engine!$B$12:$B$72,$A405+1)+L406</f>
        <v>42955.4549799112</v>
      </c>
      <c r="M405" s="48" t="n">
        <f aca="false">M404+B404*(IF($A404&lt;$Q$384,(Surface_Engine!L239*12)-(Surface_Engine!L239*12)*INDEX(Surface_Engine!$F$12:$F$72,$A404+1)-INDEX(Surface_Engine!$D$12:$D$72,$A404+1),-(1000*12*INDEX(Surface_Engine!$C$12:$C$72,$A404+1)/(1+Assumptions!$B$10)^22+INDEX(Surface_Engine!$D$12:$D$72,$A404+1))))*INDEX(Surface_Engine!$B$12:$B$72,$A404+1)</f>
        <v>27897.3233539098</v>
      </c>
      <c r="N405" s="12" t="n">
        <f aca="false">IF(B405&lt;=0,0,MAX(0,(K405+Assumptions!$B$29*L405/INDEX(Surface_Engine!$B$12:$B$72,$A405+1)-(M405/INDEX(Surface_Engine!$B$12:$B$72,$A405+1)-(F405/INDEX(Surface_Engine!$B$12:$B$72,$A405+1))))/B405))</f>
        <v>17990.6715499493</v>
      </c>
    </row>
    <row r="406" customFormat="false" ht="15" hidden="false" customHeight="true" outlineLevel="0" collapsed="false">
      <c r="A406" s="1" t="n">
        <v>20</v>
      </c>
      <c r="B406" s="32" t="n">
        <f aca="false">INDEX(Surface_Engine!$J$12:$J$72,$A406+1)*IF($A406&lt;$Q$384,INDEX(Surface_Engine!$E$12:$E$72,$A406+1),INDEX(Surface_Engine!$E$12:$E$72,$Q$384+1))</f>
        <v>0.598759014866824</v>
      </c>
      <c r="C406" s="32" t="n">
        <f aca="false">INDEX(Panel_Reserving!$C$8:$C$68,$A406+1)*IF($A406&lt;$Q$384,INDEX(Surface_Engine!$E$12:$E$72,$A406+1),INDEX(Surface_Engine!$E$12:$E$72,$Q$384+1))</f>
        <v>0.632527525878965</v>
      </c>
      <c r="D406" s="32" t="n">
        <f aca="false">INDEX(Surface_Engine!$J$12:$J$72,$A406+1)*IF($A406&lt;$Q$384,INDEX(Surface_Engine!$Y$12:$Y$72,$A406+1),INDEX(Surface_Engine!$Y$12:$Y$72,$Q$384+1))</f>
        <v>0.530063974898776</v>
      </c>
      <c r="E406" s="32" t="n">
        <f aca="false">INDEX(Surface_Engine!$J$12:$J$72,$A406+1)*IF($A406&lt;$Q$384,INDEX(Surface_Engine!$Z$12:$Z$72,$A406+1),INDEX(Surface_Engine!$Z$12:$Z$72,$Q$384+1))</f>
        <v>0.675664968538323</v>
      </c>
      <c r="F406" s="48" t="n">
        <f aca="false">B406*(IF($A406&lt;$Q$384,INDEX(Surface_Engine!$D$12:$D$72,$A406+1)+(Surface_Engine!L239*12)*INDEX(Surface_Engine!$F$12:$F$72,$A406+1)-(Surface_Engine!L239*12),1000*12*INDEX(Surface_Engine!$C$12:$C$72,$A406+1)/(1+Assumptions!$B$10)^22+INDEX(Surface_Engine!$D$12:$D$72,$A406+1)))*INDEX(Surface_Engine!$B$12:$B$72,$A406+1)+F407</f>
        <v>27659.5961210254</v>
      </c>
      <c r="G406" s="48" t="n">
        <f aca="false">C406*(IF($A406&lt;$Q$384,INDEX(Surface_Engine!$D$12:$D$72,$A406+1)+(Surface_Engine!L239*12)*INDEX(Surface_Engine!$F$12:$F$72,$A406+1)-(Surface_Engine!L239*12),1000*12*INDEX(Surface_Engine!$C$12:$C$72,$A406+1)/(1+Assumptions!$B$10)^22+INDEX(Surface_Engine!$D$12:$D$72,$A406+1)))*INDEX(Surface_Engine!$B$12:$B$72,$A406+1)+G407</f>
        <v>33836.8637810722</v>
      </c>
      <c r="H406" s="48" t="n">
        <f aca="false">D406*(IF($A406&lt;$Q$384,INDEX(Surface_Engine!$D$12:$D$72,$A406+1)+(Surface_Engine!L239*12)*INDEX(Surface_Engine!$F$12:$F$72,$A406+1)-(Surface_Engine!L239*12),1000*12*INDEX(Surface_Engine!$C$12:$C$72,$A406+1)/(1+Assumptions!$B$10)^22+INDEX(Surface_Engine!$D$12:$D$72,$A406+1)))*INDEX(Surface_Engine!$B$12:$B$72,$A406+1)+H407</f>
        <v>24252.6429921776</v>
      </c>
      <c r="I406" s="48" t="n">
        <f aca="false">E406*(IF($A406&lt;$Q$384,INDEX(Surface_Engine!$D$12:$D$72,$A406+1)+(Surface_Engine!L239*12)*INDEX(Surface_Engine!$F$12:$F$72,$A406+1)-(Surface_Engine!L239*12),1000*12*INDEX(Surface_Engine!$C$12:$C$72,$A406+1)/(1+Assumptions!$B$10)^22+INDEX(Surface_Engine!$D$12:$D$72,$A406+1)))*INDEX(Surface_Engine!$B$12:$B$72,$A406+1)+I407</f>
        <v>31511.4040060163</v>
      </c>
      <c r="J406" s="48" t="n">
        <f aca="false">B406*(IF($A406&lt;$Q$384,INDEX(Surface_Engine!$D$12:$D$72,$A406+1)*(1+Assumptions!$B$24)+(Surface_Engine!L239*12)*INDEX(Surface_Engine!$F$12:$F$72,$A406+1)-(Surface_Engine!L239*12),1000*12*INDEX(Surface_Engine!$C$12:$C$72,$A406+1)/(1+Assumptions!$B$10)^22+INDEX(Surface_Engine!$D$12:$D$72,$A406+1)*(1+Assumptions!$B$24)))*INDEX(Surface_Engine!$B$12:$B$72,$A406+1)+J407</f>
        <v>27702.8356534084</v>
      </c>
      <c r="K406" s="12" t="n">
        <f aca="false">SQRT((IF(C406&lt;=0,0,MAX(0,(B406/C406)*G406/INDEX(Surface_Engine!$B$12:$B$72,$A406+1)-F406/INDEX(Surface_Engine!$B$12:$B$72,$A406+1))))^2+(MAX(IF(D406&lt;=0,0,MAX(0,(B406/D406)*H406/INDEX(Surface_Engine!$B$12:$B$72,$A406+1)-F406/INDEX(Surface_Engine!$B$12:$B$72,$A406+1))),IF(E406&lt;=0,0,MAX(0,(B406/E406)*I406/INDEX(Surface_Engine!$B$12:$B$72,$A406+1)-F406/INDEX(Surface_Engine!$B$12:$B$72,$A406+1))),IF($A406&lt;$Q$384,MAX(0,-Assumptions!$B$22*(F406/INDEX(Surface_Engine!$B$12:$B$72,$A406+1))),0)))^2+(MAX(0,J406/INDEX(Surface_Engine!$B$12:$B$72,$A406+1)-(F406/INDEX(Surface_Engine!$B$12:$B$72,$A406+1))))^2+2*Assumptions!$B$26*(IF(C406&lt;=0,0,MAX(0,(B406/C406)*G406/INDEX(Surface_Engine!$B$12:$B$72,$A406+1)-F406/INDEX(Surface_Engine!$B$12:$B$72,$A406+1))))*(MAX(IF(D406&lt;=0,0,MAX(0,(B406/D406)*H406/INDEX(Surface_Engine!$B$12:$B$72,$A406+1)-F406/INDEX(Surface_Engine!$B$12:$B$72,$A406+1))),IF(E406&lt;=0,0,MAX(0,(B406/E406)*I406/INDEX(Surface_Engine!$B$12:$B$72,$A406+1)-F406/INDEX(Surface_Engine!$B$12:$B$72,$A406+1))),IF($A406&lt;$Q$384,MAX(0,-Assumptions!$B$22*(F406/INDEX(Surface_Engine!$B$12:$B$72,$A406+1))),0)))+2*Assumptions!$B$27*(IF(C406&lt;=0,0,MAX(0,(B406/C406)*G406/INDEX(Surface_Engine!$B$12:$B$72,$A406+1)-F406/INDEX(Surface_Engine!$B$12:$B$72,$A406+1))))*(MAX(0,J406/INDEX(Surface_Engine!$B$12:$B$72,$A406+1)-(F406/INDEX(Surface_Engine!$B$12:$B$72,$A406+1))))+2*Assumptions!$B$28*(MAX(IF(D406&lt;=0,0,MAX(0,(B406/D406)*H406/INDEX(Surface_Engine!$B$12:$B$72,$A406+1)-F406/INDEX(Surface_Engine!$B$12:$B$72,$A406+1))),IF(E406&lt;=0,0,MAX(0,(B406/E406)*I406/INDEX(Surface_Engine!$B$12:$B$72,$A406+1)-F406/INDEX(Surface_Engine!$B$12:$B$72,$A406+1))),IF($A406&lt;$Q$384,MAX(0,-Assumptions!$B$22*(F406/INDEX(Surface_Engine!$B$12:$B$72,$A406+1))),0)))*(MAX(0,J406/INDEX(Surface_Engine!$B$12:$B$72,$A406+1)-(F406/INDEX(Surface_Engine!$B$12:$B$72,$A406+1)))))</f>
        <v>8317.48038415405</v>
      </c>
      <c r="L406" s="48" t="n">
        <f aca="false">K406*INDEX(Surface_Engine!$B$12:$B$72,$A406+1)+L407</f>
        <v>38237.9060069622</v>
      </c>
      <c r="M406" s="48" t="n">
        <f aca="false">M405+B405*(IF($A405&lt;$Q$384,(Surface_Engine!L239*12)-(Surface_Engine!L239*12)*INDEX(Surface_Engine!$F$12:$F$72,$A405+1)-INDEX(Surface_Engine!$D$12:$D$72,$A405+1),-(1000*12*INDEX(Surface_Engine!$C$12:$C$72,$A405+1)/(1+Assumptions!$B$10)^22+INDEX(Surface_Engine!$D$12:$D$72,$A405+1))))*INDEX(Surface_Engine!$B$12:$B$72,$A405+1)</f>
        <v>28738.3742464358</v>
      </c>
      <c r="N406" s="12" t="n">
        <f aca="false">IF(B406&lt;=0,0,MAX(0,(K406+Assumptions!$B$29*L406/INDEX(Surface_Engine!$B$12:$B$72,$A406+1)-(M406/INDEX(Surface_Engine!$B$12:$B$72,$A406+1)-(F406/INDEX(Surface_Engine!$B$12:$B$72,$A406+1))))/B406))</f>
        <v>17679.8615609134</v>
      </c>
    </row>
    <row r="407" customFormat="false" ht="15" hidden="false" customHeight="true" outlineLevel="0" collapsed="false">
      <c r="A407" s="1" t="n">
        <v>21</v>
      </c>
      <c r="B407" s="32" t="n">
        <f aca="false">INDEX(Surface_Engine!$J$12:$J$72,$A407+1)*IF($A407&lt;$Q$384,INDEX(Surface_Engine!$E$12:$E$72,$A407+1),INDEX(Surface_Engine!$E$12:$E$72,$Q$384+1))</f>
        <v>0.571292202059264</v>
      </c>
      <c r="C407" s="32" t="n">
        <f aca="false">INDEX(Panel_Reserving!$C$8:$C$68,$A407+1)*IF($A407&lt;$Q$384,INDEX(Surface_Engine!$E$12:$E$72,$A407+1),INDEX(Surface_Engine!$E$12:$E$72,$Q$384+1))</f>
        <v>0.608163627894972</v>
      </c>
      <c r="D407" s="32" t="n">
        <f aca="false">INDEX(Surface_Engine!$J$12:$J$72,$A407+1)*IF($A407&lt;$Q$384,INDEX(Surface_Engine!$Y$12:$Y$72,$A407+1),INDEX(Surface_Engine!$Y$12:$Y$72,$Q$384+1))</f>
        <v>0.503426114781229</v>
      </c>
      <c r="E407" s="32" t="n">
        <f aca="false">INDEX(Surface_Engine!$J$12:$J$72,$A407+1)*IF($A407&lt;$Q$384,INDEX(Surface_Engine!$Z$12:$Z$72,$A407+1),INDEX(Surface_Engine!$Z$12:$Z$72,$Q$384+1))</f>
        <v>0.647630443930346</v>
      </c>
      <c r="F407" s="48" t="n">
        <f aca="false">B407*(IF($A407&lt;$Q$384,INDEX(Surface_Engine!$D$12:$D$72,$A407+1)+(Surface_Engine!L239*12)*INDEX(Surface_Engine!$F$12:$F$72,$A407+1)-(Surface_Engine!L239*12),1000*12*INDEX(Surface_Engine!$C$12:$C$72,$A407+1)/(1+Assumptions!$B$10)^22+INDEX(Surface_Engine!$D$12:$D$72,$A407+1)))*INDEX(Surface_Engine!$B$12:$B$72,$A407+1)+F408</f>
        <v>28439.487877304</v>
      </c>
      <c r="G407" s="48" t="n">
        <f aca="false">C407*(IF($A407&lt;$Q$384,INDEX(Surface_Engine!$D$12:$D$72,$A407+1)+(Surface_Engine!L239*12)*INDEX(Surface_Engine!$F$12:$F$72,$A407+1)-(Surface_Engine!L239*12),1000*12*INDEX(Surface_Engine!$C$12:$C$72,$A407+1)/(1+Assumptions!$B$10)^22+INDEX(Surface_Engine!$D$12:$D$72,$A407+1)))*INDEX(Surface_Engine!$B$12:$B$72,$A407+1)+G408</f>
        <v>34660.7394819866</v>
      </c>
      <c r="H407" s="48" t="n">
        <f aca="false">D407*(IF($A407&lt;$Q$384,INDEX(Surface_Engine!$D$12:$D$72,$A407+1)+(Surface_Engine!L239*12)*INDEX(Surface_Engine!$F$12:$F$72,$A407+1)-(Surface_Engine!L239*12),1000*12*INDEX(Surface_Engine!$C$12:$C$72,$A407+1)/(1+Assumptions!$B$10)^22+INDEX(Surface_Engine!$D$12:$D$72,$A407+1)))*INDEX(Surface_Engine!$B$12:$B$72,$A407+1)+H408</f>
        <v>24943.0585250706</v>
      </c>
      <c r="I407" s="48" t="n">
        <f aca="false">E407*(IF($A407&lt;$Q$384,INDEX(Surface_Engine!$D$12:$D$72,$A407+1)+(Surface_Engine!L239*12)*INDEX(Surface_Engine!$F$12:$F$72,$A407+1)-(Surface_Engine!L239*12),1000*12*INDEX(Surface_Engine!$C$12:$C$72,$A407+1)/(1+Assumptions!$B$10)^22+INDEX(Surface_Engine!$D$12:$D$72,$A407+1)))*INDEX(Surface_Engine!$B$12:$B$72,$A407+1)+I408</f>
        <v>32391.4668123966</v>
      </c>
      <c r="J407" s="48" t="n">
        <f aca="false">B407*(IF($A407&lt;$Q$384,INDEX(Surface_Engine!$D$12:$D$72,$A407+1)*(1+Assumptions!$B$24)+(Surface_Engine!L239*12)*INDEX(Surface_Engine!$F$12:$F$72,$A407+1)-(Surface_Engine!L239*12),1000*12*INDEX(Surface_Engine!$C$12:$C$72,$A407+1)/(1+Assumptions!$B$10)^22+INDEX(Surface_Engine!$D$12:$D$72,$A407+1)*(1+Assumptions!$B$24)))*INDEX(Surface_Engine!$B$12:$B$72,$A407+1)+J408</f>
        <v>28478.4166004472</v>
      </c>
      <c r="K407" s="12" t="n">
        <f aca="false">SQRT((IF(C407&lt;=0,0,MAX(0,(B407/C407)*G407/INDEX(Surface_Engine!$B$12:$B$72,$A407+1)-F407/INDEX(Surface_Engine!$B$12:$B$72,$A407+1))))^2+(MAX(IF(D407&lt;=0,0,MAX(0,(B407/D407)*H407/INDEX(Surface_Engine!$B$12:$B$72,$A407+1)-F407/INDEX(Surface_Engine!$B$12:$B$72,$A407+1))),IF(E407&lt;=0,0,MAX(0,(B407/E407)*I407/INDEX(Surface_Engine!$B$12:$B$72,$A407+1)-F407/INDEX(Surface_Engine!$B$12:$B$72,$A407+1))),IF($A407&lt;$Q$384,MAX(0,-Assumptions!$B$22*(F407/INDEX(Surface_Engine!$B$12:$B$72,$A407+1))),0)))^2+(MAX(0,J407/INDEX(Surface_Engine!$B$12:$B$72,$A407+1)-(F407/INDEX(Surface_Engine!$B$12:$B$72,$A407+1))))^2+2*Assumptions!$B$26*(IF(C407&lt;=0,0,MAX(0,(B407/C407)*G407/INDEX(Surface_Engine!$B$12:$B$72,$A407+1)-F407/INDEX(Surface_Engine!$B$12:$B$72,$A407+1))))*(MAX(IF(D407&lt;=0,0,MAX(0,(B407/D407)*H407/INDEX(Surface_Engine!$B$12:$B$72,$A407+1)-F407/INDEX(Surface_Engine!$B$12:$B$72,$A407+1))),IF(E407&lt;=0,0,MAX(0,(B407/E407)*I407/INDEX(Surface_Engine!$B$12:$B$72,$A407+1)-F407/INDEX(Surface_Engine!$B$12:$B$72,$A407+1))),IF($A407&lt;$Q$384,MAX(0,-Assumptions!$B$22*(F407/INDEX(Surface_Engine!$B$12:$B$72,$A407+1))),0)))+2*Assumptions!$B$27*(IF(C407&lt;=0,0,MAX(0,(B407/C407)*G407/INDEX(Surface_Engine!$B$12:$B$72,$A407+1)-F407/INDEX(Surface_Engine!$B$12:$B$72,$A407+1))))*(MAX(0,J407/INDEX(Surface_Engine!$B$12:$B$72,$A407+1)-(F407/INDEX(Surface_Engine!$B$12:$B$72,$A407+1))))+2*Assumptions!$B$28*(MAX(IF(D407&lt;=0,0,MAX(0,(B407/D407)*H407/INDEX(Surface_Engine!$B$12:$B$72,$A407+1)-F407/INDEX(Surface_Engine!$B$12:$B$72,$A407+1))),IF(E407&lt;=0,0,MAX(0,(B407/E407)*I407/INDEX(Surface_Engine!$B$12:$B$72,$A407+1)-F407/INDEX(Surface_Engine!$B$12:$B$72,$A407+1))),IF($A407&lt;$Q$384,MAX(0,-Assumptions!$B$22*(F407/INDEX(Surface_Engine!$B$12:$B$72,$A407+1))),0)))*(MAX(0,J407/INDEX(Surface_Engine!$B$12:$B$72,$A407+1)-(F407/INDEX(Surface_Engine!$B$12:$B$72,$A407+1)))))</f>
        <v>8022.69903493079</v>
      </c>
      <c r="L407" s="48" t="n">
        <f aca="false">K407*INDEX(Surface_Engine!$B$12:$B$72,$A407+1)+L408</f>
        <v>33781.2679460411</v>
      </c>
      <c r="M407" s="48" t="n">
        <f aca="false">M406+B406*(IF($A406&lt;$Q$384,(Surface_Engine!L239*12)-(Surface_Engine!L239*12)*INDEX(Surface_Engine!$F$12:$F$72,$A406+1)-INDEX(Surface_Engine!$D$12:$D$72,$A406+1),-(1000*12*INDEX(Surface_Engine!$C$12:$C$72,$A406+1)/(1+Assumptions!$B$10)^22+INDEX(Surface_Engine!$D$12:$D$72,$A406+1))))*INDEX(Surface_Engine!$B$12:$B$72,$A406+1)</f>
        <v>29518.2660027143</v>
      </c>
      <c r="N407" s="12" t="n">
        <f aca="false">IF(B407&lt;=0,0,MAX(0,(K407+Assumptions!$B$29*L407/INDEX(Surface_Engine!$B$12:$B$72,$A407+1)-(M407/INDEX(Surface_Engine!$B$12:$B$72,$A407+1)-(F407/INDEX(Surface_Engine!$B$12:$B$72,$A407+1))))/B407))</f>
        <v>17239.1495766972</v>
      </c>
    </row>
    <row r="408" customFormat="false" ht="15" hidden="false" customHeight="true" outlineLevel="0" collapsed="false">
      <c r="A408" s="1" t="n">
        <v>22</v>
      </c>
      <c r="B408" s="32" t="n">
        <f aca="false">INDEX(Surface_Engine!$J$12:$J$72,$A408+1)*IF($A408&lt;$Q$384,INDEX(Surface_Engine!$E$12:$E$72,$A408+1),INDEX(Surface_Engine!$E$12:$E$72,$Q$384+1))</f>
        <v>0.542527507608615</v>
      </c>
      <c r="C408" s="32" t="n">
        <f aca="false">INDEX(Panel_Reserving!$C$8:$C$68,$A408+1)*IF($A408&lt;$Q$384,INDEX(Surface_Engine!$E$12:$E$72,$A408+1),INDEX(Surface_Engine!$E$12:$E$72,$Q$384+1))</f>
        <v>0.582559826679582</v>
      </c>
      <c r="D408" s="32" t="n">
        <f aca="false">INDEX(Surface_Engine!$J$12:$J$72,$A408+1)*IF($A408&lt;$Q$384,INDEX(Surface_Engine!$Y$12:$Y$72,$A408+1),INDEX(Surface_Engine!$Y$12:$Y$72,$Q$384+1))</f>
        <v>0.475883259742155</v>
      </c>
      <c r="E408" s="32" t="n">
        <f aca="false">INDEX(Surface_Engine!$J$12:$J$72,$A408+1)*IF($A408&lt;$Q$384,INDEX(Surface_Engine!$Z$12:$Z$72,$A408+1),INDEX(Surface_Engine!$Z$12:$Z$72,$Q$384+1))</f>
        <v>0.617846150763654</v>
      </c>
      <c r="F408" s="48" t="n">
        <f aca="false">B408*(IF($A408&lt;$Q$384,INDEX(Surface_Engine!$D$12:$D$72,$A408+1)+(Surface_Engine!L239*12)*INDEX(Surface_Engine!$F$12:$F$72,$A408+1)-(Surface_Engine!L239*12),1000*12*INDEX(Surface_Engine!$C$12:$C$72,$A408+1)/(1+Assumptions!$B$10)^22+INDEX(Surface_Engine!$D$12:$D$72,$A408+1)))*INDEX(Surface_Engine!$B$12:$B$72,$A408+1)+F409</f>
        <v>29159.6037602193</v>
      </c>
      <c r="G408" s="48" t="n">
        <f aca="false">C408*(IF($A408&lt;$Q$384,INDEX(Surface_Engine!$D$12:$D$72,$A408+1)+(Surface_Engine!L239*12)*INDEX(Surface_Engine!$F$12:$F$72,$A408+1)-(Surface_Engine!L239*12),1000*12*INDEX(Surface_Engine!$C$12:$C$72,$A408+1)/(1+Assumptions!$B$10)^22+INDEX(Surface_Engine!$D$12:$D$72,$A408+1)))*INDEX(Surface_Engine!$B$12:$B$72,$A408+1)+G409</f>
        <v>35427.3319302644</v>
      </c>
      <c r="H408" s="48" t="n">
        <f aca="false">D408*(IF($A408&lt;$Q$384,INDEX(Surface_Engine!$D$12:$D$72,$A408+1)+(Surface_Engine!L239*12)*INDEX(Surface_Engine!$F$12:$F$72,$A408+1)-(Surface_Engine!L239*12),1000*12*INDEX(Surface_Engine!$C$12:$C$72,$A408+1)/(1+Assumptions!$B$10)^22+INDEX(Surface_Engine!$D$12:$D$72,$A408+1)))*INDEX(Surface_Engine!$B$12:$B$72,$A408+1)+H409</f>
        <v>25577.6289599927</v>
      </c>
      <c r="I408" s="48" t="n">
        <f aca="false">E408*(IF($A408&lt;$Q$384,INDEX(Surface_Engine!$D$12:$D$72,$A408+1)+(Surface_Engine!L239*12)*INDEX(Surface_Engine!$F$12:$F$72,$A408+1)-(Surface_Engine!L239*12),1000*12*INDEX(Surface_Engine!$C$12:$C$72,$A408+1)/(1+Assumptions!$B$10)^22+INDEX(Surface_Engine!$D$12:$D$72,$A408+1)))*INDEX(Surface_Engine!$B$12:$B$72,$A408+1)+I409</f>
        <v>33207.8073247522</v>
      </c>
      <c r="J408" s="48" t="n">
        <f aca="false">B408*(IF($A408&lt;$Q$384,INDEX(Surface_Engine!$D$12:$D$72,$A408+1)*(1+Assumptions!$B$24)+(Surface_Engine!L239*12)*INDEX(Surface_Engine!$F$12:$F$72,$A408+1)-(Surface_Engine!L239*12),1000*12*INDEX(Surface_Engine!$C$12:$C$72,$A408+1)/(1+Assumptions!$B$10)^22+INDEX(Surface_Engine!$D$12:$D$72,$A408+1)*(1+Assumptions!$B$24)))*INDEX(Surface_Engine!$B$12:$B$72,$A408+1)+J409</f>
        <v>29194.4469263025</v>
      </c>
      <c r="K408" s="12" t="n">
        <f aca="false">SQRT((IF(C408&lt;=0,0,MAX(0,(B408/C408)*G408/INDEX(Surface_Engine!$B$12:$B$72,$A408+1)-F408/INDEX(Surface_Engine!$B$12:$B$72,$A408+1))))^2+(MAX(IF(D408&lt;=0,0,MAX(0,(B408/D408)*H408/INDEX(Surface_Engine!$B$12:$B$72,$A408+1)-F408/INDEX(Surface_Engine!$B$12:$B$72,$A408+1))),IF(E408&lt;=0,0,MAX(0,(B408/E408)*I408/INDEX(Surface_Engine!$B$12:$B$72,$A408+1)-F408/INDEX(Surface_Engine!$B$12:$B$72,$A408+1))),IF($A408&lt;$Q$384,MAX(0,-Assumptions!$B$22*(F408/INDEX(Surface_Engine!$B$12:$B$72,$A408+1))),0)))^2+(MAX(0,J408/INDEX(Surface_Engine!$B$12:$B$72,$A408+1)-(F408/INDEX(Surface_Engine!$B$12:$B$72,$A408+1))))^2+2*Assumptions!$B$26*(IF(C408&lt;=0,0,MAX(0,(B408/C408)*G408/INDEX(Surface_Engine!$B$12:$B$72,$A408+1)-F408/INDEX(Surface_Engine!$B$12:$B$72,$A408+1))))*(MAX(IF(D408&lt;=0,0,MAX(0,(B408/D408)*H408/INDEX(Surface_Engine!$B$12:$B$72,$A408+1)-F408/INDEX(Surface_Engine!$B$12:$B$72,$A408+1))),IF(E408&lt;=0,0,MAX(0,(B408/E408)*I408/INDEX(Surface_Engine!$B$12:$B$72,$A408+1)-F408/INDEX(Surface_Engine!$B$12:$B$72,$A408+1))),IF($A408&lt;$Q$384,MAX(0,-Assumptions!$B$22*(F408/INDEX(Surface_Engine!$B$12:$B$72,$A408+1))),0)))+2*Assumptions!$B$27*(IF(C408&lt;=0,0,MAX(0,(B408/C408)*G408/INDEX(Surface_Engine!$B$12:$B$72,$A408+1)-F408/INDEX(Surface_Engine!$B$12:$B$72,$A408+1))))*(MAX(0,J408/INDEX(Surface_Engine!$B$12:$B$72,$A408+1)-(F408/INDEX(Surface_Engine!$B$12:$B$72,$A408+1))))+2*Assumptions!$B$28*(MAX(IF(D408&lt;=0,0,MAX(0,(B408/D408)*H408/INDEX(Surface_Engine!$B$12:$B$72,$A408+1)-F408/INDEX(Surface_Engine!$B$12:$B$72,$A408+1))),IF(E408&lt;=0,0,MAX(0,(B408/E408)*I408/INDEX(Surface_Engine!$B$12:$B$72,$A408+1)-F408/INDEX(Surface_Engine!$B$12:$B$72,$A408+1))),IF($A408&lt;$Q$384,MAX(0,-Assumptions!$B$22*(F408/INDEX(Surface_Engine!$B$12:$B$72,$A408+1))),0)))*(MAX(0,J408/INDEX(Surface_Engine!$B$12:$B$72,$A408+1)-(F408/INDEX(Surface_Engine!$B$12:$B$72,$A408+1)))))</f>
        <v>7635.47380244708</v>
      </c>
      <c r="L408" s="48" t="n">
        <f aca="false">K408*INDEX(Surface_Engine!$B$12:$B$72,$A408+1)+L409</f>
        <v>29615.4675308346</v>
      </c>
      <c r="M408" s="48" t="n">
        <f aca="false">M407+B407*(IF($A407&lt;$Q$384,(Surface_Engine!L239*12)-(Surface_Engine!L239*12)*INDEX(Surface_Engine!$F$12:$F$72,$A407+1)-INDEX(Surface_Engine!$D$12:$D$72,$A407+1),-(1000*12*INDEX(Surface_Engine!$C$12:$C$72,$A407+1)/(1+Assumptions!$B$10)^22+INDEX(Surface_Engine!$D$12:$D$72,$A407+1))))*INDEX(Surface_Engine!$B$12:$B$72,$A407+1)</f>
        <v>30238.3818856297</v>
      </c>
      <c r="N408" s="12" t="n">
        <f aca="false">IF(B408&lt;=0,0,MAX(0,(K408+Assumptions!$B$29*L408/INDEX(Surface_Engine!$B$12:$B$72,$A408+1)-(M408/INDEX(Surface_Engine!$B$12:$B$72,$A408+1)-(F408/INDEX(Surface_Engine!$B$12:$B$72,$A408+1))))/B408))</f>
        <v>16631.2709930966</v>
      </c>
    </row>
    <row r="409" customFormat="false" ht="15" hidden="false" customHeight="true" outlineLevel="0" collapsed="false">
      <c r="A409" s="1" t="n">
        <v>23</v>
      </c>
      <c r="B409" s="32" t="n">
        <f aca="false">INDEX(Surface_Engine!$J$12:$J$72,$A409+1)*IF($A409&lt;$Q$384,INDEX(Surface_Engine!$E$12:$E$72,$A409+1),INDEX(Surface_Engine!$E$12:$E$72,$Q$384+1))</f>
        <v>0.516379183751493</v>
      </c>
      <c r="C409" s="32" t="n">
        <f aca="false">INDEX(Panel_Reserving!$C$8:$C$68,$A409+1)*IF($A409&lt;$Q$384,INDEX(Surface_Engine!$E$12:$E$72,$A409+1),INDEX(Surface_Engine!$E$12:$E$72,$Q$384+1))</f>
        <v>0.560097610035399</v>
      </c>
      <c r="D409" s="32" t="n">
        <f aca="false">INDEX(Surface_Engine!$J$12:$J$72,$A409+1)*IF($A409&lt;$Q$384,INDEX(Surface_Engine!$Y$12:$Y$72,$A409+1),INDEX(Surface_Engine!$Y$12:$Y$72,$Q$384+1))</f>
        <v>0.452947004124868</v>
      </c>
      <c r="E409" s="32" t="n">
        <f aca="false">INDEX(Surface_Engine!$J$12:$J$72,$A409+1)*IF($A409&lt;$Q$384,INDEX(Surface_Engine!$Z$12:$Z$72,$A409+1),INDEX(Surface_Engine!$Z$12:$Z$72,$Q$384+1))</f>
        <v>0.588067676829206</v>
      </c>
      <c r="F409" s="48" t="n">
        <f aca="false">B409*(IF($A409&lt;$Q$384,INDEX(Surface_Engine!$D$12:$D$72,$A409+1)+(Surface_Engine!L239*12)*INDEX(Surface_Engine!$F$12:$F$72,$A409+1)-(Surface_Engine!L239*12),1000*12*INDEX(Surface_Engine!$C$12:$C$72,$A409+1)/(1+Assumptions!$B$10)^22+INDEX(Surface_Engine!$D$12:$D$72,$A409+1)))*INDEX(Surface_Engine!$B$12:$B$72,$A409+1)+F410</f>
        <v>25845.1330801551</v>
      </c>
      <c r="G409" s="48" t="n">
        <f aca="false">C409*(IF($A409&lt;$Q$384,INDEX(Surface_Engine!$D$12:$D$72,$A409+1)+(Surface_Engine!L239*12)*INDEX(Surface_Engine!$F$12:$F$72,$A409+1)-(Surface_Engine!L239*12),1000*12*INDEX(Surface_Engine!$C$12:$C$72,$A409+1)/(1+Assumptions!$B$10)^22+INDEX(Surface_Engine!$D$12:$D$72,$A409+1)))*INDEX(Surface_Engine!$B$12:$B$72,$A409+1)+G410</f>
        <v>31868.2912589005</v>
      </c>
      <c r="H409" s="48" t="n">
        <f aca="false">D409*(IF($A409&lt;$Q$384,INDEX(Surface_Engine!$D$12:$D$72,$A409+1)+(Surface_Engine!L239*12)*INDEX(Surface_Engine!$F$12:$F$72,$A409+1)-(Surface_Engine!L239*12),1000*12*INDEX(Surface_Engine!$C$12:$C$72,$A409+1)/(1+Assumptions!$B$10)^22+INDEX(Surface_Engine!$D$12:$D$72,$A409+1)))*INDEX(Surface_Engine!$B$12:$B$72,$A409+1)+H410</f>
        <v>22670.3088897141</v>
      </c>
      <c r="I409" s="48" t="n">
        <f aca="false">E409*(IF($A409&lt;$Q$384,INDEX(Surface_Engine!$D$12:$D$72,$A409+1)+(Surface_Engine!L239*12)*INDEX(Surface_Engine!$F$12:$F$72,$A409+1)-(Surface_Engine!L239*12),1000*12*INDEX(Surface_Engine!$C$12:$C$72,$A409+1)/(1+Assumptions!$B$10)^22+INDEX(Surface_Engine!$D$12:$D$72,$A409+1)))*INDEX(Surface_Engine!$B$12:$B$72,$A409+1)+I410</f>
        <v>29433.1914338027</v>
      </c>
      <c r="J409" s="48" t="n">
        <f aca="false">B409*(IF($A409&lt;$Q$384,INDEX(Surface_Engine!$D$12:$D$72,$A409+1)*(1+Assumptions!$B$24)+(Surface_Engine!L239*12)*INDEX(Surface_Engine!$F$12:$F$72,$A409+1)-(Surface_Engine!L239*12),1000*12*INDEX(Surface_Engine!$C$12:$C$72,$A409+1)/(1+Assumptions!$B$10)^22+INDEX(Surface_Engine!$D$12:$D$72,$A409+1)*(1+Assumptions!$B$24)))*INDEX(Surface_Engine!$B$12:$B$72,$A409+1)+J410</f>
        <v>25876.1224160583</v>
      </c>
      <c r="K409" s="12" t="n">
        <f aca="false">SQRT((IF(C409&lt;=0,0,MAX(0,(B409/C409)*G409/INDEX(Surface_Engine!$B$12:$B$72,$A409+1)-F409/INDEX(Surface_Engine!$B$12:$B$72,$A409+1))))^2+(MAX(IF(D409&lt;=0,0,MAX(0,(B409/D409)*H409/INDEX(Surface_Engine!$B$12:$B$72,$A409+1)-F409/INDEX(Surface_Engine!$B$12:$B$72,$A409+1))),IF(E409&lt;=0,0,MAX(0,(B409/E409)*I409/INDEX(Surface_Engine!$B$12:$B$72,$A409+1)-F409/INDEX(Surface_Engine!$B$12:$B$72,$A409+1))),IF($A409&lt;$Q$384,MAX(0,-Assumptions!$B$22*(F409/INDEX(Surface_Engine!$B$12:$B$72,$A409+1))),0)))^2+(MAX(0,J409/INDEX(Surface_Engine!$B$12:$B$72,$A409+1)-(F409/INDEX(Surface_Engine!$B$12:$B$72,$A409+1))))^2+2*Assumptions!$B$26*(IF(C409&lt;=0,0,MAX(0,(B409/C409)*G409/INDEX(Surface_Engine!$B$12:$B$72,$A409+1)-F409/INDEX(Surface_Engine!$B$12:$B$72,$A409+1))))*(MAX(IF(D409&lt;=0,0,MAX(0,(B409/D409)*H409/INDEX(Surface_Engine!$B$12:$B$72,$A409+1)-F409/INDEX(Surface_Engine!$B$12:$B$72,$A409+1))),IF(E409&lt;=0,0,MAX(0,(B409/E409)*I409/INDEX(Surface_Engine!$B$12:$B$72,$A409+1)-F409/INDEX(Surface_Engine!$B$12:$B$72,$A409+1))),IF($A409&lt;$Q$384,MAX(0,-Assumptions!$B$22*(F409/INDEX(Surface_Engine!$B$12:$B$72,$A409+1))),0)))+2*Assumptions!$B$27*(IF(C409&lt;=0,0,MAX(0,(B409/C409)*G409/INDEX(Surface_Engine!$B$12:$B$72,$A409+1)-F409/INDEX(Surface_Engine!$B$12:$B$72,$A409+1))))*(MAX(0,J409/INDEX(Surface_Engine!$B$12:$B$72,$A409+1)-(F409/INDEX(Surface_Engine!$B$12:$B$72,$A409+1))))+2*Assumptions!$B$28*(MAX(IF(D409&lt;=0,0,MAX(0,(B409/D409)*H409/INDEX(Surface_Engine!$B$12:$B$72,$A409+1)-F409/INDEX(Surface_Engine!$B$12:$B$72,$A409+1))),IF(E409&lt;=0,0,MAX(0,(B409/E409)*I409/INDEX(Surface_Engine!$B$12:$B$72,$A409+1)-F409/INDEX(Surface_Engine!$B$12:$B$72,$A409+1))),IF($A409&lt;$Q$384,MAX(0,-Assumptions!$B$22*(F409/INDEX(Surface_Engine!$B$12:$B$72,$A409+1))),0)))*(MAX(0,J409/INDEX(Surface_Engine!$B$12:$B$72,$A409+1)-(F409/INDEX(Surface_Engine!$B$12:$B$72,$A409+1)))))</f>
        <v>7267.1048926922</v>
      </c>
      <c r="L409" s="48" t="n">
        <f aca="false">K409*INDEX(Surface_Engine!$B$12:$B$72,$A409+1)+L410</f>
        <v>25773.3741957757</v>
      </c>
      <c r="M409" s="48" t="n">
        <f aca="false">M408+B408*(IF($A408&lt;$Q$384,(Surface_Engine!L239*12)-(Surface_Engine!L239*12)*INDEX(Surface_Engine!$F$12:$F$72,$A408+1)-INDEX(Surface_Engine!$D$12:$D$72,$A408+1),-(1000*12*INDEX(Surface_Engine!$C$12:$C$72,$A408+1)/(1+Assumptions!$B$10)^22+INDEX(Surface_Engine!$D$12:$D$72,$A408+1))))*INDEX(Surface_Engine!$B$12:$B$72,$A408+1)</f>
        <v>26923.9112055655</v>
      </c>
      <c r="N409" s="12" t="n">
        <f aca="false">IF(B409&lt;=0,0,MAX(0,(K409+Assumptions!$B$29*L409/INDEX(Surface_Engine!$B$12:$B$72,$A409+1)-(M409/INDEX(Surface_Engine!$B$12:$B$72,$A409+1)-(F409/INDEX(Surface_Engine!$B$12:$B$72,$A409+1))))/B409))</f>
        <v>15930.3616749561</v>
      </c>
    </row>
    <row r="410" customFormat="false" ht="15" hidden="false" customHeight="true" outlineLevel="0" collapsed="false">
      <c r="A410" s="1" t="n">
        <v>24</v>
      </c>
      <c r="B410" s="32" t="n">
        <f aca="false">INDEX(Surface_Engine!$J$12:$J$72,$A410+1)*IF($A410&lt;$Q$384,INDEX(Surface_Engine!$E$12:$E$72,$A410+1),INDEX(Surface_Engine!$E$12:$E$72,$Q$384+1))</f>
        <v>0.488115508331702</v>
      </c>
      <c r="C410" s="32" t="n">
        <f aca="false">INDEX(Panel_Reserving!$C$8:$C$68,$A410+1)*IF($A410&lt;$Q$384,INDEX(Surface_Engine!$E$12:$E$72,$A410+1),INDEX(Surface_Engine!$E$12:$E$72,$Q$384+1))</f>
        <v>0.535572350223904</v>
      </c>
      <c r="D410" s="32" t="n">
        <f aca="false">INDEX(Surface_Engine!$J$12:$J$72,$A410+1)*IF($A410&lt;$Q$384,INDEX(Surface_Engine!$Y$12:$Y$72,$A410+1),INDEX(Surface_Engine!$Y$12:$Y$72,$Q$384+1))</f>
        <v>0.428155247389157</v>
      </c>
      <c r="E410" s="32" t="n">
        <f aca="false">INDEX(Surface_Engine!$J$12:$J$72,$A410+1)*IF($A410&lt;$Q$384,INDEX(Surface_Engine!$Z$12:$Z$72,$A410+1),INDEX(Surface_Engine!$Z$12:$Z$72,$Q$384+1))</f>
        <v>0.555880178832055</v>
      </c>
      <c r="F410" s="48" t="n">
        <f aca="false">B410*(IF($A410&lt;$Q$384,INDEX(Surface_Engine!$D$12:$D$72,$A410+1)+(Surface_Engine!L239*12)*INDEX(Surface_Engine!$F$12:$F$72,$A410+1)-(Surface_Engine!L239*12),1000*12*INDEX(Surface_Engine!$C$12:$C$72,$A410+1)/(1+Assumptions!$B$10)^22+INDEX(Surface_Engine!$D$12:$D$72,$A410+1)))*INDEX(Surface_Engine!$B$12:$B$72,$A410+1)+F411</f>
        <v>22726.7345833825</v>
      </c>
      <c r="G410" s="48" t="n">
        <f aca="false">C410*(IF($A410&lt;$Q$384,INDEX(Surface_Engine!$D$12:$D$72,$A410+1)+(Surface_Engine!L239*12)*INDEX(Surface_Engine!$F$12:$F$72,$A410+1)-(Surface_Engine!L239*12),1000*12*INDEX(Surface_Engine!$C$12:$C$72,$A410+1)/(1+Assumptions!$B$10)^22+INDEX(Surface_Engine!$D$12:$D$72,$A410+1)))*INDEX(Surface_Engine!$B$12:$B$72,$A410+1)+G411</f>
        <v>28485.8784890998</v>
      </c>
      <c r="H410" s="48" t="n">
        <f aca="false">D410*(IF($A410&lt;$Q$384,INDEX(Surface_Engine!$D$12:$D$72,$A410+1)+(Surface_Engine!L239*12)*INDEX(Surface_Engine!$F$12:$F$72,$A410+1)-(Surface_Engine!L239*12),1000*12*INDEX(Surface_Engine!$C$12:$C$72,$A410+1)/(1+Assumptions!$B$10)^22+INDEX(Surface_Engine!$D$12:$D$72,$A410+1)))*INDEX(Surface_Engine!$B$12:$B$72,$A410+1)+H411</f>
        <v>19934.9754347149</v>
      </c>
      <c r="I410" s="48" t="n">
        <f aca="false">E410*(IF($A410&lt;$Q$384,INDEX(Surface_Engine!$D$12:$D$72,$A410+1)+(Surface_Engine!L239*12)*INDEX(Surface_Engine!$F$12:$F$72,$A410+1)-(Surface_Engine!L239*12),1000*12*INDEX(Surface_Engine!$C$12:$C$72,$A410+1)/(1+Assumptions!$B$10)^22+INDEX(Surface_Engine!$D$12:$D$72,$A410+1)))*INDEX(Surface_Engine!$B$12:$B$72,$A410+1)+I411</f>
        <v>25881.8682644565</v>
      </c>
      <c r="J410" s="48" t="n">
        <f aca="false">B410*(IF($A410&lt;$Q$384,INDEX(Surface_Engine!$D$12:$D$72,$A410+1)*(1+Assumptions!$B$24)+(Surface_Engine!L239*12)*INDEX(Surface_Engine!$F$12:$F$72,$A410+1)-(Surface_Engine!L239*12),1000*12*INDEX(Surface_Engine!$C$12:$C$72,$A410+1)/(1+Assumptions!$B$10)^22+INDEX(Surface_Engine!$D$12:$D$72,$A410+1)*(1+Assumptions!$B$24)))*INDEX(Surface_Engine!$B$12:$B$72,$A410+1)+J411</f>
        <v>22754.0805017409</v>
      </c>
      <c r="K410" s="12" t="n">
        <f aca="false">SQRT((IF(C410&lt;=0,0,MAX(0,(B410/C410)*G410/INDEX(Surface_Engine!$B$12:$B$72,$A410+1)-F410/INDEX(Surface_Engine!$B$12:$B$72,$A410+1))))^2+(MAX(IF(D410&lt;=0,0,MAX(0,(B410/D410)*H410/INDEX(Surface_Engine!$B$12:$B$72,$A410+1)-F410/INDEX(Surface_Engine!$B$12:$B$72,$A410+1))),IF(E410&lt;=0,0,MAX(0,(B410/E410)*I410/INDEX(Surface_Engine!$B$12:$B$72,$A410+1)-F410/INDEX(Surface_Engine!$B$12:$B$72,$A410+1))),IF($A410&lt;$Q$384,MAX(0,-Assumptions!$B$22*(F410/INDEX(Surface_Engine!$B$12:$B$72,$A410+1))),0)))^2+(MAX(0,J410/INDEX(Surface_Engine!$B$12:$B$72,$A410+1)-(F410/INDEX(Surface_Engine!$B$12:$B$72,$A410+1))))^2+2*Assumptions!$B$26*(IF(C410&lt;=0,0,MAX(0,(B410/C410)*G410/INDEX(Surface_Engine!$B$12:$B$72,$A410+1)-F410/INDEX(Surface_Engine!$B$12:$B$72,$A410+1))))*(MAX(IF(D410&lt;=0,0,MAX(0,(B410/D410)*H410/INDEX(Surface_Engine!$B$12:$B$72,$A410+1)-F410/INDEX(Surface_Engine!$B$12:$B$72,$A410+1))),IF(E410&lt;=0,0,MAX(0,(B410/E410)*I410/INDEX(Surface_Engine!$B$12:$B$72,$A410+1)-F410/INDEX(Surface_Engine!$B$12:$B$72,$A410+1))),IF($A410&lt;$Q$384,MAX(0,-Assumptions!$B$22*(F410/INDEX(Surface_Engine!$B$12:$B$72,$A410+1))),0)))+2*Assumptions!$B$27*(IF(C410&lt;=0,0,MAX(0,(B410/C410)*G410/INDEX(Surface_Engine!$B$12:$B$72,$A410+1)-F410/INDEX(Surface_Engine!$B$12:$B$72,$A410+1))))*(MAX(0,J410/INDEX(Surface_Engine!$B$12:$B$72,$A410+1)-(F410/INDEX(Surface_Engine!$B$12:$B$72,$A410+1))))+2*Assumptions!$B$28*(MAX(IF(D410&lt;=0,0,MAX(0,(B410/D410)*H410/INDEX(Surface_Engine!$B$12:$B$72,$A410+1)-F410/INDEX(Surface_Engine!$B$12:$B$72,$A410+1))),IF(E410&lt;=0,0,MAX(0,(B410/E410)*I410/INDEX(Surface_Engine!$B$12:$B$72,$A410+1)-F410/INDEX(Surface_Engine!$B$12:$B$72,$A410+1))),IF($A410&lt;$Q$384,MAX(0,-Assumptions!$B$22*(F410/INDEX(Surface_Engine!$B$12:$B$72,$A410+1))),0)))*(MAX(0,J410/INDEX(Surface_Engine!$B$12:$B$72,$A410+1)-(F410/INDEX(Surface_Engine!$B$12:$B$72,$A410+1)))))</f>
        <v>6862.69964399539</v>
      </c>
      <c r="L410" s="48" t="n">
        <f aca="false">K410*INDEX(Surface_Engine!$B$12:$B$72,$A410+1)+L411</f>
        <v>22229.8215361643</v>
      </c>
      <c r="M410" s="48" t="n">
        <f aca="false">M409+B409*(IF($A409&lt;$Q$384,(Surface_Engine!L239*12)-(Surface_Engine!L239*12)*INDEX(Surface_Engine!$F$12:$F$72,$A409+1)-INDEX(Surface_Engine!$D$12:$D$72,$A409+1),-(1000*12*INDEX(Surface_Engine!$C$12:$C$72,$A409+1)/(1+Assumptions!$B$10)^22+INDEX(Surface_Engine!$D$12:$D$72,$A409+1))))*INDEX(Surface_Engine!$B$12:$B$72,$A409+1)</f>
        <v>23805.5127087929</v>
      </c>
      <c r="N410" s="12" t="n">
        <f aca="false">IF(B410&lt;=0,0,MAX(0,(K410+Assumptions!$B$29*L410/INDEX(Surface_Engine!$B$12:$B$72,$A410+1)-(M410/INDEX(Surface_Engine!$B$12:$B$72,$A410+1)-(F410/INDEX(Surface_Engine!$B$12:$B$72,$A410+1))))/B410))</f>
        <v>15165.4995021577</v>
      </c>
    </row>
    <row r="411" customFormat="false" ht="15" hidden="false" customHeight="true" outlineLevel="0" collapsed="false">
      <c r="A411" s="1" t="n">
        <v>25</v>
      </c>
      <c r="B411" s="32" t="n">
        <f aca="false">INDEX(Surface_Engine!$J$12:$J$72,$A411+1)*IF($A411&lt;$Q$384,INDEX(Surface_Engine!$E$12:$E$72,$A411+1),INDEX(Surface_Engine!$E$12:$E$72,$Q$384+1))</f>
        <v>0.457779732054072</v>
      </c>
      <c r="C411" s="32" t="n">
        <f aca="false">INDEX(Panel_Reserving!$C$8:$C$68,$A411+1)*IF($A411&lt;$Q$384,INDEX(Surface_Engine!$E$12:$E$72,$A411+1),INDEX(Surface_Engine!$E$12:$E$72,$Q$384+1))</f>
        <v>0.508944221890255</v>
      </c>
      <c r="D411" s="32" t="n">
        <f aca="false">INDEX(Surface_Engine!$J$12:$J$72,$A411+1)*IF($A411&lt;$Q$384,INDEX(Surface_Engine!$Y$12:$Y$72,$A411+1),INDEX(Surface_Engine!$Y$12:$Y$72,$Q$384+1))</f>
        <v>0.401545927309812</v>
      </c>
      <c r="E411" s="32" t="n">
        <f aca="false">INDEX(Surface_Engine!$J$12:$J$72,$A411+1)*IF($A411&lt;$Q$384,INDEX(Surface_Engine!$Z$12:$Z$72,$A411+1),INDEX(Surface_Engine!$Z$12:$Z$72,$Q$384+1))</f>
        <v>0.521332911936453</v>
      </c>
      <c r="F411" s="48" t="n">
        <f aca="false">B411*(IF($A411&lt;$Q$384,INDEX(Surface_Engine!$D$12:$D$72,$A411+1)+(Surface_Engine!L239*12)*INDEX(Surface_Engine!$F$12:$F$72,$A411+1)-(Surface_Engine!L239*12),1000*12*INDEX(Surface_Engine!$C$12:$C$72,$A411+1)/(1+Assumptions!$B$10)^22+INDEX(Surface_Engine!$D$12:$D$72,$A411+1)))*INDEX(Surface_Engine!$B$12:$B$72,$A411+1)+F412</f>
        <v>19813.6933203766</v>
      </c>
      <c r="G411" s="48" t="n">
        <f aca="false">C411*(IF($A411&lt;$Q$384,INDEX(Surface_Engine!$D$12:$D$72,$A411+1)+(Surface_Engine!L239*12)*INDEX(Surface_Engine!$F$12:$F$72,$A411+1)-(Surface_Engine!L239*12),1000*12*INDEX(Surface_Engine!$C$12:$C$72,$A411+1)/(1+Assumptions!$B$10)^22+INDEX(Surface_Engine!$D$12:$D$72,$A411+1)))*INDEX(Surface_Engine!$B$12:$B$72,$A411+1)+G412</f>
        <v>25289.6179136888</v>
      </c>
      <c r="H411" s="48" t="n">
        <f aca="false">D411*(IF($A411&lt;$Q$384,INDEX(Surface_Engine!$D$12:$D$72,$A411+1)+(Surface_Engine!L239*12)*INDEX(Surface_Engine!$F$12:$F$72,$A411+1)-(Surface_Engine!L239*12),1000*12*INDEX(Surface_Engine!$C$12:$C$72,$A411+1)/(1+Assumptions!$B$10)^22+INDEX(Surface_Engine!$D$12:$D$72,$A411+1)))*INDEX(Surface_Engine!$B$12:$B$72,$A411+1)+H412</f>
        <v>17379.7730669803</v>
      </c>
      <c r="I411" s="48" t="n">
        <f aca="false">E411*(IF($A411&lt;$Q$384,INDEX(Surface_Engine!$D$12:$D$72,$A411+1)+(Surface_Engine!L239*12)*INDEX(Surface_Engine!$F$12:$F$72,$A411+1)-(Surface_Engine!L239*12),1000*12*INDEX(Surface_Engine!$C$12:$C$72,$A411+1)/(1+Assumptions!$B$10)^22+INDEX(Surface_Engine!$D$12:$D$72,$A411+1)))*INDEX(Surface_Engine!$B$12:$B$72,$A411+1)+I412</f>
        <v>22564.4119030322</v>
      </c>
      <c r="J411" s="48" t="n">
        <f aca="false">B411*(IF($A411&lt;$Q$384,INDEX(Surface_Engine!$D$12:$D$72,$A411+1)*(1+Assumptions!$B$24)+(Surface_Engine!L239*12)*INDEX(Surface_Engine!$F$12:$F$72,$A411+1)-(Surface_Engine!L239*12),1000*12*INDEX(Surface_Engine!$C$12:$C$72,$A411+1)/(1+Assumptions!$B$10)^22+INDEX(Surface_Engine!$D$12:$D$72,$A411+1)*(1+Assumptions!$B$24)))*INDEX(Surface_Engine!$B$12:$B$72,$A411+1)+J412</f>
        <v>19837.6192648444</v>
      </c>
      <c r="K411" s="12" t="n">
        <f aca="false">SQRT((IF(C411&lt;=0,0,MAX(0,(B411/C411)*G411/INDEX(Surface_Engine!$B$12:$B$72,$A411+1)-F411/INDEX(Surface_Engine!$B$12:$B$72,$A411+1))))^2+(MAX(IF(D411&lt;=0,0,MAX(0,(B411/D411)*H411/INDEX(Surface_Engine!$B$12:$B$72,$A411+1)-F411/INDEX(Surface_Engine!$B$12:$B$72,$A411+1))),IF(E411&lt;=0,0,MAX(0,(B411/E411)*I411/INDEX(Surface_Engine!$B$12:$B$72,$A411+1)-F411/INDEX(Surface_Engine!$B$12:$B$72,$A411+1))),IF($A411&lt;$Q$384,MAX(0,-Assumptions!$B$22*(F411/INDEX(Surface_Engine!$B$12:$B$72,$A411+1))),0)))^2+(MAX(0,J411/INDEX(Surface_Engine!$B$12:$B$72,$A411+1)-(F411/INDEX(Surface_Engine!$B$12:$B$72,$A411+1))))^2+2*Assumptions!$B$26*(IF(C411&lt;=0,0,MAX(0,(B411/C411)*G411/INDEX(Surface_Engine!$B$12:$B$72,$A411+1)-F411/INDEX(Surface_Engine!$B$12:$B$72,$A411+1))))*(MAX(IF(D411&lt;=0,0,MAX(0,(B411/D411)*H411/INDEX(Surface_Engine!$B$12:$B$72,$A411+1)-F411/INDEX(Surface_Engine!$B$12:$B$72,$A411+1))),IF(E411&lt;=0,0,MAX(0,(B411/E411)*I411/INDEX(Surface_Engine!$B$12:$B$72,$A411+1)-F411/INDEX(Surface_Engine!$B$12:$B$72,$A411+1))),IF($A411&lt;$Q$384,MAX(0,-Assumptions!$B$22*(F411/INDEX(Surface_Engine!$B$12:$B$72,$A411+1))),0)))+2*Assumptions!$B$27*(IF(C411&lt;=0,0,MAX(0,(B411/C411)*G411/INDEX(Surface_Engine!$B$12:$B$72,$A411+1)-F411/INDEX(Surface_Engine!$B$12:$B$72,$A411+1))))*(MAX(0,J411/INDEX(Surface_Engine!$B$12:$B$72,$A411+1)-(F411/INDEX(Surface_Engine!$B$12:$B$72,$A411+1))))+2*Assumptions!$B$28*(MAX(IF(D411&lt;=0,0,MAX(0,(B411/D411)*H411/INDEX(Surface_Engine!$B$12:$B$72,$A411+1)-F411/INDEX(Surface_Engine!$B$12:$B$72,$A411+1))),IF(E411&lt;=0,0,MAX(0,(B411/E411)*I411/INDEX(Surface_Engine!$B$12:$B$72,$A411+1)-F411/INDEX(Surface_Engine!$B$12:$B$72,$A411+1))),IF($A411&lt;$Q$384,MAX(0,-Assumptions!$B$22*(F411/INDEX(Surface_Engine!$B$12:$B$72,$A411+1))),0)))*(MAX(0,J411/INDEX(Surface_Engine!$B$12:$B$72,$A411+1)-(F411/INDEX(Surface_Engine!$B$12:$B$72,$A411+1)))))</f>
        <v>6421.73698239766</v>
      </c>
      <c r="L411" s="48" t="n">
        <f aca="false">K411*INDEX(Surface_Engine!$B$12:$B$72,$A411+1)+L412</f>
        <v>18987.8548017533</v>
      </c>
      <c r="M411" s="48" t="n">
        <f aca="false">M410+B410*(IF($A410&lt;$Q$384,(Surface_Engine!L239*12)-(Surface_Engine!L239*12)*INDEX(Surface_Engine!$F$12:$F$72,$A410+1)-INDEX(Surface_Engine!$D$12:$D$72,$A410+1),-(1000*12*INDEX(Surface_Engine!$C$12:$C$72,$A410+1)/(1+Assumptions!$B$10)^22+INDEX(Surface_Engine!$D$12:$D$72,$A410+1))))*INDEX(Surface_Engine!$B$12:$B$72,$A410+1)</f>
        <v>20892.4714457869</v>
      </c>
      <c r="N411" s="12" t="n">
        <f aca="false">IF(B411&lt;=0,0,MAX(0,(K411+Assumptions!$B$29*L411/INDEX(Surface_Engine!$B$12:$B$72,$A411+1)-(M411/INDEX(Surface_Engine!$B$12:$B$72,$A411+1)-(F411/INDEX(Surface_Engine!$B$12:$B$72,$A411+1))))/B411))</f>
        <v>14316.6829954894</v>
      </c>
    </row>
    <row r="412" customFormat="false" ht="15" hidden="false" customHeight="true" outlineLevel="0" collapsed="false">
      <c r="A412" s="1" t="n">
        <v>26</v>
      </c>
      <c r="B412" s="32" t="n">
        <f aca="false">INDEX(Surface_Engine!$J$12:$J$72,$A412+1)*IF($A412&lt;$Q$384,INDEX(Surface_Engine!$E$12:$E$72,$A412+1),INDEX(Surface_Engine!$E$12:$E$72,$Q$384+1))</f>
        <v>0.425492643246883</v>
      </c>
      <c r="C412" s="32" t="n">
        <f aca="false">INDEX(Panel_Reserving!$C$8:$C$68,$A412+1)*IF($A412&lt;$Q$384,INDEX(Surface_Engine!$E$12:$E$72,$A412+1),INDEX(Surface_Engine!$E$12:$E$72,$Q$384+1))</f>
        <v>0.48022765601462</v>
      </c>
      <c r="D412" s="32" t="n">
        <f aca="false">INDEX(Surface_Engine!$J$12:$J$72,$A412+1)*IF($A412&lt;$Q$384,INDEX(Surface_Engine!$Y$12:$Y$72,$A412+1),INDEX(Surface_Engine!$Y$12:$Y$72,$Q$384+1))</f>
        <v>0.373224994539276</v>
      </c>
      <c r="E412" s="32" t="n">
        <f aca="false">INDEX(Surface_Engine!$J$12:$J$72,$A412+1)*IF($A412&lt;$Q$384,INDEX(Surface_Engine!$Z$12:$Z$72,$A412+1),INDEX(Surface_Engine!$Z$12:$Z$72,$Q$384+1))</f>
        <v>0.484563433413943</v>
      </c>
      <c r="F412" s="48" t="n">
        <f aca="false">B412*(IF($A412&lt;$Q$384,INDEX(Surface_Engine!$D$12:$D$72,$A412+1)+(Surface_Engine!L239*12)*INDEX(Surface_Engine!$F$12:$F$72,$A412+1)-(Surface_Engine!L239*12),1000*12*INDEX(Surface_Engine!$C$12:$C$72,$A412+1)/(1+Assumptions!$B$10)^22+INDEX(Surface_Engine!$D$12:$D$72,$A412+1)))*INDEX(Surface_Engine!$B$12:$B$72,$A412+1)+F413</f>
        <v>17113.2799207488</v>
      </c>
      <c r="G412" s="48" t="n">
        <f aca="false">C412*(IF($A412&lt;$Q$384,INDEX(Surface_Engine!$D$12:$D$72,$A412+1)+(Surface_Engine!L239*12)*INDEX(Surface_Engine!$F$12:$F$72,$A412+1)-(Surface_Engine!L239*12),1000*12*INDEX(Surface_Engine!$C$12:$C$72,$A412+1)/(1+Assumptions!$B$10)^22+INDEX(Surface_Engine!$D$12:$D$72,$A412+1)))*INDEX(Surface_Engine!$B$12:$B$72,$A412+1)+G413</f>
        <v>22287.3884565462</v>
      </c>
      <c r="H412" s="48" t="n">
        <f aca="false">D412*(IF($A412&lt;$Q$384,INDEX(Surface_Engine!$D$12:$D$72,$A412+1)+(Surface_Engine!L239*12)*INDEX(Surface_Engine!$F$12:$F$72,$A412+1)-(Surface_Engine!L239*12),1000*12*INDEX(Surface_Engine!$C$12:$C$72,$A412+1)/(1+Assumptions!$B$10)^22+INDEX(Surface_Engine!$D$12:$D$72,$A412+1)))*INDEX(Surface_Engine!$B$12:$B$72,$A412+1)+H413</f>
        <v>15011.0792897178</v>
      </c>
      <c r="I412" s="48" t="n">
        <f aca="false">E412*(IF($A412&lt;$Q$384,INDEX(Surface_Engine!$D$12:$D$72,$A412+1)+(Surface_Engine!L239*12)*INDEX(Surface_Engine!$F$12:$F$72,$A412+1)-(Surface_Engine!L239*12),1000*12*INDEX(Surface_Engine!$C$12:$C$72,$A412+1)/(1+Assumptions!$B$10)^22+INDEX(Surface_Engine!$D$12:$D$72,$A412+1)))*INDEX(Surface_Engine!$B$12:$B$72,$A412+1)+I413</f>
        <v>19489.1023546097</v>
      </c>
      <c r="J412" s="48" t="n">
        <f aca="false">B412*(IF($A412&lt;$Q$384,INDEX(Surface_Engine!$D$12:$D$72,$A412+1)*(1+Assumptions!$B$24)+(Surface_Engine!L239*12)*INDEX(Surface_Engine!$F$12:$F$72,$A412+1)-(Surface_Engine!L239*12),1000*12*INDEX(Surface_Engine!$C$12:$C$72,$A412+1)/(1+Assumptions!$B$10)^22+INDEX(Surface_Engine!$D$12:$D$72,$A412+1)*(1+Assumptions!$B$24)))*INDEX(Surface_Engine!$B$12:$B$72,$A412+1)+J413</f>
        <v>17134.0201635035</v>
      </c>
      <c r="K412" s="12" t="n">
        <f aca="false">SQRT((IF(C412&lt;=0,0,MAX(0,(B412/C412)*G412/INDEX(Surface_Engine!$B$12:$B$72,$A412+1)-F412/INDEX(Surface_Engine!$B$12:$B$72,$A412+1))))^2+(MAX(IF(D412&lt;=0,0,MAX(0,(B412/D412)*H412/INDEX(Surface_Engine!$B$12:$B$72,$A412+1)-F412/INDEX(Surface_Engine!$B$12:$B$72,$A412+1))),IF(E412&lt;=0,0,MAX(0,(B412/E412)*I412/INDEX(Surface_Engine!$B$12:$B$72,$A412+1)-F412/INDEX(Surface_Engine!$B$12:$B$72,$A412+1))),IF($A412&lt;$Q$384,MAX(0,-Assumptions!$B$22*(F412/INDEX(Surface_Engine!$B$12:$B$72,$A412+1))),0)))^2+(MAX(0,J412/INDEX(Surface_Engine!$B$12:$B$72,$A412+1)-(F412/INDEX(Surface_Engine!$B$12:$B$72,$A412+1))))^2+2*Assumptions!$B$26*(IF(C412&lt;=0,0,MAX(0,(B412/C412)*G412/INDEX(Surface_Engine!$B$12:$B$72,$A412+1)-F412/INDEX(Surface_Engine!$B$12:$B$72,$A412+1))))*(MAX(IF(D412&lt;=0,0,MAX(0,(B412/D412)*H412/INDEX(Surface_Engine!$B$12:$B$72,$A412+1)-F412/INDEX(Surface_Engine!$B$12:$B$72,$A412+1))),IF(E412&lt;=0,0,MAX(0,(B412/E412)*I412/INDEX(Surface_Engine!$B$12:$B$72,$A412+1)-F412/INDEX(Surface_Engine!$B$12:$B$72,$A412+1))),IF($A412&lt;$Q$384,MAX(0,-Assumptions!$B$22*(F412/INDEX(Surface_Engine!$B$12:$B$72,$A412+1))),0)))+2*Assumptions!$B$27*(IF(C412&lt;=0,0,MAX(0,(B412/C412)*G412/INDEX(Surface_Engine!$B$12:$B$72,$A412+1)-F412/INDEX(Surface_Engine!$B$12:$B$72,$A412+1))))*(MAX(0,J412/INDEX(Surface_Engine!$B$12:$B$72,$A412+1)-(F412/INDEX(Surface_Engine!$B$12:$B$72,$A412+1))))+2*Assumptions!$B$28*(MAX(IF(D412&lt;=0,0,MAX(0,(B412/D412)*H412/INDEX(Surface_Engine!$B$12:$B$72,$A412+1)-F412/INDEX(Surface_Engine!$B$12:$B$72,$A412+1))),IF(E412&lt;=0,0,MAX(0,(B412/E412)*I412/INDEX(Surface_Engine!$B$12:$B$72,$A412+1)-F412/INDEX(Surface_Engine!$B$12:$B$72,$A412+1))),IF($A412&lt;$Q$384,MAX(0,-Assumptions!$B$22*(F412/INDEX(Surface_Engine!$B$12:$B$72,$A412+1))),0)))*(MAX(0,J412/INDEX(Surface_Engine!$B$12:$B$72,$A412+1)-(F412/INDEX(Surface_Engine!$B$12:$B$72,$A412+1)))))</f>
        <v>5951.32524946196</v>
      </c>
      <c r="L412" s="48" t="n">
        <f aca="false">K412*INDEX(Surface_Engine!$B$12:$B$72,$A412+1)+L413</f>
        <v>16048.2389861422</v>
      </c>
      <c r="M412" s="48" t="n">
        <f aca="false">M411+B411*(IF($A411&lt;$Q$384,(Surface_Engine!L239*12)-(Surface_Engine!L239*12)*INDEX(Surface_Engine!$F$12:$F$72,$A411+1)-INDEX(Surface_Engine!$D$12:$D$72,$A411+1),-(1000*12*INDEX(Surface_Engine!$C$12:$C$72,$A411+1)/(1+Assumptions!$B$10)^22+INDEX(Surface_Engine!$D$12:$D$72,$A411+1))))*INDEX(Surface_Engine!$B$12:$B$72,$A411+1)</f>
        <v>18192.0580461591</v>
      </c>
      <c r="N412" s="12" t="n">
        <f aca="false">IF(B412&lt;=0,0,MAX(0,(K412+Assumptions!$B$29*L412/INDEX(Surface_Engine!$B$12:$B$72,$A412+1)-(M412/INDEX(Surface_Engine!$B$12:$B$72,$A412+1)-(F412/INDEX(Surface_Engine!$B$12:$B$72,$A412+1))))/B412))</f>
        <v>13372.7389553917</v>
      </c>
    </row>
    <row r="413" customFormat="false" ht="15" hidden="false" customHeight="true" outlineLevel="0" collapsed="false">
      <c r="A413" s="1" t="n">
        <v>27</v>
      </c>
      <c r="B413" s="32" t="n">
        <f aca="false">INDEX(Surface_Engine!$J$12:$J$72,$A413+1)*IF($A413&lt;$Q$384,INDEX(Surface_Engine!$E$12:$E$72,$A413+1),INDEX(Surface_Engine!$E$12:$E$72,$Q$384+1))</f>
        <v>0.391467293203254</v>
      </c>
      <c r="C413" s="32" t="n">
        <f aca="false">INDEX(Panel_Reserving!$C$8:$C$68,$A413+1)*IF($A413&lt;$Q$384,INDEX(Surface_Engine!$E$12:$E$72,$A413+1),INDEX(Surface_Engine!$E$12:$E$72,$Q$384+1))</f>
        <v>0.449505782241497</v>
      </c>
      <c r="D413" s="32" t="n">
        <f aca="false">INDEX(Surface_Engine!$J$12:$J$72,$A413+1)*IF($A413&lt;$Q$384,INDEX(Surface_Engine!$Y$12:$Y$72,$A413+1),INDEX(Surface_Engine!$Y$12:$Y$72,$Q$384+1))</f>
        <v>0.343379329083523</v>
      </c>
      <c r="E413" s="32" t="n">
        <f aca="false">INDEX(Surface_Engine!$J$12:$J$72,$A413+1)*IF($A413&lt;$Q$384,INDEX(Surface_Engine!$Z$12:$Z$72,$A413+1),INDEX(Surface_Engine!$Z$12:$Z$72,$Q$384+1))</f>
        <v>0.445814372291667</v>
      </c>
      <c r="F413" s="48" t="n">
        <f aca="false">B413*(IF($A413&lt;$Q$384,INDEX(Surface_Engine!$D$12:$D$72,$A413+1)+(Surface_Engine!L239*12)*INDEX(Surface_Engine!$F$12:$F$72,$A413+1)-(Surface_Engine!L239*12),1000*12*INDEX(Surface_Engine!$C$12:$C$72,$A413+1)/(1+Assumptions!$B$10)^22+INDEX(Surface_Engine!$D$12:$D$72,$A413+1)))*INDEX(Surface_Engine!$B$12:$B$72,$A413+1)+F414</f>
        <v>14633.0172552485</v>
      </c>
      <c r="G413" s="48" t="n">
        <f aca="false">C413*(IF($A413&lt;$Q$384,INDEX(Surface_Engine!$D$12:$D$72,$A413+1)+(Surface_Engine!L239*12)*INDEX(Surface_Engine!$F$12:$F$72,$A413+1)-(Surface_Engine!L239*12),1000*12*INDEX(Surface_Engine!$C$12:$C$72,$A413+1)/(1+Assumptions!$B$10)^22+INDEX(Surface_Engine!$D$12:$D$72,$A413+1)))*INDEX(Surface_Engine!$B$12:$B$72,$A413+1)+G414</f>
        <v>19488.0669052623</v>
      </c>
      <c r="H413" s="48" t="n">
        <f aca="false">D413*(IF($A413&lt;$Q$384,INDEX(Surface_Engine!$D$12:$D$72,$A413+1)+(Surface_Engine!L239*12)*INDEX(Surface_Engine!$F$12:$F$72,$A413+1)-(Surface_Engine!L239*12),1000*12*INDEX(Surface_Engine!$C$12:$C$72,$A413+1)/(1+Assumptions!$B$10)^22+INDEX(Surface_Engine!$D$12:$D$72,$A413+1)))*INDEX(Surface_Engine!$B$12:$B$72,$A413+1)+H414</f>
        <v>12835.4928618928</v>
      </c>
      <c r="I413" s="48" t="n">
        <f aca="false">E413*(IF($A413&lt;$Q$384,INDEX(Surface_Engine!$D$12:$D$72,$A413+1)+(Surface_Engine!L239*12)*INDEX(Surface_Engine!$F$12:$F$72,$A413+1)-(Surface_Engine!L239*12),1000*12*INDEX(Surface_Engine!$C$12:$C$72,$A413+1)/(1+Assumptions!$B$10)^22+INDEX(Surface_Engine!$D$12:$D$72,$A413+1)))*INDEX(Surface_Engine!$B$12:$B$72,$A413+1)+I414</f>
        <v>16664.5068838346</v>
      </c>
      <c r="J413" s="48" t="n">
        <f aca="false">B413*(IF($A413&lt;$Q$384,INDEX(Surface_Engine!$D$12:$D$72,$A413+1)*(1+Assumptions!$B$24)+(Surface_Engine!L239*12)*INDEX(Surface_Engine!$F$12:$F$72,$A413+1)-(Surface_Engine!L239*12),1000*12*INDEX(Surface_Engine!$C$12:$C$72,$A413+1)/(1+Assumptions!$B$10)^22+INDEX(Surface_Engine!$D$12:$D$72,$A413+1)*(1+Assumptions!$B$24)))*INDEX(Surface_Engine!$B$12:$B$72,$A413+1)+J414</f>
        <v>14650.8173370179</v>
      </c>
      <c r="K413" s="12" t="n">
        <f aca="false">SQRT((IF(C413&lt;=0,0,MAX(0,(B413/C413)*G413/INDEX(Surface_Engine!$B$12:$B$72,$A413+1)-F413/INDEX(Surface_Engine!$B$12:$B$72,$A413+1))))^2+(MAX(IF(D413&lt;=0,0,MAX(0,(B413/D413)*H413/INDEX(Surface_Engine!$B$12:$B$72,$A413+1)-F413/INDEX(Surface_Engine!$B$12:$B$72,$A413+1))),IF(E413&lt;=0,0,MAX(0,(B413/E413)*I413/INDEX(Surface_Engine!$B$12:$B$72,$A413+1)-F413/INDEX(Surface_Engine!$B$12:$B$72,$A413+1))),IF($A413&lt;$Q$384,MAX(0,-Assumptions!$B$22*(F413/INDEX(Surface_Engine!$B$12:$B$72,$A413+1))),0)))^2+(MAX(0,J413/INDEX(Surface_Engine!$B$12:$B$72,$A413+1)-(F413/INDEX(Surface_Engine!$B$12:$B$72,$A413+1))))^2+2*Assumptions!$B$26*(IF(C413&lt;=0,0,MAX(0,(B413/C413)*G413/INDEX(Surface_Engine!$B$12:$B$72,$A413+1)-F413/INDEX(Surface_Engine!$B$12:$B$72,$A413+1))))*(MAX(IF(D413&lt;=0,0,MAX(0,(B413/D413)*H413/INDEX(Surface_Engine!$B$12:$B$72,$A413+1)-F413/INDEX(Surface_Engine!$B$12:$B$72,$A413+1))),IF(E413&lt;=0,0,MAX(0,(B413/E413)*I413/INDEX(Surface_Engine!$B$12:$B$72,$A413+1)-F413/INDEX(Surface_Engine!$B$12:$B$72,$A413+1))),IF($A413&lt;$Q$384,MAX(0,-Assumptions!$B$22*(F413/INDEX(Surface_Engine!$B$12:$B$72,$A413+1))),0)))+2*Assumptions!$B$27*(IF(C413&lt;=0,0,MAX(0,(B413/C413)*G413/INDEX(Surface_Engine!$B$12:$B$72,$A413+1)-F413/INDEX(Surface_Engine!$B$12:$B$72,$A413+1))))*(MAX(0,J413/INDEX(Surface_Engine!$B$12:$B$72,$A413+1)-(F413/INDEX(Surface_Engine!$B$12:$B$72,$A413+1))))+2*Assumptions!$B$28*(MAX(IF(D413&lt;=0,0,MAX(0,(B413/D413)*H413/INDEX(Surface_Engine!$B$12:$B$72,$A413+1)-F413/INDEX(Surface_Engine!$B$12:$B$72,$A413+1))),IF(E413&lt;=0,0,MAX(0,(B413/E413)*I413/INDEX(Surface_Engine!$B$12:$B$72,$A413+1)-F413/INDEX(Surface_Engine!$B$12:$B$72,$A413+1))),IF($A413&lt;$Q$384,MAX(0,-Assumptions!$B$22*(F413/INDEX(Surface_Engine!$B$12:$B$72,$A413+1))),0)))*(MAX(0,J413/INDEX(Surface_Engine!$B$12:$B$72,$A413+1)-(F413/INDEX(Surface_Engine!$B$12:$B$72,$A413+1)))))</f>
        <v>5453.64262308127</v>
      </c>
      <c r="L413" s="48" t="n">
        <f aca="false">K413*INDEX(Surface_Engine!$B$12:$B$72,$A413+1)+L414</f>
        <v>13409.1235428149</v>
      </c>
      <c r="M413" s="48" t="n">
        <f aca="false">M412+B412*(IF($A412&lt;$Q$384,(Surface_Engine!L239*12)-(Surface_Engine!L239*12)*INDEX(Surface_Engine!$F$12:$F$72,$A412+1)-INDEX(Surface_Engine!$D$12:$D$72,$A412+1),-(1000*12*INDEX(Surface_Engine!$C$12:$C$72,$A412+1)/(1+Assumptions!$B$10)^22+INDEX(Surface_Engine!$D$12:$D$72,$A412+1))))*INDEX(Surface_Engine!$B$12:$B$72,$A412+1)</f>
        <v>15711.7953806588</v>
      </c>
      <c r="N413" s="12" t="n">
        <f aca="false">IF(B413&lt;=0,0,MAX(0,(K413+Assumptions!$B$29*L413/INDEX(Surface_Engine!$B$12:$B$72,$A413+1)-(M413/INDEX(Surface_Engine!$B$12:$B$72,$A413+1)-(F413/INDEX(Surface_Engine!$B$12:$B$72,$A413+1))))/B413))</f>
        <v>12300.967012282</v>
      </c>
    </row>
    <row r="414" customFormat="false" ht="15" hidden="false" customHeight="true" outlineLevel="0" collapsed="false">
      <c r="A414" s="1" t="n">
        <v>28</v>
      </c>
      <c r="B414" s="32" t="n">
        <f aca="false">INDEX(Surface_Engine!$J$12:$J$72,$A414+1)*IF($A414&lt;$Q$384,INDEX(Surface_Engine!$E$12:$E$72,$A414+1),INDEX(Surface_Engine!$E$12:$E$72,$Q$384+1))</f>
        <v>0.354889687545437</v>
      </c>
      <c r="C414" s="32" t="n">
        <f aca="false">INDEX(Panel_Reserving!$C$8:$C$68,$A414+1)*IF($A414&lt;$Q$384,INDEX(Surface_Engine!$E$12:$E$72,$A414+1),INDEX(Surface_Engine!$E$12:$E$72,$Q$384+1))</f>
        <v>0.415905334839213</v>
      </c>
      <c r="D414" s="32" t="n">
        <f aca="false">INDEX(Surface_Engine!$J$12:$J$72,$A414+1)*IF($A414&lt;$Q$384,INDEX(Surface_Engine!$Y$12:$Y$72,$A414+1),INDEX(Surface_Engine!$Y$12:$Y$72,$Q$384+1))</f>
        <v>0.311294927887479</v>
      </c>
      <c r="E414" s="32" t="n">
        <f aca="false">INDEX(Surface_Engine!$J$12:$J$72,$A414+1)*IF($A414&lt;$Q$384,INDEX(Surface_Engine!$Z$12:$Z$72,$A414+1),INDEX(Surface_Engine!$Z$12:$Z$72,$Q$384+1))</f>
        <v>0.404158728028673</v>
      </c>
      <c r="F414" s="48" t="n">
        <f aca="false">B414*(IF($A414&lt;$Q$384,INDEX(Surface_Engine!$D$12:$D$72,$A414+1)+(Surface_Engine!L239*12)*INDEX(Surface_Engine!$F$12:$F$72,$A414+1)-(Surface_Engine!L239*12),1000*12*INDEX(Surface_Engine!$C$12:$C$72,$A414+1)/(1+Assumptions!$B$10)^22+INDEX(Surface_Engine!$D$12:$D$72,$A414+1)))*INDEX(Surface_Engine!$B$12:$B$72,$A414+1)+F415</f>
        <v>12377.5840682251</v>
      </c>
      <c r="G414" s="48" t="n">
        <f aca="false">C414*(IF($A414&lt;$Q$384,INDEX(Surface_Engine!$D$12:$D$72,$A414+1)+(Surface_Engine!L239*12)*INDEX(Surface_Engine!$F$12:$F$72,$A414+1)-(Surface_Engine!L239*12),1000*12*INDEX(Surface_Engine!$C$12:$C$72,$A414+1)/(1+Assumptions!$B$10)^22+INDEX(Surface_Engine!$D$12:$D$72,$A414+1)))*INDEX(Surface_Engine!$B$12:$B$72,$A414+1)+G415</f>
        <v>16898.24579727</v>
      </c>
      <c r="H414" s="48" t="n">
        <f aca="false">D414*(IF($A414&lt;$Q$384,INDEX(Surface_Engine!$D$12:$D$72,$A414+1)+(Surface_Engine!L239*12)*INDEX(Surface_Engine!$F$12:$F$72,$A414+1)-(Surface_Engine!L239*12),1000*12*INDEX(Surface_Engine!$C$12:$C$72,$A414+1)/(1+Assumptions!$B$10)^22+INDEX(Surface_Engine!$D$12:$D$72,$A414+1)))*INDEX(Surface_Engine!$B$12:$B$72,$A414+1)+H415</f>
        <v>10857.1177894427</v>
      </c>
      <c r="I414" s="48" t="n">
        <f aca="false">E414*(IF($A414&lt;$Q$384,INDEX(Surface_Engine!$D$12:$D$72,$A414+1)+(Surface_Engine!L239*12)*INDEX(Surface_Engine!$F$12:$F$72,$A414+1)-(Surface_Engine!L239*12),1000*12*INDEX(Surface_Engine!$C$12:$C$72,$A414+1)/(1+Assumptions!$B$10)^22+INDEX(Surface_Engine!$D$12:$D$72,$A414+1)))*INDEX(Surface_Engine!$B$12:$B$72,$A414+1)+I415</f>
        <v>14095.9537812474</v>
      </c>
      <c r="J414" s="48" t="n">
        <f aca="false">B414*(IF($A414&lt;$Q$384,INDEX(Surface_Engine!$D$12:$D$72,$A414+1)*(1+Assumptions!$B$24)+(Surface_Engine!L239*12)*INDEX(Surface_Engine!$F$12:$F$72,$A414+1)-(Surface_Engine!L239*12),1000*12*INDEX(Surface_Engine!$C$12:$C$72,$A414+1)/(1+Assumptions!$B$10)^22+INDEX(Surface_Engine!$D$12:$D$72,$A414+1)*(1+Assumptions!$B$24)))*INDEX(Surface_Engine!$B$12:$B$72,$A414+1)+J415</f>
        <v>12392.6975571188</v>
      </c>
      <c r="K414" s="12" t="n">
        <f aca="false">SQRT((IF(C414&lt;=0,0,MAX(0,(B414/C414)*G414/INDEX(Surface_Engine!$B$12:$B$72,$A414+1)-F414/INDEX(Surface_Engine!$B$12:$B$72,$A414+1))))^2+(MAX(IF(D414&lt;=0,0,MAX(0,(B414/D414)*H414/INDEX(Surface_Engine!$B$12:$B$72,$A414+1)-F414/INDEX(Surface_Engine!$B$12:$B$72,$A414+1))),IF(E414&lt;=0,0,MAX(0,(B414/E414)*I414/INDEX(Surface_Engine!$B$12:$B$72,$A414+1)-F414/INDEX(Surface_Engine!$B$12:$B$72,$A414+1))),IF($A414&lt;$Q$384,MAX(0,-Assumptions!$B$22*(F414/INDEX(Surface_Engine!$B$12:$B$72,$A414+1))),0)))^2+(MAX(0,J414/INDEX(Surface_Engine!$B$12:$B$72,$A414+1)-(F414/INDEX(Surface_Engine!$B$12:$B$72,$A414+1))))^2+2*Assumptions!$B$26*(IF(C414&lt;=0,0,MAX(0,(B414/C414)*G414/INDEX(Surface_Engine!$B$12:$B$72,$A414+1)-F414/INDEX(Surface_Engine!$B$12:$B$72,$A414+1))))*(MAX(IF(D414&lt;=0,0,MAX(0,(B414/D414)*H414/INDEX(Surface_Engine!$B$12:$B$72,$A414+1)-F414/INDEX(Surface_Engine!$B$12:$B$72,$A414+1))),IF(E414&lt;=0,0,MAX(0,(B414/E414)*I414/INDEX(Surface_Engine!$B$12:$B$72,$A414+1)-F414/INDEX(Surface_Engine!$B$12:$B$72,$A414+1))),IF($A414&lt;$Q$384,MAX(0,-Assumptions!$B$22*(F414/INDEX(Surface_Engine!$B$12:$B$72,$A414+1))),0)))+2*Assumptions!$B$27*(IF(C414&lt;=0,0,MAX(0,(B414/C414)*G414/INDEX(Surface_Engine!$B$12:$B$72,$A414+1)-F414/INDEX(Surface_Engine!$B$12:$B$72,$A414+1))))*(MAX(0,J414/INDEX(Surface_Engine!$B$12:$B$72,$A414+1)-(F414/INDEX(Surface_Engine!$B$12:$B$72,$A414+1))))+2*Assumptions!$B$28*(MAX(IF(D414&lt;=0,0,MAX(0,(B414/D414)*H414/INDEX(Surface_Engine!$B$12:$B$72,$A414+1)-F414/INDEX(Surface_Engine!$B$12:$B$72,$A414+1))),IF(E414&lt;=0,0,MAX(0,(B414/E414)*I414/INDEX(Surface_Engine!$B$12:$B$72,$A414+1)-F414/INDEX(Surface_Engine!$B$12:$B$72,$A414+1))),IF($A414&lt;$Q$384,MAX(0,-Assumptions!$B$22*(F414/INDEX(Surface_Engine!$B$12:$B$72,$A414+1))),0)))*(MAX(0,J414/INDEX(Surface_Engine!$B$12:$B$72,$A414+1)-(F414/INDEX(Surface_Engine!$B$12:$B$72,$A414+1)))))</f>
        <v>4914.26084087748</v>
      </c>
      <c r="L414" s="48" t="n">
        <f aca="false">K414*INDEX(Surface_Engine!$B$12:$B$72,$A414+1)+L415</f>
        <v>11065.7860936176</v>
      </c>
      <c r="M414" s="48" t="n">
        <f aca="false">M413+B413*(IF($A413&lt;$Q$384,(Surface_Engine!L239*12)-(Surface_Engine!L239*12)*INDEX(Surface_Engine!$F$12:$F$72,$A413+1)-INDEX(Surface_Engine!$D$12:$D$72,$A413+1),-(1000*12*INDEX(Surface_Engine!$C$12:$C$72,$A413+1)/(1+Assumptions!$B$10)^22+INDEX(Surface_Engine!$D$12:$D$72,$A413+1))))*INDEX(Surface_Engine!$B$12:$B$72,$A413+1)</f>
        <v>13456.3621936354</v>
      </c>
      <c r="N414" s="12" t="n">
        <f aca="false">IF(B414&lt;=0,0,MAX(0,(K414+Assumptions!$B$29*L414/INDEX(Surface_Engine!$B$12:$B$72,$A414+1)-(M414/INDEX(Surface_Engine!$B$12:$B$72,$A414+1)-(F414/INDEX(Surface_Engine!$B$12:$B$72,$A414+1))))/B414))</f>
        <v>11038.9333676078</v>
      </c>
    </row>
    <row r="415" customFormat="false" ht="15" hidden="false" customHeight="true" outlineLevel="0" collapsed="false">
      <c r="A415" s="1" t="n">
        <v>29</v>
      </c>
      <c r="B415" s="32" t="n">
        <f aca="false">INDEX(Surface_Engine!$J$12:$J$72,$A415+1)*IF($A415&lt;$Q$384,INDEX(Surface_Engine!$E$12:$E$72,$A415+1),INDEX(Surface_Engine!$E$12:$E$72,$Q$384+1))</f>
        <v>0.317471586955202</v>
      </c>
      <c r="C415" s="32" t="n">
        <f aca="false">INDEX(Panel_Reserving!$C$8:$C$68,$A415+1)*IF($A415&lt;$Q$384,INDEX(Surface_Engine!$E$12:$E$72,$A415+1),INDEX(Surface_Engine!$E$12:$E$72,$Q$384+1))</f>
        <v>0.380824264408195</v>
      </c>
      <c r="D415" s="32" t="n">
        <f aca="false">INDEX(Surface_Engine!$J$12:$J$72,$A415+1)*IF($A415&lt;$Q$384,INDEX(Surface_Engine!$Y$12:$Y$72,$A415+1),INDEX(Surface_Engine!$Y$12:$Y$72,$Q$384+1))</f>
        <v>0.278473278418072</v>
      </c>
      <c r="E415" s="32" t="n">
        <f aca="false">INDEX(Surface_Engine!$J$12:$J$72,$A415+1)*IF($A415&lt;$Q$384,INDEX(Surface_Engine!$Z$12:$Z$72,$A415+1),INDEX(Surface_Engine!$Z$12:$Z$72,$Q$384+1))</f>
        <v>0.361545903620068</v>
      </c>
      <c r="F415" s="48" t="n">
        <f aca="false">B415*(IF($A415&lt;$Q$384,INDEX(Surface_Engine!$D$12:$D$72,$A415+1)+(Surface_Engine!L239*12)*INDEX(Surface_Engine!$F$12:$F$72,$A415+1)-(Surface_Engine!L239*12),1000*12*INDEX(Surface_Engine!$C$12:$C$72,$A415+1)/(1+Assumptions!$B$10)^22+INDEX(Surface_Engine!$D$12:$D$72,$A415+1)))*INDEX(Surface_Engine!$B$12:$B$72,$A415+1)+F416</f>
        <v>10357.2156273162</v>
      </c>
      <c r="G415" s="48" t="n">
        <f aca="false">C415*(IF($A415&lt;$Q$384,INDEX(Surface_Engine!$D$12:$D$72,$A415+1)+(Surface_Engine!L239*12)*INDEX(Surface_Engine!$F$12:$F$72,$A415+1)-(Surface_Engine!L239*12),1000*12*INDEX(Surface_Engine!$C$12:$C$72,$A415+1)/(1+Assumptions!$B$10)^22+INDEX(Surface_Engine!$D$12:$D$72,$A415+1)))*INDEX(Surface_Engine!$B$12:$B$72,$A415+1)+G416</f>
        <v>14530.5184656405</v>
      </c>
      <c r="H415" s="48" t="n">
        <f aca="false">D415*(IF($A415&lt;$Q$384,INDEX(Surface_Engine!$D$12:$D$72,$A415+1)+(Surface_Engine!L239*12)*INDEX(Surface_Engine!$F$12:$F$72,$A415+1)-(Surface_Engine!L239*12),1000*12*INDEX(Surface_Engine!$C$12:$C$72,$A415+1)/(1+Assumptions!$B$10)^22+INDEX(Surface_Engine!$D$12:$D$72,$A415+1)))*INDEX(Surface_Engine!$B$12:$B$72,$A415+1)+H416</f>
        <v>9084.93203654354</v>
      </c>
      <c r="I415" s="48" t="n">
        <f aca="false">E415*(IF($A415&lt;$Q$384,INDEX(Surface_Engine!$D$12:$D$72,$A415+1)+(Surface_Engine!L239*12)*INDEX(Surface_Engine!$F$12:$F$72,$A415+1)-(Surface_Engine!L239*12),1000*12*INDEX(Surface_Engine!$C$12:$C$72,$A415+1)/(1+Assumptions!$B$10)^22+INDEX(Surface_Engine!$D$12:$D$72,$A415+1)))*INDEX(Surface_Engine!$B$12:$B$72,$A415+1)+I416</f>
        <v>11795.0992681885</v>
      </c>
      <c r="J415" s="48" t="n">
        <f aca="false">B415*(IF($A415&lt;$Q$384,INDEX(Surface_Engine!$D$12:$D$72,$A415+1)*(1+Assumptions!$B$24)+(Surface_Engine!L239*12)*INDEX(Surface_Engine!$F$12:$F$72,$A415+1)-(Surface_Engine!L239*12),1000*12*INDEX(Surface_Engine!$C$12:$C$72,$A415+1)/(1+Assumptions!$B$10)^22+INDEX(Surface_Engine!$D$12:$D$72,$A415+1)*(1+Assumptions!$B$24)))*INDEX(Surface_Engine!$B$12:$B$72,$A415+1)+J416</f>
        <v>10369.910868395</v>
      </c>
      <c r="K415" s="12" t="n">
        <f aca="false">SQRT((IF(C415&lt;=0,0,MAX(0,(B415/C415)*G415/INDEX(Surface_Engine!$B$12:$B$72,$A415+1)-F415/INDEX(Surface_Engine!$B$12:$B$72,$A415+1))))^2+(MAX(IF(D415&lt;=0,0,MAX(0,(B415/D415)*H415/INDEX(Surface_Engine!$B$12:$B$72,$A415+1)-F415/INDEX(Surface_Engine!$B$12:$B$72,$A415+1))),IF(E415&lt;=0,0,MAX(0,(B415/E415)*I415/INDEX(Surface_Engine!$B$12:$B$72,$A415+1)-F415/INDEX(Surface_Engine!$B$12:$B$72,$A415+1))),IF($A415&lt;$Q$384,MAX(0,-Assumptions!$B$22*(F415/INDEX(Surface_Engine!$B$12:$B$72,$A415+1))),0)))^2+(MAX(0,J415/INDEX(Surface_Engine!$B$12:$B$72,$A415+1)-(F415/INDEX(Surface_Engine!$B$12:$B$72,$A415+1))))^2+2*Assumptions!$B$26*(IF(C415&lt;=0,0,MAX(0,(B415/C415)*G415/INDEX(Surface_Engine!$B$12:$B$72,$A415+1)-F415/INDEX(Surface_Engine!$B$12:$B$72,$A415+1))))*(MAX(IF(D415&lt;=0,0,MAX(0,(B415/D415)*H415/INDEX(Surface_Engine!$B$12:$B$72,$A415+1)-F415/INDEX(Surface_Engine!$B$12:$B$72,$A415+1))),IF(E415&lt;=0,0,MAX(0,(B415/E415)*I415/INDEX(Surface_Engine!$B$12:$B$72,$A415+1)-F415/INDEX(Surface_Engine!$B$12:$B$72,$A415+1))),IF($A415&lt;$Q$384,MAX(0,-Assumptions!$B$22*(F415/INDEX(Surface_Engine!$B$12:$B$72,$A415+1))),0)))+2*Assumptions!$B$27*(IF(C415&lt;=0,0,MAX(0,(B415/C415)*G415/INDEX(Surface_Engine!$B$12:$B$72,$A415+1)-F415/INDEX(Surface_Engine!$B$12:$B$72,$A415+1))))*(MAX(0,J415/INDEX(Surface_Engine!$B$12:$B$72,$A415+1)-(F415/INDEX(Surface_Engine!$B$12:$B$72,$A415+1))))+2*Assumptions!$B$28*(MAX(IF(D415&lt;=0,0,MAX(0,(B415/D415)*H415/INDEX(Surface_Engine!$B$12:$B$72,$A415+1)-F415/INDEX(Surface_Engine!$B$12:$B$72,$A415+1))),IF(E415&lt;=0,0,MAX(0,(B415/E415)*I415/INDEX(Surface_Engine!$B$12:$B$72,$A415+1)-F415/INDEX(Surface_Engine!$B$12:$B$72,$A415+1))),IF($A415&lt;$Q$384,MAX(0,-Assumptions!$B$22*(F415/INDEX(Surface_Engine!$B$12:$B$72,$A415+1))),0)))*(MAX(0,J415/INDEX(Surface_Engine!$B$12:$B$72,$A415+1)-(F415/INDEX(Surface_Engine!$B$12:$B$72,$A415+1)))))</f>
        <v>4363.61911893947</v>
      </c>
      <c r="L415" s="48" t="n">
        <f aca="false">K415*INDEX(Surface_Engine!$B$12:$B$72,$A415+1)+L416</f>
        <v>9020.3611615194</v>
      </c>
      <c r="M415" s="48" t="n">
        <f aca="false">M414+B414*(IF($A414&lt;$Q$384,(Surface_Engine!L239*12)-(Surface_Engine!L239*12)*INDEX(Surface_Engine!$F$12:$F$72,$A414+1)-INDEX(Surface_Engine!$D$12:$D$72,$A414+1),-(1000*12*INDEX(Surface_Engine!$C$12:$C$72,$A414+1)/(1+Assumptions!$B$10)^22+INDEX(Surface_Engine!$D$12:$D$72,$A414+1))))*INDEX(Surface_Engine!$B$12:$B$72,$A414+1)</f>
        <v>11435.9937527266</v>
      </c>
      <c r="N415" s="12" t="n">
        <f aca="false">IF(B415&lt;=0,0,MAX(0,(K415+Assumptions!$B$29*L415/INDEX(Surface_Engine!$B$12:$B$72,$A415+1)-(M415/INDEX(Surface_Engine!$B$12:$B$72,$A415+1)-(F415/INDEX(Surface_Engine!$B$12:$B$72,$A415+1))))/B415))</f>
        <v>9545.06474121248</v>
      </c>
    </row>
    <row r="416" customFormat="false" ht="15" hidden="false" customHeight="true" outlineLevel="0" collapsed="false">
      <c r="A416" s="1" t="n">
        <v>30</v>
      </c>
      <c r="B416" s="32" t="n">
        <f aca="false">INDEX(Surface_Engine!$J$12:$J$72,$A416+1)*IF($A416&lt;$Q$384,INDEX(Surface_Engine!$E$12:$E$72,$A416+1),INDEX(Surface_Engine!$E$12:$E$72,$Q$384+1))</f>
        <v>0.280113584305823</v>
      </c>
      <c r="C416" s="32" t="n">
        <f aca="false">INDEX(Panel_Reserving!$C$8:$C$68,$A416+1)*IF($A416&lt;$Q$384,INDEX(Surface_Engine!$E$12:$E$72,$A416+1),INDEX(Surface_Engine!$E$12:$E$72,$Q$384+1))</f>
        <v>0.344973915682111</v>
      </c>
      <c r="D416" s="32" t="n">
        <f aca="false">INDEX(Surface_Engine!$J$12:$J$72,$A416+1)*IF($A416&lt;$Q$384,INDEX(Surface_Engine!$Y$12:$Y$72,$A416+1),INDEX(Surface_Engine!$Y$12:$Y$72,$Q$384+1))</f>
        <v>0.245704344439764</v>
      </c>
      <c r="E416" s="32" t="n">
        <f aca="false">INDEX(Surface_Engine!$J$12:$J$72,$A416+1)*IF($A416&lt;$Q$384,INDEX(Surface_Engine!$Z$12:$Z$72,$A416+1),INDEX(Surface_Engine!$Z$12:$Z$72,$Q$384+1))</f>
        <v>0.31900152049952</v>
      </c>
      <c r="F416" s="48" t="n">
        <f aca="false">B416*(IF($A416&lt;$Q$384,INDEX(Surface_Engine!$D$12:$D$72,$A416+1)+(Surface_Engine!L239*12)*INDEX(Surface_Engine!$F$12:$F$72,$A416+1)-(Surface_Engine!L239*12),1000*12*INDEX(Surface_Engine!$C$12:$C$72,$A416+1)/(1+Assumptions!$B$10)^22+INDEX(Surface_Engine!$D$12:$D$72,$A416+1)))*INDEX(Surface_Engine!$B$12:$B$72,$A416+1)+F417</f>
        <v>8571.43518224435</v>
      </c>
      <c r="G416" s="48" t="n">
        <f aca="false">C416*(IF($A416&lt;$Q$384,INDEX(Surface_Engine!$D$12:$D$72,$A416+1)+(Surface_Engine!L239*12)*INDEX(Surface_Engine!$F$12:$F$72,$A416+1)-(Surface_Engine!L239*12),1000*12*INDEX(Surface_Engine!$C$12:$C$72,$A416+1)/(1+Assumptions!$B$10)^22+INDEX(Surface_Engine!$D$12:$D$72,$A416+1)))*INDEX(Surface_Engine!$B$12:$B$72,$A416+1)+G417</f>
        <v>12388.3786574409</v>
      </c>
      <c r="H416" s="48" t="n">
        <f aca="false">D416*(IF($A416&lt;$Q$384,INDEX(Surface_Engine!$D$12:$D$72,$A416+1)+(Surface_Engine!L239*12)*INDEX(Surface_Engine!$F$12:$F$72,$A416+1)-(Surface_Engine!L239*12),1000*12*INDEX(Surface_Engine!$C$12:$C$72,$A416+1)/(1+Assumptions!$B$10)^22+INDEX(Surface_Engine!$D$12:$D$72,$A416+1)))*INDEX(Surface_Engine!$B$12:$B$72,$A416+1)+H417</f>
        <v>7518.51741707015</v>
      </c>
      <c r="I416" s="48" t="n">
        <f aca="false">E416*(IF($A416&lt;$Q$384,INDEX(Surface_Engine!$D$12:$D$72,$A416+1)+(Surface_Engine!L239*12)*INDEX(Surface_Engine!$F$12:$F$72,$A416+1)-(Surface_Engine!L239*12),1000*12*INDEX(Surface_Engine!$C$12:$C$72,$A416+1)/(1+Assumptions!$B$10)^22+INDEX(Surface_Engine!$D$12:$D$72,$A416+1)))*INDEX(Surface_Engine!$B$12:$B$72,$A416+1)+I417</f>
        <v>9761.40040753527</v>
      </c>
      <c r="J416" s="48" t="n">
        <f aca="false">B416*(IF($A416&lt;$Q$384,INDEX(Surface_Engine!$D$12:$D$72,$A416+1)*(1+Assumptions!$B$24)+(Surface_Engine!L239*12)*INDEX(Surface_Engine!$F$12:$F$72,$A416+1)-(Surface_Engine!L239*12),1000*12*INDEX(Surface_Engine!$C$12:$C$72,$A416+1)/(1+Assumptions!$B$10)^22+INDEX(Surface_Engine!$D$12:$D$72,$A416+1)*(1+Assumptions!$B$24)))*INDEX(Surface_Engine!$B$12:$B$72,$A416+1)+J417</f>
        <v>8581.98261013914</v>
      </c>
      <c r="K416" s="12" t="n">
        <f aca="false">SQRT((IF(C416&lt;=0,0,MAX(0,(B416/C416)*G416/INDEX(Surface_Engine!$B$12:$B$72,$A416+1)-F416/INDEX(Surface_Engine!$B$12:$B$72,$A416+1))))^2+(MAX(IF(D416&lt;=0,0,MAX(0,(B416/D416)*H416/INDEX(Surface_Engine!$B$12:$B$72,$A416+1)-F416/INDEX(Surface_Engine!$B$12:$B$72,$A416+1))),IF(E416&lt;=0,0,MAX(0,(B416/E416)*I416/INDEX(Surface_Engine!$B$12:$B$72,$A416+1)-F416/INDEX(Surface_Engine!$B$12:$B$72,$A416+1))),IF($A416&lt;$Q$384,MAX(0,-Assumptions!$B$22*(F416/INDEX(Surface_Engine!$B$12:$B$72,$A416+1))),0)))^2+(MAX(0,J416/INDEX(Surface_Engine!$B$12:$B$72,$A416+1)-(F416/INDEX(Surface_Engine!$B$12:$B$72,$A416+1))))^2+2*Assumptions!$B$26*(IF(C416&lt;=0,0,MAX(0,(B416/C416)*G416/INDEX(Surface_Engine!$B$12:$B$72,$A416+1)-F416/INDEX(Surface_Engine!$B$12:$B$72,$A416+1))))*(MAX(IF(D416&lt;=0,0,MAX(0,(B416/D416)*H416/INDEX(Surface_Engine!$B$12:$B$72,$A416+1)-F416/INDEX(Surface_Engine!$B$12:$B$72,$A416+1))),IF(E416&lt;=0,0,MAX(0,(B416/E416)*I416/INDEX(Surface_Engine!$B$12:$B$72,$A416+1)-F416/INDEX(Surface_Engine!$B$12:$B$72,$A416+1))),IF($A416&lt;$Q$384,MAX(0,-Assumptions!$B$22*(F416/INDEX(Surface_Engine!$B$12:$B$72,$A416+1))),0)))+2*Assumptions!$B$27*(IF(C416&lt;=0,0,MAX(0,(B416/C416)*G416/INDEX(Surface_Engine!$B$12:$B$72,$A416+1)-F416/INDEX(Surface_Engine!$B$12:$B$72,$A416+1))))*(MAX(0,J416/INDEX(Surface_Engine!$B$12:$B$72,$A416+1)-(F416/INDEX(Surface_Engine!$B$12:$B$72,$A416+1))))+2*Assumptions!$B$28*(MAX(IF(D416&lt;=0,0,MAX(0,(B416/D416)*H416/INDEX(Surface_Engine!$B$12:$B$72,$A416+1)-F416/INDEX(Surface_Engine!$B$12:$B$72,$A416+1))),IF(E416&lt;=0,0,MAX(0,(B416/E416)*I416/INDEX(Surface_Engine!$B$12:$B$72,$A416+1)-F416/INDEX(Surface_Engine!$B$12:$B$72,$A416+1))),IF($A416&lt;$Q$384,MAX(0,-Assumptions!$B$22*(F416/INDEX(Surface_Engine!$B$12:$B$72,$A416+1))),0)))*(MAX(0,J416/INDEX(Surface_Engine!$B$12:$B$72,$A416+1)-(F416/INDEX(Surface_Engine!$B$12:$B$72,$A416+1)))))</f>
        <v>3816.60455795168</v>
      </c>
      <c r="L416" s="48" t="n">
        <f aca="false">K416*INDEX(Surface_Engine!$B$12:$B$72,$A416+1)+L417</f>
        <v>7261.09103504114</v>
      </c>
      <c r="M416" s="48" t="n">
        <f aca="false">M415+B415*(IF($A415&lt;$Q$384,(Surface_Engine!L239*12)-(Surface_Engine!L239*12)*INDEX(Surface_Engine!$F$12:$F$72,$A415+1)-INDEX(Surface_Engine!$D$12:$D$72,$A415+1),-(1000*12*INDEX(Surface_Engine!$C$12:$C$72,$A415+1)/(1+Assumptions!$B$10)^22+INDEX(Surface_Engine!$D$12:$D$72,$A415+1))))*INDEX(Surface_Engine!$B$12:$B$72,$A415+1)</f>
        <v>9650.21330765469</v>
      </c>
      <c r="N416" s="12" t="n">
        <f aca="false">IF(B416&lt;=0,0,MAX(0,(K416+Assumptions!$B$29*L416/INDEX(Surface_Engine!$B$12:$B$72,$A416+1)-(M416/INDEX(Surface_Engine!$B$12:$B$72,$A416+1)-(F416/INDEX(Surface_Engine!$B$12:$B$72,$A416+1))))/B416))</f>
        <v>7745.92969188995</v>
      </c>
    </row>
    <row r="417" customFormat="false" ht="15" hidden="false" customHeight="true" outlineLevel="0" collapsed="false">
      <c r="A417" s="1" t="n">
        <v>31</v>
      </c>
      <c r="B417" s="32" t="n">
        <f aca="false">INDEX(Surface_Engine!$J$12:$J$72,$A417+1)*IF($A417&lt;$Q$384,INDEX(Surface_Engine!$E$12:$E$72,$A417+1),INDEX(Surface_Engine!$E$12:$E$72,$Q$384+1))</f>
        <v>0.243897032942346</v>
      </c>
      <c r="C417" s="32" t="n">
        <f aca="false">INDEX(Panel_Reserving!$C$8:$C$68,$A417+1)*IF($A417&lt;$Q$384,INDEX(Surface_Engine!$E$12:$E$72,$A417+1),INDEX(Surface_Engine!$E$12:$E$72,$Q$384+1))</f>
        <v>0.30929191741752</v>
      </c>
      <c r="D417" s="32" t="n">
        <f aca="false">INDEX(Surface_Engine!$J$12:$J$72,$A417+1)*IF($A417&lt;$Q$384,INDEX(Surface_Engine!$Y$12:$Y$72,$A417+1),INDEX(Surface_Engine!$Y$12:$Y$72,$Q$384+1))</f>
        <v>0.213936645516185</v>
      </c>
      <c r="E417" s="32" t="n">
        <f aca="false">INDEX(Surface_Engine!$J$12:$J$72,$A417+1)*IF($A417&lt;$Q$384,INDEX(Surface_Engine!$Z$12:$Z$72,$A417+1),INDEX(Surface_Engine!$Z$12:$Z$72,$Q$384+1))</f>
        <v>0.27775705539859</v>
      </c>
      <c r="F417" s="48" t="n">
        <f aca="false">B417*(IF($A417&lt;$Q$384,INDEX(Surface_Engine!$D$12:$D$72,$A417+1)+(Surface_Engine!L239*12)*INDEX(Surface_Engine!$F$12:$F$72,$A417+1)-(Surface_Engine!L239*12),1000*12*INDEX(Surface_Engine!$C$12:$C$72,$A417+1)/(1+Assumptions!$B$10)^22+INDEX(Surface_Engine!$D$12:$D$72,$A417+1)))*INDEX(Surface_Engine!$B$12:$B$72,$A417+1)+F418</f>
        <v>7014.65725026733</v>
      </c>
      <c r="G417" s="48" t="n">
        <f aca="false">C417*(IF($A417&lt;$Q$384,INDEX(Surface_Engine!$D$12:$D$72,$A417+1)+(Surface_Engine!L239*12)*INDEX(Surface_Engine!$F$12:$F$72,$A417+1)-(Surface_Engine!L239*12),1000*12*INDEX(Surface_Engine!$C$12:$C$72,$A417+1)/(1+Assumptions!$B$10)^22+INDEX(Surface_Engine!$D$12:$D$72,$A417+1)))*INDEX(Surface_Engine!$B$12:$B$72,$A417+1)+G418</f>
        <v>10471.1286234144</v>
      </c>
      <c r="H417" s="48" t="n">
        <f aca="false">D417*(IF($A417&lt;$Q$384,INDEX(Surface_Engine!$D$12:$D$72,$A417+1)+(Surface_Engine!L239*12)*INDEX(Surface_Engine!$F$12:$F$72,$A417+1)-(Surface_Engine!L239*12),1000*12*INDEX(Surface_Engine!$C$12:$C$72,$A417+1)/(1+Assumptions!$B$10)^22+INDEX(Surface_Engine!$D$12:$D$72,$A417+1)))*INDEX(Surface_Engine!$B$12:$B$72,$A417+1)+H418</f>
        <v>6152.97457071862</v>
      </c>
      <c r="I417" s="48" t="n">
        <f aca="false">E417*(IF($A417&lt;$Q$384,INDEX(Surface_Engine!$D$12:$D$72,$A417+1)+(Surface_Engine!L239*12)*INDEX(Surface_Engine!$F$12:$F$72,$A417+1)-(Surface_Engine!L239*12),1000*12*INDEX(Surface_Engine!$C$12:$C$72,$A417+1)/(1+Assumptions!$B$10)^22+INDEX(Surface_Engine!$D$12:$D$72,$A417+1)))*INDEX(Surface_Engine!$B$12:$B$72,$A417+1)+I418</f>
        <v>7988.49628861696</v>
      </c>
      <c r="J417" s="48" t="n">
        <f aca="false">B417*(IF($A417&lt;$Q$384,INDEX(Surface_Engine!$D$12:$D$72,$A417+1)*(1+Assumptions!$B$24)+(Surface_Engine!L239*12)*INDEX(Surface_Engine!$F$12:$F$72,$A417+1)-(Surface_Engine!L239*12),1000*12*INDEX(Surface_Engine!$C$12:$C$72,$A417+1)/(1+Assumptions!$B$10)^22+INDEX(Surface_Engine!$D$12:$D$72,$A417+1)*(1+Assumptions!$B$24)))*INDEX(Surface_Engine!$B$12:$B$72,$A417+1)+J418</f>
        <v>7023.32322592773</v>
      </c>
      <c r="K417" s="12" t="n">
        <f aca="false">SQRT((IF(C417&lt;=0,0,MAX(0,(B417/C417)*G417/INDEX(Surface_Engine!$B$12:$B$72,$A417+1)-F417/INDEX(Surface_Engine!$B$12:$B$72,$A417+1))))^2+(MAX(IF(D417&lt;=0,0,MAX(0,(B417/D417)*H417/INDEX(Surface_Engine!$B$12:$B$72,$A417+1)-F417/INDEX(Surface_Engine!$B$12:$B$72,$A417+1))),IF(E417&lt;=0,0,MAX(0,(B417/E417)*I417/INDEX(Surface_Engine!$B$12:$B$72,$A417+1)-F417/INDEX(Surface_Engine!$B$12:$B$72,$A417+1))),IF($A417&lt;$Q$384,MAX(0,-Assumptions!$B$22*(F417/INDEX(Surface_Engine!$B$12:$B$72,$A417+1))),0)))^2+(MAX(0,J417/INDEX(Surface_Engine!$B$12:$B$72,$A417+1)-(F417/INDEX(Surface_Engine!$B$12:$B$72,$A417+1))))^2+2*Assumptions!$B$26*(IF(C417&lt;=0,0,MAX(0,(B417/C417)*G417/INDEX(Surface_Engine!$B$12:$B$72,$A417+1)-F417/INDEX(Surface_Engine!$B$12:$B$72,$A417+1))))*(MAX(IF(D417&lt;=0,0,MAX(0,(B417/D417)*H417/INDEX(Surface_Engine!$B$12:$B$72,$A417+1)-F417/INDEX(Surface_Engine!$B$12:$B$72,$A417+1))),IF(E417&lt;=0,0,MAX(0,(B417/E417)*I417/INDEX(Surface_Engine!$B$12:$B$72,$A417+1)-F417/INDEX(Surface_Engine!$B$12:$B$72,$A417+1))),IF($A417&lt;$Q$384,MAX(0,-Assumptions!$B$22*(F417/INDEX(Surface_Engine!$B$12:$B$72,$A417+1))),0)))+2*Assumptions!$B$27*(IF(C417&lt;=0,0,MAX(0,(B417/C417)*G417/INDEX(Surface_Engine!$B$12:$B$72,$A417+1)-F417/INDEX(Surface_Engine!$B$12:$B$72,$A417+1))))*(MAX(0,J417/INDEX(Surface_Engine!$B$12:$B$72,$A417+1)-(F417/INDEX(Surface_Engine!$B$12:$B$72,$A417+1))))+2*Assumptions!$B$28*(MAX(IF(D417&lt;=0,0,MAX(0,(B417/D417)*H417/INDEX(Surface_Engine!$B$12:$B$72,$A417+1)-F417/INDEX(Surface_Engine!$B$12:$B$72,$A417+1))),IF(E417&lt;=0,0,MAX(0,(B417/E417)*I417/INDEX(Surface_Engine!$B$12:$B$72,$A417+1)-F417/INDEX(Surface_Engine!$B$12:$B$72,$A417+1))),IF($A417&lt;$Q$384,MAX(0,-Assumptions!$B$22*(F417/INDEX(Surface_Engine!$B$12:$B$72,$A417+1))),0)))*(MAX(0,J417/INDEX(Surface_Engine!$B$12:$B$72,$A417+1)-(F417/INDEX(Surface_Engine!$B$12:$B$72,$A417+1)))))</f>
        <v>3289.89745749276</v>
      </c>
      <c r="L417" s="48" t="n">
        <f aca="false">K417*INDEX(Surface_Engine!$B$12:$B$72,$A417+1)+L418</f>
        <v>5770.67890392445</v>
      </c>
      <c r="M417" s="48" t="n">
        <f aca="false">M416+B416*(IF($A416&lt;$Q$384,(Surface_Engine!L239*12)-(Surface_Engine!L239*12)*INDEX(Surface_Engine!$F$12:$F$72,$A416+1)-INDEX(Surface_Engine!$D$12:$D$72,$A416+1),-(1000*12*INDEX(Surface_Engine!$C$12:$C$72,$A416+1)/(1+Assumptions!$B$10)^22+INDEX(Surface_Engine!$D$12:$D$72,$A416+1))))*INDEX(Surface_Engine!$B$12:$B$72,$A416+1)</f>
        <v>8093.43537567768</v>
      </c>
      <c r="N417" s="12" t="n">
        <f aca="false">IF(B417&lt;=0,0,MAX(0,(K417+Assumptions!$B$29*L417/INDEX(Surface_Engine!$B$12:$B$72,$A417+1)-(M417/INDEX(Surface_Engine!$B$12:$B$72,$A417+1)-(F417/INDEX(Surface_Engine!$B$12:$B$72,$A417+1))))/B417))</f>
        <v>5550.40679834032</v>
      </c>
    </row>
    <row r="418" customFormat="false" ht="15" hidden="false" customHeight="true" outlineLevel="0" collapsed="false">
      <c r="A418" s="1" t="n">
        <v>32</v>
      </c>
      <c r="B418" s="32" t="n">
        <f aca="false">INDEX(Surface_Engine!$J$12:$J$72,$A418+1)*IF($A418&lt;$Q$384,INDEX(Surface_Engine!$E$12:$E$72,$A418+1),INDEX(Surface_Engine!$E$12:$E$72,$Q$384+1))</f>
        <v>0.209700920677828</v>
      </c>
      <c r="C418" s="32" t="n">
        <f aca="false">INDEX(Panel_Reserving!$C$8:$C$68,$A418+1)*IF($A418&lt;$Q$384,INDEX(Surface_Engine!$E$12:$E$72,$A418+1),INDEX(Surface_Engine!$E$12:$E$72,$Q$384+1))</f>
        <v>0.274599962364446</v>
      </c>
      <c r="D418" s="32" t="n">
        <f aca="false">INDEX(Surface_Engine!$J$12:$J$72,$A418+1)*IF($A418&lt;$Q$384,INDEX(Surface_Engine!$Y$12:$Y$72,$A418+1),INDEX(Surface_Engine!$Y$12:$Y$72,$Q$384+1))</f>
        <v>0.183941194323897</v>
      </c>
      <c r="E418" s="32" t="n">
        <f aca="false">INDEX(Surface_Engine!$J$12:$J$72,$A418+1)*IF($A418&lt;$Q$384,INDEX(Surface_Engine!$Z$12:$Z$72,$A418+1),INDEX(Surface_Engine!$Z$12:$Z$72,$Q$384+1))</f>
        <v>0.238813525278166</v>
      </c>
      <c r="F418" s="48" t="n">
        <f aca="false">B418*(IF($A418&lt;$Q$384,INDEX(Surface_Engine!$D$12:$D$72,$A418+1)+(Surface_Engine!L239*12)*INDEX(Surface_Engine!$F$12:$F$72,$A418+1)-(Surface_Engine!L239*12),1000*12*INDEX(Surface_Engine!$C$12:$C$72,$A418+1)/(1+Assumptions!$B$10)^22+INDEX(Surface_Engine!$D$12:$D$72,$A418+1)))*INDEX(Surface_Engine!$B$12:$B$72,$A418+1)+F419</f>
        <v>5675.03584924088</v>
      </c>
      <c r="G418" s="48" t="n">
        <f aca="false">C418*(IF($A418&lt;$Q$384,INDEX(Surface_Engine!$D$12:$D$72,$A418+1)+(Surface_Engine!L239*12)*INDEX(Surface_Engine!$F$12:$F$72,$A418+1)-(Surface_Engine!L239*12),1000*12*INDEX(Surface_Engine!$C$12:$C$72,$A418+1)/(1+Assumptions!$B$10)^22+INDEX(Surface_Engine!$D$12:$D$72,$A418+1)))*INDEX(Surface_Engine!$B$12:$B$72,$A418+1)+G419</f>
        <v>8772.32127533588</v>
      </c>
      <c r="H418" s="48" t="n">
        <f aca="false">D418*(IF($A418&lt;$Q$384,INDEX(Surface_Engine!$D$12:$D$72,$A418+1)+(Surface_Engine!L239*12)*INDEX(Surface_Engine!$F$12:$F$72,$A418+1)-(Surface_Engine!L239*12),1000*12*INDEX(Surface_Engine!$C$12:$C$72,$A418+1)/(1+Assumptions!$B$10)^22+INDEX(Surface_Engine!$D$12:$D$72,$A418+1)))*INDEX(Surface_Engine!$B$12:$B$72,$A418+1)+H419</f>
        <v>4977.91267947766</v>
      </c>
      <c r="I418" s="48" t="n">
        <f aca="false">E418*(IF($A418&lt;$Q$384,INDEX(Surface_Engine!$D$12:$D$72,$A418+1)+(Surface_Engine!L239*12)*INDEX(Surface_Engine!$F$12:$F$72,$A418+1)-(Surface_Engine!L239*12),1000*12*INDEX(Surface_Engine!$C$12:$C$72,$A418+1)/(1+Assumptions!$B$10)^22+INDEX(Surface_Engine!$D$12:$D$72,$A418+1)))*INDEX(Surface_Engine!$B$12:$B$72,$A418+1)+I419</f>
        <v>6462.89636142966</v>
      </c>
      <c r="J418" s="48" t="n">
        <f aca="false">B418*(IF($A418&lt;$Q$384,INDEX(Surface_Engine!$D$12:$D$72,$A418+1)*(1+Assumptions!$B$24)+(Surface_Engine!L239*12)*INDEX(Surface_Engine!$F$12:$F$72,$A418+1)-(Surface_Engine!L239*12),1000*12*INDEX(Surface_Engine!$C$12:$C$72,$A418+1)/(1+Assumptions!$B$10)^22+INDEX(Surface_Engine!$D$12:$D$72,$A418+1)*(1+Assumptions!$B$24)))*INDEX(Surface_Engine!$B$12:$B$72,$A418+1)+J419</f>
        <v>5682.07497841768</v>
      </c>
      <c r="K418" s="12" t="n">
        <f aca="false">SQRT((IF(C418&lt;=0,0,MAX(0,(B418/C418)*G418/INDEX(Surface_Engine!$B$12:$B$72,$A418+1)-F418/INDEX(Surface_Engine!$B$12:$B$72,$A418+1))))^2+(MAX(IF(D418&lt;=0,0,MAX(0,(B418/D418)*H418/INDEX(Surface_Engine!$B$12:$B$72,$A418+1)-F418/INDEX(Surface_Engine!$B$12:$B$72,$A418+1))),IF(E418&lt;=0,0,MAX(0,(B418/E418)*I418/INDEX(Surface_Engine!$B$12:$B$72,$A418+1)-F418/INDEX(Surface_Engine!$B$12:$B$72,$A418+1))),IF($A418&lt;$Q$384,MAX(0,-Assumptions!$B$22*(F418/INDEX(Surface_Engine!$B$12:$B$72,$A418+1))),0)))^2+(MAX(0,J418/INDEX(Surface_Engine!$B$12:$B$72,$A418+1)-(F418/INDEX(Surface_Engine!$B$12:$B$72,$A418+1))))^2+2*Assumptions!$B$26*(IF(C418&lt;=0,0,MAX(0,(B418/C418)*G418/INDEX(Surface_Engine!$B$12:$B$72,$A418+1)-F418/INDEX(Surface_Engine!$B$12:$B$72,$A418+1))))*(MAX(IF(D418&lt;=0,0,MAX(0,(B418/D418)*H418/INDEX(Surface_Engine!$B$12:$B$72,$A418+1)-F418/INDEX(Surface_Engine!$B$12:$B$72,$A418+1))),IF(E418&lt;=0,0,MAX(0,(B418/E418)*I418/INDEX(Surface_Engine!$B$12:$B$72,$A418+1)-F418/INDEX(Surface_Engine!$B$12:$B$72,$A418+1))),IF($A418&lt;$Q$384,MAX(0,-Assumptions!$B$22*(F418/INDEX(Surface_Engine!$B$12:$B$72,$A418+1))),0)))+2*Assumptions!$B$27*(IF(C418&lt;=0,0,MAX(0,(B418/C418)*G418/INDEX(Surface_Engine!$B$12:$B$72,$A418+1)-F418/INDEX(Surface_Engine!$B$12:$B$72,$A418+1))))*(MAX(0,J418/INDEX(Surface_Engine!$B$12:$B$72,$A418+1)-(F418/INDEX(Surface_Engine!$B$12:$B$72,$A418+1))))+2*Assumptions!$B$28*(MAX(IF(D418&lt;=0,0,MAX(0,(B418/D418)*H418/INDEX(Surface_Engine!$B$12:$B$72,$A418+1)-F418/INDEX(Surface_Engine!$B$12:$B$72,$A418+1))),IF(E418&lt;=0,0,MAX(0,(B418/E418)*I418/INDEX(Surface_Engine!$B$12:$B$72,$A418+1)-F418/INDEX(Surface_Engine!$B$12:$B$72,$A418+1))),IF($A418&lt;$Q$384,MAX(0,-Assumptions!$B$22*(F418/INDEX(Surface_Engine!$B$12:$B$72,$A418+1))),0)))*(MAX(0,J418/INDEX(Surface_Engine!$B$12:$B$72,$A418+1)-(F418/INDEX(Surface_Engine!$B$12:$B$72,$A418+1)))))</f>
        <v>2799.42261029375</v>
      </c>
      <c r="L418" s="48" t="n">
        <f aca="false">K418*INDEX(Surface_Engine!$B$12:$B$72,$A418+1)+L419</f>
        <v>4525.96730085967</v>
      </c>
      <c r="M418" s="48" t="n">
        <f aca="false">M417+B417*(IF($A417&lt;$Q$384,(Surface_Engine!L239*12)-(Surface_Engine!L239*12)*INDEX(Surface_Engine!$F$12:$F$72,$A417+1)-INDEX(Surface_Engine!$D$12:$D$72,$A417+1),-(1000*12*INDEX(Surface_Engine!$C$12:$C$72,$A417+1)/(1+Assumptions!$B$10)^22+INDEX(Surface_Engine!$D$12:$D$72,$A417+1))))*INDEX(Surface_Engine!$B$12:$B$72,$A417+1)</f>
        <v>6753.81397465122</v>
      </c>
      <c r="N418" s="12" t="n">
        <f aca="false">IF(B418&lt;=0,0,MAX(0,(K418+Assumptions!$B$29*L418/INDEX(Surface_Engine!$B$12:$B$72,$A418+1)-(M418/INDEX(Surface_Engine!$B$12:$B$72,$A418+1)-(F418/INDEX(Surface_Engine!$B$12:$B$72,$A418+1))))/B418))</f>
        <v>2844.71409538986</v>
      </c>
    </row>
    <row r="419" customFormat="false" ht="15" hidden="false" customHeight="true" outlineLevel="0" collapsed="false">
      <c r="A419" s="1" t="n">
        <v>33</v>
      </c>
      <c r="B419" s="32" t="n">
        <f aca="false">INDEX(Surface_Engine!$J$12:$J$72,$A419+1)*IF($A419&lt;$Q$384,INDEX(Surface_Engine!$E$12:$E$72,$A419+1),INDEX(Surface_Engine!$E$12:$E$72,$Q$384+1))</f>
        <v>0.177161355430161</v>
      </c>
      <c r="C419" s="32" t="n">
        <f aca="false">INDEX(Panel_Reserving!$C$8:$C$68,$A419+1)*IF($A419&lt;$Q$384,INDEX(Surface_Engine!$E$12:$E$72,$A419+1),INDEX(Surface_Engine!$E$12:$E$72,$Q$384+1))</f>
        <v>0.240511935040646</v>
      </c>
      <c r="D419" s="32" t="n">
        <f aca="false">INDEX(Surface_Engine!$J$12:$J$72,$A419+1)*IF($A419&lt;$Q$384,INDEX(Surface_Engine!$Y$12:$Y$72,$A419+1),INDEX(Surface_Engine!$Y$12:$Y$72,$Q$384+1))</f>
        <v>0.155398799397402</v>
      </c>
      <c r="E419" s="32" t="n">
        <f aca="false">INDEX(Surface_Engine!$J$12:$J$72,$A419+1)*IF($A419&lt;$Q$384,INDEX(Surface_Engine!$Z$12:$Z$72,$A419+1),INDEX(Surface_Engine!$Z$12:$Z$72,$Q$384+1))</f>
        <v>0.201756519220702</v>
      </c>
      <c r="F419" s="48" t="n">
        <f aca="false">B419*(IF($A419&lt;$Q$384,INDEX(Surface_Engine!$D$12:$D$72,$A419+1)+(Surface_Engine!L239*12)*INDEX(Surface_Engine!$F$12:$F$72,$A419+1)-(Surface_Engine!L239*12),1000*12*INDEX(Surface_Engine!$C$12:$C$72,$A419+1)/(1+Assumptions!$B$10)^22+INDEX(Surface_Engine!$D$12:$D$72,$A419+1)))*INDEX(Surface_Engine!$B$12:$B$72,$A419+1)+F420</f>
        <v>4537.10469783729</v>
      </c>
      <c r="G419" s="48" t="n">
        <f aca="false">C419*(IF($A419&lt;$Q$384,INDEX(Surface_Engine!$D$12:$D$72,$A419+1)+(Surface_Engine!L239*12)*INDEX(Surface_Engine!$F$12:$F$72,$A419+1)-(Surface_Engine!L239*12),1000*12*INDEX(Surface_Engine!$C$12:$C$72,$A419+1)/(1+Assumptions!$B$10)^22+INDEX(Surface_Engine!$D$12:$D$72,$A419+1)))*INDEX(Surface_Engine!$B$12:$B$72,$A419+1)+G420</f>
        <v>7282.21884593918</v>
      </c>
      <c r="H419" s="48" t="n">
        <f aca="false">D419*(IF($A419&lt;$Q$384,INDEX(Surface_Engine!$D$12:$D$72,$A419+1)+(Surface_Engine!L239*12)*INDEX(Surface_Engine!$F$12:$F$72,$A419+1)-(Surface_Engine!L239*12),1000*12*INDEX(Surface_Engine!$C$12:$C$72,$A419+1)/(1+Assumptions!$B$10)^22+INDEX(Surface_Engine!$D$12:$D$72,$A419+1)))*INDEX(Surface_Engine!$B$12:$B$72,$A419+1)+H420</f>
        <v>3979.76534483091</v>
      </c>
      <c r="I419" s="48" t="n">
        <f aca="false">E419*(IF($A419&lt;$Q$384,INDEX(Surface_Engine!$D$12:$D$72,$A419+1)+(Surface_Engine!L239*12)*INDEX(Surface_Engine!$F$12:$F$72,$A419+1)-(Surface_Engine!L239*12),1000*12*INDEX(Surface_Engine!$C$12:$C$72,$A419+1)/(1+Assumptions!$B$10)^22+INDEX(Surface_Engine!$D$12:$D$72,$A419+1)))*INDEX(Surface_Engine!$B$12:$B$72,$A419+1)+I420</f>
        <v>5166.9871736582</v>
      </c>
      <c r="J419" s="48" t="n">
        <f aca="false">B419*(IF($A419&lt;$Q$384,INDEX(Surface_Engine!$D$12:$D$72,$A419+1)*(1+Assumptions!$B$24)+(Surface_Engine!L239*12)*INDEX(Surface_Engine!$F$12:$F$72,$A419+1)-(Surface_Engine!L239*12),1000*12*INDEX(Surface_Engine!$C$12:$C$72,$A419+1)/(1+Assumptions!$B$10)^22+INDEX(Surface_Engine!$D$12:$D$72,$A419+1)*(1+Assumptions!$B$24)))*INDEX(Surface_Engine!$B$12:$B$72,$A419+1)+J420</f>
        <v>4542.75522329687</v>
      </c>
      <c r="K419" s="12" t="n">
        <f aca="false">SQRT((IF(C419&lt;=0,0,MAX(0,(B419/C419)*G419/INDEX(Surface_Engine!$B$12:$B$72,$A419+1)-F419/INDEX(Surface_Engine!$B$12:$B$72,$A419+1))))^2+(MAX(IF(D419&lt;=0,0,MAX(0,(B419/D419)*H419/INDEX(Surface_Engine!$B$12:$B$72,$A419+1)-F419/INDEX(Surface_Engine!$B$12:$B$72,$A419+1))),IF(E419&lt;=0,0,MAX(0,(B419/E419)*I419/INDEX(Surface_Engine!$B$12:$B$72,$A419+1)-F419/INDEX(Surface_Engine!$B$12:$B$72,$A419+1))),IF($A419&lt;$Q$384,MAX(0,-Assumptions!$B$22*(F419/INDEX(Surface_Engine!$B$12:$B$72,$A419+1))),0)))^2+(MAX(0,J419/INDEX(Surface_Engine!$B$12:$B$72,$A419+1)-(F419/INDEX(Surface_Engine!$B$12:$B$72,$A419+1))))^2+2*Assumptions!$B$26*(IF(C419&lt;=0,0,MAX(0,(B419/C419)*G419/INDEX(Surface_Engine!$B$12:$B$72,$A419+1)-F419/INDEX(Surface_Engine!$B$12:$B$72,$A419+1))))*(MAX(IF(D419&lt;=0,0,MAX(0,(B419/D419)*H419/INDEX(Surface_Engine!$B$12:$B$72,$A419+1)-F419/INDEX(Surface_Engine!$B$12:$B$72,$A419+1))),IF(E419&lt;=0,0,MAX(0,(B419/E419)*I419/INDEX(Surface_Engine!$B$12:$B$72,$A419+1)-F419/INDEX(Surface_Engine!$B$12:$B$72,$A419+1))),IF($A419&lt;$Q$384,MAX(0,-Assumptions!$B$22*(F419/INDEX(Surface_Engine!$B$12:$B$72,$A419+1))),0)))+2*Assumptions!$B$27*(IF(C419&lt;=0,0,MAX(0,(B419/C419)*G419/INDEX(Surface_Engine!$B$12:$B$72,$A419+1)-F419/INDEX(Surface_Engine!$B$12:$B$72,$A419+1))))*(MAX(0,J419/INDEX(Surface_Engine!$B$12:$B$72,$A419+1)-(F419/INDEX(Surface_Engine!$B$12:$B$72,$A419+1))))+2*Assumptions!$B$28*(MAX(IF(D419&lt;=0,0,MAX(0,(B419/D419)*H419/INDEX(Surface_Engine!$B$12:$B$72,$A419+1)-F419/INDEX(Surface_Engine!$B$12:$B$72,$A419+1))),IF(E419&lt;=0,0,MAX(0,(B419/E419)*I419/INDEX(Surface_Engine!$B$12:$B$72,$A419+1)-F419/INDEX(Surface_Engine!$B$12:$B$72,$A419+1))),IF($A419&lt;$Q$384,MAX(0,-Assumptions!$B$22*(F419/INDEX(Surface_Engine!$B$12:$B$72,$A419+1))),0)))*(MAX(0,J419/INDEX(Surface_Engine!$B$12:$B$72,$A419+1)-(F419/INDEX(Surface_Engine!$B$12:$B$72,$A419+1)))))</f>
        <v>2334.26958000715</v>
      </c>
      <c r="L419" s="48" t="n">
        <f aca="false">K419*INDEX(Surface_Engine!$B$12:$B$72,$A419+1)+L420</f>
        <v>3500.15262658436</v>
      </c>
      <c r="M419" s="48" t="n">
        <f aca="false">M418+B418*(IF($A418&lt;$Q$384,(Surface_Engine!L239*12)-(Surface_Engine!L239*12)*INDEX(Surface_Engine!$F$12:$F$72,$A418+1)-INDEX(Surface_Engine!$D$12:$D$72,$A418+1),-(1000*12*INDEX(Surface_Engine!$C$12:$C$72,$A418+1)/(1+Assumptions!$B$10)^22+INDEX(Surface_Engine!$D$12:$D$72,$A418+1))))*INDEX(Surface_Engine!$B$12:$B$72,$A418+1)</f>
        <v>5615.88282324764</v>
      </c>
      <c r="N419" s="12" t="n">
        <f aca="false">IF(B419&lt;=0,0,MAX(0,(K419+Assumptions!$B$29*L419/INDEX(Surface_Engine!$B$12:$B$72,$A419+1)-(M419/INDEX(Surface_Engine!$B$12:$B$72,$A419+1)-(F419/INDEX(Surface_Engine!$B$12:$B$72,$A419+1))))/B419))</f>
        <v>0</v>
      </c>
    </row>
    <row r="420" customFormat="false" ht="15" hidden="false" customHeight="true" outlineLevel="0" collapsed="false">
      <c r="A420" s="1" t="n">
        <v>34</v>
      </c>
      <c r="B420" s="32" t="n">
        <f aca="false">INDEX(Surface_Engine!$J$12:$J$72,$A420+1)*IF($A420&lt;$Q$384,INDEX(Surface_Engine!$E$12:$E$72,$A420+1),INDEX(Surface_Engine!$E$12:$E$72,$Q$384+1))</f>
        <v>0.147864802566889</v>
      </c>
      <c r="C420" s="32" t="n">
        <f aca="false">INDEX(Panel_Reserving!$C$8:$C$68,$A420+1)*IF($A420&lt;$Q$384,INDEX(Surface_Engine!$E$12:$E$72,$A420+1),INDEX(Surface_Engine!$E$12:$E$72,$Q$384+1))</f>
        <v>0.2086938419715</v>
      </c>
      <c r="D420" s="32" t="n">
        <f aca="false">INDEX(Surface_Engine!$J$12:$J$72,$A420+1)*IF($A420&lt;$Q$384,INDEX(Surface_Engine!$Y$12:$Y$72,$A420+1),INDEX(Surface_Engine!$Y$12:$Y$72,$Q$384+1))</f>
        <v>0.129701044204793</v>
      </c>
      <c r="E420" s="32" t="n">
        <f aca="false">INDEX(Surface_Engine!$J$12:$J$72,$A420+1)*IF($A420&lt;$Q$384,INDEX(Surface_Engine!$Z$12:$Z$72,$A420+1),INDEX(Surface_Engine!$Z$12:$Z$72,$Q$384+1))</f>
        <v>0.168392750262695</v>
      </c>
      <c r="F420" s="48" t="n">
        <f aca="false">B420*(IF($A420&lt;$Q$384,INDEX(Surface_Engine!$D$12:$D$72,$A420+1)+(Surface_Engine!L239*12)*INDEX(Surface_Engine!$F$12:$F$72,$A420+1)-(Surface_Engine!L239*12),1000*12*INDEX(Surface_Engine!$C$12:$C$72,$A420+1)/(1+Assumptions!$B$10)^22+INDEX(Surface_Engine!$D$12:$D$72,$A420+1)))*INDEX(Surface_Engine!$B$12:$B$72,$A420+1)+F421</f>
        <v>3587.35748358638</v>
      </c>
      <c r="G420" s="48" t="n">
        <f aca="false">C420*(IF($A420&lt;$Q$384,INDEX(Surface_Engine!$D$12:$D$72,$A420+1)+(Surface_Engine!L239*12)*INDEX(Surface_Engine!$F$12:$F$72,$A420+1)-(Surface_Engine!L239*12),1000*12*INDEX(Surface_Engine!$C$12:$C$72,$A420+1)/(1+Assumptions!$B$10)^22+INDEX(Surface_Engine!$D$12:$D$72,$A420+1)))*INDEX(Surface_Engine!$B$12:$B$72,$A420+1)+G421</f>
        <v>5992.85447104875</v>
      </c>
      <c r="H420" s="48" t="n">
        <f aca="false">D420*(IF($A420&lt;$Q$384,INDEX(Surface_Engine!$D$12:$D$72,$A420+1)+(Surface_Engine!L239*12)*INDEX(Surface_Engine!$F$12:$F$72,$A420+1)-(Surface_Engine!L239*12),1000*12*INDEX(Surface_Engine!$C$12:$C$72,$A420+1)/(1+Assumptions!$B$10)^22+INDEX(Surface_Engine!$D$12:$D$72,$A420+1)))*INDEX(Surface_Engine!$B$12:$B$72,$A420+1)+H421</f>
        <v>3146.68537393511</v>
      </c>
      <c r="I420" s="48" t="n">
        <f aca="false">E420*(IF($A420&lt;$Q$384,INDEX(Surface_Engine!$D$12:$D$72,$A420+1)+(Surface_Engine!L239*12)*INDEX(Surface_Engine!$F$12:$F$72,$A420+1)-(Surface_Engine!L239*12),1000*12*INDEX(Surface_Engine!$C$12:$C$72,$A420+1)/(1+Assumptions!$B$10)^22+INDEX(Surface_Engine!$D$12:$D$72,$A420+1)))*INDEX(Surface_Engine!$B$12:$B$72,$A420+1)+I421</f>
        <v>4085.38734269303</v>
      </c>
      <c r="J420" s="48" t="n">
        <f aca="false">B420*(IF($A420&lt;$Q$384,INDEX(Surface_Engine!$D$12:$D$72,$A420+1)*(1+Assumptions!$B$24)+(Surface_Engine!L239*12)*INDEX(Surface_Engine!$F$12:$F$72,$A420+1)-(Surface_Engine!L239*12),1000*12*INDEX(Surface_Engine!$C$12:$C$72,$A420+1)/(1+Assumptions!$B$10)^22+INDEX(Surface_Engine!$D$12:$D$72,$A420+1)*(1+Assumptions!$B$24)))*INDEX(Surface_Engine!$B$12:$B$72,$A420+1)+J421</f>
        <v>3591.84343238822</v>
      </c>
      <c r="K420" s="12" t="n">
        <f aca="false">SQRT((IF(C420&lt;=0,0,MAX(0,(B420/C420)*G420/INDEX(Surface_Engine!$B$12:$B$72,$A420+1)-F420/INDEX(Surface_Engine!$B$12:$B$72,$A420+1))))^2+(MAX(IF(D420&lt;=0,0,MAX(0,(B420/D420)*H420/INDEX(Surface_Engine!$B$12:$B$72,$A420+1)-F420/INDEX(Surface_Engine!$B$12:$B$72,$A420+1))),IF(E420&lt;=0,0,MAX(0,(B420/E420)*I420/INDEX(Surface_Engine!$B$12:$B$72,$A420+1)-F420/INDEX(Surface_Engine!$B$12:$B$72,$A420+1))),IF($A420&lt;$Q$384,MAX(0,-Assumptions!$B$22*(F420/INDEX(Surface_Engine!$B$12:$B$72,$A420+1))),0)))^2+(MAX(0,J420/INDEX(Surface_Engine!$B$12:$B$72,$A420+1)-(F420/INDEX(Surface_Engine!$B$12:$B$72,$A420+1))))^2+2*Assumptions!$B$26*(IF(C420&lt;=0,0,MAX(0,(B420/C420)*G420/INDEX(Surface_Engine!$B$12:$B$72,$A420+1)-F420/INDEX(Surface_Engine!$B$12:$B$72,$A420+1))))*(MAX(IF(D420&lt;=0,0,MAX(0,(B420/D420)*H420/INDEX(Surface_Engine!$B$12:$B$72,$A420+1)-F420/INDEX(Surface_Engine!$B$12:$B$72,$A420+1))),IF(E420&lt;=0,0,MAX(0,(B420/E420)*I420/INDEX(Surface_Engine!$B$12:$B$72,$A420+1)-F420/INDEX(Surface_Engine!$B$12:$B$72,$A420+1))),IF($A420&lt;$Q$384,MAX(0,-Assumptions!$B$22*(F420/INDEX(Surface_Engine!$B$12:$B$72,$A420+1))),0)))+2*Assumptions!$B$27*(IF(C420&lt;=0,0,MAX(0,(B420/C420)*G420/INDEX(Surface_Engine!$B$12:$B$72,$A420+1)-F420/INDEX(Surface_Engine!$B$12:$B$72,$A420+1))))*(MAX(0,J420/INDEX(Surface_Engine!$B$12:$B$72,$A420+1)-(F420/INDEX(Surface_Engine!$B$12:$B$72,$A420+1))))+2*Assumptions!$B$28*(MAX(IF(D420&lt;=0,0,MAX(0,(B420/D420)*H420/INDEX(Surface_Engine!$B$12:$B$72,$A420+1)-F420/INDEX(Surface_Engine!$B$12:$B$72,$A420+1))),IF(E420&lt;=0,0,MAX(0,(B420/E420)*I420/INDEX(Surface_Engine!$B$12:$B$72,$A420+1)-F420/INDEX(Surface_Engine!$B$12:$B$72,$A420+1))),IF($A420&lt;$Q$384,MAX(0,-Assumptions!$B$22*(F420/INDEX(Surface_Engine!$B$12:$B$72,$A420+1))),0)))*(MAX(0,J420/INDEX(Surface_Engine!$B$12:$B$72,$A420+1)-(F420/INDEX(Surface_Engine!$B$12:$B$72,$A420+1)))))</f>
        <v>1919.89428153311</v>
      </c>
      <c r="L420" s="48" t="n">
        <f aca="false">K420*INDEX(Surface_Engine!$B$12:$B$72,$A420+1)+L421</f>
        <v>2671.73622880835</v>
      </c>
      <c r="M420" s="48" t="n">
        <f aca="false">M419+B419*(IF($A419&lt;$Q$384,(Surface_Engine!L239*12)-(Surface_Engine!L239*12)*INDEX(Surface_Engine!$F$12:$F$72,$A419+1)-INDEX(Surface_Engine!$D$12:$D$72,$A419+1),-(1000*12*INDEX(Surface_Engine!$C$12:$C$72,$A419+1)/(1+Assumptions!$B$10)^22+INDEX(Surface_Engine!$D$12:$D$72,$A419+1))))*INDEX(Surface_Engine!$B$12:$B$72,$A419+1)</f>
        <v>4666.13560899672</v>
      </c>
      <c r="N420" s="12" t="n">
        <f aca="false">IF(B420&lt;=0,0,MAX(0,(K420+Assumptions!$B$29*L420/INDEX(Surface_Engine!$B$12:$B$72,$A420+1)-(M420/INDEX(Surface_Engine!$B$12:$B$72,$A420+1)-(F420/INDEX(Surface_Engine!$B$12:$B$72,$A420+1))))/B420))</f>
        <v>0</v>
      </c>
    </row>
    <row r="421" customFormat="false" ht="15" hidden="false" customHeight="true" outlineLevel="0" collapsed="false">
      <c r="A421" s="1" t="n">
        <v>35</v>
      </c>
      <c r="B421" s="32" t="n">
        <f aca="false">INDEX(Surface_Engine!$J$12:$J$72,$A421+1)*IF($A421&lt;$Q$384,INDEX(Surface_Engine!$E$12:$E$72,$A421+1),INDEX(Surface_Engine!$E$12:$E$72,$Q$384+1))</f>
        <v>0.121940921871355</v>
      </c>
      <c r="C421" s="32" t="n">
        <f aca="false">INDEX(Panel_Reserving!$C$8:$C$68,$A421+1)*IF($A421&lt;$Q$384,INDEX(Surface_Engine!$E$12:$E$72,$A421+1),INDEX(Surface_Engine!$E$12:$E$72,$Q$384+1))</f>
        <v>0.179423026105962</v>
      </c>
      <c r="D421" s="32" t="n">
        <f aca="false">INDEX(Surface_Engine!$J$12:$J$72,$A421+1)*IF($A421&lt;$Q$384,INDEX(Surface_Engine!$Y$12:$Y$72,$A421+1),INDEX(Surface_Engine!$Y$12:$Y$72,$Q$384+1))</f>
        <v>0.106961661081279</v>
      </c>
      <c r="E421" s="32" t="n">
        <f aca="false">INDEX(Surface_Engine!$J$12:$J$72,$A421+1)*IF($A421&lt;$Q$384,INDEX(Surface_Engine!$Z$12:$Z$72,$A421+1),INDEX(Surface_Engine!$Z$12:$Z$72,$Q$384+1))</f>
        <v>0.138869878747493</v>
      </c>
      <c r="F421" s="48" t="n">
        <f aca="false">B421*(IF($A421&lt;$Q$384,INDEX(Surface_Engine!$D$12:$D$72,$A421+1)+(Surface_Engine!L239*12)*INDEX(Surface_Engine!$F$12:$F$72,$A421+1)-(Surface_Engine!L239*12),1000*12*INDEX(Surface_Engine!$C$12:$C$72,$A421+1)/(1+Assumptions!$B$10)^22+INDEX(Surface_Engine!$D$12:$D$72,$A421+1)))*INDEX(Surface_Engine!$B$12:$B$72,$A421+1)+F422</f>
        <v>2804.26956695565</v>
      </c>
      <c r="G421" s="48" t="n">
        <f aca="false">C421*(IF($A421&lt;$Q$384,INDEX(Surface_Engine!$D$12:$D$72,$A421+1)+(Surface_Engine!L239*12)*INDEX(Surface_Engine!$F$12:$F$72,$A421+1)-(Surface_Engine!L239*12),1000*12*INDEX(Surface_Engine!$C$12:$C$72,$A421+1)/(1+Assumptions!$B$10)^22+INDEX(Surface_Engine!$D$12:$D$72,$A421+1)))*INDEX(Surface_Engine!$B$12:$B$72,$A421+1)+G422</f>
        <v>4887.61763925306</v>
      </c>
      <c r="H421" s="48" t="n">
        <f aca="false">D421*(IF($A421&lt;$Q$384,INDEX(Surface_Engine!$D$12:$D$72,$A421+1)+(Surface_Engine!L239*12)*INDEX(Surface_Engine!$F$12:$F$72,$A421+1)-(Surface_Engine!L239*12),1000*12*INDEX(Surface_Engine!$C$12:$C$72,$A421+1)/(1+Assumptions!$B$10)^22+INDEX(Surface_Engine!$D$12:$D$72,$A421+1)))*INDEX(Surface_Engine!$B$12:$B$72,$A421+1)+H422</f>
        <v>2459.79222067631</v>
      </c>
      <c r="I421" s="48" t="n">
        <f aca="false">E421*(IF($A421&lt;$Q$384,INDEX(Surface_Engine!$D$12:$D$72,$A421+1)+(Surface_Engine!L239*12)*INDEX(Surface_Engine!$F$12:$F$72,$A421+1)-(Surface_Engine!L239*12),1000*12*INDEX(Surface_Engine!$C$12:$C$72,$A421+1)/(1+Assumptions!$B$10)^22+INDEX(Surface_Engine!$D$12:$D$72,$A421+1)))*INDEX(Surface_Engine!$B$12:$B$72,$A421+1)+I422</f>
        <v>3193.58398117784</v>
      </c>
      <c r="J421" s="48" t="n">
        <f aca="false">B421*(IF($A421&lt;$Q$384,INDEX(Surface_Engine!$D$12:$D$72,$A421+1)*(1+Assumptions!$B$24)+(Surface_Engine!L239*12)*INDEX(Surface_Engine!$F$12:$F$72,$A421+1)-(Surface_Engine!L239*12),1000*12*INDEX(Surface_Engine!$C$12:$C$72,$A421+1)/(1+Assumptions!$B$10)^22+INDEX(Surface_Engine!$D$12:$D$72,$A421+1)*(1+Assumptions!$B$24)))*INDEX(Surface_Engine!$B$12:$B$72,$A421+1)+J422</f>
        <v>2807.79064717512</v>
      </c>
      <c r="K421" s="12" t="n">
        <f aca="false">SQRT((IF(C421&lt;=0,0,MAX(0,(B421/C421)*G421/INDEX(Surface_Engine!$B$12:$B$72,$A421+1)-F421/INDEX(Surface_Engine!$B$12:$B$72,$A421+1))))^2+(MAX(IF(D421&lt;=0,0,MAX(0,(B421/D421)*H421/INDEX(Surface_Engine!$B$12:$B$72,$A421+1)-F421/INDEX(Surface_Engine!$B$12:$B$72,$A421+1))),IF(E421&lt;=0,0,MAX(0,(B421/E421)*I421/INDEX(Surface_Engine!$B$12:$B$72,$A421+1)-F421/INDEX(Surface_Engine!$B$12:$B$72,$A421+1))),IF($A421&lt;$Q$384,MAX(0,-Assumptions!$B$22*(F421/INDEX(Surface_Engine!$B$12:$B$72,$A421+1))),0)))^2+(MAX(0,J421/INDEX(Surface_Engine!$B$12:$B$72,$A421+1)-(F421/INDEX(Surface_Engine!$B$12:$B$72,$A421+1))))^2+2*Assumptions!$B$26*(IF(C421&lt;=0,0,MAX(0,(B421/C421)*G421/INDEX(Surface_Engine!$B$12:$B$72,$A421+1)-F421/INDEX(Surface_Engine!$B$12:$B$72,$A421+1))))*(MAX(IF(D421&lt;=0,0,MAX(0,(B421/D421)*H421/INDEX(Surface_Engine!$B$12:$B$72,$A421+1)-F421/INDEX(Surface_Engine!$B$12:$B$72,$A421+1))),IF(E421&lt;=0,0,MAX(0,(B421/E421)*I421/INDEX(Surface_Engine!$B$12:$B$72,$A421+1)-F421/INDEX(Surface_Engine!$B$12:$B$72,$A421+1))),IF($A421&lt;$Q$384,MAX(0,-Assumptions!$B$22*(F421/INDEX(Surface_Engine!$B$12:$B$72,$A421+1))),0)))+2*Assumptions!$B$27*(IF(C421&lt;=0,0,MAX(0,(B421/C421)*G421/INDEX(Surface_Engine!$B$12:$B$72,$A421+1)-F421/INDEX(Surface_Engine!$B$12:$B$72,$A421+1))))*(MAX(0,J421/INDEX(Surface_Engine!$B$12:$B$72,$A421+1)-(F421/INDEX(Surface_Engine!$B$12:$B$72,$A421+1))))+2*Assumptions!$B$28*(MAX(IF(D421&lt;=0,0,MAX(0,(B421/D421)*H421/INDEX(Surface_Engine!$B$12:$B$72,$A421+1)-F421/INDEX(Surface_Engine!$B$12:$B$72,$A421+1))),IF(E421&lt;=0,0,MAX(0,(B421/E421)*I421/INDEX(Surface_Engine!$B$12:$B$72,$A421+1)-F421/INDEX(Surface_Engine!$B$12:$B$72,$A421+1))),IF($A421&lt;$Q$384,MAX(0,-Assumptions!$B$22*(F421/INDEX(Surface_Engine!$B$12:$B$72,$A421+1))),0)))*(MAX(0,J421/INDEX(Surface_Engine!$B$12:$B$72,$A421+1)-(F421/INDEX(Surface_Engine!$B$12:$B$72,$A421+1)))))</f>
        <v>1557.43491974541</v>
      </c>
      <c r="L421" s="48" t="n">
        <f aca="false">K421*INDEX(Surface_Engine!$B$12:$B$72,$A421+1)+L422</f>
        <v>2011.8707677463</v>
      </c>
      <c r="M421" s="48" t="n">
        <f aca="false">M420+B420*(IF($A420&lt;$Q$384,(Surface_Engine!L239*12)-(Surface_Engine!L239*12)*INDEX(Surface_Engine!$F$12:$F$72,$A420+1)-INDEX(Surface_Engine!$D$12:$D$72,$A420+1),-(1000*12*INDEX(Surface_Engine!$C$12:$C$72,$A420+1)/(1+Assumptions!$B$10)^22+INDEX(Surface_Engine!$D$12:$D$72,$A420+1))))*INDEX(Surface_Engine!$B$12:$B$72,$A420+1)</f>
        <v>3883.047692366</v>
      </c>
      <c r="N421" s="12" t="n">
        <f aca="false">IF(B421&lt;=0,0,MAX(0,(K421+Assumptions!$B$29*L421/INDEX(Surface_Engine!$B$12:$B$72,$A421+1)-(M421/INDEX(Surface_Engine!$B$12:$B$72,$A421+1)-(F421/INDEX(Surface_Engine!$B$12:$B$72,$A421+1))))/B421))</f>
        <v>0</v>
      </c>
    </row>
    <row r="422" customFormat="false" ht="15" hidden="false" customHeight="true" outlineLevel="0" collapsed="false">
      <c r="A422" s="1" t="n">
        <v>36</v>
      </c>
      <c r="B422" s="32" t="n">
        <f aca="false">INDEX(Surface_Engine!$J$12:$J$72,$A422+1)*IF($A422&lt;$Q$384,INDEX(Surface_Engine!$E$12:$E$72,$A422+1),INDEX(Surface_Engine!$E$12:$E$72,$Q$384+1))</f>
        <v>0.0993489013870303</v>
      </c>
      <c r="C422" s="32" t="n">
        <f aca="false">INDEX(Panel_Reserving!$C$8:$C$68,$A422+1)*IF($A422&lt;$Q$384,INDEX(Surface_Engine!$E$12:$E$72,$A422+1),INDEX(Surface_Engine!$E$12:$E$72,$Q$384+1))</f>
        <v>0.152829632394068</v>
      </c>
      <c r="D422" s="32" t="n">
        <f aca="false">INDEX(Surface_Engine!$J$12:$J$72,$A422+1)*IF($A422&lt;$Q$384,INDEX(Surface_Engine!$Y$12:$Y$72,$A422+1),INDEX(Surface_Engine!$Y$12:$Y$72,$Q$384+1))</f>
        <v>0.0871448514237716</v>
      </c>
      <c r="E422" s="32" t="n">
        <f aca="false">INDEX(Surface_Engine!$J$12:$J$72,$A422+1)*IF($A422&lt;$Q$384,INDEX(Surface_Engine!$Z$12:$Z$72,$A422+1),INDEX(Surface_Engine!$Z$12:$Z$72,$Q$384+1))</f>
        <v>0.113141426828548</v>
      </c>
      <c r="F422" s="48" t="n">
        <f aca="false">B422*(IF($A422&lt;$Q$384,INDEX(Surface_Engine!$D$12:$D$72,$A422+1)+(Surface_Engine!L239*12)*INDEX(Surface_Engine!$F$12:$F$72,$A422+1)-(Surface_Engine!L239*12),1000*12*INDEX(Surface_Engine!$C$12:$C$72,$A422+1)/(1+Assumptions!$B$10)^22+INDEX(Surface_Engine!$D$12:$D$72,$A422+1)))*INDEX(Surface_Engine!$B$12:$B$72,$A422+1)+F423</f>
        <v>2166.32173309297</v>
      </c>
      <c r="G422" s="48" t="n">
        <f aca="false">C422*(IF($A422&lt;$Q$384,INDEX(Surface_Engine!$D$12:$D$72,$A422+1)+(Surface_Engine!L239*12)*INDEX(Surface_Engine!$F$12:$F$72,$A422+1)-(Surface_Engine!L239*12),1000*12*INDEX(Surface_Engine!$C$12:$C$72,$A422+1)/(1+Assumptions!$B$10)^22+INDEX(Surface_Engine!$D$12:$D$72,$A422+1)))*INDEX(Surface_Engine!$B$12:$B$72,$A422+1)+G423</f>
        <v>3948.94562420841</v>
      </c>
      <c r="H422" s="48" t="n">
        <f aca="false">D422*(IF($A422&lt;$Q$384,INDEX(Surface_Engine!$D$12:$D$72,$A422+1)+(Surface_Engine!L239*12)*INDEX(Surface_Engine!$F$12:$F$72,$A422+1)-(Surface_Engine!L239*12),1000*12*INDEX(Surface_Engine!$C$12:$C$72,$A422+1)/(1+Assumptions!$B$10)^22+INDEX(Surface_Engine!$D$12:$D$72,$A422+1)))*INDEX(Surface_Engine!$B$12:$B$72,$A422+1)+H423</f>
        <v>1900.21009725146</v>
      </c>
      <c r="I422" s="48" t="n">
        <f aca="false">E422*(IF($A422&lt;$Q$384,INDEX(Surface_Engine!$D$12:$D$72,$A422+1)+(Surface_Engine!L239*12)*INDEX(Surface_Engine!$F$12:$F$72,$A422+1)-(Surface_Engine!L239*12),1000*12*INDEX(Surface_Engine!$C$12:$C$72,$A422+1)/(1+Assumptions!$B$10)^22+INDEX(Surface_Engine!$D$12:$D$72,$A422+1)))*INDEX(Surface_Engine!$B$12:$B$72,$A422+1)+I423</f>
        <v>2467.07037954048</v>
      </c>
      <c r="J422" s="48" t="n">
        <f aca="false">B422*(IF($A422&lt;$Q$384,INDEX(Surface_Engine!$D$12:$D$72,$A422+1)*(1+Assumptions!$B$24)+(Surface_Engine!L239*12)*INDEX(Surface_Engine!$F$12:$F$72,$A422+1)-(Surface_Engine!L239*12),1000*12*INDEX(Surface_Engine!$C$12:$C$72,$A422+1)/(1+Assumptions!$B$10)^22+INDEX(Surface_Engine!$D$12:$D$72,$A422+1)*(1+Assumptions!$B$24)))*INDEX(Surface_Engine!$B$12:$B$72,$A422+1)+J423</f>
        <v>2169.05297122206</v>
      </c>
      <c r="K422" s="12" t="n">
        <f aca="false">SQRT((IF(C422&lt;=0,0,MAX(0,(B422/C422)*G422/INDEX(Surface_Engine!$B$12:$B$72,$A422+1)-F422/INDEX(Surface_Engine!$B$12:$B$72,$A422+1))))^2+(MAX(IF(D422&lt;=0,0,MAX(0,(B422/D422)*H422/INDEX(Surface_Engine!$B$12:$B$72,$A422+1)-F422/INDEX(Surface_Engine!$B$12:$B$72,$A422+1))),IF(E422&lt;=0,0,MAX(0,(B422/E422)*I422/INDEX(Surface_Engine!$B$12:$B$72,$A422+1)-F422/INDEX(Surface_Engine!$B$12:$B$72,$A422+1))),IF($A422&lt;$Q$384,MAX(0,-Assumptions!$B$22*(F422/INDEX(Surface_Engine!$B$12:$B$72,$A422+1))),0)))^2+(MAX(0,J422/INDEX(Surface_Engine!$B$12:$B$72,$A422+1)-(F422/INDEX(Surface_Engine!$B$12:$B$72,$A422+1))))^2+2*Assumptions!$B$26*(IF(C422&lt;=0,0,MAX(0,(B422/C422)*G422/INDEX(Surface_Engine!$B$12:$B$72,$A422+1)-F422/INDEX(Surface_Engine!$B$12:$B$72,$A422+1))))*(MAX(IF(D422&lt;=0,0,MAX(0,(B422/D422)*H422/INDEX(Surface_Engine!$B$12:$B$72,$A422+1)-F422/INDEX(Surface_Engine!$B$12:$B$72,$A422+1))),IF(E422&lt;=0,0,MAX(0,(B422/E422)*I422/INDEX(Surface_Engine!$B$12:$B$72,$A422+1)-F422/INDEX(Surface_Engine!$B$12:$B$72,$A422+1))),IF($A422&lt;$Q$384,MAX(0,-Assumptions!$B$22*(F422/INDEX(Surface_Engine!$B$12:$B$72,$A422+1))),0)))+2*Assumptions!$B$27*(IF(C422&lt;=0,0,MAX(0,(B422/C422)*G422/INDEX(Surface_Engine!$B$12:$B$72,$A422+1)-F422/INDEX(Surface_Engine!$B$12:$B$72,$A422+1))))*(MAX(0,J422/INDEX(Surface_Engine!$B$12:$B$72,$A422+1)-(F422/INDEX(Surface_Engine!$B$12:$B$72,$A422+1))))+2*Assumptions!$B$28*(MAX(IF(D422&lt;=0,0,MAX(0,(B422/D422)*H422/INDEX(Surface_Engine!$B$12:$B$72,$A422+1)-F422/INDEX(Surface_Engine!$B$12:$B$72,$A422+1))),IF(E422&lt;=0,0,MAX(0,(B422/E422)*I422/INDEX(Surface_Engine!$B$12:$B$72,$A422+1)-F422/INDEX(Surface_Engine!$B$12:$B$72,$A422+1))),IF($A422&lt;$Q$384,MAX(0,-Assumptions!$B$22*(F422/INDEX(Surface_Engine!$B$12:$B$72,$A422+1))),0)))*(MAX(0,J422/INDEX(Surface_Engine!$B$12:$B$72,$A422+1)-(F422/INDEX(Surface_Engine!$B$12:$B$72,$A422+1)))))</f>
        <v>1245.01258317909</v>
      </c>
      <c r="L422" s="48" t="n">
        <f aca="false">K422*INDEX(Surface_Engine!$B$12:$B$72,$A422+1)+L423</f>
        <v>1493.486794289</v>
      </c>
      <c r="M422" s="48" t="n">
        <f aca="false">M421+B421*(IF($A421&lt;$Q$384,(Surface_Engine!L239*12)-(Surface_Engine!L239*12)*INDEX(Surface_Engine!$F$12:$F$72,$A421+1)-INDEX(Surface_Engine!$D$12:$D$72,$A421+1),-(1000*12*INDEX(Surface_Engine!$C$12:$C$72,$A421+1)/(1+Assumptions!$B$10)^22+INDEX(Surface_Engine!$D$12:$D$72,$A421+1))))*INDEX(Surface_Engine!$B$12:$B$72,$A421+1)</f>
        <v>3245.09985850331</v>
      </c>
      <c r="N422" s="12" t="n">
        <f aca="false">IF(B422&lt;=0,0,MAX(0,(K422+Assumptions!$B$29*L422/INDEX(Surface_Engine!$B$12:$B$72,$A422+1)-(M422/INDEX(Surface_Engine!$B$12:$B$72,$A422+1)-(F422/INDEX(Surface_Engine!$B$12:$B$72,$A422+1))))/B422))</f>
        <v>0</v>
      </c>
    </row>
    <row r="423" customFormat="false" ht="15" hidden="false" customHeight="true" outlineLevel="0" collapsed="false">
      <c r="A423" s="1" t="n">
        <v>37</v>
      </c>
      <c r="B423" s="32" t="n">
        <f aca="false">INDEX(Surface_Engine!$J$12:$J$72,$A423+1)*IF($A423&lt;$Q$384,INDEX(Surface_Engine!$E$12:$E$72,$A423+1),INDEX(Surface_Engine!$E$12:$E$72,$Q$384+1))</f>
        <v>0.0799297491601881</v>
      </c>
      <c r="C423" s="32" t="n">
        <f aca="false">INDEX(Panel_Reserving!$C$8:$C$68,$A423+1)*IF($A423&lt;$Q$384,INDEX(Surface_Engine!$E$12:$E$72,$A423+1),INDEX(Surface_Engine!$E$12:$E$72,$Q$384+1))</f>
        <v>0.128931456532647</v>
      </c>
      <c r="D423" s="32" t="n">
        <f aca="false">INDEX(Surface_Engine!$J$12:$J$72,$A423+1)*IF($A423&lt;$Q$384,INDEX(Surface_Engine!$Y$12:$Y$72,$A423+1),INDEX(Surface_Engine!$Y$12:$Y$72,$Q$384+1))</f>
        <v>0.0701111538996167</v>
      </c>
      <c r="E423" s="32" t="n">
        <f aca="false">INDEX(Surface_Engine!$J$12:$J$72,$A423+1)*IF($A423&lt;$Q$384,INDEX(Surface_Engine!$Z$12:$Z$72,$A423+1),INDEX(Surface_Engine!$Z$12:$Z$72,$Q$384+1))</f>
        <v>0.0910263298312847</v>
      </c>
      <c r="F423" s="48" t="n">
        <f aca="false">B423*(IF($A423&lt;$Q$384,INDEX(Surface_Engine!$D$12:$D$72,$A423+1)+(Surface_Engine!L239*12)*INDEX(Surface_Engine!$F$12:$F$72,$A423+1)-(Surface_Engine!L239*12),1000*12*INDEX(Surface_Engine!$C$12:$C$72,$A423+1)/(1+Assumptions!$B$10)^22+INDEX(Surface_Engine!$D$12:$D$72,$A423+1)))*INDEX(Surface_Engine!$B$12:$B$72,$A423+1)+F424</f>
        <v>1652.72347161574</v>
      </c>
      <c r="G423" s="48" t="n">
        <f aca="false">C423*(IF($A423&lt;$Q$384,INDEX(Surface_Engine!$D$12:$D$72,$A423+1)+(Surface_Engine!L239*12)*INDEX(Surface_Engine!$F$12:$F$72,$A423+1)-(Surface_Engine!L239*12),1000*12*INDEX(Surface_Engine!$C$12:$C$72,$A423+1)/(1+Assumptions!$B$10)^22+INDEX(Surface_Engine!$D$12:$D$72,$A423+1)))*INDEX(Surface_Engine!$B$12:$B$72,$A423+1)+G424</f>
        <v>3158.87112510535</v>
      </c>
      <c r="H423" s="48" t="n">
        <f aca="false">D423*(IF($A423&lt;$Q$384,INDEX(Surface_Engine!$D$12:$D$72,$A423+1)+(Surface_Engine!L239*12)*INDEX(Surface_Engine!$F$12:$F$72,$A423+1)-(Surface_Engine!L239*12),1000*12*INDEX(Surface_Engine!$C$12:$C$72,$A423+1)/(1+Assumptions!$B$10)^22+INDEX(Surface_Engine!$D$12:$D$72,$A423+1)))*INDEX(Surface_Engine!$B$12:$B$72,$A423+1)+H424</f>
        <v>1449.70240604327</v>
      </c>
      <c r="I423" s="48" t="n">
        <f aca="false">E423*(IF($A423&lt;$Q$384,INDEX(Surface_Engine!$D$12:$D$72,$A423+1)+(Surface_Engine!L239*12)*INDEX(Surface_Engine!$F$12:$F$72,$A423+1)-(Surface_Engine!L239*12),1000*12*INDEX(Surface_Engine!$C$12:$C$72,$A423+1)/(1+Assumptions!$B$10)^22+INDEX(Surface_Engine!$D$12:$D$72,$A423+1)))*INDEX(Surface_Engine!$B$12:$B$72,$A423+1)+I424</f>
        <v>1882.16969811451</v>
      </c>
      <c r="J423" s="48" t="n">
        <f aca="false">B423*(IF($A423&lt;$Q$384,INDEX(Surface_Engine!$D$12:$D$72,$A423+1)*(1+Assumptions!$B$24)+(Surface_Engine!L239*12)*INDEX(Surface_Engine!$F$12:$F$72,$A423+1)-(Surface_Engine!L239*12),1000*12*INDEX(Surface_Engine!$C$12:$C$72,$A423+1)/(1+Assumptions!$B$10)^22+INDEX(Surface_Engine!$D$12:$D$72,$A423+1)*(1+Assumptions!$B$24)))*INDEX(Surface_Engine!$B$12:$B$72,$A423+1)+J424</f>
        <v>1654.81574633673</v>
      </c>
      <c r="K423" s="12" t="n">
        <f aca="false">SQRT((IF(C423&lt;=0,0,MAX(0,(B423/C423)*G423/INDEX(Surface_Engine!$B$12:$B$72,$A423+1)-F423/INDEX(Surface_Engine!$B$12:$B$72,$A423+1))))^2+(MAX(IF(D423&lt;=0,0,MAX(0,(B423/D423)*H423/INDEX(Surface_Engine!$B$12:$B$72,$A423+1)-F423/INDEX(Surface_Engine!$B$12:$B$72,$A423+1))),IF(E423&lt;=0,0,MAX(0,(B423/E423)*I423/INDEX(Surface_Engine!$B$12:$B$72,$A423+1)-F423/INDEX(Surface_Engine!$B$12:$B$72,$A423+1))),IF($A423&lt;$Q$384,MAX(0,-Assumptions!$B$22*(F423/INDEX(Surface_Engine!$B$12:$B$72,$A423+1))),0)))^2+(MAX(0,J423/INDEX(Surface_Engine!$B$12:$B$72,$A423+1)-(F423/INDEX(Surface_Engine!$B$12:$B$72,$A423+1))))^2+2*Assumptions!$B$26*(IF(C423&lt;=0,0,MAX(0,(B423/C423)*G423/INDEX(Surface_Engine!$B$12:$B$72,$A423+1)-F423/INDEX(Surface_Engine!$B$12:$B$72,$A423+1))))*(MAX(IF(D423&lt;=0,0,MAX(0,(B423/D423)*H423/INDEX(Surface_Engine!$B$12:$B$72,$A423+1)-F423/INDEX(Surface_Engine!$B$12:$B$72,$A423+1))),IF(E423&lt;=0,0,MAX(0,(B423/E423)*I423/INDEX(Surface_Engine!$B$12:$B$72,$A423+1)-F423/INDEX(Surface_Engine!$B$12:$B$72,$A423+1))),IF($A423&lt;$Q$384,MAX(0,-Assumptions!$B$22*(F423/INDEX(Surface_Engine!$B$12:$B$72,$A423+1))),0)))+2*Assumptions!$B$27*(IF(C423&lt;=0,0,MAX(0,(B423/C423)*G423/INDEX(Surface_Engine!$B$12:$B$72,$A423+1)-F423/INDEX(Surface_Engine!$B$12:$B$72,$A423+1))))*(MAX(0,J423/INDEX(Surface_Engine!$B$12:$B$72,$A423+1)-(F423/INDEX(Surface_Engine!$B$12:$B$72,$A423+1))))+2*Assumptions!$B$28*(MAX(IF(D423&lt;=0,0,MAX(0,(B423/D423)*H423/INDEX(Surface_Engine!$B$12:$B$72,$A423+1)-F423/INDEX(Surface_Engine!$B$12:$B$72,$A423+1))),IF(E423&lt;=0,0,MAX(0,(B423/E423)*I423/INDEX(Surface_Engine!$B$12:$B$72,$A423+1)-F423/INDEX(Surface_Engine!$B$12:$B$72,$A423+1))),IF($A423&lt;$Q$384,MAX(0,-Assumptions!$B$22*(F423/INDEX(Surface_Engine!$B$12:$B$72,$A423+1))),0)))*(MAX(0,J423/INDEX(Surface_Engine!$B$12:$B$72,$A423+1)-(F423/INDEX(Surface_Engine!$B$12:$B$72,$A423+1)))))</f>
        <v>980.420976609261</v>
      </c>
      <c r="L423" s="48" t="n">
        <f aca="false">K423*INDEX(Surface_Engine!$B$12:$B$72,$A423+1)+L424</f>
        <v>1092.05325615032</v>
      </c>
      <c r="M423" s="48" t="n">
        <f aca="false">M422+B422*(IF($A422&lt;$Q$384,(Surface_Engine!L239*12)-(Surface_Engine!L239*12)*INDEX(Surface_Engine!$F$12:$F$72,$A422+1)-INDEX(Surface_Engine!$D$12:$D$72,$A422+1),-(1000*12*INDEX(Surface_Engine!$C$12:$C$72,$A422+1)/(1+Assumptions!$B$10)^22+INDEX(Surface_Engine!$D$12:$D$72,$A422+1))))*INDEX(Surface_Engine!$B$12:$B$72,$A422+1)</f>
        <v>2731.50159702608</v>
      </c>
      <c r="N423" s="12" t="n">
        <f aca="false">IF(B423&lt;=0,0,MAX(0,(K423+Assumptions!$B$29*L423/INDEX(Surface_Engine!$B$12:$B$72,$A423+1)-(M423/INDEX(Surface_Engine!$B$12:$B$72,$A423+1)-(F423/INDEX(Surface_Engine!$B$12:$B$72,$A423+1))))/B423))</f>
        <v>0</v>
      </c>
    </row>
    <row r="424" customFormat="false" ht="15" hidden="false" customHeight="true" outlineLevel="0" collapsed="false">
      <c r="A424" s="1" t="n">
        <v>38</v>
      </c>
      <c r="B424" s="32" t="n">
        <f aca="false">INDEX(Surface_Engine!$J$12:$J$72,$A424+1)*IF($A424&lt;$Q$384,INDEX(Surface_Engine!$E$12:$E$72,$A424+1),INDEX(Surface_Engine!$E$12:$E$72,$Q$384+1))</f>
        <v>0.0634496841270874</v>
      </c>
      <c r="C424" s="32" t="n">
        <f aca="false">INDEX(Panel_Reserving!$C$8:$C$68,$A424+1)*IF($A424&lt;$Q$384,INDEX(Surface_Engine!$E$12:$E$72,$A424+1),INDEX(Surface_Engine!$E$12:$E$72,$Q$384+1))</f>
        <v>0.107664793636337</v>
      </c>
      <c r="D424" s="32" t="n">
        <f aca="false">INDEX(Surface_Engine!$J$12:$J$72,$A424+1)*IF($A424&lt;$Q$384,INDEX(Surface_Engine!$Y$12:$Y$72,$A424+1),INDEX(Surface_Engine!$Y$12:$Y$72,$Q$384+1))</f>
        <v>0.055655505183695</v>
      </c>
      <c r="E424" s="32" t="n">
        <f aca="false">INDEX(Surface_Engine!$J$12:$J$72,$A424+1)*IF($A424&lt;$Q$384,INDEX(Surface_Engine!$Z$12:$Z$72,$A424+1),INDEX(Surface_Engine!$Z$12:$Z$72,$Q$384+1))</f>
        <v>0.0722583510611069</v>
      </c>
      <c r="F424" s="48" t="n">
        <f aca="false">B424*(IF($A424&lt;$Q$384,INDEX(Surface_Engine!$D$12:$D$72,$A424+1)+(Surface_Engine!L239*12)*INDEX(Surface_Engine!$F$12:$F$72,$A424+1)-(Surface_Engine!L239*12),1000*12*INDEX(Surface_Engine!$C$12:$C$72,$A424+1)/(1+Assumptions!$B$10)^22+INDEX(Surface_Engine!$D$12:$D$72,$A424+1)))*INDEX(Surface_Engine!$B$12:$B$72,$A424+1)+F425</f>
        <v>1244.56416101693</v>
      </c>
      <c r="G424" s="48" t="n">
        <f aca="false">C424*(IF($A424&lt;$Q$384,INDEX(Surface_Engine!$D$12:$D$72,$A424+1)+(Surface_Engine!L239*12)*INDEX(Surface_Engine!$F$12:$F$72,$A424+1)-(Surface_Engine!L239*12),1000*12*INDEX(Surface_Engine!$C$12:$C$72,$A424+1)/(1+Assumptions!$B$10)^22+INDEX(Surface_Engine!$D$12:$D$72,$A424+1)))*INDEX(Surface_Engine!$B$12:$B$72,$A424+1)+G425</f>
        <v>2500.48579341365</v>
      </c>
      <c r="H424" s="48" t="n">
        <f aca="false">D424*(IF($A424&lt;$Q$384,INDEX(Surface_Engine!$D$12:$D$72,$A424+1)+(Surface_Engine!L239*12)*INDEX(Surface_Engine!$F$12:$F$72,$A424+1)-(Surface_Engine!L239*12),1000*12*INDEX(Surface_Engine!$C$12:$C$72,$A424+1)/(1+Assumptions!$B$10)^22+INDEX(Surface_Engine!$D$12:$D$72,$A424+1)))*INDEX(Surface_Engine!$B$12:$B$72,$A424+1)+H425</f>
        <v>1091.68151217554</v>
      </c>
      <c r="I424" s="48" t="n">
        <f aca="false">E424*(IF($A424&lt;$Q$384,INDEX(Surface_Engine!$D$12:$D$72,$A424+1)+(Surface_Engine!L239*12)*INDEX(Surface_Engine!$F$12:$F$72,$A424+1)-(Surface_Engine!L239*12),1000*12*INDEX(Surface_Engine!$C$12:$C$72,$A424+1)/(1+Assumptions!$B$10)^22+INDEX(Surface_Engine!$D$12:$D$72,$A424+1)))*INDEX(Surface_Engine!$B$12:$B$72,$A424+1)+I425</f>
        <v>1417.34596951983</v>
      </c>
      <c r="J424" s="48" t="n">
        <f aca="false">B424*(IF($A424&lt;$Q$384,INDEX(Surface_Engine!$D$12:$D$72,$A424+1)*(1+Assumptions!$B$24)+(Surface_Engine!L239*12)*INDEX(Surface_Engine!$F$12:$F$72,$A424+1)-(Surface_Engine!L239*12),1000*12*INDEX(Surface_Engine!$C$12:$C$72,$A424+1)/(1+Assumptions!$B$10)^22+INDEX(Surface_Engine!$D$12:$D$72,$A424+1)*(1+Assumptions!$B$24)))*INDEX(Surface_Engine!$B$12:$B$72,$A424+1)+J425</f>
        <v>1246.14619003068</v>
      </c>
      <c r="K424" s="12" t="n">
        <f aca="false">SQRT((IF(C424&lt;=0,0,MAX(0,(B424/C424)*G424/INDEX(Surface_Engine!$B$12:$B$72,$A424+1)-F424/INDEX(Surface_Engine!$B$12:$B$72,$A424+1))))^2+(MAX(IF(D424&lt;=0,0,MAX(0,(B424/D424)*H424/INDEX(Surface_Engine!$B$12:$B$72,$A424+1)-F424/INDEX(Surface_Engine!$B$12:$B$72,$A424+1))),IF(E424&lt;=0,0,MAX(0,(B424/E424)*I424/INDEX(Surface_Engine!$B$12:$B$72,$A424+1)-F424/INDEX(Surface_Engine!$B$12:$B$72,$A424+1))),IF($A424&lt;$Q$384,MAX(0,-Assumptions!$B$22*(F424/INDEX(Surface_Engine!$B$12:$B$72,$A424+1))),0)))^2+(MAX(0,J424/INDEX(Surface_Engine!$B$12:$B$72,$A424+1)-(F424/INDEX(Surface_Engine!$B$12:$B$72,$A424+1))))^2+2*Assumptions!$B$26*(IF(C424&lt;=0,0,MAX(0,(B424/C424)*G424/INDEX(Surface_Engine!$B$12:$B$72,$A424+1)-F424/INDEX(Surface_Engine!$B$12:$B$72,$A424+1))))*(MAX(IF(D424&lt;=0,0,MAX(0,(B424/D424)*H424/INDEX(Surface_Engine!$B$12:$B$72,$A424+1)-F424/INDEX(Surface_Engine!$B$12:$B$72,$A424+1))),IF(E424&lt;=0,0,MAX(0,(B424/E424)*I424/INDEX(Surface_Engine!$B$12:$B$72,$A424+1)-F424/INDEX(Surface_Engine!$B$12:$B$72,$A424+1))),IF($A424&lt;$Q$384,MAX(0,-Assumptions!$B$22*(F424/INDEX(Surface_Engine!$B$12:$B$72,$A424+1))),0)))+2*Assumptions!$B$27*(IF(C424&lt;=0,0,MAX(0,(B424/C424)*G424/INDEX(Surface_Engine!$B$12:$B$72,$A424+1)-F424/INDEX(Surface_Engine!$B$12:$B$72,$A424+1))))*(MAX(0,J424/INDEX(Surface_Engine!$B$12:$B$72,$A424+1)-(F424/INDEX(Surface_Engine!$B$12:$B$72,$A424+1))))+2*Assumptions!$B$28*(MAX(IF(D424&lt;=0,0,MAX(0,(B424/D424)*H424/INDEX(Surface_Engine!$B$12:$B$72,$A424+1)-F424/INDEX(Surface_Engine!$B$12:$B$72,$A424+1))),IF(E424&lt;=0,0,MAX(0,(B424/E424)*I424/INDEX(Surface_Engine!$B$12:$B$72,$A424+1)-F424/INDEX(Surface_Engine!$B$12:$B$72,$A424+1))),IF($A424&lt;$Q$384,MAX(0,-Assumptions!$B$22*(F424/INDEX(Surface_Engine!$B$12:$B$72,$A424+1))),0)))*(MAX(0,J424/INDEX(Surface_Engine!$B$12:$B$72,$A424+1)-(F424/INDEX(Surface_Engine!$B$12:$B$72,$A424+1)))))</f>
        <v>758.882443054506</v>
      </c>
      <c r="L424" s="48" t="n">
        <f aca="false">K424*INDEX(Surface_Engine!$B$12:$B$72,$A424+1)+L425</f>
        <v>785.936831434244</v>
      </c>
      <c r="M424" s="48" t="n">
        <f aca="false">M423+B423*(IF($A423&lt;$Q$384,(Surface_Engine!L239*12)-(Surface_Engine!L239*12)*INDEX(Surface_Engine!$F$12:$F$72,$A423+1)-INDEX(Surface_Engine!$D$12:$D$72,$A423+1),-(1000*12*INDEX(Surface_Engine!$C$12:$C$72,$A423+1)/(1+Assumptions!$B$10)^22+INDEX(Surface_Engine!$D$12:$D$72,$A423+1))))*INDEX(Surface_Engine!$B$12:$B$72,$A423+1)</f>
        <v>2323.34228642728</v>
      </c>
      <c r="N424" s="12" t="n">
        <f aca="false">IF(B424&lt;=0,0,MAX(0,(K424+Assumptions!$B$29*L424/INDEX(Surface_Engine!$B$12:$B$72,$A424+1)-(M424/INDEX(Surface_Engine!$B$12:$B$72,$A424+1)-(F424/INDEX(Surface_Engine!$B$12:$B$72,$A424+1))))/B424))</f>
        <v>0</v>
      </c>
    </row>
    <row r="425" customFormat="false" ht="15" hidden="false" customHeight="true" outlineLevel="0" collapsed="false">
      <c r="A425" s="1" t="n">
        <v>39</v>
      </c>
      <c r="B425" s="32" t="n">
        <f aca="false">INDEX(Surface_Engine!$J$12:$J$72,$A425+1)*IF($A425&lt;$Q$384,INDEX(Surface_Engine!$E$12:$E$72,$A425+1),INDEX(Surface_Engine!$E$12:$E$72,$Q$384+1))</f>
        <v>0.0496332960519351</v>
      </c>
      <c r="C425" s="32" t="n">
        <f aca="false">INDEX(Panel_Reserving!$C$8:$C$68,$A425+1)*IF($A425&lt;$Q$384,INDEX(Surface_Engine!$E$12:$E$72,$A425+1),INDEX(Surface_Engine!$E$12:$E$72,$Q$384+1))</f>
        <v>0.0889092888123089</v>
      </c>
      <c r="D425" s="32" t="n">
        <f aca="false">INDEX(Surface_Engine!$J$12:$J$72,$A425+1)*IF($A425&lt;$Q$384,INDEX(Surface_Engine!$Y$12:$Y$72,$A425+1),INDEX(Surface_Engine!$Y$12:$Y$72,$Q$384+1))</f>
        <v>0.0435363265192845</v>
      </c>
      <c r="E425" s="32" t="n">
        <f aca="false">INDEX(Surface_Engine!$J$12:$J$72,$A425+1)*IF($A425&lt;$Q$384,INDEX(Surface_Engine!$Z$12:$Z$72,$A425+1),INDEX(Surface_Engine!$Z$12:$Z$72,$Q$384+1))</f>
        <v>0.0565238453079941</v>
      </c>
      <c r="F425" s="48" t="n">
        <f aca="false">B425*(IF($A425&lt;$Q$384,INDEX(Surface_Engine!$D$12:$D$72,$A425+1)+(Surface_Engine!L239*12)*INDEX(Surface_Engine!$F$12:$F$72,$A425+1)-(Surface_Engine!L239*12),1000*12*INDEX(Surface_Engine!$C$12:$C$72,$A425+1)/(1+Assumptions!$B$10)^22+INDEX(Surface_Engine!$D$12:$D$72,$A425+1)))*INDEX(Surface_Engine!$B$12:$B$72,$A425+1)+F426</f>
        <v>924.531130384361</v>
      </c>
      <c r="G425" s="48" t="n">
        <f aca="false">C425*(IF($A425&lt;$Q$384,INDEX(Surface_Engine!$D$12:$D$72,$A425+1)+(Surface_Engine!L239*12)*INDEX(Surface_Engine!$F$12:$F$72,$A425+1)-(Surface_Engine!L239*12),1000*12*INDEX(Surface_Engine!$C$12:$C$72,$A425+1)/(1+Assumptions!$B$10)^22+INDEX(Surface_Engine!$D$12:$D$72,$A425+1)))*INDEX(Surface_Engine!$B$12:$B$72,$A425+1)+G426</f>
        <v>1957.43675110711</v>
      </c>
      <c r="H425" s="48" t="n">
        <f aca="false">D425*(IF($A425&lt;$Q$384,INDEX(Surface_Engine!$D$12:$D$72,$A425+1)+(Surface_Engine!L239*12)*INDEX(Surface_Engine!$F$12:$F$72,$A425+1)-(Surface_Engine!L239*12),1000*12*INDEX(Surface_Engine!$C$12:$C$72,$A425+1)/(1+Assumptions!$B$10)^22+INDEX(Surface_Engine!$D$12:$D$72,$A425+1)))*INDEX(Surface_Engine!$B$12:$B$72,$A425+1)+H426</f>
        <v>810.961438618532</v>
      </c>
      <c r="I425" s="48" t="n">
        <f aca="false">E425*(IF($A425&lt;$Q$384,INDEX(Surface_Engine!$D$12:$D$72,$A425+1)+(Surface_Engine!L239*12)*INDEX(Surface_Engine!$F$12:$F$72,$A425+1)-(Surface_Engine!L239*12),1000*12*INDEX(Surface_Engine!$C$12:$C$72,$A425+1)/(1+Assumptions!$B$10)^22+INDEX(Surface_Engine!$D$12:$D$72,$A425+1)))*INDEX(Surface_Engine!$B$12:$B$72,$A425+1)+I426</f>
        <v>1052.88301912468</v>
      </c>
      <c r="J425" s="48" t="n">
        <f aca="false">B425*(IF($A425&lt;$Q$384,INDEX(Surface_Engine!$D$12:$D$72,$A425+1)*(1+Assumptions!$B$24)+(Surface_Engine!L239*12)*INDEX(Surface_Engine!$F$12:$F$72,$A425+1)-(Surface_Engine!L239*12),1000*12*INDEX(Surface_Engine!$C$12:$C$72,$A425+1)/(1+Assumptions!$B$10)^22+INDEX(Surface_Engine!$D$12:$D$72,$A425+1)*(1+Assumptions!$B$24)))*INDEX(Surface_Engine!$B$12:$B$72,$A425+1)+J426</f>
        <v>925.711145065373</v>
      </c>
      <c r="K425" s="12" t="n">
        <f aca="false">SQRT((IF(C425&lt;=0,0,MAX(0,(B425/C425)*G425/INDEX(Surface_Engine!$B$12:$B$72,$A425+1)-F425/INDEX(Surface_Engine!$B$12:$B$72,$A425+1))))^2+(MAX(IF(D425&lt;=0,0,MAX(0,(B425/D425)*H425/INDEX(Surface_Engine!$B$12:$B$72,$A425+1)-F425/INDEX(Surface_Engine!$B$12:$B$72,$A425+1))),IF(E425&lt;=0,0,MAX(0,(B425/E425)*I425/INDEX(Surface_Engine!$B$12:$B$72,$A425+1)-F425/INDEX(Surface_Engine!$B$12:$B$72,$A425+1))),IF($A425&lt;$Q$384,MAX(0,-Assumptions!$B$22*(F425/INDEX(Surface_Engine!$B$12:$B$72,$A425+1))),0)))^2+(MAX(0,J425/INDEX(Surface_Engine!$B$12:$B$72,$A425+1)-(F425/INDEX(Surface_Engine!$B$12:$B$72,$A425+1))))^2+2*Assumptions!$B$26*(IF(C425&lt;=0,0,MAX(0,(B425/C425)*G425/INDEX(Surface_Engine!$B$12:$B$72,$A425+1)-F425/INDEX(Surface_Engine!$B$12:$B$72,$A425+1))))*(MAX(IF(D425&lt;=0,0,MAX(0,(B425/D425)*H425/INDEX(Surface_Engine!$B$12:$B$72,$A425+1)-F425/INDEX(Surface_Engine!$B$12:$B$72,$A425+1))),IF(E425&lt;=0,0,MAX(0,(B425/E425)*I425/INDEX(Surface_Engine!$B$12:$B$72,$A425+1)-F425/INDEX(Surface_Engine!$B$12:$B$72,$A425+1))),IF($A425&lt;$Q$384,MAX(0,-Assumptions!$B$22*(F425/INDEX(Surface_Engine!$B$12:$B$72,$A425+1))),0)))+2*Assumptions!$B$27*(IF(C425&lt;=0,0,MAX(0,(B425/C425)*G425/INDEX(Surface_Engine!$B$12:$B$72,$A425+1)-F425/INDEX(Surface_Engine!$B$12:$B$72,$A425+1))))*(MAX(0,J425/INDEX(Surface_Engine!$B$12:$B$72,$A425+1)-(F425/INDEX(Surface_Engine!$B$12:$B$72,$A425+1))))+2*Assumptions!$B$28*(MAX(IF(D425&lt;=0,0,MAX(0,(B425/D425)*H425/INDEX(Surface_Engine!$B$12:$B$72,$A425+1)-F425/INDEX(Surface_Engine!$B$12:$B$72,$A425+1))),IF(E425&lt;=0,0,MAX(0,(B425/E425)*I425/INDEX(Surface_Engine!$B$12:$B$72,$A425+1)-F425/INDEX(Surface_Engine!$B$12:$B$72,$A425+1))),IF($A425&lt;$Q$384,MAX(0,-Assumptions!$B$22*(F425/INDEX(Surface_Engine!$B$12:$B$72,$A425+1))),0)))*(MAX(0,J425/INDEX(Surface_Engine!$B$12:$B$72,$A425+1)-(F425/INDEX(Surface_Engine!$B$12:$B$72,$A425+1)))))</f>
        <v>575.365337216652</v>
      </c>
      <c r="L425" s="48" t="n">
        <f aca="false">K425*INDEX(Surface_Engine!$B$12:$B$72,$A425+1)+L426</f>
        <v>556.49857127324</v>
      </c>
      <c r="M425" s="48" t="n">
        <f aca="false">M424+B424*(IF($A424&lt;$Q$384,(Surface_Engine!L239*12)-(Surface_Engine!L239*12)*INDEX(Surface_Engine!$F$12:$F$72,$A424+1)-INDEX(Surface_Engine!$D$12:$D$72,$A424+1),-(1000*12*INDEX(Surface_Engine!$C$12:$C$72,$A424+1)/(1+Assumptions!$B$10)^22+INDEX(Surface_Engine!$D$12:$D$72,$A424+1))))*INDEX(Surface_Engine!$B$12:$B$72,$A424+1)</f>
        <v>2003.30925579471</v>
      </c>
      <c r="N425" s="12" t="n">
        <f aca="false">IF(B425&lt;=0,0,MAX(0,(K425+Assumptions!$B$29*L425/INDEX(Surface_Engine!$B$12:$B$72,$A425+1)-(M425/INDEX(Surface_Engine!$B$12:$B$72,$A425+1)-(F425/INDEX(Surface_Engine!$B$12:$B$72,$A425+1))))/B425))</f>
        <v>0</v>
      </c>
    </row>
    <row r="426" customFormat="false" ht="15" hidden="false" customHeight="true" outlineLevel="0" collapsed="false">
      <c r="A426" s="1" t="n">
        <v>40</v>
      </c>
      <c r="B426" s="32" t="n">
        <f aca="false">INDEX(Surface_Engine!$J$12:$J$72,$A426+1)*IF($A426&lt;$Q$384,INDEX(Surface_Engine!$E$12:$E$72,$A426+1),INDEX(Surface_Engine!$E$12:$E$72,$Q$384+1))</f>
        <v>0.0381876439913611</v>
      </c>
      <c r="C426" s="32" t="n">
        <f aca="false">INDEX(Panel_Reserving!$C$8:$C$68,$A426+1)*IF($A426&lt;$Q$384,INDEX(Surface_Engine!$E$12:$E$72,$A426+1),INDEX(Surface_Engine!$E$12:$E$72,$Q$384+1))</f>
        <v>0.0725069965505344</v>
      </c>
      <c r="D426" s="32" t="n">
        <f aca="false">INDEX(Surface_Engine!$J$12:$J$72,$A426+1)*IF($A426&lt;$Q$384,INDEX(Surface_Engine!$Y$12:$Y$72,$A426+1),INDEX(Surface_Engine!$Y$12:$Y$72,$Q$384+1))</f>
        <v>0.0334966619196605</v>
      </c>
      <c r="E426" s="32" t="n">
        <f aca="false">INDEX(Surface_Engine!$J$12:$J$72,$A426+1)*IF($A426&lt;$Q$384,INDEX(Surface_Engine!$Z$12:$Z$72,$A426+1),INDEX(Surface_Engine!$Z$12:$Z$72,$Q$384+1))</f>
        <v>0.0434892028807805</v>
      </c>
      <c r="F426" s="48" t="n">
        <f aca="false">B426*(IF($A426&lt;$Q$384,INDEX(Surface_Engine!$D$12:$D$72,$A426+1)+(Surface_Engine!L239*12)*INDEX(Surface_Engine!$F$12:$F$72,$A426+1)-(Surface_Engine!L239*12),1000*12*INDEX(Surface_Engine!$C$12:$C$72,$A426+1)/(1+Assumptions!$B$10)^22+INDEX(Surface_Engine!$D$12:$D$72,$A426+1)))*INDEX(Surface_Engine!$B$12:$B$72,$A426+1)+F427</f>
        <v>677.170850260272</v>
      </c>
      <c r="G426" s="48" t="n">
        <f aca="false">C426*(IF($A426&lt;$Q$384,INDEX(Surface_Engine!$D$12:$D$72,$A426+1)+(Surface_Engine!L239*12)*INDEX(Surface_Engine!$F$12:$F$72,$A426+1)-(Surface_Engine!L239*12),1000*12*INDEX(Surface_Engine!$C$12:$C$72,$A426+1)/(1+Assumptions!$B$10)^22+INDEX(Surface_Engine!$D$12:$D$72,$A426+1)))*INDEX(Surface_Engine!$B$12:$B$72,$A426+1)+G427</f>
        <v>1514.33447228134</v>
      </c>
      <c r="H426" s="48" t="n">
        <f aca="false">D426*(IF($A426&lt;$Q$384,INDEX(Surface_Engine!$D$12:$D$72,$A426+1)+(Surface_Engine!L239*12)*INDEX(Surface_Engine!$F$12:$F$72,$A426+1)-(Surface_Engine!L239*12),1000*12*INDEX(Surface_Engine!$C$12:$C$72,$A426+1)/(1+Assumptions!$B$10)^22+INDEX(Surface_Engine!$D$12:$D$72,$A426+1)))*INDEX(Surface_Engine!$B$12:$B$72,$A426+1)+H427</f>
        <v>593.986972282155</v>
      </c>
      <c r="I426" s="48" t="n">
        <f aca="false">E426*(IF($A426&lt;$Q$384,INDEX(Surface_Engine!$D$12:$D$72,$A426+1)+(Surface_Engine!L239*12)*INDEX(Surface_Engine!$F$12:$F$72,$A426+1)-(Surface_Engine!L239*12),1000*12*INDEX(Surface_Engine!$C$12:$C$72,$A426+1)/(1+Assumptions!$B$10)^22+INDEX(Surface_Engine!$D$12:$D$72,$A426+1)))*INDEX(Surface_Engine!$B$12:$B$72,$A426+1)+I427</f>
        <v>771.181916815338</v>
      </c>
      <c r="J426" s="48" t="n">
        <f aca="false">B426*(IF($A426&lt;$Q$384,INDEX(Surface_Engine!$D$12:$D$72,$A426+1)*(1+Assumptions!$B$24)+(Surface_Engine!L239*12)*INDEX(Surface_Engine!$F$12:$F$72,$A426+1)-(Surface_Engine!L239*12),1000*12*INDEX(Surface_Engine!$C$12:$C$72,$A426+1)/(1+Assumptions!$B$10)^22+INDEX(Surface_Engine!$D$12:$D$72,$A426+1)*(1+Assumptions!$B$24)))*INDEX(Surface_Engine!$B$12:$B$72,$A426+1)+J427</f>
        <v>678.038635645998</v>
      </c>
      <c r="K426" s="12" t="n">
        <f aca="false">SQRT((IF(C426&lt;=0,0,MAX(0,(B426/C426)*G426/INDEX(Surface_Engine!$B$12:$B$72,$A426+1)-F426/INDEX(Surface_Engine!$B$12:$B$72,$A426+1))))^2+(MAX(IF(D426&lt;=0,0,MAX(0,(B426/D426)*H426/INDEX(Surface_Engine!$B$12:$B$72,$A426+1)-F426/INDEX(Surface_Engine!$B$12:$B$72,$A426+1))),IF(E426&lt;=0,0,MAX(0,(B426/E426)*I426/INDEX(Surface_Engine!$B$12:$B$72,$A426+1)-F426/INDEX(Surface_Engine!$B$12:$B$72,$A426+1))),IF($A426&lt;$Q$384,MAX(0,-Assumptions!$B$22*(F426/INDEX(Surface_Engine!$B$12:$B$72,$A426+1))),0)))^2+(MAX(0,J426/INDEX(Surface_Engine!$B$12:$B$72,$A426+1)-(F426/INDEX(Surface_Engine!$B$12:$B$72,$A426+1))))^2+2*Assumptions!$B$26*(IF(C426&lt;=0,0,MAX(0,(B426/C426)*G426/INDEX(Surface_Engine!$B$12:$B$72,$A426+1)-F426/INDEX(Surface_Engine!$B$12:$B$72,$A426+1))))*(MAX(IF(D426&lt;=0,0,MAX(0,(B426/D426)*H426/INDEX(Surface_Engine!$B$12:$B$72,$A426+1)-F426/INDEX(Surface_Engine!$B$12:$B$72,$A426+1))),IF(E426&lt;=0,0,MAX(0,(B426/E426)*I426/INDEX(Surface_Engine!$B$12:$B$72,$A426+1)-F426/INDEX(Surface_Engine!$B$12:$B$72,$A426+1))),IF($A426&lt;$Q$384,MAX(0,-Assumptions!$B$22*(F426/INDEX(Surface_Engine!$B$12:$B$72,$A426+1))),0)))+2*Assumptions!$B$27*(IF(C426&lt;=0,0,MAX(0,(B426/C426)*G426/INDEX(Surface_Engine!$B$12:$B$72,$A426+1)-F426/INDEX(Surface_Engine!$B$12:$B$72,$A426+1))))*(MAX(0,J426/INDEX(Surface_Engine!$B$12:$B$72,$A426+1)-(F426/INDEX(Surface_Engine!$B$12:$B$72,$A426+1))))+2*Assumptions!$B$28*(MAX(IF(D426&lt;=0,0,MAX(0,(B426/D426)*H426/INDEX(Surface_Engine!$B$12:$B$72,$A426+1)-F426/INDEX(Surface_Engine!$B$12:$B$72,$A426+1))),IF(E426&lt;=0,0,MAX(0,(B426/E426)*I426/INDEX(Surface_Engine!$B$12:$B$72,$A426+1)-F426/INDEX(Surface_Engine!$B$12:$B$72,$A426+1))),IF($A426&lt;$Q$384,MAX(0,-Assumptions!$B$22*(F426/INDEX(Surface_Engine!$B$12:$B$72,$A426+1))),0)))*(MAX(0,J426/INDEX(Surface_Engine!$B$12:$B$72,$A426+1)-(F426/INDEX(Surface_Engine!$B$12:$B$72,$A426+1)))))</f>
        <v>425.348822741862</v>
      </c>
      <c r="L426" s="48" t="n">
        <f aca="false">K426*INDEX(Surface_Engine!$B$12:$B$72,$A426+1)+L427</f>
        <v>387.998680493534</v>
      </c>
      <c r="M426" s="48" t="n">
        <f aca="false">M425+B425*(IF($A425&lt;$Q$384,(Surface_Engine!L239*12)-(Surface_Engine!L239*12)*INDEX(Surface_Engine!$F$12:$F$72,$A425+1)-INDEX(Surface_Engine!$D$12:$D$72,$A425+1),-(1000*12*INDEX(Surface_Engine!$C$12:$C$72,$A425+1)/(1+Assumptions!$B$10)^22+INDEX(Surface_Engine!$D$12:$D$72,$A425+1))))*INDEX(Surface_Engine!$B$12:$B$72,$A425+1)</f>
        <v>1755.94897567062</v>
      </c>
      <c r="N426" s="12" t="n">
        <f aca="false">IF(B426&lt;=0,0,MAX(0,(K426+Assumptions!$B$29*L426/INDEX(Surface_Engine!$B$12:$B$72,$A426+1)-(M426/INDEX(Surface_Engine!$B$12:$B$72,$A426+1)-(F426/INDEX(Surface_Engine!$B$12:$B$72,$A426+1))))/B426))</f>
        <v>0</v>
      </c>
    </row>
    <row r="427" customFormat="false" ht="15" hidden="false" customHeight="true" outlineLevel="0" collapsed="false">
      <c r="A427" s="1" t="n">
        <v>41</v>
      </c>
      <c r="B427" s="32" t="n">
        <f aca="false">INDEX(Surface_Engine!$J$12:$J$72,$A427+1)*IF($A427&lt;$Q$384,INDEX(Surface_Engine!$E$12:$E$72,$A427+1),INDEX(Surface_Engine!$E$12:$E$72,$Q$384+1))</f>
        <v>0.0288194081809332</v>
      </c>
      <c r="C427" s="32" t="n">
        <f aca="false">INDEX(Panel_Reserving!$C$8:$C$68,$A427+1)*IF($A427&lt;$Q$384,INDEX(Surface_Engine!$E$12:$E$72,$A427+1),INDEX(Surface_Engine!$E$12:$E$72,$Q$384+1))</f>
        <v>0.0582769981406833</v>
      </c>
      <c r="D427" s="32" t="n">
        <f aca="false">INDEX(Surface_Engine!$J$12:$J$72,$A427+1)*IF($A427&lt;$Q$384,INDEX(Surface_Engine!$Y$12:$Y$72,$A427+1),INDEX(Surface_Engine!$Y$12:$Y$72,$Q$384+1))</f>
        <v>0.0252792231115332</v>
      </c>
      <c r="E427" s="32" t="n">
        <f aca="false">INDEX(Surface_Engine!$J$12:$J$72,$A427+1)*IF($A427&lt;$Q$384,INDEX(Surface_Engine!$Z$12:$Z$72,$A427+1),INDEX(Surface_Engine!$Z$12:$Z$72,$Q$384+1))</f>
        <v>0.0328203826758247</v>
      </c>
      <c r="F427" s="48" t="n">
        <f aca="false">B427*(IF($A427&lt;$Q$384,INDEX(Surface_Engine!$D$12:$D$72,$A427+1)+(Surface_Engine!L239*12)*INDEX(Surface_Engine!$F$12:$F$72,$A427+1)-(Surface_Engine!L239*12),1000*12*INDEX(Surface_Engine!$C$12:$C$72,$A427+1)/(1+Assumptions!$B$10)^22+INDEX(Surface_Engine!$D$12:$D$72,$A427+1)))*INDEX(Surface_Engine!$B$12:$B$72,$A427+1)+F428</f>
        <v>489.198226339067</v>
      </c>
      <c r="G427" s="48" t="n">
        <f aca="false">C427*(IF($A427&lt;$Q$384,INDEX(Surface_Engine!$D$12:$D$72,$A427+1)+(Surface_Engine!L239*12)*INDEX(Surface_Engine!$F$12:$F$72,$A427+1)-(Surface_Engine!L239*12),1000*12*INDEX(Surface_Engine!$C$12:$C$72,$A427+1)/(1+Assumptions!$B$10)^22+INDEX(Surface_Engine!$D$12:$D$72,$A427+1)))*INDEX(Surface_Engine!$B$12:$B$72,$A427+1)+G428</f>
        <v>1157.43027580007</v>
      </c>
      <c r="H427" s="48" t="n">
        <f aca="false">D427*(IF($A427&lt;$Q$384,INDEX(Surface_Engine!$D$12:$D$72,$A427+1)+(Surface_Engine!L239*12)*INDEX(Surface_Engine!$F$12:$F$72,$A427+1)-(Surface_Engine!L239*12),1000*12*INDEX(Surface_Engine!$C$12:$C$72,$A427+1)/(1+Assumptions!$B$10)^22+INDEX(Surface_Engine!$D$12:$D$72,$A427+1)))*INDEX(Surface_Engine!$B$12:$B$72,$A427+1)+H428</f>
        <v>429.104963979561</v>
      </c>
      <c r="I427" s="48" t="n">
        <f aca="false">E427*(IF($A427&lt;$Q$384,INDEX(Surface_Engine!$D$12:$D$72,$A427+1)+(Surface_Engine!L239*12)*INDEX(Surface_Engine!$F$12:$F$72,$A427+1)-(Surface_Engine!L239*12),1000*12*INDEX(Surface_Engine!$C$12:$C$72,$A427+1)/(1+Assumptions!$B$10)^22+INDEX(Surface_Engine!$D$12:$D$72,$A427+1)))*INDEX(Surface_Engine!$B$12:$B$72,$A427+1)+I428</f>
        <v>557.113209680872</v>
      </c>
      <c r="J427" s="48" t="n">
        <f aca="false">B427*(IF($A427&lt;$Q$384,INDEX(Surface_Engine!$D$12:$D$72,$A427+1)*(1+Assumptions!$B$24)+(Surface_Engine!L239*12)*INDEX(Surface_Engine!$F$12:$F$72,$A427+1)-(Surface_Engine!L239*12),1000*12*INDEX(Surface_Engine!$C$12:$C$72,$A427+1)/(1+Assumptions!$B$10)^22+INDEX(Surface_Engine!$D$12:$D$72,$A427+1)*(1+Assumptions!$B$24)))*INDEX(Surface_Engine!$B$12:$B$72,$A427+1)+J428</f>
        <v>489.827595881904</v>
      </c>
      <c r="K427" s="12" t="n">
        <f aca="false">SQRT((IF(C427&lt;=0,0,MAX(0,(B427/C427)*G427/INDEX(Surface_Engine!$B$12:$B$72,$A427+1)-F427/INDEX(Surface_Engine!$B$12:$B$72,$A427+1))))^2+(MAX(IF(D427&lt;=0,0,MAX(0,(B427/D427)*H427/INDEX(Surface_Engine!$B$12:$B$72,$A427+1)-F427/INDEX(Surface_Engine!$B$12:$B$72,$A427+1))),IF(E427&lt;=0,0,MAX(0,(B427/E427)*I427/INDEX(Surface_Engine!$B$12:$B$72,$A427+1)-F427/INDEX(Surface_Engine!$B$12:$B$72,$A427+1))),IF($A427&lt;$Q$384,MAX(0,-Assumptions!$B$22*(F427/INDEX(Surface_Engine!$B$12:$B$72,$A427+1))),0)))^2+(MAX(0,J427/INDEX(Surface_Engine!$B$12:$B$72,$A427+1)-(F427/INDEX(Surface_Engine!$B$12:$B$72,$A427+1))))^2+2*Assumptions!$B$26*(IF(C427&lt;=0,0,MAX(0,(B427/C427)*G427/INDEX(Surface_Engine!$B$12:$B$72,$A427+1)-F427/INDEX(Surface_Engine!$B$12:$B$72,$A427+1))))*(MAX(IF(D427&lt;=0,0,MAX(0,(B427/D427)*H427/INDEX(Surface_Engine!$B$12:$B$72,$A427+1)-F427/INDEX(Surface_Engine!$B$12:$B$72,$A427+1))),IF(E427&lt;=0,0,MAX(0,(B427/E427)*I427/INDEX(Surface_Engine!$B$12:$B$72,$A427+1)-F427/INDEX(Surface_Engine!$B$12:$B$72,$A427+1))),IF($A427&lt;$Q$384,MAX(0,-Assumptions!$B$22*(F427/INDEX(Surface_Engine!$B$12:$B$72,$A427+1))),0)))+2*Assumptions!$B$27*(IF(C427&lt;=0,0,MAX(0,(B427/C427)*G427/INDEX(Surface_Engine!$B$12:$B$72,$A427+1)-F427/INDEX(Surface_Engine!$B$12:$B$72,$A427+1))))*(MAX(0,J427/INDEX(Surface_Engine!$B$12:$B$72,$A427+1)-(F427/INDEX(Surface_Engine!$B$12:$B$72,$A427+1))))+2*Assumptions!$B$28*(MAX(IF(D427&lt;=0,0,MAX(0,(B427/D427)*H427/INDEX(Surface_Engine!$B$12:$B$72,$A427+1)-F427/INDEX(Surface_Engine!$B$12:$B$72,$A427+1))),IF(E427&lt;=0,0,MAX(0,(B427/E427)*I427/INDEX(Surface_Engine!$B$12:$B$72,$A427+1)-F427/INDEX(Surface_Engine!$B$12:$B$72,$A427+1))),IF($A427&lt;$Q$384,MAX(0,-Assumptions!$B$22*(F427/INDEX(Surface_Engine!$B$12:$B$72,$A427+1))),0)))*(MAX(0,J427/INDEX(Surface_Engine!$B$12:$B$72,$A427+1)-(F427/INDEX(Surface_Engine!$B$12:$B$72,$A427+1)))))</f>
        <v>303.552517793265</v>
      </c>
      <c r="L427" s="48" t="n">
        <f aca="false">K427*INDEX(Surface_Engine!$B$12:$B$72,$A427+1)+L428</f>
        <v>267.387098720776</v>
      </c>
      <c r="M427" s="48" t="n">
        <f aca="false">M426+B426*(IF($A426&lt;$Q$384,(Surface_Engine!L239*12)-(Surface_Engine!L239*12)*INDEX(Surface_Engine!$F$12:$F$72,$A426+1)-INDEX(Surface_Engine!$D$12:$D$72,$A426+1),-(1000*12*INDEX(Surface_Engine!$C$12:$C$72,$A426+1)/(1+Assumptions!$B$10)^22+INDEX(Surface_Engine!$D$12:$D$72,$A426+1))))*INDEX(Surface_Engine!$B$12:$B$72,$A426+1)</f>
        <v>1567.97635174941</v>
      </c>
      <c r="N427" s="12" t="n">
        <f aca="false">IF(B427&lt;=0,0,MAX(0,(K427+Assumptions!$B$29*L427/INDEX(Surface_Engine!$B$12:$B$72,$A427+1)-(M427/INDEX(Surface_Engine!$B$12:$B$72,$A427+1)-(F427/INDEX(Surface_Engine!$B$12:$B$72,$A427+1))))/B427))</f>
        <v>0</v>
      </c>
    </row>
    <row r="428" customFormat="false" ht="15" hidden="false" customHeight="true" outlineLevel="0" collapsed="false">
      <c r="A428" s="1" t="n">
        <v>42</v>
      </c>
      <c r="B428" s="32" t="n">
        <f aca="false">INDEX(Surface_Engine!$J$12:$J$72,$A428+1)*IF($A428&lt;$Q$384,INDEX(Surface_Engine!$E$12:$E$72,$A428+1),INDEX(Surface_Engine!$E$12:$E$72,$Q$384+1))</f>
        <v>0.0220138462786712</v>
      </c>
      <c r="C428" s="32" t="n">
        <f aca="false">INDEX(Panel_Reserving!$C$8:$C$68,$A428+1)*IF($A428&lt;$Q$384,INDEX(Surface_Engine!$E$12:$E$72,$A428+1),INDEX(Surface_Engine!$E$12:$E$72,$Q$384+1))</f>
        <v>0.0472675362992894</v>
      </c>
      <c r="D428" s="32" t="n">
        <f aca="false">INDEX(Surface_Engine!$J$12:$J$72,$A428+1)*IF($A428&lt;$Q$384,INDEX(Surface_Engine!$Y$12:$Y$72,$A428+1),INDEX(Surface_Engine!$Y$12:$Y$72,$Q$384+1))</f>
        <v>0.0193096585512016</v>
      </c>
      <c r="E428" s="32" t="n">
        <f aca="false">INDEX(Surface_Engine!$J$12:$J$72,$A428+1)*IF($A428&lt;$Q$384,INDEX(Surface_Engine!$Z$12:$Z$72,$A428+1),INDEX(Surface_Engine!$Z$12:$Z$72,$Q$384+1))</f>
        <v>0.0250700102686624</v>
      </c>
      <c r="F428" s="48" t="n">
        <f aca="false">B428*(IF($A428&lt;$Q$384,INDEX(Surface_Engine!$D$12:$D$72,$A428+1)+(Surface_Engine!L239*12)*INDEX(Surface_Engine!$F$12:$F$72,$A428+1)-(Surface_Engine!L239*12),1000*12*INDEX(Surface_Engine!$C$12:$C$72,$A428+1)/(1+Assumptions!$B$10)^22+INDEX(Surface_Engine!$D$12:$D$72,$A428+1)))*INDEX(Surface_Engine!$B$12:$B$72,$A428+1)+F429</f>
        <v>349.09278844426</v>
      </c>
      <c r="G428" s="48" t="n">
        <f aca="false">C428*(IF($A428&lt;$Q$384,INDEX(Surface_Engine!$D$12:$D$72,$A428+1)+(Surface_Engine!L239*12)*INDEX(Surface_Engine!$F$12:$F$72,$A428+1)-(Surface_Engine!L239*12),1000*12*INDEX(Surface_Engine!$C$12:$C$72,$A428+1)/(1+Assumptions!$B$10)^22+INDEX(Surface_Engine!$D$12:$D$72,$A428+1)))*INDEX(Surface_Engine!$B$12:$B$72,$A428+1)+G429</f>
        <v>874.1168818388</v>
      </c>
      <c r="H428" s="48" t="n">
        <f aca="false">D428*(IF($A428&lt;$Q$384,INDEX(Surface_Engine!$D$12:$D$72,$A428+1)+(Surface_Engine!L239*12)*INDEX(Surface_Engine!$F$12:$F$72,$A428+1)-(Surface_Engine!L239*12),1000*12*INDEX(Surface_Engine!$C$12:$C$72,$A428+1)/(1+Assumptions!$B$10)^22+INDEX(Surface_Engine!$D$12:$D$72,$A428+1)))*INDEX(Surface_Engine!$B$12:$B$72,$A428+1)+H429</f>
        <v>306.210121675856</v>
      </c>
      <c r="I428" s="48" t="n">
        <f aca="false">E428*(IF($A428&lt;$Q$384,INDEX(Surface_Engine!$D$12:$D$72,$A428+1)+(Surface_Engine!L239*12)*INDEX(Surface_Engine!$F$12:$F$72,$A428+1)-(Surface_Engine!L239*12),1000*12*INDEX(Surface_Engine!$C$12:$C$72,$A428+1)/(1+Assumptions!$B$10)^22+INDEX(Surface_Engine!$D$12:$D$72,$A428+1)))*INDEX(Surface_Engine!$B$12:$B$72,$A428+1)+I429</f>
        <v>397.557050241284</v>
      </c>
      <c r="J428" s="48" t="n">
        <f aca="false">B428*(IF($A428&lt;$Q$384,INDEX(Surface_Engine!$D$12:$D$72,$A428+1)*(1+Assumptions!$B$24)+(Surface_Engine!L239*12)*INDEX(Surface_Engine!$F$12:$F$72,$A428+1)-(Surface_Engine!L239*12),1000*12*INDEX(Surface_Engine!$C$12:$C$72,$A428+1)/(1+Assumptions!$B$10)^22+INDEX(Surface_Engine!$D$12:$D$72,$A428+1)*(1+Assumptions!$B$24)))*INDEX(Surface_Engine!$B$12:$B$72,$A428+1)+J429</f>
        <v>349.543594691911</v>
      </c>
      <c r="K428" s="12" t="n">
        <f aca="false">SQRT((IF(C428&lt;=0,0,MAX(0,(B428/C428)*G428/INDEX(Surface_Engine!$B$12:$B$72,$A428+1)-F428/INDEX(Surface_Engine!$B$12:$B$72,$A428+1))))^2+(MAX(IF(D428&lt;=0,0,MAX(0,(B428/D428)*H428/INDEX(Surface_Engine!$B$12:$B$72,$A428+1)-F428/INDEX(Surface_Engine!$B$12:$B$72,$A428+1))),IF(E428&lt;=0,0,MAX(0,(B428/E428)*I428/INDEX(Surface_Engine!$B$12:$B$72,$A428+1)-F428/INDEX(Surface_Engine!$B$12:$B$72,$A428+1))),IF($A428&lt;$Q$384,MAX(0,-Assumptions!$B$22*(F428/INDEX(Surface_Engine!$B$12:$B$72,$A428+1))),0)))^2+(MAX(0,J428/INDEX(Surface_Engine!$B$12:$B$72,$A428+1)-(F428/INDEX(Surface_Engine!$B$12:$B$72,$A428+1))))^2+2*Assumptions!$B$26*(IF(C428&lt;=0,0,MAX(0,(B428/C428)*G428/INDEX(Surface_Engine!$B$12:$B$72,$A428+1)-F428/INDEX(Surface_Engine!$B$12:$B$72,$A428+1))))*(MAX(IF(D428&lt;=0,0,MAX(0,(B428/D428)*H428/INDEX(Surface_Engine!$B$12:$B$72,$A428+1)-F428/INDEX(Surface_Engine!$B$12:$B$72,$A428+1))),IF(E428&lt;=0,0,MAX(0,(B428/E428)*I428/INDEX(Surface_Engine!$B$12:$B$72,$A428+1)-F428/INDEX(Surface_Engine!$B$12:$B$72,$A428+1))),IF($A428&lt;$Q$384,MAX(0,-Assumptions!$B$22*(F428/INDEX(Surface_Engine!$B$12:$B$72,$A428+1))),0)))+2*Assumptions!$B$27*(IF(C428&lt;=0,0,MAX(0,(B428/C428)*G428/INDEX(Surface_Engine!$B$12:$B$72,$A428+1)-F428/INDEX(Surface_Engine!$B$12:$B$72,$A428+1))))*(MAX(0,J428/INDEX(Surface_Engine!$B$12:$B$72,$A428+1)-(F428/INDEX(Surface_Engine!$B$12:$B$72,$A428+1))))+2*Assumptions!$B$28*(MAX(IF(D428&lt;=0,0,MAX(0,(B428/D428)*H428/INDEX(Surface_Engine!$B$12:$B$72,$A428+1)-F428/INDEX(Surface_Engine!$B$12:$B$72,$A428+1))),IF(E428&lt;=0,0,MAX(0,(B428/E428)*I428/INDEX(Surface_Engine!$B$12:$B$72,$A428+1)-F428/INDEX(Surface_Engine!$B$12:$B$72,$A428+1))),IF($A428&lt;$Q$384,MAX(0,-Assumptions!$B$22*(F428/INDEX(Surface_Engine!$B$12:$B$72,$A428+1))),0)))*(MAX(0,J428/INDEX(Surface_Engine!$B$12:$B$72,$A428+1)-(F428/INDEX(Surface_Engine!$B$12:$B$72,$A428+1)))))</f>
        <v>218.575284792765</v>
      </c>
      <c r="L428" s="48" t="n">
        <f aca="false">K428*INDEX(Surface_Engine!$B$12:$B$72,$A428+1)+L429</f>
        <v>184.048030668087</v>
      </c>
      <c r="M428" s="48" t="n">
        <f aca="false">M427+B427*(IF($A427&lt;$Q$384,(Surface_Engine!L239*12)-(Surface_Engine!L239*12)*INDEX(Surface_Engine!$F$12:$F$72,$A427+1)-INDEX(Surface_Engine!$D$12:$D$72,$A427+1),-(1000*12*INDEX(Surface_Engine!$C$12:$C$72,$A427+1)/(1+Assumptions!$B$10)^22+INDEX(Surface_Engine!$D$12:$D$72,$A427+1))))*INDEX(Surface_Engine!$B$12:$B$72,$A427+1)</f>
        <v>1427.87091385461</v>
      </c>
      <c r="N428" s="12" t="n">
        <f aca="false">IF(B428&lt;=0,0,MAX(0,(K428+Assumptions!$B$29*L428/INDEX(Surface_Engine!$B$12:$B$72,$A428+1)-(M428/INDEX(Surface_Engine!$B$12:$B$72,$A428+1)-(F428/INDEX(Surface_Engine!$B$12:$B$72,$A428+1))))/B428))</f>
        <v>0</v>
      </c>
    </row>
    <row r="429" customFormat="false" ht="15" hidden="false" customHeight="true" outlineLevel="0" collapsed="false">
      <c r="A429" s="1" t="n">
        <v>43</v>
      </c>
      <c r="B429" s="32" t="n">
        <f aca="false">INDEX(Surface_Engine!$J$12:$J$72,$A429+1)*IF($A429&lt;$Q$384,INDEX(Surface_Engine!$E$12:$E$72,$A429+1),INDEX(Surface_Engine!$E$12:$E$72,$Q$384+1))</f>
        <v>0.0193437640166106</v>
      </c>
      <c r="C429" s="32" t="n">
        <f aca="false">INDEX(Panel_Reserving!$C$8:$C$68,$A429+1)*IF($A429&lt;$Q$384,INDEX(Surface_Engine!$E$12:$E$72,$A429+1),INDEX(Surface_Engine!$E$12:$E$72,$Q$384+1))</f>
        <v>0.042681033472064</v>
      </c>
      <c r="D429" s="32" t="n">
        <f aca="false">INDEX(Surface_Engine!$J$12:$J$72,$A429+1)*IF($A429&lt;$Q$384,INDEX(Surface_Engine!$Y$12:$Y$72,$A429+1),INDEX(Surface_Engine!$Y$12:$Y$72,$Q$384+1))</f>
        <v>0.0169675700251286</v>
      </c>
      <c r="E429" s="32" t="n">
        <f aca="false">INDEX(Surface_Engine!$J$12:$J$72,$A429+1)*IF($A429&lt;$Q$384,INDEX(Surface_Engine!$Z$12:$Z$72,$A429+1),INDEX(Surface_Engine!$Z$12:$Z$72,$Q$384+1))</f>
        <v>0.0220292427044368</v>
      </c>
      <c r="F429" s="48" t="n">
        <f aca="false">B429*(IF($A429&lt;$Q$384,INDEX(Surface_Engine!$D$12:$D$72,$A429+1)+(Surface_Engine!L239*12)*INDEX(Surface_Engine!$F$12:$F$72,$A429+1)-(Surface_Engine!L239*12),1000*12*INDEX(Surface_Engine!$C$12:$C$72,$A429+1)/(1+Assumptions!$B$10)^22+INDEX(Surface_Engine!$D$12:$D$72,$A429+1)))*INDEX(Surface_Engine!$B$12:$B$72,$A429+1)+F430</f>
        <v>243.356489954957</v>
      </c>
      <c r="G429" s="48" t="n">
        <f aca="false">C429*(IF($A429&lt;$Q$384,INDEX(Surface_Engine!$D$12:$D$72,$A429+1)+(Surface_Engine!L239*12)*INDEX(Surface_Engine!$F$12:$F$72,$A429+1)-(Surface_Engine!L239*12),1000*12*INDEX(Surface_Engine!$C$12:$C$72,$A429+1)/(1+Assumptions!$B$10)^22+INDEX(Surface_Engine!$D$12:$D$72,$A429+1)))*INDEX(Surface_Engine!$B$12:$B$72,$A429+1)+G430</f>
        <v>647.082756873641</v>
      </c>
      <c r="H429" s="48" t="n">
        <f aca="false">D429*(IF($A429&lt;$Q$384,INDEX(Surface_Engine!$D$12:$D$72,$A429+1)+(Surface_Engine!L239*12)*INDEX(Surface_Engine!$F$12:$F$72,$A429+1)-(Surface_Engine!L239*12),1000*12*INDEX(Surface_Engine!$C$12:$C$72,$A429+1)/(1+Assumptions!$B$10)^22+INDEX(Surface_Engine!$D$12:$D$72,$A429+1)))*INDEX(Surface_Engine!$B$12:$B$72,$A429+1)+H430</f>
        <v>213.46250299758</v>
      </c>
      <c r="I429" s="48" t="n">
        <f aca="false">E429*(IF($A429&lt;$Q$384,INDEX(Surface_Engine!$D$12:$D$72,$A429+1)+(Surface_Engine!L239*12)*INDEX(Surface_Engine!$F$12:$F$72,$A429+1)-(Surface_Engine!L239*12),1000*12*INDEX(Surface_Engine!$C$12:$C$72,$A429+1)/(1+Assumptions!$B$10)^22+INDEX(Surface_Engine!$D$12:$D$72,$A429+1)))*INDEX(Surface_Engine!$B$12:$B$72,$A429+1)+I430</f>
        <v>277.141469277338</v>
      </c>
      <c r="J429" s="48" t="n">
        <f aca="false">B429*(IF($A429&lt;$Q$384,INDEX(Surface_Engine!$D$12:$D$72,$A429+1)*(1+Assumptions!$B$24)+(Surface_Engine!L239*12)*INDEX(Surface_Engine!$F$12:$F$72,$A429+1)-(Surface_Engine!L239*12),1000*12*INDEX(Surface_Engine!$C$12:$C$72,$A429+1)/(1+Assumptions!$B$10)^22+INDEX(Surface_Engine!$D$12:$D$72,$A429+1)*(1+Assumptions!$B$24)))*INDEX(Surface_Engine!$B$12:$B$72,$A429+1)+J430</f>
        <v>243.671883980534</v>
      </c>
      <c r="K429" s="12" t="n">
        <f aca="false">SQRT((IF(C429&lt;=0,0,MAX(0,(B429/C429)*G429/INDEX(Surface_Engine!$B$12:$B$72,$A429+1)-F429/INDEX(Surface_Engine!$B$12:$B$72,$A429+1))))^2+(MAX(IF(D429&lt;=0,0,MAX(0,(B429/D429)*H429/INDEX(Surface_Engine!$B$12:$B$72,$A429+1)-F429/INDEX(Surface_Engine!$B$12:$B$72,$A429+1))),IF(E429&lt;=0,0,MAX(0,(B429/E429)*I429/INDEX(Surface_Engine!$B$12:$B$72,$A429+1)-F429/INDEX(Surface_Engine!$B$12:$B$72,$A429+1))),IF($A429&lt;$Q$384,MAX(0,-Assumptions!$B$22*(F429/INDEX(Surface_Engine!$B$12:$B$72,$A429+1))),0)))^2+(MAX(0,J429/INDEX(Surface_Engine!$B$12:$B$72,$A429+1)-(F429/INDEX(Surface_Engine!$B$12:$B$72,$A429+1))))^2+2*Assumptions!$B$26*(IF(C429&lt;=0,0,MAX(0,(B429/C429)*G429/INDEX(Surface_Engine!$B$12:$B$72,$A429+1)-F429/INDEX(Surface_Engine!$B$12:$B$72,$A429+1))))*(MAX(IF(D429&lt;=0,0,MAX(0,(B429/D429)*H429/INDEX(Surface_Engine!$B$12:$B$72,$A429+1)-F429/INDEX(Surface_Engine!$B$12:$B$72,$A429+1))),IF(E429&lt;=0,0,MAX(0,(B429/E429)*I429/INDEX(Surface_Engine!$B$12:$B$72,$A429+1)-F429/INDEX(Surface_Engine!$B$12:$B$72,$A429+1))),IF($A429&lt;$Q$384,MAX(0,-Assumptions!$B$22*(F429/INDEX(Surface_Engine!$B$12:$B$72,$A429+1))),0)))+2*Assumptions!$B$27*(IF(C429&lt;=0,0,MAX(0,(B429/C429)*G429/INDEX(Surface_Engine!$B$12:$B$72,$A429+1)-F429/INDEX(Surface_Engine!$B$12:$B$72,$A429+1))))*(MAX(0,J429/INDEX(Surface_Engine!$B$12:$B$72,$A429+1)-(F429/INDEX(Surface_Engine!$B$12:$B$72,$A429+1))))+2*Assumptions!$B$28*(MAX(IF(D429&lt;=0,0,MAX(0,(B429/D429)*H429/INDEX(Surface_Engine!$B$12:$B$72,$A429+1)-F429/INDEX(Surface_Engine!$B$12:$B$72,$A429+1))),IF(E429&lt;=0,0,MAX(0,(B429/E429)*I429/INDEX(Surface_Engine!$B$12:$B$72,$A429+1)-F429/INDEX(Surface_Engine!$B$12:$B$72,$A429+1))),IF($A429&lt;$Q$384,MAX(0,-Assumptions!$B$22*(F429/INDEX(Surface_Engine!$B$12:$B$72,$A429+1))),0)))*(MAX(0,J429/INDEX(Surface_Engine!$B$12:$B$72,$A429+1)-(F429/INDEX(Surface_Engine!$B$12:$B$72,$A429+1)))))</f>
        <v>194.184307644059</v>
      </c>
      <c r="L429" s="48" t="n">
        <f aca="false">K429*INDEX(Surface_Engine!$B$12:$B$72,$A429+1)+L430</f>
        <v>125.925195656829</v>
      </c>
      <c r="M429" s="48" t="n">
        <f aca="false">M428+B428*(IF($A428&lt;$Q$384,(Surface_Engine!L239*12)-(Surface_Engine!L239*12)*INDEX(Surface_Engine!$F$12:$F$72,$A428+1)-INDEX(Surface_Engine!$D$12:$D$72,$A428+1),-(1000*12*INDEX(Surface_Engine!$C$12:$C$72,$A428+1)/(1+Assumptions!$B$10)^22+INDEX(Surface_Engine!$D$12:$D$72,$A428+1))))*INDEX(Surface_Engine!$B$12:$B$72,$A428+1)</f>
        <v>1322.1346153653</v>
      </c>
      <c r="N429" s="12" t="n">
        <f aca="false">IF(B429&lt;=0,0,MAX(0,(K429+Assumptions!$B$29*L429/INDEX(Surface_Engine!$B$12:$B$72,$A429+1)-(M429/INDEX(Surface_Engine!$B$12:$B$72,$A429+1)-(F429/INDEX(Surface_Engine!$B$12:$B$72,$A429+1))))/B429))</f>
        <v>0</v>
      </c>
    </row>
    <row r="430" customFormat="false" ht="15" hidden="false" customHeight="true" outlineLevel="0" collapsed="false">
      <c r="A430" s="1" t="n">
        <v>44</v>
      </c>
      <c r="B430" s="32" t="n">
        <f aca="false">INDEX(Surface_Engine!$J$12:$J$72,$A430+1)*IF($A430&lt;$Q$384,INDEX(Surface_Engine!$E$12:$E$72,$A430+1),INDEX(Surface_Engine!$E$12:$E$72,$Q$384+1))</f>
        <v>0.0129129433123139</v>
      </c>
      <c r="C430" s="32" t="n">
        <f aca="false">INDEX(Panel_Reserving!$C$8:$C$68,$A430+1)*IF($A430&lt;$Q$384,INDEX(Surface_Engine!$E$12:$E$72,$A430+1),INDEX(Surface_Engine!$E$12:$E$72,$Q$384+1))</f>
        <v>0.0313296098919484</v>
      </c>
      <c r="D430" s="32" t="n">
        <f aca="false">INDEX(Surface_Engine!$J$12:$J$72,$A430+1)*IF($A430&lt;$Q$384,INDEX(Surface_Engine!$Y$12:$Y$72,$A430+1),INDEX(Surface_Engine!$Y$12:$Y$72,$Q$384+1))</f>
        <v>0.0113267133373866</v>
      </c>
      <c r="E430" s="32" t="n">
        <f aca="false">INDEX(Surface_Engine!$J$12:$J$72,$A430+1)*IF($A430&lt;$Q$384,INDEX(Surface_Engine!$Z$12:$Z$72,$A430+1),INDEX(Surface_Engine!$Z$12:$Z$72,$Q$384+1))</f>
        <v>0.0147056365044221</v>
      </c>
      <c r="F430" s="48" t="n">
        <f aca="false">B430*(IF($A430&lt;$Q$384,INDEX(Surface_Engine!$D$12:$D$72,$A430+1)+(Surface_Engine!L239*12)*INDEX(Surface_Engine!$F$12:$F$72,$A430+1)-(Surface_Engine!L239*12),1000*12*INDEX(Surface_Engine!$C$12:$C$72,$A430+1)/(1+Assumptions!$B$10)^22+INDEX(Surface_Engine!$D$12:$D$72,$A430+1)))*INDEX(Surface_Engine!$B$12:$B$72,$A430+1)+F431</f>
        <v>151.599709003736</v>
      </c>
      <c r="G430" s="48" t="n">
        <f aca="false">C430*(IF($A430&lt;$Q$384,INDEX(Surface_Engine!$D$12:$D$72,$A430+1)+(Surface_Engine!L239*12)*INDEX(Surface_Engine!$F$12:$F$72,$A430+1)-(Surface_Engine!L239*12),1000*12*INDEX(Surface_Engine!$C$12:$C$72,$A430+1)/(1+Assumptions!$B$10)^22+INDEX(Surface_Engine!$D$12:$D$72,$A430+1)))*INDEX(Surface_Engine!$B$12:$B$72,$A430+1)+G431</f>
        <v>444.626076999706</v>
      </c>
      <c r="H430" s="48" t="n">
        <f aca="false">D430*(IF($A430&lt;$Q$384,INDEX(Surface_Engine!$D$12:$D$72,$A430+1)+(Surface_Engine!L239*12)*INDEX(Surface_Engine!$F$12:$F$72,$A430+1)-(Surface_Engine!L239*12),1000*12*INDEX(Surface_Engine!$C$12:$C$72,$A430+1)/(1+Assumptions!$B$10)^22+INDEX(Surface_Engine!$D$12:$D$72,$A430+1)))*INDEX(Surface_Engine!$B$12:$B$72,$A430+1)+H431</f>
        <v>132.977153572654</v>
      </c>
      <c r="I430" s="48" t="n">
        <f aca="false">E430*(IF($A430&lt;$Q$384,INDEX(Surface_Engine!$D$12:$D$72,$A430+1)+(Surface_Engine!L239*12)*INDEX(Surface_Engine!$F$12:$F$72,$A430+1)-(Surface_Engine!L239*12),1000*12*INDEX(Surface_Engine!$C$12:$C$72,$A430+1)/(1+Assumptions!$B$10)^22+INDEX(Surface_Engine!$D$12:$D$72,$A430+1)))*INDEX(Surface_Engine!$B$12:$B$72,$A430+1)+I431</f>
        <v>172.646170657248</v>
      </c>
      <c r="J430" s="48" t="n">
        <f aca="false">B430*(IF($A430&lt;$Q$384,INDEX(Surface_Engine!$D$12:$D$72,$A430+1)*(1+Assumptions!$B$24)+(Surface_Engine!L239*12)*INDEX(Surface_Engine!$F$12:$F$72,$A430+1)-(Surface_Engine!L239*12),1000*12*INDEX(Surface_Engine!$C$12:$C$72,$A430+1)/(1+Assumptions!$B$10)^22+INDEX(Surface_Engine!$D$12:$D$72,$A430+1)*(1+Assumptions!$B$24)))*INDEX(Surface_Engine!$B$12:$B$72,$A430+1)+J431</f>
        <v>151.797025199791</v>
      </c>
      <c r="K430" s="12" t="n">
        <f aca="false">SQRT((IF(C430&lt;=0,0,MAX(0,(B430/C430)*G430/INDEX(Surface_Engine!$B$12:$B$72,$A430+1)-F430/INDEX(Surface_Engine!$B$12:$B$72,$A430+1))))^2+(MAX(IF(D430&lt;=0,0,MAX(0,(B430/D430)*H430/INDEX(Surface_Engine!$B$12:$B$72,$A430+1)-F430/INDEX(Surface_Engine!$B$12:$B$72,$A430+1))),IF(E430&lt;=0,0,MAX(0,(B430/E430)*I430/INDEX(Surface_Engine!$B$12:$B$72,$A430+1)-F430/INDEX(Surface_Engine!$B$12:$B$72,$A430+1))),IF($A430&lt;$Q$384,MAX(0,-Assumptions!$B$22*(F430/INDEX(Surface_Engine!$B$12:$B$72,$A430+1))),0)))^2+(MAX(0,J430/INDEX(Surface_Engine!$B$12:$B$72,$A430+1)-(F430/INDEX(Surface_Engine!$B$12:$B$72,$A430+1))))^2+2*Assumptions!$B$26*(IF(C430&lt;=0,0,MAX(0,(B430/C430)*G430/INDEX(Surface_Engine!$B$12:$B$72,$A430+1)-F430/INDEX(Surface_Engine!$B$12:$B$72,$A430+1))))*(MAX(IF(D430&lt;=0,0,MAX(0,(B430/D430)*H430/INDEX(Surface_Engine!$B$12:$B$72,$A430+1)-F430/INDEX(Surface_Engine!$B$12:$B$72,$A430+1))),IF(E430&lt;=0,0,MAX(0,(B430/E430)*I430/INDEX(Surface_Engine!$B$12:$B$72,$A430+1)-F430/INDEX(Surface_Engine!$B$12:$B$72,$A430+1))),IF($A430&lt;$Q$384,MAX(0,-Assumptions!$B$22*(F430/INDEX(Surface_Engine!$B$12:$B$72,$A430+1))),0)))+2*Assumptions!$B$27*(IF(C430&lt;=0,0,MAX(0,(B430/C430)*G430/INDEX(Surface_Engine!$B$12:$B$72,$A430+1)-F430/INDEX(Surface_Engine!$B$12:$B$72,$A430+1))))*(MAX(0,J430/INDEX(Surface_Engine!$B$12:$B$72,$A430+1)-(F430/INDEX(Surface_Engine!$B$12:$B$72,$A430+1))))+2*Assumptions!$B$28*(MAX(IF(D430&lt;=0,0,MAX(0,(B430/D430)*H430/INDEX(Surface_Engine!$B$12:$B$72,$A430+1)-F430/INDEX(Surface_Engine!$B$12:$B$72,$A430+1))),IF(E430&lt;=0,0,MAX(0,(B430/E430)*I430/INDEX(Surface_Engine!$B$12:$B$72,$A430+1)-F430/INDEX(Surface_Engine!$B$12:$B$72,$A430+1))),IF($A430&lt;$Q$384,MAX(0,-Assumptions!$B$22*(F430/INDEX(Surface_Engine!$B$12:$B$72,$A430+1))),0)))*(MAX(0,J430/INDEX(Surface_Engine!$B$12:$B$72,$A430+1)-(F430/INDEX(Surface_Engine!$B$12:$B$72,$A430+1)))))</f>
        <v>127.170766796688</v>
      </c>
      <c r="L430" s="48" t="n">
        <f aca="false">K430*INDEX(Surface_Engine!$B$12:$B$72,$A430+1)+L431</f>
        <v>75.9330884760774</v>
      </c>
      <c r="M430" s="48" t="n">
        <f aca="false">M429+B429*(IF($A429&lt;$Q$384,(Surface_Engine!L239*12)-(Surface_Engine!L239*12)*INDEX(Surface_Engine!$F$12:$F$72,$A429+1)-INDEX(Surface_Engine!$D$12:$D$72,$A429+1),-(1000*12*INDEX(Surface_Engine!$C$12:$C$72,$A429+1)/(1+Assumptions!$B$10)^22+INDEX(Surface_Engine!$D$12:$D$72,$A429+1))))*INDEX(Surface_Engine!$B$12:$B$72,$A429+1)</f>
        <v>1230.37783441408</v>
      </c>
      <c r="N430" s="12" t="n">
        <f aca="false">IF(B430&lt;=0,0,MAX(0,(K430+Assumptions!$B$29*L430/INDEX(Surface_Engine!$B$12:$B$72,$A430+1)-(M430/INDEX(Surface_Engine!$B$12:$B$72,$A430+1)-(F430/INDEX(Surface_Engine!$B$12:$B$72,$A430+1))))/B430))</f>
        <v>0</v>
      </c>
    </row>
    <row r="431" customFormat="false" ht="15" hidden="false" customHeight="true" outlineLevel="0" collapsed="false">
      <c r="A431" s="1" t="n">
        <v>45</v>
      </c>
      <c r="B431" s="32" t="n">
        <f aca="false">INDEX(Surface_Engine!$J$12:$J$72,$A431+1)*IF($A431&lt;$Q$384,INDEX(Surface_Engine!$E$12:$E$72,$A431+1),INDEX(Surface_Engine!$E$12:$E$72,$Q$384+1))</f>
        <v>0.00830379763232067</v>
      </c>
      <c r="C431" s="32" t="n">
        <f aca="false">INDEX(Panel_Reserving!$C$8:$C$68,$A431+1)*IF($A431&lt;$Q$384,INDEX(Surface_Engine!$E$12:$E$72,$A431+1),INDEX(Surface_Engine!$E$12:$E$72,$Q$384+1))</f>
        <v>0.0223833777218347</v>
      </c>
      <c r="D431" s="32" t="n">
        <f aca="false">INDEX(Surface_Engine!$J$12:$J$72,$A431+1)*IF($A431&lt;$Q$384,INDEX(Surface_Engine!$Y$12:$Y$72,$A431+1),INDEX(Surface_Engine!$Y$12:$Y$72,$Q$384+1))</f>
        <v>0.00728375654706656</v>
      </c>
      <c r="E431" s="32" t="n">
        <f aca="false">INDEX(Surface_Engine!$J$12:$J$72,$A431+1)*IF($A431&lt;$Q$384,INDEX(Surface_Engine!$Z$12:$Z$72,$A431+1),INDEX(Surface_Engine!$Z$12:$Z$72,$Q$384+1))</f>
        <v>0.00945660695890621</v>
      </c>
      <c r="F431" s="48" t="n">
        <f aca="false">B431*(IF($A431&lt;$Q$384,INDEX(Surface_Engine!$D$12:$D$72,$A431+1)+(Surface_Engine!L239*12)*INDEX(Surface_Engine!$F$12:$F$72,$A431+1)-(Surface_Engine!L239*12),1000*12*INDEX(Surface_Engine!$C$12:$C$72,$A431+1)/(1+Assumptions!$B$10)^22+INDEX(Surface_Engine!$D$12:$D$72,$A431+1)))*INDEX(Surface_Engine!$B$12:$B$72,$A431+1)+F432</f>
        <v>91.0851467610913</v>
      </c>
      <c r="G431" s="48" t="n">
        <f aca="false">C431*(IF($A431&lt;$Q$384,INDEX(Surface_Engine!$D$12:$D$72,$A431+1)+(Surface_Engine!L239*12)*INDEX(Surface_Engine!$F$12:$F$72,$A431+1)-(Surface_Engine!L239*12),1000*12*INDEX(Surface_Engine!$C$12:$C$72,$A431+1)/(1+Assumptions!$B$10)^22+INDEX(Surface_Engine!$D$12:$D$72,$A431+1)))*INDEX(Surface_Engine!$B$12:$B$72,$A431+1)+G432</f>
        <v>297.804583093189</v>
      </c>
      <c r="H431" s="48" t="n">
        <f aca="false">D431*(IF($A431&lt;$Q$384,INDEX(Surface_Engine!$D$12:$D$72,$A431+1)+(Surface_Engine!L239*12)*INDEX(Surface_Engine!$F$12:$F$72,$A431+1)-(Surface_Engine!L239*12),1000*12*INDEX(Surface_Engine!$C$12:$C$72,$A431+1)/(1+Assumptions!$B$10)^22+INDEX(Surface_Engine!$D$12:$D$72,$A431+1)))*INDEX(Surface_Engine!$B$12:$B$72,$A431+1)+H432</f>
        <v>79.8962189877216</v>
      </c>
      <c r="I431" s="48" t="n">
        <f aca="false">E431*(IF($A431&lt;$Q$384,INDEX(Surface_Engine!$D$12:$D$72,$A431+1)+(Surface_Engine!L239*12)*INDEX(Surface_Engine!$F$12:$F$72,$A431+1)-(Surface_Engine!L239*12),1000*12*INDEX(Surface_Engine!$C$12:$C$72,$A431+1)/(1+Assumptions!$B$10)^22+INDEX(Surface_Engine!$D$12:$D$72,$A431+1)))*INDEX(Surface_Engine!$B$12:$B$72,$A431+1)+I432</f>
        <v>103.730422013332</v>
      </c>
      <c r="J431" s="48" t="n">
        <f aca="false">B431*(IF($A431&lt;$Q$384,INDEX(Surface_Engine!$D$12:$D$72,$A431+1)*(1+Assumptions!$B$24)+(Surface_Engine!L239*12)*INDEX(Surface_Engine!$F$12:$F$72,$A431+1)-(Surface_Engine!L239*12),1000*12*INDEX(Surface_Engine!$C$12:$C$72,$A431+1)/(1+Assumptions!$B$10)^22+INDEX(Surface_Engine!$D$12:$D$72,$A431+1)*(1+Assumptions!$B$24)))*INDEX(Surface_Engine!$B$12:$B$72,$A431+1)+J432</f>
        <v>91.2042125894336</v>
      </c>
      <c r="K431" s="12" t="n">
        <f aca="false">SQRT((IF(C431&lt;=0,0,MAX(0,(B431/C431)*G431/INDEX(Surface_Engine!$B$12:$B$72,$A431+1)-F431/INDEX(Surface_Engine!$B$12:$B$72,$A431+1))))^2+(MAX(IF(D431&lt;=0,0,MAX(0,(B431/D431)*H431/INDEX(Surface_Engine!$B$12:$B$72,$A431+1)-F431/INDEX(Surface_Engine!$B$12:$B$72,$A431+1))),IF(E431&lt;=0,0,MAX(0,(B431/E431)*I431/INDEX(Surface_Engine!$B$12:$B$72,$A431+1)-F431/INDEX(Surface_Engine!$B$12:$B$72,$A431+1))),IF($A431&lt;$Q$384,MAX(0,-Assumptions!$B$22*(F431/INDEX(Surface_Engine!$B$12:$B$72,$A431+1))),0)))^2+(MAX(0,J431/INDEX(Surface_Engine!$B$12:$B$72,$A431+1)-(F431/INDEX(Surface_Engine!$B$12:$B$72,$A431+1))))^2+2*Assumptions!$B$26*(IF(C431&lt;=0,0,MAX(0,(B431/C431)*G431/INDEX(Surface_Engine!$B$12:$B$72,$A431+1)-F431/INDEX(Surface_Engine!$B$12:$B$72,$A431+1))))*(MAX(IF(D431&lt;=0,0,MAX(0,(B431/D431)*H431/INDEX(Surface_Engine!$B$12:$B$72,$A431+1)-F431/INDEX(Surface_Engine!$B$12:$B$72,$A431+1))),IF(E431&lt;=0,0,MAX(0,(B431/E431)*I431/INDEX(Surface_Engine!$B$12:$B$72,$A431+1)-F431/INDEX(Surface_Engine!$B$12:$B$72,$A431+1))),IF($A431&lt;$Q$384,MAX(0,-Assumptions!$B$22*(F431/INDEX(Surface_Engine!$B$12:$B$72,$A431+1))),0)))+2*Assumptions!$B$27*(IF(C431&lt;=0,0,MAX(0,(B431/C431)*G431/INDEX(Surface_Engine!$B$12:$B$72,$A431+1)-F431/INDEX(Surface_Engine!$B$12:$B$72,$A431+1))))*(MAX(0,J431/INDEX(Surface_Engine!$B$12:$B$72,$A431+1)-(F431/INDEX(Surface_Engine!$B$12:$B$72,$A431+1))))+2*Assumptions!$B$28*(MAX(IF(D431&lt;=0,0,MAX(0,(B431/D431)*H431/INDEX(Surface_Engine!$B$12:$B$72,$A431+1)-F431/INDEX(Surface_Engine!$B$12:$B$72,$A431+1))),IF(E431&lt;=0,0,MAX(0,(B431/E431)*I431/INDEX(Surface_Engine!$B$12:$B$72,$A431+1)-F431/INDEX(Surface_Engine!$B$12:$B$72,$A431+1))),IF($A431&lt;$Q$384,MAX(0,-Assumptions!$B$22*(F431/INDEX(Surface_Engine!$B$12:$B$72,$A431+1))),0)))*(MAX(0,J431/INDEX(Surface_Engine!$B$12:$B$72,$A431+1)-(F431/INDEX(Surface_Engine!$B$12:$B$72,$A431+1)))))</f>
        <v>80.4719007497208</v>
      </c>
      <c r="L431" s="48" t="n">
        <f aca="false">K431*INDEX(Surface_Engine!$B$12:$B$72,$A431+1)+L432</f>
        <v>44.2239455972212</v>
      </c>
      <c r="M431" s="48" t="n">
        <f aca="false">M430+B430*(IF($A430&lt;$Q$384,(Surface_Engine!L239*12)-(Surface_Engine!L239*12)*INDEX(Surface_Engine!$F$12:$F$72,$A430+1)-INDEX(Surface_Engine!$D$12:$D$72,$A430+1),-(1000*12*INDEX(Surface_Engine!$C$12:$C$72,$A430+1)/(1+Assumptions!$B$10)^22+INDEX(Surface_Engine!$D$12:$D$72,$A430+1))))*INDEX(Surface_Engine!$B$12:$B$72,$A430+1)</f>
        <v>1169.86327217144</v>
      </c>
      <c r="N431" s="12" t="n">
        <f aca="false">IF(B431&lt;=0,0,MAX(0,(K431+Assumptions!$B$29*L431/INDEX(Surface_Engine!$B$12:$B$72,$A431+1)-(M431/INDEX(Surface_Engine!$B$12:$B$72,$A431+1)-(F431/INDEX(Surface_Engine!$B$12:$B$72,$A431+1))))/B431))</f>
        <v>0</v>
      </c>
    </row>
    <row r="432" customFormat="false" ht="15" hidden="false" customHeight="true" outlineLevel="0" collapsed="false">
      <c r="A432" s="1" t="n">
        <v>46</v>
      </c>
      <c r="B432" s="32" t="n">
        <f aca="false">INDEX(Surface_Engine!$J$12:$J$72,$A432+1)*IF($A432&lt;$Q$384,INDEX(Surface_Engine!$E$12:$E$72,$A432+1),INDEX(Surface_Engine!$E$12:$E$72,$Q$384+1))</f>
        <v>0.00512289533841148</v>
      </c>
      <c r="C432" s="32" t="n">
        <f aca="false">INDEX(Panel_Reserving!$C$8:$C$68,$A432+1)*IF($A432&lt;$Q$384,INDEX(Surface_Engine!$E$12:$E$72,$A432+1),INDEX(Surface_Engine!$E$12:$E$72,$Q$384+1))</f>
        <v>0.0155239294844458</v>
      </c>
      <c r="D432" s="32" t="n">
        <f aca="false">INDEX(Surface_Engine!$J$12:$J$72,$A432+1)*IF($A432&lt;$Q$384,INDEX(Surface_Engine!$Y$12:$Y$72,$A432+1),INDEX(Surface_Engine!$Y$12:$Y$72,$Q$384+1))</f>
        <v>0.00449359728082188</v>
      </c>
      <c r="E432" s="32" t="n">
        <f aca="false">INDEX(Surface_Engine!$J$12:$J$72,$A432+1)*IF($A432&lt;$Q$384,INDEX(Surface_Engine!$Z$12:$Z$72,$A432+1),INDEX(Surface_Engine!$Z$12:$Z$72,$Q$384+1))</f>
        <v>0.00583410264219447</v>
      </c>
      <c r="F432" s="48" t="n">
        <f aca="false">B432*(IF($A432&lt;$Q$384,INDEX(Surface_Engine!$D$12:$D$72,$A432+1)+(Surface_Engine!L239*12)*INDEX(Surface_Engine!$F$12:$F$72,$A432+1)-(Surface_Engine!L239*12),1000*12*INDEX(Surface_Engine!$C$12:$C$72,$A432+1)/(1+Assumptions!$B$10)^22+INDEX(Surface_Engine!$D$12:$D$72,$A432+1)))*INDEX(Surface_Engine!$B$12:$B$72,$A432+1)+F433</f>
        <v>52.656841020131</v>
      </c>
      <c r="G432" s="48" t="n">
        <f aca="false">C432*(IF($A432&lt;$Q$384,INDEX(Surface_Engine!$D$12:$D$72,$A432+1)+(Surface_Engine!L239*12)*INDEX(Surface_Engine!$F$12:$F$72,$A432+1)-(Surface_Engine!L239*12),1000*12*INDEX(Surface_Engine!$C$12:$C$72,$A432+1)/(1+Assumptions!$B$10)^22+INDEX(Surface_Engine!$D$12:$D$72,$A432+1)))*INDEX(Surface_Engine!$B$12:$B$72,$A432+1)+G433</f>
        <v>194.218811775484</v>
      </c>
      <c r="H432" s="48" t="n">
        <f aca="false">D432*(IF($A432&lt;$Q$384,INDEX(Surface_Engine!$D$12:$D$72,$A432+1)+(Surface_Engine!L239*12)*INDEX(Surface_Engine!$F$12:$F$72,$A432+1)-(Surface_Engine!L239*12),1000*12*INDEX(Surface_Engine!$C$12:$C$72,$A432+1)/(1+Assumptions!$B$10)^22+INDEX(Surface_Engine!$D$12:$D$72,$A432+1)))*INDEX(Surface_Engine!$B$12:$B$72,$A432+1)+H433</f>
        <v>46.1884582826753</v>
      </c>
      <c r="I432" s="48" t="n">
        <f aca="false">E432*(IF($A432&lt;$Q$384,INDEX(Surface_Engine!$D$12:$D$72,$A432+1)+(Surface_Engine!L239*12)*INDEX(Surface_Engine!$F$12:$F$72,$A432+1)-(Surface_Engine!L239*12),1000*12*INDEX(Surface_Engine!$C$12:$C$72,$A432+1)/(1+Assumptions!$B$10)^22+INDEX(Surface_Engine!$D$12:$D$72,$A432+1)))*INDEX(Surface_Engine!$B$12:$B$72,$A432+1)+I433</f>
        <v>59.9671465121946</v>
      </c>
      <c r="J432" s="48" t="n">
        <f aca="false">B432*(IF($A432&lt;$Q$384,INDEX(Surface_Engine!$D$12:$D$72,$A432+1)*(1+Assumptions!$B$24)+(Surface_Engine!L239*12)*INDEX(Surface_Engine!$F$12:$F$72,$A432+1)-(Surface_Engine!L239*12),1000*12*INDEX(Surface_Engine!$C$12:$C$72,$A432+1)/(1+Assumptions!$B$10)^22+INDEX(Surface_Engine!$D$12:$D$72,$A432+1)*(1+Assumptions!$B$24)))*INDEX(Surface_Engine!$B$12:$B$72,$A432+1)+J433</f>
        <v>52.7259754310711</v>
      </c>
      <c r="K432" s="12" t="n">
        <f aca="false">SQRT((IF(C432&lt;=0,0,MAX(0,(B432/C432)*G432/INDEX(Surface_Engine!$B$12:$B$72,$A432+1)-F432/INDEX(Surface_Engine!$B$12:$B$72,$A432+1))))^2+(MAX(IF(D432&lt;=0,0,MAX(0,(B432/D432)*H432/INDEX(Surface_Engine!$B$12:$B$72,$A432+1)-F432/INDEX(Surface_Engine!$B$12:$B$72,$A432+1))),IF(E432&lt;=0,0,MAX(0,(B432/E432)*I432/INDEX(Surface_Engine!$B$12:$B$72,$A432+1)-F432/INDEX(Surface_Engine!$B$12:$B$72,$A432+1))),IF($A432&lt;$Q$384,MAX(0,-Assumptions!$B$22*(F432/INDEX(Surface_Engine!$B$12:$B$72,$A432+1))),0)))^2+(MAX(0,J432/INDEX(Surface_Engine!$B$12:$B$72,$A432+1)-(F432/INDEX(Surface_Engine!$B$12:$B$72,$A432+1))))^2+2*Assumptions!$B$26*(IF(C432&lt;=0,0,MAX(0,(B432/C432)*G432/INDEX(Surface_Engine!$B$12:$B$72,$A432+1)-F432/INDEX(Surface_Engine!$B$12:$B$72,$A432+1))))*(MAX(IF(D432&lt;=0,0,MAX(0,(B432/D432)*H432/INDEX(Surface_Engine!$B$12:$B$72,$A432+1)-F432/INDEX(Surface_Engine!$B$12:$B$72,$A432+1))),IF(E432&lt;=0,0,MAX(0,(B432/E432)*I432/INDEX(Surface_Engine!$B$12:$B$72,$A432+1)-F432/INDEX(Surface_Engine!$B$12:$B$72,$A432+1))),IF($A432&lt;$Q$384,MAX(0,-Assumptions!$B$22*(F432/INDEX(Surface_Engine!$B$12:$B$72,$A432+1))),0)))+2*Assumptions!$B$27*(IF(C432&lt;=0,0,MAX(0,(B432/C432)*G432/INDEX(Surface_Engine!$B$12:$B$72,$A432+1)-F432/INDEX(Surface_Engine!$B$12:$B$72,$A432+1))))*(MAX(0,J432/INDEX(Surface_Engine!$B$12:$B$72,$A432+1)-(F432/INDEX(Surface_Engine!$B$12:$B$72,$A432+1))))+2*Assumptions!$B$28*(MAX(IF(D432&lt;=0,0,MAX(0,(B432/D432)*H432/INDEX(Surface_Engine!$B$12:$B$72,$A432+1)-F432/INDEX(Surface_Engine!$B$12:$B$72,$A432+1))),IF(E432&lt;=0,0,MAX(0,(B432/E432)*I432/INDEX(Surface_Engine!$B$12:$B$72,$A432+1)-F432/INDEX(Surface_Engine!$B$12:$B$72,$A432+1))),IF($A432&lt;$Q$384,MAX(0,-Assumptions!$B$22*(F432/INDEX(Surface_Engine!$B$12:$B$72,$A432+1))),0)))*(MAX(0,J432/INDEX(Surface_Engine!$B$12:$B$72,$A432+1)-(F432/INDEX(Surface_Engine!$B$12:$B$72,$A432+1)))))</f>
        <v>48.9908026371892</v>
      </c>
      <c r="L432" s="48" t="n">
        <f aca="false">K432*INDEX(Surface_Engine!$B$12:$B$72,$A432+1)+L433</f>
        <v>24.7992777023939</v>
      </c>
      <c r="M432" s="48" t="n">
        <f aca="false">M431+B431*(IF($A431&lt;$Q$384,(Surface_Engine!L239*12)-(Surface_Engine!L239*12)*INDEX(Surface_Engine!$F$12:$F$72,$A431+1)-INDEX(Surface_Engine!$D$12:$D$72,$A431+1),-(1000*12*INDEX(Surface_Engine!$C$12:$C$72,$A431+1)/(1+Assumptions!$B$10)^22+INDEX(Surface_Engine!$D$12:$D$72,$A431+1))))*INDEX(Surface_Engine!$B$12:$B$72,$A431+1)</f>
        <v>1131.43496643048</v>
      </c>
      <c r="N432" s="12" t="n">
        <f aca="false">IF(B432&lt;=0,0,MAX(0,(K432+Assumptions!$B$29*L432/INDEX(Surface_Engine!$B$12:$B$72,$A432+1)-(M432/INDEX(Surface_Engine!$B$12:$B$72,$A432+1)-(F432/INDEX(Surface_Engine!$B$12:$B$72,$A432+1))))/B432))</f>
        <v>0</v>
      </c>
    </row>
    <row r="433" customFormat="false" ht="15" hidden="false" customHeight="true" outlineLevel="0" collapsed="false">
      <c r="A433" s="1" t="n">
        <v>47</v>
      </c>
      <c r="B433" s="32" t="n">
        <f aca="false">INDEX(Surface_Engine!$J$12:$J$72,$A433+1)*IF($A433&lt;$Q$384,INDEX(Surface_Engine!$E$12:$E$72,$A433+1),INDEX(Surface_Engine!$E$12:$E$72,$Q$384+1))</f>
        <v>0.00301780794827205</v>
      </c>
      <c r="C433" s="32" t="n">
        <f aca="false">INDEX(Panel_Reserving!$C$8:$C$68,$A433+1)*IF($A433&lt;$Q$384,INDEX(Surface_Engine!$E$12:$E$72,$A433+1),INDEX(Surface_Engine!$E$12:$E$72,$Q$384+1))</f>
        <v>0.0104206859404145</v>
      </c>
      <c r="D433" s="32" t="n">
        <f aca="false">INDEX(Surface_Engine!$J$12:$J$72,$A433+1)*IF($A433&lt;$Q$384,INDEX(Surface_Engine!$Y$12:$Y$72,$A433+1),INDEX(Surface_Engine!$Y$12:$Y$72,$Q$384+1))</f>
        <v>0.00264709948077974</v>
      </c>
      <c r="E433" s="32" t="n">
        <f aca="false">INDEX(Surface_Engine!$J$12:$J$72,$A433+1)*IF($A433&lt;$Q$384,INDEX(Surface_Engine!$Z$12:$Z$72,$A433+1),INDEX(Surface_Engine!$Z$12:$Z$72,$Q$384+1))</f>
        <v>0.0034367677185669</v>
      </c>
      <c r="F433" s="48" t="n">
        <f aca="false">B433*(IF($A433&lt;$Q$384,INDEX(Surface_Engine!$D$12:$D$72,$A433+1)+(Surface_Engine!L239*12)*INDEX(Surface_Engine!$F$12:$F$72,$A433+1)-(Surface_Engine!L239*12),1000*12*INDEX(Surface_Engine!$C$12:$C$72,$A433+1)/(1+Assumptions!$B$10)^22+INDEX(Surface_Engine!$D$12:$D$72,$A433+1)))*INDEX(Surface_Engine!$B$12:$B$72,$A433+1)+F434</f>
        <v>29.2357747360407</v>
      </c>
      <c r="G433" s="48" t="n">
        <f aca="false">C433*(IF($A433&lt;$Q$384,INDEX(Surface_Engine!$D$12:$D$72,$A433+1)+(Surface_Engine!L239*12)*INDEX(Surface_Engine!$F$12:$F$72,$A433+1)-(Surface_Engine!L239*12),1000*12*INDEX(Surface_Engine!$C$12:$C$72,$A433+1)/(1+Assumptions!$B$10)^22+INDEX(Surface_Engine!$D$12:$D$72,$A433+1)))*INDEX(Surface_Engine!$B$12:$B$72,$A433+1)+G434</f>
        <v>123.24586436456</v>
      </c>
      <c r="H433" s="48" t="n">
        <f aca="false">D433*(IF($A433&lt;$Q$384,INDEX(Surface_Engine!$D$12:$D$72,$A433+1)+(Surface_Engine!L239*12)*INDEX(Surface_Engine!$F$12:$F$72,$A433+1)-(Surface_Engine!L239*12),1000*12*INDEX(Surface_Engine!$C$12:$C$72,$A433+1)/(1+Assumptions!$B$10)^22+INDEX(Surface_Engine!$D$12:$D$72,$A433+1)))*INDEX(Surface_Engine!$B$12:$B$72,$A433+1)+H434</f>
        <v>25.6444430694401</v>
      </c>
      <c r="I433" s="48" t="n">
        <f aca="false">E433*(IF($A433&lt;$Q$384,INDEX(Surface_Engine!$D$12:$D$72,$A433+1)+(Surface_Engine!L239*12)*INDEX(Surface_Engine!$F$12:$F$72,$A433+1)-(Surface_Engine!L239*12),1000*12*INDEX(Surface_Engine!$C$12:$C$72,$A433+1)/(1+Assumptions!$B$10)^22+INDEX(Surface_Engine!$D$12:$D$72,$A433+1)))*INDEX(Surface_Engine!$B$12:$B$72,$A433+1)+I434</f>
        <v>33.2945530538647</v>
      </c>
      <c r="J433" s="48" t="n">
        <f aca="false">B433*(IF($A433&lt;$Q$384,INDEX(Surface_Engine!$D$12:$D$72,$A433+1)*(1+Assumptions!$B$24)+(Surface_Engine!L239*12)*INDEX(Surface_Engine!$F$12:$F$72,$A433+1)-(Surface_Engine!L239*12),1000*12*INDEX(Surface_Engine!$C$12:$C$72,$A433+1)/(1+Assumptions!$B$10)^22+INDEX(Surface_Engine!$D$12:$D$72,$A433+1)*(1+Assumptions!$B$24)))*INDEX(Surface_Engine!$B$12:$B$72,$A433+1)+J434</f>
        <v>29.2743300009214</v>
      </c>
      <c r="K433" s="12" t="n">
        <f aca="false">SQRT((IF(C433&lt;=0,0,MAX(0,(B433/C433)*G433/INDEX(Surface_Engine!$B$12:$B$72,$A433+1)-F433/INDEX(Surface_Engine!$B$12:$B$72,$A433+1))))^2+(MAX(IF(D433&lt;=0,0,MAX(0,(B433/D433)*H433/INDEX(Surface_Engine!$B$12:$B$72,$A433+1)-F433/INDEX(Surface_Engine!$B$12:$B$72,$A433+1))),IF(E433&lt;=0,0,MAX(0,(B433/E433)*I433/INDEX(Surface_Engine!$B$12:$B$72,$A433+1)-F433/INDEX(Surface_Engine!$B$12:$B$72,$A433+1))),IF($A433&lt;$Q$384,MAX(0,-Assumptions!$B$22*(F433/INDEX(Surface_Engine!$B$12:$B$72,$A433+1))),0)))^2+(MAX(0,J433/INDEX(Surface_Engine!$B$12:$B$72,$A433+1)-(F433/INDEX(Surface_Engine!$B$12:$B$72,$A433+1))))^2+2*Assumptions!$B$26*(IF(C433&lt;=0,0,MAX(0,(B433/C433)*G433/INDEX(Surface_Engine!$B$12:$B$72,$A433+1)-F433/INDEX(Surface_Engine!$B$12:$B$72,$A433+1))))*(MAX(IF(D433&lt;=0,0,MAX(0,(B433/D433)*H433/INDEX(Surface_Engine!$B$12:$B$72,$A433+1)-F433/INDEX(Surface_Engine!$B$12:$B$72,$A433+1))),IF(E433&lt;=0,0,MAX(0,(B433/E433)*I433/INDEX(Surface_Engine!$B$12:$B$72,$A433+1)-F433/INDEX(Surface_Engine!$B$12:$B$72,$A433+1))),IF($A433&lt;$Q$384,MAX(0,-Assumptions!$B$22*(F433/INDEX(Surface_Engine!$B$12:$B$72,$A433+1))),0)))+2*Assumptions!$B$27*(IF(C433&lt;=0,0,MAX(0,(B433/C433)*G433/INDEX(Surface_Engine!$B$12:$B$72,$A433+1)-F433/INDEX(Surface_Engine!$B$12:$B$72,$A433+1))))*(MAX(0,J433/INDEX(Surface_Engine!$B$12:$B$72,$A433+1)-(F433/INDEX(Surface_Engine!$B$12:$B$72,$A433+1))))+2*Assumptions!$B$28*(MAX(IF(D433&lt;=0,0,MAX(0,(B433/D433)*H433/INDEX(Surface_Engine!$B$12:$B$72,$A433+1)-F433/INDEX(Surface_Engine!$B$12:$B$72,$A433+1))),IF(E433&lt;=0,0,MAX(0,(B433/E433)*I433/INDEX(Surface_Engine!$B$12:$B$72,$A433+1)-F433/INDEX(Surface_Engine!$B$12:$B$72,$A433+1))),IF($A433&lt;$Q$384,MAX(0,-Assumptions!$B$22*(F433/INDEX(Surface_Engine!$B$12:$B$72,$A433+1))),0)))*(MAX(0,J433/INDEX(Surface_Engine!$B$12:$B$72,$A433+1)-(F433/INDEX(Surface_Engine!$B$12:$B$72,$A433+1)))))</f>
        <v>28.558623434991</v>
      </c>
      <c r="L433" s="48" t="n">
        <f aca="false">K433*INDEX(Surface_Engine!$B$12:$B$72,$A433+1)+L434</f>
        <v>13.3464490189053</v>
      </c>
      <c r="M433" s="48" t="n">
        <f aca="false">M432+B432*(IF($A432&lt;$Q$384,(Surface_Engine!L239*12)-(Surface_Engine!L239*12)*INDEX(Surface_Engine!$F$12:$F$72,$A432+1)-INDEX(Surface_Engine!$D$12:$D$72,$A432+1),-(1000*12*INDEX(Surface_Engine!$C$12:$C$72,$A432+1)/(1+Assumptions!$B$10)^22+INDEX(Surface_Engine!$D$12:$D$72,$A432+1))))*INDEX(Surface_Engine!$B$12:$B$72,$A432+1)</f>
        <v>1108.01390014639</v>
      </c>
      <c r="N433" s="12" t="n">
        <f aca="false">IF(B433&lt;=0,0,MAX(0,(K433+Assumptions!$B$29*L433/INDEX(Surface_Engine!$B$12:$B$72,$A433+1)-(M433/INDEX(Surface_Engine!$B$12:$B$72,$A433+1)-(F433/INDEX(Surface_Engine!$B$12:$B$72,$A433+1))))/B433))</f>
        <v>0</v>
      </c>
    </row>
    <row r="434" customFormat="false" ht="15" hidden="false" customHeight="true" outlineLevel="0" collapsed="false">
      <c r="A434" s="1" t="n">
        <v>48</v>
      </c>
      <c r="B434" s="32" t="n">
        <f aca="false">INDEX(Surface_Engine!$J$12:$J$72,$A434+1)*IF($A434&lt;$Q$384,INDEX(Surface_Engine!$E$12:$E$72,$A434+1),INDEX(Surface_Engine!$E$12:$E$72,$Q$384+1))</f>
        <v>0.00168818922287805</v>
      </c>
      <c r="C434" s="32" t="n">
        <f aca="false">INDEX(Panel_Reserving!$C$8:$C$68,$A434+1)*IF($A434&lt;$Q$384,INDEX(Surface_Engine!$E$12:$E$72,$A434+1),INDEX(Surface_Engine!$E$12:$E$72,$Q$384+1))</f>
        <v>0.00674767840770955</v>
      </c>
      <c r="D434" s="32" t="n">
        <f aca="false">INDEX(Surface_Engine!$J$12:$J$72,$A434+1)*IF($A434&lt;$Q$384,INDEX(Surface_Engine!$Y$12:$Y$72,$A434+1),INDEX(Surface_Engine!$Y$12:$Y$72,$Q$384+1))</f>
        <v>0.00148081153338376</v>
      </c>
      <c r="E434" s="32" t="n">
        <f aca="false">INDEX(Surface_Engine!$J$12:$J$72,$A434+1)*IF($A434&lt;$Q$384,INDEX(Surface_Engine!$Z$12:$Z$72,$A434+1),INDEX(Surface_Engine!$Z$12:$Z$72,$Q$384+1))</f>
        <v>0.00192255913015999</v>
      </c>
      <c r="F434" s="48" t="n">
        <f aca="false">B434*(IF($A434&lt;$Q$384,INDEX(Surface_Engine!$D$12:$D$72,$A434+1)+(Surface_Engine!L239*12)*INDEX(Surface_Engine!$F$12:$F$72,$A434+1)-(Surface_Engine!L239*12),1000*12*INDEX(Surface_Engine!$C$12:$C$72,$A434+1)/(1+Assumptions!$B$10)^22+INDEX(Surface_Engine!$D$12:$D$72,$A434+1)))*INDEX(Surface_Engine!$B$12:$B$72,$A434+1)+F435</f>
        <v>15.6059209444074</v>
      </c>
      <c r="G434" s="48" t="n">
        <f aca="false">C434*(IF($A434&lt;$Q$384,INDEX(Surface_Engine!$D$12:$D$72,$A434+1)+(Surface_Engine!L239*12)*INDEX(Surface_Engine!$F$12:$F$72,$A434+1)-(Surface_Engine!L239*12),1000*12*INDEX(Surface_Engine!$C$12:$C$72,$A434+1)/(1+Assumptions!$B$10)^22+INDEX(Surface_Engine!$D$12:$D$72,$A434+1)))*INDEX(Surface_Engine!$B$12:$B$72,$A434+1)+G435</f>
        <v>76.1810980802429</v>
      </c>
      <c r="H434" s="48" t="n">
        <f aca="false">D434*(IF($A434&lt;$Q$384,INDEX(Surface_Engine!$D$12:$D$72,$A434+1)+(Surface_Engine!L239*12)*INDEX(Surface_Engine!$F$12:$F$72,$A434+1)-(Surface_Engine!L239*12),1000*12*INDEX(Surface_Engine!$C$12:$C$72,$A434+1)/(1+Assumptions!$B$10)^22+INDEX(Surface_Engine!$D$12:$D$72,$A434+1)))*INDEX(Surface_Engine!$B$12:$B$72,$A434+1)+H435</f>
        <v>13.6888847591127</v>
      </c>
      <c r="I434" s="48" t="n">
        <f aca="false">E434*(IF($A434&lt;$Q$384,INDEX(Surface_Engine!$D$12:$D$72,$A434+1)+(Surface_Engine!L239*12)*INDEX(Surface_Engine!$F$12:$F$72,$A434+1)-(Surface_Engine!L239*12),1000*12*INDEX(Surface_Engine!$C$12:$C$72,$A434+1)/(1+Assumptions!$B$10)^22+INDEX(Surface_Engine!$D$12:$D$72,$A434+1)))*INDEX(Surface_Engine!$B$12:$B$72,$A434+1)+I435</f>
        <v>17.7724779838811</v>
      </c>
      <c r="J434" s="48" t="n">
        <f aca="false">B434*(IF($A434&lt;$Q$384,INDEX(Surface_Engine!$D$12:$D$72,$A434+1)*(1+Assumptions!$B$24)+(Surface_Engine!L239*12)*INDEX(Surface_Engine!$F$12:$F$72,$A434+1)-(Surface_Engine!L239*12),1000*12*INDEX(Surface_Engine!$C$12:$C$72,$A434+1)/(1+Assumptions!$B$10)^22+INDEX(Surface_Engine!$D$12:$D$72,$A434+1)*(1+Assumptions!$B$24)))*INDEX(Surface_Engine!$B$12:$B$72,$A434+1)+J435</f>
        <v>15.6265946335541</v>
      </c>
      <c r="K434" s="12" t="n">
        <f aca="false">SQRT((IF(C434&lt;=0,0,MAX(0,(B434/C434)*G434/INDEX(Surface_Engine!$B$12:$B$72,$A434+1)-F434/INDEX(Surface_Engine!$B$12:$B$72,$A434+1))))^2+(MAX(IF(D434&lt;=0,0,MAX(0,(B434/D434)*H434/INDEX(Surface_Engine!$B$12:$B$72,$A434+1)-F434/INDEX(Surface_Engine!$B$12:$B$72,$A434+1))),IF(E434&lt;=0,0,MAX(0,(B434/E434)*I434/INDEX(Surface_Engine!$B$12:$B$72,$A434+1)-F434/INDEX(Surface_Engine!$B$12:$B$72,$A434+1))),IF($A434&lt;$Q$384,MAX(0,-Assumptions!$B$22*(F434/INDEX(Surface_Engine!$B$12:$B$72,$A434+1))),0)))^2+(MAX(0,J434/INDEX(Surface_Engine!$B$12:$B$72,$A434+1)-(F434/INDEX(Surface_Engine!$B$12:$B$72,$A434+1))))^2+2*Assumptions!$B$26*(IF(C434&lt;=0,0,MAX(0,(B434/C434)*G434/INDEX(Surface_Engine!$B$12:$B$72,$A434+1)-F434/INDEX(Surface_Engine!$B$12:$B$72,$A434+1))))*(MAX(IF(D434&lt;=0,0,MAX(0,(B434/D434)*H434/INDEX(Surface_Engine!$B$12:$B$72,$A434+1)-F434/INDEX(Surface_Engine!$B$12:$B$72,$A434+1))),IF(E434&lt;=0,0,MAX(0,(B434/E434)*I434/INDEX(Surface_Engine!$B$12:$B$72,$A434+1)-F434/INDEX(Surface_Engine!$B$12:$B$72,$A434+1))),IF($A434&lt;$Q$384,MAX(0,-Assumptions!$B$22*(F434/INDEX(Surface_Engine!$B$12:$B$72,$A434+1))),0)))+2*Assumptions!$B$27*(IF(C434&lt;=0,0,MAX(0,(B434/C434)*G434/INDEX(Surface_Engine!$B$12:$B$72,$A434+1)-F434/INDEX(Surface_Engine!$B$12:$B$72,$A434+1))))*(MAX(0,J434/INDEX(Surface_Engine!$B$12:$B$72,$A434+1)-(F434/INDEX(Surface_Engine!$B$12:$B$72,$A434+1))))+2*Assumptions!$B$28*(MAX(IF(D434&lt;=0,0,MAX(0,(B434/D434)*H434/INDEX(Surface_Engine!$B$12:$B$72,$A434+1)-F434/INDEX(Surface_Engine!$B$12:$B$72,$A434+1))),IF(E434&lt;=0,0,MAX(0,(B434/E434)*I434/INDEX(Surface_Engine!$B$12:$B$72,$A434+1)-F434/INDEX(Surface_Engine!$B$12:$B$72,$A434+1))),IF($A434&lt;$Q$384,MAX(0,-Assumptions!$B$22*(F434/INDEX(Surface_Engine!$B$12:$B$72,$A434+1))),0)))*(MAX(0,J434/INDEX(Surface_Engine!$B$12:$B$72,$A434+1)-(F434/INDEX(Surface_Engine!$B$12:$B$72,$A434+1)))))</f>
        <v>15.7830533075591</v>
      </c>
      <c r="L434" s="48" t="n">
        <f aca="false">K434*INDEX(Surface_Engine!$B$12:$B$72,$A434+1)+L435</f>
        <v>6.880743323778</v>
      </c>
      <c r="M434" s="48" t="n">
        <f aca="false">M433+B433*(IF($A433&lt;$Q$384,(Surface_Engine!L239*12)-(Surface_Engine!L239*12)*INDEX(Surface_Engine!$F$12:$F$72,$A433+1)-INDEX(Surface_Engine!$D$12:$D$72,$A433+1),-(1000*12*INDEX(Surface_Engine!$C$12:$C$72,$A433+1)/(1+Assumptions!$B$10)^22+INDEX(Surface_Engine!$D$12:$D$72,$A433+1))))*INDEX(Surface_Engine!$B$12:$B$72,$A433+1)</f>
        <v>1094.38404635475</v>
      </c>
      <c r="N434" s="12" t="n">
        <f aca="false">IF(B434&lt;=0,0,MAX(0,(K434+Assumptions!$B$29*L434/INDEX(Surface_Engine!$B$12:$B$72,$A434+1)-(M434/INDEX(Surface_Engine!$B$12:$B$72,$A434+1)-(F434/INDEX(Surface_Engine!$B$12:$B$72,$A434+1))))/B434))</f>
        <v>0</v>
      </c>
    </row>
    <row r="435" customFormat="false" ht="15" hidden="false" customHeight="true" outlineLevel="0" collapsed="false">
      <c r="A435" s="1" t="n">
        <v>49</v>
      </c>
      <c r="B435" s="32" t="n">
        <f aca="false">INDEX(Surface_Engine!$J$12:$J$72,$A435+1)*IF($A435&lt;$Q$384,INDEX(Surface_Engine!$E$12:$E$72,$A435+1),INDEX(Surface_Engine!$E$12:$E$72,$Q$384+1))</f>
        <v>0.000914596535295631</v>
      </c>
      <c r="C435" s="32" t="n">
        <f aca="false">INDEX(Panel_Reserving!$C$8:$C$68,$A435+1)*IF($A435&lt;$Q$384,INDEX(Surface_Engine!$E$12:$E$72,$A435+1),INDEX(Surface_Engine!$E$12:$E$72,$Q$384+1))</f>
        <v>0.0042740435314187</v>
      </c>
      <c r="D435" s="32" t="n">
        <f aca="false">INDEX(Surface_Engine!$J$12:$J$72,$A435+1)*IF($A435&lt;$Q$384,INDEX(Surface_Engine!$Y$12:$Y$72,$A435+1),INDEX(Surface_Engine!$Y$12:$Y$72,$Q$384+1))</f>
        <v>0.000802247212282098</v>
      </c>
      <c r="E435" s="32" t="n">
        <f aca="false">INDEX(Surface_Engine!$J$12:$J$72,$A435+1)*IF($A435&lt;$Q$384,INDEX(Surface_Engine!$Z$12:$Z$72,$A435+1),INDEX(Surface_Engine!$Z$12:$Z$72,$Q$384+1))</f>
        <v>0.00104156921245334</v>
      </c>
      <c r="F435" s="48" t="n">
        <f aca="false">B435*(IF($A435&lt;$Q$384,INDEX(Surface_Engine!$D$12:$D$72,$A435+1)+(Surface_Engine!L239*12)*INDEX(Surface_Engine!$F$12:$F$72,$A435+1)-(Surface_Engine!L239*12),1000*12*INDEX(Surface_Engine!$C$12:$C$72,$A435+1)/(1+Assumptions!$B$10)^22+INDEX(Surface_Engine!$D$12:$D$72,$A435+1)))*INDEX(Surface_Engine!$B$12:$B$72,$A435+1)+F436</f>
        <v>8.07724005532513</v>
      </c>
      <c r="G435" s="48" t="n">
        <f aca="false">C435*(IF($A435&lt;$Q$384,INDEX(Surface_Engine!$D$12:$D$72,$A435+1)+(Surface_Engine!L239*12)*INDEX(Surface_Engine!$F$12:$F$72,$A435+1)-(Surface_Engine!L239*12),1000*12*INDEX(Surface_Engine!$C$12:$C$72,$A435+1)/(1+Assumptions!$B$10)^22+INDEX(Surface_Engine!$D$12:$D$72,$A435+1)))*INDEX(Surface_Engine!$B$12:$B$72,$A435+1)+G436</f>
        <v>46.0890226272379</v>
      </c>
      <c r="H435" s="48" t="n">
        <f aca="false">D435*(IF($A435&lt;$Q$384,INDEX(Surface_Engine!$D$12:$D$72,$A435+1)+(Surface_Engine!L239*12)*INDEX(Surface_Engine!$F$12:$F$72,$A435+1)-(Surface_Engine!L239*12),1000*12*INDEX(Surface_Engine!$C$12:$C$72,$A435+1)/(1+Assumptions!$B$10)^22+INDEX(Surface_Engine!$D$12:$D$72,$A435+1)))*INDEX(Surface_Engine!$B$12:$B$72,$A435+1)+H436</f>
        <v>7.08502937333272</v>
      </c>
      <c r="I435" s="48" t="n">
        <f aca="false">E435*(IF($A435&lt;$Q$384,INDEX(Surface_Engine!$D$12:$D$72,$A435+1)+(Surface_Engine!L239*12)*INDEX(Surface_Engine!$F$12:$F$72,$A435+1)-(Surface_Engine!L239*12),1000*12*INDEX(Surface_Engine!$C$12:$C$72,$A435+1)/(1+Assumptions!$B$10)^22+INDEX(Surface_Engine!$D$12:$D$72,$A435+1)))*INDEX(Surface_Engine!$B$12:$B$72,$A435+1)+I436</f>
        <v>9.19859658171809</v>
      </c>
      <c r="J435" s="48" t="n">
        <f aca="false">B435*(IF($A435&lt;$Q$384,INDEX(Surface_Engine!$D$12:$D$72,$A435+1)*(1+Assumptions!$B$24)+(Surface_Engine!L239*12)*INDEX(Surface_Engine!$F$12:$F$72,$A435+1)-(Surface_Engine!L239*12),1000*12*INDEX(Surface_Engine!$C$12:$C$72,$A435+1)/(1+Assumptions!$B$10)^22+INDEX(Surface_Engine!$D$12:$D$72,$A435+1)*(1+Assumptions!$B$24)))*INDEX(Surface_Engine!$B$12:$B$72,$A435+1)+J436</f>
        <v>8.087988773541</v>
      </c>
      <c r="K435" s="12" t="n">
        <f aca="false">SQRT((IF(C435&lt;=0,0,MAX(0,(B435/C435)*G435/INDEX(Surface_Engine!$B$12:$B$72,$A435+1)-F435/INDEX(Surface_Engine!$B$12:$B$72,$A435+1))))^2+(MAX(IF(D435&lt;=0,0,MAX(0,(B435/D435)*H435/INDEX(Surface_Engine!$B$12:$B$72,$A435+1)-F435/INDEX(Surface_Engine!$B$12:$B$72,$A435+1))),IF(E435&lt;=0,0,MAX(0,(B435/E435)*I435/INDEX(Surface_Engine!$B$12:$B$72,$A435+1)-F435/INDEX(Surface_Engine!$B$12:$B$72,$A435+1))),IF($A435&lt;$Q$384,MAX(0,-Assumptions!$B$22*(F435/INDEX(Surface_Engine!$B$12:$B$72,$A435+1))),0)))^2+(MAX(0,J435/INDEX(Surface_Engine!$B$12:$B$72,$A435+1)-(F435/INDEX(Surface_Engine!$B$12:$B$72,$A435+1))))^2+2*Assumptions!$B$26*(IF(C435&lt;=0,0,MAX(0,(B435/C435)*G435/INDEX(Surface_Engine!$B$12:$B$72,$A435+1)-F435/INDEX(Surface_Engine!$B$12:$B$72,$A435+1))))*(MAX(IF(D435&lt;=0,0,MAX(0,(B435/D435)*H435/INDEX(Surface_Engine!$B$12:$B$72,$A435+1)-F435/INDEX(Surface_Engine!$B$12:$B$72,$A435+1))),IF(E435&lt;=0,0,MAX(0,(B435/E435)*I435/INDEX(Surface_Engine!$B$12:$B$72,$A435+1)-F435/INDEX(Surface_Engine!$B$12:$B$72,$A435+1))),IF($A435&lt;$Q$384,MAX(0,-Assumptions!$B$22*(F435/INDEX(Surface_Engine!$B$12:$B$72,$A435+1))),0)))+2*Assumptions!$B$27*(IF(C435&lt;=0,0,MAX(0,(B435/C435)*G435/INDEX(Surface_Engine!$B$12:$B$72,$A435+1)-F435/INDEX(Surface_Engine!$B$12:$B$72,$A435+1))))*(MAX(0,J435/INDEX(Surface_Engine!$B$12:$B$72,$A435+1)-(F435/INDEX(Surface_Engine!$B$12:$B$72,$A435+1))))+2*Assumptions!$B$28*(MAX(IF(D435&lt;=0,0,MAX(0,(B435/D435)*H435/INDEX(Surface_Engine!$B$12:$B$72,$A435+1)-F435/INDEX(Surface_Engine!$B$12:$B$72,$A435+1))),IF(E435&lt;=0,0,MAX(0,(B435/E435)*I435/INDEX(Surface_Engine!$B$12:$B$72,$A435+1)-F435/INDEX(Surface_Engine!$B$12:$B$72,$A435+1))),IF($A435&lt;$Q$384,MAX(0,-Assumptions!$B$22*(F435/INDEX(Surface_Engine!$B$12:$B$72,$A435+1))),0)))*(MAX(0,J435/INDEX(Surface_Engine!$B$12:$B$72,$A435+1)-(F435/INDEX(Surface_Engine!$B$12:$B$72,$A435+1)))))</f>
        <v>8.42480598774476</v>
      </c>
      <c r="L435" s="48" t="n">
        <f aca="false">K435*INDEX(Surface_Engine!$B$12:$B$72,$A435+1)+L436</f>
        <v>3.42182941959271</v>
      </c>
      <c r="M435" s="48" t="n">
        <f aca="false">M434+B434*(IF($A434&lt;$Q$384,(Surface_Engine!L239*12)-(Surface_Engine!L239*12)*INDEX(Surface_Engine!$F$12:$F$72,$A434+1)-INDEX(Surface_Engine!$D$12:$D$72,$A434+1),-(1000*12*INDEX(Surface_Engine!$C$12:$C$72,$A434+1)/(1+Assumptions!$B$10)^22+INDEX(Surface_Engine!$D$12:$D$72,$A434+1))))*INDEX(Surface_Engine!$B$12:$B$72,$A434+1)</f>
        <v>1086.85536546567</v>
      </c>
      <c r="N435" s="12" t="n">
        <f aca="false">IF(B435&lt;=0,0,MAX(0,(K435+Assumptions!$B$29*L435/INDEX(Surface_Engine!$B$12:$B$72,$A435+1)-(M435/INDEX(Surface_Engine!$B$12:$B$72,$A435+1)-(F435/INDEX(Surface_Engine!$B$12:$B$72,$A435+1))))/B435))</f>
        <v>0</v>
      </c>
    </row>
    <row r="436" customFormat="false" ht="15" hidden="false" customHeight="true" outlineLevel="0" collapsed="false">
      <c r="A436" s="1" t="n">
        <v>50</v>
      </c>
      <c r="B436" s="32" t="n">
        <f aca="false">INDEX(Surface_Engine!$J$12:$J$72,$A436+1)*IF($A436&lt;$Q$384,INDEX(Surface_Engine!$E$12:$E$72,$A436+1),INDEX(Surface_Engine!$E$12:$E$72,$Q$384+1))</f>
        <v>0.000479419086424344</v>
      </c>
      <c r="C436" s="32" t="n">
        <f aca="false">INDEX(Panel_Reserving!$C$8:$C$68,$A436+1)*IF($A436&lt;$Q$384,INDEX(Surface_Engine!$E$12:$E$72,$A436+1),INDEX(Surface_Engine!$E$12:$E$72,$Q$384+1))</f>
        <v>0.00264712517904037</v>
      </c>
      <c r="D436" s="32" t="n">
        <f aca="false">INDEX(Surface_Engine!$J$12:$J$72,$A436+1)*IF($A436&lt;$Q$384,INDEX(Surface_Engine!$Y$12:$Y$72,$A436+1),INDEX(Surface_Engine!$Y$12:$Y$72,$Q$384+1))</f>
        <v>0.000420527096655182</v>
      </c>
      <c r="E436" s="32" t="n">
        <f aca="false">INDEX(Surface_Engine!$J$12:$J$72,$A436+1)*IF($A436&lt;$Q$384,INDEX(Surface_Engine!$Z$12:$Z$72,$A436+1),INDEX(Surface_Engine!$Z$12:$Z$72,$Q$384+1))</f>
        <v>0.000545976439896197</v>
      </c>
      <c r="F436" s="48" t="n">
        <f aca="false">B436*(IF($A436&lt;$Q$384,INDEX(Surface_Engine!$D$12:$D$72,$A436+1)+(Surface_Engine!L239*12)*INDEX(Surface_Engine!$F$12:$F$72,$A436+1)-(Surface_Engine!L239*12),1000*12*INDEX(Surface_Engine!$C$12:$C$72,$A436+1)/(1+Assumptions!$B$10)^22+INDEX(Surface_Engine!$D$12:$D$72,$A436+1)))*INDEX(Surface_Engine!$B$12:$B$72,$A436+1)+F437</f>
        <v>4.04807579066024</v>
      </c>
      <c r="G436" s="48" t="n">
        <f aca="false">C436*(IF($A436&lt;$Q$384,INDEX(Surface_Engine!$D$12:$D$72,$A436+1)+(Surface_Engine!L239*12)*INDEX(Surface_Engine!$F$12:$F$72,$A436+1)-(Surface_Engine!L239*12),1000*12*INDEX(Surface_Engine!$C$12:$C$72,$A436+1)/(1+Assumptions!$B$10)^22+INDEX(Surface_Engine!$D$12:$D$72,$A436+1)))*INDEX(Surface_Engine!$B$12:$B$72,$A436+1)+G437</f>
        <v>27.2601480384577</v>
      </c>
      <c r="H436" s="48" t="n">
        <f aca="false">D436*(IF($A436&lt;$Q$384,INDEX(Surface_Engine!$D$12:$D$72,$A436+1)+(Surface_Engine!L239*12)*INDEX(Surface_Engine!$F$12:$F$72,$A436+1)-(Surface_Engine!L239*12),1000*12*INDEX(Surface_Engine!$C$12:$C$72,$A436+1)/(1+Assumptions!$B$10)^22+INDEX(Surface_Engine!$D$12:$D$72,$A436+1)))*INDEX(Surface_Engine!$B$12:$B$72,$A436+1)+H437</f>
        <v>3.55080890079481</v>
      </c>
      <c r="I436" s="48" t="n">
        <f aca="false">E436*(IF($A436&lt;$Q$384,INDEX(Surface_Engine!$D$12:$D$72,$A436+1)+(Surface_Engine!L239*12)*INDEX(Surface_Engine!$F$12:$F$72,$A436+1)-(Surface_Engine!L239*12),1000*12*INDEX(Surface_Engine!$C$12:$C$72,$A436+1)/(1+Assumptions!$B$10)^22+INDEX(Surface_Engine!$D$12:$D$72,$A436+1)))*INDEX(Surface_Engine!$B$12:$B$72,$A436+1)+I437</f>
        <v>4.61006678957793</v>
      </c>
      <c r="J436" s="48" t="n">
        <f aca="false">B436*(IF($A436&lt;$Q$384,INDEX(Surface_Engine!$D$12:$D$72,$A436+1)*(1+Assumptions!$B$24)+(Surface_Engine!L239*12)*INDEX(Surface_Engine!$F$12:$F$72,$A436+1)-(Surface_Engine!L239*12),1000*12*INDEX(Surface_Engine!$C$12:$C$72,$A436+1)/(1+Assumptions!$B$10)^22+INDEX(Surface_Engine!$D$12:$D$72,$A436+1)*(1+Assumptions!$B$24)))*INDEX(Surface_Engine!$B$12:$B$72,$A436+1)+J437</f>
        <v>4.05348721695571</v>
      </c>
      <c r="K436" s="12" t="n">
        <f aca="false">SQRT((IF(C436&lt;=0,0,MAX(0,(B436/C436)*G436/INDEX(Surface_Engine!$B$12:$B$72,$A436+1)-F436/INDEX(Surface_Engine!$B$12:$B$72,$A436+1))))^2+(MAX(IF(D436&lt;=0,0,MAX(0,(B436/D436)*H436/INDEX(Surface_Engine!$B$12:$B$72,$A436+1)-F436/INDEX(Surface_Engine!$B$12:$B$72,$A436+1))),IF(E436&lt;=0,0,MAX(0,(B436/E436)*I436/INDEX(Surface_Engine!$B$12:$B$72,$A436+1)-F436/INDEX(Surface_Engine!$B$12:$B$72,$A436+1))),IF($A436&lt;$Q$384,MAX(0,-Assumptions!$B$22*(F436/INDEX(Surface_Engine!$B$12:$B$72,$A436+1))),0)))^2+(MAX(0,J436/INDEX(Surface_Engine!$B$12:$B$72,$A436+1)-(F436/INDEX(Surface_Engine!$B$12:$B$72,$A436+1))))^2+2*Assumptions!$B$26*(IF(C436&lt;=0,0,MAX(0,(B436/C436)*G436/INDEX(Surface_Engine!$B$12:$B$72,$A436+1)-F436/INDEX(Surface_Engine!$B$12:$B$72,$A436+1))))*(MAX(IF(D436&lt;=0,0,MAX(0,(B436/D436)*H436/INDEX(Surface_Engine!$B$12:$B$72,$A436+1)-F436/INDEX(Surface_Engine!$B$12:$B$72,$A436+1))),IF(E436&lt;=0,0,MAX(0,(B436/E436)*I436/INDEX(Surface_Engine!$B$12:$B$72,$A436+1)-F436/INDEX(Surface_Engine!$B$12:$B$72,$A436+1))),IF($A436&lt;$Q$384,MAX(0,-Assumptions!$B$22*(F436/INDEX(Surface_Engine!$B$12:$B$72,$A436+1))),0)))+2*Assumptions!$B$27*(IF(C436&lt;=0,0,MAX(0,(B436/C436)*G436/INDEX(Surface_Engine!$B$12:$B$72,$A436+1)-F436/INDEX(Surface_Engine!$B$12:$B$72,$A436+1))))*(MAX(0,J436/INDEX(Surface_Engine!$B$12:$B$72,$A436+1)-(F436/INDEX(Surface_Engine!$B$12:$B$72,$A436+1))))+2*Assumptions!$B$28*(MAX(IF(D436&lt;=0,0,MAX(0,(B436/D436)*H436/INDEX(Surface_Engine!$B$12:$B$72,$A436+1)-F436/INDEX(Surface_Engine!$B$12:$B$72,$A436+1))),IF(E436&lt;=0,0,MAX(0,(B436/E436)*I436/INDEX(Surface_Engine!$B$12:$B$72,$A436+1)-F436/INDEX(Surface_Engine!$B$12:$B$72,$A436+1))),IF($A436&lt;$Q$384,MAX(0,-Assumptions!$B$22*(F436/INDEX(Surface_Engine!$B$12:$B$72,$A436+1))),0)))*(MAX(0,J436/INDEX(Surface_Engine!$B$12:$B$72,$A436+1)-(F436/INDEX(Surface_Engine!$B$12:$B$72,$A436+1)))))</f>
        <v>4.33427818853755</v>
      </c>
      <c r="L436" s="48" t="n">
        <f aca="false">K436*INDEX(Surface_Engine!$B$12:$B$72,$A436+1)+L437</f>
        <v>1.63382718607305</v>
      </c>
      <c r="M436" s="48" t="n">
        <f aca="false">M435+B435*(IF($A435&lt;$Q$384,(Surface_Engine!L239*12)-(Surface_Engine!L239*12)*INDEX(Surface_Engine!$F$12:$F$72,$A435+1)-INDEX(Surface_Engine!$D$12:$D$72,$A435+1),-(1000*12*INDEX(Surface_Engine!$C$12:$C$72,$A435+1)/(1+Assumptions!$B$10)^22+INDEX(Surface_Engine!$D$12:$D$72,$A435+1))))*INDEX(Surface_Engine!$B$12:$B$72,$A435+1)</f>
        <v>1082.82620120101</v>
      </c>
      <c r="N436" s="12" t="n">
        <f aca="false">IF(B436&lt;=0,0,MAX(0,(K436+Assumptions!$B$29*L436/INDEX(Surface_Engine!$B$12:$B$72,$A436+1)-(M436/INDEX(Surface_Engine!$B$12:$B$72,$A436+1)-(F436/INDEX(Surface_Engine!$B$12:$B$72,$A436+1))))/B436))</f>
        <v>0</v>
      </c>
    </row>
    <row r="437" customFormat="false" ht="15" hidden="false" customHeight="true" outlineLevel="0" collapsed="false">
      <c r="A437" s="1" t="n">
        <v>51</v>
      </c>
      <c r="B437" s="32" t="n">
        <f aca="false">INDEX(Surface_Engine!$J$12:$J$72,$A437+1)*IF($A437&lt;$Q$384,INDEX(Surface_Engine!$E$12:$E$72,$A437+1),INDEX(Surface_Engine!$E$12:$E$72,$Q$384+1))</f>
        <v>0.000242939382314559</v>
      </c>
      <c r="C437" s="32" t="n">
        <f aca="false">INDEX(Panel_Reserving!$C$8:$C$68,$A437+1)*IF($A437&lt;$Q$384,INDEX(Surface_Engine!$E$12:$E$72,$A437+1),INDEX(Surface_Engine!$E$12:$E$72,$Q$384+1))</f>
        <v>0.0016025420211192</v>
      </c>
      <c r="D437" s="32" t="n">
        <f aca="false">INDEX(Surface_Engine!$J$12:$J$72,$A437+1)*IF($A437&lt;$Q$384,INDEX(Surface_Engine!$Y$12:$Y$72,$A437+1),INDEX(Surface_Engine!$Y$12:$Y$72,$Q$384+1))</f>
        <v>0.000213096632989531</v>
      </c>
      <c r="E437" s="32" t="n">
        <f aca="false">INDEX(Surface_Engine!$J$12:$J$72,$A437+1)*IF($A437&lt;$Q$384,INDEX(Surface_Engine!$Z$12:$Z$72,$A437+1),INDEX(Surface_Engine!$Z$12:$Z$72,$Q$384+1))</f>
        <v>0.000276666454929753</v>
      </c>
      <c r="F437" s="48" t="n">
        <f aca="false">B437*(IF($A437&lt;$Q$384,INDEX(Surface_Engine!$D$12:$D$72,$A437+1)+(Surface_Engine!L239*12)*INDEX(Surface_Engine!$F$12:$F$72,$A437+1)-(Surface_Engine!L239*12),1000*12*INDEX(Surface_Engine!$C$12:$C$72,$A437+1)/(1+Assumptions!$B$10)^22+INDEX(Surface_Engine!$D$12:$D$72,$A437+1)))*INDEX(Surface_Engine!$B$12:$B$72,$A437+1)+F438</f>
        <v>1.96277005803725</v>
      </c>
      <c r="G437" s="48" t="n">
        <f aca="false">C437*(IF($A437&lt;$Q$384,INDEX(Surface_Engine!$D$12:$D$72,$A437+1)+(Surface_Engine!L239*12)*INDEX(Surface_Engine!$F$12:$F$72,$A437+1)-(Surface_Engine!L239*12),1000*12*INDEX(Surface_Engine!$C$12:$C$72,$A437+1)/(1+Assumptions!$B$10)^22+INDEX(Surface_Engine!$D$12:$D$72,$A437+1)))*INDEX(Surface_Engine!$B$12:$B$72,$A437+1)+G438</f>
        <v>15.7460772241439</v>
      </c>
      <c r="H437" s="48" t="n">
        <f aca="false">D437*(IF($A437&lt;$Q$384,INDEX(Surface_Engine!$D$12:$D$72,$A437+1)+(Surface_Engine!L239*12)*INDEX(Surface_Engine!$F$12:$F$72,$A437+1)-(Surface_Engine!L239*12),1000*12*INDEX(Surface_Engine!$C$12:$C$72,$A437+1)/(1+Assumptions!$B$10)^22+INDEX(Surface_Engine!$D$12:$D$72,$A437+1)))*INDEX(Surface_Engine!$B$12:$B$72,$A437+1)+H438</f>
        <v>1.72166277330384</v>
      </c>
      <c r="I437" s="48" t="n">
        <f aca="false">E437*(IF($A437&lt;$Q$384,INDEX(Surface_Engine!$D$12:$D$72,$A437+1)+(Surface_Engine!L239*12)*INDEX(Surface_Engine!$F$12:$F$72,$A437+1)-(Surface_Engine!L239*12),1000*12*INDEX(Surface_Engine!$C$12:$C$72,$A437+1)/(1+Assumptions!$B$10)^22+INDEX(Surface_Engine!$D$12:$D$72,$A437+1)))*INDEX(Surface_Engine!$B$12:$B$72,$A437+1)+I438</f>
        <v>2.23525979454542</v>
      </c>
      <c r="J437" s="48" t="n">
        <f aca="false">B437*(IF($A437&lt;$Q$384,INDEX(Surface_Engine!$D$12:$D$72,$A437+1)*(1+Assumptions!$B$24)+(Surface_Engine!L239*12)*INDEX(Surface_Engine!$F$12:$F$72,$A437+1)-(Surface_Engine!L239*12),1000*12*INDEX(Surface_Engine!$C$12:$C$72,$A437+1)/(1+Assumptions!$B$10)^22+INDEX(Surface_Engine!$D$12:$D$72,$A437+1)*(1+Assumptions!$B$24)))*INDEX(Surface_Engine!$B$12:$B$72,$A437+1)+J438</f>
        <v>1.96540579271134</v>
      </c>
      <c r="K437" s="12" t="n">
        <f aca="false">SQRT((IF(C437&lt;=0,0,MAX(0,(B437/C437)*G437/INDEX(Surface_Engine!$B$12:$B$72,$A437+1)-F437/INDEX(Surface_Engine!$B$12:$B$72,$A437+1))))^2+(MAX(IF(D437&lt;=0,0,MAX(0,(B437/D437)*H437/INDEX(Surface_Engine!$B$12:$B$72,$A437+1)-F437/INDEX(Surface_Engine!$B$12:$B$72,$A437+1))),IF(E437&lt;=0,0,MAX(0,(B437/E437)*I437/INDEX(Surface_Engine!$B$12:$B$72,$A437+1)-F437/INDEX(Surface_Engine!$B$12:$B$72,$A437+1))),IF($A437&lt;$Q$384,MAX(0,-Assumptions!$B$22*(F437/INDEX(Surface_Engine!$B$12:$B$72,$A437+1))),0)))^2+(MAX(0,J437/INDEX(Surface_Engine!$B$12:$B$72,$A437+1)-(F437/INDEX(Surface_Engine!$B$12:$B$72,$A437+1))))^2+2*Assumptions!$B$26*(IF(C437&lt;=0,0,MAX(0,(B437/C437)*G437/INDEX(Surface_Engine!$B$12:$B$72,$A437+1)-F437/INDEX(Surface_Engine!$B$12:$B$72,$A437+1))))*(MAX(IF(D437&lt;=0,0,MAX(0,(B437/D437)*H437/INDEX(Surface_Engine!$B$12:$B$72,$A437+1)-F437/INDEX(Surface_Engine!$B$12:$B$72,$A437+1))),IF(E437&lt;=0,0,MAX(0,(B437/E437)*I437/INDEX(Surface_Engine!$B$12:$B$72,$A437+1)-F437/INDEX(Surface_Engine!$B$12:$B$72,$A437+1))),IF($A437&lt;$Q$384,MAX(0,-Assumptions!$B$22*(F437/INDEX(Surface_Engine!$B$12:$B$72,$A437+1))),0)))+2*Assumptions!$B$27*(IF(C437&lt;=0,0,MAX(0,(B437/C437)*G437/INDEX(Surface_Engine!$B$12:$B$72,$A437+1)-F437/INDEX(Surface_Engine!$B$12:$B$72,$A437+1))))*(MAX(0,J437/INDEX(Surface_Engine!$B$12:$B$72,$A437+1)-(F437/INDEX(Surface_Engine!$B$12:$B$72,$A437+1))))+2*Assumptions!$B$28*(MAX(IF(D437&lt;=0,0,MAX(0,(B437/D437)*H437/INDEX(Surface_Engine!$B$12:$B$72,$A437+1)-F437/INDEX(Surface_Engine!$B$12:$B$72,$A437+1))),IF(E437&lt;=0,0,MAX(0,(B437/E437)*I437/INDEX(Surface_Engine!$B$12:$B$72,$A437+1)-F437/INDEX(Surface_Engine!$B$12:$B$72,$A437+1))),IF($A437&lt;$Q$384,MAX(0,-Assumptions!$B$22*(F437/INDEX(Surface_Engine!$B$12:$B$72,$A437+1))),0)))*(MAX(0,J437/INDEX(Surface_Engine!$B$12:$B$72,$A437+1)-(F437/INDEX(Surface_Engine!$B$12:$B$72,$A437+1)))))</f>
        <v>2.13620795932653</v>
      </c>
      <c r="L437" s="48" t="n">
        <f aca="false">K437*INDEX(Surface_Engine!$B$12:$B$72,$A437+1)+L438</f>
        <v>0.743467362271657</v>
      </c>
      <c r="M437" s="48" t="n">
        <f aca="false">M436+B436*(IF($A436&lt;$Q$384,(Surface_Engine!L239*12)-(Surface_Engine!L239*12)*INDEX(Surface_Engine!$F$12:$F$72,$A436+1)-INDEX(Surface_Engine!$D$12:$D$72,$A436+1),-(1000*12*INDEX(Surface_Engine!$C$12:$C$72,$A436+1)/(1+Assumptions!$B$10)^22+INDEX(Surface_Engine!$D$12:$D$72,$A436+1))))*INDEX(Surface_Engine!$B$12:$B$72,$A436+1)</f>
        <v>1080.74089546838</v>
      </c>
      <c r="N437" s="12" t="n">
        <f aca="false">IF(B437&lt;=0,0,MAX(0,(K437+Assumptions!$B$29*L437/INDEX(Surface_Engine!$B$12:$B$72,$A437+1)-(M437/INDEX(Surface_Engine!$B$12:$B$72,$A437+1)-(F437/INDEX(Surface_Engine!$B$12:$B$72,$A437+1))))/B437))</f>
        <v>0</v>
      </c>
    </row>
    <row r="438" customFormat="false" ht="15" hidden="false" customHeight="true" outlineLevel="0" collapsed="false">
      <c r="A438" s="1" t="n">
        <v>52</v>
      </c>
      <c r="B438" s="32" t="n">
        <f aca="false">INDEX(Surface_Engine!$J$12:$J$72,$A438+1)*IF($A438&lt;$Q$384,INDEX(Surface_Engine!$E$12:$E$72,$A438+1),INDEX(Surface_Engine!$E$12:$E$72,$Q$384+1))</f>
        <v>0.000118910413387419</v>
      </c>
      <c r="C438" s="32" t="n">
        <f aca="false">INDEX(Panel_Reserving!$C$8:$C$68,$A438+1)*IF($A438&lt;$Q$384,INDEX(Surface_Engine!$E$12:$E$72,$A438+1),INDEX(Surface_Engine!$E$12:$E$72,$Q$384+1))</f>
        <v>0.00094801945619567</v>
      </c>
      <c r="D438" s="32" t="n">
        <f aca="false">INDEX(Surface_Engine!$J$12:$J$72,$A438+1)*IF($A438&lt;$Q$384,INDEX(Surface_Engine!$Y$12:$Y$72,$A438+1),INDEX(Surface_Engine!$Y$12:$Y$72,$Q$384+1))</f>
        <v>0.000104303421202589</v>
      </c>
      <c r="E438" s="32" t="n">
        <f aca="false">INDEX(Surface_Engine!$J$12:$J$72,$A438+1)*IF($A438&lt;$Q$384,INDEX(Surface_Engine!$Z$12:$Z$72,$A438+1),INDEX(Surface_Engine!$Z$12:$Z$72,$Q$384+1))</f>
        <v>0.000135418647288448</v>
      </c>
      <c r="F438" s="48" t="n">
        <f aca="false">B438*(IF($A438&lt;$Q$384,INDEX(Surface_Engine!$D$12:$D$72,$A438+1)+(Surface_Engine!L239*12)*INDEX(Surface_Engine!$F$12:$F$72,$A438+1)-(Surface_Engine!L239*12),1000*12*INDEX(Surface_Engine!$C$12:$C$72,$A438+1)/(1+Assumptions!$B$10)^22+INDEX(Surface_Engine!$D$12:$D$72,$A438+1)))*INDEX(Surface_Engine!$B$12:$B$72,$A438+1)+F439</f>
        <v>0.918965388140101</v>
      </c>
      <c r="G438" s="48" t="n">
        <f aca="false">C438*(IF($A438&lt;$Q$384,INDEX(Surface_Engine!$D$12:$D$72,$A438+1)+(Surface_Engine!L239*12)*INDEX(Surface_Engine!$F$12:$F$72,$A438+1)-(Surface_Engine!L239*12),1000*12*INDEX(Surface_Engine!$C$12:$C$72,$A438+1)/(1+Assumptions!$B$10)^22+INDEX(Surface_Engine!$D$12:$D$72,$A438+1)))*INDEX(Surface_Engine!$B$12:$B$72,$A438+1)+G439</f>
        <v>8.86065243457734</v>
      </c>
      <c r="H438" s="48" t="n">
        <f aca="false">D438*(IF($A438&lt;$Q$384,INDEX(Surface_Engine!$D$12:$D$72,$A438+1)+(Surface_Engine!L239*12)*INDEX(Surface_Engine!$F$12:$F$72,$A438+1)-(Surface_Engine!L239*12),1000*12*INDEX(Surface_Engine!$C$12:$C$72,$A438+1)/(1+Assumptions!$B$10)^22+INDEX(Surface_Engine!$D$12:$D$72,$A438+1)))*INDEX(Surface_Engine!$B$12:$B$72,$A438+1)+H439</f>
        <v>0.806079393883588</v>
      </c>
      <c r="I438" s="48" t="n">
        <f aca="false">E438*(IF($A438&lt;$Q$384,INDEX(Surface_Engine!$D$12:$D$72,$A438+1)+(Surface_Engine!L239*12)*INDEX(Surface_Engine!$F$12:$F$72,$A438+1)-(Surface_Engine!L239*12),1000*12*INDEX(Surface_Engine!$C$12:$C$72,$A438+1)/(1+Assumptions!$B$10)^22+INDEX(Surface_Engine!$D$12:$D$72,$A438+1)))*INDEX(Surface_Engine!$B$12:$B$72,$A438+1)+I439</f>
        <v>1.04654458950861</v>
      </c>
      <c r="J438" s="48" t="n">
        <f aca="false">B438*(IF($A438&lt;$Q$384,INDEX(Surface_Engine!$D$12:$D$72,$A438+1)*(1+Assumptions!$B$24)+(Surface_Engine!L239*12)*INDEX(Surface_Engine!$F$12:$F$72,$A438+1)-(Surface_Engine!L239*12),1000*12*INDEX(Surface_Engine!$C$12:$C$72,$A438+1)/(1+Assumptions!$B$10)^22+INDEX(Surface_Engine!$D$12:$D$72,$A438+1)*(1+Assumptions!$B$24)))*INDEX(Surface_Engine!$B$12:$B$72,$A438+1)+J439</f>
        <v>0.920205024282648</v>
      </c>
      <c r="K438" s="12" t="n">
        <f aca="false">SQRT((IF(C438&lt;=0,0,MAX(0,(B438/C438)*G438/INDEX(Surface_Engine!$B$12:$B$72,$A438+1)-F438/INDEX(Surface_Engine!$B$12:$B$72,$A438+1))))^2+(MAX(IF(D438&lt;=0,0,MAX(0,(B438/D438)*H438/INDEX(Surface_Engine!$B$12:$B$72,$A438+1)-F438/INDEX(Surface_Engine!$B$12:$B$72,$A438+1))),IF(E438&lt;=0,0,MAX(0,(B438/E438)*I438/INDEX(Surface_Engine!$B$12:$B$72,$A438+1)-F438/INDEX(Surface_Engine!$B$12:$B$72,$A438+1))),IF($A438&lt;$Q$384,MAX(0,-Assumptions!$B$22*(F438/INDEX(Surface_Engine!$B$12:$B$72,$A438+1))),0)))^2+(MAX(0,J438/INDEX(Surface_Engine!$B$12:$B$72,$A438+1)-(F438/INDEX(Surface_Engine!$B$12:$B$72,$A438+1))))^2+2*Assumptions!$B$26*(IF(C438&lt;=0,0,MAX(0,(B438/C438)*G438/INDEX(Surface_Engine!$B$12:$B$72,$A438+1)-F438/INDEX(Surface_Engine!$B$12:$B$72,$A438+1))))*(MAX(IF(D438&lt;=0,0,MAX(0,(B438/D438)*H438/INDEX(Surface_Engine!$B$12:$B$72,$A438+1)-F438/INDEX(Surface_Engine!$B$12:$B$72,$A438+1))),IF(E438&lt;=0,0,MAX(0,(B438/E438)*I438/INDEX(Surface_Engine!$B$12:$B$72,$A438+1)-F438/INDEX(Surface_Engine!$B$12:$B$72,$A438+1))),IF($A438&lt;$Q$384,MAX(0,-Assumptions!$B$22*(F438/INDEX(Surface_Engine!$B$12:$B$72,$A438+1))),0)))+2*Assumptions!$B$27*(IF(C438&lt;=0,0,MAX(0,(B438/C438)*G438/INDEX(Surface_Engine!$B$12:$B$72,$A438+1)-F438/INDEX(Surface_Engine!$B$12:$B$72,$A438+1))))*(MAX(0,J438/INDEX(Surface_Engine!$B$12:$B$72,$A438+1)-(F438/INDEX(Surface_Engine!$B$12:$B$72,$A438+1))))+2*Assumptions!$B$28*(MAX(IF(D438&lt;=0,0,MAX(0,(B438/D438)*H438/INDEX(Surface_Engine!$B$12:$B$72,$A438+1)-F438/INDEX(Surface_Engine!$B$12:$B$72,$A438+1))),IF(E438&lt;=0,0,MAX(0,(B438/E438)*I438/INDEX(Surface_Engine!$B$12:$B$72,$A438+1)-F438/INDEX(Surface_Engine!$B$12:$B$72,$A438+1))),IF($A438&lt;$Q$384,MAX(0,-Assumptions!$B$22*(F438/INDEX(Surface_Engine!$B$12:$B$72,$A438+1))),0)))*(MAX(0,J438/INDEX(Surface_Engine!$B$12:$B$72,$A438+1)-(F438/INDEX(Surface_Engine!$B$12:$B$72,$A438+1)))))</f>
        <v>1.00060228926345</v>
      </c>
      <c r="L438" s="48" t="n">
        <f aca="false">K438*INDEX(Surface_Engine!$B$12:$B$72,$A438+1)+L439</f>
        <v>0.318524353196955</v>
      </c>
      <c r="M438" s="48" t="n">
        <f aca="false">M437+B437*(IF($A437&lt;$Q$384,(Surface_Engine!L239*12)-(Surface_Engine!L239*12)*INDEX(Surface_Engine!$F$12:$F$72,$A437+1)-INDEX(Surface_Engine!$D$12:$D$72,$A437+1),-(1000*12*INDEX(Surface_Engine!$C$12:$C$72,$A437+1)/(1+Assumptions!$B$10)^22+INDEX(Surface_Engine!$D$12:$D$72,$A437+1))))*INDEX(Surface_Engine!$B$12:$B$72,$A437+1)</f>
        <v>1079.69709079849</v>
      </c>
      <c r="N438" s="12" t="n">
        <f aca="false">IF(B438&lt;=0,0,MAX(0,(K438+Assumptions!$B$29*L438/INDEX(Surface_Engine!$B$12:$B$72,$A438+1)-(M438/INDEX(Surface_Engine!$B$12:$B$72,$A438+1)-(F438/INDEX(Surface_Engine!$B$12:$B$72,$A438+1))))/B438))</f>
        <v>0</v>
      </c>
    </row>
    <row r="439" customFormat="false" ht="15" hidden="false" customHeight="true" outlineLevel="0" collapsed="false">
      <c r="A439" s="1" t="n">
        <v>53</v>
      </c>
      <c r="B439" s="32" t="n">
        <f aca="false">INDEX(Surface_Engine!$J$12:$J$72,$A439+1)*IF($A439&lt;$Q$384,INDEX(Surface_Engine!$E$12:$E$72,$A439+1),INDEX(Surface_Engine!$E$12:$E$72,$Q$384+1))</f>
        <v>5.61757107742279E-005</v>
      </c>
      <c r="C439" s="32" t="n">
        <f aca="false">INDEX(Panel_Reserving!$C$8:$C$68,$A439+1)*IF($A439&lt;$Q$384,INDEX(Surface_Engine!$E$12:$E$72,$A439+1),INDEX(Surface_Engine!$E$12:$E$72,$Q$384+1))</f>
        <v>0.000547894912269077</v>
      </c>
      <c r="D439" s="32" t="n">
        <f aca="false">INDEX(Surface_Engine!$J$12:$J$72,$A439+1)*IF($A439&lt;$Q$384,INDEX(Surface_Engine!$Y$12:$Y$72,$A439+1),INDEX(Surface_Engine!$Y$12:$Y$72,$Q$384+1))</f>
        <v>4.92750689811245E-005</v>
      </c>
      <c r="E439" s="32" t="n">
        <f aca="false">INDEX(Surface_Engine!$J$12:$J$72,$A439+1)*IF($A439&lt;$Q$384,INDEX(Surface_Engine!$Z$12:$Z$72,$A439+1),INDEX(Surface_Engine!$Z$12:$Z$72,$Q$384+1))</f>
        <v>6.39745380308121E-005</v>
      </c>
      <c r="F439" s="48" t="n">
        <f aca="false">B439*(IF($A439&lt;$Q$384,INDEX(Surface_Engine!$D$12:$D$72,$A439+1)+(Surface_Engine!L239*12)*INDEX(Surface_Engine!$F$12:$F$72,$A439+1)-(Surface_Engine!L239*12),1000*12*INDEX(Surface_Engine!$C$12:$C$72,$A439+1)/(1+Assumptions!$B$10)^22+INDEX(Surface_Engine!$D$12:$D$72,$A439+1)))*INDEX(Surface_Engine!$B$12:$B$72,$A439+1)+F440</f>
        <v>0.414304298707317</v>
      </c>
      <c r="G439" s="48" t="n">
        <f aca="false">C439*(IF($A439&lt;$Q$384,INDEX(Surface_Engine!$D$12:$D$72,$A439+1)+(Surface_Engine!L239*12)*INDEX(Surface_Engine!$F$12:$F$72,$A439+1)-(Surface_Engine!L239*12),1000*12*INDEX(Surface_Engine!$C$12:$C$72,$A439+1)/(1+Assumptions!$B$10)^22+INDEX(Surface_Engine!$D$12:$D$72,$A439+1)))*INDEX(Surface_Engine!$B$12:$B$72,$A439+1)+G440</f>
        <v>4.83721564768782</v>
      </c>
      <c r="H439" s="48" t="n">
        <f aca="false">D439*(IF($A439&lt;$Q$384,INDEX(Surface_Engine!$D$12:$D$72,$A439+1)+(Surface_Engine!L239*12)*INDEX(Surface_Engine!$F$12:$F$72,$A439+1)-(Surface_Engine!L239*12),1000*12*INDEX(Surface_Engine!$C$12:$C$72,$A439+1)/(1+Assumptions!$B$10)^22+INDEX(Surface_Engine!$D$12:$D$72,$A439+1)))*INDEX(Surface_Engine!$B$12:$B$72,$A439+1)+H440</f>
        <v>0.363411029724707</v>
      </c>
      <c r="I439" s="48" t="n">
        <f aca="false">E439*(IF($A439&lt;$Q$384,INDEX(Surface_Engine!$D$12:$D$72,$A439+1)+(Surface_Engine!L239*12)*INDEX(Surface_Engine!$F$12:$F$72,$A439+1)-(Surface_Engine!L239*12),1000*12*INDEX(Surface_Engine!$C$12:$C$72,$A439+1)/(1+Assumptions!$B$10)^22+INDEX(Surface_Engine!$D$12:$D$72,$A439+1)))*INDEX(Surface_Engine!$B$12:$B$72,$A439+1)+I440</f>
        <v>0.47182182029711</v>
      </c>
      <c r="J439" s="48" t="n">
        <f aca="false">B439*(IF($A439&lt;$Q$384,INDEX(Surface_Engine!$D$12:$D$72,$A439+1)*(1+Assumptions!$B$24)+(Surface_Engine!L239*12)*INDEX(Surface_Engine!$F$12:$F$72,$A439+1)-(Surface_Engine!L239*12),1000*12*INDEX(Surface_Engine!$C$12:$C$72,$A439+1)/(1+Assumptions!$B$10)^22+INDEX(Surface_Engine!$D$12:$D$72,$A439+1)*(1+Assumptions!$B$24)))*INDEX(Surface_Engine!$B$12:$B$72,$A439+1)+J440</f>
        <v>0.41486568161142</v>
      </c>
      <c r="K439" s="12" t="n">
        <f aca="false">SQRT((IF(C439&lt;=0,0,MAX(0,(B439/C439)*G439/INDEX(Surface_Engine!$B$12:$B$72,$A439+1)-F439/INDEX(Surface_Engine!$B$12:$B$72,$A439+1))))^2+(MAX(IF(D439&lt;=0,0,MAX(0,(B439/D439)*H439/INDEX(Surface_Engine!$B$12:$B$72,$A439+1)-F439/INDEX(Surface_Engine!$B$12:$B$72,$A439+1))),IF(E439&lt;=0,0,MAX(0,(B439/E439)*I439/INDEX(Surface_Engine!$B$12:$B$72,$A439+1)-F439/INDEX(Surface_Engine!$B$12:$B$72,$A439+1))),IF($A439&lt;$Q$384,MAX(0,-Assumptions!$B$22*(F439/INDEX(Surface_Engine!$B$12:$B$72,$A439+1))),0)))^2+(MAX(0,J439/INDEX(Surface_Engine!$B$12:$B$72,$A439+1)-(F439/INDEX(Surface_Engine!$B$12:$B$72,$A439+1))))^2+2*Assumptions!$B$26*(IF(C439&lt;=0,0,MAX(0,(B439/C439)*G439/INDEX(Surface_Engine!$B$12:$B$72,$A439+1)-F439/INDEX(Surface_Engine!$B$12:$B$72,$A439+1))))*(MAX(IF(D439&lt;=0,0,MAX(0,(B439/D439)*H439/INDEX(Surface_Engine!$B$12:$B$72,$A439+1)-F439/INDEX(Surface_Engine!$B$12:$B$72,$A439+1))),IF(E439&lt;=0,0,MAX(0,(B439/E439)*I439/INDEX(Surface_Engine!$B$12:$B$72,$A439+1)-F439/INDEX(Surface_Engine!$B$12:$B$72,$A439+1))),IF($A439&lt;$Q$384,MAX(0,-Assumptions!$B$22*(F439/INDEX(Surface_Engine!$B$12:$B$72,$A439+1))),0)))+2*Assumptions!$B$27*(IF(C439&lt;=0,0,MAX(0,(B439/C439)*G439/INDEX(Surface_Engine!$B$12:$B$72,$A439+1)-F439/INDEX(Surface_Engine!$B$12:$B$72,$A439+1))))*(MAX(0,J439/INDEX(Surface_Engine!$B$12:$B$72,$A439+1)-(F439/INDEX(Surface_Engine!$B$12:$B$72,$A439+1))))+2*Assumptions!$B$28*(MAX(IF(D439&lt;=0,0,MAX(0,(B439/D439)*H439/INDEX(Surface_Engine!$B$12:$B$72,$A439+1)-F439/INDEX(Surface_Engine!$B$12:$B$72,$A439+1))),IF(E439&lt;=0,0,MAX(0,(B439/E439)*I439/INDEX(Surface_Engine!$B$12:$B$72,$A439+1)-F439/INDEX(Surface_Engine!$B$12:$B$72,$A439+1))),IF($A439&lt;$Q$384,MAX(0,-Assumptions!$B$22*(F439/INDEX(Surface_Engine!$B$12:$B$72,$A439+1))),0)))*(MAX(0,J439/INDEX(Surface_Engine!$B$12:$B$72,$A439+1)-(F439/INDEX(Surface_Engine!$B$12:$B$72,$A439+1)))))</f>
        <v>0.438534588690832</v>
      </c>
      <c r="L439" s="48" t="n">
        <f aca="false">K439*INDEX(Surface_Engine!$B$12:$B$72,$A439+1)+L440</f>
        <v>0.125781347804524</v>
      </c>
      <c r="M439" s="48" t="n">
        <f aca="false">M438+B438*(IF($A438&lt;$Q$384,(Surface_Engine!L239*12)-(Surface_Engine!L239*12)*INDEX(Surface_Engine!$F$12:$F$72,$A438+1)-INDEX(Surface_Engine!$D$12:$D$72,$A438+1),-(1000*12*INDEX(Surface_Engine!$C$12:$C$72,$A438+1)/(1+Assumptions!$B$10)^22+INDEX(Surface_Engine!$D$12:$D$72,$A438+1))))*INDEX(Surface_Engine!$B$12:$B$72,$A438+1)</f>
        <v>1079.19242970905</v>
      </c>
      <c r="N439" s="12" t="n">
        <f aca="false">IF(B439&lt;=0,0,MAX(0,(K439+Assumptions!$B$29*L439/INDEX(Surface_Engine!$B$12:$B$72,$A439+1)-(M439/INDEX(Surface_Engine!$B$12:$B$72,$A439+1)-(F439/INDEX(Surface_Engine!$B$12:$B$72,$A439+1))))/B439))</f>
        <v>0</v>
      </c>
    </row>
    <row r="440" customFormat="false" ht="15" hidden="false" customHeight="true" outlineLevel="0" collapsed="false">
      <c r="A440" s="1" t="n">
        <v>54</v>
      </c>
      <c r="B440" s="32" t="n">
        <f aca="false">INDEX(Surface_Engine!$J$12:$J$72,$A440+1)*IF($A440&lt;$Q$384,INDEX(Surface_Engine!$E$12:$E$72,$A440+1),INDEX(Surface_Engine!$E$12:$E$72,$Q$384+1))</f>
        <v>2.55963353845993E-005</v>
      </c>
      <c r="C440" s="32" t="n">
        <f aca="false">INDEX(Panel_Reserving!$C$8:$C$68,$A440+1)*IF($A440&lt;$Q$384,INDEX(Surface_Engine!$E$12:$E$72,$A440+1),INDEX(Surface_Engine!$E$12:$E$72,$Q$384+1))</f>
        <v>0.000309296643153377</v>
      </c>
      <c r="D440" s="32" t="n">
        <f aca="false">INDEX(Surface_Engine!$J$12:$J$72,$A440+1)*IF($A440&lt;$Q$384,INDEX(Surface_Engine!$Y$12:$Y$72,$A440+1),INDEX(Surface_Engine!$Y$12:$Y$72,$Q$384+1))</f>
        <v>2.2452073580505E-005</v>
      </c>
      <c r="E440" s="32" t="n">
        <f aca="false">INDEX(Surface_Engine!$J$12:$J$72,$A440+1)*IF($A440&lt;$Q$384,INDEX(Surface_Engine!$Z$12:$Z$72,$A440+1),INDEX(Surface_Engine!$Z$12:$Z$72,$Q$384+1))</f>
        <v>2.91498533608715E-005</v>
      </c>
      <c r="F440" s="48" t="n">
        <f aca="false">B440*(IF($A440&lt;$Q$384,INDEX(Surface_Engine!$D$12:$D$72,$A440+1)+(Surface_Engine!L239*12)*INDEX(Surface_Engine!$F$12:$F$72,$A440+1)-(Surface_Engine!L239*12),1000*12*INDEX(Surface_Engine!$C$12:$C$72,$A440+1)/(1+Assumptions!$B$10)^22+INDEX(Surface_Engine!$D$12:$D$72,$A440+1)))*INDEX(Surface_Engine!$B$12:$B$72,$A440+1)+F441</f>
        <v>0.178810837861187</v>
      </c>
      <c r="G440" s="48" t="n">
        <f aca="false">C440*(IF($A440&lt;$Q$384,INDEX(Surface_Engine!$D$12:$D$72,$A440+1)+(Surface_Engine!L239*12)*INDEX(Surface_Engine!$F$12:$F$72,$A440+1)-(Surface_Engine!L239*12),1000*12*INDEX(Surface_Engine!$C$12:$C$72,$A440+1)/(1+Assumptions!$B$10)^22+INDEX(Surface_Engine!$D$12:$D$72,$A440+1)))*INDEX(Surface_Engine!$B$12:$B$72,$A440+1)+G441</f>
        <v>2.54039256717904</v>
      </c>
      <c r="H440" s="48" t="n">
        <f aca="false">D440*(IF($A440&lt;$Q$384,INDEX(Surface_Engine!$D$12:$D$72,$A440+1)+(Surface_Engine!L239*12)*INDEX(Surface_Engine!$F$12:$F$72,$A440+1)-(Surface_Engine!L239*12),1000*12*INDEX(Surface_Engine!$C$12:$C$72,$A440+1)/(1+Assumptions!$B$10)^22+INDEX(Surface_Engine!$D$12:$D$72,$A440+1)))*INDEX(Surface_Engine!$B$12:$B$72,$A440+1)+H441</f>
        <v>0.15684565889329</v>
      </c>
      <c r="I440" s="48" t="n">
        <f aca="false">E440*(IF($A440&lt;$Q$384,INDEX(Surface_Engine!$D$12:$D$72,$A440+1)+(Surface_Engine!L239*12)*INDEX(Surface_Engine!$F$12:$F$72,$A440+1)-(Surface_Engine!L239*12),1000*12*INDEX(Surface_Engine!$C$12:$C$72,$A440+1)/(1+Assumptions!$B$10)^22+INDEX(Surface_Engine!$D$12:$D$72,$A440+1)))*INDEX(Surface_Engine!$B$12:$B$72,$A440+1)+I441</f>
        <v>0.203634997927253</v>
      </c>
      <c r="J440" s="48" t="n">
        <f aca="false">B440*(IF($A440&lt;$Q$384,INDEX(Surface_Engine!$D$12:$D$72,$A440+1)*(1+Assumptions!$B$24)+(Surface_Engine!L239*12)*INDEX(Surface_Engine!$F$12:$F$72,$A440+1)-(Surface_Engine!L239*12),1000*12*INDEX(Surface_Engine!$C$12:$C$72,$A440+1)/(1+Assumptions!$B$10)^22+INDEX(Surface_Engine!$D$12:$D$72,$A440+1)*(1+Assumptions!$B$24)))*INDEX(Surface_Engine!$B$12:$B$72,$A440+1)+J441</f>
        <v>0.179054192302483</v>
      </c>
      <c r="K440" s="12" t="n">
        <f aca="false">SQRT((IF(C440&lt;=0,0,MAX(0,(B440/C440)*G440/INDEX(Surface_Engine!$B$12:$B$72,$A440+1)-F440/INDEX(Surface_Engine!$B$12:$B$72,$A440+1))))^2+(MAX(IF(D440&lt;=0,0,MAX(0,(B440/D440)*H440/INDEX(Surface_Engine!$B$12:$B$72,$A440+1)-F440/INDEX(Surface_Engine!$B$12:$B$72,$A440+1))),IF(E440&lt;=0,0,MAX(0,(B440/E440)*I440/INDEX(Surface_Engine!$B$12:$B$72,$A440+1)-F440/INDEX(Surface_Engine!$B$12:$B$72,$A440+1))),IF($A440&lt;$Q$384,MAX(0,-Assumptions!$B$22*(F440/INDEX(Surface_Engine!$B$12:$B$72,$A440+1))),0)))^2+(MAX(0,J440/INDEX(Surface_Engine!$B$12:$B$72,$A440+1)-(F440/INDEX(Surface_Engine!$B$12:$B$72,$A440+1))))^2+2*Assumptions!$B$26*(IF(C440&lt;=0,0,MAX(0,(B440/C440)*G440/INDEX(Surface_Engine!$B$12:$B$72,$A440+1)-F440/INDEX(Surface_Engine!$B$12:$B$72,$A440+1))))*(MAX(IF(D440&lt;=0,0,MAX(0,(B440/D440)*H440/INDEX(Surface_Engine!$B$12:$B$72,$A440+1)-F440/INDEX(Surface_Engine!$B$12:$B$72,$A440+1))),IF(E440&lt;=0,0,MAX(0,(B440/E440)*I440/INDEX(Surface_Engine!$B$12:$B$72,$A440+1)-F440/INDEX(Surface_Engine!$B$12:$B$72,$A440+1))),IF($A440&lt;$Q$384,MAX(0,-Assumptions!$B$22*(F440/INDEX(Surface_Engine!$B$12:$B$72,$A440+1))),0)))+2*Assumptions!$B$27*(IF(C440&lt;=0,0,MAX(0,(B440/C440)*G440/INDEX(Surface_Engine!$B$12:$B$72,$A440+1)-F440/INDEX(Surface_Engine!$B$12:$B$72,$A440+1))))*(MAX(0,J440/INDEX(Surface_Engine!$B$12:$B$72,$A440+1)-(F440/INDEX(Surface_Engine!$B$12:$B$72,$A440+1))))+2*Assumptions!$B$28*(MAX(IF(D440&lt;=0,0,MAX(0,(B440/D440)*H440/INDEX(Surface_Engine!$B$12:$B$72,$A440+1)-F440/INDEX(Surface_Engine!$B$12:$B$72,$A440+1))),IF(E440&lt;=0,0,MAX(0,(B440/E440)*I440/INDEX(Surface_Engine!$B$12:$B$72,$A440+1)-F440/INDEX(Surface_Engine!$B$12:$B$72,$A440+1))),IF($A440&lt;$Q$384,MAX(0,-Assumptions!$B$22*(F440/INDEX(Surface_Engine!$B$12:$B$72,$A440+1))),0)))*(MAX(0,J440/INDEX(Surface_Engine!$B$12:$B$72,$A440+1)-(F440/INDEX(Surface_Engine!$B$12:$B$72,$A440+1)))))</f>
        <v>0.174413678346609</v>
      </c>
      <c r="L440" s="48" t="n">
        <f aca="false">K440*INDEX(Surface_Engine!$B$12:$B$72,$A440+1)+L441</f>
        <v>0.0439833734166388</v>
      </c>
      <c r="M440" s="48" t="n">
        <f aca="false">M439+B439*(IF($A439&lt;$Q$384,(Surface_Engine!L239*12)-(Surface_Engine!L239*12)*INDEX(Surface_Engine!$F$12:$F$72,$A439+1)-INDEX(Surface_Engine!$D$12:$D$72,$A439+1),-(1000*12*INDEX(Surface_Engine!$C$12:$C$72,$A439+1)/(1+Assumptions!$B$10)^22+INDEX(Surface_Engine!$D$12:$D$72,$A439+1))))*INDEX(Surface_Engine!$B$12:$B$72,$A439+1)</f>
        <v>1078.95693624821</v>
      </c>
      <c r="N440" s="12" t="n">
        <f aca="false">IF(B440&lt;=0,0,MAX(0,(K440+Assumptions!$B$29*L440/INDEX(Surface_Engine!$B$12:$B$72,$A440+1)-(M440/INDEX(Surface_Engine!$B$12:$B$72,$A440+1)-(F440/INDEX(Surface_Engine!$B$12:$B$72,$A440+1))))/B440))</f>
        <v>0</v>
      </c>
    </row>
    <row r="441" customFormat="false" ht="15" hidden="false" customHeight="true" outlineLevel="0" collapsed="false">
      <c r="A441" s="1" t="n">
        <v>55</v>
      </c>
      <c r="B441" s="32" t="n">
        <f aca="false">INDEX(Surface_Engine!$J$12:$J$72,$A441+1)*IF($A441&lt;$Q$384,INDEX(Surface_Engine!$E$12:$E$72,$A441+1),INDEX(Surface_Engine!$E$12:$E$72,$Q$384+1))</f>
        <v>1.12416287566854E-005</v>
      </c>
      <c r="C441" s="32" t="n">
        <f aca="false">INDEX(Panel_Reserving!$C$8:$C$68,$A441+1)*IF($A441&lt;$Q$384,INDEX(Surface_Engine!$E$12:$E$72,$A441+1),INDEX(Surface_Engine!$E$12:$E$72,$Q$384+1))</f>
        <v>0.000170531073574642</v>
      </c>
      <c r="D441" s="32" t="n">
        <f aca="false">INDEX(Surface_Engine!$J$12:$J$72,$A441+1)*IF($A441&lt;$Q$384,INDEX(Surface_Engine!$Y$12:$Y$72,$A441+1),INDEX(Surface_Engine!$Y$12:$Y$72,$Q$384+1))</f>
        <v>9.86070358187611E-006</v>
      </c>
      <c r="E441" s="32" t="n">
        <f aca="false">INDEX(Surface_Engine!$J$12:$J$72,$A441+1)*IF($A441&lt;$Q$384,INDEX(Surface_Engine!$Z$12:$Z$72,$A441+1),INDEX(Surface_Engine!$Z$12:$Z$72,$Q$384+1))</f>
        <v>1.28022947375466E-005</v>
      </c>
      <c r="F441" s="48" t="n">
        <f aca="false">B441*(IF($A441&lt;$Q$384,INDEX(Surface_Engine!$D$12:$D$72,$A441+1)+(Surface_Engine!L239*12)*INDEX(Surface_Engine!$F$12:$F$72,$A441+1)-(Surface_Engine!L239*12),1000*12*INDEX(Surface_Engine!$C$12:$C$72,$A441+1)/(1+Assumptions!$B$10)^22+INDEX(Surface_Engine!$D$12:$D$72,$A441+1)))*INDEX(Surface_Engine!$B$12:$B$72,$A441+1)+F442</f>
        <v>0.0728798711225856</v>
      </c>
      <c r="G441" s="48" t="n">
        <f aca="false">C441*(IF($A441&lt;$Q$384,INDEX(Surface_Engine!$D$12:$D$72,$A441+1)+(Surface_Engine!L239*12)*INDEX(Surface_Engine!$F$12:$F$72,$A441+1)-(Surface_Engine!L239*12),1000*12*INDEX(Surface_Engine!$C$12:$C$72,$A441+1)/(1+Assumptions!$B$10)^22+INDEX(Surface_Engine!$D$12:$D$72,$A441+1)))*INDEX(Surface_Engine!$B$12:$B$72,$A441+1)+G442</f>
        <v>1.26036197194178</v>
      </c>
      <c r="H441" s="48" t="n">
        <f aca="false">D441*(IF($A441&lt;$Q$384,INDEX(Surface_Engine!$D$12:$D$72,$A441+1)+(Surface_Engine!L239*12)*INDEX(Surface_Engine!$F$12:$F$72,$A441+1)-(Surface_Engine!L239*12),1000*12*INDEX(Surface_Engine!$C$12:$C$72,$A441+1)/(1+Assumptions!$B$10)^22+INDEX(Surface_Engine!$D$12:$D$72,$A441+1)))*INDEX(Surface_Engine!$B$12:$B$72,$A441+1)+H442</f>
        <v>0.0639272850740397</v>
      </c>
      <c r="I441" s="48" t="n">
        <f aca="false">E441*(IF($A441&lt;$Q$384,INDEX(Surface_Engine!$D$12:$D$72,$A441+1)+(Surface_Engine!L239*12)*INDEX(Surface_Engine!$F$12:$F$72,$A441+1)-(Surface_Engine!L239*12),1000*12*INDEX(Surface_Engine!$C$12:$C$72,$A441+1)/(1+Assumptions!$B$10)^22+INDEX(Surface_Engine!$D$12:$D$72,$A441+1)))*INDEX(Surface_Engine!$B$12:$B$72,$A441+1)+I442</f>
        <v>0.0829977230826879</v>
      </c>
      <c r="J441" s="48" t="n">
        <f aca="false">B441*(IF($A441&lt;$Q$384,INDEX(Surface_Engine!$D$12:$D$72,$A441+1)*(1+Assumptions!$B$24)+(Surface_Engine!L239*12)*INDEX(Surface_Engine!$F$12:$F$72,$A441+1)-(Surface_Engine!L239*12),1000*12*INDEX(Surface_Engine!$C$12:$C$72,$A441+1)/(1+Assumptions!$B$10)^22+INDEX(Surface_Engine!$D$12:$D$72,$A441+1)*(1+Assumptions!$B$24)))*INDEX(Surface_Engine!$B$12:$B$72,$A441+1)+J442</f>
        <v>0.0729794765023899</v>
      </c>
      <c r="K441" s="12" t="n">
        <f aca="false">SQRT((IF(C441&lt;=0,0,MAX(0,(B441/C441)*G441/INDEX(Surface_Engine!$B$12:$B$72,$A441+1)-F441/INDEX(Surface_Engine!$B$12:$B$72,$A441+1))))^2+(MAX(IF(D441&lt;=0,0,MAX(0,(B441/D441)*H441/INDEX(Surface_Engine!$B$12:$B$72,$A441+1)-F441/INDEX(Surface_Engine!$B$12:$B$72,$A441+1))),IF(E441&lt;=0,0,MAX(0,(B441/E441)*I441/INDEX(Surface_Engine!$B$12:$B$72,$A441+1)-F441/INDEX(Surface_Engine!$B$12:$B$72,$A441+1))),IF($A441&lt;$Q$384,MAX(0,-Assumptions!$B$22*(F441/INDEX(Surface_Engine!$B$12:$B$72,$A441+1))),0)))^2+(MAX(0,J441/INDEX(Surface_Engine!$B$12:$B$72,$A441+1)-(F441/INDEX(Surface_Engine!$B$12:$B$72,$A441+1))))^2+2*Assumptions!$B$26*(IF(C441&lt;=0,0,MAX(0,(B441/C441)*G441/INDEX(Surface_Engine!$B$12:$B$72,$A441+1)-F441/INDEX(Surface_Engine!$B$12:$B$72,$A441+1))))*(MAX(IF(D441&lt;=0,0,MAX(0,(B441/D441)*H441/INDEX(Surface_Engine!$B$12:$B$72,$A441+1)-F441/INDEX(Surface_Engine!$B$12:$B$72,$A441+1))),IF(E441&lt;=0,0,MAX(0,(B441/E441)*I441/INDEX(Surface_Engine!$B$12:$B$72,$A441+1)-F441/INDEX(Surface_Engine!$B$12:$B$72,$A441+1))),IF($A441&lt;$Q$384,MAX(0,-Assumptions!$B$22*(F441/INDEX(Surface_Engine!$B$12:$B$72,$A441+1))),0)))+2*Assumptions!$B$27*(IF(C441&lt;=0,0,MAX(0,(B441/C441)*G441/INDEX(Surface_Engine!$B$12:$B$72,$A441+1)-F441/INDEX(Surface_Engine!$B$12:$B$72,$A441+1))))*(MAX(0,J441/INDEX(Surface_Engine!$B$12:$B$72,$A441+1)-(F441/INDEX(Surface_Engine!$B$12:$B$72,$A441+1))))+2*Assumptions!$B$28*(MAX(IF(D441&lt;=0,0,MAX(0,(B441/D441)*H441/INDEX(Surface_Engine!$B$12:$B$72,$A441+1)-F441/INDEX(Surface_Engine!$B$12:$B$72,$A441+1))),IF(E441&lt;=0,0,MAX(0,(B441/E441)*I441/INDEX(Surface_Engine!$B$12:$B$72,$A441+1)-F441/INDEX(Surface_Engine!$B$12:$B$72,$A441+1))),IF($A441&lt;$Q$384,MAX(0,-Assumptions!$B$22*(F441/INDEX(Surface_Engine!$B$12:$B$72,$A441+1))),0)))*(MAX(0,J441/INDEX(Surface_Engine!$B$12:$B$72,$A441+1)-(F441/INDEX(Surface_Engine!$B$12:$B$72,$A441+1)))))</f>
        <v>0.05852721833906</v>
      </c>
      <c r="L441" s="48" t="n">
        <f aca="false">K441*INDEX(Surface_Engine!$B$12:$B$72,$A441+1)+L442</f>
        <v>0.0124982656780141</v>
      </c>
      <c r="M441" s="48" t="n">
        <f aca="false">M440+B440*(IF($A440&lt;$Q$384,(Surface_Engine!L239*12)-(Surface_Engine!L239*12)*INDEX(Surface_Engine!$F$12:$F$72,$A440+1)-INDEX(Surface_Engine!$D$12:$D$72,$A440+1),-(1000*12*INDEX(Surface_Engine!$C$12:$C$72,$A440+1)/(1+Assumptions!$B$10)^22+INDEX(Surface_Engine!$D$12:$D$72,$A440+1))))*INDEX(Surface_Engine!$B$12:$B$72,$A440+1)</f>
        <v>1078.85100528147</v>
      </c>
      <c r="N441" s="12" t="n">
        <f aca="false">IF(B441&lt;=0,0,MAX(0,(K441+Assumptions!$B$29*L441/INDEX(Surface_Engine!$B$12:$B$72,$A441+1)-(M441/INDEX(Surface_Engine!$B$12:$B$72,$A441+1)-(F441/INDEX(Surface_Engine!$B$12:$B$72,$A441+1))))/B441))</f>
        <v>0</v>
      </c>
    </row>
    <row r="442" customFormat="false" ht="15" hidden="false" customHeight="true" outlineLevel="0" collapsed="false">
      <c r="A442" s="1" t="n">
        <v>56</v>
      </c>
      <c r="B442" s="32" t="n">
        <f aca="false">INDEX(Surface_Engine!$J$12:$J$72,$A442+1)*IF($A442&lt;$Q$384,INDEX(Surface_Engine!$E$12:$E$72,$A442+1),INDEX(Surface_Engine!$E$12:$E$72,$Q$384+1))</f>
        <v>4.7561308203049E-006</v>
      </c>
      <c r="C442" s="32" t="n">
        <f aca="false">INDEX(Panel_Reserving!$C$8:$C$68,$A442+1)*IF($A442&lt;$Q$384,INDEX(Surface_Engine!$E$12:$E$72,$A442+1),INDEX(Surface_Engine!$E$12:$E$72,$Q$384+1))</f>
        <v>9.18251173688305E-005</v>
      </c>
      <c r="D442" s="32" t="n">
        <f aca="false">INDEX(Surface_Engine!$J$12:$J$72,$A442+1)*IF($A442&lt;$Q$384,INDEX(Surface_Engine!$Y$12:$Y$72,$A442+1),INDEX(Surface_Engine!$Y$12:$Y$72,$Q$384+1))</f>
        <v>4.17188623025478E-006</v>
      </c>
      <c r="E442" s="32" t="n">
        <f aca="false">INDEX(Surface_Engine!$J$12:$J$72,$A442+1)*IF($A442&lt;$Q$384,INDEX(Surface_Engine!$Z$12:$Z$72,$A442+1),INDEX(Surface_Engine!$Z$12:$Z$72,$Q$384+1))</f>
        <v>5.41642051074333E-006</v>
      </c>
      <c r="F442" s="48" t="n">
        <f aca="false">B442*(IF($A442&lt;$Q$384,INDEX(Surface_Engine!$D$12:$D$72,$A442+1)+(Surface_Engine!L239*12)*INDEX(Surface_Engine!$F$12:$F$72,$A442+1)-(Surface_Engine!L239*12),1000*12*INDEX(Surface_Engine!$C$12:$C$72,$A442+1)/(1+Assumptions!$B$10)^22+INDEX(Surface_Engine!$D$12:$D$72,$A442+1)))*INDEX(Surface_Engine!$B$12:$B$72,$A442+1)+F443</f>
        <v>0.0269279181836704</v>
      </c>
      <c r="G442" s="48" t="n">
        <f aca="false">C442*(IF($A442&lt;$Q$384,INDEX(Surface_Engine!$D$12:$D$72,$A442+1)+(Surface_Engine!L239*12)*INDEX(Surface_Engine!$F$12:$F$72,$A442+1)-(Surface_Engine!L239*12),1000*12*INDEX(Surface_Engine!$C$12:$C$72,$A442+1)/(1+Assumptions!$B$10)^22+INDEX(Surface_Engine!$D$12:$D$72,$A442+1)))*INDEX(Surface_Engine!$B$12:$B$72,$A442+1)+G443</f>
        <v>0.563288973256916</v>
      </c>
      <c r="H442" s="48" t="n">
        <f aca="false">D442*(IF($A442&lt;$Q$384,INDEX(Surface_Engine!$D$12:$D$72,$A442+1)+(Surface_Engine!L239*12)*INDEX(Surface_Engine!$F$12:$F$72,$A442+1)-(Surface_Engine!L239*12),1000*12*INDEX(Surface_Engine!$C$12:$C$72,$A442+1)/(1+Assumptions!$B$10)^22+INDEX(Surface_Engine!$D$12:$D$72,$A442+1)))*INDEX(Surface_Engine!$B$12:$B$72,$A442+1)+H443</f>
        <v>0.0236200843341563</v>
      </c>
      <c r="I442" s="48" t="n">
        <f aca="false">E442*(IF($A442&lt;$Q$384,INDEX(Surface_Engine!$D$12:$D$72,$A442+1)+(Surface_Engine!L239*12)*INDEX(Surface_Engine!$F$12:$F$72,$A442+1)-(Surface_Engine!L239*12),1000*12*INDEX(Surface_Engine!$C$12:$C$72,$A442+1)/(1+Assumptions!$B$10)^22+INDEX(Surface_Engine!$D$12:$D$72,$A442+1)))*INDEX(Surface_Engine!$B$12:$B$72,$A442+1)+I443</f>
        <v>0.0306662986936724</v>
      </c>
      <c r="J442" s="48" t="n">
        <f aca="false">B442*(IF($A442&lt;$Q$384,INDEX(Surface_Engine!$D$12:$D$72,$A442+1)*(1+Assumptions!$B$24)+(Surface_Engine!L239*12)*INDEX(Surface_Engine!$F$12:$F$72,$A442+1)-(Surface_Engine!L239*12),1000*12*INDEX(Surface_Engine!$C$12:$C$72,$A442+1)/(1+Assumptions!$B$10)^22+INDEX(Surface_Engine!$D$12:$D$72,$A442+1)*(1+Assumptions!$B$24)))*INDEX(Surface_Engine!$B$12:$B$72,$A442+1)+J443</f>
        <v>0.0269648649383796</v>
      </c>
      <c r="K442" s="12" t="n">
        <f aca="false">SQRT((IF(C442&lt;=0,0,MAX(0,(B442/C442)*G442/INDEX(Surface_Engine!$B$12:$B$72,$A442+1)-F442/INDEX(Surface_Engine!$B$12:$B$72,$A442+1))))^2+(MAX(IF(D442&lt;=0,0,MAX(0,(B442/D442)*H442/INDEX(Surface_Engine!$B$12:$B$72,$A442+1)-F442/INDEX(Surface_Engine!$B$12:$B$72,$A442+1))),IF(E442&lt;=0,0,MAX(0,(B442/E442)*I442/INDEX(Surface_Engine!$B$12:$B$72,$A442+1)-F442/INDEX(Surface_Engine!$B$12:$B$72,$A442+1))),IF($A442&lt;$Q$384,MAX(0,-Assumptions!$B$22*(F442/INDEX(Surface_Engine!$B$12:$B$72,$A442+1))),0)))^2+(MAX(0,J442/INDEX(Surface_Engine!$B$12:$B$72,$A442+1)-(F442/INDEX(Surface_Engine!$B$12:$B$72,$A442+1))))^2+2*Assumptions!$B$26*(IF(C442&lt;=0,0,MAX(0,(B442/C442)*G442/INDEX(Surface_Engine!$B$12:$B$72,$A442+1)-F442/INDEX(Surface_Engine!$B$12:$B$72,$A442+1))))*(MAX(IF(D442&lt;=0,0,MAX(0,(B442/D442)*H442/INDEX(Surface_Engine!$B$12:$B$72,$A442+1)-F442/INDEX(Surface_Engine!$B$12:$B$72,$A442+1))),IF(E442&lt;=0,0,MAX(0,(B442/E442)*I442/INDEX(Surface_Engine!$B$12:$B$72,$A442+1)-F442/INDEX(Surface_Engine!$B$12:$B$72,$A442+1))),IF($A442&lt;$Q$384,MAX(0,-Assumptions!$B$22*(F442/INDEX(Surface_Engine!$B$12:$B$72,$A442+1))),0)))+2*Assumptions!$B$27*(IF(C442&lt;=0,0,MAX(0,(B442/C442)*G442/INDEX(Surface_Engine!$B$12:$B$72,$A442+1)-F442/INDEX(Surface_Engine!$B$12:$B$72,$A442+1))))*(MAX(0,J442/INDEX(Surface_Engine!$B$12:$B$72,$A442+1)-(F442/INDEX(Surface_Engine!$B$12:$B$72,$A442+1))))+2*Assumptions!$B$28*(MAX(IF(D442&lt;=0,0,MAX(0,(B442/D442)*H442/INDEX(Surface_Engine!$B$12:$B$72,$A442+1)-F442/INDEX(Surface_Engine!$B$12:$B$72,$A442+1))),IF(E442&lt;=0,0,MAX(0,(B442/E442)*I442/INDEX(Surface_Engine!$B$12:$B$72,$A442+1)-F442/INDEX(Surface_Engine!$B$12:$B$72,$A442+1))),IF($A442&lt;$Q$384,MAX(0,-Assumptions!$B$22*(F442/INDEX(Surface_Engine!$B$12:$B$72,$A442+1))),0)))*(MAX(0,J442/INDEX(Surface_Engine!$B$12:$B$72,$A442+1)-(F442/INDEX(Surface_Engine!$B$12:$B$72,$A442+1)))))</f>
        <v>0.0133383355443273</v>
      </c>
      <c r="L442" s="48" t="n">
        <f aca="false">K442*INDEX(Surface_Engine!$B$12:$B$72,$A442+1)+L443</f>
        <v>0.00226809082622812</v>
      </c>
      <c r="M442" s="48" t="n">
        <f aca="false">M441+B441*(IF($A441&lt;$Q$384,(Surface_Engine!L239*12)-(Surface_Engine!L239*12)*INDEX(Surface_Engine!$F$12:$F$72,$A441+1)-INDEX(Surface_Engine!$D$12:$D$72,$A441+1),-(1000*12*INDEX(Surface_Engine!$C$12:$C$72,$A441+1)/(1+Assumptions!$B$10)^22+INDEX(Surface_Engine!$D$12:$D$72,$A441+1))))*INDEX(Surface_Engine!$B$12:$B$72,$A441+1)</f>
        <v>1078.80505332853</v>
      </c>
      <c r="N442" s="12" t="n">
        <f aca="false">IF(B442&lt;=0,0,MAX(0,(K442+Assumptions!$B$29*L442/INDEX(Surface_Engine!$B$12:$B$72,$A442+1)-(M442/INDEX(Surface_Engine!$B$12:$B$72,$A442+1)-(F442/INDEX(Surface_Engine!$B$12:$B$72,$A442+1))))/B442))</f>
        <v>0</v>
      </c>
    </row>
    <row r="443" customFormat="false" ht="15" hidden="false" customHeight="true" outlineLevel="0" collapsed="false">
      <c r="A443" s="1" t="n">
        <v>57</v>
      </c>
      <c r="B443" s="32" t="n">
        <f aca="false">INDEX(Surface_Engine!$J$12:$J$72,$A443+1)*IF($A443&lt;$Q$384,INDEX(Surface_Engine!$E$12:$E$72,$A443+1),INDEX(Surface_Engine!$E$12:$E$72,$Q$384+1))</f>
        <v>1.93745939610034E-006</v>
      </c>
      <c r="C443" s="32" t="n">
        <f aca="false">INDEX(Panel_Reserving!$C$8:$C$68,$A443+1)*IF($A443&lt;$Q$384,INDEX(Surface_Engine!$E$12:$E$72,$A443+1),INDEX(Surface_Engine!$E$12:$E$72,$Q$384+1))</f>
        <v>4.82897573662375E-005</v>
      </c>
      <c r="D443" s="32" t="n">
        <f aca="false">INDEX(Surface_Engine!$J$12:$J$72,$A443+1)*IF($A443&lt;$Q$384,INDEX(Surface_Engine!$Y$12:$Y$72,$A443+1),INDEX(Surface_Engine!$Y$12:$Y$72,$Q$384+1))</f>
        <v>1.69946128095581E-006</v>
      </c>
      <c r="E443" s="32" t="n">
        <f aca="false">INDEX(Surface_Engine!$J$12:$J$72,$A443+1)*IF($A443&lt;$Q$384,INDEX(Surface_Engine!$Z$12:$Z$72,$A443+1),INDEX(Surface_Engine!$Z$12:$Z$72,$Q$384+1))</f>
        <v>2.20643527443964E-006</v>
      </c>
      <c r="F443" s="48" t="n">
        <f aca="false">B443*(IF($A443&lt;$Q$384,INDEX(Surface_Engine!$D$12:$D$72,$A443+1)+(Surface_Engine!L239*12)*INDEX(Surface_Engine!$F$12:$F$72,$A443+1)-(Surface_Engine!L239*12),1000*12*INDEX(Surface_Engine!$C$12:$C$72,$A443+1)/(1+Assumptions!$B$10)^22+INDEX(Surface_Engine!$D$12:$D$72,$A443+1)))*INDEX(Surface_Engine!$B$12:$B$72,$A443+1)+F444</f>
        <v>0.00772576880453882</v>
      </c>
      <c r="G443" s="48" t="n">
        <f aca="false">C443*(IF($A443&lt;$Q$384,INDEX(Surface_Engine!$D$12:$D$72,$A443+1)+(Surface_Engine!L239*12)*INDEX(Surface_Engine!$F$12:$F$72,$A443+1)-(Surface_Engine!L239*12),1000*12*INDEX(Surface_Engine!$C$12:$C$72,$A443+1)/(1+Assumptions!$B$10)^22+INDEX(Surface_Engine!$D$12:$D$72,$A443+1)))*INDEX(Surface_Engine!$B$12:$B$72,$A443+1)+G444</f>
        <v>0.1925591327435</v>
      </c>
      <c r="H443" s="48" t="n">
        <f aca="false">D443*(IF($A443&lt;$Q$384,INDEX(Surface_Engine!$D$12:$D$72,$A443+1)+(Surface_Engine!L239*12)*INDEX(Surface_Engine!$F$12:$F$72,$A443+1)-(Surface_Engine!L239*12),1000*12*INDEX(Surface_Engine!$C$12:$C$72,$A443+1)/(1+Assumptions!$B$10)^22+INDEX(Surface_Engine!$D$12:$D$72,$A443+1)))*INDEX(Surface_Engine!$B$12:$B$72,$A443+1)+H444</f>
        <v>0.00677673296036908</v>
      </c>
      <c r="I443" s="48" t="n">
        <f aca="false">E443*(IF($A443&lt;$Q$384,INDEX(Surface_Engine!$D$12:$D$72,$A443+1)+(Surface_Engine!L239*12)*INDEX(Surface_Engine!$F$12:$F$72,$A443+1)-(Surface_Engine!L239*12),1000*12*INDEX(Surface_Engine!$C$12:$C$72,$A443+1)/(1+Assumptions!$B$10)^22+INDEX(Surface_Engine!$D$12:$D$72,$A443+1)))*INDEX(Surface_Engine!$B$12:$B$72,$A443+1)+I444</f>
        <v>0.00879833086918381</v>
      </c>
      <c r="J443" s="48" t="n">
        <f aca="false">B443*(IF($A443&lt;$Q$384,INDEX(Surface_Engine!$D$12:$D$72,$A443+1)*(1+Assumptions!$B$24)+(Surface_Engine!L239*12)*INDEX(Surface_Engine!$F$12:$F$72,$A443+1)-(Surface_Engine!L239*12),1000*12*INDEX(Surface_Engine!$C$12:$C$72,$A443+1)/(1+Assumptions!$B$10)^22+INDEX(Surface_Engine!$D$12:$D$72,$A443+1)*(1+Assumptions!$B$24)))*INDEX(Surface_Engine!$B$12:$B$72,$A443+1)+J444</f>
        <v>0.00773640552598735</v>
      </c>
      <c r="K443" s="12" t="n">
        <f aca="false">SQRT((IF(C443&lt;=0,0,MAX(0,(B443/C443)*G443/INDEX(Surface_Engine!$B$12:$B$72,$A443+1)-F443/INDEX(Surface_Engine!$B$12:$B$72,$A443+1))))^2+(MAX(IF(D443&lt;=0,0,MAX(0,(B443/D443)*H443/INDEX(Surface_Engine!$B$12:$B$72,$A443+1)-F443/INDEX(Surface_Engine!$B$12:$B$72,$A443+1))),IF(E443&lt;=0,0,MAX(0,(B443/E443)*I443/INDEX(Surface_Engine!$B$12:$B$72,$A443+1)-F443/INDEX(Surface_Engine!$B$12:$B$72,$A443+1))),IF($A443&lt;$Q$384,MAX(0,-Assumptions!$B$22*(F443/INDEX(Surface_Engine!$B$12:$B$72,$A443+1))),0)))^2+(MAX(0,J443/INDEX(Surface_Engine!$B$12:$B$72,$A443+1)-(F443/INDEX(Surface_Engine!$B$12:$B$72,$A443+1))))^2+2*Assumptions!$B$26*(IF(C443&lt;=0,0,MAX(0,(B443/C443)*G443/INDEX(Surface_Engine!$B$12:$B$72,$A443+1)-F443/INDEX(Surface_Engine!$B$12:$B$72,$A443+1))))*(MAX(IF(D443&lt;=0,0,MAX(0,(B443/D443)*H443/INDEX(Surface_Engine!$B$12:$B$72,$A443+1)-F443/INDEX(Surface_Engine!$B$12:$B$72,$A443+1))),IF(E443&lt;=0,0,MAX(0,(B443/E443)*I443/INDEX(Surface_Engine!$B$12:$B$72,$A443+1)-F443/INDEX(Surface_Engine!$B$12:$B$72,$A443+1))),IF($A443&lt;$Q$384,MAX(0,-Assumptions!$B$22*(F443/INDEX(Surface_Engine!$B$12:$B$72,$A443+1))),0)))+2*Assumptions!$B$27*(IF(C443&lt;=0,0,MAX(0,(B443/C443)*G443/INDEX(Surface_Engine!$B$12:$B$72,$A443+1)-F443/INDEX(Surface_Engine!$B$12:$B$72,$A443+1))))*(MAX(0,J443/INDEX(Surface_Engine!$B$12:$B$72,$A443+1)-(F443/INDEX(Surface_Engine!$B$12:$B$72,$A443+1))))+2*Assumptions!$B$28*(MAX(IF(D443&lt;=0,0,MAX(0,(B443/D443)*H443/INDEX(Surface_Engine!$B$12:$B$72,$A443+1)-F443/INDEX(Surface_Engine!$B$12:$B$72,$A443+1))),IF(E443&lt;=0,0,MAX(0,(B443/E443)*I443/INDEX(Surface_Engine!$B$12:$B$72,$A443+1)-F443/INDEX(Surface_Engine!$B$12:$B$72,$A443+1))),IF($A443&lt;$Q$384,MAX(0,-Assumptions!$B$22*(F443/INDEX(Surface_Engine!$B$12:$B$72,$A443+1))),0)))*(MAX(0,J443/INDEX(Surface_Engine!$B$12:$B$72,$A443+1)-(F443/INDEX(Surface_Engine!$B$12:$B$72,$A443+1)))))</f>
        <v>6.4909279636087E-005</v>
      </c>
      <c r="L443" s="48" t="n">
        <f aca="false">K443*INDEX(Surface_Engine!$B$12:$B$72,$A443+1)+L444</f>
        <v>1.06367214485221E-005</v>
      </c>
      <c r="M443" s="48" t="n">
        <f aca="false">M442+B442*(IF($A442&lt;$Q$384,(Surface_Engine!L239*12)-(Surface_Engine!L239*12)*INDEX(Surface_Engine!$F$12:$F$72,$A442+1)-INDEX(Surface_Engine!$D$12:$D$72,$A442+1),-(1000*12*INDEX(Surface_Engine!$C$12:$C$72,$A442+1)/(1+Assumptions!$B$10)^22+INDEX(Surface_Engine!$D$12:$D$72,$A442+1))))*INDEX(Surface_Engine!$B$12:$B$72,$A442+1)</f>
        <v>1078.78585117915</v>
      </c>
      <c r="N443" s="12" t="n">
        <f aca="false">IF(B443&lt;=0,0,MAX(0,(K443+Assumptions!$B$29*L443/INDEX(Surface_Engine!$B$12:$B$72,$A443+1)-(M443/INDEX(Surface_Engine!$B$12:$B$72,$A443+1)-(F443/INDEX(Surface_Engine!$B$12:$B$72,$A443+1))))/B443))</f>
        <v>0</v>
      </c>
    </row>
    <row r="444" customFormat="false" ht="15" hidden="false" customHeight="true" outlineLevel="0" collapsed="false">
      <c r="A444" s="1" t="n">
        <v>58</v>
      </c>
      <c r="B444" s="32" t="n">
        <f aca="false">INDEX(Surface_Engine!$J$12:$J$72,$A444+1)*IF($A444&lt;$Q$384,INDEX(Surface_Engine!$E$12:$E$72,$A444+1),INDEX(Surface_Engine!$E$12:$E$72,$Q$384+1))</f>
        <v>0</v>
      </c>
      <c r="C444" s="32" t="n">
        <f aca="false">INDEX(Panel_Reserving!$C$8:$C$68,$A444+1)*IF($A444&lt;$Q$384,INDEX(Surface_Engine!$E$12:$E$72,$A444+1),INDEX(Surface_Engine!$E$12:$E$72,$Q$384+1))</f>
        <v>0</v>
      </c>
      <c r="D444" s="32" t="n">
        <f aca="false">INDEX(Surface_Engine!$J$12:$J$72,$A444+1)*IF($A444&lt;$Q$384,INDEX(Surface_Engine!$Y$12:$Y$72,$A444+1),INDEX(Surface_Engine!$Y$12:$Y$72,$Q$384+1))</f>
        <v>0</v>
      </c>
      <c r="E444" s="32" t="n">
        <f aca="false">INDEX(Surface_Engine!$J$12:$J$72,$A444+1)*IF($A444&lt;$Q$384,INDEX(Surface_Engine!$Z$12:$Z$72,$A444+1),INDEX(Surface_Engine!$Z$12:$Z$72,$Q$384+1))</f>
        <v>0</v>
      </c>
      <c r="F444" s="48" t="n">
        <f aca="false">B444*(IF($A444&lt;$Q$384,INDEX(Surface_Engine!$D$12:$D$72,$A444+1)+(Surface_Engine!L239*12)*INDEX(Surface_Engine!$F$12:$F$72,$A444+1)-(Surface_Engine!L239*12),1000*12*INDEX(Surface_Engine!$C$12:$C$72,$A444+1)/(1+Assumptions!$B$10)^22+INDEX(Surface_Engine!$D$12:$D$72,$A444+1)))*INDEX(Surface_Engine!$B$12:$B$72,$A444+1)+F445</f>
        <v>0</v>
      </c>
      <c r="G444" s="48" t="n">
        <f aca="false">C444*(IF($A444&lt;$Q$384,INDEX(Surface_Engine!$D$12:$D$72,$A444+1)+(Surface_Engine!L239*12)*INDEX(Surface_Engine!$F$12:$F$72,$A444+1)-(Surface_Engine!L239*12),1000*12*INDEX(Surface_Engine!$C$12:$C$72,$A444+1)/(1+Assumptions!$B$10)^22+INDEX(Surface_Engine!$D$12:$D$72,$A444+1)))*INDEX(Surface_Engine!$B$12:$B$72,$A444+1)+G445</f>
        <v>0</v>
      </c>
      <c r="H444" s="48" t="n">
        <f aca="false">D444*(IF($A444&lt;$Q$384,INDEX(Surface_Engine!$D$12:$D$72,$A444+1)+(Surface_Engine!L239*12)*INDEX(Surface_Engine!$F$12:$F$72,$A444+1)-(Surface_Engine!L239*12),1000*12*INDEX(Surface_Engine!$C$12:$C$72,$A444+1)/(1+Assumptions!$B$10)^22+INDEX(Surface_Engine!$D$12:$D$72,$A444+1)))*INDEX(Surface_Engine!$B$12:$B$72,$A444+1)+H445</f>
        <v>0</v>
      </c>
      <c r="I444" s="48" t="n">
        <f aca="false">E444*(IF($A444&lt;$Q$384,INDEX(Surface_Engine!$D$12:$D$72,$A444+1)+(Surface_Engine!L239*12)*INDEX(Surface_Engine!$F$12:$F$72,$A444+1)-(Surface_Engine!L239*12),1000*12*INDEX(Surface_Engine!$C$12:$C$72,$A444+1)/(1+Assumptions!$B$10)^22+INDEX(Surface_Engine!$D$12:$D$72,$A444+1)))*INDEX(Surface_Engine!$B$12:$B$72,$A444+1)+I445</f>
        <v>0</v>
      </c>
      <c r="J444" s="48" t="n">
        <f aca="false">B444*(IF($A444&lt;$Q$384,INDEX(Surface_Engine!$D$12:$D$72,$A444+1)*(1+Assumptions!$B$24)+(Surface_Engine!L239*12)*INDEX(Surface_Engine!$F$12:$F$72,$A444+1)-(Surface_Engine!L239*12),1000*12*INDEX(Surface_Engine!$C$12:$C$72,$A444+1)/(1+Assumptions!$B$10)^22+INDEX(Surface_Engine!$D$12:$D$72,$A444+1)*(1+Assumptions!$B$24)))*INDEX(Surface_Engine!$B$12:$B$72,$A444+1)+J445</f>
        <v>0</v>
      </c>
      <c r="K444" s="12" t="n">
        <f aca="false">SQRT((IF(C444&lt;=0,0,MAX(0,(B444/C444)*G444/INDEX(Surface_Engine!$B$12:$B$72,$A444+1)-F444/INDEX(Surface_Engine!$B$12:$B$72,$A444+1))))^2+(MAX(IF(D444&lt;=0,0,MAX(0,(B444/D444)*H444/INDEX(Surface_Engine!$B$12:$B$72,$A444+1)-F444/INDEX(Surface_Engine!$B$12:$B$72,$A444+1))),IF(E444&lt;=0,0,MAX(0,(B444/E444)*I444/INDEX(Surface_Engine!$B$12:$B$72,$A444+1)-F444/INDEX(Surface_Engine!$B$12:$B$72,$A444+1))),IF($A444&lt;$Q$384,MAX(0,-Assumptions!$B$22*(F444/INDEX(Surface_Engine!$B$12:$B$72,$A444+1))),0)))^2+(MAX(0,J444/INDEX(Surface_Engine!$B$12:$B$72,$A444+1)-(F444/INDEX(Surface_Engine!$B$12:$B$72,$A444+1))))^2+2*Assumptions!$B$26*(IF(C444&lt;=0,0,MAX(0,(B444/C444)*G444/INDEX(Surface_Engine!$B$12:$B$72,$A444+1)-F444/INDEX(Surface_Engine!$B$12:$B$72,$A444+1))))*(MAX(IF(D444&lt;=0,0,MAX(0,(B444/D444)*H444/INDEX(Surface_Engine!$B$12:$B$72,$A444+1)-F444/INDEX(Surface_Engine!$B$12:$B$72,$A444+1))),IF(E444&lt;=0,0,MAX(0,(B444/E444)*I444/INDEX(Surface_Engine!$B$12:$B$72,$A444+1)-F444/INDEX(Surface_Engine!$B$12:$B$72,$A444+1))),IF($A444&lt;$Q$384,MAX(0,-Assumptions!$B$22*(F444/INDEX(Surface_Engine!$B$12:$B$72,$A444+1))),0)))+2*Assumptions!$B$27*(IF(C444&lt;=0,0,MAX(0,(B444/C444)*G444/INDEX(Surface_Engine!$B$12:$B$72,$A444+1)-F444/INDEX(Surface_Engine!$B$12:$B$72,$A444+1))))*(MAX(0,J444/INDEX(Surface_Engine!$B$12:$B$72,$A444+1)-(F444/INDEX(Surface_Engine!$B$12:$B$72,$A444+1))))+2*Assumptions!$B$28*(MAX(IF(D444&lt;=0,0,MAX(0,(B444/D444)*H444/INDEX(Surface_Engine!$B$12:$B$72,$A444+1)-F444/INDEX(Surface_Engine!$B$12:$B$72,$A444+1))),IF(E444&lt;=0,0,MAX(0,(B444/E444)*I444/INDEX(Surface_Engine!$B$12:$B$72,$A444+1)-F444/INDEX(Surface_Engine!$B$12:$B$72,$A444+1))),IF($A444&lt;$Q$384,MAX(0,-Assumptions!$B$22*(F444/INDEX(Surface_Engine!$B$12:$B$72,$A444+1))),0)))*(MAX(0,J444/INDEX(Surface_Engine!$B$12:$B$72,$A444+1)-(F444/INDEX(Surface_Engine!$B$12:$B$72,$A444+1)))))</f>
        <v>0</v>
      </c>
      <c r="L444" s="48" t="n">
        <f aca="false">K444*INDEX(Surface_Engine!$B$12:$B$72,$A444+1)+L445</f>
        <v>0</v>
      </c>
      <c r="M444" s="48" t="n">
        <f aca="false">M443+B443*(IF($A443&lt;$Q$384,(Surface_Engine!L239*12)-(Surface_Engine!L239*12)*INDEX(Surface_Engine!$F$12:$F$72,$A443+1)-INDEX(Surface_Engine!$D$12:$D$72,$A443+1),-(1000*12*INDEX(Surface_Engine!$C$12:$C$72,$A443+1)/(1+Assumptions!$B$10)^22+INDEX(Surface_Engine!$D$12:$D$72,$A443+1))))*INDEX(Surface_Engine!$B$12:$B$72,$A443+1)</f>
        <v>1078.77812541035</v>
      </c>
      <c r="N444" s="12" t="n">
        <f aca="false">IF(B444&lt;=0,0,MAX(0,(K444+Assumptions!$B$29*L444/INDEX(Surface_Engine!$B$12:$B$72,$A444+1)-(M444/INDEX(Surface_Engine!$B$12:$B$72,$A444+1)-(F444/INDEX(Surface_Engine!$B$12:$B$72,$A444+1))))/B444))</f>
        <v>0</v>
      </c>
    </row>
    <row r="445" customFormat="false" ht="15" hidden="false" customHeight="true" outlineLevel="0" collapsed="false">
      <c r="A445" s="1" t="n">
        <v>59</v>
      </c>
      <c r="B445" s="32" t="n">
        <f aca="false">INDEX(Surface_Engine!$J$12:$J$72,$A445+1)*IF($A445&lt;$Q$384,INDEX(Surface_Engine!$E$12:$E$72,$A445+1),INDEX(Surface_Engine!$E$12:$E$72,$Q$384+1))</f>
        <v>0</v>
      </c>
      <c r="C445" s="32" t="n">
        <f aca="false">INDEX(Panel_Reserving!$C$8:$C$68,$A445+1)*IF($A445&lt;$Q$384,INDEX(Surface_Engine!$E$12:$E$72,$A445+1),INDEX(Surface_Engine!$E$12:$E$72,$Q$384+1))</f>
        <v>0</v>
      </c>
      <c r="D445" s="32" t="n">
        <f aca="false">INDEX(Surface_Engine!$J$12:$J$72,$A445+1)*IF($A445&lt;$Q$384,INDEX(Surface_Engine!$Y$12:$Y$72,$A445+1),INDEX(Surface_Engine!$Y$12:$Y$72,$Q$384+1))</f>
        <v>0</v>
      </c>
      <c r="E445" s="32" t="n">
        <f aca="false">INDEX(Surface_Engine!$J$12:$J$72,$A445+1)*IF($A445&lt;$Q$384,INDEX(Surface_Engine!$Z$12:$Z$72,$A445+1),INDEX(Surface_Engine!$Z$12:$Z$72,$Q$384+1))</f>
        <v>0</v>
      </c>
      <c r="F445" s="48" t="n">
        <f aca="false">B445*(IF($A445&lt;$Q$384,INDEX(Surface_Engine!$D$12:$D$72,$A445+1)+(Surface_Engine!L239*12)*INDEX(Surface_Engine!$F$12:$F$72,$A445+1)-(Surface_Engine!L239*12),1000*12*INDEX(Surface_Engine!$C$12:$C$72,$A445+1)/(1+Assumptions!$B$10)^22+INDEX(Surface_Engine!$D$12:$D$72,$A445+1)))*INDEX(Surface_Engine!$B$12:$B$72,$A445+1)+F446</f>
        <v>0</v>
      </c>
      <c r="G445" s="48" t="n">
        <f aca="false">C445*(IF($A445&lt;$Q$384,INDEX(Surface_Engine!$D$12:$D$72,$A445+1)+(Surface_Engine!L239*12)*INDEX(Surface_Engine!$F$12:$F$72,$A445+1)-(Surface_Engine!L239*12),1000*12*INDEX(Surface_Engine!$C$12:$C$72,$A445+1)/(1+Assumptions!$B$10)^22+INDEX(Surface_Engine!$D$12:$D$72,$A445+1)))*INDEX(Surface_Engine!$B$12:$B$72,$A445+1)+G446</f>
        <v>0</v>
      </c>
      <c r="H445" s="48" t="n">
        <f aca="false">D445*(IF($A445&lt;$Q$384,INDEX(Surface_Engine!$D$12:$D$72,$A445+1)+(Surface_Engine!L239*12)*INDEX(Surface_Engine!$F$12:$F$72,$A445+1)-(Surface_Engine!L239*12),1000*12*INDEX(Surface_Engine!$C$12:$C$72,$A445+1)/(1+Assumptions!$B$10)^22+INDEX(Surface_Engine!$D$12:$D$72,$A445+1)))*INDEX(Surface_Engine!$B$12:$B$72,$A445+1)+H446</f>
        <v>0</v>
      </c>
      <c r="I445" s="48" t="n">
        <f aca="false">E445*(IF($A445&lt;$Q$384,INDEX(Surface_Engine!$D$12:$D$72,$A445+1)+(Surface_Engine!L239*12)*INDEX(Surface_Engine!$F$12:$F$72,$A445+1)-(Surface_Engine!L239*12),1000*12*INDEX(Surface_Engine!$C$12:$C$72,$A445+1)/(1+Assumptions!$B$10)^22+INDEX(Surface_Engine!$D$12:$D$72,$A445+1)))*INDEX(Surface_Engine!$B$12:$B$72,$A445+1)+I446</f>
        <v>0</v>
      </c>
      <c r="J445" s="48" t="n">
        <f aca="false">B445*(IF($A445&lt;$Q$384,INDEX(Surface_Engine!$D$12:$D$72,$A445+1)*(1+Assumptions!$B$24)+(Surface_Engine!L239*12)*INDEX(Surface_Engine!$F$12:$F$72,$A445+1)-(Surface_Engine!L239*12),1000*12*INDEX(Surface_Engine!$C$12:$C$72,$A445+1)/(1+Assumptions!$B$10)^22+INDEX(Surface_Engine!$D$12:$D$72,$A445+1)*(1+Assumptions!$B$24)))*INDEX(Surface_Engine!$B$12:$B$72,$A445+1)+J446</f>
        <v>0</v>
      </c>
      <c r="K445" s="12" t="n">
        <f aca="false">SQRT((IF(C445&lt;=0,0,MAX(0,(B445/C445)*G445/INDEX(Surface_Engine!$B$12:$B$72,$A445+1)-F445/INDEX(Surface_Engine!$B$12:$B$72,$A445+1))))^2+(MAX(IF(D445&lt;=0,0,MAX(0,(B445/D445)*H445/INDEX(Surface_Engine!$B$12:$B$72,$A445+1)-F445/INDEX(Surface_Engine!$B$12:$B$72,$A445+1))),IF(E445&lt;=0,0,MAX(0,(B445/E445)*I445/INDEX(Surface_Engine!$B$12:$B$72,$A445+1)-F445/INDEX(Surface_Engine!$B$12:$B$72,$A445+1))),IF($A445&lt;$Q$384,MAX(0,-Assumptions!$B$22*(F445/INDEX(Surface_Engine!$B$12:$B$72,$A445+1))),0)))^2+(MAX(0,J445/INDEX(Surface_Engine!$B$12:$B$72,$A445+1)-(F445/INDEX(Surface_Engine!$B$12:$B$72,$A445+1))))^2+2*Assumptions!$B$26*(IF(C445&lt;=0,0,MAX(0,(B445/C445)*G445/INDEX(Surface_Engine!$B$12:$B$72,$A445+1)-F445/INDEX(Surface_Engine!$B$12:$B$72,$A445+1))))*(MAX(IF(D445&lt;=0,0,MAX(0,(B445/D445)*H445/INDEX(Surface_Engine!$B$12:$B$72,$A445+1)-F445/INDEX(Surface_Engine!$B$12:$B$72,$A445+1))),IF(E445&lt;=0,0,MAX(0,(B445/E445)*I445/INDEX(Surface_Engine!$B$12:$B$72,$A445+1)-F445/INDEX(Surface_Engine!$B$12:$B$72,$A445+1))),IF($A445&lt;$Q$384,MAX(0,-Assumptions!$B$22*(F445/INDEX(Surface_Engine!$B$12:$B$72,$A445+1))),0)))+2*Assumptions!$B$27*(IF(C445&lt;=0,0,MAX(0,(B445/C445)*G445/INDEX(Surface_Engine!$B$12:$B$72,$A445+1)-F445/INDEX(Surface_Engine!$B$12:$B$72,$A445+1))))*(MAX(0,J445/INDEX(Surface_Engine!$B$12:$B$72,$A445+1)-(F445/INDEX(Surface_Engine!$B$12:$B$72,$A445+1))))+2*Assumptions!$B$28*(MAX(IF(D445&lt;=0,0,MAX(0,(B445/D445)*H445/INDEX(Surface_Engine!$B$12:$B$72,$A445+1)-F445/INDEX(Surface_Engine!$B$12:$B$72,$A445+1))),IF(E445&lt;=0,0,MAX(0,(B445/E445)*I445/INDEX(Surface_Engine!$B$12:$B$72,$A445+1)-F445/INDEX(Surface_Engine!$B$12:$B$72,$A445+1))),IF($A445&lt;$Q$384,MAX(0,-Assumptions!$B$22*(F445/INDEX(Surface_Engine!$B$12:$B$72,$A445+1))),0)))*(MAX(0,J445/INDEX(Surface_Engine!$B$12:$B$72,$A445+1)-(F445/INDEX(Surface_Engine!$B$12:$B$72,$A445+1)))))</f>
        <v>0</v>
      </c>
      <c r="L445" s="48" t="n">
        <f aca="false">K445*INDEX(Surface_Engine!$B$12:$B$72,$A445+1)+L446</f>
        <v>0</v>
      </c>
      <c r="M445" s="48" t="n">
        <f aca="false">M444+B444*(IF($A444&lt;$Q$384,(Surface_Engine!L239*12)-(Surface_Engine!L239*12)*INDEX(Surface_Engine!$F$12:$F$72,$A444+1)-INDEX(Surface_Engine!$D$12:$D$72,$A444+1),-(1000*12*INDEX(Surface_Engine!$C$12:$C$72,$A444+1)/(1+Assumptions!$B$10)^22+INDEX(Surface_Engine!$D$12:$D$72,$A444+1))))*INDEX(Surface_Engine!$B$12:$B$72,$A444+1)</f>
        <v>1078.77812541035</v>
      </c>
      <c r="N445" s="12" t="n">
        <f aca="false">IF(B445&lt;=0,0,MAX(0,(K445+Assumptions!$B$29*L445/INDEX(Surface_Engine!$B$12:$B$72,$A445+1)-(M445/INDEX(Surface_Engine!$B$12:$B$72,$A445+1)-(F445/INDEX(Surface_Engine!$B$12:$B$72,$A445+1))))/B445))</f>
        <v>0</v>
      </c>
    </row>
    <row r="446" customFormat="false" ht="15" hidden="false" customHeight="true" outlineLevel="0" collapsed="false">
      <c r="A446" s="1" t="n">
        <v>60</v>
      </c>
      <c r="B446" s="32" t="n">
        <f aca="false">INDEX(Surface_Engine!$J$12:$J$72,$A446+1)*IF($A446&lt;$Q$384,INDEX(Surface_Engine!$E$12:$E$72,$A446+1),INDEX(Surface_Engine!$E$12:$E$72,$Q$384+1))</f>
        <v>0</v>
      </c>
      <c r="C446" s="32" t="n">
        <f aca="false">INDEX(Panel_Reserving!$C$8:$C$68,$A446+1)*IF($A446&lt;$Q$384,INDEX(Surface_Engine!$E$12:$E$72,$A446+1),INDEX(Surface_Engine!$E$12:$E$72,$Q$384+1))</f>
        <v>0</v>
      </c>
      <c r="D446" s="32" t="n">
        <f aca="false">INDEX(Surface_Engine!$J$12:$J$72,$A446+1)*IF($A446&lt;$Q$384,INDEX(Surface_Engine!$Y$12:$Y$72,$A446+1),INDEX(Surface_Engine!$Y$12:$Y$72,$Q$384+1))</f>
        <v>0</v>
      </c>
      <c r="E446" s="32" t="n">
        <f aca="false">INDEX(Surface_Engine!$J$12:$J$72,$A446+1)*IF($A446&lt;$Q$384,INDEX(Surface_Engine!$Z$12:$Z$72,$A446+1),INDEX(Surface_Engine!$Z$12:$Z$72,$Q$384+1))</f>
        <v>0</v>
      </c>
      <c r="F446" s="48" t="n">
        <f aca="false">B446*(IF($A446&lt;$Q$384,INDEX(Surface_Engine!$D$12:$D$72,$A446+1)+(Surface_Engine!L239*12)*INDEX(Surface_Engine!$F$12:$F$72,$A446+1)-(Surface_Engine!L239*12),1000*12*INDEX(Surface_Engine!$C$12:$C$72,$A446+1)/(1+Assumptions!$B$10)^22+INDEX(Surface_Engine!$D$12:$D$72,$A446+1)))*INDEX(Surface_Engine!$B$12:$B$72,$A446+1)</f>
        <v>0</v>
      </c>
      <c r="G446" s="48" t="n">
        <f aca="false">C446*(IF($A446&lt;$Q$384,INDEX(Surface_Engine!$D$12:$D$72,$A446+1)+(Surface_Engine!L239*12)*INDEX(Surface_Engine!$F$12:$F$72,$A446+1)-(Surface_Engine!L239*12),1000*12*INDEX(Surface_Engine!$C$12:$C$72,$A446+1)/(1+Assumptions!$B$10)^22+INDEX(Surface_Engine!$D$12:$D$72,$A446+1)))*INDEX(Surface_Engine!$B$12:$B$72,$A446+1)</f>
        <v>0</v>
      </c>
      <c r="H446" s="48" t="n">
        <f aca="false">D446*(IF($A446&lt;$Q$384,INDEX(Surface_Engine!$D$12:$D$72,$A446+1)+(Surface_Engine!L239*12)*INDEX(Surface_Engine!$F$12:$F$72,$A446+1)-(Surface_Engine!L239*12),1000*12*INDEX(Surface_Engine!$C$12:$C$72,$A446+1)/(1+Assumptions!$B$10)^22+INDEX(Surface_Engine!$D$12:$D$72,$A446+1)))*INDEX(Surface_Engine!$B$12:$B$72,$A446+1)</f>
        <v>0</v>
      </c>
      <c r="I446" s="48" t="n">
        <f aca="false">E446*(IF($A446&lt;$Q$384,INDEX(Surface_Engine!$D$12:$D$72,$A446+1)+(Surface_Engine!L239*12)*INDEX(Surface_Engine!$F$12:$F$72,$A446+1)-(Surface_Engine!L239*12),1000*12*INDEX(Surface_Engine!$C$12:$C$72,$A446+1)/(1+Assumptions!$B$10)^22+INDEX(Surface_Engine!$D$12:$D$72,$A446+1)))*INDEX(Surface_Engine!$B$12:$B$72,$A446+1)</f>
        <v>0</v>
      </c>
      <c r="J446" s="48" t="n">
        <f aca="false">B446*(IF($A446&lt;$Q$384,INDEX(Surface_Engine!$D$12:$D$72,$A446+1)*(1+Assumptions!$B$24)+(Surface_Engine!L239*12)*INDEX(Surface_Engine!$F$12:$F$72,$A446+1)-(Surface_Engine!L239*12),1000*12*INDEX(Surface_Engine!$C$12:$C$72,$A446+1)/(1+Assumptions!$B$10)^22+INDEX(Surface_Engine!$D$12:$D$72,$A446+1)*(1+Assumptions!$B$24)))*INDEX(Surface_Engine!$B$12:$B$72,$A446+1)</f>
        <v>0</v>
      </c>
      <c r="K446" s="12" t="n">
        <f aca="false">SQRT((IF(C446&lt;=0,0,MAX(0,(B446/C446)*G446/INDEX(Surface_Engine!$B$12:$B$72,$A446+1)-F446/INDEX(Surface_Engine!$B$12:$B$72,$A446+1))))^2+(MAX(IF(D446&lt;=0,0,MAX(0,(B446/D446)*H446/INDEX(Surface_Engine!$B$12:$B$72,$A446+1)-F446/INDEX(Surface_Engine!$B$12:$B$72,$A446+1))),IF(E446&lt;=0,0,MAX(0,(B446/E446)*I446/INDEX(Surface_Engine!$B$12:$B$72,$A446+1)-F446/INDEX(Surface_Engine!$B$12:$B$72,$A446+1))),IF($A446&lt;$Q$384,MAX(0,-Assumptions!$B$22*(F446/INDEX(Surface_Engine!$B$12:$B$72,$A446+1))),0)))^2+(MAX(0,J446/INDEX(Surface_Engine!$B$12:$B$72,$A446+1)-(F446/INDEX(Surface_Engine!$B$12:$B$72,$A446+1))))^2+2*Assumptions!$B$26*(IF(C446&lt;=0,0,MAX(0,(B446/C446)*G446/INDEX(Surface_Engine!$B$12:$B$72,$A446+1)-F446/INDEX(Surface_Engine!$B$12:$B$72,$A446+1))))*(MAX(IF(D446&lt;=0,0,MAX(0,(B446/D446)*H446/INDEX(Surface_Engine!$B$12:$B$72,$A446+1)-F446/INDEX(Surface_Engine!$B$12:$B$72,$A446+1))),IF(E446&lt;=0,0,MAX(0,(B446/E446)*I446/INDEX(Surface_Engine!$B$12:$B$72,$A446+1)-F446/INDEX(Surface_Engine!$B$12:$B$72,$A446+1))),IF($A446&lt;$Q$384,MAX(0,-Assumptions!$B$22*(F446/INDEX(Surface_Engine!$B$12:$B$72,$A446+1))),0)))+2*Assumptions!$B$27*(IF(C446&lt;=0,0,MAX(0,(B446/C446)*G446/INDEX(Surface_Engine!$B$12:$B$72,$A446+1)-F446/INDEX(Surface_Engine!$B$12:$B$72,$A446+1))))*(MAX(0,J446/INDEX(Surface_Engine!$B$12:$B$72,$A446+1)-(F446/INDEX(Surface_Engine!$B$12:$B$72,$A446+1))))+2*Assumptions!$B$28*(MAX(IF(D446&lt;=0,0,MAX(0,(B446/D446)*H446/INDEX(Surface_Engine!$B$12:$B$72,$A446+1)-F446/INDEX(Surface_Engine!$B$12:$B$72,$A446+1))),IF(E446&lt;=0,0,MAX(0,(B446/E446)*I446/INDEX(Surface_Engine!$B$12:$B$72,$A446+1)-F446/INDEX(Surface_Engine!$B$12:$B$72,$A446+1))),IF($A446&lt;$Q$384,MAX(0,-Assumptions!$B$22*(F446/INDEX(Surface_Engine!$B$12:$B$72,$A446+1))),0)))*(MAX(0,J446/INDEX(Surface_Engine!$B$12:$B$72,$A446+1)-(F446/INDEX(Surface_Engine!$B$12:$B$72,$A446+1)))))</f>
        <v>0</v>
      </c>
      <c r="L446" s="48" t="n">
        <f aca="false">K446*INDEX(Surface_Engine!$B$12:$B$72,$A446+1)</f>
        <v>0</v>
      </c>
      <c r="M446" s="48" t="n">
        <f aca="false">M445+B445*(IF($A445&lt;$Q$384,(Surface_Engine!L239*12)-(Surface_Engine!L239*12)*INDEX(Surface_Engine!$F$12:$F$72,$A445+1)-INDEX(Surface_Engine!$D$12:$D$72,$A445+1),-(1000*12*INDEX(Surface_Engine!$C$12:$C$72,$A445+1)/(1+Assumptions!$B$10)^22+INDEX(Surface_Engine!$D$12:$D$72,$A445+1))))*INDEX(Surface_Engine!$B$12:$B$72,$A445+1)</f>
        <v>1078.77812541035</v>
      </c>
      <c r="N446" s="12" t="n">
        <f aca="false">IF(B446&lt;=0,0,MAX(0,(K446+Assumptions!$B$29*L446/INDEX(Surface_Engine!$B$12:$B$72,$A446+1)-(M446/INDEX(Surface_Engine!$B$12:$B$72,$A446+1)-(F446/INDEX(Surface_Engine!$B$12:$B$72,$A446+1))))/B446))</f>
        <v>0</v>
      </c>
    </row>
    <row r="447" customFormat="false" ht="15" hidden="false" customHeight="true" outlineLevel="0" collapsed="false">
      <c r="A447" s="4" t="str">
        <f aca="false">"entry "&amp;O447&amp;" / vesting "&amp;P447&amp;"   deferral "&amp;Q447</f>
        <v>entry 63 / vesting 90   deferral 27</v>
      </c>
      <c r="C447" s="49" t="n">
        <f aca="false">MAX(N386:N446)</f>
        <v>18322.3605550484</v>
      </c>
      <c r="E447" s="7" t="s">
        <v>1634</v>
      </c>
      <c r="G447" s="21" t="n">
        <f aca="false">INDEX(A386:A446,MATCH(C447,N386:N446,0))</f>
        <v>16</v>
      </c>
      <c r="J447" s="7" t="s">
        <v>1624</v>
      </c>
      <c r="K447" s="50" t="n">
        <f aca="false">Surface_Engine!Q239</f>
        <v>95.8697604780185</v>
      </c>
      <c r="O447" s="1" t="n">
        <f aca="false">A1715</f>
        <v>63</v>
      </c>
      <c r="P447" s="76" t="n">
        <f aca="false">E$1713</f>
        <v>90</v>
      </c>
      <c r="Q447" s="1" t="n">
        <f aca="false">P447-O447</f>
        <v>27</v>
      </c>
    </row>
    <row r="448" customFormat="false" ht="15" hidden="false" customHeight="true" outlineLevel="0" collapsed="false">
      <c r="A448" s="8" t="s">
        <v>802</v>
      </c>
      <c r="B448" s="8" t="s">
        <v>1584</v>
      </c>
      <c r="C448" s="8" t="s">
        <v>1585</v>
      </c>
      <c r="D448" s="8" t="s">
        <v>1587</v>
      </c>
      <c r="E448" s="8" t="s">
        <v>1588</v>
      </c>
      <c r="F448" s="8" t="s">
        <v>1625</v>
      </c>
      <c r="G448" s="8" t="s">
        <v>1626</v>
      </c>
      <c r="H448" s="8" t="s">
        <v>1627</v>
      </c>
      <c r="I448" s="8" t="s">
        <v>1628</v>
      </c>
      <c r="J448" s="8" t="s">
        <v>1629</v>
      </c>
      <c r="K448" s="8" t="s">
        <v>812</v>
      </c>
      <c r="L448" s="8" t="s">
        <v>1630</v>
      </c>
      <c r="M448" s="8" t="s">
        <v>341</v>
      </c>
      <c r="N448" s="8" t="s">
        <v>1631</v>
      </c>
      <c r="O448" s="1" t="s">
        <v>1544</v>
      </c>
      <c r="P448" s="1" t="s">
        <v>1632</v>
      </c>
      <c r="Q448" s="1" t="s">
        <v>1633</v>
      </c>
    </row>
    <row r="449" customFormat="false" ht="15" hidden="false" customHeight="true" outlineLevel="0" collapsed="false">
      <c r="A449" s="1" t="n">
        <v>0</v>
      </c>
      <c r="B449" s="32" t="n">
        <f aca="false">INDEX(Surface_Engine!$J$12:$J$72,$A449+1)*IF($A449&lt;$Q$447,INDEX(Surface_Engine!$E$12:$E$72,$A449+1),INDEX(Surface_Engine!$E$12:$E$72,$Q$447+1))</f>
        <v>1</v>
      </c>
      <c r="C449" s="32" t="n">
        <f aca="false">INDEX(Panel_Reserving!$C$8:$C$68,$A449+1)*IF($A449&lt;$Q$447,INDEX(Surface_Engine!$E$12:$E$72,$A449+1),INDEX(Surface_Engine!$E$12:$E$72,$Q$447+1))</f>
        <v>1</v>
      </c>
      <c r="D449" s="32" t="n">
        <f aca="false">INDEX(Surface_Engine!$J$12:$J$72,$A449+1)*IF($A449&lt;$Q$447,INDEX(Surface_Engine!$Y$12:$Y$72,$A449+1),INDEX(Surface_Engine!$Y$12:$Y$72,$Q$447+1))</f>
        <v>1</v>
      </c>
      <c r="E449" s="32" t="n">
        <f aca="false">INDEX(Surface_Engine!$J$12:$J$72,$A449+1)*IF($A449&lt;$Q$447,INDEX(Surface_Engine!$Z$12:$Z$72,$A449+1),INDEX(Surface_Engine!$Z$12:$Z$72,$Q$447+1))</f>
        <v>1</v>
      </c>
      <c r="F449" s="48" t="n">
        <f aca="false">B449*(IF($A449&lt;$Q$447,INDEX(Surface_Engine!$D$12:$D$72,$A449+1)+(Surface_Engine!Q239*12)*INDEX(Surface_Engine!$F$12:$F$72,$A449+1)-(Surface_Engine!Q239*12),1000*12*INDEX(Surface_Engine!$C$12:$C$72,$A449+1)/(1+Assumptions!$B$10)^27+INDEX(Surface_Engine!$D$12:$D$72,$A449+1)))*INDEX(Surface_Engine!$B$12:$B$72,$A449+1)+F450</f>
        <v>-498.768967653447</v>
      </c>
      <c r="G449" s="48" t="n">
        <f aca="false">C449*(IF($A449&lt;$Q$447,INDEX(Surface_Engine!$D$12:$D$72,$A449+1)+(Surface_Engine!Q239*12)*INDEX(Surface_Engine!$F$12:$F$72,$A449+1)-(Surface_Engine!Q239*12),1000*12*INDEX(Surface_Engine!$C$12:$C$72,$A449+1)/(1+Assumptions!$B$10)^27+INDEX(Surface_Engine!$D$12:$D$72,$A449+1)))*INDEX(Surface_Engine!$B$12:$B$72,$A449+1)+G450</f>
        <v>3413.18090465924</v>
      </c>
      <c r="H449" s="48" t="n">
        <f aca="false">D449*(IF($A449&lt;$Q$447,INDEX(Surface_Engine!$D$12:$D$72,$A449+1)+(Surface_Engine!Q239*12)*INDEX(Surface_Engine!$F$12:$F$72,$A449+1)-(Surface_Engine!Q239*12),1000*12*INDEX(Surface_Engine!$C$12:$C$72,$A449+1)/(1+Assumptions!$B$10)^27+INDEX(Surface_Engine!$D$12:$D$72,$A449+1)))*INDEX(Surface_Engine!$B$12:$B$72,$A449+1)+H450</f>
        <v>-1361.07973601143</v>
      </c>
      <c r="I449" s="48" t="n">
        <f aca="false">E449*(IF($A449&lt;$Q$447,INDEX(Surface_Engine!$D$12:$D$72,$A449+1)+(Surface_Engine!Q239*12)*INDEX(Surface_Engine!$F$12:$F$72,$A449+1)-(Surface_Engine!Q239*12),1000*12*INDEX(Surface_Engine!$C$12:$C$72,$A449+1)/(1+Assumptions!$B$10)^27+INDEX(Surface_Engine!$D$12:$D$72,$A449+1)))*INDEX(Surface_Engine!$B$12:$B$72,$A449+1)+I450</f>
        <v>569.831568642629</v>
      </c>
      <c r="J449" s="48" t="n">
        <f aca="false">B449*(IF($A449&lt;$Q$447,INDEX(Surface_Engine!$D$12:$D$72,$A449+1)*(1+Assumptions!$B$24)+(Surface_Engine!Q239*12)*INDEX(Surface_Engine!$F$12:$F$72,$A449+1)-(Surface_Engine!Q239*12),1000*12*INDEX(Surface_Engine!$C$12:$C$72,$A449+1)/(1+Assumptions!$B$10)^27+INDEX(Surface_Engine!$D$12:$D$72,$A449+1)*(1+Assumptions!$B$24)))*INDEX(Surface_Engine!$B$12:$B$72,$A449+1)+J450</f>
        <v>-329.2418486054</v>
      </c>
      <c r="K449" s="12" t="n">
        <f aca="false">SQRT((IF(C449&lt;=0,0,MAX(0,(B449/C449)*G449/INDEX(Surface_Engine!$B$12:$B$72,$A449+1)-F449/INDEX(Surface_Engine!$B$12:$B$72,$A449+1))))^2+(MAX(IF(D449&lt;=0,0,MAX(0,(B449/D449)*H449/INDEX(Surface_Engine!$B$12:$B$72,$A449+1)-F449/INDEX(Surface_Engine!$B$12:$B$72,$A449+1))),IF(E449&lt;=0,0,MAX(0,(B449/E449)*I449/INDEX(Surface_Engine!$B$12:$B$72,$A449+1)-F449/INDEX(Surface_Engine!$B$12:$B$72,$A449+1))),IF($A449&lt;$Q$447,MAX(0,-Assumptions!$B$22*(F449/INDEX(Surface_Engine!$B$12:$B$72,$A449+1))),0)))^2+(MAX(0,J449/INDEX(Surface_Engine!$B$12:$B$72,$A449+1)-(F449/INDEX(Surface_Engine!$B$12:$B$72,$A449+1))))^2+2*Assumptions!$B$26*(IF(C449&lt;=0,0,MAX(0,(B449/C449)*G449/INDEX(Surface_Engine!$B$12:$B$72,$A449+1)-F449/INDEX(Surface_Engine!$B$12:$B$72,$A449+1))))*(MAX(IF(D449&lt;=0,0,MAX(0,(B449/D449)*H449/INDEX(Surface_Engine!$B$12:$B$72,$A449+1)-F449/INDEX(Surface_Engine!$B$12:$B$72,$A449+1))),IF(E449&lt;=0,0,MAX(0,(B449/E449)*I449/INDEX(Surface_Engine!$B$12:$B$72,$A449+1)-F449/INDEX(Surface_Engine!$B$12:$B$72,$A449+1))),IF($A449&lt;$Q$447,MAX(0,-Assumptions!$B$22*(F449/INDEX(Surface_Engine!$B$12:$B$72,$A449+1))),0)))+2*Assumptions!$B$27*(IF(C449&lt;=0,0,MAX(0,(B449/C449)*G449/INDEX(Surface_Engine!$B$12:$B$72,$A449+1)-F449/INDEX(Surface_Engine!$B$12:$B$72,$A449+1))))*(MAX(0,J449/INDEX(Surface_Engine!$B$12:$B$72,$A449+1)-(F449/INDEX(Surface_Engine!$B$12:$B$72,$A449+1))))+2*Assumptions!$B$28*(MAX(IF(D449&lt;=0,0,MAX(0,(B449/D449)*H449/INDEX(Surface_Engine!$B$12:$B$72,$A449+1)-F449/INDEX(Surface_Engine!$B$12:$B$72,$A449+1))),IF(E449&lt;=0,0,MAX(0,(B449/E449)*I449/INDEX(Surface_Engine!$B$12:$B$72,$A449+1)-F449/INDEX(Surface_Engine!$B$12:$B$72,$A449+1))),IF($A449&lt;$Q$447,MAX(0,-Assumptions!$B$22*(F449/INDEX(Surface_Engine!$B$12:$B$72,$A449+1))),0)))*(MAX(0,J449/INDEX(Surface_Engine!$B$12:$B$72,$A449+1)-(F449/INDEX(Surface_Engine!$B$12:$B$72,$A449+1)))))</f>
        <v>4367.71127545066</v>
      </c>
      <c r="L449" s="48" t="n">
        <f aca="false">K449*INDEX(Surface_Engine!$B$12:$B$72,$A449+1)+L450</f>
        <v>113533.47510925</v>
      </c>
      <c r="M449" s="48" t="n">
        <v>0</v>
      </c>
      <c r="N449" s="12" t="n">
        <f aca="false">IF(B449&lt;=0,0,MAX(0,(K449+Assumptions!$B$29*L449/INDEX(Surface_Engine!$B$12:$B$72,$A449+1)-(M449/INDEX(Surface_Engine!$B$12:$B$72,$A449+1)-(F449/INDEX(Surface_Engine!$B$12:$B$72,$A449+1))))/B449))</f>
        <v>10680.9508143522</v>
      </c>
    </row>
    <row r="450" customFormat="false" ht="15" hidden="false" customHeight="true" outlineLevel="0" collapsed="false">
      <c r="A450" s="1" t="n">
        <v>1</v>
      </c>
      <c r="B450" s="32" t="n">
        <f aca="false">INDEX(Surface_Engine!$J$12:$J$72,$A450+1)*IF($A450&lt;$Q$447,INDEX(Surface_Engine!$E$12:$E$72,$A450+1),INDEX(Surface_Engine!$E$12:$E$72,$Q$447+1))</f>
        <v>0.955579876255788</v>
      </c>
      <c r="C450" s="32" t="n">
        <f aca="false">INDEX(Panel_Reserving!$C$8:$C$68,$A450+1)*IF($A450&lt;$Q$447,INDEX(Surface_Engine!$E$12:$E$72,$A450+1),INDEX(Surface_Engine!$E$12:$E$72,$Q$447+1))</f>
        <v>0.95634390100463</v>
      </c>
      <c r="D450" s="32" t="n">
        <f aca="false">INDEX(Surface_Engine!$J$12:$J$72,$A450+1)*IF($A450&lt;$Q$447,INDEX(Surface_Engine!$Y$12:$Y$72,$A450+1),INDEX(Surface_Engine!$Y$12:$Y$72,$Q$447+1))</f>
        <v>0.935360706474682</v>
      </c>
      <c r="E450" s="32" t="n">
        <f aca="false">INDEX(Surface_Engine!$J$12:$J$72,$A450+1)*IF($A450&lt;$Q$447,INDEX(Surface_Engine!$Z$12:$Z$72,$A450+1),INDEX(Surface_Engine!$Z$12:$Z$72,$Q$447+1))</f>
        <v>0.975799046036893</v>
      </c>
      <c r="F450" s="48" t="n">
        <f aca="false">B450*(IF($A450&lt;$Q$447,INDEX(Surface_Engine!$D$12:$D$72,$A450+1)+(Surface_Engine!Q239*12)*INDEX(Surface_Engine!$F$12:$F$72,$A450+1)-(Surface_Engine!Q239*12),1000*12*INDEX(Surface_Engine!$C$12:$C$72,$A450+1)/(1+Assumptions!$B$10)^27+INDEX(Surface_Engine!$D$12:$D$72,$A450+1)))*INDEX(Surface_Engine!$B$12:$B$72,$A450+1)+F451</f>
        <v>-580.768967653447</v>
      </c>
      <c r="G450" s="48" t="n">
        <f aca="false">C450*(IF($A450&lt;$Q$447,INDEX(Surface_Engine!$D$12:$D$72,$A450+1)+(Surface_Engine!Q239*12)*INDEX(Surface_Engine!$F$12:$F$72,$A450+1)-(Surface_Engine!Q239*12),1000*12*INDEX(Surface_Engine!$C$12:$C$72,$A450+1)/(1+Assumptions!$B$10)^27+INDEX(Surface_Engine!$D$12:$D$72,$A450+1)))*INDEX(Surface_Engine!$B$12:$B$72,$A450+1)+G451</f>
        <v>3331.18090465924</v>
      </c>
      <c r="H450" s="48" t="n">
        <f aca="false">D450*(IF($A450&lt;$Q$447,INDEX(Surface_Engine!$D$12:$D$72,$A450+1)+(Surface_Engine!Q239*12)*INDEX(Surface_Engine!$F$12:$F$72,$A450+1)-(Surface_Engine!Q239*12),1000*12*INDEX(Surface_Engine!$C$12:$C$72,$A450+1)/(1+Assumptions!$B$10)^27+INDEX(Surface_Engine!$D$12:$D$72,$A450+1)))*INDEX(Surface_Engine!$B$12:$B$72,$A450+1)+H451</f>
        <v>-1443.07973601143</v>
      </c>
      <c r="I450" s="48" t="n">
        <f aca="false">E450*(IF($A450&lt;$Q$447,INDEX(Surface_Engine!$D$12:$D$72,$A450+1)+(Surface_Engine!Q239*12)*INDEX(Surface_Engine!$F$12:$F$72,$A450+1)-(Surface_Engine!Q239*12),1000*12*INDEX(Surface_Engine!$C$12:$C$72,$A450+1)/(1+Assumptions!$B$10)^27+INDEX(Surface_Engine!$D$12:$D$72,$A450+1)))*INDEX(Surface_Engine!$B$12:$B$72,$A450+1)+I451</f>
        <v>487.831568642629</v>
      </c>
      <c r="J450" s="48" t="n">
        <f aca="false">B450*(IF($A450&lt;$Q$447,INDEX(Surface_Engine!$D$12:$D$72,$A450+1)*(1+Assumptions!$B$24)+(Surface_Engine!Q239*12)*INDEX(Surface_Engine!$F$12:$F$72,$A450+1)-(Surface_Engine!Q239*12),1000*12*INDEX(Surface_Engine!$C$12:$C$72,$A450+1)/(1+Assumptions!$B$10)^27+INDEX(Surface_Engine!$D$12:$D$72,$A450+1)*(1+Assumptions!$B$24)))*INDEX(Surface_Engine!$B$12:$B$72,$A450+1)+J451</f>
        <v>-419.4418486054</v>
      </c>
      <c r="K450" s="12" t="n">
        <f aca="false">SQRT((IF(C450&lt;=0,0,MAX(0,(B450/C450)*G450/INDEX(Surface_Engine!$B$12:$B$72,$A450+1)-F450/INDEX(Surface_Engine!$B$12:$B$72,$A450+1))))^2+(MAX(IF(D450&lt;=0,0,MAX(0,(B450/D450)*H450/INDEX(Surface_Engine!$B$12:$B$72,$A450+1)-F450/INDEX(Surface_Engine!$B$12:$B$72,$A450+1))),IF(E450&lt;=0,0,MAX(0,(B450/E450)*I450/INDEX(Surface_Engine!$B$12:$B$72,$A450+1)-F450/INDEX(Surface_Engine!$B$12:$B$72,$A450+1))),IF($A450&lt;$Q$447,MAX(0,-Assumptions!$B$22*(F450/INDEX(Surface_Engine!$B$12:$B$72,$A450+1))),0)))^2+(MAX(0,J450/INDEX(Surface_Engine!$B$12:$B$72,$A450+1)-(F450/INDEX(Surface_Engine!$B$12:$B$72,$A450+1))))^2+2*Assumptions!$B$26*(IF(C450&lt;=0,0,MAX(0,(B450/C450)*G450/INDEX(Surface_Engine!$B$12:$B$72,$A450+1)-F450/INDEX(Surface_Engine!$B$12:$B$72,$A450+1))))*(MAX(IF(D450&lt;=0,0,MAX(0,(B450/D450)*H450/INDEX(Surface_Engine!$B$12:$B$72,$A450+1)-F450/INDEX(Surface_Engine!$B$12:$B$72,$A450+1))),IF(E450&lt;=0,0,MAX(0,(B450/E450)*I450/INDEX(Surface_Engine!$B$12:$B$72,$A450+1)-F450/INDEX(Surface_Engine!$B$12:$B$72,$A450+1))),IF($A450&lt;$Q$447,MAX(0,-Assumptions!$B$22*(F450/INDEX(Surface_Engine!$B$12:$B$72,$A450+1))),0)))+2*Assumptions!$B$27*(IF(C450&lt;=0,0,MAX(0,(B450/C450)*G450/INDEX(Surface_Engine!$B$12:$B$72,$A450+1)-F450/INDEX(Surface_Engine!$B$12:$B$72,$A450+1))))*(MAX(0,J450/INDEX(Surface_Engine!$B$12:$B$72,$A450+1)-(F450/INDEX(Surface_Engine!$B$12:$B$72,$A450+1))))+2*Assumptions!$B$28*(MAX(IF(D450&lt;=0,0,MAX(0,(B450/D450)*H450/INDEX(Surface_Engine!$B$12:$B$72,$A450+1)-F450/INDEX(Surface_Engine!$B$12:$B$72,$A450+1))),IF(E450&lt;=0,0,MAX(0,(B450/E450)*I450/INDEX(Surface_Engine!$B$12:$B$72,$A450+1)-F450/INDEX(Surface_Engine!$B$12:$B$72,$A450+1))),IF($A450&lt;$Q$447,MAX(0,-Assumptions!$B$22*(F450/INDEX(Surface_Engine!$B$12:$B$72,$A450+1))),0)))*(MAX(0,J450/INDEX(Surface_Engine!$B$12:$B$72,$A450+1)-(F450/INDEX(Surface_Engine!$B$12:$B$72,$A450+1)))))</f>
        <v>4470.178063819</v>
      </c>
      <c r="L450" s="48" t="n">
        <f aca="false">K450*INDEX(Surface_Engine!$B$12:$B$72,$A450+1)+L451</f>
        <v>109165.763833799</v>
      </c>
      <c r="M450" s="48" t="n">
        <f aca="false">M449+B449*(IF($A449&lt;$Q$447,(Surface_Engine!Q239*12)-(Surface_Engine!Q239*12)*INDEX(Surface_Engine!$F$12:$F$72,$A449+1)-INDEX(Surface_Engine!$D$12:$D$72,$A449+1),-(1000*12*INDEX(Surface_Engine!$C$12:$C$72,$A449+1)/(1+Assumptions!$B$10)^27+INDEX(Surface_Engine!$D$12:$D$72,$A449+1))))*INDEX(Surface_Engine!$B$12:$B$72,$A449+1)</f>
        <v>-82</v>
      </c>
      <c r="N450" s="12" t="n">
        <f aca="false">IF(B450&lt;=0,0,MAX(0,(K450+Assumptions!$B$29*L450/INDEX(Surface_Engine!$B$12:$B$72,$A450+1)-(M450/INDEX(Surface_Engine!$B$12:$B$72,$A450+1)-(F450/INDEX(Surface_Engine!$B$12:$B$72,$A450+1))))/B450))</f>
        <v>11174.8308465658</v>
      </c>
    </row>
    <row r="451" customFormat="false" ht="15" hidden="false" customHeight="true" outlineLevel="0" collapsed="false">
      <c r="A451" s="1" t="n">
        <v>2</v>
      </c>
      <c r="B451" s="32" t="n">
        <f aca="false">INDEX(Surface_Engine!$J$12:$J$72,$A451+1)*IF($A451&lt;$Q$447,INDEX(Surface_Engine!$E$12:$E$72,$A451+1),INDEX(Surface_Engine!$E$12:$E$72,$Q$447+1))</f>
        <v>0.930804150629766</v>
      </c>
      <c r="C451" s="32" t="n">
        <f aca="false">INDEX(Panel_Reserving!$C$8:$C$68,$A451+1)*IF($A451&lt;$Q$447,INDEX(Surface_Engine!$E$12:$E$72,$A451+1),INDEX(Surface_Engine!$E$12:$E$72,$Q$447+1))</f>
        <v>0.93235694061792</v>
      </c>
      <c r="D451" s="32" t="n">
        <f aca="false">INDEX(Surface_Engine!$J$12:$J$72,$A451+1)*IF($A451&lt;$Q$447,INDEX(Surface_Engine!$Y$12:$Y$72,$A451+1),INDEX(Surface_Engine!$Y$12:$Y$72,$Q$447+1))</f>
        <v>0.901004402547142</v>
      </c>
      <c r="E451" s="32" t="n">
        <f aca="false">INDEX(Surface_Engine!$J$12:$J$72,$A451+1)*IF($A451&lt;$Q$447,INDEX(Surface_Engine!$Z$12:$Z$72,$A451+1),INDEX(Surface_Engine!$Z$12:$Z$72,$Q$447+1))</f>
        <v>0.961040758746481</v>
      </c>
      <c r="F451" s="48" t="n">
        <f aca="false">B451*(IF($A451&lt;$Q$447,INDEX(Surface_Engine!$D$12:$D$72,$A451+1)+(Surface_Engine!Q239*12)*INDEX(Surface_Engine!$F$12:$F$72,$A451+1)-(Surface_Engine!Q239*12),1000*12*INDEX(Surface_Engine!$C$12:$C$72,$A451+1)/(1+Assumptions!$B$10)^27+INDEX(Surface_Engine!$D$12:$D$72,$A451+1)))*INDEX(Surface_Engine!$B$12:$B$72,$A451+1)+F452</f>
        <v>358.888864366544</v>
      </c>
      <c r="G451" s="48" t="n">
        <f aca="false">C451*(IF($A451&lt;$Q$447,INDEX(Surface_Engine!$D$12:$D$72,$A451+1)+(Surface_Engine!Q239*12)*INDEX(Surface_Engine!$F$12:$F$72,$A451+1)-(Surface_Engine!Q239*12),1000*12*INDEX(Surface_Engine!$C$12:$C$72,$A451+1)/(1+Assumptions!$B$10)^27+INDEX(Surface_Engine!$D$12:$D$72,$A451+1)))*INDEX(Surface_Engine!$B$12:$B$72,$A451+1)+G452</f>
        <v>4271.59003110991</v>
      </c>
      <c r="H451" s="48" t="n">
        <f aca="false">D451*(IF($A451&lt;$Q$447,INDEX(Surface_Engine!$D$12:$D$72,$A451+1)+(Surface_Engine!Q239*12)*INDEX(Surface_Engine!$F$12:$F$72,$A451+1)-(Surface_Engine!Q239*12),1000*12*INDEX(Surface_Engine!$C$12:$C$72,$A451+1)/(1+Assumptions!$B$10)^27+INDEX(Surface_Engine!$D$12:$D$72,$A451+1)))*INDEX(Surface_Engine!$B$12:$B$72,$A451+1)+H452</f>
        <v>-523.304178319152</v>
      </c>
      <c r="I451" s="48" t="n">
        <f aca="false">E451*(IF($A451&lt;$Q$447,INDEX(Surface_Engine!$D$12:$D$72,$A451+1)+(Surface_Engine!Q239*12)*INDEX(Surface_Engine!$F$12:$F$72,$A451+1)-(Surface_Engine!Q239*12),1000*12*INDEX(Surface_Engine!$C$12:$C$72,$A451+1)/(1+Assumptions!$B$10)^27+INDEX(Surface_Engine!$D$12:$D$72,$A451+1)))*INDEX(Surface_Engine!$B$12:$B$72,$A451+1)+I452</f>
        <v>1447.37167499033</v>
      </c>
      <c r="J451" s="48" t="n">
        <f aca="false">B451*(IF($A451&lt;$Q$447,INDEX(Surface_Engine!$D$12:$D$72,$A451+1)*(1+Assumptions!$B$24)+(Surface_Engine!Q239*12)*INDEX(Surface_Engine!$F$12:$F$72,$A451+1)-(Surface_Engine!Q239*12),1000*12*INDEX(Surface_Engine!$C$12:$C$72,$A451+1)/(1+Assumptions!$B$10)^27+INDEX(Surface_Engine!$D$12:$D$72,$A451+1)*(1+Assumptions!$B$24)))*INDEX(Surface_Engine!$B$12:$B$72,$A451+1)+J452</f>
        <v>512.387560415713</v>
      </c>
      <c r="K451" s="12" t="n">
        <f aca="false">SQRT((IF(C451&lt;=0,0,MAX(0,(B451/C451)*G451/INDEX(Surface_Engine!$B$12:$B$72,$A451+1)-F451/INDEX(Surface_Engine!$B$12:$B$72,$A451+1))))^2+(MAX(IF(D451&lt;=0,0,MAX(0,(B451/D451)*H451/INDEX(Surface_Engine!$B$12:$B$72,$A451+1)-F451/INDEX(Surface_Engine!$B$12:$B$72,$A451+1))),IF(E451&lt;=0,0,MAX(0,(B451/E451)*I451/INDEX(Surface_Engine!$B$12:$B$72,$A451+1)-F451/INDEX(Surface_Engine!$B$12:$B$72,$A451+1))),IF($A451&lt;$Q$447,MAX(0,-Assumptions!$B$22*(F451/INDEX(Surface_Engine!$B$12:$B$72,$A451+1))),0)))^2+(MAX(0,J451/INDEX(Surface_Engine!$B$12:$B$72,$A451+1)-(F451/INDEX(Surface_Engine!$B$12:$B$72,$A451+1))))^2+2*Assumptions!$B$26*(IF(C451&lt;=0,0,MAX(0,(B451/C451)*G451/INDEX(Surface_Engine!$B$12:$B$72,$A451+1)-F451/INDEX(Surface_Engine!$B$12:$B$72,$A451+1))))*(MAX(IF(D451&lt;=0,0,MAX(0,(B451/D451)*H451/INDEX(Surface_Engine!$B$12:$B$72,$A451+1)-F451/INDEX(Surface_Engine!$B$12:$B$72,$A451+1))),IF(E451&lt;=0,0,MAX(0,(B451/E451)*I451/INDEX(Surface_Engine!$B$12:$B$72,$A451+1)-F451/INDEX(Surface_Engine!$B$12:$B$72,$A451+1))),IF($A451&lt;$Q$447,MAX(0,-Assumptions!$B$22*(F451/INDEX(Surface_Engine!$B$12:$B$72,$A451+1))),0)))+2*Assumptions!$B$27*(IF(C451&lt;=0,0,MAX(0,(B451/C451)*G451/INDEX(Surface_Engine!$B$12:$B$72,$A451+1)-F451/INDEX(Surface_Engine!$B$12:$B$72,$A451+1))))*(MAX(0,J451/INDEX(Surface_Engine!$B$12:$B$72,$A451+1)-(F451/INDEX(Surface_Engine!$B$12:$B$72,$A451+1))))+2*Assumptions!$B$28*(MAX(IF(D451&lt;=0,0,MAX(0,(B451/D451)*H451/INDEX(Surface_Engine!$B$12:$B$72,$A451+1)-F451/INDEX(Surface_Engine!$B$12:$B$72,$A451+1))),IF(E451&lt;=0,0,MAX(0,(B451/E451)*I451/INDEX(Surface_Engine!$B$12:$B$72,$A451+1)-F451/INDEX(Surface_Engine!$B$12:$B$72,$A451+1))),IF($A451&lt;$Q$447,MAX(0,-Assumptions!$B$22*(F451/INDEX(Surface_Engine!$B$12:$B$72,$A451+1))),0)))*(MAX(0,J451/INDEX(Surface_Engine!$B$12:$B$72,$A451+1)-(F451/INDEX(Surface_Engine!$B$12:$B$72,$A451+1)))))</f>
        <v>4574.05965425344</v>
      </c>
      <c r="L451" s="48" t="n">
        <f aca="false">K451*INDEX(Surface_Engine!$B$12:$B$72,$A451+1)+L452</f>
        <v>104808.695269899</v>
      </c>
      <c r="M451" s="48" t="n">
        <f aca="false">M450+B450*(IF($A450&lt;$Q$447,(Surface_Engine!Q239*12)-(Surface_Engine!Q239*12)*INDEX(Surface_Engine!$F$12:$F$72,$A450+1)-INDEX(Surface_Engine!$D$12:$D$72,$A450+1),-(1000*12*INDEX(Surface_Engine!$C$12:$C$72,$A450+1)/(1+Assumptions!$B$10)^27+INDEX(Surface_Engine!$D$12:$D$72,$A450+1))))*INDEX(Surface_Engine!$B$12:$B$72,$A450+1)</f>
        <v>857.657832019991</v>
      </c>
      <c r="N451" s="12" t="n">
        <f aca="false">IF(B451&lt;=0,0,MAX(0,(K451+Assumptions!$B$29*L451/INDEX(Surface_Engine!$B$12:$B$72,$A451+1)-(M451/INDEX(Surface_Engine!$B$12:$B$72,$A451+1)-(F451/INDEX(Surface_Engine!$B$12:$B$72,$A451+1))))/B451))</f>
        <v>11465.2290190469</v>
      </c>
    </row>
    <row r="452" customFormat="false" ht="15" hidden="false" customHeight="true" outlineLevel="0" collapsed="false">
      <c r="A452" s="1" t="n">
        <v>3</v>
      </c>
      <c r="B452" s="32" t="n">
        <f aca="false">INDEX(Surface_Engine!$J$12:$J$72,$A452+1)*IF($A452&lt;$Q$447,INDEX(Surface_Engine!$E$12:$E$72,$A452+1),INDEX(Surface_Engine!$E$12:$E$72,$Q$447+1))</f>
        <v>0.913882007956711</v>
      </c>
      <c r="C452" s="32" t="n">
        <f aca="false">INDEX(Panel_Reserving!$C$8:$C$68,$A452+1)*IF($A452&lt;$Q$447,INDEX(Surface_Engine!$E$12:$E$72,$A452+1),INDEX(Surface_Engine!$E$12:$E$72,$Q$447+1))</f>
        <v>0.916316573075405</v>
      </c>
      <c r="D452" s="32" t="n">
        <f aca="false">INDEX(Surface_Engine!$J$12:$J$72,$A452+1)*IF($A452&lt;$Q$447,INDEX(Surface_Engine!$Y$12:$Y$72,$A452+1),INDEX(Surface_Engine!$Y$12:$Y$72,$Q$447+1))</f>
        <v>0.878661978286545</v>
      </c>
      <c r="E452" s="32" t="n">
        <f aca="false">INDEX(Surface_Engine!$J$12:$J$72,$A452+1)*IF($A452&lt;$Q$447,INDEX(Surface_Engine!$Z$12:$Z$72,$A452+1),INDEX(Surface_Engine!$Z$12:$Z$72,$Q$447+1))</f>
        <v>0.949928222641382</v>
      </c>
      <c r="F452" s="48" t="n">
        <f aca="false">B452*(IF($A452&lt;$Q$447,INDEX(Surface_Engine!$D$12:$D$72,$A452+1)+(Surface_Engine!Q239*12)*INDEX(Surface_Engine!$F$12:$F$72,$A452+1)-(Surface_Engine!Q239*12),1000*12*INDEX(Surface_Engine!$C$12:$C$72,$A452+1)/(1+Assumptions!$B$10)^27+INDEX(Surface_Engine!$D$12:$D$72,$A452+1)))*INDEX(Surface_Engine!$B$12:$B$72,$A452+1)+F453</f>
        <v>1248.64541333951</v>
      </c>
      <c r="G452" s="48" t="n">
        <f aca="false">C452*(IF($A452&lt;$Q$447,INDEX(Surface_Engine!$D$12:$D$72,$A452+1)+(Surface_Engine!Q239*12)*INDEX(Surface_Engine!$F$12:$F$72,$A452+1)-(Surface_Engine!Q239*12),1000*12*INDEX(Surface_Engine!$C$12:$C$72,$A452+1)/(1+Assumptions!$B$10)^27+INDEX(Surface_Engine!$D$12:$D$72,$A452+1)))*INDEX(Surface_Engine!$B$12:$B$72,$A452+1)+G453</f>
        <v>5162.83089346954</v>
      </c>
      <c r="H452" s="48" t="n">
        <f aca="false">D452*(IF($A452&lt;$Q$447,INDEX(Surface_Engine!$D$12:$D$72,$A452+1)+(Surface_Engine!Q239*12)*INDEX(Surface_Engine!$F$12:$F$72,$A452+1)-(Surface_Engine!Q239*12),1000*12*INDEX(Surface_Engine!$C$12:$C$72,$A452+1)/(1+Assumptions!$B$10)^27+INDEX(Surface_Engine!$D$12:$D$72,$A452+1)))*INDEX(Surface_Engine!$B$12:$B$72,$A452+1)+H453</f>
        <v>337.966763884314</v>
      </c>
      <c r="I452" s="48" t="n">
        <f aca="false">E452*(IF($A452&lt;$Q$447,INDEX(Surface_Engine!$D$12:$D$72,$A452+1)+(Surface_Engine!Q239*12)*INDEX(Surface_Engine!$F$12:$F$72,$A452+1)-(Surface_Engine!Q239*12),1000*12*INDEX(Surface_Engine!$C$12:$C$72,$A452+1)/(1+Assumptions!$B$10)^27+INDEX(Surface_Engine!$D$12:$D$72,$A452+1)))*INDEX(Surface_Engine!$B$12:$B$72,$A452+1)+I453</f>
        <v>2366.03142564367</v>
      </c>
      <c r="J452" s="48" t="n">
        <f aca="false">B452*(IF($A452&lt;$Q$447,INDEX(Surface_Engine!$D$12:$D$72,$A452+1)*(1+Assumptions!$B$24)+(Surface_Engine!Q239*12)*INDEX(Surface_Engine!$F$12:$F$72,$A452+1)-(Surface_Engine!Q239*12),1000*12*INDEX(Surface_Engine!$C$12:$C$72,$A452+1)/(1+Assumptions!$B$10)^27+INDEX(Surface_Engine!$D$12:$D$72,$A452+1)*(1+Assumptions!$B$24)))*INDEX(Surface_Engine!$B$12:$B$72,$A452+1)+J453</f>
        <v>1394.53024582097</v>
      </c>
      <c r="K452" s="12" t="n">
        <f aca="false">SQRT((IF(C452&lt;=0,0,MAX(0,(B452/C452)*G452/INDEX(Surface_Engine!$B$12:$B$72,$A452+1)-F452/INDEX(Surface_Engine!$B$12:$B$72,$A452+1))))^2+(MAX(IF(D452&lt;=0,0,MAX(0,(B452/D452)*H452/INDEX(Surface_Engine!$B$12:$B$72,$A452+1)-F452/INDEX(Surface_Engine!$B$12:$B$72,$A452+1))),IF(E452&lt;=0,0,MAX(0,(B452/E452)*I452/INDEX(Surface_Engine!$B$12:$B$72,$A452+1)-F452/INDEX(Surface_Engine!$B$12:$B$72,$A452+1))),IF($A452&lt;$Q$447,MAX(0,-Assumptions!$B$22*(F452/INDEX(Surface_Engine!$B$12:$B$72,$A452+1))),0)))^2+(MAX(0,J452/INDEX(Surface_Engine!$B$12:$B$72,$A452+1)-(F452/INDEX(Surface_Engine!$B$12:$B$72,$A452+1))))^2+2*Assumptions!$B$26*(IF(C452&lt;=0,0,MAX(0,(B452/C452)*G452/INDEX(Surface_Engine!$B$12:$B$72,$A452+1)-F452/INDEX(Surface_Engine!$B$12:$B$72,$A452+1))))*(MAX(IF(D452&lt;=0,0,MAX(0,(B452/D452)*H452/INDEX(Surface_Engine!$B$12:$B$72,$A452+1)-F452/INDEX(Surface_Engine!$B$12:$B$72,$A452+1))),IF(E452&lt;=0,0,MAX(0,(B452/E452)*I452/INDEX(Surface_Engine!$B$12:$B$72,$A452+1)-F452/INDEX(Surface_Engine!$B$12:$B$72,$A452+1))),IF($A452&lt;$Q$447,MAX(0,-Assumptions!$B$22*(F452/INDEX(Surface_Engine!$B$12:$B$72,$A452+1))),0)))+2*Assumptions!$B$27*(IF(C452&lt;=0,0,MAX(0,(B452/C452)*G452/INDEX(Surface_Engine!$B$12:$B$72,$A452+1)-F452/INDEX(Surface_Engine!$B$12:$B$72,$A452+1))))*(MAX(0,J452/INDEX(Surface_Engine!$B$12:$B$72,$A452+1)-(F452/INDEX(Surface_Engine!$B$12:$B$72,$A452+1))))+2*Assumptions!$B$28*(MAX(IF(D452&lt;=0,0,MAX(0,(B452/D452)*H452/INDEX(Surface_Engine!$B$12:$B$72,$A452+1)-F452/INDEX(Surface_Engine!$B$12:$B$72,$A452+1))),IF(E452&lt;=0,0,MAX(0,(B452/E452)*I452/INDEX(Surface_Engine!$B$12:$B$72,$A452+1)-F452/INDEX(Surface_Engine!$B$12:$B$72,$A452+1))),IF($A452&lt;$Q$447,MAX(0,-Assumptions!$B$22*(F452/INDEX(Surface_Engine!$B$12:$B$72,$A452+1))),0)))*(MAX(0,J452/INDEX(Surface_Engine!$B$12:$B$72,$A452+1)-(F452/INDEX(Surface_Engine!$B$12:$B$72,$A452+1)))))</f>
        <v>4677.44504727022</v>
      </c>
      <c r="L452" s="48" t="n">
        <f aca="false">K452*INDEX(Surface_Engine!$B$12:$B$72,$A452+1)+L453</f>
        <v>100465.723359933</v>
      </c>
      <c r="M452" s="48" t="n">
        <f aca="false">M451+B451*(IF($A451&lt;$Q$447,(Surface_Engine!Q239*12)-(Surface_Engine!Q239*12)*INDEX(Surface_Engine!$F$12:$F$72,$A451+1)-INDEX(Surface_Engine!$D$12:$D$72,$A451+1),-(1000*12*INDEX(Surface_Engine!$C$12:$C$72,$A451+1)/(1+Assumptions!$B$10)^27+INDEX(Surface_Engine!$D$12:$D$72,$A451+1))))*INDEX(Surface_Engine!$B$12:$B$72,$A451+1)</f>
        <v>1747.41438099296</v>
      </c>
      <c r="N452" s="12" t="n">
        <f aca="false">IF(B452&lt;=0,0,MAX(0,(K452+Assumptions!$B$29*L452/INDEX(Surface_Engine!$B$12:$B$72,$A452+1)-(M452/INDEX(Surface_Engine!$B$12:$B$72,$A452+1)-(F452/INDEX(Surface_Engine!$B$12:$B$72,$A452+1))))/B452))</f>
        <v>11657.3004285353</v>
      </c>
    </row>
    <row r="453" customFormat="false" ht="15" hidden="false" customHeight="true" outlineLevel="0" collapsed="false">
      <c r="A453" s="1" t="n">
        <v>4</v>
      </c>
      <c r="B453" s="32" t="n">
        <f aca="false">INDEX(Surface_Engine!$J$12:$J$72,$A453+1)*IF($A453&lt;$Q$447,INDEX(Surface_Engine!$E$12:$E$72,$A453+1),INDEX(Surface_Engine!$E$12:$E$72,$Q$447+1))</f>
        <v>0.896855770646062</v>
      </c>
      <c r="C453" s="32" t="n">
        <f aca="false">INDEX(Panel_Reserving!$C$8:$C$68,$A453+1)*IF($A453&lt;$Q$447,INDEX(Surface_Engine!$E$12:$E$72,$A453+1),INDEX(Surface_Engine!$E$12:$E$72,$Q$447+1))</f>
        <v>0.900221895072226</v>
      </c>
      <c r="D453" s="32" t="n">
        <f aca="false">INDEX(Surface_Engine!$J$12:$J$72,$A453+1)*IF($A453&lt;$Q$447,INDEX(Surface_Engine!$Y$12:$Y$72,$A453+1),INDEX(Surface_Engine!$Y$12:$Y$72,$Q$447+1))</f>
        <v>0.856480379211671</v>
      </c>
      <c r="E453" s="32" t="n">
        <f aca="false">INDEX(Surface_Engine!$J$12:$J$72,$A453+1)*IF($A453&lt;$Q$447,INDEX(Surface_Engine!$Z$12:$Z$72,$A453+1),INDEX(Surface_Engine!$Z$12:$Z$72,$Q$447+1))</f>
        <v>0.938513314868174</v>
      </c>
      <c r="F453" s="48" t="n">
        <f aca="false">B453*(IF($A453&lt;$Q$447,INDEX(Surface_Engine!$D$12:$D$72,$A453+1)+(Surface_Engine!Q239*12)*INDEX(Surface_Engine!$F$12:$F$72,$A453+1)-(Surface_Engine!Q239*12),1000*12*INDEX(Surface_Engine!$C$12:$C$72,$A453+1)/(1+Assumptions!$B$10)^27+INDEX(Surface_Engine!$D$12:$D$72,$A453+1)))*INDEX(Surface_Engine!$B$12:$B$72,$A453+1)+F454</f>
        <v>2098.10146041453</v>
      </c>
      <c r="G453" s="48" t="n">
        <f aca="false">C453*(IF($A453&lt;$Q$447,INDEX(Surface_Engine!$D$12:$D$72,$A453+1)+(Surface_Engine!Q239*12)*INDEX(Surface_Engine!$F$12:$F$72,$A453+1)-(Surface_Engine!Q239*12),1000*12*INDEX(Surface_Engine!$C$12:$C$72,$A453+1)/(1+Assumptions!$B$10)^27+INDEX(Surface_Engine!$D$12:$D$72,$A453+1)))*INDEX(Surface_Engine!$B$12:$B$72,$A453+1)+G454</f>
        <v>6014.54987607022</v>
      </c>
      <c r="H453" s="48" t="n">
        <f aca="false">D453*(IF($A453&lt;$Q$447,INDEX(Surface_Engine!$D$12:$D$72,$A453+1)+(Surface_Engine!Q239*12)*INDEX(Surface_Engine!$F$12:$F$72,$A453+1)-(Surface_Engine!Q239*12),1000*12*INDEX(Surface_Engine!$C$12:$C$72,$A453+1)/(1+Assumptions!$B$10)^27+INDEX(Surface_Engine!$D$12:$D$72,$A453+1)))*INDEX(Surface_Engine!$B$12:$B$72,$A453+1)+H454</f>
        <v>1154.68568852886</v>
      </c>
      <c r="I453" s="48" t="n">
        <f aca="false">E453*(IF($A453&lt;$Q$447,INDEX(Surface_Engine!$D$12:$D$72,$A453+1)+(Surface_Engine!Q239*12)*INDEX(Surface_Engine!$F$12:$F$72,$A453+1)-(Surface_Engine!Q239*12),1000*12*INDEX(Surface_Engine!$C$12:$C$72,$A453+1)/(1+Assumptions!$B$10)^27+INDEX(Surface_Engine!$D$12:$D$72,$A453+1)))*INDEX(Surface_Engine!$B$12:$B$72,$A453+1)+I454</f>
        <v>3248.99253657974</v>
      </c>
      <c r="J453" s="48" t="n">
        <f aca="false">B453*(IF($A453&lt;$Q$447,INDEX(Surface_Engine!$D$12:$D$72,$A453+1)*(1+Assumptions!$B$24)+(Surface_Engine!Q239*12)*INDEX(Surface_Engine!$F$12:$F$72,$A453+1)-(Surface_Engine!Q239*12),1000*12*INDEX(Surface_Engine!$C$12:$C$72,$A453+1)/(1+Assumptions!$B$10)^27+INDEX(Surface_Engine!$D$12:$D$72,$A453+1)*(1+Assumptions!$B$24)))*INDEX(Surface_Engine!$B$12:$B$72,$A453+1)+J454</f>
        <v>2236.51959188795</v>
      </c>
      <c r="K453" s="12" t="n">
        <f aca="false">SQRT((IF(C453&lt;=0,0,MAX(0,(B453/C453)*G453/INDEX(Surface_Engine!$B$12:$B$72,$A453+1)-F453/INDEX(Surface_Engine!$B$12:$B$72,$A453+1))))^2+(MAX(IF(D453&lt;=0,0,MAX(0,(B453/D453)*H453/INDEX(Surface_Engine!$B$12:$B$72,$A453+1)-F453/INDEX(Surface_Engine!$B$12:$B$72,$A453+1))),IF(E453&lt;=0,0,MAX(0,(B453/E453)*I453/INDEX(Surface_Engine!$B$12:$B$72,$A453+1)-F453/INDEX(Surface_Engine!$B$12:$B$72,$A453+1))),IF($A453&lt;$Q$447,MAX(0,-Assumptions!$B$22*(F453/INDEX(Surface_Engine!$B$12:$B$72,$A453+1))),0)))^2+(MAX(0,J453/INDEX(Surface_Engine!$B$12:$B$72,$A453+1)-(F453/INDEX(Surface_Engine!$B$12:$B$72,$A453+1))))^2+2*Assumptions!$B$26*(IF(C453&lt;=0,0,MAX(0,(B453/C453)*G453/INDEX(Surface_Engine!$B$12:$B$72,$A453+1)-F453/INDEX(Surface_Engine!$B$12:$B$72,$A453+1))))*(MAX(IF(D453&lt;=0,0,MAX(0,(B453/D453)*H453/INDEX(Surface_Engine!$B$12:$B$72,$A453+1)-F453/INDEX(Surface_Engine!$B$12:$B$72,$A453+1))),IF(E453&lt;=0,0,MAX(0,(B453/E453)*I453/INDEX(Surface_Engine!$B$12:$B$72,$A453+1)-F453/INDEX(Surface_Engine!$B$12:$B$72,$A453+1))),IF($A453&lt;$Q$447,MAX(0,-Assumptions!$B$22*(F453/INDEX(Surface_Engine!$B$12:$B$72,$A453+1))),0)))+2*Assumptions!$B$27*(IF(C453&lt;=0,0,MAX(0,(B453/C453)*G453/INDEX(Surface_Engine!$B$12:$B$72,$A453+1)-F453/INDEX(Surface_Engine!$B$12:$B$72,$A453+1))))*(MAX(0,J453/INDEX(Surface_Engine!$B$12:$B$72,$A453+1)-(F453/INDEX(Surface_Engine!$B$12:$B$72,$A453+1))))+2*Assumptions!$B$28*(MAX(IF(D453&lt;=0,0,MAX(0,(B453/D453)*H453/INDEX(Surface_Engine!$B$12:$B$72,$A453+1)-F453/INDEX(Surface_Engine!$B$12:$B$72,$A453+1))),IF(E453&lt;=0,0,MAX(0,(B453/E453)*I453/INDEX(Surface_Engine!$B$12:$B$72,$A453+1)-F453/INDEX(Surface_Engine!$B$12:$B$72,$A453+1))),IF($A453&lt;$Q$447,MAX(0,-Assumptions!$B$22*(F453/INDEX(Surface_Engine!$B$12:$B$72,$A453+1))),0)))*(MAX(0,J453/INDEX(Surface_Engine!$B$12:$B$72,$A453+1)-(F453/INDEX(Surface_Engine!$B$12:$B$72,$A453+1)))))</f>
        <v>4781.21367951501</v>
      </c>
      <c r="L453" s="48" t="n">
        <f aca="false">K453*INDEX(Surface_Engine!$B$12:$B$72,$A453+1)+L454</f>
        <v>96137.9762087066</v>
      </c>
      <c r="M453" s="48" t="n">
        <f aca="false">M452+B452*(IF($A452&lt;$Q$447,(Surface_Engine!Q239*12)-(Surface_Engine!Q239*12)*INDEX(Surface_Engine!$F$12:$F$72,$A452+1)-INDEX(Surface_Engine!$D$12:$D$72,$A452+1),-(1000*12*INDEX(Surface_Engine!$C$12:$C$72,$A452+1)/(1+Assumptions!$B$10)^27+INDEX(Surface_Engine!$D$12:$D$72,$A452+1))))*INDEX(Surface_Engine!$B$12:$B$72,$A452+1)</f>
        <v>2596.87042806798</v>
      </c>
      <c r="N453" s="12" t="n">
        <f aca="false">IF(B453&lt;=0,0,MAX(0,(K453+Assumptions!$B$29*L453/INDEX(Surface_Engine!$B$12:$B$72,$A453+1)-(M453/INDEX(Surface_Engine!$B$12:$B$72,$A453+1)-(F453/INDEX(Surface_Engine!$B$12:$B$72,$A453+1))))/B453))</f>
        <v>11851.0672946104</v>
      </c>
    </row>
    <row r="454" customFormat="false" ht="15" hidden="false" customHeight="true" outlineLevel="0" collapsed="false">
      <c r="A454" s="1" t="n">
        <v>5</v>
      </c>
      <c r="B454" s="32" t="n">
        <f aca="false">INDEX(Surface_Engine!$J$12:$J$72,$A454+1)*IF($A454&lt;$Q$447,INDEX(Surface_Engine!$E$12:$E$72,$A454+1),INDEX(Surface_Engine!$E$12:$E$72,$Q$447+1))</f>
        <v>0.879688270493715</v>
      </c>
      <c r="C454" s="32" t="n">
        <f aca="false">INDEX(Panel_Reserving!$C$8:$C$68,$A454+1)*IF($A454&lt;$Q$447,INDEX(Surface_Engine!$E$12:$E$72,$A454+1),INDEX(Surface_Engine!$E$12:$E$72,$Q$447+1))</f>
        <v>0.884041757565766</v>
      </c>
      <c r="D454" s="32" t="n">
        <f aca="false">INDEX(Surface_Engine!$J$12:$J$72,$A454+1)*IF($A454&lt;$Q$447,INDEX(Surface_Engine!$Y$12:$Y$72,$A454+1),INDEX(Surface_Engine!$Y$12:$Y$72,$Q$447+1))</f>
        <v>0.834423866633532</v>
      </c>
      <c r="E454" s="32" t="n">
        <f aca="false">INDEX(Surface_Engine!$J$12:$J$72,$A454+1)*IF($A454&lt;$Q$447,INDEX(Surface_Engine!$Z$12:$Z$72,$A454+1),INDEX(Surface_Engine!$Z$12:$Z$72,$Q$447+1))</f>
        <v>0.926752573546771</v>
      </c>
      <c r="F454" s="48" t="n">
        <f aca="false">B454*(IF($A454&lt;$Q$447,INDEX(Surface_Engine!$D$12:$D$72,$A454+1)+(Surface_Engine!Q239*12)*INDEX(Surface_Engine!$F$12:$F$72,$A454+1)-(Surface_Engine!Q239*12),1000*12*INDEX(Surface_Engine!$C$12:$C$72,$A454+1)/(1+Assumptions!$B$10)^27+INDEX(Surface_Engine!$D$12:$D$72,$A454+1)))*INDEX(Surface_Engine!$B$12:$B$72,$A454+1)+F455</f>
        <v>2908.25237084701</v>
      </c>
      <c r="G454" s="48" t="n">
        <f aca="false">C454*(IF($A454&lt;$Q$447,INDEX(Surface_Engine!$D$12:$D$72,$A454+1)+(Surface_Engine!Q239*12)*INDEX(Surface_Engine!$F$12:$F$72,$A454+1)-(Surface_Engine!Q239*12),1000*12*INDEX(Surface_Engine!$C$12:$C$72,$A454+1)/(1+Assumptions!$B$10)^27+INDEX(Surface_Engine!$D$12:$D$72,$A454+1)))*INDEX(Surface_Engine!$B$12:$B$72,$A454+1)+G455</f>
        <v>6827.74148586345</v>
      </c>
      <c r="H454" s="48" t="n">
        <f aca="false">D454*(IF($A454&lt;$Q$447,INDEX(Surface_Engine!$D$12:$D$72,$A454+1)+(Surface_Engine!Q239*12)*INDEX(Surface_Engine!$F$12:$F$72,$A454+1)-(Surface_Engine!Q239*12),1000*12*INDEX(Surface_Engine!$C$12:$C$72,$A454+1)/(1+Assumptions!$B$10)^27+INDEX(Surface_Engine!$D$12:$D$72,$A454+1)))*INDEX(Surface_Engine!$B$12:$B$72,$A454+1)+H455</f>
        <v>1928.36455830526</v>
      </c>
      <c r="I454" s="48" t="n">
        <f aca="false">E454*(IF($A454&lt;$Q$447,INDEX(Surface_Engine!$D$12:$D$72,$A454+1)+(Surface_Engine!Q239*12)*INDEX(Surface_Engine!$F$12:$F$72,$A454+1)-(Surface_Engine!Q239*12),1000*12*INDEX(Surface_Engine!$C$12:$C$72,$A454+1)/(1+Assumptions!$B$10)^27+INDEX(Surface_Engine!$D$12:$D$72,$A454+1)))*INDEX(Surface_Engine!$B$12:$B$72,$A454+1)+I455</f>
        <v>4096.7736864359</v>
      </c>
      <c r="J454" s="48" t="n">
        <f aca="false">B454*(IF($A454&lt;$Q$447,INDEX(Surface_Engine!$D$12:$D$72,$A454+1)*(1+Assumptions!$B$24)+(Surface_Engine!Q239*12)*INDEX(Surface_Engine!$F$12:$F$72,$A454+1)-(Surface_Engine!Q239*12),1000*12*INDEX(Surface_Engine!$C$12:$C$72,$A454+1)/(1+Assumptions!$B$10)^27+INDEX(Surface_Engine!$D$12:$D$72,$A454+1)*(1+Assumptions!$B$24)))*INDEX(Surface_Engine!$B$12:$B$72,$A454+1)+J455</f>
        <v>3039.35518703781</v>
      </c>
      <c r="K454" s="12" t="n">
        <f aca="false">SQRT((IF(C454&lt;=0,0,MAX(0,(B454/C454)*G454/INDEX(Surface_Engine!$B$12:$B$72,$A454+1)-F454/INDEX(Surface_Engine!$B$12:$B$72,$A454+1))))^2+(MAX(IF(D454&lt;=0,0,MAX(0,(B454/D454)*H454/INDEX(Surface_Engine!$B$12:$B$72,$A454+1)-F454/INDEX(Surface_Engine!$B$12:$B$72,$A454+1))),IF(E454&lt;=0,0,MAX(0,(B454/E454)*I454/INDEX(Surface_Engine!$B$12:$B$72,$A454+1)-F454/INDEX(Surface_Engine!$B$12:$B$72,$A454+1))),IF($A454&lt;$Q$447,MAX(0,-Assumptions!$B$22*(F454/INDEX(Surface_Engine!$B$12:$B$72,$A454+1))),0)))^2+(MAX(0,J454/INDEX(Surface_Engine!$B$12:$B$72,$A454+1)-(F454/INDEX(Surface_Engine!$B$12:$B$72,$A454+1))))^2+2*Assumptions!$B$26*(IF(C454&lt;=0,0,MAX(0,(B454/C454)*G454/INDEX(Surface_Engine!$B$12:$B$72,$A454+1)-F454/INDEX(Surface_Engine!$B$12:$B$72,$A454+1))))*(MAX(IF(D454&lt;=0,0,MAX(0,(B454/D454)*H454/INDEX(Surface_Engine!$B$12:$B$72,$A454+1)-F454/INDEX(Surface_Engine!$B$12:$B$72,$A454+1))),IF(E454&lt;=0,0,MAX(0,(B454/E454)*I454/INDEX(Surface_Engine!$B$12:$B$72,$A454+1)-F454/INDEX(Surface_Engine!$B$12:$B$72,$A454+1))),IF($A454&lt;$Q$447,MAX(0,-Assumptions!$B$22*(F454/INDEX(Surface_Engine!$B$12:$B$72,$A454+1))),0)))+2*Assumptions!$B$27*(IF(C454&lt;=0,0,MAX(0,(B454/C454)*G454/INDEX(Surface_Engine!$B$12:$B$72,$A454+1)-F454/INDEX(Surface_Engine!$B$12:$B$72,$A454+1))))*(MAX(0,J454/INDEX(Surface_Engine!$B$12:$B$72,$A454+1)-(F454/INDEX(Surface_Engine!$B$12:$B$72,$A454+1))))+2*Assumptions!$B$28*(MAX(IF(D454&lt;=0,0,MAX(0,(B454/D454)*H454/INDEX(Surface_Engine!$B$12:$B$72,$A454+1)-F454/INDEX(Surface_Engine!$B$12:$B$72,$A454+1))),IF(E454&lt;=0,0,MAX(0,(B454/E454)*I454/INDEX(Surface_Engine!$B$12:$B$72,$A454+1)-F454/INDEX(Surface_Engine!$B$12:$B$72,$A454+1))),IF($A454&lt;$Q$447,MAX(0,-Assumptions!$B$22*(F454/INDEX(Surface_Engine!$B$12:$B$72,$A454+1))),0)))*(MAX(0,J454/INDEX(Surface_Engine!$B$12:$B$72,$A454+1)-(F454/INDEX(Surface_Engine!$B$12:$B$72,$A454+1)))))</f>
        <v>4888.91430177819</v>
      </c>
      <c r="L454" s="48" t="n">
        <f aca="false">K454*INDEX(Surface_Engine!$B$12:$B$72,$A454+1)+L455</f>
        <v>91829.3454143164</v>
      </c>
      <c r="M454" s="48" t="n">
        <f aca="false">M453+B453*(IF($A453&lt;$Q$447,(Surface_Engine!Q239*12)-(Surface_Engine!Q239*12)*INDEX(Surface_Engine!$F$12:$F$72,$A453+1)-INDEX(Surface_Engine!$D$12:$D$72,$A453+1),-(1000*12*INDEX(Surface_Engine!$C$12:$C$72,$A453+1)/(1+Assumptions!$B$10)^27+INDEX(Surface_Engine!$D$12:$D$72,$A453+1))))*INDEX(Surface_Engine!$B$12:$B$72,$A453+1)</f>
        <v>3407.02133850045</v>
      </c>
      <c r="N454" s="12" t="n">
        <f aca="false">IF(B454&lt;=0,0,MAX(0,(K454+Assumptions!$B$29*L454/INDEX(Surface_Engine!$B$12:$B$72,$A454+1)-(M454/INDEX(Surface_Engine!$B$12:$B$72,$A454+1)-(F454/INDEX(Surface_Engine!$B$12:$B$72,$A454+1))))/B454))</f>
        <v>12055.7302867932</v>
      </c>
    </row>
    <row r="455" customFormat="false" ht="15" hidden="false" customHeight="true" outlineLevel="0" collapsed="false">
      <c r="A455" s="1" t="n">
        <v>6</v>
      </c>
      <c r="B455" s="32" t="n">
        <f aca="false">INDEX(Surface_Engine!$J$12:$J$72,$A455+1)*IF($A455&lt;$Q$447,INDEX(Surface_Engine!$E$12:$E$72,$A455+1),INDEX(Surface_Engine!$E$12:$E$72,$Q$447+1))</f>
        <v>0.866009413503451</v>
      </c>
      <c r="C455" s="32" t="n">
        <f aca="false">INDEX(Panel_Reserving!$C$8:$C$68,$A455+1)*IF($A455&lt;$Q$447,INDEX(Surface_Engine!$E$12:$E$72,$A455+1),INDEX(Surface_Engine!$E$12:$E$72,$Q$447+1))</f>
        <v>0.871435559765987</v>
      </c>
      <c r="D455" s="32" t="n">
        <f aca="false">INDEX(Surface_Engine!$J$12:$J$72,$A455+1)*IF($A455&lt;$Q$447,INDEX(Surface_Engine!$Y$12:$Y$72,$A455+1),INDEX(Surface_Engine!$Y$12:$Y$72,$Q$447+1))</f>
        <v>0.817676939175658</v>
      </c>
      <c r="E455" s="32" t="n">
        <f aca="false">INDEX(Surface_Engine!$J$12:$J$72,$A455+1)*IF($A455&lt;$Q$447,INDEX(Surface_Engine!$Z$12:$Z$72,$A455+1),INDEX(Surface_Engine!$Z$12:$Z$72,$Q$447+1))</f>
        <v>0.91653116045476</v>
      </c>
      <c r="F455" s="48" t="n">
        <f aca="false">B455*(IF($A455&lt;$Q$447,INDEX(Surface_Engine!$D$12:$D$72,$A455+1)+(Surface_Engine!Q239*12)*INDEX(Surface_Engine!$F$12:$F$72,$A455+1)-(Surface_Engine!Q239*12),1000*12*INDEX(Surface_Engine!$C$12:$C$72,$A455+1)/(1+Assumptions!$B$10)^27+INDEX(Surface_Engine!$D$12:$D$72,$A455+1)))*INDEX(Surface_Engine!$B$12:$B$72,$A455+1)+F456</f>
        <v>3679.49823771609</v>
      </c>
      <c r="G455" s="48" t="n">
        <f aca="false">C455*(IF($A455&lt;$Q$447,INDEX(Surface_Engine!$D$12:$D$72,$A455+1)+(Surface_Engine!Q239*12)*INDEX(Surface_Engine!$F$12:$F$72,$A455+1)-(Surface_Engine!Q239*12),1000*12*INDEX(Surface_Engine!$C$12:$C$72,$A455+1)/(1+Assumptions!$B$10)^27+INDEX(Surface_Engine!$D$12:$D$72,$A455+1)))*INDEX(Surface_Engine!$B$12:$B$72,$A455+1)+G456</f>
        <v>7602.80416946569</v>
      </c>
      <c r="H455" s="48" t="n">
        <f aca="false">D455*(IF($A455&lt;$Q$447,INDEX(Surface_Engine!$D$12:$D$72,$A455+1)+(Surface_Engine!Q239*12)*INDEX(Surface_Engine!$F$12:$F$72,$A455+1)-(Surface_Engine!Q239*12),1000*12*INDEX(Surface_Engine!$C$12:$C$72,$A455+1)/(1+Assumptions!$B$10)^27+INDEX(Surface_Engine!$D$12:$D$72,$A455+1)))*INDEX(Surface_Engine!$B$12:$B$72,$A455+1)+H456</f>
        <v>2659.92593060462</v>
      </c>
      <c r="I455" s="48" t="n">
        <f aca="false">E455*(IF($A455&lt;$Q$447,INDEX(Surface_Engine!$D$12:$D$72,$A455+1)+(Surface_Engine!Q239*12)*INDEX(Surface_Engine!$F$12:$F$72,$A455+1)-(Surface_Engine!Q239*12),1000*12*INDEX(Surface_Engine!$C$12:$C$72,$A455+1)/(1+Assumptions!$B$10)^27+INDEX(Surface_Engine!$D$12:$D$72,$A455+1)))*INDEX(Surface_Engine!$B$12:$B$72,$A455+1)+I456</f>
        <v>4909.28206688422</v>
      </c>
      <c r="J455" s="48" t="n">
        <f aca="false">B455*(IF($A455&lt;$Q$447,INDEX(Surface_Engine!$D$12:$D$72,$A455+1)*(1+Assumptions!$B$24)+(Surface_Engine!Q239*12)*INDEX(Surface_Engine!$F$12:$F$72,$A455+1)-(Surface_Engine!Q239*12),1000*12*INDEX(Surface_Engine!$C$12:$C$72,$A455+1)/(1+Assumptions!$B$10)^27+INDEX(Surface_Engine!$D$12:$D$72,$A455+1)*(1+Assumptions!$B$24)))*INDEX(Surface_Engine!$B$12:$B$72,$A455+1)+J456</f>
        <v>3803.4467840001</v>
      </c>
      <c r="K455" s="12" t="n">
        <f aca="false">SQRT((IF(C455&lt;=0,0,MAX(0,(B455/C455)*G455/INDEX(Surface_Engine!$B$12:$B$72,$A455+1)-F455/INDEX(Surface_Engine!$B$12:$B$72,$A455+1))))^2+(MAX(IF(D455&lt;=0,0,MAX(0,(B455/D455)*H455/INDEX(Surface_Engine!$B$12:$B$72,$A455+1)-F455/INDEX(Surface_Engine!$B$12:$B$72,$A455+1))),IF(E455&lt;=0,0,MAX(0,(B455/E455)*I455/INDEX(Surface_Engine!$B$12:$B$72,$A455+1)-F455/INDEX(Surface_Engine!$B$12:$B$72,$A455+1))),IF($A455&lt;$Q$447,MAX(0,-Assumptions!$B$22*(F455/INDEX(Surface_Engine!$B$12:$B$72,$A455+1))),0)))^2+(MAX(0,J455/INDEX(Surface_Engine!$B$12:$B$72,$A455+1)-(F455/INDEX(Surface_Engine!$B$12:$B$72,$A455+1))))^2+2*Assumptions!$B$26*(IF(C455&lt;=0,0,MAX(0,(B455/C455)*G455/INDEX(Surface_Engine!$B$12:$B$72,$A455+1)-F455/INDEX(Surface_Engine!$B$12:$B$72,$A455+1))))*(MAX(IF(D455&lt;=0,0,MAX(0,(B455/D455)*H455/INDEX(Surface_Engine!$B$12:$B$72,$A455+1)-F455/INDEX(Surface_Engine!$B$12:$B$72,$A455+1))),IF(E455&lt;=0,0,MAX(0,(B455/E455)*I455/INDEX(Surface_Engine!$B$12:$B$72,$A455+1)-F455/INDEX(Surface_Engine!$B$12:$B$72,$A455+1))),IF($A455&lt;$Q$447,MAX(0,-Assumptions!$B$22*(F455/INDEX(Surface_Engine!$B$12:$B$72,$A455+1))),0)))+2*Assumptions!$B$27*(IF(C455&lt;=0,0,MAX(0,(B455/C455)*G455/INDEX(Surface_Engine!$B$12:$B$72,$A455+1)-F455/INDEX(Surface_Engine!$B$12:$B$72,$A455+1))))*(MAX(0,J455/INDEX(Surface_Engine!$B$12:$B$72,$A455+1)-(F455/INDEX(Surface_Engine!$B$12:$B$72,$A455+1))))+2*Assumptions!$B$28*(MAX(IF(D455&lt;=0,0,MAX(0,(B455/D455)*H455/INDEX(Surface_Engine!$B$12:$B$72,$A455+1)-F455/INDEX(Surface_Engine!$B$12:$B$72,$A455+1))),IF(E455&lt;=0,0,MAX(0,(B455/E455)*I455/INDEX(Surface_Engine!$B$12:$B$72,$A455+1)-F455/INDEX(Surface_Engine!$B$12:$B$72,$A455+1))),IF($A455&lt;$Q$447,MAX(0,-Assumptions!$B$22*(F455/INDEX(Surface_Engine!$B$12:$B$72,$A455+1))),0)))*(MAX(0,J455/INDEX(Surface_Engine!$B$12:$B$72,$A455+1)-(F455/INDEX(Surface_Engine!$B$12:$B$72,$A455+1)))))</f>
        <v>5004.13775528779</v>
      </c>
      <c r="L455" s="48" t="n">
        <f aca="false">K455*INDEX(Surface_Engine!$B$12:$B$72,$A455+1)+L456</f>
        <v>87543.7046477138</v>
      </c>
      <c r="M455" s="48" t="n">
        <f aca="false">M454+B454*(IF($A454&lt;$Q$447,(Surface_Engine!Q239*12)-(Surface_Engine!Q239*12)*INDEX(Surface_Engine!$F$12:$F$72,$A454+1)-INDEX(Surface_Engine!$D$12:$D$72,$A454+1),-(1000*12*INDEX(Surface_Engine!$C$12:$C$72,$A454+1)/(1+Assumptions!$B$10)^27+INDEX(Surface_Engine!$D$12:$D$72,$A454+1))))*INDEX(Surface_Engine!$B$12:$B$72,$A454+1)</f>
        <v>4178.26720536954</v>
      </c>
      <c r="N455" s="12" t="n">
        <f aca="false">IF(B455&lt;=0,0,MAX(0,(K455+Assumptions!$B$29*L455/INDEX(Surface_Engine!$B$12:$B$72,$A455+1)-(M455/INDEX(Surface_Engine!$B$12:$B$72,$A455+1)-(F455/INDEX(Surface_Engine!$B$12:$B$72,$A455+1))))/B455))</f>
        <v>12221.5345009378</v>
      </c>
    </row>
    <row r="456" customFormat="false" ht="15" hidden="false" customHeight="true" outlineLevel="0" collapsed="false">
      <c r="A456" s="1" t="n">
        <v>7</v>
      </c>
      <c r="B456" s="32" t="n">
        <f aca="false">INDEX(Surface_Engine!$J$12:$J$72,$A456+1)*IF($A456&lt;$Q$447,INDEX(Surface_Engine!$E$12:$E$72,$A456+1),INDEX(Surface_Engine!$E$12:$E$72,$Q$447+1))</f>
        <v>0.851970227585295</v>
      </c>
      <c r="C456" s="32" t="n">
        <f aca="false">INDEX(Panel_Reserving!$C$8:$C$68,$A456+1)*IF($A456&lt;$Q$447,INDEX(Surface_Engine!$E$12:$E$72,$A456+1),INDEX(Surface_Engine!$E$12:$E$72,$Q$447+1))</f>
        <v>0.858547826166602</v>
      </c>
      <c r="D456" s="32" t="n">
        <f aca="false">INDEX(Surface_Engine!$J$12:$J$72,$A456+1)*IF($A456&lt;$Q$447,INDEX(Surface_Engine!$Y$12:$Y$72,$A456+1),INDEX(Surface_Engine!$Y$12:$Y$72,$Q$447+1))</f>
        <v>0.800727558348016</v>
      </c>
      <c r="E456" s="32" t="n">
        <f aca="false">INDEX(Surface_Engine!$J$12:$J$72,$A456+1)*IF($A456&lt;$Q$447,INDEX(Surface_Engine!$Z$12:$Z$72,$A456+1),INDEX(Surface_Engine!$Z$12:$Z$72,$Q$447+1))</f>
        <v>0.905813237110126</v>
      </c>
      <c r="F456" s="48" t="n">
        <f aca="false">B456*(IF($A456&lt;$Q$447,INDEX(Surface_Engine!$D$12:$D$72,$A456+1)+(Surface_Engine!Q239*12)*INDEX(Surface_Engine!$F$12:$F$72,$A456+1)-(Surface_Engine!Q239*12),1000*12*INDEX(Surface_Engine!$C$12:$C$72,$A456+1)/(1+Assumptions!$B$10)^27+INDEX(Surface_Engine!$D$12:$D$72,$A456+1)))*INDEX(Surface_Engine!$B$12:$B$72,$A456+1)+F457</f>
        <v>4415.70550924782</v>
      </c>
      <c r="G456" s="48" t="n">
        <f aca="false">C456*(IF($A456&lt;$Q$447,INDEX(Surface_Engine!$D$12:$D$72,$A456+1)+(Surface_Engine!Q239*12)*INDEX(Surface_Engine!$F$12:$F$72,$A456+1)-(Surface_Engine!Q239*12),1000*12*INDEX(Surface_Engine!$C$12:$C$72,$A456+1)/(1+Assumptions!$B$10)^27+INDEX(Surface_Engine!$D$12:$D$72,$A456+1)))*INDEX(Surface_Engine!$B$12:$B$72,$A456+1)+G457</f>
        <v>8343.62428731594</v>
      </c>
      <c r="H456" s="48" t="n">
        <f aca="false">D456*(IF($A456&lt;$Q$447,INDEX(Surface_Engine!$D$12:$D$72,$A456+1)+(Surface_Engine!Q239*12)*INDEX(Surface_Engine!$F$12:$F$72,$A456+1)-(Surface_Engine!Q239*12),1000*12*INDEX(Surface_Engine!$C$12:$C$72,$A456+1)/(1+Assumptions!$B$10)^27+INDEX(Surface_Engine!$D$12:$D$72,$A456+1)))*INDEX(Surface_Engine!$B$12:$B$72,$A456+1)+H457</f>
        <v>3355.04505863998</v>
      </c>
      <c r="I456" s="48" t="n">
        <f aca="false">E456*(IF($A456&lt;$Q$447,INDEX(Surface_Engine!$D$12:$D$72,$A456+1)+(Surface_Engine!Q239*12)*INDEX(Surface_Engine!$F$12:$F$72,$A456+1)-(Surface_Engine!Q239*12),1000*12*INDEX(Surface_Engine!$C$12:$C$72,$A456+1)/(1+Assumptions!$B$10)^27+INDEX(Surface_Engine!$D$12:$D$72,$A456+1)))*INDEX(Surface_Engine!$B$12:$B$72,$A456+1)+I457</f>
        <v>5688.43861459711</v>
      </c>
      <c r="J456" s="48" t="n">
        <f aca="false">B456*(IF($A456&lt;$Q$447,INDEX(Surface_Engine!$D$12:$D$72,$A456+1)*(1+Assumptions!$B$24)+(Surface_Engine!Q239*12)*INDEX(Surface_Engine!$F$12:$F$72,$A456+1)-(Surface_Engine!Q239*12),1000*12*INDEX(Surface_Engine!$C$12:$C$72,$A456+1)/(1+Assumptions!$B$10)^27+INDEX(Surface_Engine!$D$12:$D$72,$A456+1)*(1+Assumptions!$B$24)))*INDEX(Surface_Engine!$B$12:$B$72,$A456+1)+J457</f>
        <v>4532.63781022447</v>
      </c>
      <c r="K456" s="12" t="n">
        <f aca="false">SQRT((IF(C456&lt;=0,0,MAX(0,(B456/C456)*G456/INDEX(Surface_Engine!$B$12:$B$72,$A456+1)-F456/INDEX(Surface_Engine!$B$12:$B$72,$A456+1))))^2+(MAX(IF(D456&lt;=0,0,MAX(0,(B456/D456)*H456/INDEX(Surface_Engine!$B$12:$B$72,$A456+1)-F456/INDEX(Surface_Engine!$B$12:$B$72,$A456+1))),IF(E456&lt;=0,0,MAX(0,(B456/E456)*I456/INDEX(Surface_Engine!$B$12:$B$72,$A456+1)-F456/INDEX(Surface_Engine!$B$12:$B$72,$A456+1))),IF($A456&lt;$Q$447,MAX(0,-Assumptions!$B$22*(F456/INDEX(Surface_Engine!$B$12:$B$72,$A456+1))),0)))^2+(MAX(0,J456/INDEX(Surface_Engine!$B$12:$B$72,$A456+1)-(F456/INDEX(Surface_Engine!$B$12:$B$72,$A456+1))))^2+2*Assumptions!$B$26*(IF(C456&lt;=0,0,MAX(0,(B456/C456)*G456/INDEX(Surface_Engine!$B$12:$B$72,$A456+1)-F456/INDEX(Surface_Engine!$B$12:$B$72,$A456+1))))*(MAX(IF(D456&lt;=0,0,MAX(0,(B456/D456)*H456/INDEX(Surface_Engine!$B$12:$B$72,$A456+1)-F456/INDEX(Surface_Engine!$B$12:$B$72,$A456+1))),IF(E456&lt;=0,0,MAX(0,(B456/E456)*I456/INDEX(Surface_Engine!$B$12:$B$72,$A456+1)-F456/INDEX(Surface_Engine!$B$12:$B$72,$A456+1))),IF($A456&lt;$Q$447,MAX(0,-Assumptions!$B$22*(F456/INDEX(Surface_Engine!$B$12:$B$72,$A456+1))),0)))+2*Assumptions!$B$27*(IF(C456&lt;=0,0,MAX(0,(B456/C456)*G456/INDEX(Surface_Engine!$B$12:$B$72,$A456+1)-F456/INDEX(Surface_Engine!$B$12:$B$72,$A456+1))))*(MAX(0,J456/INDEX(Surface_Engine!$B$12:$B$72,$A456+1)-(F456/INDEX(Surface_Engine!$B$12:$B$72,$A456+1))))+2*Assumptions!$B$28*(MAX(IF(D456&lt;=0,0,MAX(0,(B456/D456)*H456/INDEX(Surface_Engine!$B$12:$B$72,$A456+1)-F456/INDEX(Surface_Engine!$B$12:$B$72,$A456+1))),IF(E456&lt;=0,0,MAX(0,(B456/E456)*I456/INDEX(Surface_Engine!$B$12:$B$72,$A456+1)-F456/INDEX(Surface_Engine!$B$12:$B$72,$A456+1))),IF($A456&lt;$Q$447,MAX(0,-Assumptions!$B$22*(F456/INDEX(Surface_Engine!$B$12:$B$72,$A456+1))),0)))*(MAX(0,J456/INDEX(Surface_Engine!$B$12:$B$72,$A456+1)-(F456/INDEX(Surface_Engine!$B$12:$B$72,$A456+1)))))</f>
        <v>5123.98040345285</v>
      </c>
      <c r="L456" s="48" t="n">
        <f aca="false">K456*INDEX(Surface_Engine!$B$12:$B$72,$A456+1)+L457</f>
        <v>83280.3215040412</v>
      </c>
      <c r="M456" s="48" t="n">
        <f aca="false">M455+B455*(IF($A455&lt;$Q$447,(Surface_Engine!Q239*12)-(Surface_Engine!Q239*12)*INDEX(Surface_Engine!$F$12:$F$72,$A455+1)-INDEX(Surface_Engine!$D$12:$D$72,$A455+1),-(1000*12*INDEX(Surface_Engine!$C$12:$C$72,$A455+1)/(1+Assumptions!$B$10)^27+INDEX(Surface_Engine!$D$12:$D$72,$A455+1))))*INDEX(Surface_Engine!$B$12:$B$72,$A455+1)</f>
        <v>4914.47447690127</v>
      </c>
      <c r="N456" s="12" t="n">
        <f aca="false">IF(B456&lt;=0,0,MAX(0,(K456+Assumptions!$B$29*L456/INDEX(Surface_Engine!$B$12:$B$72,$A456+1)-(M456/INDEX(Surface_Engine!$B$12:$B$72,$A456+1)-(F456/INDEX(Surface_Engine!$B$12:$B$72,$A456+1))))/B456))</f>
        <v>12397.9751383466</v>
      </c>
    </row>
    <row r="457" customFormat="false" ht="15" hidden="false" customHeight="true" outlineLevel="0" collapsed="false">
      <c r="A457" s="1" t="n">
        <v>8</v>
      </c>
      <c r="B457" s="32" t="n">
        <f aca="false">INDEX(Surface_Engine!$J$12:$J$72,$A457+1)*IF($A457&lt;$Q$447,INDEX(Surface_Engine!$E$12:$E$72,$A457+1),INDEX(Surface_Engine!$E$12:$E$72,$Q$447+1))</f>
        <v>0.837274546391867</v>
      </c>
      <c r="C457" s="32" t="n">
        <f aca="false">INDEX(Panel_Reserving!$C$8:$C$68,$A457+1)*IF($A457&lt;$Q$447,INDEX(Surface_Engine!$E$12:$E$72,$A457+1),INDEX(Surface_Engine!$E$12:$E$72,$Q$447+1))</f>
        <v>0.845137958281224</v>
      </c>
      <c r="D457" s="32" t="n">
        <f aca="false">INDEX(Surface_Engine!$J$12:$J$72,$A457+1)*IF($A457&lt;$Q$447,INDEX(Surface_Engine!$Y$12:$Y$72,$A457+1),INDEX(Surface_Engine!$Y$12:$Y$72,$Q$447+1))</f>
        <v>0.783302416569062</v>
      </c>
      <c r="E457" s="32" t="n">
        <f aca="false">INDEX(Surface_Engine!$J$12:$J$72,$A457+1)*IF($A457&lt;$Q$447,INDEX(Surface_Engine!$Z$12:$Z$72,$A457+1),INDEX(Surface_Engine!$Z$12:$Z$72,$Q$447+1))</f>
        <v>0.894276370757796</v>
      </c>
      <c r="F457" s="48" t="n">
        <f aca="false">B457*(IF($A457&lt;$Q$447,INDEX(Surface_Engine!$D$12:$D$72,$A457+1)+(Surface_Engine!Q239*12)*INDEX(Surface_Engine!$F$12:$F$72,$A457+1)-(Surface_Engine!Q239*12),1000*12*INDEX(Surface_Engine!$C$12:$C$72,$A457+1)/(1+Assumptions!$B$10)^27+INDEX(Surface_Engine!$D$12:$D$72,$A457+1)))*INDEX(Surface_Engine!$B$12:$B$72,$A457+1)+F458</f>
        <v>5117.10915351462</v>
      </c>
      <c r="G457" s="48" t="n">
        <f aca="false">C457*(IF($A457&lt;$Q$447,INDEX(Surface_Engine!$D$12:$D$72,$A457+1)+(Surface_Engine!Q239*12)*INDEX(Surface_Engine!$F$12:$F$72,$A457+1)-(Surface_Engine!Q239*12),1000*12*INDEX(Surface_Engine!$C$12:$C$72,$A457+1)/(1+Assumptions!$B$10)^27+INDEX(Surface_Engine!$D$12:$D$72,$A457+1)))*INDEX(Surface_Engine!$B$12:$B$72,$A457+1)+G458</f>
        <v>9050.44308749555</v>
      </c>
      <c r="H457" s="48" t="n">
        <f aca="false">D457*(IF($A457&lt;$Q$447,INDEX(Surface_Engine!$D$12:$D$72,$A457+1)+(Surface_Engine!Q239*12)*INDEX(Surface_Engine!$F$12:$F$72,$A457+1)-(Surface_Engine!Q239*12),1000*12*INDEX(Surface_Engine!$C$12:$C$72,$A457+1)/(1+Assumptions!$B$10)^27+INDEX(Surface_Engine!$D$12:$D$72,$A457+1)))*INDEX(Surface_Engine!$B$12:$B$72,$A457+1)+H458</f>
        <v>4014.26202339468</v>
      </c>
      <c r="I457" s="48" t="n">
        <f aca="false">E457*(IF($A457&lt;$Q$447,INDEX(Surface_Engine!$D$12:$D$72,$A457+1)+(Surface_Engine!Q239*12)*INDEX(Surface_Engine!$F$12:$F$72,$A457+1)-(Surface_Engine!Q239*12),1000*12*INDEX(Surface_Engine!$C$12:$C$72,$A457+1)/(1+Assumptions!$B$10)^27+INDEX(Surface_Engine!$D$12:$D$72,$A457+1)))*INDEX(Surface_Engine!$B$12:$B$72,$A457+1)+I458</f>
        <v>6434.16972697984</v>
      </c>
      <c r="J457" s="48" t="n">
        <f aca="false">B457*(IF($A457&lt;$Q$447,INDEX(Surface_Engine!$D$12:$D$72,$A457+1)*(1+Assumptions!$B$24)+(Surface_Engine!Q239*12)*INDEX(Surface_Engine!$F$12:$F$72,$A457+1)-(Surface_Engine!Q239*12),1000*12*INDEX(Surface_Engine!$C$12:$C$72,$A457+1)/(1+Assumptions!$B$10)^27+INDEX(Surface_Engine!$D$12:$D$72,$A457+1)*(1+Assumptions!$B$24)))*INDEX(Surface_Engine!$B$12:$B$72,$A457+1)+J458</f>
        <v>5227.17341925327</v>
      </c>
      <c r="K457" s="12" t="n">
        <f aca="false">SQRT((IF(C457&lt;=0,0,MAX(0,(B457/C457)*G457/INDEX(Surface_Engine!$B$12:$B$72,$A457+1)-F457/INDEX(Surface_Engine!$B$12:$B$72,$A457+1))))^2+(MAX(IF(D457&lt;=0,0,MAX(0,(B457/D457)*H457/INDEX(Surface_Engine!$B$12:$B$72,$A457+1)-F457/INDEX(Surface_Engine!$B$12:$B$72,$A457+1))),IF(E457&lt;=0,0,MAX(0,(B457/E457)*I457/INDEX(Surface_Engine!$B$12:$B$72,$A457+1)-F457/INDEX(Surface_Engine!$B$12:$B$72,$A457+1))),IF($A457&lt;$Q$447,MAX(0,-Assumptions!$B$22*(F457/INDEX(Surface_Engine!$B$12:$B$72,$A457+1))),0)))^2+(MAX(0,J457/INDEX(Surface_Engine!$B$12:$B$72,$A457+1)-(F457/INDEX(Surface_Engine!$B$12:$B$72,$A457+1))))^2+2*Assumptions!$B$26*(IF(C457&lt;=0,0,MAX(0,(B457/C457)*G457/INDEX(Surface_Engine!$B$12:$B$72,$A457+1)-F457/INDEX(Surface_Engine!$B$12:$B$72,$A457+1))))*(MAX(IF(D457&lt;=0,0,MAX(0,(B457/D457)*H457/INDEX(Surface_Engine!$B$12:$B$72,$A457+1)-F457/INDEX(Surface_Engine!$B$12:$B$72,$A457+1))),IF(E457&lt;=0,0,MAX(0,(B457/E457)*I457/INDEX(Surface_Engine!$B$12:$B$72,$A457+1)-F457/INDEX(Surface_Engine!$B$12:$B$72,$A457+1))),IF($A457&lt;$Q$447,MAX(0,-Assumptions!$B$22*(F457/INDEX(Surface_Engine!$B$12:$B$72,$A457+1))),0)))+2*Assumptions!$B$27*(IF(C457&lt;=0,0,MAX(0,(B457/C457)*G457/INDEX(Surface_Engine!$B$12:$B$72,$A457+1)-F457/INDEX(Surface_Engine!$B$12:$B$72,$A457+1))))*(MAX(0,J457/INDEX(Surface_Engine!$B$12:$B$72,$A457+1)-(F457/INDEX(Surface_Engine!$B$12:$B$72,$A457+1))))+2*Assumptions!$B$28*(MAX(IF(D457&lt;=0,0,MAX(0,(B457/D457)*H457/INDEX(Surface_Engine!$B$12:$B$72,$A457+1)-F457/INDEX(Surface_Engine!$B$12:$B$72,$A457+1))),IF(E457&lt;=0,0,MAX(0,(B457/E457)*I457/INDEX(Surface_Engine!$B$12:$B$72,$A457+1)-F457/INDEX(Surface_Engine!$B$12:$B$72,$A457+1))),IF($A457&lt;$Q$447,MAX(0,-Assumptions!$B$22*(F457/INDEX(Surface_Engine!$B$12:$B$72,$A457+1))),0)))*(MAX(0,J457/INDEX(Surface_Engine!$B$12:$B$72,$A457+1)-(F457/INDEX(Surface_Engine!$B$12:$B$72,$A457+1)))))</f>
        <v>5247.54862867686</v>
      </c>
      <c r="L457" s="48" t="n">
        <f aca="false">K457*INDEX(Surface_Engine!$B$12:$B$72,$A457+1)+L458</f>
        <v>79042.5782004005</v>
      </c>
      <c r="M457" s="48" t="n">
        <f aca="false">M456+B456*(IF($A456&lt;$Q$447,(Surface_Engine!Q239*12)-(Surface_Engine!Q239*12)*INDEX(Surface_Engine!$F$12:$F$72,$A456+1)-INDEX(Surface_Engine!$D$12:$D$72,$A456+1),-(1000*12*INDEX(Surface_Engine!$C$12:$C$72,$A456+1)/(1+Assumptions!$B$10)^27+INDEX(Surface_Engine!$D$12:$D$72,$A456+1))))*INDEX(Surface_Engine!$B$12:$B$72,$A456+1)</f>
        <v>5615.87812116807</v>
      </c>
      <c r="N457" s="12" t="n">
        <f aca="false">IF(B457&lt;=0,0,MAX(0,(K457+Assumptions!$B$29*L457/INDEX(Surface_Engine!$B$12:$B$72,$A457+1)-(M457/INDEX(Surface_Engine!$B$12:$B$72,$A457+1)-(F457/INDEX(Surface_Engine!$B$12:$B$72,$A457+1))))/B457))</f>
        <v>12588.0834569813</v>
      </c>
    </row>
    <row r="458" customFormat="false" ht="15" hidden="false" customHeight="true" outlineLevel="0" collapsed="false">
      <c r="A458" s="1" t="n">
        <v>9</v>
      </c>
      <c r="B458" s="32" t="n">
        <f aca="false">INDEX(Surface_Engine!$J$12:$J$72,$A458+1)*IF($A458&lt;$Q$447,INDEX(Surface_Engine!$E$12:$E$72,$A458+1),INDEX(Surface_Engine!$E$12:$E$72,$Q$447+1))</f>
        <v>0.822096230560809</v>
      </c>
      <c r="C458" s="32" t="n">
        <f aca="false">INDEX(Panel_Reserving!$C$8:$C$68,$A458+1)*IF($A458&lt;$Q$447,INDEX(Surface_Engine!$E$12:$E$72,$A458+1),INDEX(Surface_Engine!$E$12:$E$72,$Q$447+1))</f>
        <v>0.831343114663609</v>
      </c>
      <c r="D458" s="32" t="n">
        <f aca="false">INDEX(Surface_Engine!$J$12:$J$72,$A458+1)*IF($A458&lt;$Q$447,INDEX(Surface_Engine!$Y$12:$Y$72,$A458+1),INDEX(Surface_Engine!$Y$12:$Y$72,$Q$447+1))</f>
        <v>0.765570966977272</v>
      </c>
      <c r="E458" s="32" t="n">
        <f aca="false">INDEX(Surface_Engine!$J$12:$J$72,$A458+1)*IF($A458&lt;$Q$447,INDEX(Surface_Engine!$Z$12:$Z$72,$A458+1),INDEX(Surface_Engine!$Z$12:$Z$72,$Q$447+1))</f>
        <v>0.882096596633852</v>
      </c>
      <c r="F458" s="48" t="n">
        <f aca="false">B458*(IF($A458&lt;$Q$447,INDEX(Surface_Engine!$D$12:$D$72,$A458+1)+(Surface_Engine!Q239*12)*INDEX(Surface_Engine!$F$12:$F$72,$A458+1)-(Surface_Engine!Q239*12),1000*12*INDEX(Surface_Engine!$C$12:$C$72,$A458+1)/(1+Assumptions!$B$10)^27+INDEX(Surface_Engine!$D$12:$D$72,$A458+1)))*INDEX(Surface_Engine!$B$12:$B$72,$A458+1)+F459</f>
        <v>5783.82770643222</v>
      </c>
      <c r="G458" s="48" t="n">
        <f aca="false">C458*(IF($A458&lt;$Q$447,INDEX(Surface_Engine!$D$12:$D$72,$A458+1)+(Surface_Engine!Q239*12)*INDEX(Surface_Engine!$F$12:$F$72,$A458+1)-(Surface_Engine!Q239*12),1000*12*INDEX(Surface_Engine!$C$12:$C$72,$A458+1)/(1+Assumptions!$B$10)^27+INDEX(Surface_Engine!$D$12:$D$72,$A458+1)))*INDEX(Surface_Engine!$B$12:$B$72,$A458+1)+G459</f>
        <v>9723.42324554429</v>
      </c>
      <c r="H458" s="48" t="n">
        <f aca="false">D458*(IF($A458&lt;$Q$447,INDEX(Surface_Engine!$D$12:$D$72,$A458+1)+(Surface_Engine!Q239*12)*INDEX(Surface_Engine!$F$12:$F$72,$A458+1)-(Surface_Engine!Q239*12),1000*12*INDEX(Surface_Engine!$C$12:$C$72,$A458+1)/(1+Assumptions!$B$10)^27+INDEX(Surface_Engine!$D$12:$D$72,$A458+1)))*INDEX(Surface_Engine!$B$12:$B$72,$A458+1)+H459</f>
        <v>4638.00277357313</v>
      </c>
      <c r="I458" s="48" t="n">
        <f aca="false">E458*(IF($A458&lt;$Q$447,INDEX(Surface_Engine!$D$12:$D$72,$A458+1)+(Surface_Engine!Q239*12)*INDEX(Surface_Engine!$F$12:$F$72,$A458+1)-(Surface_Engine!Q239*12),1000*12*INDEX(Surface_Engine!$C$12:$C$72,$A458+1)/(1+Assumptions!$B$10)^27+INDEX(Surface_Engine!$D$12:$D$72,$A458+1)))*INDEX(Surface_Engine!$B$12:$B$72,$A458+1)+I459</f>
        <v>7146.27861693645</v>
      </c>
      <c r="J458" s="48" t="n">
        <f aca="false">B458*(IF($A458&lt;$Q$447,INDEX(Surface_Engine!$D$12:$D$72,$A458+1)*(1+Assumptions!$B$24)+(Surface_Engine!Q239*12)*INDEX(Surface_Engine!$F$12:$F$72,$A458+1)-(Surface_Engine!Q239*12),1000*12*INDEX(Surface_Engine!$C$12:$C$72,$A458+1)/(1+Assumptions!$B$10)^27+INDEX(Surface_Engine!$D$12:$D$72,$A458+1)*(1+Assumptions!$B$24)))*INDEX(Surface_Engine!$B$12:$B$72,$A458+1)+J459</f>
        <v>5887.18393683005</v>
      </c>
      <c r="K458" s="12" t="n">
        <f aca="false">SQRT((IF(C458&lt;=0,0,MAX(0,(B458/C458)*G458/INDEX(Surface_Engine!$B$12:$B$72,$A458+1)-F458/INDEX(Surface_Engine!$B$12:$B$72,$A458+1))))^2+(MAX(IF(D458&lt;=0,0,MAX(0,(B458/D458)*H458/INDEX(Surface_Engine!$B$12:$B$72,$A458+1)-F458/INDEX(Surface_Engine!$B$12:$B$72,$A458+1))),IF(E458&lt;=0,0,MAX(0,(B458/E458)*I458/INDEX(Surface_Engine!$B$12:$B$72,$A458+1)-F458/INDEX(Surface_Engine!$B$12:$B$72,$A458+1))),IF($A458&lt;$Q$447,MAX(0,-Assumptions!$B$22*(F458/INDEX(Surface_Engine!$B$12:$B$72,$A458+1))),0)))^2+(MAX(0,J458/INDEX(Surface_Engine!$B$12:$B$72,$A458+1)-(F458/INDEX(Surface_Engine!$B$12:$B$72,$A458+1))))^2+2*Assumptions!$B$26*(IF(C458&lt;=0,0,MAX(0,(B458/C458)*G458/INDEX(Surface_Engine!$B$12:$B$72,$A458+1)-F458/INDEX(Surface_Engine!$B$12:$B$72,$A458+1))))*(MAX(IF(D458&lt;=0,0,MAX(0,(B458/D458)*H458/INDEX(Surface_Engine!$B$12:$B$72,$A458+1)-F458/INDEX(Surface_Engine!$B$12:$B$72,$A458+1))),IF(E458&lt;=0,0,MAX(0,(B458/E458)*I458/INDEX(Surface_Engine!$B$12:$B$72,$A458+1)-F458/INDEX(Surface_Engine!$B$12:$B$72,$A458+1))),IF($A458&lt;$Q$447,MAX(0,-Assumptions!$B$22*(F458/INDEX(Surface_Engine!$B$12:$B$72,$A458+1))),0)))+2*Assumptions!$B$27*(IF(C458&lt;=0,0,MAX(0,(B458/C458)*G458/INDEX(Surface_Engine!$B$12:$B$72,$A458+1)-F458/INDEX(Surface_Engine!$B$12:$B$72,$A458+1))))*(MAX(0,J458/INDEX(Surface_Engine!$B$12:$B$72,$A458+1)-(F458/INDEX(Surface_Engine!$B$12:$B$72,$A458+1))))+2*Assumptions!$B$28*(MAX(IF(D458&lt;=0,0,MAX(0,(B458/D458)*H458/INDEX(Surface_Engine!$B$12:$B$72,$A458+1)-F458/INDEX(Surface_Engine!$B$12:$B$72,$A458+1))),IF(E458&lt;=0,0,MAX(0,(B458/E458)*I458/INDEX(Surface_Engine!$B$12:$B$72,$A458+1)-F458/INDEX(Surface_Engine!$B$12:$B$72,$A458+1))),IF($A458&lt;$Q$447,MAX(0,-Assumptions!$B$22*(F458/INDEX(Surface_Engine!$B$12:$B$72,$A458+1))),0)))*(MAX(0,J458/INDEX(Surface_Engine!$B$12:$B$72,$A458+1)-(F458/INDEX(Surface_Engine!$B$12:$B$72,$A458+1)))))</f>
        <v>5374.33363824935</v>
      </c>
      <c r="L458" s="48" t="n">
        <f aca="false">K458*INDEX(Surface_Engine!$B$12:$B$72,$A458+1)+L459</f>
        <v>74834.5450768891</v>
      </c>
      <c r="M458" s="48" t="n">
        <f aca="false">M457+B457*(IF($A457&lt;$Q$447,(Surface_Engine!Q239*12)-(Surface_Engine!Q239*12)*INDEX(Surface_Engine!$F$12:$F$72,$A457+1)-INDEX(Surface_Engine!$D$12:$D$72,$A457+1),-(1000*12*INDEX(Surface_Engine!$C$12:$C$72,$A457+1)/(1+Assumptions!$B$10)^27+INDEX(Surface_Engine!$D$12:$D$72,$A457+1))))*INDEX(Surface_Engine!$B$12:$B$72,$A457+1)</f>
        <v>6282.59667408566</v>
      </c>
      <c r="N458" s="12" t="n">
        <f aca="false">IF(B458&lt;=0,0,MAX(0,(K458+Assumptions!$B$29*L458/INDEX(Surface_Engine!$B$12:$B$72,$A458+1)-(M458/INDEX(Surface_Engine!$B$12:$B$72,$A458+1)-(F458/INDEX(Surface_Engine!$B$12:$B$72,$A458+1))))/B458))</f>
        <v>12787.8824573264</v>
      </c>
    </row>
    <row r="459" customFormat="false" ht="15" hidden="false" customHeight="true" outlineLevel="0" collapsed="false">
      <c r="A459" s="1" t="n">
        <v>10</v>
      </c>
      <c r="B459" s="32" t="n">
        <f aca="false">INDEX(Surface_Engine!$J$12:$J$72,$A459+1)*IF($A459&lt;$Q$447,INDEX(Surface_Engine!$E$12:$E$72,$A459+1),INDEX(Surface_Engine!$E$12:$E$72,$Q$447+1))</f>
        <v>0.806378655194533</v>
      </c>
      <c r="C459" s="32" t="n">
        <f aca="false">INDEX(Panel_Reserving!$C$8:$C$68,$A459+1)*IF($A459&lt;$Q$447,INDEX(Surface_Engine!$E$12:$E$72,$A459+1),INDEX(Surface_Engine!$E$12:$E$72,$Q$447+1))</f>
        <v>0.817114577702228</v>
      </c>
      <c r="D459" s="32" t="n">
        <f aca="false">INDEX(Surface_Engine!$J$12:$J$72,$A459+1)*IF($A459&lt;$Q$447,INDEX(Surface_Engine!$Y$12:$Y$72,$A459+1),INDEX(Surface_Engine!$Y$12:$Y$72,$Q$447+1))</f>
        <v>0.747485964369052</v>
      </c>
      <c r="E459" s="32" t="n">
        <f aca="false">INDEX(Surface_Engine!$J$12:$J$72,$A459+1)*IF($A459&lt;$Q$447,INDEX(Surface_Engine!$Z$12:$Z$72,$A459+1),INDEX(Surface_Engine!$Z$12:$Z$72,$Q$447+1))</f>
        <v>0.869204839269405</v>
      </c>
      <c r="F459" s="48" t="n">
        <f aca="false">B459*(IF($A459&lt;$Q$447,INDEX(Surface_Engine!$D$12:$D$72,$A459+1)+(Surface_Engine!Q239*12)*INDEX(Surface_Engine!$F$12:$F$72,$A459+1)-(Surface_Engine!Q239*12),1000*12*INDEX(Surface_Engine!$C$12:$C$72,$A459+1)/(1+Assumptions!$B$10)^27+INDEX(Surface_Engine!$D$12:$D$72,$A459+1)))*INDEX(Surface_Engine!$B$12:$B$72,$A459+1)+F460</f>
        <v>6416.32142073351</v>
      </c>
      <c r="G459" s="48" t="n">
        <f aca="false">C459*(IF($A459&lt;$Q$447,INDEX(Surface_Engine!$D$12:$D$72,$A459+1)+(Surface_Engine!Q239*12)*INDEX(Surface_Engine!$F$12:$F$72,$A459+1)-(Surface_Engine!Q239*12),1000*12*INDEX(Surface_Engine!$C$12:$C$72,$A459+1)/(1+Assumptions!$B$10)^27+INDEX(Surface_Engine!$D$12:$D$72,$A459+1)))*INDEX(Surface_Engine!$B$12:$B$72,$A459+1)+G460</f>
        <v>10363.0312073685</v>
      </c>
      <c r="H459" s="48" t="n">
        <f aca="false">D459*(IF($A459&lt;$Q$447,INDEX(Surface_Engine!$D$12:$D$72,$A459+1)+(Surface_Engine!Q239*12)*INDEX(Surface_Engine!$F$12:$F$72,$A459+1)-(Surface_Engine!Q239*12),1000*12*INDEX(Surface_Engine!$C$12:$C$72,$A459+1)/(1+Assumptions!$B$10)^27+INDEX(Surface_Engine!$D$12:$D$72,$A459+1)))*INDEX(Surface_Engine!$B$12:$B$72,$A459+1)+H460</f>
        <v>5227.00781515368</v>
      </c>
      <c r="I459" s="48" t="n">
        <f aca="false">E459*(IF($A459&lt;$Q$447,INDEX(Surface_Engine!$D$12:$D$72,$A459+1)+(Surface_Engine!Q239*12)*INDEX(Surface_Engine!$F$12:$F$72,$A459+1)-(Surface_Engine!Q239*12),1000*12*INDEX(Surface_Engine!$C$12:$C$72,$A459+1)/(1+Assumptions!$B$10)^27+INDEX(Surface_Engine!$D$12:$D$72,$A459+1)))*INDEX(Surface_Engine!$B$12:$B$72,$A459+1)+I460</f>
        <v>7824.93463315109</v>
      </c>
      <c r="J459" s="48" t="n">
        <f aca="false">B459*(IF($A459&lt;$Q$447,INDEX(Surface_Engine!$D$12:$D$72,$A459+1)*(1+Assumptions!$B$24)+(Surface_Engine!Q239*12)*INDEX(Surface_Engine!$F$12:$F$72,$A459+1)-(Surface_Engine!Q239*12),1000*12*INDEX(Surface_Engine!$C$12:$C$72,$A459+1)/(1+Assumptions!$B$10)^27+INDEX(Surface_Engine!$D$12:$D$72,$A459+1)*(1+Assumptions!$B$24)))*INDEX(Surface_Engine!$B$12:$B$72,$A459+1)+J460</f>
        <v>6513.13842063997</v>
      </c>
      <c r="K459" s="12" t="n">
        <f aca="false">SQRT((IF(C459&lt;=0,0,MAX(0,(B459/C459)*G459/INDEX(Surface_Engine!$B$12:$B$72,$A459+1)-F459/INDEX(Surface_Engine!$B$12:$B$72,$A459+1))))^2+(MAX(IF(D459&lt;=0,0,MAX(0,(B459/D459)*H459/INDEX(Surface_Engine!$B$12:$B$72,$A459+1)-F459/INDEX(Surface_Engine!$B$12:$B$72,$A459+1))),IF(E459&lt;=0,0,MAX(0,(B459/E459)*I459/INDEX(Surface_Engine!$B$12:$B$72,$A459+1)-F459/INDEX(Surface_Engine!$B$12:$B$72,$A459+1))),IF($A459&lt;$Q$447,MAX(0,-Assumptions!$B$22*(F459/INDEX(Surface_Engine!$B$12:$B$72,$A459+1))),0)))^2+(MAX(0,J459/INDEX(Surface_Engine!$B$12:$B$72,$A459+1)-(F459/INDEX(Surface_Engine!$B$12:$B$72,$A459+1))))^2+2*Assumptions!$B$26*(IF(C459&lt;=0,0,MAX(0,(B459/C459)*G459/INDEX(Surface_Engine!$B$12:$B$72,$A459+1)-F459/INDEX(Surface_Engine!$B$12:$B$72,$A459+1))))*(MAX(IF(D459&lt;=0,0,MAX(0,(B459/D459)*H459/INDEX(Surface_Engine!$B$12:$B$72,$A459+1)-F459/INDEX(Surface_Engine!$B$12:$B$72,$A459+1))),IF(E459&lt;=0,0,MAX(0,(B459/E459)*I459/INDEX(Surface_Engine!$B$12:$B$72,$A459+1)-F459/INDEX(Surface_Engine!$B$12:$B$72,$A459+1))),IF($A459&lt;$Q$447,MAX(0,-Assumptions!$B$22*(F459/INDEX(Surface_Engine!$B$12:$B$72,$A459+1))),0)))+2*Assumptions!$B$27*(IF(C459&lt;=0,0,MAX(0,(B459/C459)*G459/INDEX(Surface_Engine!$B$12:$B$72,$A459+1)-F459/INDEX(Surface_Engine!$B$12:$B$72,$A459+1))))*(MAX(0,J459/INDEX(Surface_Engine!$B$12:$B$72,$A459+1)-(F459/INDEX(Surface_Engine!$B$12:$B$72,$A459+1))))+2*Assumptions!$B$28*(MAX(IF(D459&lt;=0,0,MAX(0,(B459/D459)*H459/INDEX(Surface_Engine!$B$12:$B$72,$A459+1)-F459/INDEX(Surface_Engine!$B$12:$B$72,$A459+1))),IF(E459&lt;=0,0,MAX(0,(B459/E459)*I459/INDEX(Surface_Engine!$B$12:$B$72,$A459+1)-F459/INDEX(Surface_Engine!$B$12:$B$72,$A459+1))),IF($A459&lt;$Q$447,MAX(0,-Assumptions!$B$22*(F459/INDEX(Surface_Engine!$B$12:$B$72,$A459+1))),0)))*(MAX(0,J459/INDEX(Surface_Engine!$B$12:$B$72,$A459+1)-(F459/INDEX(Surface_Engine!$B$12:$B$72,$A459+1)))))</f>
        <v>5511.58670995124</v>
      </c>
      <c r="L459" s="48" t="n">
        <f aca="false">K459*INDEX(Surface_Engine!$B$12:$B$72,$A459+1)+L460</f>
        <v>70660.0882724778</v>
      </c>
      <c r="M459" s="48" t="n">
        <f aca="false">M458+B458*(IF($A458&lt;$Q$447,(Surface_Engine!Q239*12)-(Surface_Engine!Q239*12)*INDEX(Surface_Engine!$F$12:$F$72,$A458+1)-INDEX(Surface_Engine!$D$12:$D$72,$A458+1),-(1000*12*INDEX(Surface_Engine!$C$12:$C$72,$A458+1)/(1+Assumptions!$B$10)^27+INDEX(Surface_Engine!$D$12:$D$72,$A458+1))))*INDEX(Surface_Engine!$B$12:$B$72,$A458+1)</f>
        <v>6915.09038838695</v>
      </c>
      <c r="N459" s="12" t="n">
        <f aca="false">IF(B459&lt;=0,0,MAX(0,(K459+Assumptions!$B$29*L459/INDEX(Surface_Engine!$B$12:$B$72,$A459+1)-(M459/INDEX(Surface_Engine!$B$12:$B$72,$A459+1)-(F459/INDEX(Surface_Engine!$B$12:$B$72,$A459+1))))/B459))</f>
        <v>13015.8282187644</v>
      </c>
    </row>
    <row r="460" customFormat="false" ht="15" hidden="false" customHeight="true" outlineLevel="0" collapsed="false">
      <c r="A460" s="1" t="n">
        <v>11</v>
      </c>
      <c r="B460" s="32" t="n">
        <f aca="false">INDEX(Surface_Engine!$J$12:$J$72,$A460+1)*IF($A460&lt;$Q$447,INDEX(Surface_Engine!$E$12:$E$72,$A460+1),INDEX(Surface_Engine!$E$12:$E$72,$Q$447+1))</f>
        <v>0.790061919629191</v>
      </c>
      <c r="C460" s="32" t="n">
        <f aca="false">INDEX(Panel_Reserving!$C$8:$C$68,$A460+1)*IF($A460&lt;$Q$447,INDEX(Surface_Engine!$E$12:$E$72,$A460+1),INDEX(Surface_Engine!$E$12:$E$72,$Q$447+1))</f>
        <v>0.802400251189282</v>
      </c>
      <c r="D460" s="32" t="n">
        <f aca="false">INDEX(Surface_Engine!$J$12:$J$72,$A460+1)*IF($A460&lt;$Q$447,INDEX(Surface_Engine!$Y$12:$Y$72,$A460+1),INDEX(Surface_Engine!$Y$12:$Y$72,$Q$447+1))</f>
        <v>0.728998053859943</v>
      </c>
      <c r="E460" s="32" t="n">
        <f aca="false">INDEX(Surface_Engine!$J$12:$J$72,$A460+1)*IF($A460&lt;$Q$447,INDEX(Surface_Engine!$Z$12:$Z$72,$A460+1),INDEX(Surface_Engine!$Z$12:$Z$72,$Q$447+1))</f>
        <v>0.855527283738809</v>
      </c>
      <c r="F460" s="48" t="n">
        <f aca="false">B460*(IF($A460&lt;$Q$447,INDEX(Surface_Engine!$D$12:$D$72,$A460+1)+(Surface_Engine!Q239*12)*INDEX(Surface_Engine!$F$12:$F$72,$A460+1)-(Surface_Engine!Q239*12),1000*12*INDEX(Surface_Engine!$C$12:$C$72,$A460+1)/(1+Assumptions!$B$10)^27+INDEX(Surface_Engine!$D$12:$D$72,$A460+1)))*INDEX(Surface_Engine!$B$12:$B$72,$A460+1)+F461</f>
        <v>7014.2582095459</v>
      </c>
      <c r="G460" s="48" t="n">
        <f aca="false">C460*(IF($A460&lt;$Q$447,INDEX(Surface_Engine!$D$12:$D$72,$A460+1)+(Surface_Engine!Q239*12)*INDEX(Surface_Engine!$F$12:$F$72,$A460+1)-(Surface_Engine!Q239*12),1000*12*INDEX(Surface_Engine!$C$12:$C$72,$A460+1)/(1+Assumptions!$B$10)^27+INDEX(Surface_Engine!$D$12:$D$72,$A460+1)))*INDEX(Surface_Engine!$B$12:$B$72,$A460+1)+G461</f>
        <v>10968.9287761294</v>
      </c>
      <c r="H460" s="48" t="n">
        <f aca="false">D460*(IF($A460&lt;$Q$447,INDEX(Surface_Engine!$D$12:$D$72,$A460+1)+(Surface_Engine!Q239*12)*INDEX(Surface_Engine!$F$12:$F$72,$A460+1)-(Surface_Engine!Q239*12),1000*12*INDEX(Surface_Engine!$C$12:$C$72,$A460+1)/(1+Assumptions!$B$10)^27+INDEX(Surface_Engine!$D$12:$D$72,$A460+1)))*INDEX(Surface_Engine!$B$12:$B$72,$A460+1)+H461</f>
        <v>5781.27516131668</v>
      </c>
      <c r="I460" s="48" t="n">
        <f aca="false">E460*(IF($A460&lt;$Q$447,INDEX(Surface_Engine!$D$12:$D$72,$A460+1)+(Surface_Engine!Q239*12)*INDEX(Surface_Engine!$F$12:$F$72,$A460+1)-(Surface_Engine!Q239*12),1000*12*INDEX(Surface_Engine!$C$12:$C$72,$A460+1)/(1+Assumptions!$B$10)^27+INDEX(Surface_Engine!$D$12:$D$72,$A460+1)))*INDEX(Surface_Engine!$B$12:$B$72,$A460+1)+I461</f>
        <v>8469.45758408108</v>
      </c>
      <c r="J460" s="48" t="n">
        <f aca="false">B460*(IF($A460&lt;$Q$447,INDEX(Surface_Engine!$D$12:$D$72,$A460+1)*(1+Assumptions!$B$24)+(Surface_Engine!Q239*12)*INDEX(Surface_Engine!$F$12:$F$72,$A460+1)-(Surface_Engine!Q239*12),1000*12*INDEX(Surface_Engine!$C$12:$C$72,$A460+1)/(1+Assumptions!$B$10)^27+INDEX(Surface_Engine!$D$12:$D$72,$A460+1)*(1+Assumptions!$B$24)))*INDEX(Surface_Engine!$B$12:$B$72,$A460+1)+J461</f>
        <v>7104.72228710964</v>
      </c>
      <c r="K460" s="12" t="n">
        <f aca="false">SQRT((IF(C460&lt;=0,0,MAX(0,(B460/C460)*G460/INDEX(Surface_Engine!$B$12:$B$72,$A460+1)-F460/INDEX(Surface_Engine!$B$12:$B$72,$A460+1))))^2+(MAX(IF(D460&lt;=0,0,MAX(0,(B460/D460)*H460/INDEX(Surface_Engine!$B$12:$B$72,$A460+1)-F460/INDEX(Surface_Engine!$B$12:$B$72,$A460+1))),IF(E460&lt;=0,0,MAX(0,(B460/E460)*I460/INDEX(Surface_Engine!$B$12:$B$72,$A460+1)-F460/INDEX(Surface_Engine!$B$12:$B$72,$A460+1))),IF($A460&lt;$Q$447,MAX(0,-Assumptions!$B$22*(F460/INDEX(Surface_Engine!$B$12:$B$72,$A460+1))),0)))^2+(MAX(0,J460/INDEX(Surface_Engine!$B$12:$B$72,$A460+1)-(F460/INDEX(Surface_Engine!$B$12:$B$72,$A460+1))))^2+2*Assumptions!$B$26*(IF(C460&lt;=0,0,MAX(0,(B460/C460)*G460/INDEX(Surface_Engine!$B$12:$B$72,$A460+1)-F460/INDEX(Surface_Engine!$B$12:$B$72,$A460+1))))*(MAX(IF(D460&lt;=0,0,MAX(0,(B460/D460)*H460/INDEX(Surface_Engine!$B$12:$B$72,$A460+1)-F460/INDEX(Surface_Engine!$B$12:$B$72,$A460+1))),IF(E460&lt;=0,0,MAX(0,(B460/E460)*I460/INDEX(Surface_Engine!$B$12:$B$72,$A460+1)-F460/INDEX(Surface_Engine!$B$12:$B$72,$A460+1))),IF($A460&lt;$Q$447,MAX(0,-Assumptions!$B$22*(F460/INDEX(Surface_Engine!$B$12:$B$72,$A460+1))),0)))+2*Assumptions!$B$27*(IF(C460&lt;=0,0,MAX(0,(B460/C460)*G460/INDEX(Surface_Engine!$B$12:$B$72,$A460+1)-F460/INDEX(Surface_Engine!$B$12:$B$72,$A460+1))))*(MAX(0,J460/INDEX(Surface_Engine!$B$12:$B$72,$A460+1)-(F460/INDEX(Surface_Engine!$B$12:$B$72,$A460+1))))+2*Assumptions!$B$28*(MAX(IF(D460&lt;=0,0,MAX(0,(B460/D460)*H460/INDEX(Surface_Engine!$B$12:$B$72,$A460+1)-F460/INDEX(Surface_Engine!$B$12:$B$72,$A460+1))),IF(E460&lt;=0,0,MAX(0,(B460/E460)*I460/INDEX(Surface_Engine!$B$12:$B$72,$A460+1)-F460/INDEX(Surface_Engine!$B$12:$B$72,$A460+1))),IF($A460&lt;$Q$447,MAX(0,-Assumptions!$B$22*(F460/INDEX(Surface_Engine!$B$12:$B$72,$A460+1))),0)))*(MAX(0,J460/INDEX(Surface_Engine!$B$12:$B$72,$A460+1)-(F460/INDEX(Surface_Engine!$B$12:$B$72,$A460+1)))))</f>
        <v>5632.24238318292</v>
      </c>
      <c r="L460" s="48" t="n">
        <f aca="false">K460*INDEX(Surface_Engine!$B$12:$B$72,$A460+1)+L461</f>
        <v>66523.3441257905</v>
      </c>
      <c r="M460" s="48" t="n">
        <f aca="false">M459+B459*(IF($A459&lt;$Q$447,(Surface_Engine!Q239*12)-(Surface_Engine!Q239*12)*INDEX(Surface_Engine!$F$12:$F$72,$A459+1)-INDEX(Surface_Engine!$D$12:$D$72,$A459+1),-(1000*12*INDEX(Surface_Engine!$C$12:$C$72,$A459+1)/(1+Assumptions!$B$10)^27+INDEX(Surface_Engine!$D$12:$D$72,$A459+1))))*INDEX(Surface_Engine!$B$12:$B$72,$A459+1)</f>
        <v>7513.02717719934</v>
      </c>
      <c r="N460" s="12" t="n">
        <f aca="false">IF(B460&lt;=0,0,MAX(0,(K460+Assumptions!$B$29*L460/INDEX(Surface_Engine!$B$12:$B$72,$A460+1)-(M460/INDEX(Surface_Engine!$B$12:$B$72,$A460+1)-(F460/INDEX(Surface_Engine!$B$12:$B$72,$A460+1))))/B460))</f>
        <v>13209.7060967869</v>
      </c>
    </row>
    <row r="461" customFormat="false" ht="15" hidden="false" customHeight="true" outlineLevel="0" collapsed="false">
      <c r="A461" s="1" t="n">
        <v>12</v>
      </c>
      <c r="B461" s="32" t="n">
        <f aca="false">INDEX(Surface_Engine!$J$12:$J$72,$A461+1)*IF($A461&lt;$Q$447,INDEX(Surface_Engine!$E$12:$E$72,$A461+1),INDEX(Surface_Engine!$E$12:$E$72,$Q$447+1))</f>
        <v>0.773080864838231</v>
      </c>
      <c r="C461" s="32" t="n">
        <f aca="false">INDEX(Panel_Reserving!$C$8:$C$68,$A461+1)*IF($A461&lt;$Q$447,INDEX(Surface_Engine!$E$12:$E$72,$A461+1),INDEX(Surface_Engine!$E$12:$E$72,$Q$447+1))</f>
        <v>0.78714288551841</v>
      </c>
      <c r="D461" s="32" t="n">
        <f aca="false">INDEX(Surface_Engine!$J$12:$J$72,$A461+1)*IF($A461&lt;$Q$447,INDEX(Surface_Engine!$Y$12:$Y$72,$A461+1),INDEX(Surface_Engine!$Y$12:$Y$72,$Q$447+1))</f>
        <v>0.710054008654118</v>
      </c>
      <c r="E461" s="32" t="n">
        <f aca="false">INDEX(Surface_Engine!$J$12:$J$72,$A461+1)*IF($A461&lt;$Q$447,INDEX(Surface_Engine!$Z$12:$Z$72,$A461+1),INDEX(Surface_Engine!$Z$12:$Z$72,$Q$447+1))</f>
        <v>0.840983124081626</v>
      </c>
      <c r="F461" s="48" t="n">
        <f aca="false">B461*(IF($A461&lt;$Q$447,INDEX(Surface_Engine!$D$12:$D$72,$A461+1)+(Surface_Engine!Q239*12)*INDEX(Surface_Engine!$F$12:$F$72,$A461+1)-(Surface_Engine!Q239*12),1000*12*INDEX(Surface_Engine!$C$12:$C$72,$A461+1)/(1+Assumptions!$B$10)^27+INDEX(Surface_Engine!$D$12:$D$72,$A461+1)))*INDEX(Surface_Engine!$B$12:$B$72,$A461+1)+F462</f>
        <v>7580.19516239825</v>
      </c>
      <c r="G461" s="48" t="n">
        <f aca="false">C461*(IF($A461&lt;$Q$447,INDEX(Surface_Engine!$D$12:$D$72,$A461+1)+(Surface_Engine!Q239*12)*INDEX(Surface_Engine!$F$12:$F$72,$A461+1)-(Surface_Engine!Q239*12),1000*12*INDEX(Surface_Engine!$C$12:$C$72,$A461+1)/(1+Assumptions!$B$10)^27+INDEX(Surface_Engine!$D$12:$D$72,$A461+1)))*INDEX(Surface_Engine!$B$12:$B$72,$A461+1)+G462</f>
        <v>11543.7039194994</v>
      </c>
      <c r="H461" s="48" t="n">
        <f aca="false">D461*(IF($A461&lt;$Q$447,INDEX(Surface_Engine!$D$12:$D$72,$A461+1)+(Surface_Engine!Q239*12)*INDEX(Surface_Engine!$F$12:$F$72,$A461+1)-(Surface_Engine!Q239*12),1000*12*INDEX(Surface_Engine!$C$12:$C$72,$A461+1)/(1+Assumptions!$B$10)^27+INDEX(Surface_Engine!$D$12:$D$72,$A461+1)))*INDEX(Surface_Engine!$B$12:$B$72,$A461+1)+H462</f>
        <v>6303.47086140868</v>
      </c>
      <c r="I461" s="48" t="n">
        <f aca="false">E461*(IF($A461&lt;$Q$447,INDEX(Surface_Engine!$D$12:$D$72,$A461+1)+(Surface_Engine!Q239*12)*INDEX(Surface_Engine!$F$12:$F$72,$A461+1)-(Surface_Engine!Q239*12),1000*12*INDEX(Surface_Engine!$C$12:$C$72,$A461+1)/(1+Assumptions!$B$10)^27+INDEX(Surface_Engine!$D$12:$D$72,$A461+1)))*INDEX(Surface_Engine!$B$12:$B$72,$A461+1)+I462</f>
        <v>9082.28866986286</v>
      </c>
      <c r="J461" s="48" t="n">
        <f aca="false">B461*(IF($A461&lt;$Q$447,INDEX(Surface_Engine!$D$12:$D$72,$A461+1)*(1+Assumptions!$B$24)+(Surface_Engine!Q239*12)*INDEX(Surface_Engine!$F$12:$F$72,$A461+1)-(Surface_Engine!Q239*12),1000*12*INDEX(Surface_Engine!$C$12:$C$72,$A461+1)/(1+Assumptions!$B$10)^27+INDEX(Surface_Engine!$D$12:$D$72,$A461+1)*(1+Assumptions!$B$24)))*INDEX(Surface_Engine!$B$12:$B$72,$A461+1)+J462</f>
        <v>7664.47956986919</v>
      </c>
      <c r="K461" s="12" t="n">
        <f aca="false">SQRT((IF(C461&lt;=0,0,MAX(0,(B461/C461)*G461/INDEX(Surface_Engine!$B$12:$B$72,$A461+1)-F461/INDEX(Surface_Engine!$B$12:$B$72,$A461+1))))^2+(MAX(IF(D461&lt;=0,0,MAX(0,(B461/D461)*H461/INDEX(Surface_Engine!$B$12:$B$72,$A461+1)-F461/INDEX(Surface_Engine!$B$12:$B$72,$A461+1))),IF(E461&lt;=0,0,MAX(0,(B461/E461)*I461/INDEX(Surface_Engine!$B$12:$B$72,$A461+1)-F461/INDEX(Surface_Engine!$B$12:$B$72,$A461+1))),IF($A461&lt;$Q$447,MAX(0,-Assumptions!$B$22*(F461/INDEX(Surface_Engine!$B$12:$B$72,$A461+1))),0)))^2+(MAX(0,J461/INDEX(Surface_Engine!$B$12:$B$72,$A461+1)-(F461/INDEX(Surface_Engine!$B$12:$B$72,$A461+1))))^2+2*Assumptions!$B$26*(IF(C461&lt;=0,0,MAX(0,(B461/C461)*G461/INDEX(Surface_Engine!$B$12:$B$72,$A461+1)-F461/INDEX(Surface_Engine!$B$12:$B$72,$A461+1))))*(MAX(IF(D461&lt;=0,0,MAX(0,(B461/D461)*H461/INDEX(Surface_Engine!$B$12:$B$72,$A461+1)-F461/INDEX(Surface_Engine!$B$12:$B$72,$A461+1))),IF(E461&lt;=0,0,MAX(0,(B461/E461)*I461/INDEX(Surface_Engine!$B$12:$B$72,$A461+1)-F461/INDEX(Surface_Engine!$B$12:$B$72,$A461+1))),IF($A461&lt;$Q$447,MAX(0,-Assumptions!$B$22*(F461/INDEX(Surface_Engine!$B$12:$B$72,$A461+1))),0)))+2*Assumptions!$B$27*(IF(C461&lt;=0,0,MAX(0,(B461/C461)*G461/INDEX(Surface_Engine!$B$12:$B$72,$A461+1)-F461/INDEX(Surface_Engine!$B$12:$B$72,$A461+1))))*(MAX(0,J461/INDEX(Surface_Engine!$B$12:$B$72,$A461+1)-(F461/INDEX(Surface_Engine!$B$12:$B$72,$A461+1))))+2*Assumptions!$B$28*(MAX(IF(D461&lt;=0,0,MAX(0,(B461/D461)*H461/INDEX(Surface_Engine!$B$12:$B$72,$A461+1)-F461/INDEX(Surface_Engine!$B$12:$B$72,$A461+1))),IF(E461&lt;=0,0,MAX(0,(B461/E461)*I461/INDEX(Surface_Engine!$B$12:$B$72,$A461+1)-F461/INDEX(Surface_Engine!$B$12:$B$72,$A461+1))),IF($A461&lt;$Q$447,MAX(0,-Assumptions!$B$22*(F461/INDEX(Surface_Engine!$B$12:$B$72,$A461+1))),0)))*(MAX(0,J461/INDEX(Surface_Engine!$B$12:$B$72,$A461+1)-(F461/INDEX(Surface_Engine!$B$12:$B$72,$A461+1)))))</f>
        <v>5765.46877749743</v>
      </c>
      <c r="L461" s="48" t="n">
        <f aca="false">K461*INDEX(Surface_Engine!$B$12:$B$72,$A461+1)+L462</f>
        <v>62428.7663437123</v>
      </c>
      <c r="M461" s="48" t="n">
        <f aca="false">M460+B460*(IF($A460&lt;$Q$447,(Surface_Engine!Q239*12)-(Surface_Engine!Q239*12)*INDEX(Surface_Engine!$F$12:$F$72,$A460+1)-INDEX(Surface_Engine!$D$12:$D$72,$A460+1),-(1000*12*INDEX(Surface_Engine!$C$12:$C$72,$A460+1)/(1+Assumptions!$B$10)^27+INDEX(Surface_Engine!$D$12:$D$72,$A460+1))))*INDEX(Surface_Engine!$B$12:$B$72,$A460+1)</f>
        <v>8078.9641300517</v>
      </c>
      <c r="N461" s="12" t="n">
        <f aca="false">IF(B461&lt;=0,0,MAX(0,(K461+Assumptions!$B$29*L461/INDEX(Surface_Engine!$B$12:$B$72,$A461+1)-(M461/INDEX(Surface_Engine!$B$12:$B$72,$A461+1)-(F461/INDEX(Surface_Engine!$B$12:$B$72,$A461+1))))/B461))</f>
        <v>13440.4311854218</v>
      </c>
    </row>
    <row r="462" customFormat="false" ht="15" hidden="false" customHeight="true" outlineLevel="0" collapsed="false">
      <c r="A462" s="1" t="n">
        <v>13</v>
      </c>
      <c r="B462" s="32" t="n">
        <f aca="false">INDEX(Surface_Engine!$J$12:$J$72,$A462+1)*IF($A462&lt;$Q$447,INDEX(Surface_Engine!$E$12:$E$72,$A462+1),INDEX(Surface_Engine!$E$12:$E$72,$Q$447+1))</f>
        <v>0.754987743977101</v>
      </c>
      <c r="C462" s="32" t="n">
        <f aca="false">INDEX(Panel_Reserving!$C$8:$C$68,$A462+1)*IF($A462&lt;$Q$447,INDEX(Surface_Engine!$E$12:$E$72,$A462+1),INDEX(Surface_Engine!$E$12:$E$72,$Q$447+1))</f>
        <v>0.770972503679198</v>
      </c>
      <c r="D462" s="32" t="n">
        <f aca="false">INDEX(Surface_Engine!$J$12:$J$72,$A462+1)*IF($A462&lt;$Q$447,INDEX(Surface_Engine!$Y$12:$Y$72,$A462+1),INDEX(Surface_Engine!$Y$12:$Y$72,$Q$447+1))</f>
        <v>0.69025185411748</v>
      </c>
      <c r="E462" s="32" t="n">
        <f aca="false">INDEX(Surface_Engine!$J$12:$J$72,$A462+1)*IF($A462&lt;$Q$447,INDEX(Surface_Engine!$Z$12:$Z$72,$A462+1),INDEX(Surface_Engine!$Z$12:$Z$72,$Q$447+1))</f>
        <v>0.825072061347622</v>
      </c>
      <c r="F462" s="48" t="n">
        <f aca="false">B462*(IF($A462&lt;$Q$447,INDEX(Surface_Engine!$D$12:$D$72,$A462+1)+(Surface_Engine!Q239*12)*INDEX(Surface_Engine!$F$12:$F$72,$A462+1)-(Surface_Engine!Q239*12),1000*12*INDEX(Surface_Engine!$C$12:$C$72,$A462+1)/(1+Assumptions!$B$10)^27+INDEX(Surface_Engine!$D$12:$D$72,$A462+1)))*INDEX(Surface_Engine!$B$12:$B$72,$A462+1)+F463</f>
        <v>8113.49933295183</v>
      </c>
      <c r="G462" s="48" t="n">
        <f aca="false">C462*(IF($A462&lt;$Q$447,INDEX(Surface_Engine!$D$12:$D$72,$A462+1)+(Surface_Engine!Q239*12)*INDEX(Surface_Engine!$F$12:$F$72,$A462+1)-(Surface_Engine!Q239*12),1000*12*INDEX(Surface_Engine!$C$12:$C$72,$A462+1)/(1+Assumptions!$B$10)^27+INDEX(Surface_Engine!$D$12:$D$72,$A462+1)))*INDEX(Surface_Engine!$B$12:$B$72,$A462+1)+G463</f>
        <v>12086.7086719924</v>
      </c>
      <c r="H462" s="48" t="n">
        <f aca="false">D462*(IF($A462&lt;$Q$447,INDEX(Surface_Engine!$D$12:$D$72,$A462+1)+(Surface_Engine!Q239*12)*INDEX(Surface_Engine!$F$12:$F$72,$A462+1)-(Surface_Engine!Q239*12),1000*12*INDEX(Surface_Engine!$C$12:$C$72,$A462+1)/(1+Assumptions!$B$10)^27+INDEX(Surface_Engine!$D$12:$D$72,$A462+1)))*INDEX(Surface_Engine!$B$12:$B$72,$A462+1)+H463</f>
        <v>6793.29641699628</v>
      </c>
      <c r="I462" s="48" t="n">
        <f aca="false">E462*(IF($A462&lt;$Q$447,INDEX(Surface_Engine!$D$12:$D$72,$A462+1)+(Surface_Engine!Q239*12)*INDEX(Surface_Engine!$F$12:$F$72,$A462+1)-(Surface_Engine!Q239*12),1000*12*INDEX(Surface_Engine!$C$12:$C$72,$A462+1)/(1+Assumptions!$B$10)^27+INDEX(Surface_Engine!$D$12:$D$72,$A462+1)))*INDEX(Surface_Engine!$B$12:$B$72,$A462+1)+I463</f>
        <v>9662.43471646273</v>
      </c>
      <c r="J462" s="48" t="n">
        <f aca="false">B462*(IF($A462&lt;$Q$447,INDEX(Surface_Engine!$D$12:$D$72,$A462+1)*(1+Assumptions!$B$24)+(Surface_Engine!Q239*12)*INDEX(Surface_Engine!$F$12:$F$72,$A462+1)-(Surface_Engine!Q239*12),1000*12*INDEX(Surface_Engine!$C$12:$C$72,$A462+1)/(1+Assumptions!$B$10)^27+INDEX(Surface_Engine!$D$12:$D$72,$A462+1)*(1+Assumptions!$B$24)))*INDEX(Surface_Engine!$B$12:$B$72,$A462+1)+J463</f>
        <v>8191.79847713501</v>
      </c>
      <c r="K462" s="12" t="n">
        <f aca="false">SQRT((IF(C462&lt;=0,0,MAX(0,(B462/C462)*G462/INDEX(Surface_Engine!$B$12:$B$72,$A462+1)-F462/INDEX(Surface_Engine!$B$12:$B$72,$A462+1))))^2+(MAX(IF(D462&lt;=0,0,MAX(0,(B462/D462)*H462/INDEX(Surface_Engine!$B$12:$B$72,$A462+1)-F462/INDEX(Surface_Engine!$B$12:$B$72,$A462+1))),IF(E462&lt;=0,0,MAX(0,(B462/E462)*I462/INDEX(Surface_Engine!$B$12:$B$72,$A462+1)-F462/INDEX(Surface_Engine!$B$12:$B$72,$A462+1))),IF($A462&lt;$Q$447,MAX(0,-Assumptions!$B$22*(F462/INDEX(Surface_Engine!$B$12:$B$72,$A462+1))),0)))^2+(MAX(0,J462/INDEX(Surface_Engine!$B$12:$B$72,$A462+1)-(F462/INDEX(Surface_Engine!$B$12:$B$72,$A462+1))))^2+2*Assumptions!$B$26*(IF(C462&lt;=0,0,MAX(0,(B462/C462)*G462/INDEX(Surface_Engine!$B$12:$B$72,$A462+1)-F462/INDEX(Surface_Engine!$B$12:$B$72,$A462+1))))*(MAX(IF(D462&lt;=0,0,MAX(0,(B462/D462)*H462/INDEX(Surface_Engine!$B$12:$B$72,$A462+1)-F462/INDEX(Surface_Engine!$B$12:$B$72,$A462+1))),IF(E462&lt;=0,0,MAX(0,(B462/E462)*I462/INDEX(Surface_Engine!$B$12:$B$72,$A462+1)-F462/INDEX(Surface_Engine!$B$12:$B$72,$A462+1))),IF($A462&lt;$Q$447,MAX(0,-Assumptions!$B$22*(F462/INDEX(Surface_Engine!$B$12:$B$72,$A462+1))),0)))+2*Assumptions!$B$27*(IF(C462&lt;=0,0,MAX(0,(B462/C462)*G462/INDEX(Surface_Engine!$B$12:$B$72,$A462+1)-F462/INDEX(Surface_Engine!$B$12:$B$72,$A462+1))))*(MAX(0,J462/INDEX(Surface_Engine!$B$12:$B$72,$A462+1)-(F462/INDEX(Surface_Engine!$B$12:$B$72,$A462+1))))+2*Assumptions!$B$28*(MAX(IF(D462&lt;=0,0,MAX(0,(B462/D462)*H462/INDEX(Surface_Engine!$B$12:$B$72,$A462+1)-F462/INDEX(Surface_Engine!$B$12:$B$72,$A462+1))),IF(E462&lt;=0,0,MAX(0,(B462/E462)*I462/INDEX(Surface_Engine!$B$12:$B$72,$A462+1)-F462/INDEX(Surface_Engine!$B$12:$B$72,$A462+1))),IF($A462&lt;$Q$447,MAX(0,-Assumptions!$B$22*(F462/INDEX(Surface_Engine!$B$12:$B$72,$A462+1))),0)))*(MAX(0,J462/INDEX(Surface_Engine!$B$12:$B$72,$A462+1)-(F462/INDEX(Surface_Engine!$B$12:$B$72,$A462+1)))))</f>
        <v>5889.85450421862</v>
      </c>
      <c r="L462" s="48" t="n">
        <f aca="false">K462*INDEX(Surface_Engine!$B$12:$B$72,$A462+1)+L463</f>
        <v>58381.2116762851</v>
      </c>
      <c r="M462" s="48" t="n">
        <f aca="false">M461+B461*(IF($A461&lt;$Q$447,(Surface_Engine!Q239*12)-(Surface_Engine!Q239*12)*INDEX(Surface_Engine!$F$12:$F$72,$A461+1)-INDEX(Surface_Engine!$D$12:$D$72,$A461+1),-(1000*12*INDEX(Surface_Engine!$C$12:$C$72,$A461+1)/(1+Assumptions!$B$10)^27+INDEX(Surface_Engine!$D$12:$D$72,$A461+1))))*INDEX(Surface_Engine!$B$12:$B$72,$A461+1)</f>
        <v>8612.26830060528</v>
      </c>
      <c r="N462" s="12" t="n">
        <f aca="false">IF(B462&lt;=0,0,MAX(0,(K462+Assumptions!$B$29*L462/INDEX(Surface_Engine!$B$12:$B$72,$A462+1)-(M462/INDEX(Surface_Engine!$B$12:$B$72,$A462+1)-(F462/INDEX(Surface_Engine!$B$12:$B$72,$A462+1))))/B462))</f>
        <v>13668.9531768715</v>
      </c>
    </row>
    <row r="463" customFormat="false" ht="15" hidden="false" customHeight="true" outlineLevel="0" collapsed="false">
      <c r="A463" s="1" t="n">
        <v>14</v>
      </c>
      <c r="B463" s="32" t="n">
        <f aca="false">INDEX(Surface_Engine!$J$12:$J$72,$A463+1)*IF($A463&lt;$Q$447,INDEX(Surface_Engine!$E$12:$E$72,$A463+1),INDEX(Surface_Engine!$E$12:$E$72,$Q$447+1))</f>
        <v>0.736058252333804</v>
      </c>
      <c r="C463" s="32" t="n">
        <f aca="false">INDEX(Panel_Reserving!$C$8:$C$68,$A463+1)*IF($A463&lt;$Q$447,INDEX(Surface_Engine!$E$12:$E$72,$A463+1),INDEX(Surface_Engine!$E$12:$E$72,$Q$447+1))</f>
        <v>0.754105117057231</v>
      </c>
      <c r="D463" s="32" t="n">
        <f aca="false">INDEX(Surface_Engine!$J$12:$J$72,$A463+1)*IF($A463&lt;$Q$447,INDEX(Surface_Engine!$Y$12:$Y$72,$A463+1),INDEX(Surface_Engine!$Y$12:$Y$72,$Q$447+1))</f>
        <v>0.669855437313377</v>
      </c>
      <c r="E463" s="32" t="n">
        <f aca="false">INDEX(Surface_Engine!$J$12:$J$72,$A463+1)*IF($A463&lt;$Q$447,INDEX(Surface_Engine!$Z$12:$Z$72,$A463+1),INDEX(Surface_Engine!$Z$12:$Z$72,$Q$447+1))</f>
        <v>0.808078939850979</v>
      </c>
      <c r="F463" s="48" t="n">
        <f aca="false">B463*(IF($A463&lt;$Q$447,INDEX(Surface_Engine!$D$12:$D$72,$A463+1)+(Surface_Engine!Q239*12)*INDEX(Surface_Engine!$F$12:$F$72,$A463+1)-(Surface_Engine!Q239*12),1000*12*INDEX(Surface_Engine!$C$12:$C$72,$A463+1)/(1+Assumptions!$B$10)^27+INDEX(Surface_Engine!$D$12:$D$72,$A463+1)))*INDEX(Surface_Engine!$B$12:$B$72,$A463+1)+F464</f>
        <v>8615.17049592298</v>
      </c>
      <c r="G463" s="48" t="n">
        <f aca="false">C463*(IF($A463&lt;$Q$447,INDEX(Surface_Engine!$D$12:$D$72,$A463+1)+(Surface_Engine!Q239*12)*INDEX(Surface_Engine!$F$12:$F$72,$A463+1)-(Surface_Engine!Q239*12),1000*12*INDEX(Surface_Engine!$C$12:$C$72,$A463+1)/(1+Assumptions!$B$10)^27+INDEX(Surface_Engine!$D$12:$D$72,$A463+1)))*INDEX(Surface_Engine!$B$12:$B$72,$A463+1)+G464</f>
        <v>12599.0013226017</v>
      </c>
      <c r="H463" s="48" t="n">
        <f aca="false">D463*(IF($A463&lt;$Q$447,INDEX(Surface_Engine!$D$12:$D$72,$A463+1)+(Surface_Engine!Q239*12)*INDEX(Surface_Engine!$F$12:$F$72,$A463+1)-(Surface_Engine!Q239*12),1000*12*INDEX(Surface_Engine!$C$12:$C$72,$A463+1)/(1+Assumptions!$B$10)^27+INDEX(Surface_Engine!$D$12:$D$72,$A463+1)))*INDEX(Surface_Engine!$B$12:$B$72,$A463+1)+H464</f>
        <v>7251.95214109319</v>
      </c>
      <c r="I463" s="48" t="n">
        <f aca="false">E463*(IF($A463&lt;$Q$447,INDEX(Surface_Engine!$D$12:$D$72,$A463+1)+(Surface_Engine!Q239*12)*INDEX(Surface_Engine!$F$12:$F$72,$A463+1)-(Surface_Engine!Q239*12),1000*12*INDEX(Surface_Engine!$C$12:$C$72,$A463+1)/(1+Assumptions!$B$10)^27+INDEX(Surface_Engine!$D$12:$D$72,$A463+1)))*INDEX(Surface_Engine!$B$12:$B$72,$A463+1)+I464</f>
        <v>10210.6752195083</v>
      </c>
      <c r="J463" s="48" t="n">
        <f aca="false">B463*(IF($A463&lt;$Q$447,INDEX(Surface_Engine!$D$12:$D$72,$A463+1)*(1+Assumptions!$B$24)+(Surface_Engine!Q239*12)*INDEX(Surface_Engine!$F$12:$F$72,$A463+1)-(Surface_Engine!Q239*12),1000*12*INDEX(Surface_Engine!$C$12:$C$72,$A463+1)/(1+Assumptions!$B$10)^27+INDEX(Surface_Engine!$D$12:$D$72,$A463+1)*(1+Assumptions!$B$24)))*INDEX(Surface_Engine!$B$12:$B$72,$A463+1)+J464</f>
        <v>8687.68239981489</v>
      </c>
      <c r="K463" s="12" t="n">
        <f aca="false">SQRT((IF(C463&lt;=0,0,MAX(0,(B463/C463)*G463/INDEX(Surface_Engine!$B$12:$B$72,$A463+1)-F463/INDEX(Surface_Engine!$B$12:$B$72,$A463+1))))^2+(MAX(IF(D463&lt;=0,0,MAX(0,(B463/D463)*H463/INDEX(Surface_Engine!$B$12:$B$72,$A463+1)-F463/INDEX(Surface_Engine!$B$12:$B$72,$A463+1))),IF(E463&lt;=0,0,MAX(0,(B463/E463)*I463/INDEX(Surface_Engine!$B$12:$B$72,$A463+1)-F463/INDEX(Surface_Engine!$B$12:$B$72,$A463+1))),IF($A463&lt;$Q$447,MAX(0,-Assumptions!$B$22*(F463/INDEX(Surface_Engine!$B$12:$B$72,$A463+1))),0)))^2+(MAX(0,J463/INDEX(Surface_Engine!$B$12:$B$72,$A463+1)-(F463/INDEX(Surface_Engine!$B$12:$B$72,$A463+1))))^2+2*Assumptions!$B$26*(IF(C463&lt;=0,0,MAX(0,(B463/C463)*G463/INDEX(Surface_Engine!$B$12:$B$72,$A463+1)-F463/INDEX(Surface_Engine!$B$12:$B$72,$A463+1))))*(MAX(IF(D463&lt;=0,0,MAX(0,(B463/D463)*H463/INDEX(Surface_Engine!$B$12:$B$72,$A463+1)-F463/INDEX(Surface_Engine!$B$12:$B$72,$A463+1))),IF(E463&lt;=0,0,MAX(0,(B463/E463)*I463/INDEX(Surface_Engine!$B$12:$B$72,$A463+1)-F463/INDEX(Surface_Engine!$B$12:$B$72,$A463+1))),IF($A463&lt;$Q$447,MAX(0,-Assumptions!$B$22*(F463/INDEX(Surface_Engine!$B$12:$B$72,$A463+1))),0)))+2*Assumptions!$B$27*(IF(C463&lt;=0,0,MAX(0,(B463/C463)*G463/INDEX(Surface_Engine!$B$12:$B$72,$A463+1)-F463/INDEX(Surface_Engine!$B$12:$B$72,$A463+1))))*(MAX(0,J463/INDEX(Surface_Engine!$B$12:$B$72,$A463+1)-(F463/INDEX(Surface_Engine!$B$12:$B$72,$A463+1))))+2*Assumptions!$B$28*(MAX(IF(D463&lt;=0,0,MAX(0,(B463/D463)*H463/INDEX(Surface_Engine!$B$12:$B$72,$A463+1)-F463/INDEX(Surface_Engine!$B$12:$B$72,$A463+1))),IF(E463&lt;=0,0,MAX(0,(B463/E463)*I463/INDEX(Surface_Engine!$B$12:$B$72,$A463+1)-F463/INDEX(Surface_Engine!$B$12:$B$72,$A463+1))),IF($A463&lt;$Q$447,MAX(0,-Assumptions!$B$22*(F463/INDEX(Surface_Engine!$B$12:$B$72,$A463+1))),0)))*(MAX(0,J463/INDEX(Surface_Engine!$B$12:$B$72,$A463+1)-(F463/INDEX(Surface_Engine!$B$12:$B$72,$A463+1)))))</f>
        <v>6002.36582868001</v>
      </c>
      <c r="L463" s="48" t="n">
        <f aca="false">K463*INDEX(Surface_Engine!$B$12:$B$72,$A463+1)+L464</f>
        <v>54387.1747332716</v>
      </c>
      <c r="M463" s="48" t="n">
        <f aca="false">M462+B462*(IF($A462&lt;$Q$447,(Surface_Engine!Q239*12)-(Surface_Engine!Q239*12)*INDEX(Surface_Engine!$F$12:$F$72,$A462+1)-INDEX(Surface_Engine!$D$12:$D$72,$A462+1),-(1000*12*INDEX(Surface_Engine!$C$12:$C$72,$A462+1)/(1+Assumptions!$B$10)^27+INDEX(Surface_Engine!$D$12:$D$72,$A462+1))))*INDEX(Surface_Engine!$B$12:$B$72,$A462+1)</f>
        <v>9113.93946357643</v>
      </c>
      <c r="N463" s="12" t="n">
        <f aca="false">IF(B463&lt;=0,0,MAX(0,(K463+Assumptions!$B$29*L463/INDEX(Surface_Engine!$B$12:$B$72,$A463+1)-(M463/INDEX(Surface_Engine!$B$12:$B$72,$A463+1)-(F463/INDEX(Surface_Engine!$B$12:$B$72,$A463+1))))/B463))</f>
        <v>13884.5141459499</v>
      </c>
    </row>
    <row r="464" customFormat="false" ht="15" hidden="false" customHeight="true" outlineLevel="0" collapsed="false">
      <c r="A464" s="1" t="n">
        <v>15</v>
      </c>
      <c r="B464" s="32" t="n">
        <f aca="false">INDEX(Surface_Engine!$J$12:$J$72,$A464+1)*IF($A464&lt;$Q$447,INDEX(Surface_Engine!$E$12:$E$72,$A464+1),INDEX(Surface_Engine!$E$12:$E$72,$Q$447+1))</f>
        <v>0.716211777971633</v>
      </c>
      <c r="C464" s="32" t="n">
        <f aca="false">INDEX(Panel_Reserving!$C$8:$C$68,$A464+1)*IF($A464&lt;$Q$447,INDEX(Surface_Engine!$E$12:$E$72,$A464+1),INDEX(Surface_Engine!$E$12:$E$72,$Q$447+1))</f>
        <v>0.73646618550183</v>
      </c>
      <c r="D464" s="32" t="n">
        <f aca="false">INDEX(Surface_Engine!$J$12:$J$72,$A464+1)*IF($A464&lt;$Q$447,INDEX(Surface_Engine!$Y$12:$Y$72,$A464+1),INDEX(Surface_Engine!$Y$12:$Y$72,$Q$447+1))</f>
        <v>0.648801103578111</v>
      </c>
      <c r="E464" s="32" t="n">
        <f aca="false">INDEX(Surface_Engine!$J$12:$J$72,$A464+1)*IF($A464&lt;$Q$447,INDEX(Surface_Engine!$Z$12:$Z$72,$A464+1),INDEX(Surface_Engine!$Z$12:$Z$72,$Q$447+1))</f>
        <v>0.789901035798062</v>
      </c>
      <c r="F464" s="48" t="n">
        <f aca="false">B464*(IF($A464&lt;$Q$447,INDEX(Surface_Engine!$D$12:$D$72,$A464+1)+(Surface_Engine!Q239*12)*INDEX(Surface_Engine!$F$12:$F$72,$A464+1)-(Surface_Engine!Q239*12),1000*12*INDEX(Surface_Engine!$C$12:$C$72,$A464+1)/(1+Assumptions!$B$10)^27+INDEX(Surface_Engine!$D$12:$D$72,$A464+1)))*INDEX(Surface_Engine!$B$12:$B$72,$A464+1)+F465</f>
        <v>9086.57169802871</v>
      </c>
      <c r="G464" s="48" t="n">
        <f aca="false">C464*(IF($A464&lt;$Q$447,INDEX(Surface_Engine!$D$12:$D$72,$A464+1)+(Surface_Engine!Q239*12)*INDEX(Surface_Engine!$F$12:$F$72,$A464+1)-(Surface_Engine!Q239*12),1000*12*INDEX(Surface_Engine!$C$12:$C$72,$A464+1)/(1+Assumptions!$B$10)^27+INDEX(Surface_Engine!$D$12:$D$72,$A464+1)))*INDEX(Surface_Engine!$B$12:$B$72,$A464+1)+G465</f>
        <v>13081.9604600989</v>
      </c>
      <c r="H464" s="48" t="n">
        <f aca="false">D464*(IF($A464&lt;$Q$447,INDEX(Surface_Engine!$D$12:$D$72,$A464+1)+(Surface_Engine!Q239*12)*INDEX(Surface_Engine!$F$12:$F$72,$A464+1)-(Surface_Engine!Q239*12),1000*12*INDEX(Surface_Engine!$C$12:$C$72,$A464+1)/(1+Assumptions!$B$10)^27+INDEX(Surface_Engine!$D$12:$D$72,$A464+1)))*INDEX(Surface_Engine!$B$12:$B$72,$A464+1)+H465</f>
        <v>7680.95440740211</v>
      </c>
      <c r="I464" s="48" t="n">
        <f aca="false">E464*(IF($A464&lt;$Q$447,INDEX(Surface_Engine!$D$12:$D$72,$A464+1)+(Surface_Engine!Q239*12)*INDEX(Surface_Engine!$F$12:$F$72,$A464+1)-(Surface_Engine!Q239*12),1000*12*INDEX(Surface_Engine!$C$12:$C$72,$A464+1)/(1+Assumptions!$B$10)^27+INDEX(Surface_Engine!$D$12:$D$72,$A464+1)))*INDEX(Surface_Engine!$B$12:$B$72,$A464+1)+I465</f>
        <v>10728.2013561073</v>
      </c>
      <c r="J464" s="48" t="n">
        <f aca="false">B464*(IF($A464&lt;$Q$447,INDEX(Surface_Engine!$D$12:$D$72,$A464+1)*(1+Assumptions!$B$24)+(Surface_Engine!Q239*12)*INDEX(Surface_Engine!$F$12:$F$72,$A464+1)-(Surface_Engine!Q239*12),1000*12*INDEX(Surface_Engine!$C$12:$C$72,$A464+1)/(1+Assumptions!$B$10)^27+INDEX(Surface_Engine!$D$12:$D$72,$A464+1)*(1+Assumptions!$B$24)))*INDEX(Surface_Engine!$B$12:$B$72,$A464+1)+J465</f>
        <v>9153.4934805786</v>
      </c>
      <c r="K464" s="12" t="n">
        <f aca="false">SQRT((IF(C464&lt;=0,0,MAX(0,(B464/C464)*G464/INDEX(Surface_Engine!$B$12:$B$72,$A464+1)-F464/INDEX(Surface_Engine!$B$12:$B$72,$A464+1))))^2+(MAX(IF(D464&lt;=0,0,MAX(0,(B464/D464)*H464/INDEX(Surface_Engine!$B$12:$B$72,$A464+1)-F464/INDEX(Surface_Engine!$B$12:$B$72,$A464+1))),IF(E464&lt;=0,0,MAX(0,(B464/E464)*I464/INDEX(Surface_Engine!$B$12:$B$72,$A464+1)-F464/INDEX(Surface_Engine!$B$12:$B$72,$A464+1))),IF($A464&lt;$Q$447,MAX(0,-Assumptions!$B$22*(F464/INDEX(Surface_Engine!$B$12:$B$72,$A464+1))),0)))^2+(MAX(0,J464/INDEX(Surface_Engine!$B$12:$B$72,$A464+1)-(F464/INDEX(Surface_Engine!$B$12:$B$72,$A464+1))))^2+2*Assumptions!$B$26*(IF(C464&lt;=0,0,MAX(0,(B464/C464)*G464/INDEX(Surface_Engine!$B$12:$B$72,$A464+1)-F464/INDEX(Surface_Engine!$B$12:$B$72,$A464+1))))*(MAX(IF(D464&lt;=0,0,MAX(0,(B464/D464)*H464/INDEX(Surface_Engine!$B$12:$B$72,$A464+1)-F464/INDEX(Surface_Engine!$B$12:$B$72,$A464+1))),IF(E464&lt;=0,0,MAX(0,(B464/E464)*I464/INDEX(Surface_Engine!$B$12:$B$72,$A464+1)-F464/INDEX(Surface_Engine!$B$12:$B$72,$A464+1))),IF($A464&lt;$Q$447,MAX(0,-Assumptions!$B$22*(F464/INDEX(Surface_Engine!$B$12:$B$72,$A464+1))),0)))+2*Assumptions!$B$27*(IF(C464&lt;=0,0,MAX(0,(B464/C464)*G464/INDEX(Surface_Engine!$B$12:$B$72,$A464+1)-F464/INDEX(Surface_Engine!$B$12:$B$72,$A464+1))))*(MAX(0,J464/INDEX(Surface_Engine!$B$12:$B$72,$A464+1)-(F464/INDEX(Surface_Engine!$B$12:$B$72,$A464+1))))+2*Assumptions!$B$28*(MAX(IF(D464&lt;=0,0,MAX(0,(B464/D464)*H464/INDEX(Surface_Engine!$B$12:$B$72,$A464+1)-F464/INDEX(Surface_Engine!$B$12:$B$72,$A464+1))),IF(E464&lt;=0,0,MAX(0,(B464/E464)*I464/INDEX(Surface_Engine!$B$12:$B$72,$A464+1)-F464/INDEX(Surface_Engine!$B$12:$B$72,$A464+1))),IF($A464&lt;$Q$447,MAX(0,-Assumptions!$B$22*(F464/INDEX(Surface_Engine!$B$12:$B$72,$A464+1))),0)))*(MAX(0,J464/INDEX(Surface_Engine!$B$12:$B$72,$A464+1)-(F464/INDEX(Surface_Engine!$B$12:$B$72,$A464+1)))))</f>
        <v>6120.95285483909</v>
      </c>
      <c r="L464" s="48" t="n">
        <f aca="false">K464*INDEX(Surface_Engine!$B$12:$B$72,$A464+1)+L465</f>
        <v>50452.7291593587</v>
      </c>
      <c r="M464" s="48" t="n">
        <f aca="false">M463+B463*(IF($A463&lt;$Q$447,(Surface_Engine!Q239*12)-(Surface_Engine!Q239*12)*INDEX(Surface_Engine!$F$12:$F$72,$A463+1)-INDEX(Surface_Engine!$D$12:$D$72,$A463+1),-(1000*12*INDEX(Surface_Engine!$C$12:$C$72,$A463+1)/(1+Assumptions!$B$10)^27+INDEX(Surface_Engine!$D$12:$D$72,$A463+1))))*INDEX(Surface_Engine!$B$12:$B$72,$A463+1)</f>
        <v>9585.34066568216</v>
      </c>
      <c r="N464" s="12" t="n">
        <f aca="false">IF(B464&lt;=0,0,MAX(0,(K464+Assumptions!$B$29*L464/INDEX(Surface_Engine!$B$12:$B$72,$A464+1)-(M464/INDEX(Surface_Engine!$B$12:$B$72,$A464+1)-(F464/INDEX(Surface_Engine!$B$12:$B$72,$A464+1))))/B464))</f>
        <v>14132.6074680357</v>
      </c>
    </row>
    <row r="465" customFormat="false" ht="15" hidden="false" customHeight="true" outlineLevel="0" collapsed="false">
      <c r="A465" s="1" t="n">
        <v>16</v>
      </c>
      <c r="B465" s="32" t="n">
        <f aca="false">INDEX(Surface_Engine!$J$12:$J$72,$A465+1)*IF($A465&lt;$Q$447,INDEX(Surface_Engine!$E$12:$E$72,$A465+1),INDEX(Surface_Engine!$E$12:$E$72,$Q$447+1))</f>
        <v>0.695367768157948</v>
      </c>
      <c r="C465" s="32" t="n">
        <f aca="false">INDEX(Panel_Reserving!$C$8:$C$68,$A465+1)*IF($A465&lt;$Q$447,INDEX(Surface_Engine!$E$12:$E$72,$A465+1),INDEX(Surface_Engine!$E$12:$E$72,$Q$447+1))</f>
        <v>0.717979035748302</v>
      </c>
      <c r="D465" s="32" t="n">
        <f aca="false">INDEX(Surface_Engine!$J$12:$J$72,$A465+1)*IF($A465&lt;$Q$447,INDEX(Surface_Engine!$Y$12:$Y$72,$A465+1),INDEX(Surface_Engine!$Y$12:$Y$72,$Q$447+1))</f>
        <v>0.627026503318878</v>
      </c>
      <c r="E465" s="32" t="n">
        <f aca="false">INDEX(Surface_Engine!$J$12:$J$72,$A465+1)*IF($A465&lt;$Q$447,INDEX(Surface_Engine!$Z$12:$Z$72,$A465+1),INDEX(Surface_Engine!$Z$12:$Z$72,$Q$447+1))</f>
        <v>0.77043393460043</v>
      </c>
      <c r="F465" s="48" t="n">
        <f aca="false">B465*(IF($A465&lt;$Q$447,INDEX(Surface_Engine!$D$12:$D$72,$A465+1)+(Surface_Engine!Q239*12)*INDEX(Surface_Engine!$F$12:$F$72,$A465+1)-(Surface_Engine!Q239*12),1000*12*INDEX(Surface_Engine!$C$12:$C$72,$A465+1)/(1+Assumptions!$B$10)^27+INDEX(Surface_Engine!$D$12:$D$72,$A465+1)))*INDEX(Surface_Engine!$B$12:$B$72,$A465+1)+F466</f>
        <v>9527.47888699885</v>
      </c>
      <c r="G465" s="48" t="n">
        <f aca="false">C465*(IF($A465&lt;$Q$447,INDEX(Surface_Engine!$D$12:$D$72,$A465+1)+(Surface_Engine!Q239*12)*INDEX(Surface_Engine!$F$12:$F$72,$A465+1)-(Surface_Engine!Q239*12),1000*12*INDEX(Surface_Engine!$C$12:$C$72,$A465+1)/(1+Assumptions!$B$10)^27+INDEX(Surface_Engine!$D$12:$D$72,$A465+1)))*INDEX(Surface_Engine!$B$12:$B$72,$A465+1)+G466</f>
        <v>13535.3364664818</v>
      </c>
      <c r="H465" s="48" t="n">
        <f aca="false">D465*(IF($A465&lt;$Q$447,INDEX(Surface_Engine!$D$12:$D$72,$A465+1)+(Surface_Engine!Q239*12)*INDEX(Surface_Engine!$F$12:$F$72,$A465+1)-(Surface_Engine!Q239*12),1000*12*INDEX(Surface_Engine!$C$12:$C$72,$A465+1)/(1+Assumptions!$B$10)^27+INDEX(Surface_Engine!$D$12:$D$72,$A465+1)))*INDEX(Surface_Engine!$B$12:$B$72,$A465+1)+H466</f>
        <v>8080.36290580673</v>
      </c>
      <c r="I465" s="48" t="n">
        <f aca="false">E465*(IF($A465&lt;$Q$447,INDEX(Surface_Engine!$D$12:$D$72,$A465+1)+(Surface_Engine!Q239*12)*INDEX(Surface_Engine!$F$12:$F$72,$A465+1)-(Surface_Engine!Q239*12),1000*12*INDEX(Surface_Engine!$C$12:$C$72,$A465+1)/(1+Assumptions!$B$10)^27+INDEX(Surface_Engine!$D$12:$D$72,$A465+1)))*INDEX(Surface_Engine!$B$12:$B$72,$A465+1)+I466</f>
        <v>11214.4723948839</v>
      </c>
      <c r="J465" s="48" t="n">
        <f aca="false">B465*(IF($A465&lt;$Q$447,INDEX(Surface_Engine!$D$12:$D$72,$A465+1)*(1+Assumptions!$B$24)+(Surface_Engine!Q239*12)*INDEX(Surface_Engine!$F$12:$F$72,$A465+1)-(Surface_Engine!Q239*12),1000*12*INDEX(Surface_Engine!$C$12:$C$72,$A465+1)/(1+Assumptions!$B$10)^27+INDEX(Surface_Engine!$D$12:$D$72,$A465+1)*(1+Assumptions!$B$24)))*INDEX(Surface_Engine!$B$12:$B$72,$A465+1)+J466</f>
        <v>9589.02551408544</v>
      </c>
      <c r="K465" s="12" t="n">
        <f aca="false">SQRT((IF(C465&lt;=0,0,MAX(0,(B465/C465)*G465/INDEX(Surface_Engine!$B$12:$B$72,$A465+1)-F465/INDEX(Surface_Engine!$B$12:$B$72,$A465+1))))^2+(MAX(IF(D465&lt;=0,0,MAX(0,(B465/D465)*H465/INDEX(Surface_Engine!$B$12:$B$72,$A465+1)-F465/INDEX(Surface_Engine!$B$12:$B$72,$A465+1))),IF(E465&lt;=0,0,MAX(0,(B465/E465)*I465/INDEX(Surface_Engine!$B$12:$B$72,$A465+1)-F465/INDEX(Surface_Engine!$B$12:$B$72,$A465+1))),IF($A465&lt;$Q$447,MAX(0,-Assumptions!$B$22*(F465/INDEX(Surface_Engine!$B$12:$B$72,$A465+1))),0)))^2+(MAX(0,J465/INDEX(Surface_Engine!$B$12:$B$72,$A465+1)-(F465/INDEX(Surface_Engine!$B$12:$B$72,$A465+1))))^2+2*Assumptions!$B$26*(IF(C465&lt;=0,0,MAX(0,(B465/C465)*G465/INDEX(Surface_Engine!$B$12:$B$72,$A465+1)-F465/INDEX(Surface_Engine!$B$12:$B$72,$A465+1))))*(MAX(IF(D465&lt;=0,0,MAX(0,(B465/D465)*H465/INDEX(Surface_Engine!$B$12:$B$72,$A465+1)-F465/INDEX(Surface_Engine!$B$12:$B$72,$A465+1))),IF(E465&lt;=0,0,MAX(0,(B465/E465)*I465/INDEX(Surface_Engine!$B$12:$B$72,$A465+1)-F465/INDEX(Surface_Engine!$B$12:$B$72,$A465+1))),IF($A465&lt;$Q$447,MAX(0,-Assumptions!$B$22*(F465/INDEX(Surface_Engine!$B$12:$B$72,$A465+1))),0)))+2*Assumptions!$B$27*(IF(C465&lt;=0,0,MAX(0,(B465/C465)*G465/INDEX(Surface_Engine!$B$12:$B$72,$A465+1)-F465/INDEX(Surface_Engine!$B$12:$B$72,$A465+1))))*(MAX(0,J465/INDEX(Surface_Engine!$B$12:$B$72,$A465+1)-(F465/INDEX(Surface_Engine!$B$12:$B$72,$A465+1))))+2*Assumptions!$B$28*(MAX(IF(D465&lt;=0,0,MAX(0,(B465/D465)*H465/INDEX(Surface_Engine!$B$12:$B$72,$A465+1)-F465/INDEX(Surface_Engine!$B$12:$B$72,$A465+1))),IF(E465&lt;=0,0,MAX(0,(B465/E465)*I465/INDEX(Surface_Engine!$B$12:$B$72,$A465+1)-F465/INDEX(Surface_Engine!$B$12:$B$72,$A465+1))),IF($A465&lt;$Q$447,MAX(0,-Assumptions!$B$22*(F465/INDEX(Surface_Engine!$B$12:$B$72,$A465+1))),0)))*(MAX(0,J465/INDEX(Surface_Engine!$B$12:$B$72,$A465+1)-(F465/INDEX(Surface_Engine!$B$12:$B$72,$A465+1)))))</f>
        <v>6221.37359216505</v>
      </c>
      <c r="L465" s="48" t="n">
        <f aca="false">K465*INDEX(Surface_Engine!$B$12:$B$72,$A465+1)+L466</f>
        <v>46584.637361391</v>
      </c>
      <c r="M465" s="48" t="n">
        <f aca="false">M464+B464*(IF($A464&lt;$Q$447,(Surface_Engine!Q239*12)-(Surface_Engine!Q239*12)*INDEX(Surface_Engine!$F$12:$F$72,$A464+1)-INDEX(Surface_Engine!$D$12:$D$72,$A464+1),-(1000*12*INDEX(Surface_Engine!$C$12:$C$72,$A464+1)/(1+Assumptions!$B$10)^27+INDEX(Surface_Engine!$D$12:$D$72,$A464+1))))*INDEX(Surface_Engine!$B$12:$B$72,$A464+1)</f>
        <v>10026.2478546523</v>
      </c>
      <c r="N465" s="12" t="n">
        <f aca="false">IF(B465&lt;=0,0,MAX(0,(K465+Assumptions!$B$29*L465/INDEX(Surface_Engine!$B$12:$B$72,$A465+1)-(M465/INDEX(Surface_Engine!$B$12:$B$72,$A465+1)-(F465/INDEX(Surface_Engine!$B$12:$B$72,$A465+1))))/B465))</f>
        <v>14361.6831249291</v>
      </c>
    </row>
    <row r="466" customFormat="false" ht="15" hidden="false" customHeight="true" outlineLevel="0" collapsed="false">
      <c r="A466" s="1" t="n">
        <v>17</v>
      </c>
      <c r="B466" s="32" t="n">
        <f aca="false">INDEX(Surface_Engine!$J$12:$J$72,$A466+1)*IF($A466&lt;$Q$447,INDEX(Surface_Engine!$E$12:$E$72,$A466+1),INDEX(Surface_Engine!$E$12:$E$72,$Q$447+1))</f>
        <v>0.673448174500525</v>
      </c>
      <c r="C466" s="32" t="n">
        <f aca="false">INDEX(Panel_Reserving!$C$8:$C$68,$A466+1)*IF($A466&lt;$Q$447,INDEX(Surface_Engine!$E$12:$E$72,$A466+1),INDEX(Surface_Engine!$E$12:$E$72,$Q$447+1))</f>
        <v>0.698566431590241</v>
      </c>
      <c r="D466" s="32" t="n">
        <f aca="false">INDEX(Surface_Engine!$J$12:$J$72,$A466+1)*IF($A466&lt;$Q$447,INDEX(Surface_Engine!$Y$12:$Y$72,$A466+1),INDEX(Surface_Engine!$Y$12:$Y$72,$Q$447+1))</f>
        <v>0.604472770792341</v>
      </c>
      <c r="E466" s="32" t="n">
        <f aca="false">INDEX(Surface_Engine!$J$12:$J$72,$A466+1)*IF($A466&lt;$Q$447,INDEX(Surface_Engine!$Z$12:$Z$72,$A466+1),INDEX(Surface_Engine!$Z$12:$Z$72,$Q$447+1))</f>
        <v>0.749574234236939</v>
      </c>
      <c r="F466" s="48" t="n">
        <f aca="false">B466*(IF($A466&lt;$Q$447,INDEX(Surface_Engine!$D$12:$D$72,$A466+1)+(Surface_Engine!Q239*12)*INDEX(Surface_Engine!$F$12:$F$72,$A466+1)-(Surface_Engine!Q239*12),1000*12*INDEX(Surface_Engine!$C$12:$C$72,$A466+1)/(1+Assumptions!$B$10)^27+INDEX(Surface_Engine!$D$12:$D$72,$A466+1)))*INDEX(Surface_Engine!$B$12:$B$72,$A466+1)+F467</f>
        <v>9939.33946324614</v>
      </c>
      <c r="G466" s="48" t="n">
        <f aca="false">C466*(IF($A466&lt;$Q$447,INDEX(Surface_Engine!$D$12:$D$72,$A466+1)+(Surface_Engine!Q239*12)*INDEX(Surface_Engine!$F$12:$F$72,$A466+1)-(Surface_Engine!Q239*12),1000*12*INDEX(Surface_Engine!$C$12:$C$72,$A466+1)/(1+Assumptions!$B$10)^27+INDEX(Surface_Engine!$D$12:$D$72,$A466+1)))*INDEX(Surface_Engine!$B$12:$B$72,$A466+1)+G467</f>
        <v>13960.589509458</v>
      </c>
      <c r="H466" s="48" t="n">
        <f aca="false">D466*(IF($A466&lt;$Q$447,INDEX(Surface_Engine!$D$12:$D$72,$A466+1)+(Surface_Engine!Q239*12)*INDEX(Surface_Engine!$F$12:$F$72,$A466+1)-(Surface_Engine!Q239*12),1000*12*INDEX(Surface_Engine!$C$12:$C$72,$A466+1)/(1+Assumptions!$B$10)^27+INDEX(Surface_Engine!$D$12:$D$72,$A466+1)))*INDEX(Surface_Engine!$B$12:$B$72,$A466+1)+H467</f>
        <v>8451.74551628253</v>
      </c>
      <c r="I466" s="48" t="n">
        <f aca="false">E466*(IF($A466&lt;$Q$447,INDEX(Surface_Engine!$D$12:$D$72,$A466+1)+(Surface_Engine!Q239*12)*INDEX(Surface_Engine!$F$12:$F$72,$A466+1)-(Surface_Engine!Q239*12),1000*12*INDEX(Surface_Engine!$C$12:$C$72,$A466+1)/(1+Assumptions!$B$10)^27+INDEX(Surface_Engine!$D$12:$D$72,$A466+1)))*INDEX(Surface_Engine!$B$12:$B$72,$A466+1)+I467</f>
        <v>11670.7940404867</v>
      </c>
      <c r="J466" s="48" t="n">
        <f aca="false">B466*(IF($A466&lt;$Q$447,INDEX(Surface_Engine!$D$12:$D$72,$A466+1)*(1+Assumptions!$B$24)+(Surface_Engine!Q239*12)*INDEX(Surface_Engine!$F$12:$F$72,$A466+1)-(Surface_Engine!Q239*12),1000*12*INDEX(Surface_Engine!$C$12:$C$72,$A466+1)/(1+Assumptions!$B$10)^27+INDEX(Surface_Engine!$D$12:$D$72,$A466+1)*(1+Assumptions!$B$24)))*INDEX(Surface_Engine!$B$12:$B$72,$A466+1)+J467</f>
        <v>9995.72378611982</v>
      </c>
      <c r="K466" s="12" t="n">
        <f aca="false">SQRT((IF(C466&lt;=0,0,MAX(0,(B466/C466)*G466/INDEX(Surface_Engine!$B$12:$B$72,$A466+1)-F466/INDEX(Surface_Engine!$B$12:$B$72,$A466+1))))^2+(MAX(IF(D466&lt;=0,0,MAX(0,(B466/D466)*H466/INDEX(Surface_Engine!$B$12:$B$72,$A466+1)-F466/INDEX(Surface_Engine!$B$12:$B$72,$A466+1))),IF(E466&lt;=0,0,MAX(0,(B466/E466)*I466/INDEX(Surface_Engine!$B$12:$B$72,$A466+1)-F466/INDEX(Surface_Engine!$B$12:$B$72,$A466+1))),IF($A466&lt;$Q$447,MAX(0,-Assumptions!$B$22*(F466/INDEX(Surface_Engine!$B$12:$B$72,$A466+1))),0)))^2+(MAX(0,J466/INDEX(Surface_Engine!$B$12:$B$72,$A466+1)-(F466/INDEX(Surface_Engine!$B$12:$B$72,$A466+1))))^2+2*Assumptions!$B$26*(IF(C466&lt;=0,0,MAX(0,(B466/C466)*G466/INDEX(Surface_Engine!$B$12:$B$72,$A466+1)-F466/INDEX(Surface_Engine!$B$12:$B$72,$A466+1))))*(MAX(IF(D466&lt;=0,0,MAX(0,(B466/D466)*H466/INDEX(Surface_Engine!$B$12:$B$72,$A466+1)-F466/INDEX(Surface_Engine!$B$12:$B$72,$A466+1))),IF(E466&lt;=0,0,MAX(0,(B466/E466)*I466/INDEX(Surface_Engine!$B$12:$B$72,$A466+1)-F466/INDEX(Surface_Engine!$B$12:$B$72,$A466+1))),IF($A466&lt;$Q$447,MAX(0,-Assumptions!$B$22*(F466/INDEX(Surface_Engine!$B$12:$B$72,$A466+1))),0)))+2*Assumptions!$B$27*(IF(C466&lt;=0,0,MAX(0,(B466/C466)*G466/INDEX(Surface_Engine!$B$12:$B$72,$A466+1)-F466/INDEX(Surface_Engine!$B$12:$B$72,$A466+1))))*(MAX(0,J466/INDEX(Surface_Engine!$B$12:$B$72,$A466+1)-(F466/INDEX(Surface_Engine!$B$12:$B$72,$A466+1))))+2*Assumptions!$B$28*(MAX(IF(D466&lt;=0,0,MAX(0,(B466/D466)*H466/INDEX(Surface_Engine!$B$12:$B$72,$A466+1)-F466/INDEX(Surface_Engine!$B$12:$B$72,$A466+1))),IF(E466&lt;=0,0,MAX(0,(B466/E466)*I466/INDEX(Surface_Engine!$B$12:$B$72,$A466+1)-F466/INDEX(Surface_Engine!$B$12:$B$72,$A466+1))),IF($A466&lt;$Q$447,MAX(0,-Assumptions!$B$22*(F466/INDEX(Surface_Engine!$B$12:$B$72,$A466+1))),0)))*(MAX(0,J466/INDEX(Surface_Engine!$B$12:$B$72,$A466+1)-(F466/INDEX(Surface_Engine!$B$12:$B$72,$A466+1)))))</f>
        <v>6295.01978832358</v>
      </c>
      <c r="L466" s="48" t="n">
        <f aca="false">K466*INDEX(Surface_Engine!$B$12:$B$72,$A466+1)+L467</f>
        <v>42790.4425983888</v>
      </c>
      <c r="M466" s="48" t="n">
        <f aca="false">M465+B465*(IF($A465&lt;$Q$447,(Surface_Engine!Q239*12)-(Surface_Engine!Q239*12)*INDEX(Surface_Engine!$F$12:$F$72,$A465+1)-INDEX(Surface_Engine!$D$12:$D$72,$A465+1),-(1000*12*INDEX(Surface_Engine!$C$12:$C$72,$A465+1)/(1+Assumptions!$B$10)^27+INDEX(Surface_Engine!$D$12:$D$72,$A465+1))))*INDEX(Surface_Engine!$B$12:$B$72,$A465+1)</f>
        <v>10438.1084308996</v>
      </c>
      <c r="N466" s="12" t="n">
        <f aca="false">IF(B466&lt;=0,0,MAX(0,(K466+Assumptions!$B$29*L466/INDEX(Surface_Engine!$B$12:$B$72,$A466+1)-(M466/INDEX(Surface_Engine!$B$12:$B$72,$A466+1)-(F466/INDEX(Surface_Engine!$B$12:$B$72,$A466+1))))/B466))</f>
        <v>14556.8823810101</v>
      </c>
    </row>
    <row r="467" customFormat="false" ht="15" hidden="false" customHeight="true" outlineLevel="0" collapsed="false">
      <c r="A467" s="1" t="n">
        <v>18</v>
      </c>
      <c r="B467" s="32" t="n">
        <f aca="false">INDEX(Surface_Engine!$J$12:$J$72,$A467+1)*IF($A467&lt;$Q$447,INDEX(Surface_Engine!$E$12:$E$72,$A467+1),INDEX(Surface_Engine!$E$12:$E$72,$Q$447+1))</f>
        <v>0.649803323556463</v>
      </c>
      <c r="C467" s="32" t="n">
        <f aca="false">INDEX(Panel_Reserving!$C$8:$C$68,$A467+1)*IF($A467&lt;$Q$447,INDEX(Surface_Engine!$E$12:$E$72,$A467+1),INDEX(Surface_Engine!$E$12:$E$72,$Q$447+1))</f>
        <v>0.677673635772064</v>
      </c>
      <c r="D467" s="32" t="n">
        <f aca="false">INDEX(Surface_Engine!$J$12:$J$72,$A467+1)*IF($A467&lt;$Q$447,INDEX(Surface_Engine!$Y$12:$Y$72,$A467+1),INDEX(Surface_Engine!$Y$12:$Y$72,$Q$447+1))</f>
        <v>0.580571497872753</v>
      </c>
      <c r="E467" s="32" t="n">
        <f aca="false">INDEX(Surface_Engine!$J$12:$J$72,$A467+1)*IF($A467&lt;$Q$447,INDEX(Surface_Engine!$Z$12:$Z$72,$A467+1),INDEX(Surface_Engine!$Z$12:$Z$72,$Q$447+1))</f>
        <v>0.726577626594584</v>
      </c>
      <c r="F467" s="48" t="n">
        <f aca="false">B467*(IF($A467&lt;$Q$447,INDEX(Surface_Engine!$D$12:$D$72,$A467+1)+(Surface_Engine!Q239*12)*INDEX(Surface_Engine!$F$12:$F$72,$A467+1)-(Surface_Engine!Q239*12),1000*12*INDEX(Surface_Engine!$C$12:$C$72,$A467+1)/(1+Assumptions!$B$10)^27+INDEX(Surface_Engine!$D$12:$D$72,$A467+1)))*INDEX(Surface_Engine!$B$12:$B$72,$A467+1)+F468</f>
        <v>10323.7870227948</v>
      </c>
      <c r="G467" s="48" t="n">
        <f aca="false">C467*(IF($A467&lt;$Q$447,INDEX(Surface_Engine!$D$12:$D$72,$A467+1)+(Surface_Engine!Q239*12)*INDEX(Surface_Engine!$F$12:$F$72,$A467+1)-(Surface_Engine!Q239*12),1000*12*INDEX(Surface_Engine!$C$12:$C$72,$A467+1)/(1+Assumptions!$B$10)^27+INDEX(Surface_Engine!$D$12:$D$72,$A467+1)))*INDEX(Surface_Engine!$B$12:$B$72,$A467+1)+G468</f>
        <v>14359.3761867056</v>
      </c>
      <c r="H467" s="48" t="n">
        <f aca="false">D467*(IF($A467&lt;$Q$447,INDEX(Surface_Engine!$D$12:$D$72,$A467+1)+(Surface_Engine!Q239*12)*INDEX(Surface_Engine!$F$12:$F$72,$A467+1)-(Surface_Engine!Q239*12),1000*12*INDEX(Surface_Engine!$C$12:$C$72,$A467+1)/(1+Assumptions!$B$10)^27+INDEX(Surface_Engine!$D$12:$D$72,$A467+1)))*INDEX(Surface_Engine!$B$12:$B$72,$A467+1)+H468</f>
        <v>8796.81747629949</v>
      </c>
      <c r="I467" s="48" t="n">
        <f aca="false">E467*(IF($A467&lt;$Q$447,INDEX(Surface_Engine!$D$12:$D$72,$A467+1)+(Surface_Engine!Q239*12)*INDEX(Surface_Engine!$F$12:$F$72,$A467+1)-(Surface_Engine!Q239*12),1000*12*INDEX(Surface_Engine!$C$12:$C$72,$A467+1)/(1+Assumptions!$B$10)^27+INDEX(Surface_Engine!$D$12:$D$72,$A467+1)))*INDEX(Surface_Engine!$B$12:$B$72,$A467+1)+I468</f>
        <v>12098.6992542275</v>
      </c>
      <c r="J467" s="48" t="n">
        <f aca="false">B467*(IF($A467&lt;$Q$447,INDEX(Surface_Engine!$D$12:$D$72,$A467+1)*(1+Assumptions!$B$24)+(Surface_Engine!Q239*12)*INDEX(Surface_Engine!$F$12:$F$72,$A467+1)-(Surface_Engine!Q239*12),1000*12*INDEX(Surface_Engine!$C$12:$C$72,$A467+1)/(1+Assumptions!$B$10)^27+INDEX(Surface_Engine!$D$12:$D$72,$A467+1)*(1+Assumptions!$B$24)))*INDEX(Surface_Engine!$B$12:$B$72,$A467+1)+J468</f>
        <v>10375.2166457714</v>
      </c>
      <c r="K467" s="12" t="n">
        <f aca="false">SQRT((IF(C467&lt;=0,0,MAX(0,(B467/C467)*G467/INDEX(Surface_Engine!$B$12:$B$72,$A467+1)-F467/INDEX(Surface_Engine!$B$12:$B$72,$A467+1))))^2+(MAX(IF(D467&lt;=0,0,MAX(0,(B467/D467)*H467/INDEX(Surface_Engine!$B$12:$B$72,$A467+1)-F467/INDEX(Surface_Engine!$B$12:$B$72,$A467+1))),IF(E467&lt;=0,0,MAX(0,(B467/E467)*I467/INDEX(Surface_Engine!$B$12:$B$72,$A467+1)-F467/INDEX(Surface_Engine!$B$12:$B$72,$A467+1))),IF($A467&lt;$Q$447,MAX(0,-Assumptions!$B$22*(F467/INDEX(Surface_Engine!$B$12:$B$72,$A467+1))),0)))^2+(MAX(0,J467/INDEX(Surface_Engine!$B$12:$B$72,$A467+1)-(F467/INDEX(Surface_Engine!$B$12:$B$72,$A467+1))))^2+2*Assumptions!$B$26*(IF(C467&lt;=0,0,MAX(0,(B467/C467)*G467/INDEX(Surface_Engine!$B$12:$B$72,$A467+1)-F467/INDEX(Surface_Engine!$B$12:$B$72,$A467+1))))*(MAX(IF(D467&lt;=0,0,MAX(0,(B467/D467)*H467/INDEX(Surface_Engine!$B$12:$B$72,$A467+1)-F467/INDEX(Surface_Engine!$B$12:$B$72,$A467+1))),IF(E467&lt;=0,0,MAX(0,(B467/E467)*I467/INDEX(Surface_Engine!$B$12:$B$72,$A467+1)-F467/INDEX(Surface_Engine!$B$12:$B$72,$A467+1))),IF($A467&lt;$Q$447,MAX(0,-Assumptions!$B$22*(F467/INDEX(Surface_Engine!$B$12:$B$72,$A467+1))),0)))+2*Assumptions!$B$27*(IF(C467&lt;=0,0,MAX(0,(B467/C467)*G467/INDEX(Surface_Engine!$B$12:$B$72,$A467+1)-F467/INDEX(Surface_Engine!$B$12:$B$72,$A467+1))))*(MAX(0,J467/INDEX(Surface_Engine!$B$12:$B$72,$A467+1)-(F467/INDEX(Surface_Engine!$B$12:$B$72,$A467+1))))+2*Assumptions!$B$28*(MAX(IF(D467&lt;=0,0,MAX(0,(B467/D467)*H467/INDEX(Surface_Engine!$B$12:$B$72,$A467+1)-F467/INDEX(Surface_Engine!$B$12:$B$72,$A467+1))),IF(E467&lt;=0,0,MAX(0,(B467/E467)*I467/INDEX(Surface_Engine!$B$12:$B$72,$A467+1)-F467/INDEX(Surface_Engine!$B$12:$B$72,$A467+1))),IF($A467&lt;$Q$447,MAX(0,-Assumptions!$B$22*(F467/INDEX(Surface_Engine!$B$12:$B$72,$A467+1))),0)))*(MAX(0,J467/INDEX(Surface_Engine!$B$12:$B$72,$A467+1)-(F467/INDEX(Surface_Engine!$B$12:$B$72,$A467+1)))))</f>
        <v>6338.68954278801</v>
      </c>
      <c r="L467" s="48" t="n">
        <f aca="false">K467*INDEX(Surface_Engine!$B$12:$B$72,$A467+1)+L468</f>
        <v>39078.5900968227</v>
      </c>
      <c r="M467" s="48" t="n">
        <f aca="false">M466+B466*(IF($A466&lt;$Q$447,(Surface_Engine!Q239*12)-(Surface_Engine!Q239*12)*INDEX(Surface_Engine!$F$12:$F$72,$A466+1)-INDEX(Surface_Engine!$D$12:$D$72,$A466+1),-(1000*12*INDEX(Surface_Engine!$C$12:$C$72,$A466+1)/(1+Assumptions!$B$10)^27+INDEX(Surface_Engine!$D$12:$D$72,$A466+1))))*INDEX(Surface_Engine!$B$12:$B$72,$A466+1)</f>
        <v>10822.5559904483</v>
      </c>
      <c r="N467" s="12" t="n">
        <f aca="false">IF(B467&lt;=0,0,MAX(0,(K467+Assumptions!$B$29*L467/INDEX(Surface_Engine!$B$12:$B$72,$A467+1)-(M467/INDEX(Surface_Engine!$B$12:$B$72,$A467+1)-(F467/INDEX(Surface_Engine!$B$12:$B$72,$A467+1))))/B467))</f>
        <v>14732.3823308965</v>
      </c>
    </row>
    <row r="468" customFormat="false" ht="15" hidden="false" customHeight="true" outlineLevel="0" collapsed="false">
      <c r="A468" s="1" t="n">
        <v>19</v>
      </c>
      <c r="B468" s="32" t="n">
        <f aca="false">INDEX(Surface_Engine!$J$12:$J$72,$A468+1)*IF($A468&lt;$Q$447,INDEX(Surface_Engine!$E$12:$E$72,$A468+1),INDEX(Surface_Engine!$E$12:$E$72,$Q$447+1))</f>
        <v>0.624921844151631</v>
      </c>
      <c r="C468" s="32" t="n">
        <f aca="false">INDEX(Panel_Reserving!$C$8:$C$68,$A468+1)*IF($A468&lt;$Q$447,INDEX(Surface_Engine!$E$12:$E$72,$A468+1),INDEX(Surface_Engine!$E$12:$E$72,$Q$447+1))</f>
        <v>0.655681345323026</v>
      </c>
      <c r="D468" s="32" t="n">
        <f aca="false">INDEX(Surface_Engine!$J$12:$J$72,$A468+1)*IF($A468&lt;$Q$447,INDEX(Surface_Engine!$Y$12:$Y$72,$A468+1),INDEX(Surface_Engine!$Y$12:$Y$72,$Q$447+1))</f>
        <v>0.555777177646106</v>
      </c>
      <c r="E468" s="32" t="n">
        <f aca="false">INDEX(Surface_Engine!$J$12:$J$72,$A468+1)*IF($A468&lt;$Q$447,INDEX(Surface_Engine!$Z$12:$Z$72,$A468+1),INDEX(Surface_Engine!$Z$12:$Z$72,$Q$447+1))</f>
        <v>0.701964938175274</v>
      </c>
      <c r="F468" s="48" t="n">
        <f aca="false">B468*(IF($A468&lt;$Q$447,INDEX(Surface_Engine!$D$12:$D$72,$A468+1)+(Surface_Engine!Q239*12)*INDEX(Surface_Engine!$F$12:$F$72,$A468+1)-(Surface_Engine!Q239*12),1000*12*INDEX(Surface_Engine!$C$12:$C$72,$A468+1)/(1+Assumptions!$B$10)^27+INDEX(Surface_Engine!$D$12:$D$72,$A468+1)))*INDEX(Surface_Engine!$B$12:$B$72,$A468+1)+F469</f>
        <v>10681.6665227979</v>
      </c>
      <c r="G468" s="48" t="n">
        <f aca="false">C468*(IF($A468&lt;$Q$447,INDEX(Surface_Engine!$D$12:$D$72,$A468+1)+(Surface_Engine!Q239*12)*INDEX(Surface_Engine!$F$12:$F$72,$A468+1)-(Surface_Engine!Q239*12),1000*12*INDEX(Surface_Engine!$C$12:$C$72,$A468+1)/(1+Assumptions!$B$10)^27+INDEX(Surface_Engine!$D$12:$D$72,$A468+1)))*INDEX(Surface_Engine!$B$12:$B$72,$A468+1)+G469</f>
        <v>14732.6052748672</v>
      </c>
      <c r="H468" s="48" t="n">
        <f aca="false">D468*(IF($A468&lt;$Q$447,INDEX(Surface_Engine!$D$12:$D$72,$A468+1)+(Surface_Engine!Q239*12)*INDEX(Surface_Engine!$F$12:$F$72,$A468+1)-(Surface_Engine!Q239*12),1000*12*INDEX(Surface_Engine!$C$12:$C$72,$A468+1)/(1+Assumptions!$B$10)^27+INDEX(Surface_Engine!$D$12:$D$72,$A468+1)))*INDEX(Surface_Engine!$B$12:$B$72,$A468+1)+H469</f>
        <v>9116.56751426105</v>
      </c>
      <c r="I468" s="48" t="n">
        <f aca="false">E468*(IF($A468&lt;$Q$447,INDEX(Surface_Engine!$D$12:$D$72,$A468+1)+(Surface_Engine!Q239*12)*INDEX(Surface_Engine!$F$12:$F$72,$A468+1)-(Surface_Engine!Q239*12),1000*12*INDEX(Surface_Engine!$C$12:$C$72,$A468+1)/(1+Assumptions!$B$10)^27+INDEX(Surface_Engine!$D$12:$D$72,$A468+1)))*INDEX(Surface_Engine!$B$12:$B$72,$A468+1)+I469</f>
        <v>12498.8622393841</v>
      </c>
      <c r="J468" s="48" t="n">
        <f aca="false">B468*(IF($A468&lt;$Q$447,INDEX(Surface_Engine!$D$12:$D$72,$A468+1)*(1+Assumptions!$B$24)+(Surface_Engine!Q239*12)*INDEX(Surface_Engine!$F$12:$F$72,$A468+1)-(Surface_Engine!Q239*12),1000*12*INDEX(Surface_Engine!$C$12:$C$72,$A468+1)/(1+Assumptions!$B$10)^27+INDEX(Surface_Engine!$D$12:$D$72,$A468+1)*(1+Assumptions!$B$24)))*INDEX(Surface_Engine!$B$12:$B$72,$A468+1)+J469</f>
        <v>10728.353262107</v>
      </c>
      <c r="K468" s="12" t="n">
        <f aca="false">SQRT((IF(C468&lt;=0,0,MAX(0,(B468/C468)*G468/INDEX(Surface_Engine!$B$12:$B$72,$A468+1)-F468/INDEX(Surface_Engine!$B$12:$B$72,$A468+1))))^2+(MAX(IF(D468&lt;=0,0,MAX(0,(B468/D468)*H468/INDEX(Surface_Engine!$B$12:$B$72,$A468+1)-F468/INDEX(Surface_Engine!$B$12:$B$72,$A468+1))),IF(E468&lt;=0,0,MAX(0,(B468/E468)*I468/INDEX(Surface_Engine!$B$12:$B$72,$A468+1)-F468/INDEX(Surface_Engine!$B$12:$B$72,$A468+1))),IF($A468&lt;$Q$447,MAX(0,-Assumptions!$B$22*(F468/INDEX(Surface_Engine!$B$12:$B$72,$A468+1))),0)))^2+(MAX(0,J468/INDEX(Surface_Engine!$B$12:$B$72,$A468+1)-(F468/INDEX(Surface_Engine!$B$12:$B$72,$A468+1))))^2+2*Assumptions!$B$26*(IF(C468&lt;=0,0,MAX(0,(B468/C468)*G468/INDEX(Surface_Engine!$B$12:$B$72,$A468+1)-F468/INDEX(Surface_Engine!$B$12:$B$72,$A468+1))))*(MAX(IF(D468&lt;=0,0,MAX(0,(B468/D468)*H468/INDEX(Surface_Engine!$B$12:$B$72,$A468+1)-F468/INDEX(Surface_Engine!$B$12:$B$72,$A468+1))),IF(E468&lt;=0,0,MAX(0,(B468/E468)*I468/INDEX(Surface_Engine!$B$12:$B$72,$A468+1)-F468/INDEX(Surface_Engine!$B$12:$B$72,$A468+1))),IF($A468&lt;$Q$447,MAX(0,-Assumptions!$B$22*(F468/INDEX(Surface_Engine!$B$12:$B$72,$A468+1))),0)))+2*Assumptions!$B$27*(IF(C468&lt;=0,0,MAX(0,(B468/C468)*G468/INDEX(Surface_Engine!$B$12:$B$72,$A468+1)-F468/INDEX(Surface_Engine!$B$12:$B$72,$A468+1))))*(MAX(0,J468/INDEX(Surface_Engine!$B$12:$B$72,$A468+1)-(F468/INDEX(Surface_Engine!$B$12:$B$72,$A468+1))))+2*Assumptions!$B$28*(MAX(IF(D468&lt;=0,0,MAX(0,(B468/D468)*H468/INDEX(Surface_Engine!$B$12:$B$72,$A468+1)-F468/INDEX(Surface_Engine!$B$12:$B$72,$A468+1))),IF(E468&lt;=0,0,MAX(0,(B468/E468)*I468/INDEX(Surface_Engine!$B$12:$B$72,$A468+1)-F468/INDEX(Surface_Engine!$B$12:$B$72,$A468+1))),IF($A468&lt;$Q$447,MAX(0,-Assumptions!$B$22*(F468/INDEX(Surface_Engine!$B$12:$B$72,$A468+1))),0)))*(MAX(0,J468/INDEX(Surface_Engine!$B$12:$B$72,$A468+1)-(F468/INDEX(Surface_Engine!$B$12:$B$72,$A468+1)))))</f>
        <v>6352.53484522823</v>
      </c>
      <c r="L468" s="48" t="n">
        <f aca="false">K468*INDEX(Surface_Engine!$B$12:$B$72,$A468+1)+L469</f>
        <v>35461.0229902877</v>
      </c>
      <c r="M468" s="48" t="n">
        <f aca="false">M467+B467*(IF($A467&lt;$Q$447,(Surface_Engine!Q239*12)-(Surface_Engine!Q239*12)*INDEX(Surface_Engine!$F$12:$F$72,$A467+1)-INDEX(Surface_Engine!$D$12:$D$72,$A467+1),-(1000*12*INDEX(Surface_Engine!$C$12:$C$72,$A467+1)/(1+Assumptions!$B$10)^27+INDEX(Surface_Engine!$D$12:$D$72,$A467+1))))*INDEX(Surface_Engine!$B$12:$B$72,$A467+1)</f>
        <v>11180.4354904513</v>
      </c>
      <c r="N468" s="12" t="n">
        <f aca="false">IF(B468&lt;=0,0,MAX(0,(K468+Assumptions!$B$29*L468/INDEX(Surface_Engine!$B$12:$B$72,$A468+1)-(M468/INDEX(Surface_Engine!$B$12:$B$72,$A468+1)-(F468/INDEX(Surface_Engine!$B$12:$B$72,$A468+1))))/B468))</f>
        <v>14879.6778971175</v>
      </c>
    </row>
    <row r="469" customFormat="false" ht="15" hidden="false" customHeight="true" outlineLevel="0" collapsed="false">
      <c r="A469" s="1" t="n">
        <v>20</v>
      </c>
      <c r="B469" s="32" t="n">
        <f aca="false">INDEX(Surface_Engine!$J$12:$J$72,$A469+1)*IF($A469&lt;$Q$447,INDEX(Surface_Engine!$E$12:$E$72,$A469+1),INDEX(Surface_Engine!$E$12:$E$72,$Q$447+1))</f>
        <v>0.598759014866824</v>
      </c>
      <c r="C469" s="32" t="n">
        <f aca="false">INDEX(Panel_Reserving!$C$8:$C$68,$A469+1)*IF($A469&lt;$Q$447,INDEX(Surface_Engine!$E$12:$E$72,$A469+1),INDEX(Surface_Engine!$E$12:$E$72,$Q$447+1))</f>
        <v>0.632527525878965</v>
      </c>
      <c r="D469" s="32" t="n">
        <f aca="false">INDEX(Surface_Engine!$J$12:$J$72,$A469+1)*IF($A469&lt;$Q$447,INDEX(Surface_Engine!$Y$12:$Y$72,$A469+1),INDEX(Surface_Engine!$Y$12:$Y$72,$Q$447+1))</f>
        <v>0.530063974898776</v>
      </c>
      <c r="E469" s="32" t="n">
        <f aca="false">INDEX(Surface_Engine!$J$12:$J$72,$A469+1)*IF($A469&lt;$Q$447,INDEX(Surface_Engine!$Z$12:$Z$72,$A469+1),INDEX(Surface_Engine!$Z$12:$Z$72,$Q$447+1))</f>
        <v>0.675664968538323</v>
      </c>
      <c r="F469" s="48" t="n">
        <f aca="false">B469*(IF($A469&lt;$Q$447,INDEX(Surface_Engine!$D$12:$D$72,$A469+1)+(Surface_Engine!Q239*12)*INDEX(Surface_Engine!$F$12:$F$72,$A469+1)-(Surface_Engine!Q239*12),1000*12*INDEX(Surface_Engine!$C$12:$C$72,$A469+1)/(1+Assumptions!$B$10)^27+INDEX(Surface_Engine!$D$12:$D$72,$A469+1)))*INDEX(Surface_Engine!$B$12:$B$72,$A469+1)+F470</f>
        <v>11013.9945581667</v>
      </c>
      <c r="G469" s="48" t="n">
        <f aca="false">C469*(IF($A469&lt;$Q$447,INDEX(Surface_Engine!$D$12:$D$72,$A469+1)+(Surface_Engine!Q239*12)*INDEX(Surface_Engine!$F$12:$F$72,$A469+1)-(Surface_Engine!Q239*12),1000*12*INDEX(Surface_Engine!$C$12:$C$72,$A469+1)/(1+Assumptions!$B$10)^27+INDEX(Surface_Engine!$D$12:$D$72,$A469+1)))*INDEX(Surface_Engine!$B$12:$B$72,$A469+1)+G470</f>
        <v>15081.2909470972</v>
      </c>
      <c r="H469" s="48" t="n">
        <f aca="false">D469*(IF($A469&lt;$Q$447,INDEX(Surface_Engine!$D$12:$D$72,$A469+1)+(Surface_Engine!Q239*12)*INDEX(Surface_Engine!$F$12:$F$72,$A469+1)-(Surface_Engine!Q239*12),1000*12*INDEX(Surface_Engine!$C$12:$C$72,$A469+1)/(1+Assumptions!$B$10)^27+INDEX(Surface_Engine!$D$12:$D$72,$A469+1)))*INDEX(Surface_Engine!$B$12:$B$72,$A469+1)+H470</f>
        <v>9412.12501361636</v>
      </c>
      <c r="I469" s="48" t="n">
        <f aca="false">E469*(IF($A469&lt;$Q$447,INDEX(Surface_Engine!$D$12:$D$72,$A469+1)+(Surface_Engine!Q239*12)*INDEX(Surface_Engine!$F$12:$F$72,$A469+1)-(Surface_Engine!Q239*12),1000*12*INDEX(Surface_Engine!$C$12:$C$72,$A469+1)/(1+Assumptions!$B$10)^27+INDEX(Surface_Engine!$D$12:$D$72,$A469+1)))*INDEX(Surface_Engine!$B$12:$B$72,$A469+1)+I470</f>
        <v>12872.1611262526</v>
      </c>
      <c r="J469" s="48" t="n">
        <f aca="false">B469*(IF($A469&lt;$Q$447,INDEX(Surface_Engine!$D$12:$D$72,$A469+1)*(1+Assumptions!$B$24)+(Surface_Engine!Q239*12)*INDEX(Surface_Engine!$F$12:$F$72,$A469+1)-(Surface_Engine!Q239*12),1000*12*INDEX(Surface_Engine!$C$12:$C$72,$A469+1)/(1+Assumptions!$B$10)^27+INDEX(Surface_Engine!$D$12:$D$72,$A469+1)*(1+Assumptions!$B$24)))*INDEX(Surface_Engine!$B$12:$B$72,$A469+1)+J470</f>
        <v>11056.151927646</v>
      </c>
      <c r="K469" s="12" t="n">
        <f aca="false">SQRT((IF(C469&lt;=0,0,MAX(0,(B469/C469)*G469/INDEX(Surface_Engine!$B$12:$B$72,$A469+1)-F469/INDEX(Surface_Engine!$B$12:$B$72,$A469+1))))^2+(MAX(IF(D469&lt;=0,0,MAX(0,(B469/D469)*H469/INDEX(Surface_Engine!$B$12:$B$72,$A469+1)-F469/INDEX(Surface_Engine!$B$12:$B$72,$A469+1))),IF(E469&lt;=0,0,MAX(0,(B469/E469)*I469/INDEX(Surface_Engine!$B$12:$B$72,$A469+1)-F469/INDEX(Surface_Engine!$B$12:$B$72,$A469+1))),IF($A469&lt;$Q$447,MAX(0,-Assumptions!$B$22*(F469/INDEX(Surface_Engine!$B$12:$B$72,$A469+1))),0)))^2+(MAX(0,J469/INDEX(Surface_Engine!$B$12:$B$72,$A469+1)-(F469/INDEX(Surface_Engine!$B$12:$B$72,$A469+1))))^2+2*Assumptions!$B$26*(IF(C469&lt;=0,0,MAX(0,(B469/C469)*G469/INDEX(Surface_Engine!$B$12:$B$72,$A469+1)-F469/INDEX(Surface_Engine!$B$12:$B$72,$A469+1))))*(MAX(IF(D469&lt;=0,0,MAX(0,(B469/D469)*H469/INDEX(Surface_Engine!$B$12:$B$72,$A469+1)-F469/INDEX(Surface_Engine!$B$12:$B$72,$A469+1))),IF(E469&lt;=0,0,MAX(0,(B469/E469)*I469/INDEX(Surface_Engine!$B$12:$B$72,$A469+1)-F469/INDEX(Surface_Engine!$B$12:$B$72,$A469+1))),IF($A469&lt;$Q$447,MAX(0,-Assumptions!$B$22*(F469/INDEX(Surface_Engine!$B$12:$B$72,$A469+1))),0)))+2*Assumptions!$B$27*(IF(C469&lt;=0,0,MAX(0,(B469/C469)*G469/INDEX(Surface_Engine!$B$12:$B$72,$A469+1)-F469/INDEX(Surface_Engine!$B$12:$B$72,$A469+1))))*(MAX(0,J469/INDEX(Surface_Engine!$B$12:$B$72,$A469+1)-(F469/INDEX(Surface_Engine!$B$12:$B$72,$A469+1))))+2*Assumptions!$B$28*(MAX(IF(D469&lt;=0,0,MAX(0,(B469/D469)*H469/INDEX(Surface_Engine!$B$12:$B$72,$A469+1)-F469/INDEX(Surface_Engine!$B$12:$B$72,$A469+1))),IF(E469&lt;=0,0,MAX(0,(B469/E469)*I469/INDEX(Surface_Engine!$B$12:$B$72,$A469+1)-F469/INDEX(Surface_Engine!$B$12:$B$72,$A469+1))),IF($A469&lt;$Q$447,MAX(0,-Assumptions!$B$22*(F469/INDEX(Surface_Engine!$B$12:$B$72,$A469+1))),0)))*(MAX(0,J469/INDEX(Surface_Engine!$B$12:$B$72,$A469+1)-(F469/INDEX(Surface_Engine!$B$12:$B$72,$A469+1)))))</f>
        <v>6335.65676494542</v>
      </c>
      <c r="L469" s="48" t="n">
        <f aca="false">K469*INDEX(Surface_Engine!$B$12:$B$72,$A469+1)+L470</f>
        <v>31948.7210926835</v>
      </c>
      <c r="M469" s="48" t="n">
        <f aca="false">M468+B468*(IF($A468&lt;$Q$447,(Surface_Engine!Q239*12)-(Surface_Engine!Q239*12)*INDEX(Surface_Engine!$F$12:$F$72,$A468+1)-INDEX(Surface_Engine!$D$12:$D$72,$A468+1),-(1000*12*INDEX(Surface_Engine!$C$12:$C$72,$A468+1)/(1+Assumptions!$B$10)^27+INDEX(Surface_Engine!$D$12:$D$72,$A468+1))))*INDEX(Surface_Engine!$B$12:$B$72,$A468+1)</f>
        <v>11512.7635258201</v>
      </c>
      <c r="N469" s="12" t="n">
        <f aca="false">IF(B469&lt;=0,0,MAX(0,(K469+Assumptions!$B$29*L469/INDEX(Surface_Engine!$B$12:$B$72,$A469+1)-(M469/INDEX(Surface_Engine!$B$12:$B$72,$A469+1)-(F469/INDEX(Surface_Engine!$B$12:$B$72,$A469+1))))/B469))</f>
        <v>15001.6550453804</v>
      </c>
    </row>
    <row r="470" customFormat="false" ht="15" hidden="false" customHeight="true" outlineLevel="0" collapsed="false">
      <c r="A470" s="1" t="n">
        <v>21</v>
      </c>
      <c r="B470" s="32" t="n">
        <f aca="false">INDEX(Surface_Engine!$J$12:$J$72,$A470+1)*IF($A470&lt;$Q$447,INDEX(Surface_Engine!$E$12:$E$72,$A470+1),INDEX(Surface_Engine!$E$12:$E$72,$Q$447+1))</f>
        <v>0.571292202059264</v>
      </c>
      <c r="C470" s="32" t="n">
        <f aca="false">INDEX(Panel_Reserving!$C$8:$C$68,$A470+1)*IF($A470&lt;$Q$447,INDEX(Surface_Engine!$E$12:$E$72,$A470+1),INDEX(Surface_Engine!$E$12:$E$72,$Q$447+1))</f>
        <v>0.608163627894972</v>
      </c>
      <c r="D470" s="32" t="n">
        <f aca="false">INDEX(Surface_Engine!$J$12:$J$72,$A470+1)*IF($A470&lt;$Q$447,INDEX(Surface_Engine!$Y$12:$Y$72,$A470+1),INDEX(Surface_Engine!$Y$12:$Y$72,$Q$447+1))</f>
        <v>0.503426114781229</v>
      </c>
      <c r="E470" s="32" t="n">
        <f aca="false">INDEX(Surface_Engine!$J$12:$J$72,$A470+1)*IF($A470&lt;$Q$447,INDEX(Surface_Engine!$Z$12:$Z$72,$A470+1),INDEX(Surface_Engine!$Z$12:$Z$72,$Q$447+1))</f>
        <v>0.647630443930346</v>
      </c>
      <c r="F470" s="48" t="n">
        <f aca="false">B470*(IF($A470&lt;$Q$447,INDEX(Surface_Engine!$D$12:$D$72,$A470+1)+(Surface_Engine!Q239*12)*INDEX(Surface_Engine!$F$12:$F$72,$A470+1)-(Surface_Engine!Q239*12),1000*12*INDEX(Surface_Engine!$C$12:$C$72,$A470+1)/(1+Assumptions!$B$10)^27+INDEX(Surface_Engine!$D$12:$D$72,$A470+1)))*INDEX(Surface_Engine!$B$12:$B$72,$A470+1)+F471</f>
        <v>11321.5205564858</v>
      </c>
      <c r="G470" s="48" t="n">
        <f aca="false">C470*(IF($A470&lt;$Q$447,INDEX(Surface_Engine!$D$12:$D$72,$A470+1)+(Surface_Engine!Q239*12)*INDEX(Surface_Engine!$F$12:$F$72,$A470+1)-(Surface_Engine!Q239*12),1000*12*INDEX(Surface_Engine!$C$12:$C$72,$A470+1)/(1+Assumptions!$B$10)^27+INDEX(Surface_Engine!$D$12:$D$72,$A470+1)))*INDEX(Surface_Engine!$B$12:$B$72,$A470+1)+G471</f>
        <v>15406.1606426348</v>
      </c>
      <c r="H470" s="48" t="n">
        <f aca="false">D470*(IF($A470&lt;$Q$447,INDEX(Surface_Engine!$D$12:$D$72,$A470+1)+(Surface_Engine!Q239*12)*INDEX(Surface_Engine!$F$12:$F$72,$A470+1)-(Surface_Engine!Q239*12),1000*12*INDEX(Surface_Engine!$C$12:$C$72,$A470+1)/(1+Assumptions!$B$10)^27+INDEX(Surface_Engine!$D$12:$D$72,$A470+1)))*INDEX(Surface_Engine!$B$12:$B$72,$A470+1)+H471</f>
        <v>9684.36885296795</v>
      </c>
      <c r="I470" s="48" t="n">
        <f aca="false">E470*(IF($A470&lt;$Q$447,INDEX(Surface_Engine!$D$12:$D$72,$A470+1)+(Surface_Engine!Q239*12)*INDEX(Surface_Engine!$F$12:$F$72,$A470+1)-(Surface_Engine!Q239*12),1000*12*INDEX(Surface_Engine!$C$12:$C$72,$A470+1)/(1+Assumptions!$B$10)^27+INDEX(Surface_Engine!$D$12:$D$72,$A470+1)))*INDEX(Surface_Engine!$B$12:$B$72,$A470+1)+I471</f>
        <v>13219.1864550072</v>
      </c>
      <c r="J470" s="48" t="n">
        <f aca="false">B470*(IF($A470&lt;$Q$447,INDEX(Surface_Engine!$D$12:$D$72,$A470+1)*(1+Assumptions!$B$24)+(Surface_Engine!Q239*12)*INDEX(Surface_Engine!$F$12:$F$72,$A470+1)-(Surface_Engine!Q239*12),1000*12*INDEX(Surface_Engine!$C$12:$C$72,$A470+1)/(1+Assumptions!$B$10)^27+INDEX(Surface_Engine!$D$12:$D$72,$A470+1)*(1+Assumptions!$B$24)))*INDEX(Surface_Engine!$B$12:$B$72,$A470+1)+J471</f>
        <v>11359.3671167254</v>
      </c>
      <c r="K470" s="12" t="n">
        <f aca="false">SQRT((IF(C470&lt;=0,0,MAX(0,(B470/C470)*G470/INDEX(Surface_Engine!$B$12:$B$72,$A470+1)-F470/INDEX(Surface_Engine!$B$12:$B$72,$A470+1))))^2+(MAX(IF(D470&lt;=0,0,MAX(0,(B470/D470)*H470/INDEX(Surface_Engine!$B$12:$B$72,$A470+1)-F470/INDEX(Surface_Engine!$B$12:$B$72,$A470+1))),IF(E470&lt;=0,0,MAX(0,(B470/E470)*I470/INDEX(Surface_Engine!$B$12:$B$72,$A470+1)-F470/INDEX(Surface_Engine!$B$12:$B$72,$A470+1))),IF($A470&lt;$Q$447,MAX(0,-Assumptions!$B$22*(F470/INDEX(Surface_Engine!$B$12:$B$72,$A470+1))),0)))^2+(MAX(0,J470/INDEX(Surface_Engine!$B$12:$B$72,$A470+1)-(F470/INDEX(Surface_Engine!$B$12:$B$72,$A470+1))))^2+2*Assumptions!$B$26*(IF(C470&lt;=0,0,MAX(0,(B470/C470)*G470/INDEX(Surface_Engine!$B$12:$B$72,$A470+1)-F470/INDEX(Surface_Engine!$B$12:$B$72,$A470+1))))*(MAX(IF(D470&lt;=0,0,MAX(0,(B470/D470)*H470/INDEX(Surface_Engine!$B$12:$B$72,$A470+1)-F470/INDEX(Surface_Engine!$B$12:$B$72,$A470+1))),IF(E470&lt;=0,0,MAX(0,(B470/E470)*I470/INDEX(Surface_Engine!$B$12:$B$72,$A470+1)-F470/INDEX(Surface_Engine!$B$12:$B$72,$A470+1))),IF($A470&lt;$Q$447,MAX(0,-Assumptions!$B$22*(F470/INDEX(Surface_Engine!$B$12:$B$72,$A470+1))),0)))+2*Assumptions!$B$27*(IF(C470&lt;=0,0,MAX(0,(B470/C470)*G470/INDEX(Surface_Engine!$B$12:$B$72,$A470+1)-F470/INDEX(Surface_Engine!$B$12:$B$72,$A470+1))))*(MAX(0,J470/INDEX(Surface_Engine!$B$12:$B$72,$A470+1)-(F470/INDEX(Surface_Engine!$B$12:$B$72,$A470+1))))+2*Assumptions!$B$28*(MAX(IF(D470&lt;=0,0,MAX(0,(B470/D470)*H470/INDEX(Surface_Engine!$B$12:$B$72,$A470+1)-F470/INDEX(Surface_Engine!$B$12:$B$72,$A470+1))),IF(E470&lt;=0,0,MAX(0,(B470/E470)*I470/INDEX(Surface_Engine!$B$12:$B$72,$A470+1)-F470/INDEX(Surface_Engine!$B$12:$B$72,$A470+1))),IF($A470&lt;$Q$447,MAX(0,-Assumptions!$B$22*(F470/INDEX(Surface_Engine!$B$12:$B$72,$A470+1))),0)))*(MAX(0,J470/INDEX(Surface_Engine!$B$12:$B$72,$A470+1)-(F470/INDEX(Surface_Engine!$B$12:$B$72,$A470+1)))))</f>
        <v>6284.94563241209</v>
      </c>
      <c r="L470" s="48" t="n">
        <f aca="false">K470*INDEX(Surface_Engine!$B$12:$B$72,$A470+1)+L471</f>
        <v>28553.9755957922</v>
      </c>
      <c r="M470" s="48" t="n">
        <f aca="false">M469+B469*(IF($A469&lt;$Q$447,(Surface_Engine!Q239*12)-(Surface_Engine!Q239*12)*INDEX(Surface_Engine!$F$12:$F$72,$A469+1)-INDEX(Surface_Engine!$D$12:$D$72,$A469+1),-(1000*12*INDEX(Surface_Engine!$C$12:$C$72,$A469+1)/(1+Assumptions!$B$10)^27+INDEX(Surface_Engine!$D$12:$D$72,$A469+1))))*INDEX(Surface_Engine!$B$12:$B$72,$A469+1)</f>
        <v>11820.2895241392</v>
      </c>
      <c r="N470" s="12" t="n">
        <f aca="false">IF(B470&lt;=0,0,MAX(0,(K470+Assumptions!$B$29*L470/INDEX(Surface_Engine!$B$12:$B$72,$A470+1)-(M470/INDEX(Surface_Engine!$B$12:$B$72,$A470+1)-(F470/INDEX(Surface_Engine!$B$12:$B$72,$A470+1))))/B470))</f>
        <v>15095.3042519766</v>
      </c>
    </row>
    <row r="471" customFormat="false" ht="15" hidden="false" customHeight="true" outlineLevel="0" collapsed="false">
      <c r="A471" s="1" t="n">
        <v>22</v>
      </c>
      <c r="B471" s="32" t="n">
        <f aca="false">INDEX(Surface_Engine!$J$12:$J$72,$A471+1)*IF($A471&lt;$Q$447,INDEX(Surface_Engine!$E$12:$E$72,$A471+1),INDEX(Surface_Engine!$E$12:$E$72,$Q$447+1))</f>
        <v>0.542527507608615</v>
      </c>
      <c r="C471" s="32" t="n">
        <f aca="false">INDEX(Panel_Reserving!$C$8:$C$68,$A471+1)*IF($A471&lt;$Q$447,INDEX(Surface_Engine!$E$12:$E$72,$A471+1),INDEX(Surface_Engine!$E$12:$E$72,$Q$447+1))</f>
        <v>0.582559826679582</v>
      </c>
      <c r="D471" s="32" t="n">
        <f aca="false">INDEX(Surface_Engine!$J$12:$J$72,$A471+1)*IF($A471&lt;$Q$447,INDEX(Surface_Engine!$Y$12:$Y$72,$A471+1),INDEX(Surface_Engine!$Y$12:$Y$72,$Q$447+1))</f>
        <v>0.475883259742155</v>
      </c>
      <c r="E471" s="32" t="n">
        <f aca="false">INDEX(Surface_Engine!$J$12:$J$72,$A471+1)*IF($A471&lt;$Q$447,INDEX(Surface_Engine!$Z$12:$Z$72,$A471+1),INDEX(Surface_Engine!$Z$12:$Z$72,$Q$447+1))</f>
        <v>0.617846150763654</v>
      </c>
      <c r="F471" s="48" t="n">
        <f aca="false">B471*(IF($A471&lt;$Q$447,INDEX(Surface_Engine!$D$12:$D$72,$A471+1)+(Surface_Engine!Q239*12)*INDEX(Surface_Engine!$F$12:$F$72,$A471+1)-(Surface_Engine!Q239*12),1000*12*INDEX(Surface_Engine!$C$12:$C$72,$A471+1)/(1+Assumptions!$B$10)^27+INDEX(Surface_Engine!$D$12:$D$72,$A471+1)))*INDEX(Surface_Engine!$B$12:$B$72,$A471+1)+F472</f>
        <v>11604.872255295</v>
      </c>
      <c r="G471" s="48" t="n">
        <f aca="false">C471*(IF($A471&lt;$Q$447,INDEX(Surface_Engine!$D$12:$D$72,$A471+1)+(Surface_Engine!Q239*12)*INDEX(Surface_Engine!$F$12:$F$72,$A471+1)-(Surface_Engine!Q239*12),1000*12*INDEX(Surface_Engine!$C$12:$C$72,$A471+1)/(1+Assumptions!$B$10)^27+INDEX(Surface_Engine!$D$12:$D$72,$A471+1)))*INDEX(Surface_Engine!$B$12:$B$72,$A471+1)+G472</f>
        <v>15707.7999727305</v>
      </c>
      <c r="H471" s="48" t="n">
        <f aca="false">D471*(IF($A471&lt;$Q$447,INDEX(Surface_Engine!$D$12:$D$72,$A471+1)+(Surface_Engine!Q239*12)*INDEX(Surface_Engine!$F$12:$F$72,$A471+1)-(Surface_Engine!Q239*12),1000*12*INDEX(Surface_Engine!$C$12:$C$72,$A471+1)/(1+Assumptions!$B$10)^27+INDEX(Surface_Engine!$D$12:$D$72,$A471+1)))*INDEX(Surface_Engine!$B$12:$B$72,$A471+1)+H472</f>
        <v>9934.06006936131</v>
      </c>
      <c r="I471" s="48" t="n">
        <f aca="false">E471*(IF($A471&lt;$Q$447,INDEX(Surface_Engine!$D$12:$D$72,$A471+1)+(Surface_Engine!Q239*12)*INDEX(Surface_Engine!$F$12:$F$72,$A471+1)-(Surface_Engine!Q239*12),1000*12*INDEX(Surface_Engine!$C$12:$C$72,$A471+1)/(1+Assumptions!$B$10)^27+INDEX(Surface_Engine!$D$12:$D$72,$A471+1)))*INDEX(Surface_Engine!$B$12:$B$72,$A471+1)+I472</f>
        <v>13540.4006879808</v>
      </c>
      <c r="J471" s="48" t="n">
        <f aca="false">B471*(IF($A471&lt;$Q$447,INDEX(Surface_Engine!$D$12:$D$72,$A471+1)*(1+Assumptions!$B$24)+(Surface_Engine!Q239*12)*INDEX(Surface_Engine!$F$12:$F$72,$A471+1)-(Surface_Engine!Q239*12),1000*12*INDEX(Surface_Engine!$C$12:$C$72,$A471+1)/(1+Assumptions!$B$10)^27+INDEX(Surface_Engine!$D$12:$D$72,$A471+1)*(1+Assumptions!$B$24)))*INDEX(Surface_Engine!$B$12:$B$72,$A471+1)+J472</f>
        <v>11638.6332584746</v>
      </c>
      <c r="K471" s="12" t="n">
        <f aca="false">SQRT((IF(C471&lt;=0,0,MAX(0,(B471/C471)*G471/INDEX(Surface_Engine!$B$12:$B$72,$A471+1)-F471/INDEX(Surface_Engine!$B$12:$B$72,$A471+1))))^2+(MAX(IF(D471&lt;=0,0,MAX(0,(B471/D471)*H471/INDEX(Surface_Engine!$B$12:$B$72,$A471+1)-F471/INDEX(Surface_Engine!$B$12:$B$72,$A471+1))),IF(E471&lt;=0,0,MAX(0,(B471/E471)*I471/INDEX(Surface_Engine!$B$12:$B$72,$A471+1)-F471/INDEX(Surface_Engine!$B$12:$B$72,$A471+1))),IF($A471&lt;$Q$447,MAX(0,-Assumptions!$B$22*(F471/INDEX(Surface_Engine!$B$12:$B$72,$A471+1))),0)))^2+(MAX(0,J471/INDEX(Surface_Engine!$B$12:$B$72,$A471+1)-(F471/INDEX(Surface_Engine!$B$12:$B$72,$A471+1))))^2+2*Assumptions!$B$26*(IF(C471&lt;=0,0,MAX(0,(B471/C471)*G471/INDEX(Surface_Engine!$B$12:$B$72,$A471+1)-F471/INDEX(Surface_Engine!$B$12:$B$72,$A471+1))))*(MAX(IF(D471&lt;=0,0,MAX(0,(B471/D471)*H471/INDEX(Surface_Engine!$B$12:$B$72,$A471+1)-F471/INDEX(Surface_Engine!$B$12:$B$72,$A471+1))),IF(E471&lt;=0,0,MAX(0,(B471/E471)*I471/INDEX(Surface_Engine!$B$12:$B$72,$A471+1)-F471/INDEX(Surface_Engine!$B$12:$B$72,$A471+1))),IF($A471&lt;$Q$447,MAX(0,-Assumptions!$B$22*(F471/INDEX(Surface_Engine!$B$12:$B$72,$A471+1))),0)))+2*Assumptions!$B$27*(IF(C471&lt;=0,0,MAX(0,(B471/C471)*G471/INDEX(Surface_Engine!$B$12:$B$72,$A471+1)-F471/INDEX(Surface_Engine!$B$12:$B$72,$A471+1))))*(MAX(0,J471/INDEX(Surface_Engine!$B$12:$B$72,$A471+1)-(F471/INDEX(Surface_Engine!$B$12:$B$72,$A471+1))))+2*Assumptions!$B$28*(MAX(IF(D471&lt;=0,0,MAX(0,(B471/D471)*H471/INDEX(Surface_Engine!$B$12:$B$72,$A471+1)-F471/INDEX(Surface_Engine!$B$12:$B$72,$A471+1))),IF(E471&lt;=0,0,MAX(0,(B471/E471)*I471/INDEX(Surface_Engine!$B$12:$B$72,$A471+1)-F471/INDEX(Surface_Engine!$B$12:$B$72,$A471+1))),IF($A471&lt;$Q$447,MAX(0,-Assumptions!$B$22*(F471/INDEX(Surface_Engine!$B$12:$B$72,$A471+1))),0)))*(MAX(0,J471/INDEX(Surface_Engine!$B$12:$B$72,$A471+1)-(F471/INDEX(Surface_Engine!$B$12:$B$72,$A471+1)))))</f>
        <v>6194.35723821578</v>
      </c>
      <c r="L471" s="48" t="n">
        <f aca="false">K471*INDEX(Surface_Engine!$B$12:$B$72,$A471+1)+L472</f>
        <v>25290.5066545971</v>
      </c>
      <c r="M471" s="48" t="n">
        <f aca="false">M470+B470*(IF($A470&lt;$Q$447,(Surface_Engine!Q239*12)-(Surface_Engine!Q239*12)*INDEX(Surface_Engine!$F$12:$F$72,$A470+1)-INDEX(Surface_Engine!$D$12:$D$72,$A470+1),-(1000*12*INDEX(Surface_Engine!$C$12:$C$72,$A470+1)/(1+Assumptions!$B$10)^27+INDEX(Surface_Engine!$D$12:$D$72,$A470+1))))*INDEX(Surface_Engine!$B$12:$B$72,$A470+1)</f>
        <v>12103.6412229485</v>
      </c>
      <c r="N471" s="12" t="n">
        <f aca="false">IF(B471&lt;=0,0,MAX(0,(K471+Assumptions!$B$29*L471/INDEX(Surface_Engine!$B$12:$B$72,$A471+1)-(M471/INDEX(Surface_Engine!$B$12:$B$72,$A471+1)-(F471/INDEX(Surface_Engine!$B$12:$B$72,$A471+1))))/B471))</f>
        <v>15149.0286703977</v>
      </c>
    </row>
    <row r="472" customFormat="false" ht="15" hidden="false" customHeight="true" outlineLevel="0" collapsed="false">
      <c r="A472" s="1" t="n">
        <v>23</v>
      </c>
      <c r="B472" s="32" t="n">
        <f aca="false">INDEX(Surface_Engine!$J$12:$J$72,$A472+1)*IF($A472&lt;$Q$447,INDEX(Surface_Engine!$E$12:$E$72,$A472+1),INDEX(Surface_Engine!$E$12:$E$72,$Q$447+1))</f>
        <v>0.511680133179354</v>
      </c>
      <c r="C472" s="32" t="n">
        <f aca="false">INDEX(Panel_Reserving!$C$8:$C$68,$A472+1)*IF($A472&lt;$Q$447,INDEX(Surface_Engine!$E$12:$E$72,$A472+1),INDEX(Surface_Engine!$E$12:$E$72,$Q$447+1))</f>
        <v>0.555000721784077</v>
      </c>
      <c r="D472" s="32" t="n">
        <f aca="false">INDEX(Surface_Engine!$J$12:$J$72,$A472+1)*IF($A472&lt;$Q$447,INDEX(Surface_Engine!$Y$12:$Y$72,$A472+1),INDEX(Surface_Engine!$Y$12:$Y$72,$Q$447+1))</f>
        <v>0.446764277518563</v>
      </c>
      <c r="E472" s="32" t="n">
        <f aca="false">INDEX(Surface_Engine!$J$12:$J$72,$A472+1)*IF($A472&lt;$Q$447,INDEX(Surface_Engine!$Z$12:$Z$72,$A472+1),INDEX(Surface_Engine!$Z$12:$Z$72,$Q$447+1))</f>
        <v>0.585391968899633</v>
      </c>
      <c r="F472" s="48" t="n">
        <f aca="false">B472*(IF($A472&lt;$Q$447,INDEX(Surface_Engine!$D$12:$D$72,$A472+1)+(Surface_Engine!Q239*12)*INDEX(Surface_Engine!$F$12:$F$72,$A472+1)-(Surface_Engine!Q239*12),1000*12*INDEX(Surface_Engine!$C$12:$C$72,$A472+1)/(1+Assumptions!$B$10)^27+INDEX(Surface_Engine!$D$12:$D$72,$A472+1)))*INDEX(Surface_Engine!$B$12:$B$72,$A472+1)+F473</f>
        <v>11864.6936633198</v>
      </c>
      <c r="G472" s="48" t="n">
        <f aca="false">C472*(IF($A472&lt;$Q$447,INDEX(Surface_Engine!$D$12:$D$72,$A472+1)+(Surface_Engine!Q239*12)*INDEX(Surface_Engine!$F$12:$F$72,$A472+1)-(Surface_Engine!Q239*12),1000*12*INDEX(Surface_Engine!$C$12:$C$72,$A472+1)/(1+Assumptions!$B$10)^27+INDEX(Surface_Engine!$D$12:$D$72,$A472+1)))*INDEX(Surface_Engine!$B$12:$B$72,$A472+1)+G473</f>
        <v>15986.7932261671</v>
      </c>
      <c r="H472" s="48" t="n">
        <f aca="false">D472*(IF($A472&lt;$Q$447,INDEX(Surface_Engine!$D$12:$D$72,$A472+1)+(Surface_Engine!Q239*12)*INDEX(Surface_Engine!$F$12:$F$72,$A472+1)-(Surface_Engine!Q239*12),1000*12*INDEX(Surface_Engine!$C$12:$C$72,$A472+1)/(1+Assumptions!$B$10)^27+INDEX(Surface_Engine!$D$12:$D$72,$A472+1)))*INDEX(Surface_Engine!$B$12:$B$72,$A472+1)+H473</f>
        <v>10161.9649347692</v>
      </c>
      <c r="I472" s="48" t="n">
        <f aca="false">E472*(IF($A472&lt;$Q$447,INDEX(Surface_Engine!$D$12:$D$72,$A472+1)+(Surface_Engine!Q239*12)*INDEX(Surface_Engine!$F$12:$F$72,$A472+1)-(Surface_Engine!Q239*12),1000*12*INDEX(Surface_Engine!$C$12:$C$72,$A472+1)/(1+Assumptions!$B$10)^27+INDEX(Surface_Engine!$D$12:$D$72,$A472+1)))*INDEX(Surface_Engine!$B$12:$B$72,$A472+1)+I473</f>
        <v>13836.2928862248</v>
      </c>
      <c r="J472" s="48" t="n">
        <f aca="false">B472*(IF($A472&lt;$Q$447,INDEX(Surface_Engine!$D$12:$D$72,$A472+1)*(1+Assumptions!$B$24)+(Surface_Engine!Q239*12)*INDEX(Surface_Engine!$F$12:$F$72,$A472+1)-(Surface_Engine!Q239*12),1000*12*INDEX(Surface_Engine!$C$12:$C$72,$A472+1)/(1+Assumptions!$B$10)^27+INDEX(Surface_Engine!$D$12:$D$72,$A472+1)*(1+Assumptions!$B$24)))*INDEX(Surface_Engine!$B$12:$B$72,$A472+1)+J473</f>
        <v>11894.6008363194</v>
      </c>
      <c r="K472" s="12" t="n">
        <f aca="false">SQRT((IF(C472&lt;=0,0,MAX(0,(B472/C472)*G472/INDEX(Surface_Engine!$B$12:$B$72,$A472+1)-F472/INDEX(Surface_Engine!$B$12:$B$72,$A472+1))))^2+(MAX(IF(D472&lt;=0,0,MAX(0,(B472/D472)*H472/INDEX(Surface_Engine!$B$12:$B$72,$A472+1)-F472/INDEX(Surface_Engine!$B$12:$B$72,$A472+1))),IF(E472&lt;=0,0,MAX(0,(B472/E472)*I472/INDEX(Surface_Engine!$B$12:$B$72,$A472+1)-F472/INDEX(Surface_Engine!$B$12:$B$72,$A472+1))),IF($A472&lt;$Q$447,MAX(0,-Assumptions!$B$22*(F472/INDEX(Surface_Engine!$B$12:$B$72,$A472+1))),0)))^2+(MAX(0,J472/INDEX(Surface_Engine!$B$12:$B$72,$A472+1)-(F472/INDEX(Surface_Engine!$B$12:$B$72,$A472+1))))^2+2*Assumptions!$B$26*(IF(C472&lt;=0,0,MAX(0,(B472/C472)*G472/INDEX(Surface_Engine!$B$12:$B$72,$A472+1)-F472/INDEX(Surface_Engine!$B$12:$B$72,$A472+1))))*(MAX(IF(D472&lt;=0,0,MAX(0,(B472/D472)*H472/INDEX(Surface_Engine!$B$12:$B$72,$A472+1)-F472/INDEX(Surface_Engine!$B$12:$B$72,$A472+1))),IF(E472&lt;=0,0,MAX(0,(B472/E472)*I472/INDEX(Surface_Engine!$B$12:$B$72,$A472+1)-F472/INDEX(Surface_Engine!$B$12:$B$72,$A472+1))),IF($A472&lt;$Q$447,MAX(0,-Assumptions!$B$22*(F472/INDEX(Surface_Engine!$B$12:$B$72,$A472+1))),0)))+2*Assumptions!$B$27*(IF(C472&lt;=0,0,MAX(0,(B472/C472)*G472/INDEX(Surface_Engine!$B$12:$B$72,$A472+1)-F472/INDEX(Surface_Engine!$B$12:$B$72,$A472+1))))*(MAX(0,J472/INDEX(Surface_Engine!$B$12:$B$72,$A472+1)-(F472/INDEX(Surface_Engine!$B$12:$B$72,$A472+1))))+2*Assumptions!$B$28*(MAX(IF(D472&lt;=0,0,MAX(0,(B472/D472)*H472/INDEX(Surface_Engine!$B$12:$B$72,$A472+1)-F472/INDEX(Surface_Engine!$B$12:$B$72,$A472+1))),IF(E472&lt;=0,0,MAX(0,(B472/E472)*I472/INDEX(Surface_Engine!$B$12:$B$72,$A472+1)-F472/INDEX(Surface_Engine!$B$12:$B$72,$A472+1))),IF($A472&lt;$Q$447,MAX(0,-Assumptions!$B$22*(F472/INDEX(Surface_Engine!$B$12:$B$72,$A472+1))),0)))*(MAX(0,J472/INDEX(Surface_Engine!$B$12:$B$72,$A472+1)-(F472/INDEX(Surface_Engine!$B$12:$B$72,$A472+1)))))</f>
        <v>6046.98262088665</v>
      </c>
      <c r="L472" s="48" t="n">
        <f aca="false">K472*INDEX(Surface_Engine!$B$12:$B$72,$A472+1)+L473</f>
        <v>22173.5686261678</v>
      </c>
      <c r="M472" s="48" t="n">
        <f aca="false">M471+B471*(IF($A471&lt;$Q$447,(Surface_Engine!Q239*12)-(Surface_Engine!Q239*12)*INDEX(Surface_Engine!$F$12:$F$72,$A471+1)-INDEX(Surface_Engine!$D$12:$D$72,$A471+1),-(1000*12*INDEX(Surface_Engine!$C$12:$C$72,$A471+1)/(1+Assumptions!$B$10)^27+INDEX(Surface_Engine!$D$12:$D$72,$A471+1))))*INDEX(Surface_Engine!$B$12:$B$72,$A471+1)</f>
        <v>12363.4626309733</v>
      </c>
      <c r="N472" s="12" t="n">
        <f aca="false">IF(B472&lt;=0,0,MAX(0,(K472+Assumptions!$B$29*L472/INDEX(Surface_Engine!$B$12:$B$72,$A472+1)-(M472/INDEX(Surface_Engine!$B$12:$B$72,$A472+1)-(F472/INDEX(Surface_Engine!$B$12:$B$72,$A472+1))))/B472))</f>
        <v>15151.1011737887</v>
      </c>
    </row>
    <row r="473" customFormat="false" ht="15" hidden="false" customHeight="true" outlineLevel="0" collapsed="false">
      <c r="A473" s="1" t="n">
        <v>24</v>
      </c>
      <c r="B473" s="32" t="n">
        <f aca="false">INDEX(Surface_Engine!$J$12:$J$72,$A473+1)*IF($A473&lt;$Q$447,INDEX(Surface_Engine!$E$12:$E$72,$A473+1),INDEX(Surface_Engine!$E$12:$E$72,$Q$447+1))</f>
        <v>0.47927222692531</v>
      </c>
      <c r="C473" s="32" t="n">
        <f aca="false">INDEX(Panel_Reserving!$C$8:$C$68,$A473+1)*IF($A473&lt;$Q$447,INDEX(Surface_Engine!$E$12:$E$72,$A473+1),INDEX(Surface_Engine!$E$12:$E$72,$Q$447+1))</f>
        <v>0.525869284196151</v>
      </c>
      <c r="D473" s="32" t="n">
        <f aca="false">INDEX(Surface_Engine!$J$12:$J$72,$A473+1)*IF($A473&lt;$Q$447,INDEX(Surface_Engine!$Y$12:$Y$72,$A473+1),INDEX(Surface_Engine!$Y$12:$Y$72,$Q$447+1))</f>
        <v>0.416546384091514</v>
      </c>
      <c r="E473" s="32" t="n">
        <f aca="false">INDEX(Surface_Engine!$J$12:$J$72,$A473+1)*IF($A473&lt;$Q$447,INDEX(Surface_Engine!$Z$12:$Z$72,$A473+1),INDEX(Surface_Engine!$Z$12:$Z$72,$Q$447+1))</f>
        <v>0.550833177314086</v>
      </c>
      <c r="F473" s="48" t="n">
        <f aca="false">B473*(IF($A473&lt;$Q$447,INDEX(Surface_Engine!$D$12:$D$72,$A473+1)+(Surface_Engine!Q239*12)*INDEX(Surface_Engine!$F$12:$F$72,$A473+1)-(Surface_Engine!Q239*12),1000*12*INDEX(Surface_Engine!$C$12:$C$72,$A473+1)/(1+Assumptions!$B$10)^27+INDEX(Surface_Engine!$D$12:$D$72,$A473+1)))*INDEX(Surface_Engine!$B$12:$B$72,$A473+1)+F474</f>
        <v>12101.2768314564</v>
      </c>
      <c r="G473" s="48" t="n">
        <f aca="false">C473*(IF($A473&lt;$Q$447,INDEX(Surface_Engine!$D$12:$D$72,$A473+1)+(Surface_Engine!Q239*12)*INDEX(Surface_Engine!$F$12:$F$72,$A473+1)-(Surface_Engine!Q239*12),1000*12*INDEX(Surface_Engine!$C$12:$C$72,$A473+1)/(1+Assumptions!$B$10)^27+INDEX(Surface_Engine!$D$12:$D$72,$A473+1)))*INDEX(Surface_Engine!$B$12:$B$72,$A473+1)+G474</f>
        <v>16243.4063337777</v>
      </c>
      <c r="H473" s="48" t="n">
        <f aca="false">D473*(IF($A473&lt;$Q$447,INDEX(Surface_Engine!$D$12:$D$72,$A473+1)+(Surface_Engine!Q239*12)*INDEX(Surface_Engine!$F$12:$F$72,$A473+1)-(Surface_Engine!Q239*12),1000*12*INDEX(Surface_Engine!$C$12:$C$72,$A473+1)/(1+Assumptions!$B$10)^27+INDEX(Surface_Engine!$D$12:$D$72,$A473+1)))*INDEX(Surface_Engine!$B$12:$B$72,$A473+1)+H474</f>
        <v>10368.5332600408</v>
      </c>
      <c r="I473" s="48" t="n">
        <f aca="false">E473*(IF($A473&lt;$Q$447,INDEX(Surface_Engine!$D$12:$D$72,$A473+1)+(Surface_Engine!Q239*12)*INDEX(Surface_Engine!$F$12:$F$72,$A473+1)-(Surface_Engine!Q239*12),1000*12*INDEX(Surface_Engine!$C$12:$C$72,$A473+1)/(1+Assumptions!$B$10)^27+INDEX(Surface_Engine!$D$12:$D$72,$A473+1)))*INDEX(Surface_Engine!$B$12:$B$72,$A473+1)+I474</f>
        <v>14106.9578536985</v>
      </c>
      <c r="J473" s="48" t="n">
        <f aca="false">B473*(IF($A473&lt;$Q$447,INDEX(Surface_Engine!$D$12:$D$72,$A473+1)*(1+Assumptions!$B$24)+(Surface_Engine!Q239*12)*INDEX(Surface_Engine!$F$12:$F$72,$A473+1)-(Surface_Engine!Q239*12),1000*12*INDEX(Surface_Engine!$C$12:$C$72,$A473+1)/(1+Assumptions!$B$10)^27+INDEX(Surface_Engine!$D$12:$D$72,$A473+1)*(1+Assumptions!$B$24)))*INDEX(Surface_Engine!$B$12:$B$72,$A473+1)+J474</f>
        <v>12127.5737420108</v>
      </c>
      <c r="K473" s="12" t="n">
        <f aca="false">SQRT((IF(C473&lt;=0,0,MAX(0,(B473/C473)*G473/INDEX(Surface_Engine!$B$12:$B$72,$A473+1)-F473/INDEX(Surface_Engine!$B$12:$B$72,$A473+1))))^2+(MAX(IF(D473&lt;=0,0,MAX(0,(B473/D473)*H473/INDEX(Surface_Engine!$B$12:$B$72,$A473+1)-F473/INDEX(Surface_Engine!$B$12:$B$72,$A473+1))),IF(E473&lt;=0,0,MAX(0,(B473/E473)*I473/INDEX(Surface_Engine!$B$12:$B$72,$A473+1)-F473/INDEX(Surface_Engine!$B$12:$B$72,$A473+1))),IF($A473&lt;$Q$447,MAX(0,-Assumptions!$B$22*(F473/INDEX(Surface_Engine!$B$12:$B$72,$A473+1))),0)))^2+(MAX(0,J473/INDEX(Surface_Engine!$B$12:$B$72,$A473+1)-(F473/INDEX(Surface_Engine!$B$12:$B$72,$A473+1))))^2+2*Assumptions!$B$26*(IF(C473&lt;=0,0,MAX(0,(B473/C473)*G473/INDEX(Surface_Engine!$B$12:$B$72,$A473+1)-F473/INDEX(Surface_Engine!$B$12:$B$72,$A473+1))))*(MAX(IF(D473&lt;=0,0,MAX(0,(B473/D473)*H473/INDEX(Surface_Engine!$B$12:$B$72,$A473+1)-F473/INDEX(Surface_Engine!$B$12:$B$72,$A473+1))),IF(E473&lt;=0,0,MAX(0,(B473/E473)*I473/INDEX(Surface_Engine!$B$12:$B$72,$A473+1)-F473/INDEX(Surface_Engine!$B$12:$B$72,$A473+1))),IF($A473&lt;$Q$447,MAX(0,-Assumptions!$B$22*(F473/INDEX(Surface_Engine!$B$12:$B$72,$A473+1))),0)))+2*Assumptions!$B$27*(IF(C473&lt;=0,0,MAX(0,(B473/C473)*G473/INDEX(Surface_Engine!$B$12:$B$72,$A473+1)-F473/INDEX(Surface_Engine!$B$12:$B$72,$A473+1))))*(MAX(0,J473/INDEX(Surface_Engine!$B$12:$B$72,$A473+1)-(F473/INDEX(Surface_Engine!$B$12:$B$72,$A473+1))))+2*Assumptions!$B$28*(MAX(IF(D473&lt;=0,0,MAX(0,(B473/D473)*H473/INDEX(Surface_Engine!$B$12:$B$72,$A473+1)-F473/INDEX(Surface_Engine!$B$12:$B$72,$A473+1))),IF(E473&lt;=0,0,MAX(0,(B473/E473)*I473/INDEX(Surface_Engine!$B$12:$B$72,$A473+1)-F473/INDEX(Surface_Engine!$B$12:$B$72,$A473+1))),IF($A473&lt;$Q$447,MAX(0,-Assumptions!$B$22*(F473/INDEX(Surface_Engine!$B$12:$B$72,$A473+1))),0)))*(MAX(0,J473/INDEX(Surface_Engine!$B$12:$B$72,$A473+1)-(F473/INDEX(Surface_Engine!$B$12:$B$72,$A473+1)))))</f>
        <v>5839.40889966655</v>
      </c>
      <c r="L473" s="48" t="n">
        <f aca="false">K473*INDEX(Surface_Engine!$B$12:$B$72,$A473+1)+L474</f>
        <v>19224.9664434177</v>
      </c>
      <c r="M473" s="48" t="n">
        <f aca="false">M472+B472*(IF($A472&lt;$Q$447,(Surface_Engine!Q239*12)-(Surface_Engine!Q239*12)*INDEX(Surface_Engine!$F$12:$F$72,$A472+1)-INDEX(Surface_Engine!$D$12:$D$72,$A472+1),-(1000*12*INDEX(Surface_Engine!$C$12:$C$72,$A472+1)/(1+Assumptions!$B$10)^27+INDEX(Surface_Engine!$D$12:$D$72,$A472+1))))*INDEX(Surface_Engine!$B$12:$B$72,$A472+1)</f>
        <v>12600.0457991098</v>
      </c>
      <c r="N473" s="12" t="n">
        <f aca="false">IF(B473&lt;=0,0,MAX(0,(K473+Assumptions!$B$29*L473/INDEX(Surface_Engine!$B$12:$B$72,$A473+1)-(M473/INDEX(Surface_Engine!$B$12:$B$72,$A473+1)-(F473/INDEX(Surface_Engine!$B$12:$B$72,$A473+1))))/B473))</f>
        <v>15075.6918037985</v>
      </c>
    </row>
    <row r="474" customFormat="false" ht="15" hidden="false" customHeight="true" outlineLevel="0" collapsed="false">
      <c r="A474" s="1" t="n">
        <v>25</v>
      </c>
      <c r="B474" s="32" t="n">
        <f aca="false">INDEX(Surface_Engine!$J$12:$J$72,$A474+1)*IF($A474&lt;$Q$447,INDEX(Surface_Engine!$E$12:$E$72,$A474+1),INDEX(Surface_Engine!$E$12:$E$72,$Q$447+1))</f>
        <v>0.4453957266183</v>
      </c>
      <c r="C474" s="32" t="n">
        <f aca="false">INDEX(Panel_Reserving!$C$8:$C$68,$A474+1)*IF($A474&lt;$Q$447,INDEX(Surface_Engine!$E$12:$E$72,$A474+1),INDEX(Surface_Engine!$E$12:$E$72,$Q$447+1))</f>
        <v>0.495176098120089</v>
      </c>
      <c r="D474" s="32" t="n">
        <f aca="false">INDEX(Surface_Engine!$J$12:$J$72,$A474+1)*IF($A474&lt;$Q$447,INDEX(Surface_Engine!$Y$12:$Y$72,$A474+1),INDEX(Surface_Engine!$Y$12:$Y$72,$Q$447+1))</f>
        <v>0.385326051456988</v>
      </c>
      <c r="E474" s="32" t="n">
        <f aca="false">INDEX(Surface_Engine!$J$12:$J$72,$A474+1)*IF($A474&lt;$Q$447,INDEX(Surface_Engine!$Z$12:$Z$72,$A474+1),INDEX(Surface_Engine!$Z$12:$Z$72,$Q$447+1))</f>
        <v>0.514249047264678</v>
      </c>
      <c r="F474" s="48" t="n">
        <f aca="false">B474*(IF($A474&lt;$Q$447,INDEX(Surface_Engine!$D$12:$D$72,$A474+1)+(Surface_Engine!Q239*12)*INDEX(Surface_Engine!$F$12:$F$72,$A474+1)-(Surface_Engine!Q239*12),1000*12*INDEX(Surface_Engine!$C$12:$C$72,$A474+1)/(1+Assumptions!$B$10)^27+INDEX(Surface_Engine!$D$12:$D$72,$A474+1)))*INDEX(Surface_Engine!$B$12:$B$72,$A474+1)+F475</f>
        <v>12315.143767689</v>
      </c>
      <c r="G474" s="48" t="n">
        <f aca="false">C474*(IF($A474&lt;$Q$447,INDEX(Surface_Engine!$D$12:$D$72,$A474+1)+(Surface_Engine!Q239*12)*INDEX(Surface_Engine!$F$12:$F$72,$A474+1)-(Surface_Engine!Q239*12),1000*12*INDEX(Surface_Engine!$C$12:$C$72,$A474+1)/(1+Assumptions!$B$10)^27+INDEX(Surface_Engine!$D$12:$D$72,$A474+1)))*INDEX(Surface_Engine!$B$12:$B$72,$A474+1)+G475</f>
        <v>16478.0664003361</v>
      </c>
      <c r="H474" s="48" t="n">
        <f aca="false">D474*(IF($A474&lt;$Q$447,INDEX(Surface_Engine!$D$12:$D$72,$A474+1)+(Surface_Engine!Q239*12)*INDEX(Surface_Engine!$F$12:$F$72,$A474+1)-(Surface_Engine!Q239*12),1000*12*INDEX(Surface_Engine!$C$12:$C$72,$A474+1)/(1+Assumptions!$B$10)^27+INDEX(Surface_Engine!$D$12:$D$72,$A474+1)))*INDEX(Surface_Engine!$B$12:$B$72,$A474+1)+H475</f>
        <v>10554.4098745401</v>
      </c>
      <c r="I474" s="48" t="n">
        <f aca="false">E474*(IF($A474&lt;$Q$447,INDEX(Surface_Engine!$D$12:$D$72,$A474+1)+(Surface_Engine!Q239*12)*INDEX(Surface_Engine!$F$12:$F$72,$A474+1)-(Surface_Engine!Q239*12),1000*12*INDEX(Surface_Engine!$C$12:$C$72,$A474+1)/(1+Assumptions!$B$10)^27+INDEX(Surface_Engine!$D$12:$D$72,$A474+1)))*INDEX(Surface_Engine!$B$12:$B$72,$A474+1)+I475</f>
        <v>14352.7576254967</v>
      </c>
      <c r="J474" s="48" t="n">
        <f aca="false">B474*(IF($A474&lt;$Q$447,INDEX(Surface_Engine!$D$12:$D$72,$A474+1)*(1+Assumptions!$B$24)+(Surface_Engine!Q239*12)*INDEX(Surface_Engine!$F$12:$F$72,$A474+1)-(Surface_Engine!Q239*12),1000*12*INDEX(Surface_Engine!$C$12:$C$72,$A474+1)/(1+Assumptions!$B$10)^27+INDEX(Surface_Engine!$D$12:$D$72,$A474+1)*(1+Assumptions!$B$24)))*INDEX(Surface_Engine!$B$12:$B$72,$A474+1)+J475</f>
        <v>12338.0826646696</v>
      </c>
      <c r="K474" s="12" t="n">
        <f aca="false">SQRT((IF(C474&lt;=0,0,MAX(0,(B474/C474)*G474/INDEX(Surface_Engine!$B$12:$B$72,$A474+1)-F474/INDEX(Surface_Engine!$B$12:$B$72,$A474+1))))^2+(MAX(IF(D474&lt;=0,0,MAX(0,(B474/D474)*H474/INDEX(Surface_Engine!$B$12:$B$72,$A474+1)-F474/INDEX(Surface_Engine!$B$12:$B$72,$A474+1))),IF(E474&lt;=0,0,MAX(0,(B474/E474)*I474/INDEX(Surface_Engine!$B$12:$B$72,$A474+1)-F474/INDEX(Surface_Engine!$B$12:$B$72,$A474+1))),IF($A474&lt;$Q$447,MAX(0,-Assumptions!$B$22*(F474/INDEX(Surface_Engine!$B$12:$B$72,$A474+1))),0)))^2+(MAX(0,J474/INDEX(Surface_Engine!$B$12:$B$72,$A474+1)-(F474/INDEX(Surface_Engine!$B$12:$B$72,$A474+1))))^2+2*Assumptions!$B$26*(IF(C474&lt;=0,0,MAX(0,(B474/C474)*G474/INDEX(Surface_Engine!$B$12:$B$72,$A474+1)-F474/INDEX(Surface_Engine!$B$12:$B$72,$A474+1))))*(MAX(IF(D474&lt;=0,0,MAX(0,(B474/D474)*H474/INDEX(Surface_Engine!$B$12:$B$72,$A474+1)-F474/INDEX(Surface_Engine!$B$12:$B$72,$A474+1))),IF(E474&lt;=0,0,MAX(0,(B474/E474)*I474/INDEX(Surface_Engine!$B$12:$B$72,$A474+1)-F474/INDEX(Surface_Engine!$B$12:$B$72,$A474+1))),IF($A474&lt;$Q$447,MAX(0,-Assumptions!$B$22*(F474/INDEX(Surface_Engine!$B$12:$B$72,$A474+1))),0)))+2*Assumptions!$B$27*(IF(C474&lt;=0,0,MAX(0,(B474/C474)*G474/INDEX(Surface_Engine!$B$12:$B$72,$A474+1)-F474/INDEX(Surface_Engine!$B$12:$B$72,$A474+1))))*(MAX(0,J474/INDEX(Surface_Engine!$B$12:$B$72,$A474+1)-(F474/INDEX(Surface_Engine!$B$12:$B$72,$A474+1))))+2*Assumptions!$B$28*(MAX(IF(D474&lt;=0,0,MAX(0,(B474/D474)*H474/INDEX(Surface_Engine!$B$12:$B$72,$A474+1)-F474/INDEX(Surface_Engine!$B$12:$B$72,$A474+1))),IF(E474&lt;=0,0,MAX(0,(B474/E474)*I474/INDEX(Surface_Engine!$B$12:$B$72,$A474+1)-F474/INDEX(Surface_Engine!$B$12:$B$72,$A474+1))),IF($A474&lt;$Q$447,MAX(0,-Assumptions!$B$22*(F474/INDEX(Surface_Engine!$B$12:$B$72,$A474+1))),0)))*(MAX(0,J474/INDEX(Surface_Engine!$B$12:$B$72,$A474+1)-(F474/INDEX(Surface_Engine!$B$12:$B$72,$A474+1)))))</f>
        <v>5557.74635978803</v>
      </c>
      <c r="L474" s="48" t="n">
        <f aca="false">K474*INDEX(Surface_Engine!$B$12:$B$72,$A474+1)+L475</f>
        <v>16466.406345584</v>
      </c>
      <c r="M474" s="48" t="n">
        <f aca="false">M473+B473*(IF($A473&lt;$Q$447,(Surface_Engine!Q239*12)-(Surface_Engine!Q239*12)*INDEX(Surface_Engine!$F$12:$F$72,$A473+1)-INDEX(Surface_Engine!$D$12:$D$72,$A473+1),-(1000*12*INDEX(Surface_Engine!$C$12:$C$72,$A473+1)/(1+Assumptions!$B$10)^27+INDEX(Surface_Engine!$D$12:$D$72,$A473+1))))*INDEX(Surface_Engine!$B$12:$B$72,$A473+1)</f>
        <v>12813.9127353425</v>
      </c>
      <c r="N474" s="12" t="n">
        <f aca="false">IF(B474&lt;=0,0,MAX(0,(K474+Assumptions!$B$29*L474/INDEX(Surface_Engine!$B$12:$B$72,$A474+1)-(M474/INDEX(Surface_Engine!$B$12:$B$72,$A474+1)-(F474/INDEX(Surface_Engine!$B$12:$B$72,$A474+1))))/B474))</f>
        <v>14877.694979993</v>
      </c>
    </row>
    <row r="475" customFormat="false" ht="15" hidden="false" customHeight="true" outlineLevel="0" collapsed="false">
      <c r="A475" s="1" t="n">
        <v>26</v>
      </c>
      <c r="B475" s="32" t="n">
        <f aca="false">INDEX(Surface_Engine!$J$12:$J$72,$A475+1)*IF($A475&lt;$Q$447,INDEX(Surface_Engine!$E$12:$E$72,$A475+1),INDEX(Surface_Engine!$E$12:$E$72,$Q$447+1))</f>
        <v>0.410214841669567</v>
      </c>
      <c r="C475" s="32" t="n">
        <f aca="false">INDEX(Panel_Reserving!$C$8:$C$68,$A475+1)*IF($A475&lt;$Q$447,INDEX(Surface_Engine!$E$12:$E$72,$A475+1),INDEX(Surface_Engine!$E$12:$E$72,$Q$447+1))</f>
        <v>0.462984530999474</v>
      </c>
      <c r="D475" s="32" t="n">
        <f aca="false">INDEX(Surface_Engine!$J$12:$J$72,$A475+1)*IF($A475&lt;$Q$447,INDEX(Surface_Engine!$Y$12:$Y$72,$A475+1),INDEX(Surface_Engine!$Y$12:$Y$72,$Q$447+1))</f>
        <v>0.353260367182922</v>
      </c>
      <c r="E475" s="32" t="n">
        <f aca="false">INDEX(Surface_Engine!$J$12:$J$72,$A475+1)*IF($A475&lt;$Q$447,INDEX(Surface_Engine!$Z$12:$Z$72,$A475+1),INDEX(Surface_Engine!$Z$12:$Z$72,$Q$447+1))</f>
        <v>0.475804386603895</v>
      </c>
      <c r="F475" s="48" t="n">
        <f aca="false">B475*(IF($A475&lt;$Q$447,INDEX(Surface_Engine!$D$12:$D$72,$A475+1)+(Surface_Engine!Q239*12)*INDEX(Surface_Engine!$F$12:$F$72,$A475+1)-(Surface_Engine!Q239*12),1000*12*INDEX(Surface_Engine!$C$12:$C$72,$A475+1)/(1+Assumptions!$B$10)^27+INDEX(Surface_Engine!$D$12:$D$72,$A475+1)))*INDEX(Surface_Engine!$B$12:$B$72,$A475+1)+F476</f>
        <v>12506.9769871141</v>
      </c>
      <c r="G475" s="48" t="n">
        <f aca="false">C475*(IF($A475&lt;$Q$447,INDEX(Surface_Engine!$D$12:$D$72,$A475+1)+(Surface_Engine!Q239*12)*INDEX(Surface_Engine!$F$12:$F$72,$A475+1)-(Surface_Engine!Q239*12),1000*12*INDEX(Surface_Engine!$C$12:$C$72,$A475+1)/(1+Assumptions!$B$10)^27+INDEX(Surface_Engine!$D$12:$D$72,$A475+1)))*INDEX(Surface_Engine!$B$12:$B$72,$A475+1)+G476</f>
        <v>16691.3401688249</v>
      </c>
      <c r="H475" s="48" t="n">
        <f aca="false">D475*(IF($A475&lt;$Q$447,INDEX(Surface_Engine!$D$12:$D$72,$A475+1)+(Surface_Engine!Q239*12)*INDEX(Surface_Engine!$F$12:$F$72,$A475+1)-(Surface_Engine!Q239*12),1000*12*INDEX(Surface_Engine!$C$12:$C$72,$A475+1)/(1+Assumptions!$B$10)^27+INDEX(Surface_Engine!$D$12:$D$72,$A475+1)))*INDEX(Surface_Engine!$B$12:$B$72,$A475+1)+H476</f>
        <v>10720.370912246</v>
      </c>
      <c r="I475" s="48" t="n">
        <f aca="false">E475*(IF($A475&lt;$Q$447,INDEX(Surface_Engine!$D$12:$D$72,$A475+1)+(Surface_Engine!Q239*12)*INDEX(Surface_Engine!$F$12:$F$72,$A475+1)-(Surface_Engine!Q239*12),1000*12*INDEX(Surface_Engine!$C$12:$C$72,$A475+1)/(1+Assumptions!$B$10)^27+INDEX(Surface_Engine!$D$12:$D$72,$A475+1)))*INDEX(Surface_Engine!$B$12:$B$72,$A475+1)+I476</f>
        <v>14574.2461679937</v>
      </c>
      <c r="J475" s="48" t="n">
        <f aca="false">B475*(IF($A475&lt;$Q$447,INDEX(Surface_Engine!$D$12:$D$72,$A475+1)*(1+Assumptions!$B$24)+(Surface_Engine!Q239*12)*INDEX(Surface_Engine!$F$12:$F$72,$A475+1)-(Surface_Engine!Q239*12),1000*12*INDEX(Surface_Engine!$C$12:$C$72,$A475+1)/(1+Assumptions!$B$10)^27+INDEX(Surface_Engine!$D$12:$D$72,$A475+1)*(1+Assumptions!$B$24)))*INDEX(Surface_Engine!$B$12:$B$72,$A475+1)+J476</f>
        <v>12526.8163630152</v>
      </c>
      <c r="K475" s="12" t="n">
        <f aca="false">SQRT((IF(C475&lt;=0,0,MAX(0,(B475/C475)*G475/INDEX(Surface_Engine!$B$12:$B$72,$A475+1)-F475/INDEX(Surface_Engine!$B$12:$B$72,$A475+1))))^2+(MAX(IF(D475&lt;=0,0,MAX(0,(B475/D475)*H475/INDEX(Surface_Engine!$B$12:$B$72,$A475+1)-F475/INDEX(Surface_Engine!$B$12:$B$72,$A475+1))),IF(E475&lt;=0,0,MAX(0,(B475/E475)*I475/INDEX(Surface_Engine!$B$12:$B$72,$A475+1)-F475/INDEX(Surface_Engine!$B$12:$B$72,$A475+1))),IF($A475&lt;$Q$447,MAX(0,-Assumptions!$B$22*(F475/INDEX(Surface_Engine!$B$12:$B$72,$A475+1))),0)))^2+(MAX(0,J475/INDEX(Surface_Engine!$B$12:$B$72,$A475+1)-(F475/INDEX(Surface_Engine!$B$12:$B$72,$A475+1))))^2+2*Assumptions!$B$26*(IF(C475&lt;=0,0,MAX(0,(B475/C475)*G475/INDEX(Surface_Engine!$B$12:$B$72,$A475+1)-F475/INDEX(Surface_Engine!$B$12:$B$72,$A475+1))))*(MAX(IF(D475&lt;=0,0,MAX(0,(B475/D475)*H475/INDEX(Surface_Engine!$B$12:$B$72,$A475+1)-F475/INDEX(Surface_Engine!$B$12:$B$72,$A475+1))),IF(E475&lt;=0,0,MAX(0,(B475/E475)*I475/INDEX(Surface_Engine!$B$12:$B$72,$A475+1)-F475/INDEX(Surface_Engine!$B$12:$B$72,$A475+1))),IF($A475&lt;$Q$447,MAX(0,-Assumptions!$B$22*(F475/INDEX(Surface_Engine!$B$12:$B$72,$A475+1))),0)))+2*Assumptions!$B$27*(IF(C475&lt;=0,0,MAX(0,(B475/C475)*G475/INDEX(Surface_Engine!$B$12:$B$72,$A475+1)-F475/INDEX(Surface_Engine!$B$12:$B$72,$A475+1))))*(MAX(0,J475/INDEX(Surface_Engine!$B$12:$B$72,$A475+1)-(F475/INDEX(Surface_Engine!$B$12:$B$72,$A475+1))))+2*Assumptions!$B$28*(MAX(IF(D475&lt;=0,0,MAX(0,(B475/D475)*H475/INDEX(Surface_Engine!$B$12:$B$72,$A475+1)-F475/INDEX(Surface_Engine!$B$12:$B$72,$A475+1))),IF(E475&lt;=0,0,MAX(0,(B475/E475)*I475/INDEX(Surface_Engine!$B$12:$B$72,$A475+1)-F475/INDEX(Surface_Engine!$B$12:$B$72,$A475+1))),IF($A475&lt;$Q$447,MAX(0,-Assumptions!$B$22*(F475/INDEX(Surface_Engine!$B$12:$B$72,$A475+1))),0)))*(MAX(0,J475/INDEX(Surface_Engine!$B$12:$B$72,$A475+1)-(F475/INDEX(Surface_Engine!$B$12:$B$72,$A475+1)))))</f>
        <v>5192.09149007553</v>
      </c>
      <c r="L475" s="48" t="n">
        <f aca="false">K475*INDEX(Surface_Engine!$B$12:$B$72,$A475+1)+L476</f>
        <v>13922.2910784577</v>
      </c>
      <c r="M475" s="48" t="n">
        <f aca="false">M474+B474*(IF($A474&lt;$Q$447,(Surface_Engine!Q239*12)-(Surface_Engine!Q239*12)*INDEX(Surface_Engine!$F$12:$F$72,$A474+1)-INDEX(Surface_Engine!$D$12:$D$72,$A474+1),-(1000*12*INDEX(Surface_Engine!$C$12:$C$72,$A474+1)/(1+Assumptions!$B$10)^27+INDEX(Surface_Engine!$D$12:$D$72,$A474+1))))*INDEX(Surface_Engine!$B$12:$B$72,$A474+1)</f>
        <v>13005.7459547675</v>
      </c>
      <c r="N475" s="12" t="n">
        <f aca="false">IF(B475&lt;=0,0,MAX(0,(K475+Assumptions!$B$29*L475/INDEX(Surface_Engine!$B$12:$B$72,$A475+1)-(M475/INDEX(Surface_Engine!$B$12:$B$72,$A475+1)-(F475/INDEX(Surface_Engine!$B$12:$B$72,$A475+1))))/B475))</f>
        <v>14507.1999852851</v>
      </c>
    </row>
    <row r="476" customFormat="false" ht="15" hidden="false" customHeight="true" outlineLevel="0" collapsed="false">
      <c r="A476" s="1" t="n">
        <v>27</v>
      </c>
      <c r="B476" s="32" t="n">
        <f aca="false">INDEX(Surface_Engine!$J$12:$J$72,$A476+1)*IF($A476&lt;$Q$447,INDEX(Surface_Engine!$E$12:$E$72,$A476+1),INDEX(Surface_Engine!$E$12:$E$72,$Q$447+1))</f>
        <v>0.37397676884201</v>
      </c>
      <c r="C476" s="32" t="n">
        <f aca="false">INDEX(Panel_Reserving!$C$8:$C$68,$A476+1)*IF($A476&lt;$Q$447,INDEX(Surface_Engine!$E$12:$E$72,$A476+1),INDEX(Surface_Engine!$E$12:$E$72,$Q$447+1))</f>
        <v>0.429422132926935</v>
      </c>
      <c r="D476" s="32" t="n">
        <f aca="false">INDEX(Surface_Engine!$J$12:$J$72,$A476+1)*IF($A476&lt;$Q$447,INDEX(Surface_Engine!$Y$12:$Y$72,$A476+1),INDEX(Surface_Engine!$Y$12:$Y$72,$Q$447+1))</f>
        <v>0.320574809091423</v>
      </c>
      <c r="E476" s="32" t="n">
        <f aca="false">INDEX(Surface_Engine!$J$12:$J$72,$A476+1)*IF($A476&lt;$Q$447,INDEX(Surface_Engine!$Z$12:$Z$72,$A476+1),INDEX(Surface_Engine!$Z$12:$Z$72,$Q$447+1))</f>
        <v>0.435763971055973</v>
      </c>
      <c r="F476" s="48" t="n">
        <f aca="false">B476*(IF($A476&lt;$Q$447,INDEX(Surface_Engine!$D$12:$D$72,$A476+1)+(Surface_Engine!Q239*12)*INDEX(Surface_Engine!$F$12:$F$72,$A476+1)-(Surface_Engine!Q239*12),1000*12*INDEX(Surface_Engine!$C$12:$C$72,$A476+1)/(1+Assumptions!$B$10)^27+INDEX(Surface_Engine!$D$12:$D$72,$A476+1)))*INDEX(Surface_Engine!$B$12:$B$72,$A476+1)+F477</f>
        <v>12677.4430624717</v>
      </c>
      <c r="G476" s="48" t="n">
        <f aca="false">C476*(IF($A476&lt;$Q$447,INDEX(Surface_Engine!$D$12:$D$72,$A476+1)+(Surface_Engine!Q239*12)*INDEX(Surface_Engine!$F$12:$F$72,$A476+1)-(Surface_Engine!Q239*12),1000*12*INDEX(Surface_Engine!$C$12:$C$72,$A476+1)/(1+Assumptions!$B$10)^27+INDEX(Surface_Engine!$D$12:$D$72,$A476+1)))*INDEX(Surface_Engine!$B$12:$B$72,$A476+1)+G477</f>
        <v>16883.7348555446</v>
      </c>
      <c r="H476" s="48" t="n">
        <f aca="false">D476*(IF($A476&lt;$Q$447,INDEX(Surface_Engine!$D$12:$D$72,$A476+1)+(Surface_Engine!Q239*12)*INDEX(Surface_Engine!$F$12:$F$72,$A476+1)-(Surface_Engine!Q239*12),1000*12*INDEX(Surface_Engine!$C$12:$C$72,$A476+1)/(1+Assumptions!$B$10)^27+INDEX(Surface_Engine!$D$12:$D$72,$A476+1)))*INDEX(Surface_Engine!$B$12:$B$72,$A476+1)+H477</f>
        <v>10867.1693755293</v>
      </c>
      <c r="I476" s="48" t="n">
        <f aca="false">E476*(IF($A476&lt;$Q$447,INDEX(Surface_Engine!$D$12:$D$72,$A476+1)+(Surface_Engine!Q239*12)*INDEX(Surface_Engine!$F$12:$F$72,$A476+1)-(Surface_Engine!Q239*12),1000*12*INDEX(Surface_Engine!$C$12:$C$72,$A476+1)/(1+Assumptions!$B$10)^27+INDEX(Surface_Engine!$D$12:$D$72,$A476+1)))*INDEX(Surface_Engine!$B$12:$B$72,$A476+1)+I477</f>
        <v>14771.9681862713</v>
      </c>
      <c r="J476" s="48" t="n">
        <f aca="false">B476*(IF($A476&lt;$Q$447,INDEX(Surface_Engine!$D$12:$D$72,$A476+1)*(1+Assumptions!$B$24)+(Surface_Engine!Q239*12)*INDEX(Surface_Engine!$F$12:$F$72,$A476+1)-(Surface_Engine!Q239*12),1000*12*INDEX(Surface_Engine!$C$12:$C$72,$A476+1)/(1+Assumptions!$B$10)^27+INDEX(Surface_Engine!$D$12:$D$72,$A476+1)*(1+Assumptions!$B$24)))*INDEX(Surface_Engine!$B$12:$B$72,$A476+1)+J477</f>
        <v>12694.4478472413</v>
      </c>
      <c r="K476" s="12" t="n">
        <f aca="false">SQRT((IF(C476&lt;=0,0,MAX(0,(B476/C476)*G476/INDEX(Surface_Engine!$B$12:$B$72,$A476+1)-F476/INDEX(Surface_Engine!$B$12:$B$72,$A476+1))))^2+(MAX(IF(D476&lt;=0,0,MAX(0,(B476/D476)*H476/INDEX(Surface_Engine!$B$12:$B$72,$A476+1)-F476/INDEX(Surface_Engine!$B$12:$B$72,$A476+1))),IF(E476&lt;=0,0,MAX(0,(B476/E476)*I476/INDEX(Surface_Engine!$B$12:$B$72,$A476+1)-F476/INDEX(Surface_Engine!$B$12:$B$72,$A476+1))),IF($A476&lt;$Q$447,MAX(0,-Assumptions!$B$22*(F476/INDEX(Surface_Engine!$B$12:$B$72,$A476+1))),0)))^2+(MAX(0,J476/INDEX(Surface_Engine!$B$12:$B$72,$A476+1)-(F476/INDEX(Surface_Engine!$B$12:$B$72,$A476+1))))^2+2*Assumptions!$B$26*(IF(C476&lt;=0,0,MAX(0,(B476/C476)*G476/INDEX(Surface_Engine!$B$12:$B$72,$A476+1)-F476/INDEX(Surface_Engine!$B$12:$B$72,$A476+1))))*(MAX(IF(D476&lt;=0,0,MAX(0,(B476/D476)*H476/INDEX(Surface_Engine!$B$12:$B$72,$A476+1)-F476/INDEX(Surface_Engine!$B$12:$B$72,$A476+1))),IF(E476&lt;=0,0,MAX(0,(B476/E476)*I476/INDEX(Surface_Engine!$B$12:$B$72,$A476+1)-F476/INDEX(Surface_Engine!$B$12:$B$72,$A476+1))),IF($A476&lt;$Q$447,MAX(0,-Assumptions!$B$22*(F476/INDEX(Surface_Engine!$B$12:$B$72,$A476+1))),0)))+2*Assumptions!$B$27*(IF(C476&lt;=0,0,MAX(0,(B476/C476)*G476/INDEX(Surface_Engine!$B$12:$B$72,$A476+1)-F476/INDEX(Surface_Engine!$B$12:$B$72,$A476+1))))*(MAX(0,J476/INDEX(Surface_Engine!$B$12:$B$72,$A476+1)-(F476/INDEX(Surface_Engine!$B$12:$B$72,$A476+1))))+2*Assumptions!$B$28*(MAX(IF(D476&lt;=0,0,MAX(0,(B476/D476)*H476/INDEX(Surface_Engine!$B$12:$B$72,$A476+1)-F476/INDEX(Surface_Engine!$B$12:$B$72,$A476+1))),IF(E476&lt;=0,0,MAX(0,(B476/E476)*I476/INDEX(Surface_Engine!$B$12:$B$72,$A476+1)-F476/INDEX(Surface_Engine!$B$12:$B$72,$A476+1))),IF($A476&lt;$Q$447,MAX(0,-Assumptions!$B$22*(F476/INDEX(Surface_Engine!$B$12:$B$72,$A476+1))),0)))*(MAX(0,J476/INDEX(Surface_Engine!$B$12:$B$72,$A476+1)-(F476/INDEX(Surface_Engine!$B$12:$B$72,$A476+1)))))</f>
        <v>4725.91589922291</v>
      </c>
      <c r="L476" s="48" t="n">
        <f aca="false">K476*INDEX(Surface_Engine!$B$12:$B$72,$A476+1)+L477</f>
        <v>11619.857879085</v>
      </c>
      <c r="M476" s="48" t="n">
        <f aca="false">M475+B475*(IF($A475&lt;$Q$447,(Surface_Engine!Q239*12)-(Surface_Engine!Q239*12)*INDEX(Surface_Engine!$F$12:$F$72,$A475+1)-INDEX(Surface_Engine!$D$12:$D$72,$A475+1),-(1000*12*INDEX(Surface_Engine!$C$12:$C$72,$A475+1)/(1+Assumptions!$B$10)^27+INDEX(Surface_Engine!$D$12:$D$72,$A475+1))))*INDEX(Surface_Engine!$B$12:$B$72,$A475+1)</f>
        <v>13176.2120301252</v>
      </c>
      <c r="N476" s="12" t="n">
        <f aca="false">IF(B476&lt;=0,0,MAX(0,(K476+Assumptions!$B$29*L476/INDEX(Surface_Engine!$B$12:$B$72,$A476+1)-(M476/INDEX(Surface_Engine!$B$12:$B$72,$A476+1)-(F476/INDEX(Surface_Engine!$B$12:$B$72,$A476+1))))/B476))</f>
        <v>13871.7280504619</v>
      </c>
    </row>
    <row r="477" customFormat="false" ht="15" hidden="false" customHeight="true" outlineLevel="0" collapsed="false">
      <c r="A477" s="1" t="n">
        <v>28</v>
      </c>
      <c r="B477" s="32" t="n">
        <f aca="false">INDEX(Surface_Engine!$J$12:$J$72,$A477+1)*IF($A477&lt;$Q$447,INDEX(Surface_Engine!$E$12:$E$72,$A477+1),INDEX(Surface_Engine!$E$12:$E$72,$Q$447+1))</f>
        <v>0.339033428712736</v>
      </c>
      <c r="C477" s="32" t="n">
        <f aca="false">INDEX(Panel_Reserving!$C$8:$C$68,$A477+1)*IF($A477&lt;$Q$447,INDEX(Surface_Engine!$E$12:$E$72,$A477+1),INDEX(Surface_Engine!$E$12:$E$72,$Q$447+1))</f>
        <v>0.397322933404211</v>
      </c>
      <c r="D477" s="32" t="n">
        <f aca="false">INDEX(Surface_Engine!$J$12:$J$72,$A477+1)*IF($A477&lt;$Q$447,INDEX(Surface_Engine!$Y$12:$Y$72,$A477+1),INDEX(Surface_Engine!$Y$12:$Y$72,$Q$447+1))</f>
        <v>0.29062119826783</v>
      </c>
      <c r="E477" s="32" t="n">
        <f aca="false">INDEX(Surface_Engine!$J$12:$J$72,$A477+1)*IF($A477&lt;$Q$447,INDEX(Surface_Engine!$Z$12:$Z$72,$A477+1),INDEX(Surface_Engine!$Z$12:$Z$72,$Q$447+1))</f>
        <v>0.395047408089131</v>
      </c>
      <c r="F477" s="48" t="n">
        <f aca="false">B477*(IF($A477&lt;$Q$447,INDEX(Surface_Engine!$D$12:$D$72,$A477+1)+(Surface_Engine!Q239*12)*INDEX(Surface_Engine!$F$12:$F$72,$A477+1)-(Surface_Engine!Q239*12),1000*12*INDEX(Surface_Engine!$C$12:$C$72,$A477+1)/(1+Assumptions!$B$10)^27+INDEX(Surface_Engine!$D$12:$D$72,$A477+1)))*INDEX(Surface_Engine!$B$12:$B$72,$A477+1)+F478</f>
        <v>10723.4800286427</v>
      </c>
      <c r="G477" s="48" t="n">
        <f aca="false">C477*(IF($A477&lt;$Q$447,INDEX(Surface_Engine!$D$12:$D$72,$A477+1)+(Surface_Engine!Q239*12)*INDEX(Surface_Engine!$F$12:$F$72,$A477+1)-(Surface_Engine!Q239*12),1000*12*INDEX(Surface_Engine!$C$12:$C$72,$A477+1)/(1+Assumptions!$B$10)^27+INDEX(Surface_Engine!$D$12:$D$72,$A477+1)))*INDEX(Surface_Engine!$B$12:$B$72,$A477+1)+G478</f>
        <v>14640.0795176866</v>
      </c>
      <c r="H477" s="48" t="n">
        <f aca="false">D477*(IF($A477&lt;$Q$447,INDEX(Surface_Engine!$D$12:$D$72,$A477+1)+(Surface_Engine!Q239*12)*INDEX(Surface_Engine!$F$12:$F$72,$A477+1)-(Surface_Engine!Q239*12),1000*12*INDEX(Surface_Engine!$C$12:$C$72,$A477+1)/(1+Assumptions!$B$10)^27+INDEX(Surface_Engine!$D$12:$D$72,$A477+1)))*INDEX(Surface_Engine!$B$12:$B$72,$A477+1)+H478</f>
        <v>9192.22221642892</v>
      </c>
      <c r="I477" s="48" t="n">
        <f aca="false">E477*(IF($A477&lt;$Q$447,INDEX(Surface_Engine!$D$12:$D$72,$A477+1)+(Surface_Engine!Q239*12)*INDEX(Surface_Engine!$F$12:$F$72,$A477+1)-(Surface_Engine!Q239*12),1000*12*INDEX(Surface_Engine!$C$12:$C$72,$A477+1)/(1+Assumptions!$B$10)^27+INDEX(Surface_Engine!$D$12:$D$72,$A477+1)))*INDEX(Surface_Engine!$B$12:$B$72,$A477+1)+I478</f>
        <v>12495.1778563413</v>
      </c>
      <c r="J477" s="48" t="n">
        <f aca="false">B477*(IF($A477&lt;$Q$447,INDEX(Surface_Engine!$D$12:$D$72,$A477+1)*(1+Assumptions!$B$24)+(Surface_Engine!Q239*12)*INDEX(Surface_Engine!$F$12:$F$72,$A477+1)-(Surface_Engine!Q239*12),1000*12*INDEX(Surface_Engine!$C$12:$C$72,$A477+1)/(1+Assumptions!$B$10)^27+INDEX(Surface_Engine!$D$12:$D$72,$A477+1)*(1+Assumptions!$B$24)))*INDEX(Surface_Engine!$B$12:$B$72,$A477+1)+J478</f>
        <v>10737.9182558983</v>
      </c>
      <c r="K477" s="12" t="n">
        <f aca="false">SQRT((IF(C477&lt;=0,0,MAX(0,(B477/C477)*G477/INDEX(Surface_Engine!$B$12:$B$72,$A477+1)-F477/INDEX(Surface_Engine!$B$12:$B$72,$A477+1))))^2+(MAX(IF(D477&lt;=0,0,MAX(0,(B477/D477)*H477/INDEX(Surface_Engine!$B$12:$B$72,$A477+1)-F477/INDEX(Surface_Engine!$B$12:$B$72,$A477+1))),IF(E477&lt;=0,0,MAX(0,(B477/E477)*I477/INDEX(Surface_Engine!$B$12:$B$72,$A477+1)-F477/INDEX(Surface_Engine!$B$12:$B$72,$A477+1))),IF($A477&lt;$Q$447,MAX(0,-Assumptions!$B$22*(F477/INDEX(Surface_Engine!$B$12:$B$72,$A477+1))),0)))^2+(MAX(0,J477/INDEX(Surface_Engine!$B$12:$B$72,$A477+1)-(F477/INDEX(Surface_Engine!$B$12:$B$72,$A477+1))))^2+2*Assumptions!$B$26*(IF(C477&lt;=0,0,MAX(0,(B477/C477)*G477/INDEX(Surface_Engine!$B$12:$B$72,$A477+1)-F477/INDEX(Surface_Engine!$B$12:$B$72,$A477+1))))*(MAX(IF(D477&lt;=0,0,MAX(0,(B477/D477)*H477/INDEX(Surface_Engine!$B$12:$B$72,$A477+1)-F477/INDEX(Surface_Engine!$B$12:$B$72,$A477+1))),IF(E477&lt;=0,0,MAX(0,(B477/E477)*I477/INDEX(Surface_Engine!$B$12:$B$72,$A477+1)-F477/INDEX(Surface_Engine!$B$12:$B$72,$A477+1))),IF($A477&lt;$Q$447,MAX(0,-Assumptions!$B$22*(F477/INDEX(Surface_Engine!$B$12:$B$72,$A477+1))),0)))+2*Assumptions!$B$27*(IF(C477&lt;=0,0,MAX(0,(B477/C477)*G477/INDEX(Surface_Engine!$B$12:$B$72,$A477+1)-F477/INDEX(Surface_Engine!$B$12:$B$72,$A477+1))))*(MAX(0,J477/INDEX(Surface_Engine!$B$12:$B$72,$A477+1)-(F477/INDEX(Surface_Engine!$B$12:$B$72,$A477+1))))+2*Assumptions!$B$28*(MAX(IF(D477&lt;=0,0,MAX(0,(B477/D477)*H477/INDEX(Surface_Engine!$B$12:$B$72,$A477+1)-F477/INDEX(Surface_Engine!$B$12:$B$72,$A477+1))),IF(E477&lt;=0,0,MAX(0,(B477/E477)*I477/INDEX(Surface_Engine!$B$12:$B$72,$A477+1)-F477/INDEX(Surface_Engine!$B$12:$B$72,$A477+1))),IF($A477&lt;$Q$447,MAX(0,-Assumptions!$B$22*(F477/INDEX(Surface_Engine!$B$12:$B$72,$A477+1))),0)))*(MAX(0,J477/INDEX(Surface_Engine!$B$12:$B$72,$A477+1)-(F477/INDEX(Surface_Engine!$B$12:$B$72,$A477+1)))))</f>
        <v>4258.49923271745</v>
      </c>
      <c r="L477" s="48" t="n">
        <f aca="false">K477*INDEX(Surface_Engine!$B$12:$B$72,$A477+1)+L478</f>
        <v>9589.21222189866</v>
      </c>
      <c r="M477" s="48" t="n">
        <f aca="false">M476+B476*(IF($A476&lt;$Q$447,(Surface_Engine!Q239*12)-(Surface_Engine!Q239*12)*INDEX(Surface_Engine!$F$12:$F$72,$A476+1)-INDEX(Surface_Engine!$D$12:$D$72,$A476+1),-(1000*12*INDEX(Surface_Engine!$C$12:$C$72,$A476+1)/(1+Assumptions!$B$10)^27+INDEX(Surface_Engine!$D$12:$D$72,$A476+1))))*INDEX(Surface_Engine!$B$12:$B$72,$A476+1)</f>
        <v>11222.2489962961</v>
      </c>
      <c r="N477" s="12" t="n">
        <f aca="false">IF(B477&lt;=0,0,MAX(0,(K477+Assumptions!$B$29*L477/INDEX(Surface_Engine!$B$12:$B$72,$A477+1)-(M477/INDEX(Surface_Engine!$B$12:$B$72,$A477+1)-(F477/INDEX(Surface_Engine!$B$12:$B$72,$A477+1))))/B477))</f>
        <v>13103.4173184187</v>
      </c>
    </row>
    <row r="478" customFormat="false" ht="15" hidden="false" customHeight="true" outlineLevel="0" collapsed="false">
      <c r="A478" s="1" t="n">
        <v>29</v>
      </c>
      <c r="B478" s="32" t="n">
        <f aca="false">INDEX(Surface_Engine!$J$12:$J$72,$A478+1)*IF($A478&lt;$Q$447,INDEX(Surface_Engine!$E$12:$E$72,$A478+1),INDEX(Surface_Engine!$E$12:$E$72,$Q$447+1))</f>
        <v>0.303287146461575</v>
      </c>
      <c r="C478" s="32" t="n">
        <f aca="false">INDEX(Panel_Reserving!$C$8:$C$68,$A478+1)*IF($A478&lt;$Q$447,INDEX(Surface_Engine!$E$12:$E$72,$A478+1),INDEX(Surface_Engine!$E$12:$E$72,$Q$447+1))</f>
        <v>0.363809264203501</v>
      </c>
      <c r="D478" s="32" t="n">
        <f aca="false">INDEX(Surface_Engine!$J$12:$J$72,$A478+1)*IF($A478&lt;$Q$447,INDEX(Surface_Engine!$Y$12:$Y$72,$A478+1),INDEX(Surface_Engine!$Y$12:$Y$72,$Q$447+1))</f>
        <v>0.259979301328945</v>
      </c>
      <c r="E478" s="32" t="n">
        <f aca="false">INDEX(Surface_Engine!$J$12:$J$72,$A478+1)*IF($A478&lt;$Q$447,INDEX(Surface_Engine!$Z$12:$Z$72,$A478+1),INDEX(Surface_Engine!$Z$12:$Z$72,$Q$447+1))</f>
        <v>0.35339524356435</v>
      </c>
      <c r="F478" s="48" t="n">
        <f aca="false">B478*(IF($A478&lt;$Q$447,INDEX(Surface_Engine!$D$12:$D$72,$A478+1)+(Surface_Engine!Q239*12)*INDEX(Surface_Engine!$F$12:$F$72,$A478+1)-(Surface_Engine!Q239*12),1000*12*INDEX(Surface_Engine!$C$12:$C$72,$A478+1)/(1+Assumptions!$B$10)^27+INDEX(Surface_Engine!$D$12:$D$72,$A478+1)))*INDEX(Surface_Engine!$B$12:$B$72,$A478+1)+F479</f>
        <v>8973.15155690946</v>
      </c>
      <c r="G478" s="48" t="n">
        <f aca="false">C478*(IF($A478&lt;$Q$447,INDEX(Surface_Engine!$D$12:$D$72,$A478+1)+(Surface_Engine!Q239*12)*INDEX(Surface_Engine!$F$12:$F$72,$A478+1)-(Surface_Engine!Q239*12),1000*12*INDEX(Surface_Engine!$C$12:$C$72,$A478+1)/(1+Assumptions!$B$10)^27+INDEX(Surface_Engine!$D$12:$D$72,$A478+1)))*INDEX(Surface_Engine!$B$12:$B$72,$A478+1)+G479</f>
        <v>12588.8197187622</v>
      </c>
      <c r="H478" s="48" t="n">
        <f aca="false">D478*(IF($A478&lt;$Q$447,INDEX(Surface_Engine!$D$12:$D$72,$A478+1)+(Surface_Engine!Q239*12)*INDEX(Surface_Engine!$F$12:$F$72,$A478+1)-(Surface_Engine!Q239*12),1000*12*INDEX(Surface_Engine!$C$12:$C$72,$A478+1)/(1+Assumptions!$B$10)^27+INDEX(Surface_Engine!$D$12:$D$72,$A478+1)))*INDEX(Surface_Engine!$B$12:$B$72,$A478+1)+H479</f>
        <v>7691.83165096518</v>
      </c>
      <c r="I478" s="48" t="n">
        <f aca="false">E478*(IF($A478&lt;$Q$447,INDEX(Surface_Engine!$D$12:$D$72,$A478+1)+(Surface_Engine!Q239*12)*INDEX(Surface_Engine!$F$12:$F$72,$A478+1)-(Surface_Engine!Q239*12),1000*12*INDEX(Surface_Engine!$C$12:$C$72,$A478+1)/(1+Assumptions!$B$10)^27+INDEX(Surface_Engine!$D$12:$D$72,$A478+1)))*INDEX(Surface_Engine!$B$12:$B$72,$A478+1)+I479</f>
        <v>10455.6659159164</v>
      </c>
      <c r="J478" s="48" t="n">
        <f aca="false">B478*(IF($A478&lt;$Q$447,INDEX(Surface_Engine!$D$12:$D$72,$A478+1)*(1+Assumptions!$B$24)+(Surface_Engine!Q239*12)*INDEX(Surface_Engine!$F$12:$F$72,$A478+1)-(Surface_Engine!Q239*12),1000*12*INDEX(Surface_Engine!$C$12:$C$72,$A478+1)/(1+Assumptions!$B$10)^27+INDEX(Surface_Engine!$D$12:$D$72,$A478+1)*(1+Assumptions!$B$24)))*INDEX(Surface_Engine!$B$12:$B$72,$A478+1)+J479</f>
        <v>8985.27958221518</v>
      </c>
      <c r="K478" s="12" t="n">
        <f aca="false">SQRT((IF(C478&lt;=0,0,MAX(0,(B478/C478)*G478/INDEX(Surface_Engine!$B$12:$B$72,$A478+1)-F478/INDEX(Surface_Engine!$B$12:$B$72,$A478+1))))^2+(MAX(IF(D478&lt;=0,0,MAX(0,(B478/D478)*H478/INDEX(Surface_Engine!$B$12:$B$72,$A478+1)-F478/INDEX(Surface_Engine!$B$12:$B$72,$A478+1))),IF(E478&lt;=0,0,MAX(0,(B478/E478)*I478/INDEX(Surface_Engine!$B$12:$B$72,$A478+1)-F478/INDEX(Surface_Engine!$B$12:$B$72,$A478+1))),IF($A478&lt;$Q$447,MAX(0,-Assumptions!$B$22*(F478/INDEX(Surface_Engine!$B$12:$B$72,$A478+1))),0)))^2+(MAX(0,J478/INDEX(Surface_Engine!$B$12:$B$72,$A478+1)-(F478/INDEX(Surface_Engine!$B$12:$B$72,$A478+1))))^2+2*Assumptions!$B$26*(IF(C478&lt;=0,0,MAX(0,(B478/C478)*G478/INDEX(Surface_Engine!$B$12:$B$72,$A478+1)-F478/INDEX(Surface_Engine!$B$12:$B$72,$A478+1))))*(MAX(IF(D478&lt;=0,0,MAX(0,(B478/D478)*H478/INDEX(Surface_Engine!$B$12:$B$72,$A478+1)-F478/INDEX(Surface_Engine!$B$12:$B$72,$A478+1))),IF(E478&lt;=0,0,MAX(0,(B478/E478)*I478/INDEX(Surface_Engine!$B$12:$B$72,$A478+1)-F478/INDEX(Surface_Engine!$B$12:$B$72,$A478+1))),IF($A478&lt;$Q$447,MAX(0,-Assumptions!$B$22*(F478/INDEX(Surface_Engine!$B$12:$B$72,$A478+1))),0)))+2*Assumptions!$B$27*(IF(C478&lt;=0,0,MAX(0,(B478/C478)*G478/INDEX(Surface_Engine!$B$12:$B$72,$A478+1)-F478/INDEX(Surface_Engine!$B$12:$B$72,$A478+1))))*(MAX(0,J478/INDEX(Surface_Engine!$B$12:$B$72,$A478+1)-(F478/INDEX(Surface_Engine!$B$12:$B$72,$A478+1))))+2*Assumptions!$B$28*(MAX(IF(D478&lt;=0,0,MAX(0,(B478/D478)*H478/INDEX(Surface_Engine!$B$12:$B$72,$A478+1)-F478/INDEX(Surface_Engine!$B$12:$B$72,$A478+1))),IF(E478&lt;=0,0,MAX(0,(B478/E478)*I478/INDEX(Surface_Engine!$B$12:$B$72,$A478+1)-F478/INDEX(Surface_Engine!$B$12:$B$72,$A478+1))),IF($A478&lt;$Q$447,MAX(0,-Assumptions!$B$22*(F478/INDEX(Surface_Engine!$B$12:$B$72,$A478+1))),0)))*(MAX(0,J478/INDEX(Surface_Engine!$B$12:$B$72,$A478+1)-(F478/INDEX(Surface_Engine!$B$12:$B$72,$A478+1)))))</f>
        <v>3781.33146741242</v>
      </c>
      <c r="L478" s="48" t="n">
        <f aca="false">K478*INDEX(Surface_Engine!$B$12:$B$72,$A478+1)+L479</f>
        <v>7816.72989221303</v>
      </c>
      <c r="M478" s="48" t="n">
        <f aca="false">M477+B477*(IF($A477&lt;$Q$447,(Surface_Engine!Q239*12)-(Surface_Engine!Q239*12)*INDEX(Surface_Engine!$F$12:$F$72,$A477+1)-INDEX(Surface_Engine!$D$12:$D$72,$A477+1),-(1000*12*INDEX(Surface_Engine!$C$12:$C$72,$A477+1)/(1+Assumptions!$B$10)^27+INDEX(Surface_Engine!$D$12:$D$72,$A477+1))))*INDEX(Surface_Engine!$B$12:$B$72,$A477+1)</f>
        <v>9471.92052456291</v>
      </c>
      <c r="N478" s="12" t="n">
        <f aca="false">IF(B478&lt;=0,0,MAX(0,(K478+Assumptions!$B$29*L478/INDEX(Surface_Engine!$B$12:$B$72,$A478+1)-(M478/INDEX(Surface_Engine!$B$12:$B$72,$A478+1)-(F478/INDEX(Surface_Engine!$B$12:$B$72,$A478+1))))/B478))</f>
        <v>12224.3993301221</v>
      </c>
    </row>
    <row r="479" customFormat="false" ht="15" hidden="false" customHeight="true" outlineLevel="0" collapsed="false">
      <c r="A479" s="1" t="n">
        <v>30</v>
      </c>
      <c r="B479" s="32" t="n">
        <f aca="false">INDEX(Surface_Engine!$J$12:$J$72,$A479+1)*IF($A479&lt;$Q$447,INDEX(Surface_Engine!$E$12:$E$72,$A479+1),INDEX(Surface_Engine!$E$12:$E$72,$Q$447+1))</f>
        <v>0.267598277011242</v>
      </c>
      <c r="C479" s="32" t="n">
        <f aca="false">INDEX(Panel_Reserving!$C$8:$C$68,$A479+1)*IF($A479&lt;$Q$447,INDEX(Surface_Engine!$E$12:$E$72,$A479+1),INDEX(Surface_Engine!$E$12:$E$72,$Q$447+1))</f>
        <v>0.329560687601524</v>
      </c>
      <c r="D479" s="32" t="n">
        <f aca="false">INDEX(Surface_Engine!$J$12:$J$72,$A479+1)*IF($A479&lt;$Q$447,INDEX(Surface_Engine!$Y$12:$Y$72,$A479+1),INDEX(Surface_Engine!$Y$12:$Y$72,$Q$447+1))</f>
        <v>0.229386618938124</v>
      </c>
      <c r="E479" s="32" t="n">
        <f aca="false">INDEX(Surface_Engine!$J$12:$J$72,$A479+1)*IF($A479&lt;$Q$447,INDEX(Surface_Engine!$Z$12:$Z$72,$A479+1),INDEX(Surface_Engine!$Z$12:$Z$72,$Q$447+1))</f>
        <v>0.311809977393056</v>
      </c>
      <c r="F479" s="48" t="n">
        <f aca="false">B479*(IF($A479&lt;$Q$447,INDEX(Surface_Engine!$D$12:$D$72,$A479+1)+(Surface_Engine!Q239*12)*INDEX(Surface_Engine!$F$12:$F$72,$A479+1)-(Surface_Engine!Q239*12),1000*12*INDEX(Surface_Engine!$C$12:$C$72,$A479+1)/(1+Assumptions!$B$10)^27+INDEX(Surface_Engine!$D$12:$D$72,$A479+1)))*INDEX(Surface_Engine!$B$12:$B$72,$A479+1)+F480</f>
        <v>7426.0470145644</v>
      </c>
      <c r="G479" s="48" t="n">
        <f aca="false">C479*(IF($A479&lt;$Q$447,INDEX(Surface_Engine!$D$12:$D$72,$A479+1)+(Surface_Engine!Q239*12)*INDEX(Surface_Engine!$F$12:$F$72,$A479+1)-(Surface_Engine!Q239*12),1000*12*INDEX(Surface_Engine!$C$12:$C$72,$A479+1)/(1+Assumptions!$B$10)^27+INDEX(Surface_Engine!$D$12:$D$72,$A479+1)))*INDEX(Surface_Engine!$B$12:$B$72,$A479+1)+G480</f>
        <v>10732.9845085886</v>
      </c>
      <c r="H479" s="48" t="n">
        <f aca="false">D479*(IF($A479&lt;$Q$447,INDEX(Surface_Engine!$D$12:$D$72,$A479+1)+(Surface_Engine!Q239*12)*INDEX(Surface_Engine!$F$12:$F$72,$A479+1)-(Surface_Engine!Q239*12),1000*12*INDEX(Surface_Engine!$C$12:$C$72,$A479+1)/(1+Assumptions!$B$10)^27+INDEX(Surface_Engine!$D$12:$D$72,$A479+1)))*INDEX(Surface_Engine!$B$12:$B$72,$A479+1)+H480</f>
        <v>6365.64568266973</v>
      </c>
      <c r="I479" s="48" t="n">
        <f aca="false">E479*(IF($A479&lt;$Q$447,INDEX(Surface_Engine!$D$12:$D$72,$A479+1)+(Surface_Engine!Q239*12)*INDEX(Surface_Engine!$F$12:$F$72,$A479+1)-(Surface_Engine!Q239*12),1000*12*INDEX(Surface_Engine!$C$12:$C$72,$A479+1)/(1+Assumptions!$B$10)^27+INDEX(Surface_Engine!$D$12:$D$72,$A479+1)))*INDEX(Surface_Engine!$B$12:$B$72,$A479+1)+I480</f>
        <v>8652.95388891394</v>
      </c>
      <c r="J479" s="48" t="n">
        <f aca="false">B479*(IF($A479&lt;$Q$447,INDEX(Surface_Engine!$D$12:$D$72,$A479+1)*(1+Assumptions!$B$24)+(Surface_Engine!Q239*12)*INDEX(Surface_Engine!$F$12:$F$72,$A479+1)-(Surface_Engine!Q239*12),1000*12*INDEX(Surface_Engine!$C$12:$C$72,$A479+1)/(1+Assumptions!$B$10)^27+INDEX(Surface_Engine!$D$12:$D$72,$A479+1)*(1+Assumptions!$B$24)))*INDEX(Surface_Engine!$B$12:$B$72,$A479+1)+J480</f>
        <v>7436.12318969365</v>
      </c>
      <c r="K479" s="12" t="n">
        <f aca="false">SQRT((IF(C479&lt;=0,0,MAX(0,(B479/C479)*G479/INDEX(Surface_Engine!$B$12:$B$72,$A479+1)-F479/INDEX(Surface_Engine!$B$12:$B$72,$A479+1))))^2+(MAX(IF(D479&lt;=0,0,MAX(0,(B479/D479)*H479/INDEX(Surface_Engine!$B$12:$B$72,$A479+1)-F479/INDEX(Surface_Engine!$B$12:$B$72,$A479+1))),IF(E479&lt;=0,0,MAX(0,(B479/E479)*I479/INDEX(Surface_Engine!$B$12:$B$72,$A479+1)-F479/INDEX(Surface_Engine!$B$12:$B$72,$A479+1))),IF($A479&lt;$Q$447,MAX(0,-Assumptions!$B$22*(F479/INDEX(Surface_Engine!$B$12:$B$72,$A479+1))),0)))^2+(MAX(0,J479/INDEX(Surface_Engine!$B$12:$B$72,$A479+1)-(F479/INDEX(Surface_Engine!$B$12:$B$72,$A479+1))))^2+2*Assumptions!$B$26*(IF(C479&lt;=0,0,MAX(0,(B479/C479)*G479/INDEX(Surface_Engine!$B$12:$B$72,$A479+1)-F479/INDEX(Surface_Engine!$B$12:$B$72,$A479+1))))*(MAX(IF(D479&lt;=0,0,MAX(0,(B479/D479)*H479/INDEX(Surface_Engine!$B$12:$B$72,$A479+1)-F479/INDEX(Surface_Engine!$B$12:$B$72,$A479+1))),IF(E479&lt;=0,0,MAX(0,(B479/E479)*I479/INDEX(Surface_Engine!$B$12:$B$72,$A479+1)-F479/INDEX(Surface_Engine!$B$12:$B$72,$A479+1))),IF($A479&lt;$Q$447,MAX(0,-Assumptions!$B$22*(F479/INDEX(Surface_Engine!$B$12:$B$72,$A479+1))),0)))+2*Assumptions!$B$27*(IF(C479&lt;=0,0,MAX(0,(B479/C479)*G479/INDEX(Surface_Engine!$B$12:$B$72,$A479+1)-F479/INDEX(Surface_Engine!$B$12:$B$72,$A479+1))))*(MAX(0,J479/INDEX(Surface_Engine!$B$12:$B$72,$A479+1)-(F479/INDEX(Surface_Engine!$B$12:$B$72,$A479+1))))+2*Assumptions!$B$28*(MAX(IF(D479&lt;=0,0,MAX(0,(B479/D479)*H479/INDEX(Surface_Engine!$B$12:$B$72,$A479+1)-F479/INDEX(Surface_Engine!$B$12:$B$72,$A479+1))),IF(E479&lt;=0,0,MAX(0,(B479/E479)*I479/INDEX(Surface_Engine!$B$12:$B$72,$A479+1)-F479/INDEX(Surface_Engine!$B$12:$B$72,$A479+1))),IF($A479&lt;$Q$447,MAX(0,-Assumptions!$B$22*(F479/INDEX(Surface_Engine!$B$12:$B$72,$A479+1))),0)))*(MAX(0,J479/INDEX(Surface_Engine!$B$12:$B$72,$A479+1)-(F479/INDEX(Surface_Engine!$B$12:$B$72,$A479+1)))))</f>
        <v>3307.31142412936</v>
      </c>
      <c r="L479" s="48" t="n">
        <f aca="false">K479*INDEX(Surface_Engine!$B$12:$B$72,$A479+1)+L480</f>
        <v>6292.21931793824</v>
      </c>
      <c r="M479" s="48" t="n">
        <f aca="false">M478+B478*(IF($A478&lt;$Q$447,(Surface_Engine!Q239*12)-(Surface_Engine!Q239*12)*INDEX(Surface_Engine!$F$12:$F$72,$A478+1)-INDEX(Surface_Engine!$D$12:$D$72,$A478+1),-(1000*12*INDEX(Surface_Engine!$C$12:$C$72,$A478+1)/(1+Assumptions!$B$10)^27+INDEX(Surface_Engine!$D$12:$D$72,$A478+1))))*INDEX(Surface_Engine!$B$12:$B$72,$A478+1)</f>
        <v>7924.81598221784</v>
      </c>
      <c r="N479" s="12" t="n">
        <f aca="false">IF(B479&lt;=0,0,MAX(0,(K479+Assumptions!$B$29*L479/INDEX(Surface_Engine!$B$12:$B$72,$A479+1)-(M479/INDEX(Surface_Engine!$B$12:$B$72,$A479+1)-(F479/INDEX(Surface_Engine!$B$12:$B$72,$A479+1))))/B479))</f>
        <v>11199.0790177777</v>
      </c>
    </row>
    <row r="480" customFormat="false" ht="15" hidden="false" customHeight="true" outlineLevel="0" collapsed="false">
      <c r="A480" s="1" t="n">
        <v>31</v>
      </c>
      <c r="B480" s="32" t="n">
        <f aca="false">INDEX(Surface_Engine!$J$12:$J$72,$A480+1)*IF($A480&lt;$Q$447,INDEX(Surface_Engine!$E$12:$E$72,$A480+1),INDEX(Surface_Engine!$E$12:$E$72,$Q$447+1))</f>
        <v>0.232999859486534</v>
      </c>
      <c r="C480" s="32" t="n">
        <f aca="false">INDEX(Panel_Reserving!$C$8:$C$68,$A480+1)*IF($A480&lt;$Q$447,INDEX(Surface_Engine!$E$12:$E$72,$A480+1),INDEX(Surface_Engine!$E$12:$E$72,$Q$447+1))</f>
        <v>0.295472939663181</v>
      </c>
      <c r="D480" s="32" t="n">
        <f aca="false">INDEX(Surface_Engine!$J$12:$J$72,$A480+1)*IF($A480&lt;$Q$447,INDEX(Surface_Engine!$Y$12:$Y$72,$A480+1),INDEX(Surface_Engine!$Y$12:$Y$72,$Q$447+1))</f>
        <v>0.199728677544618</v>
      </c>
      <c r="E480" s="32" t="n">
        <f aca="false">INDEX(Surface_Engine!$J$12:$J$72,$A480+1)*IF($A480&lt;$Q$447,INDEX(Surface_Engine!$Z$12:$Z$72,$A480+1),INDEX(Surface_Engine!$Z$12:$Z$72,$Q$447+1))</f>
        <v>0.271495324000271</v>
      </c>
      <c r="F480" s="48" t="n">
        <f aca="false">B480*(IF($A480&lt;$Q$447,INDEX(Surface_Engine!$D$12:$D$72,$A480+1)+(Surface_Engine!Q239*12)*INDEX(Surface_Engine!$F$12:$F$72,$A480+1)-(Surface_Engine!Q239*12),1000*12*INDEX(Surface_Engine!$C$12:$C$72,$A480+1)/(1+Assumptions!$B$10)^27+INDEX(Surface_Engine!$D$12:$D$72,$A480+1)))*INDEX(Surface_Engine!$B$12:$B$72,$A480+1)+F481</f>
        <v>6077.3298197343</v>
      </c>
      <c r="G480" s="48" t="n">
        <f aca="false">C480*(IF($A480&lt;$Q$447,INDEX(Surface_Engine!$D$12:$D$72,$A480+1)+(Surface_Engine!Q239*12)*INDEX(Surface_Engine!$F$12:$F$72,$A480+1)-(Surface_Engine!Q239*12),1000*12*INDEX(Surface_Engine!$C$12:$C$72,$A480+1)/(1+Assumptions!$B$10)^27+INDEX(Surface_Engine!$D$12:$D$72,$A480+1)))*INDEX(Surface_Engine!$B$12:$B$72,$A480+1)+G481</f>
        <v>9071.97169836963</v>
      </c>
      <c r="H480" s="48" t="n">
        <f aca="false">D480*(IF($A480&lt;$Q$447,INDEX(Surface_Engine!$D$12:$D$72,$A480+1)+(Surface_Engine!Q239*12)*INDEX(Surface_Engine!$F$12:$F$72,$A480+1)-(Surface_Engine!Q239*12),1000*12*INDEX(Surface_Engine!$C$12:$C$72,$A480+1)/(1+Assumptions!$B$10)^27+INDEX(Surface_Engine!$D$12:$D$72,$A480+1)))*INDEX(Surface_Engine!$B$12:$B$72,$A480+1)+H481</f>
        <v>5209.51836869308</v>
      </c>
      <c r="I480" s="48" t="n">
        <f aca="false">E480*(IF($A480&lt;$Q$447,INDEX(Surface_Engine!$D$12:$D$72,$A480+1)+(Surface_Engine!Q239*12)*INDEX(Surface_Engine!$F$12:$F$72,$A480+1)-(Surface_Engine!Q239*12),1000*12*INDEX(Surface_Engine!$C$12:$C$72,$A480+1)/(1+Assumptions!$B$10)^27+INDEX(Surface_Engine!$D$12:$D$72,$A480+1)))*INDEX(Surface_Engine!$B$12:$B$72,$A480+1)+I481</f>
        <v>7081.40610943428</v>
      </c>
      <c r="J480" s="48" t="n">
        <f aca="false">B480*(IF($A480&lt;$Q$447,INDEX(Surface_Engine!$D$12:$D$72,$A480+1)*(1+Assumptions!$B$24)+(Surface_Engine!Q239*12)*INDEX(Surface_Engine!$F$12:$F$72,$A480+1)-(Surface_Engine!Q239*12),1000*12*INDEX(Surface_Engine!$C$12:$C$72,$A480+1)/(1+Assumptions!$B$10)^27+INDEX(Surface_Engine!$D$12:$D$72,$A480+1)*(1+Assumptions!$B$24)))*INDEX(Surface_Engine!$B$12:$B$72,$A480+1)+J481</f>
        <v>6085.6086047889</v>
      </c>
      <c r="K480" s="12" t="n">
        <f aca="false">SQRT((IF(C480&lt;=0,0,MAX(0,(B480/C480)*G480/INDEX(Surface_Engine!$B$12:$B$72,$A480+1)-F480/INDEX(Surface_Engine!$B$12:$B$72,$A480+1))))^2+(MAX(IF(D480&lt;=0,0,MAX(0,(B480/D480)*H480/INDEX(Surface_Engine!$B$12:$B$72,$A480+1)-F480/INDEX(Surface_Engine!$B$12:$B$72,$A480+1))),IF(E480&lt;=0,0,MAX(0,(B480/E480)*I480/INDEX(Surface_Engine!$B$12:$B$72,$A480+1)-F480/INDEX(Surface_Engine!$B$12:$B$72,$A480+1))),IF($A480&lt;$Q$447,MAX(0,-Assumptions!$B$22*(F480/INDEX(Surface_Engine!$B$12:$B$72,$A480+1))),0)))^2+(MAX(0,J480/INDEX(Surface_Engine!$B$12:$B$72,$A480+1)-(F480/INDEX(Surface_Engine!$B$12:$B$72,$A480+1))))^2+2*Assumptions!$B$26*(IF(C480&lt;=0,0,MAX(0,(B480/C480)*G480/INDEX(Surface_Engine!$B$12:$B$72,$A480+1)-F480/INDEX(Surface_Engine!$B$12:$B$72,$A480+1))))*(MAX(IF(D480&lt;=0,0,MAX(0,(B480/D480)*H480/INDEX(Surface_Engine!$B$12:$B$72,$A480+1)-F480/INDEX(Surface_Engine!$B$12:$B$72,$A480+1))),IF(E480&lt;=0,0,MAX(0,(B480/E480)*I480/INDEX(Surface_Engine!$B$12:$B$72,$A480+1)-F480/INDEX(Surface_Engine!$B$12:$B$72,$A480+1))),IF($A480&lt;$Q$447,MAX(0,-Assumptions!$B$22*(F480/INDEX(Surface_Engine!$B$12:$B$72,$A480+1))),0)))+2*Assumptions!$B$27*(IF(C480&lt;=0,0,MAX(0,(B480/C480)*G480/INDEX(Surface_Engine!$B$12:$B$72,$A480+1)-F480/INDEX(Surface_Engine!$B$12:$B$72,$A480+1))))*(MAX(0,J480/INDEX(Surface_Engine!$B$12:$B$72,$A480+1)-(F480/INDEX(Surface_Engine!$B$12:$B$72,$A480+1))))+2*Assumptions!$B$28*(MAX(IF(D480&lt;=0,0,MAX(0,(B480/D480)*H480/INDEX(Surface_Engine!$B$12:$B$72,$A480+1)-F480/INDEX(Surface_Engine!$B$12:$B$72,$A480+1))),IF(E480&lt;=0,0,MAX(0,(B480/E480)*I480/INDEX(Surface_Engine!$B$12:$B$72,$A480+1)-F480/INDEX(Surface_Engine!$B$12:$B$72,$A480+1))),IF($A480&lt;$Q$447,MAX(0,-Assumptions!$B$22*(F480/INDEX(Surface_Engine!$B$12:$B$72,$A480+1))),0)))*(MAX(0,J480/INDEX(Surface_Engine!$B$12:$B$72,$A480+1)-(F480/INDEX(Surface_Engine!$B$12:$B$72,$A480+1)))))</f>
        <v>2850.89124700923</v>
      </c>
      <c r="L480" s="48" t="n">
        <f aca="false">K480*INDEX(Surface_Engine!$B$12:$B$72,$A480+1)+L481</f>
        <v>5000.68989877603</v>
      </c>
      <c r="M480" s="48" t="n">
        <f aca="false">M479+B479*(IF($A479&lt;$Q$447,(Surface_Engine!Q239*12)-(Surface_Engine!Q239*12)*INDEX(Surface_Engine!$F$12:$F$72,$A479+1)-INDEX(Surface_Engine!$D$12:$D$72,$A479+1),-(1000*12*INDEX(Surface_Engine!$C$12:$C$72,$A479+1)/(1+Assumptions!$B$10)^27+INDEX(Surface_Engine!$D$12:$D$72,$A479+1))))*INDEX(Surface_Engine!$B$12:$B$72,$A479+1)</f>
        <v>6576.09878738774</v>
      </c>
      <c r="N480" s="12" t="n">
        <f aca="false">IF(B480&lt;=0,0,MAX(0,(K480+Assumptions!$B$29*L480/INDEX(Surface_Engine!$B$12:$B$72,$A480+1)-(M480/INDEX(Surface_Engine!$B$12:$B$72,$A480+1)-(F480/INDEX(Surface_Engine!$B$12:$B$72,$A480+1))))/B480))</f>
        <v>9981.26937493755</v>
      </c>
    </row>
    <row r="481" customFormat="false" ht="15" hidden="false" customHeight="true" outlineLevel="0" collapsed="false">
      <c r="A481" s="1" t="n">
        <v>32</v>
      </c>
      <c r="B481" s="32" t="n">
        <f aca="false">INDEX(Surface_Engine!$J$12:$J$72,$A481+1)*IF($A481&lt;$Q$447,INDEX(Surface_Engine!$E$12:$E$72,$A481+1),INDEX(Surface_Engine!$E$12:$E$72,$Q$447+1))</f>
        <v>0.200331609051105</v>
      </c>
      <c r="C481" s="32" t="n">
        <f aca="false">INDEX(Panel_Reserving!$C$8:$C$68,$A481+1)*IF($A481&lt;$Q$447,INDEX(Surface_Engine!$E$12:$E$72,$A481+1),INDEX(Surface_Engine!$E$12:$E$72,$Q$447+1))</f>
        <v>0.26233100039822</v>
      </c>
      <c r="D481" s="32" t="n">
        <f aca="false">INDEX(Surface_Engine!$J$12:$J$72,$A481+1)*IF($A481&lt;$Q$447,INDEX(Surface_Engine!$Y$12:$Y$72,$A481+1),INDEX(Surface_Engine!$Y$12:$Y$72,$Q$447+1))</f>
        <v>0.171725285304197</v>
      </c>
      <c r="E481" s="32" t="n">
        <f aca="false">INDEX(Surface_Engine!$J$12:$J$72,$A481+1)*IF($A481&lt;$Q$447,INDEX(Surface_Engine!$Z$12:$Z$72,$A481+1),INDEX(Surface_Engine!$Z$12:$Z$72,$Q$447+1))</f>
        <v>0.233429733505778</v>
      </c>
      <c r="F481" s="48" t="n">
        <f aca="false">B481*(IF($A481&lt;$Q$447,INDEX(Surface_Engine!$D$12:$D$72,$A481+1)+(Surface_Engine!Q239*12)*INDEX(Surface_Engine!$F$12:$F$72,$A481+1)-(Surface_Engine!Q239*12),1000*12*INDEX(Surface_Engine!$C$12:$C$72,$A481+1)/(1+Assumptions!$B$10)^27+INDEX(Surface_Engine!$D$12:$D$72,$A481+1)))*INDEX(Surface_Engine!$B$12:$B$72,$A481+1)+F482</f>
        <v>4916.73949241048</v>
      </c>
      <c r="G481" s="48" t="n">
        <f aca="false">C481*(IF($A481&lt;$Q$447,INDEX(Surface_Engine!$D$12:$D$72,$A481+1)+(Surface_Engine!Q239*12)*INDEX(Surface_Engine!$F$12:$F$72,$A481+1)-(Surface_Engine!Q239*12),1000*12*INDEX(Surface_Engine!$C$12:$C$72,$A481+1)/(1+Assumptions!$B$10)^27+INDEX(Surface_Engine!$D$12:$D$72,$A481+1)))*INDEX(Surface_Engine!$B$12:$B$72,$A481+1)+G482</f>
        <v>7600.19812513775</v>
      </c>
      <c r="H481" s="48" t="n">
        <f aca="false">D481*(IF($A481&lt;$Q$447,INDEX(Surface_Engine!$D$12:$D$72,$A481+1)+(Surface_Engine!Q239*12)*INDEX(Surface_Engine!$F$12:$F$72,$A481+1)-(Surface_Engine!Q239*12),1000*12*INDEX(Surface_Engine!$C$12:$C$72,$A481+1)/(1+Assumptions!$B$10)^27+INDEX(Surface_Engine!$D$12:$D$72,$A481+1)))*INDEX(Surface_Engine!$B$12:$B$72,$A481+1)+H482</f>
        <v>4214.65437281647</v>
      </c>
      <c r="I481" s="48" t="n">
        <f aca="false">E481*(IF($A481&lt;$Q$447,INDEX(Surface_Engine!$D$12:$D$72,$A481+1)+(Surface_Engine!Q239*12)*INDEX(Surface_Engine!$F$12:$F$72,$A481+1)-(Surface_Engine!Q239*12),1000*12*INDEX(Surface_Engine!$C$12:$C$72,$A481+1)/(1+Assumptions!$B$10)^27+INDEX(Surface_Engine!$D$12:$D$72,$A481+1)))*INDEX(Surface_Engine!$B$12:$B$72,$A481+1)+I482</f>
        <v>5729.06689496977</v>
      </c>
      <c r="J481" s="48" t="n">
        <f aca="false">B481*(IF($A481&lt;$Q$447,INDEX(Surface_Engine!$D$12:$D$72,$A481+1)*(1+Assumptions!$B$24)+(Surface_Engine!Q239*12)*INDEX(Surface_Engine!$F$12:$F$72,$A481+1)-(Surface_Engine!Q239*12),1000*12*INDEX(Surface_Engine!$C$12:$C$72,$A481+1)/(1+Assumptions!$B$10)^27+INDEX(Surface_Engine!$D$12:$D$72,$A481+1)*(1+Assumptions!$B$24)))*INDEX(Surface_Engine!$B$12:$B$72,$A481+1)+J482</f>
        <v>4923.46411750869</v>
      </c>
      <c r="K481" s="12" t="n">
        <f aca="false">SQRT((IF(C481&lt;=0,0,MAX(0,(B481/C481)*G481/INDEX(Surface_Engine!$B$12:$B$72,$A481+1)-F481/INDEX(Surface_Engine!$B$12:$B$72,$A481+1))))^2+(MAX(IF(D481&lt;=0,0,MAX(0,(B481/D481)*H481/INDEX(Surface_Engine!$B$12:$B$72,$A481+1)-F481/INDEX(Surface_Engine!$B$12:$B$72,$A481+1))),IF(E481&lt;=0,0,MAX(0,(B481/E481)*I481/INDEX(Surface_Engine!$B$12:$B$72,$A481+1)-F481/INDEX(Surface_Engine!$B$12:$B$72,$A481+1))),IF($A481&lt;$Q$447,MAX(0,-Assumptions!$B$22*(F481/INDEX(Surface_Engine!$B$12:$B$72,$A481+1))),0)))^2+(MAX(0,J481/INDEX(Surface_Engine!$B$12:$B$72,$A481+1)-(F481/INDEX(Surface_Engine!$B$12:$B$72,$A481+1))))^2+2*Assumptions!$B$26*(IF(C481&lt;=0,0,MAX(0,(B481/C481)*G481/INDEX(Surface_Engine!$B$12:$B$72,$A481+1)-F481/INDEX(Surface_Engine!$B$12:$B$72,$A481+1))))*(MAX(IF(D481&lt;=0,0,MAX(0,(B481/D481)*H481/INDEX(Surface_Engine!$B$12:$B$72,$A481+1)-F481/INDEX(Surface_Engine!$B$12:$B$72,$A481+1))),IF(E481&lt;=0,0,MAX(0,(B481/E481)*I481/INDEX(Surface_Engine!$B$12:$B$72,$A481+1)-F481/INDEX(Surface_Engine!$B$12:$B$72,$A481+1))),IF($A481&lt;$Q$447,MAX(0,-Assumptions!$B$22*(F481/INDEX(Surface_Engine!$B$12:$B$72,$A481+1))),0)))+2*Assumptions!$B$27*(IF(C481&lt;=0,0,MAX(0,(B481/C481)*G481/INDEX(Surface_Engine!$B$12:$B$72,$A481+1)-F481/INDEX(Surface_Engine!$B$12:$B$72,$A481+1))))*(MAX(0,J481/INDEX(Surface_Engine!$B$12:$B$72,$A481+1)-(F481/INDEX(Surface_Engine!$B$12:$B$72,$A481+1))))+2*Assumptions!$B$28*(MAX(IF(D481&lt;=0,0,MAX(0,(B481/D481)*H481/INDEX(Surface_Engine!$B$12:$B$72,$A481+1)-F481/INDEX(Surface_Engine!$B$12:$B$72,$A481+1))),IF(E481&lt;=0,0,MAX(0,(B481/E481)*I481/INDEX(Surface_Engine!$B$12:$B$72,$A481+1)-F481/INDEX(Surface_Engine!$B$12:$B$72,$A481+1))),IF($A481&lt;$Q$447,MAX(0,-Assumptions!$B$22*(F481/INDEX(Surface_Engine!$B$12:$B$72,$A481+1))),0)))*(MAX(0,J481/INDEX(Surface_Engine!$B$12:$B$72,$A481+1)-(F481/INDEX(Surface_Engine!$B$12:$B$72,$A481+1)))))</f>
        <v>2425.86888418012</v>
      </c>
      <c r="L481" s="48" t="n">
        <f aca="false">K481*INDEX(Surface_Engine!$B$12:$B$72,$A481+1)+L482</f>
        <v>3922.07347985197</v>
      </c>
      <c r="M481" s="48" t="n">
        <f aca="false">M480+B480*(IF($A480&lt;$Q$447,(Surface_Engine!Q239*12)-(Surface_Engine!Q239*12)*INDEX(Surface_Engine!$F$12:$F$72,$A480+1)-INDEX(Surface_Engine!$D$12:$D$72,$A480+1),-(1000*12*INDEX(Surface_Engine!$C$12:$C$72,$A480+1)/(1+Assumptions!$B$10)^27+INDEX(Surface_Engine!$D$12:$D$72,$A480+1))))*INDEX(Surface_Engine!$B$12:$B$72,$A480+1)</f>
        <v>5415.50846006392</v>
      </c>
      <c r="N481" s="12" t="n">
        <f aca="false">IF(B481&lt;=0,0,MAX(0,(K481+Assumptions!$B$29*L481/INDEX(Surface_Engine!$B$12:$B$72,$A481+1)-(M481/INDEX(Surface_Engine!$B$12:$B$72,$A481+1)-(F481/INDEX(Surface_Engine!$B$12:$B$72,$A481+1))))/B481))</f>
        <v>8520.54887787257</v>
      </c>
    </row>
    <row r="482" customFormat="false" ht="15" hidden="false" customHeight="true" outlineLevel="0" collapsed="false">
      <c r="A482" s="1" t="n">
        <v>33</v>
      </c>
      <c r="B482" s="32" t="n">
        <f aca="false">INDEX(Surface_Engine!$J$12:$J$72,$A482+1)*IF($A482&lt;$Q$447,INDEX(Surface_Engine!$E$12:$E$72,$A482+1),INDEX(Surface_Engine!$E$12:$E$72,$Q$447+1))</f>
        <v>0.169245892103284</v>
      </c>
      <c r="C482" s="32" t="n">
        <f aca="false">INDEX(Panel_Reserving!$C$8:$C$68,$A482+1)*IF($A482&lt;$Q$447,INDEX(Surface_Engine!$E$12:$E$72,$A482+1),INDEX(Surface_Engine!$E$12:$E$72,$Q$447+1))</f>
        <v>0.22976600573305</v>
      </c>
      <c r="D482" s="32" t="n">
        <f aca="false">INDEX(Surface_Engine!$J$12:$J$72,$A482+1)*IF($A482&lt;$Q$447,INDEX(Surface_Engine!$Y$12:$Y$72,$A482+1),INDEX(Surface_Engine!$Y$12:$Y$72,$Q$447+1))</f>
        <v>0.145078448906111</v>
      </c>
      <c r="E482" s="32" t="n">
        <f aca="false">INDEX(Surface_Engine!$J$12:$J$72,$A482+1)*IF($A482&lt;$Q$447,INDEX(Surface_Engine!$Z$12:$Z$72,$A482+1),INDEX(Surface_Engine!$Z$12:$Z$72,$Q$447+1))</f>
        <v>0.197208137436459</v>
      </c>
      <c r="F482" s="48" t="n">
        <f aca="false">B482*(IF($A482&lt;$Q$447,INDEX(Surface_Engine!$D$12:$D$72,$A482+1)+(Surface_Engine!Q239*12)*INDEX(Surface_Engine!$F$12:$F$72,$A482+1)-(Surface_Engine!Q239*12),1000*12*INDEX(Surface_Engine!$C$12:$C$72,$A482+1)/(1+Assumptions!$B$10)^27+INDEX(Surface_Engine!$D$12:$D$72,$A482+1)))*INDEX(Surface_Engine!$B$12:$B$72,$A482+1)+F483</f>
        <v>3930.87889092097</v>
      </c>
      <c r="G482" s="48" t="n">
        <f aca="false">C482*(IF($A482&lt;$Q$447,INDEX(Surface_Engine!$D$12:$D$72,$A482+1)+(Surface_Engine!Q239*12)*INDEX(Surface_Engine!$F$12:$F$72,$A482+1)-(Surface_Engine!Q239*12),1000*12*INDEX(Surface_Engine!$C$12:$C$72,$A482+1)/(1+Assumptions!$B$10)^27+INDEX(Surface_Engine!$D$12:$D$72,$A482+1)))*INDEX(Surface_Engine!$B$12:$B$72,$A482+1)+G483</f>
        <v>6309.22962013284</v>
      </c>
      <c r="H482" s="48" t="n">
        <f aca="false">D482*(IF($A482&lt;$Q$447,INDEX(Surface_Engine!$D$12:$D$72,$A482+1)+(Surface_Engine!Q239*12)*INDEX(Surface_Engine!$F$12:$F$72,$A482+1)-(Surface_Engine!Q239*12),1000*12*INDEX(Surface_Engine!$C$12:$C$72,$A482+1)/(1+Assumptions!$B$10)^27+INDEX(Surface_Engine!$D$12:$D$72,$A482+1)))*INDEX(Surface_Engine!$B$12:$B$72,$A482+1)+H483</f>
        <v>3369.5695963159</v>
      </c>
      <c r="I482" s="48" t="n">
        <f aca="false">E482*(IF($A482&lt;$Q$447,INDEX(Surface_Engine!$D$12:$D$72,$A482+1)+(Surface_Engine!Q239*12)*INDEX(Surface_Engine!$F$12:$F$72,$A482+1)-(Surface_Engine!Q239*12),1000*12*INDEX(Surface_Engine!$C$12:$C$72,$A482+1)/(1+Assumptions!$B$10)^27+INDEX(Surface_Engine!$D$12:$D$72,$A482+1)))*INDEX(Surface_Engine!$B$12:$B$72,$A482+1)+I483</f>
        <v>4580.3256725058</v>
      </c>
      <c r="J482" s="48" t="n">
        <f aca="false">B482*(IF($A482&lt;$Q$447,INDEX(Surface_Engine!$D$12:$D$72,$A482+1)*(1+Assumptions!$B$24)+(Surface_Engine!Q239*12)*INDEX(Surface_Engine!$F$12:$F$72,$A482+1)-(Surface_Engine!Q239*12),1000*12*INDEX(Surface_Engine!$C$12:$C$72,$A482+1)/(1+Assumptions!$B$10)^27+INDEX(Surface_Engine!$D$12:$D$72,$A482+1)*(1+Assumptions!$B$24)))*INDEX(Surface_Engine!$B$12:$B$72,$A482+1)+J483</f>
        <v>3936.27695428494</v>
      </c>
      <c r="K482" s="12" t="n">
        <f aca="false">SQRT((IF(C482&lt;=0,0,MAX(0,(B482/C482)*G482/INDEX(Surface_Engine!$B$12:$B$72,$A482+1)-F482/INDEX(Surface_Engine!$B$12:$B$72,$A482+1))))^2+(MAX(IF(D482&lt;=0,0,MAX(0,(B482/D482)*H482/INDEX(Surface_Engine!$B$12:$B$72,$A482+1)-F482/INDEX(Surface_Engine!$B$12:$B$72,$A482+1))),IF(E482&lt;=0,0,MAX(0,(B482/E482)*I482/INDEX(Surface_Engine!$B$12:$B$72,$A482+1)-F482/INDEX(Surface_Engine!$B$12:$B$72,$A482+1))),IF($A482&lt;$Q$447,MAX(0,-Assumptions!$B$22*(F482/INDEX(Surface_Engine!$B$12:$B$72,$A482+1))),0)))^2+(MAX(0,J482/INDEX(Surface_Engine!$B$12:$B$72,$A482+1)-(F482/INDEX(Surface_Engine!$B$12:$B$72,$A482+1))))^2+2*Assumptions!$B$26*(IF(C482&lt;=0,0,MAX(0,(B482/C482)*G482/INDEX(Surface_Engine!$B$12:$B$72,$A482+1)-F482/INDEX(Surface_Engine!$B$12:$B$72,$A482+1))))*(MAX(IF(D482&lt;=0,0,MAX(0,(B482/D482)*H482/INDEX(Surface_Engine!$B$12:$B$72,$A482+1)-F482/INDEX(Surface_Engine!$B$12:$B$72,$A482+1))),IF(E482&lt;=0,0,MAX(0,(B482/E482)*I482/INDEX(Surface_Engine!$B$12:$B$72,$A482+1)-F482/INDEX(Surface_Engine!$B$12:$B$72,$A482+1))),IF($A482&lt;$Q$447,MAX(0,-Assumptions!$B$22*(F482/INDEX(Surface_Engine!$B$12:$B$72,$A482+1))),0)))+2*Assumptions!$B$27*(IF(C482&lt;=0,0,MAX(0,(B482/C482)*G482/INDEX(Surface_Engine!$B$12:$B$72,$A482+1)-F482/INDEX(Surface_Engine!$B$12:$B$72,$A482+1))))*(MAX(0,J482/INDEX(Surface_Engine!$B$12:$B$72,$A482+1)-(F482/INDEX(Surface_Engine!$B$12:$B$72,$A482+1))))+2*Assumptions!$B$28*(MAX(IF(D482&lt;=0,0,MAX(0,(B482/D482)*H482/INDEX(Surface_Engine!$B$12:$B$72,$A482+1)-F482/INDEX(Surface_Engine!$B$12:$B$72,$A482+1))),IF(E482&lt;=0,0,MAX(0,(B482/E482)*I482/INDEX(Surface_Engine!$B$12:$B$72,$A482+1)-F482/INDEX(Surface_Engine!$B$12:$B$72,$A482+1))),IF($A482&lt;$Q$447,MAX(0,-Assumptions!$B$22*(F482/INDEX(Surface_Engine!$B$12:$B$72,$A482+1))),0)))*(MAX(0,J482/INDEX(Surface_Engine!$B$12:$B$72,$A482+1)-(F482/INDEX(Surface_Engine!$B$12:$B$72,$A482+1)))))</f>
        <v>2022.79198488644</v>
      </c>
      <c r="L482" s="48" t="n">
        <f aca="false">K482*INDEX(Surface_Engine!$B$12:$B$72,$A482+1)+L483</f>
        <v>3033.14306609114</v>
      </c>
      <c r="M482" s="48" t="n">
        <f aca="false">M481+B481*(IF($A481&lt;$Q$447,(Surface_Engine!Q239*12)-(Surface_Engine!Q239*12)*INDEX(Surface_Engine!$F$12:$F$72,$A481+1)-INDEX(Surface_Engine!$D$12:$D$72,$A481+1),-(1000*12*INDEX(Surface_Engine!$C$12:$C$72,$A481+1)/(1+Assumptions!$B$10)^27+INDEX(Surface_Engine!$D$12:$D$72,$A481+1))))*INDEX(Surface_Engine!$B$12:$B$72,$A481+1)</f>
        <v>4429.64785857442</v>
      </c>
      <c r="N482" s="12" t="n">
        <f aca="false">IF(B482&lt;=0,0,MAX(0,(K482+Assumptions!$B$29*L482/INDEX(Surface_Engine!$B$12:$B$72,$A482+1)-(M482/INDEX(Surface_Engine!$B$12:$B$72,$A482+1)-(F482/INDEX(Surface_Engine!$B$12:$B$72,$A482+1))))/B482))</f>
        <v>6677.76524365022</v>
      </c>
    </row>
    <row r="483" customFormat="false" ht="15" hidden="false" customHeight="true" outlineLevel="0" collapsed="false">
      <c r="A483" s="1" t="n">
        <v>34</v>
      </c>
      <c r="B483" s="32" t="n">
        <f aca="false">INDEX(Surface_Engine!$J$12:$J$72,$A483+1)*IF($A483&lt;$Q$447,INDEX(Surface_Engine!$E$12:$E$72,$A483+1),INDEX(Surface_Engine!$E$12:$E$72,$Q$447+1))</f>
        <v>0.141258291687514</v>
      </c>
      <c r="C483" s="32" t="n">
        <f aca="false">INDEX(Panel_Reserving!$C$8:$C$68,$A483+1)*IF($A483&lt;$Q$447,INDEX(Surface_Engine!$E$12:$E$72,$A483+1),INDEX(Surface_Engine!$E$12:$E$72,$Q$447+1))</f>
        <v>0.199369526018624</v>
      </c>
      <c r="D483" s="32" t="n">
        <f aca="false">INDEX(Surface_Engine!$J$12:$J$72,$A483+1)*IF($A483&lt;$Q$447,INDEX(Surface_Engine!$Y$12:$Y$72,$A483+1),INDEX(Surface_Engine!$Y$12:$Y$72,$Q$447+1))</f>
        <v>0.121087333928584</v>
      </c>
      <c r="E483" s="32" t="n">
        <f aca="false">INDEX(Surface_Engine!$J$12:$J$72,$A483+1)*IF($A483&lt;$Q$447,INDEX(Surface_Engine!$Z$12:$Z$72,$A483+1),INDEX(Surface_Engine!$Z$12:$Z$72,$Q$447+1))</f>
        <v>0.164596518444007</v>
      </c>
      <c r="F483" s="48" t="n">
        <f aca="false">B483*(IF($A483&lt;$Q$447,INDEX(Surface_Engine!$D$12:$D$72,$A483+1)+(Surface_Engine!Q239*12)*INDEX(Surface_Engine!$F$12:$F$72,$A483+1)-(Surface_Engine!Q239*12),1000*12*INDEX(Surface_Engine!$C$12:$C$72,$A483+1)/(1+Assumptions!$B$10)^27+INDEX(Surface_Engine!$D$12:$D$72,$A483+1)))*INDEX(Surface_Engine!$B$12:$B$72,$A483+1)+F484</f>
        <v>3108.04869649423</v>
      </c>
      <c r="G483" s="48" t="n">
        <f aca="false">C483*(IF($A483&lt;$Q$447,INDEX(Surface_Engine!$D$12:$D$72,$A483+1)+(Surface_Engine!Q239*12)*INDEX(Surface_Engine!$F$12:$F$72,$A483+1)-(Surface_Engine!Q239*12),1000*12*INDEX(Surface_Engine!$C$12:$C$72,$A483+1)/(1+Assumptions!$B$10)^27+INDEX(Surface_Engine!$D$12:$D$72,$A483+1)))*INDEX(Surface_Engine!$B$12:$B$72,$A483+1)+G484</f>
        <v>5192.1661285439</v>
      </c>
      <c r="H483" s="48" t="n">
        <f aca="false">D483*(IF($A483&lt;$Q$447,INDEX(Surface_Engine!$D$12:$D$72,$A483+1)+(Surface_Engine!Q239*12)*INDEX(Surface_Engine!$F$12:$F$72,$A483+1)-(Surface_Engine!Q239*12),1000*12*INDEX(Surface_Engine!$C$12:$C$72,$A483+1)/(1+Assumptions!$B$10)^27+INDEX(Surface_Engine!$D$12:$D$72,$A483+1)))*INDEX(Surface_Engine!$B$12:$B$72,$A483+1)+H484</f>
        <v>2664.23532298716</v>
      </c>
      <c r="I483" s="48" t="n">
        <f aca="false">E483*(IF($A483&lt;$Q$447,INDEX(Surface_Engine!$D$12:$D$72,$A483+1)+(Surface_Engine!Q239*12)*INDEX(Surface_Engine!$F$12:$F$72,$A483+1)-(Surface_Engine!Q239*12),1000*12*INDEX(Surface_Engine!$C$12:$C$72,$A483+1)/(1+Assumptions!$B$10)^27+INDEX(Surface_Engine!$D$12:$D$72,$A483+1)))*INDEX(Surface_Engine!$B$12:$B$72,$A483+1)+I484</f>
        <v>3621.5502006004</v>
      </c>
      <c r="J483" s="48" t="n">
        <f aca="false">B483*(IF($A483&lt;$Q$447,INDEX(Surface_Engine!$D$12:$D$72,$A483+1)*(1+Assumptions!$B$24)+(Surface_Engine!Q239*12)*INDEX(Surface_Engine!$F$12:$F$72,$A483+1)-(Surface_Engine!Q239*12),1000*12*INDEX(Surface_Engine!$C$12:$C$72,$A483+1)/(1+Assumptions!$B$10)^27+INDEX(Surface_Engine!$D$12:$D$72,$A483+1)*(1+Assumptions!$B$24)))*INDEX(Surface_Engine!$B$12:$B$72,$A483+1)+J484</f>
        <v>3112.33421578852</v>
      </c>
      <c r="K483" s="12" t="n">
        <f aca="false">SQRT((IF(C483&lt;=0,0,MAX(0,(B483/C483)*G483/INDEX(Surface_Engine!$B$12:$B$72,$A483+1)-F483/INDEX(Surface_Engine!$B$12:$B$72,$A483+1))))^2+(MAX(IF(D483&lt;=0,0,MAX(0,(B483/D483)*H483/INDEX(Surface_Engine!$B$12:$B$72,$A483+1)-F483/INDEX(Surface_Engine!$B$12:$B$72,$A483+1))),IF(E483&lt;=0,0,MAX(0,(B483/E483)*I483/INDEX(Surface_Engine!$B$12:$B$72,$A483+1)-F483/INDEX(Surface_Engine!$B$12:$B$72,$A483+1))),IF($A483&lt;$Q$447,MAX(0,-Assumptions!$B$22*(F483/INDEX(Surface_Engine!$B$12:$B$72,$A483+1))),0)))^2+(MAX(0,J483/INDEX(Surface_Engine!$B$12:$B$72,$A483+1)-(F483/INDEX(Surface_Engine!$B$12:$B$72,$A483+1))))^2+2*Assumptions!$B$26*(IF(C483&lt;=0,0,MAX(0,(B483/C483)*G483/INDEX(Surface_Engine!$B$12:$B$72,$A483+1)-F483/INDEX(Surface_Engine!$B$12:$B$72,$A483+1))))*(MAX(IF(D483&lt;=0,0,MAX(0,(B483/D483)*H483/INDEX(Surface_Engine!$B$12:$B$72,$A483+1)-F483/INDEX(Surface_Engine!$B$12:$B$72,$A483+1))),IF(E483&lt;=0,0,MAX(0,(B483/E483)*I483/INDEX(Surface_Engine!$B$12:$B$72,$A483+1)-F483/INDEX(Surface_Engine!$B$12:$B$72,$A483+1))),IF($A483&lt;$Q$447,MAX(0,-Assumptions!$B$22*(F483/INDEX(Surface_Engine!$B$12:$B$72,$A483+1))),0)))+2*Assumptions!$B$27*(IF(C483&lt;=0,0,MAX(0,(B483/C483)*G483/INDEX(Surface_Engine!$B$12:$B$72,$A483+1)-F483/INDEX(Surface_Engine!$B$12:$B$72,$A483+1))))*(MAX(0,J483/INDEX(Surface_Engine!$B$12:$B$72,$A483+1)-(F483/INDEX(Surface_Engine!$B$12:$B$72,$A483+1))))+2*Assumptions!$B$28*(MAX(IF(D483&lt;=0,0,MAX(0,(B483/D483)*H483/INDEX(Surface_Engine!$B$12:$B$72,$A483+1)-F483/INDEX(Surface_Engine!$B$12:$B$72,$A483+1))),IF(E483&lt;=0,0,MAX(0,(B483/E483)*I483/INDEX(Surface_Engine!$B$12:$B$72,$A483+1)-F483/INDEX(Surface_Engine!$B$12:$B$72,$A483+1))),IF($A483&lt;$Q$447,MAX(0,-Assumptions!$B$22*(F483/INDEX(Surface_Engine!$B$12:$B$72,$A483+1))),0)))*(MAX(0,J483/INDEX(Surface_Engine!$B$12:$B$72,$A483+1)-(F483/INDEX(Surface_Engine!$B$12:$B$72,$A483+1)))))</f>
        <v>1663.71576784359</v>
      </c>
      <c r="L483" s="48" t="n">
        <f aca="false">K483*INDEX(Surface_Engine!$B$12:$B$72,$A483+1)+L484</f>
        <v>2315.26794835745</v>
      </c>
      <c r="M483" s="48" t="n">
        <f aca="false">M482+B482*(IF($A482&lt;$Q$447,(Surface_Engine!Q239*12)-(Surface_Engine!Q239*12)*INDEX(Surface_Engine!$F$12:$F$72,$A482+1)-INDEX(Surface_Engine!$D$12:$D$72,$A482+1),-(1000*12*INDEX(Surface_Engine!$C$12:$C$72,$A482+1)/(1+Assumptions!$B$10)^27+INDEX(Surface_Engine!$D$12:$D$72,$A482+1))))*INDEX(Surface_Engine!$B$12:$B$72,$A482+1)</f>
        <v>3606.81766414768</v>
      </c>
      <c r="N483" s="12" t="n">
        <f aca="false">IF(B483&lt;=0,0,MAX(0,(K483+Assumptions!$B$29*L483/INDEX(Surface_Engine!$B$12:$B$72,$A483+1)-(M483/INDEX(Surface_Engine!$B$12:$B$72,$A483+1)-(F483/INDEX(Surface_Engine!$B$12:$B$72,$A483+1))))/B483))</f>
        <v>4365.86908025627</v>
      </c>
    </row>
    <row r="484" customFormat="false" ht="15" hidden="false" customHeight="true" outlineLevel="0" collapsed="false">
      <c r="A484" s="1" t="n">
        <v>35</v>
      </c>
      <c r="B484" s="32" t="n">
        <f aca="false">INDEX(Surface_Engine!$J$12:$J$72,$A484+1)*IF($A484&lt;$Q$447,INDEX(Surface_Engine!$E$12:$E$72,$A484+1),INDEX(Surface_Engine!$E$12:$E$72,$Q$447+1))</f>
        <v>0.116492674465623</v>
      </c>
      <c r="C484" s="32" t="n">
        <f aca="false">INDEX(Panel_Reserving!$C$8:$C$68,$A484+1)*IF($A484&lt;$Q$447,INDEX(Surface_Engine!$E$12:$E$72,$A484+1),INDEX(Surface_Engine!$E$12:$E$72,$Q$447+1))</f>
        <v>0.171406512686934</v>
      </c>
      <c r="D484" s="32" t="n">
        <f aca="false">INDEX(Surface_Engine!$J$12:$J$72,$A484+1)*IF($A484&lt;$Q$447,INDEX(Surface_Engine!$Y$12:$Y$72,$A484+1),INDEX(Surface_Engine!$Y$12:$Y$72,$Q$447+1))</f>
        <v>0.099858119511009</v>
      </c>
      <c r="E484" s="32" t="n">
        <f aca="false">INDEX(Surface_Engine!$J$12:$J$72,$A484+1)*IF($A484&lt;$Q$447,INDEX(Surface_Engine!$Z$12:$Z$72,$A484+1),INDEX(Surface_Engine!$Z$12:$Z$72,$Q$447+1))</f>
        <v>0.135739208029566</v>
      </c>
      <c r="F484" s="48" t="n">
        <f aca="false">B484*(IF($A484&lt;$Q$447,INDEX(Surface_Engine!$D$12:$D$72,$A484+1)+(Surface_Engine!Q239*12)*INDEX(Surface_Engine!$F$12:$F$72,$A484+1)-(Surface_Engine!Q239*12),1000*12*INDEX(Surface_Engine!$C$12:$C$72,$A484+1)/(1+Assumptions!$B$10)^27+INDEX(Surface_Engine!$D$12:$D$72,$A484+1)))*INDEX(Surface_Engine!$B$12:$B$72,$A484+1)+F485</f>
        <v>2429.60252749096</v>
      </c>
      <c r="G484" s="48" t="n">
        <f aca="false">C484*(IF($A484&lt;$Q$447,INDEX(Surface_Engine!$D$12:$D$72,$A484+1)+(Surface_Engine!Q239*12)*INDEX(Surface_Engine!$F$12:$F$72,$A484+1)-(Surface_Engine!Q239*12),1000*12*INDEX(Surface_Engine!$C$12:$C$72,$A484+1)/(1+Assumptions!$B$10)^27+INDEX(Surface_Engine!$D$12:$D$72,$A484+1)))*INDEX(Surface_Engine!$B$12:$B$72,$A484+1)+G485</f>
        <v>4234.61886156609</v>
      </c>
      <c r="H484" s="48" t="n">
        <f aca="false">D484*(IF($A484&lt;$Q$447,INDEX(Surface_Engine!$D$12:$D$72,$A484+1)+(Surface_Engine!Q239*12)*INDEX(Surface_Engine!$F$12:$F$72,$A484+1)-(Surface_Engine!Q239*12),1000*12*INDEX(Surface_Engine!$C$12:$C$72,$A484+1)/(1+Assumptions!$B$10)^27+INDEX(Surface_Engine!$D$12:$D$72,$A484+1)))*INDEX(Surface_Engine!$B$12:$B$72,$A484+1)+H485</f>
        <v>2082.66777861674</v>
      </c>
      <c r="I484" s="48" t="n">
        <f aca="false">E484*(IF($A484&lt;$Q$447,INDEX(Surface_Engine!$D$12:$D$72,$A484+1)+(Surface_Engine!Q239*12)*INDEX(Surface_Engine!$F$12:$F$72,$A484+1)-(Surface_Engine!Q239*12),1000*12*INDEX(Surface_Engine!$C$12:$C$72,$A484+1)/(1+Assumptions!$B$10)^27+INDEX(Surface_Engine!$D$12:$D$72,$A484+1)))*INDEX(Surface_Engine!$B$12:$B$72,$A484+1)+I485</f>
        <v>2831.01340424267</v>
      </c>
      <c r="J484" s="48" t="n">
        <f aca="false">B484*(IF($A484&lt;$Q$447,INDEX(Surface_Engine!$D$12:$D$72,$A484+1)*(1+Assumptions!$B$24)+(Surface_Engine!Q239*12)*INDEX(Surface_Engine!$F$12:$F$72,$A484+1)-(Surface_Engine!Q239*12),1000*12*INDEX(Surface_Engine!$C$12:$C$72,$A484+1)/(1+Assumptions!$B$10)^27+INDEX(Surface_Engine!$D$12:$D$72,$A484+1)*(1+Assumptions!$B$24)))*INDEX(Surface_Engine!$B$12:$B$72,$A484+1)+J485</f>
        <v>2432.96628795364</v>
      </c>
      <c r="K484" s="12" t="n">
        <f aca="false">SQRT((IF(C484&lt;=0,0,MAX(0,(B484/C484)*G484/INDEX(Surface_Engine!$B$12:$B$72,$A484+1)-F484/INDEX(Surface_Engine!$B$12:$B$72,$A484+1))))^2+(MAX(IF(D484&lt;=0,0,MAX(0,(B484/D484)*H484/INDEX(Surface_Engine!$B$12:$B$72,$A484+1)-F484/INDEX(Surface_Engine!$B$12:$B$72,$A484+1))),IF(E484&lt;=0,0,MAX(0,(B484/E484)*I484/INDEX(Surface_Engine!$B$12:$B$72,$A484+1)-F484/INDEX(Surface_Engine!$B$12:$B$72,$A484+1))),IF($A484&lt;$Q$447,MAX(0,-Assumptions!$B$22*(F484/INDEX(Surface_Engine!$B$12:$B$72,$A484+1))),0)))^2+(MAX(0,J484/INDEX(Surface_Engine!$B$12:$B$72,$A484+1)-(F484/INDEX(Surface_Engine!$B$12:$B$72,$A484+1))))^2+2*Assumptions!$B$26*(IF(C484&lt;=0,0,MAX(0,(B484/C484)*G484/INDEX(Surface_Engine!$B$12:$B$72,$A484+1)-F484/INDEX(Surface_Engine!$B$12:$B$72,$A484+1))))*(MAX(IF(D484&lt;=0,0,MAX(0,(B484/D484)*H484/INDEX(Surface_Engine!$B$12:$B$72,$A484+1)-F484/INDEX(Surface_Engine!$B$12:$B$72,$A484+1))),IF(E484&lt;=0,0,MAX(0,(B484/E484)*I484/INDEX(Surface_Engine!$B$12:$B$72,$A484+1)-F484/INDEX(Surface_Engine!$B$12:$B$72,$A484+1))),IF($A484&lt;$Q$447,MAX(0,-Assumptions!$B$22*(F484/INDEX(Surface_Engine!$B$12:$B$72,$A484+1))),0)))+2*Assumptions!$B$27*(IF(C484&lt;=0,0,MAX(0,(B484/C484)*G484/INDEX(Surface_Engine!$B$12:$B$72,$A484+1)-F484/INDEX(Surface_Engine!$B$12:$B$72,$A484+1))))*(MAX(0,J484/INDEX(Surface_Engine!$B$12:$B$72,$A484+1)-(F484/INDEX(Surface_Engine!$B$12:$B$72,$A484+1))))+2*Assumptions!$B$28*(MAX(IF(D484&lt;=0,0,MAX(0,(B484/D484)*H484/INDEX(Surface_Engine!$B$12:$B$72,$A484+1)-F484/INDEX(Surface_Engine!$B$12:$B$72,$A484+1))),IF(E484&lt;=0,0,MAX(0,(B484/E484)*I484/INDEX(Surface_Engine!$B$12:$B$72,$A484+1)-F484/INDEX(Surface_Engine!$B$12:$B$72,$A484+1))),IF($A484&lt;$Q$447,MAX(0,-Assumptions!$B$22*(F484/INDEX(Surface_Engine!$B$12:$B$72,$A484+1))),0)))*(MAX(0,J484/INDEX(Surface_Engine!$B$12:$B$72,$A484+1)-(F484/INDEX(Surface_Engine!$B$12:$B$72,$A484+1)))))</f>
        <v>1349.62635231535</v>
      </c>
      <c r="L484" s="48" t="n">
        <f aca="false">K484*INDEX(Surface_Engine!$B$12:$B$72,$A484+1)+L485</f>
        <v>1743.4507484293</v>
      </c>
      <c r="M484" s="48" t="n">
        <f aca="false">M483+B483*(IF($A483&lt;$Q$447,(Surface_Engine!Q239*12)-(Surface_Engine!Q239*12)*INDEX(Surface_Engine!$F$12:$F$72,$A483+1)-INDEX(Surface_Engine!$D$12:$D$72,$A483+1),-(1000*12*INDEX(Surface_Engine!$C$12:$C$72,$A483+1)/(1+Assumptions!$B$10)^27+INDEX(Surface_Engine!$D$12:$D$72,$A483+1))))*INDEX(Surface_Engine!$B$12:$B$72,$A483+1)</f>
        <v>2928.37149514441</v>
      </c>
      <c r="N484" s="12" t="n">
        <f aca="false">IF(B484&lt;=0,0,MAX(0,(K484+Assumptions!$B$29*L484/INDEX(Surface_Engine!$B$12:$B$72,$A484+1)-(M484/INDEX(Surface_Engine!$B$12:$B$72,$A484+1)-(F484/INDEX(Surface_Engine!$B$12:$B$72,$A484+1))))/B484))</f>
        <v>1419.87183383469</v>
      </c>
    </row>
    <row r="485" customFormat="false" ht="15" hidden="false" customHeight="true" outlineLevel="0" collapsed="false">
      <c r="A485" s="1" t="n">
        <v>36</v>
      </c>
      <c r="B485" s="32" t="n">
        <f aca="false">INDEX(Surface_Engine!$J$12:$J$72,$A485+1)*IF($A485&lt;$Q$447,INDEX(Surface_Engine!$E$12:$E$72,$A485+1),INDEX(Surface_Engine!$E$12:$E$72,$Q$447+1))</f>
        <v>0.0949100519348732</v>
      </c>
      <c r="C485" s="32" t="n">
        <f aca="false">INDEX(Panel_Reserving!$C$8:$C$68,$A485+1)*IF($A485&lt;$Q$447,INDEX(Surface_Engine!$E$12:$E$72,$A485+1),INDEX(Surface_Engine!$E$12:$E$72,$Q$447+1))</f>
        <v>0.14600129588954</v>
      </c>
      <c r="D485" s="32" t="n">
        <f aca="false">INDEX(Surface_Engine!$J$12:$J$72,$A485+1)*IF($A485&lt;$Q$447,INDEX(Surface_Engine!$Y$12:$Y$72,$A485+1),INDEX(Surface_Engine!$Y$12:$Y$72,$Q$447+1))</f>
        <v>0.081357384508375</v>
      </c>
      <c r="E485" s="32" t="n">
        <f aca="false">INDEX(Surface_Engine!$J$12:$J$72,$A485+1)*IF($A485&lt;$Q$447,INDEX(Surface_Engine!$Z$12:$Z$72,$A485+1),INDEX(Surface_Engine!$Z$12:$Z$72,$Q$447+1))</f>
        <v>0.110590776139203</v>
      </c>
      <c r="F485" s="48" t="n">
        <f aca="false">B485*(IF($A485&lt;$Q$447,INDEX(Surface_Engine!$D$12:$D$72,$A485+1)+(Surface_Engine!Q239*12)*INDEX(Surface_Engine!$F$12:$F$72,$A485+1)-(Surface_Engine!Q239*12),1000*12*INDEX(Surface_Engine!$C$12:$C$72,$A485+1)/(1+Assumptions!$B$10)^27+INDEX(Surface_Engine!$D$12:$D$72,$A485+1)))*INDEX(Surface_Engine!$B$12:$B$72,$A485+1)+F486</f>
        <v>1876.89836950163</v>
      </c>
      <c r="G485" s="48" t="n">
        <f aca="false">C485*(IF($A485&lt;$Q$447,INDEX(Surface_Engine!$D$12:$D$72,$A485+1)+(Surface_Engine!Q239*12)*INDEX(Surface_Engine!$F$12:$F$72,$A485+1)-(Surface_Engine!Q239*12),1000*12*INDEX(Surface_Engine!$C$12:$C$72,$A485+1)/(1+Assumptions!$B$10)^27+INDEX(Surface_Engine!$D$12:$D$72,$A485+1)))*INDEX(Surface_Engine!$B$12:$B$72,$A485+1)+G486</f>
        <v>3421.37379956455</v>
      </c>
      <c r="H485" s="48" t="n">
        <f aca="false">D485*(IF($A485&lt;$Q$447,INDEX(Surface_Engine!$D$12:$D$72,$A485+1)+(Surface_Engine!Q239*12)*INDEX(Surface_Engine!$F$12:$F$72,$A485+1)-(Surface_Engine!Q239*12),1000*12*INDEX(Surface_Engine!$C$12:$C$72,$A485+1)/(1+Assumptions!$B$10)^27+INDEX(Surface_Engine!$D$12:$D$72,$A485+1)))*INDEX(Surface_Engine!$B$12:$B$72,$A485+1)+H486</f>
        <v>1608.88693260296</v>
      </c>
      <c r="I485" s="48" t="n">
        <f aca="false">E485*(IF($A485&lt;$Q$447,INDEX(Surface_Engine!$D$12:$D$72,$A485+1)+(Surface_Engine!Q239*12)*INDEX(Surface_Engine!$F$12:$F$72,$A485+1)-(Surface_Engine!Q239*12),1000*12*INDEX(Surface_Engine!$C$12:$C$72,$A485+1)/(1+Assumptions!$B$10)^27+INDEX(Surface_Engine!$D$12:$D$72,$A485+1)))*INDEX(Surface_Engine!$B$12:$B$72,$A485+1)+I486</f>
        <v>2186.9932971907</v>
      </c>
      <c r="J485" s="48" t="n">
        <f aca="false">B485*(IF($A485&lt;$Q$447,INDEX(Surface_Engine!$D$12:$D$72,$A485+1)*(1+Assumptions!$B$24)+(Surface_Engine!Q239*12)*INDEX(Surface_Engine!$F$12:$F$72,$A485+1)-(Surface_Engine!Q239*12),1000*12*INDEX(Surface_Engine!$C$12:$C$72,$A485+1)/(1+Assumptions!$B$10)^27+INDEX(Surface_Engine!$D$12:$D$72,$A485+1)*(1+Assumptions!$B$24)))*INDEX(Surface_Engine!$B$12:$B$72,$A485+1)+J486</f>
        <v>1879.5075775458</v>
      </c>
      <c r="K485" s="12" t="n">
        <f aca="false">SQRT((IF(C485&lt;=0,0,MAX(0,(B485/C485)*G485/INDEX(Surface_Engine!$B$12:$B$72,$A485+1)-F485/INDEX(Surface_Engine!$B$12:$B$72,$A485+1))))^2+(MAX(IF(D485&lt;=0,0,MAX(0,(B485/D485)*H485/INDEX(Surface_Engine!$B$12:$B$72,$A485+1)-F485/INDEX(Surface_Engine!$B$12:$B$72,$A485+1))),IF(E485&lt;=0,0,MAX(0,(B485/E485)*I485/INDEX(Surface_Engine!$B$12:$B$72,$A485+1)-F485/INDEX(Surface_Engine!$B$12:$B$72,$A485+1))),IF($A485&lt;$Q$447,MAX(0,-Assumptions!$B$22*(F485/INDEX(Surface_Engine!$B$12:$B$72,$A485+1))),0)))^2+(MAX(0,J485/INDEX(Surface_Engine!$B$12:$B$72,$A485+1)-(F485/INDEX(Surface_Engine!$B$12:$B$72,$A485+1))))^2+2*Assumptions!$B$26*(IF(C485&lt;=0,0,MAX(0,(B485/C485)*G485/INDEX(Surface_Engine!$B$12:$B$72,$A485+1)-F485/INDEX(Surface_Engine!$B$12:$B$72,$A485+1))))*(MAX(IF(D485&lt;=0,0,MAX(0,(B485/D485)*H485/INDEX(Surface_Engine!$B$12:$B$72,$A485+1)-F485/INDEX(Surface_Engine!$B$12:$B$72,$A485+1))),IF(E485&lt;=0,0,MAX(0,(B485/E485)*I485/INDEX(Surface_Engine!$B$12:$B$72,$A485+1)-F485/INDEX(Surface_Engine!$B$12:$B$72,$A485+1))),IF($A485&lt;$Q$447,MAX(0,-Assumptions!$B$22*(F485/INDEX(Surface_Engine!$B$12:$B$72,$A485+1))),0)))+2*Assumptions!$B$27*(IF(C485&lt;=0,0,MAX(0,(B485/C485)*G485/INDEX(Surface_Engine!$B$12:$B$72,$A485+1)-F485/INDEX(Surface_Engine!$B$12:$B$72,$A485+1))))*(MAX(0,J485/INDEX(Surface_Engine!$B$12:$B$72,$A485+1)-(F485/INDEX(Surface_Engine!$B$12:$B$72,$A485+1))))+2*Assumptions!$B$28*(MAX(IF(D485&lt;=0,0,MAX(0,(B485/D485)*H485/INDEX(Surface_Engine!$B$12:$B$72,$A485+1)-F485/INDEX(Surface_Engine!$B$12:$B$72,$A485+1))),IF(E485&lt;=0,0,MAX(0,(B485/E485)*I485/INDEX(Surface_Engine!$B$12:$B$72,$A485+1)-F485/INDEX(Surface_Engine!$B$12:$B$72,$A485+1))),IF($A485&lt;$Q$447,MAX(0,-Assumptions!$B$22*(F485/INDEX(Surface_Engine!$B$12:$B$72,$A485+1))),0)))*(MAX(0,J485/INDEX(Surface_Engine!$B$12:$B$72,$A485+1)-(F485/INDEX(Surface_Engine!$B$12:$B$72,$A485+1)))))</f>
        <v>1078.89561391371</v>
      </c>
      <c r="L485" s="48" t="n">
        <f aca="false">K485*INDEX(Surface_Engine!$B$12:$B$72,$A485+1)+L486</f>
        <v>1294.23475723381</v>
      </c>
      <c r="M485" s="48" t="n">
        <f aca="false">M484+B484*(IF($A484&lt;$Q$447,(Surface_Engine!Q239*12)-(Surface_Engine!Q239*12)*INDEX(Surface_Engine!$F$12:$F$72,$A484+1)-INDEX(Surface_Engine!$D$12:$D$72,$A484+1),-(1000*12*INDEX(Surface_Engine!$C$12:$C$72,$A484+1)/(1+Assumptions!$B$10)^27+INDEX(Surface_Engine!$D$12:$D$72,$A484+1))))*INDEX(Surface_Engine!$B$12:$B$72,$A484+1)</f>
        <v>2375.66733715508</v>
      </c>
      <c r="N485" s="12" t="n">
        <f aca="false">IF(B485&lt;=0,0,MAX(0,(K485+Assumptions!$B$29*L485/INDEX(Surface_Engine!$B$12:$B$72,$A485+1)-(M485/INDEX(Surface_Engine!$B$12:$B$72,$A485+1)-(F485/INDEX(Surface_Engine!$B$12:$B$72,$A485+1))))/B485))</f>
        <v>0</v>
      </c>
    </row>
    <row r="486" customFormat="false" ht="15" hidden="false" customHeight="true" outlineLevel="0" collapsed="false">
      <c r="A486" s="1" t="n">
        <v>37</v>
      </c>
      <c r="B486" s="32" t="n">
        <f aca="false">INDEX(Surface_Engine!$J$12:$J$72,$A486+1)*IF($A486&lt;$Q$447,INDEX(Surface_Engine!$E$12:$E$72,$A486+1),INDEX(Surface_Engine!$E$12:$E$72,$Q$447+1))</f>
        <v>0.0763585358068708</v>
      </c>
      <c r="C486" s="32" t="n">
        <f aca="false">INDEX(Panel_Reserving!$C$8:$C$68,$A486+1)*IF($A486&lt;$Q$447,INDEX(Surface_Engine!$E$12:$E$72,$A486+1),INDEX(Surface_Engine!$E$12:$E$72,$Q$447+1))</f>
        <v>0.123170876222189</v>
      </c>
      <c r="D486" s="32" t="n">
        <f aca="false">INDEX(Surface_Engine!$J$12:$J$72,$A486+1)*IF($A486&lt;$Q$447,INDEX(Surface_Engine!$Y$12:$Y$72,$A486+1),INDEX(Surface_Engine!$Y$12:$Y$72,$Q$447+1))</f>
        <v>0.0654549294989216</v>
      </c>
      <c r="E486" s="32" t="n">
        <f aca="false">INDEX(Surface_Engine!$J$12:$J$72,$A486+1)*IF($A486&lt;$Q$447,INDEX(Surface_Engine!$Z$12:$Z$72,$A486+1),INDEX(Surface_Engine!$Z$12:$Z$72,$Q$447+1))</f>
        <v>0.0889742400049422</v>
      </c>
      <c r="F486" s="48" t="n">
        <f aca="false">B486*(IF($A486&lt;$Q$447,INDEX(Surface_Engine!$D$12:$D$72,$A486+1)+(Surface_Engine!Q239*12)*INDEX(Surface_Engine!$F$12:$F$72,$A486+1)-(Surface_Engine!Q239*12),1000*12*INDEX(Surface_Engine!$C$12:$C$72,$A486+1)/(1+Assumptions!$B$10)^27+INDEX(Surface_Engine!$D$12:$D$72,$A486+1)))*INDEX(Surface_Engine!$B$12:$B$72,$A486+1)+F487</f>
        <v>1431.92521005237</v>
      </c>
      <c r="G486" s="48" t="n">
        <f aca="false">C486*(IF($A486&lt;$Q$447,INDEX(Surface_Engine!$D$12:$D$72,$A486+1)+(Surface_Engine!Q239*12)*INDEX(Surface_Engine!$F$12:$F$72,$A486+1)-(Surface_Engine!Q239*12),1000*12*INDEX(Surface_Engine!$C$12:$C$72,$A486+1)/(1+Assumptions!$B$10)^27+INDEX(Surface_Engine!$D$12:$D$72,$A486+1)))*INDEX(Surface_Engine!$B$12:$B$72,$A486+1)+G487</f>
        <v>2736.86613582168</v>
      </c>
      <c r="H486" s="48" t="n">
        <f aca="false">D486*(IF($A486&lt;$Q$447,INDEX(Surface_Engine!$D$12:$D$72,$A486+1)+(Surface_Engine!Q239*12)*INDEX(Surface_Engine!$F$12:$F$72,$A486+1)-(Surface_Engine!Q239*12),1000*12*INDEX(Surface_Engine!$C$12:$C$72,$A486+1)/(1+Assumptions!$B$10)^27+INDEX(Surface_Engine!$D$12:$D$72,$A486+1)))*INDEX(Surface_Engine!$B$12:$B$72,$A486+1)+H487</f>
        <v>1227.45365244775</v>
      </c>
      <c r="I486" s="48" t="n">
        <f aca="false">E486*(IF($A486&lt;$Q$447,INDEX(Surface_Engine!$D$12:$D$72,$A486+1)+(Surface_Engine!Q239*12)*INDEX(Surface_Engine!$F$12:$F$72,$A486+1)-(Surface_Engine!Q239*12),1000*12*INDEX(Surface_Engine!$C$12:$C$72,$A486+1)/(1+Assumptions!$B$10)^27+INDEX(Surface_Engine!$D$12:$D$72,$A486+1)))*INDEX(Surface_Engine!$B$12:$B$72,$A486+1)+I487</f>
        <v>1668.50314718663</v>
      </c>
      <c r="J486" s="48" t="n">
        <f aca="false">B486*(IF($A486&lt;$Q$447,INDEX(Surface_Engine!$D$12:$D$72,$A486+1)*(1+Assumptions!$B$24)+(Surface_Engine!Q239*12)*INDEX(Surface_Engine!$F$12:$F$72,$A486+1)-(Surface_Engine!Q239*12),1000*12*INDEX(Surface_Engine!$C$12:$C$72,$A486+1)/(1+Assumptions!$B$10)^27+INDEX(Surface_Engine!$D$12:$D$72,$A486+1)*(1+Assumptions!$B$24)))*INDEX(Surface_Engine!$B$12:$B$72,$A486+1)+J487</f>
        <v>1433.92400319109</v>
      </c>
      <c r="K486" s="12" t="n">
        <f aca="false">SQRT((IF(C486&lt;=0,0,MAX(0,(B486/C486)*G486/INDEX(Surface_Engine!$B$12:$B$72,$A486+1)-F486/INDEX(Surface_Engine!$B$12:$B$72,$A486+1))))^2+(MAX(IF(D486&lt;=0,0,MAX(0,(B486/D486)*H486/INDEX(Surface_Engine!$B$12:$B$72,$A486+1)-F486/INDEX(Surface_Engine!$B$12:$B$72,$A486+1))),IF(E486&lt;=0,0,MAX(0,(B486/E486)*I486/INDEX(Surface_Engine!$B$12:$B$72,$A486+1)-F486/INDEX(Surface_Engine!$B$12:$B$72,$A486+1))),IF($A486&lt;$Q$447,MAX(0,-Assumptions!$B$22*(F486/INDEX(Surface_Engine!$B$12:$B$72,$A486+1))),0)))^2+(MAX(0,J486/INDEX(Surface_Engine!$B$12:$B$72,$A486+1)-(F486/INDEX(Surface_Engine!$B$12:$B$72,$A486+1))))^2+2*Assumptions!$B$26*(IF(C486&lt;=0,0,MAX(0,(B486/C486)*G486/INDEX(Surface_Engine!$B$12:$B$72,$A486+1)-F486/INDEX(Surface_Engine!$B$12:$B$72,$A486+1))))*(MAX(IF(D486&lt;=0,0,MAX(0,(B486/D486)*H486/INDEX(Surface_Engine!$B$12:$B$72,$A486+1)-F486/INDEX(Surface_Engine!$B$12:$B$72,$A486+1))),IF(E486&lt;=0,0,MAX(0,(B486/E486)*I486/INDEX(Surface_Engine!$B$12:$B$72,$A486+1)-F486/INDEX(Surface_Engine!$B$12:$B$72,$A486+1))),IF($A486&lt;$Q$447,MAX(0,-Assumptions!$B$22*(F486/INDEX(Surface_Engine!$B$12:$B$72,$A486+1))),0)))+2*Assumptions!$B$27*(IF(C486&lt;=0,0,MAX(0,(B486/C486)*G486/INDEX(Surface_Engine!$B$12:$B$72,$A486+1)-F486/INDEX(Surface_Engine!$B$12:$B$72,$A486+1))))*(MAX(0,J486/INDEX(Surface_Engine!$B$12:$B$72,$A486+1)-(F486/INDEX(Surface_Engine!$B$12:$B$72,$A486+1))))+2*Assumptions!$B$28*(MAX(IF(D486&lt;=0,0,MAX(0,(B486/D486)*H486/INDEX(Surface_Engine!$B$12:$B$72,$A486+1)-F486/INDEX(Surface_Engine!$B$12:$B$72,$A486+1))),IF(E486&lt;=0,0,MAX(0,(B486/E486)*I486/INDEX(Surface_Engine!$B$12:$B$72,$A486+1)-F486/INDEX(Surface_Engine!$B$12:$B$72,$A486+1))),IF($A486&lt;$Q$447,MAX(0,-Assumptions!$B$22*(F486/INDEX(Surface_Engine!$B$12:$B$72,$A486+1))),0)))*(MAX(0,J486/INDEX(Surface_Engine!$B$12:$B$72,$A486+1)-(F486/INDEX(Surface_Engine!$B$12:$B$72,$A486+1)))))</f>
        <v>849.611886288333</v>
      </c>
      <c r="L486" s="48" t="n">
        <f aca="false">K486*INDEX(Surface_Engine!$B$12:$B$72,$A486+1)+L487</f>
        <v>946.362864670468</v>
      </c>
      <c r="M486" s="48" t="n">
        <f aca="false">M485+B485*(IF($A485&lt;$Q$447,(Surface_Engine!Q239*12)-(Surface_Engine!Q239*12)*INDEX(Surface_Engine!$F$12:$F$72,$A485+1)-INDEX(Surface_Engine!$D$12:$D$72,$A485+1),-(1000*12*INDEX(Surface_Engine!$C$12:$C$72,$A485+1)/(1+Assumptions!$B$10)^27+INDEX(Surface_Engine!$D$12:$D$72,$A485+1))))*INDEX(Surface_Engine!$B$12:$B$72,$A485+1)</f>
        <v>1930.69417770581</v>
      </c>
      <c r="N486" s="12" t="n">
        <f aca="false">IF(B486&lt;=0,0,MAX(0,(K486+Assumptions!$B$29*L486/INDEX(Surface_Engine!$B$12:$B$72,$A486+1)-(M486/INDEX(Surface_Engine!$B$12:$B$72,$A486+1)-(F486/INDEX(Surface_Engine!$B$12:$B$72,$A486+1))))/B486))</f>
        <v>0</v>
      </c>
    </row>
    <row r="487" customFormat="false" ht="15" hidden="false" customHeight="true" outlineLevel="0" collapsed="false">
      <c r="A487" s="1" t="n">
        <v>38</v>
      </c>
      <c r="B487" s="32" t="n">
        <f aca="false">INDEX(Surface_Engine!$J$12:$J$72,$A487+1)*IF($A487&lt;$Q$447,INDEX(Surface_Engine!$E$12:$E$72,$A487+1),INDEX(Surface_Engine!$E$12:$E$72,$Q$447+1))</f>
        <v>0.0606147902158817</v>
      </c>
      <c r="C487" s="32" t="n">
        <f aca="false">INDEX(Panel_Reserving!$C$8:$C$68,$A487+1)*IF($A487&lt;$Q$447,INDEX(Surface_Engine!$E$12:$E$72,$A487+1),INDEX(Surface_Engine!$E$12:$E$72,$Q$447+1))</f>
        <v>0.102854395095668</v>
      </c>
      <c r="D487" s="32" t="n">
        <f aca="false">INDEX(Surface_Engine!$J$12:$J$72,$A487+1)*IF($A487&lt;$Q$447,INDEX(Surface_Engine!$Y$12:$Y$72,$A487+1),INDEX(Surface_Engine!$Y$12:$Y$72,$Q$447+1))</f>
        <v>0.0519593098302371</v>
      </c>
      <c r="E487" s="32" t="n">
        <f aca="false">INDEX(Surface_Engine!$J$12:$J$72,$A487+1)*IF($A487&lt;$Q$447,INDEX(Surface_Engine!$Z$12:$Z$72,$A487+1),INDEX(Surface_Engine!$Z$12:$Z$72,$Q$447+1))</f>
        <v>0.0706293649495542</v>
      </c>
      <c r="F487" s="48" t="n">
        <f aca="false">B487*(IF($A487&lt;$Q$447,INDEX(Surface_Engine!$D$12:$D$72,$A487+1)+(Surface_Engine!Q239*12)*INDEX(Surface_Engine!$F$12:$F$72,$A487+1)-(Surface_Engine!Q239*12),1000*12*INDEX(Surface_Engine!$C$12:$C$72,$A487+1)/(1+Assumptions!$B$10)^27+INDEX(Surface_Engine!$D$12:$D$72,$A487+1)))*INDEX(Surface_Engine!$B$12:$B$72,$A487+1)+F488</f>
        <v>1078.30042480409</v>
      </c>
      <c r="G487" s="48" t="n">
        <f aca="false">C487*(IF($A487&lt;$Q$447,INDEX(Surface_Engine!$D$12:$D$72,$A487+1)+(Surface_Engine!Q239*12)*INDEX(Surface_Engine!$F$12:$F$72,$A487+1)-(Surface_Engine!Q239*12),1000*12*INDEX(Surface_Engine!$C$12:$C$72,$A487+1)/(1+Assumptions!$B$10)^27+INDEX(Surface_Engine!$D$12:$D$72,$A487+1)))*INDEX(Surface_Engine!$B$12:$B$72,$A487+1)+G488</f>
        <v>2166.44824877526</v>
      </c>
      <c r="H487" s="48" t="n">
        <f aca="false">D487*(IF($A487&lt;$Q$447,INDEX(Surface_Engine!$D$12:$D$72,$A487+1)+(Surface_Engine!Q239*12)*INDEX(Surface_Engine!$F$12:$F$72,$A487+1)-(Surface_Engine!Q239*12),1000*12*INDEX(Surface_Engine!$C$12:$C$72,$A487+1)/(1+Assumptions!$B$10)^27+INDEX(Surface_Engine!$D$12:$D$72,$A487+1)))*INDEX(Surface_Engine!$B$12:$B$72,$A487+1)+H488</f>
        <v>924.3246683347</v>
      </c>
      <c r="I487" s="48" t="n">
        <f aca="false">E487*(IF($A487&lt;$Q$447,INDEX(Surface_Engine!$D$12:$D$72,$A487+1)+(Surface_Engine!Q239*12)*INDEX(Surface_Engine!$F$12:$F$72,$A487+1)-(Surface_Engine!Q239*12),1000*12*INDEX(Surface_Engine!$C$12:$C$72,$A487+1)/(1+Assumptions!$B$10)^27+INDEX(Surface_Engine!$D$12:$D$72,$A487+1)))*INDEX(Surface_Engine!$B$12:$B$72,$A487+1)+I488</f>
        <v>1256.45364699774</v>
      </c>
      <c r="J487" s="48" t="n">
        <f aca="false">B487*(IF($A487&lt;$Q$447,INDEX(Surface_Engine!$D$12:$D$72,$A487+1)*(1+Assumptions!$B$24)+(Surface_Engine!Q239*12)*INDEX(Surface_Engine!$F$12:$F$72,$A487+1)-(Surface_Engine!Q239*12),1000*12*INDEX(Surface_Engine!$C$12:$C$72,$A487+1)/(1+Assumptions!$B$10)^27+INDEX(Surface_Engine!$D$12:$D$72,$A487+1)*(1+Assumptions!$B$24)))*INDEX(Surface_Engine!$B$12:$B$72,$A487+1)+J488</f>
        <v>1079.81176970837</v>
      </c>
      <c r="K487" s="12" t="n">
        <f aca="false">SQRT((IF(C487&lt;=0,0,MAX(0,(B487/C487)*G487/INDEX(Surface_Engine!$B$12:$B$72,$A487+1)-F487/INDEX(Surface_Engine!$B$12:$B$72,$A487+1))))^2+(MAX(IF(D487&lt;=0,0,MAX(0,(B487/D487)*H487/INDEX(Surface_Engine!$B$12:$B$72,$A487+1)-F487/INDEX(Surface_Engine!$B$12:$B$72,$A487+1))),IF(E487&lt;=0,0,MAX(0,(B487/E487)*I487/INDEX(Surface_Engine!$B$12:$B$72,$A487+1)-F487/INDEX(Surface_Engine!$B$12:$B$72,$A487+1))),IF($A487&lt;$Q$447,MAX(0,-Assumptions!$B$22*(F487/INDEX(Surface_Engine!$B$12:$B$72,$A487+1))),0)))^2+(MAX(0,J487/INDEX(Surface_Engine!$B$12:$B$72,$A487+1)-(F487/INDEX(Surface_Engine!$B$12:$B$72,$A487+1))))^2+2*Assumptions!$B$26*(IF(C487&lt;=0,0,MAX(0,(B487/C487)*G487/INDEX(Surface_Engine!$B$12:$B$72,$A487+1)-F487/INDEX(Surface_Engine!$B$12:$B$72,$A487+1))))*(MAX(IF(D487&lt;=0,0,MAX(0,(B487/D487)*H487/INDEX(Surface_Engine!$B$12:$B$72,$A487+1)-F487/INDEX(Surface_Engine!$B$12:$B$72,$A487+1))),IF(E487&lt;=0,0,MAX(0,(B487/E487)*I487/INDEX(Surface_Engine!$B$12:$B$72,$A487+1)-F487/INDEX(Surface_Engine!$B$12:$B$72,$A487+1))),IF($A487&lt;$Q$447,MAX(0,-Assumptions!$B$22*(F487/INDEX(Surface_Engine!$B$12:$B$72,$A487+1))),0)))+2*Assumptions!$B$27*(IF(C487&lt;=0,0,MAX(0,(B487/C487)*G487/INDEX(Surface_Engine!$B$12:$B$72,$A487+1)-F487/INDEX(Surface_Engine!$B$12:$B$72,$A487+1))))*(MAX(0,J487/INDEX(Surface_Engine!$B$12:$B$72,$A487+1)-(F487/INDEX(Surface_Engine!$B$12:$B$72,$A487+1))))+2*Assumptions!$B$28*(MAX(IF(D487&lt;=0,0,MAX(0,(B487/D487)*H487/INDEX(Surface_Engine!$B$12:$B$72,$A487+1)-F487/INDEX(Surface_Engine!$B$12:$B$72,$A487+1))),IF(E487&lt;=0,0,MAX(0,(B487/E487)*I487/INDEX(Surface_Engine!$B$12:$B$72,$A487+1)-F487/INDEX(Surface_Engine!$B$12:$B$72,$A487+1))),IF($A487&lt;$Q$447,MAX(0,-Assumptions!$B$22*(F487/INDEX(Surface_Engine!$B$12:$B$72,$A487+1))),0)))*(MAX(0,J487/INDEX(Surface_Engine!$B$12:$B$72,$A487+1)-(F487/INDEX(Surface_Engine!$B$12:$B$72,$A487+1)))))</f>
        <v>657.635362259462</v>
      </c>
      <c r="L487" s="48" t="n">
        <f aca="false">K487*INDEX(Surface_Engine!$B$12:$B$72,$A487+1)+L488</f>
        <v>681.088906613856</v>
      </c>
      <c r="M487" s="48" t="n">
        <f aca="false">M486+B486*(IF($A486&lt;$Q$447,(Surface_Engine!Q239*12)-(Surface_Engine!Q239*12)*INDEX(Surface_Engine!$F$12:$F$72,$A486+1)-INDEX(Surface_Engine!$D$12:$D$72,$A486+1),-(1000*12*INDEX(Surface_Engine!$C$12:$C$72,$A486+1)/(1+Assumptions!$B$10)^27+INDEX(Surface_Engine!$D$12:$D$72,$A486+1))))*INDEX(Surface_Engine!$B$12:$B$72,$A486+1)</f>
        <v>1577.06939245754</v>
      </c>
      <c r="N487" s="12" t="n">
        <f aca="false">IF(B487&lt;=0,0,MAX(0,(K487+Assumptions!$B$29*L487/INDEX(Surface_Engine!$B$12:$B$72,$A487+1)-(M487/INDEX(Surface_Engine!$B$12:$B$72,$A487+1)-(F487/INDEX(Surface_Engine!$B$12:$B$72,$A487+1))))/B487))</f>
        <v>0</v>
      </c>
    </row>
    <row r="488" customFormat="false" ht="15" hidden="false" customHeight="true" outlineLevel="0" collapsed="false">
      <c r="A488" s="1" t="n">
        <v>39</v>
      </c>
      <c r="B488" s="32" t="n">
        <f aca="false">INDEX(Surface_Engine!$J$12:$J$72,$A488+1)*IF($A488&lt;$Q$447,INDEX(Surface_Engine!$E$12:$E$72,$A488+1),INDEX(Surface_Engine!$E$12:$E$72,$Q$447+1))</f>
        <v>0.0474157100906106</v>
      </c>
      <c r="C488" s="32" t="n">
        <f aca="false">INDEX(Panel_Reserving!$C$8:$C$68,$A488+1)*IF($A488&lt;$Q$447,INDEX(Surface_Engine!$E$12:$E$72,$A488+1),INDEX(Surface_Engine!$E$12:$E$72,$Q$447+1))</f>
        <v>0.0849368750017248</v>
      </c>
      <c r="D488" s="32" t="n">
        <f aca="false">INDEX(Surface_Engine!$J$12:$J$72,$A488+1)*IF($A488&lt;$Q$447,INDEX(Surface_Engine!$Y$12:$Y$72,$A488+1),INDEX(Surface_Engine!$Y$12:$Y$72,$Q$447+1))</f>
        <v>0.0406449904824256</v>
      </c>
      <c r="E488" s="32" t="n">
        <f aca="false">INDEX(Surface_Engine!$J$12:$J$72,$A488+1)*IF($A488&lt;$Q$447,INDEX(Surface_Engine!$Z$12:$Z$72,$A488+1),INDEX(Surface_Engine!$Z$12:$Z$72,$Q$447+1))</f>
        <v>0.0552495765539174</v>
      </c>
      <c r="F488" s="48" t="n">
        <f aca="false">B488*(IF($A488&lt;$Q$447,INDEX(Surface_Engine!$D$12:$D$72,$A488+1)+(Surface_Engine!Q239*12)*INDEX(Surface_Engine!$F$12:$F$72,$A488+1)-(Surface_Engine!Q239*12),1000*12*INDEX(Surface_Engine!$C$12:$C$72,$A488+1)/(1+Assumptions!$B$10)^27+INDEX(Surface_Engine!$D$12:$D$72,$A488+1)))*INDEX(Surface_Engine!$B$12:$B$72,$A488+1)+F489</f>
        <v>801.025545570738</v>
      </c>
      <c r="G488" s="48" t="n">
        <f aca="false">C488*(IF($A488&lt;$Q$447,INDEX(Surface_Engine!$D$12:$D$72,$A488+1)+(Surface_Engine!Q239*12)*INDEX(Surface_Engine!$F$12:$F$72,$A488+1)-(Surface_Engine!Q239*12),1000*12*INDEX(Surface_Engine!$C$12:$C$72,$A488+1)/(1+Assumptions!$B$10)^27+INDEX(Surface_Engine!$D$12:$D$72,$A488+1)))*INDEX(Surface_Engine!$B$12:$B$72,$A488+1)+G489</f>
        <v>1695.95350851137</v>
      </c>
      <c r="H488" s="48" t="n">
        <f aca="false">D488*(IF($A488&lt;$Q$447,INDEX(Surface_Engine!$D$12:$D$72,$A488+1)+(Surface_Engine!Q239*12)*INDEX(Surface_Engine!$F$12:$F$72,$A488+1)-(Surface_Engine!Q239*12),1000*12*INDEX(Surface_Engine!$C$12:$C$72,$A488+1)/(1+Assumptions!$B$10)^27+INDEX(Surface_Engine!$D$12:$D$72,$A488+1)))*INDEX(Surface_Engine!$B$12:$B$72,$A488+1)+H489</f>
        <v>686.643216218534</v>
      </c>
      <c r="I488" s="48" t="n">
        <f aca="false">E488*(IF($A488&lt;$Q$447,INDEX(Surface_Engine!$D$12:$D$72,$A488+1)+(Surface_Engine!Q239*12)*INDEX(Surface_Engine!$F$12:$F$72,$A488+1)-(Surface_Engine!Q239*12),1000*12*INDEX(Surface_Engine!$C$12:$C$72,$A488+1)/(1+Assumptions!$B$10)^27+INDEX(Surface_Engine!$D$12:$D$72,$A488+1)))*INDEX(Surface_Engine!$B$12:$B$72,$A488+1)+I489</f>
        <v>933.368331236226</v>
      </c>
      <c r="J488" s="48" t="n">
        <f aca="false">B488*(IF($A488&lt;$Q$447,INDEX(Surface_Engine!$D$12:$D$72,$A488+1)*(1+Assumptions!$B$24)+(Surface_Engine!Q239*12)*INDEX(Surface_Engine!$F$12:$F$72,$A488+1)-(Surface_Engine!Q239*12),1000*12*INDEX(Surface_Engine!$C$12:$C$72,$A488+1)/(1+Assumptions!$B$10)^27+INDEX(Surface_Engine!$D$12:$D$72,$A488+1)*(1+Assumptions!$B$24)))*INDEX(Surface_Engine!$B$12:$B$72,$A488+1)+J489</f>
        <v>802.152837902059</v>
      </c>
      <c r="K488" s="12" t="n">
        <f aca="false">SQRT((IF(C488&lt;=0,0,MAX(0,(B488/C488)*G488/INDEX(Surface_Engine!$B$12:$B$72,$A488+1)-F488/INDEX(Surface_Engine!$B$12:$B$72,$A488+1))))^2+(MAX(IF(D488&lt;=0,0,MAX(0,(B488/D488)*H488/INDEX(Surface_Engine!$B$12:$B$72,$A488+1)-F488/INDEX(Surface_Engine!$B$12:$B$72,$A488+1))),IF(E488&lt;=0,0,MAX(0,(B488/E488)*I488/INDEX(Surface_Engine!$B$12:$B$72,$A488+1)-F488/INDEX(Surface_Engine!$B$12:$B$72,$A488+1))),IF($A488&lt;$Q$447,MAX(0,-Assumptions!$B$22*(F488/INDEX(Surface_Engine!$B$12:$B$72,$A488+1))),0)))^2+(MAX(0,J488/INDEX(Surface_Engine!$B$12:$B$72,$A488+1)-(F488/INDEX(Surface_Engine!$B$12:$B$72,$A488+1))))^2+2*Assumptions!$B$26*(IF(C488&lt;=0,0,MAX(0,(B488/C488)*G488/INDEX(Surface_Engine!$B$12:$B$72,$A488+1)-F488/INDEX(Surface_Engine!$B$12:$B$72,$A488+1))))*(MAX(IF(D488&lt;=0,0,MAX(0,(B488/D488)*H488/INDEX(Surface_Engine!$B$12:$B$72,$A488+1)-F488/INDEX(Surface_Engine!$B$12:$B$72,$A488+1))),IF(E488&lt;=0,0,MAX(0,(B488/E488)*I488/INDEX(Surface_Engine!$B$12:$B$72,$A488+1)-F488/INDEX(Surface_Engine!$B$12:$B$72,$A488+1))),IF($A488&lt;$Q$447,MAX(0,-Assumptions!$B$22*(F488/INDEX(Surface_Engine!$B$12:$B$72,$A488+1))),0)))+2*Assumptions!$B$27*(IF(C488&lt;=0,0,MAX(0,(B488/C488)*G488/INDEX(Surface_Engine!$B$12:$B$72,$A488+1)-F488/INDEX(Surface_Engine!$B$12:$B$72,$A488+1))))*(MAX(0,J488/INDEX(Surface_Engine!$B$12:$B$72,$A488+1)-(F488/INDEX(Surface_Engine!$B$12:$B$72,$A488+1))))+2*Assumptions!$B$28*(MAX(IF(D488&lt;=0,0,MAX(0,(B488/D488)*H488/INDEX(Surface_Engine!$B$12:$B$72,$A488+1)-F488/INDEX(Surface_Engine!$B$12:$B$72,$A488+1))),IF(E488&lt;=0,0,MAX(0,(B488/E488)*I488/INDEX(Surface_Engine!$B$12:$B$72,$A488+1)-F488/INDEX(Surface_Engine!$B$12:$B$72,$A488+1))),IF($A488&lt;$Q$447,MAX(0,-Assumptions!$B$22*(F488/INDEX(Surface_Engine!$B$12:$B$72,$A488+1))),0)))*(MAX(0,J488/INDEX(Surface_Engine!$B$12:$B$72,$A488+1)-(F488/INDEX(Surface_Engine!$B$12:$B$72,$A488+1)))))</f>
        <v>498.606137996525</v>
      </c>
      <c r="L488" s="48" t="n">
        <f aca="false">K488*INDEX(Surface_Engine!$B$12:$B$72,$A488+1)+L489</f>
        <v>482.261387650783</v>
      </c>
      <c r="M488" s="48" t="n">
        <f aca="false">M487+B487*(IF($A487&lt;$Q$447,(Surface_Engine!Q239*12)-(Surface_Engine!Q239*12)*INDEX(Surface_Engine!$F$12:$F$72,$A487+1)-INDEX(Surface_Engine!$D$12:$D$72,$A487+1),-(1000*12*INDEX(Surface_Engine!$C$12:$C$72,$A487+1)/(1+Assumptions!$B$10)^27+INDEX(Surface_Engine!$D$12:$D$72,$A487+1))))*INDEX(Surface_Engine!$B$12:$B$72,$A487+1)</f>
        <v>1299.79451322419</v>
      </c>
      <c r="N488" s="12" t="n">
        <f aca="false">IF(B488&lt;=0,0,MAX(0,(K488+Assumptions!$B$29*L488/INDEX(Surface_Engine!$B$12:$B$72,$A488+1)-(M488/INDEX(Surface_Engine!$B$12:$B$72,$A488+1)-(F488/INDEX(Surface_Engine!$B$12:$B$72,$A488+1))))/B488))</f>
        <v>0</v>
      </c>
    </row>
    <row r="489" customFormat="false" ht="15" hidden="false" customHeight="true" outlineLevel="0" collapsed="false">
      <c r="A489" s="1" t="n">
        <v>40</v>
      </c>
      <c r="B489" s="32" t="n">
        <f aca="false">INDEX(Surface_Engine!$J$12:$J$72,$A489+1)*IF($A489&lt;$Q$447,INDEX(Surface_Engine!$E$12:$E$72,$A489+1),INDEX(Surface_Engine!$E$12:$E$72,$Q$447+1))</f>
        <v>0.0364814429137077</v>
      </c>
      <c r="C489" s="32" t="n">
        <f aca="false">INDEX(Panel_Reserving!$C$8:$C$68,$A489+1)*IF($A489&lt;$Q$447,INDEX(Surface_Engine!$E$12:$E$72,$A489+1),INDEX(Surface_Engine!$E$12:$E$72,$Q$447+1))</f>
        <v>0.0692674273411872</v>
      </c>
      <c r="D489" s="32" t="n">
        <f aca="false">INDEX(Surface_Engine!$J$12:$J$72,$A489+1)*IF($A489&lt;$Q$447,INDEX(Surface_Engine!$Y$12:$Y$72,$A489+1),INDEX(Surface_Engine!$Y$12:$Y$72,$Q$447+1))</f>
        <v>0.0312720804387243</v>
      </c>
      <c r="E489" s="32" t="n">
        <f aca="false">INDEX(Surface_Engine!$J$12:$J$72,$A489+1)*IF($A489&lt;$Q$447,INDEX(Surface_Engine!$Z$12:$Z$72,$A489+1),INDEX(Surface_Engine!$Z$12:$Z$72,$Q$447+1))</f>
        <v>0.0425087859953276</v>
      </c>
      <c r="F489" s="48" t="n">
        <f aca="false">B489*(IF($A489&lt;$Q$447,INDEX(Surface_Engine!$D$12:$D$72,$A489+1)+(Surface_Engine!Q239*12)*INDEX(Surface_Engine!$F$12:$F$72,$A489+1)-(Surface_Engine!Q239*12),1000*12*INDEX(Surface_Engine!$C$12:$C$72,$A489+1)/(1+Assumptions!$B$10)^27+INDEX(Surface_Engine!$D$12:$D$72,$A489+1)))*INDEX(Surface_Engine!$B$12:$B$72,$A489+1)+F490</f>
        <v>586.712588194271</v>
      </c>
      <c r="G489" s="48" t="n">
        <f aca="false">C489*(IF($A489&lt;$Q$447,INDEX(Surface_Engine!$D$12:$D$72,$A489+1)+(Surface_Engine!Q239*12)*INDEX(Surface_Engine!$F$12:$F$72,$A489+1)-(Surface_Engine!Q239*12),1000*12*INDEX(Surface_Engine!$C$12:$C$72,$A489+1)/(1+Assumptions!$B$10)^27+INDEX(Surface_Engine!$D$12:$D$72,$A489+1)))*INDEX(Surface_Engine!$B$12:$B$72,$A489+1)+G490</f>
        <v>1312.04967501085</v>
      </c>
      <c r="H489" s="48" t="n">
        <f aca="false">D489*(IF($A489&lt;$Q$447,INDEX(Surface_Engine!$D$12:$D$72,$A489+1)+(Surface_Engine!Q239*12)*INDEX(Surface_Engine!$F$12:$F$72,$A489+1)-(Surface_Engine!Q239*12),1000*12*INDEX(Surface_Engine!$C$12:$C$72,$A489+1)/(1+Assumptions!$B$10)^27+INDEX(Surface_Engine!$D$12:$D$72,$A489+1)))*INDEX(Surface_Engine!$B$12:$B$72,$A489+1)+H490</f>
        <v>502.933047243296</v>
      </c>
      <c r="I489" s="48" t="n">
        <f aca="false">E489*(IF($A489&lt;$Q$447,INDEX(Surface_Engine!$D$12:$D$72,$A489+1)+(Surface_Engine!Q239*12)*INDEX(Surface_Engine!$F$12:$F$72,$A489+1)-(Surface_Engine!Q239*12),1000*12*INDEX(Surface_Engine!$C$12:$C$72,$A489+1)/(1+Assumptions!$B$10)^27+INDEX(Surface_Engine!$D$12:$D$72,$A489+1)))*INDEX(Surface_Engine!$B$12:$B$72,$A489+1)+I490</f>
        <v>683.647297375504</v>
      </c>
      <c r="J489" s="48" t="n">
        <f aca="false">B489*(IF($A489&lt;$Q$447,INDEX(Surface_Engine!$D$12:$D$72,$A489+1)*(1+Assumptions!$B$24)+(Surface_Engine!Q239*12)*INDEX(Surface_Engine!$F$12:$F$72,$A489+1)-(Surface_Engine!Q239*12),1000*12*INDEX(Surface_Engine!$C$12:$C$72,$A489+1)/(1+Assumptions!$B$10)^27+INDEX(Surface_Engine!$D$12:$D$72,$A489+1)*(1+Assumptions!$B$24)))*INDEX(Surface_Engine!$B$12:$B$72,$A489+1)+J490</f>
        <v>587.541601448346</v>
      </c>
      <c r="K489" s="12" t="n">
        <f aca="false">SQRT((IF(C489&lt;=0,0,MAX(0,(B489/C489)*G489/INDEX(Surface_Engine!$B$12:$B$72,$A489+1)-F489/INDEX(Surface_Engine!$B$12:$B$72,$A489+1))))^2+(MAX(IF(D489&lt;=0,0,MAX(0,(B489/D489)*H489/INDEX(Surface_Engine!$B$12:$B$72,$A489+1)-F489/INDEX(Surface_Engine!$B$12:$B$72,$A489+1))),IF(E489&lt;=0,0,MAX(0,(B489/E489)*I489/INDEX(Surface_Engine!$B$12:$B$72,$A489+1)-F489/INDEX(Surface_Engine!$B$12:$B$72,$A489+1))),IF($A489&lt;$Q$447,MAX(0,-Assumptions!$B$22*(F489/INDEX(Surface_Engine!$B$12:$B$72,$A489+1))),0)))^2+(MAX(0,J489/INDEX(Surface_Engine!$B$12:$B$72,$A489+1)-(F489/INDEX(Surface_Engine!$B$12:$B$72,$A489+1))))^2+2*Assumptions!$B$26*(IF(C489&lt;=0,0,MAX(0,(B489/C489)*G489/INDEX(Surface_Engine!$B$12:$B$72,$A489+1)-F489/INDEX(Surface_Engine!$B$12:$B$72,$A489+1))))*(MAX(IF(D489&lt;=0,0,MAX(0,(B489/D489)*H489/INDEX(Surface_Engine!$B$12:$B$72,$A489+1)-F489/INDEX(Surface_Engine!$B$12:$B$72,$A489+1))),IF(E489&lt;=0,0,MAX(0,(B489/E489)*I489/INDEX(Surface_Engine!$B$12:$B$72,$A489+1)-F489/INDEX(Surface_Engine!$B$12:$B$72,$A489+1))),IF($A489&lt;$Q$447,MAX(0,-Assumptions!$B$22*(F489/INDEX(Surface_Engine!$B$12:$B$72,$A489+1))),0)))+2*Assumptions!$B$27*(IF(C489&lt;=0,0,MAX(0,(B489/C489)*G489/INDEX(Surface_Engine!$B$12:$B$72,$A489+1)-F489/INDEX(Surface_Engine!$B$12:$B$72,$A489+1))))*(MAX(0,J489/INDEX(Surface_Engine!$B$12:$B$72,$A489+1)-(F489/INDEX(Surface_Engine!$B$12:$B$72,$A489+1))))+2*Assumptions!$B$28*(MAX(IF(D489&lt;=0,0,MAX(0,(B489/D489)*H489/INDEX(Surface_Engine!$B$12:$B$72,$A489+1)-F489/INDEX(Surface_Engine!$B$12:$B$72,$A489+1))),IF(E489&lt;=0,0,MAX(0,(B489/E489)*I489/INDEX(Surface_Engine!$B$12:$B$72,$A489+1)-F489/INDEX(Surface_Engine!$B$12:$B$72,$A489+1))),IF($A489&lt;$Q$447,MAX(0,-Assumptions!$B$22*(F489/INDEX(Surface_Engine!$B$12:$B$72,$A489+1))),0)))*(MAX(0,J489/INDEX(Surface_Engine!$B$12:$B$72,$A489+1)-(F489/INDEX(Surface_Engine!$B$12:$B$72,$A489+1)))))</f>
        <v>368.606950233358</v>
      </c>
      <c r="L489" s="48" t="n">
        <f aca="false">K489*INDEX(Surface_Engine!$B$12:$B$72,$A489+1)+L490</f>
        <v>336.240982249006</v>
      </c>
      <c r="M489" s="48" t="n">
        <f aca="false">M488+B488*(IF($A488&lt;$Q$447,(Surface_Engine!Q239*12)-(Surface_Engine!Q239*12)*INDEX(Surface_Engine!$F$12:$F$72,$A488+1)-INDEX(Surface_Engine!$D$12:$D$72,$A488+1),-(1000*12*INDEX(Surface_Engine!$C$12:$C$72,$A488+1)/(1+Assumptions!$B$10)^27+INDEX(Surface_Engine!$D$12:$D$72,$A488+1))))*INDEX(Surface_Engine!$B$12:$B$72,$A488+1)</f>
        <v>1085.48155584772</v>
      </c>
      <c r="N489" s="12" t="n">
        <f aca="false">IF(B489&lt;=0,0,MAX(0,(K489+Assumptions!$B$29*L489/INDEX(Surface_Engine!$B$12:$B$72,$A489+1)-(M489/INDEX(Surface_Engine!$B$12:$B$72,$A489+1)-(F489/INDEX(Surface_Engine!$B$12:$B$72,$A489+1))))/B489))</f>
        <v>0</v>
      </c>
    </row>
    <row r="490" customFormat="false" ht="15" hidden="false" customHeight="true" outlineLevel="0" collapsed="false">
      <c r="A490" s="1" t="n">
        <v>41</v>
      </c>
      <c r="B490" s="32" t="n">
        <f aca="false">INDEX(Surface_Engine!$J$12:$J$72,$A490+1)*IF($A490&lt;$Q$447,INDEX(Surface_Engine!$E$12:$E$72,$A490+1),INDEX(Surface_Engine!$E$12:$E$72,$Q$447+1))</f>
        <v>0.0275317742722594</v>
      </c>
      <c r="C490" s="32" t="n">
        <f aca="false">INDEX(Panel_Reserving!$C$8:$C$68,$A490+1)*IF($A490&lt;$Q$447,INDEX(Surface_Engine!$E$12:$E$72,$A490+1),INDEX(Surface_Engine!$E$12:$E$72,$Q$447+1))</f>
        <v>0.0556732167434196</v>
      </c>
      <c r="D490" s="32" t="n">
        <f aca="false">INDEX(Surface_Engine!$J$12:$J$72,$A490+1)*IF($A490&lt;$Q$447,INDEX(Surface_Engine!$Y$12:$Y$72,$A490+1),INDEX(Surface_Engine!$Y$12:$Y$72,$Q$447+1))</f>
        <v>0.0236003784636322</v>
      </c>
      <c r="E490" s="32" t="n">
        <f aca="false">INDEX(Surface_Engine!$J$12:$J$72,$A490+1)*IF($A490&lt;$Q$447,INDEX(Surface_Engine!$Z$12:$Z$72,$A490+1),INDEX(Surface_Engine!$Z$12:$Z$72,$Q$447+1))</f>
        <v>0.0320804827643314</v>
      </c>
      <c r="F490" s="48" t="n">
        <f aca="false">B490*(IF($A490&lt;$Q$447,INDEX(Surface_Engine!$D$12:$D$72,$A490+1)+(Surface_Engine!Q239*12)*INDEX(Surface_Engine!$F$12:$F$72,$A490+1)-(Surface_Engine!Q239*12),1000*12*INDEX(Surface_Engine!$C$12:$C$72,$A490+1)/(1+Assumptions!$B$10)^27+INDEX(Surface_Engine!$D$12:$D$72,$A490+1)))*INDEX(Surface_Engine!$B$12:$B$72,$A490+1)+F491</f>
        <v>423.852064565653</v>
      </c>
      <c r="G490" s="48" t="n">
        <f aca="false">C490*(IF($A490&lt;$Q$447,INDEX(Surface_Engine!$D$12:$D$72,$A490+1)+(Surface_Engine!Q239*12)*INDEX(Surface_Engine!$F$12:$F$72,$A490+1)-(Surface_Engine!Q239*12),1000*12*INDEX(Surface_Engine!$C$12:$C$72,$A490+1)/(1+Assumptions!$B$10)^27+INDEX(Surface_Engine!$D$12:$D$72,$A490+1)))*INDEX(Surface_Engine!$B$12:$B$72,$A490+1)+G491</f>
        <v>1002.82590023098</v>
      </c>
      <c r="H490" s="48" t="n">
        <f aca="false">D490*(IF($A490&lt;$Q$447,INDEX(Surface_Engine!$D$12:$D$72,$A490+1)+(Surface_Engine!Q239*12)*INDEX(Surface_Engine!$F$12:$F$72,$A490+1)-(Surface_Engine!Q239*12),1000*12*INDEX(Surface_Engine!$C$12:$C$72,$A490+1)/(1+Assumptions!$B$10)^27+INDEX(Surface_Engine!$D$12:$D$72,$A490+1)))*INDEX(Surface_Engine!$B$12:$B$72,$A490+1)+H491</f>
        <v>363.328169024697</v>
      </c>
      <c r="I490" s="48" t="n">
        <f aca="false">E490*(IF($A490&lt;$Q$447,INDEX(Surface_Engine!$D$12:$D$72,$A490+1)+(Surface_Engine!Q239*12)*INDEX(Surface_Engine!$F$12:$F$72,$A490+1)-(Surface_Engine!Q239*12),1000*12*INDEX(Surface_Engine!$C$12:$C$72,$A490+1)/(1+Assumptions!$B$10)^27+INDEX(Surface_Engine!$D$12:$D$72,$A490+1)))*INDEX(Surface_Engine!$B$12:$B$72,$A490+1)+I491</f>
        <v>493.879497828994</v>
      </c>
      <c r="J490" s="48" t="n">
        <f aca="false">B490*(IF($A490&lt;$Q$447,INDEX(Surface_Engine!$D$12:$D$72,$A490+1)*(1+Assumptions!$B$24)+(Surface_Engine!Q239*12)*INDEX(Surface_Engine!$F$12:$F$72,$A490+1)-(Surface_Engine!Q239*12),1000*12*INDEX(Surface_Engine!$C$12:$C$72,$A490+1)/(1+Assumptions!$B$10)^27+INDEX(Surface_Engine!$D$12:$D$72,$A490+1)*(1+Assumptions!$B$24)))*INDEX(Surface_Engine!$B$12:$B$72,$A490+1)+J491</f>
        <v>424.453314254003</v>
      </c>
      <c r="K490" s="12" t="n">
        <f aca="false">SQRT((IF(C490&lt;=0,0,MAX(0,(B490/C490)*G490/INDEX(Surface_Engine!$B$12:$B$72,$A490+1)-F490/INDEX(Surface_Engine!$B$12:$B$72,$A490+1))))^2+(MAX(IF(D490&lt;=0,0,MAX(0,(B490/D490)*H490/INDEX(Surface_Engine!$B$12:$B$72,$A490+1)-F490/INDEX(Surface_Engine!$B$12:$B$72,$A490+1))),IF(E490&lt;=0,0,MAX(0,(B490/E490)*I490/INDEX(Surface_Engine!$B$12:$B$72,$A490+1)-F490/INDEX(Surface_Engine!$B$12:$B$72,$A490+1))),IF($A490&lt;$Q$447,MAX(0,-Assumptions!$B$22*(F490/INDEX(Surface_Engine!$B$12:$B$72,$A490+1))),0)))^2+(MAX(0,J490/INDEX(Surface_Engine!$B$12:$B$72,$A490+1)-(F490/INDEX(Surface_Engine!$B$12:$B$72,$A490+1))))^2+2*Assumptions!$B$26*(IF(C490&lt;=0,0,MAX(0,(B490/C490)*G490/INDEX(Surface_Engine!$B$12:$B$72,$A490+1)-F490/INDEX(Surface_Engine!$B$12:$B$72,$A490+1))))*(MAX(IF(D490&lt;=0,0,MAX(0,(B490/D490)*H490/INDEX(Surface_Engine!$B$12:$B$72,$A490+1)-F490/INDEX(Surface_Engine!$B$12:$B$72,$A490+1))),IF(E490&lt;=0,0,MAX(0,(B490/E490)*I490/INDEX(Surface_Engine!$B$12:$B$72,$A490+1)-F490/INDEX(Surface_Engine!$B$12:$B$72,$A490+1))),IF($A490&lt;$Q$447,MAX(0,-Assumptions!$B$22*(F490/INDEX(Surface_Engine!$B$12:$B$72,$A490+1))),0)))+2*Assumptions!$B$27*(IF(C490&lt;=0,0,MAX(0,(B490/C490)*G490/INDEX(Surface_Engine!$B$12:$B$72,$A490+1)-F490/INDEX(Surface_Engine!$B$12:$B$72,$A490+1))))*(MAX(0,J490/INDEX(Surface_Engine!$B$12:$B$72,$A490+1)-(F490/INDEX(Surface_Engine!$B$12:$B$72,$A490+1))))+2*Assumptions!$B$28*(MAX(IF(D490&lt;=0,0,MAX(0,(B490/D490)*H490/INDEX(Surface_Engine!$B$12:$B$72,$A490+1)-F490/INDEX(Surface_Engine!$B$12:$B$72,$A490+1))),IF(E490&lt;=0,0,MAX(0,(B490/E490)*I490/INDEX(Surface_Engine!$B$12:$B$72,$A490+1)-F490/INDEX(Surface_Engine!$B$12:$B$72,$A490+1))),IF($A490&lt;$Q$447,MAX(0,-Assumptions!$B$22*(F490/INDEX(Surface_Engine!$B$12:$B$72,$A490+1))),0)))*(MAX(0,J490/INDEX(Surface_Engine!$B$12:$B$72,$A490+1)-(F490/INDEX(Surface_Engine!$B$12:$B$72,$A490+1)))))</f>
        <v>263.062318128175</v>
      </c>
      <c r="L490" s="48" t="n">
        <f aca="false">K490*INDEX(Surface_Engine!$B$12:$B$72,$A490+1)+L491</f>
        <v>231.719081768612</v>
      </c>
      <c r="M490" s="48" t="n">
        <f aca="false">M489+B489*(IF($A489&lt;$Q$447,(Surface_Engine!Q239*12)-(Surface_Engine!Q239*12)*INDEX(Surface_Engine!$F$12:$F$72,$A489+1)-INDEX(Surface_Engine!$D$12:$D$72,$A489+1),-(1000*12*INDEX(Surface_Engine!$C$12:$C$72,$A489+1)/(1+Assumptions!$B$10)^27+INDEX(Surface_Engine!$D$12:$D$72,$A489+1))))*INDEX(Surface_Engine!$B$12:$B$72,$A489+1)</f>
        <v>922.6210322191</v>
      </c>
      <c r="N490" s="12" t="n">
        <f aca="false">IF(B490&lt;=0,0,MAX(0,(K490+Assumptions!$B$29*L490/INDEX(Surface_Engine!$B$12:$B$72,$A490+1)-(M490/INDEX(Surface_Engine!$B$12:$B$72,$A490+1)-(F490/INDEX(Surface_Engine!$B$12:$B$72,$A490+1))))/B490))</f>
        <v>0</v>
      </c>
    </row>
    <row r="491" customFormat="false" ht="15" hidden="false" customHeight="true" outlineLevel="0" collapsed="false">
      <c r="A491" s="1" t="n">
        <v>42</v>
      </c>
      <c r="B491" s="32" t="n">
        <f aca="false">INDEX(Surface_Engine!$J$12:$J$72,$A491+1)*IF($A491&lt;$Q$447,INDEX(Surface_Engine!$E$12:$E$72,$A491+1),INDEX(Surface_Engine!$E$12:$E$72,$Q$447+1))</f>
        <v>0.0210302808025591</v>
      </c>
      <c r="C491" s="32" t="n">
        <f aca="false">INDEX(Panel_Reserving!$C$8:$C$68,$A491+1)*IF($A491&lt;$Q$447,INDEX(Surface_Engine!$E$12:$E$72,$A491+1),INDEX(Surface_Engine!$E$12:$E$72,$Q$447+1))</f>
        <v>0.0451556510677702</v>
      </c>
      <c r="D491" s="32" t="n">
        <f aca="false">INDEX(Surface_Engine!$J$12:$J$72,$A491+1)*IF($A491&lt;$Q$447,INDEX(Surface_Engine!$Y$12:$Y$72,$A491+1),INDEX(Surface_Engine!$Y$12:$Y$72,$Q$447+1))</f>
        <v>0.0180272648333072</v>
      </c>
      <c r="E491" s="32" t="n">
        <f aca="false">INDEX(Surface_Engine!$J$12:$J$72,$A491+1)*IF($A491&lt;$Q$447,INDEX(Surface_Engine!$Z$12:$Z$72,$A491+1),INDEX(Surface_Engine!$Z$12:$Z$72,$Q$447+1))</f>
        <v>0.0245048340925607</v>
      </c>
      <c r="F491" s="48" t="n">
        <f aca="false">B491*(IF($A491&lt;$Q$447,INDEX(Surface_Engine!$D$12:$D$72,$A491+1)+(Surface_Engine!Q239*12)*INDEX(Surface_Engine!$F$12:$F$72,$A491+1)-(Surface_Engine!Q239*12),1000*12*INDEX(Surface_Engine!$C$12:$C$72,$A491+1)/(1+Assumptions!$B$10)^27+INDEX(Surface_Engine!$D$12:$D$72,$A491+1)))*INDEX(Surface_Engine!$B$12:$B$72,$A491+1)+F492</f>
        <v>302.463161836318</v>
      </c>
      <c r="G491" s="48" t="n">
        <f aca="false">C491*(IF($A491&lt;$Q$447,INDEX(Surface_Engine!$D$12:$D$72,$A491+1)+(Surface_Engine!Q239*12)*INDEX(Surface_Engine!$F$12:$F$72,$A491+1)-(Surface_Engine!Q239*12),1000*12*INDEX(Surface_Engine!$C$12:$C$72,$A491+1)/(1+Assumptions!$B$10)^27+INDEX(Surface_Engine!$D$12:$D$72,$A491+1)))*INDEX(Surface_Engine!$B$12:$B$72,$A491+1)+G492</f>
        <v>757.360038675319</v>
      </c>
      <c r="H491" s="48" t="n">
        <f aca="false">D491*(IF($A491&lt;$Q$447,INDEX(Surface_Engine!$D$12:$D$72,$A491+1)+(Surface_Engine!Q239*12)*INDEX(Surface_Engine!$F$12:$F$72,$A491+1)-(Surface_Engine!Q239*12),1000*12*INDEX(Surface_Engine!$C$12:$C$72,$A491+1)/(1+Assumptions!$B$10)^27+INDEX(Surface_Engine!$D$12:$D$72,$A491+1)))*INDEX(Surface_Engine!$B$12:$B$72,$A491+1)+H492</f>
        <v>259.272977471573</v>
      </c>
      <c r="I491" s="48" t="n">
        <f aca="false">E491*(IF($A491&lt;$Q$447,INDEX(Surface_Engine!$D$12:$D$72,$A491+1)+(Surface_Engine!Q239*12)*INDEX(Surface_Engine!$F$12:$F$72,$A491+1)-(Surface_Engine!Q239*12),1000*12*INDEX(Surface_Engine!$C$12:$C$72,$A491+1)/(1+Assumptions!$B$10)^27+INDEX(Surface_Engine!$D$12:$D$72,$A491+1)))*INDEX(Surface_Engine!$B$12:$B$72,$A491+1)+I492</f>
        <v>352.435122930379</v>
      </c>
      <c r="J491" s="48" t="n">
        <f aca="false">B491*(IF($A491&lt;$Q$447,INDEX(Surface_Engine!$D$12:$D$72,$A491+1)*(1+Assumptions!$B$24)+(Surface_Engine!Q239*12)*INDEX(Surface_Engine!$F$12:$F$72,$A491+1)-(Surface_Engine!Q239*12),1000*12*INDEX(Surface_Engine!$C$12:$C$72,$A491+1)/(1+Assumptions!$B$10)^27+INDEX(Surface_Engine!$D$12:$D$72,$A491+1)*(1+Assumptions!$B$24)))*INDEX(Surface_Engine!$B$12:$B$72,$A491+1)+J492</f>
        <v>302.893826330638</v>
      </c>
      <c r="K491" s="12" t="n">
        <f aca="false">SQRT((IF(C491&lt;=0,0,MAX(0,(B491/C491)*G491/INDEX(Surface_Engine!$B$12:$B$72,$A491+1)-F491/INDEX(Surface_Engine!$B$12:$B$72,$A491+1))))^2+(MAX(IF(D491&lt;=0,0,MAX(0,(B491/D491)*H491/INDEX(Surface_Engine!$B$12:$B$72,$A491+1)-F491/INDEX(Surface_Engine!$B$12:$B$72,$A491+1))),IF(E491&lt;=0,0,MAX(0,(B491/E491)*I491/INDEX(Surface_Engine!$B$12:$B$72,$A491+1)-F491/INDEX(Surface_Engine!$B$12:$B$72,$A491+1))),IF($A491&lt;$Q$447,MAX(0,-Assumptions!$B$22*(F491/INDEX(Surface_Engine!$B$12:$B$72,$A491+1))),0)))^2+(MAX(0,J491/INDEX(Surface_Engine!$B$12:$B$72,$A491+1)-(F491/INDEX(Surface_Engine!$B$12:$B$72,$A491+1))))^2+2*Assumptions!$B$26*(IF(C491&lt;=0,0,MAX(0,(B491/C491)*G491/INDEX(Surface_Engine!$B$12:$B$72,$A491+1)-F491/INDEX(Surface_Engine!$B$12:$B$72,$A491+1))))*(MAX(IF(D491&lt;=0,0,MAX(0,(B491/D491)*H491/INDEX(Surface_Engine!$B$12:$B$72,$A491+1)-F491/INDEX(Surface_Engine!$B$12:$B$72,$A491+1))),IF(E491&lt;=0,0,MAX(0,(B491/E491)*I491/INDEX(Surface_Engine!$B$12:$B$72,$A491+1)-F491/INDEX(Surface_Engine!$B$12:$B$72,$A491+1))),IF($A491&lt;$Q$447,MAX(0,-Assumptions!$B$22*(F491/INDEX(Surface_Engine!$B$12:$B$72,$A491+1))),0)))+2*Assumptions!$B$27*(IF(C491&lt;=0,0,MAX(0,(B491/C491)*G491/INDEX(Surface_Engine!$B$12:$B$72,$A491+1)-F491/INDEX(Surface_Engine!$B$12:$B$72,$A491+1))))*(MAX(0,J491/INDEX(Surface_Engine!$B$12:$B$72,$A491+1)-(F491/INDEX(Surface_Engine!$B$12:$B$72,$A491+1))))+2*Assumptions!$B$28*(MAX(IF(D491&lt;=0,0,MAX(0,(B491/D491)*H491/INDEX(Surface_Engine!$B$12:$B$72,$A491+1)-F491/INDEX(Surface_Engine!$B$12:$B$72,$A491+1))),IF(E491&lt;=0,0,MAX(0,(B491/E491)*I491/INDEX(Surface_Engine!$B$12:$B$72,$A491+1)-F491/INDEX(Surface_Engine!$B$12:$B$72,$A491+1))),IF($A491&lt;$Q$447,MAX(0,-Assumptions!$B$22*(F491/INDEX(Surface_Engine!$B$12:$B$72,$A491+1))),0)))*(MAX(0,J491/INDEX(Surface_Engine!$B$12:$B$72,$A491+1)-(F491/INDEX(Surface_Engine!$B$12:$B$72,$A491+1)))))</f>
        <v>189.422066729628</v>
      </c>
      <c r="L491" s="48" t="n">
        <f aca="false">K491*INDEX(Surface_Engine!$B$12:$B$72,$A491+1)+L492</f>
        <v>159.496427870175</v>
      </c>
      <c r="M491" s="48" t="n">
        <f aca="false">M490+B490*(IF($A490&lt;$Q$447,(Surface_Engine!Q239*12)-(Surface_Engine!Q239*12)*INDEX(Surface_Engine!$F$12:$F$72,$A490+1)-INDEX(Surface_Engine!$D$12:$D$72,$A490+1),-(1000*12*INDEX(Surface_Engine!$C$12:$C$72,$A490+1)/(1+Assumptions!$B$10)^27+INDEX(Surface_Engine!$D$12:$D$72,$A490+1))))*INDEX(Surface_Engine!$B$12:$B$72,$A490+1)</f>
        <v>801.232129489766</v>
      </c>
      <c r="N491" s="12" t="n">
        <f aca="false">IF(B491&lt;=0,0,MAX(0,(K491+Assumptions!$B$29*L491/INDEX(Surface_Engine!$B$12:$B$72,$A491+1)-(M491/INDEX(Surface_Engine!$B$12:$B$72,$A491+1)-(F491/INDEX(Surface_Engine!$B$12:$B$72,$A491+1))))/B491))</f>
        <v>0</v>
      </c>
    </row>
    <row r="492" customFormat="false" ht="15" hidden="false" customHeight="true" outlineLevel="0" collapsed="false">
      <c r="A492" s="1" t="n">
        <v>43</v>
      </c>
      <c r="B492" s="32" t="n">
        <f aca="false">INDEX(Surface_Engine!$J$12:$J$72,$A492+1)*IF($A492&lt;$Q$447,INDEX(Surface_Engine!$E$12:$E$72,$A492+1),INDEX(Surface_Engine!$E$12:$E$72,$Q$447+1))</f>
        <v>0.0184794962178829</v>
      </c>
      <c r="C492" s="32" t="n">
        <f aca="false">INDEX(Panel_Reserving!$C$8:$C$68,$A492+1)*IF($A492&lt;$Q$447,INDEX(Surface_Engine!$E$12:$E$72,$A492+1),INDEX(Surface_Engine!$E$12:$E$72,$Q$447+1))</f>
        <v>0.0407740704417742</v>
      </c>
      <c r="D492" s="32" t="n">
        <f aca="false">INDEX(Surface_Engine!$J$12:$J$72,$A492+1)*IF($A492&lt;$Q$447,INDEX(Surface_Engine!$Y$12:$Y$72,$A492+1),INDEX(Surface_Engine!$Y$12:$Y$72,$Q$447+1))</f>
        <v>0.0158407191722012</v>
      </c>
      <c r="E492" s="32" t="n">
        <f aca="false">INDEX(Surface_Engine!$J$12:$J$72,$A492+1)*IF($A492&lt;$Q$447,INDEX(Surface_Engine!$Z$12:$Z$72,$A492+1),INDEX(Surface_Engine!$Z$12:$Z$72,$Q$447+1))</f>
        <v>0.0215326173332987</v>
      </c>
      <c r="F492" s="48" t="n">
        <f aca="false">B492*(IF($A492&lt;$Q$447,INDEX(Surface_Engine!$D$12:$D$72,$A492+1)+(Surface_Engine!Q239*12)*INDEX(Surface_Engine!$F$12:$F$72,$A492+1)-(Surface_Engine!Q239*12),1000*12*INDEX(Surface_Engine!$C$12:$C$72,$A492+1)/(1+Assumptions!$B$10)^27+INDEX(Surface_Engine!$D$12:$D$72,$A492+1)))*INDEX(Surface_Engine!$B$12:$B$72,$A492+1)+F493</f>
        <v>210.851474755484</v>
      </c>
      <c r="G492" s="48" t="n">
        <f aca="false">C492*(IF($A492&lt;$Q$447,INDEX(Surface_Engine!$D$12:$D$72,$A492+1)+(Surface_Engine!Q239*12)*INDEX(Surface_Engine!$F$12:$F$72,$A492+1)-(Surface_Engine!Q239*12),1000*12*INDEX(Surface_Engine!$C$12:$C$72,$A492+1)/(1+Assumptions!$B$10)^27+INDEX(Surface_Engine!$D$12:$D$72,$A492+1)))*INDEX(Surface_Engine!$B$12:$B$72,$A492+1)+G493</f>
        <v>560.653897925715</v>
      </c>
      <c r="H492" s="48" t="n">
        <f aca="false">D492*(IF($A492&lt;$Q$447,INDEX(Surface_Engine!$D$12:$D$72,$A492+1)+(Surface_Engine!Q239*12)*INDEX(Surface_Engine!$F$12:$F$72,$A492+1)-(Surface_Engine!Q239*12),1000*12*INDEX(Surface_Engine!$C$12:$C$72,$A492+1)/(1+Assumptions!$B$10)^27+INDEX(Surface_Engine!$D$12:$D$72,$A492+1)))*INDEX(Surface_Engine!$B$12:$B$72,$A492+1)+H493</f>
        <v>180.742968274963</v>
      </c>
      <c r="I492" s="48" t="n">
        <f aca="false">E492*(IF($A492&lt;$Q$447,INDEX(Surface_Engine!$D$12:$D$72,$A492+1)+(Surface_Engine!Q239*12)*INDEX(Surface_Engine!$F$12:$F$72,$A492+1)-(Surface_Engine!Q239*12),1000*12*INDEX(Surface_Engine!$C$12:$C$72,$A492+1)/(1+Assumptions!$B$10)^27+INDEX(Surface_Engine!$D$12:$D$72,$A492+1)))*INDEX(Surface_Engine!$B$12:$B$72,$A492+1)+I493</f>
        <v>245.687656554074</v>
      </c>
      <c r="J492" s="48" t="n">
        <f aca="false">B492*(IF($A492&lt;$Q$447,INDEX(Surface_Engine!$D$12:$D$72,$A492+1)*(1+Assumptions!$B$24)+(Surface_Engine!Q239*12)*INDEX(Surface_Engine!$F$12:$F$72,$A492+1)-(Surface_Engine!Q239*12),1000*12*INDEX(Surface_Engine!$C$12:$C$72,$A492+1)/(1+Assumptions!$B$10)^27+INDEX(Surface_Engine!$D$12:$D$72,$A492+1)*(1+Assumptions!$B$24)))*INDEX(Surface_Engine!$B$12:$B$72,$A492+1)+J493</f>
        <v>211.152777164766</v>
      </c>
      <c r="K492" s="12" t="n">
        <f aca="false">SQRT((IF(C492&lt;=0,0,MAX(0,(B492/C492)*G492/INDEX(Surface_Engine!$B$12:$B$72,$A492+1)-F492/INDEX(Surface_Engine!$B$12:$B$72,$A492+1))))^2+(MAX(IF(D492&lt;=0,0,MAX(0,(B492/D492)*H492/INDEX(Surface_Engine!$B$12:$B$72,$A492+1)-F492/INDEX(Surface_Engine!$B$12:$B$72,$A492+1))),IF(E492&lt;=0,0,MAX(0,(B492/E492)*I492/INDEX(Surface_Engine!$B$12:$B$72,$A492+1)-F492/INDEX(Surface_Engine!$B$12:$B$72,$A492+1))),IF($A492&lt;$Q$447,MAX(0,-Assumptions!$B$22*(F492/INDEX(Surface_Engine!$B$12:$B$72,$A492+1))),0)))^2+(MAX(0,J492/INDEX(Surface_Engine!$B$12:$B$72,$A492+1)-(F492/INDEX(Surface_Engine!$B$12:$B$72,$A492+1))))^2+2*Assumptions!$B$26*(IF(C492&lt;=0,0,MAX(0,(B492/C492)*G492/INDEX(Surface_Engine!$B$12:$B$72,$A492+1)-F492/INDEX(Surface_Engine!$B$12:$B$72,$A492+1))))*(MAX(IF(D492&lt;=0,0,MAX(0,(B492/D492)*H492/INDEX(Surface_Engine!$B$12:$B$72,$A492+1)-F492/INDEX(Surface_Engine!$B$12:$B$72,$A492+1))),IF(E492&lt;=0,0,MAX(0,(B492/E492)*I492/INDEX(Surface_Engine!$B$12:$B$72,$A492+1)-F492/INDEX(Surface_Engine!$B$12:$B$72,$A492+1))),IF($A492&lt;$Q$447,MAX(0,-Assumptions!$B$22*(F492/INDEX(Surface_Engine!$B$12:$B$72,$A492+1))),0)))+2*Assumptions!$B$27*(IF(C492&lt;=0,0,MAX(0,(B492/C492)*G492/INDEX(Surface_Engine!$B$12:$B$72,$A492+1)-F492/INDEX(Surface_Engine!$B$12:$B$72,$A492+1))))*(MAX(0,J492/INDEX(Surface_Engine!$B$12:$B$72,$A492+1)-(F492/INDEX(Surface_Engine!$B$12:$B$72,$A492+1))))+2*Assumptions!$B$28*(MAX(IF(D492&lt;=0,0,MAX(0,(B492/D492)*H492/INDEX(Surface_Engine!$B$12:$B$72,$A492+1)-F492/INDEX(Surface_Engine!$B$12:$B$72,$A492+1))),IF(E492&lt;=0,0,MAX(0,(B492/E492)*I492/INDEX(Surface_Engine!$B$12:$B$72,$A492+1)-F492/INDEX(Surface_Engine!$B$12:$B$72,$A492+1))),IF($A492&lt;$Q$447,MAX(0,-Assumptions!$B$22*(F492/INDEX(Surface_Engine!$B$12:$B$72,$A492+1))),0)))*(MAX(0,J492/INDEX(Surface_Engine!$B$12:$B$72,$A492+1)-(F492/INDEX(Surface_Engine!$B$12:$B$72,$A492+1)))))</f>
        <v>168.278073204173</v>
      </c>
      <c r="L492" s="48" t="n">
        <f aca="false">K492*INDEX(Surface_Engine!$B$12:$B$72,$A492+1)+L493</f>
        <v>109.125922611741</v>
      </c>
      <c r="M492" s="48" t="n">
        <f aca="false">M491+B491*(IF($A491&lt;$Q$447,(Surface_Engine!Q239*12)-(Surface_Engine!Q239*12)*INDEX(Surface_Engine!$F$12:$F$72,$A491+1)-INDEX(Surface_Engine!$D$12:$D$72,$A491+1),-(1000*12*INDEX(Surface_Engine!$C$12:$C$72,$A491+1)/(1+Assumptions!$B$10)^27+INDEX(Surface_Engine!$D$12:$D$72,$A491+1))))*INDEX(Surface_Engine!$B$12:$B$72,$A491+1)</f>
        <v>709.620442408932</v>
      </c>
      <c r="N492" s="12" t="n">
        <f aca="false">IF(B492&lt;=0,0,MAX(0,(K492+Assumptions!$B$29*L492/INDEX(Surface_Engine!$B$12:$B$72,$A492+1)-(M492/INDEX(Surface_Engine!$B$12:$B$72,$A492+1)-(F492/INDEX(Surface_Engine!$B$12:$B$72,$A492+1))))/B492))</f>
        <v>0</v>
      </c>
    </row>
    <row r="493" customFormat="false" ht="15" hidden="false" customHeight="true" outlineLevel="0" collapsed="false">
      <c r="A493" s="1" t="n">
        <v>44</v>
      </c>
      <c r="B493" s="32" t="n">
        <f aca="false">INDEX(Surface_Engine!$J$12:$J$72,$A493+1)*IF($A493&lt;$Q$447,INDEX(Surface_Engine!$E$12:$E$72,$A493+1),INDEX(Surface_Engine!$E$12:$E$72,$Q$447+1))</f>
        <v>0.012336000733711</v>
      </c>
      <c r="C493" s="32" t="n">
        <f aca="false">INDEX(Panel_Reserving!$C$8:$C$68,$A493+1)*IF($A493&lt;$Q$447,INDEX(Surface_Engine!$E$12:$E$72,$A493+1),INDEX(Surface_Engine!$E$12:$E$72,$Q$447+1))</f>
        <v>0.02992982167322</v>
      </c>
      <c r="D493" s="32" t="n">
        <f aca="false">INDEX(Surface_Engine!$J$12:$J$72,$A493+1)*IF($A493&lt;$Q$447,INDEX(Surface_Engine!$Y$12:$Y$72,$A493+1),INDEX(Surface_Engine!$Y$12:$Y$72,$Q$447+1))</f>
        <v>0.0105744832557546</v>
      </c>
      <c r="E493" s="32" t="n">
        <f aca="false">INDEX(Surface_Engine!$J$12:$J$72,$A493+1)*IF($A493&lt;$Q$447,INDEX(Surface_Engine!$Z$12:$Z$72,$A493+1),INDEX(Surface_Engine!$Z$12:$Z$72,$Q$447+1))</f>
        <v>0.0143741138876524</v>
      </c>
      <c r="F493" s="48" t="n">
        <f aca="false">B493*(IF($A493&lt;$Q$447,INDEX(Surface_Engine!$D$12:$D$72,$A493+1)+(Surface_Engine!Q239*12)*INDEX(Surface_Engine!$F$12:$F$72,$A493+1)-(Surface_Engine!Q239*12),1000*12*INDEX(Surface_Engine!$C$12:$C$72,$A493+1)/(1+Assumptions!$B$10)^27+INDEX(Surface_Engine!$D$12:$D$72,$A493+1)))*INDEX(Surface_Engine!$B$12:$B$72,$A493+1)+F494</f>
        <v>131.351362028598</v>
      </c>
      <c r="G493" s="48" t="n">
        <f aca="false">C493*(IF($A493&lt;$Q$447,INDEX(Surface_Engine!$D$12:$D$72,$A493+1)+(Surface_Engine!Q239*12)*INDEX(Surface_Engine!$F$12:$F$72,$A493+1)-(Surface_Engine!Q239*12),1000*12*INDEX(Surface_Engine!$C$12:$C$72,$A493+1)/(1+Assumptions!$B$10)^27+INDEX(Surface_Engine!$D$12:$D$72,$A493+1)))*INDEX(Surface_Engine!$B$12:$B$72,$A493+1)+G494</f>
        <v>385.240934377598</v>
      </c>
      <c r="H493" s="48" t="n">
        <f aca="false">D493*(IF($A493&lt;$Q$447,INDEX(Surface_Engine!$D$12:$D$72,$A493+1)+(Surface_Engine!Q239*12)*INDEX(Surface_Engine!$F$12:$F$72,$A493+1)-(Surface_Engine!Q239*12),1000*12*INDEX(Surface_Engine!$C$12:$C$72,$A493+1)/(1+Assumptions!$B$10)^27+INDEX(Surface_Engine!$D$12:$D$72,$A493+1)))*INDEX(Surface_Engine!$B$12:$B$72,$A493+1)+H494</f>
        <v>112.595062887462</v>
      </c>
      <c r="I493" s="48" t="n">
        <f aca="false">E493*(IF($A493&lt;$Q$447,INDEX(Surface_Engine!$D$12:$D$72,$A493+1)+(Surface_Engine!Q239*12)*INDEX(Surface_Engine!$F$12:$F$72,$A493+1)-(Surface_Engine!Q239*12),1000*12*INDEX(Surface_Engine!$C$12:$C$72,$A493+1)/(1+Assumptions!$B$10)^27+INDEX(Surface_Engine!$D$12:$D$72,$A493+1)))*INDEX(Surface_Engine!$B$12:$B$72,$A493+1)+I494</f>
        <v>153.052798703048</v>
      </c>
      <c r="J493" s="48" t="n">
        <f aca="false">B493*(IF($A493&lt;$Q$447,INDEX(Surface_Engine!$D$12:$D$72,$A493+1)*(1+Assumptions!$B$24)+(Surface_Engine!Q239*12)*INDEX(Surface_Engine!$F$12:$F$72,$A493+1)-(Surface_Engine!Q239*12),1000*12*INDEX(Surface_Engine!$C$12:$C$72,$A493+1)/(1+Assumptions!$B$10)^27+INDEX(Surface_Engine!$D$12:$D$72,$A493+1)*(1+Assumptions!$B$24)))*INDEX(Surface_Engine!$B$12:$B$72,$A493+1)+J494</f>
        <v>131.539862255109</v>
      </c>
      <c r="K493" s="12" t="n">
        <f aca="false">SQRT((IF(C493&lt;=0,0,MAX(0,(B493/C493)*G493/INDEX(Surface_Engine!$B$12:$B$72,$A493+1)-F493/INDEX(Surface_Engine!$B$12:$B$72,$A493+1))))^2+(MAX(IF(D493&lt;=0,0,MAX(0,(B493/D493)*H493/INDEX(Surface_Engine!$B$12:$B$72,$A493+1)-F493/INDEX(Surface_Engine!$B$12:$B$72,$A493+1))),IF(E493&lt;=0,0,MAX(0,(B493/E493)*I493/INDEX(Surface_Engine!$B$12:$B$72,$A493+1)-F493/INDEX(Surface_Engine!$B$12:$B$72,$A493+1))),IF($A493&lt;$Q$447,MAX(0,-Assumptions!$B$22*(F493/INDEX(Surface_Engine!$B$12:$B$72,$A493+1))),0)))^2+(MAX(0,J493/INDEX(Surface_Engine!$B$12:$B$72,$A493+1)-(F493/INDEX(Surface_Engine!$B$12:$B$72,$A493+1))))^2+2*Assumptions!$B$26*(IF(C493&lt;=0,0,MAX(0,(B493/C493)*G493/INDEX(Surface_Engine!$B$12:$B$72,$A493+1)-F493/INDEX(Surface_Engine!$B$12:$B$72,$A493+1))))*(MAX(IF(D493&lt;=0,0,MAX(0,(B493/D493)*H493/INDEX(Surface_Engine!$B$12:$B$72,$A493+1)-F493/INDEX(Surface_Engine!$B$12:$B$72,$A493+1))),IF(E493&lt;=0,0,MAX(0,(B493/E493)*I493/INDEX(Surface_Engine!$B$12:$B$72,$A493+1)-F493/INDEX(Surface_Engine!$B$12:$B$72,$A493+1))),IF($A493&lt;$Q$447,MAX(0,-Assumptions!$B$22*(F493/INDEX(Surface_Engine!$B$12:$B$72,$A493+1))),0)))+2*Assumptions!$B$27*(IF(C493&lt;=0,0,MAX(0,(B493/C493)*G493/INDEX(Surface_Engine!$B$12:$B$72,$A493+1)-F493/INDEX(Surface_Engine!$B$12:$B$72,$A493+1))))*(MAX(0,J493/INDEX(Surface_Engine!$B$12:$B$72,$A493+1)-(F493/INDEX(Surface_Engine!$B$12:$B$72,$A493+1))))+2*Assumptions!$B$28*(MAX(IF(D493&lt;=0,0,MAX(0,(B493/D493)*H493/INDEX(Surface_Engine!$B$12:$B$72,$A493+1)-F493/INDEX(Surface_Engine!$B$12:$B$72,$A493+1))),IF(E493&lt;=0,0,MAX(0,(B493/E493)*I493/INDEX(Surface_Engine!$B$12:$B$72,$A493+1)-F493/INDEX(Surface_Engine!$B$12:$B$72,$A493+1))),IF($A493&lt;$Q$447,MAX(0,-Assumptions!$B$22*(F493/INDEX(Surface_Engine!$B$12:$B$72,$A493+1))),0)))*(MAX(0,J493/INDEX(Surface_Engine!$B$12:$B$72,$A493+1)-(F493/INDEX(Surface_Engine!$B$12:$B$72,$A493+1)))))</f>
        <v>110.20515966832</v>
      </c>
      <c r="L493" s="48" t="n">
        <f aca="false">K493*INDEX(Surface_Engine!$B$12:$B$72,$A493+1)+L494</f>
        <v>65.8032897282764</v>
      </c>
      <c r="M493" s="48" t="n">
        <f aca="false">M492+B492*(IF($A492&lt;$Q$447,(Surface_Engine!Q239*12)-(Surface_Engine!Q239*12)*INDEX(Surface_Engine!$F$12:$F$72,$A492+1)-INDEX(Surface_Engine!$D$12:$D$72,$A492+1),-(1000*12*INDEX(Surface_Engine!$C$12:$C$72,$A492+1)/(1+Assumptions!$B$10)^27+INDEX(Surface_Engine!$D$12:$D$72,$A492+1))))*INDEX(Surface_Engine!$B$12:$B$72,$A492+1)</f>
        <v>630.120329682045</v>
      </c>
      <c r="N493" s="12" t="n">
        <f aca="false">IF(B493&lt;=0,0,MAX(0,(K493+Assumptions!$B$29*L493/INDEX(Surface_Engine!$B$12:$B$72,$A493+1)-(M493/INDEX(Surface_Engine!$B$12:$B$72,$A493+1)-(F493/INDEX(Surface_Engine!$B$12:$B$72,$A493+1))))/B493))</f>
        <v>0</v>
      </c>
    </row>
    <row r="494" customFormat="false" ht="15" hidden="false" customHeight="true" outlineLevel="0" collapsed="false">
      <c r="A494" s="1" t="n">
        <v>45</v>
      </c>
      <c r="B494" s="32" t="n">
        <f aca="false">INDEX(Surface_Engine!$J$12:$J$72,$A494+1)*IF($A494&lt;$Q$447,INDEX(Surface_Engine!$E$12:$E$72,$A494+1),INDEX(Surface_Engine!$E$12:$E$72,$Q$447+1))</f>
        <v>0.00793278892405667</v>
      </c>
      <c r="C494" s="32" t="n">
        <f aca="false">INDEX(Panel_Reserving!$C$8:$C$68,$A494+1)*IF($A494&lt;$Q$447,INDEX(Surface_Engine!$E$12:$E$72,$A494+1),INDEX(Surface_Engine!$E$12:$E$72,$Q$447+1))</f>
        <v>0.0213833018020121</v>
      </c>
      <c r="D494" s="32" t="n">
        <f aca="false">INDEX(Surface_Engine!$J$12:$J$72,$A494+1)*IF($A494&lt;$Q$447,INDEX(Surface_Engine!$Y$12:$Y$72,$A494+1),INDEX(Surface_Engine!$Y$12:$Y$72,$Q$447+1))</f>
        <v>0.0068000274529522</v>
      </c>
      <c r="E494" s="32" t="n">
        <f aca="false">INDEX(Surface_Engine!$J$12:$J$72,$A494+1)*IF($A494&lt;$Q$447,INDEX(Surface_Engine!$Z$12:$Z$72,$A494+1),INDEX(Surface_Engine!$Z$12:$Z$72,$Q$447+1))</f>
        <v>0.00924341801711257</v>
      </c>
      <c r="F494" s="48" t="n">
        <f aca="false">B494*(IF($A494&lt;$Q$447,INDEX(Surface_Engine!$D$12:$D$72,$A494+1)+(Surface_Engine!Q239*12)*INDEX(Surface_Engine!$F$12:$F$72,$A494+1)-(Surface_Engine!Q239*12),1000*12*INDEX(Surface_Engine!$C$12:$C$72,$A494+1)/(1+Assumptions!$B$10)^27+INDEX(Surface_Engine!$D$12:$D$72,$A494+1)))*INDEX(Surface_Engine!$B$12:$B$72,$A494+1)+F495</f>
        <v>78.9198620766389</v>
      </c>
      <c r="G494" s="48" t="n">
        <f aca="false">C494*(IF($A494&lt;$Q$447,INDEX(Surface_Engine!$D$12:$D$72,$A494+1)+(Surface_Engine!Q239*12)*INDEX(Surface_Engine!$F$12:$F$72,$A494+1)-(Surface_Engine!Q239*12),1000*12*INDEX(Surface_Engine!$C$12:$C$72,$A494+1)/(1+Assumptions!$B$10)^27+INDEX(Surface_Engine!$D$12:$D$72,$A494+1)))*INDEX(Surface_Engine!$B$12:$B$72,$A494+1)+G495</f>
        <v>258.030708187096</v>
      </c>
      <c r="H494" s="48" t="n">
        <f aca="false">D494*(IF($A494&lt;$Q$447,INDEX(Surface_Engine!$D$12:$D$72,$A494+1)+(Surface_Engine!Q239*12)*INDEX(Surface_Engine!$F$12:$F$72,$A494+1)-(Surface_Engine!Q239*12),1000*12*INDEX(Surface_Engine!$C$12:$C$72,$A494+1)/(1+Assumptions!$B$10)^27+INDEX(Surface_Engine!$D$12:$D$72,$A494+1)))*INDEX(Surface_Engine!$B$12:$B$72,$A494+1)+H495</f>
        <v>67.6505115466895</v>
      </c>
      <c r="I494" s="48" t="n">
        <f aca="false">E494*(IF($A494&lt;$Q$447,INDEX(Surface_Engine!$D$12:$D$72,$A494+1)+(Surface_Engine!Q239*12)*INDEX(Surface_Engine!$F$12:$F$72,$A494+1)-(Surface_Engine!Q239*12),1000*12*INDEX(Surface_Engine!$C$12:$C$72,$A494+1)/(1+Assumptions!$B$10)^27+INDEX(Surface_Engine!$D$12:$D$72,$A494+1)))*INDEX(Surface_Engine!$B$12:$B$72,$A494+1)+I495</f>
        <v>91.9587401115669</v>
      </c>
      <c r="J494" s="48" t="n">
        <f aca="false">B494*(IF($A494&lt;$Q$447,INDEX(Surface_Engine!$D$12:$D$72,$A494+1)*(1+Assumptions!$B$24)+(Surface_Engine!Q239*12)*INDEX(Surface_Engine!$F$12:$F$72,$A494+1)-(Surface_Engine!Q239*12),1000*12*INDEX(Surface_Engine!$C$12:$C$72,$A494+1)/(1+Assumptions!$B$10)^27+INDEX(Surface_Engine!$D$12:$D$72,$A494+1)*(1+Assumptions!$B$24)))*INDEX(Surface_Engine!$B$12:$B$72,$A494+1)+J495</f>
        <v>79.0336081150336</v>
      </c>
      <c r="K494" s="12" t="n">
        <f aca="false">SQRT((IF(C494&lt;=0,0,MAX(0,(B494/C494)*G494/INDEX(Surface_Engine!$B$12:$B$72,$A494+1)-F494/INDEX(Surface_Engine!$B$12:$B$72,$A494+1))))^2+(MAX(IF(D494&lt;=0,0,MAX(0,(B494/D494)*H494/INDEX(Surface_Engine!$B$12:$B$72,$A494+1)-F494/INDEX(Surface_Engine!$B$12:$B$72,$A494+1))),IF(E494&lt;=0,0,MAX(0,(B494/E494)*I494/INDEX(Surface_Engine!$B$12:$B$72,$A494+1)-F494/INDEX(Surface_Engine!$B$12:$B$72,$A494+1))),IF($A494&lt;$Q$447,MAX(0,-Assumptions!$B$22*(F494/INDEX(Surface_Engine!$B$12:$B$72,$A494+1))),0)))^2+(MAX(0,J494/INDEX(Surface_Engine!$B$12:$B$72,$A494+1)-(F494/INDEX(Surface_Engine!$B$12:$B$72,$A494+1))))^2+2*Assumptions!$B$26*(IF(C494&lt;=0,0,MAX(0,(B494/C494)*G494/INDEX(Surface_Engine!$B$12:$B$72,$A494+1)-F494/INDEX(Surface_Engine!$B$12:$B$72,$A494+1))))*(MAX(IF(D494&lt;=0,0,MAX(0,(B494/D494)*H494/INDEX(Surface_Engine!$B$12:$B$72,$A494+1)-F494/INDEX(Surface_Engine!$B$12:$B$72,$A494+1))),IF(E494&lt;=0,0,MAX(0,(B494/E494)*I494/INDEX(Surface_Engine!$B$12:$B$72,$A494+1)-F494/INDEX(Surface_Engine!$B$12:$B$72,$A494+1))),IF($A494&lt;$Q$447,MAX(0,-Assumptions!$B$22*(F494/INDEX(Surface_Engine!$B$12:$B$72,$A494+1))),0)))+2*Assumptions!$B$27*(IF(C494&lt;=0,0,MAX(0,(B494/C494)*G494/INDEX(Surface_Engine!$B$12:$B$72,$A494+1)-F494/INDEX(Surface_Engine!$B$12:$B$72,$A494+1))))*(MAX(0,J494/INDEX(Surface_Engine!$B$12:$B$72,$A494+1)-(F494/INDEX(Surface_Engine!$B$12:$B$72,$A494+1))))+2*Assumptions!$B$28*(MAX(IF(D494&lt;=0,0,MAX(0,(B494/D494)*H494/INDEX(Surface_Engine!$B$12:$B$72,$A494+1)-F494/INDEX(Surface_Engine!$B$12:$B$72,$A494+1))),IF(E494&lt;=0,0,MAX(0,(B494/E494)*I494/INDEX(Surface_Engine!$B$12:$B$72,$A494+1)-F494/INDEX(Surface_Engine!$B$12:$B$72,$A494+1))),IF($A494&lt;$Q$447,MAX(0,-Assumptions!$B$22*(F494/INDEX(Surface_Engine!$B$12:$B$72,$A494+1))),0)))*(MAX(0,J494/INDEX(Surface_Engine!$B$12:$B$72,$A494+1)-(F494/INDEX(Surface_Engine!$B$12:$B$72,$A494+1)))))</f>
        <v>69.7364929973948</v>
      </c>
      <c r="L494" s="48" t="n">
        <f aca="false">K494*INDEX(Surface_Engine!$B$12:$B$72,$A494+1)+L495</f>
        <v>38.3244025442688</v>
      </c>
      <c r="M494" s="48" t="n">
        <f aca="false">M493+B493*(IF($A493&lt;$Q$447,(Surface_Engine!Q239*12)-(Surface_Engine!Q239*12)*INDEX(Surface_Engine!$F$12:$F$72,$A493+1)-INDEX(Surface_Engine!$D$12:$D$72,$A493+1),-(1000*12*INDEX(Surface_Engine!$C$12:$C$72,$A493+1)/(1+Assumptions!$B$10)^27+INDEX(Surface_Engine!$D$12:$D$72,$A493+1))))*INDEX(Surface_Engine!$B$12:$B$72,$A493+1)</f>
        <v>577.688829730086</v>
      </c>
      <c r="N494" s="12" t="n">
        <f aca="false">IF(B494&lt;=0,0,MAX(0,(K494+Assumptions!$B$29*L494/INDEX(Surface_Engine!$B$12:$B$72,$A494+1)-(M494/INDEX(Surface_Engine!$B$12:$B$72,$A494+1)-(F494/INDEX(Surface_Engine!$B$12:$B$72,$A494+1))))/B494))</f>
        <v>0</v>
      </c>
    </row>
    <row r="495" customFormat="false" ht="15" hidden="false" customHeight="true" outlineLevel="0" collapsed="false">
      <c r="A495" s="1" t="n">
        <v>46</v>
      </c>
      <c r="B495" s="32" t="n">
        <f aca="false">INDEX(Surface_Engine!$J$12:$J$72,$A495+1)*IF($A495&lt;$Q$447,INDEX(Surface_Engine!$E$12:$E$72,$A495+1),INDEX(Surface_Engine!$E$12:$E$72,$Q$447+1))</f>
        <v>0.00489400744082135</v>
      </c>
      <c r="C495" s="32" t="n">
        <f aca="false">INDEX(Panel_Reserving!$C$8:$C$68,$A495+1)*IF($A495&lt;$Q$447,INDEX(Surface_Engine!$E$12:$E$72,$A495+1),INDEX(Surface_Engine!$E$12:$E$72,$Q$447+1))</f>
        <v>0.0148303296063866</v>
      </c>
      <c r="D495" s="32" t="n">
        <f aca="false">INDEX(Surface_Engine!$J$12:$J$72,$A495+1)*IF($A495&lt;$Q$447,INDEX(Surface_Engine!$Y$12:$Y$72,$A495+1),INDEX(Surface_Engine!$Y$12:$Y$72,$Q$447+1))</f>
        <v>0.00419516834131509</v>
      </c>
      <c r="E495" s="32" t="n">
        <f aca="false">INDEX(Surface_Engine!$J$12:$J$72,$A495+1)*IF($A495&lt;$Q$447,INDEX(Surface_Engine!$Z$12:$Z$72,$A495+1),INDEX(Surface_Engine!$Z$12:$Z$72,$Q$447+1))</f>
        <v>0.00570257912916176</v>
      </c>
      <c r="F495" s="48" t="n">
        <f aca="false">B495*(IF($A495&lt;$Q$447,INDEX(Surface_Engine!$D$12:$D$72,$A495+1)+(Surface_Engine!Q239*12)*INDEX(Surface_Engine!$F$12:$F$72,$A495+1)-(Surface_Engine!Q239*12),1000*12*INDEX(Surface_Engine!$C$12:$C$72,$A495+1)/(1+Assumptions!$B$10)^27+INDEX(Surface_Engine!$D$12:$D$72,$A495+1)))*INDEX(Surface_Engine!$B$12:$B$72,$A495+1)+F496</f>
        <v>45.6242925772072</v>
      </c>
      <c r="G495" s="48" t="n">
        <f aca="false">C495*(IF($A495&lt;$Q$447,INDEX(Surface_Engine!$D$12:$D$72,$A495+1)+(Surface_Engine!Q239*12)*INDEX(Surface_Engine!$F$12:$F$72,$A495+1)-(Surface_Engine!Q239*12),1000*12*INDEX(Surface_Engine!$C$12:$C$72,$A495+1)/(1+Assumptions!$B$10)^27+INDEX(Surface_Engine!$D$12:$D$72,$A495+1)))*INDEX(Surface_Engine!$B$12:$B$72,$A495+1)+G496</f>
        <v>168.280531030973</v>
      </c>
      <c r="H495" s="48" t="n">
        <f aca="false">D495*(IF($A495&lt;$Q$447,INDEX(Surface_Engine!$D$12:$D$72,$A495+1)+(Surface_Engine!Q239*12)*INDEX(Surface_Engine!$F$12:$F$72,$A495+1)-(Surface_Engine!Q239*12),1000*12*INDEX(Surface_Engine!$C$12:$C$72,$A495+1)/(1+Assumptions!$B$10)^27+INDEX(Surface_Engine!$D$12:$D$72,$A495+1)))*INDEX(Surface_Engine!$B$12:$B$72,$A495+1)+H496</f>
        <v>39.1093781791787</v>
      </c>
      <c r="I495" s="48" t="n">
        <f aca="false">E495*(IF($A495&lt;$Q$447,INDEX(Surface_Engine!$D$12:$D$72,$A495+1)+(Surface_Engine!Q239*12)*INDEX(Surface_Engine!$F$12:$F$72,$A495+1)-(Surface_Engine!Q239*12),1000*12*INDEX(Surface_Engine!$C$12:$C$72,$A495+1)/(1+Assumptions!$B$10)^27+INDEX(Surface_Engine!$D$12:$D$72,$A495+1)))*INDEX(Surface_Engine!$B$12:$B$72,$A495+1)+I496</f>
        <v>53.1621869765458</v>
      </c>
      <c r="J495" s="48" t="n">
        <f aca="false">B495*(IF($A495&lt;$Q$447,INDEX(Surface_Engine!$D$12:$D$72,$A495+1)*(1+Assumptions!$B$24)+(Surface_Engine!Q239*12)*INDEX(Surface_Engine!$F$12:$F$72,$A495+1)-(Surface_Engine!Q239*12),1000*12*INDEX(Surface_Engine!$C$12:$C$72,$A495+1)/(1+Assumptions!$B$10)^27+INDEX(Surface_Engine!$D$12:$D$72,$A495+1)*(1+Assumptions!$B$24)))*INDEX(Surface_Engine!$B$12:$B$72,$A495+1)+J496</f>
        <v>45.6903381040444</v>
      </c>
      <c r="K495" s="12" t="n">
        <f aca="false">SQRT((IF(C495&lt;=0,0,MAX(0,(B495/C495)*G495/INDEX(Surface_Engine!$B$12:$B$72,$A495+1)-F495/INDEX(Surface_Engine!$B$12:$B$72,$A495+1))))^2+(MAX(IF(D495&lt;=0,0,MAX(0,(B495/D495)*H495/INDEX(Surface_Engine!$B$12:$B$72,$A495+1)-F495/INDEX(Surface_Engine!$B$12:$B$72,$A495+1))),IF(E495&lt;=0,0,MAX(0,(B495/E495)*I495/INDEX(Surface_Engine!$B$12:$B$72,$A495+1)-F495/INDEX(Surface_Engine!$B$12:$B$72,$A495+1))),IF($A495&lt;$Q$447,MAX(0,-Assumptions!$B$22*(F495/INDEX(Surface_Engine!$B$12:$B$72,$A495+1))),0)))^2+(MAX(0,J495/INDEX(Surface_Engine!$B$12:$B$72,$A495+1)-(F495/INDEX(Surface_Engine!$B$12:$B$72,$A495+1))))^2+2*Assumptions!$B$26*(IF(C495&lt;=0,0,MAX(0,(B495/C495)*G495/INDEX(Surface_Engine!$B$12:$B$72,$A495+1)-F495/INDEX(Surface_Engine!$B$12:$B$72,$A495+1))))*(MAX(IF(D495&lt;=0,0,MAX(0,(B495/D495)*H495/INDEX(Surface_Engine!$B$12:$B$72,$A495+1)-F495/INDEX(Surface_Engine!$B$12:$B$72,$A495+1))),IF(E495&lt;=0,0,MAX(0,(B495/E495)*I495/INDEX(Surface_Engine!$B$12:$B$72,$A495+1)-F495/INDEX(Surface_Engine!$B$12:$B$72,$A495+1))),IF($A495&lt;$Q$447,MAX(0,-Assumptions!$B$22*(F495/INDEX(Surface_Engine!$B$12:$B$72,$A495+1))),0)))+2*Assumptions!$B$27*(IF(C495&lt;=0,0,MAX(0,(B495/C495)*G495/INDEX(Surface_Engine!$B$12:$B$72,$A495+1)-F495/INDEX(Surface_Engine!$B$12:$B$72,$A495+1))))*(MAX(0,J495/INDEX(Surface_Engine!$B$12:$B$72,$A495+1)-(F495/INDEX(Surface_Engine!$B$12:$B$72,$A495+1))))+2*Assumptions!$B$28*(MAX(IF(D495&lt;=0,0,MAX(0,(B495/D495)*H495/INDEX(Surface_Engine!$B$12:$B$72,$A495+1)-F495/INDEX(Surface_Engine!$B$12:$B$72,$A495+1))),IF(E495&lt;=0,0,MAX(0,(B495/E495)*I495/INDEX(Surface_Engine!$B$12:$B$72,$A495+1)-F495/INDEX(Surface_Engine!$B$12:$B$72,$A495+1))),IF($A495&lt;$Q$447,MAX(0,-Assumptions!$B$22*(F495/INDEX(Surface_Engine!$B$12:$B$72,$A495+1))),0)))*(MAX(0,J495/INDEX(Surface_Engine!$B$12:$B$72,$A495+1)-(F495/INDEX(Surface_Engine!$B$12:$B$72,$A495+1)))))</f>
        <v>42.4552740354795</v>
      </c>
      <c r="L495" s="48" t="n">
        <f aca="false">K495*INDEX(Surface_Engine!$B$12:$B$72,$A495+1)+L496</f>
        <v>21.4910954643556</v>
      </c>
      <c r="M495" s="48" t="n">
        <f aca="false">M494+B494*(IF($A494&lt;$Q$447,(Surface_Engine!Q239*12)-(Surface_Engine!Q239*12)*INDEX(Surface_Engine!$F$12:$F$72,$A494+1)-INDEX(Surface_Engine!$D$12:$D$72,$A494+1),-(1000*12*INDEX(Surface_Engine!$C$12:$C$72,$A494+1)/(1+Assumptions!$B$10)^27+INDEX(Surface_Engine!$D$12:$D$72,$A494+1))))*INDEX(Surface_Engine!$B$12:$B$72,$A494+1)</f>
        <v>544.393260230655</v>
      </c>
      <c r="N495" s="12" t="n">
        <f aca="false">IF(B495&lt;=0,0,MAX(0,(K495+Assumptions!$B$29*L495/INDEX(Surface_Engine!$B$12:$B$72,$A495+1)-(M495/INDEX(Surface_Engine!$B$12:$B$72,$A495+1)-(F495/INDEX(Surface_Engine!$B$12:$B$72,$A495+1))))/B495))</f>
        <v>0</v>
      </c>
    </row>
    <row r="496" customFormat="false" ht="15" hidden="false" customHeight="true" outlineLevel="0" collapsed="false">
      <c r="A496" s="1" t="n">
        <v>47</v>
      </c>
      <c r="B496" s="32" t="n">
        <f aca="false">INDEX(Surface_Engine!$J$12:$J$72,$A496+1)*IF($A496&lt;$Q$447,INDEX(Surface_Engine!$E$12:$E$72,$A496+1),INDEX(Surface_Engine!$E$12:$E$72,$Q$447+1))</f>
        <v>0.00288297409534681</v>
      </c>
      <c r="C496" s="32" t="n">
        <f aca="false">INDEX(Panel_Reserving!$C$8:$C$68,$A496+1)*IF($A496&lt;$Q$447,INDEX(Surface_Engine!$E$12:$E$72,$A496+1),INDEX(Surface_Engine!$E$12:$E$72,$Q$447+1))</f>
        <v>0.00995509592953444</v>
      </c>
      <c r="D496" s="32" t="n">
        <f aca="false">INDEX(Surface_Engine!$J$12:$J$72,$A496+1)*IF($A496&lt;$Q$447,INDEX(Surface_Engine!$Y$12:$Y$72,$A496+1),INDEX(Surface_Engine!$Y$12:$Y$72,$Q$447+1))</f>
        <v>0.00247130021763936</v>
      </c>
      <c r="E496" s="32" t="n">
        <f aca="false">INDEX(Surface_Engine!$J$12:$J$72,$A496+1)*IF($A496&lt;$Q$447,INDEX(Surface_Engine!$Z$12:$Z$72,$A496+1),INDEX(Surface_Engine!$Z$12:$Z$72,$Q$447+1))</f>
        <v>0.00335928951985401</v>
      </c>
      <c r="F496" s="48" t="n">
        <f aca="false">B496*(IF($A496&lt;$Q$447,INDEX(Surface_Engine!$D$12:$D$72,$A496+1)+(Surface_Engine!Q239*12)*INDEX(Surface_Engine!$F$12:$F$72,$A496+1)-(Surface_Engine!Q239*12),1000*12*INDEX(Surface_Engine!$C$12:$C$72,$A496+1)/(1+Assumptions!$B$10)^27+INDEX(Surface_Engine!$D$12:$D$72,$A496+1)))*INDEX(Surface_Engine!$B$12:$B$72,$A496+1)+F497</f>
        <v>25.3313647371165</v>
      </c>
      <c r="G496" s="48" t="n">
        <f aca="false">C496*(IF($A496&lt;$Q$447,INDEX(Surface_Engine!$D$12:$D$72,$A496+1)+(Surface_Engine!Q239*12)*INDEX(Surface_Engine!$F$12:$F$72,$A496+1)-(Surface_Engine!Q239*12),1000*12*INDEX(Surface_Engine!$C$12:$C$72,$A496+1)/(1+Assumptions!$B$10)^27+INDEX(Surface_Engine!$D$12:$D$72,$A496+1)))*INDEX(Surface_Engine!$B$12:$B$72,$A496+1)+G497</f>
        <v>106.786793600803</v>
      </c>
      <c r="H496" s="48" t="n">
        <f aca="false">D496*(IF($A496&lt;$Q$447,INDEX(Surface_Engine!$D$12:$D$72,$A496+1)+(Surface_Engine!Q239*12)*INDEX(Surface_Engine!$F$12:$F$72,$A496+1)-(Surface_Engine!Q239*12),1000*12*INDEX(Surface_Engine!$C$12:$C$72,$A496+1)/(1+Assumptions!$B$10)^27+INDEX(Surface_Engine!$D$12:$D$72,$A496+1)))*INDEX(Surface_Engine!$B$12:$B$72,$A496+1)+H497</f>
        <v>21.7141760964756</v>
      </c>
      <c r="I496" s="48" t="n">
        <f aca="false">E496*(IF($A496&lt;$Q$447,INDEX(Surface_Engine!$D$12:$D$72,$A496+1)+(Surface_Engine!Q239*12)*INDEX(Surface_Engine!$F$12:$F$72,$A496+1)-(Surface_Engine!Q239*12),1000*12*INDEX(Surface_Engine!$C$12:$C$72,$A496+1)/(1+Assumptions!$B$10)^27+INDEX(Surface_Engine!$D$12:$D$72,$A496+1)))*INDEX(Surface_Engine!$B$12:$B$72,$A496+1)+I497</f>
        <v>29.5165288589797</v>
      </c>
      <c r="J496" s="48" t="n">
        <f aca="false">B496*(IF($A496&lt;$Q$447,INDEX(Surface_Engine!$D$12:$D$72,$A496+1)*(1+Assumptions!$B$24)+(Surface_Engine!Q239*12)*INDEX(Surface_Engine!$F$12:$F$72,$A496+1)-(Surface_Engine!Q239*12),1000*12*INDEX(Surface_Engine!$C$12:$C$72,$A496+1)/(1+Assumptions!$B$10)^27+INDEX(Surface_Engine!$D$12:$D$72,$A496+1)*(1+Assumptions!$B$24)))*INDEX(Surface_Engine!$B$12:$B$72,$A496+1)+J497</f>
        <v>25.3681973758383</v>
      </c>
      <c r="K496" s="12" t="n">
        <f aca="false">SQRT((IF(C496&lt;=0,0,MAX(0,(B496/C496)*G496/INDEX(Surface_Engine!$B$12:$B$72,$A496+1)-F496/INDEX(Surface_Engine!$B$12:$B$72,$A496+1))))^2+(MAX(IF(D496&lt;=0,0,MAX(0,(B496/D496)*H496/INDEX(Surface_Engine!$B$12:$B$72,$A496+1)-F496/INDEX(Surface_Engine!$B$12:$B$72,$A496+1))),IF(E496&lt;=0,0,MAX(0,(B496/E496)*I496/INDEX(Surface_Engine!$B$12:$B$72,$A496+1)-F496/INDEX(Surface_Engine!$B$12:$B$72,$A496+1))),IF($A496&lt;$Q$447,MAX(0,-Assumptions!$B$22*(F496/INDEX(Surface_Engine!$B$12:$B$72,$A496+1))),0)))^2+(MAX(0,J496/INDEX(Surface_Engine!$B$12:$B$72,$A496+1)-(F496/INDEX(Surface_Engine!$B$12:$B$72,$A496+1))))^2+2*Assumptions!$B$26*(IF(C496&lt;=0,0,MAX(0,(B496/C496)*G496/INDEX(Surface_Engine!$B$12:$B$72,$A496+1)-F496/INDEX(Surface_Engine!$B$12:$B$72,$A496+1))))*(MAX(IF(D496&lt;=0,0,MAX(0,(B496/D496)*H496/INDEX(Surface_Engine!$B$12:$B$72,$A496+1)-F496/INDEX(Surface_Engine!$B$12:$B$72,$A496+1))),IF(E496&lt;=0,0,MAX(0,(B496/E496)*I496/INDEX(Surface_Engine!$B$12:$B$72,$A496+1)-F496/INDEX(Surface_Engine!$B$12:$B$72,$A496+1))),IF($A496&lt;$Q$447,MAX(0,-Assumptions!$B$22*(F496/INDEX(Surface_Engine!$B$12:$B$72,$A496+1))),0)))+2*Assumptions!$B$27*(IF(C496&lt;=0,0,MAX(0,(B496/C496)*G496/INDEX(Surface_Engine!$B$12:$B$72,$A496+1)-F496/INDEX(Surface_Engine!$B$12:$B$72,$A496+1))))*(MAX(0,J496/INDEX(Surface_Engine!$B$12:$B$72,$A496+1)-(F496/INDEX(Surface_Engine!$B$12:$B$72,$A496+1))))+2*Assumptions!$B$28*(MAX(IF(D496&lt;=0,0,MAX(0,(B496/D496)*H496/INDEX(Surface_Engine!$B$12:$B$72,$A496+1)-F496/INDEX(Surface_Engine!$B$12:$B$72,$A496+1))),IF(E496&lt;=0,0,MAX(0,(B496/E496)*I496/INDEX(Surface_Engine!$B$12:$B$72,$A496+1)-F496/INDEX(Surface_Engine!$B$12:$B$72,$A496+1))),IF($A496&lt;$Q$447,MAX(0,-Assumptions!$B$22*(F496/INDEX(Surface_Engine!$B$12:$B$72,$A496+1))),0)))*(MAX(0,J496/INDEX(Surface_Engine!$B$12:$B$72,$A496+1)-(F496/INDEX(Surface_Engine!$B$12:$B$72,$A496+1)))))</f>
        <v>24.748899394816</v>
      </c>
      <c r="L496" s="48" t="n">
        <f aca="false">K496*INDEX(Surface_Engine!$B$12:$B$72,$A496+1)+L497</f>
        <v>11.5661104862608</v>
      </c>
      <c r="M496" s="48" t="n">
        <f aca="false">M495+B495*(IF($A495&lt;$Q$447,(Surface_Engine!Q239*12)-(Surface_Engine!Q239*12)*INDEX(Surface_Engine!$F$12:$F$72,$A495+1)-INDEX(Surface_Engine!$D$12:$D$72,$A495+1),-(1000*12*INDEX(Surface_Engine!$C$12:$C$72,$A495+1)/(1+Assumptions!$B$10)^27+INDEX(Surface_Engine!$D$12:$D$72,$A495+1))))*INDEX(Surface_Engine!$B$12:$B$72,$A495+1)</f>
        <v>524.100332390564</v>
      </c>
      <c r="N496" s="12" t="n">
        <f aca="false">IF(B496&lt;=0,0,MAX(0,(K496+Assumptions!$B$29*L496/INDEX(Surface_Engine!$B$12:$B$72,$A496+1)-(M496/INDEX(Surface_Engine!$B$12:$B$72,$A496+1)-(F496/INDEX(Surface_Engine!$B$12:$B$72,$A496+1))))/B496))</f>
        <v>0</v>
      </c>
    </row>
    <row r="497" customFormat="false" ht="15" hidden="false" customHeight="true" outlineLevel="0" collapsed="false">
      <c r="A497" s="1" t="n">
        <v>48</v>
      </c>
      <c r="B497" s="32" t="n">
        <f aca="false">INDEX(Surface_Engine!$J$12:$J$72,$A497+1)*IF($A497&lt;$Q$447,INDEX(Surface_Engine!$E$12:$E$72,$A497+1),INDEX(Surface_Engine!$E$12:$E$72,$Q$447+1))</f>
        <v>0.00161276193880656</v>
      </c>
      <c r="C497" s="32" t="n">
        <f aca="false">INDEX(Panel_Reserving!$C$8:$C$68,$A497+1)*IF($A497&lt;$Q$447,INDEX(Surface_Engine!$E$12:$E$72,$A497+1),INDEX(Surface_Engine!$E$12:$E$72,$Q$447+1))</f>
        <v>0.00644619617504035</v>
      </c>
      <c r="D497" s="32" t="n">
        <f aca="false">INDEX(Surface_Engine!$J$12:$J$72,$A497+1)*IF($A497&lt;$Q$447,INDEX(Surface_Engine!$Y$12:$Y$72,$A497+1),INDEX(Surface_Engine!$Y$12:$Y$72,$Q$447+1))</f>
        <v>0.0013824678261265</v>
      </c>
      <c r="E497" s="32" t="n">
        <f aca="false">INDEX(Surface_Engine!$J$12:$J$72,$A497+1)*IF($A497&lt;$Q$447,INDEX(Surface_Engine!$Z$12:$Z$72,$A497+1),INDEX(Surface_Engine!$Z$12:$Z$72,$Q$447+1))</f>
        <v>0.00187921712088799</v>
      </c>
      <c r="F497" s="48" t="n">
        <f aca="false">B497*(IF($A497&lt;$Q$447,INDEX(Surface_Engine!$D$12:$D$72,$A497+1)+(Surface_Engine!Q239*12)*INDEX(Surface_Engine!$F$12:$F$72,$A497+1)-(Surface_Engine!Q239*12),1000*12*INDEX(Surface_Engine!$C$12:$C$72,$A497+1)/(1+Assumptions!$B$10)^27+INDEX(Surface_Engine!$D$12:$D$72,$A497+1)))*INDEX(Surface_Engine!$B$12:$B$72,$A497+1)+F498</f>
        <v>13.5218488116866</v>
      </c>
      <c r="G497" s="48" t="n">
        <f aca="false">C497*(IF($A497&lt;$Q$447,INDEX(Surface_Engine!$D$12:$D$72,$A497+1)+(Surface_Engine!Q239*12)*INDEX(Surface_Engine!$F$12:$F$72,$A497+1)-(Surface_Engine!Q239*12),1000*12*INDEX(Surface_Engine!$C$12:$C$72,$A497+1)/(1+Assumptions!$B$10)^27+INDEX(Surface_Engine!$D$12:$D$72,$A497+1)))*INDEX(Surface_Engine!$B$12:$B$72,$A497+1)+G498</f>
        <v>66.0077716495578</v>
      </c>
      <c r="H497" s="48" t="n">
        <f aca="false">D497*(IF($A497&lt;$Q$447,INDEX(Surface_Engine!$D$12:$D$72,$A497+1)+(Surface_Engine!Q239*12)*INDEX(Surface_Engine!$F$12:$F$72,$A497+1)-(Surface_Engine!Q239*12),1000*12*INDEX(Surface_Engine!$C$12:$C$72,$A497+1)/(1+Assumptions!$B$10)^27+INDEX(Surface_Engine!$D$12:$D$72,$A497+1)))*INDEX(Surface_Engine!$B$12:$B$72,$A497+1)+H498</f>
        <v>11.5909983253553</v>
      </c>
      <c r="I497" s="48" t="n">
        <f aca="false">E497*(IF($A497&lt;$Q$447,INDEX(Surface_Engine!$D$12:$D$72,$A497+1)+(Surface_Engine!Q239*12)*INDEX(Surface_Engine!$F$12:$F$72,$A497+1)-(Surface_Engine!Q239*12),1000*12*INDEX(Surface_Engine!$C$12:$C$72,$A497+1)/(1+Assumptions!$B$10)^27+INDEX(Surface_Engine!$D$12:$D$72,$A497+1)))*INDEX(Surface_Engine!$B$12:$B$72,$A497+1)+I498</f>
        <v>15.7558838546153</v>
      </c>
      <c r="J497" s="48" t="n">
        <f aca="false">B497*(IF($A497&lt;$Q$447,INDEX(Surface_Engine!$D$12:$D$72,$A497+1)*(1+Assumptions!$B$24)+(Surface_Engine!Q239*12)*INDEX(Surface_Engine!$F$12:$F$72,$A497+1)-(Surface_Engine!Q239*12),1000*12*INDEX(Surface_Engine!$C$12:$C$72,$A497+1)/(1+Assumptions!$B$10)^27+INDEX(Surface_Engine!$D$12:$D$72,$A497+1)*(1+Assumptions!$B$24)))*INDEX(Surface_Engine!$B$12:$B$72,$A497+1)+J498</f>
        <v>13.5415988127757</v>
      </c>
      <c r="K497" s="12" t="n">
        <f aca="false">SQRT((IF(C497&lt;=0,0,MAX(0,(B497/C497)*G497/INDEX(Surface_Engine!$B$12:$B$72,$A497+1)-F497/INDEX(Surface_Engine!$B$12:$B$72,$A497+1))))^2+(MAX(IF(D497&lt;=0,0,MAX(0,(B497/D497)*H497/INDEX(Surface_Engine!$B$12:$B$72,$A497+1)-F497/INDEX(Surface_Engine!$B$12:$B$72,$A497+1))),IF(E497&lt;=0,0,MAX(0,(B497/E497)*I497/INDEX(Surface_Engine!$B$12:$B$72,$A497+1)-F497/INDEX(Surface_Engine!$B$12:$B$72,$A497+1))),IF($A497&lt;$Q$447,MAX(0,-Assumptions!$B$22*(F497/INDEX(Surface_Engine!$B$12:$B$72,$A497+1))),0)))^2+(MAX(0,J497/INDEX(Surface_Engine!$B$12:$B$72,$A497+1)-(F497/INDEX(Surface_Engine!$B$12:$B$72,$A497+1))))^2+2*Assumptions!$B$26*(IF(C497&lt;=0,0,MAX(0,(B497/C497)*G497/INDEX(Surface_Engine!$B$12:$B$72,$A497+1)-F497/INDEX(Surface_Engine!$B$12:$B$72,$A497+1))))*(MAX(IF(D497&lt;=0,0,MAX(0,(B497/D497)*H497/INDEX(Surface_Engine!$B$12:$B$72,$A497+1)-F497/INDEX(Surface_Engine!$B$12:$B$72,$A497+1))),IF(E497&lt;=0,0,MAX(0,(B497/E497)*I497/INDEX(Surface_Engine!$B$12:$B$72,$A497+1)-F497/INDEX(Surface_Engine!$B$12:$B$72,$A497+1))),IF($A497&lt;$Q$447,MAX(0,-Assumptions!$B$22*(F497/INDEX(Surface_Engine!$B$12:$B$72,$A497+1))),0)))+2*Assumptions!$B$27*(IF(C497&lt;=0,0,MAX(0,(B497/C497)*G497/INDEX(Surface_Engine!$B$12:$B$72,$A497+1)-F497/INDEX(Surface_Engine!$B$12:$B$72,$A497+1))))*(MAX(0,J497/INDEX(Surface_Engine!$B$12:$B$72,$A497+1)-(F497/INDEX(Surface_Engine!$B$12:$B$72,$A497+1))))+2*Assumptions!$B$28*(MAX(IF(D497&lt;=0,0,MAX(0,(B497/D497)*H497/INDEX(Surface_Engine!$B$12:$B$72,$A497+1)-F497/INDEX(Surface_Engine!$B$12:$B$72,$A497+1))),IF(E497&lt;=0,0,MAX(0,(B497/E497)*I497/INDEX(Surface_Engine!$B$12:$B$72,$A497+1)-F497/INDEX(Surface_Engine!$B$12:$B$72,$A497+1))),IF($A497&lt;$Q$447,MAX(0,-Assumptions!$B$22*(F497/INDEX(Surface_Engine!$B$12:$B$72,$A497+1))),0)))*(MAX(0,J497/INDEX(Surface_Engine!$B$12:$B$72,$A497+1)-(F497/INDEX(Surface_Engine!$B$12:$B$72,$A497+1)))))</f>
        <v>13.6776743739336</v>
      </c>
      <c r="L497" s="48" t="n">
        <f aca="false">K497*INDEX(Surface_Engine!$B$12:$B$72,$A497+1)+L498</f>
        <v>5.96293076264946</v>
      </c>
      <c r="M497" s="48" t="n">
        <f aca="false">M496+B496*(IF($A496&lt;$Q$447,(Surface_Engine!Q239*12)-(Surface_Engine!Q239*12)*INDEX(Surface_Engine!$F$12:$F$72,$A496+1)-INDEX(Surface_Engine!$D$12:$D$72,$A496+1),-(1000*12*INDEX(Surface_Engine!$C$12:$C$72,$A496+1)/(1+Assumptions!$B$10)^27+INDEX(Surface_Engine!$D$12:$D$72,$A496+1))))*INDEX(Surface_Engine!$B$12:$B$72,$A496+1)</f>
        <v>512.290816465134</v>
      </c>
      <c r="N497" s="12" t="n">
        <f aca="false">IF(B497&lt;=0,0,MAX(0,(K497+Assumptions!$B$29*L497/INDEX(Surface_Engine!$B$12:$B$72,$A497+1)-(M497/INDEX(Surface_Engine!$B$12:$B$72,$A497+1)-(F497/INDEX(Surface_Engine!$B$12:$B$72,$A497+1))))/B497))</f>
        <v>0</v>
      </c>
    </row>
    <row r="498" customFormat="false" ht="15" hidden="false" customHeight="true" outlineLevel="0" collapsed="false">
      <c r="A498" s="1" t="n">
        <v>49</v>
      </c>
      <c r="B498" s="32" t="n">
        <f aca="false">INDEX(Surface_Engine!$J$12:$J$72,$A498+1)*IF($A498&lt;$Q$447,INDEX(Surface_Engine!$E$12:$E$72,$A498+1),INDEX(Surface_Engine!$E$12:$E$72,$Q$447+1))</f>
        <v>0.000873732909498438</v>
      </c>
      <c r="C498" s="32" t="n">
        <f aca="false">INDEX(Panel_Reserving!$C$8:$C$68,$A498+1)*IF($A498&lt;$Q$447,INDEX(Surface_Engine!$E$12:$E$72,$A498+1),INDEX(Surface_Engine!$E$12:$E$72,$Q$447+1))</f>
        <v>0.0040830818245144</v>
      </c>
      <c r="D498" s="32" t="n">
        <f aca="false">INDEX(Surface_Engine!$J$12:$J$72,$A498+1)*IF($A498&lt;$Q$447,INDEX(Surface_Engine!$Y$12:$Y$72,$A498+1),INDEX(Surface_Engine!$Y$12:$Y$72,$Q$447+1))</f>
        <v>0.000748968342409754</v>
      </c>
      <c r="E498" s="32" t="n">
        <f aca="false">INDEX(Surface_Engine!$J$12:$J$72,$A498+1)*IF($A498&lt;$Q$447,INDEX(Surface_Engine!$Z$12:$Z$72,$A498+1),INDEX(Surface_Engine!$Z$12:$Z$72,$Q$447+1))</f>
        <v>0.00101808816484581</v>
      </c>
      <c r="F498" s="48" t="n">
        <f aca="false">B498*(IF($A498&lt;$Q$447,INDEX(Surface_Engine!$D$12:$D$72,$A498+1)+(Surface_Engine!Q239*12)*INDEX(Surface_Engine!$F$12:$F$72,$A498+1)-(Surface_Engine!Q239*12),1000*12*INDEX(Surface_Engine!$C$12:$C$72,$A498+1)/(1+Assumptions!$B$10)^27+INDEX(Surface_Engine!$D$12:$D$72,$A498+1)))*INDEX(Surface_Engine!$B$12:$B$72,$A498+1)+F499</f>
        <v>6.99861938515505</v>
      </c>
      <c r="G498" s="48" t="n">
        <f aca="false">C498*(IF($A498&lt;$Q$447,INDEX(Surface_Engine!$D$12:$D$72,$A498+1)+(Surface_Engine!Q239*12)*INDEX(Surface_Engine!$F$12:$F$72,$A498+1)-(Surface_Engine!Q239*12),1000*12*INDEX(Surface_Engine!$C$12:$C$72,$A498+1)/(1+Assumptions!$B$10)^27+INDEX(Surface_Engine!$D$12:$D$72,$A498+1)))*INDEX(Surface_Engine!$B$12:$B$72,$A498+1)+G499</f>
        <v>39.9344774041995</v>
      </c>
      <c r="H498" s="48" t="n">
        <f aca="false">D498*(IF($A498&lt;$Q$447,INDEX(Surface_Engine!$D$12:$D$72,$A498+1)+(Surface_Engine!Q239*12)*INDEX(Surface_Engine!$F$12:$F$72,$A498+1)-(Surface_Engine!Q239*12),1000*12*INDEX(Surface_Engine!$C$12:$C$72,$A498+1)/(1+Assumptions!$B$10)^27+INDEX(Surface_Engine!$D$12:$D$72,$A498+1)))*INDEX(Surface_Engine!$B$12:$B$72,$A498+1)+H499</f>
        <v>5.99925252107689</v>
      </c>
      <c r="I498" s="48" t="n">
        <f aca="false">E498*(IF($A498&lt;$Q$447,INDEX(Surface_Engine!$D$12:$D$72,$A498+1)+(Surface_Engine!Q239*12)*INDEX(Surface_Engine!$F$12:$F$72,$A498+1)-(Surface_Engine!Q239*12),1000*12*INDEX(Surface_Engine!$C$12:$C$72,$A498+1)/(1+Assumptions!$B$10)^27+INDEX(Surface_Engine!$D$12:$D$72,$A498+1)))*INDEX(Surface_Engine!$B$12:$B$72,$A498+1)+I499</f>
        <v>8.15490808326888</v>
      </c>
      <c r="J498" s="48" t="n">
        <f aca="false">B498*(IF($A498&lt;$Q$447,INDEX(Surface_Engine!$D$12:$D$72,$A498+1)*(1+Assumptions!$B$24)+(Surface_Engine!Q239*12)*INDEX(Surface_Engine!$F$12:$F$72,$A498+1)-(Surface_Engine!Q239*12),1000*12*INDEX(Surface_Engine!$C$12:$C$72,$A498+1)/(1+Assumptions!$B$10)^27+INDEX(Surface_Engine!$D$12:$D$72,$A498+1)*(1+Assumptions!$B$24)))*INDEX(Surface_Engine!$B$12:$B$72,$A498+1)+J499</f>
        <v>7.0088878570743</v>
      </c>
      <c r="K498" s="12" t="n">
        <f aca="false">SQRT((IF(C498&lt;=0,0,MAX(0,(B498/C498)*G498/INDEX(Surface_Engine!$B$12:$B$72,$A498+1)-F498/INDEX(Surface_Engine!$B$12:$B$72,$A498+1))))^2+(MAX(IF(D498&lt;=0,0,MAX(0,(B498/D498)*H498/INDEX(Surface_Engine!$B$12:$B$72,$A498+1)-F498/INDEX(Surface_Engine!$B$12:$B$72,$A498+1))),IF(E498&lt;=0,0,MAX(0,(B498/E498)*I498/INDEX(Surface_Engine!$B$12:$B$72,$A498+1)-F498/INDEX(Surface_Engine!$B$12:$B$72,$A498+1))),IF($A498&lt;$Q$447,MAX(0,-Assumptions!$B$22*(F498/INDEX(Surface_Engine!$B$12:$B$72,$A498+1))),0)))^2+(MAX(0,J498/INDEX(Surface_Engine!$B$12:$B$72,$A498+1)-(F498/INDEX(Surface_Engine!$B$12:$B$72,$A498+1))))^2+2*Assumptions!$B$26*(IF(C498&lt;=0,0,MAX(0,(B498/C498)*G498/INDEX(Surface_Engine!$B$12:$B$72,$A498+1)-F498/INDEX(Surface_Engine!$B$12:$B$72,$A498+1))))*(MAX(IF(D498&lt;=0,0,MAX(0,(B498/D498)*H498/INDEX(Surface_Engine!$B$12:$B$72,$A498+1)-F498/INDEX(Surface_Engine!$B$12:$B$72,$A498+1))),IF(E498&lt;=0,0,MAX(0,(B498/E498)*I498/INDEX(Surface_Engine!$B$12:$B$72,$A498+1)-F498/INDEX(Surface_Engine!$B$12:$B$72,$A498+1))),IF($A498&lt;$Q$447,MAX(0,-Assumptions!$B$22*(F498/INDEX(Surface_Engine!$B$12:$B$72,$A498+1))),0)))+2*Assumptions!$B$27*(IF(C498&lt;=0,0,MAX(0,(B498/C498)*G498/INDEX(Surface_Engine!$B$12:$B$72,$A498+1)-F498/INDEX(Surface_Engine!$B$12:$B$72,$A498+1))))*(MAX(0,J498/INDEX(Surface_Engine!$B$12:$B$72,$A498+1)-(F498/INDEX(Surface_Engine!$B$12:$B$72,$A498+1))))+2*Assumptions!$B$28*(MAX(IF(D498&lt;=0,0,MAX(0,(B498/D498)*H498/INDEX(Surface_Engine!$B$12:$B$72,$A498+1)-F498/INDEX(Surface_Engine!$B$12:$B$72,$A498+1))),IF(E498&lt;=0,0,MAX(0,(B498/E498)*I498/INDEX(Surface_Engine!$B$12:$B$72,$A498+1)-F498/INDEX(Surface_Engine!$B$12:$B$72,$A498+1))),IF($A498&lt;$Q$447,MAX(0,-Assumptions!$B$22*(F498/INDEX(Surface_Engine!$B$12:$B$72,$A498+1))),0)))*(MAX(0,J498/INDEX(Surface_Engine!$B$12:$B$72,$A498+1)-(F498/INDEX(Surface_Engine!$B$12:$B$72,$A498+1)))))</f>
        <v>7.30102771593211</v>
      </c>
      <c r="L498" s="48" t="n">
        <f aca="false">K498*INDEX(Surface_Engine!$B$12:$B$72,$A498+1)+L499</f>
        <v>2.96541835823661</v>
      </c>
      <c r="M498" s="48" t="n">
        <f aca="false">M497+B497*(IF($A497&lt;$Q$447,(Surface_Engine!Q239*12)-(Surface_Engine!Q239*12)*INDEX(Surface_Engine!$F$12:$F$72,$A497+1)-INDEX(Surface_Engine!$D$12:$D$72,$A497+1),-(1000*12*INDEX(Surface_Engine!$C$12:$C$72,$A497+1)/(1+Assumptions!$B$10)^27+INDEX(Surface_Engine!$D$12:$D$72,$A497+1))))*INDEX(Surface_Engine!$B$12:$B$72,$A497+1)</f>
        <v>505.767587038602</v>
      </c>
      <c r="N498" s="12" t="n">
        <f aca="false">IF(B498&lt;=0,0,MAX(0,(K498+Assumptions!$B$29*L498/INDEX(Surface_Engine!$B$12:$B$72,$A498+1)-(M498/INDEX(Surface_Engine!$B$12:$B$72,$A498+1)-(F498/INDEX(Surface_Engine!$B$12:$B$72,$A498+1))))/B498))</f>
        <v>0</v>
      </c>
    </row>
    <row r="499" customFormat="false" ht="15" hidden="false" customHeight="true" outlineLevel="0" collapsed="false">
      <c r="A499" s="1" t="n">
        <v>50</v>
      </c>
      <c r="B499" s="32" t="n">
        <f aca="false">INDEX(Surface_Engine!$J$12:$J$72,$A499+1)*IF($A499&lt;$Q$447,INDEX(Surface_Engine!$E$12:$E$72,$A499+1),INDEX(Surface_Engine!$E$12:$E$72,$Q$447+1))</f>
        <v>0.000457998928582456</v>
      </c>
      <c r="C499" s="32" t="n">
        <f aca="false">INDEX(Panel_Reserving!$C$8:$C$68,$A499+1)*IF($A499&lt;$Q$447,INDEX(Surface_Engine!$E$12:$E$72,$A499+1),INDEX(Surface_Engine!$E$12:$E$72,$Q$447+1))</f>
        <v>0.00252885321038518</v>
      </c>
      <c r="D499" s="32" t="n">
        <f aca="false">INDEX(Surface_Engine!$J$12:$J$72,$A499+1)*IF($A499&lt;$Q$447,INDEX(Surface_Engine!$Y$12:$Y$72,$A499+1),INDEX(Surface_Engine!$Y$12:$Y$72,$Q$447+1))</f>
        <v>0.000392599036429517</v>
      </c>
      <c r="E499" s="32" t="n">
        <f aca="false">INDEX(Surface_Engine!$J$12:$J$72,$A499+1)*IF($A499&lt;$Q$447,INDEX(Surface_Engine!$Z$12:$Z$72,$A499+1),INDEX(Surface_Engine!$Z$12:$Z$72,$Q$447+1))</f>
        <v>0.000533667993539959</v>
      </c>
      <c r="F499" s="48" t="n">
        <f aca="false">B499*(IF($A499&lt;$Q$447,INDEX(Surface_Engine!$D$12:$D$72,$A499+1)+(Surface_Engine!Q239*12)*INDEX(Surface_Engine!$F$12:$F$72,$A499+1)-(Surface_Engine!Q239*12),1000*12*INDEX(Surface_Engine!$C$12:$C$72,$A499+1)/(1+Assumptions!$B$10)^27+INDEX(Surface_Engine!$D$12:$D$72,$A499+1)))*INDEX(Surface_Engine!$B$12:$B$72,$A499+1)+F500</f>
        <v>3.50752479897465</v>
      </c>
      <c r="G499" s="48" t="n">
        <f aca="false">C499*(IF($A499&lt;$Q$447,INDEX(Surface_Engine!$D$12:$D$72,$A499+1)+(Surface_Engine!Q239*12)*INDEX(Surface_Engine!$F$12:$F$72,$A499+1)-(Surface_Engine!Q239*12),1000*12*INDEX(Surface_Engine!$C$12:$C$72,$A499+1)/(1+Assumptions!$B$10)^27+INDEX(Surface_Engine!$D$12:$D$72,$A499+1)))*INDEX(Surface_Engine!$B$12:$B$72,$A499+1)+G500</f>
        <v>23.6200812111151</v>
      </c>
      <c r="H499" s="48" t="n">
        <f aca="false">D499*(IF($A499&lt;$Q$447,INDEX(Surface_Engine!$D$12:$D$72,$A499+1)+(Surface_Engine!Q239*12)*INDEX(Surface_Engine!$F$12:$F$72,$A499+1)-(Surface_Engine!Q239*12),1000*12*INDEX(Surface_Engine!$C$12:$C$72,$A499+1)/(1+Assumptions!$B$10)^27+INDEX(Surface_Engine!$D$12:$D$72,$A499+1)))*INDEX(Surface_Engine!$B$12:$B$72,$A499+1)+H500</f>
        <v>3.00666829198088</v>
      </c>
      <c r="I499" s="48" t="n">
        <f aca="false">E499*(IF($A499&lt;$Q$447,INDEX(Surface_Engine!$D$12:$D$72,$A499+1)+(Surface_Engine!Q239*12)*INDEX(Surface_Engine!$F$12:$F$72,$A499+1)-(Surface_Engine!Q239*12),1000*12*INDEX(Surface_Engine!$C$12:$C$72,$A499+1)/(1+Assumptions!$B$10)^27+INDEX(Surface_Engine!$D$12:$D$72,$A499+1)))*INDEX(Surface_Engine!$B$12:$B$72,$A499+1)+I500</f>
        <v>4.08702642068179</v>
      </c>
      <c r="J499" s="48" t="n">
        <f aca="false">B499*(IF($A499&lt;$Q$447,INDEX(Surface_Engine!$D$12:$D$72,$A499+1)*(1+Assumptions!$B$24)+(Surface_Engine!Q239*12)*INDEX(Surface_Engine!$F$12:$F$72,$A499+1)-(Surface_Engine!Q239*12),1000*12*INDEX(Surface_Engine!$C$12:$C$72,$A499+1)/(1+Assumptions!$B$10)^27+INDEX(Surface_Engine!$D$12:$D$72,$A499+1)*(1+Assumptions!$B$24)))*INDEX(Surface_Engine!$B$12:$B$72,$A499+1)+J500</f>
        <v>3.51269444598206</v>
      </c>
      <c r="K499" s="12" t="n">
        <f aca="false">SQRT((IF(C499&lt;=0,0,MAX(0,(B499/C499)*G499/INDEX(Surface_Engine!$B$12:$B$72,$A499+1)-F499/INDEX(Surface_Engine!$B$12:$B$72,$A499+1))))^2+(MAX(IF(D499&lt;=0,0,MAX(0,(B499/D499)*H499/INDEX(Surface_Engine!$B$12:$B$72,$A499+1)-F499/INDEX(Surface_Engine!$B$12:$B$72,$A499+1))),IF(E499&lt;=0,0,MAX(0,(B499/E499)*I499/INDEX(Surface_Engine!$B$12:$B$72,$A499+1)-F499/INDEX(Surface_Engine!$B$12:$B$72,$A499+1))),IF($A499&lt;$Q$447,MAX(0,-Assumptions!$B$22*(F499/INDEX(Surface_Engine!$B$12:$B$72,$A499+1))),0)))^2+(MAX(0,J499/INDEX(Surface_Engine!$B$12:$B$72,$A499+1)-(F499/INDEX(Surface_Engine!$B$12:$B$72,$A499+1))))^2+2*Assumptions!$B$26*(IF(C499&lt;=0,0,MAX(0,(B499/C499)*G499/INDEX(Surface_Engine!$B$12:$B$72,$A499+1)-F499/INDEX(Surface_Engine!$B$12:$B$72,$A499+1))))*(MAX(IF(D499&lt;=0,0,MAX(0,(B499/D499)*H499/INDEX(Surface_Engine!$B$12:$B$72,$A499+1)-F499/INDEX(Surface_Engine!$B$12:$B$72,$A499+1))),IF(E499&lt;=0,0,MAX(0,(B499/E499)*I499/INDEX(Surface_Engine!$B$12:$B$72,$A499+1)-F499/INDEX(Surface_Engine!$B$12:$B$72,$A499+1))),IF($A499&lt;$Q$447,MAX(0,-Assumptions!$B$22*(F499/INDEX(Surface_Engine!$B$12:$B$72,$A499+1))),0)))+2*Assumptions!$B$27*(IF(C499&lt;=0,0,MAX(0,(B499/C499)*G499/INDEX(Surface_Engine!$B$12:$B$72,$A499+1)-F499/INDEX(Surface_Engine!$B$12:$B$72,$A499+1))))*(MAX(0,J499/INDEX(Surface_Engine!$B$12:$B$72,$A499+1)-(F499/INDEX(Surface_Engine!$B$12:$B$72,$A499+1))))+2*Assumptions!$B$28*(MAX(IF(D499&lt;=0,0,MAX(0,(B499/D499)*H499/INDEX(Surface_Engine!$B$12:$B$72,$A499+1)-F499/INDEX(Surface_Engine!$B$12:$B$72,$A499+1))),IF(E499&lt;=0,0,MAX(0,(B499/E499)*I499/INDEX(Surface_Engine!$B$12:$B$72,$A499+1)-F499/INDEX(Surface_Engine!$B$12:$B$72,$A499+1))),IF($A499&lt;$Q$447,MAX(0,-Assumptions!$B$22*(F499/INDEX(Surface_Engine!$B$12:$B$72,$A499+1))),0)))*(MAX(0,J499/INDEX(Surface_Engine!$B$12:$B$72,$A499+1)-(F499/INDEX(Surface_Engine!$B$12:$B$72,$A499+1)))))</f>
        <v>3.75615984163217</v>
      </c>
      <c r="L499" s="48" t="n">
        <f aca="false">K499*INDEX(Surface_Engine!$B$12:$B$72,$A499+1)+L500</f>
        <v>1.41591634215872</v>
      </c>
      <c r="M499" s="48" t="n">
        <f aca="false">M498+B498*(IF($A498&lt;$Q$447,(Surface_Engine!Q239*12)-(Surface_Engine!Q239*12)*INDEX(Surface_Engine!$F$12:$F$72,$A498+1)-INDEX(Surface_Engine!$D$12:$D$72,$A498+1),-(1000*12*INDEX(Surface_Engine!$C$12:$C$72,$A498+1)/(1+Assumptions!$B$10)^27+INDEX(Surface_Engine!$D$12:$D$72,$A498+1))))*INDEX(Surface_Engine!$B$12:$B$72,$A498+1)</f>
        <v>502.276492452422</v>
      </c>
      <c r="N499" s="12" t="n">
        <f aca="false">IF(B499&lt;=0,0,MAX(0,(K499+Assumptions!$B$29*L499/INDEX(Surface_Engine!$B$12:$B$72,$A499+1)-(M499/INDEX(Surface_Engine!$B$12:$B$72,$A499+1)-(F499/INDEX(Surface_Engine!$B$12:$B$72,$A499+1))))/B499))</f>
        <v>0</v>
      </c>
    </row>
    <row r="500" customFormat="false" ht="15" hidden="false" customHeight="true" outlineLevel="0" collapsed="false">
      <c r="A500" s="1" t="n">
        <v>51</v>
      </c>
      <c r="B500" s="32" t="n">
        <f aca="false">INDEX(Surface_Engine!$J$12:$J$72,$A500+1)*IF($A500&lt;$Q$447,INDEX(Surface_Engine!$E$12:$E$72,$A500+1),INDEX(Surface_Engine!$E$12:$E$72,$Q$447+1))</f>
        <v>0.000232084996115628</v>
      </c>
      <c r="C500" s="32" t="n">
        <f aca="false">INDEX(Panel_Reserving!$C$8:$C$68,$A500+1)*IF($A500&lt;$Q$447,INDEX(Surface_Engine!$E$12:$E$72,$A500+1),INDEX(Surface_Engine!$E$12:$E$72,$Q$447+1))</f>
        <v>0.00153094140276116</v>
      </c>
      <c r="D500" s="32" t="n">
        <f aca="false">INDEX(Surface_Engine!$J$12:$J$72,$A500+1)*IF($A500&lt;$Q$447,INDEX(Surface_Engine!$Y$12:$Y$72,$A500+1),INDEX(Surface_Engine!$Y$12:$Y$72,$Q$447+1))</f>
        <v>0.000198944451959214</v>
      </c>
      <c r="E500" s="32" t="n">
        <f aca="false">INDEX(Surface_Engine!$J$12:$J$72,$A500+1)*IF($A500&lt;$Q$447,INDEX(Surface_Engine!$Z$12:$Z$72,$A500+1),INDEX(Surface_Engine!$Z$12:$Z$72,$Q$447+1))</f>
        <v>0.000270429309935509</v>
      </c>
      <c r="F500" s="48" t="n">
        <f aca="false">B500*(IF($A500&lt;$Q$447,INDEX(Surface_Engine!$D$12:$D$72,$A500+1)+(Surface_Engine!Q239*12)*INDEX(Surface_Engine!$F$12:$F$72,$A500+1)-(Surface_Engine!Q239*12),1000*12*INDEX(Surface_Engine!$C$12:$C$72,$A500+1)/(1+Assumptions!$B$10)^27+INDEX(Surface_Engine!$D$12:$D$72,$A500+1)))*INDEX(Surface_Engine!$B$12:$B$72,$A500+1)+F501</f>
        <v>1.70068656772449</v>
      </c>
      <c r="G500" s="48" t="n">
        <f aca="false">C500*(IF($A500&lt;$Q$447,INDEX(Surface_Engine!$D$12:$D$72,$A500+1)+(Surface_Engine!Q239*12)*INDEX(Surface_Engine!$F$12:$F$72,$A500+1)-(Surface_Engine!Q239*12),1000*12*INDEX(Surface_Engine!$C$12:$C$72,$A500+1)/(1+Assumptions!$B$10)^27+INDEX(Surface_Engine!$D$12:$D$72,$A500+1)))*INDEX(Surface_Engine!$B$12:$B$72,$A500+1)+G501</f>
        <v>13.6435760784813</v>
      </c>
      <c r="H500" s="48" t="n">
        <f aca="false">D500*(IF($A500&lt;$Q$447,INDEX(Surface_Engine!$D$12:$D$72,$A500+1)+(Surface_Engine!Q239*12)*INDEX(Surface_Engine!$F$12:$F$72,$A500+1)-(Surface_Engine!Q239*12),1000*12*INDEX(Surface_Engine!$C$12:$C$72,$A500+1)/(1+Assumptions!$B$10)^27+INDEX(Surface_Engine!$D$12:$D$72,$A500+1)))*INDEX(Surface_Engine!$B$12:$B$72,$A500+1)+H501</f>
        <v>1.45783727010848</v>
      </c>
      <c r="I500" s="48" t="n">
        <f aca="false">E500*(IF($A500&lt;$Q$447,INDEX(Surface_Engine!$D$12:$D$72,$A500+1)+(Surface_Engine!Q239*12)*INDEX(Surface_Engine!$F$12:$F$72,$A500+1)-(Surface_Engine!Q239*12),1000*12*INDEX(Surface_Engine!$C$12:$C$72,$A500+1)/(1+Assumptions!$B$10)^27+INDEX(Surface_Engine!$D$12:$D$72,$A500+1)))*INDEX(Surface_Engine!$B$12:$B$72,$A500+1)+I501</f>
        <v>1.98166836557236</v>
      </c>
      <c r="J500" s="48" t="n">
        <f aca="false">B500*(IF($A500&lt;$Q$447,INDEX(Surface_Engine!$D$12:$D$72,$A500+1)*(1+Assumptions!$B$24)+(Surface_Engine!Q239*12)*INDEX(Surface_Engine!$F$12:$F$72,$A500+1)-(Surface_Engine!Q239*12),1000*12*INDEX(Surface_Engine!$C$12:$C$72,$A500+1)/(1+Assumptions!$B$10)^27+INDEX(Surface_Engine!$D$12:$D$72,$A500+1)*(1+Assumptions!$B$24)))*INDEX(Surface_Engine!$B$12:$B$72,$A500+1)+J501</f>
        <v>1.70320453935087</v>
      </c>
      <c r="K500" s="12" t="n">
        <f aca="false">SQRT((IF(C500&lt;=0,0,MAX(0,(B500/C500)*G500/INDEX(Surface_Engine!$B$12:$B$72,$A500+1)-F500/INDEX(Surface_Engine!$B$12:$B$72,$A500+1))))^2+(MAX(IF(D500&lt;=0,0,MAX(0,(B500/D500)*H500/INDEX(Surface_Engine!$B$12:$B$72,$A500+1)-F500/INDEX(Surface_Engine!$B$12:$B$72,$A500+1))),IF(E500&lt;=0,0,MAX(0,(B500/E500)*I500/INDEX(Surface_Engine!$B$12:$B$72,$A500+1)-F500/INDEX(Surface_Engine!$B$12:$B$72,$A500+1))),IF($A500&lt;$Q$447,MAX(0,-Assumptions!$B$22*(F500/INDEX(Surface_Engine!$B$12:$B$72,$A500+1))),0)))^2+(MAX(0,J500/INDEX(Surface_Engine!$B$12:$B$72,$A500+1)-(F500/INDEX(Surface_Engine!$B$12:$B$72,$A500+1))))^2+2*Assumptions!$B$26*(IF(C500&lt;=0,0,MAX(0,(B500/C500)*G500/INDEX(Surface_Engine!$B$12:$B$72,$A500+1)-F500/INDEX(Surface_Engine!$B$12:$B$72,$A500+1))))*(MAX(IF(D500&lt;=0,0,MAX(0,(B500/D500)*H500/INDEX(Surface_Engine!$B$12:$B$72,$A500+1)-F500/INDEX(Surface_Engine!$B$12:$B$72,$A500+1))),IF(E500&lt;=0,0,MAX(0,(B500/E500)*I500/INDEX(Surface_Engine!$B$12:$B$72,$A500+1)-F500/INDEX(Surface_Engine!$B$12:$B$72,$A500+1))),IF($A500&lt;$Q$447,MAX(0,-Assumptions!$B$22*(F500/INDEX(Surface_Engine!$B$12:$B$72,$A500+1))),0)))+2*Assumptions!$B$27*(IF(C500&lt;=0,0,MAX(0,(B500/C500)*G500/INDEX(Surface_Engine!$B$12:$B$72,$A500+1)-F500/INDEX(Surface_Engine!$B$12:$B$72,$A500+1))))*(MAX(0,J500/INDEX(Surface_Engine!$B$12:$B$72,$A500+1)-(F500/INDEX(Surface_Engine!$B$12:$B$72,$A500+1))))+2*Assumptions!$B$28*(MAX(IF(D500&lt;=0,0,MAX(0,(B500/D500)*H500/INDEX(Surface_Engine!$B$12:$B$72,$A500+1)-F500/INDEX(Surface_Engine!$B$12:$B$72,$A500+1))),IF(E500&lt;=0,0,MAX(0,(B500/E500)*I500/INDEX(Surface_Engine!$B$12:$B$72,$A500+1)-F500/INDEX(Surface_Engine!$B$12:$B$72,$A500+1))),IF($A500&lt;$Q$447,MAX(0,-Assumptions!$B$22*(F500/INDEX(Surface_Engine!$B$12:$B$72,$A500+1))),0)))*(MAX(0,J500/INDEX(Surface_Engine!$B$12:$B$72,$A500+1)-(F500/INDEX(Surface_Engine!$B$12:$B$72,$A500+1)))))</f>
        <v>1.85129078459668</v>
      </c>
      <c r="L500" s="48" t="n">
        <f aca="false">K500*INDEX(Surface_Engine!$B$12:$B$72,$A500+1)+L501</f>
        <v>0.644315242900733</v>
      </c>
      <c r="M500" s="48" t="n">
        <f aca="false">M499+B499*(IF($A499&lt;$Q$447,(Surface_Engine!Q239*12)-(Surface_Engine!Q239*12)*INDEX(Surface_Engine!$F$12:$F$72,$A499+1)-INDEX(Surface_Engine!$D$12:$D$72,$A499+1),-(1000*12*INDEX(Surface_Engine!$C$12:$C$72,$A499+1)/(1+Assumptions!$B$10)^27+INDEX(Surface_Engine!$D$12:$D$72,$A499+1))))*INDEX(Surface_Engine!$B$12:$B$72,$A499+1)</f>
        <v>500.469654221172</v>
      </c>
      <c r="N500" s="12" t="n">
        <f aca="false">IF(B500&lt;=0,0,MAX(0,(K500+Assumptions!$B$29*L500/INDEX(Surface_Engine!$B$12:$B$72,$A500+1)-(M500/INDEX(Surface_Engine!$B$12:$B$72,$A500+1)-(F500/INDEX(Surface_Engine!$B$12:$B$72,$A500+1))))/B500))</f>
        <v>0</v>
      </c>
    </row>
    <row r="501" customFormat="false" ht="15" hidden="false" customHeight="true" outlineLevel="0" collapsed="false">
      <c r="A501" s="1" t="n">
        <v>52</v>
      </c>
      <c r="B501" s="32" t="n">
        <f aca="false">INDEX(Surface_Engine!$J$12:$J$72,$A501+1)*IF($A501&lt;$Q$447,INDEX(Surface_Engine!$E$12:$E$72,$A501+1),INDEX(Surface_Engine!$E$12:$E$72,$Q$447+1))</f>
        <v>0.000113597567286944</v>
      </c>
      <c r="C501" s="32" t="n">
        <f aca="false">INDEX(Panel_Reserving!$C$8:$C$68,$A501+1)*IF($A501&lt;$Q$447,INDEX(Surface_Engine!$E$12:$E$72,$A501+1),INDEX(Surface_Engine!$E$12:$E$72,$Q$447+1))</f>
        <v>0.000905662514296786</v>
      </c>
      <c r="D501" s="32" t="n">
        <f aca="false">INDEX(Surface_Engine!$J$12:$J$72,$A501+1)*IF($A501&lt;$Q$447,INDEX(Surface_Engine!$Y$12:$Y$72,$A501+1),INDEX(Surface_Engine!$Y$12:$Y$72,$Q$447+1))</f>
        <v>9.73764187519543E-005</v>
      </c>
      <c r="E501" s="32" t="n">
        <f aca="false">INDEX(Surface_Engine!$J$12:$J$72,$A501+1)*IF($A501&lt;$Q$447,INDEX(Surface_Engine!$Z$12:$Z$72,$A501+1),INDEX(Surface_Engine!$Z$12:$Z$72,$Q$447+1))</f>
        <v>0.000132365780838567</v>
      </c>
      <c r="F501" s="48" t="n">
        <f aca="false">B501*(IF($A501&lt;$Q$447,INDEX(Surface_Engine!$D$12:$D$72,$A501+1)+(Surface_Engine!Q239*12)*INDEX(Surface_Engine!$F$12:$F$72,$A501+1)-(Surface_Engine!Q239*12),1000*12*INDEX(Surface_Engine!$C$12:$C$72,$A501+1)/(1+Assumptions!$B$10)^27+INDEX(Surface_Engine!$D$12:$D$72,$A501+1)))*INDEX(Surface_Engine!$B$12:$B$72,$A501+1)+F502</f>
        <v>0.796263406551179</v>
      </c>
      <c r="G501" s="48" t="n">
        <f aca="false">C501*(IF($A501&lt;$Q$447,INDEX(Surface_Engine!$D$12:$D$72,$A501+1)+(Surface_Engine!Q239*12)*INDEX(Surface_Engine!$F$12:$F$72,$A501+1)-(Surface_Engine!Q239*12),1000*12*INDEX(Surface_Engine!$C$12:$C$72,$A501+1)/(1+Assumptions!$B$10)^27+INDEX(Surface_Engine!$D$12:$D$72,$A501+1)))*INDEX(Surface_Engine!$B$12:$B$72,$A501+1)+G502</f>
        <v>7.67757704265174</v>
      </c>
      <c r="H501" s="48" t="n">
        <f aca="false">D501*(IF($A501&lt;$Q$447,INDEX(Surface_Engine!$D$12:$D$72,$A501+1)+(Surface_Engine!Q239*12)*INDEX(Surface_Engine!$F$12:$F$72,$A501+1)-(Surface_Engine!Q239*12),1000*12*INDEX(Surface_Engine!$C$12:$C$72,$A501+1)/(1+Assumptions!$B$10)^27+INDEX(Surface_Engine!$D$12:$D$72,$A501+1)))*INDEX(Surface_Engine!$B$12:$B$72,$A501+1)+H502</f>
        <v>0.68256108616594</v>
      </c>
      <c r="I501" s="48" t="n">
        <f aca="false">E501*(IF($A501&lt;$Q$447,INDEX(Surface_Engine!$D$12:$D$72,$A501+1)+(Surface_Engine!Q239*12)*INDEX(Surface_Engine!$F$12:$F$72,$A501+1)-(Surface_Engine!Q239*12),1000*12*INDEX(Surface_Engine!$C$12:$C$72,$A501+1)/(1+Assumptions!$B$10)^27+INDEX(Surface_Engine!$D$12:$D$72,$A501+1)))*INDEX(Surface_Engine!$B$12:$B$72,$A501+1)+I502</f>
        <v>0.927819407391814</v>
      </c>
      <c r="J501" s="48" t="n">
        <f aca="false">B501*(IF($A501&lt;$Q$447,INDEX(Surface_Engine!$D$12:$D$72,$A501+1)*(1+Assumptions!$B$24)+(Surface_Engine!Q239*12)*INDEX(Surface_Engine!$F$12:$F$72,$A501+1)-(Surface_Engine!Q239*12),1000*12*INDEX(Surface_Engine!$C$12:$C$72,$A501+1)/(1+Assumptions!$B$10)^27+INDEX(Surface_Engine!$D$12:$D$72,$A501+1)*(1+Assumptions!$B$24)))*INDEX(Surface_Engine!$B$12:$B$72,$A501+1)+J502</f>
        <v>0.797447656492818</v>
      </c>
      <c r="K501" s="12" t="n">
        <f aca="false">SQRT((IF(C501&lt;=0,0,MAX(0,(B501/C501)*G501/INDEX(Surface_Engine!$B$12:$B$72,$A501+1)-F501/INDEX(Surface_Engine!$B$12:$B$72,$A501+1))))^2+(MAX(IF(D501&lt;=0,0,MAX(0,(B501/D501)*H501/INDEX(Surface_Engine!$B$12:$B$72,$A501+1)-F501/INDEX(Surface_Engine!$B$12:$B$72,$A501+1))),IF(E501&lt;=0,0,MAX(0,(B501/E501)*I501/INDEX(Surface_Engine!$B$12:$B$72,$A501+1)-F501/INDEX(Surface_Engine!$B$12:$B$72,$A501+1))),IF($A501&lt;$Q$447,MAX(0,-Assumptions!$B$22*(F501/INDEX(Surface_Engine!$B$12:$B$72,$A501+1))),0)))^2+(MAX(0,J501/INDEX(Surface_Engine!$B$12:$B$72,$A501+1)-(F501/INDEX(Surface_Engine!$B$12:$B$72,$A501+1))))^2+2*Assumptions!$B$26*(IF(C501&lt;=0,0,MAX(0,(B501/C501)*G501/INDEX(Surface_Engine!$B$12:$B$72,$A501+1)-F501/INDEX(Surface_Engine!$B$12:$B$72,$A501+1))))*(MAX(IF(D501&lt;=0,0,MAX(0,(B501/D501)*H501/INDEX(Surface_Engine!$B$12:$B$72,$A501+1)-F501/INDEX(Surface_Engine!$B$12:$B$72,$A501+1))),IF(E501&lt;=0,0,MAX(0,(B501/E501)*I501/INDEX(Surface_Engine!$B$12:$B$72,$A501+1)-F501/INDEX(Surface_Engine!$B$12:$B$72,$A501+1))),IF($A501&lt;$Q$447,MAX(0,-Assumptions!$B$22*(F501/INDEX(Surface_Engine!$B$12:$B$72,$A501+1))),0)))+2*Assumptions!$B$27*(IF(C501&lt;=0,0,MAX(0,(B501/C501)*G501/INDEX(Surface_Engine!$B$12:$B$72,$A501+1)-F501/INDEX(Surface_Engine!$B$12:$B$72,$A501+1))))*(MAX(0,J501/INDEX(Surface_Engine!$B$12:$B$72,$A501+1)-(F501/INDEX(Surface_Engine!$B$12:$B$72,$A501+1))))+2*Assumptions!$B$28*(MAX(IF(D501&lt;=0,0,MAX(0,(B501/D501)*H501/INDEX(Surface_Engine!$B$12:$B$72,$A501+1)-F501/INDEX(Surface_Engine!$B$12:$B$72,$A501+1))),IF(E501&lt;=0,0,MAX(0,(B501/E501)*I501/INDEX(Surface_Engine!$B$12:$B$72,$A501+1)-F501/INDEX(Surface_Engine!$B$12:$B$72,$A501+1))),IF($A501&lt;$Q$447,MAX(0,-Assumptions!$B$22*(F501/INDEX(Surface_Engine!$B$12:$B$72,$A501+1))),0)))*(MAX(0,J501/INDEX(Surface_Engine!$B$12:$B$72,$A501+1)-(F501/INDEX(Surface_Engine!$B$12:$B$72,$A501+1)))))</f>
        <v>0.867156665790834</v>
      </c>
      <c r="L501" s="48" t="n">
        <f aca="false">K501*INDEX(Surface_Engine!$B$12:$B$72,$A501+1)+L502</f>
        <v>0.276049094820844</v>
      </c>
      <c r="M501" s="48" t="n">
        <f aca="false">M500+B500*(IF($A500&lt;$Q$447,(Surface_Engine!Q239*12)-(Surface_Engine!Q239*12)*INDEX(Surface_Engine!$F$12:$F$72,$A500+1)-INDEX(Surface_Engine!$D$12:$D$72,$A500+1),-(1000*12*INDEX(Surface_Engine!$C$12:$C$72,$A500+1)/(1+Assumptions!$B$10)^27+INDEX(Surface_Engine!$D$12:$D$72,$A500+1))))*INDEX(Surface_Engine!$B$12:$B$72,$A500+1)</f>
        <v>499.565231059999</v>
      </c>
      <c r="N501" s="12" t="n">
        <f aca="false">IF(B501&lt;=0,0,MAX(0,(K501+Assumptions!$B$29*L501/INDEX(Surface_Engine!$B$12:$B$72,$A501+1)-(M501/INDEX(Surface_Engine!$B$12:$B$72,$A501+1)-(F501/INDEX(Surface_Engine!$B$12:$B$72,$A501+1))))/B501))</f>
        <v>0</v>
      </c>
    </row>
    <row r="502" customFormat="false" ht="15" hidden="false" customHeight="true" outlineLevel="0" collapsed="false">
      <c r="A502" s="1" t="n">
        <v>53</v>
      </c>
      <c r="B502" s="32" t="n">
        <f aca="false">INDEX(Surface_Engine!$J$12:$J$72,$A502+1)*IF($A502&lt;$Q$447,INDEX(Surface_Engine!$E$12:$E$72,$A502+1),INDEX(Surface_Engine!$E$12:$E$72,$Q$447+1))</f>
        <v>5.36658136388453E-005</v>
      </c>
      <c r="C502" s="32" t="n">
        <f aca="false">INDEX(Panel_Reserving!$C$8:$C$68,$A502+1)*IF($A502&lt;$Q$447,INDEX(Surface_Engine!$E$12:$E$72,$A502+1),INDEX(Surface_Engine!$E$12:$E$72,$Q$447+1))</f>
        <v>0.000523415295512261</v>
      </c>
      <c r="D502" s="32" t="n">
        <f aca="false">INDEX(Surface_Engine!$J$12:$J$72,$A502+1)*IF($A502&lt;$Q$447,INDEX(Surface_Engine!$Y$12:$Y$72,$A502+1),INDEX(Surface_Engine!$Y$12:$Y$72,$Q$447+1))</f>
        <v>4.60026113795231E-005</v>
      </c>
      <c r="E502" s="32" t="n">
        <f aca="false">INDEX(Surface_Engine!$J$12:$J$72,$A502+1)*IF($A502&lt;$Q$447,INDEX(Surface_Engine!$Z$12:$Z$72,$A502+1),INDEX(Surface_Engine!$Z$12:$Z$72,$Q$447+1))</f>
        <v>6.25323014946218E-005</v>
      </c>
      <c r="F502" s="48" t="n">
        <f aca="false">B502*(IF($A502&lt;$Q$447,INDEX(Surface_Engine!$D$12:$D$72,$A502+1)+(Surface_Engine!Q239*12)*INDEX(Surface_Engine!$F$12:$F$72,$A502+1)-(Surface_Engine!Q239*12),1000*12*INDEX(Surface_Engine!$C$12:$C$72,$A502+1)/(1+Assumptions!$B$10)^27+INDEX(Surface_Engine!$D$12:$D$72,$A502+1)))*INDEX(Surface_Engine!$B$12:$B$72,$A502+1)+F503</f>
        <v>0.35898787071181</v>
      </c>
      <c r="G502" s="48" t="n">
        <f aca="false">C502*(IF($A502&lt;$Q$447,INDEX(Surface_Engine!$D$12:$D$72,$A502+1)+(Surface_Engine!Q239*12)*INDEX(Surface_Engine!$F$12:$F$72,$A502+1)-(Surface_Engine!Q239*12),1000*12*INDEX(Surface_Engine!$C$12:$C$72,$A502+1)/(1+Assumptions!$B$10)^27+INDEX(Surface_Engine!$D$12:$D$72,$A502+1)))*INDEX(Surface_Engine!$B$12:$B$72,$A502+1)+G503</f>
        <v>4.19137508703757</v>
      </c>
      <c r="H502" s="48" t="n">
        <f aca="false">D502*(IF($A502&lt;$Q$447,INDEX(Surface_Engine!$D$12:$D$72,$A502+1)+(Surface_Engine!Q239*12)*INDEX(Surface_Engine!$F$12:$F$72,$A502+1)-(Surface_Engine!Q239*12),1000*12*INDEX(Surface_Engine!$C$12:$C$72,$A502+1)/(1+Assumptions!$B$10)^27+INDEX(Surface_Engine!$D$12:$D$72,$A502+1)))*INDEX(Surface_Engine!$B$12:$B$72,$A502+1)+H503</f>
        <v>0.307726248547254</v>
      </c>
      <c r="I502" s="48" t="n">
        <f aca="false">E502*(IF($A502&lt;$Q$447,INDEX(Surface_Engine!$D$12:$D$72,$A502+1)+(Surface_Engine!Q239*12)*INDEX(Surface_Engine!$F$12:$F$72,$A502+1)-(Surface_Engine!Q239*12),1000*12*INDEX(Surface_Engine!$C$12:$C$72,$A502+1)/(1+Assumptions!$B$10)^27+INDEX(Surface_Engine!$D$12:$D$72,$A502+1)))*INDEX(Surface_Engine!$B$12:$B$72,$A502+1)+I503</f>
        <v>0.418298656856929</v>
      </c>
      <c r="J502" s="48" t="n">
        <f aca="false">B502*(IF($A502&lt;$Q$447,INDEX(Surface_Engine!$D$12:$D$72,$A502+1)*(1+Assumptions!$B$24)+(Surface_Engine!Q239*12)*INDEX(Surface_Engine!$F$12:$F$72,$A502+1)-(Surface_Engine!Q239*12),1000*12*INDEX(Surface_Engine!$C$12:$C$72,$A502+1)/(1+Assumptions!$B$10)^27+INDEX(Surface_Engine!$D$12:$D$72,$A502+1)*(1+Assumptions!$B$24)))*INDEX(Surface_Engine!$B$12:$B$72,$A502+1)+J503</f>
        <v>0.359524171363754</v>
      </c>
      <c r="K502" s="12" t="n">
        <f aca="false">SQRT((IF(C502&lt;=0,0,MAX(0,(B502/C502)*G502/INDEX(Surface_Engine!$B$12:$B$72,$A502+1)-F502/INDEX(Surface_Engine!$B$12:$B$72,$A502+1))))^2+(MAX(IF(D502&lt;=0,0,MAX(0,(B502/D502)*H502/INDEX(Surface_Engine!$B$12:$B$72,$A502+1)-F502/INDEX(Surface_Engine!$B$12:$B$72,$A502+1))),IF(E502&lt;=0,0,MAX(0,(B502/E502)*I502/INDEX(Surface_Engine!$B$12:$B$72,$A502+1)-F502/INDEX(Surface_Engine!$B$12:$B$72,$A502+1))),IF($A502&lt;$Q$447,MAX(0,-Assumptions!$B$22*(F502/INDEX(Surface_Engine!$B$12:$B$72,$A502+1))),0)))^2+(MAX(0,J502/INDEX(Surface_Engine!$B$12:$B$72,$A502+1)-(F502/INDEX(Surface_Engine!$B$12:$B$72,$A502+1))))^2+2*Assumptions!$B$26*(IF(C502&lt;=0,0,MAX(0,(B502/C502)*G502/INDEX(Surface_Engine!$B$12:$B$72,$A502+1)-F502/INDEX(Surface_Engine!$B$12:$B$72,$A502+1))))*(MAX(IF(D502&lt;=0,0,MAX(0,(B502/D502)*H502/INDEX(Surface_Engine!$B$12:$B$72,$A502+1)-F502/INDEX(Surface_Engine!$B$12:$B$72,$A502+1))),IF(E502&lt;=0,0,MAX(0,(B502/E502)*I502/INDEX(Surface_Engine!$B$12:$B$72,$A502+1)-F502/INDEX(Surface_Engine!$B$12:$B$72,$A502+1))),IF($A502&lt;$Q$447,MAX(0,-Assumptions!$B$22*(F502/INDEX(Surface_Engine!$B$12:$B$72,$A502+1))),0)))+2*Assumptions!$B$27*(IF(C502&lt;=0,0,MAX(0,(B502/C502)*G502/INDEX(Surface_Engine!$B$12:$B$72,$A502+1)-F502/INDEX(Surface_Engine!$B$12:$B$72,$A502+1))))*(MAX(0,J502/INDEX(Surface_Engine!$B$12:$B$72,$A502+1)-(F502/INDEX(Surface_Engine!$B$12:$B$72,$A502+1))))+2*Assumptions!$B$28*(MAX(IF(D502&lt;=0,0,MAX(0,(B502/D502)*H502/INDEX(Surface_Engine!$B$12:$B$72,$A502+1)-F502/INDEX(Surface_Engine!$B$12:$B$72,$A502+1))),IF(E502&lt;=0,0,MAX(0,(B502/E502)*I502/INDEX(Surface_Engine!$B$12:$B$72,$A502+1)-F502/INDEX(Surface_Engine!$B$12:$B$72,$A502+1))),IF($A502&lt;$Q$447,MAX(0,-Assumptions!$B$22*(F502/INDEX(Surface_Engine!$B$12:$B$72,$A502+1))),0)))*(MAX(0,J502/INDEX(Surface_Engine!$B$12:$B$72,$A502+1)-(F502/INDEX(Surface_Engine!$B$12:$B$72,$A502+1)))))</f>
        <v>0.380055609572725</v>
      </c>
      <c r="L502" s="48" t="n">
        <f aca="false">K502*INDEX(Surface_Engine!$B$12:$B$72,$A502+1)+L503</f>
        <v>0.109011317969827</v>
      </c>
      <c r="M502" s="48" t="n">
        <f aca="false">M501+B501*(IF($A501&lt;$Q$447,(Surface_Engine!Q239*12)-(Surface_Engine!Q239*12)*INDEX(Surface_Engine!$F$12:$F$72,$A501+1)-INDEX(Surface_Engine!$D$12:$D$72,$A501+1),-(1000*12*INDEX(Surface_Engine!$C$12:$C$72,$A501+1)/(1+Assumptions!$B$10)^27+INDEX(Surface_Engine!$D$12:$D$72,$A501+1))))*INDEX(Surface_Engine!$B$12:$B$72,$A501+1)</f>
        <v>499.127955524159</v>
      </c>
      <c r="N502" s="12" t="n">
        <f aca="false">IF(B502&lt;=0,0,MAX(0,(K502+Assumptions!$B$29*L502/INDEX(Surface_Engine!$B$12:$B$72,$A502+1)-(M502/INDEX(Surface_Engine!$B$12:$B$72,$A502+1)-(F502/INDEX(Surface_Engine!$B$12:$B$72,$A502+1))))/B502))</f>
        <v>0</v>
      </c>
    </row>
    <row r="503" customFormat="false" ht="15" hidden="false" customHeight="true" outlineLevel="0" collapsed="false">
      <c r="A503" s="1" t="n">
        <v>54</v>
      </c>
      <c r="B503" s="32" t="n">
        <f aca="false">INDEX(Surface_Engine!$J$12:$J$72,$A503+1)*IF($A503&lt;$Q$447,INDEX(Surface_Engine!$E$12:$E$72,$A503+1),INDEX(Surface_Engine!$E$12:$E$72,$Q$447+1))</f>
        <v>2.44527064394081E-005</v>
      </c>
      <c r="C503" s="32" t="n">
        <f aca="false">INDEX(Panel_Reserving!$C$8:$C$68,$A503+1)*IF($A503&lt;$Q$447,INDEX(Surface_Engine!$E$12:$E$72,$A503+1),INDEX(Surface_Engine!$E$12:$E$72,$Q$447+1))</f>
        <v>0.000295477454255988</v>
      </c>
      <c r="D503" s="32" t="n">
        <f aca="false">INDEX(Surface_Engine!$J$12:$J$72,$A503+1)*IF($A503&lt;$Q$447,INDEX(Surface_Engine!$Y$12:$Y$72,$A503+1),INDEX(Surface_Engine!$Y$12:$Y$72,$Q$447+1))</f>
        <v>2.09609856859678E-005</v>
      </c>
      <c r="E503" s="32" t="n">
        <f aca="false">INDEX(Surface_Engine!$J$12:$J$72,$A503+1)*IF($A503&lt;$Q$447,INDEX(Surface_Engine!$Z$12:$Z$72,$A503+1),INDEX(Surface_Engine!$Z$12:$Z$72,$Q$447+1))</f>
        <v>2.84927015496089E-005</v>
      </c>
      <c r="F503" s="48" t="n">
        <f aca="false">B503*(IF($A503&lt;$Q$447,INDEX(Surface_Engine!$D$12:$D$72,$A503+1)+(Surface_Engine!Q239*12)*INDEX(Surface_Engine!$F$12:$F$72,$A503+1)-(Surface_Engine!Q239*12),1000*12*INDEX(Surface_Engine!$C$12:$C$72,$A503+1)/(1+Assumptions!$B$10)^27+INDEX(Surface_Engine!$D$12:$D$72,$A503+1)))*INDEX(Surface_Engine!$B$12:$B$72,$A503+1)+F504</f>
        <v>0.15493761396282</v>
      </c>
      <c r="G503" s="48" t="n">
        <f aca="false">C503*(IF($A503&lt;$Q$447,INDEX(Surface_Engine!$D$12:$D$72,$A503+1)+(Surface_Engine!Q239*12)*INDEX(Surface_Engine!$F$12:$F$72,$A503+1)-(Surface_Engine!Q239*12),1000*12*INDEX(Surface_Engine!$C$12:$C$72,$A503+1)/(1+Assumptions!$B$10)^27+INDEX(Surface_Engine!$D$12:$D$72,$A503+1)))*INDEX(Surface_Engine!$B$12:$B$72,$A503+1)+G504</f>
        <v>2.20122496736591</v>
      </c>
      <c r="H503" s="48" t="n">
        <f aca="false">D503*(IF($A503&lt;$Q$447,INDEX(Surface_Engine!$D$12:$D$72,$A503+1)+(Surface_Engine!Q239*12)*INDEX(Surface_Engine!$F$12:$F$72,$A503+1)-(Surface_Engine!Q239*12),1000*12*INDEX(Surface_Engine!$C$12:$C$72,$A503+1)/(1+Assumptions!$B$10)^27+INDEX(Surface_Engine!$D$12:$D$72,$A503+1)))*INDEX(Surface_Engine!$B$12:$B$72,$A503+1)+H504</f>
        <v>0.13281331931662</v>
      </c>
      <c r="I503" s="48" t="n">
        <f aca="false">E503*(IF($A503&lt;$Q$447,INDEX(Surface_Engine!$D$12:$D$72,$A503+1)+(Surface_Engine!Q239*12)*INDEX(Surface_Engine!$F$12:$F$72,$A503+1)-(Surface_Engine!Q239*12),1000*12*INDEX(Surface_Engine!$C$12:$C$72,$A503+1)/(1+Assumptions!$B$10)^27+INDEX(Surface_Engine!$D$12:$D$72,$A503+1)))*INDEX(Surface_Engine!$B$12:$B$72,$A503+1)+I504</f>
        <v>0.180535893005961</v>
      </c>
      <c r="J503" s="48" t="n">
        <f aca="false">B503*(IF($A503&lt;$Q$447,INDEX(Surface_Engine!$D$12:$D$72,$A503+1)*(1+Assumptions!$B$24)+(Surface_Engine!Q239*12)*INDEX(Surface_Engine!$F$12:$F$72,$A503+1)-(Surface_Engine!Q239*12),1000*12*INDEX(Surface_Engine!$C$12:$C$72,$A503+1)/(1+Assumptions!$B$10)^27+INDEX(Surface_Engine!$D$12:$D$72,$A503+1)*(1+Assumptions!$B$24)))*INDEX(Surface_Engine!$B$12:$B$72,$A503+1)+J504</f>
        <v>0.15517009547333</v>
      </c>
      <c r="K503" s="12" t="n">
        <f aca="false">SQRT((IF(C503&lt;=0,0,MAX(0,(B503/C503)*G503/INDEX(Surface_Engine!$B$12:$B$72,$A503+1)-F503/INDEX(Surface_Engine!$B$12:$B$72,$A503+1))))^2+(MAX(IF(D503&lt;=0,0,MAX(0,(B503/D503)*H503/INDEX(Surface_Engine!$B$12:$B$72,$A503+1)-F503/INDEX(Surface_Engine!$B$12:$B$72,$A503+1))),IF(E503&lt;=0,0,MAX(0,(B503/E503)*I503/INDEX(Surface_Engine!$B$12:$B$72,$A503+1)-F503/INDEX(Surface_Engine!$B$12:$B$72,$A503+1))),IF($A503&lt;$Q$447,MAX(0,-Assumptions!$B$22*(F503/INDEX(Surface_Engine!$B$12:$B$72,$A503+1))),0)))^2+(MAX(0,J503/INDEX(Surface_Engine!$B$12:$B$72,$A503+1)-(F503/INDEX(Surface_Engine!$B$12:$B$72,$A503+1))))^2+2*Assumptions!$B$26*(IF(C503&lt;=0,0,MAX(0,(B503/C503)*G503/INDEX(Surface_Engine!$B$12:$B$72,$A503+1)-F503/INDEX(Surface_Engine!$B$12:$B$72,$A503+1))))*(MAX(IF(D503&lt;=0,0,MAX(0,(B503/D503)*H503/INDEX(Surface_Engine!$B$12:$B$72,$A503+1)-F503/INDEX(Surface_Engine!$B$12:$B$72,$A503+1))),IF(E503&lt;=0,0,MAX(0,(B503/E503)*I503/INDEX(Surface_Engine!$B$12:$B$72,$A503+1)-F503/INDEX(Surface_Engine!$B$12:$B$72,$A503+1))),IF($A503&lt;$Q$447,MAX(0,-Assumptions!$B$22*(F503/INDEX(Surface_Engine!$B$12:$B$72,$A503+1))),0)))+2*Assumptions!$B$27*(IF(C503&lt;=0,0,MAX(0,(B503/C503)*G503/INDEX(Surface_Engine!$B$12:$B$72,$A503+1)-F503/INDEX(Surface_Engine!$B$12:$B$72,$A503+1))))*(MAX(0,J503/INDEX(Surface_Engine!$B$12:$B$72,$A503+1)-(F503/INDEX(Surface_Engine!$B$12:$B$72,$A503+1))))+2*Assumptions!$B$28*(MAX(IF(D503&lt;=0,0,MAX(0,(B503/D503)*H503/INDEX(Surface_Engine!$B$12:$B$72,$A503+1)-F503/INDEX(Surface_Engine!$B$12:$B$72,$A503+1))),IF(E503&lt;=0,0,MAX(0,(B503/E503)*I503/INDEX(Surface_Engine!$B$12:$B$72,$A503+1)-F503/INDEX(Surface_Engine!$B$12:$B$72,$A503+1))),IF($A503&lt;$Q$447,MAX(0,-Assumptions!$B$22*(F503/INDEX(Surface_Engine!$B$12:$B$72,$A503+1))),0)))*(MAX(0,J503/INDEX(Surface_Engine!$B$12:$B$72,$A503+1)-(F503/INDEX(Surface_Engine!$B$12:$B$72,$A503+1)))))</f>
        <v>0.151159700642473</v>
      </c>
      <c r="L503" s="48" t="n">
        <f aca="false">K503*INDEX(Surface_Engine!$B$12:$B$72,$A503+1)+L504</f>
        <v>0.0381211765317054</v>
      </c>
      <c r="M503" s="48" t="n">
        <f aca="false">M502+B502*(IF($A502&lt;$Q$447,(Surface_Engine!Q239*12)-(Surface_Engine!Q239*12)*INDEX(Surface_Engine!$F$12:$F$72,$A502+1)-INDEX(Surface_Engine!$D$12:$D$72,$A502+1),-(1000*12*INDEX(Surface_Engine!$C$12:$C$72,$A502+1)/(1+Assumptions!$B$10)^27+INDEX(Surface_Engine!$D$12:$D$72,$A502+1))))*INDEX(Surface_Engine!$B$12:$B$72,$A502+1)</f>
        <v>498.92390526741</v>
      </c>
      <c r="N503" s="12" t="n">
        <f aca="false">IF(B503&lt;=0,0,MAX(0,(K503+Assumptions!$B$29*L503/INDEX(Surface_Engine!$B$12:$B$72,$A503+1)-(M503/INDEX(Surface_Engine!$B$12:$B$72,$A503+1)-(F503/INDEX(Surface_Engine!$B$12:$B$72,$A503+1))))/B503))</f>
        <v>0</v>
      </c>
    </row>
    <row r="504" customFormat="false" ht="15" hidden="false" customHeight="true" outlineLevel="0" collapsed="false">
      <c r="A504" s="1" t="n">
        <v>55</v>
      </c>
      <c r="B504" s="32" t="n">
        <f aca="false">INDEX(Surface_Engine!$J$12:$J$72,$A504+1)*IF($A504&lt;$Q$447,INDEX(Surface_Engine!$E$12:$E$72,$A504+1),INDEX(Surface_Engine!$E$12:$E$72,$Q$447+1))</f>
        <v>1.0739359512121E-005</v>
      </c>
      <c r="C504" s="32" t="n">
        <f aca="false">INDEX(Panel_Reserving!$C$8:$C$68,$A504+1)*IF($A504&lt;$Q$447,INDEX(Surface_Engine!$E$12:$E$72,$A504+1),INDEX(Surface_Engine!$E$12:$E$72,$Q$447+1))</f>
        <v>0.000162911847272746</v>
      </c>
      <c r="D504" s="32" t="n">
        <f aca="false">INDEX(Surface_Engine!$J$12:$J$72,$A504+1)*IF($A504&lt;$Q$447,INDEX(Surface_Engine!$Y$12:$Y$72,$A504+1),INDEX(Surface_Engine!$Y$12:$Y$72,$Q$447+1))</f>
        <v>9.2058341913125E-006</v>
      </c>
      <c r="E504" s="32" t="n">
        <f aca="false">INDEX(Surface_Engine!$J$12:$J$72,$A504+1)*IF($A504&lt;$Q$447,INDEX(Surface_Engine!$Z$12:$Z$72,$A504+1),INDEX(Surface_Engine!$Z$12:$Z$72,$Q$447+1))</f>
        <v>1.25136808954479E-005</v>
      </c>
      <c r="F504" s="48" t="n">
        <f aca="false">B504*(IF($A504&lt;$Q$447,INDEX(Surface_Engine!$D$12:$D$72,$A504+1)+(Surface_Engine!Q239*12)*INDEX(Surface_Engine!$F$12:$F$72,$A504+1)-(Surface_Engine!Q239*12),1000*12*INDEX(Surface_Engine!$C$12:$C$72,$A504+1)/(1+Assumptions!$B$10)^27+INDEX(Surface_Engine!$D$12:$D$72,$A504+1)))*INDEX(Surface_Engine!$B$12:$B$72,$A504+1)+F505</f>
        <v>0.063149979657906</v>
      </c>
      <c r="G504" s="48" t="n">
        <f aca="false">C504*(IF($A504&lt;$Q$447,INDEX(Surface_Engine!$D$12:$D$72,$A504+1)+(Surface_Engine!Q239*12)*INDEX(Surface_Engine!$F$12:$F$72,$A504+1)-(Surface_Engine!Q239*12),1000*12*INDEX(Surface_Engine!$C$12:$C$72,$A504+1)/(1+Assumptions!$B$10)^27+INDEX(Surface_Engine!$D$12:$D$72,$A504+1)))*INDEX(Surface_Engine!$B$12:$B$72,$A504+1)+G505</f>
        <v>1.09209716657216</v>
      </c>
      <c r="H504" s="48" t="n">
        <f aca="false">D504*(IF($A504&lt;$Q$447,INDEX(Surface_Engine!$D$12:$D$72,$A504+1)+(Surface_Engine!Q239*12)*INDEX(Surface_Engine!$F$12:$F$72,$A504+1)-(Surface_Engine!Q239*12),1000*12*INDEX(Surface_Engine!$C$12:$C$72,$A504+1)/(1+Assumptions!$B$10)^27+INDEX(Surface_Engine!$D$12:$D$72,$A504+1)))*INDEX(Surface_Engine!$B$12:$B$72,$A504+1)+H505</f>
        <v>0.0541324872548779</v>
      </c>
      <c r="I504" s="48" t="n">
        <f aca="false">E504*(IF($A504&lt;$Q$447,INDEX(Surface_Engine!$D$12:$D$72,$A504+1)+(Surface_Engine!Q239*12)*INDEX(Surface_Engine!$F$12:$F$72,$A504+1)-(Surface_Engine!Q239*12),1000*12*INDEX(Surface_Engine!$C$12:$C$72,$A504+1)/(1+Assumptions!$B$10)^27+INDEX(Surface_Engine!$D$12:$D$72,$A504+1)))*INDEX(Surface_Engine!$B$12:$B$72,$A504+1)+I505</f>
        <v>0.073583409988385</v>
      </c>
      <c r="J504" s="48" t="n">
        <f aca="false">B504*(IF($A504&lt;$Q$447,INDEX(Surface_Engine!$D$12:$D$72,$A504+1)*(1+Assumptions!$B$24)+(Surface_Engine!Q239*12)*INDEX(Surface_Engine!$F$12:$F$72,$A504+1)-(Surface_Engine!Q239*12),1000*12*INDEX(Surface_Engine!$C$12:$C$72,$A504+1)/(1+Assumptions!$B$10)^27+INDEX(Surface_Engine!$D$12:$D$72,$A504+1)*(1+Assumptions!$B$24)))*INDEX(Surface_Engine!$B$12:$B$72,$A504+1)+J505</f>
        <v>0.0632451347289561</v>
      </c>
      <c r="K504" s="12" t="n">
        <f aca="false">SQRT((IF(C504&lt;=0,0,MAX(0,(B504/C504)*G504/INDEX(Surface_Engine!$B$12:$B$72,$A504+1)-F504/INDEX(Surface_Engine!$B$12:$B$72,$A504+1))))^2+(MAX(IF(D504&lt;=0,0,MAX(0,(B504/D504)*H504/INDEX(Surface_Engine!$B$12:$B$72,$A504+1)-F504/INDEX(Surface_Engine!$B$12:$B$72,$A504+1))),IF(E504&lt;=0,0,MAX(0,(B504/E504)*I504/INDEX(Surface_Engine!$B$12:$B$72,$A504+1)-F504/INDEX(Surface_Engine!$B$12:$B$72,$A504+1))),IF($A504&lt;$Q$447,MAX(0,-Assumptions!$B$22*(F504/INDEX(Surface_Engine!$B$12:$B$72,$A504+1))),0)))^2+(MAX(0,J504/INDEX(Surface_Engine!$B$12:$B$72,$A504+1)-(F504/INDEX(Surface_Engine!$B$12:$B$72,$A504+1))))^2+2*Assumptions!$B$26*(IF(C504&lt;=0,0,MAX(0,(B504/C504)*G504/INDEX(Surface_Engine!$B$12:$B$72,$A504+1)-F504/INDEX(Surface_Engine!$B$12:$B$72,$A504+1))))*(MAX(IF(D504&lt;=0,0,MAX(0,(B504/D504)*H504/INDEX(Surface_Engine!$B$12:$B$72,$A504+1)-F504/INDEX(Surface_Engine!$B$12:$B$72,$A504+1))),IF(E504&lt;=0,0,MAX(0,(B504/E504)*I504/INDEX(Surface_Engine!$B$12:$B$72,$A504+1)-F504/INDEX(Surface_Engine!$B$12:$B$72,$A504+1))),IF($A504&lt;$Q$447,MAX(0,-Assumptions!$B$22*(F504/INDEX(Surface_Engine!$B$12:$B$72,$A504+1))),0)))+2*Assumptions!$B$27*(IF(C504&lt;=0,0,MAX(0,(B504/C504)*G504/INDEX(Surface_Engine!$B$12:$B$72,$A504+1)-F504/INDEX(Surface_Engine!$B$12:$B$72,$A504+1))))*(MAX(0,J504/INDEX(Surface_Engine!$B$12:$B$72,$A504+1)-(F504/INDEX(Surface_Engine!$B$12:$B$72,$A504+1))))+2*Assumptions!$B$28*(MAX(IF(D504&lt;=0,0,MAX(0,(B504/D504)*H504/INDEX(Surface_Engine!$B$12:$B$72,$A504+1)-F504/INDEX(Surface_Engine!$B$12:$B$72,$A504+1))),IF(E504&lt;=0,0,MAX(0,(B504/E504)*I504/INDEX(Surface_Engine!$B$12:$B$72,$A504+1)-F504/INDEX(Surface_Engine!$B$12:$B$72,$A504+1))),IF($A504&lt;$Q$447,MAX(0,-Assumptions!$B$22*(F504/INDEX(Surface_Engine!$B$12:$B$72,$A504+1))),0)))*(MAX(0,J504/INDEX(Surface_Engine!$B$12:$B$72,$A504+1)-(F504/INDEX(Surface_Engine!$B$12:$B$72,$A504+1)))))</f>
        <v>0.0507269809858166</v>
      </c>
      <c r="L504" s="48" t="n">
        <f aca="false">K504*INDEX(Surface_Engine!$B$12:$B$72,$A504+1)+L505</f>
        <v>0.0108338702516986</v>
      </c>
      <c r="M504" s="48" t="n">
        <f aca="false">M503+B503*(IF($A503&lt;$Q$447,(Surface_Engine!Q239*12)-(Surface_Engine!Q239*12)*INDEX(Surface_Engine!$F$12:$F$72,$A503+1)-INDEX(Surface_Engine!$D$12:$D$72,$A503+1),-(1000*12*INDEX(Surface_Engine!$C$12:$C$72,$A503+1)/(1+Assumptions!$B$10)^27+INDEX(Surface_Engine!$D$12:$D$72,$A503+1))))*INDEX(Surface_Engine!$B$12:$B$72,$A503+1)</f>
        <v>498.832117633105</v>
      </c>
      <c r="N504" s="12" t="n">
        <f aca="false">IF(B504&lt;=0,0,MAX(0,(K504+Assumptions!$B$29*L504/INDEX(Surface_Engine!$B$12:$B$72,$A504+1)-(M504/INDEX(Surface_Engine!$B$12:$B$72,$A504+1)-(F504/INDEX(Surface_Engine!$B$12:$B$72,$A504+1))))/B504))</f>
        <v>0</v>
      </c>
    </row>
    <row r="505" customFormat="false" ht="15" hidden="false" customHeight="true" outlineLevel="0" collapsed="false">
      <c r="A505" s="1" t="n">
        <v>56</v>
      </c>
      <c r="B505" s="32" t="n">
        <f aca="false">INDEX(Surface_Engine!$J$12:$J$72,$A505+1)*IF($A505&lt;$Q$447,INDEX(Surface_Engine!$E$12:$E$72,$A505+1),INDEX(Surface_Engine!$E$12:$E$72,$Q$447+1))</f>
        <v>4.54362974186968E-006</v>
      </c>
      <c r="C505" s="32" t="n">
        <f aca="false">INDEX(Panel_Reserving!$C$8:$C$68,$A505+1)*IF($A505&lt;$Q$447,INDEX(Surface_Engine!$E$12:$E$72,$A505+1),INDEX(Surface_Engine!$E$12:$E$72,$Q$447+1))</f>
        <v>8.77224260835083E-005</v>
      </c>
      <c r="D505" s="32" t="n">
        <f aca="false">INDEX(Surface_Engine!$J$12:$J$72,$A505+1)*IF($A505&lt;$Q$447,INDEX(Surface_Engine!$Y$12:$Y$72,$A505+1),INDEX(Surface_Engine!$Y$12:$Y$72,$Q$447+1))</f>
        <v>3.89482277627071E-006</v>
      </c>
      <c r="E505" s="32" t="n">
        <f aca="false">INDEX(Surface_Engine!$J$12:$J$72,$A505+1)*IF($A505&lt;$Q$447,INDEX(Surface_Engine!$Z$12:$Z$72,$A505+1),INDEX(Surface_Engine!$Z$12:$Z$72,$Q$447+1))</f>
        <v>5.29431318810503E-006</v>
      </c>
      <c r="F505" s="48" t="n">
        <f aca="false">B505*(IF($A505&lt;$Q$447,INDEX(Surface_Engine!$D$12:$D$72,$A505+1)+(Surface_Engine!Q239*12)*INDEX(Surface_Engine!$F$12:$F$72,$A505+1)-(Surface_Engine!Q239*12),1000*12*INDEX(Surface_Engine!$C$12:$C$72,$A505+1)/(1+Assumptions!$B$10)^27+INDEX(Surface_Engine!$D$12:$D$72,$A505+1)))*INDEX(Surface_Engine!$B$12:$B$72,$A505+1)+F506</f>
        <v>0.0233330125813911</v>
      </c>
      <c r="G505" s="48" t="n">
        <f aca="false">C505*(IF($A505&lt;$Q$447,INDEX(Surface_Engine!$D$12:$D$72,$A505+1)+(Surface_Engine!Q239*12)*INDEX(Surface_Engine!$F$12:$F$72,$A505+1)-(Surface_Engine!Q239*12),1000*12*INDEX(Surface_Engine!$C$12:$C$72,$A505+1)/(1+Assumptions!$B$10)^27+INDEX(Surface_Engine!$D$12:$D$72,$A505+1)))*INDEX(Surface_Engine!$B$12:$B$72,$A505+1)+G506</f>
        <v>0.488089483254367</v>
      </c>
      <c r="H505" s="48" t="n">
        <f aca="false">D505*(IF($A505&lt;$Q$447,INDEX(Surface_Engine!$D$12:$D$72,$A505+1)+(Surface_Engine!Q239*12)*INDEX(Surface_Engine!$F$12:$F$72,$A505+1)-(Surface_Engine!Q239*12),1000*12*INDEX(Surface_Engine!$C$12:$C$72,$A505+1)/(1+Assumptions!$B$10)^27+INDEX(Surface_Engine!$D$12:$D$72,$A505+1)))*INDEX(Surface_Engine!$B$12:$B$72,$A505+1)+H506</f>
        <v>0.0200011783538544</v>
      </c>
      <c r="I505" s="48" t="n">
        <f aca="false">E505*(IF($A505&lt;$Q$447,INDEX(Surface_Engine!$D$12:$D$72,$A505+1)+(Surface_Engine!Q239*12)*INDEX(Surface_Engine!$F$12:$F$72,$A505+1)-(Surface_Engine!Q239*12),1000*12*INDEX(Surface_Engine!$C$12:$C$72,$A505+1)/(1+Assumptions!$B$10)^27+INDEX(Surface_Engine!$D$12:$D$72,$A505+1)))*INDEX(Surface_Engine!$B$12:$B$72,$A505+1)+I506</f>
        <v>0.02718801558356</v>
      </c>
      <c r="J505" s="48" t="n">
        <f aca="false">B505*(IF($A505&lt;$Q$447,INDEX(Surface_Engine!$D$12:$D$72,$A505+1)*(1+Assumptions!$B$24)+(Surface_Engine!Q239*12)*INDEX(Surface_Engine!$F$12:$F$72,$A505+1)-(Surface_Engine!Q239*12),1000*12*INDEX(Surface_Engine!$C$12:$C$72,$A505+1)/(1+Assumptions!$B$10)^27+INDEX(Surface_Engine!$D$12:$D$72,$A505+1)*(1+Assumptions!$B$24)))*INDEX(Surface_Engine!$B$12:$B$72,$A505+1)+J506</f>
        <v>0.023368308577213</v>
      </c>
      <c r="K505" s="12" t="n">
        <f aca="false">SQRT((IF(C505&lt;=0,0,MAX(0,(B505/C505)*G505/INDEX(Surface_Engine!$B$12:$B$72,$A505+1)-F505/INDEX(Surface_Engine!$B$12:$B$72,$A505+1))))^2+(MAX(IF(D505&lt;=0,0,MAX(0,(B505/D505)*H505/INDEX(Surface_Engine!$B$12:$B$72,$A505+1)-F505/INDEX(Surface_Engine!$B$12:$B$72,$A505+1))),IF(E505&lt;=0,0,MAX(0,(B505/E505)*I505/INDEX(Surface_Engine!$B$12:$B$72,$A505+1)-F505/INDEX(Surface_Engine!$B$12:$B$72,$A505+1))),IF($A505&lt;$Q$447,MAX(0,-Assumptions!$B$22*(F505/INDEX(Surface_Engine!$B$12:$B$72,$A505+1))),0)))^2+(MAX(0,J505/INDEX(Surface_Engine!$B$12:$B$72,$A505+1)-(F505/INDEX(Surface_Engine!$B$12:$B$72,$A505+1))))^2+2*Assumptions!$B$26*(IF(C505&lt;=0,0,MAX(0,(B505/C505)*G505/INDEX(Surface_Engine!$B$12:$B$72,$A505+1)-F505/INDEX(Surface_Engine!$B$12:$B$72,$A505+1))))*(MAX(IF(D505&lt;=0,0,MAX(0,(B505/D505)*H505/INDEX(Surface_Engine!$B$12:$B$72,$A505+1)-F505/INDEX(Surface_Engine!$B$12:$B$72,$A505+1))),IF(E505&lt;=0,0,MAX(0,(B505/E505)*I505/INDEX(Surface_Engine!$B$12:$B$72,$A505+1)-F505/INDEX(Surface_Engine!$B$12:$B$72,$A505+1))),IF($A505&lt;$Q$447,MAX(0,-Assumptions!$B$22*(F505/INDEX(Surface_Engine!$B$12:$B$72,$A505+1))),0)))+2*Assumptions!$B$27*(IF(C505&lt;=0,0,MAX(0,(B505/C505)*G505/INDEX(Surface_Engine!$B$12:$B$72,$A505+1)-F505/INDEX(Surface_Engine!$B$12:$B$72,$A505+1))))*(MAX(0,J505/INDEX(Surface_Engine!$B$12:$B$72,$A505+1)-(F505/INDEX(Surface_Engine!$B$12:$B$72,$A505+1))))+2*Assumptions!$B$28*(MAX(IF(D505&lt;=0,0,MAX(0,(B505/D505)*H505/INDEX(Surface_Engine!$B$12:$B$72,$A505+1)-F505/INDEX(Surface_Engine!$B$12:$B$72,$A505+1))),IF(E505&lt;=0,0,MAX(0,(B505/E505)*I505/INDEX(Surface_Engine!$B$12:$B$72,$A505+1)-F505/INDEX(Surface_Engine!$B$12:$B$72,$A505+1))),IF($A505&lt;$Q$447,MAX(0,-Assumptions!$B$22*(F505/INDEX(Surface_Engine!$B$12:$B$72,$A505+1))),0)))*(MAX(0,J505/INDEX(Surface_Engine!$B$12:$B$72,$A505+1)-(F505/INDEX(Surface_Engine!$B$12:$B$72,$A505+1)))))</f>
        <v>0.0115628696307323</v>
      </c>
      <c r="L505" s="48" t="n">
        <f aca="false">K505*INDEX(Surface_Engine!$B$12:$B$72,$A505+1)+L506</f>
        <v>0.00196712585626587</v>
      </c>
      <c r="M505" s="48" t="n">
        <f aca="false">M504+B504*(IF($A504&lt;$Q$447,(Surface_Engine!Q239*12)-(Surface_Engine!Q239*12)*INDEX(Surface_Engine!$F$12:$F$72,$A504+1)-INDEX(Surface_Engine!$D$12:$D$72,$A504+1),-(1000*12*INDEX(Surface_Engine!$C$12:$C$72,$A504+1)/(1+Assumptions!$B$10)^27+INDEX(Surface_Engine!$D$12:$D$72,$A504+1))))*INDEX(Surface_Engine!$B$12:$B$72,$A504+1)</f>
        <v>498.792300666029</v>
      </c>
      <c r="N505" s="12" t="n">
        <f aca="false">IF(B505&lt;=0,0,MAX(0,(K505+Assumptions!$B$29*L505/INDEX(Surface_Engine!$B$12:$B$72,$A505+1)-(M505/INDEX(Surface_Engine!$B$12:$B$72,$A505+1)-(F505/INDEX(Surface_Engine!$B$12:$B$72,$A505+1))))/B505))</f>
        <v>0</v>
      </c>
    </row>
    <row r="506" customFormat="false" ht="15" hidden="false" customHeight="true" outlineLevel="0" collapsed="false">
      <c r="A506" s="1" t="n">
        <v>57</v>
      </c>
      <c r="B506" s="32" t="n">
        <f aca="false">INDEX(Surface_Engine!$J$12:$J$72,$A506+1)*IF($A506&lt;$Q$447,INDEX(Surface_Engine!$E$12:$E$72,$A506+1),INDEX(Surface_Engine!$E$12:$E$72,$Q$447+1))</f>
        <v>1.85089486988124E-006</v>
      </c>
      <c r="C506" s="32" t="n">
        <f aca="false">INDEX(Panel_Reserving!$C$8:$C$68,$A506+1)*IF($A506&lt;$Q$447,INDEX(Surface_Engine!$E$12:$E$72,$A506+1),INDEX(Surface_Engine!$E$12:$E$72,$Q$447+1))</f>
        <v>4.61321999092619E-005</v>
      </c>
      <c r="D506" s="32" t="n">
        <f aca="false">INDEX(Surface_Engine!$J$12:$J$72,$A506+1)*IF($A506&lt;$Q$447,INDEX(Surface_Engine!$Y$12:$Y$72,$A506+1),INDEX(Surface_Engine!$Y$12:$Y$72,$Q$447+1))</f>
        <v>1.58659659902869E-006</v>
      </c>
      <c r="E506" s="32" t="n">
        <f aca="false">INDEX(Surface_Engine!$J$12:$J$72,$A506+1)*IF($A506&lt;$Q$447,INDEX(Surface_Engine!$Z$12:$Z$72,$A506+1),INDEX(Surface_Engine!$Z$12:$Z$72,$Q$447+1))</f>
        <v>2.1566935855508E-006</v>
      </c>
      <c r="F506" s="48" t="n">
        <f aca="false">B506*(IF($A506&lt;$Q$447,INDEX(Surface_Engine!$D$12:$D$72,$A506+1)+(Surface_Engine!Q239*12)*INDEX(Surface_Engine!$F$12:$F$72,$A506+1)-(Surface_Engine!Q239*12),1000*12*INDEX(Surface_Engine!$C$12:$C$72,$A506+1)/(1+Assumptions!$B$10)^27+INDEX(Surface_Engine!$D$12:$D$72,$A506+1)))*INDEX(Surface_Engine!$B$12:$B$72,$A506+1)+F507</f>
        <v>0.00669440334981261</v>
      </c>
      <c r="G506" s="48" t="n">
        <f aca="false">C506*(IF($A506&lt;$Q$447,INDEX(Surface_Engine!$D$12:$D$72,$A506+1)+(Surface_Engine!Q239*12)*INDEX(Surface_Engine!$F$12:$F$72,$A506+1)-(Surface_Engine!Q239*12),1000*12*INDEX(Surface_Engine!$C$12:$C$72,$A506+1)/(1+Assumptions!$B$10)^27+INDEX(Surface_Engine!$D$12:$D$72,$A506+1)))*INDEX(Surface_Engine!$B$12:$B$72,$A506+1)+G507</f>
        <v>0.16685310367012</v>
      </c>
      <c r="H506" s="48" t="n">
        <f aca="false">D506*(IF($A506&lt;$Q$447,INDEX(Surface_Engine!$D$12:$D$72,$A506+1)+(Surface_Engine!Q239*12)*INDEX(Surface_Engine!$F$12:$F$72,$A506+1)-(Surface_Engine!Q239*12),1000*12*INDEX(Surface_Engine!$C$12:$C$72,$A506+1)/(1+Assumptions!$B$10)^27+INDEX(Surface_Engine!$D$12:$D$72,$A506+1)))*INDEX(Surface_Engine!$B$12:$B$72,$A506+1)+H507</f>
        <v>0.00573847697142329</v>
      </c>
      <c r="I506" s="48" t="n">
        <f aca="false">E506*(IF($A506&lt;$Q$447,INDEX(Surface_Engine!$D$12:$D$72,$A506+1)+(Surface_Engine!Q239*12)*INDEX(Surface_Engine!$F$12:$F$72,$A506+1)-(Surface_Engine!Q239*12),1000*12*INDEX(Surface_Engine!$C$12:$C$72,$A506+1)/(1+Assumptions!$B$10)^27+INDEX(Surface_Engine!$D$12:$D$72,$A506+1)))*INDEX(Surface_Engine!$B$12:$B$72,$A506+1)+I507</f>
        <v>0.00780043048288154</v>
      </c>
      <c r="J506" s="48" t="n">
        <f aca="false">B506*(IF($A506&lt;$Q$447,INDEX(Surface_Engine!$D$12:$D$72,$A506+1)*(1+Assumptions!$B$24)+(Surface_Engine!Q239*12)*INDEX(Surface_Engine!$F$12:$F$72,$A506+1)-(Surface_Engine!Q239*12),1000*12*INDEX(Surface_Engine!$C$12:$C$72,$A506+1)/(1+Assumptions!$B$10)^27+INDEX(Surface_Engine!$D$12:$D$72,$A506+1)*(1+Assumptions!$B$24)))*INDEX(Surface_Engine!$B$12:$B$72,$A506+1)+J507</f>
        <v>0.00670456482891305</v>
      </c>
      <c r="K506" s="12" t="n">
        <f aca="false">SQRT((IF(C506&lt;=0,0,MAX(0,(B506/C506)*G506/INDEX(Surface_Engine!$B$12:$B$72,$A506+1)-F506/INDEX(Surface_Engine!$B$12:$B$72,$A506+1))))^2+(MAX(IF(D506&lt;=0,0,MAX(0,(B506/D506)*H506/INDEX(Surface_Engine!$B$12:$B$72,$A506+1)-F506/INDEX(Surface_Engine!$B$12:$B$72,$A506+1))),IF(E506&lt;=0,0,MAX(0,(B506/E506)*I506/INDEX(Surface_Engine!$B$12:$B$72,$A506+1)-F506/INDEX(Surface_Engine!$B$12:$B$72,$A506+1))),IF($A506&lt;$Q$447,MAX(0,-Assumptions!$B$22*(F506/INDEX(Surface_Engine!$B$12:$B$72,$A506+1))),0)))^2+(MAX(0,J506/INDEX(Surface_Engine!$B$12:$B$72,$A506+1)-(F506/INDEX(Surface_Engine!$B$12:$B$72,$A506+1))))^2+2*Assumptions!$B$26*(IF(C506&lt;=0,0,MAX(0,(B506/C506)*G506/INDEX(Surface_Engine!$B$12:$B$72,$A506+1)-F506/INDEX(Surface_Engine!$B$12:$B$72,$A506+1))))*(MAX(IF(D506&lt;=0,0,MAX(0,(B506/D506)*H506/INDEX(Surface_Engine!$B$12:$B$72,$A506+1)-F506/INDEX(Surface_Engine!$B$12:$B$72,$A506+1))),IF(E506&lt;=0,0,MAX(0,(B506/E506)*I506/INDEX(Surface_Engine!$B$12:$B$72,$A506+1)-F506/INDEX(Surface_Engine!$B$12:$B$72,$A506+1))),IF($A506&lt;$Q$447,MAX(0,-Assumptions!$B$22*(F506/INDEX(Surface_Engine!$B$12:$B$72,$A506+1))),0)))+2*Assumptions!$B$27*(IF(C506&lt;=0,0,MAX(0,(B506/C506)*G506/INDEX(Surface_Engine!$B$12:$B$72,$A506+1)-F506/INDEX(Surface_Engine!$B$12:$B$72,$A506+1))))*(MAX(0,J506/INDEX(Surface_Engine!$B$12:$B$72,$A506+1)-(F506/INDEX(Surface_Engine!$B$12:$B$72,$A506+1))))+2*Assumptions!$B$28*(MAX(IF(D506&lt;=0,0,MAX(0,(B506/D506)*H506/INDEX(Surface_Engine!$B$12:$B$72,$A506+1)-F506/INDEX(Surface_Engine!$B$12:$B$72,$A506+1))),IF(E506&lt;=0,0,MAX(0,(B506/E506)*I506/INDEX(Surface_Engine!$B$12:$B$72,$A506+1)-F506/INDEX(Surface_Engine!$B$12:$B$72,$A506+1))),IF($A506&lt;$Q$447,MAX(0,-Assumptions!$B$22*(F506/INDEX(Surface_Engine!$B$12:$B$72,$A506+1))),0)))*(MAX(0,J506/INDEX(Surface_Engine!$B$12:$B$72,$A506+1)-(F506/INDEX(Surface_Engine!$B$12:$B$72,$A506+1)))))</f>
        <v>6.20091718711302E-005</v>
      </c>
      <c r="L506" s="48" t="n">
        <f aca="false">K506*INDEX(Surface_Engine!$B$12:$B$72,$A506+1)+L507</f>
        <v>1.01614791004404E-005</v>
      </c>
      <c r="M506" s="48" t="n">
        <f aca="false">M505+B505*(IF($A505&lt;$Q$447,(Surface_Engine!Q239*12)-(Surface_Engine!Q239*12)*INDEX(Surface_Engine!$F$12:$F$72,$A505+1)-INDEX(Surface_Engine!$D$12:$D$72,$A505+1),-(1000*12*INDEX(Surface_Engine!$C$12:$C$72,$A505+1)/(1+Assumptions!$B$10)^27+INDEX(Surface_Engine!$D$12:$D$72,$A505+1))))*INDEX(Surface_Engine!$B$12:$B$72,$A505+1)</f>
        <v>498.775662056797</v>
      </c>
      <c r="N506" s="12" t="n">
        <f aca="false">IF(B506&lt;=0,0,MAX(0,(K506+Assumptions!$B$29*L506/INDEX(Surface_Engine!$B$12:$B$72,$A506+1)-(M506/INDEX(Surface_Engine!$B$12:$B$72,$A506+1)-(F506/INDEX(Surface_Engine!$B$12:$B$72,$A506+1))))/B506))</f>
        <v>0</v>
      </c>
    </row>
    <row r="507" customFormat="false" ht="15" hidden="false" customHeight="true" outlineLevel="0" collapsed="false">
      <c r="A507" s="1" t="n">
        <v>58</v>
      </c>
      <c r="B507" s="32" t="n">
        <f aca="false">INDEX(Surface_Engine!$J$12:$J$72,$A507+1)*IF($A507&lt;$Q$447,INDEX(Surface_Engine!$E$12:$E$72,$A507+1),INDEX(Surface_Engine!$E$12:$E$72,$Q$447+1))</f>
        <v>0</v>
      </c>
      <c r="C507" s="32" t="n">
        <f aca="false">INDEX(Panel_Reserving!$C$8:$C$68,$A507+1)*IF($A507&lt;$Q$447,INDEX(Surface_Engine!$E$12:$E$72,$A507+1),INDEX(Surface_Engine!$E$12:$E$72,$Q$447+1))</f>
        <v>0</v>
      </c>
      <c r="D507" s="32" t="n">
        <f aca="false">INDEX(Surface_Engine!$J$12:$J$72,$A507+1)*IF($A507&lt;$Q$447,INDEX(Surface_Engine!$Y$12:$Y$72,$A507+1),INDEX(Surface_Engine!$Y$12:$Y$72,$Q$447+1))</f>
        <v>0</v>
      </c>
      <c r="E507" s="32" t="n">
        <f aca="false">INDEX(Surface_Engine!$J$12:$J$72,$A507+1)*IF($A507&lt;$Q$447,INDEX(Surface_Engine!$Z$12:$Z$72,$A507+1),INDEX(Surface_Engine!$Z$12:$Z$72,$Q$447+1))</f>
        <v>0</v>
      </c>
      <c r="F507" s="48" t="n">
        <f aca="false">B507*(IF($A507&lt;$Q$447,INDEX(Surface_Engine!$D$12:$D$72,$A507+1)+(Surface_Engine!Q239*12)*INDEX(Surface_Engine!$F$12:$F$72,$A507+1)-(Surface_Engine!Q239*12),1000*12*INDEX(Surface_Engine!$C$12:$C$72,$A507+1)/(1+Assumptions!$B$10)^27+INDEX(Surface_Engine!$D$12:$D$72,$A507+1)))*INDEX(Surface_Engine!$B$12:$B$72,$A507+1)+F508</f>
        <v>0</v>
      </c>
      <c r="G507" s="48" t="n">
        <f aca="false">C507*(IF($A507&lt;$Q$447,INDEX(Surface_Engine!$D$12:$D$72,$A507+1)+(Surface_Engine!Q239*12)*INDEX(Surface_Engine!$F$12:$F$72,$A507+1)-(Surface_Engine!Q239*12),1000*12*INDEX(Surface_Engine!$C$12:$C$72,$A507+1)/(1+Assumptions!$B$10)^27+INDEX(Surface_Engine!$D$12:$D$72,$A507+1)))*INDEX(Surface_Engine!$B$12:$B$72,$A507+1)+G508</f>
        <v>0</v>
      </c>
      <c r="H507" s="48" t="n">
        <f aca="false">D507*(IF($A507&lt;$Q$447,INDEX(Surface_Engine!$D$12:$D$72,$A507+1)+(Surface_Engine!Q239*12)*INDEX(Surface_Engine!$F$12:$F$72,$A507+1)-(Surface_Engine!Q239*12),1000*12*INDEX(Surface_Engine!$C$12:$C$72,$A507+1)/(1+Assumptions!$B$10)^27+INDEX(Surface_Engine!$D$12:$D$72,$A507+1)))*INDEX(Surface_Engine!$B$12:$B$72,$A507+1)+H508</f>
        <v>0</v>
      </c>
      <c r="I507" s="48" t="n">
        <f aca="false">E507*(IF($A507&lt;$Q$447,INDEX(Surface_Engine!$D$12:$D$72,$A507+1)+(Surface_Engine!Q239*12)*INDEX(Surface_Engine!$F$12:$F$72,$A507+1)-(Surface_Engine!Q239*12),1000*12*INDEX(Surface_Engine!$C$12:$C$72,$A507+1)/(1+Assumptions!$B$10)^27+INDEX(Surface_Engine!$D$12:$D$72,$A507+1)))*INDEX(Surface_Engine!$B$12:$B$72,$A507+1)+I508</f>
        <v>0</v>
      </c>
      <c r="J507" s="48" t="n">
        <f aca="false">B507*(IF($A507&lt;$Q$447,INDEX(Surface_Engine!$D$12:$D$72,$A507+1)*(1+Assumptions!$B$24)+(Surface_Engine!Q239*12)*INDEX(Surface_Engine!$F$12:$F$72,$A507+1)-(Surface_Engine!Q239*12),1000*12*INDEX(Surface_Engine!$C$12:$C$72,$A507+1)/(1+Assumptions!$B$10)^27+INDEX(Surface_Engine!$D$12:$D$72,$A507+1)*(1+Assumptions!$B$24)))*INDEX(Surface_Engine!$B$12:$B$72,$A507+1)+J508</f>
        <v>0</v>
      </c>
      <c r="K507" s="12" t="n">
        <f aca="false">SQRT((IF(C507&lt;=0,0,MAX(0,(B507/C507)*G507/INDEX(Surface_Engine!$B$12:$B$72,$A507+1)-F507/INDEX(Surface_Engine!$B$12:$B$72,$A507+1))))^2+(MAX(IF(D507&lt;=0,0,MAX(0,(B507/D507)*H507/INDEX(Surface_Engine!$B$12:$B$72,$A507+1)-F507/INDEX(Surface_Engine!$B$12:$B$72,$A507+1))),IF(E507&lt;=0,0,MAX(0,(B507/E507)*I507/INDEX(Surface_Engine!$B$12:$B$72,$A507+1)-F507/INDEX(Surface_Engine!$B$12:$B$72,$A507+1))),IF($A507&lt;$Q$447,MAX(0,-Assumptions!$B$22*(F507/INDEX(Surface_Engine!$B$12:$B$72,$A507+1))),0)))^2+(MAX(0,J507/INDEX(Surface_Engine!$B$12:$B$72,$A507+1)-(F507/INDEX(Surface_Engine!$B$12:$B$72,$A507+1))))^2+2*Assumptions!$B$26*(IF(C507&lt;=0,0,MAX(0,(B507/C507)*G507/INDEX(Surface_Engine!$B$12:$B$72,$A507+1)-F507/INDEX(Surface_Engine!$B$12:$B$72,$A507+1))))*(MAX(IF(D507&lt;=0,0,MAX(0,(B507/D507)*H507/INDEX(Surface_Engine!$B$12:$B$72,$A507+1)-F507/INDEX(Surface_Engine!$B$12:$B$72,$A507+1))),IF(E507&lt;=0,0,MAX(0,(B507/E507)*I507/INDEX(Surface_Engine!$B$12:$B$72,$A507+1)-F507/INDEX(Surface_Engine!$B$12:$B$72,$A507+1))),IF($A507&lt;$Q$447,MAX(0,-Assumptions!$B$22*(F507/INDEX(Surface_Engine!$B$12:$B$72,$A507+1))),0)))+2*Assumptions!$B$27*(IF(C507&lt;=0,0,MAX(0,(B507/C507)*G507/INDEX(Surface_Engine!$B$12:$B$72,$A507+1)-F507/INDEX(Surface_Engine!$B$12:$B$72,$A507+1))))*(MAX(0,J507/INDEX(Surface_Engine!$B$12:$B$72,$A507+1)-(F507/INDEX(Surface_Engine!$B$12:$B$72,$A507+1))))+2*Assumptions!$B$28*(MAX(IF(D507&lt;=0,0,MAX(0,(B507/D507)*H507/INDEX(Surface_Engine!$B$12:$B$72,$A507+1)-F507/INDEX(Surface_Engine!$B$12:$B$72,$A507+1))),IF(E507&lt;=0,0,MAX(0,(B507/E507)*I507/INDEX(Surface_Engine!$B$12:$B$72,$A507+1)-F507/INDEX(Surface_Engine!$B$12:$B$72,$A507+1))),IF($A507&lt;$Q$447,MAX(0,-Assumptions!$B$22*(F507/INDEX(Surface_Engine!$B$12:$B$72,$A507+1))),0)))*(MAX(0,J507/INDEX(Surface_Engine!$B$12:$B$72,$A507+1)-(F507/INDEX(Surface_Engine!$B$12:$B$72,$A507+1)))))</f>
        <v>0</v>
      </c>
      <c r="L507" s="48" t="n">
        <f aca="false">K507*INDEX(Surface_Engine!$B$12:$B$72,$A507+1)+L508</f>
        <v>0</v>
      </c>
      <c r="M507" s="48" t="n">
        <f aca="false">M506+B506*(IF($A506&lt;$Q$447,(Surface_Engine!Q239*12)-(Surface_Engine!Q239*12)*INDEX(Surface_Engine!$F$12:$F$72,$A506+1)-INDEX(Surface_Engine!$D$12:$D$72,$A506+1),-(1000*12*INDEX(Surface_Engine!$C$12:$C$72,$A506+1)/(1+Assumptions!$B$10)^27+INDEX(Surface_Engine!$D$12:$D$72,$A506+1))))*INDEX(Surface_Engine!$B$12:$B$72,$A506+1)</f>
        <v>498.768967653448</v>
      </c>
      <c r="N507" s="12" t="n">
        <f aca="false">IF(B507&lt;=0,0,MAX(0,(K507+Assumptions!$B$29*L507/INDEX(Surface_Engine!$B$12:$B$72,$A507+1)-(M507/INDEX(Surface_Engine!$B$12:$B$72,$A507+1)-(F507/INDEX(Surface_Engine!$B$12:$B$72,$A507+1))))/B507))</f>
        <v>0</v>
      </c>
    </row>
    <row r="508" customFormat="false" ht="15" hidden="false" customHeight="true" outlineLevel="0" collapsed="false">
      <c r="A508" s="1" t="n">
        <v>59</v>
      </c>
      <c r="B508" s="32" t="n">
        <f aca="false">INDEX(Surface_Engine!$J$12:$J$72,$A508+1)*IF($A508&lt;$Q$447,INDEX(Surface_Engine!$E$12:$E$72,$A508+1),INDEX(Surface_Engine!$E$12:$E$72,$Q$447+1))</f>
        <v>0</v>
      </c>
      <c r="C508" s="32" t="n">
        <f aca="false">INDEX(Panel_Reserving!$C$8:$C$68,$A508+1)*IF($A508&lt;$Q$447,INDEX(Surface_Engine!$E$12:$E$72,$A508+1),INDEX(Surface_Engine!$E$12:$E$72,$Q$447+1))</f>
        <v>0</v>
      </c>
      <c r="D508" s="32" t="n">
        <f aca="false">INDEX(Surface_Engine!$J$12:$J$72,$A508+1)*IF($A508&lt;$Q$447,INDEX(Surface_Engine!$Y$12:$Y$72,$A508+1),INDEX(Surface_Engine!$Y$12:$Y$72,$Q$447+1))</f>
        <v>0</v>
      </c>
      <c r="E508" s="32" t="n">
        <f aca="false">INDEX(Surface_Engine!$J$12:$J$72,$A508+1)*IF($A508&lt;$Q$447,INDEX(Surface_Engine!$Z$12:$Z$72,$A508+1),INDEX(Surface_Engine!$Z$12:$Z$72,$Q$447+1))</f>
        <v>0</v>
      </c>
      <c r="F508" s="48" t="n">
        <f aca="false">B508*(IF($A508&lt;$Q$447,INDEX(Surface_Engine!$D$12:$D$72,$A508+1)+(Surface_Engine!Q239*12)*INDEX(Surface_Engine!$F$12:$F$72,$A508+1)-(Surface_Engine!Q239*12),1000*12*INDEX(Surface_Engine!$C$12:$C$72,$A508+1)/(1+Assumptions!$B$10)^27+INDEX(Surface_Engine!$D$12:$D$72,$A508+1)))*INDEX(Surface_Engine!$B$12:$B$72,$A508+1)+F509</f>
        <v>0</v>
      </c>
      <c r="G508" s="48" t="n">
        <f aca="false">C508*(IF($A508&lt;$Q$447,INDEX(Surface_Engine!$D$12:$D$72,$A508+1)+(Surface_Engine!Q239*12)*INDEX(Surface_Engine!$F$12:$F$72,$A508+1)-(Surface_Engine!Q239*12),1000*12*INDEX(Surface_Engine!$C$12:$C$72,$A508+1)/(1+Assumptions!$B$10)^27+INDEX(Surface_Engine!$D$12:$D$72,$A508+1)))*INDEX(Surface_Engine!$B$12:$B$72,$A508+1)+G509</f>
        <v>0</v>
      </c>
      <c r="H508" s="48" t="n">
        <f aca="false">D508*(IF($A508&lt;$Q$447,INDEX(Surface_Engine!$D$12:$D$72,$A508+1)+(Surface_Engine!Q239*12)*INDEX(Surface_Engine!$F$12:$F$72,$A508+1)-(Surface_Engine!Q239*12),1000*12*INDEX(Surface_Engine!$C$12:$C$72,$A508+1)/(1+Assumptions!$B$10)^27+INDEX(Surface_Engine!$D$12:$D$72,$A508+1)))*INDEX(Surface_Engine!$B$12:$B$72,$A508+1)+H509</f>
        <v>0</v>
      </c>
      <c r="I508" s="48" t="n">
        <f aca="false">E508*(IF($A508&lt;$Q$447,INDEX(Surface_Engine!$D$12:$D$72,$A508+1)+(Surface_Engine!Q239*12)*INDEX(Surface_Engine!$F$12:$F$72,$A508+1)-(Surface_Engine!Q239*12),1000*12*INDEX(Surface_Engine!$C$12:$C$72,$A508+1)/(1+Assumptions!$B$10)^27+INDEX(Surface_Engine!$D$12:$D$72,$A508+1)))*INDEX(Surface_Engine!$B$12:$B$72,$A508+1)+I509</f>
        <v>0</v>
      </c>
      <c r="J508" s="48" t="n">
        <f aca="false">B508*(IF($A508&lt;$Q$447,INDEX(Surface_Engine!$D$12:$D$72,$A508+1)*(1+Assumptions!$B$24)+(Surface_Engine!Q239*12)*INDEX(Surface_Engine!$F$12:$F$72,$A508+1)-(Surface_Engine!Q239*12),1000*12*INDEX(Surface_Engine!$C$12:$C$72,$A508+1)/(1+Assumptions!$B$10)^27+INDEX(Surface_Engine!$D$12:$D$72,$A508+1)*(1+Assumptions!$B$24)))*INDEX(Surface_Engine!$B$12:$B$72,$A508+1)+J509</f>
        <v>0</v>
      </c>
      <c r="K508" s="12" t="n">
        <f aca="false">SQRT((IF(C508&lt;=0,0,MAX(0,(B508/C508)*G508/INDEX(Surface_Engine!$B$12:$B$72,$A508+1)-F508/INDEX(Surface_Engine!$B$12:$B$72,$A508+1))))^2+(MAX(IF(D508&lt;=0,0,MAX(0,(B508/D508)*H508/INDEX(Surface_Engine!$B$12:$B$72,$A508+1)-F508/INDEX(Surface_Engine!$B$12:$B$72,$A508+1))),IF(E508&lt;=0,0,MAX(0,(B508/E508)*I508/INDEX(Surface_Engine!$B$12:$B$72,$A508+1)-F508/INDEX(Surface_Engine!$B$12:$B$72,$A508+1))),IF($A508&lt;$Q$447,MAX(0,-Assumptions!$B$22*(F508/INDEX(Surface_Engine!$B$12:$B$72,$A508+1))),0)))^2+(MAX(0,J508/INDEX(Surface_Engine!$B$12:$B$72,$A508+1)-(F508/INDEX(Surface_Engine!$B$12:$B$72,$A508+1))))^2+2*Assumptions!$B$26*(IF(C508&lt;=0,0,MAX(0,(B508/C508)*G508/INDEX(Surface_Engine!$B$12:$B$72,$A508+1)-F508/INDEX(Surface_Engine!$B$12:$B$72,$A508+1))))*(MAX(IF(D508&lt;=0,0,MAX(0,(B508/D508)*H508/INDEX(Surface_Engine!$B$12:$B$72,$A508+1)-F508/INDEX(Surface_Engine!$B$12:$B$72,$A508+1))),IF(E508&lt;=0,0,MAX(0,(B508/E508)*I508/INDEX(Surface_Engine!$B$12:$B$72,$A508+1)-F508/INDEX(Surface_Engine!$B$12:$B$72,$A508+1))),IF($A508&lt;$Q$447,MAX(0,-Assumptions!$B$22*(F508/INDEX(Surface_Engine!$B$12:$B$72,$A508+1))),0)))+2*Assumptions!$B$27*(IF(C508&lt;=0,0,MAX(0,(B508/C508)*G508/INDEX(Surface_Engine!$B$12:$B$72,$A508+1)-F508/INDEX(Surface_Engine!$B$12:$B$72,$A508+1))))*(MAX(0,J508/INDEX(Surface_Engine!$B$12:$B$72,$A508+1)-(F508/INDEX(Surface_Engine!$B$12:$B$72,$A508+1))))+2*Assumptions!$B$28*(MAX(IF(D508&lt;=0,0,MAX(0,(B508/D508)*H508/INDEX(Surface_Engine!$B$12:$B$72,$A508+1)-F508/INDEX(Surface_Engine!$B$12:$B$72,$A508+1))),IF(E508&lt;=0,0,MAX(0,(B508/E508)*I508/INDEX(Surface_Engine!$B$12:$B$72,$A508+1)-F508/INDEX(Surface_Engine!$B$12:$B$72,$A508+1))),IF($A508&lt;$Q$447,MAX(0,-Assumptions!$B$22*(F508/INDEX(Surface_Engine!$B$12:$B$72,$A508+1))),0)))*(MAX(0,J508/INDEX(Surface_Engine!$B$12:$B$72,$A508+1)-(F508/INDEX(Surface_Engine!$B$12:$B$72,$A508+1)))))</f>
        <v>0</v>
      </c>
      <c r="L508" s="48" t="n">
        <f aca="false">K508*INDEX(Surface_Engine!$B$12:$B$72,$A508+1)+L509</f>
        <v>0</v>
      </c>
      <c r="M508" s="48" t="n">
        <f aca="false">M507+B507*(IF($A507&lt;$Q$447,(Surface_Engine!Q239*12)-(Surface_Engine!Q239*12)*INDEX(Surface_Engine!$F$12:$F$72,$A507+1)-INDEX(Surface_Engine!$D$12:$D$72,$A507+1),-(1000*12*INDEX(Surface_Engine!$C$12:$C$72,$A507+1)/(1+Assumptions!$B$10)^27+INDEX(Surface_Engine!$D$12:$D$72,$A507+1))))*INDEX(Surface_Engine!$B$12:$B$72,$A507+1)</f>
        <v>498.768967653448</v>
      </c>
      <c r="N508" s="12" t="n">
        <f aca="false">IF(B508&lt;=0,0,MAX(0,(K508+Assumptions!$B$29*L508/INDEX(Surface_Engine!$B$12:$B$72,$A508+1)-(M508/INDEX(Surface_Engine!$B$12:$B$72,$A508+1)-(F508/INDEX(Surface_Engine!$B$12:$B$72,$A508+1))))/B508))</f>
        <v>0</v>
      </c>
    </row>
    <row r="509" customFormat="false" ht="15" hidden="false" customHeight="true" outlineLevel="0" collapsed="false">
      <c r="A509" s="1" t="n">
        <v>60</v>
      </c>
      <c r="B509" s="32" t="n">
        <f aca="false">INDEX(Surface_Engine!$J$12:$J$72,$A509+1)*IF($A509&lt;$Q$447,INDEX(Surface_Engine!$E$12:$E$72,$A509+1),INDEX(Surface_Engine!$E$12:$E$72,$Q$447+1))</f>
        <v>0</v>
      </c>
      <c r="C509" s="32" t="n">
        <f aca="false">INDEX(Panel_Reserving!$C$8:$C$68,$A509+1)*IF($A509&lt;$Q$447,INDEX(Surface_Engine!$E$12:$E$72,$A509+1),INDEX(Surface_Engine!$E$12:$E$72,$Q$447+1))</f>
        <v>0</v>
      </c>
      <c r="D509" s="32" t="n">
        <f aca="false">INDEX(Surface_Engine!$J$12:$J$72,$A509+1)*IF($A509&lt;$Q$447,INDEX(Surface_Engine!$Y$12:$Y$72,$A509+1),INDEX(Surface_Engine!$Y$12:$Y$72,$Q$447+1))</f>
        <v>0</v>
      </c>
      <c r="E509" s="32" t="n">
        <f aca="false">INDEX(Surface_Engine!$J$12:$J$72,$A509+1)*IF($A509&lt;$Q$447,INDEX(Surface_Engine!$Z$12:$Z$72,$A509+1),INDEX(Surface_Engine!$Z$12:$Z$72,$Q$447+1))</f>
        <v>0</v>
      </c>
      <c r="F509" s="48" t="n">
        <f aca="false">B509*(IF($A509&lt;$Q$447,INDEX(Surface_Engine!$D$12:$D$72,$A509+1)+(Surface_Engine!Q239*12)*INDEX(Surface_Engine!$F$12:$F$72,$A509+1)-(Surface_Engine!Q239*12),1000*12*INDEX(Surface_Engine!$C$12:$C$72,$A509+1)/(1+Assumptions!$B$10)^27+INDEX(Surface_Engine!$D$12:$D$72,$A509+1)))*INDEX(Surface_Engine!$B$12:$B$72,$A509+1)</f>
        <v>0</v>
      </c>
      <c r="G509" s="48" t="n">
        <f aca="false">C509*(IF($A509&lt;$Q$447,INDEX(Surface_Engine!$D$12:$D$72,$A509+1)+(Surface_Engine!Q239*12)*INDEX(Surface_Engine!$F$12:$F$72,$A509+1)-(Surface_Engine!Q239*12),1000*12*INDEX(Surface_Engine!$C$12:$C$72,$A509+1)/(1+Assumptions!$B$10)^27+INDEX(Surface_Engine!$D$12:$D$72,$A509+1)))*INDEX(Surface_Engine!$B$12:$B$72,$A509+1)</f>
        <v>0</v>
      </c>
      <c r="H509" s="48" t="n">
        <f aca="false">D509*(IF($A509&lt;$Q$447,INDEX(Surface_Engine!$D$12:$D$72,$A509+1)+(Surface_Engine!Q239*12)*INDEX(Surface_Engine!$F$12:$F$72,$A509+1)-(Surface_Engine!Q239*12),1000*12*INDEX(Surface_Engine!$C$12:$C$72,$A509+1)/(1+Assumptions!$B$10)^27+INDEX(Surface_Engine!$D$12:$D$72,$A509+1)))*INDEX(Surface_Engine!$B$12:$B$72,$A509+1)</f>
        <v>0</v>
      </c>
      <c r="I509" s="48" t="n">
        <f aca="false">E509*(IF($A509&lt;$Q$447,INDEX(Surface_Engine!$D$12:$D$72,$A509+1)+(Surface_Engine!Q239*12)*INDEX(Surface_Engine!$F$12:$F$72,$A509+1)-(Surface_Engine!Q239*12),1000*12*INDEX(Surface_Engine!$C$12:$C$72,$A509+1)/(1+Assumptions!$B$10)^27+INDEX(Surface_Engine!$D$12:$D$72,$A509+1)))*INDEX(Surface_Engine!$B$12:$B$72,$A509+1)</f>
        <v>0</v>
      </c>
      <c r="J509" s="48" t="n">
        <f aca="false">B509*(IF($A509&lt;$Q$447,INDEX(Surface_Engine!$D$12:$D$72,$A509+1)*(1+Assumptions!$B$24)+(Surface_Engine!Q239*12)*INDEX(Surface_Engine!$F$12:$F$72,$A509+1)-(Surface_Engine!Q239*12),1000*12*INDEX(Surface_Engine!$C$12:$C$72,$A509+1)/(1+Assumptions!$B$10)^27+INDEX(Surface_Engine!$D$12:$D$72,$A509+1)*(1+Assumptions!$B$24)))*INDEX(Surface_Engine!$B$12:$B$72,$A509+1)</f>
        <v>0</v>
      </c>
      <c r="K509" s="12" t="n">
        <f aca="false">SQRT((IF(C509&lt;=0,0,MAX(0,(B509/C509)*G509/INDEX(Surface_Engine!$B$12:$B$72,$A509+1)-F509/INDEX(Surface_Engine!$B$12:$B$72,$A509+1))))^2+(MAX(IF(D509&lt;=0,0,MAX(0,(B509/D509)*H509/INDEX(Surface_Engine!$B$12:$B$72,$A509+1)-F509/INDEX(Surface_Engine!$B$12:$B$72,$A509+1))),IF(E509&lt;=0,0,MAX(0,(B509/E509)*I509/INDEX(Surface_Engine!$B$12:$B$72,$A509+1)-F509/INDEX(Surface_Engine!$B$12:$B$72,$A509+1))),IF($A509&lt;$Q$447,MAX(0,-Assumptions!$B$22*(F509/INDEX(Surface_Engine!$B$12:$B$72,$A509+1))),0)))^2+(MAX(0,J509/INDEX(Surface_Engine!$B$12:$B$72,$A509+1)-(F509/INDEX(Surface_Engine!$B$12:$B$72,$A509+1))))^2+2*Assumptions!$B$26*(IF(C509&lt;=0,0,MAX(0,(B509/C509)*G509/INDEX(Surface_Engine!$B$12:$B$72,$A509+1)-F509/INDEX(Surface_Engine!$B$12:$B$72,$A509+1))))*(MAX(IF(D509&lt;=0,0,MAX(0,(B509/D509)*H509/INDEX(Surface_Engine!$B$12:$B$72,$A509+1)-F509/INDEX(Surface_Engine!$B$12:$B$72,$A509+1))),IF(E509&lt;=0,0,MAX(0,(B509/E509)*I509/INDEX(Surface_Engine!$B$12:$B$72,$A509+1)-F509/INDEX(Surface_Engine!$B$12:$B$72,$A509+1))),IF($A509&lt;$Q$447,MAX(0,-Assumptions!$B$22*(F509/INDEX(Surface_Engine!$B$12:$B$72,$A509+1))),0)))+2*Assumptions!$B$27*(IF(C509&lt;=0,0,MAX(0,(B509/C509)*G509/INDEX(Surface_Engine!$B$12:$B$72,$A509+1)-F509/INDEX(Surface_Engine!$B$12:$B$72,$A509+1))))*(MAX(0,J509/INDEX(Surface_Engine!$B$12:$B$72,$A509+1)-(F509/INDEX(Surface_Engine!$B$12:$B$72,$A509+1))))+2*Assumptions!$B$28*(MAX(IF(D509&lt;=0,0,MAX(0,(B509/D509)*H509/INDEX(Surface_Engine!$B$12:$B$72,$A509+1)-F509/INDEX(Surface_Engine!$B$12:$B$72,$A509+1))),IF(E509&lt;=0,0,MAX(0,(B509/E509)*I509/INDEX(Surface_Engine!$B$12:$B$72,$A509+1)-F509/INDEX(Surface_Engine!$B$12:$B$72,$A509+1))),IF($A509&lt;$Q$447,MAX(0,-Assumptions!$B$22*(F509/INDEX(Surface_Engine!$B$12:$B$72,$A509+1))),0)))*(MAX(0,J509/INDEX(Surface_Engine!$B$12:$B$72,$A509+1)-(F509/INDEX(Surface_Engine!$B$12:$B$72,$A509+1)))))</f>
        <v>0</v>
      </c>
      <c r="L509" s="48" t="n">
        <f aca="false">K509*INDEX(Surface_Engine!$B$12:$B$72,$A509+1)</f>
        <v>0</v>
      </c>
      <c r="M509" s="48" t="n">
        <f aca="false">M508+B508*(IF($A508&lt;$Q$447,(Surface_Engine!Q239*12)-(Surface_Engine!Q239*12)*INDEX(Surface_Engine!$F$12:$F$72,$A508+1)-INDEX(Surface_Engine!$D$12:$D$72,$A508+1),-(1000*12*INDEX(Surface_Engine!$C$12:$C$72,$A508+1)/(1+Assumptions!$B$10)^27+INDEX(Surface_Engine!$D$12:$D$72,$A508+1))))*INDEX(Surface_Engine!$B$12:$B$72,$A508+1)</f>
        <v>498.768967653448</v>
      </c>
      <c r="N509" s="12" t="n">
        <f aca="false">IF(B509&lt;=0,0,MAX(0,(K509+Assumptions!$B$29*L509/INDEX(Surface_Engine!$B$12:$B$72,$A509+1)-(M509/INDEX(Surface_Engine!$B$12:$B$72,$A509+1)-(F509/INDEX(Surface_Engine!$B$12:$B$72,$A509+1))))/B509))</f>
        <v>0</v>
      </c>
    </row>
    <row r="510" customFormat="false" ht="15" hidden="false" customHeight="true" outlineLevel="0" collapsed="false">
      <c r="A510" s="4" t="str">
        <f aca="false">"entry "&amp;O510&amp;" / vesting "&amp;P510&amp;"   deferral "&amp;Q510</f>
        <v>entry 65 / vesting 75   deferral 10</v>
      </c>
      <c r="C510" s="49" t="n">
        <f aca="false">MAX(N449:N509)</f>
        <v>15151.1011737887</v>
      </c>
      <c r="E510" s="7" t="s">
        <v>1634</v>
      </c>
      <c r="G510" s="21" t="n">
        <f aca="false">INDEX(A449:A509,MATCH(C510,N449:N509,0))</f>
        <v>23</v>
      </c>
      <c r="J510" s="7" t="s">
        <v>1624</v>
      </c>
      <c r="K510" s="50" t="n">
        <f aca="false">Surface_Engine!B241</f>
        <v>1362.08662676073</v>
      </c>
      <c r="O510" s="1" t="n">
        <f aca="false">A1716</f>
        <v>65</v>
      </c>
      <c r="P510" s="76" t="n">
        <f aca="false">B$1713</f>
        <v>75</v>
      </c>
      <c r="Q510" s="1" t="n">
        <f aca="false">P510-O510</f>
        <v>10</v>
      </c>
    </row>
    <row r="511" customFormat="false" ht="15" hidden="false" customHeight="true" outlineLevel="0" collapsed="false">
      <c r="A511" s="8" t="s">
        <v>802</v>
      </c>
      <c r="B511" s="8" t="s">
        <v>1584</v>
      </c>
      <c r="C511" s="8" t="s">
        <v>1585</v>
      </c>
      <c r="D511" s="8" t="s">
        <v>1587</v>
      </c>
      <c r="E511" s="8" t="s">
        <v>1588</v>
      </c>
      <c r="F511" s="8" t="s">
        <v>1625</v>
      </c>
      <c r="G511" s="8" t="s">
        <v>1626</v>
      </c>
      <c r="H511" s="8" t="s">
        <v>1627</v>
      </c>
      <c r="I511" s="8" t="s">
        <v>1628</v>
      </c>
      <c r="J511" s="8" t="s">
        <v>1629</v>
      </c>
      <c r="K511" s="8" t="s">
        <v>812</v>
      </c>
      <c r="L511" s="8" t="s">
        <v>1630</v>
      </c>
      <c r="M511" s="8" t="s">
        <v>341</v>
      </c>
      <c r="N511" s="8" t="s">
        <v>1631</v>
      </c>
      <c r="O511" s="1" t="s">
        <v>1544</v>
      </c>
      <c r="P511" s="1" t="s">
        <v>1632</v>
      </c>
      <c r="Q511" s="1" t="s">
        <v>1633</v>
      </c>
    </row>
    <row r="512" customFormat="false" ht="15" hidden="false" customHeight="true" outlineLevel="0" collapsed="false">
      <c r="A512" s="1" t="n">
        <v>0</v>
      </c>
      <c r="B512" s="32" t="n">
        <f aca="false">INDEX(Surface_Engine!$L$12:$L$72,$A512+1)*IF($A512&lt;$Q$510,INDEX(Surface_Engine!$E$12:$E$72,$A512+1),INDEX(Surface_Engine!$E$12:$E$72,$Q$510+1))</f>
        <v>1</v>
      </c>
      <c r="C512" s="32" t="n">
        <f aca="false">INDEX(Panel_Reserving!$D$8:$D$68,$A512+1)*IF($A512&lt;$Q$510,INDEX(Surface_Engine!$E$12:$E$72,$A512+1),INDEX(Surface_Engine!$E$12:$E$72,$Q$510+1))</f>
        <v>1</v>
      </c>
      <c r="D512" s="32" t="n">
        <f aca="false">INDEX(Surface_Engine!$L$12:$L$72,$A512+1)*IF($A512&lt;$Q$510,INDEX(Surface_Engine!$Y$12:$Y$72,$A512+1),INDEX(Surface_Engine!$Y$12:$Y$72,$Q$510+1))</f>
        <v>1</v>
      </c>
      <c r="E512" s="32" t="n">
        <f aca="false">INDEX(Surface_Engine!$L$12:$L$72,$A512+1)*IF($A512&lt;$Q$510,INDEX(Surface_Engine!$Z$12:$Z$72,$A512+1),INDEX(Surface_Engine!$Z$12:$Z$72,$Q$510+1))</f>
        <v>1</v>
      </c>
      <c r="F512" s="48" t="n">
        <f aca="false">B512*(IF($A512&lt;$Q$510,INDEX(Surface_Engine!$D$12:$D$72,$A512+1)+(Surface_Engine!B241*12)*INDEX(Surface_Engine!$F$12:$F$72,$A512+1)-(Surface_Engine!B241*12),1000*12*INDEX(Surface_Engine!$C$12:$C$72,$A512+1)/(1+Assumptions!$B$10)^10+INDEX(Surface_Engine!$D$12:$D$72,$A512+1)))*INDEX(Surface_Engine!$B$12:$B$72,$A512+1)+F513</f>
        <v>-3895.43899593672</v>
      </c>
      <c r="G512" s="48" t="n">
        <f aca="false">C512*(IF($A512&lt;$Q$510,INDEX(Surface_Engine!$D$12:$D$72,$A512+1)+(Surface_Engine!B241*12)*INDEX(Surface_Engine!$F$12:$F$72,$A512+1)-(Surface_Engine!B241*12),1000*12*INDEX(Surface_Engine!$C$12:$C$72,$A512+1)/(1+Assumptions!$B$10)^10+INDEX(Surface_Engine!$D$12:$D$72,$A512+1)))*INDEX(Surface_Engine!$B$12:$B$72,$A512+1)+G513</f>
        <v>6608.45671152689</v>
      </c>
      <c r="H512" s="48" t="n">
        <f aca="false">D512*(IF($A512&lt;$Q$510,INDEX(Surface_Engine!$D$12:$D$72,$A512+1)+(Surface_Engine!B241*12)*INDEX(Surface_Engine!$F$12:$F$72,$A512+1)-(Surface_Engine!B241*12),1000*12*INDEX(Surface_Engine!$C$12:$C$72,$A512+1)/(1+Assumptions!$B$10)^10+INDEX(Surface_Engine!$D$12:$D$72,$A512+1)))*INDEX(Surface_Engine!$B$12:$B$72,$A512+1)+H513</f>
        <v>-6422.25423211027</v>
      </c>
      <c r="I512" s="48" t="n">
        <f aca="false">E512*(IF($A512&lt;$Q$510,INDEX(Surface_Engine!$D$12:$D$72,$A512+1)+(Surface_Engine!B241*12)*INDEX(Surface_Engine!$F$12:$F$72,$A512+1)-(Surface_Engine!B241*12),1000*12*INDEX(Surface_Engine!$C$12:$C$72,$A512+1)/(1+Assumptions!$B$10)^10+INDEX(Surface_Engine!$D$12:$D$72,$A512+1)))*INDEX(Surface_Engine!$B$12:$B$72,$A512+1)+I513</f>
        <v>-1064.60497140174</v>
      </c>
      <c r="J512" s="48" t="n">
        <f aca="false">B512*(IF($A512&lt;$Q$510,INDEX(Surface_Engine!$D$12:$D$72,$A512+1)*(1+Assumptions!$B$24)+(Surface_Engine!B241*12)*INDEX(Surface_Engine!$F$12:$F$72,$A512+1)-(Surface_Engine!B241*12),1000*12*INDEX(Surface_Engine!$C$12:$C$72,$A512+1)/(1+Assumptions!$B$10)^10+INDEX(Surface_Engine!$D$12:$D$72,$A512+1)*(1+Assumptions!$B$24)))*INDEX(Surface_Engine!$B$12:$B$72,$A512+1)+J513</f>
        <v>-3729.77077423736</v>
      </c>
      <c r="K512" s="12" t="n">
        <f aca="false">SQRT((IF(C512&lt;=0,0,MAX(0,(B512/C512)*G512/INDEX(Surface_Engine!$B$12:$B$72,$A512+1)-F512/INDEX(Surface_Engine!$B$12:$B$72,$A512+1))))^2+(MAX(IF(D512&lt;=0,0,MAX(0,(B512/D512)*H512/INDEX(Surface_Engine!$B$12:$B$72,$A512+1)-F512/INDEX(Surface_Engine!$B$12:$B$72,$A512+1))),IF(E512&lt;=0,0,MAX(0,(B512/E512)*I512/INDEX(Surface_Engine!$B$12:$B$72,$A512+1)-F512/INDEX(Surface_Engine!$B$12:$B$72,$A512+1))),IF($A512&lt;$Q$510,MAX(0,-Assumptions!$B$22*(F512/INDEX(Surface_Engine!$B$12:$B$72,$A512+1))),0)))^2+(MAX(0,J512/INDEX(Surface_Engine!$B$12:$B$72,$A512+1)-(F512/INDEX(Surface_Engine!$B$12:$B$72,$A512+1))))^2+2*Assumptions!$B$26*(IF(C512&lt;=0,0,MAX(0,(B512/C512)*G512/INDEX(Surface_Engine!$B$12:$B$72,$A512+1)-F512/INDEX(Surface_Engine!$B$12:$B$72,$A512+1))))*(MAX(IF(D512&lt;=0,0,MAX(0,(B512/D512)*H512/INDEX(Surface_Engine!$B$12:$B$72,$A512+1)-F512/INDEX(Surface_Engine!$B$12:$B$72,$A512+1))),IF(E512&lt;=0,0,MAX(0,(B512/E512)*I512/INDEX(Surface_Engine!$B$12:$B$72,$A512+1)-F512/INDEX(Surface_Engine!$B$12:$B$72,$A512+1))),IF($A512&lt;$Q$510,MAX(0,-Assumptions!$B$22*(F512/INDEX(Surface_Engine!$B$12:$B$72,$A512+1))),0)))+2*Assumptions!$B$27*(IF(C512&lt;=0,0,MAX(0,(B512/C512)*G512/INDEX(Surface_Engine!$B$12:$B$72,$A512+1)-F512/INDEX(Surface_Engine!$B$12:$B$72,$A512+1))))*(MAX(0,J512/INDEX(Surface_Engine!$B$12:$B$72,$A512+1)-(F512/INDEX(Surface_Engine!$B$12:$B$72,$A512+1))))+2*Assumptions!$B$28*(MAX(IF(D512&lt;=0,0,MAX(0,(B512/D512)*H512/INDEX(Surface_Engine!$B$12:$B$72,$A512+1)-F512/INDEX(Surface_Engine!$B$12:$B$72,$A512+1))),IF(E512&lt;=0,0,MAX(0,(B512/E512)*I512/INDEX(Surface_Engine!$B$12:$B$72,$A512+1)-F512/INDEX(Surface_Engine!$B$12:$B$72,$A512+1))),IF($A512&lt;$Q$510,MAX(0,-Assumptions!$B$22*(F512/INDEX(Surface_Engine!$B$12:$B$72,$A512+1))),0)))*(MAX(0,J512/INDEX(Surface_Engine!$B$12:$B$72,$A512+1)-(F512/INDEX(Surface_Engine!$B$12:$B$72,$A512+1)))))</f>
        <v>11600.8338082658</v>
      </c>
      <c r="L512" s="48" t="n">
        <f aca="false">K512*INDEX(Surface_Engine!$B$12:$B$72,$A512+1)+L513</f>
        <v>228259.024234247</v>
      </c>
      <c r="M512" s="48" t="n">
        <v>0</v>
      </c>
      <c r="N512" s="12" t="n">
        <f aca="false">IF(B512&lt;=0,0,MAX(0,(K512+Assumptions!$B$29*L512/INDEX(Surface_Engine!$B$12:$B$72,$A512+1)-(M512/INDEX(Surface_Engine!$B$12:$B$72,$A512+1)-(F512/INDEX(Surface_Engine!$B$12:$B$72,$A512+1))))/B512))</f>
        <v>21400.9362663839</v>
      </c>
    </row>
    <row r="513" customFormat="false" ht="15" hidden="false" customHeight="true" outlineLevel="0" collapsed="false">
      <c r="A513" s="1" t="n">
        <v>1</v>
      </c>
      <c r="B513" s="32" t="n">
        <f aca="false">INDEX(Surface_Engine!$L$12:$L$72,$A513+1)*IF($A513&lt;$Q$510,INDEX(Surface_Engine!$E$12:$E$72,$A513+1),INDEX(Surface_Engine!$E$12:$E$72,$Q$510+1))</f>
        <v>0.954429784274803</v>
      </c>
      <c r="C513" s="32" t="n">
        <f aca="false">INDEX(Panel_Reserving!$D$8:$D$68,$A513+1)*IF($A513&lt;$Q$510,INDEX(Surface_Engine!$E$12:$E$72,$A513+1),INDEX(Surface_Engine!$E$12:$E$72,$Q$510+1))</f>
        <v>0.955423827419843</v>
      </c>
      <c r="D513" s="32" t="n">
        <f aca="false">INDEX(Surface_Engine!$L$12:$L$72,$A513+1)*IF($A513&lt;$Q$510,INDEX(Surface_Engine!$Y$12:$Y$72,$A513+1),INDEX(Surface_Engine!$Y$12:$Y$72,$Q$510+1))</f>
        <v>0.934234949356335</v>
      </c>
      <c r="E513" s="32" t="n">
        <f aca="false">INDEX(Surface_Engine!$L$12:$L$72,$A513+1)*IF($A513&lt;$Q$510,INDEX(Surface_Engine!$Z$12:$Z$72,$A513+1),INDEX(Surface_Engine!$Z$12:$Z$72,$Q$510+1))</f>
        <v>0.974624619193272</v>
      </c>
      <c r="F513" s="48" t="n">
        <f aca="false">B513*(IF($A513&lt;$Q$510,INDEX(Surface_Engine!$D$12:$D$72,$A513+1)+(Surface_Engine!B241*12)*INDEX(Surface_Engine!$F$12:$F$72,$A513+1)-(Surface_Engine!B241*12),1000*12*INDEX(Surface_Engine!$C$12:$C$72,$A513+1)/(1+Assumptions!$B$10)^10+INDEX(Surface_Engine!$D$12:$D$72,$A513+1)))*INDEX(Surface_Engine!$B$12:$B$72,$A513+1)+F514</f>
        <v>-3977.43899593672</v>
      </c>
      <c r="G513" s="48" t="n">
        <f aca="false">C513*(IF($A513&lt;$Q$510,INDEX(Surface_Engine!$D$12:$D$72,$A513+1)+(Surface_Engine!B241*12)*INDEX(Surface_Engine!$F$12:$F$72,$A513+1)-(Surface_Engine!B241*12),1000*12*INDEX(Surface_Engine!$C$12:$C$72,$A513+1)/(1+Assumptions!$B$10)^10+INDEX(Surface_Engine!$D$12:$D$72,$A513+1)))*INDEX(Surface_Engine!$B$12:$B$72,$A513+1)+G514</f>
        <v>6526.45671152689</v>
      </c>
      <c r="H513" s="48" t="n">
        <f aca="false">D513*(IF($A513&lt;$Q$510,INDEX(Surface_Engine!$D$12:$D$72,$A513+1)+(Surface_Engine!B241*12)*INDEX(Surface_Engine!$F$12:$F$72,$A513+1)-(Surface_Engine!B241*12),1000*12*INDEX(Surface_Engine!$C$12:$C$72,$A513+1)/(1+Assumptions!$B$10)^10+INDEX(Surface_Engine!$D$12:$D$72,$A513+1)))*INDEX(Surface_Engine!$B$12:$B$72,$A513+1)+H514</f>
        <v>-6504.25423211027</v>
      </c>
      <c r="I513" s="48" t="n">
        <f aca="false">E513*(IF($A513&lt;$Q$510,INDEX(Surface_Engine!$D$12:$D$72,$A513+1)+(Surface_Engine!B241*12)*INDEX(Surface_Engine!$F$12:$F$72,$A513+1)-(Surface_Engine!B241*12),1000*12*INDEX(Surface_Engine!$C$12:$C$72,$A513+1)/(1+Assumptions!$B$10)^10+INDEX(Surface_Engine!$D$12:$D$72,$A513+1)))*INDEX(Surface_Engine!$B$12:$B$72,$A513+1)+I514</f>
        <v>-1146.60497140174</v>
      </c>
      <c r="J513" s="48" t="n">
        <f aca="false">B513*(IF($A513&lt;$Q$510,INDEX(Surface_Engine!$D$12:$D$72,$A513+1)*(1+Assumptions!$B$24)+(Surface_Engine!B241*12)*INDEX(Surface_Engine!$F$12:$F$72,$A513+1)-(Surface_Engine!B241*12),1000*12*INDEX(Surface_Engine!$C$12:$C$72,$A513+1)/(1+Assumptions!$B$10)^10+INDEX(Surface_Engine!$D$12:$D$72,$A513+1)*(1+Assumptions!$B$24)))*INDEX(Surface_Engine!$B$12:$B$72,$A513+1)+J514</f>
        <v>-3819.97077423736</v>
      </c>
      <c r="K513" s="12" t="n">
        <f aca="false">SQRT((IF(C513&lt;=0,0,MAX(0,(B513/C513)*G513/INDEX(Surface_Engine!$B$12:$B$72,$A513+1)-F513/INDEX(Surface_Engine!$B$12:$B$72,$A513+1))))^2+(MAX(IF(D513&lt;=0,0,MAX(0,(B513/D513)*H513/INDEX(Surface_Engine!$B$12:$B$72,$A513+1)-F513/INDEX(Surface_Engine!$B$12:$B$72,$A513+1))),IF(E513&lt;=0,0,MAX(0,(B513/E513)*I513/INDEX(Surface_Engine!$B$12:$B$72,$A513+1)-F513/INDEX(Surface_Engine!$B$12:$B$72,$A513+1))),IF($A513&lt;$Q$510,MAX(0,-Assumptions!$B$22*(F513/INDEX(Surface_Engine!$B$12:$B$72,$A513+1))),0)))^2+(MAX(0,J513/INDEX(Surface_Engine!$B$12:$B$72,$A513+1)-(F513/INDEX(Surface_Engine!$B$12:$B$72,$A513+1))))^2+2*Assumptions!$B$26*(IF(C513&lt;=0,0,MAX(0,(B513/C513)*G513/INDEX(Surface_Engine!$B$12:$B$72,$A513+1)-F513/INDEX(Surface_Engine!$B$12:$B$72,$A513+1))))*(MAX(IF(D513&lt;=0,0,MAX(0,(B513/D513)*H513/INDEX(Surface_Engine!$B$12:$B$72,$A513+1)-F513/INDEX(Surface_Engine!$B$12:$B$72,$A513+1))),IF(E513&lt;=0,0,MAX(0,(B513/E513)*I513/INDEX(Surface_Engine!$B$12:$B$72,$A513+1)-F513/INDEX(Surface_Engine!$B$12:$B$72,$A513+1))),IF($A513&lt;$Q$510,MAX(0,-Assumptions!$B$22*(F513/INDEX(Surface_Engine!$B$12:$B$72,$A513+1))),0)))+2*Assumptions!$B$27*(IF(C513&lt;=0,0,MAX(0,(B513/C513)*G513/INDEX(Surface_Engine!$B$12:$B$72,$A513+1)-F513/INDEX(Surface_Engine!$B$12:$B$72,$A513+1))))*(MAX(0,J513/INDEX(Surface_Engine!$B$12:$B$72,$A513+1)-(F513/INDEX(Surface_Engine!$B$12:$B$72,$A513+1))))+2*Assumptions!$B$28*(MAX(IF(D513&lt;=0,0,MAX(0,(B513/D513)*H513/INDEX(Surface_Engine!$B$12:$B$72,$A513+1)-F513/INDEX(Surface_Engine!$B$12:$B$72,$A513+1))),IF(E513&lt;=0,0,MAX(0,(B513/E513)*I513/INDEX(Surface_Engine!$B$12:$B$72,$A513+1)-F513/INDEX(Surface_Engine!$B$12:$B$72,$A513+1))),IF($A513&lt;$Q$510,MAX(0,-Assumptions!$B$22*(F513/INDEX(Surface_Engine!$B$12:$B$72,$A513+1))),0)))*(MAX(0,J513/INDEX(Surface_Engine!$B$12:$B$72,$A513+1)-(F513/INDEX(Surface_Engine!$B$12:$B$72,$A513+1)))))</f>
        <v>11903.8413648987</v>
      </c>
      <c r="L513" s="48" t="n">
        <f aca="false">K513*INDEX(Surface_Engine!$B$12:$B$72,$A513+1)+L514</f>
        <v>216658.190425981</v>
      </c>
      <c r="M513" s="48" t="n">
        <f aca="false">M512+B512*(IF($A512&lt;$Q$510,(Surface_Engine!B241*12)-(Surface_Engine!B241*12)*INDEX(Surface_Engine!$F$12:$F$72,$A512+1)-INDEX(Surface_Engine!$D$12:$D$72,$A512+1),-(1000*12*INDEX(Surface_Engine!$C$12:$C$72,$A512+1)/(1+Assumptions!$B$10)^10+INDEX(Surface_Engine!$D$12:$D$72,$A512+1))))*INDEX(Surface_Engine!$B$12:$B$72,$A512+1)</f>
        <v>-82</v>
      </c>
      <c r="N513" s="12" t="n">
        <f aca="false">IF(B513&lt;=0,0,MAX(0,(K513+Assumptions!$B$29*L513/INDEX(Surface_Engine!$B$12:$B$72,$A513+1)-(M513/INDEX(Surface_Engine!$B$12:$B$72,$A513+1)-(F513/INDEX(Surface_Engine!$B$12:$B$72,$A513+1))))/B513))</f>
        <v>22258.5624899957</v>
      </c>
    </row>
    <row r="514" customFormat="false" ht="15" hidden="false" customHeight="true" outlineLevel="0" collapsed="false">
      <c r="A514" s="1" t="n">
        <v>2</v>
      </c>
      <c r="B514" s="32" t="n">
        <f aca="false">INDEX(Surface_Engine!$L$12:$L$72,$A514+1)*IF($A514&lt;$Q$510,INDEX(Surface_Engine!$E$12:$E$72,$A514+1),INDEX(Surface_Engine!$E$12:$E$72,$Q$510+1))</f>
        <v>0.928451921141693</v>
      </c>
      <c r="C514" s="32" t="n">
        <f aca="false">INDEX(Panel_Reserving!$D$8:$D$68,$A514+1)*IF($A514&lt;$Q$510,INDEX(Surface_Engine!$E$12:$E$72,$A514+1),INDEX(Surface_Engine!$E$12:$E$72,$Q$510+1))</f>
        <v>0.930473352648266</v>
      </c>
      <c r="D514" s="32" t="n">
        <f aca="false">INDEX(Surface_Engine!$L$12:$L$72,$A514+1)*IF($A514&lt;$Q$510,INDEX(Surface_Engine!$Y$12:$Y$72,$A514+1),INDEX(Surface_Engine!$Y$12:$Y$72,$Q$510+1))</f>
        <v>0.898727479820571</v>
      </c>
      <c r="E514" s="32" t="n">
        <f aca="false">INDEX(Surface_Engine!$L$12:$L$72,$A514+1)*IF($A514&lt;$Q$510,INDEX(Surface_Engine!$Z$12:$Z$72,$A514+1),INDEX(Surface_Engine!$Z$12:$Z$72,$Q$510+1))</f>
        <v>0.958612118510579</v>
      </c>
      <c r="F514" s="48" t="n">
        <f aca="false">B514*(IF($A514&lt;$Q$510,INDEX(Surface_Engine!$D$12:$D$72,$A514+1)+(Surface_Engine!B241*12)*INDEX(Surface_Engine!$F$12:$F$72,$A514+1)-(Surface_Engine!B241*12),1000*12*INDEX(Surface_Engine!$C$12:$C$72,$A514+1)/(1+Assumptions!$B$10)^10+INDEX(Surface_Engine!$D$12:$D$72,$A514+1)))*INDEX(Surface_Engine!$B$12:$B$72,$A514+1)+F515</f>
        <v>10389.556884546</v>
      </c>
      <c r="G514" s="48" t="n">
        <f aca="false">C514*(IF($A514&lt;$Q$510,INDEX(Surface_Engine!$D$12:$D$72,$A514+1)+(Surface_Engine!B241*12)*INDEX(Surface_Engine!$F$12:$F$72,$A514+1)-(Surface_Engine!B241*12),1000*12*INDEX(Surface_Engine!$C$12:$C$72,$A514+1)/(1+Assumptions!$B$10)^10+INDEX(Surface_Engine!$D$12:$D$72,$A514+1)))*INDEX(Surface_Engine!$B$12:$B$72,$A514+1)+G515</f>
        <v>20908.4158863296</v>
      </c>
      <c r="H514" s="48" t="n">
        <f aca="false">D514*(IF($A514&lt;$Q$510,INDEX(Surface_Engine!$D$12:$D$72,$A514+1)+(Surface_Engine!B241*12)*INDEX(Surface_Engine!$F$12:$F$72,$A514+1)-(Surface_Engine!B241*12),1000*12*INDEX(Surface_Engine!$C$12:$C$72,$A514+1)/(1+Assumptions!$B$10)^10+INDEX(Surface_Engine!$D$12:$D$72,$A514+1)))*INDEX(Surface_Engine!$B$12:$B$72,$A514+1)+H515</f>
        <v>7558.74955292344</v>
      </c>
      <c r="I514" s="48" t="n">
        <f aca="false">E514*(IF($A514&lt;$Q$510,INDEX(Surface_Engine!$D$12:$D$72,$A514+1)+(Surface_Engine!B241*12)*INDEX(Surface_Engine!$F$12:$F$72,$A514+1)-(Surface_Engine!B241*12),1000*12*INDEX(Surface_Engine!$C$12:$C$72,$A514+1)/(1+Assumptions!$B$10)^10+INDEX(Surface_Engine!$D$12:$D$72,$A514+1)))*INDEX(Surface_Engine!$B$12:$B$72,$A514+1)+I515</f>
        <v>13524.38300453</v>
      </c>
      <c r="J514" s="48" t="n">
        <f aca="false">B514*(IF($A514&lt;$Q$510,INDEX(Surface_Engine!$D$12:$D$72,$A514+1)*(1+Assumptions!$B$24)+(Surface_Engine!B241*12)*INDEX(Surface_Engine!$F$12:$F$72,$A514+1)-(Surface_Engine!B241*12),1000*12*INDEX(Surface_Engine!$C$12:$C$72,$A514+1)/(1+Assumptions!$B$10)^10+INDEX(Surface_Engine!$D$12:$D$72,$A514+1)*(1+Assumptions!$B$24)))*INDEX(Surface_Engine!$B$12:$B$72,$A514+1)+J515</f>
        <v>10539.2061051763</v>
      </c>
      <c r="K514" s="12" t="n">
        <f aca="false">SQRT((IF(C514&lt;=0,0,MAX(0,(B514/C514)*G514/INDEX(Surface_Engine!$B$12:$B$72,$A514+1)-F514/INDEX(Surface_Engine!$B$12:$B$72,$A514+1))))^2+(MAX(IF(D514&lt;=0,0,MAX(0,(B514/D514)*H514/INDEX(Surface_Engine!$B$12:$B$72,$A514+1)-F514/INDEX(Surface_Engine!$B$12:$B$72,$A514+1))),IF(E514&lt;=0,0,MAX(0,(B514/E514)*I514/INDEX(Surface_Engine!$B$12:$B$72,$A514+1)-F514/INDEX(Surface_Engine!$B$12:$B$72,$A514+1))),IF($A514&lt;$Q$510,MAX(0,-Assumptions!$B$22*(F514/INDEX(Surface_Engine!$B$12:$B$72,$A514+1))),0)))^2+(MAX(0,J514/INDEX(Surface_Engine!$B$12:$B$72,$A514+1)-(F514/INDEX(Surface_Engine!$B$12:$B$72,$A514+1))))^2+2*Assumptions!$B$26*(IF(C514&lt;=0,0,MAX(0,(B514/C514)*G514/INDEX(Surface_Engine!$B$12:$B$72,$A514+1)-F514/INDEX(Surface_Engine!$B$12:$B$72,$A514+1))))*(MAX(IF(D514&lt;=0,0,MAX(0,(B514/D514)*H514/INDEX(Surface_Engine!$B$12:$B$72,$A514+1)-F514/INDEX(Surface_Engine!$B$12:$B$72,$A514+1))),IF(E514&lt;=0,0,MAX(0,(B514/E514)*I514/INDEX(Surface_Engine!$B$12:$B$72,$A514+1)-F514/INDEX(Surface_Engine!$B$12:$B$72,$A514+1))),IF($A514&lt;$Q$510,MAX(0,-Assumptions!$B$22*(F514/INDEX(Surface_Engine!$B$12:$B$72,$A514+1))),0)))+2*Assumptions!$B$27*(IF(C514&lt;=0,0,MAX(0,(B514/C514)*G514/INDEX(Surface_Engine!$B$12:$B$72,$A514+1)-F514/INDEX(Surface_Engine!$B$12:$B$72,$A514+1))))*(MAX(0,J514/INDEX(Surface_Engine!$B$12:$B$72,$A514+1)-(F514/INDEX(Surface_Engine!$B$12:$B$72,$A514+1))))+2*Assumptions!$B$28*(MAX(IF(D514&lt;=0,0,MAX(0,(B514/D514)*H514/INDEX(Surface_Engine!$B$12:$B$72,$A514+1)-F514/INDEX(Surface_Engine!$B$12:$B$72,$A514+1))),IF(E514&lt;=0,0,MAX(0,(B514/E514)*I514/INDEX(Surface_Engine!$B$12:$B$72,$A514+1)-F514/INDEX(Surface_Engine!$B$12:$B$72,$A514+1))),IF($A514&lt;$Q$510,MAX(0,-Assumptions!$B$22*(F514/INDEX(Surface_Engine!$B$12:$B$72,$A514+1))),0)))*(MAX(0,J514/INDEX(Surface_Engine!$B$12:$B$72,$A514+1)-(F514/INDEX(Surface_Engine!$B$12:$B$72,$A514+1)))))</f>
        <v>12120.2736472204</v>
      </c>
      <c r="L514" s="48" t="n">
        <f aca="false">K514*INDEX(Surface_Engine!$B$12:$B$72,$A514+1)+L515</f>
        <v>205055.553515284</v>
      </c>
      <c r="M514" s="48" t="n">
        <f aca="false">M513+B513*(IF($A513&lt;$Q$510,(Surface_Engine!B241*12)-(Surface_Engine!B241*12)*INDEX(Surface_Engine!$F$12:$F$72,$A513+1)-INDEX(Surface_Engine!$D$12:$D$72,$A513+1),-(1000*12*INDEX(Surface_Engine!$C$12:$C$72,$A513+1)/(1+Assumptions!$B$10)^10+INDEX(Surface_Engine!$D$12:$D$72,$A513+1))))*INDEX(Surface_Engine!$B$12:$B$72,$A513+1)</f>
        <v>14284.9958804827</v>
      </c>
      <c r="N514" s="12" t="n">
        <f aca="false">IF(B514&lt;=0,0,MAX(0,(K514+Assumptions!$B$29*L514/INDEX(Surface_Engine!$B$12:$B$72,$A514+1)-(M514/INDEX(Surface_Engine!$B$12:$B$72,$A514+1)-(F514/INDEX(Surface_Engine!$B$12:$B$72,$A514+1))))/B514))</f>
        <v>22591.9597647784</v>
      </c>
    </row>
    <row r="515" customFormat="false" ht="15" hidden="false" customHeight="true" outlineLevel="0" collapsed="false">
      <c r="A515" s="1" t="n">
        <v>3</v>
      </c>
      <c r="B515" s="32" t="n">
        <f aca="false">INDEX(Surface_Engine!$L$12:$L$72,$A515+1)*IF($A515&lt;$Q$510,INDEX(Surface_Engine!$E$12:$E$72,$A515+1),INDEX(Surface_Engine!$E$12:$E$72,$Q$510+1))</f>
        <v>0.910458495120298</v>
      </c>
      <c r="C515" s="32" t="n">
        <f aca="false">INDEX(Panel_Reserving!$D$8:$D$68,$A515+1)*IF($A515&lt;$Q$510,INDEX(Surface_Engine!$E$12:$E$72,$A515+1),INDEX(Surface_Engine!$E$12:$E$72,$Q$510+1))</f>
        <v>0.913572212390625</v>
      </c>
      <c r="D515" s="32" t="n">
        <f aca="false">INDEX(Surface_Engine!$L$12:$L$72,$A515+1)*IF($A515&lt;$Q$510,INDEX(Surface_Engine!$Y$12:$Y$72,$A515+1),INDEX(Surface_Engine!$Y$12:$Y$72,$Q$510+1))</f>
        <v>0.875370403952724</v>
      </c>
      <c r="E515" s="32" t="n">
        <f aca="false">INDEX(Surface_Engine!$L$12:$L$72,$A515+1)*IF($A515&lt;$Q$510,INDEX(Surface_Engine!$Z$12:$Z$72,$A515+1),INDEX(Surface_Engine!$Z$12:$Z$72,$Q$510+1))</f>
        <v>0.946369676313116</v>
      </c>
      <c r="F515" s="48" t="n">
        <f aca="false">B515*(IF($A515&lt;$Q$510,INDEX(Surface_Engine!$D$12:$D$72,$A515+1)+(Surface_Engine!B241*12)*INDEX(Surface_Engine!$F$12:$F$72,$A515+1)-(Surface_Engine!B241*12),1000*12*INDEX(Surface_Engine!$C$12:$C$72,$A515+1)/(1+Assumptions!$B$10)^10+INDEX(Surface_Engine!$D$12:$D$72,$A515+1)))*INDEX(Surface_Engine!$B$12:$B$72,$A515+1)+F516</f>
        <v>24002.0581877303</v>
      </c>
      <c r="G515" s="48" t="n">
        <f aca="false">C515*(IF($A515&lt;$Q$510,INDEX(Surface_Engine!$D$12:$D$72,$A515+1)+(Surface_Engine!B241*12)*INDEX(Surface_Engine!$F$12:$F$72,$A515+1)-(Surface_Engine!B241*12),1000*12*INDEX(Surface_Engine!$C$12:$C$72,$A515+1)/(1+Assumptions!$B$10)^10+INDEX(Surface_Engine!$D$12:$D$72,$A515+1)))*INDEX(Surface_Engine!$B$12:$B$72,$A515+1)+G516</f>
        <v>34550.5544150836</v>
      </c>
      <c r="H515" s="48" t="n">
        <f aca="false">D515*(IF($A515&lt;$Q$510,INDEX(Surface_Engine!$D$12:$D$72,$A515+1)+(Surface_Engine!B241*12)*INDEX(Surface_Engine!$F$12:$F$72,$A515+1)-(Surface_Engine!B241*12),1000*12*INDEX(Surface_Engine!$C$12:$C$72,$A515+1)/(1+Assumptions!$B$10)^10+INDEX(Surface_Engine!$D$12:$D$72,$A515+1)))*INDEX(Surface_Engine!$B$12:$B$72,$A515+1)+H516</f>
        <v>20735.4458488623</v>
      </c>
      <c r="I515" s="48" t="n">
        <f aca="false">E515*(IF($A515&lt;$Q$510,INDEX(Surface_Engine!$D$12:$D$72,$A515+1)+(Surface_Engine!B241*12)*INDEX(Surface_Engine!$F$12:$F$72,$A515+1)-(Surface_Engine!B241*12),1000*12*INDEX(Surface_Engine!$C$12:$C$72,$A515+1)/(1+Assumptions!$B$10)^10+INDEX(Surface_Engine!$D$12:$D$72,$A515+1)))*INDEX(Surface_Engine!$B$12:$B$72,$A515+1)+I516</f>
        <v>27579.0781538786</v>
      </c>
      <c r="J515" s="48" t="n">
        <f aca="false">B515*(IF($A515&lt;$Q$510,INDEX(Surface_Engine!$D$12:$D$72,$A515+1)*(1+Assumptions!$B$24)+(Surface_Engine!B241*12)*INDEX(Surface_Engine!$F$12:$F$72,$A515+1)-(Surface_Engine!B241*12),1000*12*INDEX(Surface_Engine!$C$12:$C$72,$A515+1)/(1+Assumptions!$B$10)^10+INDEX(Surface_Engine!$D$12:$D$72,$A515+1)*(1+Assumptions!$B$24)))*INDEX(Surface_Engine!$B$12:$B$72,$A515+1)+J516</f>
        <v>24144.112785741</v>
      </c>
      <c r="K515" s="12" t="n">
        <f aca="false">SQRT((IF(C515&lt;=0,0,MAX(0,(B515/C515)*G515/INDEX(Surface_Engine!$B$12:$B$72,$A515+1)-F515/INDEX(Surface_Engine!$B$12:$B$72,$A515+1))))^2+(MAX(IF(D515&lt;=0,0,MAX(0,(B515/D515)*H515/INDEX(Surface_Engine!$B$12:$B$72,$A515+1)-F515/INDEX(Surface_Engine!$B$12:$B$72,$A515+1))),IF(E515&lt;=0,0,MAX(0,(B515/E515)*I515/INDEX(Surface_Engine!$B$12:$B$72,$A515+1)-F515/INDEX(Surface_Engine!$B$12:$B$72,$A515+1))),IF($A515&lt;$Q$510,MAX(0,-Assumptions!$B$22*(F515/INDEX(Surface_Engine!$B$12:$B$72,$A515+1))),0)))^2+(MAX(0,J515/INDEX(Surface_Engine!$B$12:$B$72,$A515+1)-(F515/INDEX(Surface_Engine!$B$12:$B$72,$A515+1))))^2+2*Assumptions!$B$26*(IF(C515&lt;=0,0,MAX(0,(B515/C515)*G515/INDEX(Surface_Engine!$B$12:$B$72,$A515+1)-F515/INDEX(Surface_Engine!$B$12:$B$72,$A515+1))))*(MAX(IF(D515&lt;=0,0,MAX(0,(B515/D515)*H515/INDEX(Surface_Engine!$B$12:$B$72,$A515+1)-F515/INDEX(Surface_Engine!$B$12:$B$72,$A515+1))),IF(E515&lt;=0,0,MAX(0,(B515/E515)*I515/INDEX(Surface_Engine!$B$12:$B$72,$A515+1)-F515/INDEX(Surface_Engine!$B$12:$B$72,$A515+1))),IF($A515&lt;$Q$510,MAX(0,-Assumptions!$B$22*(F515/INDEX(Surface_Engine!$B$12:$B$72,$A515+1))),0)))+2*Assumptions!$B$27*(IF(C515&lt;=0,0,MAX(0,(B515/C515)*G515/INDEX(Surface_Engine!$B$12:$B$72,$A515+1)-F515/INDEX(Surface_Engine!$B$12:$B$72,$A515+1))))*(MAX(0,J515/INDEX(Surface_Engine!$B$12:$B$72,$A515+1)-(F515/INDEX(Surface_Engine!$B$12:$B$72,$A515+1))))+2*Assumptions!$B$28*(MAX(IF(D515&lt;=0,0,MAX(0,(B515/D515)*H515/INDEX(Surface_Engine!$B$12:$B$72,$A515+1)-F515/INDEX(Surface_Engine!$B$12:$B$72,$A515+1))),IF(E515&lt;=0,0,MAX(0,(B515/E515)*I515/INDEX(Surface_Engine!$B$12:$B$72,$A515+1)-F515/INDEX(Surface_Engine!$B$12:$B$72,$A515+1))),IF($A515&lt;$Q$510,MAX(0,-Assumptions!$B$22*(F515/INDEX(Surface_Engine!$B$12:$B$72,$A515+1))),0)))*(MAX(0,J515/INDEX(Surface_Engine!$B$12:$B$72,$A515+1)-(F515/INDEX(Surface_Engine!$B$12:$B$72,$A515+1)))))</f>
        <v>12300.3675929455</v>
      </c>
      <c r="L515" s="48" t="n">
        <f aca="false">K515*INDEX(Surface_Engine!$B$12:$B$72,$A515+1)+L516</f>
        <v>193547.612655346</v>
      </c>
      <c r="M515" s="48" t="n">
        <f aca="false">M514+B514*(IF($A514&lt;$Q$510,(Surface_Engine!B241*12)-(Surface_Engine!B241*12)*INDEX(Surface_Engine!$F$12:$F$72,$A514+1)-INDEX(Surface_Engine!$D$12:$D$72,$A514+1),-(1000*12*INDEX(Surface_Engine!$C$12:$C$72,$A514+1)/(1+Assumptions!$B$10)^10+INDEX(Surface_Engine!$D$12:$D$72,$A514+1))))*INDEX(Surface_Engine!$B$12:$B$72,$A514+1)</f>
        <v>27897.497183667</v>
      </c>
      <c r="N515" s="12" t="n">
        <f aca="false">IF(B515&lt;=0,0,MAX(0,(K515+Assumptions!$B$29*L515/INDEX(Surface_Engine!$B$12:$B$72,$A515+1)-(M515/INDEX(Surface_Engine!$B$12:$B$72,$A515+1)-(F515/INDEX(Surface_Engine!$B$12:$B$72,$A515+1))))/B515))</f>
        <v>22671.4136037432</v>
      </c>
    </row>
    <row r="516" customFormat="false" ht="15" hidden="false" customHeight="true" outlineLevel="0" collapsed="false">
      <c r="A516" s="1" t="n">
        <v>4</v>
      </c>
      <c r="B516" s="32" t="n">
        <f aca="false">INDEX(Surface_Engine!$L$12:$L$72,$A516+1)*IF($A516&lt;$Q$510,INDEX(Surface_Engine!$E$12:$E$72,$A516+1),INDEX(Surface_Engine!$E$12:$E$72,$Q$510+1))</f>
        <v>0.89228176534528</v>
      </c>
      <c r="C516" s="32" t="n">
        <f aca="false">INDEX(Panel_Reserving!$D$8:$D$68,$A516+1)*IF($A516&lt;$Q$510,INDEX(Surface_Engine!$E$12:$E$72,$A516+1),INDEX(Surface_Engine!$E$12:$E$72,$Q$510+1))</f>
        <v>0.896550995764067</v>
      </c>
      <c r="D516" s="32" t="n">
        <f aca="false">INDEX(Surface_Engine!$L$12:$L$72,$A516+1)*IF($A516&lt;$Q$510,INDEX(Surface_Engine!$Y$12:$Y$72,$A516+1),INDEX(Surface_Engine!$Y$12:$Y$72,$Q$510+1))</f>
        <v>0.852112290247146</v>
      </c>
      <c r="E516" s="32" t="n">
        <f aca="false">INDEX(Surface_Engine!$L$12:$L$72,$A516+1)*IF($A516&lt;$Q$510,INDEX(Surface_Engine!$Z$12:$Z$72,$A516+1),INDEX(Surface_Engine!$Z$12:$Z$72,$Q$510+1))</f>
        <v>0.933726854193489</v>
      </c>
      <c r="F516" s="48" t="n">
        <f aca="false">B516*(IF($A516&lt;$Q$510,INDEX(Surface_Engine!$D$12:$D$72,$A516+1)+(Surface_Engine!B241*12)*INDEX(Surface_Engine!$F$12:$F$72,$A516+1)-(Surface_Engine!B241*12),1000*12*INDEX(Surface_Engine!$C$12:$C$72,$A516+1)/(1+Assumptions!$B$10)^10+INDEX(Surface_Engine!$D$12:$D$72,$A516+1)))*INDEX(Surface_Engine!$B$12:$B$72,$A516+1)+F517</f>
        <v>37008.1279067237</v>
      </c>
      <c r="G516" s="48" t="n">
        <f aca="false">C516*(IF($A516&lt;$Q$510,INDEX(Surface_Engine!$D$12:$D$72,$A516+1)+(Surface_Engine!B241*12)*INDEX(Surface_Engine!$F$12:$F$72,$A516+1)-(Surface_Engine!B241*12),1000*12*INDEX(Surface_Engine!$C$12:$C$72,$A516+1)/(1+Assumptions!$B$10)^10+INDEX(Surface_Engine!$D$12:$D$72,$A516+1)))*INDEX(Surface_Engine!$B$12:$B$72,$A516+1)+G517</f>
        <v>47601.1041670715</v>
      </c>
      <c r="H516" s="48" t="n">
        <f aca="false">D516*(IF($A516&lt;$Q$510,INDEX(Surface_Engine!$D$12:$D$72,$A516+1)+(Surface_Engine!B241*12)*INDEX(Surface_Engine!$F$12:$F$72,$A516+1)-(Surface_Engine!B241*12),1000*12*INDEX(Surface_Engine!$C$12:$C$72,$A516+1)/(1+Assumptions!$B$10)^10+INDEX(Surface_Engine!$D$12:$D$72,$A516+1)))*INDEX(Surface_Engine!$B$12:$B$72,$A516+1)+H517</f>
        <v>33240.2756294315</v>
      </c>
      <c r="I516" s="48" t="n">
        <f aca="false">E516*(IF($A516&lt;$Q$510,INDEX(Surface_Engine!$D$12:$D$72,$A516+1)+(Surface_Engine!B241*12)*INDEX(Surface_Engine!$F$12:$F$72,$A516+1)-(Surface_Engine!B241*12),1000*12*INDEX(Surface_Engine!$C$12:$C$72,$A516+1)/(1+Assumptions!$B$10)^10+INDEX(Surface_Engine!$D$12:$D$72,$A516+1)))*INDEX(Surface_Engine!$B$12:$B$72,$A516+1)+I517</f>
        <v>41098.1458060984</v>
      </c>
      <c r="J516" s="48" t="n">
        <f aca="false">B516*(IF($A516&lt;$Q$510,INDEX(Surface_Engine!$D$12:$D$72,$A516+1)*(1+Assumptions!$B$24)+(Surface_Engine!B241*12)*INDEX(Surface_Engine!$F$12:$F$72,$A516+1)-(Surface_Engine!B241*12),1000*12*INDEX(Surface_Engine!$C$12:$C$72,$A516+1)/(1+Assumptions!$B$10)^10+INDEX(Surface_Engine!$D$12:$D$72,$A516+1)*(1+Assumptions!$B$24)))*INDEX(Surface_Engine!$B$12:$B$72,$A516+1)+J517</f>
        <v>37142.7437748939</v>
      </c>
      <c r="K516" s="12" t="n">
        <f aca="false">SQRT((IF(C516&lt;=0,0,MAX(0,(B516/C516)*G516/INDEX(Surface_Engine!$B$12:$B$72,$A516+1)-F516/INDEX(Surface_Engine!$B$12:$B$72,$A516+1))))^2+(MAX(IF(D516&lt;=0,0,MAX(0,(B516/D516)*H516/INDEX(Surface_Engine!$B$12:$B$72,$A516+1)-F516/INDEX(Surface_Engine!$B$12:$B$72,$A516+1))),IF(E516&lt;=0,0,MAX(0,(B516/E516)*I516/INDEX(Surface_Engine!$B$12:$B$72,$A516+1)-F516/INDEX(Surface_Engine!$B$12:$B$72,$A516+1))),IF($A516&lt;$Q$510,MAX(0,-Assumptions!$B$22*(F516/INDEX(Surface_Engine!$B$12:$B$72,$A516+1))),0)))^2+(MAX(0,J516/INDEX(Surface_Engine!$B$12:$B$72,$A516+1)-(F516/INDEX(Surface_Engine!$B$12:$B$72,$A516+1))))^2+2*Assumptions!$B$26*(IF(C516&lt;=0,0,MAX(0,(B516/C516)*G516/INDEX(Surface_Engine!$B$12:$B$72,$A516+1)-F516/INDEX(Surface_Engine!$B$12:$B$72,$A516+1))))*(MAX(IF(D516&lt;=0,0,MAX(0,(B516/D516)*H516/INDEX(Surface_Engine!$B$12:$B$72,$A516+1)-F516/INDEX(Surface_Engine!$B$12:$B$72,$A516+1))),IF(E516&lt;=0,0,MAX(0,(B516/E516)*I516/INDEX(Surface_Engine!$B$12:$B$72,$A516+1)-F516/INDEX(Surface_Engine!$B$12:$B$72,$A516+1))),IF($A516&lt;$Q$510,MAX(0,-Assumptions!$B$22*(F516/INDEX(Surface_Engine!$B$12:$B$72,$A516+1))),0)))+2*Assumptions!$B$27*(IF(C516&lt;=0,0,MAX(0,(B516/C516)*G516/INDEX(Surface_Engine!$B$12:$B$72,$A516+1)-F516/INDEX(Surface_Engine!$B$12:$B$72,$A516+1))))*(MAX(0,J516/INDEX(Surface_Engine!$B$12:$B$72,$A516+1)-(F516/INDEX(Surface_Engine!$B$12:$B$72,$A516+1))))+2*Assumptions!$B$28*(MAX(IF(D516&lt;=0,0,MAX(0,(B516/D516)*H516/INDEX(Surface_Engine!$B$12:$B$72,$A516+1)-F516/INDEX(Surface_Engine!$B$12:$B$72,$A516+1))),IF(E516&lt;=0,0,MAX(0,(B516/E516)*I516/INDEX(Surface_Engine!$B$12:$B$72,$A516+1)-F516/INDEX(Surface_Engine!$B$12:$B$72,$A516+1))),IF($A516&lt;$Q$510,MAX(0,-Assumptions!$B$22*(F516/INDEX(Surface_Engine!$B$12:$B$72,$A516+1))),0)))*(MAX(0,J516/INDEX(Surface_Engine!$B$12:$B$72,$A516+1)-(F516/INDEX(Surface_Engine!$B$12:$B$72,$A516+1)))))</f>
        <v>12424.4390856702</v>
      </c>
      <c r="L516" s="48" t="n">
        <f aca="false">K516*INDEX(Surface_Engine!$B$12:$B$72,$A516+1)+L517</f>
        <v>182166.852374587</v>
      </c>
      <c r="M516" s="48" t="n">
        <f aca="false">M515+B515*(IF($A515&lt;$Q$510,(Surface_Engine!B241*12)-(Surface_Engine!B241*12)*INDEX(Surface_Engine!$F$12:$F$72,$A515+1)-INDEX(Surface_Engine!$D$12:$D$72,$A515+1),-(1000*12*INDEX(Surface_Engine!$C$12:$C$72,$A515+1)/(1+Assumptions!$B$10)^10+INDEX(Surface_Engine!$D$12:$D$72,$A515+1))))*INDEX(Surface_Engine!$B$12:$B$72,$A515+1)</f>
        <v>40903.5669026604</v>
      </c>
      <c r="N516" s="12" t="n">
        <f aca="false">IF(B516&lt;=0,0,MAX(0,(K516+Assumptions!$B$29*L516/INDEX(Surface_Engine!$B$12:$B$72,$A516+1)-(M516/INDEX(Surface_Engine!$B$12:$B$72,$A516+1)-(F516/INDEX(Surface_Engine!$B$12:$B$72,$A516+1))))/B516))</f>
        <v>22672.8640064579</v>
      </c>
    </row>
    <row r="517" customFormat="false" ht="15" hidden="false" customHeight="true" outlineLevel="0" collapsed="false">
      <c r="A517" s="1" t="n">
        <v>5</v>
      </c>
      <c r="B517" s="32" t="n">
        <f aca="false">INDEX(Surface_Engine!$L$12:$L$72,$A517+1)*IF($A517&lt;$Q$510,INDEX(Surface_Engine!$E$12:$E$72,$A517+1),INDEX(Surface_Engine!$E$12:$E$72,$Q$510+1))</f>
        <v>0.873874922230056</v>
      </c>
      <c r="C517" s="32" t="n">
        <f aca="false">INDEX(Panel_Reserving!$D$8:$D$68,$A517+1)*IF($A517&lt;$Q$510,INDEX(Surface_Engine!$E$12:$E$72,$A517+1),INDEX(Surface_Engine!$E$12:$E$72,$Q$510+1))</f>
        <v>0.879370239802948</v>
      </c>
      <c r="D517" s="32" t="n">
        <f aca="false">INDEX(Surface_Engine!$L$12:$L$72,$A517+1)*IF($A517&lt;$Q$510,INDEX(Surface_Engine!$Y$12:$Y$72,$A517+1),INDEX(Surface_Engine!$Y$12:$Y$72,$Q$510+1))</f>
        <v>0.828909644494902</v>
      </c>
      <c r="E517" s="32" t="n">
        <f aca="false">INDEX(Surface_Engine!$L$12:$L$72,$A517+1)*IF($A517&lt;$Q$510,INDEX(Surface_Engine!$Z$12:$Z$72,$A517+1),INDEX(Surface_Engine!$Z$12:$Z$72,$Q$510+1))</f>
        <v>0.920628204670913</v>
      </c>
      <c r="F517" s="48" t="n">
        <f aca="false">B517*(IF($A517&lt;$Q$510,INDEX(Surface_Engine!$D$12:$D$72,$A517+1)+(Surface_Engine!B241*12)*INDEX(Surface_Engine!$F$12:$F$72,$A517+1)-(Surface_Engine!B241*12),1000*12*INDEX(Surface_Engine!$C$12:$C$72,$A517+1)/(1+Assumptions!$B$10)^10+INDEX(Surface_Engine!$D$12:$D$72,$A517+1)))*INDEX(Surface_Engine!$B$12:$B$72,$A517+1)+F518</f>
        <v>49421.0429543384</v>
      </c>
      <c r="G517" s="48" t="n">
        <f aca="false">C517*(IF($A517&lt;$Q$510,INDEX(Surface_Engine!$D$12:$D$72,$A517+1)+(Surface_Engine!B241*12)*INDEX(Surface_Engine!$F$12:$F$72,$A517+1)-(Surface_Engine!B241*12),1000*12*INDEX(Surface_Engine!$C$12:$C$72,$A517+1)/(1+Assumptions!$B$10)^10+INDEX(Surface_Engine!$D$12:$D$72,$A517+1)))*INDEX(Surface_Engine!$B$12:$B$72,$A517+1)+G518</f>
        <v>60073.4103135131</v>
      </c>
      <c r="H517" s="48" t="n">
        <f aca="false">D517*(IF($A517&lt;$Q$510,INDEX(Surface_Engine!$D$12:$D$72,$A517+1)+(Surface_Engine!B241*12)*INDEX(Surface_Engine!$F$12:$F$72,$A517+1)-(Surface_Engine!B241*12),1000*12*INDEX(Surface_Engine!$C$12:$C$72,$A517+1)/(1+Assumptions!$B$10)^10+INDEX(Surface_Engine!$D$12:$D$72,$A517+1)))*INDEX(Surface_Engine!$B$12:$B$72,$A517+1)+H518</f>
        <v>45094.3758482937</v>
      </c>
      <c r="I517" s="48" t="n">
        <f aca="false">E517*(IF($A517&lt;$Q$510,INDEX(Surface_Engine!$D$12:$D$72,$A517+1)+(Surface_Engine!B241*12)*INDEX(Surface_Engine!$F$12:$F$72,$A517+1)-(Surface_Engine!B241*12),1000*12*INDEX(Surface_Engine!$C$12:$C$72,$A517+1)/(1+Assumptions!$B$10)^10+INDEX(Surface_Engine!$D$12:$D$72,$A517+1)))*INDEX(Surface_Engine!$B$12:$B$72,$A517+1)+I518</f>
        <v>54087.6212934691</v>
      </c>
      <c r="J517" s="48" t="n">
        <f aca="false">B517*(IF($A517&lt;$Q$510,INDEX(Surface_Engine!$D$12:$D$72,$A517+1)*(1+Assumptions!$B$24)+(Surface_Engine!B241*12)*INDEX(Surface_Engine!$F$12:$F$72,$A517+1)-(Surface_Engine!B241*12),1000*12*INDEX(Surface_Engine!$C$12:$C$72,$A517+1)/(1+Assumptions!$B$10)^10+INDEX(Surface_Engine!$D$12:$D$72,$A517+1)*(1+Assumptions!$B$24)))*INDEX(Surface_Engine!$B$12:$B$72,$A517+1)+J518</f>
        <v>49548.3808156673</v>
      </c>
      <c r="K517" s="12" t="n">
        <f aca="false">SQRT((IF(C517&lt;=0,0,MAX(0,(B517/C517)*G517/INDEX(Surface_Engine!$B$12:$B$72,$A517+1)-F517/INDEX(Surface_Engine!$B$12:$B$72,$A517+1))))^2+(MAX(IF(D517&lt;=0,0,MAX(0,(B517/D517)*H517/INDEX(Surface_Engine!$B$12:$B$72,$A517+1)-F517/INDEX(Surface_Engine!$B$12:$B$72,$A517+1))),IF(E517&lt;=0,0,MAX(0,(B517/E517)*I517/INDEX(Surface_Engine!$B$12:$B$72,$A517+1)-F517/INDEX(Surface_Engine!$B$12:$B$72,$A517+1))),IF($A517&lt;$Q$510,MAX(0,-Assumptions!$B$22*(F517/INDEX(Surface_Engine!$B$12:$B$72,$A517+1))),0)))^2+(MAX(0,J517/INDEX(Surface_Engine!$B$12:$B$72,$A517+1)-(F517/INDEX(Surface_Engine!$B$12:$B$72,$A517+1))))^2+2*Assumptions!$B$26*(IF(C517&lt;=0,0,MAX(0,(B517/C517)*G517/INDEX(Surface_Engine!$B$12:$B$72,$A517+1)-F517/INDEX(Surface_Engine!$B$12:$B$72,$A517+1))))*(MAX(IF(D517&lt;=0,0,MAX(0,(B517/D517)*H517/INDEX(Surface_Engine!$B$12:$B$72,$A517+1)-F517/INDEX(Surface_Engine!$B$12:$B$72,$A517+1))),IF(E517&lt;=0,0,MAX(0,(B517/E517)*I517/INDEX(Surface_Engine!$B$12:$B$72,$A517+1)-F517/INDEX(Surface_Engine!$B$12:$B$72,$A517+1))),IF($A517&lt;$Q$510,MAX(0,-Assumptions!$B$22*(F517/INDEX(Surface_Engine!$B$12:$B$72,$A517+1))),0)))+2*Assumptions!$B$27*(IF(C517&lt;=0,0,MAX(0,(B517/C517)*G517/INDEX(Surface_Engine!$B$12:$B$72,$A517+1)-F517/INDEX(Surface_Engine!$B$12:$B$72,$A517+1))))*(MAX(0,J517/INDEX(Surface_Engine!$B$12:$B$72,$A517+1)-(F517/INDEX(Surface_Engine!$B$12:$B$72,$A517+1))))+2*Assumptions!$B$28*(MAX(IF(D517&lt;=0,0,MAX(0,(B517/D517)*H517/INDEX(Surface_Engine!$B$12:$B$72,$A517+1)-F517/INDEX(Surface_Engine!$B$12:$B$72,$A517+1))),IF(E517&lt;=0,0,MAX(0,(B517/E517)*I517/INDEX(Surface_Engine!$B$12:$B$72,$A517+1)-F517/INDEX(Surface_Engine!$B$12:$B$72,$A517+1))),IF($A517&lt;$Q$510,MAX(0,-Assumptions!$B$22*(F517/INDEX(Surface_Engine!$B$12:$B$72,$A517+1))),0)))*(MAX(0,J517/INDEX(Surface_Engine!$B$12:$B$72,$A517+1)-(F517/INDEX(Surface_Engine!$B$12:$B$72,$A517+1)))))</f>
        <v>12500.6985863491</v>
      </c>
      <c r="L517" s="48" t="n">
        <f aca="false">K517*INDEX(Surface_Engine!$B$12:$B$72,$A517+1)+L518</f>
        <v>170970.464922401</v>
      </c>
      <c r="M517" s="48" t="n">
        <f aca="false">M516+B516*(IF($A516&lt;$Q$510,(Surface_Engine!B241*12)-(Surface_Engine!B241*12)*INDEX(Surface_Engine!$F$12:$F$72,$A516+1)-INDEX(Surface_Engine!$D$12:$D$72,$A516+1),-(1000*12*INDEX(Surface_Engine!$C$12:$C$72,$A516+1)/(1+Assumptions!$B$10)^10+INDEX(Surface_Engine!$D$12:$D$72,$A516+1))))*INDEX(Surface_Engine!$B$12:$B$72,$A516+1)</f>
        <v>53316.4819502751</v>
      </c>
      <c r="N517" s="12" t="n">
        <f aca="false">IF(B517&lt;=0,0,MAX(0,(K517+Assumptions!$B$29*L517/INDEX(Surface_Engine!$B$12:$B$72,$A517+1)-(M517/INDEX(Surface_Engine!$B$12:$B$72,$A517+1)-(F517/INDEX(Surface_Engine!$B$12:$B$72,$A517+1))))/B517))</f>
        <v>22610.9627935594</v>
      </c>
    </row>
    <row r="518" customFormat="false" ht="15" hidden="false" customHeight="true" outlineLevel="0" collapsed="false">
      <c r="A518" s="1" t="n">
        <v>6</v>
      </c>
      <c r="B518" s="32" t="n">
        <f aca="false">INDEX(Surface_Engine!$L$12:$L$72,$A518+1)*IF($A518&lt;$Q$510,INDEX(Surface_Engine!$E$12:$E$72,$A518+1),INDEX(Surface_Engine!$E$12:$E$72,$Q$510+1))</f>
        <v>0.858567656672851</v>
      </c>
      <c r="C518" s="32" t="n">
        <f aca="false">INDEX(Panel_Reserving!$D$8:$D$68,$A518+1)*IF($A518&lt;$Q$510,INDEX(Surface_Engine!$E$12:$E$72,$A518+1),INDEX(Surface_Engine!$E$12:$E$72,$Q$510+1))</f>
        <v>0.86544696635803</v>
      </c>
      <c r="D518" s="32" t="n">
        <f aca="false">INDEX(Surface_Engine!$L$12:$L$72,$A518+1)*IF($A518&lt;$Q$510,INDEX(Surface_Engine!$Y$12:$Y$72,$A518+1),INDEX(Surface_Engine!$Y$12:$Y$72,$Q$510+1))</f>
        <v>0.810650510995486</v>
      </c>
      <c r="E518" s="32" t="n">
        <f aca="false">INDEX(Surface_Engine!$L$12:$L$72,$A518+1)*IF($A518&lt;$Q$510,INDEX(Surface_Engine!$Z$12:$Z$72,$A518+1),INDEX(Surface_Engine!$Z$12:$Z$72,$Q$510+1))</f>
        <v>0.908655262205364</v>
      </c>
      <c r="F518" s="48" t="n">
        <f aca="false">B518*(IF($A518&lt;$Q$510,INDEX(Surface_Engine!$D$12:$D$72,$A518+1)+(Surface_Engine!B241*12)*INDEX(Surface_Engine!$F$12:$F$72,$A518+1)-(Surface_Engine!B241*12),1000*12*INDEX(Surface_Engine!$C$12:$C$72,$A518+1)/(1+Assumptions!$B$10)^10+INDEX(Surface_Engine!$D$12:$D$72,$A518+1)))*INDEX(Surface_Engine!$B$12:$B$72,$A518+1)+F519</f>
        <v>61244.911425344</v>
      </c>
      <c r="G518" s="48" t="n">
        <f aca="false">C518*(IF($A518&lt;$Q$510,INDEX(Surface_Engine!$D$12:$D$72,$A518+1)+(Surface_Engine!B241*12)*INDEX(Surface_Engine!$F$12:$F$72,$A518+1)-(Surface_Engine!B241*12),1000*12*INDEX(Surface_Engine!$C$12:$C$72,$A518+1)/(1+Assumptions!$B$10)^10+INDEX(Surface_Engine!$D$12:$D$72,$A518+1)))*INDEX(Surface_Engine!$B$12:$B$72,$A518+1)+G519</f>
        <v>71971.6325742149</v>
      </c>
      <c r="H518" s="48" t="n">
        <f aca="false">D518*(IF($A518&lt;$Q$510,INDEX(Surface_Engine!$D$12:$D$72,$A518+1)+(Surface_Engine!B241*12)*INDEX(Surface_Engine!$F$12:$F$72,$A518+1)-(Surface_Engine!B241*12),1000*12*INDEX(Surface_Engine!$C$12:$C$72,$A518+1)/(1+Assumptions!$B$10)^10+INDEX(Surface_Engine!$D$12:$D$72,$A518+1)))*INDEX(Surface_Engine!$B$12:$B$72,$A518+1)+H519</f>
        <v>56309.8465770389</v>
      </c>
      <c r="I518" s="48" t="n">
        <f aca="false">E518*(IF($A518&lt;$Q$510,INDEX(Surface_Engine!$D$12:$D$72,$A518+1)+(Surface_Engine!B241*12)*INDEX(Surface_Engine!$F$12:$F$72,$A518+1)-(Surface_Engine!B241*12),1000*12*INDEX(Surface_Engine!$C$12:$C$72,$A518+1)/(1+Assumptions!$B$10)^10+INDEX(Surface_Engine!$D$12:$D$72,$A518+1)))*INDEX(Surface_Engine!$B$12:$B$72,$A518+1)+I519</f>
        <v>66544.0799076473</v>
      </c>
      <c r="J518" s="48" t="n">
        <f aca="false">B518*(IF($A518&lt;$Q$510,INDEX(Surface_Engine!$D$12:$D$72,$A518+1)*(1+Assumptions!$B$24)+(Surface_Engine!B241*12)*INDEX(Surface_Engine!$F$12:$F$72,$A518+1)-(Surface_Engine!B241*12),1000*12*INDEX(Surface_Engine!$C$12:$C$72,$A518+1)/(1+Assumptions!$B$10)^10+INDEX(Surface_Engine!$D$12:$D$72,$A518+1)*(1+Assumptions!$B$24)))*INDEX(Surface_Engine!$B$12:$B$72,$A518+1)+J519</f>
        <v>61365.1422951759</v>
      </c>
      <c r="K518" s="12" t="n">
        <f aca="false">SQRT((IF(C518&lt;=0,0,MAX(0,(B518/C518)*G518/INDEX(Surface_Engine!$B$12:$B$72,$A518+1)-F518/INDEX(Surface_Engine!$B$12:$B$72,$A518+1))))^2+(MAX(IF(D518&lt;=0,0,MAX(0,(B518/D518)*H518/INDEX(Surface_Engine!$B$12:$B$72,$A518+1)-F518/INDEX(Surface_Engine!$B$12:$B$72,$A518+1))),IF(E518&lt;=0,0,MAX(0,(B518/E518)*I518/INDEX(Surface_Engine!$B$12:$B$72,$A518+1)-F518/INDEX(Surface_Engine!$B$12:$B$72,$A518+1))),IF($A518&lt;$Q$510,MAX(0,-Assumptions!$B$22*(F518/INDEX(Surface_Engine!$B$12:$B$72,$A518+1))),0)))^2+(MAX(0,J518/INDEX(Surface_Engine!$B$12:$B$72,$A518+1)-(F518/INDEX(Surface_Engine!$B$12:$B$72,$A518+1))))^2+2*Assumptions!$B$26*(IF(C518&lt;=0,0,MAX(0,(B518/C518)*G518/INDEX(Surface_Engine!$B$12:$B$72,$A518+1)-F518/INDEX(Surface_Engine!$B$12:$B$72,$A518+1))))*(MAX(IF(D518&lt;=0,0,MAX(0,(B518/D518)*H518/INDEX(Surface_Engine!$B$12:$B$72,$A518+1)-F518/INDEX(Surface_Engine!$B$12:$B$72,$A518+1))),IF(E518&lt;=0,0,MAX(0,(B518/E518)*I518/INDEX(Surface_Engine!$B$12:$B$72,$A518+1)-F518/INDEX(Surface_Engine!$B$12:$B$72,$A518+1))),IF($A518&lt;$Q$510,MAX(0,-Assumptions!$B$22*(F518/INDEX(Surface_Engine!$B$12:$B$72,$A518+1))),0)))+2*Assumptions!$B$27*(IF(C518&lt;=0,0,MAX(0,(B518/C518)*G518/INDEX(Surface_Engine!$B$12:$B$72,$A518+1)-F518/INDEX(Surface_Engine!$B$12:$B$72,$A518+1))))*(MAX(0,J518/INDEX(Surface_Engine!$B$12:$B$72,$A518+1)-(F518/INDEX(Surface_Engine!$B$12:$B$72,$A518+1))))+2*Assumptions!$B$28*(MAX(IF(D518&lt;=0,0,MAX(0,(B518/D518)*H518/INDEX(Surface_Engine!$B$12:$B$72,$A518+1)-F518/INDEX(Surface_Engine!$B$12:$B$72,$A518+1))),IF(E518&lt;=0,0,MAX(0,(B518/E518)*I518/INDEX(Surface_Engine!$B$12:$B$72,$A518+1)-F518/INDEX(Surface_Engine!$B$12:$B$72,$A518+1))),IF($A518&lt;$Q$510,MAX(0,-Assumptions!$B$22*(F518/INDEX(Surface_Engine!$B$12:$B$72,$A518+1))),0)))*(MAX(0,J518/INDEX(Surface_Engine!$B$12:$B$72,$A518+1)-(F518/INDEX(Surface_Engine!$B$12:$B$72,$A518+1)))))</f>
        <v>12580.4431635862</v>
      </c>
      <c r="L518" s="48" t="n">
        <f aca="false">K518*INDEX(Surface_Engine!$B$12:$B$72,$A518+1)+L519</f>
        <v>160012.305264502</v>
      </c>
      <c r="M518" s="48" t="n">
        <f aca="false">M517+B517*(IF($A517&lt;$Q$510,(Surface_Engine!B241*12)-(Surface_Engine!B241*12)*INDEX(Surface_Engine!$F$12:$F$72,$A517+1)-INDEX(Surface_Engine!$D$12:$D$72,$A517+1),-(1000*12*INDEX(Surface_Engine!$C$12:$C$72,$A517+1)/(1+Assumptions!$B$10)^10+INDEX(Surface_Engine!$D$12:$D$72,$A517+1))))*INDEX(Surface_Engine!$B$12:$B$72,$A517+1)</f>
        <v>65140.3504212807</v>
      </c>
      <c r="N518" s="12" t="n">
        <f aca="false">IF(B518&lt;=0,0,MAX(0,(K518+Assumptions!$B$29*L518/INDEX(Surface_Engine!$B$12:$B$72,$A518+1)-(M518/INDEX(Surface_Engine!$B$12:$B$72,$A518+1)-(F518/INDEX(Surface_Engine!$B$12:$B$72,$A518+1))))/B518))</f>
        <v>22452.5430283503</v>
      </c>
    </row>
    <row r="519" customFormat="false" ht="15" hidden="false" customHeight="true" outlineLevel="0" collapsed="false">
      <c r="A519" s="1" t="n">
        <v>7</v>
      </c>
      <c r="B519" s="32" t="n">
        <f aca="false">INDEX(Surface_Engine!$L$12:$L$72,$A519+1)*IF($A519&lt;$Q$510,INDEX(Surface_Engine!$E$12:$E$72,$A519+1),INDEX(Surface_Engine!$E$12:$E$72,$Q$510+1))</f>
        <v>0.84276021626017</v>
      </c>
      <c r="C519" s="32" t="n">
        <f aca="false">INDEX(Panel_Reserving!$D$8:$D$68,$A519+1)*IF($A519&lt;$Q$510,INDEX(Surface_Engine!$E$12:$E$72,$A519+1),INDEX(Surface_Engine!$E$12:$E$72,$Q$510+1))</f>
        <v>0.851124574320869</v>
      </c>
      <c r="D519" s="32" t="n">
        <f aca="false">INDEX(Surface_Engine!$L$12:$L$72,$A519+1)*IF($A519&lt;$Q$510,INDEX(Surface_Engine!$Y$12:$Y$72,$A519+1),INDEX(Surface_Engine!$Y$12:$Y$72,$Q$510+1))</f>
        <v>0.792071493098381</v>
      </c>
      <c r="E519" s="32" t="n">
        <f aca="false">INDEX(Surface_Engine!$L$12:$L$72,$A519+1)*IF($A519&lt;$Q$510,INDEX(Surface_Engine!$Z$12:$Z$72,$A519+1),INDEX(Surface_Engine!$Z$12:$Z$72,$Q$510+1))</f>
        <v>0.896021169380392</v>
      </c>
      <c r="F519" s="48" t="n">
        <f aca="false">B519*(IF($A519&lt;$Q$510,INDEX(Surface_Engine!$D$12:$D$72,$A519+1)+(Surface_Engine!B241*12)*INDEX(Surface_Engine!$F$12:$F$72,$A519+1)-(Surface_Engine!B241*12),1000*12*INDEX(Surface_Engine!$C$12:$C$72,$A519+1)/(1+Assumptions!$B$10)^10+INDEX(Surface_Engine!$D$12:$D$72,$A519+1)))*INDEX(Surface_Engine!$B$12:$B$72,$A519+1)+F520</f>
        <v>72533.5440404548</v>
      </c>
      <c r="G519" s="48" t="n">
        <f aca="false">C519*(IF($A519&lt;$Q$510,INDEX(Surface_Engine!$D$12:$D$72,$A519+1)+(Surface_Engine!B241*12)*INDEX(Surface_Engine!$F$12:$F$72,$A519+1)-(Surface_Engine!B241*12),1000*12*INDEX(Surface_Engine!$C$12:$C$72,$A519+1)/(1+Assumptions!$B$10)^10+INDEX(Surface_Engine!$D$12:$D$72,$A519+1)))*INDEX(Surface_Engine!$B$12:$B$72,$A519+1)+G520</f>
        <v>83350.715835909</v>
      </c>
      <c r="H519" s="48" t="n">
        <f aca="false">D519*(IF($A519&lt;$Q$510,INDEX(Surface_Engine!$D$12:$D$72,$A519+1)+(Surface_Engine!B241*12)*INDEX(Surface_Engine!$F$12:$F$72,$A519+1)-(Surface_Engine!B241*12),1000*12*INDEX(Surface_Engine!$C$12:$C$72,$A519+1)/(1+Assumptions!$B$10)^10+INDEX(Surface_Engine!$D$12:$D$72,$A519+1)))*INDEX(Surface_Engine!$B$12:$B$72,$A519+1)+H520</f>
        <v>66968.4542321918</v>
      </c>
      <c r="I519" s="48" t="n">
        <f aca="false">E519*(IF($A519&lt;$Q$510,INDEX(Surface_Engine!$D$12:$D$72,$A519+1)+(Surface_Engine!B241*12)*INDEX(Surface_Engine!$F$12:$F$72,$A519+1)-(Surface_Engine!B241*12),1000*12*INDEX(Surface_Engine!$C$12:$C$72,$A519+1)/(1+Assumptions!$B$10)^10+INDEX(Surface_Engine!$D$12:$D$72,$A519+1)))*INDEX(Surface_Engine!$B$12:$B$72,$A519+1)+I520</f>
        <v>78491.2751567365</v>
      </c>
      <c r="J519" s="48" t="n">
        <f aca="false">B519*(IF($A519&lt;$Q$510,INDEX(Surface_Engine!$D$12:$D$72,$A519+1)*(1+Assumptions!$B$24)+(Surface_Engine!B241*12)*INDEX(Surface_Engine!$F$12:$F$72,$A519+1)-(Surface_Engine!B241*12),1000*12*INDEX(Surface_Engine!$C$12:$C$72,$A519+1)/(1+Assumptions!$B$10)^10+INDEX(Surface_Engine!$D$12:$D$72,$A519+1)*(1+Assumptions!$B$24)))*INDEX(Surface_Engine!$B$12:$B$72,$A519+1)+J520</f>
        <v>72646.8189566928</v>
      </c>
      <c r="K519" s="12" t="n">
        <f aca="false">SQRT((IF(C519&lt;=0,0,MAX(0,(B519/C519)*G519/INDEX(Surface_Engine!$B$12:$B$72,$A519+1)-F519/INDEX(Surface_Engine!$B$12:$B$72,$A519+1))))^2+(MAX(IF(D519&lt;=0,0,MAX(0,(B519/D519)*H519/INDEX(Surface_Engine!$B$12:$B$72,$A519+1)-F519/INDEX(Surface_Engine!$B$12:$B$72,$A519+1))),IF(E519&lt;=0,0,MAX(0,(B519/E519)*I519/INDEX(Surface_Engine!$B$12:$B$72,$A519+1)-F519/INDEX(Surface_Engine!$B$12:$B$72,$A519+1))),IF($A519&lt;$Q$510,MAX(0,-Assumptions!$B$22*(F519/INDEX(Surface_Engine!$B$12:$B$72,$A519+1))),0)))^2+(MAX(0,J519/INDEX(Surface_Engine!$B$12:$B$72,$A519+1)-(F519/INDEX(Surface_Engine!$B$12:$B$72,$A519+1))))^2+2*Assumptions!$B$26*(IF(C519&lt;=0,0,MAX(0,(B519/C519)*G519/INDEX(Surface_Engine!$B$12:$B$72,$A519+1)-F519/INDEX(Surface_Engine!$B$12:$B$72,$A519+1))))*(MAX(IF(D519&lt;=0,0,MAX(0,(B519/D519)*H519/INDEX(Surface_Engine!$B$12:$B$72,$A519+1)-F519/INDEX(Surface_Engine!$B$12:$B$72,$A519+1))),IF(E519&lt;=0,0,MAX(0,(B519/E519)*I519/INDEX(Surface_Engine!$B$12:$B$72,$A519+1)-F519/INDEX(Surface_Engine!$B$12:$B$72,$A519+1))),IF($A519&lt;$Q$510,MAX(0,-Assumptions!$B$22*(F519/INDEX(Surface_Engine!$B$12:$B$72,$A519+1))),0)))+2*Assumptions!$B$27*(IF(C519&lt;=0,0,MAX(0,(B519/C519)*G519/INDEX(Surface_Engine!$B$12:$B$72,$A519+1)-F519/INDEX(Surface_Engine!$B$12:$B$72,$A519+1))))*(MAX(0,J519/INDEX(Surface_Engine!$B$12:$B$72,$A519+1)-(F519/INDEX(Surface_Engine!$B$12:$B$72,$A519+1))))+2*Assumptions!$B$28*(MAX(IF(D519&lt;=0,0,MAX(0,(B519/D519)*H519/INDEX(Surface_Engine!$B$12:$B$72,$A519+1)-F519/INDEX(Surface_Engine!$B$12:$B$72,$A519+1))),IF(E519&lt;=0,0,MAX(0,(B519/E519)*I519/INDEX(Surface_Engine!$B$12:$B$72,$A519+1)-F519/INDEX(Surface_Engine!$B$12:$B$72,$A519+1))),IF($A519&lt;$Q$510,MAX(0,-Assumptions!$B$22*(F519/INDEX(Surface_Engine!$B$12:$B$72,$A519+1))),0)))*(MAX(0,J519/INDEX(Surface_Engine!$B$12:$B$72,$A519+1)-(F519/INDEX(Surface_Engine!$B$12:$B$72,$A519+1)))))</f>
        <v>12612.9695164238</v>
      </c>
      <c r="L519" s="48" t="n">
        <f aca="false">K519*INDEX(Surface_Engine!$B$12:$B$72,$A519+1)+L520</f>
        <v>149294.125241003</v>
      </c>
      <c r="M519" s="48" t="n">
        <f aca="false">M518+B518*(IF($A518&lt;$Q$510,(Surface_Engine!B241*12)-(Surface_Engine!B241*12)*INDEX(Surface_Engine!$F$12:$F$72,$A518+1)-INDEX(Surface_Engine!$D$12:$D$72,$A518+1),-(1000*12*INDEX(Surface_Engine!$C$12:$C$72,$A518+1)/(1+Assumptions!$B$10)^10+INDEX(Surface_Engine!$D$12:$D$72,$A518+1))))*INDEX(Surface_Engine!$B$12:$B$72,$A518+1)</f>
        <v>76428.9830363915</v>
      </c>
      <c r="N519" s="12" t="n">
        <f aca="false">IF(B519&lt;=0,0,MAX(0,(K519+Assumptions!$B$29*L519/INDEX(Surface_Engine!$B$12:$B$72,$A519+1)-(M519/INDEX(Surface_Engine!$B$12:$B$72,$A519+1)-(F519/INDEX(Surface_Engine!$B$12:$B$72,$A519+1))))/B519))</f>
        <v>22229.1403462023</v>
      </c>
    </row>
    <row r="520" customFormat="false" ht="15" hidden="false" customHeight="true" outlineLevel="0" collapsed="false">
      <c r="A520" s="1" t="n">
        <v>8</v>
      </c>
      <c r="B520" s="32" t="n">
        <f aca="false">INDEX(Surface_Engine!$L$12:$L$72,$A520+1)*IF($A520&lt;$Q$510,INDEX(Surface_Engine!$E$12:$E$72,$A520+1),INDEX(Surface_Engine!$E$12:$E$72,$Q$510+1))</f>
        <v>0.826387919730429</v>
      </c>
      <c r="C520" s="32" t="n">
        <f aca="false">INDEX(Panel_Reserving!$D$8:$D$68,$A520+1)*IF($A520&lt;$Q$510,INDEX(Surface_Engine!$E$12:$E$72,$A520+1),INDEX(Surface_Engine!$E$12:$E$72,$Q$510+1))</f>
        <v>0.836347694913736</v>
      </c>
      <c r="D520" s="32" t="n">
        <f aca="false">INDEX(Surface_Engine!$L$12:$L$72,$A520+1)*IF($A520&lt;$Q$510,INDEX(Surface_Engine!$Y$12:$Y$72,$A520+1),INDEX(Surface_Engine!$Y$12:$Y$72,$Q$510+1))</f>
        <v>0.773117560229002</v>
      </c>
      <c r="E520" s="32" t="n">
        <f aca="false">INDEX(Surface_Engine!$L$12:$L$72,$A520+1)*IF($A520&lt;$Q$510,INDEX(Surface_Engine!$Z$12:$Z$72,$A520+1),INDEX(Surface_Engine!$Z$12:$Z$72,$Q$510+1))</f>
        <v>0.882648580300603</v>
      </c>
      <c r="F520" s="48" t="n">
        <f aca="false">B520*(IF($A520&lt;$Q$510,INDEX(Surface_Engine!$D$12:$D$72,$A520+1)+(Surface_Engine!B241*12)*INDEX(Surface_Engine!$F$12:$F$72,$A520+1)-(Surface_Engine!B241*12),1000*12*INDEX(Surface_Engine!$C$12:$C$72,$A520+1)/(1+Assumptions!$B$10)^10+INDEX(Surface_Engine!$D$12:$D$72,$A520+1)))*INDEX(Surface_Engine!$B$12:$B$72,$A520+1)+F521</f>
        <v>83288.4350325666</v>
      </c>
      <c r="G520" s="48" t="n">
        <f aca="false">C520*(IF($A520&lt;$Q$510,INDEX(Surface_Engine!$D$12:$D$72,$A520+1)+(Surface_Engine!B241*12)*INDEX(Surface_Engine!$F$12:$F$72,$A520+1)-(Surface_Engine!B241*12),1000*12*INDEX(Surface_Engine!$C$12:$C$72,$A520+1)/(1+Assumptions!$B$10)^10+INDEX(Surface_Engine!$D$12:$D$72,$A520+1)))*INDEX(Surface_Engine!$B$12:$B$72,$A520+1)+G521</f>
        <v>94212.3486478483</v>
      </c>
      <c r="H520" s="48" t="n">
        <f aca="false">D520*(IF($A520&lt;$Q$510,INDEX(Surface_Engine!$D$12:$D$72,$A520+1)+(Surface_Engine!B241*12)*INDEX(Surface_Engine!$F$12:$F$72,$A520+1)-(Surface_Engine!B241*12),1000*12*INDEX(Surface_Engine!$C$12:$C$72,$A520+1)/(1+Assumptions!$B$10)^10+INDEX(Surface_Engine!$D$12:$D$72,$A520+1)))*INDEX(Surface_Engine!$B$12:$B$72,$A520+1)+H521</f>
        <v>77076.4806931876</v>
      </c>
      <c r="I520" s="48" t="n">
        <f aca="false">E520*(IF($A520&lt;$Q$510,INDEX(Surface_Engine!$D$12:$D$72,$A520+1)+(Surface_Engine!B241*12)*INDEX(Surface_Engine!$F$12:$F$72,$A520+1)-(Surface_Engine!B241*12),1000*12*INDEX(Surface_Engine!$C$12:$C$72,$A520+1)/(1+Assumptions!$B$10)^10+INDEX(Surface_Engine!$D$12:$D$72,$A520+1)))*INDEX(Surface_Engine!$B$12:$B$72,$A520+1)+I521</f>
        <v>89925.8562123943</v>
      </c>
      <c r="J520" s="48" t="n">
        <f aca="false">B520*(IF($A520&lt;$Q$510,INDEX(Surface_Engine!$D$12:$D$72,$A520+1)*(1+Assumptions!$B$24)+(Surface_Engine!B241*12)*INDEX(Surface_Engine!$F$12:$F$72,$A520+1)-(Surface_Engine!B241*12),1000*12*INDEX(Surface_Engine!$C$12:$C$72,$A520+1)/(1+Assumptions!$B$10)^10+INDEX(Surface_Engine!$D$12:$D$72,$A520+1)*(1+Assumptions!$B$24)))*INDEX(Surface_Engine!$B$12:$B$72,$A520+1)+J521</f>
        <v>83394.916158746</v>
      </c>
      <c r="K520" s="12" t="n">
        <f aca="false">SQRT((IF(C520&lt;=0,0,MAX(0,(B520/C520)*G520/INDEX(Surface_Engine!$B$12:$B$72,$A520+1)-F520/INDEX(Surface_Engine!$B$12:$B$72,$A520+1))))^2+(MAX(IF(D520&lt;=0,0,MAX(0,(B520/D520)*H520/INDEX(Surface_Engine!$B$12:$B$72,$A520+1)-F520/INDEX(Surface_Engine!$B$12:$B$72,$A520+1))),IF(E520&lt;=0,0,MAX(0,(B520/E520)*I520/INDEX(Surface_Engine!$B$12:$B$72,$A520+1)-F520/INDEX(Surface_Engine!$B$12:$B$72,$A520+1))),IF($A520&lt;$Q$510,MAX(0,-Assumptions!$B$22*(F520/INDEX(Surface_Engine!$B$12:$B$72,$A520+1))),0)))^2+(MAX(0,J520/INDEX(Surface_Engine!$B$12:$B$72,$A520+1)-(F520/INDEX(Surface_Engine!$B$12:$B$72,$A520+1))))^2+2*Assumptions!$B$26*(IF(C520&lt;=0,0,MAX(0,(B520/C520)*G520/INDEX(Surface_Engine!$B$12:$B$72,$A520+1)-F520/INDEX(Surface_Engine!$B$12:$B$72,$A520+1))))*(MAX(IF(D520&lt;=0,0,MAX(0,(B520/D520)*H520/INDEX(Surface_Engine!$B$12:$B$72,$A520+1)-F520/INDEX(Surface_Engine!$B$12:$B$72,$A520+1))),IF(E520&lt;=0,0,MAX(0,(B520/E520)*I520/INDEX(Surface_Engine!$B$12:$B$72,$A520+1)-F520/INDEX(Surface_Engine!$B$12:$B$72,$A520+1))),IF($A520&lt;$Q$510,MAX(0,-Assumptions!$B$22*(F520/INDEX(Surface_Engine!$B$12:$B$72,$A520+1))),0)))+2*Assumptions!$B$27*(IF(C520&lt;=0,0,MAX(0,(B520/C520)*G520/INDEX(Surface_Engine!$B$12:$B$72,$A520+1)-F520/INDEX(Surface_Engine!$B$12:$B$72,$A520+1))))*(MAX(0,J520/INDEX(Surface_Engine!$B$12:$B$72,$A520+1)-(F520/INDEX(Surface_Engine!$B$12:$B$72,$A520+1))))+2*Assumptions!$B$28*(MAX(IF(D520&lt;=0,0,MAX(0,(B520/D520)*H520/INDEX(Surface_Engine!$B$12:$B$72,$A520+1)-F520/INDEX(Surface_Engine!$B$12:$B$72,$A520+1))),IF(E520&lt;=0,0,MAX(0,(B520/E520)*I520/INDEX(Surface_Engine!$B$12:$B$72,$A520+1)-F520/INDEX(Surface_Engine!$B$12:$B$72,$A520+1))),IF($A520&lt;$Q$510,MAX(0,-Assumptions!$B$22*(F520/INDEX(Surface_Engine!$B$12:$B$72,$A520+1))),0)))*(MAX(0,J520/INDEX(Surface_Engine!$B$12:$B$72,$A520+1)-(F520/INDEX(Surface_Engine!$B$12:$B$72,$A520+1)))))</f>
        <v>12592.2931301675</v>
      </c>
      <c r="L520" s="48" t="n">
        <f aca="false">K520*INDEX(Surface_Engine!$B$12:$B$72,$A520+1)+L521</f>
        <v>138862.678807048</v>
      </c>
      <c r="M520" s="48" t="n">
        <f aca="false">M519+B519*(IF($A519&lt;$Q$510,(Surface_Engine!B241*12)-(Surface_Engine!B241*12)*INDEX(Surface_Engine!$F$12:$F$72,$A519+1)-INDEX(Surface_Engine!$D$12:$D$72,$A519+1),-(1000*12*INDEX(Surface_Engine!$C$12:$C$72,$A519+1)/(1+Assumptions!$B$10)^10+INDEX(Surface_Engine!$D$12:$D$72,$A519+1))))*INDEX(Surface_Engine!$B$12:$B$72,$A519+1)</f>
        <v>87183.8740285033</v>
      </c>
      <c r="N520" s="12" t="n">
        <f aca="false">IF(B520&lt;=0,0,MAX(0,(K520+Assumptions!$B$29*L520/INDEX(Surface_Engine!$B$12:$B$72,$A520+1)-(M520/INDEX(Surface_Engine!$B$12:$B$72,$A520+1)-(F520/INDEX(Surface_Engine!$B$12:$B$72,$A520+1))))/B520))</f>
        <v>21932.2237727586</v>
      </c>
    </row>
    <row r="521" customFormat="false" ht="15" hidden="false" customHeight="true" outlineLevel="0" collapsed="false">
      <c r="A521" s="1" t="n">
        <v>9</v>
      </c>
      <c r="B521" s="32" t="n">
        <f aca="false">INDEX(Surface_Engine!$L$12:$L$72,$A521+1)*IF($A521&lt;$Q$510,INDEX(Surface_Engine!$E$12:$E$72,$A521+1),INDEX(Surface_Engine!$E$12:$E$72,$Q$510+1))</f>
        <v>0.809383922915231</v>
      </c>
      <c r="C521" s="32" t="n">
        <f aca="false">INDEX(Panel_Reserving!$D$8:$D$68,$A521+1)*IF($A521&lt;$Q$510,INDEX(Surface_Engine!$E$12:$E$72,$A521+1),INDEX(Surface_Engine!$E$12:$E$72,$Q$510+1))</f>
        <v>0.821058396485325</v>
      </c>
      <c r="D521" s="32" t="n">
        <f aca="false">INDEX(Surface_Engine!$L$12:$L$72,$A521+1)*IF($A521&lt;$Q$510,INDEX(Surface_Engine!$Y$12:$Y$72,$A521+1),INDEX(Surface_Engine!$Y$12:$Y$72,$Q$510+1))</f>
        <v>0.753732725546461</v>
      </c>
      <c r="E521" s="32" t="n">
        <f aca="false">INDEX(Surface_Engine!$L$12:$L$72,$A521+1)*IF($A521&lt;$Q$510,INDEX(Surface_Engine!$Z$12:$Z$72,$A521+1),INDEX(Surface_Engine!$Z$12:$Z$72,$Q$510+1))</f>
        <v>0.868456486276117</v>
      </c>
      <c r="F521" s="48" t="n">
        <f aca="false">B521*(IF($A521&lt;$Q$510,INDEX(Surface_Engine!$D$12:$D$72,$A521+1)+(Surface_Engine!B241*12)*INDEX(Surface_Engine!$F$12:$F$72,$A521+1)-(Surface_Engine!B241*12),1000*12*INDEX(Surface_Engine!$C$12:$C$72,$A521+1)/(1+Assumptions!$B$10)^10+INDEX(Surface_Engine!$D$12:$D$72,$A521+1)))*INDEX(Surface_Engine!$B$12:$B$72,$A521+1)+F522</f>
        <v>93512.2468709637</v>
      </c>
      <c r="G521" s="48" t="n">
        <f aca="false">C521*(IF($A521&lt;$Q$510,INDEX(Surface_Engine!$D$12:$D$72,$A521+1)+(Surface_Engine!B241*12)*INDEX(Surface_Engine!$F$12:$F$72,$A521+1)-(Surface_Engine!B241*12),1000*12*INDEX(Surface_Engine!$C$12:$C$72,$A521+1)/(1+Assumptions!$B$10)^10+INDEX(Surface_Engine!$D$12:$D$72,$A521+1)))*INDEX(Surface_Engine!$B$12:$B$72,$A521+1)+G522</f>
        <v>104559.379697218</v>
      </c>
      <c r="H521" s="48" t="n">
        <f aca="false">D521*(IF($A521&lt;$Q$510,INDEX(Surface_Engine!$D$12:$D$72,$A521+1)+(Surface_Engine!B241*12)*INDEX(Surface_Engine!$F$12:$F$72,$A521+1)-(Surface_Engine!B241*12),1000*12*INDEX(Surface_Engine!$C$12:$C$72,$A521+1)/(1+Assumptions!$B$10)^10+INDEX(Surface_Engine!$D$12:$D$72,$A521+1)))*INDEX(Surface_Engine!$B$12:$B$72,$A521+1)+H522</f>
        <v>86641.2483719314</v>
      </c>
      <c r="I521" s="48" t="n">
        <f aca="false">E521*(IF($A521&lt;$Q$510,INDEX(Surface_Engine!$D$12:$D$72,$A521+1)+(Surface_Engine!B241*12)*INDEX(Surface_Engine!$F$12:$F$72,$A521+1)-(Surface_Engine!B241*12),1000*12*INDEX(Surface_Engine!$C$12:$C$72,$A521+1)/(1+Assumptions!$B$10)^10+INDEX(Surface_Engine!$D$12:$D$72,$A521+1)))*INDEX(Surface_Engine!$B$12:$B$72,$A521+1)+I522</f>
        <v>100845.707276245</v>
      </c>
      <c r="J521" s="48" t="n">
        <f aca="false">B521*(IF($A521&lt;$Q$510,INDEX(Surface_Engine!$D$12:$D$72,$A521+1)*(1+Assumptions!$B$24)+(Surface_Engine!B241*12)*INDEX(Surface_Engine!$F$12:$F$72,$A521+1)-(Surface_Engine!B241*12),1000*12*INDEX(Surface_Engine!$C$12:$C$72,$A521+1)/(1+Assumptions!$B$10)^10+INDEX(Surface_Engine!$D$12:$D$72,$A521+1)*(1+Assumptions!$B$24)))*INDEX(Surface_Engine!$B$12:$B$72,$A521+1)+J522</f>
        <v>93612.1071827463</v>
      </c>
      <c r="K521" s="12" t="n">
        <f aca="false">SQRT((IF(C521&lt;=0,0,MAX(0,(B521/C521)*G521/INDEX(Surface_Engine!$B$12:$B$72,$A521+1)-F521/INDEX(Surface_Engine!$B$12:$B$72,$A521+1))))^2+(MAX(IF(D521&lt;=0,0,MAX(0,(B521/D521)*H521/INDEX(Surface_Engine!$B$12:$B$72,$A521+1)-F521/INDEX(Surface_Engine!$B$12:$B$72,$A521+1))),IF(E521&lt;=0,0,MAX(0,(B521/E521)*I521/INDEX(Surface_Engine!$B$12:$B$72,$A521+1)-F521/INDEX(Surface_Engine!$B$12:$B$72,$A521+1))),IF($A521&lt;$Q$510,MAX(0,-Assumptions!$B$22*(F521/INDEX(Surface_Engine!$B$12:$B$72,$A521+1))),0)))^2+(MAX(0,J521/INDEX(Surface_Engine!$B$12:$B$72,$A521+1)-(F521/INDEX(Surface_Engine!$B$12:$B$72,$A521+1))))^2+2*Assumptions!$B$26*(IF(C521&lt;=0,0,MAX(0,(B521/C521)*G521/INDEX(Surface_Engine!$B$12:$B$72,$A521+1)-F521/INDEX(Surface_Engine!$B$12:$B$72,$A521+1))))*(MAX(IF(D521&lt;=0,0,MAX(0,(B521/D521)*H521/INDEX(Surface_Engine!$B$12:$B$72,$A521+1)-F521/INDEX(Surface_Engine!$B$12:$B$72,$A521+1))),IF(E521&lt;=0,0,MAX(0,(B521/E521)*I521/INDEX(Surface_Engine!$B$12:$B$72,$A521+1)-F521/INDEX(Surface_Engine!$B$12:$B$72,$A521+1))),IF($A521&lt;$Q$510,MAX(0,-Assumptions!$B$22*(F521/INDEX(Surface_Engine!$B$12:$B$72,$A521+1))),0)))+2*Assumptions!$B$27*(IF(C521&lt;=0,0,MAX(0,(B521/C521)*G521/INDEX(Surface_Engine!$B$12:$B$72,$A521+1)-F521/INDEX(Surface_Engine!$B$12:$B$72,$A521+1))))*(MAX(0,J521/INDEX(Surface_Engine!$B$12:$B$72,$A521+1)-(F521/INDEX(Surface_Engine!$B$12:$B$72,$A521+1))))+2*Assumptions!$B$28*(MAX(IF(D521&lt;=0,0,MAX(0,(B521/D521)*H521/INDEX(Surface_Engine!$B$12:$B$72,$A521+1)-F521/INDEX(Surface_Engine!$B$12:$B$72,$A521+1))),IF(E521&lt;=0,0,MAX(0,(B521/E521)*I521/INDEX(Surface_Engine!$B$12:$B$72,$A521+1)-F521/INDEX(Surface_Engine!$B$12:$B$72,$A521+1))),IF($A521&lt;$Q$510,MAX(0,-Assumptions!$B$22*(F521/INDEX(Surface_Engine!$B$12:$B$72,$A521+1))),0)))*(MAX(0,J521/INDEX(Surface_Engine!$B$12:$B$72,$A521+1)-(F521/INDEX(Surface_Engine!$B$12:$B$72,$A521+1)))))</f>
        <v>12510.4023478406</v>
      </c>
      <c r="L521" s="48" t="n">
        <f aca="false">K521*INDEX(Surface_Engine!$B$12:$B$72,$A521+1)+L522</f>
        <v>128764.861646644</v>
      </c>
      <c r="M521" s="48" t="n">
        <f aca="false">M520+B520*(IF($A520&lt;$Q$510,(Surface_Engine!B241*12)-(Surface_Engine!B241*12)*INDEX(Surface_Engine!$F$12:$F$72,$A520+1)-INDEX(Surface_Engine!$D$12:$D$72,$A520+1),-(1000*12*INDEX(Surface_Engine!$C$12:$C$72,$A520+1)/(1+Assumptions!$B$10)^10+INDEX(Surface_Engine!$D$12:$D$72,$A520+1))))*INDEX(Surface_Engine!$B$12:$B$72,$A520+1)</f>
        <v>97407.6858669004</v>
      </c>
      <c r="N521" s="12" t="n">
        <f aca="false">IF(B521&lt;=0,0,MAX(0,(K521+Assumptions!$B$29*L521/INDEX(Surface_Engine!$B$12:$B$72,$A521+1)-(M521/INDEX(Surface_Engine!$B$12:$B$72,$A521+1)-(F521/INDEX(Surface_Engine!$B$12:$B$72,$A521+1))))/B521))</f>
        <v>21549.543108101</v>
      </c>
    </row>
    <row r="522" customFormat="false" ht="15" hidden="false" customHeight="true" outlineLevel="0" collapsed="false">
      <c r="A522" s="1" t="n">
        <v>10</v>
      </c>
      <c r="B522" s="32" t="n">
        <f aca="false">INDEX(Surface_Engine!$L$12:$L$72,$A522+1)*IF($A522&lt;$Q$510,INDEX(Surface_Engine!$E$12:$E$72,$A522+1),INDEX(Surface_Engine!$E$12:$E$72,$Q$510+1))</f>
        <v>0.791679736545108</v>
      </c>
      <c r="C522" s="32" t="n">
        <f aca="false">INDEX(Panel_Reserving!$D$8:$D$68,$A522+1)*IF($A522&lt;$Q$510,INDEX(Surface_Engine!$E$12:$E$72,$A522+1),INDEX(Surface_Engine!$E$12:$E$72,$Q$510+1))</f>
        <v>0.80519643036252</v>
      </c>
      <c r="D522" s="32" t="n">
        <f aca="false">INDEX(Surface_Engine!$L$12:$L$72,$A522+1)*IF($A522&lt;$Q$510,INDEX(Surface_Engine!$Y$12:$Y$72,$A522+1),INDEX(Surface_Engine!$Y$12:$Y$72,$Q$510+1))</f>
        <v>0.733860559838475</v>
      </c>
      <c r="E522" s="32" t="n">
        <f aca="false">INDEX(Surface_Engine!$L$12:$L$72,$A522+1)*IF($A522&lt;$Q$510,INDEX(Surface_Engine!$Z$12:$Z$72,$A522+1),INDEX(Surface_Engine!$Z$12:$Z$72,$Q$510+1))</f>
        <v>0.853360705573894</v>
      </c>
      <c r="F522" s="48" t="n">
        <f aca="false">B522*(IF($A522&lt;$Q$510,INDEX(Surface_Engine!$D$12:$D$72,$A522+1)+(Surface_Engine!B241*12)*INDEX(Surface_Engine!$F$12:$F$72,$A522+1)-(Surface_Engine!B241*12),1000*12*INDEX(Surface_Engine!$C$12:$C$72,$A522+1)/(1+Assumptions!$B$10)^10+INDEX(Surface_Engine!$D$12:$D$72,$A522+1)))*INDEX(Surface_Engine!$B$12:$B$72,$A522+1)+F523</f>
        <v>103209.881439367</v>
      </c>
      <c r="G522" s="48" t="n">
        <f aca="false">C522*(IF($A522&lt;$Q$510,INDEX(Surface_Engine!$D$12:$D$72,$A522+1)+(Surface_Engine!B241*12)*INDEX(Surface_Engine!$F$12:$F$72,$A522+1)-(Surface_Engine!B241*12),1000*12*INDEX(Surface_Engine!$C$12:$C$72,$A522+1)/(1+Assumptions!$B$10)^10+INDEX(Surface_Engine!$D$12:$D$72,$A522+1)))*INDEX(Surface_Engine!$B$12:$B$72,$A522+1)+G523</f>
        <v>114396.89198651</v>
      </c>
      <c r="H522" s="48" t="n">
        <f aca="false">D522*(IF($A522&lt;$Q$510,INDEX(Surface_Engine!$D$12:$D$72,$A522+1)+(Surface_Engine!B241*12)*INDEX(Surface_Engine!$F$12:$F$72,$A522+1)-(Surface_Engine!B241*12),1000*12*INDEX(Surface_Engine!$C$12:$C$72,$A522+1)/(1+Assumptions!$B$10)^10+INDEX(Surface_Engine!$D$12:$D$72,$A522+1)))*INDEX(Surface_Engine!$B$12:$B$72,$A522+1)+H523</f>
        <v>95672.098043703</v>
      </c>
      <c r="I522" s="48" t="n">
        <f aca="false">E522*(IF($A522&lt;$Q$510,INDEX(Surface_Engine!$D$12:$D$72,$A522+1)+(Surface_Engine!B241*12)*INDEX(Surface_Engine!$F$12:$F$72,$A522+1)-(Surface_Engine!B241*12),1000*12*INDEX(Surface_Engine!$C$12:$C$72,$A522+1)/(1+Assumptions!$B$10)^10+INDEX(Surface_Engine!$D$12:$D$72,$A522+1)))*INDEX(Surface_Engine!$B$12:$B$72,$A522+1)+I523</f>
        <v>111251.119842548</v>
      </c>
      <c r="J522" s="48" t="n">
        <f aca="false">B522*(IF($A522&lt;$Q$510,INDEX(Surface_Engine!$D$12:$D$72,$A522+1)*(1+Assumptions!$B$24)+(Surface_Engine!B241*12)*INDEX(Surface_Engine!$F$12:$F$72,$A522+1)-(Surface_Engine!B241*12),1000*12*INDEX(Surface_Engine!$C$12:$C$72,$A522+1)/(1+Assumptions!$B$10)^10+INDEX(Surface_Engine!$D$12:$D$72,$A522+1)*(1+Assumptions!$B$24)))*INDEX(Surface_Engine!$B$12:$B$72,$A522+1)+J523</f>
        <v>103303.303638638</v>
      </c>
      <c r="K522" s="12" t="n">
        <f aca="false">SQRT((IF(C522&lt;=0,0,MAX(0,(B522/C522)*G522/INDEX(Surface_Engine!$B$12:$B$72,$A522+1)-F522/INDEX(Surface_Engine!$B$12:$B$72,$A522+1))))^2+(MAX(IF(D522&lt;=0,0,MAX(0,(B522/D522)*H522/INDEX(Surface_Engine!$B$12:$B$72,$A522+1)-F522/INDEX(Surface_Engine!$B$12:$B$72,$A522+1))),IF(E522&lt;=0,0,MAX(0,(B522/E522)*I522/INDEX(Surface_Engine!$B$12:$B$72,$A522+1)-F522/INDEX(Surface_Engine!$B$12:$B$72,$A522+1))),IF($A522&lt;$Q$510,MAX(0,-Assumptions!$B$22*(F522/INDEX(Surface_Engine!$B$12:$B$72,$A522+1))),0)))^2+(MAX(0,J522/INDEX(Surface_Engine!$B$12:$B$72,$A522+1)-(F522/INDEX(Surface_Engine!$B$12:$B$72,$A522+1))))^2+2*Assumptions!$B$26*(IF(C522&lt;=0,0,MAX(0,(B522/C522)*G522/INDEX(Surface_Engine!$B$12:$B$72,$A522+1)-F522/INDEX(Surface_Engine!$B$12:$B$72,$A522+1))))*(MAX(IF(D522&lt;=0,0,MAX(0,(B522/D522)*H522/INDEX(Surface_Engine!$B$12:$B$72,$A522+1)-F522/INDEX(Surface_Engine!$B$12:$B$72,$A522+1))),IF(E522&lt;=0,0,MAX(0,(B522/E522)*I522/INDEX(Surface_Engine!$B$12:$B$72,$A522+1)-F522/INDEX(Surface_Engine!$B$12:$B$72,$A522+1))),IF($A522&lt;$Q$510,MAX(0,-Assumptions!$B$22*(F522/INDEX(Surface_Engine!$B$12:$B$72,$A522+1))),0)))+2*Assumptions!$B$27*(IF(C522&lt;=0,0,MAX(0,(B522/C522)*G522/INDEX(Surface_Engine!$B$12:$B$72,$A522+1)-F522/INDEX(Surface_Engine!$B$12:$B$72,$A522+1))))*(MAX(0,J522/INDEX(Surface_Engine!$B$12:$B$72,$A522+1)-(F522/INDEX(Surface_Engine!$B$12:$B$72,$A522+1))))+2*Assumptions!$B$28*(MAX(IF(D522&lt;=0,0,MAX(0,(B522/D522)*H522/INDEX(Surface_Engine!$B$12:$B$72,$A522+1)-F522/INDEX(Surface_Engine!$B$12:$B$72,$A522+1))),IF(E522&lt;=0,0,MAX(0,(B522/E522)*I522/INDEX(Surface_Engine!$B$12:$B$72,$A522+1)-F522/INDEX(Surface_Engine!$B$12:$B$72,$A522+1))),IF($A522&lt;$Q$510,MAX(0,-Assumptions!$B$22*(F522/INDEX(Surface_Engine!$B$12:$B$72,$A522+1))),0)))*(MAX(0,J522/INDEX(Surface_Engine!$B$12:$B$72,$A522+1)-(F522/INDEX(Surface_Engine!$B$12:$B$72,$A522+1)))))</f>
        <v>12378.1153349445</v>
      </c>
      <c r="L522" s="48" t="n">
        <f aca="false">K522*INDEX(Surface_Engine!$B$12:$B$72,$A522+1)+L523</f>
        <v>119047.538956593</v>
      </c>
      <c r="M522" s="48" t="n">
        <f aca="false">M521+B521*(IF($A521&lt;$Q$510,(Surface_Engine!B241*12)-(Surface_Engine!B241*12)*INDEX(Surface_Engine!$F$12:$F$72,$A521+1)-INDEX(Surface_Engine!$D$12:$D$72,$A521+1),-(1000*12*INDEX(Surface_Engine!$C$12:$C$72,$A521+1)/(1+Assumptions!$B$10)^10+INDEX(Surface_Engine!$D$12:$D$72,$A521+1))))*INDEX(Surface_Engine!$B$12:$B$72,$A521+1)</f>
        <v>107105.320435304</v>
      </c>
      <c r="N522" s="12" t="n">
        <f aca="false">IF(B522&lt;=0,0,MAX(0,(K522+Assumptions!$B$29*L522/INDEX(Surface_Engine!$B$12:$B$72,$A522+1)-(M522/INDEX(Surface_Engine!$B$12:$B$72,$A522+1)-(F522/INDEX(Surface_Engine!$B$12:$B$72,$A522+1))))/B522))</f>
        <v>21100.4555395879</v>
      </c>
    </row>
    <row r="523" customFormat="false" ht="15" hidden="false" customHeight="true" outlineLevel="0" collapsed="false">
      <c r="A523" s="1" t="n">
        <v>11</v>
      </c>
      <c r="B523" s="32" t="n">
        <f aca="false">INDEX(Surface_Engine!$L$12:$L$72,$A523+1)*IF($A523&lt;$Q$510,INDEX(Surface_Engine!$E$12:$E$72,$A523+1),INDEX(Surface_Engine!$E$12:$E$72,$Q$510+1))</f>
        <v>0.779900904223151</v>
      </c>
      <c r="C523" s="32" t="n">
        <f aca="false">INDEX(Panel_Reserving!$D$8:$D$68,$A523+1)*IF($A523&lt;$Q$510,INDEX(Surface_Engine!$E$12:$E$72,$A523+1),INDEX(Surface_Engine!$E$12:$E$72,$Q$510+1))</f>
        <v>0.795612480387125</v>
      </c>
      <c r="D523" s="32" t="n">
        <f aca="false">INDEX(Surface_Engine!$L$12:$L$72,$A523+1)*IF($A523&lt;$Q$510,INDEX(Surface_Engine!$Y$12:$Y$72,$A523+1),INDEX(Surface_Engine!$Y$12:$Y$72,$Q$510+1))</f>
        <v>0.722941977382699</v>
      </c>
      <c r="E523" s="32" t="n">
        <f aca="false">INDEX(Surface_Engine!$L$12:$L$72,$A523+1)*IF($A523&lt;$Q$510,INDEX(Surface_Engine!$Z$12:$Z$72,$A523+1),INDEX(Surface_Engine!$Z$12:$Z$72,$Q$510+1))</f>
        <v>0.840664166560572</v>
      </c>
      <c r="F523" s="48" t="n">
        <f aca="false">B523*(IF($A523&lt;$Q$510,INDEX(Surface_Engine!$D$12:$D$72,$A523+1)+(Surface_Engine!B241*12)*INDEX(Surface_Engine!$F$12:$F$72,$A523+1)-(Surface_Engine!B241*12),1000*12*INDEX(Surface_Engine!$C$12:$C$72,$A523+1)/(1+Assumptions!$B$10)^10+INDEX(Surface_Engine!$D$12:$D$72,$A523+1)))*INDEX(Surface_Engine!$B$12:$B$72,$A523+1)+F524</f>
        <v>96017.1283321372</v>
      </c>
      <c r="G523" s="48" t="n">
        <f aca="false">C523*(IF($A523&lt;$Q$510,INDEX(Surface_Engine!$D$12:$D$72,$A523+1)+(Surface_Engine!B241*12)*INDEX(Surface_Engine!$F$12:$F$72,$A523+1)-(Surface_Engine!B241*12),1000*12*INDEX(Surface_Engine!$C$12:$C$72,$A523+1)/(1+Assumptions!$B$10)^10+INDEX(Surface_Engine!$D$12:$D$72,$A523+1)))*INDEX(Surface_Engine!$B$12:$B$72,$A523+1)+G524</f>
        <v>107081.33386487</v>
      </c>
      <c r="H523" s="48" t="n">
        <f aca="false">D523*(IF($A523&lt;$Q$510,INDEX(Surface_Engine!$D$12:$D$72,$A523+1)+(Surface_Engine!B241*12)*INDEX(Surface_Engine!$F$12:$F$72,$A523+1)-(Surface_Engine!B241*12),1000*12*INDEX(Surface_Engine!$C$12:$C$72,$A523+1)/(1+Assumptions!$B$10)^10+INDEX(Surface_Engine!$D$12:$D$72,$A523+1)))*INDEX(Surface_Engine!$B$12:$B$72,$A523+1)+H524</f>
        <v>89004.6571855008</v>
      </c>
      <c r="I523" s="48" t="n">
        <f aca="false">E523*(IF($A523&lt;$Q$510,INDEX(Surface_Engine!$D$12:$D$72,$A523+1)+(Surface_Engine!B241*12)*INDEX(Surface_Engine!$F$12:$F$72,$A523+1)-(Surface_Engine!B241*12),1000*12*INDEX(Surface_Engine!$C$12:$C$72,$A523+1)/(1+Assumptions!$B$10)^10+INDEX(Surface_Engine!$D$12:$D$72,$A523+1)))*INDEX(Surface_Engine!$B$12:$B$72,$A523+1)+I524</f>
        <v>103497.968431358</v>
      </c>
      <c r="J523" s="48" t="n">
        <f aca="false">B523*(IF($A523&lt;$Q$510,INDEX(Surface_Engine!$D$12:$D$72,$A523+1)*(1+Assumptions!$B$24)+(Surface_Engine!B241*12)*INDEX(Surface_Engine!$F$12:$F$72,$A523+1)-(Surface_Engine!B241*12),1000*12*INDEX(Surface_Engine!$C$12:$C$72,$A523+1)/(1+Assumptions!$B$10)^10+INDEX(Surface_Engine!$D$12:$D$72,$A523+1)*(1+Assumptions!$B$24)))*INDEX(Surface_Engine!$B$12:$B$72,$A523+1)+J524</f>
        <v>96104.3134120916</v>
      </c>
      <c r="K523" s="12" t="n">
        <f aca="false">SQRT((IF(C523&lt;=0,0,MAX(0,(B523/C523)*G523/INDEX(Surface_Engine!$B$12:$B$72,$A523+1)-F523/INDEX(Surface_Engine!$B$12:$B$72,$A523+1))))^2+(MAX(IF(D523&lt;=0,0,MAX(0,(B523/D523)*H523/INDEX(Surface_Engine!$B$12:$B$72,$A523+1)-F523/INDEX(Surface_Engine!$B$12:$B$72,$A523+1))),IF(E523&lt;=0,0,MAX(0,(B523/E523)*I523/INDEX(Surface_Engine!$B$12:$B$72,$A523+1)-F523/INDEX(Surface_Engine!$B$12:$B$72,$A523+1))),IF($A523&lt;$Q$510,MAX(0,-Assumptions!$B$22*(F523/INDEX(Surface_Engine!$B$12:$B$72,$A523+1))),0)))^2+(MAX(0,J523/INDEX(Surface_Engine!$B$12:$B$72,$A523+1)-(F523/INDEX(Surface_Engine!$B$12:$B$72,$A523+1))))^2+2*Assumptions!$B$26*(IF(C523&lt;=0,0,MAX(0,(B523/C523)*G523/INDEX(Surface_Engine!$B$12:$B$72,$A523+1)-F523/INDEX(Surface_Engine!$B$12:$B$72,$A523+1))))*(MAX(IF(D523&lt;=0,0,MAX(0,(B523/D523)*H523/INDEX(Surface_Engine!$B$12:$B$72,$A523+1)-F523/INDEX(Surface_Engine!$B$12:$B$72,$A523+1))),IF(E523&lt;=0,0,MAX(0,(B523/E523)*I523/INDEX(Surface_Engine!$B$12:$B$72,$A523+1)-F523/INDEX(Surface_Engine!$B$12:$B$72,$A523+1))),IF($A523&lt;$Q$510,MAX(0,-Assumptions!$B$22*(F523/INDEX(Surface_Engine!$B$12:$B$72,$A523+1))),0)))+2*Assumptions!$B$27*(IF(C523&lt;=0,0,MAX(0,(B523/C523)*G523/INDEX(Surface_Engine!$B$12:$B$72,$A523+1)-F523/INDEX(Surface_Engine!$B$12:$B$72,$A523+1))))*(MAX(0,J523/INDEX(Surface_Engine!$B$12:$B$72,$A523+1)-(F523/INDEX(Surface_Engine!$B$12:$B$72,$A523+1))))+2*Assumptions!$B$28*(MAX(IF(D523&lt;=0,0,MAX(0,(B523/D523)*H523/INDEX(Surface_Engine!$B$12:$B$72,$A523+1)-F523/INDEX(Surface_Engine!$B$12:$B$72,$A523+1))),IF(E523&lt;=0,0,MAX(0,(B523/E523)*I523/INDEX(Surface_Engine!$B$12:$B$72,$A523+1)-F523/INDEX(Surface_Engine!$B$12:$B$72,$A523+1))),IF($A523&lt;$Q$510,MAX(0,-Assumptions!$B$22*(F523/INDEX(Surface_Engine!$B$12:$B$72,$A523+1))),0)))*(MAX(0,J523/INDEX(Surface_Engine!$B$12:$B$72,$A523+1)-(F523/INDEX(Surface_Engine!$B$12:$B$72,$A523+1)))))</f>
        <v>12341.0146795407</v>
      </c>
      <c r="L523" s="48" t="n">
        <f aca="false">K523*INDEX(Surface_Engine!$B$12:$B$72,$A523+1)+L524</f>
        <v>109757.093418214</v>
      </c>
      <c r="M523" s="48" t="n">
        <f aca="false">M522+B522*(IF($A522&lt;$Q$510,(Surface_Engine!B241*12)-(Surface_Engine!B241*12)*INDEX(Surface_Engine!$F$12:$F$72,$A522+1)-INDEX(Surface_Engine!$D$12:$D$72,$A522+1),-(1000*12*INDEX(Surface_Engine!$C$12:$C$72,$A522+1)/(1+Assumptions!$B$10)^10+INDEX(Surface_Engine!$D$12:$D$72,$A522+1))))*INDEX(Surface_Engine!$B$12:$B$72,$A522+1)</f>
        <v>99912.5673280739</v>
      </c>
      <c r="N523" s="12" t="n">
        <f aca="false">IF(B523&lt;=0,0,MAX(0,(K523+Assumptions!$B$29*L523/INDEX(Surface_Engine!$B$12:$B$72,$A523+1)-(M523/INDEX(Surface_Engine!$B$12:$B$72,$A523+1)-(F523/INDEX(Surface_Engine!$B$12:$B$72,$A523+1))))/B523))</f>
        <v>20568.2416074681</v>
      </c>
    </row>
    <row r="524" customFormat="false" ht="15" hidden="false" customHeight="true" outlineLevel="0" collapsed="false">
      <c r="A524" s="1" t="n">
        <v>12</v>
      </c>
      <c r="B524" s="32" t="n">
        <f aca="false">INDEX(Surface_Engine!$L$12:$L$72,$A524+1)*IF($A524&lt;$Q$510,INDEX(Surface_Engine!$E$12:$E$72,$A524+1),INDEX(Surface_Engine!$E$12:$E$72,$Q$510+1))</f>
        <v>0.766943671961151</v>
      </c>
      <c r="C524" s="32" t="n">
        <f aca="false">INDEX(Panel_Reserving!$D$8:$D$68,$A524+1)*IF($A524&lt;$Q$510,INDEX(Surface_Engine!$E$12:$E$72,$A524+1),INDEX(Surface_Engine!$E$12:$E$72,$Q$510+1))</f>
        <v>0.785037869543004</v>
      </c>
      <c r="D524" s="32" t="n">
        <f aca="false">INDEX(Surface_Engine!$L$12:$L$72,$A524+1)*IF($A524&lt;$Q$510,INDEX(Surface_Engine!$Y$12:$Y$72,$A524+1),INDEX(Surface_Engine!$Y$12:$Y$72,$Q$510+1))</f>
        <v>0.710931057710503</v>
      </c>
      <c r="E524" s="32" t="n">
        <f aca="false">INDEX(Surface_Engine!$L$12:$L$72,$A524+1)*IF($A524&lt;$Q$510,INDEX(Surface_Engine!$Z$12:$Z$72,$A524+1),INDEX(Surface_Engine!$Z$12:$Z$72,$Q$510+1))</f>
        <v>0.826697416680578</v>
      </c>
      <c r="F524" s="48" t="n">
        <f aca="false">B524*(IF($A524&lt;$Q$510,INDEX(Surface_Engine!$D$12:$D$72,$A524+1)+(Surface_Engine!B241*12)*INDEX(Surface_Engine!$F$12:$F$72,$A524+1)-(Surface_Engine!B241*12),1000*12*INDEX(Surface_Engine!$C$12:$C$72,$A524+1)/(1+Assumptions!$B$10)^10+INDEX(Surface_Engine!$D$12:$D$72,$A524+1)))*INDEX(Surface_Engine!$B$12:$B$72,$A524+1)+F525</f>
        <v>89016.2996149737</v>
      </c>
      <c r="G524" s="48" t="n">
        <f aca="false">C524*(IF($A524&lt;$Q$510,INDEX(Surface_Engine!$D$12:$D$72,$A524+1)+(Surface_Engine!B241*12)*INDEX(Surface_Engine!$F$12:$F$72,$A524+1)-(Surface_Engine!B241*12),1000*12*INDEX(Surface_Engine!$C$12:$C$72,$A524+1)/(1+Assumptions!$B$10)^10+INDEX(Surface_Engine!$D$12:$D$72,$A524+1)))*INDEX(Surface_Engine!$B$12:$B$72,$A524+1)+G525</f>
        <v>99939.4692122374</v>
      </c>
      <c r="H524" s="48" t="n">
        <f aca="false">D524*(IF($A524&lt;$Q$510,INDEX(Surface_Engine!$D$12:$D$72,$A524+1)+(Surface_Engine!B241*12)*INDEX(Surface_Engine!$F$12:$F$72,$A524+1)-(Surface_Engine!B241*12),1000*12*INDEX(Surface_Engine!$C$12:$C$72,$A524+1)/(1+Assumptions!$B$10)^10+INDEX(Surface_Engine!$D$12:$D$72,$A524+1)))*INDEX(Surface_Engine!$B$12:$B$72,$A524+1)+H525</f>
        <v>82515.1237990187</v>
      </c>
      <c r="I524" s="48" t="n">
        <f aca="false">E524*(IF($A524&lt;$Q$510,INDEX(Surface_Engine!$D$12:$D$72,$A524+1)+(Surface_Engine!B241*12)*INDEX(Surface_Engine!$F$12:$F$72,$A524+1)-(Surface_Engine!B241*12),1000*12*INDEX(Surface_Engine!$C$12:$C$72,$A524+1)/(1+Assumptions!$B$10)^10+INDEX(Surface_Engine!$D$12:$D$72,$A524+1)))*INDEX(Surface_Engine!$B$12:$B$72,$A524+1)+I525</f>
        <v>95951.694530561</v>
      </c>
      <c r="J524" s="48" t="n">
        <f aca="false">B524*(IF($A524&lt;$Q$510,INDEX(Surface_Engine!$D$12:$D$72,$A524+1)*(1+Assumptions!$B$24)+(Surface_Engine!B241*12)*INDEX(Surface_Engine!$F$12:$F$72,$A524+1)-(Surface_Engine!B241*12),1000*12*INDEX(Surface_Engine!$C$12:$C$72,$A524+1)/(1+Assumptions!$B$10)^10+INDEX(Surface_Engine!$D$12:$D$72,$A524+1)*(1+Assumptions!$B$24)))*INDEX(Surface_Engine!$B$12:$B$72,$A524+1)+J525</f>
        <v>89097.3845017997</v>
      </c>
      <c r="K524" s="12" t="n">
        <f aca="false">SQRT((IF(C524&lt;=0,0,MAX(0,(B524/C524)*G524/INDEX(Surface_Engine!$B$12:$B$72,$A524+1)-F524/INDEX(Surface_Engine!$B$12:$B$72,$A524+1))))^2+(MAX(IF(D524&lt;=0,0,MAX(0,(B524/D524)*H524/INDEX(Surface_Engine!$B$12:$B$72,$A524+1)-F524/INDEX(Surface_Engine!$B$12:$B$72,$A524+1))),IF(E524&lt;=0,0,MAX(0,(B524/E524)*I524/INDEX(Surface_Engine!$B$12:$B$72,$A524+1)-F524/INDEX(Surface_Engine!$B$12:$B$72,$A524+1))),IF($A524&lt;$Q$510,MAX(0,-Assumptions!$B$22*(F524/INDEX(Surface_Engine!$B$12:$B$72,$A524+1))),0)))^2+(MAX(0,J524/INDEX(Surface_Engine!$B$12:$B$72,$A524+1)-(F524/INDEX(Surface_Engine!$B$12:$B$72,$A524+1))))^2+2*Assumptions!$B$26*(IF(C524&lt;=0,0,MAX(0,(B524/C524)*G524/INDEX(Surface_Engine!$B$12:$B$72,$A524+1)-F524/INDEX(Surface_Engine!$B$12:$B$72,$A524+1))))*(MAX(IF(D524&lt;=0,0,MAX(0,(B524/D524)*H524/INDEX(Surface_Engine!$B$12:$B$72,$A524+1)-F524/INDEX(Surface_Engine!$B$12:$B$72,$A524+1))),IF(E524&lt;=0,0,MAX(0,(B524/E524)*I524/INDEX(Surface_Engine!$B$12:$B$72,$A524+1)-F524/INDEX(Surface_Engine!$B$12:$B$72,$A524+1))),IF($A524&lt;$Q$510,MAX(0,-Assumptions!$B$22*(F524/INDEX(Surface_Engine!$B$12:$B$72,$A524+1))),0)))+2*Assumptions!$B$27*(IF(C524&lt;=0,0,MAX(0,(B524/C524)*G524/INDEX(Surface_Engine!$B$12:$B$72,$A524+1)-F524/INDEX(Surface_Engine!$B$12:$B$72,$A524+1))))*(MAX(0,J524/INDEX(Surface_Engine!$B$12:$B$72,$A524+1)-(F524/INDEX(Surface_Engine!$B$12:$B$72,$A524+1))))+2*Assumptions!$B$28*(MAX(IF(D524&lt;=0,0,MAX(0,(B524/D524)*H524/INDEX(Surface_Engine!$B$12:$B$72,$A524+1)-F524/INDEX(Surface_Engine!$B$12:$B$72,$A524+1))),IF(E524&lt;=0,0,MAX(0,(B524/E524)*I524/INDEX(Surface_Engine!$B$12:$B$72,$A524+1)-F524/INDEX(Surface_Engine!$B$12:$B$72,$A524+1))),IF($A524&lt;$Q$510,MAX(0,-Assumptions!$B$22*(F524/INDEX(Surface_Engine!$B$12:$B$72,$A524+1))),0)))*(MAX(0,J524/INDEX(Surface_Engine!$B$12:$B$72,$A524+1)-(F524/INDEX(Surface_Engine!$B$12:$B$72,$A524+1)))))</f>
        <v>12307.5399319707</v>
      </c>
      <c r="L524" s="48" t="n">
        <f aca="false">K524*INDEX(Surface_Engine!$B$12:$B$72,$A524+1)+L525</f>
        <v>100785.312539957</v>
      </c>
      <c r="M524" s="48" t="n">
        <f aca="false">M523+B523*(IF($A523&lt;$Q$510,(Surface_Engine!B241*12)-(Surface_Engine!B241*12)*INDEX(Surface_Engine!$F$12:$F$72,$A523+1)-INDEX(Surface_Engine!$D$12:$D$72,$A523+1),-(1000*12*INDEX(Surface_Engine!$C$12:$C$72,$A523+1)/(1+Assumptions!$B$10)^10+INDEX(Surface_Engine!$D$12:$D$72,$A523+1))))*INDEX(Surface_Engine!$B$12:$B$72,$A523+1)</f>
        <v>92911.7386109104</v>
      </c>
      <c r="N524" s="12" t="n">
        <f aca="false">IF(B524&lt;=0,0,MAX(0,(K524+Assumptions!$B$29*L524/INDEX(Surface_Engine!$B$12:$B$72,$A524+1)-(M524/INDEX(Surface_Engine!$B$12:$B$72,$A524+1)-(F524/INDEX(Surface_Engine!$B$12:$B$72,$A524+1))))/B524))</f>
        <v>20043.7962551967</v>
      </c>
    </row>
    <row r="525" customFormat="false" ht="15" hidden="false" customHeight="true" outlineLevel="0" collapsed="false">
      <c r="A525" s="1" t="n">
        <v>13</v>
      </c>
      <c r="B525" s="32" t="n">
        <f aca="false">INDEX(Surface_Engine!$L$12:$L$72,$A525+1)*IF($A525&lt;$Q$510,INDEX(Surface_Engine!$E$12:$E$72,$A525+1),INDEX(Surface_Engine!$E$12:$E$72,$Q$510+1))</f>
        <v>0.752693501492523</v>
      </c>
      <c r="C525" s="32" t="n">
        <f aca="false">INDEX(Panel_Reserving!$D$8:$D$68,$A525+1)*IF($A525&lt;$Q$510,INDEX(Surface_Engine!$E$12:$E$72,$A525+1),INDEX(Surface_Engine!$E$12:$E$72,$Q$510+1))</f>
        <v>0.773368774276375</v>
      </c>
      <c r="D525" s="32" t="n">
        <f aca="false">INDEX(Surface_Engine!$L$12:$L$72,$A525+1)*IF($A525&lt;$Q$510,INDEX(Surface_Engine!$Y$12:$Y$72,$A525+1),INDEX(Surface_Engine!$Y$12:$Y$72,$Q$510+1))</f>
        <v>0.697721627690811</v>
      </c>
      <c r="E525" s="32" t="n">
        <f aca="false">INDEX(Surface_Engine!$L$12:$L$72,$A525+1)*IF($A525&lt;$Q$510,INDEX(Surface_Engine!$Z$12:$Z$72,$A525+1),INDEX(Surface_Engine!$Z$12:$Z$72,$Q$510+1))</f>
        <v>0.811336993817255</v>
      </c>
      <c r="F525" s="48" t="n">
        <f aca="false">B525*(IF($A525&lt;$Q$510,INDEX(Surface_Engine!$D$12:$D$72,$A525+1)+(Surface_Engine!B241*12)*INDEX(Surface_Engine!$F$12:$F$72,$A525+1)-(Surface_Engine!B241*12),1000*12*INDEX(Surface_Engine!$C$12:$C$72,$A525+1)/(1+Assumptions!$B$10)^10+INDEX(Surface_Engine!$D$12:$D$72,$A525+1)))*INDEX(Surface_Engine!$B$12:$B$72,$A525+1)+F526</f>
        <v>82234.8501800802</v>
      </c>
      <c r="G525" s="48" t="n">
        <f aca="false">C525*(IF($A525&lt;$Q$510,INDEX(Surface_Engine!$D$12:$D$72,$A525+1)+(Surface_Engine!B241*12)*INDEX(Surface_Engine!$F$12:$F$72,$A525+1)-(Surface_Engine!B241*12),1000*12*INDEX(Surface_Engine!$C$12:$C$72,$A525+1)/(1+Assumptions!$B$10)^10+INDEX(Surface_Engine!$D$12:$D$72,$A525+1)))*INDEX(Surface_Engine!$B$12:$B$72,$A525+1)+G526</f>
        <v>92998.0277330095</v>
      </c>
      <c r="H525" s="48" t="n">
        <f aca="false">D525*(IF($A525&lt;$Q$510,INDEX(Surface_Engine!$D$12:$D$72,$A525+1)+(Surface_Engine!B241*12)*INDEX(Surface_Engine!$F$12:$F$72,$A525+1)-(Surface_Engine!B241*12),1000*12*INDEX(Surface_Engine!$C$12:$C$72,$A525+1)/(1+Assumptions!$B$10)^10+INDEX(Surface_Engine!$D$12:$D$72,$A525+1)))*INDEX(Surface_Engine!$B$12:$B$72,$A525+1)+H526</f>
        <v>76228.9476483881</v>
      </c>
      <c r="I525" s="48" t="n">
        <f aca="false">E525*(IF($A525&lt;$Q$510,INDEX(Surface_Engine!$D$12:$D$72,$A525+1)+(Surface_Engine!B241*12)*INDEX(Surface_Engine!$F$12:$F$72,$A525+1)-(Surface_Engine!B241*12),1000*12*INDEX(Surface_Engine!$C$12:$C$72,$A525+1)/(1+Assumptions!$B$10)^10+INDEX(Surface_Engine!$D$12:$D$72,$A525+1)))*INDEX(Surface_Engine!$B$12:$B$72,$A525+1)+I526</f>
        <v>88641.8920846514</v>
      </c>
      <c r="J525" s="48" t="n">
        <f aca="false">B525*(IF($A525&lt;$Q$510,INDEX(Surface_Engine!$D$12:$D$72,$A525+1)*(1+Assumptions!$B$24)+(Surface_Engine!B241*12)*INDEX(Surface_Engine!$F$12:$F$72,$A525+1)-(Surface_Engine!B241*12),1000*12*INDEX(Surface_Engine!$C$12:$C$72,$A525+1)/(1+Assumptions!$B$10)^10+INDEX(Surface_Engine!$D$12:$D$72,$A525+1)*(1+Assumptions!$B$24)))*INDEX(Surface_Engine!$B$12:$B$72,$A525+1)+J526</f>
        <v>82309.9973183311</v>
      </c>
      <c r="K525" s="12" t="n">
        <f aca="false">SQRT((IF(C525&lt;=0,0,MAX(0,(B525/C525)*G525/INDEX(Surface_Engine!$B$12:$B$72,$A525+1)-F525/INDEX(Surface_Engine!$B$12:$B$72,$A525+1))))^2+(MAX(IF(D525&lt;=0,0,MAX(0,(B525/D525)*H525/INDEX(Surface_Engine!$B$12:$B$72,$A525+1)-F525/INDEX(Surface_Engine!$B$12:$B$72,$A525+1))),IF(E525&lt;=0,0,MAX(0,(B525/E525)*I525/INDEX(Surface_Engine!$B$12:$B$72,$A525+1)-F525/INDEX(Surface_Engine!$B$12:$B$72,$A525+1))),IF($A525&lt;$Q$510,MAX(0,-Assumptions!$B$22*(F525/INDEX(Surface_Engine!$B$12:$B$72,$A525+1))),0)))^2+(MAX(0,J525/INDEX(Surface_Engine!$B$12:$B$72,$A525+1)-(F525/INDEX(Surface_Engine!$B$12:$B$72,$A525+1))))^2+2*Assumptions!$B$26*(IF(C525&lt;=0,0,MAX(0,(B525/C525)*G525/INDEX(Surface_Engine!$B$12:$B$72,$A525+1)-F525/INDEX(Surface_Engine!$B$12:$B$72,$A525+1))))*(MAX(IF(D525&lt;=0,0,MAX(0,(B525/D525)*H525/INDEX(Surface_Engine!$B$12:$B$72,$A525+1)-F525/INDEX(Surface_Engine!$B$12:$B$72,$A525+1))),IF(E525&lt;=0,0,MAX(0,(B525/E525)*I525/INDEX(Surface_Engine!$B$12:$B$72,$A525+1)-F525/INDEX(Surface_Engine!$B$12:$B$72,$A525+1))),IF($A525&lt;$Q$510,MAX(0,-Assumptions!$B$22*(F525/INDEX(Surface_Engine!$B$12:$B$72,$A525+1))),0)))+2*Assumptions!$B$27*(IF(C525&lt;=0,0,MAX(0,(B525/C525)*G525/INDEX(Surface_Engine!$B$12:$B$72,$A525+1)-F525/INDEX(Surface_Engine!$B$12:$B$72,$A525+1))))*(MAX(0,J525/INDEX(Surface_Engine!$B$12:$B$72,$A525+1)-(F525/INDEX(Surface_Engine!$B$12:$B$72,$A525+1))))+2*Assumptions!$B$28*(MAX(IF(D525&lt;=0,0,MAX(0,(B525/D525)*H525/INDEX(Surface_Engine!$B$12:$B$72,$A525+1)-F525/INDEX(Surface_Engine!$B$12:$B$72,$A525+1))),IF(E525&lt;=0,0,MAX(0,(B525/E525)*I525/INDEX(Surface_Engine!$B$12:$B$72,$A525+1)-F525/INDEX(Surface_Engine!$B$12:$B$72,$A525+1))),IF($A525&lt;$Q$510,MAX(0,-Assumptions!$B$22*(F525/INDEX(Surface_Engine!$B$12:$B$72,$A525+1))),0)))*(MAX(0,J525/INDEX(Surface_Engine!$B$12:$B$72,$A525+1)-(F525/INDEX(Surface_Engine!$B$12:$B$72,$A525+1)))))</f>
        <v>12233.899617909</v>
      </c>
      <c r="L525" s="48" t="n">
        <f aca="false">K525*INDEX(Surface_Engine!$B$12:$B$72,$A525+1)+L526</f>
        <v>92145.0019912951</v>
      </c>
      <c r="M525" s="48" t="n">
        <f aca="false">M524+B524*(IF($A524&lt;$Q$510,(Surface_Engine!B241*12)-(Surface_Engine!B241*12)*INDEX(Surface_Engine!$F$12:$F$72,$A524+1)-INDEX(Surface_Engine!$D$12:$D$72,$A524+1),-(1000*12*INDEX(Surface_Engine!$C$12:$C$72,$A524+1)/(1+Assumptions!$B$10)^10+INDEX(Surface_Engine!$D$12:$D$72,$A524+1))))*INDEX(Surface_Engine!$B$12:$B$72,$A524+1)</f>
        <v>86130.2891760169</v>
      </c>
      <c r="N525" s="12" t="n">
        <f aca="false">IF(B525&lt;=0,0,MAX(0,(K525+Assumptions!$B$29*L525/INDEX(Surface_Engine!$B$12:$B$72,$A525+1)-(M525/INDEX(Surface_Engine!$B$12:$B$72,$A525+1)-(F525/INDEX(Surface_Engine!$B$12:$B$72,$A525+1))))/B525))</f>
        <v>19453.3468176912</v>
      </c>
    </row>
    <row r="526" customFormat="false" ht="15" hidden="false" customHeight="true" outlineLevel="0" collapsed="false">
      <c r="A526" s="1" t="n">
        <v>14</v>
      </c>
      <c r="B526" s="32" t="n">
        <f aca="false">INDEX(Surface_Engine!$L$12:$L$72,$A526+1)*IF($A526&lt;$Q$510,INDEX(Surface_Engine!$E$12:$E$72,$A526+1),INDEX(Surface_Engine!$E$12:$E$72,$Q$510+1))</f>
        <v>0.737032699587968</v>
      </c>
      <c r="C526" s="32" t="n">
        <f aca="false">INDEX(Panel_Reserving!$D$8:$D$68,$A526+1)*IF($A526&lt;$Q$510,INDEX(Surface_Engine!$E$12:$E$72,$A526+1),INDEX(Surface_Engine!$E$12:$E$72,$Q$510+1))</f>
        <v>0.760495991238823</v>
      </c>
      <c r="D526" s="32" t="n">
        <f aca="false">INDEX(Surface_Engine!$L$12:$L$72,$A526+1)*IF($A526&lt;$Q$510,INDEX(Surface_Engine!$Y$12:$Y$72,$A526+1),INDEX(Surface_Engine!$Y$12:$Y$72,$Q$510+1))</f>
        <v>0.683204589647938</v>
      </c>
      <c r="E526" s="32" t="n">
        <f aca="false">INDEX(Surface_Engine!$L$12:$L$72,$A526+1)*IF($A526&lt;$Q$510,INDEX(Surface_Engine!$Z$12:$Z$72,$A526+1),INDEX(Surface_Engine!$Z$12:$Z$72,$Q$510+1))</f>
        <v>0.794456035083303</v>
      </c>
      <c r="F526" s="48" t="n">
        <f aca="false">B526*(IF($A526&lt;$Q$510,INDEX(Surface_Engine!$D$12:$D$72,$A526+1)+(Surface_Engine!B241*12)*INDEX(Surface_Engine!$F$12:$F$72,$A526+1)-(Surface_Engine!B241*12),1000*12*INDEX(Surface_Engine!$C$12:$C$72,$A526+1)/(1+Assumptions!$B$10)^10+INDEX(Surface_Engine!$D$12:$D$72,$A526+1)))*INDEX(Surface_Engine!$B$12:$B$72,$A526+1)+F527</f>
        <v>75677.242209789</v>
      </c>
      <c r="G526" s="48" t="n">
        <f aca="false">C526*(IF($A526&lt;$Q$510,INDEX(Surface_Engine!$D$12:$D$72,$A526+1)+(Surface_Engine!B241*12)*INDEX(Surface_Engine!$F$12:$F$72,$A526+1)-(Surface_Engine!B241*12),1000*12*INDEX(Surface_Engine!$C$12:$C$72,$A526+1)/(1+Assumptions!$B$10)^10+INDEX(Surface_Engine!$D$12:$D$72,$A526+1)))*INDEX(Surface_Engine!$B$12:$B$72,$A526+1)+G527</f>
        <v>86260.2928806256</v>
      </c>
      <c r="H526" s="48" t="n">
        <f aca="false">D526*(IF($A526&lt;$Q$510,INDEX(Surface_Engine!$D$12:$D$72,$A526+1)+(Surface_Engine!B241*12)*INDEX(Surface_Engine!$F$12:$F$72,$A526+1)-(Surface_Engine!B241*12),1000*12*INDEX(Surface_Engine!$C$12:$C$72,$A526+1)/(1+Assumptions!$B$10)^10+INDEX(Surface_Engine!$D$12:$D$72,$A526+1)))*INDEX(Surface_Engine!$B$12:$B$72,$A526+1)+H527</f>
        <v>70150.265026953</v>
      </c>
      <c r="I526" s="48" t="n">
        <f aca="false">E526*(IF($A526&lt;$Q$510,INDEX(Surface_Engine!$D$12:$D$72,$A526+1)+(Surface_Engine!B241*12)*INDEX(Surface_Engine!$F$12:$F$72,$A526+1)-(Surface_Engine!B241*12),1000*12*INDEX(Surface_Engine!$C$12:$C$72,$A526+1)/(1+Assumptions!$B$10)^10+INDEX(Surface_Engine!$D$12:$D$72,$A526+1)))*INDEX(Surface_Engine!$B$12:$B$72,$A526+1)+I527</f>
        <v>81573.3709313557</v>
      </c>
      <c r="J526" s="48" t="n">
        <f aca="false">B526*(IF($A526&lt;$Q$510,INDEX(Surface_Engine!$D$12:$D$72,$A526+1)*(1+Assumptions!$B$24)+(Surface_Engine!B241*12)*INDEX(Surface_Engine!$F$12:$F$72,$A526+1)-(Surface_Engine!B241*12),1000*12*INDEX(Surface_Engine!$C$12:$C$72,$A526+1)/(1+Assumptions!$B$10)^10+INDEX(Surface_Engine!$D$12:$D$72,$A526+1)*(1+Assumptions!$B$24)))*INDEX(Surface_Engine!$B$12:$B$72,$A526+1)+J527</f>
        <v>75746.619693905</v>
      </c>
      <c r="K526" s="12" t="n">
        <f aca="false">SQRT((IF(C526&lt;=0,0,MAX(0,(B526/C526)*G526/INDEX(Surface_Engine!$B$12:$B$72,$A526+1)-F526/INDEX(Surface_Engine!$B$12:$B$72,$A526+1))))^2+(MAX(IF(D526&lt;=0,0,MAX(0,(B526/D526)*H526/INDEX(Surface_Engine!$B$12:$B$72,$A526+1)-F526/INDEX(Surface_Engine!$B$12:$B$72,$A526+1))),IF(E526&lt;=0,0,MAX(0,(B526/E526)*I526/INDEX(Surface_Engine!$B$12:$B$72,$A526+1)-F526/INDEX(Surface_Engine!$B$12:$B$72,$A526+1))),IF($A526&lt;$Q$510,MAX(0,-Assumptions!$B$22*(F526/INDEX(Surface_Engine!$B$12:$B$72,$A526+1))),0)))^2+(MAX(0,J526/INDEX(Surface_Engine!$B$12:$B$72,$A526+1)-(F526/INDEX(Surface_Engine!$B$12:$B$72,$A526+1))))^2+2*Assumptions!$B$26*(IF(C526&lt;=0,0,MAX(0,(B526/C526)*G526/INDEX(Surface_Engine!$B$12:$B$72,$A526+1)-F526/INDEX(Surface_Engine!$B$12:$B$72,$A526+1))))*(MAX(IF(D526&lt;=0,0,MAX(0,(B526/D526)*H526/INDEX(Surface_Engine!$B$12:$B$72,$A526+1)-F526/INDEX(Surface_Engine!$B$12:$B$72,$A526+1))),IF(E526&lt;=0,0,MAX(0,(B526/E526)*I526/INDEX(Surface_Engine!$B$12:$B$72,$A526+1)-F526/INDEX(Surface_Engine!$B$12:$B$72,$A526+1))),IF($A526&lt;$Q$510,MAX(0,-Assumptions!$B$22*(F526/INDEX(Surface_Engine!$B$12:$B$72,$A526+1))),0)))+2*Assumptions!$B$27*(IF(C526&lt;=0,0,MAX(0,(B526/C526)*G526/INDEX(Surface_Engine!$B$12:$B$72,$A526+1)-F526/INDEX(Surface_Engine!$B$12:$B$72,$A526+1))))*(MAX(0,J526/INDEX(Surface_Engine!$B$12:$B$72,$A526+1)-(F526/INDEX(Surface_Engine!$B$12:$B$72,$A526+1))))+2*Assumptions!$B$28*(MAX(IF(D526&lt;=0,0,MAX(0,(B526/D526)*H526/INDEX(Surface_Engine!$B$12:$B$72,$A526+1)-F526/INDEX(Surface_Engine!$B$12:$B$72,$A526+1))),IF(E526&lt;=0,0,MAX(0,(B526/E526)*I526/INDEX(Surface_Engine!$B$12:$B$72,$A526+1)-F526/INDEX(Surface_Engine!$B$12:$B$72,$A526+1))),IF($A526&lt;$Q$510,MAX(0,-Assumptions!$B$22*(F526/INDEX(Surface_Engine!$B$12:$B$72,$A526+1))),0)))*(MAX(0,J526/INDEX(Surface_Engine!$B$12:$B$72,$A526+1)-(F526/INDEX(Surface_Engine!$B$12:$B$72,$A526+1)))))</f>
        <v>12112.1827229328</v>
      </c>
      <c r="L526" s="48" t="n">
        <f aca="false">K526*INDEX(Surface_Engine!$B$12:$B$72,$A526+1)+L527</f>
        <v>83848.9316900595</v>
      </c>
      <c r="M526" s="48" t="n">
        <f aca="false">M525+B525*(IF($A525&lt;$Q$510,(Surface_Engine!B241*12)-(Surface_Engine!B241*12)*INDEX(Surface_Engine!$F$12:$F$72,$A525+1)-INDEX(Surface_Engine!$D$12:$D$72,$A525+1),-(1000*12*INDEX(Surface_Engine!$C$12:$C$72,$A525+1)/(1+Assumptions!$B$10)^10+INDEX(Surface_Engine!$D$12:$D$72,$A525+1))))*INDEX(Surface_Engine!$B$12:$B$72,$A525+1)</f>
        <v>79572.6812057257</v>
      </c>
      <c r="N526" s="12" t="n">
        <f aca="false">IF(B526&lt;=0,0,MAX(0,(K526+Assumptions!$B$29*L526/INDEX(Surface_Engine!$B$12:$B$72,$A526+1)-(M526/INDEX(Surface_Engine!$B$12:$B$72,$A526+1)-(F526/INDEX(Surface_Engine!$B$12:$B$72,$A526+1))))/B526))</f>
        <v>18784.0916493299</v>
      </c>
    </row>
    <row r="527" customFormat="false" ht="15" hidden="false" customHeight="true" outlineLevel="0" collapsed="false">
      <c r="A527" s="1" t="n">
        <v>15</v>
      </c>
      <c r="B527" s="32" t="n">
        <f aca="false">INDEX(Surface_Engine!$L$12:$L$72,$A527+1)*IF($A527&lt;$Q$510,INDEX(Surface_Engine!$E$12:$E$72,$A527+1),INDEX(Surface_Engine!$E$12:$E$72,$Q$510+1))</f>
        <v>0.719843142411673</v>
      </c>
      <c r="C527" s="32" t="n">
        <f aca="false">INDEX(Panel_Reserving!$D$8:$D$68,$A527+1)*IF($A527&lt;$Q$510,INDEX(Surface_Engine!$E$12:$E$72,$A527+1),INDEX(Surface_Engine!$E$12:$E$72,$Q$510+1))</f>
        <v>0.746306564548745</v>
      </c>
      <c r="D527" s="32" t="n">
        <f aca="false">INDEX(Surface_Engine!$L$12:$L$72,$A527+1)*IF($A527&lt;$Q$510,INDEX(Surface_Engine!$Y$12:$Y$72,$A527+1),INDEX(Surface_Engine!$Y$12:$Y$72,$Q$510+1))</f>
        <v>0.66727044674841</v>
      </c>
      <c r="E527" s="32" t="n">
        <f aca="false">INDEX(Surface_Engine!$L$12:$L$72,$A527+1)*IF($A527&lt;$Q$510,INDEX(Surface_Engine!$Z$12:$Z$72,$A527+1),INDEX(Surface_Engine!$Z$12:$Z$72,$Q$510+1))</f>
        <v>0.775927213435701</v>
      </c>
      <c r="F527" s="48" t="n">
        <f aca="false">B527*(IF($A527&lt;$Q$510,INDEX(Surface_Engine!$D$12:$D$72,$A527+1)+(Surface_Engine!B241*12)*INDEX(Surface_Engine!$F$12:$F$72,$A527+1)-(Surface_Engine!B241*12),1000*12*INDEX(Surface_Engine!$C$12:$C$72,$A527+1)/(1+Assumptions!$B$10)^10+INDEX(Surface_Engine!$D$12:$D$72,$A527+1)))*INDEX(Surface_Engine!$B$12:$B$72,$A527+1)+F528</f>
        <v>69346.0352235825</v>
      </c>
      <c r="G527" s="48" t="n">
        <f aca="false">C527*(IF($A527&lt;$Q$510,INDEX(Surface_Engine!$D$12:$D$72,$A527+1)+(Surface_Engine!B241*12)*INDEX(Surface_Engine!$F$12:$F$72,$A527+1)-(Surface_Engine!B241*12),1000*12*INDEX(Surface_Engine!$C$12:$C$72,$A527+1)/(1+Assumptions!$B$10)^10+INDEX(Surface_Engine!$D$12:$D$72,$A527+1)))*INDEX(Surface_Engine!$B$12:$B$72,$A527+1)+G528</f>
        <v>79727.5331599172</v>
      </c>
      <c r="H527" s="48" t="n">
        <f aca="false">D527*(IF($A527&lt;$Q$510,INDEX(Surface_Engine!$D$12:$D$72,$A527+1)+(Surface_Engine!B241*12)*INDEX(Surface_Engine!$F$12:$F$72,$A527+1)-(Surface_Engine!B241*12),1000*12*INDEX(Surface_Engine!$C$12:$C$72,$A527+1)/(1+Assumptions!$B$10)^10+INDEX(Surface_Engine!$D$12:$D$72,$A527+1)))*INDEX(Surface_Engine!$B$12:$B$72,$A527+1)+H528</f>
        <v>64281.4485234172</v>
      </c>
      <c r="I527" s="48" t="n">
        <f aca="false">E527*(IF($A527&lt;$Q$510,INDEX(Surface_Engine!$D$12:$D$72,$A527+1)+(Surface_Engine!B241*12)*INDEX(Surface_Engine!$F$12:$F$72,$A527+1)-(Surface_Engine!B241*12),1000*12*INDEX(Surface_Engine!$C$12:$C$72,$A527+1)/(1+Assumptions!$B$10)^10+INDEX(Surface_Engine!$D$12:$D$72,$A527+1)))*INDEX(Surface_Engine!$B$12:$B$72,$A527+1)+I528</f>
        <v>74748.8900062011</v>
      </c>
      <c r="J527" s="48" t="n">
        <f aca="false">B527*(IF($A527&lt;$Q$510,INDEX(Surface_Engine!$D$12:$D$72,$A527+1)*(1+Assumptions!$B$24)+(Surface_Engine!B241*12)*INDEX(Surface_Engine!$F$12:$F$72,$A527+1)-(Surface_Engine!B241*12),1000*12*INDEX(Surface_Engine!$C$12:$C$72,$A527+1)/(1+Assumptions!$B$10)^10+INDEX(Surface_Engine!$D$12:$D$72,$A527+1)*(1+Assumptions!$B$24)))*INDEX(Surface_Engine!$B$12:$B$72,$A527+1)+J528</f>
        <v>69409.8151857488</v>
      </c>
      <c r="K527" s="12" t="n">
        <f aca="false">SQRT((IF(C527&lt;=0,0,MAX(0,(B527/C527)*G527/INDEX(Surface_Engine!$B$12:$B$72,$A527+1)-F527/INDEX(Surface_Engine!$B$12:$B$72,$A527+1))))^2+(MAX(IF(D527&lt;=0,0,MAX(0,(B527/D527)*H527/INDEX(Surface_Engine!$B$12:$B$72,$A527+1)-F527/INDEX(Surface_Engine!$B$12:$B$72,$A527+1))),IF(E527&lt;=0,0,MAX(0,(B527/E527)*I527/INDEX(Surface_Engine!$B$12:$B$72,$A527+1)-F527/INDEX(Surface_Engine!$B$12:$B$72,$A527+1))),IF($A527&lt;$Q$510,MAX(0,-Assumptions!$B$22*(F527/INDEX(Surface_Engine!$B$12:$B$72,$A527+1))),0)))^2+(MAX(0,J527/INDEX(Surface_Engine!$B$12:$B$72,$A527+1)-(F527/INDEX(Surface_Engine!$B$12:$B$72,$A527+1))))^2+2*Assumptions!$B$26*(IF(C527&lt;=0,0,MAX(0,(B527/C527)*G527/INDEX(Surface_Engine!$B$12:$B$72,$A527+1)-F527/INDEX(Surface_Engine!$B$12:$B$72,$A527+1))))*(MAX(IF(D527&lt;=0,0,MAX(0,(B527/D527)*H527/INDEX(Surface_Engine!$B$12:$B$72,$A527+1)-F527/INDEX(Surface_Engine!$B$12:$B$72,$A527+1))),IF(E527&lt;=0,0,MAX(0,(B527/E527)*I527/INDEX(Surface_Engine!$B$12:$B$72,$A527+1)-F527/INDEX(Surface_Engine!$B$12:$B$72,$A527+1))),IF($A527&lt;$Q$510,MAX(0,-Assumptions!$B$22*(F527/INDEX(Surface_Engine!$B$12:$B$72,$A527+1))),0)))+2*Assumptions!$B$27*(IF(C527&lt;=0,0,MAX(0,(B527/C527)*G527/INDEX(Surface_Engine!$B$12:$B$72,$A527+1)-F527/INDEX(Surface_Engine!$B$12:$B$72,$A527+1))))*(MAX(0,J527/INDEX(Surface_Engine!$B$12:$B$72,$A527+1)-(F527/INDEX(Surface_Engine!$B$12:$B$72,$A527+1))))+2*Assumptions!$B$28*(MAX(IF(D527&lt;=0,0,MAX(0,(B527/D527)*H527/INDEX(Surface_Engine!$B$12:$B$72,$A527+1)-F527/INDEX(Surface_Engine!$B$12:$B$72,$A527+1))),IF(E527&lt;=0,0,MAX(0,(B527/E527)*I527/INDEX(Surface_Engine!$B$12:$B$72,$A527+1)-F527/INDEX(Surface_Engine!$B$12:$B$72,$A527+1))),IF($A527&lt;$Q$510,MAX(0,-Assumptions!$B$22*(F527/INDEX(Surface_Engine!$B$12:$B$72,$A527+1))),0)))*(MAX(0,J527/INDEX(Surface_Engine!$B$12:$B$72,$A527+1)-(F527/INDEX(Surface_Engine!$B$12:$B$72,$A527+1)))))</f>
        <v>11979.9166323439</v>
      </c>
      <c r="L527" s="48" t="n">
        <f aca="false">K527*INDEX(Surface_Engine!$B$12:$B$72,$A527+1)+L528</f>
        <v>75909.608252463</v>
      </c>
      <c r="M527" s="48" t="n">
        <f aca="false">M526+B526*(IF($A526&lt;$Q$510,(Surface_Engine!B241*12)-(Surface_Engine!B241*12)*INDEX(Surface_Engine!$F$12:$F$72,$A526+1)-INDEX(Surface_Engine!$D$12:$D$72,$A526+1),-(1000*12*INDEX(Surface_Engine!$C$12:$C$72,$A526+1)/(1+Assumptions!$B$10)^10+INDEX(Surface_Engine!$D$12:$D$72,$A526+1))))*INDEX(Surface_Engine!$B$12:$B$72,$A526+1)</f>
        <v>73241.4742195192</v>
      </c>
      <c r="N527" s="12" t="n">
        <f aca="false">IF(B527&lt;=0,0,MAX(0,(K527+Assumptions!$B$29*L527/INDEX(Surface_Engine!$B$12:$B$72,$A527+1)-(M527/INDEX(Surface_Engine!$B$12:$B$72,$A527+1)-(F527/INDEX(Surface_Engine!$B$12:$B$72,$A527+1))))/B527))</f>
        <v>18091.372168216</v>
      </c>
    </row>
    <row r="528" customFormat="false" ht="15" hidden="false" customHeight="true" outlineLevel="0" collapsed="false">
      <c r="A528" s="1" t="n">
        <v>16</v>
      </c>
      <c r="B528" s="32" t="n">
        <f aca="false">INDEX(Surface_Engine!$L$12:$L$72,$A528+1)*IF($A528&lt;$Q$510,INDEX(Surface_Engine!$E$12:$E$72,$A528+1),INDEX(Surface_Engine!$E$12:$E$72,$Q$510+1))</f>
        <v>0.700368116002836</v>
      </c>
      <c r="C528" s="32" t="n">
        <f aca="false">INDEX(Panel_Reserving!$D$8:$D$68,$A528+1)*IF($A528&lt;$Q$510,INDEX(Surface_Engine!$E$12:$E$72,$A528+1),INDEX(Surface_Engine!$E$12:$E$72,$Q$510+1))</f>
        <v>0.730153778812695</v>
      </c>
      <c r="D528" s="32" t="n">
        <f aca="false">INDEX(Surface_Engine!$L$12:$L$72,$A528+1)*IF($A528&lt;$Q$510,INDEX(Surface_Engine!$Y$12:$Y$72,$A528+1),INDEX(Surface_Engine!$Y$12:$Y$72,$Q$510+1))</f>
        <v>0.649217750533614</v>
      </c>
      <c r="E528" s="32" t="n">
        <f aca="false">INDEX(Surface_Engine!$L$12:$L$72,$A528+1)*IF($A528&lt;$Q$510,INDEX(Surface_Engine!$Z$12:$Z$72,$A528+1),INDEX(Surface_Engine!$Z$12:$Z$72,$Q$510+1))</f>
        <v>0.754934858181236</v>
      </c>
      <c r="F528" s="48" t="n">
        <f aca="false">B528*(IF($A528&lt;$Q$510,INDEX(Surface_Engine!$D$12:$D$72,$A528+1)+(Surface_Engine!B241*12)*INDEX(Surface_Engine!$F$12:$F$72,$A528+1)-(Surface_Engine!B241*12),1000*12*INDEX(Surface_Engine!$C$12:$C$72,$A528+1)/(1+Assumptions!$B$10)^10+INDEX(Surface_Engine!$D$12:$D$72,$A528+1)))*INDEX(Surface_Engine!$B$12:$B$72,$A528+1)+F529</f>
        <v>63265.0593898975</v>
      </c>
      <c r="G528" s="48" t="n">
        <f aca="false">C528*(IF($A528&lt;$Q$510,INDEX(Surface_Engine!$D$12:$D$72,$A528+1)+(Surface_Engine!B241*12)*INDEX(Surface_Engine!$F$12:$F$72,$A528+1)-(Surface_Engine!B241*12),1000*12*INDEX(Surface_Engine!$C$12:$C$72,$A528+1)/(1+Assumptions!$B$10)^10+INDEX(Surface_Engine!$D$12:$D$72,$A528+1)))*INDEX(Surface_Engine!$B$12:$B$72,$A528+1)+G529</f>
        <v>73423.0038588018</v>
      </c>
      <c r="H528" s="48" t="n">
        <f aca="false">D528*(IF($A528&lt;$Q$510,INDEX(Surface_Engine!$D$12:$D$72,$A528+1)+(Surface_Engine!B241*12)*INDEX(Surface_Engine!$F$12:$F$72,$A528+1)-(Surface_Engine!B241*12),1000*12*INDEX(Surface_Engine!$C$12:$C$72,$A528+1)/(1+Assumptions!$B$10)^10+INDEX(Surface_Engine!$D$12:$D$72,$A528+1)))*INDEX(Surface_Engine!$B$12:$B$72,$A528+1)+H529</f>
        <v>58644.5879045677</v>
      </c>
      <c r="I528" s="48" t="n">
        <f aca="false">E528*(IF($A528&lt;$Q$510,INDEX(Surface_Engine!$D$12:$D$72,$A528+1)+(Surface_Engine!B241*12)*INDEX(Surface_Engine!$F$12:$F$72,$A528+1)-(Surface_Engine!B241*12),1000*12*INDEX(Surface_Engine!$C$12:$C$72,$A528+1)/(1+Assumptions!$B$10)^10+INDEX(Surface_Engine!$D$12:$D$72,$A528+1)))*INDEX(Surface_Engine!$B$12:$B$72,$A528+1)+I529</f>
        <v>68194.1361221909</v>
      </c>
      <c r="J528" s="48" t="n">
        <f aca="false">B528*(IF($A528&lt;$Q$510,INDEX(Surface_Engine!$D$12:$D$72,$A528+1)*(1+Assumptions!$B$24)+(Surface_Engine!B241*12)*INDEX(Surface_Engine!$F$12:$F$72,$A528+1)-(Surface_Engine!B241*12),1000*12*INDEX(Surface_Engine!$C$12:$C$72,$A528+1)/(1+Assumptions!$B$10)^10+INDEX(Surface_Engine!$D$12:$D$72,$A528+1)*(1+Assumptions!$B$24)))*INDEX(Surface_Engine!$B$12:$B$72,$A528+1)+J529</f>
        <v>63323.436943281</v>
      </c>
      <c r="K528" s="12" t="n">
        <f aca="false">SQRT((IF(C528&lt;=0,0,MAX(0,(B528/C528)*G528/INDEX(Surface_Engine!$B$12:$B$72,$A528+1)-F528/INDEX(Surface_Engine!$B$12:$B$72,$A528+1))))^2+(MAX(IF(D528&lt;=0,0,MAX(0,(B528/D528)*H528/INDEX(Surface_Engine!$B$12:$B$72,$A528+1)-F528/INDEX(Surface_Engine!$B$12:$B$72,$A528+1))),IF(E528&lt;=0,0,MAX(0,(B528/E528)*I528/INDEX(Surface_Engine!$B$12:$B$72,$A528+1)-F528/INDEX(Surface_Engine!$B$12:$B$72,$A528+1))),IF($A528&lt;$Q$510,MAX(0,-Assumptions!$B$22*(F528/INDEX(Surface_Engine!$B$12:$B$72,$A528+1))),0)))^2+(MAX(0,J528/INDEX(Surface_Engine!$B$12:$B$72,$A528+1)-(F528/INDEX(Surface_Engine!$B$12:$B$72,$A528+1))))^2+2*Assumptions!$B$26*(IF(C528&lt;=0,0,MAX(0,(B528/C528)*G528/INDEX(Surface_Engine!$B$12:$B$72,$A528+1)-F528/INDEX(Surface_Engine!$B$12:$B$72,$A528+1))))*(MAX(IF(D528&lt;=0,0,MAX(0,(B528/D528)*H528/INDEX(Surface_Engine!$B$12:$B$72,$A528+1)-F528/INDEX(Surface_Engine!$B$12:$B$72,$A528+1))),IF(E528&lt;=0,0,MAX(0,(B528/E528)*I528/INDEX(Surface_Engine!$B$12:$B$72,$A528+1)-F528/INDEX(Surface_Engine!$B$12:$B$72,$A528+1))),IF($A528&lt;$Q$510,MAX(0,-Assumptions!$B$22*(F528/INDEX(Surface_Engine!$B$12:$B$72,$A528+1))),0)))+2*Assumptions!$B$27*(IF(C528&lt;=0,0,MAX(0,(B528/C528)*G528/INDEX(Surface_Engine!$B$12:$B$72,$A528+1)-F528/INDEX(Surface_Engine!$B$12:$B$72,$A528+1))))*(MAX(0,J528/INDEX(Surface_Engine!$B$12:$B$72,$A528+1)-(F528/INDEX(Surface_Engine!$B$12:$B$72,$A528+1))))+2*Assumptions!$B$28*(MAX(IF(D528&lt;=0,0,MAX(0,(B528/D528)*H528/INDEX(Surface_Engine!$B$12:$B$72,$A528+1)-F528/INDEX(Surface_Engine!$B$12:$B$72,$A528+1))),IF(E528&lt;=0,0,MAX(0,(B528/E528)*I528/INDEX(Surface_Engine!$B$12:$B$72,$A528+1)-F528/INDEX(Surface_Engine!$B$12:$B$72,$A528+1))),IF($A528&lt;$Q$510,MAX(0,-Assumptions!$B$22*(F528/INDEX(Surface_Engine!$B$12:$B$72,$A528+1))),0)))*(MAX(0,J528/INDEX(Surface_Engine!$B$12:$B$72,$A528+1)-(F528/INDEX(Surface_Engine!$B$12:$B$72,$A528+1)))))</f>
        <v>11769.1172852262</v>
      </c>
      <c r="L528" s="48" t="n">
        <f aca="false">K528*INDEX(Surface_Engine!$B$12:$B$72,$A528+1)+L529</f>
        <v>68338.9867553097</v>
      </c>
      <c r="M528" s="48" t="n">
        <f aca="false">M527+B527*(IF($A527&lt;$Q$510,(Surface_Engine!B241*12)-(Surface_Engine!B241*12)*INDEX(Surface_Engine!$F$12:$F$72,$A527+1)-INDEX(Surface_Engine!$D$12:$D$72,$A527+1),-(1000*12*INDEX(Surface_Engine!$C$12:$C$72,$A527+1)/(1+Assumptions!$B$10)^10+INDEX(Surface_Engine!$D$12:$D$72,$A527+1))))*INDEX(Surface_Engine!$B$12:$B$72,$A527+1)</f>
        <v>67160.4983858342</v>
      </c>
      <c r="N528" s="12" t="n">
        <f aca="false">IF(B528&lt;=0,0,MAX(0,(K528+Assumptions!$B$29*L528/INDEX(Surface_Engine!$B$12:$B$72,$A528+1)-(M528/INDEX(Surface_Engine!$B$12:$B$72,$A528+1)-(F528/INDEX(Surface_Engine!$B$12:$B$72,$A528+1))))/B528))</f>
        <v>17283.9020420774</v>
      </c>
    </row>
    <row r="529" customFormat="false" ht="15" hidden="false" customHeight="true" outlineLevel="0" collapsed="false">
      <c r="A529" s="1" t="n">
        <v>17</v>
      </c>
      <c r="B529" s="32" t="n">
        <f aca="false">INDEX(Surface_Engine!$L$12:$L$72,$A529+1)*IF($A529&lt;$Q$510,INDEX(Surface_Engine!$E$12:$E$72,$A529+1),INDEX(Surface_Engine!$E$12:$E$72,$Q$510+1))</f>
        <v>0.679102897342318</v>
      </c>
      <c r="C529" s="32" t="n">
        <f aca="false">INDEX(Panel_Reserving!$D$8:$D$68,$A529+1)*IF($A529&lt;$Q$510,INDEX(Surface_Engine!$E$12:$E$72,$A529+1),INDEX(Surface_Engine!$E$12:$E$72,$Q$510+1))</f>
        <v>0.712418100208854</v>
      </c>
      <c r="D529" s="32" t="n">
        <f aca="false">INDEX(Surface_Engine!$L$12:$L$72,$A529+1)*IF($A529&lt;$Q$510,INDEX(Surface_Engine!$Y$12:$Y$72,$A529+1),INDEX(Surface_Engine!$Y$12:$Y$72,$Q$510+1))</f>
        <v>0.629505606151343</v>
      </c>
      <c r="E529" s="32" t="n">
        <f aca="false">INDEX(Surface_Engine!$L$12:$L$72,$A529+1)*IF($A529&lt;$Q$510,INDEX(Surface_Engine!$Z$12:$Z$72,$A529+1),INDEX(Surface_Engine!$Z$12:$Z$72,$Q$510+1))</f>
        <v>0.732012834081547</v>
      </c>
      <c r="F529" s="48" t="n">
        <f aca="false">B529*(IF($A529&lt;$Q$510,INDEX(Surface_Engine!$D$12:$D$72,$A529+1)+(Surface_Engine!B241*12)*INDEX(Surface_Engine!$F$12:$F$72,$A529+1)-(Surface_Engine!B241*12),1000*12*INDEX(Surface_Engine!$C$12:$C$72,$A529+1)/(1+Assumptions!$B$10)^10+INDEX(Surface_Engine!$D$12:$D$72,$A529+1)))*INDEX(Surface_Engine!$B$12:$B$72,$A529+1)+F530</f>
        <v>57440.856998816</v>
      </c>
      <c r="G529" s="48" t="n">
        <f aca="false">C529*(IF($A529&lt;$Q$510,INDEX(Surface_Engine!$D$12:$D$72,$A529+1)+(Surface_Engine!B241*12)*INDEX(Surface_Engine!$F$12:$F$72,$A529+1)-(Surface_Engine!B241*12),1000*12*INDEX(Surface_Engine!$C$12:$C$72,$A529+1)/(1+Assumptions!$B$10)^10+INDEX(Surface_Engine!$D$12:$D$72,$A529+1)))*INDEX(Surface_Engine!$B$12:$B$72,$A529+1)+G530</f>
        <v>67351.1063990938</v>
      </c>
      <c r="H529" s="48" t="n">
        <f aca="false">D529*(IF($A529&lt;$Q$510,INDEX(Surface_Engine!$D$12:$D$72,$A529+1)+(Surface_Engine!B241*12)*INDEX(Surface_Engine!$F$12:$F$72,$A529+1)-(Surface_Engine!B241*12),1000*12*INDEX(Surface_Engine!$C$12:$C$72,$A529+1)/(1+Assumptions!$B$10)^10+INDEX(Surface_Engine!$D$12:$D$72,$A529+1)))*INDEX(Surface_Engine!$B$12:$B$72,$A529+1)+H530</f>
        <v>53245.7476538571</v>
      </c>
      <c r="I529" s="48" t="n">
        <f aca="false">E529*(IF($A529&lt;$Q$510,INDEX(Surface_Engine!$D$12:$D$72,$A529+1)+(Surface_Engine!B241*12)*INDEX(Surface_Engine!$F$12:$F$72,$A529+1)-(Surface_Engine!B241*12),1000*12*INDEX(Surface_Engine!$C$12:$C$72,$A529+1)/(1+Assumptions!$B$10)^10+INDEX(Surface_Engine!$D$12:$D$72,$A529+1)))*INDEX(Surface_Engine!$B$12:$B$72,$A529+1)+I530</f>
        <v>61916.1612891502</v>
      </c>
      <c r="J529" s="48" t="n">
        <f aca="false">B529*(IF($A529&lt;$Q$510,INDEX(Surface_Engine!$D$12:$D$72,$A529+1)*(1+Assumptions!$B$24)+(Surface_Engine!B241*12)*INDEX(Surface_Engine!$F$12:$F$72,$A529+1)-(Surface_Engine!B241*12),1000*12*INDEX(Surface_Engine!$C$12:$C$72,$A529+1)/(1+Assumptions!$B$10)^10+INDEX(Surface_Engine!$D$12:$D$72,$A529+1)*(1+Assumptions!$B$24)))*INDEX(Surface_Engine!$B$12:$B$72,$A529+1)+J530</f>
        <v>57494.0351261671</v>
      </c>
      <c r="K529" s="12" t="n">
        <f aca="false">SQRT((IF(C529&lt;=0,0,MAX(0,(B529/C529)*G529/INDEX(Surface_Engine!$B$12:$B$72,$A529+1)-F529/INDEX(Surface_Engine!$B$12:$B$72,$A529+1))))^2+(MAX(IF(D529&lt;=0,0,MAX(0,(B529/D529)*H529/INDEX(Surface_Engine!$B$12:$B$72,$A529+1)-F529/INDEX(Surface_Engine!$B$12:$B$72,$A529+1))),IF(E529&lt;=0,0,MAX(0,(B529/E529)*I529/INDEX(Surface_Engine!$B$12:$B$72,$A529+1)-F529/INDEX(Surface_Engine!$B$12:$B$72,$A529+1))),IF($A529&lt;$Q$510,MAX(0,-Assumptions!$B$22*(F529/INDEX(Surface_Engine!$B$12:$B$72,$A529+1))),0)))^2+(MAX(0,J529/INDEX(Surface_Engine!$B$12:$B$72,$A529+1)-(F529/INDEX(Surface_Engine!$B$12:$B$72,$A529+1))))^2+2*Assumptions!$B$26*(IF(C529&lt;=0,0,MAX(0,(B529/C529)*G529/INDEX(Surface_Engine!$B$12:$B$72,$A529+1)-F529/INDEX(Surface_Engine!$B$12:$B$72,$A529+1))))*(MAX(IF(D529&lt;=0,0,MAX(0,(B529/D529)*H529/INDEX(Surface_Engine!$B$12:$B$72,$A529+1)-F529/INDEX(Surface_Engine!$B$12:$B$72,$A529+1))),IF(E529&lt;=0,0,MAX(0,(B529/E529)*I529/INDEX(Surface_Engine!$B$12:$B$72,$A529+1)-F529/INDEX(Surface_Engine!$B$12:$B$72,$A529+1))),IF($A529&lt;$Q$510,MAX(0,-Assumptions!$B$22*(F529/INDEX(Surface_Engine!$B$12:$B$72,$A529+1))),0)))+2*Assumptions!$B$27*(IF(C529&lt;=0,0,MAX(0,(B529/C529)*G529/INDEX(Surface_Engine!$B$12:$B$72,$A529+1)-F529/INDEX(Surface_Engine!$B$12:$B$72,$A529+1))))*(MAX(0,J529/INDEX(Surface_Engine!$B$12:$B$72,$A529+1)-(F529/INDEX(Surface_Engine!$B$12:$B$72,$A529+1))))+2*Assumptions!$B$28*(MAX(IF(D529&lt;=0,0,MAX(0,(B529/D529)*H529/INDEX(Surface_Engine!$B$12:$B$72,$A529+1)-F529/INDEX(Surface_Engine!$B$12:$B$72,$A529+1))),IF(E529&lt;=0,0,MAX(0,(B529/E529)*I529/INDEX(Surface_Engine!$B$12:$B$72,$A529+1)-F529/INDEX(Surface_Engine!$B$12:$B$72,$A529+1))),IF($A529&lt;$Q$510,MAX(0,-Assumptions!$B$22*(F529/INDEX(Surface_Engine!$B$12:$B$72,$A529+1))),0)))*(MAX(0,J529/INDEX(Surface_Engine!$B$12:$B$72,$A529+1)-(F529/INDEX(Surface_Engine!$B$12:$B$72,$A529+1)))))</f>
        <v>11488.4647851666</v>
      </c>
      <c r="L529" s="48" t="n">
        <f aca="false">K529*INDEX(Surface_Engine!$B$12:$B$72,$A529+1)+L530</f>
        <v>61161.4201766043</v>
      </c>
      <c r="M529" s="48" t="n">
        <f aca="false">M528+B528*(IF($A528&lt;$Q$510,(Surface_Engine!B241*12)-(Surface_Engine!B241*12)*INDEX(Surface_Engine!$F$12:$F$72,$A528+1)-INDEX(Surface_Engine!$D$12:$D$72,$A528+1),-(1000*12*INDEX(Surface_Engine!$C$12:$C$72,$A528+1)/(1+Assumptions!$B$10)^10+INDEX(Surface_Engine!$D$12:$D$72,$A528+1))))*INDEX(Surface_Engine!$B$12:$B$72,$A528+1)</f>
        <v>61336.2959947527</v>
      </c>
      <c r="N529" s="12" t="n">
        <f aca="false">IF(B529&lt;=0,0,MAX(0,(K529+Assumptions!$B$29*L529/INDEX(Surface_Engine!$B$12:$B$72,$A529+1)-(M529/INDEX(Surface_Engine!$B$12:$B$72,$A529+1)-(F529/INDEX(Surface_Engine!$B$12:$B$72,$A529+1))))/B529))</f>
        <v>16353.344335819</v>
      </c>
    </row>
    <row r="530" customFormat="false" ht="15" hidden="false" customHeight="true" outlineLevel="0" collapsed="false">
      <c r="A530" s="1" t="n">
        <v>18</v>
      </c>
      <c r="B530" s="32" t="n">
        <f aca="false">INDEX(Surface_Engine!$L$12:$L$72,$A530+1)*IF($A530&lt;$Q$510,INDEX(Surface_Engine!$E$12:$E$72,$A530+1),INDEX(Surface_Engine!$E$12:$E$72,$Q$510+1))</f>
        <v>0.655958090099648</v>
      </c>
      <c r="C530" s="32" t="n">
        <f aca="false">INDEX(Panel_Reserving!$D$8:$D$68,$A530+1)*IF($A530&lt;$Q$510,INDEX(Surface_Engine!$E$12:$E$72,$A530+1),INDEX(Surface_Engine!$E$12:$E$72,$Q$510+1))</f>
        <v>0.692993910242883</v>
      </c>
      <c r="D530" s="32" t="n">
        <f aca="false">INDEX(Surface_Engine!$L$12:$L$72,$A530+1)*IF($A530&lt;$Q$510,INDEX(Surface_Engine!$Y$12:$Y$72,$A530+1),INDEX(Surface_Engine!$Y$12:$Y$72,$Q$510+1))</f>
        <v>0.608051146201943</v>
      </c>
      <c r="E530" s="32" t="n">
        <f aca="false">INDEX(Surface_Engine!$L$12:$L$72,$A530+1)*IF($A530&lt;$Q$510,INDEX(Surface_Engine!$Z$12:$Z$72,$A530+1),INDEX(Surface_Engine!$Z$12:$Z$72,$Q$510+1))</f>
        <v>0.707064779802465</v>
      </c>
      <c r="F530" s="48" t="n">
        <f aca="false">B530*(IF($A530&lt;$Q$510,INDEX(Surface_Engine!$D$12:$D$72,$A530+1)+(Surface_Engine!B241*12)*INDEX(Surface_Engine!$F$12:$F$72,$A530+1)-(Surface_Engine!B241*12),1000*12*INDEX(Surface_Engine!$C$12:$C$72,$A530+1)/(1+Assumptions!$B$10)^10+INDEX(Surface_Engine!$D$12:$D$72,$A530+1)))*INDEX(Surface_Engine!$B$12:$B$72,$A530+1)+F531</f>
        <v>51871.2426699606</v>
      </c>
      <c r="G530" s="48" t="n">
        <f aca="false">C530*(IF($A530&lt;$Q$510,INDEX(Surface_Engine!$D$12:$D$72,$A530+1)+(Surface_Engine!B241*12)*INDEX(Surface_Engine!$F$12:$F$72,$A530+1)-(Surface_Engine!B241*12),1000*12*INDEX(Surface_Engine!$C$12:$C$72,$A530+1)/(1+Assumptions!$B$10)^10+INDEX(Surface_Engine!$D$12:$D$72,$A530+1)))*INDEX(Surface_Engine!$B$12:$B$72,$A530+1)+G531</f>
        <v>61508.2597928024</v>
      </c>
      <c r="H530" s="48" t="n">
        <f aca="false">D530*(IF($A530&lt;$Q$510,INDEX(Surface_Engine!$D$12:$D$72,$A530+1)+(Surface_Engine!B241*12)*INDEX(Surface_Engine!$F$12:$F$72,$A530+1)-(Surface_Engine!B241*12),1000*12*INDEX(Surface_Engine!$C$12:$C$72,$A530+1)/(1+Assumptions!$B$10)^10+INDEX(Surface_Engine!$D$12:$D$72,$A530+1)))*INDEX(Surface_Engine!$B$12:$B$72,$A530+1)+H531</f>
        <v>48082.9019969816</v>
      </c>
      <c r="I530" s="48" t="n">
        <f aca="false">E530*(IF($A530&lt;$Q$510,INDEX(Surface_Engine!$D$12:$D$72,$A530+1)+(Surface_Engine!B241*12)*INDEX(Surface_Engine!$F$12:$F$72,$A530+1)-(Surface_Engine!B241*12),1000*12*INDEX(Surface_Engine!$C$12:$C$72,$A530+1)/(1+Assumptions!$B$10)^10+INDEX(Surface_Engine!$D$12:$D$72,$A530+1)))*INDEX(Surface_Engine!$B$12:$B$72,$A530+1)+I531</f>
        <v>55912.6098604017</v>
      </c>
      <c r="J530" s="48" t="n">
        <f aca="false">B530*(IF($A530&lt;$Q$510,INDEX(Surface_Engine!$D$12:$D$72,$A530+1)*(1+Assumptions!$B$24)+(Surface_Engine!B241*12)*INDEX(Surface_Engine!$F$12:$F$72,$A530+1)-(Surface_Engine!B241*12),1000*12*INDEX(Surface_Engine!$C$12:$C$72,$A530+1)/(1+Assumptions!$B$10)^10+INDEX(Surface_Engine!$D$12:$D$72,$A530+1)*(1+Assumptions!$B$24)))*INDEX(Surface_Engine!$B$12:$B$72,$A530+1)+J531</f>
        <v>51919.4244944291</v>
      </c>
      <c r="K530" s="12" t="n">
        <f aca="false">SQRT((IF(C530&lt;=0,0,MAX(0,(B530/C530)*G530/INDEX(Surface_Engine!$B$12:$B$72,$A530+1)-F530/INDEX(Surface_Engine!$B$12:$B$72,$A530+1))))^2+(MAX(IF(D530&lt;=0,0,MAX(0,(B530/D530)*H530/INDEX(Surface_Engine!$B$12:$B$72,$A530+1)-F530/INDEX(Surface_Engine!$B$12:$B$72,$A530+1))),IF(E530&lt;=0,0,MAX(0,(B530/E530)*I530/INDEX(Surface_Engine!$B$12:$B$72,$A530+1)-F530/INDEX(Surface_Engine!$B$12:$B$72,$A530+1))),IF($A530&lt;$Q$510,MAX(0,-Assumptions!$B$22*(F530/INDEX(Surface_Engine!$B$12:$B$72,$A530+1))),0)))^2+(MAX(0,J530/INDEX(Surface_Engine!$B$12:$B$72,$A530+1)-(F530/INDEX(Surface_Engine!$B$12:$B$72,$A530+1))))^2+2*Assumptions!$B$26*(IF(C530&lt;=0,0,MAX(0,(B530/C530)*G530/INDEX(Surface_Engine!$B$12:$B$72,$A530+1)-F530/INDEX(Surface_Engine!$B$12:$B$72,$A530+1))))*(MAX(IF(D530&lt;=0,0,MAX(0,(B530/D530)*H530/INDEX(Surface_Engine!$B$12:$B$72,$A530+1)-F530/INDEX(Surface_Engine!$B$12:$B$72,$A530+1))),IF(E530&lt;=0,0,MAX(0,(B530/E530)*I530/INDEX(Surface_Engine!$B$12:$B$72,$A530+1)-F530/INDEX(Surface_Engine!$B$12:$B$72,$A530+1))),IF($A530&lt;$Q$510,MAX(0,-Assumptions!$B$22*(F530/INDEX(Surface_Engine!$B$12:$B$72,$A530+1))),0)))+2*Assumptions!$B$27*(IF(C530&lt;=0,0,MAX(0,(B530/C530)*G530/INDEX(Surface_Engine!$B$12:$B$72,$A530+1)-F530/INDEX(Surface_Engine!$B$12:$B$72,$A530+1))))*(MAX(0,J530/INDEX(Surface_Engine!$B$12:$B$72,$A530+1)-(F530/INDEX(Surface_Engine!$B$12:$B$72,$A530+1))))+2*Assumptions!$B$28*(MAX(IF(D530&lt;=0,0,MAX(0,(B530/D530)*H530/INDEX(Surface_Engine!$B$12:$B$72,$A530+1)-F530/INDEX(Surface_Engine!$B$12:$B$72,$A530+1))),IF(E530&lt;=0,0,MAX(0,(B530/E530)*I530/INDEX(Surface_Engine!$B$12:$B$72,$A530+1)-F530/INDEX(Surface_Engine!$B$12:$B$72,$A530+1))),IF($A530&lt;$Q$510,MAX(0,-Assumptions!$B$22*(F530/INDEX(Surface_Engine!$B$12:$B$72,$A530+1))),0)))*(MAX(0,J530/INDEX(Surface_Engine!$B$12:$B$72,$A530+1)-(F530/INDEX(Surface_Engine!$B$12:$B$72,$A530+1)))))</f>
        <v>11147.5368815365</v>
      </c>
      <c r="L530" s="48" t="n">
        <f aca="false">K530*INDEX(Surface_Engine!$B$12:$B$72,$A530+1)+L531</f>
        <v>54387.2577139109</v>
      </c>
      <c r="M530" s="48" t="n">
        <f aca="false">M529+B529*(IF($A529&lt;$Q$510,(Surface_Engine!B241*12)-(Surface_Engine!B241*12)*INDEX(Surface_Engine!$F$12:$F$72,$A529+1)-INDEX(Surface_Engine!$D$12:$D$72,$A529+1),-(1000*12*INDEX(Surface_Engine!$C$12:$C$72,$A529+1)/(1+Assumptions!$B$10)^10+INDEX(Surface_Engine!$D$12:$D$72,$A529+1))))*INDEX(Surface_Engine!$B$12:$B$72,$A529+1)</f>
        <v>55766.6816658973</v>
      </c>
      <c r="N530" s="12" t="n">
        <f aca="false">IF(B530&lt;=0,0,MAX(0,(K530+Assumptions!$B$29*L530/INDEX(Surface_Engine!$B$12:$B$72,$A530+1)-(M530/INDEX(Surface_Engine!$B$12:$B$72,$A530+1)-(F530/INDEX(Surface_Engine!$B$12:$B$72,$A530+1))))/B530))</f>
        <v>15305.5385996634</v>
      </c>
    </row>
    <row r="531" customFormat="false" ht="15" hidden="false" customHeight="true" outlineLevel="0" collapsed="false">
      <c r="A531" s="1" t="n">
        <v>19</v>
      </c>
      <c r="B531" s="32" t="n">
        <f aca="false">INDEX(Surface_Engine!$L$12:$L$72,$A531+1)*IF($A531&lt;$Q$510,INDEX(Surface_Engine!$E$12:$E$72,$A531+1),INDEX(Surface_Engine!$E$12:$E$72,$Q$510+1))</f>
        <v>0.63086803056605</v>
      </c>
      <c r="C531" s="32" t="n">
        <f aca="false">INDEX(Panel_Reserving!$D$8:$D$68,$A531+1)*IF($A531&lt;$Q$510,INDEX(Surface_Engine!$E$12:$E$72,$A531+1),INDEX(Surface_Engine!$E$12:$E$72,$Q$510+1))</f>
        <v>0.671788581760054</v>
      </c>
      <c r="D531" s="32" t="n">
        <f aca="false">INDEX(Surface_Engine!$L$12:$L$72,$A531+1)*IF($A531&lt;$Q$510,INDEX(Surface_Engine!$Y$12:$Y$72,$A531+1),INDEX(Surface_Engine!$Y$12:$Y$72,$Q$510+1))</f>
        <v>0.584793502629986</v>
      </c>
      <c r="E531" s="32" t="n">
        <f aca="false">INDEX(Surface_Engine!$L$12:$L$72,$A531+1)*IF($A531&lt;$Q$510,INDEX(Surface_Engine!$Z$12:$Z$72,$A531+1),INDEX(Surface_Engine!$Z$12:$Z$72,$Q$510+1))</f>
        <v>0.680019915676071</v>
      </c>
      <c r="F531" s="48" t="n">
        <f aca="false">B531*(IF($A531&lt;$Q$510,INDEX(Surface_Engine!$D$12:$D$72,$A531+1)+(Surface_Engine!B241*12)*INDEX(Surface_Engine!$F$12:$F$72,$A531+1)-(Surface_Engine!B241*12),1000*12*INDEX(Surface_Engine!$C$12:$C$72,$A531+1)/(1+Assumptions!$B$10)^10+INDEX(Surface_Engine!$D$12:$D$72,$A531+1)))*INDEX(Surface_Engine!$B$12:$B$72,$A531+1)+F532</f>
        <v>46559.8500522886</v>
      </c>
      <c r="G531" s="48" t="n">
        <f aca="false">C531*(IF($A531&lt;$Q$510,INDEX(Surface_Engine!$D$12:$D$72,$A531+1)+(Surface_Engine!B241*12)*INDEX(Surface_Engine!$F$12:$F$72,$A531+1)-(Surface_Engine!B241*12),1000*12*INDEX(Surface_Engine!$C$12:$C$72,$A531+1)/(1+Assumptions!$B$10)^10+INDEX(Surface_Engine!$D$12:$D$72,$A531+1)))*INDEX(Surface_Engine!$B$12:$B$72,$A531+1)+G532</f>
        <v>55896.9824955036</v>
      </c>
      <c r="H531" s="48" t="n">
        <f aca="false">D531*(IF($A531&lt;$Q$510,INDEX(Surface_Engine!$D$12:$D$72,$A531+1)+(Surface_Engine!B241*12)*INDEX(Surface_Engine!$F$12:$F$72,$A531+1)-(Surface_Engine!B241*12),1000*12*INDEX(Surface_Engine!$C$12:$C$72,$A531+1)/(1+Assumptions!$B$10)^10+INDEX(Surface_Engine!$D$12:$D$72,$A531+1)))*INDEX(Surface_Engine!$B$12:$B$72,$A531+1)+H532</f>
        <v>43159.4192046384</v>
      </c>
      <c r="I531" s="48" t="n">
        <f aca="false">E531*(IF($A531&lt;$Q$510,INDEX(Surface_Engine!$D$12:$D$72,$A531+1)+(Surface_Engine!B241*12)*INDEX(Surface_Engine!$F$12:$F$72,$A531+1)-(Surface_Engine!B241*12),1000*12*INDEX(Surface_Engine!$C$12:$C$72,$A531+1)/(1+Assumptions!$B$10)^10+INDEX(Surface_Engine!$D$12:$D$72,$A531+1)))*INDEX(Surface_Engine!$B$12:$B$72,$A531+1)+I532</f>
        <v>50187.3985880046</v>
      </c>
      <c r="J531" s="48" t="n">
        <f aca="false">B531*(IF($A531&lt;$Q$510,INDEX(Surface_Engine!$D$12:$D$72,$A531+1)*(1+Assumptions!$B$24)+(Surface_Engine!B241*12)*INDEX(Surface_Engine!$F$12:$F$72,$A531+1)-(Surface_Engine!B241*12),1000*12*INDEX(Surface_Engine!$C$12:$C$72,$A531+1)/(1+Assumptions!$B$10)^10+INDEX(Surface_Engine!$D$12:$D$72,$A531+1)*(1+Assumptions!$B$24)))*INDEX(Surface_Engine!$B$12:$B$72,$A531+1)+J532</f>
        <v>46603.2440697403</v>
      </c>
      <c r="K531" s="12" t="n">
        <f aca="false">SQRT((IF(C531&lt;=0,0,MAX(0,(B531/C531)*G531/INDEX(Surface_Engine!$B$12:$B$72,$A531+1)-F531/INDEX(Surface_Engine!$B$12:$B$72,$A531+1))))^2+(MAX(IF(D531&lt;=0,0,MAX(0,(B531/D531)*H531/INDEX(Surface_Engine!$B$12:$B$72,$A531+1)-F531/INDEX(Surface_Engine!$B$12:$B$72,$A531+1))),IF(E531&lt;=0,0,MAX(0,(B531/E531)*I531/INDEX(Surface_Engine!$B$12:$B$72,$A531+1)-F531/INDEX(Surface_Engine!$B$12:$B$72,$A531+1))),IF($A531&lt;$Q$510,MAX(0,-Assumptions!$B$22*(F531/INDEX(Surface_Engine!$B$12:$B$72,$A531+1))),0)))^2+(MAX(0,J531/INDEX(Surface_Engine!$B$12:$B$72,$A531+1)-(F531/INDEX(Surface_Engine!$B$12:$B$72,$A531+1))))^2+2*Assumptions!$B$26*(IF(C531&lt;=0,0,MAX(0,(B531/C531)*G531/INDEX(Surface_Engine!$B$12:$B$72,$A531+1)-F531/INDEX(Surface_Engine!$B$12:$B$72,$A531+1))))*(MAX(IF(D531&lt;=0,0,MAX(0,(B531/D531)*H531/INDEX(Surface_Engine!$B$12:$B$72,$A531+1)-F531/INDEX(Surface_Engine!$B$12:$B$72,$A531+1))),IF(E531&lt;=0,0,MAX(0,(B531/E531)*I531/INDEX(Surface_Engine!$B$12:$B$72,$A531+1)-F531/INDEX(Surface_Engine!$B$12:$B$72,$A531+1))),IF($A531&lt;$Q$510,MAX(0,-Assumptions!$B$22*(F531/INDEX(Surface_Engine!$B$12:$B$72,$A531+1))),0)))+2*Assumptions!$B$27*(IF(C531&lt;=0,0,MAX(0,(B531/C531)*G531/INDEX(Surface_Engine!$B$12:$B$72,$A531+1)-F531/INDEX(Surface_Engine!$B$12:$B$72,$A531+1))))*(MAX(0,J531/INDEX(Surface_Engine!$B$12:$B$72,$A531+1)-(F531/INDEX(Surface_Engine!$B$12:$B$72,$A531+1))))+2*Assumptions!$B$28*(MAX(IF(D531&lt;=0,0,MAX(0,(B531/D531)*H531/INDEX(Surface_Engine!$B$12:$B$72,$A531+1)-F531/INDEX(Surface_Engine!$B$12:$B$72,$A531+1))),IF(E531&lt;=0,0,MAX(0,(B531/E531)*I531/INDEX(Surface_Engine!$B$12:$B$72,$A531+1)-F531/INDEX(Surface_Engine!$B$12:$B$72,$A531+1))),IF($A531&lt;$Q$510,MAX(0,-Assumptions!$B$22*(F531/INDEX(Surface_Engine!$B$12:$B$72,$A531+1))),0)))*(MAX(0,J531/INDEX(Surface_Engine!$B$12:$B$72,$A531+1)-(F531/INDEX(Surface_Engine!$B$12:$B$72,$A531+1)))))</f>
        <v>10749.3401776888</v>
      </c>
      <c r="L531" s="48" t="n">
        <f aca="false">K531*INDEX(Surface_Engine!$B$12:$B$72,$A531+1)+L532</f>
        <v>48025.2230268807</v>
      </c>
      <c r="M531" s="48" t="n">
        <f aca="false">M530+B530*(IF($A530&lt;$Q$510,(Surface_Engine!B241*12)-(Surface_Engine!B241*12)*INDEX(Surface_Engine!$F$12:$F$72,$A530+1)-INDEX(Surface_Engine!$D$12:$D$72,$A530+1),-(1000*12*INDEX(Surface_Engine!$C$12:$C$72,$A530+1)/(1+Assumptions!$B$10)^10+INDEX(Surface_Engine!$D$12:$D$72,$A530+1))))*INDEX(Surface_Engine!$B$12:$B$72,$A530+1)</f>
        <v>50455.2890482254</v>
      </c>
      <c r="N531" s="12" t="n">
        <f aca="false">IF(B531&lt;=0,0,MAX(0,(K531+Assumptions!$B$29*L531/INDEX(Surface_Engine!$B$12:$B$72,$A531+1)-(M531/INDEX(Surface_Engine!$B$12:$B$72,$A531+1)-(F531/INDEX(Surface_Engine!$B$12:$B$72,$A531+1))))/B531))</f>
        <v>14132.1168475219</v>
      </c>
    </row>
    <row r="532" customFormat="false" ht="15" hidden="false" customHeight="true" outlineLevel="0" collapsed="false">
      <c r="A532" s="1" t="n">
        <v>20</v>
      </c>
      <c r="B532" s="32" t="n">
        <f aca="false">INDEX(Surface_Engine!$L$12:$L$72,$A532+1)*IF($A532&lt;$Q$510,INDEX(Surface_Engine!$E$12:$E$72,$A532+1),INDEX(Surface_Engine!$E$12:$E$72,$Q$510+1))</f>
        <v>0.603799628578845</v>
      </c>
      <c r="C532" s="32" t="n">
        <f aca="false">INDEX(Panel_Reserving!$D$8:$D$68,$A532+1)*IF($A532&lt;$Q$510,INDEX(Surface_Engine!$E$12:$E$72,$A532+1),INDEX(Surface_Engine!$E$12:$E$72,$Q$510+1))</f>
        <v>0.648729250805934</v>
      </c>
      <c r="D532" s="32" t="n">
        <f aca="false">INDEX(Surface_Engine!$L$12:$L$72,$A532+1)*IF($A532&lt;$Q$510,INDEX(Surface_Engine!$Y$12:$Y$72,$A532+1),INDEX(Surface_Engine!$Y$12:$Y$72,$Q$510+1))</f>
        <v>0.559702001964639</v>
      </c>
      <c r="E532" s="32" t="n">
        <f aca="false">INDEX(Surface_Engine!$L$12:$L$72,$A532+1)*IF($A532&lt;$Q$510,INDEX(Surface_Engine!$Z$12:$Z$72,$A532+1),INDEX(Surface_Engine!$Z$12:$Z$72,$Q$510+1))</f>
        <v>0.650842573434922</v>
      </c>
      <c r="F532" s="48" t="n">
        <f aca="false">B532*(IF($A532&lt;$Q$510,INDEX(Surface_Engine!$D$12:$D$72,$A532+1)+(Surface_Engine!B241*12)*INDEX(Surface_Engine!$F$12:$F$72,$A532+1)-(Surface_Engine!B241*12),1000*12*INDEX(Surface_Engine!$C$12:$C$72,$A532+1)/(1+Assumptions!$B$10)^10+INDEX(Surface_Engine!$D$12:$D$72,$A532+1)))*INDEX(Surface_Engine!$B$12:$B$72,$A532+1)+F533</f>
        <v>41511.8673021102</v>
      </c>
      <c r="G532" s="48" t="n">
        <f aca="false">C532*(IF($A532&lt;$Q$510,INDEX(Surface_Engine!$D$12:$D$72,$A532+1)+(Surface_Engine!B241*12)*INDEX(Surface_Engine!$F$12:$F$72,$A532+1)-(Surface_Engine!B241*12),1000*12*INDEX(Surface_Engine!$C$12:$C$72,$A532+1)/(1+Assumptions!$B$10)^10+INDEX(Surface_Engine!$D$12:$D$72,$A532+1)))*INDEX(Surface_Engine!$B$12:$B$72,$A532+1)+G533</f>
        <v>50521.5679742624</v>
      </c>
      <c r="H532" s="48" t="n">
        <f aca="false">D532*(IF($A532&lt;$Q$510,INDEX(Surface_Engine!$D$12:$D$72,$A532+1)+(Surface_Engine!B241*12)*INDEX(Surface_Engine!$F$12:$F$72,$A532+1)-(Surface_Engine!B241*12),1000*12*INDEX(Surface_Engine!$C$12:$C$72,$A532+1)/(1+Assumptions!$B$10)^10+INDEX(Surface_Engine!$D$12:$D$72,$A532+1)))*INDEX(Surface_Engine!$B$12:$B$72,$A532+1)+H533</f>
        <v>38480.1085236964</v>
      </c>
      <c r="I532" s="48" t="n">
        <f aca="false">E532*(IF($A532&lt;$Q$510,INDEX(Surface_Engine!$D$12:$D$72,$A532+1)+(Surface_Engine!B241*12)*INDEX(Surface_Engine!$F$12:$F$72,$A532+1)-(Surface_Engine!B241*12),1000*12*INDEX(Surface_Engine!$C$12:$C$72,$A532+1)/(1+Assumptions!$B$10)^10+INDEX(Surface_Engine!$D$12:$D$72,$A532+1)))*INDEX(Surface_Engine!$B$12:$B$72,$A532+1)+I533</f>
        <v>44746.1198453957</v>
      </c>
      <c r="J532" s="48" t="n">
        <f aca="false">B532*(IF($A532&lt;$Q$510,INDEX(Surface_Engine!$D$12:$D$72,$A532+1)*(1+Assumptions!$B$24)+(Surface_Engine!B241*12)*INDEX(Surface_Engine!$F$12:$F$72,$A532+1)-(Surface_Engine!B241*12),1000*12*INDEX(Surface_Engine!$C$12:$C$72,$A532+1)/(1+Assumptions!$B$10)^10+INDEX(Surface_Engine!$D$12:$D$72,$A532+1)*(1+Assumptions!$B$24)))*INDEX(Surface_Engine!$B$12:$B$72,$A532+1)+J533</f>
        <v>41550.6888523791</v>
      </c>
      <c r="K532" s="12" t="n">
        <f aca="false">SQRT((IF(C532&lt;=0,0,MAX(0,(B532/C532)*G532/INDEX(Surface_Engine!$B$12:$B$72,$A532+1)-F532/INDEX(Surface_Engine!$B$12:$B$72,$A532+1))))^2+(MAX(IF(D532&lt;=0,0,MAX(0,(B532/D532)*H532/INDEX(Surface_Engine!$B$12:$B$72,$A532+1)-F532/INDEX(Surface_Engine!$B$12:$B$72,$A532+1))),IF(E532&lt;=0,0,MAX(0,(B532/E532)*I532/INDEX(Surface_Engine!$B$12:$B$72,$A532+1)-F532/INDEX(Surface_Engine!$B$12:$B$72,$A532+1))),IF($A532&lt;$Q$510,MAX(0,-Assumptions!$B$22*(F532/INDEX(Surface_Engine!$B$12:$B$72,$A532+1))),0)))^2+(MAX(0,J532/INDEX(Surface_Engine!$B$12:$B$72,$A532+1)-(F532/INDEX(Surface_Engine!$B$12:$B$72,$A532+1))))^2+2*Assumptions!$B$26*(IF(C532&lt;=0,0,MAX(0,(B532/C532)*G532/INDEX(Surface_Engine!$B$12:$B$72,$A532+1)-F532/INDEX(Surface_Engine!$B$12:$B$72,$A532+1))))*(MAX(IF(D532&lt;=0,0,MAX(0,(B532/D532)*H532/INDEX(Surface_Engine!$B$12:$B$72,$A532+1)-F532/INDEX(Surface_Engine!$B$12:$B$72,$A532+1))),IF(E532&lt;=0,0,MAX(0,(B532/E532)*I532/INDEX(Surface_Engine!$B$12:$B$72,$A532+1)-F532/INDEX(Surface_Engine!$B$12:$B$72,$A532+1))),IF($A532&lt;$Q$510,MAX(0,-Assumptions!$B$22*(F532/INDEX(Surface_Engine!$B$12:$B$72,$A532+1))),0)))+2*Assumptions!$B$27*(IF(C532&lt;=0,0,MAX(0,(B532/C532)*G532/INDEX(Surface_Engine!$B$12:$B$72,$A532+1)-F532/INDEX(Surface_Engine!$B$12:$B$72,$A532+1))))*(MAX(0,J532/INDEX(Surface_Engine!$B$12:$B$72,$A532+1)-(F532/INDEX(Surface_Engine!$B$12:$B$72,$A532+1))))+2*Assumptions!$B$28*(MAX(IF(D532&lt;=0,0,MAX(0,(B532/D532)*H532/INDEX(Surface_Engine!$B$12:$B$72,$A532+1)-F532/INDEX(Surface_Engine!$B$12:$B$72,$A532+1))),IF(E532&lt;=0,0,MAX(0,(B532/E532)*I532/INDEX(Surface_Engine!$B$12:$B$72,$A532+1)-F532/INDEX(Surface_Engine!$B$12:$B$72,$A532+1))),IF($A532&lt;$Q$510,MAX(0,-Assumptions!$B$22*(F532/INDEX(Surface_Engine!$B$12:$B$72,$A532+1))),0)))*(MAX(0,J532/INDEX(Surface_Engine!$B$12:$B$72,$A532+1)-(F532/INDEX(Surface_Engine!$B$12:$B$72,$A532+1)))))</f>
        <v>10303.0104341388</v>
      </c>
      <c r="L532" s="48" t="n">
        <f aca="false">K532*INDEX(Surface_Engine!$B$12:$B$72,$A532+1)+L533</f>
        <v>42081.937578797</v>
      </c>
      <c r="M532" s="48" t="n">
        <f aca="false">M531+B531*(IF($A531&lt;$Q$510,(Surface_Engine!B241*12)-(Surface_Engine!B241*12)*INDEX(Surface_Engine!$F$12:$F$72,$A531+1)-INDEX(Surface_Engine!$D$12:$D$72,$A531+1),-(1000*12*INDEX(Surface_Engine!$C$12:$C$72,$A531+1)/(1+Assumptions!$B$10)^10+INDEX(Surface_Engine!$D$12:$D$72,$A531+1))))*INDEX(Surface_Engine!$B$12:$B$72,$A531+1)</f>
        <v>45407.306298047</v>
      </c>
      <c r="N532" s="12" t="n">
        <f aca="false">IF(B532&lt;=0,0,MAX(0,(K532+Assumptions!$B$29*L532/INDEX(Surface_Engine!$B$12:$B$72,$A532+1)-(M532/INDEX(Surface_Engine!$B$12:$B$72,$A532+1)-(F532/INDEX(Surface_Engine!$B$12:$B$72,$A532+1))))/B532))</f>
        <v>12827.4116398402</v>
      </c>
    </row>
    <row r="533" customFormat="false" ht="15" hidden="false" customHeight="true" outlineLevel="0" collapsed="false">
      <c r="A533" s="1" t="n">
        <v>21</v>
      </c>
      <c r="B533" s="32" t="n">
        <f aca="false">INDEX(Surface_Engine!$L$12:$L$72,$A533+1)*IF($A533&lt;$Q$510,INDEX(Surface_Engine!$E$12:$E$72,$A533+1),INDEX(Surface_Engine!$E$12:$E$72,$Q$510+1))</f>
        <v>0.573805070148056</v>
      </c>
      <c r="C533" s="32" t="n">
        <f aca="false">INDEX(Panel_Reserving!$D$8:$D$68,$A533+1)*IF($A533&lt;$Q$510,INDEX(Surface_Engine!$E$12:$E$72,$A533+1),INDEX(Surface_Engine!$E$12:$E$72,$Q$510+1))</f>
        <v>0.622948052543379</v>
      </c>
      <c r="D533" s="32" t="n">
        <f aca="false">INDEX(Surface_Engine!$L$12:$L$72,$A533+1)*IF($A533&lt;$Q$510,INDEX(Surface_Engine!$Y$12:$Y$72,$A533+1),INDEX(Surface_Engine!$Y$12:$Y$72,$Q$510+1))</f>
        <v>0.531898052430467</v>
      </c>
      <c r="E533" s="32" t="n">
        <f aca="false">INDEX(Surface_Engine!$L$12:$L$72,$A533+1)*IF($A533&lt;$Q$510,INDEX(Surface_Engine!$Z$12:$Z$72,$A533+1),INDEX(Surface_Engine!$Z$12:$Z$72,$Q$510+1))</f>
        <v>0.618511093463516</v>
      </c>
      <c r="F533" s="48" t="n">
        <f aca="false">B533*(IF($A533&lt;$Q$510,INDEX(Surface_Engine!$D$12:$D$72,$A533+1)+(Surface_Engine!B241*12)*INDEX(Surface_Engine!$F$12:$F$72,$A533+1)-(Surface_Engine!B241*12),1000*12*INDEX(Surface_Engine!$C$12:$C$72,$A533+1)/(1+Assumptions!$B$10)^10+INDEX(Surface_Engine!$D$12:$D$72,$A533+1)))*INDEX(Surface_Engine!$B$12:$B$72,$A533+1)+F534</f>
        <v>36735.888001231</v>
      </c>
      <c r="G533" s="48" t="n">
        <f aca="false">C533*(IF($A533&lt;$Q$510,INDEX(Surface_Engine!$D$12:$D$72,$A533+1)+(Surface_Engine!B241*12)*INDEX(Surface_Engine!$F$12:$F$72,$A533+1)-(Surface_Engine!B241*12),1000*12*INDEX(Surface_Engine!$C$12:$C$72,$A533+1)/(1+Assumptions!$B$10)^10+INDEX(Surface_Engine!$D$12:$D$72,$A533+1)))*INDEX(Surface_Engine!$B$12:$B$72,$A533+1)+G534</f>
        <v>45390.2009990681</v>
      </c>
      <c r="H533" s="48" t="n">
        <f aca="false">D533*(IF($A533&lt;$Q$510,INDEX(Surface_Engine!$D$12:$D$72,$A533+1)+(Surface_Engine!B241*12)*INDEX(Surface_Engine!$F$12:$F$72,$A533+1)-(Surface_Engine!B241*12),1000*12*INDEX(Surface_Engine!$C$12:$C$72,$A533+1)/(1+Assumptions!$B$10)^10+INDEX(Surface_Engine!$D$12:$D$72,$A533+1)))*INDEX(Surface_Engine!$B$12:$B$72,$A533+1)+H534</f>
        <v>34052.935916228</v>
      </c>
      <c r="I533" s="48" t="n">
        <f aca="false">E533*(IF($A533&lt;$Q$510,INDEX(Surface_Engine!$D$12:$D$72,$A533+1)+(Surface_Engine!B241*12)*INDEX(Surface_Engine!$F$12:$F$72,$A533+1)-(Surface_Engine!B241*12),1000*12*INDEX(Surface_Engine!$C$12:$C$72,$A533+1)/(1+Assumptions!$B$10)^10+INDEX(Surface_Engine!$D$12:$D$72,$A533+1)))*INDEX(Surface_Engine!$B$12:$B$72,$A533+1)+I534</f>
        <v>39598.0367533732</v>
      </c>
      <c r="J533" s="48" t="n">
        <f aca="false">B533*(IF($A533&lt;$Q$510,INDEX(Surface_Engine!$D$12:$D$72,$A533+1)*(1+Assumptions!$B$24)+(Surface_Engine!B241*12)*INDEX(Surface_Engine!$F$12:$F$72,$A533+1)-(Surface_Engine!B241*12),1000*12*INDEX(Surface_Engine!$C$12:$C$72,$A533+1)/(1+Assumptions!$B$10)^10+INDEX(Surface_Engine!$D$12:$D$72,$A533+1)*(1+Assumptions!$B$24)))*INDEX(Surface_Engine!$B$12:$B$72,$A533+1)+J534</f>
        <v>36770.3624519937</v>
      </c>
      <c r="K533" s="12" t="n">
        <f aca="false">SQRT((IF(C533&lt;=0,0,MAX(0,(B533/C533)*G533/INDEX(Surface_Engine!$B$12:$B$72,$A533+1)-F533/INDEX(Surface_Engine!$B$12:$B$72,$A533+1))))^2+(MAX(IF(D533&lt;=0,0,MAX(0,(B533/D533)*H533/INDEX(Surface_Engine!$B$12:$B$72,$A533+1)-F533/INDEX(Surface_Engine!$B$12:$B$72,$A533+1))),IF(E533&lt;=0,0,MAX(0,(B533/E533)*I533/INDEX(Surface_Engine!$B$12:$B$72,$A533+1)-F533/INDEX(Surface_Engine!$B$12:$B$72,$A533+1))),IF($A533&lt;$Q$510,MAX(0,-Assumptions!$B$22*(F533/INDEX(Surface_Engine!$B$12:$B$72,$A533+1))),0)))^2+(MAX(0,J533/INDEX(Surface_Engine!$B$12:$B$72,$A533+1)-(F533/INDEX(Surface_Engine!$B$12:$B$72,$A533+1))))^2+2*Assumptions!$B$26*(IF(C533&lt;=0,0,MAX(0,(B533/C533)*G533/INDEX(Surface_Engine!$B$12:$B$72,$A533+1)-F533/INDEX(Surface_Engine!$B$12:$B$72,$A533+1))))*(MAX(IF(D533&lt;=0,0,MAX(0,(B533/D533)*H533/INDEX(Surface_Engine!$B$12:$B$72,$A533+1)-F533/INDEX(Surface_Engine!$B$12:$B$72,$A533+1))),IF(E533&lt;=0,0,MAX(0,(B533/E533)*I533/INDEX(Surface_Engine!$B$12:$B$72,$A533+1)-F533/INDEX(Surface_Engine!$B$12:$B$72,$A533+1))),IF($A533&lt;$Q$510,MAX(0,-Assumptions!$B$22*(F533/INDEX(Surface_Engine!$B$12:$B$72,$A533+1))),0)))+2*Assumptions!$B$27*(IF(C533&lt;=0,0,MAX(0,(B533/C533)*G533/INDEX(Surface_Engine!$B$12:$B$72,$A533+1)-F533/INDEX(Surface_Engine!$B$12:$B$72,$A533+1))))*(MAX(0,J533/INDEX(Surface_Engine!$B$12:$B$72,$A533+1)-(F533/INDEX(Surface_Engine!$B$12:$B$72,$A533+1))))+2*Assumptions!$B$28*(MAX(IF(D533&lt;=0,0,MAX(0,(B533/D533)*H533/INDEX(Surface_Engine!$B$12:$B$72,$A533+1)-F533/INDEX(Surface_Engine!$B$12:$B$72,$A533+1))),IF(E533&lt;=0,0,MAX(0,(B533/E533)*I533/INDEX(Surface_Engine!$B$12:$B$72,$A533+1)-F533/INDEX(Surface_Engine!$B$12:$B$72,$A533+1))),IF($A533&lt;$Q$510,MAX(0,-Assumptions!$B$22*(F533/INDEX(Surface_Engine!$B$12:$B$72,$A533+1))),0)))*(MAX(0,J533/INDEX(Surface_Engine!$B$12:$B$72,$A533+1)-(F533/INDEX(Surface_Engine!$B$12:$B$72,$A533+1)))))</f>
        <v>9787.75638767655</v>
      </c>
      <c r="L533" s="48" t="n">
        <f aca="false">K533*INDEX(Surface_Engine!$B$12:$B$72,$A533+1)+L534</f>
        <v>36561.4209893828</v>
      </c>
      <c r="M533" s="48" t="n">
        <f aca="false">M532+B532*(IF($A532&lt;$Q$510,(Surface_Engine!B241*12)-(Surface_Engine!B241*12)*INDEX(Surface_Engine!$F$12:$F$72,$A532+1)-INDEX(Surface_Engine!$D$12:$D$72,$A532+1),-(1000*12*INDEX(Surface_Engine!$C$12:$C$72,$A532+1)/(1+Assumptions!$B$10)^10+INDEX(Surface_Engine!$D$12:$D$72,$A532+1))))*INDEX(Surface_Engine!$B$12:$B$72,$A532+1)</f>
        <v>40631.3269971677</v>
      </c>
      <c r="N533" s="12" t="n">
        <f aca="false">IF(B533&lt;=0,0,MAX(0,(K533+Assumptions!$B$29*L533/INDEX(Surface_Engine!$B$12:$B$72,$A533+1)-(M533/INDEX(Surface_Engine!$B$12:$B$72,$A533+1)-(F533/INDEX(Surface_Engine!$B$12:$B$72,$A533+1))))/B533))</f>
        <v>11346.0780256678</v>
      </c>
    </row>
    <row r="534" customFormat="false" ht="15" hidden="false" customHeight="true" outlineLevel="0" collapsed="false">
      <c r="A534" s="1" t="n">
        <v>22</v>
      </c>
      <c r="B534" s="32" t="n">
        <f aca="false">INDEX(Surface_Engine!$L$12:$L$72,$A534+1)*IF($A534&lt;$Q$510,INDEX(Surface_Engine!$E$12:$E$72,$A534+1),INDEX(Surface_Engine!$E$12:$E$72,$Q$510+1))</f>
        <v>0.541473789901857</v>
      </c>
      <c r="C534" s="32" t="n">
        <f aca="false">INDEX(Panel_Reserving!$D$8:$D$68,$A534+1)*IF($A534&lt;$Q$510,INDEX(Surface_Engine!$E$12:$E$72,$A534+1),INDEX(Surface_Engine!$E$12:$E$72,$Q$510+1))</f>
        <v>0.594867843268955</v>
      </c>
      <c r="D534" s="32" t="n">
        <f aca="false">INDEX(Surface_Engine!$L$12:$L$72,$A534+1)*IF($A534&lt;$Q$510,INDEX(Surface_Engine!$Y$12:$Y$72,$A534+1),INDEX(Surface_Engine!$Y$12:$Y$72,$Q$510+1))</f>
        <v>0.501928040155915</v>
      </c>
      <c r="E534" s="32" t="n">
        <f aca="false">INDEX(Surface_Engine!$L$12:$L$72,$A534+1)*IF($A534&lt;$Q$510,INDEX(Surface_Engine!$Z$12:$Z$72,$A534+1),INDEX(Surface_Engine!$Z$12:$Z$72,$Q$510+1))</f>
        <v>0.583660834135915</v>
      </c>
      <c r="F534" s="48" t="n">
        <f aca="false">B534*(IF($A534&lt;$Q$510,INDEX(Surface_Engine!$D$12:$D$72,$A534+1)+(Surface_Engine!B241*12)*INDEX(Surface_Engine!$F$12:$F$72,$A534+1)-(Surface_Engine!B241*12),1000*12*INDEX(Surface_Engine!$C$12:$C$72,$A534+1)/(1+Assumptions!$B$10)^10+INDEX(Surface_Engine!$D$12:$D$72,$A534+1)))*INDEX(Surface_Engine!$B$12:$B$72,$A534+1)+F535</f>
        <v>32249.3029681661</v>
      </c>
      <c r="G534" s="48" t="n">
        <f aca="false">C534*(IF($A534&lt;$Q$510,INDEX(Surface_Engine!$D$12:$D$72,$A534+1)+(Surface_Engine!B241*12)*INDEX(Surface_Engine!$F$12:$F$72,$A534+1)-(Surface_Engine!B241*12),1000*12*INDEX(Surface_Engine!$C$12:$C$72,$A534+1)/(1+Assumptions!$B$10)^10+INDEX(Surface_Engine!$D$12:$D$72,$A534+1)))*INDEX(Surface_Engine!$B$12:$B$72,$A534+1)+G535</f>
        <v>40519.366713486</v>
      </c>
      <c r="H534" s="48" t="n">
        <f aca="false">D534*(IF($A534&lt;$Q$510,INDEX(Surface_Engine!$D$12:$D$72,$A534+1)+(Surface_Engine!B241*12)*INDEX(Surface_Engine!$F$12:$F$72,$A534+1)-(Surface_Engine!B241*12),1000*12*INDEX(Surface_Engine!$C$12:$C$72,$A534+1)/(1+Assumptions!$B$10)^10+INDEX(Surface_Engine!$D$12:$D$72,$A534+1)))*INDEX(Surface_Engine!$B$12:$B$72,$A534+1)+H535</f>
        <v>29894.0220876432</v>
      </c>
      <c r="I534" s="48" t="n">
        <f aca="false">E534*(IF($A534&lt;$Q$510,INDEX(Surface_Engine!$D$12:$D$72,$A534+1)+(Surface_Engine!B241*12)*INDEX(Surface_Engine!$F$12:$F$72,$A534+1)-(Surface_Engine!B241*12),1000*12*INDEX(Surface_Engine!$C$12:$C$72,$A534+1)/(1+Assumptions!$B$10)^10+INDEX(Surface_Engine!$D$12:$D$72,$A534+1)))*INDEX(Surface_Engine!$B$12:$B$72,$A534+1)+I535</f>
        <v>34761.8950755</v>
      </c>
      <c r="J534" s="48" t="n">
        <f aca="false">B534*(IF($A534&lt;$Q$510,INDEX(Surface_Engine!$D$12:$D$72,$A534+1)*(1+Assumptions!$B$24)+(Surface_Engine!B241*12)*INDEX(Surface_Engine!$F$12:$F$72,$A534+1)-(Surface_Engine!B241*12),1000*12*INDEX(Surface_Engine!$C$12:$C$72,$A534+1)/(1+Assumptions!$B$10)^10+INDEX(Surface_Engine!$D$12:$D$72,$A534+1)*(1+Assumptions!$B$24)))*INDEX(Surface_Engine!$B$12:$B$72,$A534+1)+J535</f>
        <v>32279.6738912647</v>
      </c>
      <c r="K534" s="12" t="n">
        <f aca="false">SQRT((IF(C534&lt;=0,0,MAX(0,(B534/C534)*G534/INDEX(Surface_Engine!$B$12:$B$72,$A534+1)-F534/INDEX(Surface_Engine!$B$12:$B$72,$A534+1))))^2+(MAX(IF(D534&lt;=0,0,MAX(0,(B534/D534)*H534/INDEX(Surface_Engine!$B$12:$B$72,$A534+1)-F534/INDEX(Surface_Engine!$B$12:$B$72,$A534+1))),IF(E534&lt;=0,0,MAX(0,(B534/E534)*I534/INDEX(Surface_Engine!$B$12:$B$72,$A534+1)-F534/INDEX(Surface_Engine!$B$12:$B$72,$A534+1))),IF($A534&lt;$Q$510,MAX(0,-Assumptions!$B$22*(F534/INDEX(Surface_Engine!$B$12:$B$72,$A534+1))),0)))^2+(MAX(0,J534/INDEX(Surface_Engine!$B$12:$B$72,$A534+1)-(F534/INDEX(Surface_Engine!$B$12:$B$72,$A534+1))))^2+2*Assumptions!$B$26*(IF(C534&lt;=0,0,MAX(0,(B534/C534)*G534/INDEX(Surface_Engine!$B$12:$B$72,$A534+1)-F534/INDEX(Surface_Engine!$B$12:$B$72,$A534+1))))*(MAX(IF(D534&lt;=0,0,MAX(0,(B534/D534)*H534/INDEX(Surface_Engine!$B$12:$B$72,$A534+1)-F534/INDEX(Surface_Engine!$B$12:$B$72,$A534+1))),IF(E534&lt;=0,0,MAX(0,(B534/E534)*I534/INDEX(Surface_Engine!$B$12:$B$72,$A534+1)-F534/INDEX(Surface_Engine!$B$12:$B$72,$A534+1))),IF($A534&lt;$Q$510,MAX(0,-Assumptions!$B$22*(F534/INDEX(Surface_Engine!$B$12:$B$72,$A534+1))),0)))+2*Assumptions!$B$27*(IF(C534&lt;=0,0,MAX(0,(B534/C534)*G534/INDEX(Surface_Engine!$B$12:$B$72,$A534+1)-F534/INDEX(Surface_Engine!$B$12:$B$72,$A534+1))))*(MAX(0,J534/INDEX(Surface_Engine!$B$12:$B$72,$A534+1)-(F534/INDEX(Surface_Engine!$B$12:$B$72,$A534+1))))+2*Assumptions!$B$28*(MAX(IF(D534&lt;=0,0,MAX(0,(B534/D534)*H534/INDEX(Surface_Engine!$B$12:$B$72,$A534+1)-F534/INDEX(Surface_Engine!$B$12:$B$72,$A534+1))),IF(E534&lt;=0,0,MAX(0,(B534/E534)*I534/INDEX(Surface_Engine!$B$12:$B$72,$A534+1)-F534/INDEX(Surface_Engine!$B$12:$B$72,$A534+1))),IF($A534&lt;$Q$510,MAX(0,-Assumptions!$B$22*(F534/INDEX(Surface_Engine!$B$12:$B$72,$A534+1))),0)))*(MAX(0,J534/INDEX(Surface_Engine!$B$12:$B$72,$A534+1)-(F534/INDEX(Surface_Engine!$B$12:$B$72,$A534+1)))))</f>
        <v>9222.79783581631</v>
      </c>
      <c r="L534" s="48" t="n">
        <f aca="false">K534*INDEX(Surface_Engine!$B$12:$B$72,$A534+1)+L535</f>
        <v>31479.1114765624</v>
      </c>
      <c r="M534" s="48" t="n">
        <f aca="false">M533+B533*(IF($A533&lt;$Q$510,(Surface_Engine!B241*12)-(Surface_Engine!B241*12)*INDEX(Surface_Engine!$F$12:$F$72,$A533+1)-INDEX(Surface_Engine!$D$12:$D$72,$A533+1),-(1000*12*INDEX(Surface_Engine!$C$12:$C$72,$A533+1)/(1+Assumptions!$B$10)^10+INDEX(Surface_Engine!$D$12:$D$72,$A533+1))))*INDEX(Surface_Engine!$B$12:$B$72,$A533+1)</f>
        <v>36144.7419641028</v>
      </c>
      <c r="N534" s="12" t="n">
        <f aca="false">IF(B534&lt;=0,0,MAX(0,(K534+Assumptions!$B$29*L534/INDEX(Surface_Engine!$B$12:$B$72,$A534+1)-(M534/INDEX(Surface_Engine!$B$12:$B$72,$A534+1)-(F534/INDEX(Surface_Engine!$B$12:$B$72,$A534+1))))/B534))</f>
        <v>9667.79118512558</v>
      </c>
    </row>
    <row r="535" customFormat="false" ht="15" hidden="false" customHeight="true" outlineLevel="0" collapsed="false">
      <c r="A535" s="1" t="n">
        <v>23</v>
      </c>
      <c r="B535" s="32" t="n">
        <f aca="false">INDEX(Surface_Engine!$L$12:$L$72,$A535+1)*IF($A535&lt;$Q$510,INDEX(Surface_Engine!$E$12:$E$72,$A535+1),INDEX(Surface_Engine!$E$12:$E$72,$Q$510+1))</f>
        <v>0.506873483108916</v>
      </c>
      <c r="C535" s="32" t="n">
        <f aca="false">INDEX(Panel_Reserving!$D$8:$D$68,$A535+1)*IF($A535&lt;$Q$510,INDEX(Surface_Engine!$E$12:$E$72,$A535+1),INDEX(Surface_Engine!$E$12:$E$72,$Q$510+1))</f>
        <v>0.56445808344351</v>
      </c>
      <c r="D535" s="32" t="n">
        <f aca="false">INDEX(Surface_Engine!$L$12:$L$72,$A535+1)*IF($A535&lt;$Q$510,INDEX(Surface_Engine!$Y$12:$Y$72,$A535+1),INDEX(Surface_Engine!$Y$12:$Y$72,$Q$510+1))</f>
        <v>0.469854716384284</v>
      </c>
      <c r="E535" s="32" t="n">
        <f aca="false">INDEX(Surface_Engine!$L$12:$L$72,$A535+1)*IF($A535&lt;$Q$510,INDEX(Surface_Engine!$Z$12:$Z$72,$A535+1),INDEX(Surface_Engine!$Z$12:$Z$72,$Q$510+1))</f>
        <v>0.546364764961843</v>
      </c>
      <c r="F535" s="48" t="n">
        <f aca="false">B535*(IF($A535&lt;$Q$510,INDEX(Surface_Engine!$D$12:$D$72,$A535+1)+(Surface_Engine!B241*12)*INDEX(Surface_Engine!$F$12:$F$72,$A535+1)-(Surface_Engine!B241*12),1000*12*INDEX(Surface_Engine!$C$12:$C$72,$A535+1)/(1+Assumptions!$B$10)^10+INDEX(Surface_Engine!$D$12:$D$72,$A535+1)))*INDEX(Surface_Engine!$B$12:$B$72,$A535+1)+F536</f>
        <v>28064.2345263397</v>
      </c>
      <c r="G535" s="48" t="n">
        <f aca="false">C535*(IF($A535&lt;$Q$510,INDEX(Surface_Engine!$D$12:$D$72,$A535+1)+(Surface_Engine!B241*12)*INDEX(Surface_Engine!$F$12:$F$72,$A535+1)-(Surface_Engine!B241*12),1000*12*INDEX(Surface_Engine!$C$12:$C$72,$A535+1)/(1+Assumptions!$B$10)^10+INDEX(Surface_Engine!$D$12:$D$72,$A535+1)))*INDEX(Surface_Engine!$B$12:$B$72,$A535+1)+G536</f>
        <v>35921.613905592</v>
      </c>
      <c r="H535" s="48" t="n">
        <f aca="false">D535*(IF($A535&lt;$Q$510,INDEX(Surface_Engine!$D$12:$D$72,$A535+1)+(Surface_Engine!B241*12)*INDEX(Surface_Engine!$F$12:$F$72,$A535+1)-(Surface_Engine!B241*12),1000*12*INDEX(Surface_Engine!$C$12:$C$72,$A535+1)/(1+Assumptions!$B$10)^10+INDEX(Surface_Engine!$D$12:$D$72,$A535+1)))*INDEX(Surface_Engine!$B$12:$B$72,$A535+1)+H536</f>
        <v>26014.6040251271</v>
      </c>
      <c r="I535" s="48" t="n">
        <f aca="false">E535*(IF($A535&lt;$Q$510,INDEX(Surface_Engine!$D$12:$D$72,$A535+1)+(Surface_Engine!B241*12)*INDEX(Surface_Engine!$F$12:$F$72,$A535+1)-(Surface_Engine!B241*12),1000*12*INDEX(Surface_Engine!$C$12:$C$72,$A535+1)/(1+Assumptions!$B$10)^10+INDEX(Surface_Engine!$D$12:$D$72,$A535+1)))*INDEX(Surface_Engine!$B$12:$B$72,$A535+1)+I536</f>
        <v>30250.7616038041</v>
      </c>
      <c r="J535" s="48" t="n">
        <f aca="false">B535*(IF($A535&lt;$Q$510,INDEX(Surface_Engine!$D$12:$D$72,$A535+1)*(1+Assumptions!$B$24)+(Surface_Engine!B241*12)*INDEX(Surface_Engine!$F$12:$F$72,$A535+1)-(Surface_Engine!B241*12),1000*12*INDEX(Surface_Engine!$C$12:$C$72,$A535+1)/(1+Assumptions!$B$10)^10+INDEX(Surface_Engine!$D$12:$D$72,$A535+1)*(1+Assumptions!$B$24)))*INDEX(Surface_Engine!$B$12:$B$72,$A535+1)+J536</f>
        <v>28090.7591043149</v>
      </c>
      <c r="K535" s="12" t="n">
        <f aca="false">SQRT((IF(C535&lt;=0,0,MAX(0,(B535/C535)*G535/INDEX(Surface_Engine!$B$12:$B$72,$A535+1)-F535/INDEX(Surface_Engine!$B$12:$B$72,$A535+1))))^2+(MAX(IF(D535&lt;=0,0,MAX(0,(B535/D535)*H535/INDEX(Surface_Engine!$B$12:$B$72,$A535+1)-F535/INDEX(Surface_Engine!$B$12:$B$72,$A535+1))),IF(E535&lt;=0,0,MAX(0,(B535/E535)*I535/INDEX(Surface_Engine!$B$12:$B$72,$A535+1)-F535/INDEX(Surface_Engine!$B$12:$B$72,$A535+1))),IF($A535&lt;$Q$510,MAX(0,-Assumptions!$B$22*(F535/INDEX(Surface_Engine!$B$12:$B$72,$A535+1))),0)))^2+(MAX(0,J535/INDEX(Surface_Engine!$B$12:$B$72,$A535+1)-(F535/INDEX(Surface_Engine!$B$12:$B$72,$A535+1))))^2+2*Assumptions!$B$26*(IF(C535&lt;=0,0,MAX(0,(B535/C535)*G535/INDEX(Surface_Engine!$B$12:$B$72,$A535+1)-F535/INDEX(Surface_Engine!$B$12:$B$72,$A535+1))))*(MAX(IF(D535&lt;=0,0,MAX(0,(B535/D535)*H535/INDEX(Surface_Engine!$B$12:$B$72,$A535+1)-F535/INDEX(Surface_Engine!$B$12:$B$72,$A535+1))),IF(E535&lt;=0,0,MAX(0,(B535/E535)*I535/INDEX(Surface_Engine!$B$12:$B$72,$A535+1)-F535/INDEX(Surface_Engine!$B$12:$B$72,$A535+1))),IF($A535&lt;$Q$510,MAX(0,-Assumptions!$B$22*(F535/INDEX(Surface_Engine!$B$12:$B$72,$A535+1))),0)))+2*Assumptions!$B$27*(IF(C535&lt;=0,0,MAX(0,(B535/C535)*G535/INDEX(Surface_Engine!$B$12:$B$72,$A535+1)-F535/INDEX(Surface_Engine!$B$12:$B$72,$A535+1))))*(MAX(0,J535/INDEX(Surface_Engine!$B$12:$B$72,$A535+1)-(F535/INDEX(Surface_Engine!$B$12:$B$72,$A535+1))))+2*Assumptions!$B$28*(MAX(IF(D535&lt;=0,0,MAX(0,(B535/D535)*H535/INDEX(Surface_Engine!$B$12:$B$72,$A535+1)-F535/INDEX(Surface_Engine!$B$12:$B$72,$A535+1))),IF(E535&lt;=0,0,MAX(0,(B535/E535)*I535/INDEX(Surface_Engine!$B$12:$B$72,$A535+1)-F535/INDEX(Surface_Engine!$B$12:$B$72,$A535+1))),IF($A535&lt;$Q$510,MAX(0,-Assumptions!$B$22*(F535/INDEX(Surface_Engine!$B$12:$B$72,$A535+1))),0)))*(MAX(0,J535/INDEX(Surface_Engine!$B$12:$B$72,$A535+1)-(F535/INDEX(Surface_Engine!$B$12:$B$72,$A535+1)))))</f>
        <v>8612.22897086245</v>
      </c>
      <c r="L535" s="48" t="n">
        <f aca="false">K535*INDEX(Surface_Engine!$B$12:$B$72,$A535+1)+L536</f>
        <v>26838.2927124107</v>
      </c>
      <c r="M535" s="48" t="n">
        <f aca="false">M534+B534*(IF($A534&lt;$Q$510,(Surface_Engine!B241*12)-(Surface_Engine!B241*12)*INDEX(Surface_Engine!$F$12:$F$72,$A534+1)-INDEX(Surface_Engine!$D$12:$D$72,$A534+1),-(1000*12*INDEX(Surface_Engine!$C$12:$C$72,$A534+1)/(1+Assumptions!$B$10)^10+INDEX(Surface_Engine!$D$12:$D$72,$A534+1))))*INDEX(Surface_Engine!$B$12:$B$72,$A534+1)</f>
        <v>31959.6735222764</v>
      </c>
      <c r="N535" s="12" t="n">
        <f aca="false">IF(B535&lt;=0,0,MAX(0,(K535+Assumptions!$B$29*L535/INDEX(Surface_Engine!$B$12:$B$72,$A535+1)-(M535/INDEX(Surface_Engine!$B$12:$B$72,$A535+1)-(F535/INDEX(Surface_Engine!$B$12:$B$72,$A535+1))))/B535))</f>
        <v>7745.26458853461</v>
      </c>
    </row>
    <row r="536" customFormat="false" ht="15" hidden="false" customHeight="true" outlineLevel="0" collapsed="false">
      <c r="A536" s="1" t="n">
        <v>24</v>
      </c>
      <c r="B536" s="32" t="n">
        <f aca="false">INDEX(Surface_Engine!$L$12:$L$72,$A536+1)*IF($A536&lt;$Q$510,INDEX(Surface_Engine!$E$12:$E$72,$A536+1),INDEX(Surface_Engine!$E$12:$E$72,$Q$510+1))</f>
        <v>0.47016101199073</v>
      </c>
      <c r="C536" s="32" t="n">
        <f aca="false">INDEX(Panel_Reserving!$D$8:$D$68,$A536+1)*IF($A536&lt;$Q$510,INDEX(Surface_Engine!$E$12:$E$72,$A536+1),INDEX(Surface_Engine!$E$12:$E$72,$Q$510+1))</f>
        <v>0.531751458573345</v>
      </c>
      <c r="D536" s="32" t="n">
        <f aca="false">INDEX(Surface_Engine!$L$12:$L$72,$A536+1)*IF($A536&lt;$Q$510,INDEX(Surface_Engine!$Y$12:$Y$72,$A536+1),INDEX(Surface_Engine!$Y$12:$Y$72,$Q$510+1))</f>
        <v>0.435823487133148</v>
      </c>
      <c r="E536" s="32" t="n">
        <f aca="false">INDEX(Surface_Engine!$L$12:$L$72,$A536+1)*IF($A536&lt;$Q$510,INDEX(Surface_Engine!$Z$12:$Z$72,$A536+1),INDEX(Surface_Engine!$Z$12:$Z$72,$Q$510+1))</f>
        <v>0.50679196953639</v>
      </c>
      <c r="F536" s="48" t="n">
        <f aca="false">B536*(IF($A536&lt;$Q$510,INDEX(Surface_Engine!$D$12:$D$72,$A536+1)+(Surface_Engine!B241*12)*INDEX(Surface_Engine!$F$12:$F$72,$A536+1)-(Surface_Engine!B241*12),1000*12*INDEX(Surface_Engine!$C$12:$C$72,$A536+1)/(1+Assumptions!$B$10)^10+INDEX(Surface_Engine!$D$12:$D$72,$A536+1)))*INDEX(Surface_Engine!$B$12:$B$72,$A536+1)+F537</f>
        <v>24191.7474483098</v>
      </c>
      <c r="G536" s="48" t="n">
        <f aca="false">C536*(IF($A536&lt;$Q$510,INDEX(Surface_Engine!$D$12:$D$72,$A536+1)+(Surface_Engine!B241*12)*INDEX(Surface_Engine!$F$12:$F$72,$A536+1)-(Surface_Engine!B241*12),1000*12*INDEX(Surface_Engine!$C$12:$C$72,$A536+1)/(1+Assumptions!$B$10)^10+INDEX(Surface_Engine!$D$12:$D$72,$A536+1)))*INDEX(Surface_Engine!$B$12:$B$72,$A536+1)+G537</f>
        <v>31609.1834726218</v>
      </c>
      <c r="H536" s="48" t="n">
        <f aca="false">D536*(IF($A536&lt;$Q$510,INDEX(Surface_Engine!$D$12:$D$72,$A536+1)+(Surface_Engine!B241*12)*INDEX(Surface_Engine!$F$12:$F$72,$A536+1)-(Surface_Engine!B241*12),1000*12*INDEX(Surface_Engine!$C$12:$C$72,$A536+1)/(1+Assumptions!$B$10)^10+INDEX(Surface_Engine!$D$12:$D$72,$A536+1)))*INDEX(Surface_Engine!$B$12:$B$72,$A536+1)+H537</f>
        <v>22424.9384016867</v>
      </c>
      <c r="I536" s="48" t="n">
        <f aca="false">E536*(IF($A536&lt;$Q$510,INDEX(Surface_Engine!$D$12:$D$72,$A536+1)+(Surface_Engine!B241*12)*INDEX(Surface_Engine!$F$12:$F$72,$A536+1)-(Surface_Engine!B241*12),1000*12*INDEX(Surface_Engine!$C$12:$C$72,$A536+1)/(1+Assumptions!$B$10)^10+INDEX(Surface_Engine!$D$12:$D$72,$A536+1)))*INDEX(Surface_Engine!$B$12:$B$72,$A536+1)+I537</f>
        <v>26076.5631840557</v>
      </c>
      <c r="J536" s="48" t="n">
        <f aca="false">B536*(IF($A536&lt;$Q$510,INDEX(Surface_Engine!$D$12:$D$72,$A536+1)*(1+Assumptions!$B$24)+(Surface_Engine!B241*12)*INDEX(Surface_Engine!$F$12:$F$72,$A536+1)-(Surface_Engine!B241*12),1000*12*INDEX(Surface_Engine!$C$12:$C$72,$A536+1)/(1+Assumptions!$B$10)^10+INDEX(Surface_Engine!$D$12:$D$72,$A536+1)*(1+Assumptions!$B$24)))*INDEX(Surface_Engine!$B$12:$B$72,$A536+1)+J537</f>
        <v>24214.6956781294</v>
      </c>
      <c r="K536" s="12" t="n">
        <f aca="false">SQRT((IF(C536&lt;=0,0,MAX(0,(B536/C536)*G536/INDEX(Surface_Engine!$B$12:$B$72,$A536+1)-F536/INDEX(Surface_Engine!$B$12:$B$72,$A536+1))))^2+(MAX(IF(D536&lt;=0,0,MAX(0,(B536/D536)*H536/INDEX(Surface_Engine!$B$12:$B$72,$A536+1)-F536/INDEX(Surface_Engine!$B$12:$B$72,$A536+1))),IF(E536&lt;=0,0,MAX(0,(B536/E536)*I536/INDEX(Surface_Engine!$B$12:$B$72,$A536+1)-F536/INDEX(Surface_Engine!$B$12:$B$72,$A536+1))),IF($A536&lt;$Q$510,MAX(0,-Assumptions!$B$22*(F536/INDEX(Surface_Engine!$B$12:$B$72,$A536+1))),0)))^2+(MAX(0,J536/INDEX(Surface_Engine!$B$12:$B$72,$A536+1)-(F536/INDEX(Surface_Engine!$B$12:$B$72,$A536+1))))^2+2*Assumptions!$B$26*(IF(C536&lt;=0,0,MAX(0,(B536/C536)*G536/INDEX(Surface_Engine!$B$12:$B$72,$A536+1)-F536/INDEX(Surface_Engine!$B$12:$B$72,$A536+1))))*(MAX(IF(D536&lt;=0,0,MAX(0,(B536/D536)*H536/INDEX(Surface_Engine!$B$12:$B$72,$A536+1)-F536/INDEX(Surface_Engine!$B$12:$B$72,$A536+1))),IF(E536&lt;=0,0,MAX(0,(B536/E536)*I536/INDEX(Surface_Engine!$B$12:$B$72,$A536+1)-F536/INDEX(Surface_Engine!$B$12:$B$72,$A536+1))),IF($A536&lt;$Q$510,MAX(0,-Assumptions!$B$22*(F536/INDEX(Surface_Engine!$B$12:$B$72,$A536+1))),0)))+2*Assumptions!$B$27*(IF(C536&lt;=0,0,MAX(0,(B536/C536)*G536/INDEX(Surface_Engine!$B$12:$B$72,$A536+1)-F536/INDEX(Surface_Engine!$B$12:$B$72,$A536+1))))*(MAX(0,J536/INDEX(Surface_Engine!$B$12:$B$72,$A536+1)-(F536/INDEX(Surface_Engine!$B$12:$B$72,$A536+1))))+2*Assumptions!$B$28*(MAX(IF(D536&lt;=0,0,MAX(0,(B536/D536)*H536/INDEX(Surface_Engine!$B$12:$B$72,$A536+1)-F536/INDEX(Surface_Engine!$B$12:$B$72,$A536+1))),IF(E536&lt;=0,0,MAX(0,(B536/E536)*I536/INDEX(Surface_Engine!$B$12:$B$72,$A536+1)-F536/INDEX(Surface_Engine!$B$12:$B$72,$A536+1))),IF($A536&lt;$Q$510,MAX(0,-Assumptions!$B$22*(F536/INDEX(Surface_Engine!$B$12:$B$72,$A536+1))),0)))*(MAX(0,J536/INDEX(Surface_Engine!$B$12:$B$72,$A536+1)-(F536/INDEX(Surface_Engine!$B$12:$B$72,$A536+1)))))</f>
        <v>7963.70311799708</v>
      </c>
      <c r="L536" s="48" t="n">
        <f aca="false">K536*INDEX(Surface_Engine!$B$12:$B$72,$A536+1)+L537</f>
        <v>22638.8367632375</v>
      </c>
      <c r="M536" s="48" t="n">
        <f aca="false">M535+B535*(IF($A535&lt;$Q$510,(Surface_Engine!B241*12)-(Surface_Engine!B241*12)*INDEX(Surface_Engine!$F$12:$F$72,$A535+1)-INDEX(Surface_Engine!$D$12:$D$72,$A535+1),-(1000*12*INDEX(Surface_Engine!$C$12:$C$72,$A535+1)/(1+Assumptions!$B$10)^10+INDEX(Surface_Engine!$D$12:$D$72,$A535+1))))*INDEX(Surface_Engine!$B$12:$B$72,$A535+1)</f>
        <v>28087.1864442465</v>
      </c>
      <c r="N536" s="12" t="n">
        <f aca="false">IF(B536&lt;=0,0,MAX(0,(K536+Assumptions!$B$29*L536/INDEX(Surface_Engine!$B$12:$B$72,$A536+1)-(M536/INDEX(Surface_Engine!$B$12:$B$72,$A536+1)-(F536/INDEX(Surface_Engine!$B$12:$B$72,$A536+1))))/B536))</f>
        <v>5515.27969308903</v>
      </c>
    </row>
    <row r="537" customFormat="false" ht="15" hidden="false" customHeight="true" outlineLevel="0" collapsed="false">
      <c r="A537" s="1" t="n">
        <v>25</v>
      </c>
      <c r="B537" s="32" t="n">
        <f aca="false">INDEX(Surface_Engine!$L$12:$L$72,$A537+1)*IF($A537&lt;$Q$510,INDEX(Surface_Engine!$E$12:$E$72,$A537+1),INDEX(Surface_Engine!$E$12:$E$72,$Q$510+1))</f>
        <v>0.431598003058249</v>
      </c>
      <c r="C537" s="32" t="n">
        <f aca="false">INDEX(Panel_Reserving!$D$8:$D$68,$A537+1)*IF($A537&lt;$Q$510,INDEX(Surface_Engine!$E$12:$E$72,$A537+1),INDEX(Surface_Engine!$E$12:$E$72,$Q$510+1))</f>
        <v>0.496859690478839</v>
      </c>
      <c r="D537" s="32" t="n">
        <f aca="false">INDEX(Surface_Engine!$L$12:$L$72,$A537+1)*IF($A537&lt;$Q$510,INDEX(Surface_Engine!$Y$12:$Y$72,$A537+1),INDEX(Surface_Engine!$Y$12:$Y$72,$Q$510+1))</f>
        <v>0.400076871402213</v>
      </c>
      <c r="E537" s="32" t="n">
        <f aca="false">INDEX(Surface_Engine!$L$12:$L$72,$A537+1)*IF($A537&lt;$Q$510,INDEX(Surface_Engine!$Z$12:$Z$72,$A537+1),INDEX(Surface_Engine!$Z$12:$Z$72,$Q$510+1))</f>
        <v>0.465224458088787</v>
      </c>
      <c r="F537" s="48" t="n">
        <f aca="false">B537*(IF($A537&lt;$Q$510,INDEX(Surface_Engine!$D$12:$D$72,$A537+1)+(Surface_Engine!B241*12)*INDEX(Surface_Engine!$F$12:$F$72,$A537+1)-(Surface_Engine!B241*12),1000*12*INDEX(Surface_Engine!$C$12:$C$72,$A537+1)/(1+Assumptions!$B$10)^10+INDEX(Surface_Engine!$D$12:$D$72,$A537+1)))*INDEX(Surface_Engine!$B$12:$B$72,$A537+1)+F538</f>
        <v>20642.0368244171</v>
      </c>
      <c r="G537" s="48" t="n">
        <f aca="false">C537*(IF($A537&lt;$Q$510,INDEX(Surface_Engine!$D$12:$D$72,$A537+1)+(Surface_Engine!B241*12)*INDEX(Surface_Engine!$F$12:$F$72,$A537+1)-(Surface_Engine!B241*12),1000*12*INDEX(Surface_Engine!$C$12:$C$72,$A537+1)/(1+Assumptions!$B$10)^10+INDEX(Surface_Engine!$D$12:$D$72,$A537+1)))*INDEX(Surface_Engine!$B$12:$B$72,$A537+1)+G538</f>
        <v>27594.465634203</v>
      </c>
      <c r="H537" s="48" t="n">
        <f aca="false">D537*(IF($A537&lt;$Q$510,INDEX(Surface_Engine!$D$12:$D$72,$A537+1)+(Surface_Engine!B241*12)*INDEX(Surface_Engine!$F$12:$F$72,$A537+1)-(Surface_Engine!B241*12),1000*12*INDEX(Surface_Engine!$C$12:$C$72,$A537+1)/(1+Assumptions!$B$10)^10+INDEX(Surface_Engine!$D$12:$D$72,$A537+1)))*INDEX(Surface_Engine!$B$12:$B$72,$A537+1)+H538</f>
        <v>19134.475724086</v>
      </c>
      <c r="I537" s="48" t="n">
        <f aca="false">E537*(IF($A537&lt;$Q$510,INDEX(Surface_Engine!$D$12:$D$72,$A537+1)+(Surface_Engine!B241*12)*INDEX(Surface_Engine!$F$12:$F$72,$A537+1)-(Surface_Engine!B241*12),1000*12*INDEX(Surface_Engine!$C$12:$C$72,$A537+1)/(1+Assumptions!$B$10)^10+INDEX(Surface_Engine!$D$12:$D$72,$A537+1)))*INDEX(Surface_Engine!$B$12:$B$72,$A537+1)+I538</f>
        <v>22250.2892215472</v>
      </c>
      <c r="J537" s="48" t="n">
        <f aca="false">B537*(IF($A537&lt;$Q$510,INDEX(Surface_Engine!$D$12:$D$72,$A537+1)*(1+Assumptions!$B$24)+(Surface_Engine!B241*12)*INDEX(Surface_Engine!$F$12:$F$72,$A537+1)-(Surface_Engine!B241*12),1000*12*INDEX(Surface_Engine!$C$12:$C$72,$A537+1)/(1+Assumptions!$B$10)^10+INDEX(Surface_Engine!$D$12:$D$72,$A537+1)*(1+Assumptions!$B$24)))*INDEX(Surface_Engine!$B$12:$B$72,$A537+1)+J538</f>
        <v>20661.6908782519</v>
      </c>
      <c r="K537" s="12" t="n">
        <f aca="false">SQRT((IF(C537&lt;=0,0,MAX(0,(B537/C537)*G537/INDEX(Surface_Engine!$B$12:$B$72,$A537+1)-F537/INDEX(Surface_Engine!$B$12:$B$72,$A537+1))))^2+(MAX(IF(D537&lt;=0,0,MAX(0,(B537/D537)*H537/INDEX(Surface_Engine!$B$12:$B$72,$A537+1)-F537/INDEX(Surface_Engine!$B$12:$B$72,$A537+1))),IF(E537&lt;=0,0,MAX(0,(B537/E537)*I537/INDEX(Surface_Engine!$B$12:$B$72,$A537+1)-F537/INDEX(Surface_Engine!$B$12:$B$72,$A537+1))),IF($A537&lt;$Q$510,MAX(0,-Assumptions!$B$22*(F537/INDEX(Surface_Engine!$B$12:$B$72,$A537+1))),0)))^2+(MAX(0,J537/INDEX(Surface_Engine!$B$12:$B$72,$A537+1)-(F537/INDEX(Surface_Engine!$B$12:$B$72,$A537+1))))^2+2*Assumptions!$B$26*(IF(C537&lt;=0,0,MAX(0,(B537/C537)*G537/INDEX(Surface_Engine!$B$12:$B$72,$A537+1)-F537/INDEX(Surface_Engine!$B$12:$B$72,$A537+1))))*(MAX(IF(D537&lt;=0,0,MAX(0,(B537/D537)*H537/INDEX(Surface_Engine!$B$12:$B$72,$A537+1)-F537/INDEX(Surface_Engine!$B$12:$B$72,$A537+1))),IF(E537&lt;=0,0,MAX(0,(B537/E537)*I537/INDEX(Surface_Engine!$B$12:$B$72,$A537+1)-F537/INDEX(Surface_Engine!$B$12:$B$72,$A537+1))),IF($A537&lt;$Q$510,MAX(0,-Assumptions!$B$22*(F537/INDEX(Surface_Engine!$B$12:$B$72,$A537+1))),0)))+2*Assumptions!$B$27*(IF(C537&lt;=0,0,MAX(0,(B537/C537)*G537/INDEX(Surface_Engine!$B$12:$B$72,$A537+1)-F537/INDEX(Surface_Engine!$B$12:$B$72,$A537+1))))*(MAX(0,J537/INDEX(Surface_Engine!$B$12:$B$72,$A537+1)-(F537/INDEX(Surface_Engine!$B$12:$B$72,$A537+1))))+2*Assumptions!$B$28*(MAX(IF(D537&lt;=0,0,MAX(0,(B537/D537)*H537/INDEX(Surface_Engine!$B$12:$B$72,$A537+1)-F537/INDEX(Surface_Engine!$B$12:$B$72,$A537+1))),IF(E537&lt;=0,0,MAX(0,(B537/E537)*I537/INDEX(Surface_Engine!$B$12:$B$72,$A537+1)-F537/INDEX(Surface_Engine!$B$12:$B$72,$A537+1))),IF($A537&lt;$Q$510,MAX(0,-Assumptions!$B$22*(F537/INDEX(Surface_Engine!$B$12:$B$72,$A537+1))),0)))*(MAX(0,J537/INDEX(Surface_Engine!$B$12:$B$72,$A537+1)-(F537/INDEX(Surface_Engine!$B$12:$B$72,$A537+1)))))</f>
        <v>7280.90736329433</v>
      </c>
      <c r="L537" s="48" t="n">
        <f aca="false">K537*INDEX(Surface_Engine!$B$12:$B$72,$A537+1)+L538</f>
        <v>18876.7515882201</v>
      </c>
      <c r="M537" s="48" t="n">
        <f aca="false">M536+B536*(IF($A536&lt;$Q$510,(Surface_Engine!B241*12)-(Surface_Engine!B241*12)*INDEX(Surface_Engine!$F$12:$F$72,$A536+1)-INDEX(Surface_Engine!$D$12:$D$72,$A536+1),-(1000*12*INDEX(Surface_Engine!$C$12:$C$72,$A536+1)/(1+Assumptions!$B$10)^10+INDEX(Surface_Engine!$D$12:$D$72,$A536+1))))*INDEX(Surface_Engine!$B$12:$B$72,$A536+1)</f>
        <v>24537.4758203538</v>
      </c>
      <c r="N537" s="12" t="n">
        <f aca="false">IF(B537&lt;=0,0,MAX(0,(K537+Assumptions!$B$29*L537/INDEX(Surface_Engine!$B$12:$B$72,$A537+1)-(M537/INDEX(Surface_Engine!$B$12:$B$72,$A537+1)-(F537/INDEX(Surface_Engine!$B$12:$B$72,$A537+1))))/B537))</f>
        <v>2885.46114545471</v>
      </c>
    </row>
    <row r="538" customFormat="false" ht="15" hidden="false" customHeight="true" outlineLevel="0" collapsed="false">
      <c r="A538" s="1" t="n">
        <v>26</v>
      </c>
      <c r="B538" s="32" t="n">
        <f aca="false">INDEX(Surface_Engine!$L$12:$L$72,$A538+1)*IF($A538&lt;$Q$510,INDEX(Surface_Engine!$E$12:$E$72,$A538+1),INDEX(Surface_Engine!$E$12:$E$72,$Q$510+1))</f>
        <v>0.390285136714444</v>
      </c>
      <c r="C538" s="32" t="n">
        <f aca="false">INDEX(Panel_Reserving!$D$8:$D$68,$A538+1)*IF($A538&lt;$Q$510,INDEX(Surface_Engine!$E$12:$E$72,$A538+1),INDEX(Surface_Engine!$E$12:$E$72,$Q$510+1))</f>
        <v>0.458811881473372</v>
      </c>
      <c r="D538" s="32" t="n">
        <f aca="false">INDEX(Surface_Engine!$L$12:$L$72,$A538+1)*IF($A538&lt;$Q$510,INDEX(Surface_Engine!$Y$12:$Y$72,$A538+1),INDEX(Surface_Engine!$Y$12:$Y$72,$Q$510+1))</f>
        <v>0.361781230091619</v>
      </c>
      <c r="E538" s="32" t="n">
        <f aca="false">INDEX(Surface_Engine!$L$12:$L$72,$A538+1)*IF($A538&lt;$Q$510,INDEX(Surface_Engine!$Z$12:$Z$72,$A538+1),INDEX(Surface_Engine!$Z$12:$Z$72,$Q$510+1))</f>
        <v>0.420692843668187</v>
      </c>
      <c r="F538" s="48" t="n">
        <f aca="false">B538*(IF($A538&lt;$Q$510,INDEX(Surface_Engine!$D$12:$D$72,$A538+1)+(Surface_Engine!B241*12)*INDEX(Surface_Engine!$F$12:$F$72,$A538+1)-(Surface_Engine!B241*12),1000*12*INDEX(Surface_Engine!$C$12:$C$72,$A538+1)/(1+Assumptions!$B$10)^10+INDEX(Surface_Engine!$D$12:$D$72,$A538+1)))*INDEX(Surface_Engine!$B$12:$B$72,$A538+1)+F539</f>
        <v>17421.1891128479</v>
      </c>
      <c r="G538" s="48" t="n">
        <f aca="false">C538*(IF($A538&lt;$Q$510,INDEX(Surface_Engine!$D$12:$D$72,$A538+1)+(Surface_Engine!B241*12)*INDEX(Surface_Engine!$F$12:$F$72,$A538+1)-(Surface_Engine!B241*12),1000*12*INDEX(Surface_Engine!$C$12:$C$72,$A538+1)/(1+Assumptions!$B$10)^10+INDEX(Surface_Engine!$D$12:$D$72,$A538+1)))*INDEX(Surface_Engine!$B$12:$B$72,$A538+1)+G539</f>
        <v>23886.59538061</v>
      </c>
      <c r="H538" s="48" t="n">
        <f aca="false">D538*(IF($A538&lt;$Q$510,INDEX(Surface_Engine!$D$12:$D$72,$A538+1)+(Surface_Engine!B241*12)*INDEX(Surface_Engine!$F$12:$F$72,$A538+1)-(Surface_Engine!B241*12),1000*12*INDEX(Surface_Engine!$C$12:$C$72,$A538+1)/(1+Assumptions!$B$10)^10+INDEX(Surface_Engine!$D$12:$D$72,$A538+1)))*INDEX(Surface_Engine!$B$12:$B$72,$A538+1)+H539</f>
        <v>16148.8579349006</v>
      </c>
      <c r="I538" s="48" t="n">
        <f aca="false">E538*(IF($A538&lt;$Q$510,INDEX(Surface_Engine!$D$12:$D$72,$A538+1)+(Surface_Engine!B241*12)*INDEX(Surface_Engine!$F$12:$F$72,$A538+1)-(Surface_Engine!B241*12),1000*12*INDEX(Surface_Engine!$C$12:$C$72,$A538+1)/(1+Assumptions!$B$10)^10+INDEX(Surface_Engine!$D$12:$D$72,$A538+1)))*INDEX(Surface_Engine!$B$12:$B$72,$A538+1)+I539</f>
        <v>18778.5003796533</v>
      </c>
      <c r="J538" s="48" t="n">
        <f aca="false">B538*(IF($A538&lt;$Q$510,INDEX(Surface_Engine!$D$12:$D$72,$A538+1)*(1+Assumptions!$B$24)+(Surface_Engine!B241*12)*INDEX(Surface_Engine!$F$12:$F$72,$A538+1)-(Surface_Engine!B241*12),1000*12*INDEX(Surface_Engine!$C$12:$C$72,$A538+1)/(1+Assumptions!$B$10)^10+INDEX(Surface_Engine!$D$12:$D$72,$A538+1)*(1+Assumptions!$B$24)))*INDEX(Surface_Engine!$B$12:$B$72,$A538+1)+J539</f>
        <v>17437.8396643399</v>
      </c>
      <c r="K538" s="12" t="n">
        <f aca="false">SQRT((IF(C538&lt;=0,0,MAX(0,(B538/C538)*G538/INDEX(Surface_Engine!$B$12:$B$72,$A538+1)-F538/INDEX(Surface_Engine!$B$12:$B$72,$A538+1))))^2+(MAX(IF(D538&lt;=0,0,MAX(0,(B538/D538)*H538/INDEX(Surface_Engine!$B$12:$B$72,$A538+1)-F538/INDEX(Surface_Engine!$B$12:$B$72,$A538+1))),IF(E538&lt;=0,0,MAX(0,(B538/E538)*I538/INDEX(Surface_Engine!$B$12:$B$72,$A538+1)-F538/INDEX(Surface_Engine!$B$12:$B$72,$A538+1))),IF($A538&lt;$Q$510,MAX(0,-Assumptions!$B$22*(F538/INDEX(Surface_Engine!$B$12:$B$72,$A538+1))),0)))^2+(MAX(0,J538/INDEX(Surface_Engine!$B$12:$B$72,$A538+1)-(F538/INDEX(Surface_Engine!$B$12:$B$72,$A538+1))))^2+2*Assumptions!$B$26*(IF(C538&lt;=0,0,MAX(0,(B538/C538)*G538/INDEX(Surface_Engine!$B$12:$B$72,$A538+1)-F538/INDEX(Surface_Engine!$B$12:$B$72,$A538+1))))*(MAX(IF(D538&lt;=0,0,MAX(0,(B538/D538)*H538/INDEX(Surface_Engine!$B$12:$B$72,$A538+1)-F538/INDEX(Surface_Engine!$B$12:$B$72,$A538+1))),IF(E538&lt;=0,0,MAX(0,(B538/E538)*I538/INDEX(Surface_Engine!$B$12:$B$72,$A538+1)-F538/INDEX(Surface_Engine!$B$12:$B$72,$A538+1))),IF($A538&lt;$Q$510,MAX(0,-Assumptions!$B$22*(F538/INDEX(Surface_Engine!$B$12:$B$72,$A538+1))),0)))+2*Assumptions!$B$27*(IF(C538&lt;=0,0,MAX(0,(B538/C538)*G538/INDEX(Surface_Engine!$B$12:$B$72,$A538+1)-F538/INDEX(Surface_Engine!$B$12:$B$72,$A538+1))))*(MAX(0,J538/INDEX(Surface_Engine!$B$12:$B$72,$A538+1)-(F538/INDEX(Surface_Engine!$B$12:$B$72,$A538+1))))+2*Assumptions!$B$28*(MAX(IF(D538&lt;=0,0,MAX(0,(B538/D538)*H538/INDEX(Surface_Engine!$B$12:$B$72,$A538+1)-F538/INDEX(Surface_Engine!$B$12:$B$72,$A538+1))),IF(E538&lt;=0,0,MAX(0,(B538/E538)*I538/INDEX(Surface_Engine!$B$12:$B$72,$A538+1)-F538/INDEX(Surface_Engine!$B$12:$B$72,$A538+1))),IF($A538&lt;$Q$510,MAX(0,-Assumptions!$B$22*(F538/INDEX(Surface_Engine!$B$12:$B$72,$A538+1))),0)))*(MAX(0,J538/INDEX(Surface_Engine!$B$12:$B$72,$A538+1)-(F538/INDEX(Surface_Engine!$B$12:$B$72,$A538+1)))))</f>
        <v>6544.10709099453</v>
      </c>
      <c r="L538" s="48" t="n">
        <f aca="false">K538*INDEX(Surface_Engine!$B$12:$B$72,$A538+1)+L539</f>
        <v>15543.8417390926</v>
      </c>
      <c r="M538" s="48" t="n">
        <f aca="false">M537+B537*(IF($A537&lt;$Q$510,(Surface_Engine!B241*12)-(Surface_Engine!B241*12)*INDEX(Surface_Engine!$F$12:$F$72,$A537+1)-INDEX(Surface_Engine!$D$12:$D$72,$A537+1),-(1000*12*INDEX(Surface_Engine!$C$12:$C$72,$A537+1)/(1+Assumptions!$B$10)^10+INDEX(Surface_Engine!$D$12:$D$72,$A537+1))))*INDEX(Surface_Engine!$B$12:$B$72,$A537+1)</f>
        <v>21316.6281087846</v>
      </c>
      <c r="N538" s="12" t="n">
        <f aca="false">IF(B538&lt;=0,0,MAX(0,(K538+Assumptions!$B$29*L538/INDEX(Surface_Engine!$B$12:$B$72,$A538+1)-(M538/INDEX(Surface_Engine!$B$12:$B$72,$A538+1)-(F538/INDEX(Surface_Engine!$B$12:$B$72,$A538+1))))/B538))</f>
        <v>0</v>
      </c>
    </row>
    <row r="539" customFormat="false" ht="15" hidden="false" customHeight="true" outlineLevel="0" collapsed="false">
      <c r="A539" s="1" t="n">
        <v>27</v>
      </c>
      <c r="B539" s="32" t="n">
        <f aca="false">INDEX(Surface_Engine!$L$12:$L$72,$A539+1)*IF($A539&lt;$Q$510,INDEX(Surface_Engine!$E$12:$E$72,$A539+1),INDEX(Surface_Engine!$E$12:$E$72,$Q$510+1))</f>
        <v>0.348180574268594</v>
      </c>
      <c r="C539" s="32" t="n">
        <f aca="false">INDEX(Panel_Reserving!$D$8:$D$68,$A539+1)*IF($A539&lt;$Q$510,INDEX(Surface_Engine!$E$12:$E$72,$A539+1),INDEX(Surface_Engine!$E$12:$E$72,$Q$510+1))</f>
        <v>0.419214014791551</v>
      </c>
      <c r="D539" s="32" t="n">
        <f aca="false">INDEX(Surface_Engine!$L$12:$L$72,$A539+1)*IF($A539&lt;$Q$510,INDEX(Surface_Engine!$Y$12:$Y$72,$A539+1),INDEX(Surface_Engine!$Y$12:$Y$72,$Q$510+1))</f>
        <v>0.322751713050917</v>
      </c>
      <c r="E539" s="32" t="n">
        <f aca="false">INDEX(Surface_Engine!$L$12:$L$72,$A539+1)*IF($A539&lt;$Q$510,INDEX(Surface_Engine!$Z$12:$Z$72,$A539+1),INDEX(Surface_Engine!$Z$12:$Z$72,$Q$510+1))</f>
        <v>0.375307850901451</v>
      </c>
      <c r="F539" s="48" t="n">
        <f aca="false">B539*(IF($A539&lt;$Q$510,INDEX(Surface_Engine!$D$12:$D$72,$A539+1)+(Surface_Engine!B241*12)*INDEX(Surface_Engine!$F$12:$F$72,$A539+1)-(Surface_Engine!B241*12),1000*12*INDEX(Surface_Engine!$C$12:$C$72,$A539+1)/(1+Assumptions!$B$10)^10+INDEX(Surface_Engine!$D$12:$D$72,$A539+1)))*INDEX(Surface_Engine!$B$12:$B$72,$A539+1)+F540</f>
        <v>14543.1317788241</v>
      </c>
      <c r="G539" s="48" t="n">
        <f aca="false">C539*(IF($A539&lt;$Q$510,INDEX(Surface_Engine!$D$12:$D$72,$A539+1)+(Surface_Engine!B241*12)*INDEX(Surface_Engine!$F$12:$F$72,$A539+1)-(Surface_Engine!B241*12),1000*12*INDEX(Surface_Engine!$C$12:$C$72,$A539+1)/(1+Assumptions!$B$10)^10+INDEX(Surface_Engine!$D$12:$D$72,$A539+1)))*INDEX(Surface_Engine!$B$12:$B$72,$A539+1)+G540</f>
        <v>20503.2051968895</v>
      </c>
      <c r="H539" s="48" t="n">
        <f aca="false">D539*(IF($A539&lt;$Q$510,INDEX(Surface_Engine!$D$12:$D$72,$A539+1)+(Surface_Engine!B241*12)*INDEX(Surface_Engine!$F$12:$F$72,$A539+1)-(Surface_Engine!B241*12),1000*12*INDEX(Surface_Engine!$C$12:$C$72,$A539+1)/(1+Assumptions!$B$10)^10+INDEX(Surface_Engine!$D$12:$D$72,$A539+1)))*INDEX(Surface_Engine!$B$12:$B$72,$A539+1)+H540</f>
        <v>13480.9953272114</v>
      </c>
      <c r="I539" s="48" t="n">
        <f aca="false">E539*(IF($A539&lt;$Q$510,INDEX(Surface_Engine!$D$12:$D$72,$A539+1)+(Surface_Engine!B241*12)*INDEX(Surface_Engine!$F$12:$F$72,$A539+1)-(Surface_Engine!B241*12),1000*12*INDEX(Surface_Engine!$C$12:$C$72,$A539+1)/(1+Assumptions!$B$10)^10+INDEX(Surface_Engine!$D$12:$D$72,$A539+1)))*INDEX(Surface_Engine!$B$12:$B$72,$A539+1)+I540</f>
        <v>15676.2092335356</v>
      </c>
      <c r="J539" s="48" t="n">
        <f aca="false">B539*(IF($A539&lt;$Q$510,INDEX(Surface_Engine!$D$12:$D$72,$A539+1)*(1+Assumptions!$B$24)+(Surface_Engine!B241*12)*INDEX(Surface_Engine!$F$12:$F$72,$A539+1)-(Surface_Engine!B241*12),1000*12*INDEX(Surface_Engine!$C$12:$C$72,$A539+1)/(1+Assumptions!$B$10)^10+INDEX(Surface_Engine!$D$12:$D$72,$A539+1)*(1+Assumptions!$B$24)))*INDEX(Surface_Engine!$B$12:$B$72,$A539+1)+J540</f>
        <v>14557.0854537653</v>
      </c>
      <c r="K539" s="12" t="n">
        <f aca="false">SQRT((IF(C539&lt;=0,0,MAX(0,(B539/C539)*G539/INDEX(Surface_Engine!$B$12:$B$72,$A539+1)-F539/INDEX(Surface_Engine!$B$12:$B$72,$A539+1))))^2+(MAX(IF(D539&lt;=0,0,MAX(0,(B539/D539)*H539/INDEX(Surface_Engine!$B$12:$B$72,$A539+1)-F539/INDEX(Surface_Engine!$B$12:$B$72,$A539+1))),IF(E539&lt;=0,0,MAX(0,(B539/E539)*I539/INDEX(Surface_Engine!$B$12:$B$72,$A539+1)-F539/INDEX(Surface_Engine!$B$12:$B$72,$A539+1))),IF($A539&lt;$Q$510,MAX(0,-Assumptions!$B$22*(F539/INDEX(Surface_Engine!$B$12:$B$72,$A539+1))),0)))^2+(MAX(0,J539/INDEX(Surface_Engine!$B$12:$B$72,$A539+1)-(F539/INDEX(Surface_Engine!$B$12:$B$72,$A539+1))))^2+2*Assumptions!$B$26*(IF(C539&lt;=0,0,MAX(0,(B539/C539)*G539/INDEX(Surface_Engine!$B$12:$B$72,$A539+1)-F539/INDEX(Surface_Engine!$B$12:$B$72,$A539+1))))*(MAX(IF(D539&lt;=0,0,MAX(0,(B539/D539)*H539/INDEX(Surface_Engine!$B$12:$B$72,$A539+1)-F539/INDEX(Surface_Engine!$B$12:$B$72,$A539+1))),IF(E539&lt;=0,0,MAX(0,(B539/E539)*I539/INDEX(Surface_Engine!$B$12:$B$72,$A539+1)-F539/INDEX(Surface_Engine!$B$12:$B$72,$A539+1))),IF($A539&lt;$Q$510,MAX(0,-Assumptions!$B$22*(F539/INDEX(Surface_Engine!$B$12:$B$72,$A539+1))),0)))+2*Assumptions!$B$27*(IF(C539&lt;=0,0,MAX(0,(B539/C539)*G539/INDEX(Surface_Engine!$B$12:$B$72,$A539+1)-F539/INDEX(Surface_Engine!$B$12:$B$72,$A539+1))))*(MAX(0,J539/INDEX(Surface_Engine!$B$12:$B$72,$A539+1)-(F539/INDEX(Surface_Engine!$B$12:$B$72,$A539+1))))+2*Assumptions!$B$28*(MAX(IF(D539&lt;=0,0,MAX(0,(B539/D539)*H539/INDEX(Surface_Engine!$B$12:$B$72,$A539+1)-F539/INDEX(Surface_Engine!$B$12:$B$72,$A539+1))),IF(E539&lt;=0,0,MAX(0,(B539/E539)*I539/INDEX(Surface_Engine!$B$12:$B$72,$A539+1)-F539/INDEX(Surface_Engine!$B$12:$B$72,$A539+1))),IF($A539&lt;$Q$510,MAX(0,-Assumptions!$B$22*(F539/INDEX(Surface_Engine!$B$12:$B$72,$A539+1))),0)))*(MAX(0,J539/INDEX(Surface_Engine!$B$12:$B$72,$A539+1)-(F539/INDEX(Surface_Engine!$B$12:$B$72,$A539+1)))))</f>
        <v>5793.68180757949</v>
      </c>
      <c r="L539" s="48" t="n">
        <f aca="false">K539*INDEX(Surface_Engine!$B$12:$B$72,$A539+1)+L540</f>
        <v>12641.8571620957</v>
      </c>
      <c r="M539" s="48" t="n">
        <f aca="false">M538+B538*(IF($A538&lt;$Q$510,(Surface_Engine!B241*12)-(Surface_Engine!B241*12)*INDEX(Surface_Engine!$F$12:$F$72,$A538+1)-INDEX(Surface_Engine!$D$12:$D$72,$A538+1),-(1000*12*INDEX(Surface_Engine!$C$12:$C$72,$A538+1)/(1+Assumptions!$B$10)^10+INDEX(Surface_Engine!$D$12:$D$72,$A538+1))))*INDEX(Surface_Engine!$B$12:$B$72,$A538+1)</f>
        <v>18438.5707747608</v>
      </c>
      <c r="N539" s="12" t="n">
        <f aca="false">IF(B539&lt;=0,0,MAX(0,(K539+Assumptions!$B$29*L539/INDEX(Surface_Engine!$B$12:$B$72,$A539+1)-(M539/INDEX(Surface_Engine!$B$12:$B$72,$A539+1)-(F539/INDEX(Surface_Engine!$B$12:$B$72,$A539+1))))/B539))</f>
        <v>0</v>
      </c>
    </row>
    <row r="540" customFormat="false" ht="15" hidden="false" customHeight="true" outlineLevel="0" collapsed="false">
      <c r="A540" s="1" t="n">
        <v>28</v>
      </c>
      <c r="B540" s="32" t="n">
        <f aca="false">INDEX(Surface_Engine!$L$12:$L$72,$A540+1)*IF($A540&lt;$Q$510,INDEX(Surface_Engine!$E$12:$E$72,$A540+1),INDEX(Surface_Engine!$E$12:$E$72,$Q$510+1))</f>
        <v>0.306309403205082</v>
      </c>
      <c r="C540" s="32" t="n">
        <f aca="false">INDEX(Panel_Reserving!$D$8:$D$68,$A540+1)*IF($A540&lt;$Q$510,INDEX(Surface_Engine!$E$12:$E$72,$A540+1),INDEX(Surface_Engine!$E$12:$E$72,$Q$510+1))</f>
        <v>0.378883259952786</v>
      </c>
      <c r="D540" s="32" t="n">
        <f aca="false">INDEX(Surface_Engine!$L$12:$L$72,$A540+1)*IF($A540&lt;$Q$510,INDEX(Surface_Engine!$Y$12:$Y$72,$A540+1),INDEX(Surface_Engine!$Y$12:$Y$72,$Q$510+1))</f>
        <v>0.283938541992811</v>
      </c>
      <c r="E540" s="32" t="n">
        <f aca="false">INDEX(Surface_Engine!$L$12:$L$72,$A540+1)*IF($A540&lt;$Q$510,INDEX(Surface_Engine!$Z$12:$Z$72,$A540+1),INDEX(Surface_Engine!$Z$12:$Z$72,$Q$510+1))</f>
        <v>0.33017443339364</v>
      </c>
      <c r="F540" s="48" t="n">
        <f aca="false">B540*(IF($A540&lt;$Q$510,INDEX(Surface_Engine!$D$12:$D$72,$A540+1)+(Surface_Engine!B241*12)*INDEX(Surface_Engine!$F$12:$F$72,$A540+1)-(Surface_Engine!B241*12),1000*12*INDEX(Surface_Engine!$C$12:$C$72,$A540+1)/(1+Assumptions!$B$10)^10+INDEX(Surface_Engine!$D$12:$D$72,$A540+1)))*INDEX(Surface_Engine!$B$12:$B$72,$A540+1)+F541</f>
        <v>12005.401029988</v>
      </c>
      <c r="G540" s="48" t="n">
        <f aca="false">C540*(IF($A540&lt;$Q$510,INDEX(Surface_Engine!$D$12:$D$72,$A540+1)+(Surface_Engine!B241*12)*INDEX(Surface_Engine!$F$12:$F$72,$A540+1)-(Surface_Engine!B241*12),1000*12*INDEX(Surface_Engine!$C$12:$C$72,$A540+1)/(1+Assumptions!$B$10)^10+INDEX(Surface_Engine!$D$12:$D$72,$A540+1)))*INDEX(Surface_Engine!$B$12:$B$72,$A540+1)+G541</f>
        <v>17447.7438233929</v>
      </c>
      <c r="H540" s="48" t="n">
        <f aca="false">D540*(IF($A540&lt;$Q$510,INDEX(Surface_Engine!$D$12:$D$72,$A540+1)+(Surface_Engine!B241*12)*INDEX(Surface_Engine!$F$12:$F$72,$A540+1)-(Surface_Engine!B241*12),1000*12*INDEX(Surface_Engine!$C$12:$C$72,$A540+1)/(1+Assumptions!$B$10)^10+INDEX(Surface_Engine!$D$12:$D$72,$A540+1)))*INDEX(Surface_Engine!$B$12:$B$72,$A540+1)+H541</f>
        <v>11128.6040481477</v>
      </c>
      <c r="I540" s="48" t="n">
        <f aca="false">E540*(IF($A540&lt;$Q$510,INDEX(Surface_Engine!$D$12:$D$72,$A540+1)+(Surface_Engine!B241*12)*INDEX(Surface_Engine!$F$12:$F$72,$A540+1)-(Surface_Engine!B241*12),1000*12*INDEX(Surface_Engine!$C$12:$C$72,$A540+1)/(1+Assumptions!$B$10)^10+INDEX(Surface_Engine!$D$12:$D$72,$A540+1)))*INDEX(Surface_Engine!$B$12:$B$72,$A540+1)+I541</f>
        <v>12940.7600330369</v>
      </c>
      <c r="J540" s="48" t="n">
        <f aca="false">B540*(IF($A540&lt;$Q$510,INDEX(Surface_Engine!$D$12:$D$72,$A540+1)*(1+Assumptions!$B$24)+(Surface_Engine!B241*12)*INDEX(Surface_Engine!$F$12:$F$72,$A540+1)-(Surface_Engine!B241*12),1000*12*INDEX(Surface_Engine!$C$12:$C$72,$A540+1)/(1+Assumptions!$B$10)^10+INDEX(Surface_Engine!$D$12:$D$72,$A540+1)*(1+Assumptions!$B$24)))*INDEX(Surface_Engine!$B$12:$B$72,$A540+1)+J541</f>
        <v>12016.9651835911</v>
      </c>
      <c r="K540" s="12" t="n">
        <f aca="false">SQRT((IF(C540&lt;=0,0,MAX(0,(B540/C540)*G540/INDEX(Surface_Engine!$B$12:$B$72,$A540+1)-F540/INDEX(Surface_Engine!$B$12:$B$72,$A540+1))))^2+(MAX(IF(D540&lt;=0,0,MAX(0,(B540/D540)*H540/INDEX(Surface_Engine!$B$12:$B$72,$A540+1)-F540/INDEX(Surface_Engine!$B$12:$B$72,$A540+1))),IF(E540&lt;=0,0,MAX(0,(B540/E540)*I540/INDEX(Surface_Engine!$B$12:$B$72,$A540+1)-F540/INDEX(Surface_Engine!$B$12:$B$72,$A540+1))),IF($A540&lt;$Q$510,MAX(0,-Assumptions!$B$22*(F540/INDEX(Surface_Engine!$B$12:$B$72,$A540+1))),0)))^2+(MAX(0,J540/INDEX(Surface_Engine!$B$12:$B$72,$A540+1)-(F540/INDEX(Surface_Engine!$B$12:$B$72,$A540+1))))^2+2*Assumptions!$B$26*(IF(C540&lt;=0,0,MAX(0,(B540/C540)*G540/INDEX(Surface_Engine!$B$12:$B$72,$A540+1)-F540/INDEX(Surface_Engine!$B$12:$B$72,$A540+1))))*(MAX(IF(D540&lt;=0,0,MAX(0,(B540/D540)*H540/INDEX(Surface_Engine!$B$12:$B$72,$A540+1)-F540/INDEX(Surface_Engine!$B$12:$B$72,$A540+1))),IF(E540&lt;=0,0,MAX(0,(B540/E540)*I540/INDEX(Surface_Engine!$B$12:$B$72,$A540+1)-F540/INDEX(Surface_Engine!$B$12:$B$72,$A540+1))),IF($A540&lt;$Q$510,MAX(0,-Assumptions!$B$22*(F540/INDEX(Surface_Engine!$B$12:$B$72,$A540+1))),0)))+2*Assumptions!$B$27*(IF(C540&lt;=0,0,MAX(0,(B540/C540)*G540/INDEX(Surface_Engine!$B$12:$B$72,$A540+1)-F540/INDEX(Surface_Engine!$B$12:$B$72,$A540+1))))*(MAX(0,J540/INDEX(Surface_Engine!$B$12:$B$72,$A540+1)-(F540/INDEX(Surface_Engine!$B$12:$B$72,$A540+1))))+2*Assumptions!$B$28*(MAX(IF(D540&lt;=0,0,MAX(0,(B540/D540)*H540/INDEX(Surface_Engine!$B$12:$B$72,$A540+1)-F540/INDEX(Surface_Engine!$B$12:$B$72,$A540+1))),IF(E540&lt;=0,0,MAX(0,(B540/E540)*I540/INDEX(Surface_Engine!$B$12:$B$72,$A540+1)-F540/INDEX(Surface_Engine!$B$12:$B$72,$A540+1))),IF($A540&lt;$Q$510,MAX(0,-Assumptions!$B$22*(F540/INDEX(Surface_Engine!$B$12:$B$72,$A540+1))),0)))*(MAX(0,J540/INDEX(Surface_Engine!$B$12:$B$72,$A540+1)-(F540/INDEX(Surface_Engine!$B$12:$B$72,$A540+1)))))</f>
        <v>5053.08112056201</v>
      </c>
      <c r="L540" s="48" t="n">
        <f aca="false">K540*INDEX(Surface_Engine!$B$12:$B$72,$A540+1)+L541</f>
        <v>10152.4106606006</v>
      </c>
      <c r="M540" s="48" t="n">
        <f aca="false">M539+B539*(IF($A539&lt;$Q$510,(Surface_Engine!B241*12)-(Surface_Engine!B241*12)*INDEX(Surface_Engine!$F$12:$F$72,$A539+1)-INDEX(Surface_Engine!$D$12:$D$72,$A539+1),-(1000*12*INDEX(Surface_Engine!$C$12:$C$72,$A539+1)/(1+Assumptions!$B$10)^10+INDEX(Surface_Engine!$D$12:$D$72,$A539+1))))*INDEX(Surface_Engine!$B$12:$B$72,$A539+1)</f>
        <v>15900.8400259247</v>
      </c>
      <c r="N540" s="12" t="n">
        <f aca="false">IF(B540&lt;=0,0,MAX(0,(K540+Assumptions!$B$29*L540/INDEX(Surface_Engine!$B$12:$B$72,$A540+1)-(M540/INDEX(Surface_Engine!$B$12:$B$72,$A540+1)-(F540/INDEX(Surface_Engine!$B$12:$B$72,$A540+1))))/B540))</f>
        <v>0</v>
      </c>
    </row>
    <row r="541" customFormat="false" ht="15" hidden="false" customHeight="true" outlineLevel="0" collapsed="false">
      <c r="A541" s="1" t="n">
        <v>29</v>
      </c>
      <c r="B541" s="32" t="n">
        <f aca="false">INDEX(Surface_Engine!$L$12:$L$72,$A541+1)*IF($A541&lt;$Q$510,INDEX(Surface_Engine!$E$12:$E$72,$A541+1),INDEX(Surface_Engine!$E$12:$E$72,$Q$510+1))</f>
        <v>0.26588549000282</v>
      </c>
      <c r="C541" s="32" t="n">
        <f aca="false">INDEX(Panel_Reserving!$D$8:$D$68,$A541+1)*IF($A541&lt;$Q$510,INDEX(Surface_Engine!$E$12:$E$72,$A541+1),INDEX(Surface_Engine!$E$12:$E$72,$Q$510+1))</f>
        <v>0.338882022370492</v>
      </c>
      <c r="D541" s="32" t="n">
        <f aca="false">INDEX(Surface_Engine!$L$12:$L$72,$A541+1)*IF($A541&lt;$Q$510,INDEX(Surface_Engine!$Y$12:$Y$72,$A541+1),INDEX(Surface_Engine!$Y$12:$Y$72,$Q$510+1))</f>
        <v>0.24646693042557</v>
      </c>
      <c r="E541" s="32" t="n">
        <f aca="false">INDEX(Surface_Engine!$L$12:$L$72,$A541+1)*IF($A541&lt;$Q$510,INDEX(Surface_Engine!$Z$12:$Z$72,$A541+1),INDEX(Surface_Engine!$Z$12:$Z$72,$Q$510+1))</f>
        <v>0.286601031802131</v>
      </c>
      <c r="F541" s="48" t="n">
        <f aca="false">B541*(IF($A541&lt;$Q$510,INDEX(Surface_Engine!$D$12:$D$72,$A541+1)+(Surface_Engine!B241*12)*INDEX(Surface_Engine!$F$12:$F$72,$A541+1)-(Surface_Engine!B241*12),1000*12*INDEX(Surface_Engine!$C$12:$C$72,$A541+1)/(1+Assumptions!$B$10)^10+INDEX(Surface_Engine!$D$12:$D$72,$A541+1)))*INDEX(Surface_Engine!$B$12:$B$72,$A541+1)+F542</f>
        <v>9799.43543964005</v>
      </c>
      <c r="G541" s="48" t="n">
        <f aca="false">C541*(IF($A541&lt;$Q$510,INDEX(Surface_Engine!$D$12:$D$72,$A541+1)+(Surface_Engine!B241*12)*INDEX(Surface_Engine!$F$12:$F$72,$A541+1)-(Surface_Engine!B241*12),1000*12*INDEX(Surface_Engine!$C$12:$C$72,$A541+1)/(1+Assumptions!$B$10)^10+INDEX(Surface_Engine!$D$12:$D$72,$A541+1)))*INDEX(Surface_Engine!$B$12:$B$72,$A541+1)+G542</f>
        <v>14719.1190228833</v>
      </c>
      <c r="H541" s="48" t="n">
        <f aca="false">D541*(IF($A541&lt;$Q$510,INDEX(Surface_Engine!$D$12:$D$72,$A541+1)+(Surface_Engine!B241*12)*INDEX(Surface_Engine!$F$12:$F$72,$A541+1)-(Surface_Engine!B241*12),1000*12*INDEX(Surface_Engine!$C$12:$C$72,$A541+1)/(1+Assumptions!$B$10)^10+INDEX(Surface_Engine!$D$12:$D$72,$A541+1)))*INDEX(Surface_Engine!$B$12:$B$72,$A541+1)+H542</f>
        <v>9083.74794234169</v>
      </c>
      <c r="I541" s="48" t="n">
        <f aca="false">E541*(IF($A541&lt;$Q$510,INDEX(Surface_Engine!$D$12:$D$72,$A541+1)+(Surface_Engine!B241*12)*INDEX(Surface_Engine!$F$12:$F$72,$A541+1)-(Surface_Engine!B241*12),1000*12*INDEX(Surface_Engine!$C$12:$C$72,$A541+1)/(1+Assumptions!$B$10)^10+INDEX(Surface_Engine!$D$12:$D$72,$A541+1)))*INDEX(Surface_Engine!$B$12:$B$72,$A541+1)+I542</f>
        <v>10562.9243177182</v>
      </c>
      <c r="J541" s="48" t="n">
        <f aca="false">B541*(IF($A541&lt;$Q$510,INDEX(Surface_Engine!$D$12:$D$72,$A541+1)*(1+Assumptions!$B$24)+(Surface_Engine!B241*12)*INDEX(Surface_Engine!$F$12:$F$72,$A541+1)-(Surface_Engine!B241*12),1000*12*INDEX(Surface_Engine!$C$12:$C$72,$A541+1)/(1+Assumptions!$B$10)^10+INDEX(Surface_Engine!$D$12:$D$72,$A541+1)*(1+Assumptions!$B$24)))*INDEX(Surface_Engine!$B$12:$B$72,$A541+1)+J542</f>
        <v>9808.9123755218</v>
      </c>
      <c r="K541" s="12" t="n">
        <f aca="false">SQRT((IF(C541&lt;=0,0,MAX(0,(B541/C541)*G541/INDEX(Surface_Engine!$B$12:$B$72,$A541+1)-F541/INDEX(Surface_Engine!$B$12:$B$72,$A541+1))))^2+(MAX(IF(D541&lt;=0,0,MAX(0,(B541/D541)*H541/INDEX(Surface_Engine!$B$12:$B$72,$A541+1)-F541/INDEX(Surface_Engine!$B$12:$B$72,$A541+1))),IF(E541&lt;=0,0,MAX(0,(B541/E541)*I541/INDEX(Surface_Engine!$B$12:$B$72,$A541+1)-F541/INDEX(Surface_Engine!$B$12:$B$72,$A541+1))),IF($A541&lt;$Q$510,MAX(0,-Assumptions!$B$22*(F541/INDEX(Surface_Engine!$B$12:$B$72,$A541+1))),0)))^2+(MAX(0,J541/INDEX(Surface_Engine!$B$12:$B$72,$A541+1)-(F541/INDEX(Surface_Engine!$B$12:$B$72,$A541+1))))^2+2*Assumptions!$B$26*(IF(C541&lt;=0,0,MAX(0,(B541/C541)*G541/INDEX(Surface_Engine!$B$12:$B$72,$A541+1)-F541/INDEX(Surface_Engine!$B$12:$B$72,$A541+1))))*(MAX(IF(D541&lt;=0,0,MAX(0,(B541/D541)*H541/INDEX(Surface_Engine!$B$12:$B$72,$A541+1)-F541/INDEX(Surface_Engine!$B$12:$B$72,$A541+1))),IF(E541&lt;=0,0,MAX(0,(B541/E541)*I541/INDEX(Surface_Engine!$B$12:$B$72,$A541+1)-F541/INDEX(Surface_Engine!$B$12:$B$72,$A541+1))),IF($A541&lt;$Q$510,MAX(0,-Assumptions!$B$22*(F541/INDEX(Surface_Engine!$B$12:$B$72,$A541+1))),0)))+2*Assumptions!$B$27*(IF(C541&lt;=0,0,MAX(0,(B541/C541)*G541/INDEX(Surface_Engine!$B$12:$B$72,$A541+1)-F541/INDEX(Surface_Engine!$B$12:$B$72,$A541+1))))*(MAX(0,J541/INDEX(Surface_Engine!$B$12:$B$72,$A541+1)-(F541/INDEX(Surface_Engine!$B$12:$B$72,$A541+1))))+2*Assumptions!$B$28*(MAX(IF(D541&lt;=0,0,MAX(0,(B541/D541)*H541/INDEX(Surface_Engine!$B$12:$B$72,$A541+1)-F541/INDEX(Surface_Engine!$B$12:$B$72,$A541+1))),IF(E541&lt;=0,0,MAX(0,(B541/E541)*I541/INDEX(Surface_Engine!$B$12:$B$72,$A541+1)-F541/INDEX(Surface_Engine!$B$12:$B$72,$A541+1))),IF($A541&lt;$Q$510,MAX(0,-Assumptions!$B$22*(F541/INDEX(Surface_Engine!$B$12:$B$72,$A541+1))),0)))*(MAX(0,J541/INDEX(Surface_Engine!$B$12:$B$72,$A541+1)-(F541/INDEX(Surface_Engine!$B$12:$B$72,$A541+1)))))</f>
        <v>4344.39654821156</v>
      </c>
      <c r="L541" s="48" t="n">
        <f aca="false">K541*INDEX(Surface_Engine!$B$12:$B$72,$A541+1)+L542</f>
        <v>8049.20563291088</v>
      </c>
      <c r="M541" s="48" t="n">
        <f aca="false">M540+B540*(IF($A540&lt;$Q$510,(Surface_Engine!B241*12)-(Surface_Engine!B241*12)*INDEX(Surface_Engine!$F$12:$F$72,$A540+1)-INDEX(Surface_Engine!$D$12:$D$72,$A540+1),-(1000*12*INDEX(Surface_Engine!$C$12:$C$72,$A540+1)/(1+Assumptions!$B$10)^10+INDEX(Surface_Engine!$D$12:$D$72,$A540+1))))*INDEX(Surface_Engine!$B$12:$B$72,$A540+1)</f>
        <v>13694.8744355768</v>
      </c>
      <c r="N541" s="12" t="n">
        <f aca="false">IF(B541&lt;=0,0,MAX(0,(K541+Assumptions!$B$29*L541/INDEX(Surface_Engine!$B$12:$B$72,$A541+1)-(M541/INDEX(Surface_Engine!$B$12:$B$72,$A541+1)-(F541/INDEX(Surface_Engine!$B$12:$B$72,$A541+1))))/B541))</f>
        <v>0</v>
      </c>
    </row>
    <row r="542" customFormat="false" ht="15" hidden="false" customHeight="true" outlineLevel="0" collapsed="false">
      <c r="A542" s="1" t="n">
        <v>30</v>
      </c>
      <c r="B542" s="32" t="n">
        <f aca="false">INDEX(Surface_Engine!$L$12:$L$72,$A542+1)*IF($A542&lt;$Q$510,INDEX(Surface_Engine!$E$12:$E$72,$A542+1),INDEX(Surface_Engine!$E$12:$E$72,$Q$510+1))</f>
        <v>0.227880240213749</v>
      </c>
      <c r="C542" s="32" t="n">
        <f aca="false">INDEX(Panel_Reserving!$D$8:$D$68,$A542+1)*IF($A542&lt;$Q$510,INDEX(Surface_Engine!$E$12:$E$72,$A542+1),INDEX(Surface_Engine!$E$12:$E$72,$Q$510+1))</f>
        <v>0.300130615788419</v>
      </c>
      <c r="D542" s="32" t="n">
        <f aca="false">INDEX(Surface_Engine!$L$12:$L$72,$A542+1)*IF($A542&lt;$Q$510,INDEX(Surface_Engine!$Y$12:$Y$72,$A542+1),INDEX(Surface_Engine!$Y$12:$Y$72,$Q$510+1))</f>
        <v>0.211237338711219</v>
      </c>
      <c r="E542" s="32" t="n">
        <f aca="false">INDEX(Surface_Engine!$L$12:$L$72,$A542+1)*IF($A542&lt;$Q$510,INDEX(Surface_Engine!$Z$12:$Z$72,$A542+1),INDEX(Surface_Engine!$Z$12:$Z$72,$Q$510+1))</f>
        <v>0.245634735358763</v>
      </c>
      <c r="F542" s="48" t="n">
        <f aca="false">B542*(IF($A542&lt;$Q$510,INDEX(Surface_Engine!$D$12:$D$72,$A542+1)+(Surface_Engine!B241*12)*INDEX(Surface_Engine!$F$12:$F$72,$A542+1)-(Surface_Engine!B241*12),1000*12*INDEX(Surface_Engine!$C$12:$C$72,$A542+1)/(1+Assumptions!$B$10)^10+INDEX(Surface_Engine!$D$12:$D$72,$A542+1)))*INDEX(Surface_Engine!$B$12:$B$72,$A542+1)+F543</f>
        <v>7907.46778344788</v>
      </c>
      <c r="G542" s="48" t="n">
        <f aca="false">C542*(IF($A542&lt;$Q$510,INDEX(Surface_Engine!$D$12:$D$72,$A542+1)+(Surface_Engine!B241*12)*INDEX(Surface_Engine!$F$12:$F$72,$A542+1)-(Surface_Engine!B241*12),1000*12*INDEX(Surface_Engine!$C$12:$C$72,$A542+1)/(1+Assumptions!$B$10)^10+INDEX(Surface_Engine!$D$12:$D$72,$A542+1)))*INDEX(Surface_Engine!$B$12:$B$72,$A542+1)+G543</f>
        <v>12307.7282185819</v>
      </c>
      <c r="H542" s="48" t="n">
        <f aca="false">D542*(IF($A542&lt;$Q$510,INDEX(Surface_Engine!$D$12:$D$72,$A542+1)+(Surface_Engine!B241*12)*INDEX(Surface_Engine!$F$12:$F$72,$A542+1)-(Surface_Engine!B241*12),1000*12*INDEX(Surface_Engine!$C$12:$C$72,$A542+1)/(1+Assumptions!$B$10)^10+INDEX(Surface_Engine!$D$12:$D$72,$A542+1)))*INDEX(Surface_Engine!$B$12:$B$72,$A542+1)+H543</f>
        <v>7329.95738881732</v>
      </c>
      <c r="I542" s="48" t="n">
        <f aca="false">E542*(IF($A542&lt;$Q$510,INDEX(Surface_Engine!$D$12:$D$72,$A542+1)+(Surface_Engine!B241*12)*INDEX(Surface_Engine!$F$12:$F$72,$A542+1)-(Surface_Engine!B241*12),1000*12*INDEX(Surface_Engine!$C$12:$C$72,$A542+1)/(1+Assumptions!$B$10)^10+INDEX(Surface_Engine!$D$12:$D$72,$A542+1)))*INDEX(Surface_Engine!$B$12:$B$72,$A542+1)+I543</f>
        <v>8523.55059185154</v>
      </c>
      <c r="J542" s="48" t="n">
        <f aca="false">B542*(IF($A542&lt;$Q$510,INDEX(Surface_Engine!$D$12:$D$72,$A542+1)*(1+Assumptions!$B$24)+(Surface_Engine!B241*12)*INDEX(Surface_Engine!$F$12:$F$72,$A542+1)-(Surface_Engine!B241*12),1000*12*INDEX(Surface_Engine!$C$12:$C$72,$A542+1)/(1+Assumptions!$B$10)^10+INDEX(Surface_Engine!$D$12:$D$72,$A542+1)*(1+Assumptions!$B$24)))*INDEX(Surface_Engine!$B$12:$B$72,$A542+1)+J543</f>
        <v>7915.14590524882</v>
      </c>
      <c r="K542" s="12" t="n">
        <f aca="false">SQRT((IF(C542&lt;=0,0,MAX(0,(B542/C542)*G542/INDEX(Surface_Engine!$B$12:$B$72,$A542+1)-F542/INDEX(Surface_Engine!$B$12:$B$72,$A542+1))))^2+(MAX(IF(D542&lt;=0,0,MAX(0,(B542/D542)*H542/INDEX(Surface_Engine!$B$12:$B$72,$A542+1)-F542/INDEX(Surface_Engine!$B$12:$B$72,$A542+1))),IF(E542&lt;=0,0,MAX(0,(B542/E542)*I542/INDEX(Surface_Engine!$B$12:$B$72,$A542+1)-F542/INDEX(Surface_Engine!$B$12:$B$72,$A542+1))),IF($A542&lt;$Q$510,MAX(0,-Assumptions!$B$22*(F542/INDEX(Surface_Engine!$B$12:$B$72,$A542+1))),0)))^2+(MAX(0,J542/INDEX(Surface_Engine!$B$12:$B$72,$A542+1)-(F542/INDEX(Surface_Engine!$B$12:$B$72,$A542+1))))^2+2*Assumptions!$B$26*(IF(C542&lt;=0,0,MAX(0,(B542/C542)*G542/INDEX(Surface_Engine!$B$12:$B$72,$A542+1)-F542/INDEX(Surface_Engine!$B$12:$B$72,$A542+1))))*(MAX(IF(D542&lt;=0,0,MAX(0,(B542/D542)*H542/INDEX(Surface_Engine!$B$12:$B$72,$A542+1)-F542/INDEX(Surface_Engine!$B$12:$B$72,$A542+1))),IF(E542&lt;=0,0,MAX(0,(B542/E542)*I542/INDEX(Surface_Engine!$B$12:$B$72,$A542+1)-F542/INDEX(Surface_Engine!$B$12:$B$72,$A542+1))),IF($A542&lt;$Q$510,MAX(0,-Assumptions!$B$22*(F542/INDEX(Surface_Engine!$B$12:$B$72,$A542+1))),0)))+2*Assumptions!$B$27*(IF(C542&lt;=0,0,MAX(0,(B542/C542)*G542/INDEX(Surface_Engine!$B$12:$B$72,$A542+1)-F542/INDEX(Surface_Engine!$B$12:$B$72,$A542+1))))*(MAX(0,J542/INDEX(Surface_Engine!$B$12:$B$72,$A542+1)-(F542/INDEX(Surface_Engine!$B$12:$B$72,$A542+1))))+2*Assumptions!$B$28*(MAX(IF(D542&lt;=0,0,MAX(0,(B542/D542)*H542/INDEX(Surface_Engine!$B$12:$B$72,$A542+1)-F542/INDEX(Surface_Engine!$B$12:$B$72,$A542+1))),IF(E542&lt;=0,0,MAX(0,(B542/E542)*I542/INDEX(Surface_Engine!$B$12:$B$72,$A542+1)-F542/INDEX(Surface_Engine!$B$12:$B$72,$A542+1))),IF($A542&lt;$Q$510,MAX(0,-Assumptions!$B$22*(F542/INDEX(Surface_Engine!$B$12:$B$72,$A542+1))),0)))*(MAX(0,J542/INDEX(Surface_Engine!$B$12:$B$72,$A542+1)-(F542/INDEX(Surface_Engine!$B$12:$B$72,$A542+1)))))</f>
        <v>3685.87818437515</v>
      </c>
      <c r="L542" s="48" t="n">
        <f aca="false">K542*INDEX(Surface_Engine!$B$12:$B$72,$A542+1)+L543</f>
        <v>6297.68542536779</v>
      </c>
      <c r="M542" s="48" t="n">
        <f aca="false">M541+B541*(IF($A541&lt;$Q$510,(Surface_Engine!B241*12)-(Surface_Engine!B241*12)*INDEX(Surface_Engine!$F$12:$F$72,$A541+1)-INDEX(Surface_Engine!$D$12:$D$72,$A541+1),-(1000*12*INDEX(Surface_Engine!$C$12:$C$72,$A541+1)/(1+Assumptions!$B$10)^10+INDEX(Surface_Engine!$D$12:$D$72,$A541+1))))*INDEX(Surface_Engine!$B$12:$B$72,$A541+1)</f>
        <v>11802.9067793846</v>
      </c>
      <c r="N542" s="12" t="n">
        <f aca="false">IF(B542&lt;=0,0,MAX(0,(K542+Assumptions!$B$29*L542/INDEX(Surface_Engine!$B$12:$B$72,$A542+1)-(M542/INDEX(Surface_Engine!$B$12:$B$72,$A542+1)-(F542/INDEX(Surface_Engine!$B$12:$B$72,$A542+1))))/B542))</f>
        <v>0</v>
      </c>
    </row>
    <row r="543" customFormat="false" ht="15" hidden="false" customHeight="true" outlineLevel="0" collapsed="false">
      <c r="A543" s="1" t="n">
        <v>31</v>
      </c>
      <c r="B543" s="32" t="n">
        <f aca="false">INDEX(Surface_Engine!$L$12:$L$72,$A543+1)*IF($A543&lt;$Q$510,INDEX(Surface_Engine!$E$12:$E$72,$A543+1),INDEX(Surface_Engine!$E$12:$E$72,$Q$510+1))</f>
        <v>0.19187458084314</v>
      </c>
      <c r="C543" s="32" t="n">
        <f aca="false">INDEX(Panel_Reserving!$D$8:$D$68,$A543+1)*IF($A543&lt;$Q$510,INDEX(Surface_Engine!$E$12:$E$72,$A543+1),INDEX(Surface_Engine!$E$12:$E$72,$Q$510+1))</f>
        <v>0.262193493346797</v>
      </c>
      <c r="D543" s="32" t="n">
        <f aca="false">INDEX(Surface_Engine!$L$12:$L$72,$A543+1)*IF($A543&lt;$Q$510,INDEX(Surface_Engine!$Y$12:$Y$72,$A543+1),INDEX(Surface_Engine!$Y$12:$Y$72,$Q$510+1))</f>
        <v>0.177861300240942</v>
      </c>
      <c r="E543" s="32" t="n">
        <f aca="false">INDEX(Surface_Engine!$L$12:$L$72,$A543+1)*IF($A543&lt;$Q$510,INDEX(Surface_Engine!$Z$12:$Z$72,$A543+1),INDEX(Surface_Engine!$Z$12:$Z$72,$Q$510+1))</f>
        <v>0.206823820456174</v>
      </c>
      <c r="F543" s="48" t="n">
        <f aca="false">B543*(IF($A543&lt;$Q$510,INDEX(Surface_Engine!$D$12:$D$72,$A543+1)+(Surface_Engine!B241*12)*INDEX(Surface_Engine!$F$12:$F$72,$A543+1)-(Surface_Engine!B241*12),1000*12*INDEX(Surface_Engine!$C$12:$C$72,$A543+1)/(1+Assumptions!$B$10)^10+INDEX(Surface_Engine!$D$12:$D$72,$A543+1)))*INDEX(Surface_Engine!$B$12:$B$72,$A543+1)+F544</f>
        <v>6305.36759756982</v>
      </c>
      <c r="G543" s="48" t="n">
        <f aca="false">C543*(IF($A543&lt;$Q$510,INDEX(Surface_Engine!$D$12:$D$72,$A543+1)+(Surface_Engine!B241*12)*INDEX(Surface_Engine!$F$12:$F$72,$A543+1)-(Surface_Engine!B241*12),1000*12*INDEX(Surface_Engine!$C$12:$C$72,$A543+1)/(1+Assumptions!$B$10)^10+INDEX(Surface_Engine!$D$12:$D$72,$A543+1)))*INDEX(Surface_Engine!$B$12:$B$72,$A543+1)+G544</f>
        <v>10197.6755220809</v>
      </c>
      <c r="H543" s="48" t="n">
        <f aca="false">D543*(IF($A543&lt;$Q$510,INDEX(Surface_Engine!$D$12:$D$72,$A543+1)+(Surface_Engine!B241*12)*INDEX(Surface_Engine!$F$12:$F$72,$A543+1)-(Surface_Engine!B241*12),1000*12*INDEX(Surface_Engine!$C$12:$C$72,$A543+1)/(1+Assumptions!$B$10)^10+INDEX(Surface_Engine!$D$12:$D$72,$A543+1)))*INDEX(Surface_Engine!$B$12:$B$72,$A543+1)+H544</f>
        <v>5844.86425702058</v>
      </c>
      <c r="I543" s="48" t="n">
        <f aca="false">E543*(IF($A543&lt;$Q$510,INDEX(Surface_Engine!$D$12:$D$72,$A543+1)+(Surface_Engine!B241*12)*INDEX(Surface_Engine!$F$12:$F$72,$A543+1)-(Surface_Engine!B241*12),1000*12*INDEX(Surface_Engine!$C$12:$C$72,$A543+1)/(1+Assumptions!$B$10)^10+INDEX(Surface_Engine!$D$12:$D$72,$A543+1)))*INDEX(Surface_Engine!$B$12:$B$72,$A543+1)+I544</f>
        <v>6796.62835055824</v>
      </c>
      <c r="J543" s="48" t="n">
        <f aca="false">B543*(IF($A543&lt;$Q$510,INDEX(Surface_Engine!$D$12:$D$72,$A543+1)*(1+Assumptions!$B$24)+(Surface_Engine!B241*12)*INDEX(Surface_Engine!$F$12:$F$72,$A543+1)-(Surface_Engine!B241*12),1000*12*INDEX(Surface_Engine!$C$12:$C$72,$A543+1)/(1+Assumptions!$B$10)^10+INDEX(Surface_Engine!$D$12:$D$72,$A543+1)*(1+Assumptions!$B$24)))*INDEX(Surface_Engine!$B$12:$B$72,$A543+1)+J544</f>
        <v>6311.51510532294</v>
      </c>
      <c r="K543" s="12" t="n">
        <f aca="false">SQRT((IF(C543&lt;=0,0,MAX(0,(B543/C543)*G543/INDEX(Surface_Engine!$B$12:$B$72,$A543+1)-F543/INDEX(Surface_Engine!$B$12:$B$72,$A543+1))))^2+(MAX(IF(D543&lt;=0,0,MAX(0,(B543/D543)*H543/INDEX(Surface_Engine!$B$12:$B$72,$A543+1)-F543/INDEX(Surface_Engine!$B$12:$B$72,$A543+1))),IF(E543&lt;=0,0,MAX(0,(B543/E543)*I543/INDEX(Surface_Engine!$B$12:$B$72,$A543+1)-F543/INDEX(Surface_Engine!$B$12:$B$72,$A543+1))),IF($A543&lt;$Q$510,MAX(0,-Assumptions!$B$22*(F543/INDEX(Surface_Engine!$B$12:$B$72,$A543+1))),0)))^2+(MAX(0,J543/INDEX(Surface_Engine!$B$12:$B$72,$A543+1)-(F543/INDEX(Surface_Engine!$B$12:$B$72,$A543+1))))^2+2*Assumptions!$B$26*(IF(C543&lt;=0,0,MAX(0,(B543/C543)*G543/INDEX(Surface_Engine!$B$12:$B$72,$A543+1)-F543/INDEX(Surface_Engine!$B$12:$B$72,$A543+1))))*(MAX(IF(D543&lt;=0,0,MAX(0,(B543/D543)*H543/INDEX(Surface_Engine!$B$12:$B$72,$A543+1)-F543/INDEX(Surface_Engine!$B$12:$B$72,$A543+1))),IF(E543&lt;=0,0,MAX(0,(B543/E543)*I543/INDEX(Surface_Engine!$B$12:$B$72,$A543+1)-F543/INDEX(Surface_Engine!$B$12:$B$72,$A543+1))),IF($A543&lt;$Q$510,MAX(0,-Assumptions!$B$22*(F543/INDEX(Surface_Engine!$B$12:$B$72,$A543+1))),0)))+2*Assumptions!$B$27*(IF(C543&lt;=0,0,MAX(0,(B543/C543)*G543/INDEX(Surface_Engine!$B$12:$B$72,$A543+1)-F543/INDEX(Surface_Engine!$B$12:$B$72,$A543+1))))*(MAX(0,J543/INDEX(Surface_Engine!$B$12:$B$72,$A543+1)-(F543/INDEX(Surface_Engine!$B$12:$B$72,$A543+1))))+2*Assumptions!$B$28*(MAX(IF(D543&lt;=0,0,MAX(0,(B543/D543)*H543/INDEX(Surface_Engine!$B$12:$B$72,$A543+1)-F543/INDEX(Surface_Engine!$B$12:$B$72,$A543+1))),IF(E543&lt;=0,0,MAX(0,(B543/E543)*I543/INDEX(Surface_Engine!$B$12:$B$72,$A543+1)-F543/INDEX(Surface_Engine!$B$12:$B$72,$A543+1))),IF($A543&lt;$Q$510,MAX(0,-Assumptions!$B$22*(F543/INDEX(Surface_Engine!$B$12:$B$72,$A543+1))),0)))*(MAX(0,J543/INDEX(Surface_Engine!$B$12:$B$72,$A543+1)-(F543/INDEX(Surface_Engine!$B$12:$B$72,$A543+1)))))</f>
        <v>3063.08160419748</v>
      </c>
      <c r="L543" s="48" t="n">
        <f aca="false">K543*INDEX(Surface_Engine!$B$12:$B$72,$A543+1)+L544</f>
        <v>4858.32290394395</v>
      </c>
      <c r="M543" s="48" t="n">
        <f aca="false">M542+B542*(IF($A542&lt;$Q$510,(Surface_Engine!B241*12)-(Surface_Engine!B241*12)*INDEX(Surface_Engine!$F$12:$F$72,$A542+1)-INDEX(Surface_Engine!$D$12:$D$72,$A542+1),-(1000*12*INDEX(Surface_Engine!$C$12:$C$72,$A542+1)/(1+Assumptions!$B$10)^10+INDEX(Surface_Engine!$D$12:$D$72,$A542+1))))*INDEX(Surface_Engine!$B$12:$B$72,$A542+1)</f>
        <v>10200.8065935065</v>
      </c>
      <c r="N543" s="12" t="n">
        <f aca="false">IF(B543&lt;=0,0,MAX(0,(K543+Assumptions!$B$29*L543/INDEX(Surface_Engine!$B$12:$B$72,$A543+1)-(M543/INDEX(Surface_Engine!$B$12:$B$72,$A543+1)-(F543/INDEX(Surface_Engine!$B$12:$B$72,$A543+1))))/B543))</f>
        <v>0</v>
      </c>
    </row>
    <row r="544" customFormat="false" ht="15" hidden="false" customHeight="true" outlineLevel="0" collapsed="false">
      <c r="A544" s="1" t="n">
        <v>32</v>
      </c>
      <c r="B544" s="32" t="n">
        <f aca="false">INDEX(Surface_Engine!$L$12:$L$72,$A544+1)*IF($A544&lt;$Q$510,INDEX(Surface_Engine!$E$12:$E$72,$A544+1),INDEX(Surface_Engine!$E$12:$E$72,$Q$510+1))</f>
        <v>0.15960510313327</v>
      </c>
      <c r="C544" s="32" t="n">
        <f aca="false">INDEX(Panel_Reserving!$D$8:$D$68,$A544+1)*IF($A544&lt;$Q$510,INDEX(Surface_Engine!$E$12:$E$72,$A544+1),INDEX(Surface_Engine!$E$12:$E$72,$Q$510+1))</f>
        <v>0.226916920276833</v>
      </c>
      <c r="D544" s="32" t="n">
        <f aca="false">INDEX(Surface_Engine!$L$12:$L$72,$A544+1)*IF($A544&lt;$Q$510,INDEX(Surface_Engine!$Y$12:$Y$72,$A544+1),INDEX(Surface_Engine!$Y$12:$Y$72,$Q$510+1))</f>
        <v>0.147948576844477</v>
      </c>
      <c r="E544" s="32" t="n">
        <f aca="false">INDEX(Surface_Engine!$L$12:$L$72,$A544+1)*IF($A544&lt;$Q$510,INDEX(Surface_Engine!$Z$12:$Z$72,$A544+1),INDEX(Surface_Engine!$Z$12:$Z$72,$Q$510+1))</f>
        <v>0.172040178794246</v>
      </c>
      <c r="F544" s="48" t="n">
        <f aca="false">B544*(IF($A544&lt;$Q$510,INDEX(Surface_Engine!$D$12:$D$72,$A544+1)+(Surface_Engine!B241*12)*INDEX(Surface_Engine!$F$12:$F$72,$A544+1)-(Surface_Engine!B241*12),1000*12*INDEX(Surface_Engine!$C$12:$C$72,$A544+1)/(1+Assumptions!$B$10)^10+INDEX(Surface_Engine!$D$12:$D$72,$A544+1)))*INDEX(Surface_Engine!$B$12:$B$72,$A544+1)+F545</f>
        <v>4972.2203487801</v>
      </c>
      <c r="G544" s="48" t="n">
        <f aca="false">C544*(IF($A544&lt;$Q$510,INDEX(Surface_Engine!$D$12:$D$72,$A544+1)+(Surface_Engine!B241*12)*INDEX(Surface_Engine!$F$12:$F$72,$A544+1)-(Surface_Engine!B241*12),1000*12*INDEX(Surface_Engine!$C$12:$C$72,$A544+1)/(1+Assumptions!$B$10)^10+INDEX(Surface_Engine!$D$12:$D$72,$A544+1)))*INDEX(Surface_Engine!$B$12:$B$72,$A544+1)+G545</f>
        <v>8375.95149396895</v>
      </c>
      <c r="H544" s="48" t="n">
        <f aca="false">D544*(IF($A544&lt;$Q$510,INDEX(Surface_Engine!$D$12:$D$72,$A544+1)+(Surface_Engine!B241*12)*INDEX(Surface_Engine!$F$12:$F$72,$A544+1)-(Surface_Engine!B241*12),1000*12*INDEX(Surface_Engine!$C$12:$C$72,$A544+1)/(1+Assumptions!$B$10)^10+INDEX(Surface_Engine!$D$12:$D$72,$A544+1)))*INDEX(Surface_Engine!$B$12:$B$72,$A544+1)+H545</f>
        <v>4609.08147620387</v>
      </c>
      <c r="I544" s="48" t="n">
        <f aca="false">E544*(IF($A544&lt;$Q$510,INDEX(Surface_Engine!$D$12:$D$72,$A544+1)+(Surface_Engine!B241*12)*INDEX(Surface_Engine!$F$12:$F$72,$A544+1)-(Surface_Engine!B241*12),1000*12*INDEX(Surface_Engine!$C$12:$C$72,$A544+1)/(1+Assumptions!$B$10)^10+INDEX(Surface_Engine!$D$12:$D$72,$A544+1)))*INDEX(Surface_Engine!$B$12:$B$72,$A544+1)+I545</f>
        <v>5359.61357760746</v>
      </c>
      <c r="J544" s="48" t="n">
        <f aca="false">B544*(IF($A544&lt;$Q$510,INDEX(Surface_Engine!$D$12:$D$72,$A544+1)*(1+Assumptions!$B$24)+(Surface_Engine!B241*12)*INDEX(Surface_Engine!$F$12:$F$72,$A544+1)-(Surface_Engine!B241*12),1000*12*INDEX(Surface_Engine!$C$12:$C$72,$A544+1)/(1+Assumptions!$B$10)^10+INDEX(Surface_Engine!$D$12:$D$72,$A544+1)*(1+Assumptions!$B$24)))*INDEX(Surface_Engine!$B$12:$B$72,$A544+1)+J545</f>
        <v>4977.08801116826</v>
      </c>
      <c r="K544" s="12" t="n">
        <f aca="false">SQRT((IF(C544&lt;=0,0,MAX(0,(B544/C544)*G544/INDEX(Surface_Engine!$B$12:$B$72,$A544+1)-F544/INDEX(Surface_Engine!$B$12:$B$72,$A544+1))))^2+(MAX(IF(D544&lt;=0,0,MAX(0,(B544/D544)*H544/INDEX(Surface_Engine!$B$12:$B$72,$A544+1)-F544/INDEX(Surface_Engine!$B$12:$B$72,$A544+1))),IF(E544&lt;=0,0,MAX(0,(B544/E544)*I544/INDEX(Surface_Engine!$B$12:$B$72,$A544+1)-F544/INDEX(Surface_Engine!$B$12:$B$72,$A544+1))),IF($A544&lt;$Q$510,MAX(0,-Assumptions!$B$22*(F544/INDEX(Surface_Engine!$B$12:$B$72,$A544+1))),0)))^2+(MAX(0,J544/INDEX(Surface_Engine!$B$12:$B$72,$A544+1)-(F544/INDEX(Surface_Engine!$B$12:$B$72,$A544+1))))^2+2*Assumptions!$B$26*(IF(C544&lt;=0,0,MAX(0,(B544/C544)*G544/INDEX(Surface_Engine!$B$12:$B$72,$A544+1)-F544/INDEX(Surface_Engine!$B$12:$B$72,$A544+1))))*(MAX(IF(D544&lt;=0,0,MAX(0,(B544/D544)*H544/INDEX(Surface_Engine!$B$12:$B$72,$A544+1)-F544/INDEX(Surface_Engine!$B$12:$B$72,$A544+1))),IF(E544&lt;=0,0,MAX(0,(B544/E544)*I544/INDEX(Surface_Engine!$B$12:$B$72,$A544+1)-F544/INDEX(Surface_Engine!$B$12:$B$72,$A544+1))),IF($A544&lt;$Q$510,MAX(0,-Assumptions!$B$22*(F544/INDEX(Surface_Engine!$B$12:$B$72,$A544+1))),0)))+2*Assumptions!$B$27*(IF(C544&lt;=0,0,MAX(0,(B544/C544)*G544/INDEX(Surface_Engine!$B$12:$B$72,$A544+1)-F544/INDEX(Surface_Engine!$B$12:$B$72,$A544+1))))*(MAX(0,J544/INDEX(Surface_Engine!$B$12:$B$72,$A544+1)-(F544/INDEX(Surface_Engine!$B$12:$B$72,$A544+1))))+2*Assumptions!$B$28*(MAX(IF(D544&lt;=0,0,MAX(0,(B544/D544)*H544/INDEX(Surface_Engine!$B$12:$B$72,$A544+1)-F544/INDEX(Surface_Engine!$B$12:$B$72,$A544+1))),IF(E544&lt;=0,0,MAX(0,(B544/E544)*I544/INDEX(Surface_Engine!$B$12:$B$72,$A544+1)-F544/INDEX(Surface_Engine!$B$12:$B$72,$A544+1))),IF($A544&lt;$Q$510,MAX(0,-Assumptions!$B$22*(F544/INDEX(Surface_Engine!$B$12:$B$72,$A544+1))),0)))*(MAX(0,J544/INDEX(Surface_Engine!$B$12:$B$72,$A544+1)-(F544/INDEX(Surface_Engine!$B$12:$B$72,$A544+1)))))</f>
        <v>2511.60689592025</v>
      </c>
      <c r="L544" s="48" t="n">
        <f aca="false">K544*INDEX(Surface_Engine!$B$12:$B$72,$A544+1)+L545</f>
        <v>3699.42562427478</v>
      </c>
      <c r="M544" s="48" t="n">
        <f aca="false">M543+B543*(IF($A543&lt;$Q$510,(Surface_Engine!B241*12)-(Surface_Engine!B241*12)*INDEX(Surface_Engine!$F$12:$F$72,$A543+1)-INDEX(Surface_Engine!$D$12:$D$72,$A543+1),-(1000*12*INDEX(Surface_Engine!$C$12:$C$72,$A543+1)/(1+Assumptions!$B$10)^10+INDEX(Surface_Engine!$D$12:$D$72,$A543+1))))*INDEX(Surface_Engine!$B$12:$B$72,$A543+1)</f>
        <v>8867.65934471681</v>
      </c>
      <c r="N544" s="12" t="n">
        <f aca="false">IF(B544&lt;=0,0,MAX(0,(K544+Assumptions!$B$29*L544/INDEX(Surface_Engine!$B$12:$B$72,$A544+1)-(M544/INDEX(Surface_Engine!$B$12:$B$72,$A544+1)-(F544/INDEX(Surface_Engine!$B$12:$B$72,$A544+1))))/B544))</f>
        <v>0</v>
      </c>
    </row>
    <row r="545" customFormat="false" ht="15" hidden="false" customHeight="true" outlineLevel="0" collapsed="false">
      <c r="A545" s="1" t="n">
        <v>33</v>
      </c>
      <c r="B545" s="32" t="n">
        <f aca="false">INDEX(Surface_Engine!$L$12:$L$72,$A545+1)*IF($A545&lt;$Q$510,INDEX(Surface_Engine!$E$12:$E$72,$A545+1),INDEX(Surface_Engine!$E$12:$E$72,$Q$510+1))</f>
        <v>0.131181211800794</v>
      </c>
      <c r="C545" s="32" t="n">
        <f aca="false">INDEX(Panel_Reserving!$D$8:$D$68,$A545+1)*IF($A545&lt;$Q$510,INDEX(Surface_Engine!$E$12:$E$72,$A545+1),INDEX(Surface_Engine!$E$12:$E$72,$Q$510+1))</f>
        <v>0.194587819230167</v>
      </c>
      <c r="D545" s="32" t="n">
        <f aca="false">INDEX(Surface_Engine!$L$12:$L$72,$A545+1)*IF($A545&lt;$Q$510,INDEX(Surface_Engine!$Y$12:$Y$72,$A545+1),INDEX(Surface_Engine!$Y$12:$Y$72,$Q$510+1))</f>
        <v>0.121600583024314</v>
      </c>
      <c r="E545" s="32" t="n">
        <f aca="false">INDEX(Surface_Engine!$L$12:$L$72,$A545+1)*IF($A545&lt;$Q$510,INDEX(Surface_Engine!$Z$12:$Z$72,$A545+1),INDEX(Surface_Engine!$Z$12:$Z$72,$Q$510+1))</f>
        <v>0.141401738977041</v>
      </c>
      <c r="F545" s="48" t="n">
        <f aca="false">B545*(IF($A545&lt;$Q$510,INDEX(Surface_Engine!$D$12:$D$72,$A545+1)+(Surface_Engine!B241*12)*INDEX(Surface_Engine!$F$12:$F$72,$A545+1)-(Surface_Engine!B241*12),1000*12*INDEX(Surface_Engine!$C$12:$C$72,$A545+1)/(1+Assumptions!$B$10)^10+INDEX(Surface_Engine!$D$12:$D$72,$A545+1)))*INDEX(Surface_Engine!$B$12:$B$72,$A545+1)+F546</f>
        <v>3876.64532251081</v>
      </c>
      <c r="G545" s="48" t="n">
        <f aca="false">C545*(IF($A545&lt;$Q$510,INDEX(Surface_Engine!$D$12:$D$72,$A545+1)+(Surface_Engine!B241*12)*INDEX(Surface_Engine!$F$12:$F$72,$A545+1)-(Surface_Engine!B241*12),1000*12*INDEX(Surface_Engine!$C$12:$C$72,$A545+1)/(1+Assumptions!$B$10)^10+INDEX(Surface_Engine!$D$12:$D$72,$A545+1)))*INDEX(Surface_Engine!$B$12:$B$72,$A545+1)+G546</f>
        <v>6818.328924184</v>
      </c>
      <c r="H545" s="48" t="n">
        <f aca="false">D545*(IF($A545&lt;$Q$510,INDEX(Surface_Engine!$D$12:$D$72,$A545+1)+(Surface_Engine!B241*12)*INDEX(Surface_Engine!$F$12:$F$72,$A545+1)-(Surface_Engine!B241*12),1000*12*INDEX(Surface_Engine!$C$12:$C$72,$A545+1)/(1+Assumptions!$B$10)^10+INDEX(Surface_Engine!$D$12:$D$72,$A545+1)))*INDEX(Surface_Engine!$B$12:$B$72,$A545+1)+H546</f>
        <v>3593.52017659087</v>
      </c>
      <c r="I545" s="48" t="n">
        <f aca="false">E545*(IF($A545&lt;$Q$510,INDEX(Surface_Engine!$D$12:$D$72,$A545+1)+(Surface_Engine!B241*12)*INDEX(Surface_Engine!$F$12:$F$72,$A545+1)-(Surface_Engine!B241*12),1000*12*INDEX(Surface_Engine!$C$12:$C$72,$A545+1)/(1+Assumptions!$B$10)^10+INDEX(Surface_Engine!$D$12:$D$72,$A545+1)))*INDEX(Surface_Engine!$B$12:$B$72,$A545+1)+I546</f>
        <v>4178.68063936366</v>
      </c>
      <c r="J545" s="48" t="n">
        <f aca="false">B545*(IF($A545&lt;$Q$510,INDEX(Surface_Engine!$D$12:$D$72,$A545+1)*(1+Assumptions!$B$24)+(Surface_Engine!B241*12)*INDEX(Surface_Engine!$F$12:$F$72,$A545+1)-(Surface_Engine!B241*12),1000*12*INDEX(Surface_Engine!$C$12:$C$72,$A545+1)/(1+Assumptions!$B$10)^10+INDEX(Surface_Engine!$D$12:$D$72,$A545+1)*(1+Assumptions!$B$24)))*INDEX(Surface_Engine!$B$12:$B$72,$A545+1)+J546</f>
        <v>3880.4561071381</v>
      </c>
      <c r="K545" s="12" t="n">
        <f aca="false">SQRT((IF(C545&lt;=0,0,MAX(0,(B545/C545)*G545/INDEX(Surface_Engine!$B$12:$B$72,$A545+1)-F545/INDEX(Surface_Engine!$B$12:$B$72,$A545+1))))^2+(MAX(IF(D545&lt;=0,0,MAX(0,(B545/D545)*H545/INDEX(Surface_Engine!$B$12:$B$72,$A545+1)-F545/INDEX(Surface_Engine!$B$12:$B$72,$A545+1))),IF(E545&lt;=0,0,MAX(0,(B545/E545)*I545/INDEX(Surface_Engine!$B$12:$B$72,$A545+1)-F545/INDEX(Surface_Engine!$B$12:$B$72,$A545+1))),IF($A545&lt;$Q$510,MAX(0,-Assumptions!$B$22*(F545/INDEX(Surface_Engine!$B$12:$B$72,$A545+1))),0)))^2+(MAX(0,J545/INDEX(Surface_Engine!$B$12:$B$72,$A545+1)-(F545/INDEX(Surface_Engine!$B$12:$B$72,$A545+1))))^2+2*Assumptions!$B$26*(IF(C545&lt;=0,0,MAX(0,(B545/C545)*G545/INDEX(Surface_Engine!$B$12:$B$72,$A545+1)-F545/INDEX(Surface_Engine!$B$12:$B$72,$A545+1))))*(MAX(IF(D545&lt;=0,0,MAX(0,(B545/D545)*H545/INDEX(Surface_Engine!$B$12:$B$72,$A545+1)-F545/INDEX(Surface_Engine!$B$12:$B$72,$A545+1))),IF(E545&lt;=0,0,MAX(0,(B545/E545)*I545/INDEX(Surface_Engine!$B$12:$B$72,$A545+1)-F545/INDEX(Surface_Engine!$B$12:$B$72,$A545+1))),IF($A545&lt;$Q$510,MAX(0,-Assumptions!$B$22*(F545/INDEX(Surface_Engine!$B$12:$B$72,$A545+1))),0)))+2*Assumptions!$B$27*(IF(C545&lt;=0,0,MAX(0,(B545/C545)*G545/INDEX(Surface_Engine!$B$12:$B$72,$A545+1)-F545/INDEX(Surface_Engine!$B$12:$B$72,$A545+1))))*(MAX(0,J545/INDEX(Surface_Engine!$B$12:$B$72,$A545+1)-(F545/INDEX(Surface_Engine!$B$12:$B$72,$A545+1))))+2*Assumptions!$B$28*(MAX(IF(D545&lt;=0,0,MAX(0,(B545/D545)*H545/INDEX(Surface_Engine!$B$12:$B$72,$A545+1)-F545/INDEX(Surface_Engine!$B$12:$B$72,$A545+1))),IF(E545&lt;=0,0,MAX(0,(B545/E545)*I545/INDEX(Surface_Engine!$B$12:$B$72,$A545+1)-F545/INDEX(Surface_Engine!$B$12:$B$72,$A545+1))),IF($A545&lt;$Q$510,MAX(0,-Assumptions!$B$22*(F545/INDEX(Surface_Engine!$B$12:$B$72,$A545+1))),0)))*(MAX(0,J545/INDEX(Surface_Engine!$B$12:$B$72,$A545+1)-(F545/INDEX(Surface_Engine!$B$12:$B$72,$A545+1)))))</f>
        <v>2031.27991242199</v>
      </c>
      <c r="L545" s="48" t="n">
        <f aca="false">K545*INDEX(Surface_Engine!$B$12:$B$72,$A545+1)+L546</f>
        <v>2779.07754950671</v>
      </c>
      <c r="M545" s="48" t="n">
        <f aca="false">M544+B544*(IF($A544&lt;$Q$510,(Surface_Engine!B241*12)-(Surface_Engine!B241*12)*INDEX(Surface_Engine!$F$12:$F$72,$A544+1)-INDEX(Surface_Engine!$D$12:$D$72,$A544+1),-(1000*12*INDEX(Surface_Engine!$C$12:$C$72,$A544+1)/(1+Assumptions!$B$10)^10+INDEX(Surface_Engine!$D$12:$D$72,$A544+1))))*INDEX(Surface_Engine!$B$12:$B$72,$A544+1)</f>
        <v>7772.08431844753</v>
      </c>
      <c r="N545" s="12" t="n">
        <f aca="false">IF(B545&lt;=0,0,MAX(0,(K545+Assumptions!$B$29*L545/INDEX(Surface_Engine!$B$12:$B$72,$A545+1)-(M545/INDEX(Surface_Engine!$B$12:$B$72,$A545+1)-(F545/INDEX(Surface_Engine!$B$12:$B$72,$A545+1))))/B545))</f>
        <v>0</v>
      </c>
    </row>
    <row r="546" customFormat="false" ht="15" hidden="false" customHeight="true" outlineLevel="0" collapsed="false">
      <c r="A546" s="1" t="n">
        <v>34</v>
      </c>
      <c r="B546" s="32" t="n">
        <f aca="false">INDEX(Surface_Engine!$L$12:$L$72,$A546+1)*IF($A546&lt;$Q$510,INDEX(Surface_Engine!$E$12:$E$72,$A546+1),INDEX(Surface_Engine!$E$12:$E$72,$Q$510+1))</f>
        <v>0.106523447288983</v>
      </c>
      <c r="C546" s="32" t="n">
        <f aca="false">INDEX(Panel_Reserving!$D$8:$D$68,$A546+1)*IF($A546&lt;$Q$510,INDEX(Surface_Engine!$E$12:$E$72,$A546+1),INDEX(Surface_Engine!$E$12:$E$72,$Q$510+1))</f>
        <v>0.165326917870417</v>
      </c>
      <c r="D546" s="32" t="n">
        <f aca="false">INDEX(Surface_Engine!$L$12:$L$72,$A546+1)*IF($A546&lt;$Q$510,INDEX(Surface_Engine!$Y$12:$Y$72,$A546+1),INDEX(Surface_Engine!$Y$12:$Y$72,$Q$510+1))</f>
        <v>0.0987436624367401</v>
      </c>
      <c r="E546" s="32" t="n">
        <f aca="false">INDEX(Surface_Engine!$L$12:$L$72,$A546+1)*IF($A546&lt;$Q$510,INDEX(Surface_Engine!$Z$12:$Z$72,$A546+1),INDEX(Surface_Engine!$Z$12:$Z$72,$Q$510+1))</f>
        <v>0.114822850633251</v>
      </c>
      <c r="F546" s="48" t="n">
        <f aca="false">B546*(IF($A546&lt;$Q$510,INDEX(Surface_Engine!$D$12:$D$72,$A546+1)+(Surface_Engine!B241*12)*INDEX(Surface_Engine!$F$12:$F$72,$A546+1)-(Surface_Engine!B241*12),1000*12*INDEX(Surface_Engine!$C$12:$C$72,$A546+1)/(1+Assumptions!$B$10)^10+INDEX(Surface_Engine!$D$12:$D$72,$A546+1)))*INDEX(Surface_Engine!$B$12:$B$72,$A546+1)+F547</f>
        <v>2987.06548194265</v>
      </c>
      <c r="G546" s="48" t="n">
        <f aca="false">C546*(IF($A546&lt;$Q$510,INDEX(Surface_Engine!$D$12:$D$72,$A546+1)+(Surface_Engine!B241*12)*INDEX(Surface_Engine!$F$12:$F$72,$A546+1)-(Surface_Engine!B241*12),1000*12*INDEX(Surface_Engine!$C$12:$C$72,$A546+1)/(1+Assumptions!$B$10)^10+INDEX(Surface_Engine!$D$12:$D$72,$A546+1)))*INDEX(Surface_Engine!$B$12:$B$72,$A546+1)+G547</f>
        <v>5498.769523634</v>
      </c>
      <c r="H546" s="48" t="n">
        <f aca="false">D546*(IF($A546&lt;$Q$510,INDEX(Surface_Engine!$D$12:$D$72,$A546+1)+(Surface_Engine!B241*12)*INDEX(Surface_Engine!$F$12:$F$72,$A546+1)-(Surface_Engine!B241*12),1000*12*INDEX(Surface_Engine!$C$12:$C$72,$A546+1)/(1+Assumptions!$B$10)^10+INDEX(Surface_Engine!$D$12:$D$72,$A546+1)))*INDEX(Surface_Engine!$B$12:$B$72,$A546+1)+H547</f>
        <v>2768.90950426355</v>
      </c>
      <c r="I546" s="48" t="n">
        <f aca="false">E546*(IF($A546&lt;$Q$510,INDEX(Surface_Engine!$D$12:$D$72,$A546+1)+(Surface_Engine!B241*12)*INDEX(Surface_Engine!$F$12:$F$72,$A546+1)-(Surface_Engine!B241*12),1000*12*INDEX(Surface_Engine!$C$12:$C$72,$A546+1)/(1+Assumptions!$B$10)^10+INDEX(Surface_Engine!$D$12:$D$72,$A546+1)))*INDEX(Surface_Engine!$B$12:$B$72,$A546+1)+I547</f>
        <v>3219.79228417547</v>
      </c>
      <c r="J546" s="48" t="n">
        <f aca="false">B546*(IF($A546&lt;$Q$510,INDEX(Surface_Engine!$D$12:$D$72,$A546+1)*(1+Assumptions!$B$24)+(Surface_Engine!B241*12)*INDEX(Surface_Engine!$F$12:$F$72,$A546+1)-(Surface_Engine!B241*12),1000*12*INDEX(Surface_Engine!$C$12:$C$72,$A546+1)/(1+Assumptions!$B$10)^10+INDEX(Surface_Engine!$D$12:$D$72,$A546+1)*(1+Assumptions!$B$24)))*INDEX(Surface_Engine!$B$12:$B$72,$A546+1)+J547</f>
        <v>2990.01394207019</v>
      </c>
      <c r="K546" s="12" t="n">
        <f aca="false">SQRT((IF(C546&lt;=0,0,MAX(0,(B546/C546)*G546/INDEX(Surface_Engine!$B$12:$B$72,$A546+1)-F546/INDEX(Surface_Engine!$B$12:$B$72,$A546+1))))^2+(MAX(IF(D546&lt;=0,0,MAX(0,(B546/D546)*H546/INDEX(Surface_Engine!$B$12:$B$72,$A546+1)-F546/INDEX(Surface_Engine!$B$12:$B$72,$A546+1))),IF(E546&lt;=0,0,MAX(0,(B546/E546)*I546/INDEX(Surface_Engine!$B$12:$B$72,$A546+1)-F546/INDEX(Surface_Engine!$B$12:$B$72,$A546+1))),IF($A546&lt;$Q$510,MAX(0,-Assumptions!$B$22*(F546/INDEX(Surface_Engine!$B$12:$B$72,$A546+1))),0)))^2+(MAX(0,J546/INDEX(Surface_Engine!$B$12:$B$72,$A546+1)-(F546/INDEX(Surface_Engine!$B$12:$B$72,$A546+1))))^2+2*Assumptions!$B$26*(IF(C546&lt;=0,0,MAX(0,(B546/C546)*G546/INDEX(Surface_Engine!$B$12:$B$72,$A546+1)-F546/INDEX(Surface_Engine!$B$12:$B$72,$A546+1))))*(MAX(IF(D546&lt;=0,0,MAX(0,(B546/D546)*H546/INDEX(Surface_Engine!$B$12:$B$72,$A546+1)-F546/INDEX(Surface_Engine!$B$12:$B$72,$A546+1))),IF(E546&lt;=0,0,MAX(0,(B546/E546)*I546/INDEX(Surface_Engine!$B$12:$B$72,$A546+1)-F546/INDEX(Surface_Engine!$B$12:$B$72,$A546+1))),IF($A546&lt;$Q$510,MAX(0,-Assumptions!$B$22*(F546/INDEX(Surface_Engine!$B$12:$B$72,$A546+1))),0)))+2*Assumptions!$B$27*(IF(C546&lt;=0,0,MAX(0,(B546/C546)*G546/INDEX(Surface_Engine!$B$12:$B$72,$A546+1)-F546/INDEX(Surface_Engine!$B$12:$B$72,$A546+1))))*(MAX(0,J546/INDEX(Surface_Engine!$B$12:$B$72,$A546+1)-(F546/INDEX(Surface_Engine!$B$12:$B$72,$A546+1))))+2*Assumptions!$B$28*(MAX(IF(D546&lt;=0,0,MAX(0,(B546/D546)*H546/INDEX(Surface_Engine!$B$12:$B$72,$A546+1)-F546/INDEX(Surface_Engine!$B$12:$B$72,$A546+1))),IF(E546&lt;=0,0,MAX(0,(B546/E546)*I546/INDEX(Surface_Engine!$B$12:$B$72,$A546+1)-F546/INDEX(Surface_Engine!$B$12:$B$72,$A546+1))),IF($A546&lt;$Q$510,MAX(0,-Assumptions!$B$22*(F546/INDEX(Surface_Engine!$B$12:$B$72,$A546+1))),0)))*(MAX(0,J546/INDEX(Surface_Engine!$B$12:$B$72,$A546+1)-(F546/INDEX(Surface_Engine!$B$12:$B$72,$A546+1)))))</f>
        <v>1619.57592025054</v>
      </c>
      <c r="L546" s="48" t="n">
        <f aca="false">K546*INDEX(Surface_Engine!$B$12:$B$72,$A546+1)+L547</f>
        <v>2058.19012401996</v>
      </c>
      <c r="M546" s="48" t="n">
        <f aca="false">M545+B545*(IF($A545&lt;$Q$510,(Surface_Engine!B241*12)-(Surface_Engine!B241*12)*INDEX(Surface_Engine!$F$12:$F$72,$A545+1)-INDEX(Surface_Engine!$D$12:$D$72,$A545+1),-(1000*12*INDEX(Surface_Engine!$C$12:$C$72,$A545+1)/(1+Assumptions!$B$10)^10+INDEX(Surface_Engine!$D$12:$D$72,$A545+1))))*INDEX(Surface_Engine!$B$12:$B$72,$A545+1)</f>
        <v>6882.50447787937</v>
      </c>
      <c r="N546" s="12" t="n">
        <f aca="false">IF(B546&lt;=0,0,MAX(0,(K546+Assumptions!$B$29*L546/INDEX(Surface_Engine!$B$12:$B$72,$A546+1)-(M546/INDEX(Surface_Engine!$B$12:$B$72,$A546+1)-(F546/INDEX(Surface_Engine!$B$12:$B$72,$A546+1))))/B546))</f>
        <v>0</v>
      </c>
    </row>
    <row r="547" customFormat="false" ht="15" hidden="false" customHeight="true" outlineLevel="0" collapsed="false">
      <c r="A547" s="1" t="n">
        <v>35</v>
      </c>
      <c r="B547" s="32" t="n">
        <f aca="false">INDEX(Surface_Engine!$L$12:$L$72,$A547+1)*IF($A547&lt;$Q$510,INDEX(Surface_Engine!$E$12:$E$72,$A547+1),INDEX(Surface_Engine!$E$12:$E$72,$Q$510+1))</f>
        <v>0.085424339130658</v>
      </c>
      <c r="C547" s="32" t="n">
        <f aca="false">INDEX(Panel_Reserving!$D$8:$D$68,$A547+1)*IF($A547&lt;$Q$510,INDEX(Surface_Engine!$E$12:$E$72,$A547+1),INDEX(Surface_Engine!$E$12:$E$72,$Q$510+1))</f>
        <v>0.139129864655139</v>
      </c>
      <c r="D547" s="32" t="n">
        <f aca="false">INDEX(Surface_Engine!$L$12:$L$72,$A547+1)*IF($A547&lt;$Q$510,INDEX(Surface_Engine!$Y$12:$Y$72,$A547+1),INDEX(Surface_Engine!$Y$12:$Y$72,$Q$510+1))</f>
        <v>0.0791854969180262</v>
      </c>
      <c r="E547" s="32" t="n">
        <f aca="false">INDEX(Surface_Engine!$L$12:$L$72,$A547+1)*IF($A547&lt;$Q$510,INDEX(Surface_Engine!$Z$12:$Z$72,$A547+1),INDEX(Surface_Engine!$Z$12:$Z$72,$Q$510+1))</f>
        <v>0.0920798789569227</v>
      </c>
      <c r="F547" s="48" t="n">
        <f aca="false">B547*(IF($A547&lt;$Q$510,INDEX(Surface_Engine!$D$12:$D$72,$A547+1)+(Surface_Engine!B241*12)*INDEX(Surface_Engine!$F$12:$F$72,$A547+1)-(Surface_Engine!B241*12),1000*12*INDEX(Surface_Engine!$C$12:$C$72,$A547+1)/(1+Assumptions!$B$10)^10+INDEX(Surface_Engine!$D$12:$D$72,$A547+1)))*INDEX(Surface_Engine!$B$12:$B$72,$A547+1)+F548</f>
        <v>2273.45746563219</v>
      </c>
      <c r="G547" s="48" t="n">
        <f aca="false">C547*(IF($A547&lt;$Q$510,INDEX(Surface_Engine!$D$12:$D$72,$A547+1)+(Surface_Engine!B241*12)*INDEX(Surface_Engine!$F$12:$F$72,$A547+1)-(Surface_Engine!B241*12),1000*12*INDEX(Surface_Engine!$C$12:$C$72,$A547+1)/(1+Assumptions!$B$10)^10+INDEX(Surface_Engine!$D$12:$D$72,$A547+1)))*INDEX(Surface_Engine!$B$12:$B$72,$A547+1)+G548</f>
        <v>4391.2329492292</v>
      </c>
      <c r="H547" s="48" t="n">
        <f aca="false">D547*(IF($A547&lt;$Q$510,INDEX(Surface_Engine!$D$12:$D$72,$A547+1)+(Surface_Engine!B241*12)*INDEX(Surface_Engine!$F$12:$F$72,$A547+1)-(Surface_Engine!B241*12),1000*12*INDEX(Surface_Engine!$C$12:$C$72,$A547+1)/(1+Assumptions!$B$10)^10+INDEX(Surface_Engine!$D$12:$D$72,$A547+1)))*INDEX(Surface_Engine!$B$12:$B$72,$A547+1)+H548</f>
        <v>2107.41881026121</v>
      </c>
      <c r="I547" s="48" t="n">
        <f aca="false">E547*(IF($A547&lt;$Q$510,INDEX(Surface_Engine!$D$12:$D$72,$A547+1)+(Surface_Engine!B241*12)*INDEX(Surface_Engine!$F$12:$F$72,$A547+1)-(Surface_Engine!B241*12),1000*12*INDEX(Surface_Engine!$C$12:$C$72,$A547+1)/(1+Assumptions!$B$10)^10+INDEX(Surface_Engine!$D$12:$D$72,$A547+1)))*INDEX(Surface_Engine!$B$12:$B$72,$A547+1)+I548</f>
        <v>2450.58598497245</v>
      </c>
      <c r="J547" s="48" t="n">
        <f aca="false">B547*(IF($A547&lt;$Q$510,INDEX(Surface_Engine!$D$12:$D$72,$A547+1)*(1+Assumptions!$B$24)+(Surface_Engine!B241*12)*INDEX(Surface_Engine!$F$12:$F$72,$A547+1)-(Surface_Engine!B241*12),1000*12*INDEX(Surface_Engine!$C$12:$C$72,$A547+1)/(1+Assumptions!$B$10)^10+INDEX(Surface_Engine!$D$12:$D$72,$A547+1)*(1+Assumptions!$B$24)))*INDEX(Surface_Engine!$B$12:$B$72,$A547+1)+J548</f>
        <v>2275.71082370845</v>
      </c>
      <c r="K547" s="12" t="n">
        <f aca="false">SQRT((IF(C547&lt;=0,0,MAX(0,(B547/C547)*G547/INDEX(Surface_Engine!$B$12:$B$72,$A547+1)-F547/INDEX(Surface_Engine!$B$12:$B$72,$A547+1))))^2+(MAX(IF(D547&lt;=0,0,MAX(0,(B547/D547)*H547/INDEX(Surface_Engine!$B$12:$B$72,$A547+1)-F547/INDEX(Surface_Engine!$B$12:$B$72,$A547+1))),IF(E547&lt;=0,0,MAX(0,(B547/E547)*I547/INDEX(Surface_Engine!$B$12:$B$72,$A547+1)-F547/INDEX(Surface_Engine!$B$12:$B$72,$A547+1))),IF($A547&lt;$Q$510,MAX(0,-Assumptions!$B$22*(F547/INDEX(Surface_Engine!$B$12:$B$72,$A547+1))),0)))^2+(MAX(0,J547/INDEX(Surface_Engine!$B$12:$B$72,$A547+1)-(F547/INDEX(Surface_Engine!$B$12:$B$72,$A547+1))))^2+2*Assumptions!$B$26*(IF(C547&lt;=0,0,MAX(0,(B547/C547)*G547/INDEX(Surface_Engine!$B$12:$B$72,$A547+1)-F547/INDEX(Surface_Engine!$B$12:$B$72,$A547+1))))*(MAX(IF(D547&lt;=0,0,MAX(0,(B547/D547)*H547/INDEX(Surface_Engine!$B$12:$B$72,$A547+1)-F547/INDEX(Surface_Engine!$B$12:$B$72,$A547+1))),IF(E547&lt;=0,0,MAX(0,(B547/E547)*I547/INDEX(Surface_Engine!$B$12:$B$72,$A547+1)-F547/INDEX(Surface_Engine!$B$12:$B$72,$A547+1))),IF($A547&lt;$Q$510,MAX(0,-Assumptions!$B$22*(F547/INDEX(Surface_Engine!$B$12:$B$72,$A547+1))),0)))+2*Assumptions!$B$27*(IF(C547&lt;=0,0,MAX(0,(B547/C547)*G547/INDEX(Surface_Engine!$B$12:$B$72,$A547+1)-F547/INDEX(Surface_Engine!$B$12:$B$72,$A547+1))))*(MAX(0,J547/INDEX(Surface_Engine!$B$12:$B$72,$A547+1)-(F547/INDEX(Surface_Engine!$B$12:$B$72,$A547+1))))+2*Assumptions!$B$28*(MAX(IF(D547&lt;=0,0,MAX(0,(B547/D547)*H547/INDEX(Surface_Engine!$B$12:$B$72,$A547+1)-F547/INDEX(Surface_Engine!$B$12:$B$72,$A547+1))),IF(E547&lt;=0,0,MAX(0,(B547/E547)*I547/INDEX(Surface_Engine!$B$12:$B$72,$A547+1)-F547/INDEX(Surface_Engine!$B$12:$B$72,$A547+1))),IF($A547&lt;$Q$510,MAX(0,-Assumptions!$B$22*(F547/INDEX(Surface_Engine!$B$12:$B$72,$A547+1))),0)))*(MAX(0,J547/INDEX(Surface_Engine!$B$12:$B$72,$A547+1)-(F547/INDEX(Surface_Engine!$B$12:$B$72,$A547+1)))))</f>
        <v>1271.71740802748</v>
      </c>
      <c r="L547" s="48" t="n">
        <f aca="false">K547*INDEX(Surface_Engine!$B$12:$B$72,$A547+1)+L548</f>
        <v>1501.54373904936</v>
      </c>
      <c r="M547" s="48" t="n">
        <f aca="false">M546+B546*(IF($A546&lt;$Q$510,(Surface_Engine!B241*12)-(Surface_Engine!B241*12)*INDEX(Surface_Engine!$F$12:$F$72,$A546+1)-INDEX(Surface_Engine!$D$12:$D$72,$A546+1),-(1000*12*INDEX(Surface_Engine!$C$12:$C$72,$A546+1)/(1+Assumptions!$B$10)^10+INDEX(Surface_Engine!$D$12:$D$72,$A546+1))))*INDEX(Surface_Engine!$B$12:$B$72,$A546+1)</f>
        <v>6168.8964615689</v>
      </c>
      <c r="N547" s="12" t="n">
        <f aca="false">IF(B547&lt;=0,0,MAX(0,(K547+Assumptions!$B$29*L547/INDEX(Surface_Engine!$B$12:$B$72,$A547+1)-(M547/INDEX(Surface_Engine!$B$12:$B$72,$A547+1)-(F547/INDEX(Surface_Engine!$B$12:$B$72,$A547+1))))/B547))</f>
        <v>0</v>
      </c>
    </row>
    <row r="548" customFormat="false" ht="15" hidden="false" customHeight="true" outlineLevel="0" collapsed="false">
      <c r="A548" s="1" t="n">
        <v>36</v>
      </c>
      <c r="B548" s="32" t="n">
        <f aca="false">INDEX(Surface_Engine!$L$12:$L$72,$A548+1)*IF($A548&lt;$Q$510,INDEX(Surface_Engine!$E$12:$E$72,$A548+1),INDEX(Surface_Engine!$E$12:$E$72,$Q$510+1))</f>
        <v>0.0675981163411781</v>
      </c>
      <c r="C548" s="32" t="n">
        <f aca="false">INDEX(Panel_Reserving!$D$8:$D$68,$A548+1)*IF($A548&lt;$Q$510,INDEX(Surface_Engine!$E$12:$E$72,$A548+1),INDEX(Surface_Engine!$E$12:$E$72,$Q$510+1))</f>
        <v>0.115903135699409</v>
      </c>
      <c r="D548" s="32" t="n">
        <f aca="false">INDEX(Surface_Engine!$L$12:$L$72,$A548+1)*IF($A548&lt;$Q$510,INDEX(Surface_Engine!$Y$12:$Y$72,$A548+1),INDEX(Surface_Engine!$Y$12:$Y$72,$Q$510+1))</f>
        <v>0.0626611863512523</v>
      </c>
      <c r="E548" s="32" t="n">
        <f aca="false">INDEX(Surface_Engine!$L$12:$L$72,$A548+1)*IF($A548&lt;$Q$510,INDEX(Surface_Engine!$Z$12:$Z$72,$A548+1),INDEX(Surface_Engine!$Z$12:$Z$72,$Q$510+1))</f>
        <v>0.0728647881125693</v>
      </c>
      <c r="F548" s="48" t="n">
        <f aca="false">B548*(IF($A548&lt;$Q$510,INDEX(Surface_Engine!$D$12:$D$72,$A548+1)+(Surface_Engine!B241*12)*INDEX(Surface_Engine!$F$12:$F$72,$A548+1)-(Surface_Engine!B241*12),1000*12*INDEX(Surface_Engine!$C$12:$C$72,$A548+1)/(1+Assumptions!$B$10)^10+INDEX(Surface_Engine!$D$12:$D$72,$A548+1)))*INDEX(Surface_Engine!$B$12:$B$72,$A548+1)+F549</f>
        <v>1708.15533838595</v>
      </c>
      <c r="G548" s="48" t="n">
        <f aca="false">C548*(IF($A548&lt;$Q$510,INDEX(Surface_Engine!$D$12:$D$72,$A548+1)+(Surface_Engine!B241*12)*INDEX(Surface_Engine!$F$12:$F$72,$A548+1)-(Surface_Engine!B241*12),1000*12*INDEX(Surface_Engine!$C$12:$C$72,$A548+1)/(1+Assumptions!$B$10)^10+INDEX(Surface_Engine!$D$12:$D$72,$A548+1)))*INDEX(Surface_Engine!$B$12:$B$72,$A548+1)+G549</f>
        <v>3470.53038069384</v>
      </c>
      <c r="H548" s="48" t="n">
        <f aca="false">D548*(IF($A548&lt;$Q$510,INDEX(Surface_Engine!$D$12:$D$72,$A548+1)+(Surface_Engine!B241*12)*INDEX(Surface_Engine!$F$12:$F$72,$A548+1)-(Surface_Engine!B241*12),1000*12*INDEX(Surface_Engine!$C$12:$C$72,$A548+1)/(1+Assumptions!$B$10)^10+INDEX(Surface_Engine!$D$12:$D$72,$A548+1)))*INDEX(Surface_Engine!$B$12:$B$72,$A548+1)+H549</f>
        <v>1583.40270067979</v>
      </c>
      <c r="I548" s="48" t="n">
        <f aca="false">E548*(IF($A548&lt;$Q$510,INDEX(Surface_Engine!$D$12:$D$72,$A548+1)+(Surface_Engine!B241*12)*INDEX(Surface_Engine!$F$12:$F$72,$A548+1)-(Surface_Engine!B241*12),1000*12*INDEX(Surface_Engine!$C$12:$C$72,$A548+1)/(1+Assumptions!$B$10)^10+INDEX(Surface_Engine!$D$12:$D$72,$A548+1)))*INDEX(Surface_Engine!$B$12:$B$72,$A548+1)+I549</f>
        <v>1841.24031158879</v>
      </c>
      <c r="J548" s="48" t="n">
        <f aca="false">B548*(IF($A548&lt;$Q$510,INDEX(Surface_Engine!$D$12:$D$72,$A548+1)*(1+Assumptions!$B$24)+(Surface_Engine!B241*12)*INDEX(Surface_Engine!$F$12:$F$72,$A548+1)-(Surface_Engine!B241*12),1000*12*INDEX(Surface_Engine!$C$12:$C$72,$A548+1)/(1+Assumptions!$B$10)^10+INDEX(Surface_Engine!$D$12:$D$72,$A548+1)*(1+Assumptions!$B$24)))*INDEX(Surface_Engine!$B$12:$B$72,$A548+1)+J549</f>
        <v>1709.85538148351</v>
      </c>
      <c r="K548" s="12" t="n">
        <f aca="false">SQRT((IF(C548&lt;=0,0,MAX(0,(B548/C548)*G548/INDEX(Surface_Engine!$B$12:$B$72,$A548+1)-F548/INDEX(Surface_Engine!$B$12:$B$72,$A548+1))))^2+(MAX(IF(D548&lt;=0,0,MAX(0,(B548/D548)*H548/INDEX(Surface_Engine!$B$12:$B$72,$A548+1)-F548/INDEX(Surface_Engine!$B$12:$B$72,$A548+1))),IF(E548&lt;=0,0,MAX(0,(B548/E548)*I548/INDEX(Surface_Engine!$B$12:$B$72,$A548+1)-F548/INDEX(Surface_Engine!$B$12:$B$72,$A548+1))),IF($A548&lt;$Q$510,MAX(0,-Assumptions!$B$22*(F548/INDEX(Surface_Engine!$B$12:$B$72,$A548+1))),0)))^2+(MAX(0,J548/INDEX(Surface_Engine!$B$12:$B$72,$A548+1)-(F548/INDEX(Surface_Engine!$B$12:$B$72,$A548+1))))^2+2*Assumptions!$B$26*(IF(C548&lt;=0,0,MAX(0,(B548/C548)*G548/INDEX(Surface_Engine!$B$12:$B$72,$A548+1)-F548/INDEX(Surface_Engine!$B$12:$B$72,$A548+1))))*(MAX(IF(D548&lt;=0,0,MAX(0,(B548/D548)*H548/INDEX(Surface_Engine!$B$12:$B$72,$A548+1)-F548/INDEX(Surface_Engine!$B$12:$B$72,$A548+1))),IF(E548&lt;=0,0,MAX(0,(B548/E548)*I548/INDEX(Surface_Engine!$B$12:$B$72,$A548+1)-F548/INDEX(Surface_Engine!$B$12:$B$72,$A548+1))),IF($A548&lt;$Q$510,MAX(0,-Assumptions!$B$22*(F548/INDEX(Surface_Engine!$B$12:$B$72,$A548+1))),0)))+2*Assumptions!$B$27*(IF(C548&lt;=0,0,MAX(0,(B548/C548)*G548/INDEX(Surface_Engine!$B$12:$B$72,$A548+1)-F548/INDEX(Surface_Engine!$B$12:$B$72,$A548+1))))*(MAX(0,J548/INDEX(Surface_Engine!$B$12:$B$72,$A548+1)-(F548/INDEX(Surface_Engine!$B$12:$B$72,$A548+1))))+2*Assumptions!$B$28*(MAX(IF(D548&lt;=0,0,MAX(0,(B548/D548)*H548/INDEX(Surface_Engine!$B$12:$B$72,$A548+1)-F548/INDEX(Surface_Engine!$B$12:$B$72,$A548+1))),IF(E548&lt;=0,0,MAX(0,(B548/E548)*I548/INDEX(Surface_Engine!$B$12:$B$72,$A548+1)-F548/INDEX(Surface_Engine!$B$12:$B$72,$A548+1))),IF($A548&lt;$Q$510,MAX(0,-Assumptions!$B$22*(F548/INDEX(Surface_Engine!$B$12:$B$72,$A548+1))),0)))*(MAX(0,J548/INDEX(Surface_Engine!$B$12:$B$72,$A548+1)-(F548/INDEX(Surface_Engine!$B$12:$B$72,$A548+1)))))</f>
        <v>981.255006143771</v>
      </c>
      <c r="L548" s="48" t="n">
        <f aca="false">K548*INDEX(Surface_Engine!$B$12:$B$72,$A548+1)+L549</f>
        <v>1078.25932778429</v>
      </c>
      <c r="M548" s="48" t="n">
        <f aca="false">M547+B547*(IF($A547&lt;$Q$510,(Surface_Engine!B241*12)-(Surface_Engine!B241*12)*INDEX(Surface_Engine!$F$12:$F$72,$A547+1)-INDEX(Surface_Engine!$D$12:$D$72,$A547+1),-(1000*12*INDEX(Surface_Engine!$C$12:$C$72,$A547+1)/(1+Assumptions!$B$10)^10+INDEX(Surface_Engine!$D$12:$D$72,$A547+1))))*INDEX(Surface_Engine!$B$12:$B$72,$A547+1)</f>
        <v>5603.59433432266</v>
      </c>
      <c r="N548" s="12" t="n">
        <f aca="false">IF(B548&lt;=0,0,MAX(0,(K548+Assumptions!$B$29*L548/INDEX(Surface_Engine!$B$12:$B$72,$A548+1)-(M548/INDEX(Surface_Engine!$B$12:$B$72,$A548+1)-(F548/INDEX(Surface_Engine!$B$12:$B$72,$A548+1))))/B548))</f>
        <v>0</v>
      </c>
    </row>
    <row r="549" customFormat="false" ht="15" hidden="false" customHeight="true" outlineLevel="0" collapsed="false">
      <c r="A549" s="1" t="n">
        <v>37</v>
      </c>
      <c r="B549" s="32" t="n">
        <f aca="false">INDEX(Surface_Engine!$L$12:$L$72,$A549+1)*IF($A549&lt;$Q$510,INDEX(Surface_Engine!$E$12:$E$72,$A549+1),INDEX(Surface_Engine!$E$12:$E$72,$Q$510+1))</f>
        <v>0.0527181227797118</v>
      </c>
      <c r="C549" s="32" t="n">
        <f aca="false">INDEX(Panel_Reserving!$D$8:$D$68,$A549+1)*IF($A549&lt;$Q$510,INDEX(Surface_Engine!$E$12:$E$72,$A549+1),INDEX(Surface_Engine!$E$12:$E$72,$Q$510+1))</f>
        <v>0.0954926508361155</v>
      </c>
      <c r="D549" s="32" t="n">
        <f aca="false">INDEX(Surface_Engine!$L$12:$L$72,$A549+1)*IF($A549&lt;$Q$510,INDEX(Surface_Engine!$Y$12:$Y$72,$A549+1),INDEX(Surface_Engine!$Y$12:$Y$72,$Q$510+1))</f>
        <v>0.0488679314511524</v>
      </c>
      <c r="E549" s="32" t="n">
        <f aca="false">INDEX(Surface_Engine!$L$12:$L$72,$A549+1)*IF($A549&lt;$Q$510,INDEX(Surface_Engine!$Z$12:$Z$72,$A549+1),INDEX(Surface_Engine!$Z$12:$Z$72,$Q$510+1))</f>
        <v>0.0568254716839816</v>
      </c>
      <c r="F549" s="48" t="n">
        <f aca="false">B549*(IF($A549&lt;$Q$510,INDEX(Surface_Engine!$D$12:$D$72,$A549+1)+(Surface_Engine!B241*12)*INDEX(Surface_Engine!$F$12:$F$72,$A549+1)-(Surface_Engine!B241*12),1000*12*INDEX(Surface_Engine!$C$12:$C$72,$A549+1)/(1+Assumptions!$B$10)^10+INDEX(Surface_Engine!$D$12:$D$72,$A549+1)))*INDEX(Surface_Engine!$B$12:$B$72,$A549+1)+F550</f>
        <v>1266.12421491312</v>
      </c>
      <c r="G549" s="48" t="n">
        <f aca="false">C549*(IF($A549&lt;$Q$510,INDEX(Surface_Engine!$D$12:$D$72,$A549+1)+(Surface_Engine!B241*12)*INDEX(Surface_Engine!$F$12:$F$72,$A549+1)-(Surface_Engine!B241*12),1000*12*INDEX(Surface_Engine!$C$12:$C$72,$A549+1)/(1+Assumptions!$B$10)^10+INDEX(Surface_Engine!$D$12:$D$72,$A549+1)))*INDEX(Surface_Engine!$B$12:$B$72,$A549+1)+G550</f>
        <v>2712.62770440249</v>
      </c>
      <c r="H549" s="48" t="n">
        <f aca="false">D549*(IF($A549&lt;$Q$510,INDEX(Surface_Engine!$D$12:$D$72,$A549+1)+(Surface_Engine!B241*12)*INDEX(Surface_Engine!$F$12:$F$72,$A549+1)-(Surface_Engine!B241*12),1000*12*INDEX(Surface_Engine!$C$12:$C$72,$A549+1)/(1+Assumptions!$B$10)^10+INDEX(Surface_Engine!$D$12:$D$72,$A549+1)))*INDEX(Surface_Engine!$B$12:$B$72,$A549+1)+H550</f>
        <v>1173.65467661967</v>
      </c>
      <c r="I549" s="48" t="n">
        <f aca="false">E549*(IF($A549&lt;$Q$510,INDEX(Surface_Engine!$D$12:$D$72,$A549+1)+(Surface_Engine!B241*12)*INDEX(Surface_Engine!$F$12:$F$72,$A549+1)-(Surface_Engine!B241*12),1000*12*INDEX(Surface_Engine!$C$12:$C$72,$A549+1)/(1+Assumptions!$B$10)^10+INDEX(Surface_Engine!$D$12:$D$72,$A549+1)))*INDEX(Surface_Engine!$B$12:$B$72,$A549+1)+I550</f>
        <v>1364.76987284983</v>
      </c>
      <c r="J549" s="48" t="n">
        <f aca="false">B549*(IF($A549&lt;$Q$510,INDEX(Surface_Engine!$D$12:$D$72,$A549+1)*(1+Assumptions!$B$24)+(Surface_Engine!B241*12)*INDEX(Surface_Engine!$F$12:$F$72,$A549+1)-(Surface_Engine!B241*12),1000*12*INDEX(Surface_Engine!$C$12:$C$72,$A549+1)/(1+Assumptions!$B$10)^10+INDEX(Surface_Engine!$D$12:$D$72,$A549+1)*(1+Assumptions!$B$24)))*INDEX(Surface_Engine!$B$12:$B$72,$A549+1)+J550</f>
        <v>1267.38950007985</v>
      </c>
      <c r="K549" s="12" t="n">
        <f aca="false">SQRT((IF(C549&lt;=0,0,MAX(0,(B549/C549)*G549/INDEX(Surface_Engine!$B$12:$B$72,$A549+1)-F549/INDEX(Surface_Engine!$B$12:$B$72,$A549+1))))^2+(MAX(IF(D549&lt;=0,0,MAX(0,(B549/D549)*H549/INDEX(Surface_Engine!$B$12:$B$72,$A549+1)-F549/INDEX(Surface_Engine!$B$12:$B$72,$A549+1))),IF(E549&lt;=0,0,MAX(0,(B549/E549)*I549/INDEX(Surface_Engine!$B$12:$B$72,$A549+1)-F549/INDEX(Surface_Engine!$B$12:$B$72,$A549+1))),IF($A549&lt;$Q$510,MAX(0,-Assumptions!$B$22*(F549/INDEX(Surface_Engine!$B$12:$B$72,$A549+1))),0)))^2+(MAX(0,J549/INDEX(Surface_Engine!$B$12:$B$72,$A549+1)-(F549/INDEX(Surface_Engine!$B$12:$B$72,$A549+1))))^2+2*Assumptions!$B$26*(IF(C549&lt;=0,0,MAX(0,(B549/C549)*G549/INDEX(Surface_Engine!$B$12:$B$72,$A549+1)-F549/INDEX(Surface_Engine!$B$12:$B$72,$A549+1))))*(MAX(IF(D549&lt;=0,0,MAX(0,(B549/D549)*H549/INDEX(Surface_Engine!$B$12:$B$72,$A549+1)-F549/INDEX(Surface_Engine!$B$12:$B$72,$A549+1))),IF(E549&lt;=0,0,MAX(0,(B549/E549)*I549/INDEX(Surface_Engine!$B$12:$B$72,$A549+1)-F549/INDEX(Surface_Engine!$B$12:$B$72,$A549+1))),IF($A549&lt;$Q$510,MAX(0,-Assumptions!$B$22*(F549/INDEX(Surface_Engine!$B$12:$B$72,$A549+1))),0)))+2*Assumptions!$B$27*(IF(C549&lt;=0,0,MAX(0,(B549/C549)*G549/INDEX(Surface_Engine!$B$12:$B$72,$A549+1)-F549/INDEX(Surface_Engine!$B$12:$B$72,$A549+1))))*(MAX(0,J549/INDEX(Surface_Engine!$B$12:$B$72,$A549+1)-(F549/INDEX(Surface_Engine!$B$12:$B$72,$A549+1))))+2*Assumptions!$B$28*(MAX(IF(D549&lt;=0,0,MAX(0,(B549/D549)*H549/INDEX(Surface_Engine!$B$12:$B$72,$A549+1)-F549/INDEX(Surface_Engine!$B$12:$B$72,$A549+1))),IF(E549&lt;=0,0,MAX(0,(B549/E549)*I549/INDEX(Surface_Engine!$B$12:$B$72,$A549+1)-F549/INDEX(Surface_Engine!$B$12:$B$72,$A549+1))),IF($A549&lt;$Q$510,MAX(0,-Assumptions!$B$22*(F549/INDEX(Surface_Engine!$B$12:$B$72,$A549+1))),0)))*(MAX(0,J549/INDEX(Surface_Engine!$B$12:$B$72,$A549+1)-(F549/INDEX(Surface_Engine!$B$12:$B$72,$A549+1)))))</f>
        <v>742.214689663236</v>
      </c>
      <c r="L549" s="48" t="n">
        <f aca="false">K549*INDEX(Surface_Engine!$B$12:$B$72,$A549+1)+L550</f>
        <v>761.870020355159</v>
      </c>
      <c r="M549" s="48" t="n">
        <f aca="false">M548+B548*(IF($A548&lt;$Q$510,(Surface_Engine!B241*12)-(Surface_Engine!B241*12)*INDEX(Surface_Engine!$F$12:$F$72,$A548+1)-INDEX(Surface_Engine!$D$12:$D$72,$A548+1),-(1000*12*INDEX(Surface_Engine!$C$12:$C$72,$A548+1)/(1+Assumptions!$B$10)^10+INDEX(Surface_Engine!$D$12:$D$72,$A548+1))))*INDEX(Surface_Engine!$B$12:$B$72,$A548+1)</f>
        <v>5161.56321084984</v>
      </c>
      <c r="N549" s="12" t="n">
        <f aca="false">IF(B549&lt;=0,0,MAX(0,(K549+Assumptions!$B$29*L549/INDEX(Surface_Engine!$B$12:$B$72,$A549+1)-(M549/INDEX(Surface_Engine!$B$12:$B$72,$A549+1)-(F549/INDEX(Surface_Engine!$B$12:$B$72,$A549+1))))/B549))</f>
        <v>0</v>
      </c>
    </row>
    <row r="550" customFormat="false" ht="15" hidden="false" customHeight="true" outlineLevel="0" collapsed="false">
      <c r="A550" s="1" t="n">
        <v>38</v>
      </c>
      <c r="B550" s="32" t="n">
        <f aca="false">INDEX(Surface_Engine!$L$12:$L$72,$A550+1)*IF($A550&lt;$Q$510,INDEX(Surface_Engine!$E$12:$E$72,$A550+1),INDEX(Surface_Engine!$E$12:$E$72,$Q$510+1))</f>
        <v>0.0404435432181884</v>
      </c>
      <c r="C550" s="32" t="n">
        <f aca="false">INDEX(Panel_Reserving!$D$8:$D$68,$A550+1)*IF($A550&lt;$Q$510,INDEX(Surface_Engine!$E$12:$E$72,$A550+1),INDEX(Surface_Engine!$E$12:$E$72,$Q$510+1))</f>
        <v>0.0777054903163594</v>
      </c>
      <c r="D550" s="32" t="n">
        <f aca="false">INDEX(Surface_Engine!$L$12:$L$72,$A550+1)*IF($A550&lt;$Q$510,INDEX(Surface_Engine!$Y$12:$Y$72,$A550+1),INDEX(Surface_Engine!$Y$12:$Y$72,$Q$510+1))</f>
        <v>0.0374898079335395</v>
      </c>
      <c r="E550" s="32" t="n">
        <f aca="false">INDEX(Surface_Engine!$L$12:$L$72,$A550+1)*IF($A550&lt;$Q$510,INDEX(Surface_Engine!$Z$12:$Z$72,$A550+1),INDEX(Surface_Engine!$Z$12:$Z$72,$Q$510+1))</f>
        <v>0.0435945610117496</v>
      </c>
      <c r="F550" s="48" t="n">
        <f aca="false">B550*(IF($A550&lt;$Q$510,INDEX(Surface_Engine!$D$12:$D$72,$A550+1)+(Surface_Engine!B241*12)*INDEX(Surface_Engine!$F$12:$F$72,$A550+1)-(Surface_Engine!B241*12),1000*12*INDEX(Surface_Engine!$C$12:$C$72,$A550+1)/(1+Assumptions!$B$10)^10+INDEX(Surface_Engine!$D$12:$D$72,$A550+1)))*INDEX(Surface_Engine!$B$12:$B$72,$A550+1)+F551</f>
        <v>925.611426260051</v>
      </c>
      <c r="G550" s="48" t="n">
        <f aca="false">C550*(IF($A550&lt;$Q$510,INDEX(Surface_Engine!$D$12:$D$72,$A550+1)+(Surface_Engine!B241*12)*INDEX(Surface_Engine!$F$12:$F$72,$A550+1)-(Surface_Engine!B241*12),1000*12*INDEX(Surface_Engine!$C$12:$C$72,$A550+1)/(1+Assumptions!$B$10)^10+INDEX(Surface_Engine!$D$12:$D$72,$A550+1)))*INDEX(Surface_Engine!$B$12:$B$72,$A550+1)+G551</f>
        <v>2095.82901891149</v>
      </c>
      <c r="H550" s="48" t="n">
        <f aca="false">D550*(IF($A550&lt;$Q$510,INDEX(Surface_Engine!$D$12:$D$72,$A550+1)+(Surface_Engine!B241*12)*INDEX(Surface_Engine!$F$12:$F$72,$A550+1)-(Surface_Engine!B241*12),1000*12*INDEX(Surface_Engine!$C$12:$C$72,$A550+1)/(1+Assumptions!$B$10)^10+INDEX(Surface_Engine!$D$12:$D$72,$A550+1)))*INDEX(Surface_Engine!$B$12:$B$72,$A550+1)+H551</f>
        <v>858.010743627751</v>
      </c>
      <c r="I550" s="48" t="n">
        <f aca="false">E550*(IF($A550&lt;$Q$510,INDEX(Surface_Engine!$D$12:$D$72,$A550+1)+(Surface_Engine!B241*12)*INDEX(Surface_Engine!$F$12:$F$72,$A550+1)-(Surface_Engine!B241*12),1000*12*INDEX(Surface_Engine!$C$12:$C$72,$A550+1)/(1+Assumptions!$B$10)^10+INDEX(Surface_Engine!$D$12:$D$72,$A550+1)))*INDEX(Surface_Engine!$B$12:$B$72,$A550+1)+I551</f>
        <v>997.727216371074</v>
      </c>
      <c r="J550" s="48" t="n">
        <f aca="false">B550*(IF($A550&lt;$Q$510,INDEX(Surface_Engine!$D$12:$D$72,$A550+1)*(1+Assumptions!$B$24)+(Surface_Engine!B241*12)*INDEX(Surface_Engine!$F$12:$F$72,$A550+1)-(Surface_Engine!B241*12),1000*12*INDEX(Surface_Engine!$C$12:$C$72,$A550+1)/(1+Assumptions!$B$10)^10+INDEX(Surface_Engine!$D$12:$D$72,$A550+1)*(1+Assumptions!$B$24)))*INDEX(Surface_Engine!$B$12:$B$72,$A550+1)+J551</f>
        <v>926.540175954998</v>
      </c>
      <c r="K550" s="12" t="n">
        <f aca="false">SQRT((IF(C550&lt;=0,0,MAX(0,(B550/C550)*G550/INDEX(Surface_Engine!$B$12:$B$72,$A550+1)-F550/INDEX(Surface_Engine!$B$12:$B$72,$A550+1))))^2+(MAX(IF(D550&lt;=0,0,MAX(0,(B550/D550)*H550/INDEX(Surface_Engine!$B$12:$B$72,$A550+1)-F550/INDEX(Surface_Engine!$B$12:$B$72,$A550+1))),IF(E550&lt;=0,0,MAX(0,(B550/E550)*I550/INDEX(Surface_Engine!$B$12:$B$72,$A550+1)-F550/INDEX(Surface_Engine!$B$12:$B$72,$A550+1))),IF($A550&lt;$Q$510,MAX(0,-Assumptions!$B$22*(F550/INDEX(Surface_Engine!$B$12:$B$72,$A550+1))),0)))^2+(MAX(0,J550/INDEX(Surface_Engine!$B$12:$B$72,$A550+1)-(F550/INDEX(Surface_Engine!$B$12:$B$72,$A550+1))))^2+2*Assumptions!$B$26*(IF(C550&lt;=0,0,MAX(0,(B550/C550)*G550/INDEX(Surface_Engine!$B$12:$B$72,$A550+1)-F550/INDEX(Surface_Engine!$B$12:$B$72,$A550+1))))*(MAX(IF(D550&lt;=0,0,MAX(0,(B550/D550)*H550/INDEX(Surface_Engine!$B$12:$B$72,$A550+1)-F550/INDEX(Surface_Engine!$B$12:$B$72,$A550+1))),IF(E550&lt;=0,0,MAX(0,(B550/E550)*I550/INDEX(Surface_Engine!$B$12:$B$72,$A550+1)-F550/INDEX(Surface_Engine!$B$12:$B$72,$A550+1))),IF($A550&lt;$Q$510,MAX(0,-Assumptions!$B$22*(F550/INDEX(Surface_Engine!$B$12:$B$72,$A550+1))),0)))+2*Assumptions!$B$27*(IF(C550&lt;=0,0,MAX(0,(B550/C550)*G550/INDEX(Surface_Engine!$B$12:$B$72,$A550+1)-F550/INDEX(Surface_Engine!$B$12:$B$72,$A550+1))))*(MAX(0,J550/INDEX(Surface_Engine!$B$12:$B$72,$A550+1)-(F550/INDEX(Surface_Engine!$B$12:$B$72,$A550+1))))+2*Assumptions!$B$28*(MAX(IF(D550&lt;=0,0,MAX(0,(B550/D550)*H550/INDEX(Surface_Engine!$B$12:$B$72,$A550+1)-F550/INDEX(Surface_Engine!$B$12:$B$72,$A550+1))),IF(E550&lt;=0,0,MAX(0,(B550/E550)*I550/INDEX(Surface_Engine!$B$12:$B$72,$A550+1)-F550/INDEX(Surface_Engine!$B$12:$B$72,$A550+1))),IF($A550&lt;$Q$510,MAX(0,-Assumptions!$B$22*(F550/INDEX(Surface_Engine!$B$12:$B$72,$A550+1))),0)))*(MAX(0,J550/INDEX(Surface_Engine!$B$12:$B$72,$A550+1)-(F550/INDEX(Surface_Engine!$B$12:$B$72,$A550+1)))))</f>
        <v>547.216570632185</v>
      </c>
      <c r="L550" s="48" t="n">
        <f aca="false">K550*INDEX(Surface_Engine!$B$12:$B$72,$A550+1)+L551</f>
        <v>530.128643342564</v>
      </c>
      <c r="M550" s="48" t="n">
        <f aca="false">M549+B549*(IF($A549&lt;$Q$510,(Surface_Engine!B241*12)-(Surface_Engine!B241*12)*INDEX(Surface_Engine!$F$12:$F$72,$A549+1)-INDEX(Surface_Engine!$D$12:$D$72,$A549+1),-(1000*12*INDEX(Surface_Engine!$C$12:$C$72,$A549+1)/(1+Assumptions!$B$10)^10+INDEX(Surface_Engine!$D$12:$D$72,$A549+1))))*INDEX(Surface_Engine!$B$12:$B$72,$A549+1)</f>
        <v>4821.05042219677</v>
      </c>
      <c r="N550" s="12" t="n">
        <f aca="false">IF(B550&lt;=0,0,MAX(0,(K550+Assumptions!$B$29*L550/INDEX(Surface_Engine!$B$12:$B$72,$A550+1)-(M550/INDEX(Surface_Engine!$B$12:$B$72,$A550+1)-(F550/INDEX(Surface_Engine!$B$12:$B$72,$A550+1))))/B550))</f>
        <v>0</v>
      </c>
    </row>
    <row r="551" customFormat="false" ht="15" hidden="false" customHeight="true" outlineLevel="0" collapsed="false">
      <c r="A551" s="1" t="n">
        <v>39</v>
      </c>
      <c r="B551" s="32" t="n">
        <f aca="false">INDEX(Surface_Engine!$L$12:$L$72,$A551+1)*IF($A551&lt;$Q$510,INDEX(Surface_Engine!$E$12:$E$72,$A551+1),INDEX(Surface_Engine!$E$12:$E$72,$Q$510+1))</f>
        <v>0.0304380177536168</v>
      </c>
      <c r="C551" s="32" t="n">
        <f aca="false">INDEX(Panel_Reserving!$D$8:$D$68,$A551+1)*IF($A551&lt;$Q$510,INDEX(Surface_Engine!$E$12:$E$72,$A551+1),INDEX(Surface_Engine!$E$12:$E$72,$Q$510+1))</f>
        <v>0.0623263380417348</v>
      </c>
      <c r="D551" s="32" t="n">
        <f aca="false">INDEX(Surface_Engine!$L$12:$L$72,$A551+1)*IF($A551&lt;$Q$510,INDEX(Surface_Engine!$Y$12:$Y$72,$A551+1),INDEX(Surface_Engine!$Y$12:$Y$72,$Q$510+1))</f>
        <v>0.0282150214511269</v>
      </c>
      <c r="E551" s="32" t="n">
        <f aca="false">INDEX(Surface_Engine!$L$12:$L$72,$A551+1)*IF($A551&lt;$Q$510,INDEX(Surface_Engine!$Z$12:$Z$72,$A551+1),INDEX(Surface_Engine!$Z$12:$Z$72,$Q$510+1))</f>
        <v>0.0328094898826771</v>
      </c>
      <c r="F551" s="48" t="n">
        <f aca="false">B551*(IF($A551&lt;$Q$510,INDEX(Surface_Engine!$D$12:$D$72,$A551+1)+(Surface_Engine!B241*12)*INDEX(Surface_Engine!$F$12:$F$72,$A551+1)-(Surface_Engine!B241*12),1000*12*INDEX(Surface_Engine!$C$12:$C$72,$A551+1)/(1+Assumptions!$B$10)^10+INDEX(Surface_Engine!$D$12:$D$72,$A551+1)))*INDEX(Surface_Engine!$B$12:$B$72,$A551+1)+F552</f>
        <v>667.586777250509</v>
      </c>
      <c r="G551" s="48" t="n">
        <f aca="false">C551*(IF($A551&lt;$Q$510,INDEX(Surface_Engine!$D$12:$D$72,$A551+1)+(Surface_Engine!B241*12)*INDEX(Surface_Engine!$F$12:$F$72,$A551+1)-(Surface_Engine!B241*12),1000*12*INDEX(Surface_Engine!$C$12:$C$72,$A551+1)/(1+Assumptions!$B$10)^10+INDEX(Surface_Engine!$D$12:$D$72,$A551+1)))*INDEX(Surface_Engine!$B$12:$B$72,$A551+1)+G552</f>
        <v>1600.07789847118</v>
      </c>
      <c r="H551" s="48" t="n">
        <f aca="false">D551*(IF($A551&lt;$Q$510,INDEX(Surface_Engine!$D$12:$D$72,$A551+1)+(Surface_Engine!B241*12)*INDEX(Surface_Engine!$F$12:$F$72,$A551+1)-(Surface_Engine!B241*12),1000*12*INDEX(Surface_Engine!$C$12:$C$72,$A551+1)/(1+Assumptions!$B$10)^10+INDEX(Surface_Engine!$D$12:$D$72,$A551+1)))*INDEX(Surface_Engine!$B$12:$B$72,$A551+1)+H552</f>
        <v>618.830549120551</v>
      </c>
      <c r="I551" s="48" t="n">
        <f aca="false">E551*(IF($A551&lt;$Q$510,INDEX(Surface_Engine!$D$12:$D$72,$A551+1)+(Surface_Engine!B241*12)*INDEX(Surface_Engine!$F$12:$F$72,$A551+1)-(Surface_Engine!B241*12),1000*12*INDEX(Surface_Engine!$C$12:$C$72,$A551+1)/(1+Assumptions!$B$10)^10+INDEX(Surface_Engine!$D$12:$D$72,$A551+1)))*INDEX(Surface_Engine!$B$12:$B$72,$A551+1)+I552</f>
        <v>719.599475606683</v>
      </c>
      <c r="J551" s="48" t="n">
        <f aca="false">B551*(IF($A551&lt;$Q$510,INDEX(Surface_Engine!$D$12:$D$72,$A551+1)*(1+Assumptions!$B$24)+(Surface_Engine!B241*12)*INDEX(Surface_Engine!$F$12:$F$72,$A551+1)-(Surface_Engine!B241*12),1000*12*INDEX(Surface_Engine!$C$12:$C$72,$A551+1)/(1+Assumptions!$B$10)^10+INDEX(Surface_Engine!$D$12:$D$72,$A551+1)*(1+Assumptions!$B$24)))*INDEX(Surface_Engine!$B$12:$B$72,$A551+1)+J552</f>
        <v>668.259278482381</v>
      </c>
      <c r="K551" s="12" t="n">
        <f aca="false">SQRT((IF(C551&lt;=0,0,MAX(0,(B551/C551)*G551/INDEX(Surface_Engine!$B$12:$B$72,$A551+1)-F551/INDEX(Surface_Engine!$B$12:$B$72,$A551+1))))^2+(MAX(IF(D551&lt;=0,0,MAX(0,(B551/D551)*H551/INDEX(Surface_Engine!$B$12:$B$72,$A551+1)-F551/INDEX(Surface_Engine!$B$12:$B$72,$A551+1))),IF(E551&lt;=0,0,MAX(0,(B551/E551)*I551/INDEX(Surface_Engine!$B$12:$B$72,$A551+1)-F551/INDEX(Surface_Engine!$B$12:$B$72,$A551+1))),IF($A551&lt;$Q$510,MAX(0,-Assumptions!$B$22*(F551/INDEX(Surface_Engine!$B$12:$B$72,$A551+1))),0)))^2+(MAX(0,J551/INDEX(Surface_Engine!$B$12:$B$72,$A551+1)-(F551/INDEX(Surface_Engine!$B$12:$B$72,$A551+1))))^2+2*Assumptions!$B$26*(IF(C551&lt;=0,0,MAX(0,(B551/C551)*G551/INDEX(Surface_Engine!$B$12:$B$72,$A551+1)-F551/INDEX(Surface_Engine!$B$12:$B$72,$A551+1))))*(MAX(IF(D551&lt;=0,0,MAX(0,(B551/D551)*H551/INDEX(Surface_Engine!$B$12:$B$72,$A551+1)-F551/INDEX(Surface_Engine!$B$12:$B$72,$A551+1))),IF(E551&lt;=0,0,MAX(0,(B551/E551)*I551/INDEX(Surface_Engine!$B$12:$B$72,$A551+1)-F551/INDEX(Surface_Engine!$B$12:$B$72,$A551+1))),IF($A551&lt;$Q$510,MAX(0,-Assumptions!$B$22*(F551/INDEX(Surface_Engine!$B$12:$B$72,$A551+1))),0)))+2*Assumptions!$B$27*(IF(C551&lt;=0,0,MAX(0,(B551/C551)*G551/INDEX(Surface_Engine!$B$12:$B$72,$A551+1)-F551/INDEX(Surface_Engine!$B$12:$B$72,$A551+1))))*(MAX(0,J551/INDEX(Surface_Engine!$B$12:$B$72,$A551+1)-(F551/INDEX(Surface_Engine!$B$12:$B$72,$A551+1))))+2*Assumptions!$B$28*(MAX(IF(D551&lt;=0,0,MAX(0,(B551/D551)*H551/INDEX(Surface_Engine!$B$12:$B$72,$A551+1)-F551/INDEX(Surface_Engine!$B$12:$B$72,$A551+1))),IF(E551&lt;=0,0,MAX(0,(B551/E551)*I551/INDEX(Surface_Engine!$B$12:$B$72,$A551+1)-F551/INDEX(Surface_Engine!$B$12:$B$72,$A551+1))),IF($A551&lt;$Q$510,MAX(0,-Assumptions!$B$22*(F551/INDEX(Surface_Engine!$B$12:$B$72,$A551+1))),0)))*(MAX(0,J551/INDEX(Surface_Engine!$B$12:$B$72,$A551+1)-(F551/INDEX(Surface_Engine!$B$12:$B$72,$A551+1)))))</f>
        <v>389.287498250358</v>
      </c>
      <c r="L551" s="48" t="n">
        <f aca="false">K551*INDEX(Surface_Engine!$B$12:$B$72,$A551+1)+L552</f>
        <v>364.684813344639</v>
      </c>
      <c r="M551" s="48" t="n">
        <f aca="false">M550+B550*(IF($A550&lt;$Q$510,(Surface_Engine!B241*12)-(Surface_Engine!B241*12)*INDEX(Surface_Engine!$F$12:$F$72,$A550+1)-INDEX(Surface_Engine!$D$12:$D$72,$A550+1),-(1000*12*INDEX(Surface_Engine!$C$12:$C$72,$A550+1)/(1+Assumptions!$B$10)^10+INDEX(Surface_Engine!$D$12:$D$72,$A550+1))))*INDEX(Surface_Engine!$B$12:$B$72,$A550+1)</f>
        <v>4563.02577318723</v>
      </c>
      <c r="N551" s="12" t="n">
        <f aca="false">IF(B551&lt;=0,0,MAX(0,(K551+Assumptions!$B$29*L551/INDEX(Surface_Engine!$B$12:$B$72,$A551+1)-(M551/INDEX(Surface_Engine!$B$12:$B$72,$A551+1)-(F551/INDEX(Surface_Engine!$B$12:$B$72,$A551+1))))/B551))</f>
        <v>0</v>
      </c>
    </row>
    <row r="552" customFormat="false" ht="15" hidden="false" customHeight="true" outlineLevel="0" collapsed="false">
      <c r="A552" s="1" t="n">
        <v>40</v>
      </c>
      <c r="B552" s="32" t="n">
        <f aca="false">INDEX(Surface_Engine!$L$12:$L$72,$A552+1)*IF($A552&lt;$Q$510,INDEX(Surface_Engine!$E$12:$E$72,$A552+1),INDEX(Surface_Engine!$E$12:$E$72,$Q$510+1))</f>
        <v>0.0231981962522252</v>
      </c>
      <c r="C552" s="32" t="n">
        <f aca="false">INDEX(Panel_Reserving!$D$8:$D$68,$A552+1)*IF($A552&lt;$Q$510,INDEX(Surface_Engine!$E$12:$E$72,$A552+1),INDEX(Surface_Engine!$E$12:$E$72,$Q$510+1))</f>
        <v>0.0504666547756277</v>
      </c>
      <c r="D552" s="32" t="n">
        <f aca="false">INDEX(Surface_Engine!$L$12:$L$72,$A552+1)*IF($A552&lt;$Q$510,INDEX(Surface_Engine!$Y$12:$Y$72,$A552+1),INDEX(Surface_Engine!$Y$12:$Y$72,$Q$510+1))</f>
        <v>0.021503949770389</v>
      </c>
      <c r="E552" s="32" t="n">
        <f aca="false">INDEX(Surface_Engine!$L$12:$L$72,$A552+1)*IF($A552&lt;$Q$510,INDEX(Surface_Engine!$Z$12:$Z$72,$A552+1),INDEX(Surface_Engine!$Z$12:$Z$72,$Q$510+1))</f>
        <v>0.0250056029073477</v>
      </c>
      <c r="F552" s="48" t="n">
        <f aca="false">B552*(IF($A552&lt;$Q$510,INDEX(Surface_Engine!$D$12:$D$72,$A552+1)+(Surface_Engine!B241*12)*INDEX(Surface_Engine!$F$12:$F$72,$A552+1)-(Surface_Engine!B241*12),1000*12*INDEX(Surface_Engine!$C$12:$C$72,$A552+1)/(1+Assumptions!$B$10)^10+INDEX(Surface_Engine!$D$12:$D$72,$A552+1)))*INDEX(Surface_Engine!$B$12:$B$72,$A552+1)+F553</f>
        <v>475.713597426815</v>
      </c>
      <c r="G552" s="48" t="n">
        <f aca="false">C552*(IF($A552&lt;$Q$510,INDEX(Surface_Engine!$D$12:$D$72,$A552+1)+(Surface_Engine!B241*12)*INDEX(Surface_Engine!$F$12:$F$72,$A552+1)-(Surface_Engine!B241*12),1000*12*INDEX(Surface_Engine!$C$12:$C$72,$A552+1)/(1+Assumptions!$B$10)^10+INDEX(Surface_Engine!$D$12:$D$72,$A552+1)))*INDEX(Surface_Engine!$B$12:$B$72,$A552+1)+G553</f>
        <v>1207.1892168351</v>
      </c>
      <c r="H552" s="48" t="n">
        <f aca="false">D552*(IF($A552&lt;$Q$510,INDEX(Surface_Engine!$D$12:$D$72,$A552+1)+(Surface_Engine!B241*12)*INDEX(Surface_Engine!$F$12:$F$72,$A552+1)-(Surface_Engine!B241*12),1000*12*INDEX(Surface_Engine!$C$12:$C$72,$A552+1)/(1+Assumptions!$B$10)^10+INDEX(Surface_Engine!$D$12:$D$72,$A552+1)))*INDEX(Surface_Engine!$B$12:$B$72,$A552+1)+H553</f>
        <v>440.97054757764</v>
      </c>
      <c r="I552" s="48" t="n">
        <f aca="false">E552*(IF($A552&lt;$Q$510,INDEX(Surface_Engine!$D$12:$D$72,$A552+1)+(Surface_Engine!B241*12)*INDEX(Surface_Engine!$F$12:$F$72,$A552+1)-(Surface_Engine!B241*12),1000*12*INDEX(Surface_Engine!$C$12:$C$72,$A552+1)/(1+Assumptions!$B$10)^10+INDEX(Surface_Engine!$D$12:$D$72,$A552+1)))*INDEX(Surface_Engine!$B$12:$B$72,$A552+1)+I553</f>
        <v>512.777165325505</v>
      </c>
      <c r="J552" s="48" t="n">
        <f aca="false">B552*(IF($A552&lt;$Q$510,INDEX(Surface_Engine!$D$12:$D$72,$A552+1)*(1+Assumptions!$B$24)+(Surface_Engine!B241*12)*INDEX(Surface_Engine!$F$12:$F$72,$A552+1)-(Surface_Engine!B241*12),1000*12*INDEX(Surface_Engine!$C$12:$C$72,$A552+1)/(1+Assumptions!$B$10)^10+INDEX(Surface_Engine!$D$12:$D$72,$A552+1)*(1+Assumptions!$B$24)))*INDEX(Surface_Engine!$B$12:$B$72,$A552+1)+J553</f>
        <v>476.194621533672</v>
      </c>
      <c r="K552" s="12" t="n">
        <f aca="false">SQRT((IF(C552&lt;=0,0,MAX(0,(B552/C552)*G552/INDEX(Surface_Engine!$B$12:$B$72,$A552+1)-F552/INDEX(Surface_Engine!$B$12:$B$72,$A552+1))))^2+(MAX(IF(D552&lt;=0,0,MAX(0,(B552/D552)*H552/INDEX(Surface_Engine!$B$12:$B$72,$A552+1)-F552/INDEX(Surface_Engine!$B$12:$B$72,$A552+1))),IF(E552&lt;=0,0,MAX(0,(B552/E552)*I552/INDEX(Surface_Engine!$B$12:$B$72,$A552+1)-F552/INDEX(Surface_Engine!$B$12:$B$72,$A552+1))),IF($A552&lt;$Q$510,MAX(0,-Assumptions!$B$22*(F552/INDEX(Surface_Engine!$B$12:$B$72,$A552+1))),0)))^2+(MAX(0,J552/INDEX(Surface_Engine!$B$12:$B$72,$A552+1)-(F552/INDEX(Surface_Engine!$B$12:$B$72,$A552+1))))^2+2*Assumptions!$B$26*(IF(C552&lt;=0,0,MAX(0,(B552/C552)*G552/INDEX(Surface_Engine!$B$12:$B$72,$A552+1)-F552/INDEX(Surface_Engine!$B$12:$B$72,$A552+1))))*(MAX(IF(D552&lt;=0,0,MAX(0,(B552/D552)*H552/INDEX(Surface_Engine!$B$12:$B$72,$A552+1)-F552/INDEX(Surface_Engine!$B$12:$B$72,$A552+1))),IF(E552&lt;=0,0,MAX(0,(B552/E552)*I552/INDEX(Surface_Engine!$B$12:$B$72,$A552+1)-F552/INDEX(Surface_Engine!$B$12:$B$72,$A552+1))),IF($A552&lt;$Q$510,MAX(0,-Assumptions!$B$22*(F552/INDEX(Surface_Engine!$B$12:$B$72,$A552+1))),0)))+2*Assumptions!$B$27*(IF(C552&lt;=0,0,MAX(0,(B552/C552)*G552/INDEX(Surface_Engine!$B$12:$B$72,$A552+1)-F552/INDEX(Surface_Engine!$B$12:$B$72,$A552+1))))*(MAX(0,J552/INDEX(Surface_Engine!$B$12:$B$72,$A552+1)-(F552/INDEX(Surface_Engine!$B$12:$B$72,$A552+1))))+2*Assumptions!$B$28*(MAX(IF(D552&lt;=0,0,MAX(0,(B552/D552)*H552/INDEX(Surface_Engine!$B$12:$B$72,$A552+1)-F552/INDEX(Surface_Engine!$B$12:$B$72,$A552+1))),IF(E552&lt;=0,0,MAX(0,(B552/E552)*I552/INDEX(Surface_Engine!$B$12:$B$72,$A552+1)-F552/INDEX(Surface_Engine!$B$12:$B$72,$A552+1))),IF($A552&lt;$Q$510,MAX(0,-Assumptions!$B$22*(F552/INDEX(Surface_Engine!$B$12:$B$72,$A552+1))),0)))*(MAX(0,J552/INDEX(Surface_Engine!$B$12:$B$72,$A552+1)-(F552/INDEX(Surface_Engine!$B$12:$B$72,$A552+1)))))</f>
        <v>279.734210708439</v>
      </c>
      <c r="L552" s="48" t="n">
        <f aca="false">K552*INDEX(Surface_Engine!$B$12:$B$72,$A552+1)+L553</f>
        <v>250.679160424344</v>
      </c>
      <c r="M552" s="48" t="n">
        <f aca="false">M551+B551*(IF($A551&lt;$Q$510,(Surface_Engine!B241*12)-(Surface_Engine!B241*12)*INDEX(Surface_Engine!$F$12:$F$72,$A551+1)-INDEX(Surface_Engine!$D$12:$D$72,$A551+1),-(1000*12*INDEX(Surface_Engine!$C$12:$C$72,$A551+1)/(1+Assumptions!$B$10)^10+INDEX(Surface_Engine!$D$12:$D$72,$A551+1))))*INDEX(Surface_Engine!$B$12:$B$72,$A551+1)</f>
        <v>4371.15259336353</v>
      </c>
      <c r="N552" s="12" t="n">
        <f aca="false">IF(B552&lt;=0,0,MAX(0,(K552+Assumptions!$B$29*L552/INDEX(Surface_Engine!$B$12:$B$72,$A552+1)-(M552/INDEX(Surface_Engine!$B$12:$B$72,$A552+1)-(F552/INDEX(Surface_Engine!$B$12:$B$72,$A552+1))))/B552))</f>
        <v>0</v>
      </c>
    </row>
    <row r="553" customFormat="false" ht="15" hidden="false" customHeight="true" outlineLevel="0" collapsed="false">
      <c r="A553" s="1" t="n">
        <v>41</v>
      </c>
      <c r="B553" s="32" t="n">
        <f aca="false">INDEX(Surface_Engine!$L$12:$L$72,$A553+1)*IF($A553&lt;$Q$510,INDEX(Surface_Engine!$E$12:$E$72,$A553+1),INDEX(Surface_Engine!$E$12:$E$72,$Q$510+1))</f>
        <v>0.0203675042770796</v>
      </c>
      <c r="C553" s="32" t="n">
        <f aca="false">INDEX(Panel_Reserving!$D$8:$D$68,$A553+1)*IF($A553&lt;$Q$510,INDEX(Surface_Engine!$E$12:$E$72,$A553+1),INDEX(Surface_Engine!$E$12:$E$72,$Q$510+1))</f>
        <v>0.0455402181464139</v>
      </c>
      <c r="D553" s="32" t="n">
        <f aca="false">INDEX(Surface_Engine!$L$12:$L$72,$A553+1)*IF($A553&lt;$Q$510,INDEX(Surface_Engine!$Y$12:$Y$72,$A553+1),INDEX(Surface_Engine!$Y$12:$Y$72,$Q$510+1))</f>
        <v>0.0188799932615662</v>
      </c>
      <c r="E553" s="32" t="n">
        <f aca="false">INDEX(Surface_Engine!$L$12:$L$72,$A553+1)*IF($A553&lt;$Q$510,INDEX(Surface_Engine!$Z$12:$Z$72,$A553+1),INDEX(Surface_Engine!$Z$12:$Z$72,$Q$510+1))</f>
        <v>0.0219543674270583</v>
      </c>
      <c r="F553" s="48" t="n">
        <f aca="false">B553*(IF($A553&lt;$Q$510,INDEX(Surface_Engine!$D$12:$D$72,$A553+1)+(Surface_Engine!B241*12)*INDEX(Surface_Engine!$F$12:$F$72,$A553+1)-(Surface_Engine!B241*12),1000*12*INDEX(Surface_Engine!$C$12:$C$72,$A553+1)/(1+Assumptions!$B$10)^10+INDEX(Surface_Engine!$D$12:$D$72,$A553+1)))*INDEX(Surface_Engine!$B$12:$B$72,$A553+1)+F554</f>
        <v>331.28227424339</v>
      </c>
      <c r="G553" s="48" t="n">
        <f aca="false">C553*(IF($A553&lt;$Q$510,INDEX(Surface_Engine!$D$12:$D$72,$A553+1)+(Surface_Engine!B241*12)*INDEX(Surface_Engine!$F$12:$F$72,$A553+1)-(Surface_Engine!B241*12),1000*12*INDEX(Surface_Engine!$C$12:$C$72,$A553+1)/(1+Assumptions!$B$10)^10+INDEX(Surface_Engine!$D$12:$D$72,$A553+1)))*INDEX(Surface_Engine!$B$12:$B$72,$A553+1)+G554</f>
        <v>892.985231032285</v>
      </c>
      <c r="H553" s="48" t="n">
        <f aca="false">D553*(IF($A553&lt;$Q$510,INDEX(Surface_Engine!$D$12:$D$72,$A553+1)+(Surface_Engine!B241*12)*INDEX(Surface_Engine!$F$12:$F$72,$A553+1)-(Surface_Engine!B241*12),1000*12*INDEX(Surface_Engine!$C$12:$C$72,$A553+1)/(1+Assumptions!$B$10)^10+INDEX(Surface_Engine!$D$12:$D$72,$A553+1)))*INDEX(Surface_Engine!$B$12:$B$72,$A553+1)+H554</f>
        <v>307.08755576058</v>
      </c>
      <c r="I553" s="48" t="n">
        <f aca="false">E553*(IF($A553&lt;$Q$510,INDEX(Surface_Engine!$D$12:$D$72,$A553+1)+(Surface_Engine!B241*12)*INDEX(Surface_Engine!$F$12:$F$72,$A553+1)-(Surface_Engine!B241*12),1000*12*INDEX(Surface_Engine!$C$12:$C$72,$A553+1)/(1+Assumptions!$B$10)^10+INDEX(Surface_Engine!$D$12:$D$72,$A553+1)))*INDEX(Surface_Engine!$B$12:$B$72,$A553+1)+I554</f>
        <v>357.092978691334</v>
      </c>
      <c r="J553" s="48" t="n">
        <f aca="false">B553*(IF($A553&lt;$Q$510,INDEX(Surface_Engine!$D$12:$D$72,$A553+1)*(1+Assumptions!$B$24)+(Surface_Engine!B241*12)*INDEX(Surface_Engine!$F$12:$F$72,$A553+1)-(Surface_Engine!B241*12),1000*12*INDEX(Surface_Engine!$C$12:$C$72,$A553+1)/(1+Assumptions!$B$10)^10+INDEX(Surface_Engine!$D$12:$D$72,$A553+1)*(1+Assumptions!$B$24)))*INDEX(Surface_Engine!$B$12:$B$72,$A553+1)+J554</f>
        <v>331.618465704529</v>
      </c>
      <c r="K553" s="12" t="n">
        <f aca="false">SQRT((IF(C553&lt;=0,0,MAX(0,(B553/C553)*G553/INDEX(Surface_Engine!$B$12:$B$72,$A553+1)-F553/INDEX(Surface_Engine!$B$12:$B$72,$A553+1))))^2+(MAX(IF(D553&lt;=0,0,MAX(0,(B553/D553)*H553/INDEX(Surface_Engine!$B$12:$B$72,$A553+1)-F553/INDEX(Surface_Engine!$B$12:$B$72,$A553+1))),IF(E553&lt;=0,0,MAX(0,(B553/E553)*I553/INDEX(Surface_Engine!$B$12:$B$72,$A553+1)-F553/INDEX(Surface_Engine!$B$12:$B$72,$A553+1))),IF($A553&lt;$Q$510,MAX(0,-Assumptions!$B$22*(F553/INDEX(Surface_Engine!$B$12:$B$72,$A553+1))),0)))^2+(MAX(0,J553/INDEX(Surface_Engine!$B$12:$B$72,$A553+1)-(F553/INDEX(Surface_Engine!$B$12:$B$72,$A553+1))))^2+2*Assumptions!$B$26*(IF(C553&lt;=0,0,MAX(0,(B553/C553)*G553/INDEX(Surface_Engine!$B$12:$B$72,$A553+1)-F553/INDEX(Surface_Engine!$B$12:$B$72,$A553+1))))*(MAX(IF(D553&lt;=0,0,MAX(0,(B553/D553)*H553/INDEX(Surface_Engine!$B$12:$B$72,$A553+1)-F553/INDEX(Surface_Engine!$B$12:$B$72,$A553+1))),IF(E553&lt;=0,0,MAX(0,(B553/E553)*I553/INDEX(Surface_Engine!$B$12:$B$72,$A553+1)-F553/INDEX(Surface_Engine!$B$12:$B$72,$A553+1))),IF($A553&lt;$Q$510,MAX(0,-Assumptions!$B$22*(F553/INDEX(Surface_Engine!$B$12:$B$72,$A553+1))),0)))+2*Assumptions!$B$27*(IF(C553&lt;=0,0,MAX(0,(B553/C553)*G553/INDEX(Surface_Engine!$B$12:$B$72,$A553+1)-F553/INDEX(Surface_Engine!$B$12:$B$72,$A553+1))))*(MAX(0,J553/INDEX(Surface_Engine!$B$12:$B$72,$A553+1)-(F553/INDEX(Surface_Engine!$B$12:$B$72,$A553+1))))+2*Assumptions!$B$28*(MAX(IF(D553&lt;=0,0,MAX(0,(B553/D553)*H553/INDEX(Surface_Engine!$B$12:$B$72,$A553+1)-F553/INDEX(Surface_Engine!$B$12:$B$72,$A553+1))),IF(E553&lt;=0,0,MAX(0,(B553/E553)*I553/INDEX(Surface_Engine!$B$12:$B$72,$A553+1)-F553/INDEX(Surface_Engine!$B$12:$B$72,$A553+1))),IF($A553&lt;$Q$510,MAX(0,-Assumptions!$B$22*(F553/INDEX(Surface_Engine!$B$12:$B$72,$A553+1))),0)))*(MAX(0,J553/INDEX(Surface_Engine!$B$12:$B$72,$A553+1)-(F553/INDEX(Surface_Engine!$B$12:$B$72,$A553+1)))))</f>
        <v>248.348983277521</v>
      </c>
      <c r="L553" s="48" t="n">
        <f aca="false">K553*INDEX(Surface_Engine!$B$12:$B$72,$A553+1)+L554</f>
        <v>171.357944928763</v>
      </c>
      <c r="M553" s="48" t="n">
        <f aca="false">M552+B552*(IF($A552&lt;$Q$510,(Surface_Engine!B241*12)-(Surface_Engine!B241*12)*INDEX(Surface_Engine!$F$12:$F$72,$A552+1)-INDEX(Surface_Engine!$D$12:$D$72,$A552+1),-(1000*12*INDEX(Surface_Engine!$C$12:$C$72,$A552+1)/(1+Assumptions!$B$10)^10+INDEX(Surface_Engine!$D$12:$D$72,$A552+1))))*INDEX(Surface_Engine!$B$12:$B$72,$A552+1)</f>
        <v>4226.72127018011</v>
      </c>
      <c r="N553" s="12" t="n">
        <f aca="false">IF(B553&lt;=0,0,MAX(0,(K553+Assumptions!$B$29*L553/INDEX(Surface_Engine!$B$12:$B$72,$A553+1)-(M553/INDEX(Surface_Engine!$B$12:$B$72,$A553+1)-(F553/INDEX(Surface_Engine!$B$12:$B$72,$A553+1))))/B553))</f>
        <v>0</v>
      </c>
    </row>
    <row r="554" customFormat="false" ht="15" hidden="false" customHeight="true" outlineLevel="0" collapsed="false">
      <c r="A554" s="1" t="n">
        <v>42</v>
      </c>
      <c r="B554" s="32" t="n">
        <f aca="false">INDEX(Surface_Engine!$L$12:$L$72,$A554+1)*IF($A554&lt;$Q$510,INDEX(Surface_Engine!$E$12:$E$72,$A554+1),INDEX(Surface_Engine!$E$12:$E$72,$Q$510+1))</f>
        <v>0.0135637228843226</v>
      </c>
      <c r="C554" s="32" t="n">
        <f aca="false">INDEX(Panel_Reserving!$D$8:$D$68,$A554+1)*IF($A554&lt;$Q$510,INDEX(Surface_Engine!$E$12:$E$72,$A554+1),INDEX(Surface_Engine!$E$12:$E$72,$Q$510+1))</f>
        <v>0.033370020575557</v>
      </c>
      <c r="D554" s="32" t="n">
        <f aca="false">INDEX(Surface_Engine!$L$12:$L$72,$A554+1)*IF($A554&lt;$Q$510,INDEX(Surface_Engine!$Y$12:$Y$72,$A554+1),INDEX(Surface_Engine!$Y$12:$Y$72,$Q$510+1))</f>
        <v>0.0125731161350948</v>
      </c>
      <c r="E554" s="32" t="n">
        <f aca="false">INDEX(Surface_Engine!$L$12:$L$72,$A554+1)*IF($A554&lt;$Q$510,INDEX(Surface_Engine!$Z$12:$Z$72,$A554+1),INDEX(Surface_Engine!$Z$12:$Z$72,$Q$510+1))</f>
        <v>0.0146204931065768</v>
      </c>
      <c r="F554" s="48" t="n">
        <f aca="false">B554*(IF($A554&lt;$Q$510,INDEX(Surface_Engine!$D$12:$D$72,$A554+1)+(Surface_Engine!B241*12)*INDEX(Surface_Engine!$F$12:$F$72,$A554+1)-(Surface_Engine!B241*12),1000*12*INDEX(Surface_Engine!$C$12:$C$72,$A554+1)/(1+Assumptions!$B$10)^10+INDEX(Surface_Engine!$D$12:$D$72,$A554+1)))*INDEX(Surface_Engine!$B$12:$B$72,$A554+1)+F555</f>
        <v>206.043868782582</v>
      </c>
      <c r="G554" s="48" t="n">
        <f aca="false">C554*(IF($A554&lt;$Q$510,INDEX(Surface_Engine!$D$12:$D$72,$A554+1)+(Surface_Engine!B241*12)*INDEX(Surface_Engine!$F$12:$F$72,$A554+1)-(Surface_Engine!B241*12),1000*12*INDEX(Surface_Engine!$C$12:$C$72,$A554+1)/(1+Assumptions!$B$10)^10+INDEX(Surface_Engine!$D$12:$D$72,$A554+1)))*INDEX(Surface_Engine!$B$12:$B$72,$A554+1)+G555</f>
        <v>612.961511512929</v>
      </c>
      <c r="H554" s="48" t="n">
        <f aca="false">D554*(IF($A554&lt;$Q$510,INDEX(Surface_Engine!$D$12:$D$72,$A554+1)+(Surface_Engine!B241*12)*INDEX(Surface_Engine!$F$12:$F$72,$A554+1)-(Surface_Engine!B241*12),1000*12*INDEX(Surface_Engine!$C$12:$C$72,$A554+1)/(1+Assumptions!$B$10)^10+INDEX(Surface_Engine!$D$12:$D$72,$A554+1)))*INDEX(Surface_Engine!$B$12:$B$72,$A554+1)+H555</f>
        <v>190.995754869186</v>
      </c>
      <c r="I554" s="48" t="n">
        <f aca="false">E554*(IF($A554&lt;$Q$510,INDEX(Surface_Engine!$D$12:$D$72,$A554+1)+(Surface_Engine!B241*12)*INDEX(Surface_Engine!$F$12:$F$72,$A554+1)-(Surface_Engine!B241*12),1000*12*INDEX(Surface_Engine!$C$12:$C$72,$A554+1)/(1+Assumptions!$B$10)^10+INDEX(Surface_Engine!$D$12:$D$72,$A554+1)))*INDEX(Surface_Engine!$B$12:$B$72,$A554+1)+I555</f>
        <v>222.097059109787</v>
      </c>
      <c r="J554" s="48" t="n">
        <f aca="false">B554*(IF($A554&lt;$Q$510,INDEX(Surface_Engine!$D$12:$D$72,$A554+1)*(1+Assumptions!$B$24)+(Surface_Engine!B241*12)*INDEX(Surface_Engine!$F$12:$F$72,$A554+1)-(Surface_Engine!B241*12),1000*12*INDEX(Surface_Engine!$C$12:$C$72,$A554+1)/(1+Assumptions!$B$10)^10+INDEX(Surface_Engine!$D$12:$D$72,$A554+1)*(1+Assumptions!$B$24)))*INDEX(Surface_Engine!$B$12:$B$72,$A554+1)+J555</f>
        <v>206.253864429581</v>
      </c>
      <c r="K554" s="12" t="n">
        <f aca="false">SQRT((IF(C554&lt;=0,0,MAX(0,(B554/C554)*G554/INDEX(Surface_Engine!$B$12:$B$72,$A554+1)-F554/INDEX(Surface_Engine!$B$12:$B$72,$A554+1))))^2+(MAX(IF(D554&lt;=0,0,MAX(0,(B554/D554)*H554/INDEX(Surface_Engine!$B$12:$B$72,$A554+1)-F554/INDEX(Surface_Engine!$B$12:$B$72,$A554+1))),IF(E554&lt;=0,0,MAX(0,(B554/E554)*I554/INDEX(Surface_Engine!$B$12:$B$72,$A554+1)-F554/INDEX(Surface_Engine!$B$12:$B$72,$A554+1))),IF($A554&lt;$Q$510,MAX(0,-Assumptions!$B$22*(F554/INDEX(Surface_Engine!$B$12:$B$72,$A554+1))),0)))^2+(MAX(0,J554/INDEX(Surface_Engine!$B$12:$B$72,$A554+1)-(F554/INDEX(Surface_Engine!$B$12:$B$72,$A554+1))))^2+2*Assumptions!$B$26*(IF(C554&lt;=0,0,MAX(0,(B554/C554)*G554/INDEX(Surface_Engine!$B$12:$B$72,$A554+1)-F554/INDEX(Surface_Engine!$B$12:$B$72,$A554+1))))*(MAX(IF(D554&lt;=0,0,MAX(0,(B554/D554)*H554/INDEX(Surface_Engine!$B$12:$B$72,$A554+1)-F554/INDEX(Surface_Engine!$B$12:$B$72,$A554+1))),IF(E554&lt;=0,0,MAX(0,(B554/E554)*I554/INDEX(Surface_Engine!$B$12:$B$72,$A554+1)-F554/INDEX(Surface_Engine!$B$12:$B$72,$A554+1))),IF($A554&lt;$Q$510,MAX(0,-Assumptions!$B$22*(F554/INDEX(Surface_Engine!$B$12:$B$72,$A554+1))),0)))+2*Assumptions!$B$27*(IF(C554&lt;=0,0,MAX(0,(B554/C554)*G554/INDEX(Surface_Engine!$B$12:$B$72,$A554+1)-F554/INDEX(Surface_Engine!$B$12:$B$72,$A554+1))))*(MAX(0,J554/INDEX(Surface_Engine!$B$12:$B$72,$A554+1)-(F554/INDEX(Surface_Engine!$B$12:$B$72,$A554+1))))+2*Assumptions!$B$28*(MAX(IF(D554&lt;=0,0,MAX(0,(B554/D554)*H554/INDEX(Surface_Engine!$B$12:$B$72,$A554+1)-F554/INDEX(Surface_Engine!$B$12:$B$72,$A554+1))),IF(E554&lt;=0,0,MAX(0,(B554/E554)*I554/INDEX(Surface_Engine!$B$12:$B$72,$A554+1)-F554/INDEX(Surface_Engine!$B$12:$B$72,$A554+1))),IF($A554&lt;$Q$510,MAX(0,-Assumptions!$B$22*(F554/INDEX(Surface_Engine!$B$12:$B$72,$A554+1))),0)))*(MAX(0,J554/INDEX(Surface_Engine!$B$12:$B$72,$A554+1)-(F554/INDEX(Surface_Engine!$B$12:$B$72,$A554+1)))))</f>
        <v>162.291739320165</v>
      </c>
      <c r="L554" s="48" t="n">
        <f aca="false">K554*INDEX(Surface_Engine!$B$12:$B$72,$A554+1)+L555</f>
        <v>103.174775279426</v>
      </c>
      <c r="M554" s="48" t="n">
        <f aca="false">M553+B553*(IF($A553&lt;$Q$510,(Surface_Engine!B241*12)-(Surface_Engine!B241*12)*INDEX(Surface_Engine!$F$12:$F$72,$A553+1)-INDEX(Surface_Engine!$D$12:$D$72,$A553+1),-(1000*12*INDEX(Surface_Engine!$C$12:$C$72,$A553+1)/(1+Assumptions!$B$10)^10+INDEX(Surface_Engine!$D$12:$D$72,$A553+1))))*INDEX(Surface_Engine!$B$12:$B$72,$A553+1)</f>
        <v>4101.4828647193</v>
      </c>
      <c r="N554" s="12" t="n">
        <f aca="false">IF(B554&lt;=0,0,MAX(0,(K554+Assumptions!$B$29*L554/INDEX(Surface_Engine!$B$12:$B$72,$A554+1)-(M554/INDEX(Surface_Engine!$B$12:$B$72,$A554+1)-(F554/INDEX(Surface_Engine!$B$12:$B$72,$A554+1))))/B554))</f>
        <v>0</v>
      </c>
    </row>
    <row r="555" customFormat="false" ht="15" hidden="false" customHeight="true" outlineLevel="0" collapsed="false">
      <c r="A555" s="1" t="n">
        <v>43</v>
      </c>
      <c r="B555" s="32" t="n">
        <f aca="false">INDEX(Surface_Engine!$L$12:$L$72,$A555+1)*IF($A555&lt;$Q$510,INDEX(Surface_Engine!$E$12:$E$72,$A555+1),INDEX(Surface_Engine!$E$12:$E$72,$Q$510+1))</f>
        <v>0.00870481162164022</v>
      </c>
      <c r="C555" s="32" t="n">
        <f aca="false">INDEX(Panel_Reserving!$D$8:$D$68,$A555+1)*IF($A555&lt;$Q$510,INDEX(Surface_Engine!$E$12:$E$72,$A555+1),INDEX(Surface_Engine!$E$12:$E$72,$Q$510+1))</f>
        <v>0.0238067482973876</v>
      </c>
      <c r="D555" s="32" t="n">
        <f aca="false">INDEX(Surface_Engine!$L$12:$L$72,$A555+1)*IF($A555&lt;$Q$510,INDEX(Surface_Engine!$Y$12:$Y$72,$A555+1),INDEX(Surface_Engine!$Y$12:$Y$72,$Q$510+1))</f>
        <v>0.00806906838088735</v>
      </c>
      <c r="E555" s="32" t="n">
        <f aca="false">INDEX(Surface_Engine!$L$12:$L$72,$A555+1)*IF($A555&lt;$Q$510,INDEX(Surface_Engine!$Z$12:$Z$72,$A555+1),INDEX(Surface_Engine!$Z$12:$Z$72,$Q$510+1))</f>
        <v>0.00938301669782284</v>
      </c>
      <c r="F555" s="48" t="n">
        <f aca="false">B555*(IF($A555&lt;$Q$510,INDEX(Surface_Engine!$D$12:$D$72,$A555+1)+(Surface_Engine!B241*12)*INDEX(Surface_Engine!$F$12:$F$72,$A555+1)-(Surface_Engine!B241*12),1000*12*INDEX(Surface_Engine!$C$12:$C$72,$A555+1)/(1+Assumptions!$B$10)^10+INDEX(Surface_Engine!$D$12:$D$72,$A555+1)))*INDEX(Surface_Engine!$B$12:$B$72,$A555+1)+F556</f>
        <v>123.643115701256</v>
      </c>
      <c r="G555" s="48" t="n">
        <f aca="false">C555*(IF($A555&lt;$Q$510,INDEX(Surface_Engine!$D$12:$D$72,$A555+1)+(Surface_Engine!B241*12)*INDEX(Surface_Engine!$F$12:$F$72,$A555+1)-(Surface_Engine!B241*12),1000*12*INDEX(Surface_Engine!$C$12:$C$72,$A555+1)/(1+Assumptions!$B$10)^10+INDEX(Surface_Engine!$D$12:$D$72,$A555+1)))*INDEX(Surface_Engine!$B$12:$B$72,$A555+1)+G556</f>
        <v>410.235840307759</v>
      </c>
      <c r="H555" s="48" t="n">
        <f aca="false">D555*(IF($A555&lt;$Q$510,INDEX(Surface_Engine!$D$12:$D$72,$A555+1)+(Surface_Engine!B241*12)*INDEX(Surface_Engine!$F$12:$F$72,$A555+1)-(Surface_Engine!B241*12),1000*12*INDEX(Surface_Engine!$C$12:$C$72,$A555+1)/(1+Assumptions!$B$10)^10+INDEX(Surface_Engine!$D$12:$D$72,$A555+1)))*INDEX(Surface_Engine!$B$12:$B$72,$A555+1)+H556</f>
        <v>114.613020796355</v>
      </c>
      <c r="I555" s="48" t="n">
        <f aca="false">E555*(IF($A555&lt;$Q$510,INDEX(Surface_Engine!$D$12:$D$72,$A555+1)+(Surface_Engine!B241*12)*INDEX(Surface_Engine!$F$12:$F$72,$A555+1)-(Surface_Engine!B241*12),1000*12*INDEX(Surface_Engine!$C$12:$C$72,$A555+1)/(1+Assumptions!$B$10)^10+INDEX(Surface_Engine!$D$12:$D$72,$A555+1)))*INDEX(Surface_Engine!$B$12:$B$72,$A555+1)+I556</f>
        <v>133.276338377226</v>
      </c>
      <c r="J555" s="48" t="n">
        <f aca="false">B555*(IF($A555&lt;$Q$510,INDEX(Surface_Engine!$D$12:$D$72,$A555+1)*(1+Assumptions!$B$24)+(Surface_Engine!B241*12)*INDEX(Surface_Engine!$F$12:$F$72,$A555+1)-(Surface_Engine!B241*12),1000*12*INDEX(Surface_Engine!$C$12:$C$72,$A555+1)/(1+Assumptions!$B$10)^10+INDEX(Surface_Engine!$D$12:$D$72,$A555+1)*(1+Assumptions!$B$24)))*INDEX(Surface_Engine!$B$12:$B$72,$A555+1)+J556</f>
        <v>123.769677775034</v>
      </c>
      <c r="K555" s="12" t="n">
        <f aca="false">SQRT((IF(C555&lt;=0,0,MAX(0,(B555/C555)*G555/INDEX(Surface_Engine!$B$12:$B$72,$A555+1)-F555/INDEX(Surface_Engine!$B$12:$B$72,$A555+1))))^2+(MAX(IF(D555&lt;=0,0,MAX(0,(B555/D555)*H555/INDEX(Surface_Engine!$B$12:$B$72,$A555+1)-F555/INDEX(Surface_Engine!$B$12:$B$72,$A555+1))),IF(E555&lt;=0,0,MAX(0,(B555/E555)*I555/INDEX(Surface_Engine!$B$12:$B$72,$A555+1)-F555/INDEX(Surface_Engine!$B$12:$B$72,$A555+1))),IF($A555&lt;$Q$510,MAX(0,-Assumptions!$B$22*(F555/INDEX(Surface_Engine!$B$12:$B$72,$A555+1))),0)))^2+(MAX(0,J555/INDEX(Surface_Engine!$B$12:$B$72,$A555+1)-(F555/INDEX(Surface_Engine!$B$12:$B$72,$A555+1))))^2+2*Assumptions!$B$26*(IF(C555&lt;=0,0,MAX(0,(B555/C555)*G555/INDEX(Surface_Engine!$B$12:$B$72,$A555+1)-F555/INDEX(Surface_Engine!$B$12:$B$72,$A555+1))))*(MAX(IF(D555&lt;=0,0,MAX(0,(B555/D555)*H555/INDEX(Surface_Engine!$B$12:$B$72,$A555+1)-F555/INDEX(Surface_Engine!$B$12:$B$72,$A555+1))),IF(E555&lt;=0,0,MAX(0,(B555/E555)*I555/INDEX(Surface_Engine!$B$12:$B$72,$A555+1)-F555/INDEX(Surface_Engine!$B$12:$B$72,$A555+1))),IF($A555&lt;$Q$510,MAX(0,-Assumptions!$B$22*(F555/INDEX(Surface_Engine!$B$12:$B$72,$A555+1))),0)))+2*Assumptions!$B$27*(IF(C555&lt;=0,0,MAX(0,(B555/C555)*G555/INDEX(Surface_Engine!$B$12:$B$72,$A555+1)-F555/INDEX(Surface_Engine!$B$12:$B$72,$A555+1))))*(MAX(0,J555/INDEX(Surface_Engine!$B$12:$B$72,$A555+1)-(F555/INDEX(Surface_Engine!$B$12:$B$72,$A555+1))))+2*Assumptions!$B$28*(MAX(IF(D555&lt;=0,0,MAX(0,(B555/D555)*H555/INDEX(Surface_Engine!$B$12:$B$72,$A555+1)-F555/INDEX(Surface_Engine!$B$12:$B$72,$A555+1))),IF(E555&lt;=0,0,MAX(0,(B555/E555)*I555/INDEX(Surface_Engine!$B$12:$B$72,$A555+1)-F555/INDEX(Surface_Engine!$B$12:$B$72,$A555+1))),IF($A555&lt;$Q$510,MAX(0,-Assumptions!$B$22*(F555/INDEX(Surface_Engine!$B$12:$B$72,$A555+1))),0)))*(MAX(0,J555/INDEX(Surface_Engine!$B$12:$B$72,$A555+1)-(F555/INDEX(Surface_Engine!$B$12:$B$72,$A555+1)))))</f>
        <v>102.504231097749</v>
      </c>
      <c r="L555" s="48" t="n">
        <f aca="false">K555*INDEX(Surface_Engine!$B$12:$B$72,$A555+1)+L556</f>
        <v>60.0186792133061</v>
      </c>
      <c r="M555" s="48" t="n">
        <f aca="false">M554+B554*(IF($A554&lt;$Q$510,(Surface_Engine!B241*12)-(Surface_Engine!B241*12)*INDEX(Surface_Engine!$F$12:$F$72,$A554+1)-INDEX(Surface_Engine!$D$12:$D$72,$A554+1),-(1000*12*INDEX(Surface_Engine!$C$12:$C$72,$A554+1)/(1+Assumptions!$B$10)^10+INDEX(Surface_Engine!$D$12:$D$72,$A554+1))))*INDEX(Surface_Engine!$B$12:$B$72,$A554+1)</f>
        <v>4019.08211163797</v>
      </c>
      <c r="N555" s="12" t="n">
        <f aca="false">IF(B555&lt;=0,0,MAX(0,(K555+Assumptions!$B$29*L555/INDEX(Surface_Engine!$B$12:$B$72,$A555+1)-(M555/INDEX(Surface_Engine!$B$12:$B$72,$A555+1)-(F555/INDEX(Surface_Engine!$B$12:$B$72,$A555+1))))/B555))</f>
        <v>0</v>
      </c>
    </row>
    <row r="556" customFormat="false" ht="15" hidden="false" customHeight="true" outlineLevel="0" collapsed="false">
      <c r="A556" s="1" t="n">
        <v>44</v>
      </c>
      <c r="B556" s="32" t="n">
        <f aca="false">INDEX(Surface_Engine!$L$12:$L$72,$A556+1)*IF($A556&lt;$Q$510,INDEX(Surface_Engine!$E$12:$E$72,$A556+1),INDEX(Surface_Engine!$E$12:$E$72,$Q$510+1))</f>
        <v>0.00536227724571465</v>
      </c>
      <c r="C556" s="32" t="n">
        <f aca="false">INDEX(Panel_Reserving!$D$8:$D$68,$A556+1)*IF($A556&lt;$Q$510,INDEX(Surface_Engine!$E$12:$E$72,$A556+1),INDEX(Surface_Engine!$E$12:$E$72,$Q$510+1))</f>
        <v>0.0164935630824243</v>
      </c>
      <c r="D556" s="32" t="n">
        <f aca="false">INDEX(Surface_Engine!$L$12:$L$72,$A556+1)*IF($A556&lt;$Q$510,INDEX(Surface_Engine!$Y$12:$Y$72,$A556+1),INDEX(Surface_Engine!$Y$12:$Y$72,$Q$510+1))</f>
        <v>0.00497065113567556</v>
      </c>
      <c r="E556" s="32" t="n">
        <f aca="false">INDEX(Surface_Engine!$L$12:$L$72,$A556+1)*IF($A556&lt;$Q$510,INDEX(Surface_Engine!$Z$12:$Z$72,$A556+1),INDEX(Surface_Engine!$Z$12:$Z$72,$Q$510+1))</f>
        <v>0.00578006039898833</v>
      </c>
      <c r="F556" s="48" t="n">
        <f aca="false">B556*(IF($A556&lt;$Q$510,INDEX(Surface_Engine!$D$12:$D$72,$A556+1)+(Surface_Engine!B241*12)*INDEX(Surface_Engine!$F$12:$F$72,$A556+1)-(Surface_Engine!B241*12),1000*12*INDEX(Surface_Engine!$C$12:$C$72,$A556+1)/(1+Assumptions!$B$10)^10+INDEX(Surface_Engine!$D$12:$D$72,$A556+1)))*INDEX(Surface_Engine!$B$12:$B$72,$A556+1)+F557</f>
        <v>71.4185361727436</v>
      </c>
      <c r="G556" s="48" t="n">
        <f aca="false">C556*(IF($A556&lt;$Q$510,INDEX(Surface_Engine!$D$12:$D$72,$A556+1)+(Surface_Engine!B241*12)*INDEX(Surface_Engine!$F$12:$F$72,$A556+1)-(Surface_Engine!B241*12),1000*12*INDEX(Surface_Engine!$C$12:$C$72,$A556+1)/(1+Assumptions!$B$10)^10+INDEX(Surface_Engine!$D$12:$D$72,$A556+1)))*INDEX(Surface_Engine!$B$12:$B$72,$A556+1)+G557</f>
        <v>267.407083774837</v>
      </c>
      <c r="H556" s="48" t="n">
        <f aca="false">D556*(IF($A556&lt;$Q$510,INDEX(Surface_Engine!$D$12:$D$72,$A556+1)+(Surface_Engine!B241*12)*INDEX(Surface_Engine!$F$12:$F$72,$A556+1)-(Surface_Engine!B241*12),1000*12*INDEX(Surface_Engine!$C$12:$C$72,$A556+1)/(1+Assumptions!$B$10)^10+INDEX(Surface_Engine!$D$12:$D$72,$A556+1)))*INDEX(Surface_Engine!$B$12:$B$72,$A556+1)+H557</f>
        <v>66.2025873837529</v>
      </c>
      <c r="I556" s="48" t="n">
        <f aca="false">E556*(IF($A556&lt;$Q$510,INDEX(Surface_Engine!$D$12:$D$72,$A556+1)+(Surface_Engine!B241*12)*INDEX(Surface_Engine!$F$12:$F$72,$A556+1)-(Surface_Engine!B241*12),1000*12*INDEX(Surface_Engine!$C$12:$C$72,$A556+1)/(1+Assumptions!$B$10)^10+INDEX(Surface_Engine!$D$12:$D$72,$A556+1)))*INDEX(Surface_Engine!$B$12:$B$72,$A556+1)+I557</f>
        <v>76.9828626477099</v>
      </c>
      <c r="J556" s="48" t="n">
        <f aca="false">B556*(IF($A556&lt;$Q$510,INDEX(Surface_Engine!$D$12:$D$72,$A556+1)*(1+Assumptions!$B$24)+(Surface_Engine!B241*12)*INDEX(Surface_Engine!$F$12:$F$72,$A556+1)-(Surface_Engine!B241*12),1000*12*INDEX(Surface_Engine!$C$12:$C$72,$A556+1)/(1+Assumptions!$B$10)^10+INDEX(Surface_Engine!$D$12:$D$72,$A556+1)*(1+Assumptions!$B$24)))*INDEX(Surface_Engine!$B$12:$B$72,$A556+1)+J557</f>
        <v>71.4919625040776</v>
      </c>
      <c r="K556" s="12" t="n">
        <f aca="false">SQRT((IF(C556&lt;=0,0,MAX(0,(B556/C556)*G556/INDEX(Surface_Engine!$B$12:$B$72,$A556+1)-F556/INDEX(Surface_Engine!$B$12:$B$72,$A556+1))))^2+(MAX(IF(D556&lt;=0,0,MAX(0,(B556/D556)*H556/INDEX(Surface_Engine!$B$12:$B$72,$A556+1)-F556/INDEX(Surface_Engine!$B$12:$B$72,$A556+1))),IF(E556&lt;=0,0,MAX(0,(B556/E556)*I556/INDEX(Surface_Engine!$B$12:$B$72,$A556+1)-F556/INDEX(Surface_Engine!$B$12:$B$72,$A556+1))),IF($A556&lt;$Q$510,MAX(0,-Assumptions!$B$22*(F556/INDEX(Surface_Engine!$B$12:$B$72,$A556+1))),0)))^2+(MAX(0,J556/INDEX(Surface_Engine!$B$12:$B$72,$A556+1)-(F556/INDEX(Surface_Engine!$B$12:$B$72,$A556+1))))^2+2*Assumptions!$B$26*(IF(C556&lt;=0,0,MAX(0,(B556/C556)*G556/INDEX(Surface_Engine!$B$12:$B$72,$A556+1)-F556/INDEX(Surface_Engine!$B$12:$B$72,$A556+1))))*(MAX(IF(D556&lt;=0,0,MAX(0,(B556/D556)*H556/INDEX(Surface_Engine!$B$12:$B$72,$A556+1)-F556/INDEX(Surface_Engine!$B$12:$B$72,$A556+1))),IF(E556&lt;=0,0,MAX(0,(B556/E556)*I556/INDEX(Surface_Engine!$B$12:$B$72,$A556+1)-F556/INDEX(Surface_Engine!$B$12:$B$72,$A556+1))),IF($A556&lt;$Q$510,MAX(0,-Assumptions!$B$22*(F556/INDEX(Surface_Engine!$B$12:$B$72,$A556+1))),0)))+2*Assumptions!$B$27*(IF(C556&lt;=0,0,MAX(0,(B556/C556)*G556/INDEX(Surface_Engine!$B$12:$B$72,$A556+1)-F556/INDEX(Surface_Engine!$B$12:$B$72,$A556+1))))*(MAX(0,J556/INDEX(Surface_Engine!$B$12:$B$72,$A556+1)-(F556/INDEX(Surface_Engine!$B$12:$B$72,$A556+1))))+2*Assumptions!$B$28*(MAX(IF(D556&lt;=0,0,MAX(0,(B556/D556)*H556/INDEX(Surface_Engine!$B$12:$B$72,$A556+1)-F556/INDEX(Surface_Engine!$B$12:$B$72,$A556+1))),IF(E556&lt;=0,0,MAX(0,(B556/E556)*I556/INDEX(Surface_Engine!$B$12:$B$72,$A556+1)-F556/INDEX(Surface_Engine!$B$12:$B$72,$A556+1))),IF($A556&lt;$Q$510,MAX(0,-Assumptions!$B$22*(F556/INDEX(Surface_Engine!$B$12:$B$72,$A556+1))),0)))*(MAX(0,J556/INDEX(Surface_Engine!$B$12:$B$72,$A556+1)-(F556/INDEX(Surface_Engine!$B$12:$B$72,$A556+1)))))</f>
        <v>62.3141208418186</v>
      </c>
      <c r="L556" s="48" t="n">
        <f aca="false">K556*INDEX(Surface_Engine!$B$12:$B$72,$A556+1)+L557</f>
        <v>33.6293042442833</v>
      </c>
      <c r="M556" s="48" t="n">
        <f aca="false">M555+B555*(IF($A555&lt;$Q$510,(Surface_Engine!B241*12)-(Surface_Engine!B241*12)*INDEX(Surface_Engine!$F$12:$F$72,$A555+1)-INDEX(Surface_Engine!$D$12:$D$72,$A555+1),-(1000*12*INDEX(Surface_Engine!$C$12:$C$72,$A555+1)/(1+Assumptions!$B$10)^10+INDEX(Surface_Engine!$D$12:$D$72,$A555+1))))*INDEX(Surface_Engine!$B$12:$B$72,$A555+1)</f>
        <v>3966.85753210946</v>
      </c>
      <c r="N556" s="12" t="n">
        <f aca="false">IF(B556&lt;=0,0,MAX(0,(K556+Assumptions!$B$29*L556/INDEX(Surface_Engine!$B$12:$B$72,$A556+1)-(M556/INDEX(Surface_Engine!$B$12:$B$72,$A556+1)-(F556/INDEX(Surface_Engine!$B$12:$B$72,$A556+1))))/B556))</f>
        <v>0</v>
      </c>
    </row>
    <row r="557" customFormat="false" ht="15" hidden="false" customHeight="true" outlineLevel="0" collapsed="false">
      <c r="A557" s="1" t="n">
        <v>45</v>
      </c>
      <c r="B557" s="32" t="n">
        <f aca="false">INDEX(Surface_Engine!$L$12:$L$72,$A557+1)*IF($A557&lt;$Q$510,INDEX(Surface_Engine!$E$12:$E$72,$A557+1),INDEX(Surface_Engine!$E$12:$E$72,$Q$510+1))</f>
        <v>0.0031561771126184</v>
      </c>
      <c r="C557" s="32" t="n">
        <f aca="false">INDEX(Panel_Reserving!$D$8:$D$68,$A557+1)*IF($A557&lt;$Q$510,INDEX(Surface_Engine!$E$12:$E$72,$A557+1),INDEX(Surface_Engine!$E$12:$E$72,$Q$510+1))</f>
        <v>0.0110650557458525</v>
      </c>
      <c r="D557" s="32" t="n">
        <f aca="false">INDEX(Surface_Engine!$L$12:$L$72,$A557+1)*IF($A557&lt;$Q$510,INDEX(Surface_Engine!$Y$12:$Y$72,$A557+1),INDEX(Surface_Engine!$Y$12:$Y$72,$Q$510+1))</f>
        <v>0.00292567031325494</v>
      </c>
      <c r="E557" s="32" t="n">
        <f aca="false">INDEX(Surface_Engine!$L$12:$L$72,$A557+1)*IF($A557&lt;$Q$510,INDEX(Surface_Engine!$Z$12:$Z$72,$A557+1),INDEX(Surface_Engine!$Z$12:$Z$72,$Q$510+1))</f>
        <v>0.00340207965849174</v>
      </c>
      <c r="F557" s="48" t="n">
        <f aca="false">B557*(IF($A557&lt;$Q$510,INDEX(Surface_Engine!$D$12:$D$72,$A557+1)+(Surface_Engine!B241*12)*INDEX(Surface_Engine!$F$12:$F$72,$A557+1)-(Surface_Engine!B241*12),1000*12*INDEX(Surface_Engine!$C$12:$C$72,$A557+1)/(1+Assumptions!$B$10)^10+INDEX(Surface_Engine!$D$12:$D$72,$A557+1)))*INDEX(Surface_Engine!$B$12:$B$72,$A557+1)+F558</f>
        <v>39.6354129095098</v>
      </c>
      <c r="G557" s="48" t="n">
        <f aca="false">C557*(IF($A557&lt;$Q$510,INDEX(Surface_Engine!$D$12:$D$72,$A557+1)+(Surface_Engine!B241*12)*INDEX(Surface_Engine!$F$12:$F$72,$A557+1)-(Surface_Engine!B241*12),1000*12*INDEX(Surface_Engine!$C$12:$C$72,$A557+1)/(1+Assumptions!$B$10)^10+INDEX(Surface_Engine!$D$12:$D$72,$A557+1)))*INDEX(Surface_Engine!$B$12:$B$72,$A557+1)+G558</f>
        <v>169.646948579002</v>
      </c>
      <c r="H557" s="48" t="n">
        <f aca="false">D557*(IF($A557&lt;$Q$510,INDEX(Surface_Engine!$D$12:$D$72,$A557+1)+(Surface_Engine!B241*12)*INDEX(Surface_Engine!$F$12:$F$72,$A557+1)-(Surface_Engine!B241*12),1000*12*INDEX(Surface_Engine!$C$12:$C$72,$A557+1)/(1+Assumptions!$B$10)^10+INDEX(Surface_Engine!$D$12:$D$72,$A557+1)))*INDEX(Surface_Engine!$B$12:$B$72,$A557+1)+H558</f>
        <v>36.7406982451479</v>
      </c>
      <c r="I557" s="48" t="n">
        <f aca="false">E557*(IF($A557&lt;$Q$510,INDEX(Surface_Engine!$D$12:$D$72,$A557+1)+(Surface_Engine!B241*12)*INDEX(Surface_Engine!$F$12:$F$72,$A557+1)-(Surface_Engine!B241*12),1000*12*INDEX(Surface_Engine!$C$12:$C$72,$A557+1)/(1+Assumptions!$B$10)^10+INDEX(Surface_Engine!$D$12:$D$72,$A557+1)))*INDEX(Surface_Engine!$B$12:$B$72,$A557+1)+I558</f>
        <v>42.7234680450164</v>
      </c>
      <c r="J557" s="48" t="n">
        <f aca="false">B557*(IF($A557&lt;$Q$510,INDEX(Surface_Engine!$D$12:$D$72,$A557+1)*(1+Assumptions!$B$24)+(Surface_Engine!B241*12)*INDEX(Surface_Engine!$F$12:$F$72,$A557+1)-(Surface_Engine!B241*12),1000*12*INDEX(Surface_Engine!$C$12:$C$72,$A557+1)/(1+Assumptions!$B$10)^10+INDEX(Surface_Engine!$D$12:$D$72,$A557+1)*(1+Assumptions!$B$24)))*INDEX(Surface_Engine!$B$12:$B$72,$A557+1)+J558</f>
        <v>39.6763446998159</v>
      </c>
      <c r="K557" s="12" t="n">
        <f aca="false">SQRT((IF(C557&lt;=0,0,MAX(0,(B557/C557)*G557/INDEX(Surface_Engine!$B$12:$B$72,$A557+1)-F557/INDEX(Surface_Engine!$B$12:$B$72,$A557+1))))^2+(MAX(IF(D557&lt;=0,0,MAX(0,(B557/D557)*H557/INDEX(Surface_Engine!$B$12:$B$72,$A557+1)-F557/INDEX(Surface_Engine!$B$12:$B$72,$A557+1))),IF(E557&lt;=0,0,MAX(0,(B557/E557)*I557/INDEX(Surface_Engine!$B$12:$B$72,$A557+1)-F557/INDEX(Surface_Engine!$B$12:$B$72,$A557+1))),IF($A557&lt;$Q$510,MAX(0,-Assumptions!$B$22*(F557/INDEX(Surface_Engine!$B$12:$B$72,$A557+1))),0)))^2+(MAX(0,J557/INDEX(Surface_Engine!$B$12:$B$72,$A557+1)-(F557/INDEX(Surface_Engine!$B$12:$B$72,$A557+1))))^2+2*Assumptions!$B$26*(IF(C557&lt;=0,0,MAX(0,(B557/C557)*G557/INDEX(Surface_Engine!$B$12:$B$72,$A557+1)-F557/INDEX(Surface_Engine!$B$12:$B$72,$A557+1))))*(MAX(IF(D557&lt;=0,0,MAX(0,(B557/D557)*H557/INDEX(Surface_Engine!$B$12:$B$72,$A557+1)-F557/INDEX(Surface_Engine!$B$12:$B$72,$A557+1))),IF(E557&lt;=0,0,MAX(0,(B557/E557)*I557/INDEX(Surface_Engine!$B$12:$B$72,$A557+1)-F557/INDEX(Surface_Engine!$B$12:$B$72,$A557+1))),IF($A557&lt;$Q$510,MAX(0,-Assumptions!$B$22*(F557/INDEX(Surface_Engine!$B$12:$B$72,$A557+1))),0)))+2*Assumptions!$B$27*(IF(C557&lt;=0,0,MAX(0,(B557/C557)*G557/INDEX(Surface_Engine!$B$12:$B$72,$A557+1)-F557/INDEX(Surface_Engine!$B$12:$B$72,$A557+1))))*(MAX(0,J557/INDEX(Surface_Engine!$B$12:$B$72,$A557+1)-(F557/INDEX(Surface_Engine!$B$12:$B$72,$A557+1))))+2*Assumptions!$B$28*(MAX(IF(D557&lt;=0,0,MAX(0,(B557/D557)*H557/INDEX(Surface_Engine!$B$12:$B$72,$A557+1)-F557/INDEX(Surface_Engine!$B$12:$B$72,$A557+1))),IF(E557&lt;=0,0,MAX(0,(B557/E557)*I557/INDEX(Surface_Engine!$B$12:$B$72,$A557+1)-F557/INDEX(Surface_Engine!$B$12:$B$72,$A557+1))),IF($A557&lt;$Q$510,MAX(0,-Assumptions!$B$22*(F557/INDEX(Surface_Engine!$B$12:$B$72,$A557+1))),0)))*(MAX(0,J557/INDEX(Surface_Engine!$B$12:$B$72,$A557+1)-(F557/INDEX(Surface_Engine!$B$12:$B$72,$A557+1)))))</f>
        <v>36.3101555133678</v>
      </c>
      <c r="L557" s="48" t="n">
        <f aca="false">K557*INDEX(Surface_Engine!$B$12:$B$72,$A557+1)+L558</f>
        <v>18.0917132482133</v>
      </c>
      <c r="M557" s="48" t="n">
        <f aca="false">M556+B556*(IF($A556&lt;$Q$510,(Surface_Engine!B241*12)-(Surface_Engine!B241*12)*INDEX(Surface_Engine!$F$12:$F$72,$A556+1)-INDEX(Surface_Engine!$D$12:$D$72,$A556+1),-(1000*12*INDEX(Surface_Engine!$C$12:$C$72,$A556+1)/(1+Assumptions!$B$10)^10+INDEX(Surface_Engine!$D$12:$D$72,$A556+1))))*INDEX(Surface_Engine!$B$12:$B$72,$A556+1)</f>
        <v>3935.07440884623</v>
      </c>
      <c r="N557" s="12" t="n">
        <f aca="false">IF(B557&lt;=0,0,MAX(0,(K557+Assumptions!$B$29*L557/INDEX(Surface_Engine!$B$12:$B$72,$A557+1)-(M557/INDEX(Surface_Engine!$B$12:$B$72,$A557+1)-(F557/INDEX(Surface_Engine!$B$12:$B$72,$A557+1))))/B557))</f>
        <v>0</v>
      </c>
    </row>
    <row r="558" customFormat="false" ht="15" hidden="false" customHeight="true" outlineLevel="0" collapsed="false">
      <c r="A558" s="1" t="n">
        <v>46</v>
      </c>
      <c r="B558" s="32" t="n">
        <f aca="false">INDEX(Surface_Engine!$L$12:$L$72,$A558+1)*IF($A558&lt;$Q$510,INDEX(Surface_Engine!$E$12:$E$72,$A558+1),INDEX(Surface_Engine!$E$12:$E$72,$Q$510+1))</f>
        <v>0.00176559419232346</v>
      </c>
      <c r="C558" s="32" t="n">
        <f aca="false">INDEX(Panel_Reserving!$D$8:$D$68,$A558+1)*IF($A558&lt;$Q$510,INDEX(Surface_Engine!$E$12:$E$72,$A558+1),INDEX(Surface_Engine!$E$12:$E$72,$Q$510+1))</f>
        <v>0.00716492543421006</v>
      </c>
      <c r="D558" s="32" t="n">
        <f aca="false">INDEX(Surface_Engine!$L$12:$L$72,$A558+1)*IF($A558&lt;$Q$510,INDEX(Surface_Engine!$Y$12:$Y$72,$A558+1),INDEX(Surface_Engine!$Y$12:$Y$72,$Q$510+1))</f>
        <v>0.00163664659156302</v>
      </c>
      <c r="E558" s="32" t="n">
        <f aca="false">INDEX(Surface_Engine!$L$12:$L$72,$A558+1)*IF($A558&lt;$Q$510,INDEX(Surface_Engine!$Z$12:$Z$72,$A558+1),INDEX(Surface_Engine!$Z$12:$Z$72,$Q$510+1))</f>
        <v>0.0019031543137551</v>
      </c>
      <c r="F558" s="48" t="n">
        <f aca="false">B558*(IF($A558&lt;$Q$510,INDEX(Surface_Engine!$D$12:$D$72,$A558+1)+(Surface_Engine!B241*12)*INDEX(Surface_Engine!$F$12:$F$72,$A558+1)-(Surface_Engine!B241*12),1000*12*INDEX(Surface_Engine!$C$12:$C$72,$A558+1)/(1+Assumptions!$B$10)^10+INDEX(Surface_Engine!$D$12:$D$72,$A558+1)))*INDEX(Surface_Engine!$B$12:$B$72,$A558+1)+F559</f>
        <v>21.1621870352765</v>
      </c>
      <c r="G558" s="48" t="n">
        <f aca="false">C558*(IF($A558&lt;$Q$510,INDEX(Surface_Engine!$D$12:$D$72,$A558+1)+(Surface_Engine!B241*12)*INDEX(Surface_Engine!$F$12:$F$72,$A558+1)-(Surface_Engine!B241*12),1000*12*INDEX(Surface_Engine!$C$12:$C$72,$A558+1)/(1+Assumptions!$B$10)^10+INDEX(Surface_Engine!$D$12:$D$72,$A558+1)))*INDEX(Surface_Engine!$B$12:$B$72,$A558+1)+G559</f>
        <v>104.882752271103</v>
      </c>
      <c r="H558" s="48" t="n">
        <f aca="false">D558*(IF($A558&lt;$Q$510,INDEX(Surface_Engine!$D$12:$D$72,$A558+1)+(Surface_Engine!B241*12)*INDEX(Surface_Engine!$F$12:$F$72,$A558+1)-(Surface_Engine!B241*12),1000*12*INDEX(Surface_Engine!$C$12:$C$72,$A558+1)/(1+Assumptions!$B$10)^10+INDEX(Surface_Engine!$D$12:$D$72,$A558+1)))*INDEX(Surface_Engine!$B$12:$B$72,$A558+1)+H559</f>
        <v>19.6166375217432</v>
      </c>
      <c r="I558" s="48" t="n">
        <f aca="false">E558*(IF($A558&lt;$Q$510,INDEX(Surface_Engine!$D$12:$D$72,$A558+1)+(Surface_Engine!B241*12)*INDEX(Surface_Engine!$F$12:$F$72,$A558+1)-(Surface_Engine!B241*12),1000*12*INDEX(Surface_Engine!$C$12:$C$72,$A558+1)/(1+Assumptions!$B$10)^10+INDEX(Surface_Engine!$D$12:$D$72,$A558+1)))*INDEX(Surface_Engine!$B$12:$B$72,$A558+1)+I559</f>
        <v>22.8109651242555</v>
      </c>
      <c r="J558" s="48" t="n">
        <f aca="false">B558*(IF($A558&lt;$Q$510,INDEX(Surface_Engine!$D$12:$D$72,$A558+1)*(1+Assumptions!$B$24)+(Surface_Engine!B241*12)*INDEX(Surface_Engine!$F$12:$F$72,$A558+1)-(Surface_Engine!B241*12),1000*12*INDEX(Surface_Engine!$C$12:$C$72,$A558+1)/(1+Assumptions!$B$10)^10+INDEX(Surface_Engine!$D$12:$D$72,$A558+1)*(1+Assumptions!$B$24)))*INDEX(Surface_Engine!$B$12:$B$72,$A558+1)+J559</f>
        <v>21.1841404732933</v>
      </c>
      <c r="K558" s="12" t="n">
        <f aca="false">SQRT((IF(C558&lt;=0,0,MAX(0,(B558/C558)*G558/INDEX(Surface_Engine!$B$12:$B$72,$A558+1)-F558/INDEX(Surface_Engine!$B$12:$B$72,$A558+1))))^2+(MAX(IF(D558&lt;=0,0,MAX(0,(B558/D558)*H558/INDEX(Surface_Engine!$B$12:$B$72,$A558+1)-F558/INDEX(Surface_Engine!$B$12:$B$72,$A558+1))),IF(E558&lt;=0,0,MAX(0,(B558/E558)*I558/INDEX(Surface_Engine!$B$12:$B$72,$A558+1)-F558/INDEX(Surface_Engine!$B$12:$B$72,$A558+1))),IF($A558&lt;$Q$510,MAX(0,-Assumptions!$B$22*(F558/INDEX(Surface_Engine!$B$12:$B$72,$A558+1))),0)))^2+(MAX(0,J558/INDEX(Surface_Engine!$B$12:$B$72,$A558+1)-(F558/INDEX(Surface_Engine!$B$12:$B$72,$A558+1))))^2+2*Assumptions!$B$26*(IF(C558&lt;=0,0,MAX(0,(B558/C558)*G558/INDEX(Surface_Engine!$B$12:$B$72,$A558+1)-F558/INDEX(Surface_Engine!$B$12:$B$72,$A558+1))))*(MAX(IF(D558&lt;=0,0,MAX(0,(B558/D558)*H558/INDEX(Surface_Engine!$B$12:$B$72,$A558+1)-F558/INDEX(Surface_Engine!$B$12:$B$72,$A558+1))),IF(E558&lt;=0,0,MAX(0,(B558/E558)*I558/INDEX(Surface_Engine!$B$12:$B$72,$A558+1)-F558/INDEX(Surface_Engine!$B$12:$B$72,$A558+1))),IF($A558&lt;$Q$510,MAX(0,-Assumptions!$B$22*(F558/INDEX(Surface_Engine!$B$12:$B$72,$A558+1))),0)))+2*Assumptions!$B$27*(IF(C558&lt;=0,0,MAX(0,(B558/C558)*G558/INDEX(Surface_Engine!$B$12:$B$72,$A558+1)-F558/INDEX(Surface_Engine!$B$12:$B$72,$A558+1))))*(MAX(0,J558/INDEX(Surface_Engine!$B$12:$B$72,$A558+1)-(F558/INDEX(Surface_Engine!$B$12:$B$72,$A558+1))))+2*Assumptions!$B$28*(MAX(IF(D558&lt;=0,0,MAX(0,(B558/D558)*H558/INDEX(Surface_Engine!$B$12:$B$72,$A558+1)-F558/INDEX(Surface_Engine!$B$12:$B$72,$A558+1))),IF(E558&lt;=0,0,MAX(0,(B558/E558)*I558/INDEX(Surface_Engine!$B$12:$B$72,$A558+1)-F558/INDEX(Surface_Engine!$B$12:$B$72,$A558+1))),IF($A558&lt;$Q$510,MAX(0,-Assumptions!$B$22*(F558/INDEX(Surface_Engine!$B$12:$B$72,$A558+1))),0)))*(MAX(0,J558/INDEX(Surface_Engine!$B$12:$B$72,$A558+1)-(F558/INDEX(Surface_Engine!$B$12:$B$72,$A558+1)))))</f>
        <v>20.0566783089937</v>
      </c>
      <c r="L558" s="48" t="n">
        <f aca="false">K558*INDEX(Surface_Engine!$B$12:$B$72,$A558+1)+L559</f>
        <v>9.32700525094192</v>
      </c>
      <c r="M558" s="48" t="n">
        <f aca="false">M557+B557*(IF($A557&lt;$Q$510,(Surface_Engine!B241*12)-(Surface_Engine!B241*12)*INDEX(Surface_Engine!$F$12:$F$72,$A557+1)-INDEX(Surface_Engine!$D$12:$D$72,$A557+1),-(1000*12*INDEX(Surface_Engine!$C$12:$C$72,$A557+1)/(1+Assumptions!$B$10)^10+INDEX(Surface_Engine!$D$12:$D$72,$A557+1))))*INDEX(Surface_Engine!$B$12:$B$72,$A557+1)</f>
        <v>3916.60118297199</v>
      </c>
      <c r="N558" s="12" t="n">
        <f aca="false">IF(B558&lt;=0,0,MAX(0,(K558+Assumptions!$B$29*L558/INDEX(Surface_Engine!$B$12:$B$72,$A558+1)-(M558/INDEX(Surface_Engine!$B$12:$B$72,$A558+1)-(F558/INDEX(Surface_Engine!$B$12:$B$72,$A558+1))))/B558))</f>
        <v>0</v>
      </c>
    </row>
    <row r="559" customFormat="false" ht="15" hidden="false" customHeight="true" outlineLevel="0" collapsed="false">
      <c r="A559" s="1" t="n">
        <v>47</v>
      </c>
      <c r="B559" s="32" t="n">
        <f aca="false">INDEX(Surface_Engine!$L$12:$L$72,$A559+1)*IF($A559&lt;$Q$510,INDEX(Surface_Engine!$E$12:$E$72,$A559+1),INDEX(Surface_Engine!$E$12:$E$72,$Q$510+1))</f>
        <v>0.000956531595601698</v>
      </c>
      <c r="C559" s="32" t="n">
        <f aca="false">INDEX(Panel_Reserving!$D$8:$D$68,$A559+1)*IF($A559&lt;$Q$510,INDEX(Surface_Engine!$E$12:$E$72,$A559+1),INDEX(Surface_Engine!$E$12:$E$72,$Q$510+1))</f>
        <v>0.00453833175721509</v>
      </c>
      <c r="D559" s="32" t="n">
        <f aca="false">INDEX(Surface_Engine!$L$12:$L$72,$A559+1)*IF($A559&lt;$Q$510,INDEX(Surface_Engine!$Y$12:$Y$72,$A559+1),INDEX(Surface_Engine!$Y$12:$Y$72,$Q$510+1))</f>
        <v>0.000886672703427791</v>
      </c>
      <c r="E559" s="32" t="n">
        <f aca="false">INDEX(Surface_Engine!$L$12:$L$72,$A559+1)*IF($A559&lt;$Q$510,INDEX(Surface_Engine!$Z$12:$Z$72,$A559+1),INDEX(Surface_Engine!$Z$12:$Z$72,$Q$510+1))</f>
        <v>0.00103105642300329</v>
      </c>
      <c r="F559" s="48" t="n">
        <f aca="false">B559*(IF($A559&lt;$Q$510,INDEX(Surface_Engine!$D$12:$D$72,$A559+1)+(Surface_Engine!B241*12)*INDEX(Surface_Engine!$F$12:$F$72,$A559+1)-(Surface_Engine!B241*12),1000*12*INDEX(Surface_Engine!$C$12:$C$72,$A559+1)/(1+Assumptions!$B$10)^10+INDEX(Surface_Engine!$D$12:$D$72,$A559+1)))*INDEX(Surface_Engine!$B$12:$B$72,$A559+1)+F560</f>
        <v>10.9531877142937</v>
      </c>
      <c r="G559" s="48" t="n">
        <f aca="false">C559*(IF($A559&lt;$Q$510,INDEX(Surface_Engine!$D$12:$D$72,$A559+1)+(Surface_Engine!B241*12)*INDEX(Surface_Engine!$F$12:$F$72,$A559+1)-(Surface_Engine!B241*12),1000*12*INDEX(Surface_Engine!$C$12:$C$72,$A559+1)/(1+Assumptions!$B$10)^10+INDEX(Surface_Engine!$D$12:$D$72,$A559+1)))*INDEX(Surface_Engine!$B$12:$B$72,$A559+1)+G560</f>
        <v>63.4537992247155</v>
      </c>
      <c r="H559" s="48" t="n">
        <f aca="false">D559*(IF($A559&lt;$Q$510,INDEX(Surface_Engine!$D$12:$D$72,$A559+1)+(Surface_Engine!B241*12)*INDEX(Surface_Engine!$F$12:$F$72,$A559+1)-(Surface_Engine!B241*12),1000*12*INDEX(Surface_Engine!$C$12:$C$72,$A559+1)/(1+Assumptions!$B$10)^10+INDEX(Surface_Engine!$D$12:$D$72,$A559+1)))*INDEX(Surface_Engine!$B$12:$B$72,$A559+1)+H560</f>
        <v>10.1532375997216</v>
      </c>
      <c r="I559" s="48" t="n">
        <f aca="false">E559*(IF($A559&lt;$Q$510,INDEX(Surface_Engine!$D$12:$D$72,$A559+1)+(Surface_Engine!B241*12)*INDEX(Surface_Engine!$F$12:$F$72,$A559+1)-(Surface_Engine!B241*12),1000*12*INDEX(Surface_Engine!$C$12:$C$72,$A559+1)/(1+Assumptions!$B$10)^10+INDEX(Surface_Engine!$D$12:$D$72,$A559+1)))*INDEX(Surface_Engine!$B$12:$B$72,$A559+1)+I560</f>
        <v>11.8065671820064</v>
      </c>
      <c r="J559" s="48" t="n">
        <f aca="false">B559*(IF($A559&lt;$Q$510,INDEX(Surface_Engine!$D$12:$D$72,$A559+1)*(1+Assumptions!$B$24)+(Surface_Engine!B241*12)*INDEX(Surface_Engine!$F$12:$F$72,$A559+1)-(Surface_Engine!B241*12),1000*12*INDEX(Surface_Engine!$C$12:$C$72,$A559+1)/(1+Assumptions!$B$10)^10+INDEX(Surface_Engine!$D$12:$D$72,$A559+1)*(1+Assumptions!$B$24)))*INDEX(Surface_Engine!$B$12:$B$72,$A559+1)+J560</f>
        <v>10.9646021193765</v>
      </c>
      <c r="K559" s="12" t="n">
        <f aca="false">SQRT((IF(C559&lt;=0,0,MAX(0,(B559/C559)*G559/INDEX(Surface_Engine!$B$12:$B$72,$A559+1)-F559/INDEX(Surface_Engine!$B$12:$B$72,$A559+1))))^2+(MAX(IF(D559&lt;=0,0,MAX(0,(B559/D559)*H559/INDEX(Surface_Engine!$B$12:$B$72,$A559+1)-F559/INDEX(Surface_Engine!$B$12:$B$72,$A559+1))),IF(E559&lt;=0,0,MAX(0,(B559/E559)*I559/INDEX(Surface_Engine!$B$12:$B$72,$A559+1)-F559/INDEX(Surface_Engine!$B$12:$B$72,$A559+1))),IF($A559&lt;$Q$510,MAX(0,-Assumptions!$B$22*(F559/INDEX(Surface_Engine!$B$12:$B$72,$A559+1))),0)))^2+(MAX(0,J559/INDEX(Surface_Engine!$B$12:$B$72,$A559+1)-(F559/INDEX(Surface_Engine!$B$12:$B$72,$A559+1))))^2+2*Assumptions!$B$26*(IF(C559&lt;=0,0,MAX(0,(B559/C559)*G559/INDEX(Surface_Engine!$B$12:$B$72,$A559+1)-F559/INDEX(Surface_Engine!$B$12:$B$72,$A559+1))))*(MAX(IF(D559&lt;=0,0,MAX(0,(B559/D559)*H559/INDEX(Surface_Engine!$B$12:$B$72,$A559+1)-F559/INDEX(Surface_Engine!$B$12:$B$72,$A559+1))),IF(E559&lt;=0,0,MAX(0,(B559/E559)*I559/INDEX(Surface_Engine!$B$12:$B$72,$A559+1)-F559/INDEX(Surface_Engine!$B$12:$B$72,$A559+1))),IF($A559&lt;$Q$510,MAX(0,-Assumptions!$B$22*(F559/INDEX(Surface_Engine!$B$12:$B$72,$A559+1))),0)))+2*Assumptions!$B$27*(IF(C559&lt;=0,0,MAX(0,(B559/C559)*G559/INDEX(Surface_Engine!$B$12:$B$72,$A559+1)-F559/INDEX(Surface_Engine!$B$12:$B$72,$A559+1))))*(MAX(0,J559/INDEX(Surface_Engine!$B$12:$B$72,$A559+1)-(F559/INDEX(Surface_Engine!$B$12:$B$72,$A559+1))))+2*Assumptions!$B$28*(MAX(IF(D559&lt;=0,0,MAX(0,(B559/D559)*H559/INDEX(Surface_Engine!$B$12:$B$72,$A559+1)-F559/INDEX(Surface_Engine!$B$12:$B$72,$A559+1))),IF(E559&lt;=0,0,MAX(0,(B559/E559)*I559/INDEX(Surface_Engine!$B$12:$B$72,$A559+1)-F559/INDEX(Surface_Engine!$B$12:$B$72,$A559+1))),IF($A559&lt;$Q$510,MAX(0,-Assumptions!$B$22*(F559/INDEX(Surface_Engine!$B$12:$B$72,$A559+1))),0)))*(MAX(0,J559/INDEX(Surface_Engine!$B$12:$B$72,$A559+1)-(F559/INDEX(Surface_Engine!$B$12:$B$72,$A559+1)))))</f>
        <v>10.705211275522</v>
      </c>
      <c r="L559" s="48" t="n">
        <f aca="false">K559*INDEX(Surface_Engine!$B$12:$B$72,$A559+1)+L560</f>
        <v>4.63825372478553</v>
      </c>
      <c r="M559" s="48" t="n">
        <f aca="false">M558+B558*(IF($A558&lt;$Q$510,(Surface_Engine!B241*12)-(Surface_Engine!B241*12)*INDEX(Surface_Engine!$F$12:$F$72,$A558+1)-INDEX(Surface_Engine!$D$12:$D$72,$A558+1),-(1000*12*INDEX(Surface_Engine!$C$12:$C$72,$A558+1)/(1+Assumptions!$B$10)^10+INDEX(Surface_Engine!$D$12:$D$72,$A558+1))))*INDEX(Surface_Engine!$B$12:$B$72,$A558+1)</f>
        <v>3906.39218365101</v>
      </c>
      <c r="N559" s="12" t="n">
        <f aca="false">IF(B559&lt;=0,0,MAX(0,(K559+Assumptions!$B$29*L559/INDEX(Surface_Engine!$B$12:$B$72,$A559+1)-(M559/INDEX(Surface_Engine!$B$12:$B$72,$A559+1)-(F559/INDEX(Surface_Engine!$B$12:$B$72,$A559+1))))/B559))</f>
        <v>0</v>
      </c>
    </row>
    <row r="560" customFormat="false" ht="15" hidden="false" customHeight="true" outlineLevel="0" collapsed="false">
      <c r="A560" s="1" t="n">
        <v>48</v>
      </c>
      <c r="B560" s="32" t="n">
        <f aca="false">INDEX(Surface_Engine!$L$12:$L$72,$A560+1)*IF($A560&lt;$Q$510,INDEX(Surface_Engine!$E$12:$E$72,$A560+1),INDEX(Surface_Engine!$E$12:$E$72,$Q$510+1))</f>
        <v>0.000501400875689035</v>
      </c>
      <c r="C560" s="32" t="n">
        <f aca="false">INDEX(Panel_Reserving!$D$8:$D$68,$A560+1)*IF($A560&lt;$Q$510,INDEX(Surface_Engine!$E$12:$E$72,$A560+1),INDEX(Surface_Engine!$E$12:$E$72,$Q$510+1))</f>
        <v>0.00281081186399964</v>
      </c>
      <c r="D560" s="32" t="n">
        <f aca="false">INDEX(Surface_Engine!$L$12:$L$72,$A560+1)*IF($A560&lt;$Q$510,INDEX(Surface_Engine!$Y$12:$Y$72,$A560+1),INDEX(Surface_Engine!$Y$12:$Y$72,$Q$510+1))</f>
        <v>0.000464781792878049</v>
      </c>
      <c r="E560" s="32" t="n">
        <f aca="false">INDEX(Surface_Engine!$L$12:$L$72,$A560+1)*IF($A560&lt;$Q$510,INDEX(Surface_Engine!$Z$12:$Z$72,$A560+1),INDEX(Surface_Engine!$Z$12:$Z$72,$Q$510+1))</f>
        <v>0.00054046577839748</v>
      </c>
      <c r="F560" s="48" t="n">
        <f aca="false">B560*(IF($A560&lt;$Q$510,INDEX(Surface_Engine!$D$12:$D$72,$A560+1)+(Surface_Engine!B241*12)*INDEX(Surface_Engine!$F$12:$F$72,$A560+1)-(Surface_Engine!B241*12),1000*12*INDEX(Surface_Engine!$C$12:$C$72,$A560+1)/(1+Assumptions!$B$10)^10+INDEX(Surface_Engine!$D$12:$D$72,$A560+1)))*INDEX(Surface_Engine!$B$12:$B$72,$A560+1)+F561</f>
        <v>5.48939512722767</v>
      </c>
      <c r="G560" s="48" t="n">
        <f aca="false">C560*(IF($A560&lt;$Q$510,INDEX(Surface_Engine!$D$12:$D$72,$A560+1)+(Surface_Engine!B241*12)*INDEX(Surface_Engine!$F$12:$F$72,$A560+1)-(Surface_Engine!B241*12),1000*12*INDEX(Surface_Engine!$C$12:$C$72,$A560+1)/(1+Assumptions!$B$10)^10+INDEX(Surface_Engine!$D$12:$D$72,$A560+1)))*INDEX(Surface_Engine!$B$12:$B$72,$A560+1)+G561</f>
        <v>37.5304491474816</v>
      </c>
      <c r="H560" s="48" t="n">
        <f aca="false">D560*(IF($A560&lt;$Q$510,INDEX(Surface_Engine!$D$12:$D$72,$A560+1)+(Surface_Engine!B241*12)*INDEX(Surface_Engine!$F$12:$F$72,$A560+1)-(Surface_Engine!B241*12),1000*12*INDEX(Surface_Engine!$C$12:$C$72,$A560+1)/(1+Assumptions!$B$10)^10+INDEX(Surface_Engine!$D$12:$D$72,$A560+1)))*INDEX(Surface_Engine!$B$12:$B$72,$A560+1)+H561</f>
        <v>5.08848514782261</v>
      </c>
      <c r="I560" s="48" t="n">
        <f aca="false">E560*(IF($A560&lt;$Q$510,INDEX(Surface_Engine!$D$12:$D$72,$A560+1)+(Surface_Engine!B241*12)*INDEX(Surface_Engine!$F$12:$F$72,$A560+1)-(Surface_Engine!B241*12),1000*12*INDEX(Surface_Engine!$C$12:$C$72,$A560+1)/(1+Assumptions!$B$10)^10+INDEX(Surface_Engine!$D$12:$D$72,$A560+1)))*INDEX(Surface_Engine!$B$12:$B$72,$A560+1)+I561</f>
        <v>5.91708222745196</v>
      </c>
      <c r="J560" s="48" t="n">
        <f aca="false">B560*(IF($A560&lt;$Q$510,INDEX(Surface_Engine!$D$12:$D$72,$A560+1)*(1+Assumptions!$B$24)+(Surface_Engine!B241*12)*INDEX(Surface_Engine!$F$12:$F$72,$A560+1)-(Surface_Engine!B241*12),1000*12*INDEX(Surface_Engine!$C$12:$C$72,$A560+1)/(1+Assumptions!$B$10)^10+INDEX(Surface_Engine!$D$12:$D$72,$A560+1)*(1+Assumptions!$B$24)))*INDEX(Surface_Engine!$B$12:$B$72,$A560+1)+J561</f>
        <v>5.49514174547257</v>
      </c>
      <c r="K560" s="12" t="n">
        <f aca="false">SQRT((IF(C560&lt;=0,0,MAX(0,(B560/C560)*G560/INDEX(Surface_Engine!$B$12:$B$72,$A560+1)-F560/INDEX(Surface_Engine!$B$12:$B$72,$A560+1))))^2+(MAX(IF(D560&lt;=0,0,MAX(0,(B560/D560)*H560/INDEX(Surface_Engine!$B$12:$B$72,$A560+1)-F560/INDEX(Surface_Engine!$B$12:$B$72,$A560+1))),IF(E560&lt;=0,0,MAX(0,(B560/E560)*I560/INDEX(Surface_Engine!$B$12:$B$72,$A560+1)-F560/INDEX(Surface_Engine!$B$12:$B$72,$A560+1))),IF($A560&lt;$Q$510,MAX(0,-Assumptions!$B$22*(F560/INDEX(Surface_Engine!$B$12:$B$72,$A560+1))),0)))^2+(MAX(0,J560/INDEX(Surface_Engine!$B$12:$B$72,$A560+1)-(F560/INDEX(Surface_Engine!$B$12:$B$72,$A560+1))))^2+2*Assumptions!$B$26*(IF(C560&lt;=0,0,MAX(0,(B560/C560)*G560/INDEX(Surface_Engine!$B$12:$B$72,$A560+1)-F560/INDEX(Surface_Engine!$B$12:$B$72,$A560+1))))*(MAX(IF(D560&lt;=0,0,MAX(0,(B560/D560)*H560/INDEX(Surface_Engine!$B$12:$B$72,$A560+1)-F560/INDEX(Surface_Engine!$B$12:$B$72,$A560+1))),IF(E560&lt;=0,0,MAX(0,(B560/E560)*I560/INDEX(Surface_Engine!$B$12:$B$72,$A560+1)-F560/INDEX(Surface_Engine!$B$12:$B$72,$A560+1))),IF($A560&lt;$Q$510,MAX(0,-Assumptions!$B$22*(F560/INDEX(Surface_Engine!$B$12:$B$72,$A560+1))),0)))+2*Assumptions!$B$27*(IF(C560&lt;=0,0,MAX(0,(B560/C560)*G560/INDEX(Surface_Engine!$B$12:$B$72,$A560+1)-F560/INDEX(Surface_Engine!$B$12:$B$72,$A560+1))))*(MAX(0,J560/INDEX(Surface_Engine!$B$12:$B$72,$A560+1)-(F560/INDEX(Surface_Engine!$B$12:$B$72,$A560+1))))+2*Assumptions!$B$28*(MAX(IF(D560&lt;=0,0,MAX(0,(B560/D560)*H560/INDEX(Surface_Engine!$B$12:$B$72,$A560+1)-F560/INDEX(Surface_Engine!$B$12:$B$72,$A560+1))),IF(E560&lt;=0,0,MAX(0,(B560/E560)*I560/INDEX(Surface_Engine!$B$12:$B$72,$A560+1)-F560/INDEX(Surface_Engine!$B$12:$B$72,$A560+1))),IF($A560&lt;$Q$510,MAX(0,-Assumptions!$B$22*(F560/INDEX(Surface_Engine!$B$12:$B$72,$A560+1))),0)))*(MAX(0,J560/INDEX(Surface_Engine!$B$12:$B$72,$A560+1)-(F560/INDEX(Surface_Engine!$B$12:$B$72,$A560+1)))))</f>
        <v>5.50684893123734</v>
      </c>
      <c r="L560" s="48" t="n">
        <f aca="false">K560*INDEX(Surface_Engine!$B$12:$B$72,$A560+1)+L561</f>
        <v>2.21458139095459</v>
      </c>
      <c r="M560" s="48" t="n">
        <f aca="false">M559+B559*(IF($A559&lt;$Q$510,(Surface_Engine!B241*12)-(Surface_Engine!B241*12)*INDEX(Surface_Engine!$F$12:$F$72,$A559+1)-INDEX(Surface_Engine!$D$12:$D$72,$A559+1),-(1000*12*INDEX(Surface_Engine!$C$12:$C$72,$A559+1)/(1+Assumptions!$B$10)^10+INDEX(Surface_Engine!$D$12:$D$72,$A559+1))))*INDEX(Surface_Engine!$B$12:$B$72,$A559+1)</f>
        <v>3900.92839106394</v>
      </c>
      <c r="N560" s="12" t="n">
        <f aca="false">IF(B560&lt;=0,0,MAX(0,(K560+Assumptions!$B$29*L560/INDEX(Surface_Engine!$B$12:$B$72,$A560+1)-(M560/INDEX(Surface_Engine!$B$12:$B$72,$A560+1)-(F560/INDEX(Surface_Engine!$B$12:$B$72,$A560+1))))/B560))</f>
        <v>0</v>
      </c>
    </row>
    <row r="561" customFormat="false" ht="15" hidden="false" customHeight="true" outlineLevel="0" collapsed="false">
      <c r="A561" s="1" t="n">
        <v>49</v>
      </c>
      <c r="B561" s="32" t="n">
        <f aca="false">INDEX(Surface_Engine!$L$12:$L$72,$A561+1)*IF($A561&lt;$Q$510,INDEX(Surface_Engine!$E$12:$E$72,$A561+1),INDEX(Surface_Engine!$E$12:$E$72,$Q$510+1))</f>
        <v>0.000254078367927255</v>
      </c>
      <c r="C561" s="32" t="n">
        <f aca="false">INDEX(Panel_Reserving!$D$8:$D$68,$A561+1)*IF($A561&lt;$Q$510,INDEX(Surface_Engine!$E$12:$E$72,$A561+1),INDEX(Surface_Engine!$E$12:$E$72,$Q$510+1))</f>
        <v>0.00170163623586277</v>
      </c>
      <c r="D561" s="32" t="n">
        <f aca="false">INDEX(Surface_Engine!$L$12:$L$72,$A561+1)*IF($A561&lt;$Q$510,INDEX(Surface_Engine!$Y$12:$Y$72,$A561+1),INDEX(Surface_Engine!$Y$12:$Y$72,$Q$510+1))</f>
        <v>0.000235522124317145</v>
      </c>
      <c r="E561" s="32" t="n">
        <f aca="false">INDEX(Surface_Engine!$L$12:$L$72,$A561+1)*IF($A561&lt;$Q$510,INDEX(Surface_Engine!$Z$12:$Z$72,$A561+1),INDEX(Surface_Engine!$Z$12:$Z$72,$Q$510+1))</f>
        <v>0.00027387399893759</v>
      </c>
      <c r="F561" s="48" t="n">
        <f aca="false">B561*(IF($A561&lt;$Q$510,INDEX(Surface_Engine!$D$12:$D$72,$A561+1)+(Surface_Engine!B241*12)*INDEX(Surface_Engine!$F$12:$F$72,$A561+1)-(Surface_Engine!B241*12),1000*12*INDEX(Surface_Engine!$C$12:$C$72,$A561+1)/(1+Assumptions!$B$10)^10+INDEX(Surface_Engine!$D$12:$D$72,$A561+1)))*INDEX(Surface_Engine!$B$12:$B$72,$A561+1)+F562</f>
        <v>2.66144143301402</v>
      </c>
      <c r="G561" s="48" t="n">
        <f aca="false">C561*(IF($A561&lt;$Q$510,INDEX(Surface_Engine!$D$12:$D$72,$A561+1)+(Surface_Engine!B241*12)*INDEX(Surface_Engine!$F$12:$F$72,$A561+1)-(Surface_Engine!B241*12),1000*12*INDEX(Surface_Engine!$C$12:$C$72,$A561+1)/(1+Assumptions!$B$10)^10+INDEX(Surface_Engine!$D$12:$D$72,$A561+1)))*INDEX(Surface_Engine!$B$12:$B$72,$A561+1)+G562</f>
        <v>21.6771744925184</v>
      </c>
      <c r="H561" s="48" t="n">
        <f aca="false">D561*(IF($A561&lt;$Q$510,INDEX(Surface_Engine!$D$12:$D$72,$A561+1)+(Surface_Engine!B241*12)*INDEX(Surface_Engine!$F$12:$F$72,$A561+1)-(Surface_Engine!B241*12),1000*12*INDEX(Surface_Engine!$C$12:$C$72,$A561+1)/(1+Assumptions!$B$10)^10+INDEX(Surface_Engine!$D$12:$D$72,$A561+1)))*INDEX(Surface_Engine!$B$12:$B$72,$A561+1)+H562</f>
        <v>2.46706693357144</v>
      </c>
      <c r="I561" s="48" t="n">
        <f aca="false">E561*(IF($A561&lt;$Q$510,INDEX(Surface_Engine!$D$12:$D$72,$A561+1)+(Surface_Engine!B241*12)*INDEX(Surface_Engine!$F$12:$F$72,$A561+1)-(Surface_Engine!B241*12),1000*12*INDEX(Surface_Engine!$C$12:$C$72,$A561+1)/(1+Assumptions!$B$10)^10+INDEX(Surface_Engine!$D$12:$D$72,$A561+1)))*INDEX(Surface_Engine!$B$12:$B$72,$A561+1)+I562</f>
        <v>2.8687983717151</v>
      </c>
      <c r="J561" s="48" t="n">
        <f aca="false">B561*(IF($A561&lt;$Q$510,INDEX(Surface_Engine!$D$12:$D$72,$A561+1)*(1+Assumptions!$B$24)+(Surface_Engine!B241*12)*INDEX(Surface_Engine!$F$12:$F$72,$A561+1)-(Surface_Engine!B241*12),1000*12*INDEX(Surface_Engine!$C$12:$C$72,$A561+1)/(1+Assumptions!$B$10)^10+INDEX(Surface_Engine!$D$12:$D$72,$A561+1)*(1+Assumptions!$B$24)))*INDEX(Surface_Engine!$B$12:$B$72,$A561+1)+J562</f>
        <v>2.6642402838828</v>
      </c>
      <c r="K561" s="12" t="n">
        <f aca="false">SQRT((IF(C561&lt;=0,0,MAX(0,(B561/C561)*G561/INDEX(Surface_Engine!$B$12:$B$72,$A561+1)-F561/INDEX(Surface_Engine!$B$12:$B$72,$A561+1))))^2+(MAX(IF(D561&lt;=0,0,MAX(0,(B561/D561)*H561/INDEX(Surface_Engine!$B$12:$B$72,$A561+1)-F561/INDEX(Surface_Engine!$B$12:$B$72,$A561+1))),IF(E561&lt;=0,0,MAX(0,(B561/E561)*I561/INDEX(Surface_Engine!$B$12:$B$72,$A561+1)-F561/INDEX(Surface_Engine!$B$12:$B$72,$A561+1))),IF($A561&lt;$Q$510,MAX(0,-Assumptions!$B$22*(F561/INDEX(Surface_Engine!$B$12:$B$72,$A561+1))),0)))^2+(MAX(0,J561/INDEX(Surface_Engine!$B$12:$B$72,$A561+1)-(F561/INDEX(Surface_Engine!$B$12:$B$72,$A561+1))))^2+2*Assumptions!$B$26*(IF(C561&lt;=0,0,MAX(0,(B561/C561)*G561/INDEX(Surface_Engine!$B$12:$B$72,$A561+1)-F561/INDEX(Surface_Engine!$B$12:$B$72,$A561+1))))*(MAX(IF(D561&lt;=0,0,MAX(0,(B561/D561)*H561/INDEX(Surface_Engine!$B$12:$B$72,$A561+1)-F561/INDEX(Surface_Engine!$B$12:$B$72,$A561+1))),IF(E561&lt;=0,0,MAX(0,(B561/E561)*I561/INDEX(Surface_Engine!$B$12:$B$72,$A561+1)-F561/INDEX(Surface_Engine!$B$12:$B$72,$A561+1))),IF($A561&lt;$Q$510,MAX(0,-Assumptions!$B$22*(F561/INDEX(Surface_Engine!$B$12:$B$72,$A561+1))),0)))+2*Assumptions!$B$27*(IF(C561&lt;=0,0,MAX(0,(B561/C561)*G561/INDEX(Surface_Engine!$B$12:$B$72,$A561+1)-F561/INDEX(Surface_Engine!$B$12:$B$72,$A561+1))))*(MAX(0,J561/INDEX(Surface_Engine!$B$12:$B$72,$A561+1)-(F561/INDEX(Surface_Engine!$B$12:$B$72,$A561+1))))+2*Assumptions!$B$28*(MAX(IF(D561&lt;=0,0,MAX(0,(B561/D561)*H561/INDEX(Surface_Engine!$B$12:$B$72,$A561+1)-F561/INDEX(Surface_Engine!$B$12:$B$72,$A561+1))),IF(E561&lt;=0,0,MAX(0,(B561/E561)*I561/INDEX(Surface_Engine!$B$12:$B$72,$A561+1)-F561/INDEX(Surface_Engine!$B$12:$B$72,$A561+1))),IF($A561&lt;$Q$510,MAX(0,-Assumptions!$B$22*(F561/INDEX(Surface_Engine!$B$12:$B$72,$A561+1))),0)))*(MAX(0,J561/INDEX(Surface_Engine!$B$12:$B$72,$A561+1)-(F561/INDEX(Surface_Engine!$B$12:$B$72,$A561+1)))))</f>
        <v>2.71390337293137</v>
      </c>
      <c r="L561" s="48" t="n">
        <f aca="false">K561*INDEX(Surface_Engine!$B$12:$B$72,$A561+1)+L562</f>
        <v>1.00773529056272</v>
      </c>
      <c r="M561" s="48" t="n">
        <f aca="false">M560+B560*(IF($A560&lt;$Q$510,(Surface_Engine!B241*12)-(Surface_Engine!B241*12)*INDEX(Surface_Engine!$F$12:$F$72,$A560+1)-INDEX(Surface_Engine!$D$12:$D$72,$A560+1),-(1000*12*INDEX(Surface_Engine!$C$12:$C$72,$A560+1)/(1+Assumptions!$B$10)^10+INDEX(Surface_Engine!$D$12:$D$72,$A560+1))))*INDEX(Surface_Engine!$B$12:$B$72,$A560+1)</f>
        <v>3898.10043736973</v>
      </c>
      <c r="N561" s="12" t="n">
        <f aca="false">IF(B561&lt;=0,0,MAX(0,(K561+Assumptions!$B$29*L561/INDEX(Surface_Engine!$B$12:$B$72,$A561+1)-(M561/INDEX(Surface_Engine!$B$12:$B$72,$A561+1)-(F561/INDEX(Surface_Engine!$B$12:$B$72,$A561+1))))/B561))</f>
        <v>0</v>
      </c>
    </row>
    <row r="562" customFormat="false" ht="15" hidden="false" customHeight="true" outlineLevel="0" collapsed="false">
      <c r="A562" s="1" t="n">
        <v>50</v>
      </c>
      <c r="B562" s="32" t="n">
        <f aca="false">INDEX(Surface_Engine!$L$12:$L$72,$A562+1)*IF($A562&lt;$Q$510,INDEX(Surface_Engine!$E$12:$E$72,$A562+1),INDEX(Surface_Engine!$E$12:$E$72,$Q$510+1))</f>
        <v>0.000124362561043772</v>
      </c>
      <c r="C562" s="32" t="n">
        <f aca="false">INDEX(Panel_Reserving!$D$8:$D$68,$A562+1)*IF($A562&lt;$Q$510,INDEX(Surface_Engine!$E$12:$E$72,$A562+1),INDEX(Surface_Engine!$E$12:$E$72,$Q$510+1))</f>
        <v>0.00100664084791913</v>
      </c>
      <c r="D562" s="32" t="n">
        <f aca="false">INDEX(Surface_Engine!$L$12:$L$72,$A562+1)*IF($A562&lt;$Q$510,INDEX(Surface_Engine!$Y$12:$Y$72,$A562+1),INDEX(Surface_Engine!$Y$12:$Y$72,$Q$510+1))</f>
        <v>0.000115279922495944</v>
      </c>
      <c r="E562" s="32" t="n">
        <f aca="false">INDEX(Surface_Engine!$L$12:$L$72,$A562+1)*IF($A562&lt;$Q$510,INDEX(Surface_Engine!$Z$12:$Z$72,$A562+1),INDEX(Surface_Engine!$Z$12:$Z$72,$Q$510+1))</f>
        <v>0.000134051836797573</v>
      </c>
      <c r="F562" s="48" t="n">
        <f aca="false">B562*(IF($A562&lt;$Q$510,INDEX(Surface_Engine!$D$12:$D$72,$A562+1)+(Surface_Engine!B241*12)*INDEX(Surface_Engine!$F$12:$F$72,$A562+1)-(Surface_Engine!B241*12),1000*12*INDEX(Surface_Engine!$C$12:$C$72,$A562+1)/(1+Assumptions!$B$10)^10+INDEX(Surface_Engine!$D$12:$D$72,$A562+1)))*INDEX(Surface_Engine!$B$12:$B$72,$A562+1)+F563</f>
        <v>1.24585406440667</v>
      </c>
      <c r="G562" s="48" t="n">
        <f aca="false">C562*(IF($A562&lt;$Q$510,INDEX(Surface_Engine!$D$12:$D$72,$A562+1)+(Surface_Engine!B241*12)*INDEX(Surface_Engine!$F$12:$F$72,$A562+1)-(Surface_Engine!B241*12),1000*12*INDEX(Surface_Engine!$C$12:$C$72,$A562+1)/(1+Assumptions!$B$10)^10+INDEX(Surface_Engine!$D$12:$D$72,$A562+1)))*INDEX(Surface_Engine!$B$12:$B$72,$A562+1)+G563</f>
        <v>12.1965769072035</v>
      </c>
      <c r="H562" s="48" t="n">
        <f aca="false">D562*(IF($A562&lt;$Q$510,INDEX(Surface_Engine!$D$12:$D$72,$A562+1)+(Surface_Engine!B241*12)*INDEX(Surface_Engine!$F$12:$F$72,$A562+1)-(Surface_Engine!B241*12),1000*12*INDEX(Surface_Engine!$C$12:$C$72,$A562+1)/(1+Assumptions!$B$10)^10+INDEX(Surface_Engine!$D$12:$D$72,$A562+1)))*INDEX(Surface_Engine!$B$12:$B$72,$A562+1)+H563</f>
        <v>1.15486492703786</v>
      </c>
      <c r="I562" s="48" t="n">
        <f aca="false">E562*(IF($A562&lt;$Q$510,INDEX(Surface_Engine!$D$12:$D$72,$A562+1)+(Surface_Engine!B241*12)*INDEX(Surface_Engine!$F$12:$F$72,$A562+1)-(Surface_Engine!B241*12),1000*12*INDEX(Surface_Engine!$C$12:$C$72,$A562+1)/(1+Assumptions!$B$10)^10+INDEX(Surface_Engine!$D$12:$D$72,$A562+1)))*INDEX(Surface_Engine!$B$12:$B$72,$A562+1)+I563</f>
        <v>1.34292044417333</v>
      </c>
      <c r="J562" s="48" t="n">
        <f aca="false">B562*(IF($A562&lt;$Q$510,INDEX(Surface_Engine!$D$12:$D$72,$A562+1)*(1+Assumptions!$B$24)+(Surface_Engine!B241*12)*INDEX(Surface_Engine!$F$12:$F$72,$A562+1)-(Surface_Engine!B241*12),1000*12*INDEX(Surface_Engine!$C$12:$C$72,$A562+1)/(1+Assumptions!$B$10)^10+INDEX(Surface_Engine!$D$12:$D$72,$A562+1)*(1+Assumptions!$B$24)))*INDEX(Surface_Engine!$B$12:$B$72,$A562+1)+J563</f>
        <v>1.2471701954444</v>
      </c>
      <c r="K562" s="12" t="n">
        <f aca="false">SQRT((IF(C562&lt;=0,0,MAX(0,(B562/C562)*G562/INDEX(Surface_Engine!$B$12:$B$72,$A562+1)-F562/INDEX(Surface_Engine!$B$12:$B$72,$A562+1))))^2+(MAX(IF(D562&lt;=0,0,MAX(0,(B562/D562)*H562/INDEX(Surface_Engine!$B$12:$B$72,$A562+1)-F562/INDEX(Surface_Engine!$B$12:$B$72,$A562+1))),IF(E562&lt;=0,0,MAX(0,(B562/E562)*I562/INDEX(Surface_Engine!$B$12:$B$72,$A562+1)-F562/INDEX(Surface_Engine!$B$12:$B$72,$A562+1))),IF($A562&lt;$Q$510,MAX(0,-Assumptions!$B$22*(F562/INDEX(Surface_Engine!$B$12:$B$72,$A562+1))),0)))^2+(MAX(0,J562/INDEX(Surface_Engine!$B$12:$B$72,$A562+1)-(F562/INDEX(Surface_Engine!$B$12:$B$72,$A562+1))))^2+2*Assumptions!$B$26*(IF(C562&lt;=0,0,MAX(0,(B562/C562)*G562/INDEX(Surface_Engine!$B$12:$B$72,$A562+1)-F562/INDEX(Surface_Engine!$B$12:$B$72,$A562+1))))*(MAX(IF(D562&lt;=0,0,MAX(0,(B562/D562)*H562/INDEX(Surface_Engine!$B$12:$B$72,$A562+1)-F562/INDEX(Surface_Engine!$B$12:$B$72,$A562+1))),IF(E562&lt;=0,0,MAX(0,(B562/E562)*I562/INDEX(Surface_Engine!$B$12:$B$72,$A562+1)-F562/INDEX(Surface_Engine!$B$12:$B$72,$A562+1))),IF($A562&lt;$Q$510,MAX(0,-Assumptions!$B$22*(F562/INDEX(Surface_Engine!$B$12:$B$72,$A562+1))),0)))+2*Assumptions!$B$27*(IF(C562&lt;=0,0,MAX(0,(B562/C562)*G562/INDEX(Surface_Engine!$B$12:$B$72,$A562+1)-F562/INDEX(Surface_Engine!$B$12:$B$72,$A562+1))))*(MAX(0,J562/INDEX(Surface_Engine!$B$12:$B$72,$A562+1)-(F562/INDEX(Surface_Engine!$B$12:$B$72,$A562+1))))+2*Assumptions!$B$28*(MAX(IF(D562&lt;=0,0,MAX(0,(B562/D562)*H562/INDEX(Surface_Engine!$B$12:$B$72,$A562+1)-F562/INDEX(Surface_Engine!$B$12:$B$72,$A562+1))),IF(E562&lt;=0,0,MAX(0,(B562/E562)*I562/INDEX(Surface_Engine!$B$12:$B$72,$A562+1)-F562/INDEX(Surface_Engine!$B$12:$B$72,$A562+1))),IF($A562&lt;$Q$510,MAX(0,-Assumptions!$B$22*(F562/INDEX(Surface_Engine!$B$12:$B$72,$A562+1))),0)))*(MAX(0,J562/INDEX(Surface_Engine!$B$12:$B$72,$A562+1)-(F562/INDEX(Surface_Engine!$B$12:$B$72,$A562+1)))))</f>
        <v>1.27186061296813</v>
      </c>
      <c r="L562" s="48" t="n">
        <f aca="false">K562*INDEX(Surface_Engine!$B$12:$B$72,$A562+1)+L563</f>
        <v>0.431761754861534</v>
      </c>
      <c r="M562" s="48" t="n">
        <f aca="false">M561+B561*(IF($A561&lt;$Q$510,(Surface_Engine!B241*12)-(Surface_Engine!B241*12)*INDEX(Surface_Engine!$F$12:$F$72,$A561+1)-INDEX(Surface_Engine!$D$12:$D$72,$A561+1),-(1000*12*INDEX(Surface_Engine!$C$12:$C$72,$A561+1)/(1+Assumptions!$B$10)^10+INDEX(Surface_Engine!$D$12:$D$72,$A561+1))))*INDEX(Surface_Engine!$B$12:$B$72,$A561+1)</f>
        <v>3896.68485000112</v>
      </c>
      <c r="N562" s="12" t="n">
        <f aca="false">IF(B562&lt;=0,0,MAX(0,(K562+Assumptions!$B$29*L562/INDEX(Surface_Engine!$B$12:$B$72,$A562+1)-(M562/INDEX(Surface_Engine!$B$12:$B$72,$A562+1)-(F562/INDEX(Surface_Engine!$B$12:$B$72,$A562+1))))/B562))</f>
        <v>0</v>
      </c>
    </row>
    <row r="563" customFormat="false" ht="15" hidden="false" customHeight="true" outlineLevel="0" collapsed="false">
      <c r="A563" s="1" t="n">
        <v>51</v>
      </c>
      <c r="B563" s="32" t="n">
        <f aca="false">INDEX(Surface_Engine!$L$12:$L$72,$A563+1)*IF($A563&lt;$Q$510,INDEX(Surface_Engine!$E$12:$E$72,$A563+1),INDEX(Surface_Engine!$E$12:$E$72,$Q$510+1))</f>
        <v>5.87514168130573E-005</v>
      </c>
      <c r="C563" s="32" t="n">
        <f aca="false">INDEX(Panel_Reserving!$D$8:$D$68,$A563+1)*IF($A563&lt;$Q$510,INDEX(Surface_Engine!$E$12:$E$72,$A563+1),INDEX(Surface_Engine!$E$12:$E$72,$Q$510+1))</f>
        <v>0.00058177434592997</v>
      </c>
      <c r="D563" s="32" t="n">
        <f aca="false">INDEX(Surface_Engine!$L$12:$L$72,$A563+1)*IF($A563&lt;$Q$510,INDEX(Surface_Engine!$Y$12:$Y$72,$A563+1),INDEX(Surface_Engine!$Y$12:$Y$72,$Q$510+1))</f>
        <v>5.44605926405156E-005</v>
      </c>
      <c r="E563" s="32" t="n">
        <f aca="false">INDEX(Surface_Engine!$L$12:$L$72,$A563+1)*IF($A563&lt;$Q$510,INDEX(Surface_Engine!$Z$12:$Z$72,$A563+1),INDEX(Surface_Engine!$Z$12:$Z$72,$Q$510+1))</f>
        <v>6.33288288062681E-005</v>
      </c>
      <c r="F563" s="48" t="n">
        <f aca="false">B563*(IF($A563&lt;$Q$510,INDEX(Surface_Engine!$D$12:$D$72,$A563+1)+(Surface_Engine!B241*12)*INDEX(Surface_Engine!$F$12:$F$72,$A563+1)-(Surface_Engine!B241*12),1000*12*INDEX(Surface_Engine!$C$12:$C$72,$A563+1)/(1+Assumptions!$B$10)^10+INDEX(Surface_Engine!$D$12:$D$72,$A563+1)))*INDEX(Surface_Engine!$B$12:$B$72,$A563+1)+F564</f>
        <v>0.561750680881128</v>
      </c>
      <c r="G563" s="48" t="n">
        <f aca="false">C563*(IF($A563&lt;$Q$510,INDEX(Surface_Engine!$D$12:$D$72,$A563+1)+(Surface_Engine!B241*12)*INDEX(Surface_Engine!$F$12:$F$72,$A563+1)-(Surface_Engine!B241*12),1000*12*INDEX(Surface_Engine!$C$12:$C$72,$A563+1)/(1+Assumptions!$B$10)^10+INDEX(Surface_Engine!$D$12:$D$72,$A563+1)))*INDEX(Surface_Engine!$B$12:$B$72,$A563+1)+G564</f>
        <v>6.65916754318988</v>
      </c>
      <c r="H563" s="48" t="n">
        <f aca="false">D563*(IF($A563&lt;$Q$510,INDEX(Surface_Engine!$D$12:$D$72,$A563+1)+(Surface_Engine!B241*12)*INDEX(Surface_Engine!$F$12:$F$72,$A563+1)-(Surface_Engine!B241*12),1000*12*INDEX(Surface_Engine!$C$12:$C$72,$A563+1)/(1+Assumptions!$B$10)^10+INDEX(Surface_Engine!$D$12:$D$72,$A563+1)))*INDEX(Surface_Engine!$B$12:$B$72,$A563+1)+H564</f>
        <v>0.520724037929926</v>
      </c>
      <c r="I563" s="48" t="n">
        <f aca="false">E563*(IF($A563&lt;$Q$510,INDEX(Surface_Engine!$D$12:$D$72,$A563+1)+(Surface_Engine!B241*12)*INDEX(Surface_Engine!$F$12:$F$72,$A563+1)-(Surface_Engine!B241*12),1000*12*INDEX(Surface_Engine!$C$12:$C$72,$A563+1)/(1+Assumptions!$B$10)^10+INDEX(Surface_Engine!$D$12:$D$72,$A563+1)))*INDEX(Surface_Engine!$B$12:$B$72,$A563+1)+I564</f>
        <v>0.605517528445698</v>
      </c>
      <c r="J563" s="48" t="n">
        <f aca="false">B563*(IF($A563&lt;$Q$510,INDEX(Surface_Engine!$D$12:$D$72,$A563+1)*(1+Assumptions!$B$24)+(Surface_Engine!B241*12)*INDEX(Surface_Engine!$F$12:$F$72,$A563+1)-(Surface_Engine!B241*12),1000*12*INDEX(Surface_Engine!$C$12:$C$72,$A563+1)/(1+Assumptions!$B$10)^10+INDEX(Surface_Engine!$D$12:$D$72,$A563+1)*(1+Assumptions!$B$24)))*INDEX(Surface_Engine!$B$12:$B$72,$A563+1)+J564</f>
        <v>0.562346790275011</v>
      </c>
      <c r="K563" s="12" t="n">
        <f aca="false">SQRT((IF(C563&lt;=0,0,MAX(0,(B563/C563)*G563/INDEX(Surface_Engine!$B$12:$B$72,$A563+1)-F563/INDEX(Surface_Engine!$B$12:$B$72,$A563+1))))^2+(MAX(IF(D563&lt;=0,0,MAX(0,(B563/D563)*H563/INDEX(Surface_Engine!$B$12:$B$72,$A563+1)-F563/INDEX(Surface_Engine!$B$12:$B$72,$A563+1))),IF(E563&lt;=0,0,MAX(0,(B563/E563)*I563/INDEX(Surface_Engine!$B$12:$B$72,$A563+1)-F563/INDEX(Surface_Engine!$B$12:$B$72,$A563+1))),IF($A563&lt;$Q$510,MAX(0,-Assumptions!$B$22*(F563/INDEX(Surface_Engine!$B$12:$B$72,$A563+1))),0)))^2+(MAX(0,J563/INDEX(Surface_Engine!$B$12:$B$72,$A563+1)-(F563/INDEX(Surface_Engine!$B$12:$B$72,$A563+1))))^2+2*Assumptions!$B$26*(IF(C563&lt;=0,0,MAX(0,(B563/C563)*G563/INDEX(Surface_Engine!$B$12:$B$72,$A563+1)-F563/INDEX(Surface_Engine!$B$12:$B$72,$A563+1))))*(MAX(IF(D563&lt;=0,0,MAX(0,(B563/D563)*H563/INDEX(Surface_Engine!$B$12:$B$72,$A563+1)-F563/INDEX(Surface_Engine!$B$12:$B$72,$A563+1))),IF(E563&lt;=0,0,MAX(0,(B563/E563)*I563/INDEX(Surface_Engine!$B$12:$B$72,$A563+1)-F563/INDEX(Surface_Engine!$B$12:$B$72,$A563+1))),IF($A563&lt;$Q$510,MAX(0,-Assumptions!$B$22*(F563/INDEX(Surface_Engine!$B$12:$B$72,$A563+1))),0)))+2*Assumptions!$B$27*(IF(C563&lt;=0,0,MAX(0,(B563/C563)*G563/INDEX(Surface_Engine!$B$12:$B$72,$A563+1)-F563/INDEX(Surface_Engine!$B$12:$B$72,$A563+1))))*(MAX(0,J563/INDEX(Surface_Engine!$B$12:$B$72,$A563+1)-(F563/INDEX(Surface_Engine!$B$12:$B$72,$A563+1))))+2*Assumptions!$B$28*(MAX(IF(D563&lt;=0,0,MAX(0,(B563/D563)*H563/INDEX(Surface_Engine!$B$12:$B$72,$A563+1)-F563/INDEX(Surface_Engine!$B$12:$B$72,$A563+1))),IF(E563&lt;=0,0,MAX(0,(B563/E563)*I563/INDEX(Surface_Engine!$B$12:$B$72,$A563+1)-F563/INDEX(Surface_Engine!$B$12:$B$72,$A563+1))),IF($A563&lt;$Q$510,MAX(0,-Assumptions!$B$22*(F563/INDEX(Surface_Engine!$B$12:$B$72,$A563+1))),0)))*(MAX(0,J563/INDEX(Surface_Engine!$B$12:$B$72,$A563+1)-(F563/INDEX(Surface_Engine!$B$12:$B$72,$A563+1)))))</f>
        <v>0.557431910878644</v>
      </c>
      <c r="L563" s="48" t="n">
        <f aca="false">K563*INDEX(Surface_Engine!$B$12:$B$72,$A563+1)+L564</f>
        <v>0.170492509556279</v>
      </c>
      <c r="M563" s="48" t="n">
        <f aca="false">M562+B562*(IF($A562&lt;$Q$510,(Surface_Engine!B241*12)-(Surface_Engine!B241*12)*INDEX(Surface_Engine!$F$12:$F$72,$A562+1)-INDEX(Surface_Engine!$D$12:$D$72,$A562+1),-(1000*12*INDEX(Surface_Engine!$C$12:$C$72,$A562+1)/(1+Assumptions!$B$10)^10+INDEX(Surface_Engine!$D$12:$D$72,$A562+1))))*INDEX(Surface_Engine!$B$12:$B$72,$A562+1)</f>
        <v>3896.0007466176</v>
      </c>
      <c r="N563" s="12" t="n">
        <f aca="false">IF(B563&lt;=0,0,MAX(0,(K563+Assumptions!$B$29*L563/INDEX(Surface_Engine!$B$12:$B$72,$A563+1)-(M563/INDEX(Surface_Engine!$B$12:$B$72,$A563+1)-(F563/INDEX(Surface_Engine!$B$12:$B$72,$A563+1))))/B563))</f>
        <v>0</v>
      </c>
    </row>
    <row r="564" customFormat="false" ht="15" hidden="false" customHeight="true" outlineLevel="0" collapsed="false">
      <c r="A564" s="1" t="n">
        <v>52</v>
      </c>
      <c r="B564" s="32" t="n">
        <f aca="false">INDEX(Surface_Engine!$L$12:$L$72,$A564+1)*IF($A564&lt;$Q$510,INDEX(Surface_Engine!$E$12:$E$72,$A564+1),INDEX(Surface_Engine!$E$12:$E$72,$Q$510+1))</f>
        <v>2.67699500075987E-005</v>
      </c>
      <c r="C564" s="32" t="n">
        <f aca="false">INDEX(Panel_Reserving!$D$8:$D$68,$A564+1)*IF($A564&lt;$Q$510,INDEX(Surface_Engine!$E$12:$E$72,$A564+1),INDEX(Surface_Engine!$E$12:$E$72,$Q$510+1))</f>
        <v>0.000328422199658098</v>
      </c>
      <c r="D564" s="32" t="n">
        <f aca="false">INDEX(Surface_Engine!$L$12:$L$72,$A564+1)*IF($A564&lt;$Q$510,INDEX(Surface_Engine!$Y$12:$Y$72,$A564+1),INDEX(Surface_Engine!$Y$12:$Y$72,$Q$510+1))</f>
        <v>2.48148456914623E-005</v>
      </c>
      <c r="E564" s="32" t="n">
        <f aca="false">INDEX(Surface_Engine!$L$12:$L$72,$A564+1)*IF($A564&lt;$Q$510,INDEX(Surface_Engine!$Z$12:$Z$72,$A564+1),INDEX(Surface_Engine!$Z$12:$Z$72,$Q$510+1))</f>
        <v>2.88556374151439E-005</v>
      </c>
      <c r="F564" s="48" t="n">
        <f aca="false">B564*(IF($A564&lt;$Q$510,INDEX(Surface_Engine!$D$12:$D$72,$A564+1)+(Surface_Engine!B241*12)*INDEX(Surface_Engine!$F$12:$F$72,$A564+1)-(Surface_Engine!B241*12),1000*12*INDEX(Surface_Engine!$C$12:$C$72,$A564+1)/(1+Assumptions!$B$10)^10+INDEX(Surface_Engine!$D$12:$D$72,$A564+1)))*INDEX(Surface_Engine!$B$12:$B$72,$A564+1)+F565</f>
        <v>0.242515025999425</v>
      </c>
      <c r="G564" s="48" t="n">
        <f aca="false">C564*(IF($A564&lt;$Q$510,INDEX(Surface_Engine!$D$12:$D$72,$A564+1)+(Surface_Engine!B241*12)*INDEX(Surface_Engine!$F$12:$F$72,$A564+1)-(Surface_Engine!B241*12),1000*12*INDEX(Surface_Engine!$C$12:$C$72,$A564+1)/(1+Assumptions!$B$10)^10+INDEX(Surface_Engine!$D$12:$D$72,$A564+1)))*INDEX(Surface_Engine!$B$12:$B$72,$A564+1)+G565</f>
        <v>3.49799927881788</v>
      </c>
      <c r="H564" s="48" t="n">
        <f aca="false">D564*(IF($A564&lt;$Q$510,INDEX(Surface_Engine!$D$12:$D$72,$A564+1)+(Surface_Engine!B241*12)*INDEX(Surface_Engine!$F$12:$F$72,$A564+1)-(Surface_Engine!B241*12),1000*12*INDEX(Surface_Engine!$C$12:$C$72,$A564+1)/(1+Assumptions!$B$10)^10+INDEX(Surface_Engine!$D$12:$D$72,$A564+1)))*INDEX(Surface_Engine!$B$12:$B$72,$A564+1)+H565</f>
        <v>0.22480329422836</v>
      </c>
      <c r="I564" s="48" t="n">
        <f aca="false">E564*(IF($A564&lt;$Q$510,INDEX(Surface_Engine!$D$12:$D$72,$A564+1)+(Surface_Engine!B241*12)*INDEX(Surface_Engine!$F$12:$F$72,$A564+1)-(Surface_Engine!B241*12),1000*12*INDEX(Surface_Engine!$C$12:$C$72,$A564+1)/(1+Assumptions!$B$10)^10+INDEX(Surface_Engine!$D$12:$D$72,$A564+1)))*INDEX(Surface_Engine!$B$12:$B$72,$A564+1)+I565</f>
        <v>0.261409739501839</v>
      </c>
      <c r="J564" s="48" t="n">
        <f aca="false">B564*(IF($A564&lt;$Q$510,INDEX(Surface_Engine!$D$12:$D$72,$A564+1)*(1+Assumptions!$B$24)+(Surface_Engine!B241*12)*INDEX(Surface_Engine!$F$12:$F$72,$A564+1)-(Surface_Engine!B241*12),1000*12*INDEX(Surface_Engine!$C$12:$C$72,$A564+1)/(1+Assumptions!$B$10)^10+INDEX(Surface_Engine!$D$12:$D$72,$A564+1)*(1+Assumptions!$B$24)))*INDEX(Surface_Engine!$B$12:$B$72,$A564+1)+J565</f>
        <v>0.242773508920575</v>
      </c>
      <c r="K564" s="12" t="n">
        <f aca="false">SQRT((IF(C564&lt;=0,0,MAX(0,(B564/C564)*G564/INDEX(Surface_Engine!$B$12:$B$72,$A564+1)-F564/INDEX(Surface_Engine!$B$12:$B$72,$A564+1))))^2+(MAX(IF(D564&lt;=0,0,MAX(0,(B564/D564)*H564/INDEX(Surface_Engine!$B$12:$B$72,$A564+1)-F564/INDEX(Surface_Engine!$B$12:$B$72,$A564+1))),IF(E564&lt;=0,0,MAX(0,(B564/E564)*I564/INDEX(Surface_Engine!$B$12:$B$72,$A564+1)-F564/INDEX(Surface_Engine!$B$12:$B$72,$A564+1))),IF($A564&lt;$Q$510,MAX(0,-Assumptions!$B$22*(F564/INDEX(Surface_Engine!$B$12:$B$72,$A564+1))),0)))^2+(MAX(0,J564/INDEX(Surface_Engine!$B$12:$B$72,$A564+1)-(F564/INDEX(Surface_Engine!$B$12:$B$72,$A564+1))))^2+2*Assumptions!$B$26*(IF(C564&lt;=0,0,MAX(0,(B564/C564)*G564/INDEX(Surface_Engine!$B$12:$B$72,$A564+1)-F564/INDEX(Surface_Engine!$B$12:$B$72,$A564+1))))*(MAX(IF(D564&lt;=0,0,MAX(0,(B564/D564)*H564/INDEX(Surface_Engine!$B$12:$B$72,$A564+1)-F564/INDEX(Surface_Engine!$B$12:$B$72,$A564+1))),IF(E564&lt;=0,0,MAX(0,(B564/E564)*I564/INDEX(Surface_Engine!$B$12:$B$72,$A564+1)-F564/INDEX(Surface_Engine!$B$12:$B$72,$A564+1))),IF($A564&lt;$Q$510,MAX(0,-Assumptions!$B$22*(F564/INDEX(Surface_Engine!$B$12:$B$72,$A564+1))),0)))+2*Assumptions!$B$27*(IF(C564&lt;=0,0,MAX(0,(B564/C564)*G564/INDEX(Surface_Engine!$B$12:$B$72,$A564+1)-F564/INDEX(Surface_Engine!$B$12:$B$72,$A564+1))))*(MAX(0,J564/INDEX(Surface_Engine!$B$12:$B$72,$A564+1)-(F564/INDEX(Surface_Engine!$B$12:$B$72,$A564+1))))+2*Assumptions!$B$28*(MAX(IF(D564&lt;=0,0,MAX(0,(B564/D564)*H564/INDEX(Surface_Engine!$B$12:$B$72,$A564+1)-F564/INDEX(Surface_Engine!$B$12:$B$72,$A564+1))),IF(E564&lt;=0,0,MAX(0,(B564/E564)*I564/INDEX(Surface_Engine!$B$12:$B$72,$A564+1)-F564/INDEX(Surface_Engine!$B$12:$B$72,$A564+1))),IF($A564&lt;$Q$510,MAX(0,-Assumptions!$B$22*(F564/INDEX(Surface_Engine!$B$12:$B$72,$A564+1))),0)))*(MAX(0,J564/INDEX(Surface_Engine!$B$12:$B$72,$A564+1)-(F564/INDEX(Surface_Engine!$B$12:$B$72,$A564+1)))))</f>
        <v>0.2215420712478</v>
      </c>
      <c r="L564" s="48" t="n">
        <f aca="false">K564*INDEX(Surface_Engine!$B$12:$B$72,$A564+1)+L565</f>
        <v>0.0596059301252617</v>
      </c>
      <c r="M564" s="48" t="n">
        <f aca="false">M563+B563*(IF($A563&lt;$Q$510,(Surface_Engine!B241*12)-(Surface_Engine!B241*12)*INDEX(Surface_Engine!$F$12:$F$72,$A563+1)-INDEX(Surface_Engine!$D$12:$D$72,$A563+1),-(1000*12*INDEX(Surface_Engine!$C$12:$C$72,$A563+1)/(1+Assumptions!$B$10)^10+INDEX(Surface_Engine!$D$12:$D$72,$A563+1))))*INDEX(Surface_Engine!$B$12:$B$72,$A563+1)</f>
        <v>3895.68151096272</v>
      </c>
      <c r="N564" s="12" t="n">
        <f aca="false">IF(B564&lt;=0,0,MAX(0,(K564+Assumptions!$B$29*L564/INDEX(Surface_Engine!$B$12:$B$72,$A564+1)-(M564/INDEX(Surface_Engine!$B$12:$B$72,$A564+1)-(F564/INDEX(Surface_Engine!$B$12:$B$72,$A564+1))))/B564))</f>
        <v>0</v>
      </c>
    </row>
    <row r="565" customFormat="false" ht="15" hidden="false" customHeight="true" outlineLevel="0" collapsed="false">
      <c r="A565" s="1" t="n">
        <v>53</v>
      </c>
      <c r="B565" s="32" t="n">
        <f aca="false">INDEX(Surface_Engine!$L$12:$L$72,$A565+1)*IF($A565&lt;$Q$510,INDEX(Surface_Engine!$E$12:$E$72,$A565+1),INDEX(Surface_Engine!$E$12:$E$72,$Q$510+1))</f>
        <v>1.17570673808845E-005</v>
      </c>
      <c r="C565" s="32" t="n">
        <f aca="false">INDEX(Panel_Reserving!$D$8:$D$68,$A565+1)*IF($A565&lt;$Q$510,INDEX(Surface_Engine!$E$12:$E$72,$A565+1),INDEX(Surface_Engine!$E$12:$E$72,$Q$510+1))</f>
        <v>0.000181075971993877</v>
      </c>
      <c r="D565" s="32" t="n">
        <f aca="false">INDEX(Surface_Engine!$L$12:$L$72,$A565+1)*IF($A565&lt;$Q$510,INDEX(Surface_Engine!$Y$12:$Y$72,$A565+1),INDEX(Surface_Engine!$Y$12:$Y$72,$Q$510+1))</f>
        <v>1.08984070854805E-005</v>
      </c>
      <c r="E565" s="32" t="n">
        <f aca="false">INDEX(Surface_Engine!$L$12:$L$72,$A565+1)*IF($A565&lt;$Q$510,INDEX(Surface_Engine!$Z$12:$Z$72,$A565+1),INDEX(Surface_Engine!$Z$12:$Z$72,$Q$510+1))</f>
        <v>1.26730783326797E-005</v>
      </c>
      <c r="F565" s="48" t="n">
        <f aca="false">B565*(IF($A565&lt;$Q$510,INDEX(Surface_Engine!$D$12:$D$72,$A565+1)+(Surface_Engine!B241*12)*INDEX(Surface_Engine!$F$12:$F$72,$A565+1)-(Surface_Engine!B241*12),1000*12*INDEX(Surface_Engine!$C$12:$C$72,$A565+1)/(1+Assumptions!$B$10)^10+INDEX(Surface_Engine!$D$12:$D$72,$A565+1)))*INDEX(Surface_Engine!$B$12:$B$72,$A565+1)+F566</f>
        <v>0.0988360355340723</v>
      </c>
      <c r="G565" s="48" t="n">
        <f aca="false">C565*(IF($A565&lt;$Q$510,INDEX(Surface_Engine!$D$12:$D$72,$A565+1)+(Surface_Engine!B241*12)*INDEX(Surface_Engine!$F$12:$F$72,$A565+1)-(Surface_Engine!B241*12),1000*12*INDEX(Surface_Engine!$C$12:$C$72,$A565+1)/(1+Assumptions!$B$10)^10+INDEX(Surface_Engine!$D$12:$D$72,$A565+1)))*INDEX(Surface_Engine!$B$12:$B$72,$A565+1)+G566</f>
        <v>1.73530005525221</v>
      </c>
      <c r="H565" s="48" t="n">
        <f aca="false">D565*(IF($A565&lt;$Q$510,INDEX(Surface_Engine!$D$12:$D$72,$A565+1)+(Surface_Engine!B241*12)*INDEX(Surface_Engine!$F$12:$F$72,$A565+1)-(Surface_Engine!B241*12),1000*12*INDEX(Surface_Engine!$C$12:$C$72,$A565+1)/(1+Assumptions!$B$10)^10+INDEX(Surface_Engine!$D$12:$D$72,$A565+1)))*INDEX(Surface_Engine!$B$12:$B$72,$A565+1)+H566</f>
        <v>0.0916176896048633</v>
      </c>
      <c r="I565" s="48" t="n">
        <f aca="false">E565*(IF($A565&lt;$Q$510,INDEX(Surface_Engine!$D$12:$D$72,$A565+1)+(Surface_Engine!B241*12)*INDEX(Surface_Engine!$F$12:$F$72,$A565+1)-(Surface_Engine!B241*12),1000*12*INDEX(Surface_Engine!$C$12:$C$72,$A565+1)/(1+Assumptions!$B$10)^10+INDEX(Surface_Engine!$D$12:$D$72,$A565+1)))*INDEX(Surface_Engine!$B$12:$B$72,$A565+1)+I566</f>
        <v>0.106536500968882</v>
      </c>
      <c r="J565" s="48" t="n">
        <f aca="false">B565*(IF($A565&lt;$Q$510,INDEX(Surface_Engine!$D$12:$D$72,$A565+1)*(1+Assumptions!$B$24)+(Surface_Engine!B241*12)*INDEX(Surface_Engine!$F$12:$F$72,$A565+1)-(Surface_Engine!B241*12),1000*12*INDEX(Surface_Engine!$C$12:$C$72,$A565+1)/(1+Assumptions!$B$10)^10+INDEX(Surface_Engine!$D$12:$D$72,$A565+1)*(1+Assumptions!$B$24)))*INDEX(Surface_Engine!$B$12:$B$72,$A565+1)+J566</f>
        <v>0.0989418253077641</v>
      </c>
      <c r="K565" s="12" t="n">
        <f aca="false">SQRT((IF(C565&lt;=0,0,MAX(0,(B565/C565)*G565/INDEX(Surface_Engine!$B$12:$B$72,$A565+1)-F565/INDEX(Surface_Engine!$B$12:$B$72,$A565+1))))^2+(MAX(IF(D565&lt;=0,0,MAX(0,(B565/D565)*H565/INDEX(Surface_Engine!$B$12:$B$72,$A565+1)-F565/INDEX(Surface_Engine!$B$12:$B$72,$A565+1))),IF(E565&lt;=0,0,MAX(0,(B565/E565)*I565/INDEX(Surface_Engine!$B$12:$B$72,$A565+1)-F565/INDEX(Surface_Engine!$B$12:$B$72,$A565+1))),IF($A565&lt;$Q$510,MAX(0,-Assumptions!$B$22*(F565/INDEX(Surface_Engine!$B$12:$B$72,$A565+1))),0)))^2+(MAX(0,J565/INDEX(Surface_Engine!$B$12:$B$72,$A565+1)-(F565/INDEX(Surface_Engine!$B$12:$B$72,$A565+1))))^2+2*Assumptions!$B$26*(IF(C565&lt;=0,0,MAX(0,(B565/C565)*G565/INDEX(Surface_Engine!$B$12:$B$72,$A565+1)-F565/INDEX(Surface_Engine!$B$12:$B$72,$A565+1))))*(MAX(IF(D565&lt;=0,0,MAX(0,(B565/D565)*H565/INDEX(Surface_Engine!$B$12:$B$72,$A565+1)-F565/INDEX(Surface_Engine!$B$12:$B$72,$A565+1))),IF(E565&lt;=0,0,MAX(0,(B565/E565)*I565/INDEX(Surface_Engine!$B$12:$B$72,$A565+1)-F565/INDEX(Surface_Engine!$B$12:$B$72,$A565+1))),IF($A565&lt;$Q$510,MAX(0,-Assumptions!$B$22*(F565/INDEX(Surface_Engine!$B$12:$B$72,$A565+1))),0)))+2*Assumptions!$B$27*(IF(C565&lt;=0,0,MAX(0,(B565/C565)*G565/INDEX(Surface_Engine!$B$12:$B$72,$A565+1)-F565/INDEX(Surface_Engine!$B$12:$B$72,$A565+1))))*(MAX(0,J565/INDEX(Surface_Engine!$B$12:$B$72,$A565+1)-(F565/INDEX(Surface_Engine!$B$12:$B$72,$A565+1))))+2*Assumptions!$B$28*(MAX(IF(D565&lt;=0,0,MAX(0,(B565/D565)*H565/INDEX(Surface_Engine!$B$12:$B$72,$A565+1)-F565/INDEX(Surface_Engine!$B$12:$B$72,$A565+1))),IF(E565&lt;=0,0,MAX(0,(B565/E565)*I565/INDEX(Surface_Engine!$B$12:$B$72,$A565+1)-F565/INDEX(Surface_Engine!$B$12:$B$72,$A565+1))),IF($A565&lt;$Q$510,MAX(0,-Assumptions!$B$22*(F565/INDEX(Surface_Engine!$B$12:$B$72,$A565+1))),0)))*(MAX(0,J565/INDEX(Surface_Engine!$B$12:$B$72,$A565+1)-(F565/INDEX(Surface_Engine!$B$12:$B$72,$A565+1)))))</f>
        <v>0.0743165636264602</v>
      </c>
      <c r="L565" s="48" t="n">
        <f aca="false">K565*INDEX(Surface_Engine!$B$12:$B$72,$A565+1)+L566</f>
        <v>0.0169309481755429</v>
      </c>
      <c r="M565" s="48" t="n">
        <f aca="false">M564+B564*(IF($A564&lt;$Q$510,(Surface_Engine!B241*12)-(Surface_Engine!B241*12)*INDEX(Surface_Engine!$F$12:$F$72,$A564+1)-INDEX(Surface_Engine!$D$12:$D$72,$A564+1),-(1000*12*INDEX(Surface_Engine!$C$12:$C$72,$A564+1)/(1+Assumptions!$B$10)^10+INDEX(Surface_Engine!$D$12:$D$72,$A564+1))))*INDEX(Surface_Engine!$B$12:$B$72,$A564+1)</f>
        <v>3895.53783197225</v>
      </c>
      <c r="N565" s="12" t="n">
        <f aca="false">IF(B565&lt;=0,0,MAX(0,(K565+Assumptions!$B$29*L565/INDEX(Surface_Engine!$B$12:$B$72,$A565+1)-(M565/INDEX(Surface_Engine!$B$12:$B$72,$A565+1)-(F565/INDEX(Surface_Engine!$B$12:$B$72,$A565+1))))/B565))</f>
        <v>0</v>
      </c>
    </row>
    <row r="566" customFormat="false" ht="15" hidden="false" customHeight="true" outlineLevel="0" collapsed="false">
      <c r="A566" s="1" t="n">
        <v>54</v>
      </c>
      <c r="B566" s="32" t="n">
        <f aca="false">INDEX(Surface_Engine!$L$12:$L$72,$A566+1)*IF($A566&lt;$Q$510,INDEX(Surface_Engine!$E$12:$E$72,$A566+1),INDEX(Surface_Engine!$E$12:$E$72,$Q$510+1))</f>
        <v>4.9742036262647E-006</v>
      </c>
      <c r="C566" s="32" t="n">
        <f aca="false">INDEX(Panel_Reserving!$D$8:$D$68,$A566+1)*IF($A566&lt;$Q$510,INDEX(Surface_Engine!$E$12:$E$72,$A566+1),INDEX(Surface_Engine!$E$12:$E$72,$Q$510+1))</f>
        <v>9.75031824551021E-005</v>
      </c>
      <c r="D566" s="32" t="n">
        <f aca="false">INDEX(Surface_Engine!$L$12:$L$72,$A566+1)*IF($A566&lt;$Q$510,INDEX(Surface_Engine!$Y$12:$Y$72,$A566+1),INDEX(Surface_Engine!$Y$12:$Y$72,$Q$510+1))</f>
        <v>4.61091990790546E-006</v>
      </c>
      <c r="E566" s="32" t="n">
        <f aca="false">INDEX(Surface_Engine!$L$12:$L$72,$A566+1)*IF($A566&lt;$Q$510,INDEX(Surface_Engine!$Z$12:$Z$72,$A566+1),INDEX(Surface_Engine!$Z$12:$Z$72,$Q$510+1))</f>
        <v>5.36175137524896E-006</v>
      </c>
      <c r="F566" s="48" t="n">
        <f aca="false">B566*(IF($A566&lt;$Q$510,INDEX(Surface_Engine!$D$12:$D$72,$A566+1)+(Surface_Engine!B241*12)*INDEX(Surface_Engine!$F$12:$F$72,$A566+1)-(Surface_Engine!B241*12),1000*12*INDEX(Surface_Engine!$C$12:$C$72,$A566+1)/(1+Assumptions!$B$10)^10+INDEX(Surface_Engine!$D$12:$D$72,$A566+1)))*INDEX(Surface_Engine!$B$12:$B$72,$A566+1)+F567</f>
        <v>0.0365071915558677</v>
      </c>
      <c r="G566" s="48" t="n">
        <f aca="false">C566*(IF($A566&lt;$Q$510,INDEX(Surface_Engine!$D$12:$D$72,$A566+1)+(Surface_Engine!B241*12)*INDEX(Surface_Engine!$F$12:$F$72,$A566+1)-(Surface_Engine!B241*12),1000*12*INDEX(Surface_Engine!$C$12:$C$72,$A566+1)/(1+Assumptions!$B$10)^10+INDEX(Surface_Engine!$D$12:$D$72,$A566+1)))*INDEX(Surface_Engine!$B$12:$B$72,$A566+1)+G567</f>
        <v>0.77534502216648</v>
      </c>
      <c r="H566" s="48" t="n">
        <f aca="false">D566*(IF($A566&lt;$Q$510,INDEX(Surface_Engine!$D$12:$D$72,$A566+1)+(Surface_Engine!B241*12)*INDEX(Surface_Engine!$F$12:$F$72,$A566+1)-(Surface_Engine!B241*12),1000*12*INDEX(Surface_Engine!$C$12:$C$72,$A566+1)/(1+Assumptions!$B$10)^10+INDEX(Surface_Engine!$D$12:$D$72,$A566+1)))*INDEX(Surface_Engine!$B$12:$B$72,$A566+1)+H567</f>
        <v>0.0338409419827218</v>
      </c>
      <c r="I566" s="48" t="n">
        <f aca="false">E566*(IF($A566&lt;$Q$510,INDEX(Surface_Engine!$D$12:$D$72,$A566+1)+(Surface_Engine!B241*12)*INDEX(Surface_Engine!$F$12:$F$72,$A566+1)-(Surface_Engine!B241*12),1000*12*INDEX(Surface_Engine!$C$12:$C$72,$A566+1)/(1+Assumptions!$B$10)^10+INDEX(Surface_Engine!$D$12:$D$72,$A566+1)))*INDEX(Surface_Engine!$B$12:$B$72,$A566+1)+I567</f>
        <v>0.0393515222210838</v>
      </c>
      <c r="J566" s="48" t="n">
        <f aca="false">B566*(IF($A566&lt;$Q$510,INDEX(Surface_Engine!$D$12:$D$72,$A566+1)*(1+Assumptions!$B$24)+(Surface_Engine!B241*12)*INDEX(Surface_Engine!$F$12:$F$72,$A566+1)-(Surface_Engine!B241*12),1000*12*INDEX(Surface_Engine!$C$12:$C$72,$A566+1)/(1+Assumptions!$B$10)^10+INDEX(Surface_Engine!$D$12:$D$72,$A566+1)*(1+Assumptions!$B$24)))*INDEX(Surface_Engine!$B$12:$B$72,$A566+1)+J567</f>
        <v>0.0365464208532483</v>
      </c>
      <c r="K566" s="12" t="n">
        <f aca="false">SQRT((IF(C566&lt;=0,0,MAX(0,(B566/C566)*G566/INDEX(Surface_Engine!$B$12:$B$72,$A566+1)-F566/INDEX(Surface_Engine!$B$12:$B$72,$A566+1))))^2+(MAX(IF(D566&lt;=0,0,MAX(0,(B566/D566)*H566/INDEX(Surface_Engine!$B$12:$B$72,$A566+1)-F566/INDEX(Surface_Engine!$B$12:$B$72,$A566+1))),IF(E566&lt;=0,0,MAX(0,(B566/E566)*I566/INDEX(Surface_Engine!$B$12:$B$72,$A566+1)-F566/INDEX(Surface_Engine!$B$12:$B$72,$A566+1))),IF($A566&lt;$Q$510,MAX(0,-Assumptions!$B$22*(F566/INDEX(Surface_Engine!$B$12:$B$72,$A566+1))),0)))^2+(MAX(0,J566/INDEX(Surface_Engine!$B$12:$B$72,$A566+1)-(F566/INDEX(Surface_Engine!$B$12:$B$72,$A566+1))))^2+2*Assumptions!$B$26*(IF(C566&lt;=0,0,MAX(0,(B566/C566)*G566/INDEX(Surface_Engine!$B$12:$B$72,$A566+1)-F566/INDEX(Surface_Engine!$B$12:$B$72,$A566+1))))*(MAX(IF(D566&lt;=0,0,MAX(0,(B566/D566)*H566/INDEX(Surface_Engine!$B$12:$B$72,$A566+1)-F566/INDEX(Surface_Engine!$B$12:$B$72,$A566+1))),IF(E566&lt;=0,0,MAX(0,(B566/E566)*I566/INDEX(Surface_Engine!$B$12:$B$72,$A566+1)-F566/INDEX(Surface_Engine!$B$12:$B$72,$A566+1))),IF($A566&lt;$Q$510,MAX(0,-Assumptions!$B$22*(F566/INDEX(Surface_Engine!$B$12:$B$72,$A566+1))),0)))+2*Assumptions!$B$27*(IF(C566&lt;=0,0,MAX(0,(B566/C566)*G566/INDEX(Surface_Engine!$B$12:$B$72,$A566+1)-F566/INDEX(Surface_Engine!$B$12:$B$72,$A566+1))))*(MAX(0,J566/INDEX(Surface_Engine!$B$12:$B$72,$A566+1)-(F566/INDEX(Surface_Engine!$B$12:$B$72,$A566+1))))+2*Assumptions!$B$28*(MAX(IF(D566&lt;=0,0,MAX(0,(B566/D566)*H566/INDEX(Surface_Engine!$B$12:$B$72,$A566+1)-F566/INDEX(Surface_Engine!$B$12:$B$72,$A566+1))),IF(E566&lt;=0,0,MAX(0,(B566/E566)*I566/INDEX(Surface_Engine!$B$12:$B$72,$A566+1)-F566/INDEX(Surface_Engine!$B$12:$B$72,$A566+1))),IF($A566&lt;$Q$510,MAX(0,-Assumptions!$B$22*(F566/INDEX(Surface_Engine!$B$12:$B$72,$A566+1))),0)))*(MAX(0,J566/INDEX(Surface_Engine!$B$12:$B$72,$A566+1)-(F566/INDEX(Surface_Engine!$B$12:$B$72,$A566+1)))))</f>
        <v>0.0169383404314212</v>
      </c>
      <c r="L566" s="48" t="n">
        <f aca="false">K566*INDEX(Surface_Engine!$B$12:$B$72,$A566+1)+L567</f>
        <v>0.00306899857138414</v>
      </c>
      <c r="M566" s="48" t="n">
        <f aca="false">M565+B565*(IF($A565&lt;$Q$510,(Surface_Engine!B241*12)-(Surface_Engine!B241*12)*INDEX(Surface_Engine!$F$12:$F$72,$A565+1)-INDEX(Surface_Engine!$D$12:$D$72,$A565+1),-(1000*12*INDEX(Surface_Engine!$C$12:$C$72,$A565+1)/(1+Assumptions!$B$10)^10+INDEX(Surface_Engine!$D$12:$D$72,$A565+1))))*INDEX(Surface_Engine!$B$12:$B$72,$A565+1)</f>
        <v>3895.47550312827</v>
      </c>
      <c r="N566" s="12" t="n">
        <f aca="false">IF(B566&lt;=0,0,MAX(0,(K566+Assumptions!$B$29*L566/INDEX(Surface_Engine!$B$12:$B$72,$A566+1)-(M566/INDEX(Surface_Engine!$B$12:$B$72,$A566+1)-(F566/INDEX(Surface_Engine!$B$12:$B$72,$A566+1))))/B566))</f>
        <v>0</v>
      </c>
    </row>
    <row r="567" customFormat="false" ht="15" hidden="false" customHeight="true" outlineLevel="0" collapsed="false">
      <c r="A567" s="1" t="n">
        <v>55</v>
      </c>
      <c r="B567" s="32" t="n">
        <f aca="false">INDEX(Surface_Engine!$L$12:$L$72,$A567+1)*IF($A567&lt;$Q$510,INDEX(Surface_Engine!$E$12:$E$72,$A567+1),INDEX(Surface_Engine!$E$12:$E$72,$Q$510+1))</f>
        <v>2.02629362352256E-006</v>
      </c>
      <c r="C567" s="32" t="n">
        <f aca="false">INDEX(Panel_Reserving!$D$8:$D$68,$A567+1)*IF($A567&lt;$Q$510,INDEX(Surface_Engine!$E$12:$E$72,$A567+1),INDEX(Surface_Engine!$E$12:$E$72,$Q$510+1))</f>
        <v>5.12757855160783E-005</v>
      </c>
      <c r="D567" s="32" t="n">
        <f aca="false">INDEX(Surface_Engine!$L$12:$L$72,$A567+1)*IF($A567&lt;$Q$510,INDEX(Surface_Engine!$Y$12:$Y$72,$A567+1),INDEX(Surface_Engine!$Y$12:$Y$72,$Q$510+1))</f>
        <v>1.8783062194376E-006</v>
      </c>
      <c r="E567" s="32" t="n">
        <f aca="false">INDEX(Surface_Engine!$L$12:$L$72,$A567+1)*IF($A567&lt;$Q$510,INDEX(Surface_Engine!$Z$12:$Z$72,$A567+1),INDEX(Surface_Engine!$Z$12:$Z$72,$Q$510+1))</f>
        <v>2.18416523304632E-006</v>
      </c>
      <c r="F567" s="48" t="n">
        <f aca="false">B567*(IF($A567&lt;$Q$510,INDEX(Surface_Engine!$D$12:$D$72,$A567+1)+(Surface_Engine!B241*12)*INDEX(Surface_Engine!$F$12:$F$72,$A567+1)-(Surface_Engine!B241*12),1000*12*INDEX(Surface_Engine!$C$12:$C$72,$A567+1)/(1+Assumptions!$B$10)^10+INDEX(Surface_Engine!$D$12:$D$72,$A567+1)))*INDEX(Surface_Engine!$B$12:$B$72,$A567+1)+F568</f>
        <v>0.0104742959581331</v>
      </c>
      <c r="G567" s="48" t="n">
        <f aca="false">C567*(IF($A567&lt;$Q$510,INDEX(Surface_Engine!$D$12:$D$72,$A567+1)+(Surface_Engine!B241*12)*INDEX(Surface_Engine!$F$12:$F$72,$A567+1)-(Surface_Engine!B241*12),1000*12*INDEX(Surface_Engine!$C$12:$C$72,$A567+1)/(1+Assumptions!$B$10)^10+INDEX(Surface_Engine!$D$12:$D$72,$A567+1)))*INDEX(Surface_Engine!$B$12:$B$72,$A567+1)+G568</f>
        <v>0.265054258053425</v>
      </c>
      <c r="H567" s="48" t="n">
        <f aca="false">D567*(IF($A567&lt;$Q$510,INDEX(Surface_Engine!$D$12:$D$72,$A567+1)+(Surface_Engine!B241*12)*INDEX(Surface_Engine!$F$12:$F$72,$A567+1)-(Surface_Engine!B241*12),1000*12*INDEX(Surface_Engine!$C$12:$C$72,$A567+1)/(1+Assumptions!$B$10)^10+INDEX(Surface_Engine!$D$12:$D$72,$A567+1)))*INDEX(Surface_Engine!$B$12:$B$72,$A567+1)+H568</f>
        <v>0.00970932100560523</v>
      </c>
      <c r="I567" s="48" t="n">
        <f aca="false">E567*(IF($A567&lt;$Q$510,INDEX(Surface_Engine!$D$12:$D$72,$A567+1)+(Surface_Engine!B241*12)*INDEX(Surface_Engine!$F$12:$F$72,$A567+1)-(Surface_Engine!B241*12),1000*12*INDEX(Surface_Engine!$C$12:$C$72,$A567+1)/(1+Assumptions!$B$10)^10+INDEX(Surface_Engine!$D$12:$D$72,$A567+1)))*INDEX(Surface_Engine!$B$12:$B$72,$A567+1)+I568</f>
        <v>0.0112903642427798</v>
      </c>
      <c r="J567" s="48" t="n">
        <f aca="false">B567*(IF($A567&lt;$Q$510,INDEX(Surface_Engine!$D$12:$D$72,$A567+1)*(1+Assumptions!$B$24)+(Surface_Engine!B241*12)*INDEX(Surface_Engine!$F$12:$F$72,$A567+1)-(Surface_Engine!B241*12),1000*12*INDEX(Surface_Engine!$C$12:$C$72,$A567+1)/(1+Assumptions!$B$10)^10+INDEX(Surface_Engine!$D$12:$D$72,$A567+1)*(1+Assumptions!$B$24)))*INDEX(Surface_Engine!$B$12:$B$72,$A567+1)+J568</f>
        <v>0.0104855901197922</v>
      </c>
      <c r="K567" s="12" t="n">
        <f aca="false">SQRT((IF(C567&lt;=0,0,MAX(0,(B567/C567)*G567/INDEX(Surface_Engine!$B$12:$B$72,$A567+1)-F567/INDEX(Surface_Engine!$B$12:$B$72,$A567+1))))^2+(MAX(IF(D567&lt;=0,0,MAX(0,(B567/D567)*H567/INDEX(Surface_Engine!$B$12:$B$72,$A567+1)-F567/INDEX(Surface_Engine!$B$12:$B$72,$A567+1))),IF(E567&lt;=0,0,MAX(0,(B567/E567)*I567/INDEX(Surface_Engine!$B$12:$B$72,$A567+1)-F567/INDEX(Surface_Engine!$B$12:$B$72,$A567+1))),IF($A567&lt;$Q$510,MAX(0,-Assumptions!$B$22*(F567/INDEX(Surface_Engine!$B$12:$B$72,$A567+1))),0)))^2+(MAX(0,J567/INDEX(Surface_Engine!$B$12:$B$72,$A567+1)-(F567/INDEX(Surface_Engine!$B$12:$B$72,$A567+1))))^2+2*Assumptions!$B$26*(IF(C567&lt;=0,0,MAX(0,(B567/C567)*G567/INDEX(Surface_Engine!$B$12:$B$72,$A567+1)-F567/INDEX(Surface_Engine!$B$12:$B$72,$A567+1))))*(MAX(IF(D567&lt;=0,0,MAX(0,(B567/D567)*H567/INDEX(Surface_Engine!$B$12:$B$72,$A567+1)-F567/INDEX(Surface_Engine!$B$12:$B$72,$A567+1))),IF(E567&lt;=0,0,MAX(0,(B567/E567)*I567/INDEX(Surface_Engine!$B$12:$B$72,$A567+1)-F567/INDEX(Surface_Engine!$B$12:$B$72,$A567+1))),IF($A567&lt;$Q$510,MAX(0,-Assumptions!$B$22*(F567/INDEX(Surface_Engine!$B$12:$B$72,$A567+1))),0)))+2*Assumptions!$B$27*(IF(C567&lt;=0,0,MAX(0,(B567/C567)*G567/INDEX(Surface_Engine!$B$12:$B$72,$A567+1)-F567/INDEX(Surface_Engine!$B$12:$B$72,$A567+1))))*(MAX(0,J567/INDEX(Surface_Engine!$B$12:$B$72,$A567+1)-(F567/INDEX(Surface_Engine!$B$12:$B$72,$A567+1))))+2*Assumptions!$B$28*(MAX(IF(D567&lt;=0,0,MAX(0,(B567/D567)*H567/INDEX(Surface_Engine!$B$12:$B$72,$A567+1)-F567/INDEX(Surface_Engine!$B$12:$B$72,$A567+1))),IF(E567&lt;=0,0,MAX(0,(B567/E567)*I567/INDEX(Surface_Engine!$B$12:$B$72,$A567+1)-F567/INDEX(Surface_Engine!$B$12:$B$72,$A567+1))),IF($A567&lt;$Q$510,MAX(0,-Assumptions!$B$22*(F567/INDEX(Surface_Engine!$B$12:$B$72,$A567+1))),0)))*(MAX(0,J567/INDEX(Surface_Engine!$B$12:$B$72,$A567+1)-(F567/INDEX(Surface_Engine!$B$12:$B$72,$A567+1)))))</f>
        <v>6.46143272185623E-005</v>
      </c>
      <c r="L567" s="48" t="n">
        <f aca="false">K567*INDEX(Surface_Engine!$B$12:$B$72,$A567+1)+L568</f>
        <v>1.12941616590594E-005</v>
      </c>
      <c r="M567" s="48" t="n">
        <f aca="false">M566+B566*(IF($A566&lt;$Q$510,(Surface_Engine!B241*12)-(Surface_Engine!B241*12)*INDEX(Surface_Engine!$F$12:$F$72,$A566+1)-INDEX(Surface_Engine!$D$12:$D$72,$A566+1),-(1000*12*INDEX(Surface_Engine!$C$12:$C$72,$A566+1)/(1+Assumptions!$B$10)^10+INDEX(Surface_Engine!$D$12:$D$72,$A566+1))))*INDEX(Surface_Engine!$B$12:$B$72,$A566+1)</f>
        <v>3895.44947023268</v>
      </c>
      <c r="N567" s="12" t="n">
        <f aca="false">IF(B567&lt;=0,0,MAX(0,(K567+Assumptions!$B$29*L567/INDEX(Surface_Engine!$B$12:$B$72,$A567+1)-(M567/INDEX(Surface_Engine!$B$12:$B$72,$A567+1)-(F567/INDEX(Surface_Engine!$B$12:$B$72,$A567+1))))/B567))</f>
        <v>0</v>
      </c>
    </row>
    <row r="568" customFormat="false" ht="15" hidden="false" customHeight="true" outlineLevel="0" collapsed="false">
      <c r="A568" s="1" t="n">
        <v>56</v>
      </c>
      <c r="B568" s="32" t="n">
        <f aca="false">INDEX(Surface_Engine!$L$12:$L$72,$A568+1)*IF($A568&lt;$Q$510,INDEX(Surface_Engine!$E$12:$E$72,$A568+1),INDEX(Surface_Engine!$E$12:$E$72,$Q$510+1))</f>
        <v>0</v>
      </c>
      <c r="C568" s="32" t="n">
        <f aca="false">INDEX(Panel_Reserving!$D$8:$D$68,$A568+1)*IF($A568&lt;$Q$510,INDEX(Surface_Engine!$E$12:$E$72,$A568+1),INDEX(Surface_Engine!$E$12:$E$72,$Q$510+1))</f>
        <v>0</v>
      </c>
      <c r="D568" s="32" t="n">
        <f aca="false">INDEX(Surface_Engine!$L$12:$L$72,$A568+1)*IF($A568&lt;$Q$510,INDEX(Surface_Engine!$Y$12:$Y$72,$A568+1),INDEX(Surface_Engine!$Y$12:$Y$72,$Q$510+1))</f>
        <v>0</v>
      </c>
      <c r="E568" s="32" t="n">
        <f aca="false">INDEX(Surface_Engine!$L$12:$L$72,$A568+1)*IF($A568&lt;$Q$510,INDEX(Surface_Engine!$Z$12:$Z$72,$A568+1),INDEX(Surface_Engine!$Z$12:$Z$72,$Q$510+1))</f>
        <v>0</v>
      </c>
      <c r="F568" s="48" t="n">
        <f aca="false">B568*(IF($A568&lt;$Q$510,INDEX(Surface_Engine!$D$12:$D$72,$A568+1)+(Surface_Engine!B241*12)*INDEX(Surface_Engine!$F$12:$F$72,$A568+1)-(Surface_Engine!B241*12),1000*12*INDEX(Surface_Engine!$C$12:$C$72,$A568+1)/(1+Assumptions!$B$10)^10+INDEX(Surface_Engine!$D$12:$D$72,$A568+1)))*INDEX(Surface_Engine!$B$12:$B$72,$A568+1)+F569</f>
        <v>0</v>
      </c>
      <c r="G568" s="48" t="n">
        <f aca="false">C568*(IF($A568&lt;$Q$510,INDEX(Surface_Engine!$D$12:$D$72,$A568+1)+(Surface_Engine!B241*12)*INDEX(Surface_Engine!$F$12:$F$72,$A568+1)-(Surface_Engine!B241*12),1000*12*INDEX(Surface_Engine!$C$12:$C$72,$A568+1)/(1+Assumptions!$B$10)^10+INDEX(Surface_Engine!$D$12:$D$72,$A568+1)))*INDEX(Surface_Engine!$B$12:$B$72,$A568+1)+G569</f>
        <v>0</v>
      </c>
      <c r="H568" s="48" t="n">
        <f aca="false">D568*(IF($A568&lt;$Q$510,INDEX(Surface_Engine!$D$12:$D$72,$A568+1)+(Surface_Engine!B241*12)*INDEX(Surface_Engine!$F$12:$F$72,$A568+1)-(Surface_Engine!B241*12),1000*12*INDEX(Surface_Engine!$C$12:$C$72,$A568+1)/(1+Assumptions!$B$10)^10+INDEX(Surface_Engine!$D$12:$D$72,$A568+1)))*INDEX(Surface_Engine!$B$12:$B$72,$A568+1)+H569</f>
        <v>0</v>
      </c>
      <c r="I568" s="48" t="n">
        <f aca="false">E568*(IF($A568&lt;$Q$510,INDEX(Surface_Engine!$D$12:$D$72,$A568+1)+(Surface_Engine!B241*12)*INDEX(Surface_Engine!$F$12:$F$72,$A568+1)-(Surface_Engine!B241*12),1000*12*INDEX(Surface_Engine!$C$12:$C$72,$A568+1)/(1+Assumptions!$B$10)^10+INDEX(Surface_Engine!$D$12:$D$72,$A568+1)))*INDEX(Surface_Engine!$B$12:$B$72,$A568+1)+I569</f>
        <v>0</v>
      </c>
      <c r="J568" s="48" t="n">
        <f aca="false">B568*(IF($A568&lt;$Q$510,INDEX(Surface_Engine!$D$12:$D$72,$A568+1)*(1+Assumptions!$B$24)+(Surface_Engine!B241*12)*INDEX(Surface_Engine!$F$12:$F$72,$A568+1)-(Surface_Engine!B241*12),1000*12*INDEX(Surface_Engine!$C$12:$C$72,$A568+1)/(1+Assumptions!$B$10)^10+INDEX(Surface_Engine!$D$12:$D$72,$A568+1)*(1+Assumptions!$B$24)))*INDEX(Surface_Engine!$B$12:$B$72,$A568+1)+J569</f>
        <v>0</v>
      </c>
      <c r="K568" s="12" t="n">
        <f aca="false">SQRT((IF(C568&lt;=0,0,MAX(0,(B568/C568)*G568/INDEX(Surface_Engine!$B$12:$B$72,$A568+1)-F568/INDEX(Surface_Engine!$B$12:$B$72,$A568+1))))^2+(MAX(IF(D568&lt;=0,0,MAX(0,(B568/D568)*H568/INDEX(Surface_Engine!$B$12:$B$72,$A568+1)-F568/INDEX(Surface_Engine!$B$12:$B$72,$A568+1))),IF(E568&lt;=0,0,MAX(0,(B568/E568)*I568/INDEX(Surface_Engine!$B$12:$B$72,$A568+1)-F568/INDEX(Surface_Engine!$B$12:$B$72,$A568+1))),IF($A568&lt;$Q$510,MAX(0,-Assumptions!$B$22*(F568/INDEX(Surface_Engine!$B$12:$B$72,$A568+1))),0)))^2+(MAX(0,J568/INDEX(Surface_Engine!$B$12:$B$72,$A568+1)-(F568/INDEX(Surface_Engine!$B$12:$B$72,$A568+1))))^2+2*Assumptions!$B$26*(IF(C568&lt;=0,0,MAX(0,(B568/C568)*G568/INDEX(Surface_Engine!$B$12:$B$72,$A568+1)-F568/INDEX(Surface_Engine!$B$12:$B$72,$A568+1))))*(MAX(IF(D568&lt;=0,0,MAX(0,(B568/D568)*H568/INDEX(Surface_Engine!$B$12:$B$72,$A568+1)-F568/INDEX(Surface_Engine!$B$12:$B$72,$A568+1))),IF(E568&lt;=0,0,MAX(0,(B568/E568)*I568/INDEX(Surface_Engine!$B$12:$B$72,$A568+1)-F568/INDEX(Surface_Engine!$B$12:$B$72,$A568+1))),IF($A568&lt;$Q$510,MAX(0,-Assumptions!$B$22*(F568/INDEX(Surface_Engine!$B$12:$B$72,$A568+1))),0)))+2*Assumptions!$B$27*(IF(C568&lt;=0,0,MAX(0,(B568/C568)*G568/INDEX(Surface_Engine!$B$12:$B$72,$A568+1)-F568/INDEX(Surface_Engine!$B$12:$B$72,$A568+1))))*(MAX(0,J568/INDEX(Surface_Engine!$B$12:$B$72,$A568+1)-(F568/INDEX(Surface_Engine!$B$12:$B$72,$A568+1))))+2*Assumptions!$B$28*(MAX(IF(D568&lt;=0,0,MAX(0,(B568/D568)*H568/INDEX(Surface_Engine!$B$12:$B$72,$A568+1)-F568/INDEX(Surface_Engine!$B$12:$B$72,$A568+1))),IF(E568&lt;=0,0,MAX(0,(B568/E568)*I568/INDEX(Surface_Engine!$B$12:$B$72,$A568+1)-F568/INDEX(Surface_Engine!$B$12:$B$72,$A568+1))),IF($A568&lt;$Q$510,MAX(0,-Assumptions!$B$22*(F568/INDEX(Surface_Engine!$B$12:$B$72,$A568+1))),0)))*(MAX(0,J568/INDEX(Surface_Engine!$B$12:$B$72,$A568+1)-(F568/INDEX(Surface_Engine!$B$12:$B$72,$A568+1)))))</f>
        <v>0</v>
      </c>
      <c r="L568" s="48" t="n">
        <f aca="false">K568*INDEX(Surface_Engine!$B$12:$B$72,$A568+1)+L569</f>
        <v>0</v>
      </c>
      <c r="M568" s="48" t="n">
        <f aca="false">M567+B567*(IF($A567&lt;$Q$510,(Surface_Engine!B241*12)-(Surface_Engine!B241*12)*INDEX(Surface_Engine!$F$12:$F$72,$A567+1)-INDEX(Surface_Engine!$D$12:$D$72,$A567+1),-(1000*12*INDEX(Surface_Engine!$C$12:$C$72,$A567+1)/(1+Assumptions!$B$10)^10+INDEX(Surface_Engine!$D$12:$D$72,$A567+1))))*INDEX(Surface_Engine!$B$12:$B$72,$A567+1)</f>
        <v>3895.43899593672</v>
      </c>
      <c r="N568" s="12" t="n">
        <f aca="false">IF(B568&lt;=0,0,MAX(0,(K568+Assumptions!$B$29*L568/INDEX(Surface_Engine!$B$12:$B$72,$A568+1)-(M568/INDEX(Surface_Engine!$B$12:$B$72,$A568+1)-(F568/INDEX(Surface_Engine!$B$12:$B$72,$A568+1))))/B568))</f>
        <v>0</v>
      </c>
    </row>
    <row r="569" customFormat="false" ht="15" hidden="false" customHeight="true" outlineLevel="0" collapsed="false">
      <c r="A569" s="1" t="n">
        <v>57</v>
      </c>
      <c r="B569" s="32" t="n">
        <f aca="false">INDEX(Surface_Engine!$L$12:$L$72,$A569+1)*IF($A569&lt;$Q$510,INDEX(Surface_Engine!$E$12:$E$72,$A569+1),INDEX(Surface_Engine!$E$12:$E$72,$Q$510+1))</f>
        <v>0</v>
      </c>
      <c r="C569" s="32" t="n">
        <f aca="false">INDEX(Panel_Reserving!$D$8:$D$68,$A569+1)*IF($A569&lt;$Q$510,INDEX(Surface_Engine!$E$12:$E$72,$A569+1),INDEX(Surface_Engine!$E$12:$E$72,$Q$510+1))</f>
        <v>0</v>
      </c>
      <c r="D569" s="32" t="n">
        <f aca="false">INDEX(Surface_Engine!$L$12:$L$72,$A569+1)*IF($A569&lt;$Q$510,INDEX(Surface_Engine!$Y$12:$Y$72,$A569+1),INDEX(Surface_Engine!$Y$12:$Y$72,$Q$510+1))</f>
        <v>0</v>
      </c>
      <c r="E569" s="32" t="n">
        <f aca="false">INDEX(Surface_Engine!$L$12:$L$72,$A569+1)*IF($A569&lt;$Q$510,INDEX(Surface_Engine!$Z$12:$Z$72,$A569+1),INDEX(Surface_Engine!$Z$12:$Z$72,$Q$510+1))</f>
        <v>0</v>
      </c>
      <c r="F569" s="48" t="n">
        <f aca="false">B569*(IF($A569&lt;$Q$510,INDEX(Surface_Engine!$D$12:$D$72,$A569+1)+(Surface_Engine!B241*12)*INDEX(Surface_Engine!$F$12:$F$72,$A569+1)-(Surface_Engine!B241*12),1000*12*INDEX(Surface_Engine!$C$12:$C$72,$A569+1)/(1+Assumptions!$B$10)^10+INDEX(Surface_Engine!$D$12:$D$72,$A569+1)))*INDEX(Surface_Engine!$B$12:$B$72,$A569+1)+F570</f>
        <v>0</v>
      </c>
      <c r="G569" s="48" t="n">
        <f aca="false">C569*(IF($A569&lt;$Q$510,INDEX(Surface_Engine!$D$12:$D$72,$A569+1)+(Surface_Engine!B241*12)*INDEX(Surface_Engine!$F$12:$F$72,$A569+1)-(Surface_Engine!B241*12),1000*12*INDEX(Surface_Engine!$C$12:$C$72,$A569+1)/(1+Assumptions!$B$10)^10+INDEX(Surface_Engine!$D$12:$D$72,$A569+1)))*INDEX(Surface_Engine!$B$12:$B$72,$A569+1)+G570</f>
        <v>0</v>
      </c>
      <c r="H569" s="48" t="n">
        <f aca="false">D569*(IF($A569&lt;$Q$510,INDEX(Surface_Engine!$D$12:$D$72,$A569+1)+(Surface_Engine!B241*12)*INDEX(Surface_Engine!$F$12:$F$72,$A569+1)-(Surface_Engine!B241*12),1000*12*INDEX(Surface_Engine!$C$12:$C$72,$A569+1)/(1+Assumptions!$B$10)^10+INDEX(Surface_Engine!$D$12:$D$72,$A569+1)))*INDEX(Surface_Engine!$B$12:$B$72,$A569+1)+H570</f>
        <v>0</v>
      </c>
      <c r="I569" s="48" t="n">
        <f aca="false">E569*(IF($A569&lt;$Q$510,INDEX(Surface_Engine!$D$12:$D$72,$A569+1)+(Surface_Engine!B241*12)*INDEX(Surface_Engine!$F$12:$F$72,$A569+1)-(Surface_Engine!B241*12),1000*12*INDEX(Surface_Engine!$C$12:$C$72,$A569+1)/(1+Assumptions!$B$10)^10+INDEX(Surface_Engine!$D$12:$D$72,$A569+1)))*INDEX(Surface_Engine!$B$12:$B$72,$A569+1)+I570</f>
        <v>0</v>
      </c>
      <c r="J569" s="48" t="n">
        <f aca="false">B569*(IF($A569&lt;$Q$510,INDEX(Surface_Engine!$D$12:$D$72,$A569+1)*(1+Assumptions!$B$24)+(Surface_Engine!B241*12)*INDEX(Surface_Engine!$F$12:$F$72,$A569+1)-(Surface_Engine!B241*12),1000*12*INDEX(Surface_Engine!$C$12:$C$72,$A569+1)/(1+Assumptions!$B$10)^10+INDEX(Surface_Engine!$D$12:$D$72,$A569+1)*(1+Assumptions!$B$24)))*INDEX(Surface_Engine!$B$12:$B$72,$A569+1)+J570</f>
        <v>0</v>
      </c>
      <c r="K569" s="12" t="n">
        <f aca="false">SQRT((IF(C569&lt;=0,0,MAX(0,(B569/C569)*G569/INDEX(Surface_Engine!$B$12:$B$72,$A569+1)-F569/INDEX(Surface_Engine!$B$12:$B$72,$A569+1))))^2+(MAX(IF(D569&lt;=0,0,MAX(0,(B569/D569)*H569/INDEX(Surface_Engine!$B$12:$B$72,$A569+1)-F569/INDEX(Surface_Engine!$B$12:$B$72,$A569+1))),IF(E569&lt;=0,0,MAX(0,(B569/E569)*I569/INDEX(Surface_Engine!$B$12:$B$72,$A569+1)-F569/INDEX(Surface_Engine!$B$12:$B$72,$A569+1))),IF($A569&lt;$Q$510,MAX(0,-Assumptions!$B$22*(F569/INDEX(Surface_Engine!$B$12:$B$72,$A569+1))),0)))^2+(MAX(0,J569/INDEX(Surface_Engine!$B$12:$B$72,$A569+1)-(F569/INDEX(Surface_Engine!$B$12:$B$72,$A569+1))))^2+2*Assumptions!$B$26*(IF(C569&lt;=0,0,MAX(0,(B569/C569)*G569/INDEX(Surface_Engine!$B$12:$B$72,$A569+1)-F569/INDEX(Surface_Engine!$B$12:$B$72,$A569+1))))*(MAX(IF(D569&lt;=0,0,MAX(0,(B569/D569)*H569/INDEX(Surface_Engine!$B$12:$B$72,$A569+1)-F569/INDEX(Surface_Engine!$B$12:$B$72,$A569+1))),IF(E569&lt;=0,0,MAX(0,(B569/E569)*I569/INDEX(Surface_Engine!$B$12:$B$72,$A569+1)-F569/INDEX(Surface_Engine!$B$12:$B$72,$A569+1))),IF($A569&lt;$Q$510,MAX(0,-Assumptions!$B$22*(F569/INDEX(Surface_Engine!$B$12:$B$72,$A569+1))),0)))+2*Assumptions!$B$27*(IF(C569&lt;=0,0,MAX(0,(B569/C569)*G569/INDEX(Surface_Engine!$B$12:$B$72,$A569+1)-F569/INDEX(Surface_Engine!$B$12:$B$72,$A569+1))))*(MAX(0,J569/INDEX(Surface_Engine!$B$12:$B$72,$A569+1)-(F569/INDEX(Surface_Engine!$B$12:$B$72,$A569+1))))+2*Assumptions!$B$28*(MAX(IF(D569&lt;=0,0,MAX(0,(B569/D569)*H569/INDEX(Surface_Engine!$B$12:$B$72,$A569+1)-F569/INDEX(Surface_Engine!$B$12:$B$72,$A569+1))),IF(E569&lt;=0,0,MAX(0,(B569/E569)*I569/INDEX(Surface_Engine!$B$12:$B$72,$A569+1)-F569/INDEX(Surface_Engine!$B$12:$B$72,$A569+1))),IF($A569&lt;$Q$510,MAX(0,-Assumptions!$B$22*(F569/INDEX(Surface_Engine!$B$12:$B$72,$A569+1))),0)))*(MAX(0,J569/INDEX(Surface_Engine!$B$12:$B$72,$A569+1)-(F569/INDEX(Surface_Engine!$B$12:$B$72,$A569+1)))))</f>
        <v>0</v>
      </c>
      <c r="L569" s="48" t="n">
        <f aca="false">K569*INDEX(Surface_Engine!$B$12:$B$72,$A569+1)+L570</f>
        <v>0</v>
      </c>
      <c r="M569" s="48" t="n">
        <f aca="false">M568+B568*(IF($A568&lt;$Q$510,(Surface_Engine!B241*12)-(Surface_Engine!B241*12)*INDEX(Surface_Engine!$F$12:$F$72,$A568+1)-INDEX(Surface_Engine!$D$12:$D$72,$A568+1),-(1000*12*INDEX(Surface_Engine!$C$12:$C$72,$A568+1)/(1+Assumptions!$B$10)^10+INDEX(Surface_Engine!$D$12:$D$72,$A568+1))))*INDEX(Surface_Engine!$B$12:$B$72,$A568+1)</f>
        <v>3895.43899593672</v>
      </c>
      <c r="N569" s="12" t="n">
        <f aca="false">IF(B569&lt;=0,0,MAX(0,(K569+Assumptions!$B$29*L569/INDEX(Surface_Engine!$B$12:$B$72,$A569+1)-(M569/INDEX(Surface_Engine!$B$12:$B$72,$A569+1)-(F569/INDEX(Surface_Engine!$B$12:$B$72,$A569+1))))/B569))</f>
        <v>0</v>
      </c>
    </row>
    <row r="570" customFormat="false" ht="15" hidden="false" customHeight="true" outlineLevel="0" collapsed="false">
      <c r="A570" s="1" t="n">
        <v>58</v>
      </c>
      <c r="B570" s="32" t="n">
        <f aca="false">INDEX(Surface_Engine!$L$12:$L$72,$A570+1)*IF($A570&lt;$Q$510,INDEX(Surface_Engine!$E$12:$E$72,$A570+1),INDEX(Surface_Engine!$E$12:$E$72,$Q$510+1))</f>
        <v>0</v>
      </c>
      <c r="C570" s="32" t="n">
        <f aca="false">INDEX(Panel_Reserving!$D$8:$D$68,$A570+1)*IF($A570&lt;$Q$510,INDEX(Surface_Engine!$E$12:$E$72,$A570+1),INDEX(Surface_Engine!$E$12:$E$72,$Q$510+1))</f>
        <v>0</v>
      </c>
      <c r="D570" s="32" t="n">
        <f aca="false">INDEX(Surface_Engine!$L$12:$L$72,$A570+1)*IF($A570&lt;$Q$510,INDEX(Surface_Engine!$Y$12:$Y$72,$A570+1),INDEX(Surface_Engine!$Y$12:$Y$72,$Q$510+1))</f>
        <v>0</v>
      </c>
      <c r="E570" s="32" t="n">
        <f aca="false">INDEX(Surface_Engine!$L$12:$L$72,$A570+1)*IF($A570&lt;$Q$510,INDEX(Surface_Engine!$Z$12:$Z$72,$A570+1),INDEX(Surface_Engine!$Z$12:$Z$72,$Q$510+1))</f>
        <v>0</v>
      </c>
      <c r="F570" s="48" t="n">
        <f aca="false">B570*(IF($A570&lt;$Q$510,INDEX(Surface_Engine!$D$12:$D$72,$A570+1)+(Surface_Engine!B241*12)*INDEX(Surface_Engine!$F$12:$F$72,$A570+1)-(Surface_Engine!B241*12),1000*12*INDEX(Surface_Engine!$C$12:$C$72,$A570+1)/(1+Assumptions!$B$10)^10+INDEX(Surface_Engine!$D$12:$D$72,$A570+1)))*INDEX(Surface_Engine!$B$12:$B$72,$A570+1)+F571</f>
        <v>0</v>
      </c>
      <c r="G570" s="48" t="n">
        <f aca="false">C570*(IF($A570&lt;$Q$510,INDEX(Surface_Engine!$D$12:$D$72,$A570+1)+(Surface_Engine!B241*12)*INDEX(Surface_Engine!$F$12:$F$72,$A570+1)-(Surface_Engine!B241*12),1000*12*INDEX(Surface_Engine!$C$12:$C$72,$A570+1)/(1+Assumptions!$B$10)^10+INDEX(Surface_Engine!$D$12:$D$72,$A570+1)))*INDEX(Surface_Engine!$B$12:$B$72,$A570+1)+G571</f>
        <v>0</v>
      </c>
      <c r="H570" s="48" t="n">
        <f aca="false">D570*(IF($A570&lt;$Q$510,INDEX(Surface_Engine!$D$12:$D$72,$A570+1)+(Surface_Engine!B241*12)*INDEX(Surface_Engine!$F$12:$F$72,$A570+1)-(Surface_Engine!B241*12),1000*12*INDEX(Surface_Engine!$C$12:$C$72,$A570+1)/(1+Assumptions!$B$10)^10+INDEX(Surface_Engine!$D$12:$D$72,$A570+1)))*INDEX(Surface_Engine!$B$12:$B$72,$A570+1)+H571</f>
        <v>0</v>
      </c>
      <c r="I570" s="48" t="n">
        <f aca="false">E570*(IF($A570&lt;$Q$510,INDEX(Surface_Engine!$D$12:$D$72,$A570+1)+(Surface_Engine!B241*12)*INDEX(Surface_Engine!$F$12:$F$72,$A570+1)-(Surface_Engine!B241*12),1000*12*INDEX(Surface_Engine!$C$12:$C$72,$A570+1)/(1+Assumptions!$B$10)^10+INDEX(Surface_Engine!$D$12:$D$72,$A570+1)))*INDEX(Surface_Engine!$B$12:$B$72,$A570+1)+I571</f>
        <v>0</v>
      </c>
      <c r="J570" s="48" t="n">
        <f aca="false">B570*(IF($A570&lt;$Q$510,INDEX(Surface_Engine!$D$12:$D$72,$A570+1)*(1+Assumptions!$B$24)+(Surface_Engine!B241*12)*INDEX(Surface_Engine!$F$12:$F$72,$A570+1)-(Surface_Engine!B241*12),1000*12*INDEX(Surface_Engine!$C$12:$C$72,$A570+1)/(1+Assumptions!$B$10)^10+INDEX(Surface_Engine!$D$12:$D$72,$A570+1)*(1+Assumptions!$B$24)))*INDEX(Surface_Engine!$B$12:$B$72,$A570+1)+J571</f>
        <v>0</v>
      </c>
      <c r="K570" s="12" t="n">
        <f aca="false">SQRT((IF(C570&lt;=0,0,MAX(0,(B570/C570)*G570/INDEX(Surface_Engine!$B$12:$B$72,$A570+1)-F570/INDEX(Surface_Engine!$B$12:$B$72,$A570+1))))^2+(MAX(IF(D570&lt;=0,0,MAX(0,(B570/D570)*H570/INDEX(Surface_Engine!$B$12:$B$72,$A570+1)-F570/INDEX(Surface_Engine!$B$12:$B$72,$A570+1))),IF(E570&lt;=0,0,MAX(0,(B570/E570)*I570/INDEX(Surface_Engine!$B$12:$B$72,$A570+1)-F570/INDEX(Surface_Engine!$B$12:$B$72,$A570+1))),IF($A570&lt;$Q$510,MAX(0,-Assumptions!$B$22*(F570/INDEX(Surface_Engine!$B$12:$B$72,$A570+1))),0)))^2+(MAX(0,J570/INDEX(Surface_Engine!$B$12:$B$72,$A570+1)-(F570/INDEX(Surface_Engine!$B$12:$B$72,$A570+1))))^2+2*Assumptions!$B$26*(IF(C570&lt;=0,0,MAX(0,(B570/C570)*G570/INDEX(Surface_Engine!$B$12:$B$72,$A570+1)-F570/INDEX(Surface_Engine!$B$12:$B$72,$A570+1))))*(MAX(IF(D570&lt;=0,0,MAX(0,(B570/D570)*H570/INDEX(Surface_Engine!$B$12:$B$72,$A570+1)-F570/INDEX(Surface_Engine!$B$12:$B$72,$A570+1))),IF(E570&lt;=0,0,MAX(0,(B570/E570)*I570/INDEX(Surface_Engine!$B$12:$B$72,$A570+1)-F570/INDEX(Surface_Engine!$B$12:$B$72,$A570+1))),IF($A570&lt;$Q$510,MAX(0,-Assumptions!$B$22*(F570/INDEX(Surface_Engine!$B$12:$B$72,$A570+1))),0)))+2*Assumptions!$B$27*(IF(C570&lt;=0,0,MAX(0,(B570/C570)*G570/INDEX(Surface_Engine!$B$12:$B$72,$A570+1)-F570/INDEX(Surface_Engine!$B$12:$B$72,$A570+1))))*(MAX(0,J570/INDEX(Surface_Engine!$B$12:$B$72,$A570+1)-(F570/INDEX(Surface_Engine!$B$12:$B$72,$A570+1))))+2*Assumptions!$B$28*(MAX(IF(D570&lt;=0,0,MAX(0,(B570/D570)*H570/INDEX(Surface_Engine!$B$12:$B$72,$A570+1)-F570/INDEX(Surface_Engine!$B$12:$B$72,$A570+1))),IF(E570&lt;=0,0,MAX(0,(B570/E570)*I570/INDEX(Surface_Engine!$B$12:$B$72,$A570+1)-F570/INDEX(Surface_Engine!$B$12:$B$72,$A570+1))),IF($A570&lt;$Q$510,MAX(0,-Assumptions!$B$22*(F570/INDEX(Surface_Engine!$B$12:$B$72,$A570+1))),0)))*(MAX(0,J570/INDEX(Surface_Engine!$B$12:$B$72,$A570+1)-(F570/INDEX(Surface_Engine!$B$12:$B$72,$A570+1)))))</f>
        <v>0</v>
      </c>
      <c r="L570" s="48" t="n">
        <f aca="false">K570*INDEX(Surface_Engine!$B$12:$B$72,$A570+1)+L571</f>
        <v>0</v>
      </c>
      <c r="M570" s="48" t="n">
        <f aca="false">M569+B569*(IF($A569&lt;$Q$510,(Surface_Engine!B241*12)-(Surface_Engine!B241*12)*INDEX(Surface_Engine!$F$12:$F$72,$A569+1)-INDEX(Surface_Engine!$D$12:$D$72,$A569+1),-(1000*12*INDEX(Surface_Engine!$C$12:$C$72,$A569+1)/(1+Assumptions!$B$10)^10+INDEX(Surface_Engine!$D$12:$D$72,$A569+1))))*INDEX(Surface_Engine!$B$12:$B$72,$A569+1)</f>
        <v>3895.43899593672</v>
      </c>
      <c r="N570" s="12" t="n">
        <f aca="false">IF(B570&lt;=0,0,MAX(0,(K570+Assumptions!$B$29*L570/INDEX(Surface_Engine!$B$12:$B$72,$A570+1)-(M570/INDEX(Surface_Engine!$B$12:$B$72,$A570+1)-(F570/INDEX(Surface_Engine!$B$12:$B$72,$A570+1))))/B570))</f>
        <v>0</v>
      </c>
    </row>
    <row r="571" customFormat="false" ht="15" hidden="false" customHeight="true" outlineLevel="0" collapsed="false">
      <c r="A571" s="1" t="n">
        <v>59</v>
      </c>
      <c r="B571" s="32" t="n">
        <f aca="false">INDEX(Surface_Engine!$L$12:$L$72,$A571+1)*IF($A571&lt;$Q$510,INDEX(Surface_Engine!$E$12:$E$72,$A571+1),INDEX(Surface_Engine!$E$12:$E$72,$Q$510+1))</f>
        <v>0</v>
      </c>
      <c r="C571" s="32" t="n">
        <f aca="false">INDEX(Panel_Reserving!$D$8:$D$68,$A571+1)*IF($A571&lt;$Q$510,INDEX(Surface_Engine!$E$12:$E$72,$A571+1),INDEX(Surface_Engine!$E$12:$E$72,$Q$510+1))</f>
        <v>0</v>
      </c>
      <c r="D571" s="32" t="n">
        <f aca="false">INDEX(Surface_Engine!$L$12:$L$72,$A571+1)*IF($A571&lt;$Q$510,INDEX(Surface_Engine!$Y$12:$Y$72,$A571+1),INDEX(Surface_Engine!$Y$12:$Y$72,$Q$510+1))</f>
        <v>0</v>
      </c>
      <c r="E571" s="32" t="n">
        <f aca="false">INDEX(Surface_Engine!$L$12:$L$72,$A571+1)*IF($A571&lt;$Q$510,INDEX(Surface_Engine!$Z$12:$Z$72,$A571+1),INDEX(Surface_Engine!$Z$12:$Z$72,$Q$510+1))</f>
        <v>0</v>
      </c>
      <c r="F571" s="48" t="n">
        <f aca="false">B571*(IF($A571&lt;$Q$510,INDEX(Surface_Engine!$D$12:$D$72,$A571+1)+(Surface_Engine!B241*12)*INDEX(Surface_Engine!$F$12:$F$72,$A571+1)-(Surface_Engine!B241*12),1000*12*INDEX(Surface_Engine!$C$12:$C$72,$A571+1)/(1+Assumptions!$B$10)^10+INDEX(Surface_Engine!$D$12:$D$72,$A571+1)))*INDEX(Surface_Engine!$B$12:$B$72,$A571+1)+F572</f>
        <v>0</v>
      </c>
      <c r="G571" s="48" t="n">
        <f aca="false">C571*(IF($A571&lt;$Q$510,INDEX(Surface_Engine!$D$12:$D$72,$A571+1)+(Surface_Engine!B241*12)*INDEX(Surface_Engine!$F$12:$F$72,$A571+1)-(Surface_Engine!B241*12),1000*12*INDEX(Surface_Engine!$C$12:$C$72,$A571+1)/(1+Assumptions!$B$10)^10+INDEX(Surface_Engine!$D$12:$D$72,$A571+1)))*INDEX(Surface_Engine!$B$12:$B$72,$A571+1)+G572</f>
        <v>0</v>
      </c>
      <c r="H571" s="48" t="n">
        <f aca="false">D571*(IF($A571&lt;$Q$510,INDEX(Surface_Engine!$D$12:$D$72,$A571+1)+(Surface_Engine!B241*12)*INDEX(Surface_Engine!$F$12:$F$72,$A571+1)-(Surface_Engine!B241*12),1000*12*INDEX(Surface_Engine!$C$12:$C$72,$A571+1)/(1+Assumptions!$B$10)^10+INDEX(Surface_Engine!$D$12:$D$72,$A571+1)))*INDEX(Surface_Engine!$B$12:$B$72,$A571+1)+H572</f>
        <v>0</v>
      </c>
      <c r="I571" s="48" t="n">
        <f aca="false">E571*(IF($A571&lt;$Q$510,INDEX(Surface_Engine!$D$12:$D$72,$A571+1)+(Surface_Engine!B241*12)*INDEX(Surface_Engine!$F$12:$F$72,$A571+1)-(Surface_Engine!B241*12),1000*12*INDEX(Surface_Engine!$C$12:$C$72,$A571+1)/(1+Assumptions!$B$10)^10+INDEX(Surface_Engine!$D$12:$D$72,$A571+1)))*INDEX(Surface_Engine!$B$12:$B$72,$A571+1)+I572</f>
        <v>0</v>
      </c>
      <c r="J571" s="48" t="n">
        <f aca="false">B571*(IF($A571&lt;$Q$510,INDEX(Surface_Engine!$D$12:$D$72,$A571+1)*(1+Assumptions!$B$24)+(Surface_Engine!B241*12)*INDEX(Surface_Engine!$F$12:$F$72,$A571+1)-(Surface_Engine!B241*12),1000*12*INDEX(Surface_Engine!$C$12:$C$72,$A571+1)/(1+Assumptions!$B$10)^10+INDEX(Surface_Engine!$D$12:$D$72,$A571+1)*(1+Assumptions!$B$24)))*INDEX(Surface_Engine!$B$12:$B$72,$A571+1)+J572</f>
        <v>0</v>
      </c>
      <c r="K571" s="12" t="n">
        <f aca="false">SQRT((IF(C571&lt;=0,0,MAX(0,(B571/C571)*G571/INDEX(Surface_Engine!$B$12:$B$72,$A571+1)-F571/INDEX(Surface_Engine!$B$12:$B$72,$A571+1))))^2+(MAX(IF(D571&lt;=0,0,MAX(0,(B571/D571)*H571/INDEX(Surface_Engine!$B$12:$B$72,$A571+1)-F571/INDEX(Surface_Engine!$B$12:$B$72,$A571+1))),IF(E571&lt;=0,0,MAX(0,(B571/E571)*I571/INDEX(Surface_Engine!$B$12:$B$72,$A571+1)-F571/INDEX(Surface_Engine!$B$12:$B$72,$A571+1))),IF($A571&lt;$Q$510,MAX(0,-Assumptions!$B$22*(F571/INDEX(Surface_Engine!$B$12:$B$72,$A571+1))),0)))^2+(MAX(0,J571/INDEX(Surface_Engine!$B$12:$B$72,$A571+1)-(F571/INDEX(Surface_Engine!$B$12:$B$72,$A571+1))))^2+2*Assumptions!$B$26*(IF(C571&lt;=0,0,MAX(0,(B571/C571)*G571/INDEX(Surface_Engine!$B$12:$B$72,$A571+1)-F571/INDEX(Surface_Engine!$B$12:$B$72,$A571+1))))*(MAX(IF(D571&lt;=0,0,MAX(0,(B571/D571)*H571/INDEX(Surface_Engine!$B$12:$B$72,$A571+1)-F571/INDEX(Surface_Engine!$B$12:$B$72,$A571+1))),IF(E571&lt;=0,0,MAX(0,(B571/E571)*I571/INDEX(Surface_Engine!$B$12:$B$72,$A571+1)-F571/INDEX(Surface_Engine!$B$12:$B$72,$A571+1))),IF($A571&lt;$Q$510,MAX(0,-Assumptions!$B$22*(F571/INDEX(Surface_Engine!$B$12:$B$72,$A571+1))),0)))+2*Assumptions!$B$27*(IF(C571&lt;=0,0,MAX(0,(B571/C571)*G571/INDEX(Surface_Engine!$B$12:$B$72,$A571+1)-F571/INDEX(Surface_Engine!$B$12:$B$72,$A571+1))))*(MAX(0,J571/INDEX(Surface_Engine!$B$12:$B$72,$A571+1)-(F571/INDEX(Surface_Engine!$B$12:$B$72,$A571+1))))+2*Assumptions!$B$28*(MAX(IF(D571&lt;=0,0,MAX(0,(B571/D571)*H571/INDEX(Surface_Engine!$B$12:$B$72,$A571+1)-F571/INDEX(Surface_Engine!$B$12:$B$72,$A571+1))),IF(E571&lt;=0,0,MAX(0,(B571/E571)*I571/INDEX(Surface_Engine!$B$12:$B$72,$A571+1)-F571/INDEX(Surface_Engine!$B$12:$B$72,$A571+1))),IF($A571&lt;$Q$510,MAX(0,-Assumptions!$B$22*(F571/INDEX(Surface_Engine!$B$12:$B$72,$A571+1))),0)))*(MAX(0,J571/INDEX(Surface_Engine!$B$12:$B$72,$A571+1)-(F571/INDEX(Surface_Engine!$B$12:$B$72,$A571+1)))))</f>
        <v>0</v>
      </c>
      <c r="L571" s="48" t="n">
        <f aca="false">K571*INDEX(Surface_Engine!$B$12:$B$72,$A571+1)+L572</f>
        <v>0</v>
      </c>
      <c r="M571" s="48" t="n">
        <f aca="false">M570+B570*(IF($A570&lt;$Q$510,(Surface_Engine!B241*12)-(Surface_Engine!B241*12)*INDEX(Surface_Engine!$F$12:$F$72,$A570+1)-INDEX(Surface_Engine!$D$12:$D$72,$A570+1),-(1000*12*INDEX(Surface_Engine!$C$12:$C$72,$A570+1)/(1+Assumptions!$B$10)^10+INDEX(Surface_Engine!$D$12:$D$72,$A570+1))))*INDEX(Surface_Engine!$B$12:$B$72,$A570+1)</f>
        <v>3895.43899593672</v>
      </c>
      <c r="N571" s="12" t="n">
        <f aca="false">IF(B571&lt;=0,0,MAX(0,(K571+Assumptions!$B$29*L571/INDEX(Surface_Engine!$B$12:$B$72,$A571+1)-(M571/INDEX(Surface_Engine!$B$12:$B$72,$A571+1)-(F571/INDEX(Surface_Engine!$B$12:$B$72,$A571+1))))/B571))</f>
        <v>0</v>
      </c>
    </row>
    <row r="572" customFormat="false" ht="15" hidden="false" customHeight="true" outlineLevel="0" collapsed="false">
      <c r="A572" s="1" t="n">
        <v>60</v>
      </c>
      <c r="B572" s="32" t="n">
        <f aca="false">INDEX(Surface_Engine!$L$12:$L$72,$A572+1)*IF($A572&lt;$Q$510,INDEX(Surface_Engine!$E$12:$E$72,$A572+1),INDEX(Surface_Engine!$E$12:$E$72,$Q$510+1))</f>
        <v>0</v>
      </c>
      <c r="C572" s="32" t="n">
        <f aca="false">INDEX(Panel_Reserving!$D$8:$D$68,$A572+1)*IF($A572&lt;$Q$510,INDEX(Surface_Engine!$E$12:$E$72,$A572+1),INDEX(Surface_Engine!$E$12:$E$72,$Q$510+1))</f>
        <v>0</v>
      </c>
      <c r="D572" s="32" t="n">
        <f aca="false">INDEX(Surface_Engine!$L$12:$L$72,$A572+1)*IF($A572&lt;$Q$510,INDEX(Surface_Engine!$Y$12:$Y$72,$A572+1),INDEX(Surface_Engine!$Y$12:$Y$72,$Q$510+1))</f>
        <v>0</v>
      </c>
      <c r="E572" s="32" t="n">
        <f aca="false">INDEX(Surface_Engine!$L$12:$L$72,$A572+1)*IF($A572&lt;$Q$510,INDEX(Surface_Engine!$Z$12:$Z$72,$A572+1),INDEX(Surface_Engine!$Z$12:$Z$72,$Q$510+1))</f>
        <v>0</v>
      </c>
      <c r="F572" s="48" t="n">
        <f aca="false">B572*(IF($A572&lt;$Q$510,INDEX(Surface_Engine!$D$12:$D$72,$A572+1)+(Surface_Engine!B241*12)*INDEX(Surface_Engine!$F$12:$F$72,$A572+1)-(Surface_Engine!B241*12),1000*12*INDEX(Surface_Engine!$C$12:$C$72,$A572+1)/(1+Assumptions!$B$10)^10+INDEX(Surface_Engine!$D$12:$D$72,$A572+1)))*INDEX(Surface_Engine!$B$12:$B$72,$A572+1)</f>
        <v>0</v>
      </c>
      <c r="G572" s="48" t="n">
        <f aca="false">C572*(IF($A572&lt;$Q$510,INDEX(Surface_Engine!$D$12:$D$72,$A572+1)+(Surface_Engine!B241*12)*INDEX(Surface_Engine!$F$12:$F$72,$A572+1)-(Surface_Engine!B241*12),1000*12*INDEX(Surface_Engine!$C$12:$C$72,$A572+1)/(1+Assumptions!$B$10)^10+INDEX(Surface_Engine!$D$12:$D$72,$A572+1)))*INDEX(Surface_Engine!$B$12:$B$72,$A572+1)</f>
        <v>0</v>
      </c>
      <c r="H572" s="48" t="n">
        <f aca="false">D572*(IF($A572&lt;$Q$510,INDEX(Surface_Engine!$D$12:$D$72,$A572+1)+(Surface_Engine!B241*12)*INDEX(Surface_Engine!$F$12:$F$72,$A572+1)-(Surface_Engine!B241*12),1000*12*INDEX(Surface_Engine!$C$12:$C$72,$A572+1)/(1+Assumptions!$B$10)^10+INDEX(Surface_Engine!$D$12:$D$72,$A572+1)))*INDEX(Surface_Engine!$B$12:$B$72,$A572+1)</f>
        <v>0</v>
      </c>
      <c r="I572" s="48" t="n">
        <f aca="false">E572*(IF($A572&lt;$Q$510,INDEX(Surface_Engine!$D$12:$D$72,$A572+1)+(Surface_Engine!B241*12)*INDEX(Surface_Engine!$F$12:$F$72,$A572+1)-(Surface_Engine!B241*12),1000*12*INDEX(Surface_Engine!$C$12:$C$72,$A572+1)/(1+Assumptions!$B$10)^10+INDEX(Surface_Engine!$D$12:$D$72,$A572+1)))*INDEX(Surface_Engine!$B$12:$B$72,$A572+1)</f>
        <v>0</v>
      </c>
      <c r="J572" s="48" t="n">
        <f aca="false">B572*(IF($A572&lt;$Q$510,INDEX(Surface_Engine!$D$12:$D$72,$A572+1)*(1+Assumptions!$B$24)+(Surface_Engine!B241*12)*INDEX(Surface_Engine!$F$12:$F$72,$A572+1)-(Surface_Engine!B241*12),1000*12*INDEX(Surface_Engine!$C$12:$C$72,$A572+1)/(1+Assumptions!$B$10)^10+INDEX(Surface_Engine!$D$12:$D$72,$A572+1)*(1+Assumptions!$B$24)))*INDEX(Surface_Engine!$B$12:$B$72,$A572+1)</f>
        <v>0</v>
      </c>
      <c r="K572" s="12" t="n">
        <f aca="false">SQRT((IF(C572&lt;=0,0,MAX(0,(B572/C572)*G572/INDEX(Surface_Engine!$B$12:$B$72,$A572+1)-F572/INDEX(Surface_Engine!$B$12:$B$72,$A572+1))))^2+(MAX(IF(D572&lt;=0,0,MAX(0,(B572/D572)*H572/INDEX(Surface_Engine!$B$12:$B$72,$A572+1)-F572/INDEX(Surface_Engine!$B$12:$B$72,$A572+1))),IF(E572&lt;=0,0,MAX(0,(B572/E572)*I572/INDEX(Surface_Engine!$B$12:$B$72,$A572+1)-F572/INDEX(Surface_Engine!$B$12:$B$72,$A572+1))),IF($A572&lt;$Q$510,MAX(0,-Assumptions!$B$22*(F572/INDEX(Surface_Engine!$B$12:$B$72,$A572+1))),0)))^2+(MAX(0,J572/INDEX(Surface_Engine!$B$12:$B$72,$A572+1)-(F572/INDEX(Surface_Engine!$B$12:$B$72,$A572+1))))^2+2*Assumptions!$B$26*(IF(C572&lt;=0,0,MAX(0,(B572/C572)*G572/INDEX(Surface_Engine!$B$12:$B$72,$A572+1)-F572/INDEX(Surface_Engine!$B$12:$B$72,$A572+1))))*(MAX(IF(D572&lt;=0,0,MAX(0,(B572/D572)*H572/INDEX(Surface_Engine!$B$12:$B$72,$A572+1)-F572/INDEX(Surface_Engine!$B$12:$B$72,$A572+1))),IF(E572&lt;=0,0,MAX(0,(B572/E572)*I572/INDEX(Surface_Engine!$B$12:$B$72,$A572+1)-F572/INDEX(Surface_Engine!$B$12:$B$72,$A572+1))),IF($A572&lt;$Q$510,MAX(0,-Assumptions!$B$22*(F572/INDEX(Surface_Engine!$B$12:$B$72,$A572+1))),0)))+2*Assumptions!$B$27*(IF(C572&lt;=0,0,MAX(0,(B572/C572)*G572/INDEX(Surface_Engine!$B$12:$B$72,$A572+1)-F572/INDEX(Surface_Engine!$B$12:$B$72,$A572+1))))*(MAX(0,J572/INDEX(Surface_Engine!$B$12:$B$72,$A572+1)-(F572/INDEX(Surface_Engine!$B$12:$B$72,$A572+1))))+2*Assumptions!$B$28*(MAX(IF(D572&lt;=0,0,MAX(0,(B572/D572)*H572/INDEX(Surface_Engine!$B$12:$B$72,$A572+1)-F572/INDEX(Surface_Engine!$B$12:$B$72,$A572+1))),IF(E572&lt;=0,0,MAX(0,(B572/E572)*I572/INDEX(Surface_Engine!$B$12:$B$72,$A572+1)-F572/INDEX(Surface_Engine!$B$12:$B$72,$A572+1))),IF($A572&lt;$Q$510,MAX(0,-Assumptions!$B$22*(F572/INDEX(Surface_Engine!$B$12:$B$72,$A572+1))),0)))*(MAX(0,J572/INDEX(Surface_Engine!$B$12:$B$72,$A572+1)-(F572/INDEX(Surface_Engine!$B$12:$B$72,$A572+1)))))</f>
        <v>0</v>
      </c>
      <c r="L572" s="48" t="n">
        <f aca="false">K572*INDEX(Surface_Engine!$B$12:$B$72,$A572+1)</f>
        <v>0</v>
      </c>
      <c r="M572" s="48" t="n">
        <f aca="false">M571+B571*(IF($A571&lt;$Q$510,(Surface_Engine!B241*12)-(Surface_Engine!B241*12)*INDEX(Surface_Engine!$F$12:$F$72,$A571+1)-INDEX(Surface_Engine!$D$12:$D$72,$A571+1),-(1000*12*INDEX(Surface_Engine!$C$12:$C$72,$A571+1)/(1+Assumptions!$B$10)^10+INDEX(Surface_Engine!$D$12:$D$72,$A571+1))))*INDEX(Surface_Engine!$B$12:$B$72,$A571+1)</f>
        <v>3895.43899593672</v>
      </c>
      <c r="N572" s="12" t="n">
        <f aca="false">IF(B572&lt;=0,0,MAX(0,(K572+Assumptions!$B$29*L572/INDEX(Surface_Engine!$B$12:$B$72,$A572+1)-(M572/INDEX(Surface_Engine!$B$12:$B$72,$A572+1)-(F572/INDEX(Surface_Engine!$B$12:$B$72,$A572+1))))/B572))</f>
        <v>0</v>
      </c>
    </row>
    <row r="573" customFormat="false" ht="15" hidden="false" customHeight="true" outlineLevel="0" collapsed="false">
      <c r="A573" s="4" t="str">
        <f aca="false">"entry "&amp;O573&amp;" / vesting "&amp;P573&amp;"   deferral "&amp;Q573</f>
        <v>entry 65 / vesting 80   deferral 15</v>
      </c>
      <c r="C573" s="49" t="n">
        <f aca="false">MAX(N512:N572)</f>
        <v>22672.8640064579</v>
      </c>
      <c r="E573" s="7" t="s">
        <v>1634</v>
      </c>
      <c r="G573" s="21" t="n">
        <f aca="false">INDEX(A512:A572,MATCH(C573,N512:N572,0))</f>
        <v>4</v>
      </c>
      <c r="J573" s="7" t="s">
        <v>1624</v>
      </c>
      <c r="K573" s="50" t="n">
        <f aca="false">Surface_Engine!G241</f>
        <v>578.747857148236</v>
      </c>
      <c r="O573" s="1" t="n">
        <f aca="false">A1716</f>
        <v>65</v>
      </c>
      <c r="P573" s="76" t="n">
        <f aca="false">C$1713</f>
        <v>80</v>
      </c>
      <c r="Q573" s="1" t="n">
        <f aca="false">P573-O573</f>
        <v>15</v>
      </c>
    </row>
    <row r="574" customFormat="false" ht="15" hidden="false" customHeight="true" outlineLevel="0" collapsed="false">
      <c r="A574" s="8" t="s">
        <v>802</v>
      </c>
      <c r="B574" s="8" t="s">
        <v>1584</v>
      </c>
      <c r="C574" s="8" t="s">
        <v>1585</v>
      </c>
      <c r="D574" s="8" t="s">
        <v>1587</v>
      </c>
      <c r="E574" s="8" t="s">
        <v>1588</v>
      </c>
      <c r="F574" s="8" t="s">
        <v>1625</v>
      </c>
      <c r="G574" s="8" t="s">
        <v>1626</v>
      </c>
      <c r="H574" s="8" t="s">
        <v>1627</v>
      </c>
      <c r="I574" s="8" t="s">
        <v>1628</v>
      </c>
      <c r="J574" s="8" t="s">
        <v>1629</v>
      </c>
      <c r="K574" s="8" t="s">
        <v>812</v>
      </c>
      <c r="L574" s="8" t="s">
        <v>1630</v>
      </c>
      <c r="M574" s="8" t="s">
        <v>341</v>
      </c>
      <c r="N574" s="8" t="s">
        <v>1631</v>
      </c>
      <c r="O574" s="1" t="s">
        <v>1544</v>
      </c>
      <c r="P574" s="1" t="s">
        <v>1632</v>
      </c>
      <c r="Q574" s="1" t="s">
        <v>1633</v>
      </c>
    </row>
    <row r="575" customFormat="false" ht="15" hidden="false" customHeight="true" outlineLevel="0" collapsed="false">
      <c r="A575" s="1" t="n">
        <v>0</v>
      </c>
      <c r="B575" s="32" t="n">
        <f aca="false">INDEX(Surface_Engine!$L$12:$L$72,$A575+1)*IF($A575&lt;$Q$573,INDEX(Surface_Engine!$E$12:$E$72,$A575+1),INDEX(Surface_Engine!$E$12:$E$72,$Q$573+1))</f>
        <v>1</v>
      </c>
      <c r="C575" s="32" t="n">
        <f aca="false">INDEX(Panel_Reserving!$D$8:$D$68,$A575+1)*IF($A575&lt;$Q$573,INDEX(Surface_Engine!$E$12:$E$72,$A575+1),INDEX(Surface_Engine!$E$12:$E$72,$Q$573+1))</f>
        <v>1</v>
      </c>
      <c r="D575" s="32" t="n">
        <f aca="false">INDEX(Surface_Engine!$L$12:$L$72,$A575+1)*IF($A575&lt;$Q$573,INDEX(Surface_Engine!$Y$12:$Y$72,$A575+1),INDEX(Surface_Engine!$Y$12:$Y$72,$Q$573+1))</f>
        <v>1</v>
      </c>
      <c r="E575" s="32" t="n">
        <f aca="false">INDEX(Surface_Engine!$L$12:$L$72,$A575+1)*IF($A575&lt;$Q$573,INDEX(Surface_Engine!$Z$12:$Z$72,$A575+1),INDEX(Surface_Engine!$Z$12:$Z$72,$Q$573+1))</f>
        <v>1</v>
      </c>
      <c r="F575" s="48" t="n">
        <f aca="false">B575*(IF($A575&lt;$Q$573,INDEX(Surface_Engine!$D$12:$D$72,$A575+1)+(Surface_Engine!G241*12)*INDEX(Surface_Engine!$F$12:$F$72,$A575+1)-(Surface_Engine!G241*12),1000*12*INDEX(Surface_Engine!$C$12:$C$72,$A575+1)/(1+Assumptions!$B$10)^15+INDEX(Surface_Engine!$D$12:$D$72,$A575+1)))*INDEX(Surface_Engine!$B$12:$B$72,$A575+1)+F576</f>
        <v>-2206.6768813412</v>
      </c>
      <c r="G575" s="48" t="n">
        <f aca="false">C575*(IF($A575&lt;$Q$573,INDEX(Surface_Engine!$D$12:$D$72,$A575+1)+(Surface_Engine!G241*12)*INDEX(Surface_Engine!$F$12:$F$72,$A575+1)-(Surface_Engine!G241*12),1000*12*INDEX(Surface_Engine!$C$12:$C$72,$A575+1)/(1+Assumptions!$B$10)^15+INDEX(Surface_Engine!$D$12:$D$72,$A575+1)))*INDEX(Surface_Engine!$B$12:$B$72,$A575+1)+G576</f>
        <v>6092.29602058737</v>
      </c>
      <c r="H575" s="48" t="n">
        <f aca="false">D575*(IF($A575&lt;$Q$573,INDEX(Surface_Engine!$D$12:$D$72,$A575+1)+(Surface_Engine!G241*12)*INDEX(Surface_Engine!$F$12:$F$72,$A575+1)-(Surface_Engine!G241*12),1000*12*INDEX(Surface_Engine!$C$12:$C$72,$A575+1)/(1+Assumptions!$B$10)^15+INDEX(Surface_Engine!$D$12:$D$72,$A575+1)))*INDEX(Surface_Engine!$B$12:$B$72,$A575+1)+H576</f>
        <v>-4357.151745706</v>
      </c>
      <c r="I575" s="48" t="n">
        <f aca="false">E575*(IF($A575&lt;$Q$573,INDEX(Surface_Engine!$D$12:$D$72,$A575+1)+(Surface_Engine!G241*12)*INDEX(Surface_Engine!$F$12:$F$72,$A575+1)-(Surface_Engine!G241*12),1000*12*INDEX(Surface_Engine!$C$12:$C$72,$A575+1)/(1+Assumptions!$B$10)^15+INDEX(Surface_Engine!$D$12:$D$72,$A575+1)))*INDEX(Surface_Engine!$B$12:$B$72,$A575+1)+I576</f>
        <v>278.845890994488</v>
      </c>
      <c r="J575" s="48" t="n">
        <f aca="false">B575*(IF($A575&lt;$Q$573,INDEX(Surface_Engine!$D$12:$D$72,$A575+1)*(1+Assumptions!$B$24)+(Surface_Engine!G241*12)*INDEX(Surface_Engine!$F$12:$F$72,$A575+1)-(Surface_Engine!G241*12),1000*12*INDEX(Surface_Engine!$C$12:$C$72,$A575+1)/(1+Assumptions!$B$10)^15+INDEX(Surface_Engine!$D$12:$D$72,$A575+1)*(1+Assumptions!$B$24)))*INDEX(Surface_Engine!$B$12:$B$72,$A575+1)+J576</f>
        <v>-2044.37846525364</v>
      </c>
      <c r="K575" s="12" t="n">
        <f aca="false">SQRT((IF(C575&lt;=0,0,MAX(0,(B575/C575)*G575/INDEX(Surface_Engine!$B$12:$B$72,$A575+1)-F575/INDEX(Surface_Engine!$B$12:$B$72,$A575+1))))^2+(MAX(IF(D575&lt;=0,0,MAX(0,(B575/D575)*H575/INDEX(Surface_Engine!$B$12:$B$72,$A575+1)-F575/INDEX(Surface_Engine!$B$12:$B$72,$A575+1))),IF(E575&lt;=0,0,MAX(0,(B575/E575)*I575/INDEX(Surface_Engine!$B$12:$B$72,$A575+1)-F575/INDEX(Surface_Engine!$B$12:$B$72,$A575+1))),IF($A575&lt;$Q$573,MAX(0,-Assumptions!$B$22*(F575/INDEX(Surface_Engine!$B$12:$B$72,$A575+1))),0)))^2+(MAX(0,J575/INDEX(Surface_Engine!$B$12:$B$72,$A575+1)-(F575/INDEX(Surface_Engine!$B$12:$B$72,$A575+1))))^2+2*Assumptions!$B$26*(IF(C575&lt;=0,0,MAX(0,(B575/C575)*G575/INDEX(Surface_Engine!$B$12:$B$72,$A575+1)-F575/INDEX(Surface_Engine!$B$12:$B$72,$A575+1))))*(MAX(IF(D575&lt;=0,0,MAX(0,(B575/D575)*H575/INDEX(Surface_Engine!$B$12:$B$72,$A575+1)-F575/INDEX(Surface_Engine!$B$12:$B$72,$A575+1))),IF(E575&lt;=0,0,MAX(0,(B575/E575)*I575/INDEX(Surface_Engine!$B$12:$B$72,$A575+1)-F575/INDEX(Surface_Engine!$B$12:$B$72,$A575+1))),IF($A575&lt;$Q$573,MAX(0,-Assumptions!$B$22*(F575/INDEX(Surface_Engine!$B$12:$B$72,$A575+1))),0)))+2*Assumptions!$B$27*(IF(C575&lt;=0,0,MAX(0,(B575/C575)*G575/INDEX(Surface_Engine!$B$12:$B$72,$A575+1)-F575/INDEX(Surface_Engine!$B$12:$B$72,$A575+1))))*(MAX(0,J575/INDEX(Surface_Engine!$B$12:$B$72,$A575+1)-(F575/INDEX(Surface_Engine!$B$12:$B$72,$A575+1))))+2*Assumptions!$B$28*(MAX(IF(D575&lt;=0,0,MAX(0,(B575/D575)*H575/INDEX(Surface_Engine!$B$12:$B$72,$A575+1)-F575/INDEX(Surface_Engine!$B$12:$B$72,$A575+1))),IF(E575&lt;=0,0,MAX(0,(B575/E575)*I575/INDEX(Surface_Engine!$B$12:$B$72,$A575+1)-F575/INDEX(Surface_Engine!$B$12:$B$72,$A575+1))),IF($A575&lt;$Q$573,MAX(0,-Assumptions!$B$22*(F575/INDEX(Surface_Engine!$B$12:$B$72,$A575+1))),0)))*(MAX(0,J575/INDEX(Surface_Engine!$B$12:$B$72,$A575+1)-(F575/INDEX(Surface_Engine!$B$12:$B$72,$A575+1)))))</f>
        <v>9298.79615916203</v>
      </c>
      <c r="L575" s="48" t="n">
        <f aca="false">K575*INDEX(Surface_Engine!$B$12:$B$72,$A575+1)+L576</f>
        <v>193242.422834208</v>
      </c>
      <c r="M575" s="48" t="n">
        <v>0</v>
      </c>
      <c r="N575" s="12" t="n">
        <f aca="false">IF(B575&lt;=0,0,MAX(0,(K575+Assumptions!$B$29*L575/INDEX(Surface_Engine!$B$12:$B$72,$A575+1)-(M575/INDEX(Surface_Engine!$B$12:$B$72,$A575+1)-(F575/INDEX(Surface_Engine!$B$12:$B$72,$A575+1))))/B575))</f>
        <v>18686.6646478733</v>
      </c>
    </row>
    <row r="576" customFormat="false" ht="15" hidden="false" customHeight="true" outlineLevel="0" collapsed="false">
      <c r="A576" s="1" t="n">
        <v>1</v>
      </c>
      <c r="B576" s="32" t="n">
        <f aca="false">INDEX(Surface_Engine!$L$12:$L$72,$A576+1)*IF($A576&lt;$Q$573,INDEX(Surface_Engine!$E$12:$E$72,$A576+1),INDEX(Surface_Engine!$E$12:$E$72,$Q$573+1))</f>
        <v>0.954429784274803</v>
      </c>
      <c r="C576" s="32" t="n">
        <f aca="false">INDEX(Panel_Reserving!$D$8:$D$68,$A576+1)*IF($A576&lt;$Q$573,INDEX(Surface_Engine!$E$12:$E$72,$A576+1),INDEX(Surface_Engine!$E$12:$E$72,$Q$573+1))</f>
        <v>0.955423827419843</v>
      </c>
      <c r="D576" s="32" t="n">
        <f aca="false">INDEX(Surface_Engine!$L$12:$L$72,$A576+1)*IF($A576&lt;$Q$573,INDEX(Surface_Engine!$Y$12:$Y$72,$A576+1),INDEX(Surface_Engine!$Y$12:$Y$72,$Q$573+1))</f>
        <v>0.934234949356335</v>
      </c>
      <c r="E576" s="32" t="n">
        <f aca="false">INDEX(Surface_Engine!$L$12:$L$72,$A576+1)*IF($A576&lt;$Q$573,INDEX(Surface_Engine!$Z$12:$Z$72,$A576+1),INDEX(Surface_Engine!$Z$12:$Z$72,$Q$573+1))</f>
        <v>0.974624619193272</v>
      </c>
      <c r="F576" s="48" t="n">
        <f aca="false">B576*(IF($A576&lt;$Q$573,INDEX(Surface_Engine!$D$12:$D$72,$A576+1)+(Surface_Engine!G241*12)*INDEX(Surface_Engine!$F$12:$F$72,$A576+1)-(Surface_Engine!G241*12),1000*12*INDEX(Surface_Engine!$C$12:$C$72,$A576+1)/(1+Assumptions!$B$10)^15+INDEX(Surface_Engine!$D$12:$D$72,$A576+1)))*INDEX(Surface_Engine!$B$12:$B$72,$A576+1)+F577</f>
        <v>-2288.6768813412</v>
      </c>
      <c r="G576" s="48" t="n">
        <f aca="false">C576*(IF($A576&lt;$Q$573,INDEX(Surface_Engine!$D$12:$D$72,$A576+1)+(Surface_Engine!G241*12)*INDEX(Surface_Engine!$F$12:$F$72,$A576+1)-(Surface_Engine!G241*12),1000*12*INDEX(Surface_Engine!$C$12:$C$72,$A576+1)/(1+Assumptions!$B$10)^15+INDEX(Surface_Engine!$D$12:$D$72,$A576+1)))*INDEX(Surface_Engine!$B$12:$B$72,$A576+1)+G577</f>
        <v>6010.29602058737</v>
      </c>
      <c r="H576" s="48" t="n">
        <f aca="false">D576*(IF($A576&lt;$Q$573,INDEX(Surface_Engine!$D$12:$D$72,$A576+1)+(Surface_Engine!G241*12)*INDEX(Surface_Engine!$F$12:$F$72,$A576+1)-(Surface_Engine!G241*12),1000*12*INDEX(Surface_Engine!$C$12:$C$72,$A576+1)/(1+Assumptions!$B$10)^15+INDEX(Surface_Engine!$D$12:$D$72,$A576+1)))*INDEX(Surface_Engine!$B$12:$B$72,$A576+1)+H577</f>
        <v>-4439.151745706</v>
      </c>
      <c r="I576" s="48" t="n">
        <f aca="false">E576*(IF($A576&lt;$Q$573,INDEX(Surface_Engine!$D$12:$D$72,$A576+1)+(Surface_Engine!G241*12)*INDEX(Surface_Engine!$F$12:$F$72,$A576+1)-(Surface_Engine!G241*12),1000*12*INDEX(Surface_Engine!$C$12:$C$72,$A576+1)/(1+Assumptions!$B$10)^15+INDEX(Surface_Engine!$D$12:$D$72,$A576+1)))*INDEX(Surface_Engine!$B$12:$B$72,$A576+1)+I577</f>
        <v>196.845890994488</v>
      </c>
      <c r="J576" s="48" t="n">
        <f aca="false">B576*(IF($A576&lt;$Q$573,INDEX(Surface_Engine!$D$12:$D$72,$A576+1)*(1+Assumptions!$B$24)+(Surface_Engine!G241*12)*INDEX(Surface_Engine!$F$12:$F$72,$A576+1)-(Surface_Engine!G241*12),1000*12*INDEX(Surface_Engine!$C$12:$C$72,$A576+1)/(1+Assumptions!$B$10)^15+INDEX(Surface_Engine!$D$12:$D$72,$A576+1)*(1+Assumptions!$B$24)))*INDEX(Surface_Engine!$B$12:$B$72,$A576+1)+J577</f>
        <v>-2134.57846525364</v>
      </c>
      <c r="K576" s="12" t="n">
        <f aca="false">SQRT((IF(C576&lt;=0,0,MAX(0,(B576/C576)*G576/INDEX(Surface_Engine!$B$12:$B$72,$A576+1)-F576/INDEX(Surface_Engine!$B$12:$B$72,$A576+1))))^2+(MAX(IF(D576&lt;=0,0,MAX(0,(B576/D576)*H576/INDEX(Surface_Engine!$B$12:$B$72,$A576+1)-F576/INDEX(Surface_Engine!$B$12:$B$72,$A576+1))),IF(E576&lt;=0,0,MAX(0,(B576/E576)*I576/INDEX(Surface_Engine!$B$12:$B$72,$A576+1)-F576/INDEX(Surface_Engine!$B$12:$B$72,$A576+1))),IF($A576&lt;$Q$573,MAX(0,-Assumptions!$B$22*(F576/INDEX(Surface_Engine!$B$12:$B$72,$A576+1))),0)))^2+(MAX(0,J576/INDEX(Surface_Engine!$B$12:$B$72,$A576+1)-(F576/INDEX(Surface_Engine!$B$12:$B$72,$A576+1))))^2+2*Assumptions!$B$26*(IF(C576&lt;=0,0,MAX(0,(B576/C576)*G576/INDEX(Surface_Engine!$B$12:$B$72,$A576+1)-F576/INDEX(Surface_Engine!$B$12:$B$72,$A576+1))))*(MAX(IF(D576&lt;=0,0,MAX(0,(B576/D576)*H576/INDEX(Surface_Engine!$B$12:$B$72,$A576+1)-F576/INDEX(Surface_Engine!$B$12:$B$72,$A576+1))),IF(E576&lt;=0,0,MAX(0,(B576/E576)*I576/INDEX(Surface_Engine!$B$12:$B$72,$A576+1)-F576/INDEX(Surface_Engine!$B$12:$B$72,$A576+1))),IF($A576&lt;$Q$573,MAX(0,-Assumptions!$B$22*(F576/INDEX(Surface_Engine!$B$12:$B$72,$A576+1))),0)))+2*Assumptions!$B$27*(IF(C576&lt;=0,0,MAX(0,(B576/C576)*G576/INDEX(Surface_Engine!$B$12:$B$72,$A576+1)-F576/INDEX(Surface_Engine!$B$12:$B$72,$A576+1))))*(MAX(0,J576/INDEX(Surface_Engine!$B$12:$B$72,$A576+1)-(F576/INDEX(Surface_Engine!$B$12:$B$72,$A576+1))))+2*Assumptions!$B$28*(MAX(IF(D576&lt;=0,0,MAX(0,(B576/D576)*H576/INDEX(Surface_Engine!$B$12:$B$72,$A576+1)-F576/INDEX(Surface_Engine!$B$12:$B$72,$A576+1))),IF(E576&lt;=0,0,MAX(0,(B576/E576)*I576/INDEX(Surface_Engine!$B$12:$B$72,$A576+1)-F576/INDEX(Surface_Engine!$B$12:$B$72,$A576+1))),IF($A576&lt;$Q$573,MAX(0,-Assumptions!$B$22*(F576/INDEX(Surface_Engine!$B$12:$B$72,$A576+1))),0)))*(MAX(0,J576/INDEX(Surface_Engine!$B$12:$B$72,$A576+1)-(F576/INDEX(Surface_Engine!$B$12:$B$72,$A576+1)))))</f>
        <v>9528.77735201788</v>
      </c>
      <c r="L576" s="48" t="n">
        <f aca="false">K576*INDEX(Surface_Engine!$B$12:$B$72,$A576+1)+L577</f>
        <v>183943.626675046</v>
      </c>
      <c r="M576" s="48" t="n">
        <f aca="false">M575+B575*(IF($A575&lt;$Q$573,(Surface_Engine!G241*12)-(Surface_Engine!G241*12)*INDEX(Surface_Engine!$F$12:$F$72,$A575+1)-INDEX(Surface_Engine!$D$12:$D$72,$A575+1),-(1000*12*INDEX(Surface_Engine!$C$12:$C$72,$A575+1)/(1+Assumptions!$B$10)^15+INDEX(Surface_Engine!$D$12:$D$72,$A575+1))))*INDEX(Surface_Engine!$B$12:$B$72,$A575+1)</f>
        <v>-82</v>
      </c>
      <c r="N576" s="12" t="n">
        <f aca="false">IF(B576&lt;=0,0,MAX(0,(K576+Assumptions!$B$29*L576/INDEX(Surface_Engine!$B$12:$B$72,$A576+1)-(M576/INDEX(Surface_Engine!$B$12:$B$72,$A576+1)-(F576/INDEX(Surface_Engine!$B$12:$B$72,$A576+1))))/B576))</f>
        <v>19475.4434935959</v>
      </c>
    </row>
    <row r="577" customFormat="false" ht="15" hidden="false" customHeight="true" outlineLevel="0" collapsed="false">
      <c r="A577" s="1" t="n">
        <v>2</v>
      </c>
      <c r="B577" s="32" t="n">
        <f aca="false">INDEX(Surface_Engine!$L$12:$L$72,$A577+1)*IF($A577&lt;$Q$573,INDEX(Surface_Engine!$E$12:$E$72,$A577+1),INDEX(Surface_Engine!$E$12:$E$72,$Q$573+1))</f>
        <v>0.928451921141693</v>
      </c>
      <c r="C577" s="32" t="n">
        <f aca="false">INDEX(Panel_Reserving!$D$8:$D$68,$A577+1)*IF($A577&lt;$Q$573,INDEX(Surface_Engine!$E$12:$E$72,$A577+1),INDEX(Surface_Engine!$E$12:$E$72,$Q$573+1))</f>
        <v>0.930473352648266</v>
      </c>
      <c r="D577" s="32" t="n">
        <f aca="false">INDEX(Surface_Engine!$L$12:$L$72,$A577+1)*IF($A577&lt;$Q$573,INDEX(Surface_Engine!$Y$12:$Y$72,$A577+1),INDEX(Surface_Engine!$Y$12:$Y$72,$Q$573+1))</f>
        <v>0.898727479820571</v>
      </c>
      <c r="E577" s="32" t="n">
        <f aca="false">INDEX(Surface_Engine!$L$12:$L$72,$A577+1)*IF($A577&lt;$Q$573,INDEX(Surface_Engine!$Z$12:$Z$72,$A577+1),INDEX(Surface_Engine!$Z$12:$Z$72,$Q$573+1))</f>
        <v>0.958612118510579</v>
      </c>
      <c r="F577" s="48" t="n">
        <f aca="false">B577*(IF($A577&lt;$Q$573,INDEX(Surface_Engine!$D$12:$D$72,$A577+1)+(Surface_Engine!G241*12)*INDEX(Surface_Engine!$F$12:$F$72,$A577+1)-(Surface_Engine!G241*12),1000*12*INDEX(Surface_Engine!$C$12:$C$72,$A577+1)/(1+Assumptions!$B$10)^15+INDEX(Surface_Engine!$D$12:$D$72,$A577+1)))*INDEX(Surface_Engine!$B$12:$B$72,$A577+1)+F578</f>
        <v>3770.863422894</v>
      </c>
      <c r="G577" s="48" t="n">
        <f aca="false">C577*(IF($A577&lt;$Q$573,INDEX(Surface_Engine!$D$12:$D$72,$A577+1)+(Surface_Engine!G241*12)*INDEX(Surface_Engine!$F$12:$F$72,$A577+1)-(Surface_Engine!G241*12),1000*12*INDEX(Surface_Engine!$C$12:$C$72,$A577+1)/(1+Assumptions!$B$10)^15+INDEX(Surface_Engine!$D$12:$D$72,$A577+1)))*INDEX(Surface_Engine!$B$12:$B$72,$A577+1)+G578</f>
        <v>12076.1473647762</v>
      </c>
      <c r="H577" s="48" t="n">
        <f aca="false">D577*(IF($A577&lt;$Q$573,INDEX(Surface_Engine!$D$12:$D$72,$A577+1)+(Surface_Engine!G241*12)*INDEX(Surface_Engine!$F$12:$F$72,$A577+1)-(Surface_Engine!G241*12),1000*12*INDEX(Surface_Engine!$C$12:$C$72,$A577+1)/(1+Assumptions!$B$10)^15+INDEX(Surface_Engine!$D$12:$D$72,$A577+1)))*INDEX(Surface_Engine!$B$12:$B$72,$A577+1)+H578</f>
        <v>1492.17439532722</v>
      </c>
      <c r="I577" s="48" t="n">
        <f aca="false">E577*(IF($A577&lt;$Q$573,INDEX(Surface_Engine!$D$12:$D$72,$A577+1)+(Surface_Engine!G241*12)*INDEX(Surface_Engine!$F$12:$F$72,$A577+1)-(Surface_Engine!G241*12),1000*12*INDEX(Surface_Engine!$C$12:$C$72,$A577+1)/(1+Assumptions!$B$10)^15+INDEX(Surface_Engine!$D$12:$D$72,$A577+1)))*INDEX(Surface_Engine!$B$12:$B$72,$A577+1)+I578</f>
        <v>6384.60035843166</v>
      </c>
      <c r="J577" s="48" t="n">
        <f aca="false">B577*(IF($A577&lt;$Q$573,INDEX(Surface_Engine!$D$12:$D$72,$A577+1)*(1+Assumptions!$B$24)+(Surface_Engine!G241*12)*INDEX(Surface_Engine!$F$12:$F$72,$A577+1)-(Surface_Engine!G241*12),1000*12*INDEX(Surface_Engine!$C$12:$C$72,$A577+1)/(1+Assumptions!$B$10)^15+INDEX(Surface_Engine!$D$12:$D$72,$A577+1)*(1+Assumptions!$B$24)))*INDEX(Surface_Engine!$B$12:$B$72,$A577+1)+J578</f>
        <v>3917.14283791248</v>
      </c>
      <c r="K577" s="12" t="n">
        <f aca="false">SQRT((IF(C577&lt;=0,0,MAX(0,(B577/C577)*G577/INDEX(Surface_Engine!$B$12:$B$72,$A577+1)-F577/INDEX(Surface_Engine!$B$12:$B$72,$A577+1))))^2+(MAX(IF(D577&lt;=0,0,MAX(0,(B577/D577)*H577/INDEX(Surface_Engine!$B$12:$B$72,$A577+1)-F577/INDEX(Surface_Engine!$B$12:$B$72,$A577+1))),IF(E577&lt;=0,0,MAX(0,(B577/E577)*I577/INDEX(Surface_Engine!$B$12:$B$72,$A577+1)-F577/INDEX(Surface_Engine!$B$12:$B$72,$A577+1))),IF($A577&lt;$Q$573,MAX(0,-Assumptions!$B$22*(F577/INDEX(Surface_Engine!$B$12:$B$72,$A577+1))),0)))^2+(MAX(0,J577/INDEX(Surface_Engine!$B$12:$B$72,$A577+1)-(F577/INDEX(Surface_Engine!$B$12:$B$72,$A577+1))))^2+2*Assumptions!$B$26*(IF(C577&lt;=0,0,MAX(0,(B577/C577)*G577/INDEX(Surface_Engine!$B$12:$B$72,$A577+1)-F577/INDEX(Surface_Engine!$B$12:$B$72,$A577+1))))*(MAX(IF(D577&lt;=0,0,MAX(0,(B577/D577)*H577/INDEX(Surface_Engine!$B$12:$B$72,$A577+1)-F577/INDEX(Surface_Engine!$B$12:$B$72,$A577+1))),IF(E577&lt;=0,0,MAX(0,(B577/E577)*I577/INDEX(Surface_Engine!$B$12:$B$72,$A577+1)-F577/INDEX(Surface_Engine!$B$12:$B$72,$A577+1))),IF($A577&lt;$Q$573,MAX(0,-Assumptions!$B$22*(F577/INDEX(Surface_Engine!$B$12:$B$72,$A577+1))),0)))+2*Assumptions!$B$27*(IF(C577&lt;=0,0,MAX(0,(B577/C577)*G577/INDEX(Surface_Engine!$B$12:$B$72,$A577+1)-F577/INDEX(Surface_Engine!$B$12:$B$72,$A577+1))))*(MAX(0,J577/INDEX(Surface_Engine!$B$12:$B$72,$A577+1)-(F577/INDEX(Surface_Engine!$B$12:$B$72,$A577+1))))+2*Assumptions!$B$28*(MAX(IF(D577&lt;=0,0,MAX(0,(B577/D577)*H577/INDEX(Surface_Engine!$B$12:$B$72,$A577+1)-F577/INDEX(Surface_Engine!$B$12:$B$72,$A577+1))),IF(E577&lt;=0,0,MAX(0,(B577/E577)*I577/INDEX(Surface_Engine!$B$12:$B$72,$A577+1)-F577/INDEX(Surface_Engine!$B$12:$B$72,$A577+1))),IF($A577&lt;$Q$573,MAX(0,-Assumptions!$B$22*(F577/INDEX(Surface_Engine!$B$12:$B$72,$A577+1))),0)))*(MAX(0,J577/INDEX(Surface_Engine!$B$12:$B$72,$A577+1)-(F577/INDEX(Surface_Engine!$B$12:$B$72,$A577+1)))))</f>
        <v>9729.0878128819</v>
      </c>
      <c r="L577" s="48" t="n">
        <f aca="false">K577*INDEX(Surface_Engine!$B$12:$B$72,$A577+1)+L578</f>
        <v>174655.957222029</v>
      </c>
      <c r="M577" s="48" t="n">
        <f aca="false">M576+B576*(IF($A576&lt;$Q$573,(Surface_Engine!G241*12)-(Surface_Engine!G241*12)*INDEX(Surface_Engine!$F$12:$F$72,$A576+1)-INDEX(Surface_Engine!$D$12:$D$72,$A576+1),-(1000*12*INDEX(Surface_Engine!$C$12:$C$72,$A576+1)/(1+Assumptions!$B$10)^15+INDEX(Surface_Engine!$D$12:$D$72,$A576+1))))*INDEX(Surface_Engine!$B$12:$B$72,$A576+1)</f>
        <v>5977.5403042352</v>
      </c>
      <c r="N577" s="12" t="n">
        <f aca="false">IF(B577&lt;=0,0,MAX(0,(K577+Assumptions!$B$29*L577/INDEX(Surface_Engine!$B$12:$B$72,$A577+1)-(M577/INDEX(Surface_Engine!$B$12:$B$72,$A577+1)-(F577/INDEX(Surface_Engine!$B$12:$B$72,$A577+1))))/B577))</f>
        <v>19863.122543494</v>
      </c>
    </row>
    <row r="578" customFormat="false" ht="15" hidden="false" customHeight="true" outlineLevel="0" collapsed="false">
      <c r="A578" s="1" t="n">
        <v>3</v>
      </c>
      <c r="B578" s="32" t="n">
        <f aca="false">INDEX(Surface_Engine!$L$12:$L$72,$A578+1)*IF($A578&lt;$Q$573,INDEX(Surface_Engine!$E$12:$E$72,$A578+1),INDEX(Surface_Engine!$E$12:$E$72,$Q$573+1))</f>
        <v>0.910458495120298</v>
      </c>
      <c r="C578" s="32" t="n">
        <f aca="false">INDEX(Panel_Reserving!$D$8:$D$68,$A578+1)*IF($A578&lt;$Q$573,INDEX(Surface_Engine!$E$12:$E$72,$A578+1),INDEX(Surface_Engine!$E$12:$E$72,$Q$573+1))</f>
        <v>0.913572212390625</v>
      </c>
      <c r="D578" s="32" t="n">
        <f aca="false">INDEX(Surface_Engine!$L$12:$L$72,$A578+1)*IF($A578&lt;$Q$573,INDEX(Surface_Engine!$Y$12:$Y$72,$A578+1),INDEX(Surface_Engine!$Y$12:$Y$72,$Q$573+1))</f>
        <v>0.875370403952724</v>
      </c>
      <c r="E578" s="32" t="n">
        <f aca="false">INDEX(Surface_Engine!$L$12:$L$72,$A578+1)*IF($A578&lt;$Q$573,INDEX(Surface_Engine!$Z$12:$Z$72,$A578+1),INDEX(Surface_Engine!$Z$12:$Z$72,$Q$573+1))</f>
        <v>0.946369676313116</v>
      </c>
      <c r="F578" s="48" t="n">
        <f aca="false">B578*(IF($A578&lt;$Q$573,INDEX(Surface_Engine!$D$12:$D$72,$A578+1)+(Surface_Engine!G241*12)*INDEX(Surface_Engine!$F$12:$F$72,$A578+1)-(Surface_Engine!G241*12),1000*12*INDEX(Surface_Engine!$C$12:$C$72,$A578+1)/(1+Assumptions!$B$10)^15+INDEX(Surface_Engine!$D$12:$D$72,$A578+1)))*INDEX(Surface_Engine!$B$12:$B$72,$A578+1)+F579</f>
        <v>9511.11090983608</v>
      </c>
      <c r="G578" s="48" t="n">
        <f aca="false">C578*(IF($A578&lt;$Q$573,INDEX(Surface_Engine!$D$12:$D$72,$A578+1)+(Surface_Engine!G241*12)*INDEX(Surface_Engine!$F$12:$F$72,$A578+1)-(Surface_Engine!G241*12),1000*12*INDEX(Surface_Engine!$C$12:$C$72,$A578+1)/(1+Assumptions!$B$10)^15+INDEX(Surface_Engine!$D$12:$D$72,$A578+1)))*INDEX(Surface_Engine!$B$12:$B$72,$A578+1)+G579</f>
        <v>17828.8925555427</v>
      </c>
      <c r="H578" s="48" t="n">
        <f aca="false">D578*(IF($A578&lt;$Q$573,INDEX(Surface_Engine!$D$12:$D$72,$A578+1)+(Surface_Engine!G241*12)*INDEX(Surface_Engine!$F$12:$F$72,$A578+1)-(Surface_Engine!G241*12),1000*12*INDEX(Surface_Engine!$C$12:$C$72,$A578+1)/(1+Assumptions!$B$10)^15+INDEX(Surface_Engine!$D$12:$D$72,$A578+1)))*INDEX(Surface_Engine!$B$12:$B$72,$A578+1)+H579</f>
        <v>7048.64753089038</v>
      </c>
      <c r="I578" s="48" t="n">
        <f aca="false">E578*(IF($A578&lt;$Q$573,INDEX(Surface_Engine!$D$12:$D$72,$A578+1)+(Surface_Engine!G241*12)*INDEX(Surface_Engine!$F$12:$F$72,$A578+1)-(Surface_Engine!G241*12),1000*12*INDEX(Surface_Engine!$C$12:$C$72,$A578+1)/(1+Assumptions!$B$10)^15+INDEX(Surface_Engine!$D$12:$D$72,$A578+1)))*INDEX(Surface_Engine!$B$12:$B$72,$A578+1)+I579</f>
        <v>12311.3163023936</v>
      </c>
      <c r="J578" s="48" t="n">
        <f aca="false">B578*(IF($A578&lt;$Q$573,INDEX(Surface_Engine!$D$12:$D$72,$A578+1)*(1+Assumptions!$B$24)+(Surface_Engine!G241*12)*INDEX(Surface_Engine!$F$12:$F$72,$A578+1)-(Surface_Engine!G241*12),1000*12*INDEX(Surface_Engine!$C$12:$C$72,$A578+1)/(1+Assumptions!$B$10)^15+INDEX(Surface_Engine!$D$12:$D$72,$A578+1)*(1+Assumptions!$B$24)))*INDEX(Surface_Engine!$B$12:$B$72,$A578+1)+J579</f>
        <v>9649.795702235</v>
      </c>
      <c r="K578" s="12" t="n">
        <f aca="false">SQRT((IF(C578&lt;=0,0,MAX(0,(B578/C578)*G578/INDEX(Surface_Engine!$B$12:$B$72,$A578+1)-F578/INDEX(Surface_Engine!$B$12:$B$72,$A578+1))))^2+(MAX(IF(D578&lt;=0,0,MAX(0,(B578/D578)*H578/INDEX(Surface_Engine!$B$12:$B$72,$A578+1)-F578/INDEX(Surface_Engine!$B$12:$B$72,$A578+1))),IF(E578&lt;=0,0,MAX(0,(B578/E578)*I578/INDEX(Surface_Engine!$B$12:$B$72,$A578+1)-F578/INDEX(Surface_Engine!$B$12:$B$72,$A578+1))),IF($A578&lt;$Q$573,MAX(0,-Assumptions!$B$22*(F578/INDEX(Surface_Engine!$B$12:$B$72,$A578+1))),0)))^2+(MAX(0,J578/INDEX(Surface_Engine!$B$12:$B$72,$A578+1)-(F578/INDEX(Surface_Engine!$B$12:$B$72,$A578+1))))^2+2*Assumptions!$B$26*(IF(C578&lt;=0,0,MAX(0,(B578/C578)*G578/INDEX(Surface_Engine!$B$12:$B$72,$A578+1)-F578/INDEX(Surface_Engine!$B$12:$B$72,$A578+1))))*(MAX(IF(D578&lt;=0,0,MAX(0,(B578/D578)*H578/INDEX(Surface_Engine!$B$12:$B$72,$A578+1)-F578/INDEX(Surface_Engine!$B$12:$B$72,$A578+1))),IF(E578&lt;=0,0,MAX(0,(B578/E578)*I578/INDEX(Surface_Engine!$B$12:$B$72,$A578+1)-F578/INDEX(Surface_Engine!$B$12:$B$72,$A578+1))),IF($A578&lt;$Q$573,MAX(0,-Assumptions!$B$22*(F578/INDEX(Surface_Engine!$B$12:$B$72,$A578+1))),0)))+2*Assumptions!$B$27*(IF(C578&lt;=0,0,MAX(0,(B578/C578)*G578/INDEX(Surface_Engine!$B$12:$B$72,$A578+1)-F578/INDEX(Surface_Engine!$B$12:$B$72,$A578+1))))*(MAX(0,J578/INDEX(Surface_Engine!$B$12:$B$72,$A578+1)-(F578/INDEX(Surface_Engine!$B$12:$B$72,$A578+1))))+2*Assumptions!$B$28*(MAX(IF(D578&lt;=0,0,MAX(0,(B578/D578)*H578/INDEX(Surface_Engine!$B$12:$B$72,$A578+1)-F578/INDEX(Surface_Engine!$B$12:$B$72,$A578+1))),IF(E578&lt;=0,0,MAX(0,(B578/E578)*I578/INDEX(Surface_Engine!$B$12:$B$72,$A578+1)-F578/INDEX(Surface_Engine!$B$12:$B$72,$A578+1))),IF($A578&lt;$Q$573,MAX(0,-Assumptions!$B$22*(F578/INDEX(Surface_Engine!$B$12:$B$72,$A578+1))),0)))*(MAX(0,J578/INDEX(Surface_Engine!$B$12:$B$72,$A578+1)-(F578/INDEX(Surface_Engine!$B$12:$B$72,$A578+1)))))</f>
        <v>9915.67035194466</v>
      </c>
      <c r="L578" s="48" t="n">
        <f aca="false">K578*INDEX(Surface_Engine!$B$12:$B$72,$A578+1)+L579</f>
        <v>165418.39622047</v>
      </c>
      <c r="M578" s="48" t="n">
        <f aca="false">M577+B577*(IF($A577&lt;$Q$573,(Surface_Engine!G241*12)-(Surface_Engine!G241*12)*INDEX(Surface_Engine!$F$12:$F$72,$A577+1)-INDEX(Surface_Engine!$D$12:$D$72,$A577+1),-(1000*12*INDEX(Surface_Engine!$C$12:$C$72,$A577+1)/(1+Assumptions!$B$10)^15+INDEX(Surface_Engine!$D$12:$D$72,$A577+1))))*INDEX(Surface_Engine!$B$12:$B$72,$A577+1)</f>
        <v>11717.7877911773</v>
      </c>
      <c r="N578" s="12" t="n">
        <f aca="false">IF(B578&lt;=0,0,MAX(0,(K578+Assumptions!$B$29*L578/INDEX(Surface_Engine!$B$12:$B$72,$A578+1)-(M578/INDEX(Surface_Engine!$B$12:$B$72,$A578+1)-(F578/INDEX(Surface_Engine!$B$12:$B$72,$A578+1))))/B578))</f>
        <v>20053.3847930104</v>
      </c>
    </row>
    <row r="579" customFormat="false" ht="15" hidden="false" customHeight="true" outlineLevel="0" collapsed="false">
      <c r="A579" s="1" t="n">
        <v>4</v>
      </c>
      <c r="B579" s="32" t="n">
        <f aca="false">INDEX(Surface_Engine!$L$12:$L$72,$A579+1)*IF($A579&lt;$Q$573,INDEX(Surface_Engine!$E$12:$E$72,$A579+1),INDEX(Surface_Engine!$E$12:$E$72,$Q$573+1))</f>
        <v>0.89228176534528</v>
      </c>
      <c r="C579" s="32" t="n">
        <f aca="false">INDEX(Panel_Reserving!$D$8:$D$68,$A579+1)*IF($A579&lt;$Q$573,INDEX(Surface_Engine!$E$12:$E$72,$A579+1),INDEX(Surface_Engine!$E$12:$E$72,$Q$573+1))</f>
        <v>0.896550995764067</v>
      </c>
      <c r="D579" s="32" t="n">
        <f aca="false">INDEX(Surface_Engine!$L$12:$L$72,$A579+1)*IF($A579&lt;$Q$573,INDEX(Surface_Engine!$Y$12:$Y$72,$A579+1),INDEX(Surface_Engine!$Y$12:$Y$72,$Q$573+1))</f>
        <v>0.852112290247146</v>
      </c>
      <c r="E579" s="32" t="n">
        <f aca="false">INDEX(Surface_Engine!$L$12:$L$72,$A579+1)*IF($A579&lt;$Q$573,INDEX(Surface_Engine!$Z$12:$Z$72,$A579+1),INDEX(Surface_Engine!$Z$12:$Z$72,$Q$573+1))</f>
        <v>0.933726854193489</v>
      </c>
      <c r="F579" s="48" t="n">
        <f aca="false">B579*(IF($A579&lt;$Q$573,INDEX(Surface_Engine!$D$12:$D$72,$A579+1)+(Surface_Engine!G241*12)*INDEX(Surface_Engine!$F$12:$F$72,$A579+1)-(Surface_Engine!G241*12),1000*12*INDEX(Surface_Engine!$C$12:$C$72,$A579+1)/(1+Assumptions!$B$10)^15+INDEX(Surface_Engine!$D$12:$D$72,$A579+1)))*INDEX(Surface_Engine!$B$12:$B$72,$A579+1)+F580</f>
        <v>14994.583383788</v>
      </c>
      <c r="G579" s="48" t="n">
        <f aca="false">C579*(IF($A579&lt;$Q$573,INDEX(Surface_Engine!$D$12:$D$72,$A579+1)+(Surface_Engine!G241*12)*INDEX(Surface_Engine!$F$12:$F$72,$A579+1)-(Surface_Engine!G241*12),1000*12*INDEX(Surface_Engine!$C$12:$C$72,$A579+1)/(1+Assumptions!$B$10)^15+INDEX(Surface_Engine!$D$12:$D$72,$A579+1)))*INDEX(Surface_Engine!$B$12:$B$72,$A579+1)+G580</f>
        <v>23331.1181995019</v>
      </c>
      <c r="H579" s="48" t="n">
        <f aca="false">D579*(IF($A579&lt;$Q$573,INDEX(Surface_Engine!$D$12:$D$72,$A579+1)+(Surface_Engine!G241*12)*INDEX(Surface_Engine!$F$12:$F$72,$A579+1)-(Surface_Engine!G241*12),1000*12*INDEX(Surface_Engine!$C$12:$C$72,$A579+1)/(1+Assumptions!$B$10)^15+INDEX(Surface_Engine!$D$12:$D$72,$A579+1)))*INDEX(Surface_Engine!$B$12:$B$72,$A579+1)+H580</f>
        <v>12320.7928733892</v>
      </c>
      <c r="I579" s="48" t="n">
        <f aca="false">E579*(IF($A579&lt;$Q$573,INDEX(Surface_Engine!$D$12:$D$72,$A579+1)+(Surface_Engine!G241*12)*INDEX(Surface_Engine!$F$12:$F$72,$A579+1)-(Surface_Engine!G241*12),1000*12*INDEX(Surface_Engine!$C$12:$C$72,$A579+1)/(1+Assumptions!$B$10)^15+INDEX(Surface_Engine!$D$12:$D$72,$A579+1)))*INDEX(Surface_Engine!$B$12:$B$72,$A579+1)+I580</f>
        <v>18011.0731809981</v>
      </c>
      <c r="J579" s="48" t="n">
        <f aca="false">B579*(IF($A579&lt;$Q$573,INDEX(Surface_Engine!$D$12:$D$72,$A579+1)*(1+Assumptions!$B$24)+(Surface_Engine!G241*12)*INDEX(Surface_Engine!$F$12:$F$72,$A579+1)-(Surface_Engine!G241*12),1000*12*INDEX(Surface_Engine!$C$12:$C$72,$A579+1)/(1+Assumptions!$B$10)^15+INDEX(Surface_Engine!$D$12:$D$72,$A579+1)*(1+Assumptions!$B$24)))*INDEX(Surface_Engine!$B$12:$B$72,$A579+1)+J580</f>
        <v>15125.8294463464</v>
      </c>
      <c r="K579" s="12" t="n">
        <f aca="false">SQRT((IF(C579&lt;=0,0,MAX(0,(B579/C579)*G579/INDEX(Surface_Engine!$B$12:$B$72,$A579+1)-F579/INDEX(Surface_Engine!$B$12:$B$72,$A579+1))))^2+(MAX(IF(D579&lt;=0,0,MAX(0,(B579/D579)*H579/INDEX(Surface_Engine!$B$12:$B$72,$A579+1)-F579/INDEX(Surface_Engine!$B$12:$B$72,$A579+1))),IF(E579&lt;=0,0,MAX(0,(B579/E579)*I579/INDEX(Surface_Engine!$B$12:$B$72,$A579+1)-F579/INDEX(Surface_Engine!$B$12:$B$72,$A579+1))),IF($A579&lt;$Q$573,MAX(0,-Assumptions!$B$22*(F579/INDEX(Surface_Engine!$B$12:$B$72,$A579+1))),0)))^2+(MAX(0,J579/INDEX(Surface_Engine!$B$12:$B$72,$A579+1)-(F579/INDEX(Surface_Engine!$B$12:$B$72,$A579+1))))^2+2*Assumptions!$B$26*(IF(C579&lt;=0,0,MAX(0,(B579/C579)*G579/INDEX(Surface_Engine!$B$12:$B$72,$A579+1)-F579/INDEX(Surface_Engine!$B$12:$B$72,$A579+1))))*(MAX(IF(D579&lt;=0,0,MAX(0,(B579/D579)*H579/INDEX(Surface_Engine!$B$12:$B$72,$A579+1)-F579/INDEX(Surface_Engine!$B$12:$B$72,$A579+1))),IF(E579&lt;=0,0,MAX(0,(B579/E579)*I579/INDEX(Surface_Engine!$B$12:$B$72,$A579+1)-F579/INDEX(Surface_Engine!$B$12:$B$72,$A579+1))),IF($A579&lt;$Q$573,MAX(0,-Assumptions!$B$22*(F579/INDEX(Surface_Engine!$B$12:$B$72,$A579+1))),0)))+2*Assumptions!$B$27*(IF(C579&lt;=0,0,MAX(0,(B579/C579)*G579/INDEX(Surface_Engine!$B$12:$B$72,$A579+1)-F579/INDEX(Surface_Engine!$B$12:$B$72,$A579+1))))*(MAX(0,J579/INDEX(Surface_Engine!$B$12:$B$72,$A579+1)-(F579/INDEX(Surface_Engine!$B$12:$B$72,$A579+1))))+2*Assumptions!$B$28*(MAX(IF(D579&lt;=0,0,MAX(0,(B579/D579)*H579/INDEX(Surface_Engine!$B$12:$B$72,$A579+1)-F579/INDEX(Surface_Engine!$B$12:$B$72,$A579+1))),IF(E579&lt;=0,0,MAX(0,(B579/E579)*I579/INDEX(Surface_Engine!$B$12:$B$72,$A579+1)-F579/INDEX(Surface_Engine!$B$12:$B$72,$A579+1))),IF($A579&lt;$Q$573,MAX(0,-Assumptions!$B$22*(F579/INDEX(Surface_Engine!$B$12:$B$72,$A579+1))),0)))*(MAX(0,J579/INDEX(Surface_Engine!$B$12:$B$72,$A579+1)-(F579/INDEX(Surface_Engine!$B$12:$B$72,$A579+1)))))</f>
        <v>10081.5817111951</v>
      </c>
      <c r="L579" s="48" t="n">
        <f aca="false">K579*INDEX(Surface_Engine!$B$12:$B$72,$A579+1)+L580</f>
        <v>156244.047043845</v>
      </c>
      <c r="M579" s="48" t="n">
        <f aca="false">M578+B578*(IF($A578&lt;$Q$573,(Surface_Engine!G241*12)-(Surface_Engine!G241*12)*INDEX(Surface_Engine!$F$12:$F$72,$A578+1)-INDEX(Surface_Engine!$D$12:$D$72,$A578+1),-(1000*12*INDEX(Surface_Engine!$C$12:$C$72,$A578+1)/(1+Assumptions!$B$10)^15+INDEX(Surface_Engine!$D$12:$D$72,$A578+1))))*INDEX(Surface_Engine!$B$12:$B$72,$A578+1)</f>
        <v>17201.2602651292</v>
      </c>
      <c r="N579" s="12" t="n">
        <f aca="false">IF(B579&lt;=0,0,MAX(0,(K579+Assumptions!$B$29*L579/INDEX(Surface_Engine!$B$12:$B$72,$A579+1)-(M579/INDEX(Surface_Engine!$B$12:$B$72,$A579+1)-(F579/INDEX(Surface_Engine!$B$12:$B$72,$A579+1))))/B579))</f>
        <v>20213.0663797369</v>
      </c>
    </row>
    <row r="580" customFormat="false" ht="15" hidden="false" customHeight="true" outlineLevel="0" collapsed="false">
      <c r="A580" s="1" t="n">
        <v>5</v>
      </c>
      <c r="B580" s="32" t="n">
        <f aca="false">INDEX(Surface_Engine!$L$12:$L$72,$A580+1)*IF($A580&lt;$Q$573,INDEX(Surface_Engine!$E$12:$E$72,$A580+1),INDEX(Surface_Engine!$E$12:$E$72,$Q$573+1))</f>
        <v>0.873874922230056</v>
      </c>
      <c r="C580" s="32" t="n">
        <f aca="false">INDEX(Panel_Reserving!$D$8:$D$68,$A580+1)*IF($A580&lt;$Q$573,INDEX(Surface_Engine!$E$12:$E$72,$A580+1),INDEX(Surface_Engine!$E$12:$E$72,$Q$573+1))</f>
        <v>0.879370239802948</v>
      </c>
      <c r="D580" s="32" t="n">
        <f aca="false">INDEX(Surface_Engine!$L$12:$L$72,$A580+1)*IF($A580&lt;$Q$573,INDEX(Surface_Engine!$Y$12:$Y$72,$A580+1),INDEX(Surface_Engine!$Y$12:$Y$72,$Q$573+1))</f>
        <v>0.828909644494902</v>
      </c>
      <c r="E580" s="32" t="n">
        <f aca="false">INDEX(Surface_Engine!$L$12:$L$72,$A580+1)*IF($A580&lt;$Q$573,INDEX(Surface_Engine!$Z$12:$Z$72,$A580+1),INDEX(Surface_Engine!$Z$12:$Z$72,$Q$573+1))</f>
        <v>0.920628204670913</v>
      </c>
      <c r="F580" s="48" t="n">
        <f aca="false">B580*(IF($A580&lt;$Q$573,INDEX(Surface_Engine!$D$12:$D$72,$A580+1)+(Surface_Engine!G241*12)*INDEX(Surface_Engine!$F$12:$F$72,$A580+1)-(Surface_Engine!G241*12),1000*12*INDEX(Surface_Engine!$C$12:$C$72,$A580+1)/(1+Assumptions!$B$10)^15+INDEX(Surface_Engine!$D$12:$D$72,$A580+1)))*INDEX(Surface_Engine!$B$12:$B$72,$A580+1)+F581</f>
        <v>20226.9499568864</v>
      </c>
      <c r="G580" s="48" t="n">
        <f aca="false">C580*(IF($A580&lt;$Q$573,INDEX(Surface_Engine!$D$12:$D$72,$A580+1)+(Surface_Engine!G241*12)*INDEX(Surface_Engine!$F$12:$F$72,$A580+1)-(Surface_Engine!G241*12),1000*12*INDEX(Surface_Engine!$C$12:$C$72,$A580+1)/(1+Assumptions!$B$10)^15+INDEX(Surface_Engine!$D$12:$D$72,$A580+1)))*INDEX(Surface_Engine!$B$12:$B$72,$A580+1)+G581</f>
        <v>28588.5196656168</v>
      </c>
      <c r="H580" s="48" t="n">
        <f aca="false">D580*(IF($A580&lt;$Q$573,INDEX(Surface_Engine!$D$12:$D$72,$A580+1)+(Surface_Engine!G241*12)*INDEX(Surface_Engine!$F$12:$F$72,$A580+1)-(Surface_Engine!G241*12),1000*12*INDEX(Surface_Engine!$C$12:$C$72,$A580+1)/(1+Assumptions!$B$10)^15+INDEX(Surface_Engine!$D$12:$D$72,$A580+1)))*INDEX(Surface_Engine!$B$12:$B$72,$A580+1)+H581</f>
        <v>17317.6044604669</v>
      </c>
      <c r="I580" s="48" t="n">
        <f aca="false">E580*(IF($A580&lt;$Q$573,INDEX(Surface_Engine!$D$12:$D$72,$A580+1)+(Surface_Engine!G241*12)*INDEX(Surface_Engine!$F$12:$F$72,$A580+1)-(Surface_Engine!G241*12),1000*12*INDEX(Surface_Engine!$C$12:$C$72,$A580+1)/(1+Assumptions!$B$10)^15+INDEX(Surface_Engine!$D$12:$D$72,$A580+1)))*INDEX(Surface_Engine!$B$12:$B$72,$A580+1)+I581</f>
        <v>23486.4749767478</v>
      </c>
      <c r="J580" s="48" t="n">
        <f aca="false">B580*(IF($A580&lt;$Q$573,INDEX(Surface_Engine!$D$12:$D$72,$A580+1)*(1+Assumptions!$B$24)+(Surface_Engine!G241*12)*INDEX(Surface_Engine!$F$12:$F$72,$A580+1)-(Surface_Engine!G241*12),1000*12*INDEX(Surface_Engine!$C$12:$C$72,$A580+1)/(1+Assumptions!$B$10)^15+INDEX(Surface_Engine!$D$12:$D$72,$A580+1)*(1+Assumptions!$B$24)))*INDEX(Surface_Engine!$B$12:$B$72,$A580+1)+J581</f>
        <v>20350.9180126035</v>
      </c>
      <c r="K580" s="12" t="n">
        <f aca="false">SQRT((IF(C580&lt;=0,0,MAX(0,(B580/C580)*G580/INDEX(Surface_Engine!$B$12:$B$72,$A580+1)-F580/INDEX(Surface_Engine!$B$12:$B$72,$A580+1))))^2+(MAX(IF(D580&lt;=0,0,MAX(0,(B580/D580)*H580/INDEX(Surface_Engine!$B$12:$B$72,$A580+1)-F580/INDEX(Surface_Engine!$B$12:$B$72,$A580+1))),IF(E580&lt;=0,0,MAX(0,(B580/E580)*I580/INDEX(Surface_Engine!$B$12:$B$72,$A580+1)-F580/INDEX(Surface_Engine!$B$12:$B$72,$A580+1))),IF($A580&lt;$Q$573,MAX(0,-Assumptions!$B$22*(F580/INDEX(Surface_Engine!$B$12:$B$72,$A580+1))),0)))^2+(MAX(0,J580/INDEX(Surface_Engine!$B$12:$B$72,$A580+1)-(F580/INDEX(Surface_Engine!$B$12:$B$72,$A580+1))))^2+2*Assumptions!$B$26*(IF(C580&lt;=0,0,MAX(0,(B580/C580)*G580/INDEX(Surface_Engine!$B$12:$B$72,$A580+1)-F580/INDEX(Surface_Engine!$B$12:$B$72,$A580+1))))*(MAX(IF(D580&lt;=0,0,MAX(0,(B580/D580)*H580/INDEX(Surface_Engine!$B$12:$B$72,$A580+1)-F580/INDEX(Surface_Engine!$B$12:$B$72,$A580+1))),IF(E580&lt;=0,0,MAX(0,(B580/E580)*I580/INDEX(Surface_Engine!$B$12:$B$72,$A580+1)-F580/INDEX(Surface_Engine!$B$12:$B$72,$A580+1))),IF($A580&lt;$Q$573,MAX(0,-Assumptions!$B$22*(F580/INDEX(Surface_Engine!$B$12:$B$72,$A580+1))),0)))+2*Assumptions!$B$27*(IF(C580&lt;=0,0,MAX(0,(B580/C580)*G580/INDEX(Surface_Engine!$B$12:$B$72,$A580+1)-F580/INDEX(Surface_Engine!$B$12:$B$72,$A580+1))))*(MAX(0,J580/INDEX(Surface_Engine!$B$12:$B$72,$A580+1)-(F580/INDEX(Surface_Engine!$B$12:$B$72,$A580+1))))+2*Assumptions!$B$28*(MAX(IF(D580&lt;=0,0,MAX(0,(B580/D580)*H580/INDEX(Surface_Engine!$B$12:$B$72,$A580+1)-F580/INDEX(Surface_Engine!$B$12:$B$72,$A580+1))),IF(E580&lt;=0,0,MAX(0,(B580/E580)*I580/INDEX(Surface_Engine!$B$12:$B$72,$A580+1)-F580/INDEX(Surface_Engine!$B$12:$B$72,$A580+1))),IF($A580&lt;$Q$573,MAX(0,-Assumptions!$B$22*(F580/INDEX(Surface_Engine!$B$12:$B$72,$A580+1))),0)))*(MAX(0,J580/INDEX(Surface_Engine!$B$12:$B$72,$A580+1)-(F580/INDEX(Surface_Engine!$B$12:$B$72,$A580+1)))))</f>
        <v>10233.0400660057</v>
      </c>
      <c r="L580" s="48" t="n">
        <f aca="false">K580*INDEX(Surface_Engine!$B$12:$B$72,$A580+1)+L581</f>
        <v>147158.94515787</v>
      </c>
      <c r="M580" s="48" t="n">
        <f aca="false">M579+B579*(IF($A579&lt;$Q$573,(Surface_Engine!G241*12)-(Surface_Engine!G241*12)*INDEX(Surface_Engine!$F$12:$F$72,$A579+1)-INDEX(Surface_Engine!$D$12:$D$72,$A579+1),-(1000*12*INDEX(Surface_Engine!$C$12:$C$72,$A579+1)/(1+Assumptions!$B$10)^15+INDEX(Surface_Engine!$D$12:$D$72,$A579+1))))*INDEX(Surface_Engine!$B$12:$B$72,$A579+1)</f>
        <v>22433.6268382276</v>
      </c>
      <c r="N580" s="12" t="n">
        <f aca="false">IF(B580&lt;=0,0,MAX(0,(K580+Assumptions!$B$29*L580/INDEX(Surface_Engine!$B$12:$B$72,$A580+1)-(M580/INDEX(Surface_Engine!$B$12:$B$72,$A580+1)-(F580/INDEX(Surface_Engine!$B$12:$B$72,$A580+1))))/B580))</f>
        <v>20355.5160072927</v>
      </c>
    </row>
    <row r="581" customFormat="false" ht="15" hidden="false" customHeight="true" outlineLevel="0" collapsed="false">
      <c r="A581" s="1" t="n">
        <v>6</v>
      </c>
      <c r="B581" s="32" t="n">
        <f aca="false">INDEX(Surface_Engine!$L$12:$L$72,$A581+1)*IF($A581&lt;$Q$573,INDEX(Surface_Engine!$E$12:$E$72,$A581+1),INDEX(Surface_Engine!$E$12:$E$72,$Q$573+1))</f>
        <v>0.858567656672851</v>
      </c>
      <c r="C581" s="32" t="n">
        <f aca="false">INDEX(Panel_Reserving!$D$8:$D$68,$A581+1)*IF($A581&lt;$Q$573,INDEX(Surface_Engine!$E$12:$E$72,$A581+1),INDEX(Surface_Engine!$E$12:$E$72,$Q$573+1))</f>
        <v>0.86544696635803</v>
      </c>
      <c r="D581" s="32" t="n">
        <f aca="false">INDEX(Surface_Engine!$L$12:$L$72,$A581+1)*IF($A581&lt;$Q$573,INDEX(Surface_Engine!$Y$12:$Y$72,$A581+1),INDEX(Surface_Engine!$Y$12:$Y$72,$Q$573+1))</f>
        <v>0.810650510995486</v>
      </c>
      <c r="E581" s="32" t="n">
        <f aca="false">INDEX(Surface_Engine!$L$12:$L$72,$A581+1)*IF($A581&lt;$Q$573,INDEX(Surface_Engine!$Z$12:$Z$72,$A581+1),INDEX(Surface_Engine!$Z$12:$Z$72,$Q$573+1))</f>
        <v>0.908655262205364</v>
      </c>
      <c r="F581" s="48" t="n">
        <f aca="false">B581*(IF($A581&lt;$Q$573,INDEX(Surface_Engine!$D$12:$D$72,$A581+1)+(Surface_Engine!G241*12)*INDEX(Surface_Engine!$F$12:$F$72,$A581+1)-(Surface_Engine!G241*12),1000*12*INDEX(Surface_Engine!$C$12:$C$72,$A581+1)/(1+Assumptions!$B$10)^15+INDEX(Surface_Engine!$D$12:$D$72,$A581+1)))*INDEX(Surface_Engine!$B$12:$B$72,$A581+1)+F582</f>
        <v>25210.0153417874</v>
      </c>
      <c r="G581" s="48" t="n">
        <f aca="false">C581*(IF($A581&lt;$Q$573,INDEX(Surface_Engine!$D$12:$D$72,$A581+1)+(Surface_Engine!G241*12)*INDEX(Surface_Engine!$F$12:$F$72,$A581+1)-(Surface_Engine!G241*12),1000*12*INDEX(Surface_Engine!$C$12:$C$72,$A581+1)/(1+Assumptions!$B$10)^15+INDEX(Surface_Engine!$D$12:$D$72,$A581+1)))*INDEX(Surface_Engine!$B$12:$B$72,$A581+1)+G582</f>
        <v>33602.9208012986</v>
      </c>
      <c r="H581" s="48" t="n">
        <f aca="false">D581*(IF($A581&lt;$Q$573,INDEX(Surface_Engine!$D$12:$D$72,$A581+1)+(Surface_Engine!G241*12)*INDEX(Surface_Engine!$F$12:$F$72,$A581+1)-(Surface_Engine!G241*12),1000*12*INDEX(Surface_Engine!$C$12:$C$72,$A581+1)/(1+Assumptions!$B$10)^15+INDEX(Surface_Engine!$D$12:$D$72,$A581+1)))*INDEX(Surface_Engine!$B$12:$B$72,$A581+1)+H582</f>
        <v>22044.2659673018</v>
      </c>
      <c r="I581" s="48" t="n">
        <f aca="false">E581*(IF($A581&lt;$Q$573,INDEX(Surface_Engine!$D$12:$D$72,$A581+1)+(Surface_Engine!G241*12)*INDEX(Surface_Engine!$F$12:$F$72,$A581+1)-(Surface_Engine!G241*12),1000*12*INDEX(Surface_Engine!$C$12:$C$72,$A581+1)/(1+Assumptions!$B$10)^15+INDEX(Surface_Engine!$D$12:$D$72,$A581+1)))*INDEX(Surface_Engine!$B$12:$B$72,$A581+1)+I582</f>
        <v>28736.139914325</v>
      </c>
      <c r="J581" s="48" t="n">
        <f aca="false">B581*(IF($A581&lt;$Q$573,INDEX(Surface_Engine!$D$12:$D$72,$A581+1)*(1+Assumptions!$B$24)+(Surface_Engine!G241*12)*INDEX(Surface_Engine!$F$12:$F$72,$A581+1)-(Surface_Engine!G241*12),1000*12*INDEX(Surface_Engine!$C$12:$C$72,$A581+1)/(1+Assumptions!$B$10)^15+INDEX(Surface_Engine!$D$12:$D$72,$A581+1)*(1+Assumptions!$B$24)))*INDEX(Surface_Engine!$B$12:$B$72,$A581+1)+J582</f>
        <v>25326.8764060075</v>
      </c>
      <c r="K581" s="12" t="n">
        <f aca="false">SQRT((IF(C581&lt;=0,0,MAX(0,(B581/C581)*G581/INDEX(Surface_Engine!$B$12:$B$72,$A581+1)-F581/INDEX(Surface_Engine!$B$12:$B$72,$A581+1))))^2+(MAX(IF(D581&lt;=0,0,MAX(0,(B581/D581)*H581/INDEX(Surface_Engine!$B$12:$B$72,$A581+1)-F581/INDEX(Surface_Engine!$B$12:$B$72,$A581+1))),IF(E581&lt;=0,0,MAX(0,(B581/E581)*I581/INDEX(Surface_Engine!$B$12:$B$72,$A581+1)-F581/INDEX(Surface_Engine!$B$12:$B$72,$A581+1))),IF($A581&lt;$Q$573,MAX(0,-Assumptions!$B$22*(F581/INDEX(Surface_Engine!$B$12:$B$72,$A581+1))),0)))^2+(MAX(0,J581/INDEX(Surface_Engine!$B$12:$B$72,$A581+1)-(F581/INDEX(Surface_Engine!$B$12:$B$72,$A581+1))))^2+2*Assumptions!$B$26*(IF(C581&lt;=0,0,MAX(0,(B581/C581)*G581/INDEX(Surface_Engine!$B$12:$B$72,$A581+1)-F581/INDEX(Surface_Engine!$B$12:$B$72,$A581+1))))*(MAX(IF(D581&lt;=0,0,MAX(0,(B581/D581)*H581/INDEX(Surface_Engine!$B$12:$B$72,$A581+1)-F581/INDEX(Surface_Engine!$B$12:$B$72,$A581+1))),IF(E581&lt;=0,0,MAX(0,(B581/E581)*I581/INDEX(Surface_Engine!$B$12:$B$72,$A581+1)-F581/INDEX(Surface_Engine!$B$12:$B$72,$A581+1))),IF($A581&lt;$Q$573,MAX(0,-Assumptions!$B$22*(F581/INDEX(Surface_Engine!$B$12:$B$72,$A581+1))),0)))+2*Assumptions!$B$27*(IF(C581&lt;=0,0,MAX(0,(B581/C581)*G581/INDEX(Surface_Engine!$B$12:$B$72,$A581+1)-F581/INDEX(Surface_Engine!$B$12:$B$72,$A581+1))))*(MAX(0,J581/INDEX(Surface_Engine!$B$12:$B$72,$A581+1)-(F581/INDEX(Surface_Engine!$B$12:$B$72,$A581+1))))+2*Assumptions!$B$28*(MAX(IF(D581&lt;=0,0,MAX(0,(B581/D581)*H581/INDEX(Surface_Engine!$B$12:$B$72,$A581+1)-F581/INDEX(Surface_Engine!$B$12:$B$72,$A581+1))),IF(E581&lt;=0,0,MAX(0,(B581/E581)*I581/INDEX(Surface_Engine!$B$12:$B$72,$A581+1)-F581/INDEX(Surface_Engine!$B$12:$B$72,$A581+1))),IF($A581&lt;$Q$573,MAX(0,-Assumptions!$B$22*(F581/INDEX(Surface_Engine!$B$12:$B$72,$A581+1))),0)))*(MAX(0,J581/INDEX(Surface_Engine!$B$12:$B$72,$A581+1)-(F581/INDEX(Surface_Engine!$B$12:$B$72,$A581+1)))))</f>
        <v>10393.2344547055</v>
      </c>
      <c r="L581" s="48" t="n">
        <f aca="false">K581*INDEX(Surface_Engine!$B$12:$B$72,$A581+1)+L582</f>
        <v>138188.623535091</v>
      </c>
      <c r="M581" s="48" t="n">
        <f aca="false">M580+B580*(IF($A580&lt;$Q$573,(Surface_Engine!G241*12)-(Surface_Engine!G241*12)*INDEX(Surface_Engine!$F$12:$F$72,$A580+1)-INDEX(Surface_Engine!$D$12:$D$72,$A580+1),-(1000*12*INDEX(Surface_Engine!$C$12:$C$72,$A580+1)/(1+Assumptions!$B$10)^15+INDEX(Surface_Engine!$D$12:$D$72,$A580+1))))*INDEX(Surface_Engine!$B$12:$B$72,$A580+1)</f>
        <v>27416.6922231286</v>
      </c>
      <c r="N581" s="12" t="n">
        <f aca="false">IF(B581&lt;=0,0,MAX(0,(K581+Assumptions!$B$29*L581/INDEX(Surface_Engine!$B$12:$B$72,$A581+1)-(M581/INDEX(Surface_Engine!$B$12:$B$72,$A581+1)-(F581/INDEX(Surface_Engine!$B$12:$B$72,$A581+1))))/B581))</f>
        <v>20423.6316436839</v>
      </c>
    </row>
    <row r="582" customFormat="false" ht="15" hidden="false" customHeight="true" outlineLevel="0" collapsed="false">
      <c r="A582" s="1" t="n">
        <v>7</v>
      </c>
      <c r="B582" s="32" t="n">
        <f aca="false">INDEX(Surface_Engine!$L$12:$L$72,$A582+1)*IF($A582&lt;$Q$573,INDEX(Surface_Engine!$E$12:$E$72,$A582+1),INDEX(Surface_Engine!$E$12:$E$72,$Q$573+1))</f>
        <v>0.84276021626017</v>
      </c>
      <c r="C582" s="32" t="n">
        <f aca="false">INDEX(Panel_Reserving!$D$8:$D$68,$A582+1)*IF($A582&lt;$Q$573,INDEX(Surface_Engine!$E$12:$E$72,$A582+1),INDEX(Surface_Engine!$E$12:$E$72,$Q$573+1))</f>
        <v>0.851124574320869</v>
      </c>
      <c r="D582" s="32" t="n">
        <f aca="false">INDEX(Surface_Engine!$L$12:$L$72,$A582+1)*IF($A582&lt;$Q$573,INDEX(Surface_Engine!$Y$12:$Y$72,$A582+1),INDEX(Surface_Engine!$Y$12:$Y$72,$Q$573+1))</f>
        <v>0.792071493098381</v>
      </c>
      <c r="E582" s="32" t="n">
        <f aca="false">INDEX(Surface_Engine!$L$12:$L$72,$A582+1)*IF($A582&lt;$Q$573,INDEX(Surface_Engine!$Z$12:$Z$72,$A582+1),INDEX(Surface_Engine!$Z$12:$Z$72,$Q$573+1))</f>
        <v>0.896021169380392</v>
      </c>
      <c r="F582" s="48" t="n">
        <f aca="false">B582*(IF($A582&lt;$Q$573,INDEX(Surface_Engine!$D$12:$D$72,$A582+1)+(Surface_Engine!G241*12)*INDEX(Surface_Engine!$F$12:$F$72,$A582+1)-(Surface_Engine!G241*12),1000*12*INDEX(Surface_Engine!$C$12:$C$72,$A582+1)/(1+Assumptions!$B$10)^15+INDEX(Surface_Engine!$D$12:$D$72,$A582+1)))*INDEX(Surface_Engine!$B$12:$B$72,$A582+1)+F583</f>
        <v>29966.528714391</v>
      </c>
      <c r="G582" s="48" t="n">
        <f aca="false">C582*(IF($A582&lt;$Q$573,INDEX(Surface_Engine!$D$12:$D$72,$A582+1)+(Surface_Engine!G241*12)*INDEX(Surface_Engine!$F$12:$F$72,$A582+1)-(Surface_Engine!G241*12),1000*12*INDEX(Surface_Engine!$C$12:$C$72,$A582+1)/(1+Assumptions!$B$10)^15+INDEX(Surface_Engine!$D$12:$D$72,$A582+1)))*INDEX(Surface_Engine!$B$12:$B$72,$A582+1)+G583</f>
        <v>38397.5459386042</v>
      </c>
      <c r="H582" s="48" t="n">
        <f aca="false">D582*(IF($A582&lt;$Q$573,INDEX(Surface_Engine!$D$12:$D$72,$A582+1)+(Surface_Engine!G241*12)*INDEX(Surface_Engine!$F$12:$F$72,$A582+1)-(Surface_Engine!G241*12),1000*12*INDEX(Surface_Engine!$C$12:$C$72,$A582+1)/(1+Assumptions!$B$10)^15+INDEX(Surface_Engine!$D$12:$D$72,$A582+1)))*INDEX(Surface_Engine!$B$12:$B$72,$A582+1)+H583</f>
        <v>26535.3156429912</v>
      </c>
      <c r="I582" s="48" t="n">
        <f aca="false">E582*(IF($A582&lt;$Q$573,INDEX(Surface_Engine!$D$12:$D$72,$A582+1)+(Surface_Engine!G241*12)*INDEX(Surface_Engine!$F$12:$F$72,$A582+1)-(Surface_Engine!G241*12),1000*12*INDEX(Surface_Engine!$C$12:$C$72,$A582+1)/(1+Assumptions!$B$10)^15+INDEX(Surface_Engine!$D$12:$D$72,$A582+1)))*INDEX(Surface_Engine!$B$12:$B$72,$A582+1)+I583</f>
        <v>33770.1414541866</v>
      </c>
      <c r="J582" s="48" t="n">
        <f aca="false">B582*(IF($A582&lt;$Q$573,INDEX(Surface_Engine!$D$12:$D$72,$A582+1)*(1+Assumptions!$B$24)+(Surface_Engine!G241*12)*INDEX(Surface_Engine!$F$12:$F$72,$A582+1)-(Surface_Engine!G241*12),1000*12*INDEX(Surface_Engine!$C$12:$C$72,$A582+1)/(1+Assumptions!$B$10)^15+INDEX(Surface_Engine!$D$12:$D$72,$A582+1)*(1+Assumptions!$B$24)))*INDEX(Surface_Engine!$B$12:$B$72,$A582+1)+J583</f>
        <v>30076.4338250172</v>
      </c>
      <c r="K582" s="12" t="n">
        <f aca="false">SQRT((IF(C582&lt;=0,0,MAX(0,(B582/C582)*G582/INDEX(Surface_Engine!$B$12:$B$72,$A582+1)-F582/INDEX(Surface_Engine!$B$12:$B$72,$A582+1))))^2+(MAX(IF(D582&lt;=0,0,MAX(0,(B582/D582)*H582/INDEX(Surface_Engine!$B$12:$B$72,$A582+1)-F582/INDEX(Surface_Engine!$B$12:$B$72,$A582+1))),IF(E582&lt;=0,0,MAX(0,(B582/E582)*I582/INDEX(Surface_Engine!$B$12:$B$72,$A582+1)-F582/INDEX(Surface_Engine!$B$12:$B$72,$A582+1))),IF($A582&lt;$Q$573,MAX(0,-Assumptions!$B$22*(F582/INDEX(Surface_Engine!$B$12:$B$72,$A582+1))),0)))^2+(MAX(0,J582/INDEX(Surface_Engine!$B$12:$B$72,$A582+1)-(F582/INDEX(Surface_Engine!$B$12:$B$72,$A582+1))))^2+2*Assumptions!$B$26*(IF(C582&lt;=0,0,MAX(0,(B582/C582)*G582/INDEX(Surface_Engine!$B$12:$B$72,$A582+1)-F582/INDEX(Surface_Engine!$B$12:$B$72,$A582+1))))*(MAX(IF(D582&lt;=0,0,MAX(0,(B582/D582)*H582/INDEX(Surface_Engine!$B$12:$B$72,$A582+1)-F582/INDEX(Surface_Engine!$B$12:$B$72,$A582+1))),IF(E582&lt;=0,0,MAX(0,(B582/E582)*I582/INDEX(Surface_Engine!$B$12:$B$72,$A582+1)-F582/INDEX(Surface_Engine!$B$12:$B$72,$A582+1))),IF($A582&lt;$Q$573,MAX(0,-Assumptions!$B$22*(F582/INDEX(Surface_Engine!$B$12:$B$72,$A582+1))),0)))+2*Assumptions!$B$27*(IF(C582&lt;=0,0,MAX(0,(B582/C582)*G582/INDEX(Surface_Engine!$B$12:$B$72,$A582+1)-F582/INDEX(Surface_Engine!$B$12:$B$72,$A582+1))))*(MAX(0,J582/INDEX(Surface_Engine!$B$12:$B$72,$A582+1)-(F582/INDEX(Surface_Engine!$B$12:$B$72,$A582+1))))+2*Assumptions!$B$28*(MAX(IF(D582&lt;=0,0,MAX(0,(B582/D582)*H582/INDEX(Surface_Engine!$B$12:$B$72,$A582+1)-F582/INDEX(Surface_Engine!$B$12:$B$72,$A582+1))),IF(E582&lt;=0,0,MAX(0,(B582/E582)*I582/INDEX(Surface_Engine!$B$12:$B$72,$A582+1)-F582/INDEX(Surface_Engine!$B$12:$B$72,$A582+1))),IF($A582&lt;$Q$573,MAX(0,-Assumptions!$B$22*(F582/INDEX(Surface_Engine!$B$12:$B$72,$A582+1))),0)))*(MAX(0,J582/INDEX(Surface_Engine!$B$12:$B$72,$A582+1)-(F582/INDEX(Surface_Engine!$B$12:$B$72,$A582+1)))))</f>
        <v>10539.104395307</v>
      </c>
      <c r="L582" s="48" t="n">
        <f aca="false">K582*INDEX(Surface_Engine!$B$12:$B$72,$A582+1)+L583</f>
        <v>129333.88316836</v>
      </c>
      <c r="M582" s="48" t="n">
        <f aca="false">M581+B581*(IF($A581&lt;$Q$573,(Surface_Engine!G241*12)-(Surface_Engine!G241*12)*INDEX(Surface_Engine!$F$12:$F$72,$A581+1)-INDEX(Surface_Engine!$D$12:$D$72,$A581+1),-(1000*12*INDEX(Surface_Engine!$C$12:$C$72,$A581+1)/(1+Assumptions!$B$10)^15+INDEX(Surface_Engine!$D$12:$D$72,$A581+1))))*INDEX(Surface_Engine!$B$12:$B$72,$A581+1)</f>
        <v>32173.2055957322</v>
      </c>
      <c r="N582" s="12" t="n">
        <f aca="false">IF(B582&lt;=0,0,MAX(0,(K582+Assumptions!$B$29*L582/INDEX(Surface_Engine!$B$12:$B$72,$A582+1)-(M582/INDEX(Surface_Engine!$B$12:$B$72,$A582+1)-(F582/INDEX(Surface_Engine!$B$12:$B$72,$A582+1))))/B582))</f>
        <v>20473.0013439054</v>
      </c>
    </row>
    <row r="583" customFormat="false" ht="15" hidden="false" customHeight="true" outlineLevel="0" collapsed="false">
      <c r="A583" s="1" t="n">
        <v>8</v>
      </c>
      <c r="B583" s="32" t="n">
        <f aca="false">INDEX(Surface_Engine!$L$12:$L$72,$A583+1)*IF($A583&lt;$Q$573,INDEX(Surface_Engine!$E$12:$E$72,$A583+1),INDEX(Surface_Engine!$E$12:$E$72,$Q$573+1))</f>
        <v>0.826387919730429</v>
      </c>
      <c r="C583" s="32" t="n">
        <f aca="false">INDEX(Panel_Reserving!$D$8:$D$68,$A583+1)*IF($A583&lt;$Q$573,INDEX(Surface_Engine!$E$12:$E$72,$A583+1),INDEX(Surface_Engine!$E$12:$E$72,$Q$573+1))</f>
        <v>0.836347694913736</v>
      </c>
      <c r="D583" s="32" t="n">
        <f aca="false">INDEX(Surface_Engine!$L$12:$L$72,$A583+1)*IF($A583&lt;$Q$573,INDEX(Surface_Engine!$Y$12:$Y$72,$A583+1),INDEX(Surface_Engine!$Y$12:$Y$72,$Q$573+1))</f>
        <v>0.773117560229002</v>
      </c>
      <c r="E583" s="32" t="n">
        <f aca="false">INDEX(Surface_Engine!$L$12:$L$72,$A583+1)*IF($A583&lt;$Q$573,INDEX(Surface_Engine!$Z$12:$Z$72,$A583+1),INDEX(Surface_Engine!$Z$12:$Z$72,$Q$573+1))</f>
        <v>0.882648580300603</v>
      </c>
      <c r="F583" s="48" t="n">
        <f aca="false">B583*(IF($A583&lt;$Q$573,INDEX(Surface_Engine!$D$12:$D$72,$A583+1)+(Surface_Engine!G241*12)*INDEX(Surface_Engine!$F$12:$F$72,$A583+1)-(Surface_Engine!G241*12),1000*12*INDEX(Surface_Engine!$C$12:$C$72,$A583+1)/(1+Assumptions!$B$10)^15+INDEX(Surface_Engine!$D$12:$D$72,$A583+1)))*INDEX(Surface_Engine!$B$12:$B$72,$A583+1)+F584</f>
        <v>34497.188954972</v>
      </c>
      <c r="G583" s="48" t="n">
        <f aca="false">C583*(IF($A583&lt;$Q$573,INDEX(Surface_Engine!$D$12:$D$72,$A583+1)+(Surface_Engine!G241*12)*INDEX(Surface_Engine!$F$12:$F$72,$A583+1)-(Surface_Engine!G241*12),1000*12*INDEX(Surface_Engine!$C$12:$C$72,$A583+1)/(1+Assumptions!$B$10)^15+INDEX(Surface_Engine!$D$12:$D$72,$A583+1)))*INDEX(Surface_Engine!$B$12:$B$72,$A583+1)+G584</f>
        <v>42973.1727827011</v>
      </c>
      <c r="H583" s="48" t="n">
        <f aca="false">D583*(IF($A583&lt;$Q$573,INDEX(Surface_Engine!$D$12:$D$72,$A583+1)+(Surface_Engine!G241*12)*INDEX(Surface_Engine!$F$12:$F$72,$A583+1)-(Surface_Engine!G241*12),1000*12*INDEX(Surface_Engine!$C$12:$C$72,$A583+1)/(1+Assumptions!$B$10)^15+INDEX(Surface_Engine!$D$12:$D$72,$A583+1)))*INDEX(Surface_Engine!$B$12:$B$72,$A583+1)+H584</f>
        <v>30793.4744315054</v>
      </c>
      <c r="I583" s="48" t="n">
        <f aca="false">E583*(IF($A583&lt;$Q$573,INDEX(Surface_Engine!$D$12:$D$72,$A583+1)+(Surface_Engine!G241*12)*INDEX(Surface_Engine!$F$12:$F$72,$A583+1)-(Surface_Engine!G241*12),1000*12*INDEX(Surface_Engine!$C$12:$C$72,$A583+1)/(1+Assumptions!$B$10)^15+INDEX(Surface_Engine!$D$12:$D$72,$A583+1)))*INDEX(Surface_Engine!$B$12:$B$72,$A583+1)+I584</f>
        <v>38587.1313980705</v>
      </c>
      <c r="J583" s="48" t="n">
        <f aca="false">B583*(IF($A583&lt;$Q$573,INDEX(Surface_Engine!$D$12:$D$72,$A583+1)*(1+Assumptions!$B$24)+(Surface_Engine!G241*12)*INDEX(Surface_Engine!$F$12:$F$72,$A583+1)-(Surface_Engine!G241*12),1000*12*INDEX(Surface_Engine!$C$12:$C$72,$A583+1)/(1+Assumptions!$B$10)^15+INDEX(Surface_Engine!$D$12:$D$72,$A583+1)*(1+Assumptions!$B$24)))*INDEX(Surface_Engine!$B$12:$B$72,$A583+1)+J584</f>
        <v>34600.3002755395</v>
      </c>
      <c r="K583" s="12" t="n">
        <f aca="false">SQRT((IF(C583&lt;=0,0,MAX(0,(B583/C583)*G583/INDEX(Surface_Engine!$B$12:$B$72,$A583+1)-F583/INDEX(Surface_Engine!$B$12:$B$72,$A583+1))))^2+(MAX(IF(D583&lt;=0,0,MAX(0,(B583/D583)*H583/INDEX(Surface_Engine!$B$12:$B$72,$A583+1)-F583/INDEX(Surface_Engine!$B$12:$B$72,$A583+1))),IF(E583&lt;=0,0,MAX(0,(B583/E583)*I583/INDEX(Surface_Engine!$B$12:$B$72,$A583+1)-F583/INDEX(Surface_Engine!$B$12:$B$72,$A583+1))),IF($A583&lt;$Q$573,MAX(0,-Assumptions!$B$22*(F583/INDEX(Surface_Engine!$B$12:$B$72,$A583+1))),0)))^2+(MAX(0,J583/INDEX(Surface_Engine!$B$12:$B$72,$A583+1)-(F583/INDEX(Surface_Engine!$B$12:$B$72,$A583+1))))^2+2*Assumptions!$B$26*(IF(C583&lt;=0,0,MAX(0,(B583/C583)*G583/INDEX(Surface_Engine!$B$12:$B$72,$A583+1)-F583/INDEX(Surface_Engine!$B$12:$B$72,$A583+1))))*(MAX(IF(D583&lt;=0,0,MAX(0,(B583/D583)*H583/INDEX(Surface_Engine!$B$12:$B$72,$A583+1)-F583/INDEX(Surface_Engine!$B$12:$B$72,$A583+1))),IF(E583&lt;=0,0,MAX(0,(B583/E583)*I583/INDEX(Surface_Engine!$B$12:$B$72,$A583+1)-F583/INDEX(Surface_Engine!$B$12:$B$72,$A583+1))),IF($A583&lt;$Q$573,MAX(0,-Assumptions!$B$22*(F583/INDEX(Surface_Engine!$B$12:$B$72,$A583+1))),0)))+2*Assumptions!$B$27*(IF(C583&lt;=0,0,MAX(0,(B583/C583)*G583/INDEX(Surface_Engine!$B$12:$B$72,$A583+1)-F583/INDEX(Surface_Engine!$B$12:$B$72,$A583+1))))*(MAX(0,J583/INDEX(Surface_Engine!$B$12:$B$72,$A583+1)-(F583/INDEX(Surface_Engine!$B$12:$B$72,$A583+1))))+2*Assumptions!$B$28*(MAX(IF(D583&lt;=0,0,MAX(0,(B583/D583)*H583/INDEX(Surface_Engine!$B$12:$B$72,$A583+1)-F583/INDEX(Surface_Engine!$B$12:$B$72,$A583+1))),IF(E583&lt;=0,0,MAX(0,(B583/E583)*I583/INDEX(Surface_Engine!$B$12:$B$72,$A583+1)-F583/INDEX(Surface_Engine!$B$12:$B$72,$A583+1))),IF($A583&lt;$Q$573,MAX(0,-Assumptions!$B$22*(F583/INDEX(Surface_Engine!$B$12:$B$72,$A583+1))),0)))*(MAX(0,J583/INDEX(Surface_Engine!$B$12:$B$72,$A583+1)-(F583/INDEX(Surface_Engine!$B$12:$B$72,$A583+1)))))</f>
        <v>10666.9473954129</v>
      </c>
      <c r="L583" s="48" t="n">
        <f aca="false">K583*INDEX(Surface_Engine!$B$12:$B$72,$A583+1)+L584</f>
        <v>120617.608795514</v>
      </c>
      <c r="M583" s="48" t="n">
        <f aca="false">M582+B582*(IF($A582&lt;$Q$573,(Surface_Engine!G241*12)-(Surface_Engine!G241*12)*INDEX(Surface_Engine!$F$12:$F$72,$A582+1)-INDEX(Surface_Engine!$D$12:$D$72,$A582+1),-(1000*12*INDEX(Surface_Engine!$C$12:$C$72,$A582+1)/(1+Assumptions!$B$10)^15+INDEX(Surface_Engine!$D$12:$D$72,$A582+1))))*INDEX(Surface_Engine!$B$12:$B$72,$A582+1)</f>
        <v>36703.8658363132</v>
      </c>
      <c r="N583" s="12" t="n">
        <f aca="false">IF(B583&lt;=0,0,MAX(0,(K583+Assumptions!$B$29*L583/INDEX(Surface_Engine!$B$12:$B$72,$A583+1)-(M583/INDEX(Surface_Engine!$B$12:$B$72,$A583+1)-(F583/INDEX(Surface_Engine!$B$12:$B$72,$A583+1))))/B583))</f>
        <v>20498.8328088221</v>
      </c>
    </row>
    <row r="584" customFormat="false" ht="15" hidden="false" customHeight="true" outlineLevel="0" collapsed="false">
      <c r="A584" s="1" t="n">
        <v>9</v>
      </c>
      <c r="B584" s="32" t="n">
        <f aca="false">INDEX(Surface_Engine!$L$12:$L$72,$A584+1)*IF($A584&lt;$Q$573,INDEX(Surface_Engine!$E$12:$E$72,$A584+1),INDEX(Surface_Engine!$E$12:$E$72,$Q$573+1))</f>
        <v>0.809383922915231</v>
      </c>
      <c r="C584" s="32" t="n">
        <f aca="false">INDEX(Panel_Reserving!$D$8:$D$68,$A584+1)*IF($A584&lt;$Q$573,INDEX(Surface_Engine!$E$12:$E$72,$A584+1),INDEX(Surface_Engine!$E$12:$E$72,$Q$573+1))</f>
        <v>0.821058396485325</v>
      </c>
      <c r="D584" s="32" t="n">
        <f aca="false">INDEX(Surface_Engine!$L$12:$L$72,$A584+1)*IF($A584&lt;$Q$573,INDEX(Surface_Engine!$Y$12:$Y$72,$A584+1),INDEX(Surface_Engine!$Y$12:$Y$72,$Q$573+1))</f>
        <v>0.753732725546461</v>
      </c>
      <c r="E584" s="32" t="n">
        <f aca="false">INDEX(Surface_Engine!$L$12:$L$72,$A584+1)*IF($A584&lt;$Q$573,INDEX(Surface_Engine!$Z$12:$Z$72,$A584+1),INDEX(Surface_Engine!$Z$12:$Z$72,$Q$573+1))</f>
        <v>0.868456486276117</v>
      </c>
      <c r="F584" s="48" t="n">
        <f aca="false">B584*(IF($A584&lt;$Q$573,INDEX(Surface_Engine!$D$12:$D$72,$A584+1)+(Surface_Engine!G241*12)*INDEX(Surface_Engine!$F$12:$F$72,$A584+1)-(Surface_Engine!G241*12),1000*12*INDEX(Surface_Engine!$C$12:$C$72,$A584+1)/(1+Assumptions!$B$10)^15+INDEX(Surface_Engine!$D$12:$D$72,$A584+1)))*INDEX(Surface_Engine!$B$12:$B$72,$A584+1)+F585</f>
        <v>38803.1895221118</v>
      </c>
      <c r="G584" s="48" t="n">
        <f aca="false">C584*(IF($A584&lt;$Q$573,INDEX(Surface_Engine!$D$12:$D$72,$A584+1)+(Surface_Engine!G241*12)*INDEX(Surface_Engine!$F$12:$F$72,$A584+1)-(Surface_Engine!G241*12),1000*12*INDEX(Surface_Engine!$C$12:$C$72,$A584+1)/(1+Assumptions!$B$10)^15+INDEX(Surface_Engine!$D$12:$D$72,$A584+1)))*INDEX(Surface_Engine!$B$12:$B$72,$A584+1)+G585</f>
        <v>47331.0700397174</v>
      </c>
      <c r="H584" s="48" t="n">
        <f aca="false">D584*(IF($A584&lt;$Q$573,INDEX(Surface_Engine!$D$12:$D$72,$A584+1)+(Surface_Engine!G241*12)*INDEX(Surface_Engine!$F$12:$F$72,$A584+1)-(Surface_Engine!G241*12),1000*12*INDEX(Surface_Engine!$C$12:$C$72,$A584+1)/(1+Assumptions!$B$10)^15+INDEX(Surface_Engine!$D$12:$D$72,$A584+1)))*INDEX(Surface_Engine!$B$12:$B$72,$A584+1)+H585</f>
        <v>34821.9029374519</v>
      </c>
      <c r="I584" s="48" t="n">
        <f aca="false">E584*(IF($A584&lt;$Q$573,INDEX(Surface_Engine!$D$12:$D$72,$A584+1)+(Surface_Engine!G241*12)*INDEX(Surface_Engine!$F$12:$F$72,$A584+1)-(Surface_Engine!G241*12),1000*12*INDEX(Surface_Engine!$C$12:$C$72,$A584+1)/(1+Assumptions!$B$10)^15+INDEX(Surface_Engine!$D$12:$D$72,$A584+1)))*INDEX(Surface_Engine!$B$12:$B$72,$A584+1)+I585</f>
        <v>43186.2853748122</v>
      </c>
      <c r="J584" s="48" t="n">
        <f aca="false">B584*(IF($A584&lt;$Q$573,INDEX(Surface_Engine!$D$12:$D$72,$A584+1)*(1+Assumptions!$B$24)+(Surface_Engine!G241*12)*INDEX(Surface_Engine!$F$12:$F$72,$A584+1)-(Surface_Engine!G241*12),1000*12*INDEX(Surface_Engine!$C$12:$C$72,$A584+1)/(1+Assumptions!$B$10)^15+INDEX(Surface_Engine!$D$12:$D$72,$A584+1)*(1+Assumptions!$B$24)))*INDEX(Surface_Engine!$B$12:$B$72,$A584+1)+J585</f>
        <v>38899.6800282826</v>
      </c>
      <c r="K584" s="12" t="n">
        <f aca="false">SQRT((IF(C584&lt;=0,0,MAX(0,(B584/C584)*G584/INDEX(Surface_Engine!$B$12:$B$72,$A584+1)-F584/INDEX(Surface_Engine!$B$12:$B$72,$A584+1))))^2+(MAX(IF(D584&lt;=0,0,MAX(0,(B584/D584)*H584/INDEX(Surface_Engine!$B$12:$B$72,$A584+1)-F584/INDEX(Surface_Engine!$B$12:$B$72,$A584+1))),IF(E584&lt;=0,0,MAX(0,(B584/E584)*I584/INDEX(Surface_Engine!$B$12:$B$72,$A584+1)-F584/INDEX(Surface_Engine!$B$12:$B$72,$A584+1))),IF($A584&lt;$Q$573,MAX(0,-Assumptions!$B$22*(F584/INDEX(Surface_Engine!$B$12:$B$72,$A584+1))),0)))^2+(MAX(0,J584/INDEX(Surface_Engine!$B$12:$B$72,$A584+1)-(F584/INDEX(Surface_Engine!$B$12:$B$72,$A584+1))))^2+2*Assumptions!$B$26*(IF(C584&lt;=0,0,MAX(0,(B584/C584)*G584/INDEX(Surface_Engine!$B$12:$B$72,$A584+1)-F584/INDEX(Surface_Engine!$B$12:$B$72,$A584+1))))*(MAX(IF(D584&lt;=0,0,MAX(0,(B584/D584)*H584/INDEX(Surface_Engine!$B$12:$B$72,$A584+1)-F584/INDEX(Surface_Engine!$B$12:$B$72,$A584+1))),IF(E584&lt;=0,0,MAX(0,(B584/E584)*I584/INDEX(Surface_Engine!$B$12:$B$72,$A584+1)-F584/INDEX(Surface_Engine!$B$12:$B$72,$A584+1))),IF($A584&lt;$Q$573,MAX(0,-Assumptions!$B$22*(F584/INDEX(Surface_Engine!$B$12:$B$72,$A584+1))),0)))+2*Assumptions!$B$27*(IF(C584&lt;=0,0,MAX(0,(B584/C584)*G584/INDEX(Surface_Engine!$B$12:$B$72,$A584+1)-F584/INDEX(Surface_Engine!$B$12:$B$72,$A584+1))))*(MAX(0,J584/INDEX(Surface_Engine!$B$12:$B$72,$A584+1)-(F584/INDEX(Surface_Engine!$B$12:$B$72,$A584+1))))+2*Assumptions!$B$28*(MAX(IF(D584&lt;=0,0,MAX(0,(B584/D584)*H584/INDEX(Surface_Engine!$B$12:$B$72,$A584+1)-F584/INDEX(Surface_Engine!$B$12:$B$72,$A584+1))),IF(E584&lt;=0,0,MAX(0,(B584/E584)*I584/INDEX(Surface_Engine!$B$12:$B$72,$A584+1)-F584/INDEX(Surface_Engine!$B$12:$B$72,$A584+1))),IF($A584&lt;$Q$573,MAX(0,-Assumptions!$B$22*(F584/INDEX(Surface_Engine!$B$12:$B$72,$A584+1))),0)))*(MAX(0,J584/INDEX(Surface_Engine!$B$12:$B$72,$A584+1)-(F584/INDEX(Surface_Engine!$B$12:$B$72,$A584+1)))))</f>
        <v>10770.9772593319</v>
      </c>
      <c r="L584" s="48" t="n">
        <f aca="false">K584*INDEX(Surface_Engine!$B$12:$B$72,$A584+1)+L585</f>
        <v>112063.735140804</v>
      </c>
      <c r="M584" s="48" t="n">
        <f aca="false">M583+B583*(IF($A583&lt;$Q$573,(Surface_Engine!G241*12)-(Surface_Engine!G241*12)*INDEX(Surface_Engine!$F$12:$F$72,$A583+1)-INDEX(Surface_Engine!$D$12:$D$72,$A583+1),-(1000*12*INDEX(Surface_Engine!$C$12:$C$72,$A583+1)/(1+Assumptions!$B$10)^15+INDEX(Surface_Engine!$D$12:$D$72,$A583+1))))*INDEX(Surface_Engine!$B$12:$B$72,$A583+1)</f>
        <v>41009.866403453</v>
      </c>
      <c r="N584" s="12" t="n">
        <f aca="false">IF(B584&lt;=0,0,MAX(0,(K584+Assumptions!$B$29*L584/INDEX(Surface_Engine!$B$12:$B$72,$A584+1)-(M584/INDEX(Surface_Engine!$B$12:$B$72,$A584+1)-(F584/INDEX(Surface_Engine!$B$12:$B$72,$A584+1))))/B584))</f>
        <v>20492.749364846</v>
      </c>
    </row>
    <row r="585" customFormat="false" ht="15" hidden="false" customHeight="true" outlineLevel="0" collapsed="false">
      <c r="A585" s="1" t="n">
        <v>10</v>
      </c>
      <c r="B585" s="32" t="n">
        <f aca="false">INDEX(Surface_Engine!$L$12:$L$72,$A585+1)*IF($A585&lt;$Q$573,INDEX(Surface_Engine!$E$12:$E$72,$A585+1),INDEX(Surface_Engine!$E$12:$E$72,$Q$573+1))</f>
        <v>0.791679736545108</v>
      </c>
      <c r="C585" s="32" t="n">
        <f aca="false">INDEX(Panel_Reserving!$D$8:$D$68,$A585+1)*IF($A585&lt;$Q$573,INDEX(Surface_Engine!$E$12:$E$72,$A585+1),INDEX(Surface_Engine!$E$12:$E$72,$Q$573+1))</f>
        <v>0.80519643036252</v>
      </c>
      <c r="D585" s="32" t="n">
        <f aca="false">INDEX(Surface_Engine!$L$12:$L$72,$A585+1)*IF($A585&lt;$Q$573,INDEX(Surface_Engine!$Y$12:$Y$72,$A585+1),INDEX(Surface_Engine!$Y$12:$Y$72,$Q$573+1))</f>
        <v>0.733860559838475</v>
      </c>
      <c r="E585" s="32" t="n">
        <f aca="false">INDEX(Surface_Engine!$L$12:$L$72,$A585+1)*IF($A585&lt;$Q$573,INDEX(Surface_Engine!$Z$12:$Z$72,$A585+1),INDEX(Surface_Engine!$Z$12:$Z$72,$Q$573+1))</f>
        <v>0.853360705573894</v>
      </c>
      <c r="F585" s="48" t="n">
        <f aca="false">B585*(IF($A585&lt;$Q$573,INDEX(Surface_Engine!$D$12:$D$72,$A585+1)+(Surface_Engine!G241*12)*INDEX(Surface_Engine!$F$12:$F$72,$A585+1)-(Surface_Engine!G241*12),1000*12*INDEX(Surface_Engine!$C$12:$C$72,$A585+1)/(1+Assumptions!$B$10)^15+INDEX(Surface_Engine!$D$12:$D$72,$A585+1)))*INDEX(Surface_Engine!$B$12:$B$72,$A585+1)+F586</f>
        <v>42886.6691520093</v>
      </c>
      <c r="G585" s="48" t="n">
        <f aca="false">C585*(IF($A585&lt;$Q$573,INDEX(Surface_Engine!$D$12:$D$72,$A585+1)+(Surface_Engine!G241*12)*INDEX(Surface_Engine!$F$12:$F$72,$A585+1)-(Surface_Engine!G241*12),1000*12*INDEX(Surface_Engine!$C$12:$C$72,$A585+1)/(1+Assumptions!$B$10)^15+INDEX(Surface_Engine!$D$12:$D$72,$A585+1)))*INDEX(Surface_Engine!$B$12:$B$72,$A585+1)+G586</f>
        <v>51473.4493755067</v>
      </c>
      <c r="H585" s="48" t="n">
        <f aca="false">D585*(IF($A585&lt;$Q$573,INDEX(Surface_Engine!$D$12:$D$72,$A585+1)+(Surface_Engine!G241*12)*INDEX(Surface_Engine!$F$12:$F$72,$A585+1)-(Surface_Engine!G241*12),1000*12*INDEX(Surface_Engine!$C$12:$C$72,$A585+1)/(1+Assumptions!$B$10)^15+INDEX(Surface_Engine!$D$12:$D$72,$A585+1)))*INDEX(Surface_Engine!$B$12:$B$72,$A585+1)+H586</f>
        <v>38624.6128060521</v>
      </c>
      <c r="I585" s="48" t="n">
        <f aca="false">E585*(IF($A585&lt;$Q$573,INDEX(Surface_Engine!$D$12:$D$72,$A585+1)+(Surface_Engine!G241*12)*INDEX(Surface_Engine!$F$12:$F$72,$A585+1)-(Surface_Engine!G241*12),1000*12*INDEX(Surface_Engine!$C$12:$C$72,$A585+1)/(1+Assumptions!$B$10)^15+INDEX(Surface_Engine!$D$12:$D$72,$A585+1)))*INDEX(Surface_Engine!$B$12:$B$72,$A585+1)+I586</f>
        <v>47567.7961396762</v>
      </c>
      <c r="J585" s="48" t="n">
        <f aca="false">B585*(IF($A585&lt;$Q$573,INDEX(Surface_Engine!$D$12:$D$72,$A585+1)*(1+Assumptions!$B$24)+(Surface_Engine!G241*12)*INDEX(Surface_Engine!$F$12:$F$72,$A585+1)-(Surface_Engine!G241*12),1000*12*INDEX(Surface_Engine!$C$12:$C$72,$A585+1)/(1+Assumptions!$B$10)^15+INDEX(Surface_Engine!$D$12:$D$72,$A585+1)*(1+Assumptions!$B$24)))*INDEX(Surface_Engine!$B$12:$B$72,$A585+1)+J586</f>
        <v>42976.7215456682</v>
      </c>
      <c r="K585" s="12" t="n">
        <f aca="false">SQRT((IF(C585&lt;=0,0,MAX(0,(B585/C585)*G585/INDEX(Surface_Engine!$B$12:$B$72,$A585+1)-F585/INDEX(Surface_Engine!$B$12:$B$72,$A585+1))))^2+(MAX(IF(D585&lt;=0,0,MAX(0,(B585/D585)*H585/INDEX(Surface_Engine!$B$12:$B$72,$A585+1)-F585/INDEX(Surface_Engine!$B$12:$B$72,$A585+1))),IF(E585&lt;=0,0,MAX(0,(B585/E585)*I585/INDEX(Surface_Engine!$B$12:$B$72,$A585+1)-F585/INDEX(Surface_Engine!$B$12:$B$72,$A585+1))),IF($A585&lt;$Q$573,MAX(0,-Assumptions!$B$22*(F585/INDEX(Surface_Engine!$B$12:$B$72,$A585+1))),0)))^2+(MAX(0,J585/INDEX(Surface_Engine!$B$12:$B$72,$A585+1)-(F585/INDEX(Surface_Engine!$B$12:$B$72,$A585+1))))^2+2*Assumptions!$B$26*(IF(C585&lt;=0,0,MAX(0,(B585/C585)*G585/INDEX(Surface_Engine!$B$12:$B$72,$A585+1)-F585/INDEX(Surface_Engine!$B$12:$B$72,$A585+1))))*(MAX(IF(D585&lt;=0,0,MAX(0,(B585/D585)*H585/INDEX(Surface_Engine!$B$12:$B$72,$A585+1)-F585/INDEX(Surface_Engine!$B$12:$B$72,$A585+1))),IF(E585&lt;=0,0,MAX(0,(B585/E585)*I585/INDEX(Surface_Engine!$B$12:$B$72,$A585+1)-F585/INDEX(Surface_Engine!$B$12:$B$72,$A585+1))),IF($A585&lt;$Q$573,MAX(0,-Assumptions!$B$22*(F585/INDEX(Surface_Engine!$B$12:$B$72,$A585+1))),0)))+2*Assumptions!$B$27*(IF(C585&lt;=0,0,MAX(0,(B585/C585)*G585/INDEX(Surface_Engine!$B$12:$B$72,$A585+1)-F585/INDEX(Surface_Engine!$B$12:$B$72,$A585+1))))*(MAX(0,J585/INDEX(Surface_Engine!$B$12:$B$72,$A585+1)-(F585/INDEX(Surface_Engine!$B$12:$B$72,$A585+1))))+2*Assumptions!$B$28*(MAX(IF(D585&lt;=0,0,MAX(0,(B585/D585)*H585/INDEX(Surface_Engine!$B$12:$B$72,$A585+1)-F585/INDEX(Surface_Engine!$B$12:$B$72,$A585+1))),IF(E585&lt;=0,0,MAX(0,(B585/E585)*I585/INDEX(Surface_Engine!$B$12:$B$72,$A585+1)-F585/INDEX(Surface_Engine!$B$12:$B$72,$A585+1))),IF($A585&lt;$Q$573,MAX(0,-Assumptions!$B$22*(F585/INDEX(Surface_Engine!$B$12:$B$72,$A585+1))),0)))*(MAX(0,J585/INDEX(Surface_Engine!$B$12:$B$72,$A585+1)-(F585/INDEX(Surface_Engine!$B$12:$B$72,$A585+1)))))</f>
        <v>10861.0670042666</v>
      </c>
      <c r="L585" s="48" t="n">
        <f aca="false">K585*INDEX(Surface_Engine!$B$12:$B$72,$A585+1)+L586</f>
        <v>103697.492488808</v>
      </c>
      <c r="M585" s="48" t="n">
        <f aca="false">M584+B584*(IF($A584&lt;$Q$573,(Surface_Engine!G241*12)-(Surface_Engine!G241*12)*INDEX(Surface_Engine!$F$12:$F$72,$A584+1)-INDEX(Surface_Engine!$D$12:$D$72,$A584+1),-(1000*12*INDEX(Surface_Engine!$C$12:$C$72,$A584+1)/(1+Assumptions!$B$10)^15+INDEX(Surface_Engine!$D$12:$D$72,$A584+1))))*INDEX(Surface_Engine!$B$12:$B$72,$A584+1)</f>
        <v>45093.3460333505</v>
      </c>
      <c r="N585" s="12" t="n">
        <f aca="false">IF(B585&lt;=0,0,MAX(0,(K585+Assumptions!$B$29*L585/INDEX(Surface_Engine!$B$12:$B$72,$A585+1)-(M585/INDEX(Surface_Engine!$B$12:$B$72,$A585+1)-(F585/INDEX(Surface_Engine!$B$12:$B$72,$A585+1))))/B585))</f>
        <v>20476.3079490555</v>
      </c>
    </row>
    <row r="586" customFormat="false" ht="15" hidden="false" customHeight="true" outlineLevel="0" collapsed="false">
      <c r="A586" s="1" t="n">
        <v>11</v>
      </c>
      <c r="B586" s="32" t="n">
        <f aca="false">INDEX(Surface_Engine!$L$12:$L$72,$A586+1)*IF($A586&lt;$Q$573,INDEX(Surface_Engine!$E$12:$E$72,$A586+1),INDEX(Surface_Engine!$E$12:$E$72,$Q$573+1))</f>
        <v>0.77280380599472</v>
      </c>
      <c r="C586" s="32" t="n">
        <f aca="false">INDEX(Panel_Reserving!$D$8:$D$68,$A586+1)*IF($A586&lt;$Q$573,INDEX(Surface_Engine!$E$12:$E$72,$A586+1),INDEX(Surface_Engine!$E$12:$E$72,$Q$573+1))</f>
        <v>0.788372406815602</v>
      </c>
      <c r="D586" s="32" t="n">
        <f aca="false">INDEX(Surface_Engine!$L$12:$L$72,$A586+1)*IF($A586&lt;$Q$573,INDEX(Surface_Engine!$Y$12:$Y$72,$A586+1),INDEX(Surface_Engine!$Y$12:$Y$72,$Q$573+1))</f>
        <v>0.713073819391425</v>
      </c>
      <c r="E586" s="32" t="n">
        <f aca="false">INDEX(Surface_Engine!$L$12:$L$72,$A586+1)*IF($A586&lt;$Q$573,INDEX(Surface_Engine!$Z$12:$Z$72,$A586+1),INDEX(Surface_Engine!$Z$12:$Z$72,$Q$573+1))</f>
        <v>0.836839144602721</v>
      </c>
      <c r="F586" s="48" t="n">
        <f aca="false">B586*(IF($A586&lt;$Q$573,INDEX(Surface_Engine!$D$12:$D$72,$A586+1)+(Surface_Engine!G241*12)*INDEX(Surface_Engine!$F$12:$F$72,$A586+1)-(Surface_Engine!G241*12),1000*12*INDEX(Surface_Engine!$C$12:$C$72,$A586+1)/(1+Assumptions!$B$10)^15+INDEX(Surface_Engine!$D$12:$D$72,$A586+1)))*INDEX(Surface_Engine!$B$12:$B$72,$A586+1)+F587</f>
        <v>46744.6565495901</v>
      </c>
      <c r="G586" s="48" t="n">
        <f aca="false">C586*(IF($A586&lt;$Q$573,INDEX(Surface_Engine!$D$12:$D$72,$A586+1)+(Surface_Engine!G241*12)*INDEX(Surface_Engine!$F$12:$F$72,$A586+1)-(Surface_Engine!G241*12),1000*12*INDEX(Surface_Engine!$C$12:$C$72,$A586+1)/(1+Assumptions!$B$10)^15+INDEX(Surface_Engine!$D$12:$D$72,$A586+1)))*INDEX(Surface_Engine!$B$12:$B$72,$A586+1)+G587</f>
        <v>55397.3058764601</v>
      </c>
      <c r="H586" s="48" t="n">
        <f aca="false">D586*(IF($A586&lt;$Q$573,INDEX(Surface_Engine!$D$12:$D$72,$A586+1)+(Surface_Engine!G241*12)*INDEX(Surface_Engine!$F$12:$F$72,$A586+1)-(Surface_Engine!G241*12),1000*12*INDEX(Surface_Engine!$C$12:$C$72,$A586+1)/(1+Assumptions!$B$10)^15+INDEX(Surface_Engine!$D$12:$D$72,$A586+1)))*INDEX(Surface_Engine!$B$12:$B$72,$A586+1)+H587</f>
        <v>42200.8377120903</v>
      </c>
      <c r="I586" s="48" t="n">
        <f aca="false">E586*(IF($A586&lt;$Q$573,INDEX(Surface_Engine!$D$12:$D$72,$A586+1)+(Surface_Engine!G241*12)*INDEX(Surface_Engine!$F$12:$F$72,$A586+1)-(Surface_Engine!G241*12),1000*12*INDEX(Surface_Engine!$C$12:$C$72,$A586+1)/(1+Assumptions!$B$10)^15+INDEX(Surface_Engine!$D$12:$D$72,$A586+1)))*INDEX(Surface_Engine!$B$12:$B$72,$A586+1)+I587</f>
        <v>51726.3651868797</v>
      </c>
      <c r="J586" s="48" t="n">
        <f aca="false">B586*(IF($A586&lt;$Q$573,INDEX(Surface_Engine!$D$12:$D$72,$A586+1)*(1+Assumptions!$B$24)+(Surface_Engine!G241*12)*INDEX(Surface_Engine!$F$12:$F$72,$A586+1)-(Surface_Engine!G241*12),1000*12*INDEX(Surface_Engine!$C$12:$C$72,$A586+1)/(1+Assumptions!$B$10)^15+INDEX(Surface_Engine!$D$12:$D$72,$A586+1)*(1+Assumptions!$B$24)))*INDEX(Surface_Engine!$B$12:$B$72,$A586+1)+J587</f>
        <v>46828.4718239327</v>
      </c>
      <c r="K586" s="12" t="n">
        <f aca="false">SQRT((IF(C586&lt;=0,0,MAX(0,(B586/C586)*G586/INDEX(Surface_Engine!$B$12:$B$72,$A586+1)-F586/INDEX(Surface_Engine!$B$12:$B$72,$A586+1))))^2+(MAX(IF(D586&lt;=0,0,MAX(0,(B586/D586)*H586/INDEX(Surface_Engine!$B$12:$B$72,$A586+1)-F586/INDEX(Surface_Engine!$B$12:$B$72,$A586+1))),IF(E586&lt;=0,0,MAX(0,(B586/E586)*I586/INDEX(Surface_Engine!$B$12:$B$72,$A586+1)-F586/INDEX(Surface_Engine!$B$12:$B$72,$A586+1))),IF($A586&lt;$Q$573,MAX(0,-Assumptions!$B$22*(F586/INDEX(Surface_Engine!$B$12:$B$72,$A586+1))),0)))^2+(MAX(0,J586/INDEX(Surface_Engine!$B$12:$B$72,$A586+1)-(F586/INDEX(Surface_Engine!$B$12:$B$72,$A586+1))))^2+2*Assumptions!$B$26*(IF(C586&lt;=0,0,MAX(0,(B586/C586)*G586/INDEX(Surface_Engine!$B$12:$B$72,$A586+1)-F586/INDEX(Surface_Engine!$B$12:$B$72,$A586+1))))*(MAX(IF(D586&lt;=0,0,MAX(0,(B586/D586)*H586/INDEX(Surface_Engine!$B$12:$B$72,$A586+1)-F586/INDEX(Surface_Engine!$B$12:$B$72,$A586+1))),IF(E586&lt;=0,0,MAX(0,(B586/E586)*I586/INDEX(Surface_Engine!$B$12:$B$72,$A586+1)-F586/INDEX(Surface_Engine!$B$12:$B$72,$A586+1))),IF($A586&lt;$Q$573,MAX(0,-Assumptions!$B$22*(F586/INDEX(Surface_Engine!$B$12:$B$72,$A586+1))),0)))+2*Assumptions!$B$27*(IF(C586&lt;=0,0,MAX(0,(B586/C586)*G586/INDEX(Surface_Engine!$B$12:$B$72,$A586+1)-F586/INDEX(Surface_Engine!$B$12:$B$72,$A586+1))))*(MAX(0,J586/INDEX(Surface_Engine!$B$12:$B$72,$A586+1)-(F586/INDEX(Surface_Engine!$B$12:$B$72,$A586+1))))+2*Assumptions!$B$28*(MAX(IF(D586&lt;=0,0,MAX(0,(B586/D586)*H586/INDEX(Surface_Engine!$B$12:$B$72,$A586+1)-F586/INDEX(Surface_Engine!$B$12:$B$72,$A586+1))),IF(E586&lt;=0,0,MAX(0,(B586/E586)*I586/INDEX(Surface_Engine!$B$12:$B$72,$A586+1)-F586/INDEX(Surface_Engine!$B$12:$B$72,$A586+1))),IF($A586&lt;$Q$573,MAX(0,-Assumptions!$B$22*(F586/INDEX(Surface_Engine!$B$12:$B$72,$A586+1))),0)))*(MAX(0,J586/INDEX(Surface_Engine!$B$12:$B$72,$A586+1)-(F586/INDEX(Surface_Engine!$B$12:$B$72,$A586+1)))))</f>
        <v>10871.0357645508</v>
      </c>
      <c r="L586" s="48" t="n">
        <f aca="false">K586*INDEX(Surface_Engine!$B$12:$B$72,$A586+1)+L587</f>
        <v>95545.6738345611</v>
      </c>
      <c r="M586" s="48" t="n">
        <f aca="false">M585+B585*(IF($A585&lt;$Q$573,(Surface_Engine!G241*12)-(Surface_Engine!G241*12)*INDEX(Surface_Engine!$F$12:$F$72,$A585+1)-INDEX(Surface_Engine!$D$12:$D$72,$A585+1),-(1000*12*INDEX(Surface_Engine!$C$12:$C$72,$A585+1)/(1+Assumptions!$B$10)^15+INDEX(Surface_Engine!$D$12:$D$72,$A585+1))))*INDEX(Surface_Engine!$B$12:$B$72,$A585+1)</f>
        <v>48951.3334309312</v>
      </c>
      <c r="N586" s="12" t="n">
        <f aca="false">IF(B586&lt;=0,0,MAX(0,(K586+Assumptions!$B$29*L586/INDEX(Surface_Engine!$B$12:$B$72,$A586+1)-(M586/INDEX(Surface_Engine!$B$12:$B$72,$A586+1)-(F586/INDEX(Surface_Engine!$B$12:$B$72,$A586+1))))/B586))</f>
        <v>20343.1527919028</v>
      </c>
    </row>
    <row r="587" customFormat="false" ht="15" hidden="false" customHeight="true" outlineLevel="0" collapsed="false">
      <c r="A587" s="1" t="n">
        <v>12</v>
      </c>
      <c r="B587" s="32" t="n">
        <f aca="false">INDEX(Surface_Engine!$L$12:$L$72,$A587+1)*IF($A587&lt;$Q$573,INDEX(Surface_Engine!$E$12:$E$72,$A587+1),INDEX(Surface_Engine!$E$12:$E$72,$Q$573+1))</f>
        <v>0.753048807736933</v>
      </c>
      <c r="C587" s="32" t="n">
        <f aca="false">INDEX(Panel_Reserving!$D$8:$D$68,$A587+1)*IF($A587&lt;$Q$573,INDEX(Surface_Engine!$E$12:$E$72,$A587+1),INDEX(Surface_Engine!$E$12:$E$72,$Q$573+1))</f>
        <v>0.770815189303298</v>
      </c>
      <c r="D587" s="32" t="n">
        <f aca="false">INDEX(Surface_Engine!$L$12:$L$72,$A587+1)*IF($A587&lt;$Q$573,INDEX(Surface_Engine!$Y$12:$Y$72,$A587+1),INDEX(Surface_Engine!$Y$12:$Y$72,$Q$573+1))</f>
        <v>0.691655102287006</v>
      </c>
      <c r="E587" s="32" t="n">
        <f aca="false">INDEX(Surface_Engine!$L$12:$L$72,$A587+1)*IF($A587&lt;$Q$573,INDEX(Surface_Engine!$Z$12:$Z$72,$A587+1),INDEX(Surface_Engine!$Z$12:$Z$72,$Q$573+1))</f>
        <v>0.819191584892053</v>
      </c>
      <c r="F587" s="48" t="n">
        <f aca="false">B587*(IF($A587&lt;$Q$573,INDEX(Surface_Engine!$D$12:$D$72,$A587+1)+(Surface_Engine!G241*12)*INDEX(Surface_Engine!$F$12:$F$72,$A587+1)-(Surface_Engine!G241*12),1000*12*INDEX(Surface_Engine!$C$12:$C$72,$A587+1)/(1+Assumptions!$B$10)^15+INDEX(Surface_Engine!$D$12:$D$72,$A587+1)))*INDEX(Surface_Engine!$B$12:$B$72,$A587+1)+F588</f>
        <v>50390.9426023685</v>
      </c>
      <c r="G587" s="48" t="n">
        <f aca="false">C587*(IF($A587&lt;$Q$573,INDEX(Surface_Engine!$D$12:$D$72,$A587+1)+(Surface_Engine!G241*12)*INDEX(Surface_Engine!$F$12:$F$72,$A587+1)-(Surface_Engine!G241*12),1000*12*INDEX(Surface_Engine!$C$12:$C$72,$A587+1)/(1+Assumptions!$B$10)^15+INDEX(Surface_Engine!$D$12:$D$72,$A587+1)))*INDEX(Surface_Engine!$B$12:$B$72,$A587+1)+G588</f>
        <v>59117.0485706191</v>
      </c>
      <c r="H587" s="48" t="n">
        <f aca="false">D587*(IF($A587&lt;$Q$573,INDEX(Surface_Engine!$D$12:$D$72,$A587+1)+(Surface_Engine!G241*12)*INDEX(Surface_Engine!$F$12:$F$72,$A587+1)-(Surface_Engine!G241*12),1000*12*INDEX(Surface_Engine!$C$12:$C$72,$A587+1)/(1+Assumptions!$B$10)^15+INDEX(Surface_Engine!$D$12:$D$72,$A587+1)))*INDEX(Surface_Engine!$B$12:$B$72,$A587+1)+H588</f>
        <v>45565.3024081482</v>
      </c>
      <c r="I587" s="48" t="n">
        <f aca="false">E587*(IF($A587&lt;$Q$573,INDEX(Surface_Engine!$D$12:$D$72,$A587+1)+(Surface_Engine!G241*12)*INDEX(Surface_Engine!$F$12:$F$72,$A587+1)-(Surface_Engine!G241*12),1000*12*INDEX(Surface_Engine!$C$12:$C$72,$A587+1)/(1+Assumptions!$B$10)^15+INDEX(Surface_Engine!$D$12:$D$72,$A587+1)))*INDEX(Surface_Engine!$B$12:$B$72,$A587+1)+I588</f>
        <v>55674.7863485177</v>
      </c>
      <c r="J587" s="48" t="n">
        <f aca="false">B587*(IF($A587&lt;$Q$573,INDEX(Surface_Engine!$D$12:$D$72,$A587+1)*(1+Assumptions!$B$24)+(Surface_Engine!G241*12)*INDEX(Surface_Engine!$F$12:$F$72,$A587+1)-(Surface_Engine!G241*12),1000*12*INDEX(Surface_Engine!$C$12:$C$72,$A587+1)/(1+Assumptions!$B$10)^15+INDEX(Surface_Engine!$D$12:$D$72,$A587+1)*(1+Assumptions!$B$24)))*INDEX(Surface_Engine!$B$12:$B$72,$A587+1)+J588</f>
        <v>50468.7131953401</v>
      </c>
      <c r="K587" s="12" t="n">
        <f aca="false">SQRT((IF(C587&lt;=0,0,MAX(0,(B587/C587)*G587/INDEX(Surface_Engine!$B$12:$B$72,$A587+1)-F587/INDEX(Surface_Engine!$B$12:$B$72,$A587+1))))^2+(MAX(IF(D587&lt;=0,0,MAX(0,(B587/D587)*H587/INDEX(Surface_Engine!$B$12:$B$72,$A587+1)-F587/INDEX(Surface_Engine!$B$12:$B$72,$A587+1))),IF(E587&lt;=0,0,MAX(0,(B587/E587)*I587/INDEX(Surface_Engine!$B$12:$B$72,$A587+1)-F587/INDEX(Surface_Engine!$B$12:$B$72,$A587+1))),IF($A587&lt;$Q$573,MAX(0,-Assumptions!$B$22*(F587/INDEX(Surface_Engine!$B$12:$B$72,$A587+1))),0)))^2+(MAX(0,J587/INDEX(Surface_Engine!$B$12:$B$72,$A587+1)-(F587/INDEX(Surface_Engine!$B$12:$B$72,$A587+1))))^2+2*Assumptions!$B$26*(IF(C587&lt;=0,0,MAX(0,(B587/C587)*G587/INDEX(Surface_Engine!$B$12:$B$72,$A587+1)-F587/INDEX(Surface_Engine!$B$12:$B$72,$A587+1))))*(MAX(IF(D587&lt;=0,0,MAX(0,(B587/D587)*H587/INDEX(Surface_Engine!$B$12:$B$72,$A587+1)-F587/INDEX(Surface_Engine!$B$12:$B$72,$A587+1))),IF(E587&lt;=0,0,MAX(0,(B587/E587)*I587/INDEX(Surface_Engine!$B$12:$B$72,$A587+1)-F587/INDEX(Surface_Engine!$B$12:$B$72,$A587+1))),IF($A587&lt;$Q$573,MAX(0,-Assumptions!$B$22*(F587/INDEX(Surface_Engine!$B$12:$B$72,$A587+1))),0)))+2*Assumptions!$B$27*(IF(C587&lt;=0,0,MAX(0,(B587/C587)*G587/INDEX(Surface_Engine!$B$12:$B$72,$A587+1)-F587/INDEX(Surface_Engine!$B$12:$B$72,$A587+1))))*(MAX(0,J587/INDEX(Surface_Engine!$B$12:$B$72,$A587+1)-(F587/INDEX(Surface_Engine!$B$12:$B$72,$A587+1))))+2*Assumptions!$B$28*(MAX(IF(D587&lt;=0,0,MAX(0,(B587/D587)*H587/INDEX(Surface_Engine!$B$12:$B$72,$A587+1)-F587/INDEX(Surface_Engine!$B$12:$B$72,$A587+1))),IF(E587&lt;=0,0,MAX(0,(B587/E587)*I587/INDEX(Surface_Engine!$B$12:$B$72,$A587+1)-F587/INDEX(Surface_Engine!$B$12:$B$72,$A587+1))),IF($A587&lt;$Q$573,MAX(0,-Assumptions!$B$22*(F587/INDEX(Surface_Engine!$B$12:$B$72,$A587+1))),0)))*(MAX(0,J587/INDEX(Surface_Engine!$B$12:$B$72,$A587+1)-(F587/INDEX(Surface_Engine!$B$12:$B$72,$A587+1)))))</f>
        <v>10857.5457761878</v>
      </c>
      <c r="L587" s="48" t="n">
        <f aca="false">K587*INDEX(Surface_Engine!$B$12:$B$72,$A587+1)+L588</f>
        <v>87642.5513335454</v>
      </c>
      <c r="M587" s="48" t="n">
        <f aca="false">M586+B586*(IF($A586&lt;$Q$573,(Surface_Engine!G241*12)-(Surface_Engine!G241*12)*INDEX(Surface_Engine!$F$12:$F$72,$A586+1)-INDEX(Surface_Engine!$D$12:$D$72,$A586+1),-(1000*12*INDEX(Surface_Engine!$C$12:$C$72,$A586+1)/(1+Assumptions!$B$10)^15+INDEX(Surface_Engine!$D$12:$D$72,$A586+1))))*INDEX(Surface_Engine!$B$12:$B$72,$A586+1)</f>
        <v>52597.6194837097</v>
      </c>
      <c r="N587" s="12" t="n">
        <f aca="false">IF(B587&lt;=0,0,MAX(0,(K587+Assumptions!$B$29*L587/INDEX(Surface_Engine!$B$12:$B$72,$A587+1)-(M587/INDEX(Surface_Engine!$B$12:$B$72,$A587+1)-(F587/INDEX(Surface_Engine!$B$12:$B$72,$A587+1))))/B587))</f>
        <v>20190.9060044428</v>
      </c>
    </row>
    <row r="588" customFormat="false" ht="15" hidden="false" customHeight="true" outlineLevel="0" collapsed="false">
      <c r="A588" s="1" t="n">
        <v>13</v>
      </c>
      <c r="B588" s="32" t="n">
        <f aca="false">INDEX(Surface_Engine!$L$12:$L$72,$A588+1)*IF($A588&lt;$Q$573,INDEX(Surface_Engine!$E$12:$E$72,$A588+1),INDEX(Surface_Engine!$E$12:$E$72,$Q$573+1))</f>
        <v>0.732331393340358</v>
      </c>
      <c r="C588" s="32" t="n">
        <f aca="false">INDEX(Panel_Reserving!$D$8:$D$68,$A588+1)*IF($A588&lt;$Q$573,INDEX(Surface_Engine!$E$12:$E$72,$A588+1),INDEX(Surface_Engine!$E$12:$E$72,$Q$573+1))</f>
        <v>0.752447351954943</v>
      </c>
      <c r="D588" s="32" t="n">
        <f aca="false">INDEX(Surface_Engine!$L$12:$L$72,$A588+1)*IF($A588&lt;$Q$573,INDEX(Surface_Engine!$Y$12:$Y$72,$A588+1),INDEX(Surface_Engine!$Y$12:$Y$72,$Q$573+1))</f>
        <v>0.6695381562339</v>
      </c>
      <c r="E588" s="32" t="n">
        <f aca="false">INDEX(Surface_Engine!$L$12:$L$72,$A588+1)*IF($A588&lt;$Q$573,INDEX(Surface_Engine!$Z$12:$Z$72,$A588+1),INDEX(Surface_Engine!$Z$12:$Z$72,$Q$573+1))</f>
        <v>0.80031255753899</v>
      </c>
      <c r="F588" s="48" t="n">
        <f aca="false">B588*(IF($A588&lt;$Q$573,INDEX(Surface_Engine!$D$12:$D$72,$A588+1)+(Surface_Engine!G241*12)*INDEX(Surface_Engine!$F$12:$F$72,$A588+1)-(Surface_Engine!G241*12),1000*12*INDEX(Surface_Engine!$C$12:$C$72,$A588+1)/(1+Assumptions!$B$10)^15+INDEX(Surface_Engine!$D$12:$D$72,$A588+1)))*INDEX(Surface_Engine!$B$12:$B$72,$A588+1)+F589</f>
        <v>53820.6327978068</v>
      </c>
      <c r="G588" s="48" t="n">
        <f aca="false">C588*(IF($A588&lt;$Q$573,INDEX(Surface_Engine!$D$12:$D$72,$A588+1)+(Surface_Engine!G241*12)*INDEX(Surface_Engine!$F$12:$F$72,$A588+1)-(Surface_Engine!G241*12),1000*12*INDEX(Surface_Engine!$C$12:$C$72,$A588+1)/(1+Assumptions!$B$10)^15+INDEX(Surface_Engine!$D$12:$D$72,$A588+1)))*INDEX(Surface_Engine!$B$12:$B$72,$A588+1)+G589</f>
        <v>62627.6540852777</v>
      </c>
      <c r="H588" s="48" t="n">
        <f aca="false">D588*(IF($A588&lt;$Q$573,INDEX(Surface_Engine!$D$12:$D$72,$A588+1)+(Surface_Engine!G241*12)*INDEX(Surface_Engine!$F$12:$F$72,$A588+1)-(Surface_Engine!G241*12),1000*12*INDEX(Surface_Engine!$C$12:$C$72,$A588+1)/(1+Assumptions!$B$10)^15+INDEX(Surface_Engine!$D$12:$D$72,$A588+1)))*INDEX(Surface_Engine!$B$12:$B$72,$A588+1)+H589</f>
        <v>48715.3807278622</v>
      </c>
      <c r="I588" s="48" t="n">
        <f aca="false">E588*(IF($A588&lt;$Q$573,INDEX(Surface_Engine!$D$12:$D$72,$A588+1)+(Surface_Engine!G241*12)*INDEX(Surface_Engine!$F$12:$F$72,$A588+1)-(Surface_Engine!G241*12),1000*12*INDEX(Surface_Engine!$C$12:$C$72,$A588+1)/(1+Assumptions!$B$10)^15+INDEX(Surface_Engine!$D$12:$D$72,$A588+1)))*INDEX(Surface_Engine!$B$12:$B$72,$A588+1)+I589</f>
        <v>59405.7176215293</v>
      </c>
      <c r="J588" s="48" t="n">
        <f aca="false">B588*(IF($A588&lt;$Q$573,INDEX(Surface_Engine!$D$12:$D$72,$A588+1)*(1+Assumptions!$B$24)+(Surface_Engine!G241*12)*INDEX(Surface_Engine!$F$12:$F$72,$A588+1)-(Surface_Engine!G241*12),1000*12*INDEX(Surface_Engine!$C$12:$C$72,$A588+1)/(1+Assumptions!$B$10)^15+INDEX(Surface_Engine!$D$12:$D$72,$A588+1)*(1+Assumptions!$B$24)))*INDEX(Surface_Engine!$B$12:$B$72,$A588+1)+J589</f>
        <v>53892.5732175225</v>
      </c>
      <c r="K588" s="12" t="n">
        <f aca="false">SQRT((IF(C588&lt;=0,0,MAX(0,(B588/C588)*G588/INDEX(Surface_Engine!$B$12:$B$72,$A588+1)-F588/INDEX(Surface_Engine!$B$12:$B$72,$A588+1))))^2+(MAX(IF(D588&lt;=0,0,MAX(0,(B588/D588)*H588/INDEX(Surface_Engine!$B$12:$B$72,$A588+1)-F588/INDEX(Surface_Engine!$B$12:$B$72,$A588+1))),IF(E588&lt;=0,0,MAX(0,(B588/E588)*I588/INDEX(Surface_Engine!$B$12:$B$72,$A588+1)-F588/INDEX(Surface_Engine!$B$12:$B$72,$A588+1))),IF($A588&lt;$Q$573,MAX(0,-Assumptions!$B$22*(F588/INDEX(Surface_Engine!$B$12:$B$72,$A588+1))),0)))^2+(MAX(0,J588/INDEX(Surface_Engine!$B$12:$B$72,$A588+1)-(F588/INDEX(Surface_Engine!$B$12:$B$72,$A588+1))))^2+2*Assumptions!$B$26*(IF(C588&lt;=0,0,MAX(0,(B588/C588)*G588/INDEX(Surface_Engine!$B$12:$B$72,$A588+1)-F588/INDEX(Surface_Engine!$B$12:$B$72,$A588+1))))*(MAX(IF(D588&lt;=0,0,MAX(0,(B588/D588)*H588/INDEX(Surface_Engine!$B$12:$B$72,$A588+1)-F588/INDEX(Surface_Engine!$B$12:$B$72,$A588+1))),IF(E588&lt;=0,0,MAX(0,(B588/E588)*I588/INDEX(Surface_Engine!$B$12:$B$72,$A588+1)-F588/INDEX(Surface_Engine!$B$12:$B$72,$A588+1))),IF($A588&lt;$Q$573,MAX(0,-Assumptions!$B$22*(F588/INDEX(Surface_Engine!$B$12:$B$72,$A588+1))),0)))+2*Assumptions!$B$27*(IF(C588&lt;=0,0,MAX(0,(B588/C588)*G588/INDEX(Surface_Engine!$B$12:$B$72,$A588+1)-F588/INDEX(Surface_Engine!$B$12:$B$72,$A588+1))))*(MAX(0,J588/INDEX(Surface_Engine!$B$12:$B$72,$A588+1)-(F588/INDEX(Surface_Engine!$B$12:$B$72,$A588+1))))+2*Assumptions!$B$28*(MAX(IF(D588&lt;=0,0,MAX(0,(B588/D588)*H588/INDEX(Surface_Engine!$B$12:$B$72,$A588+1)-F588/INDEX(Surface_Engine!$B$12:$B$72,$A588+1))),IF(E588&lt;=0,0,MAX(0,(B588/E588)*I588/INDEX(Surface_Engine!$B$12:$B$72,$A588+1)-F588/INDEX(Surface_Engine!$B$12:$B$72,$A588+1))),IF($A588&lt;$Q$573,MAX(0,-Assumptions!$B$22*(F588/INDEX(Surface_Engine!$B$12:$B$72,$A588+1))),0)))*(MAX(0,J588/INDEX(Surface_Engine!$B$12:$B$72,$A588+1)-(F588/INDEX(Surface_Engine!$B$12:$B$72,$A588+1)))))</f>
        <v>10775.0288366656</v>
      </c>
      <c r="L588" s="48" t="n">
        <f aca="false">K588*INDEX(Surface_Engine!$B$12:$B$72,$A588+1)+L589</f>
        <v>80020.1858713064</v>
      </c>
      <c r="M588" s="48" t="n">
        <f aca="false">M587+B587*(IF($A587&lt;$Q$573,(Surface_Engine!G241*12)-(Surface_Engine!G241*12)*INDEX(Surface_Engine!$F$12:$F$72,$A587+1)-INDEX(Surface_Engine!$D$12:$D$72,$A587+1),-(1000*12*INDEX(Surface_Engine!$C$12:$C$72,$A587+1)/(1+Assumptions!$B$10)^15+INDEX(Surface_Engine!$D$12:$D$72,$A587+1))))*INDEX(Surface_Engine!$B$12:$B$72,$A587+1)</f>
        <v>56027.309679148</v>
      </c>
      <c r="N588" s="12" t="n">
        <f aca="false">IF(B588&lt;=0,0,MAX(0,(K588+Assumptions!$B$29*L588/INDEX(Surface_Engine!$B$12:$B$72,$A588+1)-(M588/INDEX(Surface_Engine!$B$12:$B$72,$A588+1)-(F588/INDEX(Surface_Engine!$B$12:$B$72,$A588+1))))/B588))</f>
        <v>19937.8178581969</v>
      </c>
    </row>
    <row r="589" customFormat="false" ht="15" hidden="false" customHeight="true" outlineLevel="0" collapsed="false">
      <c r="A589" s="1" t="n">
        <v>14</v>
      </c>
      <c r="B589" s="32" t="n">
        <f aca="false">INDEX(Surface_Engine!$L$12:$L$72,$A589+1)*IF($A589&lt;$Q$573,INDEX(Surface_Engine!$E$12:$E$72,$A589+1),INDEX(Surface_Engine!$E$12:$E$72,$Q$573+1))</f>
        <v>0.710568694818408</v>
      </c>
      <c r="C589" s="32" t="n">
        <f aca="false">INDEX(Panel_Reserving!$D$8:$D$68,$A589+1)*IF($A589&lt;$Q$573,INDEX(Surface_Engine!$E$12:$E$72,$A589+1),INDEX(Surface_Engine!$E$12:$E$72,$Q$573+1))</f>
        <v>0.733189510060137</v>
      </c>
      <c r="D589" s="32" t="n">
        <f aca="false">INDEX(Surface_Engine!$L$12:$L$72,$A589+1)*IF($A589&lt;$Q$573,INDEX(Surface_Engine!$Y$12:$Y$72,$A589+1),INDEX(Surface_Engine!$Y$12:$Y$72,$Q$573+1))</f>
        <v>0.646658470711531</v>
      </c>
      <c r="E589" s="32" t="n">
        <f aca="false">INDEX(Surface_Engine!$L$12:$L$72,$A589+1)*IF($A589&lt;$Q$573,INDEX(Surface_Engine!$Z$12:$Z$72,$A589+1),INDEX(Surface_Engine!$Z$12:$Z$72,$Q$573+1))</f>
        <v>0.780095319602169</v>
      </c>
      <c r="F589" s="48" t="n">
        <f aca="false">B589*(IF($A589&lt;$Q$573,INDEX(Surface_Engine!$D$12:$D$72,$A589+1)+(Surface_Engine!G241*12)*INDEX(Surface_Engine!$F$12:$F$72,$A589+1)-(Surface_Engine!G241*12),1000*12*INDEX(Surface_Engine!$C$12:$C$72,$A589+1)/(1+Assumptions!$B$10)^15+INDEX(Surface_Engine!$D$12:$D$72,$A589+1)))*INDEX(Surface_Engine!$B$12:$B$72,$A589+1)+F590</f>
        <v>57040.9913311431</v>
      </c>
      <c r="G589" s="48" t="n">
        <f aca="false">C589*(IF($A589&lt;$Q$573,INDEX(Surface_Engine!$D$12:$D$72,$A589+1)+(Surface_Engine!G241*12)*INDEX(Surface_Engine!$F$12:$F$72,$A589+1)-(Surface_Engine!G241*12),1000*12*INDEX(Surface_Engine!$C$12:$C$72,$A589+1)/(1+Assumptions!$B$10)^15+INDEX(Surface_Engine!$D$12:$D$72,$A589+1)))*INDEX(Surface_Engine!$B$12:$B$72,$A589+1)+G590</f>
        <v>65936.4706576519</v>
      </c>
      <c r="H589" s="48" t="n">
        <f aca="false">D589*(IF($A589&lt;$Q$573,INDEX(Surface_Engine!$D$12:$D$72,$A589+1)+(Surface_Engine!G241*12)*INDEX(Surface_Engine!$F$12:$F$72,$A589+1)-(Surface_Engine!G241*12),1000*12*INDEX(Surface_Engine!$C$12:$C$72,$A589+1)/(1+Assumptions!$B$10)^15+INDEX(Surface_Engine!$D$12:$D$72,$A589+1)))*INDEX(Surface_Engine!$B$12:$B$72,$A589+1)+H590</f>
        <v>51659.6118975617</v>
      </c>
      <c r="I589" s="48" t="n">
        <f aca="false">E589*(IF($A589&lt;$Q$573,INDEX(Surface_Engine!$D$12:$D$72,$A589+1)+(Surface_Engine!G241*12)*INDEX(Surface_Engine!$F$12:$F$72,$A589+1)-(Surface_Engine!G241*12),1000*12*INDEX(Surface_Engine!$C$12:$C$72,$A589+1)/(1+Assumptions!$B$10)^15+INDEX(Surface_Engine!$D$12:$D$72,$A589+1)))*INDEX(Surface_Engine!$B$12:$B$72,$A589+1)+I590</f>
        <v>62925.016940723</v>
      </c>
      <c r="J589" s="48" t="n">
        <f aca="false">B589*(IF($A589&lt;$Q$573,INDEX(Surface_Engine!$D$12:$D$72,$A589+1)*(1+Assumptions!$B$24)+(Surface_Engine!G241*12)*INDEX(Surface_Engine!$F$12:$F$72,$A589+1)-(Surface_Engine!G241*12),1000*12*INDEX(Surface_Engine!$C$12:$C$72,$A589+1)/(1+Assumptions!$B$10)^15+INDEX(Surface_Engine!$D$12:$D$72,$A589+1)*(1+Assumptions!$B$24)))*INDEX(Surface_Engine!$B$12:$B$72,$A589+1)+J590</f>
        <v>57107.3181792744</v>
      </c>
      <c r="K589" s="12" t="n">
        <f aca="false">SQRT((IF(C589&lt;=0,0,MAX(0,(B589/C589)*G589/INDEX(Surface_Engine!$B$12:$B$72,$A589+1)-F589/INDEX(Surface_Engine!$B$12:$B$72,$A589+1))))^2+(MAX(IF(D589&lt;=0,0,MAX(0,(B589/D589)*H589/INDEX(Surface_Engine!$B$12:$B$72,$A589+1)-F589/INDEX(Surface_Engine!$B$12:$B$72,$A589+1))),IF(E589&lt;=0,0,MAX(0,(B589/E589)*I589/INDEX(Surface_Engine!$B$12:$B$72,$A589+1)-F589/INDEX(Surface_Engine!$B$12:$B$72,$A589+1))),IF($A589&lt;$Q$573,MAX(0,-Assumptions!$B$22*(F589/INDEX(Surface_Engine!$B$12:$B$72,$A589+1))),0)))^2+(MAX(0,J589/INDEX(Surface_Engine!$B$12:$B$72,$A589+1)-(F589/INDEX(Surface_Engine!$B$12:$B$72,$A589+1))))^2+2*Assumptions!$B$26*(IF(C589&lt;=0,0,MAX(0,(B589/C589)*G589/INDEX(Surface_Engine!$B$12:$B$72,$A589+1)-F589/INDEX(Surface_Engine!$B$12:$B$72,$A589+1))))*(MAX(IF(D589&lt;=0,0,MAX(0,(B589/D589)*H589/INDEX(Surface_Engine!$B$12:$B$72,$A589+1)-F589/INDEX(Surface_Engine!$B$12:$B$72,$A589+1))),IF(E589&lt;=0,0,MAX(0,(B589/E589)*I589/INDEX(Surface_Engine!$B$12:$B$72,$A589+1)-F589/INDEX(Surface_Engine!$B$12:$B$72,$A589+1))),IF($A589&lt;$Q$573,MAX(0,-Assumptions!$B$22*(F589/INDEX(Surface_Engine!$B$12:$B$72,$A589+1))),0)))+2*Assumptions!$B$27*(IF(C589&lt;=0,0,MAX(0,(B589/C589)*G589/INDEX(Surface_Engine!$B$12:$B$72,$A589+1)-F589/INDEX(Surface_Engine!$B$12:$B$72,$A589+1))))*(MAX(0,J589/INDEX(Surface_Engine!$B$12:$B$72,$A589+1)-(F589/INDEX(Surface_Engine!$B$12:$B$72,$A589+1))))+2*Assumptions!$B$28*(MAX(IF(D589&lt;=0,0,MAX(0,(B589/D589)*H589/INDEX(Surface_Engine!$B$12:$B$72,$A589+1)-F589/INDEX(Surface_Engine!$B$12:$B$72,$A589+1))),IF(E589&lt;=0,0,MAX(0,(B589/E589)*I589/INDEX(Surface_Engine!$B$12:$B$72,$A589+1)-F589/INDEX(Surface_Engine!$B$12:$B$72,$A589+1))),IF($A589&lt;$Q$573,MAX(0,-Assumptions!$B$22*(F589/INDEX(Surface_Engine!$B$12:$B$72,$A589+1))),0)))*(MAX(0,J589/INDEX(Surface_Engine!$B$12:$B$72,$A589+1)-(F589/INDEX(Surface_Engine!$B$12:$B$72,$A589+1)))))</f>
        <v>10607.8686017534</v>
      </c>
      <c r="L589" s="48" t="n">
        <f aca="false">K589*INDEX(Surface_Engine!$B$12:$B$72,$A589+1)+L590</f>
        <v>72713.4072055765</v>
      </c>
      <c r="M589" s="48" t="n">
        <f aca="false">M588+B588*(IF($A588&lt;$Q$573,(Surface_Engine!G241*12)-(Surface_Engine!G241*12)*INDEX(Surface_Engine!$F$12:$F$72,$A588+1)-INDEX(Surface_Engine!$D$12:$D$72,$A588+1),-(1000*12*INDEX(Surface_Engine!$C$12:$C$72,$A588+1)/(1+Assumptions!$B$10)^15+INDEX(Surface_Engine!$D$12:$D$72,$A588+1))))*INDEX(Surface_Engine!$B$12:$B$72,$A588+1)</f>
        <v>59247.6682124843</v>
      </c>
      <c r="N589" s="12" t="n">
        <f aca="false">IF(B589&lt;=0,0,MAX(0,(K589+Assumptions!$B$29*L589/INDEX(Surface_Engine!$B$12:$B$72,$A589+1)-(M589/INDEX(Surface_Engine!$B$12:$B$72,$A589+1)-(F589/INDEX(Surface_Engine!$B$12:$B$72,$A589+1))))/B589))</f>
        <v>19557.9168585179</v>
      </c>
    </row>
    <row r="590" customFormat="false" ht="15" hidden="false" customHeight="true" outlineLevel="0" collapsed="false">
      <c r="A590" s="1" t="n">
        <v>15</v>
      </c>
      <c r="B590" s="32" t="n">
        <f aca="false">INDEX(Surface_Engine!$L$12:$L$72,$A590+1)*IF($A590&lt;$Q$573,INDEX(Surface_Engine!$E$12:$E$72,$A590+1),INDEX(Surface_Engine!$E$12:$E$72,$Q$573+1))</f>
        <v>0.687680981645694</v>
      </c>
      <c r="C590" s="32" t="n">
        <f aca="false">INDEX(Panel_Reserving!$D$8:$D$68,$A590+1)*IF($A590&lt;$Q$573,INDEX(Surface_Engine!$E$12:$E$72,$A590+1),INDEX(Surface_Engine!$E$12:$E$72,$Q$573+1))</f>
        <v>0.712962033920438</v>
      </c>
      <c r="D590" s="32" t="n">
        <f aca="false">INDEX(Surface_Engine!$L$12:$L$72,$A590+1)*IF($A590&lt;$Q$573,INDEX(Surface_Engine!$Y$12:$Y$72,$A590+1),INDEX(Surface_Engine!$Y$12:$Y$72,$Q$573+1))</f>
        <v>0.622955658541371</v>
      </c>
      <c r="E590" s="32" t="n">
        <f aca="false">INDEX(Surface_Engine!$L$12:$L$72,$A590+1)*IF($A590&lt;$Q$573,INDEX(Surface_Engine!$Z$12:$Z$72,$A590+1),INDEX(Surface_Engine!$Z$12:$Z$72,$Q$573+1))</f>
        <v>0.758434776427366</v>
      </c>
      <c r="F590" s="48" t="n">
        <f aca="false">B590*(IF($A590&lt;$Q$573,INDEX(Surface_Engine!$D$12:$D$72,$A590+1)+(Surface_Engine!G241*12)*INDEX(Surface_Engine!$F$12:$F$72,$A590+1)-(Surface_Engine!G241*12),1000*12*INDEX(Surface_Engine!$C$12:$C$72,$A590+1)/(1+Assumptions!$B$10)^15+INDEX(Surface_Engine!$D$12:$D$72,$A590+1)))*INDEX(Surface_Engine!$B$12:$B$72,$A590+1)+F591</f>
        <v>60060.0177450646</v>
      </c>
      <c r="G590" s="48" t="n">
        <f aca="false">C590*(IF($A590&lt;$Q$573,INDEX(Surface_Engine!$D$12:$D$72,$A590+1)+(Surface_Engine!G241*12)*INDEX(Surface_Engine!$F$12:$F$72,$A590+1)-(Surface_Engine!G241*12),1000*12*INDEX(Surface_Engine!$C$12:$C$72,$A590+1)/(1+Assumptions!$B$10)^15+INDEX(Surface_Engine!$D$12:$D$72,$A590+1)))*INDEX(Surface_Engine!$B$12:$B$72,$A590+1)+G591</f>
        <v>69051.6071862143</v>
      </c>
      <c r="H590" s="48" t="n">
        <f aca="false">D590*(IF($A590&lt;$Q$573,INDEX(Surface_Engine!$D$12:$D$72,$A590+1)+(Surface_Engine!G241*12)*INDEX(Surface_Engine!$F$12:$F$72,$A590+1)-(Surface_Engine!G241*12),1000*12*INDEX(Surface_Engine!$C$12:$C$72,$A590+1)/(1+Assumptions!$B$10)^15+INDEX(Surface_Engine!$D$12:$D$72,$A590+1)))*INDEX(Surface_Engine!$B$12:$B$72,$A590+1)+H591</f>
        <v>54407.0999562119</v>
      </c>
      <c r="I590" s="48" t="n">
        <f aca="false">E590*(IF($A590&lt;$Q$573,INDEX(Surface_Engine!$D$12:$D$72,$A590+1)+(Surface_Engine!G241*12)*INDEX(Surface_Engine!$F$12:$F$72,$A590+1)-(Surface_Engine!G241*12),1000*12*INDEX(Surface_Engine!$C$12:$C$72,$A590+1)/(1+Assumptions!$B$10)^15+INDEX(Surface_Engine!$D$12:$D$72,$A590+1)))*INDEX(Surface_Engine!$B$12:$B$72,$A590+1)+I591</f>
        <v>66239.4443738896</v>
      </c>
      <c r="J590" s="48" t="n">
        <f aca="false">B590*(IF($A590&lt;$Q$573,INDEX(Surface_Engine!$D$12:$D$72,$A590+1)*(1+Assumptions!$B$24)+(Surface_Engine!G241*12)*INDEX(Surface_Engine!$F$12:$F$72,$A590+1)-(Surface_Engine!G241*12),1000*12*INDEX(Surface_Engine!$C$12:$C$72,$A590+1)/(1+Assumptions!$B$10)^15+INDEX(Surface_Engine!$D$12:$D$72,$A590+1)*(1+Assumptions!$B$24)))*INDEX(Surface_Engine!$B$12:$B$72,$A590+1)+J591</f>
        <v>60120.9480566946</v>
      </c>
      <c r="K590" s="12" t="n">
        <f aca="false">SQRT((IF(C590&lt;=0,0,MAX(0,(B590/C590)*G590/INDEX(Surface_Engine!$B$12:$B$72,$A590+1)-F590/INDEX(Surface_Engine!$B$12:$B$72,$A590+1))))^2+(MAX(IF(D590&lt;=0,0,MAX(0,(B590/D590)*H590/INDEX(Surface_Engine!$B$12:$B$72,$A590+1)-F590/INDEX(Surface_Engine!$B$12:$B$72,$A590+1))),IF(E590&lt;=0,0,MAX(0,(B590/E590)*I590/INDEX(Surface_Engine!$B$12:$B$72,$A590+1)-F590/INDEX(Surface_Engine!$B$12:$B$72,$A590+1))),IF($A590&lt;$Q$573,MAX(0,-Assumptions!$B$22*(F590/INDEX(Surface_Engine!$B$12:$B$72,$A590+1))),0)))^2+(MAX(0,J590/INDEX(Surface_Engine!$B$12:$B$72,$A590+1)-(F590/INDEX(Surface_Engine!$B$12:$B$72,$A590+1))))^2+2*Assumptions!$B$26*(IF(C590&lt;=0,0,MAX(0,(B590/C590)*G590/INDEX(Surface_Engine!$B$12:$B$72,$A590+1)-F590/INDEX(Surface_Engine!$B$12:$B$72,$A590+1))))*(MAX(IF(D590&lt;=0,0,MAX(0,(B590/D590)*H590/INDEX(Surface_Engine!$B$12:$B$72,$A590+1)-F590/INDEX(Surface_Engine!$B$12:$B$72,$A590+1))),IF(E590&lt;=0,0,MAX(0,(B590/E590)*I590/INDEX(Surface_Engine!$B$12:$B$72,$A590+1)-F590/INDEX(Surface_Engine!$B$12:$B$72,$A590+1))),IF($A590&lt;$Q$573,MAX(0,-Assumptions!$B$22*(F590/INDEX(Surface_Engine!$B$12:$B$72,$A590+1))),0)))+2*Assumptions!$B$27*(IF(C590&lt;=0,0,MAX(0,(B590/C590)*G590/INDEX(Surface_Engine!$B$12:$B$72,$A590+1)-F590/INDEX(Surface_Engine!$B$12:$B$72,$A590+1))))*(MAX(0,J590/INDEX(Surface_Engine!$B$12:$B$72,$A590+1)-(F590/INDEX(Surface_Engine!$B$12:$B$72,$A590+1))))+2*Assumptions!$B$28*(MAX(IF(D590&lt;=0,0,MAX(0,(B590/D590)*H590/INDEX(Surface_Engine!$B$12:$B$72,$A590+1)-F590/INDEX(Surface_Engine!$B$12:$B$72,$A590+1))),IF(E590&lt;=0,0,MAX(0,(B590/E590)*I590/INDEX(Surface_Engine!$B$12:$B$72,$A590+1)-F590/INDEX(Surface_Engine!$B$12:$B$72,$A590+1))),IF($A590&lt;$Q$573,MAX(0,-Assumptions!$B$22*(F590/INDEX(Surface_Engine!$B$12:$B$72,$A590+1))),0)))*(MAX(0,J590/INDEX(Surface_Engine!$B$12:$B$72,$A590+1)-(F590/INDEX(Surface_Engine!$B$12:$B$72,$A590+1)))))</f>
        <v>10378.430094213</v>
      </c>
      <c r="L590" s="48" t="n">
        <f aca="false">K590*INDEX(Surface_Engine!$B$12:$B$72,$A590+1)+L591</f>
        <v>65760.1353024549</v>
      </c>
      <c r="M590" s="48" t="n">
        <f aca="false">M589+B589*(IF($A589&lt;$Q$573,(Surface_Engine!G241*12)-(Surface_Engine!G241*12)*INDEX(Surface_Engine!$F$12:$F$72,$A589+1)-INDEX(Surface_Engine!$D$12:$D$72,$A589+1),-(1000*12*INDEX(Surface_Engine!$C$12:$C$72,$A589+1)/(1+Assumptions!$B$10)^15+INDEX(Surface_Engine!$D$12:$D$72,$A589+1))))*INDEX(Surface_Engine!$B$12:$B$72,$A589+1)</f>
        <v>62266.6946264058</v>
      </c>
      <c r="N590" s="12" t="n">
        <f aca="false">IF(B590&lt;=0,0,MAX(0,(K590+Assumptions!$B$29*L590/INDEX(Surface_Engine!$B$12:$B$72,$A590+1)-(M590/INDEX(Surface_Engine!$B$12:$B$72,$A590+1)-(F590/INDEX(Surface_Engine!$B$12:$B$72,$A590+1))))/B590))</f>
        <v>19093.3778505603</v>
      </c>
    </row>
    <row r="591" customFormat="false" ht="15" hidden="false" customHeight="true" outlineLevel="0" collapsed="false">
      <c r="A591" s="1" t="n">
        <v>16</v>
      </c>
      <c r="B591" s="32" t="n">
        <f aca="false">INDEX(Surface_Engine!$L$12:$L$72,$A591+1)*IF($A591&lt;$Q$573,INDEX(Surface_Engine!$E$12:$E$72,$A591+1),INDEX(Surface_Engine!$E$12:$E$72,$Q$573+1))</f>
        <v>0.669076087760706</v>
      </c>
      <c r="C591" s="32" t="n">
        <f aca="false">INDEX(Panel_Reserving!$D$8:$D$68,$A591+1)*IF($A591&lt;$Q$573,INDEX(Surface_Engine!$E$12:$E$72,$A591+1),INDEX(Surface_Engine!$E$12:$E$72,$Q$573+1))</f>
        <v>0.697530944983389</v>
      </c>
      <c r="D591" s="32" t="n">
        <f aca="false">INDEX(Surface_Engine!$L$12:$L$72,$A591+1)*IF($A591&lt;$Q$573,INDEX(Surface_Engine!$Y$12:$Y$72,$A591+1),INDEX(Surface_Engine!$Y$12:$Y$72,$Q$573+1))</f>
        <v>0.606101878617897</v>
      </c>
      <c r="E591" s="32" t="n">
        <f aca="false">INDEX(Surface_Engine!$L$12:$L$72,$A591+1)*IF($A591&lt;$Q$573,INDEX(Surface_Engine!$Z$12:$Z$72,$A591+1),INDEX(Surface_Engine!$Z$12:$Z$72,$Q$573+1))</f>
        <v>0.737915671041686</v>
      </c>
      <c r="F591" s="48" t="n">
        <f aca="false">B591*(IF($A591&lt;$Q$573,INDEX(Surface_Engine!$D$12:$D$72,$A591+1)+(Surface_Engine!G241*12)*INDEX(Surface_Engine!$F$12:$F$72,$A591+1)-(Surface_Engine!G241*12),1000*12*INDEX(Surface_Engine!$C$12:$C$72,$A591+1)/(1+Assumptions!$B$10)^15+INDEX(Surface_Engine!$D$12:$D$72,$A591+1)))*INDEX(Surface_Engine!$B$12:$B$72,$A591+1)+F592</f>
        <v>54793.5072685618</v>
      </c>
      <c r="G591" s="48" t="n">
        <f aca="false">C591*(IF($A591&lt;$Q$573,INDEX(Surface_Engine!$D$12:$D$72,$A591+1)+(Surface_Engine!G241*12)*INDEX(Surface_Engine!$F$12:$F$72,$A591+1)-(Surface_Engine!G241*12),1000*12*INDEX(Surface_Engine!$C$12:$C$72,$A591+1)/(1+Assumptions!$B$10)^15+INDEX(Surface_Engine!$D$12:$D$72,$A591+1)))*INDEX(Surface_Engine!$B$12:$B$72,$A591+1)+G592</f>
        <v>63591.4852383817</v>
      </c>
      <c r="H591" s="48" t="n">
        <f aca="false">D591*(IF($A591&lt;$Q$573,INDEX(Surface_Engine!$D$12:$D$72,$A591+1)+(Surface_Engine!G241*12)*INDEX(Surface_Engine!$F$12:$F$72,$A591+1)-(Surface_Engine!G241*12),1000*12*INDEX(Surface_Engine!$C$12:$C$72,$A591+1)/(1+Assumptions!$B$10)^15+INDEX(Surface_Engine!$D$12:$D$72,$A591+1)))*INDEX(Surface_Engine!$B$12:$B$72,$A591+1)+H592</f>
        <v>49636.2794890622</v>
      </c>
      <c r="I591" s="48" t="n">
        <f aca="false">E591*(IF($A591&lt;$Q$573,INDEX(Surface_Engine!$D$12:$D$72,$A591+1)+(Surface_Engine!G241*12)*INDEX(Surface_Engine!$F$12:$F$72,$A591+1)-(Surface_Engine!G241*12),1000*12*INDEX(Surface_Engine!$C$12:$C$72,$A591+1)/(1+Assumptions!$B$10)^15+INDEX(Surface_Engine!$D$12:$D$72,$A591+1)))*INDEX(Surface_Engine!$B$12:$B$72,$A591+1)+I592</f>
        <v>60431.0756645499</v>
      </c>
      <c r="J591" s="48" t="n">
        <f aca="false">B591*(IF($A591&lt;$Q$573,INDEX(Surface_Engine!$D$12:$D$72,$A591+1)*(1+Assumptions!$B$24)+(Surface_Engine!G241*12)*INDEX(Surface_Engine!$F$12:$F$72,$A591+1)-(Surface_Engine!G241*12),1000*12*INDEX(Surface_Engine!$C$12:$C$72,$A591+1)/(1+Assumptions!$B$10)^15+INDEX(Surface_Engine!$D$12:$D$72,$A591+1)*(1+Assumptions!$B$24)))*INDEX(Surface_Engine!$B$12:$B$72,$A591+1)+J592</f>
        <v>54849.2765478</v>
      </c>
      <c r="K591" s="12" t="n">
        <f aca="false">SQRT((IF(C591&lt;=0,0,MAX(0,(B591/C591)*G591/INDEX(Surface_Engine!$B$12:$B$72,$A591+1)-F591/INDEX(Surface_Engine!$B$12:$B$72,$A591+1))))^2+(MAX(IF(D591&lt;=0,0,MAX(0,(B591/D591)*H591/INDEX(Surface_Engine!$B$12:$B$72,$A591+1)-F591/INDEX(Surface_Engine!$B$12:$B$72,$A591+1))),IF(E591&lt;=0,0,MAX(0,(B591/E591)*I591/INDEX(Surface_Engine!$B$12:$B$72,$A591+1)-F591/INDEX(Surface_Engine!$B$12:$B$72,$A591+1))),IF($A591&lt;$Q$573,MAX(0,-Assumptions!$B$22*(F591/INDEX(Surface_Engine!$B$12:$B$72,$A591+1))),0)))^2+(MAX(0,J591/INDEX(Surface_Engine!$B$12:$B$72,$A591+1)-(F591/INDEX(Surface_Engine!$B$12:$B$72,$A591+1))))^2+2*Assumptions!$B$26*(IF(C591&lt;=0,0,MAX(0,(B591/C591)*G591/INDEX(Surface_Engine!$B$12:$B$72,$A591+1)-F591/INDEX(Surface_Engine!$B$12:$B$72,$A591+1))))*(MAX(IF(D591&lt;=0,0,MAX(0,(B591/D591)*H591/INDEX(Surface_Engine!$B$12:$B$72,$A591+1)-F591/INDEX(Surface_Engine!$B$12:$B$72,$A591+1))),IF(E591&lt;=0,0,MAX(0,(B591/E591)*I591/INDEX(Surface_Engine!$B$12:$B$72,$A591+1)-F591/INDEX(Surface_Engine!$B$12:$B$72,$A591+1))),IF($A591&lt;$Q$573,MAX(0,-Assumptions!$B$22*(F591/INDEX(Surface_Engine!$B$12:$B$72,$A591+1))),0)))+2*Assumptions!$B$27*(IF(C591&lt;=0,0,MAX(0,(B591/C591)*G591/INDEX(Surface_Engine!$B$12:$B$72,$A591+1)-F591/INDEX(Surface_Engine!$B$12:$B$72,$A591+1))))*(MAX(0,J591/INDEX(Surface_Engine!$B$12:$B$72,$A591+1)-(F591/INDEX(Surface_Engine!$B$12:$B$72,$A591+1))))+2*Assumptions!$B$28*(MAX(IF(D591&lt;=0,0,MAX(0,(B591/D591)*H591/INDEX(Surface_Engine!$B$12:$B$72,$A591+1)-F591/INDEX(Surface_Engine!$B$12:$B$72,$A591+1))),IF(E591&lt;=0,0,MAX(0,(B591/E591)*I591/INDEX(Surface_Engine!$B$12:$B$72,$A591+1)-F591/INDEX(Surface_Engine!$B$12:$B$72,$A591+1))),IF($A591&lt;$Q$573,MAX(0,-Assumptions!$B$22*(F591/INDEX(Surface_Engine!$B$12:$B$72,$A591+1))),0)))*(MAX(0,J591/INDEX(Surface_Engine!$B$12:$B$72,$A591+1)-(F591/INDEX(Surface_Engine!$B$12:$B$72,$A591+1)))))</f>
        <v>10195.7467556589</v>
      </c>
      <c r="L591" s="48" t="n">
        <f aca="false">K591*INDEX(Surface_Engine!$B$12:$B$72,$A591+1)+L592</f>
        <v>59201.5616170737</v>
      </c>
      <c r="M591" s="48" t="n">
        <f aca="false">M590+B590*(IF($A590&lt;$Q$573,(Surface_Engine!G241*12)-(Surface_Engine!G241*12)*INDEX(Surface_Engine!$F$12:$F$72,$A590+1)-INDEX(Surface_Engine!$D$12:$D$72,$A590+1),-(1000*12*INDEX(Surface_Engine!$C$12:$C$72,$A590+1)/(1+Assumptions!$B$10)^15+INDEX(Surface_Engine!$D$12:$D$72,$A590+1))))*INDEX(Surface_Engine!$B$12:$B$72,$A590+1)</f>
        <v>57000.184149903</v>
      </c>
      <c r="N591" s="12" t="n">
        <f aca="false">IF(B591&lt;=0,0,MAX(0,(K591+Assumptions!$B$29*L591/INDEX(Surface_Engine!$B$12:$B$72,$A591+1)-(M591/INDEX(Surface_Engine!$B$12:$B$72,$A591+1)-(F591/INDEX(Surface_Engine!$B$12:$B$72,$A591+1))))/B591))</f>
        <v>18535.7666162711</v>
      </c>
    </row>
    <row r="592" customFormat="false" ht="15" hidden="false" customHeight="true" outlineLevel="0" collapsed="false">
      <c r="A592" s="1" t="n">
        <v>17</v>
      </c>
      <c r="B592" s="32" t="n">
        <f aca="false">INDEX(Surface_Engine!$L$12:$L$72,$A592+1)*IF($A592&lt;$Q$573,INDEX(Surface_Engine!$E$12:$E$72,$A592+1),INDEX(Surface_Engine!$E$12:$E$72,$Q$573+1))</f>
        <v>0.648760986342386</v>
      </c>
      <c r="C592" s="32" t="n">
        <f aca="false">INDEX(Panel_Reserving!$D$8:$D$68,$A592+1)*IF($A592&lt;$Q$573,INDEX(Surface_Engine!$E$12:$E$72,$A592+1),INDEX(Surface_Engine!$E$12:$E$72,$Q$573+1))</f>
        <v>0.680587685884496</v>
      </c>
      <c r="D592" s="32" t="n">
        <f aca="false">INDEX(Surface_Engine!$L$12:$L$72,$A592+1)*IF($A592&lt;$Q$573,INDEX(Surface_Engine!$Y$12:$Y$72,$A592+1),INDEX(Surface_Engine!$Y$12:$Y$72,$Q$573+1))</f>
        <v>0.587698857856587</v>
      </c>
      <c r="E592" s="32" t="n">
        <f aca="false">INDEX(Surface_Engine!$L$12:$L$72,$A592+1)*IF($A592&lt;$Q$573,INDEX(Surface_Engine!$Z$12:$Z$72,$A592+1),INDEX(Surface_Engine!$Z$12:$Z$72,$Q$573+1))</f>
        <v>0.715510399100865</v>
      </c>
      <c r="F592" s="48" t="n">
        <f aca="false">B592*(IF($A592&lt;$Q$573,INDEX(Surface_Engine!$D$12:$D$72,$A592+1)+(Surface_Engine!G241*12)*INDEX(Surface_Engine!$F$12:$F$72,$A592+1)-(Surface_Engine!G241*12),1000*12*INDEX(Surface_Engine!$C$12:$C$72,$A592+1)/(1+Assumptions!$B$10)^15+INDEX(Surface_Engine!$D$12:$D$72,$A592+1)))*INDEX(Surface_Engine!$B$12:$B$72,$A592+1)+F593</f>
        <v>49749.3562289718</v>
      </c>
      <c r="G592" s="48" t="n">
        <f aca="false">C592*(IF($A592&lt;$Q$573,INDEX(Surface_Engine!$D$12:$D$72,$A592+1)+(Surface_Engine!G241*12)*INDEX(Surface_Engine!$F$12:$F$72,$A592+1)-(Surface_Engine!G241*12),1000*12*INDEX(Surface_Engine!$C$12:$C$72,$A592+1)/(1+Assumptions!$B$10)^15+INDEX(Surface_Engine!$D$12:$D$72,$A592+1)))*INDEX(Surface_Engine!$B$12:$B$72,$A592+1)+G593</f>
        <v>58332.8136079848</v>
      </c>
      <c r="H592" s="48" t="n">
        <f aca="false">D592*(IF($A592&lt;$Q$573,INDEX(Surface_Engine!$D$12:$D$72,$A592+1)+(Surface_Engine!G241*12)*INDEX(Surface_Engine!$F$12:$F$72,$A592+1)-(Surface_Engine!G241*12),1000*12*INDEX(Surface_Engine!$C$12:$C$72,$A592+1)/(1+Assumptions!$B$10)^15+INDEX(Surface_Engine!$D$12:$D$72,$A592+1)))*INDEX(Surface_Engine!$B$12:$B$72,$A592+1)+H593</f>
        <v>45066.8897334664</v>
      </c>
      <c r="I592" s="48" t="n">
        <f aca="false">E592*(IF($A592&lt;$Q$573,INDEX(Surface_Engine!$D$12:$D$72,$A592+1)+(Surface_Engine!G241*12)*INDEX(Surface_Engine!$F$12:$F$72,$A592+1)-(Surface_Engine!G241*12),1000*12*INDEX(Surface_Engine!$C$12:$C$72,$A592+1)/(1+Assumptions!$B$10)^15+INDEX(Surface_Engine!$D$12:$D$72,$A592+1)))*INDEX(Surface_Engine!$B$12:$B$72,$A592+1)+I593</f>
        <v>54867.9444044385</v>
      </c>
      <c r="J592" s="48" t="n">
        <f aca="false">B592*(IF($A592&lt;$Q$573,INDEX(Surface_Engine!$D$12:$D$72,$A592+1)*(1+Assumptions!$B$24)+(Surface_Engine!G241*12)*INDEX(Surface_Engine!$F$12:$F$72,$A592+1)-(Surface_Engine!G241*12),1000*12*INDEX(Surface_Engine!$C$12:$C$72,$A592+1)/(1+Assumptions!$B$10)^15+INDEX(Surface_Engine!$D$12:$D$72,$A592+1)*(1+Assumptions!$B$24)))*INDEX(Surface_Engine!$B$12:$B$72,$A592+1)+J593</f>
        <v>49800.1583894208</v>
      </c>
      <c r="K592" s="12" t="n">
        <f aca="false">SQRT((IF(C592&lt;=0,0,MAX(0,(B592/C592)*G592/INDEX(Surface_Engine!$B$12:$B$72,$A592+1)-F592/INDEX(Surface_Engine!$B$12:$B$72,$A592+1))))^2+(MAX(IF(D592&lt;=0,0,MAX(0,(B592/D592)*H592/INDEX(Surface_Engine!$B$12:$B$72,$A592+1)-F592/INDEX(Surface_Engine!$B$12:$B$72,$A592+1))),IF(E592&lt;=0,0,MAX(0,(B592/E592)*I592/INDEX(Surface_Engine!$B$12:$B$72,$A592+1)-F592/INDEX(Surface_Engine!$B$12:$B$72,$A592+1))),IF($A592&lt;$Q$573,MAX(0,-Assumptions!$B$22*(F592/INDEX(Surface_Engine!$B$12:$B$72,$A592+1))),0)))^2+(MAX(0,J592/INDEX(Surface_Engine!$B$12:$B$72,$A592+1)-(F592/INDEX(Surface_Engine!$B$12:$B$72,$A592+1))))^2+2*Assumptions!$B$26*(IF(C592&lt;=0,0,MAX(0,(B592/C592)*G592/INDEX(Surface_Engine!$B$12:$B$72,$A592+1)-F592/INDEX(Surface_Engine!$B$12:$B$72,$A592+1))))*(MAX(IF(D592&lt;=0,0,MAX(0,(B592/D592)*H592/INDEX(Surface_Engine!$B$12:$B$72,$A592+1)-F592/INDEX(Surface_Engine!$B$12:$B$72,$A592+1))),IF(E592&lt;=0,0,MAX(0,(B592/E592)*I592/INDEX(Surface_Engine!$B$12:$B$72,$A592+1)-F592/INDEX(Surface_Engine!$B$12:$B$72,$A592+1))),IF($A592&lt;$Q$573,MAX(0,-Assumptions!$B$22*(F592/INDEX(Surface_Engine!$B$12:$B$72,$A592+1))),0)))+2*Assumptions!$B$27*(IF(C592&lt;=0,0,MAX(0,(B592/C592)*G592/INDEX(Surface_Engine!$B$12:$B$72,$A592+1)-F592/INDEX(Surface_Engine!$B$12:$B$72,$A592+1))))*(MAX(0,J592/INDEX(Surface_Engine!$B$12:$B$72,$A592+1)-(F592/INDEX(Surface_Engine!$B$12:$B$72,$A592+1))))+2*Assumptions!$B$28*(MAX(IF(D592&lt;=0,0,MAX(0,(B592/D592)*H592/INDEX(Surface_Engine!$B$12:$B$72,$A592+1)-F592/INDEX(Surface_Engine!$B$12:$B$72,$A592+1))),IF(E592&lt;=0,0,MAX(0,(B592/E592)*I592/INDEX(Surface_Engine!$B$12:$B$72,$A592+1)-F592/INDEX(Surface_Engine!$B$12:$B$72,$A592+1))),IF($A592&lt;$Q$573,MAX(0,-Assumptions!$B$22*(F592/INDEX(Surface_Engine!$B$12:$B$72,$A592+1))),0)))*(MAX(0,J592/INDEX(Surface_Engine!$B$12:$B$72,$A592+1)-(F592/INDEX(Surface_Engine!$B$12:$B$72,$A592+1)))))</f>
        <v>9952.55439449691</v>
      </c>
      <c r="L592" s="48" t="n">
        <f aca="false">K592*INDEX(Surface_Engine!$B$12:$B$72,$A592+1)+L593</f>
        <v>52983.5378362906</v>
      </c>
      <c r="M592" s="48" t="n">
        <f aca="false">M591+B591*(IF($A591&lt;$Q$573,(Surface_Engine!G241*12)-(Surface_Engine!G241*12)*INDEX(Surface_Engine!$F$12:$F$72,$A591+1)-INDEX(Surface_Engine!$D$12:$D$72,$A591+1),-(1000*12*INDEX(Surface_Engine!$C$12:$C$72,$A591+1)/(1+Assumptions!$B$10)^15+INDEX(Surface_Engine!$D$12:$D$72,$A591+1))))*INDEX(Surface_Engine!$B$12:$B$72,$A591+1)</f>
        <v>51956.033110313</v>
      </c>
      <c r="N592" s="12" t="n">
        <f aca="false">IF(B592&lt;=0,0,MAX(0,(K592+Assumptions!$B$29*L592/INDEX(Surface_Engine!$B$12:$B$72,$A592+1)-(M592/INDEX(Surface_Engine!$B$12:$B$72,$A592+1)-(F592/INDEX(Surface_Engine!$B$12:$B$72,$A592+1))))/B592))</f>
        <v>17882.6433353387</v>
      </c>
    </row>
    <row r="593" customFormat="false" ht="15" hidden="false" customHeight="true" outlineLevel="0" collapsed="false">
      <c r="A593" s="1" t="n">
        <v>18</v>
      </c>
      <c r="B593" s="32" t="n">
        <f aca="false">INDEX(Surface_Engine!$L$12:$L$72,$A593+1)*IF($A593&lt;$Q$573,INDEX(Surface_Engine!$E$12:$E$72,$A593+1),INDEX(Surface_Engine!$E$12:$E$72,$Q$573+1))</f>
        <v>0.626650275234803</v>
      </c>
      <c r="C593" s="32" t="n">
        <f aca="false">INDEX(Panel_Reserving!$D$8:$D$68,$A593+1)*IF($A593&lt;$Q$573,INDEX(Surface_Engine!$E$12:$E$72,$A593+1),INDEX(Surface_Engine!$E$12:$E$72,$Q$573+1))</f>
        <v>0.662031357100535</v>
      </c>
      <c r="D593" s="32" t="n">
        <f aca="false">INDEX(Surface_Engine!$L$12:$L$72,$A593+1)*IF($A593&lt;$Q$573,INDEX(Surface_Engine!$Y$12:$Y$72,$A593+1),INDEX(Surface_Engine!$Y$12:$Y$72,$Q$573+1))</f>
        <v>0.567669232250423</v>
      </c>
      <c r="E593" s="32" t="n">
        <f aca="false">INDEX(Surface_Engine!$L$12:$L$72,$A593+1)*IF($A593&lt;$Q$573,INDEX(Surface_Engine!$Z$12:$Z$72,$A593+1),INDEX(Surface_Engine!$Z$12:$Z$72,$Q$573+1))</f>
        <v>0.691124771632444</v>
      </c>
      <c r="F593" s="48" t="n">
        <f aca="false">B593*(IF($A593&lt;$Q$573,INDEX(Surface_Engine!$D$12:$D$72,$A593+1)+(Surface_Engine!G241*12)*INDEX(Surface_Engine!$F$12:$F$72,$A593+1)-(Surface_Engine!G241*12),1000*12*INDEX(Surface_Engine!$C$12:$C$72,$A593+1)/(1+Assumptions!$B$10)^15+INDEX(Surface_Engine!$D$12:$D$72,$A593+1)))*INDEX(Surface_Engine!$B$12:$B$72,$A593+1)+F594</f>
        <v>44925.6738232989</v>
      </c>
      <c r="G593" s="48" t="n">
        <f aca="false">C593*(IF($A593&lt;$Q$573,INDEX(Surface_Engine!$D$12:$D$72,$A593+1)+(Surface_Engine!G241*12)*INDEX(Surface_Engine!$F$12:$F$72,$A593+1)-(Surface_Engine!G241*12),1000*12*INDEX(Surface_Engine!$C$12:$C$72,$A593+1)/(1+Assumptions!$B$10)^15+INDEX(Surface_Engine!$D$12:$D$72,$A593+1)))*INDEX(Surface_Engine!$B$12:$B$72,$A593+1)+G594</f>
        <v>53272.4926037465</v>
      </c>
      <c r="H593" s="48" t="n">
        <f aca="false">D593*(IF($A593&lt;$Q$573,INDEX(Surface_Engine!$D$12:$D$72,$A593+1)+(Surface_Engine!G241*12)*INDEX(Surface_Engine!$F$12:$F$72,$A593+1)-(Surface_Engine!G241*12),1000*12*INDEX(Surface_Engine!$C$12:$C$72,$A593+1)/(1+Assumptions!$B$10)^15+INDEX(Surface_Engine!$D$12:$D$72,$A593+1)))*INDEX(Surface_Engine!$B$12:$B$72,$A593+1)+H594</f>
        <v>40697.2178509762</v>
      </c>
      <c r="I593" s="48" t="n">
        <f aca="false">E593*(IF($A593&lt;$Q$573,INDEX(Surface_Engine!$D$12:$D$72,$A593+1)+(Surface_Engine!G241*12)*INDEX(Surface_Engine!$F$12:$F$72,$A593+1)-(Surface_Engine!G241*12),1000*12*INDEX(Surface_Engine!$C$12:$C$72,$A593+1)/(1+Assumptions!$B$10)^15+INDEX(Surface_Engine!$D$12:$D$72,$A593+1)))*INDEX(Surface_Engine!$B$12:$B$72,$A593+1)+I594</f>
        <v>49547.9652505173</v>
      </c>
      <c r="J593" s="48" t="n">
        <f aca="false">B593*(IF($A593&lt;$Q$573,INDEX(Surface_Engine!$D$12:$D$72,$A593+1)*(1+Assumptions!$B$24)+(Surface_Engine!G241*12)*INDEX(Surface_Engine!$F$12:$F$72,$A593+1)-(Surface_Engine!G241*12),1000*12*INDEX(Surface_Engine!$C$12:$C$72,$A593+1)/(1+Assumptions!$B$10)^15+INDEX(Surface_Engine!$D$12:$D$72,$A593+1)*(1+Assumptions!$B$24)))*INDEX(Surface_Engine!$B$12:$B$72,$A593+1)+J594</f>
        <v>44971.7029126877</v>
      </c>
      <c r="K593" s="12" t="n">
        <f aca="false">SQRT((IF(C593&lt;=0,0,MAX(0,(B593/C593)*G593/INDEX(Surface_Engine!$B$12:$B$72,$A593+1)-F593/INDEX(Surface_Engine!$B$12:$B$72,$A593+1))))^2+(MAX(IF(D593&lt;=0,0,MAX(0,(B593/D593)*H593/INDEX(Surface_Engine!$B$12:$B$72,$A593+1)-F593/INDEX(Surface_Engine!$B$12:$B$72,$A593+1))),IF(E593&lt;=0,0,MAX(0,(B593/E593)*I593/INDEX(Surface_Engine!$B$12:$B$72,$A593+1)-F593/INDEX(Surface_Engine!$B$12:$B$72,$A593+1))),IF($A593&lt;$Q$573,MAX(0,-Assumptions!$B$22*(F593/INDEX(Surface_Engine!$B$12:$B$72,$A593+1))),0)))^2+(MAX(0,J593/INDEX(Surface_Engine!$B$12:$B$72,$A593+1)-(F593/INDEX(Surface_Engine!$B$12:$B$72,$A593+1))))^2+2*Assumptions!$B$26*(IF(C593&lt;=0,0,MAX(0,(B593/C593)*G593/INDEX(Surface_Engine!$B$12:$B$72,$A593+1)-F593/INDEX(Surface_Engine!$B$12:$B$72,$A593+1))))*(MAX(IF(D593&lt;=0,0,MAX(0,(B593/D593)*H593/INDEX(Surface_Engine!$B$12:$B$72,$A593+1)-F593/INDEX(Surface_Engine!$B$12:$B$72,$A593+1))),IF(E593&lt;=0,0,MAX(0,(B593/E593)*I593/INDEX(Surface_Engine!$B$12:$B$72,$A593+1)-F593/INDEX(Surface_Engine!$B$12:$B$72,$A593+1))),IF($A593&lt;$Q$573,MAX(0,-Assumptions!$B$22*(F593/INDEX(Surface_Engine!$B$12:$B$72,$A593+1))),0)))+2*Assumptions!$B$27*(IF(C593&lt;=0,0,MAX(0,(B593/C593)*G593/INDEX(Surface_Engine!$B$12:$B$72,$A593+1)-F593/INDEX(Surface_Engine!$B$12:$B$72,$A593+1))))*(MAX(0,J593/INDEX(Surface_Engine!$B$12:$B$72,$A593+1)-(F593/INDEX(Surface_Engine!$B$12:$B$72,$A593+1))))+2*Assumptions!$B$28*(MAX(IF(D593&lt;=0,0,MAX(0,(B593/D593)*H593/INDEX(Surface_Engine!$B$12:$B$72,$A593+1)-F593/INDEX(Surface_Engine!$B$12:$B$72,$A593+1))),IF(E593&lt;=0,0,MAX(0,(B593/E593)*I593/INDEX(Surface_Engine!$B$12:$B$72,$A593+1)-F593/INDEX(Surface_Engine!$B$12:$B$72,$A593+1))),IF($A593&lt;$Q$573,MAX(0,-Assumptions!$B$22*(F593/INDEX(Surface_Engine!$B$12:$B$72,$A593+1))),0)))*(MAX(0,J593/INDEX(Surface_Engine!$B$12:$B$72,$A593+1)-(F593/INDEX(Surface_Engine!$B$12:$B$72,$A593+1)))))</f>
        <v>9657.15063987911</v>
      </c>
      <c r="L593" s="48" t="n">
        <f aca="false">K593*INDEX(Surface_Engine!$B$12:$B$72,$A593+1)+L594</f>
        <v>47115.0234918705</v>
      </c>
      <c r="M593" s="48" t="n">
        <f aca="false">M592+B592*(IF($A592&lt;$Q$573,(Surface_Engine!G241*12)-(Surface_Engine!G241*12)*INDEX(Surface_Engine!$F$12:$F$72,$A592+1)-INDEX(Surface_Engine!$D$12:$D$72,$A592+1),-(1000*12*INDEX(Surface_Engine!$C$12:$C$72,$A592+1)/(1+Assumptions!$B$10)^15+INDEX(Surface_Engine!$D$12:$D$72,$A592+1))))*INDEX(Surface_Engine!$B$12:$B$72,$A592+1)</f>
        <v>47132.3507046401</v>
      </c>
      <c r="N593" s="12" t="n">
        <f aca="false">IF(B593&lt;=0,0,MAX(0,(K593+Assumptions!$B$29*L593/INDEX(Surface_Engine!$B$12:$B$72,$A593+1)-(M593/INDEX(Surface_Engine!$B$12:$B$72,$A593+1)-(F593/INDEX(Surface_Engine!$B$12:$B$72,$A593+1))))/B593))</f>
        <v>17144.9794311273</v>
      </c>
    </row>
    <row r="594" customFormat="false" ht="15" hidden="false" customHeight="true" outlineLevel="0" collapsed="false">
      <c r="A594" s="1" t="n">
        <v>19</v>
      </c>
      <c r="B594" s="32" t="n">
        <f aca="false">INDEX(Surface_Engine!$L$12:$L$72,$A594+1)*IF($A594&lt;$Q$573,INDEX(Surface_Engine!$E$12:$E$72,$A594+1),INDEX(Surface_Engine!$E$12:$E$72,$Q$573+1))</f>
        <v>0.602681224544387</v>
      </c>
      <c r="C594" s="32" t="n">
        <f aca="false">INDEX(Panel_Reserving!$D$8:$D$68,$A594+1)*IF($A594&lt;$Q$573,INDEX(Surface_Engine!$E$12:$E$72,$A594+1),INDEX(Surface_Engine!$E$12:$E$72,$Q$573+1))</f>
        <v>0.64177347000261</v>
      </c>
      <c r="D594" s="32" t="n">
        <f aca="false">INDEX(Surface_Engine!$L$12:$L$72,$A594+1)*IF($A594&lt;$Q$573,INDEX(Surface_Engine!$Y$12:$Y$72,$A594+1),INDEX(Surface_Engine!$Y$12:$Y$72,$Q$573+1))</f>
        <v>0.545956176115401</v>
      </c>
      <c r="E594" s="32" t="n">
        <f aca="false">INDEX(Surface_Engine!$L$12:$L$72,$A594+1)*IF($A594&lt;$Q$573,INDEX(Surface_Engine!$Z$12:$Z$72,$A594+1),INDEX(Surface_Engine!$Z$12:$Z$72,$Q$573+1))</f>
        <v>0.664689604619307</v>
      </c>
      <c r="F594" s="48" t="n">
        <f aca="false">B594*(IF($A594&lt;$Q$573,INDEX(Surface_Engine!$D$12:$D$72,$A594+1)+(Surface_Engine!G241*12)*INDEX(Surface_Engine!$F$12:$F$72,$A594+1)-(Surface_Engine!G241*12),1000*12*INDEX(Surface_Engine!$C$12:$C$72,$A594+1)/(1+Assumptions!$B$10)^15+INDEX(Surface_Engine!$D$12:$D$72,$A594+1)))*INDEX(Surface_Engine!$B$12:$B$72,$A594+1)+F595</f>
        <v>40325.6089531515</v>
      </c>
      <c r="G594" s="48" t="n">
        <f aca="false">C594*(IF($A594&lt;$Q$573,INDEX(Surface_Engine!$D$12:$D$72,$A594+1)+(Surface_Engine!G241*12)*INDEX(Surface_Engine!$F$12:$F$72,$A594+1)-(Surface_Engine!G241*12),1000*12*INDEX(Surface_Engine!$C$12:$C$72,$A594+1)/(1+Assumptions!$B$10)^15+INDEX(Surface_Engine!$D$12:$D$72,$A594+1)))*INDEX(Surface_Engine!$B$12:$B$72,$A594+1)+G595</f>
        <v>48412.7050809643</v>
      </c>
      <c r="H594" s="48" t="n">
        <f aca="false">D594*(IF($A594&lt;$Q$573,INDEX(Surface_Engine!$D$12:$D$72,$A594+1)+(Surface_Engine!G241*12)*INDEX(Surface_Engine!$F$12:$F$72,$A594+1)-(Surface_Engine!G241*12),1000*12*INDEX(Surface_Engine!$C$12:$C$72,$A594+1)/(1+Assumptions!$B$10)^15+INDEX(Surface_Engine!$D$12:$D$72,$A594+1)))*INDEX(Surface_Engine!$B$12:$B$72,$A594+1)+H595</f>
        <v>36530.1163649675</v>
      </c>
      <c r="I594" s="48" t="n">
        <f aca="false">E594*(IF($A594&lt;$Q$573,INDEX(Surface_Engine!$D$12:$D$72,$A594+1)+(Surface_Engine!G241*12)*INDEX(Surface_Engine!$F$12:$F$72,$A594+1)-(Surface_Engine!G241*12),1000*12*INDEX(Surface_Engine!$C$12:$C$72,$A594+1)/(1+Assumptions!$B$10)^15+INDEX(Surface_Engine!$D$12:$D$72,$A594+1)))*INDEX(Surface_Engine!$B$12:$B$72,$A594+1)+I595</f>
        <v>44474.6110870905</v>
      </c>
      <c r="J594" s="48" t="n">
        <f aca="false">B594*(IF($A594&lt;$Q$573,INDEX(Surface_Engine!$D$12:$D$72,$A594+1)*(1+Assumptions!$B$24)+(Surface_Engine!G241*12)*INDEX(Surface_Engine!$F$12:$F$72,$A594+1)-(Surface_Engine!G241*12),1000*12*INDEX(Surface_Engine!$C$12:$C$72,$A594+1)/(1+Assumptions!$B$10)^15+INDEX(Surface_Engine!$D$12:$D$72,$A594+1)*(1+Assumptions!$B$24)))*INDEX(Surface_Engine!$B$12:$B$72,$A594+1)+J595</f>
        <v>40367.0641518754</v>
      </c>
      <c r="K594" s="12" t="n">
        <f aca="false">SQRT((IF(C594&lt;=0,0,MAX(0,(B594/C594)*G594/INDEX(Surface_Engine!$B$12:$B$72,$A594+1)-F594/INDEX(Surface_Engine!$B$12:$B$72,$A594+1))))^2+(MAX(IF(D594&lt;=0,0,MAX(0,(B594/D594)*H594/INDEX(Surface_Engine!$B$12:$B$72,$A594+1)-F594/INDEX(Surface_Engine!$B$12:$B$72,$A594+1))),IF(E594&lt;=0,0,MAX(0,(B594/E594)*I594/INDEX(Surface_Engine!$B$12:$B$72,$A594+1)-F594/INDEX(Surface_Engine!$B$12:$B$72,$A594+1))),IF($A594&lt;$Q$573,MAX(0,-Assumptions!$B$22*(F594/INDEX(Surface_Engine!$B$12:$B$72,$A594+1))),0)))^2+(MAX(0,J594/INDEX(Surface_Engine!$B$12:$B$72,$A594+1)-(F594/INDEX(Surface_Engine!$B$12:$B$72,$A594+1))))^2+2*Assumptions!$B$26*(IF(C594&lt;=0,0,MAX(0,(B594/C594)*G594/INDEX(Surface_Engine!$B$12:$B$72,$A594+1)-F594/INDEX(Surface_Engine!$B$12:$B$72,$A594+1))))*(MAX(IF(D594&lt;=0,0,MAX(0,(B594/D594)*H594/INDEX(Surface_Engine!$B$12:$B$72,$A594+1)-F594/INDEX(Surface_Engine!$B$12:$B$72,$A594+1))),IF(E594&lt;=0,0,MAX(0,(B594/E594)*I594/INDEX(Surface_Engine!$B$12:$B$72,$A594+1)-F594/INDEX(Surface_Engine!$B$12:$B$72,$A594+1))),IF($A594&lt;$Q$573,MAX(0,-Assumptions!$B$22*(F594/INDEX(Surface_Engine!$B$12:$B$72,$A594+1))),0)))+2*Assumptions!$B$27*(IF(C594&lt;=0,0,MAX(0,(B594/C594)*G594/INDEX(Surface_Engine!$B$12:$B$72,$A594+1)-F594/INDEX(Surface_Engine!$B$12:$B$72,$A594+1))))*(MAX(0,J594/INDEX(Surface_Engine!$B$12:$B$72,$A594+1)-(F594/INDEX(Surface_Engine!$B$12:$B$72,$A594+1))))+2*Assumptions!$B$28*(MAX(IF(D594&lt;=0,0,MAX(0,(B594/D594)*H594/INDEX(Surface_Engine!$B$12:$B$72,$A594+1)-F594/INDEX(Surface_Engine!$B$12:$B$72,$A594+1))),IF(E594&lt;=0,0,MAX(0,(B594/E594)*I594/INDEX(Surface_Engine!$B$12:$B$72,$A594+1)-F594/INDEX(Surface_Engine!$B$12:$B$72,$A594+1))),IF($A594&lt;$Q$573,MAX(0,-Assumptions!$B$22*(F594/INDEX(Surface_Engine!$B$12:$B$72,$A594+1))),0)))*(MAX(0,J594/INDEX(Surface_Engine!$B$12:$B$72,$A594+1)-(F594/INDEX(Surface_Engine!$B$12:$B$72,$A594+1)))))</f>
        <v>9312.14035666613</v>
      </c>
      <c r="L594" s="48" t="n">
        <f aca="false">K594*INDEX(Surface_Engine!$B$12:$B$72,$A594+1)+L595</f>
        <v>41603.5703339493</v>
      </c>
      <c r="M594" s="48" t="n">
        <f aca="false">M593+B593*(IF($A593&lt;$Q$573,(Surface_Engine!G241*12)-(Surface_Engine!G241*12)*INDEX(Surface_Engine!$F$12:$F$72,$A593+1)-INDEX(Surface_Engine!$D$12:$D$72,$A593+1),-(1000*12*INDEX(Surface_Engine!$C$12:$C$72,$A593+1)/(1+Assumptions!$B$10)^15+INDEX(Surface_Engine!$D$12:$D$72,$A593+1))))*INDEX(Surface_Engine!$B$12:$B$72,$A593+1)</f>
        <v>42532.2858344927</v>
      </c>
      <c r="N594" s="12" t="n">
        <f aca="false">IF(B594&lt;=0,0,MAX(0,(K594+Assumptions!$B$29*L594/INDEX(Surface_Engine!$B$12:$B$72,$A594+1)-(M594/INDEX(Surface_Engine!$B$12:$B$72,$A594+1)-(F594/INDEX(Surface_Engine!$B$12:$B$72,$A594+1))))/B594))</f>
        <v>16320.091765892</v>
      </c>
    </row>
    <row r="595" customFormat="false" ht="15" hidden="false" customHeight="true" outlineLevel="0" collapsed="false">
      <c r="A595" s="1" t="n">
        <v>20</v>
      </c>
      <c r="B595" s="32" t="n">
        <f aca="false">INDEX(Surface_Engine!$L$12:$L$72,$A595+1)*IF($A595&lt;$Q$573,INDEX(Surface_Engine!$E$12:$E$72,$A595+1),INDEX(Surface_Engine!$E$12:$E$72,$Q$573+1))</f>
        <v>0.576822222557124</v>
      </c>
      <c r="C595" s="32" t="n">
        <f aca="false">INDEX(Panel_Reserving!$D$8:$D$68,$A595+1)*IF($A595&lt;$Q$573,INDEX(Surface_Engine!$E$12:$E$72,$A595+1),INDEX(Surface_Engine!$E$12:$E$72,$Q$573+1))</f>
        <v>0.619744416154163</v>
      </c>
      <c r="D595" s="32" t="n">
        <f aca="false">INDEX(Surface_Engine!$L$12:$L$72,$A595+1)*IF($A595&lt;$Q$573,INDEX(Surface_Engine!$Y$12:$Y$72,$A595+1),INDEX(Surface_Engine!$Y$12:$Y$72,$Q$573+1))</f>
        <v>0.522531053068305</v>
      </c>
      <c r="E595" s="32" t="n">
        <f aca="false">INDEX(Surface_Engine!$L$12:$L$72,$A595+1)*IF($A595&lt;$Q$573,INDEX(Surface_Engine!$Z$12:$Z$72,$A595+1),INDEX(Surface_Engine!$Z$12:$Z$72,$Q$573+1))</f>
        <v>0.636170033896397</v>
      </c>
      <c r="F595" s="48" t="n">
        <f aca="false">B595*(IF($A595&lt;$Q$573,INDEX(Surface_Engine!$D$12:$D$72,$A595+1)+(Surface_Engine!G241*12)*INDEX(Surface_Engine!$F$12:$F$72,$A595+1)-(Surface_Engine!G241*12),1000*12*INDEX(Surface_Engine!$C$12:$C$72,$A595+1)/(1+Assumptions!$B$10)^15+INDEX(Surface_Engine!$D$12:$D$72,$A595+1)))*INDEX(Surface_Engine!$B$12:$B$72,$A595+1)+F596</f>
        <v>35953.6569032689</v>
      </c>
      <c r="G595" s="48" t="n">
        <f aca="false">C595*(IF($A595&lt;$Q$573,INDEX(Surface_Engine!$D$12:$D$72,$A595+1)+(Surface_Engine!G241*12)*INDEX(Surface_Engine!$F$12:$F$72,$A595+1)-(Surface_Engine!G241*12),1000*12*INDEX(Surface_Engine!$C$12:$C$72,$A595+1)/(1+Assumptions!$B$10)^15+INDEX(Surface_Engine!$D$12:$D$72,$A595+1)))*INDEX(Surface_Engine!$B$12:$B$72,$A595+1)+G596</f>
        <v>43757.1712374149</v>
      </c>
      <c r="H595" s="48" t="n">
        <f aca="false">D595*(IF($A595&lt;$Q$573,INDEX(Surface_Engine!$D$12:$D$72,$A595+1)+(Surface_Engine!G241*12)*INDEX(Surface_Engine!$F$12:$F$72,$A595+1)-(Surface_Engine!G241*12),1000*12*INDEX(Surface_Engine!$C$12:$C$72,$A595+1)/(1+Assumptions!$B$10)^15+INDEX(Surface_Engine!$D$12:$D$72,$A595+1)))*INDEX(Surface_Engine!$B$12:$B$72,$A595+1)+H596</f>
        <v>32569.6574588215</v>
      </c>
      <c r="I595" s="48" t="n">
        <f aca="false">E595*(IF($A595&lt;$Q$573,INDEX(Surface_Engine!$D$12:$D$72,$A595+1)+(Surface_Engine!G241*12)*INDEX(Surface_Engine!$F$12:$F$72,$A595+1)-(Surface_Engine!G241*12),1000*12*INDEX(Surface_Engine!$C$12:$C$72,$A595+1)/(1+Assumptions!$B$10)^15+INDEX(Surface_Engine!$D$12:$D$72,$A595+1)))*INDEX(Surface_Engine!$B$12:$B$72,$A595+1)+I596</f>
        <v>39652.8397076222</v>
      </c>
      <c r="J595" s="48" t="n">
        <f aca="false">B595*(IF($A595&lt;$Q$573,INDEX(Surface_Engine!$D$12:$D$72,$A595+1)*(1+Assumptions!$B$24)+(Surface_Engine!G241*12)*INDEX(Surface_Engine!$F$12:$F$72,$A595+1)-(Surface_Engine!G241*12),1000*12*INDEX(Surface_Engine!$C$12:$C$72,$A595+1)/(1+Assumptions!$B$10)^15+INDEX(Surface_Engine!$D$12:$D$72,$A595+1)*(1+Assumptions!$B$24)))*INDEX(Surface_Engine!$B$12:$B$72,$A595+1)+J596</f>
        <v>35990.743929907</v>
      </c>
      <c r="K595" s="12" t="n">
        <f aca="false">SQRT((IF(C595&lt;=0,0,MAX(0,(B595/C595)*G595/INDEX(Surface_Engine!$B$12:$B$72,$A595+1)-F595/INDEX(Surface_Engine!$B$12:$B$72,$A595+1))))^2+(MAX(IF(D595&lt;=0,0,MAX(0,(B595/D595)*H595/INDEX(Surface_Engine!$B$12:$B$72,$A595+1)-F595/INDEX(Surface_Engine!$B$12:$B$72,$A595+1))),IF(E595&lt;=0,0,MAX(0,(B595/E595)*I595/INDEX(Surface_Engine!$B$12:$B$72,$A595+1)-F595/INDEX(Surface_Engine!$B$12:$B$72,$A595+1))),IF($A595&lt;$Q$573,MAX(0,-Assumptions!$B$22*(F595/INDEX(Surface_Engine!$B$12:$B$72,$A595+1))),0)))^2+(MAX(0,J595/INDEX(Surface_Engine!$B$12:$B$72,$A595+1)-(F595/INDEX(Surface_Engine!$B$12:$B$72,$A595+1))))^2+2*Assumptions!$B$26*(IF(C595&lt;=0,0,MAX(0,(B595/C595)*G595/INDEX(Surface_Engine!$B$12:$B$72,$A595+1)-F595/INDEX(Surface_Engine!$B$12:$B$72,$A595+1))))*(MAX(IF(D595&lt;=0,0,MAX(0,(B595/D595)*H595/INDEX(Surface_Engine!$B$12:$B$72,$A595+1)-F595/INDEX(Surface_Engine!$B$12:$B$72,$A595+1))),IF(E595&lt;=0,0,MAX(0,(B595/E595)*I595/INDEX(Surface_Engine!$B$12:$B$72,$A595+1)-F595/INDEX(Surface_Engine!$B$12:$B$72,$A595+1))),IF($A595&lt;$Q$573,MAX(0,-Assumptions!$B$22*(F595/INDEX(Surface_Engine!$B$12:$B$72,$A595+1))),0)))+2*Assumptions!$B$27*(IF(C595&lt;=0,0,MAX(0,(B595/C595)*G595/INDEX(Surface_Engine!$B$12:$B$72,$A595+1)-F595/INDEX(Surface_Engine!$B$12:$B$72,$A595+1))))*(MAX(0,J595/INDEX(Surface_Engine!$B$12:$B$72,$A595+1)-(F595/INDEX(Surface_Engine!$B$12:$B$72,$A595+1))))+2*Assumptions!$B$28*(MAX(IF(D595&lt;=0,0,MAX(0,(B595/D595)*H595/INDEX(Surface_Engine!$B$12:$B$72,$A595+1)-F595/INDEX(Surface_Engine!$B$12:$B$72,$A595+1))),IF(E595&lt;=0,0,MAX(0,(B595/E595)*I595/INDEX(Surface_Engine!$B$12:$B$72,$A595+1)-F595/INDEX(Surface_Engine!$B$12:$B$72,$A595+1))),IF($A595&lt;$Q$573,MAX(0,-Assumptions!$B$22*(F595/INDEX(Surface_Engine!$B$12:$B$72,$A595+1))),0)))*(MAX(0,J595/INDEX(Surface_Engine!$B$12:$B$72,$A595+1)-(F595/INDEX(Surface_Engine!$B$12:$B$72,$A595+1)))))</f>
        <v>8925.43788709209</v>
      </c>
      <c r="L595" s="48" t="n">
        <f aca="false">K595*INDEX(Surface_Engine!$B$12:$B$72,$A595+1)+L596</f>
        <v>36454.9093596545</v>
      </c>
      <c r="M595" s="48" t="n">
        <f aca="false">M594+B594*(IF($A594&lt;$Q$573,(Surface_Engine!G241*12)-(Surface_Engine!G241*12)*INDEX(Surface_Engine!$F$12:$F$72,$A594+1)-INDEX(Surface_Engine!$D$12:$D$72,$A594+1),-(1000*12*INDEX(Surface_Engine!$C$12:$C$72,$A594+1)/(1+Assumptions!$B$10)^15+INDEX(Surface_Engine!$D$12:$D$72,$A594+1))))*INDEX(Surface_Engine!$B$12:$B$72,$A594+1)</f>
        <v>38160.3337846101</v>
      </c>
      <c r="N595" s="12" t="n">
        <f aca="false">IF(B595&lt;=0,0,MAX(0,(K595+Assumptions!$B$29*L595/INDEX(Surface_Engine!$B$12:$B$72,$A595+1)-(M595/INDEX(Surface_Engine!$B$12:$B$72,$A595+1)-(F595/INDEX(Surface_Engine!$B$12:$B$72,$A595+1))))/B595))</f>
        <v>15410.7523413553</v>
      </c>
    </row>
    <row r="596" customFormat="false" ht="15" hidden="false" customHeight="true" outlineLevel="0" collapsed="false">
      <c r="A596" s="1" t="n">
        <v>21</v>
      </c>
      <c r="B596" s="32" t="n">
        <f aca="false">INDEX(Surface_Engine!$L$12:$L$72,$A596+1)*IF($A596&lt;$Q$573,INDEX(Surface_Engine!$E$12:$E$72,$A596+1),INDEX(Surface_Engine!$E$12:$E$72,$Q$573+1))</f>
        <v>0.548167803044827</v>
      </c>
      <c r="C596" s="32" t="n">
        <f aca="false">INDEX(Panel_Reserving!$D$8:$D$68,$A596+1)*IF($A596&lt;$Q$573,INDEX(Surface_Engine!$E$12:$E$72,$A596+1),INDEX(Surface_Engine!$E$12:$E$72,$Q$573+1))</f>
        <v>0.595115106399543</v>
      </c>
      <c r="D596" s="32" t="n">
        <f aca="false">INDEX(Surface_Engine!$L$12:$L$72,$A596+1)*IF($A596&lt;$Q$573,INDEX(Surface_Engine!$Y$12:$Y$72,$A596+1),INDEX(Surface_Engine!$Y$12:$Y$72,$Q$573+1))</f>
        <v>0.496573620401365</v>
      </c>
      <c r="E596" s="32" t="n">
        <f aca="false">INDEX(Surface_Engine!$L$12:$L$72,$A596+1)*IF($A596&lt;$Q$573,INDEX(Surface_Engine!$Z$12:$Z$72,$A596+1),INDEX(Surface_Engine!$Z$12:$Z$72,$Q$573+1))</f>
        <v>0.604567432055559</v>
      </c>
      <c r="F596" s="48" t="n">
        <f aca="false">B596*(IF($A596&lt;$Q$573,INDEX(Surface_Engine!$D$12:$D$72,$A596+1)+(Surface_Engine!G241*12)*INDEX(Surface_Engine!$F$12:$F$72,$A596+1)-(Surface_Engine!G241*12),1000*12*INDEX(Surface_Engine!$C$12:$C$72,$A596+1)/(1+Assumptions!$B$10)^15+INDEX(Surface_Engine!$D$12:$D$72,$A596+1)))*INDEX(Surface_Engine!$B$12:$B$72,$A596+1)+F597</f>
        <v>31817.2624154017</v>
      </c>
      <c r="G596" s="48" t="n">
        <f aca="false">C596*(IF($A596&lt;$Q$573,INDEX(Surface_Engine!$D$12:$D$72,$A596+1)+(Surface_Engine!G241*12)*INDEX(Surface_Engine!$F$12:$F$72,$A596+1)-(Surface_Engine!G241*12),1000*12*INDEX(Surface_Engine!$C$12:$C$72,$A596+1)/(1+Assumptions!$B$10)^15+INDEX(Surface_Engine!$D$12:$D$72,$A596+1)))*INDEX(Surface_Engine!$B$12:$B$72,$A596+1)+G597</f>
        <v>39312.9815258913</v>
      </c>
      <c r="H596" s="48" t="n">
        <f aca="false">D596*(IF($A596&lt;$Q$573,INDEX(Surface_Engine!$D$12:$D$72,$A596+1)+(Surface_Engine!G241*12)*INDEX(Surface_Engine!$F$12:$F$72,$A596+1)-(Surface_Engine!G241*12),1000*12*INDEX(Surface_Engine!$C$12:$C$72,$A596+1)/(1+Assumptions!$B$10)^15+INDEX(Surface_Engine!$D$12:$D$72,$A596+1)))*INDEX(Surface_Engine!$B$12:$B$72,$A596+1)+H597</f>
        <v>28822.5851666524</v>
      </c>
      <c r="I596" s="48" t="n">
        <f aca="false">E596*(IF($A596&lt;$Q$573,INDEX(Surface_Engine!$D$12:$D$72,$A596+1)+(Surface_Engine!G241*12)*INDEX(Surface_Engine!$F$12:$F$72,$A596+1)-(Surface_Engine!G241*12),1000*12*INDEX(Surface_Engine!$C$12:$C$72,$A596+1)/(1+Assumptions!$B$10)^15+INDEX(Surface_Engine!$D$12:$D$72,$A596+1)))*INDEX(Surface_Engine!$B$12:$B$72,$A596+1)+I597</f>
        <v>35090.8618249224</v>
      </c>
      <c r="J596" s="48" t="n">
        <f aca="false">B596*(IF($A596&lt;$Q$573,INDEX(Surface_Engine!$D$12:$D$72,$A596+1)*(1+Assumptions!$B$24)+(Surface_Engine!G241*12)*INDEX(Surface_Engine!$F$12:$F$72,$A596+1)-(Surface_Engine!G241*12),1000*12*INDEX(Surface_Engine!$C$12:$C$72,$A596+1)/(1+Assumptions!$B$10)^15+INDEX(Surface_Engine!$D$12:$D$72,$A596+1)*(1+Assumptions!$B$24)))*INDEX(Surface_Engine!$B$12:$B$72,$A596+1)+J597</f>
        <v>31850.1965683378</v>
      </c>
      <c r="K596" s="12" t="n">
        <f aca="false">SQRT((IF(C596&lt;=0,0,MAX(0,(B596/C596)*G596/INDEX(Surface_Engine!$B$12:$B$72,$A596+1)-F596/INDEX(Surface_Engine!$B$12:$B$72,$A596+1))))^2+(MAX(IF(D596&lt;=0,0,MAX(0,(B596/D596)*H596/INDEX(Surface_Engine!$B$12:$B$72,$A596+1)-F596/INDEX(Surface_Engine!$B$12:$B$72,$A596+1))),IF(E596&lt;=0,0,MAX(0,(B596/E596)*I596/INDEX(Surface_Engine!$B$12:$B$72,$A596+1)-F596/INDEX(Surface_Engine!$B$12:$B$72,$A596+1))),IF($A596&lt;$Q$573,MAX(0,-Assumptions!$B$22*(F596/INDEX(Surface_Engine!$B$12:$B$72,$A596+1))),0)))^2+(MAX(0,J596/INDEX(Surface_Engine!$B$12:$B$72,$A596+1)-(F596/INDEX(Surface_Engine!$B$12:$B$72,$A596+1))))^2+2*Assumptions!$B$26*(IF(C596&lt;=0,0,MAX(0,(B596/C596)*G596/INDEX(Surface_Engine!$B$12:$B$72,$A596+1)-F596/INDEX(Surface_Engine!$B$12:$B$72,$A596+1))))*(MAX(IF(D596&lt;=0,0,MAX(0,(B596/D596)*H596/INDEX(Surface_Engine!$B$12:$B$72,$A596+1)-F596/INDEX(Surface_Engine!$B$12:$B$72,$A596+1))),IF(E596&lt;=0,0,MAX(0,(B596/E596)*I596/INDEX(Surface_Engine!$B$12:$B$72,$A596+1)-F596/INDEX(Surface_Engine!$B$12:$B$72,$A596+1))),IF($A596&lt;$Q$573,MAX(0,-Assumptions!$B$22*(F596/INDEX(Surface_Engine!$B$12:$B$72,$A596+1))),0)))+2*Assumptions!$B$27*(IF(C596&lt;=0,0,MAX(0,(B596/C596)*G596/INDEX(Surface_Engine!$B$12:$B$72,$A596+1)-F596/INDEX(Surface_Engine!$B$12:$B$72,$A596+1))))*(MAX(0,J596/INDEX(Surface_Engine!$B$12:$B$72,$A596+1)-(F596/INDEX(Surface_Engine!$B$12:$B$72,$A596+1))))+2*Assumptions!$B$28*(MAX(IF(D596&lt;=0,0,MAX(0,(B596/D596)*H596/INDEX(Surface_Engine!$B$12:$B$72,$A596+1)-F596/INDEX(Surface_Engine!$B$12:$B$72,$A596+1))),IF(E596&lt;=0,0,MAX(0,(B596/E596)*I596/INDEX(Surface_Engine!$B$12:$B$72,$A596+1)-F596/INDEX(Surface_Engine!$B$12:$B$72,$A596+1))),IF($A596&lt;$Q$573,MAX(0,-Assumptions!$B$22*(F596/INDEX(Surface_Engine!$B$12:$B$72,$A596+1))),0)))*(MAX(0,J596/INDEX(Surface_Engine!$B$12:$B$72,$A596+1)-(F596/INDEX(Surface_Engine!$B$12:$B$72,$A596+1)))))</f>
        <v>8479.03701638174</v>
      </c>
      <c r="L596" s="48" t="n">
        <f aca="false">K596*INDEX(Surface_Engine!$B$12:$B$72,$A596+1)+L597</f>
        <v>31672.5180150613</v>
      </c>
      <c r="M596" s="48" t="n">
        <f aca="false">M595+B595*(IF($A595&lt;$Q$573,(Surface_Engine!G241*12)-(Surface_Engine!G241*12)*INDEX(Surface_Engine!$F$12:$F$72,$A595+1)-INDEX(Surface_Engine!$D$12:$D$72,$A595+1),-(1000*12*INDEX(Surface_Engine!$C$12:$C$72,$A595+1)/(1+Assumptions!$B$10)^15+INDEX(Surface_Engine!$D$12:$D$72,$A595+1))))*INDEX(Surface_Engine!$B$12:$B$72,$A595+1)</f>
        <v>34023.9392967429</v>
      </c>
      <c r="N596" s="12" t="n">
        <f aca="false">IF(B596&lt;=0,0,MAX(0,(K596+Assumptions!$B$29*L596/INDEX(Surface_Engine!$B$12:$B$72,$A596+1)-(M596/INDEX(Surface_Engine!$B$12:$B$72,$A596+1)-(F596/INDEX(Surface_Engine!$B$12:$B$72,$A596+1))))/B596))</f>
        <v>14391.7610549296</v>
      </c>
    </row>
    <row r="597" customFormat="false" ht="15" hidden="false" customHeight="true" outlineLevel="0" collapsed="false">
      <c r="A597" s="1" t="n">
        <v>22</v>
      </c>
      <c r="B597" s="32" t="n">
        <f aca="false">INDEX(Surface_Engine!$L$12:$L$72,$A597+1)*IF($A597&lt;$Q$573,INDEX(Surface_Engine!$E$12:$E$72,$A597+1),INDEX(Surface_Engine!$E$12:$E$72,$Q$573+1))</f>
        <v>0.517281065049269</v>
      </c>
      <c r="C597" s="32" t="n">
        <f aca="false">INDEX(Panel_Reserving!$D$8:$D$68,$A597+1)*IF($A597&lt;$Q$573,INDEX(Surface_Engine!$E$12:$E$72,$A597+1),INDEX(Surface_Engine!$E$12:$E$72,$Q$573+1))</f>
        <v>0.568289504069071</v>
      </c>
      <c r="D597" s="32" t="n">
        <f aca="false">INDEX(Surface_Engine!$L$12:$L$72,$A597+1)*IF($A597&lt;$Q$573,INDEX(Surface_Engine!$Y$12:$Y$72,$A597+1),INDEX(Surface_Engine!$Y$12:$Y$72,$Q$573+1))</f>
        <v>0.468593977628386</v>
      </c>
      <c r="E597" s="32" t="n">
        <f aca="false">INDEX(Surface_Engine!$L$12:$L$72,$A597+1)*IF($A597&lt;$Q$573,INDEX(Surface_Engine!$Z$12:$Z$72,$A597+1),INDEX(Surface_Engine!$Z$12:$Z$72,$Q$573+1))</f>
        <v>0.57050283400579</v>
      </c>
      <c r="F597" s="48" t="n">
        <f aca="false">B597*(IF($A597&lt;$Q$573,INDEX(Surface_Engine!$D$12:$D$72,$A597+1)+(Surface_Engine!G241*12)*INDEX(Surface_Engine!$F$12:$F$72,$A597+1)-(Surface_Engine!G241*12),1000*12*INDEX(Surface_Engine!$C$12:$C$72,$A597+1)/(1+Assumptions!$B$10)^15+INDEX(Surface_Engine!$D$12:$D$72,$A597+1)))*INDEX(Surface_Engine!$B$12:$B$72,$A597+1)+F598</f>
        <v>27931.4895207361</v>
      </c>
      <c r="G597" s="48" t="n">
        <f aca="false">C597*(IF($A597&lt;$Q$573,INDEX(Surface_Engine!$D$12:$D$72,$A597+1)+(Surface_Engine!G241*12)*INDEX(Surface_Engine!$F$12:$F$72,$A597+1)-(Surface_Engine!G241*12),1000*12*INDEX(Surface_Engine!$C$12:$C$72,$A597+1)/(1+Assumptions!$B$10)^15+INDEX(Surface_Engine!$D$12:$D$72,$A597+1)))*INDEX(Surface_Engine!$B$12:$B$72,$A597+1)+G598</f>
        <v>35094.4153554439</v>
      </c>
      <c r="H597" s="48" t="n">
        <f aca="false">D597*(IF($A597&lt;$Q$573,INDEX(Surface_Engine!$D$12:$D$72,$A597+1)+(Surface_Engine!G241*12)*INDEX(Surface_Engine!$F$12:$F$72,$A597+1)-(Surface_Engine!G241*12),1000*12*INDEX(Surface_Engine!$C$12:$C$72,$A597+1)/(1+Assumptions!$B$10)^15+INDEX(Surface_Engine!$D$12:$D$72,$A597+1)))*INDEX(Surface_Engine!$B$12:$B$72,$A597+1)+H598</f>
        <v>25302.5456757453</v>
      </c>
      <c r="I597" s="48" t="n">
        <f aca="false">E597*(IF($A597&lt;$Q$573,INDEX(Surface_Engine!$D$12:$D$72,$A597+1)+(Surface_Engine!G241*12)*INDEX(Surface_Engine!$F$12:$F$72,$A597+1)-(Surface_Engine!G241*12),1000*12*INDEX(Surface_Engine!$C$12:$C$72,$A597+1)/(1+Assumptions!$B$10)^15+INDEX(Surface_Engine!$D$12:$D$72,$A597+1)))*INDEX(Surface_Engine!$B$12:$B$72,$A597+1)+I598</f>
        <v>30805.2913710755</v>
      </c>
      <c r="J597" s="48" t="n">
        <f aca="false">B597*(IF($A597&lt;$Q$573,INDEX(Surface_Engine!$D$12:$D$72,$A597+1)*(1+Assumptions!$B$24)+(Surface_Engine!G241*12)*INDEX(Surface_Engine!$F$12:$F$72,$A597+1)-(Surface_Engine!G241*12),1000*12*INDEX(Surface_Engine!$C$12:$C$72,$A597+1)/(1+Assumptions!$B$10)^15+INDEX(Surface_Engine!$D$12:$D$72,$A597+1)*(1+Assumptions!$B$24)))*INDEX(Surface_Engine!$B$12:$B$72,$A597+1)+J598</f>
        <v>27960.5034891681</v>
      </c>
      <c r="K597" s="12" t="n">
        <f aca="false">SQRT((IF(C597&lt;=0,0,MAX(0,(B597/C597)*G597/INDEX(Surface_Engine!$B$12:$B$72,$A597+1)-F597/INDEX(Surface_Engine!$B$12:$B$72,$A597+1))))^2+(MAX(IF(D597&lt;=0,0,MAX(0,(B597/D597)*H597/INDEX(Surface_Engine!$B$12:$B$72,$A597+1)-F597/INDEX(Surface_Engine!$B$12:$B$72,$A597+1))),IF(E597&lt;=0,0,MAX(0,(B597/E597)*I597/INDEX(Surface_Engine!$B$12:$B$72,$A597+1)-F597/INDEX(Surface_Engine!$B$12:$B$72,$A597+1))),IF($A597&lt;$Q$573,MAX(0,-Assumptions!$B$22*(F597/INDEX(Surface_Engine!$B$12:$B$72,$A597+1))),0)))^2+(MAX(0,J597/INDEX(Surface_Engine!$B$12:$B$72,$A597+1)-(F597/INDEX(Surface_Engine!$B$12:$B$72,$A597+1))))^2+2*Assumptions!$B$26*(IF(C597&lt;=0,0,MAX(0,(B597/C597)*G597/INDEX(Surface_Engine!$B$12:$B$72,$A597+1)-F597/INDEX(Surface_Engine!$B$12:$B$72,$A597+1))))*(MAX(IF(D597&lt;=0,0,MAX(0,(B597/D597)*H597/INDEX(Surface_Engine!$B$12:$B$72,$A597+1)-F597/INDEX(Surface_Engine!$B$12:$B$72,$A597+1))),IF(E597&lt;=0,0,MAX(0,(B597/E597)*I597/INDEX(Surface_Engine!$B$12:$B$72,$A597+1)-F597/INDEX(Surface_Engine!$B$12:$B$72,$A597+1))),IF($A597&lt;$Q$573,MAX(0,-Assumptions!$B$22*(F597/INDEX(Surface_Engine!$B$12:$B$72,$A597+1))),0)))+2*Assumptions!$B$27*(IF(C597&lt;=0,0,MAX(0,(B597/C597)*G597/INDEX(Surface_Engine!$B$12:$B$72,$A597+1)-F597/INDEX(Surface_Engine!$B$12:$B$72,$A597+1))))*(MAX(0,J597/INDEX(Surface_Engine!$B$12:$B$72,$A597+1)-(F597/INDEX(Surface_Engine!$B$12:$B$72,$A597+1))))+2*Assumptions!$B$28*(MAX(IF(D597&lt;=0,0,MAX(0,(B597/D597)*H597/INDEX(Surface_Engine!$B$12:$B$72,$A597+1)-F597/INDEX(Surface_Engine!$B$12:$B$72,$A597+1))),IF(E597&lt;=0,0,MAX(0,(B597/E597)*I597/INDEX(Surface_Engine!$B$12:$B$72,$A597+1)-F597/INDEX(Surface_Engine!$B$12:$B$72,$A597+1))),IF($A597&lt;$Q$573,MAX(0,-Assumptions!$B$22*(F597/INDEX(Surface_Engine!$B$12:$B$72,$A597+1))),0)))*(MAX(0,J597/INDEX(Surface_Engine!$B$12:$B$72,$A597+1)-(F597/INDEX(Surface_Engine!$B$12:$B$72,$A597+1)))))</f>
        <v>7989.58501465843</v>
      </c>
      <c r="L597" s="48" t="n">
        <f aca="false">K597*INDEX(Surface_Engine!$B$12:$B$72,$A597+1)+L598</f>
        <v>27269.7633099922</v>
      </c>
      <c r="M597" s="48" t="n">
        <f aca="false">M596+B596*(IF($A596&lt;$Q$573,(Surface_Engine!G241*12)-(Surface_Engine!G241*12)*INDEX(Surface_Engine!$F$12:$F$72,$A596+1)-INDEX(Surface_Engine!$D$12:$D$72,$A596+1),-(1000*12*INDEX(Surface_Engine!$C$12:$C$72,$A596+1)/(1+Assumptions!$B$10)^15+INDEX(Surface_Engine!$D$12:$D$72,$A596+1))))*INDEX(Surface_Engine!$B$12:$B$72,$A596+1)</f>
        <v>30138.1664020773</v>
      </c>
      <c r="N597" s="12" t="n">
        <f aca="false">IF(B597&lt;=0,0,MAX(0,(K597+Assumptions!$B$29*L597/INDEX(Surface_Engine!$B$12:$B$72,$A597+1)-(M597/INDEX(Surface_Engine!$B$12:$B$72,$A597+1)-(F597/INDEX(Surface_Engine!$B$12:$B$72,$A597+1))))/B597))</f>
        <v>13253.5992815979</v>
      </c>
    </row>
    <row r="598" customFormat="false" ht="15" hidden="false" customHeight="true" outlineLevel="0" collapsed="false">
      <c r="A598" s="1" t="n">
        <v>23</v>
      </c>
      <c r="B598" s="32" t="n">
        <f aca="false">INDEX(Surface_Engine!$L$12:$L$72,$A598+1)*IF($A598&lt;$Q$573,INDEX(Surface_Engine!$E$12:$E$72,$A598+1),INDEX(Surface_Engine!$E$12:$E$72,$Q$573+1))</f>
        <v>0.484226679255031</v>
      </c>
      <c r="C598" s="32" t="n">
        <f aca="false">INDEX(Panel_Reserving!$D$8:$D$68,$A598+1)*IF($A598&lt;$Q$573,INDEX(Surface_Engine!$E$12:$E$72,$A598+1),INDEX(Surface_Engine!$E$12:$E$72,$Q$573+1))</f>
        <v>0.539238434111927</v>
      </c>
      <c r="D598" s="32" t="n">
        <f aca="false">INDEX(Surface_Engine!$L$12:$L$72,$A598+1)*IF($A598&lt;$Q$573,INDEX(Surface_Engine!$Y$12:$Y$72,$A598+1),INDEX(Surface_Engine!$Y$12:$Y$72,$Q$573+1))</f>
        <v>0.438650708554909</v>
      </c>
      <c r="E598" s="32" t="n">
        <f aca="false">INDEX(Surface_Engine!$L$12:$L$72,$A598+1)*IF($A598&lt;$Q$573,INDEX(Surface_Engine!$Z$12:$Z$72,$A598+1),INDEX(Surface_Engine!$Z$12:$Z$72,$Q$573+1))</f>
        <v>0.534047564238401</v>
      </c>
      <c r="F598" s="48" t="n">
        <f aca="false">B598*(IF($A598&lt;$Q$573,INDEX(Surface_Engine!$D$12:$D$72,$A598+1)+(Surface_Engine!G241*12)*INDEX(Surface_Engine!$F$12:$F$72,$A598+1)-(Surface_Engine!G241*12),1000*12*INDEX(Surface_Engine!$C$12:$C$72,$A598+1)/(1+Assumptions!$B$10)^15+INDEX(Surface_Engine!$D$12:$D$72,$A598+1)))*INDEX(Surface_Engine!$B$12:$B$72,$A598+1)+F599</f>
        <v>24306.8394782616</v>
      </c>
      <c r="G598" s="48" t="n">
        <f aca="false">C598*(IF($A598&lt;$Q$573,INDEX(Surface_Engine!$D$12:$D$72,$A598+1)+(Surface_Engine!G241*12)*INDEX(Surface_Engine!$F$12:$F$72,$A598+1)-(Surface_Engine!G241*12),1000*12*INDEX(Surface_Engine!$C$12:$C$72,$A598+1)/(1+Assumptions!$B$10)^15+INDEX(Surface_Engine!$D$12:$D$72,$A598+1)))*INDEX(Surface_Engine!$B$12:$B$72,$A598+1)+G599</f>
        <v>31112.3431045185</v>
      </c>
      <c r="H598" s="48" t="n">
        <f aca="false">D598*(IF($A598&lt;$Q$573,INDEX(Surface_Engine!$D$12:$D$72,$A598+1)+(Surface_Engine!G241*12)*INDEX(Surface_Engine!$F$12:$F$72,$A598+1)-(Surface_Engine!G241*12),1000*12*INDEX(Surface_Engine!$C$12:$C$72,$A598+1)/(1+Assumptions!$B$10)^15+INDEX(Surface_Engine!$D$12:$D$72,$A598+1)))*INDEX(Surface_Engine!$B$12:$B$72,$A598+1)+H599</f>
        <v>22019.0518545434</v>
      </c>
      <c r="I598" s="48" t="n">
        <f aca="false">E598*(IF($A598&lt;$Q$573,INDEX(Surface_Engine!$D$12:$D$72,$A598+1)+(Surface_Engine!G241*12)*INDEX(Surface_Engine!$F$12:$F$72,$A598+1)-(Surface_Engine!G241*12),1000*12*INDEX(Surface_Engine!$C$12:$C$72,$A598+1)/(1+Assumptions!$B$10)^15+INDEX(Surface_Engine!$D$12:$D$72,$A598+1)))*INDEX(Surface_Engine!$B$12:$B$72,$A598+1)+I599</f>
        <v>26807.7100536267</v>
      </c>
      <c r="J598" s="48" t="n">
        <f aca="false">B598*(IF($A598&lt;$Q$573,INDEX(Surface_Engine!$D$12:$D$72,$A598+1)*(1+Assumptions!$B$24)+(Surface_Engine!G241*12)*INDEX(Surface_Engine!$F$12:$F$72,$A598+1)-(Surface_Engine!G241*12),1000*12*INDEX(Surface_Engine!$C$12:$C$72,$A598+1)/(1+Assumptions!$B$10)^15+INDEX(Surface_Engine!$D$12:$D$72,$A598+1)*(1+Assumptions!$B$24)))*INDEX(Surface_Engine!$B$12:$B$72,$A598+1)+J599</f>
        <v>24332.1789539682</v>
      </c>
      <c r="K598" s="12" t="n">
        <f aca="false">SQRT((IF(C598&lt;=0,0,MAX(0,(B598/C598)*G598/INDEX(Surface_Engine!$B$12:$B$72,$A598+1)-F598/INDEX(Surface_Engine!$B$12:$B$72,$A598+1))))^2+(MAX(IF(D598&lt;=0,0,MAX(0,(B598/D598)*H598/INDEX(Surface_Engine!$B$12:$B$72,$A598+1)-F598/INDEX(Surface_Engine!$B$12:$B$72,$A598+1))),IF(E598&lt;=0,0,MAX(0,(B598/E598)*I598/INDEX(Surface_Engine!$B$12:$B$72,$A598+1)-F598/INDEX(Surface_Engine!$B$12:$B$72,$A598+1))),IF($A598&lt;$Q$573,MAX(0,-Assumptions!$B$22*(F598/INDEX(Surface_Engine!$B$12:$B$72,$A598+1))),0)))^2+(MAX(0,J598/INDEX(Surface_Engine!$B$12:$B$72,$A598+1)-(F598/INDEX(Surface_Engine!$B$12:$B$72,$A598+1))))^2+2*Assumptions!$B$26*(IF(C598&lt;=0,0,MAX(0,(B598/C598)*G598/INDEX(Surface_Engine!$B$12:$B$72,$A598+1)-F598/INDEX(Surface_Engine!$B$12:$B$72,$A598+1))))*(MAX(IF(D598&lt;=0,0,MAX(0,(B598/D598)*H598/INDEX(Surface_Engine!$B$12:$B$72,$A598+1)-F598/INDEX(Surface_Engine!$B$12:$B$72,$A598+1))),IF(E598&lt;=0,0,MAX(0,(B598/E598)*I598/INDEX(Surface_Engine!$B$12:$B$72,$A598+1)-F598/INDEX(Surface_Engine!$B$12:$B$72,$A598+1))),IF($A598&lt;$Q$573,MAX(0,-Assumptions!$B$22*(F598/INDEX(Surface_Engine!$B$12:$B$72,$A598+1))),0)))+2*Assumptions!$B$27*(IF(C598&lt;=0,0,MAX(0,(B598/C598)*G598/INDEX(Surface_Engine!$B$12:$B$72,$A598+1)-F598/INDEX(Surface_Engine!$B$12:$B$72,$A598+1))))*(MAX(0,J598/INDEX(Surface_Engine!$B$12:$B$72,$A598+1)-(F598/INDEX(Surface_Engine!$B$12:$B$72,$A598+1))))+2*Assumptions!$B$28*(MAX(IF(D598&lt;=0,0,MAX(0,(B598/D598)*H598/INDEX(Surface_Engine!$B$12:$B$72,$A598+1)-F598/INDEX(Surface_Engine!$B$12:$B$72,$A598+1))),IF(E598&lt;=0,0,MAX(0,(B598/E598)*I598/INDEX(Surface_Engine!$B$12:$B$72,$A598+1)-F598/INDEX(Surface_Engine!$B$12:$B$72,$A598+1))),IF($A598&lt;$Q$573,MAX(0,-Assumptions!$B$22*(F598/INDEX(Surface_Engine!$B$12:$B$72,$A598+1))),0)))*(MAX(0,J598/INDEX(Surface_Engine!$B$12:$B$72,$A598+1)-(F598/INDEX(Surface_Engine!$B$12:$B$72,$A598+1)))))</f>
        <v>7460.62876004838</v>
      </c>
      <c r="L598" s="48" t="n">
        <f aca="false">K598*INDEX(Surface_Engine!$B$12:$B$72,$A598+1)+L599</f>
        <v>23249.4847878044</v>
      </c>
      <c r="M598" s="48" t="n">
        <f aca="false">M597+B597*(IF($A597&lt;$Q$573,(Surface_Engine!G241*12)-(Surface_Engine!G241*12)*INDEX(Surface_Engine!$F$12:$F$72,$A597+1)-INDEX(Surface_Engine!$D$12:$D$72,$A597+1),-(1000*12*INDEX(Surface_Engine!$C$12:$C$72,$A597+1)/(1+Assumptions!$B$10)^15+INDEX(Surface_Engine!$D$12:$D$72,$A597+1))))*INDEX(Surface_Engine!$B$12:$B$72,$A597+1)</f>
        <v>26513.5163596027</v>
      </c>
      <c r="N598" s="12" t="n">
        <f aca="false">IF(B598&lt;=0,0,MAX(0,(K598+Assumptions!$B$29*L598/INDEX(Surface_Engine!$B$12:$B$72,$A598+1)-(M598/INDEX(Surface_Engine!$B$12:$B$72,$A598+1)-(F598/INDEX(Surface_Engine!$B$12:$B$72,$A598+1))))/B598))</f>
        <v>11969.5622310788</v>
      </c>
    </row>
    <row r="599" customFormat="false" ht="15" hidden="false" customHeight="true" outlineLevel="0" collapsed="false">
      <c r="A599" s="1" t="n">
        <v>24</v>
      </c>
      <c r="B599" s="32" t="n">
        <f aca="false">INDEX(Surface_Engine!$L$12:$L$72,$A599+1)*IF($A599&lt;$Q$573,INDEX(Surface_Engine!$E$12:$E$72,$A599+1),INDEX(Surface_Engine!$E$12:$E$72,$Q$573+1))</f>
        <v>0.449154499373439</v>
      </c>
      <c r="C599" s="32" t="n">
        <f aca="false">INDEX(Panel_Reserving!$D$8:$D$68,$A599+1)*IF($A599&lt;$Q$573,INDEX(Surface_Engine!$E$12:$E$72,$A599+1),INDEX(Surface_Engine!$E$12:$E$72,$Q$573+1))</f>
        <v>0.507993121665553</v>
      </c>
      <c r="D599" s="32" t="n">
        <f aca="false">INDEX(Surface_Engine!$L$12:$L$72,$A599+1)*IF($A599&lt;$Q$573,INDEX(Surface_Engine!$Y$12:$Y$72,$A599+1),INDEX(Surface_Engine!$Y$12:$Y$72,$Q$573+1))</f>
        <v>0.406879562488992</v>
      </c>
      <c r="E599" s="32" t="n">
        <f aca="false">INDEX(Surface_Engine!$L$12:$L$72,$A599+1)*IF($A599&lt;$Q$573,INDEX(Surface_Engine!$Z$12:$Z$72,$A599+1),INDEX(Surface_Engine!$Z$12:$Z$72,$Q$573+1))</f>
        <v>0.495366894542317</v>
      </c>
      <c r="F599" s="48" t="n">
        <f aca="false">B599*(IF($A599&lt;$Q$573,INDEX(Surface_Engine!$D$12:$D$72,$A599+1)+(Surface_Engine!G241*12)*INDEX(Surface_Engine!$F$12:$F$72,$A599+1)-(Surface_Engine!G241*12),1000*12*INDEX(Surface_Engine!$C$12:$C$72,$A599+1)/(1+Assumptions!$B$10)^15+INDEX(Surface_Engine!$D$12:$D$72,$A599+1)))*INDEX(Surface_Engine!$B$12:$B$72,$A599+1)+F600</f>
        <v>20952.8977699149</v>
      </c>
      <c r="G599" s="48" t="n">
        <f aca="false">C599*(IF($A599&lt;$Q$573,INDEX(Surface_Engine!$D$12:$D$72,$A599+1)+(Surface_Engine!G241*12)*INDEX(Surface_Engine!$F$12:$F$72,$A599+1)-(Surface_Engine!G241*12),1000*12*INDEX(Surface_Engine!$C$12:$C$72,$A599+1)/(1+Assumptions!$B$10)^15+INDEX(Surface_Engine!$D$12:$D$72,$A599+1)))*INDEX(Surface_Engine!$B$12:$B$72,$A599+1)+G600</f>
        <v>27377.3686547547</v>
      </c>
      <c r="H599" s="48" t="n">
        <f aca="false">D599*(IF($A599&lt;$Q$573,INDEX(Surface_Engine!$D$12:$D$72,$A599+1)+(Surface_Engine!G241*12)*INDEX(Surface_Engine!$F$12:$F$72,$A599+1)-(Surface_Engine!G241*12),1000*12*INDEX(Surface_Engine!$C$12:$C$72,$A599+1)/(1+Assumptions!$B$10)^15+INDEX(Surface_Engine!$D$12:$D$72,$A599+1)))*INDEX(Surface_Engine!$B$12:$B$72,$A599+1)+H600</f>
        <v>18980.7869884241</v>
      </c>
      <c r="I599" s="48" t="n">
        <f aca="false">E599*(IF($A599&lt;$Q$573,INDEX(Surface_Engine!$D$12:$D$72,$A599+1)+(Surface_Engine!G241*12)*INDEX(Surface_Engine!$F$12:$F$72,$A599+1)-(Surface_Engine!G241*12),1000*12*INDEX(Surface_Engine!$C$12:$C$72,$A599+1)/(1+Assumptions!$B$10)^15+INDEX(Surface_Engine!$D$12:$D$72,$A599+1)))*INDEX(Surface_Engine!$B$12:$B$72,$A599+1)+I600</f>
        <v>23108.6895810336</v>
      </c>
      <c r="J599" s="48" t="n">
        <f aca="false">B599*(IF($A599&lt;$Q$573,INDEX(Surface_Engine!$D$12:$D$72,$A599+1)*(1+Assumptions!$B$24)+(Surface_Engine!G241*12)*INDEX(Surface_Engine!$F$12:$F$72,$A599+1)-(Surface_Engine!G241*12),1000*12*INDEX(Surface_Engine!$C$12:$C$72,$A599+1)/(1+Assumptions!$B$10)^15+INDEX(Surface_Engine!$D$12:$D$72,$A599+1)*(1+Assumptions!$B$24)))*INDEX(Surface_Engine!$B$12:$B$72,$A599+1)+J600</f>
        <v>20974.820686561</v>
      </c>
      <c r="K599" s="12" t="n">
        <f aca="false">SQRT((IF(C599&lt;=0,0,MAX(0,(B599/C599)*G599/INDEX(Surface_Engine!$B$12:$B$72,$A599+1)-F599/INDEX(Surface_Engine!$B$12:$B$72,$A599+1))))^2+(MAX(IF(D599&lt;=0,0,MAX(0,(B599/D599)*H599/INDEX(Surface_Engine!$B$12:$B$72,$A599+1)-F599/INDEX(Surface_Engine!$B$12:$B$72,$A599+1))),IF(E599&lt;=0,0,MAX(0,(B599/E599)*I599/INDEX(Surface_Engine!$B$12:$B$72,$A599+1)-F599/INDEX(Surface_Engine!$B$12:$B$72,$A599+1))),IF($A599&lt;$Q$573,MAX(0,-Assumptions!$B$22*(F599/INDEX(Surface_Engine!$B$12:$B$72,$A599+1))),0)))^2+(MAX(0,J599/INDEX(Surface_Engine!$B$12:$B$72,$A599+1)-(F599/INDEX(Surface_Engine!$B$12:$B$72,$A599+1))))^2+2*Assumptions!$B$26*(IF(C599&lt;=0,0,MAX(0,(B599/C599)*G599/INDEX(Surface_Engine!$B$12:$B$72,$A599+1)-F599/INDEX(Surface_Engine!$B$12:$B$72,$A599+1))))*(MAX(IF(D599&lt;=0,0,MAX(0,(B599/D599)*H599/INDEX(Surface_Engine!$B$12:$B$72,$A599+1)-F599/INDEX(Surface_Engine!$B$12:$B$72,$A599+1))),IF(E599&lt;=0,0,MAX(0,(B599/E599)*I599/INDEX(Surface_Engine!$B$12:$B$72,$A599+1)-F599/INDEX(Surface_Engine!$B$12:$B$72,$A599+1))),IF($A599&lt;$Q$573,MAX(0,-Assumptions!$B$22*(F599/INDEX(Surface_Engine!$B$12:$B$72,$A599+1))),0)))+2*Assumptions!$B$27*(IF(C599&lt;=0,0,MAX(0,(B599/C599)*G599/INDEX(Surface_Engine!$B$12:$B$72,$A599+1)-F599/INDEX(Surface_Engine!$B$12:$B$72,$A599+1))))*(MAX(0,J599/INDEX(Surface_Engine!$B$12:$B$72,$A599+1)-(F599/INDEX(Surface_Engine!$B$12:$B$72,$A599+1))))+2*Assumptions!$B$28*(MAX(IF(D599&lt;=0,0,MAX(0,(B599/D599)*H599/INDEX(Surface_Engine!$B$12:$B$72,$A599+1)-F599/INDEX(Surface_Engine!$B$12:$B$72,$A599+1))),IF(E599&lt;=0,0,MAX(0,(B599/E599)*I599/INDEX(Surface_Engine!$B$12:$B$72,$A599+1)-F599/INDEX(Surface_Engine!$B$12:$B$72,$A599+1))),IF($A599&lt;$Q$573,MAX(0,-Assumptions!$B$22*(F599/INDEX(Surface_Engine!$B$12:$B$72,$A599+1))),0)))*(MAX(0,J599/INDEX(Surface_Engine!$B$12:$B$72,$A599+1)-(F599/INDEX(Surface_Engine!$B$12:$B$72,$A599+1)))))</f>
        <v>6898.79818033116</v>
      </c>
      <c r="L599" s="48" t="n">
        <f aca="false">K599*INDEX(Surface_Engine!$B$12:$B$72,$A599+1)+L600</f>
        <v>19611.5668995367</v>
      </c>
      <c r="M599" s="48" t="n">
        <f aca="false">M598+B598*(IF($A598&lt;$Q$573,(Surface_Engine!G241*12)-(Surface_Engine!G241*12)*INDEX(Surface_Engine!$F$12:$F$72,$A598+1)-INDEX(Surface_Engine!$D$12:$D$72,$A598+1),-(1000*12*INDEX(Surface_Engine!$C$12:$C$72,$A598+1)/(1+Assumptions!$B$10)^15+INDEX(Surface_Engine!$D$12:$D$72,$A598+1))))*INDEX(Surface_Engine!$B$12:$B$72,$A598+1)</f>
        <v>23159.5746512561</v>
      </c>
      <c r="N599" s="12" t="n">
        <f aca="false">IF(B599&lt;=0,0,MAX(0,(K599+Assumptions!$B$29*L599/INDEX(Surface_Engine!$B$12:$B$72,$A599+1)-(M599/INDEX(Surface_Engine!$B$12:$B$72,$A599+1)-(F599/INDEX(Surface_Engine!$B$12:$B$72,$A599+1))))/B599))</f>
        <v>10505.2877480078</v>
      </c>
    </row>
    <row r="600" customFormat="false" ht="15" hidden="false" customHeight="true" outlineLevel="0" collapsed="false">
      <c r="A600" s="1" t="n">
        <v>25</v>
      </c>
      <c r="B600" s="32" t="n">
        <f aca="false">INDEX(Surface_Engine!$L$12:$L$72,$A600+1)*IF($A600&lt;$Q$573,INDEX(Surface_Engine!$E$12:$E$72,$A600+1),INDEX(Surface_Engine!$E$12:$E$72,$Q$573+1))</f>
        <v>0.412314462599519</v>
      </c>
      <c r="C600" s="32" t="n">
        <f aca="false">INDEX(Panel_Reserving!$D$8:$D$68,$A600+1)*IF($A600&lt;$Q$573,INDEX(Surface_Engine!$E$12:$E$72,$A600+1),INDEX(Surface_Engine!$E$12:$E$72,$Q$573+1))</f>
        <v>0.47466029688626</v>
      </c>
      <c r="D600" s="32" t="n">
        <f aca="false">INDEX(Surface_Engine!$L$12:$L$72,$A600+1)*IF($A600&lt;$Q$573,INDEX(Surface_Engine!$Y$12:$Y$72,$A600+1),INDEX(Surface_Engine!$Y$12:$Y$72,$Q$573+1))</f>
        <v>0.373506952250063</v>
      </c>
      <c r="E600" s="32" t="n">
        <f aca="false">INDEX(Surface_Engine!$L$12:$L$72,$A600+1)*IF($A600&lt;$Q$573,INDEX(Surface_Engine!$Z$12:$Z$72,$A600+1),INDEX(Surface_Engine!$Z$12:$Z$72,$Q$573+1))</f>
        <v>0.454736477532181</v>
      </c>
      <c r="F600" s="48" t="n">
        <f aca="false">B600*(IF($A600&lt;$Q$573,INDEX(Surface_Engine!$D$12:$D$72,$A600+1)+(Surface_Engine!G241*12)*INDEX(Surface_Engine!$F$12:$F$72,$A600+1)-(Surface_Engine!G241*12),1000*12*INDEX(Surface_Engine!$C$12:$C$72,$A600+1)/(1+Assumptions!$B$10)^15+INDEX(Surface_Engine!$D$12:$D$72,$A600+1)))*INDEX(Surface_Engine!$B$12:$B$72,$A600+1)+F601</f>
        <v>17878.4967978603</v>
      </c>
      <c r="G600" s="48" t="n">
        <f aca="false">C600*(IF($A600&lt;$Q$573,INDEX(Surface_Engine!$D$12:$D$72,$A600+1)+(Surface_Engine!G241*12)*INDEX(Surface_Engine!$F$12:$F$72,$A600+1)-(Surface_Engine!G241*12),1000*12*INDEX(Surface_Engine!$C$12:$C$72,$A600+1)/(1+Assumptions!$B$10)^15+INDEX(Surface_Engine!$D$12:$D$72,$A600+1)))*INDEX(Surface_Engine!$B$12:$B$72,$A600+1)+G601</f>
        <v>23900.2253795025</v>
      </c>
      <c r="H600" s="48" t="n">
        <f aca="false">D600*(IF($A600&lt;$Q$573,INDEX(Surface_Engine!$D$12:$D$72,$A600+1)+(Surface_Engine!G241*12)*INDEX(Surface_Engine!$F$12:$F$72,$A600+1)-(Surface_Engine!G241*12),1000*12*INDEX(Surface_Engine!$C$12:$C$72,$A600+1)/(1+Assumptions!$B$10)^15+INDEX(Surface_Engine!$D$12:$D$72,$A600+1)))*INDEX(Surface_Engine!$B$12:$B$72,$A600+1)+H601</f>
        <v>16195.7521637251</v>
      </c>
      <c r="I600" s="48" t="n">
        <f aca="false">E600*(IF($A600&lt;$Q$573,INDEX(Surface_Engine!$D$12:$D$72,$A600+1)+(Surface_Engine!G241*12)*INDEX(Surface_Engine!$F$12:$F$72,$A600+1)-(Surface_Engine!G241*12),1000*12*INDEX(Surface_Engine!$C$12:$C$72,$A600+1)/(1+Assumptions!$B$10)^15+INDEX(Surface_Engine!$D$12:$D$72,$A600+1)))*INDEX(Surface_Engine!$B$12:$B$72,$A600+1)+I601</f>
        <v>19717.9710994665</v>
      </c>
      <c r="J600" s="48" t="n">
        <f aca="false">B600*(IF($A600&lt;$Q$573,INDEX(Surface_Engine!$D$12:$D$72,$A600+1)*(1+Assumptions!$B$24)+(Surface_Engine!G241*12)*INDEX(Surface_Engine!$F$12:$F$72,$A600+1)-(Surface_Engine!G241*12),1000*12*INDEX(Surface_Engine!$C$12:$C$72,$A600+1)/(1+Assumptions!$B$10)^15+INDEX(Surface_Engine!$D$12:$D$72,$A600+1)*(1+Assumptions!$B$24)))*INDEX(Surface_Engine!$B$12:$B$72,$A600+1)+J601</f>
        <v>17897.272720333</v>
      </c>
      <c r="K600" s="12" t="n">
        <f aca="false">SQRT((IF(C600&lt;=0,0,MAX(0,(B600/C600)*G600/INDEX(Surface_Engine!$B$12:$B$72,$A600+1)-F600/INDEX(Surface_Engine!$B$12:$B$72,$A600+1))))^2+(MAX(IF(D600&lt;=0,0,MAX(0,(B600/D600)*H600/INDEX(Surface_Engine!$B$12:$B$72,$A600+1)-F600/INDEX(Surface_Engine!$B$12:$B$72,$A600+1))),IF(E600&lt;=0,0,MAX(0,(B600/E600)*I600/INDEX(Surface_Engine!$B$12:$B$72,$A600+1)-F600/INDEX(Surface_Engine!$B$12:$B$72,$A600+1))),IF($A600&lt;$Q$573,MAX(0,-Assumptions!$B$22*(F600/INDEX(Surface_Engine!$B$12:$B$72,$A600+1))),0)))^2+(MAX(0,J600/INDEX(Surface_Engine!$B$12:$B$72,$A600+1)-(F600/INDEX(Surface_Engine!$B$12:$B$72,$A600+1))))^2+2*Assumptions!$B$26*(IF(C600&lt;=0,0,MAX(0,(B600/C600)*G600/INDEX(Surface_Engine!$B$12:$B$72,$A600+1)-F600/INDEX(Surface_Engine!$B$12:$B$72,$A600+1))))*(MAX(IF(D600&lt;=0,0,MAX(0,(B600/D600)*H600/INDEX(Surface_Engine!$B$12:$B$72,$A600+1)-F600/INDEX(Surface_Engine!$B$12:$B$72,$A600+1))),IF(E600&lt;=0,0,MAX(0,(B600/E600)*I600/INDEX(Surface_Engine!$B$12:$B$72,$A600+1)-F600/INDEX(Surface_Engine!$B$12:$B$72,$A600+1))),IF($A600&lt;$Q$573,MAX(0,-Assumptions!$B$22*(F600/INDEX(Surface_Engine!$B$12:$B$72,$A600+1))),0)))+2*Assumptions!$B$27*(IF(C600&lt;=0,0,MAX(0,(B600/C600)*G600/INDEX(Surface_Engine!$B$12:$B$72,$A600+1)-F600/INDEX(Surface_Engine!$B$12:$B$72,$A600+1))))*(MAX(0,J600/INDEX(Surface_Engine!$B$12:$B$72,$A600+1)-(F600/INDEX(Surface_Engine!$B$12:$B$72,$A600+1))))+2*Assumptions!$B$28*(MAX(IF(D600&lt;=0,0,MAX(0,(B600/D600)*H600/INDEX(Surface_Engine!$B$12:$B$72,$A600+1)-F600/INDEX(Surface_Engine!$B$12:$B$72,$A600+1))),IF(E600&lt;=0,0,MAX(0,(B600/E600)*I600/INDEX(Surface_Engine!$B$12:$B$72,$A600+1)-F600/INDEX(Surface_Engine!$B$12:$B$72,$A600+1))),IF($A600&lt;$Q$573,MAX(0,-Assumptions!$B$22*(F600/INDEX(Surface_Engine!$B$12:$B$72,$A600+1))),0)))*(MAX(0,J600/INDEX(Surface_Engine!$B$12:$B$72,$A600+1)-(F600/INDEX(Surface_Engine!$B$12:$B$72,$A600+1)))))</f>
        <v>6307.28720789341</v>
      </c>
      <c r="L600" s="48" t="n">
        <f aca="false">K600*INDEX(Surface_Engine!$B$12:$B$72,$A600+1)+L601</f>
        <v>16352.5470723149</v>
      </c>
      <c r="M600" s="48" t="n">
        <f aca="false">M599+B599*(IF($A599&lt;$Q$573,(Surface_Engine!G241*12)-(Surface_Engine!G241*12)*INDEX(Surface_Engine!$F$12:$F$72,$A599+1)-INDEX(Surface_Engine!$D$12:$D$72,$A599+1),-(1000*12*INDEX(Surface_Engine!$C$12:$C$72,$A599+1)/(1+Assumptions!$B$10)^15+INDEX(Surface_Engine!$D$12:$D$72,$A599+1))))*INDEX(Surface_Engine!$B$12:$B$72,$A599+1)</f>
        <v>20085.1736792015</v>
      </c>
      <c r="N600" s="12" t="n">
        <f aca="false">IF(B600&lt;=0,0,MAX(0,(K600+Assumptions!$B$29*L600/INDEX(Surface_Engine!$B$12:$B$72,$A600+1)-(M600/INDEX(Surface_Engine!$B$12:$B$72,$A600+1)-(F600/INDEX(Surface_Engine!$B$12:$B$72,$A600+1))))/B600))</f>
        <v>8804.12711684837</v>
      </c>
    </row>
    <row r="601" customFormat="false" ht="15" hidden="false" customHeight="true" outlineLevel="0" collapsed="false">
      <c r="A601" s="1" t="n">
        <v>26</v>
      </c>
      <c r="B601" s="32" t="n">
        <f aca="false">INDEX(Surface_Engine!$L$12:$L$72,$A601+1)*IF($A601&lt;$Q$573,INDEX(Surface_Engine!$E$12:$E$72,$A601+1),INDEX(Surface_Engine!$E$12:$E$72,$Q$573+1))</f>
        <v>0.372847430397582</v>
      </c>
      <c r="C601" s="32" t="n">
        <f aca="false">INDEX(Panel_Reserving!$D$8:$D$68,$A601+1)*IF($A601&lt;$Q$573,INDEX(Surface_Engine!$E$12:$E$72,$A601+1),INDEX(Surface_Engine!$E$12:$E$72,$Q$573+1))</f>
        <v>0.43831244121497</v>
      </c>
      <c r="D601" s="32" t="n">
        <f aca="false">INDEX(Surface_Engine!$L$12:$L$72,$A601+1)*IF($A601&lt;$Q$573,INDEX(Surface_Engine!$Y$12:$Y$72,$A601+1),INDEX(Surface_Engine!$Y$12:$Y$72,$Q$573+1))</f>
        <v>0.337754602407271</v>
      </c>
      <c r="E601" s="32" t="n">
        <f aca="false">INDEX(Surface_Engine!$L$12:$L$72,$A601+1)*IF($A601&lt;$Q$573,INDEX(Surface_Engine!$Z$12:$Z$72,$A601+1),INDEX(Surface_Engine!$Z$12:$Z$72,$Q$573+1))</f>
        <v>0.411208780033998</v>
      </c>
      <c r="F601" s="48" t="n">
        <f aca="false">B601*(IF($A601&lt;$Q$573,INDEX(Surface_Engine!$D$12:$D$72,$A601+1)+(Surface_Engine!G241*12)*INDEX(Surface_Engine!$F$12:$F$72,$A601+1)-(Surface_Engine!G241*12),1000*12*INDEX(Surface_Engine!$C$12:$C$72,$A601+1)/(1+Assumptions!$B$10)^15+INDEX(Surface_Engine!$D$12:$D$72,$A601+1)))*INDEX(Surface_Engine!$B$12:$B$72,$A601+1)+F602</f>
        <v>15088.9106071848</v>
      </c>
      <c r="G601" s="48" t="n">
        <f aca="false">C601*(IF($A601&lt;$Q$573,INDEX(Surface_Engine!$D$12:$D$72,$A601+1)+(Surface_Engine!G241*12)*INDEX(Surface_Engine!$F$12:$F$72,$A601+1)-(Surface_Engine!G241*12),1000*12*INDEX(Surface_Engine!$C$12:$C$72,$A601+1)/(1+Assumptions!$B$10)^15+INDEX(Surface_Engine!$D$12:$D$72,$A601+1)))*INDEX(Surface_Engine!$B$12:$B$72,$A601+1)+G602</f>
        <v>20688.8274549481</v>
      </c>
      <c r="H601" s="48" t="n">
        <f aca="false">D601*(IF($A601&lt;$Q$573,INDEX(Surface_Engine!$D$12:$D$72,$A601+1)+(Surface_Engine!G241*12)*INDEX(Surface_Engine!$F$12:$F$72,$A601+1)-(Surface_Engine!G241*12),1000*12*INDEX(Surface_Engine!$C$12:$C$72,$A601+1)/(1+Assumptions!$B$10)^15+INDEX(Surface_Engine!$D$12:$D$72,$A601+1)))*INDEX(Surface_Engine!$B$12:$B$72,$A601+1)+H602</f>
        <v>13668.7250263576</v>
      </c>
      <c r="I601" s="48" t="n">
        <f aca="false">E601*(IF($A601&lt;$Q$573,INDEX(Surface_Engine!$D$12:$D$72,$A601+1)+(Surface_Engine!G241*12)*INDEX(Surface_Engine!$F$12:$F$72,$A601+1)-(Surface_Engine!G241*12),1000*12*INDEX(Surface_Engine!$C$12:$C$72,$A601+1)/(1+Assumptions!$B$10)^15+INDEX(Surface_Engine!$D$12:$D$72,$A601+1)))*INDEX(Surface_Engine!$B$12:$B$72,$A601+1)+I602</f>
        <v>16641.3712874626</v>
      </c>
      <c r="J601" s="48" t="n">
        <f aca="false">B601*(IF($A601&lt;$Q$573,INDEX(Surface_Engine!$D$12:$D$72,$A601+1)*(1+Assumptions!$B$24)+(Surface_Engine!G241*12)*INDEX(Surface_Engine!$F$12:$F$72,$A601+1)-(Surface_Engine!G241*12),1000*12*INDEX(Surface_Engine!$C$12:$C$72,$A601+1)/(1+Assumptions!$B$10)^15+INDEX(Surface_Engine!$D$12:$D$72,$A601+1)*(1+Assumptions!$B$24)))*INDEX(Surface_Engine!$B$12:$B$72,$A601+1)+J602</f>
        <v>15104.8172220018</v>
      </c>
      <c r="K601" s="12" t="n">
        <f aca="false">SQRT((IF(C601&lt;=0,0,MAX(0,(B601/C601)*G601/INDEX(Surface_Engine!$B$12:$B$72,$A601+1)-F601/INDEX(Surface_Engine!$B$12:$B$72,$A601+1))))^2+(MAX(IF(D601&lt;=0,0,MAX(0,(B601/D601)*H601/INDEX(Surface_Engine!$B$12:$B$72,$A601+1)-F601/INDEX(Surface_Engine!$B$12:$B$72,$A601+1))),IF(E601&lt;=0,0,MAX(0,(B601/E601)*I601/INDEX(Surface_Engine!$B$12:$B$72,$A601+1)-F601/INDEX(Surface_Engine!$B$12:$B$72,$A601+1))),IF($A601&lt;$Q$573,MAX(0,-Assumptions!$B$22*(F601/INDEX(Surface_Engine!$B$12:$B$72,$A601+1))),0)))^2+(MAX(0,J601/INDEX(Surface_Engine!$B$12:$B$72,$A601+1)-(F601/INDEX(Surface_Engine!$B$12:$B$72,$A601+1))))^2+2*Assumptions!$B$26*(IF(C601&lt;=0,0,MAX(0,(B601/C601)*G601/INDEX(Surface_Engine!$B$12:$B$72,$A601+1)-F601/INDEX(Surface_Engine!$B$12:$B$72,$A601+1))))*(MAX(IF(D601&lt;=0,0,MAX(0,(B601/D601)*H601/INDEX(Surface_Engine!$B$12:$B$72,$A601+1)-F601/INDEX(Surface_Engine!$B$12:$B$72,$A601+1))),IF(E601&lt;=0,0,MAX(0,(B601/E601)*I601/INDEX(Surface_Engine!$B$12:$B$72,$A601+1)-F601/INDEX(Surface_Engine!$B$12:$B$72,$A601+1))),IF($A601&lt;$Q$573,MAX(0,-Assumptions!$B$22*(F601/INDEX(Surface_Engine!$B$12:$B$72,$A601+1))),0)))+2*Assumptions!$B$27*(IF(C601&lt;=0,0,MAX(0,(B601/C601)*G601/INDEX(Surface_Engine!$B$12:$B$72,$A601+1)-F601/INDEX(Surface_Engine!$B$12:$B$72,$A601+1))))*(MAX(0,J601/INDEX(Surface_Engine!$B$12:$B$72,$A601+1)-(F601/INDEX(Surface_Engine!$B$12:$B$72,$A601+1))))+2*Assumptions!$B$28*(MAX(IF(D601&lt;=0,0,MAX(0,(B601/D601)*H601/INDEX(Surface_Engine!$B$12:$B$72,$A601+1)-F601/INDEX(Surface_Engine!$B$12:$B$72,$A601+1))),IF(E601&lt;=0,0,MAX(0,(B601/E601)*I601/INDEX(Surface_Engine!$B$12:$B$72,$A601+1)-F601/INDEX(Surface_Engine!$B$12:$B$72,$A601+1))),IF($A601&lt;$Q$573,MAX(0,-Assumptions!$B$22*(F601/INDEX(Surface_Engine!$B$12:$B$72,$A601+1))),0)))*(MAX(0,J601/INDEX(Surface_Engine!$B$12:$B$72,$A601+1)-(F601/INDEX(Surface_Engine!$B$12:$B$72,$A601+1)))))</f>
        <v>5669.00483769088</v>
      </c>
      <c r="L601" s="48" t="n">
        <f aca="false">K601*INDEX(Surface_Engine!$B$12:$B$72,$A601+1)+L602</f>
        <v>13465.3218121171</v>
      </c>
      <c r="M601" s="48" t="n">
        <f aca="false">M600+B600*(IF($A600&lt;$Q$573,(Surface_Engine!G241*12)-(Surface_Engine!G241*12)*INDEX(Surface_Engine!$F$12:$F$72,$A600+1)-INDEX(Surface_Engine!$D$12:$D$72,$A600+1),-(1000*12*INDEX(Surface_Engine!$C$12:$C$72,$A600+1)/(1+Assumptions!$B$10)^15+INDEX(Surface_Engine!$D$12:$D$72,$A600+1))))*INDEX(Surface_Engine!$B$12:$B$72,$A600+1)</f>
        <v>17295.587488526</v>
      </c>
      <c r="N601" s="12" t="n">
        <f aca="false">IF(B601&lt;=0,0,MAX(0,(K601+Assumptions!$B$29*L601/INDEX(Surface_Engine!$B$12:$B$72,$A601+1)-(M601/INDEX(Surface_Engine!$B$12:$B$72,$A601+1)-(F601/INDEX(Surface_Engine!$B$12:$B$72,$A601+1))))/B601))</f>
        <v>6744.69701304621</v>
      </c>
    </row>
    <row r="602" customFormat="false" ht="15" hidden="false" customHeight="true" outlineLevel="0" collapsed="false">
      <c r="A602" s="1" t="n">
        <v>27</v>
      </c>
      <c r="B602" s="32" t="n">
        <f aca="false">INDEX(Surface_Engine!$L$12:$L$72,$A602+1)*IF($A602&lt;$Q$573,INDEX(Surface_Engine!$E$12:$E$72,$A602+1),INDEX(Surface_Engine!$E$12:$E$72,$Q$573+1))</f>
        <v>0.332624074601597</v>
      </c>
      <c r="C602" s="32" t="n">
        <f aca="false">INDEX(Panel_Reserving!$D$8:$D$68,$A602+1)*IF($A602&lt;$Q$573,INDEX(Surface_Engine!$E$12:$E$72,$A602+1),INDEX(Surface_Engine!$E$12:$E$72,$Q$573+1))</f>
        <v>0.400483783516573</v>
      </c>
      <c r="D602" s="32" t="n">
        <f aca="false">INDEX(Surface_Engine!$L$12:$L$72,$A602+1)*IF($A602&lt;$Q$573,INDEX(Surface_Engine!$Y$12:$Y$72,$A602+1),INDEX(Surface_Engine!$Y$12:$Y$72,$Q$573+1))</f>
        <v>0.301317115014983</v>
      </c>
      <c r="E602" s="32" t="n">
        <f aca="false">INDEX(Surface_Engine!$L$12:$L$72,$A602+1)*IF($A602&lt;$Q$573,INDEX(Surface_Engine!$Z$12:$Z$72,$A602+1),INDEX(Surface_Engine!$Z$12:$Z$72,$Q$573+1))</f>
        <v>0.366846942678426</v>
      </c>
      <c r="F602" s="48" t="n">
        <f aca="false">B602*(IF($A602&lt;$Q$573,INDEX(Surface_Engine!$D$12:$D$72,$A602+1)+(Surface_Engine!G241*12)*INDEX(Surface_Engine!$F$12:$F$72,$A602+1)-(Surface_Engine!G241*12),1000*12*INDEX(Surface_Engine!$C$12:$C$72,$A602+1)/(1+Assumptions!$B$10)^15+INDEX(Surface_Engine!$D$12:$D$72,$A602+1)))*INDEX(Surface_Engine!$B$12:$B$72,$A602+1)+F603</f>
        <v>12596.2044884733</v>
      </c>
      <c r="G602" s="48" t="n">
        <f aca="false">C602*(IF($A602&lt;$Q$573,INDEX(Surface_Engine!$D$12:$D$72,$A602+1)+(Surface_Engine!G241*12)*INDEX(Surface_Engine!$F$12:$F$72,$A602+1)-(Surface_Engine!G241*12),1000*12*INDEX(Surface_Engine!$C$12:$C$72,$A602+1)/(1+Assumptions!$B$10)^15+INDEX(Surface_Engine!$D$12:$D$72,$A602+1)))*INDEX(Surface_Engine!$B$12:$B$72,$A602+1)+G603</f>
        <v>17758.4489273051</v>
      </c>
      <c r="H602" s="48" t="n">
        <f aca="false">D602*(IF($A602&lt;$Q$573,INDEX(Surface_Engine!$D$12:$D$72,$A602+1)+(Surface_Engine!G241*12)*INDEX(Surface_Engine!$F$12:$F$72,$A602+1)-(Surface_Engine!G241*12),1000*12*INDEX(Surface_Engine!$C$12:$C$72,$A602+1)/(1+Assumptions!$B$10)^15+INDEX(Surface_Engine!$D$12:$D$72,$A602+1)))*INDEX(Surface_Engine!$B$12:$B$72,$A602+1)+H603</f>
        <v>11410.6352679119</v>
      </c>
      <c r="I602" s="48" t="n">
        <f aca="false">E602*(IF($A602&lt;$Q$573,INDEX(Surface_Engine!$D$12:$D$72,$A602+1)+(Surface_Engine!G241*12)*INDEX(Surface_Engine!$F$12:$F$72,$A602+1)-(Surface_Engine!G241*12),1000*12*INDEX(Surface_Engine!$C$12:$C$72,$A602+1)/(1+Assumptions!$B$10)^15+INDEX(Surface_Engine!$D$12:$D$72,$A602+1)))*INDEX(Surface_Engine!$B$12:$B$72,$A602+1)+I603</f>
        <v>13892.1968035037</v>
      </c>
      <c r="J602" s="48" t="n">
        <f aca="false">B602*(IF($A602&lt;$Q$573,INDEX(Surface_Engine!$D$12:$D$72,$A602+1)*(1+Assumptions!$B$24)+(Surface_Engine!G241*12)*INDEX(Surface_Engine!$F$12:$F$72,$A602+1)-(Surface_Engine!G241*12),1000*12*INDEX(Surface_Engine!$C$12:$C$72,$A602+1)/(1+Assumptions!$B$10)^15+INDEX(Surface_Engine!$D$12:$D$72,$A602+1)*(1+Assumptions!$B$24)))*INDEX(Surface_Engine!$B$12:$B$72,$A602+1)+J603</f>
        <v>12609.5347215696</v>
      </c>
      <c r="K602" s="12" t="n">
        <f aca="false">SQRT((IF(C602&lt;=0,0,MAX(0,(B602/C602)*G602/INDEX(Surface_Engine!$B$12:$B$72,$A602+1)-F602/INDEX(Surface_Engine!$B$12:$B$72,$A602+1))))^2+(MAX(IF(D602&lt;=0,0,MAX(0,(B602/D602)*H602/INDEX(Surface_Engine!$B$12:$B$72,$A602+1)-F602/INDEX(Surface_Engine!$B$12:$B$72,$A602+1))),IF(E602&lt;=0,0,MAX(0,(B602/E602)*I602/INDEX(Surface_Engine!$B$12:$B$72,$A602+1)-F602/INDEX(Surface_Engine!$B$12:$B$72,$A602+1))),IF($A602&lt;$Q$573,MAX(0,-Assumptions!$B$22*(F602/INDEX(Surface_Engine!$B$12:$B$72,$A602+1))),0)))^2+(MAX(0,J602/INDEX(Surface_Engine!$B$12:$B$72,$A602+1)-(F602/INDEX(Surface_Engine!$B$12:$B$72,$A602+1))))^2+2*Assumptions!$B$26*(IF(C602&lt;=0,0,MAX(0,(B602/C602)*G602/INDEX(Surface_Engine!$B$12:$B$72,$A602+1)-F602/INDEX(Surface_Engine!$B$12:$B$72,$A602+1))))*(MAX(IF(D602&lt;=0,0,MAX(0,(B602/D602)*H602/INDEX(Surface_Engine!$B$12:$B$72,$A602+1)-F602/INDEX(Surface_Engine!$B$12:$B$72,$A602+1))),IF(E602&lt;=0,0,MAX(0,(B602/E602)*I602/INDEX(Surface_Engine!$B$12:$B$72,$A602+1)-F602/INDEX(Surface_Engine!$B$12:$B$72,$A602+1))),IF($A602&lt;$Q$573,MAX(0,-Assumptions!$B$22*(F602/INDEX(Surface_Engine!$B$12:$B$72,$A602+1))),0)))+2*Assumptions!$B$27*(IF(C602&lt;=0,0,MAX(0,(B602/C602)*G602/INDEX(Surface_Engine!$B$12:$B$72,$A602+1)-F602/INDEX(Surface_Engine!$B$12:$B$72,$A602+1))))*(MAX(0,J602/INDEX(Surface_Engine!$B$12:$B$72,$A602+1)-(F602/INDEX(Surface_Engine!$B$12:$B$72,$A602+1))))+2*Assumptions!$B$28*(MAX(IF(D602&lt;=0,0,MAX(0,(B602/D602)*H602/INDEX(Surface_Engine!$B$12:$B$72,$A602+1)-F602/INDEX(Surface_Engine!$B$12:$B$72,$A602+1))),IF(E602&lt;=0,0,MAX(0,(B602/E602)*I602/INDEX(Surface_Engine!$B$12:$B$72,$A602+1)-F602/INDEX(Surface_Engine!$B$12:$B$72,$A602+1))),IF($A602&lt;$Q$573,MAX(0,-Assumptions!$B$22*(F602/INDEX(Surface_Engine!$B$12:$B$72,$A602+1))),0)))*(MAX(0,J602/INDEX(Surface_Engine!$B$12:$B$72,$A602+1)-(F602/INDEX(Surface_Engine!$B$12:$B$72,$A602+1)))))</f>
        <v>5018.92580486777</v>
      </c>
      <c r="L602" s="48" t="n">
        <f aca="false">K602*INDEX(Surface_Engine!$B$12:$B$72,$A602+1)+L603</f>
        <v>10951.4013677926</v>
      </c>
      <c r="M602" s="48" t="n">
        <f aca="false">M601+B601*(IF($A601&lt;$Q$573,(Surface_Engine!G241*12)-(Surface_Engine!G241*12)*INDEX(Surface_Engine!$F$12:$F$72,$A601+1)-INDEX(Surface_Engine!$D$12:$D$72,$A601+1),-(1000*12*INDEX(Surface_Engine!$C$12:$C$72,$A601+1)/(1+Assumptions!$B$10)^15+INDEX(Surface_Engine!$D$12:$D$72,$A601+1))))*INDEX(Surface_Engine!$B$12:$B$72,$A601+1)</f>
        <v>14802.8813698144</v>
      </c>
      <c r="N602" s="12" t="n">
        <f aca="false">IF(B602&lt;=0,0,MAX(0,(K602+Assumptions!$B$29*L602/INDEX(Surface_Engine!$B$12:$B$72,$A602+1)-(M602/INDEX(Surface_Engine!$B$12:$B$72,$A602+1)-(F602/INDEX(Surface_Engine!$B$12:$B$72,$A602+1))))/B602))</f>
        <v>4246.72466678151</v>
      </c>
    </row>
    <row r="603" customFormat="false" ht="15" hidden="false" customHeight="true" outlineLevel="0" collapsed="false">
      <c r="A603" s="1" t="n">
        <v>28</v>
      </c>
      <c r="B603" s="32" t="n">
        <f aca="false">INDEX(Surface_Engine!$L$12:$L$72,$A603+1)*IF($A603&lt;$Q$573,INDEX(Surface_Engine!$E$12:$E$72,$A603+1),INDEX(Surface_Engine!$E$12:$E$72,$Q$573+1))</f>
        <v>0.292623682400675</v>
      </c>
      <c r="C603" s="32" t="n">
        <f aca="false">INDEX(Panel_Reserving!$D$8:$D$68,$A603+1)*IF($A603&lt;$Q$573,INDEX(Surface_Engine!$E$12:$E$72,$A603+1),INDEX(Surface_Engine!$E$12:$E$72,$Q$573+1))</f>
        <v>0.361954982665439</v>
      </c>
      <c r="D603" s="32" t="n">
        <f aca="false">INDEX(Surface_Engine!$L$12:$L$72,$A603+1)*IF($A603&lt;$Q$573,INDEX(Surface_Engine!$Y$12:$Y$72,$A603+1),INDEX(Surface_Engine!$Y$12:$Y$72,$Q$573+1))</f>
        <v>0.26508160562834</v>
      </c>
      <c r="E603" s="32" t="n">
        <f aca="false">INDEX(Surface_Engine!$L$12:$L$72,$A603+1)*IF($A603&lt;$Q$573,INDEX(Surface_Engine!$Z$12:$Z$72,$A603+1),INDEX(Surface_Engine!$Z$12:$Z$72,$Q$573+1))</f>
        <v>0.32273100909057</v>
      </c>
      <c r="F603" s="48" t="n">
        <f aca="false">B603*(IF($A603&lt;$Q$573,INDEX(Surface_Engine!$D$12:$D$72,$A603+1)+(Surface_Engine!G241*12)*INDEX(Surface_Engine!$F$12:$F$72,$A603+1)-(Surface_Engine!G241*12),1000*12*INDEX(Surface_Engine!$C$12:$C$72,$A603+1)/(1+Assumptions!$B$10)^15+INDEX(Surface_Engine!$D$12:$D$72,$A603+1)))*INDEX(Surface_Engine!$B$12:$B$72,$A603+1)+F604</f>
        <v>10398.2472695178</v>
      </c>
      <c r="G603" s="48" t="n">
        <f aca="false">C603*(IF($A603&lt;$Q$573,INDEX(Surface_Engine!$D$12:$D$72,$A603+1)+(Surface_Engine!G241*12)*INDEX(Surface_Engine!$F$12:$F$72,$A603+1)-(Surface_Engine!G241*12),1000*12*INDEX(Surface_Engine!$C$12:$C$72,$A603+1)/(1+Assumptions!$B$10)^15+INDEX(Surface_Engine!$D$12:$D$72,$A603+1)))*INDEX(Surface_Engine!$B$12:$B$72,$A603+1)+G604</f>
        <v>15112.0793760056</v>
      </c>
      <c r="H603" s="48" t="n">
        <f aca="false">D603*(IF($A603&lt;$Q$573,INDEX(Surface_Engine!$D$12:$D$72,$A603+1)+(Surface_Engine!G241*12)*INDEX(Surface_Engine!$F$12:$F$72,$A603+1)-(Surface_Engine!G241*12),1000*12*INDEX(Surface_Engine!$C$12:$C$72,$A603+1)/(1+Assumptions!$B$10)^15+INDEX(Surface_Engine!$D$12:$D$72,$A603+1)))*INDEX(Surface_Engine!$B$12:$B$72,$A603+1)+H604</f>
        <v>9419.55230455373</v>
      </c>
      <c r="I603" s="48" t="n">
        <f aca="false">E603*(IF($A603&lt;$Q$573,INDEX(Surface_Engine!$D$12:$D$72,$A603+1)+(Surface_Engine!G241*12)*INDEX(Surface_Engine!$F$12:$F$72,$A603+1)-(Surface_Engine!G241*12),1000*12*INDEX(Surface_Engine!$C$12:$C$72,$A603+1)/(1+Assumptions!$B$10)^15+INDEX(Surface_Engine!$D$12:$D$72,$A603+1)))*INDEX(Surface_Engine!$B$12:$B$72,$A603+1)+I604</f>
        <v>11468.0972043464</v>
      </c>
      <c r="J603" s="48" t="n">
        <f aca="false">B603*(IF($A603&lt;$Q$573,INDEX(Surface_Engine!$D$12:$D$72,$A603+1)*(1+Assumptions!$B$24)+(Surface_Engine!G241*12)*INDEX(Surface_Engine!$F$12:$F$72,$A603+1)-(Surface_Engine!G241*12),1000*12*INDEX(Surface_Engine!$C$12:$C$72,$A603+1)/(1+Assumptions!$B$10)^15+INDEX(Surface_Engine!$D$12:$D$72,$A603+1)*(1+Assumptions!$B$24)))*INDEX(Surface_Engine!$B$12:$B$72,$A603+1)+J604</f>
        <v>10409.2947436593</v>
      </c>
      <c r="K603" s="12" t="n">
        <f aca="false">SQRT((IF(C603&lt;=0,0,MAX(0,(B603/C603)*G603/INDEX(Surface_Engine!$B$12:$B$72,$A603+1)-F603/INDEX(Surface_Engine!$B$12:$B$72,$A603+1))))^2+(MAX(IF(D603&lt;=0,0,MAX(0,(B603/D603)*H603/INDEX(Surface_Engine!$B$12:$B$72,$A603+1)-F603/INDEX(Surface_Engine!$B$12:$B$72,$A603+1))),IF(E603&lt;=0,0,MAX(0,(B603/E603)*I603/INDEX(Surface_Engine!$B$12:$B$72,$A603+1)-F603/INDEX(Surface_Engine!$B$12:$B$72,$A603+1))),IF($A603&lt;$Q$573,MAX(0,-Assumptions!$B$22*(F603/INDEX(Surface_Engine!$B$12:$B$72,$A603+1))),0)))^2+(MAX(0,J603/INDEX(Surface_Engine!$B$12:$B$72,$A603+1)-(F603/INDEX(Surface_Engine!$B$12:$B$72,$A603+1))))^2+2*Assumptions!$B$26*(IF(C603&lt;=0,0,MAX(0,(B603/C603)*G603/INDEX(Surface_Engine!$B$12:$B$72,$A603+1)-F603/INDEX(Surface_Engine!$B$12:$B$72,$A603+1))))*(MAX(IF(D603&lt;=0,0,MAX(0,(B603/D603)*H603/INDEX(Surface_Engine!$B$12:$B$72,$A603+1)-F603/INDEX(Surface_Engine!$B$12:$B$72,$A603+1))),IF(E603&lt;=0,0,MAX(0,(B603/E603)*I603/INDEX(Surface_Engine!$B$12:$B$72,$A603+1)-F603/INDEX(Surface_Engine!$B$12:$B$72,$A603+1))),IF($A603&lt;$Q$573,MAX(0,-Assumptions!$B$22*(F603/INDEX(Surface_Engine!$B$12:$B$72,$A603+1))),0)))+2*Assumptions!$B$27*(IF(C603&lt;=0,0,MAX(0,(B603/C603)*G603/INDEX(Surface_Engine!$B$12:$B$72,$A603+1)-F603/INDEX(Surface_Engine!$B$12:$B$72,$A603+1))))*(MAX(0,J603/INDEX(Surface_Engine!$B$12:$B$72,$A603+1)-(F603/INDEX(Surface_Engine!$B$12:$B$72,$A603+1))))+2*Assumptions!$B$28*(MAX(IF(D603&lt;=0,0,MAX(0,(B603/D603)*H603/INDEX(Surface_Engine!$B$12:$B$72,$A603+1)-F603/INDEX(Surface_Engine!$B$12:$B$72,$A603+1))),IF(E603&lt;=0,0,MAX(0,(B603/E603)*I603/INDEX(Surface_Engine!$B$12:$B$72,$A603+1)-F603/INDEX(Surface_Engine!$B$12:$B$72,$A603+1))),IF($A603&lt;$Q$573,MAX(0,-Assumptions!$B$22*(F603/INDEX(Surface_Engine!$B$12:$B$72,$A603+1))),0)))*(MAX(0,J603/INDEX(Surface_Engine!$B$12:$B$72,$A603+1)-(F603/INDEX(Surface_Engine!$B$12:$B$72,$A603+1)))))</f>
        <v>4377.36208269005</v>
      </c>
      <c r="L603" s="48" t="n">
        <f aca="false">K603*INDEX(Surface_Engine!$B$12:$B$72,$A603+1)+L604</f>
        <v>8794.8543392958</v>
      </c>
      <c r="M603" s="48" t="n">
        <f aca="false">M602+B602*(IF($A602&lt;$Q$573,(Surface_Engine!G241*12)-(Surface_Engine!G241*12)*INDEX(Surface_Engine!$F$12:$F$72,$A602+1)-INDEX(Surface_Engine!$D$12:$D$72,$A602+1),-(1000*12*INDEX(Surface_Engine!$C$12:$C$72,$A602+1)/(1+Assumptions!$B$10)^15+INDEX(Surface_Engine!$D$12:$D$72,$A602+1))))*INDEX(Surface_Engine!$B$12:$B$72,$A602+1)</f>
        <v>12604.924150859</v>
      </c>
      <c r="N603" s="12" t="n">
        <f aca="false">IF(B603&lt;=0,0,MAX(0,(K603+Assumptions!$B$29*L603/INDEX(Surface_Engine!$B$12:$B$72,$A603+1)-(M603/INDEX(Surface_Engine!$B$12:$B$72,$A603+1)-(F603/INDEX(Surface_Engine!$B$12:$B$72,$A603+1))))/B603))</f>
        <v>1173.84387751517</v>
      </c>
    </row>
    <row r="604" customFormat="false" ht="15" hidden="false" customHeight="true" outlineLevel="0" collapsed="false">
      <c r="A604" s="1" t="n">
        <v>29</v>
      </c>
      <c r="B604" s="32" t="n">
        <f aca="false">INDEX(Surface_Engine!$L$12:$L$72,$A604+1)*IF($A604&lt;$Q$573,INDEX(Surface_Engine!$E$12:$E$72,$A604+1),INDEX(Surface_Engine!$E$12:$E$72,$Q$573+1))</f>
        <v>0.254005885445969</v>
      </c>
      <c r="C604" s="32" t="n">
        <f aca="false">INDEX(Panel_Reserving!$D$8:$D$68,$A604+1)*IF($A604&lt;$Q$573,INDEX(Surface_Engine!$E$12:$E$72,$A604+1),INDEX(Surface_Engine!$E$12:$E$72,$Q$573+1))</f>
        <v>0.323740976436979</v>
      </c>
      <c r="D604" s="32" t="n">
        <f aca="false">INDEX(Surface_Engine!$L$12:$L$72,$A604+1)*IF($A604&lt;$Q$573,INDEX(Surface_Engine!$Y$12:$Y$72,$A604+1),INDEX(Surface_Engine!$Y$12:$Y$72,$Q$573+1))</f>
        <v>0.230098560036815</v>
      </c>
      <c r="E604" s="32" t="n">
        <f aca="false">INDEX(Surface_Engine!$L$12:$L$72,$A604+1)*IF($A604&lt;$Q$573,INDEX(Surface_Engine!$Z$12:$Z$72,$A604+1),INDEX(Surface_Engine!$Z$12:$Z$72,$Q$573+1))</f>
        <v>0.280139922553077</v>
      </c>
      <c r="F604" s="48" t="n">
        <f aca="false">B604*(IF($A604&lt;$Q$573,INDEX(Surface_Engine!$D$12:$D$72,$A604+1)+(Surface_Engine!G241*12)*INDEX(Surface_Engine!$F$12:$F$72,$A604+1)-(Surface_Engine!G241*12),1000*12*INDEX(Surface_Engine!$C$12:$C$72,$A604+1)/(1+Assumptions!$B$10)^15+INDEX(Surface_Engine!$D$12:$D$72,$A604+1)))*INDEX(Surface_Engine!$B$12:$B$72,$A604+1)+F605</f>
        <v>8487.62651267446</v>
      </c>
      <c r="G604" s="48" t="n">
        <f aca="false">C604*(IF($A604&lt;$Q$573,INDEX(Surface_Engine!$D$12:$D$72,$A604+1)+(Surface_Engine!G241*12)*INDEX(Surface_Engine!$F$12:$F$72,$A604+1)-(Surface_Engine!G241*12),1000*12*INDEX(Surface_Engine!$C$12:$C$72,$A604+1)/(1+Assumptions!$B$10)^15+INDEX(Surface_Engine!$D$12:$D$72,$A604+1)))*INDEX(Surface_Engine!$B$12:$B$72,$A604+1)+G605</f>
        <v>12748.7754313285</v>
      </c>
      <c r="H604" s="48" t="n">
        <f aca="false">D604*(IF($A604&lt;$Q$573,INDEX(Surface_Engine!$D$12:$D$72,$A604+1)+(Surface_Engine!G241*12)*INDEX(Surface_Engine!$F$12:$F$72,$A604+1)-(Surface_Engine!G241*12),1000*12*INDEX(Surface_Engine!$C$12:$C$72,$A604+1)/(1+Assumptions!$B$10)^15+INDEX(Surface_Engine!$D$12:$D$72,$A604+1)))*INDEX(Surface_Engine!$B$12:$B$72,$A604+1)+H605</f>
        <v>7688.76136577599</v>
      </c>
      <c r="I604" s="48" t="n">
        <f aca="false">E604*(IF($A604&lt;$Q$573,INDEX(Surface_Engine!$D$12:$D$72,$A604+1)+(Surface_Engine!G241*12)*INDEX(Surface_Engine!$F$12:$F$72,$A604+1)-(Surface_Engine!G241*12),1000*12*INDEX(Surface_Engine!$C$12:$C$72,$A604+1)/(1+Assumptions!$B$10)^15+INDEX(Surface_Engine!$D$12:$D$72,$A604+1)))*INDEX(Surface_Engine!$B$12:$B$72,$A604+1)+I605</f>
        <v>9360.89740497703</v>
      </c>
      <c r="J604" s="48" t="n">
        <f aca="false">B604*(IF($A604&lt;$Q$573,INDEX(Surface_Engine!$D$12:$D$72,$A604+1)*(1+Assumptions!$B$24)+(Surface_Engine!G241*12)*INDEX(Surface_Engine!$F$12:$F$72,$A604+1)-(Surface_Engine!G241*12),1000*12*INDEX(Surface_Engine!$C$12:$C$72,$A604+1)/(1+Assumptions!$B$10)^15+INDEX(Surface_Engine!$D$12:$D$72,$A604+1)*(1+Assumptions!$B$24)))*INDEX(Surface_Engine!$B$12:$B$72,$A604+1)+J605</f>
        <v>8496.68002473309</v>
      </c>
      <c r="K604" s="12" t="n">
        <f aca="false">SQRT((IF(C604&lt;=0,0,MAX(0,(B604/C604)*G604/INDEX(Surface_Engine!$B$12:$B$72,$A604+1)-F604/INDEX(Surface_Engine!$B$12:$B$72,$A604+1))))^2+(MAX(IF(D604&lt;=0,0,MAX(0,(B604/D604)*H604/INDEX(Surface_Engine!$B$12:$B$72,$A604+1)-F604/INDEX(Surface_Engine!$B$12:$B$72,$A604+1))),IF(E604&lt;=0,0,MAX(0,(B604/E604)*I604/INDEX(Surface_Engine!$B$12:$B$72,$A604+1)-F604/INDEX(Surface_Engine!$B$12:$B$72,$A604+1))),IF($A604&lt;$Q$573,MAX(0,-Assumptions!$B$22*(F604/INDEX(Surface_Engine!$B$12:$B$72,$A604+1))),0)))^2+(MAX(0,J604/INDEX(Surface_Engine!$B$12:$B$72,$A604+1)-(F604/INDEX(Surface_Engine!$B$12:$B$72,$A604+1))))^2+2*Assumptions!$B$26*(IF(C604&lt;=0,0,MAX(0,(B604/C604)*G604/INDEX(Surface_Engine!$B$12:$B$72,$A604+1)-F604/INDEX(Surface_Engine!$B$12:$B$72,$A604+1))))*(MAX(IF(D604&lt;=0,0,MAX(0,(B604/D604)*H604/INDEX(Surface_Engine!$B$12:$B$72,$A604+1)-F604/INDEX(Surface_Engine!$B$12:$B$72,$A604+1))),IF(E604&lt;=0,0,MAX(0,(B604/E604)*I604/INDEX(Surface_Engine!$B$12:$B$72,$A604+1)-F604/INDEX(Surface_Engine!$B$12:$B$72,$A604+1))),IF($A604&lt;$Q$573,MAX(0,-Assumptions!$B$22*(F604/INDEX(Surface_Engine!$B$12:$B$72,$A604+1))),0)))+2*Assumptions!$B$27*(IF(C604&lt;=0,0,MAX(0,(B604/C604)*G604/INDEX(Surface_Engine!$B$12:$B$72,$A604+1)-F604/INDEX(Surface_Engine!$B$12:$B$72,$A604+1))))*(MAX(0,J604/INDEX(Surface_Engine!$B$12:$B$72,$A604+1)-(F604/INDEX(Surface_Engine!$B$12:$B$72,$A604+1))))+2*Assumptions!$B$28*(MAX(IF(D604&lt;=0,0,MAX(0,(B604/D604)*H604/INDEX(Surface_Engine!$B$12:$B$72,$A604+1)-F604/INDEX(Surface_Engine!$B$12:$B$72,$A604+1))),IF(E604&lt;=0,0,MAX(0,(B604/E604)*I604/INDEX(Surface_Engine!$B$12:$B$72,$A604+1)-F604/INDEX(Surface_Engine!$B$12:$B$72,$A604+1))),IF($A604&lt;$Q$573,MAX(0,-Assumptions!$B$22*(F604/INDEX(Surface_Engine!$B$12:$B$72,$A604+1))),0)))*(MAX(0,J604/INDEX(Surface_Engine!$B$12:$B$72,$A604+1)-(F604/INDEX(Surface_Engine!$B$12:$B$72,$A604+1)))))</f>
        <v>3763.4486528762</v>
      </c>
      <c r="L604" s="48" t="n">
        <f aca="false">K604*INDEX(Surface_Engine!$B$12:$B$72,$A604+1)+L605</f>
        <v>6972.89864124277</v>
      </c>
      <c r="M604" s="48" t="n">
        <f aca="false">M603+B603*(IF($A603&lt;$Q$573,(Surface_Engine!G241*12)-(Surface_Engine!G241*12)*INDEX(Surface_Engine!$F$12:$F$72,$A603+1)-INDEX(Surface_Engine!$D$12:$D$72,$A603+1),-(1000*12*INDEX(Surface_Engine!$C$12:$C$72,$A603+1)/(1+Assumptions!$B$10)^15+INDEX(Surface_Engine!$D$12:$D$72,$A603+1))))*INDEX(Surface_Engine!$B$12:$B$72,$A603+1)</f>
        <v>10694.3033940157</v>
      </c>
      <c r="N604" s="12" t="n">
        <f aca="false">IF(B604&lt;=0,0,MAX(0,(K604+Assumptions!$B$29*L604/INDEX(Surface_Engine!$B$12:$B$72,$A604+1)-(M604/INDEX(Surface_Engine!$B$12:$B$72,$A604+1)-(F604/INDEX(Surface_Engine!$B$12:$B$72,$A604+1))))/B604))</f>
        <v>0</v>
      </c>
    </row>
    <row r="605" customFormat="false" ht="15" hidden="false" customHeight="true" outlineLevel="0" collapsed="false">
      <c r="A605" s="1" t="n">
        <v>30</v>
      </c>
      <c r="B605" s="32" t="n">
        <f aca="false">INDEX(Surface_Engine!$L$12:$L$72,$A605+1)*IF($A605&lt;$Q$573,INDEX(Surface_Engine!$E$12:$E$72,$A605+1),INDEX(Surface_Engine!$E$12:$E$72,$Q$573+1))</f>
        <v>0.217698687470758</v>
      </c>
      <c r="C605" s="32" t="n">
        <f aca="false">INDEX(Panel_Reserving!$D$8:$D$68,$A605+1)*IF($A605&lt;$Q$573,INDEX(Surface_Engine!$E$12:$E$72,$A605+1),INDEX(Surface_Engine!$E$12:$E$72,$Q$573+1))</f>
        <v>0.286720959507691</v>
      </c>
      <c r="D605" s="32" t="n">
        <f aca="false">INDEX(Surface_Engine!$L$12:$L$72,$A605+1)*IF($A605&lt;$Q$573,INDEX(Surface_Engine!$Y$12:$Y$72,$A605+1),INDEX(Surface_Engine!$Y$12:$Y$72,$Q$573+1))</f>
        <v>0.19720863719743</v>
      </c>
      <c r="E605" s="32" t="n">
        <f aca="false">INDEX(Surface_Engine!$L$12:$L$72,$A605+1)*IF($A605&lt;$Q$573,INDEX(Surface_Engine!$Z$12:$Z$72,$A605+1),INDEX(Surface_Engine!$Z$12:$Z$72,$Q$573+1))</f>
        <v>0.240097166807331</v>
      </c>
      <c r="F605" s="48" t="n">
        <f aca="false">B605*(IF($A605&lt;$Q$573,INDEX(Surface_Engine!$D$12:$D$72,$A605+1)+(Surface_Engine!G241*12)*INDEX(Surface_Engine!$F$12:$F$72,$A605+1)-(Surface_Engine!G241*12),1000*12*INDEX(Surface_Engine!$C$12:$C$72,$A605+1)/(1+Assumptions!$B$10)^15+INDEX(Surface_Engine!$D$12:$D$72,$A605+1)))*INDEX(Surface_Engine!$B$12:$B$72,$A605+1)+F606</f>
        <v>6848.95637285421</v>
      </c>
      <c r="G605" s="48" t="n">
        <f aca="false">C605*(IF($A605&lt;$Q$573,INDEX(Surface_Engine!$D$12:$D$72,$A605+1)+(Surface_Engine!G241*12)*INDEX(Surface_Engine!$F$12:$F$72,$A605+1)-(Surface_Engine!G241*12),1000*12*INDEX(Surface_Engine!$C$12:$C$72,$A605+1)/(1+Assumptions!$B$10)^15+INDEX(Surface_Engine!$D$12:$D$72,$A605+1)))*INDEX(Surface_Engine!$B$12:$B$72,$A605+1)+G606</f>
        <v>10660.2227578654</v>
      </c>
      <c r="H605" s="48" t="n">
        <f aca="false">D605*(IF($A605&lt;$Q$573,INDEX(Surface_Engine!$D$12:$D$72,$A605+1)+(Surface_Engine!G241*12)*INDEX(Surface_Engine!$F$12:$F$72,$A605+1)-(Surface_Engine!G241*12),1000*12*INDEX(Surface_Engine!$C$12:$C$72,$A605+1)/(1+Assumptions!$B$10)^15+INDEX(Surface_Engine!$D$12:$D$72,$A605+1)))*INDEX(Surface_Engine!$B$12:$B$72,$A605+1)+H606</f>
        <v>6204.32473988461</v>
      </c>
      <c r="I605" s="48" t="n">
        <f aca="false">E605*(IF($A605&lt;$Q$573,INDEX(Surface_Engine!$D$12:$D$72,$A605+1)+(Surface_Engine!G241*12)*INDEX(Surface_Engine!$F$12:$F$72,$A605+1)-(Surface_Engine!G241*12),1000*12*INDEX(Surface_Engine!$C$12:$C$72,$A605+1)/(1+Assumptions!$B$10)^15+INDEX(Surface_Engine!$D$12:$D$72,$A605+1)))*INDEX(Surface_Engine!$B$12:$B$72,$A605+1)+I606</f>
        <v>7553.628548772</v>
      </c>
      <c r="J605" s="48" t="n">
        <f aca="false">B605*(IF($A605&lt;$Q$573,INDEX(Surface_Engine!$D$12:$D$72,$A605+1)*(1+Assumptions!$B$24)+(Surface_Engine!G241*12)*INDEX(Surface_Engine!$F$12:$F$72,$A605+1)-(Surface_Engine!G241*12),1000*12*INDEX(Surface_Engine!$C$12:$C$72,$A605+1)/(1+Assumptions!$B$10)^15+INDEX(Surface_Engine!$D$12:$D$72,$A605+1)*(1+Assumptions!$B$24)))*INDEX(Surface_Engine!$B$12:$B$72,$A605+1)+J606</f>
        <v>6856.29144076855</v>
      </c>
      <c r="K605" s="12" t="n">
        <f aca="false">SQRT((IF(C605&lt;=0,0,MAX(0,(B605/C605)*G605/INDEX(Surface_Engine!$B$12:$B$72,$A605+1)-F605/INDEX(Surface_Engine!$B$12:$B$72,$A605+1))))^2+(MAX(IF(D605&lt;=0,0,MAX(0,(B605/D605)*H605/INDEX(Surface_Engine!$B$12:$B$72,$A605+1)-F605/INDEX(Surface_Engine!$B$12:$B$72,$A605+1))),IF(E605&lt;=0,0,MAX(0,(B605/E605)*I605/INDEX(Surface_Engine!$B$12:$B$72,$A605+1)-F605/INDEX(Surface_Engine!$B$12:$B$72,$A605+1))),IF($A605&lt;$Q$573,MAX(0,-Assumptions!$B$22*(F605/INDEX(Surface_Engine!$B$12:$B$72,$A605+1))),0)))^2+(MAX(0,J605/INDEX(Surface_Engine!$B$12:$B$72,$A605+1)-(F605/INDEX(Surface_Engine!$B$12:$B$72,$A605+1))))^2+2*Assumptions!$B$26*(IF(C605&lt;=0,0,MAX(0,(B605/C605)*G605/INDEX(Surface_Engine!$B$12:$B$72,$A605+1)-F605/INDEX(Surface_Engine!$B$12:$B$72,$A605+1))))*(MAX(IF(D605&lt;=0,0,MAX(0,(B605/D605)*H605/INDEX(Surface_Engine!$B$12:$B$72,$A605+1)-F605/INDEX(Surface_Engine!$B$12:$B$72,$A605+1))),IF(E605&lt;=0,0,MAX(0,(B605/E605)*I605/INDEX(Surface_Engine!$B$12:$B$72,$A605+1)-F605/INDEX(Surface_Engine!$B$12:$B$72,$A605+1))),IF($A605&lt;$Q$573,MAX(0,-Assumptions!$B$22*(F605/INDEX(Surface_Engine!$B$12:$B$72,$A605+1))),0)))+2*Assumptions!$B$27*(IF(C605&lt;=0,0,MAX(0,(B605/C605)*G605/INDEX(Surface_Engine!$B$12:$B$72,$A605+1)-F605/INDEX(Surface_Engine!$B$12:$B$72,$A605+1))))*(MAX(0,J605/INDEX(Surface_Engine!$B$12:$B$72,$A605+1)-(F605/INDEX(Surface_Engine!$B$12:$B$72,$A605+1))))+2*Assumptions!$B$28*(MAX(IF(D605&lt;=0,0,MAX(0,(B605/D605)*H605/INDEX(Surface_Engine!$B$12:$B$72,$A605+1)-F605/INDEX(Surface_Engine!$B$12:$B$72,$A605+1))),IF(E605&lt;=0,0,MAX(0,(B605/E605)*I605/INDEX(Surface_Engine!$B$12:$B$72,$A605+1)-F605/INDEX(Surface_Engine!$B$12:$B$72,$A605+1))),IF($A605&lt;$Q$573,MAX(0,-Assumptions!$B$22*(F605/INDEX(Surface_Engine!$B$12:$B$72,$A605+1))),0)))*(MAX(0,J605/INDEX(Surface_Engine!$B$12:$B$72,$A605+1)-(F605/INDEX(Surface_Engine!$B$12:$B$72,$A605+1)))))</f>
        <v>3192.99330648882</v>
      </c>
      <c r="L605" s="48" t="n">
        <f aca="false">K605*INDEX(Surface_Engine!$B$12:$B$72,$A605+1)+L606</f>
        <v>5455.5978395291</v>
      </c>
      <c r="M605" s="48" t="n">
        <f aca="false">M604+B604*(IF($A604&lt;$Q$573,(Surface_Engine!G241*12)-(Surface_Engine!G241*12)*INDEX(Surface_Engine!$F$12:$F$72,$A604+1)-INDEX(Surface_Engine!$D$12:$D$72,$A604+1),-(1000*12*INDEX(Surface_Engine!$C$12:$C$72,$A604+1)/(1+Assumptions!$B$10)^15+INDEX(Surface_Engine!$D$12:$D$72,$A604+1))))*INDEX(Surface_Engine!$B$12:$B$72,$A604+1)</f>
        <v>9055.6332541954</v>
      </c>
      <c r="N605" s="12" t="n">
        <f aca="false">IF(B605&lt;=0,0,MAX(0,(K605+Assumptions!$B$29*L605/INDEX(Surface_Engine!$B$12:$B$72,$A605+1)-(M605/INDEX(Surface_Engine!$B$12:$B$72,$A605+1)-(F605/INDEX(Surface_Engine!$B$12:$B$72,$A605+1))))/B605))</f>
        <v>0</v>
      </c>
    </row>
    <row r="606" customFormat="false" ht="15" hidden="false" customHeight="true" outlineLevel="0" collapsed="false">
      <c r="A606" s="1" t="n">
        <v>31</v>
      </c>
      <c r="B606" s="32" t="n">
        <f aca="false">INDEX(Surface_Engine!$L$12:$L$72,$A606+1)*IF($A606&lt;$Q$573,INDEX(Surface_Engine!$E$12:$E$72,$A606+1),INDEX(Surface_Engine!$E$12:$E$72,$Q$573+1))</f>
        <v>0.183301739410898</v>
      </c>
      <c r="C606" s="32" t="n">
        <f aca="false">INDEX(Panel_Reserving!$D$8:$D$68,$A606+1)*IF($A606&lt;$Q$573,INDEX(Surface_Engine!$E$12:$E$72,$A606+1),INDEX(Surface_Engine!$E$12:$E$72,$Q$573+1))</f>
        <v>0.250478844990821</v>
      </c>
      <c r="D606" s="32" t="n">
        <f aca="false">INDEX(Surface_Engine!$L$12:$L$72,$A606+1)*IF($A606&lt;$Q$573,INDEX(Surface_Engine!$Y$12:$Y$72,$A606+1),INDEX(Surface_Engine!$Y$12:$Y$72,$Q$573+1))</f>
        <v>0.166049169359357</v>
      </c>
      <c r="E606" s="32" t="n">
        <f aca="false">INDEX(Surface_Engine!$L$12:$L$72,$A606+1)*IF($A606&lt;$Q$573,INDEX(Surface_Engine!$Z$12:$Z$72,$A606+1),INDEX(Surface_Engine!$Z$12:$Z$72,$Q$573+1))</f>
        <v>0.202161201864498</v>
      </c>
      <c r="F606" s="48" t="n">
        <f aca="false">B606*(IF($A606&lt;$Q$573,INDEX(Surface_Engine!$D$12:$D$72,$A606+1)+(Surface_Engine!G241*12)*INDEX(Surface_Engine!$F$12:$F$72,$A606+1)-(Surface_Engine!G241*12),1000*12*INDEX(Surface_Engine!$C$12:$C$72,$A606+1)/(1+Assumptions!$B$10)^15+INDEX(Surface_Engine!$D$12:$D$72,$A606+1)))*INDEX(Surface_Engine!$B$12:$B$72,$A606+1)+F607</f>
        <v>5461.33945047546</v>
      </c>
      <c r="G606" s="48" t="n">
        <f aca="false">C606*(IF($A606&lt;$Q$573,INDEX(Surface_Engine!$D$12:$D$72,$A606+1)+(Surface_Engine!G241*12)*INDEX(Surface_Engine!$F$12:$F$72,$A606+1)-(Surface_Engine!G241*12),1000*12*INDEX(Surface_Engine!$C$12:$C$72,$A606+1)/(1+Assumptions!$B$10)^15+INDEX(Surface_Engine!$D$12:$D$72,$A606+1)))*INDEX(Surface_Engine!$B$12:$B$72,$A606+1)+G607</f>
        <v>8832.65613339053</v>
      </c>
      <c r="H606" s="48" t="n">
        <f aca="false">D606*(IF($A606&lt;$Q$573,INDEX(Surface_Engine!$D$12:$D$72,$A606+1)+(Surface_Engine!G241*12)*INDEX(Surface_Engine!$F$12:$F$72,$A606+1)-(Surface_Engine!G241*12),1000*12*INDEX(Surface_Engine!$C$12:$C$72,$A606+1)/(1+Assumptions!$B$10)^15+INDEX(Surface_Engine!$D$12:$D$72,$A606+1)))*INDEX(Surface_Engine!$B$12:$B$72,$A606+1)+H607</f>
        <v>4947.31191452633</v>
      </c>
      <c r="I606" s="48" t="n">
        <f aca="false">E606*(IF($A606&lt;$Q$573,INDEX(Surface_Engine!$D$12:$D$72,$A606+1)+(Surface_Engine!G241*12)*INDEX(Surface_Engine!$F$12:$F$72,$A606+1)-(Surface_Engine!G241*12),1000*12*INDEX(Surface_Engine!$C$12:$C$72,$A606+1)/(1+Assumptions!$B$10)^15+INDEX(Surface_Engine!$D$12:$D$72,$A606+1)))*INDEX(Surface_Engine!$B$12:$B$72,$A606+1)+I607</f>
        <v>6023.2431544099</v>
      </c>
      <c r="J606" s="48" t="n">
        <f aca="false">B606*(IF($A606&lt;$Q$573,INDEX(Surface_Engine!$D$12:$D$72,$A606+1)*(1+Assumptions!$B$24)+(Surface_Engine!G241*12)*INDEX(Surface_Engine!$F$12:$F$72,$A606+1)-(Surface_Engine!G241*12),1000*12*INDEX(Surface_Engine!$C$12:$C$72,$A606+1)/(1+Assumptions!$B$10)^15+INDEX(Surface_Engine!$D$12:$D$72,$A606+1)*(1+Assumptions!$B$24)))*INDEX(Surface_Engine!$B$12:$B$72,$A606+1)+J607</f>
        <v>5467.21229126154</v>
      </c>
      <c r="K606" s="12" t="n">
        <f aca="false">SQRT((IF(C606&lt;=0,0,MAX(0,(B606/C606)*G606/INDEX(Surface_Engine!$B$12:$B$72,$A606+1)-F606/INDEX(Surface_Engine!$B$12:$B$72,$A606+1))))^2+(MAX(IF(D606&lt;=0,0,MAX(0,(B606/D606)*H606/INDEX(Surface_Engine!$B$12:$B$72,$A606+1)-F606/INDEX(Surface_Engine!$B$12:$B$72,$A606+1))),IF(E606&lt;=0,0,MAX(0,(B606/E606)*I606/INDEX(Surface_Engine!$B$12:$B$72,$A606+1)-F606/INDEX(Surface_Engine!$B$12:$B$72,$A606+1))),IF($A606&lt;$Q$573,MAX(0,-Assumptions!$B$22*(F606/INDEX(Surface_Engine!$B$12:$B$72,$A606+1))),0)))^2+(MAX(0,J606/INDEX(Surface_Engine!$B$12:$B$72,$A606+1)-(F606/INDEX(Surface_Engine!$B$12:$B$72,$A606+1))))^2+2*Assumptions!$B$26*(IF(C606&lt;=0,0,MAX(0,(B606/C606)*G606/INDEX(Surface_Engine!$B$12:$B$72,$A606+1)-F606/INDEX(Surface_Engine!$B$12:$B$72,$A606+1))))*(MAX(IF(D606&lt;=0,0,MAX(0,(B606/D606)*H606/INDEX(Surface_Engine!$B$12:$B$72,$A606+1)-F606/INDEX(Surface_Engine!$B$12:$B$72,$A606+1))),IF(E606&lt;=0,0,MAX(0,(B606/E606)*I606/INDEX(Surface_Engine!$B$12:$B$72,$A606+1)-F606/INDEX(Surface_Engine!$B$12:$B$72,$A606+1))),IF($A606&lt;$Q$573,MAX(0,-Assumptions!$B$22*(F606/INDEX(Surface_Engine!$B$12:$B$72,$A606+1))),0)))+2*Assumptions!$B$27*(IF(C606&lt;=0,0,MAX(0,(B606/C606)*G606/INDEX(Surface_Engine!$B$12:$B$72,$A606+1)-F606/INDEX(Surface_Engine!$B$12:$B$72,$A606+1))))*(MAX(0,J606/INDEX(Surface_Engine!$B$12:$B$72,$A606+1)-(F606/INDEX(Surface_Engine!$B$12:$B$72,$A606+1))))+2*Assumptions!$B$28*(MAX(IF(D606&lt;=0,0,MAX(0,(B606/D606)*H606/INDEX(Surface_Engine!$B$12:$B$72,$A606+1)-F606/INDEX(Surface_Engine!$B$12:$B$72,$A606+1))),IF(E606&lt;=0,0,MAX(0,(B606/E606)*I606/INDEX(Surface_Engine!$B$12:$B$72,$A606+1)-F606/INDEX(Surface_Engine!$B$12:$B$72,$A606+1))),IF($A606&lt;$Q$573,MAX(0,-Assumptions!$B$22*(F606/INDEX(Surface_Engine!$B$12:$B$72,$A606+1))),0)))*(MAX(0,J606/INDEX(Surface_Engine!$B$12:$B$72,$A606+1)-(F606/INDEX(Surface_Engine!$B$12:$B$72,$A606+1)))))</f>
        <v>2653.48542533413</v>
      </c>
      <c r="L606" s="48" t="n">
        <f aca="false">K606*INDEX(Surface_Engine!$B$12:$B$72,$A606+1)+L607</f>
        <v>4208.71048551951</v>
      </c>
      <c r="M606" s="48" t="n">
        <f aca="false">M605+B605*(IF($A605&lt;$Q$573,(Surface_Engine!G241*12)-(Surface_Engine!G241*12)*INDEX(Surface_Engine!$F$12:$F$72,$A605+1)-INDEX(Surface_Engine!$D$12:$D$72,$A605+1),-(1000*12*INDEX(Surface_Engine!$C$12:$C$72,$A605+1)/(1+Assumptions!$B$10)^15+INDEX(Surface_Engine!$D$12:$D$72,$A605+1))))*INDEX(Surface_Engine!$B$12:$B$72,$A605+1)</f>
        <v>7668.01633181665</v>
      </c>
      <c r="N606" s="12" t="n">
        <f aca="false">IF(B606&lt;=0,0,MAX(0,(K606+Assumptions!$B$29*L606/INDEX(Surface_Engine!$B$12:$B$72,$A606+1)-(M606/INDEX(Surface_Engine!$B$12:$B$72,$A606+1)-(F606/INDEX(Surface_Engine!$B$12:$B$72,$A606+1))))/B606))</f>
        <v>0</v>
      </c>
    </row>
    <row r="607" customFormat="false" ht="15" hidden="false" customHeight="true" outlineLevel="0" collapsed="false">
      <c r="A607" s="1" t="n">
        <v>32</v>
      </c>
      <c r="B607" s="32" t="n">
        <f aca="false">INDEX(Surface_Engine!$L$12:$L$72,$A607+1)*IF($A607&lt;$Q$573,INDEX(Surface_Engine!$E$12:$E$72,$A607+1),INDEX(Surface_Engine!$E$12:$E$72,$Q$573+1))</f>
        <v>0.152474042651336</v>
      </c>
      <c r="C607" s="32" t="n">
        <f aca="false">INDEX(Panel_Reserving!$D$8:$D$68,$A607+1)*IF($A607&lt;$Q$573,INDEX(Surface_Engine!$E$12:$E$72,$A607+1),INDEX(Surface_Engine!$E$12:$E$72,$Q$573+1))</f>
        <v>0.216778408092062</v>
      </c>
      <c r="D607" s="32" t="n">
        <f aca="false">INDEX(Surface_Engine!$L$12:$L$72,$A607+1)*IF($A607&lt;$Q$573,INDEX(Surface_Engine!$Y$12:$Y$72,$A607+1),INDEX(Surface_Engine!$Y$12:$Y$72,$Q$573+1))</f>
        <v>0.138123010793493</v>
      </c>
      <c r="E607" s="32" t="n">
        <f aca="false">INDEX(Surface_Engine!$L$12:$L$72,$A607+1)*IF($A607&lt;$Q$573,INDEX(Surface_Engine!$Z$12:$Z$72,$A607+1),INDEX(Surface_Engine!$Z$12:$Z$72,$Q$573+1))</f>
        <v>0.16816171965742</v>
      </c>
      <c r="F607" s="48" t="n">
        <f aca="false">B607*(IF($A607&lt;$Q$573,INDEX(Surface_Engine!$D$12:$D$72,$A607+1)+(Surface_Engine!G241*12)*INDEX(Surface_Engine!$F$12:$F$72,$A607+1)-(Surface_Engine!G241*12),1000*12*INDEX(Surface_Engine!$C$12:$C$72,$A607+1)/(1+Assumptions!$B$10)^15+INDEX(Surface_Engine!$D$12:$D$72,$A607+1)))*INDEX(Surface_Engine!$B$12:$B$72,$A607+1)+F608</f>
        <v>4306.66346931198</v>
      </c>
      <c r="G607" s="48" t="n">
        <f aca="false">C607*(IF($A607&lt;$Q$573,INDEX(Surface_Engine!$D$12:$D$72,$A607+1)+(Surface_Engine!G241*12)*INDEX(Surface_Engine!$F$12:$F$72,$A607+1)-(Surface_Engine!G241*12),1000*12*INDEX(Surface_Engine!$C$12:$C$72,$A607+1)/(1+Assumptions!$B$10)^15+INDEX(Surface_Engine!$D$12:$D$72,$A607+1)))*INDEX(Surface_Engine!$B$12:$B$72,$A607+1)+G608</f>
        <v>7254.81018915681</v>
      </c>
      <c r="H607" s="48" t="n">
        <f aca="false">D607*(IF($A607&lt;$Q$573,INDEX(Surface_Engine!$D$12:$D$72,$A607+1)+(Surface_Engine!G241*12)*INDEX(Surface_Engine!$F$12:$F$72,$A607+1)-(Surface_Engine!G241*12),1000*12*INDEX(Surface_Engine!$C$12:$C$72,$A607+1)/(1+Assumptions!$B$10)^15+INDEX(Surface_Engine!$D$12:$D$72,$A607+1)))*INDEX(Surface_Engine!$B$12:$B$72,$A607+1)+H608</f>
        <v>3901.31536169713</v>
      </c>
      <c r="I607" s="48" t="n">
        <f aca="false">E607*(IF($A607&lt;$Q$573,INDEX(Surface_Engine!$D$12:$D$72,$A607+1)+(Surface_Engine!G241*12)*INDEX(Surface_Engine!$F$12:$F$72,$A607+1)-(Surface_Engine!G241*12),1000*12*INDEX(Surface_Engine!$C$12:$C$72,$A607+1)/(1+Assumptions!$B$10)^15+INDEX(Surface_Engine!$D$12:$D$72,$A607+1)))*INDEX(Surface_Engine!$B$12:$B$72,$A607+1)+I608</f>
        <v>4749.76541837594</v>
      </c>
      <c r="J607" s="48" t="n">
        <f aca="false">B607*(IF($A607&lt;$Q$573,INDEX(Surface_Engine!$D$12:$D$72,$A607+1)*(1+Assumptions!$B$24)+(Surface_Engine!G241*12)*INDEX(Surface_Engine!$F$12:$F$72,$A607+1)-(Surface_Engine!G241*12),1000*12*INDEX(Surface_Engine!$C$12:$C$72,$A607+1)/(1+Assumptions!$B$10)^15+INDEX(Surface_Engine!$D$12:$D$72,$A607+1)*(1+Assumptions!$B$24)))*INDEX(Surface_Engine!$B$12:$B$72,$A607+1)+J608</f>
        <v>4311.31364745801</v>
      </c>
      <c r="K607" s="12" t="n">
        <f aca="false">SQRT((IF(C607&lt;=0,0,MAX(0,(B607/C607)*G607/INDEX(Surface_Engine!$B$12:$B$72,$A607+1)-F607/INDEX(Surface_Engine!$B$12:$B$72,$A607+1))))^2+(MAX(IF(D607&lt;=0,0,MAX(0,(B607/D607)*H607/INDEX(Surface_Engine!$B$12:$B$72,$A607+1)-F607/INDEX(Surface_Engine!$B$12:$B$72,$A607+1))),IF(E607&lt;=0,0,MAX(0,(B607/E607)*I607/INDEX(Surface_Engine!$B$12:$B$72,$A607+1)-F607/INDEX(Surface_Engine!$B$12:$B$72,$A607+1))),IF($A607&lt;$Q$573,MAX(0,-Assumptions!$B$22*(F607/INDEX(Surface_Engine!$B$12:$B$72,$A607+1))),0)))^2+(MAX(0,J607/INDEX(Surface_Engine!$B$12:$B$72,$A607+1)-(F607/INDEX(Surface_Engine!$B$12:$B$72,$A607+1))))^2+2*Assumptions!$B$26*(IF(C607&lt;=0,0,MAX(0,(B607/C607)*G607/INDEX(Surface_Engine!$B$12:$B$72,$A607+1)-F607/INDEX(Surface_Engine!$B$12:$B$72,$A607+1))))*(MAX(IF(D607&lt;=0,0,MAX(0,(B607/D607)*H607/INDEX(Surface_Engine!$B$12:$B$72,$A607+1)-F607/INDEX(Surface_Engine!$B$12:$B$72,$A607+1))),IF(E607&lt;=0,0,MAX(0,(B607/E607)*I607/INDEX(Surface_Engine!$B$12:$B$72,$A607+1)-F607/INDEX(Surface_Engine!$B$12:$B$72,$A607+1))),IF($A607&lt;$Q$573,MAX(0,-Assumptions!$B$22*(F607/INDEX(Surface_Engine!$B$12:$B$72,$A607+1))),0)))+2*Assumptions!$B$27*(IF(C607&lt;=0,0,MAX(0,(B607/C607)*G607/INDEX(Surface_Engine!$B$12:$B$72,$A607+1)-F607/INDEX(Surface_Engine!$B$12:$B$72,$A607+1))))*(MAX(0,J607/INDEX(Surface_Engine!$B$12:$B$72,$A607+1)-(F607/INDEX(Surface_Engine!$B$12:$B$72,$A607+1))))+2*Assumptions!$B$28*(MAX(IF(D607&lt;=0,0,MAX(0,(B607/D607)*H607/INDEX(Surface_Engine!$B$12:$B$72,$A607+1)-F607/INDEX(Surface_Engine!$B$12:$B$72,$A607+1))),IF(E607&lt;=0,0,MAX(0,(B607/E607)*I607/INDEX(Surface_Engine!$B$12:$B$72,$A607+1)-F607/INDEX(Surface_Engine!$B$12:$B$72,$A607+1))),IF($A607&lt;$Q$573,MAX(0,-Assumptions!$B$22*(F607/INDEX(Surface_Engine!$B$12:$B$72,$A607+1))),0)))*(MAX(0,J607/INDEX(Surface_Engine!$B$12:$B$72,$A607+1)-(F607/INDEX(Surface_Engine!$B$12:$B$72,$A607+1)))))</f>
        <v>2175.7605761714</v>
      </c>
      <c r="L607" s="48" t="n">
        <f aca="false">K607*INDEX(Surface_Engine!$B$12:$B$72,$A607+1)+L608</f>
        <v>3204.78129315077</v>
      </c>
      <c r="M607" s="48" t="n">
        <f aca="false">M606+B606*(IF($A606&lt;$Q$573,(Surface_Engine!G241*12)-(Surface_Engine!G241*12)*INDEX(Surface_Engine!$F$12:$F$72,$A606+1)-INDEX(Surface_Engine!$D$12:$D$72,$A606+1),-(1000*12*INDEX(Surface_Engine!$C$12:$C$72,$A606+1)/(1+Assumptions!$B$10)^15+INDEX(Surface_Engine!$D$12:$D$72,$A606+1))))*INDEX(Surface_Engine!$B$12:$B$72,$A606+1)</f>
        <v>6513.34035065317</v>
      </c>
      <c r="N607" s="12" t="n">
        <f aca="false">IF(B607&lt;=0,0,MAX(0,(K607+Assumptions!$B$29*L607/INDEX(Surface_Engine!$B$12:$B$72,$A607+1)-(M607/INDEX(Surface_Engine!$B$12:$B$72,$A607+1)-(F607/INDEX(Surface_Engine!$B$12:$B$72,$A607+1))))/B607))</f>
        <v>0</v>
      </c>
    </row>
    <row r="608" customFormat="false" ht="15" hidden="false" customHeight="true" outlineLevel="0" collapsed="false">
      <c r="A608" s="1" t="n">
        <v>33</v>
      </c>
      <c r="B608" s="32" t="n">
        <f aca="false">INDEX(Surface_Engine!$L$12:$L$72,$A608+1)*IF($A608&lt;$Q$573,INDEX(Surface_Engine!$E$12:$E$72,$A608+1),INDEX(Surface_Engine!$E$12:$E$72,$Q$573+1))</f>
        <v>0.125320113771468</v>
      </c>
      <c r="C608" s="32" t="n">
        <f aca="false">INDEX(Panel_Reserving!$D$8:$D$68,$A608+1)*IF($A608&lt;$Q$573,INDEX(Surface_Engine!$E$12:$E$72,$A608+1),INDEX(Surface_Engine!$E$12:$E$72,$Q$573+1))</f>
        <v>0.185893751930707</v>
      </c>
      <c r="D608" s="32" t="n">
        <f aca="false">INDEX(Surface_Engine!$L$12:$L$72,$A608+1)*IF($A608&lt;$Q$573,INDEX(Surface_Engine!$Y$12:$Y$72,$A608+1),INDEX(Surface_Engine!$Y$12:$Y$72,$Q$573+1))</f>
        <v>0.113524840858849</v>
      </c>
      <c r="E608" s="32" t="n">
        <f aca="false">INDEX(Surface_Engine!$L$12:$L$72,$A608+1)*IF($A608&lt;$Q$573,INDEX(Surface_Engine!$Z$12:$Z$72,$A608+1),INDEX(Surface_Engine!$Z$12:$Z$72,$Q$573+1))</f>
        <v>0.138213990217757</v>
      </c>
      <c r="F608" s="48" t="n">
        <f aca="false">B608*(IF($A608&lt;$Q$573,INDEX(Surface_Engine!$D$12:$D$72,$A608+1)+(Surface_Engine!G241*12)*INDEX(Surface_Engine!$F$12:$F$72,$A608+1)-(Surface_Engine!G241*12),1000*12*INDEX(Surface_Engine!$C$12:$C$72,$A608+1)/(1+Assumptions!$B$10)^15+INDEX(Surface_Engine!$D$12:$D$72,$A608+1)))*INDEX(Surface_Engine!$B$12:$B$72,$A608+1)+F609</f>
        <v>3357.7508118404</v>
      </c>
      <c r="G608" s="48" t="n">
        <f aca="false">C608*(IF($A608&lt;$Q$573,INDEX(Surface_Engine!$D$12:$D$72,$A608+1)+(Surface_Engine!G241*12)*INDEX(Surface_Engine!$F$12:$F$72,$A608+1)-(Surface_Engine!G241*12),1000*12*INDEX(Surface_Engine!$C$12:$C$72,$A608+1)/(1+Assumptions!$B$10)^15+INDEX(Surface_Engine!$D$12:$D$72,$A608+1)))*INDEX(Surface_Engine!$B$12:$B$72,$A608+1)+G609</f>
        <v>5905.70333970125</v>
      </c>
      <c r="H608" s="48" t="n">
        <f aca="false">D608*(IF($A608&lt;$Q$573,INDEX(Surface_Engine!$D$12:$D$72,$A608+1)+(Surface_Engine!G241*12)*INDEX(Surface_Engine!$F$12:$F$72,$A608+1)-(Surface_Engine!G241*12),1000*12*INDEX(Surface_Engine!$C$12:$C$72,$A608+1)/(1+Assumptions!$B$10)^15+INDEX(Surface_Engine!$D$12:$D$72,$A608+1)))*INDEX(Surface_Engine!$B$12:$B$72,$A608+1)+H609</f>
        <v>3041.71545242116</v>
      </c>
      <c r="I608" s="48" t="n">
        <f aca="false">E608*(IF($A608&lt;$Q$573,INDEX(Surface_Engine!$D$12:$D$72,$A608+1)+(Surface_Engine!G241*12)*INDEX(Surface_Engine!$F$12:$F$72,$A608+1)-(Surface_Engine!G241*12),1000*12*INDEX(Surface_Engine!$C$12:$C$72,$A608+1)/(1+Assumptions!$B$10)^15+INDEX(Surface_Engine!$D$12:$D$72,$A608+1)))*INDEX(Surface_Engine!$B$12:$B$72,$A608+1)+I609</f>
        <v>3703.22148532102</v>
      </c>
      <c r="J608" s="48" t="n">
        <f aca="false">B608*(IF($A608&lt;$Q$573,INDEX(Surface_Engine!$D$12:$D$72,$A608+1)*(1+Assumptions!$B$24)+(Surface_Engine!G241*12)*INDEX(Surface_Engine!$F$12:$F$72,$A608+1)-(Surface_Engine!G241*12),1000*12*INDEX(Surface_Engine!$C$12:$C$72,$A608+1)/(1+Assumptions!$B$10)^15+INDEX(Surface_Engine!$D$12:$D$72,$A608+1)*(1+Assumptions!$B$24)))*INDEX(Surface_Engine!$B$12:$B$72,$A608+1)+J609</f>
        <v>3361.39133289135</v>
      </c>
      <c r="K608" s="12" t="n">
        <f aca="false">SQRT((IF(C608&lt;=0,0,MAX(0,(B608/C608)*G608/INDEX(Surface_Engine!$B$12:$B$72,$A608+1)-F608/INDEX(Surface_Engine!$B$12:$B$72,$A608+1))))^2+(MAX(IF(D608&lt;=0,0,MAX(0,(B608/D608)*H608/INDEX(Surface_Engine!$B$12:$B$72,$A608+1)-F608/INDEX(Surface_Engine!$B$12:$B$72,$A608+1))),IF(E608&lt;=0,0,MAX(0,(B608/E608)*I608/INDEX(Surface_Engine!$B$12:$B$72,$A608+1)-F608/INDEX(Surface_Engine!$B$12:$B$72,$A608+1))),IF($A608&lt;$Q$573,MAX(0,-Assumptions!$B$22*(F608/INDEX(Surface_Engine!$B$12:$B$72,$A608+1))),0)))^2+(MAX(0,J608/INDEX(Surface_Engine!$B$12:$B$72,$A608+1)-(F608/INDEX(Surface_Engine!$B$12:$B$72,$A608+1))))^2+2*Assumptions!$B$26*(IF(C608&lt;=0,0,MAX(0,(B608/C608)*G608/INDEX(Surface_Engine!$B$12:$B$72,$A608+1)-F608/INDEX(Surface_Engine!$B$12:$B$72,$A608+1))))*(MAX(IF(D608&lt;=0,0,MAX(0,(B608/D608)*H608/INDEX(Surface_Engine!$B$12:$B$72,$A608+1)-F608/INDEX(Surface_Engine!$B$12:$B$72,$A608+1))),IF(E608&lt;=0,0,MAX(0,(B608/E608)*I608/INDEX(Surface_Engine!$B$12:$B$72,$A608+1)-F608/INDEX(Surface_Engine!$B$12:$B$72,$A608+1))),IF($A608&lt;$Q$573,MAX(0,-Assumptions!$B$22*(F608/INDEX(Surface_Engine!$B$12:$B$72,$A608+1))),0)))+2*Assumptions!$B$27*(IF(C608&lt;=0,0,MAX(0,(B608/C608)*G608/INDEX(Surface_Engine!$B$12:$B$72,$A608+1)-F608/INDEX(Surface_Engine!$B$12:$B$72,$A608+1))))*(MAX(0,J608/INDEX(Surface_Engine!$B$12:$B$72,$A608+1)-(F608/INDEX(Surface_Engine!$B$12:$B$72,$A608+1))))+2*Assumptions!$B$28*(MAX(IF(D608&lt;=0,0,MAX(0,(B608/D608)*H608/INDEX(Surface_Engine!$B$12:$B$72,$A608+1)-F608/INDEX(Surface_Engine!$B$12:$B$72,$A608+1))),IF(E608&lt;=0,0,MAX(0,(B608/E608)*I608/INDEX(Surface_Engine!$B$12:$B$72,$A608+1)-F608/INDEX(Surface_Engine!$B$12:$B$72,$A608+1))),IF($A608&lt;$Q$573,MAX(0,-Assumptions!$B$22*(F608/INDEX(Surface_Engine!$B$12:$B$72,$A608+1))),0)))*(MAX(0,J608/INDEX(Surface_Engine!$B$12:$B$72,$A608+1)-(F608/INDEX(Surface_Engine!$B$12:$B$72,$A608+1)))))</f>
        <v>1759.66775686408</v>
      </c>
      <c r="L608" s="48" t="n">
        <f aca="false">K608*INDEX(Surface_Engine!$B$12:$B$72,$A608+1)+L609</f>
        <v>2407.50005431984</v>
      </c>
      <c r="M608" s="48" t="n">
        <f aca="false">M607+B607*(IF($A607&lt;$Q$573,(Surface_Engine!G241*12)-(Surface_Engine!G241*12)*INDEX(Surface_Engine!$F$12:$F$72,$A607+1)-INDEX(Surface_Engine!$D$12:$D$72,$A607+1),-(1000*12*INDEX(Surface_Engine!$C$12:$C$72,$A607+1)/(1+Assumptions!$B$10)^15+INDEX(Surface_Engine!$D$12:$D$72,$A607+1))))*INDEX(Surface_Engine!$B$12:$B$72,$A607+1)</f>
        <v>5564.4276931816</v>
      </c>
      <c r="N608" s="12" t="n">
        <f aca="false">IF(B608&lt;=0,0,MAX(0,(K608+Assumptions!$B$29*L608/INDEX(Surface_Engine!$B$12:$B$72,$A608+1)-(M608/INDEX(Surface_Engine!$B$12:$B$72,$A608+1)-(F608/INDEX(Surface_Engine!$B$12:$B$72,$A608+1))))/B608))</f>
        <v>0</v>
      </c>
    </row>
    <row r="609" customFormat="false" ht="15" hidden="false" customHeight="true" outlineLevel="0" collapsed="false">
      <c r="A609" s="1" t="n">
        <v>34</v>
      </c>
      <c r="B609" s="32" t="n">
        <f aca="false">INDEX(Surface_Engine!$L$12:$L$72,$A609+1)*IF($A609&lt;$Q$573,INDEX(Surface_Engine!$E$12:$E$72,$A609+1),INDEX(Surface_Engine!$E$12:$E$72,$Q$573+1))</f>
        <v>0.101764043420001</v>
      </c>
      <c r="C609" s="32" t="n">
        <f aca="false">INDEX(Panel_Reserving!$D$8:$D$68,$A609+1)*IF($A609&lt;$Q$573,INDEX(Surface_Engine!$E$12:$E$72,$A609+1),INDEX(Surface_Engine!$E$12:$E$72,$Q$573+1))</f>
        <v>0.15794021013062</v>
      </c>
      <c r="D609" s="32" t="n">
        <f aca="false">INDEX(Surface_Engine!$L$12:$L$72,$A609+1)*IF($A609&lt;$Q$573,INDEX(Surface_Engine!$Y$12:$Y$72,$A609+1),INDEX(Surface_Engine!$Y$12:$Y$72,$Q$573+1))</f>
        <v>0.0921858948793806</v>
      </c>
      <c r="E609" s="32" t="n">
        <f aca="false">INDEX(Surface_Engine!$L$12:$L$72,$A609+1)*IF($A609&lt;$Q$573,INDEX(Surface_Engine!$Z$12:$Z$72,$A609+1),INDEX(Surface_Engine!$Z$12:$Z$72,$Q$573+1))</f>
        <v>0.112234294068871</v>
      </c>
      <c r="F609" s="48" t="n">
        <f aca="false">B609*(IF($A609&lt;$Q$573,INDEX(Surface_Engine!$D$12:$D$72,$A609+1)+(Surface_Engine!G241*12)*INDEX(Surface_Engine!$F$12:$F$72,$A609+1)-(Surface_Engine!G241*12),1000*12*INDEX(Surface_Engine!$C$12:$C$72,$A609+1)/(1+Assumptions!$B$10)^15+INDEX(Surface_Engine!$D$12:$D$72,$A609+1)))*INDEX(Surface_Engine!$B$12:$B$72,$A609+1)+F610</f>
        <v>2587.25343780921</v>
      </c>
      <c r="G609" s="48" t="n">
        <f aca="false">C609*(IF($A609&lt;$Q$573,INDEX(Surface_Engine!$D$12:$D$72,$A609+1)+(Surface_Engine!G241*12)*INDEX(Surface_Engine!$F$12:$F$72,$A609+1)-(Surface_Engine!G241*12),1000*12*INDEX(Surface_Engine!$C$12:$C$72,$A609+1)/(1+Assumptions!$B$10)^15+INDEX(Surface_Engine!$D$12:$D$72,$A609+1)))*INDEX(Surface_Engine!$B$12:$B$72,$A609+1)+G610</f>
        <v>4762.78506903476</v>
      </c>
      <c r="H609" s="48" t="n">
        <f aca="false">D609*(IF($A609&lt;$Q$573,INDEX(Surface_Engine!$D$12:$D$72,$A609+1)+(Surface_Engine!G241*12)*INDEX(Surface_Engine!$F$12:$F$72,$A609+1)-(Surface_Engine!G241*12),1000*12*INDEX(Surface_Engine!$C$12:$C$72,$A609+1)/(1+Assumptions!$B$10)^15+INDEX(Surface_Engine!$D$12:$D$72,$A609+1)))*INDEX(Surface_Engine!$B$12:$B$72,$A609+1)+H610</f>
        <v>2343.73817537718</v>
      </c>
      <c r="I609" s="48" t="n">
        <f aca="false">E609*(IF($A609&lt;$Q$573,INDEX(Surface_Engine!$D$12:$D$72,$A609+1)+(Surface_Engine!G241*12)*INDEX(Surface_Engine!$F$12:$F$72,$A609+1)-(Surface_Engine!G241*12),1000*12*INDEX(Surface_Engine!$C$12:$C$72,$A609+1)/(1+Assumptions!$B$10)^15+INDEX(Surface_Engine!$D$12:$D$72,$A609+1)))*INDEX(Surface_Engine!$B$12:$B$72,$A609+1)+I610</f>
        <v>2853.44954279506</v>
      </c>
      <c r="J609" s="48" t="n">
        <f aca="false">B609*(IF($A609&lt;$Q$573,INDEX(Surface_Engine!$D$12:$D$72,$A609+1)*(1+Assumptions!$B$24)+(Surface_Engine!G241*12)*INDEX(Surface_Engine!$F$12:$F$72,$A609+1)-(Surface_Engine!G241*12),1000*12*INDEX(Surface_Engine!$C$12:$C$72,$A609+1)/(1+Assumptions!$B$10)^15+INDEX(Surface_Engine!$D$12:$D$72,$A609+1)*(1+Assumptions!$B$24)))*INDEX(Surface_Engine!$B$12:$B$72,$A609+1)+J610</f>
        <v>2590.07016250296</v>
      </c>
      <c r="K609" s="12" t="n">
        <f aca="false">SQRT((IF(C609&lt;=0,0,MAX(0,(B609/C609)*G609/INDEX(Surface_Engine!$B$12:$B$72,$A609+1)-F609/INDEX(Surface_Engine!$B$12:$B$72,$A609+1))))^2+(MAX(IF(D609&lt;=0,0,MAX(0,(B609/D609)*H609/INDEX(Surface_Engine!$B$12:$B$72,$A609+1)-F609/INDEX(Surface_Engine!$B$12:$B$72,$A609+1))),IF(E609&lt;=0,0,MAX(0,(B609/E609)*I609/INDEX(Surface_Engine!$B$12:$B$72,$A609+1)-F609/INDEX(Surface_Engine!$B$12:$B$72,$A609+1))),IF($A609&lt;$Q$573,MAX(0,-Assumptions!$B$22*(F609/INDEX(Surface_Engine!$B$12:$B$72,$A609+1))),0)))^2+(MAX(0,J609/INDEX(Surface_Engine!$B$12:$B$72,$A609+1)-(F609/INDEX(Surface_Engine!$B$12:$B$72,$A609+1))))^2+2*Assumptions!$B$26*(IF(C609&lt;=0,0,MAX(0,(B609/C609)*G609/INDEX(Surface_Engine!$B$12:$B$72,$A609+1)-F609/INDEX(Surface_Engine!$B$12:$B$72,$A609+1))))*(MAX(IF(D609&lt;=0,0,MAX(0,(B609/D609)*H609/INDEX(Surface_Engine!$B$12:$B$72,$A609+1)-F609/INDEX(Surface_Engine!$B$12:$B$72,$A609+1))),IF(E609&lt;=0,0,MAX(0,(B609/E609)*I609/INDEX(Surface_Engine!$B$12:$B$72,$A609+1)-F609/INDEX(Surface_Engine!$B$12:$B$72,$A609+1))),IF($A609&lt;$Q$573,MAX(0,-Assumptions!$B$22*(F609/INDEX(Surface_Engine!$B$12:$B$72,$A609+1))),0)))+2*Assumptions!$B$27*(IF(C609&lt;=0,0,MAX(0,(B609/C609)*G609/INDEX(Surface_Engine!$B$12:$B$72,$A609+1)-F609/INDEX(Surface_Engine!$B$12:$B$72,$A609+1))))*(MAX(0,J609/INDEX(Surface_Engine!$B$12:$B$72,$A609+1)-(F609/INDEX(Surface_Engine!$B$12:$B$72,$A609+1))))+2*Assumptions!$B$28*(MAX(IF(D609&lt;=0,0,MAX(0,(B609/D609)*H609/INDEX(Surface_Engine!$B$12:$B$72,$A609+1)-F609/INDEX(Surface_Engine!$B$12:$B$72,$A609+1))),IF(E609&lt;=0,0,MAX(0,(B609/E609)*I609/INDEX(Surface_Engine!$B$12:$B$72,$A609+1)-F609/INDEX(Surface_Engine!$B$12:$B$72,$A609+1))),IF($A609&lt;$Q$573,MAX(0,-Assumptions!$B$22*(F609/INDEX(Surface_Engine!$B$12:$B$72,$A609+1))),0)))*(MAX(0,J609/INDEX(Surface_Engine!$B$12:$B$72,$A609+1)-(F609/INDEX(Surface_Engine!$B$12:$B$72,$A609+1)))))</f>
        <v>1403.01995850934</v>
      </c>
      <c r="L609" s="48" t="n">
        <f aca="false">K609*INDEX(Surface_Engine!$B$12:$B$72,$A609+1)+L610</f>
        <v>1783.00593551311</v>
      </c>
      <c r="M609" s="48" t="n">
        <f aca="false">M608+B608*(IF($A608&lt;$Q$573,(Surface_Engine!G241*12)-(Surface_Engine!G241*12)*INDEX(Surface_Engine!$F$12:$F$72,$A608+1)-INDEX(Surface_Engine!$D$12:$D$72,$A608+1),-(1000*12*INDEX(Surface_Engine!$C$12:$C$72,$A608+1)/(1+Assumptions!$B$10)^15+INDEX(Surface_Engine!$D$12:$D$72,$A608+1))))*INDEX(Surface_Engine!$B$12:$B$72,$A608+1)</f>
        <v>4793.93031915041</v>
      </c>
      <c r="N609" s="12" t="n">
        <f aca="false">IF(B609&lt;=0,0,MAX(0,(K609+Assumptions!$B$29*L609/INDEX(Surface_Engine!$B$12:$B$72,$A609+1)-(M609/INDEX(Surface_Engine!$B$12:$B$72,$A609+1)-(F609/INDEX(Surface_Engine!$B$12:$B$72,$A609+1))))/B609))</f>
        <v>0</v>
      </c>
    </row>
    <row r="610" customFormat="false" ht="15" hidden="false" customHeight="true" outlineLevel="0" collapsed="false">
      <c r="A610" s="1" t="n">
        <v>35</v>
      </c>
      <c r="B610" s="32" t="n">
        <f aca="false">INDEX(Surface_Engine!$L$12:$L$72,$A610+1)*IF($A610&lt;$Q$573,INDEX(Surface_Engine!$E$12:$E$72,$A610+1),INDEX(Surface_Engine!$E$12:$E$72,$Q$573+1))</f>
        <v>0.0816076307860552</v>
      </c>
      <c r="C610" s="32" t="n">
        <f aca="false">INDEX(Panel_Reserving!$D$8:$D$68,$A610+1)*IF($A610&lt;$Q$573,INDEX(Surface_Engine!$E$12:$E$72,$A610+1),INDEX(Surface_Engine!$E$12:$E$72,$Q$573+1))</f>
        <v>0.132913625573669</v>
      </c>
      <c r="D610" s="32" t="n">
        <f aca="false">INDEX(Surface_Engine!$L$12:$L$72,$A610+1)*IF($A610&lt;$Q$573,INDEX(Surface_Engine!$Y$12:$Y$72,$A610+1),INDEX(Surface_Engine!$Y$12:$Y$72,$Q$573+1))</f>
        <v>0.0739266269319641</v>
      </c>
      <c r="E610" s="32" t="n">
        <f aca="false">INDEX(Surface_Engine!$L$12:$L$72,$A610+1)*IF($A610&lt;$Q$573,INDEX(Surface_Engine!$Z$12:$Z$72,$A610+1),INDEX(Surface_Engine!$Z$12:$Z$72,$Q$573+1))</f>
        <v>0.0900040380088303</v>
      </c>
      <c r="F610" s="48" t="n">
        <f aca="false">B610*(IF($A610&lt;$Q$573,INDEX(Surface_Engine!$D$12:$D$72,$A610+1)+(Surface_Engine!G241*12)*INDEX(Surface_Engine!$F$12:$F$72,$A610+1)-(Surface_Engine!G241*12),1000*12*INDEX(Surface_Engine!$C$12:$C$72,$A610+1)/(1+Assumptions!$B$10)^15+INDEX(Surface_Engine!$D$12:$D$72,$A610+1)))*INDEX(Surface_Engine!$B$12:$B$72,$A610+1)+F611</f>
        <v>1969.16862104687</v>
      </c>
      <c r="G610" s="48" t="n">
        <f aca="false">C610*(IF($A610&lt;$Q$573,INDEX(Surface_Engine!$D$12:$D$72,$A610+1)+(Surface_Engine!G241*12)*INDEX(Surface_Engine!$F$12:$F$72,$A610+1)-(Surface_Engine!G241*12),1000*12*INDEX(Surface_Engine!$C$12:$C$72,$A610+1)/(1+Assumptions!$B$10)^15+INDEX(Surface_Engine!$D$12:$D$72,$A610+1)))*INDEX(Surface_Engine!$B$12:$B$72,$A610+1)+G611</f>
        <v>3803.50276698343</v>
      </c>
      <c r="H610" s="48" t="n">
        <f aca="false">D610*(IF($A610&lt;$Q$573,INDEX(Surface_Engine!$D$12:$D$72,$A610+1)+(Surface_Engine!G241*12)*INDEX(Surface_Engine!$F$12:$F$72,$A610+1)-(Surface_Engine!G241*12),1000*12*INDEX(Surface_Engine!$C$12:$C$72,$A610+1)/(1+Assumptions!$B$10)^15+INDEX(Surface_Engine!$D$12:$D$72,$A610+1)))*INDEX(Surface_Engine!$B$12:$B$72,$A610+1)+H611</f>
        <v>1783.82821081895</v>
      </c>
      <c r="I610" s="48" t="n">
        <f aca="false">E610*(IF($A610&lt;$Q$573,INDEX(Surface_Engine!$D$12:$D$72,$A610+1)+(Surface_Engine!G241*12)*INDEX(Surface_Engine!$F$12:$F$72,$A610+1)-(Surface_Engine!G241*12),1000*12*INDEX(Surface_Engine!$C$12:$C$72,$A610+1)/(1+Assumptions!$B$10)^15+INDEX(Surface_Engine!$D$12:$D$72,$A610+1)))*INDEX(Surface_Engine!$B$12:$B$72,$A610+1)+I611</f>
        <v>2171.77150846516</v>
      </c>
      <c r="J610" s="48" t="n">
        <f aca="false">B610*(IF($A610&lt;$Q$573,INDEX(Surface_Engine!$D$12:$D$72,$A610+1)*(1+Assumptions!$B$24)+(Surface_Engine!G241*12)*INDEX(Surface_Engine!$F$12:$F$72,$A610+1)-(Surface_Engine!G241*12),1000*12*INDEX(Surface_Engine!$C$12:$C$72,$A610+1)/(1+Assumptions!$B$10)^15+INDEX(Surface_Engine!$D$12:$D$72,$A610+1)*(1+Assumptions!$B$24)))*INDEX(Surface_Engine!$B$12:$B$72,$A610+1)+J611</f>
        <v>1971.32130043296</v>
      </c>
      <c r="K610" s="12" t="n">
        <f aca="false">SQRT((IF(C610&lt;=0,0,MAX(0,(B610/C610)*G610/INDEX(Surface_Engine!$B$12:$B$72,$A610+1)-F610/INDEX(Surface_Engine!$B$12:$B$72,$A610+1))))^2+(MAX(IF(D610&lt;=0,0,MAX(0,(B610/D610)*H610/INDEX(Surface_Engine!$B$12:$B$72,$A610+1)-F610/INDEX(Surface_Engine!$B$12:$B$72,$A610+1))),IF(E610&lt;=0,0,MAX(0,(B610/E610)*I610/INDEX(Surface_Engine!$B$12:$B$72,$A610+1)-F610/INDEX(Surface_Engine!$B$12:$B$72,$A610+1))),IF($A610&lt;$Q$573,MAX(0,-Assumptions!$B$22*(F610/INDEX(Surface_Engine!$B$12:$B$72,$A610+1))),0)))^2+(MAX(0,J610/INDEX(Surface_Engine!$B$12:$B$72,$A610+1)-(F610/INDEX(Surface_Engine!$B$12:$B$72,$A610+1))))^2+2*Assumptions!$B$26*(IF(C610&lt;=0,0,MAX(0,(B610/C610)*G610/INDEX(Surface_Engine!$B$12:$B$72,$A610+1)-F610/INDEX(Surface_Engine!$B$12:$B$72,$A610+1))))*(MAX(IF(D610&lt;=0,0,MAX(0,(B610/D610)*H610/INDEX(Surface_Engine!$B$12:$B$72,$A610+1)-F610/INDEX(Surface_Engine!$B$12:$B$72,$A610+1))),IF(E610&lt;=0,0,MAX(0,(B610/E610)*I610/INDEX(Surface_Engine!$B$12:$B$72,$A610+1)-F610/INDEX(Surface_Engine!$B$12:$B$72,$A610+1))),IF($A610&lt;$Q$573,MAX(0,-Assumptions!$B$22*(F610/INDEX(Surface_Engine!$B$12:$B$72,$A610+1))),0)))+2*Assumptions!$B$27*(IF(C610&lt;=0,0,MAX(0,(B610/C610)*G610/INDEX(Surface_Engine!$B$12:$B$72,$A610+1)-F610/INDEX(Surface_Engine!$B$12:$B$72,$A610+1))))*(MAX(0,J610/INDEX(Surface_Engine!$B$12:$B$72,$A610+1)-(F610/INDEX(Surface_Engine!$B$12:$B$72,$A610+1))))+2*Assumptions!$B$28*(MAX(IF(D610&lt;=0,0,MAX(0,(B610/D610)*H610/INDEX(Surface_Engine!$B$12:$B$72,$A610+1)-F610/INDEX(Surface_Engine!$B$12:$B$72,$A610+1))),IF(E610&lt;=0,0,MAX(0,(B610/E610)*I610/INDEX(Surface_Engine!$B$12:$B$72,$A610+1)-F610/INDEX(Surface_Engine!$B$12:$B$72,$A610+1))),IF($A610&lt;$Q$573,MAX(0,-Assumptions!$B$22*(F610/INDEX(Surface_Engine!$B$12:$B$72,$A610+1))),0)))*(MAX(0,J610/INDEX(Surface_Engine!$B$12:$B$72,$A610+1)-(F610/INDEX(Surface_Engine!$B$12:$B$72,$A610+1)))))</f>
        <v>1101.67879871378</v>
      </c>
      <c r="L610" s="48" t="n">
        <f aca="false">K610*INDEX(Surface_Engine!$B$12:$B$72,$A610+1)+L611</f>
        <v>1300.78958604737</v>
      </c>
      <c r="M610" s="48" t="n">
        <f aca="false">M609+B609*(IF($A609&lt;$Q$573,(Surface_Engine!G241*12)-(Surface_Engine!G241*12)*INDEX(Surface_Engine!$F$12:$F$72,$A609+1)-INDEX(Surface_Engine!$D$12:$D$72,$A609+1),-(1000*12*INDEX(Surface_Engine!$C$12:$C$72,$A609+1)/(1+Assumptions!$B$10)^15+INDEX(Surface_Engine!$D$12:$D$72,$A609+1))))*INDEX(Surface_Engine!$B$12:$B$72,$A609+1)</f>
        <v>4175.84550238807</v>
      </c>
      <c r="N610" s="12" t="n">
        <f aca="false">IF(B610&lt;=0,0,MAX(0,(K610+Assumptions!$B$29*L610/INDEX(Surface_Engine!$B$12:$B$72,$A610+1)-(M610/INDEX(Surface_Engine!$B$12:$B$72,$A610+1)-(F610/INDEX(Surface_Engine!$B$12:$B$72,$A610+1))))/B610))</f>
        <v>0</v>
      </c>
    </row>
    <row r="611" customFormat="false" ht="15" hidden="false" customHeight="true" outlineLevel="0" collapsed="false">
      <c r="A611" s="1" t="n">
        <v>36</v>
      </c>
      <c r="B611" s="32" t="n">
        <f aca="false">INDEX(Surface_Engine!$L$12:$L$72,$A611+1)*IF($A611&lt;$Q$573,INDEX(Surface_Engine!$E$12:$E$72,$A611+1),INDEX(Surface_Engine!$E$12:$E$72,$Q$573+1))</f>
        <v>0.0645778729615461</v>
      </c>
      <c r="C611" s="32" t="n">
        <f aca="false">INDEX(Panel_Reserving!$D$8:$D$68,$A611+1)*IF($A611&lt;$Q$573,INDEX(Surface_Engine!$E$12:$E$72,$A611+1),INDEX(Surface_Engine!$E$12:$E$72,$Q$573+1))</f>
        <v>0.110724652966134</v>
      </c>
      <c r="D611" s="32" t="n">
        <f aca="false">INDEX(Surface_Engine!$L$12:$L$72,$A611+1)*IF($A611&lt;$Q$573,INDEX(Surface_Engine!$Y$12:$Y$72,$A611+1),INDEX(Surface_Engine!$Y$12:$Y$72,$Q$573+1))</f>
        <v>0.058499729455493</v>
      </c>
      <c r="E611" s="32" t="n">
        <f aca="false">INDEX(Surface_Engine!$L$12:$L$72,$A611+1)*IF($A611&lt;$Q$573,INDEX(Surface_Engine!$Z$12:$Z$72,$A611+1),INDEX(Surface_Engine!$Z$12:$Z$72,$Q$573+1))</f>
        <v>0.0712221305357831</v>
      </c>
      <c r="F611" s="48" t="n">
        <f aca="false">B611*(IF($A611&lt;$Q$573,INDEX(Surface_Engine!$D$12:$D$72,$A611+1)+(Surface_Engine!G241*12)*INDEX(Surface_Engine!$F$12:$F$72,$A611+1)-(Surface_Engine!G241*12),1000*12*INDEX(Surface_Engine!$C$12:$C$72,$A611+1)/(1+Assumptions!$B$10)^15+INDEX(Surface_Engine!$D$12:$D$72,$A611+1)))*INDEX(Surface_Engine!$B$12:$B$72,$A611+1)+F612</f>
        <v>1479.53513677598</v>
      </c>
      <c r="G611" s="48" t="n">
        <f aca="false">C611*(IF($A611&lt;$Q$573,INDEX(Surface_Engine!$D$12:$D$72,$A611+1)+(Surface_Engine!G241*12)*INDEX(Surface_Engine!$F$12:$F$72,$A611+1)-(Surface_Engine!G241*12),1000*12*INDEX(Surface_Engine!$C$12:$C$72,$A611+1)/(1+Assumptions!$B$10)^15+INDEX(Surface_Engine!$D$12:$D$72,$A611+1)))*INDEX(Surface_Engine!$B$12:$B$72,$A611+1)+G612</f>
        <v>3006.04104716797</v>
      </c>
      <c r="H611" s="48" t="n">
        <f aca="false">D611*(IF($A611&lt;$Q$573,INDEX(Surface_Engine!$D$12:$D$72,$A611+1)+(Surface_Engine!G241*12)*INDEX(Surface_Engine!$F$12:$F$72,$A611+1)-(Surface_Engine!G241*12),1000*12*INDEX(Surface_Engine!$C$12:$C$72,$A611+1)/(1+Assumptions!$B$10)^15+INDEX(Surface_Engine!$D$12:$D$72,$A611+1)))*INDEX(Surface_Engine!$B$12:$B$72,$A611+1)+H612</f>
        <v>1340.27959194057</v>
      </c>
      <c r="I611" s="48" t="n">
        <f aca="false">E611*(IF($A611&lt;$Q$573,INDEX(Surface_Engine!$D$12:$D$72,$A611+1)+(Surface_Engine!G241*12)*INDEX(Surface_Engine!$F$12:$F$72,$A611+1)-(Surface_Engine!G241*12),1000*12*INDEX(Surface_Engine!$C$12:$C$72,$A611+1)/(1+Assumptions!$B$10)^15+INDEX(Surface_Engine!$D$12:$D$72,$A611+1)))*INDEX(Surface_Engine!$B$12:$B$72,$A611+1)+I612</f>
        <v>1631.76084642001</v>
      </c>
      <c r="J611" s="48" t="n">
        <f aca="false">B611*(IF($A611&lt;$Q$573,INDEX(Surface_Engine!$D$12:$D$72,$A611+1)*(1+Assumptions!$B$24)+(Surface_Engine!G241*12)*INDEX(Surface_Engine!$F$12:$F$72,$A611+1)-(Surface_Engine!G241*12),1000*12*INDEX(Surface_Engine!$C$12:$C$72,$A611+1)/(1+Assumptions!$B$10)^15+INDEX(Surface_Engine!$D$12:$D$72,$A611+1)*(1+Assumptions!$B$24)))*INDEX(Surface_Engine!$B$12:$B$72,$A611+1)+J612</f>
        <v>1481.15922296545</v>
      </c>
      <c r="K611" s="12" t="n">
        <f aca="false">SQRT((IF(C611&lt;=0,0,MAX(0,(B611/C611)*G611/INDEX(Surface_Engine!$B$12:$B$72,$A611+1)-F611/INDEX(Surface_Engine!$B$12:$B$72,$A611+1))))^2+(MAX(IF(D611&lt;=0,0,MAX(0,(B611/D611)*H611/INDEX(Surface_Engine!$B$12:$B$72,$A611+1)-F611/INDEX(Surface_Engine!$B$12:$B$72,$A611+1))),IF(E611&lt;=0,0,MAX(0,(B611/E611)*I611/INDEX(Surface_Engine!$B$12:$B$72,$A611+1)-F611/INDEX(Surface_Engine!$B$12:$B$72,$A611+1))),IF($A611&lt;$Q$573,MAX(0,-Assumptions!$B$22*(F611/INDEX(Surface_Engine!$B$12:$B$72,$A611+1))),0)))^2+(MAX(0,J611/INDEX(Surface_Engine!$B$12:$B$72,$A611+1)-(F611/INDEX(Surface_Engine!$B$12:$B$72,$A611+1))))^2+2*Assumptions!$B$26*(IF(C611&lt;=0,0,MAX(0,(B611/C611)*G611/INDEX(Surface_Engine!$B$12:$B$72,$A611+1)-F611/INDEX(Surface_Engine!$B$12:$B$72,$A611+1))))*(MAX(IF(D611&lt;=0,0,MAX(0,(B611/D611)*H611/INDEX(Surface_Engine!$B$12:$B$72,$A611+1)-F611/INDEX(Surface_Engine!$B$12:$B$72,$A611+1))),IF(E611&lt;=0,0,MAX(0,(B611/E611)*I611/INDEX(Surface_Engine!$B$12:$B$72,$A611+1)-F611/INDEX(Surface_Engine!$B$12:$B$72,$A611+1))),IF($A611&lt;$Q$573,MAX(0,-Assumptions!$B$22*(F611/INDEX(Surface_Engine!$B$12:$B$72,$A611+1))),0)))+2*Assumptions!$B$27*(IF(C611&lt;=0,0,MAX(0,(B611/C611)*G611/INDEX(Surface_Engine!$B$12:$B$72,$A611+1)-F611/INDEX(Surface_Engine!$B$12:$B$72,$A611+1))))*(MAX(0,J611/INDEX(Surface_Engine!$B$12:$B$72,$A611+1)-(F611/INDEX(Surface_Engine!$B$12:$B$72,$A611+1))))+2*Assumptions!$B$28*(MAX(IF(D611&lt;=0,0,MAX(0,(B611/D611)*H611/INDEX(Surface_Engine!$B$12:$B$72,$A611+1)-F611/INDEX(Surface_Engine!$B$12:$B$72,$A611+1))),IF(E611&lt;=0,0,MAX(0,(B611/E611)*I611/INDEX(Surface_Engine!$B$12:$B$72,$A611+1)-F611/INDEX(Surface_Engine!$B$12:$B$72,$A611+1))),IF($A611&lt;$Q$573,MAX(0,-Assumptions!$B$22*(F611/INDEX(Surface_Engine!$B$12:$B$72,$A611+1))),0)))*(MAX(0,J611/INDEX(Surface_Engine!$B$12:$B$72,$A611+1)-(F611/INDEX(Surface_Engine!$B$12:$B$72,$A611+1)))))</f>
        <v>850.057664897999</v>
      </c>
      <c r="L611" s="48" t="n">
        <f aca="false">K611*INDEX(Surface_Engine!$B$12:$B$72,$A611+1)+L612</f>
        <v>934.101626306325</v>
      </c>
      <c r="M611" s="48" t="n">
        <f aca="false">M610+B610*(IF($A610&lt;$Q$573,(Surface_Engine!G241*12)-(Surface_Engine!G241*12)*INDEX(Surface_Engine!$F$12:$F$72,$A610+1)-INDEX(Surface_Engine!$D$12:$D$72,$A610+1),-(1000*12*INDEX(Surface_Engine!$C$12:$C$72,$A610+1)/(1+Assumptions!$B$10)^15+INDEX(Surface_Engine!$D$12:$D$72,$A610+1))))*INDEX(Surface_Engine!$B$12:$B$72,$A610+1)</f>
        <v>3686.21201811718</v>
      </c>
      <c r="N611" s="12" t="n">
        <f aca="false">IF(B611&lt;=0,0,MAX(0,(K611+Assumptions!$B$29*L611/INDEX(Surface_Engine!$B$12:$B$72,$A611+1)-(M611/INDEX(Surface_Engine!$B$12:$B$72,$A611+1)-(F611/INDEX(Surface_Engine!$B$12:$B$72,$A611+1))))/B611))</f>
        <v>0</v>
      </c>
    </row>
    <row r="612" customFormat="false" ht="15" hidden="false" customHeight="true" outlineLevel="0" collapsed="false">
      <c r="A612" s="1" t="n">
        <v>37</v>
      </c>
      <c r="B612" s="32" t="n">
        <f aca="false">INDEX(Surface_Engine!$L$12:$L$72,$A612+1)*IF($A612&lt;$Q$573,INDEX(Surface_Engine!$E$12:$E$72,$A612+1),INDEX(Surface_Engine!$E$12:$E$72,$Q$573+1))</f>
        <v>0.0503627086065056</v>
      </c>
      <c r="C612" s="32" t="n">
        <f aca="false">INDEX(Panel_Reserving!$D$8:$D$68,$A612+1)*IF($A612&lt;$Q$573,INDEX(Surface_Engine!$E$12:$E$72,$A612+1),INDEX(Surface_Engine!$E$12:$E$72,$Q$573+1))</f>
        <v>0.0912260963505491</v>
      </c>
      <c r="D612" s="32" t="n">
        <f aca="false">INDEX(Surface_Engine!$L$12:$L$72,$A612+1)*IF($A612&lt;$Q$573,INDEX(Surface_Engine!$Y$12:$Y$72,$A612+1),INDEX(Surface_Engine!$Y$12:$Y$72,$Q$573+1))</f>
        <v>0.0456225126814067</v>
      </c>
      <c r="E612" s="32" t="n">
        <f aca="false">INDEX(Surface_Engine!$L$12:$L$72,$A612+1)*IF($A612&lt;$Q$573,INDEX(Surface_Engine!$Z$12:$Z$72,$A612+1),INDEX(Surface_Engine!$Z$12:$Z$72,$Q$573+1))</f>
        <v>0.0555444030905763</v>
      </c>
      <c r="F612" s="48" t="n">
        <f aca="false">B612*(IF($A612&lt;$Q$573,INDEX(Surface_Engine!$D$12:$D$72,$A612+1)+(Surface_Engine!G241*12)*INDEX(Surface_Engine!$F$12:$F$72,$A612+1)-(Surface_Engine!G241*12),1000*12*INDEX(Surface_Engine!$C$12:$C$72,$A612+1)/(1+Assumptions!$B$10)^15+INDEX(Surface_Engine!$D$12:$D$72,$A612+1)))*INDEX(Surface_Engine!$B$12:$B$72,$A612+1)+F613</f>
        <v>1096.67029721834</v>
      </c>
      <c r="G612" s="48" t="n">
        <f aca="false">C612*(IF($A612&lt;$Q$573,INDEX(Surface_Engine!$D$12:$D$72,$A612+1)+(Surface_Engine!G241*12)*INDEX(Surface_Engine!$F$12:$F$72,$A612+1)-(Surface_Engine!G241*12),1000*12*INDEX(Surface_Engine!$C$12:$C$72,$A612+1)/(1+Assumptions!$B$10)^15+INDEX(Surface_Engine!$D$12:$D$72,$A612+1)))*INDEX(Surface_Engine!$B$12:$B$72,$A612+1)+G613</f>
        <v>2349.58436086308</v>
      </c>
      <c r="H612" s="48" t="n">
        <f aca="false">D612*(IF($A612&lt;$Q$573,INDEX(Surface_Engine!$D$12:$D$72,$A612+1)+(Surface_Engine!G241*12)*INDEX(Surface_Engine!$F$12:$F$72,$A612+1)-(Surface_Engine!G241*12),1000*12*INDEX(Surface_Engine!$C$12:$C$72,$A612+1)/(1+Assumptions!$B$10)^15+INDEX(Surface_Engine!$D$12:$D$72,$A612+1)))*INDEX(Surface_Engine!$B$12:$B$72,$A612+1)+H613</f>
        <v>993.450430418323</v>
      </c>
      <c r="I612" s="48" t="n">
        <f aca="false">E612*(IF($A612&lt;$Q$573,INDEX(Surface_Engine!$D$12:$D$72,$A612+1)+(Surface_Engine!G241*12)*INDEX(Surface_Engine!$F$12:$F$72,$A612+1)-(Surface_Engine!G241*12),1000*12*INDEX(Surface_Engine!$C$12:$C$72,$A612+1)/(1+Assumptions!$B$10)^15+INDEX(Surface_Engine!$D$12:$D$72,$A612+1)))*INDEX(Surface_Engine!$B$12:$B$72,$A612+1)+I613</f>
        <v>1209.50399078196</v>
      </c>
      <c r="J612" s="48" t="n">
        <f aca="false">B612*(IF($A612&lt;$Q$573,INDEX(Surface_Engine!$D$12:$D$72,$A612+1)*(1+Assumptions!$B$24)+(Surface_Engine!G241*12)*INDEX(Surface_Engine!$F$12:$F$72,$A612+1)-(Surface_Engine!G241*12),1000*12*INDEX(Surface_Engine!$C$12:$C$72,$A612+1)/(1+Assumptions!$B$10)^15+INDEX(Surface_Engine!$D$12:$D$72,$A612+1)*(1+Assumptions!$B$24)))*INDEX(Surface_Engine!$B$12:$B$72,$A612+1)+J613</f>
        <v>1097.87905020111</v>
      </c>
      <c r="K612" s="12" t="n">
        <f aca="false">SQRT((IF(C612&lt;=0,0,MAX(0,(B612/C612)*G612/INDEX(Surface_Engine!$B$12:$B$72,$A612+1)-F612/INDEX(Surface_Engine!$B$12:$B$72,$A612+1))))^2+(MAX(IF(D612&lt;=0,0,MAX(0,(B612/D612)*H612/INDEX(Surface_Engine!$B$12:$B$72,$A612+1)-F612/INDEX(Surface_Engine!$B$12:$B$72,$A612+1))),IF(E612&lt;=0,0,MAX(0,(B612/E612)*I612/INDEX(Surface_Engine!$B$12:$B$72,$A612+1)-F612/INDEX(Surface_Engine!$B$12:$B$72,$A612+1))),IF($A612&lt;$Q$573,MAX(0,-Assumptions!$B$22*(F612/INDEX(Surface_Engine!$B$12:$B$72,$A612+1))),0)))^2+(MAX(0,J612/INDEX(Surface_Engine!$B$12:$B$72,$A612+1)-(F612/INDEX(Surface_Engine!$B$12:$B$72,$A612+1))))^2+2*Assumptions!$B$26*(IF(C612&lt;=0,0,MAX(0,(B612/C612)*G612/INDEX(Surface_Engine!$B$12:$B$72,$A612+1)-F612/INDEX(Surface_Engine!$B$12:$B$72,$A612+1))))*(MAX(IF(D612&lt;=0,0,MAX(0,(B612/D612)*H612/INDEX(Surface_Engine!$B$12:$B$72,$A612+1)-F612/INDEX(Surface_Engine!$B$12:$B$72,$A612+1))),IF(E612&lt;=0,0,MAX(0,(B612/E612)*I612/INDEX(Surface_Engine!$B$12:$B$72,$A612+1)-F612/INDEX(Surface_Engine!$B$12:$B$72,$A612+1))),IF($A612&lt;$Q$573,MAX(0,-Assumptions!$B$22*(F612/INDEX(Surface_Engine!$B$12:$B$72,$A612+1))),0)))+2*Assumptions!$B$27*(IF(C612&lt;=0,0,MAX(0,(B612/C612)*G612/INDEX(Surface_Engine!$B$12:$B$72,$A612+1)-F612/INDEX(Surface_Engine!$B$12:$B$72,$A612+1))))*(MAX(0,J612/INDEX(Surface_Engine!$B$12:$B$72,$A612+1)-(F612/INDEX(Surface_Engine!$B$12:$B$72,$A612+1))))+2*Assumptions!$B$28*(MAX(IF(D612&lt;=0,0,MAX(0,(B612/D612)*H612/INDEX(Surface_Engine!$B$12:$B$72,$A612+1)-F612/INDEX(Surface_Engine!$B$12:$B$72,$A612+1))),IF(E612&lt;=0,0,MAX(0,(B612/E612)*I612/INDEX(Surface_Engine!$B$12:$B$72,$A612+1)-F612/INDEX(Surface_Engine!$B$12:$B$72,$A612+1))),IF($A612&lt;$Q$573,MAX(0,-Assumptions!$B$22*(F612/INDEX(Surface_Engine!$B$12:$B$72,$A612+1))),0)))*(MAX(0,J612/INDEX(Surface_Engine!$B$12:$B$72,$A612+1)-(F612/INDEX(Surface_Engine!$B$12:$B$72,$A612+1)))))</f>
        <v>642.981742117357</v>
      </c>
      <c r="L612" s="48" t="n">
        <f aca="false">K612*INDEX(Surface_Engine!$B$12:$B$72,$A612+1)+L613</f>
        <v>660.014712927054</v>
      </c>
      <c r="M612" s="48" t="n">
        <f aca="false">M611+B611*(IF($A611&lt;$Q$573,(Surface_Engine!G241*12)-(Surface_Engine!G241*12)*INDEX(Surface_Engine!$F$12:$F$72,$A611+1)-INDEX(Surface_Engine!$D$12:$D$72,$A611+1),-(1000*12*INDEX(Surface_Engine!$C$12:$C$72,$A611+1)/(1+Assumptions!$B$10)^15+INDEX(Surface_Engine!$D$12:$D$72,$A611+1))))*INDEX(Surface_Engine!$B$12:$B$72,$A611+1)</f>
        <v>3303.34717855953</v>
      </c>
      <c r="N612" s="12" t="n">
        <f aca="false">IF(B612&lt;=0,0,MAX(0,(K612+Assumptions!$B$29*L612/INDEX(Surface_Engine!$B$12:$B$72,$A612+1)-(M612/INDEX(Surface_Engine!$B$12:$B$72,$A612+1)-(F612/INDEX(Surface_Engine!$B$12:$B$72,$A612+1))))/B612))</f>
        <v>0</v>
      </c>
    </row>
    <row r="613" customFormat="false" ht="15" hidden="false" customHeight="true" outlineLevel="0" collapsed="false">
      <c r="A613" s="1" t="n">
        <v>38</v>
      </c>
      <c r="B613" s="32" t="n">
        <f aca="false">INDEX(Surface_Engine!$L$12:$L$72,$A613+1)*IF($A613&lt;$Q$573,INDEX(Surface_Engine!$E$12:$E$72,$A613+1),INDEX(Surface_Engine!$E$12:$E$72,$Q$573+1))</f>
        <v>0.0386365499132701</v>
      </c>
      <c r="C613" s="32" t="n">
        <f aca="false">INDEX(Panel_Reserving!$D$8:$D$68,$A613+1)*IF($A613&lt;$Q$573,INDEX(Surface_Engine!$E$12:$E$72,$A613+1),INDEX(Surface_Engine!$E$12:$E$72,$Q$573+1))</f>
        <v>0.074233655516932</v>
      </c>
      <c r="D613" s="32" t="n">
        <f aca="false">INDEX(Surface_Engine!$L$12:$L$72,$A613+1)*IF($A613&lt;$Q$573,INDEX(Surface_Engine!$Y$12:$Y$72,$A613+1),INDEX(Surface_Engine!$Y$12:$Y$72,$Q$573+1))</f>
        <v>0.0350000335001099</v>
      </c>
      <c r="E613" s="32" t="n">
        <f aca="false">INDEX(Surface_Engine!$L$12:$L$72,$A613+1)*IF($A613&lt;$Q$573,INDEX(Surface_Engine!$Z$12:$Z$72,$A613+1),INDEX(Surface_Engine!$Z$12:$Z$72,$Q$573+1))</f>
        <v>0.0426117689415663</v>
      </c>
      <c r="F613" s="48" t="n">
        <f aca="false">B613*(IF($A613&lt;$Q$573,INDEX(Surface_Engine!$D$12:$D$72,$A613+1)+(Surface_Engine!G241*12)*INDEX(Surface_Engine!$F$12:$F$72,$A613+1)-(Surface_Engine!G241*12),1000*12*INDEX(Surface_Engine!$C$12:$C$72,$A613+1)/(1+Assumptions!$B$10)^15+INDEX(Surface_Engine!$D$12:$D$72,$A613+1)))*INDEX(Surface_Engine!$B$12:$B$72,$A613+1)+F614</f>
        <v>801.73400348418</v>
      </c>
      <c r="G613" s="48" t="n">
        <f aca="false">C613*(IF($A613&lt;$Q$573,INDEX(Surface_Engine!$D$12:$D$72,$A613+1)+(Surface_Engine!G241*12)*INDEX(Surface_Engine!$F$12:$F$72,$A613+1)-(Surface_Engine!G241*12),1000*12*INDEX(Surface_Engine!$C$12:$C$72,$A613+1)/(1+Assumptions!$B$10)^15+INDEX(Surface_Engine!$D$12:$D$72,$A613+1)))*INDEX(Surface_Engine!$B$12:$B$72,$A613+1)+G614</f>
        <v>1815.34211111263</v>
      </c>
      <c r="H613" s="48" t="n">
        <f aca="false">D613*(IF($A613&lt;$Q$573,INDEX(Surface_Engine!$D$12:$D$72,$A613+1)+(Surface_Engine!G241*12)*INDEX(Surface_Engine!$F$12:$F$72,$A613+1)-(Surface_Engine!G241*12),1000*12*INDEX(Surface_Engine!$C$12:$C$72,$A613+1)/(1+Assumptions!$B$10)^15+INDEX(Surface_Engine!$D$12:$D$72,$A613+1)))*INDEX(Surface_Engine!$B$12:$B$72,$A613+1)+H614</f>
        <v>726.273879088924</v>
      </c>
      <c r="I613" s="48" t="n">
        <f aca="false">E613*(IF($A613&lt;$Q$573,INDEX(Surface_Engine!$D$12:$D$72,$A613+1)+(Surface_Engine!G241*12)*INDEX(Surface_Engine!$F$12:$F$72,$A613+1)-(Surface_Engine!G241*12),1000*12*INDEX(Surface_Engine!$C$12:$C$72,$A613+1)/(1+Assumptions!$B$10)^15+INDEX(Surface_Engine!$D$12:$D$72,$A613+1)))*INDEX(Surface_Engine!$B$12:$B$72,$A613+1)+I614</f>
        <v>884.222431499533</v>
      </c>
      <c r="J613" s="48" t="n">
        <f aca="false">B613*(IF($A613&lt;$Q$573,INDEX(Surface_Engine!$D$12:$D$72,$A613+1)*(1+Assumptions!$B$24)+(Surface_Engine!G241*12)*INDEX(Surface_Engine!$F$12:$F$72,$A613+1)-(Surface_Engine!G241*12),1000*12*INDEX(Surface_Engine!$C$12:$C$72,$A613+1)/(1+Assumptions!$B$10)^15+INDEX(Surface_Engine!$D$12:$D$72,$A613+1)*(1+Assumptions!$B$24)))*INDEX(Surface_Engine!$B$12:$B$72,$A613+1)+J614</f>
        <v>802.621257198628</v>
      </c>
      <c r="K613" s="12" t="n">
        <f aca="false">SQRT((IF(C613&lt;=0,0,MAX(0,(B613/C613)*G613/INDEX(Surface_Engine!$B$12:$B$72,$A613+1)-F613/INDEX(Surface_Engine!$B$12:$B$72,$A613+1))))^2+(MAX(IF(D613&lt;=0,0,MAX(0,(B613/D613)*H613/INDEX(Surface_Engine!$B$12:$B$72,$A613+1)-F613/INDEX(Surface_Engine!$B$12:$B$72,$A613+1))),IF(E613&lt;=0,0,MAX(0,(B613/E613)*I613/INDEX(Surface_Engine!$B$12:$B$72,$A613+1)-F613/INDEX(Surface_Engine!$B$12:$B$72,$A613+1))),IF($A613&lt;$Q$573,MAX(0,-Assumptions!$B$22*(F613/INDEX(Surface_Engine!$B$12:$B$72,$A613+1))),0)))^2+(MAX(0,J613/INDEX(Surface_Engine!$B$12:$B$72,$A613+1)-(F613/INDEX(Surface_Engine!$B$12:$B$72,$A613+1))))^2+2*Assumptions!$B$26*(IF(C613&lt;=0,0,MAX(0,(B613/C613)*G613/INDEX(Surface_Engine!$B$12:$B$72,$A613+1)-F613/INDEX(Surface_Engine!$B$12:$B$72,$A613+1))))*(MAX(IF(D613&lt;=0,0,MAX(0,(B613/D613)*H613/INDEX(Surface_Engine!$B$12:$B$72,$A613+1)-F613/INDEX(Surface_Engine!$B$12:$B$72,$A613+1))),IF(E613&lt;=0,0,MAX(0,(B613/E613)*I613/INDEX(Surface_Engine!$B$12:$B$72,$A613+1)-F613/INDEX(Surface_Engine!$B$12:$B$72,$A613+1))),IF($A613&lt;$Q$573,MAX(0,-Assumptions!$B$22*(F613/INDEX(Surface_Engine!$B$12:$B$72,$A613+1))),0)))+2*Assumptions!$B$27*(IF(C613&lt;=0,0,MAX(0,(B613/C613)*G613/INDEX(Surface_Engine!$B$12:$B$72,$A613+1)-F613/INDEX(Surface_Engine!$B$12:$B$72,$A613+1))))*(MAX(0,J613/INDEX(Surface_Engine!$B$12:$B$72,$A613+1)-(F613/INDEX(Surface_Engine!$B$12:$B$72,$A613+1))))+2*Assumptions!$B$28*(MAX(IF(D613&lt;=0,0,MAX(0,(B613/D613)*H613/INDEX(Surface_Engine!$B$12:$B$72,$A613+1)-F613/INDEX(Surface_Engine!$B$12:$B$72,$A613+1))),IF(E613&lt;=0,0,MAX(0,(B613/E613)*I613/INDEX(Surface_Engine!$B$12:$B$72,$A613+1)-F613/INDEX(Surface_Engine!$B$12:$B$72,$A613+1))),IF($A613&lt;$Q$573,MAX(0,-Assumptions!$B$22*(F613/INDEX(Surface_Engine!$B$12:$B$72,$A613+1))),0)))*(MAX(0,J613/INDEX(Surface_Engine!$B$12:$B$72,$A613+1)-(F613/INDEX(Surface_Engine!$B$12:$B$72,$A613+1)))))</f>
        <v>474.058335896299</v>
      </c>
      <c r="L613" s="48" t="n">
        <f aca="false">K613*INDEX(Surface_Engine!$B$12:$B$72,$A613+1)+L614</f>
        <v>459.256796939375</v>
      </c>
      <c r="M613" s="48" t="n">
        <f aca="false">M612+B612*(IF($A612&lt;$Q$573,(Surface_Engine!G241*12)-(Surface_Engine!G241*12)*INDEX(Surface_Engine!$F$12:$F$72,$A612+1)-INDEX(Surface_Engine!$D$12:$D$72,$A612+1),-(1000*12*INDEX(Surface_Engine!$C$12:$C$72,$A612+1)/(1+Assumptions!$B$10)^15+INDEX(Surface_Engine!$D$12:$D$72,$A612+1))))*INDEX(Surface_Engine!$B$12:$B$72,$A612+1)</f>
        <v>3008.41088482537</v>
      </c>
      <c r="N613" s="12" t="n">
        <f aca="false">IF(B613&lt;=0,0,MAX(0,(K613+Assumptions!$B$29*L613/INDEX(Surface_Engine!$B$12:$B$72,$A613+1)-(M613/INDEX(Surface_Engine!$B$12:$B$72,$A613+1)-(F613/INDEX(Surface_Engine!$B$12:$B$72,$A613+1))))/B613))</f>
        <v>0</v>
      </c>
    </row>
    <row r="614" customFormat="false" ht="15" hidden="false" customHeight="true" outlineLevel="0" collapsed="false">
      <c r="A614" s="1" t="n">
        <v>39</v>
      </c>
      <c r="B614" s="32" t="n">
        <f aca="false">INDEX(Surface_Engine!$L$12:$L$72,$A614+1)*IF($A614&lt;$Q$573,INDEX(Surface_Engine!$E$12:$E$72,$A614+1),INDEX(Surface_Engine!$E$12:$E$72,$Q$573+1))</f>
        <v>0.0290780653379978</v>
      </c>
      <c r="C614" s="32" t="n">
        <f aca="false">INDEX(Panel_Reserving!$D$8:$D$68,$A614+1)*IF($A614&lt;$Q$573,INDEX(Surface_Engine!$E$12:$E$72,$A614+1),INDEX(Surface_Engine!$E$12:$E$72,$Q$573+1))</f>
        <v>0.0595416345612831</v>
      </c>
      <c r="D614" s="32" t="n">
        <f aca="false">INDEX(Surface_Engine!$L$12:$L$72,$A614+1)*IF($A614&lt;$Q$573,INDEX(Surface_Engine!$Y$12:$Y$72,$A614+1),INDEX(Surface_Engine!$Y$12:$Y$72,$Q$573+1))</f>
        <v>0.0263412044613941</v>
      </c>
      <c r="E614" s="32" t="n">
        <f aca="false">INDEX(Surface_Engine!$L$12:$L$72,$A614+1)*IF($A614&lt;$Q$573,INDEX(Surface_Engine!$Z$12:$Z$72,$A614+1),INDEX(Surface_Engine!$Z$12:$Z$72,$Q$573+1))</f>
        <v>0.0320698355373847</v>
      </c>
      <c r="F614" s="48" t="n">
        <f aca="false">B614*(IF($A614&lt;$Q$573,INDEX(Surface_Engine!$D$12:$D$72,$A614+1)+(Surface_Engine!G241*12)*INDEX(Surface_Engine!$F$12:$F$72,$A614+1)-(Surface_Engine!G241*12),1000*12*INDEX(Surface_Engine!$C$12:$C$72,$A614+1)/(1+Assumptions!$B$10)^15+INDEX(Surface_Engine!$D$12:$D$72,$A614+1)))*INDEX(Surface_Engine!$B$12:$B$72,$A614+1)+F615</f>
        <v>578.243973926049</v>
      </c>
      <c r="G614" s="48" t="n">
        <f aca="false">C614*(IF($A614&lt;$Q$573,INDEX(Surface_Engine!$D$12:$D$72,$A614+1)+(Surface_Engine!G241*12)*INDEX(Surface_Engine!$F$12:$F$72,$A614+1)-(Surface_Engine!G241*12),1000*12*INDEX(Surface_Engine!$C$12:$C$72,$A614+1)/(1+Assumptions!$B$10)^15+INDEX(Surface_Engine!$D$12:$D$72,$A614+1)))*INDEX(Surface_Engine!$B$12:$B$72,$A614+1)+G615</f>
        <v>1385.94347425377</v>
      </c>
      <c r="H614" s="48" t="n">
        <f aca="false">D614*(IF($A614&lt;$Q$573,INDEX(Surface_Engine!$D$12:$D$72,$A614+1)+(Surface_Engine!G241*12)*INDEX(Surface_Engine!$F$12:$F$72,$A614+1)-(Surface_Engine!G241*12),1000*12*INDEX(Surface_Engine!$C$12:$C$72,$A614+1)/(1+Assumptions!$B$10)^15+INDEX(Surface_Engine!$D$12:$D$72,$A614+1)))*INDEX(Surface_Engine!$B$12:$B$72,$A614+1)+H615</f>
        <v>523.818987566932</v>
      </c>
      <c r="I614" s="48" t="n">
        <f aca="false">E614*(IF($A614&lt;$Q$573,INDEX(Surface_Engine!$D$12:$D$72,$A614+1)+(Surface_Engine!G241*12)*INDEX(Surface_Engine!$F$12:$F$72,$A614+1)-(Surface_Engine!G241*12),1000*12*INDEX(Surface_Engine!$C$12:$C$72,$A614+1)/(1+Assumptions!$B$10)^15+INDEX(Surface_Engine!$D$12:$D$72,$A614+1)))*INDEX(Surface_Engine!$B$12:$B$72,$A614+1)+I615</f>
        <v>637.738065746057</v>
      </c>
      <c r="J614" s="48" t="n">
        <f aca="false">B614*(IF($A614&lt;$Q$573,INDEX(Surface_Engine!$D$12:$D$72,$A614+1)*(1+Assumptions!$B$24)+(Surface_Engine!G241*12)*INDEX(Surface_Engine!$F$12:$F$72,$A614+1)-(Surface_Engine!G241*12),1000*12*INDEX(Surface_Engine!$C$12:$C$72,$A614+1)/(1+Assumptions!$B$10)^15+INDEX(Surface_Engine!$D$12:$D$72,$A614+1)*(1+Assumptions!$B$24)))*INDEX(Surface_Engine!$B$12:$B$72,$A614+1)+J615</f>
        <v>578.886428205383</v>
      </c>
      <c r="K614" s="12" t="n">
        <f aca="false">SQRT((IF(C614&lt;=0,0,MAX(0,(B614/C614)*G614/INDEX(Surface_Engine!$B$12:$B$72,$A614+1)-F614/INDEX(Surface_Engine!$B$12:$B$72,$A614+1))))^2+(MAX(IF(D614&lt;=0,0,MAX(0,(B614/D614)*H614/INDEX(Surface_Engine!$B$12:$B$72,$A614+1)-F614/INDEX(Surface_Engine!$B$12:$B$72,$A614+1))),IF(E614&lt;=0,0,MAX(0,(B614/E614)*I614/INDEX(Surface_Engine!$B$12:$B$72,$A614+1)-F614/INDEX(Surface_Engine!$B$12:$B$72,$A614+1))),IF($A614&lt;$Q$573,MAX(0,-Assumptions!$B$22*(F614/INDEX(Surface_Engine!$B$12:$B$72,$A614+1))),0)))^2+(MAX(0,J614/INDEX(Surface_Engine!$B$12:$B$72,$A614+1)-(F614/INDEX(Surface_Engine!$B$12:$B$72,$A614+1))))^2+2*Assumptions!$B$26*(IF(C614&lt;=0,0,MAX(0,(B614/C614)*G614/INDEX(Surface_Engine!$B$12:$B$72,$A614+1)-F614/INDEX(Surface_Engine!$B$12:$B$72,$A614+1))))*(MAX(IF(D614&lt;=0,0,MAX(0,(B614/D614)*H614/INDEX(Surface_Engine!$B$12:$B$72,$A614+1)-F614/INDEX(Surface_Engine!$B$12:$B$72,$A614+1))),IF(E614&lt;=0,0,MAX(0,(B614/E614)*I614/INDEX(Surface_Engine!$B$12:$B$72,$A614+1)-F614/INDEX(Surface_Engine!$B$12:$B$72,$A614+1))),IF($A614&lt;$Q$573,MAX(0,-Assumptions!$B$22*(F614/INDEX(Surface_Engine!$B$12:$B$72,$A614+1))),0)))+2*Assumptions!$B$27*(IF(C614&lt;=0,0,MAX(0,(B614/C614)*G614/INDEX(Surface_Engine!$B$12:$B$72,$A614+1)-F614/INDEX(Surface_Engine!$B$12:$B$72,$A614+1))))*(MAX(0,J614/INDEX(Surface_Engine!$B$12:$B$72,$A614+1)-(F614/INDEX(Surface_Engine!$B$12:$B$72,$A614+1))))+2*Assumptions!$B$28*(MAX(IF(D614&lt;=0,0,MAX(0,(B614/D614)*H614/INDEX(Surface_Engine!$B$12:$B$72,$A614+1)-F614/INDEX(Surface_Engine!$B$12:$B$72,$A614+1))),IF(E614&lt;=0,0,MAX(0,(B614/E614)*I614/INDEX(Surface_Engine!$B$12:$B$72,$A614+1)-F614/INDEX(Surface_Engine!$B$12:$B$72,$A614+1))),IF($A614&lt;$Q$573,MAX(0,-Assumptions!$B$22*(F614/INDEX(Surface_Engine!$B$12:$B$72,$A614+1))),0)))*(MAX(0,J614/INDEX(Surface_Engine!$B$12:$B$72,$A614+1)-(F614/INDEX(Surface_Engine!$B$12:$B$72,$A614+1)))))</f>
        <v>337.247049522161</v>
      </c>
      <c r="L614" s="48" t="n">
        <f aca="false">K614*INDEX(Surface_Engine!$B$12:$B$72,$A614+1)+L615</f>
        <v>315.931409986055</v>
      </c>
      <c r="M614" s="48" t="n">
        <f aca="false">M613+B613*(IF($A613&lt;$Q$573,(Surface_Engine!G241*12)-(Surface_Engine!G241*12)*INDEX(Surface_Engine!$F$12:$F$72,$A613+1)-INDEX(Surface_Engine!$D$12:$D$72,$A613+1),-(1000*12*INDEX(Surface_Engine!$C$12:$C$72,$A613+1)/(1+Assumptions!$B$10)^15+INDEX(Surface_Engine!$D$12:$D$72,$A613+1))))*INDEX(Surface_Engine!$B$12:$B$72,$A613+1)</f>
        <v>2784.92085526724</v>
      </c>
      <c r="N614" s="12" t="n">
        <f aca="false">IF(B614&lt;=0,0,MAX(0,(K614+Assumptions!$B$29*L614/INDEX(Surface_Engine!$B$12:$B$72,$A614+1)-(M614/INDEX(Surface_Engine!$B$12:$B$72,$A614+1)-(F614/INDEX(Surface_Engine!$B$12:$B$72,$A614+1))))/B614))</f>
        <v>0</v>
      </c>
    </row>
    <row r="615" customFormat="false" ht="15" hidden="false" customHeight="true" outlineLevel="0" collapsed="false">
      <c r="A615" s="1" t="n">
        <v>40</v>
      </c>
      <c r="B615" s="32" t="n">
        <f aca="false">INDEX(Surface_Engine!$L$12:$L$72,$A615+1)*IF($A615&lt;$Q$573,INDEX(Surface_Engine!$E$12:$E$72,$A615+1),INDEX(Surface_Engine!$E$12:$E$72,$Q$573+1))</f>
        <v>0.022161714728146</v>
      </c>
      <c r="C615" s="32" t="n">
        <f aca="false">INDEX(Panel_Reserving!$D$8:$D$68,$A615+1)*IF($A615&lt;$Q$573,INDEX(Surface_Engine!$E$12:$E$72,$A615+1),INDEX(Surface_Engine!$E$12:$E$72,$Q$573+1))</f>
        <v>0.0482118348453064</v>
      </c>
      <c r="D615" s="32" t="n">
        <f aca="false">INDEX(Surface_Engine!$L$12:$L$72,$A615+1)*IF($A615&lt;$Q$573,INDEX(Surface_Engine!$Y$12:$Y$72,$A615+1),INDEX(Surface_Engine!$Y$12:$Y$72,$Q$573+1))</f>
        <v>0.0200758287074328</v>
      </c>
      <c r="E615" s="32" t="n">
        <f aca="false">INDEX(Surface_Engine!$L$12:$L$72,$A615+1)*IF($A615&lt;$Q$573,INDEX(Surface_Engine!$Z$12:$Z$72,$A615+1),INDEX(Surface_Engine!$Z$12:$Z$72,$Q$573+1))</f>
        <v>0.0244418787253134</v>
      </c>
      <c r="F615" s="48" t="n">
        <f aca="false">B615*(IF($A615&lt;$Q$573,INDEX(Surface_Engine!$D$12:$D$72,$A615+1)+(Surface_Engine!G241*12)*INDEX(Surface_Engine!$F$12:$F$72,$A615+1)-(Surface_Engine!G241*12),1000*12*INDEX(Surface_Engine!$C$12:$C$72,$A615+1)/(1+Assumptions!$B$10)^15+INDEX(Surface_Engine!$D$12:$D$72,$A615+1)))*INDEX(Surface_Engine!$B$12:$B$72,$A615+1)+F616</f>
        <v>412.050714169566</v>
      </c>
      <c r="G615" s="48" t="n">
        <f aca="false">C615*(IF($A615&lt;$Q$573,INDEX(Surface_Engine!$D$12:$D$72,$A615+1)+(Surface_Engine!G241*12)*INDEX(Surface_Engine!$F$12:$F$72,$A615+1)-(Surface_Engine!G241*12),1000*12*INDEX(Surface_Engine!$C$12:$C$72,$A615+1)/(1+Assumptions!$B$10)^15+INDEX(Surface_Engine!$D$12:$D$72,$A615+1)))*INDEX(Surface_Engine!$B$12:$B$72,$A615+1)+G616</f>
        <v>1045.63822271979</v>
      </c>
      <c r="H615" s="48" t="n">
        <f aca="false">D615*(IF($A615&lt;$Q$573,INDEX(Surface_Engine!$D$12:$D$72,$A615+1)+(Surface_Engine!G241*12)*INDEX(Surface_Engine!$F$12:$F$72,$A615+1)-(Surface_Engine!G241*12),1000*12*INDEX(Surface_Engine!$C$12:$C$72,$A615+1)/(1+Assumptions!$B$10)^15+INDEX(Surface_Engine!$D$12:$D$72,$A615+1)))*INDEX(Surface_Engine!$B$12:$B$72,$A615+1)+H616</f>
        <v>373.268028124988</v>
      </c>
      <c r="I615" s="48" t="n">
        <f aca="false">E615*(IF($A615&lt;$Q$573,INDEX(Surface_Engine!$D$12:$D$72,$A615+1)+(Surface_Engine!G241*12)*INDEX(Surface_Engine!$F$12:$F$72,$A615+1)-(Surface_Engine!G241*12),1000*12*INDEX(Surface_Engine!$C$12:$C$72,$A615+1)/(1+Assumptions!$B$10)^15+INDEX(Surface_Engine!$D$12:$D$72,$A615+1)))*INDEX(Surface_Engine!$B$12:$B$72,$A615+1)+I616</f>
        <v>454.445592678821</v>
      </c>
      <c r="J615" s="48" t="n">
        <f aca="false">B615*(IF($A615&lt;$Q$573,INDEX(Surface_Engine!$D$12:$D$72,$A615+1)*(1+Assumptions!$B$24)+(Surface_Engine!G241*12)*INDEX(Surface_Engine!$F$12:$F$72,$A615+1)-(Surface_Engine!G241*12),1000*12*INDEX(Surface_Engine!$C$12:$C$72,$A615+1)/(1+Assumptions!$B$10)^15+INDEX(Surface_Engine!$D$12:$D$72,$A615+1)*(1+Assumptions!$B$24)))*INDEX(Surface_Engine!$B$12:$B$72,$A615+1)+J616</f>
        <v>412.510246407228</v>
      </c>
      <c r="K615" s="12" t="n">
        <f aca="false">SQRT((IF(C615&lt;=0,0,MAX(0,(B615/C615)*G615/INDEX(Surface_Engine!$B$12:$B$72,$A615+1)-F615/INDEX(Surface_Engine!$B$12:$B$72,$A615+1))))^2+(MAX(IF(D615&lt;=0,0,MAX(0,(B615/D615)*H615/INDEX(Surface_Engine!$B$12:$B$72,$A615+1)-F615/INDEX(Surface_Engine!$B$12:$B$72,$A615+1))),IF(E615&lt;=0,0,MAX(0,(B615/E615)*I615/INDEX(Surface_Engine!$B$12:$B$72,$A615+1)-F615/INDEX(Surface_Engine!$B$12:$B$72,$A615+1))),IF($A615&lt;$Q$573,MAX(0,-Assumptions!$B$22*(F615/INDEX(Surface_Engine!$B$12:$B$72,$A615+1))),0)))^2+(MAX(0,J615/INDEX(Surface_Engine!$B$12:$B$72,$A615+1)-(F615/INDEX(Surface_Engine!$B$12:$B$72,$A615+1))))^2+2*Assumptions!$B$26*(IF(C615&lt;=0,0,MAX(0,(B615/C615)*G615/INDEX(Surface_Engine!$B$12:$B$72,$A615+1)-F615/INDEX(Surface_Engine!$B$12:$B$72,$A615+1))))*(MAX(IF(D615&lt;=0,0,MAX(0,(B615/D615)*H615/INDEX(Surface_Engine!$B$12:$B$72,$A615+1)-F615/INDEX(Surface_Engine!$B$12:$B$72,$A615+1))),IF(E615&lt;=0,0,MAX(0,(B615/E615)*I615/INDEX(Surface_Engine!$B$12:$B$72,$A615+1)-F615/INDEX(Surface_Engine!$B$12:$B$72,$A615+1))),IF($A615&lt;$Q$573,MAX(0,-Assumptions!$B$22*(F615/INDEX(Surface_Engine!$B$12:$B$72,$A615+1))),0)))+2*Assumptions!$B$27*(IF(C615&lt;=0,0,MAX(0,(B615/C615)*G615/INDEX(Surface_Engine!$B$12:$B$72,$A615+1)-F615/INDEX(Surface_Engine!$B$12:$B$72,$A615+1))))*(MAX(0,J615/INDEX(Surface_Engine!$B$12:$B$72,$A615+1)-(F615/INDEX(Surface_Engine!$B$12:$B$72,$A615+1))))+2*Assumptions!$B$28*(MAX(IF(D615&lt;=0,0,MAX(0,(B615/D615)*H615/INDEX(Surface_Engine!$B$12:$B$72,$A615+1)-F615/INDEX(Surface_Engine!$B$12:$B$72,$A615+1))),IF(E615&lt;=0,0,MAX(0,(B615/E615)*I615/INDEX(Surface_Engine!$B$12:$B$72,$A615+1)-F615/INDEX(Surface_Engine!$B$12:$B$72,$A615+1))),IF($A615&lt;$Q$573,MAX(0,-Assumptions!$B$22*(F615/INDEX(Surface_Engine!$B$12:$B$72,$A615+1))),0)))*(MAX(0,J615/INDEX(Surface_Engine!$B$12:$B$72,$A615+1)-(F615/INDEX(Surface_Engine!$B$12:$B$72,$A615+1)))))</f>
        <v>242.341079436065</v>
      </c>
      <c r="L615" s="48" t="n">
        <f aca="false">K615*INDEX(Surface_Engine!$B$12:$B$72,$A615+1)+L616</f>
        <v>217.166177994221</v>
      </c>
      <c r="M615" s="48" t="n">
        <f aca="false">M614+B614*(IF($A614&lt;$Q$573,(Surface_Engine!G241*12)-(Surface_Engine!G241*12)*INDEX(Surface_Engine!$F$12:$F$72,$A614+1)-INDEX(Surface_Engine!$D$12:$D$72,$A614+1),-(1000*12*INDEX(Surface_Engine!$C$12:$C$72,$A614+1)/(1+Assumptions!$B$10)^15+INDEX(Surface_Engine!$D$12:$D$72,$A614+1))))*INDEX(Surface_Engine!$B$12:$B$72,$A614+1)</f>
        <v>2618.72759551076</v>
      </c>
      <c r="N615" s="12" t="n">
        <f aca="false">IF(B615&lt;=0,0,MAX(0,(K615+Assumptions!$B$29*L615/INDEX(Surface_Engine!$B$12:$B$72,$A615+1)-(M615/INDEX(Surface_Engine!$B$12:$B$72,$A615+1)-(F615/INDEX(Surface_Engine!$B$12:$B$72,$A615+1))))/B615))</f>
        <v>0</v>
      </c>
    </row>
    <row r="616" customFormat="false" ht="15" hidden="false" customHeight="true" outlineLevel="0" collapsed="false">
      <c r="A616" s="1" t="n">
        <v>41</v>
      </c>
      <c r="B616" s="32" t="n">
        <f aca="false">INDEX(Surface_Engine!$L$12:$L$72,$A616+1)*IF($A616&lt;$Q$573,INDEX(Surface_Engine!$E$12:$E$72,$A616+1),INDEX(Surface_Engine!$E$12:$E$72,$Q$573+1))</f>
        <v>0.0194574963762381</v>
      </c>
      <c r="C616" s="32" t="n">
        <f aca="false">INDEX(Panel_Reserving!$D$8:$D$68,$A616+1)*IF($A616&lt;$Q$573,INDEX(Surface_Engine!$E$12:$E$72,$A616+1),INDEX(Surface_Engine!$E$12:$E$72,$Q$573+1))</f>
        <v>0.0435055084561393</v>
      </c>
      <c r="D616" s="32" t="n">
        <f aca="false">INDEX(Surface_Engine!$L$12:$L$72,$A616+1)*IF($A616&lt;$Q$573,INDEX(Surface_Engine!$Y$12:$Y$72,$A616+1),INDEX(Surface_Engine!$Y$12:$Y$72,$Q$573+1))</f>
        <v>0.0176261344898888</v>
      </c>
      <c r="E616" s="32" t="n">
        <f aca="false">INDEX(Surface_Engine!$L$12:$L$72,$A616+1)*IF($A616&lt;$Q$573,INDEX(Surface_Engine!$Z$12:$Z$72,$A616+1),INDEX(Surface_Engine!$Z$12:$Z$72,$Q$573+1))</f>
        <v>0.0214594300377957</v>
      </c>
      <c r="F616" s="48" t="n">
        <f aca="false">B616*(IF($A616&lt;$Q$573,INDEX(Surface_Engine!$D$12:$D$72,$A616+1)+(Surface_Engine!G241*12)*INDEX(Surface_Engine!$F$12:$F$72,$A616+1)-(Surface_Engine!G241*12),1000*12*INDEX(Surface_Engine!$C$12:$C$72,$A616+1)/(1+Assumptions!$B$10)^15+INDEX(Surface_Engine!$D$12:$D$72,$A616+1)))*INDEX(Surface_Engine!$B$12:$B$72,$A616+1)+F617</f>
        <v>286.949158574739</v>
      </c>
      <c r="G616" s="48" t="n">
        <f aca="false">C616*(IF($A616&lt;$Q$573,INDEX(Surface_Engine!$D$12:$D$72,$A616+1)+(Surface_Engine!G241*12)*INDEX(Surface_Engine!$F$12:$F$72,$A616+1)-(Surface_Engine!G241*12),1000*12*INDEX(Surface_Engine!$C$12:$C$72,$A616+1)/(1+Assumptions!$B$10)^15+INDEX(Surface_Engine!$D$12:$D$72,$A616+1)))*INDEX(Surface_Engine!$B$12:$B$72,$A616+1)+G617</f>
        <v>773.485295420863</v>
      </c>
      <c r="H616" s="48" t="n">
        <f aca="false">D616*(IF($A616&lt;$Q$573,INDEX(Surface_Engine!$D$12:$D$72,$A616+1)+(Surface_Engine!G241*12)*INDEX(Surface_Engine!$F$12:$F$72,$A616+1)-(Surface_Engine!G241*12),1000*12*INDEX(Surface_Engine!$C$12:$C$72,$A616+1)/(1+Assumptions!$B$10)^15+INDEX(Surface_Engine!$D$12:$D$72,$A616+1)))*INDEX(Surface_Engine!$B$12:$B$72,$A616+1)+H617</f>
        <v>259.9411744964</v>
      </c>
      <c r="I616" s="48" t="n">
        <f aca="false">E616*(IF($A616&lt;$Q$573,INDEX(Surface_Engine!$D$12:$D$72,$A616+1)+(Surface_Engine!G241*12)*INDEX(Surface_Engine!$F$12:$F$72,$A616+1)-(Surface_Engine!G241*12),1000*12*INDEX(Surface_Engine!$C$12:$C$72,$A616+1)/(1+Assumptions!$B$10)^15+INDEX(Surface_Engine!$D$12:$D$72,$A616+1)))*INDEX(Surface_Engine!$B$12:$B$72,$A616+1)+I617</f>
        <v>316.472647547756</v>
      </c>
      <c r="J616" s="48" t="n">
        <f aca="false">B616*(IF($A616&lt;$Q$573,INDEX(Surface_Engine!$D$12:$D$72,$A616+1)*(1+Assumptions!$B$24)+(Surface_Engine!G241*12)*INDEX(Surface_Engine!$F$12:$F$72,$A616+1)-(Surface_Engine!G241*12),1000*12*INDEX(Surface_Engine!$C$12:$C$72,$A616+1)/(1+Assumptions!$B$10)^15+INDEX(Surface_Engine!$D$12:$D$72,$A616+1)*(1+Assumptions!$B$24)))*INDEX(Surface_Engine!$B$12:$B$72,$A616+1)+J617</f>
        <v>287.27032920261</v>
      </c>
      <c r="K616" s="12" t="n">
        <f aca="false">SQRT((IF(C616&lt;=0,0,MAX(0,(B616/C616)*G616/INDEX(Surface_Engine!$B$12:$B$72,$A616+1)-F616/INDEX(Surface_Engine!$B$12:$B$72,$A616+1))))^2+(MAX(IF(D616&lt;=0,0,MAX(0,(B616/D616)*H616/INDEX(Surface_Engine!$B$12:$B$72,$A616+1)-F616/INDEX(Surface_Engine!$B$12:$B$72,$A616+1))),IF(E616&lt;=0,0,MAX(0,(B616/E616)*I616/INDEX(Surface_Engine!$B$12:$B$72,$A616+1)-F616/INDEX(Surface_Engine!$B$12:$B$72,$A616+1))),IF($A616&lt;$Q$573,MAX(0,-Assumptions!$B$22*(F616/INDEX(Surface_Engine!$B$12:$B$72,$A616+1))),0)))^2+(MAX(0,J616/INDEX(Surface_Engine!$B$12:$B$72,$A616+1)-(F616/INDEX(Surface_Engine!$B$12:$B$72,$A616+1))))^2+2*Assumptions!$B$26*(IF(C616&lt;=0,0,MAX(0,(B616/C616)*G616/INDEX(Surface_Engine!$B$12:$B$72,$A616+1)-F616/INDEX(Surface_Engine!$B$12:$B$72,$A616+1))))*(MAX(IF(D616&lt;=0,0,MAX(0,(B616/D616)*H616/INDEX(Surface_Engine!$B$12:$B$72,$A616+1)-F616/INDEX(Surface_Engine!$B$12:$B$72,$A616+1))),IF(E616&lt;=0,0,MAX(0,(B616/E616)*I616/INDEX(Surface_Engine!$B$12:$B$72,$A616+1)-F616/INDEX(Surface_Engine!$B$12:$B$72,$A616+1))),IF($A616&lt;$Q$573,MAX(0,-Assumptions!$B$22*(F616/INDEX(Surface_Engine!$B$12:$B$72,$A616+1))),0)))+2*Assumptions!$B$27*(IF(C616&lt;=0,0,MAX(0,(B616/C616)*G616/INDEX(Surface_Engine!$B$12:$B$72,$A616+1)-F616/INDEX(Surface_Engine!$B$12:$B$72,$A616+1))))*(MAX(0,J616/INDEX(Surface_Engine!$B$12:$B$72,$A616+1)-(F616/INDEX(Surface_Engine!$B$12:$B$72,$A616+1))))+2*Assumptions!$B$28*(MAX(IF(D616&lt;=0,0,MAX(0,(B616/D616)*H616/INDEX(Surface_Engine!$B$12:$B$72,$A616+1)-F616/INDEX(Surface_Engine!$B$12:$B$72,$A616+1))),IF(E616&lt;=0,0,MAX(0,(B616/E616)*I616/INDEX(Surface_Engine!$B$12:$B$72,$A616+1)-F616/INDEX(Surface_Engine!$B$12:$B$72,$A616+1))),IF($A616&lt;$Q$573,MAX(0,-Assumptions!$B$22*(F616/INDEX(Surface_Engine!$B$12:$B$72,$A616+1))),0)))*(MAX(0,J616/INDEX(Surface_Engine!$B$12:$B$72,$A616+1)-(F616/INDEX(Surface_Engine!$B$12:$B$72,$A616+1)))))</f>
        <v>215.145036626577</v>
      </c>
      <c r="L616" s="48" t="n">
        <f aca="false">K616*INDEX(Surface_Engine!$B$12:$B$72,$A616+1)+L617</f>
        <v>148.448129755869</v>
      </c>
      <c r="M616" s="48" t="n">
        <f aca="false">M615+B615*(IF($A615&lt;$Q$573,(Surface_Engine!G241*12)-(Surface_Engine!G241*12)*INDEX(Surface_Engine!$F$12:$F$72,$A615+1)-INDEX(Surface_Engine!$D$12:$D$72,$A615+1),-(1000*12*INDEX(Surface_Engine!$C$12:$C$72,$A615+1)/(1+Assumptions!$B$10)^15+INDEX(Surface_Engine!$D$12:$D$72,$A615+1))))*INDEX(Surface_Engine!$B$12:$B$72,$A615+1)</f>
        <v>2493.62603991593</v>
      </c>
      <c r="N616" s="12" t="n">
        <f aca="false">IF(B616&lt;=0,0,MAX(0,(K616+Assumptions!$B$29*L616/INDEX(Surface_Engine!$B$12:$B$72,$A616+1)-(M616/INDEX(Surface_Engine!$B$12:$B$72,$A616+1)-(F616/INDEX(Surface_Engine!$B$12:$B$72,$A616+1))))/B616))</f>
        <v>0</v>
      </c>
    </row>
    <row r="617" customFormat="false" ht="15" hidden="false" customHeight="true" outlineLevel="0" collapsed="false">
      <c r="A617" s="1" t="n">
        <v>42</v>
      </c>
      <c r="B617" s="32" t="n">
        <f aca="false">INDEX(Surface_Engine!$L$12:$L$72,$A617+1)*IF($A617&lt;$Q$573,INDEX(Surface_Engine!$E$12:$E$72,$A617+1),INDEX(Surface_Engine!$E$12:$E$72,$Q$573+1))</f>
        <v>0.0129577038639437</v>
      </c>
      <c r="C617" s="32" t="n">
        <f aca="false">INDEX(Panel_Reserving!$D$8:$D$68,$A617+1)*IF($A617&lt;$Q$573,INDEX(Surface_Engine!$E$12:$E$72,$A617+1),INDEX(Surface_Engine!$E$12:$E$72,$Q$573+1))</f>
        <v>0.0318790680287015</v>
      </c>
      <c r="D617" s="32" t="n">
        <f aca="false">INDEX(Surface_Engine!$L$12:$L$72,$A617+1)*IF($A617&lt;$Q$573,INDEX(Surface_Engine!$Y$12:$Y$72,$A617+1),INDEX(Surface_Engine!$Y$12:$Y$72,$Q$573+1))</f>
        <v>0.0117381099073436</v>
      </c>
      <c r="E617" s="32" t="n">
        <f aca="false">INDEX(Surface_Engine!$L$12:$L$72,$A617+1)*IF($A617&lt;$Q$573,INDEX(Surface_Engine!$Z$12:$Z$72,$A617+1),INDEX(Surface_Engine!$Z$12:$Z$72,$Q$573+1))</f>
        <v>0.0142908899553158</v>
      </c>
      <c r="F617" s="48" t="n">
        <f aca="false">B617*(IF($A617&lt;$Q$573,INDEX(Surface_Engine!$D$12:$D$72,$A617+1)+(Surface_Engine!G241*12)*INDEX(Surface_Engine!$F$12:$F$72,$A617+1)-(Surface_Engine!G241*12),1000*12*INDEX(Surface_Engine!$C$12:$C$72,$A617+1)/(1+Assumptions!$B$10)^15+INDEX(Surface_Engine!$D$12:$D$72,$A617+1)))*INDEX(Surface_Engine!$B$12:$B$72,$A617+1)+F618</f>
        <v>178.47131411972</v>
      </c>
      <c r="G617" s="48" t="n">
        <f aca="false">C617*(IF($A617&lt;$Q$573,INDEX(Surface_Engine!$D$12:$D$72,$A617+1)+(Surface_Engine!G241*12)*INDEX(Surface_Engine!$F$12:$F$72,$A617+1)-(Surface_Engine!G241*12),1000*12*INDEX(Surface_Engine!$C$12:$C$72,$A617+1)/(1+Assumptions!$B$10)^15+INDEX(Surface_Engine!$D$12:$D$72,$A617+1)))*INDEX(Surface_Engine!$B$12:$B$72,$A617+1)+G618</f>
        <v>530.936938325703</v>
      </c>
      <c r="H617" s="48" t="n">
        <f aca="false">D617*(IF($A617&lt;$Q$573,INDEX(Surface_Engine!$D$12:$D$72,$A617+1)+(Surface_Engine!G241*12)*INDEX(Surface_Engine!$F$12:$F$72,$A617+1)-(Surface_Engine!G241*12),1000*12*INDEX(Surface_Engine!$C$12:$C$72,$A617+1)/(1+Assumptions!$B$10)^15+INDEX(Surface_Engine!$D$12:$D$72,$A617+1)))*INDEX(Surface_Engine!$B$12:$B$72,$A617+1)+H618</f>
        <v>161.673389239483</v>
      </c>
      <c r="I617" s="48" t="n">
        <f aca="false">E617*(IF($A617&lt;$Q$573,INDEX(Surface_Engine!$D$12:$D$72,$A617+1)+(Surface_Engine!G241*12)*INDEX(Surface_Engine!$F$12:$F$72,$A617+1)-(Surface_Engine!G241*12),1000*12*INDEX(Surface_Engine!$C$12:$C$72,$A617+1)/(1+Assumptions!$B$10)^15+INDEX(Surface_Engine!$D$12:$D$72,$A617+1)))*INDEX(Surface_Engine!$B$12:$B$72,$A617+1)+I618</f>
        <v>196.833786066266</v>
      </c>
      <c r="J617" s="48" t="n">
        <f aca="false">B617*(IF($A617&lt;$Q$573,INDEX(Surface_Engine!$D$12:$D$72,$A617+1)*(1+Assumptions!$B$24)+(Surface_Engine!G241*12)*INDEX(Surface_Engine!$F$12:$F$72,$A617+1)-(Surface_Engine!G241*12),1000*12*INDEX(Surface_Engine!$C$12:$C$72,$A617+1)/(1+Assumptions!$B$10)^15+INDEX(Surface_Engine!$D$12:$D$72,$A617+1)*(1+Assumptions!$B$24)))*INDEX(Surface_Engine!$B$12:$B$72,$A617+1)+J618</f>
        <v>178.671927286897</v>
      </c>
      <c r="K617" s="12" t="n">
        <f aca="false">SQRT((IF(C617&lt;=0,0,MAX(0,(B617/C617)*G617/INDEX(Surface_Engine!$B$12:$B$72,$A617+1)-F617/INDEX(Surface_Engine!$B$12:$B$72,$A617+1))))^2+(MAX(IF(D617&lt;=0,0,MAX(0,(B617/D617)*H617/INDEX(Surface_Engine!$B$12:$B$72,$A617+1)-F617/INDEX(Surface_Engine!$B$12:$B$72,$A617+1))),IF(E617&lt;=0,0,MAX(0,(B617/E617)*I617/INDEX(Surface_Engine!$B$12:$B$72,$A617+1)-F617/INDEX(Surface_Engine!$B$12:$B$72,$A617+1))),IF($A617&lt;$Q$573,MAX(0,-Assumptions!$B$22*(F617/INDEX(Surface_Engine!$B$12:$B$72,$A617+1))),0)))^2+(MAX(0,J617/INDEX(Surface_Engine!$B$12:$B$72,$A617+1)-(F617/INDEX(Surface_Engine!$B$12:$B$72,$A617+1))))^2+2*Assumptions!$B$26*(IF(C617&lt;=0,0,MAX(0,(B617/C617)*G617/INDEX(Surface_Engine!$B$12:$B$72,$A617+1)-F617/INDEX(Surface_Engine!$B$12:$B$72,$A617+1))))*(MAX(IF(D617&lt;=0,0,MAX(0,(B617/D617)*H617/INDEX(Surface_Engine!$B$12:$B$72,$A617+1)-F617/INDEX(Surface_Engine!$B$12:$B$72,$A617+1))),IF(E617&lt;=0,0,MAX(0,(B617/E617)*I617/INDEX(Surface_Engine!$B$12:$B$72,$A617+1)-F617/INDEX(Surface_Engine!$B$12:$B$72,$A617+1))),IF($A617&lt;$Q$573,MAX(0,-Assumptions!$B$22*(F617/INDEX(Surface_Engine!$B$12:$B$72,$A617+1))),0)))+2*Assumptions!$B$27*(IF(C617&lt;=0,0,MAX(0,(B617/C617)*G617/INDEX(Surface_Engine!$B$12:$B$72,$A617+1)-F617/INDEX(Surface_Engine!$B$12:$B$72,$A617+1))))*(MAX(0,J617/INDEX(Surface_Engine!$B$12:$B$72,$A617+1)-(F617/INDEX(Surface_Engine!$B$12:$B$72,$A617+1))))+2*Assumptions!$B$28*(MAX(IF(D617&lt;=0,0,MAX(0,(B617/D617)*H617/INDEX(Surface_Engine!$B$12:$B$72,$A617+1)-F617/INDEX(Surface_Engine!$B$12:$B$72,$A617+1))),IF(E617&lt;=0,0,MAX(0,(B617/E617)*I617/INDEX(Surface_Engine!$B$12:$B$72,$A617+1)-F617/INDEX(Surface_Engine!$B$12:$B$72,$A617+1))),IF($A617&lt;$Q$573,MAX(0,-Assumptions!$B$22*(F617/INDEX(Surface_Engine!$B$12:$B$72,$A617+1))),0)))*(MAX(0,J617/INDEX(Surface_Engine!$B$12:$B$72,$A617+1)-(F617/INDEX(Surface_Engine!$B$12:$B$72,$A617+1)))))</f>
        <v>140.593867557716</v>
      </c>
      <c r="L617" s="48" t="n">
        <f aca="false">K617*INDEX(Surface_Engine!$B$12:$B$72,$A617+1)+L618</f>
        <v>89.380964116901</v>
      </c>
      <c r="M617" s="48" t="n">
        <f aca="false">M616+B616*(IF($A616&lt;$Q$573,(Surface_Engine!G241*12)-(Surface_Engine!G241*12)*INDEX(Surface_Engine!$F$12:$F$72,$A616+1)-INDEX(Surface_Engine!$D$12:$D$72,$A616+1),-(1000*12*INDEX(Surface_Engine!$C$12:$C$72,$A616+1)/(1+Assumptions!$B$10)^15+INDEX(Surface_Engine!$D$12:$D$72,$A616+1))))*INDEX(Surface_Engine!$B$12:$B$72,$A616+1)</f>
        <v>2385.14819546091</v>
      </c>
      <c r="N617" s="12" t="n">
        <f aca="false">IF(B617&lt;=0,0,MAX(0,(K617+Assumptions!$B$29*L617/INDEX(Surface_Engine!$B$12:$B$72,$A617+1)-(M617/INDEX(Surface_Engine!$B$12:$B$72,$A617+1)-(F617/INDEX(Surface_Engine!$B$12:$B$72,$A617+1))))/B617))</f>
        <v>0</v>
      </c>
    </row>
    <row r="618" customFormat="false" ht="15" hidden="false" customHeight="true" outlineLevel="0" collapsed="false">
      <c r="A618" s="1" t="n">
        <v>43</v>
      </c>
      <c r="B618" s="32" t="n">
        <f aca="false">INDEX(Surface_Engine!$L$12:$L$72,$A618+1)*IF($A618&lt;$Q$573,INDEX(Surface_Engine!$E$12:$E$72,$A618+1),INDEX(Surface_Engine!$E$12:$E$72,$Q$573+1))</f>
        <v>0.00831588584834633</v>
      </c>
      <c r="C618" s="32" t="n">
        <f aca="false">INDEX(Panel_Reserving!$D$8:$D$68,$A618+1)*IF($A618&lt;$Q$573,INDEX(Surface_Engine!$E$12:$E$72,$A618+1),INDEX(Surface_Engine!$E$12:$E$72,$Q$573+1))</f>
        <v>0.0227430770321582</v>
      </c>
      <c r="D618" s="32" t="n">
        <f aca="false">INDEX(Surface_Engine!$L$12:$L$72,$A618+1)*IF($A618&lt;$Q$573,INDEX(Surface_Engine!$Y$12:$Y$72,$A618+1),INDEX(Surface_Engine!$Y$12:$Y$72,$Q$573+1))</f>
        <v>0.00753318512984631</v>
      </c>
      <c r="E618" s="32" t="n">
        <f aca="false">INDEX(Surface_Engine!$L$12:$L$72,$A618+1)*IF($A618&lt;$Q$573,INDEX(Surface_Engine!$Z$12:$Z$72,$A618+1),INDEX(Surface_Engine!$Z$12:$Z$72,$Q$573+1))</f>
        <v>0.00917148676860684</v>
      </c>
      <c r="F618" s="48" t="n">
        <f aca="false">B618*(IF($A618&lt;$Q$573,INDEX(Surface_Engine!$D$12:$D$72,$A618+1)+(Surface_Engine!G241*12)*INDEX(Surface_Engine!$F$12:$F$72,$A618+1)-(Surface_Engine!G241*12),1000*12*INDEX(Surface_Engine!$C$12:$C$72,$A618+1)/(1+Assumptions!$B$10)^15+INDEX(Surface_Engine!$D$12:$D$72,$A618+1)))*INDEX(Surface_Engine!$B$12:$B$72,$A618+1)+F619</f>
        <v>107.097828617803</v>
      </c>
      <c r="G618" s="48" t="n">
        <f aca="false">C618*(IF($A618&lt;$Q$573,INDEX(Surface_Engine!$D$12:$D$72,$A618+1)+(Surface_Engine!G241*12)*INDEX(Surface_Engine!$F$12:$F$72,$A618+1)-(Surface_Engine!G241*12),1000*12*INDEX(Surface_Engine!$C$12:$C$72,$A618+1)/(1+Assumptions!$B$10)^15+INDEX(Surface_Engine!$D$12:$D$72,$A618+1)))*INDEX(Surface_Engine!$B$12:$B$72,$A618+1)+G619</f>
        <v>355.340997590207</v>
      </c>
      <c r="H618" s="48" t="n">
        <f aca="false">D618*(IF($A618&lt;$Q$573,INDEX(Surface_Engine!$D$12:$D$72,$A618+1)+(Surface_Engine!G241*12)*INDEX(Surface_Engine!$F$12:$F$72,$A618+1)-(Surface_Engine!G241*12),1000*12*INDEX(Surface_Engine!$C$12:$C$72,$A618+1)/(1+Assumptions!$B$10)^15+INDEX(Surface_Engine!$D$12:$D$72,$A618+1)))*INDEX(Surface_Engine!$B$12:$B$72,$A618+1)+H619</f>
        <v>97.0176580938632</v>
      </c>
      <c r="I618" s="48" t="n">
        <f aca="false">E618*(IF($A618&lt;$Q$573,INDEX(Surface_Engine!$D$12:$D$72,$A618+1)+(Surface_Engine!G241*12)*INDEX(Surface_Engine!$F$12:$F$72,$A618+1)-(Surface_Engine!G241*12),1000*12*INDEX(Surface_Engine!$C$12:$C$72,$A618+1)/(1+Assumptions!$B$10)^15+INDEX(Surface_Engine!$D$12:$D$72,$A618+1)))*INDEX(Surface_Engine!$B$12:$B$72,$A618+1)+I619</f>
        <v>118.116859229137</v>
      </c>
      <c r="J618" s="48" t="n">
        <f aca="false">B618*(IF($A618&lt;$Q$573,INDEX(Surface_Engine!$D$12:$D$72,$A618+1)*(1+Assumptions!$B$24)+(Surface_Engine!G241*12)*INDEX(Surface_Engine!$F$12:$F$72,$A618+1)-(Surface_Engine!G241*12),1000*12*INDEX(Surface_Engine!$C$12:$C$72,$A618+1)/(1+Assumptions!$B$10)^15+INDEX(Surface_Engine!$D$12:$D$72,$A618+1)*(1+Assumptions!$B$24)))*INDEX(Surface_Engine!$B$12:$B$72,$A618+1)+J619</f>
        <v>107.218735973874</v>
      </c>
      <c r="K618" s="12" t="n">
        <f aca="false">SQRT((IF(C618&lt;=0,0,MAX(0,(B618/C618)*G618/INDEX(Surface_Engine!$B$12:$B$72,$A618+1)-F618/INDEX(Surface_Engine!$B$12:$B$72,$A618+1))))^2+(MAX(IF(D618&lt;=0,0,MAX(0,(B618/D618)*H618/INDEX(Surface_Engine!$B$12:$B$72,$A618+1)-F618/INDEX(Surface_Engine!$B$12:$B$72,$A618+1))),IF(E618&lt;=0,0,MAX(0,(B618/E618)*I618/INDEX(Surface_Engine!$B$12:$B$72,$A618+1)-F618/INDEX(Surface_Engine!$B$12:$B$72,$A618+1))),IF($A618&lt;$Q$573,MAX(0,-Assumptions!$B$22*(F618/INDEX(Surface_Engine!$B$12:$B$72,$A618+1))),0)))^2+(MAX(0,J618/INDEX(Surface_Engine!$B$12:$B$72,$A618+1)-(F618/INDEX(Surface_Engine!$B$12:$B$72,$A618+1))))^2+2*Assumptions!$B$26*(IF(C618&lt;=0,0,MAX(0,(B618/C618)*G618/INDEX(Surface_Engine!$B$12:$B$72,$A618+1)-F618/INDEX(Surface_Engine!$B$12:$B$72,$A618+1))))*(MAX(IF(D618&lt;=0,0,MAX(0,(B618/D618)*H618/INDEX(Surface_Engine!$B$12:$B$72,$A618+1)-F618/INDEX(Surface_Engine!$B$12:$B$72,$A618+1))),IF(E618&lt;=0,0,MAX(0,(B618/E618)*I618/INDEX(Surface_Engine!$B$12:$B$72,$A618+1)-F618/INDEX(Surface_Engine!$B$12:$B$72,$A618+1))),IF($A618&lt;$Q$573,MAX(0,-Assumptions!$B$22*(F618/INDEX(Surface_Engine!$B$12:$B$72,$A618+1))),0)))+2*Assumptions!$B$27*(IF(C618&lt;=0,0,MAX(0,(B618/C618)*G618/INDEX(Surface_Engine!$B$12:$B$72,$A618+1)-F618/INDEX(Surface_Engine!$B$12:$B$72,$A618+1))))*(MAX(0,J618/INDEX(Surface_Engine!$B$12:$B$72,$A618+1)-(F618/INDEX(Surface_Engine!$B$12:$B$72,$A618+1))))+2*Assumptions!$B$28*(MAX(IF(D618&lt;=0,0,MAX(0,(B618/D618)*H618/INDEX(Surface_Engine!$B$12:$B$72,$A618+1)-F618/INDEX(Surface_Engine!$B$12:$B$72,$A618+1))),IF(E618&lt;=0,0,MAX(0,(B618/E618)*I618/INDEX(Surface_Engine!$B$12:$B$72,$A618+1)-F618/INDEX(Surface_Engine!$B$12:$B$72,$A618+1))),IF($A618&lt;$Q$573,MAX(0,-Assumptions!$B$22*(F618/INDEX(Surface_Engine!$B$12:$B$72,$A618+1))),0)))*(MAX(0,J618/INDEX(Surface_Engine!$B$12:$B$72,$A618+1)-(F618/INDEX(Surface_Engine!$B$12:$B$72,$A618+1)))))</f>
        <v>88.7999557314763</v>
      </c>
      <c r="L618" s="48" t="n">
        <f aca="false">K618*INDEX(Surface_Engine!$B$12:$B$72,$A618+1)+L619</f>
        <v>51.9946961525265</v>
      </c>
      <c r="M618" s="48" t="n">
        <f aca="false">M617+B617*(IF($A617&lt;$Q$573,(Surface_Engine!G241*12)-(Surface_Engine!G241*12)*INDEX(Surface_Engine!$F$12:$F$72,$A617+1)-INDEX(Surface_Engine!$D$12:$D$72,$A617+1),-(1000*12*INDEX(Surface_Engine!$C$12:$C$72,$A617+1)/(1+Assumptions!$B$10)^15+INDEX(Surface_Engine!$D$12:$D$72,$A617+1))))*INDEX(Surface_Engine!$B$12:$B$72,$A617+1)</f>
        <v>2313.774709959</v>
      </c>
      <c r="N618" s="12" t="n">
        <f aca="false">IF(B618&lt;=0,0,MAX(0,(K618+Assumptions!$B$29*L618/INDEX(Surface_Engine!$B$12:$B$72,$A618+1)-(M618/INDEX(Surface_Engine!$B$12:$B$72,$A618+1)-(F618/INDEX(Surface_Engine!$B$12:$B$72,$A618+1))))/B618))</f>
        <v>0</v>
      </c>
    </row>
    <row r="619" customFormat="false" ht="15" hidden="false" customHeight="true" outlineLevel="0" collapsed="false">
      <c r="A619" s="1" t="n">
        <v>44</v>
      </c>
      <c r="B619" s="32" t="n">
        <f aca="false">INDEX(Surface_Engine!$L$12:$L$72,$A619+1)*IF($A619&lt;$Q$573,INDEX(Surface_Engine!$E$12:$E$72,$A619+1),INDEX(Surface_Engine!$E$12:$E$72,$Q$573+1))</f>
        <v>0.0051226939077799</v>
      </c>
      <c r="C619" s="32" t="n">
        <f aca="false">INDEX(Panel_Reserving!$D$8:$D$68,$A619+1)*IF($A619&lt;$Q$573,INDEX(Surface_Engine!$E$12:$E$72,$A619+1),INDEX(Surface_Engine!$E$12:$E$72,$Q$573+1))</f>
        <v>0.0157566405555477</v>
      </c>
      <c r="D619" s="32" t="n">
        <f aca="false">INDEX(Surface_Engine!$L$12:$L$72,$A619+1)*IF($A619&lt;$Q$573,INDEX(Surface_Engine!$Y$12:$Y$72,$A619+1),INDEX(Surface_Engine!$Y$12:$Y$72,$Q$573+1))</f>
        <v>0.00464054007890401</v>
      </c>
      <c r="E619" s="32" t="n">
        <f aca="false">INDEX(Surface_Engine!$L$12:$L$72,$A619+1)*IF($A619&lt;$Q$573,INDEX(Surface_Engine!$Z$12:$Z$72,$A619+1),INDEX(Surface_Engine!$Z$12:$Z$72,$Q$573+1))</f>
        <v>0.00564975520968329</v>
      </c>
      <c r="F619" s="48" t="n">
        <f aca="false">B619*(IF($A619&lt;$Q$573,INDEX(Surface_Engine!$D$12:$D$72,$A619+1)+(Surface_Engine!G241*12)*INDEX(Surface_Engine!$F$12:$F$72,$A619+1)-(Surface_Engine!G241*12),1000*12*INDEX(Surface_Engine!$C$12:$C$72,$A619+1)/(1+Assumptions!$B$10)^15+INDEX(Surface_Engine!$D$12:$D$72,$A619+1)))*INDEX(Surface_Engine!$B$12:$B$72,$A619+1)+F620</f>
        <v>61.8619640137624</v>
      </c>
      <c r="G619" s="48" t="n">
        <f aca="false">C619*(IF($A619&lt;$Q$573,INDEX(Surface_Engine!$D$12:$D$72,$A619+1)+(Surface_Engine!G241*12)*INDEX(Surface_Engine!$F$12:$F$72,$A619+1)-(Surface_Engine!G241*12),1000*12*INDEX(Surface_Engine!$C$12:$C$72,$A619+1)/(1+Assumptions!$B$10)^15+INDEX(Surface_Engine!$D$12:$D$72,$A619+1)))*INDEX(Surface_Engine!$B$12:$B$72,$A619+1)+G620</f>
        <v>231.625644581778</v>
      </c>
      <c r="H619" s="48" t="n">
        <f aca="false">D619*(IF($A619&lt;$Q$573,INDEX(Surface_Engine!$D$12:$D$72,$A619+1)+(Surface_Engine!G241*12)*INDEX(Surface_Engine!$F$12:$F$72,$A619+1)-(Surface_Engine!G241*12),1000*12*INDEX(Surface_Engine!$C$12:$C$72,$A619+1)/(1+Assumptions!$B$10)^15+INDEX(Surface_Engine!$D$12:$D$72,$A619+1)))*INDEX(Surface_Engine!$B$12:$B$72,$A619+1)+H620</f>
        <v>56.0394449743719</v>
      </c>
      <c r="I619" s="48" t="n">
        <f aca="false">E619*(IF($A619&lt;$Q$573,INDEX(Surface_Engine!$D$12:$D$72,$A619+1)+(Surface_Engine!G241*12)*INDEX(Surface_Engine!$F$12:$F$72,$A619+1)-(Surface_Engine!G241*12),1000*12*INDEX(Surface_Engine!$C$12:$C$72,$A619+1)/(1+Assumptions!$B$10)^15+INDEX(Surface_Engine!$D$12:$D$72,$A619+1)))*INDEX(Surface_Engine!$B$12:$B$72,$A619+1)+I620</f>
        <v>68.2267884359042</v>
      </c>
      <c r="J619" s="48" t="n">
        <f aca="false">B619*(IF($A619&lt;$Q$573,INDEX(Surface_Engine!$D$12:$D$72,$A619+1)*(1+Assumptions!$B$24)+(Surface_Engine!G241*12)*INDEX(Surface_Engine!$F$12:$F$72,$A619+1)-(Surface_Engine!G241*12),1000*12*INDEX(Surface_Engine!$C$12:$C$72,$A619+1)/(1+Assumptions!$B$10)^15+INDEX(Surface_Engine!$D$12:$D$72,$A619+1)*(1+Assumptions!$B$24)))*INDEX(Surface_Engine!$B$12:$B$72,$A619+1)+J620</f>
        <v>61.9321097005592</v>
      </c>
      <c r="K619" s="12" t="n">
        <f aca="false">SQRT((IF(C619&lt;=0,0,MAX(0,(B619/C619)*G619/INDEX(Surface_Engine!$B$12:$B$72,$A619+1)-F619/INDEX(Surface_Engine!$B$12:$B$72,$A619+1))))^2+(MAX(IF(D619&lt;=0,0,MAX(0,(B619/D619)*H619/INDEX(Surface_Engine!$B$12:$B$72,$A619+1)-F619/INDEX(Surface_Engine!$B$12:$B$72,$A619+1))),IF(E619&lt;=0,0,MAX(0,(B619/E619)*I619/INDEX(Surface_Engine!$B$12:$B$72,$A619+1)-F619/INDEX(Surface_Engine!$B$12:$B$72,$A619+1))),IF($A619&lt;$Q$573,MAX(0,-Assumptions!$B$22*(F619/INDEX(Surface_Engine!$B$12:$B$72,$A619+1))),0)))^2+(MAX(0,J619/INDEX(Surface_Engine!$B$12:$B$72,$A619+1)-(F619/INDEX(Surface_Engine!$B$12:$B$72,$A619+1))))^2+2*Assumptions!$B$26*(IF(C619&lt;=0,0,MAX(0,(B619/C619)*G619/INDEX(Surface_Engine!$B$12:$B$72,$A619+1)-F619/INDEX(Surface_Engine!$B$12:$B$72,$A619+1))))*(MAX(IF(D619&lt;=0,0,MAX(0,(B619/D619)*H619/INDEX(Surface_Engine!$B$12:$B$72,$A619+1)-F619/INDEX(Surface_Engine!$B$12:$B$72,$A619+1))),IF(E619&lt;=0,0,MAX(0,(B619/E619)*I619/INDEX(Surface_Engine!$B$12:$B$72,$A619+1)-F619/INDEX(Surface_Engine!$B$12:$B$72,$A619+1))),IF($A619&lt;$Q$573,MAX(0,-Assumptions!$B$22*(F619/INDEX(Surface_Engine!$B$12:$B$72,$A619+1))),0)))+2*Assumptions!$B$27*(IF(C619&lt;=0,0,MAX(0,(B619/C619)*G619/INDEX(Surface_Engine!$B$12:$B$72,$A619+1)-F619/INDEX(Surface_Engine!$B$12:$B$72,$A619+1))))*(MAX(0,J619/INDEX(Surface_Engine!$B$12:$B$72,$A619+1)-(F619/INDEX(Surface_Engine!$B$12:$B$72,$A619+1))))+2*Assumptions!$B$28*(MAX(IF(D619&lt;=0,0,MAX(0,(B619/D619)*H619/INDEX(Surface_Engine!$B$12:$B$72,$A619+1)-F619/INDEX(Surface_Engine!$B$12:$B$72,$A619+1))),IF(E619&lt;=0,0,MAX(0,(B619/E619)*I619/INDEX(Surface_Engine!$B$12:$B$72,$A619+1)-F619/INDEX(Surface_Engine!$B$12:$B$72,$A619+1))),IF($A619&lt;$Q$573,MAX(0,-Assumptions!$B$22*(F619/INDEX(Surface_Engine!$B$12:$B$72,$A619+1))),0)))*(MAX(0,J619/INDEX(Surface_Engine!$B$12:$B$72,$A619+1)-(F619/INDEX(Surface_Engine!$B$12:$B$72,$A619+1)))))</f>
        <v>53.9831788957115</v>
      </c>
      <c r="L619" s="48" t="n">
        <f aca="false">K619*INDEX(Surface_Engine!$B$12:$B$72,$A619+1)+L620</f>
        <v>29.1334415103071</v>
      </c>
      <c r="M619" s="48" t="n">
        <f aca="false">M618+B618*(IF($A618&lt;$Q$573,(Surface_Engine!G241*12)-(Surface_Engine!G241*12)*INDEX(Surface_Engine!$F$12:$F$72,$A618+1)-INDEX(Surface_Engine!$D$12:$D$72,$A618+1),-(1000*12*INDEX(Surface_Engine!$C$12:$C$72,$A618+1)/(1+Assumptions!$B$10)^15+INDEX(Surface_Engine!$D$12:$D$72,$A618+1))))*INDEX(Surface_Engine!$B$12:$B$72,$A618+1)</f>
        <v>2268.53884535496</v>
      </c>
      <c r="N619" s="12" t="n">
        <f aca="false">IF(B619&lt;=0,0,MAX(0,(K619+Assumptions!$B$29*L619/INDEX(Surface_Engine!$B$12:$B$72,$A619+1)-(M619/INDEX(Surface_Engine!$B$12:$B$72,$A619+1)-(F619/INDEX(Surface_Engine!$B$12:$B$72,$A619+1))))/B619))</f>
        <v>0</v>
      </c>
    </row>
    <row r="620" customFormat="false" ht="15" hidden="false" customHeight="true" outlineLevel="0" collapsed="false">
      <c r="A620" s="1" t="n">
        <v>45</v>
      </c>
      <c r="B620" s="32" t="n">
        <f aca="false">INDEX(Surface_Engine!$L$12:$L$72,$A620+1)*IF($A620&lt;$Q$573,INDEX(Surface_Engine!$E$12:$E$72,$A620+1),INDEX(Surface_Engine!$E$12:$E$72,$Q$573+1))</f>
        <v>0.00301516100824619</v>
      </c>
      <c r="C620" s="32" t="n">
        <f aca="false">INDEX(Panel_Reserving!$D$8:$D$68,$A620+1)*IF($A620&lt;$Q$573,INDEX(Surface_Engine!$E$12:$E$72,$A620+1),INDEX(Surface_Engine!$E$12:$E$72,$Q$573+1))</f>
        <v>0.0105706756777305</v>
      </c>
      <c r="D620" s="32" t="n">
        <f aca="false">INDEX(Surface_Engine!$L$12:$L$72,$A620+1)*IF($A620&lt;$Q$573,INDEX(Surface_Engine!$Y$12:$Y$72,$A620+1),INDEX(Surface_Engine!$Y$12:$Y$72,$Q$573+1))</f>
        <v>0.002731370594262</v>
      </c>
      <c r="E620" s="32" t="n">
        <f aca="false">INDEX(Surface_Engine!$L$12:$L$72,$A620+1)*IF($A620&lt;$Q$573,INDEX(Surface_Engine!$Z$12:$Z$72,$A620+1),INDEX(Surface_Engine!$Z$12:$Z$72,$Q$573+1))</f>
        <v>0.00332538346445055</v>
      </c>
      <c r="F620" s="48" t="n">
        <f aca="false">B620*(IF($A620&lt;$Q$573,INDEX(Surface_Engine!$D$12:$D$72,$A620+1)+(Surface_Engine!G241*12)*INDEX(Surface_Engine!$F$12:$F$72,$A620+1)-(Surface_Engine!G241*12),1000*12*INDEX(Surface_Engine!$C$12:$C$72,$A620+1)/(1+Assumptions!$B$10)^15+INDEX(Surface_Engine!$D$12:$D$72,$A620+1)))*INDEX(Surface_Engine!$B$12:$B$72,$A620+1)+F621</f>
        <v>34.3319302096496</v>
      </c>
      <c r="G620" s="48" t="n">
        <f aca="false">C620*(IF($A620&lt;$Q$573,INDEX(Surface_Engine!$D$12:$D$72,$A620+1)+(Surface_Engine!G241*12)*INDEX(Surface_Engine!$F$12:$F$72,$A620+1)-(Surface_Engine!G241*12),1000*12*INDEX(Surface_Engine!$C$12:$C$72,$A620+1)/(1+Assumptions!$B$10)^15+INDEX(Surface_Engine!$D$12:$D$72,$A620+1)))*INDEX(Surface_Engine!$B$12:$B$72,$A620+1)+G621</f>
        <v>146.947376673813</v>
      </c>
      <c r="H620" s="48" t="n">
        <f aca="false">D620*(IF($A620&lt;$Q$573,INDEX(Surface_Engine!$D$12:$D$72,$A620+1)+(Surface_Engine!G241*12)*INDEX(Surface_Engine!$F$12:$F$72,$A620+1)-(Surface_Engine!G241*12),1000*12*INDEX(Surface_Engine!$C$12:$C$72,$A620+1)/(1+Assumptions!$B$10)^15+INDEX(Surface_Engine!$D$12:$D$72,$A620+1)))*INDEX(Surface_Engine!$B$12:$B$72,$A620+1)+H621</f>
        <v>31.1005695425321</v>
      </c>
      <c r="I620" s="48" t="n">
        <f aca="false">E620*(IF($A620&lt;$Q$573,INDEX(Surface_Engine!$D$12:$D$72,$A620+1)+(Surface_Engine!G241*12)*INDEX(Surface_Engine!$F$12:$F$72,$A620+1)-(Surface_Engine!G241*12),1000*12*INDEX(Surface_Engine!$C$12:$C$72,$A620+1)/(1+Assumptions!$B$10)^15+INDEX(Surface_Engine!$D$12:$D$72,$A620+1)))*INDEX(Surface_Engine!$B$12:$B$72,$A620+1)+I621</f>
        <v>37.8642575668772</v>
      </c>
      <c r="J620" s="48" t="n">
        <f aca="false">B620*(IF($A620&lt;$Q$573,INDEX(Surface_Engine!$D$12:$D$72,$A620+1)*(1+Assumptions!$B$24)+(Surface_Engine!G241*12)*INDEX(Surface_Engine!$F$12:$F$72,$A620+1)-(Surface_Engine!G241*12),1000*12*INDEX(Surface_Engine!$C$12:$C$72,$A620+1)/(1+Assumptions!$B$10)^15+INDEX(Surface_Engine!$D$12:$D$72,$A620+1)*(1+Assumptions!$B$24)))*INDEX(Surface_Engine!$B$12:$B$72,$A620+1)+J621</f>
        <v>34.3710331920632</v>
      </c>
      <c r="K620" s="12" t="n">
        <f aca="false">SQRT((IF(C620&lt;=0,0,MAX(0,(B620/C620)*G620/INDEX(Surface_Engine!$B$12:$B$72,$A620+1)-F620/INDEX(Surface_Engine!$B$12:$B$72,$A620+1))))^2+(MAX(IF(D620&lt;=0,0,MAX(0,(B620/D620)*H620/INDEX(Surface_Engine!$B$12:$B$72,$A620+1)-F620/INDEX(Surface_Engine!$B$12:$B$72,$A620+1))),IF(E620&lt;=0,0,MAX(0,(B620/E620)*I620/INDEX(Surface_Engine!$B$12:$B$72,$A620+1)-F620/INDEX(Surface_Engine!$B$12:$B$72,$A620+1))),IF($A620&lt;$Q$573,MAX(0,-Assumptions!$B$22*(F620/INDEX(Surface_Engine!$B$12:$B$72,$A620+1))),0)))^2+(MAX(0,J620/INDEX(Surface_Engine!$B$12:$B$72,$A620+1)-(F620/INDEX(Surface_Engine!$B$12:$B$72,$A620+1))))^2+2*Assumptions!$B$26*(IF(C620&lt;=0,0,MAX(0,(B620/C620)*G620/INDEX(Surface_Engine!$B$12:$B$72,$A620+1)-F620/INDEX(Surface_Engine!$B$12:$B$72,$A620+1))))*(MAX(IF(D620&lt;=0,0,MAX(0,(B620/D620)*H620/INDEX(Surface_Engine!$B$12:$B$72,$A620+1)-F620/INDEX(Surface_Engine!$B$12:$B$72,$A620+1))),IF(E620&lt;=0,0,MAX(0,(B620/E620)*I620/INDEX(Surface_Engine!$B$12:$B$72,$A620+1)-F620/INDEX(Surface_Engine!$B$12:$B$72,$A620+1))),IF($A620&lt;$Q$573,MAX(0,-Assumptions!$B$22*(F620/INDEX(Surface_Engine!$B$12:$B$72,$A620+1))),0)))+2*Assumptions!$B$27*(IF(C620&lt;=0,0,MAX(0,(B620/C620)*G620/INDEX(Surface_Engine!$B$12:$B$72,$A620+1)-F620/INDEX(Surface_Engine!$B$12:$B$72,$A620+1))))*(MAX(0,J620/INDEX(Surface_Engine!$B$12:$B$72,$A620+1)-(F620/INDEX(Surface_Engine!$B$12:$B$72,$A620+1))))+2*Assumptions!$B$28*(MAX(IF(D620&lt;=0,0,MAX(0,(B620/D620)*H620/INDEX(Surface_Engine!$B$12:$B$72,$A620+1)-F620/INDEX(Surface_Engine!$B$12:$B$72,$A620+1))),IF(E620&lt;=0,0,MAX(0,(B620/E620)*I620/INDEX(Surface_Engine!$B$12:$B$72,$A620+1)-F620/INDEX(Surface_Engine!$B$12:$B$72,$A620+1))),IF($A620&lt;$Q$573,MAX(0,-Assumptions!$B$22*(F620/INDEX(Surface_Engine!$B$12:$B$72,$A620+1))),0)))*(MAX(0,J620/INDEX(Surface_Engine!$B$12:$B$72,$A620+1)-(F620/INDEX(Surface_Engine!$B$12:$B$72,$A620+1)))))</f>
        <v>31.4558424798332</v>
      </c>
      <c r="L620" s="48" t="n">
        <f aca="false">K620*INDEX(Surface_Engine!$B$12:$B$72,$A620+1)+L621</f>
        <v>15.673112727391</v>
      </c>
      <c r="M620" s="48" t="n">
        <f aca="false">M619+B619*(IF($A619&lt;$Q$573,(Surface_Engine!G241*12)-(Surface_Engine!G241*12)*INDEX(Surface_Engine!$F$12:$F$72,$A619+1)-INDEX(Surface_Engine!$D$12:$D$72,$A619+1),-(1000*12*INDEX(Surface_Engine!$C$12:$C$72,$A619+1)/(1+Assumptions!$B$10)^15+INDEX(Surface_Engine!$D$12:$D$72,$A619+1))))*INDEX(Surface_Engine!$B$12:$B$72,$A619+1)</f>
        <v>2241.00881155084</v>
      </c>
      <c r="N620" s="12" t="n">
        <f aca="false">IF(B620&lt;=0,0,MAX(0,(K620+Assumptions!$B$29*L620/INDEX(Surface_Engine!$B$12:$B$72,$A620+1)-(M620/INDEX(Surface_Engine!$B$12:$B$72,$A620+1)-(F620/INDEX(Surface_Engine!$B$12:$B$72,$A620+1))))/B620))</f>
        <v>0</v>
      </c>
    </row>
    <row r="621" customFormat="false" ht="15" hidden="false" customHeight="true" outlineLevel="0" collapsed="false">
      <c r="A621" s="1" t="n">
        <v>46</v>
      </c>
      <c r="B621" s="32" t="n">
        <f aca="false">INDEX(Surface_Engine!$L$12:$L$72,$A621+1)*IF($A621&lt;$Q$573,INDEX(Surface_Engine!$E$12:$E$72,$A621+1),INDEX(Surface_Engine!$E$12:$E$72,$Q$573+1))</f>
        <v>0.0016867085005452</v>
      </c>
      <c r="C621" s="32" t="n">
        <f aca="false">INDEX(Panel_Reserving!$D$8:$D$68,$A621+1)*IF($A621&lt;$Q$573,INDEX(Surface_Engine!$E$12:$E$72,$A621+1),INDEX(Surface_Engine!$E$12:$E$72,$Q$573+1))</f>
        <v>0.00684480085412545</v>
      </c>
      <c r="D621" s="32" t="n">
        <f aca="false">INDEX(Surface_Engine!$L$12:$L$72,$A621+1)*IF($A621&lt;$Q$573,INDEX(Surface_Engine!$Y$12:$Y$72,$A621+1),INDEX(Surface_Engine!$Y$12:$Y$72,$Q$573+1))</f>
        <v>0.00152795356098102</v>
      </c>
      <c r="E621" s="32" t="n">
        <f aca="false">INDEX(Surface_Engine!$L$12:$L$72,$A621+1)*IF($A621&lt;$Q$573,INDEX(Surface_Engine!$Z$12:$Z$72,$A621+1),INDEX(Surface_Engine!$Z$12:$Z$72,$Q$573+1))</f>
        <v>0.00186024976501129</v>
      </c>
      <c r="F621" s="48" t="n">
        <f aca="false">B621*(IF($A621&lt;$Q$573,INDEX(Surface_Engine!$D$12:$D$72,$A621+1)+(Surface_Engine!G241*12)*INDEX(Surface_Engine!$F$12:$F$72,$A621+1)-(Surface_Engine!G241*12),1000*12*INDEX(Surface_Engine!$C$12:$C$72,$A621+1)/(1+Assumptions!$B$10)^15+INDEX(Surface_Engine!$D$12:$D$72,$A621+1)))*INDEX(Surface_Engine!$B$12:$B$72,$A621+1)+F622</f>
        <v>18.3306344487529</v>
      </c>
      <c r="G621" s="48" t="n">
        <f aca="false">C621*(IF($A621&lt;$Q$573,INDEX(Surface_Engine!$D$12:$D$72,$A621+1)+(Surface_Engine!G241*12)*INDEX(Surface_Engine!$F$12:$F$72,$A621+1)-(Surface_Engine!G241*12),1000*12*INDEX(Surface_Engine!$C$12:$C$72,$A621+1)/(1+Assumptions!$B$10)^15+INDEX(Surface_Engine!$D$12:$D$72,$A621+1)))*INDEX(Surface_Engine!$B$12:$B$72,$A621+1)+G622</f>
        <v>90.8493747928899</v>
      </c>
      <c r="H621" s="48" t="n">
        <f aca="false">D621*(IF($A621&lt;$Q$573,INDEX(Surface_Engine!$D$12:$D$72,$A621+1)+(Surface_Engine!G241*12)*INDEX(Surface_Engine!$F$12:$F$72,$A621+1)-(Surface_Engine!G241*12),1000*12*INDEX(Surface_Engine!$C$12:$C$72,$A621+1)/(1+Assumptions!$B$10)^15+INDEX(Surface_Engine!$D$12:$D$72,$A621+1)))*INDEX(Surface_Engine!$B$12:$B$72,$A621+1)+H622</f>
        <v>16.6053341000892</v>
      </c>
      <c r="I621" s="48" t="n">
        <f aca="false">E621*(IF($A621&lt;$Q$573,INDEX(Surface_Engine!$D$12:$D$72,$A621+1)+(Surface_Engine!G241*12)*INDEX(Surface_Engine!$F$12:$F$72,$A621+1)-(Surface_Engine!G241*12),1000*12*INDEX(Surface_Engine!$C$12:$C$72,$A621+1)/(1+Assumptions!$B$10)^15+INDEX(Surface_Engine!$D$12:$D$72,$A621+1)))*INDEX(Surface_Engine!$B$12:$B$72,$A621+1)+I622</f>
        <v>20.2166280746071</v>
      </c>
      <c r="J621" s="48" t="n">
        <f aca="false">B621*(IF($A621&lt;$Q$573,INDEX(Surface_Engine!$D$12:$D$72,$A621+1)*(1+Assumptions!$B$24)+(Surface_Engine!G241*12)*INDEX(Surface_Engine!$F$12:$F$72,$A621+1)-(Surface_Engine!G241*12),1000*12*INDEX(Surface_Engine!$C$12:$C$72,$A621+1)/(1+Assumptions!$B$10)^15+INDEX(Surface_Engine!$D$12:$D$72,$A621+1)*(1+Assumptions!$B$24)))*INDEX(Surface_Engine!$B$12:$B$72,$A621+1)+J622</f>
        <v>18.3516070202986</v>
      </c>
      <c r="K621" s="12" t="n">
        <f aca="false">SQRT((IF(C621&lt;=0,0,MAX(0,(B621/C621)*G621/INDEX(Surface_Engine!$B$12:$B$72,$A621+1)-F621/INDEX(Surface_Engine!$B$12:$B$72,$A621+1))))^2+(MAX(IF(D621&lt;=0,0,MAX(0,(B621/D621)*H621/INDEX(Surface_Engine!$B$12:$B$72,$A621+1)-F621/INDEX(Surface_Engine!$B$12:$B$72,$A621+1))),IF(E621&lt;=0,0,MAX(0,(B621/E621)*I621/INDEX(Surface_Engine!$B$12:$B$72,$A621+1)-F621/INDEX(Surface_Engine!$B$12:$B$72,$A621+1))),IF($A621&lt;$Q$573,MAX(0,-Assumptions!$B$22*(F621/INDEX(Surface_Engine!$B$12:$B$72,$A621+1))),0)))^2+(MAX(0,J621/INDEX(Surface_Engine!$B$12:$B$72,$A621+1)-(F621/INDEX(Surface_Engine!$B$12:$B$72,$A621+1))))^2+2*Assumptions!$B$26*(IF(C621&lt;=0,0,MAX(0,(B621/C621)*G621/INDEX(Surface_Engine!$B$12:$B$72,$A621+1)-F621/INDEX(Surface_Engine!$B$12:$B$72,$A621+1))))*(MAX(IF(D621&lt;=0,0,MAX(0,(B621/D621)*H621/INDEX(Surface_Engine!$B$12:$B$72,$A621+1)-F621/INDEX(Surface_Engine!$B$12:$B$72,$A621+1))),IF(E621&lt;=0,0,MAX(0,(B621/E621)*I621/INDEX(Surface_Engine!$B$12:$B$72,$A621+1)-F621/INDEX(Surface_Engine!$B$12:$B$72,$A621+1))),IF($A621&lt;$Q$573,MAX(0,-Assumptions!$B$22*(F621/INDEX(Surface_Engine!$B$12:$B$72,$A621+1))),0)))+2*Assumptions!$B$27*(IF(C621&lt;=0,0,MAX(0,(B621/C621)*G621/INDEX(Surface_Engine!$B$12:$B$72,$A621+1)-F621/INDEX(Surface_Engine!$B$12:$B$72,$A621+1))))*(MAX(0,J621/INDEX(Surface_Engine!$B$12:$B$72,$A621+1)-(F621/INDEX(Surface_Engine!$B$12:$B$72,$A621+1))))+2*Assumptions!$B$28*(MAX(IF(D621&lt;=0,0,MAX(0,(B621/D621)*H621/INDEX(Surface_Engine!$B$12:$B$72,$A621+1)-F621/INDEX(Surface_Engine!$B$12:$B$72,$A621+1))),IF(E621&lt;=0,0,MAX(0,(B621/E621)*I621/INDEX(Surface_Engine!$B$12:$B$72,$A621+1)-F621/INDEX(Surface_Engine!$B$12:$B$72,$A621+1))),IF($A621&lt;$Q$573,MAX(0,-Assumptions!$B$22*(F621/INDEX(Surface_Engine!$B$12:$B$72,$A621+1))),0)))*(MAX(0,J621/INDEX(Surface_Engine!$B$12:$B$72,$A621+1)-(F621/INDEX(Surface_Engine!$B$12:$B$72,$A621+1)))))</f>
        <v>17.3753791595087</v>
      </c>
      <c r="L621" s="48" t="n">
        <f aca="false">K621*INDEX(Surface_Engine!$B$12:$B$72,$A621+1)+L622</f>
        <v>8.08016055613409</v>
      </c>
      <c r="M621" s="48" t="n">
        <f aca="false">M620+B620*(IF($A620&lt;$Q$573,(Surface_Engine!G241*12)-(Surface_Engine!G241*12)*INDEX(Surface_Engine!$F$12:$F$72,$A620+1)-INDEX(Surface_Engine!$D$12:$D$72,$A620+1),-(1000*12*INDEX(Surface_Engine!$C$12:$C$72,$A620+1)/(1+Assumptions!$B$10)^15+INDEX(Surface_Engine!$D$12:$D$72,$A620+1))))*INDEX(Surface_Engine!$B$12:$B$72,$A620+1)</f>
        <v>2225.00751578995</v>
      </c>
      <c r="N621" s="12" t="n">
        <f aca="false">IF(B621&lt;=0,0,MAX(0,(K621+Assumptions!$B$29*L621/INDEX(Surface_Engine!$B$12:$B$72,$A621+1)-(M621/INDEX(Surface_Engine!$B$12:$B$72,$A621+1)-(F621/INDEX(Surface_Engine!$B$12:$B$72,$A621+1))))/B621))</f>
        <v>0</v>
      </c>
    </row>
    <row r="622" customFormat="false" ht="15" hidden="false" customHeight="true" outlineLevel="0" collapsed="false">
      <c r="A622" s="1" t="n">
        <v>47</v>
      </c>
      <c r="B622" s="32" t="n">
        <f aca="false">INDEX(Surface_Engine!$L$12:$L$72,$A622+1)*IF($A622&lt;$Q$573,INDEX(Surface_Engine!$E$12:$E$72,$A622+1),INDEX(Surface_Engine!$E$12:$E$72,$Q$573+1))</f>
        <v>0.000913794336408796</v>
      </c>
      <c r="C622" s="32" t="n">
        <f aca="false">INDEX(Panel_Reserving!$D$8:$D$68,$A622+1)*IF($A622&lt;$Q$573,INDEX(Surface_Engine!$E$12:$E$72,$A622+1),INDEX(Surface_Engine!$E$12:$E$72,$Q$573+1))</f>
        <v>0.0043355618105627</v>
      </c>
      <c r="D622" s="32" t="n">
        <f aca="false">INDEX(Surface_Engine!$L$12:$L$72,$A622+1)*IF($A622&lt;$Q$573,INDEX(Surface_Engine!$Y$12:$Y$72,$A622+1),INDEX(Surface_Engine!$Y$12:$Y$72,$Q$573+1))</f>
        <v>0.000827786964889785</v>
      </c>
      <c r="E622" s="32" t="n">
        <f aca="false">INDEX(Surface_Engine!$L$12:$L$72,$A622+1)*IF($A622&lt;$Q$573,INDEX(Surface_Engine!$Z$12:$Z$72,$A622+1),INDEX(Surface_Engine!$Z$12:$Z$72,$Q$573+1))</f>
        <v>0.00100781237482568</v>
      </c>
      <c r="F622" s="48" t="n">
        <f aca="false">B622*(IF($A622&lt;$Q$573,INDEX(Surface_Engine!$D$12:$D$72,$A622+1)+(Surface_Engine!G241*12)*INDEX(Surface_Engine!$F$12:$F$72,$A622+1)-(Surface_Engine!G241*12),1000*12*INDEX(Surface_Engine!$C$12:$C$72,$A622+1)/(1+Assumptions!$B$10)^15+INDEX(Surface_Engine!$D$12:$D$72,$A622+1)))*INDEX(Surface_Engine!$B$12:$B$72,$A622+1)+F623</f>
        <v>9.48767084489745</v>
      </c>
      <c r="G622" s="48" t="n">
        <f aca="false">C622*(IF($A622&lt;$Q$573,INDEX(Surface_Engine!$D$12:$D$72,$A622+1)+(Surface_Engine!G241*12)*INDEX(Surface_Engine!$F$12:$F$72,$A622+1)-(Surface_Engine!G241*12),1000*12*INDEX(Surface_Engine!$C$12:$C$72,$A622+1)/(1+Assumptions!$B$10)^15+INDEX(Surface_Engine!$D$12:$D$72,$A622+1)))*INDEX(Surface_Engine!$B$12:$B$72,$A622+1)+G623</f>
        <v>54.9639062551398</v>
      </c>
      <c r="H622" s="48" t="n">
        <f aca="false">D622*(IF($A622&lt;$Q$573,INDEX(Surface_Engine!$D$12:$D$72,$A622+1)+(Surface_Engine!G241*12)*INDEX(Surface_Engine!$F$12:$F$72,$A622+1)-(Surface_Engine!G241*12),1000*12*INDEX(Surface_Engine!$C$12:$C$72,$A622+1)/(1+Assumptions!$B$10)^15+INDEX(Surface_Engine!$D$12:$D$72,$A622+1)))*INDEX(Surface_Engine!$B$12:$B$72,$A622+1)+H623</f>
        <v>8.59468037790233</v>
      </c>
      <c r="I622" s="48" t="n">
        <f aca="false">E622*(IF($A622&lt;$Q$573,INDEX(Surface_Engine!$D$12:$D$72,$A622+1)+(Surface_Engine!G241*12)*INDEX(Surface_Engine!$F$12:$F$72,$A622+1)-(Surface_Engine!G241*12),1000*12*INDEX(Surface_Engine!$C$12:$C$72,$A622+1)/(1+Assumptions!$B$10)^15+INDEX(Surface_Engine!$D$12:$D$72,$A622+1)))*INDEX(Surface_Engine!$B$12:$B$72,$A622+1)+I623</f>
        <v>10.4638338242916</v>
      </c>
      <c r="J622" s="48" t="n">
        <f aca="false">B622*(IF($A622&lt;$Q$573,INDEX(Surface_Engine!$D$12:$D$72,$A622+1)*(1+Assumptions!$B$24)+(Surface_Engine!G241*12)*INDEX(Surface_Engine!$F$12:$F$72,$A622+1)-(Surface_Engine!G241*12),1000*12*INDEX(Surface_Engine!$C$12:$C$72,$A622+1)/(1+Assumptions!$B$10)^15+INDEX(Surface_Engine!$D$12:$D$72,$A622+1)*(1+Assumptions!$B$24)))*INDEX(Surface_Engine!$B$12:$B$72,$A622+1)+J623</f>
        <v>9.49857526119293</v>
      </c>
      <c r="K622" s="12" t="n">
        <f aca="false">SQRT((IF(C622&lt;=0,0,MAX(0,(B622/C622)*G622/INDEX(Surface_Engine!$B$12:$B$72,$A622+1)-F622/INDEX(Surface_Engine!$B$12:$B$72,$A622+1))))^2+(MAX(IF(D622&lt;=0,0,MAX(0,(B622/D622)*H622/INDEX(Surface_Engine!$B$12:$B$72,$A622+1)-F622/INDEX(Surface_Engine!$B$12:$B$72,$A622+1))),IF(E622&lt;=0,0,MAX(0,(B622/E622)*I622/INDEX(Surface_Engine!$B$12:$B$72,$A622+1)-F622/INDEX(Surface_Engine!$B$12:$B$72,$A622+1))),IF($A622&lt;$Q$573,MAX(0,-Assumptions!$B$22*(F622/INDEX(Surface_Engine!$B$12:$B$72,$A622+1))),0)))^2+(MAX(0,J622/INDEX(Surface_Engine!$B$12:$B$72,$A622+1)-(F622/INDEX(Surface_Engine!$B$12:$B$72,$A622+1))))^2+2*Assumptions!$B$26*(IF(C622&lt;=0,0,MAX(0,(B622/C622)*G622/INDEX(Surface_Engine!$B$12:$B$72,$A622+1)-F622/INDEX(Surface_Engine!$B$12:$B$72,$A622+1))))*(MAX(IF(D622&lt;=0,0,MAX(0,(B622/D622)*H622/INDEX(Surface_Engine!$B$12:$B$72,$A622+1)-F622/INDEX(Surface_Engine!$B$12:$B$72,$A622+1))),IF(E622&lt;=0,0,MAX(0,(B622/E622)*I622/INDEX(Surface_Engine!$B$12:$B$72,$A622+1)-F622/INDEX(Surface_Engine!$B$12:$B$72,$A622+1))),IF($A622&lt;$Q$573,MAX(0,-Assumptions!$B$22*(F622/INDEX(Surface_Engine!$B$12:$B$72,$A622+1))),0)))+2*Assumptions!$B$27*(IF(C622&lt;=0,0,MAX(0,(B622/C622)*G622/INDEX(Surface_Engine!$B$12:$B$72,$A622+1)-F622/INDEX(Surface_Engine!$B$12:$B$72,$A622+1))))*(MAX(0,J622/INDEX(Surface_Engine!$B$12:$B$72,$A622+1)-(F622/INDEX(Surface_Engine!$B$12:$B$72,$A622+1))))+2*Assumptions!$B$28*(MAX(IF(D622&lt;=0,0,MAX(0,(B622/D622)*H622/INDEX(Surface_Engine!$B$12:$B$72,$A622+1)-F622/INDEX(Surface_Engine!$B$12:$B$72,$A622+1))),IF(E622&lt;=0,0,MAX(0,(B622/E622)*I622/INDEX(Surface_Engine!$B$12:$B$72,$A622+1)-F622/INDEX(Surface_Engine!$B$12:$B$72,$A622+1))),IF($A622&lt;$Q$573,MAX(0,-Assumptions!$B$22*(F622/INDEX(Surface_Engine!$B$12:$B$72,$A622+1))),0)))*(MAX(0,J622/INDEX(Surface_Engine!$B$12:$B$72,$A622+1)-(F622/INDEX(Surface_Engine!$B$12:$B$72,$A622+1)))))</f>
        <v>9.27412116760153</v>
      </c>
      <c r="L622" s="48" t="n">
        <f aca="false">K622*INDEX(Surface_Engine!$B$12:$B$72,$A622+1)+L623</f>
        <v>4.0182299464598</v>
      </c>
      <c r="M622" s="48" t="n">
        <f aca="false">M621+B621*(IF($A621&lt;$Q$573,(Surface_Engine!G241*12)-(Surface_Engine!G241*12)*INDEX(Surface_Engine!$F$12:$F$72,$A621+1)-INDEX(Surface_Engine!$D$12:$D$72,$A621+1),-(1000*12*INDEX(Surface_Engine!$C$12:$C$72,$A621+1)/(1+Assumptions!$B$10)^15+INDEX(Surface_Engine!$D$12:$D$72,$A621+1))))*INDEX(Surface_Engine!$B$12:$B$72,$A621+1)</f>
        <v>2216.16455218609</v>
      </c>
      <c r="N622" s="12" t="n">
        <f aca="false">IF(B622&lt;=0,0,MAX(0,(K622+Assumptions!$B$29*L622/INDEX(Surface_Engine!$B$12:$B$72,$A622+1)-(M622/INDEX(Surface_Engine!$B$12:$B$72,$A622+1)-(F622/INDEX(Surface_Engine!$B$12:$B$72,$A622+1))))/B622))</f>
        <v>0</v>
      </c>
    </row>
    <row r="623" customFormat="false" ht="15" hidden="false" customHeight="true" outlineLevel="0" collapsed="false">
      <c r="A623" s="1" t="n">
        <v>48</v>
      </c>
      <c r="B623" s="32" t="n">
        <f aca="false">INDEX(Surface_Engine!$L$12:$L$72,$A623+1)*IF($A623&lt;$Q$573,INDEX(Surface_Engine!$E$12:$E$72,$A623+1),INDEX(Surface_Engine!$E$12:$E$72,$Q$573+1))</f>
        <v>0.000478998584659233</v>
      </c>
      <c r="C623" s="32" t="n">
        <f aca="false">INDEX(Panel_Reserving!$D$8:$D$68,$A623+1)*IF($A623&lt;$Q$573,INDEX(Surface_Engine!$E$12:$E$72,$A623+1),INDEX(Surface_Engine!$E$12:$E$72,$Q$573+1))</f>
        <v>0.00268522647222942</v>
      </c>
      <c r="D623" s="32" t="n">
        <f aca="false">INDEX(Surface_Engine!$L$12:$L$72,$A623+1)*IF($A623&lt;$Q$573,INDEX(Surface_Engine!$Y$12:$Y$72,$A623+1),INDEX(Surface_Engine!$Y$12:$Y$72,$Q$573+1))</f>
        <v>0.00043391468822169</v>
      </c>
      <c r="E623" s="32" t="n">
        <f aca="false">INDEX(Surface_Engine!$L$12:$L$72,$A623+1)*IF($A623&lt;$Q$573,INDEX(Surface_Engine!$Z$12:$Z$72,$A623+1),INDEX(Surface_Engine!$Z$12:$Z$72,$Q$573+1))</f>
        <v>0.000528281563924685</v>
      </c>
      <c r="F623" s="48" t="n">
        <f aca="false">B623*(IF($A623&lt;$Q$573,INDEX(Surface_Engine!$D$12:$D$72,$A623+1)+(Surface_Engine!G241*12)*INDEX(Surface_Engine!$F$12:$F$72,$A623+1)-(Surface_Engine!G241*12),1000*12*INDEX(Surface_Engine!$C$12:$C$72,$A623+1)/(1+Assumptions!$B$10)^15+INDEX(Surface_Engine!$D$12:$D$72,$A623+1)))*INDEX(Surface_Engine!$B$12:$B$72,$A623+1)+F624</f>
        <v>4.75494738835261</v>
      </c>
      <c r="G623" s="48" t="n">
        <f aca="false">C623*(IF($A623&lt;$Q$573,INDEX(Surface_Engine!$D$12:$D$72,$A623+1)+(Surface_Engine!G241*12)*INDEX(Surface_Engine!$F$12:$F$72,$A623+1)-(Surface_Engine!G241*12),1000*12*INDEX(Surface_Engine!$C$12:$C$72,$A623+1)/(1+Assumptions!$B$10)^15+INDEX(Surface_Engine!$D$12:$D$72,$A623+1)))*INDEX(Surface_Engine!$B$12:$B$72,$A623+1)+G624</f>
        <v>32.5091653352194</v>
      </c>
      <c r="H623" s="48" t="n">
        <f aca="false">D623*(IF($A623&lt;$Q$573,INDEX(Surface_Engine!$D$12:$D$72,$A623+1)+(Surface_Engine!G241*12)*INDEX(Surface_Engine!$F$12:$F$72,$A623+1)-(Surface_Engine!G241*12),1000*12*INDEX(Surface_Engine!$C$12:$C$72,$A623+1)/(1+Assumptions!$B$10)^15+INDEX(Surface_Engine!$D$12:$D$72,$A623+1)))*INDEX(Surface_Engine!$B$12:$B$72,$A623+1)+H624</f>
        <v>4.30740628387323</v>
      </c>
      <c r="I623" s="48" t="n">
        <f aca="false">E623*(IF($A623&lt;$Q$573,INDEX(Surface_Engine!$D$12:$D$72,$A623+1)+(Surface_Engine!G241*12)*INDEX(Surface_Engine!$F$12:$F$72,$A623+1)-(Surface_Engine!G241*12),1000*12*INDEX(Surface_Engine!$C$12:$C$72,$A623+1)/(1+Assumptions!$B$10)^15+INDEX(Surface_Engine!$D$12:$D$72,$A623+1)))*INDEX(Surface_Engine!$B$12:$B$72,$A623+1)+I624</f>
        <v>5.24417216072894</v>
      </c>
      <c r="J623" s="48" t="n">
        <f aca="false">B623*(IF($A623&lt;$Q$573,INDEX(Surface_Engine!$D$12:$D$72,$A623+1)*(1+Assumptions!$B$24)+(Surface_Engine!G241*12)*INDEX(Surface_Engine!$F$12:$F$72,$A623+1)-(Surface_Engine!G241*12),1000*12*INDEX(Surface_Engine!$C$12:$C$72,$A623+1)/(1+Assumptions!$B$10)^15+INDEX(Surface_Engine!$D$12:$D$72,$A623+1)*(1+Assumptions!$B$24)))*INDEX(Surface_Engine!$B$12:$B$72,$A623+1)+J624</f>
        <v>4.76043725113376</v>
      </c>
      <c r="K623" s="12" t="n">
        <f aca="false">SQRT((IF(C623&lt;=0,0,MAX(0,(B623/C623)*G623/INDEX(Surface_Engine!$B$12:$B$72,$A623+1)-F623/INDEX(Surface_Engine!$B$12:$B$72,$A623+1))))^2+(MAX(IF(D623&lt;=0,0,MAX(0,(B623/D623)*H623/INDEX(Surface_Engine!$B$12:$B$72,$A623+1)-F623/INDEX(Surface_Engine!$B$12:$B$72,$A623+1))),IF(E623&lt;=0,0,MAX(0,(B623/E623)*I623/INDEX(Surface_Engine!$B$12:$B$72,$A623+1)-F623/INDEX(Surface_Engine!$B$12:$B$72,$A623+1))),IF($A623&lt;$Q$573,MAX(0,-Assumptions!$B$22*(F623/INDEX(Surface_Engine!$B$12:$B$72,$A623+1))),0)))^2+(MAX(0,J623/INDEX(Surface_Engine!$B$12:$B$72,$A623+1)-(F623/INDEX(Surface_Engine!$B$12:$B$72,$A623+1))))^2+2*Assumptions!$B$26*(IF(C623&lt;=0,0,MAX(0,(B623/C623)*G623/INDEX(Surface_Engine!$B$12:$B$72,$A623+1)-F623/INDEX(Surface_Engine!$B$12:$B$72,$A623+1))))*(MAX(IF(D623&lt;=0,0,MAX(0,(B623/D623)*H623/INDEX(Surface_Engine!$B$12:$B$72,$A623+1)-F623/INDEX(Surface_Engine!$B$12:$B$72,$A623+1))),IF(E623&lt;=0,0,MAX(0,(B623/E623)*I623/INDEX(Surface_Engine!$B$12:$B$72,$A623+1)-F623/INDEX(Surface_Engine!$B$12:$B$72,$A623+1))),IF($A623&lt;$Q$573,MAX(0,-Assumptions!$B$22*(F623/INDEX(Surface_Engine!$B$12:$B$72,$A623+1))),0)))+2*Assumptions!$B$27*(IF(C623&lt;=0,0,MAX(0,(B623/C623)*G623/INDEX(Surface_Engine!$B$12:$B$72,$A623+1)-F623/INDEX(Surface_Engine!$B$12:$B$72,$A623+1))))*(MAX(0,J623/INDEX(Surface_Engine!$B$12:$B$72,$A623+1)-(F623/INDEX(Surface_Engine!$B$12:$B$72,$A623+1))))+2*Assumptions!$B$28*(MAX(IF(D623&lt;=0,0,MAX(0,(B623/D623)*H623/INDEX(Surface_Engine!$B$12:$B$72,$A623+1)-F623/INDEX(Surface_Engine!$B$12:$B$72,$A623+1))),IF(E623&lt;=0,0,MAX(0,(B623/E623)*I623/INDEX(Surface_Engine!$B$12:$B$72,$A623+1)-F623/INDEX(Surface_Engine!$B$12:$B$72,$A623+1))),IF($A623&lt;$Q$573,MAX(0,-Assumptions!$B$22*(F623/INDEX(Surface_Engine!$B$12:$B$72,$A623+1))),0)))*(MAX(0,J623/INDEX(Surface_Engine!$B$12:$B$72,$A623+1)-(F623/INDEX(Surface_Engine!$B$12:$B$72,$A623+1)))))</f>
        <v>4.77071193046201</v>
      </c>
      <c r="L623" s="48" t="n">
        <f aca="false">K623*INDEX(Surface_Engine!$B$12:$B$72,$A623+1)+L624</f>
        <v>1.91855808422318</v>
      </c>
      <c r="M623" s="48" t="n">
        <f aca="false">M622+B622*(IF($A622&lt;$Q$573,(Surface_Engine!G241*12)-(Surface_Engine!G241*12)*INDEX(Surface_Engine!$F$12:$F$72,$A622+1)-INDEX(Surface_Engine!$D$12:$D$72,$A622+1),-(1000*12*INDEX(Surface_Engine!$C$12:$C$72,$A622+1)/(1+Assumptions!$B$10)^15+INDEX(Surface_Engine!$D$12:$D$72,$A622+1))))*INDEX(Surface_Engine!$B$12:$B$72,$A622+1)</f>
        <v>2211.43182872955</v>
      </c>
      <c r="N623" s="12" t="n">
        <f aca="false">IF(B623&lt;=0,0,MAX(0,(K623+Assumptions!$B$29*L623/INDEX(Surface_Engine!$B$12:$B$72,$A623+1)-(M623/INDEX(Surface_Engine!$B$12:$B$72,$A623+1)-(F623/INDEX(Surface_Engine!$B$12:$B$72,$A623+1))))/B623))</f>
        <v>0</v>
      </c>
    </row>
    <row r="624" customFormat="false" ht="15" hidden="false" customHeight="true" outlineLevel="0" collapsed="false">
      <c r="A624" s="1" t="n">
        <v>49</v>
      </c>
      <c r="B624" s="32" t="n">
        <f aca="false">INDEX(Surface_Engine!$L$12:$L$72,$A624+1)*IF($A624&lt;$Q$573,INDEX(Surface_Engine!$E$12:$E$72,$A624+1),INDEX(Surface_Engine!$E$12:$E$72,$Q$573+1))</f>
        <v>0.000242726298517999</v>
      </c>
      <c r="C624" s="32" t="n">
        <f aca="false">INDEX(Panel_Reserving!$D$8:$D$68,$A624+1)*IF($A624&lt;$Q$573,INDEX(Surface_Engine!$E$12:$E$72,$A624+1),INDEX(Surface_Engine!$E$12:$E$72,$Q$573+1))</f>
        <v>0.00162560814729936</v>
      </c>
      <c r="D624" s="32" t="n">
        <f aca="false">INDEX(Surface_Engine!$L$12:$L$72,$A624+1)*IF($A624&lt;$Q$573,INDEX(Surface_Engine!$Y$12:$Y$72,$A624+1),INDEX(Surface_Engine!$Y$12:$Y$72,$Q$573+1))</f>
        <v>0.000219880620773798</v>
      </c>
      <c r="E624" s="32" t="n">
        <f aca="false">INDEX(Surface_Engine!$L$12:$L$72,$A624+1)*IF($A624&lt;$Q$573,INDEX(Surface_Engine!$Z$12:$Z$72,$A624+1),INDEX(Surface_Engine!$Z$12:$Z$72,$Q$573+1))</f>
        <v>0.000267699806833379</v>
      </c>
      <c r="F624" s="48" t="n">
        <f aca="false">B624*(IF($A624&lt;$Q$573,INDEX(Surface_Engine!$D$12:$D$72,$A624+1)+(Surface_Engine!G241*12)*INDEX(Surface_Engine!$F$12:$F$72,$A624+1)-(Surface_Engine!G241*12),1000*12*INDEX(Surface_Engine!$C$12:$C$72,$A624+1)/(1+Assumptions!$B$10)^15+INDEX(Surface_Engine!$D$12:$D$72,$A624+1)))*INDEX(Surface_Engine!$B$12:$B$72,$A624+1)+F625</f>
        <v>2.30536816483094</v>
      </c>
      <c r="G624" s="48" t="n">
        <f aca="false">C624*(IF($A624&lt;$Q$573,INDEX(Surface_Engine!$D$12:$D$72,$A624+1)+(Surface_Engine!G241*12)*INDEX(Surface_Engine!$F$12:$F$72,$A624+1)-(Surface_Engine!G241*12),1000*12*INDEX(Surface_Engine!$C$12:$C$72,$A624+1)/(1+Assumptions!$B$10)^15+INDEX(Surface_Engine!$D$12:$D$72,$A624+1)))*INDEX(Surface_Engine!$B$12:$B$72,$A624+1)+G625</f>
        <v>18.7770266870373</v>
      </c>
      <c r="H624" s="48" t="n">
        <f aca="false">D624*(IF($A624&lt;$Q$573,INDEX(Surface_Engine!$D$12:$D$72,$A624+1)+(Surface_Engine!G241*12)*INDEX(Surface_Engine!$F$12:$F$72,$A624+1)-(Surface_Engine!G241*12),1000*12*INDEX(Surface_Engine!$C$12:$C$72,$A624+1)/(1+Assumptions!$B$10)^15+INDEX(Surface_Engine!$D$12:$D$72,$A624+1)))*INDEX(Surface_Engine!$B$12:$B$72,$A624+1)+H625</f>
        <v>2.08838426775411</v>
      </c>
      <c r="I624" s="48" t="n">
        <f aca="false">E624*(IF($A624&lt;$Q$573,INDEX(Surface_Engine!$D$12:$D$72,$A624+1)+(Surface_Engine!G241*12)*INDEX(Surface_Engine!$F$12:$F$72,$A624+1)-(Surface_Engine!G241*12),1000*12*INDEX(Surface_Engine!$C$12:$C$72,$A624+1)/(1+Assumptions!$B$10)^15+INDEX(Surface_Engine!$D$12:$D$72,$A624+1)))*INDEX(Surface_Engine!$B$12:$B$72,$A624+1)+I625</f>
        <v>2.54256179150402</v>
      </c>
      <c r="J624" s="48" t="n">
        <f aca="false">B624*(IF($A624&lt;$Q$573,INDEX(Surface_Engine!$D$12:$D$72,$A624+1)*(1+Assumptions!$B$24)+(Surface_Engine!G241*12)*INDEX(Surface_Engine!$F$12:$F$72,$A624+1)-(Surface_Engine!G241*12),1000*12*INDEX(Surface_Engine!$C$12:$C$72,$A624+1)/(1+Assumptions!$B$10)^15+INDEX(Surface_Engine!$D$12:$D$72,$A624+1)*(1+Assumptions!$B$24)))*INDEX(Surface_Engine!$B$12:$B$72,$A624+1)+J625</f>
        <v>2.30804196471805</v>
      </c>
      <c r="K624" s="12" t="n">
        <f aca="false">SQRT((IF(C624&lt;=0,0,MAX(0,(B624/C624)*G624/INDEX(Surface_Engine!$B$12:$B$72,$A624+1)-F624/INDEX(Surface_Engine!$B$12:$B$72,$A624+1))))^2+(MAX(IF(D624&lt;=0,0,MAX(0,(B624/D624)*H624/INDEX(Surface_Engine!$B$12:$B$72,$A624+1)-F624/INDEX(Surface_Engine!$B$12:$B$72,$A624+1))),IF(E624&lt;=0,0,MAX(0,(B624/E624)*I624/INDEX(Surface_Engine!$B$12:$B$72,$A624+1)-F624/INDEX(Surface_Engine!$B$12:$B$72,$A624+1))),IF($A624&lt;$Q$573,MAX(0,-Assumptions!$B$22*(F624/INDEX(Surface_Engine!$B$12:$B$72,$A624+1))),0)))^2+(MAX(0,J624/INDEX(Surface_Engine!$B$12:$B$72,$A624+1)-(F624/INDEX(Surface_Engine!$B$12:$B$72,$A624+1))))^2+2*Assumptions!$B$26*(IF(C624&lt;=0,0,MAX(0,(B624/C624)*G624/INDEX(Surface_Engine!$B$12:$B$72,$A624+1)-F624/INDEX(Surface_Engine!$B$12:$B$72,$A624+1))))*(MAX(IF(D624&lt;=0,0,MAX(0,(B624/D624)*H624/INDEX(Surface_Engine!$B$12:$B$72,$A624+1)-F624/INDEX(Surface_Engine!$B$12:$B$72,$A624+1))),IF(E624&lt;=0,0,MAX(0,(B624/E624)*I624/INDEX(Surface_Engine!$B$12:$B$72,$A624+1)-F624/INDEX(Surface_Engine!$B$12:$B$72,$A624+1))),IF($A624&lt;$Q$573,MAX(0,-Assumptions!$B$22*(F624/INDEX(Surface_Engine!$B$12:$B$72,$A624+1))),0)))+2*Assumptions!$B$27*(IF(C624&lt;=0,0,MAX(0,(B624/C624)*G624/INDEX(Surface_Engine!$B$12:$B$72,$A624+1)-F624/INDEX(Surface_Engine!$B$12:$B$72,$A624+1))))*(MAX(0,J624/INDEX(Surface_Engine!$B$12:$B$72,$A624+1)-(F624/INDEX(Surface_Engine!$B$12:$B$72,$A624+1))))+2*Assumptions!$B$28*(MAX(IF(D624&lt;=0,0,MAX(0,(B624/D624)*H624/INDEX(Surface_Engine!$B$12:$B$72,$A624+1)-F624/INDEX(Surface_Engine!$B$12:$B$72,$A624+1))),IF(E624&lt;=0,0,MAX(0,(B624/E624)*I624/INDEX(Surface_Engine!$B$12:$B$72,$A624+1)-F624/INDEX(Surface_Engine!$B$12:$B$72,$A624+1))),IF($A624&lt;$Q$573,MAX(0,-Assumptions!$B$22*(F624/INDEX(Surface_Engine!$B$12:$B$72,$A624+1))),0)))*(MAX(0,J624/INDEX(Surface_Engine!$B$12:$B$72,$A624+1)-(F624/INDEX(Surface_Engine!$B$12:$B$72,$A624+1)))))</f>
        <v>2.3511341407229</v>
      </c>
      <c r="L624" s="48" t="n">
        <f aca="false">K624*INDEX(Surface_Engine!$B$12:$B$72,$A624+1)+L625</f>
        <v>0.8730391020859</v>
      </c>
      <c r="M624" s="48" t="n">
        <f aca="false">M623+B623*(IF($A623&lt;$Q$573,(Surface_Engine!G241*12)-(Surface_Engine!G241*12)*INDEX(Surface_Engine!$F$12:$F$72,$A623+1)-INDEX(Surface_Engine!$D$12:$D$72,$A623+1),-(1000*12*INDEX(Surface_Engine!$C$12:$C$72,$A623+1)/(1+Assumptions!$B$10)^15+INDEX(Surface_Engine!$D$12:$D$72,$A623+1))))*INDEX(Surface_Engine!$B$12:$B$72,$A623+1)</f>
        <v>2208.98224950603</v>
      </c>
      <c r="N624" s="12" t="n">
        <f aca="false">IF(B624&lt;=0,0,MAX(0,(K624+Assumptions!$B$29*L624/INDEX(Surface_Engine!$B$12:$B$72,$A624+1)-(M624/INDEX(Surface_Engine!$B$12:$B$72,$A624+1)-(F624/INDEX(Surface_Engine!$B$12:$B$72,$A624+1))))/B624))</f>
        <v>0</v>
      </c>
    </row>
    <row r="625" customFormat="false" ht="15" hidden="false" customHeight="true" outlineLevel="0" collapsed="false">
      <c r="A625" s="1" t="n">
        <v>50</v>
      </c>
      <c r="B625" s="32" t="n">
        <f aca="false">INDEX(Surface_Engine!$L$12:$L$72,$A625+1)*IF($A625&lt;$Q$573,INDEX(Surface_Engine!$E$12:$E$72,$A625+1),INDEX(Surface_Engine!$E$12:$E$72,$Q$573+1))</f>
        <v>0.000118806116249204</v>
      </c>
      <c r="C625" s="32" t="n">
        <f aca="false">INDEX(Panel_Reserving!$D$8:$D$68,$A625+1)*IF($A625&lt;$Q$573,INDEX(Surface_Engine!$E$12:$E$72,$A625+1),INDEX(Surface_Engine!$E$12:$E$72,$Q$573+1))</f>
        <v>0.000961664737323828</v>
      </c>
      <c r="D625" s="32" t="n">
        <f aca="false">INDEX(Surface_Engine!$L$12:$L$72,$A625+1)*IF($A625&lt;$Q$573,INDEX(Surface_Engine!$Y$12:$Y$72,$A625+1),INDEX(Surface_Engine!$Y$12:$Y$72,$Q$573+1))</f>
        <v>0.000107623948258173</v>
      </c>
      <c r="E625" s="32" t="n">
        <f aca="false">INDEX(Surface_Engine!$L$12:$L$72,$A625+1)*IF($A625&lt;$Q$573,INDEX(Surface_Engine!$Z$12:$Z$72,$A625+1),INDEX(Surface_Engine!$Z$12:$Z$72,$Q$573+1))</f>
        <v>0.000131029783606977</v>
      </c>
      <c r="F625" s="48" t="n">
        <f aca="false">B625*(IF($A625&lt;$Q$573,INDEX(Surface_Engine!$D$12:$D$72,$A625+1)+(Surface_Engine!G241*12)*INDEX(Surface_Engine!$F$12:$F$72,$A625+1)-(Surface_Engine!G241*12),1000*12*INDEX(Surface_Engine!$C$12:$C$72,$A625+1)/(1+Assumptions!$B$10)^15+INDEX(Surface_Engine!$D$12:$D$72,$A625+1)))*INDEX(Surface_Engine!$B$12:$B$72,$A625+1)+F626</f>
        <v>1.07917707033117</v>
      </c>
      <c r="G625" s="48" t="n">
        <f aca="false">C625*(IF($A625&lt;$Q$573,INDEX(Surface_Engine!$D$12:$D$72,$A625+1)+(Surface_Engine!G241*12)*INDEX(Surface_Engine!$F$12:$F$72,$A625+1)-(Surface_Engine!G241*12),1000*12*INDEX(Surface_Engine!$C$12:$C$72,$A625+1)/(1+Assumptions!$B$10)^15+INDEX(Surface_Engine!$D$12:$D$72,$A625+1)))*INDEX(Surface_Engine!$B$12:$B$72,$A625+1)+G626</f>
        <v>10.5648706679526</v>
      </c>
      <c r="H625" s="48" t="n">
        <f aca="false">D625*(IF($A625&lt;$Q$573,INDEX(Surface_Engine!$D$12:$D$72,$A625+1)+(Surface_Engine!G241*12)*INDEX(Surface_Engine!$F$12:$F$72,$A625+1)-(Surface_Engine!G241*12),1000*12*INDEX(Surface_Engine!$C$12:$C$72,$A625+1)/(1+Assumptions!$B$10)^15+INDEX(Surface_Engine!$D$12:$D$72,$A625+1)))*INDEX(Surface_Engine!$B$12:$B$72,$A625+1)+H626</f>
        <v>0.977603686119206</v>
      </c>
      <c r="I625" s="48" t="n">
        <f aca="false">E625*(IF($A625&lt;$Q$573,INDEX(Surface_Engine!$D$12:$D$72,$A625+1)+(Surface_Engine!G241*12)*INDEX(Surface_Engine!$F$12:$F$72,$A625+1)-(Surface_Engine!G241*12),1000*12*INDEX(Surface_Engine!$C$12:$C$72,$A625+1)/(1+Assumptions!$B$10)^15+INDEX(Surface_Engine!$D$12:$D$72,$A625+1)))*INDEX(Surface_Engine!$B$12:$B$72,$A625+1)+I626</f>
        <v>1.19021092906109</v>
      </c>
      <c r="J625" s="48" t="n">
        <f aca="false">B625*(IF($A625&lt;$Q$573,INDEX(Surface_Engine!$D$12:$D$72,$A625+1)*(1+Assumptions!$B$24)+(Surface_Engine!G241*12)*INDEX(Surface_Engine!$F$12:$F$72,$A625+1)-(Surface_Engine!G241*12),1000*12*INDEX(Surface_Engine!$C$12:$C$72,$A625+1)/(1+Assumptions!$B$10)^15+INDEX(Surface_Engine!$D$12:$D$72,$A625+1)*(1+Assumptions!$B$24)))*INDEX(Surface_Engine!$B$12:$B$72,$A625+1)+J626</f>
        <v>1.08043439742187</v>
      </c>
      <c r="K625" s="12" t="n">
        <f aca="false">SQRT((IF(C625&lt;=0,0,MAX(0,(B625/C625)*G625/INDEX(Surface_Engine!$B$12:$B$72,$A625+1)-F625/INDEX(Surface_Engine!$B$12:$B$72,$A625+1))))^2+(MAX(IF(D625&lt;=0,0,MAX(0,(B625/D625)*H625/INDEX(Surface_Engine!$B$12:$B$72,$A625+1)-F625/INDEX(Surface_Engine!$B$12:$B$72,$A625+1))),IF(E625&lt;=0,0,MAX(0,(B625/E625)*I625/INDEX(Surface_Engine!$B$12:$B$72,$A625+1)-F625/INDEX(Surface_Engine!$B$12:$B$72,$A625+1))),IF($A625&lt;$Q$573,MAX(0,-Assumptions!$B$22*(F625/INDEX(Surface_Engine!$B$12:$B$72,$A625+1))),0)))^2+(MAX(0,J625/INDEX(Surface_Engine!$B$12:$B$72,$A625+1)-(F625/INDEX(Surface_Engine!$B$12:$B$72,$A625+1))))^2+2*Assumptions!$B$26*(IF(C625&lt;=0,0,MAX(0,(B625/C625)*G625/INDEX(Surface_Engine!$B$12:$B$72,$A625+1)-F625/INDEX(Surface_Engine!$B$12:$B$72,$A625+1))))*(MAX(IF(D625&lt;=0,0,MAX(0,(B625/D625)*H625/INDEX(Surface_Engine!$B$12:$B$72,$A625+1)-F625/INDEX(Surface_Engine!$B$12:$B$72,$A625+1))),IF(E625&lt;=0,0,MAX(0,(B625/E625)*I625/INDEX(Surface_Engine!$B$12:$B$72,$A625+1)-F625/INDEX(Surface_Engine!$B$12:$B$72,$A625+1))),IF($A625&lt;$Q$573,MAX(0,-Assumptions!$B$22*(F625/INDEX(Surface_Engine!$B$12:$B$72,$A625+1))),0)))+2*Assumptions!$B$27*(IF(C625&lt;=0,0,MAX(0,(B625/C625)*G625/INDEX(Surface_Engine!$B$12:$B$72,$A625+1)-F625/INDEX(Surface_Engine!$B$12:$B$72,$A625+1))))*(MAX(0,J625/INDEX(Surface_Engine!$B$12:$B$72,$A625+1)-(F625/INDEX(Surface_Engine!$B$12:$B$72,$A625+1))))+2*Assumptions!$B$28*(MAX(IF(D625&lt;=0,0,MAX(0,(B625/D625)*H625/INDEX(Surface_Engine!$B$12:$B$72,$A625+1)-F625/INDEX(Surface_Engine!$B$12:$B$72,$A625+1))),IF(E625&lt;=0,0,MAX(0,(B625/E625)*I625/INDEX(Surface_Engine!$B$12:$B$72,$A625+1)-F625/INDEX(Surface_Engine!$B$12:$B$72,$A625+1))),IF($A625&lt;$Q$573,MAX(0,-Assumptions!$B$22*(F625/INDEX(Surface_Engine!$B$12:$B$72,$A625+1))),0)))*(MAX(0,J625/INDEX(Surface_Engine!$B$12:$B$72,$A625+1)-(F625/INDEX(Surface_Engine!$B$12:$B$72,$A625+1)))))</f>
        <v>1.1018599827166</v>
      </c>
      <c r="L625" s="48" t="n">
        <f aca="false">K625*INDEX(Surface_Engine!$B$12:$B$72,$A625+1)+L626</f>
        <v>0.374056324199735</v>
      </c>
      <c r="M625" s="48" t="n">
        <f aca="false">M624+B624*(IF($A624&lt;$Q$573,(Surface_Engine!G241*12)-(Surface_Engine!G241*12)*INDEX(Surface_Engine!$F$12:$F$72,$A624+1)-INDEX(Surface_Engine!$D$12:$D$72,$A624+1),-(1000*12*INDEX(Surface_Engine!$C$12:$C$72,$A624+1)/(1+Assumptions!$B$10)^15+INDEX(Surface_Engine!$D$12:$D$72,$A624+1))))*INDEX(Surface_Engine!$B$12:$B$72,$A624+1)</f>
        <v>2207.75605841153</v>
      </c>
      <c r="N625" s="12" t="n">
        <f aca="false">IF(B625&lt;=0,0,MAX(0,(K625+Assumptions!$B$29*L625/INDEX(Surface_Engine!$B$12:$B$72,$A625+1)-(M625/INDEX(Surface_Engine!$B$12:$B$72,$A625+1)-(F625/INDEX(Surface_Engine!$B$12:$B$72,$A625+1))))/B625))</f>
        <v>0</v>
      </c>
    </row>
    <row r="626" customFormat="false" ht="15" hidden="false" customHeight="true" outlineLevel="0" collapsed="false">
      <c r="A626" s="1" t="n">
        <v>51</v>
      </c>
      <c r="B626" s="32" t="n">
        <f aca="false">INDEX(Surface_Engine!$L$12:$L$72,$A626+1)*IF($A626&lt;$Q$573,INDEX(Surface_Engine!$E$12:$E$72,$A626+1),INDEX(Surface_Engine!$E$12:$E$72,$Q$573+1))</f>
        <v>5.61264386734587E-005</v>
      </c>
      <c r="C626" s="32" t="n">
        <f aca="false">INDEX(Panel_Reserving!$D$8:$D$68,$A626+1)*IF($A626&lt;$Q$573,INDEX(Surface_Engine!$E$12:$E$72,$A626+1),INDEX(Surface_Engine!$E$12:$E$72,$Q$573+1))</f>
        <v>0.000555781016354536</v>
      </c>
      <c r="D626" s="32" t="n">
        <f aca="false">INDEX(Surface_Engine!$L$12:$L$72,$A626+1)*IF($A626&lt;$Q$573,INDEX(Surface_Engine!$Y$12:$Y$72,$A626+1),INDEX(Surface_Engine!$Y$12:$Y$72,$Q$573+1))</f>
        <v>5.08437538605955E-005</v>
      </c>
      <c r="E626" s="32" t="n">
        <f aca="false">INDEX(Surface_Engine!$L$12:$L$72,$A626+1)*IF($A626&lt;$Q$573,INDEX(Surface_Engine!$Z$12:$Z$72,$A626+1),INDEX(Surface_Engine!$Z$12:$Z$72,$Q$573+1))</f>
        <v>6.19011490838362E-005</v>
      </c>
      <c r="F626" s="48" t="n">
        <f aca="false">B626*(IF($A626&lt;$Q$573,INDEX(Surface_Engine!$D$12:$D$72,$A626+1)+(Surface_Engine!G241*12)*INDEX(Surface_Engine!$F$12:$F$72,$A626+1)-(Surface_Engine!G241*12),1000*12*INDEX(Surface_Engine!$C$12:$C$72,$A626+1)/(1+Assumptions!$B$10)^15+INDEX(Surface_Engine!$D$12:$D$72,$A626+1)))*INDEX(Surface_Engine!$B$12:$B$72,$A626+1)+F627</f>
        <v>0.486599087566101</v>
      </c>
      <c r="G626" s="48" t="n">
        <f aca="false">C626*(IF($A626&lt;$Q$573,INDEX(Surface_Engine!$D$12:$D$72,$A626+1)+(Surface_Engine!G241*12)*INDEX(Surface_Engine!$F$12:$F$72,$A626+1)-(Surface_Engine!G241*12),1000*12*INDEX(Surface_Engine!$C$12:$C$72,$A626+1)/(1+Assumptions!$B$10)^15+INDEX(Surface_Engine!$D$12:$D$72,$A626+1)))*INDEX(Surface_Engine!$B$12:$B$72,$A626+1)+G627</f>
        <v>5.76830490071267</v>
      </c>
      <c r="H626" s="48" t="n">
        <f aca="false">D626*(IF($A626&lt;$Q$573,INDEX(Surface_Engine!$D$12:$D$72,$A626+1)+(Surface_Engine!G241*12)*INDEX(Surface_Engine!$F$12:$F$72,$A626+1)-(Surface_Engine!G241*12),1000*12*INDEX(Surface_Engine!$C$12:$C$72,$A626+1)/(1+Assumptions!$B$10)^15+INDEX(Surface_Engine!$D$12:$D$72,$A626+1)))*INDEX(Surface_Engine!$B$12:$B$72,$A626+1)+H627</f>
        <v>0.44079982307341</v>
      </c>
      <c r="I626" s="48" t="n">
        <f aca="false">E626*(IF($A626&lt;$Q$573,INDEX(Surface_Engine!$D$12:$D$72,$A626+1)+(Surface_Engine!G241*12)*INDEX(Surface_Engine!$F$12:$F$72,$A626+1)-(Surface_Engine!G241*12),1000*12*INDEX(Surface_Engine!$C$12:$C$72,$A626+1)/(1+Assumptions!$B$10)^15+INDEX(Surface_Engine!$D$12:$D$72,$A626+1)))*INDEX(Surface_Engine!$B$12:$B$72,$A626+1)+I627</f>
        <v>0.536664063770923</v>
      </c>
      <c r="J626" s="48" t="n">
        <f aca="false">B626*(IF($A626&lt;$Q$573,INDEX(Surface_Engine!$D$12:$D$72,$A626+1)*(1+Assumptions!$B$24)+(Surface_Engine!G241*12)*INDEX(Surface_Engine!$F$12:$F$72,$A626+1)-(Surface_Engine!G241*12),1000*12*INDEX(Surface_Engine!$C$12:$C$72,$A626+1)/(1+Assumptions!$B$10)^15+INDEX(Surface_Engine!$D$12:$D$72,$A626+1)*(1+Assumptions!$B$24)))*INDEX(Surface_Engine!$B$12:$B$72,$A626+1)+J627</f>
        <v>0.487168563149045</v>
      </c>
      <c r="K626" s="12" t="n">
        <f aca="false">SQRT((IF(C626&lt;=0,0,MAX(0,(B626/C626)*G626/INDEX(Surface_Engine!$B$12:$B$72,$A626+1)-F626/INDEX(Surface_Engine!$B$12:$B$72,$A626+1))))^2+(MAX(IF(D626&lt;=0,0,MAX(0,(B626/D626)*H626/INDEX(Surface_Engine!$B$12:$B$72,$A626+1)-F626/INDEX(Surface_Engine!$B$12:$B$72,$A626+1))),IF(E626&lt;=0,0,MAX(0,(B626/E626)*I626/INDEX(Surface_Engine!$B$12:$B$72,$A626+1)-F626/INDEX(Surface_Engine!$B$12:$B$72,$A626+1))),IF($A626&lt;$Q$573,MAX(0,-Assumptions!$B$22*(F626/INDEX(Surface_Engine!$B$12:$B$72,$A626+1))),0)))^2+(MAX(0,J626/INDEX(Surface_Engine!$B$12:$B$72,$A626+1)-(F626/INDEX(Surface_Engine!$B$12:$B$72,$A626+1))))^2+2*Assumptions!$B$26*(IF(C626&lt;=0,0,MAX(0,(B626/C626)*G626/INDEX(Surface_Engine!$B$12:$B$72,$A626+1)-F626/INDEX(Surface_Engine!$B$12:$B$72,$A626+1))))*(MAX(IF(D626&lt;=0,0,MAX(0,(B626/D626)*H626/INDEX(Surface_Engine!$B$12:$B$72,$A626+1)-F626/INDEX(Surface_Engine!$B$12:$B$72,$A626+1))),IF(E626&lt;=0,0,MAX(0,(B626/E626)*I626/INDEX(Surface_Engine!$B$12:$B$72,$A626+1)-F626/INDEX(Surface_Engine!$B$12:$B$72,$A626+1))),IF($A626&lt;$Q$573,MAX(0,-Assumptions!$B$22*(F626/INDEX(Surface_Engine!$B$12:$B$72,$A626+1))),0)))+2*Assumptions!$B$27*(IF(C626&lt;=0,0,MAX(0,(B626/C626)*G626/INDEX(Surface_Engine!$B$12:$B$72,$A626+1)-F626/INDEX(Surface_Engine!$B$12:$B$72,$A626+1))))*(MAX(0,J626/INDEX(Surface_Engine!$B$12:$B$72,$A626+1)-(F626/INDEX(Surface_Engine!$B$12:$B$72,$A626+1))))+2*Assumptions!$B$28*(MAX(IF(D626&lt;=0,0,MAX(0,(B626/D626)*H626/INDEX(Surface_Engine!$B$12:$B$72,$A626+1)-F626/INDEX(Surface_Engine!$B$12:$B$72,$A626+1))),IF(E626&lt;=0,0,MAX(0,(B626/E626)*I626/INDEX(Surface_Engine!$B$12:$B$72,$A626+1)-F626/INDEX(Surface_Engine!$B$12:$B$72,$A626+1))),IF($A626&lt;$Q$573,MAX(0,-Assumptions!$B$22*(F626/INDEX(Surface_Engine!$B$12:$B$72,$A626+1))),0)))*(MAX(0,J626/INDEX(Surface_Engine!$B$12:$B$72,$A626+1)-(F626/INDEX(Surface_Engine!$B$12:$B$72,$A626+1)))))</f>
        <v>0.482930188622226</v>
      </c>
      <c r="L626" s="48" t="n">
        <f aca="false">K626*INDEX(Surface_Engine!$B$12:$B$72,$A626+1)+L627</f>
        <v>0.147709094651837</v>
      </c>
      <c r="M626" s="48" t="n">
        <f aca="false">M625+B625*(IF($A625&lt;$Q$573,(Surface_Engine!G241*12)-(Surface_Engine!G241*12)*INDEX(Surface_Engine!$F$12:$F$72,$A625+1)-INDEX(Surface_Engine!$D$12:$D$72,$A625+1),-(1000*12*INDEX(Surface_Engine!$C$12:$C$72,$A625+1)/(1+Assumptions!$B$10)^15+INDEX(Surface_Engine!$D$12:$D$72,$A625+1))))*INDEX(Surface_Engine!$B$12:$B$72,$A625+1)</f>
        <v>2207.16348042876</v>
      </c>
      <c r="N626" s="12" t="n">
        <f aca="false">IF(B626&lt;=0,0,MAX(0,(K626+Assumptions!$B$29*L626/INDEX(Surface_Engine!$B$12:$B$72,$A626+1)-(M626/INDEX(Surface_Engine!$B$12:$B$72,$A626+1)-(F626/INDEX(Surface_Engine!$B$12:$B$72,$A626+1))))/B626))</f>
        <v>0</v>
      </c>
    </row>
    <row r="627" customFormat="false" ht="15" hidden="false" customHeight="true" outlineLevel="0" collapsed="false">
      <c r="A627" s="1" t="n">
        <v>52</v>
      </c>
      <c r="B627" s="32" t="n">
        <f aca="false">INDEX(Surface_Engine!$L$12:$L$72,$A627+1)*IF($A627&lt;$Q$573,INDEX(Surface_Engine!$E$12:$E$72,$A627+1),INDEX(Surface_Engine!$E$12:$E$72,$Q$573+1))</f>
        <v>2.55738846634779E-005</v>
      </c>
      <c r="C627" s="32" t="n">
        <f aca="false">INDEX(Panel_Reserving!$D$8:$D$68,$A627+1)*IF($A627&lt;$Q$573,INDEX(Surface_Engine!$E$12:$E$72,$A627+1),INDEX(Surface_Engine!$E$12:$E$72,$Q$573+1))</f>
        <v>0.000313748492343013</v>
      </c>
      <c r="D627" s="32" t="n">
        <f aca="false">INDEX(Surface_Engine!$L$12:$L$72,$A627+1)*IF($A627&lt;$Q$573,INDEX(Surface_Engine!$Y$12:$Y$72,$A627+1),INDEX(Surface_Engine!$Y$12:$Y$72,$Q$573+1))</f>
        <v>2.31668412929966E-005</v>
      </c>
      <c r="E627" s="32" t="n">
        <f aca="false">INDEX(Surface_Engine!$L$12:$L$72,$A627+1)*IF($A627&lt;$Q$573,INDEX(Surface_Engine!$Z$12:$Z$72,$A627+1),INDEX(Surface_Engine!$Z$12:$Z$72,$Q$573+1))</f>
        <v>2.82051183831013E-005</v>
      </c>
      <c r="F627" s="48" t="n">
        <f aca="false">B627*(IF($A627&lt;$Q$573,INDEX(Surface_Engine!$D$12:$D$72,$A627+1)+(Surface_Engine!G241*12)*INDEX(Surface_Engine!$F$12:$F$72,$A627+1)-(Surface_Engine!G241*12),1000*12*INDEX(Surface_Engine!$C$12:$C$72,$A627+1)/(1+Assumptions!$B$10)^15+INDEX(Surface_Engine!$D$12:$D$72,$A627+1)))*INDEX(Surface_Engine!$B$12:$B$72,$A627+1)+F628</f>
        <v>0.210072134273467</v>
      </c>
      <c r="G627" s="48" t="n">
        <f aca="false">C627*(IF($A627&lt;$Q$573,INDEX(Surface_Engine!$D$12:$D$72,$A627+1)+(Surface_Engine!G241*12)*INDEX(Surface_Engine!$F$12:$F$72,$A627+1)-(Surface_Engine!G241*12),1000*12*INDEX(Surface_Engine!$C$12:$C$72,$A627+1)/(1+Assumptions!$B$10)^15+INDEX(Surface_Engine!$D$12:$D$72,$A627+1)))*INDEX(Surface_Engine!$B$12:$B$72,$A627+1)+G628</f>
        <v>3.03005115109288</v>
      </c>
      <c r="H627" s="48" t="n">
        <f aca="false">D627*(IF($A627&lt;$Q$573,INDEX(Surface_Engine!$D$12:$D$72,$A627+1)+(Surface_Engine!G241*12)*INDEX(Surface_Engine!$F$12:$F$72,$A627+1)-(Surface_Engine!G241*12),1000*12*INDEX(Surface_Engine!$C$12:$C$72,$A627+1)/(1+Assumptions!$B$10)^15+INDEX(Surface_Engine!$D$12:$D$72,$A627+1)))*INDEX(Surface_Engine!$B$12:$B$72,$A627+1)+H628</f>
        <v>0.190299903938515</v>
      </c>
      <c r="I627" s="48" t="n">
        <f aca="false">E627*(IF($A627&lt;$Q$573,INDEX(Surface_Engine!$D$12:$D$72,$A627+1)+(Surface_Engine!G241*12)*INDEX(Surface_Engine!$F$12:$F$72,$A627+1)-(Surface_Engine!G241*12),1000*12*INDEX(Surface_Engine!$C$12:$C$72,$A627+1)/(1+Assumptions!$B$10)^15+INDEX(Surface_Engine!$D$12:$D$72,$A627+1)))*INDEX(Surface_Engine!$B$12:$B$72,$A627+1)+I628</f>
        <v>0.231685936420741</v>
      </c>
      <c r="J627" s="48" t="n">
        <f aca="false">B627*(IF($A627&lt;$Q$573,INDEX(Surface_Engine!$D$12:$D$72,$A627+1)*(1+Assumptions!$B$24)+(Surface_Engine!G241*12)*INDEX(Surface_Engine!$F$12:$F$72,$A627+1)-(Surface_Engine!G241*12),1000*12*INDEX(Surface_Engine!$C$12:$C$72,$A627+1)/(1+Assumptions!$B$10)^15+INDEX(Surface_Engine!$D$12:$D$72,$A627+1)*(1+Assumptions!$B$24)))*INDEX(Surface_Engine!$B$12:$B$72,$A627+1)+J628</f>
        <v>0.210319068332406</v>
      </c>
      <c r="K627" s="12" t="n">
        <f aca="false">SQRT((IF(C627&lt;=0,0,MAX(0,(B627/C627)*G627/INDEX(Surface_Engine!$B$12:$B$72,$A627+1)-F627/INDEX(Surface_Engine!$B$12:$B$72,$A627+1))))^2+(MAX(IF(D627&lt;=0,0,MAX(0,(B627/D627)*H627/INDEX(Surface_Engine!$B$12:$B$72,$A627+1)-F627/INDEX(Surface_Engine!$B$12:$B$72,$A627+1))),IF(E627&lt;=0,0,MAX(0,(B627/E627)*I627/INDEX(Surface_Engine!$B$12:$B$72,$A627+1)-F627/INDEX(Surface_Engine!$B$12:$B$72,$A627+1))),IF($A627&lt;$Q$573,MAX(0,-Assumptions!$B$22*(F627/INDEX(Surface_Engine!$B$12:$B$72,$A627+1))),0)))^2+(MAX(0,J627/INDEX(Surface_Engine!$B$12:$B$72,$A627+1)-(F627/INDEX(Surface_Engine!$B$12:$B$72,$A627+1))))^2+2*Assumptions!$B$26*(IF(C627&lt;=0,0,MAX(0,(B627/C627)*G627/INDEX(Surface_Engine!$B$12:$B$72,$A627+1)-F627/INDEX(Surface_Engine!$B$12:$B$72,$A627+1))))*(MAX(IF(D627&lt;=0,0,MAX(0,(B627/D627)*H627/INDEX(Surface_Engine!$B$12:$B$72,$A627+1)-F627/INDEX(Surface_Engine!$B$12:$B$72,$A627+1))),IF(E627&lt;=0,0,MAX(0,(B627/E627)*I627/INDEX(Surface_Engine!$B$12:$B$72,$A627+1)-F627/INDEX(Surface_Engine!$B$12:$B$72,$A627+1))),IF($A627&lt;$Q$573,MAX(0,-Assumptions!$B$22*(F627/INDEX(Surface_Engine!$B$12:$B$72,$A627+1))),0)))+2*Assumptions!$B$27*(IF(C627&lt;=0,0,MAX(0,(B627/C627)*G627/INDEX(Surface_Engine!$B$12:$B$72,$A627+1)-F627/INDEX(Surface_Engine!$B$12:$B$72,$A627+1))))*(MAX(0,J627/INDEX(Surface_Engine!$B$12:$B$72,$A627+1)-(F627/INDEX(Surface_Engine!$B$12:$B$72,$A627+1))))+2*Assumptions!$B$28*(MAX(IF(D627&lt;=0,0,MAX(0,(B627/D627)*H627/INDEX(Surface_Engine!$B$12:$B$72,$A627+1)-F627/INDEX(Surface_Engine!$B$12:$B$72,$A627+1))),IF(E627&lt;=0,0,MAX(0,(B627/E627)*I627/INDEX(Surface_Engine!$B$12:$B$72,$A627+1)-F627/INDEX(Surface_Engine!$B$12:$B$72,$A627+1))),IF($A627&lt;$Q$573,MAX(0,-Assumptions!$B$22*(F627/INDEX(Surface_Engine!$B$12:$B$72,$A627+1))),0)))*(MAX(0,J627/INDEX(Surface_Engine!$B$12:$B$72,$A627+1)-(F627/INDEX(Surface_Engine!$B$12:$B$72,$A627+1)))))</f>
        <v>0.191936802920007</v>
      </c>
      <c r="L627" s="48" t="n">
        <f aca="false">K627*INDEX(Surface_Engine!$B$12:$B$72,$A627+1)+L628</f>
        <v>0.0516426950158951</v>
      </c>
      <c r="M627" s="48" t="n">
        <f aca="false">M626+B626*(IF($A626&lt;$Q$573,(Surface_Engine!G241*12)-(Surface_Engine!G241*12)*INDEX(Surface_Engine!$F$12:$F$72,$A626+1)-INDEX(Surface_Engine!$D$12:$D$72,$A626+1),-(1000*12*INDEX(Surface_Engine!$C$12:$C$72,$A626+1)/(1+Assumptions!$B$10)^15+INDEX(Surface_Engine!$D$12:$D$72,$A626+1))))*INDEX(Surface_Engine!$B$12:$B$72,$A626+1)</f>
        <v>2206.88695347547</v>
      </c>
      <c r="N627" s="12" t="n">
        <f aca="false">IF(B627&lt;=0,0,MAX(0,(K627+Assumptions!$B$29*L627/INDEX(Surface_Engine!$B$12:$B$72,$A627+1)-(M627/INDEX(Surface_Engine!$B$12:$B$72,$A627+1)-(F627/INDEX(Surface_Engine!$B$12:$B$72,$A627+1))))/B627))</f>
        <v>0</v>
      </c>
    </row>
    <row r="628" customFormat="false" ht="15" hidden="false" customHeight="true" outlineLevel="0" collapsed="false">
      <c r="A628" s="1" t="n">
        <v>53</v>
      </c>
      <c r="B628" s="32" t="n">
        <f aca="false">INDEX(Surface_Engine!$L$12:$L$72,$A628+1)*IF($A628&lt;$Q$573,INDEX(Surface_Engine!$E$12:$E$72,$A628+1),INDEX(Surface_Engine!$E$12:$E$72,$Q$573+1))</f>
        <v>1.12317686470886E-005</v>
      </c>
      <c r="C628" s="32" t="n">
        <f aca="false">INDEX(Panel_Reserving!$D$8:$D$68,$A628+1)*IF($A628&lt;$Q$573,INDEX(Surface_Engine!$E$12:$E$72,$A628+1),INDEX(Surface_Engine!$E$12:$E$72,$Q$573+1))</f>
        <v>0.000172985605941889</v>
      </c>
      <c r="D628" s="32" t="n">
        <f aca="false">INDEX(Surface_Engine!$L$12:$L$72,$A628+1)*IF($A628&lt;$Q$573,INDEX(Surface_Engine!$Y$12:$Y$72,$A628+1),INDEX(Surface_Engine!$Y$12:$Y$72,$Q$573+1))</f>
        <v>1.01746216936044E-005</v>
      </c>
      <c r="E628" s="32" t="n">
        <f aca="false">INDEX(Surface_Engine!$L$12:$L$72,$A628+1)*IF($A628&lt;$Q$573,INDEX(Surface_Engine!$Z$12:$Z$72,$A628+1),INDEX(Surface_Engine!$Z$12:$Z$72,$Q$573+1))</f>
        <v>1.23873775342059E-005</v>
      </c>
      <c r="F628" s="48" t="n">
        <f aca="false">B628*(IF($A628&lt;$Q$573,INDEX(Surface_Engine!$D$12:$D$72,$A628+1)+(Surface_Engine!G241*12)*INDEX(Surface_Engine!$F$12:$F$72,$A628+1)-(Surface_Engine!G241*12),1000*12*INDEX(Surface_Engine!$C$12:$C$72,$A628+1)/(1+Assumptions!$B$10)^15+INDEX(Surface_Engine!$D$12:$D$72,$A628+1)))*INDEX(Surface_Engine!$B$12:$B$72,$A628+1)+F629</f>
        <v>0.0856144656129127</v>
      </c>
      <c r="G628" s="48" t="n">
        <f aca="false">C628*(IF($A628&lt;$Q$573,INDEX(Surface_Engine!$D$12:$D$72,$A628+1)+(Surface_Engine!G241*12)*INDEX(Surface_Engine!$F$12:$F$72,$A628+1)-(Surface_Engine!G241*12),1000*12*INDEX(Surface_Engine!$C$12:$C$72,$A628+1)/(1+Assumptions!$B$10)^15+INDEX(Surface_Engine!$D$12:$D$72,$A628+1)))*INDEX(Surface_Engine!$B$12:$B$72,$A628+1)+G629</f>
        <v>1.50316517281441</v>
      </c>
      <c r="H628" s="48" t="n">
        <f aca="false">D628*(IF($A628&lt;$Q$573,INDEX(Surface_Engine!$D$12:$D$72,$A628+1)+(Surface_Engine!G241*12)*INDEX(Surface_Engine!$F$12:$F$72,$A628+1)-(Surface_Engine!G241*12),1000*12*INDEX(Surface_Engine!$C$12:$C$72,$A628+1)/(1+Assumptions!$B$10)^15+INDEX(Surface_Engine!$D$12:$D$72,$A628+1)))*INDEX(Surface_Engine!$B$12:$B$72,$A628+1)+H629</f>
        <v>0.077556333867087</v>
      </c>
      <c r="I628" s="48" t="n">
        <f aca="false">E628*(IF($A628&lt;$Q$573,INDEX(Surface_Engine!$D$12:$D$72,$A628+1)+(Surface_Engine!G241*12)*INDEX(Surface_Engine!$F$12:$F$72,$A628+1)-(Surface_Engine!G241*12),1000*12*INDEX(Surface_Engine!$C$12:$C$72,$A628+1)/(1+Assumptions!$B$10)^15+INDEX(Surface_Engine!$D$12:$D$72,$A628+1)))*INDEX(Surface_Engine!$B$12:$B$72,$A628+1)+I629</f>
        <v>0.094423126157548</v>
      </c>
      <c r="J628" s="48" t="n">
        <f aca="false">B628*(IF($A628&lt;$Q$573,INDEX(Surface_Engine!$D$12:$D$72,$A628+1)*(1+Assumptions!$B$24)+(Surface_Engine!G241*12)*INDEX(Surface_Engine!$F$12:$F$72,$A628+1)-(Surface_Engine!G241*12),1000*12*INDEX(Surface_Engine!$C$12:$C$72,$A628+1)/(1+Assumptions!$B$10)^15+INDEX(Surface_Engine!$D$12:$D$72,$A628+1)*(1+Assumptions!$B$24)))*INDEX(Surface_Engine!$B$12:$B$72,$A628+1)+J629</f>
        <v>0.0857155287628328</v>
      </c>
      <c r="K628" s="12" t="n">
        <f aca="false">SQRT((IF(C628&lt;=0,0,MAX(0,(B628/C628)*G628/INDEX(Surface_Engine!$B$12:$B$72,$A628+1)-F628/INDEX(Surface_Engine!$B$12:$B$72,$A628+1))))^2+(MAX(IF(D628&lt;=0,0,MAX(0,(B628/D628)*H628/INDEX(Surface_Engine!$B$12:$B$72,$A628+1)-F628/INDEX(Surface_Engine!$B$12:$B$72,$A628+1))),IF(E628&lt;=0,0,MAX(0,(B628/E628)*I628/INDEX(Surface_Engine!$B$12:$B$72,$A628+1)-F628/INDEX(Surface_Engine!$B$12:$B$72,$A628+1))),IF($A628&lt;$Q$573,MAX(0,-Assumptions!$B$22*(F628/INDEX(Surface_Engine!$B$12:$B$72,$A628+1))),0)))^2+(MAX(0,J628/INDEX(Surface_Engine!$B$12:$B$72,$A628+1)-(F628/INDEX(Surface_Engine!$B$12:$B$72,$A628+1))))^2+2*Assumptions!$B$26*(IF(C628&lt;=0,0,MAX(0,(B628/C628)*G628/INDEX(Surface_Engine!$B$12:$B$72,$A628+1)-F628/INDEX(Surface_Engine!$B$12:$B$72,$A628+1))))*(MAX(IF(D628&lt;=0,0,MAX(0,(B628/D628)*H628/INDEX(Surface_Engine!$B$12:$B$72,$A628+1)-F628/INDEX(Surface_Engine!$B$12:$B$72,$A628+1))),IF(E628&lt;=0,0,MAX(0,(B628/E628)*I628/INDEX(Surface_Engine!$B$12:$B$72,$A628+1)-F628/INDEX(Surface_Engine!$B$12:$B$72,$A628+1))),IF($A628&lt;$Q$573,MAX(0,-Assumptions!$B$22*(F628/INDEX(Surface_Engine!$B$12:$B$72,$A628+1))),0)))+2*Assumptions!$B$27*(IF(C628&lt;=0,0,MAX(0,(B628/C628)*G628/INDEX(Surface_Engine!$B$12:$B$72,$A628+1)-F628/INDEX(Surface_Engine!$B$12:$B$72,$A628+1))))*(MAX(0,J628/INDEX(Surface_Engine!$B$12:$B$72,$A628+1)-(F628/INDEX(Surface_Engine!$B$12:$B$72,$A628+1))))+2*Assumptions!$B$28*(MAX(IF(D628&lt;=0,0,MAX(0,(B628/D628)*H628/INDEX(Surface_Engine!$B$12:$B$72,$A628+1)-F628/INDEX(Surface_Engine!$B$12:$B$72,$A628+1))),IF(E628&lt;=0,0,MAX(0,(B628/E628)*I628/INDEX(Surface_Engine!$B$12:$B$72,$A628+1)-F628/INDEX(Surface_Engine!$B$12:$B$72,$A628+1))),IF($A628&lt;$Q$573,MAX(0,-Assumptions!$B$22*(F628/INDEX(Surface_Engine!$B$12:$B$72,$A628+1))),0)))*(MAX(0,J628/INDEX(Surface_Engine!$B$12:$B$72,$A628+1)-(F628/INDEX(Surface_Engine!$B$12:$B$72,$A628+1)))))</f>
        <v>0.0643883940419322</v>
      </c>
      <c r="L628" s="48" t="n">
        <f aca="false">K628*INDEX(Surface_Engine!$B$12:$B$72,$A628+1)+L629</f>
        <v>0.014670486739769</v>
      </c>
      <c r="M628" s="48" t="n">
        <f aca="false">M627+B627*(IF($A627&lt;$Q$573,(Surface_Engine!G241*12)-(Surface_Engine!G241*12)*INDEX(Surface_Engine!$F$12:$F$72,$A627+1)-INDEX(Surface_Engine!$D$12:$D$72,$A627+1),-(1000*12*INDEX(Surface_Engine!$C$12:$C$72,$A627+1)/(1+Assumptions!$B$10)^15+INDEX(Surface_Engine!$D$12:$D$72,$A627+1))))*INDEX(Surface_Engine!$B$12:$B$72,$A627+1)</f>
        <v>2206.76249580681</v>
      </c>
      <c r="N628" s="12" t="n">
        <f aca="false">IF(B628&lt;=0,0,MAX(0,(K628+Assumptions!$B$29*L628/INDEX(Surface_Engine!$B$12:$B$72,$A628+1)-(M628/INDEX(Surface_Engine!$B$12:$B$72,$A628+1)-(F628/INDEX(Surface_Engine!$B$12:$B$72,$A628+1))))/B628))</f>
        <v>0</v>
      </c>
    </row>
    <row r="629" customFormat="false" ht="15" hidden="false" customHeight="true" outlineLevel="0" collapsed="false">
      <c r="A629" s="1" t="n">
        <v>54</v>
      </c>
      <c r="B629" s="32" t="n">
        <f aca="false">INDEX(Surface_Engine!$L$12:$L$72,$A629+1)*IF($A629&lt;$Q$573,INDEX(Surface_Engine!$E$12:$E$72,$A629+1),INDEX(Surface_Engine!$E$12:$E$72,$Q$573+1))</f>
        <v>4.75195918537906E-006</v>
      </c>
      <c r="C629" s="32" t="n">
        <f aca="false">INDEX(Panel_Reserving!$D$8:$D$68,$A629+1)*IF($A629&lt;$Q$573,INDEX(Surface_Engine!$E$12:$E$72,$A629+1),INDEX(Surface_Engine!$E$12:$E$72,$Q$573+1))</f>
        <v>9.31467986201329E-005</v>
      </c>
      <c r="D629" s="32" t="n">
        <f aca="false">INDEX(Surface_Engine!$L$12:$L$72,$A629+1)*IF($A629&lt;$Q$573,INDEX(Surface_Engine!$Y$12:$Y$72,$A629+1),INDEX(Surface_Engine!$Y$12:$Y$72,$Q$573+1))</f>
        <v>4.3046993339925E-006</v>
      </c>
      <c r="E629" s="32" t="n">
        <f aca="false">INDEX(Surface_Engine!$L$12:$L$72,$A629+1)*IF($A629&lt;$Q$573,INDEX(Surface_Engine!$Z$12:$Z$72,$A629+1),INDEX(Surface_Engine!$Z$12:$Z$72,$Q$573+1))</f>
        <v>5.24087650894468E-006</v>
      </c>
      <c r="F629" s="48" t="n">
        <f aca="false">B629*(IF($A629&lt;$Q$573,INDEX(Surface_Engine!$D$12:$D$72,$A629+1)+(Surface_Engine!G241*12)*INDEX(Surface_Engine!$F$12:$F$72,$A629+1)-(Surface_Engine!G241*12),1000*12*INDEX(Surface_Engine!$C$12:$C$72,$A629+1)/(1+Assumptions!$B$10)^15+INDEX(Surface_Engine!$D$12:$D$72,$A629+1)))*INDEX(Surface_Engine!$B$12:$B$72,$A629+1)+F630</f>
        <v>0.0316236618609832</v>
      </c>
      <c r="G629" s="48" t="n">
        <f aca="false">C629*(IF($A629&lt;$Q$573,INDEX(Surface_Engine!$D$12:$D$72,$A629+1)+(Surface_Engine!G241*12)*INDEX(Surface_Engine!$F$12:$F$72,$A629+1)-(Surface_Engine!G241*12),1000*12*INDEX(Surface_Engine!$C$12:$C$72,$A629+1)/(1+Assumptions!$B$10)^15+INDEX(Surface_Engine!$D$12:$D$72,$A629+1)))*INDEX(Surface_Engine!$B$12:$B$72,$A629+1)+G630</f>
        <v>0.671628110774048</v>
      </c>
      <c r="H629" s="48" t="n">
        <f aca="false">D629*(IF($A629&lt;$Q$573,INDEX(Surface_Engine!$D$12:$D$72,$A629+1)+(Surface_Engine!G241*12)*INDEX(Surface_Engine!$F$12:$F$72,$A629+1)-(Surface_Engine!G241*12),1000*12*INDEX(Surface_Engine!$C$12:$C$72,$A629+1)/(1+Assumptions!$B$10)^15+INDEX(Surface_Engine!$D$12:$D$72,$A629+1)))*INDEX(Surface_Engine!$B$12:$B$72,$A629+1)+H630</f>
        <v>0.0286472065185719</v>
      </c>
      <c r="I629" s="48" t="n">
        <f aca="false">E629*(IF($A629&lt;$Q$573,INDEX(Surface_Engine!$D$12:$D$72,$A629+1)+(Surface_Engine!G241*12)*INDEX(Surface_Engine!$F$12:$F$72,$A629+1)-(Surface_Engine!G241*12),1000*12*INDEX(Surface_Engine!$C$12:$C$72,$A629+1)/(1+Assumptions!$B$10)^15+INDEX(Surface_Engine!$D$12:$D$72,$A629+1)))*INDEX(Surface_Engine!$B$12:$B$72,$A629+1)+I630</f>
        <v>0.0348773421884549</v>
      </c>
      <c r="J629" s="48" t="n">
        <f aca="false">B629*(IF($A629&lt;$Q$573,INDEX(Surface_Engine!$D$12:$D$72,$A629+1)*(1+Assumptions!$B$24)+(Surface_Engine!G241*12)*INDEX(Surface_Engine!$F$12:$F$72,$A629+1)-(Surface_Engine!G241*12),1000*12*INDEX(Surface_Engine!$C$12:$C$72,$A629+1)/(1+Assumptions!$B$10)^15+INDEX(Surface_Engine!$D$12:$D$72,$A629+1)*(1+Assumptions!$B$24)))*INDEX(Surface_Engine!$B$12:$B$72,$A629+1)+J630</f>
        <v>0.0316611384168362</v>
      </c>
      <c r="K629" s="12" t="n">
        <f aca="false">SQRT((IF(C629&lt;=0,0,MAX(0,(B629/C629)*G629/INDEX(Surface_Engine!$B$12:$B$72,$A629+1)-F629/INDEX(Surface_Engine!$B$12:$B$72,$A629+1))))^2+(MAX(IF(D629&lt;=0,0,MAX(0,(B629/D629)*H629/INDEX(Surface_Engine!$B$12:$B$72,$A629+1)-F629/INDEX(Surface_Engine!$B$12:$B$72,$A629+1))),IF(E629&lt;=0,0,MAX(0,(B629/E629)*I629/INDEX(Surface_Engine!$B$12:$B$72,$A629+1)-F629/INDEX(Surface_Engine!$B$12:$B$72,$A629+1))),IF($A629&lt;$Q$573,MAX(0,-Assumptions!$B$22*(F629/INDEX(Surface_Engine!$B$12:$B$72,$A629+1))),0)))^2+(MAX(0,J629/INDEX(Surface_Engine!$B$12:$B$72,$A629+1)-(F629/INDEX(Surface_Engine!$B$12:$B$72,$A629+1))))^2+2*Assumptions!$B$26*(IF(C629&lt;=0,0,MAX(0,(B629/C629)*G629/INDEX(Surface_Engine!$B$12:$B$72,$A629+1)-F629/INDEX(Surface_Engine!$B$12:$B$72,$A629+1))))*(MAX(IF(D629&lt;=0,0,MAX(0,(B629/D629)*H629/INDEX(Surface_Engine!$B$12:$B$72,$A629+1)-F629/INDEX(Surface_Engine!$B$12:$B$72,$A629+1))),IF(E629&lt;=0,0,MAX(0,(B629/E629)*I629/INDEX(Surface_Engine!$B$12:$B$72,$A629+1)-F629/INDEX(Surface_Engine!$B$12:$B$72,$A629+1))),IF($A629&lt;$Q$573,MAX(0,-Assumptions!$B$22*(F629/INDEX(Surface_Engine!$B$12:$B$72,$A629+1))),0)))+2*Assumptions!$B$27*(IF(C629&lt;=0,0,MAX(0,(B629/C629)*G629/INDEX(Surface_Engine!$B$12:$B$72,$A629+1)-F629/INDEX(Surface_Engine!$B$12:$B$72,$A629+1))))*(MAX(0,J629/INDEX(Surface_Engine!$B$12:$B$72,$A629+1)-(F629/INDEX(Surface_Engine!$B$12:$B$72,$A629+1))))+2*Assumptions!$B$28*(MAX(IF(D629&lt;=0,0,MAX(0,(B629/D629)*H629/INDEX(Surface_Engine!$B$12:$B$72,$A629+1)-F629/INDEX(Surface_Engine!$B$12:$B$72,$A629+1))),IF(E629&lt;=0,0,MAX(0,(B629/E629)*I629/INDEX(Surface_Engine!$B$12:$B$72,$A629+1)-F629/INDEX(Surface_Engine!$B$12:$B$72,$A629+1))),IF($A629&lt;$Q$573,MAX(0,-Assumptions!$B$22*(F629/INDEX(Surface_Engine!$B$12:$B$72,$A629+1))),0)))*(MAX(0,J629/INDEX(Surface_Engine!$B$12:$B$72,$A629+1)-(F629/INDEX(Surface_Engine!$B$12:$B$72,$A629+1)))))</f>
        <v>0.0146776568204546</v>
      </c>
      <c r="L629" s="48" t="n">
        <f aca="false">K629*INDEX(Surface_Engine!$B$12:$B$72,$A629+1)+L630</f>
        <v>0.00266039599084486</v>
      </c>
      <c r="M629" s="48" t="n">
        <f aca="false">M628+B628*(IF($A628&lt;$Q$573,(Surface_Engine!G241*12)-(Surface_Engine!G241*12)*INDEX(Surface_Engine!$F$12:$F$72,$A628+1)-INDEX(Surface_Engine!$D$12:$D$72,$A628+1),-(1000*12*INDEX(Surface_Engine!$C$12:$C$72,$A628+1)/(1+Assumptions!$B$10)^15+INDEX(Surface_Engine!$D$12:$D$72,$A628+1))))*INDEX(Surface_Engine!$B$12:$B$72,$A628+1)</f>
        <v>2206.70850500306</v>
      </c>
      <c r="N629" s="12" t="n">
        <f aca="false">IF(B629&lt;=0,0,MAX(0,(K629+Assumptions!$B$29*L629/INDEX(Surface_Engine!$B$12:$B$72,$A629+1)-(M629/INDEX(Surface_Engine!$B$12:$B$72,$A629+1)-(F629/INDEX(Surface_Engine!$B$12:$B$72,$A629+1))))/B629))</f>
        <v>0</v>
      </c>
    </row>
    <row r="630" customFormat="false" ht="15" hidden="false" customHeight="true" outlineLevel="0" collapsed="false">
      <c r="A630" s="1" t="n">
        <v>55</v>
      </c>
      <c r="B630" s="32" t="n">
        <f aca="false">INDEX(Surface_Engine!$L$12:$L$72,$A630+1)*IF($A630&lt;$Q$573,INDEX(Surface_Engine!$E$12:$E$72,$A630+1),INDEX(Surface_Engine!$E$12:$E$72,$Q$573+1))</f>
        <v>1.93576003719086E-006</v>
      </c>
      <c r="C630" s="32" t="n">
        <f aca="false">INDEX(Panel_Reserving!$D$8:$D$68,$A630+1)*IF($A630&lt;$Q$573,INDEX(Surface_Engine!$E$12:$E$72,$A630+1),INDEX(Surface_Engine!$E$12:$E$72,$Q$573+1))</f>
        <v>4.89848141085506E-005</v>
      </c>
      <c r="D630" s="32" t="n">
        <f aca="false">INDEX(Surface_Engine!$L$12:$L$72,$A630+1)*IF($A630&lt;$Q$573,INDEX(Surface_Engine!$Y$12:$Y$72,$A630+1),INDEX(Surface_Engine!$Y$12:$Y$72,$Q$573+1))</f>
        <v>1.75356408121171E-006</v>
      </c>
      <c r="E630" s="32" t="n">
        <f aca="false">INDEX(Surface_Engine!$L$12:$L$72,$A630+1)*IF($A630&lt;$Q$573,INDEX(Surface_Engine!$Z$12:$Z$72,$A630+1),INDEX(Surface_Engine!$Z$12:$Z$72,$Q$573+1))</f>
        <v>2.13492559807375E-006</v>
      </c>
      <c r="F630" s="48" t="n">
        <f aca="false">B630*(IF($A630&lt;$Q$573,INDEX(Surface_Engine!$D$12:$D$72,$A630+1)+(Surface_Engine!G241*12)*INDEX(Surface_Engine!$F$12:$F$72,$A630+1)-(Surface_Engine!G241*12),1000*12*INDEX(Surface_Engine!$C$12:$C$72,$A630+1)/(1+Assumptions!$B$10)^15+INDEX(Surface_Engine!$D$12:$D$72,$A630+1)))*INDEX(Surface_Engine!$B$12:$B$72,$A630+1)+F631</f>
        <v>0.00907319509595519</v>
      </c>
      <c r="G630" s="48" t="n">
        <f aca="false">C630*(IF($A630&lt;$Q$573,INDEX(Surface_Engine!$D$12:$D$72,$A630+1)+(Surface_Engine!G241*12)*INDEX(Surface_Engine!$F$12:$F$72,$A630+1)-(Surface_Engine!G241*12),1000*12*INDEX(Surface_Engine!$C$12:$C$72,$A630+1)/(1+Assumptions!$B$10)^15+INDEX(Surface_Engine!$D$12:$D$72,$A630+1)))*INDEX(Surface_Engine!$B$12:$B$72,$A630+1)+G631</f>
        <v>0.229599106607736</v>
      </c>
      <c r="H630" s="48" t="n">
        <f aca="false">D630*(IF($A630&lt;$Q$573,INDEX(Surface_Engine!$D$12:$D$72,$A630+1)+(Surface_Engine!G241*12)*INDEX(Surface_Engine!$F$12:$F$72,$A630+1)-(Surface_Engine!G241*12),1000*12*INDEX(Surface_Engine!$C$12:$C$72,$A630+1)/(1+Assumptions!$B$10)^15+INDEX(Surface_Engine!$D$12:$D$72,$A630+1)))*INDEX(Surface_Engine!$B$12:$B$72,$A630+1)+H631</f>
        <v>0.00821921556206017</v>
      </c>
      <c r="I630" s="48" t="n">
        <f aca="false">E630*(IF($A630&lt;$Q$573,INDEX(Surface_Engine!$D$12:$D$72,$A630+1)+(Surface_Engine!G241*12)*INDEX(Surface_Engine!$F$12:$F$72,$A630+1)-(Surface_Engine!G241*12),1000*12*INDEX(Surface_Engine!$C$12:$C$72,$A630+1)/(1+Assumptions!$B$10)^15+INDEX(Surface_Engine!$D$12:$D$72,$A630+1)))*INDEX(Surface_Engine!$B$12:$B$72,$A630+1)+I631</f>
        <v>0.0100067136910122</v>
      </c>
      <c r="J630" s="48" t="n">
        <f aca="false">B630*(IF($A630&lt;$Q$573,INDEX(Surface_Engine!$D$12:$D$72,$A630+1)*(1+Assumptions!$B$24)+(Surface_Engine!G241*12)*INDEX(Surface_Engine!$F$12:$F$72,$A630+1)-(Surface_Engine!G241*12),1000*12*INDEX(Surface_Engine!$C$12:$C$72,$A630+1)/(1+Assumptions!$B$10)^15+INDEX(Surface_Engine!$D$12:$D$72,$A630+1)*(1+Assumptions!$B$24)))*INDEX(Surface_Engine!$B$12:$B$72,$A630+1)+J631</f>
        <v>0.00908398464123105</v>
      </c>
      <c r="K630" s="12" t="n">
        <f aca="false">SQRT((IF(C630&lt;=0,0,MAX(0,(B630/C630)*G630/INDEX(Surface_Engine!$B$12:$B$72,$A630+1)-F630/INDEX(Surface_Engine!$B$12:$B$72,$A630+1))))^2+(MAX(IF(D630&lt;=0,0,MAX(0,(B630/D630)*H630/INDEX(Surface_Engine!$B$12:$B$72,$A630+1)-F630/INDEX(Surface_Engine!$B$12:$B$72,$A630+1))),IF(E630&lt;=0,0,MAX(0,(B630/E630)*I630/INDEX(Surface_Engine!$B$12:$B$72,$A630+1)-F630/INDEX(Surface_Engine!$B$12:$B$72,$A630+1))),IF($A630&lt;$Q$573,MAX(0,-Assumptions!$B$22*(F630/INDEX(Surface_Engine!$B$12:$B$72,$A630+1))),0)))^2+(MAX(0,J630/INDEX(Surface_Engine!$B$12:$B$72,$A630+1)-(F630/INDEX(Surface_Engine!$B$12:$B$72,$A630+1))))^2+2*Assumptions!$B$26*(IF(C630&lt;=0,0,MAX(0,(B630/C630)*G630/INDEX(Surface_Engine!$B$12:$B$72,$A630+1)-F630/INDEX(Surface_Engine!$B$12:$B$72,$A630+1))))*(MAX(IF(D630&lt;=0,0,MAX(0,(B630/D630)*H630/INDEX(Surface_Engine!$B$12:$B$72,$A630+1)-F630/INDEX(Surface_Engine!$B$12:$B$72,$A630+1))),IF(E630&lt;=0,0,MAX(0,(B630/E630)*I630/INDEX(Surface_Engine!$B$12:$B$72,$A630+1)-F630/INDEX(Surface_Engine!$B$12:$B$72,$A630+1))),IF($A630&lt;$Q$573,MAX(0,-Assumptions!$B$22*(F630/INDEX(Surface_Engine!$B$12:$B$72,$A630+1))),0)))+2*Assumptions!$B$27*(IF(C630&lt;=0,0,MAX(0,(B630/C630)*G630/INDEX(Surface_Engine!$B$12:$B$72,$A630+1)-F630/INDEX(Surface_Engine!$B$12:$B$72,$A630+1))))*(MAX(0,J630/INDEX(Surface_Engine!$B$12:$B$72,$A630+1)-(F630/INDEX(Surface_Engine!$B$12:$B$72,$A630+1))))+2*Assumptions!$B$28*(MAX(IF(D630&lt;=0,0,MAX(0,(B630/D630)*H630/INDEX(Surface_Engine!$B$12:$B$72,$A630+1)-F630/INDEX(Surface_Engine!$B$12:$B$72,$A630+1))),IF(E630&lt;=0,0,MAX(0,(B630/E630)*I630/INDEX(Surface_Engine!$B$12:$B$72,$A630+1)-F630/INDEX(Surface_Engine!$B$12:$B$72,$A630+1))),IF($A630&lt;$Q$573,MAX(0,-Assumptions!$B$22*(F630/INDEX(Surface_Engine!$B$12:$B$72,$A630+1))),0)))*(MAX(0,J630/INDEX(Surface_Engine!$B$12:$B$72,$A630+1)-(F630/INDEX(Surface_Engine!$B$12:$B$72,$A630+1)))))</f>
        <v>6.17273977510865E-005</v>
      </c>
      <c r="L630" s="48" t="n">
        <f aca="false">K630*INDEX(Surface_Engine!$B$12:$B$72,$A630+1)+L631</f>
        <v>1.07895452758587E-005</v>
      </c>
      <c r="M630" s="48" t="n">
        <f aca="false">M629+B629*(IF($A629&lt;$Q$573,(Surface_Engine!G241*12)-(Surface_Engine!G241*12)*INDEX(Surface_Engine!$F$12:$F$72,$A629+1)-INDEX(Surface_Engine!$D$12:$D$72,$A629+1),-(1000*12*INDEX(Surface_Engine!$C$12:$C$72,$A629+1)/(1+Assumptions!$B$10)^15+INDEX(Surface_Engine!$D$12:$D$72,$A629+1))))*INDEX(Surface_Engine!$B$12:$B$72,$A629+1)</f>
        <v>2206.68595453629</v>
      </c>
      <c r="N630" s="12" t="n">
        <f aca="false">IF(B630&lt;=0,0,MAX(0,(K630+Assumptions!$B$29*L630/INDEX(Surface_Engine!$B$12:$B$72,$A630+1)-(M630/INDEX(Surface_Engine!$B$12:$B$72,$A630+1)-(F630/INDEX(Surface_Engine!$B$12:$B$72,$A630+1))))/B630))</f>
        <v>0</v>
      </c>
    </row>
    <row r="631" customFormat="false" ht="15" hidden="false" customHeight="true" outlineLevel="0" collapsed="false">
      <c r="A631" s="1" t="n">
        <v>56</v>
      </c>
      <c r="B631" s="32" t="n">
        <f aca="false">INDEX(Surface_Engine!$L$12:$L$72,$A631+1)*IF($A631&lt;$Q$573,INDEX(Surface_Engine!$E$12:$E$72,$A631+1),INDEX(Surface_Engine!$E$12:$E$72,$Q$573+1))</f>
        <v>0</v>
      </c>
      <c r="C631" s="32" t="n">
        <f aca="false">INDEX(Panel_Reserving!$D$8:$D$68,$A631+1)*IF($A631&lt;$Q$573,INDEX(Surface_Engine!$E$12:$E$72,$A631+1),INDEX(Surface_Engine!$E$12:$E$72,$Q$573+1))</f>
        <v>0</v>
      </c>
      <c r="D631" s="32" t="n">
        <f aca="false">INDEX(Surface_Engine!$L$12:$L$72,$A631+1)*IF($A631&lt;$Q$573,INDEX(Surface_Engine!$Y$12:$Y$72,$A631+1),INDEX(Surface_Engine!$Y$12:$Y$72,$Q$573+1))</f>
        <v>0</v>
      </c>
      <c r="E631" s="32" t="n">
        <f aca="false">INDEX(Surface_Engine!$L$12:$L$72,$A631+1)*IF($A631&lt;$Q$573,INDEX(Surface_Engine!$Z$12:$Z$72,$A631+1),INDEX(Surface_Engine!$Z$12:$Z$72,$Q$573+1))</f>
        <v>0</v>
      </c>
      <c r="F631" s="48" t="n">
        <f aca="false">B631*(IF($A631&lt;$Q$573,INDEX(Surface_Engine!$D$12:$D$72,$A631+1)+(Surface_Engine!G241*12)*INDEX(Surface_Engine!$F$12:$F$72,$A631+1)-(Surface_Engine!G241*12),1000*12*INDEX(Surface_Engine!$C$12:$C$72,$A631+1)/(1+Assumptions!$B$10)^15+INDEX(Surface_Engine!$D$12:$D$72,$A631+1)))*INDEX(Surface_Engine!$B$12:$B$72,$A631+1)+F632</f>
        <v>0</v>
      </c>
      <c r="G631" s="48" t="n">
        <f aca="false">C631*(IF($A631&lt;$Q$573,INDEX(Surface_Engine!$D$12:$D$72,$A631+1)+(Surface_Engine!G241*12)*INDEX(Surface_Engine!$F$12:$F$72,$A631+1)-(Surface_Engine!G241*12),1000*12*INDEX(Surface_Engine!$C$12:$C$72,$A631+1)/(1+Assumptions!$B$10)^15+INDEX(Surface_Engine!$D$12:$D$72,$A631+1)))*INDEX(Surface_Engine!$B$12:$B$72,$A631+1)+G632</f>
        <v>0</v>
      </c>
      <c r="H631" s="48" t="n">
        <f aca="false">D631*(IF($A631&lt;$Q$573,INDEX(Surface_Engine!$D$12:$D$72,$A631+1)+(Surface_Engine!G241*12)*INDEX(Surface_Engine!$F$12:$F$72,$A631+1)-(Surface_Engine!G241*12),1000*12*INDEX(Surface_Engine!$C$12:$C$72,$A631+1)/(1+Assumptions!$B$10)^15+INDEX(Surface_Engine!$D$12:$D$72,$A631+1)))*INDEX(Surface_Engine!$B$12:$B$72,$A631+1)+H632</f>
        <v>0</v>
      </c>
      <c r="I631" s="48" t="n">
        <f aca="false">E631*(IF($A631&lt;$Q$573,INDEX(Surface_Engine!$D$12:$D$72,$A631+1)+(Surface_Engine!G241*12)*INDEX(Surface_Engine!$F$12:$F$72,$A631+1)-(Surface_Engine!G241*12),1000*12*INDEX(Surface_Engine!$C$12:$C$72,$A631+1)/(1+Assumptions!$B$10)^15+INDEX(Surface_Engine!$D$12:$D$72,$A631+1)))*INDEX(Surface_Engine!$B$12:$B$72,$A631+1)+I632</f>
        <v>0</v>
      </c>
      <c r="J631" s="48" t="n">
        <f aca="false">B631*(IF($A631&lt;$Q$573,INDEX(Surface_Engine!$D$12:$D$72,$A631+1)*(1+Assumptions!$B$24)+(Surface_Engine!G241*12)*INDEX(Surface_Engine!$F$12:$F$72,$A631+1)-(Surface_Engine!G241*12),1000*12*INDEX(Surface_Engine!$C$12:$C$72,$A631+1)/(1+Assumptions!$B$10)^15+INDEX(Surface_Engine!$D$12:$D$72,$A631+1)*(1+Assumptions!$B$24)))*INDEX(Surface_Engine!$B$12:$B$72,$A631+1)+J632</f>
        <v>0</v>
      </c>
      <c r="K631" s="12" t="n">
        <f aca="false">SQRT((IF(C631&lt;=0,0,MAX(0,(B631/C631)*G631/INDEX(Surface_Engine!$B$12:$B$72,$A631+1)-F631/INDEX(Surface_Engine!$B$12:$B$72,$A631+1))))^2+(MAX(IF(D631&lt;=0,0,MAX(0,(B631/D631)*H631/INDEX(Surface_Engine!$B$12:$B$72,$A631+1)-F631/INDEX(Surface_Engine!$B$12:$B$72,$A631+1))),IF(E631&lt;=0,0,MAX(0,(B631/E631)*I631/INDEX(Surface_Engine!$B$12:$B$72,$A631+1)-F631/INDEX(Surface_Engine!$B$12:$B$72,$A631+1))),IF($A631&lt;$Q$573,MAX(0,-Assumptions!$B$22*(F631/INDEX(Surface_Engine!$B$12:$B$72,$A631+1))),0)))^2+(MAX(0,J631/INDEX(Surface_Engine!$B$12:$B$72,$A631+1)-(F631/INDEX(Surface_Engine!$B$12:$B$72,$A631+1))))^2+2*Assumptions!$B$26*(IF(C631&lt;=0,0,MAX(0,(B631/C631)*G631/INDEX(Surface_Engine!$B$12:$B$72,$A631+1)-F631/INDEX(Surface_Engine!$B$12:$B$72,$A631+1))))*(MAX(IF(D631&lt;=0,0,MAX(0,(B631/D631)*H631/INDEX(Surface_Engine!$B$12:$B$72,$A631+1)-F631/INDEX(Surface_Engine!$B$12:$B$72,$A631+1))),IF(E631&lt;=0,0,MAX(0,(B631/E631)*I631/INDEX(Surface_Engine!$B$12:$B$72,$A631+1)-F631/INDEX(Surface_Engine!$B$12:$B$72,$A631+1))),IF($A631&lt;$Q$573,MAX(0,-Assumptions!$B$22*(F631/INDEX(Surface_Engine!$B$12:$B$72,$A631+1))),0)))+2*Assumptions!$B$27*(IF(C631&lt;=0,0,MAX(0,(B631/C631)*G631/INDEX(Surface_Engine!$B$12:$B$72,$A631+1)-F631/INDEX(Surface_Engine!$B$12:$B$72,$A631+1))))*(MAX(0,J631/INDEX(Surface_Engine!$B$12:$B$72,$A631+1)-(F631/INDEX(Surface_Engine!$B$12:$B$72,$A631+1))))+2*Assumptions!$B$28*(MAX(IF(D631&lt;=0,0,MAX(0,(B631/D631)*H631/INDEX(Surface_Engine!$B$12:$B$72,$A631+1)-F631/INDEX(Surface_Engine!$B$12:$B$72,$A631+1))),IF(E631&lt;=0,0,MAX(0,(B631/E631)*I631/INDEX(Surface_Engine!$B$12:$B$72,$A631+1)-F631/INDEX(Surface_Engine!$B$12:$B$72,$A631+1))),IF($A631&lt;$Q$573,MAX(0,-Assumptions!$B$22*(F631/INDEX(Surface_Engine!$B$12:$B$72,$A631+1))),0)))*(MAX(0,J631/INDEX(Surface_Engine!$B$12:$B$72,$A631+1)-(F631/INDEX(Surface_Engine!$B$12:$B$72,$A631+1)))))</f>
        <v>0</v>
      </c>
      <c r="L631" s="48" t="n">
        <f aca="false">K631*INDEX(Surface_Engine!$B$12:$B$72,$A631+1)+L632</f>
        <v>0</v>
      </c>
      <c r="M631" s="48" t="n">
        <f aca="false">M630+B630*(IF($A630&lt;$Q$573,(Surface_Engine!G241*12)-(Surface_Engine!G241*12)*INDEX(Surface_Engine!$F$12:$F$72,$A630+1)-INDEX(Surface_Engine!$D$12:$D$72,$A630+1),-(1000*12*INDEX(Surface_Engine!$C$12:$C$72,$A630+1)/(1+Assumptions!$B$10)^15+INDEX(Surface_Engine!$D$12:$D$72,$A630+1))))*INDEX(Surface_Engine!$B$12:$B$72,$A630+1)</f>
        <v>2206.67688134119</v>
      </c>
      <c r="N631" s="12" t="n">
        <f aca="false">IF(B631&lt;=0,0,MAX(0,(K631+Assumptions!$B$29*L631/INDEX(Surface_Engine!$B$12:$B$72,$A631+1)-(M631/INDEX(Surface_Engine!$B$12:$B$72,$A631+1)-(F631/INDEX(Surface_Engine!$B$12:$B$72,$A631+1))))/B631))</f>
        <v>0</v>
      </c>
    </row>
    <row r="632" customFormat="false" ht="15" hidden="false" customHeight="true" outlineLevel="0" collapsed="false">
      <c r="A632" s="1" t="n">
        <v>57</v>
      </c>
      <c r="B632" s="32" t="n">
        <f aca="false">INDEX(Surface_Engine!$L$12:$L$72,$A632+1)*IF($A632&lt;$Q$573,INDEX(Surface_Engine!$E$12:$E$72,$A632+1),INDEX(Surface_Engine!$E$12:$E$72,$Q$573+1))</f>
        <v>0</v>
      </c>
      <c r="C632" s="32" t="n">
        <f aca="false">INDEX(Panel_Reserving!$D$8:$D$68,$A632+1)*IF($A632&lt;$Q$573,INDEX(Surface_Engine!$E$12:$E$72,$A632+1),INDEX(Surface_Engine!$E$12:$E$72,$Q$573+1))</f>
        <v>0</v>
      </c>
      <c r="D632" s="32" t="n">
        <f aca="false">INDEX(Surface_Engine!$L$12:$L$72,$A632+1)*IF($A632&lt;$Q$573,INDEX(Surface_Engine!$Y$12:$Y$72,$A632+1),INDEX(Surface_Engine!$Y$12:$Y$72,$Q$573+1))</f>
        <v>0</v>
      </c>
      <c r="E632" s="32" t="n">
        <f aca="false">INDEX(Surface_Engine!$L$12:$L$72,$A632+1)*IF($A632&lt;$Q$573,INDEX(Surface_Engine!$Z$12:$Z$72,$A632+1),INDEX(Surface_Engine!$Z$12:$Z$72,$Q$573+1))</f>
        <v>0</v>
      </c>
      <c r="F632" s="48" t="n">
        <f aca="false">B632*(IF($A632&lt;$Q$573,INDEX(Surface_Engine!$D$12:$D$72,$A632+1)+(Surface_Engine!G241*12)*INDEX(Surface_Engine!$F$12:$F$72,$A632+1)-(Surface_Engine!G241*12),1000*12*INDEX(Surface_Engine!$C$12:$C$72,$A632+1)/(1+Assumptions!$B$10)^15+INDEX(Surface_Engine!$D$12:$D$72,$A632+1)))*INDEX(Surface_Engine!$B$12:$B$72,$A632+1)+F633</f>
        <v>0</v>
      </c>
      <c r="G632" s="48" t="n">
        <f aca="false">C632*(IF($A632&lt;$Q$573,INDEX(Surface_Engine!$D$12:$D$72,$A632+1)+(Surface_Engine!G241*12)*INDEX(Surface_Engine!$F$12:$F$72,$A632+1)-(Surface_Engine!G241*12),1000*12*INDEX(Surface_Engine!$C$12:$C$72,$A632+1)/(1+Assumptions!$B$10)^15+INDEX(Surface_Engine!$D$12:$D$72,$A632+1)))*INDEX(Surface_Engine!$B$12:$B$72,$A632+1)+G633</f>
        <v>0</v>
      </c>
      <c r="H632" s="48" t="n">
        <f aca="false">D632*(IF($A632&lt;$Q$573,INDEX(Surface_Engine!$D$12:$D$72,$A632+1)+(Surface_Engine!G241*12)*INDEX(Surface_Engine!$F$12:$F$72,$A632+1)-(Surface_Engine!G241*12),1000*12*INDEX(Surface_Engine!$C$12:$C$72,$A632+1)/(1+Assumptions!$B$10)^15+INDEX(Surface_Engine!$D$12:$D$72,$A632+1)))*INDEX(Surface_Engine!$B$12:$B$72,$A632+1)+H633</f>
        <v>0</v>
      </c>
      <c r="I632" s="48" t="n">
        <f aca="false">E632*(IF($A632&lt;$Q$573,INDEX(Surface_Engine!$D$12:$D$72,$A632+1)+(Surface_Engine!G241*12)*INDEX(Surface_Engine!$F$12:$F$72,$A632+1)-(Surface_Engine!G241*12),1000*12*INDEX(Surface_Engine!$C$12:$C$72,$A632+1)/(1+Assumptions!$B$10)^15+INDEX(Surface_Engine!$D$12:$D$72,$A632+1)))*INDEX(Surface_Engine!$B$12:$B$72,$A632+1)+I633</f>
        <v>0</v>
      </c>
      <c r="J632" s="48" t="n">
        <f aca="false">B632*(IF($A632&lt;$Q$573,INDEX(Surface_Engine!$D$12:$D$72,$A632+1)*(1+Assumptions!$B$24)+(Surface_Engine!G241*12)*INDEX(Surface_Engine!$F$12:$F$72,$A632+1)-(Surface_Engine!G241*12),1000*12*INDEX(Surface_Engine!$C$12:$C$72,$A632+1)/(1+Assumptions!$B$10)^15+INDEX(Surface_Engine!$D$12:$D$72,$A632+1)*(1+Assumptions!$B$24)))*INDEX(Surface_Engine!$B$12:$B$72,$A632+1)+J633</f>
        <v>0</v>
      </c>
      <c r="K632" s="12" t="n">
        <f aca="false">SQRT((IF(C632&lt;=0,0,MAX(0,(B632/C632)*G632/INDEX(Surface_Engine!$B$12:$B$72,$A632+1)-F632/INDEX(Surface_Engine!$B$12:$B$72,$A632+1))))^2+(MAX(IF(D632&lt;=0,0,MAX(0,(B632/D632)*H632/INDEX(Surface_Engine!$B$12:$B$72,$A632+1)-F632/INDEX(Surface_Engine!$B$12:$B$72,$A632+1))),IF(E632&lt;=0,0,MAX(0,(B632/E632)*I632/INDEX(Surface_Engine!$B$12:$B$72,$A632+1)-F632/INDEX(Surface_Engine!$B$12:$B$72,$A632+1))),IF($A632&lt;$Q$573,MAX(0,-Assumptions!$B$22*(F632/INDEX(Surface_Engine!$B$12:$B$72,$A632+1))),0)))^2+(MAX(0,J632/INDEX(Surface_Engine!$B$12:$B$72,$A632+1)-(F632/INDEX(Surface_Engine!$B$12:$B$72,$A632+1))))^2+2*Assumptions!$B$26*(IF(C632&lt;=0,0,MAX(0,(B632/C632)*G632/INDEX(Surface_Engine!$B$12:$B$72,$A632+1)-F632/INDEX(Surface_Engine!$B$12:$B$72,$A632+1))))*(MAX(IF(D632&lt;=0,0,MAX(0,(B632/D632)*H632/INDEX(Surface_Engine!$B$12:$B$72,$A632+1)-F632/INDEX(Surface_Engine!$B$12:$B$72,$A632+1))),IF(E632&lt;=0,0,MAX(0,(B632/E632)*I632/INDEX(Surface_Engine!$B$12:$B$72,$A632+1)-F632/INDEX(Surface_Engine!$B$12:$B$72,$A632+1))),IF($A632&lt;$Q$573,MAX(0,-Assumptions!$B$22*(F632/INDEX(Surface_Engine!$B$12:$B$72,$A632+1))),0)))+2*Assumptions!$B$27*(IF(C632&lt;=0,0,MAX(0,(B632/C632)*G632/INDEX(Surface_Engine!$B$12:$B$72,$A632+1)-F632/INDEX(Surface_Engine!$B$12:$B$72,$A632+1))))*(MAX(0,J632/INDEX(Surface_Engine!$B$12:$B$72,$A632+1)-(F632/INDEX(Surface_Engine!$B$12:$B$72,$A632+1))))+2*Assumptions!$B$28*(MAX(IF(D632&lt;=0,0,MAX(0,(B632/D632)*H632/INDEX(Surface_Engine!$B$12:$B$72,$A632+1)-F632/INDEX(Surface_Engine!$B$12:$B$72,$A632+1))),IF(E632&lt;=0,0,MAX(0,(B632/E632)*I632/INDEX(Surface_Engine!$B$12:$B$72,$A632+1)-F632/INDEX(Surface_Engine!$B$12:$B$72,$A632+1))),IF($A632&lt;$Q$573,MAX(0,-Assumptions!$B$22*(F632/INDEX(Surface_Engine!$B$12:$B$72,$A632+1))),0)))*(MAX(0,J632/INDEX(Surface_Engine!$B$12:$B$72,$A632+1)-(F632/INDEX(Surface_Engine!$B$12:$B$72,$A632+1)))))</f>
        <v>0</v>
      </c>
      <c r="L632" s="48" t="n">
        <f aca="false">K632*INDEX(Surface_Engine!$B$12:$B$72,$A632+1)+L633</f>
        <v>0</v>
      </c>
      <c r="M632" s="48" t="n">
        <f aca="false">M631+B631*(IF($A631&lt;$Q$573,(Surface_Engine!G241*12)-(Surface_Engine!G241*12)*INDEX(Surface_Engine!$F$12:$F$72,$A631+1)-INDEX(Surface_Engine!$D$12:$D$72,$A631+1),-(1000*12*INDEX(Surface_Engine!$C$12:$C$72,$A631+1)/(1+Assumptions!$B$10)^15+INDEX(Surface_Engine!$D$12:$D$72,$A631+1))))*INDEX(Surface_Engine!$B$12:$B$72,$A631+1)</f>
        <v>2206.67688134119</v>
      </c>
      <c r="N632" s="12" t="n">
        <f aca="false">IF(B632&lt;=0,0,MAX(0,(K632+Assumptions!$B$29*L632/INDEX(Surface_Engine!$B$12:$B$72,$A632+1)-(M632/INDEX(Surface_Engine!$B$12:$B$72,$A632+1)-(F632/INDEX(Surface_Engine!$B$12:$B$72,$A632+1))))/B632))</f>
        <v>0</v>
      </c>
    </row>
    <row r="633" customFormat="false" ht="15" hidden="false" customHeight="true" outlineLevel="0" collapsed="false">
      <c r="A633" s="1" t="n">
        <v>58</v>
      </c>
      <c r="B633" s="32" t="n">
        <f aca="false">INDEX(Surface_Engine!$L$12:$L$72,$A633+1)*IF($A633&lt;$Q$573,INDEX(Surface_Engine!$E$12:$E$72,$A633+1),INDEX(Surface_Engine!$E$12:$E$72,$Q$573+1))</f>
        <v>0</v>
      </c>
      <c r="C633" s="32" t="n">
        <f aca="false">INDEX(Panel_Reserving!$D$8:$D$68,$A633+1)*IF($A633&lt;$Q$573,INDEX(Surface_Engine!$E$12:$E$72,$A633+1),INDEX(Surface_Engine!$E$12:$E$72,$Q$573+1))</f>
        <v>0</v>
      </c>
      <c r="D633" s="32" t="n">
        <f aca="false">INDEX(Surface_Engine!$L$12:$L$72,$A633+1)*IF($A633&lt;$Q$573,INDEX(Surface_Engine!$Y$12:$Y$72,$A633+1),INDEX(Surface_Engine!$Y$12:$Y$72,$Q$573+1))</f>
        <v>0</v>
      </c>
      <c r="E633" s="32" t="n">
        <f aca="false">INDEX(Surface_Engine!$L$12:$L$72,$A633+1)*IF($A633&lt;$Q$573,INDEX(Surface_Engine!$Z$12:$Z$72,$A633+1),INDEX(Surface_Engine!$Z$12:$Z$72,$Q$573+1))</f>
        <v>0</v>
      </c>
      <c r="F633" s="48" t="n">
        <f aca="false">B633*(IF($A633&lt;$Q$573,INDEX(Surface_Engine!$D$12:$D$72,$A633+1)+(Surface_Engine!G241*12)*INDEX(Surface_Engine!$F$12:$F$72,$A633+1)-(Surface_Engine!G241*12),1000*12*INDEX(Surface_Engine!$C$12:$C$72,$A633+1)/(1+Assumptions!$B$10)^15+INDEX(Surface_Engine!$D$12:$D$72,$A633+1)))*INDEX(Surface_Engine!$B$12:$B$72,$A633+1)+F634</f>
        <v>0</v>
      </c>
      <c r="G633" s="48" t="n">
        <f aca="false">C633*(IF($A633&lt;$Q$573,INDEX(Surface_Engine!$D$12:$D$72,$A633+1)+(Surface_Engine!G241*12)*INDEX(Surface_Engine!$F$12:$F$72,$A633+1)-(Surface_Engine!G241*12),1000*12*INDEX(Surface_Engine!$C$12:$C$72,$A633+1)/(1+Assumptions!$B$10)^15+INDEX(Surface_Engine!$D$12:$D$72,$A633+1)))*INDEX(Surface_Engine!$B$12:$B$72,$A633+1)+G634</f>
        <v>0</v>
      </c>
      <c r="H633" s="48" t="n">
        <f aca="false">D633*(IF($A633&lt;$Q$573,INDEX(Surface_Engine!$D$12:$D$72,$A633+1)+(Surface_Engine!G241*12)*INDEX(Surface_Engine!$F$12:$F$72,$A633+1)-(Surface_Engine!G241*12),1000*12*INDEX(Surface_Engine!$C$12:$C$72,$A633+1)/(1+Assumptions!$B$10)^15+INDEX(Surface_Engine!$D$12:$D$72,$A633+1)))*INDEX(Surface_Engine!$B$12:$B$72,$A633+1)+H634</f>
        <v>0</v>
      </c>
      <c r="I633" s="48" t="n">
        <f aca="false">E633*(IF($A633&lt;$Q$573,INDEX(Surface_Engine!$D$12:$D$72,$A633+1)+(Surface_Engine!G241*12)*INDEX(Surface_Engine!$F$12:$F$72,$A633+1)-(Surface_Engine!G241*12),1000*12*INDEX(Surface_Engine!$C$12:$C$72,$A633+1)/(1+Assumptions!$B$10)^15+INDEX(Surface_Engine!$D$12:$D$72,$A633+1)))*INDEX(Surface_Engine!$B$12:$B$72,$A633+1)+I634</f>
        <v>0</v>
      </c>
      <c r="J633" s="48" t="n">
        <f aca="false">B633*(IF($A633&lt;$Q$573,INDEX(Surface_Engine!$D$12:$D$72,$A633+1)*(1+Assumptions!$B$24)+(Surface_Engine!G241*12)*INDEX(Surface_Engine!$F$12:$F$72,$A633+1)-(Surface_Engine!G241*12),1000*12*INDEX(Surface_Engine!$C$12:$C$72,$A633+1)/(1+Assumptions!$B$10)^15+INDEX(Surface_Engine!$D$12:$D$72,$A633+1)*(1+Assumptions!$B$24)))*INDEX(Surface_Engine!$B$12:$B$72,$A633+1)+J634</f>
        <v>0</v>
      </c>
      <c r="K633" s="12" t="n">
        <f aca="false">SQRT((IF(C633&lt;=0,0,MAX(0,(B633/C633)*G633/INDEX(Surface_Engine!$B$12:$B$72,$A633+1)-F633/INDEX(Surface_Engine!$B$12:$B$72,$A633+1))))^2+(MAX(IF(D633&lt;=0,0,MAX(0,(B633/D633)*H633/INDEX(Surface_Engine!$B$12:$B$72,$A633+1)-F633/INDEX(Surface_Engine!$B$12:$B$72,$A633+1))),IF(E633&lt;=0,0,MAX(0,(B633/E633)*I633/INDEX(Surface_Engine!$B$12:$B$72,$A633+1)-F633/INDEX(Surface_Engine!$B$12:$B$72,$A633+1))),IF($A633&lt;$Q$573,MAX(0,-Assumptions!$B$22*(F633/INDEX(Surface_Engine!$B$12:$B$72,$A633+1))),0)))^2+(MAX(0,J633/INDEX(Surface_Engine!$B$12:$B$72,$A633+1)-(F633/INDEX(Surface_Engine!$B$12:$B$72,$A633+1))))^2+2*Assumptions!$B$26*(IF(C633&lt;=0,0,MAX(0,(B633/C633)*G633/INDEX(Surface_Engine!$B$12:$B$72,$A633+1)-F633/INDEX(Surface_Engine!$B$12:$B$72,$A633+1))))*(MAX(IF(D633&lt;=0,0,MAX(0,(B633/D633)*H633/INDEX(Surface_Engine!$B$12:$B$72,$A633+1)-F633/INDEX(Surface_Engine!$B$12:$B$72,$A633+1))),IF(E633&lt;=0,0,MAX(0,(B633/E633)*I633/INDEX(Surface_Engine!$B$12:$B$72,$A633+1)-F633/INDEX(Surface_Engine!$B$12:$B$72,$A633+1))),IF($A633&lt;$Q$573,MAX(0,-Assumptions!$B$22*(F633/INDEX(Surface_Engine!$B$12:$B$72,$A633+1))),0)))+2*Assumptions!$B$27*(IF(C633&lt;=0,0,MAX(0,(B633/C633)*G633/INDEX(Surface_Engine!$B$12:$B$72,$A633+1)-F633/INDEX(Surface_Engine!$B$12:$B$72,$A633+1))))*(MAX(0,J633/INDEX(Surface_Engine!$B$12:$B$72,$A633+1)-(F633/INDEX(Surface_Engine!$B$12:$B$72,$A633+1))))+2*Assumptions!$B$28*(MAX(IF(D633&lt;=0,0,MAX(0,(B633/D633)*H633/INDEX(Surface_Engine!$B$12:$B$72,$A633+1)-F633/INDEX(Surface_Engine!$B$12:$B$72,$A633+1))),IF(E633&lt;=0,0,MAX(0,(B633/E633)*I633/INDEX(Surface_Engine!$B$12:$B$72,$A633+1)-F633/INDEX(Surface_Engine!$B$12:$B$72,$A633+1))),IF($A633&lt;$Q$573,MAX(0,-Assumptions!$B$22*(F633/INDEX(Surface_Engine!$B$12:$B$72,$A633+1))),0)))*(MAX(0,J633/INDEX(Surface_Engine!$B$12:$B$72,$A633+1)-(F633/INDEX(Surface_Engine!$B$12:$B$72,$A633+1)))))</f>
        <v>0</v>
      </c>
      <c r="L633" s="48" t="n">
        <f aca="false">K633*INDEX(Surface_Engine!$B$12:$B$72,$A633+1)+L634</f>
        <v>0</v>
      </c>
      <c r="M633" s="48" t="n">
        <f aca="false">M632+B632*(IF($A632&lt;$Q$573,(Surface_Engine!G241*12)-(Surface_Engine!G241*12)*INDEX(Surface_Engine!$F$12:$F$72,$A632+1)-INDEX(Surface_Engine!$D$12:$D$72,$A632+1),-(1000*12*INDEX(Surface_Engine!$C$12:$C$72,$A632+1)/(1+Assumptions!$B$10)^15+INDEX(Surface_Engine!$D$12:$D$72,$A632+1))))*INDEX(Surface_Engine!$B$12:$B$72,$A632+1)</f>
        <v>2206.67688134119</v>
      </c>
      <c r="N633" s="12" t="n">
        <f aca="false">IF(B633&lt;=0,0,MAX(0,(K633+Assumptions!$B$29*L633/INDEX(Surface_Engine!$B$12:$B$72,$A633+1)-(M633/INDEX(Surface_Engine!$B$12:$B$72,$A633+1)-(F633/INDEX(Surface_Engine!$B$12:$B$72,$A633+1))))/B633))</f>
        <v>0</v>
      </c>
    </row>
    <row r="634" customFormat="false" ht="15" hidden="false" customHeight="true" outlineLevel="0" collapsed="false">
      <c r="A634" s="1" t="n">
        <v>59</v>
      </c>
      <c r="B634" s="32" t="n">
        <f aca="false">INDEX(Surface_Engine!$L$12:$L$72,$A634+1)*IF($A634&lt;$Q$573,INDEX(Surface_Engine!$E$12:$E$72,$A634+1),INDEX(Surface_Engine!$E$12:$E$72,$Q$573+1))</f>
        <v>0</v>
      </c>
      <c r="C634" s="32" t="n">
        <f aca="false">INDEX(Panel_Reserving!$D$8:$D$68,$A634+1)*IF($A634&lt;$Q$573,INDEX(Surface_Engine!$E$12:$E$72,$A634+1),INDEX(Surface_Engine!$E$12:$E$72,$Q$573+1))</f>
        <v>0</v>
      </c>
      <c r="D634" s="32" t="n">
        <f aca="false">INDEX(Surface_Engine!$L$12:$L$72,$A634+1)*IF($A634&lt;$Q$573,INDEX(Surface_Engine!$Y$12:$Y$72,$A634+1),INDEX(Surface_Engine!$Y$12:$Y$72,$Q$573+1))</f>
        <v>0</v>
      </c>
      <c r="E634" s="32" t="n">
        <f aca="false">INDEX(Surface_Engine!$L$12:$L$72,$A634+1)*IF($A634&lt;$Q$573,INDEX(Surface_Engine!$Z$12:$Z$72,$A634+1),INDEX(Surface_Engine!$Z$12:$Z$72,$Q$573+1))</f>
        <v>0</v>
      </c>
      <c r="F634" s="48" t="n">
        <f aca="false">B634*(IF($A634&lt;$Q$573,INDEX(Surface_Engine!$D$12:$D$72,$A634+1)+(Surface_Engine!G241*12)*INDEX(Surface_Engine!$F$12:$F$72,$A634+1)-(Surface_Engine!G241*12),1000*12*INDEX(Surface_Engine!$C$12:$C$72,$A634+1)/(1+Assumptions!$B$10)^15+INDEX(Surface_Engine!$D$12:$D$72,$A634+1)))*INDEX(Surface_Engine!$B$12:$B$72,$A634+1)+F635</f>
        <v>0</v>
      </c>
      <c r="G634" s="48" t="n">
        <f aca="false">C634*(IF($A634&lt;$Q$573,INDEX(Surface_Engine!$D$12:$D$72,$A634+1)+(Surface_Engine!G241*12)*INDEX(Surface_Engine!$F$12:$F$72,$A634+1)-(Surface_Engine!G241*12),1000*12*INDEX(Surface_Engine!$C$12:$C$72,$A634+1)/(1+Assumptions!$B$10)^15+INDEX(Surface_Engine!$D$12:$D$72,$A634+1)))*INDEX(Surface_Engine!$B$12:$B$72,$A634+1)+G635</f>
        <v>0</v>
      </c>
      <c r="H634" s="48" t="n">
        <f aca="false">D634*(IF($A634&lt;$Q$573,INDEX(Surface_Engine!$D$12:$D$72,$A634+1)+(Surface_Engine!G241*12)*INDEX(Surface_Engine!$F$12:$F$72,$A634+1)-(Surface_Engine!G241*12),1000*12*INDEX(Surface_Engine!$C$12:$C$72,$A634+1)/(1+Assumptions!$B$10)^15+INDEX(Surface_Engine!$D$12:$D$72,$A634+1)))*INDEX(Surface_Engine!$B$12:$B$72,$A634+1)+H635</f>
        <v>0</v>
      </c>
      <c r="I634" s="48" t="n">
        <f aca="false">E634*(IF($A634&lt;$Q$573,INDEX(Surface_Engine!$D$12:$D$72,$A634+1)+(Surface_Engine!G241*12)*INDEX(Surface_Engine!$F$12:$F$72,$A634+1)-(Surface_Engine!G241*12),1000*12*INDEX(Surface_Engine!$C$12:$C$72,$A634+1)/(1+Assumptions!$B$10)^15+INDEX(Surface_Engine!$D$12:$D$72,$A634+1)))*INDEX(Surface_Engine!$B$12:$B$72,$A634+1)+I635</f>
        <v>0</v>
      </c>
      <c r="J634" s="48" t="n">
        <f aca="false">B634*(IF($A634&lt;$Q$573,INDEX(Surface_Engine!$D$12:$D$72,$A634+1)*(1+Assumptions!$B$24)+(Surface_Engine!G241*12)*INDEX(Surface_Engine!$F$12:$F$72,$A634+1)-(Surface_Engine!G241*12),1000*12*INDEX(Surface_Engine!$C$12:$C$72,$A634+1)/(1+Assumptions!$B$10)^15+INDEX(Surface_Engine!$D$12:$D$72,$A634+1)*(1+Assumptions!$B$24)))*INDEX(Surface_Engine!$B$12:$B$72,$A634+1)+J635</f>
        <v>0</v>
      </c>
      <c r="K634" s="12" t="n">
        <f aca="false">SQRT((IF(C634&lt;=0,0,MAX(0,(B634/C634)*G634/INDEX(Surface_Engine!$B$12:$B$72,$A634+1)-F634/INDEX(Surface_Engine!$B$12:$B$72,$A634+1))))^2+(MAX(IF(D634&lt;=0,0,MAX(0,(B634/D634)*H634/INDEX(Surface_Engine!$B$12:$B$72,$A634+1)-F634/INDEX(Surface_Engine!$B$12:$B$72,$A634+1))),IF(E634&lt;=0,0,MAX(0,(B634/E634)*I634/INDEX(Surface_Engine!$B$12:$B$72,$A634+1)-F634/INDEX(Surface_Engine!$B$12:$B$72,$A634+1))),IF($A634&lt;$Q$573,MAX(0,-Assumptions!$B$22*(F634/INDEX(Surface_Engine!$B$12:$B$72,$A634+1))),0)))^2+(MAX(0,J634/INDEX(Surface_Engine!$B$12:$B$72,$A634+1)-(F634/INDEX(Surface_Engine!$B$12:$B$72,$A634+1))))^2+2*Assumptions!$B$26*(IF(C634&lt;=0,0,MAX(0,(B634/C634)*G634/INDEX(Surface_Engine!$B$12:$B$72,$A634+1)-F634/INDEX(Surface_Engine!$B$12:$B$72,$A634+1))))*(MAX(IF(D634&lt;=0,0,MAX(0,(B634/D634)*H634/INDEX(Surface_Engine!$B$12:$B$72,$A634+1)-F634/INDEX(Surface_Engine!$B$12:$B$72,$A634+1))),IF(E634&lt;=0,0,MAX(0,(B634/E634)*I634/INDEX(Surface_Engine!$B$12:$B$72,$A634+1)-F634/INDEX(Surface_Engine!$B$12:$B$72,$A634+1))),IF($A634&lt;$Q$573,MAX(0,-Assumptions!$B$22*(F634/INDEX(Surface_Engine!$B$12:$B$72,$A634+1))),0)))+2*Assumptions!$B$27*(IF(C634&lt;=0,0,MAX(0,(B634/C634)*G634/INDEX(Surface_Engine!$B$12:$B$72,$A634+1)-F634/INDEX(Surface_Engine!$B$12:$B$72,$A634+1))))*(MAX(0,J634/INDEX(Surface_Engine!$B$12:$B$72,$A634+1)-(F634/INDEX(Surface_Engine!$B$12:$B$72,$A634+1))))+2*Assumptions!$B$28*(MAX(IF(D634&lt;=0,0,MAX(0,(B634/D634)*H634/INDEX(Surface_Engine!$B$12:$B$72,$A634+1)-F634/INDEX(Surface_Engine!$B$12:$B$72,$A634+1))),IF(E634&lt;=0,0,MAX(0,(B634/E634)*I634/INDEX(Surface_Engine!$B$12:$B$72,$A634+1)-F634/INDEX(Surface_Engine!$B$12:$B$72,$A634+1))),IF($A634&lt;$Q$573,MAX(0,-Assumptions!$B$22*(F634/INDEX(Surface_Engine!$B$12:$B$72,$A634+1))),0)))*(MAX(0,J634/INDEX(Surface_Engine!$B$12:$B$72,$A634+1)-(F634/INDEX(Surface_Engine!$B$12:$B$72,$A634+1)))))</f>
        <v>0</v>
      </c>
      <c r="L634" s="48" t="n">
        <f aca="false">K634*INDEX(Surface_Engine!$B$12:$B$72,$A634+1)+L635</f>
        <v>0</v>
      </c>
      <c r="M634" s="48" t="n">
        <f aca="false">M633+B633*(IF($A633&lt;$Q$573,(Surface_Engine!G241*12)-(Surface_Engine!G241*12)*INDEX(Surface_Engine!$F$12:$F$72,$A633+1)-INDEX(Surface_Engine!$D$12:$D$72,$A633+1),-(1000*12*INDEX(Surface_Engine!$C$12:$C$72,$A633+1)/(1+Assumptions!$B$10)^15+INDEX(Surface_Engine!$D$12:$D$72,$A633+1))))*INDEX(Surface_Engine!$B$12:$B$72,$A633+1)</f>
        <v>2206.67688134119</v>
      </c>
      <c r="N634" s="12" t="n">
        <f aca="false">IF(B634&lt;=0,0,MAX(0,(K634+Assumptions!$B$29*L634/INDEX(Surface_Engine!$B$12:$B$72,$A634+1)-(M634/INDEX(Surface_Engine!$B$12:$B$72,$A634+1)-(F634/INDEX(Surface_Engine!$B$12:$B$72,$A634+1))))/B634))</f>
        <v>0</v>
      </c>
    </row>
    <row r="635" customFormat="false" ht="15" hidden="false" customHeight="true" outlineLevel="0" collapsed="false">
      <c r="A635" s="1" t="n">
        <v>60</v>
      </c>
      <c r="B635" s="32" t="n">
        <f aca="false">INDEX(Surface_Engine!$L$12:$L$72,$A635+1)*IF($A635&lt;$Q$573,INDEX(Surface_Engine!$E$12:$E$72,$A635+1),INDEX(Surface_Engine!$E$12:$E$72,$Q$573+1))</f>
        <v>0</v>
      </c>
      <c r="C635" s="32" t="n">
        <f aca="false">INDEX(Panel_Reserving!$D$8:$D$68,$A635+1)*IF($A635&lt;$Q$573,INDEX(Surface_Engine!$E$12:$E$72,$A635+1),INDEX(Surface_Engine!$E$12:$E$72,$Q$573+1))</f>
        <v>0</v>
      </c>
      <c r="D635" s="32" t="n">
        <f aca="false">INDEX(Surface_Engine!$L$12:$L$72,$A635+1)*IF($A635&lt;$Q$573,INDEX(Surface_Engine!$Y$12:$Y$72,$A635+1),INDEX(Surface_Engine!$Y$12:$Y$72,$Q$573+1))</f>
        <v>0</v>
      </c>
      <c r="E635" s="32" t="n">
        <f aca="false">INDEX(Surface_Engine!$L$12:$L$72,$A635+1)*IF($A635&lt;$Q$573,INDEX(Surface_Engine!$Z$12:$Z$72,$A635+1),INDEX(Surface_Engine!$Z$12:$Z$72,$Q$573+1))</f>
        <v>0</v>
      </c>
      <c r="F635" s="48" t="n">
        <f aca="false">B635*(IF($A635&lt;$Q$573,INDEX(Surface_Engine!$D$12:$D$72,$A635+1)+(Surface_Engine!G241*12)*INDEX(Surface_Engine!$F$12:$F$72,$A635+1)-(Surface_Engine!G241*12),1000*12*INDEX(Surface_Engine!$C$12:$C$72,$A635+1)/(1+Assumptions!$B$10)^15+INDEX(Surface_Engine!$D$12:$D$72,$A635+1)))*INDEX(Surface_Engine!$B$12:$B$72,$A635+1)</f>
        <v>0</v>
      </c>
      <c r="G635" s="48" t="n">
        <f aca="false">C635*(IF($A635&lt;$Q$573,INDEX(Surface_Engine!$D$12:$D$72,$A635+1)+(Surface_Engine!G241*12)*INDEX(Surface_Engine!$F$12:$F$72,$A635+1)-(Surface_Engine!G241*12),1000*12*INDEX(Surface_Engine!$C$12:$C$72,$A635+1)/(1+Assumptions!$B$10)^15+INDEX(Surface_Engine!$D$12:$D$72,$A635+1)))*INDEX(Surface_Engine!$B$12:$B$72,$A635+1)</f>
        <v>0</v>
      </c>
      <c r="H635" s="48" t="n">
        <f aca="false">D635*(IF($A635&lt;$Q$573,INDEX(Surface_Engine!$D$12:$D$72,$A635+1)+(Surface_Engine!G241*12)*INDEX(Surface_Engine!$F$12:$F$72,$A635+1)-(Surface_Engine!G241*12),1000*12*INDEX(Surface_Engine!$C$12:$C$72,$A635+1)/(1+Assumptions!$B$10)^15+INDEX(Surface_Engine!$D$12:$D$72,$A635+1)))*INDEX(Surface_Engine!$B$12:$B$72,$A635+1)</f>
        <v>0</v>
      </c>
      <c r="I635" s="48" t="n">
        <f aca="false">E635*(IF($A635&lt;$Q$573,INDEX(Surface_Engine!$D$12:$D$72,$A635+1)+(Surface_Engine!G241*12)*INDEX(Surface_Engine!$F$12:$F$72,$A635+1)-(Surface_Engine!G241*12),1000*12*INDEX(Surface_Engine!$C$12:$C$72,$A635+1)/(1+Assumptions!$B$10)^15+INDEX(Surface_Engine!$D$12:$D$72,$A635+1)))*INDEX(Surface_Engine!$B$12:$B$72,$A635+1)</f>
        <v>0</v>
      </c>
      <c r="J635" s="48" t="n">
        <f aca="false">B635*(IF($A635&lt;$Q$573,INDEX(Surface_Engine!$D$12:$D$72,$A635+1)*(1+Assumptions!$B$24)+(Surface_Engine!G241*12)*INDEX(Surface_Engine!$F$12:$F$72,$A635+1)-(Surface_Engine!G241*12),1000*12*INDEX(Surface_Engine!$C$12:$C$72,$A635+1)/(1+Assumptions!$B$10)^15+INDEX(Surface_Engine!$D$12:$D$72,$A635+1)*(1+Assumptions!$B$24)))*INDEX(Surface_Engine!$B$12:$B$72,$A635+1)</f>
        <v>0</v>
      </c>
      <c r="K635" s="12" t="n">
        <f aca="false">SQRT((IF(C635&lt;=0,0,MAX(0,(B635/C635)*G635/INDEX(Surface_Engine!$B$12:$B$72,$A635+1)-F635/INDEX(Surface_Engine!$B$12:$B$72,$A635+1))))^2+(MAX(IF(D635&lt;=0,0,MAX(0,(B635/D635)*H635/INDEX(Surface_Engine!$B$12:$B$72,$A635+1)-F635/INDEX(Surface_Engine!$B$12:$B$72,$A635+1))),IF(E635&lt;=0,0,MAX(0,(B635/E635)*I635/INDEX(Surface_Engine!$B$12:$B$72,$A635+1)-F635/INDEX(Surface_Engine!$B$12:$B$72,$A635+1))),IF($A635&lt;$Q$573,MAX(0,-Assumptions!$B$22*(F635/INDEX(Surface_Engine!$B$12:$B$72,$A635+1))),0)))^2+(MAX(0,J635/INDEX(Surface_Engine!$B$12:$B$72,$A635+1)-(F635/INDEX(Surface_Engine!$B$12:$B$72,$A635+1))))^2+2*Assumptions!$B$26*(IF(C635&lt;=0,0,MAX(0,(B635/C635)*G635/INDEX(Surface_Engine!$B$12:$B$72,$A635+1)-F635/INDEX(Surface_Engine!$B$12:$B$72,$A635+1))))*(MAX(IF(D635&lt;=0,0,MAX(0,(B635/D635)*H635/INDEX(Surface_Engine!$B$12:$B$72,$A635+1)-F635/INDEX(Surface_Engine!$B$12:$B$72,$A635+1))),IF(E635&lt;=0,0,MAX(0,(B635/E635)*I635/INDEX(Surface_Engine!$B$12:$B$72,$A635+1)-F635/INDEX(Surface_Engine!$B$12:$B$72,$A635+1))),IF($A635&lt;$Q$573,MAX(0,-Assumptions!$B$22*(F635/INDEX(Surface_Engine!$B$12:$B$72,$A635+1))),0)))+2*Assumptions!$B$27*(IF(C635&lt;=0,0,MAX(0,(B635/C635)*G635/INDEX(Surface_Engine!$B$12:$B$72,$A635+1)-F635/INDEX(Surface_Engine!$B$12:$B$72,$A635+1))))*(MAX(0,J635/INDEX(Surface_Engine!$B$12:$B$72,$A635+1)-(F635/INDEX(Surface_Engine!$B$12:$B$72,$A635+1))))+2*Assumptions!$B$28*(MAX(IF(D635&lt;=0,0,MAX(0,(B635/D635)*H635/INDEX(Surface_Engine!$B$12:$B$72,$A635+1)-F635/INDEX(Surface_Engine!$B$12:$B$72,$A635+1))),IF(E635&lt;=0,0,MAX(0,(B635/E635)*I635/INDEX(Surface_Engine!$B$12:$B$72,$A635+1)-F635/INDEX(Surface_Engine!$B$12:$B$72,$A635+1))),IF($A635&lt;$Q$573,MAX(0,-Assumptions!$B$22*(F635/INDEX(Surface_Engine!$B$12:$B$72,$A635+1))),0)))*(MAX(0,J635/INDEX(Surface_Engine!$B$12:$B$72,$A635+1)-(F635/INDEX(Surface_Engine!$B$12:$B$72,$A635+1)))))</f>
        <v>0</v>
      </c>
      <c r="L635" s="48" t="n">
        <f aca="false">K635*INDEX(Surface_Engine!$B$12:$B$72,$A635+1)</f>
        <v>0</v>
      </c>
      <c r="M635" s="48" t="n">
        <f aca="false">M634+B634*(IF($A634&lt;$Q$573,(Surface_Engine!G241*12)-(Surface_Engine!G241*12)*INDEX(Surface_Engine!$F$12:$F$72,$A634+1)-INDEX(Surface_Engine!$D$12:$D$72,$A634+1),-(1000*12*INDEX(Surface_Engine!$C$12:$C$72,$A634+1)/(1+Assumptions!$B$10)^15+INDEX(Surface_Engine!$D$12:$D$72,$A634+1))))*INDEX(Surface_Engine!$B$12:$B$72,$A634+1)</f>
        <v>2206.67688134119</v>
      </c>
      <c r="N635" s="12" t="n">
        <f aca="false">IF(B635&lt;=0,0,MAX(0,(K635+Assumptions!$B$29*L635/INDEX(Surface_Engine!$B$12:$B$72,$A635+1)-(M635/INDEX(Surface_Engine!$B$12:$B$72,$A635+1)-(F635/INDEX(Surface_Engine!$B$12:$B$72,$A635+1))))/B635))</f>
        <v>0</v>
      </c>
    </row>
    <row r="636" customFormat="false" ht="15" hidden="false" customHeight="true" outlineLevel="0" collapsed="false">
      <c r="A636" s="4" t="str">
        <f aca="false">"entry "&amp;O636&amp;" / vesting "&amp;P636&amp;"   deferral "&amp;Q636</f>
        <v>entry 65 / vesting 85   deferral 20</v>
      </c>
      <c r="C636" s="49" t="n">
        <f aca="false">MAX(N575:N635)</f>
        <v>20498.8328088221</v>
      </c>
      <c r="E636" s="7" t="s">
        <v>1634</v>
      </c>
      <c r="G636" s="21" t="n">
        <f aca="false">INDEX(A575:A635,MATCH(C636,N575:N635,0))</f>
        <v>8</v>
      </c>
      <c r="J636" s="7" t="s">
        <v>1624</v>
      </c>
      <c r="K636" s="50" t="n">
        <f aca="false">Surface_Engine!L241</f>
        <v>256.410770014245</v>
      </c>
      <c r="O636" s="1" t="n">
        <f aca="false">A1716</f>
        <v>65</v>
      </c>
      <c r="P636" s="76" t="n">
        <f aca="false">D$1713</f>
        <v>85</v>
      </c>
      <c r="Q636" s="1" t="n">
        <f aca="false">P636-O636</f>
        <v>20</v>
      </c>
    </row>
    <row r="637" customFormat="false" ht="15" hidden="false" customHeight="true" outlineLevel="0" collapsed="false">
      <c r="A637" s="8" t="s">
        <v>802</v>
      </c>
      <c r="B637" s="8" t="s">
        <v>1584</v>
      </c>
      <c r="C637" s="8" t="s">
        <v>1585</v>
      </c>
      <c r="D637" s="8" t="s">
        <v>1587</v>
      </c>
      <c r="E637" s="8" t="s">
        <v>1588</v>
      </c>
      <c r="F637" s="8" t="s">
        <v>1625</v>
      </c>
      <c r="G637" s="8" t="s">
        <v>1626</v>
      </c>
      <c r="H637" s="8" t="s">
        <v>1627</v>
      </c>
      <c r="I637" s="8" t="s">
        <v>1628</v>
      </c>
      <c r="J637" s="8" t="s">
        <v>1629</v>
      </c>
      <c r="K637" s="8" t="s">
        <v>812</v>
      </c>
      <c r="L637" s="8" t="s">
        <v>1630</v>
      </c>
      <c r="M637" s="8" t="s">
        <v>341</v>
      </c>
      <c r="N637" s="8" t="s">
        <v>1631</v>
      </c>
      <c r="O637" s="1" t="s">
        <v>1544</v>
      </c>
      <c r="P637" s="1" t="s">
        <v>1632</v>
      </c>
      <c r="Q637" s="1" t="s">
        <v>1633</v>
      </c>
    </row>
    <row r="638" customFormat="false" ht="15" hidden="false" customHeight="true" outlineLevel="0" collapsed="false">
      <c r="A638" s="1" t="n">
        <v>0</v>
      </c>
      <c r="B638" s="32" t="n">
        <f aca="false">INDEX(Surface_Engine!$L$12:$L$72,$A638+1)*IF($A638&lt;$Q$636,INDEX(Surface_Engine!$E$12:$E$72,$A638+1),INDEX(Surface_Engine!$E$12:$E$72,$Q$636+1))</f>
        <v>1</v>
      </c>
      <c r="C638" s="32" t="n">
        <f aca="false">INDEX(Panel_Reserving!$D$8:$D$68,$A638+1)*IF($A638&lt;$Q$636,INDEX(Surface_Engine!$E$12:$E$72,$A638+1),INDEX(Surface_Engine!$E$12:$E$72,$Q$636+1))</f>
        <v>1</v>
      </c>
      <c r="D638" s="32" t="n">
        <f aca="false">INDEX(Surface_Engine!$L$12:$L$72,$A638+1)*IF($A638&lt;$Q$636,INDEX(Surface_Engine!$Y$12:$Y$72,$A638+1),INDEX(Surface_Engine!$Y$12:$Y$72,$Q$636+1))</f>
        <v>1</v>
      </c>
      <c r="E638" s="32" t="n">
        <f aca="false">INDEX(Surface_Engine!$L$12:$L$72,$A638+1)*IF($A638&lt;$Q$636,INDEX(Surface_Engine!$Z$12:$Z$72,$A638+1),INDEX(Surface_Engine!$Z$12:$Z$72,$Q$636+1))</f>
        <v>1</v>
      </c>
      <c r="F638" s="48" t="n">
        <f aca="false">B638*(IF($A638&lt;$Q$636,INDEX(Surface_Engine!$D$12:$D$72,$A638+1)+(Surface_Engine!L241*12)*INDEX(Surface_Engine!$F$12:$F$72,$A638+1)-(Surface_Engine!L241*12),1000*12*INDEX(Surface_Engine!$C$12:$C$72,$A638+1)/(1+Assumptions!$B$10)^20+INDEX(Surface_Engine!$D$12:$D$72,$A638+1)))*INDEX(Surface_Engine!$B$12:$B$72,$A638+1)+F639</f>
        <v>-1151.53870116808</v>
      </c>
      <c r="G638" s="48" t="n">
        <f aca="false">C638*(IF($A638&lt;$Q$636,INDEX(Surface_Engine!$D$12:$D$72,$A638+1)+(Surface_Engine!L241*12)*INDEX(Surface_Engine!$F$12:$F$72,$A638+1)-(Surface_Engine!L241*12),1000*12*INDEX(Surface_Engine!$C$12:$C$72,$A638+1)/(1+Assumptions!$B$10)^20+INDEX(Surface_Engine!$D$12:$D$72,$A638+1)))*INDEX(Surface_Engine!$B$12:$B$72,$A638+1)+G639</f>
        <v>5049.69258248659</v>
      </c>
      <c r="H638" s="48" t="n">
        <f aca="false">D638*(IF($A638&lt;$Q$636,INDEX(Surface_Engine!$D$12:$D$72,$A638+1)+(Surface_Engine!L241*12)*INDEX(Surface_Engine!$F$12:$F$72,$A638+1)-(Surface_Engine!L241*12),1000*12*INDEX(Surface_Engine!$C$12:$C$72,$A638+1)/(1+Assumptions!$B$10)^20+INDEX(Surface_Engine!$D$12:$D$72,$A638+1)))*INDEX(Surface_Engine!$B$12:$B$72,$A638+1)+H639</f>
        <v>-2666.42242558158</v>
      </c>
      <c r="I638" s="48" t="n">
        <f aca="false">E638*(IF($A638&lt;$Q$636,INDEX(Surface_Engine!$D$12:$D$72,$A638+1)+(Surface_Engine!L241*12)*INDEX(Surface_Engine!$F$12:$F$72,$A638+1)-(Surface_Engine!L241*12),1000*12*INDEX(Surface_Engine!$C$12:$C$72,$A638+1)/(1+Assumptions!$B$10)^20+INDEX(Surface_Engine!$D$12:$D$72,$A638+1)))*INDEX(Surface_Engine!$B$12:$B$72,$A638+1)+I639</f>
        <v>651.878712987756</v>
      </c>
      <c r="J638" s="48" t="n">
        <f aca="false">B638*(IF($A638&lt;$Q$636,INDEX(Surface_Engine!$D$12:$D$72,$A638+1)*(1+Assumptions!$B$24)+(Surface_Engine!L241*12)*INDEX(Surface_Engine!$F$12:$F$72,$A638+1)-(Surface_Engine!L241*12),1000*12*INDEX(Surface_Engine!$C$12:$C$72,$A638+1)/(1+Assumptions!$B$10)^20+INDEX(Surface_Engine!$D$12:$D$72,$A638+1)*(1+Assumptions!$B$24)))*INDEX(Surface_Engine!$B$12:$B$72,$A638+1)+J639</f>
        <v>-991.309565250985</v>
      </c>
      <c r="K638" s="12" t="n">
        <f aca="false">SQRT((IF(C638&lt;=0,0,MAX(0,(B638/C638)*G638/INDEX(Surface_Engine!$B$12:$B$72,$A638+1)-F638/INDEX(Surface_Engine!$B$12:$B$72,$A638+1))))^2+(MAX(IF(D638&lt;=0,0,MAX(0,(B638/D638)*H638/INDEX(Surface_Engine!$B$12:$B$72,$A638+1)-F638/INDEX(Surface_Engine!$B$12:$B$72,$A638+1))),IF(E638&lt;=0,0,MAX(0,(B638/E638)*I638/INDEX(Surface_Engine!$B$12:$B$72,$A638+1)-F638/INDEX(Surface_Engine!$B$12:$B$72,$A638+1))),IF($A638&lt;$Q$636,MAX(0,-Assumptions!$B$22*(F638/INDEX(Surface_Engine!$B$12:$B$72,$A638+1))),0)))^2+(MAX(0,J638/INDEX(Surface_Engine!$B$12:$B$72,$A638+1)-(F638/INDEX(Surface_Engine!$B$12:$B$72,$A638+1))))^2+2*Assumptions!$B$26*(IF(C638&lt;=0,0,MAX(0,(B638/C638)*G638/INDEX(Surface_Engine!$B$12:$B$72,$A638+1)-F638/INDEX(Surface_Engine!$B$12:$B$72,$A638+1))))*(MAX(IF(D638&lt;=0,0,MAX(0,(B638/D638)*H638/INDEX(Surface_Engine!$B$12:$B$72,$A638+1)-F638/INDEX(Surface_Engine!$B$12:$B$72,$A638+1))),IF(E638&lt;=0,0,MAX(0,(B638/E638)*I638/INDEX(Surface_Engine!$B$12:$B$72,$A638+1)-F638/INDEX(Surface_Engine!$B$12:$B$72,$A638+1))),IF($A638&lt;$Q$636,MAX(0,-Assumptions!$B$22*(F638/INDEX(Surface_Engine!$B$12:$B$72,$A638+1))),0)))+2*Assumptions!$B$27*(IF(C638&lt;=0,0,MAX(0,(B638/C638)*G638/INDEX(Surface_Engine!$B$12:$B$72,$A638+1)-F638/INDEX(Surface_Engine!$B$12:$B$72,$A638+1))))*(MAX(0,J638/INDEX(Surface_Engine!$B$12:$B$72,$A638+1)-(F638/INDEX(Surface_Engine!$B$12:$B$72,$A638+1))))+2*Assumptions!$B$28*(MAX(IF(D638&lt;=0,0,MAX(0,(B638/D638)*H638/INDEX(Surface_Engine!$B$12:$B$72,$A638+1)-F638/INDEX(Surface_Engine!$B$12:$B$72,$A638+1))),IF(E638&lt;=0,0,MAX(0,(B638/E638)*I638/INDEX(Surface_Engine!$B$12:$B$72,$A638+1)-F638/INDEX(Surface_Engine!$B$12:$B$72,$A638+1))),IF($A638&lt;$Q$636,MAX(0,-Assumptions!$B$22*(F638/INDEX(Surface_Engine!$B$12:$B$72,$A638+1))),0)))*(MAX(0,J638/INDEX(Surface_Engine!$B$12:$B$72,$A638+1)-(F638/INDEX(Surface_Engine!$B$12:$B$72,$A638+1)))))</f>
        <v>6936.18990521447</v>
      </c>
      <c r="L638" s="48" t="n">
        <f aca="false">K638*INDEX(Surface_Engine!$B$12:$B$72,$A638+1)+L639</f>
        <v>154903.178661804</v>
      </c>
      <c r="M638" s="48" t="n">
        <v>0</v>
      </c>
      <c r="N638" s="12" t="n">
        <f aca="false">IF(B638&lt;=0,0,MAX(0,(K638+Assumptions!$B$29*L638/INDEX(Surface_Engine!$B$12:$B$72,$A638+1)-(M638/INDEX(Surface_Engine!$B$12:$B$72,$A638+1)-(F638/INDEX(Surface_Engine!$B$12:$B$72,$A638+1))))/B638))</f>
        <v>15078.8419237546</v>
      </c>
    </row>
    <row r="639" customFormat="false" ht="15" hidden="false" customHeight="true" outlineLevel="0" collapsed="false">
      <c r="A639" s="1" t="n">
        <v>1</v>
      </c>
      <c r="B639" s="32" t="n">
        <f aca="false">INDEX(Surface_Engine!$L$12:$L$72,$A639+1)*IF($A639&lt;$Q$636,INDEX(Surface_Engine!$E$12:$E$72,$A639+1),INDEX(Surface_Engine!$E$12:$E$72,$Q$636+1))</f>
        <v>0.954429784274803</v>
      </c>
      <c r="C639" s="32" t="n">
        <f aca="false">INDEX(Panel_Reserving!$D$8:$D$68,$A639+1)*IF($A639&lt;$Q$636,INDEX(Surface_Engine!$E$12:$E$72,$A639+1),INDEX(Surface_Engine!$E$12:$E$72,$Q$636+1))</f>
        <v>0.955423827419843</v>
      </c>
      <c r="D639" s="32" t="n">
        <f aca="false">INDEX(Surface_Engine!$L$12:$L$72,$A639+1)*IF($A639&lt;$Q$636,INDEX(Surface_Engine!$Y$12:$Y$72,$A639+1),INDEX(Surface_Engine!$Y$12:$Y$72,$Q$636+1))</f>
        <v>0.934234949356335</v>
      </c>
      <c r="E639" s="32" t="n">
        <f aca="false">INDEX(Surface_Engine!$L$12:$L$72,$A639+1)*IF($A639&lt;$Q$636,INDEX(Surface_Engine!$Z$12:$Z$72,$A639+1),INDEX(Surface_Engine!$Z$12:$Z$72,$Q$636+1))</f>
        <v>0.974624619193272</v>
      </c>
      <c r="F639" s="48" t="n">
        <f aca="false">B639*(IF($A639&lt;$Q$636,INDEX(Surface_Engine!$D$12:$D$72,$A639+1)+(Surface_Engine!L241*12)*INDEX(Surface_Engine!$F$12:$F$72,$A639+1)-(Surface_Engine!L241*12),1000*12*INDEX(Surface_Engine!$C$12:$C$72,$A639+1)/(1+Assumptions!$B$10)^20+INDEX(Surface_Engine!$D$12:$D$72,$A639+1)))*INDEX(Surface_Engine!$B$12:$B$72,$A639+1)+F640</f>
        <v>-1233.53870116808</v>
      </c>
      <c r="G639" s="48" t="n">
        <f aca="false">C639*(IF($A639&lt;$Q$636,INDEX(Surface_Engine!$D$12:$D$72,$A639+1)+(Surface_Engine!L241*12)*INDEX(Surface_Engine!$F$12:$F$72,$A639+1)-(Surface_Engine!L241*12),1000*12*INDEX(Surface_Engine!$C$12:$C$72,$A639+1)/(1+Assumptions!$B$10)^20+INDEX(Surface_Engine!$D$12:$D$72,$A639+1)))*INDEX(Surface_Engine!$B$12:$B$72,$A639+1)+G640</f>
        <v>4967.69258248659</v>
      </c>
      <c r="H639" s="48" t="n">
        <f aca="false">D639*(IF($A639&lt;$Q$636,INDEX(Surface_Engine!$D$12:$D$72,$A639+1)+(Surface_Engine!L241*12)*INDEX(Surface_Engine!$F$12:$F$72,$A639+1)-(Surface_Engine!L241*12),1000*12*INDEX(Surface_Engine!$C$12:$C$72,$A639+1)/(1+Assumptions!$B$10)^20+INDEX(Surface_Engine!$D$12:$D$72,$A639+1)))*INDEX(Surface_Engine!$B$12:$B$72,$A639+1)+H640</f>
        <v>-2748.42242558158</v>
      </c>
      <c r="I639" s="48" t="n">
        <f aca="false">E639*(IF($A639&lt;$Q$636,INDEX(Surface_Engine!$D$12:$D$72,$A639+1)+(Surface_Engine!L241*12)*INDEX(Surface_Engine!$F$12:$F$72,$A639+1)-(Surface_Engine!L241*12),1000*12*INDEX(Surface_Engine!$C$12:$C$72,$A639+1)/(1+Assumptions!$B$10)^20+INDEX(Surface_Engine!$D$12:$D$72,$A639+1)))*INDEX(Surface_Engine!$B$12:$B$72,$A639+1)+I640</f>
        <v>569.878712987756</v>
      </c>
      <c r="J639" s="48" t="n">
        <f aca="false">B639*(IF($A639&lt;$Q$636,INDEX(Surface_Engine!$D$12:$D$72,$A639+1)*(1+Assumptions!$B$24)+(Surface_Engine!L241*12)*INDEX(Surface_Engine!$F$12:$F$72,$A639+1)-(Surface_Engine!L241*12),1000*12*INDEX(Surface_Engine!$C$12:$C$72,$A639+1)/(1+Assumptions!$B$10)^20+INDEX(Surface_Engine!$D$12:$D$72,$A639+1)*(1+Assumptions!$B$24)))*INDEX(Surface_Engine!$B$12:$B$72,$A639+1)+J640</f>
        <v>-1081.50956525098</v>
      </c>
      <c r="K639" s="12" t="n">
        <f aca="false">SQRT((IF(C639&lt;=0,0,MAX(0,(B639/C639)*G639/INDEX(Surface_Engine!$B$12:$B$72,$A639+1)-F639/INDEX(Surface_Engine!$B$12:$B$72,$A639+1))))^2+(MAX(IF(D639&lt;=0,0,MAX(0,(B639/D639)*H639/INDEX(Surface_Engine!$B$12:$B$72,$A639+1)-F639/INDEX(Surface_Engine!$B$12:$B$72,$A639+1))),IF(E639&lt;=0,0,MAX(0,(B639/E639)*I639/INDEX(Surface_Engine!$B$12:$B$72,$A639+1)-F639/INDEX(Surface_Engine!$B$12:$B$72,$A639+1))),IF($A639&lt;$Q$636,MAX(0,-Assumptions!$B$22*(F639/INDEX(Surface_Engine!$B$12:$B$72,$A639+1))),0)))^2+(MAX(0,J639/INDEX(Surface_Engine!$B$12:$B$72,$A639+1)-(F639/INDEX(Surface_Engine!$B$12:$B$72,$A639+1))))^2+2*Assumptions!$B$26*(IF(C639&lt;=0,0,MAX(0,(B639/C639)*G639/INDEX(Surface_Engine!$B$12:$B$72,$A639+1)-F639/INDEX(Surface_Engine!$B$12:$B$72,$A639+1))))*(MAX(IF(D639&lt;=0,0,MAX(0,(B639/D639)*H639/INDEX(Surface_Engine!$B$12:$B$72,$A639+1)-F639/INDEX(Surface_Engine!$B$12:$B$72,$A639+1))),IF(E639&lt;=0,0,MAX(0,(B639/E639)*I639/INDEX(Surface_Engine!$B$12:$B$72,$A639+1)-F639/INDEX(Surface_Engine!$B$12:$B$72,$A639+1))),IF($A639&lt;$Q$636,MAX(0,-Assumptions!$B$22*(F639/INDEX(Surface_Engine!$B$12:$B$72,$A639+1))),0)))+2*Assumptions!$B$27*(IF(C639&lt;=0,0,MAX(0,(B639/C639)*G639/INDEX(Surface_Engine!$B$12:$B$72,$A639+1)-F639/INDEX(Surface_Engine!$B$12:$B$72,$A639+1))))*(MAX(0,J639/INDEX(Surface_Engine!$B$12:$B$72,$A639+1)-(F639/INDEX(Surface_Engine!$B$12:$B$72,$A639+1))))+2*Assumptions!$B$28*(MAX(IF(D639&lt;=0,0,MAX(0,(B639/D639)*H639/INDEX(Surface_Engine!$B$12:$B$72,$A639+1)-F639/INDEX(Surface_Engine!$B$12:$B$72,$A639+1))),IF(E639&lt;=0,0,MAX(0,(B639/E639)*I639/INDEX(Surface_Engine!$B$12:$B$72,$A639+1)-F639/INDEX(Surface_Engine!$B$12:$B$72,$A639+1))),IF($A639&lt;$Q$636,MAX(0,-Assumptions!$B$22*(F639/INDEX(Surface_Engine!$B$12:$B$72,$A639+1))),0)))*(MAX(0,J639/INDEX(Surface_Engine!$B$12:$B$72,$A639+1)-(F639/INDEX(Surface_Engine!$B$12:$B$72,$A639+1)))))</f>
        <v>7101.9852990332</v>
      </c>
      <c r="L639" s="48" t="n">
        <f aca="false">K639*INDEX(Surface_Engine!$B$12:$B$72,$A639+1)+L640</f>
        <v>147966.98875659</v>
      </c>
      <c r="M639" s="48" t="n">
        <f aca="false">M638+B638*(IF($A638&lt;$Q$636,(Surface_Engine!L241*12)-(Surface_Engine!L241*12)*INDEX(Surface_Engine!$F$12:$F$72,$A638+1)-INDEX(Surface_Engine!$D$12:$D$72,$A638+1),-(1000*12*INDEX(Surface_Engine!$C$12:$C$72,$A638+1)/(1+Assumptions!$B$10)^20+INDEX(Surface_Engine!$D$12:$D$72,$A638+1))))*INDEX(Surface_Engine!$B$12:$B$72,$A638+1)</f>
        <v>-82</v>
      </c>
      <c r="N639" s="12" t="n">
        <f aca="false">IF(B639&lt;=0,0,MAX(0,(K639+Assumptions!$B$29*L639/INDEX(Surface_Engine!$B$12:$B$72,$A639+1)-(M639/INDEX(Surface_Engine!$B$12:$B$72,$A639+1)-(F639/INDEX(Surface_Engine!$B$12:$B$72,$A639+1))))/B639))</f>
        <v>15746.6223371108</v>
      </c>
    </row>
    <row r="640" customFormat="false" ht="15" hidden="false" customHeight="true" outlineLevel="0" collapsed="false">
      <c r="A640" s="1" t="n">
        <v>2</v>
      </c>
      <c r="B640" s="32" t="n">
        <f aca="false">INDEX(Surface_Engine!$L$12:$L$72,$A640+1)*IF($A640&lt;$Q$636,INDEX(Surface_Engine!$E$12:$E$72,$A640+1),INDEX(Surface_Engine!$E$12:$E$72,$Q$636+1))</f>
        <v>0.928451921141693</v>
      </c>
      <c r="C640" s="32" t="n">
        <f aca="false">INDEX(Panel_Reserving!$D$8:$D$68,$A640+1)*IF($A640&lt;$Q$636,INDEX(Surface_Engine!$E$12:$E$72,$A640+1),INDEX(Surface_Engine!$E$12:$E$72,$Q$636+1))</f>
        <v>0.930473352648266</v>
      </c>
      <c r="D640" s="32" t="n">
        <f aca="false">INDEX(Surface_Engine!$L$12:$L$72,$A640+1)*IF($A640&lt;$Q$636,INDEX(Surface_Engine!$Y$12:$Y$72,$A640+1),INDEX(Surface_Engine!$Y$12:$Y$72,$Q$636+1))</f>
        <v>0.898727479820571</v>
      </c>
      <c r="E640" s="32" t="n">
        <f aca="false">INDEX(Surface_Engine!$L$12:$L$72,$A640+1)*IF($A640&lt;$Q$636,INDEX(Surface_Engine!$Z$12:$Z$72,$A640+1),INDEX(Surface_Engine!$Z$12:$Z$72,$Q$636+1))</f>
        <v>0.958612118510579</v>
      </c>
      <c r="F640" s="48" t="n">
        <f aca="false">B640*(IF($A640&lt;$Q$636,INDEX(Surface_Engine!$D$12:$D$72,$A640+1)+(Surface_Engine!L241*12)*INDEX(Surface_Engine!$F$12:$F$72,$A640+1)-(Surface_Engine!L241*12),1000*12*INDEX(Surface_Engine!$C$12:$C$72,$A640+1)/(1+Assumptions!$B$10)^20+INDEX(Surface_Engine!$D$12:$D$72,$A640+1)))*INDEX(Surface_Engine!$B$12:$B$72,$A640+1)+F641</f>
        <v>1407.55592436375</v>
      </c>
      <c r="G640" s="48" t="n">
        <f aca="false">C640*(IF($A640&lt;$Q$636,INDEX(Surface_Engine!$D$12:$D$72,$A640+1)+(Surface_Engine!L241*12)*INDEX(Surface_Engine!$F$12:$F$72,$A640+1)-(Surface_Engine!L241*12),1000*12*INDEX(Surface_Engine!$C$12:$C$72,$A640+1)/(1+Assumptions!$B$10)^20+INDEX(Surface_Engine!$D$12:$D$72,$A640+1)))*INDEX(Surface_Engine!$B$12:$B$72,$A640+1)+G641</f>
        <v>7611.53792059169</v>
      </c>
      <c r="H640" s="48" t="n">
        <f aca="false">D640*(IF($A640&lt;$Q$636,INDEX(Surface_Engine!$D$12:$D$72,$A640+1)+(Surface_Engine!L241*12)*INDEX(Surface_Engine!$F$12:$F$72,$A640+1)-(Surface_Engine!L241*12),1000*12*INDEX(Surface_Engine!$C$12:$C$72,$A640+1)/(1+Assumptions!$B$10)^20+INDEX(Surface_Engine!$D$12:$D$72,$A640+1)))*INDEX(Surface_Engine!$B$12:$B$72,$A640+1)+H641</f>
        <v>-163.210873739872</v>
      </c>
      <c r="I640" s="48" t="n">
        <f aca="false">E640*(IF($A640&lt;$Q$636,INDEX(Surface_Engine!$D$12:$D$72,$A640+1)+(Surface_Engine!L241*12)*INDEX(Surface_Engine!$F$12:$F$72,$A640+1)-(Surface_Engine!L241*12),1000*12*INDEX(Surface_Engine!$C$12:$C$72,$A640+1)/(1+Assumptions!$B$10)^20+INDEX(Surface_Engine!$D$12:$D$72,$A640+1)))*INDEX(Surface_Engine!$B$12:$B$72,$A640+1)+I641</f>
        <v>3266.8564122097</v>
      </c>
      <c r="J640" s="48" t="n">
        <f aca="false">B640*(IF($A640&lt;$Q$636,INDEX(Surface_Engine!$D$12:$D$72,$A640+1)*(1+Assumptions!$B$24)+(Surface_Engine!L241*12)*INDEX(Surface_Engine!$F$12:$F$72,$A640+1)-(Surface_Engine!L241*12),1000*12*INDEX(Surface_Engine!$C$12:$C$72,$A640+1)/(1+Assumptions!$B$10)^20+INDEX(Surface_Engine!$D$12:$D$72,$A640+1)*(1+Assumptions!$B$24)))*INDEX(Surface_Engine!$B$12:$B$72,$A640+1)+J641</f>
        <v>1551.76605921176</v>
      </c>
      <c r="K640" s="12" t="n">
        <f aca="false">SQRT((IF(C640&lt;=0,0,MAX(0,(B640/C640)*G640/INDEX(Surface_Engine!$B$12:$B$72,$A640+1)-F640/INDEX(Surface_Engine!$B$12:$B$72,$A640+1))))^2+(MAX(IF(D640&lt;=0,0,MAX(0,(B640/D640)*H640/INDEX(Surface_Engine!$B$12:$B$72,$A640+1)-F640/INDEX(Surface_Engine!$B$12:$B$72,$A640+1))),IF(E640&lt;=0,0,MAX(0,(B640/E640)*I640/INDEX(Surface_Engine!$B$12:$B$72,$A640+1)-F640/INDEX(Surface_Engine!$B$12:$B$72,$A640+1))),IF($A640&lt;$Q$636,MAX(0,-Assumptions!$B$22*(F640/INDEX(Surface_Engine!$B$12:$B$72,$A640+1))),0)))^2+(MAX(0,J640/INDEX(Surface_Engine!$B$12:$B$72,$A640+1)-(F640/INDEX(Surface_Engine!$B$12:$B$72,$A640+1))))^2+2*Assumptions!$B$26*(IF(C640&lt;=0,0,MAX(0,(B640/C640)*G640/INDEX(Surface_Engine!$B$12:$B$72,$A640+1)-F640/INDEX(Surface_Engine!$B$12:$B$72,$A640+1))))*(MAX(IF(D640&lt;=0,0,MAX(0,(B640/D640)*H640/INDEX(Surface_Engine!$B$12:$B$72,$A640+1)-F640/INDEX(Surface_Engine!$B$12:$B$72,$A640+1))),IF(E640&lt;=0,0,MAX(0,(B640/E640)*I640/INDEX(Surface_Engine!$B$12:$B$72,$A640+1)-F640/INDEX(Surface_Engine!$B$12:$B$72,$A640+1))),IF($A640&lt;$Q$636,MAX(0,-Assumptions!$B$22*(F640/INDEX(Surface_Engine!$B$12:$B$72,$A640+1))),0)))+2*Assumptions!$B$27*(IF(C640&lt;=0,0,MAX(0,(B640/C640)*G640/INDEX(Surface_Engine!$B$12:$B$72,$A640+1)-F640/INDEX(Surface_Engine!$B$12:$B$72,$A640+1))))*(MAX(0,J640/INDEX(Surface_Engine!$B$12:$B$72,$A640+1)-(F640/INDEX(Surface_Engine!$B$12:$B$72,$A640+1))))+2*Assumptions!$B$28*(MAX(IF(D640&lt;=0,0,MAX(0,(B640/D640)*H640/INDEX(Surface_Engine!$B$12:$B$72,$A640+1)-F640/INDEX(Surface_Engine!$B$12:$B$72,$A640+1))),IF(E640&lt;=0,0,MAX(0,(B640/E640)*I640/INDEX(Surface_Engine!$B$12:$B$72,$A640+1)-F640/INDEX(Surface_Engine!$B$12:$B$72,$A640+1))),IF($A640&lt;$Q$636,MAX(0,-Assumptions!$B$22*(F640/INDEX(Surface_Engine!$B$12:$B$72,$A640+1))),0)))*(MAX(0,J640/INDEX(Surface_Engine!$B$12:$B$72,$A640+1)-(F640/INDEX(Surface_Engine!$B$12:$B$72,$A640+1)))))</f>
        <v>7260.60048957585</v>
      </c>
      <c r="L640" s="48" t="n">
        <f aca="false">K640*INDEX(Surface_Engine!$B$12:$B$72,$A640+1)+L641</f>
        <v>141044.705919995</v>
      </c>
      <c r="M640" s="48" t="n">
        <f aca="false">M639+B639*(IF($A639&lt;$Q$636,(Surface_Engine!L241*12)-(Surface_Engine!L241*12)*INDEX(Surface_Engine!$F$12:$F$72,$A639+1)-INDEX(Surface_Engine!$D$12:$D$72,$A639+1),-(1000*12*INDEX(Surface_Engine!$C$12:$C$72,$A639+1)/(1+Assumptions!$B$10)^20+INDEX(Surface_Engine!$D$12:$D$72,$A639+1))))*INDEX(Surface_Engine!$B$12:$B$72,$A639+1)</f>
        <v>2559.09462553183</v>
      </c>
      <c r="N640" s="12" t="n">
        <f aca="false">IF(B640&lt;=0,0,MAX(0,(K640+Assumptions!$B$29*L640/INDEX(Surface_Engine!$B$12:$B$72,$A640+1)-(M640/INDEX(Surface_Engine!$B$12:$B$72,$A640+1)-(F640/INDEX(Surface_Engine!$B$12:$B$72,$A640+1))))/B640))</f>
        <v>16113.6691536229</v>
      </c>
    </row>
    <row r="641" customFormat="false" ht="15" hidden="false" customHeight="true" outlineLevel="0" collapsed="false">
      <c r="A641" s="1" t="n">
        <v>3</v>
      </c>
      <c r="B641" s="32" t="n">
        <f aca="false">INDEX(Surface_Engine!$L$12:$L$72,$A641+1)*IF($A641&lt;$Q$636,INDEX(Surface_Engine!$E$12:$E$72,$A641+1),INDEX(Surface_Engine!$E$12:$E$72,$Q$636+1))</f>
        <v>0.910458495120298</v>
      </c>
      <c r="C641" s="32" t="n">
        <f aca="false">INDEX(Panel_Reserving!$D$8:$D$68,$A641+1)*IF($A641&lt;$Q$636,INDEX(Surface_Engine!$E$12:$E$72,$A641+1),INDEX(Surface_Engine!$E$12:$E$72,$Q$636+1))</f>
        <v>0.913572212390625</v>
      </c>
      <c r="D641" s="32" t="n">
        <f aca="false">INDEX(Surface_Engine!$L$12:$L$72,$A641+1)*IF($A641&lt;$Q$636,INDEX(Surface_Engine!$Y$12:$Y$72,$A641+1),INDEX(Surface_Engine!$Y$12:$Y$72,$Q$636+1))</f>
        <v>0.875370403952724</v>
      </c>
      <c r="E641" s="32" t="n">
        <f aca="false">INDEX(Surface_Engine!$L$12:$L$72,$A641+1)*IF($A641&lt;$Q$636,INDEX(Surface_Engine!$Z$12:$Z$72,$A641+1),INDEX(Surface_Engine!$Z$12:$Z$72,$Q$636+1))</f>
        <v>0.946369676313116</v>
      </c>
      <c r="F641" s="48" t="n">
        <f aca="false">B641*(IF($A641&lt;$Q$636,INDEX(Surface_Engine!$D$12:$D$72,$A641+1)+(Surface_Engine!L241*12)*INDEX(Surface_Engine!$F$12:$F$72,$A641+1)-(Surface_Engine!L241*12),1000*12*INDEX(Surface_Engine!$C$12:$C$72,$A641+1)/(1+Assumptions!$B$10)^20+INDEX(Surface_Engine!$D$12:$D$72,$A641+1)))*INDEX(Surface_Engine!$B$12:$B$72,$A641+1)+F642</f>
        <v>3908.43946974804</v>
      </c>
      <c r="G641" s="48" t="n">
        <f aca="false">C641*(IF($A641&lt;$Q$636,INDEX(Surface_Engine!$D$12:$D$72,$A641+1)+(Surface_Engine!L241*12)*INDEX(Surface_Engine!$F$12:$F$72,$A641+1)-(Surface_Engine!L241*12),1000*12*INDEX(Surface_Engine!$C$12:$C$72,$A641+1)/(1+Assumptions!$B$10)^20+INDEX(Surface_Engine!$D$12:$D$72,$A641+1)))*INDEX(Surface_Engine!$B$12:$B$72,$A641+1)+G642</f>
        <v>10117.8664057492</v>
      </c>
      <c r="H641" s="48" t="n">
        <f aca="false">D641*(IF($A641&lt;$Q$636,INDEX(Surface_Engine!$D$12:$D$72,$A641+1)+(Surface_Engine!L241*12)*INDEX(Surface_Engine!$F$12:$F$72,$A641+1)-(Surface_Engine!L241*12),1000*12*INDEX(Surface_Engine!$C$12:$C$72,$A641+1)/(1+Assumptions!$B$10)^20+INDEX(Surface_Engine!$D$12:$D$72,$A641+1)))*INDEX(Surface_Engine!$B$12:$B$72,$A641+1)+H642</f>
        <v>2257.60674200067</v>
      </c>
      <c r="I641" s="48" t="n">
        <f aca="false">E641*(IF($A641&lt;$Q$636,INDEX(Surface_Engine!$D$12:$D$72,$A641+1)+(Surface_Engine!L241*12)*INDEX(Surface_Engine!$F$12:$F$72,$A641+1)-(Surface_Engine!L241*12),1000*12*INDEX(Surface_Engine!$C$12:$C$72,$A641+1)/(1+Assumptions!$B$10)^20+INDEX(Surface_Engine!$D$12:$D$72,$A641+1)))*INDEX(Surface_Engine!$B$12:$B$72,$A641+1)+I642</f>
        <v>5848.97964228616</v>
      </c>
      <c r="J641" s="48" t="n">
        <f aca="false">B641*(IF($A641&lt;$Q$636,INDEX(Surface_Engine!$D$12:$D$72,$A641+1)*(1+Assumptions!$B$24)+(Surface_Engine!L241*12)*INDEX(Surface_Engine!$F$12:$F$72,$A641+1)-(Surface_Engine!L241*12),1000*12*INDEX(Surface_Engine!$C$12:$C$72,$A641+1)/(1+Assumptions!$B$10)^20+INDEX(Surface_Engine!$D$12:$D$72,$A641+1)*(1+Assumptions!$B$24)))*INDEX(Surface_Engine!$B$12:$B$72,$A641+1)+J642</f>
        <v>4045.05498197649</v>
      </c>
      <c r="K641" s="12" t="n">
        <f aca="false">SQRT((IF(C641&lt;=0,0,MAX(0,(B641/C641)*G641/INDEX(Surface_Engine!$B$12:$B$72,$A641+1)-F641/INDEX(Surface_Engine!$B$12:$B$72,$A641+1))))^2+(MAX(IF(D641&lt;=0,0,MAX(0,(B641/D641)*H641/INDEX(Surface_Engine!$B$12:$B$72,$A641+1)-F641/INDEX(Surface_Engine!$B$12:$B$72,$A641+1))),IF(E641&lt;=0,0,MAX(0,(B641/E641)*I641/INDEX(Surface_Engine!$B$12:$B$72,$A641+1)-F641/INDEX(Surface_Engine!$B$12:$B$72,$A641+1))),IF($A641&lt;$Q$636,MAX(0,-Assumptions!$B$22*(F641/INDEX(Surface_Engine!$B$12:$B$72,$A641+1))),0)))^2+(MAX(0,J641/INDEX(Surface_Engine!$B$12:$B$72,$A641+1)-(F641/INDEX(Surface_Engine!$B$12:$B$72,$A641+1))))^2+2*Assumptions!$B$26*(IF(C641&lt;=0,0,MAX(0,(B641/C641)*G641/INDEX(Surface_Engine!$B$12:$B$72,$A641+1)-F641/INDEX(Surface_Engine!$B$12:$B$72,$A641+1))))*(MAX(IF(D641&lt;=0,0,MAX(0,(B641/D641)*H641/INDEX(Surface_Engine!$B$12:$B$72,$A641+1)-F641/INDEX(Surface_Engine!$B$12:$B$72,$A641+1))),IF(E641&lt;=0,0,MAX(0,(B641/E641)*I641/INDEX(Surface_Engine!$B$12:$B$72,$A641+1)-F641/INDEX(Surface_Engine!$B$12:$B$72,$A641+1))),IF($A641&lt;$Q$636,MAX(0,-Assumptions!$B$22*(F641/INDEX(Surface_Engine!$B$12:$B$72,$A641+1))),0)))+2*Assumptions!$B$27*(IF(C641&lt;=0,0,MAX(0,(B641/C641)*G641/INDEX(Surface_Engine!$B$12:$B$72,$A641+1)-F641/INDEX(Surface_Engine!$B$12:$B$72,$A641+1))))*(MAX(0,J641/INDEX(Surface_Engine!$B$12:$B$72,$A641+1)-(F641/INDEX(Surface_Engine!$B$12:$B$72,$A641+1))))+2*Assumptions!$B$28*(MAX(IF(D641&lt;=0,0,MAX(0,(B641/D641)*H641/INDEX(Surface_Engine!$B$12:$B$72,$A641+1)-F641/INDEX(Surface_Engine!$B$12:$B$72,$A641+1))),IF(E641&lt;=0,0,MAX(0,(B641/E641)*I641/INDEX(Surface_Engine!$B$12:$B$72,$A641+1)-F641/INDEX(Surface_Engine!$B$12:$B$72,$A641+1))),IF($A641&lt;$Q$636,MAX(0,-Assumptions!$B$22*(F641/INDEX(Surface_Engine!$B$12:$B$72,$A641+1))),0)))*(MAX(0,J641/INDEX(Surface_Engine!$B$12:$B$72,$A641+1)-(F641/INDEX(Surface_Engine!$B$12:$B$72,$A641+1)))))</f>
        <v>7414.72522425483</v>
      </c>
      <c r="L641" s="48" t="n">
        <f aca="false">K641*INDEX(Surface_Engine!$B$12:$B$72,$A641+1)+L642</f>
        <v>134150.920888925</v>
      </c>
      <c r="M641" s="48" t="n">
        <f aca="false">M640+B640*(IF($A640&lt;$Q$636,(Surface_Engine!L241*12)-(Surface_Engine!L241*12)*INDEX(Surface_Engine!$F$12:$F$72,$A640+1)-INDEX(Surface_Engine!$D$12:$D$72,$A640+1),-(1000*12*INDEX(Surface_Engine!$C$12:$C$72,$A640+1)/(1+Assumptions!$B$10)^20+INDEX(Surface_Engine!$D$12:$D$72,$A640+1))))*INDEX(Surface_Engine!$B$12:$B$72,$A640+1)</f>
        <v>5059.97817091612</v>
      </c>
      <c r="N641" s="12" t="n">
        <f aca="false">IF(B641&lt;=0,0,MAX(0,(K641+Assumptions!$B$29*L641/INDEX(Surface_Engine!$B$12:$B$72,$A641+1)-(M641/INDEX(Surface_Engine!$B$12:$B$72,$A641+1)-(F641/INDEX(Surface_Engine!$B$12:$B$72,$A641+1))))/B641))</f>
        <v>16331.9762257995</v>
      </c>
    </row>
    <row r="642" customFormat="false" ht="15" hidden="false" customHeight="true" outlineLevel="0" collapsed="false">
      <c r="A642" s="1" t="n">
        <v>4</v>
      </c>
      <c r="B642" s="32" t="n">
        <f aca="false">INDEX(Surface_Engine!$L$12:$L$72,$A642+1)*IF($A642&lt;$Q$636,INDEX(Surface_Engine!$E$12:$E$72,$A642+1),INDEX(Surface_Engine!$E$12:$E$72,$Q$636+1))</f>
        <v>0.89228176534528</v>
      </c>
      <c r="C642" s="32" t="n">
        <f aca="false">INDEX(Panel_Reserving!$D$8:$D$68,$A642+1)*IF($A642&lt;$Q$636,INDEX(Surface_Engine!$E$12:$E$72,$A642+1),INDEX(Surface_Engine!$E$12:$E$72,$Q$636+1))</f>
        <v>0.896550995764067</v>
      </c>
      <c r="D642" s="32" t="n">
        <f aca="false">INDEX(Surface_Engine!$L$12:$L$72,$A642+1)*IF($A642&lt;$Q$636,INDEX(Surface_Engine!$Y$12:$Y$72,$A642+1),INDEX(Surface_Engine!$Y$12:$Y$72,$Q$636+1))</f>
        <v>0.852112290247146</v>
      </c>
      <c r="E642" s="32" t="n">
        <f aca="false">INDEX(Surface_Engine!$L$12:$L$72,$A642+1)*IF($A642&lt;$Q$636,INDEX(Surface_Engine!$Z$12:$Z$72,$A642+1),INDEX(Surface_Engine!$Z$12:$Z$72,$Q$636+1))</f>
        <v>0.933726854193489</v>
      </c>
      <c r="F642" s="48" t="n">
        <f aca="false">B642*(IF($A642&lt;$Q$636,INDEX(Surface_Engine!$D$12:$D$72,$A642+1)+(Surface_Engine!L241*12)*INDEX(Surface_Engine!$F$12:$F$72,$A642+1)-(Surface_Engine!L241*12),1000*12*INDEX(Surface_Engine!$C$12:$C$72,$A642+1)/(1+Assumptions!$B$10)^20+INDEX(Surface_Engine!$D$12:$D$72,$A642+1)))*INDEX(Surface_Engine!$B$12:$B$72,$A642+1)+F643</f>
        <v>6296.42863850327</v>
      </c>
      <c r="G642" s="48" t="n">
        <f aca="false">C642*(IF($A642&lt;$Q$636,INDEX(Surface_Engine!$D$12:$D$72,$A642+1)+(Surface_Engine!L241*12)*INDEX(Surface_Engine!$F$12:$F$72,$A642+1)-(Surface_Engine!L241*12),1000*12*INDEX(Surface_Engine!$C$12:$C$72,$A642+1)/(1+Assumptions!$B$10)^20+INDEX(Surface_Engine!$D$12:$D$72,$A642+1)))*INDEX(Surface_Engine!$B$12:$B$72,$A642+1)+G643</f>
        <v>12514.0223642658</v>
      </c>
      <c r="H642" s="48" t="n">
        <f aca="false">D642*(IF($A642&lt;$Q$636,INDEX(Surface_Engine!$D$12:$D$72,$A642+1)+(Surface_Engine!L241*12)*INDEX(Surface_Engine!$F$12:$F$72,$A642+1)-(Surface_Engine!L241*12),1000*12*INDEX(Surface_Engine!$C$12:$C$72,$A642+1)/(1+Assumptions!$B$10)^20+INDEX(Surface_Engine!$D$12:$D$72,$A642+1)))*INDEX(Surface_Engine!$B$12:$B$72,$A642+1)+H643</f>
        <v>4553.5653765695</v>
      </c>
      <c r="I642" s="48" t="n">
        <f aca="false">E642*(IF($A642&lt;$Q$636,INDEX(Surface_Engine!$D$12:$D$72,$A642+1)+(Surface_Engine!L241*12)*INDEX(Surface_Engine!$F$12:$F$72,$A642+1)-(Surface_Engine!L241*12),1000*12*INDEX(Surface_Engine!$C$12:$C$72,$A642+1)/(1+Assumptions!$B$10)^20+INDEX(Surface_Engine!$D$12:$D$72,$A642+1)))*INDEX(Surface_Engine!$B$12:$B$72,$A642+1)+I643</f>
        <v>8331.15818066699</v>
      </c>
      <c r="J642" s="48" t="n">
        <f aca="false">B642*(IF($A642&lt;$Q$636,INDEX(Surface_Engine!$D$12:$D$72,$A642+1)*(1+Assumptions!$B$24)+(Surface_Engine!L241*12)*INDEX(Surface_Engine!$F$12:$F$72,$A642+1)-(Surface_Engine!L241*12),1000*12*INDEX(Surface_Engine!$C$12:$C$72,$A642+1)/(1+Assumptions!$B$10)^20+INDEX(Surface_Engine!$D$12:$D$72,$A642+1)*(1+Assumptions!$B$24)))*INDEX(Surface_Engine!$B$12:$B$72,$A642+1)+J643</f>
        <v>6425.60542089122</v>
      </c>
      <c r="K642" s="12" t="n">
        <f aca="false">SQRT((IF(C642&lt;=0,0,MAX(0,(B642/C642)*G642/INDEX(Surface_Engine!$B$12:$B$72,$A642+1)-F642/INDEX(Surface_Engine!$B$12:$B$72,$A642+1))))^2+(MAX(IF(D642&lt;=0,0,MAX(0,(B642/D642)*H642/INDEX(Surface_Engine!$B$12:$B$72,$A642+1)-F642/INDEX(Surface_Engine!$B$12:$B$72,$A642+1))),IF(E642&lt;=0,0,MAX(0,(B642/E642)*I642/INDEX(Surface_Engine!$B$12:$B$72,$A642+1)-F642/INDEX(Surface_Engine!$B$12:$B$72,$A642+1))),IF($A642&lt;$Q$636,MAX(0,-Assumptions!$B$22*(F642/INDEX(Surface_Engine!$B$12:$B$72,$A642+1))),0)))^2+(MAX(0,J642/INDEX(Surface_Engine!$B$12:$B$72,$A642+1)-(F642/INDEX(Surface_Engine!$B$12:$B$72,$A642+1))))^2+2*Assumptions!$B$26*(IF(C642&lt;=0,0,MAX(0,(B642/C642)*G642/INDEX(Surface_Engine!$B$12:$B$72,$A642+1)-F642/INDEX(Surface_Engine!$B$12:$B$72,$A642+1))))*(MAX(IF(D642&lt;=0,0,MAX(0,(B642/D642)*H642/INDEX(Surface_Engine!$B$12:$B$72,$A642+1)-F642/INDEX(Surface_Engine!$B$12:$B$72,$A642+1))),IF(E642&lt;=0,0,MAX(0,(B642/E642)*I642/INDEX(Surface_Engine!$B$12:$B$72,$A642+1)-F642/INDEX(Surface_Engine!$B$12:$B$72,$A642+1))),IF($A642&lt;$Q$636,MAX(0,-Assumptions!$B$22*(F642/INDEX(Surface_Engine!$B$12:$B$72,$A642+1))),0)))+2*Assumptions!$B$27*(IF(C642&lt;=0,0,MAX(0,(B642/C642)*G642/INDEX(Surface_Engine!$B$12:$B$72,$A642+1)-F642/INDEX(Surface_Engine!$B$12:$B$72,$A642+1))))*(MAX(0,J642/INDEX(Surface_Engine!$B$12:$B$72,$A642+1)-(F642/INDEX(Surface_Engine!$B$12:$B$72,$A642+1))))+2*Assumptions!$B$28*(MAX(IF(D642&lt;=0,0,MAX(0,(B642/D642)*H642/INDEX(Surface_Engine!$B$12:$B$72,$A642+1)-F642/INDEX(Surface_Engine!$B$12:$B$72,$A642+1))),IF(E642&lt;=0,0,MAX(0,(B642/E642)*I642/INDEX(Surface_Engine!$B$12:$B$72,$A642+1)-F642/INDEX(Surface_Engine!$B$12:$B$72,$A642+1))),IF($A642&lt;$Q$636,MAX(0,-Assumptions!$B$22*(F642/INDEX(Surface_Engine!$B$12:$B$72,$A642+1))),0)))*(MAX(0,J642/INDEX(Surface_Engine!$B$12:$B$72,$A642+1)-(F642/INDEX(Surface_Engine!$B$12:$B$72,$A642+1)))))</f>
        <v>7562.86621983469</v>
      </c>
      <c r="L642" s="48" t="n">
        <f aca="false">K642*INDEX(Surface_Engine!$B$12:$B$72,$A642+1)+L643</f>
        <v>127290.539710289</v>
      </c>
      <c r="M642" s="48" t="n">
        <f aca="false">M641+B641*(IF($A641&lt;$Q$636,(Surface_Engine!L241*12)-(Surface_Engine!L241*12)*INDEX(Surface_Engine!$F$12:$F$72,$A641+1)-INDEX(Surface_Engine!$D$12:$D$72,$A641+1),-(1000*12*INDEX(Surface_Engine!$C$12:$C$72,$A641+1)/(1+Assumptions!$B$10)^20+INDEX(Surface_Engine!$D$12:$D$72,$A641+1))))*INDEX(Surface_Engine!$B$12:$B$72,$A641+1)</f>
        <v>7447.96733967134</v>
      </c>
      <c r="N642" s="12" t="n">
        <f aca="false">IF(B642&lt;=0,0,MAX(0,(K642+Assumptions!$B$29*L642/INDEX(Surface_Engine!$B$12:$B$72,$A642+1)-(M642/INDEX(Surface_Engine!$B$12:$B$72,$A642+1)-(F642/INDEX(Surface_Engine!$B$12:$B$72,$A642+1))))/B642))</f>
        <v>16542.0293770565</v>
      </c>
    </row>
    <row r="643" customFormat="false" ht="15" hidden="false" customHeight="true" outlineLevel="0" collapsed="false">
      <c r="A643" s="1" t="n">
        <v>5</v>
      </c>
      <c r="B643" s="32" t="n">
        <f aca="false">INDEX(Surface_Engine!$L$12:$L$72,$A643+1)*IF($A643&lt;$Q$636,INDEX(Surface_Engine!$E$12:$E$72,$A643+1),INDEX(Surface_Engine!$E$12:$E$72,$Q$636+1))</f>
        <v>0.873874922230056</v>
      </c>
      <c r="C643" s="32" t="n">
        <f aca="false">INDEX(Panel_Reserving!$D$8:$D$68,$A643+1)*IF($A643&lt;$Q$636,INDEX(Surface_Engine!$E$12:$E$72,$A643+1),INDEX(Surface_Engine!$E$12:$E$72,$Q$636+1))</f>
        <v>0.879370239802948</v>
      </c>
      <c r="D643" s="32" t="n">
        <f aca="false">INDEX(Surface_Engine!$L$12:$L$72,$A643+1)*IF($A643&lt;$Q$636,INDEX(Surface_Engine!$Y$12:$Y$72,$A643+1),INDEX(Surface_Engine!$Y$12:$Y$72,$Q$636+1))</f>
        <v>0.828909644494902</v>
      </c>
      <c r="E643" s="32" t="n">
        <f aca="false">INDEX(Surface_Engine!$L$12:$L$72,$A643+1)*IF($A643&lt;$Q$636,INDEX(Surface_Engine!$Z$12:$Z$72,$A643+1),INDEX(Surface_Engine!$Z$12:$Z$72,$Q$636+1))</f>
        <v>0.920628204670913</v>
      </c>
      <c r="F643" s="48" t="n">
        <f aca="false">B643*(IF($A643&lt;$Q$636,INDEX(Surface_Engine!$D$12:$D$72,$A643+1)+(Surface_Engine!L241*12)*INDEX(Surface_Engine!$F$12:$F$72,$A643+1)-(Surface_Engine!L241*12),1000*12*INDEX(Surface_Engine!$C$12:$C$72,$A643+1)/(1+Assumptions!$B$10)^20+INDEX(Surface_Engine!$D$12:$D$72,$A643+1)))*INDEX(Surface_Engine!$B$12:$B$72,$A643+1)+F644</f>
        <v>8574.0619989904</v>
      </c>
      <c r="G643" s="48" t="n">
        <f aca="false">C643*(IF($A643&lt;$Q$636,INDEX(Surface_Engine!$D$12:$D$72,$A643+1)+(Surface_Engine!L241*12)*INDEX(Surface_Engine!$F$12:$F$72,$A643+1)-(Surface_Engine!L241*12),1000*12*INDEX(Surface_Engine!$C$12:$C$72,$A643+1)/(1+Assumptions!$B$10)^20+INDEX(Surface_Engine!$D$12:$D$72,$A643+1)))*INDEX(Surface_Engine!$B$12:$B$72,$A643+1)+G644</f>
        <v>14802.553338044</v>
      </c>
      <c r="H643" s="48" t="n">
        <f aca="false">D643*(IF($A643&lt;$Q$636,INDEX(Surface_Engine!$D$12:$D$72,$A643+1)+(Surface_Engine!L241*12)*INDEX(Surface_Engine!$F$12:$F$72,$A643+1)-(Surface_Engine!L241*12),1000*12*INDEX(Surface_Engine!$C$12:$C$72,$A643+1)/(1+Assumptions!$B$10)^20+INDEX(Surface_Engine!$D$12:$D$72,$A643+1)))*INDEX(Surface_Engine!$B$12:$B$72,$A643+1)+H644</f>
        <v>6728.66236333464</v>
      </c>
      <c r="I643" s="48" t="n">
        <f aca="false">E643*(IF($A643&lt;$Q$636,INDEX(Surface_Engine!$D$12:$D$72,$A643+1)+(Surface_Engine!L241*12)*INDEX(Surface_Engine!$F$12:$F$72,$A643+1)-(Surface_Engine!L241*12),1000*12*INDEX(Surface_Engine!$C$12:$C$72,$A643+1)/(1+Assumptions!$B$10)^20+INDEX(Surface_Engine!$D$12:$D$72,$A643+1)))*INDEX(Surface_Engine!$B$12:$B$72,$A643+1)+I644</f>
        <v>10714.5840392811</v>
      </c>
      <c r="J643" s="48" t="n">
        <f aca="false">B643*(IF($A643&lt;$Q$636,INDEX(Surface_Engine!$D$12:$D$72,$A643+1)*(1+Assumptions!$B$24)+(Surface_Engine!L241*12)*INDEX(Surface_Engine!$F$12:$F$72,$A643+1)-(Surface_Engine!L241*12),1000*12*INDEX(Surface_Engine!$C$12:$C$72,$A643+1)/(1+Assumptions!$B$10)^20+INDEX(Surface_Engine!$D$12:$D$72,$A643+1)*(1+Assumptions!$B$24)))*INDEX(Surface_Engine!$B$12:$B$72,$A643+1)+J644</f>
        <v>8695.96077453705</v>
      </c>
      <c r="K643" s="12" t="n">
        <f aca="false">SQRT((IF(C643&lt;=0,0,MAX(0,(B643/C643)*G643/INDEX(Surface_Engine!$B$12:$B$72,$A643+1)-F643/INDEX(Surface_Engine!$B$12:$B$72,$A643+1))))^2+(MAX(IF(D643&lt;=0,0,MAX(0,(B643/D643)*H643/INDEX(Surface_Engine!$B$12:$B$72,$A643+1)-F643/INDEX(Surface_Engine!$B$12:$B$72,$A643+1))),IF(E643&lt;=0,0,MAX(0,(B643/E643)*I643/INDEX(Surface_Engine!$B$12:$B$72,$A643+1)-F643/INDEX(Surface_Engine!$B$12:$B$72,$A643+1))),IF($A643&lt;$Q$636,MAX(0,-Assumptions!$B$22*(F643/INDEX(Surface_Engine!$B$12:$B$72,$A643+1))),0)))^2+(MAX(0,J643/INDEX(Surface_Engine!$B$12:$B$72,$A643+1)-(F643/INDEX(Surface_Engine!$B$12:$B$72,$A643+1))))^2+2*Assumptions!$B$26*(IF(C643&lt;=0,0,MAX(0,(B643/C643)*G643/INDEX(Surface_Engine!$B$12:$B$72,$A643+1)-F643/INDEX(Surface_Engine!$B$12:$B$72,$A643+1))))*(MAX(IF(D643&lt;=0,0,MAX(0,(B643/D643)*H643/INDEX(Surface_Engine!$B$12:$B$72,$A643+1)-F643/INDEX(Surface_Engine!$B$12:$B$72,$A643+1))),IF(E643&lt;=0,0,MAX(0,(B643/E643)*I643/INDEX(Surface_Engine!$B$12:$B$72,$A643+1)-F643/INDEX(Surface_Engine!$B$12:$B$72,$A643+1))),IF($A643&lt;$Q$636,MAX(0,-Assumptions!$B$22*(F643/INDEX(Surface_Engine!$B$12:$B$72,$A643+1))),0)))+2*Assumptions!$B$27*(IF(C643&lt;=0,0,MAX(0,(B643/C643)*G643/INDEX(Surface_Engine!$B$12:$B$72,$A643+1)-F643/INDEX(Surface_Engine!$B$12:$B$72,$A643+1))))*(MAX(0,J643/INDEX(Surface_Engine!$B$12:$B$72,$A643+1)-(F643/INDEX(Surface_Engine!$B$12:$B$72,$A643+1))))+2*Assumptions!$B$28*(MAX(IF(D643&lt;=0,0,MAX(0,(B643/D643)*H643/INDEX(Surface_Engine!$B$12:$B$72,$A643+1)-F643/INDEX(Surface_Engine!$B$12:$B$72,$A643+1))),IF(E643&lt;=0,0,MAX(0,(B643/E643)*I643/INDEX(Surface_Engine!$B$12:$B$72,$A643+1)-F643/INDEX(Surface_Engine!$B$12:$B$72,$A643+1))),IF($A643&lt;$Q$636,MAX(0,-Assumptions!$B$22*(F643/INDEX(Surface_Engine!$B$12:$B$72,$A643+1))),0)))*(MAX(0,J643/INDEX(Surface_Engine!$B$12:$B$72,$A643+1)-(F643/INDEX(Surface_Engine!$B$12:$B$72,$A643+1)))))</f>
        <v>7710.09252458432</v>
      </c>
      <c r="L643" s="48" t="n">
        <f aca="false">K643*INDEX(Surface_Engine!$B$12:$B$72,$A643+1)+L644</f>
        <v>120475.199407001</v>
      </c>
      <c r="M643" s="48" t="n">
        <f aca="false">M642+B642*(IF($A642&lt;$Q$636,(Surface_Engine!L241*12)-(Surface_Engine!L241*12)*INDEX(Surface_Engine!$F$12:$F$72,$A642+1)-INDEX(Surface_Engine!$D$12:$D$72,$A642+1),-(1000*12*INDEX(Surface_Engine!$C$12:$C$72,$A642+1)/(1+Assumptions!$B$10)^20+INDEX(Surface_Engine!$D$12:$D$72,$A642+1))))*INDEX(Surface_Engine!$B$12:$B$72,$A642+1)</f>
        <v>9725.60070015848</v>
      </c>
      <c r="N643" s="12" t="n">
        <f aca="false">IF(B643&lt;=0,0,MAX(0,(K643+Assumptions!$B$29*L643/INDEX(Surface_Engine!$B$12:$B$72,$A643+1)-(M643/INDEX(Surface_Engine!$B$12:$B$72,$A643+1)-(F643/INDEX(Surface_Engine!$B$12:$B$72,$A643+1))))/B643))</f>
        <v>16755.8286546879</v>
      </c>
    </row>
    <row r="644" customFormat="false" ht="15" hidden="false" customHeight="true" outlineLevel="0" collapsed="false">
      <c r="A644" s="1" t="n">
        <v>6</v>
      </c>
      <c r="B644" s="32" t="n">
        <f aca="false">INDEX(Surface_Engine!$L$12:$L$72,$A644+1)*IF($A644&lt;$Q$636,INDEX(Surface_Engine!$E$12:$E$72,$A644+1),INDEX(Surface_Engine!$E$12:$E$72,$Q$636+1))</f>
        <v>0.858567656672851</v>
      </c>
      <c r="C644" s="32" t="n">
        <f aca="false">INDEX(Panel_Reserving!$D$8:$D$68,$A644+1)*IF($A644&lt;$Q$636,INDEX(Surface_Engine!$E$12:$E$72,$A644+1),INDEX(Surface_Engine!$E$12:$E$72,$Q$636+1))</f>
        <v>0.86544696635803</v>
      </c>
      <c r="D644" s="32" t="n">
        <f aca="false">INDEX(Surface_Engine!$L$12:$L$72,$A644+1)*IF($A644&lt;$Q$636,INDEX(Surface_Engine!$Y$12:$Y$72,$A644+1),INDEX(Surface_Engine!$Y$12:$Y$72,$Q$636+1))</f>
        <v>0.810650510995486</v>
      </c>
      <c r="E644" s="32" t="n">
        <f aca="false">INDEX(Surface_Engine!$L$12:$L$72,$A644+1)*IF($A644&lt;$Q$636,INDEX(Surface_Engine!$Z$12:$Z$72,$A644+1),INDEX(Surface_Engine!$Z$12:$Z$72,$Q$636+1))</f>
        <v>0.908655262205364</v>
      </c>
      <c r="F644" s="48" t="n">
        <f aca="false">B644*(IF($A644&lt;$Q$636,INDEX(Surface_Engine!$D$12:$D$72,$A644+1)+(Surface_Engine!L241*12)*INDEX(Surface_Engine!$F$12:$F$72,$A644+1)-(Surface_Engine!L241*12),1000*12*INDEX(Surface_Engine!$C$12:$C$72,$A644+1)/(1+Assumptions!$B$10)^20+INDEX(Surface_Engine!$D$12:$D$72,$A644+1)))*INDEX(Surface_Engine!$B$12:$B$72,$A644+1)+F645</f>
        <v>10742.19644217</v>
      </c>
      <c r="G644" s="48" t="n">
        <f aca="false">C644*(IF($A644&lt;$Q$636,INDEX(Surface_Engine!$D$12:$D$72,$A644+1)+(Surface_Engine!L241*12)*INDEX(Surface_Engine!$F$12:$F$72,$A644+1)-(Surface_Engine!L241*12),1000*12*INDEX(Surface_Engine!$C$12:$C$72,$A644+1)/(1+Assumptions!$B$10)^20+INDEX(Surface_Engine!$D$12:$D$72,$A644+1)))*INDEX(Surface_Engine!$B$12:$B$72,$A644+1)+G645</f>
        <v>16984.3219833307</v>
      </c>
      <c r="H644" s="48" t="n">
        <f aca="false">D644*(IF($A644&lt;$Q$636,INDEX(Surface_Engine!$D$12:$D$72,$A644+1)+(Surface_Engine!L241*12)*INDEX(Surface_Engine!$F$12:$F$72,$A644+1)-(Surface_Engine!L241*12),1000*12*INDEX(Surface_Engine!$C$12:$C$72,$A644+1)/(1+Assumptions!$B$10)^20+INDEX(Surface_Engine!$D$12:$D$72,$A644+1)))*INDEX(Surface_Engine!$B$12:$B$72,$A644+1)+H645</f>
        <v>8785.23534053704</v>
      </c>
      <c r="I644" s="48" t="n">
        <f aca="false">E644*(IF($A644&lt;$Q$636,INDEX(Surface_Engine!$D$12:$D$72,$A644+1)+(Surface_Engine!L241*12)*INDEX(Surface_Engine!$F$12:$F$72,$A644+1)-(Surface_Engine!L241*12),1000*12*INDEX(Surface_Engine!$C$12:$C$72,$A644+1)/(1+Assumptions!$B$10)^20+INDEX(Surface_Engine!$D$12:$D$72,$A644+1)))*INDEX(Surface_Engine!$B$12:$B$72,$A644+1)+I645</f>
        <v>12998.7160919734</v>
      </c>
      <c r="J644" s="48" t="n">
        <f aca="false">B644*(IF($A644&lt;$Q$636,INDEX(Surface_Engine!$D$12:$D$72,$A644+1)*(1+Assumptions!$B$24)+(Surface_Engine!L241*12)*INDEX(Surface_Engine!$F$12:$F$72,$A644+1)-(Surface_Engine!L241*12),1000*12*INDEX(Surface_Engine!$C$12:$C$72,$A644+1)/(1+Assumptions!$B$10)^20+INDEX(Surface_Engine!$D$12:$D$72,$A644+1)*(1+Assumptions!$B$24)))*INDEX(Surface_Engine!$B$12:$B$72,$A644+1)+J645</f>
        <v>10856.9882262197</v>
      </c>
      <c r="K644" s="12" t="n">
        <f aca="false">SQRT((IF(C644&lt;=0,0,MAX(0,(B644/C644)*G644/INDEX(Surface_Engine!$B$12:$B$72,$A644+1)-F644/INDEX(Surface_Engine!$B$12:$B$72,$A644+1))))^2+(MAX(IF(D644&lt;=0,0,MAX(0,(B644/D644)*H644/INDEX(Surface_Engine!$B$12:$B$72,$A644+1)-F644/INDEX(Surface_Engine!$B$12:$B$72,$A644+1))),IF(E644&lt;=0,0,MAX(0,(B644/E644)*I644/INDEX(Surface_Engine!$B$12:$B$72,$A644+1)-F644/INDEX(Surface_Engine!$B$12:$B$72,$A644+1))),IF($A644&lt;$Q$636,MAX(0,-Assumptions!$B$22*(F644/INDEX(Surface_Engine!$B$12:$B$72,$A644+1))),0)))^2+(MAX(0,J644/INDEX(Surface_Engine!$B$12:$B$72,$A644+1)-(F644/INDEX(Surface_Engine!$B$12:$B$72,$A644+1))))^2+2*Assumptions!$B$26*(IF(C644&lt;=0,0,MAX(0,(B644/C644)*G644/INDEX(Surface_Engine!$B$12:$B$72,$A644+1)-F644/INDEX(Surface_Engine!$B$12:$B$72,$A644+1))))*(MAX(IF(D644&lt;=0,0,MAX(0,(B644/D644)*H644/INDEX(Surface_Engine!$B$12:$B$72,$A644+1)-F644/INDEX(Surface_Engine!$B$12:$B$72,$A644+1))),IF(E644&lt;=0,0,MAX(0,(B644/E644)*I644/INDEX(Surface_Engine!$B$12:$B$72,$A644+1)-F644/INDEX(Surface_Engine!$B$12:$B$72,$A644+1))),IF($A644&lt;$Q$636,MAX(0,-Assumptions!$B$22*(F644/INDEX(Surface_Engine!$B$12:$B$72,$A644+1))),0)))+2*Assumptions!$B$27*(IF(C644&lt;=0,0,MAX(0,(B644/C644)*G644/INDEX(Surface_Engine!$B$12:$B$72,$A644+1)-F644/INDEX(Surface_Engine!$B$12:$B$72,$A644+1))))*(MAX(0,J644/INDEX(Surface_Engine!$B$12:$B$72,$A644+1)-(F644/INDEX(Surface_Engine!$B$12:$B$72,$A644+1))))+2*Assumptions!$B$28*(MAX(IF(D644&lt;=0,0,MAX(0,(B644/D644)*H644/INDEX(Surface_Engine!$B$12:$B$72,$A644+1)-F644/INDEX(Surface_Engine!$B$12:$B$72,$A644+1))),IF(E644&lt;=0,0,MAX(0,(B644/E644)*I644/INDEX(Surface_Engine!$B$12:$B$72,$A644+1)-F644/INDEX(Surface_Engine!$B$12:$B$72,$A644+1))),IF($A644&lt;$Q$636,MAX(0,-Assumptions!$B$22*(F644/INDEX(Surface_Engine!$B$12:$B$72,$A644+1))),0)))*(MAX(0,J644/INDEX(Surface_Engine!$B$12:$B$72,$A644+1)-(F644/INDEX(Surface_Engine!$B$12:$B$72,$A644+1)))))</f>
        <v>7865.98962632258</v>
      </c>
      <c r="L644" s="48" t="n">
        <f aca="false">K644*INDEX(Surface_Engine!$B$12:$B$72,$A644+1)+L645</f>
        <v>113716.503140712</v>
      </c>
      <c r="M644" s="48" t="n">
        <f aca="false">M643+B643*(IF($A643&lt;$Q$636,(Surface_Engine!L241*12)-(Surface_Engine!L241*12)*INDEX(Surface_Engine!$F$12:$F$72,$A643+1)-INDEX(Surface_Engine!$D$12:$D$72,$A643+1),-(1000*12*INDEX(Surface_Engine!$C$12:$C$72,$A643+1)/(1+Assumptions!$B$10)^20+INDEX(Surface_Engine!$D$12:$D$72,$A643+1))))*INDEX(Surface_Engine!$B$12:$B$72,$A643+1)</f>
        <v>11893.7351433381</v>
      </c>
      <c r="N644" s="12" t="n">
        <f aca="false">IF(B644&lt;=0,0,MAX(0,(K644+Assumptions!$B$29*L644/INDEX(Surface_Engine!$B$12:$B$72,$A644+1)-(M644/INDEX(Surface_Engine!$B$12:$B$72,$A644+1)-(F644/INDEX(Surface_Engine!$B$12:$B$72,$A644+1))))/B644))</f>
        <v>16915.2014703269</v>
      </c>
    </row>
    <row r="645" customFormat="false" ht="15" hidden="false" customHeight="true" outlineLevel="0" collapsed="false">
      <c r="A645" s="1" t="n">
        <v>7</v>
      </c>
      <c r="B645" s="32" t="n">
        <f aca="false">INDEX(Surface_Engine!$L$12:$L$72,$A645+1)*IF($A645&lt;$Q$636,INDEX(Surface_Engine!$E$12:$E$72,$A645+1),INDEX(Surface_Engine!$E$12:$E$72,$Q$636+1))</f>
        <v>0.84276021626017</v>
      </c>
      <c r="C645" s="32" t="n">
        <f aca="false">INDEX(Panel_Reserving!$D$8:$D$68,$A645+1)*IF($A645&lt;$Q$636,INDEX(Surface_Engine!$E$12:$E$72,$A645+1),INDEX(Surface_Engine!$E$12:$E$72,$Q$636+1))</f>
        <v>0.851124574320869</v>
      </c>
      <c r="D645" s="32" t="n">
        <f aca="false">INDEX(Surface_Engine!$L$12:$L$72,$A645+1)*IF($A645&lt;$Q$636,INDEX(Surface_Engine!$Y$12:$Y$72,$A645+1),INDEX(Surface_Engine!$Y$12:$Y$72,$Q$636+1))</f>
        <v>0.792071493098381</v>
      </c>
      <c r="E645" s="32" t="n">
        <f aca="false">INDEX(Surface_Engine!$L$12:$L$72,$A645+1)*IF($A645&lt;$Q$636,INDEX(Surface_Engine!$Z$12:$Z$72,$A645+1),INDEX(Surface_Engine!$Z$12:$Z$72,$Q$636+1))</f>
        <v>0.896021169380392</v>
      </c>
      <c r="F645" s="48" t="n">
        <f aca="false">B645*(IF($A645&lt;$Q$636,INDEX(Surface_Engine!$D$12:$D$72,$A645+1)+(Surface_Engine!L241*12)*INDEX(Surface_Engine!$F$12:$F$72,$A645+1)-(Surface_Engine!L241*12),1000*12*INDEX(Surface_Engine!$C$12:$C$72,$A645+1)/(1+Assumptions!$B$10)^20+INDEX(Surface_Engine!$D$12:$D$72,$A645+1)))*INDEX(Surface_Engine!$B$12:$B$72,$A645+1)+F646</f>
        <v>12810.7995885465</v>
      </c>
      <c r="G645" s="48" t="n">
        <f aca="false">C645*(IF($A645&lt;$Q$636,INDEX(Surface_Engine!$D$12:$D$72,$A645+1)+(Surface_Engine!L241*12)*INDEX(Surface_Engine!$F$12:$F$72,$A645+1)-(Surface_Engine!L241*12),1000*12*INDEX(Surface_Engine!$C$12:$C$72,$A645+1)/(1+Assumptions!$B$10)^20+INDEX(Surface_Engine!$D$12:$D$72,$A645+1)))*INDEX(Surface_Engine!$B$12:$B$72,$A645+1)+G646</f>
        <v>19069.4998999644</v>
      </c>
      <c r="H645" s="48" t="n">
        <f aca="false">D645*(IF($A645&lt;$Q$636,INDEX(Surface_Engine!$D$12:$D$72,$A645+1)+(Surface_Engine!L241*12)*INDEX(Surface_Engine!$F$12:$F$72,$A645+1)-(Surface_Engine!L241*12),1000*12*INDEX(Surface_Engine!$C$12:$C$72,$A645+1)/(1+Assumptions!$B$10)^20+INDEX(Surface_Engine!$D$12:$D$72,$A645+1)))*INDEX(Surface_Engine!$B$12:$B$72,$A645+1)+H646</f>
        <v>10738.388577354</v>
      </c>
      <c r="I645" s="48" t="n">
        <f aca="false">E645*(IF($A645&lt;$Q$636,INDEX(Surface_Engine!$D$12:$D$72,$A645+1)+(Surface_Engine!L241*12)*INDEX(Surface_Engine!$F$12:$F$72,$A645+1)-(Surface_Engine!L241*12),1000*12*INDEX(Surface_Engine!$C$12:$C$72,$A645+1)/(1+Assumptions!$B$10)^20+INDEX(Surface_Engine!$D$12:$D$72,$A645+1)))*INDEX(Surface_Engine!$B$12:$B$72,$A645+1)+I646</f>
        <v>15187.9985786368</v>
      </c>
      <c r="J645" s="48" t="n">
        <f aca="false">B645*(IF($A645&lt;$Q$636,INDEX(Surface_Engine!$D$12:$D$72,$A645+1)*(1+Assumptions!$B$24)+(Surface_Engine!L241*12)*INDEX(Surface_Engine!$F$12:$F$72,$A645+1)-(Surface_Engine!L241*12),1000*12*INDEX(Surface_Engine!$C$12:$C$72,$A645+1)/(1+Assumptions!$B$10)^20+INDEX(Surface_Engine!$D$12:$D$72,$A645+1)*(1+Assumptions!$B$24)))*INDEX(Surface_Engine!$B$12:$B$72,$A645+1)+J646</f>
        <v>12918.6354190023</v>
      </c>
      <c r="K645" s="12" t="n">
        <f aca="false">SQRT((IF(C645&lt;=0,0,MAX(0,(B645/C645)*G645/INDEX(Surface_Engine!$B$12:$B$72,$A645+1)-F645/INDEX(Surface_Engine!$B$12:$B$72,$A645+1))))^2+(MAX(IF(D645&lt;=0,0,MAX(0,(B645/D645)*H645/INDEX(Surface_Engine!$B$12:$B$72,$A645+1)-F645/INDEX(Surface_Engine!$B$12:$B$72,$A645+1))),IF(E645&lt;=0,0,MAX(0,(B645/E645)*I645/INDEX(Surface_Engine!$B$12:$B$72,$A645+1)-F645/INDEX(Surface_Engine!$B$12:$B$72,$A645+1))),IF($A645&lt;$Q$636,MAX(0,-Assumptions!$B$22*(F645/INDEX(Surface_Engine!$B$12:$B$72,$A645+1))),0)))^2+(MAX(0,J645/INDEX(Surface_Engine!$B$12:$B$72,$A645+1)-(F645/INDEX(Surface_Engine!$B$12:$B$72,$A645+1))))^2+2*Assumptions!$B$26*(IF(C645&lt;=0,0,MAX(0,(B645/C645)*G645/INDEX(Surface_Engine!$B$12:$B$72,$A645+1)-F645/INDEX(Surface_Engine!$B$12:$B$72,$A645+1))))*(MAX(IF(D645&lt;=0,0,MAX(0,(B645/D645)*H645/INDEX(Surface_Engine!$B$12:$B$72,$A645+1)-F645/INDEX(Surface_Engine!$B$12:$B$72,$A645+1))),IF(E645&lt;=0,0,MAX(0,(B645/E645)*I645/INDEX(Surface_Engine!$B$12:$B$72,$A645+1)-F645/INDEX(Surface_Engine!$B$12:$B$72,$A645+1))),IF($A645&lt;$Q$636,MAX(0,-Assumptions!$B$22*(F645/INDEX(Surface_Engine!$B$12:$B$72,$A645+1))),0)))+2*Assumptions!$B$27*(IF(C645&lt;=0,0,MAX(0,(B645/C645)*G645/INDEX(Surface_Engine!$B$12:$B$72,$A645+1)-F645/INDEX(Surface_Engine!$B$12:$B$72,$A645+1))))*(MAX(0,J645/INDEX(Surface_Engine!$B$12:$B$72,$A645+1)-(F645/INDEX(Surface_Engine!$B$12:$B$72,$A645+1))))+2*Assumptions!$B$28*(MAX(IF(D645&lt;=0,0,MAX(0,(B645/D645)*H645/INDEX(Surface_Engine!$B$12:$B$72,$A645+1)-F645/INDEX(Surface_Engine!$B$12:$B$72,$A645+1))),IF(E645&lt;=0,0,MAX(0,(B645/E645)*I645/INDEX(Surface_Engine!$B$12:$B$72,$A645+1)-F645/INDEX(Surface_Engine!$B$12:$B$72,$A645+1))),IF($A645&lt;$Q$636,MAX(0,-Assumptions!$B$22*(F645/INDEX(Surface_Engine!$B$12:$B$72,$A645+1))),0)))*(MAX(0,J645/INDEX(Surface_Engine!$B$12:$B$72,$A645+1)-(F645/INDEX(Surface_Engine!$B$12:$B$72,$A645+1)))))</f>
        <v>8021.20736326631</v>
      </c>
      <c r="L645" s="48" t="n">
        <f aca="false">K645*INDEX(Surface_Engine!$B$12:$B$72,$A645+1)+L646</f>
        <v>107014.903540315</v>
      </c>
      <c r="M645" s="48" t="n">
        <f aca="false">M644+B644*(IF($A644&lt;$Q$636,(Surface_Engine!L241*12)-(Surface_Engine!L241*12)*INDEX(Surface_Engine!$F$12:$F$72,$A644+1)-INDEX(Surface_Engine!$D$12:$D$72,$A644+1),-(1000*12*INDEX(Surface_Engine!$C$12:$C$72,$A644+1)/(1+Assumptions!$B$10)^20+INDEX(Surface_Engine!$D$12:$D$72,$A644+1))))*INDEX(Surface_Engine!$B$12:$B$72,$A644+1)</f>
        <v>13962.3382897146</v>
      </c>
      <c r="N645" s="12" t="n">
        <f aca="false">IF(B645&lt;=0,0,MAX(0,(K645+Assumptions!$B$29*L645/INDEX(Surface_Engine!$B$12:$B$72,$A645+1)-(M645/INDEX(Surface_Engine!$B$12:$B$72,$A645+1)-(F645/INDEX(Surface_Engine!$B$12:$B$72,$A645+1))))/B645))</f>
        <v>17077.8594343472</v>
      </c>
    </row>
    <row r="646" customFormat="false" ht="15" hidden="false" customHeight="true" outlineLevel="0" collapsed="false">
      <c r="A646" s="1" t="n">
        <v>8</v>
      </c>
      <c r="B646" s="32" t="n">
        <f aca="false">INDEX(Surface_Engine!$L$12:$L$72,$A646+1)*IF($A646&lt;$Q$636,INDEX(Surface_Engine!$E$12:$E$72,$A646+1),INDEX(Surface_Engine!$E$12:$E$72,$Q$636+1))</f>
        <v>0.826387919730429</v>
      </c>
      <c r="C646" s="32" t="n">
        <f aca="false">INDEX(Panel_Reserving!$D$8:$D$68,$A646+1)*IF($A646&lt;$Q$636,INDEX(Surface_Engine!$E$12:$E$72,$A646+1),INDEX(Surface_Engine!$E$12:$E$72,$Q$636+1))</f>
        <v>0.836347694913736</v>
      </c>
      <c r="D646" s="32" t="n">
        <f aca="false">INDEX(Surface_Engine!$L$12:$L$72,$A646+1)*IF($A646&lt;$Q$636,INDEX(Surface_Engine!$Y$12:$Y$72,$A646+1),INDEX(Surface_Engine!$Y$12:$Y$72,$Q$636+1))</f>
        <v>0.773117560229002</v>
      </c>
      <c r="E646" s="32" t="n">
        <f aca="false">INDEX(Surface_Engine!$L$12:$L$72,$A646+1)*IF($A646&lt;$Q$636,INDEX(Surface_Engine!$Z$12:$Z$72,$A646+1),INDEX(Surface_Engine!$Z$12:$Z$72,$Q$636+1))</f>
        <v>0.882648580300603</v>
      </c>
      <c r="F646" s="48" t="n">
        <f aca="false">B646*(IF($A646&lt;$Q$636,INDEX(Surface_Engine!$D$12:$D$72,$A646+1)+(Surface_Engine!L241*12)*INDEX(Surface_Engine!$F$12:$F$72,$A646+1)-(Surface_Engine!L241*12),1000*12*INDEX(Surface_Engine!$C$12:$C$72,$A646+1)/(1+Assumptions!$B$10)^20+INDEX(Surface_Engine!$D$12:$D$72,$A646+1)))*INDEX(Surface_Engine!$B$12:$B$72,$A646+1)+F647</f>
        <v>14780.243037712</v>
      </c>
      <c r="G646" s="48" t="n">
        <f aca="false">C646*(IF($A646&lt;$Q$636,INDEX(Surface_Engine!$D$12:$D$72,$A646+1)+(Surface_Engine!L241*12)*INDEX(Surface_Engine!$F$12:$F$72,$A646+1)-(Surface_Engine!L241*12),1000*12*INDEX(Surface_Engine!$C$12:$C$72,$A646+1)/(1+Assumptions!$B$10)^20+INDEX(Surface_Engine!$D$12:$D$72,$A646+1)))*INDEX(Surface_Engine!$B$12:$B$72,$A646+1)+G647</f>
        <v>21058.4899886975</v>
      </c>
      <c r="H646" s="48" t="n">
        <f aca="false">D646*(IF($A646&lt;$Q$636,INDEX(Surface_Engine!$D$12:$D$72,$A646+1)+(Surface_Engine!L241*12)*INDEX(Surface_Engine!$F$12:$F$72,$A646+1)-(Surface_Engine!L241*12),1000*12*INDEX(Surface_Engine!$C$12:$C$72,$A646+1)/(1+Assumptions!$B$10)^20+INDEX(Surface_Engine!$D$12:$D$72,$A646+1)))*INDEX(Surface_Engine!$B$12:$B$72,$A646+1)+H647</f>
        <v>12589.3777237992</v>
      </c>
      <c r="I646" s="48" t="n">
        <f aca="false">E646*(IF($A646&lt;$Q$636,INDEX(Surface_Engine!$D$12:$D$72,$A646+1)+(Surface_Engine!L241*12)*INDEX(Surface_Engine!$F$12:$F$72,$A646+1)-(Surface_Engine!L241*12),1000*12*INDEX(Surface_Engine!$C$12:$C$72,$A646+1)/(1+Assumptions!$B$10)^20+INDEX(Surface_Engine!$D$12:$D$72,$A646+1)))*INDEX(Surface_Engine!$B$12:$B$72,$A646+1)+I647</f>
        <v>17281.9073658606</v>
      </c>
      <c r="J646" s="48" t="n">
        <f aca="false">B646*(IF($A646&lt;$Q$636,INDEX(Surface_Engine!$D$12:$D$72,$A646+1)*(1+Assumptions!$B$24)+(Surface_Engine!L241*12)*INDEX(Surface_Engine!$F$12:$F$72,$A646+1)-(Surface_Engine!L241*12),1000*12*INDEX(Surface_Engine!$C$12:$C$72,$A646+1)/(1+Assumptions!$B$10)^20+INDEX(Surface_Engine!$D$12:$D$72,$A646+1)*(1+Assumptions!$B$24)))*INDEX(Surface_Engine!$B$12:$B$72,$A646+1)+J647</f>
        <v>14881.2850781091</v>
      </c>
      <c r="K646" s="12" t="n">
        <f aca="false">SQRT((IF(C646&lt;=0,0,MAX(0,(B646/C646)*G646/INDEX(Surface_Engine!$B$12:$B$72,$A646+1)-F646/INDEX(Surface_Engine!$B$12:$B$72,$A646+1))))^2+(MAX(IF(D646&lt;=0,0,MAX(0,(B646/D646)*H646/INDEX(Surface_Engine!$B$12:$B$72,$A646+1)-F646/INDEX(Surface_Engine!$B$12:$B$72,$A646+1))),IF(E646&lt;=0,0,MAX(0,(B646/E646)*I646/INDEX(Surface_Engine!$B$12:$B$72,$A646+1)-F646/INDEX(Surface_Engine!$B$12:$B$72,$A646+1))),IF($A646&lt;$Q$636,MAX(0,-Assumptions!$B$22*(F646/INDEX(Surface_Engine!$B$12:$B$72,$A646+1))),0)))^2+(MAX(0,J646/INDEX(Surface_Engine!$B$12:$B$72,$A646+1)-(F646/INDEX(Surface_Engine!$B$12:$B$72,$A646+1))))^2+2*Assumptions!$B$26*(IF(C646&lt;=0,0,MAX(0,(B646/C646)*G646/INDEX(Surface_Engine!$B$12:$B$72,$A646+1)-F646/INDEX(Surface_Engine!$B$12:$B$72,$A646+1))))*(MAX(IF(D646&lt;=0,0,MAX(0,(B646/D646)*H646/INDEX(Surface_Engine!$B$12:$B$72,$A646+1)-F646/INDEX(Surface_Engine!$B$12:$B$72,$A646+1))),IF(E646&lt;=0,0,MAX(0,(B646/E646)*I646/INDEX(Surface_Engine!$B$12:$B$72,$A646+1)-F646/INDEX(Surface_Engine!$B$12:$B$72,$A646+1))),IF($A646&lt;$Q$636,MAX(0,-Assumptions!$B$22*(F646/INDEX(Surface_Engine!$B$12:$B$72,$A646+1))),0)))+2*Assumptions!$B$27*(IF(C646&lt;=0,0,MAX(0,(B646/C646)*G646/INDEX(Surface_Engine!$B$12:$B$72,$A646+1)-F646/INDEX(Surface_Engine!$B$12:$B$72,$A646+1))))*(MAX(0,J646/INDEX(Surface_Engine!$B$12:$B$72,$A646+1)-(F646/INDEX(Surface_Engine!$B$12:$B$72,$A646+1))))+2*Assumptions!$B$28*(MAX(IF(D646&lt;=0,0,MAX(0,(B646/D646)*H646/INDEX(Surface_Engine!$B$12:$B$72,$A646+1)-F646/INDEX(Surface_Engine!$B$12:$B$72,$A646+1))),IF(E646&lt;=0,0,MAX(0,(B646/E646)*I646/INDEX(Surface_Engine!$B$12:$B$72,$A646+1)-F646/INDEX(Surface_Engine!$B$12:$B$72,$A646+1))),IF($A646&lt;$Q$636,MAX(0,-Assumptions!$B$22*(F646/INDEX(Surface_Engine!$B$12:$B$72,$A646+1))),0)))*(MAX(0,J646/INDEX(Surface_Engine!$B$12:$B$72,$A646+1)-(F646/INDEX(Surface_Engine!$B$12:$B$72,$A646+1)))))</f>
        <v>8174.13484086995</v>
      </c>
      <c r="L646" s="48" t="n">
        <f aca="false">K646*INDEX(Surface_Engine!$B$12:$B$72,$A646+1)+L647</f>
        <v>100381.033947861</v>
      </c>
      <c r="M646" s="48" t="n">
        <f aca="false">M645+B645*(IF($A645&lt;$Q$636,(Surface_Engine!L241*12)-(Surface_Engine!L241*12)*INDEX(Surface_Engine!$F$12:$F$72,$A645+1)-INDEX(Surface_Engine!$D$12:$D$72,$A645+1),-(1000*12*INDEX(Surface_Engine!$C$12:$C$72,$A645+1)/(1+Assumptions!$B$10)^20+INDEX(Surface_Engine!$D$12:$D$72,$A645+1))))*INDEX(Surface_Engine!$B$12:$B$72,$A645+1)</f>
        <v>15931.7817388801</v>
      </c>
      <c r="N646" s="12" t="n">
        <f aca="false">IF(B646&lt;=0,0,MAX(0,(K646+Assumptions!$B$29*L646/INDEX(Surface_Engine!$B$12:$B$72,$A646+1)-(M646/INDEX(Surface_Engine!$B$12:$B$72,$A646+1)-(F646/INDEX(Surface_Engine!$B$12:$B$72,$A646+1))))/B646))</f>
        <v>17242.2983490111</v>
      </c>
    </row>
    <row r="647" customFormat="false" ht="15" hidden="false" customHeight="true" outlineLevel="0" collapsed="false">
      <c r="A647" s="1" t="n">
        <v>9</v>
      </c>
      <c r="B647" s="32" t="n">
        <f aca="false">INDEX(Surface_Engine!$L$12:$L$72,$A647+1)*IF($A647&lt;$Q$636,INDEX(Surface_Engine!$E$12:$E$72,$A647+1),INDEX(Surface_Engine!$E$12:$E$72,$Q$636+1))</f>
        <v>0.809383922915231</v>
      </c>
      <c r="C647" s="32" t="n">
        <f aca="false">INDEX(Panel_Reserving!$D$8:$D$68,$A647+1)*IF($A647&lt;$Q$636,INDEX(Surface_Engine!$E$12:$E$72,$A647+1),INDEX(Surface_Engine!$E$12:$E$72,$Q$636+1))</f>
        <v>0.821058396485325</v>
      </c>
      <c r="D647" s="32" t="n">
        <f aca="false">INDEX(Surface_Engine!$L$12:$L$72,$A647+1)*IF($A647&lt;$Q$636,INDEX(Surface_Engine!$Y$12:$Y$72,$A647+1),INDEX(Surface_Engine!$Y$12:$Y$72,$Q$636+1))</f>
        <v>0.753732725546461</v>
      </c>
      <c r="E647" s="32" t="n">
        <f aca="false">INDEX(Surface_Engine!$L$12:$L$72,$A647+1)*IF($A647&lt;$Q$636,INDEX(Surface_Engine!$Z$12:$Z$72,$A647+1),INDEX(Surface_Engine!$Z$12:$Z$72,$Q$636+1))</f>
        <v>0.868456486276117</v>
      </c>
      <c r="F647" s="48" t="n">
        <f aca="false">B647*(IF($A647&lt;$Q$636,INDEX(Surface_Engine!$D$12:$D$72,$A647+1)+(Surface_Engine!L241*12)*INDEX(Surface_Engine!$F$12:$F$72,$A647+1)-(Surface_Engine!L241*12),1000*12*INDEX(Surface_Engine!$C$12:$C$72,$A647+1)/(1+Assumptions!$B$10)^20+INDEX(Surface_Engine!$D$12:$D$72,$A647+1)))*INDEX(Surface_Engine!$B$12:$B$72,$A647+1)+F648</f>
        <v>16651.1157631271</v>
      </c>
      <c r="G647" s="48" t="n">
        <f aca="false">C647*(IF($A647&lt;$Q$636,INDEX(Surface_Engine!$D$12:$D$72,$A647+1)+(Surface_Engine!L241*12)*INDEX(Surface_Engine!$F$12:$F$72,$A647+1)-(Surface_Engine!L241*12),1000*12*INDEX(Surface_Engine!$C$12:$C$72,$A647+1)/(1+Assumptions!$B$10)^20+INDEX(Surface_Engine!$D$12:$D$72,$A647+1)))*INDEX(Surface_Engine!$B$12:$B$72,$A647+1)+G648</f>
        <v>22951.9108072016</v>
      </c>
      <c r="H647" s="48" t="n">
        <f aca="false">D647*(IF($A647&lt;$Q$636,INDEX(Surface_Engine!$D$12:$D$72,$A647+1)+(Surface_Engine!L241*12)*INDEX(Surface_Engine!$F$12:$F$72,$A647+1)-(Surface_Engine!L241*12),1000*12*INDEX(Surface_Engine!$C$12:$C$72,$A647+1)/(1+Assumptions!$B$10)^20+INDEX(Surface_Engine!$D$12:$D$72,$A647+1)))*INDEX(Surface_Engine!$B$12:$B$72,$A647+1)+H648</f>
        <v>14339.6508369925</v>
      </c>
      <c r="I647" s="48" t="n">
        <f aca="false">E647*(IF($A647&lt;$Q$636,INDEX(Surface_Engine!$D$12:$D$72,$A647+1)+(Surface_Engine!L241*12)*INDEX(Surface_Engine!$F$12:$F$72,$A647+1)-(Surface_Engine!L241*12),1000*12*INDEX(Surface_Engine!$C$12:$C$72,$A647+1)/(1+Assumptions!$B$10)^20+INDEX(Surface_Engine!$D$12:$D$72,$A647+1)))*INDEX(Surface_Engine!$B$12:$B$72,$A647+1)+I648</f>
        <v>19280.1494935402</v>
      </c>
      <c r="J647" s="48" t="n">
        <f aca="false">B647*(IF($A647&lt;$Q$636,INDEX(Surface_Engine!$D$12:$D$72,$A647+1)*(1+Assumptions!$B$24)+(Surface_Engine!L241*12)*INDEX(Surface_Engine!$F$12:$F$72,$A647+1)-(Surface_Engine!L241*12),1000*12*INDEX(Surface_Engine!$C$12:$C$72,$A647+1)/(1+Assumptions!$B$10)^20+INDEX(Surface_Engine!$D$12:$D$72,$A647+1)*(1+Assumptions!$B$24)))*INDEX(Surface_Engine!$B$12:$B$72,$A647+1)+J648</f>
        <v>16745.5369891275</v>
      </c>
      <c r="K647" s="12" t="n">
        <f aca="false">SQRT((IF(C647&lt;=0,0,MAX(0,(B647/C647)*G647/INDEX(Surface_Engine!$B$12:$B$72,$A647+1)-F647/INDEX(Surface_Engine!$B$12:$B$72,$A647+1))))^2+(MAX(IF(D647&lt;=0,0,MAX(0,(B647/D647)*H647/INDEX(Surface_Engine!$B$12:$B$72,$A647+1)-F647/INDEX(Surface_Engine!$B$12:$B$72,$A647+1))),IF(E647&lt;=0,0,MAX(0,(B647/E647)*I647/INDEX(Surface_Engine!$B$12:$B$72,$A647+1)-F647/INDEX(Surface_Engine!$B$12:$B$72,$A647+1))),IF($A647&lt;$Q$636,MAX(0,-Assumptions!$B$22*(F647/INDEX(Surface_Engine!$B$12:$B$72,$A647+1))),0)))^2+(MAX(0,J647/INDEX(Surface_Engine!$B$12:$B$72,$A647+1)-(F647/INDEX(Surface_Engine!$B$12:$B$72,$A647+1))))^2+2*Assumptions!$B$26*(IF(C647&lt;=0,0,MAX(0,(B647/C647)*G647/INDEX(Surface_Engine!$B$12:$B$72,$A647+1)-F647/INDEX(Surface_Engine!$B$12:$B$72,$A647+1))))*(MAX(IF(D647&lt;=0,0,MAX(0,(B647/D647)*H647/INDEX(Surface_Engine!$B$12:$B$72,$A647+1)-F647/INDEX(Surface_Engine!$B$12:$B$72,$A647+1))),IF(E647&lt;=0,0,MAX(0,(B647/E647)*I647/INDEX(Surface_Engine!$B$12:$B$72,$A647+1)-F647/INDEX(Surface_Engine!$B$12:$B$72,$A647+1))),IF($A647&lt;$Q$636,MAX(0,-Assumptions!$B$22*(F647/INDEX(Surface_Engine!$B$12:$B$72,$A647+1))),0)))+2*Assumptions!$B$27*(IF(C647&lt;=0,0,MAX(0,(B647/C647)*G647/INDEX(Surface_Engine!$B$12:$B$72,$A647+1)-F647/INDEX(Surface_Engine!$B$12:$B$72,$A647+1))))*(MAX(0,J647/INDEX(Surface_Engine!$B$12:$B$72,$A647+1)-(F647/INDEX(Surface_Engine!$B$12:$B$72,$A647+1))))+2*Assumptions!$B$28*(MAX(IF(D647&lt;=0,0,MAX(0,(B647/D647)*H647/INDEX(Surface_Engine!$B$12:$B$72,$A647+1)-F647/INDEX(Surface_Engine!$B$12:$B$72,$A647+1))),IF(E647&lt;=0,0,MAX(0,(B647/E647)*I647/INDEX(Surface_Engine!$B$12:$B$72,$A647+1)-F647/INDEX(Surface_Engine!$B$12:$B$72,$A647+1))),IF($A647&lt;$Q$636,MAX(0,-Assumptions!$B$22*(F647/INDEX(Surface_Engine!$B$12:$B$72,$A647+1))),0)))*(MAX(0,J647/INDEX(Surface_Engine!$B$12:$B$72,$A647+1)-(F647/INDEX(Surface_Engine!$B$12:$B$72,$A647+1)))))</f>
        <v>8321.77769544774</v>
      </c>
      <c r="L647" s="48" t="n">
        <f aca="false">K647*INDEX(Surface_Engine!$B$12:$B$72,$A647+1)+L648</f>
        <v>93826.1580238046</v>
      </c>
      <c r="M647" s="48" t="n">
        <f aca="false">M646+B646*(IF($A646&lt;$Q$636,(Surface_Engine!L241*12)-(Surface_Engine!L241*12)*INDEX(Surface_Engine!$F$12:$F$72,$A646+1)-INDEX(Surface_Engine!$D$12:$D$72,$A646+1),-(1000*12*INDEX(Surface_Engine!$C$12:$C$72,$A646+1)/(1+Assumptions!$B$10)^20+INDEX(Surface_Engine!$D$12:$D$72,$A646+1))))*INDEX(Surface_Engine!$B$12:$B$72,$A646+1)</f>
        <v>17802.6544642952</v>
      </c>
      <c r="N647" s="12" t="n">
        <f aca="false">IF(B647&lt;=0,0,MAX(0,(K647+Assumptions!$B$29*L647/INDEX(Surface_Engine!$B$12:$B$72,$A647+1)-(M647/INDEX(Surface_Engine!$B$12:$B$72,$A647+1)-(F647/INDEX(Surface_Engine!$B$12:$B$72,$A647+1))))/B647))</f>
        <v>17404.5247295135</v>
      </c>
    </row>
    <row r="648" customFormat="false" ht="15" hidden="false" customHeight="true" outlineLevel="0" collapsed="false">
      <c r="A648" s="1" t="n">
        <v>10</v>
      </c>
      <c r="B648" s="32" t="n">
        <f aca="false">INDEX(Surface_Engine!$L$12:$L$72,$A648+1)*IF($A648&lt;$Q$636,INDEX(Surface_Engine!$E$12:$E$72,$A648+1),INDEX(Surface_Engine!$E$12:$E$72,$Q$636+1))</f>
        <v>0.791679736545108</v>
      </c>
      <c r="C648" s="32" t="n">
        <f aca="false">INDEX(Panel_Reserving!$D$8:$D$68,$A648+1)*IF($A648&lt;$Q$636,INDEX(Surface_Engine!$E$12:$E$72,$A648+1),INDEX(Surface_Engine!$E$12:$E$72,$Q$636+1))</f>
        <v>0.80519643036252</v>
      </c>
      <c r="D648" s="32" t="n">
        <f aca="false">INDEX(Surface_Engine!$L$12:$L$72,$A648+1)*IF($A648&lt;$Q$636,INDEX(Surface_Engine!$Y$12:$Y$72,$A648+1),INDEX(Surface_Engine!$Y$12:$Y$72,$Q$636+1))</f>
        <v>0.733860559838475</v>
      </c>
      <c r="E648" s="32" t="n">
        <f aca="false">INDEX(Surface_Engine!$L$12:$L$72,$A648+1)*IF($A648&lt;$Q$636,INDEX(Surface_Engine!$Z$12:$Z$72,$A648+1),INDEX(Surface_Engine!$Z$12:$Z$72,$Q$636+1))</f>
        <v>0.853360705573894</v>
      </c>
      <c r="F648" s="48" t="n">
        <f aca="false">B648*(IF($A648&lt;$Q$636,INDEX(Surface_Engine!$D$12:$D$72,$A648+1)+(Surface_Engine!L241*12)*INDEX(Surface_Engine!$F$12:$F$72,$A648+1)-(Surface_Engine!L241*12),1000*12*INDEX(Surface_Engine!$C$12:$C$72,$A648+1)/(1+Assumptions!$B$10)^20+INDEX(Surface_Engine!$D$12:$D$72,$A648+1)))*INDEX(Surface_Engine!$B$12:$B$72,$A648+1)+F649</f>
        <v>18424.41948983</v>
      </c>
      <c r="G648" s="48" t="n">
        <f aca="false">C648*(IF($A648&lt;$Q$636,INDEX(Surface_Engine!$D$12:$D$72,$A648+1)+(Surface_Engine!L241*12)*INDEX(Surface_Engine!$F$12:$F$72,$A648+1)-(Surface_Engine!L241*12),1000*12*INDEX(Surface_Engine!$C$12:$C$72,$A648+1)/(1+Assumptions!$B$10)^20+INDEX(Surface_Engine!$D$12:$D$72,$A648+1)))*INDEX(Surface_Engine!$B$12:$B$72,$A648+1)+G649</f>
        <v>24750.7924912904</v>
      </c>
      <c r="H648" s="48" t="n">
        <f aca="false">D648*(IF($A648&lt;$Q$636,INDEX(Surface_Engine!$D$12:$D$72,$A648+1)+(Surface_Engine!L241*12)*INDEX(Surface_Engine!$F$12:$F$72,$A648+1)-(Surface_Engine!L241*12),1000*12*INDEX(Surface_Engine!$C$12:$C$72,$A648+1)/(1+Assumptions!$B$10)^20+INDEX(Surface_Engine!$D$12:$D$72,$A648+1)))*INDEX(Surface_Engine!$B$12:$B$72,$A648+1)+H649</f>
        <v>15991.0266715103</v>
      </c>
      <c r="I648" s="48" t="n">
        <f aca="false">E648*(IF($A648&lt;$Q$636,INDEX(Surface_Engine!$D$12:$D$72,$A648+1)+(Surface_Engine!L241*12)*INDEX(Surface_Engine!$F$12:$F$72,$A648+1)-(Surface_Engine!L241*12),1000*12*INDEX(Surface_Engine!$C$12:$C$72,$A648+1)/(1+Assumptions!$B$10)^20+INDEX(Surface_Engine!$D$12:$D$72,$A648+1)))*INDEX(Surface_Engine!$B$12:$B$72,$A648+1)+I649</f>
        <v>21182.8770867024</v>
      </c>
      <c r="J648" s="48" t="n">
        <f aca="false">B648*(IF($A648&lt;$Q$636,INDEX(Surface_Engine!$D$12:$D$72,$A648+1)*(1+Assumptions!$B$24)+(Surface_Engine!L241*12)*INDEX(Surface_Engine!$F$12:$F$72,$A648+1)-(Surface_Engine!L241*12),1000*12*INDEX(Surface_Engine!$C$12:$C$72,$A648+1)/(1+Assumptions!$B$10)^20+INDEX(Surface_Engine!$D$12:$D$72,$A648+1)*(1+Assumptions!$B$24)))*INDEX(Surface_Engine!$B$12:$B$72,$A648+1)+J649</f>
        <v>18512.4026033185</v>
      </c>
      <c r="K648" s="12" t="n">
        <f aca="false">SQRT((IF(C648&lt;=0,0,MAX(0,(B648/C648)*G648/INDEX(Surface_Engine!$B$12:$B$72,$A648+1)-F648/INDEX(Surface_Engine!$B$12:$B$72,$A648+1))))^2+(MAX(IF(D648&lt;=0,0,MAX(0,(B648/D648)*H648/INDEX(Surface_Engine!$B$12:$B$72,$A648+1)-F648/INDEX(Surface_Engine!$B$12:$B$72,$A648+1))),IF(E648&lt;=0,0,MAX(0,(B648/E648)*I648/INDEX(Surface_Engine!$B$12:$B$72,$A648+1)-F648/INDEX(Surface_Engine!$B$12:$B$72,$A648+1))),IF($A648&lt;$Q$636,MAX(0,-Assumptions!$B$22*(F648/INDEX(Surface_Engine!$B$12:$B$72,$A648+1))),0)))^2+(MAX(0,J648/INDEX(Surface_Engine!$B$12:$B$72,$A648+1)-(F648/INDEX(Surface_Engine!$B$12:$B$72,$A648+1))))^2+2*Assumptions!$B$26*(IF(C648&lt;=0,0,MAX(0,(B648/C648)*G648/INDEX(Surface_Engine!$B$12:$B$72,$A648+1)-F648/INDEX(Surface_Engine!$B$12:$B$72,$A648+1))))*(MAX(IF(D648&lt;=0,0,MAX(0,(B648/D648)*H648/INDEX(Surface_Engine!$B$12:$B$72,$A648+1)-F648/INDEX(Surface_Engine!$B$12:$B$72,$A648+1))),IF(E648&lt;=0,0,MAX(0,(B648/E648)*I648/INDEX(Surface_Engine!$B$12:$B$72,$A648+1)-F648/INDEX(Surface_Engine!$B$12:$B$72,$A648+1))),IF($A648&lt;$Q$636,MAX(0,-Assumptions!$B$22*(F648/INDEX(Surface_Engine!$B$12:$B$72,$A648+1))),0)))+2*Assumptions!$B$27*(IF(C648&lt;=0,0,MAX(0,(B648/C648)*G648/INDEX(Surface_Engine!$B$12:$B$72,$A648+1)-F648/INDEX(Surface_Engine!$B$12:$B$72,$A648+1))))*(MAX(0,J648/INDEX(Surface_Engine!$B$12:$B$72,$A648+1)-(F648/INDEX(Surface_Engine!$B$12:$B$72,$A648+1))))+2*Assumptions!$B$28*(MAX(IF(D648&lt;=0,0,MAX(0,(B648/D648)*H648/INDEX(Surface_Engine!$B$12:$B$72,$A648+1)-F648/INDEX(Surface_Engine!$B$12:$B$72,$A648+1))),IF(E648&lt;=0,0,MAX(0,(B648/E648)*I648/INDEX(Surface_Engine!$B$12:$B$72,$A648+1)-F648/INDEX(Surface_Engine!$B$12:$B$72,$A648+1))),IF($A648&lt;$Q$636,MAX(0,-Assumptions!$B$22*(F648/INDEX(Surface_Engine!$B$12:$B$72,$A648+1))),0)))*(MAX(0,J648/INDEX(Surface_Engine!$B$12:$B$72,$A648+1)-(F648/INDEX(Surface_Engine!$B$12:$B$72,$A648+1)))))</f>
        <v>8473.58426764347</v>
      </c>
      <c r="L648" s="48" t="n">
        <f aca="false">K648*INDEX(Surface_Engine!$B$12:$B$72,$A648+1)+L649</f>
        <v>87362.3052256973</v>
      </c>
      <c r="M648" s="48" t="n">
        <f aca="false">M647+B647*(IF($A647&lt;$Q$636,(Surface_Engine!L241*12)-(Surface_Engine!L241*12)*INDEX(Surface_Engine!$F$12:$F$72,$A647+1)-INDEX(Surface_Engine!$D$12:$D$72,$A647+1),-(1000*12*INDEX(Surface_Engine!$C$12:$C$72,$A647+1)/(1+Assumptions!$B$10)^20+INDEX(Surface_Engine!$D$12:$D$72,$A647+1))))*INDEX(Surface_Engine!$B$12:$B$72,$A647+1)</f>
        <v>19575.9581909981</v>
      </c>
      <c r="N648" s="12" t="n">
        <f aca="false">IF(B648&lt;=0,0,MAX(0,(K648+Assumptions!$B$29*L648/INDEX(Surface_Engine!$B$12:$B$72,$A648+1)-(M648/INDEX(Surface_Engine!$B$12:$B$72,$A648+1)-(F648/INDEX(Surface_Engine!$B$12:$B$72,$A648+1))))/B648))</f>
        <v>17586.8558630167</v>
      </c>
    </row>
    <row r="649" customFormat="false" ht="15" hidden="false" customHeight="true" outlineLevel="0" collapsed="false">
      <c r="A649" s="1" t="n">
        <v>11</v>
      </c>
      <c r="B649" s="32" t="n">
        <f aca="false">INDEX(Surface_Engine!$L$12:$L$72,$A649+1)*IF($A649&lt;$Q$636,INDEX(Surface_Engine!$E$12:$E$72,$A649+1),INDEX(Surface_Engine!$E$12:$E$72,$Q$636+1))</f>
        <v>0.77280380599472</v>
      </c>
      <c r="C649" s="32" t="n">
        <f aca="false">INDEX(Panel_Reserving!$D$8:$D$68,$A649+1)*IF($A649&lt;$Q$636,INDEX(Surface_Engine!$E$12:$E$72,$A649+1),INDEX(Surface_Engine!$E$12:$E$72,$Q$636+1))</f>
        <v>0.788372406815602</v>
      </c>
      <c r="D649" s="32" t="n">
        <f aca="false">INDEX(Surface_Engine!$L$12:$L$72,$A649+1)*IF($A649&lt;$Q$636,INDEX(Surface_Engine!$Y$12:$Y$72,$A649+1),INDEX(Surface_Engine!$Y$12:$Y$72,$Q$636+1))</f>
        <v>0.713073819391425</v>
      </c>
      <c r="E649" s="32" t="n">
        <f aca="false">INDEX(Surface_Engine!$L$12:$L$72,$A649+1)*IF($A649&lt;$Q$636,INDEX(Surface_Engine!$Z$12:$Z$72,$A649+1),INDEX(Surface_Engine!$Z$12:$Z$72,$Q$636+1))</f>
        <v>0.836839144602721</v>
      </c>
      <c r="F649" s="48" t="n">
        <f aca="false">B649*(IF($A649&lt;$Q$636,INDEX(Surface_Engine!$D$12:$D$72,$A649+1)+(Surface_Engine!L241*12)*INDEX(Surface_Engine!$F$12:$F$72,$A649+1)-(Surface_Engine!L241*12),1000*12*INDEX(Surface_Engine!$C$12:$C$72,$A649+1)/(1+Assumptions!$B$10)^20+INDEX(Surface_Engine!$D$12:$D$72,$A649+1)))*INDEX(Surface_Engine!$B$12:$B$72,$A649+1)+F650</f>
        <v>20098.9396778943</v>
      </c>
      <c r="G649" s="48" t="n">
        <f aca="false">C649*(IF($A649&lt;$Q$636,INDEX(Surface_Engine!$D$12:$D$72,$A649+1)+(Surface_Engine!L241*12)*INDEX(Surface_Engine!$F$12:$F$72,$A649+1)-(Surface_Engine!L241*12),1000*12*INDEX(Surface_Engine!$C$12:$C$72,$A649+1)/(1+Assumptions!$B$10)^20+INDEX(Surface_Engine!$D$12:$D$72,$A649+1)))*INDEX(Surface_Engine!$B$12:$B$72,$A649+1)+G650</f>
        <v>26453.9024936802</v>
      </c>
      <c r="H649" s="48" t="n">
        <f aca="false">D649*(IF($A649&lt;$Q$636,INDEX(Surface_Engine!$D$12:$D$72,$A649+1)+(Surface_Engine!L241*12)*INDEX(Surface_Engine!$F$12:$F$72,$A649+1)-(Surface_Engine!L241*12),1000*12*INDEX(Surface_Engine!$C$12:$C$72,$A649+1)/(1+Assumptions!$B$10)^20+INDEX(Surface_Engine!$D$12:$D$72,$A649+1)))*INDEX(Surface_Engine!$B$12:$B$72,$A649+1)+H650</f>
        <v>17543.2507160924</v>
      </c>
      <c r="I649" s="48" t="n">
        <f aca="false">E649*(IF($A649&lt;$Q$636,INDEX(Surface_Engine!$D$12:$D$72,$A649+1)+(Surface_Engine!L241*12)*INDEX(Surface_Engine!$F$12:$F$72,$A649+1)-(Surface_Engine!L241*12),1000*12*INDEX(Surface_Engine!$C$12:$C$72,$A649+1)/(1+Assumptions!$B$10)^20+INDEX(Surface_Engine!$D$12:$D$72,$A649+1)))*INDEX(Surface_Engine!$B$12:$B$72,$A649+1)+I650</f>
        <v>22987.861682393</v>
      </c>
      <c r="J649" s="48" t="n">
        <f aca="false">B649*(IF($A649&lt;$Q$636,INDEX(Surface_Engine!$D$12:$D$72,$A649+1)*(1+Assumptions!$B$24)+(Surface_Engine!L241*12)*INDEX(Surface_Engine!$F$12:$F$72,$A649+1)-(Surface_Engine!L241*12),1000*12*INDEX(Surface_Engine!$C$12:$C$72,$A649+1)/(1+Assumptions!$B$10)^20+INDEX(Surface_Engine!$D$12:$D$72,$A649+1)*(1+Assumptions!$B$24)))*INDEX(Surface_Engine!$B$12:$B$72,$A649+1)+J650</f>
        <v>20180.6856720664</v>
      </c>
      <c r="K649" s="12" t="n">
        <f aca="false">SQRT((IF(C649&lt;=0,0,MAX(0,(B649/C649)*G649/INDEX(Surface_Engine!$B$12:$B$72,$A649+1)-F649/INDEX(Surface_Engine!$B$12:$B$72,$A649+1))))^2+(MAX(IF(D649&lt;=0,0,MAX(0,(B649/D649)*H649/INDEX(Surface_Engine!$B$12:$B$72,$A649+1)-F649/INDEX(Surface_Engine!$B$12:$B$72,$A649+1))),IF(E649&lt;=0,0,MAX(0,(B649/E649)*I649/INDEX(Surface_Engine!$B$12:$B$72,$A649+1)-F649/INDEX(Surface_Engine!$B$12:$B$72,$A649+1))),IF($A649&lt;$Q$636,MAX(0,-Assumptions!$B$22*(F649/INDEX(Surface_Engine!$B$12:$B$72,$A649+1))),0)))^2+(MAX(0,J649/INDEX(Surface_Engine!$B$12:$B$72,$A649+1)-(F649/INDEX(Surface_Engine!$B$12:$B$72,$A649+1))))^2+2*Assumptions!$B$26*(IF(C649&lt;=0,0,MAX(0,(B649/C649)*G649/INDEX(Surface_Engine!$B$12:$B$72,$A649+1)-F649/INDEX(Surface_Engine!$B$12:$B$72,$A649+1))))*(MAX(IF(D649&lt;=0,0,MAX(0,(B649/D649)*H649/INDEX(Surface_Engine!$B$12:$B$72,$A649+1)-F649/INDEX(Surface_Engine!$B$12:$B$72,$A649+1))),IF(E649&lt;=0,0,MAX(0,(B649/E649)*I649/INDEX(Surface_Engine!$B$12:$B$72,$A649+1)-F649/INDEX(Surface_Engine!$B$12:$B$72,$A649+1))),IF($A649&lt;$Q$636,MAX(0,-Assumptions!$B$22*(F649/INDEX(Surface_Engine!$B$12:$B$72,$A649+1))),0)))+2*Assumptions!$B$27*(IF(C649&lt;=0,0,MAX(0,(B649/C649)*G649/INDEX(Surface_Engine!$B$12:$B$72,$A649+1)-F649/INDEX(Surface_Engine!$B$12:$B$72,$A649+1))))*(MAX(0,J649/INDEX(Surface_Engine!$B$12:$B$72,$A649+1)-(F649/INDEX(Surface_Engine!$B$12:$B$72,$A649+1))))+2*Assumptions!$B$28*(MAX(IF(D649&lt;=0,0,MAX(0,(B649/D649)*H649/INDEX(Surface_Engine!$B$12:$B$72,$A649+1)-F649/INDEX(Surface_Engine!$B$12:$B$72,$A649+1))),IF(E649&lt;=0,0,MAX(0,(B649/E649)*I649/INDEX(Surface_Engine!$B$12:$B$72,$A649+1)-F649/INDEX(Surface_Engine!$B$12:$B$72,$A649+1))),IF($A649&lt;$Q$636,MAX(0,-Assumptions!$B$22*(F649/INDEX(Surface_Engine!$B$12:$B$72,$A649+1))),0)))*(MAX(0,J649/INDEX(Surface_Engine!$B$12:$B$72,$A649+1)-(F649/INDEX(Surface_Engine!$B$12:$B$72,$A649+1)))))</f>
        <v>8582.2730823024</v>
      </c>
      <c r="L649" s="48" t="n">
        <f aca="false">K649*INDEX(Surface_Engine!$B$12:$B$72,$A649+1)+L650</f>
        <v>81002.4215904917</v>
      </c>
      <c r="M649" s="48" t="n">
        <f aca="false">M648+B648*(IF($A648&lt;$Q$636,(Surface_Engine!L241*12)-(Surface_Engine!L241*12)*INDEX(Surface_Engine!$F$12:$F$72,$A648+1)-INDEX(Surface_Engine!$D$12:$D$72,$A648+1),-(1000*12*INDEX(Surface_Engine!$C$12:$C$72,$A648+1)/(1+Assumptions!$B$10)^20+INDEX(Surface_Engine!$D$12:$D$72,$A648+1))))*INDEX(Surface_Engine!$B$12:$B$72,$A648+1)</f>
        <v>21250.4783790624</v>
      </c>
      <c r="N649" s="12" t="n">
        <f aca="false">IF(B649&lt;=0,0,MAX(0,(K649+Assumptions!$B$29*L649/INDEX(Surface_Engine!$B$12:$B$72,$A649+1)-(M649/INDEX(Surface_Engine!$B$12:$B$72,$A649+1)-(F649/INDEX(Surface_Engine!$B$12:$B$72,$A649+1))))/B649))</f>
        <v>17706.4318138728</v>
      </c>
    </row>
    <row r="650" customFormat="false" ht="15" hidden="false" customHeight="true" outlineLevel="0" collapsed="false">
      <c r="A650" s="1" t="n">
        <v>12</v>
      </c>
      <c r="B650" s="32" t="n">
        <f aca="false">INDEX(Surface_Engine!$L$12:$L$72,$A650+1)*IF($A650&lt;$Q$636,INDEX(Surface_Engine!$E$12:$E$72,$A650+1),INDEX(Surface_Engine!$E$12:$E$72,$Q$636+1))</f>
        <v>0.753048807736933</v>
      </c>
      <c r="C650" s="32" t="n">
        <f aca="false">INDEX(Panel_Reserving!$D$8:$D$68,$A650+1)*IF($A650&lt;$Q$636,INDEX(Surface_Engine!$E$12:$E$72,$A650+1),INDEX(Surface_Engine!$E$12:$E$72,$Q$636+1))</f>
        <v>0.770815189303298</v>
      </c>
      <c r="D650" s="32" t="n">
        <f aca="false">INDEX(Surface_Engine!$L$12:$L$72,$A650+1)*IF($A650&lt;$Q$636,INDEX(Surface_Engine!$Y$12:$Y$72,$A650+1),INDEX(Surface_Engine!$Y$12:$Y$72,$Q$636+1))</f>
        <v>0.691655102287006</v>
      </c>
      <c r="E650" s="32" t="n">
        <f aca="false">INDEX(Surface_Engine!$L$12:$L$72,$A650+1)*IF($A650&lt;$Q$636,INDEX(Surface_Engine!$Z$12:$Z$72,$A650+1),INDEX(Surface_Engine!$Z$12:$Z$72,$Q$636+1))</f>
        <v>0.819191584892053</v>
      </c>
      <c r="F650" s="48" t="n">
        <f aca="false">B650*(IF($A650&lt;$Q$636,INDEX(Surface_Engine!$D$12:$D$72,$A650+1)+(Surface_Engine!L241*12)*INDEX(Surface_Engine!$F$12:$F$72,$A650+1)-(Surface_Engine!L241*12),1000*12*INDEX(Surface_Engine!$C$12:$C$72,$A650+1)/(1+Assumptions!$B$10)^20+INDEX(Surface_Engine!$D$12:$D$72,$A650+1)))*INDEX(Surface_Engine!$B$12:$B$72,$A650+1)+F651</f>
        <v>21680.7386484136</v>
      </c>
      <c r="G650" s="48" t="n">
        <f aca="false">C650*(IF($A650&lt;$Q$636,INDEX(Surface_Engine!$D$12:$D$72,$A650+1)+(Surface_Engine!L241*12)*INDEX(Surface_Engine!$F$12:$F$72,$A650+1)-(Surface_Engine!L241*12),1000*12*INDEX(Surface_Engine!$C$12:$C$72,$A650+1)/(1+Assumptions!$B$10)^20+INDEX(Surface_Engine!$D$12:$D$72,$A650+1)))*INDEX(Surface_Engine!$B$12:$B$72,$A650+1)+G651</f>
        <v>28067.5677626829</v>
      </c>
      <c r="H650" s="48" t="n">
        <f aca="false">D650*(IF($A650&lt;$Q$636,INDEX(Surface_Engine!$D$12:$D$72,$A650+1)+(Surface_Engine!L241*12)*INDEX(Surface_Engine!$F$12:$F$72,$A650+1)-(Surface_Engine!L241*12),1000*12*INDEX(Surface_Engine!$C$12:$C$72,$A650+1)/(1+Assumptions!$B$10)^20+INDEX(Surface_Engine!$D$12:$D$72,$A650+1)))*INDEX(Surface_Engine!$B$12:$B$72,$A650+1)+H651</f>
        <v>19002.7924842205</v>
      </c>
      <c r="I650" s="48" t="n">
        <f aca="false">E650*(IF($A650&lt;$Q$636,INDEX(Surface_Engine!$D$12:$D$72,$A650+1)+(Surface_Engine!L241*12)*INDEX(Surface_Engine!$F$12:$F$72,$A650+1)-(Surface_Engine!L241*12),1000*12*INDEX(Surface_Engine!$C$12:$C$72,$A650+1)/(1+Assumptions!$B$10)^20+INDEX(Surface_Engine!$D$12:$D$72,$A650+1)))*INDEX(Surface_Engine!$B$12:$B$72,$A650+1)+I651</f>
        <v>24700.730184275</v>
      </c>
      <c r="J650" s="48" t="n">
        <f aca="false">B650*(IF($A650&lt;$Q$636,INDEX(Surface_Engine!$D$12:$D$72,$A650+1)*(1+Assumptions!$B$24)+(Surface_Engine!L241*12)*INDEX(Surface_Engine!$F$12:$F$72,$A650+1)-(Surface_Engine!L241*12),1000*12*INDEX(Surface_Engine!$C$12:$C$72,$A650+1)/(1+Assumptions!$B$10)^20+INDEX(Surface_Engine!$D$12:$D$72,$A650+1)*(1+Assumptions!$B$24)))*INDEX(Surface_Engine!$B$12:$B$72,$A650+1)+J651</f>
        <v>21756.4399612148</v>
      </c>
      <c r="K650" s="12" t="n">
        <f aca="false">SQRT((IF(C650&lt;=0,0,MAX(0,(B650/C650)*G650/INDEX(Surface_Engine!$B$12:$B$72,$A650+1)-F650/INDEX(Surface_Engine!$B$12:$B$72,$A650+1))))^2+(MAX(IF(D650&lt;=0,0,MAX(0,(B650/D650)*H650/INDEX(Surface_Engine!$B$12:$B$72,$A650+1)-F650/INDEX(Surface_Engine!$B$12:$B$72,$A650+1))),IF(E650&lt;=0,0,MAX(0,(B650/E650)*I650/INDEX(Surface_Engine!$B$12:$B$72,$A650+1)-F650/INDEX(Surface_Engine!$B$12:$B$72,$A650+1))),IF($A650&lt;$Q$636,MAX(0,-Assumptions!$B$22*(F650/INDEX(Surface_Engine!$B$12:$B$72,$A650+1))),0)))^2+(MAX(0,J650/INDEX(Surface_Engine!$B$12:$B$72,$A650+1)-(F650/INDEX(Surface_Engine!$B$12:$B$72,$A650+1))))^2+2*Assumptions!$B$26*(IF(C650&lt;=0,0,MAX(0,(B650/C650)*G650/INDEX(Surface_Engine!$B$12:$B$72,$A650+1)-F650/INDEX(Surface_Engine!$B$12:$B$72,$A650+1))))*(MAX(IF(D650&lt;=0,0,MAX(0,(B650/D650)*H650/INDEX(Surface_Engine!$B$12:$B$72,$A650+1)-F650/INDEX(Surface_Engine!$B$12:$B$72,$A650+1))),IF(E650&lt;=0,0,MAX(0,(B650/E650)*I650/INDEX(Surface_Engine!$B$12:$B$72,$A650+1)-F650/INDEX(Surface_Engine!$B$12:$B$72,$A650+1))),IF($A650&lt;$Q$636,MAX(0,-Assumptions!$B$22*(F650/INDEX(Surface_Engine!$B$12:$B$72,$A650+1))),0)))+2*Assumptions!$B$27*(IF(C650&lt;=0,0,MAX(0,(B650/C650)*G650/INDEX(Surface_Engine!$B$12:$B$72,$A650+1)-F650/INDEX(Surface_Engine!$B$12:$B$72,$A650+1))))*(MAX(0,J650/INDEX(Surface_Engine!$B$12:$B$72,$A650+1)-(F650/INDEX(Surface_Engine!$B$12:$B$72,$A650+1))))+2*Assumptions!$B$28*(MAX(IF(D650&lt;=0,0,MAX(0,(B650/D650)*H650/INDEX(Surface_Engine!$B$12:$B$72,$A650+1)-F650/INDEX(Surface_Engine!$B$12:$B$72,$A650+1))),IF(E650&lt;=0,0,MAX(0,(B650/E650)*I650/INDEX(Surface_Engine!$B$12:$B$72,$A650+1)-F650/INDEX(Surface_Engine!$B$12:$B$72,$A650+1))),IF($A650&lt;$Q$636,MAX(0,-Assumptions!$B$22*(F650/INDEX(Surface_Engine!$B$12:$B$72,$A650+1))),0)))*(MAX(0,J650/INDEX(Surface_Engine!$B$12:$B$72,$A650+1)-(F650/INDEX(Surface_Engine!$B$12:$B$72,$A650+1)))))</f>
        <v>8692.83243700488</v>
      </c>
      <c r="L650" s="48" t="n">
        <f aca="false">K650*INDEX(Surface_Engine!$B$12:$B$72,$A650+1)+L651</f>
        <v>74763.2041897192</v>
      </c>
      <c r="M650" s="48" t="n">
        <f aca="false">M649+B649*(IF($A649&lt;$Q$636,(Surface_Engine!L241*12)-(Surface_Engine!L241*12)*INDEX(Surface_Engine!$F$12:$F$72,$A649+1)-INDEX(Surface_Engine!$D$12:$D$72,$A649+1),-(1000*12*INDEX(Surface_Engine!$C$12:$C$72,$A649+1)/(1+Assumptions!$B$10)^20+INDEX(Surface_Engine!$D$12:$D$72,$A649+1))))*INDEX(Surface_Engine!$B$12:$B$72,$A649+1)</f>
        <v>22832.2773495817</v>
      </c>
      <c r="N650" s="12" t="n">
        <f aca="false">IF(B650&lt;=0,0,MAX(0,(K650+Assumptions!$B$29*L650/INDEX(Surface_Engine!$B$12:$B$72,$A650+1)-(M650/INDEX(Surface_Engine!$B$12:$B$72,$A650+1)-(F650/INDEX(Surface_Engine!$B$12:$B$72,$A650+1))))/B650))</f>
        <v>17850.4390667095</v>
      </c>
    </row>
    <row r="651" customFormat="false" ht="15" hidden="false" customHeight="true" outlineLevel="0" collapsed="false">
      <c r="A651" s="1" t="n">
        <v>13</v>
      </c>
      <c r="B651" s="32" t="n">
        <f aca="false">INDEX(Surface_Engine!$L$12:$L$72,$A651+1)*IF($A651&lt;$Q$636,INDEX(Surface_Engine!$E$12:$E$72,$A651+1),INDEX(Surface_Engine!$E$12:$E$72,$Q$636+1))</f>
        <v>0.732331393340358</v>
      </c>
      <c r="C651" s="32" t="n">
        <f aca="false">INDEX(Panel_Reserving!$D$8:$D$68,$A651+1)*IF($A651&lt;$Q$636,INDEX(Surface_Engine!$E$12:$E$72,$A651+1),INDEX(Surface_Engine!$E$12:$E$72,$Q$636+1))</f>
        <v>0.752447351954943</v>
      </c>
      <c r="D651" s="32" t="n">
        <f aca="false">INDEX(Surface_Engine!$L$12:$L$72,$A651+1)*IF($A651&lt;$Q$636,INDEX(Surface_Engine!$Y$12:$Y$72,$A651+1),INDEX(Surface_Engine!$Y$12:$Y$72,$Q$636+1))</f>
        <v>0.6695381562339</v>
      </c>
      <c r="E651" s="32" t="n">
        <f aca="false">INDEX(Surface_Engine!$L$12:$L$72,$A651+1)*IF($A651&lt;$Q$636,INDEX(Surface_Engine!$Z$12:$Z$72,$A651+1),INDEX(Surface_Engine!$Z$12:$Z$72,$Q$636+1))</f>
        <v>0.80031255753899</v>
      </c>
      <c r="F651" s="48" t="n">
        <f aca="false">B651*(IF($A651&lt;$Q$636,INDEX(Surface_Engine!$D$12:$D$72,$A651+1)+(Surface_Engine!L241*12)*INDEX(Surface_Engine!$F$12:$F$72,$A651+1)-(Surface_Engine!L241*12),1000*12*INDEX(Surface_Engine!$C$12:$C$72,$A651+1)/(1+Assumptions!$B$10)^20+INDEX(Surface_Engine!$D$12:$D$72,$A651+1)))*INDEX(Surface_Engine!$B$12:$B$72,$A651+1)+F652</f>
        <v>23167.770838071</v>
      </c>
      <c r="G651" s="48" t="n">
        <f aca="false">C651*(IF($A651&lt;$Q$636,INDEX(Surface_Engine!$D$12:$D$72,$A651+1)+(Surface_Engine!L241*12)*INDEX(Surface_Engine!$F$12:$F$72,$A651+1)-(Surface_Engine!L241*12),1000*12*INDEX(Surface_Engine!$C$12:$C$72,$A651+1)/(1+Assumptions!$B$10)^20+INDEX(Surface_Engine!$D$12:$D$72,$A651+1)))*INDEX(Surface_Engine!$B$12:$B$72,$A651+1)+G652</f>
        <v>29589.6829124505</v>
      </c>
      <c r="H651" s="48" t="n">
        <f aca="false">D651*(IF($A651&lt;$Q$636,INDEX(Surface_Engine!$D$12:$D$72,$A651+1)+(Surface_Engine!L241*12)*INDEX(Surface_Engine!$F$12:$F$72,$A651+1)-(Surface_Engine!L241*12),1000*12*INDEX(Surface_Engine!$C$12:$C$72,$A651+1)/(1+Assumptions!$B$10)^20+INDEX(Surface_Engine!$D$12:$D$72,$A651+1)))*INDEX(Surface_Engine!$B$12:$B$72,$A651+1)+H652</f>
        <v>20368.5916072978</v>
      </c>
      <c r="I651" s="48" t="n">
        <f aca="false">E651*(IF($A651&lt;$Q$636,INDEX(Surface_Engine!$D$12:$D$72,$A651+1)+(Surface_Engine!L241*12)*INDEX(Surface_Engine!$F$12:$F$72,$A651+1)-(Surface_Engine!L241*12),1000*12*INDEX(Surface_Engine!$C$12:$C$72,$A651+1)/(1+Assumptions!$B$10)^20+INDEX(Surface_Engine!$D$12:$D$72,$A651+1)))*INDEX(Surface_Engine!$B$12:$B$72,$A651+1)+I652</f>
        <v>26318.3733485895</v>
      </c>
      <c r="J651" s="48" t="n">
        <f aca="false">B651*(IF($A651&lt;$Q$636,INDEX(Surface_Engine!$D$12:$D$72,$A651+1)*(1+Assumptions!$B$24)+(Surface_Engine!L241*12)*INDEX(Surface_Engine!$F$12:$F$72,$A651+1)-(Surface_Engine!L241*12),1000*12*INDEX(Surface_Engine!$C$12:$C$72,$A651+1)/(1+Assumptions!$B$10)^20+INDEX(Surface_Engine!$D$12:$D$72,$A651+1)*(1+Assumptions!$B$24)))*INDEX(Surface_Engine!$B$12:$B$72,$A651+1)+J652</f>
        <v>23237.6419776162</v>
      </c>
      <c r="K651" s="12" t="n">
        <f aca="false">SQRT((IF(C651&lt;=0,0,MAX(0,(B651/C651)*G651/INDEX(Surface_Engine!$B$12:$B$72,$A651+1)-F651/INDEX(Surface_Engine!$B$12:$B$72,$A651+1))))^2+(MAX(IF(D651&lt;=0,0,MAX(0,(B651/D651)*H651/INDEX(Surface_Engine!$B$12:$B$72,$A651+1)-F651/INDEX(Surface_Engine!$B$12:$B$72,$A651+1))),IF(E651&lt;=0,0,MAX(0,(B651/E651)*I651/INDEX(Surface_Engine!$B$12:$B$72,$A651+1)-F651/INDEX(Surface_Engine!$B$12:$B$72,$A651+1))),IF($A651&lt;$Q$636,MAX(0,-Assumptions!$B$22*(F651/INDEX(Surface_Engine!$B$12:$B$72,$A651+1))),0)))^2+(MAX(0,J651/INDEX(Surface_Engine!$B$12:$B$72,$A651+1)-(F651/INDEX(Surface_Engine!$B$12:$B$72,$A651+1))))^2+2*Assumptions!$B$26*(IF(C651&lt;=0,0,MAX(0,(B651/C651)*G651/INDEX(Surface_Engine!$B$12:$B$72,$A651+1)-F651/INDEX(Surface_Engine!$B$12:$B$72,$A651+1))))*(MAX(IF(D651&lt;=0,0,MAX(0,(B651/D651)*H651/INDEX(Surface_Engine!$B$12:$B$72,$A651+1)-F651/INDEX(Surface_Engine!$B$12:$B$72,$A651+1))),IF(E651&lt;=0,0,MAX(0,(B651/E651)*I651/INDEX(Surface_Engine!$B$12:$B$72,$A651+1)-F651/INDEX(Surface_Engine!$B$12:$B$72,$A651+1))),IF($A651&lt;$Q$636,MAX(0,-Assumptions!$B$22*(F651/INDEX(Surface_Engine!$B$12:$B$72,$A651+1))),0)))+2*Assumptions!$B$27*(IF(C651&lt;=0,0,MAX(0,(B651/C651)*G651/INDEX(Surface_Engine!$B$12:$B$72,$A651+1)-F651/INDEX(Surface_Engine!$B$12:$B$72,$A651+1))))*(MAX(0,J651/INDEX(Surface_Engine!$B$12:$B$72,$A651+1)-(F651/INDEX(Surface_Engine!$B$12:$B$72,$A651+1))))+2*Assumptions!$B$28*(MAX(IF(D651&lt;=0,0,MAX(0,(B651/D651)*H651/INDEX(Surface_Engine!$B$12:$B$72,$A651+1)-F651/INDEX(Surface_Engine!$B$12:$B$72,$A651+1))),IF(E651&lt;=0,0,MAX(0,(B651/E651)*I651/INDEX(Surface_Engine!$B$12:$B$72,$A651+1)-F651/INDEX(Surface_Engine!$B$12:$B$72,$A651+1))),IF($A651&lt;$Q$636,MAX(0,-Assumptions!$B$22*(F651/INDEX(Surface_Engine!$B$12:$B$72,$A651+1))),0)))*(MAX(0,J651/INDEX(Surface_Engine!$B$12:$B$72,$A651+1)-(F651/INDEX(Surface_Engine!$B$12:$B$72,$A651+1)))))</f>
        <v>8772.14710548812</v>
      </c>
      <c r="L651" s="48" t="n">
        <f aca="false">K651*INDEX(Surface_Engine!$B$12:$B$72,$A651+1)+L652</f>
        <v>68660.5409265189</v>
      </c>
      <c r="M651" s="48" t="n">
        <f aca="false">M650+B650*(IF($A650&lt;$Q$636,(Surface_Engine!L241*12)-(Surface_Engine!L241*12)*INDEX(Surface_Engine!$F$12:$F$72,$A650+1)-INDEX(Surface_Engine!$D$12:$D$72,$A650+1),-(1000*12*INDEX(Surface_Engine!$C$12:$C$72,$A650+1)/(1+Assumptions!$B$10)^20+INDEX(Surface_Engine!$D$12:$D$72,$A650+1))))*INDEX(Surface_Engine!$B$12:$B$72,$A650+1)</f>
        <v>24319.309539239</v>
      </c>
      <c r="N651" s="12" t="n">
        <f aca="false">IF(B651&lt;=0,0,MAX(0,(K651+Assumptions!$B$29*L651/INDEX(Surface_Engine!$B$12:$B$72,$A651+1)-(M651/INDEX(Surface_Engine!$B$12:$B$72,$A651+1)-(F651/INDEX(Surface_Engine!$B$12:$B$72,$A651+1))))/B651))</f>
        <v>17955.098327729</v>
      </c>
    </row>
    <row r="652" customFormat="false" ht="15" hidden="false" customHeight="true" outlineLevel="0" collapsed="false">
      <c r="A652" s="1" t="n">
        <v>14</v>
      </c>
      <c r="B652" s="32" t="n">
        <f aca="false">INDEX(Surface_Engine!$L$12:$L$72,$A652+1)*IF($A652&lt;$Q$636,INDEX(Surface_Engine!$E$12:$E$72,$A652+1),INDEX(Surface_Engine!$E$12:$E$72,$Q$636+1))</f>
        <v>0.710568694818408</v>
      </c>
      <c r="C652" s="32" t="n">
        <f aca="false">INDEX(Panel_Reserving!$D$8:$D$68,$A652+1)*IF($A652&lt;$Q$636,INDEX(Surface_Engine!$E$12:$E$72,$A652+1),INDEX(Surface_Engine!$E$12:$E$72,$Q$636+1))</f>
        <v>0.733189510060137</v>
      </c>
      <c r="D652" s="32" t="n">
        <f aca="false">INDEX(Surface_Engine!$L$12:$L$72,$A652+1)*IF($A652&lt;$Q$636,INDEX(Surface_Engine!$Y$12:$Y$72,$A652+1),INDEX(Surface_Engine!$Y$12:$Y$72,$Q$636+1))</f>
        <v>0.646658470711531</v>
      </c>
      <c r="E652" s="32" t="n">
        <f aca="false">INDEX(Surface_Engine!$L$12:$L$72,$A652+1)*IF($A652&lt;$Q$636,INDEX(Surface_Engine!$Z$12:$Z$72,$A652+1),INDEX(Surface_Engine!$Z$12:$Z$72,$Q$636+1))</f>
        <v>0.780095319602169</v>
      </c>
      <c r="F652" s="48" t="n">
        <f aca="false">B652*(IF($A652&lt;$Q$636,INDEX(Surface_Engine!$D$12:$D$72,$A652+1)+(Surface_Engine!L241*12)*INDEX(Surface_Engine!$F$12:$F$72,$A652+1)-(Surface_Engine!L241*12),1000*12*INDEX(Surface_Engine!$C$12:$C$72,$A652+1)/(1+Assumptions!$B$10)^20+INDEX(Surface_Engine!$D$12:$D$72,$A652+1)))*INDEX(Surface_Engine!$B$12:$B$72,$A652+1)+F653</f>
        <v>24563.2662652251</v>
      </c>
      <c r="G652" s="48" t="n">
        <f aca="false">C652*(IF($A652&lt;$Q$636,INDEX(Surface_Engine!$D$12:$D$72,$A652+1)+(Surface_Engine!L241*12)*INDEX(Surface_Engine!$F$12:$F$72,$A652+1)-(Surface_Engine!L241*12),1000*12*INDEX(Surface_Engine!$C$12:$C$72,$A652+1)/(1+Assumptions!$B$10)^20+INDEX(Surface_Engine!$D$12:$D$72,$A652+1)))*INDEX(Surface_Engine!$B$12:$B$72,$A652+1)+G653</f>
        <v>31023.5103413661</v>
      </c>
      <c r="H652" s="48" t="n">
        <f aca="false">D652*(IF($A652&lt;$Q$636,INDEX(Surface_Engine!$D$12:$D$72,$A652+1)+(Surface_Engine!L241*12)*INDEX(Surface_Engine!$F$12:$F$72,$A652+1)-(Surface_Engine!L241*12),1000*12*INDEX(Surface_Engine!$C$12:$C$72,$A652+1)/(1+Assumptions!$B$10)^20+INDEX(Surface_Engine!$D$12:$D$72,$A652+1)))*INDEX(Surface_Engine!$B$12:$B$72,$A652+1)+H653</f>
        <v>21644.4312665371</v>
      </c>
      <c r="I652" s="48" t="n">
        <f aca="false">E652*(IF($A652&lt;$Q$636,INDEX(Surface_Engine!$D$12:$D$72,$A652+1)+(Surface_Engine!L241*12)*INDEX(Surface_Engine!$F$12:$F$72,$A652+1)-(Surface_Engine!L241*12),1000*12*INDEX(Surface_Engine!$C$12:$C$72,$A652+1)/(1+Assumptions!$B$10)^20+INDEX(Surface_Engine!$D$12:$D$72,$A652+1)))*INDEX(Surface_Engine!$B$12:$B$72,$A652+1)+I653</f>
        <v>27843.4104076258</v>
      </c>
      <c r="J652" s="48" t="n">
        <f aca="false">B652*(IF($A652&lt;$Q$636,INDEX(Surface_Engine!$D$12:$D$72,$A652+1)*(1+Assumptions!$B$24)+(Surface_Engine!L241*12)*INDEX(Surface_Engine!$F$12:$F$72,$A652+1)-(Surface_Engine!L241*12),1000*12*INDEX(Surface_Engine!$C$12:$C$72,$A652+1)/(1+Assumptions!$B$10)^20+INDEX(Surface_Engine!$D$12:$D$72,$A652+1)*(1+Assumptions!$B$24)))*INDEX(Surface_Engine!$B$12:$B$72,$A652+1)+J653</f>
        <v>24627.523833186</v>
      </c>
      <c r="K652" s="12" t="n">
        <f aca="false">SQRT((IF(C652&lt;=0,0,MAX(0,(B652/C652)*G652/INDEX(Surface_Engine!$B$12:$B$72,$A652+1)-F652/INDEX(Surface_Engine!$B$12:$B$72,$A652+1))))^2+(MAX(IF(D652&lt;=0,0,MAX(0,(B652/D652)*H652/INDEX(Surface_Engine!$B$12:$B$72,$A652+1)-F652/INDEX(Surface_Engine!$B$12:$B$72,$A652+1))),IF(E652&lt;=0,0,MAX(0,(B652/E652)*I652/INDEX(Surface_Engine!$B$12:$B$72,$A652+1)-F652/INDEX(Surface_Engine!$B$12:$B$72,$A652+1))),IF($A652&lt;$Q$636,MAX(0,-Assumptions!$B$22*(F652/INDEX(Surface_Engine!$B$12:$B$72,$A652+1))),0)))^2+(MAX(0,J652/INDEX(Surface_Engine!$B$12:$B$72,$A652+1)-(F652/INDEX(Surface_Engine!$B$12:$B$72,$A652+1))))^2+2*Assumptions!$B$26*(IF(C652&lt;=0,0,MAX(0,(B652/C652)*G652/INDEX(Surface_Engine!$B$12:$B$72,$A652+1)-F652/INDEX(Surface_Engine!$B$12:$B$72,$A652+1))))*(MAX(IF(D652&lt;=0,0,MAX(0,(B652/D652)*H652/INDEX(Surface_Engine!$B$12:$B$72,$A652+1)-F652/INDEX(Surface_Engine!$B$12:$B$72,$A652+1))),IF(E652&lt;=0,0,MAX(0,(B652/E652)*I652/INDEX(Surface_Engine!$B$12:$B$72,$A652+1)-F652/INDEX(Surface_Engine!$B$12:$B$72,$A652+1))),IF($A652&lt;$Q$636,MAX(0,-Assumptions!$B$22*(F652/INDEX(Surface_Engine!$B$12:$B$72,$A652+1))),0)))+2*Assumptions!$B$27*(IF(C652&lt;=0,0,MAX(0,(B652/C652)*G652/INDEX(Surface_Engine!$B$12:$B$72,$A652+1)-F652/INDEX(Surface_Engine!$B$12:$B$72,$A652+1))))*(MAX(0,J652/INDEX(Surface_Engine!$B$12:$B$72,$A652+1)-(F652/INDEX(Surface_Engine!$B$12:$B$72,$A652+1))))+2*Assumptions!$B$28*(MAX(IF(D652&lt;=0,0,MAX(0,(B652/D652)*H652/INDEX(Surface_Engine!$B$12:$B$72,$A652+1)-F652/INDEX(Surface_Engine!$B$12:$B$72,$A652+1))),IF(E652&lt;=0,0,MAX(0,(B652/E652)*I652/INDEX(Surface_Engine!$B$12:$B$72,$A652+1)-F652/INDEX(Surface_Engine!$B$12:$B$72,$A652+1))),IF($A652&lt;$Q$636,MAX(0,-Assumptions!$B$22*(F652/INDEX(Surface_Engine!$B$12:$B$72,$A652+1))),0)))*(MAX(0,J652/INDEX(Surface_Engine!$B$12:$B$72,$A652+1)-(F652/INDEX(Surface_Engine!$B$12:$B$72,$A652+1)))))</f>
        <v>8810.38975953364</v>
      </c>
      <c r="L652" s="48" t="n">
        <f aca="false">K652*INDEX(Surface_Engine!$B$12:$B$72,$A652+1)+L653</f>
        <v>62711.9594150786</v>
      </c>
      <c r="M652" s="48" t="n">
        <f aca="false">M651+B651*(IF($A651&lt;$Q$636,(Surface_Engine!L241*12)-(Surface_Engine!L241*12)*INDEX(Surface_Engine!$F$12:$F$72,$A651+1)-INDEX(Surface_Engine!$D$12:$D$72,$A651+1),-(1000*12*INDEX(Surface_Engine!$C$12:$C$72,$A651+1)/(1+Assumptions!$B$10)^20+INDEX(Surface_Engine!$D$12:$D$72,$A651+1))))*INDEX(Surface_Engine!$B$12:$B$72,$A651+1)</f>
        <v>25714.8049663932</v>
      </c>
      <c r="N652" s="12" t="n">
        <f aca="false">IF(B652&lt;=0,0,MAX(0,(K652+Assumptions!$B$29*L652/INDEX(Surface_Engine!$B$12:$B$72,$A652+1)-(M652/INDEX(Surface_Engine!$B$12:$B$72,$A652+1)-(F652/INDEX(Surface_Engine!$B$12:$B$72,$A652+1))))/B652))</f>
        <v>18005.2796785555</v>
      </c>
    </row>
    <row r="653" customFormat="false" ht="15" hidden="false" customHeight="true" outlineLevel="0" collapsed="false">
      <c r="A653" s="1" t="n">
        <v>15</v>
      </c>
      <c r="B653" s="32" t="n">
        <f aca="false">INDEX(Surface_Engine!$L$12:$L$72,$A653+1)*IF($A653&lt;$Q$636,INDEX(Surface_Engine!$E$12:$E$72,$A653+1),INDEX(Surface_Engine!$E$12:$E$72,$Q$636+1))</f>
        <v>0.687680981645694</v>
      </c>
      <c r="C653" s="32" t="n">
        <f aca="false">INDEX(Panel_Reserving!$D$8:$D$68,$A653+1)*IF($A653&lt;$Q$636,INDEX(Surface_Engine!$E$12:$E$72,$A653+1),INDEX(Surface_Engine!$E$12:$E$72,$Q$636+1))</f>
        <v>0.712962033920438</v>
      </c>
      <c r="D653" s="32" t="n">
        <f aca="false">INDEX(Surface_Engine!$L$12:$L$72,$A653+1)*IF($A653&lt;$Q$636,INDEX(Surface_Engine!$Y$12:$Y$72,$A653+1),INDEX(Surface_Engine!$Y$12:$Y$72,$Q$636+1))</f>
        <v>0.622955658541371</v>
      </c>
      <c r="E653" s="32" t="n">
        <f aca="false">INDEX(Surface_Engine!$L$12:$L$72,$A653+1)*IF($A653&lt;$Q$636,INDEX(Surface_Engine!$Z$12:$Z$72,$A653+1),INDEX(Surface_Engine!$Z$12:$Z$72,$Q$636+1))</f>
        <v>0.758434776427366</v>
      </c>
      <c r="F653" s="48" t="n">
        <f aca="false">B653*(IF($A653&lt;$Q$636,INDEX(Surface_Engine!$D$12:$D$72,$A653+1)+(Surface_Engine!L241*12)*INDEX(Surface_Engine!$F$12:$F$72,$A653+1)-(Surface_Engine!L241*12),1000*12*INDEX(Surface_Engine!$C$12:$C$72,$A653+1)/(1+Assumptions!$B$10)^20+INDEX(Surface_Engine!$D$12:$D$72,$A653+1)))*INDEX(Surface_Engine!$B$12:$B$72,$A653+1)+F654</f>
        <v>25870.7714932374</v>
      </c>
      <c r="G653" s="48" t="n">
        <f aca="false">C653*(IF($A653&lt;$Q$636,INDEX(Surface_Engine!$D$12:$D$72,$A653+1)+(Surface_Engine!L241*12)*INDEX(Surface_Engine!$F$12:$F$72,$A653+1)-(Surface_Engine!L241*12),1000*12*INDEX(Surface_Engine!$C$12:$C$72,$A653+1)/(1+Assumptions!$B$10)^20+INDEX(Surface_Engine!$D$12:$D$72,$A653+1)))*INDEX(Surface_Engine!$B$12:$B$72,$A653+1)+G654</f>
        <v>32372.6397422503</v>
      </c>
      <c r="H653" s="48" t="n">
        <f aca="false">D653*(IF($A653&lt;$Q$636,INDEX(Surface_Engine!$D$12:$D$72,$A653+1)+(Surface_Engine!L241*12)*INDEX(Surface_Engine!$F$12:$F$72,$A653+1)-(Surface_Engine!L241*12),1000*12*INDEX(Surface_Engine!$C$12:$C$72,$A653+1)/(1+Assumptions!$B$10)^20+INDEX(Surface_Engine!$D$12:$D$72,$A653+1)))*INDEX(Surface_Engine!$B$12:$B$72,$A653+1)+H654</f>
        <v>22834.3363909246</v>
      </c>
      <c r="I653" s="48" t="n">
        <f aca="false">E653*(IF($A653&lt;$Q$636,INDEX(Surface_Engine!$D$12:$D$72,$A653+1)+(Surface_Engine!L241*12)*INDEX(Surface_Engine!$F$12:$F$72,$A653+1)-(Surface_Engine!L241*12),1000*12*INDEX(Surface_Engine!$C$12:$C$72,$A653+1)/(1+Assumptions!$B$10)^20+INDEX(Surface_Engine!$D$12:$D$72,$A653+1)))*INDEX(Surface_Engine!$B$12:$B$72,$A653+1)+I654</f>
        <v>29278.8503815025</v>
      </c>
      <c r="J653" s="48" t="n">
        <f aca="false">B653*(IF($A653&lt;$Q$636,INDEX(Surface_Engine!$D$12:$D$72,$A653+1)*(1+Assumptions!$B$24)+(Surface_Engine!L241*12)*INDEX(Surface_Engine!$F$12:$F$72,$A653+1)-(Surface_Engine!L241*12),1000*12*INDEX(Surface_Engine!$C$12:$C$72,$A653+1)/(1+Assumptions!$B$10)^20+INDEX(Surface_Engine!$D$12:$D$72,$A653+1)*(1+Assumptions!$B$24)))*INDEX(Surface_Engine!$B$12:$B$72,$A653+1)+J654</f>
        <v>25929.6325246969</v>
      </c>
      <c r="K653" s="12" t="n">
        <f aca="false">SQRT((IF(C653&lt;=0,0,MAX(0,(B653/C653)*G653/INDEX(Surface_Engine!$B$12:$B$72,$A653+1)-F653/INDEX(Surface_Engine!$B$12:$B$72,$A653+1))))^2+(MAX(IF(D653&lt;=0,0,MAX(0,(B653/D653)*H653/INDEX(Surface_Engine!$B$12:$B$72,$A653+1)-F653/INDEX(Surface_Engine!$B$12:$B$72,$A653+1))),IF(E653&lt;=0,0,MAX(0,(B653/E653)*I653/INDEX(Surface_Engine!$B$12:$B$72,$A653+1)-F653/INDEX(Surface_Engine!$B$12:$B$72,$A653+1))),IF($A653&lt;$Q$636,MAX(0,-Assumptions!$B$22*(F653/INDEX(Surface_Engine!$B$12:$B$72,$A653+1))),0)))^2+(MAX(0,J653/INDEX(Surface_Engine!$B$12:$B$72,$A653+1)-(F653/INDEX(Surface_Engine!$B$12:$B$72,$A653+1))))^2+2*Assumptions!$B$26*(IF(C653&lt;=0,0,MAX(0,(B653/C653)*G653/INDEX(Surface_Engine!$B$12:$B$72,$A653+1)-F653/INDEX(Surface_Engine!$B$12:$B$72,$A653+1))))*(MAX(IF(D653&lt;=0,0,MAX(0,(B653/D653)*H653/INDEX(Surface_Engine!$B$12:$B$72,$A653+1)-F653/INDEX(Surface_Engine!$B$12:$B$72,$A653+1))),IF(E653&lt;=0,0,MAX(0,(B653/E653)*I653/INDEX(Surface_Engine!$B$12:$B$72,$A653+1)-F653/INDEX(Surface_Engine!$B$12:$B$72,$A653+1))),IF($A653&lt;$Q$636,MAX(0,-Assumptions!$B$22*(F653/INDEX(Surface_Engine!$B$12:$B$72,$A653+1))),0)))+2*Assumptions!$B$27*(IF(C653&lt;=0,0,MAX(0,(B653/C653)*G653/INDEX(Surface_Engine!$B$12:$B$72,$A653+1)-F653/INDEX(Surface_Engine!$B$12:$B$72,$A653+1))))*(MAX(0,J653/INDEX(Surface_Engine!$B$12:$B$72,$A653+1)-(F653/INDEX(Surface_Engine!$B$12:$B$72,$A653+1))))+2*Assumptions!$B$28*(MAX(IF(D653&lt;=0,0,MAX(0,(B653/D653)*H653/INDEX(Surface_Engine!$B$12:$B$72,$A653+1)-F653/INDEX(Surface_Engine!$B$12:$B$72,$A653+1))),IF(E653&lt;=0,0,MAX(0,(B653/E653)*I653/INDEX(Surface_Engine!$B$12:$B$72,$A653+1)-F653/INDEX(Surface_Engine!$B$12:$B$72,$A653+1))),IF($A653&lt;$Q$636,MAX(0,-Assumptions!$B$22*(F653/INDEX(Surface_Engine!$B$12:$B$72,$A653+1))),0)))*(MAX(0,J653/INDEX(Surface_Engine!$B$12:$B$72,$A653+1)-(F653/INDEX(Surface_Engine!$B$12:$B$72,$A653+1)))))</f>
        <v>8829.7302796131</v>
      </c>
      <c r="L653" s="48" t="n">
        <f aca="false">K653*INDEX(Surface_Engine!$B$12:$B$72,$A653+1)+L654</f>
        <v>56936.9033816366</v>
      </c>
      <c r="M653" s="48" t="n">
        <f aca="false">M652+B652*(IF($A652&lt;$Q$636,(Surface_Engine!L241*12)-(Surface_Engine!L241*12)*INDEX(Surface_Engine!$F$12:$F$72,$A652+1)-INDEX(Surface_Engine!$D$12:$D$72,$A652+1),-(1000*12*INDEX(Surface_Engine!$C$12:$C$72,$A652+1)/(1+Assumptions!$B$10)^20+INDEX(Surface_Engine!$D$12:$D$72,$A652+1))))*INDEX(Surface_Engine!$B$12:$B$72,$A652+1)</f>
        <v>27022.3101944055</v>
      </c>
      <c r="N653" s="12" t="n">
        <f aca="false">IF(B653&lt;=0,0,MAX(0,(K653+Assumptions!$B$29*L653/INDEX(Surface_Engine!$B$12:$B$72,$A653+1)-(M653/INDEX(Surface_Engine!$B$12:$B$72,$A653+1)-(F653/INDEX(Surface_Engine!$B$12:$B$72,$A653+1))))/B653))</f>
        <v>18051.1058694156</v>
      </c>
    </row>
    <row r="654" customFormat="false" ht="15" hidden="false" customHeight="true" outlineLevel="0" collapsed="false">
      <c r="A654" s="1" t="n">
        <v>16</v>
      </c>
      <c r="B654" s="32" t="n">
        <f aca="false">INDEX(Surface_Engine!$L$12:$L$72,$A654+1)*IF($A654&lt;$Q$636,INDEX(Surface_Engine!$E$12:$E$72,$A654+1),INDEX(Surface_Engine!$E$12:$E$72,$Q$636+1))</f>
        <v>0.662987495362084</v>
      </c>
      <c r="C654" s="32" t="n">
        <f aca="false">INDEX(Panel_Reserving!$D$8:$D$68,$A654+1)*IF($A654&lt;$Q$636,INDEX(Surface_Engine!$E$12:$E$72,$A654+1),INDEX(Surface_Engine!$E$12:$E$72,$Q$636+1))</f>
        <v>0.69118341338404</v>
      </c>
      <c r="D654" s="32" t="n">
        <f aca="false">INDEX(Surface_Engine!$L$12:$L$72,$A654+1)*IF($A654&lt;$Q$636,INDEX(Surface_Engine!$Y$12:$Y$72,$A654+1),INDEX(Surface_Engine!$Y$12:$Y$72,$Q$636+1))</f>
        <v>0.597828587974763</v>
      </c>
      <c r="E654" s="32" t="n">
        <f aca="false">INDEX(Surface_Engine!$L$12:$L$72,$A654+1)*IF($A654&lt;$Q$636,INDEX(Surface_Engine!$Z$12:$Z$72,$A654+1),INDEX(Surface_Engine!$Z$12:$Z$72,$Q$636+1))</f>
        <v>0.734558154738446</v>
      </c>
      <c r="F654" s="48" t="n">
        <f aca="false">B654*(IF($A654&lt;$Q$636,INDEX(Surface_Engine!$D$12:$D$72,$A654+1)+(Surface_Engine!L241*12)*INDEX(Surface_Engine!$F$12:$F$72,$A654+1)-(Surface_Engine!L241*12),1000*12*INDEX(Surface_Engine!$C$12:$C$72,$A654+1)/(1+Assumptions!$B$10)^20+INDEX(Surface_Engine!$D$12:$D$72,$A654+1)))*INDEX(Surface_Engine!$B$12:$B$72,$A654+1)+F655</f>
        <v>27089.4599048075</v>
      </c>
      <c r="G654" s="48" t="n">
        <f aca="false">C654*(IF($A654&lt;$Q$636,INDEX(Surface_Engine!$D$12:$D$72,$A654+1)+(Surface_Engine!L241*12)*INDEX(Surface_Engine!$F$12:$F$72,$A654+1)-(Surface_Engine!L241*12),1000*12*INDEX(Surface_Engine!$C$12:$C$72,$A654+1)/(1+Assumptions!$B$10)^20+INDEX(Surface_Engine!$D$12:$D$72,$A654+1)))*INDEX(Surface_Engine!$B$12:$B$72,$A654+1)+G655</f>
        <v>33636.130505873</v>
      </c>
      <c r="H654" s="48" t="n">
        <f aca="false">D654*(IF($A654&lt;$Q$636,INDEX(Surface_Engine!$D$12:$D$72,$A654+1)+(Surface_Engine!L241*12)*INDEX(Surface_Engine!$F$12:$F$72,$A654+1)-(Surface_Engine!L241*12),1000*12*INDEX(Surface_Engine!$C$12:$C$72,$A654+1)/(1+Assumptions!$B$10)^20+INDEX(Surface_Engine!$D$12:$D$72,$A654+1)))*INDEX(Surface_Engine!$B$12:$B$72,$A654+1)+H655</f>
        <v>23938.3204507565</v>
      </c>
      <c r="I654" s="48" t="n">
        <f aca="false">E654*(IF($A654&lt;$Q$636,INDEX(Surface_Engine!$D$12:$D$72,$A654+1)+(Surface_Engine!L241*12)*INDEX(Surface_Engine!$F$12:$F$72,$A654+1)-(Surface_Engine!L241*12),1000*12*INDEX(Surface_Engine!$C$12:$C$72,$A654+1)/(1+Assumptions!$B$10)^20+INDEX(Surface_Engine!$D$12:$D$72,$A654+1)))*INDEX(Surface_Engine!$B$12:$B$72,$A654+1)+I655</f>
        <v>30622.9266285319</v>
      </c>
      <c r="J654" s="48" t="n">
        <f aca="false">B654*(IF($A654&lt;$Q$636,INDEX(Surface_Engine!$D$12:$D$72,$A654+1)*(1+Assumptions!$B$24)+(Surface_Engine!L241*12)*INDEX(Surface_Engine!$F$12:$F$72,$A654+1)-(Surface_Engine!L241*12),1000*12*INDEX(Surface_Engine!$C$12:$C$72,$A654+1)/(1+Assumptions!$B$10)^20+INDEX(Surface_Engine!$D$12:$D$72,$A654+1)*(1+Assumptions!$B$24)))*INDEX(Surface_Engine!$B$12:$B$72,$A654+1)+J655</f>
        <v>27143.1599038753</v>
      </c>
      <c r="K654" s="12" t="n">
        <f aca="false">SQRT((IF(C654&lt;=0,0,MAX(0,(B654/C654)*G654/INDEX(Surface_Engine!$B$12:$B$72,$A654+1)-F654/INDEX(Surface_Engine!$B$12:$B$72,$A654+1))))^2+(MAX(IF(D654&lt;=0,0,MAX(0,(B654/D654)*H654/INDEX(Surface_Engine!$B$12:$B$72,$A654+1)-F654/INDEX(Surface_Engine!$B$12:$B$72,$A654+1))),IF(E654&lt;=0,0,MAX(0,(B654/E654)*I654/INDEX(Surface_Engine!$B$12:$B$72,$A654+1)-F654/INDEX(Surface_Engine!$B$12:$B$72,$A654+1))),IF($A654&lt;$Q$636,MAX(0,-Assumptions!$B$22*(F654/INDEX(Surface_Engine!$B$12:$B$72,$A654+1))),0)))^2+(MAX(0,J654/INDEX(Surface_Engine!$B$12:$B$72,$A654+1)-(F654/INDEX(Surface_Engine!$B$12:$B$72,$A654+1))))^2+2*Assumptions!$B$26*(IF(C654&lt;=0,0,MAX(0,(B654/C654)*G654/INDEX(Surface_Engine!$B$12:$B$72,$A654+1)-F654/INDEX(Surface_Engine!$B$12:$B$72,$A654+1))))*(MAX(IF(D654&lt;=0,0,MAX(0,(B654/D654)*H654/INDEX(Surface_Engine!$B$12:$B$72,$A654+1)-F654/INDEX(Surface_Engine!$B$12:$B$72,$A654+1))),IF(E654&lt;=0,0,MAX(0,(B654/E654)*I654/INDEX(Surface_Engine!$B$12:$B$72,$A654+1)-F654/INDEX(Surface_Engine!$B$12:$B$72,$A654+1))),IF($A654&lt;$Q$636,MAX(0,-Assumptions!$B$22*(F654/INDEX(Surface_Engine!$B$12:$B$72,$A654+1))),0)))+2*Assumptions!$B$27*(IF(C654&lt;=0,0,MAX(0,(B654/C654)*G654/INDEX(Surface_Engine!$B$12:$B$72,$A654+1)-F654/INDEX(Surface_Engine!$B$12:$B$72,$A654+1))))*(MAX(0,J654/INDEX(Surface_Engine!$B$12:$B$72,$A654+1)-(F654/INDEX(Surface_Engine!$B$12:$B$72,$A654+1))))+2*Assumptions!$B$28*(MAX(IF(D654&lt;=0,0,MAX(0,(B654/D654)*H654/INDEX(Surface_Engine!$B$12:$B$72,$A654+1)-F654/INDEX(Surface_Engine!$B$12:$B$72,$A654+1))),IF(E654&lt;=0,0,MAX(0,(B654/E654)*I654/INDEX(Surface_Engine!$B$12:$B$72,$A654+1)-F654/INDEX(Surface_Engine!$B$12:$B$72,$A654+1))),IF($A654&lt;$Q$636,MAX(0,-Assumptions!$B$22*(F654/INDEX(Surface_Engine!$B$12:$B$72,$A654+1))),0)))*(MAX(0,J654/INDEX(Surface_Engine!$B$12:$B$72,$A654+1)-(F654/INDEX(Surface_Engine!$B$12:$B$72,$A654+1)))))</f>
        <v>8779.97976979997</v>
      </c>
      <c r="L654" s="48" t="n">
        <f aca="false">K654*INDEX(Surface_Engine!$B$12:$B$72,$A654+1)+L655</f>
        <v>51357.0193206383</v>
      </c>
      <c r="M654" s="48" t="n">
        <f aca="false">M653+B653*(IF($A653&lt;$Q$636,(Surface_Engine!L241*12)-(Surface_Engine!L241*12)*INDEX(Surface_Engine!$F$12:$F$72,$A653+1)-INDEX(Surface_Engine!$D$12:$D$72,$A653+1),-(1000*12*INDEX(Surface_Engine!$C$12:$C$72,$A653+1)/(1+Assumptions!$B$10)^20+INDEX(Surface_Engine!$D$12:$D$72,$A653+1))))*INDEX(Surface_Engine!$B$12:$B$72,$A653+1)</f>
        <v>28240.9986059756</v>
      </c>
      <c r="N654" s="12" t="n">
        <f aca="false">IF(B654&lt;=0,0,MAX(0,(K654+Assumptions!$B$29*L654/INDEX(Surface_Engine!$B$12:$B$72,$A654+1)-(M654/INDEX(Surface_Engine!$B$12:$B$72,$A654+1)-(F654/INDEX(Surface_Engine!$B$12:$B$72,$A654+1))))/B654))</f>
        <v>18016.0630777998</v>
      </c>
    </row>
    <row r="655" customFormat="false" ht="15" hidden="false" customHeight="true" outlineLevel="0" collapsed="false">
      <c r="A655" s="1" t="n">
        <v>17</v>
      </c>
      <c r="B655" s="32" t="n">
        <f aca="false">INDEX(Surface_Engine!$L$12:$L$72,$A655+1)*IF($A655&lt;$Q$636,INDEX(Surface_Engine!$E$12:$E$72,$A655+1),INDEX(Surface_Engine!$E$12:$E$72,$Q$636+1))</f>
        <v>0.637007260288234</v>
      </c>
      <c r="C655" s="32" t="n">
        <f aca="false">INDEX(Panel_Reserving!$D$8:$D$68,$A655+1)*IF($A655&lt;$Q$636,INDEX(Surface_Engine!$E$12:$E$72,$A655+1),INDEX(Surface_Engine!$E$12:$E$72,$Q$636+1))</f>
        <v>0.668257349467667</v>
      </c>
      <c r="D655" s="32" t="n">
        <f aca="false">INDEX(Surface_Engine!$L$12:$L$72,$A655+1)*IF($A655&lt;$Q$636,INDEX(Surface_Engine!$Y$12:$Y$72,$A655+1),INDEX(Surface_Engine!$Y$12:$Y$72,$Q$636+1))</f>
        <v>0.571764180557545</v>
      </c>
      <c r="E655" s="32" t="n">
        <f aca="false">INDEX(Surface_Engine!$L$12:$L$72,$A655+1)*IF($A655&lt;$Q$636,INDEX(Surface_Engine!$Z$12:$Z$72,$A655+1),INDEX(Surface_Engine!$Z$12:$Z$72,$Q$636+1))</f>
        <v>0.709014067323085</v>
      </c>
      <c r="F655" s="48" t="n">
        <f aca="false">B655*(IF($A655&lt;$Q$636,INDEX(Surface_Engine!$D$12:$D$72,$A655+1)+(Surface_Engine!L241*12)*INDEX(Surface_Engine!$F$12:$F$72,$A655+1)-(Surface_Engine!L241*12),1000*12*INDEX(Surface_Engine!$C$12:$C$72,$A655+1)/(1+Assumptions!$B$10)^20+INDEX(Surface_Engine!$D$12:$D$72,$A655+1)))*INDEX(Surface_Engine!$B$12:$B$72,$A655+1)+F656</f>
        <v>28222.1381602004</v>
      </c>
      <c r="G655" s="48" t="n">
        <f aca="false">C655*(IF($A655&lt;$Q$636,INDEX(Surface_Engine!$D$12:$D$72,$A655+1)+(Surface_Engine!L241*12)*INDEX(Surface_Engine!$F$12:$F$72,$A655+1)-(Surface_Engine!L241*12),1000*12*INDEX(Surface_Engine!$C$12:$C$72,$A655+1)/(1+Assumptions!$B$10)^20+INDEX(Surface_Engine!$D$12:$D$72,$A655+1)))*INDEX(Surface_Engine!$B$12:$B$72,$A655+1)+G656</f>
        <v>34816.9799612624</v>
      </c>
      <c r="H655" s="48" t="n">
        <f aca="false">D655*(IF($A655&lt;$Q$636,INDEX(Surface_Engine!$D$12:$D$72,$A655+1)+(Surface_Engine!L241*12)*INDEX(Surface_Engine!$F$12:$F$72,$A655+1)-(Surface_Engine!L241*12),1000*12*INDEX(Surface_Engine!$C$12:$C$72,$A655+1)/(1+Assumptions!$B$10)^20+INDEX(Surface_Engine!$D$12:$D$72,$A655+1)))*INDEX(Surface_Engine!$B$12:$B$72,$A655+1)+H656</f>
        <v>24959.678239234</v>
      </c>
      <c r="I655" s="48" t="n">
        <f aca="false">E655*(IF($A655&lt;$Q$636,INDEX(Surface_Engine!$D$12:$D$72,$A655+1)+(Surface_Engine!L241*12)*INDEX(Surface_Engine!$F$12:$F$72,$A655+1)-(Surface_Engine!L241*12),1000*12*INDEX(Surface_Engine!$C$12:$C$72,$A655+1)/(1+Assumptions!$B$10)^20+INDEX(Surface_Engine!$D$12:$D$72,$A655+1)))*INDEX(Surface_Engine!$B$12:$B$72,$A655+1)+I656</f>
        <v>31877.8794821138</v>
      </c>
      <c r="J655" s="48" t="n">
        <f aca="false">B655*(IF($A655&lt;$Q$636,INDEX(Surface_Engine!$D$12:$D$72,$A655+1)*(1+Assumptions!$B$24)+(Surface_Engine!L241*12)*INDEX(Surface_Engine!$F$12:$F$72,$A655+1)-(Surface_Engine!L241*12),1000*12*INDEX(Surface_Engine!$C$12:$C$72,$A655+1)/(1+Assumptions!$B$10)^20+INDEX(Surface_Engine!$D$12:$D$72,$A655+1)*(1+Assumptions!$B$24)))*INDEX(Surface_Engine!$B$12:$B$72,$A655+1)+J656</f>
        <v>28270.91624126</v>
      </c>
      <c r="K655" s="12" t="n">
        <f aca="false">SQRT((IF(C655&lt;=0,0,MAX(0,(B655/C655)*G655/INDEX(Surface_Engine!$B$12:$B$72,$A655+1)-F655/INDEX(Surface_Engine!$B$12:$B$72,$A655+1))))^2+(MAX(IF(D655&lt;=0,0,MAX(0,(B655/D655)*H655/INDEX(Surface_Engine!$B$12:$B$72,$A655+1)-F655/INDEX(Surface_Engine!$B$12:$B$72,$A655+1))),IF(E655&lt;=0,0,MAX(0,(B655/E655)*I655/INDEX(Surface_Engine!$B$12:$B$72,$A655+1)-F655/INDEX(Surface_Engine!$B$12:$B$72,$A655+1))),IF($A655&lt;$Q$636,MAX(0,-Assumptions!$B$22*(F655/INDEX(Surface_Engine!$B$12:$B$72,$A655+1))),0)))^2+(MAX(0,J655/INDEX(Surface_Engine!$B$12:$B$72,$A655+1)-(F655/INDEX(Surface_Engine!$B$12:$B$72,$A655+1))))^2+2*Assumptions!$B$26*(IF(C655&lt;=0,0,MAX(0,(B655/C655)*G655/INDEX(Surface_Engine!$B$12:$B$72,$A655+1)-F655/INDEX(Surface_Engine!$B$12:$B$72,$A655+1))))*(MAX(IF(D655&lt;=0,0,MAX(0,(B655/D655)*H655/INDEX(Surface_Engine!$B$12:$B$72,$A655+1)-F655/INDEX(Surface_Engine!$B$12:$B$72,$A655+1))),IF(E655&lt;=0,0,MAX(0,(B655/E655)*I655/INDEX(Surface_Engine!$B$12:$B$72,$A655+1)-F655/INDEX(Surface_Engine!$B$12:$B$72,$A655+1))),IF($A655&lt;$Q$636,MAX(0,-Assumptions!$B$22*(F655/INDEX(Surface_Engine!$B$12:$B$72,$A655+1))),0)))+2*Assumptions!$B$27*(IF(C655&lt;=0,0,MAX(0,(B655/C655)*G655/INDEX(Surface_Engine!$B$12:$B$72,$A655+1)-F655/INDEX(Surface_Engine!$B$12:$B$72,$A655+1))))*(MAX(0,J655/INDEX(Surface_Engine!$B$12:$B$72,$A655+1)-(F655/INDEX(Surface_Engine!$B$12:$B$72,$A655+1))))+2*Assumptions!$B$28*(MAX(IF(D655&lt;=0,0,MAX(0,(B655/D655)*H655/INDEX(Surface_Engine!$B$12:$B$72,$A655+1)-F655/INDEX(Surface_Engine!$B$12:$B$72,$A655+1))),IF(E655&lt;=0,0,MAX(0,(B655/E655)*I655/INDEX(Surface_Engine!$B$12:$B$72,$A655+1)-F655/INDEX(Surface_Engine!$B$12:$B$72,$A655+1))),IF($A655&lt;$Q$636,MAX(0,-Assumptions!$B$22*(F655/INDEX(Surface_Engine!$B$12:$B$72,$A655+1))),0)))*(MAX(0,J655/INDEX(Surface_Engine!$B$12:$B$72,$A655+1)-(F655/INDEX(Surface_Engine!$B$12:$B$72,$A655+1)))))</f>
        <v>8651.77020573818</v>
      </c>
      <c r="L655" s="48" t="n">
        <f aca="false">K655*INDEX(Surface_Engine!$B$12:$B$72,$A655+1)+L656</f>
        <v>46002.421534742</v>
      </c>
      <c r="M655" s="48" t="n">
        <f aca="false">M654+B654*(IF($A654&lt;$Q$636,(Surface_Engine!L241*12)-(Surface_Engine!L241*12)*INDEX(Surface_Engine!$F$12:$F$72,$A654+1)-INDEX(Surface_Engine!$D$12:$D$72,$A654+1),-(1000*12*INDEX(Surface_Engine!$C$12:$C$72,$A654+1)/(1+Assumptions!$B$10)^20+INDEX(Surface_Engine!$D$12:$D$72,$A654+1))))*INDEX(Surface_Engine!$B$12:$B$72,$A654+1)</f>
        <v>29373.6768613685</v>
      </c>
      <c r="N655" s="12" t="n">
        <f aca="false">IF(B655&lt;=0,0,MAX(0,(K655+Assumptions!$B$29*L655/INDEX(Surface_Engine!$B$12:$B$72,$A655+1)-(M655/INDEX(Surface_Engine!$B$12:$B$72,$A655+1)-(F655/INDEX(Surface_Engine!$B$12:$B$72,$A655+1))))/B655))</f>
        <v>17864.5448166726</v>
      </c>
    </row>
    <row r="656" customFormat="false" ht="15" hidden="false" customHeight="true" outlineLevel="0" collapsed="false">
      <c r="A656" s="1" t="n">
        <v>18</v>
      </c>
      <c r="B656" s="32" t="n">
        <f aca="false">INDEX(Surface_Engine!$L$12:$L$72,$A656+1)*IF($A656&lt;$Q$636,INDEX(Surface_Engine!$E$12:$E$72,$A656+1),INDEX(Surface_Engine!$E$12:$E$72,$Q$636+1))</f>
        <v>0.609697929223295</v>
      </c>
      <c r="C656" s="32" t="n">
        <f aca="false">INDEX(Panel_Reserving!$D$8:$D$68,$A656+1)*IF($A656&lt;$Q$636,INDEX(Surface_Engine!$E$12:$E$72,$A656+1),INDEX(Surface_Engine!$E$12:$E$72,$Q$636+1))</f>
        <v>0.644121870614103</v>
      </c>
      <c r="D656" s="32" t="n">
        <f aca="false">INDEX(Surface_Engine!$L$12:$L$72,$A656+1)*IF($A656&lt;$Q$636,INDEX(Surface_Engine!$Y$12:$Y$72,$A656+1),INDEX(Surface_Engine!$Y$12:$Y$72,$Q$636+1))</f>
        <v>0.544739042086981</v>
      </c>
      <c r="E656" s="32" t="n">
        <f aca="false">INDEX(Surface_Engine!$L$12:$L$72,$A656+1)*IF($A656&lt;$Q$636,INDEX(Surface_Engine!$Z$12:$Z$72,$A656+1),INDEX(Surface_Engine!$Z$12:$Z$72,$Q$636+1))</f>
        <v>0.681733777429967</v>
      </c>
      <c r="F656" s="48" t="n">
        <f aca="false">B656*(IF($A656&lt;$Q$636,INDEX(Surface_Engine!$D$12:$D$72,$A656+1)+(Surface_Engine!L241*12)*INDEX(Surface_Engine!$F$12:$F$72,$A656+1)-(Surface_Engine!L241*12),1000*12*INDEX(Surface_Engine!$C$12:$C$72,$A656+1)/(1+Assumptions!$B$10)^20+INDEX(Surface_Engine!$D$12:$D$72,$A656+1)))*INDEX(Surface_Engine!$B$12:$B$72,$A656+1)+F657</f>
        <v>29273.213458868</v>
      </c>
      <c r="G656" s="48" t="n">
        <f aca="false">C656*(IF($A656&lt;$Q$636,INDEX(Surface_Engine!$D$12:$D$72,$A656+1)+(Surface_Engine!L241*12)*INDEX(Surface_Engine!$F$12:$F$72,$A656+1)-(Surface_Engine!L241*12),1000*12*INDEX(Surface_Engine!$C$12:$C$72,$A656+1)/(1+Assumptions!$B$10)^20+INDEX(Surface_Engine!$D$12:$D$72,$A656+1)))*INDEX(Surface_Engine!$B$12:$B$72,$A656+1)+G657</f>
        <v>35919.6185604846</v>
      </c>
      <c r="H656" s="48" t="n">
        <f aca="false">D656*(IF($A656&lt;$Q$636,INDEX(Surface_Engine!$D$12:$D$72,$A656+1)+(Surface_Engine!L241*12)*INDEX(Surface_Engine!$F$12:$F$72,$A656+1)-(Surface_Engine!L241*12),1000*12*INDEX(Surface_Engine!$C$12:$C$72,$A656+1)/(1+Assumptions!$B$10)^20+INDEX(Surface_Engine!$D$12:$D$72,$A656+1)))*INDEX(Surface_Engine!$B$12:$B$72,$A656+1)+H657</f>
        <v>25903.1010921777</v>
      </c>
      <c r="I656" s="48" t="n">
        <f aca="false">E656*(IF($A656&lt;$Q$636,INDEX(Surface_Engine!$D$12:$D$72,$A656+1)+(Surface_Engine!L241*12)*INDEX(Surface_Engine!$F$12:$F$72,$A656+1)-(Surface_Engine!L241*12),1000*12*INDEX(Surface_Engine!$C$12:$C$72,$A656+1)/(1+Assumptions!$B$10)^20+INDEX(Surface_Engine!$D$12:$D$72,$A656+1)))*INDEX(Surface_Engine!$B$12:$B$72,$A656+1)+I657</f>
        <v>33047.76751798</v>
      </c>
      <c r="J656" s="48" t="n">
        <f aca="false">B656*(IF($A656&lt;$Q$636,INDEX(Surface_Engine!$D$12:$D$72,$A656+1)*(1+Assumptions!$B$24)+(Surface_Engine!L241*12)*INDEX(Surface_Engine!$F$12:$F$72,$A656+1)-(Surface_Engine!L241*12),1000*12*INDEX(Surface_Engine!$C$12:$C$72,$A656+1)/(1+Assumptions!$B$10)^20+INDEX(Surface_Engine!$D$12:$D$72,$A656+1)*(1+Assumptions!$B$24)))*INDEX(Surface_Engine!$B$12:$B$72,$A656+1)+J657</f>
        <v>29317.3049435026</v>
      </c>
      <c r="K656" s="12" t="n">
        <f aca="false">SQRT((IF(C656&lt;=0,0,MAX(0,(B656/C656)*G656/INDEX(Surface_Engine!$B$12:$B$72,$A656+1)-F656/INDEX(Surface_Engine!$B$12:$B$72,$A656+1))))^2+(MAX(IF(D656&lt;=0,0,MAX(0,(B656/D656)*H656/INDEX(Surface_Engine!$B$12:$B$72,$A656+1)-F656/INDEX(Surface_Engine!$B$12:$B$72,$A656+1))),IF(E656&lt;=0,0,MAX(0,(B656/E656)*I656/INDEX(Surface_Engine!$B$12:$B$72,$A656+1)-F656/INDEX(Surface_Engine!$B$12:$B$72,$A656+1))),IF($A656&lt;$Q$636,MAX(0,-Assumptions!$B$22*(F656/INDEX(Surface_Engine!$B$12:$B$72,$A656+1))),0)))^2+(MAX(0,J656/INDEX(Surface_Engine!$B$12:$B$72,$A656+1)-(F656/INDEX(Surface_Engine!$B$12:$B$72,$A656+1))))^2+2*Assumptions!$B$26*(IF(C656&lt;=0,0,MAX(0,(B656/C656)*G656/INDEX(Surface_Engine!$B$12:$B$72,$A656+1)-F656/INDEX(Surface_Engine!$B$12:$B$72,$A656+1))))*(MAX(IF(D656&lt;=0,0,MAX(0,(B656/D656)*H656/INDEX(Surface_Engine!$B$12:$B$72,$A656+1)-F656/INDEX(Surface_Engine!$B$12:$B$72,$A656+1))),IF(E656&lt;=0,0,MAX(0,(B656/E656)*I656/INDEX(Surface_Engine!$B$12:$B$72,$A656+1)-F656/INDEX(Surface_Engine!$B$12:$B$72,$A656+1))),IF($A656&lt;$Q$636,MAX(0,-Assumptions!$B$22*(F656/INDEX(Surface_Engine!$B$12:$B$72,$A656+1))),0)))+2*Assumptions!$B$27*(IF(C656&lt;=0,0,MAX(0,(B656/C656)*G656/INDEX(Surface_Engine!$B$12:$B$72,$A656+1)-F656/INDEX(Surface_Engine!$B$12:$B$72,$A656+1))))*(MAX(0,J656/INDEX(Surface_Engine!$B$12:$B$72,$A656+1)-(F656/INDEX(Surface_Engine!$B$12:$B$72,$A656+1))))+2*Assumptions!$B$28*(MAX(IF(D656&lt;=0,0,MAX(0,(B656/D656)*H656/INDEX(Surface_Engine!$B$12:$B$72,$A656+1)-F656/INDEX(Surface_Engine!$B$12:$B$72,$A656+1))),IF(E656&lt;=0,0,MAX(0,(B656/E656)*I656/INDEX(Surface_Engine!$B$12:$B$72,$A656+1)-F656/INDEX(Surface_Engine!$B$12:$B$72,$A656+1))),IF($A656&lt;$Q$636,MAX(0,-Assumptions!$B$22*(F656/INDEX(Surface_Engine!$B$12:$B$72,$A656+1))),0)))*(MAX(0,J656/INDEX(Surface_Engine!$B$12:$B$72,$A656+1)-(F656/INDEX(Surface_Engine!$B$12:$B$72,$A656+1)))))</f>
        <v>8441.20766908328</v>
      </c>
      <c r="L656" s="48" t="n">
        <f aca="false">K656*INDEX(Surface_Engine!$B$12:$B$72,$A656+1)+L657</f>
        <v>40900.913364631</v>
      </c>
      <c r="M656" s="48" t="n">
        <f aca="false">M655+B655*(IF($A655&lt;$Q$636,(Surface_Engine!L241*12)-(Surface_Engine!L241*12)*INDEX(Surface_Engine!$F$12:$F$72,$A655+1)-INDEX(Surface_Engine!$D$12:$D$72,$A655+1),-(1000*12*INDEX(Surface_Engine!$C$12:$C$72,$A655+1)/(1+Assumptions!$B$10)^20+INDEX(Surface_Engine!$D$12:$D$72,$A655+1))))*INDEX(Surface_Engine!$B$12:$B$72,$A655+1)</f>
        <v>30424.7521600361</v>
      </c>
      <c r="N656" s="12" t="n">
        <f aca="false">IF(B656&lt;=0,0,MAX(0,(K656+Assumptions!$B$29*L656/INDEX(Surface_Engine!$B$12:$B$72,$A656+1)-(M656/INDEX(Surface_Engine!$B$12:$B$72,$A656+1)-(F656/INDEX(Surface_Engine!$B$12:$B$72,$A656+1))))/B656))</f>
        <v>17588.1722920293</v>
      </c>
    </row>
    <row r="657" customFormat="false" ht="15" hidden="false" customHeight="true" outlineLevel="0" collapsed="false">
      <c r="A657" s="1" t="n">
        <v>19</v>
      </c>
      <c r="B657" s="32" t="n">
        <f aca="false">INDEX(Surface_Engine!$L$12:$L$72,$A657+1)*IF($A657&lt;$Q$636,INDEX(Surface_Engine!$E$12:$E$72,$A657+1),INDEX(Surface_Engine!$E$12:$E$72,$Q$636+1))</f>
        <v>0.581041263644711</v>
      </c>
      <c r="C657" s="32" t="n">
        <f aca="false">INDEX(Panel_Reserving!$D$8:$D$68,$A657+1)*IF($A657&lt;$Q$636,INDEX(Surface_Engine!$E$12:$E$72,$A657+1),INDEX(Surface_Engine!$E$12:$E$72,$Q$636+1))</f>
        <v>0.618729857174277</v>
      </c>
      <c r="D657" s="32" t="n">
        <f aca="false">INDEX(Surface_Engine!$L$12:$L$72,$A657+1)*IF($A657&lt;$Q$636,INDEX(Surface_Engine!$Y$12:$Y$72,$A657+1),INDEX(Surface_Engine!$Y$12:$Y$72,$Q$636+1))</f>
        <v>0.51675177724469</v>
      </c>
      <c r="E657" s="32" t="n">
        <f aca="false">INDEX(Surface_Engine!$L$12:$L$72,$A657+1)*IF($A657&lt;$Q$636,INDEX(Surface_Engine!$Z$12:$Z$72,$A657+1),INDEX(Surface_Engine!$Z$12:$Z$72,$Q$636+1))</f>
        <v>0.65267456807395</v>
      </c>
      <c r="F657" s="48" t="n">
        <f aca="false">B657*(IF($A657&lt;$Q$636,INDEX(Surface_Engine!$D$12:$D$72,$A657+1)+(Surface_Engine!L241*12)*INDEX(Surface_Engine!$F$12:$F$72,$A657+1)-(Surface_Engine!L241*12),1000*12*INDEX(Surface_Engine!$C$12:$C$72,$A657+1)/(1+Assumptions!$B$10)^20+INDEX(Surface_Engine!$D$12:$D$72,$A657+1)))*INDEX(Surface_Engine!$B$12:$B$72,$A657+1)+F658</f>
        <v>30245.8336638488</v>
      </c>
      <c r="G657" s="48" t="n">
        <f aca="false">C657*(IF($A657&lt;$Q$636,INDEX(Surface_Engine!$D$12:$D$72,$A657+1)+(Surface_Engine!L241*12)*INDEX(Surface_Engine!$F$12:$F$72,$A657+1)-(Surface_Engine!L241*12),1000*12*INDEX(Surface_Engine!$C$12:$C$72,$A657+1)/(1+Assumptions!$B$10)^20+INDEX(Surface_Engine!$D$12:$D$72,$A657+1)))*INDEX(Surface_Engine!$B$12:$B$72,$A657+1)+G658</f>
        <v>36947.1535344468</v>
      </c>
      <c r="H657" s="48" t="n">
        <f aca="false">D657*(IF($A657&lt;$Q$636,INDEX(Surface_Engine!$D$12:$D$72,$A657+1)+(Surface_Engine!L241*12)*INDEX(Surface_Engine!$F$12:$F$72,$A657+1)-(Surface_Engine!L241*12),1000*12*INDEX(Surface_Engine!$C$12:$C$72,$A657+1)/(1+Assumptions!$B$10)^20+INDEX(Surface_Engine!$D$12:$D$72,$A657+1)))*INDEX(Surface_Engine!$B$12:$B$72,$A657+1)+H658</f>
        <v>26772.0956768413</v>
      </c>
      <c r="I657" s="48" t="n">
        <f aca="false">E657*(IF($A657&lt;$Q$636,INDEX(Surface_Engine!$D$12:$D$72,$A657+1)+(Surface_Engine!L241*12)*INDEX(Surface_Engine!$F$12:$F$72,$A657+1)-(Surface_Engine!L241*12),1000*12*INDEX(Surface_Engine!$C$12:$C$72,$A657+1)/(1+Assumptions!$B$10)^20+INDEX(Surface_Engine!$D$12:$D$72,$A657+1)))*INDEX(Surface_Engine!$B$12:$B$72,$A657+1)+I658</f>
        <v>34135.3028605897</v>
      </c>
      <c r="J657" s="48" t="n">
        <f aca="false">B657*(IF($A657&lt;$Q$636,INDEX(Surface_Engine!$D$12:$D$72,$A657+1)*(1+Assumptions!$B$24)+(Surface_Engine!L241*12)*INDEX(Surface_Engine!$F$12:$F$72,$A657+1)-(Surface_Engine!L241*12),1000*12*INDEX(Surface_Engine!$C$12:$C$72,$A657+1)/(1+Assumptions!$B$10)^20+INDEX(Surface_Engine!$D$12:$D$72,$A657+1)*(1+Assumptions!$B$24)))*INDEX(Surface_Engine!$B$12:$B$72,$A657+1)+J658</f>
        <v>30285.4749921888</v>
      </c>
      <c r="K657" s="12" t="n">
        <f aca="false">SQRT((IF(C657&lt;=0,0,MAX(0,(B657/C657)*G657/INDEX(Surface_Engine!$B$12:$B$72,$A657+1)-F657/INDEX(Surface_Engine!$B$12:$B$72,$A657+1))))^2+(MAX(IF(D657&lt;=0,0,MAX(0,(B657/D657)*H657/INDEX(Surface_Engine!$B$12:$B$72,$A657+1)-F657/INDEX(Surface_Engine!$B$12:$B$72,$A657+1))),IF(E657&lt;=0,0,MAX(0,(B657/E657)*I657/INDEX(Surface_Engine!$B$12:$B$72,$A657+1)-F657/INDEX(Surface_Engine!$B$12:$B$72,$A657+1))),IF($A657&lt;$Q$636,MAX(0,-Assumptions!$B$22*(F657/INDEX(Surface_Engine!$B$12:$B$72,$A657+1))),0)))^2+(MAX(0,J657/INDEX(Surface_Engine!$B$12:$B$72,$A657+1)-(F657/INDEX(Surface_Engine!$B$12:$B$72,$A657+1))))^2+2*Assumptions!$B$26*(IF(C657&lt;=0,0,MAX(0,(B657/C657)*G657/INDEX(Surface_Engine!$B$12:$B$72,$A657+1)-F657/INDEX(Surface_Engine!$B$12:$B$72,$A657+1))))*(MAX(IF(D657&lt;=0,0,MAX(0,(B657/D657)*H657/INDEX(Surface_Engine!$B$12:$B$72,$A657+1)-F657/INDEX(Surface_Engine!$B$12:$B$72,$A657+1))),IF(E657&lt;=0,0,MAX(0,(B657/E657)*I657/INDEX(Surface_Engine!$B$12:$B$72,$A657+1)-F657/INDEX(Surface_Engine!$B$12:$B$72,$A657+1))),IF($A657&lt;$Q$636,MAX(0,-Assumptions!$B$22*(F657/INDEX(Surface_Engine!$B$12:$B$72,$A657+1))),0)))+2*Assumptions!$B$27*(IF(C657&lt;=0,0,MAX(0,(B657/C657)*G657/INDEX(Surface_Engine!$B$12:$B$72,$A657+1)-F657/INDEX(Surface_Engine!$B$12:$B$72,$A657+1))))*(MAX(0,J657/INDEX(Surface_Engine!$B$12:$B$72,$A657+1)-(F657/INDEX(Surface_Engine!$B$12:$B$72,$A657+1))))+2*Assumptions!$B$28*(MAX(IF(D657&lt;=0,0,MAX(0,(B657/D657)*H657/INDEX(Surface_Engine!$B$12:$B$72,$A657+1)-F657/INDEX(Surface_Engine!$B$12:$B$72,$A657+1))),IF(E657&lt;=0,0,MAX(0,(B657/E657)*I657/INDEX(Surface_Engine!$B$12:$B$72,$A657+1)-F657/INDEX(Surface_Engine!$B$12:$B$72,$A657+1))),IF($A657&lt;$Q$636,MAX(0,-Assumptions!$B$22*(F657/INDEX(Surface_Engine!$B$12:$B$72,$A657+1))),0)))*(MAX(0,J657/INDEX(Surface_Engine!$B$12:$B$72,$A657+1)-(F657/INDEX(Surface_Engine!$B$12:$B$72,$A657+1)))))</f>
        <v>8137.61871104368</v>
      </c>
      <c r="L657" s="48" t="n">
        <f aca="false">K657*INDEX(Surface_Engine!$B$12:$B$72,$A657+1)+L658</f>
        <v>36083.4136279778</v>
      </c>
      <c r="M657" s="48" t="n">
        <f aca="false">M656+B656*(IF($A656&lt;$Q$636,(Surface_Engine!L241*12)-(Surface_Engine!L241*12)*INDEX(Surface_Engine!$F$12:$F$72,$A656+1)-INDEX(Surface_Engine!$D$12:$D$72,$A656+1),-(1000*12*INDEX(Surface_Engine!$C$12:$C$72,$A656+1)/(1+Assumptions!$B$10)^20+INDEX(Surface_Engine!$D$12:$D$72,$A656+1))))*INDEX(Surface_Engine!$B$12:$B$72,$A656+1)</f>
        <v>31397.3723650169</v>
      </c>
      <c r="N657" s="12" t="n">
        <f aca="false">IF(B657&lt;=0,0,MAX(0,(K657+Assumptions!$B$29*L657/INDEX(Surface_Engine!$B$12:$B$72,$A657+1)-(M657/INDEX(Surface_Engine!$B$12:$B$72,$A657+1)-(F657/INDEX(Surface_Engine!$B$12:$B$72,$A657+1))))/B657))</f>
        <v>17159.929452916</v>
      </c>
    </row>
    <row r="658" customFormat="false" ht="15" hidden="false" customHeight="true" outlineLevel="0" collapsed="false">
      <c r="A658" s="1" t="n">
        <v>20</v>
      </c>
      <c r="B658" s="32" t="n">
        <f aca="false">INDEX(Surface_Engine!$L$12:$L$72,$A658+1)*IF($A658&lt;$Q$636,INDEX(Surface_Engine!$E$12:$E$72,$A658+1),INDEX(Surface_Engine!$E$12:$E$72,$Q$636+1))</f>
        <v>0.551050150890069</v>
      </c>
      <c r="C658" s="32" t="n">
        <f aca="false">INDEX(Panel_Reserving!$D$8:$D$68,$A658+1)*IF($A658&lt;$Q$636,INDEX(Surface_Engine!$E$12:$E$72,$A658+1),INDEX(Surface_Engine!$E$12:$E$72,$Q$636+1))</f>
        <v>0.592054606566772</v>
      </c>
      <c r="D658" s="32" t="n">
        <f aca="false">INDEX(Surface_Engine!$L$12:$L$72,$A658+1)*IF($A658&lt;$Q$636,INDEX(Surface_Engine!$Y$12:$Y$72,$A658+1),INDEX(Surface_Engine!$Y$12:$Y$72,$Q$636+1))</f>
        <v>0.487828702527889</v>
      </c>
      <c r="E658" s="32" t="n">
        <f aca="false">INDEX(Surface_Engine!$L$12:$L$72,$A658+1)*IF($A658&lt;$Q$636,INDEX(Surface_Engine!$Z$12:$Z$72,$A658+1),INDEX(Surface_Engine!$Z$12:$Z$72,$Q$636+1))</f>
        <v>0.621828270839461</v>
      </c>
      <c r="F658" s="48" t="n">
        <f aca="false">B658*(IF($A658&lt;$Q$636,INDEX(Surface_Engine!$D$12:$D$72,$A658+1)+(Surface_Engine!L241*12)*INDEX(Surface_Engine!$F$12:$F$72,$A658+1)-(Surface_Engine!L241*12),1000*12*INDEX(Surface_Engine!$C$12:$C$72,$A658+1)/(1+Assumptions!$B$10)^20+INDEX(Surface_Engine!$D$12:$D$72,$A658+1)))*INDEX(Surface_Engine!$B$12:$B$72,$A658+1)+F659</f>
        <v>31142.7793700047</v>
      </c>
      <c r="G658" s="48" t="n">
        <f aca="false">C658*(IF($A658&lt;$Q$636,INDEX(Surface_Engine!$D$12:$D$72,$A658+1)+(Surface_Engine!L241*12)*INDEX(Surface_Engine!$F$12:$F$72,$A658+1)-(Surface_Engine!L241*12),1000*12*INDEX(Surface_Engine!$C$12:$C$72,$A658+1)/(1+Assumptions!$B$10)^20+INDEX(Surface_Engine!$D$12:$D$72,$A658+1)))*INDEX(Surface_Engine!$B$12:$B$72,$A658+1)+G659</f>
        <v>37902.2786234667</v>
      </c>
      <c r="H658" s="48" t="n">
        <f aca="false">D658*(IF($A658&lt;$Q$636,INDEX(Surface_Engine!$D$12:$D$72,$A658+1)+(Surface_Engine!L241*12)*INDEX(Surface_Engine!$F$12:$F$72,$A658+1)-(Surface_Engine!L241*12),1000*12*INDEX(Surface_Engine!$C$12:$C$72,$A658+1)/(1+Assumptions!$B$10)^20+INDEX(Surface_Engine!$D$12:$D$72,$A658+1)))*INDEX(Surface_Engine!$B$12:$B$72,$A658+1)+H659</f>
        <v>27569.798553984</v>
      </c>
      <c r="I658" s="48" t="n">
        <f aca="false">E658*(IF($A658&lt;$Q$636,INDEX(Surface_Engine!$D$12:$D$72,$A658+1)+(Surface_Engine!L241*12)*INDEX(Surface_Engine!$F$12:$F$72,$A658+1)-(Surface_Engine!L241*12),1000*12*INDEX(Surface_Engine!$C$12:$C$72,$A658+1)/(1+Assumptions!$B$10)^20+INDEX(Surface_Engine!$D$12:$D$72,$A658+1)))*INDEX(Surface_Engine!$B$12:$B$72,$A658+1)+I659</f>
        <v>35142.827950424</v>
      </c>
      <c r="J658" s="48" t="n">
        <f aca="false">B658*(IF($A658&lt;$Q$636,INDEX(Surface_Engine!$D$12:$D$72,$A658+1)*(1+Assumptions!$B$24)+(Surface_Engine!L241*12)*INDEX(Surface_Engine!$F$12:$F$72,$A658+1)-(Surface_Engine!L241*12),1000*12*INDEX(Surface_Engine!$C$12:$C$72,$A658+1)/(1+Assumptions!$B$10)^20+INDEX(Surface_Engine!$D$12:$D$72,$A658+1)*(1+Assumptions!$B$24)))*INDEX(Surface_Engine!$B$12:$B$72,$A658+1)+J659</f>
        <v>31178.2093704897</v>
      </c>
      <c r="K658" s="12" t="n">
        <f aca="false">SQRT((IF(C658&lt;=0,0,MAX(0,(B658/C658)*G658/INDEX(Surface_Engine!$B$12:$B$72,$A658+1)-F658/INDEX(Surface_Engine!$B$12:$B$72,$A658+1))))^2+(MAX(IF(D658&lt;=0,0,MAX(0,(B658/D658)*H658/INDEX(Surface_Engine!$B$12:$B$72,$A658+1)-F658/INDEX(Surface_Engine!$B$12:$B$72,$A658+1))),IF(E658&lt;=0,0,MAX(0,(B658/E658)*I658/INDEX(Surface_Engine!$B$12:$B$72,$A658+1)-F658/INDEX(Surface_Engine!$B$12:$B$72,$A658+1))),IF($A658&lt;$Q$636,MAX(0,-Assumptions!$B$22*(F658/INDEX(Surface_Engine!$B$12:$B$72,$A658+1))),0)))^2+(MAX(0,J658/INDEX(Surface_Engine!$B$12:$B$72,$A658+1)-(F658/INDEX(Surface_Engine!$B$12:$B$72,$A658+1))))^2+2*Assumptions!$B$26*(IF(C658&lt;=0,0,MAX(0,(B658/C658)*G658/INDEX(Surface_Engine!$B$12:$B$72,$A658+1)-F658/INDEX(Surface_Engine!$B$12:$B$72,$A658+1))))*(MAX(IF(D658&lt;=0,0,MAX(0,(B658/D658)*H658/INDEX(Surface_Engine!$B$12:$B$72,$A658+1)-F658/INDEX(Surface_Engine!$B$12:$B$72,$A658+1))),IF(E658&lt;=0,0,MAX(0,(B658/E658)*I658/INDEX(Surface_Engine!$B$12:$B$72,$A658+1)-F658/INDEX(Surface_Engine!$B$12:$B$72,$A658+1))),IF($A658&lt;$Q$636,MAX(0,-Assumptions!$B$22*(F658/INDEX(Surface_Engine!$B$12:$B$72,$A658+1))),0)))+2*Assumptions!$B$27*(IF(C658&lt;=0,0,MAX(0,(B658/C658)*G658/INDEX(Surface_Engine!$B$12:$B$72,$A658+1)-F658/INDEX(Surface_Engine!$B$12:$B$72,$A658+1))))*(MAX(0,J658/INDEX(Surface_Engine!$B$12:$B$72,$A658+1)-(F658/INDEX(Surface_Engine!$B$12:$B$72,$A658+1))))+2*Assumptions!$B$28*(MAX(IF(D658&lt;=0,0,MAX(0,(B658/D658)*H658/INDEX(Surface_Engine!$B$12:$B$72,$A658+1)-F658/INDEX(Surface_Engine!$B$12:$B$72,$A658+1))),IF(E658&lt;=0,0,MAX(0,(B658/E658)*I658/INDEX(Surface_Engine!$B$12:$B$72,$A658+1)-F658/INDEX(Surface_Engine!$B$12:$B$72,$A658+1))),IF($A658&lt;$Q$636,MAX(0,-Assumptions!$B$22*(F658/INDEX(Surface_Engine!$B$12:$B$72,$A658+1))),0)))*(MAX(0,J658/INDEX(Surface_Engine!$B$12:$B$72,$A658+1)-(F658/INDEX(Surface_Engine!$B$12:$B$72,$A658+1)))))</f>
        <v>7733.00475757785</v>
      </c>
      <c r="L658" s="48" t="n">
        <f aca="false">K658*INDEX(Surface_Engine!$B$12:$B$72,$A658+1)+L659</f>
        <v>31584.1429687625</v>
      </c>
      <c r="M658" s="48" t="n">
        <f aca="false">M657+B657*(IF($A657&lt;$Q$636,(Surface_Engine!L241*12)-(Surface_Engine!L241*12)*INDEX(Surface_Engine!$F$12:$F$72,$A657+1)-INDEX(Surface_Engine!$D$12:$D$72,$A657+1),-(1000*12*INDEX(Surface_Engine!$C$12:$C$72,$A657+1)/(1+Assumptions!$B$10)^20+INDEX(Surface_Engine!$D$12:$D$72,$A657+1))))*INDEX(Surface_Engine!$B$12:$B$72,$A657+1)</f>
        <v>32294.3180711728</v>
      </c>
      <c r="N658" s="12" t="n">
        <f aca="false">IF(B658&lt;=0,0,MAX(0,(K658+Assumptions!$B$29*L658/INDEX(Surface_Engine!$B$12:$B$72,$A658+1)-(M658/INDEX(Surface_Engine!$B$12:$B$72,$A658+1)-(F658/INDEX(Surface_Engine!$B$12:$B$72,$A658+1))))/B658))</f>
        <v>16551.3550761969</v>
      </c>
    </row>
    <row r="659" customFormat="false" ht="15" hidden="false" customHeight="true" outlineLevel="0" collapsed="false">
      <c r="A659" s="1" t="n">
        <v>21</v>
      </c>
      <c r="B659" s="32" t="n">
        <f aca="false">INDEX(Surface_Engine!$L$12:$L$72,$A659+1)*IF($A659&lt;$Q$636,INDEX(Surface_Engine!$E$12:$E$72,$A659+1),INDEX(Surface_Engine!$E$12:$E$72,$Q$636+1))</f>
        <v>0.523675993691479</v>
      </c>
      <c r="C659" s="32" t="n">
        <f aca="false">INDEX(Panel_Reserving!$D$8:$D$68,$A659+1)*IF($A659&lt;$Q$636,INDEX(Surface_Engine!$E$12:$E$72,$A659+1),INDEX(Surface_Engine!$E$12:$E$72,$Q$636+1))</f>
        <v>0.568525719630975</v>
      </c>
      <c r="D659" s="32" t="n">
        <f aca="false">INDEX(Surface_Engine!$L$12:$L$72,$A659+1)*IF($A659&lt;$Q$636,INDEX(Surface_Engine!$Y$12:$Y$72,$A659+1),INDEX(Surface_Engine!$Y$12:$Y$72,$Q$636+1))</f>
        <v>0.463595155785523</v>
      </c>
      <c r="E659" s="32" t="n">
        <f aca="false">INDEX(Surface_Engine!$L$12:$L$72,$A659+1)*IF($A659&lt;$Q$636,INDEX(Surface_Engine!$Z$12:$Z$72,$A659+1),INDEX(Surface_Engine!$Z$12:$Z$72,$Q$636+1))</f>
        <v>0.590938115362701</v>
      </c>
      <c r="F659" s="48" t="n">
        <f aca="false">B659*(IF($A659&lt;$Q$636,INDEX(Surface_Engine!$D$12:$D$72,$A659+1)+(Surface_Engine!L241*12)*INDEX(Surface_Engine!$F$12:$F$72,$A659+1)-(Surface_Engine!L241*12),1000*12*INDEX(Surface_Engine!$C$12:$C$72,$A659+1)/(1+Assumptions!$B$10)^20+INDEX(Surface_Engine!$D$12:$D$72,$A659+1)))*INDEX(Surface_Engine!$B$12:$B$72,$A659+1)+F660</f>
        <v>27559.9690621657</v>
      </c>
      <c r="G659" s="48" t="n">
        <f aca="false">C659*(IF($A659&lt;$Q$636,INDEX(Surface_Engine!$D$12:$D$72,$A659+1)+(Surface_Engine!L241*12)*INDEX(Surface_Engine!$F$12:$F$72,$A659+1)-(Surface_Engine!L241*12),1000*12*INDEX(Surface_Engine!$C$12:$C$72,$A659+1)/(1+Assumptions!$B$10)^20+INDEX(Surface_Engine!$D$12:$D$72,$A659+1)))*INDEX(Surface_Engine!$B$12:$B$72,$A659+1)+G660</f>
        <v>34052.8661084992</v>
      </c>
      <c r="H659" s="48" t="n">
        <f aca="false">D659*(IF($A659&lt;$Q$636,INDEX(Surface_Engine!$D$12:$D$72,$A659+1)+(Surface_Engine!L241*12)*INDEX(Surface_Engine!$F$12:$F$72,$A659+1)-(Surface_Engine!L241*12),1000*12*INDEX(Surface_Engine!$C$12:$C$72,$A659+1)/(1+Assumptions!$B$10)^20+INDEX(Surface_Engine!$D$12:$D$72,$A659+1)))*INDEX(Surface_Engine!$B$12:$B$72,$A659+1)+H660</f>
        <v>24398.0405913857</v>
      </c>
      <c r="I659" s="48" t="n">
        <f aca="false">E659*(IF($A659&lt;$Q$636,INDEX(Surface_Engine!$D$12:$D$72,$A659+1)+(Surface_Engine!L241*12)*INDEX(Surface_Engine!$F$12:$F$72,$A659+1)-(Surface_Engine!L241*12),1000*12*INDEX(Surface_Engine!$C$12:$C$72,$A659+1)/(1+Assumptions!$B$10)^20+INDEX(Surface_Engine!$D$12:$D$72,$A659+1)))*INDEX(Surface_Engine!$B$12:$B$72,$A659+1)+I660</f>
        <v>31099.8334337348</v>
      </c>
      <c r="J659" s="48" t="n">
        <f aca="false">B659*(IF($A659&lt;$Q$636,INDEX(Surface_Engine!$D$12:$D$72,$A659+1)*(1+Assumptions!$B$24)+(Surface_Engine!L241*12)*INDEX(Surface_Engine!$F$12:$F$72,$A659+1)-(Surface_Engine!L241*12),1000*12*INDEX(Surface_Engine!$C$12:$C$72,$A659+1)/(1+Assumptions!$B$10)^20+INDEX(Surface_Engine!$D$12:$D$72,$A659+1)*(1+Assumptions!$B$24)))*INDEX(Surface_Engine!$B$12:$B$72,$A659+1)+J660</f>
        <v>27591.4317368603</v>
      </c>
      <c r="K659" s="12" t="n">
        <f aca="false">SQRT((IF(C659&lt;=0,0,MAX(0,(B659/C659)*G659/INDEX(Surface_Engine!$B$12:$B$72,$A659+1)-F659/INDEX(Surface_Engine!$B$12:$B$72,$A659+1))))^2+(MAX(IF(D659&lt;=0,0,MAX(0,(B659/D659)*H659/INDEX(Surface_Engine!$B$12:$B$72,$A659+1)-F659/INDEX(Surface_Engine!$B$12:$B$72,$A659+1))),IF(E659&lt;=0,0,MAX(0,(B659/E659)*I659/INDEX(Surface_Engine!$B$12:$B$72,$A659+1)-F659/INDEX(Surface_Engine!$B$12:$B$72,$A659+1))),IF($A659&lt;$Q$636,MAX(0,-Assumptions!$B$22*(F659/INDEX(Surface_Engine!$B$12:$B$72,$A659+1))),0)))^2+(MAX(0,J659/INDEX(Surface_Engine!$B$12:$B$72,$A659+1)-(F659/INDEX(Surface_Engine!$B$12:$B$72,$A659+1))))^2+2*Assumptions!$B$26*(IF(C659&lt;=0,0,MAX(0,(B659/C659)*G659/INDEX(Surface_Engine!$B$12:$B$72,$A659+1)-F659/INDEX(Surface_Engine!$B$12:$B$72,$A659+1))))*(MAX(IF(D659&lt;=0,0,MAX(0,(B659/D659)*H659/INDEX(Surface_Engine!$B$12:$B$72,$A659+1)-F659/INDEX(Surface_Engine!$B$12:$B$72,$A659+1))),IF(E659&lt;=0,0,MAX(0,(B659/E659)*I659/INDEX(Surface_Engine!$B$12:$B$72,$A659+1)-F659/INDEX(Surface_Engine!$B$12:$B$72,$A659+1))),IF($A659&lt;$Q$636,MAX(0,-Assumptions!$B$22*(F659/INDEX(Surface_Engine!$B$12:$B$72,$A659+1))),0)))+2*Assumptions!$B$27*(IF(C659&lt;=0,0,MAX(0,(B659/C659)*G659/INDEX(Surface_Engine!$B$12:$B$72,$A659+1)-F659/INDEX(Surface_Engine!$B$12:$B$72,$A659+1))))*(MAX(0,J659/INDEX(Surface_Engine!$B$12:$B$72,$A659+1)-(F659/INDEX(Surface_Engine!$B$12:$B$72,$A659+1))))+2*Assumptions!$B$28*(MAX(IF(D659&lt;=0,0,MAX(0,(B659/D659)*H659/INDEX(Surface_Engine!$B$12:$B$72,$A659+1)-F659/INDEX(Surface_Engine!$B$12:$B$72,$A659+1))),IF(E659&lt;=0,0,MAX(0,(B659/E659)*I659/INDEX(Surface_Engine!$B$12:$B$72,$A659+1)-F659/INDEX(Surface_Engine!$B$12:$B$72,$A659+1))),IF($A659&lt;$Q$636,MAX(0,-Assumptions!$B$22*(F659/INDEX(Surface_Engine!$B$12:$B$72,$A659+1))),0)))*(MAX(0,J659/INDEX(Surface_Engine!$B$12:$B$72,$A659+1)-(F659/INDEX(Surface_Engine!$B$12:$B$72,$A659+1)))))</f>
        <v>7346.2049921847</v>
      </c>
      <c r="L659" s="48" t="n">
        <f aca="false">K659*INDEX(Surface_Engine!$B$12:$B$72,$A659+1)+L660</f>
        <v>27440.6762292962</v>
      </c>
      <c r="M659" s="48" t="n">
        <f aca="false">M658+B658*(IF($A658&lt;$Q$636,(Surface_Engine!L241*12)-(Surface_Engine!L241*12)*INDEX(Surface_Engine!$F$12:$F$72,$A658+1)-INDEX(Surface_Engine!$D$12:$D$72,$A658+1),-(1000*12*INDEX(Surface_Engine!$C$12:$C$72,$A658+1)/(1+Assumptions!$B$10)^20+INDEX(Surface_Engine!$D$12:$D$72,$A658+1))))*INDEX(Surface_Engine!$B$12:$B$72,$A658+1)</f>
        <v>28711.5077633338</v>
      </c>
      <c r="N659" s="12" t="n">
        <f aca="false">IF(B659&lt;=0,0,MAX(0,(K659+Assumptions!$B$29*L659/INDEX(Surface_Engine!$B$12:$B$72,$A659+1)-(M659/INDEX(Surface_Engine!$B$12:$B$72,$A659+1)-(F659/INDEX(Surface_Engine!$B$12:$B$72,$A659+1))))/B659))</f>
        <v>15848.1789300093</v>
      </c>
    </row>
    <row r="660" customFormat="false" ht="15" hidden="false" customHeight="true" outlineLevel="0" collapsed="false">
      <c r="A660" s="1" t="n">
        <v>22</v>
      </c>
      <c r="B660" s="32" t="n">
        <f aca="false">INDEX(Surface_Engine!$L$12:$L$72,$A660+1)*IF($A660&lt;$Q$636,INDEX(Surface_Engine!$E$12:$E$72,$A660+1),INDEX(Surface_Engine!$E$12:$E$72,$Q$636+1))</f>
        <v>0.494169256663384</v>
      </c>
      <c r="C660" s="32" t="n">
        <f aca="false">INDEX(Panel_Reserving!$D$8:$D$68,$A660+1)*IF($A660&lt;$Q$636,INDEX(Surface_Engine!$E$12:$E$72,$A660+1),INDEX(Surface_Engine!$E$12:$E$72,$Q$636+1))</f>
        <v>0.542898669157101</v>
      </c>
      <c r="D660" s="32" t="n">
        <f aca="false">INDEX(Surface_Engine!$L$12:$L$72,$A660+1)*IF($A660&lt;$Q$636,INDEX(Surface_Engine!$Y$12:$Y$72,$A660+1),INDEX(Surface_Engine!$Y$12:$Y$72,$Q$636+1))</f>
        <v>0.437473698025286</v>
      </c>
      <c r="E660" s="32" t="n">
        <f aca="false">INDEX(Surface_Engine!$L$12:$L$72,$A660+1)*IF($A660&lt;$Q$636,INDEX(Surface_Engine!$Z$12:$Z$72,$A660+1),INDEX(Surface_Engine!$Z$12:$Z$72,$Q$636+1))</f>
        <v>0.557641466709836</v>
      </c>
      <c r="F660" s="48" t="n">
        <f aca="false">B660*(IF($A660&lt;$Q$636,INDEX(Surface_Engine!$D$12:$D$72,$A660+1)+(Surface_Engine!L241*12)*INDEX(Surface_Engine!$F$12:$F$72,$A660+1)-(Surface_Engine!L241*12),1000*12*INDEX(Surface_Engine!$C$12:$C$72,$A660+1)/(1+Assumptions!$B$10)^20+INDEX(Surface_Engine!$D$12:$D$72,$A660+1)))*INDEX(Surface_Engine!$B$12:$B$72,$A660+1)+F661</f>
        <v>24194.2219745533</v>
      </c>
      <c r="G660" s="48" t="n">
        <f aca="false">C660*(IF($A660&lt;$Q$636,INDEX(Surface_Engine!$D$12:$D$72,$A660+1)+(Surface_Engine!L241*12)*INDEX(Surface_Engine!$F$12:$F$72,$A660+1)-(Surface_Engine!L241*12),1000*12*INDEX(Surface_Engine!$C$12:$C$72,$A660+1)/(1+Assumptions!$B$10)^20+INDEX(Surface_Engine!$D$12:$D$72,$A660+1)))*INDEX(Surface_Engine!$B$12:$B$72,$A660+1)+G661</f>
        <v>30398.8628543267</v>
      </c>
      <c r="H660" s="48" t="n">
        <f aca="false">D660*(IF($A660&lt;$Q$636,INDEX(Surface_Engine!$D$12:$D$72,$A660+1)+(Surface_Engine!L241*12)*INDEX(Surface_Engine!$F$12:$F$72,$A660+1)-(Surface_Engine!L241*12),1000*12*INDEX(Surface_Engine!$C$12:$C$72,$A660+1)/(1+Assumptions!$B$10)^20+INDEX(Surface_Engine!$D$12:$D$72,$A660+1)))*INDEX(Surface_Engine!$B$12:$B$72,$A660+1)+H661</f>
        <v>21418.4423966752</v>
      </c>
      <c r="I660" s="48" t="n">
        <f aca="false">E660*(IF($A660&lt;$Q$636,INDEX(Surface_Engine!$D$12:$D$72,$A660+1)+(Surface_Engine!L241*12)*INDEX(Surface_Engine!$F$12:$F$72,$A660+1)-(Surface_Engine!L241*12),1000*12*INDEX(Surface_Engine!$C$12:$C$72,$A660+1)/(1+Assumptions!$B$10)^20+INDEX(Surface_Engine!$D$12:$D$72,$A660+1)))*INDEX(Surface_Engine!$B$12:$B$72,$A660+1)+I661</f>
        <v>27301.7822251607</v>
      </c>
      <c r="J660" s="48" t="n">
        <f aca="false">B660*(IF($A660&lt;$Q$636,INDEX(Surface_Engine!$D$12:$D$72,$A660+1)*(1+Assumptions!$B$24)+(Surface_Engine!L241*12)*INDEX(Surface_Engine!$F$12:$F$72,$A660+1)-(Surface_Engine!L241*12),1000*12*INDEX(Surface_Engine!$C$12:$C$72,$A660+1)/(1+Assumptions!$B$10)^20+INDEX(Surface_Engine!$D$12:$D$72,$A660+1)*(1+Assumptions!$B$24)))*INDEX(Surface_Engine!$B$12:$B$72,$A660+1)+J661</f>
        <v>24221.939616241</v>
      </c>
      <c r="K660" s="12" t="n">
        <f aca="false">SQRT((IF(C660&lt;=0,0,MAX(0,(B660/C660)*G660/INDEX(Surface_Engine!$B$12:$B$72,$A660+1)-F660/INDEX(Surface_Engine!$B$12:$B$72,$A660+1))))^2+(MAX(IF(D660&lt;=0,0,MAX(0,(B660/D660)*H660/INDEX(Surface_Engine!$B$12:$B$72,$A660+1)-F660/INDEX(Surface_Engine!$B$12:$B$72,$A660+1))),IF(E660&lt;=0,0,MAX(0,(B660/E660)*I660/INDEX(Surface_Engine!$B$12:$B$72,$A660+1)-F660/INDEX(Surface_Engine!$B$12:$B$72,$A660+1))),IF($A660&lt;$Q$636,MAX(0,-Assumptions!$B$22*(F660/INDEX(Surface_Engine!$B$12:$B$72,$A660+1))),0)))^2+(MAX(0,J660/INDEX(Surface_Engine!$B$12:$B$72,$A660+1)-(F660/INDEX(Surface_Engine!$B$12:$B$72,$A660+1))))^2+2*Assumptions!$B$26*(IF(C660&lt;=0,0,MAX(0,(B660/C660)*G660/INDEX(Surface_Engine!$B$12:$B$72,$A660+1)-F660/INDEX(Surface_Engine!$B$12:$B$72,$A660+1))))*(MAX(IF(D660&lt;=0,0,MAX(0,(B660/D660)*H660/INDEX(Surface_Engine!$B$12:$B$72,$A660+1)-F660/INDEX(Surface_Engine!$B$12:$B$72,$A660+1))),IF(E660&lt;=0,0,MAX(0,(B660/E660)*I660/INDEX(Surface_Engine!$B$12:$B$72,$A660+1)-F660/INDEX(Surface_Engine!$B$12:$B$72,$A660+1))),IF($A660&lt;$Q$636,MAX(0,-Assumptions!$B$22*(F660/INDEX(Surface_Engine!$B$12:$B$72,$A660+1))),0)))+2*Assumptions!$B$27*(IF(C660&lt;=0,0,MAX(0,(B660/C660)*G660/INDEX(Surface_Engine!$B$12:$B$72,$A660+1)-F660/INDEX(Surface_Engine!$B$12:$B$72,$A660+1))))*(MAX(0,J660/INDEX(Surface_Engine!$B$12:$B$72,$A660+1)-(F660/INDEX(Surface_Engine!$B$12:$B$72,$A660+1))))+2*Assumptions!$B$28*(MAX(IF(D660&lt;=0,0,MAX(0,(B660/D660)*H660/INDEX(Surface_Engine!$B$12:$B$72,$A660+1)-F660/INDEX(Surface_Engine!$B$12:$B$72,$A660+1))),IF(E660&lt;=0,0,MAX(0,(B660/E660)*I660/INDEX(Surface_Engine!$B$12:$B$72,$A660+1)-F660/INDEX(Surface_Engine!$B$12:$B$72,$A660+1))),IF($A660&lt;$Q$636,MAX(0,-Assumptions!$B$22*(F660/INDEX(Surface_Engine!$B$12:$B$72,$A660+1))),0)))*(MAX(0,J660/INDEX(Surface_Engine!$B$12:$B$72,$A660+1)-(F660/INDEX(Surface_Engine!$B$12:$B$72,$A660+1)))))</f>
        <v>6922.11299901651</v>
      </c>
      <c r="L660" s="48" t="n">
        <f aca="false">K660*INDEX(Surface_Engine!$B$12:$B$72,$A660+1)+L661</f>
        <v>23626.1465213524</v>
      </c>
      <c r="M660" s="48" t="n">
        <f aca="false">M659+B659*(IF($A659&lt;$Q$636,(Surface_Engine!L241*12)-(Surface_Engine!L241*12)*INDEX(Surface_Engine!$F$12:$F$72,$A659+1)-INDEX(Surface_Engine!$D$12:$D$72,$A659+1),-(1000*12*INDEX(Surface_Engine!$C$12:$C$72,$A659+1)/(1+Assumptions!$B$10)^20+INDEX(Surface_Engine!$D$12:$D$72,$A659+1))))*INDEX(Surface_Engine!$B$12:$B$72,$A659+1)</f>
        <v>25345.7606757214</v>
      </c>
      <c r="N660" s="12" t="n">
        <f aca="false">IF(B660&lt;=0,0,MAX(0,(K660+Assumptions!$B$29*L660/INDEX(Surface_Engine!$B$12:$B$72,$A660+1)-(M660/INDEX(Surface_Engine!$B$12:$B$72,$A660+1)-(F660/INDEX(Surface_Engine!$B$12:$B$72,$A660+1))))/B660))</f>
        <v>15077.4257095913</v>
      </c>
    </row>
    <row r="661" customFormat="false" ht="15" hidden="false" customHeight="true" outlineLevel="0" collapsed="false">
      <c r="A661" s="1" t="n">
        <v>23</v>
      </c>
      <c r="B661" s="32" t="n">
        <f aca="false">INDEX(Surface_Engine!$L$12:$L$72,$A661+1)*IF($A661&lt;$Q$636,INDEX(Surface_Engine!$E$12:$E$72,$A661+1),INDEX(Surface_Engine!$E$12:$E$72,$Q$636+1))</f>
        <v>0.462591721042885</v>
      </c>
      <c r="C661" s="32" t="n">
        <f aca="false">INDEX(Panel_Reserving!$D$8:$D$68,$A661+1)*IF($A661&lt;$Q$636,INDEX(Surface_Engine!$E$12:$E$72,$A661+1),INDEX(Surface_Engine!$E$12:$E$72,$Q$636+1))</f>
        <v>0.515145583618139</v>
      </c>
      <c r="D661" s="32" t="n">
        <f aca="false">INDEX(Surface_Engine!$L$12:$L$72,$A661+1)*IF($A661&lt;$Q$636,INDEX(Surface_Engine!$Y$12:$Y$72,$A661+1),INDEX(Surface_Engine!$Y$12:$Y$72,$Q$636+1))</f>
        <v>0.409519022382979</v>
      </c>
      <c r="E661" s="32" t="n">
        <f aca="false">INDEX(Surface_Engine!$L$12:$L$72,$A661+1)*IF($A661&lt;$Q$636,INDEX(Surface_Engine!$Z$12:$Z$72,$A661+1),INDEX(Surface_Engine!$Z$12:$Z$72,$Q$636+1))</f>
        <v>0.522008041438923</v>
      </c>
      <c r="F661" s="48" t="n">
        <f aca="false">B661*(IF($A661&lt;$Q$636,INDEX(Surface_Engine!$D$12:$D$72,$A661+1)+(Surface_Engine!L241*12)*INDEX(Surface_Engine!$F$12:$F$72,$A661+1)-(Surface_Engine!L241*12),1000*12*INDEX(Surface_Engine!$C$12:$C$72,$A661+1)/(1+Assumptions!$B$10)^20+INDEX(Surface_Engine!$D$12:$D$72,$A661+1)))*INDEX(Surface_Engine!$B$12:$B$72,$A661+1)+F662</f>
        <v>21054.6361709412</v>
      </c>
      <c r="G661" s="48" t="n">
        <f aca="false">C661*(IF($A661&lt;$Q$636,INDEX(Surface_Engine!$D$12:$D$72,$A661+1)+(Surface_Engine!L241*12)*INDEX(Surface_Engine!$F$12:$F$72,$A661+1)-(Surface_Engine!L241*12),1000*12*INDEX(Surface_Engine!$C$12:$C$72,$A661+1)/(1+Assumptions!$B$10)^20+INDEX(Surface_Engine!$D$12:$D$72,$A661+1)))*INDEX(Surface_Engine!$B$12:$B$72,$A661+1)+G662</f>
        <v>26949.6864203369</v>
      </c>
      <c r="H661" s="48" t="n">
        <f aca="false">D661*(IF($A661&lt;$Q$636,INDEX(Surface_Engine!$D$12:$D$72,$A661+1)+(Surface_Engine!L241*12)*INDEX(Surface_Engine!$F$12:$F$72,$A661+1)-(Surface_Engine!L241*12),1000*12*INDEX(Surface_Engine!$C$12:$C$72,$A661+1)/(1+Assumptions!$B$10)^20+INDEX(Surface_Engine!$D$12:$D$72,$A661+1)))*INDEX(Surface_Engine!$B$12:$B$72,$A661+1)+H662</f>
        <v>18639.0582216101</v>
      </c>
      <c r="I661" s="48" t="n">
        <f aca="false">E661*(IF($A661&lt;$Q$636,INDEX(Surface_Engine!$D$12:$D$72,$A661+1)+(Surface_Engine!L241*12)*INDEX(Surface_Engine!$F$12:$F$72,$A661+1)-(Surface_Engine!L241*12),1000*12*INDEX(Surface_Engine!$C$12:$C$72,$A661+1)/(1+Assumptions!$B$10)^20+INDEX(Surface_Engine!$D$12:$D$72,$A661+1)))*INDEX(Surface_Engine!$B$12:$B$72,$A661+1)+I662</f>
        <v>23758.9409642357</v>
      </c>
      <c r="J661" s="48" t="n">
        <f aca="false">B661*(IF($A661&lt;$Q$636,INDEX(Surface_Engine!$D$12:$D$72,$A661+1)*(1+Assumptions!$B$24)+(Surface_Engine!L241*12)*INDEX(Surface_Engine!$F$12:$F$72,$A661+1)-(Surface_Engine!L241*12),1000*12*INDEX(Surface_Engine!$C$12:$C$72,$A661+1)/(1+Assumptions!$B$10)^20+INDEX(Surface_Engine!$D$12:$D$72,$A661+1)*(1+Assumptions!$B$24)))*INDEX(Surface_Engine!$B$12:$B$72,$A661+1)+J662</f>
        <v>21078.8434940393</v>
      </c>
      <c r="K661" s="12" t="n">
        <f aca="false">SQRT((IF(C661&lt;=0,0,MAX(0,(B661/C661)*G661/INDEX(Surface_Engine!$B$12:$B$72,$A661+1)-F661/INDEX(Surface_Engine!$B$12:$B$72,$A661+1))))^2+(MAX(IF(D661&lt;=0,0,MAX(0,(B661/D661)*H661/INDEX(Surface_Engine!$B$12:$B$72,$A661+1)-F661/INDEX(Surface_Engine!$B$12:$B$72,$A661+1))),IF(E661&lt;=0,0,MAX(0,(B661/E661)*I661/INDEX(Surface_Engine!$B$12:$B$72,$A661+1)-F661/INDEX(Surface_Engine!$B$12:$B$72,$A661+1))),IF($A661&lt;$Q$636,MAX(0,-Assumptions!$B$22*(F661/INDEX(Surface_Engine!$B$12:$B$72,$A661+1))),0)))^2+(MAX(0,J661/INDEX(Surface_Engine!$B$12:$B$72,$A661+1)-(F661/INDEX(Surface_Engine!$B$12:$B$72,$A661+1))))^2+2*Assumptions!$B$26*(IF(C661&lt;=0,0,MAX(0,(B661/C661)*G661/INDEX(Surface_Engine!$B$12:$B$72,$A661+1)-F661/INDEX(Surface_Engine!$B$12:$B$72,$A661+1))))*(MAX(IF(D661&lt;=0,0,MAX(0,(B661/D661)*H661/INDEX(Surface_Engine!$B$12:$B$72,$A661+1)-F661/INDEX(Surface_Engine!$B$12:$B$72,$A661+1))),IF(E661&lt;=0,0,MAX(0,(B661/E661)*I661/INDEX(Surface_Engine!$B$12:$B$72,$A661+1)-F661/INDEX(Surface_Engine!$B$12:$B$72,$A661+1))),IF($A661&lt;$Q$636,MAX(0,-Assumptions!$B$22*(F661/INDEX(Surface_Engine!$B$12:$B$72,$A661+1))),0)))+2*Assumptions!$B$27*(IF(C661&lt;=0,0,MAX(0,(B661/C661)*G661/INDEX(Surface_Engine!$B$12:$B$72,$A661+1)-F661/INDEX(Surface_Engine!$B$12:$B$72,$A661+1))))*(MAX(0,J661/INDEX(Surface_Engine!$B$12:$B$72,$A661+1)-(F661/INDEX(Surface_Engine!$B$12:$B$72,$A661+1))))+2*Assumptions!$B$28*(MAX(IF(D661&lt;=0,0,MAX(0,(B661/D661)*H661/INDEX(Surface_Engine!$B$12:$B$72,$A661+1)-F661/INDEX(Surface_Engine!$B$12:$B$72,$A661+1))),IF(E661&lt;=0,0,MAX(0,(B661/E661)*I661/INDEX(Surface_Engine!$B$12:$B$72,$A661+1)-F661/INDEX(Surface_Engine!$B$12:$B$72,$A661+1))),IF($A661&lt;$Q$636,MAX(0,-Assumptions!$B$22*(F661/INDEX(Surface_Engine!$B$12:$B$72,$A661+1))),0)))*(MAX(0,J661/INDEX(Surface_Engine!$B$12:$B$72,$A661+1)-(F661/INDEX(Surface_Engine!$B$12:$B$72,$A661+1)))))</f>
        <v>6463.80189353477</v>
      </c>
      <c r="L661" s="48" t="n">
        <f aca="false">K661*INDEX(Surface_Engine!$B$12:$B$72,$A661+1)+L662</f>
        <v>20143.0091409947</v>
      </c>
      <c r="M661" s="48" t="n">
        <f aca="false">M660+B660*(IF($A660&lt;$Q$636,(Surface_Engine!L241*12)-(Surface_Engine!L241*12)*INDEX(Surface_Engine!$F$12:$F$72,$A660+1)-INDEX(Surface_Engine!$D$12:$D$72,$A660+1),-(1000*12*INDEX(Surface_Engine!$C$12:$C$72,$A660+1)/(1+Assumptions!$B$10)^20+INDEX(Surface_Engine!$D$12:$D$72,$A660+1))))*INDEX(Surface_Engine!$B$12:$B$72,$A660+1)</f>
        <v>22206.1748721092</v>
      </c>
      <c r="N661" s="12" t="n">
        <f aca="false">IF(B661&lt;=0,0,MAX(0,(K661+Assumptions!$B$29*L661/INDEX(Surface_Engine!$B$12:$B$72,$A661+1)-(M661/INDEX(Surface_Engine!$B$12:$B$72,$A661+1)-(F661/INDEX(Surface_Engine!$B$12:$B$72,$A661+1))))/B661))</f>
        <v>14225.8990096971</v>
      </c>
    </row>
    <row r="662" customFormat="false" ht="15" hidden="false" customHeight="true" outlineLevel="0" collapsed="false">
      <c r="A662" s="1" t="n">
        <v>24</v>
      </c>
      <c r="B662" s="32" t="n">
        <f aca="false">INDEX(Surface_Engine!$L$12:$L$72,$A662+1)*IF($A662&lt;$Q$636,INDEX(Surface_Engine!$E$12:$E$72,$A662+1),INDEX(Surface_Engine!$E$12:$E$72,$Q$636+1))</f>
        <v>0.429086545167173</v>
      </c>
      <c r="C662" s="32" t="n">
        <f aca="false">INDEX(Panel_Reserving!$D$8:$D$68,$A662+1)*IF($A662&lt;$Q$636,INDEX(Surface_Engine!$E$12:$E$72,$A662+1),INDEX(Surface_Engine!$E$12:$E$72,$Q$636+1))</f>
        <v>0.485296293031079</v>
      </c>
      <c r="D662" s="32" t="n">
        <f aca="false">INDEX(Surface_Engine!$L$12:$L$72,$A662+1)*IF($A662&lt;$Q$636,INDEX(Surface_Engine!$Y$12:$Y$72,$A662+1),INDEX(Surface_Engine!$Y$12:$Y$72,$Q$636+1))</f>
        <v>0.379857862778873</v>
      </c>
      <c r="E662" s="32" t="n">
        <f aca="false">INDEX(Surface_Engine!$L$12:$L$72,$A662+1)*IF($A662&lt;$Q$636,INDEX(Surface_Engine!$Z$12:$Z$72,$A662+1),INDEX(Surface_Engine!$Z$12:$Z$72,$Q$636+1))</f>
        <v>0.484199385465753</v>
      </c>
      <c r="F662" s="48" t="n">
        <f aca="false">B662*(IF($A662&lt;$Q$636,INDEX(Surface_Engine!$D$12:$D$72,$A662+1)+(Surface_Engine!L241*12)*INDEX(Surface_Engine!$F$12:$F$72,$A662+1)-(Surface_Engine!L241*12),1000*12*INDEX(Surface_Engine!$C$12:$C$72,$A662+1)/(1+Assumptions!$B$10)^20+INDEX(Surface_Engine!$D$12:$D$72,$A662+1)))*INDEX(Surface_Engine!$B$12:$B$72,$A662+1)+F663</f>
        <v>18149.5166417676</v>
      </c>
      <c r="G662" s="48" t="n">
        <f aca="false">C662*(IF($A662&lt;$Q$636,INDEX(Surface_Engine!$D$12:$D$72,$A662+1)+(Surface_Engine!L241*12)*INDEX(Surface_Engine!$F$12:$F$72,$A662+1)-(Surface_Engine!L241*12),1000*12*INDEX(Surface_Engine!$C$12:$C$72,$A662+1)/(1+Assumptions!$B$10)^20+INDEX(Surface_Engine!$D$12:$D$72,$A662+1)))*INDEX(Surface_Engine!$B$12:$B$72,$A662+1)+G663</f>
        <v>23714.5236898785</v>
      </c>
      <c r="H662" s="48" t="n">
        <f aca="false">D662*(IF($A662&lt;$Q$636,INDEX(Surface_Engine!$D$12:$D$72,$A662+1)+(Surface_Engine!L241*12)*INDEX(Surface_Engine!$F$12:$F$72,$A662+1)-(Surface_Engine!L241*12),1000*12*INDEX(Surface_Engine!$C$12:$C$72,$A662+1)/(1+Assumptions!$B$10)^20+INDEX(Surface_Engine!$D$12:$D$72,$A662+1)))*INDEX(Surface_Engine!$B$12:$B$72,$A662+1)+H663</f>
        <v>16067.2402331455</v>
      </c>
      <c r="I662" s="48" t="n">
        <f aca="false">E662*(IF($A662&lt;$Q$636,INDEX(Surface_Engine!$D$12:$D$72,$A662+1)+(Surface_Engine!L241*12)*INDEX(Surface_Engine!$F$12:$F$72,$A662+1)-(Surface_Engine!L241*12),1000*12*INDEX(Surface_Engine!$C$12:$C$72,$A662+1)/(1+Assumptions!$B$10)^20+INDEX(Surface_Engine!$D$12:$D$72,$A662+1)))*INDEX(Surface_Engine!$B$12:$B$72,$A662+1)+I663</f>
        <v>20480.6813530369</v>
      </c>
      <c r="J662" s="48" t="n">
        <f aca="false">B662*(IF($A662&lt;$Q$636,INDEX(Surface_Engine!$D$12:$D$72,$A662+1)*(1+Assumptions!$B$24)+(Surface_Engine!L241*12)*INDEX(Surface_Engine!$F$12:$F$72,$A662+1)-(Surface_Engine!L241*12),1000*12*INDEX(Surface_Engine!$C$12:$C$72,$A662+1)/(1+Assumptions!$B$10)^20+INDEX(Surface_Engine!$D$12:$D$72,$A662+1)*(1+Assumptions!$B$24)))*INDEX(Surface_Engine!$B$12:$B$72,$A662+1)+J663</f>
        <v>18170.4600556192</v>
      </c>
      <c r="K662" s="12" t="n">
        <f aca="false">SQRT((IF(C662&lt;=0,0,MAX(0,(B662/C662)*G662/INDEX(Surface_Engine!$B$12:$B$72,$A662+1)-F662/INDEX(Surface_Engine!$B$12:$B$72,$A662+1))))^2+(MAX(IF(D662&lt;=0,0,MAX(0,(B662/D662)*H662/INDEX(Surface_Engine!$B$12:$B$72,$A662+1)-F662/INDEX(Surface_Engine!$B$12:$B$72,$A662+1))),IF(E662&lt;=0,0,MAX(0,(B662/E662)*I662/INDEX(Surface_Engine!$B$12:$B$72,$A662+1)-F662/INDEX(Surface_Engine!$B$12:$B$72,$A662+1))),IF($A662&lt;$Q$636,MAX(0,-Assumptions!$B$22*(F662/INDEX(Surface_Engine!$B$12:$B$72,$A662+1))),0)))^2+(MAX(0,J662/INDEX(Surface_Engine!$B$12:$B$72,$A662+1)-(F662/INDEX(Surface_Engine!$B$12:$B$72,$A662+1))))^2+2*Assumptions!$B$26*(IF(C662&lt;=0,0,MAX(0,(B662/C662)*G662/INDEX(Surface_Engine!$B$12:$B$72,$A662+1)-F662/INDEX(Surface_Engine!$B$12:$B$72,$A662+1))))*(MAX(IF(D662&lt;=0,0,MAX(0,(B662/D662)*H662/INDEX(Surface_Engine!$B$12:$B$72,$A662+1)-F662/INDEX(Surface_Engine!$B$12:$B$72,$A662+1))),IF(E662&lt;=0,0,MAX(0,(B662/E662)*I662/INDEX(Surface_Engine!$B$12:$B$72,$A662+1)-F662/INDEX(Surface_Engine!$B$12:$B$72,$A662+1))),IF($A662&lt;$Q$636,MAX(0,-Assumptions!$B$22*(F662/INDEX(Surface_Engine!$B$12:$B$72,$A662+1))),0)))+2*Assumptions!$B$27*(IF(C662&lt;=0,0,MAX(0,(B662/C662)*G662/INDEX(Surface_Engine!$B$12:$B$72,$A662+1)-F662/INDEX(Surface_Engine!$B$12:$B$72,$A662+1))))*(MAX(0,J662/INDEX(Surface_Engine!$B$12:$B$72,$A662+1)-(F662/INDEX(Surface_Engine!$B$12:$B$72,$A662+1))))+2*Assumptions!$B$28*(MAX(IF(D662&lt;=0,0,MAX(0,(B662/D662)*H662/INDEX(Surface_Engine!$B$12:$B$72,$A662+1)-F662/INDEX(Surface_Engine!$B$12:$B$72,$A662+1))),IF(E662&lt;=0,0,MAX(0,(B662/E662)*I662/INDEX(Surface_Engine!$B$12:$B$72,$A662+1)-F662/INDEX(Surface_Engine!$B$12:$B$72,$A662+1))),IF($A662&lt;$Q$636,MAX(0,-Assumptions!$B$22*(F662/INDEX(Surface_Engine!$B$12:$B$72,$A662+1))),0)))*(MAX(0,J662/INDEX(Surface_Engine!$B$12:$B$72,$A662+1)-(F662/INDEX(Surface_Engine!$B$12:$B$72,$A662+1)))))</f>
        <v>5977.01574918477</v>
      </c>
      <c r="L662" s="48" t="n">
        <f aca="false">K662*INDEX(Surface_Engine!$B$12:$B$72,$A662+1)+L663</f>
        <v>16991.1594389119</v>
      </c>
      <c r="M662" s="48" t="n">
        <f aca="false">M661+B661*(IF($A661&lt;$Q$636,(Surface_Engine!L241*12)-(Surface_Engine!L241*12)*INDEX(Surface_Engine!$F$12:$F$72,$A661+1)-INDEX(Surface_Engine!$D$12:$D$72,$A661+1),-(1000*12*INDEX(Surface_Engine!$C$12:$C$72,$A661+1)/(1+Assumptions!$B$10)^20+INDEX(Surface_Engine!$D$12:$D$72,$A661+1))))*INDEX(Surface_Engine!$B$12:$B$72,$A661+1)</f>
        <v>19301.0553429357</v>
      </c>
      <c r="N662" s="12" t="n">
        <f aca="false">IF(B662&lt;=0,0,MAX(0,(K662+Assumptions!$B$29*L662/INDEX(Surface_Engine!$B$12:$B$72,$A662+1)-(M662/INDEX(Surface_Engine!$B$12:$B$72,$A662+1)-(F662/INDEX(Surface_Engine!$B$12:$B$72,$A662+1))))/B662))</f>
        <v>13278.0848369458</v>
      </c>
    </row>
    <row r="663" customFormat="false" ht="15" hidden="false" customHeight="true" outlineLevel="0" collapsed="false">
      <c r="A663" s="1" t="n">
        <v>25</v>
      </c>
      <c r="B663" s="32" t="n">
        <f aca="false">INDEX(Surface_Engine!$L$12:$L$72,$A663+1)*IF($A663&lt;$Q$636,INDEX(Surface_Engine!$E$12:$E$72,$A663+1),INDEX(Surface_Engine!$E$12:$E$72,$Q$636+1))</f>
        <v>0.393892499186995</v>
      </c>
      <c r="C663" s="32" t="n">
        <f aca="false">INDEX(Panel_Reserving!$D$8:$D$68,$A663+1)*IF($A663&lt;$Q$636,INDEX(Surface_Engine!$E$12:$E$72,$A663+1),INDEX(Surface_Engine!$E$12:$E$72,$Q$636+1))</f>
        <v>0.453452758912727</v>
      </c>
      <c r="D663" s="32" t="n">
        <f aca="false">INDEX(Surface_Engine!$L$12:$L$72,$A663+1)*IF($A663&lt;$Q$636,INDEX(Surface_Engine!$Y$12:$Y$72,$A663+1),INDEX(Surface_Engine!$Y$12:$Y$72,$Q$636+1))</f>
        <v>0.348701595496328</v>
      </c>
      <c r="E663" s="32" t="n">
        <f aca="false">INDEX(Surface_Engine!$L$12:$L$72,$A663+1)*IF($A663&lt;$Q$636,INDEX(Surface_Engine!$Z$12:$Z$72,$A663+1),INDEX(Surface_Engine!$Z$12:$Z$72,$Q$636+1))</f>
        <v>0.444484937115906</v>
      </c>
      <c r="F663" s="48" t="n">
        <f aca="false">B663*(IF($A663&lt;$Q$636,INDEX(Surface_Engine!$D$12:$D$72,$A663+1)+(Surface_Engine!L241*12)*INDEX(Surface_Engine!$F$12:$F$72,$A663+1)-(Surface_Engine!L241*12),1000*12*INDEX(Surface_Engine!$C$12:$C$72,$A663+1)/(1+Assumptions!$B$10)^20+INDEX(Surface_Engine!$D$12:$D$72,$A663+1)))*INDEX(Surface_Engine!$B$12:$B$72,$A663+1)+F664</f>
        <v>15486.516215235</v>
      </c>
      <c r="G663" s="48" t="n">
        <f aca="false">C663*(IF($A663&lt;$Q$636,INDEX(Surface_Engine!$D$12:$D$72,$A663+1)+(Surface_Engine!L241*12)*INDEX(Surface_Engine!$F$12:$F$72,$A663+1)-(Surface_Engine!L241*12),1000*12*INDEX(Surface_Engine!$C$12:$C$72,$A663+1)/(1+Assumptions!$B$10)^20+INDEX(Surface_Engine!$D$12:$D$72,$A663+1)))*INDEX(Surface_Engine!$B$12:$B$72,$A663+1)+G664</f>
        <v>20702.6738663587</v>
      </c>
      <c r="H663" s="48" t="n">
        <f aca="false">D663*(IF($A663&lt;$Q$636,INDEX(Surface_Engine!$D$12:$D$72,$A663+1)+(Surface_Engine!L241*12)*INDEX(Surface_Engine!$F$12:$F$72,$A663+1)-(Surface_Engine!L241*12),1000*12*INDEX(Surface_Engine!$C$12:$C$72,$A663+1)/(1+Assumptions!$B$10)^20+INDEX(Surface_Engine!$D$12:$D$72,$A663+1)))*INDEX(Surface_Engine!$B$12:$B$72,$A663+1)+H664</f>
        <v>13709.7632579404</v>
      </c>
      <c r="I663" s="48" t="n">
        <f aca="false">E663*(IF($A663&lt;$Q$636,INDEX(Surface_Engine!$D$12:$D$72,$A663+1)+(Surface_Engine!L241*12)*INDEX(Surface_Engine!$F$12:$F$72,$A663+1)-(Surface_Engine!L241*12),1000*12*INDEX(Surface_Engine!$C$12:$C$72,$A663+1)/(1+Assumptions!$B$10)^20+INDEX(Surface_Engine!$D$12:$D$72,$A663+1)))*INDEX(Surface_Engine!$B$12:$B$72,$A663+1)+I664</f>
        <v>17475.6391662217</v>
      </c>
      <c r="J663" s="48" t="n">
        <f aca="false">B663*(IF($A663&lt;$Q$636,INDEX(Surface_Engine!$D$12:$D$72,$A663+1)*(1+Assumptions!$B$24)+(Surface_Engine!L241*12)*INDEX(Surface_Engine!$F$12:$F$72,$A663+1)-(Surface_Engine!L241*12),1000*12*INDEX(Surface_Engine!$C$12:$C$72,$A663+1)/(1+Assumptions!$B$10)^20+INDEX(Surface_Engine!$D$12:$D$72,$A663+1)*(1+Assumptions!$B$24)))*INDEX(Surface_Engine!$B$12:$B$72,$A663+1)+J664</f>
        <v>15504.4532407293</v>
      </c>
      <c r="K663" s="12" t="n">
        <f aca="false">SQRT((IF(C663&lt;=0,0,MAX(0,(B663/C663)*G663/INDEX(Surface_Engine!$B$12:$B$72,$A663+1)-F663/INDEX(Surface_Engine!$B$12:$B$72,$A663+1))))^2+(MAX(IF(D663&lt;=0,0,MAX(0,(B663/D663)*H663/INDEX(Surface_Engine!$B$12:$B$72,$A663+1)-F663/INDEX(Surface_Engine!$B$12:$B$72,$A663+1))),IF(E663&lt;=0,0,MAX(0,(B663/E663)*I663/INDEX(Surface_Engine!$B$12:$B$72,$A663+1)-F663/INDEX(Surface_Engine!$B$12:$B$72,$A663+1))),IF($A663&lt;$Q$636,MAX(0,-Assumptions!$B$22*(F663/INDEX(Surface_Engine!$B$12:$B$72,$A663+1))),0)))^2+(MAX(0,J663/INDEX(Surface_Engine!$B$12:$B$72,$A663+1)-(F663/INDEX(Surface_Engine!$B$12:$B$72,$A663+1))))^2+2*Assumptions!$B$26*(IF(C663&lt;=0,0,MAX(0,(B663/C663)*G663/INDEX(Surface_Engine!$B$12:$B$72,$A663+1)-F663/INDEX(Surface_Engine!$B$12:$B$72,$A663+1))))*(MAX(IF(D663&lt;=0,0,MAX(0,(B663/D663)*H663/INDEX(Surface_Engine!$B$12:$B$72,$A663+1)-F663/INDEX(Surface_Engine!$B$12:$B$72,$A663+1))),IF(E663&lt;=0,0,MAX(0,(B663/E663)*I663/INDEX(Surface_Engine!$B$12:$B$72,$A663+1)-F663/INDEX(Surface_Engine!$B$12:$B$72,$A663+1))),IF($A663&lt;$Q$636,MAX(0,-Assumptions!$B$22*(F663/INDEX(Surface_Engine!$B$12:$B$72,$A663+1))),0)))+2*Assumptions!$B$27*(IF(C663&lt;=0,0,MAX(0,(B663/C663)*G663/INDEX(Surface_Engine!$B$12:$B$72,$A663+1)-F663/INDEX(Surface_Engine!$B$12:$B$72,$A663+1))))*(MAX(0,J663/INDEX(Surface_Engine!$B$12:$B$72,$A663+1)-(F663/INDEX(Surface_Engine!$B$12:$B$72,$A663+1))))+2*Assumptions!$B$28*(MAX(IF(D663&lt;=0,0,MAX(0,(B663/D663)*H663/INDEX(Surface_Engine!$B$12:$B$72,$A663+1)-F663/INDEX(Surface_Engine!$B$12:$B$72,$A663+1))),IF(E663&lt;=0,0,MAX(0,(B663/E663)*I663/INDEX(Surface_Engine!$B$12:$B$72,$A663+1)-F663/INDEX(Surface_Engine!$B$12:$B$72,$A663+1))),IF($A663&lt;$Q$636,MAX(0,-Assumptions!$B$22*(F663/INDEX(Surface_Engine!$B$12:$B$72,$A663+1))),0)))*(MAX(0,J663/INDEX(Surface_Engine!$B$12:$B$72,$A663+1)-(F663/INDEX(Surface_Engine!$B$12:$B$72,$A663+1)))))</f>
        <v>5464.5216281401</v>
      </c>
      <c r="L663" s="48" t="n">
        <f aca="false">K663*INDEX(Surface_Engine!$B$12:$B$72,$A663+1)+L664</f>
        <v>14167.5933155041</v>
      </c>
      <c r="M663" s="48" t="n">
        <f aca="false">M662+B662*(IF($A662&lt;$Q$636,(Surface_Engine!L241*12)-(Surface_Engine!L241*12)*INDEX(Surface_Engine!$F$12:$F$72,$A662+1)-INDEX(Surface_Engine!$D$12:$D$72,$A662+1),-(1000*12*INDEX(Surface_Engine!$C$12:$C$72,$A662+1)/(1+Assumptions!$B$10)^20+INDEX(Surface_Engine!$D$12:$D$72,$A662+1))))*INDEX(Surface_Engine!$B$12:$B$72,$A662+1)</f>
        <v>16638.0549164031</v>
      </c>
      <c r="N663" s="12" t="n">
        <f aca="false">IF(B663&lt;=0,0,MAX(0,(K663+Assumptions!$B$29*L663/INDEX(Surface_Engine!$B$12:$B$72,$A663+1)-(M663/INDEX(Surface_Engine!$B$12:$B$72,$A663+1)-(F663/INDEX(Surface_Engine!$B$12:$B$72,$A663+1))))/B663))</f>
        <v>12201.0873620046</v>
      </c>
    </row>
    <row r="664" customFormat="false" ht="15" hidden="false" customHeight="true" outlineLevel="0" collapsed="false">
      <c r="A664" s="1" t="n">
        <v>26</v>
      </c>
      <c r="B664" s="32" t="n">
        <f aca="false">INDEX(Surface_Engine!$L$12:$L$72,$A664+1)*IF($A664&lt;$Q$636,INDEX(Surface_Engine!$E$12:$E$72,$A664+1),INDEX(Surface_Engine!$E$12:$E$72,$Q$636+1))</f>
        <v>0.356188830362226</v>
      </c>
      <c r="C664" s="32" t="n">
        <f aca="false">INDEX(Panel_Reserving!$D$8:$D$68,$A664+1)*IF($A664&lt;$Q$636,INDEX(Surface_Engine!$E$12:$E$72,$A664+1),INDEX(Surface_Engine!$E$12:$E$72,$Q$636+1))</f>
        <v>0.41872890367809</v>
      </c>
      <c r="D664" s="32" t="n">
        <f aca="false">INDEX(Surface_Engine!$L$12:$L$72,$A664+1)*IF($A664&lt;$Q$636,INDEX(Surface_Engine!$Y$12:$Y$72,$A664+1),INDEX(Surface_Engine!$Y$12:$Y$72,$Q$636+1))</f>
        <v>0.315323631959581</v>
      </c>
      <c r="E664" s="32" t="n">
        <f aca="false">INDEX(Surface_Engine!$L$12:$L$72,$A664+1)*IF($A664&lt;$Q$636,INDEX(Surface_Engine!$Z$12:$Z$72,$A664+1),INDEX(Surface_Engine!$Z$12:$Z$72,$Q$636+1))</f>
        <v>0.401938524322551</v>
      </c>
      <c r="F664" s="48" t="n">
        <f aca="false">B664*(IF($A664&lt;$Q$636,INDEX(Surface_Engine!$D$12:$D$72,$A664+1)+(Surface_Engine!L241*12)*INDEX(Surface_Engine!$F$12:$F$72,$A664+1)-(Surface_Engine!L241*12),1000*12*INDEX(Surface_Engine!$C$12:$C$72,$A664+1)/(1+Assumptions!$B$10)^20+INDEX(Surface_Engine!$D$12:$D$72,$A664+1)))*INDEX(Surface_Engine!$B$12:$B$72,$A664+1)+F665</f>
        <v>13070.2056431173</v>
      </c>
      <c r="G664" s="48" t="n">
        <f aca="false">C664*(IF($A664&lt;$Q$636,INDEX(Surface_Engine!$D$12:$D$72,$A664+1)+(Surface_Engine!L241*12)*INDEX(Surface_Engine!$F$12:$F$72,$A664+1)-(Surface_Engine!L241*12),1000*12*INDEX(Surface_Engine!$C$12:$C$72,$A664+1)/(1+Assumptions!$B$10)^20+INDEX(Surface_Engine!$D$12:$D$72,$A664+1)))*INDEX(Surface_Engine!$B$12:$B$72,$A664+1)+G665</f>
        <v>17920.9943533488</v>
      </c>
      <c r="H664" s="48" t="n">
        <f aca="false">D664*(IF($A664&lt;$Q$636,INDEX(Surface_Engine!$D$12:$D$72,$A664+1)+(Surface_Engine!L241*12)*INDEX(Surface_Engine!$F$12:$F$72,$A664+1)-(Surface_Engine!L241*12),1000*12*INDEX(Surface_Engine!$C$12:$C$72,$A664+1)/(1+Assumptions!$B$10)^20+INDEX(Surface_Engine!$D$12:$D$72,$A664+1)))*INDEX(Surface_Engine!$B$12:$B$72,$A664+1)+H665</f>
        <v>11570.6736498591</v>
      </c>
      <c r="I664" s="48" t="n">
        <f aca="false">E664*(IF($A664&lt;$Q$636,INDEX(Surface_Engine!$D$12:$D$72,$A664+1)+(Surface_Engine!L241*12)*INDEX(Surface_Engine!$F$12:$F$72,$A664+1)-(Surface_Engine!L241*12),1000*12*INDEX(Surface_Engine!$C$12:$C$72,$A664+1)/(1+Assumptions!$B$10)^20+INDEX(Surface_Engine!$D$12:$D$72,$A664+1)))*INDEX(Surface_Engine!$B$12:$B$72,$A664+1)+I665</f>
        <v>14748.9722331955</v>
      </c>
      <c r="J664" s="48" t="n">
        <f aca="false">B664*(IF($A664&lt;$Q$636,INDEX(Surface_Engine!$D$12:$D$72,$A664+1)*(1+Assumptions!$B$24)+(Surface_Engine!L241*12)*INDEX(Surface_Engine!$F$12:$F$72,$A664+1)-(Surface_Engine!L241*12),1000*12*INDEX(Surface_Engine!$C$12:$C$72,$A664+1)/(1+Assumptions!$B$10)^20+INDEX(Surface_Engine!$D$12:$D$72,$A664+1)*(1+Assumptions!$B$24)))*INDEX(Surface_Engine!$B$12:$B$72,$A664+1)+J665</f>
        <v>13085.4015599046</v>
      </c>
      <c r="K664" s="12" t="n">
        <f aca="false">SQRT((IF(C664&lt;=0,0,MAX(0,(B664/C664)*G664/INDEX(Surface_Engine!$B$12:$B$72,$A664+1)-F664/INDEX(Surface_Engine!$B$12:$B$72,$A664+1))))^2+(MAX(IF(D664&lt;=0,0,MAX(0,(B664/D664)*H664/INDEX(Surface_Engine!$B$12:$B$72,$A664+1)-F664/INDEX(Surface_Engine!$B$12:$B$72,$A664+1))),IF(E664&lt;=0,0,MAX(0,(B664/E664)*I664/INDEX(Surface_Engine!$B$12:$B$72,$A664+1)-F664/INDEX(Surface_Engine!$B$12:$B$72,$A664+1))),IF($A664&lt;$Q$636,MAX(0,-Assumptions!$B$22*(F664/INDEX(Surface_Engine!$B$12:$B$72,$A664+1))),0)))^2+(MAX(0,J664/INDEX(Surface_Engine!$B$12:$B$72,$A664+1)-(F664/INDEX(Surface_Engine!$B$12:$B$72,$A664+1))))^2+2*Assumptions!$B$26*(IF(C664&lt;=0,0,MAX(0,(B664/C664)*G664/INDEX(Surface_Engine!$B$12:$B$72,$A664+1)-F664/INDEX(Surface_Engine!$B$12:$B$72,$A664+1))))*(MAX(IF(D664&lt;=0,0,MAX(0,(B664/D664)*H664/INDEX(Surface_Engine!$B$12:$B$72,$A664+1)-F664/INDEX(Surface_Engine!$B$12:$B$72,$A664+1))),IF(E664&lt;=0,0,MAX(0,(B664/E664)*I664/INDEX(Surface_Engine!$B$12:$B$72,$A664+1)-F664/INDEX(Surface_Engine!$B$12:$B$72,$A664+1))),IF($A664&lt;$Q$636,MAX(0,-Assumptions!$B$22*(F664/INDEX(Surface_Engine!$B$12:$B$72,$A664+1))),0)))+2*Assumptions!$B$27*(IF(C664&lt;=0,0,MAX(0,(B664/C664)*G664/INDEX(Surface_Engine!$B$12:$B$72,$A664+1)-F664/INDEX(Surface_Engine!$B$12:$B$72,$A664+1))))*(MAX(0,J664/INDEX(Surface_Engine!$B$12:$B$72,$A664+1)-(F664/INDEX(Surface_Engine!$B$12:$B$72,$A664+1))))+2*Assumptions!$B$28*(MAX(IF(D664&lt;=0,0,MAX(0,(B664/D664)*H664/INDEX(Surface_Engine!$B$12:$B$72,$A664+1)-F664/INDEX(Surface_Engine!$B$12:$B$72,$A664+1))),IF(E664&lt;=0,0,MAX(0,(B664/E664)*I664/INDEX(Surface_Engine!$B$12:$B$72,$A664+1)-F664/INDEX(Surface_Engine!$B$12:$B$72,$A664+1))),IF($A664&lt;$Q$636,MAX(0,-Assumptions!$B$22*(F664/INDEX(Surface_Engine!$B$12:$B$72,$A664+1))),0)))*(MAX(0,J664/INDEX(Surface_Engine!$B$12:$B$72,$A664+1)-(F664/INDEX(Surface_Engine!$B$12:$B$72,$A664+1)))))</f>
        <v>4911.51664192452</v>
      </c>
      <c r="L664" s="48" t="n">
        <f aca="false">K664*INDEX(Surface_Engine!$B$12:$B$72,$A664+1)+L665</f>
        <v>11666.1526232334</v>
      </c>
      <c r="M664" s="48" t="n">
        <f aca="false">M663+B663*(IF($A663&lt;$Q$636,(Surface_Engine!L241*12)-(Surface_Engine!L241*12)*INDEX(Surface_Engine!$F$12:$F$72,$A663+1)-INDEX(Surface_Engine!$D$12:$D$72,$A663+1),-(1000*12*INDEX(Surface_Engine!$C$12:$C$72,$A663+1)/(1+Assumptions!$B$10)^20+INDEX(Surface_Engine!$D$12:$D$72,$A663+1))))*INDEX(Surface_Engine!$B$12:$B$72,$A663+1)</f>
        <v>14221.7443442854</v>
      </c>
      <c r="N664" s="12" t="n">
        <f aca="false">IF(B664&lt;=0,0,MAX(0,(K664+Assumptions!$B$29*L664/INDEX(Surface_Engine!$B$12:$B$72,$A664+1)-(M664/INDEX(Surface_Engine!$B$12:$B$72,$A664+1)-(F664/INDEX(Surface_Engine!$B$12:$B$72,$A664+1))))/B664))</f>
        <v>10930.1765495031</v>
      </c>
    </row>
    <row r="665" customFormat="false" ht="15" hidden="false" customHeight="true" outlineLevel="0" collapsed="false">
      <c r="A665" s="1" t="n">
        <v>27</v>
      </c>
      <c r="B665" s="32" t="n">
        <f aca="false">INDEX(Surface_Engine!$L$12:$L$72,$A665+1)*IF($A665&lt;$Q$636,INDEX(Surface_Engine!$E$12:$E$72,$A665+1),INDEX(Surface_Engine!$E$12:$E$72,$Q$636+1))</f>
        <v>0.317762630028921</v>
      </c>
      <c r="C665" s="32" t="n">
        <f aca="false">INDEX(Panel_Reserving!$D$8:$D$68,$A665+1)*IF($A665&lt;$Q$636,INDEX(Surface_Engine!$E$12:$E$72,$A665+1),INDEX(Surface_Engine!$E$12:$E$72,$Q$636+1))</f>
        <v>0.382590407764635</v>
      </c>
      <c r="D665" s="32" t="n">
        <f aca="false">INDEX(Surface_Engine!$L$12:$L$72,$A665+1)*IF($A665&lt;$Q$636,INDEX(Surface_Engine!$Y$12:$Y$72,$A665+1),INDEX(Surface_Engine!$Y$12:$Y$72,$Q$636+1))</f>
        <v>0.281306032252195</v>
      </c>
      <c r="E665" s="32" t="n">
        <f aca="false">INDEX(Surface_Engine!$L$12:$L$72,$A665+1)*IF($A665&lt;$Q$636,INDEX(Surface_Engine!$Z$12:$Z$72,$A665+1),INDEX(Surface_Engine!$Z$12:$Z$72,$Q$636+1))</f>
        <v>0.358576776449703</v>
      </c>
      <c r="F665" s="48" t="n">
        <f aca="false">B665*(IF($A665&lt;$Q$636,INDEX(Surface_Engine!$D$12:$D$72,$A665+1)+(Surface_Engine!L241*12)*INDEX(Surface_Engine!$F$12:$F$72,$A665+1)-(Surface_Engine!L241*12),1000*12*INDEX(Surface_Engine!$C$12:$C$72,$A665+1)/(1+Assumptions!$B$10)^20+INDEX(Surface_Engine!$D$12:$D$72,$A665+1)))*INDEX(Surface_Engine!$B$12:$B$72,$A665+1)+F666</f>
        <v>10911.0383027613</v>
      </c>
      <c r="G665" s="48" t="n">
        <f aca="false">C665*(IF($A665&lt;$Q$636,INDEX(Surface_Engine!$D$12:$D$72,$A665+1)+(Surface_Engine!L241*12)*INDEX(Surface_Engine!$F$12:$F$72,$A665+1)-(Surface_Engine!L241*12),1000*12*INDEX(Surface_Engine!$C$12:$C$72,$A665+1)/(1+Assumptions!$B$10)^20+INDEX(Surface_Engine!$D$12:$D$72,$A665+1)))*INDEX(Surface_Engine!$B$12:$B$72,$A665+1)+G666</f>
        <v>15382.7177533628</v>
      </c>
      <c r="H665" s="48" t="n">
        <f aca="false">D665*(IF($A665&lt;$Q$636,INDEX(Surface_Engine!$D$12:$D$72,$A665+1)+(Surface_Engine!L241*12)*INDEX(Surface_Engine!$F$12:$F$72,$A665+1)-(Surface_Engine!L241*12),1000*12*INDEX(Surface_Engine!$C$12:$C$72,$A665+1)/(1+Assumptions!$B$10)^20+INDEX(Surface_Engine!$D$12:$D$72,$A665+1)))*INDEX(Surface_Engine!$B$12:$B$72,$A665+1)+H666</f>
        <v>9659.22548042272</v>
      </c>
      <c r="I665" s="48" t="n">
        <f aca="false">E665*(IF($A665&lt;$Q$636,INDEX(Surface_Engine!$D$12:$D$72,$A665+1)+(Surface_Engine!L241*12)*INDEX(Surface_Engine!$F$12:$F$72,$A665+1)-(Surface_Engine!L241*12),1000*12*INDEX(Surface_Engine!$C$12:$C$72,$A665+1)/(1+Assumptions!$B$10)^20+INDEX(Surface_Engine!$D$12:$D$72,$A665+1)))*INDEX(Surface_Engine!$B$12:$B$72,$A665+1)+I666</f>
        <v>12312.4765865869</v>
      </c>
      <c r="J665" s="48" t="n">
        <f aca="false">B665*(IF($A665&lt;$Q$636,INDEX(Surface_Engine!$D$12:$D$72,$A665+1)*(1+Assumptions!$B$24)+(Surface_Engine!L241*12)*INDEX(Surface_Engine!$F$12:$F$72,$A665+1)-(Surface_Engine!L241*12),1000*12*INDEX(Surface_Engine!$C$12:$C$72,$A665+1)/(1+Assumptions!$B$10)^20+INDEX(Surface_Engine!$D$12:$D$72,$A665+1)*(1+Assumptions!$B$24)))*INDEX(Surface_Engine!$B$12:$B$72,$A665+1)+J666</f>
        <v>10923.7729490213</v>
      </c>
      <c r="K665" s="12" t="n">
        <f aca="false">SQRT((IF(C665&lt;=0,0,MAX(0,(B665/C665)*G665/INDEX(Surface_Engine!$B$12:$B$72,$A665+1)-F665/INDEX(Surface_Engine!$B$12:$B$72,$A665+1))))^2+(MAX(IF(D665&lt;=0,0,MAX(0,(B665/D665)*H665/INDEX(Surface_Engine!$B$12:$B$72,$A665+1)-F665/INDEX(Surface_Engine!$B$12:$B$72,$A665+1))),IF(E665&lt;=0,0,MAX(0,(B665/E665)*I665/INDEX(Surface_Engine!$B$12:$B$72,$A665+1)-F665/INDEX(Surface_Engine!$B$12:$B$72,$A665+1))),IF($A665&lt;$Q$636,MAX(0,-Assumptions!$B$22*(F665/INDEX(Surface_Engine!$B$12:$B$72,$A665+1))),0)))^2+(MAX(0,J665/INDEX(Surface_Engine!$B$12:$B$72,$A665+1)-(F665/INDEX(Surface_Engine!$B$12:$B$72,$A665+1))))^2+2*Assumptions!$B$26*(IF(C665&lt;=0,0,MAX(0,(B665/C665)*G665/INDEX(Surface_Engine!$B$12:$B$72,$A665+1)-F665/INDEX(Surface_Engine!$B$12:$B$72,$A665+1))))*(MAX(IF(D665&lt;=0,0,MAX(0,(B665/D665)*H665/INDEX(Surface_Engine!$B$12:$B$72,$A665+1)-F665/INDEX(Surface_Engine!$B$12:$B$72,$A665+1))),IF(E665&lt;=0,0,MAX(0,(B665/E665)*I665/INDEX(Surface_Engine!$B$12:$B$72,$A665+1)-F665/INDEX(Surface_Engine!$B$12:$B$72,$A665+1))),IF($A665&lt;$Q$636,MAX(0,-Assumptions!$B$22*(F665/INDEX(Surface_Engine!$B$12:$B$72,$A665+1))),0)))+2*Assumptions!$B$27*(IF(C665&lt;=0,0,MAX(0,(B665/C665)*G665/INDEX(Surface_Engine!$B$12:$B$72,$A665+1)-F665/INDEX(Surface_Engine!$B$12:$B$72,$A665+1))))*(MAX(0,J665/INDEX(Surface_Engine!$B$12:$B$72,$A665+1)-(F665/INDEX(Surface_Engine!$B$12:$B$72,$A665+1))))+2*Assumptions!$B$28*(MAX(IF(D665&lt;=0,0,MAX(0,(B665/D665)*H665/INDEX(Surface_Engine!$B$12:$B$72,$A665+1)-F665/INDEX(Surface_Engine!$B$12:$B$72,$A665+1))),IF(E665&lt;=0,0,MAX(0,(B665/E665)*I665/INDEX(Surface_Engine!$B$12:$B$72,$A665+1)-F665/INDEX(Surface_Engine!$B$12:$B$72,$A665+1))),IF($A665&lt;$Q$636,MAX(0,-Assumptions!$B$22*(F665/INDEX(Surface_Engine!$B$12:$B$72,$A665+1))),0)))*(MAX(0,J665/INDEX(Surface_Engine!$B$12:$B$72,$A665+1)-(F665/INDEX(Surface_Engine!$B$12:$B$72,$A665+1)))))</f>
        <v>4348.29736566166</v>
      </c>
      <c r="L665" s="48" t="n">
        <f aca="false">K665*INDEX(Surface_Engine!$B$12:$B$72,$A665+1)+L666</f>
        <v>9488.14035259945</v>
      </c>
      <c r="M665" s="48" t="n">
        <f aca="false">M664+B664*(IF($A664&lt;$Q$636,(Surface_Engine!L241*12)-(Surface_Engine!L241*12)*INDEX(Surface_Engine!$F$12:$F$72,$A664+1)-INDEX(Surface_Engine!$D$12:$D$72,$A664+1),-(1000*12*INDEX(Surface_Engine!$C$12:$C$72,$A664+1)/(1+Assumptions!$B$10)^20+INDEX(Surface_Engine!$D$12:$D$72,$A664+1))))*INDEX(Surface_Engine!$B$12:$B$72,$A664+1)</f>
        <v>12062.5770039294</v>
      </c>
      <c r="N665" s="12" t="n">
        <f aca="false">IF(B665&lt;=0,0,MAX(0,(K665+Assumptions!$B$29*L665/INDEX(Surface_Engine!$B$12:$B$72,$A665+1)-(M665/INDEX(Surface_Engine!$B$12:$B$72,$A665+1)-(F665/INDEX(Surface_Engine!$B$12:$B$72,$A665+1))))/B665))</f>
        <v>9419.69776054881</v>
      </c>
    </row>
    <row r="666" customFormat="false" ht="15" hidden="false" customHeight="true" outlineLevel="0" collapsed="false">
      <c r="A666" s="1" t="n">
        <v>28</v>
      </c>
      <c r="B666" s="32" t="n">
        <f aca="false">INDEX(Surface_Engine!$L$12:$L$72,$A666+1)*IF($A666&lt;$Q$636,INDEX(Surface_Engine!$E$12:$E$72,$A666+1),INDEX(Surface_Engine!$E$12:$E$72,$Q$636+1))</f>
        <v>0.279549431410699</v>
      </c>
      <c r="C666" s="32" t="n">
        <f aca="false">INDEX(Panel_Reserving!$D$8:$D$68,$A666+1)*IF($A666&lt;$Q$636,INDEX(Surface_Engine!$E$12:$E$72,$A666+1),INDEX(Surface_Engine!$E$12:$E$72,$Q$636+1))</f>
        <v>0.345783050675462</v>
      </c>
      <c r="D666" s="32" t="n">
        <f aca="false">INDEX(Surface_Engine!$L$12:$L$72,$A666+1)*IF($A666&lt;$Q$636,INDEX(Surface_Engine!$Y$12:$Y$72,$A666+1),INDEX(Surface_Engine!$Y$12:$Y$72,$Q$636+1))</f>
        <v>0.247476996780092</v>
      </c>
      <c r="E666" s="32" t="n">
        <f aca="false">INDEX(Surface_Engine!$L$12:$L$72,$A666+1)*IF($A666&lt;$Q$636,INDEX(Surface_Engine!$Z$12:$Z$72,$A666+1),INDEX(Surface_Engine!$Z$12:$Z$72,$Q$636+1))</f>
        <v>0.315455388710978</v>
      </c>
      <c r="F666" s="48" t="n">
        <f aca="false">B666*(IF($A666&lt;$Q$636,INDEX(Surface_Engine!$D$12:$D$72,$A666+1)+(Surface_Engine!L241*12)*INDEX(Surface_Engine!$F$12:$F$72,$A666+1)-(Surface_Engine!L241*12),1000*12*INDEX(Surface_Engine!$C$12:$C$72,$A666+1)/(1+Assumptions!$B$10)^20+INDEX(Surface_Engine!$D$12:$D$72,$A666+1)))*INDEX(Surface_Engine!$B$12:$B$72,$A666+1)+F667</f>
        <v>9007.17079661768</v>
      </c>
      <c r="G666" s="48" t="n">
        <f aca="false">C666*(IF($A666&lt;$Q$636,INDEX(Surface_Engine!$D$12:$D$72,$A666+1)+(Surface_Engine!L241*12)*INDEX(Surface_Engine!$F$12:$F$72,$A666+1)-(Surface_Engine!L241*12),1000*12*INDEX(Surface_Engine!$C$12:$C$72,$A666+1)/(1+Assumptions!$B$10)^20+INDEX(Surface_Engine!$D$12:$D$72,$A666+1)))*INDEX(Surface_Engine!$B$12:$B$72,$A666+1)+G667</f>
        <v>13090.4361045137</v>
      </c>
      <c r="H666" s="48" t="n">
        <f aca="false">D666*(IF($A666&lt;$Q$636,INDEX(Surface_Engine!$D$12:$D$72,$A666+1)+(Surface_Engine!L241*12)*INDEX(Surface_Engine!$F$12:$F$72,$A666+1)-(Surface_Engine!L241*12),1000*12*INDEX(Surface_Engine!$C$12:$C$72,$A666+1)/(1+Assumptions!$B$10)^20+INDEX(Surface_Engine!$D$12:$D$72,$A666+1)))*INDEX(Surface_Engine!$B$12:$B$72,$A666+1)+H667</f>
        <v>7973.78684329163</v>
      </c>
      <c r="I666" s="48" t="n">
        <f aca="false">E666*(IF($A666&lt;$Q$636,INDEX(Surface_Engine!$D$12:$D$72,$A666+1)+(Surface_Engine!L241*12)*INDEX(Surface_Engine!$F$12:$F$72,$A666+1)-(Surface_Engine!L241*12),1000*12*INDEX(Surface_Engine!$C$12:$C$72,$A666+1)/(1+Assumptions!$B$10)^20+INDEX(Surface_Engine!$D$12:$D$72,$A666+1)))*INDEX(Surface_Engine!$B$12:$B$72,$A666+1)+I667</f>
        <v>10164.0720587223</v>
      </c>
      <c r="J666" s="48" t="n">
        <f aca="false">B666*(IF($A666&lt;$Q$636,INDEX(Surface_Engine!$D$12:$D$72,$A666+1)*(1+Assumptions!$B$24)+(Surface_Engine!L241*12)*INDEX(Surface_Engine!$F$12:$F$72,$A666+1)-(Surface_Engine!L241*12),1000*12*INDEX(Surface_Engine!$C$12:$C$72,$A666+1)/(1+Assumptions!$B$10)^20+INDEX(Surface_Engine!$D$12:$D$72,$A666+1)*(1+Assumptions!$B$24)))*INDEX(Surface_Engine!$B$12:$B$72,$A666+1)+J667</f>
        <v>9017.7246762266</v>
      </c>
      <c r="K666" s="12" t="n">
        <f aca="false">SQRT((IF(C666&lt;=0,0,MAX(0,(B666/C666)*G666/INDEX(Surface_Engine!$B$12:$B$72,$A666+1)-F666/INDEX(Surface_Engine!$B$12:$B$72,$A666+1))))^2+(MAX(IF(D666&lt;=0,0,MAX(0,(B666/D666)*H666/INDEX(Surface_Engine!$B$12:$B$72,$A666+1)-F666/INDEX(Surface_Engine!$B$12:$B$72,$A666+1))),IF(E666&lt;=0,0,MAX(0,(B666/E666)*I666/INDEX(Surface_Engine!$B$12:$B$72,$A666+1)-F666/INDEX(Surface_Engine!$B$12:$B$72,$A666+1))),IF($A666&lt;$Q$636,MAX(0,-Assumptions!$B$22*(F666/INDEX(Surface_Engine!$B$12:$B$72,$A666+1))),0)))^2+(MAX(0,J666/INDEX(Surface_Engine!$B$12:$B$72,$A666+1)-(F666/INDEX(Surface_Engine!$B$12:$B$72,$A666+1))))^2+2*Assumptions!$B$26*(IF(C666&lt;=0,0,MAX(0,(B666/C666)*G666/INDEX(Surface_Engine!$B$12:$B$72,$A666+1)-F666/INDEX(Surface_Engine!$B$12:$B$72,$A666+1))))*(MAX(IF(D666&lt;=0,0,MAX(0,(B666/D666)*H666/INDEX(Surface_Engine!$B$12:$B$72,$A666+1)-F666/INDEX(Surface_Engine!$B$12:$B$72,$A666+1))),IF(E666&lt;=0,0,MAX(0,(B666/E666)*I666/INDEX(Surface_Engine!$B$12:$B$72,$A666+1)-F666/INDEX(Surface_Engine!$B$12:$B$72,$A666+1))),IF($A666&lt;$Q$636,MAX(0,-Assumptions!$B$22*(F666/INDEX(Surface_Engine!$B$12:$B$72,$A666+1))),0)))+2*Assumptions!$B$27*(IF(C666&lt;=0,0,MAX(0,(B666/C666)*G666/INDEX(Surface_Engine!$B$12:$B$72,$A666+1)-F666/INDEX(Surface_Engine!$B$12:$B$72,$A666+1))))*(MAX(0,J666/INDEX(Surface_Engine!$B$12:$B$72,$A666+1)-(F666/INDEX(Surface_Engine!$B$12:$B$72,$A666+1))))+2*Assumptions!$B$28*(MAX(IF(D666&lt;=0,0,MAX(0,(B666/D666)*H666/INDEX(Surface_Engine!$B$12:$B$72,$A666+1)-F666/INDEX(Surface_Engine!$B$12:$B$72,$A666+1))),IF(E666&lt;=0,0,MAX(0,(B666/E666)*I666/INDEX(Surface_Engine!$B$12:$B$72,$A666+1)-F666/INDEX(Surface_Engine!$B$12:$B$72,$A666+1))),IF($A666&lt;$Q$636,MAX(0,-Assumptions!$B$22*(F666/INDEX(Surface_Engine!$B$12:$B$72,$A666+1))),0)))*(MAX(0,J666/INDEX(Surface_Engine!$B$12:$B$72,$A666+1)-(F666/INDEX(Surface_Engine!$B$12:$B$72,$A666+1)))))</f>
        <v>3792.45991331063</v>
      </c>
      <c r="L666" s="48" t="n">
        <f aca="false">K666*INDEX(Surface_Engine!$B$12:$B$72,$A666+1)+L667</f>
        <v>7619.75095464435</v>
      </c>
      <c r="M666" s="48" t="n">
        <f aca="false">M665+B665*(IF($A665&lt;$Q$636,(Surface_Engine!L241*12)-(Surface_Engine!L241*12)*INDEX(Surface_Engine!$F$12:$F$72,$A665+1)-INDEX(Surface_Engine!$D$12:$D$72,$A665+1),-(1000*12*INDEX(Surface_Engine!$C$12:$C$72,$A665+1)/(1+Assumptions!$B$10)^20+INDEX(Surface_Engine!$D$12:$D$72,$A665+1))))*INDEX(Surface_Engine!$B$12:$B$72,$A665+1)</f>
        <v>10158.7094977858</v>
      </c>
      <c r="N666" s="12" t="n">
        <f aca="false">IF(B666&lt;=0,0,MAX(0,(K666+Assumptions!$B$29*L666/INDEX(Surface_Engine!$B$12:$B$72,$A666+1)-(M666/INDEX(Surface_Engine!$B$12:$B$72,$A666+1)-(F666/INDEX(Surface_Engine!$B$12:$B$72,$A666+1))))/B666))</f>
        <v>7598.77067536096</v>
      </c>
    </row>
    <row r="667" customFormat="false" ht="15" hidden="false" customHeight="true" outlineLevel="0" collapsed="false">
      <c r="A667" s="1" t="n">
        <v>29</v>
      </c>
      <c r="B667" s="32" t="n">
        <f aca="false">INDEX(Surface_Engine!$L$12:$L$72,$A667+1)*IF($A667&lt;$Q$636,INDEX(Surface_Engine!$E$12:$E$72,$A667+1),INDEX(Surface_Engine!$E$12:$E$72,$Q$636+1))</f>
        <v>0.242657054510595</v>
      </c>
      <c r="C667" s="32" t="n">
        <f aca="false">INDEX(Panel_Reserving!$D$8:$D$68,$A667+1)*IF($A667&lt;$Q$636,INDEX(Surface_Engine!$E$12:$E$72,$A667+1),INDEX(Surface_Engine!$E$12:$E$72,$Q$636+1))</f>
        <v>0.30927642337363</v>
      </c>
      <c r="D667" s="32" t="n">
        <f aca="false">INDEX(Surface_Engine!$L$12:$L$72,$A667+1)*IF($A667&lt;$Q$636,INDEX(Surface_Engine!$Y$12:$Y$72,$A667+1),INDEX(Surface_Engine!$Y$12:$Y$72,$Q$636+1))</f>
        <v>0.214817246433815</v>
      </c>
      <c r="E667" s="32" t="n">
        <f aca="false">INDEX(Surface_Engine!$L$12:$L$72,$A667+1)*IF($A667&lt;$Q$636,INDEX(Surface_Engine!$Z$12:$Z$72,$A667+1),INDEX(Surface_Engine!$Z$12:$Z$72,$Q$636+1))</f>
        <v>0.273824472000593</v>
      </c>
      <c r="F667" s="48" t="n">
        <f aca="false">B667*(IF($A667&lt;$Q$636,INDEX(Surface_Engine!$D$12:$D$72,$A667+1)+(Surface_Engine!L241*12)*INDEX(Surface_Engine!$F$12:$F$72,$A667+1)-(Surface_Engine!L241*12),1000*12*INDEX(Surface_Engine!$C$12:$C$72,$A667+1)/(1+Assumptions!$B$10)^20+INDEX(Surface_Engine!$D$12:$D$72,$A667+1)))*INDEX(Surface_Engine!$B$12:$B$72,$A667+1)+F668</f>
        <v>7352.18506836505</v>
      </c>
      <c r="G667" s="48" t="n">
        <f aca="false">C667*(IF($A667&lt;$Q$636,INDEX(Surface_Engine!$D$12:$D$72,$A667+1)+(Surface_Engine!L241*12)*INDEX(Surface_Engine!$F$12:$F$72,$A667+1)-(Surface_Engine!L241*12),1000*12*INDEX(Surface_Engine!$C$12:$C$72,$A667+1)/(1+Assumptions!$B$10)^20+INDEX(Surface_Engine!$D$12:$D$72,$A667+1)))*INDEX(Surface_Engine!$B$12:$B$72,$A667+1)+G668</f>
        <v>11043.3347705861</v>
      </c>
      <c r="H667" s="48" t="n">
        <f aca="false">D667*(IF($A667&lt;$Q$636,INDEX(Surface_Engine!$D$12:$D$72,$A667+1)+(Surface_Engine!L241*12)*INDEX(Surface_Engine!$F$12:$F$72,$A667+1)-(Surface_Engine!L241*12),1000*12*INDEX(Surface_Engine!$C$12:$C$72,$A667+1)/(1+Assumptions!$B$10)^20+INDEX(Surface_Engine!$D$12:$D$72,$A667+1)))*INDEX(Surface_Engine!$B$12:$B$72,$A667+1)+H668</f>
        <v>6508.67601950979</v>
      </c>
      <c r="I667" s="48" t="n">
        <f aca="false">E667*(IF($A667&lt;$Q$636,INDEX(Surface_Engine!$D$12:$D$72,$A667+1)+(Surface_Engine!L241*12)*INDEX(Surface_Engine!$F$12:$F$72,$A667+1)-(Surface_Engine!L241*12),1000*12*INDEX(Surface_Engine!$C$12:$C$72,$A667+1)/(1+Assumptions!$B$10)^20+INDEX(Surface_Engine!$D$12:$D$72,$A667+1)))*INDEX(Surface_Engine!$B$12:$B$72,$A667+1)+I668</f>
        <v>8296.51624370064</v>
      </c>
      <c r="J667" s="48" t="n">
        <f aca="false">B667*(IF($A667&lt;$Q$636,INDEX(Surface_Engine!$D$12:$D$72,$A667+1)*(1+Assumptions!$B$24)+(Surface_Engine!L241*12)*INDEX(Surface_Engine!$F$12:$F$72,$A667+1)-(Surface_Engine!L241*12),1000*12*INDEX(Surface_Engine!$C$12:$C$72,$A667+1)/(1+Assumptions!$B$10)^20+INDEX(Surface_Engine!$D$12:$D$72,$A667+1)*(1+Assumptions!$B$24)))*INDEX(Surface_Engine!$B$12:$B$72,$A667+1)+J668</f>
        <v>7360.83407492357</v>
      </c>
      <c r="K667" s="12" t="n">
        <f aca="false">SQRT((IF(C667&lt;=0,0,MAX(0,(B667/C667)*G667/INDEX(Surface_Engine!$B$12:$B$72,$A667+1)-F667/INDEX(Surface_Engine!$B$12:$B$72,$A667+1))))^2+(MAX(IF(D667&lt;=0,0,MAX(0,(B667/D667)*H667/INDEX(Surface_Engine!$B$12:$B$72,$A667+1)-F667/INDEX(Surface_Engine!$B$12:$B$72,$A667+1))),IF(E667&lt;=0,0,MAX(0,(B667/E667)*I667/INDEX(Surface_Engine!$B$12:$B$72,$A667+1)-F667/INDEX(Surface_Engine!$B$12:$B$72,$A667+1))),IF($A667&lt;$Q$636,MAX(0,-Assumptions!$B$22*(F667/INDEX(Surface_Engine!$B$12:$B$72,$A667+1))),0)))^2+(MAX(0,J667/INDEX(Surface_Engine!$B$12:$B$72,$A667+1)-(F667/INDEX(Surface_Engine!$B$12:$B$72,$A667+1))))^2+2*Assumptions!$B$26*(IF(C667&lt;=0,0,MAX(0,(B667/C667)*G667/INDEX(Surface_Engine!$B$12:$B$72,$A667+1)-F667/INDEX(Surface_Engine!$B$12:$B$72,$A667+1))))*(MAX(IF(D667&lt;=0,0,MAX(0,(B667/D667)*H667/INDEX(Surface_Engine!$B$12:$B$72,$A667+1)-F667/INDEX(Surface_Engine!$B$12:$B$72,$A667+1))),IF(E667&lt;=0,0,MAX(0,(B667/E667)*I667/INDEX(Surface_Engine!$B$12:$B$72,$A667+1)-F667/INDEX(Surface_Engine!$B$12:$B$72,$A667+1))),IF($A667&lt;$Q$636,MAX(0,-Assumptions!$B$22*(F667/INDEX(Surface_Engine!$B$12:$B$72,$A667+1))),0)))+2*Assumptions!$B$27*(IF(C667&lt;=0,0,MAX(0,(B667/C667)*G667/INDEX(Surface_Engine!$B$12:$B$72,$A667+1)-F667/INDEX(Surface_Engine!$B$12:$B$72,$A667+1))))*(MAX(0,J667/INDEX(Surface_Engine!$B$12:$B$72,$A667+1)-(F667/INDEX(Surface_Engine!$B$12:$B$72,$A667+1))))+2*Assumptions!$B$28*(MAX(IF(D667&lt;=0,0,MAX(0,(B667/D667)*H667/INDEX(Surface_Engine!$B$12:$B$72,$A667+1)-F667/INDEX(Surface_Engine!$B$12:$B$72,$A667+1))),IF(E667&lt;=0,0,MAX(0,(B667/E667)*I667/INDEX(Surface_Engine!$B$12:$B$72,$A667+1)-F667/INDEX(Surface_Engine!$B$12:$B$72,$A667+1))),IF($A667&lt;$Q$636,MAX(0,-Assumptions!$B$22*(F667/INDEX(Surface_Engine!$B$12:$B$72,$A667+1))),0)))*(MAX(0,J667/INDEX(Surface_Engine!$B$12:$B$72,$A667+1)-(F667/INDEX(Surface_Engine!$B$12:$B$72,$A667+1)))))</f>
        <v>3260.5801862981</v>
      </c>
      <c r="L667" s="48" t="n">
        <f aca="false">K667*INDEX(Surface_Engine!$B$12:$B$72,$A667+1)+L668</f>
        <v>6041.24458067591</v>
      </c>
      <c r="M667" s="48" t="n">
        <f aca="false">M666+B666*(IF($A666&lt;$Q$636,(Surface_Engine!L241*12)-(Surface_Engine!L241*12)*INDEX(Surface_Engine!$F$12:$F$72,$A666+1)-INDEX(Surface_Engine!$D$12:$D$72,$A666+1),-(1000*12*INDEX(Surface_Engine!$C$12:$C$72,$A666+1)/(1+Assumptions!$B$10)^20+INDEX(Surface_Engine!$D$12:$D$72,$A666+1))))*INDEX(Surface_Engine!$B$12:$B$72,$A666+1)</f>
        <v>8503.72376953313</v>
      </c>
      <c r="N667" s="12" t="n">
        <f aca="false">IF(B667&lt;=0,0,MAX(0,(K667+Assumptions!$B$29*L667/INDEX(Surface_Engine!$B$12:$B$72,$A667+1)-(M667/INDEX(Surface_Engine!$B$12:$B$72,$A667+1)-(F667/INDEX(Surface_Engine!$B$12:$B$72,$A667+1))))/B667))</f>
        <v>5371.44569667827</v>
      </c>
    </row>
    <row r="668" customFormat="false" ht="15" hidden="false" customHeight="true" outlineLevel="0" collapsed="false">
      <c r="A668" s="1" t="n">
        <v>30</v>
      </c>
      <c r="B668" s="32" t="n">
        <f aca="false">INDEX(Surface_Engine!$L$12:$L$72,$A668+1)*IF($A668&lt;$Q$636,INDEX(Surface_Engine!$E$12:$E$72,$A668+1),INDEX(Surface_Engine!$E$12:$E$72,$Q$636+1))</f>
        <v>0.207972040410511</v>
      </c>
      <c r="C668" s="32" t="n">
        <f aca="false">INDEX(Panel_Reserving!$D$8:$D$68,$A668+1)*IF($A668&lt;$Q$636,INDEX(Surface_Engine!$E$12:$E$72,$A668+1),INDEX(Surface_Engine!$E$12:$E$72,$Q$636+1))</f>
        <v>0.273910438643705</v>
      </c>
      <c r="D668" s="32" t="n">
        <f aca="false">INDEX(Surface_Engine!$L$12:$L$72,$A668+1)*IF($A668&lt;$Q$636,INDEX(Surface_Engine!$Y$12:$Y$72,$A668+1),INDEX(Surface_Engine!$Y$12:$Y$72,$Q$636+1))</f>
        <v>0.184111610298383</v>
      </c>
      <c r="E668" s="32" t="n">
        <f aca="false">INDEX(Surface_Engine!$L$12:$L$72,$A668+1)*IF($A668&lt;$Q$636,INDEX(Surface_Engine!$Z$12:$Z$72,$A668+1),INDEX(Surface_Engine!$Z$12:$Z$72,$Q$636+1))</f>
        <v>0.234684436729647</v>
      </c>
      <c r="F668" s="48" t="n">
        <f aca="false">B668*(IF($A668&lt;$Q$636,INDEX(Surface_Engine!$D$12:$D$72,$A668+1)+(Surface_Engine!L241*12)*INDEX(Surface_Engine!$F$12:$F$72,$A668+1)-(Surface_Engine!L241*12),1000*12*INDEX(Surface_Engine!$C$12:$C$72,$A668+1)/(1+Assumptions!$B$10)^20+INDEX(Surface_Engine!$D$12:$D$72,$A668+1)))*INDEX(Surface_Engine!$B$12:$B$72,$A668+1)+F669</f>
        <v>5932.75635226964</v>
      </c>
      <c r="G668" s="48" t="n">
        <f aca="false">C668*(IF($A668&lt;$Q$636,INDEX(Surface_Engine!$D$12:$D$72,$A668+1)+(Surface_Engine!L241*12)*INDEX(Surface_Engine!$F$12:$F$72,$A668+1)-(Surface_Engine!L241*12),1000*12*INDEX(Surface_Engine!$C$12:$C$72,$A668+1)/(1+Assumptions!$B$10)^20+INDEX(Surface_Engine!$D$12:$D$72,$A668+1)))*INDEX(Surface_Engine!$B$12:$B$72,$A668+1)+G669</f>
        <v>9234.2143333781</v>
      </c>
      <c r="H668" s="48" t="n">
        <f aca="false">D668*(IF($A668&lt;$Q$636,INDEX(Surface_Engine!$D$12:$D$72,$A668+1)+(Surface_Engine!L241*12)*INDEX(Surface_Engine!$F$12:$F$72,$A668+1)-(Surface_Engine!L241*12),1000*12*INDEX(Surface_Engine!$C$12:$C$72,$A668+1)/(1+Assumptions!$B$10)^20+INDEX(Surface_Engine!$D$12:$D$72,$A668+1)))*INDEX(Surface_Engine!$B$12:$B$72,$A668+1)+H669</f>
        <v>5252.09698076856</v>
      </c>
      <c r="I668" s="48" t="n">
        <f aca="false">E668*(IF($A668&lt;$Q$636,INDEX(Surface_Engine!$D$12:$D$72,$A668+1)+(Surface_Engine!L241*12)*INDEX(Surface_Engine!$F$12:$F$72,$A668+1)-(Surface_Engine!L241*12),1000*12*INDEX(Surface_Engine!$C$12:$C$72,$A668+1)/(1+Assumptions!$B$10)^20+INDEX(Surface_Engine!$D$12:$D$72,$A668+1)))*INDEX(Surface_Engine!$B$12:$B$72,$A668+1)+I669</f>
        <v>6694.77291292789</v>
      </c>
      <c r="J668" s="48" t="n">
        <f aca="false">B668*(IF($A668&lt;$Q$636,INDEX(Surface_Engine!$D$12:$D$72,$A668+1)*(1+Assumptions!$B$24)+(Surface_Engine!L241*12)*INDEX(Surface_Engine!$F$12:$F$72,$A668+1)-(Surface_Engine!L241*12),1000*12*INDEX(Surface_Engine!$C$12:$C$72,$A668+1)/(1+Assumptions!$B$10)^20+INDEX(Surface_Engine!$D$12:$D$72,$A668+1)*(1+Assumptions!$B$24)))*INDEX(Surface_Engine!$B$12:$B$72,$A668+1)+J669</f>
        <v>5939.76369373971</v>
      </c>
      <c r="K668" s="12" t="n">
        <f aca="false">SQRT((IF(C668&lt;=0,0,MAX(0,(B668/C668)*G668/INDEX(Surface_Engine!$B$12:$B$72,$A668+1)-F668/INDEX(Surface_Engine!$B$12:$B$72,$A668+1))))^2+(MAX(IF(D668&lt;=0,0,MAX(0,(B668/D668)*H668/INDEX(Surface_Engine!$B$12:$B$72,$A668+1)-F668/INDEX(Surface_Engine!$B$12:$B$72,$A668+1))),IF(E668&lt;=0,0,MAX(0,(B668/E668)*I668/INDEX(Surface_Engine!$B$12:$B$72,$A668+1)-F668/INDEX(Surface_Engine!$B$12:$B$72,$A668+1))),IF($A668&lt;$Q$636,MAX(0,-Assumptions!$B$22*(F668/INDEX(Surface_Engine!$B$12:$B$72,$A668+1))),0)))^2+(MAX(0,J668/INDEX(Surface_Engine!$B$12:$B$72,$A668+1)-(F668/INDEX(Surface_Engine!$B$12:$B$72,$A668+1))))^2+2*Assumptions!$B$26*(IF(C668&lt;=0,0,MAX(0,(B668/C668)*G668/INDEX(Surface_Engine!$B$12:$B$72,$A668+1)-F668/INDEX(Surface_Engine!$B$12:$B$72,$A668+1))))*(MAX(IF(D668&lt;=0,0,MAX(0,(B668/D668)*H668/INDEX(Surface_Engine!$B$12:$B$72,$A668+1)-F668/INDEX(Surface_Engine!$B$12:$B$72,$A668+1))),IF(E668&lt;=0,0,MAX(0,(B668/E668)*I668/INDEX(Surface_Engine!$B$12:$B$72,$A668+1)-F668/INDEX(Surface_Engine!$B$12:$B$72,$A668+1))),IF($A668&lt;$Q$636,MAX(0,-Assumptions!$B$22*(F668/INDEX(Surface_Engine!$B$12:$B$72,$A668+1))),0)))+2*Assumptions!$B$27*(IF(C668&lt;=0,0,MAX(0,(B668/C668)*G668/INDEX(Surface_Engine!$B$12:$B$72,$A668+1)-F668/INDEX(Surface_Engine!$B$12:$B$72,$A668+1))))*(MAX(0,J668/INDEX(Surface_Engine!$B$12:$B$72,$A668+1)-(F668/INDEX(Surface_Engine!$B$12:$B$72,$A668+1))))+2*Assumptions!$B$28*(MAX(IF(D668&lt;=0,0,MAX(0,(B668/D668)*H668/INDEX(Surface_Engine!$B$12:$B$72,$A668+1)-F668/INDEX(Surface_Engine!$B$12:$B$72,$A668+1))),IF(E668&lt;=0,0,MAX(0,(B668/E668)*I668/INDEX(Surface_Engine!$B$12:$B$72,$A668+1)-F668/INDEX(Surface_Engine!$B$12:$B$72,$A668+1))),IF($A668&lt;$Q$636,MAX(0,-Assumptions!$B$22*(F668/INDEX(Surface_Engine!$B$12:$B$72,$A668+1))),0)))*(MAX(0,J668/INDEX(Surface_Engine!$B$12:$B$72,$A668+1)-(F668/INDEX(Surface_Engine!$B$12:$B$72,$A668+1)))))</f>
        <v>2766.35199316245</v>
      </c>
      <c r="L668" s="48" t="n">
        <f aca="false">K668*INDEX(Surface_Engine!$B$12:$B$72,$A668+1)+L669</f>
        <v>4726.68408389834</v>
      </c>
      <c r="M668" s="48" t="n">
        <f aca="false">M667+B667*(IF($A667&lt;$Q$636,(Surface_Engine!L241*12)-(Surface_Engine!L241*12)*INDEX(Surface_Engine!$F$12:$F$72,$A667+1)-INDEX(Surface_Engine!$D$12:$D$72,$A667+1),-(1000*12*INDEX(Surface_Engine!$C$12:$C$72,$A667+1)/(1+Assumptions!$B$10)^20+INDEX(Surface_Engine!$D$12:$D$72,$A667+1))))*INDEX(Surface_Engine!$B$12:$B$72,$A667+1)</f>
        <v>7084.29505343771</v>
      </c>
      <c r="N668" s="12" t="n">
        <f aca="false">IF(B668&lt;=0,0,MAX(0,(K668+Assumptions!$B$29*L668/INDEX(Surface_Engine!$B$12:$B$72,$A668+1)-(M668/INDEX(Surface_Engine!$B$12:$B$72,$A668+1)-(F668/INDEX(Surface_Engine!$B$12:$B$72,$A668+1))))/B668))</f>
        <v>2614.59272454835</v>
      </c>
    </row>
    <row r="669" customFormat="false" ht="15" hidden="false" customHeight="true" outlineLevel="0" collapsed="false">
      <c r="A669" s="1" t="n">
        <v>31</v>
      </c>
      <c r="B669" s="32" t="n">
        <f aca="false">INDEX(Surface_Engine!$L$12:$L$72,$A669+1)*IF($A669&lt;$Q$636,INDEX(Surface_Engine!$E$12:$E$72,$A669+1),INDEX(Surface_Engine!$E$12:$E$72,$Q$636+1))</f>
        <v>0.175111927402873</v>
      </c>
      <c r="C669" s="32" t="n">
        <f aca="false">INDEX(Panel_Reserving!$D$8:$D$68,$A669+1)*IF($A669&lt;$Q$636,INDEX(Surface_Engine!$E$12:$E$72,$A669+1),INDEX(Surface_Engine!$E$12:$E$72,$Q$636+1))</f>
        <v>0.239287600111997</v>
      </c>
      <c r="D669" s="32" t="n">
        <f aca="false">INDEX(Surface_Engine!$L$12:$L$72,$A669+1)*IF($A669&lt;$Q$636,INDEX(Surface_Engine!$Y$12:$Y$72,$A669+1),INDEX(Surface_Engine!$Y$12:$Y$72,$Q$636+1))</f>
        <v>0.155021506126297</v>
      </c>
      <c r="E669" s="32" t="n">
        <f aca="false">INDEX(Surface_Engine!$L$12:$L$72,$A669+1)*IF($A669&lt;$Q$636,INDEX(Surface_Engine!$Z$12:$Z$72,$A669+1),INDEX(Surface_Engine!$Z$12:$Z$72,$Q$636+1))</f>
        <v>0.197603696949204</v>
      </c>
      <c r="F669" s="48" t="n">
        <f aca="false">B669*(IF($A669&lt;$Q$636,INDEX(Surface_Engine!$D$12:$D$72,$A669+1)+(Surface_Engine!L241*12)*INDEX(Surface_Engine!$F$12:$F$72,$A669+1)-(Surface_Engine!L241*12),1000*12*INDEX(Surface_Engine!$C$12:$C$72,$A669+1)/(1+Assumptions!$B$10)^20+INDEX(Surface_Engine!$D$12:$D$72,$A669+1)))*INDEX(Surface_Engine!$B$12:$B$72,$A669+1)+F670</f>
        <v>4730.7855135323</v>
      </c>
      <c r="G669" s="48" t="n">
        <f aca="false">C669*(IF($A669&lt;$Q$636,INDEX(Surface_Engine!$D$12:$D$72,$A669+1)+(Surface_Engine!L241*12)*INDEX(Surface_Engine!$F$12:$F$72,$A669+1)-(Surface_Engine!L241*12),1000*12*INDEX(Surface_Engine!$C$12:$C$72,$A669+1)/(1+Assumptions!$B$10)^20+INDEX(Surface_Engine!$D$12:$D$72,$A669+1)))*INDEX(Surface_Engine!$B$12:$B$72,$A669+1)+G670</f>
        <v>7651.1536535597</v>
      </c>
      <c r="H669" s="48" t="n">
        <f aca="false">D669*(IF($A669&lt;$Q$636,INDEX(Surface_Engine!$D$12:$D$72,$A669+1)+(Surface_Engine!L241*12)*INDEX(Surface_Engine!$F$12:$F$72,$A669+1)-(Surface_Engine!L241*12),1000*12*INDEX(Surface_Engine!$C$12:$C$72,$A669+1)/(1+Assumptions!$B$10)^20+INDEX(Surface_Engine!$D$12:$D$72,$A669+1)))*INDEX(Surface_Engine!$B$12:$B$72,$A669+1)+H670</f>
        <v>4188.02708841757</v>
      </c>
      <c r="I669" s="48" t="n">
        <f aca="false">E669*(IF($A669&lt;$Q$636,INDEX(Surface_Engine!$D$12:$D$72,$A669+1)+(Surface_Engine!L241*12)*INDEX(Surface_Engine!$F$12:$F$72,$A669+1)-(Surface_Engine!L241*12),1000*12*INDEX(Surface_Engine!$C$12:$C$72,$A669+1)/(1+Assumptions!$B$10)^20+INDEX(Surface_Engine!$D$12:$D$72,$A669+1)))*INDEX(Surface_Engine!$B$12:$B$72,$A669+1)+I670</f>
        <v>5338.41823805076</v>
      </c>
      <c r="J669" s="48" t="n">
        <f aca="false">B669*(IF($A669&lt;$Q$636,INDEX(Surface_Engine!$D$12:$D$72,$A669+1)*(1+Assumptions!$B$24)+(Surface_Engine!L241*12)*INDEX(Surface_Engine!$F$12:$F$72,$A669+1)-(Surface_Engine!L241*12),1000*12*INDEX(Surface_Engine!$C$12:$C$72,$A669+1)/(1+Assumptions!$B$10)^20+INDEX(Surface_Engine!$D$12:$D$72,$A669+1)*(1+Assumptions!$B$24)))*INDEX(Surface_Engine!$B$12:$B$72,$A669+1)+J670</f>
        <v>4736.39595930704</v>
      </c>
      <c r="K669" s="12" t="n">
        <f aca="false">SQRT((IF(C669&lt;=0,0,MAX(0,(B669/C669)*G669/INDEX(Surface_Engine!$B$12:$B$72,$A669+1)-F669/INDEX(Surface_Engine!$B$12:$B$72,$A669+1))))^2+(MAX(IF(D669&lt;=0,0,MAX(0,(B669/D669)*H669/INDEX(Surface_Engine!$B$12:$B$72,$A669+1)-F669/INDEX(Surface_Engine!$B$12:$B$72,$A669+1))),IF(E669&lt;=0,0,MAX(0,(B669/E669)*I669/INDEX(Surface_Engine!$B$12:$B$72,$A669+1)-F669/INDEX(Surface_Engine!$B$12:$B$72,$A669+1))),IF($A669&lt;$Q$636,MAX(0,-Assumptions!$B$22*(F669/INDEX(Surface_Engine!$B$12:$B$72,$A669+1))),0)))^2+(MAX(0,J669/INDEX(Surface_Engine!$B$12:$B$72,$A669+1)-(F669/INDEX(Surface_Engine!$B$12:$B$72,$A669+1))))^2+2*Assumptions!$B$26*(IF(C669&lt;=0,0,MAX(0,(B669/C669)*G669/INDEX(Surface_Engine!$B$12:$B$72,$A669+1)-F669/INDEX(Surface_Engine!$B$12:$B$72,$A669+1))))*(MAX(IF(D669&lt;=0,0,MAX(0,(B669/D669)*H669/INDEX(Surface_Engine!$B$12:$B$72,$A669+1)-F669/INDEX(Surface_Engine!$B$12:$B$72,$A669+1))),IF(E669&lt;=0,0,MAX(0,(B669/E669)*I669/INDEX(Surface_Engine!$B$12:$B$72,$A669+1)-F669/INDEX(Surface_Engine!$B$12:$B$72,$A669+1))),IF($A669&lt;$Q$636,MAX(0,-Assumptions!$B$22*(F669/INDEX(Surface_Engine!$B$12:$B$72,$A669+1))),0)))+2*Assumptions!$B$27*(IF(C669&lt;=0,0,MAX(0,(B669/C669)*G669/INDEX(Surface_Engine!$B$12:$B$72,$A669+1)-F669/INDEX(Surface_Engine!$B$12:$B$72,$A669+1))))*(MAX(0,J669/INDEX(Surface_Engine!$B$12:$B$72,$A669+1)-(F669/INDEX(Surface_Engine!$B$12:$B$72,$A669+1))))+2*Assumptions!$B$28*(MAX(IF(D669&lt;=0,0,MAX(0,(B669/D669)*H669/INDEX(Surface_Engine!$B$12:$B$72,$A669+1)-F669/INDEX(Surface_Engine!$B$12:$B$72,$A669+1))),IF(E669&lt;=0,0,MAX(0,(B669/E669)*I669/INDEX(Surface_Engine!$B$12:$B$72,$A669+1)-F669/INDEX(Surface_Engine!$B$12:$B$72,$A669+1))),IF($A669&lt;$Q$636,MAX(0,-Assumptions!$B$22*(F669/INDEX(Surface_Engine!$B$12:$B$72,$A669+1))),0)))*(MAX(0,J669/INDEX(Surface_Engine!$B$12:$B$72,$A669+1)-(F669/INDEX(Surface_Engine!$B$12:$B$72,$A669+1)))))</f>
        <v>2298.93852392621</v>
      </c>
      <c r="L669" s="48" t="n">
        <f aca="false">K669*INDEX(Surface_Engine!$B$12:$B$72,$A669+1)+L670</f>
        <v>3646.40329846615</v>
      </c>
      <c r="M669" s="48" t="n">
        <f aca="false">M668+B668*(IF($A668&lt;$Q$636,(Surface_Engine!L241*12)-(Surface_Engine!L241*12)*INDEX(Surface_Engine!$F$12:$F$72,$A668+1)-INDEX(Surface_Engine!$D$12:$D$72,$A668+1),-(1000*12*INDEX(Surface_Engine!$C$12:$C$72,$A668+1)/(1+Assumptions!$B$10)^20+INDEX(Surface_Engine!$D$12:$D$72,$A668+1))))*INDEX(Surface_Engine!$B$12:$B$72,$A668+1)</f>
        <v>5882.32421470038</v>
      </c>
      <c r="N669" s="12" t="n">
        <f aca="false">IF(B669&lt;=0,0,MAX(0,(K669+Assumptions!$B$29*L669/INDEX(Surface_Engine!$B$12:$B$72,$A669+1)-(M669/INDEX(Surface_Engine!$B$12:$B$72,$A669+1)-(F669/INDEX(Surface_Engine!$B$12:$B$72,$A669+1))))/B669))</f>
        <v>0</v>
      </c>
    </row>
    <row r="670" customFormat="false" ht="15" hidden="false" customHeight="true" outlineLevel="0" collapsed="false">
      <c r="A670" s="1" t="n">
        <v>32</v>
      </c>
      <c r="B670" s="32" t="n">
        <f aca="false">INDEX(Surface_Engine!$L$12:$L$72,$A670+1)*IF($A670&lt;$Q$636,INDEX(Surface_Engine!$E$12:$E$72,$A670+1),INDEX(Surface_Engine!$E$12:$E$72,$Q$636+1))</f>
        <v>0.145661593683688</v>
      </c>
      <c r="C670" s="32" t="n">
        <f aca="false">INDEX(Panel_Reserving!$D$8:$D$68,$A670+1)*IF($A670&lt;$Q$636,INDEX(Surface_Engine!$E$12:$E$72,$A670+1),INDEX(Surface_Engine!$E$12:$E$72,$Q$636+1))</f>
        <v>0.207092878563654</v>
      </c>
      <c r="D670" s="32" t="n">
        <f aca="false">INDEX(Surface_Engine!$L$12:$L$72,$A670+1)*IF($A670&lt;$Q$636,INDEX(Surface_Engine!$Y$12:$Y$72,$A670+1),INDEX(Surface_Engine!$Y$12:$Y$72,$Q$636+1))</f>
        <v>0.128949980578145</v>
      </c>
      <c r="E670" s="32" t="n">
        <f aca="false">INDEX(Surface_Engine!$L$12:$L$72,$A670+1)*IF($A670&lt;$Q$636,INDEX(Surface_Engine!$Z$12:$Z$72,$A670+1),INDEX(Surface_Engine!$Z$12:$Z$72,$Q$636+1))</f>
        <v>0.164370696173019</v>
      </c>
      <c r="F670" s="48" t="n">
        <f aca="false">B670*(IF($A670&lt;$Q$636,INDEX(Surface_Engine!$D$12:$D$72,$A670+1)+(Surface_Engine!L241*12)*INDEX(Surface_Engine!$F$12:$F$72,$A670+1)-(Surface_Engine!L241*12),1000*12*INDEX(Surface_Engine!$C$12:$C$72,$A670+1)/(1+Assumptions!$B$10)^20+INDEX(Surface_Engine!$D$12:$D$72,$A670+1)))*INDEX(Surface_Engine!$B$12:$B$72,$A670+1)+F671</f>
        <v>3730.58566745019</v>
      </c>
      <c r="G670" s="48" t="n">
        <f aca="false">C670*(IF($A670&lt;$Q$636,INDEX(Surface_Engine!$D$12:$D$72,$A670+1)+(Surface_Engine!L241*12)*INDEX(Surface_Engine!$F$12:$F$72,$A670+1)-(Surface_Engine!L241*12),1000*12*INDEX(Surface_Engine!$C$12:$C$72,$A670+1)/(1+Assumptions!$B$10)^20+INDEX(Surface_Engine!$D$12:$D$72,$A670+1)))*INDEX(Surface_Engine!$B$12:$B$72,$A670+1)+G671</f>
        <v>6284.39683492937</v>
      </c>
      <c r="H670" s="48" t="n">
        <f aca="false">D670*(IF($A670&lt;$Q$636,INDEX(Surface_Engine!$D$12:$D$72,$A670+1)+(Surface_Engine!L241*12)*INDEX(Surface_Engine!$F$12:$F$72,$A670+1)-(Surface_Engine!L241*12),1000*12*INDEX(Surface_Engine!$C$12:$C$72,$A670+1)/(1+Assumptions!$B$10)^20+INDEX(Surface_Engine!$D$12:$D$72,$A670+1)))*INDEX(Surface_Engine!$B$12:$B$72,$A670+1)+H671</f>
        <v>3302.57919879315</v>
      </c>
      <c r="I670" s="48" t="n">
        <f aca="false">E670*(IF($A670&lt;$Q$636,INDEX(Surface_Engine!$D$12:$D$72,$A670+1)+(Surface_Engine!L241*12)*INDEX(Surface_Engine!$F$12:$F$72,$A670+1)-(Surface_Engine!L241*12),1000*12*INDEX(Surface_Engine!$C$12:$C$72,$A670+1)/(1+Assumptions!$B$10)^20+INDEX(Surface_Engine!$D$12:$D$72,$A670+1)))*INDEX(Surface_Engine!$B$12:$B$72,$A670+1)+I671</f>
        <v>4209.75047563649</v>
      </c>
      <c r="J670" s="48" t="n">
        <f aca="false">B670*(IF($A670&lt;$Q$636,INDEX(Surface_Engine!$D$12:$D$72,$A670+1)*(1+Assumptions!$B$24)+(Surface_Engine!L241*12)*INDEX(Surface_Engine!$F$12:$F$72,$A670+1)-(Surface_Engine!L241*12),1000*12*INDEX(Surface_Engine!$C$12:$C$72,$A670+1)/(1+Assumptions!$B$10)^20+INDEX(Surface_Engine!$D$12:$D$72,$A670+1)*(1+Assumptions!$B$24)))*INDEX(Surface_Engine!$B$12:$B$72,$A670+1)+J671</f>
        <v>3735.02807841986</v>
      </c>
      <c r="K670" s="12" t="n">
        <f aca="false">SQRT((IF(C670&lt;=0,0,MAX(0,(B670/C670)*G670/INDEX(Surface_Engine!$B$12:$B$72,$A670+1)-F670/INDEX(Surface_Engine!$B$12:$B$72,$A670+1))))^2+(MAX(IF(D670&lt;=0,0,MAX(0,(B670/D670)*H670/INDEX(Surface_Engine!$B$12:$B$72,$A670+1)-F670/INDEX(Surface_Engine!$B$12:$B$72,$A670+1))),IF(E670&lt;=0,0,MAX(0,(B670/E670)*I670/INDEX(Surface_Engine!$B$12:$B$72,$A670+1)-F670/INDEX(Surface_Engine!$B$12:$B$72,$A670+1))),IF($A670&lt;$Q$636,MAX(0,-Assumptions!$B$22*(F670/INDEX(Surface_Engine!$B$12:$B$72,$A670+1))),0)))^2+(MAX(0,J670/INDEX(Surface_Engine!$B$12:$B$72,$A670+1)-(F670/INDEX(Surface_Engine!$B$12:$B$72,$A670+1))))^2+2*Assumptions!$B$26*(IF(C670&lt;=0,0,MAX(0,(B670/C670)*G670/INDEX(Surface_Engine!$B$12:$B$72,$A670+1)-F670/INDEX(Surface_Engine!$B$12:$B$72,$A670+1))))*(MAX(IF(D670&lt;=0,0,MAX(0,(B670/D670)*H670/INDEX(Surface_Engine!$B$12:$B$72,$A670+1)-F670/INDEX(Surface_Engine!$B$12:$B$72,$A670+1))),IF(E670&lt;=0,0,MAX(0,(B670/E670)*I670/INDEX(Surface_Engine!$B$12:$B$72,$A670+1)-F670/INDEX(Surface_Engine!$B$12:$B$72,$A670+1))),IF($A670&lt;$Q$636,MAX(0,-Assumptions!$B$22*(F670/INDEX(Surface_Engine!$B$12:$B$72,$A670+1))),0)))+2*Assumptions!$B$27*(IF(C670&lt;=0,0,MAX(0,(B670/C670)*G670/INDEX(Surface_Engine!$B$12:$B$72,$A670+1)-F670/INDEX(Surface_Engine!$B$12:$B$72,$A670+1))))*(MAX(0,J670/INDEX(Surface_Engine!$B$12:$B$72,$A670+1)-(F670/INDEX(Surface_Engine!$B$12:$B$72,$A670+1))))+2*Assumptions!$B$28*(MAX(IF(D670&lt;=0,0,MAX(0,(B670/D670)*H670/INDEX(Surface_Engine!$B$12:$B$72,$A670+1)-F670/INDEX(Surface_Engine!$B$12:$B$72,$A670+1))),IF(E670&lt;=0,0,MAX(0,(B670/E670)*I670/INDEX(Surface_Engine!$B$12:$B$72,$A670+1)-F670/INDEX(Surface_Engine!$B$12:$B$72,$A670+1))),IF($A670&lt;$Q$636,MAX(0,-Assumptions!$B$22*(F670/INDEX(Surface_Engine!$B$12:$B$72,$A670+1))),0)))*(MAX(0,J670/INDEX(Surface_Engine!$B$12:$B$72,$A670+1)-(F670/INDEX(Surface_Engine!$B$12:$B$72,$A670+1)))))</f>
        <v>1885.05133750864</v>
      </c>
      <c r="L670" s="48" t="n">
        <f aca="false">K670*INDEX(Surface_Engine!$B$12:$B$72,$A670+1)+L671</f>
        <v>2776.61465233481</v>
      </c>
      <c r="M670" s="48" t="n">
        <f aca="false">M669+B669*(IF($A669&lt;$Q$636,(Surface_Engine!L241*12)-(Surface_Engine!L241*12)*INDEX(Surface_Engine!$F$12:$F$72,$A669+1)-INDEX(Surface_Engine!$D$12:$D$72,$A669+1),-(1000*12*INDEX(Surface_Engine!$C$12:$C$72,$A669+1)/(1+Assumptions!$B$10)^20+INDEX(Surface_Engine!$D$12:$D$72,$A669+1))))*INDEX(Surface_Engine!$B$12:$B$72,$A669+1)</f>
        <v>4882.12436861827</v>
      </c>
      <c r="N670" s="12" t="n">
        <f aca="false">IF(B670&lt;=0,0,MAX(0,(K670+Assumptions!$B$29*L670/INDEX(Surface_Engine!$B$12:$B$72,$A670+1)-(M670/INDEX(Surface_Engine!$B$12:$B$72,$A670+1)-(F670/INDEX(Surface_Engine!$B$12:$B$72,$A670+1))))/B670))</f>
        <v>0</v>
      </c>
    </row>
    <row r="671" customFormat="false" ht="15" hidden="false" customHeight="true" outlineLevel="0" collapsed="false">
      <c r="A671" s="1" t="n">
        <v>33</v>
      </c>
      <c r="B671" s="32" t="n">
        <f aca="false">INDEX(Surface_Engine!$L$12:$L$72,$A671+1)*IF($A671&lt;$Q$636,INDEX(Surface_Engine!$E$12:$E$72,$A671+1),INDEX(Surface_Engine!$E$12:$E$72,$Q$636+1))</f>
        <v>0.119720886094136</v>
      </c>
      <c r="C671" s="32" t="n">
        <f aca="false">INDEX(Panel_Reserving!$D$8:$D$68,$A671+1)*IF($A671&lt;$Q$636,INDEX(Surface_Engine!$E$12:$E$72,$A671+1),INDEX(Surface_Engine!$E$12:$E$72,$Q$636+1))</f>
        <v>0.177588130354656</v>
      </c>
      <c r="D671" s="32" t="n">
        <f aca="false">INDEX(Surface_Engine!$L$12:$L$72,$A671+1)*IF($A671&lt;$Q$636,INDEX(Surface_Engine!$Y$12:$Y$72,$A671+1),INDEX(Surface_Engine!$Y$12:$Y$72,$Q$636+1))</f>
        <v>0.105985425164039</v>
      </c>
      <c r="E671" s="32" t="n">
        <f aca="false">INDEX(Surface_Engine!$L$12:$L$72,$A671+1)*IF($A671&lt;$Q$636,INDEX(Surface_Engine!$Z$12:$Z$72,$A671+1),INDEX(Surface_Engine!$Z$12:$Z$72,$Q$636+1))</f>
        <v>0.135098105794978</v>
      </c>
      <c r="F671" s="48" t="n">
        <f aca="false">B671*(IF($A671&lt;$Q$636,INDEX(Surface_Engine!$D$12:$D$72,$A671+1)+(Surface_Engine!L241*12)*INDEX(Surface_Engine!$F$12:$F$72,$A671+1)-(Surface_Engine!L241*12),1000*12*INDEX(Surface_Engine!$C$12:$C$72,$A671+1)/(1+Assumptions!$B$10)^20+INDEX(Surface_Engine!$D$12:$D$72,$A671+1)))*INDEX(Surface_Engine!$B$12:$B$72,$A671+1)+F672</f>
        <v>2908.61710074984</v>
      </c>
      <c r="G671" s="48" t="n">
        <f aca="false">C671*(IF($A671&lt;$Q$636,INDEX(Surface_Engine!$D$12:$D$72,$A671+1)+(Surface_Engine!L241*12)*INDEX(Surface_Engine!$F$12:$F$72,$A671+1)-(Surface_Engine!L241*12),1000*12*INDEX(Surface_Engine!$C$12:$C$72,$A671+1)/(1+Assumptions!$B$10)^20+INDEX(Surface_Engine!$D$12:$D$72,$A671+1)))*INDEX(Surface_Engine!$B$12:$B$72,$A671+1)+G672</f>
        <v>5115.77144602647</v>
      </c>
      <c r="H671" s="48" t="n">
        <f aca="false">D671*(IF($A671&lt;$Q$636,INDEX(Surface_Engine!$D$12:$D$72,$A671+1)+(Surface_Engine!L241*12)*INDEX(Surface_Engine!$F$12:$F$72,$A671+1)-(Surface_Engine!L241*12),1000*12*INDEX(Surface_Engine!$C$12:$C$72,$A671+1)/(1+Assumptions!$B$10)^20+INDEX(Surface_Engine!$D$12:$D$72,$A671+1)))*INDEX(Surface_Engine!$B$12:$B$72,$A671+1)+H672</f>
        <v>2574.91428705242</v>
      </c>
      <c r="I671" s="48" t="n">
        <f aca="false">E671*(IF($A671&lt;$Q$636,INDEX(Surface_Engine!$D$12:$D$72,$A671+1)+(Surface_Engine!L241*12)*INDEX(Surface_Engine!$F$12:$F$72,$A671+1)-(Surface_Engine!L241*12),1000*12*INDEX(Surface_Engine!$C$12:$C$72,$A671+1)/(1+Assumptions!$B$10)^20+INDEX(Surface_Engine!$D$12:$D$72,$A671+1)))*INDEX(Surface_Engine!$B$12:$B$72,$A671+1)+I672</f>
        <v>3282.20641872972</v>
      </c>
      <c r="J671" s="48" t="n">
        <f aca="false">B671*(IF($A671&lt;$Q$636,INDEX(Surface_Engine!$D$12:$D$72,$A671+1)*(1+Assumptions!$B$24)+(Surface_Engine!L241*12)*INDEX(Surface_Engine!$F$12:$F$72,$A671+1)-(Surface_Engine!L241*12),1000*12*INDEX(Surface_Engine!$C$12:$C$72,$A671+1)/(1+Assumptions!$B$10)^20+INDEX(Surface_Engine!$D$12:$D$72,$A671+1)*(1+Assumptions!$B$24)))*INDEX(Surface_Engine!$B$12:$B$72,$A671+1)+J672</f>
        <v>2912.09496549915</v>
      </c>
      <c r="K671" s="12" t="n">
        <f aca="false">SQRT((IF(C671&lt;=0,0,MAX(0,(B671/C671)*G671/INDEX(Surface_Engine!$B$12:$B$72,$A671+1)-F671/INDEX(Surface_Engine!$B$12:$B$72,$A671+1))))^2+(MAX(IF(D671&lt;=0,0,MAX(0,(B671/D671)*H671/INDEX(Surface_Engine!$B$12:$B$72,$A671+1)-F671/INDEX(Surface_Engine!$B$12:$B$72,$A671+1))),IF(E671&lt;=0,0,MAX(0,(B671/E671)*I671/INDEX(Surface_Engine!$B$12:$B$72,$A671+1)-F671/INDEX(Surface_Engine!$B$12:$B$72,$A671+1))),IF($A671&lt;$Q$636,MAX(0,-Assumptions!$B$22*(F671/INDEX(Surface_Engine!$B$12:$B$72,$A671+1))),0)))^2+(MAX(0,J671/INDEX(Surface_Engine!$B$12:$B$72,$A671+1)-(F671/INDEX(Surface_Engine!$B$12:$B$72,$A671+1))))^2+2*Assumptions!$B$26*(IF(C671&lt;=0,0,MAX(0,(B671/C671)*G671/INDEX(Surface_Engine!$B$12:$B$72,$A671+1)-F671/INDEX(Surface_Engine!$B$12:$B$72,$A671+1))))*(MAX(IF(D671&lt;=0,0,MAX(0,(B671/D671)*H671/INDEX(Surface_Engine!$B$12:$B$72,$A671+1)-F671/INDEX(Surface_Engine!$B$12:$B$72,$A671+1))),IF(E671&lt;=0,0,MAX(0,(B671/E671)*I671/INDEX(Surface_Engine!$B$12:$B$72,$A671+1)-F671/INDEX(Surface_Engine!$B$12:$B$72,$A671+1))),IF($A671&lt;$Q$636,MAX(0,-Assumptions!$B$22*(F671/INDEX(Surface_Engine!$B$12:$B$72,$A671+1))),0)))+2*Assumptions!$B$27*(IF(C671&lt;=0,0,MAX(0,(B671/C671)*G671/INDEX(Surface_Engine!$B$12:$B$72,$A671+1)-F671/INDEX(Surface_Engine!$B$12:$B$72,$A671+1))))*(MAX(0,J671/INDEX(Surface_Engine!$B$12:$B$72,$A671+1)-(F671/INDEX(Surface_Engine!$B$12:$B$72,$A671+1))))+2*Assumptions!$B$28*(MAX(IF(D671&lt;=0,0,MAX(0,(B671/D671)*H671/INDEX(Surface_Engine!$B$12:$B$72,$A671+1)-F671/INDEX(Surface_Engine!$B$12:$B$72,$A671+1))),IF(E671&lt;=0,0,MAX(0,(B671/E671)*I671/INDEX(Surface_Engine!$B$12:$B$72,$A671+1)-F671/INDEX(Surface_Engine!$B$12:$B$72,$A671+1))),IF($A671&lt;$Q$636,MAX(0,-Assumptions!$B$22*(F671/INDEX(Surface_Engine!$B$12:$B$72,$A671+1))),0)))*(MAX(0,J671/INDEX(Surface_Engine!$B$12:$B$72,$A671+1)-(F671/INDEX(Surface_Engine!$B$12:$B$72,$A671+1)))))</f>
        <v>1524.55946981467</v>
      </c>
      <c r="L671" s="48" t="n">
        <f aca="false">K671*INDEX(Surface_Engine!$B$12:$B$72,$A671+1)+L672</f>
        <v>2085.86031011145</v>
      </c>
      <c r="M671" s="48" t="n">
        <f aca="false">M670+B670*(IF($A670&lt;$Q$636,(Surface_Engine!L241*12)-(Surface_Engine!L241*12)*INDEX(Surface_Engine!$F$12:$F$72,$A670+1)-INDEX(Surface_Engine!$D$12:$D$72,$A670+1),-(1000*12*INDEX(Surface_Engine!$C$12:$C$72,$A670+1)/(1+Assumptions!$B$10)^20+INDEX(Surface_Engine!$D$12:$D$72,$A670+1))))*INDEX(Surface_Engine!$B$12:$B$72,$A670+1)</f>
        <v>4060.15580191792</v>
      </c>
      <c r="N671" s="12" t="n">
        <f aca="false">IF(B671&lt;=0,0,MAX(0,(K671+Assumptions!$B$29*L671/INDEX(Surface_Engine!$B$12:$B$72,$A671+1)-(M671/INDEX(Surface_Engine!$B$12:$B$72,$A671+1)-(F671/INDEX(Surface_Engine!$B$12:$B$72,$A671+1))))/B671))</f>
        <v>0</v>
      </c>
    </row>
    <row r="672" customFormat="false" ht="15" hidden="false" customHeight="true" outlineLevel="0" collapsed="false">
      <c r="A672" s="1" t="n">
        <v>34</v>
      </c>
      <c r="B672" s="32" t="n">
        <f aca="false">INDEX(Surface_Engine!$L$12:$L$72,$A672+1)*IF($A672&lt;$Q$636,INDEX(Surface_Engine!$E$12:$E$72,$A672+1),INDEX(Surface_Engine!$E$12:$E$72,$Q$636+1))</f>
        <v>0.0972172868673094</v>
      </c>
      <c r="C672" s="32" t="n">
        <f aca="false">INDEX(Panel_Reserving!$D$8:$D$68,$A672+1)*IF($A672&lt;$Q$636,INDEX(Surface_Engine!$E$12:$E$72,$A672+1),INDEX(Surface_Engine!$E$12:$E$72,$Q$636+1))</f>
        <v>0.150883536071581</v>
      </c>
      <c r="D672" s="32" t="n">
        <f aca="false">INDEX(Surface_Engine!$L$12:$L$72,$A672+1)*IF($A672&lt;$Q$636,INDEX(Surface_Engine!$Y$12:$Y$72,$A672+1),INDEX(Surface_Engine!$Y$12:$Y$72,$Q$636+1))</f>
        <v>0.0860636420100033</v>
      </c>
      <c r="E672" s="32" t="n">
        <f aca="false">INDEX(Surface_Engine!$L$12:$L$72,$A672+1)*IF($A672&lt;$Q$636,INDEX(Surface_Engine!$Z$12:$Z$72,$A672+1),INDEX(Surface_Engine!$Z$12:$Z$72,$Q$636+1))</f>
        <v>0.109704093703193</v>
      </c>
      <c r="F672" s="48" t="n">
        <f aca="false">B672*(IF($A672&lt;$Q$636,INDEX(Surface_Engine!$D$12:$D$72,$A672+1)+(Surface_Engine!L241*12)*INDEX(Surface_Engine!$F$12:$F$72,$A672+1)-(Surface_Engine!L241*12),1000*12*INDEX(Surface_Engine!$C$12:$C$72,$A672+1)/(1+Assumptions!$B$10)^20+INDEX(Surface_Engine!$D$12:$D$72,$A672+1)))*INDEX(Surface_Engine!$B$12:$B$72,$A672+1)+F673</f>
        <v>2241.19211201261</v>
      </c>
      <c r="G672" s="48" t="n">
        <f aca="false">C672*(IF($A672&lt;$Q$636,INDEX(Surface_Engine!$D$12:$D$72,$A672+1)+(Surface_Engine!L241*12)*INDEX(Surface_Engine!$F$12:$F$72,$A672+1)-(Surface_Engine!L241*12),1000*12*INDEX(Surface_Engine!$C$12:$C$72,$A672+1)/(1+Assumptions!$B$10)^20+INDEX(Surface_Engine!$D$12:$D$72,$A672+1)))*INDEX(Surface_Engine!$B$12:$B$72,$A672+1)+G673</f>
        <v>4125.74573064189</v>
      </c>
      <c r="H672" s="48" t="n">
        <f aca="false">D672*(IF($A672&lt;$Q$636,INDEX(Surface_Engine!$D$12:$D$72,$A672+1)+(Surface_Engine!L241*12)*INDEX(Surface_Engine!$F$12:$F$72,$A672+1)-(Surface_Engine!L241*12),1000*12*INDEX(Surface_Engine!$C$12:$C$72,$A672+1)/(1+Assumptions!$B$10)^20+INDEX(Surface_Engine!$D$12:$D$72,$A672+1)))*INDEX(Surface_Engine!$B$12:$B$72,$A672+1)+H673</f>
        <v>1984.0623187434</v>
      </c>
      <c r="I672" s="48" t="n">
        <f aca="false">E672*(IF($A672&lt;$Q$636,INDEX(Surface_Engine!$D$12:$D$72,$A672+1)+(Surface_Engine!L241*12)*INDEX(Surface_Engine!$F$12:$F$72,$A672+1)-(Surface_Engine!L241*12),1000*12*INDEX(Surface_Engine!$C$12:$C$72,$A672+1)/(1+Assumptions!$B$10)^20+INDEX(Surface_Engine!$D$12:$D$72,$A672+1)))*INDEX(Surface_Engine!$B$12:$B$72,$A672+1)+I673</f>
        <v>2529.05586429984</v>
      </c>
      <c r="J672" s="48" t="n">
        <f aca="false">B672*(IF($A672&lt;$Q$636,INDEX(Surface_Engine!$D$12:$D$72,$A672+1)*(1+Assumptions!$B$24)+(Surface_Engine!L241*12)*INDEX(Surface_Engine!$F$12:$F$72,$A672+1)-(Surface_Engine!L241*12),1000*12*INDEX(Surface_Engine!$C$12:$C$72,$A672+1)/(1+Assumptions!$B$10)^20+INDEX(Surface_Engine!$D$12:$D$72,$A672+1)*(1+Assumptions!$B$24)))*INDEX(Surface_Engine!$B$12:$B$72,$A672+1)+J673</f>
        <v>2243.88298713289</v>
      </c>
      <c r="K672" s="12" t="n">
        <f aca="false">SQRT((IF(C672&lt;=0,0,MAX(0,(B672/C672)*G672/INDEX(Surface_Engine!$B$12:$B$72,$A672+1)-F672/INDEX(Surface_Engine!$B$12:$B$72,$A672+1))))^2+(MAX(IF(D672&lt;=0,0,MAX(0,(B672/D672)*H672/INDEX(Surface_Engine!$B$12:$B$72,$A672+1)-F672/INDEX(Surface_Engine!$B$12:$B$72,$A672+1))),IF(E672&lt;=0,0,MAX(0,(B672/E672)*I672/INDEX(Surface_Engine!$B$12:$B$72,$A672+1)-F672/INDEX(Surface_Engine!$B$12:$B$72,$A672+1))),IF($A672&lt;$Q$636,MAX(0,-Assumptions!$B$22*(F672/INDEX(Surface_Engine!$B$12:$B$72,$A672+1))),0)))^2+(MAX(0,J672/INDEX(Surface_Engine!$B$12:$B$72,$A672+1)-(F672/INDEX(Surface_Engine!$B$12:$B$72,$A672+1))))^2+2*Assumptions!$B$26*(IF(C672&lt;=0,0,MAX(0,(B672/C672)*G672/INDEX(Surface_Engine!$B$12:$B$72,$A672+1)-F672/INDEX(Surface_Engine!$B$12:$B$72,$A672+1))))*(MAX(IF(D672&lt;=0,0,MAX(0,(B672/D672)*H672/INDEX(Surface_Engine!$B$12:$B$72,$A672+1)-F672/INDEX(Surface_Engine!$B$12:$B$72,$A672+1))),IF(E672&lt;=0,0,MAX(0,(B672/E672)*I672/INDEX(Surface_Engine!$B$12:$B$72,$A672+1)-F672/INDEX(Surface_Engine!$B$12:$B$72,$A672+1))),IF($A672&lt;$Q$636,MAX(0,-Assumptions!$B$22*(F672/INDEX(Surface_Engine!$B$12:$B$72,$A672+1))),0)))+2*Assumptions!$B$27*(IF(C672&lt;=0,0,MAX(0,(B672/C672)*G672/INDEX(Surface_Engine!$B$12:$B$72,$A672+1)-F672/INDEX(Surface_Engine!$B$12:$B$72,$A672+1))))*(MAX(0,J672/INDEX(Surface_Engine!$B$12:$B$72,$A672+1)-(F672/INDEX(Surface_Engine!$B$12:$B$72,$A672+1))))+2*Assumptions!$B$28*(MAX(IF(D672&lt;=0,0,MAX(0,(B672/D672)*H672/INDEX(Surface_Engine!$B$12:$B$72,$A672+1)-F672/INDEX(Surface_Engine!$B$12:$B$72,$A672+1))),IF(E672&lt;=0,0,MAX(0,(B672/E672)*I672/INDEX(Surface_Engine!$B$12:$B$72,$A672+1)-F672/INDEX(Surface_Engine!$B$12:$B$72,$A672+1))),IF($A672&lt;$Q$636,MAX(0,-Assumptions!$B$22*(F672/INDEX(Surface_Engine!$B$12:$B$72,$A672+1))),0)))*(MAX(0,J672/INDEX(Surface_Engine!$B$12:$B$72,$A672+1)-(F672/INDEX(Surface_Engine!$B$12:$B$72,$A672+1)))))</f>
        <v>1215.56823972259</v>
      </c>
      <c r="L672" s="48" t="n">
        <f aca="false">K672*INDEX(Surface_Engine!$B$12:$B$72,$A672+1)+L673</f>
        <v>1544.8045233264</v>
      </c>
      <c r="M672" s="48" t="n">
        <f aca="false">M671+B671*(IF($A671&lt;$Q$636,(Surface_Engine!L241*12)-(Surface_Engine!L241*12)*INDEX(Surface_Engine!$F$12:$F$72,$A671+1)-INDEX(Surface_Engine!$D$12:$D$72,$A671+1),-(1000*12*INDEX(Surface_Engine!$C$12:$C$72,$A671+1)/(1+Assumptions!$B$10)^20+INDEX(Surface_Engine!$D$12:$D$72,$A671+1))))*INDEX(Surface_Engine!$B$12:$B$72,$A671+1)</f>
        <v>3392.73081318068</v>
      </c>
      <c r="N672" s="12" t="n">
        <f aca="false">IF(B672&lt;=0,0,MAX(0,(K672+Assumptions!$B$29*L672/INDEX(Surface_Engine!$B$12:$B$72,$A672+1)-(M672/INDEX(Surface_Engine!$B$12:$B$72,$A672+1)-(F672/INDEX(Surface_Engine!$B$12:$B$72,$A672+1))))/B672))</f>
        <v>0</v>
      </c>
    </row>
    <row r="673" customFormat="false" ht="15" hidden="false" customHeight="true" outlineLevel="0" collapsed="false">
      <c r="A673" s="1" t="n">
        <v>35</v>
      </c>
      <c r="B673" s="32" t="n">
        <f aca="false">INDEX(Surface_Engine!$L$12:$L$72,$A673+1)*IF($A673&lt;$Q$636,INDEX(Surface_Engine!$E$12:$E$72,$A673+1),INDEX(Surface_Engine!$E$12:$E$72,$Q$636+1))</f>
        <v>0.0779614506859317</v>
      </c>
      <c r="C673" s="32" t="n">
        <f aca="false">INDEX(Panel_Reserving!$D$8:$D$68,$A673+1)*IF($A673&lt;$Q$636,INDEX(Surface_Engine!$E$12:$E$72,$A673+1),INDEX(Surface_Engine!$E$12:$E$72,$Q$636+1))</f>
        <v>0.126975124333846</v>
      </c>
      <c r="D673" s="32" t="n">
        <f aca="false">INDEX(Surface_Engine!$L$12:$L$72,$A673+1)*IF($A673&lt;$Q$636,INDEX(Surface_Engine!$Y$12:$Y$72,$A673+1),INDEX(Surface_Engine!$Y$12:$Y$72,$Q$636+1))</f>
        <v>0.0690170092030284</v>
      </c>
      <c r="E673" s="32" t="n">
        <f aca="false">INDEX(Surface_Engine!$L$12:$L$72,$A673+1)*IF($A673&lt;$Q$636,INDEX(Surface_Engine!$Z$12:$Z$72,$A673+1),INDEX(Surface_Engine!$Z$12:$Z$72,$Q$636+1))</f>
        <v>0.0879749946422572</v>
      </c>
      <c r="F673" s="48" t="n">
        <f aca="false">B673*(IF($A673&lt;$Q$636,INDEX(Surface_Engine!$D$12:$D$72,$A673+1)+(Surface_Engine!L241*12)*INDEX(Surface_Engine!$F$12:$F$72,$A673+1)-(Surface_Engine!L241*12),1000*12*INDEX(Surface_Engine!$C$12:$C$72,$A673+1)/(1+Assumptions!$B$10)^20+INDEX(Surface_Engine!$D$12:$D$72,$A673+1)))*INDEX(Surface_Engine!$B$12:$B$72,$A673+1)+F674</f>
        <v>1705.78798291933</v>
      </c>
      <c r="G673" s="48" t="n">
        <f aca="false">C673*(IF($A673&lt;$Q$636,INDEX(Surface_Engine!$D$12:$D$72,$A673+1)+(Surface_Engine!L241*12)*INDEX(Surface_Engine!$F$12:$F$72,$A673+1)-(Surface_Engine!L241*12),1000*12*INDEX(Surface_Engine!$C$12:$C$72,$A673+1)/(1+Assumptions!$B$10)^20+INDEX(Surface_Engine!$D$12:$D$72,$A673+1)))*INDEX(Surface_Engine!$B$12:$B$72,$A673+1)+G674</f>
        <v>3294.78581776982</v>
      </c>
      <c r="H673" s="48" t="n">
        <f aca="false">D673*(IF($A673&lt;$Q$636,INDEX(Surface_Engine!$D$12:$D$72,$A673+1)+(Surface_Engine!L241*12)*INDEX(Surface_Engine!$F$12:$F$72,$A673+1)-(Surface_Engine!L241*12),1000*12*INDEX(Surface_Engine!$C$12:$C$72,$A673+1)/(1+Assumptions!$B$10)^20+INDEX(Surface_Engine!$D$12:$D$72,$A673+1)))*INDEX(Surface_Engine!$B$12:$B$72,$A673+1)+H674</f>
        <v>1510.08458513463</v>
      </c>
      <c r="I673" s="48" t="n">
        <f aca="false">E673*(IF($A673&lt;$Q$636,INDEX(Surface_Engine!$D$12:$D$72,$A673+1)+(Surface_Engine!L241*12)*INDEX(Surface_Engine!$F$12:$F$72,$A673+1)-(Surface_Engine!L241*12),1000*12*INDEX(Surface_Engine!$C$12:$C$72,$A673+1)/(1+Assumptions!$B$10)^20+INDEX(Surface_Engine!$D$12:$D$72,$A673+1)))*INDEX(Surface_Engine!$B$12:$B$72,$A673+1)+I674</f>
        <v>1924.88322546357</v>
      </c>
      <c r="J673" s="48" t="n">
        <f aca="false">B673*(IF($A673&lt;$Q$636,INDEX(Surface_Engine!$D$12:$D$72,$A673+1)*(1+Assumptions!$B$24)+(Surface_Engine!L241*12)*INDEX(Surface_Engine!$F$12:$F$72,$A673+1)-(Surface_Engine!L241*12),1000*12*INDEX(Surface_Engine!$C$12:$C$72,$A673+1)/(1+Assumptions!$B$10)^20+INDEX(Surface_Engine!$D$12:$D$72,$A673+1)*(1+Assumptions!$B$24)))*INDEX(Surface_Engine!$B$12:$B$72,$A673+1)+J674</f>
        <v>1707.84448187886</v>
      </c>
      <c r="K673" s="12" t="n">
        <f aca="false">SQRT((IF(C673&lt;=0,0,MAX(0,(B673/C673)*G673/INDEX(Surface_Engine!$B$12:$B$72,$A673+1)-F673/INDEX(Surface_Engine!$B$12:$B$72,$A673+1))))^2+(MAX(IF(D673&lt;=0,0,MAX(0,(B673/D673)*H673/INDEX(Surface_Engine!$B$12:$B$72,$A673+1)-F673/INDEX(Surface_Engine!$B$12:$B$72,$A673+1))),IF(E673&lt;=0,0,MAX(0,(B673/E673)*I673/INDEX(Surface_Engine!$B$12:$B$72,$A673+1)-F673/INDEX(Surface_Engine!$B$12:$B$72,$A673+1))),IF($A673&lt;$Q$636,MAX(0,-Assumptions!$B$22*(F673/INDEX(Surface_Engine!$B$12:$B$72,$A673+1))),0)))^2+(MAX(0,J673/INDEX(Surface_Engine!$B$12:$B$72,$A673+1)-(F673/INDEX(Surface_Engine!$B$12:$B$72,$A673+1))))^2+2*Assumptions!$B$26*(IF(C673&lt;=0,0,MAX(0,(B673/C673)*G673/INDEX(Surface_Engine!$B$12:$B$72,$A673+1)-F673/INDEX(Surface_Engine!$B$12:$B$72,$A673+1))))*(MAX(IF(D673&lt;=0,0,MAX(0,(B673/D673)*H673/INDEX(Surface_Engine!$B$12:$B$72,$A673+1)-F673/INDEX(Surface_Engine!$B$12:$B$72,$A673+1))),IF(E673&lt;=0,0,MAX(0,(B673/E673)*I673/INDEX(Surface_Engine!$B$12:$B$72,$A673+1)-F673/INDEX(Surface_Engine!$B$12:$B$72,$A673+1))),IF($A673&lt;$Q$636,MAX(0,-Assumptions!$B$22*(F673/INDEX(Surface_Engine!$B$12:$B$72,$A673+1))),0)))+2*Assumptions!$B$27*(IF(C673&lt;=0,0,MAX(0,(B673/C673)*G673/INDEX(Surface_Engine!$B$12:$B$72,$A673+1)-F673/INDEX(Surface_Engine!$B$12:$B$72,$A673+1))))*(MAX(0,J673/INDEX(Surface_Engine!$B$12:$B$72,$A673+1)-(F673/INDEX(Surface_Engine!$B$12:$B$72,$A673+1))))+2*Assumptions!$B$28*(MAX(IF(D673&lt;=0,0,MAX(0,(B673/D673)*H673/INDEX(Surface_Engine!$B$12:$B$72,$A673+1)-F673/INDEX(Surface_Engine!$B$12:$B$72,$A673+1))),IF(E673&lt;=0,0,MAX(0,(B673/E673)*I673/INDEX(Surface_Engine!$B$12:$B$72,$A673+1)-F673/INDEX(Surface_Engine!$B$12:$B$72,$A673+1))),IF($A673&lt;$Q$636,MAX(0,-Assumptions!$B$22*(F673/INDEX(Surface_Engine!$B$12:$B$72,$A673+1))),0)))*(MAX(0,J673/INDEX(Surface_Engine!$B$12:$B$72,$A673+1)-(F673/INDEX(Surface_Engine!$B$12:$B$72,$A673+1)))))</f>
        <v>954.492482073179</v>
      </c>
      <c r="L673" s="48" t="n">
        <f aca="false">K673*INDEX(Surface_Engine!$B$12:$B$72,$A673+1)+L674</f>
        <v>1127.0151144656</v>
      </c>
      <c r="M673" s="48" t="n">
        <f aca="false">M672+B672*(IF($A672&lt;$Q$636,(Surface_Engine!L241*12)-(Surface_Engine!L241*12)*INDEX(Surface_Engine!$F$12:$F$72,$A672+1)-INDEX(Surface_Engine!$D$12:$D$72,$A672+1),-(1000*12*INDEX(Surface_Engine!$C$12:$C$72,$A672+1)/(1+Assumptions!$B$10)^20+INDEX(Surface_Engine!$D$12:$D$72,$A672+1))))*INDEX(Surface_Engine!$B$12:$B$72,$A672+1)</f>
        <v>2857.32668408741</v>
      </c>
      <c r="N673" s="12" t="n">
        <f aca="false">IF(B673&lt;=0,0,MAX(0,(K673+Assumptions!$B$29*L673/INDEX(Surface_Engine!$B$12:$B$72,$A673+1)-(M673/INDEX(Surface_Engine!$B$12:$B$72,$A673+1)-(F673/INDEX(Surface_Engine!$B$12:$B$72,$A673+1))))/B673))</f>
        <v>0</v>
      </c>
    </row>
    <row r="674" customFormat="false" ht="15" hidden="false" customHeight="true" outlineLevel="0" collapsed="false">
      <c r="A674" s="1" t="n">
        <v>36</v>
      </c>
      <c r="B674" s="32" t="n">
        <f aca="false">INDEX(Surface_Engine!$L$12:$L$72,$A674+1)*IF($A674&lt;$Q$636,INDEX(Surface_Engine!$E$12:$E$72,$A674+1),INDEX(Surface_Engine!$E$12:$E$72,$Q$636+1))</f>
        <v>0.0616925722484549</v>
      </c>
      <c r="C674" s="32" t="n">
        <f aca="false">INDEX(Panel_Reserving!$D$8:$D$68,$A674+1)*IF($A674&lt;$Q$636,INDEX(Surface_Engine!$E$12:$E$72,$A674+1),INDEX(Surface_Engine!$E$12:$E$72,$Q$636+1))</f>
        <v>0.105777541741981</v>
      </c>
      <c r="D674" s="32" t="n">
        <f aca="false">INDEX(Surface_Engine!$L$12:$L$72,$A674+1)*IF($A674&lt;$Q$636,INDEX(Surface_Engine!$Y$12:$Y$72,$A674+1),INDEX(Surface_Engine!$Y$12:$Y$72,$Q$636+1))</f>
        <v>0.0546146433803911</v>
      </c>
      <c r="E674" s="32" t="n">
        <f aca="false">INDEX(Surface_Engine!$L$12:$L$72,$A674+1)*IF($A674&lt;$Q$636,INDEX(Surface_Engine!$Z$12:$Z$72,$A674+1),INDEX(Surface_Engine!$Z$12:$Z$72,$Q$636+1))</f>
        <v>0.0696165048914908</v>
      </c>
      <c r="F674" s="48" t="n">
        <f aca="false">B674*(IF($A674&lt;$Q$636,INDEX(Surface_Engine!$D$12:$D$72,$A674+1)+(Surface_Engine!L241*12)*INDEX(Surface_Engine!$F$12:$F$72,$A674+1)-(Surface_Engine!L241*12),1000*12*INDEX(Surface_Engine!$C$12:$C$72,$A674+1)/(1+Assumptions!$B$10)^20+INDEX(Surface_Engine!$D$12:$D$72,$A674+1)))*INDEX(Surface_Engine!$B$12:$B$72,$A674+1)+F675</f>
        <v>1281.65006209514</v>
      </c>
      <c r="G674" s="48" t="n">
        <f aca="false">C674*(IF($A674&lt;$Q$636,INDEX(Surface_Engine!$D$12:$D$72,$A674+1)+(Surface_Engine!L241*12)*INDEX(Surface_Engine!$F$12:$F$72,$A674+1)-(Surface_Engine!L241*12),1000*12*INDEX(Surface_Engine!$C$12:$C$72,$A674+1)/(1+Assumptions!$B$10)^20+INDEX(Surface_Engine!$D$12:$D$72,$A674+1)))*INDEX(Surface_Engine!$B$12:$B$72,$A674+1)+G675</f>
        <v>2603.99614213504</v>
      </c>
      <c r="H674" s="48" t="n">
        <f aca="false">D674*(IF($A674&lt;$Q$636,INDEX(Surface_Engine!$D$12:$D$72,$A674+1)+(Surface_Engine!L241*12)*INDEX(Surface_Engine!$F$12:$F$72,$A674+1)-(Surface_Engine!L241*12),1000*12*INDEX(Surface_Engine!$C$12:$C$72,$A674+1)/(1+Assumptions!$B$10)^20+INDEX(Surface_Engine!$D$12:$D$72,$A674+1)))*INDEX(Surface_Engine!$B$12:$B$72,$A674+1)+H675</f>
        <v>1134.60759583639</v>
      </c>
      <c r="I674" s="48" t="n">
        <f aca="false">E674*(IF($A674&lt;$Q$636,INDEX(Surface_Engine!$D$12:$D$72,$A674+1)+(Surface_Engine!L241*12)*INDEX(Surface_Engine!$F$12:$F$72,$A674+1)-(Surface_Engine!L241*12),1000*12*INDEX(Surface_Engine!$C$12:$C$72,$A674+1)/(1+Assumptions!$B$10)^20+INDEX(Surface_Engine!$D$12:$D$72,$A674+1)))*INDEX(Surface_Engine!$B$12:$B$72,$A674+1)+I675</f>
        <v>1446.26807677419</v>
      </c>
      <c r="J674" s="48" t="n">
        <f aca="false">B674*(IF($A674&lt;$Q$636,INDEX(Surface_Engine!$D$12:$D$72,$A674+1)*(1+Assumptions!$B$24)+(Surface_Engine!L241*12)*INDEX(Surface_Engine!$F$12:$F$72,$A674+1)-(Surface_Engine!L241*12),1000*12*INDEX(Surface_Engine!$C$12:$C$72,$A674+1)/(1+Assumptions!$B$10)^20+INDEX(Surface_Engine!$D$12:$D$72,$A674+1)*(1+Assumptions!$B$24)))*INDEX(Surface_Engine!$B$12:$B$72,$A674+1)+J675</f>
        <v>1283.2015850857</v>
      </c>
      <c r="K674" s="12" t="n">
        <f aca="false">SQRT((IF(C674&lt;=0,0,MAX(0,(B674/C674)*G674/INDEX(Surface_Engine!$B$12:$B$72,$A674+1)-F674/INDEX(Surface_Engine!$B$12:$B$72,$A674+1))))^2+(MAX(IF(D674&lt;=0,0,MAX(0,(B674/D674)*H674/INDEX(Surface_Engine!$B$12:$B$72,$A674+1)-F674/INDEX(Surface_Engine!$B$12:$B$72,$A674+1))),IF(E674&lt;=0,0,MAX(0,(B674/E674)*I674/INDEX(Surface_Engine!$B$12:$B$72,$A674+1)-F674/INDEX(Surface_Engine!$B$12:$B$72,$A674+1))),IF($A674&lt;$Q$636,MAX(0,-Assumptions!$B$22*(F674/INDEX(Surface_Engine!$B$12:$B$72,$A674+1))),0)))^2+(MAX(0,J674/INDEX(Surface_Engine!$B$12:$B$72,$A674+1)-(F674/INDEX(Surface_Engine!$B$12:$B$72,$A674+1))))^2+2*Assumptions!$B$26*(IF(C674&lt;=0,0,MAX(0,(B674/C674)*G674/INDEX(Surface_Engine!$B$12:$B$72,$A674+1)-F674/INDEX(Surface_Engine!$B$12:$B$72,$A674+1))))*(MAX(IF(D674&lt;=0,0,MAX(0,(B674/D674)*H674/INDEX(Surface_Engine!$B$12:$B$72,$A674+1)-F674/INDEX(Surface_Engine!$B$12:$B$72,$A674+1))),IF(E674&lt;=0,0,MAX(0,(B674/E674)*I674/INDEX(Surface_Engine!$B$12:$B$72,$A674+1)-F674/INDEX(Surface_Engine!$B$12:$B$72,$A674+1))),IF($A674&lt;$Q$636,MAX(0,-Assumptions!$B$22*(F674/INDEX(Surface_Engine!$B$12:$B$72,$A674+1))),0)))+2*Assumptions!$B$27*(IF(C674&lt;=0,0,MAX(0,(B674/C674)*G674/INDEX(Surface_Engine!$B$12:$B$72,$A674+1)-F674/INDEX(Surface_Engine!$B$12:$B$72,$A674+1))))*(MAX(0,J674/INDEX(Surface_Engine!$B$12:$B$72,$A674+1)-(F674/INDEX(Surface_Engine!$B$12:$B$72,$A674+1))))+2*Assumptions!$B$28*(MAX(IF(D674&lt;=0,0,MAX(0,(B674/D674)*H674/INDEX(Surface_Engine!$B$12:$B$72,$A674+1)-F674/INDEX(Surface_Engine!$B$12:$B$72,$A674+1))),IF(E674&lt;=0,0,MAX(0,(B674/E674)*I674/INDEX(Surface_Engine!$B$12:$B$72,$A674+1)-F674/INDEX(Surface_Engine!$B$12:$B$72,$A674+1))),IF($A674&lt;$Q$636,MAX(0,-Assumptions!$B$22*(F674/INDEX(Surface_Engine!$B$12:$B$72,$A674+1))),0)))*(MAX(0,J674/INDEX(Surface_Engine!$B$12:$B$72,$A674+1)-(F674/INDEX(Surface_Engine!$B$12:$B$72,$A674+1)))))</f>
        <v>736.492371712724</v>
      </c>
      <c r="L674" s="48" t="n">
        <f aca="false">K674*INDEX(Surface_Engine!$B$12:$B$72,$A674+1)+L675</f>
        <v>809.317341531953</v>
      </c>
      <c r="M674" s="48" t="n">
        <f aca="false">M673+B673*(IF($A673&lt;$Q$636,(Surface_Engine!L241*12)-(Surface_Engine!L241*12)*INDEX(Surface_Engine!$F$12:$F$72,$A673+1)-INDEX(Surface_Engine!$D$12:$D$72,$A673+1),-(1000*12*INDEX(Surface_Engine!$C$12:$C$72,$A673+1)/(1+Assumptions!$B$10)^20+INDEX(Surface_Engine!$D$12:$D$72,$A673+1))))*INDEX(Surface_Engine!$B$12:$B$72,$A673+1)</f>
        <v>2433.18876326321</v>
      </c>
      <c r="N674" s="12" t="n">
        <f aca="false">IF(B674&lt;=0,0,MAX(0,(K674+Assumptions!$B$29*L674/INDEX(Surface_Engine!$B$12:$B$72,$A674+1)-(M674/INDEX(Surface_Engine!$B$12:$B$72,$A674+1)-(F674/INDEX(Surface_Engine!$B$12:$B$72,$A674+1))))/B674))</f>
        <v>0</v>
      </c>
    </row>
    <row r="675" customFormat="false" ht="15" hidden="false" customHeight="true" outlineLevel="0" collapsed="false">
      <c r="A675" s="1" t="n">
        <v>37</v>
      </c>
      <c r="B675" s="32" t="n">
        <f aca="false">INDEX(Surface_Engine!$L$12:$L$72,$A675+1)*IF($A675&lt;$Q$636,INDEX(Surface_Engine!$E$12:$E$72,$A675+1),INDEX(Surface_Engine!$E$12:$E$72,$Q$636+1))</f>
        <v>0.0481125329288074</v>
      </c>
      <c r="C675" s="32" t="n">
        <f aca="false">INDEX(Panel_Reserving!$D$8:$D$68,$A675+1)*IF($A675&lt;$Q$636,INDEX(Surface_Engine!$E$12:$E$72,$A675+1),INDEX(Surface_Engine!$E$12:$E$72,$Q$636+1))</f>
        <v>0.0871501689658007</v>
      </c>
      <c r="D675" s="32" t="n">
        <f aca="false">INDEX(Surface_Engine!$L$12:$L$72,$A675+1)*IF($A675&lt;$Q$636,INDEX(Surface_Engine!$Y$12:$Y$72,$A675+1),INDEX(Surface_Engine!$Y$12:$Y$72,$Q$636+1))</f>
        <v>0.0425926287763102</v>
      </c>
      <c r="E675" s="32" t="n">
        <f aca="false">INDEX(Surface_Engine!$L$12:$L$72,$A675+1)*IF($A675&lt;$Q$636,INDEX(Surface_Engine!$Z$12:$Z$72,$A675+1),INDEX(Surface_Engine!$Z$12:$Z$72,$Q$636+1))</f>
        <v>0.0542922147984228</v>
      </c>
      <c r="F675" s="48" t="n">
        <f aca="false">B675*(IF($A675&lt;$Q$636,INDEX(Surface_Engine!$D$12:$D$72,$A675+1)+(Surface_Engine!L241*12)*INDEX(Surface_Engine!$F$12:$F$72,$A675+1)-(Surface_Engine!L241*12),1000*12*INDEX(Surface_Engine!$C$12:$C$72,$A675+1)/(1+Assumptions!$B$10)^20+INDEX(Surface_Engine!$D$12:$D$72,$A675+1)))*INDEX(Surface_Engine!$B$12:$B$72,$A675+1)+F676</f>
        <v>949.997129949579</v>
      </c>
      <c r="G675" s="48" t="n">
        <f aca="false">C675*(IF($A675&lt;$Q$636,INDEX(Surface_Engine!$D$12:$D$72,$A675+1)+(Surface_Engine!L241*12)*INDEX(Surface_Engine!$F$12:$F$72,$A675+1)-(Surface_Engine!L241*12),1000*12*INDEX(Surface_Engine!$C$12:$C$72,$A675+1)/(1+Assumptions!$B$10)^20+INDEX(Surface_Engine!$D$12:$D$72,$A675+1)))*INDEX(Surface_Engine!$B$12:$B$72,$A675+1)+G676</f>
        <v>2035.34694182948</v>
      </c>
      <c r="H675" s="48" t="n">
        <f aca="false">D675*(IF($A675&lt;$Q$636,INDEX(Surface_Engine!$D$12:$D$72,$A675+1)+(Surface_Engine!L241*12)*INDEX(Surface_Engine!$F$12:$F$72,$A675+1)-(Surface_Engine!L241*12),1000*12*INDEX(Surface_Engine!$C$12:$C$72,$A675+1)/(1+Assumptions!$B$10)^20+INDEX(Surface_Engine!$D$12:$D$72,$A675+1)))*INDEX(Surface_Engine!$B$12:$B$72,$A675+1)+H676</f>
        <v>841.004882332342</v>
      </c>
      <c r="I675" s="48" t="n">
        <f aca="false">E675*(IF($A675&lt;$Q$636,INDEX(Surface_Engine!$D$12:$D$72,$A675+1)+(Surface_Engine!L241*12)*INDEX(Surface_Engine!$F$12:$F$72,$A675+1)-(Surface_Engine!L241*12),1000*12*INDEX(Surface_Engine!$C$12:$C$72,$A675+1)/(1+Assumptions!$B$10)^20+INDEX(Surface_Engine!$D$12:$D$72,$A675+1)))*INDEX(Surface_Engine!$B$12:$B$72,$A675+1)+I676</f>
        <v>1072.01689658342</v>
      </c>
      <c r="J675" s="48" t="n">
        <f aca="false">B675*(IF($A675&lt;$Q$636,INDEX(Surface_Engine!$D$12:$D$72,$A675+1)*(1+Assumptions!$B$24)+(Surface_Engine!L241*12)*INDEX(Surface_Engine!$F$12:$F$72,$A675+1)-(Surface_Engine!L241*12),1000*12*INDEX(Surface_Engine!$C$12:$C$72,$A675+1)/(1+Assumptions!$B$10)^20+INDEX(Surface_Engine!$D$12:$D$72,$A675+1)*(1+Assumptions!$B$24)))*INDEX(Surface_Engine!$B$12:$B$72,$A675+1)+J676</f>
        <v>951.151876572535</v>
      </c>
      <c r="K675" s="12" t="n">
        <f aca="false">SQRT((IF(C675&lt;=0,0,MAX(0,(B675/C675)*G675/INDEX(Surface_Engine!$B$12:$B$72,$A675+1)-F675/INDEX(Surface_Engine!$B$12:$B$72,$A675+1))))^2+(MAX(IF(D675&lt;=0,0,MAX(0,(B675/D675)*H675/INDEX(Surface_Engine!$B$12:$B$72,$A675+1)-F675/INDEX(Surface_Engine!$B$12:$B$72,$A675+1))),IF(E675&lt;=0,0,MAX(0,(B675/E675)*I675/INDEX(Surface_Engine!$B$12:$B$72,$A675+1)-F675/INDEX(Surface_Engine!$B$12:$B$72,$A675+1))),IF($A675&lt;$Q$636,MAX(0,-Assumptions!$B$22*(F675/INDEX(Surface_Engine!$B$12:$B$72,$A675+1))),0)))^2+(MAX(0,J675/INDEX(Surface_Engine!$B$12:$B$72,$A675+1)-(F675/INDEX(Surface_Engine!$B$12:$B$72,$A675+1))))^2+2*Assumptions!$B$26*(IF(C675&lt;=0,0,MAX(0,(B675/C675)*G675/INDEX(Surface_Engine!$B$12:$B$72,$A675+1)-F675/INDEX(Surface_Engine!$B$12:$B$72,$A675+1))))*(MAX(IF(D675&lt;=0,0,MAX(0,(B675/D675)*H675/INDEX(Surface_Engine!$B$12:$B$72,$A675+1)-F675/INDEX(Surface_Engine!$B$12:$B$72,$A675+1))),IF(E675&lt;=0,0,MAX(0,(B675/E675)*I675/INDEX(Surface_Engine!$B$12:$B$72,$A675+1)-F675/INDEX(Surface_Engine!$B$12:$B$72,$A675+1))),IF($A675&lt;$Q$636,MAX(0,-Assumptions!$B$22*(F675/INDEX(Surface_Engine!$B$12:$B$72,$A675+1))),0)))+2*Assumptions!$B$27*(IF(C675&lt;=0,0,MAX(0,(B675/C675)*G675/INDEX(Surface_Engine!$B$12:$B$72,$A675+1)-F675/INDEX(Surface_Engine!$B$12:$B$72,$A675+1))))*(MAX(0,J675/INDEX(Surface_Engine!$B$12:$B$72,$A675+1)-(F675/INDEX(Surface_Engine!$B$12:$B$72,$A675+1))))+2*Assumptions!$B$28*(MAX(IF(D675&lt;=0,0,MAX(0,(B675/D675)*H675/INDEX(Surface_Engine!$B$12:$B$72,$A675+1)-F675/INDEX(Surface_Engine!$B$12:$B$72,$A675+1))),IF(E675&lt;=0,0,MAX(0,(B675/E675)*I675/INDEX(Surface_Engine!$B$12:$B$72,$A675+1)-F675/INDEX(Surface_Engine!$B$12:$B$72,$A675+1))),IF($A675&lt;$Q$636,MAX(0,-Assumptions!$B$22*(F675/INDEX(Surface_Engine!$B$12:$B$72,$A675+1))),0)))*(MAX(0,J675/INDEX(Surface_Engine!$B$12:$B$72,$A675+1)-(F675/INDEX(Surface_Engine!$B$12:$B$72,$A675+1)))))</f>
        <v>557.084874310585</v>
      </c>
      <c r="L675" s="48" t="n">
        <f aca="false">K675*INDEX(Surface_Engine!$B$12:$B$72,$A675+1)+L676</f>
        <v>571.847662443368</v>
      </c>
      <c r="M675" s="48" t="n">
        <f aca="false">M674+B674*(IF($A674&lt;$Q$636,(Surface_Engine!L241*12)-(Surface_Engine!L241*12)*INDEX(Surface_Engine!$F$12:$F$72,$A674+1)-INDEX(Surface_Engine!$D$12:$D$72,$A674+1),-(1000*12*INDEX(Surface_Engine!$C$12:$C$72,$A674+1)/(1+Assumptions!$B$10)^20+INDEX(Surface_Engine!$D$12:$D$72,$A674+1))))*INDEX(Surface_Engine!$B$12:$B$72,$A674+1)</f>
        <v>2101.53583111766</v>
      </c>
      <c r="N675" s="12" t="n">
        <f aca="false">IF(B675&lt;=0,0,MAX(0,(K675+Assumptions!$B$29*L675/INDEX(Surface_Engine!$B$12:$B$72,$A675+1)-(M675/INDEX(Surface_Engine!$B$12:$B$72,$A675+1)-(F675/INDEX(Surface_Engine!$B$12:$B$72,$A675+1))))/B675))</f>
        <v>0</v>
      </c>
    </row>
    <row r="676" customFormat="false" ht="15" hidden="false" customHeight="true" outlineLevel="0" collapsed="false">
      <c r="A676" s="1" t="n">
        <v>38</v>
      </c>
      <c r="B676" s="32" t="n">
        <f aca="false">INDEX(Surface_Engine!$L$12:$L$72,$A676+1)*IF($A676&lt;$Q$636,INDEX(Surface_Engine!$E$12:$E$72,$A676+1),INDEX(Surface_Engine!$E$12:$E$72,$Q$636+1))</f>
        <v>0.0369102919877029</v>
      </c>
      <c r="C676" s="32" t="n">
        <f aca="false">INDEX(Panel_Reserving!$D$8:$D$68,$A676+1)*IF($A676&lt;$Q$636,INDEX(Surface_Engine!$E$12:$E$72,$A676+1),INDEX(Surface_Engine!$E$12:$E$72,$Q$636+1))</f>
        <v>0.0709169402183976</v>
      </c>
      <c r="D676" s="32" t="n">
        <f aca="false">INDEX(Surface_Engine!$L$12:$L$72,$A676+1)*IF($A676&lt;$Q$636,INDEX(Surface_Engine!$Y$12:$Y$72,$A676+1),INDEX(Surface_Engine!$Y$12:$Y$72,$Q$636+1))</f>
        <v>0.032675610053283</v>
      </c>
      <c r="E676" s="32" t="n">
        <f aca="false">INDEX(Surface_Engine!$L$12:$L$72,$A676+1)*IF($A676&lt;$Q$636,INDEX(Surface_Engine!$Z$12:$Z$72,$A676+1),INDEX(Surface_Engine!$Z$12:$Z$72,$Q$636+1))</f>
        <v>0.0416511328521016</v>
      </c>
      <c r="F676" s="48" t="n">
        <f aca="false">B676*(IF($A676&lt;$Q$636,INDEX(Surface_Engine!$D$12:$D$72,$A676+1)+(Surface_Engine!L241*12)*INDEX(Surface_Engine!$F$12:$F$72,$A676+1)-(Surface_Engine!L241*12),1000*12*INDEX(Surface_Engine!$C$12:$C$72,$A676+1)/(1+Assumptions!$B$10)^20+INDEX(Surface_Engine!$D$12:$D$72,$A676+1)))*INDEX(Surface_Engine!$B$12:$B$72,$A676+1)+F677</f>
        <v>694.510045780058</v>
      </c>
      <c r="G676" s="48" t="n">
        <f aca="false">C676*(IF($A676&lt;$Q$636,INDEX(Surface_Engine!$D$12:$D$72,$A676+1)+(Surface_Engine!L241*12)*INDEX(Surface_Engine!$F$12:$F$72,$A676+1)-(Surface_Engine!L241*12),1000*12*INDEX(Surface_Engine!$C$12:$C$72,$A676+1)/(1+Assumptions!$B$10)^20+INDEX(Surface_Engine!$D$12:$D$72,$A676+1)))*INDEX(Surface_Engine!$B$12:$B$72,$A676+1)+G677</f>
        <v>1572.56227433129</v>
      </c>
      <c r="H676" s="48" t="n">
        <f aca="false">D676*(IF($A676&lt;$Q$636,INDEX(Surface_Engine!$D$12:$D$72,$A676+1)+(Surface_Engine!L241*12)*INDEX(Surface_Engine!$F$12:$F$72,$A676+1)-(Surface_Engine!L241*12),1000*12*INDEX(Surface_Engine!$C$12:$C$72,$A676+1)/(1+Assumptions!$B$10)^20+INDEX(Surface_Engine!$D$12:$D$72,$A676+1)))*INDEX(Surface_Engine!$B$12:$B$72,$A676+1)+H677</f>
        <v>614.829583075569</v>
      </c>
      <c r="I676" s="48" t="n">
        <f aca="false">E676*(IF($A676&lt;$Q$636,INDEX(Surface_Engine!$D$12:$D$72,$A676+1)+(Surface_Engine!L241*12)*INDEX(Surface_Engine!$F$12:$F$72,$A676+1)-(Surface_Engine!L241*12),1000*12*INDEX(Surface_Engine!$C$12:$C$72,$A676+1)/(1+Assumptions!$B$10)^20+INDEX(Surface_Engine!$D$12:$D$72,$A676+1)))*INDEX(Surface_Engine!$B$12:$B$72,$A676+1)+I677</f>
        <v>783.714477077065</v>
      </c>
      <c r="J676" s="48" t="n">
        <f aca="false">B676*(IF($A676&lt;$Q$636,INDEX(Surface_Engine!$D$12:$D$72,$A676+1)*(1+Assumptions!$B$24)+(Surface_Engine!L241*12)*INDEX(Surface_Engine!$F$12:$F$72,$A676+1)-(Surface_Engine!L241*12),1000*12*INDEX(Surface_Engine!$C$12:$C$72,$A676+1)/(1+Assumptions!$B$10)^20+INDEX(Surface_Engine!$D$12:$D$72,$A676+1)*(1+Assumptions!$B$24)))*INDEX(Surface_Engine!$B$12:$B$72,$A676+1)+J677</f>
        <v>695.357657529578</v>
      </c>
      <c r="K676" s="12" t="n">
        <f aca="false">SQRT((IF(C676&lt;=0,0,MAX(0,(B676/C676)*G676/INDEX(Surface_Engine!$B$12:$B$72,$A676+1)-F676/INDEX(Surface_Engine!$B$12:$B$72,$A676+1))))^2+(MAX(IF(D676&lt;=0,0,MAX(0,(B676/D676)*H676/INDEX(Surface_Engine!$B$12:$B$72,$A676+1)-F676/INDEX(Surface_Engine!$B$12:$B$72,$A676+1))),IF(E676&lt;=0,0,MAX(0,(B676/E676)*I676/INDEX(Surface_Engine!$B$12:$B$72,$A676+1)-F676/INDEX(Surface_Engine!$B$12:$B$72,$A676+1))),IF($A676&lt;$Q$636,MAX(0,-Assumptions!$B$22*(F676/INDEX(Surface_Engine!$B$12:$B$72,$A676+1))),0)))^2+(MAX(0,J676/INDEX(Surface_Engine!$B$12:$B$72,$A676+1)-(F676/INDEX(Surface_Engine!$B$12:$B$72,$A676+1))))^2+2*Assumptions!$B$26*(IF(C676&lt;=0,0,MAX(0,(B676/C676)*G676/INDEX(Surface_Engine!$B$12:$B$72,$A676+1)-F676/INDEX(Surface_Engine!$B$12:$B$72,$A676+1))))*(MAX(IF(D676&lt;=0,0,MAX(0,(B676/D676)*H676/INDEX(Surface_Engine!$B$12:$B$72,$A676+1)-F676/INDEX(Surface_Engine!$B$12:$B$72,$A676+1))),IF(E676&lt;=0,0,MAX(0,(B676/E676)*I676/INDEX(Surface_Engine!$B$12:$B$72,$A676+1)-F676/INDEX(Surface_Engine!$B$12:$B$72,$A676+1))),IF($A676&lt;$Q$636,MAX(0,-Assumptions!$B$22*(F676/INDEX(Surface_Engine!$B$12:$B$72,$A676+1))),0)))+2*Assumptions!$B$27*(IF(C676&lt;=0,0,MAX(0,(B676/C676)*G676/INDEX(Surface_Engine!$B$12:$B$72,$A676+1)-F676/INDEX(Surface_Engine!$B$12:$B$72,$A676+1))))*(MAX(0,J676/INDEX(Surface_Engine!$B$12:$B$72,$A676+1)-(F676/INDEX(Surface_Engine!$B$12:$B$72,$A676+1))))+2*Assumptions!$B$28*(MAX(IF(D676&lt;=0,0,MAX(0,(B676/D676)*H676/INDEX(Surface_Engine!$B$12:$B$72,$A676+1)-F676/INDEX(Surface_Engine!$B$12:$B$72,$A676+1))),IF(E676&lt;=0,0,MAX(0,(B676/E676)*I676/INDEX(Surface_Engine!$B$12:$B$72,$A676+1)-F676/INDEX(Surface_Engine!$B$12:$B$72,$A676+1))),IF($A676&lt;$Q$636,MAX(0,-Assumptions!$B$22*(F676/INDEX(Surface_Engine!$B$12:$B$72,$A676+1))),0)))*(MAX(0,J676/INDEX(Surface_Engine!$B$12:$B$72,$A676+1)-(F676/INDEX(Surface_Engine!$B$12:$B$72,$A676+1)))))</f>
        <v>410.731795500923</v>
      </c>
      <c r="L676" s="48" t="n">
        <f aca="false">K676*INDEX(Surface_Engine!$B$12:$B$72,$A676+1)+L677</f>
        <v>397.909288973288</v>
      </c>
      <c r="M676" s="48" t="n">
        <f aca="false">M675+B675*(IF($A675&lt;$Q$636,(Surface_Engine!L241*12)-(Surface_Engine!L241*12)*INDEX(Surface_Engine!$F$12:$F$72,$A675+1)-INDEX(Surface_Engine!$D$12:$D$72,$A675+1),-(1000*12*INDEX(Surface_Engine!$C$12:$C$72,$A675+1)/(1+Assumptions!$B$10)^20+INDEX(Surface_Engine!$D$12:$D$72,$A675+1))))*INDEX(Surface_Engine!$B$12:$B$72,$A675+1)</f>
        <v>1846.04874694813</v>
      </c>
      <c r="N676" s="12" t="n">
        <f aca="false">IF(B676&lt;=0,0,MAX(0,(K676+Assumptions!$B$29*L676/INDEX(Surface_Engine!$B$12:$B$72,$A676+1)-(M676/INDEX(Surface_Engine!$B$12:$B$72,$A676+1)-(F676/INDEX(Surface_Engine!$B$12:$B$72,$A676+1))))/B676))</f>
        <v>0</v>
      </c>
    </row>
    <row r="677" customFormat="false" ht="15" hidden="false" customHeight="true" outlineLevel="0" collapsed="false">
      <c r="A677" s="1" t="n">
        <v>39</v>
      </c>
      <c r="B677" s="32" t="n">
        <f aca="false">INDEX(Surface_Engine!$L$12:$L$72,$A677+1)*IF($A677&lt;$Q$636,INDEX(Surface_Engine!$E$12:$E$72,$A677+1),INDEX(Surface_Engine!$E$12:$E$72,$Q$636+1))</f>
        <v>0.0277788747823566</v>
      </c>
      <c r="C677" s="32" t="n">
        <f aca="false">INDEX(Panel_Reserving!$D$8:$D$68,$A677+1)*IF($A677&lt;$Q$636,INDEX(Surface_Engine!$E$12:$E$72,$A677+1),INDEX(Surface_Engine!$E$12:$E$72,$Q$636+1))</f>
        <v>0.056881349965651</v>
      </c>
      <c r="D677" s="32" t="n">
        <f aca="false">INDEX(Surface_Engine!$L$12:$L$72,$A677+1)*IF($A677&lt;$Q$636,INDEX(Surface_Engine!$Y$12:$Y$72,$A677+1),INDEX(Surface_Engine!$Y$12:$Y$72,$Q$636+1))</f>
        <v>0.0245918314710073</v>
      </c>
      <c r="E677" s="32" t="n">
        <f aca="false">INDEX(Surface_Engine!$L$12:$L$72,$A677+1)*IF($A677&lt;$Q$636,INDEX(Surface_Engine!$Z$12:$Z$72,$A677+1),INDEX(Surface_Engine!$Z$12:$Z$72,$Q$636+1))</f>
        <v>0.0313468558966508</v>
      </c>
      <c r="F677" s="48" t="n">
        <f aca="false">B677*(IF($A677&lt;$Q$636,INDEX(Surface_Engine!$D$12:$D$72,$A677+1)+(Surface_Engine!L241*12)*INDEX(Surface_Engine!$F$12:$F$72,$A677+1)-(Surface_Engine!L241*12),1000*12*INDEX(Surface_Engine!$C$12:$C$72,$A677+1)/(1+Assumptions!$B$10)^20+INDEX(Surface_Engine!$D$12:$D$72,$A677+1)))*INDEX(Surface_Engine!$B$12:$B$72,$A677+1)+F678</f>
        <v>500.911865675278</v>
      </c>
      <c r="G677" s="48" t="n">
        <f aca="false">C677*(IF($A677&lt;$Q$636,INDEX(Surface_Engine!$D$12:$D$72,$A677+1)+(Surface_Engine!L241*12)*INDEX(Surface_Engine!$F$12:$F$72,$A677+1)-(Surface_Engine!L241*12),1000*12*INDEX(Surface_Engine!$C$12:$C$72,$A677+1)/(1+Assumptions!$B$10)^20+INDEX(Surface_Engine!$D$12:$D$72,$A677+1)))*INDEX(Surface_Engine!$B$12:$B$72,$A677+1)+G678</f>
        <v>1200.5958165895</v>
      </c>
      <c r="H677" s="48" t="n">
        <f aca="false">D677*(IF($A677&lt;$Q$636,INDEX(Surface_Engine!$D$12:$D$72,$A677+1)+(Surface_Engine!L241*12)*INDEX(Surface_Engine!$F$12:$F$72,$A677+1)-(Surface_Engine!L241*12),1000*12*INDEX(Surface_Engine!$C$12:$C$72,$A677+1)/(1+Assumptions!$B$10)^20+INDEX(Surface_Engine!$D$12:$D$72,$A677+1)))*INDEX(Surface_Engine!$B$12:$B$72,$A677+1)+H678</f>
        <v>443.442734056965</v>
      </c>
      <c r="I677" s="48" t="n">
        <f aca="false">E677*(IF($A677&lt;$Q$636,INDEX(Surface_Engine!$D$12:$D$72,$A677+1)+(Surface_Engine!L241*12)*INDEX(Surface_Engine!$F$12:$F$72,$A677+1)-(Surface_Engine!L241*12),1000*12*INDEX(Surface_Engine!$C$12:$C$72,$A677+1)/(1+Assumptions!$B$10)^20+INDEX(Surface_Engine!$D$12:$D$72,$A677+1)))*INDEX(Surface_Engine!$B$12:$B$72,$A677+1)+I678</f>
        <v>565.250111578257</v>
      </c>
      <c r="J677" s="48" t="n">
        <f aca="false">B677*(IF($A677&lt;$Q$636,INDEX(Surface_Engine!$D$12:$D$72,$A677+1)*(1+Assumptions!$B$24)+(Surface_Engine!L241*12)*INDEX(Surface_Engine!$F$12:$F$72,$A677+1)-(Surface_Engine!L241*12),1000*12*INDEX(Surface_Engine!$C$12:$C$72,$A677+1)/(1+Assumptions!$B$10)^20+INDEX(Surface_Engine!$D$12:$D$72,$A677+1)*(1+Assumptions!$B$24)))*INDEX(Surface_Engine!$B$12:$B$72,$A677+1)+J678</f>
        <v>501.525615481931</v>
      </c>
      <c r="K677" s="12" t="n">
        <f aca="false">SQRT((IF(C677&lt;=0,0,MAX(0,(B677/C677)*G677/INDEX(Surface_Engine!$B$12:$B$72,$A677+1)-F677/INDEX(Surface_Engine!$B$12:$B$72,$A677+1))))^2+(MAX(IF(D677&lt;=0,0,MAX(0,(B677/D677)*H677/INDEX(Surface_Engine!$B$12:$B$72,$A677+1)-F677/INDEX(Surface_Engine!$B$12:$B$72,$A677+1))),IF(E677&lt;=0,0,MAX(0,(B677/E677)*I677/INDEX(Surface_Engine!$B$12:$B$72,$A677+1)-F677/INDEX(Surface_Engine!$B$12:$B$72,$A677+1))),IF($A677&lt;$Q$636,MAX(0,-Assumptions!$B$22*(F677/INDEX(Surface_Engine!$B$12:$B$72,$A677+1))),0)))^2+(MAX(0,J677/INDEX(Surface_Engine!$B$12:$B$72,$A677+1)-(F677/INDEX(Surface_Engine!$B$12:$B$72,$A677+1))))^2+2*Assumptions!$B$26*(IF(C677&lt;=0,0,MAX(0,(B677/C677)*G677/INDEX(Surface_Engine!$B$12:$B$72,$A677+1)-F677/INDEX(Surface_Engine!$B$12:$B$72,$A677+1))))*(MAX(IF(D677&lt;=0,0,MAX(0,(B677/D677)*H677/INDEX(Surface_Engine!$B$12:$B$72,$A677+1)-F677/INDEX(Surface_Engine!$B$12:$B$72,$A677+1))),IF(E677&lt;=0,0,MAX(0,(B677/E677)*I677/INDEX(Surface_Engine!$B$12:$B$72,$A677+1)-F677/INDEX(Surface_Engine!$B$12:$B$72,$A677+1))),IF($A677&lt;$Q$636,MAX(0,-Assumptions!$B$22*(F677/INDEX(Surface_Engine!$B$12:$B$72,$A677+1))),0)))+2*Assumptions!$B$27*(IF(C677&lt;=0,0,MAX(0,(B677/C677)*G677/INDEX(Surface_Engine!$B$12:$B$72,$A677+1)-F677/INDEX(Surface_Engine!$B$12:$B$72,$A677+1))))*(MAX(0,J677/INDEX(Surface_Engine!$B$12:$B$72,$A677+1)-(F677/INDEX(Surface_Engine!$B$12:$B$72,$A677+1))))+2*Assumptions!$B$28*(MAX(IF(D677&lt;=0,0,MAX(0,(B677/D677)*H677/INDEX(Surface_Engine!$B$12:$B$72,$A677+1)-F677/INDEX(Surface_Engine!$B$12:$B$72,$A677+1))),IF(E677&lt;=0,0,MAX(0,(B677/E677)*I677/INDEX(Surface_Engine!$B$12:$B$72,$A677+1)-F677/INDEX(Surface_Engine!$B$12:$B$72,$A677+1))),IF($A677&lt;$Q$636,MAX(0,-Assumptions!$B$22*(F677/INDEX(Surface_Engine!$B$12:$B$72,$A677+1))),0)))*(MAX(0,J677/INDEX(Surface_Engine!$B$12:$B$72,$A677+1)-(F677/INDEX(Surface_Engine!$B$12:$B$72,$A677+1)))))</f>
        <v>292.200118388382</v>
      </c>
      <c r="L677" s="48" t="n">
        <f aca="false">K677*INDEX(Surface_Engine!$B$12:$B$72,$A677+1)+L678</f>
        <v>273.729859846914</v>
      </c>
      <c r="M677" s="48" t="n">
        <f aca="false">M676+B676*(IF($A676&lt;$Q$636,(Surface_Engine!L241*12)-(Surface_Engine!L241*12)*INDEX(Surface_Engine!$F$12:$F$72,$A676+1)-INDEX(Surface_Engine!$D$12:$D$72,$A676+1),-(1000*12*INDEX(Surface_Engine!$C$12:$C$72,$A676+1)/(1+Assumptions!$B$10)^20+INDEX(Surface_Engine!$D$12:$D$72,$A676+1))))*INDEX(Surface_Engine!$B$12:$B$72,$A676+1)</f>
        <v>1652.45056684335</v>
      </c>
      <c r="N677" s="12" t="n">
        <f aca="false">IF(B677&lt;=0,0,MAX(0,(K677+Assumptions!$B$29*L677/INDEX(Surface_Engine!$B$12:$B$72,$A677+1)-(M677/INDEX(Surface_Engine!$B$12:$B$72,$A677+1)-(F677/INDEX(Surface_Engine!$B$12:$B$72,$A677+1))))/B677))</f>
        <v>0</v>
      </c>
    </row>
    <row r="678" customFormat="false" ht="15" hidden="false" customHeight="true" outlineLevel="0" collapsed="false">
      <c r="A678" s="1" t="n">
        <v>40</v>
      </c>
      <c r="B678" s="32" t="n">
        <f aca="false">INDEX(Surface_Engine!$L$12:$L$72,$A678+1)*IF($A678&lt;$Q$636,INDEX(Surface_Engine!$E$12:$E$72,$A678+1),INDEX(Surface_Engine!$E$12:$E$72,$Q$636+1))</f>
        <v>0.0211715425782129</v>
      </c>
      <c r="C678" s="32" t="n">
        <f aca="false">INDEX(Panel_Reserving!$D$8:$D$68,$A678+1)*IF($A678&lt;$Q$636,INDEX(Surface_Engine!$E$12:$E$72,$A678+1),INDEX(Surface_Engine!$E$12:$E$72,$Q$636+1))</f>
        <v>0.0460577589199282</v>
      </c>
      <c r="D678" s="32" t="n">
        <f aca="false">INDEX(Surface_Engine!$L$12:$L$72,$A678+1)*IF($A678&lt;$Q$636,INDEX(Surface_Engine!$Y$12:$Y$72,$A678+1),INDEX(Surface_Engine!$Y$12:$Y$72,$Q$636+1))</f>
        <v>0.0187425520703722</v>
      </c>
      <c r="E678" s="32" t="n">
        <f aca="false">INDEX(Surface_Engine!$L$12:$L$72,$A678+1)*IF($A678&lt;$Q$636,INDEX(Surface_Engine!$Z$12:$Z$72,$A678+1),INDEX(Surface_Engine!$Z$12:$Z$72,$Q$636+1))</f>
        <v>0.0238908630932223</v>
      </c>
      <c r="F678" s="48" t="n">
        <f aca="false">B678*(IF($A678&lt;$Q$636,INDEX(Surface_Engine!$D$12:$D$72,$A678+1)+(Surface_Engine!L241*12)*INDEX(Surface_Engine!$F$12:$F$72,$A678+1)-(Surface_Engine!L241*12),1000*12*INDEX(Surface_Engine!$C$12:$C$72,$A678+1)/(1+Assumptions!$B$10)^20+INDEX(Surface_Engine!$D$12:$D$72,$A678+1)))*INDEX(Surface_Engine!$B$12:$B$72,$A678+1)+F679</f>
        <v>356.946202759945</v>
      </c>
      <c r="G678" s="48" t="n">
        <f aca="false">C678*(IF($A678&lt;$Q$636,INDEX(Surface_Engine!$D$12:$D$72,$A678+1)+(Surface_Engine!L241*12)*INDEX(Surface_Engine!$F$12:$F$72,$A678+1)-(Surface_Engine!L241*12),1000*12*INDEX(Surface_Engine!$C$12:$C$72,$A678+1)/(1+Assumptions!$B$10)^20+INDEX(Surface_Engine!$D$12:$D$72,$A678+1)))*INDEX(Surface_Engine!$B$12:$B$72,$A678+1)+G679</f>
        <v>905.804853331146</v>
      </c>
      <c r="H678" s="48" t="n">
        <f aca="false">D678*(IF($A678&lt;$Q$636,INDEX(Surface_Engine!$D$12:$D$72,$A678+1)+(Surface_Engine!L241*12)*INDEX(Surface_Engine!$F$12:$F$72,$A678+1)-(Surface_Engine!L241*12),1000*12*INDEX(Surface_Engine!$C$12:$C$72,$A678+1)/(1+Assumptions!$B$10)^20+INDEX(Surface_Engine!$D$12:$D$72,$A678+1)))*INDEX(Surface_Engine!$B$12:$B$72,$A678+1)+H679</f>
        <v>315.99411175804</v>
      </c>
      <c r="I678" s="48" t="n">
        <f aca="false">E678*(IF($A678&lt;$Q$636,INDEX(Surface_Engine!$D$12:$D$72,$A678+1)+(Surface_Engine!L241*12)*INDEX(Surface_Engine!$F$12:$F$72,$A678+1)-(Surface_Engine!L241*12),1000*12*INDEX(Surface_Engine!$C$12:$C$72,$A678+1)/(1+Assumptions!$B$10)^20+INDEX(Surface_Engine!$D$12:$D$72,$A678+1)))*INDEX(Surface_Engine!$B$12:$B$72,$A678+1)+I679</f>
        <v>402.793175333343</v>
      </c>
      <c r="J678" s="48" t="n">
        <f aca="false">B678*(IF($A678&lt;$Q$636,INDEX(Surface_Engine!$D$12:$D$72,$A678+1)*(1+Assumptions!$B$24)+(Surface_Engine!L241*12)*INDEX(Surface_Engine!$F$12:$F$72,$A678+1)-(Surface_Engine!L241*12),1000*12*INDEX(Surface_Engine!$C$12:$C$72,$A678+1)/(1+Assumptions!$B$10)^20+INDEX(Surface_Engine!$D$12:$D$72,$A678+1)*(1+Assumptions!$B$24)))*INDEX(Surface_Engine!$B$12:$B$72,$A678+1)+J679</f>
        <v>357.385203372266</v>
      </c>
      <c r="K678" s="12" t="n">
        <f aca="false">SQRT((IF(C678&lt;=0,0,MAX(0,(B678/C678)*G678/INDEX(Surface_Engine!$B$12:$B$72,$A678+1)-F678/INDEX(Surface_Engine!$B$12:$B$72,$A678+1))))^2+(MAX(IF(D678&lt;=0,0,MAX(0,(B678/D678)*H678/INDEX(Surface_Engine!$B$12:$B$72,$A678+1)-F678/INDEX(Surface_Engine!$B$12:$B$72,$A678+1))),IF(E678&lt;=0,0,MAX(0,(B678/E678)*I678/INDEX(Surface_Engine!$B$12:$B$72,$A678+1)-F678/INDEX(Surface_Engine!$B$12:$B$72,$A678+1))),IF($A678&lt;$Q$636,MAX(0,-Assumptions!$B$22*(F678/INDEX(Surface_Engine!$B$12:$B$72,$A678+1))),0)))^2+(MAX(0,J678/INDEX(Surface_Engine!$B$12:$B$72,$A678+1)-(F678/INDEX(Surface_Engine!$B$12:$B$72,$A678+1))))^2+2*Assumptions!$B$26*(IF(C678&lt;=0,0,MAX(0,(B678/C678)*G678/INDEX(Surface_Engine!$B$12:$B$72,$A678+1)-F678/INDEX(Surface_Engine!$B$12:$B$72,$A678+1))))*(MAX(IF(D678&lt;=0,0,MAX(0,(B678/D678)*H678/INDEX(Surface_Engine!$B$12:$B$72,$A678+1)-F678/INDEX(Surface_Engine!$B$12:$B$72,$A678+1))),IF(E678&lt;=0,0,MAX(0,(B678/E678)*I678/INDEX(Surface_Engine!$B$12:$B$72,$A678+1)-F678/INDEX(Surface_Engine!$B$12:$B$72,$A678+1))),IF($A678&lt;$Q$636,MAX(0,-Assumptions!$B$22*(F678/INDEX(Surface_Engine!$B$12:$B$72,$A678+1))),0)))+2*Assumptions!$B$27*(IF(C678&lt;=0,0,MAX(0,(B678/C678)*G678/INDEX(Surface_Engine!$B$12:$B$72,$A678+1)-F678/INDEX(Surface_Engine!$B$12:$B$72,$A678+1))))*(MAX(0,J678/INDEX(Surface_Engine!$B$12:$B$72,$A678+1)-(F678/INDEX(Surface_Engine!$B$12:$B$72,$A678+1))))+2*Assumptions!$B$28*(MAX(IF(D678&lt;=0,0,MAX(0,(B678/D678)*H678/INDEX(Surface_Engine!$B$12:$B$72,$A678+1)-F678/INDEX(Surface_Engine!$B$12:$B$72,$A678+1))),IF(E678&lt;=0,0,MAX(0,(B678/E678)*I678/INDEX(Surface_Engine!$B$12:$B$72,$A678+1)-F678/INDEX(Surface_Engine!$B$12:$B$72,$A678+1))),IF($A678&lt;$Q$636,MAX(0,-Assumptions!$B$22*(F678/INDEX(Surface_Engine!$B$12:$B$72,$A678+1))),0)))*(MAX(0,J678/INDEX(Surface_Engine!$B$12:$B$72,$A678+1)-(F678/INDEX(Surface_Engine!$B$12:$B$72,$A678+1)))))</f>
        <v>209.972979010829</v>
      </c>
      <c r="L678" s="48" t="n">
        <f aca="false">K678*INDEX(Surface_Engine!$B$12:$B$72,$A678+1)+L679</f>
        <v>188.156946691528</v>
      </c>
      <c r="M678" s="48" t="n">
        <f aca="false">M677+B677*(IF($A677&lt;$Q$636,(Surface_Engine!L241*12)-(Surface_Engine!L241*12)*INDEX(Surface_Engine!$F$12:$F$72,$A677+1)-INDEX(Surface_Engine!$D$12:$D$72,$A677+1),-(1000*12*INDEX(Surface_Engine!$C$12:$C$72,$A677+1)/(1+Assumptions!$B$10)^20+INDEX(Surface_Engine!$D$12:$D$72,$A677+1))))*INDEX(Surface_Engine!$B$12:$B$72,$A677+1)</f>
        <v>1508.48490392802</v>
      </c>
      <c r="N678" s="12" t="n">
        <f aca="false">IF(B678&lt;=0,0,MAX(0,(K678+Assumptions!$B$29*L678/INDEX(Surface_Engine!$B$12:$B$72,$A678+1)-(M678/INDEX(Surface_Engine!$B$12:$B$72,$A678+1)-(F678/INDEX(Surface_Engine!$B$12:$B$72,$A678+1))))/B678))</f>
        <v>0</v>
      </c>
    </row>
    <row r="679" customFormat="false" ht="15" hidden="false" customHeight="true" outlineLevel="0" collapsed="false">
      <c r="A679" s="1" t="n">
        <v>41</v>
      </c>
      <c r="B679" s="32" t="n">
        <f aca="false">INDEX(Surface_Engine!$L$12:$L$72,$A679+1)*IF($A679&lt;$Q$636,INDEX(Surface_Engine!$E$12:$E$72,$A679+1),INDEX(Surface_Engine!$E$12:$E$72,$Q$636+1))</f>
        <v>0.0185881470837527</v>
      </c>
      <c r="C679" s="32" t="n">
        <f aca="false">INDEX(Panel_Reserving!$D$8:$D$68,$A679+1)*IF($A679&lt;$Q$636,INDEX(Surface_Engine!$E$12:$E$72,$A679+1),INDEX(Surface_Engine!$E$12:$E$72,$Q$636+1))</f>
        <v>0.0415617083770218</v>
      </c>
      <c r="D679" s="32" t="n">
        <f aca="false">INDEX(Surface_Engine!$L$12:$L$72,$A679+1)*IF($A679&lt;$Q$636,INDEX(Surface_Engine!$Y$12:$Y$72,$A679+1),INDEX(Surface_Engine!$Y$12:$Y$72,$Q$636+1))</f>
        <v>0.0164555470307341</v>
      </c>
      <c r="E679" s="32" t="n">
        <f aca="false">INDEX(Surface_Engine!$L$12:$L$72,$A679+1)*IF($A679&lt;$Q$636,INDEX(Surface_Engine!$Z$12:$Z$72,$A679+1),INDEX(Surface_Engine!$Z$12:$Z$72,$Q$636+1))</f>
        <v>0.0209756504748792</v>
      </c>
      <c r="F679" s="48" t="n">
        <f aca="false">B679*(IF($A679&lt;$Q$636,INDEX(Surface_Engine!$D$12:$D$72,$A679+1)+(Surface_Engine!L241*12)*INDEX(Surface_Engine!$F$12:$F$72,$A679+1)-(Surface_Engine!L241*12),1000*12*INDEX(Surface_Engine!$C$12:$C$72,$A679+1)/(1+Assumptions!$B$10)^20+INDEX(Surface_Engine!$D$12:$D$72,$A679+1)))*INDEX(Surface_Engine!$B$12:$B$72,$A679+1)+F680</f>
        <v>248.575813284494</v>
      </c>
      <c r="G679" s="48" t="n">
        <f aca="false">C679*(IF($A679&lt;$Q$636,INDEX(Surface_Engine!$D$12:$D$72,$A679+1)+(Surface_Engine!L241*12)*INDEX(Surface_Engine!$F$12:$F$72,$A679+1)-(Surface_Engine!L241*12),1000*12*INDEX(Surface_Engine!$C$12:$C$72,$A679+1)/(1+Assumptions!$B$10)^20+INDEX(Surface_Engine!$D$12:$D$72,$A679+1)))*INDEX(Surface_Engine!$B$12:$B$72,$A679+1)+G680</f>
        <v>670.049841428731</v>
      </c>
      <c r="H679" s="48" t="n">
        <f aca="false">D679*(IF($A679&lt;$Q$636,INDEX(Surface_Engine!$D$12:$D$72,$A679+1)+(Surface_Engine!L241*12)*INDEX(Surface_Engine!$F$12:$F$72,$A679+1)-(Surface_Engine!L241*12),1000*12*INDEX(Surface_Engine!$C$12:$C$72,$A679+1)/(1+Assumptions!$B$10)^20+INDEX(Surface_Engine!$D$12:$D$72,$A679+1)))*INDEX(Surface_Engine!$B$12:$B$72,$A679+1)+H680</f>
        <v>220.056951764778</v>
      </c>
      <c r="I679" s="48" t="n">
        <f aca="false">E679*(IF($A679&lt;$Q$636,INDEX(Surface_Engine!$D$12:$D$72,$A679+1)+(Surface_Engine!L241*12)*INDEX(Surface_Engine!$F$12:$F$72,$A679+1)-(Surface_Engine!L241*12),1000*12*INDEX(Surface_Engine!$C$12:$C$72,$A679+1)/(1+Assumptions!$B$10)^20+INDEX(Surface_Engine!$D$12:$D$72,$A679+1)))*INDEX(Surface_Engine!$B$12:$B$72,$A679+1)+I680</f>
        <v>280.503449454722</v>
      </c>
      <c r="J679" s="48" t="n">
        <f aca="false">B679*(IF($A679&lt;$Q$636,INDEX(Surface_Engine!$D$12:$D$72,$A679+1)*(1+Assumptions!$B$24)+(Surface_Engine!L241*12)*INDEX(Surface_Engine!$F$12:$F$72,$A679+1)-(Surface_Engine!L241*12),1000*12*INDEX(Surface_Engine!$C$12:$C$72,$A679+1)/(1+Assumptions!$B$10)^20+INDEX(Surface_Engine!$D$12:$D$72,$A679+1)*(1+Assumptions!$B$24)))*INDEX(Surface_Engine!$B$12:$B$72,$A679+1)+J680</f>
        <v>248.882634200937</v>
      </c>
      <c r="K679" s="12" t="n">
        <f aca="false">SQRT((IF(C679&lt;=0,0,MAX(0,(B679/C679)*G679/INDEX(Surface_Engine!$B$12:$B$72,$A679+1)-F679/INDEX(Surface_Engine!$B$12:$B$72,$A679+1))))^2+(MAX(IF(D679&lt;=0,0,MAX(0,(B679/D679)*H679/INDEX(Surface_Engine!$B$12:$B$72,$A679+1)-F679/INDEX(Surface_Engine!$B$12:$B$72,$A679+1))),IF(E679&lt;=0,0,MAX(0,(B679/E679)*I679/INDEX(Surface_Engine!$B$12:$B$72,$A679+1)-F679/INDEX(Surface_Engine!$B$12:$B$72,$A679+1))),IF($A679&lt;$Q$636,MAX(0,-Assumptions!$B$22*(F679/INDEX(Surface_Engine!$B$12:$B$72,$A679+1))),0)))^2+(MAX(0,J679/INDEX(Surface_Engine!$B$12:$B$72,$A679+1)-(F679/INDEX(Surface_Engine!$B$12:$B$72,$A679+1))))^2+2*Assumptions!$B$26*(IF(C679&lt;=0,0,MAX(0,(B679/C679)*G679/INDEX(Surface_Engine!$B$12:$B$72,$A679+1)-F679/INDEX(Surface_Engine!$B$12:$B$72,$A679+1))))*(MAX(IF(D679&lt;=0,0,MAX(0,(B679/D679)*H679/INDEX(Surface_Engine!$B$12:$B$72,$A679+1)-F679/INDEX(Surface_Engine!$B$12:$B$72,$A679+1))),IF(E679&lt;=0,0,MAX(0,(B679/E679)*I679/INDEX(Surface_Engine!$B$12:$B$72,$A679+1)-F679/INDEX(Surface_Engine!$B$12:$B$72,$A679+1))),IF($A679&lt;$Q$636,MAX(0,-Assumptions!$B$22*(F679/INDEX(Surface_Engine!$B$12:$B$72,$A679+1))),0)))+2*Assumptions!$B$27*(IF(C679&lt;=0,0,MAX(0,(B679/C679)*G679/INDEX(Surface_Engine!$B$12:$B$72,$A679+1)-F679/INDEX(Surface_Engine!$B$12:$B$72,$A679+1))))*(MAX(0,J679/INDEX(Surface_Engine!$B$12:$B$72,$A679+1)-(F679/INDEX(Surface_Engine!$B$12:$B$72,$A679+1))))+2*Assumptions!$B$28*(MAX(IF(D679&lt;=0,0,MAX(0,(B679/D679)*H679/INDEX(Surface_Engine!$B$12:$B$72,$A679+1)-F679/INDEX(Surface_Engine!$B$12:$B$72,$A679+1))),IF(E679&lt;=0,0,MAX(0,(B679/E679)*I679/INDEX(Surface_Engine!$B$12:$B$72,$A679+1)-F679/INDEX(Surface_Engine!$B$12:$B$72,$A679+1))),IF($A679&lt;$Q$636,MAX(0,-Assumptions!$B$22*(F679/INDEX(Surface_Engine!$B$12:$B$72,$A679+1))),0)))*(MAX(0,J679/INDEX(Surface_Engine!$B$12:$B$72,$A679+1)-(F679/INDEX(Surface_Engine!$B$12:$B$72,$A679+1)))))</f>
        <v>186.403414830181</v>
      </c>
      <c r="L679" s="48" t="n">
        <f aca="false">K679*INDEX(Surface_Engine!$B$12:$B$72,$A679+1)+L680</f>
        <v>128.617171866752</v>
      </c>
      <c r="M679" s="48" t="n">
        <f aca="false">M678+B678*(IF($A678&lt;$Q$636,(Surface_Engine!L241*12)-(Surface_Engine!L241*12)*INDEX(Surface_Engine!$F$12:$F$72,$A678+1)-INDEX(Surface_Engine!$D$12:$D$72,$A678+1),-(1000*12*INDEX(Surface_Engine!$C$12:$C$72,$A678+1)/(1+Assumptions!$B$10)^20+INDEX(Surface_Engine!$D$12:$D$72,$A678+1))))*INDEX(Surface_Engine!$B$12:$B$72,$A678+1)</f>
        <v>1400.11451445257</v>
      </c>
      <c r="N679" s="12" t="n">
        <f aca="false">IF(B679&lt;=0,0,MAX(0,(K679+Assumptions!$B$29*L679/INDEX(Surface_Engine!$B$12:$B$72,$A679+1)-(M679/INDEX(Surface_Engine!$B$12:$B$72,$A679+1)-(F679/INDEX(Surface_Engine!$B$12:$B$72,$A679+1))))/B679))</f>
        <v>0</v>
      </c>
    </row>
    <row r="680" customFormat="false" ht="15" hidden="false" customHeight="true" outlineLevel="0" collapsed="false">
      <c r="A680" s="1" t="n">
        <v>42</v>
      </c>
      <c r="B680" s="32" t="n">
        <f aca="false">INDEX(Surface_Engine!$L$12:$L$72,$A680+1)*IF($A680&lt;$Q$636,INDEX(Surface_Engine!$E$12:$E$72,$A680+1),INDEX(Surface_Engine!$E$12:$E$72,$Q$636+1))</f>
        <v>0.0123787614106838</v>
      </c>
      <c r="C680" s="32" t="n">
        <f aca="false">INDEX(Panel_Reserving!$D$8:$D$68,$A680+1)*IF($A680&lt;$Q$636,INDEX(Surface_Engine!$E$12:$E$72,$A680+1),INDEX(Surface_Engine!$E$12:$E$72,$Q$636+1))</f>
        <v>0.030454730349282</v>
      </c>
      <c r="D680" s="32" t="n">
        <f aca="false">INDEX(Surface_Engine!$L$12:$L$72,$A680+1)*IF($A680&lt;$Q$636,INDEX(Surface_Engine!$Y$12:$Y$72,$A680+1),INDEX(Surface_Engine!$Y$12:$Y$72,$Q$636+1))</f>
        <v>0.0109585581423439</v>
      </c>
      <c r="E680" s="32" t="n">
        <f aca="false">INDEX(Surface_Engine!$L$12:$L$72,$A680+1)*IF($A680&lt;$Q$636,INDEX(Surface_Engine!$Z$12:$Z$72,$A680+1),INDEX(Surface_Engine!$Z$12:$Z$72,$Q$636+1))</f>
        <v>0.0139687173494221</v>
      </c>
      <c r="F680" s="48" t="n">
        <f aca="false">B680*(IF($A680&lt;$Q$636,INDEX(Surface_Engine!$D$12:$D$72,$A680+1)+(Surface_Engine!L241*12)*INDEX(Surface_Engine!$F$12:$F$72,$A680+1)-(Surface_Engine!L241*12),1000*12*INDEX(Surface_Engine!$C$12:$C$72,$A680+1)/(1+Assumptions!$B$10)^20+INDEX(Surface_Engine!$D$12:$D$72,$A680+1)))*INDEX(Surface_Engine!$B$12:$B$72,$A680+1)+F681</f>
        <v>154.60534489297</v>
      </c>
      <c r="G680" s="48" t="n">
        <f aca="false">C680*(IF($A680&lt;$Q$636,INDEX(Surface_Engine!$D$12:$D$72,$A680+1)+(Surface_Engine!L241*12)*INDEX(Surface_Engine!$F$12:$F$72,$A680+1)-(Surface_Engine!L241*12),1000*12*INDEX(Surface_Engine!$C$12:$C$72,$A680+1)/(1+Assumptions!$B$10)^20+INDEX(Surface_Engine!$D$12:$D$72,$A680+1)))*INDEX(Surface_Engine!$B$12:$B$72,$A680+1)+G681</f>
        <v>459.938893535791</v>
      </c>
      <c r="H680" s="48" t="n">
        <f aca="false">D680*(IF($A680&lt;$Q$636,INDEX(Surface_Engine!$D$12:$D$72,$A680+1)+(Surface_Engine!L241*12)*INDEX(Surface_Engine!$F$12:$F$72,$A680+1)-(Surface_Engine!L241*12),1000*12*INDEX(Surface_Engine!$C$12:$C$72,$A680+1)/(1+Assumptions!$B$10)^20+INDEX(Surface_Engine!$D$12:$D$72,$A680+1)))*INDEX(Surface_Engine!$B$12:$B$72,$A680+1)+H681</f>
        <v>136.867623901731</v>
      </c>
      <c r="I680" s="48" t="n">
        <f aca="false">E680*(IF($A680&lt;$Q$636,INDEX(Surface_Engine!$D$12:$D$72,$A680+1)+(Surface_Engine!L241*12)*INDEX(Surface_Engine!$F$12:$F$72,$A680+1)-(Surface_Engine!L241*12),1000*12*INDEX(Surface_Engine!$C$12:$C$72,$A680+1)/(1+Assumptions!$B$10)^20+INDEX(Surface_Engine!$D$12:$D$72,$A680+1)))*INDEX(Surface_Engine!$B$12:$B$72,$A680+1)+I681</f>
        <v>174.463202890063</v>
      </c>
      <c r="J680" s="48" t="n">
        <f aca="false">B680*(IF($A680&lt;$Q$636,INDEX(Surface_Engine!$D$12:$D$72,$A680+1)*(1+Assumptions!$B$24)+(Surface_Engine!L241*12)*INDEX(Surface_Engine!$F$12:$F$72,$A680+1)-(Surface_Engine!L241*12),1000*12*INDEX(Surface_Engine!$C$12:$C$72,$A680+1)/(1+Assumptions!$B$10)^20+INDEX(Surface_Engine!$D$12:$D$72,$A680+1)*(1+Assumptions!$B$24)))*INDEX(Surface_Engine!$B$12:$B$72,$A680+1)+J681</f>
        <v>154.796994783907</v>
      </c>
      <c r="K680" s="12" t="n">
        <f aca="false">SQRT((IF(C680&lt;=0,0,MAX(0,(B680/C680)*G680/INDEX(Surface_Engine!$B$12:$B$72,$A680+1)-F680/INDEX(Surface_Engine!$B$12:$B$72,$A680+1))))^2+(MAX(IF(D680&lt;=0,0,MAX(0,(B680/D680)*H680/INDEX(Surface_Engine!$B$12:$B$72,$A680+1)-F680/INDEX(Surface_Engine!$B$12:$B$72,$A680+1))),IF(E680&lt;=0,0,MAX(0,(B680/E680)*I680/INDEX(Surface_Engine!$B$12:$B$72,$A680+1)-F680/INDEX(Surface_Engine!$B$12:$B$72,$A680+1))),IF($A680&lt;$Q$636,MAX(0,-Assumptions!$B$22*(F680/INDEX(Surface_Engine!$B$12:$B$72,$A680+1))),0)))^2+(MAX(0,J680/INDEX(Surface_Engine!$B$12:$B$72,$A680+1)-(F680/INDEX(Surface_Engine!$B$12:$B$72,$A680+1))))^2+2*Assumptions!$B$26*(IF(C680&lt;=0,0,MAX(0,(B680/C680)*G680/INDEX(Surface_Engine!$B$12:$B$72,$A680+1)-F680/INDEX(Surface_Engine!$B$12:$B$72,$A680+1))))*(MAX(IF(D680&lt;=0,0,MAX(0,(B680/D680)*H680/INDEX(Surface_Engine!$B$12:$B$72,$A680+1)-F680/INDEX(Surface_Engine!$B$12:$B$72,$A680+1))),IF(E680&lt;=0,0,MAX(0,(B680/E680)*I680/INDEX(Surface_Engine!$B$12:$B$72,$A680+1)-F680/INDEX(Surface_Engine!$B$12:$B$72,$A680+1))),IF($A680&lt;$Q$636,MAX(0,-Assumptions!$B$22*(F680/INDEX(Surface_Engine!$B$12:$B$72,$A680+1))),0)))+2*Assumptions!$B$27*(IF(C680&lt;=0,0,MAX(0,(B680/C680)*G680/INDEX(Surface_Engine!$B$12:$B$72,$A680+1)-F680/INDEX(Surface_Engine!$B$12:$B$72,$A680+1))))*(MAX(0,J680/INDEX(Surface_Engine!$B$12:$B$72,$A680+1)-(F680/INDEX(Surface_Engine!$B$12:$B$72,$A680+1))))+2*Assumptions!$B$28*(MAX(IF(D680&lt;=0,0,MAX(0,(B680/D680)*H680/INDEX(Surface_Engine!$B$12:$B$72,$A680+1)-F680/INDEX(Surface_Engine!$B$12:$B$72,$A680+1))),IF(E680&lt;=0,0,MAX(0,(B680/E680)*I680/INDEX(Surface_Engine!$B$12:$B$72,$A680+1)-F680/INDEX(Surface_Engine!$B$12:$B$72,$A680+1))),IF($A680&lt;$Q$636,MAX(0,-Assumptions!$B$22*(F680/INDEX(Surface_Engine!$B$12:$B$72,$A680+1))),0)))*(MAX(0,J680/INDEX(Surface_Engine!$B$12:$B$72,$A680+1)-(F680/INDEX(Surface_Engine!$B$12:$B$72,$A680+1)))))</f>
        <v>121.81198741614</v>
      </c>
      <c r="L680" s="48" t="n">
        <f aca="false">K680*INDEX(Surface_Engine!$B$12:$B$72,$A680+1)+L681</f>
        <v>77.4408977026679</v>
      </c>
      <c r="M680" s="48" t="n">
        <f aca="false">M679+B679*(IF($A679&lt;$Q$636,(Surface_Engine!L241*12)-(Surface_Engine!L241*12)*INDEX(Surface_Engine!$F$12:$F$72,$A679+1)-INDEX(Surface_Engine!$D$12:$D$72,$A679+1),-(1000*12*INDEX(Surface_Engine!$C$12:$C$72,$A679+1)/(1+Assumptions!$B$10)^20+INDEX(Surface_Engine!$D$12:$D$72,$A679+1))))*INDEX(Surface_Engine!$B$12:$B$72,$A679+1)</f>
        <v>1306.14404606105</v>
      </c>
      <c r="N680" s="12" t="n">
        <f aca="false">IF(B680&lt;=0,0,MAX(0,(K680+Assumptions!$B$29*L680/INDEX(Surface_Engine!$B$12:$B$72,$A680+1)-(M680/INDEX(Surface_Engine!$B$12:$B$72,$A680+1)-(F680/INDEX(Surface_Engine!$B$12:$B$72,$A680+1))))/B680))</f>
        <v>0</v>
      </c>
    </row>
    <row r="681" customFormat="false" ht="15" hidden="false" customHeight="true" outlineLevel="0" collapsed="false">
      <c r="A681" s="1" t="n">
        <v>43</v>
      </c>
      <c r="B681" s="32" t="n">
        <f aca="false">INDEX(Surface_Engine!$L$12:$L$72,$A681+1)*IF($A681&lt;$Q$636,INDEX(Surface_Engine!$E$12:$E$72,$A681+1),INDEX(Surface_Engine!$E$12:$E$72,$Q$636+1))</f>
        <v>0.00794433704582528</v>
      </c>
      <c r="C681" s="32" t="n">
        <f aca="false">INDEX(Panel_Reserving!$D$8:$D$68,$A681+1)*IF($A681&lt;$Q$636,INDEX(Surface_Engine!$E$12:$E$72,$A681+1),INDEX(Surface_Engine!$E$12:$E$72,$Q$636+1))</f>
        <v>0.0217269299624358</v>
      </c>
      <c r="D681" s="32" t="n">
        <f aca="false">INDEX(Surface_Engine!$L$12:$L$72,$A681+1)*IF($A681&lt;$Q$636,INDEX(Surface_Engine!$Y$12:$Y$72,$A681+1),INDEX(Surface_Engine!$Y$12:$Y$72,$Q$636+1))</f>
        <v>0.00703289097598365</v>
      </c>
      <c r="E681" s="32" t="n">
        <f aca="false">INDEX(Surface_Engine!$L$12:$L$72,$A681+1)*IF($A681&lt;$Q$636,INDEX(Surface_Engine!$Z$12:$Z$72,$A681+1),INDEX(Surface_Engine!$Z$12:$Z$72,$Q$636+1))</f>
        <v>0.00896472555209755</v>
      </c>
      <c r="F681" s="48" t="n">
        <f aca="false">B681*(IF($A681&lt;$Q$636,INDEX(Surface_Engine!$D$12:$D$72,$A681+1)+(Surface_Engine!L241*12)*INDEX(Surface_Engine!$F$12:$F$72,$A681+1)-(Surface_Engine!L241*12),1000*12*INDEX(Surface_Engine!$C$12:$C$72,$A681+1)/(1+Assumptions!$B$10)^20+INDEX(Surface_Engine!$D$12:$D$72,$A681+1)))*INDEX(Surface_Engine!$B$12:$B$72,$A681+1)+F682</f>
        <v>92.7767064413988</v>
      </c>
      <c r="G681" s="48" t="n">
        <f aca="false">C681*(IF($A681&lt;$Q$636,INDEX(Surface_Engine!$D$12:$D$72,$A681+1)+(Surface_Engine!L241*12)*INDEX(Surface_Engine!$F$12:$F$72,$A681+1)-(Surface_Engine!L241*12),1000*12*INDEX(Surface_Engine!$C$12:$C$72,$A681+1)/(1+Assumptions!$B$10)^20+INDEX(Surface_Engine!$D$12:$D$72,$A681+1)))*INDEX(Surface_Engine!$B$12:$B$72,$A681+1)+G682</f>
        <v>307.825572223961</v>
      </c>
      <c r="H681" s="48" t="n">
        <f aca="false">D681*(IF($A681&lt;$Q$636,INDEX(Surface_Engine!$D$12:$D$72,$A681+1)+(Surface_Engine!L241*12)*INDEX(Surface_Engine!$F$12:$F$72,$A681+1)-(Surface_Engine!L241*12),1000*12*INDEX(Surface_Engine!$C$12:$C$72,$A681+1)/(1+Assumptions!$B$10)^20+INDEX(Surface_Engine!$D$12:$D$72,$A681+1)))*INDEX(Surface_Engine!$B$12:$B$72,$A681+1)+H682</f>
        <v>82.1325250614938</v>
      </c>
      <c r="I681" s="48" t="n">
        <f aca="false">E681*(IF($A681&lt;$Q$636,INDEX(Surface_Engine!$D$12:$D$72,$A681+1)+(Surface_Engine!L241*12)*INDEX(Surface_Engine!$F$12:$F$72,$A681+1)-(Surface_Engine!L241*12),1000*12*INDEX(Surface_Engine!$C$12:$C$72,$A681+1)/(1+Assumptions!$B$10)^20+INDEX(Surface_Engine!$D$12:$D$72,$A681+1)))*INDEX(Surface_Engine!$B$12:$B$72,$A681+1)+I682</f>
        <v>104.693155146498</v>
      </c>
      <c r="J681" s="48" t="n">
        <f aca="false">B681*(IF($A681&lt;$Q$636,INDEX(Surface_Engine!$D$12:$D$72,$A681+1)*(1+Assumptions!$B$24)+(Surface_Engine!L241*12)*INDEX(Surface_Engine!$F$12:$F$72,$A681+1)-(Surface_Engine!L241*12),1000*12*INDEX(Surface_Engine!$C$12:$C$72,$A681+1)/(1+Assumptions!$B$10)^20+INDEX(Surface_Engine!$D$12:$D$72,$A681+1)*(1+Assumptions!$B$24)))*INDEX(Surface_Engine!$B$12:$B$72,$A681+1)+J682</f>
        <v>92.8922117291654</v>
      </c>
      <c r="K681" s="12" t="n">
        <f aca="false">SQRT((IF(C681&lt;=0,0,MAX(0,(B681/C681)*G681/INDEX(Surface_Engine!$B$12:$B$72,$A681+1)-F681/INDEX(Surface_Engine!$B$12:$B$72,$A681+1))))^2+(MAX(IF(D681&lt;=0,0,MAX(0,(B681/D681)*H681/INDEX(Surface_Engine!$B$12:$B$72,$A681+1)-F681/INDEX(Surface_Engine!$B$12:$B$72,$A681+1))),IF(E681&lt;=0,0,MAX(0,(B681/E681)*I681/INDEX(Surface_Engine!$B$12:$B$72,$A681+1)-F681/INDEX(Surface_Engine!$B$12:$B$72,$A681+1))),IF($A681&lt;$Q$636,MAX(0,-Assumptions!$B$22*(F681/INDEX(Surface_Engine!$B$12:$B$72,$A681+1))),0)))^2+(MAX(0,J681/INDEX(Surface_Engine!$B$12:$B$72,$A681+1)-(F681/INDEX(Surface_Engine!$B$12:$B$72,$A681+1))))^2+2*Assumptions!$B$26*(IF(C681&lt;=0,0,MAX(0,(B681/C681)*G681/INDEX(Surface_Engine!$B$12:$B$72,$A681+1)-F681/INDEX(Surface_Engine!$B$12:$B$72,$A681+1))))*(MAX(IF(D681&lt;=0,0,MAX(0,(B681/D681)*H681/INDEX(Surface_Engine!$B$12:$B$72,$A681+1)-F681/INDEX(Surface_Engine!$B$12:$B$72,$A681+1))),IF(E681&lt;=0,0,MAX(0,(B681/E681)*I681/INDEX(Surface_Engine!$B$12:$B$72,$A681+1)-F681/INDEX(Surface_Engine!$B$12:$B$72,$A681+1))),IF($A681&lt;$Q$636,MAX(0,-Assumptions!$B$22*(F681/INDEX(Surface_Engine!$B$12:$B$72,$A681+1))),0)))+2*Assumptions!$B$27*(IF(C681&lt;=0,0,MAX(0,(B681/C681)*G681/INDEX(Surface_Engine!$B$12:$B$72,$A681+1)-F681/INDEX(Surface_Engine!$B$12:$B$72,$A681+1))))*(MAX(0,J681/INDEX(Surface_Engine!$B$12:$B$72,$A681+1)-(F681/INDEX(Surface_Engine!$B$12:$B$72,$A681+1))))+2*Assumptions!$B$28*(MAX(IF(D681&lt;=0,0,MAX(0,(B681/D681)*H681/INDEX(Surface_Engine!$B$12:$B$72,$A681+1)-F681/INDEX(Surface_Engine!$B$12:$B$72,$A681+1))),IF(E681&lt;=0,0,MAX(0,(B681/E681)*I681/INDEX(Surface_Engine!$B$12:$B$72,$A681+1)-F681/INDEX(Surface_Engine!$B$12:$B$72,$A681+1))),IF($A681&lt;$Q$636,MAX(0,-Assumptions!$B$22*(F681/INDEX(Surface_Engine!$B$12:$B$72,$A681+1))),0)))*(MAX(0,J681/INDEX(Surface_Engine!$B$12:$B$72,$A681+1)-(F681/INDEX(Surface_Engine!$B$12:$B$72,$A681+1)))))</f>
        <v>76.9373974290278</v>
      </c>
      <c r="L681" s="48" t="n">
        <f aca="false">K681*INDEX(Surface_Engine!$B$12:$B$72,$A681+1)+L682</f>
        <v>45.0490467498279</v>
      </c>
      <c r="M681" s="48" t="n">
        <f aca="false">M680+B680*(IF($A680&lt;$Q$636,(Surface_Engine!L241*12)-(Surface_Engine!L241*12)*INDEX(Surface_Engine!$F$12:$F$72,$A680+1)-INDEX(Surface_Engine!$D$12:$D$72,$A680+1),-(1000*12*INDEX(Surface_Engine!$C$12:$C$72,$A680+1)/(1+Assumptions!$B$10)^20+INDEX(Surface_Engine!$D$12:$D$72,$A680+1))))*INDEX(Surface_Engine!$B$12:$B$72,$A680+1)</f>
        <v>1244.31540760948</v>
      </c>
      <c r="N681" s="12" t="n">
        <f aca="false">IF(B681&lt;=0,0,MAX(0,(K681+Assumptions!$B$29*L681/INDEX(Surface_Engine!$B$12:$B$72,$A681+1)-(M681/INDEX(Surface_Engine!$B$12:$B$72,$A681+1)-(F681/INDEX(Surface_Engine!$B$12:$B$72,$A681+1))))/B681))</f>
        <v>0</v>
      </c>
    </row>
    <row r="682" customFormat="false" ht="15" hidden="false" customHeight="true" outlineLevel="0" collapsed="false">
      <c r="A682" s="1" t="n">
        <v>44</v>
      </c>
      <c r="B682" s="32" t="n">
        <f aca="false">INDEX(Surface_Engine!$L$12:$L$72,$A682+1)*IF($A682&lt;$Q$636,INDEX(Surface_Engine!$E$12:$E$72,$A682+1),INDEX(Surface_Engine!$E$12:$E$72,$Q$636+1))</f>
        <v>0.00489381500998983</v>
      </c>
      <c r="C682" s="32" t="n">
        <f aca="false">INDEX(Panel_Reserving!$D$8:$D$68,$A682+1)*IF($A682&lt;$Q$636,INDEX(Surface_Engine!$E$12:$E$72,$A682+1),INDEX(Surface_Engine!$E$12:$E$72,$Q$636+1))</f>
        <v>0.0150526432861128</v>
      </c>
      <c r="D682" s="32" t="n">
        <f aca="false">INDEX(Surface_Engine!$L$12:$L$72,$A682+1)*IF($A682&lt;$Q$636,INDEX(Surface_Engine!$Y$12:$Y$72,$A682+1),INDEX(Surface_Engine!$Y$12:$Y$72,$Q$636+1))</f>
        <v>0.00433235236916052</v>
      </c>
      <c r="E682" s="32" t="n">
        <f aca="false">INDEX(Surface_Engine!$L$12:$L$72,$A682+1)*IF($A682&lt;$Q$636,INDEX(Surface_Engine!$Z$12:$Z$72,$A682+1),INDEX(Surface_Engine!$Z$12:$Z$72,$Q$636+1))</f>
        <v>0.0055223876094669</v>
      </c>
      <c r="F682" s="48" t="n">
        <f aca="false">B682*(IF($A682&lt;$Q$636,INDEX(Surface_Engine!$D$12:$D$72,$A682+1)+(Surface_Engine!L241*12)*INDEX(Surface_Engine!$F$12:$F$72,$A682+1)-(Surface_Engine!L241*12),1000*12*INDEX(Surface_Engine!$C$12:$C$72,$A682+1)/(1+Assumptions!$B$10)^20+INDEX(Surface_Engine!$D$12:$D$72,$A682+1)))*INDEX(Surface_Engine!$B$12:$B$72,$A682+1)+F683</f>
        <v>53.5900583972334</v>
      </c>
      <c r="G682" s="48" t="n">
        <f aca="false">C682*(IF($A682&lt;$Q$636,INDEX(Surface_Engine!$D$12:$D$72,$A682+1)+(Surface_Engine!L241*12)*INDEX(Surface_Engine!$F$12:$F$72,$A682+1)-(Surface_Engine!L241*12),1000*12*INDEX(Surface_Engine!$C$12:$C$72,$A682+1)/(1+Assumptions!$B$10)^20+INDEX(Surface_Engine!$D$12:$D$72,$A682+1)))*INDEX(Surface_Engine!$B$12:$B$72,$A682+1)+G683</f>
        <v>200.654193088477</v>
      </c>
      <c r="H682" s="48" t="n">
        <f aca="false">D682*(IF($A682&lt;$Q$636,INDEX(Surface_Engine!$D$12:$D$72,$A682+1)+(Surface_Engine!L241*12)*INDEX(Surface_Engine!$F$12:$F$72,$A682+1)-(Surface_Engine!L241*12),1000*12*INDEX(Surface_Engine!$C$12:$C$72,$A682+1)/(1+Assumptions!$B$10)^20+INDEX(Surface_Engine!$D$12:$D$72,$A682+1)))*INDEX(Surface_Engine!$B$12:$B$72,$A682+1)+H683</f>
        <v>47.4417230701957</v>
      </c>
      <c r="I682" s="48" t="n">
        <f aca="false">E682*(IF($A682&lt;$Q$636,INDEX(Surface_Engine!$D$12:$D$72,$A682+1)+(Surface_Engine!L241*12)*INDEX(Surface_Engine!$F$12:$F$72,$A682+1)-(Surface_Engine!L241*12),1000*12*INDEX(Surface_Engine!$C$12:$C$72,$A682+1)/(1+Assumptions!$B$10)^20+INDEX(Surface_Engine!$D$12:$D$72,$A682+1)))*INDEX(Surface_Engine!$B$12:$B$72,$A682+1)+I683</f>
        <v>60.4732859495855</v>
      </c>
      <c r="J682" s="48" t="n">
        <f aca="false">B682*(IF($A682&lt;$Q$636,INDEX(Surface_Engine!$D$12:$D$72,$A682+1)*(1+Assumptions!$B$24)+(Surface_Engine!L241*12)*INDEX(Surface_Engine!$F$12:$F$72,$A682+1)-(Surface_Engine!L241*12),1000*12*INDEX(Surface_Engine!$C$12:$C$72,$A682+1)/(1+Assumptions!$B$10)^20+INDEX(Surface_Engine!$D$12:$D$72,$A682+1)*(1+Assumptions!$B$24)))*INDEX(Surface_Engine!$B$12:$B$72,$A682+1)+J683</f>
        <v>53.6570700167273</v>
      </c>
      <c r="K682" s="12" t="n">
        <f aca="false">SQRT((IF(C682&lt;=0,0,MAX(0,(B682/C682)*G682/INDEX(Surface_Engine!$B$12:$B$72,$A682+1)-F682/INDEX(Surface_Engine!$B$12:$B$72,$A682+1))))^2+(MAX(IF(D682&lt;=0,0,MAX(0,(B682/D682)*H682/INDEX(Surface_Engine!$B$12:$B$72,$A682+1)-F682/INDEX(Surface_Engine!$B$12:$B$72,$A682+1))),IF(E682&lt;=0,0,MAX(0,(B682/E682)*I682/INDEX(Surface_Engine!$B$12:$B$72,$A682+1)-F682/INDEX(Surface_Engine!$B$12:$B$72,$A682+1))),IF($A682&lt;$Q$636,MAX(0,-Assumptions!$B$22*(F682/INDEX(Surface_Engine!$B$12:$B$72,$A682+1))),0)))^2+(MAX(0,J682/INDEX(Surface_Engine!$B$12:$B$72,$A682+1)-(F682/INDEX(Surface_Engine!$B$12:$B$72,$A682+1))))^2+2*Assumptions!$B$26*(IF(C682&lt;=0,0,MAX(0,(B682/C682)*G682/INDEX(Surface_Engine!$B$12:$B$72,$A682+1)-F682/INDEX(Surface_Engine!$B$12:$B$72,$A682+1))))*(MAX(IF(D682&lt;=0,0,MAX(0,(B682/D682)*H682/INDEX(Surface_Engine!$B$12:$B$72,$A682+1)-F682/INDEX(Surface_Engine!$B$12:$B$72,$A682+1))),IF(E682&lt;=0,0,MAX(0,(B682/E682)*I682/INDEX(Surface_Engine!$B$12:$B$72,$A682+1)-F682/INDEX(Surface_Engine!$B$12:$B$72,$A682+1))),IF($A682&lt;$Q$636,MAX(0,-Assumptions!$B$22*(F682/INDEX(Surface_Engine!$B$12:$B$72,$A682+1))),0)))+2*Assumptions!$B$27*(IF(C682&lt;=0,0,MAX(0,(B682/C682)*G682/INDEX(Surface_Engine!$B$12:$B$72,$A682+1)-F682/INDEX(Surface_Engine!$B$12:$B$72,$A682+1))))*(MAX(0,J682/INDEX(Surface_Engine!$B$12:$B$72,$A682+1)-(F682/INDEX(Surface_Engine!$B$12:$B$72,$A682+1))))+2*Assumptions!$B$28*(MAX(IF(D682&lt;=0,0,MAX(0,(B682/D682)*H682/INDEX(Surface_Engine!$B$12:$B$72,$A682+1)-F682/INDEX(Surface_Engine!$B$12:$B$72,$A682+1))),IF(E682&lt;=0,0,MAX(0,(B682/E682)*I682/INDEX(Surface_Engine!$B$12:$B$72,$A682+1)-F682/INDEX(Surface_Engine!$B$12:$B$72,$A682+1))),IF($A682&lt;$Q$636,MAX(0,-Assumptions!$B$22*(F682/INDEX(Surface_Engine!$B$12:$B$72,$A682+1))),0)))*(MAX(0,J682/INDEX(Surface_Engine!$B$12:$B$72,$A682+1)-(F682/INDEX(Surface_Engine!$B$12:$B$72,$A682+1)))))</f>
        <v>46.7718258309948</v>
      </c>
      <c r="L682" s="48" t="n">
        <f aca="false">K682*INDEX(Surface_Engine!$B$12:$B$72,$A682+1)+L683</f>
        <v>25.2417684730981</v>
      </c>
      <c r="M682" s="48" t="n">
        <f aca="false">M681+B681*(IF($A681&lt;$Q$636,(Surface_Engine!L241*12)-(Surface_Engine!L241*12)*INDEX(Surface_Engine!$F$12:$F$72,$A681+1)-INDEX(Surface_Engine!$D$12:$D$72,$A681+1),-(1000*12*INDEX(Surface_Engine!$C$12:$C$72,$A681+1)/(1+Assumptions!$B$10)^20+INDEX(Surface_Engine!$D$12:$D$72,$A681+1))))*INDEX(Surface_Engine!$B$12:$B$72,$A681+1)</f>
        <v>1205.12875956531</v>
      </c>
      <c r="N682" s="12" t="n">
        <f aca="false">IF(B682&lt;=0,0,MAX(0,(K682+Assumptions!$B$29*L682/INDEX(Surface_Engine!$B$12:$B$72,$A682+1)-(M682/INDEX(Surface_Engine!$B$12:$B$72,$A682+1)-(F682/INDEX(Surface_Engine!$B$12:$B$72,$A682+1))))/B682))</f>
        <v>0</v>
      </c>
    </row>
    <row r="683" customFormat="false" ht="15" hidden="false" customHeight="true" outlineLevel="0" collapsed="false">
      <c r="A683" s="1" t="n">
        <v>45</v>
      </c>
      <c r="B683" s="32" t="n">
        <f aca="false">INDEX(Surface_Engine!$L$12:$L$72,$A683+1)*IF($A683&lt;$Q$636,INDEX(Surface_Engine!$E$12:$E$72,$A683+1),INDEX(Surface_Engine!$E$12:$E$72,$Q$636+1))</f>
        <v>0.00288044541901708</v>
      </c>
      <c r="C683" s="32" t="n">
        <f aca="false">INDEX(Panel_Reserving!$D$8:$D$68,$A683+1)*IF($A683&lt;$Q$636,INDEX(Surface_Engine!$E$12:$E$72,$A683+1),INDEX(Surface_Engine!$E$12:$E$72,$Q$636+1))</f>
        <v>0.0100983842151582</v>
      </c>
      <c r="D683" s="32" t="n">
        <f aca="false">INDEX(Surface_Engine!$L$12:$L$72,$A683+1)*IF($A683&lt;$Q$636,INDEX(Surface_Engine!$Y$12:$Y$72,$A683+1),INDEX(Surface_Engine!$Y$12:$Y$72,$Q$636+1))</f>
        <v>0.00254997471499073</v>
      </c>
      <c r="E683" s="32" t="n">
        <f aca="false">INDEX(Surface_Engine!$L$12:$L$72,$A683+1)*IF($A683&lt;$Q$636,INDEX(Surface_Engine!$Z$12:$Z$72,$A683+1),INDEX(Surface_Engine!$Z$12:$Z$72,$Q$636+1))</f>
        <v>0.00325041630287505</v>
      </c>
      <c r="F683" s="48" t="n">
        <f aca="false">B683*(IF($A683&lt;$Q$636,INDEX(Surface_Engine!$D$12:$D$72,$A683+1)+(Surface_Engine!L241*12)*INDEX(Surface_Engine!$F$12:$F$72,$A683+1)-(Surface_Engine!L241*12),1000*12*INDEX(Surface_Engine!$C$12:$C$72,$A683+1)/(1+Assumptions!$B$10)^20+INDEX(Surface_Engine!$D$12:$D$72,$A683+1)))*INDEX(Surface_Engine!$B$12:$B$72,$A683+1)+F684</f>
        <v>29.7413742957794</v>
      </c>
      <c r="G683" s="48" t="n">
        <f aca="false">C683*(IF($A683&lt;$Q$636,INDEX(Surface_Engine!$D$12:$D$72,$A683+1)+(Surface_Engine!L241*12)*INDEX(Surface_Engine!$F$12:$F$72,$A683+1)-(Surface_Engine!L241*12),1000*12*INDEX(Surface_Engine!$C$12:$C$72,$A683+1)/(1+Assumptions!$B$10)^20+INDEX(Surface_Engine!$D$12:$D$72,$A683+1)))*INDEX(Surface_Engine!$B$12:$B$72,$A683+1)+G684</f>
        <v>127.299206459524</v>
      </c>
      <c r="H683" s="48" t="n">
        <f aca="false">D683*(IF($A683&lt;$Q$636,INDEX(Surface_Engine!$D$12:$D$72,$A683+1)+(Surface_Engine!L241*12)*INDEX(Surface_Engine!$F$12:$F$72,$A683+1)-(Surface_Engine!L241*12),1000*12*INDEX(Surface_Engine!$C$12:$C$72,$A683+1)/(1+Assumptions!$B$10)^20+INDEX(Surface_Engine!$D$12:$D$72,$A683+1)))*INDEX(Surface_Engine!$B$12:$B$72,$A683+1)+H684</f>
        <v>26.3291753221946</v>
      </c>
      <c r="I683" s="48" t="n">
        <f aca="false">E683*(IF($A683&lt;$Q$636,INDEX(Surface_Engine!$D$12:$D$72,$A683+1)+(Surface_Engine!L241*12)*INDEX(Surface_Engine!$F$12:$F$72,$A683+1)-(Surface_Engine!L241*12),1000*12*INDEX(Surface_Engine!$C$12:$C$72,$A683+1)/(1+Assumptions!$B$10)^20+INDEX(Surface_Engine!$D$12:$D$72,$A683+1)))*INDEX(Surface_Engine!$B$12:$B$72,$A683+1)+I684</f>
        <v>33.5614232585941</v>
      </c>
      <c r="J683" s="48" t="n">
        <f aca="false">B683*(IF($A683&lt;$Q$636,INDEX(Surface_Engine!$D$12:$D$72,$A683+1)*(1+Assumptions!$B$24)+(Surface_Engine!L241*12)*INDEX(Surface_Engine!$F$12:$F$72,$A683+1)-(Surface_Engine!L241*12),1000*12*INDEX(Surface_Engine!$C$12:$C$72,$A683+1)/(1+Assumptions!$B$10)^20+INDEX(Surface_Engine!$D$12:$D$72,$A683+1)*(1+Assumptions!$B$24)))*INDEX(Surface_Engine!$B$12:$B$72,$A683+1)+J684</f>
        <v>29.7787301803425</v>
      </c>
      <c r="K683" s="12" t="n">
        <f aca="false">SQRT((IF(C683&lt;=0,0,MAX(0,(B683/C683)*G683/INDEX(Surface_Engine!$B$12:$B$72,$A683+1)-F683/INDEX(Surface_Engine!$B$12:$B$72,$A683+1))))^2+(MAX(IF(D683&lt;=0,0,MAX(0,(B683/D683)*H683/INDEX(Surface_Engine!$B$12:$B$72,$A683+1)-F683/INDEX(Surface_Engine!$B$12:$B$72,$A683+1))),IF(E683&lt;=0,0,MAX(0,(B683/E683)*I683/INDEX(Surface_Engine!$B$12:$B$72,$A683+1)-F683/INDEX(Surface_Engine!$B$12:$B$72,$A683+1))),IF($A683&lt;$Q$636,MAX(0,-Assumptions!$B$22*(F683/INDEX(Surface_Engine!$B$12:$B$72,$A683+1))),0)))^2+(MAX(0,J683/INDEX(Surface_Engine!$B$12:$B$72,$A683+1)-(F683/INDEX(Surface_Engine!$B$12:$B$72,$A683+1))))^2+2*Assumptions!$B$26*(IF(C683&lt;=0,0,MAX(0,(B683/C683)*G683/INDEX(Surface_Engine!$B$12:$B$72,$A683+1)-F683/INDEX(Surface_Engine!$B$12:$B$72,$A683+1))))*(MAX(IF(D683&lt;=0,0,MAX(0,(B683/D683)*H683/INDEX(Surface_Engine!$B$12:$B$72,$A683+1)-F683/INDEX(Surface_Engine!$B$12:$B$72,$A683+1))),IF(E683&lt;=0,0,MAX(0,(B683/E683)*I683/INDEX(Surface_Engine!$B$12:$B$72,$A683+1)-F683/INDEX(Surface_Engine!$B$12:$B$72,$A683+1))),IF($A683&lt;$Q$636,MAX(0,-Assumptions!$B$22*(F683/INDEX(Surface_Engine!$B$12:$B$72,$A683+1))),0)))+2*Assumptions!$B$27*(IF(C683&lt;=0,0,MAX(0,(B683/C683)*G683/INDEX(Surface_Engine!$B$12:$B$72,$A683+1)-F683/INDEX(Surface_Engine!$B$12:$B$72,$A683+1))))*(MAX(0,J683/INDEX(Surface_Engine!$B$12:$B$72,$A683+1)-(F683/INDEX(Surface_Engine!$B$12:$B$72,$A683+1))))+2*Assumptions!$B$28*(MAX(IF(D683&lt;=0,0,MAX(0,(B683/D683)*H683/INDEX(Surface_Engine!$B$12:$B$72,$A683+1)-F683/INDEX(Surface_Engine!$B$12:$B$72,$A683+1))),IF(E683&lt;=0,0,MAX(0,(B683/E683)*I683/INDEX(Surface_Engine!$B$12:$B$72,$A683+1)-F683/INDEX(Surface_Engine!$B$12:$B$72,$A683+1))),IF($A683&lt;$Q$636,MAX(0,-Assumptions!$B$22*(F683/INDEX(Surface_Engine!$B$12:$B$72,$A683+1))),0)))*(MAX(0,J683/INDEX(Surface_Engine!$B$12:$B$72,$A683+1)-(F683/INDEX(Surface_Engine!$B$12:$B$72,$A683+1)))))</f>
        <v>27.2538926687674</v>
      </c>
      <c r="L683" s="48" t="n">
        <f aca="false">K683*INDEX(Surface_Engine!$B$12:$B$72,$A683+1)+L684</f>
        <v>13.5795402319877</v>
      </c>
      <c r="M683" s="48" t="n">
        <f aca="false">M682+B682*(IF($A682&lt;$Q$636,(Surface_Engine!L241*12)-(Surface_Engine!L241*12)*INDEX(Surface_Engine!$F$12:$F$72,$A682+1)-INDEX(Surface_Engine!$D$12:$D$72,$A682+1),-(1000*12*INDEX(Surface_Engine!$C$12:$C$72,$A682+1)/(1+Assumptions!$B$10)^20+INDEX(Surface_Engine!$D$12:$D$72,$A682+1))))*INDEX(Surface_Engine!$B$12:$B$72,$A682+1)</f>
        <v>1181.28007546386</v>
      </c>
      <c r="N683" s="12" t="n">
        <f aca="false">IF(B683&lt;=0,0,MAX(0,(K683+Assumptions!$B$29*L683/INDEX(Surface_Engine!$B$12:$B$72,$A683+1)-(M683/INDEX(Surface_Engine!$B$12:$B$72,$A683+1)-(F683/INDEX(Surface_Engine!$B$12:$B$72,$A683+1))))/B683))</f>
        <v>0</v>
      </c>
    </row>
    <row r="684" customFormat="false" ht="15" hidden="false" customHeight="true" outlineLevel="0" collapsed="false">
      <c r="A684" s="1" t="n">
        <v>46</v>
      </c>
      <c r="B684" s="32" t="n">
        <f aca="false">INDEX(Surface_Engine!$L$12:$L$72,$A684+1)*IF($A684&lt;$Q$636,INDEX(Surface_Engine!$E$12:$E$72,$A684+1),INDEX(Surface_Engine!$E$12:$E$72,$Q$636+1))</f>
        <v>0.00161134737426131</v>
      </c>
      <c r="C684" s="32" t="n">
        <f aca="false">INDEX(Panel_Reserving!$D$8:$D$68,$A684+1)*IF($A684&lt;$Q$636,INDEX(Surface_Engine!$E$12:$E$72,$A684+1),INDEX(Surface_Engine!$E$12:$E$72,$Q$636+1))</f>
        <v>0.00653897924867964</v>
      </c>
      <c r="D684" s="32" t="n">
        <f aca="false">INDEX(Surface_Engine!$L$12:$L$72,$A684+1)*IF($A684&lt;$Q$636,INDEX(Surface_Engine!$Y$12:$Y$72,$A684+1),INDEX(Surface_Engine!$Y$12:$Y$72,$Q$636+1))</f>
        <v>0.00142647905574102</v>
      </c>
      <c r="E684" s="32" t="n">
        <f aca="false">INDEX(Surface_Engine!$L$12:$L$72,$A684+1)*IF($A684&lt;$Q$636,INDEX(Surface_Engine!$Z$12:$Z$72,$A684+1),INDEX(Surface_Engine!$Z$12:$Z$72,$Q$636+1))</f>
        <v>0.00181831245275986</v>
      </c>
      <c r="F684" s="48" t="n">
        <f aca="false">B684*(IF($A684&lt;$Q$636,INDEX(Surface_Engine!$D$12:$D$72,$A684+1)+(Surface_Engine!L241*12)*INDEX(Surface_Engine!$F$12:$F$72,$A684+1)-(Surface_Engine!L241*12),1000*12*INDEX(Surface_Engine!$C$12:$C$72,$A684+1)/(1+Assumptions!$B$10)^20+INDEX(Surface_Engine!$D$12:$D$72,$A684+1)))*INDEX(Surface_Engine!$B$12:$B$72,$A684+1)+F685</f>
        <v>15.8797125736298</v>
      </c>
      <c r="G684" s="48" t="n">
        <f aca="false">C684*(IF($A684&lt;$Q$636,INDEX(Surface_Engine!$D$12:$D$72,$A684+1)+(Surface_Engine!L241*12)*INDEX(Surface_Engine!$F$12:$F$72,$A684+1)-(Surface_Engine!L241*12),1000*12*INDEX(Surface_Engine!$C$12:$C$72,$A684+1)/(1+Assumptions!$B$10)^20+INDEX(Surface_Engine!$D$12:$D$72,$A684+1)))*INDEX(Surface_Engine!$B$12:$B$72,$A684+1)+G685</f>
        <v>78.7024217377407</v>
      </c>
      <c r="H684" s="48" t="n">
        <f aca="false">D684*(IF($A684&lt;$Q$636,INDEX(Surface_Engine!$D$12:$D$72,$A684+1)+(Surface_Engine!L241*12)*INDEX(Surface_Engine!$F$12:$F$72,$A684+1)-(Surface_Engine!L241*12),1000*12*INDEX(Surface_Engine!$C$12:$C$72,$A684+1)/(1+Assumptions!$B$10)^20+INDEX(Surface_Engine!$D$12:$D$72,$A684+1)))*INDEX(Surface_Engine!$B$12:$B$72,$A684+1)+H685</f>
        <v>14.0578485802012</v>
      </c>
      <c r="I684" s="48" t="n">
        <f aca="false">E684*(IF($A684&lt;$Q$636,INDEX(Surface_Engine!$D$12:$D$72,$A684+1)+(Surface_Engine!L241*12)*INDEX(Surface_Engine!$F$12:$F$72,$A684+1)-(Surface_Engine!L241*12),1000*12*INDEX(Surface_Engine!$C$12:$C$72,$A684+1)/(1+Assumptions!$B$10)^20+INDEX(Surface_Engine!$D$12:$D$72,$A684+1)))*INDEX(Surface_Engine!$B$12:$B$72,$A684+1)+I685</f>
        <v>17.9193385486573</v>
      </c>
      <c r="J684" s="48" t="n">
        <f aca="false">B684*(IF($A684&lt;$Q$636,INDEX(Surface_Engine!$D$12:$D$72,$A684+1)*(1+Assumptions!$B$24)+(Surface_Engine!L241*12)*INDEX(Surface_Engine!$F$12:$F$72,$A684+1)-(Surface_Engine!L241*12),1000*12*INDEX(Surface_Engine!$C$12:$C$72,$A684+1)/(1+Assumptions!$B$10)^20+INDEX(Surface_Engine!$D$12:$D$72,$A684+1)*(1+Assumptions!$B$24)))*INDEX(Surface_Engine!$B$12:$B$72,$A684+1)+J685</f>
        <v>15.8997481032312</v>
      </c>
      <c r="K684" s="12" t="n">
        <f aca="false">SQRT((IF(C684&lt;=0,0,MAX(0,(B684/C684)*G684/INDEX(Surface_Engine!$B$12:$B$72,$A684+1)-F684/INDEX(Surface_Engine!$B$12:$B$72,$A684+1))))^2+(MAX(IF(D684&lt;=0,0,MAX(0,(B684/D684)*H684/INDEX(Surface_Engine!$B$12:$B$72,$A684+1)-F684/INDEX(Surface_Engine!$B$12:$B$72,$A684+1))),IF(E684&lt;=0,0,MAX(0,(B684/E684)*I684/INDEX(Surface_Engine!$B$12:$B$72,$A684+1)-F684/INDEX(Surface_Engine!$B$12:$B$72,$A684+1))),IF($A684&lt;$Q$636,MAX(0,-Assumptions!$B$22*(F684/INDEX(Surface_Engine!$B$12:$B$72,$A684+1))),0)))^2+(MAX(0,J684/INDEX(Surface_Engine!$B$12:$B$72,$A684+1)-(F684/INDEX(Surface_Engine!$B$12:$B$72,$A684+1))))^2+2*Assumptions!$B$26*(IF(C684&lt;=0,0,MAX(0,(B684/C684)*G684/INDEX(Surface_Engine!$B$12:$B$72,$A684+1)-F684/INDEX(Surface_Engine!$B$12:$B$72,$A684+1))))*(MAX(IF(D684&lt;=0,0,MAX(0,(B684/D684)*H684/INDEX(Surface_Engine!$B$12:$B$72,$A684+1)-F684/INDEX(Surface_Engine!$B$12:$B$72,$A684+1))),IF(E684&lt;=0,0,MAX(0,(B684/E684)*I684/INDEX(Surface_Engine!$B$12:$B$72,$A684+1)-F684/INDEX(Surface_Engine!$B$12:$B$72,$A684+1))),IF($A684&lt;$Q$636,MAX(0,-Assumptions!$B$22*(F684/INDEX(Surface_Engine!$B$12:$B$72,$A684+1))),0)))+2*Assumptions!$B$27*(IF(C684&lt;=0,0,MAX(0,(B684/C684)*G684/INDEX(Surface_Engine!$B$12:$B$72,$A684+1)-F684/INDEX(Surface_Engine!$B$12:$B$72,$A684+1))))*(MAX(0,J684/INDEX(Surface_Engine!$B$12:$B$72,$A684+1)-(F684/INDEX(Surface_Engine!$B$12:$B$72,$A684+1))))+2*Assumptions!$B$28*(MAX(IF(D684&lt;=0,0,MAX(0,(B684/D684)*H684/INDEX(Surface_Engine!$B$12:$B$72,$A684+1)-F684/INDEX(Surface_Engine!$B$12:$B$72,$A684+1))),IF(E684&lt;=0,0,MAX(0,(B684/E684)*I684/INDEX(Surface_Engine!$B$12:$B$72,$A684+1)-F684/INDEX(Surface_Engine!$B$12:$B$72,$A684+1))),IF($A684&lt;$Q$636,MAX(0,-Assumptions!$B$22*(F684/INDEX(Surface_Engine!$B$12:$B$72,$A684+1))),0)))*(MAX(0,J684/INDEX(Surface_Engine!$B$12:$B$72,$A684+1)-(F684/INDEX(Surface_Engine!$B$12:$B$72,$A684+1)))))</f>
        <v>15.0544117273373</v>
      </c>
      <c r="L684" s="48" t="n">
        <f aca="false">K684*INDEX(Surface_Engine!$B$12:$B$72,$A684+1)+L685</f>
        <v>7.00087352969893</v>
      </c>
      <c r="M684" s="48" t="n">
        <f aca="false">M683+B683*(IF($A683&lt;$Q$636,(Surface_Engine!L241*12)-(Surface_Engine!L241*12)*INDEX(Surface_Engine!$F$12:$F$72,$A683+1)-INDEX(Surface_Engine!$D$12:$D$72,$A683+1),-(1000*12*INDEX(Surface_Engine!$C$12:$C$72,$A683+1)/(1+Assumptions!$B$10)^20+INDEX(Surface_Engine!$D$12:$D$72,$A683+1))))*INDEX(Surface_Engine!$B$12:$B$72,$A683+1)</f>
        <v>1167.41841374171</v>
      </c>
      <c r="N684" s="12" t="n">
        <f aca="false">IF(B684&lt;=0,0,MAX(0,(K684+Assumptions!$B$29*L684/INDEX(Surface_Engine!$B$12:$B$72,$A684+1)-(M684/INDEX(Surface_Engine!$B$12:$B$72,$A684+1)-(F684/INDEX(Surface_Engine!$B$12:$B$72,$A684+1))))/B684))</f>
        <v>0</v>
      </c>
    </row>
    <row r="685" customFormat="false" ht="15" hidden="false" customHeight="true" outlineLevel="0" collapsed="false">
      <c r="A685" s="1" t="n">
        <v>47</v>
      </c>
      <c r="B685" s="32" t="n">
        <f aca="false">INDEX(Surface_Engine!$L$12:$L$72,$A685+1)*IF($A685&lt;$Q$636,INDEX(Surface_Engine!$E$12:$E$72,$A685+1),INDEX(Surface_Engine!$E$12:$E$72,$Q$636+1))</f>
        <v>0.000872966552377739</v>
      </c>
      <c r="C685" s="32" t="n">
        <f aca="false">INDEX(Panel_Reserving!$D$8:$D$68,$A685+1)*IF($A685&lt;$Q$636,INDEX(Surface_Engine!$E$12:$E$72,$A685+1),INDEX(Surface_Engine!$E$12:$E$72,$Q$636+1))</f>
        <v>0.00414185150376587</v>
      </c>
      <c r="D685" s="32" t="n">
        <f aca="false">INDEX(Surface_Engine!$L$12:$L$72,$A685+1)*IF($A685&lt;$Q$636,INDEX(Surface_Engine!$Y$12:$Y$72,$A685+1),INDEX(Surface_Engine!$Y$12:$Y$72,$Q$636+1))</f>
        <v>0.000772811948075546</v>
      </c>
      <c r="E685" s="32" t="n">
        <f aca="false">INDEX(Surface_Engine!$L$12:$L$72,$A685+1)*IF($A685&lt;$Q$636,INDEX(Surface_Engine!$Z$12:$Z$72,$A685+1),INDEX(Surface_Engine!$Z$12:$Z$72,$Q$636+1))</f>
        <v>0.000985092338490309</v>
      </c>
      <c r="F685" s="48" t="n">
        <f aca="false">B685*(IF($A685&lt;$Q$636,INDEX(Surface_Engine!$D$12:$D$72,$A685+1)+(Surface_Engine!L241*12)*INDEX(Surface_Engine!$F$12:$F$72,$A685+1)-(Surface_Engine!L241*12),1000*12*INDEX(Surface_Engine!$C$12:$C$72,$A685+1)/(1+Assumptions!$B$10)^20+INDEX(Surface_Engine!$D$12:$D$72,$A685+1)))*INDEX(Surface_Engine!$B$12:$B$72,$A685+1)+F686</f>
        <v>8.21915360111685</v>
      </c>
      <c r="G685" s="48" t="n">
        <f aca="false">C685*(IF($A685&lt;$Q$636,INDEX(Surface_Engine!$D$12:$D$72,$A685+1)+(Surface_Engine!L241*12)*INDEX(Surface_Engine!$F$12:$F$72,$A685+1)-(Surface_Engine!L241*12),1000*12*INDEX(Surface_Engine!$C$12:$C$72,$A685+1)/(1+Assumptions!$B$10)^20+INDEX(Surface_Engine!$D$12:$D$72,$A685+1)))*INDEX(Surface_Engine!$B$12:$B$72,$A685+1)+G686</f>
        <v>47.6152477647714</v>
      </c>
      <c r="H685" s="48" t="n">
        <f aca="false">D685*(IF($A685&lt;$Q$636,INDEX(Surface_Engine!$D$12:$D$72,$A685+1)+(Surface_Engine!L241*12)*INDEX(Surface_Engine!$F$12:$F$72,$A685+1)-(Surface_Engine!L241*12),1000*12*INDEX(Surface_Engine!$C$12:$C$72,$A685+1)/(1+Assumptions!$B$10)^20+INDEX(Surface_Engine!$D$12:$D$72,$A685+1)))*INDEX(Surface_Engine!$B$12:$B$72,$A685+1)+H686</f>
        <v>7.27617809492288</v>
      </c>
      <c r="I685" s="48" t="n">
        <f aca="false">E685*(IF($A685&lt;$Q$636,INDEX(Surface_Engine!$D$12:$D$72,$A685+1)+(Surface_Engine!L241*12)*INDEX(Surface_Engine!$F$12:$F$72,$A685+1)-(Surface_Engine!L241*12),1000*12*INDEX(Surface_Engine!$C$12:$C$72,$A685+1)/(1+Assumptions!$B$10)^20+INDEX(Surface_Engine!$D$12:$D$72,$A685+1)))*INDEX(Surface_Engine!$B$12:$B$72,$A685+1)+I686</f>
        <v>9.2748401634428</v>
      </c>
      <c r="J685" s="48" t="n">
        <f aca="false">B685*(IF($A685&lt;$Q$636,INDEX(Surface_Engine!$D$12:$D$72,$A685+1)*(1+Assumptions!$B$24)+(Surface_Engine!L241*12)*INDEX(Surface_Engine!$F$12:$F$72,$A685+1)-(Surface_Engine!L241*12),1000*12*INDEX(Surface_Engine!$C$12:$C$72,$A685+1)/(1+Assumptions!$B$10)^20+INDEX(Surface_Engine!$D$12:$D$72,$A685+1)*(1+Assumptions!$B$24)))*INDEX(Surface_Engine!$B$12:$B$72,$A685+1)+J686</f>
        <v>8.2295708146187</v>
      </c>
      <c r="K685" s="12" t="n">
        <f aca="false">SQRT((IF(C685&lt;=0,0,MAX(0,(B685/C685)*G685/INDEX(Surface_Engine!$B$12:$B$72,$A685+1)-F685/INDEX(Surface_Engine!$B$12:$B$72,$A685+1))))^2+(MAX(IF(D685&lt;=0,0,MAX(0,(B685/D685)*H685/INDEX(Surface_Engine!$B$12:$B$72,$A685+1)-F685/INDEX(Surface_Engine!$B$12:$B$72,$A685+1))),IF(E685&lt;=0,0,MAX(0,(B685/E685)*I685/INDEX(Surface_Engine!$B$12:$B$72,$A685+1)-F685/INDEX(Surface_Engine!$B$12:$B$72,$A685+1))),IF($A685&lt;$Q$636,MAX(0,-Assumptions!$B$22*(F685/INDEX(Surface_Engine!$B$12:$B$72,$A685+1))),0)))^2+(MAX(0,J685/INDEX(Surface_Engine!$B$12:$B$72,$A685+1)-(F685/INDEX(Surface_Engine!$B$12:$B$72,$A685+1))))^2+2*Assumptions!$B$26*(IF(C685&lt;=0,0,MAX(0,(B685/C685)*G685/INDEX(Surface_Engine!$B$12:$B$72,$A685+1)-F685/INDEX(Surface_Engine!$B$12:$B$72,$A685+1))))*(MAX(IF(D685&lt;=0,0,MAX(0,(B685/D685)*H685/INDEX(Surface_Engine!$B$12:$B$72,$A685+1)-F685/INDEX(Surface_Engine!$B$12:$B$72,$A685+1))),IF(E685&lt;=0,0,MAX(0,(B685/E685)*I685/INDEX(Surface_Engine!$B$12:$B$72,$A685+1)-F685/INDEX(Surface_Engine!$B$12:$B$72,$A685+1))),IF($A685&lt;$Q$636,MAX(0,-Assumptions!$B$22*(F685/INDEX(Surface_Engine!$B$12:$B$72,$A685+1))),0)))+2*Assumptions!$B$27*(IF(C685&lt;=0,0,MAX(0,(B685/C685)*G685/INDEX(Surface_Engine!$B$12:$B$72,$A685+1)-F685/INDEX(Surface_Engine!$B$12:$B$72,$A685+1))))*(MAX(0,J685/INDEX(Surface_Engine!$B$12:$B$72,$A685+1)-(F685/INDEX(Surface_Engine!$B$12:$B$72,$A685+1))))+2*Assumptions!$B$28*(MAX(IF(D685&lt;=0,0,MAX(0,(B685/D685)*H685/INDEX(Surface_Engine!$B$12:$B$72,$A685+1)-F685/INDEX(Surface_Engine!$B$12:$B$72,$A685+1))),IF(E685&lt;=0,0,MAX(0,(B685/E685)*I685/INDEX(Surface_Engine!$B$12:$B$72,$A685+1)-F685/INDEX(Surface_Engine!$B$12:$B$72,$A685+1))),IF($A685&lt;$Q$636,MAX(0,-Assumptions!$B$22*(F685/INDEX(Surface_Engine!$B$12:$B$72,$A685+1))),0)))*(MAX(0,J685/INDEX(Surface_Engine!$B$12:$B$72,$A685+1)-(F685/INDEX(Surface_Engine!$B$12:$B$72,$A685+1)))))</f>
        <v>8.03534881744174</v>
      </c>
      <c r="L685" s="48" t="n">
        <f aca="false">K685*INDEX(Surface_Engine!$B$12:$B$72,$A685+1)+L686</f>
        <v>3.48152726136458</v>
      </c>
      <c r="M685" s="48" t="n">
        <f aca="false">M684+B684*(IF($A684&lt;$Q$636,(Surface_Engine!L241*12)-(Surface_Engine!L241*12)*INDEX(Surface_Engine!$F$12:$F$72,$A684+1)-INDEX(Surface_Engine!$D$12:$D$72,$A684+1),-(1000*12*INDEX(Surface_Engine!$C$12:$C$72,$A684+1)/(1+Assumptions!$B$10)^20+INDEX(Surface_Engine!$D$12:$D$72,$A684+1))))*INDEX(Surface_Engine!$B$12:$B$72,$A684+1)</f>
        <v>1159.75785476919</v>
      </c>
      <c r="N685" s="12" t="n">
        <f aca="false">IF(B685&lt;=0,0,MAX(0,(K685+Assumptions!$B$29*L685/INDEX(Surface_Engine!$B$12:$B$72,$A685+1)-(M685/INDEX(Surface_Engine!$B$12:$B$72,$A685+1)-(F685/INDEX(Surface_Engine!$B$12:$B$72,$A685+1))))/B685))</f>
        <v>0</v>
      </c>
    </row>
    <row r="686" customFormat="false" ht="15" hidden="false" customHeight="true" outlineLevel="0" collapsed="false">
      <c r="A686" s="1" t="n">
        <v>48</v>
      </c>
      <c r="B686" s="32" t="n">
        <f aca="false">INDEX(Surface_Engine!$L$12:$L$72,$A686+1)*IF($A686&lt;$Q$636,INDEX(Surface_Engine!$E$12:$E$72,$A686+1),INDEX(Surface_Engine!$E$12:$E$72,$Q$636+1))</f>
        <v>0.000457597214584533</v>
      </c>
      <c r="C686" s="32" t="n">
        <f aca="false">INDEX(Panel_Reserving!$D$8:$D$68,$A686+1)*IF($A686&lt;$Q$636,INDEX(Surface_Engine!$E$12:$E$72,$A686+1),INDEX(Surface_Engine!$E$12:$E$72,$Q$636+1))</f>
        <v>0.00256525216059874</v>
      </c>
      <c r="D686" s="32" t="n">
        <f aca="false">INDEX(Surface_Engine!$L$12:$L$72,$A686+1)*IF($A686&lt;$Q$636,INDEX(Surface_Engine!$Y$12:$Y$72,$A686+1),INDEX(Surface_Engine!$Y$12:$Y$72,$Q$636+1))</f>
        <v>0.000405097530797486</v>
      </c>
      <c r="E686" s="32" t="n">
        <f aca="false">INDEX(Surface_Engine!$L$12:$L$72,$A686+1)*IF($A686&lt;$Q$636,INDEX(Surface_Engine!$Z$12:$Z$72,$A686+1),INDEX(Surface_Engine!$Z$12:$Z$72,$Q$636+1))</f>
        <v>0.000516372029345147</v>
      </c>
      <c r="F686" s="48" t="n">
        <f aca="false">B686*(IF($A686&lt;$Q$636,INDEX(Surface_Engine!$D$12:$D$72,$A686+1)+(Surface_Engine!L241*12)*INDEX(Surface_Engine!$F$12:$F$72,$A686+1)-(Surface_Engine!L241*12),1000*12*INDEX(Surface_Engine!$C$12:$C$72,$A686+1)/(1+Assumptions!$B$10)^20+INDEX(Surface_Engine!$D$12:$D$72,$A686+1)))*INDEX(Surface_Engine!$B$12:$B$72,$A686+1)+F687</f>
        <v>4.11922548758444</v>
      </c>
      <c r="G686" s="48" t="n">
        <f aca="false">C686*(IF($A686&lt;$Q$636,INDEX(Surface_Engine!$D$12:$D$72,$A686+1)+(Surface_Engine!L241*12)*INDEX(Surface_Engine!$F$12:$F$72,$A686+1)-(Surface_Engine!L241*12),1000*12*INDEX(Surface_Engine!$C$12:$C$72,$A686+1)/(1+Assumptions!$B$10)^20+INDEX(Surface_Engine!$D$12:$D$72,$A686+1)))*INDEX(Surface_Engine!$B$12:$B$72,$A686+1)+G687</f>
        <v>28.1628490719309</v>
      </c>
      <c r="H686" s="48" t="n">
        <f aca="false">D686*(IF($A686&lt;$Q$636,INDEX(Surface_Engine!$D$12:$D$72,$A686+1)+(Surface_Engine!L241*12)*INDEX(Surface_Engine!$F$12:$F$72,$A686+1)-(Surface_Engine!L241*12),1000*12*INDEX(Surface_Engine!$C$12:$C$72,$A686+1)/(1+Assumptions!$B$10)^20+INDEX(Surface_Engine!$D$12:$D$72,$A686+1)))*INDEX(Surface_Engine!$B$12:$B$72,$A686+1)+H687</f>
        <v>3.64663075000049</v>
      </c>
      <c r="I686" s="48" t="n">
        <f aca="false">E686*(IF($A686&lt;$Q$636,INDEX(Surface_Engine!$D$12:$D$72,$A686+1)+(Surface_Engine!L241*12)*INDEX(Surface_Engine!$F$12:$F$72,$A686+1)-(Surface_Engine!L241*12),1000*12*INDEX(Surface_Engine!$C$12:$C$72,$A686+1)/(1+Assumptions!$B$10)^20+INDEX(Surface_Engine!$D$12:$D$72,$A686+1)))*INDEX(Surface_Engine!$B$12:$B$72,$A686+1)+I687</f>
        <v>4.64830806779593</v>
      </c>
      <c r="J686" s="48" t="n">
        <f aca="false">B686*(IF($A686&lt;$Q$636,INDEX(Surface_Engine!$D$12:$D$72,$A686+1)*(1+Assumptions!$B$24)+(Surface_Engine!L241*12)*INDEX(Surface_Engine!$F$12:$F$72,$A686+1)-(Surface_Engine!L241*12),1000*12*INDEX(Surface_Engine!$C$12:$C$72,$A686+1)/(1+Assumptions!$B$10)^20+INDEX(Surface_Engine!$D$12:$D$72,$A686+1)*(1+Assumptions!$B$24)))*INDEX(Surface_Engine!$B$12:$B$72,$A686+1)+J687</f>
        <v>4.1244700665823</v>
      </c>
      <c r="K686" s="12" t="n">
        <f aca="false">SQRT((IF(C686&lt;=0,0,MAX(0,(B686/C686)*G686/INDEX(Surface_Engine!$B$12:$B$72,$A686+1)-F686/INDEX(Surface_Engine!$B$12:$B$72,$A686+1))))^2+(MAX(IF(D686&lt;=0,0,MAX(0,(B686/D686)*H686/INDEX(Surface_Engine!$B$12:$B$72,$A686+1)-F686/INDEX(Surface_Engine!$B$12:$B$72,$A686+1))),IF(E686&lt;=0,0,MAX(0,(B686/E686)*I686/INDEX(Surface_Engine!$B$12:$B$72,$A686+1)-F686/INDEX(Surface_Engine!$B$12:$B$72,$A686+1))),IF($A686&lt;$Q$636,MAX(0,-Assumptions!$B$22*(F686/INDEX(Surface_Engine!$B$12:$B$72,$A686+1))),0)))^2+(MAX(0,J686/INDEX(Surface_Engine!$B$12:$B$72,$A686+1)-(F686/INDEX(Surface_Engine!$B$12:$B$72,$A686+1))))^2+2*Assumptions!$B$26*(IF(C686&lt;=0,0,MAX(0,(B686/C686)*G686/INDEX(Surface_Engine!$B$12:$B$72,$A686+1)-F686/INDEX(Surface_Engine!$B$12:$B$72,$A686+1))))*(MAX(IF(D686&lt;=0,0,MAX(0,(B686/D686)*H686/INDEX(Surface_Engine!$B$12:$B$72,$A686+1)-F686/INDEX(Surface_Engine!$B$12:$B$72,$A686+1))),IF(E686&lt;=0,0,MAX(0,(B686/E686)*I686/INDEX(Surface_Engine!$B$12:$B$72,$A686+1)-F686/INDEX(Surface_Engine!$B$12:$B$72,$A686+1))),IF($A686&lt;$Q$636,MAX(0,-Assumptions!$B$22*(F686/INDEX(Surface_Engine!$B$12:$B$72,$A686+1))),0)))+2*Assumptions!$B$27*(IF(C686&lt;=0,0,MAX(0,(B686/C686)*G686/INDEX(Surface_Engine!$B$12:$B$72,$A686+1)-F686/INDEX(Surface_Engine!$B$12:$B$72,$A686+1))))*(MAX(0,J686/INDEX(Surface_Engine!$B$12:$B$72,$A686+1)-(F686/INDEX(Surface_Engine!$B$12:$B$72,$A686+1))))+2*Assumptions!$B$28*(MAX(IF(D686&lt;=0,0,MAX(0,(B686/D686)*H686/INDEX(Surface_Engine!$B$12:$B$72,$A686+1)-F686/INDEX(Surface_Engine!$B$12:$B$72,$A686+1))),IF(E686&lt;=0,0,MAX(0,(B686/E686)*I686/INDEX(Surface_Engine!$B$12:$B$72,$A686+1)-F686/INDEX(Surface_Engine!$B$12:$B$72,$A686+1))),IF($A686&lt;$Q$636,MAX(0,-Assumptions!$B$22*(F686/INDEX(Surface_Engine!$B$12:$B$72,$A686+1))),0)))*(MAX(0,J686/INDEX(Surface_Engine!$B$12:$B$72,$A686+1)-(F686/INDEX(Surface_Engine!$B$12:$B$72,$A686+1)))))</f>
        <v>4.13349985031914</v>
      </c>
      <c r="L686" s="48" t="n">
        <f aca="false">K686*INDEX(Surface_Engine!$B$12:$B$72,$A686+1)+L687</f>
        <v>1.66231490578545</v>
      </c>
      <c r="M686" s="48" t="n">
        <f aca="false">M685+B685*(IF($A685&lt;$Q$636,(Surface_Engine!L241*12)-(Surface_Engine!L241*12)*INDEX(Surface_Engine!$F$12:$F$72,$A685+1)-INDEX(Surface_Engine!$D$12:$D$72,$A685+1),-(1000*12*INDEX(Surface_Engine!$C$12:$C$72,$A685+1)/(1+Assumptions!$B$10)^20+INDEX(Surface_Engine!$D$12:$D$72,$A685+1))))*INDEX(Surface_Engine!$B$12:$B$72,$A685+1)</f>
        <v>1155.65792665566</v>
      </c>
      <c r="N686" s="12" t="n">
        <f aca="false">IF(B686&lt;=0,0,MAX(0,(K686+Assumptions!$B$29*L686/INDEX(Surface_Engine!$B$12:$B$72,$A686+1)-(M686/INDEX(Surface_Engine!$B$12:$B$72,$A686+1)-(F686/INDEX(Surface_Engine!$B$12:$B$72,$A686+1))))/B686))</f>
        <v>0</v>
      </c>
    </row>
    <row r="687" customFormat="false" ht="15" hidden="false" customHeight="true" outlineLevel="0" collapsed="false">
      <c r="A687" s="1" t="n">
        <v>49</v>
      </c>
      <c r="B687" s="32" t="n">
        <f aca="false">INDEX(Surface_Engine!$L$12:$L$72,$A687+1)*IF($A687&lt;$Q$636,INDEX(Surface_Engine!$E$12:$E$72,$A687+1),INDEX(Surface_Engine!$E$12:$E$72,$Q$636+1))</f>
        <v>0.000231881432775565</v>
      </c>
      <c r="C687" s="32" t="n">
        <f aca="false">INDEX(Panel_Reserving!$D$8:$D$68,$A687+1)*IF($A687&lt;$Q$636,INDEX(Surface_Engine!$E$12:$E$72,$A687+1),INDEX(Surface_Engine!$E$12:$E$72,$Q$636+1))</f>
        <v>0.00155297694822901</v>
      </c>
      <c r="D687" s="32" t="n">
        <f aca="false">INDEX(Surface_Engine!$L$12:$L$72,$A687+1)*IF($A687&lt;$Q$636,INDEX(Surface_Engine!$Y$12:$Y$72,$A687+1),INDEX(Surface_Engine!$Y$12:$Y$72,$Q$636+1))</f>
        <v>0.00020527790130989</v>
      </c>
      <c r="E687" s="32" t="n">
        <f aca="false">INDEX(Surface_Engine!$L$12:$L$72,$A687+1)*IF($A687&lt;$Q$636,INDEX(Surface_Engine!$Z$12:$Z$72,$A687+1),INDEX(Surface_Engine!$Z$12:$Z$72,$Q$636+1))</f>
        <v>0.000261664805190066</v>
      </c>
      <c r="F687" s="48" t="n">
        <f aca="false">B687*(IF($A687&lt;$Q$636,INDEX(Surface_Engine!$D$12:$D$72,$A687+1)+(Surface_Engine!L241*12)*INDEX(Surface_Engine!$F$12:$F$72,$A687+1)-(Surface_Engine!L241*12),1000*12*INDEX(Surface_Engine!$C$12:$C$72,$A687+1)/(1+Assumptions!$B$10)^20+INDEX(Surface_Engine!$D$12:$D$72,$A687+1)))*INDEX(Surface_Engine!$B$12:$B$72,$A687+1)+F688</f>
        <v>1.99715841645929</v>
      </c>
      <c r="G687" s="48" t="n">
        <f aca="false">C687*(IF($A687&lt;$Q$636,INDEX(Surface_Engine!$D$12:$D$72,$A687+1)+(Surface_Engine!L241*12)*INDEX(Surface_Engine!$F$12:$F$72,$A687+1)-(Surface_Engine!L241*12),1000*12*INDEX(Surface_Engine!$C$12:$C$72,$A687+1)/(1+Assumptions!$B$10)^20+INDEX(Surface_Engine!$D$12:$D$72,$A687+1)))*INDEX(Surface_Engine!$B$12:$B$72,$A687+1)+G688</f>
        <v>16.2667164783755</v>
      </c>
      <c r="H687" s="48" t="n">
        <f aca="false">D687*(IF($A687&lt;$Q$636,INDEX(Surface_Engine!$D$12:$D$72,$A687+1)+(Surface_Engine!L241*12)*INDEX(Surface_Engine!$F$12:$F$72,$A687+1)-(Surface_Engine!L241*12),1000*12*INDEX(Surface_Engine!$C$12:$C$72,$A687+1)/(1+Assumptions!$B$10)^20+INDEX(Surface_Engine!$D$12:$D$72,$A687+1)))*INDEX(Surface_Engine!$B$12:$B$72,$A687+1)+H688</f>
        <v>1.76802637195603</v>
      </c>
      <c r="I687" s="48" t="n">
        <f aca="false">E687*(IF($A687&lt;$Q$636,INDEX(Surface_Engine!$D$12:$D$72,$A687+1)+(Surface_Engine!L241*12)*INDEX(Surface_Engine!$F$12:$F$72,$A687+1)-(Surface_Engine!L241*12),1000*12*INDEX(Surface_Engine!$C$12:$C$72,$A687+1)/(1+Assumptions!$B$10)^20+INDEX(Surface_Engine!$D$12:$D$72,$A687+1)))*INDEX(Surface_Engine!$B$12:$B$72,$A687+1)+I688</f>
        <v>2.25367793238679</v>
      </c>
      <c r="J687" s="48" t="n">
        <f aca="false">B687*(IF($A687&lt;$Q$636,INDEX(Surface_Engine!$D$12:$D$72,$A687+1)*(1+Assumptions!$B$24)+(Surface_Engine!L241*12)*INDEX(Surface_Engine!$F$12:$F$72,$A687+1)-(Surface_Engine!L241*12),1000*12*INDEX(Surface_Engine!$C$12:$C$72,$A687+1)/(1+Assumptions!$B$10)^20+INDEX(Surface_Engine!$D$12:$D$72,$A687+1)*(1+Assumptions!$B$24)))*INDEX(Surface_Engine!$B$12:$B$72,$A687+1)+J688</f>
        <v>1.99971275256776</v>
      </c>
      <c r="K687" s="12" t="n">
        <f aca="false">SQRT((IF(C687&lt;=0,0,MAX(0,(B687/C687)*G687/INDEX(Surface_Engine!$B$12:$B$72,$A687+1)-F687/INDEX(Surface_Engine!$B$12:$B$72,$A687+1))))^2+(MAX(IF(D687&lt;=0,0,MAX(0,(B687/D687)*H687/INDEX(Surface_Engine!$B$12:$B$72,$A687+1)-F687/INDEX(Surface_Engine!$B$12:$B$72,$A687+1))),IF(E687&lt;=0,0,MAX(0,(B687/E687)*I687/INDEX(Surface_Engine!$B$12:$B$72,$A687+1)-F687/INDEX(Surface_Engine!$B$12:$B$72,$A687+1))),IF($A687&lt;$Q$636,MAX(0,-Assumptions!$B$22*(F687/INDEX(Surface_Engine!$B$12:$B$72,$A687+1))),0)))^2+(MAX(0,J687/INDEX(Surface_Engine!$B$12:$B$72,$A687+1)-(F687/INDEX(Surface_Engine!$B$12:$B$72,$A687+1))))^2+2*Assumptions!$B$26*(IF(C687&lt;=0,0,MAX(0,(B687/C687)*G687/INDEX(Surface_Engine!$B$12:$B$72,$A687+1)-F687/INDEX(Surface_Engine!$B$12:$B$72,$A687+1))))*(MAX(IF(D687&lt;=0,0,MAX(0,(B687/D687)*H687/INDEX(Surface_Engine!$B$12:$B$72,$A687+1)-F687/INDEX(Surface_Engine!$B$12:$B$72,$A687+1))),IF(E687&lt;=0,0,MAX(0,(B687/E687)*I687/INDEX(Surface_Engine!$B$12:$B$72,$A687+1)-F687/INDEX(Surface_Engine!$B$12:$B$72,$A687+1))),IF($A687&lt;$Q$636,MAX(0,-Assumptions!$B$22*(F687/INDEX(Surface_Engine!$B$12:$B$72,$A687+1))),0)))+2*Assumptions!$B$27*(IF(C687&lt;=0,0,MAX(0,(B687/C687)*G687/INDEX(Surface_Engine!$B$12:$B$72,$A687+1)-F687/INDEX(Surface_Engine!$B$12:$B$72,$A687+1))))*(MAX(0,J687/INDEX(Surface_Engine!$B$12:$B$72,$A687+1)-(F687/INDEX(Surface_Engine!$B$12:$B$72,$A687+1))))+2*Assumptions!$B$28*(MAX(IF(D687&lt;=0,0,MAX(0,(B687/D687)*H687/INDEX(Surface_Engine!$B$12:$B$72,$A687+1)-F687/INDEX(Surface_Engine!$B$12:$B$72,$A687+1))),IF(E687&lt;=0,0,MAX(0,(B687/E687)*I687/INDEX(Surface_Engine!$B$12:$B$72,$A687+1)-F687/INDEX(Surface_Engine!$B$12:$B$72,$A687+1))),IF($A687&lt;$Q$636,MAX(0,-Assumptions!$B$22*(F687/INDEX(Surface_Engine!$B$12:$B$72,$A687+1))),0)))*(MAX(0,J687/INDEX(Surface_Engine!$B$12:$B$72,$A687+1)-(F687/INDEX(Surface_Engine!$B$12:$B$72,$A687+1)))))</f>
        <v>2.03711452411977</v>
      </c>
      <c r="L687" s="48" t="n">
        <f aca="false">K687*INDEX(Surface_Engine!$B$12:$B$72,$A687+1)+L688</f>
        <v>0.756443283444218</v>
      </c>
      <c r="M687" s="48" t="n">
        <f aca="false">M686+B686*(IF($A686&lt;$Q$636,(Surface_Engine!L241*12)-(Surface_Engine!L241*12)*INDEX(Surface_Engine!$F$12:$F$72,$A686+1)-INDEX(Surface_Engine!$D$12:$D$72,$A686+1),-(1000*12*INDEX(Surface_Engine!$C$12:$C$72,$A686+1)/(1+Assumptions!$B$10)^20+INDEX(Surface_Engine!$D$12:$D$72,$A686+1))))*INDEX(Surface_Engine!$B$12:$B$72,$A686+1)</f>
        <v>1153.53585958454</v>
      </c>
      <c r="N687" s="12" t="n">
        <f aca="false">IF(B687&lt;=0,0,MAX(0,(K687+Assumptions!$B$29*L687/INDEX(Surface_Engine!$B$12:$B$72,$A687+1)-(M687/INDEX(Surface_Engine!$B$12:$B$72,$A687+1)-(F687/INDEX(Surface_Engine!$B$12:$B$72,$A687+1))))/B687))</f>
        <v>0</v>
      </c>
    </row>
    <row r="688" customFormat="false" ht="15" hidden="false" customHeight="true" outlineLevel="0" collapsed="false">
      <c r="A688" s="1" t="n">
        <v>50</v>
      </c>
      <c r="B688" s="32" t="n">
        <f aca="false">INDEX(Surface_Engine!$L$12:$L$72,$A688+1)*IF($A688&lt;$Q$636,INDEX(Surface_Engine!$E$12:$E$72,$A688+1),INDEX(Surface_Engine!$E$12:$E$72,$Q$636+1))</f>
        <v>0.000113497930082442</v>
      </c>
      <c r="C688" s="32" t="n">
        <f aca="false">INDEX(Panel_Reserving!$D$8:$D$68,$A688+1)*IF($A688&lt;$Q$636,INDEX(Surface_Engine!$E$12:$E$72,$A688+1),INDEX(Surface_Engine!$E$12:$E$72,$Q$636+1))</f>
        <v>0.000918698132431044</v>
      </c>
      <c r="D688" s="32" t="n">
        <f aca="false">INDEX(Surface_Engine!$L$12:$L$72,$A688+1)*IF($A688&lt;$Q$636,INDEX(Surface_Engine!$Y$12:$Y$72,$A688+1),INDEX(Surface_Engine!$Y$12:$Y$72,$Q$636+1))</f>
        <v>0.000100476422848787</v>
      </c>
      <c r="E688" s="32" t="n">
        <f aca="false">INDEX(Surface_Engine!$L$12:$L$72,$A688+1)*IF($A688&lt;$Q$636,INDEX(Surface_Engine!$Z$12:$Z$72,$A688+1),INDEX(Surface_Engine!$Z$12:$Z$72,$Q$636+1))</f>
        <v>0.0001280758593261</v>
      </c>
      <c r="F688" s="48" t="n">
        <f aca="false">B688*(IF($A688&lt;$Q$636,INDEX(Surface_Engine!$D$12:$D$72,$A688+1)+(Surface_Engine!L241*12)*INDEX(Surface_Engine!$F$12:$F$72,$A688+1)-(Surface_Engine!L241*12),1000*12*INDEX(Surface_Engine!$C$12:$C$72,$A688+1)/(1+Assumptions!$B$10)^20+INDEX(Surface_Engine!$D$12:$D$72,$A688+1)))*INDEX(Surface_Engine!$B$12:$B$72,$A688+1)+F689</f>
        <v>0.934904627266783</v>
      </c>
      <c r="G688" s="48" t="n">
        <f aca="false">C688*(IF($A688&lt;$Q$636,INDEX(Surface_Engine!$D$12:$D$72,$A688+1)+(Surface_Engine!L241*12)*INDEX(Surface_Engine!$F$12:$F$72,$A688+1)-(Surface_Engine!L241*12),1000*12*INDEX(Surface_Engine!$C$12:$C$72,$A688+1)/(1+Assumptions!$B$10)^20+INDEX(Surface_Engine!$D$12:$D$72,$A688+1)))*INDEX(Surface_Engine!$B$12:$B$72,$A688+1)+G689</f>
        <v>9.15249595610724</v>
      </c>
      <c r="H688" s="48" t="n">
        <f aca="false">D688*(IF($A688&lt;$Q$636,INDEX(Surface_Engine!$D$12:$D$72,$A688+1)+(Surface_Engine!L241*12)*INDEX(Surface_Engine!$F$12:$F$72,$A688+1)-(Surface_Engine!L241*12),1000*12*INDEX(Surface_Engine!$C$12:$C$72,$A688+1)/(1+Assumptions!$B$10)^20+INDEX(Surface_Engine!$D$12:$D$72,$A688+1)))*INDEX(Surface_Engine!$B$12:$B$72,$A688+1)+H689</f>
        <v>0.827643927817123</v>
      </c>
      <c r="I688" s="48" t="n">
        <f aca="false">E688*(IF($A688&lt;$Q$636,INDEX(Surface_Engine!$D$12:$D$72,$A688+1)+(Surface_Engine!L241*12)*INDEX(Surface_Engine!$F$12:$F$72,$A688+1)-(Surface_Engine!L241*12),1000*12*INDEX(Surface_Engine!$C$12:$C$72,$A688+1)/(1+Assumptions!$B$10)^20+INDEX(Surface_Engine!$D$12:$D$72,$A688+1)))*INDEX(Surface_Engine!$B$12:$B$72,$A688+1)+I689</f>
        <v>1.05498587893335</v>
      </c>
      <c r="J688" s="48" t="n">
        <f aca="false">B688*(IF($A688&lt;$Q$636,INDEX(Surface_Engine!$D$12:$D$72,$A688+1)*(1+Assumptions!$B$24)+(Surface_Engine!L241*12)*INDEX(Surface_Engine!$F$12:$F$72,$A688+1)-(Surface_Engine!L241*12),1000*12*INDEX(Surface_Engine!$C$12:$C$72,$A688+1)/(1+Assumptions!$B$10)^20+INDEX(Surface_Engine!$D$12:$D$72,$A688+1)*(1+Assumptions!$B$24)))*INDEX(Surface_Engine!$B$12:$B$72,$A688+1)+J689</f>
        <v>0.936105777735595</v>
      </c>
      <c r="K688" s="12" t="n">
        <f aca="false">SQRT((IF(C688&lt;=0,0,MAX(0,(B688/C688)*G688/INDEX(Surface_Engine!$B$12:$B$72,$A688+1)-F688/INDEX(Surface_Engine!$B$12:$B$72,$A688+1))))^2+(MAX(IF(D688&lt;=0,0,MAX(0,(B688/D688)*H688/INDEX(Surface_Engine!$B$12:$B$72,$A688+1)-F688/INDEX(Surface_Engine!$B$12:$B$72,$A688+1))),IF(E688&lt;=0,0,MAX(0,(B688/E688)*I688/INDEX(Surface_Engine!$B$12:$B$72,$A688+1)-F688/INDEX(Surface_Engine!$B$12:$B$72,$A688+1))),IF($A688&lt;$Q$636,MAX(0,-Assumptions!$B$22*(F688/INDEX(Surface_Engine!$B$12:$B$72,$A688+1))),0)))^2+(MAX(0,J688/INDEX(Surface_Engine!$B$12:$B$72,$A688+1)-(F688/INDEX(Surface_Engine!$B$12:$B$72,$A688+1))))^2+2*Assumptions!$B$26*(IF(C688&lt;=0,0,MAX(0,(B688/C688)*G688/INDEX(Surface_Engine!$B$12:$B$72,$A688+1)-F688/INDEX(Surface_Engine!$B$12:$B$72,$A688+1))))*(MAX(IF(D688&lt;=0,0,MAX(0,(B688/D688)*H688/INDEX(Surface_Engine!$B$12:$B$72,$A688+1)-F688/INDEX(Surface_Engine!$B$12:$B$72,$A688+1))),IF(E688&lt;=0,0,MAX(0,(B688/E688)*I688/INDEX(Surface_Engine!$B$12:$B$72,$A688+1)-F688/INDEX(Surface_Engine!$B$12:$B$72,$A688+1))),IF($A688&lt;$Q$636,MAX(0,-Assumptions!$B$22*(F688/INDEX(Surface_Engine!$B$12:$B$72,$A688+1))),0)))+2*Assumptions!$B$27*(IF(C688&lt;=0,0,MAX(0,(B688/C688)*G688/INDEX(Surface_Engine!$B$12:$B$72,$A688+1)-F688/INDEX(Surface_Engine!$B$12:$B$72,$A688+1))))*(MAX(0,J688/INDEX(Surface_Engine!$B$12:$B$72,$A688+1)-(F688/INDEX(Surface_Engine!$B$12:$B$72,$A688+1))))+2*Assumptions!$B$28*(MAX(IF(D688&lt;=0,0,MAX(0,(B688/D688)*H688/INDEX(Surface_Engine!$B$12:$B$72,$A688+1)-F688/INDEX(Surface_Engine!$B$12:$B$72,$A688+1))),IF(E688&lt;=0,0,MAX(0,(B688/E688)*I688/INDEX(Surface_Engine!$B$12:$B$72,$A688+1)-F688/INDEX(Surface_Engine!$B$12:$B$72,$A688+1))),IF($A688&lt;$Q$636,MAX(0,-Assumptions!$B$22*(F688/INDEX(Surface_Engine!$B$12:$B$72,$A688+1))),0)))*(MAX(0,J688/INDEX(Surface_Engine!$B$12:$B$72,$A688+1)-(F688/INDEX(Surface_Engine!$B$12:$B$72,$A688+1)))))</f>
        <v>0.95470393628855</v>
      </c>
      <c r="L688" s="48" t="n">
        <f aca="false">K688*INDEX(Surface_Engine!$B$12:$B$72,$A688+1)+L689</f>
        <v>0.324105099709198</v>
      </c>
      <c r="M688" s="48" t="n">
        <f aca="false">M687+B687*(IF($A687&lt;$Q$636,(Surface_Engine!L241*12)-(Surface_Engine!L241*12)*INDEX(Surface_Engine!$F$12:$F$72,$A687+1)-INDEX(Surface_Engine!$D$12:$D$72,$A687+1),-(1000*12*INDEX(Surface_Engine!$C$12:$C$72,$A687+1)/(1+Assumptions!$B$10)^20+INDEX(Surface_Engine!$D$12:$D$72,$A687+1))))*INDEX(Surface_Engine!$B$12:$B$72,$A687+1)</f>
        <v>1152.47360579534</v>
      </c>
      <c r="N688" s="12" t="n">
        <f aca="false">IF(B688&lt;=0,0,MAX(0,(K688+Assumptions!$B$29*L688/INDEX(Surface_Engine!$B$12:$B$72,$A688+1)-(M688/INDEX(Surface_Engine!$B$12:$B$72,$A688+1)-(F688/INDEX(Surface_Engine!$B$12:$B$72,$A688+1))))/B688))</f>
        <v>0</v>
      </c>
    </row>
    <row r="689" customFormat="false" ht="15" hidden="false" customHeight="true" outlineLevel="0" collapsed="false">
      <c r="A689" s="1" t="n">
        <v>51</v>
      </c>
      <c r="B689" s="32" t="n">
        <f aca="false">INDEX(Surface_Engine!$L$12:$L$72,$A689+1)*IF($A689&lt;$Q$636,INDEX(Surface_Engine!$E$12:$E$72,$A689+1),INDEX(Surface_Engine!$E$12:$E$72,$Q$636+1))</f>
        <v>5.36187429860484E-005</v>
      </c>
      <c r="C689" s="32" t="n">
        <f aca="false">INDEX(Panel_Reserving!$D$8:$D$68,$A689+1)*IF($A689&lt;$Q$636,INDEX(Surface_Engine!$E$12:$E$72,$A689+1),INDEX(Surface_Engine!$E$12:$E$72,$Q$636+1))</f>
        <v>0.000530949053187134</v>
      </c>
      <c r="D689" s="32" t="n">
        <f aca="false">INDEX(Surface_Engine!$L$12:$L$72,$A689+1)*IF($A689&lt;$Q$636,INDEX(Surface_Engine!$Y$12:$Y$72,$A689+1),INDEX(Surface_Engine!$Y$12:$Y$72,$Q$636+1))</f>
        <v>4.74671167040084E-005</v>
      </c>
      <c r="E689" s="32" t="n">
        <f aca="false">INDEX(Surface_Engine!$L$12:$L$72,$A689+1)*IF($A689&lt;$Q$636,INDEX(Surface_Engine!$Z$12:$Z$72,$A689+1),INDEX(Surface_Engine!$Z$12:$Z$72,$Q$636+1))</f>
        <v>6.05056548514609E-005</v>
      </c>
      <c r="F689" s="48" t="n">
        <f aca="false">B689*(IF($A689&lt;$Q$636,INDEX(Surface_Engine!$D$12:$D$72,$A689+1)+(Surface_Engine!L241*12)*INDEX(Surface_Engine!$F$12:$F$72,$A689+1)-(Surface_Engine!L241*12),1000*12*INDEX(Surface_Engine!$C$12:$C$72,$A689+1)/(1+Assumptions!$B$10)^20+INDEX(Surface_Engine!$D$12:$D$72,$A689+1)))*INDEX(Surface_Engine!$B$12:$B$72,$A689+1)+F690</f>
        <v>0.421549186292865</v>
      </c>
      <c r="G689" s="48" t="n">
        <f aca="false">C689*(IF($A689&lt;$Q$636,INDEX(Surface_Engine!$D$12:$D$72,$A689+1)+(Surface_Engine!L241*12)*INDEX(Surface_Engine!$F$12:$F$72,$A689+1)-(Surface_Engine!L241*12),1000*12*INDEX(Surface_Engine!$C$12:$C$72,$A689+1)/(1+Assumptions!$B$10)^20+INDEX(Surface_Engine!$D$12:$D$72,$A689+1)))*INDEX(Surface_Engine!$B$12:$B$72,$A689+1)+G690</f>
        <v>4.99718947119176</v>
      </c>
      <c r="H689" s="48" t="n">
        <f aca="false">D689*(IF($A689&lt;$Q$636,INDEX(Surface_Engine!$D$12:$D$72,$A689+1)+(Surface_Engine!L241*12)*INDEX(Surface_Engine!$F$12:$F$72,$A689+1)-(Surface_Engine!L241*12),1000*12*INDEX(Surface_Engine!$C$12:$C$72,$A689+1)/(1+Assumptions!$B$10)^20+INDEX(Surface_Engine!$D$12:$D$72,$A689+1)))*INDEX(Surface_Engine!$B$12:$B$72,$A689+1)+H690</f>
        <v>0.373185257764244</v>
      </c>
      <c r="I689" s="48" t="n">
        <f aca="false">E689*(IF($A689&lt;$Q$636,INDEX(Surface_Engine!$D$12:$D$72,$A689+1)+(Surface_Engine!L241*12)*INDEX(Surface_Engine!$F$12:$F$72,$A689+1)-(Surface_Engine!L241*12),1000*12*INDEX(Surface_Engine!$C$12:$C$72,$A689+1)/(1+Assumptions!$B$10)^20+INDEX(Surface_Engine!$D$12:$D$72,$A689+1)))*INDEX(Surface_Engine!$B$12:$B$72,$A689+1)+I690</f>
        <v>0.475693911276267</v>
      </c>
      <c r="J689" s="48" t="n">
        <f aca="false">B689*(IF($A689&lt;$Q$636,INDEX(Surface_Engine!$D$12:$D$72,$A689+1)*(1+Assumptions!$B$24)+(Surface_Engine!L241*12)*INDEX(Surface_Engine!$F$12:$F$72,$A689+1)-(Surface_Engine!L241*12),1000*12*INDEX(Surface_Engine!$C$12:$C$72,$A689+1)/(1+Assumptions!$B$10)^20+INDEX(Surface_Engine!$D$12:$D$72,$A689+1)*(1+Assumptions!$B$24)))*INDEX(Surface_Engine!$B$12:$B$72,$A689+1)+J690</f>
        <v>0.422093218047603</v>
      </c>
      <c r="K689" s="12" t="n">
        <f aca="false">SQRT((IF(C689&lt;=0,0,MAX(0,(B689/C689)*G689/INDEX(Surface_Engine!$B$12:$B$72,$A689+1)-F689/INDEX(Surface_Engine!$B$12:$B$72,$A689+1))))^2+(MAX(IF(D689&lt;=0,0,MAX(0,(B689/D689)*H689/INDEX(Surface_Engine!$B$12:$B$72,$A689+1)-F689/INDEX(Surface_Engine!$B$12:$B$72,$A689+1))),IF(E689&lt;=0,0,MAX(0,(B689/E689)*I689/INDEX(Surface_Engine!$B$12:$B$72,$A689+1)-F689/INDEX(Surface_Engine!$B$12:$B$72,$A689+1))),IF($A689&lt;$Q$636,MAX(0,-Assumptions!$B$22*(F689/INDEX(Surface_Engine!$B$12:$B$72,$A689+1))),0)))^2+(MAX(0,J689/INDEX(Surface_Engine!$B$12:$B$72,$A689+1)-(F689/INDEX(Surface_Engine!$B$12:$B$72,$A689+1))))^2+2*Assumptions!$B$26*(IF(C689&lt;=0,0,MAX(0,(B689/C689)*G689/INDEX(Surface_Engine!$B$12:$B$72,$A689+1)-F689/INDEX(Surface_Engine!$B$12:$B$72,$A689+1))))*(MAX(IF(D689&lt;=0,0,MAX(0,(B689/D689)*H689/INDEX(Surface_Engine!$B$12:$B$72,$A689+1)-F689/INDEX(Surface_Engine!$B$12:$B$72,$A689+1))),IF(E689&lt;=0,0,MAX(0,(B689/E689)*I689/INDEX(Surface_Engine!$B$12:$B$72,$A689+1)-F689/INDEX(Surface_Engine!$B$12:$B$72,$A689+1))),IF($A689&lt;$Q$636,MAX(0,-Assumptions!$B$22*(F689/INDEX(Surface_Engine!$B$12:$B$72,$A689+1))),0)))+2*Assumptions!$B$27*(IF(C689&lt;=0,0,MAX(0,(B689/C689)*G689/INDEX(Surface_Engine!$B$12:$B$72,$A689+1)-F689/INDEX(Surface_Engine!$B$12:$B$72,$A689+1))))*(MAX(0,J689/INDEX(Surface_Engine!$B$12:$B$72,$A689+1)-(F689/INDEX(Surface_Engine!$B$12:$B$72,$A689+1))))+2*Assumptions!$B$28*(MAX(IF(D689&lt;=0,0,MAX(0,(B689/D689)*H689/INDEX(Surface_Engine!$B$12:$B$72,$A689+1)-F689/INDEX(Surface_Engine!$B$12:$B$72,$A689+1))),IF(E689&lt;=0,0,MAX(0,(B689/E689)*I689/INDEX(Surface_Engine!$B$12:$B$72,$A689+1)-F689/INDEX(Surface_Engine!$B$12:$B$72,$A689+1))),IF($A689&lt;$Q$636,MAX(0,-Assumptions!$B$22*(F689/INDEX(Surface_Engine!$B$12:$B$72,$A689+1))),0)))*(MAX(0,J689/INDEX(Surface_Engine!$B$12:$B$72,$A689+1)-(F689/INDEX(Surface_Engine!$B$12:$B$72,$A689+1)))))</f>
        <v>0.418439698209581</v>
      </c>
      <c r="L689" s="48" t="n">
        <f aca="false">K689*INDEX(Surface_Engine!$B$12:$B$72,$A689+1)+L690</f>
        <v>0.127987086162129</v>
      </c>
      <c r="M689" s="48" t="n">
        <f aca="false">M688+B688*(IF($A688&lt;$Q$636,(Surface_Engine!L241*12)-(Surface_Engine!L241*12)*INDEX(Surface_Engine!$F$12:$F$72,$A688+1)-INDEX(Surface_Engine!$D$12:$D$72,$A688+1),-(1000*12*INDEX(Surface_Engine!$C$12:$C$72,$A688+1)/(1+Assumptions!$B$10)^20+INDEX(Surface_Engine!$D$12:$D$72,$A688+1))))*INDEX(Surface_Engine!$B$12:$B$72,$A688+1)</f>
        <v>1151.96025035437</v>
      </c>
      <c r="N689" s="12" t="n">
        <f aca="false">IF(B689&lt;=0,0,MAX(0,(K689+Assumptions!$B$29*L689/INDEX(Surface_Engine!$B$12:$B$72,$A689+1)-(M689/INDEX(Surface_Engine!$B$12:$B$72,$A689+1)-(F689/INDEX(Surface_Engine!$B$12:$B$72,$A689+1))))/B689))</f>
        <v>0</v>
      </c>
    </row>
    <row r="690" customFormat="false" ht="15" hidden="false" customHeight="true" outlineLevel="0" collapsed="false">
      <c r="A690" s="1" t="n">
        <v>52</v>
      </c>
      <c r="B690" s="32" t="n">
        <f aca="false">INDEX(Surface_Engine!$L$12:$L$72,$A690+1)*IF($A690&lt;$Q$636,INDEX(Surface_Engine!$E$12:$E$72,$A690+1),INDEX(Surface_Engine!$E$12:$E$72,$Q$636+1))</f>
        <v>2.44312588030692E-005</v>
      </c>
      <c r="C690" s="32" t="n">
        <f aca="false">INDEX(Panel_Reserving!$D$8:$D$68,$A690+1)*IF($A690&lt;$Q$636,INDEX(Surface_Engine!$E$12:$E$72,$A690+1),INDEX(Surface_Engine!$E$12:$E$72,$Q$636+1))</f>
        <v>0.00029973039748833</v>
      </c>
      <c r="D690" s="32" t="n">
        <f aca="false">INDEX(Surface_Engine!$L$12:$L$72,$A690+1)*IF($A690&lt;$Q$636,INDEX(Surface_Engine!$Y$12:$Y$72,$A690+1),INDEX(Surface_Engine!$Y$12:$Y$72,$Q$636+1))</f>
        <v>2.16282842201816E-005</v>
      </c>
      <c r="E690" s="32" t="n">
        <f aca="false">INDEX(Surface_Engine!$L$12:$L$72,$A690+1)*IF($A690&lt;$Q$636,INDEX(Surface_Engine!$Z$12:$Z$72,$A690+1),INDEX(Surface_Engine!$Z$12:$Z$72,$Q$636+1))</f>
        <v>2.75692645967075E-005</v>
      </c>
      <c r="F690" s="48" t="n">
        <f aca="false">B690*(IF($A690&lt;$Q$636,INDEX(Surface_Engine!$D$12:$D$72,$A690+1)+(Surface_Engine!L241*12)*INDEX(Surface_Engine!$F$12:$F$72,$A690+1)-(Surface_Engine!L241*12),1000*12*INDEX(Surface_Engine!$C$12:$C$72,$A690+1)/(1+Assumptions!$B$10)^20+INDEX(Surface_Engine!$D$12:$D$72,$A690+1)))*INDEX(Surface_Engine!$B$12:$B$72,$A690+1)+F691</f>
        <v>0.181990090145134</v>
      </c>
      <c r="G690" s="48" t="n">
        <f aca="false">C690*(IF($A690&lt;$Q$636,INDEX(Surface_Engine!$D$12:$D$72,$A690+1)+(Surface_Engine!L241*12)*INDEX(Surface_Engine!$F$12:$F$72,$A690+1)-(Surface_Engine!L241*12),1000*12*INDEX(Surface_Engine!$C$12:$C$72,$A690+1)/(1+Assumptions!$B$10)^20+INDEX(Surface_Engine!$D$12:$D$72,$A690+1)))*INDEX(Surface_Engine!$B$12:$B$72,$A690+1)+G691</f>
        <v>2.62500265369961</v>
      </c>
      <c r="H690" s="48" t="n">
        <f aca="false">D690*(IF($A690&lt;$Q$636,INDEX(Surface_Engine!$D$12:$D$72,$A690+1)+(Surface_Engine!L241*12)*INDEX(Surface_Engine!$F$12:$F$72,$A690+1)-(Surface_Engine!L241*12),1000*12*INDEX(Surface_Engine!$C$12:$C$72,$A690+1)/(1+Assumptions!$B$10)^20+INDEX(Surface_Engine!$D$12:$D$72,$A690+1)))*INDEX(Surface_Engine!$B$12:$B$72,$A690+1)+H691</f>
        <v>0.161110543940574</v>
      </c>
      <c r="I690" s="48" t="n">
        <f aca="false">E690*(IF($A690&lt;$Q$636,INDEX(Surface_Engine!$D$12:$D$72,$A690+1)+(Surface_Engine!L241*12)*INDEX(Surface_Engine!$F$12:$F$72,$A690+1)-(Surface_Engine!L241*12),1000*12*INDEX(Surface_Engine!$C$12:$C$72,$A690+1)/(1+Assumptions!$B$10)^20+INDEX(Surface_Engine!$D$12:$D$72,$A690+1)))*INDEX(Surface_Engine!$B$12:$B$72,$A690+1)+I691</f>
        <v>0.205365306373797</v>
      </c>
      <c r="J690" s="48" t="n">
        <f aca="false">B690*(IF($A690&lt;$Q$636,INDEX(Surface_Engine!$D$12:$D$72,$A690+1)*(1+Assumptions!$B$24)+(Surface_Engine!L241*12)*INDEX(Surface_Engine!$F$12:$F$72,$A690+1)-(Surface_Engine!L241*12),1000*12*INDEX(Surface_Engine!$C$12:$C$72,$A690+1)/(1+Assumptions!$B$10)^20+INDEX(Surface_Engine!$D$12:$D$72,$A690+1)*(1+Assumptions!$B$24)))*INDEX(Surface_Engine!$B$12:$B$72,$A690+1)+J691</f>
        <v>0.182225991338113</v>
      </c>
      <c r="K690" s="12" t="n">
        <f aca="false">SQRT((IF(C690&lt;=0,0,MAX(0,(B690/C690)*G690/INDEX(Surface_Engine!$B$12:$B$72,$A690+1)-F690/INDEX(Surface_Engine!$B$12:$B$72,$A690+1))))^2+(MAX(IF(D690&lt;=0,0,MAX(0,(B690/D690)*H690/INDEX(Surface_Engine!$B$12:$B$72,$A690+1)-F690/INDEX(Surface_Engine!$B$12:$B$72,$A690+1))),IF(E690&lt;=0,0,MAX(0,(B690/E690)*I690/INDEX(Surface_Engine!$B$12:$B$72,$A690+1)-F690/INDEX(Surface_Engine!$B$12:$B$72,$A690+1))),IF($A690&lt;$Q$636,MAX(0,-Assumptions!$B$22*(F690/INDEX(Surface_Engine!$B$12:$B$72,$A690+1))),0)))^2+(MAX(0,J690/INDEX(Surface_Engine!$B$12:$B$72,$A690+1)-(F690/INDEX(Surface_Engine!$B$12:$B$72,$A690+1))))^2+2*Assumptions!$B$26*(IF(C690&lt;=0,0,MAX(0,(B690/C690)*G690/INDEX(Surface_Engine!$B$12:$B$72,$A690+1)-F690/INDEX(Surface_Engine!$B$12:$B$72,$A690+1))))*(MAX(IF(D690&lt;=0,0,MAX(0,(B690/D690)*H690/INDEX(Surface_Engine!$B$12:$B$72,$A690+1)-F690/INDEX(Surface_Engine!$B$12:$B$72,$A690+1))),IF(E690&lt;=0,0,MAX(0,(B690/E690)*I690/INDEX(Surface_Engine!$B$12:$B$72,$A690+1)-F690/INDEX(Surface_Engine!$B$12:$B$72,$A690+1))),IF($A690&lt;$Q$636,MAX(0,-Assumptions!$B$22*(F690/INDEX(Surface_Engine!$B$12:$B$72,$A690+1))),0)))+2*Assumptions!$B$27*(IF(C690&lt;=0,0,MAX(0,(B690/C690)*G690/INDEX(Surface_Engine!$B$12:$B$72,$A690+1)-F690/INDEX(Surface_Engine!$B$12:$B$72,$A690+1))))*(MAX(0,J690/INDEX(Surface_Engine!$B$12:$B$72,$A690+1)-(F690/INDEX(Surface_Engine!$B$12:$B$72,$A690+1))))+2*Assumptions!$B$28*(MAX(IF(D690&lt;=0,0,MAX(0,(B690/D690)*H690/INDEX(Surface_Engine!$B$12:$B$72,$A690+1)-F690/INDEX(Surface_Engine!$B$12:$B$72,$A690+1))),IF(E690&lt;=0,0,MAX(0,(B690/E690)*I690/INDEX(Surface_Engine!$B$12:$B$72,$A690+1)-F690/INDEX(Surface_Engine!$B$12:$B$72,$A690+1))),IF($A690&lt;$Q$636,MAX(0,-Assumptions!$B$22*(F690/INDEX(Surface_Engine!$B$12:$B$72,$A690+1))),0)))*(MAX(0,J690/INDEX(Surface_Engine!$B$12:$B$72,$A690+1)-(F690/INDEX(Surface_Engine!$B$12:$B$72,$A690+1)))))</f>
        <v>0.166309592866233</v>
      </c>
      <c r="L690" s="48" t="n">
        <f aca="false">K690*INDEX(Surface_Engine!$B$12:$B$72,$A690+1)+L691</f>
        <v>0.0447493921458839</v>
      </c>
      <c r="M690" s="48" t="n">
        <f aca="false">M689+B689*(IF($A689&lt;$Q$636,(Surface_Engine!L241*12)-(Surface_Engine!L241*12)*INDEX(Surface_Engine!$F$12:$F$72,$A689+1)-INDEX(Surface_Engine!$D$12:$D$72,$A689+1),-(1000*12*INDEX(Surface_Engine!$C$12:$C$72,$A689+1)/(1+Assumptions!$B$10)^20+INDEX(Surface_Engine!$D$12:$D$72,$A689+1))))*INDEX(Surface_Engine!$B$12:$B$72,$A689+1)</f>
        <v>1151.72069125822</v>
      </c>
      <c r="N690" s="12" t="n">
        <f aca="false">IF(B690&lt;=0,0,MAX(0,(K690+Assumptions!$B$29*L690/INDEX(Surface_Engine!$B$12:$B$72,$A690+1)-(M690/INDEX(Surface_Engine!$B$12:$B$72,$A690+1)-(F690/INDEX(Surface_Engine!$B$12:$B$72,$A690+1))))/B690))</f>
        <v>0</v>
      </c>
    </row>
    <row r="691" customFormat="false" ht="15" hidden="false" customHeight="true" outlineLevel="0" collapsed="false">
      <c r="A691" s="1" t="n">
        <v>53</v>
      </c>
      <c r="B691" s="32" t="n">
        <f aca="false">INDEX(Surface_Engine!$L$12:$L$72,$A691+1)*IF($A691&lt;$Q$636,INDEX(Surface_Engine!$E$12:$E$72,$A691+1),INDEX(Surface_Engine!$E$12:$E$72,$Q$636+1))</f>
        <v>1.07299399463196E-005</v>
      </c>
      <c r="C691" s="32" t="n">
        <f aca="false">INDEX(Panel_Reserving!$D$8:$D$68,$A691+1)*IF($A691&lt;$Q$636,INDEX(Surface_Engine!$E$12:$E$72,$A691+1),INDEX(Surface_Engine!$E$12:$E$72,$Q$636+1))</f>
        <v>0.000165256712602899</v>
      </c>
      <c r="D691" s="32" t="n">
        <f aca="false">INDEX(Surface_Engine!$L$12:$L$72,$A691+1)*IF($A691&lt;$Q$636,INDEX(Surface_Engine!$Y$12:$Y$72,$A691+1),INDEX(Surface_Engine!$Y$12:$Y$72,$Q$636+1))</f>
        <v>9.49890436244429E-006</v>
      </c>
      <c r="E691" s="32" t="n">
        <f aca="false">INDEX(Surface_Engine!$L$12:$L$72,$A691+1)*IF($A691&lt;$Q$636,INDEX(Surface_Engine!$Z$12:$Z$72,$A691+1),INDEX(Surface_Engine!$Z$12:$Z$72,$Q$636+1))</f>
        <v>1.21081175501978E-005</v>
      </c>
      <c r="F691" s="48" t="n">
        <f aca="false">B691*(IF($A691&lt;$Q$636,INDEX(Surface_Engine!$D$12:$D$72,$A691+1)+(Surface_Engine!L241*12)*INDEX(Surface_Engine!$F$12:$F$72,$A691+1)-(Surface_Engine!L241*12),1000*12*INDEX(Surface_Engine!$C$12:$C$72,$A691+1)/(1+Assumptions!$B$10)^20+INDEX(Surface_Engine!$D$12:$D$72,$A691+1)))*INDEX(Surface_Engine!$B$12:$B$72,$A691+1)+F692</f>
        <v>0.0741700697307612</v>
      </c>
      <c r="G691" s="48" t="n">
        <f aca="false">C691*(IF($A691&lt;$Q$636,INDEX(Surface_Engine!$D$12:$D$72,$A691+1)+(Surface_Engine!L241*12)*INDEX(Surface_Engine!$F$12:$F$72,$A691+1)-(Surface_Engine!L241*12),1000*12*INDEX(Surface_Engine!$C$12:$C$72,$A691+1)/(1+Assumptions!$B$10)^20+INDEX(Surface_Engine!$D$12:$D$72,$A691+1)))*INDEX(Surface_Engine!$B$12:$B$72,$A691+1)+G692</f>
        <v>1.30223259766223</v>
      </c>
      <c r="H691" s="48" t="n">
        <f aca="false">D691*(IF($A691&lt;$Q$636,INDEX(Surface_Engine!$D$12:$D$72,$A691+1)+(Surface_Engine!L241*12)*INDEX(Surface_Engine!$F$12:$F$72,$A691+1)-(Surface_Engine!L241*12),1000*12*INDEX(Surface_Engine!$C$12:$C$72,$A691+1)/(1+Assumptions!$B$10)^20+INDEX(Surface_Engine!$D$12:$D$72,$A691+1)))*INDEX(Surface_Engine!$B$12:$B$72,$A691+1)+H692</f>
        <v>0.065660609700801</v>
      </c>
      <c r="I691" s="48" t="n">
        <f aca="false">E691*(IF($A691&lt;$Q$636,INDEX(Surface_Engine!$D$12:$D$72,$A691+1)+(Surface_Engine!L241*12)*INDEX(Surface_Engine!$F$12:$F$72,$A691+1)-(Surface_Engine!L241*12),1000*12*INDEX(Surface_Engine!$C$12:$C$72,$A691+1)/(1+Assumptions!$B$10)^20+INDEX(Surface_Engine!$D$12:$D$72,$A691+1)))*INDEX(Surface_Engine!$B$12:$B$72,$A691+1)+I692</f>
        <v>0.0836966401954989</v>
      </c>
      <c r="J691" s="48" t="n">
        <f aca="false">B691*(IF($A691&lt;$Q$636,INDEX(Surface_Engine!$D$12:$D$72,$A691+1)*(1+Assumptions!$B$24)+(Surface_Engine!L241*12)*INDEX(Surface_Engine!$F$12:$F$72,$A691+1)-(Surface_Engine!L241*12),1000*12*INDEX(Surface_Engine!$C$12:$C$72,$A691+1)/(1+Assumptions!$B$10)^20+INDEX(Surface_Engine!$D$12:$D$72,$A691+1)*(1+Assumptions!$B$24)))*INDEX(Surface_Engine!$B$12:$B$72,$A691+1)+J692</f>
        <v>0.0742666174396307</v>
      </c>
      <c r="K691" s="12" t="n">
        <f aca="false">SQRT((IF(C691&lt;=0,0,MAX(0,(B691/C691)*G691/INDEX(Surface_Engine!$B$12:$B$72,$A691+1)-F691/INDEX(Surface_Engine!$B$12:$B$72,$A691+1))))^2+(MAX(IF(D691&lt;=0,0,MAX(0,(B691/D691)*H691/INDEX(Surface_Engine!$B$12:$B$72,$A691+1)-F691/INDEX(Surface_Engine!$B$12:$B$72,$A691+1))),IF(E691&lt;=0,0,MAX(0,(B691/E691)*I691/INDEX(Surface_Engine!$B$12:$B$72,$A691+1)-F691/INDEX(Surface_Engine!$B$12:$B$72,$A691+1))),IF($A691&lt;$Q$636,MAX(0,-Assumptions!$B$22*(F691/INDEX(Surface_Engine!$B$12:$B$72,$A691+1))),0)))^2+(MAX(0,J691/INDEX(Surface_Engine!$B$12:$B$72,$A691+1)-(F691/INDEX(Surface_Engine!$B$12:$B$72,$A691+1))))^2+2*Assumptions!$B$26*(IF(C691&lt;=0,0,MAX(0,(B691/C691)*G691/INDEX(Surface_Engine!$B$12:$B$72,$A691+1)-F691/INDEX(Surface_Engine!$B$12:$B$72,$A691+1))))*(MAX(IF(D691&lt;=0,0,MAX(0,(B691/D691)*H691/INDEX(Surface_Engine!$B$12:$B$72,$A691+1)-F691/INDEX(Surface_Engine!$B$12:$B$72,$A691+1))),IF(E691&lt;=0,0,MAX(0,(B691/E691)*I691/INDEX(Surface_Engine!$B$12:$B$72,$A691+1)-F691/INDEX(Surface_Engine!$B$12:$B$72,$A691+1))),IF($A691&lt;$Q$636,MAX(0,-Assumptions!$B$22*(F691/INDEX(Surface_Engine!$B$12:$B$72,$A691+1))),0)))+2*Assumptions!$B$27*(IF(C691&lt;=0,0,MAX(0,(B691/C691)*G691/INDEX(Surface_Engine!$B$12:$B$72,$A691+1)-F691/INDEX(Surface_Engine!$B$12:$B$72,$A691+1))))*(MAX(0,J691/INDEX(Surface_Engine!$B$12:$B$72,$A691+1)-(F691/INDEX(Surface_Engine!$B$12:$B$72,$A691+1))))+2*Assumptions!$B$28*(MAX(IF(D691&lt;=0,0,MAX(0,(B691/D691)*H691/INDEX(Surface_Engine!$B$12:$B$72,$A691+1)-F691/INDEX(Surface_Engine!$B$12:$B$72,$A691+1))),IF(E691&lt;=0,0,MAX(0,(B691/E691)*I691/INDEX(Surface_Engine!$B$12:$B$72,$A691+1)-F691/INDEX(Surface_Engine!$B$12:$B$72,$A691+1))),IF($A691&lt;$Q$636,MAX(0,-Assumptions!$B$22*(F691/INDEX(Surface_Engine!$B$12:$B$72,$A691+1))),0)))*(MAX(0,J691/INDEX(Surface_Engine!$B$12:$B$72,$A691+1)-(F691/INDEX(Surface_Engine!$B$12:$B$72,$A691+1)))))</f>
        <v>0.0557941526779558</v>
      </c>
      <c r="L691" s="48" t="n">
        <f aca="false">K691*INDEX(Surface_Engine!$B$12:$B$72,$A691+1)+L692</f>
        <v>0.0127136761590403</v>
      </c>
      <c r="M691" s="48" t="n">
        <f aca="false">M690+B690*(IF($A690&lt;$Q$636,(Surface_Engine!L241*12)-(Surface_Engine!L241*12)*INDEX(Surface_Engine!$F$12:$F$72,$A690+1)-INDEX(Surface_Engine!$D$12:$D$72,$A690+1),-(1000*12*INDEX(Surface_Engine!$C$12:$C$72,$A690+1)/(1+Assumptions!$B$10)^20+INDEX(Surface_Engine!$D$12:$D$72,$A690+1))))*INDEX(Surface_Engine!$B$12:$B$72,$A690+1)</f>
        <v>1151.61287123781</v>
      </c>
      <c r="N691" s="12" t="n">
        <f aca="false">IF(B691&lt;=0,0,MAX(0,(K691+Assumptions!$B$29*L691/INDEX(Surface_Engine!$B$12:$B$72,$A691+1)-(M691/INDEX(Surface_Engine!$B$12:$B$72,$A691+1)-(F691/INDEX(Surface_Engine!$B$12:$B$72,$A691+1))))/B691))</f>
        <v>0</v>
      </c>
    </row>
    <row r="692" customFormat="false" ht="15" hidden="false" customHeight="true" outlineLevel="0" collapsed="false">
      <c r="A692" s="1" t="n">
        <v>54</v>
      </c>
      <c r="B692" s="32" t="n">
        <f aca="false">INDEX(Surface_Engine!$L$12:$L$72,$A692+1)*IF($A692&lt;$Q$636,INDEX(Surface_Engine!$E$12:$E$72,$A692+1),INDEX(Surface_Engine!$E$12:$E$72,$Q$636+1))</f>
        <v>4.53964449309554E-006</v>
      </c>
      <c r="C692" s="32" t="n">
        <f aca="false">INDEX(Panel_Reserving!$D$8:$D$68,$A692+1)*IF($A692&lt;$Q$636,INDEX(Surface_Engine!$E$12:$E$72,$A692+1),INDEX(Surface_Engine!$E$12:$E$72,$Q$636+1))</f>
        <v>8.89850554075488E-005</v>
      </c>
      <c r="D692" s="32" t="n">
        <f aca="false">INDEX(Surface_Engine!$L$12:$L$72,$A692+1)*IF($A692&lt;$Q$636,INDEX(Surface_Engine!$Y$12:$Y$72,$A692+1),INDEX(Surface_Engine!$Y$12:$Y$72,$Q$636+1))</f>
        <v>4.01881549152587E-006</v>
      </c>
      <c r="E692" s="32" t="n">
        <f aca="false">INDEX(Surface_Engine!$L$12:$L$72,$A692+1)*IF($A692&lt;$Q$636,INDEX(Surface_Engine!$Z$12:$Z$72,$A692+1),INDEX(Surface_Engine!$Z$12:$Z$72,$Q$636+1))</f>
        <v>5.12272663533057E-006</v>
      </c>
      <c r="F692" s="48" t="n">
        <f aca="false">B692*(IF($A692&lt;$Q$636,INDEX(Surface_Engine!$D$12:$D$72,$A692+1)+(Surface_Engine!L241*12)*INDEX(Surface_Engine!$F$12:$F$72,$A692+1)-(Surface_Engine!L241*12),1000*12*INDEX(Surface_Engine!$C$12:$C$72,$A692+1)/(1+Assumptions!$B$10)^20+INDEX(Surface_Engine!$D$12:$D$72,$A692+1)))*INDEX(Surface_Engine!$B$12:$B$72,$A692+1)+F693</f>
        <v>0.0273965443730801</v>
      </c>
      <c r="G692" s="48" t="n">
        <f aca="false">C692*(IF($A692&lt;$Q$636,INDEX(Surface_Engine!$D$12:$D$72,$A692+1)+(Surface_Engine!L241*12)*INDEX(Surface_Engine!$F$12:$F$72,$A692+1)-(Surface_Engine!L241*12),1000*12*INDEX(Surface_Engine!$C$12:$C$72,$A692+1)/(1+Assumptions!$B$10)^20+INDEX(Surface_Engine!$D$12:$D$72,$A692+1)))*INDEX(Surface_Engine!$B$12:$B$72,$A692+1)+G693</f>
        <v>0.581852141095929</v>
      </c>
      <c r="H692" s="48" t="n">
        <f aca="false">D692*(IF($A692&lt;$Q$636,INDEX(Surface_Engine!$D$12:$D$72,$A692+1)+(Surface_Engine!L241*12)*INDEX(Surface_Engine!$F$12:$F$72,$A692+1)-(Surface_Engine!L241*12),1000*12*INDEX(Surface_Engine!$C$12:$C$72,$A692+1)/(1+Assumptions!$B$10)^20+INDEX(Surface_Engine!$D$12:$D$72,$A692+1)))*INDEX(Surface_Engine!$B$12:$B$72,$A692+1)+H693</f>
        <v>0.0242533654580808</v>
      </c>
      <c r="I692" s="48" t="n">
        <f aca="false">E692*(IF($A692&lt;$Q$636,INDEX(Surface_Engine!$D$12:$D$72,$A692+1)+(Surface_Engine!L241*12)*INDEX(Surface_Engine!$F$12:$F$72,$A692+1)-(Surface_Engine!L241*12),1000*12*INDEX(Surface_Engine!$C$12:$C$72,$A692+1)/(1+Assumptions!$B$10)^20+INDEX(Surface_Engine!$D$12:$D$72,$A692+1)))*INDEX(Surface_Engine!$B$12:$B$72,$A692+1)+I693</f>
        <v>0.0309154181102611</v>
      </c>
      <c r="J692" s="48" t="n">
        <f aca="false">B692*(IF($A692&lt;$Q$636,INDEX(Surface_Engine!$D$12:$D$72,$A692+1)*(1+Assumptions!$B$24)+(Surface_Engine!L241*12)*INDEX(Surface_Engine!$F$12:$F$72,$A692+1)-(Surface_Engine!L241*12),1000*12*INDEX(Surface_Engine!$C$12:$C$72,$A692+1)/(1+Assumptions!$B$10)^20+INDEX(Surface_Engine!$D$12:$D$72,$A692+1)*(1+Assumptions!$B$24)))*INDEX(Surface_Engine!$B$12:$B$72,$A692+1)+J693</f>
        <v>0.0274323464988478</v>
      </c>
      <c r="K692" s="12" t="n">
        <f aca="false">SQRT((IF(C692&lt;=0,0,MAX(0,(B692/C692)*G692/INDEX(Surface_Engine!$B$12:$B$72,$A692+1)-F692/INDEX(Surface_Engine!$B$12:$B$72,$A692+1))))^2+(MAX(IF(D692&lt;=0,0,MAX(0,(B692/D692)*H692/INDEX(Surface_Engine!$B$12:$B$72,$A692+1)-F692/INDEX(Surface_Engine!$B$12:$B$72,$A692+1))),IF(E692&lt;=0,0,MAX(0,(B692/E692)*I692/INDEX(Surface_Engine!$B$12:$B$72,$A692+1)-F692/INDEX(Surface_Engine!$B$12:$B$72,$A692+1))),IF($A692&lt;$Q$636,MAX(0,-Assumptions!$B$22*(F692/INDEX(Surface_Engine!$B$12:$B$72,$A692+1))),0)))^2+(MAX(0,J692/INDEX(Surface_Engine!$B$12:$B$72,$A692+1)-(F692/INDEX(Surface_Engine!$B$12:$B$72,$A692+1))))^2+2*Assumptions!$B$26*(IF(C692&lt;=0,0,MAX(0,(B692/C692)*G692/INDEX(Surface_Engine!$B$12:$B$72,$A692+1)-F692/INDEX(Surface_Engine!$B$12:$B$72,$A692+1))))*(MAX(IF(D692&lt;=0,0,MAX(0,(B692/D692)*H692/INDEX(Surface_Engine!$B$12:$B$72,$A692+1)-F692/INDEX(Surface_Engine!$B$12:$B$72,$A692+1))),IF(E692&lt;=0,0,MAX(0,(B692/E692)*I692/INDEX(Surface_Engine!$B$12:$B$72,$A692+1)-F692/INDEX(Surface_Engine!$B$12:$B$72,$A692+1))),IF($A692&lt;$Q$636,MAX(0,-Assumptions!$B$22*(F692/INDEX(Surface_Engine!$B$12:$B$72,$A692+1))),0)))+2*Assumptions!$B$27*(IF(C692&lt;=0,0,MAX(0,(B692/C692)*G692/INDEX(Surface_Engine!$B$12:$B$72,$A692+1)-F692/INDEX(Surface_Engine!$B$12:$B$72,$A692+1))))*(MAX(0,J692/INDEX(Surface_Engine!$B$12:$B$72,$A692+1)-(F692/INDEX(Surface_Engine!$B$12:$B$72,$A692+1))))+2*Assumptions!$B$28*(MAX(IF(D692&lt;=0,0,MAX(0,(B692/D692)*H692/INDEX(Surface_Engine!$B$12:$B$72,$A692+1)-F692/INDEX(Surface_Engine!$B$12:$B$72,$A692+1))),IF(E692&lt;=0,0,MAX(0,(B692/E692)*I692/INDEX(Surface_Engine!$B$12:$B$72,$A692+1)-F692/INDEX(Surface_Engine!$B$12:$B$72,$A692+1))),IF($A692&lt;$Q$636,MAX(0,-Assumptions!$B$22*(F692/INDEX(Surface_Engine!$B$12:$B$72,$A692+1))),0)))*(MAX(0,J692/INDEX(Surface_Engine!$B$12:$B$72,$A692+1)-(F692/INDEX(Surface_Engine!$B$12:$B$72,$A692+1)))))</f>
        <v>0.0127206320297212</v>
      </c>
      <c r="L692" s="48" t="n">
        <f aca="false">K692*INDEX(Surface_Engine!$B$12:$B$72,$A692+1)+L693</f>
        <v>0.00230663236035214</v>
      </c>
      <c r="M692" s="48" t="n">
        <f aca="false">M691+B691*(IF($A691&lt;$Q$636,(Surface_Engine!L241*12)-(Surface_Engine!L241*12)*INDEX(Surface_Engine!$F$12:$F$72,$A691+1)-INDEX(Surface_Engine!$D$12:$D$72,$A691+1),-(1000*12*INDEX(Surface_Engine!$C$12:$C$72,$A691+1)/(1+Assumptions!$B$10)^20+INDEX(Surface_Engine!$D$12:$D$72,$A691+1))))*INDEX(Surface_Engine!$B$12:$B$72,$A691+1)</f>
        <v>1151.56609771245</v>
      </c>
      <c r="N692" s="12" t="n">
        <f aca="false">IF(B692&lt;=0,0,MAX(0,(K692+Assumptions!$B$29*L692/INDEX(Surface_Engine!$B$12:$B$72,$A692+1)-(M692/INDEX(Surface_Engine!$B$12:$B$72,$A692+1)-(F692/INDEX(Surface_Engine!$B$12:$B$72,$A692+1))))/B692))</f>
        <v>0</v>
      </c>
    </row>
    <row r="693" customFormat="false" ht="15" hidden="false" customHeight="true" outlineLevel="0" collapsed="false">
      <c r="A693" s="1" t="n">
        <v>55</v>
      </c>
      <c r="B693" s="32" t="n">
        <f aca="false">INDEX(Surface_Engine!$L$12:$L$72,$A693+1)*IF($A693&lt;$Q$636,INDEX(Surface_Engine!$E$12:$E$72,$A693+1),INDEX(Surface_Engine!$E$12:$E$72,$Q$636+1))</f>
        <v>1.84927143731074E-006</v>
      </c>
      <c r="C693" s="32" t="n">
        <f aca="false">INDEX(Panel_Reserving!$D$8:$D$68,$A693+1)*IF($A693&lt;$Q$636,INDEX(Surface_Engine!$E$12:$E$72,$A693+1),INDEX(Surface_Engine!$E$12:$E$72,$Q$636+1))</f>
        <v>4.67962019323304E-005</v>
      </c>
      <c r="D693" s="32" t="n">
        <f aca="false">INDEX(Surface_Engine!$L$12:$L$72,$A693+1)*IF($A693&lt;$Q$636,INDEX(Surface_Engine!$Y$12:$Y$72,$A693+1),INDEX(Surface_Engine!$Y$12:$Y$72,$Q$636+1))</f>
        <v>1.63710632222502E-006</v>
      </c>
      <c r="E693" s="32" t="n">
        <f aca="false">INDEX(Surface_Engine!$L$12:$L$72,$A693+1)*IF($A693&lt;$Q$636,INDEX(Surface_Engine!$Z$12:$Z$72,$A693+1),INDEX(Surface_Engine!$Z$12:$Z$72,$Q$636+1))</f>
        <v>2.0867960172379E-006</v>
      </c>
      <c r="F693" s="48" t="n">
        <f aca="false">B693*(IF($A693&lt;$Q$636,INDEX(Surface_Engine!$D$12:$D$72,$A693+1)+(Surface_Engine!L241*12)*INDEX(Surface_Engine!$F$12:$F$72,$A693+1)-(Surface_Engine!L241*12),1000*12*INDEX(Surface_Engine!$C$12:$C$72,$A693+1)/(1+Assumptions!$B$10)^20+INDEX(Surface_Engine!$D$12:$D$72,$A693+1)))*INDEX(Surface_Engine!$B$12:$B$72,$A693+1)+F694</f>
        <v>0.00786041949735274</v>
      </c>
      <c r="G693" s="48" t="n">
        <f aca="false">C693*(IF($A693&lt;$Q$636,INDEX(Surface_Engine!$D$12:$D$72,$A693+1)+(Surface_Engine!L241*12)*INDEX(Surface_Engine!$F$12:$F$72,$A693+1)-(Surface_Engine!L241*12),1000*12*INDEX(Surface_Engine!$C$12:$C$72,$A693+1)/(1+Assumptions!$B$10)^20+INDEX(Surface_Engine!$D$12:$D$72,$A693+1)))*INDEX(Surface_Engine!$B$12:$B$72,$A693+1)+G694</f>
        <v>0.198909565491298</v>
      </c>
      <c r="H693" s="48" t="n">
        <f aca="false">D693*(IF($A693&lt;$Q$636,INDEX(Surface_Engine!$D$12:$D$72,$A693+1)+(Surface_Engine!L241*12)*INDEX(Surface_Engine!$F$12:$F$72,$A693+1)-(Surface_Engine!L241*12),1000*12*INDEX(Surface_Engine!$C$12:$C$72,$A693+1)/(1+Assumptions!$B$10)^20+INDEX(Surface_Engine!$D$12:$D$72,$A693+1)))*INDEX(Surface_Engine!$B$12:$B$72,$A693+1)+H694</f>
        <v>0.00695860120630559</v>
      </c>
      <c r="I693" s="48" t="n">
        <f aca="false">E693*(IF($A693&lt;$Q$636,INDEX(Surface_Engine!$D$12:$D$72,$A693+1)+(Surface_Engine!L241*12)*INDEX(Surface_Engine!$F$12:$F$72,$A693+1)-(Surface_Engine!L241*12),1000*12*INDEX(Surface_Engine!$C$12:$C$72,$A693+1)/(1+Assumptions!$B$10)^20+INDEX(Surface_Engine!$D$12:$D$72,$A693+1)))*INDEX(Surface_Engine!$B$12:$B$72,$A693+1)+I694</f>
        <v>0.00887002944508174</v>
      </c>
      <c r="J693" s="48" t="n">
        <f aca="false">B693*(IF($A693&lt;$Q$636,INDEX(Surface_Engine!$D$12:$D$72,$A693+1)*(1+Assumptions!$B$24)+(Surface_Engine!L241*12)*INDEX(Surface_Engine!$F$12:$F$72,$A693+1)-(Surface_Engine!L241*12),1000*12*INDEX(Surface_Engine!$C$12:$C$72,$A693+1)/(1+Assumptions!$B$10)^20+INDEX(Surface_Engine!$D$12:$D$72,$A693+1)*(1+Assumptions!$B$24)))*INDEX(Surface_Engine!$B$12:$B$72,$A693+1)+J694</f>
        <v>0.00787072697220338</v>
      </c>
      <c r="K693" s="12" t="n">
        <f aca="false">SQRT((IF(C693&lt;=0,0,MAX(0,(B693/C693)*G693/INDEX(Surface_Engine!$B$12:$B$72,$A693+1)-F693/INDEX(Surface_Engine!$B$12:$B$72,$A693+1))))^2+(MAX(IF(D693&lt;=0,0,MAX(0,(B693/D693)*H693/INDEX(Surface_Engine!$B$12:$B$72,$A693+1)-F693/INDEX(Surface_Engine!$B$12:$B$72,$A693+1))),IF(E693&lt;=0,0,MAX(0,(B693/E693)*I693/INDEX(Surface_Engine!$B$12:$B$72,$A693+1)-F693/INDEX(Surface_Engine!$B$12:$B$72,$A693+1))),IF($A693&lt;$Q$636,MAX(0,-Assumptions!$B$22*(F693/INDEX(Surface_Engine!$B$12:$B$72,$A693+1))),0)))^2+(MAX(0,J693/INDEX(Surface_Engine!$B$12:$B$72,$A693+1)-(F693/INDEX(Surface_Engine!$B$12:$B$72,$A693+1))))^2+2*Assumptions!$B$26*(IF(C693&lt;=0,0,MAX(0,(B693/C693)*G693/INDEX(Surface_Engine!$B$12:$B$72,$A693+1)-F693/INDEX(Surface_Engine!$B$12:$B$72,$A693+1))))*(MAX(IF(D693&lt;=0,0,MAX(0,(B693/D693)*H693/INDEX(Surface_Engine!$B$12:$B$72,$A693+1)-F693/INDEX(Surface_Engine!$B$12:$B$72,$A693+1))),IF(E693&lt;=0,0,MAX(0,(B693/E693)*I693/INDEX(Surface_Engine!$B$12:$B$72,$A693+1)-F693/INDEX(Surface_Engine!$B$12:$B$72,$A693+1))),IF($A693&lt;$Q$636,MAX(0,-Assumptions!$B$22*(F693/INDEX(Surface_Engine!$B$12:$B$72,$A693+1))),0)))+2*Assumptions!$B$27*(IF(C693&lt;=0,0,MAX(0,(B693/C693)*G693/INDEX(Surface_Engine!$B$12:$B$72,$A693+1)-F693/INDEX(Surface_Engine!$B$12:$B$72,$A693+1))))*(MAX(0,J693/INDEX(Surface_Engine!$B$12:$B$72,$A693+1)-(F693/INDEX(Surface_Engine!$B$12:$B$72,$A693+1))))+2*Assumptions!$B$28*(MAX(IF(D693&lt;=0,0,MAX(0,(B693/D693)*H693/INDEX(Surface_Engine!$B$12:$B$72,$A693+1)-F693/INDEX(Surface_Engine!$B$12:$B$72,$A693+1))),IF(E693&lt;=0,0,MAX(0,(B693/E693)*I693/INDEX(Surface_Engine!$B$12:$B$72,$A693+1)-F693/INDEX(Surface_Engine!$B$12:$B$72,$A693+1))),IF($A693&lt;$Q$636,MAX(0,-Assumptions!$B$22*(F693/INDEX(Surface_Engine!$B$12:$B$72,$A693+1))),0)))*(MAX(0,J693/INDEX(Surface_Engine!$B$12:$B$72,$A693+1)-(F693/INDEX(Surface_Engine!$B$12:$B$72,$A693+1)))))</f>
        <v>5.89694545643435E-005</v>
      </c>
      <c r="L693" s="48" t="n">
        <f aca="false">K693*INDEX(Surface_Engine!$B$12:$B$72,$A693+1)+L694</f>
        <v>1.03074748506384E-005</v>
      </c>
      <c r="M693" s="48" t="n">
        <f aca="false">M692+B692*(IF($A692&lt;$Q$636,(Surface_Engine!L241*12)-(Surface_Engine!L241*12)*INDEX(Surface_Engine!$F$12:$F$72,$A692+1)-INDEX(Surface_Engine!$D$12:$D$72,$A692+1),-(1000*12*INDEX(Surface_Engine!$C$12:$C$72,$A692+1)/(1+Assumptions!$B$10)^20+INDEX(Surface_Engine!$D$12:$D$72,$A692+1))))*INDEX(Surface_Engine!$B$12:$B$72,$A692+1)</f>
        <v>1151.54656158757</v>
      </c>
      <c r="N693" s="12" t="n">
        <f aca="false">IF(B693&lt;=0,0,MAX(0,(K693+Assumptions!$B$29*L693/INDEX(Surface_Engine!$B$12:$B$72,$A693+1)-(M693/INDEX(Surface_Engine!$B$12:$B$72,$A693+1)-(F693/INDEX(Surface_Engine!$B$12:$B$72,$A693+1))))/B693))</f>
        <v>0</v>
      </c>
    </row>
    <row r="694" customFormat="false" ht="15" hidden="false" customHeight="true" outlineLevel="0" collapsed="false">
      <c r="A694" s="1" t="n">
        <v>56</v>
      </c>
      <c r="B694" s="32" t="n">
        <f aca="false">INDEX(Surface_Engine!$L$12:$L$72,$A694+1)*IF($A694&lt;$Q$636,INDEX(Surface_Engine!$E$12:$E$72,$A694+1),INDEX(Surface_Engine!$E$12:$E$72,$Q$636+1))</f>
        <v>0</v>
      </c>
      <c r="C694" s="32" t="n">
        <f aca="false">INDEX(Panel_Reserving!$D$8:$D$68,$A694+1)*IF($A694&lt;$Q$636,INDEX(Surface_Engine!$E$12:$E$72,$A694+1),INDEX(Surface_Engine!$E$12:$E$72,$Q$636+1))</f>
        <v>0</v>
      </c>
      <c r="D694" s="32" t="n">
        <f aca="false">INDEX(Surface_Engine!$L$12:$L$72,$A694+1)*IF($A694&lt;$Q$636,INDEX(Surface_Engine!$Y$12:$Y$72,$A694+1),INDEX(Surface_Engine!$Y$12:$Y$72,$Q$636+1))</f>
        <v>0</v>
      </c>
      <c r="E694" s="32" t="n">
        <f aca="false">INDEX(Surface_Engine!$L$12:$L$72,$A694+1)*IF($A694&lt;$Q$636,INDEX(Surface_Engine!$Z$12:$Z$72,$A694+1),INDEX(Surface_Engine!$Z$12:$Z$72,$Q$636+1))</f>
        <v>0</v>
      </c>
      <c r="F694" s="48" t="n">
        <f aca="false">B694*(IF($A694&lt;$Q$636,INDEX(Surface_Engine!$D$12:$D$72,$A694+1)+(Surface_Engine!L241*12)*INDEX(Surface_Engine!$F$12:$F$72,$A694+1)-(Surface_Engine!L241*12),1000*12*INDEX(Surface_Engine!$C$12:$C$72,$A694+1)/(1+Assumptions!$B$10)^20+INDEX(Surface_Engine!$D$12:$D$72,$A694+1)))*INDEX(Surface_Engine!$B$12:$B$72,$A694+1)+F695</f>
        <v>0</v>
      </c>
      <c r="G694" s="48" t="n">
        <f aca="false">C694*(IF($A694&lt;$Q$636,INDEX(Surface_Engine!$D$12:$D$72,$A694+1)+(Surface_Engine!L241*12)*INDEX(Surface_Engine!$F$12:$F$72,$A694+1)-(Surface_Engine!L241*12),1000*12*INDEX(Surface_Engine!$C$12:$C$72,$A694+1)/(1+Assumptions!$B$10)^20+INDEX(Surface_Engine!$D$12:$D$72,$A694+1)))*INDEX(Surface_Engine!$B$12:$B$72,$A694+1)+G695</f>
        <v>0</v>
      </c>
      <c r="H694" s="48" t="n">
        <f aca="false">D694*(IF($A694&lt;$Q$636,INDEX(Surface_Engine!$D$12:$D$72,$A694+1)+(Surface_Engine!L241*12)*INDEX(Surface_Engine!$F$12:$F$72,$A694+1)-(Surface_Engine!L241*12),1000*12*INDEX(Surface_Engine!$C$12:$C$72,$A694+1)/(1+Assumptions!$B$10)^20+INDEX(Surface_Engine!$D$12:$D$72,$A694+1)))*INDEX(Surface_Engine!$B$12:$B$72,$A694+1)+H695</f>
        <v>0</v>
      </c>
      <c r="I694" s="48" t="n">
        <f aca="false">E694*(IF($A694&lt;$Q$636,INDEX(Surface_Engine!$D$12:$D$72,$A694+1)+(Surface_Engine!L241*12)*INDEX(Surface_Engine!$F$12:$F$72,$A694+1)-(Surface_Engine!L241*12),1000*12*INDEX(Surface_Engine!$C$12:$C$72,$A694+1)/(1+Assumptions!$B$10)^20+INDEX(Surface_Engine!$D$12:$D$72,$A694+1)))*INDEX(Surface_Engine!$B$12:$B$72,$A694+1)+I695</f>
        <v>0</v>
      </c>
      <c r="J694" s="48" t="n">
        <f aca="false">B694*(IF($A694&lt;$Q$636,INDEX(Surface_Engine!$D$12:$D$72,$A694+1)*(1+Assumptions!$B$24)+(Surface_Engine!L241*12)*INDEX(Surface_Engine!$F$12:$F$72,$A694+1)-(Surface_Engine!L241*12),1000*12*INDEX(Surface_Engine!$C$12:$C$72,$A694+1)/(1+Assumptions!$B$10)^20+INDEX(Surface_Engine!$D$12:$D$72,$A694+1)*(1+Assumptions!$B$24)))*INDEX(Surface_Engine!$B$12:$B$72,$A694+1)+J695</f>
        <v>0</v>
      </c>
      <c r="K694" s="12" t="n">
        <f aca="false">SQRT((IF(C694&lt;=0,0,MAX(0,(B694/C694)*G694/INDEX(Surface_Engine!$B$12:$B$72,$A694+1)-F694/INDEX(Surface_Engine!$B$12:$B$72,$A694+1))))^2+(MAX(IF(D694&lt;=0,0,MAX(0,(B694/D694)*H694/INDEX(Surface_Engine!$B$12:$B$72,$A694+1)-F694/INDEX(Surface_Engine!$B$12:$B$72,$A694+1))),IF(E694&lt;=0,0,MAX(0,(B694/E694)*I694/INDEX(Surface_Engine!$B$12:$B$72,$A694+1)-F694/INDEX(Surface_Engine!$B$12:$B$72,$A694+1))),IF($A694&lt;$Q$636,MAX(0,-Assumptions!$B$22*(F694/INDEX(Surface_Engine!$B$12:$B$72,$A694+1))),0)))^2+(MAX(0,J694/INDEX(Surface_Engine!$B$12:$B$72,$A694+1)-(F694/INDEX(Surface_Engine!$B$12:$B$72,$A694+1))))^2+2*Assumptions!$B$26*(IF(C694&lt;=0,0,MAX(0,(B694/C694)*G694/INDEX(Surface_Engine!$B$12:$B$72,$A694+1)-F694/INDEX(Surface_Engine!$B$12:$B$72,$A694+1))))*(MAX(IF(D694&lt;=0,0,MAX(0,(B694/D694)*H694/INDEX(Surface_Engine!$B$12:$B$72,$A694+1)-F694/INDEX(Surface_Engine!$B$12:$B$72,$A694+1))),IF(E694&lt;=0,0,MAX(0,(B694/E694)*I694/INDEX(Surface_Engine!$B$12:$B$72,$A694+1)-F694/INDEX(Surface_Engine!$B$12:$B$72,$A694+1))),IF($A694&lt;$Q$636,MAX(0,-Assumptions!$B$22*(F694/INDEX(Surface_Engine!$B$12:$B$72,$A694+1))),0)))+2*Assumptions!$B$27*(IF(C694&lt;=0,0,MAX(0,(B694/C694)*G694/INDEX(Surface_Engine!$B$12:$B$72,$A694+1)-F694/INDEX(Surface_Engine!$B$12:$B$72,$A694+1))))*(MAX(0,J694/INDEX(Surface_Engine!$B$12:$B$72,$A694+1)-(F694/INDEX(Surface_Engine!$B$12:$B$72,$A694+1))))+2*Assumptions!$B$28*(MAX(IF(D694&lt;=0,0,MAX(0,(B694/D694)*H694/INDEX(Surface_Engine!$B$12:$B$72,$A694+1)-F694/INDEX(Surface_Engine!$B$12:$B$72,$A694+1))),IF(E694&lt;=0,0,MAX(0,(B694/E694)*I694/INDEX(Surface_Engine!$B$12:$B$72,$A694+1)-F694/INDEX(Surface_Engine!$B$12:$B$72,$A694+1))),IF($A694&lt;$Q$636,MAX(0,-Assumptions!$B$22*(F694/INDEX(Surface_Engine!$B$12:$B$72,$A694+1))),0)))*(MAX(0,J694/INDEX(Surface_Engine!$B$12:$B$72,$A694+1)-(F694/INDEX(Surface_Engine!$B$12:$B$72,$A694+1)))))</f>
        <v>0</v>
      </c>
      <c r="L694" s="48" t="n">
        <f aca="false">K694*INDEX(Surface_Engine!$B$12:$B$72,$A694+1)+L695</f>
        <v>0</v>
      </c>
      <c r="M694" s="48" t="n">
        <f aca="false">M693+B693*(IF($A693&lt;$Q$636,(Surface_Engine!L241*12)-(Surface_Engine!L241*12)*INDEX(Surface_Engine!$F$12:$F$72,$A693+1)-INDEX(Surface_Engine!$D$12:$D$72,$A693+1),-(1000*12*INDEX(Surface_Engine!$C$12:$C$72,$A693+1)/(1+Assumptions!$B$10)^20+INDEX(Surface_Engine!$D$12:$D$72,$A693+1))))*INDEX(Surface_Engine!$B$12:$B$72,$A693+1)</f>
        <v>1151.53870116808</v>
      </c>
      <c r="N694" s="12" t="n">
        <f aca="false">IF(B694&lt;=0,0,MAX(0,(K694+Assumptions!$B$29*L694/INDEX(Surface_Engine!$B$12:$B$72,$A694+1)-(M694/INDEX(Surface_Engine!$B$12:$B$72,$A694+1)-(F694/INDEX(Surface_Engine!$B$12:$B$72,$A694+1))))/B694))</f>
        <v>0</v>
      </c>
    </row>
    <row r="695" customFormat="false" ht="15" hidden="false" customHeight="true" outlineLevel="0" collapsed="false">
      <c r="A695" s="1" t="n">
        <v>57</v>
      </c>
      <c r="B695" s="32" t="n">
        <f aca="false">INDEX(Surface_Engine!$L$12:$L$72,$A695+1)*IF($A695&lt;$Q$636,INDEX(Surface_Engine!$E$12:$E$72,$A695+1),INDEX(Surface_Engine!$E$12:$E$72,$Q$636+1))</f>
        <v>0</v>
      </c>
      <c r="C695" s="32" t="n">
        <f aca="false">INDEX(Panel_Reserving!$D$8:$D$68,$A695+1)*IF($A695&lt;$Q$636,INDEX(Surface_Engine!$E$12:$E$72,$A695+1),INDEX(Surface_Engine!$E$12:$E$72,$Q$636+1))</f>
        <v>0</v>
      </c>
      <c r="D695" s="32" t="n">
        <f aca="false">INDEX(Surface_Engine!$L$12:$L$72,$A695+1)*IF($A695&lt;$Q$636,INDEX(Surface_Engine!$Y$12:$Y$72,$A695+1),INDEX(Surface_Engine!$Y$12:$Y$72,$Q$636+1))</f>
        <v>0</v>
      </c>
      <c r="E695" s="32" t="n">
        <f aca="false">INDEX(Surface_Engine!$L$12:$L$72,$A695+1)*IF($A695&lt;$Q$636,INDEX(Surface_Engine!$Z$12:$Z$72,$A695+1),INDEX(Surface_Engine!$Z$12:$Z$72,$Q$636+1))</f>
        <v>0</v>
      </c>
      <c r="F695" s="48" t="n">
        <f aca="false">B695*(IF($A695&lt;$Q$636,INDEX(Surface_Engine!$D$12:$D$72,$A695+1)+(Surface_Engine!L241*12)*INDEX(Surface_Engine!$F$12:$F$72,$A695+1)-(Surface_Engine!L241*12),1000*12*INDEX(Surface_Engine!$C$12:$C$72,$A695+1)/(1+Assumptions!$B$10)^20+INDEX(Surface_Engine!$D$12:$D$72,$A695+1)))*INDEX(Surface_Engine!$B$12:$B$72,$A695+1)+F696</f>
        <v>0</v>
      </c>
      <c r="G695" s="48" t="n">
        <f aca="false">C695*(IF($A695&lt;$Q$636,INDEX(Surface_Engine!$D$12:$D$72,$A695+1)+(Surface_Engine!L241*12)*INDEX(Surface_Engine!$F$12:$F$72,$A695+1)-(Surface_Engine!L241*12),1000*12*INDEX(Surface_Engine!$C$12:$C$72,$A695+1)/(1+Assumptions!$B$10)^20+INDEX(Surface_Engine!$D$12:$D$72,$A695+1)))*INDEX(Surface_Engine!$B$12:$B$72,$A695+1)+G696</f>
        <v>0</v>
      </c>
      <c r="H695" s="48" t="n">
        <f aca="false">D695*(IF($A695&lt;$Q$636,INDEX(Surface_Engine!$D$12:$D$72,$A695+1)+(Surface_Engine!L241*12)*INDEX(Surface_Engine!$F$12:$F$72,$A695+1)-(Surface_Engine!L241*12),1000*12*INDEX(Surface_Engine!$C$12:$C$72,$A695+1)/(1+Assumptions!$B$10)^20+INDEX(Surface_Engine!$D$12:$D$72,$A695+1)))*INDEX(Surface_Engine!$B$12:$B$72,$A695+1)+H696</f>
        <v>0</v>
      </c>
      <c r="I695" s="48" t="n">
        <f aca="false">E695*(IF($A695&lt;$Q$636,INDEX(Surface_Engine!$D$12:$D$72,$A695+1)+(Surface_Engine!L241*12)*INDEX(Surface_Engine!$F$12:$F$72,$A695+1)-(Surface_Engine!L241*12),1000*12*INDEX(Surface_Engine!$C$12:$C$72,$A695+1)/(1+Assumptions!$B$10)^20+INDEX(Surface_Engine!$D$12:$D$72,$A695+1)))*INDEX(Surface_Engine!$B$12:$B$72,$A695+1)+I696</f>
        <v>0</v>
      </c>
      <c r="J695" s="48" t="n">
        <f aca="false">B695*(IF($A695&lt;$Q$636,INDEX(Surface_Engine!$D$12:$D$72,$A695+1)*(1+Assumptions!$B$24)+(Surface_Engine!L241*12)*INDEX(Surface_Engine!$F$12:$F$72,$A695+1)-(Surface_Engine!L241*12),1000*12*INDEX(Surface_Engine!$C$12:$C$72,$A695+1)/(1+Assumptions!$B$10)^20+INDEX(Surface_Engine!$D$12:$D$72,$A695+1)*(1+Assumptions!$B$24)))*INDEX(Surface_Engine!$B$12:$B$72,$A695+1)+J696</f>
        <v>0</v>
      </c>
      <c r="K695" s="12" t="n">
        <f aca="false">SQRT((IF(C695&lt;=0,0,MAX(0,(B695/C695)*G695/INDEX(Surface_Engine!$B$12:$B$72,$A695+1)-F695/INDEX(Surface_Engine!$B$12:$B$72,$A695+1))))^2+(MAX(IF(D695&lt;=0,0,MAX(0,(B695/D695)*H695/INDEX(Surface_Engine!$B$12:$B$72,$A695+1)-F695/INDEX(Surface_Engine!$B$12:$B$72,$A695+1))),IF(E695&lt;=0,0,MAX(0,(B695/E695)*I695/INDEX(Surface_Engine!$B$12:$B$72,$A695+1)-F695/INDEX(Surface_Engine!$B$12:$B$72,$A695+1))),IF($A695&lt;$Q$636,MAX(0,-Assumptions!$B$22*(F695/INDEX(Surface_Engine!$B$12:$B$72,$A695+1))),0)))^2+(MAX(0,J695/INDEX(Surface_Engine!$B$12:$B$72,$A695+1)-(F695/INDEX(Surface_Engine!$B$12:$B$72,$A695+1))))^2+2*Assumptions!$B$26*(IF(C695&lt;=0,0,MAX(0,(B695/C695)*G695/INDEX(Surface_Engine!$B$12:$B$72,$A695+1)-F695/INDEX(Surface_Engine!$B$12:$B$72,$A695+1))))*(MAX(IF(D695&lt;=0,0,MAX(0,(B695/D695)*H695/INDEX(Surface_Engine!$B$12:$B$72,$A695+1)-F695/INDEX(Surface_Engine!$B$12:$B$72,$A695+1))),IF(E695&lt;=0,0,MAX(0,(B695/E695)*I695/INDEX(Surface_Engine!$B$12:$B$72,$A695+1)-F695/INDEX(Surface_Engine!$B$12:$B$72,$A695+1))),IF($A695&lt;$Q$636,MAX(0,-Assumptions!$B$22*(F695/INDEX(Surface_Engine!$B$12:$B$72,$A695+1))),0)))+2*Assumptions!$B$27*(IF(C695&lt;=0,0,MAX(0,(B695/C695)*G695/INDEX(Surface_Engine!$B$12:$B$72,$A695+1)-F695/INDEX(Surface_Engine!$B$12:$B$72,$A695+1))))*(MAX(0,J695/INDEX(Surface_Engine!$B$12:$B$72,$A695+1)-(F695/INDEX(Surface_Engine!$B$12:$B$72,$A695+1))))+2*Assumptions!$B$28*(MAX(IF(D695&lt;=0,0,MAX(0,(B695/D695)*H695/INDEX(Surface_Engine!$B$12:$B$72,$A695+1)-F695/INDEX(Surface_Engine!$B$12:$B$72,$A695+1))),IF(E695&lt;=0,0,MAX(0,(B695/E695)*I695/INDEX(Surface_Engine!$B$12:$B$72,$A695+1)-F695/INDEX(Surface_Engine!$B$12:$B$72,$A695+1))),IF($A695&lt;$Q$636,MAX(0,-Assumptions!$B$22*(F695/INDEX(Surface_Engine!$B$12:$B$72,$A695+1))),0)))*(MAX(0,J695/INDEX(Surface_Engine!$B$12:$B$72,$A695+1)-(F695/INDEX(Surface_Engine!$B$12:$B$72,$A695+1)))))</f>
        <v>0</v>
      </c>
      <c r="L695" s="48" t="n">
        <f aca="false">K695*INDEX(Surface_Engine!$B$12:$B$72,$A695+1)+L696</f>
        <v>0</v>
      </c>
      <c r="M695" s="48" t="n">
        <f aca="false">M694+B694*(IF($A694&lt;$Q$636,(Surface_Engine!L241*12)-(Surface_Engine!L241*12)*INDEX(Surface_Engine!$F$12:$F$72,$A694+1)-INDEX(Surface_Engine!$D$12:$D$72,$A694+1),-(1000*12*INDEX(Surface_Engine!$C$12:$C$72,$A694+1)/(1+Assumptions!$B$10)^20+INDEX(Surface_Engine!$D$12:$D$72,$A694+1))))*INDEX(Surface_Engine!$B$12:$B$72,$A694+1)</f>
        <v>1151.53870116808</v>
      </c>
      <c r="N695" s="12" t="n">
        <f aca="false">IF(B695&lt;=0,0,MAX(0,(K695+Assumptions!$B$29*L695/INDEX(Surface_Engine!$B$12:$B$72,$A695+1)-(M695/INDEX(Surface_Engine!$B$12:$B$72,$A695+1)-(F695/INDEX(Surface_Engine!$B$12:$B$72,$A695+1))))/B695))</f>
        <v>0</v>
      </c>
    </row>
    <row r="696" customFormat="false" ht="15" hidden="false" customHeight="true" outlineLevel="0" collapsed="false">
      <c r="A696" s="1" t="n">
        <v>58</v>
      </c>
      <c r="B696" s="32" t="n">
        <f aca="false">INDEX(Surface_Engine!$L$12:$L$72,$A696+1)*IF($A696&lt;$Q$636,INDEX(Surface_Engine!$E$12:$E$72,$A696+1),INDEX(Surface_Engine!$E$12:$E$72,$Q$636+1))</f>
        <v>0</v>
      </c>
      <c r="C696" s="32" t="n">
        <f aca="false">INDEX(Panel_Reserving!$D$8:$D$68,$A696+1)*IF($A696&lt;$Q$636,INDEX(Surface_Engine!$E$12:$E$72,$A696+1),INDEX(Surface_Engine!$E$12:$E$72,$Q$636+1))</f>
        <v>0</v>
      </c>
      <c r="D696" s="32" t="n">
        <f aca="false">INDEX(Surface_Engine!$L$12:$L$72,$A696+1)*IF($A696&lt;$Q$636,INDEX(Surface_Engine!$Y$12:$Y$72,$A696+1),INDEX(Surface_Engine!$Y$12:$Y$72,$Q$636+1))</f>
        <v>0</v>
      </c>
      <c r="E696" s="32" t="n">
        <f aca="false">INDEX(Surface_Engine!$L$12:$L$72,$A696+1)*IF($A696&lt;$Q$636,INDEX(Surface_Engine!$Z$12:$Z$72,$A696+1),INDEX(Surface_Engine!$Z$12:$Z$72,$Q$636+1))</f>
        <v>0</v>
      </c>
      <c r="F696" s="48" t="n">
        <f aca="false">B696*(IF($A696&lt;$Q$636,INDEX(Surface_Engine!$D$12:$D$72,$A696+1)+(Surface_Engine!L241*12)*INDEX(Surface_Engine!$F$12:$F$72,$A696+1)-(Surface_Engine!L241*12),1000*12*INDEX(Surface_Engine!$C$12:$C$72,$A696+1)/(1+Assumptions!$B$10)^20+INDEX(Surface_Engine!$D$12:$D$72,$A696+1)))*INDEX(Surface_Engine!$B$12:$B$72,$A696+1)+F697</f>
        <v>0</v>
      </c>
      <c r="G696" s="48" t="n">
        <f aca="false">C696*(IF($A696&lt;$Q$636,INDEX(Surface_Engine!$D$12:$D$72,$A696+1)+(Surface_Engine!L241*12)*INDEX(Surface_Engine!$F$12:$F$72,$A696+1)-(Surface_Engine!L241*12),1000*12*INDEX(Surface_Engine!$C$12:$C$72,$A696+1)/(1+Assumptions!$B$10)^20+INDEX(Surface_Engine!$D$12:$D$72,$A696+1)))*INDEX(Surface_Engine!$B$12:$B$72,$A696+1)+G697</f>
        <v>0</v>
      </c>
      <c r="H696" s="48" t="n">
        <f aca="false">D696*(IF($A696&lt;$Q$636,INDEX(Surface_Engine!$D$12:$D$72,$A696+1)+(Surface_Engine!L241*12)*INDEX(Surface_Engine!$F$12:$F$72,$A696+1)-(Surface_Engine!L241*12),1000*12*INDEX(Surface_Engine!$C$12:$C$72,$A696+1)/(1+Assumptions!$B$10)^20+INDEX(Surface_Engine!$D$12:$D$72,$A696+1)))*INDEX(Surface_Engine!$B$12:$B$72,$A696+1)+H697</f>
        <v>0</v>
      </c>
      <c r="I696" s="48" t="n">
        <f aca="false">E696*(IF($A696&lt;$Q$636,INDEX(Surface_Engine!$D$12:$D$72,$A696+1)+(Surface_Engine!L241*12)*INDEX(Surface_Engine!$F$12:$F$72,$A696+1)-(Surface_Engine!L241*12),1000*12*INDEX(Surface_Engine!$C$12:$C$72,$A696+1)/(1+Assumptions!$B$10)^20+INDEX(Surface_Engine!$D$12:$D$72,$A696+1)))*INDEX(Surface_Engine!$B$12:$B$72,$A696+1)+I697</f>
        <v>0</v>
      </c>
      <c r="J696" s="48" t="n">
        <f aca="false">B696*(IF($A696&lt;$Q$636,INDEX(Surface_Engine!$D$12:$D$72,$A696+1)*(1+Assumptions!$B$24)+(Surface_Engine!L241*12)*INDEX(Surface_Engine!$F$12:$F$72,$A696+1)-(Surface_Engine!L241*12),1000*12*INDEX(Surface_Engine!$C$12:$C$72,$A696+1)/(1+Assumptions!$B$10)^20+INDEX(Surface_Engine!$D$12:$D$72,$A696+1)*(1+Assumptions!$B$24)))*INDEX(Surface_Engine!$B$12:$B$72,$A696+1)+J697</f>
        <v>0</v>
      </c>
      <c r="K696" s="12" t="n">
        <f aca="false">SQRT((IF(C696&lt;=0,0,MAX(0,(B696/C696)*G696/INDEX(Surface_Engine!$B$12:$B$72,$A696+1)-F696/INDEX(Surface_Engine!$B$12:$B$72,$A696+1))))^2+(MAX(IF(D696&lt;=0,0,MAX(0,(B696/D696)*H696/INDEX(Surface_Engine!$B$12:$B$72,$A696+1)-F696/INDEX(Surface_Engine!$B$12:$B$72,$A696+1))),IF(E696&lt;=0,0,MAX(0,(B696/E696)*I696/INDEX(Surface_Engine!$B$12:$B$72,$A696+1)-F696/INDEX(Surface_Engine!$B$12:$B$72,$A696+1))),IF($A696&lt;$Q$636,MAX(0,-Assumptions!$B$22*(F696/INDEX(Surface_Engine!$B$12:$B$72,$A696+1))),0)))^2+(MAX(0,J696/INDEX(Surface_Engine!$B$12:$B$72,$A696+1)-(F696/INDEX(Surface_Engine!$B$12:$B$72,$A696+1))))^2+2*Assumptions!$B$26*(IF(C696&lt;=0,0,MAX(0,(B696/C696)*G696/INDEX(Surface_Engine!$B$12:$B$72,$A696+1)-F696/INDEX(Surface_Engine!$B$12:$B$72,$A696+1))))*(MAX(IF(D696&lt;=0,0,MAX(0,(B696/D696)*H696/INDEX(Surface_Engine!$B$12:$B$72,$A696+1)-F696/INDEX(Surface_Engine!$B$12:$B$72,$A696+1))),IF(E696&lt;=0,0,MAX(0,(B696/E696)*I696/INDEX(Surface_Engine!$B$12:$B$72,$A696+1)-F696/INDEX(Surface_Engine!$B$12:$B$72,$A696+1))),IF($A696&lt;$Q$636,MAX(0,-Assumptions!$B$22*(F696/INDEX(Surface_Engine!$B$12:$B$72,$A696+1))),0)))+2*Assumptions!$B$27*(IF(C696&lt;=0,0,MAX(0,(B696/C696)*G696/INDEX(Surface_Engine!$B$12:$B$72,$A696+1)-F696/INDEX(Surface_Engine!$B$12:$B$72,$A696+1))))*(MAX(0,J696/INDEX(Surface_Engine!$B$12:$B$72,$A696+1)-(F696/INDEX(Surface_Engine!$B$12:$B$72,$A696+1))))+2*Assumptions!$B$28*(MAX(IF(D696&lt;=0,0,MAX(0,(B696/D696)*H696/INDEX(Surface_Engine!$B$12:$B$72,$A696+1)-F696/INDEX(Surface_Engine!$B$12:$B$72,$A696+1))),IF(E696&lt;=0,0,MAX(0,(B696/E696)*I696/INDEX(Surface_Engine!$B$12:$B$72,$A696+1)-F696/INDEX(Surface_Engine!$B$12:$B$72,$A696+1))),IF($A696&lt;$Q$636,MAX(0,-Assumptions!$B$22*(F696/INDEX(Surface_Engine!$B$12:$B$72,$A696+1))),0)))*(MAX(0,J696/INDEX(Surface_Engine!$B$12:$B$72,$A696+1)-(F696/INDEX(Surface_Engine!$B$12:$B$72,$A696+1)))))</f>
        <v>0</v>
      </c>
      <c r="L696" s="48" t="n">
        <f aca="false">K696*INDEX(Surface_Engine!$B$12:$B$72,$A696+1)+L697</f>
        <v>0</v>
      </c>
      <c r="M696" s="48" t="n">
        <f aca="false">M695+B695*(IF($A695&lt;$Q$636,(Surface_Engine!L241*12)-(Surface_Engine!L241*12)*INDEX(Surface_Engine!$F$12:$F$72,$A695+1)-INDEX(Surface_Engine!$D$12:$D$72,$A695+1),-(1000*12*INDEX(Surface_Engine!$C$12:$C$72,$A695+1)/(1+Assumptions!$B$10)^20+INDEX(Surface_Engine!$D$12:$D$72,$A695+1))))*INDEX(Surface_Engine!$B$12:$B$72,$A695+1)</f>
        <v>1151.53870116808</v>
      </c>
      <c r="N696" s="12" t="n">
        <f aca="false">IF(B696&lt;=0,0,MAX(0,(K696+Assumptions!$B$29*L696/INDEX(Surface_Engine!$B$12:$B$72,$A696+1)-(M696/INDEX(Surface_Engine!$B$12:$B$72,$A696+1)-(F696/INDEX(Surface_Engine!$B$12:$B$72,$A696+1))))/B696))</f>
        <v>0</v>
      </c>
    </row>
    <row r="697" customFormat="false" ht="15" hidden="false" customHeight="true" outlineLevel="0" collapsed="false">
      <c r="A697" s="1" t="n">
        <v>59</v>
      </c>
      <c r="B697" s="32" t="n">
        <f aca="false">INDEX(Surface_Engine!$L$12:$L$72,$A697+1)*IF($A697&lt;$Q$636,INDEX(Surface_Engine!$E$12:$E$72,$A697+1),INDEX(Surface_Engine!$E$12:$E$72,$Q$636+1))</f>
        <v>0</v>
      </c>
      <c r="C697" s="32" t="n">
        <f aca="false">INDEX(Panel_Reserving!$D$8:$D$68,$A697+1)*IF($A697&lt;$Q$636,INDEX(Surface_Engine!$E$12:$E$72,$A697+1),INDEX(Surface_Engine!$E$12:$E$72,$Q$636+1))</f>
        <v>0</v>
      </c>
      <c r="D697" s="32" t="n">
        <f aca="false">INDEX(Surface_Engine!$L$12:$L$72,$A697+1)*IF($A697&lt;$Q$636,INDEX(Surface_Engine!$Y$12:$Y$72,$A697+1),INDEX(Surface_Engine!$Y$12:$Y$72,$Q$636+1))</f>
        <v>0</v>
      </c>
      <c r="E697" s="32" t="n">
        <f aca="false">INDEX(Surface_Engine!$L$12:$L$72,$A697+1)*IF($A697&lt;$Q$636,INDEX(Surface_Engine!$Z$12:$Z$72,$A697+1),INDEX(Surface_Engine!$Z$12:$Z$72,$Q$636+1))</f>
        <v>0</v>
      </c>
      <c r="F697" s="48" t="n">
        <f aca="false">B697*(IF($A697&lt;$Q$636,INDEX(Surface_Engine!$D$12:$D$72,$A697+1)+(Surface_Engine!L241*12)*INDEX(Surface_Engine!$F$12:$F$72,$A697+1)-(Surface_Engine!L241*12),1000*12*INDEX(Surface_Engine!$C$12:$C$72,$A697+1)/(1+Assumptions!$B$10)^20+INDEX(Surface_Engine!$D$12:$D$72,$A697+1)))*INDEX(Surface_Engine!$B$12:$B$72,$A697+1)+F698</f>
        <v>0</v>
      </c>
      <c r="G697" s="48" t="n">
        <f aca="false">C697*(IF($A697&lt;$Q$636,INDEX(Surface_Engine!$D$12:$D$72,$A697+1)+(Surface_Engine!L241*12)*INDEX(Surface_Engine!$F$12:$F$72,$A697+1)-(Surface_Engine!L241*12),1000*12*INDEX(Surface_Engine!$C$12:$C$72,$A697+1)/(1+Assumptions!$B$10)^20+INDEX(Surface_Engine!$D$12:$D$72,$A697+1)))*INDEX(Surface_Engine!$B$12:$B$72,$A697+1)+G698</f>
        <v>0</v>
      </c>
      <c r="H697" s="48" t="n">
        <f aca="false">D697*(IF($A697&lt;$Q$636,INDEX(Surface_Engine!$D$12:$D$72,$A697+1)+(Surface_Engine!L241*12)*INDEX(Surface_Engine!$F$12:$F$72,$A697+1)-(Surface_Engine!L241*12),1000*12*INDEX(Surface_Engine!$C$12:$C$72,$A697+1)/(1+Assumptions!$B$10)^20+INDEX(Surface_Engine!$D$12:$D$72,$A697+1)))*INDEX(Surface_Engine!$B$12:$B$72,$A697+1)+H698</f>
        <v>0</v>
      </c>
      <c r="I697" s="48" t="n">
        <f aca="false">E697*(IF($A697&lt;$Q$636,INDEX(Surface_Engine!$D$12:$D$72,$A697+1)+(Surface_Engine!L241*12)*INDEX(Surface_Engine!$F$12:$F$72,$A697+1)-(Surface_Engine!L241*12),1000*12*INDEX(Surface_Engine!$C$12:$C$72,$A697+1)/(1+Assumptions!$B$10)^20+INDEX(Surface_Engine!$D$12:$D$72,$A697+1)))*INDEX(Surface_Engine!$B$12:$B$72,$A697+1)+I698</f>
        <v>0</v>
      </c>
      <c r="J697" s="48" t="n">
        <f aca="false">B697*(IF($A697&lt;$Q$636,INDEX(Surface_Engine!$D$12:$D$72,$A697+1)*(1+Assumptions!$B$24)+(Surface_Engine!L241*12)*INDEX(Surface_Engine!$F$12:$F$72,$A697+1)-(Surface_Engine!L241*12),1000*12*INDEX(Surface_Engine!$C$12:$C$72,$A697+1)/(1+Assumptions!$B$10)^20+INDEX(Surface_Engine!$D$12:$D$72,$A697+1)*(1+Assumptions!$B$24)))*INDEX(Surface_Engine!$B$12:$B$72,$A697+1)+J698</f>
        <v>0</v>
      </c>
      <c r="K697" s="12" t="n">
        <f aca="false">SQRT((IF(C697&lt;=0,0,MAX(0,(B697/C697)*G697/INDEX(Surface_Engine!$B$12:$B$72,$A697+1)-F697/INDEX(Surface_Engine!$B$12:$B$72,$A697+1))))^2+(MAX(IF(D697&lt;=0,0,MAX(0,(B697/D697)*H697/INDEX(Surface_Engine!$B$12:$B$72,$A697+1)-F697/INDEX(Surface_Engine!$B$12:$B$72,$A697+1))),IF(E697&lt;=0,0,MAX(0,(B697/E697)*I697/INDEX(Surface_Engine!$B$12:$B$72,$A697+1)-F697/INDEX(Surface_Engine!$B$12:$B$72,$A697+1))),IF($A697&lt;$Q$636,MAX(0,-Assumptions!$B$22*(F697/INDEX(Surface_Engine!$B$12:$B$72,$A697+1))),0)))^2+(MAX(0,J697/INDEX(Surface_Engine!$B$12:$B$72,$A697+1)-(F697/INDEX(Surface_Engine!$B$12:$B$72,$A697+1))))^2+2*Assumptions!$B$26*(IF(C697&lt;=0,0,MAX(0,(B697/C697)*G697/INDEX(Surface_Engine!$B$12:$B$72,$A697+1)-F697/INDEX(Surface_Engine!$B$12:$B$72,$A697+1))))*(MAX(IF(D697&lt;=0,0,MAX(0,(B697/D697)*H697/INDEX(Surface_Engine!$B$12:$B$72,$A697+1)-F697/INDEX(Surface_Engine!$B$12:$B$72,$A697+1))),IF(E697&lt;=0,0,MAX(0,(B697/E697)*I697/INDEX(Surface_Engine!$B$12:$B$72,$A697+1)-F697/INDEX(Surface_Engine!$B$12:$B$72,$A697+1))),IF($A697&lt;$Q$636,MAX(0,-Assumptions!$B$22*(F697/INDEX(Surface_Engine!$B$12:$B$72,$A697+1))),0)))+2*Assumptions!$B$27*(IF(C697&lt;=0,0,MAX(0,(B697/C697)*G697/INDEX(Surface_Engine!$B$12:$B$72,$A697+1)-F697/INDEX(Surface_Engine!$B$12:$B$72,$A697+1))))*(MAX(0,J697/INDEX(Surface_Engine!$B$12:$B$72,$A697+1)-(F697/INDEX(Surface_Engine!$B$12:$B$72,$A697+1))))+2*Assumptions!$B$28*(MAX(IF(D697&lt;=0,0,MAX(0,(B697/D697)*H697/INDEX(Surface_Engine!$B$12:$B$72,$A697+1)-F697/INDEX(Surface_Engine!$B$12:$B$72,$A697+1))),IF(E697&lt;=0,0,MAX(0,(B697/E697)*I697/INDEX(Surface_Engine!$B$12:$B$72,$A697+1)-F697/INDEX(Surface_Engine!$B$12:$B$72,$A697+1))),IF($A697&lt;$Q$636,MAX(0,-Assumptions!$B$22*(F697/INDEX(Surface_Engine!$B$12:$B$72,$A697+1))),0)))*(MAX(0,J697/INDEX(Surface_Engine!$B$12:$B$72,$A697+1)-(F697/INDEX(Surface_Engine!$B$12:$B$72,$A697+1)))))</f>
        <v>0</v>
      </c>
      <c r="L697" s="48" t="n">
        <f aca="false">K697*INDEX(Surface_Engine!$B$12:$B$72,$A697+1)+L698</f>
        <v>0</v>
      </c>
      <c r="M697" s="48" t="n">
        <f aca="false">M696+B696*(IF($A696&lt;$Q$636,(Surface_Engine!L241*12)-(Surface_Engine!L241*12)*INDEX(Surface_Engine!$F$12:$F$72,$A696+1)-INDEX(Surface_Engine!$D$12:$D$72,$A696+1),-(1000*12*INDEX(Surface_Engine!$C$12:$C$72,$A696+1)/(1+Assumptions!$B$10)^20+INDEX(Surface_Engine!$D$12:$D$72,$A696+1))))*INDEX(Surface_Engine!$B$12:$B$72,$A696+1)</f>
        <v>1151.53870116808</v>
      </c>
      <c r="N697" s="12" t="n">
        <f aca="false">IF(B697&lt;=0,0,MAX(0,(K697+Assumptions!$B$29*L697/INDEX(Surface_Engine!$B$12:$B$72,$A697+1)-(M697/INDEX(Surface_Engine!$B$12:$B$72,$A697+1)-(F697/INDEX(Surface_Engine!$B$12:$B$72,$A697+1))))/B697))</f>
        <v>0</v>
      </c>
    </row>
    <row r="698" customFormat="false" ht="15" hidden="false" customHeight="true" outlineLevel="0" collapsed="false">
      <c r="A698" s="1" t="n">
        <v>60</v>
      </c>
      <c r="B698" s="32" t="n">
        <f aca="false">INDEX(Surface_Engine!$L$12:$L$72,$A698+1)*IF($A698&lt;$Q$636,INDEX(Surface_Engine!$E$12:$E$72,$A698+1),INDEX(Surface_Engine!$E$12:$E$72,$Q$636+1))</f>
        <v>0</v>
      </c>
      <c r="C698" s="32" t="n">
        <f aca="false">INDEX(Panel_Reserving!$D$8:$D$68,$A698+1)*IF($A698&lt;$Q$636,INDEX(Surface_Engine!$E$12:$E$72,$A698+1),INDEX(Surface_Engine!$E$12:$E$72,$Q$636+1))</f>
        <v>0</v>
      </c>
      <c r="D698" s="32" t="n">
        <f aca="false">INDEX(Surface_Engine!$L$12:$L$72,$A698+1)*IF($A698&lt;$Q$636,INDEX(Surface_Engine!$Y$12:$Y$72,$A698+1),INDEX(Surface_Engine!$Y$12:$Y$72,$Q$636+1))</f>
        <v>0</v>
      </c>
      <c r="E698" s="32" t="n">
        <f aca="false">INDEX(Surface_Engine!$L$12:$L$72,$A698+1)*IF($A698&lt;$Q$636,INDEX(Surface_Engine!$Z$12:$Z$72,$A698+1),INDEX(Surface_Engine!$Z$12:$Z$72,$Q$636+1))</f>
        <v>0</v>
      </c>
      <c r="F698" s="48" t="n">
        <f aca="false">B698*(IF($A698&lt;$Q$636,INDEX(Surface_Engine!$D$12:$D$72,$A698+1)+(Surface_Engine!L241*12)*INDEX(Surface_Engine!$F$12:$F$72,$A698+1)-(Surface_Engine!L241*12),1000*12*INDEX(Surface_Engine!$C$12:$C$72,$A698+1)/(1+Assumptions!$B$10)^20+INDEX(Surface_Engine!$D$12:$D$72,$A698+1)))*INDEX(Surface_Engine!$B$12:$B$72,$A698+1)</f>
        <v>0</v>
      </c>
      <c r="G698" s="48" t="n">
        <f aca="false">C698*(IF($A698&lt;$Q$636,INDEX(Surface_Engine!$D$12:$D$72,$A698+1)+(Surface_Engine!L241*12)*INDEX(Surface_Engine!$F$12:$F$72,$A698+1)-(Surface_Engine!L241*12),1000*12*INDEX(Surface_Engine!$C$12:$C$72,$A698+1)/(1+Assumptions!$B$10)^20+INDEX(Surface_Engine!$D$12:$D$72,$A698+1)))*INDEX(Surface_Engine!$B$12:$B$72,$A698+1)</f>
        <v>0</v>
      </c>
      <c r="H698" s="48" t="n">
        <f aca="false">D698*(IF($A698&lt;$Q$636,INDEX(Surface_Engine!$D$12:$D$72,$A698+1)+(Surface_Engine!L241*12)*INDEX(Surface_Engine!$F$12:$F$72,$A698+1)-(Surface_Engine!L241*12),1000*12*INDEX(Surface_Engine!$C$12:$C$72,$A698+1)/(1+Assumptions!$B$10)^20+INDEX(Surface_Engine!$D$12:$D$72,$A698+1)))*INDEX(Surface_Engine!$B$12:$B$72,$A698+1)</f>
        <v>0</v>
      </c>
      <c r="I698" s="48" t="n">
        <f aca="false">E698*(IF($A698&lt;$Q$636,INDEX(Surface_Engine!$D$12:$D$72,$A698+1)+(Surface_Engine!L241*12)*INDEX(Surface_Engine!$F$12:$F$72,$A698+1)-(Surface_Engine!L241*12),1000*12*INDEX(Surface_Engine!$C$12:$C$72,$A698+1)/(1+Assumptions!$B$10)^20+INDEX(Surface_Engine!$D$12:$D$72,$A698+1)))*INDEX(Surface_Engine!$B$12:$B$72,$A698+1)</f>
        <v>0</v>
      </c>
      <c r="J698" s="48" t="n">
        <f aca="false">B698*(IF($A698&lt;$Q$636,INDEX(Surface_Engine!$D$12:$D$72,$A698+1)*(1+Assumptions!$B$24)+(Surface_Engine!L241*12)*INDEX(Surface_Engine!$F$12:$F$72,$A698+1)-(Surface_Engine!L241*12),1000*12*INDEX(Surface_Engine!$C$12:$C$72,$A698+1)/(1+Assumptions!$B$10)^20+INDEX(Surface_Engine!$D$12:$D$72,$A698+1)*(1+Assumptions!$B$24)))*INDEX(Surface_Engine!$B$12:$B$72,$A698+1)</f>
        <v>0</v>
      </c>
      <c r="K698" s="12" t="n">
        <f aca="false">SQRT((IF(C698&lt;=0,0,MAX(0,(B698/C698)*G698/INDEX(Surface_Engine!$B$12:$B$72,$A698+1)-F698/INDEX(Surface_Engine!$B$12:$B$72,$A698+1))))^2+(MAX(IF(D698&lt;=0,0,MAX(0,(B698/D698)*H698/INDEX(Surface_Engine!$B$12:$B$72,$A698+1)-F698/INDEX(Surface_Engine!$B$12:$B$72,$A698+1))),IF(E698&lt;=0,0,MAX(0,(B698/E698)*I698/INDEX(Surface_Engine!$B$12:$B$72,$A698+1)-F698/INDEX(Surface_Engine!$B$12:$B$72,$A698+1))),IF($A698&lt;$Q$636,MAX(0,-Assumptions!$B$22*(F698/INDEX(Surface_Engine!$B$12:$B$72,$A698+1))),0)))^2+(MAX(0,J698/INDEX(Surface_Engine!$B$12:$B$72,$A698+1)-(F698/INDEX(Surface_Engine!$B$12:$B$72,$A698+1))))^2+2*Assumptions!$B$26*(IF(C698&lt;=0,0,MAX(0,(B698/C698)*G698/INDEX(Surface_Engine!$B$12:$B$72,$A698+1)-F698/INDEX(Surface_Engine!$B$12:$B$72,$A698+1))))*(MAX(IF(D698&lt;=0,0,MAX(0,(B698/D698)*H698/INDEX(Surface_Engine!$B$12:$B$72,$A698+1)-F698/INDEX(Surface_Engine!$B$12:$B$72,$A698+1))),IF(E698&lt;=0,0,MAX(0,(B698/E698)*I698/INDEX(Surface_Engine!$B$12:$B$72,$A698+1)-F698/INDEX(Surface_Engine!$B$12:$B$72,$A698+1))),IF($A698&lt;$Q$636,MAX(0,-Assumptions!$B$22*(F698/INDEX(Surface_Engine!$B$12:$B$72,$A698+1))),0)))+2*Assumptions!$B$27*(IF(C698&lt;=0,0,MAX(0,(B698/C698)*G698/INDEX(Surface_Engine!$B$12:$B$72,$A698+1)-F698/INDEX(Surface_Engine!$B$12:$B$72,$A698+1))))*(MAX(0,J698/INDEX(Surface_Engine!$B$12:$B$72,$A698+1)-(F698/INDEX(Surface_Engine!$B$12:$B$72,$A698+1))))+2*Assumptions!$B$28*(MAX(IF(D698&lt;=0,0,MAX(0,(B698/D698)*H698/INDEX(Surface_Engine!$B$12:$B$72,$A698+1)-F698/INDEX(Surface_Engine!$B$12:$B$72,$A698+1))),IF(E698&lt;=0,0,MAX(0,(B698/E698)*I698/INDEX(Surface_Engine!$B$12:$B$72,$A698+1)-F698/INDEX(Surface_Engine!$B$12:$B$72,$A698+1))),IF($A698&lt;$Q$636,MAX(0,-Assumptions!$B$22*(F698/INDEX(Surface_Engine!$B$12:$B$72,$A698+1))),0)))*(MAX(0,J698/INDEX(Surface_Engine!$B$12:$B$72,$A698+1)-(F698/INDEX(Surface_Engine!$B$12:$B$72,$A698+1)))))</f>
        <v>0</v>
      </c>
      <c r="L698" s="48" t="n">
        <f aca="false">K698*INDEX(Surface_Engine!$B$12:$B$72,$A698+1)</f>
        <v>0</v>
      </c>
      <c r="M698" s="48" t="n">
        <f aca="false">M697+B697*(IF($A697&lt;$Q$636,(Surface_Engine!L241*12)-(Surface_Engine!L241*12)*INDEX(Surface_Engine!$F$12:$F$72,$A697+1)-INDEX(Surface_Engine!$D$12:$D$72,$A697+1),-(1000*12*INDEX(Surface_Engine!$C$12:$C$72,$A697+1)/(1+Assumptions!$B$10)^20+INDEX(Surface_Engine!$D$12:$D$72,$A697+1))))*INDEX(Surface_Engine!$B$12:$B$72,$A697+1)</f>
        <v>1151.53870116808</v>
      </c>
      <c r="N698" s="12" t="n">
        <f aca="false">IF(B698&lt;=0,0,MAX(0,(K698+Assumptions!$B$29*L698/INDEX(Surface_Engine!$B$12:$B$72,$A698+1)-(M698/INDEX(Surface_Engine!$B$12:$B$72,$A698+1)-(F698/INDEX(Surface_Engine!$B$12:$B$72,$A698+1))))/B698))</f>
        <v>0</v>
      </c>
    </row>
    <row r="699" customFormat="false" ht="15" hidden="false" customHeight="true" outlineLevel="0" collapsed="false">
      <c r="A699" s="4" t="str">
        <f aca="false">"entry "&amp;O699&amp;" / vesting "&amp;P699&amp;"   deferral "&amp;Q699</f>
        <v>entry 65 / vesting 90   deferral 25</v>
      </c>
      <c r="C699" s="49" t="n">
        <f aca="false">MAX(N638:N698)</f>
        <v>18051.1058694156</v>
      </c>
      <c r="E699" s="7" t="s">
        <v>1634</v>
      </c>
      <c r="G699" s="21" t="n">
        <f aca="false">INDEX(A638:A698,MATCH(C699,N638:N698,0))</f>
        <v>15</v>
      </c>
      <c r="J699" s="7" t="s">
        <v>1624</v>
      </c>
      <c r="K699" s="50" t="n">
        <f aca="false">Surface_Engine!Q241</f>
        <v>106.097609509547</v>
      </c>
      <c r="O699" s="1" t="n">
        <f aca="false">A1716</f>
        <v>65</v>
      </c>
      <c r="P699" s="76" t="n">
        <f aca="false">E$1713</f>
        <v>90</v>
      </c>
      <c r="Q699" s="1" t="n">
        <f aca="false">P699-O699</f>
        <v>25</v>
      </c>
    </row>
    <row r="700" customFormat="false" ht="15" hidden="false" customHeight="true" outlineLevel="0" collapsed="false">
      <c r="A700" s="8" t="s">
        <v>802</v>
      </c>
      <c r="B700" s="8" t="s">
        <v>1584</v>
      </c>
      <c r="C700" s="8" t="s">
        <v>1585</v>
      </c>
      <c r="D700" s="8" t="s">
        <v>1587</v>
      </c>
      <c r="E700" s="8" t="s">
        <v>1588</v>
      </c>
      <c r="F700" s="8" t="s">
        <v>1625</v>
      </c>
      <c r="G700" s="8" t="s">
        <v>1626</v>
      </c>
      <c r="H700" s="8" t="s">
        <v>1627</v>
      </c>
      <c r="I700" s="8" t="s">
        <v>1628</v>
      </c>
      <c r="J700" s="8" t="s">
        <v>1629</v>
      </c>
      <c r="K700" s="8" t="s">
        <v>812</v>
      </c>
      <c r="L700" s="8" t="s">
        <v>1630</v>
      </c>
      <c r="M700" s="8" t="s">
        <v>341</v>
      </c>
      <c r="N700" s="8" t="s">
        <v>1631</v>
      </c>
      <c r="O700" s="1" t="s">
        <v>1544</v>
      </c>
      <c r="P700" s="1" t="s">
        <v>1632</v>
      </c>
      <c r="Q700" s="1" t="s">
        <v>1633</v>
      </c>
    </row>
    <row r="701" customFormat="false" ht="15" hidden="false" customHeight="true" outlineLevel="0" collapsed="false">
      <c r="A701" s="1" t="n">
        <v>0</v>
      </c>
      <c r="B701" s="32" t="n">
        <f aca="false">INDEX(Surface_Engine!$L$12:$L$72,$A701+1)*IF($A701&lt;$Q$699,INDEX(Surface_Engine!$E$12:$E$72,$A701+1),INDEX(Surface_Engine!$E$12:$E$72,$Q$699+1))</f>
        <v>1</v>
      </c>
      <c r="C701" s="32" t="n">
        <f aca="false">INDEX(Panel_Reserving!$D$8:$D$68,$A701+1)*IF($A701&lt;$Q$699,INDEX(Surface_Engine!$E$12:$E$72,$A701+1),INDEX(Surface_Engine!$E$12:$E$72,$Q$699+1))</f>
        <v>1</v>
      </c>
      <c r="D701" s="32" t="n">
        <f aca="false">INDEX(Surface_Engine!$L$12:$L$72,$A701+1)*IF($A701&lt;$Q$699,INDEX(Surface_Engine!$Y$12:$Y$72,$A701+1),INDEX(Surface_Engine!$Y$12:$Y$72,$Q$699+1))</f>
        <v>1</v>
      </c>
      <c r="E701" s="32" t="n">
        <f aca="false">INDEX(Surface_Engine!$L$12:$L$72,$A701+1)*IF($A701&lt;$Q$699,INDEX(Surface_Engine!$Z$12:$Z$72,$A701+1),INDEX(Surface_Engine!$Z$12:$Z$72,$Q$699+1))</f>
        <v>1</v>
      </c>
      <c r="F701" s="48" t="n">
        <f aca="false">B701*(IF($A701&lt;$Q$699,INDEX(Surface_Engine!$D$12:$D$72,$A701+1)+(Surface_Engine!Q241*12)*INDEX(Surface_Engine!$F$12:$F$72,$A701+1)-(Surface_Engine!Q241*12),1000*12*INDEX(Surface_Engine!$C$12:$C$72,$A701+1)/(1+Assumptions!$B$10)^25+INDEX(Surface_Engine!$D$12:$D$72,$A701+1)))*INDEX(Surface_Engine!$B$12:$B$72,$A701+1)+F702</f>
        <v>-523.224859513424</v>
      </c>
      <c r="G701" s="48" t="n">
        <f aca="false">C701*(IF($A701&lt;$Q$699,INDEX(Surface_Engine!$D$12:$D$72,$A701+1)+(Surface_Engine!Q241*12)*INDEX(Surface_Engine!$F$12:$F$72,$A701+1)-(Surface_Engine!Q241*12),1000*12*INDEX(Surface_Engine!$C$12:$C$72,$A701+1)/(1+Assumptions!$B$10)^25+INDEX(Surface_Engine!$D$12:$D$72,$A701+1)))*INDEX(Surface_Engine!$B$12:$B$72,$A701+1)+G702</f>
        <v>3650.16274237754</v>
      </c>
      <c r="H701" s="48" t="n">
        <f aca="false">D701*(IF($A701&lt;$Q$699,INDEX(Surface_Engine!$D$12:$D$72,$A701+1)+(Surface_Engine!Q241*12)*INDEX(Surface_Engine!$F$12:$F$72,$A701+1)-(Surface_Engine!Q241*12),1000*12*INDEX(Surface_Engine!$C$12:$C$72,$A701+1)/(1+Assumptions!$B$10)^25+INDEX(Surface_Engine!$D$12:$D$72,$A701+1)))*INDEX(Surface_Engine!$B$12:$B$72,$A701+1)+H702</f>
        <v>-1367.24622864309</v>
      </c>
      <c r="I701" s="48" t="n">
        <f aca="false">E701*(IF($A701&lt;$Q$699,INDEX(Surface_Engine!$D$12:$D$72,$A701+1)+(Surface_Engine!Q241*12)*INDEX(Surface_Engine!$F$12:$F$72,$A701+1)-(Surface_Engine!Q241*12),1000*12*INDEX(Surface_Engine!$C$12:$C$72,$A701+1)/(1+Assumptions!$B$10)^25+INDEX(Surface_Engine!$D$12:$D$72,$A701+1)))*INDEX(Surface_Engine!$B$12:$B$72,$A701+1)+I702</f>
        <v>510.661848446178</v>
      </c>
      <c r="J701" s="48" t="n">
        <f aca="false">B701*(IF($A701&lt;$Q$699,INDEX(Surface_Engine!$D$12:$D$72,$A701+1)*(1+Assumptions!$B$24)+(Surface_Engine!Q241*12)*INDEX(Surface_Engine!$F$12:$F$72,$A701+1)-(Surface_Engine!Q241*12),1000*12*INDEX(Surface_Engine!$C$12:$C$72,$A701+1)/(1+Assumptions!$B$10)^25+INDEX(Surface_Engine!$D$12:$D$72,$A701+1)*(1+Assumptions!$B$24)))*INDEX(Surface_Engine!$B$12:$B$72,$A701+1)+J702</f>
        <v>-364.091060221661</v>
      </c>
      <c r="K701" s="12" t="n">
        <f aca="false">SQRT((IF(C701&lt;=0,0,MAX(0,(B701/C701)*G701/INDEX(Surface_Engine!$B$12:$B$72,$A701+1)-F701/INDEX(Surface_Engine!$B$12:$B$72,$A701+1))))^2+(MAX(IF(D701&lt;=0,0,MAX(0,(B701/D701)*H701/INDEX(Surface_Engine!$B$12:$B$72,$A701+1)-F701/INDEX(Surface_Engine!$B$12:$B$72,$A701+1))),IF(E701&lt;=0,0,MAX(0,(B701/E701)*I701/INDEX(Surface_Engine!$B$12:$B$72,$A701+1)-F701/INDEX(Surface_Engine!$B$12:$B$72,$A701+1))),IF($A701&lt;$Q$699,MAX(0,-Assumptions!$B$22*(F701/INDEX(Surface_Engine!$B$12:$B$72,$A701+1))),0)))^2+(MAX(0,J701/INDEX(Surface_Engine!$B$12:$B$72,$A701+1)-(F701/INDEX(Surface_Engine!$B$12:$B$72,$A701+1))))^2+2*Assumptions!$B$26*(IF(C701&lt;=0,0,MAX(0,(B701/C701)*G701/INDEX(Surface_Engine!$B$12:$B$72,$A701+1)-F701/INDEX(Surface_Engine!$B$12:$B$72,$A701+1))))*(MAX(IF(D701&lt;=0,0,MAX(0,(B701/D701)*H701/INDEX(Surface_Engine!$B$12:$B$72,$A701+1)-F701/INDEX(Surface_Engine!$B$12:$B$72,$A701+1))),IF(E701&lt;=0,0,MAX(0,(B701/E701)*I701/INDEX(Surface_Engine!$B$12:$B$72,$A701+1)-F701/INDEX(Surface_Engine!$B$12:$B$72,$A701+1))),IF($A701&lt;$Q$699,MAX(0,-Assumptions!$B$22*(F701/INDEX(Surface_Engine!$B$12:$B$72,$A701+1))),0)))+2*Assumptions!$B$27*(IF(C701&lt;=0,0,MAX(0,(B701/C701)*G701/INDEX(Surface_Engine!$B$12:$B$72,$A701+1)-F701/INDEX(Surface_Engine!$B$12:$B$72,$A701+1))))*(MAX(0,J701/INDEX(Surface_Engine!$B$12:$B$72,$A701+1)-(F701/INDEX(Surface_Engine!$B$12:$B$72,$A701+1))))+2*Assumptions!$B$28*(MAX(IF(D701&lt;=0,0,MAX(0,(B701/D701)*H701/INDEX(Surface_Engine!$B$12:$B$72,$A701+1)-F701/INDEX(Surface_Engine!$B$12:$B$72,$A701+1))),IF(E701&lt;=0,0,MAX(0,(B701/E701)*I701/INDEX(Surface_Engine!$B$12:$B$72,$A701+1)-F701/INDEX(Surface_Engine!$B$12:$B$72,$A701+1))),IF($A701&lt;$Q$699,MAX(0,-Assumptions!$B$22*(F701/INDEX(Surface_Engine!$B$12:$B$72,$A701+1))),0)))*(MAX(0,J701/INDEX(Surface_Engine!$B$12:$B$72,$A701+1)-(F701/INDEX(Surface_Engine!$B$12:$B$72,$A701+1)))))</f>
        <v>4600.5873737325</v>
      </c>
      <c r="L701" s="48" t="n">
        <f aca="false">K701*INDEX(Surface_Engine!$B$12:$B$72,$A701+1)+L702</f>
        <v>111832.69031653</v>
      </c>
      <c r="M701" s="48" t="n">
        <v>0</v>
      </c>
      <c r="N701" s="12" t="n">
        <f aca="false">IF(B701&lt;=0,0,MAX(0,(K701+Assumptions!$B$29*L701/INDEX(Surface_Engine!$B$12:$B$72,$A701+1)-(M701/INDEX(Surface_Engine!$B$12:$B$72,$A701+1)-(F701/INDEX(Surface_Engine!$B$12:$B$72,$A701+1))))/B701))</f>
        <v>10787.3239332109</v>
      </c>
    </row>
    <row r="702" customFormat="false" ht="15" hidden="false" customHeight="true" outlineLevel="0" collapsed="false">
      <c r="A702" s="1" t="n">
        <v>1</v>
      </c>
      <c r="B702" s="32" t="n">
        <f aca="false">INDEX(Surface_Engine!$L$12:$L$72,$A702+1)*IF($A702&lt;$Q$699,INDEX(Surface_Engine!$E$12:$E$72,$A702+1),INDEX(Surface_Engine!$E$12:$E$72,$Q$699+1))</f>
        <v>0.954429784274803</v>
      </c>
      <c r="C702" s="32" t="n">
        <f aca="false">INDEX(Panel_Reserving!$D$8:$D$68,$A702+1)*IF($A702&lt;$Q$699,INDEX(Surface_Engine!$E$12:$E$72,$A702+1),INDEX(Surface_Engine!$E$12:$E$72,$Q$699+1))</f>
        <v>0.955423827419843</v>
      </c>
      <c r="D702" s="32" t="n">
        <f aca="false">INDEX(Surface_Engine!$L$12:$L$72,$A702+1)*IF($A702&lt;$Q$699,INDEX(Surface_Engine!$Y$12:$Y$72,$A702+1),INDEX(Surface_Engine!$Y$12:$Y$72,$Q$699+1))</f>
        <v>0.934234949356335</v>
      </c>
      <c r="E702" s="32" t="n">
        <f aca="false">INDEX(Surface_Engine!$L$12:$L$72,$A702+1)*IF($A702&lt;$Q$699,INDEX(Surface_Engine!$Z$12:$Z$72,$A702+1),INDEX(Surface_Engine!$Z$12:$Z$72,$Q$699+1))</f>
        <v>0.974624619193272</v>
      </c>
      <c r="F702" s="48" t="n">
        <f aca="false">B702*(IF($A702&lt;$Q$699,INDEX(Surface_Engine!$D$12:$D$72,$A702+1)+(Surface_Engine!Q241*12)*INDEX(Surface_Engine!$F$12:$F$72,$A702+1)-(Surface_Engine!Q241*12),1000*12*INDEX(Surface_Engine!$C$12:$C$72,$A702+1)/(1+Assumptions!$B$10)^25+INDEX(Surface_Engine!$D$12:$D$72,$A702+1)))*INDEX(Surface_Engine!$B$12:$B$72,$A702+1)+F703</f>
        <v>-605.224859513424</v>
      </c>
      <c r="G702" s="48" t="n">
        <f aca="false">C702*(IF($A702&lt;$Q$699,INDEX(Surface_Engine!$D$12:$D$72,$A702+1)+(Surface_Engine!Q241*12)*INDEX(Surface_Engine!$F$12:$F$72,$A702+1)-(Surface_Engine!Q241*12),1000*12*INDEX(Surface_Engine!$C$12:$C$72,$A702+1)/(1+Assumptions!$B$10)^25+INDEX(Surface_Engine!$D$12:$D$72,$A702+1)))*INDEX(Surface_Engine!$B$12:$B$72,$A702+1)+G703</f>
        <v>3568.16274237754</v>
      </c>
      <c r="H702" s="48" t="n">
        <f aca="false">D702*(IF($A702&lt;$Q$699,INDEX(Surface_Engine!$D$12:$D$72,$A702+1)+(Surface_Engine!Q241*12)*INDEX(Surface_Engine!$F$12:$F$72,$A702+1)-(Surface_Engine!Q241*12),1000*12*INDEX(Surface_Engine!$C$12:$C$72,$A702+1)/(1+Assumptions!$B$10)^25+INDEX(Surface_Engine!$D$12:$D$72,$A702+1)))*INDEX(Surface_Engine!$B$12:$B$72,$A702+1)+H703</f>
        <v>-1449.24622864309</v>
      </c>
      <c r="I702" s="48" t="n">
        <f aca="false">E702*(IF($A702&lt;$Q$699,INDEX(Surface_Engine!$D$12:$D$72,$A702+1)+(Surface_Engine!Q241*12)*INDEX(Surface_Engine!$F$12:$F$72,$A702+1)-(Surface_Engine!Q241*12),1000*12*INDEX(Surface_Engine!$C$12:$C$72,$A702+1)/(1+Assumptions!$B$10)^25+INDEX(Surface_Engine!$D$12:$D$72,$A702+1)))*INDEX(Surface_Engine!$B$12:$B$72,$A702+1)+I703</f>
        <v>428.661848446178</v>
      </c>
      <c r="J702" s="48" t="n">
        <f aca="false">B702*(IF($A702&lt;$Q$699,INDEX(Surface_Engine!$D$12:$D$72,$A702+1)*(1+Assumptions!$B$24)+(Surface_Engine!Q241*12)*INDEX(Surface_Engine!$F$12:$F$72,$A702+1)-(Surface_Engine!Q241*12),1000*12*INDEX(Surface_Engine!$C$12:$C$72,$A702+1)/(1+Assumptions!$B$10)^25+INDEX(Surface_Engine!$D$12:$D$72,$A702+1)*(1+Assumptions!$B$24)))*INDEX(Surface_Engine!$B$12:$B$72,$A702+1)+J703</f>
        <v>-454.291060221661</v>
      </c>
      <c r="K702" s="12" t="n">
        <f aca="false">SQRT((IF(C702&lt;=0,0,MAX(0,(B702/C702)*G702/INDEX(Surface_Engine!$B$12:$B$72,$A702+1)-F702/INDEX(Surface_Engine!$B$12:$B$72,$A702+1))))^2+(MAX(IF(D702&lt;=0,0,MAX(0,(B702/D702)*H702/INDEX(Surface_Engine!$B$12:$B$72,$A702+1)-F702/INDEX(Surface_Engine!$B$12:$B$72,$A702+1))),IF(E702&lt;=0,0,MAX(0,(B702/E702)*I702/INDEX(Surface_Engine!$B$12:$B$72,$A702+1)-F702/INDEX(Surface_Engine!$B$12:$B$72,$A702+1))),IF($A702&lt;$Q$699,MAX(0,-Assumptions!$B$22*(F702/INDEX(Surface_Engine!$B$12:$B$72,$A702+1))),0)))^2+(MAX(0,J702/INDEX(Surface_Engine!$B$12:$B$72,$A702+1)-(F702/INDEX(Surface_Engine!$B$12:$B$72,$A702+1))))^2+2*Assumptions!$B$26*(IF(C702&lt;=0,0,MAX(0,(B702/C702)*G702/INDEX(Surface_Engine!$B$12:$B$72,$A702+1)-F702/INDEX(Surface_Engine!$B$12:$B$72,$A702+1))))*(MAX(IF(D702&lt;=0,0,MAX(0,(B702/D702)*H702/INDEX(Surface_Engine!$B$12:$B$72,$A702+1)-F702/INDEX(Surface_Engine!$B$12:$B$72,$A702+1))),IF(E702&lt;=0,0,MAX(0,(B702/E702)*I702/INDEX(Surface_Engine!$B$12:$B$72,$A702+1)-F702/INDEX(Surface_Engine!$B$12:$B$72,$A702+1))),IF($A702&lt;$Q$699,MAX(0,-Assumptions!$B$22*(F702/INDEX(Surface_Engine!$B$12:$B$72,$A702+1))),0)))+2*Assumptions!$B$27*(IF(C702&lt;=0,0,MAX(0,(B702/C702)*G702/INDEX(Surface_Engine!$B$12:$B$72,$A702+1)-F702/INDEX(Surface_Engine!$B$12:$B$72,$A702+1))))*(MAX(0,J702/INDEX(Surface_Engine!$B$12:$B$72,$A702+1)-(F702/INDEX(Surface_Engine!$B$12:$B$72,$A702+1))))+2*Assumptions!$B$28*(MAX(IF(D702&lt;=0,0,MAX(0,(B702/D702)*H702/INDEX(Surface_Engine!$B$12:$B$72,$A702+1)-F702/INDEX(Surface_Engine!$B$12:$B$72,$A702+1))),IF(E702&lt;=0,0,MAX(0,(B702/E702)*I702/INDEX(Surface_Engine!$B$12:$B$72,$A702+1)-F702/INDEX(Surface_Engine!$B$12:$B$72,$A702+1))),IF($A702&lt;$Q$699,MAX(0,-Assumptions!$B$22*(F702/INDEX(Surface_Engine!$B$12:$B$72,$A702+1))),0)))*(MAX(0,J702/INDEX(Surface_Engine!$B$12:$B$72,$A702+1)-(F702/INDEX(Surface_Engine!$B$12:$B$72,$A702+1)))))</f>
        <v>4708.91667717566</v>
      </c>
      <c r="L702" s="48" t="n">
        <f aca="false">K702*INDEX(Surface_Engine!$B$12:$B$72,$A702+1)+L703</f>
        <v>107232.102942798</v>
      </c>
      <c r="M702" s="48" t="n">
        <f aca="false">M701+B701*(IF($A701&lt;$Q$699,(Surface_Engine!Q241*12)-(Surface_Engine!Q241*12)*INDEX(Surface_Engine!$F$12:$F$72,$A701+1)-INDEX(Surface_Engine!$D$12:$D$72,$A701+1),-(1000*12*INDEX(Surface_Engine!$C$12:$C$72,$A701+1)/(1+Assumptions!$B$10)^25+INDEX(Surface_Engine!$D$12:$D$72,$A701+1))))*INDEX(Surface_Engine!$B$12:$B$72,$A701+1)</f>
        <v>-82</v>
      </c>
      <c r="N702" s="12" t="n">
        <f aca="false">IF(B702&lt;=0,0,MAX(0,(K702+Assumptions!$B$29*L702/INDEX(Surface_Engine!$B$12:$B$72,$A702+1)-(M702/INDEX(Surface_Engine!$B$12:$B$72,$A702+1)-(F702/INDEX(Surface_Engine!$B$12:$B$72,$A702+1))))/B702))</f>
        <v>11287.4304405813</v>
      </c>
    </row>
    <row r="703" customFormat="false" ht="15" hidden="false" customHeight="true" outlineLevel="0" collapsed="false">
      <c r="A703" s="1" t="n">
        <v>2</v>
      </c>
      <c r="B703" s="32" t="n">
        <f aca="false">INDEX(Surface_Engine!$L$12:$L$72,$A703+1)*IF($A703&lt;$Q$699,INDEX(Surface_Engine!$E$12:$E$72,$A703+1),INDEX(Surface_Engine!$E$12:$E$72,$Q$699+1))</f>
        <v>0.928451921141693</v>
      </c>
      <c r="C703" s="32" t="n">
        <f aca="false">INDEX(Panel_Reserving!$D$8:$D$68,$A703+1)*IF($A703&lt;$Q$699,INDEX(Surface_Engine!$E$12:$E$72,$A703+1),INDEX(Surface_Engine!$E$12:$E$72,$Q$699+1))</f>
        <v>0.930473352648266</v>
      </c>
      <c r="D703" s="32" t="n">
        <f aca="false">INDEX(Surface_Engine!$L$12:$L$72,$A703+1)*IF($A703&lt;$Q$699,INDEX(Surface_Engine!$Y$12:$Y$72,$A703+1),INDEX(Surface_Engine!$Y$12:$Y$72,$Q$699+1))</f>
        <v>0.898727479820571</v>
      </c>
      <c r="E703" s="32" t="n">
        <f aca="false">INDEX(Surface_Engine!$L$12:$L$72,$A703+1)*IF($A703&lt;$Q$699,INDEX(Surface_Engine!$Z$12:$Z$72,$A703+1),INDEX(Surface_Engine!$Z$12:$Z$72,$Q$699+1))</f>
        <v>0.958612118510579</v>
      </c>
      <c r="F703" s="48" t="n">
        <f aca="false">B703*(IF($A703&lt;$Q$699,INDEX(Surface_Engine!$D$12:$D$72,$A703+1)+(Surface_Engine!Q241*12)*INDEX(Surface_Engine!$F$12:$F$72,$A703+1)-(Surface_Engine!Q241*12),1000*12*INDEX(Surface_Engine!$C$12:$C$72,$A703+1)/(1+Assumptions!$B$10)^25+INDEX(Surface_Engine!$D$12:$D$72,$A703+1)))*INDEX(Surface_Engine!$B$12:$B$72,$A703+1)+F704</f>
        <v>441.770313956467</v>
      </c>
      <c r="G703" s="48" t="n">
        <f aca="false">C703*(IF($A703&lt;$Q$699,INDEX(Surface_Engine!$D$12:$D$72,$A703+1)+(Surface_Engine!Q241*12)*INDEX(Surface_Engine!$F$12:$F$72,$A703+1)-(Surface_Engine!Q241*12),1000*12*INDEX(Surface_Engine!$C$12:$C$72,$A703+1)/(1+Assumptions!$B$10)^25+INDEX(Surface_Engine!$D$12:$D$72,$A703+1)))*INDEX(Surface_Engine!$B$12:$B$72,$A703+1)+G704</f>
        <v>4616.24836628414</v>
      </c>
      <c r="H703" s="48" t="n">
        <f aca="false">D703*(IF($A703&lt;$Q$699,INDEX(Surface_Engine!$D$12:$D$72,$A703+1)+(Surface_Engine!Q241*12)*INDEX(Surface_Engine!$F$12:$F$72,$A703+1)-(Surface_Engine!Q241*12),1000*12*INDEX(Surface_Engine!$C$12:$C$72,$A703+1)/(1+Assumptions!$B$10)^25+INDEX(Surface_Engine!$D$12:$D$72,$A703+1)))*INDEX(Surface_Engine!$B$12:$B$72,$A703+1)+H704</f>
        <v>-424.404486506786</v>
      </c>
      <c r="I703" s="48" t="n">
        <f aca="false">E703*(IF($A703&lt;$Q$699,INDEX(Surface_Engine!$D$12:$D$72,$A703+1)+(Surface_Engine!Q241*12)*INDEX(Surface_Engine!$F$12:$F$72,$A703+1)-(Surface_Engine!Q241*12),1000*12*INDEX(Surface_Engine!$C$12:$C$72,$A703+1)/(1+Assumptions!$B$10)^25+INDEX(Surface_Engine!$D$12:$D$72,$A703+1)))*INDEX(Surface_Engine!$B$12:$B$72,$A703+1)+I704</f>
        <v>1497.81045324965</v>
      </c>
      <c r="J703" s="48" t="n">
        <f aca="false">B703*(IF($A703&lt;$Q$699,INDEX(Surface_Engine!$D$12:$D$72,$A703+1)*(1+Assumptions!$B$24)+(Surface_Engine!Q241*12)*INDEX(Surface_Engine!$F$12:$F$72,$A703+1)-(Surface_Engine!Q241*12),1000*12*INDEX(Surface_Engine!$C$12:$C$72,$A703+1)/(1+Assumptions!$B$10)^25+INDEX(Surface_Engine!$D$12:$D$72,$A703+1)*(1+Assumptions!$B$24)))*INDEX(Surface_Engine!$B$12:$B$72,$A703+1)+J704</f>
        <v>584.885112179154</v>
      </c>
      <c r="K703" s="12" t="n">
        <f aca="false">SQRT((IF(C703&lt;=0,0,MAX(0,(B703/C703)*G703/INDEX(Surface_Engine!$B$12:$B$72,$A703+1)-F703/INDEX(Surface_Engine!$B$12:$B$72,$A703+1))))^2+(MAX(IF(D703&lt;=0,0,MAX(0,(B703/D703)*H703/INDEX(Surface_Engine!$B$12:$B$72,$A703+1)-F703/INDEX(Surface_Engine!$B$12:$B$72,$A703+1))),IF(E703&lt;=0,0,MAX(0,(B703/E703)*I703/INDEX(Surface_Engine!$B$12:$B$72,$A703+1)-F703/INDEX(Surface_Engine!$B$12:$B$72,$A703+1))),IF($A703&lt;$Q$699,MAX(0,-Assumptions!$B$22*(F703/INDEX(Surface_Engine!$B$12:$B$72,$A703+1))),0)))^2+(MAX(0,J703/INDEX(Surface_Engine!$B$12:$B$72,$A703+1)-(F703/INDEX(Surface_Engine!$B$12:$B$72,$A703+1))))^2+2*Assumptions!$B$26*(IF(C703&lt;=0,0,MAX(0,(B703/C703)*G703/INDEX(Surface_Engine!$B$12:$B$72,$A703+1)-F703/INDEX(Surface_Engine!$B$12:$B$72,$A703+1))))*(MAX(IF(D703&lt;=0,0,MAX(0,(B703/D703)*H703/INDEX(Surface_Engine!$B$12:$B$72,$A703+1)-F703/INDEX(Surface_Engine!$B$12:$B$72,$A703+1))),IF(E703&lt;=0,0,MAX(0,(B703/E703)*I703/INDEX(Surface_Engine!$B$12:$B$72,$A703+1)-F703/INDEX(Surface_Engine!$B$12:$B$72,$A703+1))),IF($A703&lt;$Q$699,MAX(0,-Assumptions!$B$22*(F703/INDEX(Surface_Engine!$B$12:$B$72,$A703+1))),0)))+2*Assumptions!$B$27*(IF(C703&lt;=0,0,MAX(0,(B703/C703)*G703/INDEX(Surface_Engine!$B$12:$B$72,$A703+1)-F703/INDEX(Surface_Engine!$B$12:$B$72,$A703+1))))*(MAX(0,J703/INDEX(Surface_Engine!$B$12:$B$72,$A703+1)-(F703/INDEX(Surface_Engine!$B$12:$B$72,$A703+1))))+2*Assumptions!$B$28*(MAX(IF(D703&lt;=0,0,MAX(0,(B703/D703)*H703/INDEX(Surface_Engine!$B$12:$B$72,$A703+1)-F703/INDEX(Surface_Engine!$B$12:$B$72,$A703+1))),IF(E703&lt;=0,0,MAX(0,(B703/E703)*I703/INDEX(Surface_Engine!$B$12:$B$72,$A703+1)-F703/INDEX(Surface_Engine!$B$12:$B$72,$A703+1))),IF($A703&lt;$Q$699,MAX(0,-Assumptions!$B$22*(F703/INDEX(Surface_Engine!$B$12:$B$72,$A703+1))),0)))*(MAX(0,J703/INDEX(Surface_Engine!$B$12:$B$72,$A703+1)-(F703/INDEX(Surface_Engine!$B$12:$B$72,$A703+1)))))</f>
        <v>4817.6951134336</v>
      </c>
      <c r="L703" s="48" t="n">
        <f aca="false">K703*INDEX(Surface_Engine!$B$12:$B$72,$A703+1)+L704</f>
        <v>102642.336599884</v>
      </c>
      <c r="M703" s="48" t="n">
        <f aca="false">M702+B702*(IF($A702&lt;$Q$699,(Surface_Engine!Q241*12)-(Surface_Engine!Q241*12)*INDEX(Surface_Engine!$F$12:$F$72,$A702+1)-INDEX(Surface_Engine!$D$12:$D$72,$A702+1),-(1000*12*INDEX(Surface_Engine!$C$12:$C$72,$A702+1)/(1+Assumptions!$B$10)^25+INDEX(Surface_Engine!$D$12:$D$72,$A702+1))))*INDEX(Surface_Engine!$B$12:$B$72,$A702+1)</f>
        <v>964.995173469892</v>
      </c>
      <c r="N703" s="12" t="n">
        <f aca="false">IF(B703&lt;=0,0,MAX(0,(K703+Assumptions!$B$29*L703/INDEX(Surface_Engine!$B$12:$B$72,$A703+1)-(M703/INDEX(Surface_Engine!$B$12:$B$72,$A703+1)-(F703/INDEX(Surface_Engine!$B$12:$B$72,$A703+1))))/B703))</f>
        <v>11581.4971245261</v>
      </c>
    </row>
    <row r="704" customFormat="false" ht="15" hidden="false" customHeight="true" outlineLevel="0" collapsed="false">
      <c r="A704" s="1" t="n">
        <v>3</v>
      </c>
      <c r="B704" s="32" t="n">
        <f aca="false">INDEX(Surface_Engine!$L$12:$L$72,$A704+1)*IF($A704&lt;$Q$699,INDEX(Surface_Engine!$E$12:$E$72,$A704+1),INDEX(Surface_Engine!$E$12:$E$72,$Q$699+1))</f>
        <v>0.910458495120298</v>
      </c>
      <c r="C704" s="32" t="n">
        <f aca="false">INDEX(Panel_Reserving!$D$8:$D$68,$A704+1)*IF($A704&lt;$Q$699,INDEX(Surface_Engine!$E$12:$E$72,$A704+1),INDEX(Surface_Engine!$E$12:$E$72,$Q$699+1))</f>
        <v>0.913572212390625</v>
      </c>
      <c r="D704" s="32" t="n">
        <f aca="false">INDEX(Surface_Engine!$L$12:$L$72,$A704+1)*IF($A704&lt;$Q$699,INDEX(Surface_Engine!$Y$12:$Y$72,$A704+1),INDEX(Surface_Engine!$Y$12:$Y$72,$Q$699+1))</f>
        <v>0.875370403952724</v>
      </c>
      <c r="E704" s="32" t="n">
        <f aca="false">INDEX(Surface_Engine!$L$12:$L$72,$A704+1)*IF($A704&lt;$Q$699,INDEX(Surface_Engine!$Z$12:$Z$72,$A704+1),INDEX(Surface_Engine!$Z$12:$Z$72,$Q$699+1))</f>
        <v>0.946369676313116</v>
      </c>
      <c r="F704" s="48" t="n">
        <f aca="false">B704*(IF($A704&lt;$Q$699,INDEX(Surface_Engine!$D$12:$D$72,$A704+1)+(Surface_Engine!Q241*12)*INDEX(Surface_Engine!$F$12:$F$72,$A704+1)-(Surface_Engine!Q241*12),1000*12*INDEX(Surface_Engine!$C$12:$C$72,$A704+1)/(1+Assumptions!$B$10)^25+INDEX(Surface_Engine!$D$12:$D$72,$A704+1)))*INDEX(Surface_Engine!$B$12:$B$72,$A704+1)+F705</f>
        <v>1432.0643196453</v>
      </c>
      <c r="G704" s="48" t="n">
        <f aca="false">C704*(IF($A704&lt;$Q$699,INDEX(Surface_Engine!$D$12:$D$72,$A704+1)+(Surface_Engine!Q241*12)*INDEX(Surface_Engine!$F$12:$F$72,$A704+1)-(Surface_Engine!Q241*12),1000*12*INDEX(Surface_Engine!$C$12:$C$72,$A704+1)/(1+Assumptions!$B$10)^25+INDEX(Surface_Engine!$D$12:$D$72,$A704+1)))*INDEX(Surface_Engine!$B$12:$B$72,$A704+1)+G705</f>
        <v>5608.6984464646</v>
      </c>
      <c r="H704" s="48" t="n">
        <f aca="false">D704*(IF($A704&lt;$Q$699,INDEX(Surface_Engine!$D$12:$D$72,$A704+1)+(Surface_Engine!Q241*12)*INDEX(Surface_Engine!$F$12:$F$72,$A704+1)-(Surface_Engine!Q241*12),1000*12*INDEX(Surface_Engine!$C$12:$C$72,$A704+1)/(1+Assumptions!$B$10)^25+INDEX(Surface_Engine!$D$12:$D$72,$A704+1)))*INDEX(Surface_Engine!$B$12:$B$72,$A704+1)+H705</f>
        <v>534.185199989562</v>
      </c>
      <c r="I704" s="48" t="n">
        <f aca="false">E704*(IF($A704&lt;$Q$699,INDEX(Surface_Engine!$D$12:$D$72,$A704+1)+(Surface_Engine!Q241*12)*INDEX(Surface_Engine!$F$12:$F$72,$A704+1)-(Surface_Engine!Q241*12),1000*12*INDEX(Surface_Engine!$C$12:$C$72,$A704+1)/(1+Assumptions!$B$10)^25+INDEX(Surface_Engine!$D$12:$D$72,$A704+1)))*INDEX(Surface_Engine!$B$12:$B$72,$A704+1)+I705</f>
        <v>2520.27355890445</v>
      </c>
      <c r="J704" s="48" t="n">
        <f aca="false">B704*(IF($A704&lt;$Q$699,INDEX(Surface_Engine!$D$12:$D$72,$A704+1)*(1+Assumptions!$B$24)+(Surface_Engine!Q241*12)*INDEX(Surface_Engine!$F$12:$F$72,$A704+1)-(Surface_Engine!Q241*12),1000*12*INDEX(Surface_Engine!$C$12:$C$72,$A704+1)/(1+Assumptions!$B$10)^25+INDEX(Surface_Engine!$D$12:$D$72,$A704+1)*(1+Assumptions!$B$24)))*INDEX(Surface_Engine!$B$12:$B$72,$A704+1)+J705</f>
        <v>1567.58449524843</v>
      </c>
      <c r="K704" s="12" t="n">
        <f aca="false">SQRT((IF(C704&lt;=0,0,MAX(0,(B704/C704)*G704/INDEX(Surface_Engine!$B$12:$B$72,$A704+1)-F704/INDEX(Surface_Engine!$B$12:$B$72,$A704+1))))^2+(MAX(IF(D704&lt;=0,0,MAX(0,(B704/D704)*H704/INDEX(Surface_Engine!$B$12:$B$72,$A704+1)-F704/INDEX(Surface_Engine!$B$12:$B$72,$A704+1))),IF(E704&lt;=0,0,MAX(0,(B704/E704)*I704/INDEX(Surface_Engine!$B$12:$B$72,$A704+1)-F704/INDEX(Surface_Engine!$B$12:$B$72,$A704+1))),IF($A704&lt;$Q$699,MAX(0,-Assumptions!$B$22*(F704/INDEX(Surface_Engine!$B$12:$B$72,$A704+1))),0)))^2+(MAX(0,J704/INDEX(Surface_Engine!$B$12:$B$72,$A704+1)-(F704/INDEX(Surface_Engine!$B$12:$B$72,$A704+1))))^2+2*Assumptions!$B$26*(IF(C704&lt;=0,0,MAX(0,(B704/C704)*G704/INDEX(Surface_Engine!$B$12:$B$72,$A704+1)-F704/INDEX(Surface_Engine!$B$12:$B$72,$A704+1))))*(MAX(IF(D704&lt;=0,0,MAX(0,(B704/D704)*H704/INDEX(Surface_Engine!$B$12:$B$72,$A704+1)-F704/INDEX(Surface_Engine!$B$12:$B$72,$A704+1))),IF(E704&lt;=0,0,MAX(0,(B704/E704)*I704/INDEX(Surface_Engine!$B$12:$B$72,$A704+1)-F704/INDEX(Surface_Engine!$B$12:$B$72,$A704+1))),IF($A704&lt;$Q$699,MAX(0,-Assumptions!$B$22*(F704/INDEX(Surface_Engine!$B$12:$B$72,$A704+1))),0)))+2*Assumptions!$B$27*(IF(C704&lt;=0,0,MAX(0,(B704/C704)*G704/INDEX(Surface_Engine!$B$12:$B$72,$A704+1)-F704/INDEX(Surface_Engine!$B$12:$B$72,$A704+1))))*(MAX(0,J704/INDEX(Surface_Engine!$B$12:$B$72,$A704+1)-(F704/INDEX(Surface_Engine!$B$12:$B$72,$A704+1))))+2*Assumptions!$B$28*(MAX(IF(D704&lt;=0,0,MAX(0,(B704/D704)*H704/INDEX(Surface_Engine!$B$12:$B$72,$A704+1)-F704/INDEX(Surface_Engine!$B$12:$B$72,$A704+1))),IF(E704&lt;=0,0,MAX(0,(B704/E704)*I704/INDEX(Surface_Engine!$B$12:$B$72,$A704+1)-F704/INDEX(Surface_Engine!$B$12:$B$72,$A704+1))),IF($A704&lt;$Q$699,MAX(0,-Assumptions!$B$22*(F704/INDEX(Surface_Engine!$B$12:$B$72,$A704+1))),0)))*(MAX(0,J704/INDEX(Surface_Engine!$B$12:$B$72,$A704+1)-(F704/INDEX(Surface_Engine!$B$12:$B$72,$A704+1)))))</f>
        <v>4925.43906982849</v>
      </c>
      <c r="L704" s="48" t="n">
        <f aca="false">K704*INDEX(Surface_Engine!$B$12:$B$72,$A704+1)+L705</f>
        <v>98068.0380270691</v>
      </c>
      <c r="M704" s="48" t="n">
        <f aca="false">M703+B703*(IF($A703&lt;$Q$699,(Surface_Engine!Q241*12)-(Surface_Engine!Q241*12)*INDEX(Surface_Engine!$F$12:$F$72,$A703+1)-INDEX(Surface_Engine!$D$12:$D$72,$A703+1),-(1000*12*INDEX(Surface_Engine!$C$12:$C$72,$A703+1)/(1+Assumptions!$B$10)^25+INDEX(Surface_Engine!$D$12:$D$72,$A703+1))))*INDEX(Surface_Engine!$B$12:$B$72,$A703+1)</f>
        <v>1955.28917915873</v>
      </c>
      <c r="N704" s="12" t="n">
        <f aca="false">IF(B704&lt;=0,0,MAX(0,(K704+Assumptions!$B$29*L704/INDEX(Surface_Engine!$B$12:$B$72,$A704+1)-(M704/INDEX(Surface_Engine!$B$12:$B$72,$A704+1)-(F704/INDEX(Surface_Engine!$B$12:$B$72,$A704+1))))/B704))</f>
        <v>11773.7091335805</v>
      </c>
    </row>
    <row r="705" customFormat="false" ht="15" hidden="false" customHeight="true" outlineLevel="0" collapsed="false">
      <c r="A705" s="1" t="n">
        <v>4</v>
      </c>
      <c r="B705" s="32" t="n">
        <f aca="false">INDEX(Surface_Engine!$L$12:$L$72,$A705+1)*IF($A705&lt;$Q$699,INDEX(Surface_Engine!$E$12:$E$72,$A705+1),INDEX(Surface_Engine!$E$12:$E$72,$Q$699+1))</f>
        <v>0.89228176534528</v>
      </c>
      <c r="C705" s="32" t="n">
        <f aca="false">INDEX(Panel_Reserving!$D$8:$D$68,$A705+1)*IF($A705&lt;$Q$699,INDEX(Surface_Engine!$E$12:$E$72,$A705+1),INDEX(Surface_Engine!$E$12:$E$72,$Q$699+1))</f>
        <v>0.896550995764067</v>
      </c>
      <c r="D705" s="32" t="n">
        <f aca="false">INDEX(Surface_Engine!$L$12:$L$72,$A705+1)*IF($A705&lt;$Q$699,INDEX(Surface_Engine!$Y$12:$Y$72,$A705+1),INDEX(Surface_Engine!$Y$12:$Y$72,$Q$699+1))</f>
        <v>0.852112290247146</v>
      </c>
      <c r="E705" s="32" t="n">
        <f aca="false">INDEX(Surface_Engine!$L$12:$L$72,$A705+1)*IF($A705&lt;$Q$699,INDEX(Surface_Engine!$Z$12:$Z$72,$A705+1),INDEX(Surface_Engine!$Z$12:$Z$72,$Q$699+1))</f>
        <v>0.933726854193489</v>
      </c>
      <c r="F705" s="48" t="n">
        <f aca="false">B705*(IF($A705&lt;$Q$699,INDEX(Surface_Engine!$D$12:$D$72,$A705+1)+(Surface_Engine!Q241*12)*INDEX(Surface_Engine!$F$12:$F$72,$A705+1)-(Surface_Engine!Q241*12),1000*12*INDEX(Surface_Engine!$C$12:$C$72,$A705+1)/(1+Assumptions!$B$10)^25+INDEX(Surface_Engine!$D$12:$D$72,$A705+1)))*INDEX(Surface_Engine!$B$12:$B$72,$A705+1)+F706</f>
        <v>2376.55878218872</v>
      </c>
      <c r="G705" s="48" t="n">
        <f aca="false">C705*(IF($A705&lt;$Q$699,INDEX(Surface_Engine!$D$12:$D$72,$A705+1)+(Surface_Engine!Q241*12)*INDEX(Surface_Engine!$F$12:$F$72,$A705+1)-(Surface_Engine!Q241*12),1000*12*INDEX(Surface_Engine!$C$12:$C$72,$A705+1)/(1+Assumptions!$B$10)^25+INDEX(Surface_Engine!$D$12:$D$72,$A705+1)))*INDEX(Surface_Engine!$B$12:$B$72,$A705+1)+G706</f>
        <v>6556.4230273885</v>
      </c>
      <c r="H705" s="48" t="n">
        <f aca="false">D705*(IF($A705&lt;$Q$699,INDEX(Surface_Engine!$D$12:$D$72,$A705+1)+(Surface_Engine!Q241*12)*INDEX(Surface_Engine!$F$12:$F$72,$A705+1)-(Surface_Engine!Q241*12),1000*12*INDEX(Surface_Engine!$C$12:$C$72,$A705+1)/(1+Assumptions!$B$10)^25+INDEX(Surface_Engine!$D$12:$D$72,$A705+1)))*INDEX(Surface_Engine!$B$12:$B$72,$A705+1)+H706</f>
        <v>1442.27986178796</v>
      </c>
      <c r="I705" s="48" t="n">
        <f aca="false">E705*(IF($A705&lt;$Q$699,INDEX(Surface_Engine!$D$12:$D$72,$A705+1)+(Surface_Engine!Q241*12)*INDEX(Surface_Engine!$F$12:$F$72,$A705+1)-(Surface_Engine!Q241*12),1000*12*INDEX(Surface_Engine!$C$12:$C$72,$A705+1)/(1+Assumptions!$B$10)^25+INDEX(Surface_Engine!$D$12:$D$72,$A705+1)))*INDEX(Surface_Engine!$B$12:$B$72,$A705+1)+I706</f>
        <v>3502.02168206151</v>
      </c>
      <c r="J705" s="48" t="n">
        <f aca="false">B705*(IF($A705&lt;$Q$699,INDEX(Surface_Engine!$D$12:$D$72,$A705+1)*(1+Assumptions!$B$24)+(Surface_Engine!Q241*12)*INDEX(Surface_Engine!$F$12:$F$72,$A705+1)-(Surface_Engine!Q241*12),1000*12*INDEX(Surface_Engine!$C$12:$C$72,$A705+1)/(1+Assumptions!$B$10)^25+INDEX(Surface_Engine!$D$12:$D$72,$A705+1)*(1+Assumptions!$B$24)))*INDEX(Surface_Engine!$B$12:$B$72,$A705+1)+J706</f>
        <v>2504.64022795134</v>
      </c>
      <c r="K705" s="12" t="n">
        <f aca="false">SQRT((IF(C705&lt;=0,0,MAX(0,(B705/C705)*G705/INDEX(Surface_Engine!$B$12:$B$72,$A705+1)-F705/INDEX(Surface_Engine!$B$12:$B$72,$A705+1))))^2+(MAX(IF(D705&lt;=0,0,MAX(0,(B705/D705)*H705/INDEX(Surface_Engine!$B$12:$B$72,$A705+1)-F705/INDEX(Surface_Engine!$B$12:$B$72,$A705+1))),IF(E705&lt;=0,0,MAX(0,(B705/E705)*I705/INDEX(Surface_Engine!$B$12:$B$72,$A705+1)-F705/INDEX(Surface_Engine!$B$12:$B$72,$A705+1))),IF($A705&lt;$Q$699,MAX(0,-Assumptions!$B$22*(F705/INDEX(Surface_Engine!$B$12:$B$72,$A705+1))),0)))^2+(MAX(0,J705/INDEX(Surface_Engine!$B$12:$B$72,$A705+1)-(F705/INDEX(Surface_Engine!$B$12:$B$72,$A705+1))))^2+2*Assumptions!$B$26*(IF(C705&lt;=0,0,MAX(0,(B705/C705)*G705/INDEX(Surface_Engine!$B$12:$B$72,$A705+1)-F705/INDEX(Surface_Engine!$B$12:$B$72,$A705+1))))*(MAX(IF(D705&lt;=0,0,MAX(0,(B705/D705)*H705/INDEX(Surface_Engine!$B$12:$B$72,$A705+1)-F705/INDEX(Surface_Engine!$B$12:$B$72,$A705+1))),IF(E705&lt;=0,0,MAX(0,(B705/E705)*I705/INDEX(Surface_Engine!$B$12:$B$72,$A705+1)-F705/INDEX(Surface_Engine!$B$12:$B$72,$A705+1))),IF($A705&lt;$Q$699,MAX(0,-Assumptions!$B$22*(F705/INDEX(Surface_Engine!$B$12:$B$72,$A705+1))),0)))+2*Assumptions!$B$27*(IF(C705&lt;=0,0,MAX(0,(B705/C705)*G705/INDEX(Surface_Engine!$B$12:$B$72,$A705+1)-F705/INDEX(Surface_Engine!$B$12:$B$72,$A705+1))))*(MAX(0,J705/INDEX(Surface_Engine!$B$12:$B$72,$A705+1)-(F705/INDEX(Surface_Engine!$B$12:$B$72,$A705+1))))+2*Assumptions!$B$28*(MAX(IF(D705&lt;=0,0,MAX(0,(B705/D705)*H705/INDEX(Surface_Engine!$B$12:$B$72,$A705+1)-F705/INDEX(Surface_Engine!$B$12:$B$72,$A705+1))),IF(E705&lt;=0,0,MAX(0,(B705/E705)*I705/INDEX(Surface_Engine!$B$12:$B$72,$A705+1)-F705/INDEX(Surface_Engine!$B$12:$B$72,$A705+1))),IF($A705&lt;$Q$699,MAX(0,-Assumptions!$B$22*(F705/INDEX(Surface_Engine!$B$12:$B$72,$A705+1))),0)))*(MAX(0,J705/INDEX(Surface_Engine!$B$12:$B$72,$A705+1)-(F705/INDEX(Surface_Engine!$B$12:$B$72,$A705+1)))))</f>
        <v>5032.95222301852</v>
      </c>
      <c r="L705" s="48" t="n">
        <f aca="false">K705*INDEX(Surface_Engine!$B$12:$B$72,$A705+1)+L706</f>
        <v>93510.8375281707</v>
      </c>
      <c r="M705" s="48" t="n">
        <f aca="false">M704+B704*(IF($A704&lt;$Q$699,(Surface_Engine!Q241*12)-(Surface_Engine!Q241*12)*INDEX(Surface_Engine!$F$12:$F$72,$A704+1)-INDEX(Surface_Engine!$D$12:$D$72,$A704+1),-(1000*12*INDEX(Surface_Engine!$C$12:$C$72,$A704+1)/(1+Assumptions!$B$10)^25+INDEX(Surface_Engine!$D$12:$D$72,$A704+1))))*INDEX(Surface_Engine!$B$12:$B$72,$A704+1)</f>
        <v>2899.78364170215</v>
      </c>
      <c r="N705" s="12" t="n">
        <f aca="false">IF(B705&lt;=0,0,MAX(0,(K705+Assumptions!$B$29*L705/INDEX(Surface_Engine!$B$12:$B$72,$A705+1)-(M705/INDEX(Surface_Engine!$B$12:$B$72,$A705+1)-(F705/INDEX(Surface_Engine!$B$12:$B$72,$A705+1))))/B705))</f>
        <v>11967.4987458952</v>
      </c>
    </row>
    <row r="706" customFormat="false" ht="15" hidden="false" customHeight="true" outlineLevel="0" collapsed="false">
      <c r="A706" s="1" t="n">
        <v>5</v>
      </c>
      <c r="B706" s="32" t="n">
        <f aca="false">INDEX(Surface_Engine!$L$12:$L$72,$A706+1)*IF($A706&lt;$Q$699,INDEX(Surface_Engine!$E$12:$E$72,$A706+1),INDEX(Surface_Engine!$E$12:$E$72,$Q$699+1))</f>
        <v>0.873874922230056</v>
      </c>
      <c r="C706" s="32" t="n">
        <f aca="false">INDEX(Panel_Reserving!$D$8:$D$68,$A706+1)*IF($A706&lt;$Q$699,INDEX(Surface_Engine!$E$12:$E$72,$A706+1),INDEX(Surface_Engine!$E$12:$E$72,$Q$699+1))</f>
        <v>0.879370239802948</v>
      </c>
      <c r="D706" s="32" t="n">
        <f aca="false">INDEX(Surface_Engine!$L$12:$L$72,$A706+1)*IF($A706&lt;$Q$699,INDEX(Surface_Engine!$Y$12:$Y$72,$A706+1),INDEX(Surface_Engine!$Y$12:$Y$72,$Q$699+1))</f>
        <v>0.828909644494902</v>
      </c>
      <c r="E706" s="32" t="n">
        <f aca="false">INDEX(Surface_Engine!$L$12:$L$72,$A706+1)*IF($A706&lt;$Q$699,INDEX(Surface_Engine!$Z$12:$Z$72,$A706+1),INDEX(Surface_Engine!$Z$12:$Z$72,$Q$699+1))</f>
        <v>0.920628204670913</v>
      </c>
      <c r="F706" s="48" t="n">
        <f aca="false">B706*(IF($A706&lt;$Q$699,INDEX(Surface_Engine!$D$12:$D$72,$A706+1)+(Surface_Engine!Q241*12)*INDEX(Surface_Engine!$F$12:$F$72,$A706+1)-(Surface_Engine!Q241*12),1000*12*INDEX(Surface_Engine!$C$12:$C$72,$A706+1)/(1+Assumptions!$B$10)^25+INDEX(Surface_Engine!$D$12:$D$72,$A706+1)))*INDEX(Surface_Engine!$B$12:$B$72,$A706+1)+F707</f>
        <v>3276.3324257418</v>
      </c>
      <c r="G706" s="48" t="n">
        <f aca="false">C706*(IF($A706&lt;$Q$699,INDEX(Surface_Engine!$D$12:$D$72,$A706+1)+(Surface_Engine!Q241*12)*INDEX(Surface_Engine!$F$12:$F$72,$A706+1)-(Surface_Engine!Q241*12),1000*12*INDEX(Surface_Engine!$C$12:$C$72,$A706+1)/(1+Assumptions!$B$10)^25+INDEX(Surface_Engine!$D$12:$D$72,$A706+1)))*INDEX(Surface_Engine!$B$12:$B$72,$A706+1)+G707</f>
        <v>7460.50174716106</v>
      </c>
      <c r="H706" s="48" t="n">
        <f aca="false">D706*(IF($A706&lt;$Q$699,INDEX(Surface_Engine!$D$12:$D$72,$A706+1)+(Surface_Engine!Q241*12)*INDEX(Surface_Engine!$F$12:$F$72,$A706+1)-(Surface_Engine!Q241*12),1000*12*INDEX(Surface_Engine!$C$12:$C$72,$A706+1)/(1+Assumptions!$B$10)^25+INDEX(Surface_Engine!$D$12:$D$72,$A706+1)))*INDEX(Surface_Engine!$B$12:$B$72,$A706+1)+H707</f>
        <v>2301.54675470192</v>
      </c>
      <c r="I706" s="48" t="n">
        <f aca="false">E706*(IF($A706&lt;$Q$699,INDEX(Surface_Engine!$D$12:$D$72,$A706+1)+(Surface_Engine!Q241*12)*INDEX(Surface_Engine!$F$12:$F$72,$A706+1)-(Surface_Engine!Q241*12),1000*12*INDEX(Surface_Engine!$C$12:$C$72,$A706+1)/(1+Assumptions!$B$10)^25+INDEX(Surface_Engine!$D$12:$D$72,$A706+1)))*INDEX(Surface_Engine!$B$12:$B$72,$A706+1)+I707</f>
        <v>4443.58840045782</v>
      </c>
      <c r="J706" s="48" t="n">
        <f aca="false">B706*(IF($A706&lt;$Q$699,INDEX(Surface_Engine!$D$12:$D$72,$A706+1)*(1+Assumptions!$B$24)+(Surface_Engine!Q241*12)*INDEX(Surface_Engine!$F$12:$F$72,$A706+1)-(Surface_Engine!Q241*12),1000*12*INDEX(Surface_Engine!$C$12:$C$72,$A706+1)/(1+Assumptions!$B$10)^25+INDEX(Surface_Engine!$D$12:$D$72,$A706+1)*(1+Assumptions!$B$24)))*INDEX(Surface_Engine!$B$12:$B$72,$A706+1)+J707</f>
        <v>3397.13586466311</v>
      </c>
      <c r="K706" s="12" t="n">
        <f aca="false">SQRT((IF(C706&lt;=0,0,MAX(0,(B706/C706)*G706/INDEX(Surface_Engine!$B$12:$B$72,$A706+1)-F706/INDEX(Surface_Engine!$B$12:$B$72,$A706+1))))^2+(MAX(IF(D706&lt;=0,0,MAX(0,(B706/D706)*H706/INDEX(Surface_Engine!$B$12:$B$72,$A706+1)-F706/INDEX(Surface_Engine!$B$12:$B$72,$A706+1))),IF(E706&lt;=0,0,MAX(0,(B706/E706)*I706/INDEX(Surface_Engine!$B$12:$B$72,$A706+1)-F706/INDEX(Surface_Engine!$B$12:$B$72,$A706+1))),IF($A706&lt;$Q$699,MAX(0,-Assumptions!$B$22*(F706/INDEX(Surface_Engine!$B$12:$B$72,$A706+1))),0)))^2+(MAX(0,J706/INDEX(Surface_Engine!$B$12:$B$72,$A706+1)-(F706/INDEX(Surface_Engine!$B$12:$B$72,$A706+1))))^2+2*Assumptions!$B$26*(IF(C706&lt;=0,0,MAX(0,(B706/C706)*G706/INDEX(Surface_Engine!$B$12:$B$72,$A706+1)-F706/INDEX(Surface_Engine!$B$12:$B$72,$A706+1))))*(MAX(IF(D706&lt;=0,0,MAX(0,(B706/D706)*H706/INDEX(Surface_Engine!$B$12:$B$72,$A706+1)-F706/INDEX(Surface_Engine!$B$12:$B$72,$A706+1))),IF(E706&lt;=0,0,MAX(0,(B706/E706)*I706/INDEX(Surface_Engine!$B$12:$B$72,$A706+1)-F706/INDEX(Surface_Engine!$B$12:$B$72,$A706+1))),IF($A706&lt;$Q$699,MAX(0,-Assumptions!$B$22*(F706/INDEX(Surface_Engine!$B$12:$B$72,$A706+1))),0)))+2*Assumptions!$B$27*(IF(C706&lt;=0,0,MAX(0,(B706/C706)*G706/INDEX(Surface_Engine!$B$12:$B$72,$A706+1)-F706/INDEX(Surface_Engine!$B$12:$B$72,$A706+1))))*(MAX(0,J706/INDEX(Surface_Engine!$B$12:$B$72,$A706+1)-(F706/INDEX(Surface_Engine!$B$12:$B$72,$A706+1))))+2*Assumptions!$B$28*(MAX(IF(D706&lt;=0,0,MAX(0,(B706/D706)*H706/INDEX(Surface_Engine!$B$12:$B$72,$A706+1)-F706/INDEX(Surface_Engine!$B$12:$B$72,$A706+1))),IF(E706&lt;=0,0,MAX(0,(B706/E706)*I706/INDEX(Surface_Engine!$B$12:$B$72,$A706+1)-F706/INDEX(Surface_Engine!$B$12:$B$72,$A706+1))),IF($A706&lt;$Q$699,MAX(0,-Assumptions!$B$22*(F706/INDEX(Surface_Engine!$B$12:$B$72,$A706+1))),0)))*(MAX(0,J706/INDEX(Surface_Engine!$B$12:$B$72,$A706+1)-(F706/INDEX(Surface_Engine!$B$12:$B$72,$A706+1)))))</f>
        <v>5143.84299101583</v>
      </c>
      <c r="L706" s="48" t="n">
        <f aca="false">K706*INDEX(Surface_Engine!$B$12:$B$72,$A706+1)+L707</f>
        <v>88975.3504346528</v>
      </c>
      <c r="M706" s="48" t="n">
        <f aca="false">M705+B705*(IF($A705&lt;$Q$699,(Surface_Engine!Q241*12)-(Surface_Engine!Q241*12)*INDEX(Surface_Engine!$F$12:$F$72,$A705+1)-INDEX(Surface_Engine!$D$12:$D$72,$A705+1),-(1000*12*INDEX(Surface_Engine!$C$12:$C$72,$A705+1)/(1+Assumptions!$B$10)^25+INDEX(Surface_Engine!$D$12:$D$72,$A705+1))))*INDEX(Surface_Engine!$B$12:$B$72,$A705+1)</f>
        <v>3799.55728525522</v>
      </c>
      <c r="N706" s="12" t="n">
        <f aca="false">IF(B706&lt;=0,0,MAX(0,(K706+Assumptions!$B$29*L706/INDEX(Surface_Engine!$B$12:$B$72,$A706+1)-(M706/INDEX(Surface_Engine!$B$12:$B$72,$A706+1)-(F706/INDEX(Surface_Engine!$B$12:$B$72,$A706+1))))/B706))</f>
        <v>12172.1885147727</v>
      </c>
    </row>
    <row r="707" customFormat="false" ht="15" hidden="false" customHeight="true" outlineLevel="0" collapsed="false">
      <c r="A707" s="1" t="n">
        <v>6</v>
      </c>
      <c r="B707" s="32" t="n">
        <f aca="false">INDEX(Surface_Engine!$L$12:$L$72,$A707+1)*IF($A707&lt;$Q$699,INDEX(Surface_Engine!$E$12:$E$72,$A707+1),INDEX(Surface_Engine!$E$12:$E$72,$Q$699+1))</f>
        <v>0.858567656672851</v>
      </c>
      <c r="C707" s="32" t="n">
        <f aca="false">INDEX(Panel_Reserving!$D$8:$D$68,$A707+1)*IF($A707&lt;$Q$699,INDEX(Surface_Engine!$E$12:$E$72,$A707+1),INDEX(Surface_Engine!$E$12:$E$72,$Q$699+1))</f>
        <v>0.86544696635803</v>
      </c>
      <c r="D707" s="32" t="n">
        <f aca="false">INDEX(Surface_Engine!$L$12:$L$72,$A707+1)*IF($A707&lt;$Q$699,INDEX(Surface_Engine!$Y$12:$Y$72,$A707+1),INDEX(Surface_Engine!$Y$12:$Y$72,$Q$699+1))</f>
        <v>0.810650510995486</v>
      </c>
      <c r="E707" s="32" t="n">
        <f aca="false">INDEX(Surface_Engine!$L$12:$L$72,$A707+1)*IF($A707&lt;$Q$699,INDEX(Surface_Engine!$Z$12:$Z$72,$A707+1),INDEX(Surface_Engine!$Z$12:$Z$72,$Q$699+1))</f>
        <v>0.908655262205364</v>
      </c>
      <c r="F707" s="48" t="n">
        <f aca="false">B707*(IF($A707&lt;$Q$699,INDEX(Surface_Engine!$D$12:$D$72,$A707+1)+(Surface_Engine!Q241*12)*INDEX(Surface_Engine!$F$12:$F$72,$A707+1)-(Surface_Engine!Q241*12),1000*12*INDEX(Surface_Engine!$C$12:$C$72,$A707+1)/(1+Assumptions!$B$10)^25+INDEX(Surface_Engine!$D$12:$D$72,$A707+1)))*INDEX(Surface_Engine!$B$12:$B$72,$A707+1)+F708</f>
        <v>4131.80015031724</v>
      </c>
      <c r="G707" s="48" t="n">
        <f aca="false">C707*(IF($A707&lt;$Q$699,INDEX(Surface_Engine!$D$12:$D$72,$A707+1)+(Surface_Engine!Q241*12)*INDEX(Surface_Engine!$F$12:$F$72,$A707+1)-(Surface_Engine!Q241*12),1000*12*INDEX(Surface_Engine!$C$12:$C$72,$A707+1)/(1+Assumptions!$B$10)^25+INDEX(Surface_Engine!$D$12:$D$72,$A707+1)))*INDEX(Surface_Engine!$B$12:$B$72,$A707+1)+G708</f>
        <v>8321.3490365922</v>
      </c>
      <c r="H707" s="48" t="n">
        <f aca="false">D707*(IF($A707&lt;$Q$699,INDEX(Surface_Engine!$D$12:$D$72,$A707+1)+(Surface_Engine!Q241*12)*INDEX(Surface_Engine!$F$12:$F$72,$A707+1)-(Surface_Engine!Q241*12),1000*12*INDEX(Surface_Engine!$C$12:$C$72,$A707+1)/(1+Assumptions!$B$10)^25+INDEX(Surface_Engine!$D$12:$D$72,$A707+1)))*INDEX(Surface_Engine!$B$12:$B$72,$A707+1)+H708</f>
        <v>3112.99634481617</v>
      </c>
      <c r="I707" s="48" t="n">
        <f aca="false">E707*(IF($A707&lt;$Q$699,INDEX(Surface_Engine!$D$12:$D$72,$A707+1)+(Surface_Engine!Q241*12)*INDEX(Surface_Engine!$F$12:$F$72,$A707+1)-(Surface_Engine!Q241*12),1000*12*INDEX(Surface_Engine!$C$12:$C$72,$A707+1)/(1+Assumptions!$B$10)^25+INDEX(Surface_Engine!$D$12:$D$72,$A707+1)))*INDEX(Surface_Engine!$B$12:$B$72,$A707+1)+I708</f>
        <v>5344.82460188124</v>
      </c>
      <c r="J707" s="48" t="n">
        <f aca="false">B707*(IF($A707&lt;$Q$699,INDEX(Surface_Engine!$D$12:$D$72,$A707+1)*(1+Assumptions!$B$24)+(Surface_Engine!Q241*12)*INDEX(Surface_Engine!$F$12:$F$72,$A707+1)-(Surface_Engine!Q241*12),1000*12*INDEX(Surface_Engine!$C$12:$C$72,$A707+1)/(1+Assumptions!$B$10)^25+INDEX(Surface_Engine!$D$12:$D$72,$A707+1)*(1+Assumptions!$B$24)))*INDEX(Surface_Engine!$B$12:$B$72,$A707+1)+J708</f>
        <v>4245.49659774155</v>
      </c>
      <c r="K707" s="12" t="n">
        <f aca="false">SQRT((IF(C707&lt;=0,0,MAX(0,(B707/C707)*G707/INDEX(Surface_Engine!$B$12:$B$72,$A707+1)-F707/INDEX(Surface_Engine!$B$12:$B$72,$A707+1))))^2+(MAX(IF(D707&lt;=0,0,MAX(0,(B707/D707)*H707/INDEX(Surface_Engine!$B$12:$B$72,$A707+1)-F707/INDEX(Surface_Engine!$B$12:$B$72,$A707+1))),IF(E707&lt;=0,0,MAX(0,(B707/E707)*I707/INDEX(Surface_Engine!$B$12:$B$72,$A707+1)-F707/INDEX(Surface_Engine!$B$12:$B$72,$A707+1))),IF($A707&lt;$Q$699,MAX(0,-Assumptions!$B$22*(F707/INDEX(Surface_Engine!$B$12:$B$72,$A707+1))),0)))^2+(MAX(0,J707/INDEX(Surface_Engine!$B$12:$B$72,$A707+1)-(F707/INDEX(Surface_Engine!$B$12:$B$72,$A707+1))))^2+2*Assumptions!$B$26*(IF(C707&lt;=0,0,MAX(0,(B707/C707)*G707/INDEX(Surface_Engine!$B$12:$B$72,$A707+1)-F707/INDEX(Surface_Engine!$B$12:$B$72,$A707+1))))*(MAX(IF(D707&lt;=0,0,MAX(0,(B707/D707)*H707/INDEX(Surface_Engine!$B$12:$B$72,$A707+1)-F707/INDEX(Surface_Engine!$B$12:$B$72,$A707+1))),IF(E707&lt;=0,0,MAX(0,(B707/E707)*I707/INDEX(Surface_Engine!$B$12:$B$72,$A707+1)-F707/INDEX(Surface_Engine!$B$12:$B$72,$A707+1))),IF($A707&lt;$Q$699,MAX(0,-Assumptions!$B$22*(F707/INDEX(Surface_Engine!$B$12:$B$72,$A707+1))),0)))+2*Assumptions!$B$27*(IF(C707&lt;=0,0,MAX(0,(B707/C707)*G707/INDEX(Surface_Engine!$B$12:$B$72,$A707+1)-F707/INDEX(Surface_Engine!$B$12:$B$72,$A707+1))))*(MAX(0,J707/INDEX(Surface_Engine!$B$12:$B$72,$A707+1)-(F707/INDEX(Surface_Engine!$B$12:$B$72,$A707+1))))+2*Assumptions!$B$28*(MAX(IF(D707&lt;=0,0,MAX(0,(B707/D707)*H707/INDEX(Surface_Engine!$B$12:$B$72,$A707+1)-F707/INDEX(Surface_Engine!$B$12:$B$72,$A707+1))),IF(E707&lt;=0,0,MAX(0,(B707/E707)*I707/INDEX(Surface_Engine!$B$12:$B$72,$A707+1)-F707/INDEX(Surface_Engine!$B$12:$B$72,$A707+1))),IF($A707&lt;$Q$699,MAX(0,-Assumptions!$B$22*(F707/INDEX(Surface_Engine!$B$12:$B$72,$A707+1))),0)))*(MAX(0,J707/INDEX(Surface_Engine!$B$12:$B$72,$A707+1)-(F707/INDEX(Surface_Engine!$B$12:$B$72,$A707+1)))))</f>
        <v>5261.10877198754</v>
      </c>
      <c r="L707" s="48" t="n">
        <f aca="false">K707*INDEX(Surface_Engine!$B$12:$B$72,$A707+1)+L708</f>
        <v>84466.2382149351</v>
      </c>
      <c r="M707" s="48" t="n">
        <f aca="false">M706+B706*(IF($A706&lt;$Q$699,(Surface_Engine!Q241*12)-(Surface_Engine!Q241*12)*INDEX(Surface_Engine!$F$12:$F$72,$A706+1)-INDEX(Surface_Engine!$D$12:$D$72,$A706+1),-(1000*12*INDEX(Surface_Engine!$C$12:$C$72,$A706+1)/(1+Assumptions!$B$10)^25+INDEX(Surface_Engine!$D$12:$D$72,$A706+1))))*INDEX(Surface_Engine!$B$12:$B$72,$A706+1)</f>
        <v>4655.02500983067</v>
      </c>
      <c r="N707" s="12" t="n">
        <f aca="false">IF(B707&lt;=0,0,MAX(0,(K707+Assumptions!$B$29*L707/INDEX(Surface_Engine!$B$12:$B$72,$A707+1)-(M707/INDEX(Surface_Engine!$B$12:$B$72,$A707+1)-(F707/INDEX(Surface_Engine!$B$12:$B$72,$A707+1))))/B707))</f>
        <v>12340.902415404</v>
      </c>
    </row>
    <row r="708" customFormat="false" ht="15" hidden="false" customHeight="true" outlineLevel="0" collapsed="false">
      <c r="A708" s="1" t="n">
        <v>7</v>
      </c>
      <c r="B708" s="32" t="n">
        <f aca="false">INDEX(Surface_Engine!$L$12:$L$72,$A708+1)*IF($A708&lt;$Q$699,INDEX(Surface_Engine!$E$12:$E$72,$A708+1),INDEX(Surface_Engine!$E$12:$E$72,$Q$699+1))</f>
        <v>0.84276021626017</v>
      </c>
      <c r="C708" s="32" t="n">
        <f aca="false">INDEX(Panel_Reserving!$D$8:$D$68,$A708+1)*IF($A708&lt;$Q$699,INDEX(Surface_Engine!$E$12:$E$72,$A708+1),INDEX(Surface_Engine!$E$12:$E$72,$Q$699+1))</f>
        <v>0.851124574320869</v>
      </c>
      <c r="D708" s="32" t="n">
        <f aca="false">INDEX(Surface_Engine!$L$12:$L$72,$A708+1)*IF($A708&lt;$Q$699,INDEX(Surface_Engine!$Y$12:$Y$72,$A708+1),INDEX(Surface_Engine!$Y$12:$Y$72,$Q$699+1))</f>
        <v>0.792071493098381</v>
      </c>
      <c r="E708" s="32" t="n">
        <f aca="false">INDEX(Surface_Engine!$L$12:$L$72,$A708+1)*IF($A708&lt;$Q$699,INDEX(Surface_Engine!$Z$12:$Z$72,$A708+1),INDEX(Surface_Engine!$Z$12:$Z$72,$Q$699+1))</f>
        <v>0.896021169380392</v>
      </c>
      <c r="F708" s="48" t="n">
        <f aca="false">B708*(IF($A708&lt;$Q$699,INDEX(Surface_Engine!$D$12:$D$72,$A708+1)+(Surface_Engine!Q241*12)*INDEX(Surface_Engine!$F$12:$F$72,$A708+1)-(Surface_Engine!Q241*12),1000*12*INDEX(Surface_Engine!$C$12:$C$72,$A708+1)/(1+Assumptions!$B$10)^25+INDEX(Surface_Engine!$D$12:$D$72,$A708+1)))*INDEX(Surface_Engine!$B$12:$B$72,$A708+1)+F709</f>
        <v>4946.96924462895</v>
      </c>
      <c r="G708" s="48" t="n">
        <f aca="false">C708*(IF($A708&lt;$Q$699,INDEX(Surface_Engine!$D$12:$D$72,$A708+1)+(Surface_Engine!Q241*12)*INDEX(Surface_Engine!$F$12:$F$72,$A708+1)-(Surface_Engine!Q241*12),1000*12*INDEX(Surface_Engine!$C$12:$C$72,$A708+1)/(1+Assumptions!$B$10)^25+INDEX(Surface_Engine!$D$12:$D$72,$A708+1)))*INDEX(Surface_Engine!$B$12:$B$72,$A708+1)+G709</f>
        <v>9143.04970777147</v>
      </c>
      <c r="H708" s="48" t="n">
        <f aca="false">D708*(IF($A708&lt;$Q$699,INDEX(Surface_Engine!$D$12:$D$72,$A708+1)+(Surface_Engine!Q241*12)*INDEX(Surface_Engine!$F$12:$F$72,$A708+1)-(Surface_Engine!Q241*12),1000*12*INDEX(Surface_Engine!$C$12:$C$72,$A708+1)/(1+Assumptions!$B$10)^25+INDEX(Surface_Engine!$D$12:$D$72,$A708+1)))*INDEX(Surface_Engine!$B$12:$B$72,$A708+1)+H709</f>
        <v>3882.67039171928</v>
      </c>
      <c r="I708" s="48" t="n">
        <f aca="false">E708*(IF($A708&lt;$Q$699,INDEX(Surface_Engine!$D$12:$D$72,$A708+1)+(Surface_Engine!Q241*12)*INDEX(Surface_Engine!$F$12:$F$72,$A708+1)-(Surface_Engine!Q241*12),1000*12*INDEX(Surface_Engine!$C$12:$C$72,$A708+1)/(1+Assumptions!$B$10)^25+INDEX(Surface_Engine!$D$12:$D$72,$A708+1)))*INDEX(Surface_Engine!$B$12:$B$72,$A708+1)+I709</f>
        <v>6207.54949184964</v>
      </c>
      <c r="J708" s="48" t="n">
        <f aca="false">B708*(IF($A708&lt;$Q$699,INDEX(Surface_Engine!$D$12:$D$72,$A708+1)*(1+Assumptions!$B$24)+(Surface_Engine!Q241*12)*INDEX(Surface_Engine!$F$12:$F$72,$A708+1)-(Surface_Engine!Q241*12),1000*12*INDEX(Surface_Engine!$C$12:$C$72,$A708+1)/(1+Assumptions!$B$10)^25+INDEX(Surface_Engine!$D$12:$D$72,$A708+1)*(1+Assumptions!$B$24)))*INDEX(Surface_Engine!$B$12:$B$72,$A708+1)+J709</f>
        <v>5053.70973845939</v>
      </c>
      <c r="K708" s="12" t="n">
        <f aca="false">SQRT((IF(C708&lt;=0,0,MAX(0,(B708/C708)*G708/INDEX(Surface_Engine!$B$12:$B$72,$A708+1)-F708/INDEX(Surface_Engine!$B$12:$B$72,$A708+1))))^2+(MAX(IF(D708&lt;=0,0,MAX(0,(B708/D708)*H708/INDEX(Surface_Engine!$B$12:$B$72,$A708+1)-F708/INDEX(Surface_Engine!$B$12:$B$72,$A708+1))),IF(E708&lt;=0,0,MAX(0,(B708/E708)*I708/INDEX(Surface_Engine!$B$12:$B$72,$A708+1)-F708/INDEX(Surface_Engine!$B$12:$B$72,$A708+1))),IF($A708&lt;$Q$699,MAX(0,-Assumptions!$B$22*(F708/INDEX(Surface_Engine!$B$12:$B$72,$A708+1))),0)))^2+(MAX(0,J708/INDEX(Surface_Engine!$B$12:$B$72,$A708+1)-(F708/INDEX(Surface_Engine!$B$12:$B$72,$A708+1))))^2+2*Assumptions!$B$26*(IF(C708&lt;=0,0,MAX(0,(B708/C708)*G708/INDEX(Surface_Engine!$B$12:$B$72,$A708+1)-F708/INDEX(Surface_Engine!$B$12:$B$72,$A708+1))))*(MAX(IF(D708&lt;=0,0,MAX(0,(B708/D708)*H708/INDEX(Surface_Engine!$B$12:$B$72,$A708+1)-F708/INDEX(Surface_Engine!$B$12:$B$72,$A708+1))),IF(E708&lt;=0,0,MAX(0,(B708/E708)*I708/INDEX(Surface_Engine!$B$12:$B$72,$A708+1)-F708/INDEX(Surface_Engine!$B$12:$B$72,$A708+1))),IF($A708&lt;$Q$699,MAX(0,-Assumptions!$B$22*(F708/INDEX(Surface_Engine!$B$12:$B$72,$A708+1))),0)))+2*Assumptions!$B$27*(IF(C708&lt;=0,0,MAX(0,(B708/C708)*G708/INDEX(Surface_Engine!$B$12:$B$72,$A708+1)-F708/INDEX(Surface_Engine!$B$12:$B$72,$A708+1))))*(MAX(0,J708/INDEX(Surface_Engine!$B$12:$B$72,$A708+1)-(F708/INDEX(Surface_Engine!$B$12:$B$72,$A708+1))))+2*Assumptions!$B$28*(MAX(IF(D708&lt;=0,0,MAX(0,(B708/D708)*H708/INDEX(Surface_Engine!$B$12:$B$72,$A708+1)-F708/INDEX(Surface_Engine!$B$12:$B$72,$A708+1))),IF(E708&lt;=0,0,MAX(0,(B708/E708)*I708/INDEX(Surface_Engine!$B$12:$B$72,$A708+1)-F708/INDEX(Surface_Engine!$B$12:$B$72,$A708+1))),IF($A708&lt;$Q$699,MAX(0,-Assumptions!$B$22*(F708/INDEX(Surface_Engine!$B$12:$B$72,$A708+1))),0)))*(MAX(0,J708/INDEX(Surface_Engine!$B$12:$B$72,$A708+1)-(F708/INDEX(Surface_Engine!$B$12:$B$72,$A708+1)))))</f>
        <v>5381.95776791041</v>
      </c>
      <c r="L708" s="48" t="n">
        <f aca="false">K708*INDEX(Surface_Engine!$B$12:$B$72,$A708+1)+L709</f>
        <v>79983.9230684708</v>
      </c>
      <c r="M708" s="48" t="n">
        <f aca="false">M707+B707*(IF($A707&lt;$Q$699,(Surface_Engine!Q241*12)-(Surface_Engine!Q241*12)*INDEX(Surface_Engine!$F$12:$F$72,$A707+1)-INDEX(Surface_Engine!$D$12:$D$72,$A707+1),-(1000*12*INDEX(Surface_Engine!$C$12:$C$72,$A707+1)/(1+Assumptions!$B$10)^25+INDEX(Surface_Engine!$D$12:$D$72,$A707+1))))*INDEX(Surface_Engine!$B$12:$B$72,$A707+1)</f>
        <v>5470.19410414237</v>
      </c>
      <c r="N708" s="12" t="n">
        <f aca="false">IF(B708&lt;=0,0,MAX(0,(K708+Assumptions!$B$29*L708/INDEX(Surface_Engine!$B$12:$B$72,$A708+1)-(M708/INDEX(Surface_Engine!$B$12:$B$72,$A708+1)-(F708/INDEX(Surface_Engine!$B$12:$B$72,$A708+1))))/B708))</f>
        <v>12520.7219886129</v>
      </c>
    </row>
    <row r="709" customFormat="false" ht="15" hidden="false" customHeight="true" outlineLevel="0" collapsed="false">
      <c r="A709" s="1" t="n">
        <v>8</v>
      </c>
      <c r="B709" s="32" t="n">
        <f aca="false">INDEX(Surface_Engine!$L$12:$L$72,$A709+1)*IF($A709&lt;$Q$699,INDEX(Surface_Engine!$E$12:$E$72,$A709+1),INDEX(Surface_Engine!$E$12:$E$72,$Q$699+1))</f>
        <v>0.826387919730429</v>
      </c>
      <c r="C709" s="32" t="n">
        <f aca="false">INDEX(Panel_Reserving!$D$8:$D$68,$A709+1)*IF($A709&lt;$Q$699,INDEX(Surface_Engine!$E$12:$E$72,$A709+1),INDEX(Surface_Engine!$E$12:$E$72,$Q$699+1))</f>
        <v>0.836347694913736</v>
      </c>
      <c r="D709" s="32" t="n">
        <f aca="false">INDEX(Surface_Engine!$L$12:$L$72,$A709+1)*IF($A709&lt;$Q$699,INDEX(Surface_Engine!$Y$12:$Y$72,$A709+1),INDEX(Surface_Engine!$Y$12:$Y$72,$Q$699+1))</f>
        <v>0.773117560229002</v>
      </c>
      <c r="E709" s="32" t="n">
        <f aca="false">INDEX(Surface_Engine!$L$12:$L$72,$A709+1)*IF($A709&lt;$Q$699,INDEX(Surface_Engine!$Z$12:$Z$72,$A709+1),INDEX(Surface_Engine!$Z$12:$Z$72,$Q$699+1))</f>
        <v>0.882648580300603</v>
      </c>
      <c r="F709" s="48" t="n">
        <f aca="false">B709*(IF($A709&lt;$Q$699,INDEX(Surface_Engine!$D$12:$D$72,$A709+1)+(Surface_Engine!Q241*12)*INDEX(Surface_Engine!$F$12:$F$72,$A709+1)-(Surface_Engine!Q241*12),1000*12*INDEX(Surface_Engine!$C$12:$C$72,$A709+1)/(1+Assumptions!$B$10)^25+INDEX(Surface_Engine!$D$12:$D$72,$A709+1)))*INDEX(Surface_Engine!$B$12:$B$72,$A709+1)+F710</f>
        <v>5722.05868979697</v>
      </c>
      <c r="G709" s="48" t="n">
        <f aca="false">C709*(IF($A709&lt;$Q$699,INDEX(Surface_Engine!$D$12:$D$72,$A709+1)+(Surface_Engine!Q241*12)*INDEX(Surface_Engine!$F$12:$F$72,$A709+1)-(Surface_Engine!Q241*12),1000*12*INDEX(Surface_Engine!$C$12:$C$72,$A709+1)/(1+Assumptions!$B$10)^25+INDEX(Surface_Engine!$D$12:$D$72,$A709+1)))*INDEX(Surface_Engine!$B$12:$B$72,$A709+1)+G710</f>
        <v>9925.83188157495</v>
      </c>
      <c r="H709" s="48" t="n">
        <f aca="false">D709*(IF($A709&lt;$Q$699,INDEX(Surface_Engine!$D$12:$D$72,$A709+1)+(Surface_Engine!Q241*12)*INDEX(Surface_Engine!$F$12:$F$72,$A709+1)-(Surface_Engine!Q241*12),1000*12*INDEX(Surface_Engine!$C$12:$C$72,$A709+1)/(1+Assumptions!$B$10)^25+INDEX(Surface_Engine!$D$12:$D$72,$A709+1)))*INDEX(Surface_Engine!$B$12:$B$72,$A709+1)+H710</f>
        <v>4611.14124531911</v>
      </c>
      <c r="I709" s="48" t="n">
        <f aca="false">E709*(IF($A709&lt;$Q$699,INDEX(Surface_Engine!$D$12:$D$72,$A709+1)+(Surface_Engine!Q241*12)*INDEX(Surface_Engine!$F$12:$F$72,$A709+1)-(Surface_Engine!Q241*12),1000*12*INDEX(Surface_Engine!$C$12:$C$72,$A709+1)/(1+Assumptions!$B$10)^25+INDEX(Surface_Engine!$D$12:$D$72,$A709+1)))*INDEX(Surface_Engine!$B$12:$B$72,$A709+1)+I710</f>
        <v>7031.62321725132</v>
      </c>
      <c r="J709" s="48" t="n">
        <f aca="false">B709*(IF($A709&lt;$Q$699,INDEX(Surface_Engine!$D$12:$D$72,$A709+1)*(1+Assumptions!$B$24)+(Surface_Engine!Q241*12)*INDEX(Surface_Engine!$F$12:$F$72,$A709+1)-(Surface_Engine!Q241*12),1000*12*INDEX(Surface_Engine!$C$12:$C$72,$A709+1)/(1+Assumptions!$B$10)^25+INDEX(Surface_Engine!$D$12:$D$72,$A709+1)*(1+Assumptions!$B$24)))*INDEX(Surface_Engine!$B$12:$B$72,$A709+1)+J710</f>
        <v>5822.00539356873</v>
      </c>
      <c r="K709" s="12" t="n">
        <f aca="false">SQRT((IF(C709&lt;=0,0,MAX(0,(B709/C709)*G709/INDEX(Surface_Engine!$B$12:$B$72,$A709+1)-F709/INDEX(Surface_Engine!$B$12:$B$72,$A709+1))))^2+(MAX(IF(D709&lt;=0,0,MAX(0,(B709/D709)*H709/INDEX(Surface_Engine!$B$12:$B$72,$A709+1)-F709/INDEX(Surface_Engine!$B$12:$B$72,$A709+1))),IF(E709&lt;=0,0,MAX(0,(B709/E709)*I709/INDEX(Surface_Engine!$B$12:$B$72,$A709+1)-F709/INDEX(Surface_Engine!$B$12:$B$72,$A709+1))),IF($A709&lt;$Q$699,MAX(0,-Assumptions!$B$22*(F709/INDEX(Surface_Engine!$B$12:$B$72,$A709+1))),0)))^2+(MAX(0,J709/INDEX(Surface_Engine!$B$12:$B$72,$A709+1)-(F709/INDEX(Surface_Engine!$B$12:$B$72,$A709+1))))^2+2*Assumptions!$B$26*(IF(C709&lt;=0,0,MAX(0,(B709/C709)*G709/INDEX(Surface_Engine!$B$12:$B$72,$A709+1)-F709/INDEX(Surface_Engine!$B$12:$B$72,$A709+1))))*(MAX(IF(D709&lt;=0,0,MAX(0,(B709/D709)*H709/INDEX(Surface_Engine!$B$12:$B$72,$A709+1)-F709/INDEX(Surface_Engine!$B$12:$B$72,$A709+1))),IF(E709&lt;=0,0,MAX(0,(B709/E709)*I709/INDEX(Surface_Engine!$B$12:$B$72,$A709+1)-F709/INDEX(Surface_Engine!$B$12:$B$72,$A709+1))),IF($A709&lt;$Q$699,MAX(0,-Assumptions!$B$22*(F709/INDEX(Surface_Engine!$B$12:$B$72,$A709+1))),0)))+2*Assumptions!$B$27*(IF(C709&lt;=0,0,MAX(0,(B709/C709)*G709/INDEX(Surface_Engine!$B$12:$B$72,$A709+1)-F709/INDEX(Surface_Engine!$B$12:$B$72,$A709+1))))*(MAX(0,J709/INDEX(Surface_Engine!$B$12:$B$72,$A709+1)-(F709/INDEX(Surface_Engine!$B$12:$B$72,$A709+1))))+2*Assumptions!$B$28*(MAX(IF(D709&lt;=0,0,MAX(0,(B709/D709)*H709/INDEX(Surface_Engine!$B$12:$B$72,$A709+1)-F709/INDEX(Surface_Engine!$B$12:$B$72,$A709+1))),IF(E709&lt;=0,0,MAX(0,(B709/E709)*I709/INDEX(Surface_Engine!$B$12:$B$72,$A709+1)-F709/INDEX(Surface_Engine!$B$12:$B$72,$A709+1))),IF($A709&lt;$Q$699,MAX(0,-Assumptions!$B$22*(F709/INDEX(Surface_Engine!$B$12:$B$72,$A709+1))),0)))*(MAX(0,J709/INDEX(Surface_Engine!$B$12:$B$72,$A709+1)-(F709/INDEX(Surface_Engine!$B$12:$B$72,$A709+1)))))</f>
        <v>5505.84533698505</v>
      </c>
      <c r="L709" s="48" t="n">
        <f aca="false">K709*INDEX(Surface_Engine!$B$12:$B$72,$A709+1)+L710</f>
        <v>75532.8218355172</v>
      </c>
      <c r="M709" s="48" t="n">
        <f aca="false">M708+B708*(IF($A708&lt;$Q$699,(Surface_Engine!Q241*12)-(Surface_Engine!Q241*12)*INDEX(Surface_Engine!$F$12:$F$72,$A708+1)-INDEX(Surface_Engine!$D$12:$D$72,$A708+1),-(1000*12*INDEX(Surface_Engine!$C$12:$C$72,$A708+1)/(1+Assumptions!$B$10)^25+INDEX(Surface_Engine!$D$12:$D$72,$A708+1))))*INDEX(Surface_Engine!$B$12:$B$72,$A708+1)</f>
        <v>6245.28354931039</v>
      </c>
      <c r="N709" s="12" t="n">
        <f aca="false">IF(B709&lt;=0,0,MAX(0,(K709+Assumptions!$B$29*L709/INDEX(Surface_Engine!$B$12:$B$72,$A709+1)-(M709/INDEX(Surface_Engine!$B$12:$B$72,$A709+1)-(F709/INDEX(Surface_Engine!$B$12:$B$72,$A709+1))))/B709))</f>
        <v>12711.7961436556</v>
      </c>
    </row>
    <row r="710" customFormat="false" ht="15" hidden="false" customHeight="true" outlineLevel="0" collapsed="false">
      <c r="A710" s="1" t="n">
        <v>9</v>
      </c>
      <c r="B710" s="32" t="n">
        <f aca="false">INDEX(Surface_Engine!$L$12:$L$72,$A710+1)*IF($A710&lt;$Q$699,INDEX(Surface_Engine!$E$12:$E$72,$A710+1),INDEX(Surface_Engine!$E$12:$E$72,$Q$699+1))</f>
        <v>0.809383922915231</v>
      </c>
      <c r="C710" s="32" t="n">
        <f aca="false">INDEX(Panel_Reserving!$D$8:$D$68,$A710+1)*IF($A710&lt;$Q$699,INDEX(Surface_Engine!$E$12:$E$72,$A710+1),INDEX(Surface_Engine!$E$12:$E$72,$Q$699+1))</f>
        <v>0.821058396485325</v>
      </c>
      <c r="D710" s="32" t="n">
        <f aca="false">INDEX(Surface_Engine!$L$12:$L$72,$A710+1)*IF($A710&lt;$Q$699,INDEX(Surface_Engine!$Y$12:$Y$72,$A710+1),INDEX(Surface_Engine!$Y$12:$Y$72,$Q$699+1))</f>
        <v>0.753732725546461</v>
      </c>
      <c r="E710" s="32" t="n">
        <f aca="false">INDEX(Surface_Engine!$L$12:$L$72,$A710+1)*IF($A710&lt;$Q$699,INDEX(Surface_Engine!$Z$12:$Z$72,$A710+1),INDEX(Surface_Engine!$Z$12:$Z$72,$Q$699+1))</f>
        <v>0.868456486276117</v>
      </c>
      <c r="F710" s="48" t="n">
        <f aca="false">B710*(IF($A710&lt;$Q$699,INDEX(Surface_Engine!$D$12:$D$72,$A710+1)+(Surface_Engine!Q241*12)*INDEX(Surface_Engine!$F$12:$F$72,$A710+1)-(Surface_Engine!Q241*12),1000*12*INDEX(Surface_Engine!$C$12:$C$72,$A710+1)/(1+Assumptions!$B$10)^25+INDEX(Surface_Engine!$D$12:$D$72,$A710+1)))*INDEX(Surface_Engine!$B$12:$B$72,$A710+1)+F711</f>
        <v>6457.37557403623</v>
      </c>
      <c r="G710" s="48" t="n">
        <f aca="false">C710*(IF($A710&lt;$Q$699,INDEX(Surface_Engine!$D$12:$D$72,$A710+1)+(Surface_Engine!Q241*12)*INDEX(Surface_Engine!$F$12:$F$72,$A710+1)-(Surface_Engine!Q241*12),1000*12*INDEX(Surface_Engine!$C$12:$C$72,$A710+1)/(1+Assumptions!$B$10)^25+INDEX(Surface_Engine!$D$12:$D$72,$A710+1)))*INDEX(Surface_Engine!$B$12:$B$72,$A710+1)+G711</f>
        <v>10670.0109365704</v>
      </c>
      <c r="H710" s="48" t="n">
        <f aca="false">D710*(IF($A710&lt;$Q$699,INDEX(Surface_Engine!$D$12:$D$72,$A710+1)+(Surface_Engine!Q241*12)*INDEX(Surface_Engine!$F$12:$F$72,$A710+1)-(Surface_Engine!Q241*12),1000*12*INDEX(Surface_Engine!$C$12:$C$72,$A710+1)/(1+Assumptions!$B$10)^25+INDEX(Surface_Engine!$D$12:$D$72,$A710+1)))*INDEX(Surface_Engine!$B$12:$B$72,$A710+1)+H711</f>
        <v>5299.05836265027</v>
      </c>
      <c r="I710" s="48" t="n">
        <f aca="false">E710*(IF($A710&lt;$Q$699,INDEX(Surface_Engine!$D$12:$D$72,$A710+1)+(Surface_Engine!Q241*12)*INDEX(Surface_Engine!$F$12:$F$72,$A710+1)-(Surface_Engine!Q241*12),1000*12*INDEX(Surface_Engine!$C$12:$C$72,$A710+1)/(1+Assumptions!$B$10)^25+INDEX(Surface_Engine!$D$12:$D$72,$A710+1)))*INDEX(Surface_Engine!$B$12:$B$72,$A710+1)+I711</f>
        <v>7817.00062712024</v>
      </c>
      <c r="J710" s="48" t="n">
        <f aca="false">B710*(IF($A710&lt;$Q$699,INDEX(Surface_Engine!$D$12:$D$72,$A710+1)*(1+Assumptions!$B$24)+(Surface_Engine!Q241*12)*INDEX(Surface_Engine!$F$12:$F$72,$A710+1)-(Surface_Engine!Q241*12),1000*12*INDEX(Surface_Engine!$C$12:$C$72,$A710+1)/(1+Assumptions!$B$10)^25+INDEX(Surface_Engine!$D$12:$D$72,$A710+1)*(1+Assumptions!$B$24)))*INDEX(Surface_Engine!$B$12:$B$72,$A710+1)+J711</f>
        <v>6550.70146341125</v>
      </c>
      <c r="K710" s="12" t="n">
        <f aca="false">SQRT((IF(C710&lt;=0,0,MAX(0,(B710/C710)*G710/INDEX(Surface_Engine!$B$12:$B$72,$A710+1)-F710/INDEX(Surface_Engine!$B$12:$B$72,$A710+1))))^2+(MAX(IF(D710&lt;=0,0,MAX(0,(B710/D710)*H710/INDEX(Surface_Engine!$B$12:$B$72,$A710+1)-F710/INDEX(Surface_Engine!$B$12:$B$72,$A710+1))),IF(E710&lt;=0,0,MAX(0,(B710/E710)*I710/INDEX(Surface_Engine!$B$12:$B$72,$A710+1)-F710/INDEX(Surface_Engine!$B$12:$B$72,$A710+1))),IF($A710&lt;$Q$699,MAX(0,-Assumptions!$B$22*(F710/INDEX(Surface_Engine!$B$12:$B$72,$A710+1))),0)))^2+(MAX(0,J710/INDEX(Surface_Engine!$B$12:$B$72,$A710+1)-(F710/INDEX(Surface_Engine!$B$12:$B$72,$A710+1))))^2+2*Assumptions!$B$26*(IF(C710&lt;=0,0,MAX(0,(B710/C710)*G710/INDEX(Surface_Engine!$B$12:$B$72,$A710+1)-F710/INDEX(Surface_Engine!$B$12:$B$72,$A710+1))))*(MAX(IF(D710&lt;=0,0,MAX(0,(B710/D710)*H710/INDEX(Surface_Engine!$B$12:$B$72,$A710+1)-F710/INDEX(Surface_Engine!$B$12:$B$72,$A710+1))),IF(E710&lt;=0,0,MAX(0,(B710/E710)*I710/INDEX(Surface_Engine!$B$12:$B$72,$A710+1)-F710/INDEX(Surface_Engine!$B$12:$B$72,$A710+1))),IF($A710&lt;$Q$699,MAX(0,-Assumptions!$B$22*(F710/INDEX(Surface_Engine!$B$12:$B$72,$A710+1))),0)))+2*Assumptions!$B$27*(IF(C710&lt;=0,0,MAX(0,(B710/C710)*G710/INDEX(Surface_Engine!$B$12:$B$72,$A710+1)-F710/INDEX(Surface_Engine!$B$12:$B$72,$A710+1))))*(MAX(0,J710/INDEX(Surface_Engine!$B$12:$B$72,$A710+1)-(F710/INDEX(Surface_Engine!$B$12:$B$72,$A710+1))))+2*Assumptions!$B$28*(MAX(IF(D710&lt;=0,0,MAX(0,(B710/D710)*H710/INDEX(Surface_Engine!$B$12:$B$72,$A710+1)-F710/INDEX(Surface_Engine!$B$12:$B$72,$A710+1))),IF(E710&lt;=0,0,MAX(0,(B710/E710)*I710/INDEX(Surface_Engine!$B$12:$B$72,$A710+1)-F710/INDEX(Surface_Engine!$B$12:$B$72,$A710+1))),IF($A710&lt;$Q$699,MAX(0,-Assumptions!$B$22*(F710/INDEX(Surface_Engine!$B$12:$B$72,$A710+1))),0)))*(MAX(0,J710/INDEX(Surface_Engine!$B$12:$B$72,$A710+1)-(F710/INDEX(Surface_Engine!$B$12:$B$72,$A710+1)))))</f>
        <v>5631.4009692552</v>
      </c>
      <c r="L710" s="48" t="n">
        <f aca="false">K710*INDEX(Surface_Engine!$B$12:$B$72,$A710+1)+L711</f>
        <v>71117.6594062735</v>
      </c>
      <c r="M710" s="48" t="n">
        <f aca="false">M709+B709*(IF($A709&lt;$Q$699,(Surface_Engine!Q241*12)-(Surface_Engine!Q241*12)*INDEX(Surface_Engine!$F$12:$F$72,$A709+1)-INDEX(Surface_Engine!$D$12:$D$72,$A709+1),-(1000*12*INDEX(Surface_Engine!$C$12:$C$72,$A709+1)/(1+Assumptions!$B$10)^25+INDEX(Surface_Engine!$D$12:$D$72,$A709+1))))*INDEX(Surface_Engine!$B$12:$B$72,$A709+1)</f>
        <v>6980.60043354965</v>
      </c>
      <c r="N710" s="12" t="n">
        <f aca="false">IF(B710&lt;=0,0,MAX(0,(K710+Assumptions!$B$29*L710/INDEX(Surface_Engine!$B$12:$B$72,$A710+1)-(M710/INDEX(Surface_Engine!$B$12:$B$72,$A710+1)-(F710/INDEX(Surface_Engine!$B$12:$B$72,$A710+1))))/B710))</f>
        <v>12912.7070484081</v>
      </c>
    </row>
    <row r="711" customFormat="false" ht="15" hidden="false" customHeight="true" outlineLevel="0" collapsed="false">
      <c r="A711" s="1" t="n">
        <v>10</v>
      </c>
      <c r="B711" s="32" t="n">
        <f aca="false">INDEX(Surface_Engine!$L$12:$L$72,$A711+1)*IF($A711&lt;$Q$699,INDEX(Surface_Engine!$E$12:$E$72,$A711+1),INDEX(Surface_Engine!$E$12:$E$72,$Q$699+1))</f>
        <v>0.791679736545108</v>
      </c>
      <c r="C711" s="32" t="n">
        <f aca="false">INDEX(Panel_Reserving!$D$8:$D$68,$A711+1)*IF($A711&lt;$Q$699,INDEX(Surface_Engine!$E$12:$E$72,$A711+1),INDEX(Surface_Engine!$E$12:$E$72,$Q$699+1))</f>
        <v>0.80519643036252</v>
      </c>
      <c r="D711" s="32" t="n">
        <f aca="false">INDEX(Surface_Engine!$L$12:$L$72,$A711+1)*IF($A711&lt;$Q$699,INDEX(Surface_Engine!$Y$12:$Y$72,$A711+1),INDEX(Surface_Engine!$Y$12:$Y$72,$Q$699+1))</f>
        <v>0.733860559838475</v>
      </c>
      <c r="E711" s="32" t="n">
        <f aca="false">INDEX(Surface_Engine!$L$12:$L$72,$A711+1)*IF($A711&lt;$Q$699,INDEX(Surface_Engine!$Z$12:$Z$72,$A711+1),INDEX(Surface_Engine!$Z$12:$Z$72,$Q$699+1))</f>
        <v>0.853360705573894</v>
      </c>
      <c r="F711" s="48" t="n">
        <f aca="false">B711*(IF($A711&lt;$Q$699,INDEX(Surface_Engine!$D$12:$D$72,$A711+1)+(Surface_Engine!Q241*12)*INDEX(Surface_Engine!$F$12:$F$72,$A711+1)-(Surface_Engine!Q241*12),1000*12*INDEX(Surface_Engine!$C$12:$C$72,$A711+1)/(1+Assumptions!$B$10)^25+INDEX(Surface_Engine!$D$12:$D$72,$A711+1)))*INDEX(Surface_Engine!$B$12:$B$72,$A711+1)+F712</f>
        <v>7153.39140805976</v>
      </c>
      <c r="G711" s="48" t="n">
        <f aca="false">C711*(IF($A711&lt;$Q$699,INDEX(Surface_Engine!$D$12:$D$72,$A711+1)+(Surface_Engine!Q241*12)*INDEX(Surface_Engine!$F$12:$F$72,$A711+1)-(Surface_Engine!Q241*12),1000*12*INDEX(Surface_Engine!$C$12:$C$72,$A711+1)/(1+Assumptions!$B$10)^25+INDEX(Surface_Engine!$D$12:$D$72,$A711+1)))*INDEX(Surface_Engine!$B$12:$B$72,$A711+1)+G712</f>
        <v>11376.066034074</v>
      </c>
      <c r="H711" s="48" t="n">
        <f aca="false">D711*(IF($A711&lt;$Q$699,INDEX(Surface_Engine!$D$12:$D$72,$A711+1)+(Surface_Engine!Q241*12)*INDEX(Surface_Engine!$F$12:$F$72,$A711+1)-(Surface_Engine!Q241*12),1000*12*INDEX(Surface_Engine!$C$12:$C$72,$A711+1)/(1+Assumptions!$B$10)^25+INDEX(Surface_Engine!$D$12:$D$72,$A711+1)))*INDEX(Surface_Engine!$B$12:$B$72,$A711+1)+H712</f>
        <v>5947.21790319627</v>
      </c>
      <c r="I711" s="48" t="n">
        <f aca="false">E711*(IF($A711&lt;$Q$699,INDEX(Surface_Engine!$D$12:$D$72,$A711+1)+(Surface_Engine!Q241*12)*INDEX(Surface_Engine!$F$12:$F$72,$A711+1)-(Surface_Engine!Q241*12),1000*12*INDEX(Surface_Engine!$C$12:$C$72,$A711+1)/(1+Assumptions!$B$10)^25+INDEX(Surface_Engine!$D$12:$D$72,$A711+1)))*INDEX(Surface_Engine!$B$12:$B$72,$A711+1)+I712</f>
        <v>8563.81489967397</v>
      </c>
      <c r="J711" s="48" t="n">
        <f aca="false">B711*(IF($A711&lt;$Q$699,INDEX(Surface_Engine!$D$12:$D$72,$A711+1)*(1+Assumptions!$B$24)+(Surface_Engine!Q241*12)*INDEX(Surface_Engine!$F$12:$F$72,$A711+1)-(Surface_Engine!Q241*12),1000*12*INDEX(Surface_Engine!$C$12:$C$72,$A711+1)/(1+Assumptions!$B$10)^25+INDEX(Surface_Engine!$D$12:$D$72,$A711+1)*(1+Assumptions!$B$24)))*INDEX(Surface_Engine!$B$12:$B$72,$A711+1)+J712</f>
        <v>7240.2791849229</v>
      </c>
      <c r="K711" s="12" t="n">
        <f aca="false">SQRT((IF(C711&lt;=0,0,MAX(0,(B711/C711)*G711/INDEX(Surface_Engine!$B$12:$B$72,$A711+1)-F711/INDEX(Surface_Engine!$B$12:$B$72,$A711+1))))^2+(MAX(IF(D711&lt;=0,0,MAX(0,(B711/D711)*H711/INDEX(Surface_Engine!$B$12:$B$72,$A711+1)-F711/INDEX(Surface_Engine!$B$12:$B$72,$A711+1))),IF(E711&lt;=0,0,MAX(0,(B711/E711)*I711/INDEX(Surface_Engine!$B$12:$B$72,$A711+1)-F711/INDEX(Surface_Engine!$B$12:$B$72,$A711+1))),IF($A711&lt;$Q$699,MAX(0,-Assumptions!$B$22*(F711/INDEX(Surface_Engine!$B$12:$B$72,$A711+1))),0)))^2+(MAX(0,J711/INDEX(Surface_Engine!$B$12:$B$72,$A711+1)-(F711/INDEX(Surface_Engine!$B$12:$B$72,$A711+1))))^2+2*Assumptions!$B$26*(IF(C711&lt;=0,0,MAX(0,(B711/C711)*G711/INDEX(Surface_Engine!$B$12:$B$72,$A711+1)-F711/INDEX(Surface_Engine!$B$12:$B$72,$A711+1))))*(MAX(IF(D711&lt;=0,0,MAX(0,(B711/D711)*H711/INDEX(Surface_Engine!$B$12:$B$72,$A711+1)-F711/INDEX(Surface_Engine!$B$12:$B$72,$A711+1))),IF(E711&lt;=0,0,MAX(0,(B711/E711)*I711/INDEX(Surface_Engine!$B$12:$B$72,$A711+1)-F711/INDEX(Surface_Engine!$B$12:$B$72,$A711+1))),IF($A711&lt;$Q$699,MAX(0,-Assumptions!$B$22*(F711/INDEX(Surface_Engine!$B$12:$B$72,$A711+1))),0)))+2*Assumptions!$B$27*(IF(C711&lt;=0,0,MAX(0,(B711/C711)*G711/INDEX(Surface_Engine!$B$12:$B$72,$A711+1)-F711/INDEX(Surface_Engine!$B$12:$B$72,$A711+1))))*(MAX(0,J711/INDEX(Surface_Engine!$B$12:$B$72,$A711+1)-(F711/INDEX(Surface_Engine!$B$12:$B$72,$A711+1))))+2*Assumptions!$B$28*(MAX(IF(D711&lt;=0,0,MAX(0,(B711/D711)*H711/INDEX(Surface_Engine!$B$12:$B$72,$A711+1)-F711/INDEX(Surface_Engine!$B$12:$B$72,$A711+1))),IF(E711&lt;=0,0,MAX(0,(B711/E711)*I711/INDEX(Surface_Engine!$B$12:$B$72,$A711+1)-F711/INDEX(Surface_Engine!$B$12:$B$72,$A711+1))),IF($A711&lt;$Q$699,MAX(0,-Assumptions!$B$22*(F711/INDEX(Surface_Engine!$B$12:$B$72,$A711+1))),0)))*(MAX(0,J711/INDEX(Surface_Engine!$B$12:$B$72,$A711+1)-(F711/INDEX(Surface_Engine!$B$12:$B$72,$A711+1)))))</f>
        <v>5765.83847654998</v>
      </c>
      <c r="L711" s="48" t="n">
        <f aca="false">K711*INDEX(Surface_Engine!$B$12:$B$72,$A711+1)+L712</f>
        <v>66743.5282717327</v>
      </c>
      <c r="M711" s="48" t="n">
        <f aca="false">M710+B710*(IF($A710&lt;$Q$699,(Surface_Engine!Q241*12)-(Surface_Engine!Q241*12)*INDEX(Surface_Engine!$F$12:$F$72,$A710+1)-INDEX(Surface_Engine!$D$12:$D$72,$A710+1),-(1000*12*INDEX(Surface_Engine!$C$12:$C$72,$A710+1)/(1+Assumptions!$B$10)^25+INDEX(Surface_Engine!$D$12:$D$72,$A710+1))))*INDEX(Surface_Engine!$B$12:$B$72,$A710+1)</f>
        <v>7676.61626757319</v>
      </c>
      <c r="N711" s="12" t="n">
        <f aca="false">IF(B711&lt;=0,0,MAX(0,(K711+Assumptions!$B$29*L711/INDEX(Surface_Engine!$B$12:$B$72,$A711+1)-(M711/INDEX(Surface_Engine!$B$12:$B$72,$A711+1)-(F711/INDEX(Surface_Engine!$B$12:$B$72,$A711+1))))/B711))</f>
        <v>13142.0069052448</v>
      </c>
    </row>
    <row r="712" customFormat="false" ht="15" hidden="false" customHeight="true" outlineLevel="0" collapsed="false">
      <c r="A712" s="1" t="n">
        <v>11</v>
      </c>
      <c r="B712" s="32" t="n">
        <f aca="false">INDEX(Surface_Engine!$L$12:$L$72,$A712+1)*IF($A712&lt;$Q$699,INDEX(Surface_Engine!$E$12:$E$72,$A712+1),INDEX(Surface_Engine!$E$12:$E$72,$Q$699+1))</f>
        <v>0.77280380599472</v>
      </c>
      <c r="C712" s="32" t="n">
        <f aca="false">INDEX(Panel_Reserving!$D$8:$D$68,$A712+1)*IF($A712&lt;$Q$699,INDEX(Surface_Engine!$E$12:$E$72,$A712+1),INDEX(Surface_Engine!$E$12:$E$72,$Q$699+1))</f>
        <v>0.788372406815602</v>
      </c>
      <c r="D712" s="32" t="n">
        <f aca="false">INDEX(Surface_Engine!$L$12:$L$72,$A712+1)*IF($A712&lt;$Q$699,INDEX(Surface_Engine!$Y$12:$Y$72,$A712+1),INDEX(Surface_Engine!$Y$12:$Y$72,$Q$699+1))</f>
        <v>0.713073819391425</v>
      </c>
      <c r="E712" s="32" t="n">
        <f aca="false">INDEX(Surface_Engine!$L$12:$L$72,$A712+1)*IF($A712&lt;$Q$699,INDEX(Surface_Engine!$Z$12:$Z$72,$A712+1),INDEX(Surface_Engine!$Z$12:$Z$72,$Q$699+1))</f>
        <v>0.836839144602721</v>
      </c>
      <c r="F712" s="48" t="n">
        <f aca="false">B712*(IF($A712&lt;$Q$699,INDEX(Surface_Engine!$D$12:$D$72,$A712+1)+(Surface_Engine!Q241*12)*INDEX(Surface_Engine!$F$12:$F$72,$A712+1)-(Surface_Engine!Q241*12),1000*12*INDEX(Surface_Engine!$C$12:$C$72,$A712+1)/(1+Assumptions!$B$10)^25+INDEX(Surface_Engine!$D$12:$D$72,$A712+1)))*INDEX(Surface_Engine!$B$12:$B$72,$A712+1)+F713</f>
        <v>7809.71086707056</v>
      </c>
      <c r="G712" s="48" t="n">
        <f aca="false">C712*(IF($A712&lt;$Q$699,INDEX(Surface_Engine!$D$12:$D$72,$A712+1)+(Surface_Engine!Q241*12)*INDEX(Surface_Engine!$F$12:$F$72,$A712+1)-(Surface_Engine!Q241*12),1000*12*INDEX(Surface_Engine!$C$12:$C$72,$A712+1)/(1+Assumptions!$B$10)^25+INDEX(Surface_Engine!$D$12:$D$72,$A712+1)))*INDEX(Surface_Engine!$B$12:$B$72,$A712+1)+G713</f>
        <v>12043.5911217808</v>
      </c>
      <c r="H712" s="48" t="n">
        <f aca="false">D712*(IF($A712&lt;$Q$699,INDEX(Surface_Engine!$D$12:$D$72,$A712+1)+(Surface_Engine!Q241*12)*INDEX(Surface_Engine!$F$12:$F$72,$A712+1)-(Surface_Engine!Q241*12),1000*12*INDEX(Surface_Engine!$C$12:$C$72,$A712+1)/(1+Assumptions!$B$10)^25+INDEX(Surface_Engine!$D$12:$D$72,$A712+1)))*INDEX(Surface_Engine!$B$12:$B$72,$A712+1)+H713</f>
        <v>6555.60402625716</v>
      </c>
      <c r="I712" s="48" t="n">
        <f aca="false">E712*(IF($A712&lt;$Q$699,INDEX(Surface_Engine!$D$12:$D$72,$A712+1)+(Surface_Engine!Q241*12)*INDEX(Surface_Engine!$F$12:$F$72,$A712+1)-(Surface_Engine!Q241*12),1000*12*INDEX(Surface_Engine!$C$12:$C$72,$A712+1)/(1+Assumptions!$B$10)^25+INDEX(Surface_Engine!$D$12:$D$72,$A712+1)))*INDEX(Surface_Engine!$B$12:$B$72,$A712+1)+I713</f>
        <v>9271.26920318754</v>
      </c>
      <c r="J712" s="48" t="n">
        <f aca="false">B712*(IF($A712&lt;$Q$699,INDEX(Surface_Engine!$D$12:$D$72,$A712+1)*(1+Assumptions!$B$24)+(Surface_Engine!Q241*12)*INDEX(Surface_Engine!$F$12:$F$72,$A712+1)-(Surface_Engine!Q241*12),1000*12*INDEX(Surface_Engine!$C$12:$C$72,$A712+1)/(1+Assumptions!$B$10)^25+INDEX(Surface_Engine!$D$12:$D$72,$A712+1)*(1+Assumptions!$B$24)))*INDEX(Surface_Engine!$B$12:$B$72,$A712+1)+J713</f>
        <v>7890.36152461738</v>
      </c>
      <c r="K712" s="12" t="n">
        <f aca="false">SQRT((IF(C712&lt;=0,0,MAX(0,(B712/C712)*G712/INDEX(Surface_Engine!$B$12:$B$72,$A712+1)-F712/INDEX(Surface_Engine!$B$12:$B$72,$A712+1))))^2+(MAX(IF(D712&lt;=0,0,MAX(0,(B712/D712)*H712/INDEX(Surface_Engine!$B$12:$B$72,$A712+1)-F712/INDEX(Surface_Engine!$B$12:$B$72,$A712+1))),IF(E712&lt;=0,0,MAX(0,(B712/E712)*I712/INDEX(Surface_Engine!$B$12:$B$72,$A712+1)-F712/INDEX(Surface_Engine!$B$12:$B$72,$A712+1))),IF($A712&lt;$Q$699,MAX(0,-Assumptions!$B$22*(F712/INDEX(Surface_Engine!$B$12:$B$72,$A712+1))),0)))^2+(MAX(0,J712/INDEX(Surface_Engine!$B$12:$B$72,$A712+1)-(F712/INDEX(Surface_Engine!$B$12:$B$72,$A712+1))))^2+2*Assumptions!$B$26*(IF(C712&lt;=0,0,MAX(0,(B712/C712)*G712/INDEX(Surface_Engine!$B$12:$B$72,$A712+1)-F712/INDEX(Surface_Engine!$B$12:$B$72,$A712+1))))*(MAX(IF(D712&lt;=0,0,MAX(0,(B712/D712)*H712/INDEX(Surface_Engine!$B$12:$B$72,$A712+1)-F712/INDEX(Surface_Engine!$B$12:$B$72,$A712+1))),IF(E712&lt;=0,0,MAX(0,(B712/E712)*I712/INDEX(Surface_Engine!$B$12:$B$72,$A712+1)-F712/INDEX(Surface_Engine!$B$12:$B$72,$A712+1))),IF($A712&lt;$Q$699,MAX(0,-Assumptions!$B$22*(F712/INDEX(Surface_Engine!$B$12:$B$72,$A712+1))),0)))+2*Assumptions!$B$27*(IF(C712&lt;=0,0,MAX(0,(B712/C712)*G712/INDEX(Surface_Engine!$B$12:$B$72,$A712+1)-F712/INDEX(Surface_Engine!$B$12:$B$72,$A712+1))))*(MAX(0,J712/INDEX(Surface_Engine!$B$12:$B$72,$A712+1)-(F712/INDEX(Surface_Engine!$B$12:$B$72,$A712+1))))+2*Assumptions!$B$28*(MAX(IF(D712&lt;=0,0,MAX(0,(B712/D712)*H712/INDEX(Surface_Engine!$B$12:$B$72,$A712+1)-F712/INDEX(Surface_Engine!$B$12:$B$72,$A712+1))),IF(E712&lt;=0,0,MAX(0,(B712/E712)*I712/INDEX(Surface_Engine!$B$12:$B$72,$A712+1)-F712/INDEX(Surface_Engine!$B$12:$B$72,$A712+1))),IF($A712&lt;$Q$699,MAX(0,-Assumptions!$B$22*(F712/INDEX(Surface_Engine!$B$12:$B$72,$A712+1))),0)))*(MAX(0,J712/INDEX(Surface_Engine!$B$12:$B$72,$A712+1)-(F712/INDEX(Surface_Engine!$B$12:$B$72,$A712+1)))))</f>
        <v>5878.72857701172</v>
      </c>
      <c r="L712" s="48" t="n">
        <f aca="false">K712*INDEX(Surface_Engine!$B$12:$B$72,$A712+1)+L713</f>
        <v>62415.9544125485</v>
      </c>
      <c r="M712" s="48" t="n">
        <f aca="false">M711+B711*(IF($A711&lt;$Q$699,(Surface_Engine!Q241*12)-(Surface_Engine!Q241*12)*INDEX(Surface_Engine!$F$12:$F$72,$A711+1)-INDEX(Surface_Engine!$D$12:$D$72,$A711+1),-(1000*12*INDEX(Surface_Engine!$C$12:$C$72,$A711+1)/(1+Assumptions!$B$10)^25+INDEX(Surface_Engine!$D$12:$D$72,$A711+1))))*INDEX(Surface_Engine!$B$12:$B$72,$A711+1)</f>
        <v>8332.93572658398</v>
      </c>
      <c r="N712" s="12" t="n">
        <f aca="false">IF(B712&lt;=0,0,MAX(0,(K712+Assumptions!$B$29*L712/INDEX(Surface_Engine!$B$12:$B$72,$A712+1)-(M712/INDEX(Surface_Engine!$B$12:$B$72,$A712+1)-(F712/INDEX(Surface_Engine!$B$12:$B$72,$A712+1))))/B712))</f>
        <v>13341.4716017848</v>
      </c>
    </row>
    <row r="713" customFormat="false" ht="15" hidden="false" customHeight="true" outlineLevel="0" collapsed="false">
      <c r="A713" s="1" t="n">
        <v>12</v>
      </c>
      <c r="B713" s="32" t="n">
        <f aca="false">INDEX(Surface_Engine!$L$12:$L$72,$A713+1)*IF($A713&lt;$Q$699,INDEX(Surface_Engine!$E$12:$E$72,$A713+1),INDEX(Surface_Engine!$E$12:$E$72,$Q$699+1))</f>
        <v>0.753048807736933</v>
      </c>
      <c r="C713" s="32" t="n">
        <f aca="false">INDEX(Panel_Reserving!$D$8:$D$68,$A713+1)*IF($A713&lt;$Q$699,INDEX(Surface_Engine!$E$12:$E$72,$A713+1),INDEX(Surface_Engine!$E$12:$E$72,$Q$699+1))</f>
        <v>0.770815189303298</v>
      </c>
      <c r="D713" s="32" t="n">
        <f aca="false">INDEX(Surface_Engine!$L$12:$L$72,$A713+1)*IF($A713&lt;$Q$699,INDEX(Surface_Engine!$Y$12:$Y$72,$A713+1),INDEX(Surface_Engine!$Y$12:$Y$72,$Q$699+1))</f>
        <v>0.691655102287006</v>
      </c>
      <c r="E713" s="32" t="n">
        <f aca="false">INDEX(Surface_Engine!$L$12:$L$72,$A713+1)*IF($A713&lt;$Q$699,INDEX(Surface_Engine!$Z$12:$Z$72,$A713+1),INDEX(Surface_Engine!$Z$12:$Z$72,$Q$699+1))</f>
        <v>0.819191584892053</v>
      </c>
      <c r="F713" s="48" t="n">
        <f aca="false">B713*(IF($A713&lt;$Q$699,INDEX(Surface_Engine!$D$12:$D$72,$A713+1)+(Surface_Engine!Q241*12)*INDEX(Surface_Engine!$F$12:$F$72,$A713+1)-(Surface_Engine!Q241*12),1000*12*INDEX(Surface_Engine!$C$12:$C$72,$A713+1)/(1+Assumptions!$B$10)^25+INDEX(Surface_Engine!$D$12:$D$72,$A713+1)))*INDEX(Surface_Engine!$B$12:$B$72,$A713+1)+F714</f>
        <v>8428.79226476997</v>
      </c>
      <c r="G713" s="48" t="n">
        <f aca="false">C713*(IF($A713&lt;$Q$699,INDEX(Surface_Engine!$D$12:$D$72,$A713+1)+(Surface_Engine!Q241*12)*INDEX(Surface_Engine!$F$12:$F$72,$A713+1)-(Surface_Engine!Q241*12),1000*12*INDEX(Surface_Engine!$C$12:$C$72,$A713+1)/(1+Assumptions!$B$10)^25+INDEX(Surface_Engine!$D$12:$D$72,$A713+1)))*INDEX(Surface_Engine!$B$12:$B$72,$A713+1)+G714</f>
        <v>12675.144289264</v>
      </c>
      <c r="H713" s="48" t="n">
        <f aca="false">D713*(IF($A713&lt;$Q$699,INDEX(Surface_Engine!$D$12:$D$72,$A713+1)+(Surface_Engine!Q241*12)*INDEX(Surface_Engine!$F$12:$F$72,$A713+1)-(Surface_Engine!Q241*12),1000*12*INDEX(Surface_Engine!$C$12:$C$72,$A713+1)/(1+Assumptions!$B$10)^25+INDEX(Surface_Engine!$D$12:$D$72,$A713+1)))*INDEX(Surface_Engine!$B$12:$B$72,$A713+1)+H714</f>
        <v>7126.83663839924</v>
      </c>
      <c r="I713" s="48" t="n">
        <f aca="false">E713*(IF($A713&lt;$Q$699,INDEX(Surface_Engine!$D$12:$D$72,$A713+1)+(Surface_Engine!Q241*12)*INDEX(Surface_Engine!$F$12:$F$72,$A713+1)-(Surface_Engine!Q241*12),1000*12*INDEX(Surface_Engine!$C$12:$C$72,$A713+1)/(1+Assumptions!$B$10)^25+INDEX(Surface_Engine!$D$12:$D$72,$A713+1)))*INDEX(Surface_Engine!$B$12:$B$72,$A713+1)+I714</f>
        <v>9941.64833857934</v>
      </c>
      <c r="J713" s="48" t="n">
        <f aca="false">B713*(IF($A713&lt;$Q$699,INDEX(Surface_Engine!$D$12:$D$72,$A713+1)*(1+Assumptions!$B$24)+(Surface_Engine!Q241*12)*INDEX(Surface_Engine!$F$12:$F$72,$A713+1)-(Surface_Engine!Q241*12),1000*12*INDEX(Surface_Engine!$C$12:$C$72,$A713+1)/(1+Assumptions!$B$10)^25+INDEX(Surface_Engine!$D$12:$D$72,$A713+1)*(1+Assumptions!$B$24)))*INDEX(Surface_Engine!$B$12:$B$72,$A713+1)+J714</f>
        <v>8503.3982409458</v>
      </c>
      <c r="K713" s="12" t="n">
        <f aca="false">SQRT((IF(C713&lt;=0,0,MAX(0,(B713/C713)*G713/INDEX(Surface_Engine!$B$12:$B$72,$A713+1)-F713/INDEX(Surface_Engine!$B$12:$B$72,$A713+1))))^2+(MAX(IF(D713&lt;=0,0,MAX(0,(B713/D713)*H713/INDEX(Surface_Engine!$B$12:$B$72,$A713+1)-F713/INDEX(Surface_Engine!$B$12:$B$72,$A713+1))),IF(E713&lt;=0,0,MAX(0,(B713/E713)*I713/INDEX(Surface_Engine!$B$12:$B$72,$A713+1)-F713/INDEX(Surface_Engine!$B$12:$B$72,$A713+1))),IF($A713&lt;$Q$699,MAX(0,-Assumptions!$B$22*(F713/INDEX(Surface_Engine!$B$12:$B$72,$A713+1))),0)))^2+(MAX(0,J713/INDEX(Surface_Engine!$B$12:$B$72,$A713+1)-(F713/INDEX(Surface_Engine!$B$12:$B$72,$A713+1))))^2+2*Assumptions!$B$26*(IF(C713&lt;=0,0,MAX(0,(B713/C713)*G713/INDEX(Surface_Engine!$B$12:$B$72,$A713+1)-F713/INDEX(Surface_Engine!$B$12:$B$72,$A713+1))))*(MAX(IF(D713&lt;=0,0,MAX(0,(B713/D713)*H713/INDEX(Surface_Engine!$B$12:$B$72,$A713+1)-F713/INDEX(Surface_Engine!$B$12:$B$72,$A713+1))),IF(E713&lt;=0,0,MAX(0,(B713/E713)*I713/INDEX(Surface_Engine!$B$12:$B$72,$A713+1)-F713/INDEX(Surface_Engine!$B$12:$B$72,$A713+1))),IF($A713&lt;$Q$699,MAX(0,-Assumptions!$B$22*(F713/INDEX(Surface_Engine!$B$12:$B$72,$A713+1))),0)))+2*Assumptions!$B$27*(IF(C713&lt;=0,0,MAX(0,(B713/C713)*G713/INDEX(Surface_Engine!$B$12:$B$72,$A713+1)-F713/INDEX(Surface_Engine!$B$12:$B$72,$A713+1))))*(MAX(0,J713/INDEX(Surface_Engine!$B$12:$B$72,$A713+1)-(F713/INDEX(Surface_Engine!$B$12:$B$72,$A713+1))))+2*Assumptions!$B$28*(MAX(IF(D713&lt;=0,0,MAX(0,(B713/D713)*H713/INDEX(Surface_Engine!$B$12:$B$72,$A713+1)-F713/INDEX(Surface_Engine!$B$12:$B$72,$A713+1))),IF(E713&lt;=0,0,MAX(0,(B713/E713)*I713/INDEX(Surface_Engine!$B$12:$B$72,$A713+1)-F713/INDEX(Surface_Engine!$B$12:$B$72,$A713+1))),IF($A713&lt;$Q$699,MAX(0,-Assumptions!$B$22*(F713/INDEX(Surface_Engine!$B$12:$B$72,$A713+1))),0)))*(MAX(0,J713/INDEX(Surface_Engine!$B$12:$B$72,$A713+1)-(F713/INDEX(Surface_Engine!$B$12:$B$72,$A713+1)))))</f>
        <v>6001.26611084479</v>
      </c>
      <c r="L713" s="48" t="n">
        <f aca="false">K713*INDEX(Surface_Engine!$B$12:$B$72,$A713+1)+L714</f>
        <v>58142.1838997288</v>
      </c>
      <c r="M713" s="48" t="n">
        <f aca="false">M712+B712*(IF($A712&lt;$Q$699,(Surface_Engine!Q241*12)-(Surface_Engine!Q241*12)*INDEX(Surface_Engine!$F$12:$F$72,$A712+1)-INDEX(Surface_Engine!$D$12:$D$72,$A712+1),-(1000*12*INDEX(Surface_Engine!$C$12:$C$72,$A712+1)/(1+Assumptions!$B$10)^25+INDEX(Surface_Engine!$D$12:$D$72,$A712+1))))*INDEX(Surface_Engine!$B$12:$B$72,$A712+1)</f>
        <v>8952.01712428339</v>
      </c>
      <c r="N713" s="12" t="n">
        <f aca="false">IF(B713&lt;=0,0,MAX(0,(K713+Assumptions!$B$29*L713/INDEX(Surface_Engine!$B$12:$B$72,$A713+1)-(M713/INDEX(Surface_Engine!$B$12:$B$72,$A713+1)-(F713/INDEX(Surface_Engine!$B$12:$B$72,$A713+1))))/B713))</f>
        <v>13578.3295313661</v>
      </c>
    </row>
    <row r="714" customFormat="false" ht="15" hidden="false" customHeight="true" outlineLevel="0" collapsed="false">
      <c r="A714" s="1" t="n">
        <v>13</v>
      </c>
      <c r="B714" s="32" t="n">
        <f aca="false">INDEX(Surface_Engine!$L$12:$L$72,$A714+1)*IF($A714&lt;$Q$699,INDEX(Surface_Engine!$E$12:$E$72,$A714+1),INDEX(Surface_Engine!$E$12:$E$72,$Q$699+1))</f>
        <v>0.732331393340358</v>
      </c>
      <c r="C714" s="32" t="n">
        <f aca="false">INDEX(Panel_Reserving!$D$8:$D$68,$A714+1)*IF($A714&lt;$Q$699,INDEX(Surface_Engine!$E$12:$E$72,$A714+1),INDEX(Surface_Engine!$E$12:$E$72,$Q$699+1))</f>
        <v>0.752447351954943</v>
      </c>
      <c r="D714" s="32" t="n">
        <f aca="false">INDEX(Surface_Engine!$L$12:$L$72,$A714+1)*IF($A714&lt;$Q$699,INDEX(Surface_Engine!$Y$12:$Y$72,$A714+1),INDEX(Surface_Engine!$Y$12:$Y$72,$Q$699+1))</f>
        <v>0.6695381562339</v>
      </c>
      <c r="E714" s="32" t="n">
        <f aca="false">INDEX(Surface_Engine!$L$12:$L$72,$A714+1)*IF($A714&lt;$Q$699,INDEX(Surface_Engine!$Z$12:$Z$72,$A714+1),INDEX(Surface_Engine!$Z$12:$Z$72,$Q$699+1))</f>
        <v>0.80031255753899</v>
      </c>
      <c r="F714" s="48" t="n">
        <f aca="false">B714*(IF($A714&lt;$Q$699,INDEX(Surface_Engine!$D$12:$D$72,$A714+1)+(Surface_Engine!Q241*12)*INDEX(Surface_Engine!$F$12:$F$72,$A714+1)-(Surface_Engine!Q241*12),1000*12*INDEX(Surface_Engine!$C$12:$C$72,$A714+1)/(1+Assumptions!$B$10)^25+INDEX(Surface_Engine!$D$12:$D$72,$A714+1)))*INDEX(Surface_Engine!$B$12:$B$72,$A714+1)+F715</f>
        <v>9009.91856806151</v>
      </c>
      <c r="G714" s="48" t="n">
        <f aca="false">C714*(IF($A714&lt;$Q$699,INDEX(Surface_Engine!$D$12:$D$72,$A714+1)+(Surface_Engine!Q241*12)*INDEX(Surface_Engine!$F$12:$F$72,$A714+1)-(Surface_Engine!Q241*12),1000*12*INDEX(Surface_Engine!$C$12:$C$72,$A714+1)/(1+Assumptions!$B$10)^25+INDEX(Surface_Engine!$D$12:$D$72,$A714+1)))*INDEX(Surface_Engine!$B$12:$B$72,$A714+1)+G715</f>
        <v>13269.9808747264</v>
      </c>
      <c r="H714" s="48" t="n">
        <f aca="false">D714*(IF($A714&lt;$Q$699,INDEX(Surface_Engine!$D$12:$D$72,$A714+1)+(Surface_Engine!Q241*12)*INDEX(Surface_Engine!$F$12:$F$72,$A714+1)-(Surface_Engine!Q241*12),1000*12*INDEX(Surface_Engine!$C$12:$C$72,$A714+1)/(1+Assumptions!$B$10)^25+INDEX(Surface_Engine!$D$12:$D$72,$A714+1)))*INDEX(Surface_Engine!$B$12:$B$72,$A714+1)+H715</f>
        <v>7660.58553835791</v>
      </c>
      <c r="I714" s="48" t="n">
        <f aca="false">E714*(IF($A714&lt;$Q$699,INDEX(Surface_Engine!$D$12:$D$72,$A714+1)+(Surface_Engine!Q241*12)*INDEX(Surface_Engine!$F$12:$F$72,$A714+1)-(Surface_Engine!Q241*12),1000*12*INDEX(Surface_Engine!$C$12:$C$72,$A714+1)/(1+Assumptions!$B$10)^25+INDEX(Surface_Engine!$D$12:$D$72,$A714+1)))*INDEX(Surface_Engine!$B$12:$B$72,$A714+1)+I715</f>
        <v>10573.8168946209</v>
      </c>
      <c r="J714" s="48" t="n">
        <f aca="false">B714*(IF($A714&lt;$Q$699,INDEX(Surface_Engine!$D$12:$D$72,$A714+1)*(1+Assumptions!$B$24)+(Surface_Engine!Q241*12)*INDEX(Surface_Engine!$F$12:$F$72,$A714+1)-(Surface_Engine!Q241*12),1000*12*INDEX(Surface_Engine!$C$12:$C$72,$A714+1)/(1+Assumptions!$B$10)^25+INDEX(Surface_Engine!$D$12:$D$72,$A714+1)*(1+Assumptions!$B$24)))*INDEX(Surface_Engine!$B$12:$B$72,$A714+1)+J715</f>
        <v>9078.69437098142</v>
      </c>
      <c r="K714" s="12" t="n">
        <f aca="false">SQRT((IF(C714&lt;=0,0,MAX(0,(B714/C714)*G714/INDEX(Surface_Engine!$B$12:$B$72,$A714+1)-F714/INDEX(Surface_Engine!$B$12:$B$72,$A714+1))))^2+(MAX(IF(D714&lt;=0,0,MAX(0,(B714/D714)*H714/INDEX(Surface_Engine!$B$12:$B$72,$A714+1)-F714/INDEX(Surface_Engine!$B$12:$B$72,$A714+1))),IF(E714&lt;=0,0,MAX(0,(B714/E714)*I714/INDEX(Surface_Engine!$B$12:$B$72,$A714+1)-F714/INDEX(Surface_Engine!$B$12:$B$72,$A714+1))),IF($A714&lt;$Q$699,MAX(0,-Assumptions!$B$22*(F714/INDEX(Surface_Engine!$B$12:$B$72,$A714+1))),0)))^2+(MAX(0,J714/INDEX(Surface_Engine!$B$12:$B$72,$A714+1)-(F714/INDEX(Surface_Engine!$B$12:$B$72,$A714+1))))^2+2*Assumptions!$B$26*(IF(C714&lt;=0,0,MAX(0,(B714/C714)*G714/INDEX(Surface_Engine!$B$12:$B$72,$A714+1)-F714/INDEX(Surface_Engine!$B$12:$B$72,$A714+1))))*(MAX(IF(D714&lt;=0,0,MAX(0,(B714/D714)*H714/INDEX(Surface_Engine!$B$12:$B$72,$A714+1)-F714/INDEX(Surface_Engine!$B$12:$B$72,$A714+1))),IF(E714&lt;=0,0,MAX(0,(B714/E714)*I714/INDEX(Surface_Engine!$B$12:$B$72,$A714+1)-F714/INDEX(Surface_Engine!$B$12:$B$72,$A714+1))),IF($A714&lt;$Q$699,MAX(0,-Assumptions!$B$22*(F714/INDEX(Surface_Engine!$B$12:$B$72,$A714+1))),0)))+2*Assumptions!$B$27*(IF(C714&lt;=0,0,MAX(0,(B714/C714)*G714/INDEX(Surface_Engine!$B$12:$B$72,$A714+1)-F714/INDEX(Surface_Engine!$B$12:$B$72,$A714+1))))*(MAX(0,J714/INDEX(Surface_Engine!$B$12:$B$72,$A714+1)-(F714/INDEX(Surface_Engine!$B$12:$B$72,$A714+1))))+2*Assumptions!$B$28*(MAX(IF(D714&lt;=0,0,MAX(0,(B714/D714)*H714/INDEX(Surface_Engine!$B$12:$B$72,$A714+1)-F714/INDEX(Surface_Engine!$B$12:$B$72,$A714+1))),IF(E714&lt;=0,0,MAX(0,(B714/E714)*I714/INDEX(Surface_Engine!$B$12:$B$72,$A714+1)-F714/INDEX(Surface_Engine!$B$12:$B$72,$A714+1))),IF($A714&lt;$Q$699,MAX(0,-Assumptions!$B$22*(F714/INDEX(Surface_Engine!$B$12:$B$72,$A714+1))),0)))*(MAX(0,J714/INDEX(Surface_Engine!$B$12:$B$72,$A714+1)-(F714/INDEX(Surface_Engine!$B$12:$B$72,$A714+1)))))</f>
        <v>6112.16885097005</v>
      </c>
      <c r="L714" s="48" t="n">
        <f aca="false">K714*INDEX(Surface_Engine!$B$12:$B$72,$A714+1)+L715</f>
        <v>53929.0915051904</v>
      </c>
      <c r="M714" s="48" t="n">
        <f aca="false">M713+B713*(IF($A713&lt;$Q$699,(Surface_Engine!Q241*12)-(Surface_Engine!Q241*12)*INDEX(Surface_Engine!$F$12:$F$72,$A713+1)-INDEX(Surface_Engine!$D$12:$D$72,$A713+1),-(1000*12*INDEX(Surface_Engine!$C$12:$C$72,$A713+1)/(1+Assumptions!$B$10)^25+INDEX(Surface_Engine!$D$12:$D$72,$A713+1))))*INDEX(Surface_Engine!$B$12:$B$72,$A713+1)</f>
        <v>9533.14342757493</v>
      </c>
      <c r="N714" s="12" t="n">
        <f aca="false">IF(B714&lt;=0,0,MAX(0,(K714+Assumptions!$B$29*L714/INDEX(Surface_Engine!$B$12:$B$72,$A714+1)-(M714/INDEX(Surface_Engine!$B$12:$B$72,$A714+1)-(F714/INDEX(Surface_Engine!$B$12:$B$72,$A714+1))))/B714))</f>
        <v>13808.256808135</v>
      </c>
    </row>
    <row r="715" customFormat="false" ht="15" hidden="false" customHeight="true" outlineLevel="0" collapsed="false">
      <c r="A715" s="1" t="n">
        <v>14</v>
      </c>
      <c r="B715" s="32" t="n">
        <f aca="false">INDEX(Surface_Engine!$L$12:$L$72,$A715+1)*IF($A715&lt;$Q$699,INDEX(Surface_Engine!$E$12:$E$72,$A715+1),INDEX(Surface_Engine!$E$12:$E$72,$Q$699+1))</f>
        <v>0.710568694818408</v>
      </c>
      <c r="C715" s="32" t="n">
        <f aca="false">INDEX(Panel_Reserving!$D$8:$D$68,$A715+1)*IF($A715&lt;$Q$699,INDEX(Surface_Engine!$E$12:$E$72,$A715+1),INDEX(Surface_Engine!$E$12:$E$72,$Q$699+1))</f>
        <v>0.733189510060137</v>
      </c>
      <c r="D715" s="32" t="n">
        <f aca="false">INDEX(Surface_Engine!$L$12:$L$72,$A715+1)*IF($A715&lt;$Q$699,INDEX(Surface_Engine!$Y$12:$Y$72,$A715+1),INDEX(Surface_Engine!$Y$12:$Y$72,$Q$699+1))</f>
        <v>0.646658470711531</v>
      </c>
      <c r="E715" s="32" t="n">
        <f aca="false">INDEX(Surface_Engine!$L$12:$L$72,$A715+1)*IF($A715&lt;$Q$699,INDEX(Surface_Engine!$Z$12:$Z$72,$A715+1),INDEX(Surface_Engine!$Z$12:$Z$72,$Q$699+1))</f>
        <v>0.780095319602169</v>
      </c>
      <c r="F715" s="48" t="n">
        <f aca="false">B715*(IF($A715&lt;$Q$699,INDEX(Surface_Engine!$D$12:$D$72,$A715+1)+(Surface_Engine!Q241*12)*INDEX(Surface_Engine!$F$12:$F$72,$A715+1)-(Surface_Engine!Q241*12),1000*12*INDEX(Surface_Engine!$C$12:$C$72,$A715+1)/(1+Assumptions!$B$10)^25+INDEX(Surface_Engine!$D$12:$D$72,$A715+1)))*INDEX(Surface_Engine!$B$12:$B$72,$A715+1)+F716</f>
        <v>9554.43856630186</v>
      </c>
      <c r="G715" s="48" t="n">
        <f aca="false">C715*(IF($A715&lt;$Q$699,INDEX(Surface_Engine!$D$12:$D$72,$A715+1)+(Surface_Engine!Q241*12)*INDEX(Surface_Engine!$F$12:$F$72,$A715+1)-(Surface_Engine!Q241*12),1000*12*INDEX(Surface_Engine!$C$12:$C$72,$A715+1)/(1+Assumptions!$B$10)^25+INDEX(Surface_Engine!$D$12:$D$72,$A715+1)))*INDEX(Surface_Engine!$B$12:$B$72,$A715+1)+G716</f>
        <v>13829.4579563979</v>
      </c>
      <c r="H715" s="48" t="n">
        <f aca="false">D715*(IF($A715&lt;$Q$699,INDEX(Surface_Engine!$D$12:$D$72,$A715+1)+(Surface_Engine!Q241*12)*INDEX(Surface_Engine!$F$12:$F$72,$A715+1)-(Surface_Engine!Q241*12),1000*12*INDEX(Surface_Engine!$C$12:$C$72,$A715+1)/(1+Assumptions!$B$10)^25+INDEX(Surface_Engine!$D$12:$D$72,$A715+1)))*INDEX(Surface_Engine!$B$12:$B$72,$A715+1)+H716</f>
        <v>8158.41605466474</v>
      </c>
      <c r="I715" s="48" t="n">
        <f aca="false">E715*(IF($A715&lt;$Q$699,INDEX(Surface_Engine!$D$12:$D$72,$A715+1)+(Surface_Engine!Q241*12)*INDEX(Surface_Engine!$F$12:$F$72,$A715+1)-(Surface_Engine!Q241*12),1000*12*INDEX(Surface_Engine!$C$12:$C$72,$A715+1)/(1+Assumptions!$B$10)^25+INDEX(Surface_Engine!$D$12:$D$72,$A715+1)))*INDEX(Surface_Engine!$B$12:$B$72,$A715+1)+I716</f>
        <v>11168.8838224978</v>
      </c>
      <c r="J715" s="48" t="n">
        <f aca="false">B715*(IF($A715&lt;$Q$699,INDEX(Surface_Engine!$D$12:$D$72,$A715+1)*(1+Assumptions!$B$24)+(Surface_Engine!Q241*12)*INDEX(Surface_Engine!$F$12:$F$72,$A715+1)-(Surface_Engine!Q241*12),1000*12*INDEX(Surface_Engine!$C$12:$C$72,$A715+1)/(1+Assumptions!$B$10)^25+INDEX(Surface_Engine!$D$12:$D$72,$A715+1)*(1+Assumptions!$B$24)))*INDEX(Surface_Engine!$B$12:$B$72,$A715+1)+J716</f>
        <v>9617.60079763744</v>
      </c>
      <c r="K715" s="12" t="n">
        <f aca="false">SQRT((IF(C715&lt;=0,0,MAX(0,(B715/C715)*G715/INDEX(Surface_Engine!$B$12:$B$72,$A715+1)-F715/INDEX(Surface_Engine!$B$12:$B$72,$A715+1))))^2+(MAX(IF(D715&lt;=0,0,MAX(0,(B715/D715)*H715/INDEX(Surface_Engine!$B$12:$B$72,$A715+1)-F715/INDEX(Surface_Engine!$B$12:$B$72,$A715+1))),IF(E715&lt;=0,0,MAX(0,(B715/E715)*I715/INDEX(Surface_Engine!$B$12:$B$72,$A715+1)-F715/INDEX(Surface_Engine!$B$12:$B$72,$A715+1))),IF($A715&lt;$Q$699,MAX(0,-Assumptions!$B$22*(F715/INDEX(Surface_Engine!$B$12:$B$72,$A715+1))),0)))^2+(MAX(0,J715/INDEX(Surface_Engine!$B$12:$B$72,$A715+1)-(F715/INDEX(Surface_Engine!$B$12:$B$72,$A715+1))))^2+2*Assumptions!$B$26*(IF(C715&lt;=0,0,MAX(0,(B715/C715)*G715/INDEX(Surface_Engine!$B$12:$B$72,$A715+1)-F715/INDEX(Surface_Engine!$B$12:$B$72,$A715+1))))*(MAX(IF(D715&lt;=0,0,MAX(0,(B715/D715)*H715/INDEX(Surface_Engine!$B$12:$B$72,$A715+1)-F715/INDEX(Surface_Engine!$B$12:$B$72,$A715+1))),IF(E715&lt;=0,0,MAX(0,(B715/E715)*I715/INDEX(Surface_Engine!$B$12:$B$72,$A715+1)-F715/INDEX(Surface_Engine!$B$12:$B$72,$A715+1))),IF($A715&lt;$Q$699,MAX(0,-Assumptions!$B$22*(F715/INDEX(Surface_Engine!$B$12:$B$72,$A715+1))),0)))+2*Assumptions!$B$27*(IF(C715&lt;=0,0,MAX(0,(B715/C715)*G715/INDEX(Surface_Engine!$B$12:$B$72,$A715+1)-F715/INDEX(Surface_Engine!$B$12:$B$72,$A715+1))))*(MAX(0,J715/INDEX(Surface_Engine!$B$12:$B$72,$A715+1)-(F715/INDEX(Surface_Engine!$B$12:$B$72,$A715+1))))+2*Assumptions!$B$28*(MAX(IF(D715&lt;=0,0,MAX(0,(B715/D715)*H715/INDEX(Surface_Engine!$B$12:$B$72,$A715+1)-F715/INDEX(Surface_Engine!$B$12:$B$72,$A715+1))),IF(E715&lt;=0,0,MAX(0,(B715/E715)*I715/INDEX(Surface_Engine!$B$12:$B$72,$A715+1)-F715/INDEX(Surface_Engine!$B$12:$B$72,$A715+1))),IF($A715&lt;$Q$699,MAX(0,-Assumptions!$B$22*(F715/INDEX(Surface_Engine!$B$12:$B$72,$A715+1))),0)))*(MAX(0,J715/INDEX(Surface_Engine!$B$12:$B$72,$A715+1)-(F715/INDEX(Surface_Engine!$B$12:$B$72,$A715+1)))))</f>
        <v>6206.11691316383</v>
      </c>
      <c r="L715" s="48" t="n">
        <f aca="false">K715*INDEX(Surface_Engine!$B$12:$B$72,$A715+1)+L716</f>
        <v>49784.2984249497</v>
      </c>
      <c r="M715" s="48" t="n">
        <f aca="false">M714+B714*(IF($A714&lt;$Q$699,(Surface_Engine!Q241*12)-(Surface_Engine!Q241*12)*INDEX(Surface_Engine!$F$12:$F$72,$A714+1)-INDEX(Surface_Engine!$D$12:$D$72,$A714+1),-(1000*12*INDEX(Surface_Engine!$C$12:$C$72,$A714+1)/(1+Assumptions!$B$10)^25+INDEX(Surface_Engine!$D$12:$D$72,$A714+1))))*INDEX(Surface_Engine!$B$12:$B$72,$A714+1)</f>
        <v>10077.6634258153</v>
      </c>
      <c r="N715" s="12" t="n">
        <f aca="false">IF(B715&lt;=0,0,MAX(0,(K715+Assumptions!$B$29*L715/INDEX(Surface_Engine!$B$12:$B$72,$A715+1)-(M715/INDEX(Surface_Engine!$B$12:$B$72,$A715+1)-(F715/INDEX(Surface_Engine!$B$12:$B$72,$A715+1))))/B715))</f>
        <v>14023.8733274627</v>
      </c>
    </row>
    <row r="716" customFormat="false" ht="15" hidden="false" customHeight="true" outlineLevel="0" collapsed="false">
      <c r="A716" s="1" t="n">
        <v>15</v>
      </c>
      <c r="B716" s="32" t="n">
        <f aca="false">INDEX(Surface_Engine!$L$12:$L$72,$A716+1)*IF($A716&lt;$Q$699,INDEX(Surface_Engine!$E$12:$E$72,$A716+1),INDEX(Surface_Engine!$E$12:$E$72,$Q$699+1))</f>
        <v>0.687680981645694</v>
      </c>
      <c r="C716" s="32" t="n">
        <f aca="false">INDEX(Panel_Reserving!$D$8:$D$68,$A716+1)*IF($A716&lt;$Q$699,INDEX(Surface_Engine!$E$12:$E$72,$A716+1),INDEX(Surface_Engine!$E$12:$E$72,$Q$699+1))</f>
        <v>0.712962033920438</v>
      </c>
      <c r="D716" s="32" t="n">
        <f aca="false">INDEX(Surface_Engine!$L$12:$L$72,$A716+1)*IF($A716&lt;$Q$699,INDEX(Surface_Engine!$Y$12:$Y$72,$A716+1),INDEX(Surface_Engine!$Y$12:$Y$72,$Q$699+1))</f>
        <v>0.622955658541371</v>
      </c>
      <c r="E716" s="32" t="n">
        <f aca="false">INDEX(Surface_Engine!$L$12:$L$72,$A716+1)*IF($A716&lt;$Q$699,INDEX(Surface_Engine!$Z$12:$Z$72,$A716+1),INDEX(Surface_Engine!$Z$12:$Z$72,$Q$699+1))</f>
        <v>0.758434776427366</v>
      </c>
      <c r="F716" s="48" t="n">
        <f aca="false">B716*(IF($A716&lt;$Q$699,INDEX(Surface_Engine!$D$12:$D$72,$A716+1)+(Surface_Engine!Q241*12)*INDEX(Surface_Engine!$F$12:$F$72,$A716+1)-(Surface_Engine!Q241*12),1000*12*INDEX(Surface_Engine!$C$12:$C$72,$A716+1)/(1+Assumptions!$B$10)^25+INDEX(Surface_Engine!$D$12:$D$72,$A716+1)))*INDEX(Surface_Engine!$B$12:$B$72,$A716+1)+F717</f>
        <v>10063.8222966851</v>
      </c>
      <c r="G716" s="48" t="n">
        <f aca="false">C716*(IF($A716&lt;$Q$699,INDEX(Surface_Engine!$D$12:$D$72,$A716+1)+(Surface_Engine!Q241*12)*INDEX(Surface_Engine!$F$12:$F$72,$A716+1)-(Surface_Engine!Q241*12),1000*12*INDEX(Surface_Engine!$C$12:$C$72,$A716+1)/(1+Assumptions!$B$10)^25+INDEX(Surface_Engine!$D$12:$D$72,$A716+1)))*INDEX(Surface_Engine!$B$12:$B$72,$A716+1)+G717</f>
        <v>14355.0578180802</v>
      </c>
      <c r="H716" s="48" t="n">
        <f aca="false">D716*(IF($A716&lt;$Q$699,INDEX(Surface_Engine!$D$12:$D$72,$A716+1)+(Surface_Engine!Q241*12)*INDEX(Surface_Engine!$F$12:$F$72,$A716+1)-(Surface_Engine!Q241*12),1000*12*INDEX(Surface_Engine!$C$12:$C$72,$A716+1)/(1+Assumptions!$B$10)^25+INDEX(Surface_Engine!$D$12:$D$72,$A716+1)))*INDEX(Surface_Engine!$B$12:$B$72,$A716+1)+H717</f>
        <v>8621.98461108579</v>
      </c>
      <c r="I716" s="48" t="n">
        <f aca="false">E716*(IF($A716&lt;$Q$699,INDEX(Surface_Engine!$D$12:$D$72,$A716+1)+(Surface_Engine!Q241*12)*INDEX(Surface_Engine!$F$12:$F$72,$A716+1)-(Surface_Engine!Q241*12),1000*12*INDEX(Surface_Engine!$C$12:$C$72,$A716+1)/(1+Assumptions!$B$10)^25+INDEX(Surface_Engine!$D$12:$D$72,$A716+1)))*INDEX(Surface_Engine!$B$12:$B$72,$A716+1)+I717</f>
        <v>11728.1089429557</v>
      </c>
      <c r="J716" s="48" t="n">
        <f aca="false">B716*(IF($A716&lt;$Q$699,INDEX(Surface_Engine!$D$12:$D$72,$A716+1)*(1+Assumptions!$B$24)+(Surface_Engine!Q241*12)*INDEX(Surface_Engine!$F$12:$F$72,$A716+1)-(Surface_Engine!Q241*12),1000*12*INDEX(Surface_Engine!$C$12:$C$72,$A716+1)/(1+Assumptions!$B$10)^25+INDEX(Surface_Engine!$D$12:$D$72,$A716+1)*(1+Assumptions!$B$24)))*INDEX(Surface_Engine!$B$12:$B$72,$A716+1)+J717</f>
        <v>10121.5879915193</v>
      </c>
      <c r="K716" s="12" t="n">
        <f aca="false">SQRT((IF(C716&lt;=0,0,MAX(0,(B716/C716)*G716/INDEX(Surface_Engine!$B$12:$B$72,$A716+1)-F716/INDEX(Surface_Engine!$B$12:$B$72,$A716+1))))^2+(MAX(IF(D716&lt;=0,0,MAX(0,(B716/D716)*H716/INDEX(Surface_Engine!$B$12:$B$72,$A716+1)-F716/INDEX(Surface_Engine!$B$12:$B$72,$A716+1))),IF(E716&lt;=0,0,MAX(0,(B716/E716)*I716/INDEX(Surface_Engine!$B$12:$B$72,$A716+1)-F716/INDEX(Surface_Engine!$B$12:$B$72,$A716+1))),IF($A716&lt;$Q$699,MAX(0,-Assumptions!$B$22*(F716/INDEX(Surface_Engine!$B$12:$B$72,$A716+1))),0)))^2+(MAX(0,J716/INDEX(Surface_Engine!$B$12:$B$72,$A716+1)-(F716/INDEX(Surface_Engine!$B$12:$B$72,$A716+1))))^2+2*Assumptions!$B$26*(IF(C716&lt;=0,0,MAX(0,(B716/C716)*G716/INDEX(Surface_Engine!$B$12:$B$72,$A716+1)-F716/INDEX(Surface_Engine!$B$12:$B$72,$A716+1))))*(MAX(IF(D716&lt;=0,0,MAX(0,(B716/D716)*H716/INDEX(Surface_Engine!$B$12:$B$72,$A716+1)-F716/INDEX(Surface_Engine!$B$12:$B$72,$A716+1))),IF(E716&lt;=0,0,MAX(0,(B716/E716)*I716/INDEX(Surface_Engine!$B$12:$B$72,$A716+1)-F716/INDEX(Surface_Engine!$B$12:$B$72,$A716+1))),IF($A716&lt;$Q$699,MAX(0,-Assumptions!$B$22*(F716/INDEX(Surface_Engine!$B$12:$B$72,$A716+1))),0)))+2*Assumptions!$B$27*(IF(C716&lt;=0,0,MAX(0,(B716/C716)*G716/INDEX(Surface_Engine!$B$12:$B$72,$A716+1)-F716/INDEX(Surface_Engine!$B$12:$B$72,$A716+1))))*(MAX(0,J716/INDEX(Surface_Engine!$B$12:$B$72,$A716+1)-(F716/INDEX(Surface_Engine!$B$12:$B$72,$A716+1))))+2*Assumptions!$B$28*(MAX(IF(D716&lt;=0,0,MAX(0,(B716/D716)*H716/INDEX(Surface_Engine!$B$12:$B$72,$A716+1)-F716/INDEX(Surface_Engine!$B$12:$B$72,$A716+1))),IF(E716&lt;=0,0,MAX(0,(B716/E716)*I716/INDEX(Surface_Engine!$B$12:$B$72,$A716+1)-F716/INDEX(Surface_Engine!$B$12:$B$72,$A716+1))),IF($A716&lt;$Q$699,MAX(0,-Assumptions!$B$22*(F716/INDEX(Surface_Engine!$B$12:$B$72,$A716+1))),0)))*(MAX(0,J716/INDEX(Surface_Engine!$B$12:$B$72,$A716+1)-(F716/INDEX(Surface_Engine!$B$12:$B$72,$A716+1)))))</f>
        <v>6300.75344705693</v>
      </c>
      <c r="L716" s="48" t="n">
        <f aca="false">K716*INDEX(Surface_Engine!$B$12:$B$72,$A716+1)+L717</f>
        <v>45716.2975870945</v>
      </c>
      <c r="M716" s="48" t="n">
        <f aca="false">M715+B715*(IF($A715&lt;$Q$699,(Surface_Engine!Q241*12)-(Surface_Engine!Q241*12)*INDEX(Surface_Engine!$F$12:$F$72,$A715+1)-INDEX(Surface_Engine!$D$12:$D$72,$A715+1),-(1000*12*INDEX(Surface_Engine!$C$12:$C$72,$A715+1)/(1+Assumptions!$B$10)^25+INDEX(Surface_Engine!$D$12:$D$72,$A715+1))))*INDEX(Surface_Engine!$B$12:$B$72,$A715+1)</f>
        <v>10587.0471561985</v>
      </c>
      <c r="N716" s="12" t="n">
        <f aca="false">IF(B716&lt;=0,0,MAX(0,(K716+Assumptions!$B$29*L716/INDEX(Surface_Engine!$B$12:$B$72,$A716+1)-(M716/INDEX(Surface_Engine!$B$12:$B$72,$A716+1)-(F716/INDEX(Surface_Engine!$B$12:$B$72,$A716+1))))/B716))</f>
        <v>14270.1910912106</v>
      </c>
    </row>
    <row r="717" customFormat="false" ht="15" hidden="false" customHeight="true" outlineLevel="0" collapsed="false">
      <c r="A717" s="1" t="n">
        <v>16</v>
      </c>
      <c r="B717" s="32" t="n">
        <f aca="false">INDEX(Surface_Engine!$L$12:$L$72,$A717+1)*IF($A717&lt;$Q$699,INDEX(Surface_Engine!$E$12:$E$72,$A717+1),INDEX(Surface_Engine!$E$12:$E$72,$Q$699+1))</f>
        <v>0.662987495362084</v>
      </c>
      <c r="C717" s="32" t="n">
        <f aca="false">INDEX(Panel_Reserving!$D$8:$D$68,$A717+1)*IF($A717&lt;$Q$699,INDEX(Surface_Engine!$E$12:$E$72,$A717+1),INDEX(Surface_Engine!$E$12:$E$72,$Q$699+1))</f>
        <v>0.69118341338404</v>
      </c>
      <c r="D717" s="32" t="n">
        <f aca="false">INDEX(Surface_Engine!$L$12:$L$72,$A717+1)*IF($A717&lt;$Q$699,INDEX(Surface_Engine!$Y$12:$Y$72,$A717+1),INDEX(Surface_Engine!$Y$12:$Y$72,$Q$699+1))</f>
        <v>0.597828587974763</v>
      </c>
      <c r="E717" s="32" t="n">
        <f aca="false">INDEX(Surface_Engine!$L$12:$L$72,$A717+1)*IF($A717&lt;$Q$699,INDEX(Surface_Engine!$Z$12:$Z$72,$A717+1),INDEX(Surface_Engine!$Z$12:$Z$72,$Q$699+1))</f>
        <v>0.734558154738446</v>
      </c>
      <c r="F717" s="48" t="n">
        <f aca="false">B717*(IF($A717&lt;$Q$699,INDEX(Surface_Engine!$D$12:$D$72,$A717+1)+(Surface_Engine!Q241*12)*INDEX(Surface_Engine!$F$12:$F$72,$A717+1)-(Surface_Engine!Q241*12),1000*12*INDEX(Surface_Engine!$C$12:$C$72,$A717+1)/(1+Assumptions!$B$10)^25+INDEX(Surface_Engine!$D$12:$D$72,$A717+1)))*INDEX(Surface_Engine!$B$12:$B$72,$A717+1)+F718</f>
        <v>10537.8359907863</v>
      </c>
      <c r="G717" s="48" t="n">
        <f aca="false">C717*(IF($A717&lt;$Q$699,INDEX(Surface_Engine!$D$12:$D$72,$A717+1)+(Surface_Engine!Q241*12)*INDEX(Surface_Engine!$F$12:$F$72,$A717+1)-(Surface_Engine!Q241*12),1000*12*INDEX(Surface_Engine!$C$12:$C$72,$A717+1)/(1+Assumptions!$B$10)^25+INDEX(Surface_Engine!$D$12:$D$72,$A717+1)))*INDEX(Surface_Engine!$B$12:$B$72,$A717+1)+G718</f>
        <v>14846.4975648124</v>
      </c>
      <c r="H717" s="48" t="n">
        <f aca="false">D717*(IF($A717&lt;$Q$699,INDEX(Surface_Engine!$D$12:$D$72,$A717+1)+(Surface_Engine!Q241*12)*INDEX(Surface_Engine!$F$12:$F$72,$A717+1)-(Surface_Engine!Q241*12),1000*12*INDEX(Surface_Engine!$C$12:$C$72,$A717+1)/(1+Assumptions!$B$10)^25+INDEX(Surface_Engine!$D$12:$D$72,$A717+1)))*INDEX(Surface_Engine!$B$12:$B$72,$A717+1)+H718</f>
        <v>9051.38359236895</v>
      </c>
      <c r="I717" s="48" t="n">
        <f aca="false">E717*(IF($A717&lt;$Q$699,INDEX(Surface_Engine!$D$12:$D$72,$A717+1)+(Surface_Engine!Q241*12)*INDEX(Surface_Engine!$F$12:$F$72,$A717+1)-(Surface_Engine!Q241*12),1000*12*INDEX(Surface_Engine!$C$12:$C$72,$A717+1)/(1+Assumptions!$B$10)^25+INDEX(Surface_Engine!$D$12:$D$72,$A717+1)))*INDEX(Surface_Engine!$B$12:$B$72,$A717+1)+I718</f>
        <v>12250.8927332662</v>
      </c>
      <c r="J717" s="48" t="n">
        <f aca="false">B717*(IF($A717&lt;$Q$699,INDEX(Surface_Engine!$D$12:$D$72,$A717+1)*(1+Assumptions!$B$24)+(Surface_Engine!Q241*12)*INDEX(Surface_Engine!$F$12:$F$72,$A717+1)-(Surface_Engine!Q241*12),1000*12*INDEX(Surface_Engine!$C$12:$C$72,$A717+1)/(1+Assumptions!$B$10)^25+INDEX(Surface_Engine!$D$12:$D$72,$A717+1)*(1+Assumptions!$B$24)))*INDEX(Surface_Engine!$B$12:$B$72,$A717+1)+J718</f>
        <v>10590.4406532287</v>
      </c>
      <c r="K717" s="12" t="n">
        <f aca="false">SQRT((IF(C717&lt;=0,0,MAX(0,(B717/C717)*G717/INDEX(Surface_Engine!$B$12:$B$72,$A717+1)-F717/INDEX(Surface_Engine!$B$12:$B$72,$A717+1))))^2+(MAX(IF(D717&lt;=0,0,MAX(0,(B717/D717)*H717/INDEX(Surface_Engine!$B$12:$B$72,$A717+1)-F717/INDEX(Surface_Engine!$B$12:$B$72,$A717+1))),IF(E717&lt;=0,0,MAX(0,(B717/E717)*I717/INDEX(Surface_Engine!$B$12:$B$72,$A717+1)-F717/INDEX(Surface_Engine!$B$12:$B$72,$A717+1))),IF($A717&lt;$Q$699,MAX(0,-Assumptions!$B$22*(F717/INDEX(Surface_Engine!$B$12:$B$72,$A717+1))),0)))^2+(MAX(0,J717/INDEX(Surface_Engine!$B$12:$B$72,$A717+1)-(F717/INDEX(Surface_Engine!$B$12:$B$72,$A717+1))))^2+2*Assumptions!$B$26*(IF(C717&lt;=0,0,MAX(0,(B717/C717)*G717/INDEX(Surface_Engine!$B$12:$B$72,$A717+1)-F717/INDEX(Surface_Engine!$B$12:$B$72,$A717+1))))*(MAX(IF(D717&lt;=0,0,MAX(0,(B717/D717)*H717/INDEX(Surface_Engine!$B$12:$B$72,$A717+1)-F717/INDEX(Surface_Engine!$B$12:$B$72,$A717+1))),IF(E717&lt;=0,0,MAX(0,(B717/E717)*I717/INDEX(Surface_Engine!$B$12:$B$72,$A717+1)-F717/INDEX(Surface_Engine!$B$12:$B$72,$A717+1))),IF($A717&lt;$Q$699,MAX(0,-Assumptions!$B$22*(F717/INDEX(Surface_Engine!$B$12:$B$72,$A717+1))),0)))+2*Assumptions!$B$27*(IF(C717&lt;=0,0,MAX(0,(B717/C717)*G717/INDEX(Surface_Engine!$B$12:$B$72,$A717+1)-F717/INDEX(Surface_Engine!$B$12:$B$72,$A717+1))))*(MAX(0,J717/INDEX(Surface_Engine!$B$12:$B$72,$A717+1)-(F717/INDEX(Surface_Engine!$B$12:$B$72,$A717+1))))+2*Assumptions!$B$28*(MAX(IF(D717&lt;=0,0,MAX(0,(B717/D717)*H717/INDEX(Surface_Engine!$B$12:$B$72,$A717+1)-F717/INDEX(Surface_Engine!$B$12:$B$72,$A717+1))),IF(E717&lt;=0,0,MAX(0,(B717/E717)*I717/INDEX(Surface_Engine!$B$12:$B$72,$A717+1)-F717/INDEX(Surface_Engine!$B$12:$B$72,$A717+1))),IF($A717&lt;$Q$699,MAX(0,-Assumptions!$B$22*(F717/INDEX(Surface_Engine!$B$12:$B$72,$A717+1))),0)))*(MAX(0,J717/INDEX(Surface_Engine!$B$12:$B$72,$A717+1)-(F717/INDEX(Surface_Engine!$B$12:$B$72,$A717+1)))))</f>
        <v>6365.64039448909</v>
      </c>
      <c r="L717" s="48" t="n">
        <f aca="false">K717*INDEX(Surface_Engine!$B$12:$B$72,$A717+1)+L718</f>
        <v>41734.5821078926</v>
      </c>
      <c r="M717" s="48" t="n">
        <f aca="false">M716+B716*(IF($A716&lt;$Q$699,(Surface_Engine!Q241*12)-(Surface_Engine!Q241*12)*INDEX(Surface_Engine!$F$12:$F$72,$A716+1)-INDEX(Surface_Engine!$D$12:$D$72,$A716+1),-(1000*12*INDEX(Surface_Engine!$C$12:$C$72,$A716+1)/(1+Assumptions!$B$10)^25+INDEX(Surface_Engine!$D$12:$D$72,$A716+1))))*INDEX(Surface_Engine!$B$12:$B$72,$A716+1)</f>
        <v>11061.0608502998</v>
      </c>
      <c r="N717" s="12" t="n">
        <f aca="false">IF(B717&lt;=0,0,MAX(0,(K717+Assumptions!$B$29*L717/INDEX(Surface_Engine!$B$12:$B$72,$A717+1)-(M717/INDEX(Surface_Engine!$B$12:$B$72,$A717+1)-(F717/INDEX(Surface_Engine!$B$12:$B$72,$A717+1))))/B717))</f>
        <v>14500.5105710623</v>
      </c>
    </row>
    <row r="718" customFormat="false" ht="15" hidden="false" customHeight="true" outlineLevel="0" collapsed="false">
      <c r="A718" s="1" t="n">
        <v>17</v>
      </c>
      <c r="B718" s="32" t="n">
        <f aca="false">INDEX(Surface_Engine!$L$12:$L$72,$A718+1)*IF($A718&lt;$Q$699,INDEX(Surface_Engine!$E$12:$E$72,$A718+1),INDEX(Surface_Engine!$E$12:$E$72,$Q$699+1))</f>
        <v>0.637007260288234</v>
      </c>
      <c r="C718" s="32" t="n">
        <f aca="false">INDEX(Panel_Reserving!$D$8:$D$68,$A718+1)*IF($A718&lt;$Q$699,INDEX(Surface_Engine!$E$12:$E$72,$A718+1),INDEX(Surface_Engine!$E$12:$E$72,$Q$699+1))</f>
        <v>0.668257349467667</v>
      </c>
      <c r="D718" s="32" t="n">
        <f aca="false">INDEX(Surface_Engine!$L$12:$L$72,$A718+1)*IF($A718&lt;$Q$699,INDEX(Surface_Engine!$Y$12:$Y$72,$A718+1),INDEX(Surface_Engine!$Y$12:$Y$72,$Q$699+1))</f>
        <v>0.571764180557545</v>
      </c>
      <c r="E718" s="32" t="n">
        <f aca="false">INDEX(Surface_Engine!$L$12:$L$72,$A718+1)*IF($A718&lt;$Q$699,INDEX(Surface_Engine!$Z$12:$Z$72,$A718+1),INDEX(Surface_Engine!$Z$12:$Z$72,$Q$699+1))</f>
        <v>0.709014067323085</v>
      </c>
      <c r="F718" s="48" t="n">
        <f aca="false">B718*(IF($A718&lt;$Q$699,INDEX(Surface_Engine!$D$12:$D$72,$A718+1)+(Surface_Engine!Q241*12)*INDEX(Surface_Engine!$F$12:$F$72,$A718+1)-(Surface_Engine!Q241*12),1000*12*INDEX(Surface_Engine!$C$12:$C$72,$A718+1)/(1+Assumptions!$B$10)^25+INDEX(Surface_Engine!$D$12:$D$72,$A718+1)))*INDEX(Surface_Engine!$B$12:$B$72,$A718+1)+F719</f>
        <v>10977.6621522179</v>
      </c>
      <c r="G718" s="48" t="n">
        <f aca="false">C718*(IF($A718&lt;$Q$699,INDEX(Surface_Engine!$D$12:$D$72,$A718+1)+(Surface_Engine!Q241*12)*INDEX(Surface_Engine!$F$12:$F$72,$A718+1)-(Surface_Engine!Q241*12),1000*12*INDEX(Surface_Engine!$C$12:$C$72,$A718+1)/(1+Assumptions!$B$10)^25+INDEX(Surface_Engine!$D$12:$D$72,$A718+1)))*INDEX(Surface_Engine!$B$12:$B$72,$A718+1)+G719</f>
        <v>15305.02890919</v>
      </c>
      <c r="H718" s="48" t="n">
        <f aca="false">D718*(IF($A718&lt;$Q$699,INDEX(Surface_Engine!$D$12:$D$72,$A718+1)+(Surface_Engine!Q241*12)*INDEX(Surface_Engine!$F$12:$F$72,$A718+1)-(Surface_Engine!Q241*12),1000*12*INDEX(Surface_Engine!$C$12:$C$72,$A718+1)/(1+Assumptions!$B$10)^25+INDEX(Surface_Engine!$D$12:$D$72,$A718+1)))*INDEX(Surface_Engine!$B$12:$B$72,$A718+1)+H719</f>
        <v>9447.98330938079</v>
      </c>
      <c r="I718" s="48" t="n">
        <f aca="false">E718*(IF($A718&lt;$Q$699,INDEX(Surface_Engine!$D$12:$D$72,$A718+1)+(Surface_Engine!Q241*12)*INDEX(Surface_Engine!$F$12:$F$72,$A718+1)-(Surface_Engine!Q241*12),1000*12*INDEX(Surface_Engine!$C$12:$C$72,$A718+1)/(1+Assumptions!$B$10)^25+INDEX(Surface_Engine!$D$12:$D$72,$A718+1)))*INDEX(Surface_Engine!$B$12:$B$72,$A718+1)+I719</f>
        <v>12738.1988978726</v>
      </c>
      <c r="J718" s="48" t="n">
        <f aca="false">B718*(IF($A718&lt;$Q$699,INDEX(Surface_Engine!$D$12:$D$72,$A718+1)*(1+Assumptions!$B$24)+(Surface_Engine!Q241*12)*INDEX(Surface_Engine!$F$12:$F$72,$A718+1)-(Surface_Engine!Q241*12),1000*12*INDEX(Surface_Engine!$C$12:$C$72,$A718+1)/(1+Assumptions!$B$10)^25+INDEX(Surface_Engine!$D$12:$D$72,$A718+1)*(1+Assumptions!$B$24)))*INDEX(Surface_Engine!$B$12:$B$72,$A718+1)+J719</f>
        <v>11025.3448966521</v>
      </c>
      <c r="K718" s="12" t="n">
        <f aca="false">SQRT((IF(C718&lt;=0,0,MAX(0,(B718/C718)*G718/INDEX(Surface_Engine!$B$12:$B$72,$A718+1)-F718/INDEX(Surface_Engine!$B$12:$B$72,$A718+1))))^2+(MAX(IF(D718&lt;=0,0,MAX(0,(B718/D718)*H718/INDEX(Surface_Engine!$B$12:$B$72,$A718+1)-F718/INDEX(Surface_Engine!$B$12:$B$72,$A718+1))),IF(E718&lt;=0,0,MAX(0,(B718/E718)*I718/INDEX(Surface_Engine!$B$12:$B$72,$A718+1)-F718/INDEX(Surface_Engine!$B$12:$B$72,$A718+1))),IF($A718&lt;$Q$699,MAX(0,-Assumptions!$B$22*(F718/INDEX(Surface_Engine!$B$12:$B$72,$A718+1))),0)))^2+(MAX(0,J718/INDEX(Surface_Engine!$B$12:$B$72,$A718+1)-(F718/INDEX(Surface_Engine!$B$12:$B$72,$A718+1))))^2+2*Assumptions!$B$26*(IF(C718&lt;=0,0,MAX(0,(B718/C718)*G718/INDEX(Surface_Engine!$B$12:$B$72,$A718+1)-F718/INDEX(Surface_Engine!$B$12:$B$72,$A718+1))))*(MAX(IF(D718&lt;=0,0,MAX(0,(B718/D718)*H718/INDEX(Surface_Engine!$B$12:$B$72,$A718+1)-F718/INDEX(Surface_Engine!$B$12:$B$72,$A718+1))),IF(E718&lt;=0,0,MAX(0,(B718/E718)*I718/INDEX(Surface_Engine!$B$12:$B$72,$A718+1)-F718/INDEX(Surface_Engine!$B$12:$B$72,$A718+1))),IF($A718&lt;$Q$699,MAX(0,-Assumptions!$B$22*(F718/INDEX(Surface_Engine!$B$12:$B$72,$A718+1))),0)))+2*Assumptions!$B$27*(IF(C718&lt;=0,0,MAX(0,(B718/C718)*G718/INDEX(Surface_Engine!$B$12:$B$72,$A718+1)-F718/INDEX(Surface_Engine!$B$12:$B$72,$A718+1))))*(MAX(0,J718/INDEX(Surface_Engine!$B$12:$B$72,$A718+1)-(F718/INDEX(Surface_Engine!$B$12:$B$72,$A718+1))))+2*Assumptions!$B$28*(MAX(IF(D718&lt;=0,0,MAX(0,(B718/D718)*H718/INDEX(Surface_Engine!$B$12:$B$72,$A718+1)-F718/INDEX(Surface_Engine!$B$12:$B$72,$A718+1))),IF(E718&lt;=0,0,MAX(0,(B718/E718)*I718/INDEX(Surface_Engine!$B$12:$B$72,$A718+1)-F718/INDEX(Surface_Engine!$B$12:$B$72,$A718+1))),IF($A718&lt;$Q$699,MAX(0,-Assumptions!$B$22*(F718/INDEX(Surface_Engine!$B$12:$B$72,$A718+1))),0)))*(MAX(0,J718/INDEX(Surface_Engine!$B$12:$B$72,$A718+1)-(F718/INDEX(Surface_Engine!$B$12:$B$72,$A718+1)))))</f>
        <v>6394.25631375117</v>
      </c>
      <c r="L718" s="48" t="n">
        <f aca="false">K718*INDEX(Surface_Engine!$B$12:$B$72,$A718+1)+L719</f>
        <v>37852.4041466876</v>
      </c>
      <c r="M718" s="48" t="n">
        <f aca="false">M717+B717*(IF($A717&lt;$Q$699,(Surface_Engine!Q241*12)-(Surface_Engine!Q241*12)*INDEX(Surface_Engine!$F$12:$F$72,$A717+1)-INDEX(Surface_Engine!$D$12:$D$72,$A717+1),-(1000*12*INDEX(Surface_Engine!$C$12:$C$72,$A717+1)/(1+Assumptions!$B$10)^25+INDEX(Surface_Engine!$D$12:$D$72,$A717+1))))*INDEX(Surface_Engine!$B$12:$B$72,$A717+1)</f>
        <v>11500.8870117313</v>
      </c>
      <c r="N718" s="12" t="n">
        <f aca="false">IF(B718&lt;=0,0,MAX(0,(K718+Assumptions!$B$29*L718/INDEX(Surface_Engine!$B$12:$B$72,$A718+1)-(M718/INDEX(Surface_Engine!$B$12:$B$72,$A718+1)-(F718/INDEX(Surface_Engine!$B$12:$B$72,$A718+1))))/B718))</f>
        <v>14691.5041027197</v>
      </c>
    </row>
    <row r="719" customFormat="false" ht="15" hidden="false" customHeight="true" outlineLevel="0" collapsed="false">
      <c r="A719" s="1" t="n">
        <v>18</v>
      </c>
      <c r="B719" s="32" t="n">
        <f aca="false">INDEX(Surface_Engine!$L$12:$L$72,$A719+1)*IF($A719&lt;$Q$699,INDEX(Surface_Engine!$E$12:$E$72,$A719+1),INDEX(Surface_Engine!$E$12:$E$72,$Q$699+1))</f>
        <v>0.609697929223295</v>
      </c>
      <c r="C719" s="32" t="n">
        <f aca="false">INDEX(Panel_Reserving!$D$8:$D$68,$A719+1)*IF($A719&lt;$Q$699,INDEX(Surface_Engine!$E$12:$E$72,$A719+1),INDEX(Surface_Engine!$E$12:$E$72,$Q$699+1))</f>
        <v>0.644121870614103</v>
      </c>
      <c r="D719" s="32" t="n">
        <f aca="false">INDEX(Surface_Engine!$L$12:$L$72,$A719+1)*IF($A719&lt;$Q$699,INDEX(Surface_Engine!$Y$12:$Y$72,$A719+1),INDEX(Surface_Engine!$Y$12:$Y$72,$Q$699+1))</f>
        <v>0.544739042086981</v>
      </c>
      <c r="E719" s="32" t="n">
        <f aca="false">INDEX(Surface_Engine!$L$12:$L$72,$A719+1)*IF($A719&lt;$Q$699,INDEX(Surface_Engine!$Z$12:$Z$72,$A719+1),INDEX(Surface_Engine!$Z$12:$Z$72,$Q$699+1))</f>
        <v>0.681733777429967</v>
      </c>
      <c r="F719" s="48" t="n">
        <f aca="false">B719*(IF($A719&lt;$Q$699,INDEX(Surface_Engine!$D$12:$D$72,$A719+1)+(Surface_Engine!Q241*12)*INDEX(Surface_Engine!$F$12:$F$72,$A719+1)-(Surface_Engine!Q241*12),1000*12*INDEX(Surface_Engine!$C$12:$C$72,$A719+1)/(1+Assumptions!$B$10)^25+INDEX(Surface_Engine!$D$12:$D$72,$A719+1)))*INDEX(Surface_Engine!$B$12:$B$72,$A719+1)+F720</f>
        <v>11385.1021571403</v>
      </c>
      <c r="G719" s="48" t="n">
        <f aca="false">C719*(IF($A719&lt;$Q$699,INDEX(Surface_Engine!$D$12:$D$72,$A719+1)+(Surface_Engine!Q241*12)*INDEX(Surface_Engine!$F$12:$F$72,$A719+1)-(Surface_Engine!Q241*12),1000*12*INDEX(Surface_Engine!$C$12:$C$72,$A719+1)/(1+Assumptions!$B$10)^25+INDEX(Surface_Engine!$D$12:$D$72,$A719+1)))*INDEX(Surface_Engine!$B$12:$B$72,$A719+1)+G720</f>
        <v>15732.4569696383</v>
      </c>
      <c r="H719" s="48" t="n">
        <f aca="false">D719*(IF($A719&lt;$Q$699,INDEX(Surface_Engine!$D$12:$D$72,$A719+1)+(Surface_Engine!Q241*12)*INDEX(Surface_Engine!$F$12:$F$72,$A719+1)-(Surface_Engine!Q241*12),1000*12*INDEX(Surface_Engine!$C$12:$C$72,$A719+1)/(1+Assumptions!$B$10)^25+INDEX(Surface_Engine!$D$12:$D$72,$A719+1)))*INDEX(Surface_Engine!$B$12:$B$72,$A719+1)+H720</f>
        <v>9813.69279978032</v>
      </c>
      <c r="I719" s="48" t="n">
        <f aca="false">E719*(IF($A719&lt;$Q$699,INDEX(Surface_Engine!$D$12:$D$72,$A719+1)+(Surface_Engine!Q241*12)*INDEX(Surface_Engine!$F$12:$F$72,$A719+1)-(Surface_Engine!Q241*12),1000*12*INDEX(Surface_Engine!$C$12:$C$72,$A719+1)/(1+Assumptions!$B$10)^25+INDEX(Surface_Engine!$D$12:$D$72,$A719+1)))*INDEX(Surface_Engine!$B$12:$B$72,$A719+1)+I720</f>
        <v>13191.6956051934</v>
      </c>
      <c r="J719" s="48" t="n">
        <f aca="false">B719*(IF($A719&lt;$Q$699,INDEX(Surface_Engine!$D$12:$D$72,$A719+1)*(1+Assumptions!$B$24)+(Surface_Engine!Q241*12)*INDEX(Surface_Engine!$F$12:$F$72,$A719+1)-(Surface_Engine!Q241*12),1000*12*INDEX(Surface_Engine!$C$12:$C$72,$A719+1)/(1+Assumptions!$B$10)^25+INDEX(Surface_Engine!$D$12:$D$72,$A719+1)*(1+Assumptions!$B$24)))*INDEX(Surface_Engine!$B$12:$B$72,$A719+1)+J720</f>
        <v>11428.0983051496</v>
      </c>
      <c r="K719" s="12" t="n">
        <f aca="false">SQRT((IF(C719&lt;=0,0,MAX(0,(B719/C719)*G719/INDEX(Surface_Engine!$B$12:$B$72,$A719+1)-F719/INDEX(Surface_Engine!$B$12:$B$72,$A719+1))))^2+(MAX(IF(D719&lt;=0,0,MAX(0,(B719/D719)*H719/INDEX(Surface_Engine!$B$12:$B$72,$A719+1)-F719/INDEX(Surface_Engine!$B$12:$B$72,$A719+1))),IF(E719&lt;=0,0,MAX(0,(B719/E719)*I719/INDEX(Surface_Engine!$B$12:$B$72,$A719+1)-F719/INDEX(Surface_Engine!$B$12:$B$72,$A719+1))),IF($A719&lt;$Q$699,MAX(0,-Assumptions!$B$22*(F719/INDEX(Surface_Engine!$B$12:$B$72,$A719+1))),0)))^2+(MAX(0,J719/INDEX(Surface_Engine!$B$12:$B$72,$A719+1)-(F719/INDEX(Surface_Engine!$B$12:$B$72,$A719+1))))^2+2*Assumptions!$B$26*(IF(C719&lt;=0,0,MAX(0,(B719/C719)*G719/INDEX(Surface_Engine!$B$12:$B$72,$A719+1)-F719/INDEX(Surface_Engine!$B$12:$B$72,$A719+1))))*(MAX(IF(D719&lt;=0,0,MAX(0,(B719/D719)*H719/INDEX(Surface_Engine!$B$12:$B$72,$A719+1)-F719/INDEX(Surface_Engine!$B$12:$B$72,$A719+1))),IF(E719&lt;=0,0,MAX(0,(B719/E719)*I719/INDEX(Surface_Engine!$B$12:$B$72,$A719+1)-F719/INDEX(Surface_Engine!$B$12:$B$72,$A719+1))),IF($A719&lt;$Q$699,MAX(0,-Assumptions!$B$22*(F719/INDEX(Surface_Engine!$B$12:$B$72,$A719+1))),0)))+2*Assumptions!$B$27*(IF(C719&lt;=0,0,MAX(0,(B719/C719)*G719/INDEX(Surface_Engine!$B$12:$B$72,$A719+1)-F719/INDEX(Surface_Engine!$B$12:$B$72,$A719+1))))*(MAX(0,J719/INDEX(Surface_Engine!$B$12:$B$72,$A719+1)-(F719/INDEX(Surface_Engine!$B$12:$B$72,$A719+1))))+2*Assumptions!$B$28*(MAX(IF(D719&lt;=0,0,MAX(0,(B719/D719)*H719/INDEX(Surface_Engine!$B$12:$B$72,$A719+1)-F719/INDEX(Surface_Engine!$B$12:$B$72,$A719+1))),IF(E719&lt;=0,0,MAX(0,(B719/E719)*I719/INDEX(Surface_Engine!$B$12:$B$72,$A719+1)-F719/INDEX(Surface_Engine!$B$12:$B$72,$A719+1))),IF($A719&lt;$Q$699,MAX(0,-Assumptions!$B$22*(F719/INDEX(Surface_Engine!$B$12:$B$72,$A719+1))),0)))*(MAX(0,J719/INDEX(Surface_Engine!$B$12:$B$72,$A719+1)-(F719/INDEX(Surface_Engine!$B$12:$B$72,$A719+1)))))</f>
        <v>6386.46583489845</v>
      </c>
      <c r="L719" s="48" t="n">
        <f aca="false">K719*INDEX(Surface_Engine!$B$12:$B$72,$A719+1)+L720</f>
        <v>34082.0369211745</v>
      </c>
      <c r="M719" s="48" t="n">
        <f aca="false">M718+B718*(IF($A718&lt;$Q$699,(Surface_Engine!Q241*12)-(Surface_Engine!Q241*12)*INDEX(Surface_Engine!$F$12:$F$72,$A718+1)-INDEX(Surface_Engine!$D$12:$D$72,$A718+1),-(1000*12*INDEX(Surface_Engine!$C$12:$C$72,$A718+1)/(1+Assumptions!$B$10)^25+INDEX(Surface_Engine!$D$12:$D$72,$A718+1))))*INDEX(Surface_Engine!$B$12:$B$72,$A718+1)</f>
        <v>11908.3270166537</v>
      </c>
      <c r="N719" s="12" t="n">
        <f aca="false">IF(B719&lt;=0,0,MAX(0,(K719+Assumptions!$B$29*L719/INDEX(Surface_Engine!$B$12:$B$72,$A719+1)-(M719/INDEX(Surface_Engine!$B$12:$B$72,$A719+1)-(F719/INDEX(Surface_Engine!$B$12:$B$72,$A719+1))))/B719))</f>
        <v>14847.9741409828</v>
      </c>
    </row>
    <row r="720" customFormat="false" ht="15" hidden="false" customHeight="true" outlineLevel="0" collapsed="false">
      <c r="A720" s="1" t="n">
        <v>19</v>
      </c>
      <c r="B720" s="32" t="n">
        <f aca="false">INDEX(Surface_Engine!$L$12:$L$72,$A720+1)*IF($A720&lt;$Q$699,INDEX(Surface_Engine!$E$12:$E$72,$A720+1),INDEX(Surface_Engine!$E$12:$E$72,$Q$699+1))</f>
        <v>0.581041263644711</v>
      </c>
      <c r="C720" s="32" t="n">
        <f aca="false">INDEX(Panel_Reserving!$D$8:$D$68,$A720+1)*IF($A720&lt;$Q$699,INDEX(Surface_Engine!$E$12:$E$72,$A720+1),INDEX(Surface_Engine!$E$12:$E$72,$Q$699+1))</f>
        <v>0.618729857174277</v>
      </c>
      <c r="D720" s="32" t="n">
        <f aca="false">INDEX(Surface_Engine!$L$12:$L$72,$A720+1)*IF($A720&lt;$Q$699,INDEX(Surface_Engine!$Y$12:$Y$72,$A720+1),INDEX(Surface_Engine!$Y$12:$Y$72,$Q$699+1))</f>
        <v>0.51675177724469</v>
      </c>
      <c r="E720" s="32" t="n">
        <f aca="false">INDEX(Surface_Engine!$L$12:$L$72,$A720+1)*IF($A720&lt;$Q$699,INDEX(Surface_Engine!$Z$12:$Z$72,$A720+1),INDEX(Surface_Engine!$Z$12:$Z$72,$Q$699+1))</f>
        <v>0.65267456807395</v>
      </c>
      <c r="F720" s="48" t="n">
        <f aca="false">B720*(IF($A720&lt;$Q$699,INDEX(Surface_Engine!$D$12:$D$72,$A720+1)+(Surface_Engine!Q241*12)*INDEX(Surface_Engine!$F$12:$F$72,$A720+1)-(Surface_Engine!Q241*12),1000*12*INDEX(Surface_Engine!$C$12:$C$72,$A720+1)/(1+Assumptions!$B$10)^25+INDEX(Surface_Engine!$D$12:$D$72,$A720+1)))*INDEX(Surface_Engine!$B$12:$B$72,$A720+1)+F721</f>
        <v>11761.465084992</v>
      </c>
      <c r="G720" s="48" t="n">
        <f aca="false">C720*(IF($A720&lt;$Q$699,INDEX(Surface_Engine!$D$12:$D$72,$A720+1)+(Surface_Engine!Q241*12)*INDEX(Surface_Engine!$F$12:$F$72,$A720+1)-(Surface_Engine!Q241*12),1000*12*INDEX(Surface_Engine!$C$12:$C$72,$A720+1)/(1+Assumptions!$B$10)^25+INDEX(Surface_Engine!$D$12:$D$72,$A720+1)))*INDEX(Surface_Engine!$B$12:$B$72,$A720+1)+G721</f>
        <v>16130.0695930344</v>
      </c>
      <c r="H720" s="48" t="n">
        <f aca="false">D720*(IF($A720&lt;$Q$699,INDEX(Surface_Engine!$D$12:$D$72,$A720+1)+(Surface_Engine!Q241*12)*INDEX(Surface_Engine!$F$12:$F$72,$A720+1)-(Surface_Engine!Q241*12),1000*12*INDEX(Surface_Engine!$C$12:$C$72,$A720+1)/(1+Assumptions!$B$10)^25+INDEX(Surface_Engine!$D$12:$D$72,$A720+1)))*INDEX(Surface_Engine!$B$12:$B$72,$A720+1)+H721</f>
        <v>10149.9569905677</v>
      </c>
      <c r="I720" s="48" t="n">
        <f aca="false">E720*(IF($A720&lt;$Q$699,INDEX(Surface_Engine!$D$12:$D$72,$A720+1)+(Surface_Engine!Q241*12)*INDEX(Surface_Engine!$F$12:$F$72,$A720+1)-(Surface_Engine!Q241*12),1000*12*INDEX(Surface_Engine!$C$12:$C$72,$A720+1)/(1+Assumptions!$B$10)^25+INDEX(Surface_Engine!$D$12:$D$72,$A720+1)))*INDEX(Surface_Engine!$B$12:$B$72,$A720+1)+I721</f>
        <v>13612.525836347</v>
      </c>
      <c r="J720" s="48" t="n">
        <f aca="false">B720*(IF($A720&lt;$Q$699,INDEX(Surface_Engine!$D$12:$D$72,$A720+1)*(1+Assumptions!$B$24)+(Surface_Engine!Q241*12)*INDEX(Surface_Engine!$F$12:$F$72,$A720+1)-(Surface_Engine!Q241*12),1000*12*INDEX(Surface_Engine!$C$12:$C$72,$A720+1)/(1+Assumptions!$B$10)^25+INDEX(Surface_Engine!$D$12:$D$72,$A720+1)*(1+Assumptions!$B$24)))*INDEX(Surface_Engine!$B$12:$B$72,$A720+1)+J721</f>
        <v>11800.0110767066</v>
      </c>
      <c r="K720" s="12" t="n">
        <f aca="false">SQRT((IF(C720&lt;=0,0,MAX(0,(B720/C720)*G720/INDEX(Surface_Engine!$B$12:$B$72,$A720+1)-F720/INDEX(Surface_Engine!$B$12:$B$72,$A720+1))))^2+(MAX(IF(D720&lt;=0,0,MAX(0,(B720/D720)*H720/INDEX(Surface_Engine!$B$12:$B$72,$A720+1)-F720/INDEX(Surface_Engine!$B$12:$B$72,$A720+1))),IF(E720&lt;=0,0,MAX(0,(B720/E720)*I720/INDEX(Surface_Engine!$B$12:$B$72,$A720+1)-F720/INDEX(Surface_Engine!$B$12:$B$72,$A720+1))),IF($A720&lt;$Q$699,MAX(0,-Assumptions!$B$22*(F720/INDEX(Surface_Engine!$B$12:$B$72,$A720+1))),0)))^2+(MAX(0,J720/INDEX(Surface_Engine!$B$12:$B$72,$A720+1)-(F720/INDEX(Surface_Engine!$B$12:$B$72,$A720+1))))^2+2*Assumptions!$B$26*(IF(C720&lt;=0,0,MAX(0,(B720/C720)*G720/INDEX(Surface_Engine!$B$12:$B$72,$A720+1)-F720/INDEX(Surface_Engine!$B$12:$B$72,$A720+1))))*(MAX(IF(D720&lt;=0,0,MAX(0,(B720/D720)*H720/INDEX(Surface_Engine!$B$12:$B$72,$A720+1)-F720/INDEX(Surface_Engine!$B$12:$B$72,$A720+1))),IF(E720&lt;=0,0,MAX(0,(B720/E720)*I720/INDEX(Surface_Engine!$B$12:$B$72,$A720+1)-F720/INDEX(Surface_Engine!$B$12:$B$72,$A720+1))),IF($A720&lt;$Q$699,MAX(0,-Assumptions!$B$22*(F720/INDEX(Surface_Engine!$B$12:$B$72,$A720+1))),0)))+2*Assumptions!$B$27*(IF(C720&lt;=0,0,MAX(0,(B720/C720)*G720/INDEX(Surface_Engine!$B$12:$B$72,$A720+1)-F720/INDEX(Surface_Engine!$B$12:$B$72,$A720+1))))*(MAX(0,J720/INDEX(Surface_Engine!$B$12:$B$72,$A720+1)-(F720/INDEX(Surface_Engine!$B$12:$B$72,$A720+1))))+2*Assumptions!$B$28*(MAX(IF(D720&lt;=0,0,MAX(0,(B720/D720)*H720/INDEX(Surface_Engine!$B$12:$B$72,$A720+1)-F720/INDEX(Surface_Engine!$B$12:$B$72,$A720+1))),IF(E720&lt;=0,0,MAX(0,(B720/E720)*I720/INDEX(Surface_Engine!$B$12:$B$72,$A720+1)-F720/INDEX(Surface_Engine!$B$12:$B$72,$A720+1))),IF($A720&lt;$Q$699,MAX(0,-Assumptions!$B$22*(F720/INDEX(Surface_Engine!$B$12:$B$72,$A720+1))),0)))*(MAX(0,J720/INDEX(Surface_Engine!$B$12:$B$72,$A720+1)-(F720/INDEX(Surface_Engine!$B$12:$B$72,$A720+1)))))</f>
        <v>6337.50936704476</v>
      </c>
      <c r="L720" s="48" t="n">
        <f aca="false">K720*INDEX(Surface_Engine!$B$12:$B$72,$A720+1)+L721</f>
        <v>30437.2033044808</v>
      </c>
      <c r="M720" s="48" t="n">
        <f aca="false">M719+B719*(IF($A719&lt;$Q$699,(Surface_Engine!Q241*12)-(Surface_Engine!Q241*12)*INDEX(Surface_Engine!$F$12:$F$72,$A719+1)-INDEX(Surface_Engine!$D$12:$D$72,$A719+1),-(1000*12*INDEX(Surface_Engine!$C$12:$C$72,$A719+1)/(1+Assumptions!$B$10)^25+INDEX(Surface_Engine!$D$12:$D$72,$A719+1))))*INDEX(Surface_Engine!$B$12:$B$72,$A719+1)</f>
        <v>12284.6899445054</v>
      </c>
      <c r="N720" s="12" t="n">
        <f aca="false">IF(B720&lt;=0,0,MAX(0,(K720+Assumptions!$B$29*L720/INDEX(Surface_Engine!$B$12:$B$72,$A720+1)-(M720/INDEX(Surface_Engine!$B$12:$B$72,$A720+1)-(F720/INDEX(Surface_Engine!$B$12:$B$72,$A720+1))))/B720))</f>
        <v>14963.1323123452</v>
      </c>
    </row>
    <row r="721" customFormat="false" ht="15" hidden="false" customHeight="true" outlineLevel="0" collapsed="false">
      <c r="A721" s="1" t="n">
        <v>20</v>
      </c>
      <c r="B721" s="32" t="n">
        <f aca="false">INDEX(Surface_Engine!$L$12:$L$72,$A721+1)*IF($A721&lt;$Q$699,INDEX(Surface_Engine!$E$12:$E$72,$A721+1),INDEX(Surface_Engine!$E$12:$E$72,$Q$699+1))</f>
        <v>0.551050150890069</v>
      </c>
      <c r="C721" s="32" t="n">
        <f aca="false">INDEX(Panel_Reserving!$D$8:$D$68,$A721+1)*IF($A721&lt;$Q$699,INDEX(Surface_Engine!$E$12:$E$72,$A721+1),INDEX(Surface_Engine!$E$12:$E$72,$Q$699+1))</f>
        <v>0.592054606566772</v>
      </c>
      <c r="D721" s="32" t="n">
        <f aca="false">INDEX(Surface_Engine!$L$12:$L$72,$A721+1)*IF($A721&lt;$Q$699,INDEX(Surface_Engine!$Y$12:$Y$72,$A721+1),INDEX(Surface_Engine!$Y$12:$Y$72,$Q$699+1))</f>
        <v>0.487828702527889</v>
      </c>
      <c r="E721" s="32" t="n">
        <f aca="false">INDEX(Surface_Engine!$L$12:$L$72,$A721+1)*IF($A721&lt;$Q$699,INDEX(Surface_Engine!$Z$12:$Z$72,$A721+1),INDEX(Surface_Engine!$Z$12:$Z$72,$Q$699+1))</f>
        <v>0.621828270839461</v>
      </c>
      <c r="F721" s="48" t="n">
        <f aca="false">B721*(IF($A721&lt;$Q$699,INDEX(Surface_Engine!$D$12:$D$72,$A721+1)+(Surface_Engine!Q241*12)*INDEX(Surface_Engine!$F$12:$F$72,$A721+1)-(Surface_Engine!Q241*12),1000*12*INDEX(Surface_Engine!$C$12:$C$72,$A721+1)/(1+Assumptions!$B$10)^25+INDEX(Surface_Engine!$D$12:$D$72,$A721+1)))*INDEX(Surface_Engine!$B$12:$B$72,$A721+1)+F722</f>
        <v>12107.9154906442</v>
      </c>
      <c r="G721" s="48" t="n">
        <f aca="false">C721*(IF($A721&lt;$Q$699,INDEX(Surface_Engine!$D$12:$D$72,$A721+1)+(Surface_Engine!Q241*12)*INDEX(Surface_Engine!$F$12:$F$72,$A721+1)-(Surface_Engine!Q241*12),1000*12*INDEX(Surface_Engine!$C$12:$C$72,$A721+1)/(1+Assumptions!$B$10)^25+INDEX(Surface_Engine!$D$12:$D$72,$A721+1)))*INDEX(Surface_Engine!$B$12:$B$72,$A721+1)+G722</f>
        <v>16498.9921178523</v>
      </c>
      <c r="H721" s="48" t="n">
        <f aca="false">D721*(IF($A721&lt;$Q$699,INDEX(Surface_Engine!$D$12:$D$72,$A721+1)+(Surface_Engine!Q241*12)*INDEX(Surface_Engine!$F$12:$F$72,$A721+1)-(Surface_Engine!Q241*12),1000*12*INDEX(Surface_Engine!$C$12:$C$72,$A721+1)/(1+Assumptions!$B$10)^25+INDEX(Surface_Engine!$D$12:$D$72,$A721+1)))*INDEX(Surface_Engine!$B$12:$B$72,$A721+1)+H722</f>
        <v>10458.0742862739</v>
      </c>
      <c r="I721" s="48" t="n">
        <f aca="false">E721*(IF($A721&lt;$Q$699,INDEX(Surface_Engine!$D$12:$D$72,$A721+1)+(Surface_Engine!Q241*12)*INDEX(Surface_Engine!$F$12:$F$72,$A721+1)-(Surface_Engine!Q241*12),1000*12*INDEX(Surface_Engine!$C$12:$C$72,$A721+1)/(1+Assumptions!$B$10)^25+INDEX(Surface_Engine!$D$12:$D$72,$A721+1)))*INDEX(Surface_Engine!$B$12:$B$72,$A721+1)+I722</f>
        <v>14001.6881609808</v>
      </c>
      <c r="J721" s="48" t="n">
        <f aca="false">B721*(IF($A721&lt;$Q$699,INDEX(Surface_Engine!$D$12:$D$72,$A721+1)*(1+Assumptions!$B$24)+(Surface_Engine!Q241*12)*INDEX(Surface_Engine!$F$12:$F$72,$A721+1)-(Surface_Engine!Q241*12),1000*12*INDEX(Surface_Engine!$C$12:$C$72,$A721+1)/(1+Assumptions!$B$10)^25+INDEX(Surface_Engine!$D$12:$D$72,$A721+1)*(1+Assumptions!$B$24)))*INDEX(Surface_Engine!$B$12:$B$72,$A721+1)+J722</f>
        <v>12142.250154504</v>
      </c>
      <c r="K721" s="12" t="n">
        <f aca="false">SQRT((IF(C721&lt;=0,0,MAX(0,(B721/C721)*G721/INDEX(Surface_Engine!$B$12:$B$72,$A721+1)-F721/INDEX(Surface_Engine!$B$12:$B$72,$A721+1))))^2+(MAX(IF(D721&lt;=0,0,MAX(0,(B721/D721)*H721/INDEX(Surface_Engine!$B$12:$B$72,$A721+1)-F721/INDEX(Surface_Engine!$B$12:$B$72,$A721+1))),IF(E721&lt;=0,0,MAX(0,(B721/E721)*I721/INDEX(Surface_Engine!$B$12:$B$72,$A721+1)-F721/INDEX(Surface_Engine!$B$12:$B$72,$A721+1))),IF($A721&lt;$Q$699,MAX(0,-Assumptions!$B$22*(F721/INDEX(Surface_Engine!$B$12:$B$72,$A721+1))),0)))^2+(MAX(0,J721/INDEX(Surface_Engine!$B$12:$B$72,$A721+1)-(F721/INDEX(Surface_Engine!$B$12:$B$72,$A721+1))))^2+2*Assumptions!$B$26*(IF(C721&lt;=0,0,MAX(0,(B721/C721)*G721/INDEX(Surface_Engine!$B$12:$B$72,$A721+1)-F721/INDEX(Surface_Engine!$B$12:$B$72,$A721+1))))*(MAX(IF(D721&lt;=0,0,MAX(0,(B721/D721)*H721/INDEX(Surface_Engine!$B$12:$B$72,$A721+1)-F721/INDEX(Surface_Engine!$B$12:$B$72,$A721+1))),IF(E721&lt;=0,0,MAX(0,(B721/E721)*I721/INDEX(Surface_Engine!$B$12:$B$72,$A721+1)-F721/INDEX(Surface_Engine!$B$12:$B$72,$A721+1))),IF($A721&lt;$Q$699,MAX(0,-Assumptions!$B$22*(F721/INDEX(Surface_Engine!$B$12:$B$72,$A721+1))),0)))+2*Assumptions!$B$27*(IF(C721&lt;=0,0,MAX(0,(B721/C721)*G721/INDEX(Surface_Engine!$B$12:$B$72,$A721+1)-F721/INDEX(Surface_Engine!$B$12:$B$72,$A721+1))))*(MAX(0,J721/INDEX(Surface_Engine!$B$12:$B$72,$A721+1)-(F721/INDEX(Surface_Engine!$B$12:$B$72,$A721+1))))+2*Assumptions!$B$28*(MAX(IF(D721&lt;=0,0,MAX(0,(B721/D721)*H721/INDEX(Surface_Engine!$B$12:$B$72,$A721+1)-F721/INDEX(Surface_Engine!$B$12:$B$72,$A721+1))),IF(E721&lt;=0,0,MAX(0,(B721/E721)*I721/INDEX(Surface_Engine!$B$12:$B$72,$A721+1)-F721/INDEX(Surface_Engine!$B$12:$B$72,$A721+1))),IF($A721&lt;$Q$699,MAX(0,-Assumptions!$B$22*(F721/INDEX(Surface_Engine!$B$12:$B$72,$A721+1))),0)))*(MAX(0,J721/INDEX(Surface_Engine!$B$12:$B$72,$A721+1)-(F721/INDEX(Surface_Engine!$B$12:$B$72,$A721+1)))))</f>
        <v>6244.95507485148</v>
      </c>
      <c r="L721" s="48" t="n">
        <f aca="false">K721*INDEX(Surface_Engine!$B$12:$B$72,$A721+1)+L722</f>
        <v>26933.2089591879</v>
      </c>
      <c r="M721" s="48" t="n">
        <f aca="false">M720+B720*(IF($A720&lt;$Q$699,(Surface_Engine!Q241*12)-(Surface_Engine!Q241*12)*INDEX(Surface_Engine!$F$12:$F$72,$A720+1)-INDEX(Surface_Engine!$D$12:$D$72,$A720+1),-(1000*12*INDEX(Surface_Engine!$C$12:$C$72,$A720+1)/(1+Assumptions!$B$10)^25+INDEX(Surface_Engine!$D$12:$D$72,$A720+1))))*INDEX(Surface_Engine!$B$12:$B$72,$A720+1)</f>
        <v>12631.1403501577</v>
      </c>
      <c r="N721" s="12" t="n">
        <f aca="false">IF(B721&lt;=0,0,MAX(0,(K721+Assumptions!$B$29*L721/INDEX(Surface_Engine!$B$12:$B$72,$A721+1)-(M721/INDEX(Surface_Engine!$B$12:$B$72,$A721+1)-(F721/INDEX(Surface_Engine!$B$12:$B$72,$A721+1))))/B721))</f>
        <v>15033.8427441783</v>
      </c>
    </row>
    <row r="722" customFormat="false" ht="15" hidden="false" customHeight="true" outlineLevel="0" collapsed="false">
      <c r="A722" s="1" t="n">
        <v>21</v>
      </c>
      <c r="B722" s="32" t="n">
        <f aca="false">INDEX(Surface_Engine!$L$12:$L$72,$A722+1)*IF($A722&lt;$Q$699,INDEX(Surface_Engine!$E$12:$E$72,$A722+1),INDEX(Surface_Engine!$E$12:$E$72,$Q$699+1))</f>
        <v>0.518910542148886</v>
      </c>
      <c r="C722" s="32" t="n">
        <f aca="false">INDEX(Panel_Reserving!$D$8:$D$68,$A722+1)*IF($A722&lt;$Q$699,INDEX(Surface_Engine!$E$12:$E$72,$A722+1),INDEX(Surface_Engine!$E$12:$E$72,$Q$699+1))</f>
        <v>0.563352135582333</v>
      </c>
      <c r="D722" s="32" t="n">
        <f aca="false">INDEX(Surface_Engine!$L$12:$L$72,$A722+1)*IF($A722&lt;$Q$699,INDEX(Surface_Engine!$Y$12:$Y$72,$A722+1),INDEX(Surface_Engine!$Y$12:$Y$72,$Q$699+1))</f>
        <v>0.45726708190905</v>
      </c>
      <c r="E722" s="32" t="n">
        <f aca="false">INDEX(Surface_Engine!$L$12:$L$72,$A722+1)*IF($A722&lt;$Q$699,INDEX(Surface_Engine!$Z$12:$Z$72,$A722+1),INDEX(Surface_Engine!$Z$12:$Z$72,$Q$699+1))</f>
        <v>0.5882493469378</v>
      </c>
      <c r="F722" s="48" t="n">
        <f aca="false">B722*(IF($A722&lt;$Q$699,INDEX(Surface_Engine!$D$12:$D$72,$A722+1)+(Surface_Engine!Q241*12)*INDEX(Surface_Engine!$F$12:$F$72,$A722+1)-(Surface_Engine!Q241*12),1000*12*INDEX(Surface_Engine!$C$12:$C$72,$A722+1)/(1+Assumptions!$B$10)^25+INDEX(Surface_Engine!$D$12:$D$72,$A722+1)))*INDEX(Surface_Engine!$B$12:$B$72,$A722+1)+F723</f>
        <v>12425.364685344</v>
      </c>
      <c r="G722" s="48" t="n">
        <f aca="false">C722*(IF($A722&lt;$Q$699,INDEX(Surface_Engine!$D$12:$D$72,$A722+1)+(Surface_Engine!Q241*12)*INDEX(Surface_Engine!$F$12:$F$72,$A722+1)-(Surface_Engine!Q241*12),1000*12*INDEX(Surface_Engine!$C$12:$C$72,$A722+1)/(1+Assumptions!$B$10)^25+INDEX(Surface_Engine!$D$12:$D$72,$A722+1)))*INDEX(Surface_Engine!$B$12:$B$72,$A722+1)+G723</f>
        <v>16840.0631760297</v>
      </c>
      <c r="H722" s="48" t="n">
        <f aca="false">D722*(IF($A722&lt;$Q$699,INDEX(Surface_Engine!$D$12:$D$72,$A722+1)+(Surface_Engine!Q241*12)*INDEX(Surface_Engine!$F$12:$F$72,$A722+1)-(Surface_Engine!Q241*12),1000*12*INDEX(Surface_Engine!$C$12:$C$72,$A722+1)/(1+Assumptions!$B$10)^25+INDEX(Surface_Engine!$D$12:$D$72,$A722+1)))*INDEX(Surface_Engine!$B$12:$B$72,$A722+1)+H723</f>
        <v>10739.1028433277</v>
      </c>
      <c r="I722" s="48" t="n">
        <f aca="false">E722*(IF($A722&lt;$Q$699,INDEX(Surface_Engine!$D$12:$D$72,$A722+1)+(Surface_Engine!Q241*12)*INDEX(Surface_Engine!$F$12:$F$72,$A722+1)-(Surface_Engine!Q241*12),1000*12*INDEX(Surface_Engine!$C$12:$C$72,$A722+1)/(1+Assumptions!$B$10)^25+INDEX(Surface_Engine!$D$12:$D$72,$A722+1)))*INDEX(Surface_Engine!$B$12:$B$72,$A722+1)+I723</f>
        <v>14359.9112437631</v>
      </c>
      <c r="J722" s="48" t="n">
        <f aca="false">B722*(IF($A722&lt;$Q$699,INDEX(Surface_Engine!$D$12:$D$72,$A722+1)*(1+Assumptions!$B$24)+(Surface_Engine!Q241*12)*INDEX(Surface_Engine!$F$12:$F$72,$A722+1)-(Surface_Engine!Q241*12),1000*12*INDEX(Surface_Engine!$C$12:$C$72,$A722+1)/(1+Assumptions!$B$10)^25+INDEX(Surface_Engine!$D$12:$D$72,$A722+1)*(1+Assumptions!$B$24)))*INDEX(Surface_Engine!$B$12:$B$72,$A722+1)+J723</f>
        <v>12455.7320234132</v>
      </c>
      <c r="K722" s="12" t="n">
        <f aca="false">SQRT((IF(C722&lt;=0,0,MAX(0,(B722/C722)*G722/INDEX(Surface_Engine!$B$12:$B$72,$A722+1)-F722/INDEX(Surface_Engine!$B$12:$B$72,$A722+1))))^2+(MAX(IF(D722&lt;=0,0,MAX(0,(B722/D722)*H722/INDEX(Surface_Engine!$B$12:$B$72,$A722+1)-F722/INDEX(Surface_Engine!$B$12:$B$72,$A722+1))),IF(E722&lt;=0,0,MAX(0,(B722/E722)*I722/INDEX(Surface_Engine!$B$12:$B$72,$A722+1)-F722/INDEX(Surface_Engine!$B$12:$B$72,$A722+1))),IF($A722&lt;$Q$699,MAX(0,-Assumptions!$B$22*(F722/INDEX(Surface_Engine!$B$12:$B$72,$A722+1))),0)))^2+(MAX(0,J722/INDEX(Surface_Engine!$B$12:$B$72,$A722+1)-(F722/INDEX(Surface_Engine!$B$12:$B$72,$A722+1))))^2+2*Assumptions!$B$26*(IF(C722&lt;=0,0,MAX(0,(B722/C722)*G722/INDEX(Surface_Engine!$B$12:$B$72,$A722+1)-F722/INDEX(Surface_Engine!$B$12:$B$72,$A722+1))))*(MAX(IF(D722&lt;=0,0,MAX(0,(B722/D722)*H722/INDEX(Surface_Engine!$B$12:$B$72,$A722+1)-F722/INDEX(Surface_Engine!$B$12:$B$72,$A722+1))),IF(E722&lt;=0,0,MAX(0,(B722/E722)*I722/INDEX(Surface_Engine!$B$12:$B$72,$A722+1)-F722/INDEX(Surface_Engine!$B$12:$B$72,$A722+1))),IF($A722&lt;$Q$699,MAX(0,-Assumptions!$B$22*(F722/INDEX(Surface_Engine!$B$12:$B$72,$A722+1))),0)))+2*Assumptions!$B$27*(IF(C722&lt;=0,0,MAX(0,(B722/C722)*G722/INDEX(Surface_Engine!$B$12:$B$72,$A722+1)-F722/INDEX(Surface_Engine!$B$12:$B$72,$A722+1))))*(MAX(0,J722/INDEX(Surface_Engine!$B$12:$B$72,$A722+1)-(F722/INDEX(Surface_Engine!$B$12:$B$72,$A722+1))))+2*Assumptions!$B$28*(MAX(IF(D722&lt;=0,0,MAX(0,(B722/D722)*H722/INDEX(Surface_Engine!$B$12:$B$72,$A722+1)-F722/INDEX(Surface_Engine!$B$12:$B$72,$A722+1))),IF(E722&lt;=0,0,MAX(0,(B722/E722)*I722/INDEX(Surface_Engine!$B$12:$B$72,$A722+1)-F722/INDEX(Surface_Engine!$B$12:$B$72,$A722+1))),IF($A722&lt;$Q$699,MAX(0,-Assumptions!$B$22*(F722/INDEX(Surface_Engine!$B$12:$B$72,$A722+1))),0)))*(MAX(0,J722/INDEX(Surface_Engine!$B$12:$B$72,$A722+1)-(F722/INDEX(Surface_Engine!$B$12:$B$72,$A722+1)))))</f>
        <v>6093.62668338752</v>
      </c>
      <c r="L722" s="48" t="n">
        <f aca="false">K722*INDEX(Surface_Engine!$B$12:$B$72,$A722+1)+L723</f>
        <v>23587.0628680774</v>
      </c>
      <c r="M722" s="48" t="n">
        <f aca="false">M721+B721*(IF($A721&lt;$Q$699,(Surface_Engine!Q241*12)-(Surface_Engine!Q241*12)*INDEX(Surface_Engine!$F$12:$F$72,$A721+1)-INDEX(Surface_Engine!$D$12:$D$72,$A721+1),-(1000*12*INDEX(Surface_Engine!$C$12:$C$72,$A721+1)/(1+Assumptions!$B$10)^25+INDEX(Surface_Engine!$D$12:$D$72,$A721+1))))*INDEX(Surface_Engine!$B$12:$B$72,$A721+1)</f>
        <v>12948.5895448574</v>
      </c>
      <c r="N722" s="12" t="n">
        <f aca="false">IF(B722&lt;=0,0,MAX(0,(K722+Assumptions!$B$29*L722/INDEX(Surface_Engine!$B$12:$B$72,$A722+1)-(M722/INDEX(Surface_Engine!$B$12:$B$72,$A722+1)-(F722/INDEX(Surface_Engine!$B$12:$B$72,$A722+1))))/B722))</f>
        <v>15053.6181230651</v>
      </c>
    </row>
    <row r="723" customFormat="false" ht="15" hidden="false" customHeight="true" outlineLevel="0" collapsed="false">
      <c r="A723" s="1" t="n">
        <v>22</v>
      </c>
      <c r="B723" s="32" t="n">
        <f aca="false">INDEX(Surface_Engine!$L$12:$L$72,$A723+1)*IF($A723&lt;$Q$699,INDEX(Surface_Engine!$E$12:$E$72,$A723+1),INDEX(Surface_Engine!$E$12:$E$72,$Q$699+1))</f>
        <v>0.485216298348255</v>
      </c>
      <c r="C723" s="32" t="n">
        <f aca="false">INDEX(Panel_Reserving!$D$8:$D$68,$A723+1)*IF($A723&lt;$Q$699,INDEX(Surface_Engine!$E$12:$E$72,$A723+1),INDEX(Surface_Engine!$E$12:$E$72,$Q$699+1))</f>
        <v>0.533062870817235</v>
      </c>
      <c r="D723" s="32" t="n">
        <f aca="false">INDEX(Surface_Engine!$L$12:$L$72,$A723+1)*IF($A723&lt;$Q$699,INDEX(Surface_Engine!$Y$12:$Y$72,$A723+1),INDEX(Surface_Engine!$Y$12:$Y$72,$Q$699+1))</f>
        <v>0.425612177262296</v>
      </c>
      <c r="E723" s="32" t="n">
        <f aca="false">INDEX(Surface_Engine!$L$12:$L$72,$A723+1)*IF($A723&lt;$Q$699,INDEX(Surface_Engine!$Z$12:$Z$72,$A723+1),INDEX(Surface_Engine!$Z$12:$Z$72,$Q$699+1))</f>
        <v>0.552578473935241</v>
      </c>
      <c r="F723" s="48" t="n">
        <f aca="false">B723*(IF($A723&lt;$Q$699,INDEX(Surface_Engine!$D$12:$D$72,$A723+1)+(Surface_Engine!Q241*12)*INDEX(Surface_Engine!$F$12:$F$72,$A723+1)-(Surface_Engine!Q241*12),1000*12*INDEX(Surface_Engine!$C$12:$C$72,$A723+1)/(1+Assumptions!$B$10)^25+INDEX(Surface_Engine!$D$12:$D$72,$A723+1)))*INDEX(Surface_Engine!$B$12:$B$72,$A723+1)+F724</f>
        <v>12714.1525585712</v>
      </c>
      <c r="G723" s="48" t="n">
        <f aca="false">C723*(IF($A723&lt;$Q$699,INDEX(Surface_Engine!$D$12:$D$72,$A723+1)+(Surface_Engine!Q241*12)*INDEX(Surface_Engine!$F$12:$F$72,$A723+1)-(Surface_Engine!Q241*12),1000*12*INDEX(Surface_Engine!$C$12:$C$72,$A723+1)/(1+Assumptions!$B$10)^25+INDEX(Surface_Engine!$D$12:$D$72,$A723+1)))*INDEX(Surface_Engine!$B$12:$B$72,$A723+1)+G724</f>
        <v>17153.5840084243</v>
      </c>
      <c r="H723" s="48" t="n">
        <f aca="false">D723*(IF($A723&lt;$Q$699,INDEX(Surface_Engine!$D$12:$D$72,$A723+1)+(Surface_Engine!Q241*12)*INDEX(Surface_Engine!$F$12:$F$72,$A723+1)-(Surface_Engine!Q241*12),1000*12*INDEX(Surface_Engine!$C$12:$C$72,$A723+1)/(1+Assumptions!$B$10)^25+INDEX(Surface_Engine!$D$12:$D$72,$A723+1)))*INDEX(Surface_Engine!$B$12:$B$72,$A723+1)+H724</f>
        <v>10993.5844492216</v>
      </c>
      <c r="I723" s="48" t="n">
        <f aca="false">E723*(IF($A723&lt;$Q$699,INDEX(Surface_Engine!$D$12:$D$72,$A723+1)+(Surface_Engine!Q241*12)*INDEX(Surface_Engine!$F$12:$F$72,$A723+1)-(Surface_Engine!Q241*12),1000*12*INDEX(Surface_Engine!$C$12:$C$72,$A723+1)/(1+Assumptions!$B$10)^25+INDEX(Surface_Engine!$D$12:$D$72,$A723+1)))*INDEX(Surface_Engine!$B$12:$B$72,$A723+1)+I724</f>
        <v>14687.2880535038</v>
      </c>
      <c r="J723" s="48" t="n">
        <f aca="false">B723*(IF($A723&lt;$Q$699,INDEX(Surface_Engine!$D$12:$D$72,$A723+1)*(1+Assumptions!$B$24)+(Surface_Engine!Q241*12)*INDEX(Surface_Engine!$F$12:$F$72,$A723+1)-(Surface_Engine!Q241*12),1000*12*INDEX(Surface_Engine!$C$12:$C$72,$A723+1)/(1+Assumptions!$B$10)^25+INDEX(Surface_Engine!$D$12:$D$72,$A723+1)*(1+Assumptions!$B$24)))*INDEX(Surface_Engine!$B$12:$B$72,$A723+1)+J724</f>
        <v>12740.808943434</v>
      </c>
      <c r="K723" s="12" t="n">
        <f aca="false">SQRT((IF(C723&lt;=0,0,MAX(0,(B723/C723)*G723/INDEX(Surface_Engine!$B$12:$B$72,$A723+1)-F723/INDEX(Surface_Engine!$B$12:$B$72,$A723+1))))^2+(MAX(IF(D723&lt;=0,0,MAX(0,(B723/D723)*H723/INDEX(Surface_Engine!$B$12:$B$72,$A723+1)-F723/INDEX(Surface_Engine!$B$12:$B$72,$A723+1))),IF(E723&lt;=0,0,MAX(0,(B723/E723)*I723/INDEX(Surface_Engine!$B$12:$B$72,$A723+1)-F723/INDEX(Surface_Engine!$B$12:$B$72,$A723+1))),IF($A723&lt;$Q$699,MAX(0,-Assumptions!$B$22*(F723/INDEX(Surface_Engine!$B$12:$B$72,$A723+1))),0)))^2+(MAX(0,J723/INDEX(Surface_Engine!$B$12:$B$72,$A723+1)-(F723/INDEX(Surface_Engine!$B$12:$B$72,$A723+1))))^2+2*Assumptions!$B$26*(IF(C723&lt;=0,0,MAX(0,(B723/C723)*G723/INDEX(Surface_Engine!$B$12:$B$72,$A723+1)-F723/INDEX(Surface_Engine!$B$12:$B$72,$A723+1))))*(MAX(IF(D723&lt;=0,0,MAX(0,(B723/D723)*H723/INDEX(Surface_Engine!$B$12:$B$72,$A723+1)-F723/INDEX(Surface_Engine!$B$12:$B$72,$A723+1))),IF(E723&lt;=0,0,MAX(0,(B723/E723)*I723/INDEX(Surface_Engine!$B$12:$B$72,$A723+1)-F723/INDEX(Surface_Engine!$B$12:$B$72,$A723+1))),IF($A723&lt;$Q$699,MAX(0,-Assumptions!$B$22*(F723/INDEX(Surface_Engine!$B$12:$B$72,$A723+1))),0)))+2*Assumptions!$B$27*(IF(C723&lt;=0,0,MAX(0,(B723/C723)*G723/INDEX(Surface_Engine!$B$12:$B$72,$A723+1)-F723/INDEX(Surface_Engine!$B$12:$B$72,$A723+1))))*(MAX(0,J723/INDEX(Surface_Engine!$B$12:$B$72,$A723+1)-(F723/INDEX(Surface_Engine!$B$12:$B$72,$A723+1))))+2*Assumptions!$B$28*(MAX(IF(D723&lt;=0,0,MAX(0,(B723/D723)*H723/INDEX(Surface_Engine!$B$12:$B$72,$A723+1)-F723/INDEX(Surface_Engine!$B$12:$B$72,$A723+1))),IF(E723&lt;=0,0,MAX(0,(B723/E723)*I723/INDEX(Surface_Engine!$B$12:$B$72,$A723+1)-F723/INDEX(Surface_Engine!$B$12:$B$72,$A723+1))),IF($A723&lt;$Q$699,MAX(0,-Assumptions!$B$22*(F723/INDEX(Surface_Engine!$B$12:$B$72,$A723+1))),0)))*(MAX(0,J723/INDEX(Surface_Engine!$B$12:$B$72,$A723+1)-(F723/INDEX(Surface_Engine!$B$12:$B$72,$A723+1)))))</f>
        <v>5878.94090704197</v>
      </c>
      <c r="L723" s="48" t="n">
        <f aca="false">K723*INDEX(Surface_Engine!$B$12:$B$72,$A723+1)+L724</f>
        <v>20422.9366236247</v>
      </c>
      <c r="M723" s="48" t="n">
        <f aca="false">M722+B722*(IF($A722&lt;$Q$699,(Surface_Engine!Q241*12)-(Surface_Engine!Q241*12)*INDEX(Surface_Engine!$F$12:$F$72,$A722+1)-INDEX(Surface_Engine!$D$12:$D$72,$A722+1),-(1000*12*INDEX(Surface_Engine!$C$12:$C$72,$A722+1)/(1+Assumptions!$B$10)^25+INDEX(Surface_Engine!$D$12:$D$72,$A722+1))))*INDEX(Surface_Engine!$B$12:$B$72,$A722+1)</f>
        <v>13237.3774180846</v>
      </c>
      <c r="N723" s="12" t="n">
        <f aca="false">IF(B723&lt;=0,0,MAX(0,(K723+Assumptions!$B$29*L723/INDEX(Surface_Engine!$B$12:$B$72,$A723+1)-(M723/INDEX(Surface_Engine!$B$12:$B$72,$A723+1)-(F723/INDEX(Surface_Engine!$B$12:$B$72,$A723+1))))/B723))</f>
        <v>14991.9555870551</v>
      </c>
    </row>
    <row r="724" customFormat="false" ht="15" hidden="false" customHeight="true" outlineLevel="0" collapsed="false">
      <c r="A724" s="1" t="n">
        <v>23</v>
      </c>
      <c r="B724" s="32" t="n">
        <f aca="false">INDEX(Surface_Engine!$L$12:$L$72,$A724+1)*IF($A724&lt;$Q$699,INDEX(Surface_Engine!$E$12:$E$72,$A724+1),INDEX(Surface_Engine!$E$12:$E$72,$Q$699+1))</f>
        <v>0.450077540123967</v>
      </c>
      <c r="C724" s="32" t="n">
        <f aca="false">INDEX(Panel_Reserving!$D$8:$D$68,$A724+1)*IF($A724&lt;$Q$699,INDEX(Surface_Engine!$E$12:$E$72,$A724+1),INDEX(Surface_Engine!$E$12:$E$72,$Q$699+1))</f>
        <v>0.50120969860393</v>
      </c>
      <c r="D724" s="32" t="n">
        <f aca="false">INDEX(Surface_Engine!$L$12:$L$72,$A724+1)*IF($A724&lt;$Q$699,INDEX(Surface_Engine!$Y$12:$Y$72,$A724+1),INDEX(Surface_Engine!$Y$12:$Y$72,$Q$699+1))</f>
        <v>0.39297708470994</v>
      </c>
      <c r="E724" s="32" t="n">
        <f aca="false">INDEX(Surface_Engine!$L$12:$L$72,$A724+1)*IF($A724&lt;$Q$699,INDEX(Surface_Engine!$Z$12:$Z$72,$A724+1),INDEX(Surface_Engine!$Z$12:$Z$72,$Q$699+1))</f>
        <v>0.51491500311645</v>
      </c>
      <c r="F724" s="48" t="n">
        <f aca="false">B724*(IF($A724&lt;$Q$699,INDEX(Surface_Engine!$D$12:$D$72,$A724+1)+(Surface_Engine!Q241*12)*INDEX(Surface_Engine!$F$12:$F$72,$A724+1)-(Surface_Engine!Q241*12),1000*12*INDEX(Surface_Engine!$C$12:$C$72,$A724+1)/(1+Assumptions!$B$10)^25+INDEX(Surface_Engine!$D$12:$D$72,$A724+1)))*INDEX(Surface_Engine!$B$12:$B$72,$A724+1)+F725</f>
        <v>12974.9950693361</v>
      </c>
      <c r="G724" s="48" t="n">
        <f aca="false">C724*(IF($A724&lt;$Q$699,INDEX(Surface_Engine!$D$12:$D$72,$A724+1)+(Surface_Engine!Q241*12)*INDEX(Surface_Engine!$F$12:$F$72,$A724+1)-(Surface_Engine!Q241*12),1000*12*INDEX(Surface_Engine!$C$12:$C$72,$A724+1)/(1+Assumptions!$B$10)^25+INDEX(Surface_Engine!$D$12:$D$72,$A724+1)))*INDEX(Surface_Engine!$B$12:$B$72,$A724+1)+G725</f>
        <v>17440.14787302</v>
      </c>
      <c r="H724" s="48" t="n">
        <f aca="false">D724*(IF($A724&lt;$Q$699,INDEX(Surface_Engine!$D$12:$D$72,$A724+1)+(Surface_Engine!Q241*12)*INDEX(Surface_Engine!$F$12:$F$72,$A724+1)-(Surface_Engine!Q241*12),1000*12*INDEX(Surface_Engine!$C$12:$C$72,$A724+1)/(1+Assumptions!$B$10)^25+INDEX(Surface_Engine!$D$12:$D$72,$A724+1)))*INDEX(Surface_Engine!$B$12:$B$72,$A724+1)+H725</f>
        <v>11222.3849847913</v>
      </c>
      <c r="I724" s="48" t="n">
        <f aca="false">E724*(IF($A724&lt;$Q$699,INDEX(Surface_Engine!$D$12:$D$72,$A724+1)+(Surface_Engine!Q241*12)*INDEX(Surface_Engine!$F$12:$F$72,$A724+1)-(Surface_Engine!Q241*12),1000*12*INDEX(Surface_Engine!$C$12:$C$72,$A724+1)/(1+Assumptions!$B$10)^25+INDEX(Surface_Engine!$D$12:$D$72,$A724+1)))*INDEX(Surface_Engine!$B$12:$B$72,$A724+1)+I725</f>
        <v>14984.3431133329</v>
      </c>
      <c r="J724" s="48" t="n">
        <f aca="false">B724*(IF($A724&lt;$Q$699,INDEX(Surface_Engine!$D$12:$D$72,$A724+1)*(1+Assumptions!$B$24)+(Surface_Engine!Q241*12)*INDEX(Surface_Engine!$F$12:$F$72,$A724+1)-(Surface_Engine!Q241*12),1000*12*INDEX(Surface_Engine!$C$12:$C$72,$A724+1)/(1+Assumptions!$B$10)^25+INDEX(Surface_Engine!$D$12:$D$72,$A724+1)*(1+Assumptions!$B$24)))*INDEX(Surface_Engine!$B$12:$B$72,$A724+1)+J725</f>
        <v>12998.2047327181</v>
      </c>
      <c r="K724" s="12" t="n">
        <f aca="false">SQRT((IF(C724&lt;=0,0,MAX(0,(B724/C724)*G724/INDEX(Surface_Engine!$B$12:$B$72,$A724+1)-F724/INDEX(Surface_Engine!$B$12:$B$72,$A724+1))))^2+(MAX(IF(D724&lt;=0,0,MAX(0,(B724/D724)*H724/INDEX(Surface_Engine!$B$12:$B$72,$A724+1)-F724/INDEX(Surface_Engine!$B$12:$B$72,$A724+1))),IF(E724&lt;=0,0,MAX(0,(B724/E724)*I724/INDEX(Surface_Engine!$B$12:$B$72,$A724+1)-F724/INDEX(Surface_Engine!$B$12:$B$72,$A724+1))),IF($A724&lt;$Q$699,MAX(0,-Assumptions!$B$22*(F724/INDEX(Surface_Engine!$B$12:$B$72,$A724+1))),0)))^2+(MAX(0,J724/INDEX(Surface_Engine!$B$12:$B$72,$A724+1)-(F724/INDEX(Surface_Engine!$B$12:$B$72,$A724+1))))^2+2*Assumptions!$B$26*(IF(C724&lt;=0,0,MAX(0,(B724/C724)*G724/INDEX(Surface_Engine!$B$12:$B$72,$A724+1)-F724/INDEX(Surface_Engine!$B$12:$B$72,$A724+1))))*(MAX(IF(D724&lt;=0,0,MAX(0,(B724/D724)*H724/INDEX(Surface_Engine!$B$12:$B$72,$A724+1)-F724/INDEX(Surface_Engine!$B$12:$B$72,$A724+1))),IF(E724&lt;=0,0,MAX(0,(B724/E724)*I724/INDEX(Surface_Engine!$B$12:$B$72,$A724+1)-F724/INDEX(Surface_Engine!$B$12:$B$72,$A724+1))),IF($A724&lt;$Q$699,MAX(0,-Assumptions!$B$22*(F724/INDEX(Surface_Engine!$B$12:$B$72,$A724+1))),0)))+2*Assumptions!$B$27*(IF(C724&lt;=0,0,MAX(0,(B724/C724)*G724/INDEX(Surface_Engine!$B$12:$B$72,$A724+1)-F724/INDEX(Surface_Engine!$B$12:$B$72,$A724+1))))*(MAX(0,J724/INDEX(Surface_Engine!$B$12:$B$72,$A724+1)-(F724/INDEX(Surface_Engine!$B$12:$B$72,$A724+1))))+2*Assumptions!$B$28*(MAX(IF(D724&lt;=0,0,MAX(0,(B724/D724)*H724/INDEX(Surface_Engine!$B$12:$B$72,$A724+1)-F724/INDEX(Surface_Engine!$B$12:$B$72,$A724+1))),IF(E724&lt;=0,0,MAX(0,(B724/E724)*I724/INDEX(Surface_Engine!$B$12:$B$72,$A724+1)-F724/INDEX(Surface_Engine!$B$12:$B$72,$A724+1))),IF($A724&lt;$Q$699,MAX(0,-Assumptions!$B$22*(F724/INDEX(Surface_Engine!$B$12:$B$72,$A724+1))),0)))*(MAX(0,J724/INDEX(Surface_Engine!$B$12:$B$72,$A724+1)-(F724/INDEX(Surface_Engine!$B$12:$B$72,$A724+1)))))</f>
        <v>5589.49251937599</v>
      </c>
      <c r="L724" s="48" t="n">
        <f aca="false">K724*INDEX(Surface_Engine!$B$12:$B$72,$A724+1)+L725</f>
        <v>17464.7129088224</v>
      </c>
      <c r="M724" s="48" t="n">
        <f aca="false">M723+B723*(IF($A723&lt;$Q$699,(Surface_Engine!Q241*12)-(Surface_Engine!Q241*12)*INDEX(Surface_Engine!$F$12:$F$72,$A723+1)-INDEX(Surface_Engine!$D$12:$D$72,$A723+1),-(1000*12*INDEX(Surface_Engine!$C$12:$C$72,$A723+1)/(1+Assumptions!$B$10)^25+INDEX(Surface_Engine!$D$12:$D$72,$A723+1))))*INDEX(Surface_Engine!$B$12:$B$72,$A723+1)</f>
        <v>13498.2199288495</v>
      </c>
      <c r="N724" s="12" t="n">
        <f aca="false">IF(B724&lt;=0,0,MAX(0,(K724+Assumptions!$B$29*L724/INDEX(Surface_Engine!$B$12:$B$72,$A724+1)-(M724/INDEX(Surface_Engine!$B$12:$B$72,$A724+1)-(F724/INDEX(Surface_Engine!$B$12:$B$72,$A724+1))))/B724))</f>
        <v>14809.5793881203</v>
      </c>
    </row>
    <row r="725" customFormat="false" ht="15" hidden="false" customHeight="true" outlineLevel="0" collapsed="false">
      <c r="A725" s="1" t="n">
        <v>24</v>
      </c>
      <c r="B725" s="32" t="n">
        <f aca="false">INDEX(Surface_Engine!$L$12:$L$72,$A725+1)*IF($A725&lt;$Q$699,INDEX(Surface_Engine!$E$12:$E$72,$A725+1),INDEX(Surface_Engine!$E$12:$E$72,$Q$699+1))</f>
        <v>0.413679700417672</v>
      </c>
      <c r="C725" s="32" t="n">
        <f aca="false">INDEX(Panel_Reserving!$D$8:$D$68,$A725+1)*IF($A725&lt;$Q$699,INDEX(Surface_Engine!$E$12:$E$72,$A725+1),INDEX(Surface_Engine!$E$12:$E$72,$Q$699+1))</f>
        <v>0.467871172787969</v>
      </c>
      <c r="D725" s="32" t="n">
        <f aca="false">INDEX(Surface_Engine!$L$12:$L$72,$A725+1)*IF($A725&lt;$Q$699,INDEX(Surface_Engine!$Y$12:$Y$72,$A725+1),INDEX(Surface_Engine!$Y$12:$Y$72,$Q$699+1))</f>
        <v>0.359538428684907</v>
      </c>
      <c r="E725" s="32" t="n">
        <f aca="false">INDEX(Surface_Engine!$L$12:$L$72,$A725+1)*IF($A725&lt;$Q$699,INDEX(Surface_Engine!$Z$12:$Z$72,$A725+1),INDEX(Surface_Engine!$Z$12:$Z$72,$Q$699+1))</f>
        <v>0.475446919245159</v>
      </c>
      <c r="F725" s="48" t="n">
        <f aca="false">B725*(IF($A725&lt;$Q$699,INDEX(Surface_Engine!$D$12:$D$72,$A725+1)+(Surface_Engine!Q241*12)*INDEX(Surface_Engine!$F$12:$F$72,$A725+1)-(Surface_Engine!Q241*12),1000*12*INDEX(Surface_Engine!$C$12:$C$72,$A725+1)/(1+Assumptions!$B$10)^25+INDEX(Surface_Engine!$D$12:$D$72,$A725+1)))*INDEX(Surface_Engine!$B$12:$B$72,$A725+1)+F726</f>
        <v>13208.6843707281</v>
      </c>
      <c r="G725" s="48" t="n">
        <f aca="false">C725*(IF($A725&lt;$Q$699,INDEX(Surface_Engine!$D$12:$D$72,$A725+1)+(Surface_Engine!Q241*12)*INDEX(Surface_Engine!$F$12:$F$72,$A725+1)-(Surface_Engine!Q241*12),1000*12*INDEX(Surface_Engine!$C$12:$C$72,$A725+1)/(1+Assumptions!$B$10)^25+INDEX(Surface_Engine!$D$12:$D$72,$A725+1)))*INDEX(Surface_Engine!$B$12:$B$72,$A725+1)+G726</f>
        <v>17700.3860183969</v>
      </c>
      <c r="H725" s="48" t="n">
        <f aca="false">D725*(IF($A725&lt;$Q$699,INDEX(Surface_Engine!$D$12:$D$72,$A725+1)+(Surface_Engine!Q241*12)*INDEX(Surface_Engine!$F$12:$F$72,$A725+1)-(Surface_Engine!Q241*12),1000*12*INDEX(Surface_Engine!$C$12:$C$72,$A725+1)/(1+Assumptions!$B$10)^25+INDEX(Surface_Engine!$D$12:$D$72,$A725+1)))*INDEX(Surface_Engine!$B$12:$B$72,$A725+1)+H726</f>
        <v>11426.4265825205</v>
      </c>
      <c r="I725" s="48" t="n">
        <f aca="false">E725*(IF($A725&lt;$Q$699,INDEX(Surface_Engine!$D$12:$D$72,$A725+1)+(Surface_Engine!Q241*12)*INDEX(Surface_Engine!$F$12:$F$72,$A725+1)-(Surface_Engine!Q241*12),1000*12*INDEX(Surface_Engine!$C$12:$C$72,$A725+1)/(1+Assumptions!$B$10)^25+INDEX(Surface_Engine!$D$12:$D$72,$A725+1)))*INDEX(Surface_Engine!$B$12:$B$72,$A725+1)+I726</f>
        <v>15251.6973281675</v>
      </c>
      <c r="J725" s="48" t="n">
        <f aca="false">B725*(IF($A725&lt;$Q$699,INDEX(Surface_Engine!$D$12:$D$72,$A725+1)*(1+Assumptions!$B$24)+(Surface_Engine!Q241*12)*INDEX(Surface_Engine!$F$12:$F$72,$A725+1)-(Surface_Engine!Q241*12),1000*12*INDEX(Surface_Engine!$C$12:$C$72,$A725+1)/(1+Assumptions!$B$10)^25+INDEX(Surface_Engine!$D$12:$D$72,$A725+1)*(1+Assumptions!$B$24)))*INDEX(Surface_Engine!$B$12:$B$72,$A725+1)+J726</f>
        <v>13228.7184211926</v>
      </c>
      <c r="K725" s="12" t="n">
        <f aca="false">SQRT((IF(C725&lt;=0,0,MAX(0,(B725/C725)*G725/INDEX(Surface_Engine!$B$12:$B$72,$A725+1)-F725/INDEX(Surface_Engine!$B$12:$B$72,$A725+1))))^2+(MAX(IF(D725&lt;=0,0,MAX(0,(B725/D725)*H725/INDEX(Surface_Engine!$B$12:$B$72,$A725+1)-F725/INDEX(Surface_Engine!$B$12:$B$72,$A725+1))),IF(E725&lt;=0,0,MAX(0,(B725/E725)*I725/INDEX(Surface_Engine!$B$12:$B$72,$A725+1)-F725/INDEX(Surface_Engine!$B$12:$B$72,$A725+1))),IF($A725&lt;$Q$699,MAX(0,-Assumptions!$B$22*(F725/INDEX(Surface_Engine!$B$12:$B$72,$A725+1))),0)))^2+(MAX(0,J725/INDEX(Surface_Engine!$B$12:$B$72,$A725+1)-(F725/INDEX(Surface_Engine!$B$12:$B$72,$A725+1))))^2+2*Assumptions!$B$26*(IF(C725&lt;=0,0,MAX(0,(B725/C725)*G725/INDEX(Surface_Engine!$B$12:$B$72,$A725+1)-F725/INDEX(Surface_Engine!$B$12:$B$72,$A725+1))))*(MAX(IF(D725&lt;=0,0,MAX(0,(B725/D725)*H725/INDEX(Surface_Engine!$B$12:$B$72,$A725+1)-F725/INDEX(Surface_Engine!$B$12:$B$72,$A725+1))),IF(E725&lt;=0,0,MAX(0,(B725/E725)*I725/INDEX(Surface_Engine!$B$12:$B$72,$A725+1)-F725/INDEX(Surface_Engine!$B$12:$B$72,$A725+1))),IF($A725&lt;$Q$699,MAX(0,-Assumptions!$B$22*(F725/INDEX(Surface_Engine!$B$12:$B$72,$A725+1))),0)))+2*Assumptions!$B$27*(IF(C725&lt;=0,0,MAX(0,(B725/C725)*G725/INDEX(Surface_Engine!$B$12:$B$72,$A725+1)-F725/INDEX(Surface_Engine!$B$12:$B$72,$A725+1))))*(MAX(0,J725/INDEX(Surface_Engine!$B$12:$B$72,$A725+1)-(F725/INDEX(Surface_Engine!$B$12:$B$72,$A725+1))))+2*Assumptions!$B$28*(MAX(IF(D725&lt;=0,0,MAX(0,(B725/D725)*H725/INDEX(Surface_Engine!$B$12:$B$72,$A725+1)-F725/INDEX(Surface_Engine!$B$12:$B$72,$A725+1))),IF(E725&lt;=0,0,MAX(0,(B725/E725)*I725/INDEX(Surface_Engine!$B$12:$B$72,$A725+1)-F725/INDEX(Surface_Engine!$B$12:$B$72,$A725+1))),IF($A725&lt;$Q$699,MAX(0,-Assumptions!$B$22*(F725/INDEX(Surface_Engine!$B$12:$B$72,$A725+1))),0)))*(MAX(0,J725/INDEX(Surface_Engine!$B$12:$B$72,$A725+1)-(F725/INDEX(Surface_Engine!$B$12:$B$72,$A725+1)))))</f>
        <v>5213.69605320834</v>
      </c>
      <c r="L725" s="48" t="n">
        <f aca="false">K725*INDEX(Surface_Engine!$B$12:$B$72,$A725+1)+L726</f>
        <v>14739.1899701305</v>
      </c>
      <c r="M725" s="48" t="n">
        <f aca="false">M724+B724*(IF($A724&lt;$Q$699,(Surface_Engine!Q241*12)-(Surface_Engine!Q241*12)*INDEX(Surface_Engine!$F$12:$F$72,$A724+1)-INDEX(Surface_Engine!$D$12:$D$72,$A724+1),-(1000*12*INDEX(Surface_Engine!$C$12:$C$72,$A724+1)/(1+Assumptions!$B$10)^25+INDEX(Surface_Engine!$D$12:$D$72,$A724+1))))*INDEX(Surface_Engine!$B$12:$B$72,$A724+1)</f>
        <v>13731.9092302415</v>
      </c>
      <c r="N725" s="12" t="n">
        <f aca="false">IF(B725&lt;=0,0,MAX(0,(K725+Assumptions!$B$29*L725/INDEX(Surface_Engine!$B$12:$B$72,$A725+1)-(M725/INDEX(Surface_Engine!$B$12:$B$72,$A725+1)-(F725/INDEX(Surface_Engine!$B$12:$B$72,$A725+1))))/B725))</f>
        <v>14451.132942397</v>
      </c>
    </row>
    <row r="726" customFormat="false" ht="15" hidden="false" customHeight="true" outlineLevel="0" collapsed="false">
      <c r="A726" s="1" t="n">
        <v>25</v>
      </c>
      <c r="B726" s="32" t="n">
        <f aca="false">INDEX(Surface_Engine!$L$12:$L$72,$A726+1)*IF($A726&lt;$Q$699,INDEX(Surface_Engine!$E$12:$E$72,$A726+1),INDEX(Surface_Engine!$E$12:$E$72,$Q$699+1))</f>
        <v>0.37629361807392</v>
      </c>
      <c r="C726" s="32" t="n">
        <f aca="false">INDEX(Panel_Reserving!$D$8:$D$68,$A726+1)*IF($A726&lt;$Q$699,INDEX(Surface_Engine!$E$12:$E$72,$A726+1),INDEX(Surface_Engine!$E$12:$E$72,$Q$699+1))</f>
        <v>0.433192761042819</v>
      </c>
      <c r="D726" s="32" t="n">
        <f aca="false">INDEX(Surface_Engine!$L$12:$L$72,$A726+1)*IF($A726&lt;$Q$699,INDEX(Surface_Engine!$Y$12:$Y$72,$A726+1),INDEX(Surface_Engine!$Y$12:$Y$72,$Q$699+1))</f>
        <v>0.325543612961396</v>
      </c>
      <c r="E726" s="32" t="n">
        <f aca="false">INDEX(Surface_Engine!$L$12:$L$72,$A726+1)*IF($A726&lt;$Q$699,INDEX(Surface_Engine!$Z$12:$Z$72,$A726+1),INDEX(Surface_Engine!$Z$12:$Z$72,$Q$699+1))</f>
        <v>0.434464506553578</v>
      </c>
      <c r="F726" s="48" t="n">
        <f aca="false">B726*(IF($A726&lt;$Q$699,INDEX(Surface_Engine!$D$12:$D$72,$A726+1)+(Surface_Engine!Q241*12)*INDEX(Surface_Engine!$F$12:$F$72,$A726+1)-(Surface_Engine!Q241*12),1000*12*INDEX(Surface_Engine!$C$12:$C$72,$A726+1)/(1+Assumptions!$B$10)^25+INDEX(Surface_Engine!$D$12:$D$72,$A726+1)))*INDEX(Surface_Engine!$B$12:$B$72,$A726+1)+F727</f>
        <v>13416.0677163931</v>
      </c>
      <c r="G726" s="48" t="n">
        <f aca="false">C726*(IF($A726&lt;$Q$699,INDEX(Surface_Engine!$D$12:$D$72,$A726+1)+(Surface_Engine!Q241*12)*INDEX(Surface_Engine!$F$12:$F$72,$A726+1)-(Surface_Engine!Q241*12),1000*12*INDEX(Surface_Engine!$C$12:$C$72,$A726+1)/(1+Assumptions!$B$10)^25+INDEX(Surface_Engine!$D$12:$D$72,$A726+1)))*INDEX(Surface_Engine!$B$12:$B$72,$A726+1)+G727</f>
        <v>17934.9362974051</v>
      </c>
      <c r="H726" s="48" t="n">
        <f aca="false">D726*(IF($A726&lt;$Q$699,INDEX(Surface_Engine!$D$12:$D$72,$A726+1)+(Surface_Engine!Q241*12)*INDEX(Surface_Engine!$F$12:$F$72,$A726+1)-(Surface_Engine!Q241*12),1000*12*INDEX(Surface_Engine!$C$12:$C$72,$A726+1)/(1+Assumptions!$B$10)^25+INDEX(Surface_Engine!$D$12:$D$72,$A726+1)))*INDEX(Surface_Engine!$B$12:$B$72,$A726+1)+H727</f>
        <v>11606.6681611151</v>
      </c>
      <c r="I726" s="48" t="n">
        <f aca="false">E726*(IF($A726&lt;$Q$699,INDEX(Surface_Engine!$D$12:$D$72,$A726+1)+(Surface_Engine!Q241*12)*INDEX(Surface_Engine!$F$12:$F$72,$A726+1)-(Surface_Engine!Q241*12),1000*12*INDEX(Surface_Engine!$C$12:$C$72,$A726+1)/(1+Assumptions!$B$10)^25+INDEX(Surface_Engine!$D$12:$D$72,$A726+1)))*INDEX(Surface_Engine!$B$12:$B$72,$A726+1)+I727</f>
        <v>15490.0454334761</v>
      </c>
      <c r="J726" s="48" t="n">
        <f aca="false">B726*(IF($A726&lt;$Q$699,INDEX(Surface_Engine!$D$12:$D$72,$A726+1)*(1+Assumptions!$B$24)+(Surface_Engine!Q241*12)*INDEX(Surface_Engine!$F$12:$F$72,$A726+1)-(Surface_Engine!Q241*12),1000*12*INDEX(Surface_Engine!$C$12:$C$72,$A726+1)/(1+Assumptions!$B$10)^25+INDEX(Surface_Engine!$D$12:$D$72,$A726+1)*(1+Assumptions!$B$24)))*INDEX(Surface_Engine!$B$12:$B$72,$A726+1)+J727</f>
        <v>13433.203326324</v>
      </c>
      <c r="K726" s="12" t="n">
        <f aca="false">SQRT((IF(C726&lt;=0,0,MAX(0,(B726/C726)*G726/INDEX(Surface_Engine!$B$12:$B$72,$A726+1)-F726/INDEX(Surface_Engine!$B$12:$B$72,$A726+1))))^2+(MAX(IF(D726&lt;=0,0,MAX(0,(B726/D726)*H726/INDEX(Surface_Engine!$B$12:$B$72,$A726+1)-F726/INDEX(Surface_Engine!$B$12:$B$72,$A726+1))),IF(E726&lt;=0,0,MAX(0,(B726/E726)*I726/INDEX(Surface_Engine!$B$12:$B$72,$A726+1)-F726/INDEX(Surface_Engine!$B$12:$B$72,$A726+1))),IF($A726&lt;$Q$699,MAX(0,-Assumptions!$B$22*(F726/INDEX(Surface_Engine!$B$12:$B$72,$A726+1))),0)))^2+(MAX(0,J726/INDEX(Surface_Engine!$B$12:$B$72,$A726+1)-(F726/INDEX(Surface_Engine!$B$12:$B$72,$A726+1))))^2+2*Assumptions!$B$26*(IF(C726&lt;=0,0,MAX(0,(B726/C726)*G726/INDEX(Surface_Engine!$B$12:$B$72,$A726+1)-F726/INDEX(Surface_Engine!$B$12:$B$72,$A726+1))))*(MAX(IF(D726&lt;=0,0,MAX(0,(B726/D726)*H726/INDEX(Surface_Engine!$B$12:$B$72,$A726+1)-F726/INDEX(Surface_Engine!$B$12:$B$72,$A726+1))),IF(E726&lt;=0,0,MAX(0,(B726/E726)*I726/INDEX(Surface_Engine!$B$12:$B$72,$A726+1)-F726/INDEX(Surface_Engine!$B$12:$B$72,$A726+1))),IF($A726&lt;$Q$699,MAX(0,-Assumptions!$B$22*(F726/INDEX(Surface_Engine!$B$12:$B$72,$A726+1))),0)))+2*Assumptions!$B$27*(IF(C726&lt;=0,0,MAX(0,(B726/C726)*G726/INDEX(Surface_Engine!$B$12:$B$72,$A726+1)-F726/INDEX(Surface_Engine!$B$12:$B$72,$A726+1))))*(MAX(0,J726/INDEX(Surface_Engine!$B$12:$B$72,$A726+1)-(F726/INDEX(Surface_Engine!$B$12:$B$72,$A726+1))))+2*Assumptions!$B$28*(MAX(IF(D726&lt;=0,0,MAX(0,(B726/D726)*H726/INDEX(Surface_Engine!$B$12:$B$72,$A726+1)-F726/INDEX(Surface_Engine!$B$12:$B$72,$A726+1))),IF(E726&lt;=0,0,MAX(0,(B726/E726)*I726/INDEX(Surface_Engine!$B$12:$B$72,$A726+1)-F726/INDEX(Surface_Engine!$B$12:$B$72,$A726+1))),IF($A726&lt;$Q$699,MAX(0,-Assumptions!$B$22*(F726/INDEX(Surface_Engine!$B$12:$B$72,$A726+1))),0)))*(MAX(0,J726/INDEX(Surface_Engine!$B$12:$B$72,$A726+1)-(F726/INDEX(Surface_Engine!$B$12:$B$72,$A726+1)))))</f>
        <v>4734.99446612338</v>
      </c>
      <c r="L726" s="48" t="n">
        <f aca="false">K726*INDEX(Surface_Engine!$B$12:$B$72,$A726+1)+L727</f>
        <v>12276.2191212429</v>
      </c>
      <c r="M726" s="48" t="n">
        <f aca="false">M725+B725*(IF($A725&lt;$Q$699,(Surface_Engine!Q241*12)-(Surface_Engine!Q241*12)*INDEX(Surface_Engine!$F$12:$F$72,$A725+1)-INDEX(Surface_Engine!$D$12:$D$72,$A725+1),-(1000*12*INDEX(Surface_Engine!$C$12:$C$72,$A725+1)/(1+Assumptions!$B$10)^25+INDEX(Surface_Engine!$D$12:$D$72,$A725+1))))*INDEX(Surface_Engine!$B$12:$B$72,$A725+1)</f>
        <v>13939.2925759066</v>
      </c>
      <c r="N726" s="12" t="n">
        <f aca="false">IF(B726&lt;=0,0,MAX(0,(K726+Assumptions!$B$29*L726/INDEX(Surface_Engine!$B$12:$B$72,$A726+1)-(M726/INDEX(Surface_Engine!$B$12:$B$72,$A726+1)-(F726/INDEX(Surface_Engine!$B$12:$B$72,$A726+1))))/B726))</f>
        <v>13821.8246711591</v>
      </c>
    </row>
    <row r="727" customFormat="false" ht="15" hidden="false" customHeight="true" outlineLevel="0" collapsed="false">
      <c r="A727" s="1" t="n">
        <v>26</v>
      </c>
      <c r="B727" s="32" t="n">
        <f aca="false">INDEX(Surface_Engine!$L$12:$L$72,$A727+1)*IF($A727&lt;$Q$699,INDEX(Surface_Engine!$E$12:$E$72,$A727+1),INDEX(Surface_Engine!$E$12:$E$72,$Q$699+1))</f>
        <v>0.340274526606027</v>
      </c>
      <c r="C727" s="32" t="n">
        <f aca="false">INDEX(Panel_Reserving!$D$8:$D$68,$A727+1)*IF($A727&lt;$Q$699,INDEX(Surface_Engine!$E$12:$E$72,$A727+1),INDEX(Surface_Engine!$E$12:$E$72,$Q$699+1))</f>
        <v>0.400020346877315</v>
      </c>
      <c r="D727" s="32" t="n">
        <f aca="false">INDEX(Surface_Engine!$L$12:$L$72,$A727+1)*IF($A727&lt;$Q$699,INDEX(Surface_Engine!$Y$12:$Y$72,$A727+1),INDEX(Surface_Engine!$Y$12:$Y$72,$Q$699+1))</f>
        <v>0.294382347904434</v>
      </c>
      <c r="E727" s="32" t="n">
        <f aca="false">INDEX(Surface_Engine!$L$12:$L$72,$A727+1)*IF($A727&lt;$Q$699,INDEX(Surface_Engine!$Z$12:$Z$72,$A727+1),INDEX(Surface_Engine!$Z$12:$Z$72,$Q$699+1))</f>
        <v>0.392877256466249</v>
      </c>
      <c r="F727" s="48" t="n">
        <f aca="false">B727*(IF($A727&lt;$Q$699,INDEX(Surface_Engine!$D$12:$D$72,$A727+1)+(Surface_Engine!Q241*12)*INDEX(Surface_Engine!$F$12:$F$72,$A727+1)-(Surface_Engine!Q241*12),1000*12*INDEX(Surface_Engine!$C$12:$C$72,$A727+1)/(1+Assumptions!$B$10)^25+INDEX(Surface_Engine!$D$12:$D$72,$A727+1)))*INDEX(Surface_Engine!$B$12:$B$72,$A727+1)+F728</f>
        <v>11322.8542900629</v>
      </c>
      <c r="G727" s="48" t="n">
        <f aca="false">C727*(IF($A727&lt;$Q$699,INDEX(Surface_Engine!$D$12:$D$72,$A727+1)+(Surface_Engine!Q241*12)*INDEX(Surface_Engine!$F$12:$F$72,$A727+1)-(Surface_Engine!Q241*12),1000*12*INDEX(Surface_Engine!$C$12:$C$72,$A727+1)/(1+Assumptions!$B$10)^25+INDEX(Surface_Engine!$D$12:$D$72,$A727+1)))*INDEX(Surface_Engine!$B$12:$B$72,$A727+1)+G728</f>
        <v>15525.2092649743</v>
      </c>
      <c r="H727" s="48" t="n">
        <f aca="false">D727*(IF($A727&lt;$Q$699,INDEX(Surface_Engine!$D$12:$D$72,$A727+1)+(Surface_Engine!Q241*12)*INDEX(Surface_Engine!$F$12:$F$72,$A727+1)-(Surface_Engine!Q241*12),1000*12*INDEX(Surface_Engine!$C$12:$C$72,$A727+1)/(1+Assumptions!$B$10)^25+INDEX(Surface_Engine!$D$12:$D$72,$A727+1)))*INDEX(Surface_Engine!$B$12:$B$72,$A727+1)+H728</f>
        <v>9795.7624513802</v>
      </c>
      <c r="I727" s="48" t="n">
        <f aca="false">E727*(IF($A727&lt;$Q$699,INDEX(Surface_Engine!$D$12:$D$72,$A727+1)+(Surface_Engine!Q241*12)*INDEX(Surface_Engine!$F$12:$F$72,$A727+1)-(Surface_Engine!Q241*12),1000*12*INDEX(Surface_Engine!$C$12:$C$72,$A727+1)/(1+Assumptions!$B$10)^25+INDEX(Surface_Engine!$D$12:$D$72,$A727+1)))*INDEX(Surface_Engine!$B$12:$B$72,$A727+1)+I728</f>
        <v>13073.2440456746</v>
      </c>
      <c r="J727" s="48" t="n">
        <f aca="false">B727*(IF($A727&lt;$Q$699,INDEX(Surface_Engine!$D$12:$D$72,$A727+1)*(1+Assumptions!$B$24)+(Surface_Engine!Q241*12)*INDEX(Surface_Engine!$F$12:$F$72,$A727+1)-(Surface_Engine!Q241*12),1000*12*INDEX(Surface_Engine!$C$12:$C$72,$A727+1)/(1+Assumptions!$B$10)^25+INDEX(Surface_Engine!$D$12:$D$72,$A727+1)*(1+Assumptions!$B$24)))*INDEX(Surface_Engine!$B$12:$B$72,$A727+1)+J728</f>
        <v>11337.3712623831</v>
      </c>
      <c r="K727" s="12" t="n">
        <f aca="false">SQRT((IF(C727&lt;=0,0,MAX(0,(B727/C727)*G727/INDEX(Surface_Engine!$B$12:$B$72,$A727+1)-F727/INDEX(Surface_Engine!$B$12:$B$72,$A727+1))))^2+(MAX(IF(D727&lt;=0,0,MAX(0,(B727/D727)*H727/INDEX(Surface_Engine!$B$12:$B$72,$A727+1)-F727/INDEX(Surface_Engine!$B$12:$B$72,$A727+1))),IF(E727&lt;=0,0,MAX(0,(B727/E727)*I727/INDEX(Surface_Engine!$B$12:$B$72,$A727+1)-F727/INDEX(Surface_Engine!$B$12:$B$72,$A727+1))),IF($A727&lt;$Q$699,MAX(0,-Assumptions!$B$22*(F727/INDEX(Surface_Engine!$B$12:$B$72,$A727+1))),0)))^2+(MAX(0,J727/INDEX(Surface_Engine!$B$12:$B$72,$A727+1)-(F727/INDEX(Surface_Engine!$B$12:$B$72,$A727+1))))^2+2*Assumptions!$B$26*(IF(C727&lt;=0,0,MAX(0,(B727/C727)*G727/INDEX(Surface_Engine!$B$12:$B$72,$A727+1)-F727/INDEX(Surface_Engine!$B$12:$B$72,$A727+1))))*(MAX(IF(D727&lt;=0,0,MAX(0,(B727/D727)*H727/INDEX(Surface_Engine!$B$12:$B$72,$A727+1)-F727/INDEX(Surface_Engine!$B$12:$B$72,$A727+1))),IF(E727&lt;=0,0,MAX(0,(B727/E727)*I727/INDEX(Surface_Engine!$B$12:$B$72,$A727+1)-F727/INDEX(Surface_Engine!$B$12:$B$72,$A727+1))),IF($A727&lt;$Q$699,MAX(0,-Assumptions!$B$22*(F727/INDEX(Surface_Engine!$B$12:$B$72,$A727+1))),0)))+2*Assumptions!$B$27*(IF(C727&lt;=0,0,MAX(0,(B727/C727)*G727/INDEX(Surface_Engine!$B$12:$B$72,$A727+1)-F727/INDEX(Surface_Engine!$B$12:$B$72,$A727+1))))*(MAX(0,J727/INDEX(Surface_Engine!$B$12:$B$72,$A727+1)-(F727/INDEX(Surface_Engine!$B$12:$B$72,$A727+1))))+2*Assumptions!$B$28*(MAX(IF(D727&lt;=0,0,MAX(0,(B727/D727)*H727/INDEX(Surface_Engine!$B$12:$B$72,$A727+1)-F727/INDEX(Surface_Engine!$B$12:$B$72,$A727+1))),IF(E727&lt;=0,0,MAX(0,(B727/E727)*I727/INDEX(Surface_Engine!$B$12:$B$72,$A727+1)-F727/INDEX(Surface_Engine!$B$12:$B$72,$A727+1))),IF($A727&lt;$Q$699,MAX(0,-Assumptions!$B$22*(F727/INDEX(Surface_Engine!$B$12:$B$72,$A727+1))),0)))*(MAX(0,J727/INDEX(Surface_Engine!$B$12:$B$72,$A727+1)-(F727/INDEX(Surface_Engine!$B$12:$B$72,$A727+1)))))</f>
        <v>4255.80881814381</v>
      </c>
      <c r="L727" s="48" t="n">
        <f aca="false">K727*INDEX(Surface_Engine!$B$12:$B$72,$A727+1)+L728</f>
        <v>10108.7269524418</v>
      </c>
      <c r="M727" s="48" t="n">
        <f aca="false">M726+B726*(IF($A726&lt;$Q$699,(Surface_Engine!Q241*12)-(Surface_Engine!Q241*12)*INDEX(Surface_Engine!$F$12:$F$72,$A726+1)-INDEX(Surface_Engine!$D$12:$D$72,$A726+1),-(1000*12*INDEX(Surface_Engine!$C$12:$C$72,$A726+1)/(1+Assumptions!$B$10)^25+INDEX(Surface_Engine!$D$12:$D$72,$A726+1))))*INDEX(Surface_Engine!$B$12:$B$72,$A726+1)</f>
        <v>11846.0791495763</v>
      </c>
      <c r="N727" s="12" t="n">
        <f aca="false">IF(B727&lt;=0,0,MAX(0,(K727+Assumptions!$B$29*L727/INDEX(Surface_Engine!$B$12:$B$72,$A727+1)-(M727/INDEX(Surface_Engine!$B$12:$B$72,$A727+1)-(F727/INDEX(Surface_Engine!$B$12:$B$72,$A727+1))))/B727))</f>
        <v>13059.0183935594</v>
      </c>
    </row>
    <row r="728" customFormat="false" ht="15" hidden="false" customHeight="true" outlineLevel="0" collapsed="false">
      <c r="A728" s="1" t="n">
        <v>27</v>
      </c>
      <c r="B728" s="32" t="n">
        <f aca="false">INDEX(Surface_Engine!$L$12:$L$72,$A728+1)*IF($A728&lt;$Q$699,INDEX(Surface_Engine!$E$12:$E$72,$A728+1),INDEX(Surface_Engine!$E$12:$E$72,$Q$699+1))</f>
        <v>0.303565185904954</v>
      </c>
      <c r="C728" s="32" t="n">
        <f aca="false">INDEX(Panel_Reserving!$D$8:$D$68,$A728+1)*IF($A728&lt;$Q$699,INDEX(Surface_Engine!$E$12:$E$72,$A728+1),INDEX(Surface_Engine!$E$12:$E$72,$Q$699+1))</f>
        <v>0.365496497331839</v>
      </c>
      <c r="D728" s="32" t="n">
        <f aca="false">INDEX(Surface_Engine!$L$12:$L$72,$A728+1)*IF($A728&lt;$Q$699,INDEX(Surface_Engine!$Y$12:$Y$72,$A728+1),INDEX(Surface_Engine!$Y$12:$Y$72,$Q$699+1))</f>
        <v>0.262623926216531</v>
      </c>
      <c r="E728" s="32" t="n">
        <f aca="false">INDEX(Surface_Engine!$L$12:$L$72,$A728+1)*IF($A728&lt;$Q$699,INDEX(Surface_Engine!$Z$12:$Z$72,$A728+1),INDEX(Surface_Engine!$Z$12:$Z$72,$Q$699+1))</f>
        <v>0.350493052144011</v>
      </c>
      <c r="F728" s="48" t="n">
        <f aca="false">B728*(IF($A728&lt;$Q$699,INDEX(Surface_Engine!$D$12:$D$72,$A728+1)+(Surface_Engine!Q241*12)*INDEX(Surface_Engine!$F$12:$F$72,$A728+1)-(Surface_Engine!Q241*12),1000*12*INDEX(Surface_Engine!$C$12:$C$72,$A728+1)/(1+Assumptions!$B$10)^25+INDEX(Surface_Engine!$D$12:$D$72,$A728+1)))*INDEX(Surface_Engine!$B$12:$B$72,$A728+1)+F729</f>
        <v>9452.38947955638</v>
      </c>
      <c r="G728" s="48" t="n">
        <f aca="false">C728*(IF($A728&lt;$Q$699,INDEX(Surface_Engine!$D$12:$D$72,$A728+1)+(Surface_Engine!Q241*12)*INDEX(Surface_Engine!$F$12:$F$72,$A728+1)-(Surface_Engine!Q241*12),1000*12*INDEX(Surface_Engine!$C$12:$C$72,$A728+1)/(1+Assumptions!$B$10)^25+INDEX(Surface_Engine!$D$12:$D$72,$A728+1)))*INDEX(Surface_Engine!$B$12:$B$72,$A728+1)+G729</f>
        <v>13326.3259404317</v>
      </c>
      <c r="H728" s="48" t="n">
        <f aca="false">D728*(IF($A728&lt;$Q$699,INDEX(Surface_Engine!$D$12:$D$72,$A728+1)+(Surface_Engine!Q241*12)*INDEX(Surface_Engine!$F$12:$F$72,$A728+1)-(Surface_Engine!Q241*12),1000*12*INDEX(Surface_Engine!$C$12:$C$72,$A728+1)/(1+Assumptions!$B$10)^25+INDEX(Surface_Engine!$D$12:$D$72,$A728+1)))*INDEX(Surface_Engine!$B$12:$B$72,$A728+1)+H729</f>
        <v>8177.56367499326</v>
      </c>
      <c r="I728" s="48" t="n">
        <f aca="false">E728*(IF($A728&lt;$Q$699,INDEX(Surface_Engine!$D$12:$D$72,$A728+1)+(Surface_Engine!Q241*12)*INDEX(Surface_Engine!$F$12:$F$72,$A728+1)-(Surface_Engine!Q241*12),1000*12*INDEX(Surface_Engine!$C$12:$C$72,$A728+1)/(1+Assumptions!$B$10)^25+INDEX(Surface_Engine!$D$12:$D$72,$A728+1)))*INDEX(Surface_Engine!$B$12:$B$72,$A728+1)+I729</f>
        <v>10913.6257798052</v>
      </c>
      <c r="J728" s="48" t="n">
        <f aca="false">B728*(IF($A728&lt;$Q$699,INDEX(Surface_Engine!$D$12:$D$72,$A728+1)*(1+Assumptions!$B$24)+(Surface_Engine!Q241*12)*INDEX(Surface_Engine!$F$12:$F$72,$A728+1)-(Surface_Engine!Q241*12),1000*12*INDEX(Surface_Engine!$C$12:$C$72,$A728+1)/(1+Assumptions!$B$10)^25+INDEX(Surface_Engine!$D$12:$D$72,$A728+1)*(1+Assumptions!$B$24)))*INDEX(Surface_Engine!$B$12:$B$72,$A728+1)+J729</f>
        <v>9464.55514944334</v>
      </c>
      <c r="K728" s="12" t="n">
        <f aca="false">SQRT((IF(C728&lt;=0,0,MAX(0,(B728/C728)*G728/INDEX(Surface_Engine!$B$12:$B$72,$A728+1)-F728/INDEX(Surface_Engine!$B$12:$B$72,$A728+1))))^2+(MAX(IF(D728&lt;=0,0,MAX(0,(B728/D728)*H728/INDEX(Surface_Engine!$B$12:$B$72,$A728+1)-F728/INDEX(Surface_Engine!$B$12:$B$72,$A728+1))),IF(E728&lt;=0,0,MAX(0,(B728/E728)*I728/INDEX(Surface_Engine!$B$12:$B$72,$A728+1)-F728/INDEX(Surface_Engine!$B$12:$B$72,$A728+1))),IF($A728&lt;$Q$699,MAX(0,-Assumptions!$B$22*(F728/INDEX(Surface_Engine!$B$12:$B$72,$A728+1))),0)))^2+(MAX(0,J728/INDEX(Surface_Engine!$B$12:$B$72,$A728+1)-(F728/INDEX(Surface_Engine!$B$12:$B$72,$A728+1))))^2+2*Assumptions!$B$26*(IF(C728&lt;=0,0,MAX(0,(B728/C728)*G728/INDEX(Surface_Engine!$B$12:$B$72,$A728+1)-F728/INDEX(Surface_Engine!$B$12:$B$72,$A728+1))))*(MAX(IF(D728&lt;=0,0,MAX(0,(B728/D728)*H728/INDEX(Surface_Engine!$B$12:$B$72,$A728+1)-F728/INDEX(Surface_Engine!$B$12:$B$72,$A728+1))),IF(E728&lt;=0,0,MAX(0,(B728/E728)*I728/INDEX(Surface_Engine!$B$12:$B$72,$A728+1)-F728/INDEX(Surface_Engine!$B$12:$B$72,$A728+1))),IF($A728&lt;$Q$699,MAX(0,-Assumptions!$B$22*(F728/INDEX(Surface_Engine!$B$12:$B$72,$A728+1))),0)))+2*Assumptions!$B$27*(IF(C728&lt;=0,0,MAX(0,(B728/C728)*G728/INDEX(Surface_Engine!$B$12:$B$72,$A728+1)-F728/INDEX(Surface_Engine!$B$12:$B$72,$A728+1))))*(MAX(0,J728/INDEX(Surface_Engine!$B$12:$B$72,$A728+1)-(F728/INDEX(Surface_Engine!$B$12:$B$72,$A728+1))))+2*Assumptions!$B$28*(MAX(IF(D728&lt;=0,0,MAX(0,(B728/D728)*H728/INDEX(Surface_Engine!$B$12:$B$72,$A728+1)-F728/INDEX(Surface_Engine!$B$12:$B$72,$A728+1))),IF(E728&lt;=0,0,MAX(0,(B728/E728)*I728/INDEX(Surface_Engine!$B$12:$B$72,$A728+1)-F728/INDEX(Surface_Engine!$B$12:$B$72,$A728+1))),IF($A728&lt;$Q$699,MAX(0,-Assumptions!$B$22*(F728/INDEX(Surface_Engine!$B$12:$B$72,$A728+1))),0)))*(MAX(0,J728/INDEX(Surface_Engine!$B$12:$B$72,$A728+1)-(F728/INDEX(Surface_Engine!$B$12:$B$72,$A728+1)))))</f>
        <v>3767.7784041148</v>
      </c>
      <c r="L728" s="48" t="n">
        <f aca="false">K728*INDEX(Surface_Engine!$B$12:$B$72,$A728+1)+L729</f>
        <v>8221.48834506998</v>
      </c>
      <c r="M728" s="48" t="n">
        <f aca="false">M727+B727*(IF($A727&lt;$Q$699,(Surface_Engine!Q241*12)-(Surface_Engine!Q241*12)*INDEX(Surface_Engine!$F$12:$F$72,$A727+1)-INDEX(Surface_Engine!$D$12:$D$72,$A727+1),-(1000*12*INDEX(Surface_Engine!$C$12:$C$72,$A727+1)/(1+Assumptions!$B$10)^25+INDEX(Surface_Engine!$D$12:$D$72,$A727+1))))*INDEX(Surface_Engine!$B$12:$B$72,$A727+1)</f>
        <v>9975.6143390698</v>
      </c>
      <c r="N728" s="12" t="n">
        <f aca="false">IF(B728&lt;=0,0,MAX(0,(K728+Assumptions!$B$29*L728/INDEX(Surface_Engine!$B$12:$B$72,$A728+1)-(M728/INDEX(Surface_Engine!$B$12:$B$72,$A728+1)-(F728/INDEX(Surface_Engine!$B$12:$B$72,$A728+1))))/B728))</f>
        <v>12182.2581587335</v>
      </c>
    </row>
    <row r="729" customFormat="false" ht="15" hidden="false" customHeight="true" outlineLevel="0" collapsed="false">
      <c r="A729" s="1" t="n">
        <v>28</v>
      </c>
      <c r="B729" s="32" t="n">
        <f aca="false">INDEX(Surface_Engine!$L$12:$L$72,$A729+1)*IF($A729&lt;$Q$699,INDEX(Surface_Engine!$E$12:$E$72,$A729+1),INDEX(Surface_Engine!$E$12:$E$72,$Q$699+1))</f>
        <v>0.267059330129819</v>
      </c>
      <c r="C729" s="32" t="n">
        <f aca="false">INDEX(Panel_Reserving!$D$8:$D$68,$A729+1)*IF($A729&lt;$Q$699,INDEX(Surface_Engine!$E$12:$E$72,$A729+1),INDEX(Surface_Engine!$E$12:$E$72,$Q$699+1))</f>
        <v>0.330333670927652</v>
      </c>
      <c r="D729" s="32" t="n">
        <f aca="false">INDEX(Surface_Engine!$L$12:$L$72,$A729+1)*IF($A729&lt;$Q$699,INDEX(Surface_Engine!$Y$12:$Y$72,$A729+1),INDEX(Surface_Engine!$Y$12:$Y$72,$Q$699+1))</f>
        <v>0.231041545829333</v>
      </c>
      <c r="E729" s="32" t="n">
        <f aca="false">INDEX(Surface_Engine!$L$12:$L$72,$A729+1)*IF($A729&lt;$Q$699,INDEX(Surface_Engine!$Z$12:$Z$72,$A729+1),INDEX(Surface_Engine!$Z$12:$Z$72,$Q$699+1))</f>
        <v>0.308343789297505</v>
      </c>
      <c r="F729" s="48" t="n">
        <f aca="false">B729*(IF($A729&lt;$Q$699,INDEX(Surface_Engine!$D$12:$D$72,$A729+1)+(Surface_Engine!Q241*12)*INDEX(Surface_Engine!$F$12:$F$72,$A729+1)-(Surface_Engine!Q241*12),1000*12*INDEX(Surface_Engine!$C$12:$C$72,$A729+1)/(1+Assumptions!$B$10)^25+INDEX(Surface_Engine!$D$12:$D$72,$A729+1)))*INDEX(Surface_Engine!$B$12:$B$72,$A729+1)+F730</f>
        <v>7803.07886013661</v>
      </c>
      <c r="G729" s="48" t="n">
        <f aca="false">C729*(IF($A729&lt;$Q$699,INDEX(Surface_Engine!$D$12:$D$72,$A729+1)+(Surface_Engine!Q241*12)*INDEX(Surface_Engine!$F$12:$F$72,$A729+1)-(Surface_Engine!Q241*12),1000*12*INDEX(Surface_Engine!$C$12:$C$72,$A729+1)/(1+Assumptions!$B$10)^25+INDEX(Surface_Engine!$D$12:$D$72,$A729+1)))*INDEX(Surface_Engine!$B$12:$B$72,$A729+1)+G730</f>
        <v>11340.5341487509</v>
      </c>
      <c r="H729" s="48" t="n">
        <f aca="false">D729*(IF($A729&lt;$Q$699,INDEX(Surface_Engine!$D$12:$D$72,$A729+1)+(Surface_Engine!Q241*12)*INDEX(Surface_Engine!$F$12:$F$72,$A729+1)-(Surface_Engine!Q241*12),1000*12*INDEX(Surface_Engine!$C$12:$C$72,$A729+1)/(1+Assumptions!$B$10)^25+INDEX(Surface_Engine!$D$12:$D$72,$A729+1)))*INDEX(Surface_Engine!$B$12:$B$72,$A729+1)+H730</f>
        <v>6750.69244425122</v>
      </c>
      <c r="I729" s="48" t="n">
        <f aca="false">E729*(IF($A729&lt;$Q$699,INDEX(Surface_Engine!$D$12:$D$72,$A729+1)+(Surface_Engine!Q241*12)*INDEX(Surface_Engine!$F$12:$F$72,$A729+1)-(Surface_Engine!Q241*12),1000*12*INDEX(Surface_Engine!$C$12:$C$72,$A729+1)/(1+Assumptions!$B$10)^25+INDEX(Surface_Engine!$D$12:$D$72,$A729+1)))*INDEX(Surface_Engine!$B$12:$B$72,$A729+1)+I730</f>
        <v>9009.34973045953</v>
      </c>
      <c r="J729" s="48" t="n">
        <f aca="false">B729*(IF($A729&lt;$Q$699,INDEX(Surface_Engine!$D$12:$D$72,$A729+1)*(1+Assumptions!$B$24)+(Surface_Engine!Q241*12)*INDEX(Surface_Engine!$F$12:$F$72,$A729+1)-(Surface_Engine!Q241*12),1000*12*INDEX(Surface_Engine!$C$12:$C$72,$A729+1)/(1+Assumptions!$B$10)^25+INDEX(Surface_Engine!$D$12:$D$72,$A729+1)*(1+Assumptions!$B$24)))*INDEX(Surface_Engine!$B$12:$B$72,$A729+1)+J730</f>
        <v>7813.16119872127</v>
      </c>
      <c r="K729" s="12" t="n">
        <f aca="false">SQRT((IF(C729&lt;=0,0,MAX(0,(B729/C729)*G729/INDEX(Surface_Engine!$B$12:$B$72,$A729+1)-F729/INDEX(Surface_Engine!$B$12:$B$72,$A729+1))))^2+(MAX(IF(D729&lt;=0,0,MAX(0,(B729/D729)*H729/INDEX(Surface_Engine!$B$12:$B$72,$A729+1)-F729/INDEX(Surface_Engine!$B$12:$B$72,$A729+1))),IF(E729&lt;=0,0,MAX(0,(B729/E729)*I729/INDEX(Surface_Engine!$B$12:$B$72,$A729+1)-F729/INDEX(Surface_Engine!$B$12:$B$72,$A729+1))),IF($A729&lt;$Q$699,MAX(0,-Assumptions!$B$22*(F729/INDEX(Surface_Engine!$B$12:$B$72,$A729+1))),0)))^2+(MAX(0,J729/INDEX(Surface_Engine!$B$12:$B$72,$A729+1)-(F729/INDEX(Surface_Engine!$B$12:$B$72,$A729+1))))^2+2*Assumptions!$B$26*(IF(C729&lt;=0,0,MAX(0,(B729/C729)*G729/INDEX(Surface_Engine!$B$12:$B$72,$A729+1)-F729/INDEX(Surface_Engine!$B$12:$B$72,$A729+1))))*(MAX(IF(D729&lt;=0,0,MAX(0,(B729/D729)*H729/INDEX(Surface_Engine!$B$12:$B$72,$A729+1)-F729/INDEX(Surface_Engine!$B$12:$B$72,$A729+1))),IF(E729&lt;=0,0,MAX(0,(B729/E729)*I729/INDEX(Surface_Engine!$B$12:$B$72,$A729+1)-F729/INDEX(Surface_Engine!$B$12:$B$72,$A729+1))),IF($A729&lt;$Q$699,MAX(0,-Assumptions!$B$22*(F729/INDEX(Surface_Engine!$B$12:$B$72,$A729+1))),0)))+2*Assumptions!$B$27*(IF(C729&lt;=0,0,MAX(0,(B729/C729)*G729/INDEX(Surface_Engine!$B$12:$B$72,$A729+1)-F729/INDEX(Surface_Engine!$B$12:$B$72,$A729+1))))*(MAX(0,J729/INDEX(Surface_Engine!$B$12:$B$72,$A729+1)-(F729/INDEX(Surface_Engine!$B$12:$B$72,$A729+1))))+2*Assumptions!$B$28*(MAX(IF(D729&lt;=0,0,MAX(0,(B729/D729)*H729/INDEX(Surface_Engine!$B$12:$B$72,$A729+1)-F729/INDEX(Surface_Engine!$B$12:$B$72,$A729+1))),IF(E729&lt;=0,0,MAX(0,(B729/E729)*I729/INDEX(Surface_Engine!$B$12:$B$72,$A729+1)-F729/INDEX(Surface_Engine!$B$12:$B$72,$A729+1))),IF($A729&lt;$Q$699,MAX(0,-Assumptions!$B$22*(F729/INDEX(Surface_Engine!$B$12:$B$72,$A729+1))),0)))*(MAX(0,J729/INDEX(Surface_Engine!$B$12:$B$72,$A729+1)-(F729/INDEX(Surface_Engine!$B$12:$B$72,$A729+1)))))</f>
        <v>3286.14846875324</v>
      </c>
      <c r="L729" s="48" t="n">
        <f aca="false">K729*INDEX(Surface_Engine!$B$12:$B$72,$A729+1)+L730</f>
        <v>6602.5380681905</v>
      </c>
      <c r="M729" s="48" t="n">
        <f aca="false">M728+B728*(IF($A728&lt;$Q$699,(Surface_Engine!Q241*12)-(Surface_Engine!Q241*12)*INDEX(Surface_Engine!$F$12:$F$72,$A728+1)-INDEX(Surface_Engine!$D$12:$D$72,$A728+1),-(1000*12*INDEX(Surface_Engine!$C$12:$C$72,$A728+1)/(1+Assumptions!$B$10)^25+INDEX(Surface_Engine!$D$12:$D$72,$A728+1))))*INDEX(Surface_Engine!$B$12:$B$72,$A728+1)</f>
        <v>8326.30371965004</v>
      </c>
      <c r="N729" s="12" t="n">
        <f aca="false">IF(B729&lt;=0,0,MAX(0,(K729+Assumptions!$B$29*L729/INDEX(Surface_Engine!$B$12:$B$72,$A729+1)-(M729/INDEX(Surface_Engine!$B$12:$B$72,$A729+1)-(F729/INDEX(Surface_Engine!$B$12:$B$72,$A729+1))))/B729))</f>
        <v>11161.7470451777</v>
      </c>
    </row>
    <row r="730" customFormat="false" ht="15" hidden="false" customHeight="true" outlineLevel="0" collapsed="false">
      <c r="A730" s="1" t="n">
        <v>29</v>
      </c>
      <c r="B730" s="32" t="n">
        <f aca="false">INDEX(Surface_Engine!$L$12:$L$72,$A730+1)*IF($A730&lt;$Q$699,INDEX(Surface_Engine!$E$12:$E$72,$A730+1),INDEX(Surface_Engine!$E$12:$E$72,$Q$699+1))</f>
        <v>0.231815282548968</v>
      </c>
      <c r="C730" s="32" t="n">
        <f aca="false">INDEX(Panel_Reserving!$D$8:$D$68,$A730+1)*IF($A730&lt;$Q$699,INDEX(Surface_Engine!$E$12:$E$72,$A730+1),INDEX(Surface_Engine!$E$12:$E$72,$Q$699+1))</f>
        <v>0.295458137883899</v>
      </c>
      <c r="D730" s="32" t="n">
        <f aca="false">INDEX(Surface_Engine!$L$12:$L$72,$A730+1)*IF($A730&lt;$Q$699,INDEX(Surface_Engine!$Y$12:$Y$72,$A730+1),INDEX(Surface_Engine!$Y$12:$Y$72,$Q$699+1))</f>
        <v>0.200550795963361</v>
      </c>
      <c r="E730" s="32" t="n">
        <f aca="false">INDEX(Surface_Engine!$L$12:$L$72,$A730+1)*IF($A730&lt;$Q$699,INDEX(Surface_Engine!$Z$12:$Z$72,$A730+1),INDEX(Surface_Engine!$Z$12:$Z$72,$Q$699+1))</f>
        <v>0.267651396427432</v>
      </c>
      <c r="F730" s="48" t="n">
        <f aca="false">B730*(IF($A730&lt;$Q$699,INDEX(Surface_Engine!$D$12:$D$72,$A730+1)+(Surface_Engine!Q241*12)*INDEX(Surface_Engine!$F$12:$F$72,$A730+1)-(Surface_Engine!Q241*12),1000*12*INDEX(Surface_Engine!$C$12:$C$72,$A730+1)/(1+Assumptions!$B$10)^25+INDEX(Surface_Engine!$D$12:$D$72,$A730+1)))*INDEX(Surface_Engine!$B$12:$B$72,$A730+1)+F731</f>
        <v>6369.3649713258</v>
      </c>
      <c r="G730" s="48" t="n">
        <f aca="false">C730*(IF($A730&lt;$Q$699,INDEX(Surface_Engine!$D$12:$D$72,$A730+1)+(Surface_Engine!Q241*12)*INDEX(Surface_Engine!$F$12:$F$72,$A730+1)-(Surface_Engine!Q241*12),1000*12*INDEX(Surface_Engine!$C$12:$C$72,$A730+1)/(1+Assumptions!$B$10)^25+INDEX(Surface_Engine!$D$12:$D$72,$A730+1)))*INDEX(Surface_Engine!$B$12:$B$72,$A730+1)+G731</f>
        <v>9567.13056940162</v>
      </c>
      <c r="H730" s="48" t="n">
        <f aca="false">D730*(IF($A730&lt;$Q$699,INDEX(Surface_Engine!$D$12:$D$72,$A730+1)+(Surface_Engine!Q241*12)*INDEX(Surface_Engine!$F$12:$F$72,$A730+1)-(Surface_Engine!Q241*12),1000*12*INDEX(Surface_Engine!$C$12:$C$72,$A730+1)/(1+Assumptions!$B$10)^25+INDEX(Surface_Engine!$D$12:$D$72,$A730+1)))*INDEX(Surface_Engine!$B$12:$B$72,$A730+1)+H731</f>
        <v>5510.34082280884</v>
      </c>
      <c r="I730" s="48" t="n">
        <f aca="false">E730*(IF($A730&lt;$Q$699,INDEX(Surface_Engine!$D$12:$D$72,$A730+1)+(Surface_Engine!Q241*12)*INDEX(Surface_Engine!$F$12:$F$72,$A730+1)-(Surface_Engine!Q241*12),1000*12*INDEX(Surface_Engine!$C$12:$C$72,$A730+1)/(1+Assumptions!$B$10)^25+INDEX(Surface_Engine!$D$12:$D$72,$A730+1)))*INDEX(Surface_Engine!$B$12:$B$72,$A730+1)+I731</f>
        <v>7353.9993143947</v>
      </c>
      <c r="J730" s="48" t="n">
        <f aca="false">B730*(IF($A730&lt;$Q$699,INDEX(Surface_Engine!$D$12:$D$72,$A730+1)*(1+Assumptions!$B$24)+(Surface_Engine!Q241*12)*INDEX(Surface_Engine!$F$12:$F$72,$A730+1)-(Surface_Engine!Q241*12),1000*12*INDEX(Surface_Engine!$C$12:$C$72,$A730+1)/(1+Assumptions!$B$10)^25+INDEX(Surface_Engine!$D$12:$D$72,$A730+1)*(1+Assumptions!$B$24)))*INDEX(Surface_Engine!$B$12:$B$72,$A730+1)+J731</f>
        <v>6377.62754544785</v>
      </c>
      <c r="K730" s="12" t="n">
        <f aca="false">SQRT((IF(C730&lt;=0,0,MAX(0,(B730/C730)*G730/INDEX(Surface_Engine!$B$12:$B$72,$A730+1)-F730/INDEX(Surface_Engine!$B$12:$B$72,$A730+1))))^2+(MAX(IF(D730&lt;=0,0,MAX(0,(B730/D730)*H730/INDEX(Surface_Engine!$B$12:$B$72,$A730+1)-F730/INDEX(Surface_Engine!$B$12:$B$72,$A730+1))),IF(E730&lt;=0,0,MAX(0,(B730/E730)*I730/INDEX(Surface_Engine!$B$12:$B$72,$A730+1)-F730/INDEX(Surface_Engine!$B$12:$B$72,$A730+1))),IF($A730&lt;$Q$699,MAX(0,-Assumptions!$B$22*(F730/INDEX(Surface_Engine!$B$12:$B$72,$A730+1))),0)))^2+(MAX(0,J730/INDEX(Surface_Engine!$B$12:$B$72,$A730+1)-(F730/INDEX(Surface_Engine!$B$12:$B$72,$A730+1))))^2+2*Assumptions!$B$26*(IF(C730&lt;=0,0,MAX(0,(B730/C730)*G730/INDEX(Surface_Engine!$B$12:$B$72,$A730+1)-F730/INDEX(Surface_Engine!$B$12:$B$72,$A730+1))))*(MAX(IF(D730&lt;=0,0,MAX(0,(B730/D730)*H730/INDEX(Surface_Engine!$B$12:$B$72,$A730+1)-F730/INDEX(Surface_Engine!$B$12:$B$72,$A730+1))),IF(E730&lt;=0,0,MAX(0,(B730/E730)*I730/INDEX(Surface_Engine!$B$12:$B$72,$A730+1)-F730/INDEX(Surface_Engine!$B$12:$B$72,$A730+1))),IF($A730&lt;$Q$699,MAX(0,-Assumptions!$B$22*(F730/INDEX(Surface_Engine!$B$12:$B$72,$A730+1))),0)))+2*Assumptions!$B$27*(IF(C730&lt;=0,0,MAX(0,(B730/C730)*G730/INDEX(Surface_Engine!$B$12:$B$72,$A730+1)-F730/INDEX(Surface_Engine!$B$12:$B$72,$A730+1))))*(MAX(0,J730/INDEX(Surface_Engine!$B$12:$B$72,$A730+1)-(F730/INDEX(Surface_Engine!$B$12:$B$72,$A730+1))))+2*Assumptions!$B$28*(MAX(IF(D730&lt;=0,0,MAX(0,(B730/D730)*H730/INDEX(Surface_Engine!$B$12:$B$72,$A730+1)-F730/INDEX(Surface_Engine!$B$12:$B$72,$A730+1))),IF(E730&lt;=0,0,MAX(0,(B730/E730)*I730/INDEX(Surface_Engine!$B$12:$B$72,$A730+1)-F730/INDEX(Surface_Engine!$B$12:$B$72,$A730+1))),IF($A730&lt;$Q$699,MAX(0,-Assumptions!$B$22*(F730/INDEX(Surface_Engine!$B$12:$B$72,$A730+1))),0)))*(MAX(0,J730/INDEX(Surface_Engine!$B$12:$B$72,$A730+1)-(F730/INDEX(Surface_Engine!$B$12:$B$72,$A730+1)))))</f>
        <v>2825.27977741514</v>
      </c>
      <c r="L730" s="48" t="n">
        <f aca="false">K730*INDEX(Surface_Engine!$B$12:$B$72,$A730+1)+L731</f>
        <v>5234.7698063487</v>
      </c>
      <c r="M730" s="48" t="n">
        <f aca="false">M729+B729*(IF($A729&lt;$Q$699,(Surface_Engine!Q241*12)-(Surface_Engine!Q241*12)*INDEX(Surface_Engine!$F$12:$F$72,$A729+1)-INDEX(Surface_Engine!$D$12:$D$72,$A729+1),-(1000*12*INDEX(Surface_Engine!$C$12:$C$72,$A729+1)/(1+Assumptions!$B$10)^25+INDEX(Surface_Engine!$D$12:$D$72,$A729+1))))*INDEX(Surface_Engine!$B$12:$B$72,$A729+1)</f>
        <v>6892.58983083922</v>
      </c>
      <c r="N730" s="12" t="n">
        <f aca="false">IF(B730&lt;=0,0,MAX(0,(K730+Assumptions!$B$29*L730/INDEX(Surface_Engine!$B$12:$B$72,$A730+1)-(M730/INDEX(Surface_Engine!$B$12:$B$72,$A730+1)-(F730/INDEX(Surface_Engine!$B$12:$B$72,$A730+1))))/B730))</f>
        <v>9949.90946638154</v>
      </c>
    </row>
    <row r="731" customFormat="false" ht="15" hidden="false" customHeight="true" outlineLevel="0" collapsed="false">
      <c r="A731" s="1" t="n">
        <v>30</v>
      </c>
      <c r="B731" s="32" t="n">
        <f aca="false">INDEX(Surface_Engine!$L$12:$L$72,$A731+1)*IF($A731&lt;$Q$699,INDEX(Surface_Engine!$E$12:$E$72,$A731+1),INDEX(Surface_Engine!$E$12:$E$72,$Q$699+1))</f>
        <v>0.198679974119371</v>
      </c>
      <c r="C731" s="32" t="n">
        <f aca="false">INDEX(Panel_Reserving!$D$8:$D$68,$A731+1)*IF($A731&lt;$Q$699,INDEX(Surface_Engine!$E$12:$E$72,$A731+1),INDEX(Surface_Engine!$E$12:$E$72,$Q$699+1))</f>
        <v>0.261672284184631</v>
      </c>
      <c r="D731" s="32" t="n">
        <f aca="false">INDEX(Surface_Engine!$L$12:$L$72,$A731+1)*IF($A731&lt;$Q$699,INDEX(Surface_Engine!$Y$12:$Y$72,$A731+1),INDEX(Surface_Engine!$Y$12:$Y$72,$Q$699+1))</f>
        <v>0.171884383607035</v>
      </c>
      <c r="E731" s="32" t="n">
        <f aca="false">INDEX(Surface_Engine!$L$12:$L$72,$A731+1)*IF($A731&lt;$Q$699,INDEX(Surface_Engine!$Z$12:$Z$72,$A731+1),INDEX(Surface_Engine!$Z$12:$Z$72,$Q$699+1))</f>
        <v>0.229393730777793</v>
      </c>
      <c r="F731" s="48" t="n">
        <f aca="false">B731*(IF($A731&lt;$Q$699,INDEX(Surface_Engine!$D$12:$D$72,$A731+1)+(Surface_Engine!Q241*12)*INDEX(Surface_Engine!$F$12:$F$72,$A731+1)-(Surface_Engine!Q241*12),1000*12*INDEX(Surface_Engine!$C$12:$C$72,$A731+1)/(1+Assumptions!$B$10)^25+INDEX(Surface_Engine!$D$12:$D$72,$A731+1)))*INDEX(Surface_Engine!$B$12:$B$72,$A731+1)+F732</f>
        <v>5139.70695801863</v>
      </c>
      <c r="G731" s="48" t="n">
        <f aca="false">C731*(IF($A731&lt;$Q$699,INDEX(Surface_Engine!$D$12:$D$72,$A731+1)+(Surface_Engine!Q241*12)*INDEX(Surface_Engine!$F$12:$F$72,$A731+1)-(Surface_Engine!Q241*12),1000*12*INDEX(Surface_Engine!$C$12:$C$72,$A731+1)/(1+Assumptions!$B$10)^25+INDEX(Surface_Engine!$D$12:$D$72,$A731+1)))*INDEX(Surface_Engine!$B$12:$B$72,$A731+1)+G732</f>
        <v>7999.88071921537</v>
      </c>
      <c r="H731" s="48" t="n">
        <f aca="false">D731*(IF($A731&lt;$Q$699,INDEX(Surface_Engine!$D$12:$D$72,$A731+1)+(Surface_Engine!Q241*12)*INDEX(Surface_Engine!$F$12:$F$72,$A731+1)-(Surface_Engine!Q241*12),1000*12*INDEX(Surface_Engine!$C$12:$C$72,$A731+1)/(1+Assumptions!$B$10)^25+INDEX(Surface_Engine!$D$12:$D$72,$A731+1)))*INDEX(Surface_Engine!$B$12:$B$72,$A731+1)+H732</f>
        <v>4446.52444875513</v>
      </c>
      <c r="I731" s="48" t="n">
        <f aca="false">E731*(IF($A731&lt;$Q$699,INDEX(Surface_Engine!$D$12:$D$72,$A731+1)+(Surface_Engine!Q241*12)*INDEX(Surface_Engine!$F$12:$F$72,$A731+1)-(Surface_Engine!Q241*12),1000*12*INDEX(Surface_Engine!$C$12:$C$72,$A731+1)/(1+Assumptions!$B$10)^25+INDEX(Surface_Engine!$D$12:$D$72,$A731+1)))*INDEX(Surface_Engine!$B$12:$B$72,$A731+1)+I732</f>
        <v>5934.24958620184</v>
      </c>
      <c r="J731" s="48" t="n">
        <f aca="false">B731*(IF($A731&lt;$Q$699,INDEX(Surface_Engine!$D$12:$D$72,$A731+1)*(1+Assumptions!$B$24)+(Surface_Engine!Q241*12)*INDEX(Surface_Engine!$F$12:$F$72,$A731+1)-(Surface_Engine!Q241*12),1000*12*INDEX(Surface_Engine!$C$12:$C$72,$A731+1)/(1+Assumptions!$B$10)^25+INDEX(Surface_Engine!$D$12:$D$72,$A731+1)*(1+Assumptions!$B$24)))*INDEX(Surface_Engine!$B$12:$B$72,$A731+1)+J732</f>
        <v>5146.40121566582</v>
      </c>
      <c r="K731" s="12" t="n">
        <f aca="false">SQRT((IF(C731&lt;=0,0,MAX(0,(B731/C731)*G731/INDEX(Surface_Engine!$B$12:$B$72,$A731+1)-F731/INDEX(Surface_Engine!$B$12:$B$72,$A731+1))))^2+(MAX(IF(D731&lt;=0,0,MAX(0,(B731/D731)*H731/INDEX(Surface_Engine!$B$12:$B$72,$A731+1)-F731/INDEX(Surface_Engine!$B$12:$B$72,$A731+1))),IF(E731&lt;=0,0,MAX(0,(B731/E731)*I731/INDEX(Surface_Engine!$B$12:$B$72,$A731+1)-F731/INDEX(Surface_Engine!$B$12:$B$72,$A731+1))),IF($A731&lt;$Q$699,MAX(0,-Assumptions!$B$22*(F731/INDEX(Surface_Engine!$B$12:$B$72,$A731+1))),0)))^2+(MAX(0,J731/INDEX(Surface_Engine!$B$12:$B$72,$A731+1)-(F731/INDEX(Surface_Engine!$B$12:$B$72,$A731+1))))^2+2*Assumptions!$B$26*(IF(C731&lt;=0,0,MAX(0,(B731/C731)*G731/INDEX(Surface_Engine!$B$12:$B$72,$A731+1)-F731/INDEX(Surface_Engine!$B$12:$B$72,$A731+1))))*(MAX(IF(D731&lt;=0,0,MAX(0,(B731/D731)*H731/INDEX(Surface_Engine!$B$12:$B$72,$A731+1)-F731/INDEX(Surface_Engine!$B$12:$B$72,$A731+1))),IF(E731&lt;=0,0,MAX(0,(B731/E731)*I731/INDEX(Surface_Engine!$B$12:$B$72,$A731+1)-F731/INDEX(Surface_Engine!$B$12:$B$72,$A731+1))),IF($A731&lt;$Q$699,MAX(0,-Assumptions!$B$22*(F731/INDEX(Surface_Engine!$B$12:$B$72,$A731+1))),0)))+2*Assumptions!$B$27*(IF(C731&lt;=0,0,MAX(0,(B731/C731)*G731/INDEX(Surface_Engine!$B$12:$B$72,$A731+1)-F731/INDEX(Surface_Engine!$B$12:$B$72,$A731+1))))*(MAX(0,J731/INDEX(Surface_Engine!$B$12:$B$72,$A731+1)-(F731/INDEX(Surface_Engine!$B$12:$B$72,$A731+1))))+2*Assumptions!$B$28*(MAX(IF(D731&lt;=0,0,MAX(0,(B731/D731)*H731/INDEX(Surface_Engine!$B$12:$B$72,$A731+1)-F731/INDEX(Surface_Engine!$B$12:$B$72,$A731+1))),IF(E731&lt;=0,0,MAX(0,(B731/E731)*I731/INDEX(Surface_Engine!$B$12:$B$72,$A731+1)-F731/INDEX(Surface_Engine!$B$12:$B$72,$A731+1))),IF($A731&lt;$Q$699,MAX(0,-Assumptions!$B$22*(F731/INDEX(Surface_Engine!$B$12:$B$72,$A731+1))),0)))*(MAX(0,J731/INDEX(Surface_Engine!$B$12:$B$72,$A731+1)-(F731/INDEX(Surface_Engine!$B$12:$B$72,$A731+1)))))</f>
        <v>2397.03627281465</v>
      </c>
      <c r="L731" s="48" t="n">
        <f aca="false">K731*INDEX(Surface_Engine!$B$12:$B$72,$A731+1)+L732</f>
        <v>4095.70835852976</v>
      </c>
      <c r="M731" s="48" t="n">
        <f aca="false">M730+B730*(IF($A730&lt;$Q$699,(Surface_Engine!Q241*12)-(Surface_Engine!Q241*12)*INDEX(Surface_Engine!$F$12:$F$72,$A730+1)-INDEX(Surface_Engine!$D$12:$D$72,$A730+1),-(1000*12*INDEX(Surface_Engine!$C$12:$C$72,$A730+1)/(1+Assumptions!$B$10)^25+INDEX(Surface_Engine!$D$12:$D$72,$A730+1))))*INDEX(Surface_Engine!$B$12:$B$72,$A730+1)</f>
        <v>5662.93181753205</v>
      </c>
      <c r="N731" s="12" t="n">
        <f aca="false">IF(B731&lt;=0,0,MAX(0,(K731+Assumptions!$B$29*L731/INDEX(Surface_Engine!$B$12:$B$72,$A731+1)-(M731/INDEX(Surface_Engine!$B$12:$B$72,$A731+1)-(F731/INDEX(Surface_Engine!$B$12:$B$72,$A731+1))))/B731))</f>
        <v>8488.36140357267</v>
      </c>
    </row>
    <row r="732" customFormat="false" ht="15" hidden="false" customHeight="true" outlineLevel="0" collapsed="false">
      <c r="A732" s="1" t="n">
        <v>31</v>
      </c>
      <c r="B732" s="32" t="n">
        <f aca="false">INDEX(Surface_Engine!$L$12:$L$72,$A732+1)*IF($A732&lt;$Q$699,INDEX(Surface_Engine!$E$12:$E$72,$A732+1),INDEX(Surface_Engine!$E$12:$E$72,$Q$699+1))</f>
        <v>0.167288031293642</v>
      </c>
      <c r="C732" s="32" t="n">
        <f aca="false">INDEX(Panel_Reserving!$D$8:$D$68,$A732+1)*IF($A732&lt;$Q$699,INDEX(Surface_Engine!$E$12:$E$72,$A732+1),INDEX(Surface_Engine!$E$12:$E$72,$Q$699+1))</f>
        <v>0.228596373356229</v>
      </c>
      <c r="D732" s="32" t="n">
        <f aca="false">INDEX(Surface_Engine!$L$12:$L$72,$A732+1)*IF($A732&lt;$Q$699,INDEX(Surface_Engine!$Y$12:$Y$72,$A732+1),INDEX(Surface_Engine!$Y$12:$Y$72,$Q$699+1))</f>
        <v>0.1447262124489</v>
      </c>
      <c r="E732" s="32" t="n">
        <f aca="false">INDEX(Surface_Engine!$L$12:$L$72,$A732+1)*IF($A732&lt;$Q$699,INDEX(Surface_Engine!$Z$12:$Z$72,$A732+1),INDEX(Surface_Engine!$Z$12:$Z$72,$Q$699+1))</f>
        <v>0.193148936036524</v>
      </c>
      <c r="F732" s="48" t="n">
        <f aca="false">B732*(IF($A732&lt;$Q$699,INDEX(Surface_Engine!$D$12:$D$72,$A732+1)+(Surface_Engine!Q241*12)*INDEX(Surface_Engine!$F$12:$F$72,$A732+1)-(Surface_Engine!Q241*12),1000*12*INDEX(Surface_Engine!$C$12:$C$72,$A732+1)/(1+Assumptions!$B$10)^25+INDEX(Surface_Engine!$D$12:$D$72,$A732+1)))*INDEX(Surface_Engine!$B$12:$B$72,$A732+1)+F733</f>
        <v>4098.42769784647</v>
      </c>
      <c r="G732" s="48" t="n">
        <f aca="false">C732*(IF($A732&lt;$Q$699,INDEX(Surface_Engine!$D$12:$D$72,$A732+1)+(Surface_Engine!Q241*12)*INDEX(Surface_Engine!$F$12:$F$72,$A732+1)-(Surface_Engine!Q241*12),1000*12*INDEX(Surface_Engine!$C$12:$C$72,$A732+1)/(1+Assumptions!$B$10)^25+INDEX(Surface_Engine!$D$12:$D$72,$A732+1)))*INDEX(Surface_Engine!$B$12:$B$72,$A732+1)+G733</f>
        <v>6628.45954961313</v>
      </c>
      <c r="H732" s="48" t="n">
        <f aca="false">D732*(IF($A732&lt;$Q$699,INDEX(Surface_Engine!$D$12:$D$72,$A732+1)+(Surface_Engine!Q241*12)*INDEX(Surface_Engine!$F$12:$F$72,$A732+1)-(Surface_Engine!Q241*12),1000*12*INDEX(Surface_Engine!$C$12:$C$72,$A732+1)/(1+Assumptions!$B$10)^25+INDEX(Surface_Engine!$D$12:$D$72,$A732+1)))*INDEX(Surface_Engine!$B$12:$B$72,$A732+1)+H733</f>
        <v>3545.68054342048</v>
      </c>
      <c r="I732" s="48" t="n">
        <f aca="false">E732*(IF($A732&lt;$Q$699,INDEX(Surface_Engine!$D$12:$D$72,$A732+1)+(Surface_Engine!Q241*12)*INDEX(Surface_Engine!$F$12:$F$72,$A732+1)-(Surface_Engine!Q241*12),1000*12*INDEX(Surface_Engine!$C$12:$C$72,$A732+1)/(1+Assumptions!$B$10)^25+INDEX(Surface_Engine!$D$12:$D$72,$A732+1)))*INDEX(Surface_Engine!$B$12:$B$72,$A732+1)+I733</f>
        <v>4731.99991141119</v>
      </c>
      <c r="J732" s="48" t="n">
        <f aca="false">B732*(IF($A732&lt;$Q$699,INDEX(Surface_Engine!$D$12:$D$72,$A732+1)*(1+Assumptions!$B$24)+(Surface_Engine!Q241*12)*INDEX(Surface_Engine!$F$12:$F$72,$A732+1)-(Surface_Engine!Q241*12),1000*12*INDEX(Surface_Engine!$C$12:$C$72,$A732+1)/(1+Assumptions!$B$10)^25+INDEX(Surface_Engine!$D$12:$D$72,$A732+1)*(1+Assumptions!$B$24)))*INDEX(Surface_Engine!$B$12:$B$72,$A732+1)+J733</f>
        <v>4103.78747226193</v>
      </c>
      <c r="K732" s="12" t="n">
        <f aca="false">SQRT((IF(C732&lt;=0,0,MAX(0,(B732/C732)*G732/INDEX(Surface_Engine!$B$12:$B$72,$A732+1)-F732/INDEX(Surface_Engine!$B$12:$B$72,$A732+1))))^2+(MAX(IF(D732&lt;=0,0,MAX(0,(B732/D732)*H732/INDEX(Surface_Engine!$B$12:$B$72,$A732+1)-F732/INDEX(Surface_Engine!$B$12:$B$72,$A732+1))),IF(E732&lt;=0,0,MAX(0,(B732/E732)*I732/INDEX(Surface_Engine!$B$12:$B$72,$A732+1)-F732/INDEX(Surface_Engine!$B$12:$B$72,$A732+1))),IF($A732&lt;$Q$699,MAX(0,-Assumptions!$B$22*(F732/INDEX(Surface_Engine!$B$12:$B$72,$A732+1))),0)))^2+(MAX(0,J732/INDEX(Surface_Engine!$B$12:$B$72,$A732+1)-(F732/INDEX(Surface_Engine!$B$12:$B$72,$A732+1))))^2+2*Assumptions!$B$26*(IF(C732&lt;=0,0,MAX(0,(B732/C732)*G732/INDEX(Surface_Engine!$B$12:$B$72,$A732+1)-F732/INDEX(Surface_Engine!$B$12:$B$72,$A732+1))))*(MAX(IF(D732&lt;=0,0,MAX(0,(B732/D732)*H732/INDEX(Surface_Engine!$B$12:$B$72,$A732+1)-F732/INDEX(Surface_Engine!$B$12:$B$72,$A732+1))),IF(E732&lt;=0,0,MAX(0,(B732/E732)*I732/INDEX(Surface_Engine!$B$12:$B$72,$A732+1)-F732/INDEX(Surface_Engine!$B$12:$B$72,$A732+1))),IF($A732&lt;$Q$699,MAX(0,-Assumptions!$B$22*(F732/INDEX(Surface_Engine!$B$12:$B$72,$A732+1))),0)))+2*Assumptions!$B$27*(IF(C732&lt;=0,0,MAX(0,(B732/C732)*G732/INDEX(Surface_Engine!$B$12:$B$72,$A732+1)-F732/INDEX(Surface_Engine!$B$12:$B$72,$A732+1))))*(MAX(0,J732/INDEX(Surface_Engine!$B$12:$B$72,$A732+1)-(F732/INDEX(Surface_Engine!$B$12:$B$72,$A732+1))))+2*Assumptions!$B$28*(MAX(IF(D732&lt;=0,0,MAX(0,(B732/D732)*H732/INDEX(Surface_Engine!$B$12:$B$72,$A732+1)-F732/INDEX(Surface_Engine!$B$12:$B$72,$A732+1))),IF(E732&lt;=0,0,MAX(0,(B732/E732)*I732/INDEX(Surface_Engine!$B$12:$B$72,$A732+1)-F732/INDEX(Surface_Engine!$B$12:$B$72,$A732+1))),IF($A732&lt;$Q$699,MAX(0,-Assumptions!$B$22*(F732/INDEX(Surface_Engine!$B$12:$B$72,$A732+1))),0)))*(MAX(0,J732/INDEX(Surface_Engine!$B$12:$B$72,$A732+1)-(F732/INDEX(Surface_Engine!$B$12:$B$72,$A732+1)))))</f>
        <v>1992.02996136401</v>
      </c>
      <c r="L732" s="48" t="n">
        <f aca="false">K732*INDEX(Surface_Engine!$B$12:$B$72,$A732+1)+L733</f>
        <v>3159.64807628584</v>
      </c>
      <c r="M732" s="48" t="n">
        <f aca="false">M731+B731*(IF($A731&lt;$Q$699,(Surface_Engine!Q241*12)-(Surface_Engine!Q241*12)*INDEX(Surface_Engine!$F$12:$F$72,$A731+1)-INDEX(Surface_Engine!$D$12:$D$72,$A731+1),-(1000*12*INDEX(Surface_Engine!$C$12:$C$72,$A731+1)/(1+Assumptions!$B$10)^25+INDEX(Surface_Engine!$D$12:$D$72,$A731+1))))*INDEX(Surface_Engine!$B$12:$B$72,$A731+1)</f>
        <v>4621.65255735989</v>
      </c>
      <c r="N732" s="12" t="n">
        <f aca="false">IF(B732&lt;=0,0,MAX(0,(K732+Assumptions!$B$29*L732/INDEX(Surface_Engine!$B$12:$B$72,$A732+1)-(M732/INDEX(Surface_Engine!$B$12:$B$72,$A732+1)-(F732/INDEX(Surface_Engine!$B$12:$B$72,$A732+1))))/B732))</f>
        <v>6636.28005904537</v>
      </c>
    </row>
    <row r="733" customFormat="false" ht="15" hidden="false" customHeight="true" outlineLevel="0" collapsed="false">
      <c r="A733" s="1" t="n">
        <v>32</v>
      </c>
      <c r="B733" s="32" t="n">
        <f aca="false">INDEX(Surface_Engine!$L$12:$L$72,$A733+1)*IF($A733&lt;$Q$699,INDEX(Surface_Engine!$E$12:$E$72,$A733+1),INDEX(Surface_Engine!$E$12:$E$72,$Q$699+1))</f>
        <v>0.139153520858561</v>
      </c>
      <c r="C733" s="32" t="n">
        <f aca="false">INDEX(Panel_Reserving!$D$8:$D$68,$A733+1)*IF($A733&lt;$Q$699,INDEX(Surface_Engine!$E$12:$E$72,$A733+1),INDEX(Surface_Engine!$E$12:$E$72,$Q$699+1))</f>
        <v>0.19784009269764</v>
      </c>
      <c r="D733" s="32" t="n">
        <f aca="false">INDEX(Surface_Engine!$L$12:$L$72,$A733+1)*IF($A733&lt;$Q$699,INDEX(Surface_Engine!$Y$12:$Y$72,$A733+1),INDEX(Surface_Engine!$Y$12:$Y$72,$Q$699+1))</f>
        <v>0.120386149965732</v>
      </c>
      <c r="E733" s="32" t="n">
        <f aca="false">INDEX(Surface_Engine!$L$12:$L$72,$A733+1)*IF($A733&lt;$Q$699,INDEX(Surface_Engine!$Z$12:$Z$72,$A733+1),INDEX(Surface_Engine!$Z$12:$Z$72,$Q$699+1))</f>
        <v>0.160665137199141</v>
      </c>
      <c r="F733" s="48" t="n">
        <f aca="false">B733*(IF($A733&lt;$Q$699,INDEX(Surface_Engine!$D$12:$D$72,$A733+1)+(Surface_Engine!Q241*12)*INDEX(Surface_Engine!$F$12:$F$72,$A733+1)-(Surface_Engine!Q241*12),1000*12*INDEX(Surface_Engine!$C$12:$C$72,$A733+1)/(1+Assumptions!$B$10)^25+INDEX(Surface_Engine!$D$12:$D$72,$A733+1)))*INDEX(Surface_Engine!$B$12:$B$72,$A733+1)+F734</f>
        <v>3231.93957842697</v>
      </c>
      <c r="G733" s="48" t="n">
        <f aca="false">C733*(IF($A733&lt;$Q$699,INDEX(Surface_Engine!$D$12:$D$72,$A733+1)+(Surface_Engine!Q241*12)*INDEX(Surface_Engine!$F$12:$F$72,$A733+1)-(Surface_Engine!Q241*12),1000*12*INDEX(Surface_Engine!$C$12:$C$72,$A733+1)/(1+Assumptions!$B$10)^25+INDEX(Surface_Engine!$D$12:$D$72,$A733+1)))*INDEX(Surface_Engine!$B$12:$B$72,$A733+1)+G734</f>
        <v>5444.41763027299</v>
      </c>
      <c r="H733" s="48" t="n">
        <f aca="false">D733*(IF($A733&lt;$Q$699,INDEX(Surface_Engine!$D$12:$D$72,$A733+1)+(Surface_Engine!Q241*12)*INDEX(Surface_Engine!$F$12:$F$72,$A733+1)-(Surface_Engine!Q241*12),1000*12*INDEX(Surface_Engine!$C$12:$C$72,$A733+1)/(1+Assumptions!$B$10)^25+INDEX(Surface_Engine!$D$12:$D$72,$A733+1)))*INDEX(Surface_Engine!$B$12:$B$72,$A733+1)+H734</f>
        <v>2796.05402988089</v>
      </c>
      <c r="I733" s="48" t="n">
        <f aca="false">E733*(IF($A733&lt;$Q$699,INDEX(Surface_Engine!$D$12:$D$72,$A733+1)+(Surface_Engine!Q241*12)*INDEX(Surface_Engine!$F$12:$F$72,$A733+1)-(Surface_Engine!Q241*12),1000*12*INDEX(Surface_Engine!$C$12:$C$72,$A733+1)/(1+Assumptions!$B$10)^25+INDEX(Surface_Engine!$D$12:$D$72,$A733+1)))*INDEX(Surface_Engine!$B$12:$B$72,$A733+1)+I734</f>
        <v>3731.56218098925</v>
      </c>
      <c r="J733" s="48" t="n">
        <f aca="false">B733*(IF($A733&lt;$Q$699,INDEX(Surface_Engine!$D$12:$D$72,$A733+1)*(1+Assumptions!$B$24)+(Surface_Engine!Q241*12)*INDEX(Surface_Engine!$F$12:$F$72,$A733+1)-(Surface_Engine!Q241*12),1000*12*INDEX(Surface_Engine!$C$12:$C$72,$A733+1)/(1+Assumptions!$B$10)^25+INDEX(Surface_Engine!$D$12:$D$72,$A733+1)*(1+Assumptions!$B$24)))*INDEX(Surface_Engine!$B$12:$B$72,$A733+1)+J734</f>
        <v>3236.18350513336</v>
      </c>
      <c r="K733" s="12" t="n">
        <f aca="false">SQRT((IF(C733&lt;=0,0,MAX(0,(B733/C733)*G733/INDEX(Surface_Engine!$B$12:$B$72,$A733+1)-F733/INDEX(Surface_Engine!$B$12:$B$72,$A733+1))))^2+(MAX(IF(D733&lt;=0,0,MAX(0,(B733/D733)*H733/INDEX(Surface_Engine!$B$12:$B$72,$A733+1)-F733/INDEX(Surface_Engine!$B$12:$B$72,$A733+1))),IF(E733&lt;=0,0,MAX(0,(B733/E733)*I733/INDEX(Surface_Engine!$B$12:$B$72,$A733+1)-F733/INDEX(Surface_Engine!$B$12:$B$72,$A733+1))),IF($A733&lt;$Q$699,MAX(0,-Assumptions!$B$22*(F733/INDEX(Surface_Engine!$B$12:$B$72,$A733+1))),0)))^2+(MAX(0,J733/INDEX(Surface_Engine!$B$12:$B$72,$A733+1)-(F733/INDEX(Surface_Engine!$B$12:$B$72,$A733+1))))^2+2*Assumptions!$B$26*(IF(C733&lt;=0,0,MAX(0,(B733/C733)*G733/INDEX(Surface_Engine!$B$12:$B$72,$A733+1)-F733/INDEX(Surface_Engine!$B$12:$B$72,$A733+1))))*(MAX(IF(D733&lt;=0,0,MAX(0,(B733/D733)*H733/INDEX(Surface_Engine!$B$12:$B$72,$A733+1)-F733/INDEX(Surface_Engine!$B$12:$B$72,$A733+1))),IF(E733&lt;=0,0,MAX(0,(B733/E733)*I733/INDEX(Surface_Engine!$B$12:$B$72,$A733+1)-F733/INDEX(Surface_Engine!$B$12:$B$72,$A733+1))),IF($A733&lt;$Q$699,MAX(0,-Assumptions!$B$22*(F733/INDEX(Surface_Engine!$B$12:$B$72,$A733+1))),0)))+2*Assumptions!$B$27*(IF(C733&lt;=0,0,MAX(0,(B733/C733)*G733/INDEX(Surface_Engine!$B$12:$B$72,$A733+1)-F733/INDEX(Surface_Engine!$B$12:$B$72,$A733+1))))*(MAX(0,J733/INDEX(Surface_Engine!$B$12:$B$72,$A733+1)-(F733/INDEX(Surface_Engine!$B$12:$B$72,$A733+1))))+2*Assumptions!$B$28*(MAX(IF(D733&lt;=0,0,MAX(0,(B733/D733)*H733/INDEX(Surface_Engine!$B$12:$B$72,$A733+1)-F733/INDEX(Surface_Engine!$B$12:$B$72,$A733+1))),IF(E733&lt;=0,0,MAX(0,(B733/E733)*I733/INDEX(Surface_Engine!$B$12:$B$72,$A733+1)-F733/INDEX(Surface_Engine!$B$12:$B$72,$A733+1))),IF($A733&lt;$Q$699,MAX(0,-Assumptions!$B$22*(F733/INDEX(Surface_Engine!$B$12:$B$72,$A733+1))),0)))*(MAX(0,J733/INDEX(Surface_Engine!$B$12:$B$72,$A733+1)-(F733/INDEX(Surface_Engine!$B$12:$B$72,$A733+1)))))</f>
        <v>1633.40267116358</v>
      </c>
      <c r="L733" s="48" t="n">
        <f aca="false">K733*INDEX(Surface_Engine!$B$12:$B$72,$A733+1)+L734</f>
        <v>2405.97631642129</v>
      </c>
      <c r="M733" s="48" t="n">
        <f aca="false">M732+B732*(IF($A732&lt;$Q$699,(Surface_Engine!Q241*12)-(Surface_Engine!Q241*12)*INDEX(Surface_Engine!$F$12:$F$72,$A732+1)-INDEX(Surface_Engine!$D$12:$D$72,$A732+1),-(1000*12*INDEX(Surface_Engine!$C$12:$C$72,$A732+1)/(1+Assumptions!$B$10)^25+INDEX(Surface_Engine!$D$12:$D$72,$A732+1))))*INDEX(Surface_Engine!$B$12:$B$72,$A732+1)</f>
        <v>3755.16443794039</v>
      </c>
      <c r="N733" s="12" t="n">
        <f aca="false">IF(B733&lt;=0,0,MAX(0,(K733+Assumptions!$B$29*L733/INDEX(Surface_Engine!$B$12:$B$72,$A733+1)-(M733/INDEX(Surface_Engine!$B$12:$B$72,$A733+1)-(F733/INDEX(Surface_Engine!$B$12:$B$72,$A733+1))))/B733))</f>
        <v>4308.09120767118</v>
      </c>
    </row>
    <row r="734" customFormat="false" ht="15" hidden="false" customHeight="true" outlineLevel="0" collapsed="false">
      <c r="A734" s="1" t="n">
        <v>33</v>
      </c>
      <c r="B734" s="32" t="n">
        <f aca="false">INDEX(Surface_Engine!$L$12:$L$72,$A734+1)*IF($A734&lt;$Q$699,INDEX(Surface_Engine!$E$12:$E$72,$A734+1),INDEX(Surface_Engine!$E$12:$E$72,$Q$699+1))</f>
        <v>0.114371828558206</v>
      </c>
      <c r="C734" s="32" t="n">
        <f aca="false">INDEX(Panel_Reserving!$D$8:$D$68,$A734+1)*IF($A734&lt;$Q$699,INDEX(Surface_Engine!$E$12:$E$72,$A734+1),INDEX(Surface_Engine!$E$12:$E$72,$Q$699+1))</f>
        <v>0.169653598979583</v>
      </c>
      <c r="D734" s="32" t="n">
        <f aca="false">INDEX(Surface_Engine!$L$12:$L$72,$A734+1)*IF($A734&lt;$Q$699,INDEX(Surface_Engine!$Y$12:$Y$72,$A734+1),INDEX(Surface_Engine!$Y$12:$Y$72,$Q$699+1))</f>
        <v>0.0989467174075896</v>
      </c>
      <c r="E734" s="32" t="n">
        <f aca="false">INDEX(Surface_Engine!$L$12:$L$72,$A734+1)*IF($A734&lt;$Q$699,INDEX(Surface_Engine!$Z$12:$Z$72,$A734+1),INDEX(Surface_Engine!$Z$12:$Z$72,$Q$699+1))</f>
        <v>0.132052465605223</v>
      </c>
      <c r="F734" s="48" t="n">
        <f aca="false">B734*(IF($A734&lt;$Q$699,INDEX(Surface_Engine!$D$12:$D$72,$A734+1)+(Surface_Engine!Q241*12)*INDEX(Surface_Engine!$F$12:$F$72,$A734+1)-(Surface_Engine!Q241*12),1000*12*INDEX(Surface_Engine!$C$12:$C$72,$A734+1)/(1+Assumptions!$B$10)^25+INDEX(Surface_Engine!$D$12:$D$72,$A734+1)))*INDEX(Surface_Engine!$B$12:$B$72,$A734+1)+F735</f>
        <v>2519.85170017449</v>
      </c>
      <c r="G734" s="48" t="n">
        <f aca="false">C734*(IF($A734&lt;$Q$699,INDEX(Surface_Engine!$D$12:$D$72,$A734+1)+(Surface_Engine!Q241*12)*INDEX(Surface_Engine!$F$12:$F$72,$A734+1)-(Surface_Engine!Q241*12),1000*12*INDEX(Surface_Engine!$C$12:$C$72,$A734+1)/(1+Assumptions!$B$10)^25+INDEX(Surface_Engine!$D$12:$D$72,$A734+1)))*INDEX(Surface_Engine!$B$12:$B$72,$A734+1)+G735</f>
        <v>4432.01398447857</v>
      </c>
      <c r="H734" s="48" t="n">
        <f aca="false">D734*(IF($A734&lt;$Q$699,INDEX(Surface_Engine!$D$12:$D$72,$A734+1)+(Surface_Engine!Q241*12)*INDEX(Surface_Engine!$F$12:$F$72,$A734+1)-(Surface_Engine!Q241*12),1000*12*INDEX(Surface_Engine!$C$12:$C$72,$A734+1)/(1+Assumptions!$B$10)^25+INDEX(Surface_Engine!$D$12:$D$72,$A734+1)))*INDEX(Surface_Engine!$B$12:$B$72,$A734+1)+H735</f>
        <v>2180.00409042434</v>
      </c>
      <c r="I734" s="48" t="n">
        <f aca="false">E734*(IF($A734&lt;$Q$699,INDEX(Surface_Engine!$D$12:$D$72,$A734+1)+(Surface_Engine!Q241*12)*INDEX(Surface_Engine!$F$12:$F$72,$A734+1)-(Surface_Engine!Q241*12),1000*12*INDEX(Surface_Engine!$C$12:$C$72,$A734+1)/(1+Assumptions!$B$10)^25+INDEX(Surface_Engine!$D$12:$D$72,$A734+1)))*INDEX(Surface_Engine!$B$12:$B$72,$A734+1)+I735</f>
        <v>2909.39328471269</v>
      </c>
      <c r="J734" s="48" t="n">
        <f aca="false">B734*(IF($A734&lt;$Q$699,INDEX(Surface_Engine!$D$12:$D$72,$A734+1)*(1+Assumptions!$B$24)+(Surface_Engine!Q241*12)*INDEX(Surface_Engine!$F$12:$F$72,$A734+1)-(Surface_Engine!Q241*12),1000*12*INDEX(Surface_Engine!$C$12:$C$72,$A734+1)/(1+Assumptions!$B$10)^25+INDEX(Surface_Engine!$D$12:$D$72,$A734+1)*(1+Assumptions!$B$24)))*INDEX(Surface_Engine!$B$12:$B$72,$A734+1)+J735</f>
        <v>2523.17417600835</v>
      </c>
      <c r="K734" s="12" t="n">
        <f aca="false">SQRT((IF(C734&lt;=0,0,MAX(0,(B734/C734)*G734/INDEX(Surface_Engine!$B$12:$B$72,$A734+1)-F734/INDEX(Surface_Engine!$B$12:$B$72,$A734+1))))^2+(MAX(IF(D734&lt;=0,0,MAX(0,(B734/D734)*H734/INDEX(Surface_Engine!$B$12:$B$72,$A734+1)-F734/INDEX(Surface_Engine!$B$12:$B$72,$A734+1))),IF(E734&lt;=0,0,MAX(0,(B734/E734)*I734/INDEX(Surface_Engine!$B$12:$B$72,$A734+1)-F734/INDEX(Surface_Engine!$B$12:$B$72,$A734+1))),IF($A734&lt;$Q$699,MAX(0,-Assumptions!$B$22*(F734/INDEX(Surface_Engine!$B$12:$B$72,$A734+1))),0)))^2+(MAX(0,J734/INDEX(Surface_Engine!$B$12:$B$72,$A734+1)-(F734/INDEX(Surface_Engine!$B$12:$B$72,$A734+1))))^2+2*Assumptions!$B$26*(IF(C734&lt;=0,0,MAX(0,(B734/C734)*G734/INDEX(Surface_Engine!$B$12:$B$72,$A734+1)-F734/INDEX(Surface_Engine!$B$12:$B$72,$A734+1))))*(MAX(IF(D734&lt;=0,0,MAX(0,(B734/D734)*H734/INDEX(Surface_Engine!$B$12:$B$72,$A734+1)-F734/INDEX(Surface_Engine!$B$12:$B$72,$A734+1))),IF(E734&lt;=0,0,MAX(0,(B734/E734)*I734/INDEX(Surface_Engine!$B$12:$B$72,$A734+1)-F734/INDEX(Surface_Engine!$B$12:$B$72,$A734+1))),IF($A734&lt;$Q$699,MAX(0,-Assumptions!$B$22*(F734/INDEX(Surface_Engine!$B$12:$B$72,$A734+1))),0)))+2*Assumptions!$B$27*(IF(C734&lt;=0,0,MAX(0,(B734/C734)*G734/INDEX(Surface_Engine!$B$12:$B$72,$A734+1)-F734/INDEX(Surface_Engine!$B$12:$B$72,$A734+1))))*(MAX(0,J734/INDEX(Surface_Engine!$B$12:$B$72,$A734+1)-(F734/INDEX(Surface_Engine!$B$12:$B$72,$A734+1))))+2*Assumptions!$B$28*(MAX(IF(D734&lt;=0,0,MAX(0,(B734/D734)*H734/INDEX(Surface_Engine!$B$12:$B$72,$A734+1)-F734/INDEX(Surface_Engine!$B$12:$B$72,$A734+1))),IF(E734&lt;=0,0,MAX(0,(B734/E734)*I734/INDEX(Surface_Engine!$B$12:$B$72,$A734+1)-F734/INDEX(Surface_Engine!$B$12:$B$72,$A734+1))),IF($A734&lt;$Q$699,MAX(0,-Assumptions!$B$22*(F734/INDEX(Surface_Engine!$B$12:$B$72,$A734+1))),0)))*(MAX(0,J734/INDEX(Surface_Engine!$B$12:$B$72,$A734+1)-(F734/INDEX(Surface_Engine!$B$12:$B$72,$A734+1)))))</f>
        <v>1321.04078718261</v>
      </c>
      <c r="L734" s="48" t="n">
        <f aca="false">K734*INDEX(Surface_Engine!$B$12:$B$72,$A734+1)+L735</f>
        <v>1807.43559487434</v>
      </c>
      <c r="M734" s="48" t="n">
        <f aca="false">M733+B733*(IF($A733&lt;$Q$699,(Surface_Engine!Q241*12)-(Surface_Engine!Q241*12)*INDEX(Surface_Engine!$F$12:$F$72,$A733+1)-INDEX(Surface_Engine!$D$12:$D$72,$A733+1),-(1000*12*INDEX(Surface_Engine!$C$12:$C$72,$A733+1)/(1+Assumptions!$B$10)^25+INDEX(Surface_Engine!$D$12:$D$72,$A733+1))))*INDEX(Surface_Engine!$B$12:$B$72,$A733+1)</f>
        <v>3043.07655968791</v>
      </c>
      <c r="N734" s="12" t="n">
        <f aca="false">IF(B734&lt;=0,0,MAX(0,(K734+Assumptions!$B$29*L734/INDEX(Surface_Engine!$B$12:$B$72,$A734+1)-(M734/INDEX(Surface_Engine!$B$12:$B$72,$A734+1)-(F734/INDEX(Surface_Engine!$B$12:$B$72,$A734+1))))/B734))</f>
        <v>1331.60764296837</v>
      </c>
    </row>
    <row r="735" customFormat="false" ht="15" hidden="false" customHeight="true" outlineLevel="0" collapsed="false">
      <c r="A735" s="1" t="n">
        <v>34</v>
      </c>
      <c r="B735" s="32" t="n">
        <f aca="false">INDEX(Surface_Engine!$L$12:$L$72,$A735+1)*IF($A735&lt;$Q$699,INDEX(Surface_Engine!$E$12:$E$72,$A735+1),INDEX(Surface_Engine!$E$12:$E$72,$Q$699+1))</f>
        <v>0.09287367667609</v>
      </c>
      <c r="C735" s="32" t="n">
        <f aca="false">INDEX(Panel_Reserving!$D$8:$D$68,$A735+1)*IF($A735&lt;$Q$699,INDEX(Surface_Engine!$E$12:$E$72,$A735+1),INDEX(Surface_Engine!$E$12:$E$72,$Q$699+1))</f>
        <v>0.144142149985974</v>
      </c>
      <c r="D735" s="32" t="n">
        <f aca="false">INDEX(Surface_Engine!$L$12:$L$72,$A735+1)*IF($A735&lt;$Q$699,INDEX(Surface_Engine!$Y$12:$Y$72,$A735+1),INDEX(Surface_Engine!$Y$12:$Y$72,$Q$699+1))</f>
        <v>0.080347980411944</v>
      </c>
      <c r="E735" s="32" t="n">
        <f aca="false">INDEX(Surface_Engine!$L$12:$L$72,$A735+1)*IF($A735&lt;$Q$699,INDEX(Surface_Engine!$Z$12:$Z$72,$A735+1),INDEX(Surface_Engine!$Z$12:$Z$72,$Q$699+1))</f>
        <v>0.107230933959043</v>
      </c>
      <c r="F735" s="48" t="n">
        <f aca="false">B735*(IF($A735&lt;$Q$699,INDEX(Surface_Engine!$D$12:$D$72,$A735+1)+(Surface_Engine!Q241*12)*INDEX(Surface_Engine!$F$12:$F$72,$A735+1)-(Surface_Engine!Q241*12),1000*12*INDEX(Surface_Engine!$C$12:$C$72,$A735+1)/(1+Assumptions!$B$10)^25+INDEX(Surface_Engine!$D$12:$D$72,$A735+1)))*INDEX(Surface_Engine!$B$12:$B$72,$A735+1)+F736</f>
        <v>1941.64461075289</v>
      </c>
      <c r="G735" s="48" t="n">
        <f aca="false">C735*(IF($A735&lt;$Q$699,INDEX(Surface_Engine!$D$12:$D$72,$A735+1)+(Surface_Engine!Q241*12)*INDEX(Surface_Engine!$F$12:$F$72,$A735+1)-(Surface_Engine!Q241*12),1000*12*INDEX(Surface_Engine!$C$12:$C$72,$A735+1)/(1+Assumptions!$B$10)^25+INDEX(Surface_Engine!$D$12:$D$72,$A735+1)))*INDEX(Surface_Engine!$B$12:$B$72,$A735+1)+G736</f>
        <v>3574.32975478242</v>
      </c>
      <c r="H735" s="48" t="n">
        <f aca="false">D735*(IF($A735&lt;$Q$699,INDEX(Surface_Engine!$D$12:$D$72,$A735+1)+(Surface_Engine!Q241*12)*INDEX(Surface_Engine!$F$12:$F$72,$A735+1)-(Surface_Engine!Q241*12),1000*12*INDEX(Surface_Engine!$C$12:$C$72,$A735+1)/(1+Assumptions!$B$10)^25+INDEX(Surface_Engine!$D$12:$D$72,$A735+1)))*INDEX(Surface_Engine!$B$12:$B$72,$A735+1)+H736</f>
        <v>1679.77869225342</v>
      </c>
      <c r="I735" s="48" t="n">
        <f aca="false">E735*(IF($A735&lt;$Q$699,INDEX(Surface_Engine!$D$12:$D$72,$A735+1)+(Surface_Engine!Q241*12)*INDEX(Surface_Engine!$F$12:$F$72,$A735+1)-(Surface_Engine!Q241*12),1000*12*INDEX(Surface_Engine!$C$12:$C$72,$A735+1)/(1+Assumptions!$B$10)^25+INDEX(Surface_Engine!$D$12:$D$72,$A735+1)))*INDEX(Surface_Engine!$B$12:$B$72,$A735+1)+I736</f>
        <v>2241.80168675477</v>
      </c>
      <c r="J735" s="48" t="n">
        <f aca="false">B735*(IF($A735&lt;$Q$699,INDEX(Surface_Engine!$D$12:$D$72,$A735+1)*(1+Assumptions!$B$24)+(Surface_Engine!Q241*12)*INDEX(Surface_Engine!$F$12:$F$72,$A735+1)-(Surface_Engine!Q241*12),1000*12*INDEX(Surface_Engine!$C$12:$C$72,$A735+1)/(1+Assumptions!$B$10)^25+INDEX(Surface_Engine!$D$12:$D$72,$A735+1)*(1+Assumptions!$B$24)))*INDEX(Surface_Engine!$B$12:$B$72,$A735+1)+J736</f>
        <v>1944.21525918332</v>
      </c>
      <c r="K735" s="12" t="n">
        <f aca="false">SQRT((IF(C735&lt;=0,0,MAX(0,(B735/C735)*G735/INDEX(Surface_Engine!$B$12:$B$72,$A735+1)-F735/INDEX(Surface_Engine!$B$12:$B$72,$A735+1))))^2+(MAX(IF(D735&lt;=0,0,MAX(0,(B735/D735)*H735/INDEX(Surface_Engine!$B$12:$B$72,$A735+1)-F735/INDEX(Surface_Engine!$B$12:$B$72,$A735+1))),IF(E735&lt;=0,0,MAX(0,(B735/E735)*I735/INDEX(Surface_Engine!$B$12:$B$72,$A735+1)-F735/INDEX(Surface_Engine!$B$12:$B$72,$A735+1))),IF($A735&lt;$Q$699,MAX(0,-Assumptions!$B$22*(F735/INDEX(Surface_Engine!$B$12:$B$72,$A735+1))),0)))^2+(MAX(0,J735/INDEX(Surface_Engine!$B$12:$B$72,$A735+1)-(F735/INDEX(Surface_Engine!$B$12:$B$72,$A735+1))))^2+2*Assumptions!$B$26*(IF(C735&lt;=0,0,MAX(0,(B735/C735)*G735/INDEX(Surface_Engine!$B$12:$B$72,$A735+1)-F735/INDEX(Surface_Engine!$B$12:$B$72,$A735+1))))*(MAX(IF(D735&lt;=0,0,MAX(0,(B735/D735)*H735/INDEX(Surface_Engine!$B$12:$B$72,$A735+1)-F735/INDEX(Surface_Engine!$B$12:$B$72,$A735+1))),IF(E735&lt;=0,0,MAX(0,(B735/E735)*I735/INDEX(Surface_Engine!$B$12:$B$72,$A735+1)-F735/INDEX(Surface_Engine!$B$12:$B$72,$A735+1))),IF($A735&lt;$Q$699,MAX(0,-Assumptions!$B$22*(F735/INDEX(Surface_Engine!$B$12:$B$72,$A735+1))),0)))+2*Assumptions!$B$27*(IF(C735&lt;=0,0,MAX(0,(B735/C735)*G735/INDEX(Surface_Engine!$B$12:$B$72,$A735+1)-F735/INDEX(Surface_Engine!$B$12:$B$72,$A735+1))))*(MAX(0,J735/INDEX(Surface_Engine!$B$12:$B$72,$A735+1)-(F735/INDEX(Surface_Engine!$B$12:$B$72,$A735+1))))+2*Assumptions!$B$28*(MAX(IF(D735&lt;=0,0,MAX(0,(B735/D735)*H735/INDEX(Surface_Engine!$B$12:$B$72,$A735+1)-F735/INDEX(Surface_Engine!$B$12:$B$72,$A735+1))),IF(E735&lt;=0,0,MAX(0,(B735/E735)*I735/INDEX(Surface_Engine!$B$12:$B$72,$A735+1)-F735/INDEX(Surface_Engine!$B$12:$B$72,$A735+1))),IF($A735&lt;$Q$699,MAX(0,-Assumptions!$B$22*(F735/INDEX(Surface_Engine!$B$12:$B$72,$A735+1))),0)))*(MAX(0,J735/INDEX(Surface_Engine!$B$12:$B$72,$A735+1)-(F735/INDEX(Surface_Engine!$B$12:$B$72,$A735+1)))))</f>
        <v>1053.30267101877</v>
      </c>
      <c r="L735" s="48" t="n">
        <f aca="false">K735*INDEX(Surface_Engine!$B$12:$B$72,$A735+1)+L736</f>
        <v>1338.607204355</v>
      </c>
      <c r="M735" s="48" t="n">
        <f aca="false">M734+B734*(IF($A734&lt;$Q$699,(Surface_Engine!Q241*12)-(Surface_Engine!Q241*12)*INDEX(Surface_Engine!$F$12:$F$72,$A734+1)-INDEX(Surface_Engine!$D$12:$D$72,$A734+1),-(1000*12*INDEX(Surface_Engine!$C$12:$C$72,$A734+1)/(1+Assumptions!$B$10)^25+INDEX(Surface_Engine!$D$12:$D$72,$A734+1))))*INDEX(Surface_Engine!$B$12:$B$72,$A734+1)</f>
        <v>2464.86947026631</v>
      </c>
      <c r="N735" s="12" t="n">
        <f aca="false">IF(B735&lt;=0,0,MAX(0,(K735+Assumptions!$B$29*L735/INDEX(Surface_Engine!$B$12:$B$72,$A735+1)-(M735/INDEX(Surface_Engine!$B$12:$B$72,$A735+1)-(F735/INDEX(Surface_Engine!$B$12:$B$72,$A735+1))))/B735))</f>
        <v>0</v>
      </c>
    </row>
    <row r="736" customFormat="false" ht="15" hidden="false" customHeight="true" outlineLevel="0" collapsed="false">
      <c r="A736" s="1" t="n">
        <v>35</v>
      </c>
      <c r="B736" s="32" t="n">
        <f aca="false">INDEX(Surface_Engine!$L$12:$L$72,$A736+1)*IF($A736&lt;$Q$699,INDEX(Surface_Engine!$E$12:$E$72,$A736+1),INDEX(Surface_Engine!$E$12:$E$72,$Q$699+1))</f>
        <v>0.0744781797303879</v>
      </c>
      <c r="C736" s="32" t="n">
        <f aca="false">INDEX(Panel_Reserving!$D$8:$D$68,$A736+1)*IF($A736&lt;$Q$699,INDEX(Surface_Engine!$E$12:$E$72,$A736+1),INDEX(Surface_Engine!$E$12:$E$72,$Q$699+1))</f>
        <v>0.121301951775137</v>
      </c>
      <c r="D736" s="32" t="n">
        <f aca="false">INDEX(Surface_Engine!$L$12:$L$72,$A736+1)*IF($A736&lt;$Q$699,INDEX(Surface_Engine!$Y$12:$Y$72,$A736+1),INDEX(Surface_Engine!$Y$12:$Y$72,$Q$699+1))</f>
        <v>0.064433449178125</v>
      </c>
      <c r="E736" s="32" t="n">
        <f aca="false">INDEX(Surface_Engine!$L$12:$L$72,$A736+1)*IF($A736&lt;$Q$699,INDEX(Surface_Engine!$Z$12:$Z$72,$A736+1),INDEX(Surface_Engine!$Z$12:$Z$72,$Q$699+1))</f>
        <v>0.0859916938565118</v>
      </c>
      <c r="F736" s="48" t="n">
        <f aca="false">B736*(IF($A736&lt;$Q$699,INDEX(Surface_Engine!$D$12:$D$72,$A736+1)+(Surface_Engine!Q241*12)*INDEX(Surface_Engine!$F$12:$F$72,$A736+1)-(Surface_Engine!Q241*12),1000*12*INDEX(Surface_Engine!$C$12:$C$72,$A736+1)/(1+Assumptions!$B$10)^25+INDEX(Surface_Engine!$D$12:$D$72,$A736+1)))*INDEX(Surface_Engine!$B$12:$B$72,$A736+1)+F737</f>
        <v>1477.80776549626</v>
      </c>
      <c r="G736" s="48" t="n">
        <f aca="false">C736*(IF($A736&lt;$Q$699,INDEX(Surface_Engine!$D$12:$D$72,$A736+1)+(Surface_Engine!Q241*12)*INDEX(Surface_Engine!$F$12:$F$72,$A736+1)-(Surface_Engine!Q241*12),1000*12*INDEX(Surface_Engine!$C$12:$C$72,$A736+1)/(1+Assumptions!$B$10)^25+INDEX(Surface_Engine!$D$12:$D$72,$A736+1)))*INDEX(Surface_Engine!$B$12:$B$72,$A736+1)+G737</f>
        <v>2854.4439646335</v>
      </c>
      <c r="H736" s="48" t="n">
        <f aca="false">D736*(IF($A736&lt;$Q$699,INDEX(Surface_Engine!$D$12:$D$72,$A736+1)+(Surface_Engine!Q241*12)*INDEX(Surface_Engine!$F$12:$F$72,$A736+1)-(Surface_Engine!Q241*12),1000*12*INDEX(Surface_Engine!$C$12:$C$72,$A736+1)/(1+Assumptions!$B$10)^25+INDEX(Surface_Engine!$D$12:$D$72,$A736+1)))*INDEX(Surface_Engine!$B$12:$B$72,$A736+1)+H737</f>
        <v>1278.49864078097</v>
      </c>
      <c r="I736" s="48" t="n">
        <f aca="false">E736*(IF($A736&lt;$Q$699,INDEX(Surface_Engine!$D$12:$D$72,$A736+1)+(Surface_Engine!Q241*12)*INDEX(Surface_Engine!$F$12:$F$72,$A736+1)-(Surface_Engine!Q241*12),1000*12*INDEX(Surface_Engine!$C$12:$C$72,$A736+1)/(1+Assumptions!$B$10)^25+INDEX(Surface_Engine!$D$12:$D$72,$A736+1)))*INDEX(Surface_Engine!$B$12:$B$72,$A736+1)+I737</f>
        <v>1706.26072507892</v>
      </c>
      <c r="J736" s="48" t="n">
        <f aca="false">B736*(IF($A736&lt;$Q$699,INDEX(Surface_Engine!$D$12:$D$72,$A736+1)*(1+Assumptions!$B$24)+(Surface_Engine!Q241*12)*INDEX(Surface_Engine!$F$12:$F$72,$A736+1)-(Surface_Engine!Q241*12),1000*12*INDEX(Surface_Engine!$C$12:$C$72,$A736+1)/(1+Assumptions!$B$10)^25+INDEX(Surface_Engine!$D$12:$D$72,$A736+1)*(1+Assumptions!$B$24)))*INDEX(Surface_Engine!$B$12:$B$72,$A736+1)+J737</f>
        <v>1479.77238131312</v>
      </c>
      <c r="K736" s="12" t="n">
        <f aca="false">SQRT((IF(C736&lt;=0,0,MAX(0,(B736/C736)*G736/INDEX(Surface_Engine!$B$12:$B$72,$A736+1)-F736/INDEX(Surface_Engine!$B$12:$B$72,$A736+1))))^2+(MAX(IF(D736&lt;=0,0,MAX(0,(B736/D736)*H736/INDEX(Surface_Engine!$B$12:$B$72,$A736+1)-F736/INDEX(Surface_Engine!$B$12:$B$72,$A736+1))),IF(E736&lt;=0,0,MAX(0,(B736/E736)*I736/INDEX(Surface_Engine!$B$12:$B$72,$A736+1)-F736/INDEX(Surface_Engine!$B$12:$B$72,$A736+1))),IF($A736&lt;$Q$699,MAX(0,-Assumptions!$B$22*(F736/INDEX(Surface_Engine!$B$12:$B$72,$A736+1))),0)))^2+(MAX(0,J736/INDEX(Surface_Engine!$B$12:$B$72,$A736+1)-(F736/INDEX(Surface_Engine!$B$12:$B$72,$A736+1))))^2+2*Assumptions!$B$26*(IF(C736&lt;=0,0,MAX(0,(B736/C736)*G736/INDEX(Surface_Engine!$B$12:$B$72,$A736+1)-F736/INDEX(Surface_Engine!$B$12:$B$72,$A736+1))))*(MAX(IF(D736&lt;=0,0,MAX(0,(B736/D736)*H736/INDEX(Surface_Engine!$B$12:$B$72,$A736+1)-F736/INDEX(Surface_Engine!$B$12:$B$72,$A736+1))),IF(E736&lt;=0,0,MAX(0,(B736/E736)*I736/INDEX(Surface_Engine!$B$12:$B$72,$A736+1)-F736/INDEX(Surface_Engine!$B$12:$B$72,$A736+1))),IF($A736&lt;$Q$699,MAX(0,-Assumptions!$B$22*(F736/INDEX(Surface_Engine!$B$12:$B$72,$A736+1))),0)))+2*Assumptions!$B$27*(IF(C736&lt;=0,0,MAX(0,(B736/C736)*G736/INDEX(Surface_Engine!$B$12:$B$72,$A736+1)-F736/INDEX(Surface_Engine!$B$12:$B$72,$A736+1))))*(MAX(0,J736/INDEX(Surface_Engine!$B$12:$B$72,$A736+1)-(F736/INDEX(Surface_Engine!$B$12:$B$72,$A736+1))))+2*Assumptions!$B$28*(MAX(IF(D736&lt;=0,0,MAX(0,(B736/D736)*H736/INDEX(Surface_Engine!$B$12:$B$72,$A736+1)-F736/INDEX(Surface_Engine!$B$12:$B$72,$A736+1))),IF(E736&lt;=0,0,MAX(0,(B736/E736)*I736/INDEX(Surface_Engine!$B$12:$B$72,$A736+1)-F736/INDEX(Surface_Engine!$B$12:$B$72,$A736+1))),IF($A736&lt;$Q$699,MAX(0,-Assumptions!$B$22*(F736/INDEX(Surface_Engine!$B$12:$B$72,$A736+1))),0)))*(MAX(0,J736/INDEX(Surface_Engine!$B$12:$B$72,$A736+1)-(F736/INDEX(Surface_Engine!$B$12:$B$72,$A736+1)))))</f>
        <v>827.082029311898</v>
      </c>
      <c r="L736" s="48" t="n">
        <f aca="false">K736*INDEX(Surface_Engine!$B$12:$B$72,$A736+1)+L737</f>
        <v>976.588285222284</v>
      </c>
      <c r="M736" s="48" t="n">
        <f aca="false">M735+B735*(IF($A735&lt;$Q$699,(Surface_Engine!Q241*12)-(Surface_Engine!Q241*12)*INDEX(Surface_Engine!$F$12:$F$72,$A735+1)-INDEX(Surface_Engine!$D$12:$D$72,$A735+1),-(1000*12*INDEX(Surface_Engine!$C$12:$C$72,$A735+1)/(1+Assumptions!$B$10)^25+INDEX(Surface_Engine!$D$12:$D$72,$A735+1))))*INDEX(Surface_Engine!$B$12:$B$72,$A735+1)</f>
        <v>2001.03262500968</v>
      </c>
      <c r="N736" s="12" t="n">
        <f aca="false">IF(B736&lt;=0,0,MAX(0,(K736+Assumptions!$B$29*L736/INDEX(Surface_Engine!$B$12:$B$72,$A736+1)-(M736/INDEX(Surface_Engine!$B$12:$B$72,$A736+1)-(F736/INDEX(Surface_Engine!$B$12:$B$72,$A736+1))))/B736))</f>
        <v>0</v>
      </c>
    </row>
    <row r="737" customFormat="false" ht="15" hidden="false" customHeight="true" outlineLevel="0" collapsed="false">
      <c r="A737" s="1" t="n">
        <v>36</v>
      </c>
      <c r="B737" s="32" t="n">
        <f aca="false">INDEX(Surface_Engine!$L$12:$L$72,$A737+1)*IF($A737&lt;$Q$699,INDEX(Surface_Engine!$E$12:$E$72,$A737+1),INDEX(Surface_Engine!$E$12:$E$72,$Q$699+1))</f>
        <v>0.0589361850443285</v>
      </c>
      <c r="C737" s="32" t="n">
        <f aca="false">INDEX(Panel_Reserving!$D$8:$D$68,$A737+1)*IF($A737&lt;$Q$699,INDEX(Surface_Engine!$E$12:$E$72,$A737+1),INDEX(Surface_Engine!$E$12:$E$72,$Q$699+1))</f>
        <v>0.101051464486403</v>
      </c>
      <c r="D737" s="32" t="n">
        <f aca="false">INDEX(Surface_Engine!$L$12:$L$72,$A737+1)*IF($A737&lt;$Q$699,INDEX(Surface_Engine!$Y$12:$Y$72,$A737+1),INDEX(Surface_Engine!$Y$12:$Y$72,$Q$699+1))</f>
        <v>0.0509875737773557</v>
      </c>
      <c r="E737" s="32" t="n">
        <f aca="false">INDEX(Surface_Engine!$L$12:$L$72,$A737+1)*IF($A737&lt;$Q$699,INDEX(Surface_Engine!$Z$12:$Z$72,$A737+1),INDEX(Surface_Engine!$Z$12:$Z$72,$Q$699+1))</f>
        <v>0.0680470763349607</v>
      </c>
      <c r="F737" s="48" t="n">
        <f aca="false">B737*(IF($A737&lt;$Q$699,INDEX(Surface_Engine!$D$12:$D$72,$A737+1)+(Surface_Engine!Q241*12)*INDEX(Surface_Engine!$F$12:$F$72,$A737+1)-(Surface_Engine!Q241*12),1000*12*INDEX(Surface_Engine!$C$12:$C$72,$A737+1)/(1+Assumptions!$B$10)^25+INDEX(Surface_Engine!$D$12:$D$72,$A737+1)))*INDEX(Surface_Engine!$B$12:$B$72,$A737+1)+F738</f>
        <v>1110.36202102947</v>
      </c>
      <c r="G737" s="48" t="n">
        <f aca="false">C737*(IF($A737&lt;$Q$699,INDEX(Surface_Engine!$D$12:$D$72,$A737+1)+(Surface_Engine!Q241*12)*INDEX(Surface_Engine!$F$12:$F$72,$A737+1)-(Surface_Engine!Q241*12),1000*12*INDEX(Surface_Engine!$C$12:$C$72,$A737+1)/(1+Assumptions!$B$10)^25+INDEX(Surface_Engine!$D$12:$D$72,$A737+1)))*INDEX(Surface_Engine!$B$12:$B$72,$A737+1)+G738</f>
        <v>2255.98833458668</v>
      </c>
      <c r="H737" s="48" t="n">
        <f aca="false">D737*(IF($A737&lt;$Q$699,INDEX(Surface_Engine!$D$12:$D$72,$A737+1)+(Surface_Engine!Q241*12)*INDEX(Surface_Engine!$F$12:$F$72,$A737+1)-(Surface_Engine!Q241*12),1000*12*INDEX(Surface_Engine!$C$12:$C$72,$A737+1)/(1+Assumptions!$B$10)^25+INDEX(Surface_Engine!$D$12:$D$72,$A737+1)))*INDEX(Surface_Engine!$B$12:$B$72,$A737+1)+H738</f>
        <v>960.609605528952</v>
      </c>
      <c r="I737" s="48" t="n">
        <f aca="false">E737*(IF($A737&lt;$Q$699,INDEX(Surface_Engine!$D$12:$D$72,$A737+1)+(Surface_Engine!Q241*12)*INDEX(Surface_Engine!$F$12:$F$72,$A737+1)-(Surface_Engine!Q241*12),1000*12*INDEX(Surface_Engine!$C$12:$C$72,$A737+1)/(1+Assumptions!$B$10)^25+INDEX(Surface_Engine!$D$12:$D$72,$A737+1)))*INDEX(Surface_Engine!$B$12:$B$72,$A737+1)+I738</f>
        <v>1282.01187687333</v>
      </c>
      <c r="J737" s="48" t="n">
        <f aca="false">B737*(IF($A737&lt;$Q$699,INDEX(Surface_Engine!$D$12:$D$72,$A737+1)*(1+Assumptions!$B$24)+(Surface_Engine!Q241*12)*INDEX(Surface_Engine!$F$12:$F$72,$A737+1)-(Surface_Engine!Q241*12),1000*12*INDEX(Surface_Engine!$C$12:$C$72,$A737+1)/(1+Assumptions!$B$10)^25+INDEX(Surface_Engine!$D$12:$D$72,$A737+1)*(1+Assumptions!$B$24)))*INDEX(Surface_Engine!$B$12:$B$72,$A737+1)+J738</f>
        <v>1111.84422290142</v>
      </c>
      <c r="K737" s="12" t="n">
        <f aca="false">SQRT((IF(C737&lt;=0,0,MAX(0,(B737/C737)*G737/INDEX(Surface_Engine!$B$12:$B$72,$A737+1)-F737/INDEX(Surface_Engine!$B$12:$B$72,$A737+1))))^2+(MAX(IF(D737&lt;=0,0,MAX(0,(B737/D737)*H737/INDEX(Surface_Engine!$B$12:$B$72,$A737+1)-F737/INDEX(Surface_Engine!$B$12:$B$72,$A737+1))),IF(E737&lt;=0,0,MAX(0,(B737/E737)*I737/INDEX(Surface_Engine!$B$12:$B$72,$A737+1)-F737/INDEX(Surface_Engine!$B$12:$B$72,$A737+1))),IF($A737&lt;$Q$699,MAX(0,-Assumptions!$B$22*(F737/INDEX(Surface_Engine!$B$12:$B$72,$A737+1))),0)))^2+(MAX(0,J737/INDEX(Surface_Engine!$B$12:$B$72,$A737+1)-(F737/INDEX(Surface_Engine!$B$12:$B$72,$A737+1))))^2+2*Assumptions!$B$26*(IF(C737&lt;=0,0,MAX(0,(B737/C737)*G737/INDEX(Surface_Engine!$B$12:$B$72,$A737+1)-F737/INDEX(Surface_Engine!$B$12:$B$72,$A737+1))))*(MAX(IF(D737&lt;=0,0,MAX(0,(B737/D737)*H737/INDEX(Surface_Engine!$B$12:$B$72,$A737+1)-F737/INDEX(Surface_Engine!$B$12:$B$72,$A737+1))),IF(E737&lt;=0,0,MAX(0,(B737/E737)*I737/INDEX(Surface_Engine!$B$12:$B$72,$A737+1)-F737/INDEX(Surface_Engine!$B$12:$B$72,$A737+1))),IF($A737&lt;$Q$699,MAX(0,-Assumptions!$B$22*(F737/INDEX(Surface_Engine!$B$12:$B$72,$A737+1))),0)))+2*Assumptions!$B$27*(IF(C737&lt;=0,0,MAX(0,(B737/C737)*G737/INDEX(Surface_Engine!$B$12:$B$72,$A737+1)-F737/INDEX(Surface_Engine!$B$12:$B$72,$A737+1))))*(MAX(0,J737/INDEX(Surface_Engine!$B$12:$B$72,$A737+1)-(F737/INDEX(Surface_Engine!$B$12:$B$72,$A737+1))))+2*Assumptions!$B$28*(MAX(IF(D737&lt;=0,0,MAX(0,(B737/D737)*H737/INDEX(Surface_Engine!$B$12:$B$72,$A737+1)-F737/INDEX(Surface_Engine!$B$12:$B$72,$A737+1))),IF(E737&lt;=0,0,MAX(0,(B737/E737)*I737/INDEX(Surface_Engine!$B$12:$B$72,$A737+1)-F737/INDEX(Surface_Engine!$B$12:$B$72,$A737+1))),IF($A737&lt;$Q$699,MAX(0,-Assumptions!$B$22*(F737/INDEX(Surface_Engine!$B$12:$B$72,$A737+1))),0)))*(MAX(0,J737/INDEX(Surface_Engine!$B$12:$B$72,$A737+1)-(F737/INDEX(Surface_Engine!$B$12:$B$72,$A737+1)))))</f>
        <v>638.185467683263</v>
      </c>
      <c r="L737" s="48" t="n">
        <f aca="false">K737*INDEX(Surface_Engine!$B$12:$B$72,$A737+1)+L738</f>
        <v>701.298407427641</v>
      </c>
      <c r="M737" s="48" t="n">
        <f aca="false">M736+B736*(IF($A736&lt;$Q$699,(Surface_Engine!Q241*12)-(Surface_Engine!Q241*12)*INDEX(Surface_Engine!$F$12:$F$72,$A736+1)-INDEX(Surface_Engine!$D$12:$D$72,$A736+1),-(1000*12*INDEX(Surface_Engine!$C$12:$C$72,$A736+1)/(1+Assumptions!$B$10)^25+INDEX(Surface_Engine!$D$12:$D$72,$A736+1))))*INDEX(Surface_Engine!$B$12:$B$72,$A736+1)</f>
        <v>1633.58688054289</v>
      </c>
      <c r="N737" s="12" t="n">
        <f aca="false">IF(B737&lt;=0,0,MAX(0,(K737+Assumptions!$B$29*L737/INDEX(Surface_Engine!$B$12:$B$72,$A737+1)-(M737/INDEX(Surface_Engine!$B$12:$B$72,$A737+1)-(F737/INDEX(Surface_Engine!$B$12:$B$72,$A737+1))))/B737))</f>
        <v>0</v>
      </c>
    </row>
    <row r="738" customFormat="false" ht="15" hidden="false" customHeight="true" outlineLevel="0" collapsed="false">
      <c r="A738" s="1" t="n">
        <v>37</v>
      </c>
      <c r="B738" s="32" t="n">
        <f aca="false">INDEX(Surface_Engine!$L$12:$L$72,$A738+1)*IF($A738&lt;$Q$699,INDEX(Surface_Engine!$E$12:$E$72,$A738+1),INDEX(Surface_Engine!$E$12:$E$72,$Q$699+1))</f>
        <v>0.0459628937536246</v>
      </c>
      <c r="C738" s="32" t="n">
        <f aca="false">INDEX(Panel_Reserving!$D$8:$D$68,$A738+1)*IF($A738&lt;$Q$699,INDEX(Surface_Engine!$E$12:$E$72,$A738+1),INDEX(Surface_Engine!$E$12:$E$72,$Q$699+1))</f>
        <v>0.0832563515770988</v>
      </c>
      <c r="D738" s="32" t="n">
        <f aca="false">INDEX(Surface_Engine!$L$12:$L$72,$A738+1)*IF($A738&lt;$Q$699,INDEX(Surface_Engine!$Y$12:$Y$72,$A738+1),INDEX(Surface_Engine!$Y$12:$Y$72,$Q$699+1))</f>
        <v>0.0397639656269068</v>
      </c>
      <c r="E738" s="32" t="n">
        <f aca="false">INDEX(Surface_Engine!$L$12:$L$72,$A738+1)*IF($A738&lt;$Q$699,INDEX(Surface_Engine!$Z$12:$Z$72,$A738+1),INDEX(Surface_Engine!$Z$12:$Z$72,$Q$699+1))</f>
        <v>0.0530682557324697</v>
      </c>
      <c r="F738" s="48" t="n">
        <f aca="false">B738*(IF($A738&lt;$Q$699,INDEX(Surface_Engine!$D$12:$D$72,$A738+1)+(Surface_Engine!Q241*12)*INDEX(Surface_Engine!$F$12:$F$72,$A738+1)-(Surface_Engine!Q241*12),1000*12*INDEX(Surface_Engine!$C$12:$C$72,$A738+1)/(1+Assumptions!$B$10)^25+INDEX(Surface_Engine!$D$12:$D$72,$A738+1)))*INDEX(Surface_Engine!$B$12:$B$72,$A738+1)+F739</f>
        <v>823.037584644897</v>
      </c>
      <c r="G738" s="48" t="n">
        <f aca="false">C738*(IF($A738&lt;$Q$699,INDEX(Surface_Engine!$D$12:$D$72,$A738+1)+(Surface_Engine!Q241*12)*INDEX(Surface_Engine!$F$12:$F$72,$A738+1)-(Surface_Engine!Q241*12),1000*12*INDEX(Surface_Engine!$C$12:$C$72,$A738+1)/(1+Assumptions!$B$10)^25+INDEX(Surface_Engine!$D$12:$D$72,$A738+1)))*INDEX(Surface_Engine!$B$12:$B$72,$A738+1)+G739</f>
        <v>1763.34438320854</v>
      </c>
      <c r="H738" s="48" t="n">
        <f aca="false">D738*(IF($A738&lt;$Q$699,INDEX(Surface_Engine!$D$12:$D$72,$A738+1)+(Surface_Engine!Q241*12)*INDEX(Surface_Engine!$F$12:$F$72,$A738+1)-(Surface_Engine!Q241*12),1000*12*INDEX(Surface_Engine!$C$12:$C$72,$A738+1)/(1+Assumptions!$B$10)^25+INDEX(Surface_Engine!$D$12:$D$72,$A738+1)))*INDEX(Surface_Engine!$B$12:$B$72,$A738+1)+H739</f>
        <v>712.036069811014</v>
      </c>
      <c r="I738" s="48" t="n">
        <f aca="false">E738*(IF($A738&lt;$Q$699,INDEX(Surface_Engine!$D$12:$D$72,$A738+1)+(Surface_Engine!Q241*12)*INDEX(Surface_Engine!$F$12:$F$72,$A738+1)-(Surface_Engine!Q241*12),1000*12*INDEX(Surface_Engine!$C$12:$C$72,$A738+1)/(1+Assumptions!$B$10)^25+INDEX(Surface_Engine!$D$12:$D$72,$A738+1)))*INDEX(Surface_Engine!$B$12:$B$72,$A738+1)+I739</f>
        <v>950.270216960071</v>
      </c>
      <c r="J738" s="48" t="n">
        <f aca="false">B738*(IF($A738&lt;$Q$699,INDEX(Surface_Engine!$D$12:$D$72,$A738+1)*(1+Assumptions!$B$24)+(Surface_Engine!Q241*12)*INDEX(Surface_Engine!$F$12:$F$72,$A738+1)-(Surface_Engine!Q241*12),1000*12*INDEX(Surface_Engine!$C$12:$C$72,$A738+1)/(1+Assumptions!$B$10)^25+INDEX(Surface_Engine!$D$12:$D$72,$A738+1)*(1+Assumptions!$B$24)))*INDEX(Surface_Engine!$B$12:$B$72,$A738+1)+J739</f>
        <v>824.140737879872</v>
      </c>
      <c r="K738" s="12" t="n">
        <f aca="false">SQRT((IF(C738&lt;=0,0,MAX(0,(B738/C738)*G738/INDEX(Surface_Engine!$B$12:$B$72,$A738+1)-F738/INDEX(Surface_Engine!$B$12:$B$72,$A738+1))))^2+(MAX(IF(D738&lt;=0,0,MAX(0,(B738/D738)*H738/INDEX(Surface_Engine!$B$12:$B$72,$A738+1)-F738/INDEX(Surface_Engine!$B$12:$B$72,$A738+1))),IF(E738&lt;=0,0,MAX(0,(B738/E738)*I738/INDEX(Surface_Engine!$B$12:$B$72,$A738+1)-F738/INDEX(Surface_Engine!$B$12:$B$72,$A738+1))),IF($A738&lt;$Q$699,MAX(0,-Assumptions!$B$22*(F738/INDEX(Surface_Engine!$B$12:$B$72,$A738+1))),0)))^2+(MAX(0,J738/INDEX(Surface_Engine!$B$12:$B$72,$A738+1)-(F738/INDEX(Surface_Engine!$B$12:$B$72,$A738+1))))^2+2*Assumptions!$B$26*(IF(C738&lt;=0,0,MAX(0,(B738/C738)*G738/INDEX(Surface_Engine!$B$12:$B$72,$A738+1)-F738/INDEX(Surface_Engine!$B$12:$B$72,$A738+1))))*(MAX(IF(D738&lt;=0,0,MAX(0,(B738/D738)*H738/INDEX(Surface_Engine!$B$12:$B$72,$A738+1)-F738/INDEX(Surface_Engine!$B$12:$B$72,$A738+1))),IF(E738&lt;=0,0,MAX(0,(B738/E738)*I738/INDEX(Surface_Engine!$B$12:$B$72,$A738+1)-F738/INDEX(Surface_Engine!$B$12:$B$72,$A738+1))),IF($A738&lt;$Q$699,MAX(0,-Assumptions!$B$22*(F738/INDEX(Surface_Engine!$B$12:$B$72,$A738+1))),0)))+2*Assumptions!$B$27*(IF(C738&lt;=0,0,MAX(0,(B738/C738)*G738/INDEX(Surface_Engine!$B$12:$B$72,$A738+1)-F738/INDEX(Surface_Engine!$B$12:$B$72,$A738+1))))*(MAX(0,J738/INDEX(Surface_Engine!$B$12:$B$72,$A738+1)-(F738/INDEX(Surface_Engine!$B$12:$B$72,$A738+1))))+2*Assumptions!$B$28*(MAX(IF(D738&lt;=0,0,MAX(0,(B738/D738)*H738/INDEX(Surface_Engine!$B$12:$B$72,$A738+1)-F738/INDEX(Surface_Engine!$B$12:$B$72,$A738+1))),IF(E738&lt;=0,0,MAX(0,(B738/E738)*I738/INDEX(Surface_Engine!$B$12:$B$72,$A738+1)-F738/INDEX(Surface_Engine!$B$12:$B$72,$A738+1))),IF($A738&lt;$Q$699,MAX(0,-Assumptions!$B$22*(F738/INDEX(Surface_Engine!$B$12:$B$72,$A738+1))),0)))*(MAX(0,J738/INDEX(Surface_Engine!$B$12:$B$72,$A738+1)-(F738/INDEX(Surface_Engine!$B$12:$B$72,$A738+1)))))</f>
        <v>482.728766309166</v>
      </c>
      <c r="L738" s="48" t="n">
        <f aca="false">K738*INDEX(Surface_Engine!$B$12:$B$72,$A738+1)+L739</f>
        <v>495.52614958699</v>
      </c>
      <c r="M738" s="48" t="n">
        <f aca="false">M737+B737*(IF($A737&lt;$Q$699,(Surface_Engine!Q241*12)-(Surface_Engine!Q241*12)*INDEX(Surface_Engine!$F$12:$F$72,$A737+1)-INDEX(Surface_Engine!$D$12:$D$72,$A737+1),-(1000*12*INDEX(Surface_Engine!$C$12:$C$72,$A737+1)/(1+Assumptions!$B$10)^25+INDEX(Surface_Engine!$D$12:$D$72,$A737+1))))*INDEX(Surface_Engine!$B$12:$B$72,$A737+1)</f>
        <v>1346.26244415832</v>
      </c>
      <c r="N738" s="12" t="n">
        <f aca="false">IF(B738&lt;=0,0,MAX(0,(K738+Assumptions!$B$29*L738/INDEX(Surface_Engine!$B$12:$B$72,$A738+1)-(M738/INDEX(Surface_Engine!$B$12:$B$72,$A738+1)-(F738/INDEX(Surface_Engine!$B$12:$B$72,$A738+1))))/B738))</f>
        <v>0</v>
      </c>
    </row>
    <row r="739" customFormat="false" ht="15" hidden="false" customHeight="true" outlineLevel="0" collapsed="false">
      <c r="A739" s="1" t="n">
        <v>38</v>
      </c>
      <c r="B739" s="32" t="n">
        <f aca="false">INDEX(Surface_Engine!$L$12:$L$72,$A739+1)*IF($A739&lt;$Q$699,INDEX(Surface_Engine!$E$12:$E$72,$A739+1),INDEX(Surface_Engine!$E$12:$E$72,$Q$699+1))</f>
        <v>0.0352611622330586</v>
      </c>
      <c r="C739" s="32" t="n">
        <f aca="false">INDEX(Panel_Reserving!$D$8:$D$68,$A739+1)*IF($A739&lt;$Q$699,INDEX(Surface_Engine!$E$12:$E$72,$A739+1),INDEX(Surface_Engine!$E$12:$E$72,$Q$699+1))</f>
        <v>0.0677484137742975</v>
      </c>
      <c r="D739" s="32" t="n">
        <f aca="false">INDEX(Surface_Engine!$L$12:$L$72,$A739+1)*IF($A739&lt;$Q$699,INDEX(Surface_Engine!$Y$12:$Y$72,$A739+1),INDEX(Surface_Engine!$Y$12:$Y$72,$Q$699+1))</f>
        <v>0.0305055562975635</v>
      </c>
      <c r="E739" s="32" t="n">
        <f aca="false">INDEX(Surface_Engine!$L$12:$L$72,$A739+1)*IF($A739&lt;$Q$699,INDEX(Surface_Engine!$Z$12:$Z$72,$A739+1),INDEX(Surface_Engine!$Z$12:$Z$72,$Q$699+1))</f>
        <v>0.0407121532608135</v>
      </c>
      <c r="F739" s="48" t="n">
        <f aca="false">B739*(IF($A739&lt;$Q$699,INDEX(Surface_Engine!$D$12:$D$72,$A739+1)+(Surface_Engine!Q241*12)*INDEX(Surface_Engine!$F$12:$F$72,$A739+1)-(Surface_Engine!Q241*12),1000*12*INDEX(Surface_Engine!$C$12:$C$72,$A739+1)/(1+Assumptions!$B$10)^25+INDEX(Surface_Engine!$D$12:$D$72,$A739+1)))*INDEX(Surface_Engine!$B$12:$B$72,$A739+1)+F740</f>
        <v>601.697389885715</v>
      </c>
      <c r="G739" s="48" t="n">
        <f aca="false">C739*(IF($A739&lt;$Q$699,INDEX(Surface_Engine!$D$12:$D$72,$A739+1)+(Surface_Engine!Q241*12)*INDEX(Surface_Engine!$F$12:$F$72,$A739+1)-(Surface_Engine!Q241*12),1000*12*INDEX(Surface_Engine!$C$12:$C$72,$A739+1)/(1+Assumptions!$B$10)^25+INDEX(Surface_Engine!$D$12:$D$72,$A739+1)))*INDEX(Surface_Engine!$B$12:$B$72,$A739+1)+G740</f>
        <v>1362.41277146552</v>
      </c>
      <c r="H739" s="48" t="n">
        <f aca="false">D739*(IF($A739&lt;$Q$699,INDEX(Surface_Engine!$D$12:$D$72,$A739+1)+(Surface_Engine!Q241*12)*INDEX(Surface_Engine!$F$12:$F$72,$A739+1)-(Surface_Engine!Q241*12),1000*12*INDEX(Surface_Engine!$C$12:$C$72,$A739+1)/(1+Assumptions!$B$10)^25+INDEX(Surface_Engine!$D$12:$D$72,$A739+1)))*INDEX(Surface_Engine!$B$12:$B$72,$A739+1)+H740</f>
        <v>520.547606455442</v>
      </c>
      <c r="I739" s="48" t="n">
        <f aca="false">E739*(IF($A739&lt;$Q$699,INDEX(Surface_Engine!$D$12:$D$72,$A739+1)+(Surface_Engine!Q241*12)*INDEX(Surface_Engine!$F$12:$F$72,$A739+1)-(Surface_Engine!Q241*12),1000*12*INDEX(Surface_Engine!$C$12:$C$72,$A739+1)/(1+Assumptions!$B$10)^25+INDEX(Surface_Engine!$D$12:$D$72,$A739+1)))*INDEX(Surface_Engine!$B$12:$B$72,$A739+1)+I740</f>
        <v>694.713242625125</v>
      </c>
      <c r="J739" s="48" t="n">
        <f aca="false">B739*(IF($A739&lt;$Q$699,INDEX(Surface_Engine!$D$12:$D$72,$A739+1)*(1+Assumptions!$B$24)+(Surface_Engine!Q241*12)*INDEX(Surface_Engine!$F$12:$F$72,$A739+1)-(Surface_Engine!Q241*12),1000*12*INDEX(Surface_Engine!$C$12:$C$72,$A739+1)/(1+Assumptions!$B$10)^25+INDEX(Surface_Engine!$D$12:$D$72,$A739+1)*(1+Assumptions!$B$24)))*INDEX(Surface_Engine!$B$12:$B$72,$A739+1)+J740</f>
        <v>602.507130849576</v>
      </c>
      <c r="K739" s="12" t="n">
        <f aca="false">SQRT((IF(C739&lt;=0,0,MAX(0,(B739/C739)*G739/INDEX(Surface_Engine!$B$12:$B$72,$A739+1)-F739/INDEX(Surface_Engine!$B$12:$B$72,$A739+1))))^2+(MAX(IF(D739&lt;=0,0,MAX(0,(B739/D739)*H739/INDEX(Surface_Engine!$B$12:$B$72,$A739+1)-F739/INDEX(Surface_Engine!$B$12:$B$72,$A739+1))),IF(E739&lt;=0,0,MAX(0,(B739/E739)*I739/INDEX(Surface_Engine!$B$12:$B$72,$A739+1)-F739/INDEX(Surface_Engine!$B$12:$B$72,$A739+1))),IF($A739&lt;$Q$699,MAX(0,-Assumptions!$B$22*(F739/INDEX(Surface_Engine!$B$12:$B$72,$A739+1))),0)))^2+(MAX(0,J739/INDEX(Surface_Engine!$B$12:$B$72,$A739+1)-(F739/INDEX(Surface_Engine!$B$12:$B$72,$A739+1))))^2+2*Assumptions!$B$26*(IF(C739&lt;=0,0,MAX(0,(B739/C739)*G739/INDEX(Surface_Engine!$B$12:$B$72,$A739+1)-F739/INDEX(Surface_Engine!$B$12:$B$72,$A739+1))))*(MAX(IF(D739&lt;=0,0,MAX(0,(B739/D739)*H739/INDEX(Surface_Engine!$B$12:$B$72,$A739+1)-F739/INDEX(Surface_Engine!$B$12:$B$72,$A739+1))),IF(E739&lt;=0,0,MAX(0,(B739/E739)*I739/INDEX(Surface_Engine!$B$12:$B$72,$A739+1)-F739/INDEX(Surface_Engine!$B$12:$B$72,$A739+1))),IF($A739&lt;$Q$699,MAX(0,-Assumptions!$B$22*(F739/INDEX(Surface_Engine!$B$12:$B$72,$A739+1))),0)))+2*Assumptions!$B$27*(IF(C739&lt;=0,0,MAX(0,(B739/C739)*G739/INDEX(Surface_Engine!$B$12:$B$72,$A739+1)-F739/INDEX(Surface_Engine!$B$12:$B$72,$A739+1))))*(MAX(0,J739/INDEX(Surface_Engine!$B$12:$B$72,$A739+1)-(F739/INDEX(Surface_Engine!$B$12:$B$72,$A739+1))))+2*Assumptions!$B$28*(MAX(IF(D739&lt;=0,0,MAX(0,(B739/D739)*H739/INDEX(Surface_Engine!$B$12:$B$72,$A739+1)-F739/INDEX(Surface_Engine!$B$12:$B$72,$A739+1))),IF(E739&lt;=0,0,MAX(0,(B739/E739)*I739/INDEX(Surface_Engine!$B$12:$B$72,$A739+1)-F739/INDEX(Surface_Engine!$B$12:$B$72,$A739+1))),IF($A739&lt;$Q$699,MAX(0,-Assumptions!$B$22*(F739/INDEX(Surface_Engine!$B$12:$B$72,$A739+1))),0)))*(MAX(0,J739/INDEX(Surface_Engine!$B$12:$B$72,$A739+1)-(F739/INDEX(Surface_Engine!$B$12:$B$72,$A739+1)))))</f>
        <v>355.913401952202</v>
      </c>
      <c r="L739" s="48" t="n">
        <f aca="false">K739*INDEX(Surface_Engine!$B$12:$B$72,$A739+1)+L740</f>
        <v>344.803952106858</v>
      </c>
      <c r="M739" s="48" t="n">
        <f aca="false">M738+B738*(IF($A738&lt;$Q$699,(Surface_Engine!Q241*12)-(Surface_Engine!Q241*12)*INDEX(Surface_Engine!$F$12:$F$72,$A738+1)-INDEX(Surface_Engine!$D$12:$D$72,$A738+1),-(1000*12*INDEX(Surface_Engine!$C$12:$C$72,$A738+1)/(1+Assumptions!$B$10)^25+INDEX(Surface_Engine!$D$12:$D$72,$A738+1))))*INDEX(Surface_Engine!$B$12:$B$72,$A738+1)</f>
        <v>1124.92224939914</v>
      </c>
      <c r="N739" s="12" t="n">
        <f aca="false">IF(B739&lt;=0,0,MAX(0,(K739+Assumptions!$B$29*L739/INDEX(Surface_Engine!$B$12:$B$72,$A739+1)-(M739/INDEX(Surface_Engine!$B$12:$B$72,$A739+1)-(F739/INDEX(Surface_Engine!$B$12:$B$72,$A739+1))))/B739))</f>
        <v>0</v>
      </c>
    </row>
    <row r="740" customFormat="false" ht="15" hidden="false" customHeight="true" outlineLevel="0" collapsed="false">
      <c r="A740" s="1" t="n">
        <v>39</v>
      </c>
      <c r="B740" s="32" t="n">
        <f aca="false">INDEX(Surface_Engine!$L$12:$L$72,$A740+1)*IF($A740&lt;$Q$699,INDEX(Surface_Engine!$E$12:$E$72,$A740+1),INDEX(Surface_Engine!$E$12:$E$72,$Q$699+1))</f>
        <v>0.0265377312831562</v>
      </c>
      <c r="C740" s="32" t="n">
        <f aca="false">INDEX(Panel_Reserving!$D$8:$D$68,$A740+1)*IF($A740&lt;$Q$699,INDEX(Surface_Engine!$E$12:$E$72,$A740+1),INDEX(Surface_Engine!$E$12:$E$72,$Q$699+1))</f>
        <v>0.0543399252935313</v>
      </c>
      <c r="D740" s="32" t="n">
        <f aca="false">INDEX(Surface_Engine!$L$12:$L$72,$A740+1)*IF($A740&lt;$Q$699,INDEX(Surface_Engine!$Y$12:$Y$72,$A740+1),INDEX(Surface_Engine!$Y$12:$Y$72,$Q$699+1))</f>
        <v>0.022958637900737</v>
      </c>
      <c r="E740" s="32" t="n">
        <f aca="false">INDEX(Surface_Engine!$L$12:$L$72,$A740+1)*IF($A740&lt;$Q$699,INDEX(Surface_Engine!$Z$12:$Z$72,$A740+1),INDEX(Surface_Engine!$Z$12:$Z$72,$Q$699+1))</f>
        <v>0.0306401750473563</v>
      </c>
      <c r="F740" s="48" t="n">
        <f aca="false">B740*(IF($A740&lt;$Q$699,INDEX(Surface_Engine!$D$12:$D$72,$A740+1)+(Surface_Engine!Q241*12)*INDEX(Surface_Engine!$F$12:$F$72,$A740+1)-(Surface_Engine!Q241*12),1000*12*INDEX(Surface_Engine!$C$12:$C$72,$A740+1)/(1+Assumptions!$B$10)^25+INDEX(Surface_Engine!$D$12:$D$72,$A740+1)))*INDEX(Surface_Engine!$B$12:$B$72,$A740+1)+F741</f>
        <v>433.973380072438</v>
      </c>
      <c r="G740" s="48" t="n">
        <f aca="false">C740*(IF($A740&lt;$Q$699,INDEX(Surface_Engine!$D$12:$D$72,$A740+1)+(Surface_Engine!Q241*12)*INDEX(Surface_Engine!$F$12:$F$72,$A740+1)-(Surface_Engine!Q241*12),1000*12*INDEX(Surface_Engine!$C$12:$C$72,$A740+1)/(1+Assumptions!$B$10)^25+INDEX(Surface_Engine!$D$12:$D$72,$A740+1)))*INDEX(Surface_Engine!$B$12:$B$72,$A740+1)+G741</f>
        <v>1040.15919565851</v>
      </c>
      <c r="H740" s="48" t="n">
        <f aca="false">D740*(IF($A740&lt;$Q$699,INDEX(Surface_Engine!$D$12:$D$72,$A740+1)+(Surface_Engine!Q241*12)*INDEX(Surface_Engine!$F$12:$F$72,$A740+1)-(Surface_Engine!Q241*12),1000*12*INDEX(Surface_Engine!$C$12:$C$72,$A740+1)/(1+Assumptions!$B$10)^25+INDEX(Surface_Engine!$D$12:$D$72,$A740+1)))*INDEX(Surface_Engine!$B$12:$B$72,$A740+1)+H741</f>
        <v>375.444215081261</v>
      </c>
      <c r="I740" s="48" t="n">
        <f aca="false">E740*(IF($A740&lt;$Q$699,INDEX(Surface_Engine!$D$12:$D$72,$A740+1)+(Surface_Engine!Q241*12)*INDEX(Surface_Engine!$F$12:$F$72,$A740+1)-(Surface_Engine!Q241*12),1000*12*INDEX(Surface_Engine!$C$12:$C$72,$A740+1)/(1+Assumptions!$B$10)^25+INDEX(Surface_Engine!$D$12:$D$72,$A740+1)))*INDEX(Surface_Engine!$B$12:$B$72,$A740+1)+I741</f>
        <v>501.06093054579</v>
      </c>
      <c r="J740" s="48" t="n">
        <f aca="false">B740*(IF($A740&lt;$Q$699,INDEX(Surface_Engine!$D$12:$D$72,$A740+1)*(1+Assumptions!$B$24)+(Surface_Engine!Q241*12)*INDEX(Surface_Engine!$F$12:$F$72,$A740+1)-(Surface_Engine!Q241*12),1000*12*INDEX(Surface_Engine!$C$12:$C$72,$A740+1)/(1+Assumptions!$B$10)^25+INDEX(Surface_Engine!$D$12:$D$72,$A740+1)*(1+Assumptions!$B$24)))*INDEX(Surface_Engine!$B$12:$B$72,$A740+1)+J741</f>
        <v>434.559707905068</v>
      </c>
      <c r="K740" s="12" t="n">
        <f aca="false">SQRT((IF(C740&lt;=0,0,MAX(0,(B740/C740)*G740/INDEX(Surface_Engine!$B$12:$B$72,$A740+1)-F740/INDEX(Surface_Engine!$B$12:$B$72,$A740+1))))^2+(MAX(IF(D740&lt;=0,0,MAX(0,(B740/D740)*H740/INDEX(Surface_Engine!$B$12:$B$72,$A740+1)-F740/INDEX(Surface_Engine!$B$12:$B$72,$A740+1))),IF(E740&lt;=0,0,MAX(0,(B740/E740)*I740/INDEX(Surface_Engine!$B$12:$B$72,$A740+1)-F740/INDEX(Surface_Engine!$B$12:$B$72,$A740+1))),IF($A740&lt;$Q$699,MAX(0,-Assumptions!$B$22*(F740/INDEX(Surface_Engine!$B$12:$B$72,$A740+1))),0)))^2+(MAX(0,J740/INDEX(Surface_Engine!$B$12:$B$72,$A740+1)-(F740/INDEX(Surface_Engine!$B$12:$B$72,$A740+1))))^2+2*Assumptions!$B$26*(IF(C740&lt;=0,0,MAX(0,(B740/C740)*G740/INDEX(Surface_Engine!$B$12:$B$72,$A740+1)-F740/INDEX(Surface_Engine!$B$12:$B$72,$A740+1))))*(MAX(IF(D740&lt;=0,0,MAX(0,(B740/D740)*H740/INDEX(Surface_Engine!$B$12:$B$72,$A740+1)-F740/INDEX(Surface_Engine!$B$12:$B$72,$A740+1))),IF(E740&lt;=0,0,MAX(0,(B740/E740)*I740/INDEX(Surface_Engine!$B$12:$B$72,$A740+1)-F740/INDEX(Surface_Engine!$B$12:$B$72,$A740+1))),IF($A740&lt;$Q$699,MAX(0,-Assumptions!$B$22*(F740/INDEX(Surface_Engine!$B$12:$B$72,$A740+1))),0)))+2*Assumptions!$B$27*(IF(C740&lt;=0,0,MAX(0,(B740/C740)*G740/INDEX(Surface_Engine!$B$12:$B$72,$A740+1)-F740/INDEX(Surface_Engine!$B$12:$B$72,$A740+1))))*(MAX(0,J740/INDEX(Surface_Engine!$B$12:$B$72,$A740+1)-(F740/INDEX(Surface_Engine!$B$12:$B$72,$A740+1))))+2*Assumptions!$B$28*(MAX(IF(D740&lt;=0,0,MAX(0,(B740/D740)*H740/INDEX(Surface_Engine!$B$12:$B$72,$A740+1)-F740/INDEX(Surface_Engine!$B$12:$B$72,$A740+1))),IF(E740&lt;=0,0,MAX(0,(B740/E740)*I740/INDEX(Surface_Engine!$B$12:$B$72,$A740+1)-F740/INDEX(Surface_Engine!$B$12:$B$72,$A740+1))),IF($A740&lt;$Q$699,MAX(0,-Assumptions!$B$22*(F740/INDEX(Surface_Engine!$B$12:$B$72,$A740+1))),0)))*(MAX(0,J740/INDEX(Surface_Engine!$B$12:$B$72,$A740+1)-(F740/INDEX(Surface_Engine!$B$12:$B$72,$A740+1)))))</f>
        <v>253.205242226543</v>
      </c>
      <c r="L740" s="48" t="n">
        <f aca="false">K740*INDEX(Surface_Engine!$B$12:$B$72,$A740+1)+L741</f>
        <v>237.198153001512</v>
      </c>
      <c r="M740" s="48" t="n">
        <f aca="false">M739+B739*(IF($A739&lt;$Q$699,(Surface_Engine!Q241*12)-(Surface_Engine!Q241*12)*INDEX(Surface_Engine!$F$12:$F$72,$A739+1)-INDEX(Surface_Engine!$D$12:$D$72,$A739+1),-(1000*12*INDEX(Surface_Engine!$C$12:$C$72,$A739+1)/(1+Assumptions!$B$10)^25+INDEX(Surface_Engine!$D$12:$D$72,$A739+1))))*INDEX(Surface_Engine!$B$12:$B$72,$A739+1)</f>
        <v>957.19823958586</v>
      </c>
      <c r="N740" s="12" t="n">
        <f aca="false">IF(B740&lt;=0,0,MAX(0,(K740+Assumptions!$B$29*L740/INDEX(Surface_Engine!$B$12:$B$72,$A740+1)-(M740/INDEX(Surface_Engine!$B$12:$B$72,$A740+1)-(F740/INDEX(Surface_Engine!$B$12:$B$72,$A740+1))))/B740))</f>
        <v>0</v>
      </c>
    </row>
    <row r="741" customFormat="false" ht="15" hidden="false" customHeight="true" outlineLevel="0" collapsed="false">
      <c r="A741" s="1" t="n">
        <v>40</v>
      </c>
      <c r="B741" s="32" t="n">
        <f aca="false">INDEX(Surface_Engine!$L$12:$L$72,$A741+1)*IF($A741&lt;$Q$699,INDEX(Surface_Engine!$E$12:$E$72,$A741+1),INDEX(Surface_Engine!$E$12:$E$72,$Q$699+1))</f>
        <v>0.0202256107273058</v>
      </c>
      <c r="C741" s="32" t="n">
        <f aca="false">INDEX(Panel_Reserving!$D$8:$D$68,$A741+1)*IF($A741&lt;$Q$699,INDEX(Surface_Engine!$E$12:$E$72,$A741+1),INDEX(Surface_Engine!$E$12:$E$72,$Q$699+1))</f>
        <v>0.0439999258176489</v>
      </c>
      <c r="D741" s="32" t="n">
        <f aca="false">INDEX(Surface_Engine!$L$12:$L$72,$A741+1)*IF($A741&lt;$Q$699,INDEX(Surface_Engine!$Y$12:$Y$72,$A741+1),INDEX(Surface_Engine!$Y$12:$Y$72,$Q$699+1))</f>
        <v>0.017497821047883</v>
      </c>
      <c r="E741" s="32" t="n">
        <f aca="false">INDEX(Surface_Engine!$L$12:$L$72,$A741+1)*IF($A741&lt;$Q$699,INDEX(Surface_Engine!$Z$12:$Z$72,$A741+1),INDEX(Surface_Engine!$Z$12:$Z$72,$Q$699+1))</f>
        <v>0.0233522695106072</v>
      </c>
      <c r="F741" s="48" t="n">
        <f aca="false">B741*(IF($A741&lt;$Q$699,INDEX(Surface_Engine!$D$12:$D$72,$A741+1)+(Surface_Engine!Q241*12)*INDEX(Surface_Engine!$F$12:$F$72,$A741+1)-(Surface_Engine!Q241*12),1000*12*INDEX(Surface_Engine!$C$12:$C$72,$A741+1)/(1+Assumptions!$B$10)^25+INDEX(Surface_Engine!$D$12:$D$72,$A741+1)))*INDEX(Surface_Engine!$B$12:$B$72,$A741+1)+F742</f>
        <v>309.247801181865</v>
      </c>
      <c r="G741" s="48" t="n">
        <f aca="false">C741*(IF($A741&lt;$Q$699,INDEX(Surface_Engine!$D$12:$D$72,$A741+1)+(Surface_Engine!Q241*12)*INDEX(Surface_Engine!$F$12:$F$72,$A741+1)-(Surface_Engine!Q241*12),1000*12*INDEX(Surface_Engine!$C$12:$C$72,$A741+1)/(1+Assumptions!$B$10)^25+INDEX(Surface_Engine!$D$12:$D$72,$A741+1)))*INDEX(Surface_Engine!$B$12:$B$72,$A741+1)+G742</f>
        <v>784.765146830833</v>
      </c>
      <c r="H741" s="48" t="n">
        <f aca="false">D741*(IF($A741&lt;$Q$699,INDEX(Surface_Engine!$D$12:$D$72,$A741+1)+(Surface_Engine!Q241*12)*INDEX(Surface_Engine!$F$12:$F$72,$A741+1)-(Surface_Engine!Q241*12),1000*12*INDEX(Surface_Engine!$C$12:$C$72,$A741+1)/(1+Assumptions!$B$10)^25+INDEX(Surface_Engine!$D$12:$D$72,$A741+1)))*INDEX(Surface_Engine!$B$12:$B$72,$A741+1)+H742</f>
        <v>267.540137971022</v>
      </c>
      <c r="I741" s="48" t="n">
        <f aca="false">E741*(IF($A741&lt;$Q$699,INDEX(Surface_Engine!$D$12:$D$72,$A741+1)+(Surface_Engine!Q241*12)*INDEX(Surface_Engine!$F$12:$F$72,$A741+1)-(Surface_Engine!Q241*12),1000*12*INDEX(Surface_Engine!$C$12:$C$72,$A741+1)/(1+Assumptions!$B$10)^25+INDEX(Surface_Engine!$D$12:$D$72,$A741+1)))*INDEX(Surface_Engine!$B$12:$B$72,$A741+1)+I742</f>
        <v>357.054137752782</v>
      </c>
      <c r="J741" s="48" t="n">
        <f aca="false">B741*(IF($A741&lt;$Q$699,INDEX(Surface_Engine!$D$12:$D$72,$A741+1)*(1+Assumptions!$B$24)+(Surface_Engine!Q241*12)*INDEX(Surface_Engine!$F$12:$F$72,$A741+1)-(Surface_Engine!Q241*12),1000*12*INDEX(Surface_Engine!$C$12:$C$72,$A741+1)/(1+Assumptions!$B$10)^25+INDEX(Surface_Engine!$D$12:$D$72,$A741+1)*(1+Assumptions!$B$24)))*INDEX(Surface_Engine!$B$12:$B$72,$A741+1)+J742</f>
        <v>309.667187509575</v>
      </c>
      <c r="K741" s="12" t="n">
        <f aca="false">SQRT((IF(C741&lt;=0,0,MAX(0,(B741/C741)*G741/INDEX(Surface_Engine!$B$12:$B$72,$A741+1)-F741/INDEX(Surface_Engine!$B$12:$B$72,$A741+1))))^2+(MAX(IF(D741&lt;=0,0,MAX(0,(B741/D741)*H741/INDEX(Surface_Engine!$B$12:$B$72,$A741+1)-F741/INDEX(Surface_Engine!$B$12:$B$72,$A741+1))),IF(E741&lt;=0,0,MAX(0,(B741/E741)*I741/INDEX(Surface_Engine!$B$12:$B$72,$A741+1)-F741/INDEX(Surface_Engine!$B$12:$B$72,$A741+1))),IF($A741&lt;$Q$699,MAX(0,-Assumptions!$B$22*(F741/INDEX(Surface_Engine!$B$12:$B$72,$A741+1))),0)))^2+(MAX(0,J741/INDEX(Surface_Engine!$B$12:$B$72,$A741+1)-(F741/INDEX(Surface_Engine!$B$12:$B$72,$A741+1))))^2+2*Assumptions!$B$26*(IF(C741&lt;=0,0,MAX(0,(B741/C741)*G741/INDEX(Surface_Engine!$B$12:$B$72,$A741+1)-F741/INDEX(Surface_Engine!$B$12:$B$72,$A741+1))))*(MAX(IF(D741&lt;=0,0,MAX(0,(B741/D741)*H741/INDEX(Surface_Engine!$B$12:$B$72,$A741+1)-F741/INDEX(Surface_Engine!$B$12:$B$72,$A741+1))),IF(E741&lt;=0,0,MAX(0,(B741/E741)*I741/INDEX(Surface_Engine!$B$12:$B$72,$A741+1)-F741/INDEX(Surface_Engine!$B$12:$B$72,$A741+1))),IF($A741&lt;$Q$699,MAX(0,-Assumptions!$B$22*(F741/INDEX(Surface_Engine!$B$12:$B$72,$A741+1))),0)))+2*Assumptions!$B$27*(IF(C741&lt;=0,0,MAX(0,(B741/C741)*G741/INDEX(Surface_Engine!$B$12:$B$72,$A741+1)-F741/INDEX(Surface_Engine!$B$12:$B$72,$A741+1))))*(MAX(0,J741/INDEX(Surface_Engine!$B$12:$B$72,$A741+1)-(F741/INDEX(Surface_Engine!$B$12:$B$72,$A741+1))))+2*Assumptions!$B$28*(MAX(IF(D741&lt;=0,0,MAX(0,(B741/D741)*H741/INDEX(Surface_Engine!$B$12:$B$72,$A741+1)-F741/INDEX(Surface_Engine!$B$12:$B$72,$A741+1))),IF(E741&lt;=0,0,MAX(0,(B741/E741)*I741/INDEX(Surface_Engine!$B$12:$B$72,$A741+1)-F741/INDEX(Surface_Engine!$B$12:$B$72,$A741+1))),IF($A741&lt;$Q$699,MAX(0,-Assumptions!$B$22*(F741/INDEX(Surface_Engine!$B$12:$B$72,$A741+1))),0)))*(MAX(0,J741/INDEX(Surface_Engine!$B$12:$B$72,$A741+1)-(F741/INDEX(Surface_Engine!$B$12:$B$72,$A741+1)))))</f>
        <v>181.953447418106</v>
      </c>
      <c r="L741" s="48" t="n">
        <f aca="false">K741*INDEX(Surface_Engine!$B$12:$B$72,$A741+1)+L742</f>
        <v>163.04517071305</v>
      </c>
      <c r="M741" s="48" t="n">
        <f aca="false">M740+B740*(IF($A740&lt;$Q$699,(Surface_Engine!Q241*12)-(Surface_Engine!Q241*12)*INDEX(Surface_Engine!$F$12:$F$72,$A740+1)-INDEX(Surface_Engine!$D$12:$D$72,$A740+1),-(1000*12*INDEX(Surface_Engine!$C$12:$C$72,$A740+1)/(1+Assumptions!$B$10)^25+INDEX(Surface_Engine!$D$12:$D$72,$A740+1))))*INDEX(Surface_Engine!$B$12:$B$72,$A740+1)</f>
        <v>832.472660695287</v>
      </c>
      <c r="N741" s="12" t="n">
        <f aca="false">IF(B741&lt;=0,0,MAX(0,(K741+Assumptions!$B$29*L741/INDEX(Surface_Engine!$B$12:$B$72,$A741+1)-(M741/INDEX(Surface_Engine!$B$12:$B$72,$A741+1)-(F741/INDEX(Surface_Engine!$B$12:$B$72,$A741+1))))/B741))</f>
        <v>0</v>
      </c>
    </row>
    <row r="742" customFormat="false" ht="15" hidden="false" customHeight="true" outlineLevel="0" collapsed="false">
      <c r="A742" s="1" t="n">
        <v>41</v>
      </c>
      <c r="B742" s="32" t="n">
        <f aca="false">INDEX(Surface_Engine!$L$12:$L$72,$A742+1)*IF($A742&lt;$Q$699,INDEX(Surface_Engine!$E$12:$E$72,$A742+1),INDEX(Surface_Engine!$E$12:$E$72,$Q$699+1))</f>
        <v>0.0177576397973369</v>
      </c>
      <c r="C742" s="32" t="n">
        <f aca="false">INDEX(Panel_Reserving!$D$8:$D$68,$A742+1)*IF($A742&lt;$Q$699,INDEX(Surface_Engine!$E$12:$E$72,$A742+1),INDEX(Surface_Engine!$E$12:$E$72,$Q$699+1))</f>
        <v>0.0397047561220456</v>
      </c>
      <c r="D742" s="32" t="n">
        <f aca="false">INDEX(Surface_Engine!$L$12:$L$72,$A742+1)*IF($A742&lt;$Q$699,INDEX(Surface_Engine!$Y$12:$Y$72,$A742+1),INDEX(Surface_Engine!$Y$12:$Y$72,$Q$699+1))</f>
        <v>0.0153627006667876</v>
      </c>
      <c r="E742" s="32" t="n">
        <f aca="false">INDEX(Surface_Engine!$L$12:$L$72,$A742+1)*IF($A742&lt;$Q$699,INDEX(Surface_Engine!$Z$12:$Z$72,$A742+1),INDEX(Surface_Engine!$Z$12:$Z$72,$Q$699+1))</f>
        <v>0.0205027771972221</v>
      </c>
      <c r="F742" s="48" t="n">
        <f aca="false">B742*(IF($A742&lt;$Q$699,INDEX(Surface_Engine!$D$12:$D$72,$A742+1)+(Surface_Engine!Q241*12)*INDEX(Surface_Engine!$F$12:$F$72,$A742+1)-(Surface_Engine!Q241*12),1000*12*INDEX(Surface_Engine!$C$12:$C$72,$A742+1)/(1+Assumptions!$B$10)^25+INDEX(Surface_Engine!$D$12:$D$72,$A742+1)))*INDEX(Surface_Engine!$B$12:$B$72,$A742+1)+F743</f>
        <v>215.359842969382</v>
      </c>
      <c r="G742" s="48" t="n">
        <f aca="false">C742*(IF($A742&lt;$Q$699,INDEX(Surface_Engine!$D$12:$D$72,$A742+1)+(Surface_Engine!Q241*12)*INDEX(Surface_Engine!$F$12:$F$72,$A742+1)-(Surface_Engine!Q241*12),1000*12*INDEX(Surface_Engine!$C$12:$C$72,$A742+1)/(1+Assumptions!$B$10)^25+INDEX(Surface_Engine!$D$12:$D$72,$A742+1)))*INDEX(Surface_Engine!$B$12:$B$72,$A742+1)+G743</f>
        <v>580.516026632816</v>
      </c>
      <c r="H742" s="48" t="n">
        <f aca="false">D742*(IF($A742&lt;$Q$699,INDEX(Surface_Engine!$D$12:$D$72,$A742+1)+(Surface_Engine!Q241*12)*INDEX(Surface_Engine!$F$12:$F$72,$A742+1)-(Surface_Engine!Q241*12),1000*12*INDEX(Surface_Engine!$C$12:$C$72,$A742+1)/(1+Assumptions!$B$10)^25+INDEX(Surface_Engine!$D$12:$D$72,$A742+1)))*INDEX(Surface_Engine!$B$12:$B$72,$A742+1)+H743</f>
        <v>186.314670245827</v>
      </c>
      <c r="I742" s="48" t="n">
        <f aca="false">E742*(IF($A742&lt;$Q$699,INDEX(Surface_Engine!$D$12:$D$72,$A742+1)+(Surface_Engine!Q241*12)*INDEX(Surface_Engine!$F$12:$F$72,$A742+1)-(Surface_Engine!Q241*12),1000*12*INDEX(Surface_Engine!$C$12:$C$72,$A742+1)/(1+Assumptions!$B$10)^25+INDEX(Surface_Engine!$D$12:$D$72,$A742+1)))*INDEX(Surface_Engine!$B$12:$B$72,$A742+1)+I743</f>
        <v>248.652125396313</v>
      </c>
      <c r="J742" s="48" t="n">
        <f aca="false">B742*(IF($A742&lt;$Q$699,INDEX(Surface_Engine!$D$12:$D$72,$A742+1)*(1+Assumptions!$B$24)+(Surface_Engine!Q241*12)*INDEX(Surface_Engine!$F$12:$F$72,$A742+1)-(Surface_Engine!Q241*12),1000*12*INDEX(Surface_Engine!$C$12:$C$72,$A742+1)/(1+Assumptions!$B$10)^25+INDEX(Surface_Engine!$D$12:$D$72,$A742+1)*(1+Assumptions!$B$24)))*INDEX(Surface_Engine!$B$12:$B$72,$A742+1)+J743</f>
        <v>215.652955310916</v>
      </c>
      <c r="K742" s="12" t="n">
        <f aca="false">SQRT((IF(C742&lt;=0,0,MAX(0,(B742/C742)*G742/INDEX(Surface_Engine!$B$12:$B$72,$A742+1)-F742/INDEX(Surface_Engine!$B$12:$B$72,$A742+1))))^2+(MAX(IF(D742&lt;=0,0,MAX(0,(B742/D742)*H742/INDEX(Surface_Engine!$B$12:$B$72,$A742+1)-F742/INDEX(Surface_Engine!$B$12:$B$72,$A742+1))),IF(E742&lt;=0,0,MAX(0,(B742/E742)*I742/INDEX(Surface_Engine!$B$12:$B$72,$A742+1)-F742/INDEX(Surface_Engine!$B$12:$B$72,$A742+1))),IF($A742&lt;$Q$699,MAX(0,-Assumptions!$B$22*(F742/INDEX(Surface_Engine!$B$12:$B$72,$A742+1))),0)))^2+(MAX(0,J742/INDEX(Surface_Engine!$B$12:$B$72,$A742+1)-(F742/INDEX(Surface_Engine!$B$12:$B$72,$A742+1))))^2+2*Assumptions!$B$26*(IF(C742&lt;=0,0,MAX(0,(B742/C742)*G742/INDEX(Surface_Engine!$B$12:$B$72,$A742+1)-F742/INDEX(Surface_Engine!$B$12:$B$72,$A742+1))))*(MAX(IF(D742&lt;=0,0,MAX(0,(B742/D742)*H742/INDEX(Surface_Engine!$B$12:$B$72,$A742+1)-F742/INDEX(Surface_Engine!$B$12:$B$72,$A742+1))),IF(E742&lt;=0,0,MAX(0,(B742/E742)*I742/INDEX(Surface_Engine!$B$12:$B$72,$A742+1)-F742/INDEX(Surface_Engine!$B$12:$B$72,$A742+1))),IF($A742&lt;$Q$699,MAX(0,-Assumptions!$B$22*(F742/INDEX(Surface_Engine!$B$12:$B$72,$A742+1))),0)))+2*Assumptions!$B$27*(IF(C742&lt;=0,0,MAX(0,(B742/C742)*G742/INDEX(Surface_Engine!$B$12:$B$72,$A742+1)-F742/INDEX(Surface_Engine!$B$12:$B$72,$A742+1))))*(MAX(0,J742/INDEX(Surface_Engine!$B$12:$B$72,$A742+1)-(F742/INDEX(Surface_Engine!$B$12:$B$72,$A742+1))))+2*Assumptions!$B$28*(MAX(IF(D742&lt;=0,0,MAX(0,(B742/D742)*H742/INDEX(Surface_Engine!$B$12:$B$72,$A742+1)-F742/INDEX(Surface_Engine!$B$12:$B$72,$A742+1))),IF(E742&lt;=0,0,MAX(0,(B742/E742)*I742/INDEX(Surface_Engine!$B$12:$B$72,$A742+1)-F742/INDEX(Surface_Engine!$B$12:$B$72,$A742+1))),IF($A742&lt;$Q$699,MAX(0,-Assumptions!$B$22*(F742/INDEX(Surface_Engine!$B$12:$B$72,$A742+1))),0)))*(MAX(0,J742/INDEX(Surface_Engine!$B$12:$B$72,$A742+1)-(F742/INDEX(Surface_Engine!$B$12:$B$72,$A742+1)))))</f>
        <v>161.523393850539</v>
      </c>
      <c r="L742" s="48" t="n">
        <f aca="false">K742*INDEX(Surface_Engine!$B$12:$B$72,$A742+1)+L743</f>
        <v>111.450592501598</v>
      </c>
      <c r="M742" s="48" t="n">
        <f aca="false">M741+B741*(IF($A741&lt;$Q$699,(Surface_Engine!Q241*12)-(Surface_Engine!Q241*12)*INDEX(Surface_Engine!$F$12:$F$72,$A741+1)-INDEX(Surface_Engine!$D$12:$D$72,$A741+1),-(1000*12*INDEX(Surface_Engine!$C$12:$C$72,$A741+1)/(1+Assumptions!$B$10)^25+INDEX(Surface_Engine!$D$12:$D$72,$A741+1))))*INDEX(Surface_Engine!$B$12:$B$72,$A741+1)</f>
        <v>738.584702482804</v>
      </c>
      <c r="N742" s="12" t="n">
        <f aca="false">IF(B742&lt;=0,0,MAX(0,(K742+Assumptions!$B$29*L742/INDEX(Surface_Engine!$B$12:$B$72,$A742+1)-(M742/INDEX(Surface_Engine!$B$12:$B$72,$A742+1)-(F742/INDEX(Surface_Engine!$B$12:$B$72,$A742+1))))/B742))</f>
        <v>0</v>
      </c>
    </row>
    <row r="743" customFormat="false" ht="15" hidden="false" customHeight="true" outlineLevel="0" collapsed="false">
      <c r="A743" s="1" t="n">
        <v>42</v>
      </c>
      <c r="B743" s="32" t="n">
        <f aca="false">INDEX(Surface_Engine!$L$12:$L$72,$A743+1)*IF($A743&lt;$Q$699,INDEX(Surface_Engine!$E$12:$E$72,$A743+1),INDEX(Surface_Engine!$E$12:$E$72,$Q$699+1))</f>
        <v>0.0118256857597298</v>
      </c>
      <c r="C743" s="32" t="n">
        <f aca="false">INDEX(Panel_Reserving!$D$8:$D$68,$A743+1)*IF($A743&lt;$Q$699,INDEX(Surface_Engine!$E$12:$E$72,$A743+1),INDEX(Surface_Engine!$E$12:$E$72,$Q$699+1))</f>
        <v>0.0290940312248914</v>
      </c>
      <c r="D743" s="32" t="n">
        <f aca="false">INDEX(Surface_Engine!$L$12:$L$72,$A743+1)*IF($A743&lt;$Q$699,INDEX(Surface_Engine!$Y$12:$Y$72,$A743+1),INDEX(Surface_Engine!$Y$12:$Y$72,$Q$699+1))</f>
        <v>0.0102307779963792</v>
      </c>
      <c r="E743" s="32" t="n">
        <f aca="false">INDEX(Surface_Engine!$L$12:$L$72,$A743+1)*IF($A743&lt;$Q$699,INDEX(Surface_Engine!$Z$12:$Z$72,$A743+1),INDEX(Surface_Engine!$Z$12:$Z$72,$Q$699+1))</f>
        <v>0.0136538077753139</v>
      </c>
      <c r="F743" s="48" t="n">
        <f aca="false">B743*(IF($A743&lt;$Q$699,INDEX(Surface_Engine!$D$12:$D$72,$A743+1)+(Surface_Engine!Q241*12)*INDEX(Surface_Engine!$F$12:$F$72,$A743+1)-(Surface_Engine!Q241*12),1000*12*INDEX(Surface_Engine!$C$12:$C$72,$A743+1)/(1+Assumptions!$B$10)^25+INDEX(Surface_Engine!$D$12:$D$72,$A743+1)))*INDEX(Surface_Engine!$B$12:$B$72,$A743+1)+F744</f>
        <v>133.946925533379</v>
      </c>
      <c r="G743" s="48" t="n">
        <f aca="false">C743*(IF($A743&lt;$Q$699,INDEX(Surface_Engine!$D$12:$D$72,$A743+1)+(Surface_Engine!Q241*12)*INDEX(Surface_Engine!$F$12:$F$72,$A743+1)-(Surface_Engine!Q241*12),1000*12*INDEX(Surface_Engine!$C$12:$C$72,$A743+1)/(1+Assumptions!$B$10)^25+INDEX(Surface_Engine!$D$12:$D$72,$A743+1)))*INDEX(Surface_Engine!$B$12:$B$72,$A743+1)+G744</f>
        <v>398.482824649212</v>
      </c>
      <c r="H743" s="48" t="n">
        <f aca="false">D743*(IF($A743&lt;$Q$699,INDEX(Surface_Engine!$D$12:$D$72,$A743+1)+(Surface_Engine!Q241*12)*INDEX(Surface_Engine!$F$12:$F$72,$A743+1)-(Surface_Engine!Q241*12),1000*12*INDEX(Surface_Engine!$C$12:$C$72,$A743+1)/(1+Assumptions!$B$10)^25+INDEX(Surface_Engine!$D$12:$D$72,$A743+1)))*INDEX(Surface_Engine!$B$12:$B$72,$A743+1)+H744</f>
        <v>115.88175825677</v>
      </c>
      <c r="I743" s="48" t="n">
        <f aca="false">E743*(IF($A743&lt;$Q$699,INDEX(Surface_Engine!$D$12:$D$72,$A743+1)+(Surface_Engine!Q241*12)*INDEX(Surface_Engine!$F$12:$F$72,$A743+1)-(Surface_Engine!Q241*12),1000*12*INDEX(Surface_Engine!$C$12:$C$72,$A743+1)/(1+Assumptions!$B$10)^25+INDEX(Surface_Engine!$D$12:$D$72,$A743+1)))*INDEX(Surface_Engine!$B$12:$B$72,$A743+1)+I744</f>
        <v>154.653659033878</v>
      </c>
      <c r="J743" s="48" t="n">
        <f aca="false">B743*(IF($A743&lt;$Q$699,INDEX(Surface_Engine!$D$12:$D$72,$A743+1)*(1+Assumptions!$B$24)+(Surface_Engine!Q241*12)*INDEX(Surface_Engine!$F$12:$F$72,$A743+1)-(Surface_Engine!Q241*12),1000*12*INDEX(Surface_Engine!$C$12:$C$72,$A743+1)/(1+Assumptions!$B$10)^25+INDEX(Surface_Engine!$D$12:$D$72,$A743+1)*(1+Assumptions!$B$24)))*INDEX(Surface_Engine!$B$12:$B$72,$A743+1)+J744</f>
        <v>134.130012621894</v>
      </c>
      <c r="K743" s="12" t="n">
        <f aca="false">SQRT((IF(C743&lt;=0,0,MAX(0,(B743/C743)*G743/INDEX(Surface_Engine!$B$12:$B$72,$A743+1)-F743/INDEX(Surface_Engine!$B$12:$B$72,$A743+1))))^2+(MAX(IF(D743&lt;=0,0,MAX(0,(B743/D743)*H743/INDEX(Surface_Engine!$B$12:$B$72,$A743+1)-F743/INDEX(Surface_Engine!$B$12:$B$72,$A743+1))),IF(E743&lt;=0,0,MAX(0,(B743/E743)*I743/INDEX(Surface_Engine!$B$12:$B$72,$A743+1)-F743/INDEX(Surface_Engine!$B$12:$B$72,$A743+1))),IF($A743&lt;$Q$699,MAX(0,-Assumptions!$B$22*(F743/INDEX(Surface_Engine!$B$12:$B$72,$A743+1))),0)))^2+(MAX(0,J743/INDEX(Surface_Engine!$B$12:$B$72,$A743+1)-(F743/INDEX(Surface_Engine!$B$12:$B$72,$A743+1))))^2+2*Assumptions!$B$26*(IF(C743&lt;=0,0,MAX(0,(B743/C743)*G743/INDEX(Surface_Engine!$B$12:$B$72,$A743+1)-F743/INDEX(Surface_Engine!$B$12:$B$72,$A743+1))))*(MAX(IF(D743&lt;=0,0,MAX(0,(B743/D743)*H743/INDEX(Surface_Engine!$B$12:$B$72,$A743+1)-F743/INDEX(Surface_Engine!$B$12:$B$72,$A743+1))),IF(E743&lt;=0,0,MAX(0,(B743/E743)*I743/INDEX(Surface_Engine!$B$12:$B$72,$A743+1)-F743/INDEX(Surface_Engine!$B$12:$B$72,$A743+1))),IF($A743&lt;$Q$699,MAX(0,-Assumptions!$B$22*(F743/INDEX(Surface_Engine!$B$12:$B$72,$A743+1))),0)))+2*Assumptions!$B$27*(IF(C743&lt;=0,0,MAX(0,(B743/C743)*G743/INDEX(Surface_Engine!$B$12:$B$72,$A743+1)-F743/INDEX(Surface_Engine!$B$12:$B$72,$A743+1))))*(MAX(0,J743/INDEX(Surface_Engine!$B$12:$B$72,$A743+1)-(F743/INDEX(Surface_Engine!$B$12:$B$72,$A743+1))))+2*Assumptions!$B$28*(MAX(IF(D743&lt;=0,0,MAX(0,(B743/D743)*H743/INDEX(Surface_Engine!$B$12:$B$72,$A743+1)-F743/INDEX(Surface_Engine!$B$12:$B$72,$A743+1))),IF(E743&lt;=0,0,MAX(0,(B743/E743)*I743/INDEX(Surface_Engine!$B$12:$B$72,$A743+1)-F743/INDEX(Surface_Engine!$B$12:$B$72,$A743+1))),IF($A743&lt;$Q$699,MAX(0,-Assumptions!$B$22*(F743/INDEX(Surface_Engine!$B$12:$B$72,$A743+1))),0)))*(MAX(0,J743/INDEX(Surface_Engine!$B$12:$B$72,$A743+1)-(F743/INDEX(Surface_Engine!$B$12:$B$72,$A743+1)))))</f>
        <v>105.553544929728</v>
      </c>
      <c r="L743" s="48" t="n">
        <f aca="false">K743*INDEX(Surface_Engine!$B$12:$B$72,$A743+1)+L744</f>
        <v>67.105023536892</v>
      </c>
      <c r="M743" s="48" t="n">
        <f aca="false">M742+B742*(IF($A742&lt;$Q$699,(Surface_Engine!Q241*12)-(Surface_Engine!Q241*12)*INDEX(Surface_Engine!$F$12:$F$72,$A742+1)-INDEX(Surface_Engine!$D$12:$D$72,$A742+1),-(1000*12*INDEX(Surface_Engine!$C$12:$C$72,$A742+1)/(1+Assumptions!$B$10)^25+INDEX(Surface_Engine!$D$12:$D$72,$A742+1))))*INDEX(Surface_Engine!$B$12:$B$72,$A742+1)</f>
        <v>657.171785046801</v>
      </c>
      <c r="N743" s="12" t="n">
        <f aca="false">IF(B743&lt;=0,0,MAX(0,(K743+Assumptions!$B$29*L743/INDEX(Surface_Engine!$B$12:$B$72,$A743+1)-(M743/INDEX(Surface_Engine!$B$12:$B$72,$A743+1)-(F743/INDEX(Surface_Engine!$B$12:$B$72,$A743+1))))/B743))</f>
        <v>0</v>
      </c>
    </row>
    <row r="744" customFormat="false" ht="15" hidden="false" customHeight="true" outlineLevel="0" collapsed="false">
      <c r="A744" s="1" t="n">
        <v>43</v>
      </c>
      <c r="B744" s="32" t="n">
        <f aca="false">INDEX(Surface_Engine!$L$12:$L$72,$A744+1)*IF($A744&lt;$Q$699,INDEX(Surface_Engine!$E$12:$E$72,$A744+1),INDEX(Surface_Engine!$E$12:$E$72,$Q$699+1))</f>
        <v>0.00758938882142331</v>
      </c>
      <c r="C744" s="32" t="n">
        <f aca="false">INDEX(Panel_Reserving!$D$8:$D$68,$A744+1)*IF($A744&lt;$Q$699,INDEX(Surface_Engine!$E$12:$E$72,$A744+1),INDEX(Surface_Engine!$E$12:$E$72,$Q$699+1))</f>
        <v>0.0207561837356094</v>
      </c>
      <c r="D744" s="32" t="n">
        <f aca="false">INDEX(Surface_Engine!$L$12:$L$72,$A744+1)*IF($A744&lt;$Q$699,INDEX(Surface_Engine!$Y$12:$Y$72,$A744+1),INDEX(Surface_Engine!$Y$12:$Y$72,$Q$699+1))</f>
        <v>0.00656582237493496</v>
      </c>
      <c r="E744" s="32" t="n">
        <f aca="false">INDEX(Surface_Engine!$L$12:$L$72,$A744+1)*IF($A744&lt;$Q$699,INDEX(Surface_Engine!$Z$12:$Z$72,$A744+1),INDEX(Surface_Engine!$Z$12:$Z$72,$Q$699+1))</f>
        <v>0.00876262554284189</v>
      </c>
      <c r="F744" s="48" t="n">
        <f aca="false">B744*(IF($A744&lt;$Q$699,INDEX(Surface_Engine!$D$12:$D$72,$A744+1)+(Surface_Engine!Q241*12)*INDEX(Surface_Engine!$F$12:$F$72,$A744+1)-(Surface_Engine!Q241*12),1000*12*INDEX(Surface_Engine!$C$12:$C$72,$A744+1)/(1+Assumptions!$B$10)^25+INDEX(Surface_Engine!$D$12:$D$72,$A744+1)))*INDEX(Surface_Engine!$B$12:$B$72,$A744+1)+F745</f>
        <v>80.3803000599742</v>
      </c>
      <c r="G744" s="48" t="n">
        <f aca="false">C744*(IF($A744&lt;$Q$699,INDEX(Surface_Engine!$D$12:$D$72,$A744+1)+(Surface_Engine!Q241*12)*INDEX(Surface_Engine!$F$12:$F$72,$A744+1)-(Surface_Engine!Q241*12),1000*12*INDEX(Surface_Engine!$C$12:$C$72,$A744+1)/(1+Assumptions!$B$10)^25+INDEX(Surface_Engine!$D$12:$D$72,$A744+1)))*INDEX(Surface_Engine!$B$12:$B$72,$A744+1)+G745</f>
        <v>266.696042402522</v>
      </c>
      <c r="H744" s="48" t="n">
        <f aca="false">D744*(IF($A744&lt;$Q$699,INDEX(Surface_Engine!$D$12:$D$72,$A744+1)+(Surface_Engine!Q241*12)*INDEX(Surface_Engine!$F$12:$F$72,$A744+1)-(Surface_Engine!Q241*12),1000*12*INDEX(Surface_Engine!$C$12:$C$72,$A744+1)/(1+Assumptions!$B$10)^25+INDEX(Surface_Engine!$D$12:$D$72,$A744+1)))*INDEX(Surface_Engine!$B$12:$B$72,$A744+1)+H745</f>
        <v>69.5395617560135</v>
      </c>
      <c r="I744" s="48" t="n">
        <f aca="false">E744*(IF($A744&lt;$Q$699,INDEX(Surface_Engine!$D$12:$D$72,$A744+1)+(Surface_Engine!Q241*12)*INDEX(Surface_Engine!$F$12:$F$72,$A744+1)-(Surface_Engine!Q241*12),1000*12*INDEX(Surface_Engine!$C$12:$C$72,$A744+1)/(1+Assumptions!$B$10)^25+INDEX(Surface_Engine!$D$12:$D$72,$A744+1)))*INDEX(Surface_Engine!$B$12:$B$72,$A744+1)+I745</f>
        <v>92.8062176045862</v>
      </c>
      <c r="J744" s="48" t="n">
        <f aca="false">B744*(IF($A744&lt;$Q$699,INDEX(Surface_Engine!$D$12:$D$72,$A744+1)*(1+Assumptions!$B$24)+(Surface_Engine!Q241*12)*INDEX(Surface_Engine!$F$12:$F$72,$A744+1)-(Surface_Engine!Q241*12),1000*12*INDEX(Surface_Engine!$C$12:$C$72,$A744+1)/(1+Assumptions!$B$10)^25+INDEX(Surface_Engine!$D$12:$D$72,$A744+1)*(1+Assumptions!$B$24)))*INDEX(Surface_Engine!$B$12:$B$72,$A744+1)+J745</f>
        <v>80.490644640615</v>
      </c>
      <c r="K744" s="12" t="n">
        <f aca="false">SQRT((IF(C744&lt;=0,0,MAX(0,(B744/C744)*G744/INDEX(Surface_Engine!$B$12:$B$72,$A744+1)-F744/INDEX(Surface_Engine!$B$12:$B$72,$A744+1))))^2+(MAX(IF(D744&lt;=0,0,MAX(0,(B744/D744)*H744/INDEX(Surface_Engine!$B$12:$B$72,$A744+1)-F744/INDEX(Surface_Engine!$B$12:$B$72,$A744+1))),IF(E744&lt;=0,0,MAX(0,(B744/E744)*I744/INDEX(Surface_Engine!$B$12:$B$72,$A744+1)-F744/INDEX(Surface_Engine!$B$12:$B$72,$A744+1))),IF($A744&lt;$Q$699,MAX(0,-Assumptions!$B$22*(F744/INDEX(Surface_Engine!$B$12:$B$72,$A744+1))),0)))^2+(MAX(0,J744/INDEX(Surface_Engine!$B$12:$B$72,$A744+1)-(F744/INDEX(Surface_Engine!$B$12:$B$72,$A744+1))))^2+2*Assumptions!$B$26*(IF(C744&lt;=0,0,MAX(0,(B744/C744)*G744/INDEX(Surface_Engine!$B$12:$B$72,$A744+1)-F744/INDEX(Surface_Engine!$B$12:$B$72,$A744+1))))*(MAX(IF(D744&lt;=0,0,MAX(0,(B744/D744)*H744/INDEX(Surface_Engine!$B$12:$B$72,$A744+1)-F744/INDEX(Surface_Engine!$B$12:$B$72,$A744+1))),IF(E744&lt;=0,0,MAX(0,(B744/E744)*I744/INDEX(Surface_Engine!$B$12:$B$72,$A744+1)-F744/INDEX(Surface_Engine!$B$12:$B$72,$A744+1))),IF($A744&lt;$Q$699,MAX(0,-Assumptions!$B$22*(F744/INDEX(Surface_Engine!$B$12:$B$72,$A744+1))),0)))+2*Assumptions!$B$27*(IF(C744&lt;=0,0,MAX(0,(B744/C744)*G744/INDEX(Surface_Engine!$B$12:$B$72,$A744+1)-F744/INDEX(Surface_Engine!$B$12:$B$72,$A744+1))))*(MAX(0,J744/INDEX(Surface_Engine!$B$12:$B$72,$A744+1)-(F744/INDEX(Surface_Engine!$B$12:$B$72,$A744+1))))+2*Assumptions!$B$28*(MAX(IF(D744&lt;=0,0,MAX(0,(B744/D744)*H744/INDEX(Surface_Engine!$B$12:$B$72,$A744+1)-F744/INDEX(Surface_Engine!$B$12:$B$72,$A744+1))),IF(E744&lt;=0,0,MAX(0,(B744/E744)*I744/INDEX(Surface_Engine!$B$12:$B$72,$A744+1)-F744/INDEX(Surface_Engine!$B$12:$B$72,$A744+1))),IF($A744&lt;$Q$699,MAX(0,-Assumptions!$B$22*(F744/INDEX(Surface_Engine!$B$12:$B$72,$A744+1))),0)))*(MAX(0,J744/INDEX(Surface_Engine!$B$12:$B$72,$A744+1)-(F744/INDEX(Surface_Engine!$B$12:$B$72,$A744+1)))))</f>
        <v>66.668622641016</v>
      </c>
      <c r="L744" s="48" t="n">
        <f aca="false">K744*INDEX(Surface_Engine!$B$12:$B$72,$A744+1)+L745</f>
        <v>39.0365651902827</v>
      </c>
      <c r="M744" s="48" t="n">
        <f aca="false">M743+B743*(IF($A743&lt;$Q$699,(Surface_Engine!Q241*12)-(Surface_Engine!Q241*12)*INDEX(Surface_Engine!$F$12:$F$72,$A743+1)-INDEX(Surface_Engine!$D$12:$D$72,$A743+1),-(1000*12*INDEX(Surface_Engine!$C$12:$C$72,$A743+1)/(1+Assumptions!$B$10)^25+INDEX(Surface_Engine!$D$12:$D$72,$A743+1))))*INDEX(Surface_Engine!$B$12:$B$72,$A743+1)</f>
        <v>603.605159573396</v>
      </c>
      <c r="N744" s="12" t="n">
        <f aca="false">IF(B744&lt;=0,0,MAX(0,(K744+Assumptions!$B$29*L744/INDEX(Surface_Engine!$B$12:$B$72,$A744+1)-(M744/INDEX(Surface_Engine!$B$12:$B$72,$A744+1)-(F744/INDEX(Surface_Engine!$B$12:$B$72,$A744+1))))/B744))</f>
        <v>0</v>
      </c>
    </row>
    <row r="745" customFormat="false" ht="15" hidden="false" customHeight="true" outlineLevel="0" collapsed="false">
      <c r="A745" s="1" t="n">
        <v>44</v>
      </c>
      <c r="B745" s="32" t="n">
        <f aca="false">INDEX(Surface_Engine!$L$12:$L$72,$A745+1)*IF($A745&lt;$Q$699,INDEX(Surface_Engine!$E$12:$E$72,$A745+1),INDEX(Surface_Engine!$E$12:$E$72,$Q$699+1))</f>
        <v>0.00467516228436556</v>
      </c>
      <c r="C745" s="32" t="n">
        <f aca="false">INDEX(Panel_Reserving!$D$8:$D$68,$A745+1)*IF($A745&lt;$Q$699,INDEX(Surface_Engine!$E$12:$E$72,$A745+1),INDEX(Surface_Engine!$E$12:$E$72,$Q$699+1))</f>
        <v>0.0143801001933232</v>
      </c>
      <c r="D745" s="32" t="n">
        <f aca="false">INDEX(Surface_Engine!$L$12:$L$72,$A745+1)*IF($A745&lt;$Q$699,INDEX(Surface_Engine!$Y$12:$Y$72,$A745+1),INDEX(Surface_Engine!$Y$12:$Y$72,$Q$699+1))</f>
        <v>0.00404463203235681</v>
      </c>
      <c r="E745" s="32" t="n">
        <f aca="false">INDEX(Surface_Engine!$L$12:$L$72,$A745+1)*IF($A745&lt;$Q$699,INDEX(Surface_Engine!$Z$12:$Z$72,$A745+1),INDEX(Surface_Engine!$Z$12:$Z$72,$Q$699+1))</f>
        <v>0.00539789137358096</v>
      </c>
      <c r="F745" s="48" t="n">
        <f aca="false">B745*(IF($A745&lt;$Q$699,INDEX(Surface_Engine!$D$12:$D$72,$A745+1)+(Surface_Engine!Q241*12)*INDEX(Surface_Engine!$F$12:$F$72,$A745+1)-(Surface_Engine!Q241*12),1000*12*INDEX(Surface_Engine!$C$12:$C$72,$A745+1)/(1+Assumptions!$B$10)^25+INDEX(Surface_Engine!$D$12:$D$72,$A745+1)))*INDEX(Surface_Engine!$B$12:$B$72,$A745+1)+F746</f>
        <v>46.4298595952769</v>
      </c>
      <c r="G745" s="48" t="n">
        <f aca="false">C745*(IF($A745&lt;$Q$699,INDEX(Surface_Engine!$D$12:$D$72,$A745+1)+(Surface_Engine!Q241*12)*INDEX(Surface_Engine!$F$12:$F$72,$A745+1)-(Surface_Engine!Q241*12),1000*12*INDEX(Surface_Engine!$C$12:$C$72,$A745+1)/(1+Assumptions!$B$10)^25+INDEX(Surface_Engine!$D$12:$D$72,$A745+1)))*INDEX(Surface_Engine!$B$12:$B$72,$A745+1)+G746</f>
        <v>173.845142709393</v>
      </c>
      <c r="H745" s="48" t="n">
        <f aca="false">D745*(IF($A745&lt;$Q$699,INDEX(Surface_Engine!$D$12:$D$72,$A745+1)+(Surface_Engine!Q241*12)*INDEX(Surface_Engine!$F$12:$F$72,$A745+1)-(Surface_Engine!Q241*12),1000*12*INDEX(Surface_Engine!$C$12:$C$72,$A745+1)/(1+Assumptions!$B$10)^25+INDEX(Surface_Engine!$D$12:$D$72,$A745+1)))*INDEX(Surface_Engine!$B$12:$B$72,$A745+1)+H746</f>
        <v>40.1679526729778</v>
      </c>
      <c r="I745" s="48" t="n">
        <f aca="false">E745*(IF($A745&lt;$Q$699,INDEX(Surface_Engine!$D$12:$D$72,$A745+1)+(Surface_Engine!Q241*12)*INDEX(Surface_Engine!$F$12:$F$72,$A745+1)-(Surface_Engine!Q241*12),1000*12*INDEX(Surface_Engine!$C$12:$C$72,$A745+1)/(1+Assumptions!$B$10)^25+INDEX(Surface_Engine!$D$12:$D$72,$A745+1)))*INDEX(Surface_Engine!$B$12:$B$72,$A745+1)+I746</f>
        <v>53.6074093992507</v>
      </c>
      <c r="J745" s="48" t="n">
        <f aca="false">B745*(IF($A745&lt;$Q$699,INDEX(Surface_Engine!$D$12:$D$72,$A745+1)*(1+Assumptions!$B$24)+(Surface_Engine!Q241*12)*INDEX(Surface_Engine!$F$12:$F$72,$A745+1)-(Surface_Engine!Q241*12),1000*12*INDEX(Surface_Engine!$C$12:$C$72,$A745+1)/(1+Assumptions!$B$10)^25+INDEX(Surface_Engine!$D$12:$D$72,$A745+1)*(1+Assumptions!$B$24)))*INDEX(Surface_Engine!$B$12:$B$72,$A745+1)+J746</f>
        <v>46.4938771757194</v>
      </c>
      <c r="K745" s="12" t="n">
        <f aca="false">SQRT((IF(C745&lt;=0,0,MAX(0,(B745/C745)*G745/INDEX(Surface_Engine!$B$12:$B$72,$A745+1)-F745/INDEX(Surface_Engine!$B$12:$B$72,$A745+1))))^2+(MAX(IF(D745&lt;=0,0,MAX(0,(B745/D745)*H745/INDEX(Surface_Engine!$B$12:$B$72,$A745+1)-F745/INDEX(Surface_Engine!$B$12:$B$72,$A745+1))),IF(E745&lt;=0,0,MAX(0,(B745/E745)*I745/INDEX(Surface_Engine!$B$12:$B$72,$A745+1)-F745/INDEX(Surface_Engine!$B$12:$B$72,$A745+1))),IF($A745&lt;$Q$699,MAX(0,-Assumptions!$B$22*(F745/INDEX(Surface_Engine!$B$12:$B$72,$A745+1))),0)))^2+(MAX(0,J745/INDEX(Surface_Engine!$B$12:$B$72,$A745+1)-(F745/INDEX(Surface_Engine!$B$12:$B$72,$A745+1))))^2+2*Assumptions!$B$26*(IF(C745&lt;=0,0,MAX(0,(B745/C745)*G745/INDEX(Surface_Engine!$B$12:$B$72,$A745+1)-F745/INDEX(Surface_Engine!$B$12:$B$72,$A745+1))))*(MAX(IF(D745&lt;=0,0,MAX(0,(B745/D745)*H745/INDEX(Surface_Engine!$B$12:$B$72,$A745+1)-F745/INDEX(Surface_Engine!$B$12:$B$72,$A745+1))),IF(E745&lt;=0,0,MAX(0,(B745/E745)*I745/INDEX(Surface_Engine!$B$12:$B$72,$A745+1)-F745/INDEX(Surface_Engine!$B$12:$B$72,$A745+1))),IF($A745&lt;$Q$699,MAX(0,-Assumptions!$B$22*(F745/INDEX(Surface_Engine!$B$12:$B$72,$A745+1))),0)))+2*Assumptions!$B$27*(IF(C745&lt;=0,0,MAX(0,(B745/C745)*G745/INDEX(Surface_Engine!$B$12:$B$72,$A745+1)-F745/INDEX(Surface_Engine!$B$12:$B$72,$A745+1))))*(MAX(0,J745/INDEX(Surface_Engine!$B$12:$B$72,$A745+1)-(F745/INDEX(Surface_Engine!$B$12:$B$72,$A745+1))))+2*Assumptions!$B$28*(MAX(IF(D745&lt;=0,0,MAX(0,(B745/D745)*H745/INDEX(Surface_Engine!$B$12:$B$72,$A745+1)-F745/INDEX(Surface_Engine!$B$12:$B$72,$A745+1))),IF(E745&lt;=0,0,MAX(0,(B745/E745)*I745/INDEX(Surface_Engine!$B$12:$B$72,$A745+1)-F745/INDEX(Surface_Engine!$B$12:$B$72,$A745+1))),IF($A745&lt;$Q$699,MAX(0,-Assumptions!$B$22*(F745/INDEX(Surface_Engine!$B$12:$B$72,$A745+1))),0)))*(MAX(0,J745/INDEX(Surface_Engine!$B$12:$B$72,$A745+1)-(F745/INDEX(Surface_Engine!$B$12:$B$72,$A745+1)))))</f>
        <v>40.5293418759455</v>
      </c>
      <c r="L745" s="48" t="n">
        <f aca="false">K745*INDEX(Surface_Engine!$B$12:$B$72,$A745+1)+L746</f>
        <v>21.8729489892663</v>
      </c>
      <c r="M745" s="48" t="n">
        <f aca="false">M744+B744*(IF($A744&lt;$Q$699,(Surface_Engine!Q241*12)-(Surface_Engine!Q241*12)*INDEX(Surface_Engine!$F$12:$F$72,$A744+1)-INDEX(Surface_Engine!$D$12:$D$72,$A744+1),-(1000*12*INDEX(Surface_Engine!$C$12:$C$72,$A744+1)/(1+Assumptions!$B$10)^25+INDEX(Surface_Engine!$D$12:$D$72,$A744+1))))*INDEX(Surface_Engine!$B$12:$B$72,$A744+1)</f>
        <v>569.654719108699</v>
      </c>
      <c r="N745" s="12" t="n">
        <f aca="false">IF(B745&lt;=0,0,MAX(0,(K745+Assumptions!$B$29*L745/INDEX(Surface_Engine!$B$12:$B$72,$A745+1)-(M745/INDEX(Surface_Engine!$B$12:$B$72,$A745+1)-(F745/INDEX(Surface_Engine!$B$12:$B$72,$A745+1))))/B745))</f>
        <v>0</v>
      </c>
    </row>
    <row r="746" customFormat="false" ht="15" hidden="false" customHeight="true" outlineLevel="0" collapsed="false">
      <c r="A746" s="1" t="n">
        <v>45</v>
      </c>
      <c r="B746" s="32" t="n">
        <f aca="false">INDEX(Surface_Engine!$L$12:$L$72,$A746+1)*IF($A746&lt;$Q$699,INDEX(Surface_Engine!$E$12:$E$72,$A746+1),INDEX(Surface_Engine!$E$12:$E$72,$Q$699+1))</f>
        <v>0.00275174884168541</v>
      </c>
      <c r="C746" s="32" t="n">
        <f aca="false">INDEX(Panel_Reserving!$D$8:$D$68,$A746+1)*IF($A746&lt;$Q$699,INDEX(Surface_Engine!$E$12:$E$72,$A746+1),INDEX(Surface_Engine!$E$12:$E$72,$Q$699+1))</f>
        <v>0.00964719445246017</v>
      </c>
      <c r="D746" s="32" t="n">
        <f aca="false">INDEX(Surface_Engine!$L$12:$L$72,$A746+1)*IF($A746&lt;$Q$699,INDEX(Surface_Engine!$Y$12:$Y$72,$A746+1),INDEX(Surface_Engine!$Y$12:$Y$72,$Q$699+1))</f>
        <v>0.00238062570518703</v>
      </c>
      <c r="E746" s="32" t="n">
        <f aca="false">INDEX(Surface_Engine!$L$12:$L$72,$A746+1)*IF($A746&lt;$Q$699,INDEX(Surface_Engine!$Z$12:$Z$72,$A746+1),INDEX(Surface_Engine!$Z$12:$Z$72,$Q$699+1))</f>
        <v>0.00317713919460462</v>
      </c>
      <c r="F746" s="48" t="n">
        <f aca="false">B746*(IF($A746&lt;$Q$699,INDEX(Surface_Engine!$D$12:$D$72,$A746+1)+(Surface_Engine!Q241*12)*INDEX(Surface_Engine!$F$12:$F$72,$A746+1)-(Surface_Engine!Q241*12),1000*12*INDEX(Surface_Engine!$C$12:$C$72,$A746+1)/(1+Assumptions!$B$10)^25+INDEX(Surface_Engine!$D$12:$D$72,$A746+1)))*INDEX(Surface_Engine!$B$12:$B$72,$A746+1)+F747</f>
        <v>25.7677613508001</v>
      </c>
      <c r="G746" s="48" t="n">
        <f aca="false">C746*(IF($A746&lt;$Q$699,INDEX(Surface_Engine!$D$12:$D$72,$A746+1)+(Surface_Engine!Q241*12)*INDEX(Surface_Engine!$F$12:$F$72,$A746+1)-(Surface_Engine!Q241*12),1000*12*INDEX(Surface_Engine!$C$12:$C$72,$A746+1)/(1+Assumptions!$B$10)^25+INDEX(Surface_Engine!$D$12:$D$72,$A746+1)))*INDEX(Surface_Engine!$B$12:$B$72,$A746+1)+G747</f>
        <v>110.291617743321</v>
      </c>
      <c r="H746" s="48" t="n">
        <f aca="false">D746*(IF($A746&lt;$Q$699,INDEX(Surface_Engine!$D$12:$D$72,$A746+1)+(Surface_Engine!Q241*12)*INDEX(Surface_Engine!$F$12:$F$72,$A746+1)-(Surface_Engine!Q241*12),1000*12*INDEX(Surface_Engine!$C$12:$C$72,$A746+1)/(1+Assumptions!$B$10)^25+INDEX(Surface_Engine!$D$12:$D$72,$A746+1)))*INDEX(Surface_Engine!$B$12:$B$72,$A746+1)+H747</f>
        <v>22.2925123498071</v>
      </c>
      <c r="I746" s="48" t="n">
        <f aca="false">E746*(IF($A746&lt;$Q$699,INDEX(Surface_Engine!$D$12:$D$72,$A746+1)+(Surface_Engine!Q241*12)*INDEX(Surface_Engine!$F$12:$F$72,$A746+1)-(Surface_Engine!Q241*12),1000*12*INDEX(Surface_Engine!$C$12:$C$72,$A746+1)/(1+Assumptions!$B$10)^25+INDEX(Surface_Engine!$D$12:$D$72,$A746+1)))*INDEX(Surface_Engine!$B$12:$B$72,$A746+1)+I747</f>
        <v>29.7511761628296</v>
      </c>
      <c r="J746" s="48" t="n">
        <f aca="false">B746*(IF($A746&lt;$Q$699,INDEX(Surface_Engine!$D$12:$D$72,$A746+1)*(1+Assumptions!$B$24)+(Surface_Engine!Q241*12)*INDEX(Surface_Engine!$F$12:$F$72,$A746+1)-(Surface_Engine!Q241*12),1000*12*INDEX(Surface_Engine!$C$12:$C$72,$A746+1)/(1+Assumptions!$B$10)^25+INDEX(Surface_Engine!$D$12:$D$72,$A746+1)*(1+Assumptions!$B$24)))*INDEX(Surface_Engine!$B$12:$B$72,$A746+1)+J747</f>
        <v>25.8034481967989</v>
      </c>
      <c r="K746" s="12" t="n">
        <f aca="false">SQRT((IF(C746&lt;=0,0,MAX(0,(B746/C746)*G746/INDEX(Surface_Engine!$B$12:$B$72,$A746+1)-F746/INDEX(Surface_Engine!$B$12:$B$72,$A746+1))))^2+(MAX(IF(D746&lt;=0,0,MAX(0,(B746/D746)*H746/INDEX(Surface_Engine!$B$12:$B$72,$A746+1)-F746/INDEX(Surface_Engine!$B$12:$B$72,$A746+1))),IF(E746&lt;=0,0,MAX(0,(B746/E746)*I746/INDEX(Surface_Engine!$B$12:$B$72,$A746+1)-F746/INDEX(Surface_Engine!$B$12:$B$72,$A746+1))),IF($A746&lt;$Q$699,MAX(0,-Assumptions!$B$22*(F746/INDEX(Surface_Engine!$B$12:$B$72,$A746+1))),0)))^2+(MAX(0,J746/INDEX(Surface_Engine!$B$12:$B$72,$A746+1)-(F746/INDEX(Surface_Engine!$B$12:$B$72,$A746+1))))^2+2*Assumptions!$B$26*(IF(C746&lt;=0,0,MAX(0,(B746/C746)*G746/INDEX(Surface_Engine!$B$12:$B$72,$A746+1)-F746/INDEX(Surface_Engine!$B$12:$B$72,$A746+1))))*(MAX(IF(D746&lt;=0,0,MAX(0,(B746/D746)*H746/INDEX(Surface_Engine!$B$12:$B$72,$A746+1)-F746/INDEX(Surface_Engine!$B$12:$B$72,$A746+1))),IF(E746&lt;=0,0,MAX(0,(B746/E746)*I746/INDEX(Surface_Engine!$B$12:$B$72,$A746+1)-F746/INDEX(Surface_Engine!$B$12:$B$72,$A746+1))),IF($A746&lt;$Q$699,MAX(0,-Assumptions!$B$22*(F746/INDEX(Surface_Engine!$B$12:$B$72,$A746+1))),0)))+2*Assumptions!$B$27*(IF(C746&lt;=0,0,MAX(0,(B746/C746)*G746/INDEX(Surface_Engine!$B$12:$B$72,$A746+1)-F746/INDEX(Surface_Engine!$B$12:$B$72,$A746+1))))*(MAX(0,J746/INDEX(Surface_Engine!$B$12:$B$72,$A746+1)-(F746/INDEX(Surface_Engine!$B$12:$B$72,$A746+1))))+2*Assumptions!$B$28*(MAX(IF(D746&lt;=0,0,MAX(0,(B746/D746)*H746/INDEX(Surface_Engine!$B$12:$B$72,$A746+1)-F746/INDEX(Surface_Engine!$B$12:$B$72,$A746+1))),IF(E746&lt;=0,0,MAX(0,(B746/E746)*I746/INDEX(Surface_Engine!$B$12:$B$72,$A746+1)-F746/INDEX(Surface_Engine!$B$12:$B$72,$A746+1))),IF($A746&lt;$Q$699,MAX(0,-Assumptions!$B$22*(F746/INDEX(Surface_Engine!$B$12:$B$72,$A746+1))),0)))*(MAX(0,J746/INDEX(Surface_Engine!$B$12:$B$72,$A746+1)-(F746/INDEX(Surface_Engine!$B$12:$B$72,$A746+1)))))</f>
        <v>23.6164847042651</v>
      </c>
      <c r="L746" s="48" t="n">
        <f aca="false">K746*INDEX(Surface_Engine!$B$12:$B$72,$A746+1)+L747</f>
        <v>11.7672405414673</v>
      </c>
      <c r="M746" s="48" t="n">
        <f aca="false">M745+B745*(IF($A745&lt;$Q$699,(Surface_Engine!Q241*12)-(Surface_Engine!Q241*12)*INDEX(Surface_Engine!$F$12:$F$72,$A745+1)-INDEX(Surface_Engine!$D$12:$D$72,$A745+1),-(1000*12*INDEX(Surface_Engine!$C$12:$C$72,$A745+1)/(1+Assumptions!$B$10)^25+INDEX(Surface_Engine!$D$12:$D$72,$A745+1))))*INDEX(Surface_Engine!$B$12:$B$72,$A745+1)</f>
        <v>548.992620864222</v>
      </c>
      <c r="N746" s="12" t="n">
        <f aca="false">IF(B746&lt;=0,0,MAX(0,(K746+Assumptions!$B$29*L746/INDEX(Surface_Engine!$B$12:$B$72,$A746+1)-(M746/INDEX(Surface_Engine!$B$12:$B$72,$A746+1)-(F746/INDEX(Surface_Engine!$B$12:$B$72,$A746+1))))/B746))</f>
        <v>0</v>
      </c>
    </row>
    <row r="747" customFormat="false" ht="15" hidden="false" customHeight="true" outlineLevel="0" collapsed="false">
      <c r="A747" s="1" t="n">
        <v>46</v>
      </c>
      <c r="B747" s="32" t="n">
        <f aca="false">INDEX(Surface_Engine!$L$12:$L$72,$A747+1)*IF($A747&lt;$Q$699,INDEX(Surface_Engine!$E$12:$E$72,$A747+1),INDEX(Surface_Engine!$E$12:$E$72,$Q$699+1))</f>
        <v>0.00153935333799501</v>
      </c>
      <c r="C747" s="32" t="n">
        <f aca="false">INDEX(Panel_Reserving!$D$8:$D$68,$A747+1)*IF($A747&lt;$Q$699,INDEX(Surface_Engine!$E$12:$E$72,$A747+1),INDEX(Surface_Engine!$E$12:$E$72,$Q$699+1))</f>
        <v>0.0062468215695263</v>
      </c>
      <c r="D747" s="32" t="n">
        <f aca="false">INDEX(Surface_Engine!$L$12:$L$72,$A747+1)*IF($A747&lt;$Q$699,INDEX(Surface_Engine!$Y$12:$Y$72,$A747+1),INDEX(Surface_Engine!$Y$12:$Y$72,$Q$699+1))</f>
        <v>0.00133174367888599</v>
      </c>
      <c r="E747" s="32" t="n">
        <f aca="false">INDEX(Surface_Engine!$L$12:$L$72,$A747+1)*IF($A747&lt;$Q$699,INDEX(Surface_Engine!$Z$12:$Z$72,$A747+1),INDEX(Surface_Engine!$Z$12:$Z$72,$Q$699+1))</f>
        <v>0.00177732057170373</v>
      </c>
      <c r="F747" s="48" t="n">
        <f aca="false">B747*(IF($A747&lt;$Q$699,INDEX(Surface_Engine!$D$12:$D$72,$A747+1)+(Surface_Engine!Q241*12)*INDEX(Surface_Engine!$F$12:$F$72,$A747+1)-(Surface_Engine!Q241*12),1000*12*INDEX(Surface_Engine!$C$12:$C$72,$A747+1)/(1+Assumptions!$B$10)^25+INDEX(Surface_Engine!$D$12:$D$72,$A747+1)))*INDEX(Surface_Engine!$B$12:$B$72,$A747+1)+F748</f>
        <v>13.7581759508683</v>
      </c>
      <c r="G747" s="48" t="n">
        <f aca="false">C747*(IF($A747&lt;$Q$699,INDEX(Surface_Engine!$D$12:$D$72,$A747+1)+(Surface_Engine!Q241*12)*INDEX(Surface_Engine!$F$12:$F$72,$A747+1)-(Surface_Engine!Q241*12),1000*12*INDEX(Surface_Engine!$C$12:$C$72,$A747+1)/(1+Assumptions!$B$10)^25+INDEX(Surface_Engine!$D$12:$D$72,$A747+1)))*INDEX(Surface_Engine!$B$12:$B$72,$A747+1)+G748</f>
        <v>68.1879184916095</v>
      </c>
      <c r="H747" s="48" t="n">
        <f aca="false">D747*(IF($A747&lt;$Q$699,INDEX(Surface_Engine!$D$12:$D$72,$A747+1)+(Surface_Engine!Q241*12)*INDEX(Surface_Engine!$F$12:$F$72,$A747+1)-(Surface_Engine!Q241*12),1000*12*INDEX(Surface_Engine!$C$12:$C$72,$A747+1)/(1+Assumptions!$B$10)^25+INDEX(Surface_Engine!$D$12:$D$72,$A747+1)))*INDEX(Surface_Engine!$B$12:$B$72,$A747+1)+H748</f>
        <v>11.9026369081934</v>
      </c>
      <c r="I747" s="48" t="n">
        <f aca="false">E747*(IF($A747&lt;$Q$699,INDEX(Surface_Engine!$D$12:$D$72,$A747+1)+(Surface_Engine!Q241*12)*INDEX(Surface_Engine!$F$12:$F$72,$A747+1)-(Surface_Engine!Q241*12),1000*12*INDEX(Surface_Engine!$C$12:$C$72,$A747+1)/(1+Assumptions!$B$10)^25+INDEX(Surface_Engine!$D$12:$D$72,$A747+1)))*INDEX(Surface_Engine!$B$12:$B$72,$A747+1)+I748</f>
        <v>15.8850398690447</v>
      </c>
      <c r="J747" s="48" t="n">
        <f aca="false">B747*(IF($A747&lt;$Q$699,INDEX(Surface_Engine!$D$12:$D$72,$A747+1)*(1+Assumptions!$B$24)+(Surface_Engine!Q241*12)*INDEX(Surface_Engine!$F$12:$F$72,$A747+1)-(Surface_Engine!Q241*12),1000*12*INDEX(Surface_Engine!$C$12:$C$72,$A747+1)/(1+Assumptions!$B$10)^25+INDEX(Surface_Engine!$D$12:$D$72,$A747+1)*(1+Assumptions!$B$24)))*INDEX(Surface_Engine!$B$12:$B$72,$A747+1)+J748</f>
        <v>13.7773163049987</v>
      </c>
      <c r="K747" s="12" t="n">
        <f aca="false">SQRT((IF(C747&lt;=0,0,MAX(0,(B747/C747)*G747/INDEX(Surface_Engine!$B$12:$B$72,$A747+1)-F747/INDEX(Surface_Engine!$B$12:$B$72,$A747+1))))^2+(MAX(IF(D747&lt;=0,0,MAX(0,(B747/D747)*H747/INDEX(Surface_Engine!$B$12:$B$72,$A747+1)-F747/INDEX(Surface_Engine!$B$12:$B$72,$A747+1))),IF(E747&lt;=0,0,MAX(0,(B747/E747)*I747/INDEX(Surface_Engine!$B$12:$B$72,$A747+1)-F747/INDEX(Surface_Engine!$B$12:$B$72,$A747+1))),IF($A747&lt;$Q$699,MAX(0,-Assumptions!$B$22*(F747/INDEX(Surface_Engine!$B$12:$B$72,$A747+1))),0)))^2+(MAX(0,J747/INDEX(Surface_Engine!$B$12:$B$72,$A747+1)-(F747/INDEX(Surface_Engine!$B$12:$B$72,$A747+1))))^2+2*Assumptions!$B$26*(IF(C747&lt;=0,0,MAX(0,(B747/C747)*G747/INDEX(Surface_Engine!$B$12:$B$72,$A747+1)-F747/INDEX(Surface_Engine!$B$12:$B$72,$A747+1))))*(MAX(IF(D747&lt;=0,0,MAX(0,(B747/D747)*H747/INDEX(Surface_Engine!$B$12:$B$72,$A747+1)-F747/INDEX(Surface_Engine!$B$12:$B$72,$A747+1))),IF(E747&lt;=0,0,MAX(0,(B747/E747)*I747/INDEX(Surface_Engine!$B$12:$B$72,$A747+1)-F747/INDEX(Surface_Engine!$B$12:$B$72,$A747+1))),IF($A747&lt;$Q$699,MAX(0,-Assumptions!$B$22*(F747/INDEX(Surface_Engine!$B$12:$B$72,$A747+1))),0)))+2*Assumptions!$B$27*(IF(C747&lt;=0,0,MAX(0,(B747/C747)*G747/INDEX(Surface_Engine!$B$12:$B$72,$A747+1)-F747/INDEX(Surface_Engine!$B$12:$B$72,$A747+1))))*(MAX(0,J747/INDEX(Surface_Engine!$B$12:$B$72,$A747+1)-(F747/INDEX(Surface_Engine!$B$12:$B$72,$A747+1))))+2*Assumptions!$B$28*(MAX(IF(D747&lt;=0,0,MAX(0,(B747/D747)*H747/INDEX(Surface_Engine!$B$12:$B$72,$A747+1)-F747/INDEX(Surface_Engine!$B$12:$B$72,$A747+1))),IF(E747&lt;=0,0,MAX(0,(B747/E747)*I747/INDEX(Surface_Engine!$B$12:$B$72,$A747+1)-F747/INDEX(Surface_Engine!$B$12:$B$72,$A747+1))),IF($A747&lt;$Q$699,MAX(0,-Assumptions!$B$22*(F747/INDEX(Surface_Engine!$B$12:$B$72,$A747+1))),0)))*(MAX(0,J747/INDEX(Surface_Engine!$B$12:$B$72,$A747+1)-(F747/INDEX(Surface_Engine!$B$12:$B$72,$A747+1)))))</f>
        <v>13.0452681917688</v>
      </c>
      <c r="L747" s="48" t="n">
        <f aca="false">K747*INDEX(Surface_Engine!$B$12:$B$72,$A747+1)+L748</f>
        <v>6.06658766823178</v>
      </c>
      <c r="M747" s="48" t="n">
        <f aca="false">M746+B746*(IF($A746&lt;$Q$699,(Surface_Engine!Q241*12)-(Surface_Engine!Q241*12)*INDEX(Surface_Engine!$F$12:$F$72,$A746+1)-INDEX(Surface_Engine!$D$12:$D$72,$A746+1),-(1000*12*INDEX(Surface_Engine!$C$12:$C$72,$A746+1)/(1+Assumptions!$B$10)^25+INDEX(Surface_Engine!$D$12:$D$72,$A746+1))))*INDEX(Surface_Engine!$B$12:$B$72,$A746+1)</f>
        <v>536.98303546429</v>
      </c>
      <c r="N747" s="12" t="n">
        <f aca="false">IF(B747&lt;=0,0,MAX(0,(K747+Assumptions!$B$29*L747/INDEX(Surface_Engine!$B$12:$B$72,$A747+1)-(M747/INDEX(Surface_Engine!$B$12:$B$72,$A747+1)-(F747/INDEX(Surface_Engine!$B$12:$B$72,$A747+1))))/B747))</f>
        <v>0</v>
      </c>
    </row>
    <row r="748" customFormat="false" ht="15" hidden="false" customHeight="true" outlineLevel="0" collapsed="false">
      <c r="A748" s="1" t="n">
        <v>47</v>
      </c>
      <c r="B748" s="32" t="n">
        <f aca="false">INDEX(Surface_Engine!$L$12:$L$72,$A748+1)*IF($A748&lt;$Q$699,INDEX(Surface_Engine!$E$12:$E$72,$A748+1),INDEX(Surface_Engine!$E$12:$E$72,$Q$699+1))</f>
        <v>0.000833962929301145</v>
      </c>
      <c r="C748" s="32" t="n">
        <f aca="false">INDEX(Panel_Reserving!$D$8:$D$68,$A748+1)*IF($A748&lt;$Q$699,INDEX(Surface_Engine!$E$12:$E$72,$A748+1),INDEX(Surface_Engine!$E$12:$E$72,$Q$699+1))</f>
        <v>0.00395679605753818</v>
      </c>
      <c r="D748" s="32" t="n">
        <f aca="false">INDEX(Surface_Engine!$L$12:$L$72,$A748+1)*IF($A748&lt;$Q$699,INDEX(Surface_Engine!$Y$12:$Y$72,$A748+1),INDEX(Surface_Engine!$Y$12:$Y$72,$Q$699+1))</f>
        <v>0.000721487933997413</v>
      </c>
      <c r="E748" s="32" t="n">
        <f aca="false">INDEX(Surface_Engine!$L$12:$L$72,$A748+1)*IF($A748&lt;$Q$699,INDEX(Surface_Engine!$Z$12:$Z$72,$A748+1),INDEX(Surface_Engine!$Z$12:$Z$72,$Q$699+1))</f>
        <v>0.000962884500718857</v>
      </c>
      <c r="F748" s="48" t="n">
        <f aca="false">B748*(IF($A748&lt;$Q$699,INDEX(Surface_Engine!$D$12:$D$72,$A748+1)+(Surface_Engine!Q241*12)*INDEX(Surface_Engine!$F$12:$F$72,$A748+1)-(Surface_Engine!Q241*12),1000*12*INDEX(Surface_Engine!$C$12:$C$72,$A748+1)/(1+Assumptions!$B$10)^25+INDEX(Surface_Engine!$D$12:$D$72,$A748+1)))*INDEX(Surface_Engine!$B$12:$B$72,$A748+1)+F749</f>
        <v>7.12111342381579</v>
      </c>
      <c r="G748" s="48" t="n">
        <f aca="false">C748*(IF($A748&lt;$Q$699,INDEX(Surface_Engine!$D$12:$D$72,$A748+1)+(Surface_Engine!Q241*12)*INDEX(Surface_Engine!$F$12:$F$72,$A748+1)-(Surface_Engine!Q241*12),1000*12*INDEX(Surface_Engine!$C$12:$C$72,$A748+1)/(1+Assumptions!$B$10)^25+INDEX(Surface_Engine!$D$12:$D$72,$A748+1)))*INDEX(Surface_Engine!$B$12:$B$72,$A748+1)+G749</f>
        <v>41.254176686568</v>
      </c>
      <c r="H748" s="48" t="n">
        <f aca="false">D748*(IF($A748&lt;$Q$699,INDEX(Surface_Engine!$D$12:$D$72,$A748+1)+(Surface_Engine!Q241*12)*INDEX(Surface_Engine!$F$12:$F$72,$A748+1)-(Surface_Engine!Q241*12),1000*12*INDEX(Surface_Engine!$C$12:$C$72,$A748+1)/(1+Assumptions!$B$10)^25+INDEX(Surface_Engine!$D$12:$D$72,$A748+1)))*INDEX(Surface_Engine!$B$12:$B$72,$A748+1)+H749</f>
        <v>6.16070239023158</v>
      </c>
      <c r="I748" s="48" t="n">
        <f aca="false">E748*(IF($A748&lt;$Q$699,INDEX(Surface_Engine!$D$12:$D$72,$A748+1)+(Surface_Engine!Q241*12)*INDEX(Surface_Engine!$F$12:$F$72,$A748+1)-(Surface_Engine!Q241*12),1000*12*INDEX(Surface_Engine!$C$12:$C$72,$A748+1)/(1+Assumptions!$B$10)^25+INDEX(Surface_Engine!$D$12:$D$72,$A748+1)))*INDEX(Surface_Engine!$B$12:$B$72,$A748+1)+I749</f>
        <v>8.22195987704055</v>
      </c>
      <c r="J748" s="48" t="n">
        <f aca="false">B748*(IF($A748&lt;$Q$699,INDEX(Surface_Engine!$D$12:$D$72,$A748+1)*(1+Assumptions!$B$24)+(Surface_Engine!Q241*12)*INDEX(Surface_Engine!$F$12:$F$72,$A748+1)-(Surface_Engine!Q241*12),1000*12*INDEX(Surface_Engine!$C$12:$C$72,$A748+1)/(1+Assumptions!$B$10)^25+INDEX(Surface_Engine!$D$12:$D$72,$A748+1)*(1+Assumptions!$B$24)))*INDEX(Surface_Engine!$B$12:$B$72,$A748+1)+J749</f>
        <v>7.13106520245324</v>
      </c>
      <c r="K748" s="12" t="n">
        <f aca="false">SQRT((IF(C748&lt;=0,0,MAX(0,(B748/C748)*G748/INDEX(Surface_Engine!$B$12:$B$72,$A748+1)-F748/INDEX(Surface_Engine!$B$12:$B$72,$A748+1))))^2+(MAX(IF(D748&lt;=0,0,MAX(0,(B748/D748)*H748/INDEX(Surface_Engine!$B$12:$B$72,$A748+1)-F748/INDEX(Surface_Engine!$B$12:$B$72,$A748+1))),IF(E748&lt;=0,0,MAX(0,(B748/E748)*I748/INDEX(Surface_Engine!$B$12:$B$72,$A748+1)-F748/INDEX(Surface_Engine!$B$12:$B$72,$A748+1))),IF($A748&lt;$Q$699,MAX(0,-Assumptions!$B$22*(F748/INDEX(Surface_Engine!$B$12:$B$72,$A748+1))),0)))^2+(MAX(0,J748/INDEX(Surface_Engine!$B$12:$B$72,$A748+1)-(F748/INDEX(Surface_Engine!$B$12:$B$72,$A748+1))))^2+2*Assumptions!$B$26*(IF(C748&lt;=0,0,MAX(0,(B748/C748)*G748/INDEX(Surface_Engine!$B$12:$B$72,$A748+1)-F748/INDEX(Surface_Engine!$B$12:$B$72,$A748+1))))*(MAX(IF(D748&lt;=0,0,MAX(0,(B748/D748)*H748/INDEX(Surface_Engine!$B$12:$B$72,$A748+1)-F748/INDEX(Surface_Engine!$B$12:$B$72,$A748+1))),IF(E748&lt;=0,0,MAX(0,(B748/E748)*I748/INDEX(Surface_Engine!$B$12:$B$72,$A748+1)-F748/INDEX(Surface_Engine!$B$12:$B$72,$A748+1))),IF($A748&lt;$Q$699,MAX(0,-Assumptions!$B$22*(F748/INDEX(Surface_Engine!$B$12:$B$72,$A748+1))),0)))+2*Assumptions!$B$27*(IF(C748&lt;=0,0,MAX(0,(B748/C748)*G748/INDEX(Surface_Engine!$B$12:$B$72,$A748+1)-F748/INDEX(Surface_Engine!$B$12:$B$72,$A748+1))))*(MAX(0,J748/INDEX(Surface_Engine!$B$12:$B$72,$A748+1)-(F748/INDEX(Surface_Engine!$B$12:$B$72,$A748+1))))+2*Assumptions!$B$28*(MAX(IF(D748&lt;=0,0,MAX(0,(B748/D748)*H748/INDEX(Surface_Engine!$B$12:$B$72,$A748+1)-F748/INDEX(Surface_Engine!$B$12:$B$72,$A748+1))),IF(E748&lt;=0,0,MAX(0,(B748/E748)*I748/INDEX(Surface_Engine!$B$12:$B$72,$A748+1)-F748/INDEX(Surface_Engine!$B$12:$B$72,$A748+1))),IF($A748&lt;$Q$699,MAX(0,-Assumptions!$B$22*(F748/INDEX(Surface_Engine!$B$12:$B$72,$A748+1))),0)))*(MAX(0,J748/INDEX(Surface_Engine!$B$12:$B$72,$A748+1)-(F748/INDEX(Surface_Engine!$B$12:$B$72,$A748+1)))))</f>
        <v>6.96300452385842</v>
      </c>
      <c r="L748" s="48" t="n">
        <f aca="false">K748*INDEX(Surface_Engine!$B$12:$B$72,$A748+1)+L749</f>
        <v>3.01692908564147</v>
      </c>
      <c r="M748" s="48" t="n">
        <f aca="false">M747+B747*(IF($A747&lt;$Q$699,(Surface_Engine!Q241*12)-(Surface_Engine!Q241*12)*INDEX(Surface_Engine!$F$12:$F$72,$A747+1)-INDEX(Surface_Engine!$D$12:$D$72,$A747+1),-(1000*12*INDEX(Surface_Engine!$C$12:$C$72,$A747+1)/(1+Assumptions!$B$10)^25+INDEX(Surface_Engine!$D$12:$D$72,$A747+1))))*INDEX(Surface_Engine!$B$12:$B$72,$A747+1)</f>
        <v>530.345972937238</v>
      </c>
      <c r="N748" s="12" t="n">
        <f aca="false">IF(B748&lt;=0,0,MAX(0,(K748+Assumptions!$B$29*L748/INDEX(Surface_Engine!$B$12:$B$72,$A748+1)-(M748/INDEX(Surface_Engine!$B$12:$B$72,$A748+1)-(F748/INDEX(Surface_Engine!$B$12:$B$72,$A748+1))))/B748))</f>
        <v>0</v>
      </c>
    </row>
    <row r="749" customFormat="false" ht="15" hidden="false" customHeight="true" outlineLevel="0" collapsed="false">
      <c r="A749" s="1" t="n">
        <v>48</v>
      </c>
      <c r="B749" s="32" t="n">
        <f aca="false">INDEX(Surface_Engine!$L$12:$L$72,$A749+1)*IF($A749&lt;$Q$699,INDEX(Surface_Engine!$E$12:$E$72,$A749+1),INDEX(Surface_Engine!$E$12:$E$72,$Q$699+1))</f>
        <v>0.000437152044915728</v>
      </c>
      <c r="C749" s="32" t="n">
        <f aca="false">INDEX(Panel_Reserving!$D$8:$D$68,$A749+1)*IF($A749&lt;$Q$699,INDEX(Surface_Engine!$E$12:$E$72,$A749+1),INDEX(Surface_Engine!$E$12:$E$72,$Q$699+1))</f>
        <v>0.00245063822940528</v>
      </c>
      <c r="D749" s="32" t="n">
        <f aca="false">INDEX(Surface_Engine!$L$12:$L$72,$A749+1)*IF($A749&lt;$Q$699,INDEX(Surface_Engine!$Y$12:$Y$72,$A749+1),INDEX(Surface_Engine!$Y$12:$Y$72,$Q$699+1))</f>
        <v>0.000378194179438282</v>
      </c>
      <c r="E749" s="32" t="n">
        <f aca="false">INDEX(Surface_Engine!$L$12:$L$72,$A749+1)*IF($A749&lt;$Q$699,INDEX(Surface_Engine!$Z$12:$Z$72,$A749+1),INDEX(Surface_Engine!$Z$12:$Z$72,$Q$699+1))</f>
        <v>0.000504730982298748</v>
      </c>
      <c r="F749" s="48" t="n">
        <f aca="false">B749*(IF($A749&lt;$Q$699,INDEX(Surface_Engine!$D$12:$D$72,$A749+1)+(Surface_Engine!Q241*12)*INDEX(Surface_Engine!$F$12:$F$72,$A749+1)-(Surface_Engine!Q241*12),1000*12*INDEX(Surface_Engine!$C$12:$C$72,$A749+1)/(1+Assumptions!$B$10)^25+INDEX(Surface_Engine!$D$12:$D$72,$A749+1)))*INDEX(Surface_Engine!$B$12:$B$72,$A749+1)+F750</f>
        <v>3.56893776231237</v>
      </c>
      <c r="G749" s="48" t="n">
        <f aca="false">C749*(IF($A749&lt;$Q$699,INDEX(Surface_Engine!$D$12:$D$72,$A749+1)+(Surface_Engine!Q241*12)*INDEX(Surface_Engine!$F$12:$F$72,$A749+1)-(Surface_Engine!Q241*12),1000*12*INDEX(Surface_Engine!$C$12:$C$72,$A749+1)/(1+Assumptions!$B$10)^25+INDEX(Surface_Engine!$D$12:$D$72,$A749+1)))*INDEX(Surface_Engine!$B$12:$B$72,$A749+1)+G750</f>
        <v>24.400628214218</v>
      </c>
      <c r="H749" s="48" t="n">
        <f aca="false">D749*(IF($A749&lt;$Q$699,INDEX(Surface_Engine!$D$12:$D$72,$A749+1)+(Surface_Engine!Q241*12)*INDEX(Surface_Engine!$F$12:$F$72,$A749+1)-(Surface_Engine!Q241*12),1000*12*INDEX(Surface_Engine!$C$12:$C$72,$A749+1)/(1+Assumptions!$B$10)^25+INDEX(Surface_Engine!$D$12:$D$72,$A749+1)))*INDEX(Surface_Engine!$B$12:$B$72,$A749+1)+H750</f>
        <v>3.08760190918065</v>
      </c>
      <c r="I749" s="48" t="n">
        <f aca="false">E749*(IF($A749&lt;$Q$699,INDEX(Surface_Engine!$D$12:$D$72,$A749+1)+(Surface_Engine!Q241*12)*INDEX(Surface_Engine!$F$12:$F$72,$A749+1)-(Surface_Engine!Q241*12),1000*12*INDEX(Surface_Engine!$C$12:$C$72,$A749+1)/(1+Assumptions!$B$10)^25+INDEX(Surface_Engine!$D$12:$D$72,$A749+1)))*INDEX(Surface_Engine!$B$12:$B$72,$A749+1)+I750</f>
        <v>4.12065660789091</v>
      </c>
      <c r="J749" s="48" t="n">
        <f aca="false">B749*(IF($A749&lt;$Q$699,INDEX(Surface_Engine!$D$12:$D$72,$A749+1)*(1+Assumptions!$B$24)+(Surface_Engine!Q241*12)*INDEX(Surface_Engine!$F$12:$F$72,$A749+1)-(Surface_Engine!Q241*12),1000*12*INDEX(Surface_Engine!$C$12:$C$72,$A749+1)/(1+Assumptions!$B$10)^25+INDEX(Surface_Engine!$D$12:$D$72,$A749+1)*(1+Assumptions!$B$24)))*INDEX(Surface_Engine!$B$12:$B$72,$A749+1)+J750</f>
        <v>3.57394801665957</v>
      </c>
      <c r="K749" s="12" t="n">
        <f aca="false">SQRT((IF(C749&lt;=0,0,MAX(0,(B749/C749)*G749/INDEX(Surface_Engine!$B$12:$B$72,$A749+1)-F749/INDEX(Surface_Engine!$B$12:$B$72,$A749+1))))^2+(MAX(IF(D749&lt;=0,0,MAX(0,(B749/D749)*H749/INDEX(Surface_Engine!$B$12:$B$72,$A749+1)-F749/INDEX(Surface_Engine!$B$12:$B$72,$A749+1))),IF(E749&lt;=0,0,MAX(0,(B749/E749)*I749/INDEX(Surface_Engine!$B$12:$B$72,$A749+1)-F749/INDEX(Surface_Engine!$B$12:$B$72,$A749+1))),IF($A749&lt;$Q$699,MAX(0,-Assumptions!$B$22*(F749/INDEX(Surface_Engine!$B$12:$B$72,$A749+1))),0)))^2+(MAX(0,J749/INDEX(Surface_Engine!$B$12:$B$72,$A749+1)-(F749/INDEX(Surface_Engine!$B$12:$B$72,$A749+1))))^2+2*Assumptions!$B$26*(IF(C749&lt;=0,0,MAX(0,(B749/C749)*G749/INDEX(Surface_Engine!$B$12:$B$72,$A749+1)-F749/INDEX(Surface_Engine!$B$12:$B$72,$A749+1))))*(MAX(IF(D749&lt;=0,0,MAX(0,(B749/D749)*H749/INDEX(Surface_Engine!$B$12:$B$72,$A749+1)-F749/INDEX(Surface_Engine!$B$12:$B$72,$A749+1))),IF(E749&lt;=0,0,MAX(0,(B749/E749)*I749/INDEX(Surface_Engine!$B$12:$B$72,$A749+1)-F749/INDEX(Surface_Engine!$B$12:$B$72,$A749+1))),IF($A749&lt;$Q$699,MAX(0,-Assumptions!$B$22*(F749/INDEX(Surface_Engine!$B$12:$B$72,$A749+1))),0)))+2*Assumptions!$B$27*(IF(C749&lt;=0,0,MAX(0,(B749/C749)*G749/INDEX(Surface_Engine!$B$12:$B$72,$A749+1)-F749/INDEX(Surface_Engine!$B$12:$B$72,$A749+1))))*(MAX(0,J749/INDEX(Surface_Engine!$B$12:$B$72,$A749+1)-(F749/INDEX(Surface_Engine!$B$12:$B$72,$A749+1))))+2*Assumptions!$B$28*(MAX(IF(D749&lt;=0,0,MAX(0,(B749/D749)*H749/INDEX(Surface_Engine!$B$12:$B$72,$A749+1)-F749/INDEX(Surface_Engine!$B$12:$B$72,$A749+1))),IF(E749&lt;=0,0,MAX(0,(B749/E749)*I749/INDEX(Surface_Engine!$B$12:$B$72,$A749+1)-F749/INDEX(Surface_Engine!$B$12:$B$72,$A749+1))),IF($A749&lt;$Q$699,MAX(0,-Assumptions!$B$22*(F749/INDEX(Surface_Engine!$B$12:$B$72,$A749+1))),0)))*(MAX(0,J749/INDEX(Surface_Engine!$B$12:$B$72,$A749+1)-(F749/INDEX(Surface_Engine!$B$12:$B$72,$A749+1)))))</f>
        <v>3.58189553301895</v>
      </c>
      <c r="L749" s="48" t="n">
        <f aca="false">K749*INDEX(Surface_Engine!$B$12:$B$72,$A749+1)+L750</f>
        <v>1.44049673036389</v>
      </c>
      <c r="M749" s="48" t="n">
        <f aca="false">M748+B748*(IF($A748&lt;$Q$699,(Surface_Engine!Q241*12)-(Surface_Engine!Q241*12)*INDEX(Surface_Engine!$F$12:$F$72,$A748+1)-INDEX(Surface_Engine!$D$12:$D$72,$A748+1),-(1000*12*INDEX(Surface_Engine!$C$12:$C$72,$A748+1)/(1+Assumptions!$B$10)^25+INDEX(Surface_Engine!$D$12:$D$72,$A748+1))))*INDEX(Surface_Engine!$B$12:$B$72,$A748+1)</f>
        <v>526.793797275734</v>
      </c>
      <c r="N749" s="12" t="n">
        <f aca="false">IF(B749&lt;=0,0,MAX(0,(K749+Assumptions!$B$29*L749/INDEX(Surface_Engine!$B$12:$B$72,$A749+1)-(M749/INDEX(Surface_Engine!$B$12:$B$72,$A749+1)-(F749/INDEX(Surface_Engine!$B$12:$B$72,$A749+1))))/B749))</f>
        <v>0</v>
      </c>
    </row>
    <row r="750" customFormat="false" ht="15" hidden="false" customHeight="true" outlineLevel="0" collapsed="false">
      <c r="A750" s="1" t="n">
        <v>49</v>
      </c>
      <c r="B750" s="32" t="n">
        <f aca="false">INDEX(Surface_Engine!$L$12:$L$72,$A750+1)*IF($A750&lt;$Q$699,INDEX(Surface_Engine!$E$12:$E$72,$A750+1),INDEX(Surface_Engine!$E$12:$E$72,$Q$699+1))</f>
        <v>0.000221521109143686</v>
      </c>
      <c r="C750" s="32" t="n">
        <f aca="false">INDEX(Panel_Reserving!$D$8:$D$68,$A750+1)*IF($A750&lt;$Q$699,INDEX(Surface_Engine!$E$12:$E$72,$A750+1),INDEX(Surface_Engine!$E$12:$E$72,$Q$699+1))</f>
        <v>0.00148359086766226</v>
      </c>
      <c r="D750" s="32" t="n">
        <f aca="false">INDEX(Surface_Engine!$L$12:$L$72,$A750+1)*IF($A750&lt;$Q$699,INDEX(Surface_Engine!$Y$12:$Y$72,$A750+1),INDEX(Surface_Engine!$Y$12:$Y$72,$Q$699+1))</f>
        <v>0.00019164497816087</v>
      </c>
      <c r="E750" s="32" t="n">
        <f aca="false">INDEX(Surface_Engine!$L$12:$L$72,$A750+1)*IF($A750&lt;$Q$699,INDEX(Surface_Engine!$Z$12:$Z$72,$A750+1),INDEX(Surface_Engine!$Z$12:$Z$72,$Q$699+1))</f>
        <v>0.000255765856109754</v>
      </c>
      <c r="F750" s="48" t="n">
        <f aca="false">B750*(IF($A750&lt;$Q$699,INDEX(Surface_Engine!$D$12:$D$72,$A750+1)+(Surface_Engine!Q241*12)*INDEX(Surface_Engine!$F$12:$F$72,$A750+1)-(Surface_Engine!Q241*12),1000*12*INDEX(Surface_Engine!$C$12:$C$72,$A750+1)/(1+Assumptions!$B$10)^25+INDEX(Surface_Engine!$D$12:$D$72,$A750+1)))*INDEX(Surface_Engine!$B$12:$B$72,$A750+1)+F751</f>
        <v>1.73036824684187</v>
      </c>
      <c r="G750" s="48" t="n">
        <f aca="false">C750*(IF($A750&lt;$Q$699,INDEX(Surface_Engine!$D$12:$D$72,$A750+1)+(Surface_Engine!Q241*12)*INDEX(Surface_Engine!$F$12:$F$72,$A750+1)-(Surface_Engine!Q241*12),1000*12*INDEX(Surface_Engine!$C$12:$C$72,$A750+1)/(1+Assumptions!$B$10)^25+INDEX(Surface_Engine!$D$12:$D$72,$A750+1)))*INDEX(Surface_Engine!$B$12:$B$72,$A750+1)+G751</f>
        <v>14.093759484141</v>
      </c>
      <c r="H750" s="48" t="n">
        <f aca="false">D750*(IF($A750&lt;$Q$699,INDEX(Surface_Engine!$D$12:$D$72,$A750+1)+(Surface_Engine!Q241*12)*INDEX(Surface_Engine!$F$12:$F$72,$A750+1)-(Surface_Engine!Q241*12),1000*12*INDEX(Surface_Engine!$C$12:$C$72,$A750+1)/(1+Assumptions!$B$10)^25+INDEX(Surface_Engine!$D$12:$D$72,$A750+1)))*INDEX(Surface_Engine!$B$12:$B$72,$A750+1)+H751</f>
        <v>1.49699677000614</v>
      </c>
      <c r="I750" s="48" t="n">
        <f aca="false">E750*(IF($A750&lt;$Q$699,INDEX(Surface_Engine!$D$12:$D$72,$A750+1)+(Surface_Engine!Q241*12)*INDEX(Surface_Engine!$F$12:$F$72,$A750+1)-(Surface_Engine!Q241*12),1000*12*INDEX(Surface_Engine!$C$12:$C$72,$A750+1)/(1+Assumptions!$B$10)^25+INDEX(Surface_Engine!$D$12:$D$72,$A750+1)))*INDEX(Surface_Engine!$B$12:$B$72,$A750+1)+I751</f>
        <v>1.9978643017338</v>
      </c>
      <c r="J750" s="48" t="n">
        <f aca="false">B750*(IF($A750&lt;$Q$699,INDEX(Surface_Engine!$D$12:$D$72,$A750+1)*(1+Assumptions!$B$24)+(Surface_Engine!Q241*12)*INDEX(Surface_Engine!$F$12:$F$72,$A750+1)-(Surface_Engine!Q241*12),1000*12*INDEX(Surface_Engine!$C$12:$C$72,$A750+1)/(1+Assumptions!$B$10)^25+INDEX(Surface_Engine!$D$12:$D$72,$A750+1)*(1+Assumptions!$B$24)))*INDEX(Surface_Engine!$B$12:$B$72,$A750+1)+J751</f>
        <v>1.73280845674183</v>
      </c>
      <c r="K750" s="12" t="n">
        <f aca="false">SQRT((IF(C750&lt;=0,0,MAX(0,(B750/C750)*G750/INDEX(Surface_Engine!$B$12:$B$72,$A750+1)-F750/INDEX(Surface_Engine!$B$12:$B$72,$A750+1))))^2+(MAX(IF(D750&lt;=0,0,MAX(0,(B750/D750)*H750/INDEX(Surface_Engine!$B$12:$B$72,$A750+1)-F750/INDEX(Surface_Engine!$B$12:$B$72,$A750+1))),IF(E750&lt;=0,0,MAX(0,(B750/E750)*I750/INDEX(Surface_Engine!$B$12:$B$72,$A750+1)-F750/INDEX(Surface_Engine!$B$12:$B$72,$A750+1))),IF($A750&lt;$Q$699,MAX(0,-Assumptions!$B$22*(F750/INDEX(Surface_Engine!$B$12:$B$72,$A750+1))),0)))^2+(MAX(0,J750/INDEX(Surface_Engine!$B$12:$B$72,$A750+1)-(F750/INDEX(Surface_Engine!$B$12:$B$72,$A750+1))))^2+2*Assumptions!$B$26*(IF(C750&lt;=0,0,MAX(0,(B750/C750)*G750/INDEX(Surface_Engine!$B$12:$B$72,$A750+1)-F750/INDEX(Surface_Engine!$B$12:$B$72,$A750+1))))*(MAX(IF(D750&lt;=0,0,MAX(0,(B750/D750)*H750/INDEX(Surface_Engine!$B$12:$B$72,$A750+1)-F750/INDEX(Surface_Engine!$B$12:$B$72,$A750+1))),IF(E750&lt;=0,0,MAX(0,(B750/E750)*I750/INDEX(Surface_Engine!$B$12:$B$72,$A750+1)-F750/INDEX(Surface_Engine!$B$12:$B$72,$A750+1))),IF($A750&lt;$Q$699,MAX(0,-Assumptions!$B$22*(F750/INDEX(Surface_Engine!$B$12:$B$72,$A750+1))),0)))+2*Assumptions!$B$27*(IF(C750&lt;=0,0,MAX(0,(B750/C750)*G750/INDEX(Surface_Engine!$B$12:$B$72,$A750+1)-F750/INDEX(Surface_Engine!$B$12:$B$72,$A750+1))))*(MAX(0,J750/INDEX(Surface_Engine!$B$12:$B$72,$A750+1)-(F750/INDEX(Surface_Engine!$B$12:$B$72,$A750+1))))+2*Assumptions!$B$28*(MAX(IF(D750&lt;=0,0,MAX(0,(B750/D750)*H750/INDEX(Surface_Engine!$B$12:$B$72,$A750+1)-F750/INDEX(Surface_Engine!$B$12:$B$72,$A750+1))),IF(E750&lt;=0,0,MAX(0,(B750/E750)*I750/INDEX(Surface_Engine!$B$12:$B$72,$A750+1)-F750/INDEX(Surface_Engine!$B$12:$B$72,$A750+1))),IF($A750&lt;$Q$699,MAX(0,-Assumptions!$B$22*(F750/INDEX(Surface_Engine!$B$12:$B$72,$A750+1))),0)))*(MAX(0,J750/INDEX(Surface_Engine!$B$12:$B$72,$A750+1)-(F750/INDEX(Surface_Engine!$B$12:$B$72,$A750+1)))))</f>
        <v>1.76528193938951</v>
      </c>
      <c r="L750" s="48" t="n">
        <f aca="false">K750*INDEX(Surface_Engine!$B$12:$B$72,$A750+1)+L751</f>
        <v>0.65551121323555</v>
      </c>
      <c r="M750" s="48" t="n">
        <f aca="false">M749+B749*(IF($A749&lt;$Q$699,(Surface_Engine!Q241*12)-(Surface_Engine!Q241*12)*INDEX(Surface_Engine!$F$12:$F$72,$A749+1)-INDEX(Surface_Engine!$D$12:$D$72,$A749+1),-(1000*12*INDEX(Surface_Engine!$C$12:$C$72,$A749+1)/(1+Assumptions!$B$10)^25+INDEX(Surface_Engine!$D$12:$D$72,$A749+1))))*INDEX(Surface_Engine!$B$12:$B$72,$A749+1)</f>
        <v>524.955227760264</v>
      </c>
      <c r="N750" s="12" t="n">
        <f aca="false">IF(B750&lt;=0,0,MAX(0,(K750+Assumptions!$B$29*L750/INDEX(Surface_Engine!$B$12:$B$72,$A750+1)-(M750/INDEX(Surface_Engine!$B$12:$B$72,$A750+1)-(F750/INDEX(Surface_Engine!$B$12:$B$72,$A750+1))))/B750))</f>
        <v>0</v>
      </c>
    </row>
    <row r="751" customFormat="false" ht="15" hidden="false" customHeight="true" outlineLevel="0" collapsed="false">
      <c r="A751" s="1" t="n">
        <v>50</v>
      </c>
      <c r="B751" s="32" t="n">
        <f aca="false">INDEX(Surface_Engine!$L$12:$L$72,$A751+1)*IF($A751&lt;$Q$699,INDEX(Surface_Engine!$E$12:$E$72,$A751+1),INDEX(Surface_Engine!$E$12:$E$72,$Q$699+1))</f>
        <v>0.000108426910496581</v>
      </c>
      <c r="C751" s="32" t="n">
        <f aca="false">INDEX(Panel_Reserving!$D$8:$D$68,$A751+1)*IF($A751&lt;$Q$699,INDEX(Surface_Engine!$E$12:$E$72,$A751+1),INDEX(Surface_Engine!$E$12:$E$72,$Q$699+1))</f>
        <v>0.000877651249728709</v>
      </c>
      <c r="D751" s="32" t="n">
        <f aca="false">INDEX(Surface_Engine!$L$12:$L$72,$A751+1)*IF($A751&lt;$Q$699,INDEX(Surface_Engine!$Y$12:$Y$72,$A751+1),INDEX(Surface_Engine!$Y$12:$Y$72,$Q$699+1))</f>
        <v>9.38035791464441E-005</v>
      </c>
      <c r="E751" s="32" t="n">
        <f aca="false">INDEX(Surface_Engine!$L$12:$L$72,$A751+1)*IF($A751&lt;$Q$699,INDEX(Surface_Engine!$Z$12:$Z$72,$A751+1),INDEX(Surface_Engine!$Z$12:$Z$72,$Q$699+1))</f>
        <v>0.000125188528062604</v>
      </c>
      <c r="F751" s="48" t="n">
        <f aca="false">B751*(IF($A751&lt;$Q$699,INDEX(Surface_Engine!$D$12:$D$72,$A751+1)+(Surface_Engine!Q241*12)*INDEX(Surface_Engine!$F$12:$F$72,$A751+1)-(Surface_Engine!Q241*12),1000*12*INDEX(Surface_Engine!$C$12:$C$72,$A751+1)/(1+Assumptions!$B$10)^25+INDEX(Surface_Engine!$D$12:$D$72,$A751+1)))*INDEX(Surface_Engine!$B$12:$B$72,$A751+1)+F752</f>
        <v>0.810020386028572</v>
      </c>
      <c r="G751" s="48" t="n">
        <f aca="false">C751*(IF($A751&lt;$Q$699,INDEX(Surface_Engine!$D$12:$D$72,$A751+1)+(Surface_Engine!Q241*12)*INDEX(Surface_Engine!$F$12:$F$72,$A751+1)-(Surface_Engine!Q241*12),1000*12*INDEX(Surface_Engine!$C$12:$C$72,$A751+1)/(1+Assumptions!$B$10)^25+INDEX(Surface_Engine!$D$12:$D$72,$A751+1)))*INDEX(Surface_Engine!$B$12:$B$72,$A751+1)+G752</f>
        <v>7.9299239623106</v>
      </c>
      <c r="H751" s="48" t="n">
        <f aca="false">D751*(IF($A751&lt;$Q$699,INDEX(Surface_Engine!$D$12:$D$72,$A751+1)+(Surface_Engine!Q241*12)*INDEX(Surface_Engine!$F$12:$F$72,$A751+1)-(Surface_Engine!Q241*12),1000*12*INDEX(Surface_Engine!$C$12:$C$72,$A751+1)/(1+Assumptions!$B$10)^25+INDEX(Surface_Engine!$D$12:$D$72,$A751+1)))*INDEX(Surface_Engine!$B$12:$B$72,$A751+1)+H752</f>
        <v>0.700774476032502</v>
      </c>
      <c r="I751" s="48" t="n">
        <f aca="false">E751*(IF($A751&lt;$Q$699,INDEX(Surface_Engine!$D$12:$D$72,$A751+1)+(Surface_Engine!Q241*12)*INDEX(Surface_Engine!$F$12:$F$72,$A751+1)-(Surface_Engine!Q241*12),1000*12*INDEX(Surface_Engine!$C$12:$C$72,$A751+1)/(1+Assumptions!$B$10)^25+INDEX(Surface_Engine!$D$12:$D$72,$A751+1)))*INDEX(Surface_Engine!$B$12:$B$72,$A751+1)+I752</f>
        <v>0.935240701438389</v>
      </c>
      <c r="J751" s="48" t="n">
        <f aca="false">B751*(IF($A751&lt;$Q$699,INDEX(Surface_Engine!$D$12:$D$72,$A751+1)*(1+Assumptions!$B$24)+(Surface_Engine!Q241*12)*INDEX(Surface_Engine!$F$12:$F$72,$A751+1)-(Surface_Engine!Q241*12),1000*12*INDEX(Surface_Engine!$C$12:$C$72,$A751+1)/(1+Assumptions!$B$10)^25+INDEX(Surface_Engine!$D$12:$D$72,$A751+1)*(1+Assumptions!$B$24)))*INDEX(Surface_Engine!$B$12:$B$72,$A751+1)+J752</f>
        <v>0.811167869813344</v>
      </c>
      <c r="K751" s="12" t="n">
        <f aca="false">SQRT((IF(C751&lt;=0,0,MAX(0,(B751/C751)*G751/INDEX(Surface_Engine!$B$12:$B$72,$A751+1)-F751/INDEX(Surface_Engine!$B$12:$B$72,$A751+1))))^2+(MAX(IF(D751&lt;=0,0,MAX(0,(B751/D751)*H751/INDEX(Surface_Engine!$B$12:$B$72,$A751+1)-F751/INDEX(Surface_Engine!$B$12:$B$72,$A751+1))),IF(E751&lt;=0,0,MAX(0,(B751/E751)*I751/INDEX(Surface_Engine!$B$12:$B$72,$A751+1)-F751/INDEX(Surface_Engine!$B$12:$B$72,$A751+1))),IF($A751&lt;$Q$699,MAX(0,-Assumptions!$B$22*(F751/INDEX(Surface_Engine!$B$12:$B$72,$A751+1))),0)))^2+(MAX(0,J751/INDEX(Surface_Engine!$B$12:$B$72,$A751+1)-(F751/INDEX(Surface_Engine!$B$12:$B$72,$A751+1))))^2+2*Assumptions!$B$26*(IF(C751&lt;=0,0,MAX(0,(B751/C751)*G751/INDEX(Surface_Engine!$B$12:$B$72,$A751+1)-F751/INDEX(Surface_Engine!$B$12:$B$72,$A751+1))))*(MAX(IF(D751&lt;=0,0,MAX(0,(B751/D751)*H751/INDEX(Surface_Engine!$B$12:$B$72,$A751+1)-F751/INDEX(Surface_Engine!$B$12:$B$72,$A751+1))),IF(E751&lt;=0,0,MAX(0,(B751/E751)*I751/INDEX(Surface_Engine!$B$12:$B$72,$A751+1)-F751/INDEX(Surface_Engine!$B$12:$B$72,$A751+1))),IF($A751&lt;$Q$699,MAX(0,-Assumptions!$B$22*(F751/INDEX(Surface_Engine!$B$12:$B$72,$A751+1))),0)))+2*Assumptions!$B$27*(IF(C751&lt;=0,0,MAX(0,(B751/C751)*G751/INDEX(Surface_Engine!$B$12:$B$72,$A751+1)-F751/INDEX(Surface_Engine!$B$12:$B$72,$A751+1))))*(MAX(0,J751/INDEX(Surface_Engine!$B$12:$B$72,$A751+1)-(F751/INDEX(Surface_Engine!$B$12:$B$72,$A751+1))))+2*Assumptions!$B$28*(MAX(IF(D751&lt;=0,0,MAX(0,(B751/D751)*H751/INDEX(Surface_Engine!$B$12:$B$72,$A751+1)-F751/INDEX(Surface_Engine!$B$12:$B$72,$A751+1))),IF(E751&lt;=0,0,MAX(0,(B751/E751)*I751/INDEX(Surface_Engine!$B$12:$B$72,$A751+1)-F751/INDEX(Surface_Engine!$B$12:$B$72,$A751+1))),IF($A751&lt;$Q$699,MAX(0,-Assumptions!$B$22*(F751/INDEX(Surface_Engine!$B$12:$B$72,$A751+1))),0)))*(MAX(0,J751/INDEX(Surface_Engine!$B$12:$B$72,$A751+1)-(F751/INDEX(Surface_Engine!$B$12:$B$72,$A751+1)))))</f>
        <v>0.827317197644769</v>
      </c>
      <c r="L751" s="48" t="n">
        <f aca="false">K751*INDEX(Surface_Engine!$B$12:$B$72,$A751+1)+L752</f>
        <v>0.280864241541277</v>
      </c>
      <c r="M751" s="48" t="n">
        <f aca="false">M750+B750*(IF($A750&lt;$Q$699,(Surface_Engine!Q241*12)-(Surface_Engine!Q241*12)*INDEX(Surface_Engine!$F$12:$F$72,$A750+1)-INDEX(Surface_Engine!$D$12:$D$72,$A750+1),-(1000*12*INDEX(Surface_Engine!$C$12:$C$72,$A750+1)/(1+Assumptions!$B$10)^25+INDEX(Surface_Engine!$D$12:$D$72,$A750+1))))*INDEX(Surface_Engine!$B$12:$B$72,$A750+1)</f>
        <v>524.034879899451</v>
      </c>
      <c r="N751" s="12" t="n">
        <f aca="false">IF(B751&lt;=0,0,MAX(0,(K751+Assumptions!$B$29*L751/INDEX(Surface_Engine!$B$12:$B$72,$A751+1)-(M751/INDEX(Surface_Engine!$B$12:$B$72,$A751+1)-(F751/INDEX(Surface_Engine!$B$12:$B$72,$A751+1))))/B751))</f>
        <v>0</v>
      </c>
    </row>
    <row r="752" customFormat="false" ht="15" hidden="false" customHeight="true" outlineLevel="0" collapsed="false">
      <c r="A752" s="1" t="n">
        <v>51</v>
      </c>
      <c r="B752" s="32" t="n">
        <f aca="false">INDEX(Surface_Engine!$L$12:$L$72,$A752+1)*IF($A752&lt;$Q$699,INDEX(Surface_Engine!$E$12:$E$72,$A752+1),INDEX(Surface_Engine!$E$12:$E$72,$Q$699+1))</f>
        <v>5.12230896410578E-005</v>
      </c>
      <c r="C752" s="32" t="n">
        <f aca="false">INDEX(Panel_Reserving!$D$8:$D$68,$A752+1)*IF($A752&lt;$Q$699,INDEX(Surface_Engine!$E$12:$E$72,$A752+1),INDEX(Surface_Engine!$E$12:$E$72,$Q$699+1))</f>
        <v>0.000507226567271746</v>
      </c>
      <c r="D752" s="32" t="n">
        <f aca="false">INDEX(Surface_Engine!$L$12:$L$72,$A752+1)*IF($A752&lt;$Q$699,INDEX(Surface_Engine!$Y$12:$Y$72,$A752+1),INDEX(Surface_Engine!$Y$12:$Y$72,$Q$699+1))</f>
        <v>4.43147288921591E-005</v>
      </c>
      <c r="E752" s="32" t="n">
        <f aca="false">INDEX(Surface_Engine!$L$12:$L$72,$A752+1)*IF($A752&lt;$Q$699,INDEX(Surface_Engine!$Z$12:$Z$72,$A752+1),INDEX(Surface_Engine!$Z$12:$Z$72,$Q$699+1))</f>
        <v>5.91416205221959E-005</v>
      </c>
      <c r="F752" s="48" t="n">
        <f aca="false">B752*(IF($A752&lt;$Q$699,INDEX(Surface_Engine!$D$12:$D$72,$A752+1)+(Surface_Engine!Q241*12)*INDEX(Surface_Engine!$F$12:$F$72,$A752+1)-(Surface_Engine!Q241*12),1000*12*INDEX(Surface_Engine!$C$12:$C$72,$A752+1)/(1+Assumptions!$B$10)^25+INDEX(Surface_Engine!$D$12:$D$72,$A752+1)))*INDEX(Surface_Engine!$B$12:$B$72,$A752+1)+F753</f>
        <v>0.365240980070937</v>
      </c>
      <c r="G752" s="48" t="n">
        <f aca="false">C752*(IF($A752&lt;$Q$699,INDEX(Surface_Engine!$D$12:$D$72,$A752+1)+(Surface_Engine!Q241*12)*INDEX(Surface_Engine!$F$12:$F$72,$A752+1)-(Surface_Engine!Q241*12),1000*12*INDEX(Surface_Engine!$C$12:$C$72,$A752+1)/(1+Assumptions!$B$10)^25+INDEX(Surface_Engine!$D$12:$D$72,$A752+1)))*INDEX(Surface_Engine!$B$12:$B$72,$A752+1)+G753</f>
        <v>4.3296996295826</v>
      </c>
      <c r="H752" s="48" t="n">
        <f aca="false">D752*(IF($A752&lt;$Q$699,INDEX(Surface_Engine!$D$12:$D$72,$A752+1)+(Surface_Engine!Q241*12)*INDEX(Surface_Engine!$F$12:$F$72,$A752+1)-(Surface_Engine!Q241*12),1000*12*INDEX(Surface_Engine!$C$12:$C$72,$A752+1)/(1+Assumptions!$B$10)^25+INDEX(Surface_Engine!$D$12:$D$72,$A752+1)))*INDEX(Surface_Engine!$B$12:$B$72,$A752+1)+H753</f>
        <v>0.315981623240011</v>
      </c>
      <c r="I752" s="48" t="n">
        <f aca="false">E752*(IF($A752&lt;$Q$699,INDEX(Surface_Engine!$D$12:$D$72,$A752+1)+(Surface_Engine!Q241*12)*INDEX(Surface_Engine!$F$12:$F$72,$A752+1)-(Surface_Engine!Q241*12),1000*12*INDEX(Surface_Engine!$C$12:$C$72,$A752+1)/(1+Assumptions!$B$10)^25+INDEX(Surface_Engine!$D$12:$D$72,$A752+1)))*INDEX(Surface_Engine!$B$12:$B$72,$A752+1)+I753</f>
        <v>0.421703251285258</v>
      </c>
      <c r="J752" s="48" t="n">
        <f aca="false">B752*(IF($A752&lt;$Q$699,INDEX(Surface_Engine!$D$12:$D$72,$A752+1)*(1+Assumptions!$B$24)+(Surface_Engine!Q241*12)*INDEX(Surface_Engine!$F$12:$F$72,$A752+1)-(Surface_Engine!Q241*12),1000*12*INDEX(Surface_Engine!$C$12:$C$72,$A752+1)/(1+Assumptions!$B$10)^25+INDEX(Surface_Engine!$D$12:$D$72,$A752+1)*(1+Assumptions!$B$24)))*INDEX(Surface_Engine!$B$12:$B$72,$A752+1)+J753</f>
        <v>0.365760704812485</v>
      </c>
      <c r="K752" s="12" t="n">
        <f aca="false">SQRT((IF(C752&lt;=0,0,MAX(0,(B752/C752)*G752/INDEX(Surface_Engine!$B$12:$B$72,$A752+1)-F752/INDEX(Surface_Engine!$B$12:$B$72,$A752+1))))^2+(MAX(IF(D752&lt;=0,0,MAX(0,(B752/D752)*H752/INDEX(Surface_Engine!$B$12:$B$72,$A752+1)-F752/INDEX(Surface_Engine!$B$12:$B$72,$A752+1))),IF(E752&lt;=0,0,MAX(0,(B752/E752)*I752/INDEX(Surface_Engine!$B$12:$B$72,$A752+1)-F752/INDEX(Surface_Engine!$B$12:$B$72,$A752+1))),IF($A752&lt;$Q$699,MAX(0,-Assumptions!$B$22*(F752/INDEX(Surface_Engine!$B$12:$B$72,$A752+1))),0)))^2+(MAX(0,J752/INDEX(Surface_Engine!$B$12:$B$72,$A752+1)-(F752/INDEX(Surface_Engine!$B$12:$B$72,$A752+1))))^2+2*Assumptions!$B$26*(IF(C752&lt;=0,0,MAX(0,(B752/C752)*G752/INDEX(Surface_Engine!$B$12:$B$72,$A752+1)-F752/INDEX(Surface_Engine!$B$12:$B$72,$A752+1))))*(MAX(IF(D752&lt;=0,0,MAX(0,(B752/D752)*H752/INDEX(Surface_Engine!$B$12:$B$72,$A752+1)-F752/INDEX(Surface_Engine!$B$12:$B$72,$A752+1))),IF(E752&lt;=0,0,MAX(0,(B752/E752)*I752/INDEX(Surface_Engine!$B$12:$B$72,$A752+1)-F752/INDEX(Surface_Engine!$B$12:$B$72,$A752+1))),IF($A752&lt;$Q$699,MAX(0,-Assumptions!$B$22*(F752/INDEX(Surface_Engine!$B$12:$B$72,$A752+1))),0)))+2*Assumptions!$B$27*(IF(C752&lt;=0,0,MAX(0,(B752/C752)*G752/INDEX(Surface_Engine!$B$12:$B$72,$A752+1)-F752/INDEX(Surface_Engine!$B$12:$B$72,$A752+1))))*(MAX(0,J752/INDEX(Surface_Engine!$B$12:$B$72,$A752+1)-(F752/INDEX(Surface_Engine!$B$12:$B$72,$A752+1))))+2*Assumptions!$B$28*(MAX(IF(D752&lt;=0,0,MAX(0,(B752/D752)*H752/INDEX(Surface_Engine!$B$12:$B$72,$A752+1)-F752/INDEX(Surface_Engine!$B$12:$B$72,$A752+1))),IF(E752&lt;=0,0,MAX(0,(B752/E752)*I752/INDEX(Surface_Engine!$B$12:$B$72,$A752+1)-F752/INDEX(Surface_Engine!$B$12:$B$72,$A752+1))),IF($A752&lt;$Q$699,MAX(0,-Assumptions!$B$22*(F752/INDEX(Surface_Engine!$B$12:$B$72,$A752+1))),0)))*(MAX(0,J752/INDEX(Surface_Engine!$B$12:$B$72,$A752+1)-(F752/INDEX(Surface_Engine!$B$12:$B$72,$A752+1)))))</f>
        <v>0.362612767439976</v>
      </c>
      <c r="L752" s="48" t="n">
        <f aca="false">K752*INDEX(Surface_Engine!$B$12:$B$72,$A752+1)+L753</f>
        <v>0.110914376239391</v>
      </c>
      <c r="M752" s="48" t="n">
        <f aca="false">M751+B751*(IF($A751&lt;$Q$699,(Surface_Engine!Q241*12)-(Surface_Engine!Q241*12)*INDEX(Surface_Engine!$F$12:$F$72,$A751+1)-INDEX(Surface_Engine!$D$12:$D$72,$A751+1),-(1000*12*INDEX(Surface_Engine!$C$12:$C$72,$A751+1)/(1+Assumptions!$B$10)^25+INDEX(Surface_Engine!$D$12:$D$72,$A751+1))))*INDEX(Surface_Engine!$B$12:$B$72,$A751+1)</f>
        <v>523.590100493493</v>
      </c>
      <c r="N752" s="12" t="n">
        <f aca="false">IF(B752&lt;=0,0,MAX(0,(K752+Assumptions!$B$29*L752/INDEX(Surface_Engine!$B$12:$B$72,$A752+1)-(M752/INDEX(Surface_Engine!$B$12:$B$72,$A752+1)-(F752/INDEX(Surface_Engine!$B$12:$B$72,$A752+1))))/B752))</f>
        <v>0</v>
      </c>
    </row>
    <row r="753" customFormat="false" ht="15" hidden="false" customHeight="true" outlineLevel="0" collapsed="false">
      <c r="A753" s="1" t="n">
        <v>52</v>
      </c>
      <c r="B753" s="32" t="n">
        <f aca="false">INDEX(Surface_Engine!$L$12:$L$72,$A753+1)*IF($A753&lt;$Q$699,INDEX(Surface_Engine!$E$12:$E$72,$A753+1),INDEX(Surface_Engine!$E$12:$E$72,$Q$699+1))</f>
        <v>2.33396847822249E-005</v>
      </c>
      <c r="C753" s="32" t="n">
        <f aca="false">INDEX(Panel_Reserving!$D$8:$D$68,$A753+1)*IF($A753&lt;$Q$699,INDEX(Surface_Engine!$E$12:$E$72,$A753+1),INDEX(Surface_Engine!$E$12:$E$72,$Q$699+1))</f>
        <v>0.000286338622721713</v>
      </c>
      <c r="D753" s="32" t="n">
        <f aca="false">INDEX(Surface_Engine!$L$12:$L$72,$A753+1)*IF($A753&lt;$Q$699,INDEX(Surface_Engine!$Y$12:$Y$72,$A753+1),INDEX(Surface_Engine!$Y$12:$Y$72,$Q$699+1))</f>
        <v>2.01919058534046E-005</v>
      </c>
      <c r="E753" s="32" t="n">
        <f aca="false">INDEX(Surface_Engine!$L$12:$L$72,$A753+1)*IF($A753&lt;$Q$699,INDEX(Surface_Engine!$Z$12:$Z$72,$A753+1),INDEX(Surface_Engine!$Z$12:$Z$72,$Q$699+1))</f>
        <v>2.6947745443914E-005</v>
      </c>
      <c r="F753" s="48" t="n">
        <f aca="false">B753*(IF($A753&lt;$Q$699,INDEX(Surface_Engine!$D$12:$D$72,$A753+1)+(Surface_Engine!Q241*12)*INDEX(Surface_Engine!$F$12:$F$72,$A753+1)-(Surface_Engine!Q241*12),1000*12*INDEX(Surface_Engine!$C$12:$C$72,$A753+1)/(1+Assumptions!$B$10)^25+INDEX(Surface_Engine!$D$12:$D$72,$A753+1)))*INDEX(Surface_Engine!$B$12:$B$72,$A753+1)+F754</f>
        <v>0.157681792089328</v>
      </c>
      <c r="G753" s="48" t="n">
        <f aca="false">C753*(IF($A753&lt;$Q$699,INDEX(Surface_Engine!$D$12:$D$72,$A753+1)+(Surface_Engine!Q241*12)*INDEX(Surface_Engine!$F$12:$F$72,$A753+1)-(Surface_Engine!Q241*12),1000*12*INDEX(Surface_Engine!$C$12:$C$72,$A753+1)/(1+Assumptions!$B$10)^25+INDEX(Surface_Engine!$D$12:$D$72,$A753+1)))*INDEX(Surface_Engine!$B$12:$B$72,$A753+1)+G754</f>
        <v>2.27438560687601</v>
      </c>
      <c r="H753" s="48" t="n">
        <f aca="false">D753*(IF($A753&lt;$Q$699,INDEX(Surface_Engine!$D$12:$D$72,$A753+1)+(Surface_Engine!Q241*12)*INDEX(Surface_Engine!$F$12:$F$72,$A753+1)-(Surface_Engine!Q241*12),1000*12*INDEX(Surface_Engine!$C$12:$C$72,$A753+1)/(1+Assumptions!$B$10)^25+INDEX(Surface_Engine!$D$12:$D$72,$A753+1)))*INDEX(Surface_Engine!$B$12:$B$72,$A753+1)+H754</f>
        <v>0.136415548469131</v>
      </c>
      <c r="I753" s="48" t="n">
        <f aca="false">E753*(IF($A753&lt;$Q$699,INDEX(Surface_Engine!$D$12:$D$72,$A753+1)+(Surface_Engine!Q241*12)*INDEX(Surface_Engine!$F$12:$F$72,$A753+1)-(Surface_Engine!Q241*12),1000*12*INDEX(Surface_Engine!$C$12:$C$72,$A753+1)/(1+Assumptions!$B$10)^25+INDEX(Surface_Engine!$D$12:$D$72,$A753+1)))*INDEX(Surface_Engine!$B$12:$B$72,$A753+1)+I754</f>
        <v>0.182057677042814</v>
      </c>
      <c r="J753" s="48" t="n">
        <f aca="false">B753*(IF($A753&lt;$Q$699,INDEX(Surface_Engine!$D$12:$D$72,$A753+1)*(1+Assumptions!$B$24)+(Surface_Engine!Q241*12)*INDEX(Surface_Engine!$F$12:$F$72,$A753+1)-(Surface_Engine!Q241*12),1000*12*INDEX(Surface_Engine!$C$12:$C$72,$A753+1)/(1+Assumptions!$B$10)^25+INDEX(Surface_Engine!$D$12:$D$72,$A753+1)*(1+Assumptions!$B$24)))*INDEX(Surface_Engine!$B$12:$B$72,$A753+1)+J754</f>
        <v>0.157907153358195</v>
      </c>
      <c r="K753" s="12" t="n">
        <f aca="false">SQRT((IF(C753&lt;=0,0,MAX(0,(B753/C753)*G753/INDEX(Surface_Engine!$B$12:$B$72,$A753+1)-F753/INDEX(Surface_Engine!$B$12:$B$72,$A753+1))))^2+(MAX(IF(D753&lt;=0,0,MAX(0,(B753/D753)*H753/INDEX(Surface_Engine!$B$12:$B$72,$A753+1)-F753/INDEX(Surface_Engine!$B$12:$B$72,$A753+1))),IF(E753&lt;=0,0,MAX(0,(B753/E753)*I753/INDEX(Surface_Engine!$B$12:$B$72,$A753+1)-F753/INDEX(Surface_Engine!$B$12:$B$72,$A753+1))),IF($A753&lt;$Q$699,MAX(0,-Assumptions!$B$22*(F753/INDEX(Surface_Engine!$B$12:$B$72,$A753+1))),0)))^2+(MAX(0,J753/INDEX(Surface_Engine!$B$12:$B$72,$A753+1)-(F753/INDEX(Surface_Engine!$B$12:$B$72,$A753+1))))^2+2*Assumptions!$B$26*(IF(C753&lt;=0,0,MAX(0,(B753/C753)*G753/INDEX(Surface_Engine!$B$12:$B$72,$A753+1)-F753/INDEX(Surface_Engine!$B$12:$B$72,$A753+1))))*(MAX(IF(D753&lt;=0,0,MAX(0,(B753/D753)*H753/INDEX(Surface_Engine!$B$12:$B$72,$A753+1)-F753/INDEX(Surface_Engine!$B$12:$B$72,$A753+1))),IF(E753&lt;=0,0,MAX(0,(B753/E753)*I753/INDEX(Surface_Engine!$B$12:$B$72,$A753+1)-F753/INDEX(Surface_Engine!$B$12:$B$72,$A753+1))),IF($A753&lt;$Q$699,MAX(0,-Assumptions!$B$22*(F753/INDEX(Surface_Engine!$B$12:$B$72,$A753+1))),0)))+2*Assumptions!$B$27*(IF(C753&lt;=0,0,MAX(0,(B753/C753)*G753/INDEX(Surface_Engine!$B$12:$B$72,$A753+1)-F753/INDEX(Surface_Engine!$B$12:$B$72,$A753+1))))*(MAX(0,J753/INDEX(Surface_Engine!$B$12:$B$72,$A753+1)-(F753/INDEX(Surface_Engine!$B$12:$B$72,$A753+1))))+2*Assumptions!$B$28*(MAX(IF(D753&lt;=0,0,MAX(0,(B753/D753)*H753/INDEX(Surface_Engine!$B$12:$B$72,$A753+1)-F753/INDEX(Surface_Engine!$B$12:$B$72,$A753+1))),IF(E753&lt;=0,0,MAX(0,(B753/E753)*I753/INDEX(Surface_Engine!$B$12:$B$72,$A753+1)-F753/INDEX(Surface_Engine!$B$12:$B$72,$A753+1))),IF($A753&lt;$Q$699,MAX(0,-Assumptions!$B$22*(F753/INDEX(Surface_Engine!$B$12:$B$72,$A753+1))),0)))*(MAX(0,J753/INDEX(Surface_Engine!$B$12:$B$72,$A753+1)-(F753/INDEX(Surface_Engine!$B$12:$B$72,$A753+1)))))</f>
        <v>0.144124939272837</v>
      </c>
      <c r="L753" s="48" t="n">
        <f aca="false">K753*INDEX(Surface_Engine!$B$12:$B$72,$A753+1)+L754</f>
        <v>0.0387819979977954</v>
      </c>
      <c r="M753" s="48" t="n">
        <f aca="false">M752+B752*(IF($A752&lt;$Q$699,(Surface_Engine!Q241*12)-(Surface_Engine!Q241*12)*INDEX(Surface_Engine!$F$12:$F$72,$A752+1)-INDEX(Surface_Engine!$D$12:$D$72,$A752+1),-(1000*12*INDEX(Surface_Engine!$C$12:$C$72,$A752+1)/(1+Assumptions!$B$10)^25+INDEX(Surface_Engine!$D$12:$D$72,$A752+1))))*INDEX(Surface_Engine!$B$12:$B$72,$A752+1)</f>
        <v>523.382541305511</v>
      </c>
      <c r="N753" s="12" t="n">
        <f aca="false">IF(B753&lt;=0,0,MAX(0,(K753+Assumptions!$B$29*L753/INDEX(Surface_Engine!$B$12:$B$72,$A753+1)-(M753/INDEX(Surface_Engine!$B$12:$B$72,$A753+1)-(F753/INDEX(Surface_Engine!$B$12:$B$72,$A753+1))))/B753))</f>
        <v>0</v>
      </c>
    </row>
    <row r="754" customFormat="false" ht="15" hidden="false" customHeight="true" outlineLevel="0" collapsed="false">
      <c r="A754" s="1" t="n">
        <v>53</v>
      </c>
      <c r="B754" s="32" t="n">
        <f aca="false">INDEX(Surface_Engine!$L$12:$L$72,$A754+1)*IF($A754&lt;$Q$699,INDEX(Surface_Engine!$E$12:$E$72,$A754+1),INDEX(Surface_Engine!$E$12:$E$72,$Q$699+1))</f>
        <v>1.02505326515489E-005</v>
      </c>
      <c r="C754" s="32" t="n">
        <f aca="false">INDEX(Panel_Reserving!$D$8:$D$68,$A754+1)*IF($A754&lt;$Q$699,INDEX(Surface_Engine!$E$12:$E$72,$A754+1),INDEX(Surface_Engine!$E$12:$E$72,$Q$699+1))</f>
        <v>0.000157873141592436</v>
      </c>
      <c r="D754" s="32" t="n">
        <f aca="false">INDEX(Surface_Engine!$L$12:$L$72,$A754+1)*IF($A754&lt;$Q$699,INDEX(Surface_Engine!$Y$12:$Y$72,$A754+1),INDEX(Surface_Engine!$Y$12:$Y$72,$Q$699+1))</f>
        <v>8.86806279427372E-006</v>
      </c>
      <c r="E754" s="32" t="n">
        <f aca="false">INDEX(Surface_Engine!$L$12:$L$72,$A754+1)*IF($A754&lt;$Q$699,INDEX(Surface_Engine!$Z$12:$Z$72,$A754+1),INDEX(Surface_Engine!$Z$12:$Z$72,$Q$699+1))</f>
        <v>1.18351531794825E-005</v>
      </c>
      <c r="F754" s="48" t="n">
        <f aca="false">B754*(IF($A754&lt;$Q$699,INDEX(Surface_Engine!$D$12:$D$72,$A754+1)+(Surface_Engine!Q241*12)*INDEX(Surface_Engine!$F$12:$F$72,$A754+1)-(Surface_Engine!Q241*12),1000*12*INDEX(Surface_Engine!$C$12:$C$72,$A754+1)/(1+Assumptions!$B$10)^25+INDEX(Surface_Engine!$D$12:$D$72,$A754+1)))*INDEX(Surface_Engine!$B$12:$B$72,$A754+1)+F755</f>
        <v>0.0642635875065586</v>
      </c>
      <c r="G754" s="48" t="n">
        <f aca="false">C754*(IF($A754&lt;$Q$699,INDEX(Surface_Engine!$D$12:$D$72,$A754+1)+(Surface_Engine!Q241*12)*INDEX(Surface_Engine!$F$12:$F$72,$A754+1)-(Surface_Engine!Q241*12),1000*12*INDEX(Surface_Engine!$C$12:$C$72,$A754+1)/(1+Assumptions!$B$10)^25+INDEX(Surface_Engine!$D$12:$D$72,$A754+1)))*INDEX(Surface_Engine!$B$12:$B$72,$A754+1)+G755</f>
        <v>1.12830157502409</v>
      </c>
      <c r="H754" s="48" t="n">
        <f aca="false">D754*(IF($A754&lt;$Q$699,INDEX(Surface_Engine!$D$12:$D$72,$A754+1)+(Surface_Engine!Q241*12)*INDEX(Surface_Engine!$F$12:$F$72,$A754+1)-(Surface_Engine!Q241*12),1000*12*INDEX(Surface_Engine!$C$12:$C$72,$A754+1)/(1+Assumptions!$B$10)^25+INDEX(Surface_Engine!$D$12:$D$72,$A754+1)))*INDEX(Surface_Engine!$B$12:$B$72,$A754+1)+H755</f>
        <v>0.0555964795943901</v>
      </c>
      <c r="I754" s="48" t="n">
        <f aca="false">E754*(IF($A754&lt;$Q$699,INDEX(Surface_Engine!$D$12:$D$72,$A754+1)+(Surface_Engine!Q241*12)*INDEX(Surface_Engine!$F$12:$F$72,$A754+1)-(Surface_Engine!Q241*12),1000*12*INDEX(Surface_Engine!$C$12:$C$72,$A754+1)/(1+Assumptions!$B$10)^25+INDEX(Surface_Engine!$D$12:$D$72,$A754+1)))*INDEX(Surface_Engine!$B$12:$B$72,$A754+1)+I755</f>
        <v>0.074198037102811</v>
      </c>
      <c r="J754" s="48" t="n">
        <f aca="false">B754*(IF($A754&lt;$Q$699,INDEX(Surface_Engine!$D$12:$D$72,$A754+1)*(1+Assumptions!$B$24)+(Surface_Engine!Q241*12)*INDEX(Surface_Engine!$F$12:$F$72,$A754+1)-(Surface_Engine!Q241*12),1000*12*INDEX(Surface_Engine!$C$12:$C$72,$A754+1)/(1+Assumptions!$B$10)^25+INDEX(Surface_Engine!$D$12:$D$72,$A754+1)*(1+Assumptions!$B$24)))*INDEX(Surface_Engine!$B$12:$B$72,$A754+1)+J755</f>
        <v>0.0643558215215811</v>
      </c>
      <c r="K754" s="12" t="n">
        <f aca="false">SQRT((IF(C754&lt;=0,0,MAX(0,(B754/C754)*G754/INDEX(Surface_Engine!$B$12:$B$72,$A754+1)-F754/INDEX(Surface_Engine!$B$12:$B$72,$A754+1))))^2+(MAX(IF(D754&lt;=0,0,MAX(0,(B754/D754)*H754/INDEX(Surface_Engine!$B$12:$B$72,$A754+1)-F754/INDEX(Surface_Engine!$B$12:$B$72,$A754+1))),IF(E754&lt;=0,0,MAX(0,(B754/E754)*I754/INDEX(Surface_Engine!$B$12:$B$72,$A754+1)-F754/INDEX(Surface_Engine!$B$12:$B$72,$A754+1))),IF($A754&lt;$Q$699,MAX(0,-Assumptions!$B$22*(F754/INDEX(Surface_Engine!$B$12:$B$72,$A754+1))),0)))^2+(MAX(0,J754/INDEX(Surface_Engine!$B$12:$B$72,$A754+1)-(F754/INDEX(Surface_Engine!$B$12:$B$72,$A754+1))))^2+2*Assumptions!$B$26*(IF(C754&lt;=0,0,MAX(0,(B754/C754)*G754/INDEX(Surface_Engine!$B$12:$B$72,$A754+1)-F754/INDEX(Surface_Engine!$B$12:$B$72,$A754+1))))*(MAX(IF(D754&lt;=0,0,MAX(0,(B754/D754)*H754/INDEX(Surface_Engine!$B$12:$B$72,$A754+1)-F754/INDEX(Surface_Engine!$B$12:$B$72,$A754+1))),IF(E754&lt;=0,0,MAX(0,(B754/E754)*I754/INDEX(Surface_Engine!$B$12:$B$72,$A754+1)-F754/INDEX(Surface_Engine!$B$12:$B$72,$A754+1))),IF($A754&lt;$Q$699,MAX(0,-Assumptions!$B$22*(F754/INDEX(Surface_Engine!$B$12:$B$72,$A754+1))),0)))+2*Assumptions!$B$27*(IF(C754&lt;=0,0,MAX(0,(B754/C754)*G754/INDEX(Surface_Engine!$B$12:$B$72,$A754+1)-F754/INDEX(Surface_Engine!$B$12:$B$72,$A754+1))))*(MAX(0,J754/INDEX(Surface_Engine!$B$12:$B$72,$A754+1)-(F754/INDEX(Surface_Engine!$B$12:$B$72,$A754+1))))+2*Assumptions!$B$28*(MAX(IF(D754&lt;=0,0,MAX(0,(B754/D754)*H754/INDEX(Surface_Engine!$B$12:$B$72,$A754+1)-F754/INDEX(Surface_Engine!$B$12:$B$72,$A754+1))),IF(E754&lt;=0,0,MAX(0,(B754/E754)*I754/INDEX(Surface_Engine!$B$12:$B$72,$A754+1)-F754/INDEX(Surface_Engine!$B$12:$B$72,$A754+1))),IF($A754&lt;$Q$699,MAX(0,-Assumptions!$B$22*(F754/INDEX(Surface_Engine!$B$12:$B$72,$A754+1))),0)))*(MAX(0,J754/INDEX(Surface_Engine!$B$12:$B$72,$A754+1)-(F754/INDEX(Surface_Engine!$B$12:$B$72,$A754+1)))))</f>
        <v>0.0483542803288523</v>
      </c>
      <c r="L754" s="48" t="n">
        <f aca="false">K754*INDEX(Surface_Engine!$B$12:$B$72,$A754+1)+L755</f>
        <v>0.0110196450174754</v>
      </c>
      <c r="M754" s="48" t="n">
        <f aca="false">M753+B753*(IF($A753&lt;$Q$699,(Surface_Engine!Q241*12)-(Surface_Engine!Q241*12)*INDEX(Surface_Engine!$F$12:$F$72,$A753+1)-INDEX(Surface_Engine!$D$12:$D$72,$A753+1),-(1000*12*INDEX(Surface_Engine!$C$12:$C$72,$A753+1)/(1+Assumptions!$B$10)^25+INDEX(Surface_Engine!$D$12:$D$72,$A753+1))))*INDEX(Surface_Engine!$B$12:$B$72,$A753+1)</f>
        <v>523.289123100929</v>
      </c>
      <c r="N754" s="12" t="n">
        <f aca="false">IF(B754&lt;=0,0,MAX(0,(K754+Assumptions!$B$29*L754/INDEX(Surface_Engine!$B$12:$B$72,$A754+1)-(M754/INDEX(Surface_Engine!$B$12:$B$72,$A754+1)-(F754/INDEX(Surface_Engine!$B$12:$B$72,$A754+1))))/B754))</f>
        <v>0</v>
      </c>
    </row>
    <row r="755" customFormat="false" ht="15" hidden="false" customHeight="true" outlineLevel="0" collapsed="false">
      <c r="A755" s="1" t="n">
        <v>54</v>
      </c>
      <c r="B755" s="32" t="n">
        <f aca="false">INDEX(Surface_Engine!$L$12:$L$72,$A755+1)*IF($A755&lt;$Q$699,INDEX(Surface_Engine!$E$12:$E$72,$A755+1),INDEX(Surface_Engine!$E$12:$E$72,$Q$699+1))</f>
        <v>4.33681589418971E-006</v>
      </c>
      <c r="C755" s="32" t="n">
        <f aca="false">INDEX(Panel_Reserving!$D$8:$D$68,$A755+1)*IF($A755&lt;$Q$699,INDEX(Surface_Engine!$E$12:$E$72,$A755+1),INDEX(Surface_Engine!$E$12:$E$72,$Q$699+1))</f>
        <v>8.50092563908368E-005</v>
      </c>
      <c r="D755" s="32" t="n">
        <f aca="false">INDEX(Surface_Engine!$L$12:$L$72,$A755+1)*IF($A755&lt;$Q$699,INDEX(Surface_Engine!$Y$12:$Y$72,$A755+1),INDEX(Surface_Engine!$Y$12:$Y$72,$Q$699+1))</f>
        <v>3.7519177767867E-006</v>
      </c>
      <c r="E755" s="32" t="n">
        <f aca="false">INDEX(Surface_Engine!$L$12:$L$72,$A755+1)*IF($A755&lt;$Q$699,INDEX(Surface_Engine!$Z$12:$Z$72,$A755+1),INDEX(Surface_Engine!$Z$12:$Z$72,$Q$699+1))</f>
        <v>5.00724032240353E-006</v>
      </c>
      <c r="F755" s="48" t="n">
        <f aca="false">B755*(IF($A755&lt;$Q$699,INDEX(Surface_Engine!$D$12:$D$72,$A755+1)+(Surface_Engine!Q241*12)*INDEX(Surface_Engine!$F$12:$F$72,$A755+1)-(Surface_Engine!Q241*12),1000*12*INDEX(Surface_Engine!$C$12:$C$72,$A755+1)/(1+Assumptions!$B$10)^25+INDEX(Surface_Engine!$D$12:$D$72,$A755+1)))*INDEX(Surface_Engine!$B$12:$B$72,$A755+1)+F756</f>
        <v>0.0237374668022867</v>
      </c>
      <c r="G755" s="48" t="n">
        <f aca="false">C755*(IF($A755&lt;$Q$699,INDEX(Surface_Engine!$D$12:$D$72,$A755+1)+(Surface_Engine!Q241*12)*INDEX(Surface_Engine!$F$12:$F$72,$A755+1)-(Surface_Engine!Q241*12),1000*12*INDEX(Surface_Engine!$C$12:$C$72,$A755+1)/(1+Assumptions!$B$10)^25+INDEX(Surface_Engine!$D$12:$D$72,$A755+1)))*INDEX(Surface_Engine!$B$12:$B$72,$A755+1)+G756</f>
        <v>0.504140254863721</v>
      </c>
      <c r="H755" s="48" t="n">
        <f aca="false">D755*(IF($A755&lt;$Q$699,INDEX(Surface_Engine!$D$12:$D$72,$A755+1)+(Surface_Engine!Q241*12)*INDEX(Surface_Engine!$F$12:$F$72,$A755+1)-(Surface_Engine!Q241*12),1000*12*INDEX(Surface_Engine!$C$12:$C$72,$A755+1)/(1+Assumptions!$B$10)^25+INDEX(Surface_Engine!$D$12:$D$72,$A755+1)))*INDEX(Surface_Engine!$B$12:$B$72,$A755+1)+H756</f>
        <v>0.0205360397684172</v>
      </c>
      <c r="I755" s="48" t="n">
        <f aca="false">E755*(IF($A755&lt;$Q$699,INDEX(Surface_Engine!$D$12:$D$72,$A755+1)+(Surface_Engine!Q241*12)*INDEX(Surface_Engine!$F$12:$F$72,$A755+1)-(Surface_Engine!Q241*12),1000*12*INDEX(Surface_Engine!$C$12:$C$72,$A755+1)/(1+Assumptions!$B$10)^25+INDEX(Surface_Engine!$D$12:$D$72,$A755+1)))*INDEX(Surface_Engine!$B$12:$B$72,$A755+1)+I756</f>
        <v>0.0274070202249923</v>
      </c>
      <c r="J755" s="48" t="n">
        <f aca="false">B755*(IF($A755&lt;$Q$699,INDEX(Surface_Engine!$D$12:$D$72,$A755+1)*(1+Assumptions!$B$24)+(Surface_Engine!Q241*12)*INDEX(Surface_Engine!$F$12:$F$72,$A755+1)-(Surface_Engine!Q241*12),1000*12*INDEX(Surface_Engine!$C$12:$C$72,$A755+1)/(1+Assumptions!$B$10)^25+INDEX(Surface_Engine!$D$12:$D$72,$A755+1)*(1+Assumptions!$B$24)))*INDEX(Surface_Engine!$B$12:$B$72,$A755+1)+J756</f>
        <v>0.0237716693105033</v>
      </c>
      <c r="K755" s="12" t="n">
        <f aca="false">SQRT((IF(C755&lt;=0,0,MAX(0,(B755/C755)*G755/INDEX(Surface_Engine!$B$12:$B$72,$A755+1)-F755/INDEX(Surface_Engine!$B$12:$B$72,$A755+1))))^2+(MAX(IF(D755&lt;=0,0,MAX(0,(B755/D755)*H755/INDEX(Surface_Engine!$B$12:$B$72,$A755+1)-F755/INDEX(Surface_Engine!$B$12:$B$72,$A755+1))),IF(E755&lt;=0,0,MAX(0,(B755/E755)*I755/INDEX(Surface_Engine!$B$12:$B$72,$A755+1)-F755/INDEX(Surface_Engine!$B$12:$B$72,$A755+1))),IF($A755&lt;$Q$699,MAX(0,-Assumptions!$B$22*(F755/INDEX(Surface_Engine!$B$12:$B$72,$A755+1))),0)))^2+(MAX(0,J755/INDEX(Surface_Engine!$B$12:$B$72,$A755+1)-(F755/INDEX(Surface_Engine!$B$12:$B$72,$A755+1))))^2+2*Assumptions!$B$26*(IF(C755&lt;=0,0,MAX(0,(B755/C755)*G755/INDEX(Surface_Engine!$B$12:$B$72,$A755+1)-F755/INDEX(Surface_Engine!$B$12:$B$72,$A755+1))))*(MAX(IF(D755&lt;=0,0,MAX(0,(B755/D755)*H755/INDEX(Surface_Engine!$B$12:$B$72,$A755+1)-F755/INDEX(Surface_Engine!$B$12:$B$72,$A755+1))),IF(E755&lt;=0,0,MAX(0,(B755/E755)*I755/INDEX(Surface_Engine!$B$12:$B$72,$A755+1)-F755/INDEX(Surface_Engine!$B$12:$B$72,$A755+1))),IF($A755&lt;$Q$699,MAX(0,-Assumptions!$B$22*(F755/INDEX(Surface_Engine!$B$12:$B$72,$A755+1))),0)))+2*Assumptions!$B$27*(IF(C755&lt;=0,0,MAX(0,(B755/C755)*G755/INDEX(Surface_Engine!$B$12:$B$72,$A755+1)-F755/INDEX(Surface_Engine!$B$12:$B$72,$A755+1))))*(MAX(0,J755/INDEX(Surface_Engine!$B$12:$B$72,$A755+1)-(F755/INDEX(Surface_Engine!$B$12:$B$72,$A755+1))))+2*Assumptions!$B$28*(MAX(IF(D755&lt;=0,0,MAX(0,(B755/D755)*H755/INDEX(Surface_Engine!$B$12:$B$72,$A755+1)-F755/INDEX(Surface_Engine!$B$12:$B$72,$A755+1))),IF(E755&lt;=0,0,MAX(0,(B755/E755)*I755/INDEX(Surface_Engine!$B$12:$B$72,$A755+1)-F755/INDEX(Surface_Engine!$B$12:$B$72,$A755+1))),IF($A755&lt;$Q$699,MAX(0,-Assumptions!$B$22*(F755/INDEX(Surface_Engine!$B$12:$B$72,$A755+1))),0)))*(MAX(0,J755/INDEX(Surface_Engine!$B$12:$B$72,$A755+1)-(F755/INDEX(Surface_Engine!$B$12:$B$72,$A755+1)))))</f>
        <v>0.0110263951736089</v>
      </c>
      <c r="L755" s="48" t="n">
        <f aca="false">K755*INDEX(Surface_Engine!$B$12:$B$72,$A755+1)+L756</f>
        <v>0.00200032867188936</v>
      </c>
      <c r="M755" s="48" t="n">
        <f aca="false">M754+B754*(IF($A754&lt;$Q$699,(Surface_Engine!Q241*12)-(Surface_Engine!Q241*12)*INDEX(Surface_Engine!$F$12:$F$72,$A754+1)-INDEX(Surface_Engine!$D$12:$D$72,$A754+1),-(1000*12*INDEX(Surface_Engine!$C$12:$C$72,$A754+1)/(1+Assumptions!$B$10)^25+INDEX(Surface_Engine!$D$12:$D$72,$A754+1))))*INDEX(Surface_Engine!$B$12:$B$72,$A754+1)</f>
        <v>523.248596980224</v>
      </c>
      <c r="N755" s="12" t="n">
        <f aca="false">IF(B755&lt;=0,0,MAX(0,(K755+Assumptions!$B$29*L755/INDEX(Surface_Engine!$B$12:$B$72,$A755+1)-(M755/INDEX(Surface_Engine!$B$12:$B$72,$A755+1)-(F755/INDEX(Surface_Engine!$B$12:$B$72,$A755+1))))/B755))</f>
        <v>0</v>
      </c>
    </row>
    <row r="756" customFormat="false" ht="15" hidden="false" customHeight="true" outlineLevel="0" collapsed="false">
      <c r="A756" s="1" t="n">
        <v>55</v>
      </c>
      <c r="B756" s="32" t="n">
        <f aca="false">INDEX(Surface_Engine!$L$12:$L$72,$A756+1)*IF($A756&lt;$Q$699,INDEX(Surface_Engine!$E$12:$E$72,$A756+1),INDEX(Surface_Engine!$E$12:$E$72,$Q$699+1))</f>
        <v>1.76664709630853E-006</v>
      </c>
      <c r="C756" s="32" t="n">
        <f aca="false">INDEX(Panel_Reserving!$D$8:$D$68,$A756+1)*IF($A756&lt;$Q$699,INDEX(Surface_Engine!$E$12:$E$72,$A756+1),INDEX(Surface_Engine!$E$12:$E$72,$Q$699+1))</f>
        <v>4.47053756382263E-005</v>
      </c>
      <c r="D756" s="32" t="n">
        <f aca="false">INDEX(Surface_Engine!$L$12:$L$72,$A756+1)*IF($A756&lt;$Q$699,INDEX(Surface_Engine!$Y$12:$Y$72,$A756+1),INDEX(Surface_Engine!$Y$12:$Y$72,$Q$699+1))</f>
        <v>1.52838275999424E-006</v>
      </c>
      <c r="E756" s="32" t="n">
        <f aca="false">INDEX(Surface_Engine!$L$12:$L$72,$A756+1)*IF($A756&lt;$Q$699,INDEX(Surface_Engine!$Z$12:$Z$72,$A756+1),INDEX(Surface_Engine!$Z$12:$Z$72,$Q$699+1))</f>
        <v>2.03975146557287E-006</v>
      </c>
      <c r="F756" s="48" t="n">
        <f aca="false">B756*(IF($A756&lt;$Q$699,INDEX(Surface_Engine!$D$12:$D$72,$A756+1)+(Surface_Engine!Q241*12)*INDEX(Surface_Engine!$F$12:$F$72,$A756+1)-(Surface_Engine!Q241*12),1000*12*INDEX(Surface_Engine!$C$12:$C$72,$A756+1)/(1+Assumptions!$B$10)^25+INDEX(Surface_Engine!$D$12:$D$72,$A756+1)))*INDEX(Surface_Engine!$B$12:$B$72,$A756+1)+F757</f>
        <v>0.00681061514194156</v>
      </c>
      <c r="G756" s="48" t="n">
        <f aca="false">C756*(IF($A756&lt;$Q$699,INDEX(Surface_Engine!$D$12:$D$72,$A756+1)+(Surface_Engine!Q241*12)*INDEX(Surface_Engine!$F$12:$F$72,$A756+1)-(Surface_Engine!Q241*12),1000*12*INDEX(Surface_Engine!$C$12:$C$72,$A756+1)/(1+Assumptions!$B$10)^25+INDEX(Surface_Engine!$D$12:$D$72,$A756+1)))*INDEX(Surface_Engine!$B$12:$B$72,$A756+1)+G757</f>
        <v>0.172344045895806</v>
      </c>
      <c r="H756" s="48" t="n">
        <f aca="false">D756*(IF($A756&lt;$Q$699,INDEX(Surface_Engine!$D$12:$D$72,$A756+1)+(Surface_Engine!Q241*12)*INDEX(Surface_Engine!$F$12:$F$72,$A756+1)-(Surface_Engine!Q241*12),1000*12*INDEX(Surface_Engine!$C$12:$C$72,$A756+1)/(1+Assumptions!$B$10)^25+INDEX(Surface_Engine!$D$12:$D$72,$A756+1)))*INDEX(Surface_Engine!$B$12:$B$72,$A756+1)+H757</f>
        <v>0.00589208042152259</v>
      </c>
      <c r="I756" s="48" t="n">
        <f aca="false">E756*(IF($A756&lt;$Q$699,INDEX(Surface_Engine!$D$12:$D$72,$A756+1)+(Surface_Engine!Q241*12)*INDEX(Surface_Engine!$F$12:$F$72,$A756+1)-(Surface_Engine!Q241*12),1000*12*INDEX(Surface_Engine!$C$12:$C$72,$A756+1)/(1+Assumptions!$B$10)^25+INDEX(Surface_Engine!$D$12:$D$72,$A756+1)))*INDEX(Surface_Engine!$B$12:$B$72,$A756+1)+I757</f>
        <v>0.00786346194792147</v>
      </c>
      <c r="J756" s="48" t="n">
        <f aca="false">B756*(IF($A756&lt;$Q$699,INDEX(Surface_Engine!$D$12:$D$72,$A756+1)*(1+Assumptions!$B$24)+(Surface_Engine!Q241*12)*INDEX(Surface_Engine!$F$12:$F$72,$A756+1)-(Surface_Engine!Q241*12),1000*12*INDEX(Surface_Engine!$C$12:$C$72,$A756+1)/(1+Assumptions!$B$10)^25+INDEX(Surface_Engine!$D$12:$D$72,$A756+1)*(1+Assumptions!$B$24)))*INDEX(Surface_Engine!$B$12:$B$72,$A756+1)+J757</f>
        <v>0.00682046208498505</v>
      </c>
      <c r="K756" s="12" t="n">
        <f aca="false">SQRT((IF(C756&lt;=0,0,MAX(0,(B756/C756)*G756/INDEX(Surface_Engine!$B$12:$B$72,$A756+1)-F756/INDEX(Surface_Engine!$B$12:$B$72,$A756+1))))^2+(MAX(IF(D756&lt;=0,0,MAX(0,(B756/D756)*H756/INDEX(Surface_Engine!$B$12:$B$72,$A756+1)-F756/INDEX(Surface_Engine!$B$12:$B$72,$A756+1))),IF(E756&lt;=0,0,MAX(0,(B756/E756)*I756/INDEX(Surface_Engine!$B$12:$B$72,$A756+1)-F756/INDEX(Surface_Engine!$B$12:$B$72,$A756+1))),IF($A756&lt;$Q$699,MAX(0,-Assumptions!$B$22*(F756/INDEX(Surface_Engine!$B$12:$B$72,$A756+1))),0)))^2+(MAX(0,J756/INDEX(Surface_Engine!$B$12:$B$72,$A756+1)-(F756/INDEX(Surface_Engine!$B$12:$B$72,$A756+1))))^2+2*Assumptions!$B$26*(IF(C756&lt;=0,0,MAX(0,(B756/C756)*G756/INDEX(Surface_Engine!$B$12:$B$72,$A756+1)-F756/INDEX(Surface_Engine!$B$12:$B$72,$A756+1))))*(MAX(IF(D756&lt;=0,0,MAX(0,(B756/D756)*H756/INDEX(Surface_Engine!$B$12:$B$72,$A756+1)-F756/INDEX(Surface_Engine!$B$12:$B$72,$A756+1))),IF(E756&lt;=0,0,MAX(0,(B756/E756)*I756/INDEX(Surface_Engine!$B$12:$B$72,$A756+1)-F756/INDEX(Surface_Engine!$B$12:$B$72,$A756+1))),IF($A756&lt;$Q$699,MAX(0,-Assumptions!$B$22*(F756/INDEX(Surface_Engine!$B$12:$B$72,$A756+1))),0)))+2*Assumptions!$B$27*(IF(C756&lt;=0,0,MAX(0,(B756/C756)*G756/INDEX(Surface_Engine!$B$12:$B$72,$A756+1)-F756/INDEX(Surface_Engine!$B$12:$B$72,$A756+1))))*(MAX(0,J756/INDEX(Surface_Engine!$B$12:$B$72,$A756+1)-(F756/INDEX(Surface_Engine!$B$12:$B$72,$A756+1))))+2*Assumptions!$B$28*(MAX(IF(D756&lt;=0,0,MAX(0,(B756/D756)*H756/INDEX(Surface_Engine!$B$12:$B$72,$A756+1)-F756/INDEX(Surface_Engine!$B$12:$B$72,$A756+1))),IF(E756&lt;=0,0,MAX(0,(B756/E756)*I756/INDEX(Surface_Engine!$B$12:$B$72,$A756+1)-F756/INDEX(Surface_Engine!$B$12:$B$72,$A756+1))),IF($A756&lt;$Q$699,MAX(0,-Assumptions!$B$22*(F756/INDEX(Surface_Engine!$B$12:$B$72,$A756+1))),0)))*(MAX(0,J756/INDEX(Surface_Engine!$B$12:$B$72,$A756+1)-(F756/INDEX(Surface_Engine!$B$12:$B$72,$A756+1)))))</f>
        <v>5.63347346285159E-005</v>
      </c>
      <c r="L756" s="48" t="n">
        <f aca="false">K756*INDEX(Surface_Engine!$B$12:$B$72,$A756+1)+L757</f>
        <v>9.84694304349092E-006</v>
      </c>
      <c r="M756" s="48" t="n">
        <f aca="false">M755+B755*(IF($A755&lt;$Q$699,(Surface_Engine!Q241*12)-(Surface_Engine!Q241*12)*INDEX(Surface_Engine!$F$12:$F$72,$A755+1)-INDEX(Surface_Engine!$D$12:$D$72,$A755+1),-(1000*12*INDEX(Surface_Engine!$C$12:$C$72,$A755+1)/(1+Assumptions!$B$10)^25+INDEX(Surface_Engine!$D$12:$D$72,$A755+1))))*INDEX(Surface_Engine!$B$12:$B$72,$A755+1)</f>
        <v>523.231670128564</v>
      </c>
      <c r="N756" s="12" t="n">
        <f aca="false">IF(B756&lt;=0,0,MAX(0,(K756+Assumptions!$B$29*L756/INDEX(Surface_Engine!$B$12:$B$72,$A756+1)-(M756/INDEX(Surface_Engine!$B$12:$B$72,$A756+1)-(F756/INDEX(Surface_Engine!$B$12:$B$72,$A756+1))))/B756))</f>
        <v>0</v>
      </c>
    </row>
    <row r="757" customFormat="false" ht="15" hidden="false" customHeight="true" outlineLevel="0" collapsed="false">
      <c r="A757" s="1" t="n">
        <v>56</v>
      </c>
      <c r="B757" s="32" t="n">
        <f aca="false">INDEX(Surface_Engine!$L$12:$L$72,$A757+1)*IF($A757&lt;$Q$699,INDEX(Surface_Engine!$E$12:$E$72,$A757+1),INDEX(Surface_Engine!$E$12:$E$72,$Q$699+1))</f>
        <v>0</v>
      </c>
      <c r="C757" s="32" t="n">
        <f aca="false">INDEX(Panel_Reserving!$D$8:$D$68,$A757+1)*IF($A757&lt;$Q$699,INDEX(Surface_Engine!$E$12:$E$72,$A757+1),INDEX(Surface_Engine!$E$12:$E$72,$Q$699+1))</f>
        <v>0</v>
      </c>
      <c r="D757" s="32" t="n">
        <f aca="false">INDEX(Surface_Engine!$L$12:$L$72,$A757+1)*IF($A757&lt;$Q$699,INDEX(Surface_Engine!$Y$12:$Y$72,$A757+1),INDEX(Surface_Engine!$Y$12:$Y$72,$Q$699+1))</f>
        <v>0</v>
      </c>
      <c r="E757" s="32" t="n">
        <f aca="false">INDEX(Surface_Engine!$L$12:$L$72,$A757+1)*IF($A757&lt;$Q$699,INDEX(Surface_Engine!$Z$12:$Z$72,$A757+1),INDEX(Surface_Engine!$Z$12:$Z$72,$Q$699+1))</f>
        <v>0</v>
      </c>
      <c r="F757" s="48" t="n">
        <f aca="false">B757*(IF($A757&lt;$Q$699,INDEX(Surface_Engine!$D$12:$D$72,$A757+1)+(Surface_Engine!Q241*12)*INDEX(Surface_Engine!$F$12:$F$72,$A757+1)-(Surface_Engine!Q241*12),1000*12*INDEX(Surface_Engine!$C$12:$C$72,$A757+1)/(1+Assumptions!$B$10)^25+INDEX(Surface_Engine!$D$12:$D$72,$A757+1)))*INDEX(Surface_Engine!$B$12:$B$72,$A757+1)+F758</f>
        <v>0</v>
      </c>
      <c r="G757" s="48" t="n">
        <f aca="false">C757*(IF($A757&lt;$Q$699,INDEX(Surface_Engine!$D$12:$D$72,$A757+1)+(Surface_Engine!Q241*12)*INDEX(Surface_Engine!$F$12:$F$72,$A757+1)-(Surface_Engine!Q241*12),1000*12*INDEX(Surface_Engine!$C$12:$C$72,$A757+1)/(1+Assumptions!$B$10)^25+INDEX(Surface_Engine!$D$12:$D$72,$A757+1)))*INDEX(Surface_Engine!$B$12:$B$72,$A757+1)+G758</f>
        <v>0</v>
      </c>
      <c r="H757" s="48" t="n">
        <f aca="false">D757*(IF($A757&lt;$Q$699,INDEX(Surface_Engine!$D$12:$D$72,$A757+1)+(Surface_Engine!Q241*12)*INDEX(Surface_Engine!$F$12:$F$72,$A757+1)-(Surface_Engine!Q241*12),1000*12*INDEX(Surface_Engine!$C$12:$C$72,$A757+1)/(1+Assumptions!$B$10)^25+INDEX(Surface_Engine!$D$12:$D$72,$A757+1)))*INDEX(Surface_Engine!$B$12:$B$72,$A757+1)+H758</f>
        <v>0</v>
      </c>
      <c r="I757" s="48" t="n">
        <f aca="false">E757*(IF($A757&lt;$Q$699,INDEX(Surface_Engine!$D$12:$D$72,$A757+1)+(Surface_Engine!Q241*12)*INDEX(Surface_Engine!$F$12:$F$72,$A757+1)-(Surface_Engine!Q241*12),1000*12*INDEX(Surface_Engine!$C$12:$C$72,$A757+1)/(1+Assumptions!$B$10)^25+INDEX(Surface_Engine!$D$12:$D$72,$A757+1)))*INDEX(Surface_Engine!$B$12:$B$72,$A757+1)+I758</f>
        <v>0</v>
      </c>
      <c r="J757" s="48" t="n">
        <f aca="false">B757*(IF($A757&lt;$Q$699,INDEX(Surface_Engine!$D$12:$D$72,$A757+1)*(1+Assumptions!$B$24)+(Surface_Engine!Q241*12)*INDEX(Surface_Engine!$F$12:$F$72,$A757+1)-(Surface_Engine!Q241*12),1000*12*INDEX(Surface_Engine!$C$12:$C$72,$A757+1)/(1+Assumptions!$B$10)^25+INDEX(Surface_Engine!$D$12:$D$72,$A757+1)*(1+Assumptions!$B$24)))*INDEX(Surface_Engine!$B$12:$B$72,$A757+1)+J758</f>
        <v>0</v>
      </c>
      <c r="K757" s="12" t="n">
        <f aca="false">SQRT((IF(C757&lt;=0,0,MAX(0,(B757/C757)*G757/INDEX(Surface_Engine!$B$12:$B$72,$A757+1)-F757/INDEX(Surface_Engine!$B$12:$B$72,$A757+1))))^2+(MAX(IF(D757&lt;=0,0,MAX(0,(B757/D757)*H757/INDEX(Surface_Engine!$B$12:$B$72,$A757+1)-F757/INDEX(Surface_Engine!$B$12:$B$72,$A757+1))),IF(E757&lt;=0,0,MAX(0,(B757/E757)*I757/INDEX(Surface_Engine!$B$12:$B$72,$A757+1)-F757/INDEX(Surface_Engine!$B$12:$B$72,$A757+1))),IF($A757&lt;$Q$699,MAX(0,-Assumptions!$B$22*(F757/INDEX(Surface_Engine!$B$12:$B$72,$A757+1))),0)))^2+(MAX(0,J757/INDEX(Surface_Engine!$B$12:$B$72,$A757+1)-(F757/INDEX(Surface_Engine!$B$12:$B$72,$A757+1))))^2+2*Assumptions!$B$26*(IF(C757&lt;=0,0,MAX(0,(B757/C757)*G757/INDEX(Surface_Engine!$B$12:$B$72,$A757+1)-F757/INDEX(Surface_Engine!$B$12:$B$72,$A757+1))))*(MAX(IF(D757&lt;=0,0,MAX(0,(B757/D757)*H757/INDEX(Surface_Engine!$B$12:$B$72,$A757+1)-F757/INDEX(Surface_Engine!$B$12:$B$72,$A757+1))),IF(E757&lt;=0,0,MAX(0,(B757/E757)*I757/INDEX(Surface_Engine!$B$12:$B$72,$A757+1)-F757/INDEX(Surface_Engine!$B$12:$B$72,$A757+1))),IF($A757&lt;$Q$699,MAX(0,-Assumptions!$B$22*(F757/INDEX(Surface_Engine!$B$12:$B$72,$A757+1))),0)))+2*Assumptions!$B$27*(IF(C757&lt;=0,0,MAX(0,(B757/C757)*G757/INDEX(Surface_Engine!$B$12:$B$72,$A757+1)-F757/INDEX(Surface_Engine!$B$12:$B$72,$A757+1))))*(MAX(0,J757/INDEX(Surface_Engine!$B$12:$B$72,$A757+1)-(F757/INDEX(Surface_Engine!$B$12:$B$72,$A757+1))))+2*Assumptions!$B$28*(MAX(IF(D757&lt;=0,0,MAX(0,(B757/D757)*H757/INDEX(Surface_Engine!$B$12:$B$72,$A757+1)-F757/INDEX(Surface_Engine!$B$12:$B$72,$A757+1))),IF(E757&lt;=0,0,MAX(0,(B757/E757)*I757/INDEX(Surface_Engine!$B$12:$B$72,$A757+1)-F757/INDEX(Surface_Engine!$B$12:$B$72,$A757+1))),IF($A757&lt;$Q$699,MAX(0,-Assumptions!$B$22*(F757/INDEX(Surface_Engine!$B$12:$B$72,$A757+1))),0)))*(MAX(0,J757/INDEX(Surface_Engine!$B$12:$B$72,$A757+1)-(F757/INDEX(Surface_Engine!$B$12:$B$72,$A757+1)))))</f>
        <v>0</v>
      </c>
      <c r="L757" s="48" t="n">
        <f aca="false">K757*INDEX(Surface_Engine!$B$12:$B$72,$A757+1)+L758</f>
        <v>0</v>
      </c>
      <c r="M757" s="48" t="n">
        <f aca="false">M756+B756*(IF($A756&lt;$Q$699,(Surface_Engine!Q241*12)-(Surface_Engine!Q241*12)*INDEX(Surface_Engine!$F$12:$F$72,$A756+1)-INDEX(Surface_Engine!$D$12:$D$72,$A756+1),-(1000*12*INDEX(Surface_Engine!$C$12:$C$72,$A756+1)/(1+Assumptions!$B$10)^25+INDEX(Surface_Engine!$D$12:$D$72,$A756+1))))*INDEX(Surface_Engine!$B$12:$B$72,$A756+1)</f>
        <v>523.224859513422</v>
      </c>
      <c r="N757" s="12" t="n">
        <f aca="false">IF(B757&lt;=0,0,MAX(0,(K757+Assumptions!$B$29*L757/INDEX(Surface_Engine!$B$12:$B$72,$A757+1)-(M757/INDEX(Surface_Engine!$B$12:$B$72,$A757+1)-(F757/INDEX(Surface_Engine!$B$12:$B$72,$A757+1))))/B757))</f>
        <v>0</v>
      </c>
    </row>
    <row r="758" customFormat="false" ht="15" hidden="false" customHeight="true" outlineLevel="0" collapsed="false">
      <c r="A758" s="1" t="n">
        <v>57</v>
      </c>
      <c r="B758" s="32" t="n">
        <f aca="false">INDEX(Surface_Engine!$L$12:$L$72,$A758+1)*IF($A758&lt;$Q$699,INDEX(Surface_Engine!$E$12:$E$72,$A758+1),INDEX(Surface_Engine!$E$12:$E$72,$Q$699+1))</f>
        <v>0</v>
      </c>
      <c r="C758" s="32" t="n">
        <f aca="false">INDEX(Panel_Reserving!$D$8:$D$68,$A758+1)*IF($A758&lt;$Q$699,INDEX(Surface_Engine!$E$12:$E$72,$A758+1),INDEX(Surface_Engine!$E$12:$E$72,$Q$699+1))</f>
        <v>0</v>
      </c>
      <c r="D758" s="32" t="n">
        <f aca="false">INDEX(Surface_Engine!$L$12:$L$72,$A758+1)*IF($A758&lt;$Q$699,INDEX(Surface_Engine!$Y$12:$Y$72,$A758+1),INDEX(Surface_Engine!$Y$12:$Y$72,$Q$699+1))</f>
        <v>0</v>
      </c>
      <c r="E758" s="32" t="n">
        <f aca="false">INDEX(Surface_Engine!$L$12:$L$72,$A758+1)*IF($A758&lt;$Q$699,INDEX(Surface_Engine!$Z$12:$Z$72,$A758+1),INDEX(Surface_Engine!$Z$12:$Z$72,$Q$699+1))</f>
        <v>0</v>
      </c>
      <c r="F758" s="48" t="n">
        <f aca="false">B758*(IF($A758&lt;$Q$699,INDEX(Surface_Engine!$D$12:$D$72,$A758+1)+(Surface_Engine!Q241*12)*INDEX(Surface_Engine!$F$12:$F$72,$A758+1)-(Surface_Engine!Q241*12),1000*12*INDEX(Surface_Engine!$C$12:$C$72,$A758+1)/(1+Assumptions!$B$10)^25+INDEX(Surface_Engine!$D$12:$D$72,$A758+1)))*INDEX(Surface_Engine!$B$12:$B$72,$A758+1)+F759</f>
        <v>0</v>
      </c>
      <c r="G758" s="48" t="n">
        <f aca="false">C758*(IF($A758&lt;$Q$699,INDEX(Surface_Engine!$D$12:$D$72,$A758+1)+(Surface_Engine!Q241*12)*INDEX(Surface_Engine!$F$12:$F$72,$A758+1)-(Surface_Engine!Q241*12),1000*12*INDEX(Surface_Engine!$C$12:$C$72,$A758+1)/(1+Assumptions!$B$10)^25+INDEX(Surface_Engine!$D$12:$D$72,$A758+1)))*INDEX(Surface_Engine!$B$12:$B$72,$A758+1)+G759</f>
        <v>0</v>
      </c>
      <c r="H758" s="48" t="n">
        <f aca="false">D758*(IF($A758&lt;$Q$699,INDEX(Surface_Engine!$D$12:$D$72,$A758+1)+(Surface_Engine!Q241*12)*INDEX(Surface_Engine!$F$12:$F$72,$A758+1)-(Surface_Engine!Q241*12),1000*12*INDEX(Surface_Engine!$C$12:$C$72,$A758+1)/(1+Assumptions!$B$10)^25+INDEX(Surface_Engine!$D$12:$D$72,$A758+1)))*INDEX(Surface_Engine!$B$12:$B$72,$A758+1)+H759</f>
        <v>0</v>
      </c>
      <c r="I758" s="48" t="n">
        <f aca="false">E758*(IF($A758&lt;$Q$699,INDEX(Surface_Engine!$D$12:$D$72,$A758+1)+(Surface_Engine!Q241*12)*INDEX(Surface_Engine!$F$12:$F$72,$A758+1)-(Surface_Engine!Q241*12),1000*12*INDEX(Surface_Engine!$C$12:$C$72,$A758+1)/(1+Assumptions!$B$10)^25+INDEX(Surface_Engine!$D$12:$D$72,$A758+1)))*INDEX(Surface_Engine!$B$12:$B$72,$A758+1)+I759</f>
        <v>0</v>
      </c>
      <c r="J758" s="48" t="n">
        <f aca="false">B758*(IF($A758&lt;$Q$699,INDEX(Surface_Engine!$D$12:$D$72,$A758+1)*(1+Assumptions!$B$24)+(Surface_Engine!Q241*12)*INDEX(Surface_Engine!$F$12:$F$72,$A758+1)-(Surface_Engine!Q241*12),1000*12*INDEX(Surface_Engine!$C$12:$C$72,$A758+1)/(1+Assumptions!$B$10)^25+INDEX(Surface_Engine!$D$12:$D$72,$A758+1)*(1+Assumptions!$B$24)))*INDEX(Surface_Engine!$B$12:$B$72,$A758+1)+J759</f>
        <v>0</v>
      </c>
      <c r="K758" s="12" t="n">
        <f aca="false">SQRT((IF(C758&lt;=0,0,MAX(0,(B758/C758)*G758/INDEX(Surface_Engine!$B$12:$B$72,$A758+1)-F758/INDEX(Surface_Engine!$B$12:$B$72,$A758+1))))^2+(MAX(IF(D758&lt;=0,0,MAX(0,(B758/D758)*H758/INDEX(Surface_Engine!$B$12:$B$72,$A758+1)-F758/INDEX(Surface_Engine!$B$12:$B$72,$A758+1))),IF(E758&lt;=0,0,MAX(0,(B758/E758)*I758/INDEX(Surface_Engine!$B$12:$B$72,$A758+1)-F758/INDEX(Surface_Engine!$B$12:$B$72,$A758+1))),IF($A758&lt;$Q$699,MAX(0,-Assumptions!$B$22*(F758/INDEX(Surface_Engine!$B$12:$B$72,$A758+1))),0)))^2+(MAX(0,J758/INDEX(Surface_Engine!$B$12:$B$72,$A758+1)-(F758/INDEX(Surface_Engine!$B$12:$B$72,$A758+1))))^2+2*Assumptions!$B$26*(IF(C758&lt;=0,0,MAX(0,(B758/C758)*G758/INDEX(Surface_Engine!$B$12:$B$72,$A758+1)-F758/INDEX(Surface_Engine!$B$12:$B$72,$A758+1))))*(MAX(IF(D758&lt;=0,0,MAX(0,(B758/D758)*H758/INDEX(Surface_Engine!$B$12:$B$72,$A758+1)-F758/INDEX(Surface_Engine!$B$12:$B$72,$A758+1))),IF(E758&lt;=0,0,MAX(0,(B758/E758)*I758/INDEX(Surface_Engine!$B$12:$B$72,$A758+1)-F758/INDEX(Surface_Engine!$B$12:$B$72,$A758+1))),IF($A758&lt;$Q$699,MAX(0,-Assumptions!$B$22*(F758/INDEX(Surface_Engine!$B$12:$B$72,$A758+1))),0)))+2*Assumptions!$B$27*(IF(C758&lt;=0,0,MAX(0,(B758/C758)*G758/INDEX(Surface_Engine!$B$12:$B$72,$A758+1)-F758/INDEX(Surface_Engine!$B$12:$B$72,$A758+1))))*(MAX(0,J758/INDEX(Surface_Engine!$B$12:$B$72,$A758+1)-(F758/INDEX(Surface_Engine!$B$12:$B$72,$A758+1))))+2*Assumptions!$B$28*(MAX(IF(D758&lt;=0,0,MAX(0,(B758/D758)*H758/INDEX(Surface_Engine!$B$12:$B$72,$A758+1)-F758/INDEX(Surface_Engine!$B$12:$B$72,$A758+1))),IF(E758&lt;=0,0,MAX(0,(B758/E758)*I758/INDEX(Surface_Engine!$B$12:$B$72,$A758+1)-F758/INDEX(Surface_Engine!$B$12:$B$72,$A758+1))),IF($A758&lt;$Q$699,MAX(0,-Assumptions!$B$22*(F758/INDEX(Surface_Engine!$B$12:$B$72,$A758+1))),0)))*(MAX(0,J758/INDEX(Surface_Engine!$B$12:$B$72,$A758+1)-(F758/INDEX(Surface_Engine!$B$12:$B$72,$A758+1)))))</f>
        <v>0</v>
      </c>
      <c r="L758" s="48" t="n">
        <f aca="false">K758*INDEX(Surface_Engine!$B$12:$B$72,$A758+1)+L759</f>
        <v>0</v>
      </c>
      <c r="M758" s="48" t="n">
        <f aca="false">M757+B757*(IF($A757&lt;$Q$699,(Surface_Engine!Q241*12)-(Surface_Engine!Q241*12)*INDEX(Surface_Engine!$F$12:$F$72,$A757+1)-INDEX(Surface_Engine!$D$12:$D$72,$A757+1),-(1000*12*INDEX(Surface_Engine!$C$12:$C$72,$A757+1)/(1+Assumptions!$B$10)^25+INDEX(Surface_Engine!$D$12:$D$72,$A757+1))))*INDEX(Surface_Engine!$B$12:$B$72,$A757+1)</f>
        <v>523.224859513422</v>
      </c>
      <c r="N758" s="12" t="n">
        <f aca="false">IF(B758&lt;=0,0,MAX(0,(K758+Assumptions!$B$29*L758/INDEX(Surface_Engine!$B$12:$B$72,$A758+1)-(M758/INDEX(Surface_Engine!$B$12:$B$72,$A758+1)-(F758/INDEX(Surface_Engine!$B$12:$B$72,$A758+1))))/B758))</f>
        <v>0</v>
      </c>
    </row>
    <row r="759" customFormat="false" ht="15" hidden="false" customHeight="true" outlineLevel="0" collapsed="false">
      <c r="A759" s="1" t="n">
        <v>58</v>
      </c>
      <c r="B759" s="32" t="n">
        <f aca="false">INDEX(Surface_Engine!$L$12:$L$72,$A759+1)*IF($A759&lt;$Q$699,INDEX(Surface_Engine!$E$12:$E$72,$A759+1),INDEX(Surface_Engine!$E$12:$E$72,$Q$699+1))</f>
        <v>0</v>
      </c>
      <c r="C759" s="32" t="n">
        <f aca="false">INDEX(Panel_Reserving!$D$8:$D$68,$A759+1)*IF($A759&lt;$Q$699,INDEX(Surface_Engine!$E$12:$E$72,$A759+1),INDEX(Surface_Engine!$E$12:$E$72,$Q$699+1))</f>
        <v>0</v>
      </c>
      <c r="D759" s="32" t="n">
        <f aca="false">INDEX(Surface_Engine!$L$12:$L$72,$A759+1)*IF($A759&lt;$Q$699,INDEX(Surface_Engine!$Y$12:$Y$72,$A759+1),INDEX(Surface_Engine!$Y$12:$Y$72,$Q$699+1))</f>
        <v>0</v>
      </c>
      <c r="E759" s="32" t="n">
        <f aca="false">INDEX(Surface_Engine!$L$12:$L$72,$A759+1)*IF($A759&lt;$Q$699,INDEX(Surface_Engine!$Z$12:$Z$72,$A759+1),INDEX(Surface_Engine!$Z$12:$Z$72,$Q$699+1))</f>
        <v>0</v>
      </c>
      <c r="F759" s="48" t="n">
        <f aca="false">B759*(IF($A759&lt;$Q$699,INDEX(Surface_Engine!$D$12:$D$72,$A759+1)+(Surface_Engine!Q241*12)*INDEX(Surface_Engine!$F$12:$F$72,$A759+1)-(Surface_Engine!Q241*12),1000*12*INDEX(Surface_Engine!$C$12:$C$72,$A759+1)/(1+Assumptions!$B$10)^25+INDEX(Surface_Engine!$D$12:$D$72,$A759+1)))*INDEX(Surface_Engine!$B$12:$B$72,$A759+1)+F760</f>
        <v>0</v>
      </c>
      <c r="G759" s="48" t="n">
        <f aca="false">C759*(IF($A759&lt;$Q$699,INDEX(Surface_Engine!$D$12:$D$72,$A759+1)+(Surface_Engine!Q241*12)*INDEX(Surface_Engine!$F$12:$F$72,$A759+1)-(Surface_Engine!Q241*12),1000*12*INDEX(Surface_Engine!$C$12:$C$72,$A759+1)/(1+Assumptions!$B$10)^25+INDEX(Surface_Engine!$D$12:$D$72,$A759+1)))*INDEX(Surface_Engine!$B$12:$B$72,$A759+1)+G760</f>
        <v>0</v>
      </c>
      <c r="H759" s="48" t="n">
        <f aca="false">D759*(IF($A759&lt;$Q$699,INDEX(Surface_Engine!$D$12:$D$72,$A759+1)+(Surface_Engine!Q241*12)*INDEX(Surface_Engine!$F$12:$F$72,$A759+1)-(Surface_Engine!Q241*12),1000*12*INDEX(Surface_Engine!$C$12:$C$72,$A759+1)/(1+Assumptions!$B$10)^25+INDEX(Surface_Engine!$D$12:$D$72,$A759+1)))*INDEX(Surface_Engine!$B$12:$B$72,$A759+1)+H760</f>
        <v>0</v>
      </c>
      <c r="I759" s="48" t="n">
        <f aca="false">E759*(IF($A759&lt;$Q$699,INDEX(Surface_Engine!$D$12:$D$72,$A759+1)+(Surface_Engine!Q241*12)*INDEX(Surface_Engine!$F$12:$F$72,$A759+1)-(Surface_Engine!Q241*12),1000*12*INDEX(Surface_Engine!$C$12:$C$72,$A759+1)/(1+Assumptions!$B$10)^25+INDEX(Surface_Engine!$D$12:$D$72,$A759+1)))*INDEX(Surface_Engine!$B$12:$B$72,$A759+1)+I760</f>
        <v>0</v>
      </c>
      <c r="J759" s="48" t="n">
        <f aca="false">B759*(IF($A759&lt;$Q$699,INDEX(Surface_Engine!$D$12:$D$72,$A759+1)*(1+Assumptions!$B$24)+(Surface_Engine!Q241*12)*INDEX(Surface_Engine!$F$12:$F$72,$A759+1)-(Surface_Engine!Q241*12),1000*12*INDEX(Surface_Engine!$C$12:$C$72,$A759+1)/(1+Assumptions!$B$10)^25+INDEX(Surface_Engine!$D$12:$D$72,$A759+1)*(1+Assumptions!$B$24)))*INDEX(Surface_Engine!$B$12:$B$72,$A759+1)+J760</f>
        <v>0</v>
      </c>
      <c r="K759" s="12" t="n">
        <f aca="false">SQRT((IF(C759&lt;=0,0,MAX(0,(B759/C759)*G759/INDEX(Surface_Engine!$B$12:$B$72,$A759+1)-F759/INDEX(Surface_Engine!$B$12:$B$72,$A759+1))))^2+(MAX(IF(D759&lt;=0,0,MAX(0,(B759/D759)*H759/INDEX(Surface_Engine!$B$12:$B$72,$A759+1)-F759/INDEX(Surface_Engine!$B$12:$B$72,$A759+1))),IF(E759&lt;=0,0,MAX(0,(B759/E759)*I759/INDEX(Surface_Engine!$B$12:$B$72,$A759+1)-F759/INDEX(Surface_Engine!$B$12:$B$72,$A759+1))),IF($A759&lt;$Q$699,MAX(0,-Assumptions!$B$22*(F759/INDEX(Surface_Engine!$B$12:$B$72,$A759+1))),0)))^2+(MAX(0,J759/INDEX(Surface_Engine!$B$12:$B$72,$A759+1)-(F759/INDEX(Surface_Engine!$B$12:$B$72,$A759+1))))^2+2*Assumptions!$B$26*(IF(C759&lt;=0,0,MAX(0,(B759/C759)*G759/INDEX(Surface_Engine!$B$12:$B$72,$A759+1)-F759/INDEX(Surface_Engine!$B$12:$B$72,$A759+1))))*(MAX(IF(D759&lt;=0,0,MAX(0,(B759/D759)*H759/INDEX(Surface_Engine!$B$12:$B$72,$A759+1)-F759/INDEX(Surface_Engine!$B$12:$B$72,$A759+1))),IF(E759&lt;=0,0,MAX(0,(B759/E759)*I759/INDEX(Surface_Engine!$B$12:$B$72,$A759+1)-F759/INDEX(Surface_Engine!$B$12:$B$72,$A759+1))),IF($A759&lt;$Q$699,MAX(0,-Assumptions!$B$22*(F759/INDEX(Surface_Engine!$B$12:$B$72,$A759+1))),0)))+2*Assumptions!$B$27*(IF(C759&lt;=0,0,MAX(0,(B759/C759)*G759/INDEX(Surface_Engine!$B$12:$B$72,$A759+1)-F759/INDEX(Surface_Engine!$B$12:$B$72,$A759+1))))*(MAX(0,J759/INDEX(Surface_Engine!$B$12:$B$72,$A759+1)-(F759/INDEX(Surface_Engine!$B$12:$B$72,$A759+1))))+2*Assumptions!$B$28*(MAX(IF(D759&lt;=0,0,MAX(0,(B759/D759)*H759/INDEX(Surface_Engine!$B$12:$B$72,$A759+1)-F759/INDEX(Surface_Engine!$B$12:$B$72,$A759+1))),IF(E759&lt;=0,0,MAX(0,(B759/E759)*I759/INDEX(Surface_Engine!$B$12:$B$72,$A759+1)-F759/INDEX(Surface_Engine!$B$12:$B$72,$A759+1))),IF($A759&lt;$Q$699,MAX(0,-Assumptions!$B$22*(F759/INDEX(Surface_Engine!$B$12:$B$72,$A759+1))),0)))*(MAX(0,J759/INDEX(Surface_Engine!$B$12:$B$72,$A759+1)-(F759/INDEX(Surface_Engine!$B$12:$B$72,$A759+1)))))</f>
        <v>0</v>
      </c>
      <c r="L759" s="48" t="n">
        <f aca="false">K759*INDEX(Surface_Engine!$B$12:$B$72,$A759+1)+L760</f>
        <v>0</v>
      </c>
      <c r="M759" s="48" t="n">
        <f aca="false">M758+B758*(IF($A758&lt;$Q$699,(Surface_Engine!Q241*12)-(Surface_Engine!Q241*12)*INDEX(Surface_Engine!$F$12:$F$72,$A758+1)-INDEX(Surface_Engine!$D$12:$D$72,$A758+1),-(1000*12*INDEX(Surface_Engine!$C$12:$C$72,$A758+1)/(1+Assumptions!$B$10)^25+INDEX(Surface_Engine!$D$12:$D$72,$A758+1))))*INDEX(Surface_Engine!$B$12:$B$72,$A758+1)</f>
        <v>523.224859513422</v>
      </c>
      <c r="N759" s="12" t="n">
        <f aca="false">IF(B759&lt;=0,0,MAX(0,(K759+Assumptions!$B$29*L759/INDEX(Surface_Engine!$B$12:$B$72,$A759+1)-(M759/INDEX(Surface_Engine!$B$12:$B$72,$A759+1)-(F759/INDEX(Surface_Engine!$B$12:$B$72,$A759+1))))/B759))</f>
        <v>0</v>
      </c>
    </row>
    <row r="760" customFormat="false" ht="15" hidden="false" customHeight="true" outlineLevel="0" collapsed="false">
      <c r="A760" s="1" t="n">
        <v>59</v>
      </c>
      <c r="B760" s="32" t="n">
        <f aca="false">INDEX(Surface_Engine!$L$12:$L$72,$A760+1)*IF($A760&lt;$Q$699,INDEX(Surface_Engine!$E$12:$E$72,$A760+1),INDEX(Surface_Engine!$E$12:$E$72,$Q$699+1))</f>
        <v>0</v>
      </c>
      <c r="C760" s="32" t="n">
        <f aca="false">INDEX(Panel_Reserving!$D$8:$D$68,$A760+1)*IF($A760&lt;$Q$699,INDEX(Surface_Engine!$E$12:$E$72,$A760+1),INDEX(Surface_Engine!$E$12:$E$72,$Q$699+1))</f>
        <v>0</v>
      </c>
      <c r="D760" s="32" t="n">
        <f aca="false">INDEX(Surface_Engine!$L$12:$L$72,$A760+1)*IF($A760&lt;$Q$699,INDEX(Surface_Engine!$Y$12:$Y$72,$A760+1),INDEX(Surface_Engine!$Y$12:$Y$72,$Q$699+1))</f>
        <v>0</v>
      </c>
      <c r="E760" s="32" t="n">
        <f aca="false">INDEX(Surface_Engine!$L$12:$L$72,$A760+1)*IF($A760&lt;$Q$699,INDEX(Surface_Engine!$Z$12:$Z$72,$A760+1),INDEX(Surface_Engine!$Z$12:$Z$72,$Q$699+1))</f>
        <v>0</v>
      </c>
      <c r="F760" s="48" t="n">
        <f aca="false">B760*(IF($A760&lt;$Q$699,INDEX(Surface_Engine!$D$12:$D$72,$A760+1)+(Surface_Engine!Q241*12)*INDEX(Surface_Engine!$F$12:$F$72,$A760+1)-(Surface_Engine!Q241*12),1000*12*INDEX(Surface_Engine!$C$12:$C$72,$A760+1)/(1+Assumptions!$B$10)^25+INDEX(Surface_Engine!$D$12:$D$72,$A760+1)))*INDEX(Surface_Engine!$B$12:$B$72,$A760+1)+F761</f>
        <v>0</v>
      </c>
      <c r="G760" s="48" t="n">
        <f aca="false">C760*(IF($A760&lt;$Q$699,INDEX(Surface_Engine!$D$12:$D$72,$A760+1)+(Surface_Engine!Q241*12)*INDEX(Surface_Engine!$F$12:$F$72,$A760+1)-(Surface_Engine!Q241*12),1000*12*INDEX(Surface_Engine!$C$12:$C$72,$A760+1)/(1+Assumptions!$B$10)^25+INDEX(Surface_Engine!$D$12:$D$72,$A760+1)))*INDEX(Surface_Engine!$B$12:$B$72,$A760+1)+G761</f>
        <v>0</v>
      </c>
      <c r="H760" s="48" t="n">
        <f aca="false">D760*(IF($A760&lt;$Q$699,INDEX(Surface_Engine!$D$12:$D$72,$A760+1)+(Surface_Engine!Q241*12)*INDEX(Surface_Engine!$F$12:$F$72,$A760+1)-(Surface_Engine!Q241*12),1000*12*INDEX(Surface_Engine!$C$12:$C$72,$A760+1)/(1+Assumptions!$B$10)^25+INDEX(Surface_Engine!$D$12:$D$72,$A760+1)))*INDEX(Surface_Engine!$B$12:$B$72,$A760+1)+H761</f>
        <v>0</v>
      </c>
      <c r="I760" s="48" t="n">
        <f aca="false">E760*(IF($A760&lt;$Q$699,INDEX(Surface_Engine!$D$12:$D$72,$A760+1)+(Surface_Engine!Q241*12)*INDEX(Surface_Engine!$F$12:$F$72,$A760+1)-(Surface_Engine!Q241*12),1000*12*INDEX(Surface_Engine!$C$12:$C$72,$A760+1)/(1+Assumptions!$B$10)^25+INDEX(Surface_Engine!$D$12:$D$72,$A760+1)))*INDEX(Surface_Engine!$B$12:$B$72,$A760+1)+I761</f>
        <v>0</v>
      </c>
      <c r="J760" s="48" t="n">
        <f aca="false">B760*(IF($A760&lt;$Q$699,INDEX(Surface_Engine!$D$12:$D$72,$A760+1)*(1+Assumptions!$B$24)+(Surface_Engine!Q241*12)*INDEX(Surface_Engine!$F$12:$F$72,$A760+1)-(Surface_Engine!Q241*12),1000*12*INDEX(Surface_Engine!$C$12:$C$72,$A760+1)/(1+Assumptions!$B$10)^25+INDEX(Surface_Engine!$D$12:$D$72,$A760+1)*(1+Assumptions!$B$24)))*INDEX(Surface_Engine!$B$12:$B$72,$A760+1)+J761</f>
        <v>0</v>
      </c>
      <c r="K760" s="12" t="n">
        <f aca="false">SQRT((IF(C760&lt;=0,0,MAX(0,(B760/C760)*G760/INDEX(Surface_Engine!$B$12:$B$72,$A760+1)-F760/INDEX(Surface_Engine!$B$12:$B$72,$A760+1))))^2+(MAX(IF(D760&lt;=0,0,MAX(0,(B760/D760)*H760/INDEX(Surface_Engine!$B$12:$B$72,$A760+1)-F760/INDEX(Surface_Engine!$B$12:$B$72,$A760+1))),IF(E760&lt;=0,0,MAX(0,(B760/E760)*I760/INDEX(Surface_Engine!$B$12:$B$72,$A760+1)-F760/INDEX(Surface_Engine!$B$12:$B$72,$A760+1))),IF($A760&lt;$Q$699,MAX(0,-Assumptions!$B$22*(F760/INDEX(Surface_Engine!$B$12:$B$72,$A760+1))),0)))^2+(MAX(0,J760/INDEX(Surface_Engine!$B$12:$B$72,$A760+1)-(F760/INDEX(Surface_Engine!$B$12:$B$72,$A760+1))))^2+2*Assumptions!$B$26*(IF(C760&lt;=0,0,MAX(0,(B760/C760)*G760/INDEX(Surface_Engine!$B$12:$B$72,$A760+1)-F760/INDEX(Surface_Engine!$B$12:$B$72,$A760+1))))*(MAX(IF(D760&lt;=0,0,MAX(0,(B760/D760)*H760/INDEX(Surface_Engine!$B$12:$B$72,$A760+1)-F760/INDEX(Surface_Engine!$B$12:$B$72,$A760+1))),IF(E760&lt;=0,0,MAX(0,(B760/E760)*I760/INDEX(Surface_Engine!$B$12:$B$72,$A760+1)-F760/INDEX(Surface_Engine!$B$12:$B$72,$A760+1))),IF($A760&lt;$Q$699,MAX(0,-Assumptions!$B$22*(F760/INDEX(Surface_Engine!$B$12:$B$72,$A760+1))),0)))+2*Assumptions!$B$27*(IF(C760&lt;=0,0,MAX(0,(B760/C760)*G760/INDEX(Surface_Engine!$B$12:$B$72,$A760+1)-F760/INDEX(Surface_Engine!$B$12:$B$72,$A760+1))))*(MAX(0,J760/INDEX(Surface_Engine!$B$12:$B$72,$A760+1)-(F760/INDEX(Surface_Engine!$B$12:$B$72,$A760+1))))+2*Assumptions!$B$28*(MAX(IF(D760&lt;=0,0,MAX(0,(B760/D760)*H760/INDEX(Surface_Engine!$B$12:$B$72,$A760+1)-F760/INDEX(Surface_Engine!$B$12:$B$72,$A760+1))),IF(E760&lt;=0,0,MAX(0,(B760/E760)*I760/INDEX(Surface_Engine!$B$12:$B$72,$A760+1)-F760/INDEX(Surface_Engine!$B$12:$B$72,$A760+1))),IF($A760&lt;$Q$699,MAX(0,-Assumptions!$B$22*(F760/INDEX(Surface_Engine!$B$12:$B$72,$A760+1))),0)))*(MAX(0,J760/INDEX(Surface_Engine!$B$12:$B$72,$A760+1)-(F760/INDEX(Surface_Engine!$B$12:$B$72,$A760+1)))))</f>
        <v>0</v>
      </c>
      <c r="L760" s="48" t="n">
        <f aca="false">K760*INDEX(Surface_Engine!$B$12:$B$72,$A760+1)+L761</f>
        <v>0</v>
      </c>
      <c r="M760" s="48" t="n">
        <f aca="false">M759+B759*(IF($A759&lt;$Q$699,(Surface_Engine!Q241*12)-(Surface_Engine!Q241*12)*INDEX(Surface_Engine!$F$12:$F$72,$A759+1)-INDEX(Surface_Engine!$D$12:$D$72,$A759+1),-(1000*12*INDEX(Surface_Engine!$C$12:$C$72,$A759+1)/(1+Assumptions!$B$10)^25+INDEX(Surface_Engine!$D$12:$D$72,$A759+1))))*INDEX(Surface_Engine!$B$12:$B$72,$A759+1)</f>
        <v>523.224859513422</v>
      </c>
      <c r="N760" s="12" t="n">
        <f aca="false">IF(B760&lt;=0,0,MAX(0,(K760+Assumptions!$B$29*L760/INDEX(Surface_Engine!$B$12:$B$72,$A760+1)-(M760/INDEX(Surface_Engine!$B$12:$B$72,$A760+1)-(F760/INDEX(Surface_Engine!$B$12:$B$72,$A760+1))))/B760))</f>
        <v>0</v>
      </c>
    </row>
    <row r="761" customFormat="false" ht="15" hidden="false" customHeight="true" outlineLevel="0" collapsed="false">
      <c r="A761" s="1" t="n">
        <v>60</v>
      </c>
      <c r="B761" s="32" t="n">
        <f aca="false">INDEX(Surface_Engine!$L$12:$L$72,$A761+1)*IF($A761&lt;$Q$699,INDEX(Surface_Engine!$E$12:$E$72,$A761+1),INDEX(Surface_Engine!$E$12:$E$72,$Q$699+1))</f>
        <v>0</v>
      </c>
      <c r="C761" s="32" t="n">
        <f aca="false">INDEX(Panel_Reserving!$D$8:$D$68,$A761+1)*IF($A761&lt;$Q$699,INDEX(Surface_Engine!$E$12:$E$72,$A761+1),INDEX(Surface_Engine!$E$12:$E$72,$Q$699+1))</f>
        <v>0</v>
      </c>
      <c r="D761" s="32" t="n">
        <f aca="false">INDEX(Surface_Engine!$L$12:$L$72,$A761+1)*IF($A761&lt;$Q$699,INDEX(Surface_Engine!$Y$12:$Y$72,$A761+1),INDEX(Surface_Engine!$Y$12:$Y$72,$Q$699+1))</f>
        <v>0</v>
      </c>
      <c r="E761" s="32" t="n">
        <f aca="false">INDEX(Surface_Engine!$L$12:$L$72,$A761+1)*IF($A761&lt;$Q$699,INDEX(Surface_Engine!$Z$12:$Z$72,$A761+1),INDEX(Surface_Engine!$Z$12:$Z$72,$Q$699+1))</f>
        <v>0</v>
      </c>
      <c r="F761" s="48" t="n">
        <f aca="false">B761*(IF($A761&lt;$Q$699,INDEX(Surface_Engine!$D$12:$D$72,$A761+1)+(Surface_Engine!Q241*12)*INDEX(Surface_Engine!$F$12:$F$72,$A761+1)-(Surface_Engine!Q241*12),1000*12*INDEX(Surface_Engine!$C$12:$C$72,$A761+1)/(1+Assumptions!$B$10)^25+INDEX(Surface_Engine!$D$12:$D$72,$A761+1)))*INDEX(Surface_Engine!$B$12:$B$72,$A761+1)</f>
        <v>0</v>
      </c>
      <c r="G761" s="48" t="n">
        <f aca="false">C761*(IF($A761&lt;$Q$699,INDEX(Surface_Engine!$D$12:$D$72,$A761+1)+(Surface_Engine!Q241*12)*INDEX(Surface_Engine!$F$12:$F$72,$A761+1)-(Surface_Engine!Q241*12),1000*12*INDEX(Surface_Engine!$C$12:$C$72,$A761+1)/(1+Assumptions!$B$10)^25+INDEX(Surface_Engine!$D$12:$D$72,$A761+1)))*INDEX(Surface_Engine!$B$12:$B$72,$A761+1)</f>
        <v>0</v>
      </c>
      <c r="H761" s="48" t="n">
        <f aca="false">D761*(IF($A761&lt;$Q$699,INDEX(Surface_Engine!$D$12:$D$72,$A761+1)+(Surface_Engine!Q241*12)*INDEX(Surface_Engine!$F$12:$F$72,$A761+1)-(Surface_Engine!Q241*12),1000*12*INDEX(Surface_Engine!$C$12:$C$72,$A761+1)/(1+Assumptions!$B$10)^25+INDEX(Surface_Engine!$D$12:$D$72,$A761+1)))*INDEX(Surface_Engine!$B$12:$B$72,$A761+1)</f>
        <v>0</v>
      </c>
      <c r="I761" s="48" t="n">
        <f aca="false">E761*(IF($A761&lt;$Q$699,INDEX(Surface_Engine!$D$12:$D$72,$A761+1)+(Surface_Engine!Q241*12)*INDEX(Surface_Engine!$F$12:$F$72,$A761+1)-(Surface_Engine!Q241*12),1000*12*INDEX(Surface_Engine!$C$12:$C$72,$A761+1)/(1+Assumptions!$B$10)^25+INDEX(Surface_Engine!$D$12:$D$72,$A761+1)))*INDEX(Surface_Engine!$B$12:$B$72,$A761+1)</f>
        <v>0</v>
      </c>
      <c r="J761" s="48" t="n">
        <f aca="false">B761*(IF($A761&lt;$Q$699,INDEX(Surface_Engine!$D$12:$D$72,$A761+1)*(1+Assumptions!$B$24)+(Surface_Engine!Q241*12)*INDEX(Surface_Engine!$F$12:$F$72,$A761+1)-(Surface_Engine!Q241*12),1000*12*INDEX(Surface_Engine!$C$12:$C$72,$A761+1)/(1+Assumptions!$B$10)^25+INDEX(Surface_Engine!$D$12:$D$72,$A761+1)*(1+Assumptions!$B$24)))*INDEX(Surface_Engine!$B$12:$B$72,$A761+1)</f>
        <v>0</v>
      </c>
      <c r="K761" s="12" t="n">
        <f aca="false">SQRT((IF(C761&lt;=0,0,MAX(0,(B761/C761)*G761/INDEX(Surface_Engine!$B$12:$B$72,$A761+1)-F761/INDEX(Surface_Engine!$B$12:$B$72,$A761+1))))^2+(MAX(IF(D761&lt;=0,0,MAX(0,(B761/D761)*H761/INDEX(Surface_Engine!$B$12:$B$72,$A761+1)-F761/INDEX(Surface_Engine!$B$12:$B$72,$A761+1))),IF(E761&lt;=0,0,MAX(0,(B761/E761)*I761/INDEX(Surface_Engine!$B$12:$B$72,$A761+1)-F761/INDEX(Surface_Engine!$B$12:$B$72,$A761+1))),IF($A761&lt;$Q$699,MAX(0,-Assumptions!$B$22*(F761/INDEX(Surface_Engine!$B$12:$B$72,$A761+1))),0)))^2+(MAX(0,J761/INDEX(Surface_Engine!$B$12:$B$72,$A761+1)-(F761/INDEX(Surface_Engine!$B$12:$B$72,$A761+1))))^2+2*Assumptions!$B$26*(IF(C761&lt;=0,0,MAX(0,(B761/C761)*G761/INDEX(Surface_Engine!$B$12:$B$72,$A761+1)-F761/INDEX(Surface_Engine!$B$12:$B$72,$A761+1))))*(MAX(IF(D761&lt;=0,0,MAX(0,(B761/D761)*H761/INDEX(Surface_Engine!$B$12:$B$72,$A761+1)-F761/INDEX(Surface_Engine!$B$12:$B$72,$A761+1))),IF(E761&lt;=0,0,MAX(0,(B761/E761)*I761/INDEX(Surface_Engine!$B$12:$B$72,$A761+1)-F761/INDEX(Surface_Engine!$B$12:$B$72,$A761+1))),IF($A761&lt;$Q$699,MAX(0,-Assumptions!$B$22*(F761/INDEX(Surface_Engine!$B$12:$B$72,$A761+1))),0)))+2*Assumptions!$B$27*(IF(C761&lt;=0,0,MAX(0,(B761/C761)*G761/INDEX(Surface_Engine!$B$12:$B$72,$A761+1)-F761/INDEX(Surface_Engine!$B$12:$B$72,$A761+1))))*(MAX(0,J761/INDEX(Surface_Engine!$B$12:$B$72,$A761+1)-(F761/INDEX(Surface_Engine!$B$12:$B$72,$A761+1))))+2*Assumptions!$B$28*(MAX(IF(D761&lt;=0,0,MAX(0,(B761/D761)*H761/INDEX(Surface_Engine!$B$12:$B$72,$A761+1)-F761/INDEX(Surface_Engine!$B$12:$B$72,$A761+1))),IF(E761&lt;=0,0,MAX(0,(B761/E761)*I761/INDEX(Surface_Engine!$B$12:$B$72,$A761+1)-F761/INDEX(Surface_Engine!$B$12:$B$72,$A761+1))),IF($A761&lt;$Q$699,MAX(0,-Assumptions!$B$22*(F761/INDEX(Surface_Engine!$B$12:$B$72,$A761+1))),0)))*(MAX(0,J761/INDEX(Surface_Engine!$B$12:$B$72,$A761+1)-(F761/INDEX(Surface_Engine!$B$12:$B$72,$A761+1)))))</f>
        <v>0</v>
      </c>
      <c r="L761" s="48" t="n">
        <f aca="false">K761*INDEX(Surface_Engine!$B$12:$B$72,$A761+1)</f>
        <v>0</v>
      </c>
      <c r="M761" s="48" t="n">
        <f aca="false">M760+B760*(IF($A760&lt;$Q$699,(Surface_Engine!Q241*12)-(Surface_Engine!Q241*12)*INDEX(Surface_Engine!$F$12:$F$72,$A760+1)-INDEX(Surface_Engine!$D$12:$D$72,$A760+1),-(1000*12*INDEX(Surface_Engine!$C$12:$C$72,$A760+1)/(1+Assumptions!$B$10)^25+INDEX(Surface_Engine!$D$12:$D$72,$A760+1))))*INDEX(Surface_Engine!$B$12:$B$72,$A760+1)</f>
        <v>523.224859513422</v>
      </c>
      <c r="N761" s="12" t="n">
        <f aca="false">IF(B761&lt;=0,0,MAX(0,(K761+Assumptions!$B$29*L761/INDEX(Surface_Engine!$B$12:$B$72,$A761+1)-(M761/INDEX(Surface_Engine!$B$12:$B$72,$A761+1)-(F761/INDEX(Surface_Engine!$B$12:$B$72,$A761+1))))/B761))</f>
        <v>0</v>
      </c>
    </row>
    <row r="762" customFormat="false" ht="15" hidden="false" customHeight="true" outlineLevel="0" collapsed="false">
      <c r="A762" s="4" t="str">
        <f aca="false">"entry "&amp;O762&amp;" / vesting "&amp;P762&amp;"   deferral "&amp;Q762</f>
        <v>entry 68 / vesting 75   deferral 7</v>
      </c>
      <c r="C762" s="49" t="n">
        <f aca="false">MAX(N701:N761)</f>
        <v>15053.6181230651</v>
      </c>
      <c r="E762" s="7" t="s">
        <v>1634</v>
      </c>
      <c r="G762" s="21" t="n">
        <f aca="false">INDEX(A701:A761,MATCH(C762,N701:N761,0))</f>
        <v>21</v>
      </c>
      <c r="J762" s="7" t="s">
        <v>1624</v>
      </c>
      <c r="K762" s="50" t="n">
        <f aca="false">Surface_Engine!B244</f>
        <v>2178.37578671181</v>
      </c>
      <c r="O762" s="1" t="n">
        <f aca="false">A1717</f>
        <v>68</v>
      </c>
      <c r="P762" s="76" t="n">
        <f aca="false">B$1713</f>
        <v>75</v>
      </c>
      <c r="Q762" s="1" t="n">
        <f aca="false">P762-O762</f>
        <v>7</v>
      </c>
    </row>
    <row r="763" customFormat="false" ht="15" hidden="false" customHeight="true" outlineLevel="0" collapsed="false">
      <c r="A763" s="8" t="s">
        <v>802</v>
      </c>
      <c r="B763" s="8" t="s">
        <v>1584</v>
      </c>
      <c r="C763" s="8" t="s">
        <v>1585</v>
      </c>
      <c r="D763" s="8" t="s">
        <v>1587</v>
      </c>
      <c r="E763" s="8" t="s">
        <v>1588</v>
      </c>
      <c r="F763" s="8" t="s">
        <v>1625</v>
      </c>
      <c r="G763" s="8" t="s">
        <v>1626</v>
      </c>
      <c r="H763" s="8" t="s">
        <v>1627</v>
      </c>
      <c r="I763" s="8" t="s">
        <v>1628</v>
      </c>
      <c r="J763" s="8" t="s">
        <v>1629</v>
      </c>
      <c r="K763" s="8" t="s">
        <v>812</v>
      </c>
      <c r="L763" s="8" t="s">
        <v>1630</v>
      </c>
      <c r="M763" s="8" t="s">
        <v>341</v>
      </c>
      <c r="N763" s="8" t="s">
        <v>1631</v>
      </c>
      <c r="O763" s="1" t="s">
        <v>1544</v>
      </c>
      <c r="P763" s="1" t="s">
        <v>1632</v>
      </c>
      <c r="Q763" s="1" t="s">
        <v>1633</v>
      </c>
    </row>
    <row r="764" customFormat="false" ht="15" hidden="false" customHeight="true" outlineLevel="0" collapsed="false">
      <c r="A764" s="1" t="n">
        <v>0</v>
      </c>
      <c r="B764" s="32" t="n">
        <f aca="false">INDEX(Surface_Engine!$O$12:$O$72,$A764+1)*IF($A764&lt;$Q$762,INDEX(Surface_Engine!$E$12:$E$72,$A764+1),INDEX(Surface_Engine!$E$12:$E$72,$Q$762+1))</f>
        <v>1</v>
      </c>
      <c r="C764" s="32" t="n">
        <f aca="false">INDEX(Panel_Reserving!$E$8:$E$68,$A764+1)*IF($A764&lt;$Q$762,INDEX(Surface_Engine!$E$12:$E$72,$A764+1),INDEX(Surface_Engine!$E$12:$E$72,$Q$762+1))</f>
        <v>1</v>
      </c>
      <c r="D764" s="32" t="n">
        <f aca="false">INDEX(Surface_Engine!$O$12:$O$72,$A764+1)*IF($A764&lt;$Q$762,INDEX(Surface_Engine!$Y$12:$Y$72,$A764+1),INDEX(Surface_Engine!$Y$12:$Y$72,$Q$762+1))</f>
        <v>1</v>
      </c>
      <c r="E764" s="32" t="n">
        <f aca="false">INDEX(Surface_Engine!$O$12:$O$72,$A764+1)*IF($A764&lt;$Q$762,INDEX(Surface_Engine!$Z$12:$Z$72,$A764+1),INDEX(Surface_Engine!$Z$12:$Z$72,$Q$762+1))</f>
        <v>1</v>
      </c>
      <c r="F764" s="48" t="n">
        <f aca="false">B764*(IF($A764&lt;$Q$762,INDEX(Surface_Engine!$D$12:$D$72,$A764+1)+(Surface_Engine!B244*12)*INDEX(Surface_Engine!$F$12:$F$72,$A764+1)-(Surface_Engine!B244*12),1000*12*INDEX(Surface_Engine!$C$12:$C$72,$A764+1)/(1+Assumptions!$B$10)^7+INDEX(Surface_Engine!$D$12:$D$72,$A764+1)))*INDEX(Surface_Engine!$B$12:$B$72,$A764+1)+F765</f>
        <v>-4636.91003243356</v>
      </c>
      <c r="G764" s="48" t="n">
        <f aca="false">C764*(IF($A764&lt;$Q$762,INDEX(Surface_Engine!$D$12:$D$72,$A764+1)+(Surface_Engine!B244*12)*INDEX(Surface_Engine!$F$12:$F$72,$A764+1)-(Surface_Engine!B244*12),1000*12*INDEX(Surface_Engine!$C$12:$C$72,$A764+1)/(1+Assumptions!$B$10)^7+INDEX(Surface_Engine!$D$12:$D$72,$A764+1)))*INDEX(Surface_Engine!$B$12:$B$72,$A764+1)+G765</f>
        <v>7094.73616606911</v>
      </c>
      <c r="H764" s="48" t="n">
        <f aca="false">D764*(IF($A764&lt;$Q$762,INDEX(Surface_Engine!$D$12:$D$72,$A764+1)+(Surface_Engine!B244*12)*INDEX(Surface_Engine!$F$12:$F$72,$A764+1)-(Surface_Engine!B244*12),1000*12*INDEX(Surface_Engine!$C$12:$C$72,$A764+1)/(1+Assumptions!$B$10)^7+INDEX(Surface_Engine!$D$12:$D$72,$A764+1)))*INDEX(Surface_Engine!$B$12:$B$72,$A764+1)+H765</f>
        <v>-6844.6358811337</v>
      </c>
      <c r="I764" s="48" t="n">
        <f aca="false">E764*(IF($A764&lt;$Q$762,INDEX(Surface_Engine!$D$12:$D$72,$A764+1)+(Surface_Engine!B244*12)*INDEX(Surface_Engine!$F$12:$F$72,$A764+1)-(Surface_Engine!B244*12),1000*12*INDEX(Surface_Engine!$C$12:$C$72,$A764+1)/(1+Assumptions!$B$10)^7+INDEX(Surface_Engine!$D$12:$D$72,$A764+1)))*INDEX(Surface_Engine!$B$12:$B$72,$A764+1)+I765</f>
        <v>-2212.81289292569</v>
      </c>
      <c r="J764" s="48" t="n">
        <f aca="false">B764*(IF($A764&lt;$Q$762,INDEX(Surface_Engine!$D$12:$D$72,$A764+1)*(1+Assumptions!$B$24)+(Surface_Engine!B244*12)*INDEX(Surface_Engine!$F$12:$F$72,$A764+1)-(Surface_Engine!B244*12),1000*12*INDEX(Surface_Engine!$C$12:$C$72,$A764+1)/(1+Assumptions!$B$10)^7+INDEX(Surface_Engine!$D$12:$D$72,$A764+1)*(1+Assumptions!$B$24)))*INDEX(Surface_Engine!$B$12:$B$72,$A764+1)+J765</f>
        <v>-4486.69815349277</v>
      </c>
      <c r="K764" s="12" t="n">
        <f aca="false">SQRT((IF(C764&lt;=0,0,MAX(0,(B764/C764)*G764/INDEX(Surface_Engine!$B$12:$B$72,$A764+1)-F764/INDEX(Surface_Engine!$B$12:$B$72,$A764+1))))^2+(MAX(IF(D764&lt;=0,0,MAX(0,(B764/D764)*H764/INDEX(Surface_Engine!$B$12:$B$72,$A764+1)-F764/INDEX(Surface_Engine!$B$12:$B$72,$A764+1))),IF(E764&lt;=0,0,MAX(0,(B764/E764)*I764/INDEX(Surface_Engine!$B$12:$B$72,$A764+1)-F764/INDEX(Surface_Engine!$B$12:$B$72,$A764+1))),IF($A764&lt;$Q$762,MAX(0,-Assumptions!$B$22*(F764/INDEX(Surface_Engine!$B$12:$B$72,$A764+1))),0)))^2+(MAX(0,J764/INDEX(Surface_Engine!$B$12:$B$72,$A764+1)-(F764/INDEX(Surface_Engine!$B$12:$B$72,$A764+1))))^2+2*Assumptions!$B$26*(IF(C764&lt;=0,0,MAX(0,(B764/C764)*G764/INDEX(Surface_Engine!$B$12:$B$72,$A764+1)-F764/INDEX(Surface_Engine!$B$12:$B$72,$A764+1))))*(MAX(IF(D764&lt;=0,0,MAX(0,(B764/D764)*H764/INDEX(Surface_Engine!$B$12:$B$72,$A764+1)-F764/INDEX(Surface_Engine!$B$12:$B$72,$A764+1))),IF(E764&lt;=0,0,MAX(0,(B764/E764)*I764/INDEX(Surface_Engine!$B$12:$B$72,$A764+1)-F764/INDEX(Surface_Engine!$B$12:$B$72,$A764+1))),IF($A764&lt;$Q$762,MAX(0,-Assumptions!$B$22*(F764/INDEX(Surface_Engine!$B$12:$B$72,$A764+1))),0)))+2*Assumptions!$B$27*(IF(C764&lt;=0,0,MAX(0,(B764/C764)*G764/INDEX(Surface_Engine!$B$12:$B$72,$A764+1)-F764/INDEX(Surface_Engine!$B$12:$B$72,$A764+1))))*(MAX(0,J764/INDEX(Surface_Engine!$B$12:$B$72,$A764+1)-(F764/INDEX(Surface_Engine!$B$12:$B$72,$A764+1))))+2*Assumptions!$B$28*(MAX(IF(D764&lt;=0,0,MAX(0,(B764/D764)*H764/INDEX(Surface_Engine!$B$12:$B$72,$A764+1)-F764/INDEX(Surface_Engine!$B$12:$B$72,$A764+1))),IF(E764&lt;=0,0,MAX(0,(B764/E764)*I764/INDEX(Surface_Engine!$B$12:$B$72,$A764+1)-F764/INDEX(Surface_Engine!$B$12:$B$72,$A764+1))),IF($A764&lt;$Q$762,MAX(0,-Assumptions!$B$22*(F764/INDEX(Surface_Engine!$B$12:$B$72,$A764+1))),0)))*(MAX(0,J764/INDEX(Surface_Engine!$B$12:$B$72,$A764+1)-(F764/INDEX(Surface_Engine!$B$12:$B$72,$A764+1)))))</f>
        <v>12609.3180849828</v>
      </c>
      <c r="L764" s="48" t="n">
        <f aca="false">K764*INDEX(Surface_Engine!$B$12:$B$72,$A764+1)+L765</f>
        <v>218738.84339665</v>
      </c>
      <c r="M764" s="48" t="n">
        <v>0</v>
      </c>
      <c r="N764" s="12" t="n">
        <f aca="false">IF(B764&lt;=0,0,MAX(0,(K764+Assumptions!$B$29*L764/INDEX(Surface_Engine!$B$12:$B$72,$A764+1)-(M764/INDEX(Surface_Engine!$B$12:$B$72,$A764+1)-(F764/INDEX(Surface_Engine!$B$12:$B$72,$A764+1))))/B764))</f>
        <v>21096.7386563483</v>
      </c>
    </row>
    <row r="765" customFormat="false" ht="15" hidden="false" customHeight="true" outlineLevel="0" collapsed="false">
      <c r="A765" s="1" t="n">
        <v>1</v>
      </c>
      <c r="B765" s="32" t="n">
        <f aca="false">INDEX(Surface_Engine!$O$12:$O$72,$A765+1)*IF($A765&lt;$Q$762,INDEX(Surface_Engine!$E$12:$E$72,$A765+1),INDEX(Surface_Engine!$E$12:$E$72,$Q$762+1))</f>
        <v>0.952496634911626</v>
      </c>
      <c r="C765" s="32" t="n">
        <f aca="false">INDEX(Panel_Reserving!$E$8:$E$68,$A765+1)*IF($A765&lt;$Q$762,INDEX(Surface_Engine!$E$12:$E$72,$A765+1),INDEX(Surface_Engine!$E$12:$E$72,$Q$762+1))</f>
        <v>0.953877307929301</v>
      </c>
      <c r="D765" s="32" t="n">
        <f aca="false">INDEX(Surface_Engine!$O$12:$O$72,$A765+1)*IF($A765&lt;$Q$762,INDEX(Surface_Engine!$Y$12:$Y$72,$A765+1),INDEX(Surface_Engine!$Y$12:$Y$72,$Q$762+1))</f>
        <v>0.932342703612161</v>
      </c>
      <c r="E765" s="32" t="n">
        <f aca="false">INDEX(Surface_Engine!$O$12:$O$72,$A765+1)*IF($A765&lt;$Q$762,INDEX(Surface_Engine!$Z$12:$Z$72,$A765+1),INDEX(Surface_Engine!$Z$12:$Z$72,$Q$762+1))</f>
        <v>0.97265056621109</v>
      </c>
      <c r="F765" s="48" t="n">
        <f aca="false">B765*(IF($A765&lt;$Q$762,INDEX(Surface_Engine!$D$12:$D$72,$A765+1)+(Surface_Engine!B244*12)*INDEX(Surface_Engine!$F$12:$F$72,$A765+1)-(Surface_Engine!B244*12),1000*12*INDEX(Surface_Engine!$C$12:$C$72,$A765+1)/(1+Assumptions!$B$10)^7+INDEX(Surface_Engine!$D$12:$D$72,$A765+1)))*INDEX(Surface_Engine!$B$12:$B$72,$A765+1)+F766</f>
        <v>-4718.91003243356</v>
      </c>
      <c r="G765" s="48" t="n">
        <f aca="false">C765*(IF($A765&lt;$Q$762,INDEX(Surface_Engine!$D$12:$D$72,$A765+1)+(Surface_Engine!B244*12)*INDEX(Surface_Engine!$F$12:$F$72,$A765+1)-(Surface_Engine!B244*12),1000*12*INDEX(Surface_Engine!$C$12:$C$72,$A765+1)/(1+Assumptions!$B$10)^7+INDEX(Surface_Engine!$D$12:$D$72,$A765+1)))*INDEX(Surface_Engine!$B$12:$B$72,$A765+1)+G766</f>
        <v>7012.73616606911</v>
      </c>
      <c r="H765" s="48" t="n">
        <f aca="false">D765*(IF($A765&lt;$Q$762,INDEX(Surface_Engine!$D$12:$D$72,$A765+1)+(Surface_Engine!B244*12)*INDEX(Surface_Engine!$F$12:$F$72,$A765+1)-(Surface_Engine!B244*12),1000*12*INDEX(Surface_Engine!$C$12:$C$72,$A765+1)/(1+Assumptions!$B$10)^7+INDEX(Surface_Engine!$D$12:$D$72,$A765+1)))*INDEX(Surface_Engine!$B$12:$B$72,$A765+1)+H766</f>
        <v>-6926.6358811337</v>
      </c>
      <c r="I765" s="48" t="n">
        <f aca="false">E765*(IF($A765&lt;$Q$762,INDEX(Surface_Engine!$D$12:$D$72,$A765+1)+(Surface_Engine!B244*12)*INDEX(Surface_Engine!$F$12:$F$72,$A765+1)-(Surface_Engine!B244*12),1000*12*INDEX(Surface_Engine!$C$12:$C$72,$A765+1)/(1+Assumptions!$B$10)^7+INDEX(Surface_Engine!$D$12:$D$72,$A765+1)))*INDEX(Surface_Engine!$B$12:$B$72,$A765+1)+I766</f>
        <v>-2294.81289292569</v>
      </c>
      <c r="J765" s="48" t="n">
        <f aca="false">B765*(IF($A765&lt;$Q$762,INDEX(Surface_Engine!$D$12:$D$72,$A765+1)*(1+Assumptions!$B$24)+(Surface_Engine!B244*12)*INDEX(Surface_Engine!$F$12:$F$72,$A765+1)-(Surface_Engine!B244*12),1000*12*INDEX(Surface_Engine!$C$12:$C$72,$A765+1)/(1+Assumptions!$B$10)^7+INDEX(Surface_Engine!$D$12:$D$72,$A765+1)*(1+Assumptions!$B$24)))*INDEX(Surface_Engine!$B$12:$B$72,$A765+1)+J766</f>
        <v>-4576.89815349277</v>
      </c>
      <c r="K765" s="12" t="n">
        <f aca="false">SQRT((IF(C765&lt;=0,0,MAX(0,(B765/C765)*G765/INDEX(Surface_Engine!$B$12:$B$72,$A765+1)-F765/INDEX(Surface_Engine!$B$12:$B$72,$A765+1))))^2+(MAX(IF(D765&lt;=0,0,MAX(0,(B765/D765)*H765/INDEX(Surface_Engine!$B$12:$B$72,$A765+1)-F765/INDEX(Surface_Engine!$B$12:$B$72,$A765+1))),IF(E765&lt;=0,0,MAX(0,(B765/E765)*I765/INDEX(Surface_Engine!$B$12:$B$72,$A765+1)-F765/INDEX(Surface_Engine!$B$12:$B$72,$A765+1))),IF($A765&lt;$Q$762,MAX(0,-Assumptions!$B$22*(F765/INDEX(Surface_Engine!$B$12:$B$72,$A765+1))),0)))^2+(MAX(0,J765/INDEX(Surface_Engine!$B$12:$B$72,$A765+1)-(F765/INDEX(Surface_Engine!$B$12:$B$72,$A765+1))))^2+2*Assumptions!$B$26*(IF(C765&lt;=0,0,MAX(0,(B765/C765)*G765/INDEX(Surface_Engine!$B$12:$B$72,$A765+1)-F765/INDEX(Surface_Engine!$B$12:$B$72,$A765+1))))*(MAX(IF(D765&lt;=0,0,MAX(0,(B765/D765)*H765/INDEX(Surface_Engine!$B$12:$B$72,$A765+1)-F765/INDEX(Surface_Engine!$B$12:$B$72,$A765+1))),IF(E765&lt;=0,0,MAX(0,(B765/E765)*I765/INDEX(Surface_Engine!$B$12:$B$72,$A765+1)-F765/INDEX(Surface_Engine!$B$12:$B$72,$A765+1))),IF($A765&lt;$Q$762,MAX(0,-Assumptions!$B$22*(F765/INDEX(Surface_Engine!$B$12:$B$72,$A765+1))),0)))+2*Assumptions!$B$27*(IF(C765&lt;=0,0,MAX(0,(B765/C765)*G765/INDEX(Surface_Engine!$B$12:$B$72,$A765+1)-F765/INDEX(Surface_Engine!$B$12:$B$72,$A765+1))))*(MAX(0,J765/INDEX(Surface_Engine!$B$12:$B$72,$A765+1)-(F765/INDEX(Surface_Engine!$B$12:$B$72,$A765+1))))+2*Assumptions!$B$28*(MAX(IF(D765&lt;=0,0,MAX(0,(B765/D765)*H765/INDEX(Surface_Engine!$B$12:$B$72,$A765+1)-F765/INDEX(Surface_Engine!$B$12:$B$72,$A765+1))),IF(E765&lt;=0,0,MAX(0,(B765/E765)*I765/INDEX(Surface_Engine!$B$12:$B$72,$A765+1)-F765/INDEX(Surface_Engine!$B$12:$B$72,$A765+1))),IF($A765&lt;$Q$762,MAX(0,-Assumptions!$B$22*(F765/INDEX(Surface_Engine!$B$12:$B$72,$A765+1))),0)))*(MAX(0,J765/INDEX(Surface_Engine!$B$12:$B$72,$A765+1)-(F765/INDEX(Surface_Engine!$B$12:$B$72,$A765+1)))))</f>
        <v>12944.6584657359</v>
      </c>
      <c r="L765" s="48" t="n">
        <f aca="false">K765*INDEX(Surface_Engine!$B$12:$B$72,$A765+1)+L766</f>
        <v>206129.525311667</v>
      </c>
      <c r="M765" s="48" t="n">
        <f aca="false">M764+B764*(IF($A764&lt;$Q$762,(Surface_Engine!B244*12)-(Surface_Engine!B244*12)*INDEX(Surface_Engine!$F$12:$F$72,$A764+1)-INDEX(Surface_Engine!$D$12:$D$72,$A764+1),-(1000*12*INDEX(Surface_Engine!$C$12:$C$72,$A764+1)/(1+Assumptions!$B$10)^7+INDEX(Surface_Engine!$D$12:$D$72,$A764+1))))*INDEX(Surface_Engine!$B$12:$B$72,$A764+1)</f>
        <v>-82</v>
      </c>
      <c r="N765" s="12" t="n">
        <f aca="false">IF(B765&lt;=0,0,MAX(0,(K765+Assumptions!$B$29*L765/INDEX(Surface_Engine!$B$12:$B$72,$A765+1)-(M765/INDEX(Surface_Engine!$B$12:$B$72,$A765+1)-(F765/INDEX(Surface_Engine!$B$12:$B$72,$A765+1))))/B765))</f>
        <v>21917.3615433536</v>
      </c>
    </row>
    <row r="766" customFormat="false" ht="15" hidden="false" customHeight="true" outlineLevel="0" collapsed="false">
      <c r="A766" s="1" t="n">
        <v>2</v>
      </c>
      <c r="B766" s="32" t="n">
        <f aca="false">INDEX(Surface_Engine!$O$12:$O$72,$A766+1)*IF($A766&lt;$Q$762,INDEX(Surface_Engine!$E$12:$E$72,$A766+1),INDEX(Surface_Engine!$E$12:$E$72,$Q$762+1))</f>
        <v>0.92448688269402</v>
      </c>
      <c r="C766" s="32" t="n">
        <f aca="false">INDEX(Panel_Reserving!$E$8:$E$68,$A766+1)*IF($A766&lt;$Q$762,INDEX(Surface_Engine!$E$12:$E$72,$A766+1),INDEX(Surface_Engine!$E$12:$E$72,$Q$762+1))</f>
        <v>0.927297197844477</v>
      </c>
      <c r="D766" s="32" t="n">
        <f aca="false">INDEX(Surface_Engine!$O$12:$O$72,$A766+1)*IF($A766&lt;$Q$762,INDEX(Surface_Engine!$Y$12:$Y$72,$A766+1),INDEX(Surface_Engine!$Y$12:$Y$72,$Q$762+1))</f>
        <v>0.894889382305423</v>
      </c>
      <c r="E766" s="32" t="n">
        <f aca="false">INDEX(Surface_Engine!$O$12:$O$72,$A766+1)*IF($A766&lt;$Q$762,INDEX(Surface_Engine!$Z$12:$Z$72,$A766+1),INDEX(Surface_Engine!$Z$12:$Z$72,$Q$762+1))</f>
        <v>0.954518278194512</v>
      </c>
      <c r="F766" s="48" t="n">
        <f aca="false">B766*(IF($A766&lt;$Q$762,INDEX(Surface_Engine!$D$12:$D$72,$A766+1)+(Surface_Engine!B244*12)*INDEX(Surface_Engine!$F$12:$F$72,$A766+1)-(Surface_Engine!B244*12),1000*12*INDEX(Surface_Engine!$C$12:$C$72,$A766+1)/(1+Assumptions!$B$10)^7+INDEX(Surface_Engine!$D$12:$D$72,$A766+1)))*INDEX(Surface_Engine!$B$12:$B$72,$A766+1)+F767</f>
        <v>18258.3527955301</v>
      </c>
      <c r="G766" s="48" t="n">
        <f aca="false">C766*(IF($A766&lt;$Q$762,INDEX(Surface_Engine!$D$12:$D$72,$A766+1)+(Surface_Engine!B244*12)*INDEX(Surface_Engine!$F$12:$F$72,$A766+1)-(Surface_Engine!B244*12),1000*12*INDEX(Surface_Engine!$C$12:$C$72,$A766+1)/(1+Assumptions!$B$10)^7+INDEX(Surface_Engine!$D$12:$D$72,$A766+1)))*INDEX(Surface_Engine!$B$12:$B$72,$A766+1)+G767</f>
        <v>30023.3052395814</v>
      </c>
      <c r="H766" s="48" t="n">
        <f aca="false">D766*(IF($A766&lt;$Q$762,INDEX(Surface_Engine!$D$12:$D$72,$A766+1)+(Surface_Engine!B244*12)*INDEX(Surface_Engine!$F$12:$F$72,$A766+1)-(Surface_Engine!B244*12),1000*12*INDEX(Surface_Engine!$C$12:$C$72,$A766+1)/(1+Assumptions!$B$10)^7+INDEX(Surface_Engine!$D$12:$D$72,$A766+1)))*INDEX(Surface_Engine!$B$12:$B$72,$A766+1)+H767</f>
        <v>15564.4497158443</v>
      </c>
      <c r="I766" s="48" t="n">
        <f aca="false">E766*(IF($A766&lt;$Q$762,INDEX(Surface_Engine!$D$12:$D$72,$A766+1)+(Surface_Engine!B244*12)*INDEX(Surface_Engine!$F$12:$F$72,$A766+1)-(Surface_Engine!B244*12),1000*12*INDEX(Surface_Engine!$C$12:$C$72,$A766+1)/(1+Assumptions!$B$10)^7+INDEX(Surface_Engine!$D$12:$D$72,$A766+1)))*INDEX(Surface_Engine!$B$12:$B$72,$A766+1)+I767</f>
        <v>21168.6271660237</v>
      </c>
      <c r="J766" s="48" t="n">
        <f aca="false">B766*(IF($A766&lt;$Q$762,INDEX(Surface_Engine!$D$12:$D$72,$A766+1)*(1+Assumptions!$B$24)+(Surface_Engine!B244*12)*INDEX(Surface_Engine!$F$12:$F$72,$A766+1)-(Surface_Engine!B244*12),1000*12*INDEX(Surface_Engine!$C$12:$C$72,$A766+1)/(1+Assumptions!$B$10)^7+INDEX(Surface_Engine!$D$12:$D$72,$A766+1)*(1+Assumptions!$B$24)))*INDEX(Surface_Engine!$B$12:$B$72,$A766+1)+J767</f>
        <v>18392.5615103939</v>
      </c>
      <c r="K766" s="12" t="n">
        <f aca="false">SQRT((IF(C766&lt;=0,0,MAX(0,(B766/C766)*G766/INDEX(Surface_Engine!$B$12:$B$72,$A766+1)-F766/INDEX(Surface_Engine!$B$12:$B$72,$A766+1))))^2+(MAX(IF(D766&lt;=0,0,MAX(0,(B766/D766)*H766/INDEX(Surface_Engine!$B$12:$B$72,$A766+1)-F766/INDEX(Surface_Engine!$B$12:$B$72,$A766+1))),IF(E766&lt;=0,0,MAX(0,(B766/E766)*I766/INDEX(Surface_Engine!$B$12:$B$72,$A766+1)-F766/INDEX(Surface_Engine!$B$12:$B$72,$A766+1))),IF($A766&lt;$Q$762,MAX(0,-Assumptions!$B$22*(F766/INDEX(Surface_Engine!$B$12:$B$72,$A766+1))),0)))^2+(MAX(0,J766/INDEX(Surface_Engine!$B$12:$B$72,$A766+1)-(F766/INDEX(Surface_Engine!$B$12:$B$72,$A766+1))))^2+2*Assumptions!$B$26*(IF(C766&lt;=0,0,MAX(0,(B766/C766)*G766/INDEX(Surface_Engine!$B$12:$B$72,$A766+1)-F766/INDEX(Surface_Engine!$B$12:$B$72,$A766+1))))*(MAX(IF(D766&lt;=0,0,MAX(0,(B766/D766)*H766/INDEX(Surface_Engine!$B$12:$B$72,$A766+1)-F766/INDEX(Surface_Engine!$B$12:$B$72,$A766+1))),IF(E766&lt;=0,0,MAX(0,(B766/E766)*I766/INDEX(Surface_Engine!$B$12:$B$72,$A766+1)-F766/INDEX(Surface_Engine!$B$12:$B$72,$A766+1))),IF($A766&lt;$Q$762,MAX(0,-Assumptions!$B$22*(F766/INDEX(Surface_Engine!$B$12:$B$72,$A766+1))),0)))+2*Assumptions!$B$27*(IF(C766&lt;=0,0,MAX(0,(B766/C766)*G766/INDEX(Surface_Engine!$B$12:$B$72,$A766+1)-F766/INDEX(Surface_Engine!$B$12:$B$72,$A766+1))))*(MAX(0,J766/INDEX(Surface_Engine!$B$12:$B$72,$A766+1)-(F766/INDEX(Surface_Engine!$B$12:$B$72,$A766+1))))+2*Assumptions!$B$28*(MAX(IF(D766&lt;=0,0,MAX(0,(B766/D766)*H766/INDEX(Surface_Engine!$B$12:$B$72,$A766+1)-F766/INDEX(Surface_Engine!$B$12:$B$72,$A766+1))),IF(E766&lt;=0,0,MAX(0,(B766/E766)*I766/INDEX(Surface_Engine!$B$12:$B$72,$A766+1)-F766/INDEX(Surface_Engine!$B$12:$B$72,$A766+1))),IF($A766&lt;$Q$762,MAX(0,-Assumptions!$B$22*(F766/INDEX(Surface_Engine!$B$12:$B$72,$A766+1))),0)))*(MAX(0,J766/INDEX(Surface_Engine!$B$12:$B$72,$A766+1)-(F766/INDEX(Surface_Engine!$B$12:$B$72,$A766+1)))))</f>
        <v>13134.3461711957</v>
      </c>
      <c r="L766" s="48" t="n">
        <f aca="false">K766*INDEX(Surface_Engine!$B$12:$B$72,$A766+1)+L767</f>
        <v>193512.407231298</v>
      </c>
      <c r="M766" s="48" t="n">
        <f aca="false">M765+B765*(IF($A765&lt;$Q$762,(Surface_Engine!B244*12)-(Surface_Engine!B244*12)*INDEX(Surface_Engine!$F$12:$F$72,$A765+1)-INDEX(Surface_Engine!$D$12:$D$72,$A765+1),-(1000*12*INDEX(Surface_Engine!$C$12:$C$72,$A765+1)/(1+Assumptions!$B$10)^7+INDEX(Surface_Engine!$D$12:$D$72,$A765+1))))*INDEX(Surface_Engine!$B$12:$B$72,$A765+1)</f>
        <v>22895.2628279637</v>
      </c>
      <c r="N766" s="12" t="n">
        <f aca="false">IF(B766&lt;=0,0,MAX(0,(K766+Assumptions!$B$29*L766/INDEX(Surface_Engine!$B$12:$B$72,$A766+1)-(M766/INDEX(Surface_Engine!$B$12:$B$72,$A766+1)-(F766/INDEX(Surface_Engine!$B$12:$B$72,$A766+1))))/B766))</f>
        <v>22152.0237966531</v>
      </c>
    </row>
    <row r="767" customFormat="false" ht="15" hidden="false" customHeight="true" outlineLevel="0" collapsed="false">
      <c r="A767" s="1" t="n">
        <v>3</v>
      </c>
      <c r="B767" s="32" t="n">
        <f aca="false">INDEX(Surface_Engine!$O$12:$O$72,$A767+1)*IF($A767&lt;$Q$762,INDEX(Surface_Engine!$E$12:$E$72,$A767+1),INDEX(Surface_Engine!$E$12:$E$72,$Q$762+1))</f>
        <v>0.904008274691798</v>
      </c>
      <c r="C767" s="32" t="n">
        <f aca="false">INDEX(Panel_Reserving!$E$8:$E$68,$A767+1)*IF($A767&lt;$Q$762,INDEX(Surface_Engine!$E$12:$E$72,$A767+1),INDEX(Surface_Engine!$E$12:$E$72,$Q$762+1))</f>
        <v>0.908397899136424</v>
      </c>
      <c r="D767" s="32" t="n">
        <f aca="false">INDEX(Surface_Engine!$O$12:$O$72,$A767+1)*IF($A767&lt;$Q$762,INDEX(Surface_Engine!$Y$12:$Y$72,$A767+1),INDEX(Surface_Engine!$Y$12:$Y$72,$Q$762+1))</f>
        <v>0.869168768082069</v>
      </c>
      <c r="E767" s="32" t="n">
        <f aca="false">INDEX(Surface_Engine!$O$12:$O$72,$A767+1)*IF($A767&lt;$Q$762,INDEX(Surface_Engine!$Z$12:$Z$72,$A767+1),INDEX(Surface_Engine!$Z$12:$Z$72,$Q$762+1))</f>
        <v>0.939665040075677</v>
      </c>
      <c r="F767" s="48" t="n">
        <f aca="false">B767*(IF($A767&lt;$Q$762,INDEX(Surface_Engine!$D$12:$D$72,$A767+1)+(Surface_Engine!B244*12)*INDEX(Surface_Engine!$F$12:$F$72,$A767+1)-(Surface_Engine!B244*12),1000*12*INDEX(Surface_Engine!$C$12:$C$72,$A767+1)/(1+Assumptions!$B$10)^7+INDEX(Surface_Engine!$D$12:$D$72,$A767+1)))*INDEX(Surface_Engine!$B$12:$B$72,$A767+1)+F768</f>
        <v>39981.0799234381</v>
      </c>
      <c r="G767" s="48" t="n">
        <f aca="false">C767*(IF($A767&lt;$Q$762,INDEX(Surface_Engine!$D$12:$D$72,$A767+1)+(Surface_Engine!B244*12)*INDEX(Surface_Engine!$F$12:$F$72,$A767+1)-(Surface_Engine!B244*12),1000*12*INDEX(Surface_Engine!$C$12:$C$72,$A767+1)/(1+Assumptions!$B$10)^7+INDEX(Surface_Engine!$D$12:$D$72,$A767+1)))*INDEX(Surface_Engine!$B$12:$B$72,$A767+1)+G768</f>
        <v>51812.0665214613</v>
      </c>
      <c r="H767" s="48" t="n">
        <f aca="false">D767*(IF($A767&lt;$Q$762,INDEX(Surface_Engine!$D$12:$D$72,$A767+1)+(Surface_Engine!B244*12)*INDEX(Surface_Engine!$F$12:$F$72,$A767+1)-(Surface_Engine!B244*12),1000*12*INDEX(Surface_Engine!$C$12:$C$72,$A767+1)/(1+Assumptions!$B$10)^7+INDEX(Surface_Engine!$D$12:$D$72,$A767+1)))*INDEX(Surface_Engine!$B$12:$B$72,$A767+1)+H768</f>
        <v>36591.7224931875</v>
      </c>
      <c r="I767" s="48" t="n">
        <f aca="false">E767*(IF($A767&lt;$Q$762,INDEX(Surface_Engine!$D$12:$D$72,$A767+1)+(Surface_Engine!B244*12)*INDEX(Surface_Engine!$F$12:$F$72,$A767+1)-(Surface_Engine!B244*12),1000*12*INDEX(Surface_Engine!$C$12:$C$72,$A767+1)/(1+Assumptions!$B$10)^7+INDEX(Surface_Engine!$D$12:$D$72,$A767+1)))*INDEX(Surface_Engine!$B$12:$B$72,$A767+1)+I768</f>
        <v>43597.0039055589</v>
      </c>
      <c r="J767" s="48" t="n">
        <f aca="false">B767*(IF($A767&lt;$Q$762,INDEX(Surface_Engine!$D$12:$D$72,$A767+1)*(1+Assumptions!$B$24)+(Surface_Engine!B244*12)*INDEX(Surface_Engine!$F$12:$F$72,$A767+1)-(Surface_Engine!B244*12),1000*12*INDEX(Surface_Engine!$C$12:$C$72,$A767+1)/(1+Assumptions!$B$10)^7+INDEX(Surface_Engine!$D$12:$D$72,$A767+1)*(1+Assumptions!$B$24)))*INDEX(Surface_Engine!$B$12:$B$72,$A767+1)+J768</f>
        <v>40107.7264492096</v>
      </c>
      <c r="K767" s="12" t="n">
        <f aca="false">SQRT((IF(C767&lt;=0,0,MAX(0,(B767/C767)*G767/INDEX(Surface_Engine!$B$12:$B$72,$A767+1)-F767/INDEX(Surface_Engine!$B$12:$B$72,$A767+1))))^2+(MAX(IF(D767&lt;=0,0,MAX(0,(B767/D767)*H767/INDEX(Surface_Engine!$B$12:$B$72,$A767+1)-F767/INDEX(Surface_Engine!$B$12:$B$72,$A767+1))),IF(E767&lt;=0,0,MAX(0,(B767/E767)*I767/INDEX(Surface_Engine!$B$12:$B$72,$A767+1)-F767/INDEX(Surface_Engine!$B$12:$B$72,$A767+1))),IF($A767&lt;$Q$762,MAX(0,-Assumptions!$B$22*(F767/INDEX(Surface_Engine!$B$12:$B$72,$A767+1))),0)))^2+(MAX(0,J767/INDEX(Surface_Engine!$B$12:$B$72,$A767+1)-(F767/INDEX(Surface_Engine!$B$12:$B$72,$A767+1))))^2+2*Assumptions!$B$26*(IF(C767&lt;=0,0,MAX(0,(B767/C767)*G767/INDEX(Surface_Engine!$B$12:$B$72,$A767+1)-F767/INDEX(Surface_Engine!$B$12:$B$72,$A767+1))))*(MAX(IF(D767&lt;=0,0,MAX(0,(B767/D767)*H767/INDEX(Surface_Engine!$B$12:$B$72,$A767+1)-F767/INDEX(Surface_Engine!$B$12:$B$72,$A767+1))),IF(E767&lt;=0,0,MAX(0,(B767/E767)*I767/INDEX(Surface_Engine!$B$12:$B$72,$A767+1)-F767/INDEX(Surface_Engine!$B$12:$B$72,$A767+1))),IF($A767&lt;$Q$762,MAX(0,-Assumptions!$B$22*(F767/INDEX(Surface_Engine!$B$12:$B$72,$A767+1))),0)))+2*Assumptions!$B$27*(IF(C767&lt;=0,0,MAX(0,(B767/C767)*G767/INDEX(Surface_Engine!$B$12:$B$72,$A767+1)-F767/INDEX(Surface_Engine!$B$12:$B$72,$A767+1))))*(MAX(0,J767/INDEX(Surface_Engine!$B$12:$B$72,$A767+1)-(F767/INDEX(Surface_Engine!$B$12:$B$72,$A767+1))))+2*Assumptions!$B$28*(MAX(IF(D767&lt;=0,0,MAX(0,(B767/D767)*H767/INDEX(Surface_Engine!$B$12:$B$72,$A767+1)-F767/INDEX(Surface_Engine!$B$12:$B$72,$A767+1))),IF(E767&lt;=0,0,MAX(0,(B767/E767)*I767/INDEX(Surface_Engine!$B$12:$B$72,$A767+1)-F767/INDEX(Surface_Engine!$B$12:$B$72,$A767+1))),IF($A767&lt;$Q$762,MAX(0,-Assumptions!$B$22*(F767/INDEX(Surface_Engine!$B$12:$B$72,$A767+1))),0)))*(MAX(0,J767/INDEX(Surface_Engine!$B$12:$B$72,$A767+1)-(F767/INDEX(Surface_Engine!$B$12:$B$72,$A767+1)))))</f>
        <v>13250.9542520145</v>
      </c>
      <c r="L767" s="48" t="n">
        <f aca="false">K767*INDEX(Surface_Engine!$B$12:$B$72,$A767+1)+L768</f>
        <v>181041.626177048</v>
      </c>
      <c r="M767" s="48" t="n">
        <f aca="false">M766+B766*(IF($A766&lt;$Q$762,(Surface_Engine!B244*12)-(Surface_Engine!B244*12)*INDEX(Surface_Engine!$F$12:$F$72,$A766+1)-INDEX(Surface_Engine!$D$12:$D$72,$A766+1),-(1000*12*INDEX(Surface_Engine!$C$12:$C$72,$A766+1)/(1+Assumptions!$B$10)^7+INDEX(Surface_Engine!$D$12:$D$72,$A766+1))))*INDEX(Surface_Engine!$B$12:$B$72,$A766+1)</f>
        <v>44617.9899558717</v>
      </c>
      <c r="N767" s="12" t="n">
        <f aca="false">IF(B767&lt;=0,0,MAX(0,(K767+Assumptions!$B$29*L767/INDEX(Surface_Engine!$B$12:$B$72,$A767+1)-(M767/INDEX(Surface_Engine!$B$12:$B$72,$A767+1)-(F767/INDEX(Surface_Engine!$B$12:$B$72,$A767+1))))/B767))</f>
        <v>22101.116475321</v>
      </c>
    </row>
    <row r="768" customFormat="false" ht="15" hidden="false" customHeight="true" outlineLevel="0" collapsed="false">
      <c r="A768" s="1" t="n">
        <v>4</v>
      </c>
      <c r="B768" s="32" t="n">
        <f aca="false">INDEX(Surface_Engine!$O$12:$O$72,$A768+1)*IF($A768&lt;$Q$762,INDEX(Surface_Engine!$E$12:$E$72,$A768+1),INDEX(Surface_Engine!$E$12:$E$72,$Q$762+1))</f>
        <v>0.883164776935926</v>
      </c>
      <c r="C768" s="32" t="n">
        <f aca="false">INDEX(Panel_Reserving!$E$8:$E$68,$A768+1)*IF($A768&lt;$Q$762,INDEX(Surface_Engine!$E$12:$E$72,$A768+1),INDEX(Surface_Engine!$E$12:$E$72,$Q$762+1))</f>
        <v>0.889225794121993</v>
      </c>
      <c r="D768" s="32" t="n">
        <f aca="false">INDEX(Surface_Engine!$O$12:$O$72,$A768+1)*IF($A768&lt;$Q$762,INDEX(Surface_Engine!$Y$12:$Y$72,$A768+1),INDEX(Surface_Engine!$Y$12:$Y$72,$Q$762+1))</f>
        <v>0.843405737927717</v>
      </c>
      <c r="E768" s="32" t="n">
        <f aca="false">INDEX(Surface_Engine!$O$12:$O$72,$A768+1)*IF($A768&lt;$Q$762,INDEX(Surface_Engine!$Z$12:$Z$72,$A768+1),INDEX(Surface_Engine!$Z$12:$Z$72,$Q$762+1))</f>
        <v>0.924186395968513</v>
      </c>
      <c r="F768" s="48" t="n">
        <f aca="false">B768*(IF($A768&lt;$Q$762,INDEX(Surface_Engine!$D$12:$D$72,$A768+1)+(Surface_Engine!B244*12)*INDEX(Surface_Engine!$F$12:$F$72,$A768+1)-(Surface_Engine!B244*12),1000*12*INDEX(Surface_Engine!$C$12:$C$72,$A768+1)/(1+Assumptions!$B$10)^7+INDEX(Surface_Engine!$D$12:$D$72,$A768+1)))*INDEX(Surface_Engine!$B$12:$B$72,$A768+1)+F769</f>
        <v>60678.4988269945</v>
      </c>
      <c r="G768" s="48" t="n">
        <f aca="false">C768*(IF($A768&lt;$Q$762,INDEX(Surface_Engine!$D$12:$D$72,$A768+1)+(Surface_Engine!B244*12)*INDEX(Surface_Engine!$F$12:$F$72,$A768+1)-(Surface_Engine!B244*12),1000*12*INDEX(Surface_Engine!$C$12:$C$72,$A768+1)/(1+Assumptions!$B$10)^7+INDEX(Surface_Engine!$D$12:$D$72,$A768+1)))*INDEX(Surface_Engine!$B$12:$B$72,$A768+1)+G769</f>
        <v>72609.9866023888</v>
      </c>
      <c r="H768" s="48" t="n">
        <f aca="false">D768*(IF($A768&lt;$Q$762,INDEX(Surface_Engine!$D$12:$D$72,$A768+1)+(Surface_Engine!B244*12)*INDEX(Surface_Engine!$F$12:$F$72,$A768+1)-(Surface_Engine!B244*12),1000*12*INDEX(Surface_Engine!$C$12:$C$72,$A768+1)/(1+Assumptions!$B$10)^7+INDEX(Surface_Engine!$D$12:$D$72,$A768+1)))*INDEX(Surface_Engine!$B$12:$B$72,$A768+1)+H769</f>
        <v>56491.485133099</v>
      </c>
      <c r="I768" s="48" t="n">
        <f aca="false">E768*(IF($A768&lt;$Q$762,INDEX(Surface_Engine!$D$12:$D$72,$A768+1)+(Surface_Engine!B244*12)*INDEX(Surface_Engine!$F$12:$F$72,$A768+1)-(Surface_Engine!B244*12),1000*12*INDEX(Surface_Engine!$C$12:$C$72,$A768+1)/(1+Assumptions!$B$10)^7+INDEX(Surface_Engine!$D$12:$D$72,$A768+1)))*INDEX(Surface_Engine!$B$12:$B$72,$A768+1)+I769</f>
        <v>65110.7903475071</v>
      </c>
      <c r="J768" s="48" t="n">
        <f aca="false">B768*(IF($A768&lt;$Q$762,INDEX(Surface_Engine!$D$12:$D$72,$A768+1)*(1+Assumptions!$B$24)+(Surface_Engine!B244*12)*INDEX(Surface_Engine!$F$12:$F$72,$A768+1)-(Surface_Engine!B244*12),1000*12*INDEX(Surface_Engine!$C$12:$C$72,$A768+1)/(1+Assumptions!$B$10)^7+INDEX(Surface_Engine!$D$12:$D$72,$A768+1)*(1+Assumptions!$B$24)))*INDEX(Surface_Engine!$B$12:$B$72,$A768+1)+J769</f>
        <v>60797.759323238</v>
      </c>
      <c r="K768" s="12" t="n">
        <f aca="false">SQRT((IF(C768&lt;=0,0,MAX(0,(B768/C768)*G768/INDEX(Surface_Engine!$B$12:$B$72,$A768+1)-F768/INDEX(Surface_Engine!$B$12:$B$72,$A768+1))))^2+(MAX(IF(D768&lt;=0,0,MAX(0,(B768/D768)*H768/INDEX(Surface_Engine!$B$12:$B$72,$A768+1)-F768/INDEX(Surface_Engine!$B$12:$B$72,$A768+1))),IF(E768&lt;=0,0,MAX(0,(B768/E768)*I768/INDEX(Surface_Engine!$B$12:$B$72,$A768+1)-F768/INDEX(Surface_Engine!$B$12:$B$72,$A768+1))),IF($A768&lt;$Q$762,MAX(0,-Assumptions!$B$22*(F768/INDEX(Surface_Engine!$B$12:$B$72,$A768+1))),0)))^2+(MAX(0,J768/INDEX(Surface_Engine!$B$12:$B$72,$A768+1)-(F768/INDEX(Surface_Engine!$B$12:$B$72,$A768+1))))^2+2*Assumptions!$B$26*(IF(C768&lt;=0,0,MAX(0,(B768/C768)*G768/INDEX(Surface_Engine!$B$12:$B$72,$A768+1)-F768/INDEX(Surface_Engine!$B$12:$B$72,$A768+1))))*(MAX(IF(D768&lt;=0,0,MAX(0,(B768/D768)*H768/INDEX(Surface_Engine!$B$12:$B$72,$A768+1)-F768/INDEX(Surface_Engine!$B$12:$B$72,$A768+1))),IF(E768&lt;=0,0,MAX(0,(B768/E768)*I768/INDEX(Surface_Engine!$B$12:$B$72,$A768+1)-F768/INDEX(Surface_Engine!$B$12:$B$72,$A768+1))),IF($A768&lt;$Q$762,MAX(0,-Assumptions!$B$22*(F768/INDEX(Surface_Engine!$B$12:$B$72,$A768+1))),0)))+2*Assumptions!$B$27*(IF(C768&lt;=0,0,MAX(0,(B768/C768)*G768/INDEX(Surface_Engine!$B$12:$B$72,$A768+1)-F768/INDEX(Surface_Engine!$B$12:$B$72,$A768+1))))*(MAX(0,J768/INDEX(Surface_Engine!$B$12:$B$72,$A768+1)-(F768/INDEX(Surface_Engine!$B$12:$B$72,$A768+1))))+2*Assumptions!$B$28*(MAX(IF(D768&lt;=0,0,MAX(0,(B768/D768)*H768/INDEX(Surface_Engine!$B$12:$B$72,$A768+1)-F768/INDEX(Surface_Engine!$B$12:$B$72,$A768+1))),IF(E768&lt;=0,0,MAX(0,(B768/E768)*I768/INDEX(Surface_Engine!$B$12:$B$72,$A768+1)-F768/INDEX(Surface_Engine!$B$12:$B$72,$A768+1))),IF($A768&lt;$Q$762,MAX(0,-Assumptions!$B$22*(F768/INDEX(Surface_Engine!$B$12:$B$72,$A768+1))),0)))*(MAX(0,J768/INDEX(Surface_Engine!$B$12:$B$72,$A768+1)-(F768/INDEX(Surface_Engine!$B$12:$B$72,$A768+1)))))</f>
        <v>13263.9724185497</v>
      </c>
      <c r="L768" s="48" t="n">
        <f aca="false">K768*INDEX(Surface_Engine!$B$12:$B$72,$A768+1)+L769</f>
        <v>168781.347555784</v>
      </c>
      <c r="M768" s="48" t="n">
        <f aca="false">M767+B767*(IF($A767&lt;$Q$762,(Surface_Engine!B244*12)-(Surface_Engine!B244*12)*INDEX(Surface_Engine!$F$12:$F$72,$A767+1)-INDEX(Surface_Engine!$D$12:$D$72,$A767+1),-(1000*12*INDEX(Surface_Engine!$C$12:$C$72,$A767+1)/(1+Assumptions!$B$10)^7+INDEX(Surface_Engine!$D$12:$D$72,$A767+1))))*INDEX(Surface_Engine!$B$12:$B$72,$A767+1)</f>
        <v>65315.4088594281</v>
      </c>
      <c r="N768" s="12" t="n">
        <f aca="false">IF(B768&lt;=0,0,MAX(0,(K768+Assumptions!$B$29*L768/INDEX(Surface_Engine!$B$12:$B$72,$A768+1)-(M768/INDEX(Surface_Engine!$B$12:$B$72,$A768+1)-(F768/INDEX(Surface_Engine!$B$12:$B$72,$A768+1))))/B768))</f>
        <v>21916.7468693517</v>
      </c>
    </row>
    <row r="769" customFormat="false" ht="15" hidden="false" customHeight="true" outlineLevel="0" collapsed="false">
      <c r="A769" s="1" t="n">
        <v>5</v>
      </c>
      <c r="B769" s="32" t="n">
        <f aca="false">INDEX(Surface_Engine!$O$12:$O$72,$A769+1)*IF($A769&lt;$Q$762,INDEX(Surface_Engine!$E$12:$E$72,$A769+1),INDEX(Surface_Engine!$E$12:$E$72,$Q$762+1))</f>
        <v>0.861889437947002</v>
      </c>
      <c r="C769" s="32" t="n">
        <f aca="false">INDEX(Panel_Reserving!$E$8:$E$68,$A769+1)*IF($A769&lt;$Q$762,INDEX(Surface_Engine!$E$12:$E$72,$A769+1),INDEX(Surface_Engine!$E$12:$E$72,$Q$762+1))</f>
        <v>0.869723374946982</v>
      </c>
      <c r="D769" s="32" t="n">
        <f aca="false">INDEX(Surface_Engine!$O$12:$O$72,$A769+1)*IF($A769&lt;$Q$762,INDEX(Surface_Engine!$Y$12:$Y$72,$A769+1),INDEX(Surface_Engine!$Y$12:$Y$72,$Q$762+1))</f>
        <v>0.817540873903783</v>
      </c>
      <c r="E769" s="32" t="n">
        <f aca="false">INDEX(Surface_Engine!$O$12:$O$72,$A769+1)*IF($A769&lt;$Q$762,INDEX(Surface_Engine!$Z$12:$Z$72,$A769+1),INDEX(Surface_Engine!$Z$12:$Z$72,$Q$762+1))</f>
        <v>0.908001483618589</v>
      </c>
      <c r="F769" s="48" t="n">
        <f aca="false">B769*(IF($A769&lt;$Q$762,INDEX(Surface_Engine!$D$12:$D$72,$A769+1)+(Surface_Engine!B244*12)*INDEX(Surface_Engine!$F$12:$F$72,$A769+1)-(Surface_Engine!B244*12),1000*12*INDEX(Surface_Engine!$C$12:$C$72,$A769+1)/(1+Assumptions!$B$10)^7+INDEX(Surface_Engine!$D$12:$D$72,$A769+1)))*INDEX(Surface_Engine!$B$12:$B$72,$A769+1)+F770</f>
        <v>80370.7206455561</v>
      </c>
      <c r="G769" s="48" t="n">
        <f aca="false">C769*(IF($A769&lt;$Q$762,INDEX(Surface_Engine!$D$12:$D$72,$A769+1)+(Surface_Engine!B244*12)*INDEX(Surface_Engine!$F$12:$F$72,$A769+1)-(Surface_Engine!B244*12),1000*12*INDEX(Surface_Engine!$C$12:$C$72,$A769+1)/(1+Assumptions!$B$10)^7+INDEX(Surface_Engine!$D$12:$D$72,$A769+1)))*INDEX(Surface_Engine!$B$12:$B$72,$A769+1)+G770</f>
        <v>92437.3529579509</v>
      </c>
      <c r="H769" s="48" t="n">
        <f aca="false">D769*(IF($A769&lt;$Q$762,INDEX(Surface_Engine!$D$12:$D$72,$A769+1)+(Surface_Engine!B244*12)*INDEX(Surface_Engine!$F$12:$F$72,$A769+1)-(Surface_Engine!B244*12),1000*12*INDEX(Surface_Engine!$C$12:$C$72,$A769+1)/(1+Assumptions!$B$10)^7+INDEX(Surface_Engine!$D$12:$D$72,$A769+1)))*INDEX(Surface_Engine!$B$12:$B$72,$A769+1)+H770</f>
        <v>75297.1862978831</v>
      </c>
      <c r="I769" s="48" t="n">
        <f aca="false">E769*(IF($A769&lt;$Q$762,INDEX(Surface_Engine!$D$12:$D$72,$A769+1)+(Surface_Engine!B244*12)*INDEX(Surface_Engine!$F$12:$F$72,$A769+1)-(Surface_Engine!B244*12),1000*12*INDEX(Surface_Engine!$C$12:$C$72,$A769+1)/(1+Assumptions!$B$10)^7+INDEX(Surface_Engine!$D$12:$D$72,$A769+1)))*INDEX(Surface_Engine!$B$12:$B$72,$A769+1)+I770</f>
        <v>85717.6849909393</v>
      </c>
      <c r="J769" s="48" t="n">
        <f aca="false">B769*(IF($A769&lt;$Q$762,INDEX(Surface_Engine!$D$12:$D$72,$A769+1)*(1+Assumptions!$B$24)+(Surface_Engine!B244*12)*INDEX(Surface_Engine!$F$12:$F$72,$A769+1)-(Surface_Engine!B244*12),1000*12*INDEX(Surface_Engine!$C$12:$C$72,$A769+1)/(1+Assumptions!$B$10)^7+INDEX(Surface_Engine!$D$12:$D$72,$A769+1)*(1+Assumptions!$B$24)))*INDEX(Surface_Engine!$B$12:$B$72,$A769+1)+J770</f>
        <v>80482.7774988045</v>
      </c>
      <c r="K769" s="12" t="n">
        <f aca="false">SQRT((IF(C769&lt;=0,0,MAX(0,(B769/C769)*G769/INDEX(Surface_Engine!$B$12:$B$72,$A769+1)-F769/INDEX(Surface_Engine!$B$12:$B$72,$A769+1))))^2+(MAX(IF(D769&lt;=0,0,MAX(0,(B769/D769)*H769/INDEX(Surface_Engine!$B$12:$B$72,$A769+1)-F769/INDEX(Surface_Engine!$B$12:$B$72,$A769+1))),IF(E769&lt;=0,0,MAX(0,(B769/E769)*I769/INDEX(Surface_Engine!$B$12:$B$72,$A769+1)-F769/INDEX(Surface_Engine!$B$12:$B$72,$A769+1))),IF($A769&lt;$Q$762,MAX(0,-Assumptions!$B$22*(F769/INDEX(Surface_Engine!$B$12:$B$72,$A769+1))),0)))^2+(MAX(0,J769/INDEX(Surface_Engine!$B$12:$B$72,$A769+1)-(F769/INDEX(Surface_Engine!$B$12:$B$72,$A769+1))))^2+2*Assumptions!$B$26*(IF(C769&lt;=0,0,MAX(0,(B769/C769)*G769/INDEX(Surface_Engine!$B$12:$B$72,$A769+1)-F769/INDEX(Surface_Engine!$B$12:$B$72,$A769+1))))*(MAX(IF(D769&lt;=0,0,MAX(0,(B769/D769)*H769/INDEX(Surface_Engine!$B$12:$B$72,$A769+1)-F769/INDEX(Surface_Engine!$B$12:$B$72,$A769+1))),IF(E769&lt;=0,0,MAX(0,(B769/E769)*I769/INDEX(Surface_Engine!$B$12:$B$72,$A769+1)-F769/INDEX(Surface_Engine!$B$12:$B$72,$A769+1))),IF($A769&lt;$Q$762,MAX(0,-Assumptions!$B$22*(F769/INDEX(Surface_Engine!$B$12:$B$72,$A769+1))),0)))+2*Assumptions!$B$27*(IF(C769&lt;=0,0,MAX(0,(B769/C769)*G769/INDEX(Surface_Engine!$B$12:$B$72,$A769+1)-F769/INDEX(Surface_Engine!$B$12:$B$72,$A769+1))))*(MAX(0,J769/INDEX(Surface_Engine!$B$12:$B$72,$A769+1)-(F769/INDEX(Surface_Engine!$B$12:$B$72,$A769+1))))+2*Assumptions!$B$28*(MAX(IF(D769&lt;=0,0,MAX(0,(B769/D769)*H769/INDEX(Surface_Engine!$B$12:$B$72,$A769+1)-F769/INDEX(Surface_Engine!$B$12:$B$72,$A769+1))),IF(E769&lt;=0,0,MAX(0,(B769/E769)*I769/INDEX(Surface_Engine!$B$12:$B$72,$A769+1)-F769/INDEX(Surface_Engine!$B$12:$B$72,$A769+1))),IF($A769&lt;$Q$762,MAX(0,-Assumptions!$B$22*(F769/INDEX(Surface_Engine!$B$12:$B$72,$A769+1))),0)))*(MAX(0,J769/INDEX(Surface_Engine!$B$12:$B$72,$A769+1)-(F769/INDEX(Surface_Engine!$B$12:$B$72,$A769+1)))))</f>
        <v>13181.9840101823</v>
      </c>
      <c r="L769" s="48" t="n">
        <f aca="false">K769*INDEX(Surface_Engine!$B$12:$B$72,$A769+1)+L770</f>
        <v>156828.40760178</v>
      </c>
      <c r="M769" s="48" t="n">
        <f aca="false">M768+B768*(IF($A768&lt;$Q$762,(Surface_Engine!B244*12)-(Surface_Engine!B244*12)*INDEX(Surface_Engine!$F$12:$F$72,$A768+1)-INDEX(Surface_Engine!$D$12:$D$72,$A768+1),-(1000*12*INDEX(Surface_Engine!$C$12:$C$72,$A768+1)/(1+Assumptions!$B$10)^7+INDEX(Surface_Engine!$D$12:$D$72,$A768+1))))*INDEX(Surface_Engine!$B$12:$B$72,$A768+1)</f>
        <v>85007.6306779897</v>
      </c>
      <c r="N769" s="12" t="n">
        <f aca="false">IF(B769&lt;=0,0,MAX(0,(K769+Assumptions!$B$29*L769/INDEX(Surface_Engine!$B$12:$B$72,$A769+1)-(M769/INDEX(Surface_Engine!$B$12:$B$72,$A769+1)-(F769/INDEX(Surface_Engine!$B$12:$B$72,$A769+1))))/B769))</f>
        <v>21611.3876529608</v>
      </c>
    </row>
    <row r="770" customFormat="false" ht="15" hidden="false" customHeight="true" outlineLevel="0" collapsed="false">
      <c r="A770" s="1" t="n">
        <v>6</v>
      </c>
      <c r="B770" s="32" t="n">
        <f aca="false">INDEX(Surface_Engine!$O$12:$O$72,$A770+1)*IF($A770&lt;$Q$762,INDEX(Surface_Engine!$E$12:$E$72,$A770+1),INDEX(Surface_Engine!$E$12:$E$72,$Q$762+1))</f>
        <v>0.843686875261664</v>
      </c>
      <c r="C770" s="32" t="n">
        <f aca="false">INDEX(Panel_Reserving!$E$8:$E$68,$A770+1)*IF($A770&lt;$Q$762,INDEX(Surface_Engine!$E$12:$E$72,$A770+1),INDEX(Surface_Engine!$E$12:$E$72,$Q$762+1))</f>
        <v>0.853446069999635</v>
      </c>
      <c r="D770" s="32" t="n">
        <f aca="false">INDEX(Surface_Engine!$O$12:$O$72,$A770+1)*IF($A770&lt;$Q$762,INDEX(Surface_Engine!$Y$12:$Y$72,$A770+1),INDEX(Surface_Engine!$Y$12:$Y$72,$Q$762+1))</f>
        <v>0.79660023439674</v>
      </c>
      <c r="E770" s="32" t="n">
        <f aca="false">INDEX(Surface_Engine!$O$12:$O$72,$A770+1)*IF($A770&lt;$Q$762,INDEX(Surface_Engine!$Z$12:$Z$72,$A770+1),INDEX(Surface_Engine!$Z$12:$Z$72,$Q$762+1))</f>
        <v>0.892906357352133</v>
      </c>
      <c r="F770" s="48" t="n">
        <f aca="false">B770*(IF($A770&lt;$Q$762,INDEX(Surface_Engine!$D$12:$D$72,$A770+1)+(Surface_Engine!B244*12)*INDEX(Surface_Engine!$F$12:$F$72,$A770+1)-(Surface_Engine!B244*12),1000*12*INDEX(Surface_Engine!$C$12:$C$72,$A770+1)/(1+Assumptions!$B$10)^7+INDEX(Surface_Engine!$D$12:$D$72,$A770+1)))*INDEX(Surface_Engine!$B$12:$B$72,$A770+1)+F771</f>
        <v>99063.2052214395</v>
      </c>
      <c r="G770" s="48" t="n">
        <f aca="false">C770*(IF($A770&lt;$Q$762,INDEX(Surface_Engine!$D$12:$D$72,$A770+1)+(Surface_Engine!B244*12)*INDEX(Surface_Engine!$F$12:$F$72,$A770+1)-(Surface_Engine!B244*12),1000*12*INDEX(Surface_Engine!$C$12:$C$72,$A770+1)/(1+Assumptions!$B$10)^7+INDEX(Surface_Engine!$D$12:$D$72,$A770+1)))*INDEX(Surface_Engine!$B$12:$B$72,$A770+1)+G771</f>
        <v>111299.73838201</v>
      </c>
      <c r="H770" s="48" t="n">
        <f aca="false">D770*(IF($A770&lt;$Q$762,INDEX(Surface_Engine!$D$12:$D$72,$A770+1)+(Surface_Engine!B244*12)*INDEX(Surface_Engine!$F$12:$F$72,$A770+1)-(Surface_Engine!B244*12),1000*12*INDEX(Surface_Engine!$C$12:$C$72,$A770+1)/(1+Assumptions!$B$10)^7+INDEX(Surface_Engine!$D$12:$D$72,$A770+1)))*INDEX(Surface_Engine!$B$12:$B$72,$A770+1)+H771</f>
        <v>93027.8481470428</v>
      </c>
      <c r="I770" s="48" t="n">
        <f aca="false">E770*(IF($A770&lt;$Q$762,INDEX(Surface_Engine!$D$12:$D$72,$A770+1)+(Surface_Engine!B244*12)*INDEX(Surface_Engine!$F$12:$F$72,$A770+1)-(Surface_Engine!B244*12),1000*12*INDEX(Surface_Engine!$C$12:$C$72,$A770+1)/(1+Assumptions!$B$10)^7+INDEX(Surface_Engine!$D$12:$D$72,$A770+1)))*INDEX(Surface_Engine!$B$12:$B$72,$A770+1)+I771</f>
        <v>105410.238327999</v>
      </c>
      <c r="J770" s="48" t="n">
        <f aca="false">B770*(IF($A770&lt;$Q$762,INDEX(Surface_Engine!$D$12:$D$72,$A770+1)*(1+Assumptions!$B$24)+(Surface_Engine!B244*12)*INDEX(Surface_Engine!$F$12:$F$72,$A770+1)-(Surface_Engine!B244*12),1000*12*INDEX(Surface_Engine!$C$12:$C$72,$A770+1)/(1+Assumptions!$B$10)^7+INDEX(Surface_Engine!$D$12:$D$72,$A770+1)*(1+Assumptions!$B$24)))*INDEX(Surface_Engine!$B$12:$B$72,$A770+1)+J771</f>
        <v>99168.2525579355</v>
      </c>
      <c r="K770" s="12" t="n">
        <f aca="false">SQRT((IF(C770&lt;=0,0,MAX(0,(B770/C770)*G770/INDEX(Surface_Engine!$B$12:$B$72,$A770+1)-F770/INDEX(Surface_Engine!$B$12:$B$72,$A770+1))))^2+(MAX(IF(D770&lt;=0,0,MAX(0,(B770/D770)*H770/INDEX(Surface_Engine!$B$12:$B$72,$A770+1)-F770/INDEX(Surface_Engine!$B$12:$B$72,$A770+1))),IF(E770&lt;=0,0,MAX(0,(B770/E770)*I770/INDEX(Surface_Engine!$B$12:$B$72,$A770+1)-F770/INDEX(Surface_Engine!$B$12:$B$72,$A770+1))),IF($A770&lt;$Q$762,MAX(0,-Assumptions!$B$22*(F770/INDEX(Surface_Engine!$B$12:$B$72,$A770+1))),0)))^2+(MAX(0,J770/INDEX(Surface_Engine!$B$12:$B$72,$A770+1)-(F770/INDEX(Surface_Engine!$B$12:$B$72,$A770+1))))^2+2*Assumptions!$B$26*(IF(C770&lt;=0,0,MAX(0,(B770/C770)*G770/INDEX(Surface_Engine!$B$12:$B$72,$A770+1)-F770/INDEX(Surface_Engine!$B$12:$B$72,$A770+1))))*(MAX(IF(D770&lt;=0,0,MAX(0,(B770/D770)*H770/INDEX(Surface_Engine!$B$12:$B$72,$A770+1)-F770/INDEX(Surface_Engine!$B$12:$B$72,$A770+1))),IF(E770&lt;=0,0,MAX(0,(B770/E770)*I770/INDEX(Surface_Engine!$B$12:$B$72,$A770+1)-F770/INDEX(Surface_Engine!$B$12:$B$72,$A770+1))),IF($A770&lt;$Q$762,MAX(0,-Assumptions!$B$22*(F770/INDEX(Surface_Engine!$B$12:$B$72,$A770+1))),0)))+2*Assumptions!$B$27*(IF(C770&lt;=0,0,MAX(0,(B770/C770)*G770/INDEX(Surface_Engine!$B$12:$B$72,$A770+1)-F770/INDEX(Surface_Engine!$B$12:$B$72,$A770+1))))*(MAX(0,J770/INDEX(Surface_Engine!$B$12:$B$72,$A770+1)-(F770/INDEX(Surface_Engine!$B$12:$B$72,$A770+1))))+2*Assumptions!$B$28*(MAX(IF(D770&lt;=0,0,MAX(0,(B770/D770)*H770/INDEX(Surface_Engine!$B$12:$B$72,$A770+1)-F770/INDEX(Surface_Engine!$B$12:$B$72,$A770+1))),IF(E770&lt;=0,0,MAX(0,(B770/E770)*I770/INDEX(Surface_Engine!$B$12:$B$72,$A770+1)-F770/INDEX(Surface_Engine!$B$12:$B$72,$A770+1))),IF($A770&lt;$Q$762,MAX(0,-Assumptions!$B$22*(F770/INDEX(Surface_Engine!$B$12:$B$72,$A770+1))),0)))*(MAX(0,J770/INDEX(Surface_Engine!$B$12:$B$72,$A770+1)-(F770/INDEX(Surface_Engine!$B$12:$B$72,$A770+1)))))</f>
        <v>13074.3926027169</v>
      </c>
      <c r="L770" s="48" t="n">
        <f aca="false">K770*INDEX(Surface_Engine!$B$12:$B$72,$A770+1)+L771</f>
        <v>145273.030564757</v>
      </c>
      <c r="M770" s="48" t="n">
        <f aca="false">M769+B769*(IF($A769&lt;$Q$762,(Surface_Engine!B244*12)-(Surface_Engine!B244*12)*INDEX(Surface_Engine!$F$12:$F$72,$A769+1)-INDEX(Surface_Engine!$D$12:$D$72,$A769+1),-(1000*12*INDEX(Surface_Engine!$C$12:$C$72,$A769+1)/(1+Assumptions!$B$10)^7+INDEX(Surface_Engine!$D$12:$D$72,$A769+1))))*INDEX(Surface_Engine!$B$12:$B$72,$A769+1)</f>
        <v>103700.115253873</v>
      </c>
      <c r="N770" s="12" t="n">
        <f aca="false">IF(B770&lt;=0,0,MAX(0,(K770+Assumptions!$B$29*L770/INDEX(Surface_Engine!$B$12:$B$72,$A770+1)-(M770/INDEX(Surface_Engine!$B$12:$B$72,$A770+1)-(F770/INDEX(Surface_Engine!$B$12:$B$72,$A770+1))))/B770))</f>
        <v>21172.1496422164</v>
      </c>
    </row>
    <row r="771" customFormat="false" ht="15" hidden="false" customHeight="true" outlineLevel="0" collapsed="false">
      <c r="A771" s="1" t="n">
        <v>7</v>
      </c>
      <c r="B771" s="32" t="n">
        <f aca="false">INDEX(Surface_Engine!$O$12:$O$72,$A771+1)*IF($A771&lt;$Q$762,INDEX(Surface_Engine!$E$12:$E$72,$A771+1),INDEX(Surface_Engine!$E$12:$E$72,$Q$762+1))</f>
        <v>0.824731058261812</v>
      </c>
      <c r="C771" s="32" t="n">
        <f aca="false">INDEX(Panel_Reserving!$E$8:$E$68,$A771+1)*IF($A771&lt;$Q$762,INDEX(Surface_Engine!$E$12:$E$72,$A771+1),INDEX(Surface_Engine!$E$12:$E$72,$Q$762+1))</f>
        <v>0.836552730175345</v>
      </c>
      <c r="D771" s="32" t="n">
        <f aca="false">INDEX(Surface_Engine!$O$12:$O$72,$A771+1)*IF($A771&lt;$Q$762,INDEX(Surface_Engine!$Y$12:$Y$72,$A771+1),INDEX(Surface_Engine!$Y$12:$Y$72,$Q$762+1))</f>
        <v>0.775126718274485</v>
      </c>
      <c r="E771" s="32" t="n">
        <f aca="false">INDEX(Surface_Engine!$O$12:$O$72,$A771+1)*IF($A771&lt;$Q$762,INDEX(Surface_Engine!$Z$12:$Z$72,$A771+1),INDEX(Surface_Engine!$Z$12:$Z$72,$Q$762+1))</f>
        <v>0.876852600526584</v>
      </c>
      <c r="F771" s="48" t="n">
        <f aca="false">B771*(IF($A771&lt;$Q$762,INDEX(Surface_Engine!$D$12:$D$72,$A771+1)+(Surface_Engine!B244*12)*INDEX(Surface_Engine!$F$12:$F$72,$A771+1)-(Surface_Engine!B244*12),1000*12*INDEX(Surface_Engine!$C$12:$C$72,$A771+1)/(1+Assumptions!$B$10)^7+INDEX(Surface_Engine!$D$12:$D$72,$A771+1)))*INDEX(Surface_Engine!$B$12:$B$72,$A771+1)+F772</f>
        <v>116845.09101197</v>
      </c>
      <c r="G771" s="48" t="n">
        <f aca="false">C771*(IF($A771&lt;$Q$762,INDEX(Surface_Engine!$D$12:$D$72,$A771+1)+(Surface_Engine!B244*12)*INDEX(Surface_Engine!$F$12:$F$72,$A771+1)-(Surface_Engine!B244*12),1000*12*INDEX(Surface_Engine!$C$12:$C$72,$A771+1)/(1+Assumptions!$B$10)^7+INDEX(Surface_Engine!$D$12:$D$72,$A771+1)))*INDEX(Surface_Engine!$B$12:$B$72,$A771+1)+G772</f>
        <v>129287.312907694</v>
      </c>
      <c r="H771" s="48" t="n">
        <f aca="false">D771*(IF($A771&lt;$Q$762,INDEX(Surface_Engine!$D$12:$D$72,$A771+1)+(Surface_Engine!B244*12)*INDEX(Surface_Engine!$F$12:$F$72,$A771+1)-(Surface_Engine!B244*12),1000*12*INDEX(Surface_Engine!$C$12:$C$72,$A771+1)/(1+Assumptions!$B$10)^7+INDEX(Surface_Engine!$D$12:$D$72,$A771+1)))*INDEX(Surface_Engine!$B$12:$B$72,$A771+1)+H772</f>
        <v>109817.316851721</v>
      </c>
      <c r="I771" s="48" t="n">
        <f aca="false">E771*(IF($A771&lt;$Q$762,INDEX(Surface_Engine!$D$12:$D$72,$A771+1)+(Surface_Engine!B244*12)*INDEX(Surface_Engine!$F$12:$F$72,$A771+1)-(Surface_Engine!B244*12),1000*12*INDEX(Surface_Engine!$C$12:$C$72,$A771+1)/(1+Assumptions!$B$10)^7+INDEX(Surface_Engine!$D$12:$D$72,$A771+1)))*INDEX(Surface_Engine!$B$12:$B$72,$A771+1)+I772</f>
        <v>124229.493828626</v>
      </c>
      <c r="J771" s="48" t="n">
        <f aca="false">B771*(IF($A771&lt;$Q$762,INDEX(Surface_Engine!$D$12:$D$72,$A771+1)*(1+Assumptions!$B$24)+(Surface_Engine!B244*12)*INDEX(Surface_Engine!$F$12:$F$72,$A771+1)-(Surface_Engine!B244*12),1000*12*INDEX(Surface_Engine!$C$12:$C$72,$A771+1)/(1+Assumptions!$B$10)^7+INDEX(Surface_Engine!$D$12:$D$72,$A771+1)*(1+Assumptions!$B$24)))*INDEX(Surface_Engine!$B$12:$B$72,$A771+1)+J772</f>
        <v>116943.302956163</v>
      </c>
      <c r="K771" s="12" t="n">
        <f aca="false">SQRT((IF(C771&lt;=0,0,MAX(0,(B771/C771)*G771/INDEX(Surface_Engine!$B$12:$B$72,$A771+1)-F771/INDEX(Surface_Engine!$B$12:$B$72,$A771+1))))^2+(MAX(IF(D771&lt;=0,0,MAX(0,(B771/D771)*H771/INDEX(Surface_Engine!$B$12:$B$72,$A771+1)-F771/INDEX(Surface_Engine!$B$12:$B$72,$A771+1))),IF(E771&lt;=0,0,MAX(0,(B771/E771)*I771/INDEX(Surface_Engine!$B$12:$B$72,$A771+1)-F771/INDEX(Surface_Engine!$B$12:$B$72,$A771+1))),IF($A771&lt;$Q$762,MAX(0,-Assumptions!$B$22*(F771/INDEX(Surface_Engine!$B$12:$B$72,$A771+1))),0)))^2+(MAX(0,J771/INDEX(Surface_Engine!$B$12:$B$72,$A771+1)-(F771/INDEX(Surface_Engine!$B$12:$B$72,$A771+1))))^2+2*Assumptions!$B$26*(IF(C771&lt;=0,0,MAX(0,(B771/C771)*G771/INDEX(Surface_Engine!$B$12:$B$72,$A771+1)-F771/INDEX(Surface_Engine!$B$12:$B$72,$A771+1))))*(MAX(IF(D771&lt;=0,0,MAX(0,(B771/D771)*H771/INDEX(Surface_Engine!$B$12:$B$72,$A771+1)-F771/INDEX(Surface_Engine!$B$12:$B$72,$A771+1))),IF(E771&lt;=0,0,MAX(0,(B771/E771)*I771/INDEX(Surface_Engine!$B$12:$B$72,$A771+1)-F771/INDEX(Surface_Engine!$B$12:$B$72,$A771+1))),IF($A771&lt;$Q$762,MAX(0,-Assumptions!$B$22*(F771/INDEX(Surface_Engine!$B$12:$B$72,$A771+1))),0)))+2*Assumptions!$B$27*(IF(C771&lt;=0,0,MAX(0,(B771/C771)*G771/INDEX(Surface_Engine!$B$12:$B$72,$A771+1)-F771/INDEX(Surface_Engine!$B$12:$B$72,$A771+1))))*(MAX(0,J771/INDEX(Surface_Engine!$B$12:$B$72,$A771+1)-(F771/INDEX(Surface_Engine!$B$12:$B$72,$A771+1))))+2*Assumptions!$B$28*(MAX(IF(D771&lt;=0,0,MAX(0,(B771/D771)*H771/INDEX(Surface_Engine!$B$12:$B$72,$A771+1)-F771/INDEX(Surface_Engine!$B$12:$B$72,$A771+1))),IF(E771&lt;=0,0,MAX(0,(B771/E771)*I771/INDEX(Surface_Engine!$B$12:$B$72,$A771+1)-F771/INDEX(Surface_Engine!$B$12:$B$72,$A771+1))),IF($A771&lt;$Q$762,MAX(0,-Assumptions!$B$22*(F771/INDEX(Surface_Engine!$B$12:$B$72,$A771+1))),0)))*(MAX(0,J771/INDEX(Surface_Engine!$B$12:$B$72,$A771+1)-(F771/INDEX(Surface_Engine!$B$12:$B$72,$A771+1)))))</f>
        <v>12865.3644251598</v>
      </c>
      <c r="L771" s="48" t="n">
        <f aca="false">K771*INDEX(Surface_Engine!$B$12:$B$72,$A771+1)+L772</f>
        <v>134134.019657777</v>
      </c>
      <c r="M771" s="48" t="n">
        <f aca="false">M770+B770*(IF($A770&lt;$Q$762,(Surface_Engine!B244*12)-(Surface_Engine!B244*12)*INDEX(Surface_Engine!$F$12:$F$72,$A770+1)-INDEX(Surface_Engine!$D$12:$D$72,$A770+1),-(1000*12*INDEX(Surface_Engine!$C$12:$C$72,$A770+1)/(1+Assumptions!$B$10)^7+INDEX(Surface_Engine!$D$12:$D$72,$A770+1))))*INDEX(Surface_Engine!$B$12:$B$72,$A770+1)</f>
        <v>121482.001044404</v>
      </c>
      <c r="N771" s="12" t="n">
        <f aca="false">IF(B771&lt;=0,0,MAX(0,(K771+Assumptions!$B$29*L771/INDEX(Surface_Engine!$B$12:$B$72,$A771+1)-(M771/INDEX(Surface_Engine!$B$12:$B$72,$A771+1)-(F771/INDEX(Surface_Engine!$B$12:$B$72,$A771+1))))/B771))</f>
        <v>20600.4897260676</v>
      </c>
    </row>
    <row r="772" customFormat="false" ht="15" hidden="false" customHeight="true" outlineLevel="0" collapsed="false">
      <c r="A772" s="1" t="n">
        <v>8</v>
      </c>
      <c r="B772" s="32" t="n">
        <f aca="false">INDEX(Surface_Engine!$O$12:$O$72,$A772+1)*IF($A772&lt;$Q$762,INDEX(Surface_Engine!$E$12:$E$72,$A772+1),INDEX(Surface_Engine!$E$12:$E$72,$Q$762+1))</f>
        <v>0.811891314148597</v>
      </c>
      <c r="C772" s="32" t="n">
        <f aca="false">INDEX(Panel_Reserving!$E$8:$E$68,$A772+1)*IF($A772&lt;$Q$762,INDEX(Surface_Engine!$E$12:$E$72,$A772+1),INDEX(Surface_Engine!$E$12:$E$72,$Q$762+1))</f>
        <v>0.826133699258477</v>
      </c>
      <c r="D772" s="32" t="n">
        <f aca="false">INDEX(Surface_Engine!$O$12:$O$72,$A772+1)*IF($A772&lt;$Q$762,INDEX(Surface_Engine!$Y$12:$Y$72,$A772+1),INDEX(Surface_Engine!$Y$12:$Y$72,$Q$762+1))</f>
        <v>0.763059234434436</v>
      </c>
      <c r="E772" s="32" t="n">
        <f aca="false">INDEX(Surface_Engine!$O$12:$O$72,$A772+1)*IF($A772&lt;$Q$762,INDEX(Surface_Engine!$Z$12:$Z$72,$A772+1),INDEX(Surface_Engine!$Z$12:$Z$72,$Q$762+1))</f>
        <v>0.863201407324891</v>
      </c>
      <c r="F772" s="48" t="n">
        <f aca="false">B772*(IF($A772&lt;$Q$762,INDEX(Surface_Engine!$D$12:$D$72,$A772+1)+(Surface_Engine!B244*12)*INDEX(Surface_Engine!$F$12:$F$72,$A772+1)-(Surface_Engine!B244*12),1000*12*INDEX(Surface_Engine!$C$12:$C$72,$A772+1)/(1+Assumptions!$B$10)^7+INDEX(Surface_Engine!$D$12:$D$72,$A772+1)))*INDEX(Surface_Engine!$B$12:$B$72,$A772+1)+F773</f>
        <v>108593.566960321</v>
      </c>
      <c r="G772" s="48" t="n">
        <f aca="false">C772*(IF($A772&lt;$Q$762,INDEX(Surface_Engine!$D$12:$D$72,$A772+1)+(Surface_Engine!B244*12)*INDEX(Surface_Engine!$F$12:$F$72,$A772+1)-(Surface_Engine!B244*12),1000*12*INDEX(Surface_Engine!$C$12:$C$72,$A772+1)/(1+Assumptions!$B$10)^7+INDEX(Surface_Engine!$D$12:$D$72,$A772+1)))*INDEX(Surface_Engine!$B$12:$B$72,$A772+1)+G773</f>
        <v>120917.511741162</v>
      </c>
      <c r="H772" s="48" t="n">
        <f aca="false">D772*(IF($A772&lt;$Q$762,INDEX(Surface_Engine!$D$12:$D$72,$A772+1)+(Surface_Engine!B244*12)*INDEX(Surface_Engine!$F$12:$F$72,$A772+1)-(Surface_Engine!B244*12),1000*12*INDEX(Surface_Engine!$C$12:$C$72,$A772+1)/(1+Assumptions!$B$10)^7+INDEX(Surface_Engine!$D$12:$D$72,$A772+1)))*INDEX(Surface_Engine!$B$12:$B$72,$A772+1)+H773</f>
        <v>102062.089623588</v>
      </c>
      <c r="I772" s="48" t="n">
        <f aca="false">E772*(IF($A772&lt;$Q$762,INDEX(Surface_Engine!$D$12:$D$72,$A772+1)+(Surface_Engine!B244*12)*INDEX(Surface_Engine!$F$12:$F$72,$A772+1)-(Surface_Engine!B244*12),1000*12*INDEX(Surface_Engine!$C$12:$C$72,$A772+1)/(1+Assumptions!$B$10)^7+INDEX(Surface_Engine!$D$12:$D$72,$A772+1)))*INDEX(Surface_Engine!$B$12:$B$72,$A772+1)+I773</f>
        <v>115456.488070548</v>
      </c>
      <c r="J772" s="48" t="n">
        <f aca="false">B772*(IF($A772&lt;$Q$762,INDEX(Surface_Engine!$D$12:$D$72,$A772+1)*(1+Assumptions!$B$24)+(Surface_Engine!B244*12)*INDEX(Surface_Engine!$F$12:$F$72,$A772+1)-(Surface_Engine!B244*12),1000*12*INDEX(Surface_Engine!$C$12:$C$72,$A772+1)/(1+Assumptions!$B$10)^7+INDEX(Surface_Engine!$D$12:$D$72,$A772+1)*(1+Assumptions!$B$24)))*INDEX(Surface_Engine!$B$12:$B$72,$A772+1)+J773</f>
        <v>108685.130453915</v>
      </c>
      <c r="K772" s="12" t="n">
        <f aca="false">SQRT((IF(C772&lt;=0,0,MAX(0,(B772/C772)*G772/INDEX(Surface_Engine!$B$12:$B$72,$A772+1)-F772/INDEX(Surface_Engine!$B$12:$B$72,$A772+1))))^2+(MAX(IF(D772&lt;=0,0,MAX(0,(B772/D772)*H772/INDEX(Surface_Engine!$B$12:$B$72,$A772+1)-F772/INDEX(Surface_Engine!$B$12:$B$72,$A772+1))),IF(E772&lt;=0,0,MAX(0,(B772/E772)*I772/INDEX(Surface_Engine!$B$12:$B$72,$A772+1)-F772/INDEX(Surface_Engine!$B$12:$B$72,$A772+1))),IF($A772&lt;$Q$762,MAX(0,-Assumptions!$B$22*(F772/INDEX(Surface_Engine!$B$12:$B$72,$A772+1))),0)))^2+(MAX(0,J772/INDEX(Surface_Engine!$B$12:$B$72,$A772+1)-(F772/INDEX(Surface_Engine!$B$12:$B$72,$A772+1))))^2+2*Assumptions!$B$26*(IF(C772&lt;=0,0,MAX(0,(B772/C772)*G772/INDEX(Surface_Engine!$B$12:$B$72,$A772+1)-F772/INDEX(Surface_Engine!$B$12:$B$72,$A772+1))))*(MAX(IF(D772&lt;=0,0,MAX(0,(B772/D772)*H772/INDEX(Surface_Engine!$B$12:$B$72,$A772+1)-F772/INDEX(Surface_Engine!$B$12:$B$72,$A772+1))),IF(E772&lt;=0,0,MAX(0,(B772/E772)*I772/INDEX(Surface_Engine!$B$12:$B$72,$A772+1)-F772/INDEX(Surface_Engine!$B$12:$B$72,$A772+1))),IF($A772&lt;$Q$762,MAX(0,-Assumptions!$B$22*(F772/INDEX(Surface_Engine!$B$12:$B$72,$A772+1))),0)))+2*Assumptions!$B$27*(IF(C772&lt;=0,0,MAX(0,(B772/C772)*G772/INDEX(Surface_Engine!$B$12:$B$72,$A772+1)-F772/INDEX(Surface_Engine!$B$12:$B$72,$A772+1))))*(MAX(0,J772/INDEX(Surface_Engine!$B$12:$B$72,$A772+1)-(F772/INDEX(Surface_Engine!$B$12:$B$72,$A772+1))))+2*Assumptions!$B$28*(MAX(IF(D772&lt;=0,0,MAX(0,(B772/D772)*H772/INDEX(Surface_Engine!$B$12:$B$72,$A772+1)-F772/INDEX(Surface_Engine!$B$12:$B$72,$A772+1))),IF(E772&lt;=0,0,MAX(0,(B772/E772)*I772/INDEX(Surface_Engine!$B$12:$B$72,$A772+1)-F772/INDEX(Surface_Engine!$B$12:$B$72,$A772+1))),IF($A772&lt;$Q$762,MAX(0,-Assumptions!$B$22*(F772/INDEX(Surface_Engine!$B$12:$B$72,$A772+1))),0)))*(MAX(0,J772/INDEX(Surface_Engine!$B$12:$B$72,$A772+1)-(F772/INDEX(Surface_Engine!$B$12:$B$72,$A772+1)))))</f>
        <v>12797.8125208206</v>
      </c>
      <c r="L772" s="48" t="n">
        <f aca="false">K772*INDEX(Surface_Engine!$B$12:$B$72,$A772+1)+L773</f>
        <v>123493.832215827</v>
      </c>
      <c r="M772" s="48" t="n">
        <f aca="false">M771+B771*(IF($A771&lt;$Q$762,(Surface_Engine!B244*12)-(Surface_Engine!B244*12)*INDEX(Surface_Engine!$F$12:$F$72,$A771+1)-INDEX(Surface_Engine!$D$12:$D$72,$A771+1),-(1000*12*INDEX(Surface_Engine!$C$12:$C$72,$A771+1)/(1+Assumptions!$B$10)^7+INDEX(Surface_Engine!$D$12:$D$72,$A771+1))))*INDEX(Surface_Engine!$B$12:$B$72,$A771+1)</f>
        <v>113230.476992754</v>
      </c>
      <c r="N772" s="12" t="n">
        <f aca="false">IF(B772&lt;=0,0,MAX(0,(K772+Assumptions!$B$29*L772/INDEX(Surface_Engine!$B$12:$B$72,$A772+1)-(M772/INDEX(Surface_Engine!$B$12:$B$72,$A772+1)-(F772/INDEX(Surface_Engine!$B$12:$B$72,$A772+1))))/B772))</f>
        <v>20021.7448864224</v>
      </c>
    </row>
    <row r="773" customFormat="false" ht="15" hidden="false" customHeight="true" outlineLevel="0" collapsed="false">
      <c r="A773" s="1" t="n">
        <v>9</v>
      </c>
      <c r="B773" s="32" t="n">
        <f aca="false">INDEX(Surface_Engine!$O$12:$O$72,$A773+1)*IF($A773&lt;$Q$762,INDEX(Surface_Engine!$E$12:$E$72,$A773+1),INDEX(Surface_Engine!$E$12:$E$72,$Q$762+1))</f>
        <v>0.797776927069308</v>
      </c>
      <c r="C773" s="32" t="n">
        <f aca="false">INDEX(Panel_Reserving!$E$8:$E$68,$A773+1)*IF($A773&lt;$Q$762,INDEX(Surface_Engine!$E$12:$E$72,$A773+1),INDEX(Surface_Engine!$E$12:$E$72,$Q$762+1))</f>
        <v>0.814644111322381</v>
      </c>
      <c r="D773" s="32" t="n">
        <f aca="false">INDEX(Surface_Engine!$O$12:$O$72,$A773+1)*IF($A773&lt;$Q$762,INDEX(Surface_Engine!$Y$12:$Y$72,$A773+1),INDEX(Surface_Engine!$Y$12:$Y$72,$Q$762+1))</f>
        <v>0.749793772405781</v>
      </c>
      <c r="E773" s="32" t="n">
        <f aca="false">INDEX(Surface_Engine!$O$12:$O$72,$A773+1)*IF($A773&lt;$Q$762,INDEX(Surface_Engine!$Z$12:$Z$72,$A773+1),INDEX(Surface_Engine!$Z$12:$Z$72,$Q$762+1))</f>
        <v>0.848195015979091</v>
      </c>
      <c r="F773" s="48" t="n">
        <f aca="false">B773*(IF($A773&lt;$Q$762,INDEX(Surface_Engine!$D$12:$D$72,$A773+1)+(Surface_Engine!B244*12)*INDEX(Surface_Engine!$F$12:$F$72,$A773+1)-(Surface_Engine!B244*12),1000*12*INDEX(Surface_Engine!$C$12:$C$72,$A773+1)/(1+Assumptions!$B$10)^7+INDEX(Surface_Engine!$D$12:$D$72,$A773+1)))*INDEX(Surface_Engine!$B$12:$B$72,$A773+1)+F774</f>
        <v>100559.553936463</v>
      </c>
      <c r="G773" s="48" t="n">
        <f aca="false">C773*(IF($A773&lt;$Q$762,INDEX(Surface_Engine!$D$12:$D$72,$A773+1)+(Surface_Engine!B244*12)*INDEX(Surface_Engine!$F$12:$F$72,$A773+1)-(Surface_Engine!B244*12),1000*12*INDEX(Surface_Engine!$C$12:$C$72,$A773+1)/(1+Assumptions!$B$10)^7+INDEX(Surface_Engine!$D$12:$D$72,$A773+1)))*INDEX(Surface_Engine!$B$12:$B$72,$A773+1)+G774</f>
        <v>112742.564203694</v>
      </c>
      <c r="H773" s="48" t="n">
        <f aca="false">D773*(IF($A773&lt;$Q$762,INDEX(Surface_Engine!$D$12:$D$72,$A773+1)+(Surface_Engine!B244*12)*INDEX(Surface_Engine!$F$12:$F$72,$A773+1)-(Surface_Engine!B244*12),1000*12*INDEX(Surface_Engine!$C$12:$C$72,$A773+1)/(1+Assumptions!$B$10)^7+INDEX(Surface_Engine!$D$12:$D$72,$A773+1)))*INDEX(Surface_Engine!$B$12:$B$72,$A773+1)+H774</f>
        <v>94511.2909876284</v>
      </c>
      <c r="I773" s="48" t="n">
        <f aca="false">E773*(IF($A773&lt;$Q$762,INDEX(Surface_Engine!$D$12:$D$72,$A773+1)+(Surface_Engine!B244*12)*INDEX(Surface_Engine!$F$12:$F$72,$A773+1)-(Surface_Engine!B244*12),1000*12*INDEX(Surface_Engine!$C$12:$C$72,$A773+1)/(1+Assumptions!$B$10)^7+INDEX(Surface_Engine!$D$12:$D$72,$A773+1)))*INDEX(Surface_Engine!$B$12:$B$72,$A773+1)+I774</f>
        <v>106914.739652001</v>
      </c>
      <c r="J773" s="48" t="n">
        <f aca="false">B773*(IF($A773&lt;$Q$762,INDEX(Surface_Engine!$D$12:$D$72,$A773+1)*(1+Assumptions!$B$24)+(Surface_Engine!B244*12)*INDEX(Surface_Engine!$F$12:$F$72,$A773+1)-(Surface_Engine!B244*12),1000*12*INDEX(Surface_Engine!$C$12:$C$72,$A773+1)/(1+Assumptions!$B$10)^7+INDEX(Surface_Engine!$D$12:$D$72,$A773+1)*(1+Assumptions!$B$24)))*INDEX(Surface_Engine!$B$12:$B$72,$A773+1)+J774</f>
        <v>100644.612758857</v>
      </c>
      <c r="K773" s="12" t="n">
        <f aca="false">SQRT((IF(C773&lt;=0,0,MAX(0,(B773/C773)*G773/INDEX(Surface_Engine!$B$12:$B$72,$A773+1)-F773/INDEX(Surface_Engine!$B$12:$B$72,$A773+1))))^2+(MAX(IF(D773&lt;=0,0,MAX(0,(B773/D773)*H773/INDEX(Surface_Engine!$B$12:$B$72,$A773+1)-F773/INDEX(Surface_Engine!$B$12:$B$72,$A773+1))),IF(E773&lt;=0,0,MAX(0,(B773/E773)*I773/INDEX(Surface_Engine!$B$12:$B$72,$A773+1)-F773/INDEX(Surface_Engine!$B$12:$B$72,$A773+1))),IF($A773&lt;$Q$762,MAX(0,-Assumptions!$B$22*(F773/INDEX(Surface_Engine!$B$12:$B$72,$A773+1))),0)))^2+(MAX(0,J773/INDEX(Surface_Engine!$B$12:$B$72,$A773+1)-(F773/INDEX(Surface_Engine!$B$12:$B$72,$A773+1))))^2+2*Assumptions!$B$26*(IF(C773&lt;=0,0,MAX(0,(B773/C773)*G773/INDEX(Surface_Engine!$B$12:$B$72,$A773+1)-F773/INDEX(Surface_Engine!$B$12:$B$72,$A773+1))))*(MAX(IF(D773&lt;=0,0,MAX(0,(B773/D773)*H773/INDEX(Surface_Engine!$B$12:$B$72,$A773+1)-F773/INDEX(Surface_Engine!$B$12:$B$72,$A773+1))),IF(E773&lt;=0,0,MAX(0,(B773/E773)*I773/INDEX(Surface_Engine!$B$12:$B$72,$A773+1)-F773/INDEX(Surface_Engine!$B$12:$B$72,$A773+1))),IF($A773&lt;$Q$762,MAX(0,-Assumptions!$B$22*(F773/INDEX(Surface_Engine!$B$12:$B$72,$A773+1))),0)))+2*Assumptions!$B$27*(IF(C773&lt;=0,0,MAX(0,(B773/C773)*G773/INDEX(Surface_Engine!$B$12:$B$72,$A773+1)-F773/INDEX(Surface_Engine!$B$12:$B$72,$A773+1))))*(MAX(0,J773/INDEX(Surface_Engine!$B$12:$B$72,$A773+1)-(F773/INDEX(Surface_Engine!$B$12:$B$72,$A773+1))))+2*Assumptions!$B$28*(MAX(IF(D773&lt;=0,0,MAX(0,(B773/D773)*H773/INDEX(Surface_Engine!$B$12:$B$72,$A773+1)-F773/INDEX(Surface_Engine!$B$12:$B$72,$A773+1))),IF(E773&lt;=0,0,MAX(0,(B773/E773)*I773/INDEX(Surface_Engine!$B$12:$B$72,$A773+1)-F773/INDEX(Surface_Engine!$B$12:$B$72,$A773+1))),IF($A773&lt;$Q$762,MAX(0,-Assumptions!$B$22*(F773/INDEX(Surface_Engine!$B$12:$B$72,$A773+1))),0)))*(MAX(0,J773/INDEX(Surface_Engine!$B$12:$B$72,$A773+1)-(F773/INDEX(Surface_Engine!$B$12:$B$72,$A773+1)))))</f>
        <v>12707.3334484017</v>
      </c>
      <c r="L773" s="48" t="n">
        <f aca="false">K773*INDEX(Surface_Engine!$B$12:$B$72,$A773+1)+L774</f>
        <v>113231.208120873</v>
      </c>
      <c r="M773" s="48" t="n">
        <f aca="false">M772+B772*(IF($A772&lt;$Q$762,(Surface_Engine!B244*12)-(Surface_Engine!B244*12)*INDEX(Surface_Engine!$F$12:$F$72,$A772+1)-INDEX(Surface_Engine!$D$12:$D$72,$A772+1),-(1000*12*INDEX(Surface_Engine!$C$12:$C$72,$A772+1)/(1+Assumptions!$B$10)^7+INDEX(Surface_Engine!$D$12:$D$72,$A772+1))))*INDEX(Surface_Engine!$B$12:$B$72,$A772+1)</f>
        <v>105196.463968897</v>
      </c>
      <c r="N773" s="12" t="n">
        <f aca="false">IF(B773&lt;=0,0,MAX(0,(K773+Assumptions!$B$29*L773/INDEX(Surface_Engine!$B$12:$B$72,$A773+1)-(M773/INDEX(Surface_Engine!$B$12:$B$72,$A773+1)-(F773/INDEX(Surface_Engine!$B$12:$B$72,$A773+1))))/B773))</f>
        <v>19409.2830537986</v>
      </c>
    </row>
    <row r="774" customFormat="false" ht="15" hidden="false" customHeight="true" outlineLevel="0" collapsed="false">
      <c r="A774" s="1" t="n">
        <v>10</v>
      </c>
      <c r="B774" s="32" t="n">
        <f aca="false">INDEX(Surface_Engine!$O$12:$O$72,$A774+1)*IF($A774&lt;$Q$762,INDEX(Surface_Engine!$E$12:$E$72,$A774+1),INDEX(Surface_Engine!$E$12:$E$72,$Q$762+1))</f>
        <v>0.782266299448993</v>
      </c>
      <c r="C774" s="32" t="n">
        <f aca="false">INDEX(Panel_Reserving!$E$8:$E$68,$A774+1)*IF($A774&lt;$Q$762,INDEX(Surface_Engine!$E$12:$E$72,$A774+1),INDEX(Surface_Engine!$E$12:$E$72,$Q$762+1))</f>
        <v>0.801973259584192</v>
      </c>
      <c r="D774" s="32" t="n">
        <f aca="false">INDEX(Surface_Engine!$O$12:$O$72,$A774+1)*IF($A774&lt;$Q$762,INDEX(Surface_Engine!$Y$12:$Y$72,$A774+1),INDEX(Surface_Engine!$Y$12:$Y$72,$Q$762+1))</f>
        <v>0.735216048231004</v>
      </c>
      <c r="E774" s="32" t="n">
        <f aca="false">INDEX(Surface_Engine!$O$12:$O$72,$A774+1)*IF($A774&lt;$Q$762,INDEX(Surface_Engine!$Z$12:$Z$72,$A774+1),INDEX(Surface_Engine!$Z$12:$Z$72,$Q$762+1))</f>
        <v>0.831704144162844</v>
      </c>
      <c r="F774" s="48" t="n">
        <f aca="false">B774*(IF($A774&lt;$Q$762,INDEX(Surface_Engine!$D$12:$D$72,$A774+1)+(Surface_Engine!B244*12)*INDEX(Surface_Engine!$F$12:$F$72,$A774+1)-(Surface_Engine!B244*12),1000*12*INDEX(Surface_Engine!$C$12:$C$72,$A774+1)/(1+Assumptions!$B$10)^7+INDEX(Surface_Engine!$D$12:$D$72,$A774+1)))*INDEX(Surface_Engine!$B$12:$B$72,$A774+1)+F775</f>
        <v>92759.7051093837</v>
      </c>
      <c r="G774" s="48" t="n">
        <f aca="false">C774*(IF($A774&lt;$Q$762,INDEX(Surface_Engine!$D$12:$D$72,$A774+1)+(Surface_Engine!B244*12)*INDEX(Surface_Engine!$F$12:$F$72,$A774+1)-(Surface_Engine!B244*12),1000*12*INDEX(Surface_Engine!$C$12:$C$72,$A774+1)/(1+Assumptions!$B$10)^7+INDEX(Surface_Engine!$D$12:$D$72,$A774+1)))*INDEX(Surface_Engine!$B$12:$B$72,$A774+1)+G775</f>
        <v>104777.80525845</v>
      </c>
      <c r="H774" s="48" t="n">
        <f aca="false">D774*(IF($A774&lt;$Q$762,INDEX(Surface_Engine!$D$12:$D$72,$A774+1)+(Surface_Engine!B244*12)*INDEX(Surface_Engine!$F$12:$F$72,$A774+1)-(Surface_Engine!B244*12),1000*12*INDEX(Surface_Engine!$C$12:$C$72,$A774+1)/(1+Assumptions!$B$10)^7+INDEX(Surface_Engine!$D$12:$D$72,$A774+1)))*INDEX(Surface_Engine!$B$12:$B$72,$A774+1)+H775</f>
        <v>87180.5724899966</v>
      </c>
      <c r="I774" s="48" t="n">
        <f aca="false">E774*(IF($A774&lt;$Q$762,INDEX(Surface_Engine!$D$12:$D$72,$A774+1)+(Surface_Engine!B244*12)*INDEX(Surface_Engine!$F$12:$F$72,$A774+1)-(Surface_Engine!B244*12),1000*12*INDEX(Surface_Engine!$C$12:$C$72,$A774+1)/(1+Assumptions!$B$10)^7+INDEX(Surface_Engine!$D$12:$D$72,$A774+1)))*INDEX(Surface_Engine!$B$12:$B$72,$A774+1)+I775</f>
        <v>98621.9541927591</v>
      </c>
      <c r="J774" s="48" t="n">
        <f aca="false">B774*(IF($A774&lt;$Q$762,INDEX(Surface_Engine!$D$12:$D$72,$A774+1)*(1+Assumptions!$B$24)+(Surface_Engine!B244*12)*INDEX(Surface_Engine!$F$12:$F$72,$A774+1)-(Surface_Engine!B244*12),1000*12*INDEX(Surface_Engine!$C$12:$C$72,$A774+1)/(1+Assumptions!$B$10)^7+INDEX(Surface_Engine!$D$12:$D$72,$A774+1)*(1+Assumptions!$B$24)))*INDEX(Surface_Engine!$B$12:$B$72,$A774+1)+J775</f>
        <v>92838.4181452228</v>
      </c>
      <c r="K774" s="12" t="n">
        <f aca="false">SQRT((IF(C774&lt;=0,0,MAX(0,(B774/C774)*G774/INDEX(Surface_Engine!$B$12:$B$72,$A774+1)-F774/INDEX(Surface_Engine!$B$12:$B$72,$A774+1))))^2+(MAX(IF(D774&lt;=0,0,MAX(0,(B774/D774)*H774/INDEX(Surface_Engine!$B$12:$B$72,$A774+1)-F774/INDEX(Surface_Engine!$B$12:$B$72,$A774+1))),IF(E774&lt;=0,0,MAX(0,(B774/E774)*I774/INDEX(Surface_Engine!$B$12:$B$72,$A774+1)-F774/INDEX(Surface_Engine!$B$12:$B$72,$A774+1))),IF($A774&lt;$Q$762,MAX(0,-Assumptions!$B$22*(F774/INDEX(Surface_Engine!$B$12:$B$72,$A774+1))),0)))^2+(MAX(0,J774/INDEX(Surface_Engine!$B$12:$B$72,$A774+1)-(F774/INDEX(Surface_Engine!$B$12:$B$72,$A774+1))))^2+2*Assumptions!$B$26*(IF(C774&lt;=0,0,MAX(0,(B774/C774)*G774/INDEX(Surface_Engine!$B$12:$B$72,$A774+1)-F774/INDEX(Surface_Engine!$B$12:$B$72,$A774+1))))*(MAX(IF(D774&lt;=0,0,MAX(0,(B774/D774)*H774/INDEX(Surface_Engine!$B$12:$B$72,$A774+1)-F774/INDEX(Surface_Engine!$B$12:$B$72,$A774+1))),IF(E774&lt;=0,0,MAX(0,(B774/E774)*I774/INDEX(Surface_Engine!$B$12:$B$72,$A774+1)-F774/INDEX(Surface_Engine!$B$12:$B$72,$A774+1))),IF($A774&lt;$Q$762,MAX(0,-Assumptions!$B$22*(F774/INDEX(Surface_Engine!$B$12:$B$72,$A774+1))),0)))+2*Assumptions!$B$27*(IF(C774&lt;=0,0,MAX(0,(B774/C774)*G774/INDEX(Surface_Engine!$B$12:$B$72,$A774+1)-F774/INDEX(Surface_Engine!$B$12:$B$72,$A774+1))))*(MAX(0,J774/INDEX(Surface_Engine!$B$12:$B$72,$A774+1)-(F774/INDEX(Surface_Engine!$B$12:$B$72,$A774+1))))+2*Assumptions!$B$28*(MAX(IF(D774&lt;=0,0,MAX(0,(B774/D774)*H774/INDEX(Surface_Engine!$B$12:$B$72,$A774+1)-F774/INDEX(Surface_Engine!$B$12:$B$72,$A774+1))),IF(E774&lt;=0,0,MAX(0,(B774/E774)*I774/INDEX(Surface_Engine!$B$12:$B$72,$A774+1)-F774/INDEX(Surface_Engine!$B$12:$B$72,$A774+1))),IF($A774&lt;$Q$762,MAX(0,-Assumptions!$B$22*(F774/INDEX(Surface_Engine!$B$12:$B$72,$A774+1))),0)))*(MAX(0,J774/INDEX(Surface_Engine!$B$12:$B$72,$A774+1)-(F774/INDEX(Surface_Engine!$B$12:$B$72,$A774+1)))))</f>
        <v>12608.5123820924</v>
      </c>
      <c r="L774" s="48" t="n">
        <f aca="false">K774*INDEX(Surface_Engine!$B$12:$B$72,$A774+1)+L775</f>
        <v>103360.921281576</v>
      </c>
      <c r="M774" s="48" t="n">
        <f aca="false">M773+B773*(IF($A773&lt;$Q$762,(Surface_Engine!B244*12)-(Surface_Engine!B244*12)*INDEX(Surface_Engine!$F$12:$F$72,$A773+1)-INDEX(Surface_Engine!$D$12:$D$72,$A773+1),-(1000*12*INDEX(Surface_Engine!$C$12:$C$72,$A773+1)/(1+Assumptions!$B$10)^7+INDEX(Surface_Engine!$D$12:$D$72,$A773+1))))*INDEX(Surface_Engine!$B$12:$B$72,$A773+1)</f>
        <v>97396.6151418172</v>
      </c>
      <c r="N774" s="12" t="n">
        <f aca="false">IF(B774&lt;=0,0,MAX(0,(K774+Assumptions!$B$29*L774/INDEX(Surface_Engine!$B$12:$B$72,$A774+1)-(M774/INDEX(Surface_Engine!$B$12:$B$72,$A774+1)-(F774/INDEX(Surface_Engine!$B$12:$B$72,$A774+1))))/B774))</f>
        <v>18782.9886983737</v>
      </c>
    </row>
    <row r="775" customFormat="false" ht="15" hidden="false" customHeight="true" outlineLevel="0" collapsed="false">
      <c r="A775" s="1" t="n">
        <v>11</v>
      </c>
      <c r="B775" s="32" t="n">
        <f aca="false">INDEX(Surface_Engine!$O$12:$O$72,$A775+1)*IF($A775&lt;$Q$762,INDEX(Surface_Engine!$E$12:$E$72,$A775+1),INDEX(Surface_Engine!$E$12:$E$72,$Q$762+1))</f>
        <v>0.76523523630541</v>
      </c>
      <c r="C775" s="32" t="n">
        <f aca="false">INDEX(Panel_Reserving!$E$8:$E$68,$A775+1)*IF($A775&lt;$Q$762,INDEX(Surface_Engine!$E$12:$E$72,$A775+1),INDEX(Surface_Engine!$E$12:$E$72,$Q$762+1))</f>
        <v>0.788005169962472</v>
      </c>
      <c r="D775" s="32" t="n">
        <f aca="false">INDEX(Surface_Engine!$O$12:$O$72,$A775+1)*IF($A775&lt;$Q$762,INDEX(Surface_Engine!$Y$12:$Y$72,$A775+1),INDEX(Surface_Engine!$Y$12:$Y$72,$Q$762+1))</f>
        <v>0.719209336769168</v>
      </c>
      <c r="E775" s="32" t="n">
        <f aca="false">INDEX(Surface_Engine!$O$12:$O$72,$A775+1)*IF($A775&lt;$Q$762,INDEX(Surface_Engine!$Z$12:$Z$72,$A775+1),INDEX(Surface_Engine!$Z$12:$Z$72,$Q$762+1))</f>
        <v>0.813596747990985</v>
      </c>
      <c r="F775" s="48" t="n">
        <f aca="false">B775*(IF($A775&lt;$Q$762,INDEX(Surface_Engine!$D$12:$D$72,$A775+1)+(Surface_Engine!B244*12)*INDEX(Surface_Engine!$F$12:$F$72,$A775+1)-(Surface_Engine!B244*12),1000*12*INDEX(Surface_Engine!$C$12:$C$72,$A775+1)/(1+Assumptions!$B$10)^7+INDEX(Surface_Engine!$D$12:$D$72,$A775+1)))*INDEX(Surface_Engine!$B$12:$B$72,$A775+1)+F776</f>
        <v>85221.2301670665</v>
      </c>
      <c r="G775" s="48" t="n">
        <f aca="false">C775*(IF($A775&lt;$Q$762,INDEX(Surface_Engine!$D$12:$D$72,$A775+1)+(Surface_Engine!B244*12)*INDEX(Surface_Engine!$F$12:$F$72,$A775+1)-(Surface_Engine!B244*12),1000*12*INDEX(Surface_Engine!$C$12:$C$72,$A775+1)/(1+Assumptions!$B$10)^7+INDEX(Surface_Engine!$D$12:$D$72,$A775+1)))*INDEX(Surface_Engine!$B$12:$B$72,$A775+1)+G776</f>
        <v>97049.4200192514</v>
      </c>
      <c r="H775" s="48" t="n">
        <f aca="false">D775*(IF($A775&lt;$Q$762,INDEX(Surface_Engine!$D$12:$D$72,$A775+1)+(Surface_Engine!B244*12)*INDEX(Surface_Engine!$F$12:$F$72,$A775+1)-(Surface_Engine!B244*12),1000*12*INDEX(Surface_Engine!$C$12:$C$72,$A775+1)/(1+Assumptions!$B$10)^7+INDEX(Surface_Engine!$D$12:$D$72,$A775+1)))*INDEX(Surface_Engine!$B$12:$B$72,$A775+1)+H776</f>
        <v>80095.5072626146</v>
      </c>
      <c r="I775" s="48" t="n">
        <f aca="false">E775*(IF($A775&lt;$Q$762,INDEX(Surface_Engine!$D$12:$D$72,$A775+1)+(Surface_Engine!B244*12)*INDEX(Surface_Engine!$F$12:$F$72,$A775+1)-(Surface_Engine!B244*12),1000*12*INDEX(Surface_Engine!$C$12:$C$72,$A775+1)/(1+Assumptions!$B$10)^7+INDEX(Surface_Engine!$D$12:$D$72,$A775+1)))*INDEX(Surface_Engine!$B$12:$B$72,$A775+1)+I776</f>
        <v>90607.0609848972</v>
      </c>
      <c r="J775" s="48" t="n">
        <f aca="false">B775*(IF($A775&lt;$Q$762,INDEX(Surface_Engine!$D$12:$D$72,$A775+1)*(1+Assumptions!$B$24)+(Surface_Engine!B244*12)*INDEX(Surface_Engine!$F$12:$F$72,$A775+1)-(Surface_Engine!B244*12),1000*12*INDEX(Surface_Engine!$C$12:$C$72,$A775+1)/(1+Assumptions!$B$10)^7+INDEX(Surface_Engine!$D$12:$D$72,$A775+1)*(1+Assumptions!$B$24)))*INDEX(Surface_Engine!$B$12:$B$72,$A775+1)+J776</f>
        <v>85293.7802458137</v>
      </c>
      <c r="K775" s="12" t="n">
        <f aca="false">SQRT((IF(C775&lt;=0,0,MAX(0,(B775/C775)*G775/INDEX(Surface_Engine!$B$12:$B$72,$A775+1)-F775/INDEX(Surface_Engine!$B$12:$B$72,$A775+1))))^2+(MAX(IF(D775&lt;=0,0,MAX(0,(B775/D775)*H775/INDEX(Surface_Engine!$B$12:$B$72,$A775+1)-F775/INDEX(Surface_Engine!$B$12:$B$72,$A775+1))),IF(E775&lt;=0,0,MAX(0,(B775/E775)*I775/INDEX(Surface_Engine!$B$12:$B$72,$A775+1)-F775/INDEX(Surface_Engine!$B$12:$B$72,$A775+1))),IF($A775&lt;$Q$762,MAX(0,-Assumptions!$B$22*(F775/INDEX(Surface_Engine!$B$12:$B$72,$A775+1))),0)))^2+(MAX(0,J775/INDEX(Surface_Engine!$B$12:$B$72,$A775+1)-(F775/INDEX(Surface_Engine!$B$12:$B$72,$A775+1))))^2+2*Assumptions!$B$26*(IF(C775&lt;=0,0,MAX(0,(B775/C775)*G775/INDEX(Surface_Engine!$B$12:$B$72,$A775+1)-F775/INDEX(Surface_Engine!$B$12:$B$72,$A775+1))))*(MAX(IF(D775&lt;=0,0,MAX(0,(B775/D775)*H775/INDEX(Surface_Engine!$B$12:$B$72,$A775+1)-F775/INDEX(Surface_Engine!$B$12:$B$72,$A775+1))),IF(E775&lt;=0,0,MAX(0,(B775/E775)*I775/INDEX(Surface_Engine!$B$12:$B$72,$A775+1)-F775/INDEX(Surface_Engine!$B$12:$B$72,$A775+1))),IF($A775&lt;$Q$762,MAX(0,-Assumptions!$B$22*(F775/INDEX(Surface_Engine!$B$12:$B$72,$A775+1))),0)))+2*Assumptions!$B$27*(IF(C775&lt;=0,0,MAX(0,(B775/C775)*G775/INDEX(Surface_Engine!$B$12:$B$72,$A775+1)-F775/INDEX(Surface_Engine!$B$12:$B$72,$A775+1))))*(MAX(0,J775/INDEX(Surface_Engine!$B$12:$B$72,$A775+1)-(F775/INDEX(Surface_Engine!$B$12:$B$72,$A775+1))))+2*Assumptions!$B$28*(MAX(IF(D775&lt;=0,0,MAX(0,(B775/D775)*H775/INDEX(Surface_Engine!$B$12:$B$72,$A775+1)-F775/INDEX(Surface_Engine!$B$12:$B$72,$A775+1))),IF(E775&lt;=0,0,MAX(0,(B775/E775)*I775/INDEX(Surface_Engine!$B$12:$B$72,$A775+1)-F775/INDEX(Surface_Engine!$B$12:$B$72,$A775+1))),IF($A775&lt;$Q$762,MAX(0,-Assumptions!$B$22*(F775/INDEX(Surface_Engine!$B$12:$B$72,$A775+1))),0)))*(MAX(0,J775/INDEX(Surface_Engine!$B$12:$B$72,$A775+1)-(F775/INDEX(Surface_Engine!$B$12:$B$72,$A775+1)))))</f>
        <v>12438.0062505974</v>
      </c>
      <c r="L775" s="48" t="n">
        <f aca="false">K775*INDEX(Surface_Engine!$B$12:$B$72,$A775+1)+L776</f>
        <v>93897.5502888121</v>
      </c>
      <c r="M775" s="48" t="n">
        <f aca="false">M774+B774*(IF($A774&lt;$Q$762,(Surface_Engine!B244*12)-(Surface_Engine!B244*12)*INDEX(Surface_Engine!$F$12:$F$72,$A774+1)-INDEX(Surface_Engine!$D$12:$D$72,$A774+1),-(1000*12*INDEX(Surface_Engine!$C$12:$C$72,$A774+1)/(1+Assumptions!$B$10)^7+INDEX(Surface_Engine!$D$12:$D$72,$A774+1))))*INDEX(Surface_Engine!$B$12:$B$72,$A774+1)</f>
        <v>89858.1401995001</v>
      </c>
      <c r="N775" s="12" t="n">
        <f aca="false">IF(B775&lt;=0,0,MAX(0,(K775+Assumptions!$B$29*L775/INDEX(Surface_Engine!$B$12:$B$72,$A775+1)-(M775/INDEX(Surface_Engine!$B$12:$B$72,$A775+1)-(F775/INDEX(Surface_Engine!$B$12:$B$72,$A775+1))))/B775))</f>
        <v>18045.8731508507</v>
      </c>
    </row>
    <row r="776" customFormat="false" ht="15" hidden="false" customHeight="true" outlineLevel="0" collapsed="false">
      <c r="A776" s="1" t="n">
        <v>12</v>
      </c>
      <c r="B776" s="32" t="n">
        <f aca="false">INDEX(Surface_Engine!$O$12:$O$72,$A776+1)*IF($A776&lt;$Q$762,INDEX(Surface_Engine!$E$12:$E$72,$A776+1),INDEX(Surface_Engine!$E$12:$E$72,$Q$762+1))</f>
        <v>0.746560081933111</v>
      </c>
      <c r="C776" s="32" t="n">
        <f aca="false">INDEX(Panel_Reserving!$E$8:$E$68,$A776+1)*IF($A776&lt;$Q$762,INDEX(Surface_Engine!$E$12:$E$72,$A776+1),INDEX(Surface_Engine!$E$12:$E$72,$Q$762+1))</f>
        <v>0.772620496077073</v>
      </c>
      <c r="D776" s="32" t="n">
        <f aca="false">INDEX(Surface_Engine!$O$12:$O$72,$A776+1)*IF($A776&lt;$Q$762,INDEX(Surface_Engine!$Y$12:$Y$72,$A776+1),INDEX(Surface_Engine!$Y$12:$Y$72,$Q$762+1))</f>
        <v>0.701657419720746</v>
      </c>
      <c r="E776" s="32" t="n">
        <f aca="false">INDEX(Surface_Engine!$O$12:$O$72,$A776+1)*IF($A776&lt;$Q$762,INDEX(Surface_Engine!$Z$12:$Z$72,$A776+1),INDEX(Surface_Engine!$Z$12:$Z$72,$Q$762+1))</f>
        <v>0.793741356936478</v>
      </c>
      <c r="F776" s="48" t="n">
        <f aca="false">B776*(IF($A776&lt;$Q$762,INDEX(Surface_Engine!$D$12:$D$72,$A776+1)+(Surface_Engine!B244*12)*INDEX(Surface_Engine!$F$12:$F$72,$A776+1)-(Surface_Engine!B244*12),1000*12*INDEX(Surface_Engine!$C$12:$C$72,$A776+1)/(1+Assumptions!$B$10)^7+INDEX(Surface_Engine!$D$12:$D$72,$A776+1)))*INDEX(Surface_Engine!$B$12:$B$72,$A776+1)+F777</f>
        <v>77935.2634613535</v>
      </c>
      <c r="G776" s="48" t="n">
        <f aca="false">C776*(IF($A776&lt;$Q$762,INDEX(Surface_Engine!$D$12:$D$72,$A776+1)+(Surface_Engine!B244*12)*INDEX(Surface_Engine!$F$12:$F$72,$A776+1)-(Surface_Engine!B244*12),1000*12*INDEX(Surface_Engine!$C$12:$C$72,$A776+1)/(1+Assumptions!$B$10)^7+INDEX(Surface_Engine!$D$12:$D$72,$A776+1)))*INDEX(Surface_Engine!$B$12:$B$72,$A776+1)+G777</f>
        <v>89546.6559541831</v>
      </c>
      <c r="H776" s="48" t="n">
        <f aca="false">D776*(IF($A776&lt;$Q$762,INDEX(Surface_Engine!$D$12:$D$72,$A776+1)+(Surface_Engine!B244*12)*INDEX(Surface_Engine!$F$12:$F$72,$A776+1)-(Surface_Engine!B244*12),1000*12*INDEX(Surface_Engine!$C$12:$C$72,$A776+1)/(1+Assumptions!$B$10)^7+INDEX(Surface_Engine!$D$12:$D$72,$A776+1)))*INDEX(Surface_Engine!$B$12:$B$72,$A776+1)+H777</f>
        <v>73247.7628913051</v>
      </c>
      <c r="I776" s="48" t="n">
        <f aca="false">E776*(IF($A776&lt;$Q$762,INDEX(Surface_Engine!$D$12:$D$72,$A776+1)+(Surface_Engine!B244*12)*INDEX(Surface_Engine!$F$12:$F$72,$A776+1)-(Surface_Engine!B244*12),1000*12*INDEX(Surface_Engine!$C$12:$C$72,$A776+1)/(1+Assumptions!$B$10)^7+INDEX(Surface_Engine!$D$12:$D$72,$A776+1)))*INDEX(Surface_Engine!$B$12:$B$72,$A776+1)+I777</f>
        <v>82860.6340869952</v>
      </c>
      <c r="J776" s="48" t="n">
        <f aca="false">B776*(IF($A776&lt;$Q$762,INDEX(Surface_Engine!$D$12:$D$72,$A776+1)*(1+Assumptions!$B$24)+(Surface_Engine!B244*12)*INDEX(Surface_Engine!$F$12:$F$72,$A776+1)-(Surface_Engine!B244*12),1000*12*INDEX(Surface_Engine!$C$12:$C$72,$A776+1)/(1+Assumptions!$B$10)^7+INDEX(Surface_Engine!$D$12:$D$72,$A776+1)*(1+Assumptions!$B$24)))*INDEX(Surface_Engine!$B$12:$B$72,$A776+1)+J777</f>
        <v>78001.8280582211</v>
      </c>
      <c r="K776" s="12" t="n">
        <f aca="false">SQRT((IF(C776&lt;=0,0,MAX(0,(B776/C776)*G776/INDEX(Surface_Engine!$B$12:$B$72,$A776+1)-F776/INDEX(Surface_Engine!$B$12:$B$72,$A776+1))))^2+(MAX(IF(D776&lt;=0,0,MAX(0,(B776/D776)*H776/INDEX(Surface_Engine!$B$12:$B$72,$A776+1)-F776/INDEX(Surface_Engine!$B$12:$B$72,$A776+1))),IF(E776&lt;=0,0,MAX(0,(B776/E776)*I776/INDEX(Surface_Engine!$B$12:$B$72,$A776+1)-F776/INDEX(Surface_Engine!$B$12:$B$72,$A776+1))),IF($A776&lt;$Q$762,MAX(0,-Assumptions!$B$22*(F776/INDEX(Surface_Engine!$B$12:$B$72,$A776+1))),0)))^2+(MAX(0,J776/INDEX(Surface_Engine!$B$12:$B$72,$A776+1)-(F776/INDEX(Surface_Engine!$B$12:$B$72,$A776+1))))^2+2*Assumptions!$B$26*(IF(C776&lt;=0,0,MAX(0,(B776/C776)*G776/INDEX(Surface_Engine!$B$12:$B$72,$A776+1)-F776/INDEX(Surface_Engine!$B$12:$B$72,$A776+1))))*(MAX(IF(D776&lt;=0,0,MAX(0,(B776/D776)*H776/INDEX(Surface_Engine!$B$12:$B$72,$A776+1)-F776/INDEX(Surface_Engine!$B$12:$B$72,$A776+1))),IF(E776&lt;=0,0,MAX(0,(B776/E776)*I776/INDEX(Surface_Engine!$B$12:$B$72,$A776+1)-F776/INDEX(Surface_Engine!$B$12:$B$72,$A776+1))),IF($A776&lt;$Q$762,MAX(0,-Assumptions!$B$22*(F776/INDEX(Surface_Engine!$B$12:$B$72,$A776+1))),0)))+2*Assumptions!$B$27*(IF(C776&lt;=0,0,MAX(0,(B776/C776)*G776/INDEX(Surface_Engine!$B$12:$B$72,$A776+1)-F776/INDEX(Surface_Engine!$B$12:$B$72,$A776+1))))*(MAX(0,J776/INDEX(Surface_Engine!$B$12:$B$72,$A776+1)-(F776/INDEX(Surface_Engine!$B$12:$B$72,$A776+1))))+2*Assumptions!$B$28*(MAX(IF(D776&lt;=0,0,MAX(0,(B776/D776)*H776/INDEX(Surface_Engine!$B$12:$B$72,$A776+1)-F776/INDEX(Surface_Engine!$B$12:$B$72,$A776+1))),IF(E776&lt;=0,0,MAX(0,(B776/E776)*I776/INDEX(Surface_Engine!$B$12:$B$72,$A776+1)-F776/INDEX(Surface_Engine!$B$12:$B$72,$A776+1))),IF($A776&lt;$Q$762,MAX(0,-Assumptions!$B$22*(F776/INDEX(Surface_Engine!$B$12:$B$72,$A776+1))),0)))*(MAX(0,J776/INDEX(Surface_Engine!$B$12:$B$72,$A776+1)-(F776/INDEX(Surface_Engine!$B$12:$B$72,$A776+1)))))</f>
        <v>12261.3375944338</v>
      </c>
      <c r="L776" s="48" t="n">
        <f aca="false">K776*INDEX(Surface_Engine!$B$12:$B$72,$A776+1)+L777</f>
        <v>84855.2576134984</v>
      </c>
      <c r="M776" s="48" t="n">
        <f aca="false">M775+B775*(IF($A775&lt;$Q$762,(Surface_Engine!B244*12)-(Surface_Engine!B244*12)*INDEX(Surface_Engine!$F$12:$F$72,$A775+1)-INDEX(Surface_Engine!$D$12:$D$72,$A775+1),-(1000*12*INDEX(Surface_Engine!$C$12:$C$72,$A775+1)/(1+Assumptions!$B$10)^7+INDEX(Surface_Engine!$D$12:$D$72,$A775+1))))*INDEX(Surface_Engine!$B$12:$B$72,$A775+1)</f>
        <v>82572.1734937871</v>
      </c>
      <c r="N776" s="12" t="n">
        <f aca="false">IF(B776&lt;=0,0,MAX(0,(K776+Assumptions!$B$29*L776/INDEX(Surface_Engine!$B$12:$B$72,$A776+1)-(M776/INDEX(Surface_Engine!$B$12:$B$72,$A776+1)-(F776/INDEX(Surface_Engine!$B$12:$B$72,$A776+1))))/B776))</f>
        <v>17290.7818169125</v>
      </c>
    </row>
    <row r="777" customFormat="false" ht="15" hidden="false" customHeight="true" outlineLevel="0" collapsed="false">
      <c r="A777" s="1" t="n">
        <v>13</v>
      </c>
      <c r="B777" s="32" t="n">
        <f aca="false">INDEX(Surface_Engine!$O$12:$O$72,$A777+1)*IF($A777&lt;$Q$762,INDEX(Surface_Engine!$E$12:$E$72,$A777+1),INDEX(Surface_Engine!$E$12:$E$72,$Q$762+1))</f>
        <v>0.725425373694031</v>
      </c>
      <c r="C777" s="32" t="n">
        <f aca="false">INDEX(Panel_Reserving!$E$8:$E$68,$A777+1)*IF($A777&lt;$Q$762,INDEX(Surface_Engine!$E$12:$E$72,$A777+1),INDEX(Surface_Engine!$E$12:$E$72,$Q$762+1))</f>
        <v>0.755122524611103</v>
      </c>
      <c r="D777" s="32" t="n">
        <f aca="false">INDEX(Surface_Engine!$O$12:$O$72,$A777+1)*IF($A777&lt;$Q$762,INDEX(Surface_Engine!$Y$12:$Y$72,$A777+1),INDEX(Surface_Engine!$Y$12:$Y$72,$Q$762+1))</f>
        <v>0.681793881328517</v>
      </c>
      <c r="E777" s="32" t="n">
        <f aca="false">INDEX(Surface_Engine!$O$12:$O$72,$A777+1)*IF($A777&lt;$Q$762,INDEX(Surface_Engine!$Z$12:$Z$72,$A777+1),INDEX(Surface_Engine!$Z$12:$Z$72,$Q$762+1))</f>
        <v>0.771270972566735</v>
      </c>
      <c r="F777" s="48" t="n">
        <f aca="false">B777*(IF($A777&lt;$Q$762,INDEX(Surface_Engine!$D$12:$D$72,$A777+1)+(Surface_Engine!B244*12)*INDEX(Surface_Engine!$F$12:$F$72,$A777+1)-(Surface_Engine!B244*12),1000*12*INDEX(Surface_Engine!$C$12:$C$72,$A777+1)/(1+Assumptions!$B$10)^7+INDEX(Surface_Engine!$D$12:$D$72,$A777+1)))*INDEX(Surface_Engine!$B$12:$B$72,$A777+1)+F778</f>
        <v>70933.5399432996</v>
      </c>
      <c r="G777" s="48" t="n">
        <f aca="false">C777*(IF($A777&lt;$Q$762,INDEX(Surface_Engine!$D$12:$D$72,$A777+1)+(Surface_Engine!B244*12)*INDEX(Surface_Engine!$F$12:$F$72,$A777+1)-(Surface_Engine!B244*12),1000*12*INDEX(Surface_Engine!$C$12:$C$72,$A777+1)/(1+Assumptions!$B$10)^7+INDEX(Surface_Engine!$D$12:$D$72,$A777+1)))*INDEX(Surface_Engine!$B$12:$B$72,$A777+1)+G778</f>
        <v>82300.5210096175</v>
      </c>
      <c r="H777" s="48" t="n">
        <f aca="false">D777*(IF($A777&lt;$Q$762,INDEX(Surface_Engine!$D$12:$D$72,$A777+1)+(Surface_Engine!B244*12)*INDEX(Surface_Engine!$F$12:$F$72,$A777+1)-(Surface_Engine!B244*12),1000*12*INDEX(Surface_Engine!$C$12:$C$72,$A777+1)/(1+Assumptions!$B$10)^7+INDEX(Surface_Engine!$D$12:$D$72,$A777+1)))*INDEX(Surface_Engine!$B$12:$B$72,$A777+1)+H778</f>
        <v>66667.1655942266</v>
      </c>
      <c r="I777" s="48" t="n">
        <f aca="false">E777*(IF($A777&lt;$Q$762,INDEX(Surface_Engine!$D$12:$D$72,$A777+1)+(Surface_Engine!B244*12)*INDEX(Surface_Engine!$F$12:$F$72,$A777+1)-(Surface_Engine!B244*12),1000*12*INDEX(Surface_Engine!$C$12:$C$72,$A777+1)/(1+Assumptions!$B$10)^7+INDEX(Surface_Engine!$D$12:$D$72,$A777+1)))*INDEX(Surface_Engine!$B$12:$B$72,$A777+1)+I778</f>
        <v>75416.4140428112</v>
      </c>
      <c r="J777" s="48" t="n">
        <f aca="false">B777*(IF($A777&lt;$Q$762,INDEX(Surface_Engine!$D$12:$D$72,$A777+1)*(1+Assumptions!$B$24)+(Surface_Engine!B244*12)*INDEX(Surface_Engine!$F$12:$F$72,$A777+1)-(Surface_Engine!B244*12),1000*12*INDEX(Surface_Engine!$C$12:$C$72,$A777+1)/(1+Assumptions!$B$10)^7+INDEX(Surface_Engine!$D$12:$D$72,$A777+1)*(1+Assumptions!$B$24)))*INDEX(Surface_Engine!$B$12:$B$72,$A777+1)+J778</f>
        <v>70994.3246032244</v>
      </c>
      <c r="K777" s="12" t="n">
        <f aca="false">SQRT((IF(C777&lt;=0,0,MAX(0,(B777/C777)*G777/INDEX(Surface_Engine!$B$12:$B$72,$A777+1)-F777/INDEX(Surface_Engine!$B$12:$B$72,$A777+1))))^2+(MAX(IF(D777&lt;=0,0,MAX(0,(B777/D777)*H777/INDEX(Surface_Engine!$B$12:$B$72,$A777+1)-F777/INDEX(Surface_Engine!$B$12:$B$72,$A777+1))),IF(E777&lt;=0,0,MAX(0,(B777/E777)*I777/INDEX(Surface_Engine!$B$12:$B$72,$A777+1)-F777/INDEX(Surface_Engine!$B$12:$B$72,$A777+1))),IF($A777&lt;$Q$762,MAX(0,-Assumptions!$B$22*(F777/INDEX(Surface_Engine!$B$12:$B$72,$A777+1))),0)))^2+(MAX(0,J777/INDEX(Surface_Engine!$B$12:$B$72,$A777+1)-(F777/INDEX(Surface_Engine!$B$12:$B$72,$A777+1))))^2+2*Assumptions!$B$26*(IF(C777&lt;=0,0,MAX(0,(B777/C777)*G777/INDEX(Surface_Engine!$B$12:$B$72,$A777+1)-F777/INDEX(Surface_Engine!$B$12:$B$72,$A777+1))))*(MAX(IF(D777&lt;=0,0,MAX(0,(B777/D777)*H777/INDEX(Surface_Engine!$B$12:$B$72,$A777+1)-F777/INDEX(Surface_Engine!$B$12:$B$72,$A777+1))),IF(E777&lt;=0,0,MAX(0,(B777/E777)*I777/INDEX(Surface_Engine!$B$12:$B$72,$A777+1)-F777/INDEX(Surface_Engine!$B$12:$B$72,$A777+1))),IF($A777&lt;$Q$762,MAX(0,-Assumptions!$B$22*(F777/INDEX(Surface_Engine!$B$12:$B$72,$A777+1))),0)))+2*Assumptions!$B$27*(IF(C777&lt;=0,0,MAX(0,(B777/C777)*G777/INDEX(Surface_Engine!$B$12:$B$72,$A777+1)-F777/INDEX(Surface_Engine!$B$12:$B$72,$A777+1))))*(MAX(0,J777/INDEX(Surface_Engine!$B$12:$B$72,$A777+1)-(F777/INDEX(Surface_Engine!$B$12:$B$72,$A777+1))))+2*Assumptions!$B$28*(MAX(IF(D777&lt;=0,0,MAX(0,(B777/D777)*H777/INDEX(Surface_Engine!$B$12:$B$72,$A777+1)-F777/INDEX(Surface_Engine!$B$12:$B$72,$A777+1))),IF(E777&lt;=0,0,MAX(0,(B777/E777)*I777/INDEX(Surface_Engine!$B$12:$B$72,$A777+1)-F777/INDEX(Surface_Engine!$B$12:$B$72,$A777+1))),IF($A777&lt;$Q$762,MAX(0,-Assumptions!$B$22*(F777/INDEX(Surface_Engine!$B$12:$B$72,$A777+1))),0)))*(MAX(0,J777/INDEX(Surface_Engine!$B$12:$B$72,$A777+1)-(F777/INDEX(Surface_Engine!$B$12:$B$72,$A777+1)))))</f>
        <v>12012.1667856084</v>
      </c>
      <c r="L777" s="48" t="n">
        <f aca="false">K777*INDEX(Surface_Engine!$B$12:$B$72,$A777+1)+L778</f>
        <v>76247.3826731379</v>
      </c>
      <c r="M777" s="48" t="n">
        <f aca="false">M776+B776*(IF($A776&lt;$Q$762,(Surface_Engine!B244*12)-(Surface_Engine!B244*12)*INDEX(Surface_Engine!$F$12:$F$72,$A776+1)-INDEX(Surface_Engine!$D$12:$D$72,$A776+1),-(1000*12*INDEX(Surface_Engine!$C$12:$C$72,$A776+1)/(1+Assumptions!$B$10)^7+INDEX(Surface_Engine!$D$12:$D$72,$A776+1))))*INDEX(Surface_Engine!$B$12:$B$72,$A776+1)</f>
        <v>75570.4499757332</v>
      </c>
      <c r="N777" s="12" t="n">
        <f aca="false">IF(B777&lt;=0,0,MAX(0,(K777+Assumptions!$B$29*L777/INDEX(Surface_Engine!$B$12:$B$72,$A777+1)-(M777/INDEX(Surface_Engine!$B$12:$B$72,$A777+1)-(F777/INDEX(Surface_Engine!$B$12:$B$72,$A777+1))))/B777))</f>
        <v>16432.6190747149</v>
      </c>
    </row>
    <row r="778" customFormat="false" ht="15" hidden="false" customHeight="true" outlineLevel="0" collapsed="false">
      <c r="A778" s="1" t="n">
        <v>14</v>
      </c>
      <c r="B778" s="32" t="n">
        <f aca="false">INDEX(Surface_Engine!$O$12:$O$72,$A778+1)*IF($A778&lt;$Q$762,INDEX(Surface_Engine!$E$12:$E$72,$A778+1),INDEX(Surface_Engine!$E$12:$E$72,$Q$762+1))</f>
        <v>0.702377676651892</v>
      </c>
      <c r="C778" s="32" t="n">
        <f aca="false">INDEX(Panel_Reserving!$E$8:$E$68,$A778+1)*IF($A778&lt;$Q$762,INDEX(Surface_Engine!$E$12:$E$72,$A778+1),INDEX(Surface_Engine!$E$12:$E$72,$Q$762+1))</f>
        <v>0.735929553636506</v>
      </c>
      <c r="D778" s="32" t="n">
        <f aca="false">INDEX(Surface_Engine!$O$12:$O$72,$A778+1)*IF($A778&lt;$Q$762,INDEX(Surface_Engine!$Y$12:$Y$72,$A778+1),INDEX(Surface_Engine!$Y$12:$Y$72,$Q$762+1))</f>
        <v>0.660132412910304</v>
      </c>
      <c r="E778" s="32" t="n">
        <f aca="false">INDEX(Surface_Engine!$O$12:$O$72,$A778+1)*IF($A778&lt;$Q$762,INDEX(Surface_Engine!$Z$12:$Z$72,$A778+1),INDEX(Surface_Engine!$Z$12:$Z$72,$Q$762+1))</f>
        <v>0.746766701889526</v>
      </c>
      <c r="F778" s="48" t="n">
        <f aca="false">B778*(IF($A778&lt;$Q$762,INDEX(Surface_Engine!$D$12:$D$72,$A778+1)+(Surface_Engine!B244*12)*INDEX(Surface_Engine!$F$12:$F$72,$A778+1)-(Surface_Engine!B244*12),1000*12*INDEX(Surface_Engine!$C$12:$C$72,$A778+1)/(1+Assumptions!$B$10)^7+INDEX(Surface_Engine!$D$12:$D$72,$A778+1)))*INDEX(Surface_Engine!$B$12:$B$72,$A778+1)+F779</f>
        <v>64230.0634213958</v>
      </c>
      <c r="G778" s="48" t="n">
        <f aca="false">C778*(IF($A778&lt;$Q$762,INDEX(Surface_Engine!$D$12:$D$72,$A778+1)+(Surface_Engine!B244*12)*INDEX(Surface_Engine!$F$12:$F$72,$A778+1)-(Surface_Engine!B244*12),1000*12*INDEX(Surface_Engine!$C$12:$C$72,$A778+1)/(1+Assumptions!$B$10)^7+INDEX(Surface_Engine!$D$12:$D$72,$A778+1)))*INDEX(Surface_Engine!$B$12:$B$72,$A778+1)+G779</f>
        <v>75322.620458504</v>
      </c>
      <c r="H778" s="48" t="n">
        <f aca="false">D778*(IF($A778&lt;$Q$762,INDEX(Surface_Engine!$D$12:$D$72,$A778+1)+(Surface_Engine!B244*12)*INDEX(Surface_Engine!$F$12:$F$72,$A778+1)-(Surface_Engine!B244*12),1000*12*INDEX(Surface_Engine!$C$12:$C$72,$A778+1)/(1+Assumptions!$B$10)^7+INDEX(Surface_Engine!$D$12:$D$72,$A778+1)))*INDEX(Surface_Engine!$B$12:$B$72,$A778+1)+H779</f>
        <v>60366.876905688</v>
      </c>
      <c r="I778" s="48" t="n">
        <f aca="false">E778*(IF($A778&lt;$Q$762,INDEX(Surface_Engine!$D$12:$D$72,$A778+1)+(Surface_Engine!B244*12)*INDEX(Surface_Engine!$F$12:$F$72,$A778+1)-(Surface_Engine!B244*12),1000*12*INDEX(Surface_Engine!$C$12:$C$72,$A778+1)/(1+Assumptions!$B$10)^7+INDEX(Surface_Engine!$D$12:$D$72,$A778+1)))*INDEX(Surface_Engine!$B$12:$B$72,$A778+1)+I779</f>
        <v>68289.2896767317</v>
      </c>
      <c r="J778" s="48" t="n">
        <f aca="false">B778*(IF($A778&lt;$Q$762,INDEX(Surface_Engine!$D$12:$D$72,$A778+1)*(1+Assumptions!$B$24)+(Surface_Engine!B244*12)*INDEX(Surface_Engine!$F$12:$F$72,$A778+1)-(Surface_Engine!B244*12),1000*12*INDEX(Surface_Engine!$C$12:$C$72,$A778+1)/(1+Assumptions!$B$10)^7+INDEX(Surface_Engine!$D$12:$D$72,$A778+1)*(1+Assumptions!$B$24)))*INDEX(Surface_Engine!$B$12:$B$72,$A778+1)+J779</f>
        <v>64285.287446748</v>
      </c>
      <c r="K778" s="12" t="n">
        <f aca="false">SQRT((IF(C778&lt;=0,0,MAX(0,(B778/C778)*G778/INDEX(Surface_Engine!$B$12:$B$72,$A778+1)-F778/INDEX(Surface_Engine!$B$12:$B$72,$A778+1))))^2+(MAX(IF(D778&lt;=0,0,MAX(0,(B778/D778)*H778/INDEX(Surface_Engine!$B$12:$B$72,$A778+1)-F778/INDEX(Surface_Engine!$B$12:$B$72,$A778+1))),IF(E778&lt;=0,0,MAX(0,(B778/E778)*I778/INDEX(Surface_Engine!$B$12:$B$72,$A778+1)-F778/INDEX(Surface_Engine!$B$12:$B$72,$A778+1))),IF($A778&lt;$Q$762,MAX(0,-Assumptions!$B$22*(F778/INDEX(Surface_Engine!$B$12:$B$72,$A778+1))),0)))^2+(MAX(0,J778/INDEX(Surface_Engine!$B$12:$B$72,$A778+1)-(F778/INDEX(Surface_Engine!$B$12:$B$72,$A778+1))))^2+2*Assumptions!$B$26*(IF(C778&lt;=0,0,MAX(0,(B778/C778)*G778/INDEX(Surface_Engine!$B$12:$B$72,$A778+1)-F778/INDEX(Surface_Engine!$B$12:$B$72,$A778+1))))*(MAX(IF(D778&lt;=0,0,MAX(0,(B778/D778)*H778/INDEX(Surface_Engine!$B$12:$B$72,$A778+1)-F778/INDEX(Surface_Engine!$B$12:$B$72,$A778+1))),IF(E778&lt;=0,0,MAX(0,(B778/E778)*I778/INDEX(Surface_Engine!$B$12:$B$72,$A778+1)-F778/INDEX(Surface_Engine!$B$12:$B$72,$A778+1))),IF($A778&lt;$Q$762,MAX(0,-Assumptions!$B$22*(F778/INDEX(Surface_Engine!$B$12:$B$72,$A778+1))),0)))+2*Assumptions!$B$27*(IF(C778&lt;=0,0,MAX(0,(B778/C778)*G778/INDEX(Surface_Engine!$B$12:$B$72,$A778+1)-F778/INDEX(Surface_Engine!$B$12:$B$72,$A778+1))))*(MAX(0,J778/INDEX(Surface_Engine!$B$12:$B$72,$A778+1)-(F778/INDEX(Surface_Engine!$B$12:$B$72,$A778+1))))+2*Assumptions!$B$28*(MAX(IF(D778&lt;=0,0,MAX(0,(B778/D778)*H778/INDEX(Surface_Engine!$B$12:$B$72,$A778+1)-F778/INDEX(Surface_Engine!$B$12:$B$72,$A778+1))),IF(E778&lt;=0,0,MAX(0,(B778/E778)*I778/INDEX(Surface_Engine!$B$12:$B$72,$A778+1)-F778/INDEX(Surface_Engine!$B$12:$B$72,$A778+1))),IF($A778&lt;$Q$762,MAX(0,-Assumptions!$B$22*(F778/INDEX(Surface_Engine!$B$12:$B$72,$A778+1))),0)))*(MAX(0,J778/INDEX(Surface_Engine!$B$12:$B$72,$A778+1)-(F778/INDEX(Surface_Engine!$B$12:$B$72,$A778+1)))))</f>
        <v>11705.1250077162</v>
      </c>
      <c r="L778" s="48" t="n">
        <f aca="false">K778*INDEX(Surface_Engine!$B$12:$B$72,$A778+1)+L779</f>
        <v>68101.6741716807</v>
      </c>
      <c r="M778" s="48" t="n">
        <f aca="false">M777+B777*(IF($A777&lt;$Q$762,(Surface_Engine!B244*12)-(Surface_Engine!B244*12)*INDEX(Surface_Engine!$F$12:$F$72,$A777+1)-INDEX(Surface_Engine!$D$12:$D$72,$A777+1),-(1000*12*INDEX(Surface_Engine!$C$12:$C$72,$A777+1)/(1+Assumptions!$B$10)^7+INDEX(Surface_Engine!$D$12:$D$72,$A777+1))))*INDEX(Surface_Engine!$B$12:$B$72,$A777+1)</f>
        <v>68866.9734538294</v>
      </c>
      <c r="N778" s="12" t="n">
        <f aca="false">IF(B778&lt;=0,0,MAX(0,(K778+Assumptions!$B$29*L778/INDEX(Surface_Engine!$B$12:$B$72,$A778+1)-(M778/INDEX(Surface_Engine!$B$12:$B$72,$A778+1)-(F778/INDEX(Surface_Engine!$B$12:$B$72,$A778+1))))/B778))</f>
        <v>15468.6199145298</v>
      </c>
    </row>
    <row r="779" customFormat="false" ht="15" hidden="false" customHeight="true" outlineLevel="0" collapsed="false">
      <c r="A779" s="1" t="n">
        <v>15</v>
      </c>
      <c r="B779" s="32" t="n">
        <f aca="false">INDEX(Surface_Engine!$O$12:$O$72,$A779+1)*IF($A779&lt;$Q$762,INDEX(Surface_Engine!$E$12:$E$72,$A779+1),INDEX(Surface_Engine!$E$12:$E$72,$Q$762+1))</f>
        <v>0.677329276448429</v>
      </c>
      <c r="C779" s="32" t="n">
        <f aca="false">INDEX(Panel_Reserving!$E$8:$E$68,$A779+1)*IF($A779&lt;$Q$762,INDEX(Surface_Engine!$E$12:$E$72,$A779+1),INDEX(Surface_Engine!$E$12:$E$72,$Q$762+1))</f>
        <v>0.714933603914511</v>
      </c>
      <c r="D779" s="32" t="n">
        <f aca="false">INDEX(Surface_Engine!$O$12:$O$72,$A779+1)*IF($A779&lt;$Q$762,INDEX(Surface_Engine!$Y$12:$Y$72,$A779+1),INDEX(Surface_Engine!$Y$12:$Y$72,$Q$762+1))</f>
        <v>0.636590575782627</v>
      </c>
      <c r="E779" s="32" t="n">
        <f aca="false">INDEX(Surface_Engine!$O$12:$O$72,$A779+1)*IF($A779&lt;$Q$762,INDEX(Surface_Engine!$Z$12:$Z$72,$A779+1),INDEX(Surface_Engine!$Z$12:$Z$72,$Q$762+1))</f>
        <v>0.720135287154488</v>
      </c>
      <c r="F779" s="48" t="n">
        <f aca="false">B779*(IF($A779&lt;$Q$762,INDEX(Surface_Engine!$D$12:$D$72,$A779+1)+(Surface_Engine!B244*12)*INDEX(Surface_Engine!$F$12:$F$72,$A779+1)-(Surface_Engine!B244*12),1000*12*INDEX(Surface_Engine!$C$12:$C$72,$A779+1)/(1+Assumptions!$B$10)^7+INDEX(Surface_Engine!$D$12:$D$72,$A779+1)))*INDEX(Surface_Engine!$B$12:$B$72,$A779+1)+F780</f>
        <v>57830.5132000174</v>
      </c>
      <c r="G779" s="48" t="n">
        <f aca="false">C779*(IF($A779&lt;$Q$762,INDEX(Surface_Engine!$D$12:$D$72,$A779+1)+(Surface_Engine!B244*12)*INDEX(Surface_Engine!$F$12:$F$72,$A779+1)-(Surface_Engine!B244*12),1000*12*INDEX(Surface_Engine!$C$12:$C$72,$A779+1)/(1+Assumptions!$B$10)^7+INDEX(Surface_Engine!$D$12:$D$72,$A779+1)))*INDEX(Surface_Engine!$B$12:$B$72,$A779+1)+G780</f>
        <v>68617.3701431134</v>
      </c>
      <c r="H779" s="48" t="n">
        <f aca="false">D779*(IF($A779&lt;$Q$762,INDEX(Surface_Engine!$D$12:$D$72,$A779+1)+(Surface_Engine!B244*12)*INDEX(Surface_Engine!$F$12:$F$72,$A779+1)-(Surface_Engine!B244*12),1000*12*INDEX(Surface_Engine!$C$12:$C$72,$A779+1)/(1+Assumptions!$B$10)^7+INDEX(Surface_Engine!$D$12:$D$72,$A779+1)))*INDEX(Surface_Engine!$B$12:$B$72,$A779+1)+H780</f>
        <v>54352.2345421708</v>
      </c>
      <c r="I779" s="48" t="n">
        <f aca="false">E779*(IF($A779&lt;$Q$762,INDEX(Surface_Engine!$D$12:$D$72,$A779+1)+(Surface_Engine!B244*12)*INDEX(Surface_Engine!$F$12:$F$72,$A779+1)-(Surface_Engine!B244*12),1000*12*INDEX(Surface_Engine!$C$12:$C$72,$A779+1)/(1+Assumptions!$B$10)^7+INDEX(Surface_Engine!$D$12:$D$72,$A779+1)))*INDEX(Surface_Engine!$B$12:$B$72,$A779+1)+I780</f>
        <v>61485.2992151104</v>
      </c>
      <c r="J779" s="48" t="n">
        <f aca="false">B779*(IF($A779&lt;$Q$762,INDEX(Surface_Engine!$D$12:$D$72,$A779+1)*(1+Assumptions!$B$24)+(Surface_Engine!B244*12)*INDEX(Surface_Engine!$F$12:$F$72,$A779+1)-(Surface_Engine!B244*12),1000*12*INDEX(Surface_Engine!$C$12:$C$72,$A779+1)/(1+Assumptions!$B$10)^7+INDEX(Surface_Engine!$D$12:$D$72,$A779+1)*(1+Assumptions!$B$24)))*INDEX(Surface_Engine!$B$12:$B$72,$A779+1)+J780</f>
        <v>57880.4028969684</v>
      </c>
      <c r="K779" s="12" t="n">
        <f aca="false">SQRT((IF(C779&lt;=0,0,MAX(0,(B779/C779)*G779/INDEX(Surface_Engine!$B$12:$B$72,$A779+1)-F779/INDEX(Surface_Engine!$B$12:$B$72,$A779+1))))^2+(MAX(IF(D779&lt;=0,0,MAX(0,(B779/D779)*H779/INDEX(Surface_Engine!$B$12:$B$72,$A779+1)-F779/INDEX(Surface_Engine!$B$12:$B$72,$A779+1))),IF(E779&lt;=0,0,MAX(0,(B779/E779)*I779/INDEX(Surface_Engine!$B$12:$B$72,$A779+1)-F779/INDEX(Surface_Engine!$B$12:$B$72,$A779+1))),IF($A779&lt;$Q$762,MAX(0,-Assumptions!$B$22*(F779/INDEX(Surface_Engine!$B$12:$B$72,$A779+1))),0)))^2+(MAX(0,J779/INDEX(Surface_Engine!$B$12:$B$72,$A779+1)-(F779/INDEX(Surface_Engine!$B$12:$B$72,$A779+1))))^2+2*Assumptions!$B$26*(IF(C779&lt;=0,0,MAX(0,(B779/C779)*G779/INDEX(Surface_Engine!$B$12:$B$72,$A779+1)-F779/INDEX(Surface_Engine!$B$12:$B$72,$A779+1))))*(MAX(IF(D779&lt;=0,0,MAX(0,(B779/D779)*H779/INDEX(Surface_Engine!$B$12:$B$72,$A779+1)-F779/INDEX(Surface_Engine!$B$12:$B$72,$A779+1))),IF(E779&lt;=0,0,MAX(0,(B779/E779)*I779/INDEX(Surface_Engine!$B$12:$B$72,$A779+1)-F779/INDEX(Surface_Engine!$B$12:$B$72,$A779+1))),IF($A779&lt;$Q$762,MAX(0,-Assumptions!$B$22*(F779/INDEX(Surface_Engine!$B$12:$B$72,$A779+1))),0)))+2*Assumptions!$B$27*(IF(C779&lt;=0,0,MAX(0,(B779/C779)*G779/INDEX(Surface_Engine!$B$12:$B$72,$A779+1)-F779/INDEX(Surface_Engine!$B$12:$B$72,$A779+1))))*(MAX(0,J779/INDEX(Surface_Engine!$B$12:$B$72,$A779+1)-(F779/INDEX(Surface_Engine!$B$12:$B$72,$A779+1))))+2*Assumptions!$B$28*(MAX(IF(D779&lt;=0,0,MAX(0,(B779/D779)*H779/INDEX(Surface_Engine!$B$12:$B$72,$A779+1)-F779/INDEX(Surface_Engine!$B$12:$B$72,$A779+1))),IF(E779&lt;=0,0,MAX(0,(B779/E779)*I779/INDEX(Surface_Engine!$B$12:$B$72,$A779+1)-F779/INDEX(Surface_Engine!$B$12:$B$72,$A779+1))),IF($A779&lt;$Q$762,MAX(0,-Assumptions!$B$22*(F779/INDEX(Surface_Engine!$B$12:$B$72,$A779+1))),0)))*(MAX(0,J779/INDEX(Surface_Engine!$B$12:$B$72,$A779+1)-(F779/INDEX(Surface_Engine!$B$12:$B$72,$A779+1)))))</f>
        <v>11378.1370059726</v>
      </c>
      <c r="L779" s="48" t="n">
        <f aca="false">K779*INDEX(Surface_Engine!$B$12:$B$72,$A779+1)+L780</f>
        <v>60429.1699303267</v>
      </c>
      <c r="M779" s="48" t="n">
        <f aca="false">M778+B778*(IF($A778&lt;$Q$762,(Surface_Engine!B244*12)-(Surface_Engine!B244*12)*INDEX(Surface_Engine!$F$12:$F$72,$A778+1)-INDEX(Surface_Engine!$D$12:$D$72,$A778+1),-(1000*12*INDEX(Surface_Engine!$C$12:$C$72,$A778+1)/(1+Assumptions!$B$10)^7+INDEX(Surface_Engine!$D$12:$D$72,$A778+1))))*INDEX(Surface_Engine!$B$12:$B$72,$A778+1)</f>
        <v>62467.423232451</v>
      </c>
      <c r="N779" s="12" t="n">
        <f aca="false">IF(B779&lt;=0,0,MAX(0,(K779+Assumptions!$B$29*L779/INDEX(Surface_Engine!$B$12:$B$72,$A779+1)-(M779/INDEX(Surface_Engine!$B$12:$B$72,$A779+1)-(F779/INDEX(Surface_Engine!$B$12:$B$72,$A779+1))))/B779))</f>
        <v>14436.1922023757</v>
      </c>
    </row>
    <row r="780" customFormat="false" ht="15" hidden="false" customHeight="true" outlineLevel="0" collapsed="false">
      <c r="A780" s="1" t="n">
        <v>16</v>
      </c>
      <c r="B780" s="32" t="n">
        <f aca="false">INDEX(Surface_Engine!$O$12:$O$72,$A780+1)*IF($A780&lt;$Q$762,INDEX(Surface_Engine!$E$12:$E$72,$A780+1),INDEX(Surface_Engine!$E$12:$E$72,$Q$762+1))</f>
        <v>0.650220073097857</v>
      </c>
      <c r="C780" s="32" t="n">
        <f aca="false">INDEX(Panel_Reserving!$E$8:$E$68,$A780+1)*IF($A780&lt;$Q$762,INDEX(Surface_Engine!$E$12:$E$72,$A780+1),INDEX(Surface_Engine!$E$12:$E$72,$Q$762+1))</f>
        <v>0.692042190683652</v>
      </c>
      <c r="D780" s="32" t="n">
        <f aca="false">INDEX(Surface_Engine!$O$12:$O$72,$A780+1)*IF($A780&lt;$Q$762,INDEX(Surface_Engine!$Y$12:$Y$72,$A780+1),INDEX(Surface_Engine!$Y$12:$Y$72,$Q$762+1))</f>
        <v>0.611111884738239</v>
      </c>
      <c r="E780" s="32" t="n">
        <f aca="false">INDEX(Surface_Engine!$O$12:$O$72,$A780+1)*IF($A780&lt;$Q$762,INDEX(Surface_Engine!$Z$12:$Z$72,$A780+1),INDEX(Surface_Engine!$Z$12:$Z$72,$Q$762+1))</f>
        <v>0.691312830163173</v>
      </c>
      <c r="F780" s="48" t="n">
        <f aca="false">B780*(IF($A780&lt;$Q$762,INDEX(Surface_Engine!$D$12:$D$72,$A780+1)+(Surface_Engine!B244*12)*INDEX(Surface_Engine!$F$12:$F$72,$A780+1)-(Surface_Engine!B244*12),1000*12*INDEX(Surface_Engine!$C$12:$C$72,$A780+1)/(1+Assumptions!$B$10)^7+INDEX(Surface_Engine!$D$12:$D$72,$A780+1)))*INDEX(Surface_Engine!$B$12:$B$72,$A780+1)+F781</f>
        <v>51761.5686050994</v>
      </c>
      <c r="G780" s="48" t="n">
        <f aca="false">C780*(IF($A780&lt;$Q$762,INDEX(Surface_Engine!$D$12:$D$72,$A780+1)+(Surface_Engine!B244*12)*INDEX(Surface_Engine!$F$12:$F$72,$A780+1)-(Surface_Engine!B244*12),1000*12*INDEX(Surface_Engine!$C$12:$C$72,$A780+1)/(1+Assumptions!$B$10)^7+INDEX(Surface_Engine!$D$12:$D$72,$A780+1)))*INDEX(Surface_Engine!$B$12:$B$72,$A780+1)+G781</f>
        <v>62211.4866502971</v>
      </c>
      <c r="H780" s="48" t="n">
        <f aca="false">D780*(IF($A780&lt;$Q$762,INDEX(Surface_Engine!$D$12:$D$72,$A780+1)+(Surface_Engine!B244*12)*INDEX(Surface_Engine!$F$12:$F$72,$A780+1)-(Surface_Engine!B244*12),1000*12*INDEX(Surface_Engine!$C$12:$C$72,$A780+1)/(1+Assumptions!$B$10)^7+INDEX(Surface_Engine!$D$12:$D$72,$A780+1)))*INDEX(Surface_Engine!$B$12:$B$72,$A780+1)+H781</f>
        <v>48648.3131727454</v>
      </c>
      <c r="I780" s="48" t="n">
        <f aca="false">E780*(IF($A780&lt;$Q$762,INDEX(Surface_Engine!$D$12:$D$72,$A780+1)+(Surface_Engine!B244*12)*INDEX(Surface_Engine!$F$12:$F$72,$A780+1)-(Surface_Engine!B244*12),1000*12*INDEX(Surface_Engine!$C$12:$C$72,$A780+1)/(1+Assumptions!$B$10)^7+INDEX(Surface_Engine!$D$12:$D$72,$A780+1)))*INDEX(Surface_Engine!$B$12:$B$72,$A780+1)+I781</f>
        <v>55032.8080700319</v>
      </c>
      <c r="J780" s="48" t="n">
        <f aca="false">B780*(IF($A780&lt;$Q$762,INDEX(Surface_Engine!$D$12:$D$72,$A780+1)*(1+Assumptions!$B$24)+(Surface_Engine!B244*12)*INDEX(Surface_Engine!$F$12:$F$72,$A780+1)-(Surface_Engine!B244*12),1000*12*INDEX(Surface_Engine!$C$12:$C$72,$A780+1)/(1+Assumptions!$B$10)^7+INDEX(Surface_Engine!$D$12:$D$72,$A780+1)*(1+Assumptions!$B$24)))*INDEX(Surface_Engine!$B$12:$B$72,$A780+1)+J781</f>
        <v>51806.3749590048</v>
      </c>
      <c r="K780" s="12" t="n">
        <f aca="false">SQRT((IF(C780&lt;=0,0,MAX(0,(B780/C780)*G780/INDEX(Surface_Engine!$B$12:$B$72,$A780+1)-F780/INDEX(Surface_Engine!$B$12:$B$72,$A780+1))))^2+(MAX(IF(D780&lt;=0,0,MAX(0,(B780/D780)*H780/INDEX(Surface_Engine!$B$12:$B$72,$A780+1)-F780/INDEX(Surface_Engine!$B$12:$B$72,$A780+1))),IF(E780&lt;=0,0,MAX(0,(B780/E780)*I780/INDEX(Surface_Engine!$B$12:$B$72,$A780+1)-F780/INDEX(Surface_Engine!$B$12:$B$72,$A780+1))),IF($A780&lt;$Q$762,MAX(0,-Assumptions!$B$22*(F780/INDEX(Surface_Engine!$B$12:$B$72,$A780+1))),0)))^2+(MAX(0,J780/INDEX(Surface_Engine!$B$12:$B$72,$A780+1)-(F780/INDEX(Surface_Engine!$B$12:$B$72,$A780+1))))^2+2*Assumptions!$B$26*(IF(C780&lt;=0,0,MAX(0,(B780/C780)*G780/INDEX(Surface_Engine!$B$12:$B$72,$A780+1)-F780/INDEX(Surface_Engine!$B$12:$B$72,$A780+1))))*(MAX(IF(D780&lt;=0,0,MAX(0,(B780/D780)*H780/INDEX(Surface_Engine!$B$12:$B$72,$A780+1)-F780/INDEX(Surface_Engine!$B$12:$B$72,$A780+1))),IF(E780&lt;=0,0,MAX(0,(B780/E780)*I780/INDEX(Surface_Engine!$B$12:$B$72,$A780+1)-F780/INDEX(Surface_Engine!$B$12:$B$72,$A780+1))),IF($A780&lt;$Q$762,MAX(0,-Assumptions!$B$22*(F780/INDEX(Surface_Engine!$B$12:$B$72,$A780+1))),0)))+2*Assumptions!$B$27*(IF(C780&lt;=0,0,MAX(0,(B780/C780)*G780/INDEX(Surface_Engine!$B$12:$B$72,$A780+1)-F780/INDEX(Surface_Engine!$B$12:$B$72,$A780+1))))*(MAX(0,J780/INDEX(Surface_Engine!$B$12:$B$72,$A780+1)-(F780/INDEX(Surface_Engine!$B$12:$B$72,$A780+1))))+2*Assumptions!$B$28*(MAX(IF(D780&lt;=0,0,MAX(0,(B780/D780)*H780/INDEX(Surface_Engine!$B$12:$B$72,$A780+1)-F780/INDEX(Surface_Engine!$B$12:$B$72,$A780+1))),IF(E780&lt;=0,0,MAX(0,(B780/E780)*I780/INDEX(Surface_Engine!$B$12:$B$72,$A780+1)-F780/INDEX(Surface_Engine!$B$12:$B$72,$A780+1))),IF($A780&lt;$Q$762,MAX(0,-Assumptions!$B$22*(F780/INDEX(Surface_Engine!$B$12:$B$72,$A780+1))),0)))*(MAX(0,J780/INDEX(Surface_Engine!$B$12:$B$72,$A780+1)-(F780/INDEX(Surface_Engine!$B$12:$B$72,$A780+1)))))</f>
        <v>10988.7354373559</v>
      </c>
      <c r="L780" s="48" t="n">
        <f aca="false">K780*INDEX(Surface_Engine!$B$12:$B$72,$A780+1)+L781</f>
        <v>53238.8387069517</v>
      </c>
      <c r="M780" s="48" t="n">
        <f aca="false">M779+B779*(IF($A779&lt;$Q$762,(Surface_Engine!B244*12)-(Surface_Engine!B244*12)*INDEX(Surface_Engine!$F$12:$F$72,$A779+1)-INDEX(Surface_Engine!$D$12:$D$72,$A779+1),-(1000*12*INDEX(Surface_Engine!$C$12:$C$72,$A779+1)/(1+Assumptions!$B$10)^7+INDEX(Surface_Engine!$D$12:$D$72,$A779+1))))*INDEX(Surface_Engine!$B$12:$B$72,$A779+1)</f>
        <v>56398.478637533</v>
      </c>
      <c r="N780" s="12" t="n">
        <f aca="false">IF(B780&lt;=0,0,MAX(0,(K780+Assumptions!$B$29*L780/INDEX(Surface_Engine!$B$12:$B$72,$A780+1)-(M780/INDEX(Surface_Engine!$B$12:$B$72,$A780+1)-(F780/INDEX(Surface_Engine!$B$12:$B$72,$A780+1))))/B780))</f>
        <v>13262.1638580264</v>
      </c>
    </row>
    <row r="781" customFormat="false" ht="15" hidden="false" customHeight="true" outlineLevel="0" collapsed="false">
      <c r="A781" s="1" t="n">
        <v>17</v>
      </c>
      <c r="B781" s="32" t="n">
        <f aca="false">INDEX(Surface_Engine!$O$12:$O$72,$A781+1)*IF($A781&lt;$Q$762,INDEX(Surface_Engine!$E$12:$E$72,$A781+1),INDEX(Surface_Engine!$E$12:$E$72,$Q$762+1))</f>
        <v>0.621027271305153</v>
      </c>
      <c r="C781" s="32" t="n">
        <f aca="false">INDEX(Panel_Reserving!$E$8:$E$68,$A781+1)*IF($A781&lt;$Q$762,INDEX(Surface_Engine!$E$12:$E$72,$A781+1),INDEX(Surface_Engine!$E$12:$E$72,$Q$762+1))</f>
        <v>0.667185805787916</v>
      </c>
      <c r="D781" s="32" t="n">
        <f aca="false">INDEX(Surface_Engine!$O$12:$O$72,$A781+1)*IF($A781&lt;$Q$762,INDEX(Surface_Engine!$Y$12:$Y$72,$A781+1),INDEX(Surface_Engine!$Y$12:$Y$72,$Q$762+1))</f>
        <v>0.583674915529746</v>
      </c>
      <c r="E781" s="32" t="n">
        <f aca="false">INDEX(Surface_Engine!$O$12:$O$72,$A781+1)*IF($A781&lt;$Q$762,INDEX(Surface_Engine!$Z$12:$Z$72,$A781+1),INDEX(Surface_Engine!$Z$12:$Z$72,$Q$762+1))</f>
        <v>0.660275094998282</v>
      </c>
      <c r="F781" s="48" t="n">
        <f aca="false">B781*(IF($A781&lt;$Q$762,INDEX(Surface_Engine!$D$12:$D$72,$A781+1)+(Surface_Engine!B244*12)*INDEX(Surface_Engine!$F$12:$F$72,$A781+1)-(Surface_Engine!B244*12),1000*12*INDEX(Surface_Engine!$C$12:$C$72,$A781+1)/(1+Assumptions!$B$10)^7+INDEX(Surface_Engine!$D$12:$D$72,$A781+1)))*INDEX(Surface_Engine!$B$12:$B$72,$A781+1)+F782</f>
        <v>46026.3853199018</v>
      </c>
      <c r="G781" s="48" t="n">
        <f aca="false">C781*(IF($A781&lt;$Q$762,INDEX(Surface_Engine!$D$12:$D$72,$A781+1)+(Surface_Engine!B244*12)*INDEX(Surface_Engine!$F$12:$F$72,$A781+1)-(Surface_Engine!B244*12),1000*12*INDEX(Surface_Engine!$C$12:$C$72,$A781+1)/(1+Assumptions!$B$10)^7+INDEX(Surface_Engine!$D$12:$D$72,$A781+1)))*INDEX(Surface_Engine!$B$12:$B$72,$A781+1)+G782</f>
        <v>56107.4167070994</v>
      </c>
      <c r="H781" s="48" t="n">
        <f aca="false">D781*(IF($A781&lt;$Q$762,INDEX(Surface_Engine!$D$12:$D$72,$A781+1)+(Surface_Engine!B244*12)*INDEX(Surface_Engine!$F$12:$F$72,$A781+1)-(Surface_Engine!B244*12),1000*12*INDEX(Surface_Engine!$C$12:$C$72,$A781+1)/(1+Assumptions!$B$10)^7+INDEX(Surface_Engine!$D$12:$D$72,$A781+1)))*INDEX(Surface_Engine!$B$12:$B$72,$A781+1)+H782</f>
        <v>43258.0786786945</v>
      </c>
      <c r="I781" s="48" t="n">
        <f aca="false">E781*(IF($A781&lt;$Q$762,INDEX(Surface_Engine!$D$12:$D$72,$A781+1)+(Surface_Engine!B244*12)*INDEX(Surface_Engine!$F$12:$F$72,$A781+1)-(Surface_Engine!B244*12),1000*12*INDEX(Surface_Engine!$C$12:$C$72,$A781+1)/(1+Assumptions!$B$10)^7+INDEX(Surface_Engine!$D$12:$D$72,$A781+1)))*INDEX(Surface_Engine!$B$12:$B$72,$A781+1)+I782</f>
        <v>48935.1713583493</v>
      </c>
      <c r="J781" s="48" t="n">
        <f aca="false">B781*(IF($A781&lt;$Q$762,INDEX(Surface_Engine!$D$12:$D$72,$A781+1)*(1+Assumptions!$B$24)+(Surface_Engine!B244*12)*INDEX(Surface_Engine!$F$12:$F$72,$A781+1)-(Surface_Engine!B244*12),1000*12*INDEX(Surface_Engine!$C$12:$C$72,$A781+1)/(1+Assumptions!$B$10)^7+INDEX(Surface_Engine!$D$12:$D$72,$A781+1)*(1+Assumptions!$B$24)))*INDEX(Surface_Engine!$B$12:$B$72,$A781+1)+J782</f>
        <v>46066.3645391939</v>
      </c>
      <c r="K781" s="12" t="n">
        <f aca="false">SQRT((IF(C781&lt;=0,0,MAX(0,(B781/C781)*G781/INDEX(Surface_Engine!$B$12:$B$72,$A781+1)-F781/INDEX(Surface_Engine!$B$12:$B$72,$A781+1))))^2+(MAX(IF(D781&lt;=0,0,MAX(0,(B781/D781)*H781/INDEX(Surface_Engine!$B$12:$B$72,$A781+1)-F781/INDEX(Surface_Engine!$B$12:$B$72,$A781+1))),IF(E781&lt;=0,0,MAX(0,(B781/E781)*I781/INDEX(Surface_Engine!$B$12:$B$72,$A781+1)-F781/INDEX(Surface_Engine!$B$12:$B$72,$A781+1))),IF($A781&lt;$Q$762,MAX(0,-Assumptions!$B$22*(F781/INDEX(Surface_Engine!$B$12:$B$72,$A781+1))),0)))^2+(MAX(0,J781/INDEX(Surface_Engine!$B$12:$B$72,$A781+1)-(F781/INDEX(Surface_Engine!$B$12:$B$72,$A781+1))))^2+2*Assumptions!$B$26*(IF(C781&lt;=0,0,MAX(0,(B781/C781)*G781/INDEX(Surface_Engine!$B$12:$B$72,$A781+1)-F781/INDEX(Surface_Engine!$B$12:$B$72,$A781+1))))*(MAX(IF(D781&lt;=0,0,MAX(0,(B781/D781)*H781/INDEX(Surface_Engine!$B$12:$B$72,$A781+1)-F781/INDEX(Surface_Engine!$B$12:$B$72,$A781+1))),IF(E781&lt;=0,0,MAX(0,(B781/E781)*I781/INDEX(Surface_Engine!$B$12:$B$72,$A781+1)-F781/INDEX(Surface_Engine!$B$12:$B$72,$A781+1))),IF($A781&lt;$Q$762,MAX(0,-Assumptions!$B$22*(F781/INDEX(Surface_Engine!$B$12:$B$72,$A781+1))),0)))+2*Assumptions!$B$27*(IF(C781&lt;=0,0,MAX(0,(B781/C781)*G781/INDEX(Surface_Engine!$B$12:$B$72,$A781+1)-F781/INDEX(Surface_Engine!$B$12:$B$72,$A781+1))))*(MAX(0,J781/INDEX(Surface_Engine!$B$12:$B$72,$A781+1)-(F781/INDEX(Surface_Engine!$B$12:$B$72,$A781+1))))+2*Assumptions!$B$28*(MAX(IF(D781&lt;=0,0,MAX(0,(B781/D781)*H781/INDEX(Surface_Engine!$B$12:$B$72,$A781+1)-F781/INDEX(Surface_Engine!$B$12:$B$72,$A781+1))),IF(E781&lt;=0,0,MAX(0,(B781/E781)*I781/INDEX(Surface_Engine!$B$12:$B$72,$A781+1)-F781/INDEX(Surface_Engine!$B$12:$B$72,$A781+1))),IF($A781&lt;$Q$762,MAX(0,-Assumptions!$B$22*(F781/INDEX(Surface_Engine!$B$12:$B$72,$A781+1))),0)))*(MAX(0,J781/INDEX(Surface_Engine!$B$12:$B$72,$A781+1)-(F781/INDEX(Surface_Engine!$B$12:$B$72,$A781+1)))))</f>
        <v>10530.6966751344</v>
      </c>
      <c r="L781" s="48" t="n">
        <f aca="false">K781*INDEX(Surface_Engine!$B$12:$B$72,$A781+1)+L782</f>
        <v>46537.1992971371</v>
      </c>
      <c r="M781" s="48" t="n">
        <f aca="false">M780+B780*(IF($A780&lt;$Q$762,(Surface_Engine!B244*12)-(Surface_Engine!B244*12)*INDEX(Surface_Engine!$F$12:$F$72,$A780+1)-INDEX(Surface_Engine!$D$12:$D$72,$A780+1),-(1000*12*INDEX(Surface_Engine!$C$12:$C$72,$A780+1)/(1+Assumptions!$B$10)^7+INDEX(Surface_Engine!$D$12:$D$72,$A780+1))))*INDEX(Surface_Engine!$B$12:$B$72,$A780+1)</f>
        <v>50663.2953523354</v>
      </c>
      <c r="N781" s="12" t="n">
        <f aca="false">IF(B781&lt;=0,0,MAX(0,(K781+Assumptions!$B$29*L781/INDEX(Surface_Engine!$B$12:$B$72,$A781+1)-(M781/INDEX(Surface_Engine!$B$12:$B$72,$A781+1)-(F781/INDEX(Surface_Engine!$B$12:$B$72,$A781+1))))/B781))</f>
        <v>11919.3845022178</v>
      </c>
    </row>
    <row r="782" customFormat="false" ht="15" hidden="false" customHeight="true" outlineLevel="0" collapsed="false">
      <c r="A782" s="1" t="n">
        <v>18</v>
      </c>
      <c r="B782" s="32" t="n">
        <f aca="false">INDEX(Surface_Engine!$O$12:$O$72,$A782+1)*IF($A782&lt;$Q$762,INDEX(Surface_Engine!$E$12:$E$72,$A782+1),INDEX(Surface_Engine!$E$12:$E$72,$Q$762+1))</f>
        <v>0.58874592702243</v>
      </c>
      <c r="C782" s="32" t="n">
        <f aca="false">INDEX(Panel_Reserving!$E$8:$E$68,$A782+1)*IF($A782&lt;$Q$762,INDEX(Surface_Engine!$E$12:$E$72,$A782+1),INDEX(Surface_Engine!$E$12:$E$72,$Q$762+1))</f>
        <v>0.639441253247514</v>
      </c>
      <c r="D782" s="32" t="n">
        <f aca="false">INDEX(Surface_Engine!$O$12:$O$72,$A782+1)*IF($A782&lt;$Q$762,INDEX(Surface_Engine!$Y$12:$Y$72,$A782+1),INDEX(Surface_Engine!$Y$12:$Y$72,$Q$762+1))</f>
        <v>0.553335167554095</v>
      </c>
      <c r="E782" s="32" t="n">
        <f aca="false">INDEX(Surface_Engine!$O$12:$O$72,$A782+1)*IF($A782&lt;$Q$762,INDEX(Surface_Engine!$Z$12:$Z$72,$A782+1),INDEX(Surface_Engine!$Z$12:$Z$72,$Q$762+1))</f>
        <v>0.625953626927883</v>
      </c>
      <c r="F782" s="48" t="n">
        <f aca="false">B782*(IF($A782&lt;$Q$762,INDEX(Surface_Engine!$D$12:$D$72,$A782+1)+(Surface_Engine!B244*12)*INDEX(Surface_Engine!$F$12:$F$72,$A782+1)-(Surface_Engine!B244*12),1000*12*INDEX(Surface_Engine!$C$12:$C$72,$A782+1)/(1+Assumptions!$B$10)^7+INDEX(Surface_Engine!$D$12:$D$72,$A782+1)))*INDEX(Surface_Engine!$B$12:$B$72,$A782+1)+F783</f>
        <v>40624.1193452346</v>
      </c>
      <c r="G782" s="48" t="n">
        <f aca="false">C782*(IF($A782&lt;$Q$762,INDEX(Surface_Engine!$D$12:$D$72,$A782+1)+(Surface_Engine!B244*12)*INDEX(Surface_Engine!$F$12:$F$72,$A782+1)-(Surface_Engine!B244*12),1000*12*INDEX(Surface_Engine!$C$12:$C$72,$A782+1)/(1+Assumptions!$B$10)^7+INDEX(Surface_Engine!$D$12:$D$72,$A782+1)))*INDEX(Surface_Engine!$B$12:$B$72,$A782+1)+G783</f>
        <v>50303.6213764787</v>
      </c>
      <c r="H782" s="48" t="n">
        <f aca="false">D782*(IF($A782&lt;$Q$762,INDEX(Surface_Engine!$D$12:$D$72,$A782+1)+(Surface_Engine!B244*12)*INDEX(Surface_Engine!$F$12:$F$72,$A782+1)-(Surface_Engine!B244*12),1000*12*INDEX(Surface_Engine!$C$12:$C$72,$A782+1)/(1+Assumptions!$B$10)^7+INDEX(Surface_Engine!$D$12:$D$72,$A782+1)))*INDEX(Surface_Engine!$B$12:$B$72,$A782+1)+H783</f>
        <v>38180.7378240708</v>
      </c>
      <c r="I782" s="48" t="n">
        <f aca="false">E782*(IF($A782&lt;$Q$762,INDEX(Surface_Engine!$D$12:$D$72,$A782+1)+(Surface_Engine!B244*12)*INDEX(Surface_Engine!$F$12:$F$72,$A782+1)-(Surface_Engine!B244*12),1000*12*INDEX(Surface_Engine!$C$12:$C$72,$A782+1)/(1+Assumptions!$B$10)^7+INDEX(Surface_Engine!$D$12:$D$72,$A782+1)))*INDEX(Surface_Engine!$B$12:$B$72,$A782+1)+I783</f>
        <v>43191.4917416184</v>
      </c>
      <c r="J782" s="48" t="n">
        <f aca="false">B782*(IF($A782&lt;$Q$762,INDEX(Surface_Engine!$D$12:$D$72,$A782+1)*(1+Assumptions!$B$24)+(Surface_Engine!B244*12)*INDEX(Surface_Engine!$F$12:$F$72,$A782+1)-(Surface_Engine!B244*12),1000*12*INDEX(Surface_Engine!$C$12:$C$72,$A782+1)/(1+Assumptions!$B$10)^7+INDEX(Surface_Engine!$D$12:$D$72,$A782+1)*(1+Assumptions!$B$24)))*INDEX(Surface_Engine!$B$12:$B$72,$A782+1)+J783</f>
        <v>40659.5295362425</v>
      </c>
      <c r="K782" s="12" t="n">
        <f aca="false">SQRT((IF(C782&lt;=0,0,MAX(0,(B782/C782)*G782/INDEX(Surface_Engine!$B$12:$B$72,$A782+1)-F782/INDEX(Surface_Engine!$B$12:$B$72,$A782+1))))^2+(MAX(IF(D782&lt;=0,0,MAX(0,(B782/D782)*H782/INDEX(Surface_Engine!$B$12:$B$72,$A782+1)-F782/INDEX(Surface_Engine!$B$12:$B$72,$A782+1))),IF(E782&lt;=0,0,MAX(0,(B782/E782)*I782/INDEX(Surface_Engine!$B$12:$B$72,$A782+1)-F782/INDEX(Surface_Engine!$B$12:$B$72,$A782+1))),IF($A782&lt;$Q$762,MAX(0,-Assumptions!$B$22*(F782/INDEX(Surface_Engine!$B$12:$B$72,$A782+1))),0)))^2+(MAX(0,J782/INDEX(Surface_Engine!$B$12:$B$72,$A782+1)-(F782/INDEX(Surface_Engine!$B$12:$B$72,$A782+1))))^2+2*Assumptions!$B$26*(IF(C782&lt;=0,0,MAX(0,(B782/C782)*G782/INDEX(Surface_Engine!$B$12:$B$72,$A782+1)-F782/INDEX(Surface_Engine!$B$12:$B$72,$A782+1))))*(MAX(IF(D782&lt;=0,0,MAX(0,(B782/D782)*H782/INDEX(Surface_Engine!$B$12:$B$72,$A782+1)-F782/INDEX(Surface_Engine!$B$12:$B$72,$A782+1))),IF(E782&lt;=0,0,MAX(0,(B782/E782)*I782/INDEX(Surface_Engine!$B$12:$B$72,$A782+1)-F782/INDEX(Surface_Engine!$B$12:$B$72,$A782+1))),IF($A782&lt;$Q$762,MAX(0,-Assumptions!$B$22*(F782/INDEX(Surface_Engine!$B$12:$B$72,$A782+1))),0)))+2*Assumptions!$B$27*(IF(C782&lt;=0,0,MAX(0,(B782/C782)*G782/INDEX(Surface_Engine!$B$12:$B$72,$A782+1)-F782/INDEX(Surface_Engine!$B$12:$B$72,$A782+1))))*(MAX(0,J782/INDEX(Surface_Engine!$B$12:$B$72,$A782+1)-(F782/INDEX(Surface_Engine!$B$12:$B$72,$A782+1))))+2*Assumptions!$B$28*(MAX(IF(D782&lt;=0,0,MAX(0,(B782/D782)*H782/INDEX(Surface_Engine!$B$12:$B$72,$A782+1)-F782/INDEX(Surface_Engine!$B$12:$B$72,$A782+1))),IF(E782&lt;=0,0,MAX(0,(B782/E782)*I782/INDEX(Surface_Engine!$B$12:$B$72,$A782+1)-F782/INDEX(Surface_Engine!$B$12:$B$72,$A782+1))),IF($A782&lt;$Q$762,MAX(0,-Assumptions!$B$22*(F782/INDEX(Surface_Engine!$B$12:$B$72,$A782+1))),0)))*(MAX(0,J782/INDEX(Surface_Engine!$B$12:$B$72,$A782+1)-(F782/INDEX(Surface_Engine!$B$12:$B$72,$A782+1)))))</f>
        <v>9988.14079074903</v>
      </c>
      <c r="L782" s="48" t="n">
        <f aca="false">K782*INDEX(Surface_Engine!$B$12:$B$72,$A782+1)+L783</f>
        <v>40327.7839003286</v>
      </c>
      <c r="M782" s="48" t="n">
        <f aca="false">M781+B781*(IF($A781&lt;$Q$762,(Surface_Engine!B244*12)-(Surface_Engine!B244*12)*INDEX(Surface_Engine!$F$12:$F$72,$A781+1)-INDEX(Surface_Engine!$D$12:$D$72,$A781+1),-(1000*12*INDEX(Surface_Engine!$C$12:$C$72,$A781+1)/(1+Assumptions!$B$10)^7+INDEX(Surface_Engine!$D$12:$D$72,$A781+1))))*INDEX(Surface_Engine!$B$12:$B$72,$A781+1)</f>
        <v>45261.0293776682</v>
      </c>
      <c r="N782" s="12" t="n">
        <f aca="false">IF(B782&lt;=0,0,MAX(0,(K782+Assumptions!$B$29*L782/INDEX(Surface_Engine!$B$12:$B$72,$A782+1)-(M782/INDEX(Surface_Engine!$B$12:$B$72,$A782+1)-(F782/INDEX(Surface_Engine!$B$12:$B$72,$A782+1))))/B782))</f>
        <v>10366.2622577483</v>
      </c>
    </row>
    <row r="783" customFormat="false" ht="15" hidden="false" customHeight="true" outlineLevel="0" collapsed="false">
      <c r="A783" s="1" t="n">
        <v>19</v>
      </c>
      <c r="B783" s="32" t="n">
        <f aca="false">INDEX(Surface_Engine!$O$12:$O$72,$A783+1)*IF($A783&lt;$Q$762,INDEX(Surface_Engine!$E$12:$E$72,$A783+1),INDEX(Surface_Engine!$E$12:$E$72,$Q$762+1))</f>
        <v>0.554097433885169</v>
      </c>
      <c r="C783" s="32" t="n">
        <f aca="false">INDEX(Panel_Reserving!$E$8:$E$68,$A783+1)*IF($A783&lt;$Q$762,INDEX(Surface_Engine!$E$12:$E$72,$A783+1),INDEX(Surface_Engine!$E$12:$E$72,$Q$762+1))</f>
        <v>0.609335667991911</v>
      </c>
      <c r="D783" s="32" t="n">
        <f aca="false">INDEX(Surface_Engine!$O$12:$O$72,$A783+1)*IF($A783&lt;$Q$762,INDEX(Surface_Engine!$Y$12:$Y$72,$A783+1),INDEX(Surface_Engine!$Y$12:$Y$72,$Q$762+1))</f>
        <v>0.520770645447646</v>
      </c>
      <c r="E783" s="32" t="n">
        <f aca="false">INDEX(Surface_Engine!$O$12:$O$72,$A783+1)*IF($A783&lt;$Q$762,INDEX(Surface_Engine!$Z$12:$Z$72,$A783+1),INDEX(Surface_Engine!$Z$12:$Z$72,$Q$762+1))</f>
        <v>0.589115410387612</v>
      </c>
      <c r="F783" s="48" t="n">
        <f aca="false">B783*(IF($A783&lt;$Q$762,INDEX(Surface_Engine!$D$12:$D$72,$A783+1)+(Surface_Engine!B244*12)*INDEX(Surface_Engine!$F$12:$F$72,$A783+1)-(Surface_Engine!B244*12),1000*12*INDEX(Surface_Engine!$C$12:$C$72,$A783+1)/(1+Assumptions!$B$10)^7+INDEX(Surface_Engine!$D$12:$D$72,$A783+1)))*INDEX(Surface_Engine!$B$12:$B$72,$A783+1)+F784</f>
        <v>35567.7954368711</v>
      </c>
      <c r="G783" s="48" t="n">
        <f aca="false">C783*(IF($A783&lt;$Q$762,INDEX(Surface_Engine!$D$12:$D$72,$A783+1)+(Surface_Engine!B244*12)*INDEX(Surface_Engine!$F$12:$F$72,$A783+1)-(Surface_Engine!B244*12),1000*12*INDEX(Surface_Engine!$C$12:$C$72,$A783+1)/(1+Assumptions!$B$10)^7+INDEX(Surface_Engine!$D$12:$D$72,$A783+1)))*INDEX(Surface_Engine!$B$12:$B$72,$A783+1)+G784</f>
        <v>44811.9110335447</v>
      </c>
      <c r="H783" s="48" t="n">
        <f aca="false">D783*(IF($A783&lt;$Q$762,INDEX(Surface_Engine!$D$12:$D$72,$A783+1)+(Surface_Engine!B244*12)*INDEX(Surface_Engine!$F$12:$F$72,$A783+1)-(Surface_Engine!B244*12),1000*12*INDEX(Surface_Engine!$C$12:$C$72,$A783+1)/(1+Assumptions!$B$10)^7+INDEX(Surface_Engine!$D$12:$D$72,$A783+1)))*INDEX(Surface_Engine!$B$12:$B$72,$A783+1)+H784</f>
        <v>33428.5319766485</v>
      </c>
      <c r="I783" s="48" t="n">
        <f aca="false">E783*(IF($A783&lt;$Q$762,INDEX(Surface_Engine!$D$12:$D$72,$A783+1)+(Surface_Engine!B244*12)*INDEX(Surface_Engine!$F$12:$F$72,$A783+1)-(Surface_Engine!B244*12),1000*12*INDEX(Surface_Engine!$C$12:$C$72,$A783+1)/(1+Assumptions!$B$10)^7+INDEX(Surface_Engine!$D$12:$D$72,$A783+1)))*INDEX(Surface_Engine!$B$12:$B$72,$A783+1)+I784</f>
        <v>37815.6171171105</v>
      </c>
      <c r="J783" s="48" t="n">
        <f aca="false">B783*(IF($A783&lt;$Q$762,INDEX(Surface_Engine!$D$12:$D$72,$A783+1)*(1+Assumptions!$B$24)+(Surface_Engine!B244*12)*INDEX(Surface_Engine!$F$12:$F$72,$A783+1)-(Surface_Engine!B244*12),1000*12*INDEX(Surface_Engine!$C$12:$C$72,$A783+1)/(1+Assumptions!$B$10)^7+INDEX(Surface_Engine!$D$12:$D$72,$A783+1)*(1+Assumptions!$B$24)))*INDEX(Surface_Engine!$B$12:$B$72,$A783+1)+J784</f>
        <v>35598.9083992555</v>
      </c>
      <c r="K783" s="12" t="n">
        <f aca="false">SQRT((IF(C783&lt;=0,0,MAX(0,(B783/C783)*G783/INDEX(Surface_Engine!$B$12:$B$72,$A783+1)-F783/INDEX(Surface_Engine!$B$12:$B$72,$A783+1))))^2+(MAX(IF(D783&lt;=0,0,MAX(0,(B783/D783)*H783/INDEX(Surface_Engine!$B$12:$B$72,$A783+1)-F783/INDEX(Surface_Engine!$B$12:$B$72,$A783+1))),IF(E783&lt;=0,0,MAX(0,(B783/E783)*I783/INDEX(Surface_Engine!$B$12:$B$72,$A783+1)-F783/INDEX(Surface_Engine!$B$12:$B$72,$A783+1))),IF($A783&lt;$Q$762,MAX(0,-Assumptions!$B$22*(F783/INDEX(Surface_Engine!$B$12:$B$72,$A783+1))),0)))^2+(MAX(0,J783/INDEX(Surface_Engine!$B$12:$B$72,$A783+1)-(F783/INDEX(Surface_Engine!$B$12:$B$72,$A783+1))))^2+2*Assumptions!$B$26*(IF(C783&lt;=0,0,MAX(0,(B783/C783)*G783/INDEX(Surface_Engine!$B$12:$B$72,$A783+1)-F783/INDEX(Surface_Engine!$B$12:$B$72,$A783+1))))*(MAX(IF(D783&lt;=0,0,MAX(0,(B783/D783)*H783/INDEX(Surface_Engine!$B$12:$B$72,$A783+1)-F783/INDEX(Surface_Engine!$B$12:$B$72,$A783+1))),IF(E783&lt;=0,0,MAX(0,(B783/E783)*I783/INDEX(Surface_Engine!$B$12:$B$72,$A783+1)-F783/INDEX(Surface_Engine!$B$12:$B$72,$A783+1))),IF($A783&lt;$Q$762,MAX(0,-Assumptions!$B$22*(F783/INDEX(Surface_Engine!$B$12:$B$72,$A783+1))),0)))+2*Assumptions!$B$27*(IF(C783&lt;=0,0,MAX(0,(B783/C783)*G783/INDEX(Surface_Engine!$B$12:$B$72,$A783+1)-F783/INDEX(Surface_Engine!$B$12:$B$72,$A783+1))))*(MAX(0,J783/INDEX(Surface_Engine!$B$12:$B$72,$A783+1)-(F783/INDEX(Surface_Engine!$B$12:$B$72,$A783+1))))+2*Assumptions!$B$28*(MAX(IF(D783&lt;=0,0,MAX(0,(B783/D783)*H783/INDEX(Surface_Engine!$B$12:$B$72,$A783+1)-F783/INDEX(Surface_Engine!$B$12:$B$72,$A783+1))),IF(E783&lt;=0,0,MAX(0,(B783/E783)*I783/INDEX(Surface_Engine!$B$12:$B$72,$A783+1)-F783/INDEX(Surface_Engine!$B$12:$B$72,$A783+1))),IF($A783&lt;$Q$762,MAX(0,-Assumptions!$B$22*(F783/INDEX(Surface_Engine!$B$12:$B$72,$A783+1))),0)))*(MAX(0,J783/INDEX(Surface_Engine!$B$12:$B$72,$A783+1)-(F783/INDEX(Surface_Engine!$B$12:$B$72,$A783+1)))))</f>
        <v>9386.25303570881</v>
      </c>
      <c r="L783" s="48" t="n">
        <f aca="false">K783*INDEX(Surface_Engine!$B$12:$B$72,$A783+1)+L784</f>
        <v>34627.4306433741</v>
      </c>
      <c r="M783" s="48" t="n">
        <f aca="false">M782+B782*(IF($A782&lt;$Q$762,(Surface_Engine!B244*12)-(Surface_Engine!B244*12)*INDEX(Surface_Engine!$F$12:$F$72,$A782+1)-INDEX(Surface_Engine!$D$12:$D$72,$A782+1),-(1000*12*INDEX(Surface_Engine!$C$12:$C$72,$A782+1)/(1+Assumptions!$B$10)^7+INDEX(Surface_Engine!$D$12:$D$72,$A782+1))))*INDEX(Surface_Engine!$B$12:$B$72,$A782+1)</f>
        <v>40204.7054693047</v>
      </c>
      <c r="N783" s="12" t="n">
        <f aca="false">IF(B783&lt;=0,0,MAX(0,(K783+Assumptions!$B$29*L783/INDEX(Surface_Engine!$B$12:$B$72,$A783+1)-(M783/INDEX(Surface_Engine!$B$12:$B$72,$A783+1)-(F783/INDEX(Surface_Engine!$B$12:$B$72,$A783+1))))/B783))</f>
        <v>8585.9133445143</v>
      </c>
    </row>
    <row r="784" customFormat="false" ht="15" hidden="false" customHeight="true" outlineLevel="0" collapsed="false">
      <c r="A784" s="1" t="n">
        <v>20</v>
      </c>
      <c r="B784" s="32" t="n">
        <f aca="false">INDEX(Surface_Engine!$O$12:$O$72,$A784+1)*IF($A784&lt;$Q$762,INDEX(Surface_Engine!$E$12:$E$72,$A784+1),INDEX(Surface_Engine!$E$12:$E$72,$Q$762+1))</f>
        <v>0.51718321742885</v>
      </c>
      <c r="C784" s="32" t="n">
        <f aca="false">INDEX(Panel_Reserving!$E$8:$E$68,$A784+1)*IF($A784&lt;$Q$762,INDEX(Surface_Engine!$E$12:$E$72,$A784+1),INDEX(Surface_Engine!$E$12:$E$72,$Q$762+1))</f>
        <v>0.576860298329801</v>
      </c>
      <c r="D784" s="32" t="n">
        <f aca="false">INDEX(Surface_Engine!$O$12:$O$72,$A784+1)*IF($A784&lt;$Q$762,INDEX(Surface_Engine!$Y$12:$Y$72,$A784+1),INDEX(Surface_Engine!$Y$12:$Y$72,$Q$762+1))</f>
        <v>0.486076674397538</v>
      </c>
      <c r="E784" s="32" t="n">
        <f aca="false">INDEX(Surface_Engine!$O$12:$O$72,$A784+1)*IF($A784&lt;$Q$762,INDEX(Surface_Engine!$Z$12:$Z$72,$A784+1),INDEX(Surface_Engine!$Z$12:$Z$72,$Q$762+1))</f>
        <v>0.549868280827167</v>
      </c>
      <c r="F784" s="48" t="n">
        <f aca="false">B784*(IF($A784&lt;$Q$762,INDEX(Surface_Engine!$D$12:$D$72,$A784+1)+(Surface_Engine!B244*12)*INDEX(Surface_Engine!$F$12:$F$72,$A784+1)-(Surface_Engine!B244*12),1000*12*INDEX(Surface_Engine!$C$12:$C$72,$A784+1)/(1+Assumptions!$B$10)^7+INDEX(Surface_Engine!$D$12:$D$72,$A784+1)))*INDEX(Surface_Engine!$B$12:$B$72,$A784+1)+F785</f>
        <v>30865.1845796622</v>
      </c>
      <c r="G784" s="48" t="n">
        <f aca="false">C784*(IF($A784&lt;$Q$762,INDEX(Surface_Engine!$D$12:$D$72,$A784+1)+(Surface_Engine!B244*12)*INDEX(Surface_Engine!$F$12:$F$72,$A784+1)-(Surface_Engine!B244*12),1000*12*INDEX(Surface_Engine!$C$12:$C$72,$A784+1)/(1+Assumptions!$B$10)^7+INDEX(Surface_Engine!$D$12:$D$72,$A784+1)))*INDEX(Surface_Engine!$B$12:$B$72,$A784+1)+G785</f>
        <v>39640.4946855361</v>
      </c>
      <c r="H784" s="48" t="n">
        <f aca="false">D784*(IF($A784&lt;$Q$762,INDEX(Surface_Engine!$D$12:$D$72,$A784+1)+(Surface_Engine!B244*12)*INDEX(Surface_Engine!$F$12:$F$72,$A784+1)-(Surface_Engine!B244*12),1000*12*INDEX(Surface_Engine!$C$12:$C$72,$A784+1)/(1+Assumptions!$B$10)^7+INDEX(Surface_Engine!$D$12:$D$72,$A784+1)))*INDEX(Surface_Engine!$B$12:$B$72,$A784+1)+H785</f>
        <v>29008.7647270039</v>
      </c>
      <c r="I784" s="48" t="n">
        <f aca="false">E784*(IF($A784&lt;$Q$762,INDEX(Surface_Engine!$D$12:$D$72,$A784+1)+(Surface_Engine!B244*12)*INDEX(Surface_Engine!$F$12:$F$72,$A784+1)-(Surface_Engine!B244*12),1000*12*INDEX(Surface_Engine!$C$12:$C$72,$A784+1)/(1+Assumptions!$B$10)^7+INDEX(Surface_Engine!$D$12:$D$72,$A784+1)))*INDEX(Surface_Engine!$B$12:$B$72,$A784+1)+I785</f>
        <v>32815.8095821563</v>
      </c>
      <c r="J784" s="48" t="n">
        <f aca="false">B784*(IF($A784&lt;$Q$762,INDEX(Surface_Engine!$D$12:$D$72,$A784+1)*(1+Assumptions!$B$24)+(Surface_Engine!B244*12)*INDEX(Surface_Engine!$F$12:$F$72,$A784+1)-(Surface_Engine!B244*12),1000*12*INDEX(Surface_Engine!$C$12:$C$72,$A784+1)/(1+Assumptions!$B$10)^7+INDEX(Surface_Engine!$D$12:$D$72,$A784+1)*(1+Assumptions!$B$24)))*INDEX(Surface_Engine!$B$12:$B$72,$A784+1)+J785</f>
        <v>30892.2815003235</v>
      </c>
      <c r="K784" s="12" t="n">
        <f aca="false">SQRT((IF(C784&lt;=0,0,MAX(0,(B784/C784)*G784/INDEX(Surface_Engine!$B$12:$B$72,$A784+1)-F784/INDEX(Surface_Engine!$B$12:$B$72,$A784+1))))^2+(MAX(IF(D784&lt;=0,0,MAX(0,(B784/D784)*H784/INDEX(Surface_Engine!$B$12:$B$72,$A784+1)-F784/INDEX(Surface_Engine!$B$12:$B$72,$A784+1))),IF(E784&lt;=0,0,MAX(0,(B784/E784)*I784/INDEX(Surface_Engine!$B$12:$B$72,$A784+1)-F784/INDEX(Surface_Engine!$B$12:$B$72,$A784+1))),IF($A784&lt;$Q$762,MAX(0,-Assumptions!$B$22*(F784/INDEX(Surface_Engine!$B$12:$B$72,$A784+1))),0)))^2+(MAX(0,J784/INDEX(Surface_Engine!$B$12:$B$72,$A784+1)-(F784/INDEX(Surface_Engine!$B$12:$B$72,$A784+1))))^2+2*Assumptions!$B$26*(IF(C784&lt;=0,0,MAX(0,(B784/C784)*G784/INDEX(Surface_Engine!$B$12:$B$72,$A784+1)-F784/INDEX(Surface_Engine!$B$12:$B$72,$A784+1))))*(MAX(IF(D784&lt;=0,0,MAX(0,(B784/D784)*H784/INDEX(Surface_Engine!$B$12:$B$72,$A784+1)-F784/INDEX(Surface_Engine!$B$12:$B$72,$A784+1))),IF(E784&lt;=0,0,MAX(0,(B784/E784)*I784/INDEX(Surface_Engine!$B$12:$B$72,$A784+1)-F784/INDEX(Surface_Engine!$B$12:$B$72,$A784+1))),IF($A784&lt;$Q$762,MAX(0,-Assumptions!$B$22*(F784/INDEX(Surface_Engine!$B$12:$B$72,$A784+1))),0)))+2*Assumptions!$B$27*(IF(C784&lt;=0,0,MAX(0,(B784/C784)*G784/INDEX(Surface_Engine!$B$12:$B$72,$A784+1)-F784/INDEX(Surface_Engine!$B$12:$B$72,$A784+1))))*(MAX(0,J784/INDEX(Surface_Engine!$B$12:$B$72,$A784+1)-(F784/INDEX(Surface_Engine!$B$12:$B$72,$A784+1))))+2*Assumptions!$B$28*(MAX(IF(D784&lt;=0,0,MAX(0,(B784/D784)*H784/INDEX(Surface_Engine!$B$12:$B$72,$A784+1)-F784/INDEX(Surface_Engine!$B$12:$B$72,$A784+1))),IF(E784&lt;=0,0,MAX(0,(B784/E784)*I784/INDEX(Surface_Engine!$B$12:$B$72,$A784+1)-F784/INDEX(Surface_Engine!$B$12:$B$72,$A784+1))),IF($A784&lt;$Q$762,MAX(0,-Assumptions!$B$22*(F784/INDEX(Surface_Engine!$B$12:$B$72,$A784+1))),0)))*(MAX(0,J784/INDEX(Surface_Engine!$B$12:$B$72,$A784+1)-(F784/INDEX(Surface_Engine!$B$12:$B$72,$A784+1)))))</f>
        <v>8736.74743235507</v>
      </c>
      <c r="L784" s="48" t="n">
        <f aca="false">K784*INDEX(Surface_Engine!$B$12:$B$72,$A784+1)+L785</f>
        <v>29437.7929393831</v>
      </c>
      <c r="M784" s="48" t="n">
        <f aca="false">M783+B783*(IF($A783&lt;$Q$762,(Surface_Engine!B244*12)-(Surface_Engine!B244*12)*INDEX(Surface_Engine!$F$12:$F$72,$A783+1)-INDEX(Surface_Engine!$D$12:$D$72,$A783+1),-(1000*12*INDEX(Surface_Engine!$C$12:$C$72,$A783+1)/(1+Assumptions!$B$10)^7+INDEX(Surface_Engine!$D$12:$D$72,$A783+1))))*INDEX(Surface_Engine!$B$12:$B$72,$A783+1)</f>
        <v>35502.0946120958</v>
      </c>
      <c r="N784" s="12" t="n">
        <f aca="false">IF(B784&lt;=0,0,MAX(0,(K784+Assumptions!$B$29*L784/INDEX(Surface_Engine!$B$12:$B$72,$A784+1)-(M784/INDEX(Surface_Engine!$B$12:$B$72,$A784+1)-(F784/INDEX(Surface_Engine!$B$12:$B$72,$A784+1))))/B784))</f>
        <v>6533.91435553495</v>
      </c>
    </row>
    <row r="785" customFormat="false" ht="15" hidden="false" customHeight="true" outlineLevel="0" collapsed="false">
      <c r="A785" s="1" t="n">
        <v>21</v>
      </c>
      <c r="B785" s="32" t="n">
        <f aca="false">INDEX(Surface_Engine!$O$12:$O$72,$A785+1)*IF($A785&lt;$Q$762,INDEX(Surface_Engine!$E$12:$E$72,$A785+1),INDEX(Surface_Engine!$E$12:$E$72,$Q$762+1))</f>
        <v>0.4782005953914</v>
      </c>
      <c r="C785" s="32" t="n">
        <f aca="false">INDEX(Panel_Reserving!$E$8:$E$68,$A785+1)*IF($A785&lt;$Q$762,INDEX(Surface_Engine!$E$12:$E$72,$A785+1),INDEX(Surface_Engine!$E$12:$E$72,$Q$762+1))</f>
        <v>0.542075678534911</v>
      </c>
      <c r="D785" s="32" t="n">
        <f aca="false">INDEX(Surface_Engine!$O$12:$O$72,$A785+1)*IF($A785&lt;$Q$762,INDEX(Surface_Engine!$Y$12:$Y$72,$A785+1),INDEX(Surface_Engine!$Y$12:$Y$72,$Q$762+1))</f>
        <v>0.449438704253299</v>
      </c>
      <c r="E785" s="32" t="n">
        <f aca="false">INDEX(Surface_Engine!$O$12:$O$72,$A785+1)*IF($A785&lt;$Q$762,INDEX(Surface_Engine!$Z$12:$Z$72,$A785+1),INDEX(Surface_Engine!$Z$12:$Z$72,$Q$762+1))</f>
        <v>0.508422026116057</v>
      </c>
      <c r="F785" s="48" t="n">
        <f aca="false">B785*(IF($A785&lt;$Q$762,INDEX(Surface_Engine!$D$12:$D$72,$A785+1)+(Surface_Engine!B244*12)*INDEX(Surface_Engine!$F$12:$F$72,$A785+1)-(Surface_Engine!B244*12),1000*12*INDEX(Surface_Engine!$C$12:$C$72,$A785+1)/(1+Assumptions!$B$10)^7+INDEX(Surface_Engine!$D$12:$D$72,$A785+1)))*INDEX(Surface_Engine!$B$12:$B$72,$A785+1)+F786</f>
        <v>26526.2162882558</v>
      </c>
      <c r="G785" s="48" t="n">
        <f aca="false">C785*(IF($A785&lt;$Q$762,INDEX(Surface_Engine!$D$12:$D$72,$A785+1)+(Surface_Engine!B244*12)*INDEX(Surface_Engine!$F$12:$F$72,$A785+1)-(Surface_Engine!B244*12),1000*12*INDEX(Surface_Engine!$C$12:$C$72,$A785+1)/(1+Assumptions!$B$10)^7+INDEX(Surface_Engine!$D$12:$D$72,$A785+1)))*INDEX(Surface_Engine!$B$12:$B$72,$A785+1)+G786</f>
        <v>34800.8586365017</v>
      </c>
      <c r="H785" s="48" t="n">
        <f aca="false">D785*(IF($A785&lt;$Q$762,INDEX(Surface_Engine!$D$12:$D$72,$A785+1)+(Surface_Engine!B244*12)*INDEX(Surface_Engine!$F$12:$F$72,$A785+1)-(Surface_Engine!B244*12),1000*12*INDEX(Surface_Engine!$C$12:$C$72,$A785+1)/(1+Assumptions!$B$10)^7+INDEX(Surface_Engine!$D$12:$D$72,$A785+1)))*INDEX(Surface_Engine!$B$12:$B$72,$A785+1)+H786</f>
        <v>24930.7683684052</v>
      </c>
      <c r="I785" s="48" t="n">
        <f aca="false">E785*(IF($A785&lt;$Q$762,INDEX(Surface_Engine!$D$12:$D$72,$A785+1)+(Surface_Engine!B244*12)*INDEX(Surface_Engine!$F$12:$F$72,$A785+1)-(Surface_Engine!B244*12),1000*12*INDEX(Surface_Engine!$C$12:$C$72,$A785+1)/(1+Assumptions!$B$10)^7+INDEX(Surface_Engine!$D$12:$D$72,$A785+1)))*INDEX(Surface_Engine!$B$12:$B$72,$A785+1)+I786</f>
        <v>28202.6261791441</v>
      </c>
      <c r="J785" s="48" t="n">
        <f aca="false">B785*(IF($A785&lt;$Q$762,INDEX(Surface_Engine!$D$12:$D$72,$A785+1)*(1+Assumptions!$B$24)+(Surface_Engine!B244*12)*INDEX(Surface_Engine!$F$12:$F$72,$A785+1)-(Surface_Engine!B244*12),1000*12*INDEX(Surface_Engine!$C$12:$C$72,$A785+1)/(1+Assumptions!$B$10)^7+INDEX(Surface_Engine!$D$12:$D$72,$A785+1)*(1+Assumptions!$B$24)))*INDEX(Surface_Engine!$B$12:$B$72,$A785+1)+J786</f>
        <v>26549.5897105866</v>
      </c>
      <c r="K785" s="12" t="n">
        <f aca="false">SQRT((IF(C785&lt;=0,0,MAX(0,(B785/C785)*G785/INDEX(Surface_Engine!$B$12:$B$72,$A785+1)-F785/INDEX(Surface_Engine!$B$12:$B$72,$A785+1))))^2+(MAX(IF(D785&lt;=0,0,MAX(0,(B785/D785)*H785/INDEX(Surface_Engine!$B$12:$B$72,$A785+1)-F785/INDEX(Surface_Engine!$B$12:$B$72,$A785+1))),IF(E785&lt;=0,0,MAX(0,(B785/E785)*I785/INDEX(Surface_Engine!$B$12:$B$72,$A785+1)-F785/INDEX(Surface_Engine!$B$12:$B$72,$A785+1))),IF($A785&lt;$Q$762,MAX(0,-Assumptions!$B$22*(F785/INDEX(Surface_Engine!$B$12:$B$72,$A785+1))),0)))^2+(MAX(0,J785/INDEX(Surface_Engine!$B$12:$B$72,$A785+1)-(F785/INDEX(Surface_Engine!$B$12:$B$72,$A785+1))))^2+2*Assumptions!$B$26*(IF(C785&lt;=0,0,MAX(0,(B785/C785)*G785/INDEX(Surface_Engine!$B$12:$B$72,$A785+1)-F785/INDEX(Surface_Engine!$B$12:$B$72,$A785+1))))*(MAX(IF(D785&lt;=0,0,MAX(0,(B785/D785)*H785/INDEX(Surface_Engine!$B$12:$B$72,$A785+1)-F785/INDEX(Surface_Engine!$B$12:$B$72,$A785+1))),IF(E785&lt;=0,0,MAX(0,(B785/E785)*I785/INDEX(Surface_Engine!$B$12:$B$72,$A785+1)-F785/INDEX(Surface_Engine!$B$12:$B$72,$A785+1))),IF($A785&lt;$Q$762,MAX(0,-Assumptions!$B$22*(F785/INDEX(Surface_Engine!$B$12:$B$72,$A785+1))),0)))+2*Assumptions!$B$27*(IF(C785&lt;=0,0,MAX(0,(B785/C785)*G785/INDEX(Surface_Engine!$B$12:$B$72,$A785+1)-F785/INDEX(Surface_Engine!$B$12:$B$72,$A785+1))))*(MAX(0,J785/INDEX(Surface_Engine!$B$12:$B$72,$A785+1)-(F785/INDEX(Surface_Engine!$B$12:$B$72,$A785+1))))+2*Assumptions!$B$28*(MAX(IF(D785&lt;=0,0,MAX(0,(B785/D785)*H785/INDEX(Surface_Engine!$B$12:$B$72,$A785+1)-F785/INDEX(Surface_Engine!$B$12:$B$72,$A785+1))),IF(E785&lt;=0,0,MAX(0,(B785/E785)*I785/INDEX(Surface_Engine!$B$12:$B$72,$A785+1)-F785/INDEX(Surface_Engine!$B$12:$B$72,$A785+1))),IF($A785&lt;$Q$762,MAX(0,-Assumptions!$B$22*(F785/INDEX(Surface_Engine!$B$12:$B$72,$A785+1))),0)))*(MAX(0,J785/INDEX(Surface_Engine!$B$12:$B$72,$A785+1)-(F785/INDEX(Surface_Engine!$B$12:$B$72,$A785+1)))))</f>
        <v>8049.68660663486</v>
      </c>
      <c r="L785" s="48" t="n">
        <f aca="false">K785*INDEX(Surface_Engine!$B$12:$B$72,$A785+1)+L786</f>
        <v>24756.5049366043</v>
      </c>
      <c r="M785" s="48" t="n">
        <f aca="false">M784+B784*(IF($A784&lt;$Q$762,(Surface_Engine!B244*12)-(Surface_Engine!B244*12)*INDEX(Surface_Engine!$F$12:$F$72,$A784+1)-INDEX(Surface_Engine!$D$12:$D$72,$A784+1),-(1000*12*INDEX(Surface_Engine!$C$12:$C$72,$A784+1)/(1+Assumptions!$B$10)^7+INDEX(Surface_Engine!$D$12:$D$72,$A784+1))))*INDEX(Surface_Engine!$B$12:$B$72,$A784+1)</f>
        <v>31163.1263206894</v>
      </c>
      <c r="N785" s="12" t="n">
        <f aca="false">IF(B785&lt;=0,0,MAX(0,(K785+Assumptions!$B$29*L785/INDEX(Surface_Engine!$B$12:$B$72,$A785+1)-(M785/INDEX(Surface_Engine!$B$12:$B$72,$A785+1)-(F785/INDEX(Surface_Engine!$B$12:$B$72,$A785+1))))/B785))</f>
        <v>4141.22893800934</v>
      </c>
    </row>
    <row r="786" customFormat="false" ht="15" hidden="false" customHeight="true" outlineLevel="0" collapsed="false">
      <c r="A786" s="1" t="n">
        <v>22</v>
      </c>
      <c r="B786" s="32" t="n">
        <f aca="false">INDEX(Surface_Engine!$O$12:$O$72,$A786+1)*IF($A786&lt;$Q$762,INDEX(Surface_Engine!$E$12:$E$72,$A786+1),INDEX(Surface_Engine!$E$12:$E$72,$Q$762+1))</f>
        <v>0.437457403971719</v>
      </c>
      <c r="C786" s="32" t="n">
        <f aca="false">INDEX(Panel_Reserving!$E$8:$E$68,$A786+1)*IF($A786&lt;$Q$762,INDEX(Surface_Engine!$E$12:$E$72,$A786+1),INDEX(Surface_Engine!$E$12:$E$72,$Q$762+1))</f>
        <v>0.505127346228592</v>
      </c>
      <c r="D786" s="32" t="n">
        <f aca="false">INDEX(Surface_Engine!$O$12:$O$72,$A786+1)*IF($A786&lt;$Q$762,INDEX(Surface_Engine!$Y$12:$Y$72,$A786+1),INDEX(Surface_Engine!$Y$12:$Y$72,$Q$762+1))</f>
        <v>0.411146056073265</v>
      </c>
      <c r="E786" s="32" t="n">
        <f aca="false">INDEX(Surface_Engine!$O$12:$O$72,$A786+1)*IF($A786&lt;$Q$762,INDEX(Surface_Engine!$Z$12:$Z$72,$A786+1),INDEX(Surface_Engine!$Z$12:$Z$72,$Q$762+1))</f>
        <v>0.465103937155766</v>
      </c>
      <c r="F786" s="48" t="n">
        <f aca="false">B786*(IF($A786&lt;$Q$762,INDEX(Surface_Engine!$D$12:$D$72,$A786+1)+(Surface_Engine!B244*12)*INDEX(Surface_Engine!$F$12:$F$72,$A786+1)-(Surface_Engine!B244*12),1000*12*INDEX(Surface_Engine!$C$12:$C$72,$A786+1)/(1+Assumptions!$B$10)^7+INDEX(Surface_Engine!$D$12:$D$72,$A786+1)))*INDEX(Surface_Engine!$B$12:$B$72,$A786+1)+F787</f>
        <v>22560.3964144698</v>
      </c>
      <c r="G786" s="48" t="n">
        <f aca="false">C786*(IF($A786&lt;$Q$762,INDEX(Surface_Engine!$D$12:$D$72,$A786+1)+(Surface_Engine!B244*12)*INDEX(Surface_Engine!$F$12:$F$72,$A786+1)-(Surface_Engine!B244*12),1000*12*INDEX(Surface_Engine!$C$12:$C$72,$A786+1)/(1+Assumptions!$B$10)^7+INDEX(Surface_Engine!$D$12:$D$72,$A786+1)))*INDEX(Surface_Engine!$B$12:$B$72,$A786+1)+G787</f>
        <v>30305.3090287681</v>
      </c>
      <c r="H786" s="48" t="n">
        <f aca="false">D786*(IF($A786&lt;$Q$762,INDEX(Surface_Engine!$D$12:$D$72,$A786+1)+(Surface_Engine!B244*12)*INDEX(Surface_Engine!$F$12:$F$72,$A786+1)-(Surface_Engine!B244*12),1000*12*INDEX(Surface_Engine!$C$12:$C$72,$A786+1)/(1+Assumptions!$B$10)^7+INDEX(Surface_Engine!$D$12:$D$72,$A786+1)))*INDEX(Surface_Engine!$B$12:$B$72,$A786+1)+H787</f>
        <v>21203.4770129491</v>
      </c>
      <c r="I786" s="48" t="n">
        <f aca="false">E786*(IF($A786&lt;$Q$762,INDEX(Surface_Engine!$D$12:$D$72,$A786+1)+(Surface_Engine!B244*12)*INDEX(Surface_Engine!$F$12:$F$72,$A786+1)-(Surface_Engine!B244*12),1000*12*INDEX(Surface_Engine!$C$12:$C$72,$A786+1)/(1+Assumptions!$B$10)^7+INDEX(Surface_Engine!$D$12:$D$72,$A786+1)))*INDEX(Surface_Engine!$B$12:$B$72,$A786+1)+I787</f>
        <v>23986.1735128916</v>
      </c>
      <c r="J786" s="48" t="n">
        <f aca="false">B786*(IF($A786&lt;$Q$762,INDEX(Surface_Engine!$D$12:$D$72,$A786+1)*(1+Assumptions!$B$24)+(Surface_Engine!B244*12)*INDEX(Surface_Engine!$F$12:$F$72,$A786+1)-(Surface_Engine!B244*12),1000*12*INDEX(Surface_Engine!$C$12:$C$72,$A786+1)/(1+Assumptions!$B$10)^7+INDEX(Surface_Engine!$D$12:$D$72,$A786+1)*(1+Assumptions!$B$24)))*INDEX(Surface_Engine!$B$12:$B$72,$A786+1)+J787</f>
        <v>22580.3500179905</v>
      </c>
      <c r="K786" s="12" t="n">
        <f aca="false">SQRT((IF(C786&lt;=0,0,MAX(0,(B786/C786)*G786/INDEX(Surface_Engine!$B$12:$B$72,$A786+1)-F786/INDEX(Surface_Engine!$B$12:$B$72,$A786+1))))^2+(MAX(IF(D786&lt;=0,0,MAX(0,(B786/D786)*H786/INDEX(Surface_Engine!$B$12:$B$72,$A786+1)-F786/INDEX(Surface_Engine!$B$12:$B$72,$A786+1))),IF(E786&lt;=0,0,MAX(0,(B786/E786)*I786/INDEX(Surface_Engine!$B$12:$B$72,$A786+1)-F786/INDEX(Surface_Engine!$B$12:$B$72,$A786+1))),IF($A786&lt;$Q$762,MAX(0,-Assumptions!$B$22*(F786/INDEX(Surface_Engine!$B$12:$B$72,$A786+1))),0)))^2+(MAX(0,J786/INDEX(Surface_Engine!$B$12:$B$72,$A786+1)-(F786/INDEX(Surface_Engine!$B$12:$B$72,$A786+1))))^2+2*Assumptions!$B$26*(IF(C786&lt;=0,0,MAX(0,(B786/C786)*G786/INDEX(Surface_Engine!$B$12:$B$72,$A786+1)-F786/INDEX(Surface_Engine!$B$12:$B$72,$A786+1))))*(MAX(IF(D786&lt;=0,0,MAX(0,(B786/D786)*H786/INDEX(Surface_Engine!$B$12:$B$72,$A786+1)-F786/INDEX(Surface_Engine!$B$12:$B$72,$A786+1))),IF(E786&lt;=0,0,MAX(0,(B786/E786)*I786/INDEX(Surface_Engine!$B$12:$B$72,$A786+1)-F786/INDEX(Surface_Engine!$B$12:$B$72,$A786+1))),IF($A786&lt;$Q$762,MAX(0,-Assumptions!$B$22*(F786/INDEX(Surface_Engine!$B$12:$B$72,$A786+1))),0)))+2*Assumptions!$B$27*(IF(C786&lt;=0,0,MAX(0,(B786/C786)*G786/INDEX(Surface_Engine!$B$12:$B$72,$A786+1)-F786/INDEX(Surface_Engine!$B$12:$B$72,$A786+1))))*(MAX(0,J786/INDEX(Surface_Engine!$B$12:$B$72,$A786+1)-(F786/INDEX(Surface_Engine!$B$12:$B$72,$A786+1))))+2*Assumptions!$B$28*(MAX(IF(D786&lt;=0,0,MAX(0,(B786/D786)*H786/INDEX(Surface_Engine!$B$12:$B$72,$A786+1)-F786/INDEX(Surface_Engine!$B$12:$B$72,$A786+1))),IF(E786&lt;=0,0,MAX(0,(B786/E786)*I786/INDEX(Surface_Engine!$B$12:$B$72,$A786+1)-F786/INDEX(Surface_Engine!$B$12:$B$72,$A786+1))),IF($A786&lt;$Q$762,MAX(0,-Assumptions!$B$22*(F786/INDEX(Surface_Engine!$B$12:$B$72,$A786+1))),0)))*(MAX(0,J786/INDEX(Surface_Engine!$B$12:$B$72,$A786+1)-(F786/INDEX(Surface_Engine!$B$12:$B$72,$A786+1)))))</f>
        <v>7333.34949085789</v>
      </c>
      <c r="L786" s="48" t="n">
        <f aca="false">K786*INDEX(Surface_Engine!$B$12:$B$72,$A786+1)+L787</f>
        <v>20576.6911778932</v>
      </c>
      <c r="M786" s="48" t="n">
        <f aca="false">M785+B785*(IF($A785&lt;$Q$762,(Surface_Engine!B244*12)-(Surface_Engine!B244*12)*INDEX(Surface_Engine!$F$12:$F$72,$A785+1)-INDEX(Surface_Engine!$D$12:$D$72,$A785+1),-(1000*12*INDEX(Surface_Engine!$C$12:$C$72,$A785+1)/(1+Assumptions!$B$10)^7+INDEX(Surface_Engine!$D$12:$D$72,$A785+1))))*INDEX(Surface_Engine!$B$12:$B$72,$A785+1)</f>
        <v>27197.3064469034</v>
      </c>
      <c r="N786" s="12" t="n">
        <f aca="false">IF(B786&lt;=0,0,MAX(0,(K786+Assumptions!$B$29*L786/INDEX(Surface_Engine!$B$12:$B$72,$A786+1)-(M786/INDEX(Surface_Engine!$B$12:$B$72,$A786+1)-(F786/INDEX(Surface_Engine!$B$12:$B$72,$A786+1))))/B786))</f>
        <v>1307.25715692764</v>
      </c>
    </row>
    <row r="787" customFormat="false" ht="15" hidden="false" customHeight="true" outlineLevel="0" collapsed="false">
      <c r="A787" s="1" t="n">
        <v>23</v>
      </c>
      <c r="B787" s="32" t="n">
        <f aca="false">INDEX(Surface_Engine!$O$12:$O$72,$A787+1)*IF($A787&lt;$Q$762,INDEX(Surface_Engine!$E$12:$E$72,$A787+1),INDEX(Surface_Engine!$E$12:$E$72,$Q$762+1))</f>
        <v>0.39403930153102</v>
      </c>
      <c r="C787" s="32" t="n">
        <f aca="false">INDEX(Panel_Reserving!$E$8:$E$68,$A787+1)*IF($A787&lt;$Q$762,INDEX(Surface_Engine!$E$12:$E$72,$A787+1),INDEX(Surface_Engine!$E$12:$E$72,$Q$762+1))</f>
        <v>0.46501981454202</v>
      </c>
      <c r="D787" s="32" t="n">
        <f aca="false">INDEX(Surface_Engine!$O$12:$O$72,$A787+1)*IF($A787&lt;$Q$762,INDEX(Surface_Engine!$Y$12:$Y$72,$A787+1),INDEX(Surface_Engine!$Y$12:$Y$72,$Q$762+1))</f>
        <v>0.370339382283758</v>
      </c>
      <c r="E787" s="32" t="n">
        <f aca="false">INDEX(Surface_Engine!$O$12:$O$72,$A787+1)*IF($A787&lt;$Q$762,INDEX(Surface_Engine!$Z$12:$Z$72,$A787+1),INDEX(Surface_Engine!$Z$12:$Z$72,$Q$762+1))</f>
        <v>0.418941887535257</v>
      </c>
      <c r="F787" s="48" t="n">
        <f aca="false">B787*(IF($A787&lt;$Q$762,INDEX(Surface_Engine!$D$12:$D$72,$A787+1)+(Surface_Engine!B244*12)*INDEX(Surface_Engine!$F$12:$F$72,$A787+1)-(Surface_Engine!B244*12),1000*12*INDEX(Surface_Engine!$C$12:$C$72,$A787+1)/(1+Assumptions!$B$10)^7+INDEX(Surface_Engine!$D$12:$D$72,$A787+1)))*INDEX(Surface_Engine!$B$12:$B$72,$A787+1)+F788</f>
        <v>18974.2242619895</v>
      </c>
      <c r="G787" s="48" t="n">
        <f aca="false">C787*(IF($A787&lt;$Q$762,INDEX(Surface_Engine!$D$12:$D$72,$A787+1)+(Surface_Engine!B244*12)*INDEX(Surface_Engine!$F$12:$F$72,$A787+1)-(Surface_Engine!B244*12),1000*12*INDEX(Surface_Engine!$C$12:$C$72,$A787+1)/(1+Assumptions!$B$10)^7+INDEX(Surface_Engine!$D$12:$D$72,$A787+1)))*INDEX(Surface_Engine!$B$12:$B$72,$A787+1)+G788</f>
        <v>26164.3947224729</v>
      </c>
      <c r="H787" s="48" t="n">
        <f aca="false">D787*(IF($A787&lt;$Q$762,INDEX(Surface_Engine!$D$12:$D$72,$A787+1)+(Surface_Engine!B244*12)*INDEX(Surface_Engine!$F$12:$F$72,$A787+1)-(Surface_Engine!B244*12),1000*12*INDEX(Surface_Engine!$C$12:$C$72,$A787+1)/(1+Assumptions!$B$10)^7+INDEX(Surface_Engine!$D$12:$D$72,$A787+1)))*INDEX(Surface_Engine!$B$12:$B$72,$A787+1)+H788</f>
        <v>17832.999056683</v>
      </c>
      <c r="I787" s="48" t="n">
        <f aca="false">E787*(IF($A787&lt;$Q$762,INDEX(Surface_Engine!$D$12:$D$72,$A787+1)+(Surface_Engine!B244*12)*INDEX(Surface_Engine!$F$12:$F$72,$A787+1)-(Surface_Engine!B244*12),1000*12*INDEX(Surface_Engine!$C$12:$C$72,$A787+1)/(1+Assumptions!$B$10)^7+INDEX(Surface_Engine!$D$12:$D$72,$A787+1)))*INDEX(Surface_Engine!$B$12:$B$72,$A787+1)+I788</f>
        <v>20173.3616315665</v>
      </c>
      <c r="J787" s="48" t="n">
        <f aca="false">B787*(IF($A787&lt;$Q$762,INDEX(Surface_Engine!$D$12:$D$72,$A787+1)*(1+Assumptions!$B$24)+(Surface_Engine!B244*12)*INDEX(Surface_Engine!$F$12:$F$72,$A787+1)-(Surface_Engine!B244*12),1000*12*INDEX(Surface_Engine!$C$12:$C$72,$A787+1)/(1+Assumptions!$B$10)^7+INDEX(Surface_Engine!$D$12:$D$72,$A787+1)*(1+Assumptions!$B$24)))*INDEX(Surface_Engine!$B$12:$B$72,$A787+1)+J788</f>
        <v>18991.0703981058</v>
      </c>
      <c r="K787" s="12" t="n">
        <f aca="false">SQRT((IF(C787&lt;=0,0,MAX(0,(B787/C787)*G787/INDEX(Surface_Engine!$B$12:$B$72,$A787+1)-F787/INDEX(Surface_Engine!$B$12:$B$72,$A787+1))))^2+(MAX(IF(D787&lt;=0,0,MAX(0,(B787/D787)*H787/INDEX(Surface_Engine!$B$12:$B$72,$A787+1)-F787/INDEX(Surface_Engine!$B$12:$B$72,$A787+1))),IF(E787&lt;=0,0,MAX(0,(B787/E787)*I787/INDEX(Surface_Engine!$B$12:$B$72,$A787+1)-F787/INDEX(Surface_Engine!$B$12:$B$72,$A787+1))),IF($A787&lt;$Q$762,MAX(0,-Assumptions!$B$22*(F787/INDEX(Surface_Engine!$B$12:$B$72,$A787+1))),0)))^2+(MAX(0,J787/INDEX(Surface_Engine!$B$12:$B$72,$A787+1)-(F787/INDEX(Surface_Engine!$B$12:$B$72,$A787+1))))^2+2*Assumptions!$B$26*(IF(C787&lt;=0,0,MAX(0,(B787/C787)*G787/INDEX(Surface_Engine!$B$12:$B$72,$A787+1)-F787/INDEX(Surface_Engine!$B$12:$B$72,$A787+1))))*(MAX(IF(D787&lt;=0,0,MAX(0,(B787/D787)*H787/INDEX(Surface_Engine!$B$12:$B$72,$A787+1)-F787/INDEX(Surface_Engine!$B$12:$B$72,$A787+1))),IF(E787&lt;=0,0,MAX(0,(B787/E787)*I787/INDEX(Surface_Engine!$B$12:$B$72,$A787+1)-F787/INDEX(Surface_Engine!$B$12:$B$72,$A787+1))),IF($A787&lt;$Q$762,MAX(0,-Assumptions!$B$22*(F787/INDEX(Surface_Engine!$B$12:$B$72,$A787+1))),0)))+2*Assumptions!$B$27*(IF(C787&lt;=0,0,MAX(0,(B787/C787)*G787/INDEX(Surface_Engine!$B$12:$B$72,$A787+1)-F787/INDEX(Surface_Engine!$B$12:$B$72,$A787+1))))*(MAX(0,J787/INDEX(Surface_Engine!$B$12:$B$72,$A787+1)-(F787/INDEX(Surface_Engine!$B$12:$B$72,$A787+1))))+2*Assumptions!$B$28*(MAX(IF(D787&lt;=0,0,MAX(0,(B787/D787)*H787/INDEX(Surface_Engine!$B$12:$B$72,$A787+1)-F787/INDEX(Surface_Engine!$B$12:$B$72,$A787+1))),IF(E787&lt;=0,0,MAX(0,(B787/E787)*I787/INDEX(Surface_Engine!$B$12:$B$72,$A787+1)-F787/INDEX(Surface_Engine!$B$12:$B$72,$A787+1))),IF($A787&lt;$Q$762,MAX(0,-Assumptions!$B$22*(F787/INDEX(Surface_Engine!$B$12:$B$72,$A787+1))),0)))*(MAX(0,J787/INDEX(Surface_Engine!$B$12:$B$72,$A787+1)-(F787/INDEX(Surface_Engine!$B$12:$B$72,$A787+1)))))</f>
        <v>6563.97697271564</v>
      </c>
      <c r="L787" s="48" t="n">
        <f aca="false">K787*INDEX(Surface_Engine!$B$12:$B$72,$A787+1)+L788</f>
        <v>16886.623746393</v>
      </c>
      <c r="M787" s="48" t="n">
        <f aca="false">M786+B786*(IF($A786&lt;$Q$762,(Surface_Engine!B244*12)-(Surface_Engine!B244*12)*INDEX(Surface_Engine!$F$12:$F$72,$A786+1)-INDEX(Surface_Engine!$D$12:$D$72,$A786+1),-(1000*12*INDEX(Surface_Engine!$C$12:$C$72,$A786+1)/(1+Assumptions!$B$10)^7+INDEX(Surface_Engine!$D$12:$D$72,$A786+1))))*INDEX(Surface_Engine!$B$12:$B$72,$A786+1)</f>
        <v>23611.1342944231</v>
      </c>
      <c r="N787" s="12" t="n">
        <f aca="false">IF(B787&lt;=0,0,MAX(0,(K787+Assumptions!$B$29*L787/INDEX(Surface_Engine!$B$12:$B$72,$A787+1)-(M787/INDEX(Surface_Engine!$B$12:$B$72,$A787+1)-(F787/INDEX(Surface_Engine!$B$12:$B$72,$A787+1))))/B787))</f>
        <v>0</v>
      </c>
    </row>
    <row r="788" customFormat="false" ht="15" hidden="false" customHeight="true" outlineLevel="0" collapsed="false">
      <c r="A788" s="1" t="n">
        <v>24</v>
      </c>
      <c r="B788" s="32" t="n">
        <f aca="false">INDEX(Surface_Engine!$O$12:$O$72,$A788+1)*IF($A788&lt;$Q$762,INDEX(Surface_Engine!$E$12:$E$72,$A788+1),INDEX(Surface_Engine!$E$12:$E$72,$Q$762+1))</f>
        <v>0.350042118782954</v>
      </c>
      <c r="C788" s="32" t="n">
        <f aca="false">INDEX(Panel_Reserving!$E$8:$E$68,$A788+1)*IF($A788&lt;$Q$762,INDEX(Surface_Engine!$E$12:$E$72,$A788+1),INDEX(Surface_Engine!$E$12:$E$72,$Q$762+1))</f>
        <v>0.423481700587636</v>
      </c>
      <c r="D788" s="32" t="n">
        <f aca="false">INDEX(Surface_Engine!$O$12:$O$72,$A788+1)*IF($A788&lt;$Q$762,INDEX(Surface_Engine!$Y$12:$Y$72,$A788+1),INDEX(Surface_Engine!$Y$12:$Y$72,$Q$762+1))</f>
        <v>0.328988457597223</v>
      </c>
      <c r="E788" s="32" t="n">
        <f aca="false">INDEX(Surface_Engine!$O$12:$O$72,$A788+1)*IF($A788&lt;$Q$762,INDEX(Surface_Engine!$Z$12:$Z$72,$A788+1),INDEX(Surface_Engine!$Z$12:$Z$72,$Q$762+1))</f>
        <v>0.372164160757521</v>
      </c>
      <c r="F788" s="48" t="n">
        <f aca="false">B788*(IF($A788&lt;$Q$762,INDEX(Surface_Engine!$D$12:$D$72,$A788+1)+(Surface_Engine!B244*12)*INDEX(Surface_Engine!$F$12:$F$72,$A788+1)-(Surface_Engine!B244*12),1000*12*INDEX(Surface_Engine!$C$12:$C$72,$A788+1)/(1+Assumptions!$B$10)^7+INDEX(Surface_Engine!$D$12:$D$72,$A788+1)))*INDEX(Surface_Engine!$B$12:$B$72,$A788+1)+F789</f>
        <v>15781.2231898525</v>
      </c>
      <c r="G788" s="48" t="n">
        <f aca="false">C788*(IF($A788&lt;$Q$762,INDEX(Surface_Engine!$D$12:$D$72,$A788+1)+(Surface_Engine!B244*12)*INDEX(Surface_Engine!$F$12:$F$72,$A788+1)-(Surface_Engine!B244*12),1000*12*INDEX(Surface_Engine!$C$12:$C$72,$A788+1)/(1+Assumptions!$B$10)^7+INDEX(Surface_Engine!$D$12:$D$72,$A788+1)))*INDEX(Surface_Engine!$B$12:$B$72,$A788+1)+G789</f>
        <v>22396.2204296334</v>
      </c>
      <c r="H788" s="48" t="n">
        <f aca="false">D788*(IF($A788&lt;$Q$762,INDEX(Surface_Engine!$D$12:$D$72,$A788+1)+(Surface_Engine!B244*12)*INDEX(Surface_Engine!$F$12:$F$72,$A788+1)-(Surface_Engine!B244*12),1000*12*INDEX(Surface_Engine!$C$12:$C$72,$A788+1)/(1+Assumptions!$B$10)^7+INDEX(Surface_Engine!$D$12:$D$72,$A788+1)))*INDEX(Surface_Engine!$B$12:$B$72,$A788+1)+H789</f>
        <v>14832.0444816138</v>
      </c>
      <c r="I788" s="48" t="n">
        <f aca="false">E788*(IF($A788&lt;$Q$762,INDEX(Surface_Engine!$D$12:$D$72,$A788+1)+(Surface_Engine!B244*12)*INDEX(Surface_Engine!$F$12:$F$72,$A788+1)-(Surface_Engine!B244*12),1000*12*INDEX(Surface_Engine!$C$12:$C$72,$A788+1)/(1+Assumptions!$B$10)^7+INDEX(Surface_Engine!$D$12:$D$72,$A788+1)))*INDEX(Surface_Engine!$B$12:$B$72,$A788+1)+I789</f>
        <v>16778.5685465477</v>
      </c>
      <c r="J788" s="48" t="n">
        <f aca="false">B788*(IF($A788&lt;$Q$762,INDEX(Surface_Engine!$D$12:$D$72,$A788+1)*(1+Assumptions!$B$24)+(Surface_Engine!B244*12)*INDEX(Surface_Engine!$F$12:$F$72,$A788+1)-(Surface_Engine!B244*12),1000*12*INDEX(Surface_Engine!$C$12:$C$72,$A788+1)/(1+Assumptions!$B$10)^7+INDEX(Surface_Engine!$D$12:$D$72,$A788+1)*(1+Assumptions!$B$24)))*INDEX(Surface_Engine!$B$12:$B$72,$A788+1)+J789</f>
        <v>15795.2891021531</v>
      </c>
      <c r="K788" s="12" t="n">
        <f aca="false">SQRT((IF(C788&lt;=0,0,MAX(0,(B788/C788)*G788/INDEX(Surface_Engine!$B$12:$B$72,$A788+1)-F788/INDEX(Surface_Engine!$B$12:$B$72,$A788+1))))^2+(MAX(IF(D788&lt;=0,0,MAX(0,(B788/D788)*H788/INDEX(Surface_Engine!$B$12:$B$72,$A788+1)-F788/INDEX(Surface_Engine!$B$12:$B$72,$A788+1))),IF(E788&lt;=0,0,MAX(0,(B788/E788)*I788/INDEX(Surface_Engine!$B$12:$B$72,$A788+1)-F788/INDEX(Surface_Engine!$B$12:$B$72,$A788+1))),IF($A788&lt;$Q$762,MAX(0,-Assumptions!$B$22*(F788/INDEX(Surface_Engine!$B$12:$B$72,$A788+1))),0)))^2+(MAX(0,J788/INDEX(Surface_Engine!$B$12:$B$72,$A788+1)-(F788/INDEX(Surface_Engine!$B$12:$B$72,$A788+1))))^2+2*Assumptions!$B$26*(IF(C788&lt;=0,0,MAX(0,(B788/C788)*G788/INDEX(Surface_Engine!$B$12:$B$72,$A788+1)-F788/INDEX(Surface_Engine!$B$12:$B$72,$A788+1))))*(MAX(IF(D788&lt;=0,0,MAX(0,(B788/D788)*H788/INDEX(Surface_Engine!$B$12:$B$72,$A788+1)-F788/INDEX(Surface_Engine!$B$12:$B$72,$A788+1))),IF(E788&lt;=0,0,MAX(0,(B788/E788)*I788/INDEX(Surface_Engine!$B$12:$B$72,$A788+1)-F788/INDEX(Surface_Engine!$B$12:$B$72,$A788+1))),IF($A788&lt;$Q$762,MAX(0,-Assumptions!$B$22*(F788/INDEX(Surface_Engine!$B$12:$B$72,$A788+1))),0)))+2*Assumptions!$B$27*(IF(C788&lt;=0,0,MAX(0,(B788/C788)*G788/INDEX(Surface_Engine!$B$12:$B$72,$A788+1)-F788/INDEX(Surface_Engine!$B$12:$B$72,$A788+1))))*(MAX(0,J788/INDEX(Surface_Engine!$B$12:$B$72,$A788+1)-(F788/INDEX(Surface_Engine!$B$12:$B$72,$A788+1))))+2*Assumptions!$B$28*(MAX(IF(D788&lt;=0,0,MAX(0,(B788/D788)*H788/INDEX(Surface_Engine!$B$12:$B$72,$A788+1)-F788/INDEX(Surface_Engine!$B$12:$B$72,$A788+1))),IF(E788&lt;=0,0,MAX(0,(B788/E788)*I788/INDEX(Surface_Engine!$B$12:$B$72,$A788+1)-F788/INDEX(Surface_Engine!$B$12:$B$72,$A788+1))),IF($A788&lt;$Q$762,MAX(0,-Assumptions!$B$22*(F788/INDEX(Surface_Engine!$B$12:$B$72,$A788+1))),0)))*(MAX(0,J788/INDEX(Surface_Engine!$B$12:$B$72,$A788+1)-(F788/INDEX(Surface_Engine!$B$12:$B$72,$A788+1)))))</f>
        <v>5788.74780593886</v>
      </c>
      <c r="L788" s="48" t="n">
        <f aca="false">K788*INDEX(Surface_Engine!$B$12:$B$72,$A788+1)+L789</f>
        <v>13685.9271274844</v>
      </c>
      <c r="M788" s="48" t="n">
        <f aca="false">M787+B787*(IF($A787&lt;$Q$762,(Surface_Engine!B244*12)-(Surface_Engine!B244*12)*INDEX(Surface_Engine!$F$12:$F$72,$A787+1)-INDEX(Surface_Engine!$D$12:$D$72,$A787+1),-(1000*12*INDEX(Surface_Engine!$C$12:$C$72,$A787+1)/(1+Assumptions!$B$10)^7+INDEX(Surface_Engine!$D$12:$D$72,$A787+1))))*INDEX(Surface_Engine!$B$12:$B$72,$A787+1)</f>
        <v>20418.1332222861</v>
      </c>
      <c r="N788" s="12" t="n">
        <f aca="false">IF(B788&lt;=0,0,MAX(0,(K788+Assumptions!$B$29*L788/INDEX(Surface_Engine!$B$12:$B$72,$A788+1)-(M788/INDEX(Surface_Engine!$B$12:$B$72,$A788+1)-(F788/INDEX(Surface_Engine!$B$12:$B$72,$A788+1))))/B788))</f>
        <v>0</v>
      </c>
    </row>
    <row r="789" customFormat="false" ht="15" hidden="false" customHeight="true" outlineLevel="0" collapsed="false">
      <c r="A789" s="1" t="n">
        <v>25</v>
      </c>
      <c r="B789" s="32" t="n">
        <f aca="false">INDEX(Surface_Engine!$O$12:$O$72,$A789+1)*IF($A789&lt;$Q$762,INDEX(Surface_Engine!$E$12:$E$72,$A789+1),INDEX(Surface_Engine!$E$12:$E$72,$Q$762+1))</f>
        <v>0.306553205935852</v>
      </c>
      <c r="C789" s="32" t="n">
        <f aca="false">INDEX(Panel_Reserving!$E$8:$E$68,$A789+1)*IF($A789&lt;$Q$762,INDEX(Surface_Engine!$E$12:$E$72,$A789+1),INDEX(Surface_Engine!$E$12:$E$72,$Q$762+1))</f>
        <v>0.381391317102972</v>
      </c>
      <c r="D789" s="32" t="n">
        <f aca="false">INDEX(Surface_Engine!$O$12:$O$72,$A789+1)*IF($A789&lt;$Q$762,INDEX(Surface_Engine!$Y$12:$Y$72,$A789+1),INDEX(Surface_Engine!$Y$12:$Y$72,$Q$762+1))</f>
        <v>0.288115232369662</v>
      </c>
      <c r="E789" s="32" t="n">
        <f aca="false">INDEX(Surface_Engine!$O$12:$O$72,$A789+1)*IF($A789&lt;$Q$762,INDEX(Surface_Engine!$Z$12:$Z$72,$A789+1),INDEX(Surface_Engine!$Z$12:$Z$72,$Q$762+1))</f>
        <v>0.32592682563833</v>
      </c>
      <c r="F789" s="48" t="n">
        <f aca="false">B789*(IF($A789&lt;$Q$762,INDEX(Surface_Engine!$D$12:$D$72,$A789+1)+(Surface_Engine!B244*12)*INDEX(Surface_Engine!$F$12:$F$72,$A789+1)-(Surface_Engine!B244*12),1000*12*INDEX(Surface_Engine!$C$12:$C$72,$A789+1)/(1+Assumptions!$B$10)^7+INDEX(Surface_Engine!$D$12:$D$72,$A789+1)))*INDEX(Surface_Engine!$B$12:$B$72,$A789+1)+F790</f>
        <v>12978.1487185196</v>
      </c>
      <c r="G789" s="48" t="n">
        <f aca="false">C789*(IF($A789&lt;$Q$762,INDEX(Surface_Engine!$D$12:$D$72,$A789+1)+(Surface_Engine!B244*12)*INDEX(Surface_Engine!$F$12:$F$72,$A789+1)-(Surface_Engine!B244*12),1000*12*INDEX(Surface_Engine!$C$12:$C$72,$A789+1)/(1+Assumptions!$B$10)^7+INDEX(Surface_Engine!$D$12:$D$72,$A789+1)))*INDEX(Surface_Engine!$B$12:$B$72,$A789+1)+G790</f>
        <v>19005.0549661142</v>
      </c>
      <c r="H789" s="48" t="n">
        <f aca="false">D789*(IF($A789&lt;$Q$762,INDEX(Surface_Engine!$D$12:$D$72,$A789+1)+(Surface_Engine!B244*12)*INDEX(Surface_Engine!$F$12:$F$72,$A789+1)-(Surface_Engine!B244*12),1000*12*INDEX(Surface_Engine!$C$12:$C$72,$A789+1)/(1+Assumptions!$B$10)^7+INDEX(Surface_Engine!$D$12:$D$72,$A789+1)))*INDEX(Surface_Engine!$B$12:$B$72,$A789+1)+H790</f>
        <v>12197.5639509272</v>
      </c>
      <c r="I789" s="48" t="n">
        <f aca="false">E789*(IF($A789&lt;$Q$762,INDEX(Surface_Engine!$D$12:$D$72,$A789+1)+(Surface_Engine!B244*12)*INDEX(Surface_Engine!$F$12:$F$72,$A789+1)-(Surface_Engine!B244*12),1000*12*INDEX(Surface_Engine!$C$12:$C$72,$A789+1)/(1+Assumptions!$B$10)^7+INDEX(Surface_Engine!$D$12:$D$72,$A789+1)))*INDEX(Surface_Engine!$B$12:$B$72,$A789+1)+I790</f>
        <v>13798.3447329349</v>
      </c>
      <c r="J789" s="48" t="n">
        <f aca="false">B789*(IF($A789&lt;$Q$762,INDEX(Surface_Engine!$D$12:$D$72,$A789+1)*(1+Assumptions!$B$24)+(Surface_Engine!B244*12)*INDEX(Surface_Engine!$F$12:$F$72,$A789+1)-(Surface_Engine!B244*12),1000*12*INDEX(Surface_Engine!$C$12:$C$72,$A789+1)/(1+Assumptions!$B$10)^7+INDEX(Surface_Engine!$D$12:$D$72,$A789+1)*(1+Assumptions!$B$24)))*INDEX(Surface_Engine!$B$12:$B$72,$A789+1)+J790</f>
        <v>12989.762066035</v>
      </c>
      <c r="K789" s="12" t="n">
        <f aca="false">SQRT((IF(C789&lt;=0,0,MAX(0,(B789/C789)*G789/INDEX(Surface_Engine!$B$12:$B$72,$A789+1)-F789/INDEX(Surface_Engine!$B$12:$B$72,$A789+1))))^2+(MAX(IF(D789&lt;=0,0,MAX(0,(B789/D789)*H789/INDEX(Surface_Engine!$B$12:$B$72,$A789+1)-F789/INDEX(Surface_Engine!$B$12:$B$72,$A789+1))),IF(E789&lt;=0,0,MAX(0,(B789/E789)*I789/INDEX(Surface_Engine!$B$12:$B$72,$A789+1)-F789/INDEX(Surface_Engine!$B$12:$B$72,$A789+1))),IF($A789&lt;$Q$762,MAX(0,-Assumptions!$B$22*(F789/INDEX(Surface_Engine!$B$12:$B$72,$A789+1))),0)))^2+(MAX(0,J789/INDEX(Surface_Engine!$B$12:$B$72,$A789+1)-(F789/INDEX(Surface_Engine!$B$12:$B$72,$A789+1))))^2+2*Assumptions!$B$26*(IF(C789&lt;=0,0,MAX(0,(B789/C789)*G789/INDEX(Surface_Engine!$B$12:$B$72,$A789+1)-F789/INDEX(Surface_Engine!$B$12:$B$72,$A789+1))))*(MAX(IF(D789&lt;=0,0,MAX(0,(B789/D789)*H789/INDEX(Surface_Engine!$B$12:$B$72,$A789+1)-F789/INDEX(Surface_Engine!$B$12:$B$72,$A789+1))),IF(E789&lt;=0,0,MAX(0,(B789/E789)*I789/INDEX(Surface_Engine!$B$12:$B$72,$A789+1)-F789/INDEX(Surface_Engine!$B$12:$B$72,$A789+1))),IF($A789&lt;$Q$762,MAX(0,-Assumptions!$B$22*(F789/INDEX(Surface_Engine!$B$12:$B$72,$A789+1))),0)))+2*Assumptions!$B$27*(IF(C789&lt;=0,0,MAX(0,(B789/C789)*G789/INDEX(Surface_Engine!$B$12:$B$72,$A789+1)-F789/INDEX(Surface_Engine!$B$12:$B$72,$A789+1))))*(MAX(0,J789/INDEX(Surface_Engine!$B$12:$B$72,$A789+1)-(F789/INDEX(Surface_Engine!$B$12:$B$72,$A789+1))))+2*Assumptions!$B$28*(MAX(IF(D789&lt;=0,0,MAX(0,(B789/D789)*H789/INDEX(Surface_Engine!$B$12:$B$72,$A789+1)-F789/INDEX(Surface_Engine!$B$12:$B$72,$A789+1))),IF(E789&lt;=0,0,MAX(0,(B789/E789)*I789/INDEX(Surface_Engine!$B$12:$B$72,$A789+1)-F789/INDEX(Surface_Engine!$B$12:$B$72,$A789+1))),IF($A789&lt;$Q$762,MAX(0,-Assumptions!$B$22*(F789/INDEX(Surface_Engine!$B$12:$B$72,$A789+1))),0)))*(MAX(0,J789/INDEX(Surface_Engine!$B$12:$B$72,$A789+1)-(F789/INDEX(Surface_Engine!$B$12:$B$72,$A789+1)))))</f>
        <v>5025.75349128481</v>
      </c>
      <c r="L789" s="48" t="n">
        <f aca="false">K789*INDEX(Surface_Engine!$B$12:$B$72,$A789+1)+L790</f>
        <v>10951.2995327638</v>
      </c>
      <c r="M789" s="48" t="n">
        <f aca="false">M788+B788*(IF($A788&lt;$Q$762,(Surface_Engine!B244*12)-(Surface_Engine!B244*12)*INDEX(Surface_Engine!$F$12:$F$72,$A788+1)-INDEX(Surface_Engine!$D$12:$D$72,$A788+1),-(1000*12*INDEX(Surface_Engine!$C$12:$C$72,$A788+1)/(1+Assumptions!$B$10)^7+INDEX(Surface_Engine!$D$12:$D$72,$A788+1))))*INDEX(Surface_Engine!$B$12:$B$72,$A788+1)</f>
        <v>17615.0587509532</v>
      </c>
      <c r="N789" s="12" t="n">
        <f aca="false">IF(B789&lt;=0,0,MAX(0,(K789+Assumptions!$B$29*L789/INDEX(Surface_Engine!$B$12:$B$72,$A789+1)-(M789/INDEX(Surface_Engine!$B$12:$B$72,$A789+1)-(F789/INDEX(Surface_Engine!$B$12:$B$72,$A789+1))))/B789))</f>
        <v>0</v>
      </c>
    </row>
    <row r="790" customFormat="false" ht="15" hidden="false" customHeight="true" outlineLevel="0" collapsed="false">
      <c r="A790" s="1" t="n">
        <v>26</v>
      </c>
      <c r="B790" s="32" t="n">
        <f aca="false">INDEX(Surface_Engine!$O$12:$O$72,$A790+1)*IF($A790&lt;$Q$762,INDEX(Surface_Engine!$E$12:$E$72,$A790+1),INDEX(Surface_Engine!$E$12:$E$72,$Q$762+1))</f>
        <v>0.264833471289341</v>
      </c>
      <c r="C790" s="32" t="n">
        <f aca="false">INDEX(Panel_Reserving!$E$8:$E$68,$A790+1)*IF($A790&lt;$Q$762,INDEX(Surface_Engine!$E$12:$E$72,$A790+1),INDEX(Surface_Engine!$E$12:$E$72,$Q$762+1))</f>
        <v>0.339867577046314</v>
      </c>
      <c r="D790" s="32" t="n">
        <f aca="false">INDEX(Surface_Engine!$O$12:$O$72,$A790+1)*IF($A790&lt;$Q$762,INDEX(Surface_Engine!$Y$12:$Y$72,$A790+1),INDEX(Surface_Engine!$Y$12:$Y$72,$Q$762+1))</f>
        <v>0.248904776209581</v>
      </c>
      <c r="E790" s="32" t="n">
        <f aca="false">INDEX(Surface_Engine!$O$12:$O$72,$A790+1)*IF($A790&lt;$Q$762,INDEX(Surface_Engine!$Z$12:$Z$72,$A790+1),INDEX(Surface_Engine!$Z$12:$Z$72,$Q$762+1))</f>
        <v>0.281570477648755</v>
      </c>
      <c r="F790" s="48" t="n">
        <f aca="false">B790*(IF($A790&lt;$Q$762,INDEX(Surface_Engine!$D$12:$D$72,$A790+1)+(Surface_Engine!B244*12)*INDEX(Surface_Engine!$F$12:$F$72,$A790+1)-(Surface_Engine!B244*12),1000*12*INDEX(Surface_Engine!$C$12:$C$72,$A790+1)/(1+Assumptions!$B$10)^7+INDEX(Surface_Engine!$D$12:$D$72,$A790+1)))*INDEX(Surface_Engine!$B$12:$B$72,$A790+1)+F791</f>
        <v>10551.7426049617</v>
      </c>
      <c r="G790" s="48" t="n">
        <f aca="false">C790*(IF($A790&lt;$Q$762,INDEX(Surface_Engine!$D$12:$D$72,$A790+1)+(Surface_Engine!B244*12)*INDEX(Surface_Engine!$F$12:$F$72,$A790+1)-(Surface_Engine!B244*12),1000*12*INDEX(Surface_Engine!$C$12:$C$72,$A790+1)/(1+Assumptions!$B$10)^7+INDEX(Surface_Engine!$D$12:$D$72,$A790+1)))*INDEX(Surface_Engine!$B$12:$B$72,$A790+1)+G791</f>
        <v>15986.2960506709</v>
      </c>
      <c r="H790" s="48" t="n">
        <f aca="false">D790*(IF($A790&lt;$Q$762,INDEX(Surface_Engine!$D$12:$D$72,$A790+1)+(Surface_Engine!B244*12)*INDEX(Surface_Engine!$F$12:$F$72,$A790+1)-(Surface_Engine!B244*12),1000*12*INDEX(Surface_Engine!$C$12:$C$72,$A790+1)/(1+Assumptions!$B$10)^7+INDEX(Surface_Engine!$D$12:$D$72,$A790+1)))*INDEX(Surface_Engine!$B$12:$B$72,$A790+1)+H791</f>
        <v>9917.09665293652</v>
      </c>
      <c r="I790" s="48" t="n">
        <f aca="false">E790*(IF($A790&lt;$Q$762,INDEX(Surface_Engine!$D$12:$D$72,$A790+1)+(Surface_Engine!B244*12)*INDEX(Surface_Engine!$F$12:$F$72,$A790+1)-(Surface_Engine!B244*12),1000*12*INDEX(Surface_Engine!$C$12:$C$72,$A790+1)/(1+Assumptions!$B$10)^7+INDEX(Surface_Engine!$D$12:$D$72,$A790+1)))*INDEX(Surface_Engine!$B$12:$B$72,$A790+1)+I791</f>
        <v>11218.5940502202</v>
      </c>
      <c r="J790" s="48" t="n">
        <f aca="false">B790*(IF($A790&lt;$Q$762,INDEX(Surface_Engine!$D$12:$D$72,$A790+1)*(1+Assumptions!$B$24)+(Surface_Engine!B244*12)*INDEX(Surface_Engine!$F$12:$F$72,$A790+1)-(Surface_Engine!B244*12),1000*12*INDEX(Surface_Engine!$C$12:$C$72,$A790+1)/(1+Assumptions!$B$10)^7+INDEX(Surface_Engine!$D$12:$D$72,$A790+1)*(1+Assumptions!$B$24)))*INDEX(Surface_Engine!$B$12:$B$72,$A790+1)+J791</f>
        <v>10561.2226403077</v>
      </c>
      <c r="K790" s="12" t="n">
        <f aca="false">SQRT((IF(C790&lt;=0,0,MAX(0,(B790/C790)*G790/INDEX(Surface_Engine!$B$12:$B$72,$A790+1)-F790/INDEX(Surface_Engine!$B$12:$B$72,$A790+1))))^2+(MAX(IF(D790&lt;=0,0,MAX(0,(B790/D790)*H790/INDEX(Surface_Engine!$B$12:$B$72,$A790+1)-F790/INDEX(Surface_Engine!$B$12:$B$72,$A790+1))),IF(E790&lt;=0,0,MAX(0,(B790/E790)*I790/INDEX(Surface_Engine!$B$12:$B$72,$A790+1)-F790/INDEX(Surface_Engine!$B$12:$B$72,$A790+1))),IF($A790&lt;$Q$762,MAX(0,-Assumptions!$B$22*(F790/INDEX(Surface_Engine!$B$12:$B$72,$A790+1))),0)))^2+(MAX(0,J790/INDEX(Surface_Engine!$B$12:$B$72,$A790+1)-(F790/INDEX(Surface_Engine!$B$12:$B$72,$A790+1))))^2+2*Assumptions!$B$26*(IF(C790&lt;=0,0,MAX(0,(B790/C790)*G790/INDEX(Surface_Engine!$B$12:$B$72,$A790+1)-F790/INDEX(Surface_Engine!$B$12:$B$72,$A790+1))))*(MAX(IF(D790&lt;=0,0,MAX(0,(B790/D790)*H790/INDEX(Surface_Engine!$B$12:$B$72,$A790+1)-F790/INDEX(Surface_Engine!$B$12:$B$72,$A790+1))),IF(E790&lt;=0,0,MAX(0,(B790/E790)*I790/INDEX(Surface_Engine!$B$12:$B$72,$A790+1)-F790/INDEX(Surface_Engine!$B$12:$B$72,$A790+1))),IF($A790&lt;$Q$762,MAX(0,-Assumptions!$B$22*(F790/INDEX(Surface_Engine!$B$12:$B$72,$A790+1))),0)))+2*Assumptions!$B$27*(IF(C790&lt;=0,0,MAX(0,(B790/C790)*G790/INDEX(Surface_Engine!$B$12:$B$72,$A790+1)-F790/INDEX(Surface_Engine!$B$12:$B$72,$A790+1))))*(MAX(0,J790/INDEX(Surface_Engine!$B$12:$B$72,$A790+1)-(F790/INDEX(Surface_Engine!$B$12:$B$72,$A790+1))))+2*Assumptions!$B$28*(MAX(IF(D790&lt;=0,0,MAX(0,(B790/D790)*H790/INDEX(Surface_Engine!$B$12:$B$72,$A790+1)-F790/INDEX(Surface_Engine!$B$12:$B$72,$A790+1))),IF(E790&lt;=0,0,MAX(0,(B790/E790)*I790/INDEX(Surface_Engine!$B$12:$B$72,$A790+1)-F790/INDEX(Surface_Engine!$B$12:$B$72,$A790+1))),IF($A790&lt;$Q$762,MAX(0,-Assumptions!$B$22*(F790/INDEX(Surface_Engine!$B$12:$B$72,$A790+1))),0)))*(MAX(0,J790/INDEX(Surface_Engine!$B$12:$B$72,$A790+1)-(F790/INDEX(Surface_Engine!$B$12:$B$72,$A790+1)))))</f>
        <v>4301.67616997369</v>
      </c>
      <c r="L790" s="48" t="n">
        <f aca="false">K790*INDEX(Surface_Engine!$B$12:$B$72,$A790+1)+L791</f>
        <v>8650.70944493567</v>
      </c>
      <c r="M790" s="48" t="n">
        <f aca="false">M789+B789*(IF($A789&lt;$Q$762,(Surface_Engine!B244*12)-(Surface_Engine!B244*12)*INDEX(Surface_Engine!$F$12:$F$72,$A789+1)-INDEX(Surface_Engine!$D$12:$D$72,$A789+1),-(1000*12*INDEX(Surface_Engine!$C$12:$C$72,$A789+1)/(1+Assumptions!$B$10)^7+INDEX(Surface_Engine!$D$12:$D$72,$A789+1))))*INDEX(Surface_Engine!$B$12:$B$72,$A789+1)</f>
        <v>15188.6526373953</v>
      </c>
      <c r="N790" s="12" t="n">
        <f aca="false">IF(B790&lt;=0,0,MAX(0,(K790+Assumptions!$B$29*L790/INDEX(Surface_Engine!$B$12:$B$72,$A790+1)-(M790/INDEX(Surface_Engine!$B$12:$B$72,$A790+1)-(F790/INDEX(Surface_Engine!$B$12:$B$72,$A790+1))))/B790))</f>
        <v>0</v>
      </c>
    </row>
    <row r="791" customFormat="false" ht="15" hidden="false" customHeight="true" outlineLevel="0" collapsed="false">
      <c r="A791" s="1" t="n">
        <v>27</v>
      </c>
      <c r="B791" s="32" t="n">
        <f aca="false">INDEX(Surface_Engine!$O$12:$O$72,$A791+1)*IF($A791&lt;$Q$762,INDEX(Surface_Engine!$E$12:$E$72,$A791+1),INDEX(Surface_Engine!$E$12:$E$72,$Q$762+1))</f>
        <v>0.225867102922473</v>
      </c>
      <c r="C791" s="32" t="n">
        <f aca="false">INDEX(Panel_Reserving!$E$8:$E$68,$A791+1)*IF($A791&lt;$Q$762,INDEX(Surface_Engine!$E$12:$E$72,$A791+1),INDEX(Surface_Engine!$E$12:$E$72,$Q$762+1))</f>
        <v>0.299862346170727</v>
      </c>
      <c r="D791" s="32" t="n">
        <f aca="false">INDEX(Surface_Engine!$O$12:$O$72,$A791+1)*IF($A791&lt;$Q$762,INDEX(Surface_Engine!$Y$12:$Y$72,$A791+1),INDEX(Surface_Engine!$Y$12:$Y$72,$Q$762+1))</f>
        <v>0.212282082141357</v>
      </c>
      <c r="E791" s="32" t="n">
        <f aca="false">INDEX(Surface_Engine!$O$12:$O$72,$A791+1)*IF($A791&lt;$Q$762,INDEX(Surface_Engine!$Z$12:$Z$72,$A791+1),INDEX(Surface_Engine!$Z$12:$Z$72,$Q$762+1))</f>
        <v>0.240141503811421</v>
      </c>
      <c r="F791" s="48" t="n">
        <f aca="false">B791*(IF($A791&lt;$Q$762,INDEX(Surface_Engine!$D$12:$D$72,$A791+1)+(Surface_Engine!B244*12)*INDEX(Surface_Engine!$F$12:$F$72,$A791+1)-(Surface_Engine!B244*12),1000*12*INDEX(Surface_Engine!$C$12:$C$72,$A791+1)/(1+Assumptions!$B$10)^7+INDEX(Surface_Engine!$D$12:$D$72,$A791+1)))*INDEX(Surface_Engine!$B$12:$B$72,$A791+1)+F792</f>
        <v>8480.38047463159</v>
      </c>
      <c r="G791" s="48" t="n">
        <f aca="false">C791*(IF($A791&lt;$Q$762,INDEX(Surface_Engine!$D$12:$D$72,$A791+1)+(Surface_Engine!B244*12)*INDEX(Surface_Engine!$F$12:$F$72,$A791+1)-(Surface_Engine!B244*12),1000*12*INDEX(Surface_Engine!$C$12:$C$72,$A791+1)/(1+Assumptions!$B$10)^7+INDEX(Surface_Engine!$D$12:$D$72,$A791+1)))*INDEX(Surface_Engine!$B$12:$B$72,$A791+1)+G792</f>
        <v>13328.0639737608</v>
      </c>
      <c r="H791" s="48" t="n">
        <f aca="false">D791*(IF($A791&lt;$Q$762,INDEX(Surface_Engine!$D$12:$D$72,$A791+1)+(Surface_Engine!B244*12)*INDEX(Surface_Engine!$F$12:$F$72,$A791+1)-(Surface_Engine!B244*12),1000*12*INDEX(Surface_Engine!$C$12:$C$72,$A791+1)/(1+Assumptions!$B$10)^7+INDEX(Surface_Engine!$D$12:$D$72,$A791+1)))*INDEX(Surface_Engine!$B$12:$B$72,$A791+1)+H792</f>
        <v>7970.31883445025</v>
      </c>
      <c r="I791" s="48" t="n">
        <f aca="false">E791*(IF($A791&lt;$Q$762,INDEX(Surface_Engine!$D$12:$D$72,$A791+1)+(Surface_Engine!B244*12)*INDEX(Surface_Engine!$F$12:$F$72,$A791+1)-(Surface_Engine!B244*12),1000*12*INDEX(Surface_Engine!$C$12:$C$72,$A791+1)/(1+Assumptions!$B$10)^7+INDEX(Surface_Engine!$D$12:$D$72,$A791+1)))*INDEX(Surface_Engine!$B$12:$B$72,$A791+1)+I792</f>
        <v>9016.32550168251</v>
      </c>
      <c r="J791" s="48" t="n">
        <f aca="false">B791*(IF($A791&lt;$Q$762,INDEX(Surface_Engine!$D$12:$D$72,$A791+1)*(1+Assumptions!$B$24)+(Surface_Engine!B244*12)*INDEX(Surface_Engine!$F$12:$F$72,$A791+1)-(Surface_Engine!B244*12),1000*12*INDEX(Surface_Engine!$C$12:$C$72,$A791+1)/(1+Assumptions!$B$10)^7+INDEX(Surface_Engine!$D$12:$D$72,$A791+1)*(1+Assumptions!$B$24)))*INDEX(Surface_Engine!$B$12:$B$72,$A791+1)+J792</f>
        <v>8488.03050644587</v>
      </c>
      <c r="K791" s="12" t="n">
        <f aca="false">SQRT((IF(C791&lt;=0,0,MAX(0,(B791/C791)*G791/INDEX(Surface_Engine!$B$12:$B$72,$A791+1)-F791/INDEX(Surface_Engine!$B$12:$B$72,$A791+1))))^2+(MAX(IF(D791&lt;=0,0,MAX(0,(B791/D791)*H791/INDEX(Surface_Engine!$B$12:$B$72,$A791+1)-F791/INDEX(Surface_Engine!$B$12:$B$72,$A791+1))),IF(E791&lt;=0,0,MAX(0,(B791/E791)*I791/INDEX(Surface_Engine!$B$12:$B$72,$A791+1)-F791/INDEX(Surface_Engine!$B$12:$B$72,$A791+1))),IF($A791&lt;$Q$762,MAX(0,-Assumptions!$B$22*(F791/INDEX(Surface_Engine!$B$12:$B$72,$A791+1))),0)))^2+(MAX(0,J791/INDEX(Surface_Engine!$B$12:$B$72,$A791+1)-(F791/INDEX(Surface_Engine!$B$12:$B$72,$A791+1))))^2+2*Assumptions!$B$26*(IF(C791&lt;=0,0,MAX(0,(B791/C791)*G791/INDEX(Surface_Engine!$B$12:$B$72,$A791+1)-F791/INDEX(Surface_Engine!$B$12:$B$72,$A791+1))))*(MAX(IF(D791&lt;=0,0,MAX(0,(B791/D791)*H791/INDEX(Surface_Engine!$B$12:$B$72,$A791+1)-F791/INDEX(Surface_Engine!$B$12:$B$72,$A791+1))),IF(E791&lt;=0,0,MAX(0,(B791/E791)*I791/INDEX(Surface_Engine!$B$12:$B$72,$A791+1)-F791/INDEX(Surface_Engine!$B$12:$B$72,$A791+1))),IF($A791&lt;$Q$762,MAX(0,-Assumptions!$B$22*(F791/INDEX(Surface_Engine!$B$12:$B$72,$A791+1))),0)))+2*Assumptions!$B$27*(IF(C791&lt;=0,0,MAX(0,(B791/C791)*G791/INDEX(Surface_Engine!$B$12:$B$72,$A791+1)-F791/INDEX(Surface_Engine!$B$12:$B$72,$A791+1))))*(MAX(0,J791/INDEX(Surface_Engine!$B$12:$B$72,$A791+1)-(F791/INDEX(Surface_Engine!$B$12:$B$72,$A791+1))))+2*Assumptions!$B$28*(MAX(IF(D791&lt;=0,0,MAX(0,(B791/D791)*H791/INDEX(Surface_Engine!$B$12:$B$72,$A791+1)-F791/INDEX(Surface_Engine!$B$12:$B$72,$A791+1))),IF(E791&lt;=0,0,MAX(0,(B791/E791)*I791/INDEX(Surface_Engine!$B$12:$B$72,$A791+1)-F791/INDEX(Surface_Engine!$B$12:$B$72,$A791+1))),IF($A791&lt;$Q$762,MAX(0,-Assumptions!$B$22*(F791/INDEX(Surface_Engine!$B$12:$B$72,$A791+1))),0)))*(MAX(0,J791/INDEX(Surface_Engine!$B$12:$B$72,$A791+1)-(F791/INDEX(Surface_Engine!$B$12:$B$72,$A791+1)))))</f>
        <v>3632.27485035223</v>
      </c>
      <c r="L791" s="48" t="n">
        <f aca="false">K791*INDEX(Surface_Engine!$B$12:$B$72,$A791+1)+L792</f>
        <v>6743.13095837982</v>
      </c>
      <c r="M791" s="48" t="n">
        <f aca="false">M790+B790*(IF($A790&lt;$Q$762,(Surface_Engine!B244*12)-(Surface_Engine!B244*12)*INDEX(Surface_Engine!$F$12:$F$72,$A790+1)-INDEX(Surface_Engine!$D$12:$D$72,$A790+1),-(1000*12*INDEX(Surface_Engine!$C$12:$C$72,$A790+1)/(1+Assumptions!$B$10)^7+INDEX(Surface_Engine!$D$12:$D$72,$A790+1))))*INDEX(Surface_Engine!$B$12:$B$72,$A790+1)</f>
        <v>13117.2905070652</v>
      </c>
      <c r="N791" s="12" t="n">
        <f aca="false">IF(B791&lt;=0,0,MAX(0,(K791+Assumptions!$B$29*L791/INDEX(Surface_Engine!$B$12:$B$72,$A791+1)-(M791/INDEX(Surface_Engine!$B$12:$B$72,$A791+1)-(F791/INDEX(Surface_Engine!$B$12:$B$72,$A791+1))))/B791))</f>
        <v>0</v>
      </c>
    </row>
    <row r="792" customFormat="false" ht="15" hidden="false" customHeight="true" outlineLevel="0" collapsed="false">
      <c r="A792" s="1" t="n">
        <v>28</v>
      </c>
      <c r="B792" s="32" t="n">
        <f aca="false">INDEX(Surface_Engine!$O$12:$O$72,$A792+1)*IF($A792&lt;$Q$762,INDEX(Surface_Engine!$E$12:$E$72,$A792+1),INDEX(Surface_Engine!$E$12:$E$72,$Q$762+1))</f>
        <v>0.189198351876989</v>
      </c>
      <c r="C792" s="32" t="n">
        <f aca="false">INDEX(Panel_Reserving!$E$8:$E$68,$A792+1)*IF($A792&lt;$Q$762,INDEX(Surface_Engine!$E$12:$E$72,$A792+1),INDEX(Surface_Engine!$E$12:$E$72,$Q$762+1))</f>
        <v>0.2609170457622</v>
      </c>
      <c r="D792" s="32" t="n">
        <f aca="false">INDEX(Surface_Engine!$O$12:$O$72,$A792+1)*IF($A792&lt;$Q$762,INDEX(Surface_Engine!$Y$12:$Y$72,$A792+1),INDEX(Surface_Engine!$Y$12:$Y$72,$Q$762+1))</f>
        <v>0.177818812719912</v>
      </c>
      <c r="E792" s="32" t="n">
        <f aca="false">INDEX(Surface_Engine!$O$12:$O$72,$A792+1)*IF($A792&lt;$Q$762,INDEX(Surface_Engine!$Z$12:$Z$72,$A792+1),INDEX(Surface_Engine!$Z$12:$Z$72,$Q$762+1))</f>
        <v>0.201155352641051</v>
      </c>
      <c r="F792" s="48" t="n">
        <f aca="false">B792*(IF($A792&lt;$Q$762,INDEX(Surface_Engine!$D$12:$D$72,$A792+1)+(Surface_Engine!B244*12)*INDEX(Surface_Engine!$F$12:$F$72,$A792+1)-(Surface_Engine!B244*12),1000*12*INDEX(Surface_Engine!$C$12:$C$72,$A792+1)/(1+Assumptions!$B$10)^7+INDEX(Surface_Engine!$D$12:$D$72,$A792+1)))*INDEX(Surface_Engine!$B$12:$B$72,$A792+1)+F793</f>
        <v>6734.32283734809</v>
      </c>
      <c r="G792" s="48" t="n">
        <f aca="false">C792*(IF($A792&lt;$Q$762,INDEX(Surface_Engine!$D$12:$D$72,$A792+1)+(Surface_Engine!B244*12)*INDEX(Surface_Engine!$F$12:$F$72,$A792+1)-(Surface_Engine!B244*12),1000*12*INDEX(Surface_Engine!$C$12:$C$72,$A792+1)/(1+Assumptions!$B$10)^7+INDEX(Surface_Engine!$D$12:$D$72,$A792+1)))*INDEX(Surface_Engine!$B$12:$B$72,$A792+1)+G793</f>
        <v>11009.9887299974</v>
      </c>
      <c r="H792" s="48" t="n">
        <f aca="false">D792*(IF($A792&lt;$Q$762,INDEX(Surface_Engine!$D$12:$D$72,$A792+1)+(Surface_Engine!B244*12)*INDEX(Surface_Engine!$F$12:$F$72,$A792+1)-(Surface_Engine!B244*12),1000*12*INDEX(Surface_Engine!$C$12:$C$72,$A792+1)/(1+Assumptions!$B$10)^7+INDEX(Surface_Engine!$D$12:$D$72,$A792+1)))*INDEX(Surface_Engine!$B$12:$B$72,$A792+1)+H793</f>
        <v>6329.27971903474</v>
      </c>
      <c r="I792" s="48" t="n">
        <f aca="false">E792*(IF($A792&lt;$Q$762,INDEX(Surface_Engine!$D$12:$D$72,$A792+1)+(Surface_Engine!B244*12)*INDEX(Surface_Engine!$F$12:$F$72,$A792+1)-(Surface_Engine!B244*12),1000*12*INDEX(Surface_Engine!$C$12:$C$72,$A792+1)/(1+Assumptions!$B$10)^7+INDEX(Surface_Engine!$D$12:$D$72,$A792+1)))*INDEX(Surface_Engine!$B$12:$B$72,$A792+1)+I793</f>
        <v>7159.9201140303</v>
      </c>
      <c r="J792" s="48" t="n">
        <f aca="false">B792*(IF($A792&lt;$Q$762,INDEX(Surface_Engine!$D$12:$D$72,$A792+1)*(1+Assumptions!$B$24)+(Surface_Engine!B244*12)*INDEX(Surface_Engine!$F$12:$F$72,$A792+1)-(Surface_Engine!B244*12),1000*12*INDEX(Surface_Engine!$C$12:$C$72,$A792+1)/(1+Assumptions!$B$10)^7+INDEX(Surface_Engine!$D$12:$D$72,$A792+1)*(1+Assumptions!$B$24)))*INDEX(Surface_Engine!$B$12:$B$72,$A792+1)+J793</f>
        <v>6740.42277044379</v>
      </c>
      <c r="K792" s="12" t="n">
        <f aca="false">SQRT((IF(C792&lt;=0,0,MAX(0,(B792/C792)*G792/INDEX(Surface_Engine!$B$12:$B$72,$A792+1)-F792/INDEX(Surface_Engine!$B$12:$B$72,$A792+1))))^2+(MAX(IF(D792&lt;=0,0,MAX(0,(B792/D792)*H792/INDEX(Surface_Engine!$B$12:$B$72,$A792+1)-F792/INDEX(Surface_Engine!$B$12:$B$72,$A792+1))),IF(E792&lt;=0,0,MAX(0,(B792/E792)*I792/INDEX(Surface_Engine!$B$12:$B$72,$A792+1)-F792/INDEX(Surface_Engine!$B$12:$B$72,$A792+1))),IF($A792&lt;$Q$762,MAX(0,-Assumptions!$B$22*(F792/INDEX(Surface_Engine!$B$12:$B$72,$A792+1))),0)))^2+(MAX(0,J792/INDEX(Surface_Engine!$B$12:$B$72,$A792+1)-(F792/INDEX(Surface_Engine!$B$12:$B$72,$A792+1))))^2+2*Assumptions!$B$26*(IF(C792&lt;=0,0,MAX(0,(B792/C792)*G792/INDEX(Surface_Engine!$B$12:$B$72,$A792+1)-F792/INDEX(Surface_Engine!$B$12:$B$72,$A792+1))))*(MAX(IF(D792&lt;=0,0,MAX(0,(B792/D792)*H792/INDEX(Surface_Engine!$B$12:$B$72,$A792+1)-F792/INDEX(Surface_Engine!$B$12:$B$72,$A792+1))),IF(E792&lt;=0,0,MAX(0,(B792/E792)*I792/INDEX(Surface_Engine!$B$12:$B$72,$A792+1)-F792/INDEX(Surface_Engine!$B$12:$B$72,$A792+1))),IF($A792&lt;$Q$762,MAX(0,-Assumptions!$B$22*(F792/INDEX(Surface_Engine!$B$12:$B$72,$A792+1))),0)))+2*Assumptions!$B$27*(IF(C792&lt;=0,0,MAX(0,(B792/C792)*G792/INDEX(Surface_Engine!$B$12:$B$72,$A792+1)-F792/INDEX(Surface_Engine!$B$12:$B$72,$A792+1))))*(MAX(0,J792/INDEX(Surface_Engine!$B$12:$B$72,$A792+1)-(F792/INDEX(Surface_Engine!$B$12:$B$72,$A792+1))))+2*Assumptions!$B$28*(MAX(IF(D792&lt;=0,0,MAX(0,(B792/D792)*H792/INDEX(Surface_Engine!$B$12:$B$72,$A792+1)-F792/INDEX(Surface_Engine!$B$12:$B$72,$A792+1))),IF(E792&lt;=0,0,MAX(0,(B792/E792)*I792/INDEX(Surface_Engine!$B$12:$B$72,$A792+1)-F792/INDEX(Surface_Engine!$B$12:$B$72,$A792+1))),IF($A792&lt;$Q$762,MAX(0,-Assumptions!$B$22*(F792/INDEX(Surface_Engine!$B$12:$B$72,$A792+1))),0)))*(MAX(0,J792/INDEX(Surface_Engine!$B$12:$B$72,$A792+1)-(F792/INDEX(Surface_Engine!$B$12:$B$72,$A792+1)))))</f>
        <v>3005.29614298288</v>
      </c>
      <c r="L792" s="48" t="n">
        <f aca="false">K792*INDEX(Surface_Engine!$B$12:$B$72,$A792+1)+L793</f>
        <v>5182.40425315267</v>
      </c>
      <c r="M792" s="48" t="n">
        <f aca="false">M791+B791*(IF($A791&lt;$Q$762,(Surface_Engine!B244*12)-(Surface_Engine!B244*12)*INDEX(Surface_Engine!$F$12:$F$72,$A791+1)-INDEX(Surface_Engine!$D$12:$D$72,$A791+1),-(1000*12*INDEX(Surface_Engine!$C$12:$C$72,$A791+1)/(1+Assumptions!$B$10)^7+INDEX(Surface_Engine!$D$12:$D$72,$A791+1))))*INDEX(Surface_Engine!$B$12:$B$72,$A791+1)</f>
        <v>11371.2328697817</v>
      </c>
      <c r="N792" s="12" t="n">
        <f aca="false">IF(B792&lt;=0,0,MAX(0,(K792+Assumptions!$B$29*L792/INDEX(Surface_Engine!$B$12:$B$72,$A792+1)-(M792/INDEX(Surface_Engine!$B$12:$B$72,$A792+1)-(F792/INDEX(Surface_Engine!$B$12:$B$72,$A792+1))))/B792))</f>
        <v>0</v>
      </c>
    </row>
    <row r="793" customFormat="false" ht="15" hidden="false" customHeight="true" outlineLevel="0" collapsed="false">
      <c r="A793" s="1" t="n">
        <v>29</v>
      </c>
      <c r="B793" s="32" t="n">
        <f aca="false">INDEX(Surface_Engine!$O$12:$O$72,$A793+1)*IF($A793&lt;$Q$762,INDEX(Surface_Engine!$E$12:$E$72,$A793+1),INDEX(Surface_Engine!$E$12:$E$72,$Q$762+1))</f>
        <v>0.156563451835704</v>
      </c>
      <c r="C793" s="32" t="n">
        <f aca="false">INDEX(Panel_Reserving!$E$8:$E$68,$A793+1)*IF($A793&lt;$Q$762,INDEX(Surface_Engine!$E$12:$E$72,$A793+1),INDEX(Surface_Engine!$E$12:$E$72,$Q$762+1))</f>
        <v>0.224912496576474</v>
      </c>
      <c r="D793" s="32" t="n">
        <f aca="false">INDEX(Surface_Engine!$O$12:$O$72,$A793+1)*IF($A793&lt;$Q$762,INDEX(Surface_Engine!$Y$12:$Y$72,$A793+1),INDEX(Surface_Engine!$Y$12:$Y$72,$Q$762+1))</f>
        <v>0.147146773978542</v>
      </c>
      <c r="E793" s="32" t="n">
        <f aca="false">INDEX(Surface_Engine!$O$12:$O$72,$A793+1)*IF($A793&lt;$Q$762,INDEX(Surface_Engine!$Z$12:$Z$72,$A793+1),INDEX(Surface_Engine!$Z$12:$Z$72,$Q$762+1))</f>
        <v>0.166457984714303</v>
      </c>
      <c r="F793" s="48" t="n">
        <f aca="false">B793*(IF($A793&lt;$Q$762,INDEX(Surface_Engine!$D$12:$D$72,$A793+1)+(Surface_Engine!B244*12)*INDEX(Surface_Engine!$F$12:$F$72,$A793+1)-(Surface_Engine!B244*12),1000*12*INDEX(Surface_Engine!$C$12:$C$72,$A793+1)/(1+Assumptions!$B$10)^7+INDEX(Surface_Engine!$D$12:$D$72,$A793+1)))*INDEX(Surface_Engine!$B$12:$B$72,$A793+1)+F794</f>
        <v>5289.15197310902</v>
      </c>
      <c r="G793" s="48" t="n">
        <f aca="false">C793*(IF($A793&lt;$Q$762,INDEX(Surface_Engine!$D$12:$D$72,$A793+1)+(Surface_Engine!B244*12)*INDEX(Surface_Engine!$F$12:$F$72,$A793+1)-(Surface_Engine!B244*12),1000*12*INDEX(Surface_Engine!$C$12:$C$72,$A793+1)/(1+Assumptions!$B$10)^7+INDEX(Surface_Engine!$D$12:$D$72,$A793+1)))*INDEX(Surface_Engine!$B$12:$B$72,$A793+1)+G794</f>
        <v>9017.00248684018</v>
      </c>
      <c r="H793" s="48" t="n">
        <f aca="false">D793*(IF($A793&lt;$Q$762,INDEX(Surface_Engine!$D$12:$D$72,$A793+1)+(Surface_Engine!B244*12)*INDEX(Surface_Engine!$F$12:$F$72,$A793+1)-(Surface_Engine!B244*12),1000*12*INDEX(Surface_Engine!$C$12:$C$72,$A793+1)/(1+Assumptions!$B$10)^7+INDEX(Surface_Engine!$D$12:$D$72,$A793+1)))*INDEX(Surface_Engine!$B$12:$B$72,$A793+1)+H794</f>
        <v>4971.03021682196</v>
      </c>
      <c r="I793" s="48" t="n">
        <f aca="false">E793*(IF($A793&lt;$Q$762,INDEX(Surface_Engine!$D$12:$D$72,$A793+1)+(Surface_Engine!B244*12)*INDEX(Surface_Engine!$F$12:$F$72,$A793+1)-(Surface_Engine!B244*12),1000*12*INDEX(Surface_Engine!$C$12:$C$72,$A793+1)/(1+Assumptions!$B$10)^7+INDEX(Surface_Engine!$D$12:$D$72,$A793+1)))*INDEX(Surface_Engine!$B$12:$B$72,$A793+1)+I794</f>
        <v>5623.41701060164</v>
      </c>
      <c r="J793" s="48" t="n">
        <f aca="false">B793*(IF($A793&lt;$Q$762,INDEX(Surface_Engine!$D$12:$D$72,$A793+1)*(1+Assumptions!$B$24)+(Surface_Engine!B244*12)*INDEX(Surface_Engine!$F$12:$F$72,$A793+1)-(Surface_Engine!B244*12),1000*12*INDEX(Surface_Engine!$C$12:$C$72,$A793+1)/(1+Assumptions!$B$10)^7+INDEX(Surface_Engine!$D$12:$D$72,$A793+1)*(1+Assumptions!$B$24)))*INDEX(Surface_Engine!$B$12:$B$72,$A793+1)+J794</f>
        <v>5293.96269291656</v>
      </c>
      <c r="K793" s="12" t="n">
        <f aca="false">SQRT((IF(C793&lt;=0,0,MAX(0,(B793/C793)*G793/INDEX(Surface_Engine!$B$12:$B$72,$A793+1)-F793/INDEX(Surface_Engine!$B$12:$B$72,$A793+1))))^2+(MAX(IF(D793&lt;=0,0,MAX(0,(B793/D793)*H793/INDEX(Surface_Engine!$B$12:$B$72,$A793+1)-F793/INDEX(Surface_Engine!$B$12:$B$72,$A793+1))),IF(E793&lt;=0,0,MAX(0,(B793/E793)*I793/INDEX(Surface_Engine!$B$12:$B$72,$A793+1)-F793/INDEX(Surface_Engine!$B$12:$B$72,$A793+1))),IF($A793&lt;$Q$762,MAX(0,-Assumptions!$B$22*(F793/INDEX(Surface_Engine!$B$12:$B$72,$A793+1))),0)))^2+(MAX(0,J793/INDEX(Surface_Engine!$B$12:$B$72,$A793+1)-(F793/INDEX(Surface_Engine!$B$12:$B$72,$A793+1))))^2+2*Assumptions!$B$26*(IF(C793&lt;=0,0,MAX(0,(B793/C793)*G793/INDEX(Surface_Engine!$B$12:$B$72,$A793+1)-F793/INDEX(Surface_Engine!$B$12:$B$72,$A793+1))))*(MAX(IF(D793&lt;=0,0,MAX(0,(B793/D793)*H793/INDEX(Surface_Engine!$B$12:$B$72,$A793+1)-F793/INDEX(Surface_Engine!$B$12:$B$72,$A793+1))),IF(E793&lt;=0,0,MAX(0,(B793/E793)*I793/INDEX(Surface_Engine!$B$12:$B$72,$A793+1)-F793/INDEX(Surface_Engine!$B$12:$B$72,$A793+1))),IF($A793&lt;$Q$762,MAX(0,-Assumptions!$B$22*(F793/INDEX(Surface_Engine!$B$12:$B$72,$A793+1))),0)))+2*Assumptions!$B$27*(IF(C793&lt;=0,0,MAX(0,(B793/C793)*G793/INDEX(Surface_Engine!$B$12:$B$72,$A793+1)-F793/INDEX(Surface_Engine!$B$12:$B$72,$A793+1))))*(MAX(0,J793/INDEX(Surface_Engine!$B$12:$B$72,$A793+1)-(F793/INDEX(Surface_Engine!$B$12:$B$72,$A793+1))))+2*Assumptions!$B$28*(MAX(IF(D793&lt;=0,0,MAX(0,(B793/D793)*H793/INDEX(Surface_Engine!$B$12:$B$72,$A793+1)-F793/INDEX(Surface_Engine!$B$12:$B$72,$A793+1))),IF(E793&lt;=0,0,MAX(0,(B793/E793)*I793/INDEX(Surface_Engine!$B$12:$B$72,$A793+1)-F793/INDEX(Surface_Engine!$B$12:$B$72,$A793+1))),IF($A793&lt;$Q$762,MAX(0,-Assumptions!$B$22*(F793/INDEX(Surface_Engine!$B$12:$B$72,$A793+1))),0)))*(MAX(0,J793/INDEX(Surface_Engine!$B$12:$B$72,$A793+1)-(F793/INDEX(Surface_Engine!$B$12:$B$72,$A793+1)))))</f>
        <v>2452.75572772035</v>
      </c>
      <c r="L793" s="48" t="n">
        <f aca="false">K793*INDEX(Surface_Engine!$B$12:$B$72,$A793+1)+L794</f>
        <v>3931.53299128083</v>
      </c>
      <c r="M793" s="48" t="n">
        <f aca="false">M792+B792*(IF($A792&lt;$Q$762,(Surface_Engine!B244*12)-(Surface_Engine!B244*12)*INDEX(Surface_Engine!$F$12:$F$72,$A792+1)-INDEX(Surface_Engine!$D$12:$D$72,$A792+1),-(1000*12*INDEX(Surface_Engine!$C$12:$C$72,$A792+1)/(1+Assumptions!$B$10)^7+INDEX(Surface_Engine!$D$12:$D$72,$A792+1))))*INDEX(Surface_Engine!$B$12:$B$72,$A792+1)</f>
        <v>9926.06200554262</v>
      </c>
      <c r="N793" s="12" t="n">
        <f aca="false">IF(B793&lt;=0,0,MAX(0,(K793+Assumptions!$B$29*L793/INDEX(Surface_Engine!$B$12:$B$72,$A793+1)-(M793/INDEX(Surface_Engine!$B$12:$B$72,$A793+1)-(F793/INDEX(Surface_Engine!$B$12:$B$72,$A793+1))))/B793))</f>
        <v>0</v>
      </c>
    </row>
    <row r="794" customFormat="false" ht="15" hidden="false" customHeight="true" outlineLevel="0" collapsed="false">
      <c r="A794" s="1" t="n">
        <v>30</v>
      </c>
      <c r="B794" s="32" t="n">
        <f aca="false">INDEX(Surface_Engine!$O$12:$O$72,$A794+1)*IF($A794&lt;$Q$762,INDEX(Surface_Engine!$E$12:$E$72,$A794+1),INDEX(Surface_Engine!$E$12:$E$72,$Q$762+1))</f>
        <v>0.128018489076157</v>
      </c>
      <c r="C794" s="32" t="n">
        <f aca="false">INDEX(Panel_Reserving!$E$8:$E$68,$A794+1)*IF($A794&lt;$Q$762,INDEX(Surface_Engine!$E$12:$E$72,$A794+1),INDEX(Surface_Engine!$E$12:$E$72,$Q$762+1))</f>
        <v>0.192107298358594</v>
      </c>
      <c r="D794" s="32" t="n">
        <f aca="false">INDEX(Surface_Engine!$O$12:$O$72,$A794+1)*IF($A794&lt;$Q$762,INDEX(Surface_Engine!$Y$12:$Y$72,$A794+1),INDEX(Surface_Engine!$Y$12:$Y$72,$Q$762+1))</f>
        <v>0.120318678825065</v>
      </c>
      <c r="E794" s="32" t="n">
        <f aca="false">INDEX(Surface_Engine!$O$12:$O$72,$A794+1)*IF($A794&lt;$Q$762,INDEX(Surface_Engine!$Z$12:$Z$72,$A794+1),INDEX(Surface_Engine!$Z$12:$Z$72,$Q$762+1))</f>
        <v>0.136109030862128</v>
      </c>
      <c r="F794" s="48" t="n">
        <f aca="false">B794*(IF($A794&lt;$Q$762,INDEX(Surface_Engine!$D$12:$D$72,$A794+1)+(Surface_Engine!B244*12)*INDEX(Surface_Engine!$F$12:$F$72,$A794+1)-(Surface_Engine!B244*12),1000*12*INDEX(Surface_Engine!$C$12:$C$72,$A794+1)/(1+Assumptions!$B$10)^7+INDEX(Surface_Engine!$D$12:$D$72,$A794+1)))*INDEX(Surface_Engine!$B$12:$B$72,$A794+1)+F795</f>
        <v>4107.54852298083</v>
      </c>
      <c r="G794" s="48" t="n">
        <f aca="false">C794*(IF($A794&lt;$Q$762,INDEX(Surface_Engine!$D$12:$D$72,$A794+1)+(Surface_Engine!B244*12)*INDEX(Surface_Engine!$F$12:$F$72,$A794+1)-(Surface_Engine!B244*12),1000*12*INDEX(Surface_Engine!$C$12:$C$72,$A794+1)/(1+Assumptions!$B$10)^7+INDEX(Surface_Engine!$D$12:$D$72,$A794+1)))*INDEX(Surface_Engine!$B$12:$B$72,$A794+1)+G795</f>
        <v>7319.56046690701</v>
      </c>
      <c r="H794" s="48" t="n">
        <f aca="false">D794*(IF($A794&lt;$Q$762,INDEX(Surface_Engine!$D$12:$D$72,$A794+1)+(Surface_Engine!B244*12)*INDEX(Surface_Engine!$F$12:$F$72,$A794+1)-(Surface_Engine!B244*12),1000*12*INDEX(Surface_Engine!$C$12:$C$72,$A794+1)/(1+Assumptions!$B$10)^7+INDEX(Surface_Engine!$D$12:$D$72,$A794+1)))*INDEX(Surface_Engine!$B$12:$B$72,$A794+1)+H795</f>
        <v>3860.49558201628</v>
      </c>
      <c r="I794" s="48" t="n">
        <f aca="false">E794*(IF($A794&lt;$Q$762,INDEX(Surface_Engine!$D$12:$D$72,$A794+1)+(Surface_Engine!B244*12)*INDEX(Surface_Engine!$F$12:$F$72,$A794+1)-(Surface_Engine!B244*12),1000*12*INDEX(Surface_Engine!$C$12:$C$72,$A794+1)/(1+Assumptions!$B$10)^7+INDEX(Surface_Engine!$D$12:$D$72,$A794+1)))*INDEX(Surface_Engine!$B$12:$B$72,$A794+1)+I795</f>
        <v>4367.1383150718</v>
      </c>
      <c r="J794" s="48" t="n">
        <f aca="false">B794*(IF($A794&lt;$Q$762,INDEX(Surface_Engine!$D$12:$D$72,$A794+1)*(1+Assumptions!$B$24)+(Surface_Engine!B244*12)*INDEX(Surface_Engine!$F$12:$F$72,$A794+1)-(Surface_Engine!B244*12),1000*12*INDEX(Surface_Engine!$C$12:$C$72,$A794+1)/(1+Assumptions!$B$10)^7+INDEX(Surface_Engine!$D$12:$D$72,$A794+1)*(1+Assumptions!$B$24)))*INDEX(Surface_Engine!$B$12:$B$72,$A794+1)+J795</f>
        <v>4111.30003289429</v>
      </c>
      <c r="K794" s="12" t="n">
        <f aca="false">SQRT((IF(C794&lt;=0,0,MAX(0,(B794/C794)*G794/INDEX(Surface_Engine!$B$12:$B$72,$A794+1)-F794/INDEX(Surface_Engine!$B$12:$B$72,$A794+1))))^2+(MAX(IF(D794&lt;=0,0,MAX(0,(B794/D794)*H794/INDEX(Surface_Engine!$B$12:$B$72,$A794+1)-F794/INDEX(Surface_Engine!$B$12:$B$72,$A794+1))),IF(E794&lt;=0,0,MAX(0,(B794/E794)*I794/INDEX(Surface_Engine!$B$12:$B$72,$A794+1)-F794/INDEX(Surface_Engine!$B$12:$B$72,$A794+1))),IF($A794&lt;$Q$762,MAX(0,-Assumptions!$B$22*(F794/INDEX(Surface_Engine!$B$12:$B$72,$A794+1))),0)))^2+(MAX(0,J794/INDEX(Surface_Engine!$B$12:$B$72,$A794+1)-(F794/INDEX(Surface_Engine!$B$12:$B$72,$A794+1))))^2+2*Assumptions!$B$26*(IF(C794&lt;=0,0,MAX(0,(B794/C794)*G794/INDEX(Surface_Engine!$B$12:$B$72,$A794+1)-F794/INDEX(Surface_Engine!$B$12:$B$72,$A794+1))))*(MAX(IF(D794&lt;=0,0,MAX(0,(B794/D794)*H794/INDEX(Surface_Engine!$B$12:$B$72,$A794+1)-F794/INDEX(Surface_Engine!$B$12:$B$72,$A794+1))),IF(E794&lt;=0,0,MAX(0,(B794/E794)*I794/INDEX(Surface_Engine!$B$12:$B$72,$A794+1)-F794/INDEX(Surface_Engine!$B$12:$B$72,$A794+1))),IF($A794&lt;$Q$762,MAX(0,-Assumptions!$B$22*(F794/INDEX(Surface_Engine!$B$12:$B$72,$A794+1))),0)))+2*Assumptions!$B$27*(IF(C794&lt;=0,0,MAX(0,(B794/C794)*G794/INDEX(Surface_Engine!$B$12:$B$72,$A794+1)-F794/INDEX(Surface_Engine!$B$12:$B$72,$A794+1))))*(MAX(0,J794/INDEX(Surface_Engine!$B$12:$B$72,$A794+1)-(F794/INDEX(Surface_Engine!$B$12:$B$72,$A794+1))))+2*Assumptions!$B$28*(MAX(IF(D794&lt;=0,0,MAX(0,(B794/D794)*H794/INDEX(Surface_Engine!$B$12:$B$72,$A794+1)-F794/INDEX(Surface_Engine!$B$12:$B$72,$A794+1))),IF(E794&lt;=0,0,MAX(0,(B794/E794)*I794/INDEX(Surface_Engine!$B$12:$B$72,$A794+1)-F794/INDEX(Surface_Engine!$B$12:$B$72,$A794+1))),IF($A794&lt;$Q$762,MAX(0,-Assumptions!$B$22*(F794/INDEX(Surface_Engine!$B$12:$B$72,$A794+1))),0)))*(MAX(0,J794/INDEX(Surface_Engine!$B$12:$B$72,$A794+1)-(F794/INDEX(Surface_Engine!$B$12:$B$72,$A794+1)))))</f>
        <v>1974.56941286337</v>
      </c>
      <c r="L794" s="48" t="n">
        <f aca="false">K794*INDEX(Surface_Engine!$B$12:$B$72,$A794+1)+L795</f>
        <v>2942.66119433637</v>
      </c>
      <c r="M794" s="48" t="n">
        <f aca="false">M793+B793*(IF($A793&lt;$Q$762,(Surface_Engine!B244*12)-(Surface_Engine!B244*12)*INDEX(Surface_Engine!$F$12:$F$72,$A793+1)-INDEX(Surface_Engine!$D$12:$D$72,$A793+1),-(1000*12*INDEX(Surface_Engine!$C$12:$C$72,$A793+1)/(1+Assumptions!$B$10)^7+INDEX(Surface_Engine!$D$12:$D$72,$A793+1))))*INDEX(Surface_Engine!$B$12:$B$72,$A793+1)</f>
        <v>8744.45855541443</v>
      </c>
      <c r="N794" s="12" t="n">
        <f aca="false">IF(B794&lt;=0,0,MAX(0,(K794+Assumptions!$B$29*L794/INDEX(Surface_Engine!$B$12:$B$72,$A794+1)-(M794/INDEX(Surface_Engine!$B$12:$B$72,$A794+1)-(F794/INDEX(Surface_Engine!$B$12:$B$72,$A794+1))))/B794))</f>
        <v>0</v>
      </c>
    </row>
    <row r="795" customFormat="false" ht="15" hidden="false" customHeight="true" outlineLevel="0" collapsed="false">
      <c r="A795" s="1" t="n">
        <v>31</v>
      </c>
      <c r="B795" s="32" t="n">
        <f aca="false">INDEX(Surface_Engine!$O$12:$O$72,$A795+1)*IF($A795&lt;$Q$762,INDEX(Surface_Engine!$E$12:$E$72,$A795+1),INDEX(Surface_Engine!$E$12:$E$72,$Q$762+1))</f>
        <v>0.103427870478596</v>
      </c>
      <c r="C795" s="32" t="n">
        <f aca="false">INDEX(Panel_Reserving!$E$8:$E$68,$A795+1)*IF($A795&lt;$Q$762,INDEX(Surface_Engine!$E$12:$E$72,$A795+1),INDEX(Surface_Engine!$E$12:$E$72,$Q$762+1))</f>
        <v>0.162586329393346</v>
      </c>
      <c r="D795" s="32" t="n">
        <f aca="false">INDEX(Surface_Engine!$O$12:$O$72,$A795+1)*IF($A795&lt;$Q$762,INDEX(Surface_Engine!$Y$12:$Y$72,$A795+1),INDEX(Surface_Engine!$Y$12:$Y$72,$Q$762+1))</f>
        <v>0.0972070895343231</v>
      </c>
      <c r="E795" s="32" t="n">
        <f aca="false">INDEX(Surface_Engine!$O$12:$O$72,$A795+1)*IF($A795&lt;$Q$762,INDEX(Surface_Engine!$Z$12:$Z$72,$A795+1),INDEX(Surface_Engine!$Z$12:$Z$72,$Q$762+1))</f>
        <v>0.109964328719744</v>
      </c>
      <c r="F795" s="48" t="n">
        <f aca="false">B795*(IF($A795&lt;$Q$762,INDEX(Surface_Engine!$D$12:$D$72,$A795+1)+(Surface_Engine!B244*12)*INDEX(Surface_Engine!$F$12:$F$72,$A795+1)-(Surface_Engine!B244*12),1000*12*INDEX(Surface_Engine!$C$12:$C$72,$A795+1)/(1+Assumptions!$B$10)^7+INDEX(Surface_Engine!$D$12:$D$72,$A795+1)))*INDEX(Surface_Engine!$B$12:$B$72,$A795+1)+F796</f>
        <v>3152.95862350585</v>
      </c>
      <c r="G795" s="48" t="n">
        <f aca="false">C795*(IF($A795&lt;$Q$762,INDEX(Surface_Engine!$D$12:$D$72,$A795+1)+(Surface_Engine!B244*12)*INDEX(Surface_Engine!$F$12:$F$72,$A795+1)-(Surface_Engine!B244*12),1000*12*INDEX(Surface_Engine!$C$12:$C$72,$A795+1)/(1+Assumptions!$B$10)^7+INDEX(Surface_Engine!$D$12:$D$72,$A795+1)))*INDEX(Surface_Engine!$B$12:$B$72,$A795+1)+G796</f>
        <v>5887.08233072586</v>
      </c>
      <c r="H795" s="48" t="n">
        <f aca="false">D795*(IF($A795&lt;$Q$762,INDEX(Surface_Engine!$D$12:$D$72,$A795+1)+(Surface_Engine!B244*12)*INDEX(Surface_Engine!$F$12:$F$72,$A795+1)-(Surface_Engine!B244*12),1000*12*INDEX(Surface_Engine!$C$12:$C$72,$A795+1)/(1+Assumptions!$B$10)^7+INDEX(Surface_Engine!$D$12:$D$72,$A795+1)))*INDEX(Surface_Engine!$B$12:$B$72,$A795+1)+H796</f>
        <v>2963.32052274609</v>
      </c>
      <c r="I795" s="48" t="n">
        <f aca="false">E795*(IF($A795&lt;$Q$762,INDEX(Surface_Engine!$D$12:$D$72,$A795+1)+(Surface_Engine!B244*12)*INDEX(Surface_Engine!$F$12:$F$72,$A795+1)-(Surface_Engine!B244*12),1000*12*INDEX(Surface_Engine!$C$12:$C$72,$A795+1)/(1+Assumptions!$B$10)^7+INDEX(Surface_Engine!$D$12:$D$72,$A795+1)))*INDEX(Surface_Engine!$B$12:$B$72,$A795+1)+I796</f>
        <v>3352.22002455032</v>
      </c>
      <c r="J795" s="48" t="n">
        <f aca="false">B795*(IF($A795&lt;$Q$762,INDEX(Surface_Engine!$D$12:$D$72,$A795+1)*(1+Assumptions!$B$24)+(Surface_Engine!B244*12)*INDEX(Surface_Engine!$F$12:$F$72,$A795+1)-(Surface_Engine!B244*12),1000*12*INDEX(Surface_Engine!$C$12:$C$72,$A795+1)/(1+Assumptions!$B$10)^7+INDEX(Surface_Engine!$D$12:$D$72,$A795+1)*(1+Assumptions!$B$24)))*INDEX(Surface_Engine!$B$12:$B$72,$A795+1)+J796</f>
        <v>3155.85026554495</v>
      </c>
      <c r="K795" s="12" t="n">
        <f aca="false">SQRT((IF(C795&lt;=0,0,MAX(0,(B795/C795)*G795/INDEX(Surface_Engine!$B$12:$B$72,$A795+1)-F795/INDEX(Surface_Engine!$B$12:$B$72,$A795+1))))^2+(MAX(IF(D795&lt;=0,0,MAX(0,(B795/D795)*H795/INDEX(Surface_Engine!$B$12:$B$72,$A795+1)-F795/INDEX(Surface_Engine!$B$12:$B$72,$A795+1))),IF(E795&lt;=0,0,MAX(0,(B795/E795)*I795/INDEX(Surface_Engine!$B$12:$B$72,$A795+1)-F795/INDEX(Surface_Engine!$B$12:$B$72,$A795+1))),IF($A795&lt;$Q$762,MAX(0,-Assumptions!$B$22*(F795/INDEX(Surface_Engine!$B$12:$B$72,$A795+1))),0)))^2+(MAX(0,J795/INDEX(Surface_Engine!$B$12:$B$72,$A795+1)-(F795/INDEX(Surface_Engine!$B$12:$B$72,$A795+1))))^2+2*Assumptions!$B$26*(IF(C795&lt;=0,0,MAX(0,(B795/C795)*G795/INDEX(Surface_Engine!$B$12:$B$72,$A795+1)-F795/INDEX(Surface_Engine!$B$12:$B$72,$A795+1))))*(MAX(IF(D795&lt;=0,0,MAX(0,(B795/D795)*H795/INDEX(Surface_Engine!$B$12:$B$72,$A795+1)-F795/INDEX(Surface_Engine!$B$12:$B$72,$A795+1))),IF(E795&lt;=0,0,MAX(0,(B795/E795)*I795/INDEX(Surface_Engine!$B$12:$B$72,$A795+1)-F795/INDEX(Surface_Engine!$B$12:$B$72,$A795+1))),IF($A795&lt;$Q$762,MAX(0,-Assumptions!$B$22*(F795/INDEX(Surface_Engine!$B$12:$B$72,$A795+1))),0)))+2*Assumptions!$B$27*(IF(C795&lt;=0,0,MAX(0,(B795/C795)*G795/INDEX(Surface_Engine!$B$12:$B$72,$A795+1)-F795/INDEX(Surface_Engine!$B$12:$B$72,$A795+1))))*(MAX(0,J795/INDEX(Surface_Engine!$B$12:$B$72,$A795+1)-(F795/INDEX(Surface_Engine!$B$12:$B$72,$A795+1))))+2*Assumptions!$B$28*(MAX(IF(D795&lt;=0,0,MAX(0,(B795/D795)*H795/INDEX(Surface_Engine!$B$12:$B$72,$A795+1)-F795/INDEX(Surface_Engine!$B$12:$B$72,$A795+1))),IF(E795&lt;=0,0,MAX(0,(B795/E795)*I795/INDEX(Surface_Engine!$B$12:$B$72,$A795+1)-F795/INDEX(Surface_Engine!$B$12:$B$72,$A795+1))),IF($A795&lt;$Q$762,MAX(0,-Assumptions!$B$22*(F795/INDEX(Surface_Engine!$B$12:$B$72,$A795+1))),0)))*(MAX(0,J795/INDEX(Surface_Engine!$B$12:$B$72,$A795+1)-(F795/INDEX(Surface_Engine!$B$12:$B$72,$A795+1)))))</f>
        <v>1566.79489460684</v>
      </c>
      <c r="L795" s="48" t="n">
        <f aca="false">K795*INDEX(Surface_Engine!$B$12:$B$72,$A795+1)+L796</f>
        <v>2171.57732594552</v>
      </c>
      <c r="M795" s="48" t="n">
        <f aca="false">M794+B794*(IF($A794&lt;$Q$762,(Surface_Engine!B244*12)-(Surface_Engine!B244*12)*INDEX(Surface_Engine!$F$12:$F$72,$A794+1)-INDEX(Surface_Engine!$D$12:$D$72,$A794+1),-(1000*12*INDEX(Surface_Engine!$C$12:$C$72,$A794+1)/(1+Assumptions!$B$10)^7+INDEX(Surface_Engine!$D$12:$D$72,$A794+1))))*INDEX(Surface_Engine!$B$12:$B$72,$A794+1)</f>
        <v>7789.86865593945</v>
      </c>
      <c r="N795" s="12" t="n">
        <f aca="false">IF(B795&lt;=0,0,MAX(0,(K795+Assumptions!$B$29*L795/INDEX(Surface_Engine!$B$12:$B$72,$A795+1)-(M795/INDEX(Surface_Engine!$B$12:$B$72,$A795+1)-(F795/INDEX(Surface_Engine!$B$12:$B$72,$A795+1))))/B795))</f>
        <v>0</v>
      </c>
    </row>
    <row r="796" customFormat="false" ht="15" hidden="false" customHeight="true" outlineLevel="0" collapsed="false">
      <c r="A796" s="1" t="n">
        <v>32</v>
      </c>
      <c r="B796" s="32" t="n">
        <f aca="false">INDEX(Surface_Engine!$O$12:$O$72,$A796+1)*IF($A796&lt;$Q$762,INDEX(Surface_Engine!$E$12:$E$72,$A796+1),INDEX(Surface_Engine!$E$12:$E$72,$Q$762+1))</f>
        <v>0.0825308676355366</v>
      </c>
      <c r="C796" s="32" t="n">
        <f aca="false">INDEX(Panel_Reserving!$E$8:$E$68,$A796+1)*IF($A796&lt;$Q$762,INDEX(Surface_Engine!$E$12:$E$72,$A796+1),INDEX(Surface_Engine!$E$12:$E$72,$Q$762+1))</f>
        <v>0.136306627631307</v>
      </c>
      <c r="D796" s="32" t="n">
        <f aca="false">INDEX(Surface_Engine!$O$12:$O$72,$A796+1)*IF($A796&lt;$Q$762,INDEX(Surface_Engine!$Y$12:$Y$72,$A796+1),INDEX(Surface_Engine!$Y$12:$Y$72,$Q$762+1))</f>
        <v>0.077566959490413</v>
      </c>
      <c r="E796" s="32" t="n">
        <f aca="false">INDEX(Surface_Engine!$O$12:$O$72,$A796+1)*IF($A796&lt;$Q$762,INDEX(Surface_Engine!$Z$12:$Z$72,$A796+1),INDEX(Surface_Engine!$Z$12:$Z$72,$Q$762+1))</f>
        <v>0.0877466723060676</v>
      </c>
      <c r="F796" s="48" t="n">
        <f aca="false">B796*(IF($A796&lt;$Q$762,INDEX(Surface_Engine!$D$12:$D$72,$A796+1)+(Surface_Engine!B244*12)*INDEX(Surface_Engine!$F$12:$F$72,$A796+1)-(Surface_Engine!B244*12),1000*12*INDEX(Surface_Engine!$C$12:$C$72,$A796+1)/(1+Assumptions!$B$10)^7+INDEX(Surface_Engine!$D$12:$D$72,$A796+1)))*INDEX(Surface_Engine!$B$12:$B$72,$A796+1)+F797</f>
        <v>2390.77742311842</v>
      </c>
      <c r="G796" s="48" t="n">
        <f aca="false">C796*(IF($A796&lt;$Q$762,INDEX(Surface_Engine!$D$12:$D$72,$A796+1)+(Surface_Engine!B244*12)*INDEX(Surface_Engine!$F$12:$F$72,$A796+1)-(Surface_Engine!B244*12),1000*12*INDEX(Surface_Engine!$C$12:$C$72,$A796+1)/(1+Assumptions!$B$10)^7+INDEX(Surface_Engine!$D$12:$D$72,$A796+1)))*INDEX(Surface_Engine!$B$12:$B$72,$A796+1)+G797</f>
        <v>4688.95030760496</v>
      </c>
      <c r="H796" s="48" t="n">
        <f aca="false">D796*(IF($A796&lt;$Q$762,INDEX(Surface_Engine!$D$12:$D$72,$A796+1)+(Surface_Engine!B244*12)*INDEX(Surface_Engine!$F$12:$F$72,$A796+1)-(Surface_Engine!B244*12),1000*12*INDEX(Surface_Engine!$C$12:$C$72,$A796+1)/(1+Assumptions!$B$10)^7+INDEX(Surface_Engine!$D$12:$D$72,$A796+1)))*INDEX(Surface_Engine!$B$12:$B$72,$A796+1)+H797</f>
        <v>2246.98153360707</v>
      </c>
      <c r="I796" s="48" t="n">
        <f aca="false">E796*(IF($A796&lt;$Q$762,INDEX(Surface_Engine!$D$12:$D$72,$A796+1)+(Surface_Engine!B244*12)*INDEX(Surface_Engine!$F$12:$F$72,$A796+1)-(Surface_Engine!B244*12),1000*12*INDEX(Surface_Engine!$C$12:$C$72,$A796+1)/(1+Assumptions!$B$10)^7+INDEX(Surface_Engine!$D$12:$D$72,$A796+1)))*INDEX(Surface_Engine!$B$12:$B$72,$A796+1)+I797</f>
        <v>2541.87032213856</v>
      </c>
      <c r="J796" s="48" t="n">
        <f aca="false">B796*(IF($A796&lt;$Q$762,INDEX(Surface_Engine!$D$12:$D$72,$A796+1)*(1+Assumptions!$B$24)+(Surface_Engine!B244*12)*INDEX(Surface_Engine!$F$12:$F$72,$A796+1)-(Surface_Engine!B244*12),1000*12*INDEX(Surface_Engine!$C$12:$C$72,$A796+1)/(1+Assumptions!$B$10)^7+INDEX(Surface_Engine!$D$12:$D$72,$A796+1)*(1+Assumptions!$B$24)))*INDEX(Surface_Engine!$B$12:$B$72,$A796+1)+J797</f>
        <v>2392.97917866992</v>
      </c>
      <c r="K796" s="12" t="n">
        <f aca="false">SQRT((IF(C796&lt;=0,0,MAX(0,(B796/C796)*G796/INDEX(Surface_Engine!$B$12:$B$72,$A796+1)-F796/INDEX(Surface_Engine!$B$12:$B$72,$A796+1))))^2+(MAX(IF(D796&lt;=0,0,MAX(0,(B796/D796)*H796/INDEX(Surface_Engine!$B$12:$B$72,$A796+1)-F796/INDEX(Surface_Engine!$B$12:$B$72,$A796+1))),IF(E796&lt;=0,0,MAX(0,(B796/E796)*I796/INDEX(Surface_Engine!$B$12:$B$72,$A796+1)-F796/INDEX(Surface_Engine!$B$12:$B$72,$A796+1))),IF($A796&lt;$Q$762,MAX(0,-Assumptions!$B$22*(F796/INDEX(Surface_Engine!$B$12:$B$72,$A796+1))),0)))^2+(MAX(0,J796/INDEX(Surface_Engine!$B$12:$B$72,$A796+1)-(F796/INDEX(Surface_Engine!$B$12:$B$72,$A796+1))))^2+2*Assumptions!$B$26*(IF(C796&lt;=0,0,MAX(0,(B796/C796)*G796/INDEX(Surface_Engine!$B$12:$B$72,$A796+1)-F796/INDEX(Surface_Engine!$B$12:$B$72,$A796+1))))*(MAX(IF(D796&lt;=0,0,MAX(0,(B796/D796)*H796/INDEX(Surface_Engine!$B$12:$B$72,$A796+1)-F796/INDEX(Surface_Engine!$B$12:$B$72,$A796+1))),IF(E796&lt;=0,0,MAX(0,(B796/E796)*I796/INDEX(Surface_Engine!$B$12:$B$72,$A796+1)-F796/INDEX(Surface_Engine!$B$12:$B$72,$A796+1))),IF($A796&lt;$Q$762,MAX(0,-Assumptions!$B$22*(F796/INDEX(Surface_Engine!$B$12:$B$72,$A796+1))),0)))+2*Assumptions!$B$27*(IF(C796&lt;=0,0,MAX(0,(B796/C796)*G796/INDEX(Surface_Engine!$B$12:$B$72,$A796+1)-F796/INDEX(Surface_Engine!$B$12:$B$72,$A796+1))))*(MAX(0,J796/INDEX(Surface_Engine!$B$12:$B$72,$A796+1)-(F796/INDEX(Surface_Engine!$B$12:$B$72,$A796+1))))+2*Assumptions!$B$28*(MAX(IF(D796&lt;=0,0,MAX(0,(B796/D796)*H796/INDEX(Surface_Engine!$B$12:$B$72,$A796+1)-F796/INDEX(Surface_Engine!$B$12:$B$72,$A796+1))),IF(E796&lt;=0,0,MAX(0,(B796/E796)*I796/INDEX(Surface_Engine!$B$12:$B$72,$A796+1)-F796/INDEX(Surface_Engine!$B$12:$B$72,$A796+1))),IF($A796&lt;$Q$762,MAX(0,-Assumptions!$B$22*(F796/INDEX(Surface_Engine!$B$12:$B$72,$A796+1))),0)))*(MAX(0,J796/INDEX(Surface_Engine!$B$12:$B$72,$A796+1)-(F796/INDEX(Surface_Engine!$B$12:$B$72,$A796+1)))))</f>
        <v>1224.87676770418</v>
      </c>
      <c r="L796" s="48" t="n">
        <f aca="false">K796*INDEX(Surface_Engine!$B$12:$B$72,$A796+1)+L797</f>
        <v>1578.79052631498</v>
      </c>
      <c r="M796" s="48" t="n">
        <f aca="false">M795+B795*(IF($A795&lt;$Q$762,(Surface_Engine!B244*12)-(Surface_Engine!B244*12)*INDEX(Surface_Engine!$F$12:$F$72,$A795+1)-INDEX(Surface_Engine!$D$12:$D$72,$A795+1),-(1000*12*INDEX(Surface_Engine!$C$12:$C$72,$A795+1)/(1+Assumptions!$B$10)^7+INDEX(Surface_Engine!$D$12:$D$72,$A795+1))))*INDEX(Surface_Engine!$B$12:$B$72,$A795+1)</f>
        <v>7027.68745555202</v>
      </c>
      <c r="N796" s="12" t="n">
        <f aca="false">IF(B796&lt;=0,0,MAX(0,(K796+Assumptions!$B$29*L796/INDEX(Surface_Engine!$B$12:$B$72,$A796+1)-(M796/INDEX(Surface_Engine!$B$12:$B$72,$A796+1)-(F796/INDEX(Surface_Engine!$B$12:$B$72,$A796+1))))/B796))</f>
        <v>0</v>
      </c>
    </row>
    <row r="797" customFormat="false" ht="15" hidden="false" customHeight="true" outlineLevel="0" collapsed="false">
      <c r="A797" s="1" t="n">
        <v>33</v>
      </c>
      <c r="B797" s="32" t="n">
        <f aca="false">INDEX(Surface_Engine!$O$12:$O$72,$A797+1)*IF($A797&lt;$Q$762,INDEX(Surface_Engine!$E$12:$E$72,$A797+1),INDEX(Surface_Engine!$E$12:$E$72,$Q$762+1))</f>
        <v>0.0649946890365965</v>
      </c>
      <c r="C797" s="32" t="n">
        <f aca="false">INDEX(Panel_Reserving!$E$8:$E$68,$A797+1)*IF($A797&lt;$Q$762,INDEX(Surface_Engine!$E$12:$E$72,$A797+1),INDEX(Surface_Engine!$E$12:$E$72,$Q$762+1))</f>
        <v>0.113136655621149</v>
      </c>
      <c r="D797" s="32" t="n">
        <f aca="false">INDEX(Surface_Engine!$O$12:$O$72,$A797+1)*IF($A797&lt;$Q$762,INDEX(Surface_Engine!$Y$12:$Y$72,$A797+1),INDEX(Surface_Engine!$Y$12:$Y$72,$Q$762+1))</f>
        <v>0.061085513287672</v>
      </c>
      <c r="E797" s="32" t="n">
        <f aca="false">INDEX(Surface_Engine!$O$12:$O$72,$A797+1)*IF($A797&lt;$Q$762,INDEX(Surface_Engine!$Z$12:$Z$72,$A797+1),INDEX(Surface_Engine!$Z$12:$Z$72,$Q$762+1))</f>
        <v>0.0691022382766438</v>
      </c>
      <c r="F797" s="48" t="n">
        <f aca="false">B797*(IF($A797&lt;$Q$762,INDEX(Surface_Engine!$D$12:$D$72,$A797+1)+(Surface_Engine!B244*12)*INDEX(Surface_Engine!$F$12:$F$72,$A797+1)-(Surface_Engine!B244*12),1000*12*INDEX(Surface_Engine!$C$12:$C$72,$A797+1)/(1+Assumptions!$B$10)^7+INDEX(Surface_Engine!$D$12:$D$72,$A797+1)))*INDEX(Surface_Engine!$B$12:$B$72,$A797+1)+F798</f>
        <v>1789.92119608515</v>
      </c>
      <c r="G797" s="48" t="n">
        <f aca="false">C797*(IF($A797&lt;$Q$762,INDEX(Surface_Engine!$D$12:$D$72,$A797+1)+(Surface_Engine!B244*12)*INDEX(Surface_Engine!$F$12:$F$72,$A797+1)-(Surface_Engine!B244*12),1000*12*INDEX(Surface_Engine!$C$12:$C$72,$A797+1)/(1+Assumptions!$B$10)^7+INDEX(Surface_Engine!$D$12:$D$72,$A797+1)))*INDEX(Surface_Engine!$B$12:$B$72,$A797+1)+G798</f>
        <v>3696.5860159819</v>
      </c>
      <c r="H797" s="48" t="n">
        <f aca="false">D797*(IF($A797&lt;$Q$762,INDEX(Surface_Engine!$D$12:$D$72,$A797+1)+(Surface_Engine!B244*12)*INDEX(Surface_Engine!$F$12:$F$72,$A797+1)-(Surface_Engine!B244*12),1000*12*INDEX(Surface_Engine!$C$12:$C$72,$A797+1)/(1+Assumptions!$B$10)^7+INDEX(Surface_Engine!$D$12:$D$72,$A797+1)))*INDEX(Surface_Engine!$B$12:$B$72,$A797+1)+H798</f>
        <v>1682.26445311216</v>
      </c>
      <c r="I797" s="48" t="n">
        <f aca="false">E797*(IF($A797&lt;$Q$762,INDEX(Surface_Engine!$D$12:$D$72,$A797+1)+(Surface_Engine!B244*12)*INDEX(Surface_Engine!$F$12:$F$72,$A797+1)-(Surface_Engine!B244*12),1000*12*INDEX(Surface_Engine!$C$12:$C$72,$A797+1)/(1+Assumptions!$B$10)^7+INDEX(Surface_Engine!$D$12:$D$72,$A797+1)))*INDEX(Surface_Engine!$B$12:$B$72,$A797+1)+I798</f>
        <v>1903.04104568677</v>
      </c>
      <c r="J797" s="48" t="n">
        <f aca="false">B797*(IF($A797&lt;$Q$762,INDEX(Surface_Engine!$D$12:$D$72,$A797+1)*(1+Assumptions!$B$24)+(Surface_Engine!B244*12)*INDEX(Surface_Engine!$F$12:$F$72,$A797+1)-(Surface_Engine!B244*12),1000*12*INDEX(Surface_Engine!$C$12:$C$72,$A797+1)/(1+Assumptions!$B$10)^7+INDEX(Surface_Engine!$D$12:$D$72,$A797+1)*(1+Assumptions!$B$24)))*INDEX(Surface_Engine!$B$12:$B$72,$A797+1)+J798</f>
        <v>1791.57644631271</v>
      </c>
      <c r="K797" s="12" t="n">
        <f aca="false">SQRT((IF(C797&lt;=0,0,MAX(0,(B797/C797)*G797/INDEX(Surface_Engine!$B$12:$B$72,$A797+1)-F797/INDEX(Surface_Engine!$B$12:$B$72,$A797+1))))^2+(MAX(IF(D797&lt;=0,0,MAX(0,(B797/D797)*H797/INDEX(Surface_Engine!$B$12:$B$72,$A797+1)-F797/INDEX(Surface_Engine!$B$12:$B$72,$A797+1))),IF(E797&lt;=0,0,MAX(0,(B797/E797)*I797/INDEX(Surface_Engine!$B$12:$B$72,$A797+1)-F797/INDEX(Surface_Engine!$B$12:$B$72,$A797+1))),IF($A797&lt;$Q$762,MAX(0,-Assumptions!$B$22*(F797/INDEX(Surface_Engine!$B$12:$B$72,$A797+1))),0)))^2+(MAX(0,J797/INDEX(Surface_Engine!$B$12:$B$72,$A797+1)-(F797/INDEX(Surface_Engine!$B$12:$B$72,$A797+1))))^2+2*Assumptions!$B$26*(IF(C797&lt;=0,0,MAX(0,(B797/C797)*G797/INDEX(Surface_Engine!$B$12:$B$72,$A797+1)-F797/INDEX(Surface_Engine!$B$12:$B$72,$A797+1))))*(MAX(IF(D797&lt;=0,0,MAX(0,(B797/D797)*H797/INDEX(Surface_Engine!$B$12:$B$72,$A797+1)-F797/INDEX(Surface_Engine!$B$12:$B$72,$A797+1))),IF(E797&lt;=0,0,MAX(0,(B797/E797)*I797/INDEX(Surface_Engine!$B$12:$B$72,$A797+1)-F797/INDEX(Surface_Engine!$B$12:$B$72,$A797+1))),IF($A797&lt;$Q$762,MAX(0,-Assumptions!$B$22*(F797/INDEX(Surface_Engine!$B$12:$B$72,$A797+1))),0)))+2*Assumptions!$B$27*(IF(C797&lt;=0,0,MAX(0,(B797/C797)*G797/INDEX(Surface_Engine!$B$12:$B$72,$A797+1)-F797/INDEX(Surface_Engine!$B$12:$B$72,$A797+1))))*(MAX(0,J797/INDEX(Surface_Engine!$B$12:$B$72,$A797+1)-(F797/INDEX(Surface_Engine!$B$12:$B$72,$A797+1))))+2*Assumptions!$B$28*(MAX(IF(D797&lt;=0,0,MAX(0,(B797/D797)*H797/INDEX(Surface_Engine!$B$12:$B$72,$A797+1)-F797/INDEX(Surface_Engine!$B$12:$B$72,$A797+1))),IF(E797&lt;=0,0,MAX(0,(B797/E797)*I797/INDEX(Surface_Engine!$B$12:$B$72,$A797+1)-F797/INDEX(Surface_Engine!$B$12:$B$72,$A797+1))),IF($A797&lt;$Q$762,MAX(0,-Assumptions!$B$22*(F797/INDEX(Surface_Engine!$B$12:$B$72,$A797+1))),0)))*(MAX(0,J797/INDEX(Surface_Engine!$B$12:$B$72,$A797+1)-(F797/INDEX(Surface_Engine!$B$12:$B$72,$A797+1)))))</f>
        <v>941.436290020465</v>
      </c>
      <c r="L797" s="48" t="n">
        <f aca="false">K797*INDEX(Surface_Engine!$B$12:$B$72,$A797+1)+L798</f>
        <v>1129.94919815338</v>
      </c>
      <c r="M797" s="48" t="n">
        <f aca="false">M796+B796*(IF($A796&lt;$Q$762,(Surface_Engine!B244*12)-(Surface_Engine!B244*12)*INDEX(Surface_Engine!$F$12:$F$72,$A796+1)-INDEX(Surface_Engine!$D$12:$D$72,$A796+1),-(1000*12*INDEX(Surface_Engine!$C$12:$C$72,$A796+1)/(1+Assumptions!$B$10)^7+INDEX(Surface_Engine!$D$12:$D$72,$A796+1))))*INDEX(Surface_Engine!$B$12:$B$72,$A796+1)</f>
        <v>6426.83122851875</v>
      </c>
      <c r="N797" s="12" t="n">
        <f aca="false">IF(B797&lt;=0,0,MAX(0,(K797+Assumptions!$B$29*L797/INDEX(Surface_Engine!$B$12:$B$72,$A797+1)-(M797/INDEX(Surface_Engine!$B$12:$B$72,$A797+1)-(F797/INDEX(Surface_Engine!$B$12:$B$72,$A797+1))))/B797))</f>
        <v>0</v>
      </c>
    </row>
    <row r="798" customFormat="false" ht="15" hidden="false" customHeight="true" outlineLevel="0" collapsed="false">
      <c r="A798" s="1" t="n">
        <v>34</v>
      </c>
      <c r="B798" s="32" t="n">
        <f aca="false">INDEX(Surface_Engine!$O$12:$O$72,$A798+1)*IF($A798&lt;$Q$762,INDEX(Surface_Engine!$E$12:$E$72,$A798+1),INDEX(Surface_Engine!$E$12:$E$72,$Q$762+1))</f>
        <v>0.0504534754157589</v>
      </c>
      <c r="C798" s="32" t="n">
        <f aca="false">INDEX(Panel_Reserving!$E$8:$E$68,$A798+1)*IF($A798&lt;$Q$762,INDEX(Surface_Engine!$E$12:$E$72,$A798+1),INDEX(Surface_Engine!$E$12:$E$72,$Q$762+1))</f>
        <v>0.092887071513648</v>
      </c>
      <c r="D798" s="32" t="n">
        <f aca="false">INDEX(Surface_Engine!$O$12:$O$72,$A798+1)*IF($A798&lt;$Q$762,INDEX(Surface_Engine!$Y$12:$Y$72,$A798+1),INDEX(Surface_Engine!$Y$12:$Y$72,$Q$762+1))</f>
        <v>0.0474188966606672</v>
      </c>
      <c r="E798" s="32" t="n">
        <f aca="false">INDEX(Surface_Engine!$O$12:$O$72,$A798+1)*IF($A798&lt;$Q$762,INDEX(Surface_Engine!$Z$12:$Z$72,$A798+1),INDEX(Surface_Engine!$Z$12:$Z$72,$Q$762+1))</f>
        <v>0.0536420457077877</v>
      </c>
      <c r="F798" s="48" t="n">
        <f aca="false">B798*(IF($A798&lt;$Q$762,INDEX(Surface_Engine!$D$12:$D$72,$A798+1)+(Surface_Engine!B244*12)*INDEX(Surface_Engine!$F$12:$F$72,$A798+1)-(Surface_Engine!B244*12),1000*12*INDEX(Surface_Engine!$C$12:$C$72,$A798+1)/(1+Assumptions!$B$10)^7+INDEX(Surface_Engine!$D$12:$D$72,$A798+1)))*INDEX(Surface_Engine!$B$12:$B$72,$A798+1)+F799</f>
        <v>1322.45652391024</v>
      </c>
      <c r="G798" s="48" t="n">
        <f aca="false">C798*(IF($A798&lt;$Q$762,INDEX(Surface_Engine!$D$12:$D$72,$A798+1)+(Surface_Engine!B244*12)*INDEX(Surface_Engine!$F$12:$F$72,$A798+1)-(Surface_Engine!B244*12),1000*12*INDEX(Surface_Engine!$C$12:$C$72,$A798+1)/(1+Assumptions!$B$10)^7+INDEX(Surface_Engine!$D$12:$D$72,$A798+1)))*INDEX(Surface_Engine!$B$12:$B$72,$A798+1)+G799</f>
        <v>2882.86738120043</v>
      </c>
      <c r="H798" s="48" t="n">
        <f aca="false">D798*(IF($A798&lt;$Q$762,INDEX(Surface_Engine!$D$12:$D$72,$A798+1)+(Surface_Engine!B244*12)*INDEX(Surface_Engine!$F$12:$F$72,$A798+1)-(Surface_Engine!B244*12),1000*12*INDEX(Surface_Engine!$C$12:$C$72,$A798+1)/(1+Assumptions!$B$10)^7+INDEX(Surface_Engine!$D$12:$D$72,$A798+1)))*INDEX(Surface_Engine!$B$12:$B$72,$A798+1)+H799</f>
        <v>1242.91594838159</v>
      </c>
      <c r="I798" s="48" t="n">
        <f aca="false">E798*(IF($A798&lt;$Q$762,INDEX(Surface_Engine!$D$12:$D$72,$A798+1)+(Surface_Engine!B244*12)*INDEX(Surface_Engine!$F$12:$F$72,$A798+1)-(Surface_Engine!B244*12),1000*12*INDEX(Surface_Engine!$C$12:$C$72,$A798+1)/(1+Assumptions!$B$10)^7+INDEX(Surface_Engine!$D$12:$D$72,$A798+1)))*INDEX(Surface_Engine!$B$12:$B$72,$A798+1)+I799</f>
        <v>1406.03343412093</v>
      </c>
      <c r="J798" s="48" t="n">
        <f aca="false">B798*(IF($A798&lt;$Q$762,INDEX(Surface_Engine!$D$12:$D$72,$A798+1)*(1+Assumptions!$B$24)+(Surface_Engine!B244*12)*INDEX(Surface_Engine!$F$12:$F$72,$A798+1)-(Surface_Engine!B244*12),1000*12*INDEX(Surface_Engine!$C$12:$C$72,$A798+1)/(1+Assumptions!$B$10)^7+INDEX(Surface_Engine!$D$12:$D$72,$A798+1)*(1+Assumptions!$B$24)))*INDEX(Surface_Engine!$B$12:$B$72,$A798+1)+J799</f>
        <v>1323.68452916926</v>
      </c>
      <c r="K798" s="12" t="n">
        <f aca="false">SQRT((IF(C798&lt;=0,0,MAX(0,(B798/C798)*G798/INDEX(Surface_Engine!$B$12:$B$72,$A798+1)-F798/INDEX(Surface_Engine!$B$12:$B$72,$A798+1))))^2+(MAX(IF(D798&lt;=0,0,MAX(0,(B798/D798)*H798/INDEX(Surface_Engine!$B$12:$B$72,$A798+1)-F798/INDEX(Surface_Engine!$B$12:$B$72,$A798+1))),IF(E798&lt;=0,0,MAX(0,(B798/E798)*I798/INDEX(Surface_Engine!$B$12:$B$72,$A798+1)-F798/INDEX(Surface_Engine!$B$12:$B$72,$A798+1))),IF($A798&lt;$Q$762,MAX(0,-Assumptions!$B$22*(F798/INDEX(Surface_Engine!$B$12:$B$72,$A798+1))),0)))^2+(MAX(0,J798/INDEX(Surface_Engine!$B$12:$B$72,$A798+1)-(F798/INDEX(Surface_Engine!$B$12:$B$72,$A798+1))))^2+2*Assumptions!$B$26*(IF(C798&lt;=0,0,MAX(0,(B798/C798)*G798/INDEX(Surface_Engine!$B$12:$B$72,$A798+1)-F798/INDEX(Surface_Engine!$B$12:$B$72,$A798+1))))*(MAX(IF(D798&lt;=0,0,MAX(0,(B798/D798)*H798/INDEX(Surface_Engine!$B$12:$B$72,$A798+1)-F798/INDEX(Surface_Engine!$B$12:$B$72,$A798+1))),IF(E798&lt;=0,0,MAX(0,(B798/E798)*I798/INDEX(Surface_Engine!$B$12:$B$72,$A798+1)-F798/INDEX(Surface_Engine!$B$12:$B$72,$A798+1))),IF($A798&lt;$Q$762,MAX(0,-Assumptions!$B$22*(F798/INDEX(Surface_Engine!$B$12:$B$72,$A798+1))),0)))+2*Assumptions!$B$27*(IF(C798&lt;=0,0,MAX(0,(B798/C798)*G798/INDEX(Surface_Engine!$B$12:$B$72,$A798+1)-F798/INDEX(Surface_Engine!$B$12:$B$72,$A798+1))))*(MAX(0,J798/INDEX(Surface_Engine!$B$12:$B$72,$A798+1)-(F798/INDEX(Surface_Engine!$B$12:$B$72,$A798+1))))+2*Assumptions!$B$28*(MAX(IF(D798&lt;=0,0,MAX(0,(B798/D798)*H798/INDEX(Surface_Engine!$B$12:$B$72,$A798+1)-F798/INDEX(Surface_Engine!$B$12:$B$72,$A798+1))),IF(E798&lt;=0,0,MAX(0,(B798/E798)*I798/INDEX(Surface_Engine!$B$12:$B$72,$A798+1)-F798/INDEX(Surface_Engine!$B$12:$B$72,$A798+1))),IF($A798&lt;$Q$762,MAX(0,-Assumptions!$B$22*(F798/INDEX(Surface_Engine!$B$12:$B$72,$A798+1))),0)))*(MAX(0,J798/INDEX(Surface_Engine!$B$12:$B$72,$A798+1)-(F798/INDEX(Surface_Engine!$B$12:$B$72,$A798+1)))))</f>
        <v>709.169087307448</v>
      </c>
      <c r="L798" s="48" t="n">
        <f aca="false">K798*INDEX(Surface_Engine!$B$12:$B$72,$A798+1)+L799</f>
        <v>795.839861856424</v>
      </c>
      <c r="M798" s="48" t="n">
        <f aca="false">M797+B797*(IF($A797&lt;$Q$762,(Surface_Engine!B244*12)-(Surface_Engine!B244*12)*INDEX(Surface_Engine!$F$12:$F$72,$A797+1)-INDEX(Surface_Engine!$D$12:$D$72,$A797+1),-(1000*12*INDEX(Surface_Engine!$C$12:$C$72,$A797+1)/(1+Assumptions!$B$10)^7+INDEX(Surface_Engine!$D$12:$D$72,$A797+1))))*INDEX(Surface_Engine!$B$12:$B$72,$A797+1)</f>
        <v>5959.36655634384</v>
      </c>
      <c r="N798" s="12" t="n">
        <f aca="false">IF(B798&lt;=0,0,MAX(0,(K798+Assumptions!$B$29*L798/INDEX(Surface_Engine!$B$12:$B$72,$A798+1)-(M798/INDEX(Surface_Engine!$B$12:$B$72,$A798+1)-(F798/INDEX(Surface_Engine!$B$12:$B$72,$A798+1))))/B798))</f>
        <v>0</v>
      </c>
    </row>
    <row r="799" customFormat="false" ht="15" hidden="false" customHeight="true" outlineLevel="0" collapsed="false">
      <c r="A799" s="1" t="n">
        <v>35</v>
      </c>
      <c r="B799" s="32" t="n">
        <f aca="false">INDEX(Surface_Engine!$O$12:$O$72,$A799+1)*IF($A799&lt;$Q$762,INDEX(Surface_Engine!$E$12:$E$72,$A799+1),INDEX(Surface_Engine!$E$12:$E$72,$Q$762+1))</f>
        <v>0.0385353850685642</v>
      </c>
      <c r="C799" s="32" t="n">
        <f aca="false">INDEX(Panel_Reserving!$E$8:$E$68,$A799+1)*IF($A799&lt;$Q$762,INDEX(Surface_Engine!$E$12:$E$72,$A799+1),INDEX(Surface_Engine!$E$12:$E$72,$Q$762+1))</f>
        <v>0.0753336879060607</v>
      </c>
      <c r="D799" s="32" t="n">
        <f aca="false">INDEX(Surface_Engine!$O$12:$O$72,$A799+1)*IF($A799&lt;$Q$762,INDEX(Surface_Engine!$Y$12:$Y$72,$A799+1),INDEX(Surface_Engine!$Y$12:$Y$72,$Q$762+1))</f>
        <v>0.0362176327257432</v>
      </c>
      <c r="E799" s="32" t="n">
        <f aca="false">INDEX(Surface_Engine!$O$12:$O$72,$A799+1)*IF($A799&lt;$Q$762,INDEX(Surface_Engine!$Z$12:$Z$72,$A799+1),INDEX(Surface_Engine!$Z$12:$Z$72,$Q$762+1))</f>
        <v>0.0409707531578582</v>
      </c>
      <c r="F799" s="48" t="n">
        <f aca="false">B799*(IF($A799&lt;$Q$762,INDEX(Surface_Engine!$D$12:$D$72,$A799+1)+(Surface_Engine!B244*12)*INDEX(Surface_Engine!$F$12:$F$72,$A799+1)-(Surface_Engine!B244*12),1000*12*INDEX(Surface_Engine!$C$12:$C$72,$A799+1)/(1+Assumptions!$B$10)^7+INDEX(Surface_Engine!$D$12:$D$72,$A799+1)))*INDEX(Surface_Engine!$B$12:$B$72,$A799+1)+F800</f>
        <v>963.978904670659</v>
      </c>
      <c r="G799" s="48" t="n">
        <f aca="false">C799*(IF($A799&lt;$Q$762,INDEX(Surface_Engine!$D$12:$D$72,$A799+1)+(Surface_Engine!B244*12)*INDEX(Surface_Engine!$F$12:$F$72,$A799+1)-(Surface_Engine!B244*12),1000*12*INDEX(Surface_Engine!$C$12:$C$72,$A799+1)/(1+Assumptions!$B$10)^7+INDEX(Surface_Engine!$D$12:$D$72,$A799+1)))*INDEX(Surface_Engine!$B$12:$B$72,$A799+1)+G800</f>
        <v>2222.89428757388</v>
      </c>
      <c r="H799" s="48" t="n">
        <f aca="false">D799*(IF($A799&lt;$Q$762,INDEX(Surface_Engine!$D$12:$D$72,$A799+1)+(Surface_Engine!B244*12)*INDEX(Surface_Engine!$F$12:$F$72,$A799+1)-(Surface_Engine!B244*12),1000*12*INDEX(Surface_Engine!$C$12:$C$72,$A799+1)/(1+Assumptions!$B$10)^7+INDEX(Surface_Engine!$D$12:$D$72,$A799+1)))*INDEX(Surface_Engine!$B$12:$B$72,$A799+1)+H800</f>
        <v>905.999352610774</v>
      </c>
      <c r="I799" s="48" t="n">
        <f aca="false">E799*(IF($A799&lt;$Q$762,INDEX(Surface_Engine!$D$12:$D$72,$A799+1)+(Surface_Engine!B244*12)*INDEX(Surface_Engine!$F$12:$F$72,$A799+1)-(Surface_Engine!B244*12),1000*12*INDEX(Surface_Engine!$C$12:$C$72,$A799+1)/(1+Assumptions!$B$10)^7+INDEX(Surface_Engine!$D$12:$D$72,$A799+1)))*INDEX(Surface_Engine!$B$12:$B$72,$A799+1)+I800</f>
        <v>1024.90066421738</v>
      </c>
      <c r="J799" s="48" t="n">
        <f aca="false">B799*(IF($A799&lt;$Q$762,INDEX(Surface_Engine!$D$12:$D$72,$A799+1)*(1+Assumptions!$B$24)+(Surface_Engine!B244*12)*INDEX(Surface_Engine!$F$12:$F$72,$A799+1)-(Surface_Engine!B244*12),1000*12*INDEX(Surface_Engine!$C$12:$C$72,$A799+1)/(1+Assumptions!$B$10)^7+INDEX(Surface_Engine!$D$12:$D$72,$A799+1)*(1+Assumptions!$B$24)))*INDEX(Surface_Engine!$B$12:$B$72,$A799+1)+J800</f>
        <v>964.87768368749</v>
      </c>
      <c r="K799" s="12" t="n">
        <f aca="false">SQRT((IF(C799&lt;=0,0,MAX(0,(B799/C799)*G799/INDEX(Surface_Engine!$B$12:$B$72,$A799+1)-F799/INDEX(Surface_Engine!$B$12:$B$72,$A799+1))))^2+(MAX(IF(D799&lt;=0,0,MAX(0,(B799/D799)*H799/INDEX(Surface_Engine!$B$12:$B$72,$A799+1)-F799/INDEX(Surface_Engine!$B$12:$B$72,$A799+1))),IF(E799&lt;=0,0,MAX(0,(B799/E799)*I799/INDEX(Surface_Engine!$B$12:$B$72,$A799+1)-F799/INDEX(Surface_Engine!$B$12:$B$72,$A799+1))),IF($A799&lt;$Q$762,MAX(0,-Assumptions!$B$22*(F799/INDEX(Surface_Engine!$B$12:$B$72,$A799+1))),0)))^2+(MAX(0,J799/INDEX(Surface_Engine!$B$12:$B$72,$A799+1)-(F799/INDEX(Surface_Engine!$B$12:$B$72,$A799+1))))^2+2*Assumptions!$B$26*(IF(C799&lt;=0,0,MAX(0,(B799/C799)*G799/INDEX(Surface_Engine!$B$12:$B$72,$A799+1)-F799/INDEX(Surface_Engine!$B$12:$B$72,$A799+1))))*(MAX(IF(D799&lt;=0,0,MAX(0,(B799/D799)*H799/INDEX(Surface_Engine!$B$12:$B$72,$A799+1)-F799/INDEX(Surface_Engine!$B$12:$B$72,$A799+1))),IF(E799&lt;=0,0,MAX(0,(B799/E799)*I799/INDEX(Surface_Engine!$B$12:$B$72,$A799+1)-F799/INDEX(Surface_Engine!$B$12:$B$72,$A799+1))),IF($A799&lt;$Q$762,MAX(0,-Assumptions!$B$22*(F799/INDEX(Surface_Engine!$B$12:$B$72,$A799+1))),0)))+2*Assumptions!$B$27*(IF(C799&lt;=0,0,MAX(0,(B799/C799)*G799/INDEX(Surface_Engine!$B$12:$B$72,$A799+1)-F799/INDEX(Surface_Engine!$B$12:$B$72,$A799+1))))*(MAX(0,J799/INDEX(Surface_Engine!$B$12:$B$72,$A799+1)-(F799/INDEX(Surface_Engine!$B$12:$B$72,$A799+1))))+2*Assumptions!$B$28*(MAX(IF(D799&lt;=0,0,MAX(0,(B799/D799)*H799/INDEX(Surface_Engine!$B$12:$B$72,$A799+1)-F799/INDEX(Surface_Engine!$B$12:$B$72,$A799+1))),IF(E799&lt;=0,0,MAX(0,(B799/E799)*I799/INDEX(Surface_Engine!$B$12:$B$72,$A799+1)-F799/INDEX(Surface_Engine!$B$12:$B$72,$A799+1))),IF($A799&lt;$Q$762,MAX(0,-Assumptions!$B$22*(F799/INDEX(Surface_Engine!$B$12:$B$72,$A799+1))),0)))*(MAX(0,J799/INDEX(Surface_Engine!$B$12:$B$72,$A799+1)-(F799/INDEX(Surface_Engine!$B$12:$B$72,$A799+1)))))</f>
        <v>520.733613346478</v>
      </c>
      <c r="L799" s="48" t="n">
        <f aca="false">K799*INDEX(Surface_Engine!$B$12:$B$72,$A799+1)+L800</f>
        <v>552.099260476328</v>
      </c>
      <c r="M799" s="48" t="n">
        <f aca="false">M798+B798*(IF($A798&lt;$Q$762,(Surface_Engine!B244*12)-(Surface_Engine!B244*12)*INDEX(Surface_Engine!$F$12:$F$72,$A798+1)-INDEX(Surface_Engine!$D$12:$D$72,$A798+1),-(1000*12*INDEX(Surface_Engine!$C$12:$C$72,$A798+1)/(1+Assumptions!$B$10)^7+INDEX(Surface_Engine!$D$12:$D$72,$A798+1))))*INDEX(Surface_Engine!$B$12:$B$72,$A798+1)</f>
        <v>5600.88893710426</v>
      </c>
      <c r="N799" s="12" t="n">
        <f aca="false">IF(B799&lt;=0,0,MAX(0,(K799+Assumptions!$B$29*L799/INDEX(Surface_Engine!$B$12:$B$72,$A799+1)-(M799/INDEX(Surface_Engine!$B$12:$B$72,$A799+1)-(F799/INDEX(Surface_Engine!$B$12:$B$72,$A799+1))))/B799))</f>
        <v>0</v>
      </c>
    </row>
    <row r="800" customFormat="false" ht="15" hidden="false" customHeight="true" outlineLevel="0" collapsed="false">
      <c r="A800" s="1" t="n">
        <v>36</v>
      </c>
      <c r="B800" s="32" t="n">
        <f aca="false">INDEX(Surface_Engine!$O$12:$O$72,$A800+1)*IF($A800&lt;$Q$762,INDEX(Surface_Engine!$E$12:$E$72,$A800+1),INDEX(Surface_Engine!$E$12:$E$72,$Q$762+1))</f>
        <v>0.0288807904717024</v>
      </c>
      <c r="C800" s="32" t="n">
        <f aca="false">INDEX(Panel_Reserving!$E$8:$E$68,$A800+1)*IF($A800&lt;$Q$762,INDEX(Surface_Engine!$E$12:$E$72,$A800+1),INDEX(Surface_Engine!$E$12:$E$72,$Q$762+1))</f>
        <v>0.0602345012250308</v>
      </c>
      <c r="D800" s="32" t="n">
        <f aca="false">INDEX(Surface_Engine!$O$12:$O$72,$A800+1)*IF($A800&lt;$Q$762,INDEX(Surface_Engine!$Y$12:$Y$72,$A800+1),INDEX(Surface_Engine!$Y$12:$Y$72,$Q$762+1))</f>
        <v>0.0271437241452803</v>
      </c>
      <c r="E800" s="32" t="n">
        <f aca="false">INDEX(Surface_Engine!$O$12:$O$72,$A800+1)*IF($A800&lt;$Q$762,INDEX(Surface_Engine!$Z$12:$Z$72,$A800+1),INDEX(Surface_Engine!$Z$12:$Z$72,$Q$762+1))</f>
        <v>0.0307060052809803</v>
      </c>
      <c r="F800" s="48" t="n">
        <f aca="false">B800*(IF($A800&lt;$Q$762,INDEX(Surface_Engine!$D$12:$D$72,$A800+1)+(Surface_Engine!B244*12)*INDEX(Surface_Engine!$F$12:$F$72,$A800+1)-(Surface_Engine!B244*12),1000*12*INDEX(Surface_Engine!$C$12:$C$72,$A800+1)/(1+Assumptions!$B$10)^7+INDEX(Surface_Engine!$D$12:$D$72,$A800+1)))*INDEX(Surface_Engine!$B$12:$B$72,$A800+1)+F801</f>
        <v>693.51210519161</v>
      </c>
      <c r="G800" s="48" t="n">
        <f aca="false">C800*(IF($A800&lt;$Q$762,INDEX(Surface_Engine!$D$12:$D$72,$A800+1)+(Surface_Engine!B244*12)*INDEX(Surface_Engine!$F$12:$F$72,$A800+1)-(Surface_Engine!B244*12),1000*12*INDEX(Surface_Engine!$C$12:$C$72,$A800+1)/(1+Assumptions!$B$10)^7+INDEX(Surface_Engine!$D$12:$D$72,$A800+1)))*INDEX(Surface_Engine!$B$12:$B$72,$A800+1)+G801</f>
        <v>1694.15267970742</v>
      </c>
      <c r="H800" s="48" t="n">
        <f aca="false">D800*(IF($A800&lt;$Q$762,INDEX(Surface_Engine!$D$12:$D$72,$A800+1)+(Surface_Engine!B244*12)*INDEX(Surface_Engine!$F$12:$F$72,$A800+1)-(Surface_Engine!B244*12),1000*12*INDEX(Surface_Engine!$C$12:$C$72,$A800+1)/(1+Assumptions!$B$10)^7+INDEX(Surface_Engine!$D$12:$D$72,$A800+1)))*INDEX(Surface_Engine!$B$12:$B$72,$A800+1)+H801</f>
        <v>651.800070817938</v>
      </c>
      <c r="I800" s="48" t="n">
        <f aca="false">E800*(IF($A800&lt;$Q$762,INDEX(Surface_Engine!$D$12:$D$72,$A800+1)+(Surface_Engine!B244*12)*INDEX(Surface_Engine!$F$12:$F$72,$A800+1)-(Surface_Engine!B244*12),1000*12*INDEX(Surface_Engine!$C$12:$C$72,$A800+1)/(1+Assumptions!$B$10)^7+INDEX(Surface_Engine!$D$12:$D$72,$A800+1)))*INDEX(Surface_Engine!$B$12:$B$72,$A800+1)+I801</f>
        <v>737.340842014081</v>
      </c>
      <c r="J800" s="48" t="n">
        <f aca="false">B800*(IF($A800&lt;$Q$762,INDEX(Surface_Engine!$D$12:$D$72,$A800+1)*(1+Assumptions!$B$24)+(Surface_Engine!B244*12)*INDEX(Surface_Engine!$F$12:$F$72,$A800+1)-(Surface_Engine!B244*12),1000*12*INDEX(Surface_Engine!$C$12:$C$72,$A800+1)/(1+Assumptions!$B$10)^7+INDEX(Surface_Engine!$D$12:$D$72,$A800+1)*(1+Assumptions!$B$24)))*INDEX(Surface_Engine!$B$12:$B$72,$A800+1)+J801</f>
        <v>694.161280805181</v>
      </c>
      <c r="K800" s="12" t="n">
        <f aca="false">SQRT((IF(C800&lt;=0,0,MAX(0,(B800/C800)*G800/INDEX(Surface_Engine!$B$12:$B$72,$A800+1)-F800/INDEX(Surface_Engine!$B$12:$B$72,$A800+1))))^2+(MAX(IF(D800&lt;=0,0,MAX(0,(B800/D800)*H800/INDEX(Surface_Engine!$B$12:$B$72,$A800+1)-F800/INDEX(Surface_Engine!$B$12:$B$72,$A800+1))),IF(E800&lt;=0,0,MAX(0,(B800/E800)*I800/INDEX(Surface_Engine!$B$12:$B$72,$A800+1)-F800/INDEX(Surface_Engine!$B$12:$B$72,$A800+1))),IF($A800&lt;$Q$762,MAX(0,-Assumptions!$B$22*(F800/INDEX(Surface_Engine!$B$12:$B$72,$A800+1))),0)))^2+(MAX(0,J800/INDEX(Surface_Engine!$B$12:$B$72,$A800+1)-(F800/INDEX(Surface_Engine!$B$12:$B$72,$A800+1))))^2+2*Assumptions!$B$26*(IF(C800&lt;=0,0,MAX(0,(B800/C800)*G800/INDEX(Surface_Engine!$B$12:$B$72,$A800+1)-F800/INDEX(Surface_Engine!$B$12:$B$72,$A800+1))))*(MAX(IF(D800&lt;=0,0,MAX(0,(B800/D800)*H800/INDEX(Surface_Engine!$B$12:$B$72,$A800+1)-F800/INDEX(Surface_Engine!$B$12:$B$72,$A800+1))),IF(E800&lt;=0,0,MAX(0,(B800/E800)*I800/INDEX(Surface_Engine!$B$12:$B$72,$A800+1)-F800/INDEX(Surface_Engine!$B$12:$B$72,$A800+1))),IF($A800&lt;$Q$762,MAX(0,-Assumptions!$B$22*(F800/INDEX(Surface_Engine!$B$12:$B$72,$A800+1))),0)))+2*Assumptions!$B$27*(IF(C800&lt;=0,0,MAX(0,(B800/C800)*G800/INDEX(Surface_Engine!$B$12:$B$72,$A800+1)-F800/INDEX(Surface_Engine!$B$12:$B$72,$A800+1))))*(MAX(0,J800/INDEX(Surface_Engine!$B$12:$B$72,$A800+1)-(F800/INDEX(Surface_Engine!$B$12:$B$72,$A800+1))))+2*Assumptions!$B$28*(MAX(IF(D800&lt;=0,0,MAX(0,(B800/D800)*H800/INDEX(Surface_Engine!$B$12:$B$72,$A800+1)-F800/INDEX(Surface_Engine!$B$12:$B$72,$A800+1))),IF(E800&lt;=0,0,MAX(0,(B800/E800)*I800/INDEX(Surface_Engine!$B$12:$B$72,$A800+1)-F800/INDEX(Surface_Engine!$B$12:$B$72,$A800+1))),IF($A800&lt;$Q$762,MAX(0,-Assumptions!$B$22*(F800/INDEX(Surface_Engine!$B$12:$B$72,$A800+1))),0)))*(MAX(0,J800/INDEX(Surface_Engine!$B$12:$B$72,$A800+1)-(F800/INDEX(Surface_Engine!$B$12:$B$72,$A800+1)))))</f>
        <v>368.918360169991</v>
      </c>
      <c r="L800" s="48" t="n">
        <f aca="false">K800*INDEX(Surface_Engine!$B$12:$B$72,$A800+1)+L801</f>
        <v>378.775832205279</v>
      </c>
      <c r="M800" s="48" t="n">
        <f aca="false">M799+B799*(IF($A799&lt;$Q$762,(Surface_Engine!B244*12)-(Surface_Engine!B244*12)*INDEX(Surface_Engine!$F$12:$F$72,$A799+1)-INDEX(Surface_Engine!$D$12:$D$72,$A799+1),-(1000*12*INDEX(Surface_Engine!$C$12:$C$72,$A799+1)/(1+Assumptions!$B$10)^7+INDEX(Surface_Engine!$D$12:$D$72,$A799+1))))*INDEX(Surface_Engine!$B$12:$B$72,$A799+1)</f>
        <v>5330.42213762521</v>
      </c>
      <c r="N800" s="12" t="n">
        <f aca="false">IF(B800&lt;=0,0,MAX(0,(K800+Assumptions!$B$29*L800/INDEX(Surface_Engine!$B$12:$B$72,$A800+1)-(M800/INDEX(Surface_Engine!$B$12:$B$72,$A800+1)-(F800/INDEX(Surface_Engine!$B$12:$B$72,$A800+1))))/B800))</f>
        <v>0</v>
      </c>
    </row>
    <row r="801" customFormat="false" ht="15" hidden="false" customHeight="true" outlineLevel="0" collapsed="false">
      <c r="A801" s="1" t="n">
        <v>37</v>
      </c>
      <c r="B801" s="32" t="n">
        <f aca="false">INDEX(Surface_Engine!$O$12:$O$72,$A801+1)*IF($A801&lt;$Q$762,INDEX(Surface_Engine!$E$12:$E$72,$A801+1),INDEX(Surface_Engine!$E$12:$E$72,$Q$762+1))</f>
        <v>0.0219366353793133</v>
      </c>
      <c r="C801" s="32" t="n">
        <f aca="false">INDEX(Panel_Reserving!$E$8:$E$68,$A801+1)*IF($A801&lt;$Q$762,INDEX(Surface_Engine!$E$12:$E$72,$A801+1),INDEX(Surface_Engine!$E$12:$E$72,$Q$762+1))</f>
        <v>0.0486481779537438</v>
      </c>
      <c r="D801" s="32" t="n">
        <f aca="false">INDEX(Surface_Engine!$O$12:$O$72,$A801+1)*IF($A801&lt;$Q$762,INDEX(Surface_Engine!$Y$12:$Y$72,$A801+1),INDEX(Surface_Engine!$Y$12:$Y$72,$Q$762+1))</f>
        <v>0.0206172327587465</v>
      </c>
      <c r="E801" s="32" t="n">
        <f aca="false">INDEX(Surface_Engine!$O$12:$O$72,$A801+1)*IF($A801&lt;$Q$762,INDEX(Surface_Engine!$Z$12:$Z$72,$A801+1),INDEX(Surface_Engine!$Z$12:$Z$72,$Q$762+1))</f>
        <v>0.0233229918850081</v>
      </c>
      <c r="F801" s="48" t="n">
        <f aca="false">B801*(IF($A801&lt;$Q$762,INDEX(Surface_Engine!$D$12:$D$72,$A801+1)+(Surface_Engine!B244*12)*INDEX(Surface_Engine!$F$12:$F$72,$A801+1)-(Surface_Engine!B244*12),1000*12*INDEX(Surface_Engine!$C$12:$C$72,$A801+1)/(1+Assumptions!$B$10)^7+INDEX(Surface_Engine!$D$12:$D$72,$A801+1)))*INDEX(Surface_Engine!$B$12:$B$72,$A801+1)+F802</f>
        <v>493.211894223904</v>
      </c>
      <c r="G801" s="48" t="n">
        <f aca="false">C801*(IF($A801&lt;$Q$762,INDEX(Surface_Engine!$D$12:$D$72,$A801+1)+(Surface_Engine!B244*12)*INDEX(Surface_Engine!$F$12:$F$72,$A801+1)-(Surface_Engine!B244*12),1000*12*INDEX(Surface_Engine!$C$12:$C$72,$A801+1)/(1+Assumptions!$B$10)^7+INDEX(Surface_Engine!$D$12:$D$72,$A801+1)))*INDEX(Surface_Engine!$B$12:$B$72,$A801+1)+G802</f>
        <v>1276.40153419326</v>
      </c>
      <c r="H801" s="48" t="n">
        <f aca="false">D801*(IF($A801&lt;$Q$762,INDEX(Surface_Engine!$D$12:$D$72,$A801+1)+(Surface_Engine!B244*12)*INDEX(Surface_Engine!$F$12:$F$72,$A801+1)-(Surface_Engine!B244*12),1000*12*INDEX(Surface_Engine!$C$12:$C$72,$A801+1)/(1+Assumptions!$B$10)^7+INDEX(Surface_Engine!$D$12:$D$72,$A801+1)))*INDEX(Surface_Engine!$B$12:$B$72,$A801+1)+H802</f>
        <v>463.547132309348</v>
      </c>
      <c r="I801" s="48" t="n">
        <f aca="false">E801*(IF($A801&lt;$Q$762,INDEX(Surface_Engine!$D$12:$D$72,$A801+1)+(Surface_Engine!B244*12)*INDEX(Surface_Engine!$F$12:$F$72,$A801+1)-(Surface_Engine!B244*12),1000*12*INDEX(Surface_Engine!$C$12:$C$72,$A801+1)/(1+Assumptions!$B$10)^7+INDEX(Surface_Engine!$D$12:$D$72,$A801+1)))*INDEX(Surface_Engine!$B$12:$B$72,$A801+1)+I802</f>
        <v>524.382012449424</v>
      </c>
      <c r="J801" s="48" t="n">
        <f aca="false">B801*(IF($A801&lt;$Q$762,INDEX(Surface_Engine!$D$12:$D$72,$A801+1)*(1+Assumptions!$B$24)+(Surface_Engine!B244*12)*INDEX(Surface_Engine!$F$12:$F$72,$A801+1)-(Surface_Engine!B244*12),1000*12*INDEX(Surface_Engine!$C$12:$C$72,$A801+1)/(1+Assumptions!$B$10)^7+INDEX(Surface_Engine!$D$12:$D$72,$A801+1)*(1+Assumptions!$B$24)))*INDEX(Surface_Engine!$B$12:$B$72,$A801+1)+J802</f>
        <v>493.675322757731</v>
      </c>
      <c r="K801" s="12" t="n">
        <f aca="false">SQRT((IF(C801&lt;=0,0,MAX(0,(B801/C801)*G801/INDEX(Surface_Engine!$B$12:$B$72,$A801+1)-F801/INDEX(Surface_Engine!$B$12:$B$72,$A801+1))))^2+(MAX(IF(D801&lt;=0,0,MAX(0,(B801/D801)*H801/INDEX(Surface_Engine!$B$12:$B$72,$A801+1)-F801/INDEX(Surface_Engine!$B$12:$B$72,$A801+1))),IF(E801&lt;=0,0,MAX(0,(B801/E801)*I801/INDEX(Surface_Engine!$B$12:$B$72,$A801+1)-F801/INDEX(Surface_Engine!$B$12:$B$72,$A801+1))),IF($A801&lt;$Q$762,MAX(0,-Assumptions!$B$22*(F801/INDEX(Surface_Engine!$B$12:$B$72,$A801+1))),0)))^2+(MAX(0,J801/INDEX(Surface_Engine!$B$12:$B$72,$A801+1)-(F801/INDEX(Surface_Engine!$B$12:$B$72,$A801+1))))^2+2*Assumptions!$B$26*(IF(C801&lt;=0,0,MAX(0,(B801/C801)*G801/INDEX(Surface_Engine!$B$12:$B$72,$A801+1)-F801/INDEX(Surface_Engine!$B$12:$B$72,$A801+1))))*(MAX(IF(D801&lt;=0,0,MAX(0,(B801/D801)*H801/INDEX(Surface_Engine!$B$12:$B$72,$A801+1)-F801/INDEX(Surface_Engine!$B$12:$B$72,$A801+1))),IF(E801&lt;=0,0,MAX(0,(B801/E801)*I801/INDEX(Surface_Engine!$B$12:$B$72,$A801+1)-F801/INDEX(Surface_Engine!$B$12:$B$72,$A801+1))),IF($A801&lt;$Q$762,MAX(0,-Assumptions!$B$22*(F801/INDEX(Surface_Engine!$B$12:$B$72,$A801+1))),0)))+2*Assumptions!$B$27*(IF(C801&lt;=0,0,MAX(0,(B801/C801)*G801/INDEX(Surface_Engine!$B$12:$B$72,$A801+1)-F801/INDEX(Surface_Engine!$B$12:$B$72,$A801+1))))*(MAX(0,J801/INDEX(Surface_Engine!$B$12:$B$72,$A801+1)-(F801/INDEX(Surface_Engine!$B$12:$B$72,$A801+1))))+2*Assumptions!$B$28*(MAX(IF(D801&lt;=0,0,MAX(0,(B801/D801)*H801/INDEX(Surface_Engine!$B$12:$B$72,$A801+1)-F801/INDEX(Surface_Engine!$B$12:$B$72,$A801+1))),IF(E801&lt;=0,0,MAX(0,(B801/E801)*I801/INDEX(Surface_Engine!$B$12:$B$72,$A801+1)-F801/INDEX(Surface_Engine!$B$12:$B$72,$A801+1))),IF($A801&lt;$Q$762,MAX(0,-Assumptions!$B$22*(F801/INDEX(Surface_Engine!$B$12:$B$72,$A801+1))),0)))*(MAX(0,J801/INDEX(Surface_Engine!$B$12:$B$72,$A801+1)-(F801/INDEX(Surface_Engine!$B$12:$B$72,$A801+1)))))</f>
        <v>264.117786244655</v>
      </c>
      <c r="L801" s="48" t="n">
        <f aca="false">K801*INDEX(Surface_Engine!$B$12:$B$72,$A801+1)+L802</f>
        <v>259.824261266773</v>
      </c>
      <c r="M801" s="48" t="n">
        <f aca="false">M800+B800*(IF($A800&lt;$Q$762,(Surface_Engine!B244*12)-(Surface_Engine!B244*12)*INDEX(Surface_Engine!$F$12:$F$72,$A800+1)-INDEX(Surface_Engine!$D$12:$D$72,$A800+1),-(1000*12*INDEX(Surface_Engine!$C$12:$C$72,$A800+1)/(1+Assumptions!$B$10)^7+INDEX(Surface_Engine!$D$12:$D$72,$A800+1))))*INDEX(Surface_Engine!$B$12:$B$72,$A800+1)</f>
        <v>5130.1219266575</v>
      </c>
      <c r="N801" s="12" t="n">
        <f aca="false">IF(B801&lt;=0,0,MAX(0,(K801+Assumptions!$B$29*L801/INDEX(Surface_Engine!$B$12:$B$72,$A801+1)-(M801/INDEX(Surface_Engine!$B$12:$B$72,$A801+1)-(F801/INDEX(Surface_Engine!$B$12:$B$72,$A801+1))))/B801))</f>
        <v>0</v>
      </c>
    </row>
    <row r="802" customFormat="false" ht="15" hidden="false" customHeight="true" outlineLevel="0" collapsed="false">
      <c r="A802" s="1" t="n">
        <v>38</v>
      </c>
      <c r="B802" s="32" t="n">
        <f aca="false">INDEX(Surface_Engine!$O$12:$O$72,$A802+1)*IF($A802&lt;$Q$762,INDEX(Surface_Engine!$E$12:$E$72,$A802+1),INDEX(Surface_Engine!$E$12:$E$72,$Q$762+1))</f>
        <v>0.0192356456219118</v>
      </c>
      <c r="C802" s="32" t="n">
        <f aca="false">INDEX(Panel_Reserving!$E$8:$E$68,$A802+1)*IF($A802&lt;$Q$762,INDEX(Surface_Engine!$E$12:$E$72,$A802+1),INDEX(Surface_Engine!$E$12:$E$72,$Q$762+1))</f>
        <v>0.0438562587520154</v>
      </c>
      <c r="D802" s="32" t="n">
        <f aca="false">INDEX(Surface_Engine!$O$12:$O$72,$A802+1)*IF($A802&lt;$Q$762,INDEX(Surface_Engine!$Y$12:$Y$72,$A802+1),INDEX(Surface_Engine!$Y$12:$Y$72,$Q$762+1))</f>
        <v>0.0180786969466479</v>
      </c>
      <c r="E802" s="32" t="n">
        <f aca="false">INDEX(Surface_Engine!$O$12:$O$72,$A802+1)*IF($A802&lt;$Q$762,INDEX(Surface_Engine!$Z$12:$Z$72,$A802+1),INDEX(Surface_Engine!$Z$12:$Z$72,$Q$762+1))</f>
        <v>0.0204513043584528</v>
      </c>
      <c r="F802" s="48" t="n">
        <f aca="false">B802*(IF($A802&lt;$Q$762,INDEX(Surface_Engine!$D$12:$D$72,$A802+1)+(Surface_Engine!B244*12)*INDEX(Surface_Engine!$F$12:$F$72,$A802+1)-(Surface_Engine!B244*12),1000*12*INDEX(Surface_Engine!$C$12:$C$72,$A802+1)/(1+Assumptions!$B$10)^7+INDEX(Surface_Engine!$D$12:$D$72,$A802+1)))*INDEX(Surface_Engine!$B$12:$B$72,$A802+1)+F803</f>
        <v>342.933555162893</v>
      </c>
      <c r="G802" s="48" t="n">
        <f aca="false">C802*(IF($A802&lt;$Q$762,INDEX(Surface_Engine!$D$12:$D$72,$A802+1)+(Surface_Engine!B244*12)*INDEX(Surface_Engine!$F$12:$F$72,$A802+1)-(Surface_Engine!B244*12),1000*12*INDEX(Surface_Engine!$C$12:$C$72,$A802+1)/(1+Assumptions!$B$10)^7+INDEX(Surface_Engine!$D$12:$D$72,$A802+1)))*INDEX(Surface_Engine!$B$12:$B$72,$A802+1)+G803</f>
        <v>943.134045591643</v>
      </c>
      <c r="H802" s="48" t="n">
        <f aca="false">D802*(IF($A802&lt;$Q$762,INDEX(Surface_Engine!$D$12:$D$72,$A802+1)+(Surface_Engine!B244*12)*INDEX(Surface_Engine!$F$12:$F$72,$A802+1)-(Surface_Engine!B244*12),1000*12*INDEX(Surface_Engine!$C$12:$C$72,$A802+1)/(1+Assumptions!$B$10)^7+INDEX(Surface_Engine!$D$12:$D$72,$A802+1)))*INDEX(Surface_Engine!$B$12:$B$72,$A802+1)+H803</f>
        <v>322.307446211431</v>
      </c>
      <c r="I802" s="48" t="n">
        <f aca="false">E802*(IF($A802&lt;$Q$762,INDEX(Surface_Engine!$D$12:$D$72,$A802+1)+(Surface_Engine!B244*12)*INDEX(Surface_Engine!$F$12:$F$72,$A802+1)-(Surface_Engine!B244*12),1000*12*INDEX(Surface_Engine!$C$12:$C$72,$A802+1)/(1+Assumptions!$B$10)^7+INDEX(Surface_Engine!$D$12:$D$72,$A802+1)))*INDEX(Surface_Engine!$B$12:$B$72,$A802+1)+I803</f>
        <v>364.606348506098</v>
      </c>
      <c r="J802" s="48" t="n">
        <f aca="false">B802*(IF($A802&lt;$Q$762,INDEX(Surface_Engine!$D$12:$D$72,$A802+1)*(1+Assumptions!$B$24)+(Surface_Engine!B244*12)*INDEX(Surface_Engine!$F$12:$F$72,$A802+1)-(Surface_Engine!B244*12),1000*12*INDEX(Surface_Engine!$C$12:$C$72,$A802+1)/(1+Assumptions!$B$10)^7+INDEX(Surface_Engine!$D$12:$D$72,$A802+1)*(1+Assumptions!$B$24)))*INDEX(Surface_Engine!$B$12:$B$72,$A802+1)+J803</f>
        <v>343.256947300366</v>
      </c>
      <c r="K802" s="12" t="n">
        <f aca="false">SQRT((IF(C802&lt;=0,0,MAX(0,(B802/C802)*G802/INDEX(Surface_Engine!$B$12:$B$72,$A802+1)-F802/INDEX(Surface_Engine!$B$12:$B$72,$A802+1))))^2+(MAX(IF(D802&lt;=0,0,MAX(0,(B802/D802)*H802/INDEX(Surface_Engine!$B$12:$B$72,$A802+1)-F802/INDEX(Surface_Engine!$B$12:$B$72,$A802+1))),IF(E802&lt;=0,0,MAX(0,(B802/E802)*I802/INDEX(Surface_Engine!$B$12:$B$72,$A802+1)-F802/INDEX(Surface_Engine!$B$12:$B$72,$A802+1))),IF($A802&lt;$Q$762,MAX(0,-Assumptions!$B$22*(F802/INDEX(Surface_Engine!$B$12:$B$72,$A802+1))),0)))^2+(MAX(0,J802/INDEX(Surface_Engine!$B$12:$B$72,$A802+1)-(F802/INDEX(Surface_Engine!$B$12:$B$72,$A802+1))))^2+2*Assumptions!$B$26*(IF(C802&lt;=0,0,MAX(0,(B802/C802)*G802/INDEX(Surface_Engine!$B$12:$B$72,$A802+1)-F802/INDEX(Surface_Engine!$B$12:$B$72,$A802+1))))*(MAX(IF(D802&lt;=0,0,MAX(0,(B802/D802)*H802/INDEX(Surface_Engine!$B$12:$B$72,$A802+1)-F802/INDEX(Surface_Engine!$B$12:$B$72,$A802+1))),IF(E802&lt;=0,0,MAX(0,(B802/E802)*I802/INDEX(Surface_Engine!$B$12:$B$72,$A802+1)-F802/INDEX(Surface_Engine!$B$12:$B$72,$A802+1))),IF($A802&lt;$Q$762,MAX(0,-Assumptions!$B$22*(F802/INDEX(Surface_Engine!$B$12:$B$72,$A802+1))),0)))+2*Assumptions!$B$27*(IF(C802&lt;=0,0,MAX(0,(B802/C802)*G802/INDEX(Surface_Engine!$B$12:$B$72,$A802+1)-F802/INDEX(Surface_Engine!$B$12:$B$72,$A802+1))))*(MAX(0,J802/INDEX(Surface_Engine!$B$12:$B$72,$A802+1)-(F802/INDEX(Surface_Engine!$B$12:$B$72,$A802+1))))+2*Assumptions!$B$28*(MAX(IF(D802&lt;=0,0,MAX(0,(B802/D802)*H802/INDEX(Surface_Engine!$B$12:$B$72,$A802+1)-F802/INDEX(Surface_Engine!$B$12:$B$72,$A802+1))),IF(E802&lt;=0,0,MAX(0,(B802/E802)*I802/INDEX(Surface_Engine!$B$12:$B$72,$A802+1)-F802/INDEX(Surface_Engine!$B$12:$B$72,$A802+1))),IF($A802&lt;$Q$762,MAX(0,-Assumptions!$B$22*(F802/INDEX(Surface_Engine!$B$12:$B$72,$A802+1))),0)))*(MAX(0,J802/INDEX(Surface_Engine!$B$12:$B$72,$A802+1)-(F802/INDEX(Surface_Engine!$B$12:$B$72,$A802+1)))))</f>
        <v>234.21817262808</v>
      </c>
      <c r="L802" s="48" t="n">
        <f aca="false">K802*INDEX(Surface_Engine!$B$12:$B$72,$A802+1)+L803</f>
        <v>177.358877153147</v>
      </c>
      <c r="M802" s="48" t="n">
        <f aca="false">M801+B801*(IF($A801&lt;$Q$762,(Surface_Engine!B244*12)-(Surface_Engine!B244*12)*INDEX(Surface_Engine!$F$12:$F$72,$A801+1)-INDEX(Surface_Engine!$D$12:$D$72,$A801+1),-(1000*12*INDEX(Surface_Engine!$C$12:$C$72,$A801+1)/(1+Assumptions!$B$10)^7+INDEX(Surface_Engine!$D$12:$D$72,$A801+1))))*INDEX(Surface_Engine!$B$12:$B$72,$A801+1)</f>
        <v>4979.84358759649</v>
      </c>
      <c r="N802" s="12" t="n">
        <f aca="false">IF(B802&lt;=0,0,MAX(0,(K802+Assumptions!$B$29*L802/INDEX(Surface_Engine!$B$12:$B$72,$A802+1)-(M802/INDEX(Surface_Engine!$B$12:$B$72,$A802+1)-(F802/INDEX(Surface_Engine!$B$12:$B$72,$A802+1))))/B802))</f>
        <v>0</v>
      </c>
    </row>
    <row r="803" customFormat="false" ht="15" hidden="false" customHeight="true" outlineLevel="0" collapsed="false">
      <c r="A803" s="1" t="n">
        <v>39</v>
      </c>
      <c r="B803" s="32" t="n">
        <f aca="false">INDEX(Surface_Engine!$O$12:$O$72,$A803+1)*IF($A803&lt;$Q$762,INDEX(Surface_Engine!$E$12:$E$72,$A803+1),INDEX(Surface_Engine!$E$12:$E$72,$Q$762+1))</f>
        <v>0.0127634746534642</v>
      </c>
      <c r="C803" s="32" t="n">
        <f aca="false">INDEX(Panel_Reserving!$E$8:$E$68,$A803+1)*IF($A803&lt;$Q$762,INDEX(Surface_Engine!$E$12:$E$72,$A803+1),INDEX(Surface_Engine!$E$12:$E$72,$Q$762+1))</f>
        <v>0.0320512916504719</v>
      </c>
      <c r="D803" s="32" t="n">
        <f aca="false">INDEX(Surface_Engine!$O$12:$O$72,$A803+1)*IF($A803&lt;$Q$762,INDEX(Surface_Engine!$Y$12:$Y$72,$A803+1),INDEX(Surface_Engine!$Y$12:$Y$72,$Q$762+1))</f>
        <v>0.0119958016893049</v>
      </c>
      <c r="E803" s="32" t="n">
        <f aca="false">INDEX(Surface_Engine!$O$12:$O$72,$A803+1)*IF($A803&lt;$Q$762,INDEX(Surface_Engine!$Z$12:$Z$72,$A803+1),INDEX(Surface_Engine!$Z$12:$Z$72,$Q$762+1))</f>
        <v>0.0135701036471606</v>
      </c>
      <c r="F803" s="48" t="n">
        <f aca="false">B803*(IF($A803&lt;$Q$762,INDEX(Surface_Engine!$D$12:$D$72,$A803+1)+(Surface_Engine!B244*12)*INDEX(Surface_Engine!$F$12:$F$72,$A803+1)-(Surface_Engine!B244*12),1000*12*INDEX(Surface_Engine!$C$12:$C$72,$A803+1)/(1+Assumptions!$B$10)^7+INDEX(Surface_Engine!$D$12:$D$72,$A803+1)))*INDEX(Surface_Engine!$B$12:$B$72,$A803+1)+F804</f>
        <v>212.775681780522</v>
      </c>
      <c r="G803" s="48" t="n">
        <f aca="false">C803*(IF($A803&lt;$Q$762,INDEX(Surface_Engine!$D$12:$D$72,$A803+1)+(Surface_Engine!B244*12)*INDEX(Surface_Engine!$F$12:$F$72,$A803+1)-(Surface_Engine!B244*12),1000*12*INDEX(Surface_Engine!$C$12:$C$72,$A803+1)/(1+Assumptions!$B$10)^7+INDEX(Surface_Engine!$D$12:$D$72,$A803+1)))*INDEX(Surface_Engine!$B$12:$B$72,$A803+1)+G804</f>
        <v>646.38095053738</v>
      </c>
      <c r="H803" s="48" t="n">
        <f aca="false">D803*(IF($A803&lt;$Q$762,INDEX(Surface_Engine!$D$12:$D$72,$A803+1)+(Surface_Engine!B244*12)*INDEX(Surface_Engine!$F$12:$F$72,$A803+1)-(Surface_Engine!B244*12),1000*12*INDEX(Surface_Engine!$C$12:$C$72,$A803+1)/(1+Assumptions!$B$10)^7+INDEX(Surface_Engine!$D$12:$D$72,$A803+1)))*INDEX(Surface_Engine!$B$12:$B$72,$A803+1)+H804</f>
        <v>199.978058659209</v>
      </c>
      <c r="I803" s="48" t="n">
        <f aca="false">E803*(IF($A803&lt;$Q$762,INDEX(Surface_Engine!$D$12:$D$72,$A803+1)+(Surface_Engine!B244*12)*INDEX(Surface_Engine!$F$12:$F$72,$A803+1)-(Surface_Engine!B244*12),1000*12*INDEX(Surface_Engine!$C$12:$C$72,$A803+1)/(1+Assumptions!$B$10)^7+INDEX(Surface_Engine!$D$12:$D$72,$A803+1)))*INDEX(Surface_Engine!$B$12:$B$72,$A803+1)+I804</f>
        <v>226.222728038502</v>
      </c>
      <c r="J803" s="48" t="n">
        <f aca="false">B803*(IF($A803&lt;$Q$762,INDEX(Surface_Engine!$D$12:$D$72,$A803+1)*(1+Assumptions!$B$24)+(Surface_Engine!B244*12)*INDEX(Surface_Engine!$F$12:$F$72,$A803+1)-(Surface_Engine!B244*12),1000*12*INDEX(Surface_Engine!$C$12:$C$72,$A803+1)/(1+Assumptions!$B$10)^7+INDEX(Surface_Engine!$D$12:$D$72,$A803+1)*(1+Assumptions!$B$24)))*INDEX(Surface_Engine!$B$12:$B$72,$A803+1)+J804</f>
        <v>212.977197736171</v>
      </c>
      <c r="K803" s="12" t="n">
        <f aca="false">SQRT((IF(C803&lt;=0,0,MAX(0,(B803/C803)*G803/INDEX(Surface_Engine!$B$12:$B$72,$A803+1)-F803/INDEX(Surface_Engine!$B$12:$B$72,$A803+1))))^2+(MAX(IF(D803&lt;=0,0,MAX(0,(B803/D803)*H803/INDEX(Surface_Engine!$B$12:$B$72,$A803+1)-F803/INDEX(Surface_Engine!$B$12:$B$72,$A803+1))),IF(E803&lt;=0,0,MAX(0,(B803/E803)*I803/INDEX(Surface_Engine!$B$12:$B$72,$A803+1)-F803/INDEX(Surface_Engine!$B$12:$B$72,$A803+1))),IF($A803&lt;$Q$762,MAX(0,-Assumptions!$B$22*(F803/INDEX(Surface_Engine!$B$12:$B$72,$A803+1))),0)))^2+(MAX(0,J803/INDEX(Surface_Engine!$B$12:$B$72,$A803+1)-(F803/INDEX(Surface_Engine!$B$12:$B$72,$A803+1))))^2+2*Assumptions!$B$26*(IF(C803&lt;=0,0,MAX(0,(B803/C803)*G803/INDEX(Surface_Engine!$B$12:$B$72,$A803+1)-F803/INDEX(Surface_Engine!$B$12:$B$72,$A803+1))))*(MAX(IF(D803&lt;=0,0,MAX(0,(B803/D803)*H803/INDEX(Surface_Engine!$B$12:$B$72,$A803+1)-F803/INDEX(Surface_Engine!$B$12:$B$72,$A803+1))),IF(E803&lt;=0,0,MAX(0,(B803/E803)*I803/INDEX(Surface_Engine!$B$12:$B$72,$A803+1)-F803/INDEX(Surface_Engine!$B$12:$B$72,$A803+1))),IF($A803&lt;$Q$762,MAX(0,-Assumptions!$B$22*(F803/INDEX(Surface_Engine!$B$12:$B$72,$A803+1))),0)))+2*Assumptions!$B$27*(IF(C803&lt;=0,0,MAX(0,(B803/C803)*G803/INDEX(Surface_Engine!$B$12:$B$72,$A803+1)-F803/INDEX(Surface_Engine!$B$12:$B$72,$A803+1))))*(MAX(0,J803/INDEX(Surface_Engine!$B$12:$B$72,$A803+1)-(F803/INDEX(Surface_Engine!$B$12:$B$72,$A803+1))))+2*Assumptions!$B$28*(MAX(IF(D803&lt;=0,0,MAX(0,(B803/D803)*H803/INDEX(Surface_Engine!$B$12:$B$72,$A803+1)-F803/INDEX(Surface_Engine!$B$12:$B$72,$A803+1))),IF(E803&lt;=0,0,MAX(0,(B803/E803)*I803/INDEX(Surface_Engine!$B$12:$B$72,$A803+1)-F803/INDEX(Surface_Engine!$B$12:$B$72,$A803+1))),IF($A803&lt;$Q$762,MAX(0,-Assumptions!$B$22*(F803/INDEX(Surface_Engine!$B$12:$B$72,$A803+1))),0)))*(MAX(0,J803/INDEX(Surface_Engine!$B$12:$B$72,$A803+1)-(F803/INDEX(Surface_Engine!$B$12:$B$72,$A803+1)))))</f>
        <v>152.556025166578</v>
      </c>
      <c r="L803" s="48" t="n">
        <f aca="false">K803*INDEX(Surface_Engine!$B$12:$B$72,$A803+1)+L804</f>
        <v>106.546051638857</v>
      </c>
      <c r="M803" s="48" t="n">
        <f aca="false">M802+B802*(IF($A802&lt;$Q$762,(Surface_Engine!B244*12)-(Surface_Engine!B244*12)*INDEX(Surface_Engine!$F$12:$F$72,$A802+1)-INDEX(Surface_Engine!$D$12:$D$72,$A802+1),-(1000*12*INDEX(Surface_Engine!$C$12:$C$72,$A802+1)/(1+Assumptions!$B$10)^7+INDEX(Surface_Engine!$D$12:$D$72,$A802+1))))*INDEX(Surface_Engine!$B$12:$B$72,$A802+1)</f>
        <v>4849.68571421412</v>
      </c>
      <c r="N803" s="12" t="n">
        <f aca="false">IF(B803&lt;=0,0,MAX(0,(K803+Assumptions!$B$29*L803/INDEX(Surface_Engine!$B$12:$B$72,$A803+1)-(M803/INDEX(Surface_Engine!$B$12:$B$72,$A803+1)-(F803/INDEX(Surface_Engine!$B$12:$B$72,$A803+1))))/B803))</f>
        <v>0</v>
      </c>
    </row>
    <row r="804" customFormat="false" ht="15" hidden="false" customHeight="true" outlineLevel="0" collapsed="false">
      <c r="A804" s="1" t="n">
        <v>40</v>
      </c>
      <c r="B804" s="32" t="n">
        <f aca="false">INDEX(Surface_Engine!$O$12:$O$72,$A804+1)*IF($A804&lt;$Q$762,INDEX(Surface_Engine!$E$12:$E$72,$A804+1),INDEX(Surface_Engine!$E$12:$E$72,$Q$762+1))</f>
        <v>0.00816645581906359</v>
      </c>
      <c r="C804" s="32" t="n">
        <f aca="false">INDEX(Panel_Reserving!$E$8:$E$68,$A804+1)*IF($A804&lt;$Q$762,INDEX(Surface_Engine!$E$12:$E$72,$A804+1),INDEX(Surface_Engine!$E$12:$E$72,$Q$762+1))</f>
        <v>0.0228161643589176</v>
      </c>
      <c r="D804" s="32" t="n">
        <f aca="false">INDEX(Surface_Engine!$O$12:$O$72,$A804+1)*IF($A804&lt;$Q$762,INDEX(Surface_Engine!$Y$12:$Y$72,$A804+1),INDEX(Surface_Engine!$Y$12:$Y$72,$Q$762+1))</f>
        <v>0.00767527551624575</v>
      </c>
      <c r="E804" s="32" t="n">
        <f aca="false">INDEX(Surface_Engine!$O$12:$O$72,$A804+1)*IF($A804&lt;$Q$762,INDEX(Surface_Engine!$Z$12:$Z$72,$A804+1),INDEX(Surface_Engine!$Z$12:$Z$72,$Q$762+1))</f>
        <v>0.00868256136385028</v>
      </c>
      <c r="F804" s="48" t="n">
        <f aca="false">B804*(IF($A804&lt;$Q$762,INDEX(Surface_Engine!$D$12:$D$72,$A804+1)+(Surface_Engine!B244*12)*INDEX(Surface_Engine!$F$12:$F$72,$A804+1)-(Surface_Engine!B244*12),1000*12*INDEX(Surface_Engine!$C$12:$C$72,$A804+1)/(1+Assumptions!$B$10)^7+INDEX(Surface_Engine!$D$12:$D$72,$A804+1)))*INDEX(Surface_Engine!$B$12:$B$72,$A804+1)+F805</f>
        <v>127.442626264204</v>
      </c>
      <c r="G804" s="48" t="n">
        <f aca="false">C804*(IF($A804&lt;$Q$762,INDEX(Surface_Engine!$D$12:$D$72,$A804+1)+(Surface_Engine!B244*12)*INDEX(Surface_Engine!$F$12:$F$72,$A804+1)-(Surface_Engine!B244*12),1000*12*INDEX(Surface_Engine!$C$12:$C$72,$A804+1)/(1+Assumptions!$B$10)^7+INDEX(Surface_Engine!$D$12:$D$72,$A804+1)))*INDEX(Surface_Engine!$B$12:$B$72,$A804+1)+G805</f>
        <v>432.094894111743</v>
      </c>
      <c r="H804" s="48" t="n">
        <f aca="false">D804*(IF($A804&lt;$Q$762,INDEX(Surface_Engine!$D$12:$D$72,$A804+1)+(Surface_Engine!B244*12)*INDEX(Surface_Engine!$F$12:$F$72,$A804+1)-(Surface_Engine!B244*12),1000*12*INDEX(Surface_Engine!$C$12:$C$72,$A804+1)/(1+Assumptions!$B$10)^7+INDEX(Surface_Engine!$D$12:$D$72,$A804+1)))*INDEX(Surface_Engine!$B$12:$B$72,$A804+1)+H805</f>
        <v>119.777451903715</v>
      </c>
      <c r="I804" s="48" t="n">
        <f aca="false">E804*(IF($A804&lt;$Q$762,INDEX(Surface_Engine!$D$12:$D$72,$A804+1)+(Surface_Engine!B244*12)*INDEX(Surface_Engine!$F$12:$F$72,$A804+1)-(Surface_Engine!B244*12),1000*12*INDEX(Surface_Engine!$C$12:$C$72,$A804+1)/(1+Assumptions!$B$10)^7+INDEX(Surface_Engine!$D$12:$D$72,$A804+1)))*INDEX(Surface_Engine!$B$12:$B$72,$A804+1)+I805</f>
        <v>135.496774540326</v>
      </c>
      <c r="J804" s="48" t="n">
        <f aca="false">B804*(IF($A804&lt;$Q$762,INDEX(Surface_Engine!$D$12:$D$72,$A804+1)*(1+Assumptions!$B$24)+(Surface_Engine!B244*12)*INDEX(Surface_Engine!$F$12:$F$72,$A804+1)-(Surface_Engine!B244*12),1000*12*INDEX(Surface_Engine!$C$12:$C$72,$A804+1)/(1+Assumptions!$B$10)^7+INDEX(Surface_Engine!$D$12:$D$72,$A804+1)*(1+Assumptions!$B$24)))*INDEX(Surface_Engine!$B$12:$B$72,$A804+1)+J805</f>
        <v>127.563850741885</v>
      </c>
      <c r="K804" s="12" t="n">
        <f aca="false">SQRT((IF(C804&lt;=0,0,MAX(0,(B804/C804)*G804/INDEX(Surface_Engine!$B$12:$B$72,$A804+1)-F804/INDEX(Surface_Engine!$B$12:$B$72,$A804+1))))^2+(MAX(IF(D804&lt;=0,0,MAX(0,(B804/D804)*H804/INDEX(Surface_Engine!$B$12:$B$72,$A804+1)-F804/INDEX(Surface_Engine!$B$12:$B$72,$A804+1))),IF(E804&lt;=0,0,MAX(0,(B804/E804)*I804/INDEX(Surface_Engine!$B$12:$B$72,$A804+1)-F804/INDEX(Surface_Engine!$B$12:$B$72,$A804+1))),IF($A804&lt;$Q$762,MAX(0,-Assumptions!$B$22*(F804/INDEX(Surface_Engine!$B$12:$B$72,$A804+1))),0)))^2+(MAX(0,J804/INDEX(Surface_Engine!$B$12:$B$72,$A804+1)-(F804/INDEX(Surface_Engine!$B$12:$B$72,$A804+1))))^2+2*Assumptions!$B$26*(IF(C804&lt;=0,0,MAX(0,(B804/C804)*G804/INDEX(Surface_Engine!$B$12:$B$72,$A804+1)-F804/INDEX(Surface_Engine!$B$12:$B$72,$A804+1))))*(MAX(IF(D804&lt;=0,0,MAX(0,(B804/D804)*H804/INDEX(Surface_Engine!$B$12:$B$72,$A804+1)-F804/INDEX(Surface_Engine!$B$12:$B$72,$A804+1))),IF(E804&lt;=0,0,MAX(0,(B804/E804)*I804/INDEX(Surface_Engine!$B$12:$B$72,$A804+1)-F804/INDEX(Surface_Engine!$B$12:$B$72,$A804+1))),IF($A804&lt;$Q$762,MAX(0,-Assumptions!$B$22*(F804/INDEX(Surface_Engine!$B$12:$B$72,$A804+1))),0)))+2*Assumptions!$B$27*(IF(C804&lt;=0,0,MAX(0,(B804/C804)*G804/INDEX(Surface_Engine!$B$12:$B$72,$A804+1)-F804/INDEX(Surface_Engine!$B$12:$B$72,$A804+1))))*(MAX(0,J804/INDEX(Surface_Engine!$B$12:$B$72,$A804+1)-(F804/INDEX(Surface_Engine!$B$12:$B$72,$A804+1))))+2*Assumptions!$B$28*(MAX(IF(D804&lt;=0,0,MAX(0,(B804/D804)*H804/INDEX(Surface_Engine!$B$12:$B$72,$A804+1)-F804/INDEX(Surface_Engine!$B$12:$B$72,$A804+1))),IF(E804&lt;=0,0,MAX(0,(B804/E804)*I804/INDEX(Surface_Engine!$B$12:$B$72,$A804+1)-F804/INDEX(Surface_Engine!$B$12:$B$72,$A804+1))),IF($A804&lt;$Q$762,MAX(0,-Assumptions!$B$22*(F804/INDEX(Surface_Engine!$B$12:$B$72,$A804+1))),0)))*(MAX(0,J804/INDEX(Surface_Engine!$B$12:$B$72,$A804+1)-(F804/INDEX(Surface_Engine!$B$12:$B$72,$A804+1)))))</f>
        <v>96.0826532394067</v>
      </c>
      <c r="L804" s="48" t="n">
        <f aca="false">K804*INDEX(Surface_Engine!$B$12:$B$72,$A804+1)+L805</f>
        <v>61.8689188405792</v>
      </c>
      <c r="M804" s="48" t="n">
        <f aca="false">M803+B803*(IF($A803&lt;$Q$762,(Surface_Engine!B244*12)-(Surface_Engine!B244*12)*INDEX(Surface_Engine!$F$12:$F$72,$A803+1)-INDEX(Surface_Engine!$D$12:$D$72,$A803+1),-(1000*12*INDEX(Surface_Engine!$C$12:$C$72,$A803+1)/(1+Assumptions!$B$10)^7+INDEX(Surface_Engine!$D$12:$D$72,$A803+1))))*INDEX(Surface_Engine!$B$12:$B$72,$A803+1)</f>
        <v>4764.3526586978</v>
      </c>
      <c r="N804" s="12" t="n">
        <f aca="false">IF(B804&lt;=0,0,MAX(0,(K804+Assumptions!$B$29*L804/INDEX(Surface_Engine!$B$12:$B$72,$A804+1)-(M804/INDEX(Surface_Engine!$B$12:$B$72,$A804+1)-(F804/INDEX(Surface_Engine!$B$12:$B$72,$A804+1))))/B804))</f>
        <v>0</v>
      </c>
    </row>
    <row r="805" customFormat="false" ht="15" hidden="false" customHeight="true" outlineLevel="0" collapsed="false">
      <c r="A805" s="1" t="n">
        <v>41</v>
      </c>
      <c r="B805" s="32" t="n">
        <f aca="false">INDEX(Surface_Engine!$O$12:$O$72,$A805+1)*IF($A805&lt;$Q$762,INDEX(Surface_Engine!$E$12:$E$72,$A805+1),INDEX(Surface_Engine!$E$12:$E$72,$Q$762+1))</f>
        <v>0.00501932699139741</v>
      </c>
      <c r="C805" s="32" t="n">
        <f aca="false">INDEX(Panel_Reserving!$E$8:$E$68,$A805+1)*IF($A805&lt;$Q$762,INDEX(Surface_Engine!$E$12:$E$72,$A805+1),INDEX(Surface_Engine!$E$12:$E$72,$Q$762+1))</f>
        <v>0.015781983541031</v>
      </c>
      <c r="D805" s="32" t="n">
        <f aca="false">INDEX(Surface_Engine!$O$12:$O$72,$A805+1)*IF($A805&lt;$Q$762,INDEX(Surface_Engine!$Y$12:$Y$72,$A805+1),INDEX(Surface_Engine!$Y$12:$Y$72,$Q$762+1))</f>
        <v>0.00471743414997394</v>
      </c>
      <c r="E805" s="32" t="n">
        <f aca="false">INDEX(Surface_Engine!$O$12:$O$72,$A805+1)*IF($A805&lt;$Q$762,INDEX(Surface_Engine!$Z$12:$Z$72,$A805+1),INDEX(Surface_Engine!$Z$12:$Z$72,$Q$762+1))</f>
        <v>0.005336539567912</v>
      </c>
      <c r="F805" s="48" t="n">
        <f aca="false">B805*(IF($A805&lt;$Q$762,INDEX(Surface_Engine!$D$12:$D$72,$A805+1)+(Surface_Engine!B244*12)*INDEX(Surface_Engine!$F$12:$F$72,$A805+1)-(Surface_Engine!B244*12),1000*12*INDEX(Surface_Engine!$C$12:$C$72,$A805+1)/(1+Assumptions!$B$10)^7+INDEX(Surface_Engine!$D$12:$D$72,$A805+1)))*INDEX(Surface_Engine!$B$12:$B$72,$A805+1)+F806</f>
        <v>73.5176398510793</v>
      </c>
      <c r="G805" s="48" t="n">
        <f aca="false">C805*(IF($A805&lt;$Q$762,INDEX(Surface_Engine!$D$12:$D$72,$A805+1)+(Surface_Engine!B244*12)*INDEX(Surface_Engine!$F$12:$F$72,$A805+1)-(Surface_Engine!B244*12),1000*12*INDEX(Surface_Engine!$C$12:$C$72,$A805+1)/(1+Assumptions!$B$10)^7+INDEX(Surface_Engine!$D$12:$D$72,$A805+1)))*INDEX(Surface_Engine!$B$12:$B$72,$A805+1)+G806</f>
        <v>281.43451214015</v>
      </c>
      <c r="H805" s="48" t="n">
        <f aca="false">D805*(IF($A805&lt;$Q$762,INDEX(Surface_Engine!$D$12:$D$72,$A805+1)+(Surface_Engine!B244*12)*INDEX(Surface_Engine!$F$12:$F$72,$A805+1)-(Surface_Engine!B244*12),1000*12*INDEX(Surface_Engine!$C$12:$C$72,$A805+1)/(1+Assumptions!$B$10)^7+INDEX(Surface_Engine!$D$12:$D$72,$A805+1)))*INDEX(Surface_Engine!$B$12:$B$72,$A805+1)+H806</f>
        <v>69.0958420229186</v>
      </c>
      <c r="I805" s="48" t="n">
        <f aca="false">E805*(IF($A805&lt;$Q$762,INDEX(Surface_Engine!$D$12:$D$72,$A805+1)+(Surface_Engine!B244*12)*INDEX(Surface_Engine!$F$12:$F$72,$A805+1)-(Surface_Engine!B244*12),1000*12*INDEX(Surface_Engine!$C$12:$C$72,$A805+1)/(1+Assumptions!$B$10)^7+INDEX(Surface_Engine!$D$12:$D$72,$A805+1)))*INDEX(Surface_Engine!$B$12:$B$72,$A805+1)+I806</f>
        <v>78.1638244882631</v>
      </c>
      <c r="J805" s="48" t="n">
        <f aca="false">B805*(IF($A805&lt;$Q$762,INDEX(Surface_Engine!$D$12:$D$72,$A805+1)*(1+Assumptions!$B$24)+(Surface_Engine!B244*12)*INDEX(Surface_Engine!$F$12:$F$72,$A805+1)-(Surface_Engine!B244*12),1000*12*INDEX(Surface_Engine!$C$12:$C$72,$A805+1)/(1+Assumptions!$B$10)^7+INDEX(Surface_Engine!$D$12:$D$72,$A805+1)*(1+Assumptions!$B$24)))*INDEX(Surface_Engine!$B$12:$B$72,$A805+1)+J806</f>
        <v>73.5878789250008</v>
      </c>
      <c r="K805" s="12" t="n">
        <f aca="false">SQRT((IF(C805&lt;=0,0,MAX(0,(B805/C805)*G805/INDEX(Surface_Engine!$B$12:$B$72,$A805+1)-F805/INDEX(Surface_Engine!$B$12:$B$72,$A805+1))))^2+(MAX(IF(D805&lt;=0,0,MAX(0,(B805/D805)*H805/INDEX(Surface_Engine!$B$12:$B$72,$A805+1)-F805/INDEX(Surface_Engine!$B$12:$B$72,$A805+1))),IF(E805&lt;=0,0,MAX(0,(B805/E805)*I805/INDEX(Surface_Engine!$B$12:$B$72,$A805+1)-F805/INDEX(Surface_Engine!$B$12:$B$72,$A805+1))),IF($A805&lt;$Q$762,MAX(0,-Assumptions!$B$22*(F805/INDEX(Surface_Engine!$B$12:$B$72,$A805+1))),0)))^2+(MAX(0,J805/INDEX(Surface_Engine!$B$12:$B$72,$A805+1)-(F805/INDEX(Surface_Engine!$B$12:$B$72,$A805+1))))^2+2*Assumptions!$B$26*(IF(C805&lt;=0,0,MAX(0,(B805/C805)*G805/INDEX(Surface_Engine!$B$12:$B$72,$A805+1)-F805/INDEX(Surface_Engine!$B$12:$B$72,$A805+1))))*(MAX(IF(D805&lt;=0,0,MAX(0,(B805/D805)*H805/INDEX(Surface_Engine!$B$12:$B$72,$A805+1)-F805/INDEX(Surface_Engine!$B$12:$B$72,$A805+1))),IF(E805&lt;=0,0,MAX(0,(B805/E805)*I805/INDEX(Surface_Engine!$B$12:$B$72,$A805+1)-F805/INDEX(Surface_Engine!$B$12:$B$72,$A805+1))),IF($A805&lt;$Q$762,MAX(0,-Assumptions!$B$22*(F805/INDEX(Surface_Engine!$B$12:$B$72,$A805+1))),0)))+2*Assumptions!$B$27*(IF(C805&lt;=0,0,MAX(0,(B805/C805)*G805/INDEX(Surface_Engine!$B$12:$B$72,$A805+1)-F805/INDEX(Surface_Engine!$B$12:$B$72,$A805+1))))*(MAX(0,J805/INDEX(Surface_Engine!$B$12:$B$72,$A805+1)-(F805/INDEX(Surface_Engine!$B$12:$B$72,$A805+1))))+2*Assumptions!$B$28*(MAX(IF(D805&lt;=0,0,MAX(0,(B805/D805)*H805/INDEX(Surface_Engine!$B$12:$B$72,$A805+1)-F805/INDEX(Surface_Engine!$B$12:$B$72,$A805+1))),IF(E805&lt;=0,0,MAX(0,(B805/E805)*I805/INDEX(Surface_Engine!$B$12:$B$72,$A805+1)-F805/INDEX(Surface_Engine!$B$12:$B$72,$A805+1))),IF($A805&lt;$Q$762,MAX(0,-Assumptions!$B$22*(F805/INDEX(Surface_Engine!$B$12:$B$72,$A805+1))),0)))*(MAX(0,J805/INDEX(Surface_Engine!$B$12:$B$72,$A805+1)-(F805/INDEX(Surface_Engine!$B$12:$B$72,$A805+1)))))</f>
        <v>58.3069987914308</v>
      </c>
      <c r="L805" s="48" t="n">
        <f aca="false">K805*INDEX(Surface_Engine!$B$12:$B$72,$A805+1)+L806</f>
        <v>34.6237963234276</v>
      </c>
      <c r="M805" s="48" t="n">
        <f aca="false">M804+B804*(IF($A804&lt;$Q$762,(Surface_Engine!B244*12)-(Surface_Engine!B244*12)*INDEX(Surface_Engine!$F$12:$F$72,$A804+1)-INDEX(Surface_Engine!$D$12:$D$72,$A804+1),-(1000*12*INDEX(Surface_Engine!$C$12:$C$72,$A804+1)/(1+Assumptions!$B$10)^7+INDEX(Surface_Engine!$D$12:$D$72,$A804+1))))*INDEX(Surface_Engine!$B$12:$B$72,$A804+1)</f>
        <v>4710.42767228468</v>
      </c>
      <c r="N805" s="12" t="n">
        <f aca="false">IF(B805&lt;=0,0,MAX(0,(K805+Assumptions!$B$29*L805/INDEX(Surface_Engine!$B$12:$B$72,$A805+1)-(M805/INDEX(Surface_Engine!$B$12:$B$72,$A805+1)-(F805/INDEX(Surface_Engine!$B$12:$B$72,$A805+1))))/B805))</f>
        <v>0</v>
      </c>
    </row>
    <row r="806" customFormat="false" ht="15" hidden="false" customHeight="true" outlineLevel="0" collapsed="false">
      <c r="A806" s="1" t="n">
        <v>42</v>
      </c>
      <c r="B806" s="32" t="n">
        <f aca="false">INDEX(Surface_Engine!$O$12:$O$72,$A806+1)*IF($A806&lt;$Q$762,INDEX(Surface_Engine!$E$12:$E$72,$A806+1),INDEX(Surface_Engine!$E$12:$E$72,$Q$762+1))</f>
        <v>0.00295059890710133</v>
      </c>
      <c r="C806" s="32" t="n">
        <f aca="false">INDEX(Panel_Reserving!$E$8:$E$68,$A806+1)*IF($A806&lt;$Q$762,INDEX(Surface_Engine!$E$12:$E$72,$A806+1),INDEX(Surface_Engine!$E$12:$E$72,$Q$762+1))</f>
        <v>0.0105783165740156</v>
      </c>
      <c r="D806" s="32" t="n">
        <f aca="false">INDEX(Surface_Engine!$O$12:$O$72,$A806+1)*IF($A806&lt;$Q$762,INDEX(Surface_Engine!$Y$12:$Y$72,$A806+1),INDEX(Surface_Engine!$Y$12:$Y$72,$Q$762+1))</f>
        <v>0.0027731319499789</v>
      </c>
      <c r="E806" s="32" t="n">
        <f aca="false">INDEX(Surface_Engine!$O$12:$O$72,$A806+1)*IF($A806&lt;$Q$762,INDEX(Surface_Engine!$Z$12:$Z$72,$A806+1),INDEX(Surface_Engine!$Z$12:$Z$72,$Q$762+1))</f>
        <v>0.00313707153245268</v>
      </c>
      <c r="F806" s="48" t="n">
        <f aca="false">B806*(IF($A806&lt;$Q$762,INDEX(Surface_Engine!$D$12:$D$72,$A806+1)+(Surface_Engine!B244*12)*INDEX(Surface_Engine!$F$12:$F$72,$A806+1)-(Surface_Engine!B244*12),1000*12*INDEX(Surface_Engine!$C$12:$C$72,$A806+1)/(1+Assumptions!$B$10)^7+INDEX(Surface_Engine!$D$12:$D$72,$A806+1)))*INDEX(Surface_Engine!$B$12:$B$72,$A806+1)+F807</f>
        <v>40.7840799735659</v>
      </c>
      <c r="G806" s="48" t="n">
        <f aca="false">C806*(IF($A806&lt;$Q$762,INDEX(Surface_Engine!$D$12:$D$72,$A806+1)+(Surface_Engine!B244*12)*INDEX(Surface_Engine!$F$12:$F$72,$A806+1)-(Surface_Engine!B244*12),1000*12*INDEX(Surface_Engine!$C$12:$C$72,$A806+1)/(1+Assumptions!$B$10)^7+INDEX(Surface_Engine!$D$12:$D$72,$A806+1)))*INDEX(Surface_Engine!$B$12:$B$72,$A806+1)+G807</f>
        <v>178.51224704133</v>
      </c>
      <c r="H806" s="48" t="n">
        <f aca="false">D806*(IF($A806&lt;$Q$762,INDEX(Surface_Engine!$D$12:$D$72,$A806+1)+(Surface_Engine!B244*12)*INDEX(Surface_Engine!$F$12:$F$72,$A806+1)-(Surface_Engine!B244*12),1000*12*INDEX(Surface_Engine!$C$12:$C$72,$A806+1)/(1+Assumptions!$B$10)^7+INDEX(Surface_Engine!$D$12:$D$72,$A806+1)))*INDEX(Surface_Engine!$B$12:$B$72,$A806+1)+H807</f>
        <v>38.3310774476966</v>
      </c>
      <c r="I806" s="48" t="n">
        <f aca="false">E806*(IF($A806&lt;$Q$762,INDEX(Surface_Engine!$D$12:$D$72,$A806+1)+(Surface_Engine!B244*12)*INDEX(Surface_Engine!$F$12:$F$72,$A806+1)-(Surface_Engine!B244*12),1000*12*INDEX(Surface_Engine!$C$12:$C$72,$A806+1)/(1+Assumptions!$B$10)^7+INDEX(Surface_Engine!$D$12:$D$72,$A806+1)))*INDEX(Surface_Engine!$B$12:$B$72,$A806+1)+I807</f>
        <v>43.3615615983663</v>
      </c>
      <c r="J806" s="48" t="n">
        <f aca="false">B806*(IF($A806&lt;$Q$762,INDEX(Surface_Engine!$D$12:$D$72,$A806+1)*(1+Assumptions!$B$24)+(Surface_Engine!B244*12)*INDEX(Surface_Engine!$F$12:$F$72,$A806+1)-(Surface_Engine!B244*12),1000*12*INDEX(Surface_Engine!$C$12:$C$72,$A806+1)/(1+Assumptions!$B$10)^7+INDEX(Surface_Engine!$D$12:$D$72,$A806+1)*(1+Assumptions!$B$24)))*INDEX(Surface_Engine!$B$12:$B$72,$A806+1)+J807</f>
        <v>40.8232196036135</v>
      </c>
      <c r="K806" s="12" t="n">
        <f aca="false">SQRT((IF(C806&lt;=0,0,MAX(0,(B806/C806)*G806/INDEX(Surface_Engine!$B$12:$B$72,$A806+1)-F806/INDEX(Surface_Engine!$B$12:$B$72,$A806+1))))^2+(MAX(IF(D806&lt;=0,0,MAX(0,(B806/D806)*H806/INDEX(Surface_Engine!$B$12:$B$72,$A806+1)-F806/INDEX(Surface_Engine!$B$12:$B$72,$A806+1))),IF(E806&lt;=0,0,MAX(0,(B806/E806)*I806/INDEX(Surface_Engine!$B$12:$B$72,$A806+1)-F806/INDEX(Surface_Engine!$B$12:$B$72,$A806+1))),IF($A806&lt;$Q$762,MAX(0,-Assumptions!$B$22*(F806/INDEX(Surface_Engine!$B$12:$B$72,$A806+1))),0)))^2+(MAX(0,J806/INDEX(Surface_Engine!$B$12:$B$72,$A806+1)-(F806/INDEX(Surface_Engine!$B$12:$B$72,$A806+1))))^2+2*Assumptions!$B$26*(IF(C806&lt;=0,0,MAX(0,(B806/C806)*G806/INDEX(Surface_Engine!$B$12:$B$72,$A806+1)-F806/INDEX(Surface_Engine!$B$12:$B$72,$A806+1))))*(MAX(IF(D806&lt;=0,0,MAX(0,(B806/D806)*H806/INDEX(Surface_Engine!$B$12:$B$72,$A806+1)-F806/INDEX(Surface_Engine!$B$12:$B$72,$A806+1))),IF(E806&lt;=0,0,MAX(0,(B806/E806)*I806/INDEX(Surface_Engine!$B$12:$B$72,$A806+1)-F806/INDEX(Surface_Engine!$B$12:$B$72,$A806+1))),IF($A806&lt;$Q$762,MAX(0,-Assumptions!$B$22*(F806/INDEX(Surface_Engine!$B$12:$B$72,$A806+1))),0)))+2*Assumptions!$B$27*(IF(C806&lt;=0,0,MAX(0,(B806/C806)*G806/INDEX(Surface_Engine!$B$12:$B$72,$A806+1)-F806/INDEX(Surface_Engine!$B$12:$B$72,$A806+1))))*(MAX(0,J806/INDEX(Surface_Engine!$B$12:$B$72,$A806+1)-(F806/INDEX(Surface_Engine!$B$12:$B$72,$A806+1))))+2*Assumptions!$B$28*(MAX(IF(D806&lt;=0,0,MAX(0,(B806/D806)*H806/INDEX(Surface_Engine!$B$12:$B$72,$A806+1)-F806/INDEX(Surface_Engine!$B$12:$B$72,$A806+1))),IF(E806&lt;=0,0,MAX(0,(B806/E806)*I806/INDEX(Surface_Engine!$B$12:$B$72,$A806+1)-F806/INDEX(Surface_Engine!$B$12:$B$72,$A806+1))),IF($A806&lt;$Q$762,MAX(0,-Assumptions!$B$22*(F806/INDEX(Surface_Engine!$B$12:$B$72,$A806+1))),0)))*(MAX(0,J806/INDEX(Surface_Engine!$B$12:$B$72,$A806+1)-(F806/INDEX(Surface_Engine!$B$12:$B$72,$A806+1)))))</f>
        <v>33.9129453979582</v>
      </c>
      <c r="L806" s="48" t="n">
        <f aca="false">K806*INDEX(Surface_Engine!$B$12:$B$72,$A806+1)+L807</f>
        <v>18.6158548457801</v>
      </c>
      <c r="M806" s="48" t="n">
        <f aca="false">M805+B805*(IF($A805&lt;$Q$762,(Surface_Engine!B244*12)-(Surface_Engine!B244*12)*INDEX(Surface_Engine!$F$12:$F$72,$A805+1)-INDEX(Surface_Engine!$D$12:$D$72,$A805+1),-(1000*12*INDEX(Surface_Engine!$C$12:$C$72,$A805+1)/(1+Assumptions!$B$10)^7+INDEX(Surface_Engine!$D$12:$D$72,$A805+1))))*INDEX(Surface_Engine!$B$12:$B$72,$A805+1)</f>
        <v>4677.69411240716</v>
      </c>
      <c r="N806" s="12" t="n">
        <f aca="false">IF(B806&lt;=0,0,MAX(0,(K806+Assumptions!$B$29*L806/INDEX(Surface_Engine!$B$12:$B$72,$A806+1)-(M806/INDEX(Surface_Engine!$B$12:$B$72,$A806+1)-(F806/INDEX(Surface_Engine!$B$12:$B$72,$A806+1))))/B806))</f>
        <v>0</v>
      </c>
    </row>
    <row r="807" customFormat="false" ht="15" hidden="false" customHeight="true" outlineLevel="0" collapsed="false">
      <c r="A807" s="1" t="n">
        <v>43</v>
      </c>
      <c r="B807" s="32" t="n">
        <f aca="false">INDEX(Surface_Engine!$O$12:$O$72,$A807+1)*IF($A807&lt;$Q$762,INDEX(Surface_Engine!$E$12:$E$72,$A807+1),INDEX(Surface_Engine!$E$12:$E$72,$Q$762+1))</f>
        <v>0.00165059187376597</v>
      </c>
      <c r="C807" s="32" t="n">
        <f aca="false">INDEX(Panel_Reserving!$E$8:$E$68,$A807+1)*IF($A807&lt;$Q$762,INDEX(Surface_Engine!$E$12:$E$72,$A807+1),INDEX(Surface_Engine!$E$12:$E$72,$Q$762+1))</f>
        <v>0.00684974854290274</v>
      </c>
      <c r="D807" s="32" t="n">
        <f aca="false">INDEX(Surface_Engine!$O$12:$O$72,$A807+1)*IF($A807&lt;$Q$762,INDEX(Surface_Engine!$Y$12:$Y$72,$A807+1),INDEX(Surface_Engine!$Y$12:$Y$72,$Q$762+1))</f>
        <v>0.00155131524332214</v>
      </c>
      <c r="E807" s="32" t="n">
        <f aca="false">INDEX(Surface_Engine!$O$12:$O$72,$A807+1)*IF($A807&lt;$Q$762,INDEX(Surface_Engine!$Z$12:$Z$72,$A807+1),INDEX(Surface_Engine!$Z$12:$Z$72,$Q$762+1))</f>
        <v>0.00175490635695241</v>
      </c>
      <c r="F807" s="48" t="n">
        <f aca="false">B807*(IF($A807&lt;$Q$762,INDEX(Surface_Engine!$D$12:$D$72,$A807+1)+(Surface_Engine!B244*12)*INDEX(Surface_Engine!$F$12:$F$72,$A807+1)-(Surface_Engine!B244*12),1000*12*INDEX(Surface_Engine!$C$12:$C$72,$A807+1)/(1+Assumptions!$B$10)^7+INDEX(Surface_Engine!$D$12:$D$72,$A807+1)))*INDEX(Surface_Engine!$B$12:$B$72,$A807+1)+F808</f>
        <v>21.7728918067949</v>
      </c>
      <c r="G807" s="48" t="n">
        <f aca="false">C807*(IF($A807&lt;$Q$762,INDEX(Surface_Engine!$D$12:$D$72,$A807+1)+(Surface_Engine!B244*12)*INDEX(Surface_Engine!$F$12:$F$72,$A807+1)-(Surface_Engine!B244*12),1000*12*INDEX(Surface_Engine!$C$12:$C$72,$A807+1)/(1+Assumptions!$B$10)^7+INDEX(Surface_Engine!$D$12:$D$72,$A807+1)))*INDEX(Surface_Engine!$B$12:$B$72,$A807+1)+G808</f>
        <v>110.354434607972</v>
      </c>
      <c r="H807" s="48" t="n">
        <f aca="false">D807*(IF($A807&lt;$Q$762,INDEX(Surface_Engine!$D$12:$D$72,$A807+1)+(Surface_Engine!B244*12)*INDEX(Surface_Engine!$F$12:$F$72,$A807+1)-(Surface_Engine!B244*12),1000*12*INDEX(Surface_Engine!$C$12:$C$72,$A807+1)/(1+Assumptions!$B$10)^7+INDEX(Surface_Engine!$D$12:$D$72,$A807+1)))*INDEX(Surface_Engine!$B$12:$B$72,$A807+1)+H808</f>
        <v>20.4633377201963</v>
      </c>
      <c r="I807" s="48" t="n">
        <f aca="false">E807*(IF($A807&lt;$Q$762,INDEX(Surface_Engine!$D$12:$D$72,$A807+1)+(Surface_Engine!B244*12)*INDEX(Surface_Engine!$F$12:$F$72,$A807+1)-(Surface_Engine!B244*12),1000*12*INDEX(Surface_Engine!$C$12:$C$72,$A807+1)/(1+Assumptions!$B$10)^7+INDEX(Surface_Engine!$D$12:$D$72,$A807+1)))*INDEX(Surface_Engine!$B$12:$B$72,$A807+1)+I808</f>
        <v>23.1489000087001</v>
      </c>
      <c r="J807" s="48" t="n">
        <f aca="false">B807*(IF($A807&lt;$Q$762,INDEX(Surface_Engine!$D$12:$D$72,$A807+1)*(1+Assumptions!$B$24)+(Surface_Engine!B244*12)*INDEX(Surface_Engine!$F$12:$F$72,$A807+1)-(Surface_Engine!B244*12),1000*12*INDEX(Surface_Engine!$C$12:$C$72,$A807+1)/(1+Assumptions!$B$10)^7+INDEX(Surface_Engine!$D$12:$D$72,$A807+1)*(1+Assumptions!$B$24)))*INDEX(Surface_Engine!$B$12:$B$72,$A807+1)+J808</f>
        <v>21.79388162561</v>
      </c>
      <c r="K807" s="12" t="n">
        <f aca="false">SQRT((IF(C807&lt;=0,0,MAX(0,(B807/C807)*G807/INDEX(Surface_Engine!$B$12:$B$72,$A807+1)-F807/INDEX(Surface_Engine!$B$12:$B$72,$A807+1))))^2+(MAX(IF(D807&lt;=0,0,MAX(0,(B807/D807)*H807/INDEX(Surface_Engine!$B$12:$B$72,$A807+1)-F807/INDEX(Surface_Engine!$B$12:$B$72,$A807+1))),IF(E807&lt;=0,0,MAX(0,(B807/E807)*I807/INDEX(Surface_Engine!$B$12:$B$72,$A807+1)-F807/INDEX(Surface_Engine!$B$12:$B$72,$A807+1))),IF($A807&lt;$Q$762,MAX(0,-Assumptions!$B$22*(F807/INDEX(Surface_Engine!$B$12:$B$72,$A807+1))),0)))^2+(MAX(0,J807/INDEX(Surface_Engine!$B$12:$B$72,$A807+1)-(F807/INDEX(Surface_Engine!$B$12:$B$72,$A807+1))))^2+2*Assumptions!$B$26*(IF(C807&lt;=0,0,MAX(0,(B807/C807)*G807/INDEX(Surface_Engine!$B$12:$B$72,$A807+1)-F807/INDEX(Surface_Engine!$B$12:$B$72,$A807+1))))*(MAX(IF(D807&lt;=0,0,MAX(0,(B807/D807)*H807/INDEX(Surface_Engine!$B$12:$B$72,$A807+1)-F807/INDEX(Surface_Engine!$B$12:$B$72,$A807+1))),IF(E807&lt;=0,0,MAX(0,(B807/E807)*I807/INDEX(Surface_Engine!$B$12:$B$72,$A807+1)-F807/INDEX(Surface_Engine!$B$12:$B$72,$A807+1))),IF($A807&lt;$Q$762,MAX(0,-Assumptions!$B$22*(F807/INDEX(Surface_Engine!$B$12:$B$72,$A807+1))),0)))+2*Assumptions!$B$27*(IF(C807&lt;=0,0,MAX(0,(B807/C807)*G807/INDEX(Surface_Engine!$B$12:$B$72,$A807+1)-F807/INDEX(Surface_Engine!$B$12:$B$72,$A807+1))))*(MAX(0,J807/INDEX(Surface_Engine!$B$12:$B$72,$A807+1)-(F807/INDEX(Surface_Engine!$B$12:$B$72,$A807+1))))+2*Assumptions!$B$28*(MAX(IF(D807&lt;=0,0,MAX(0,(B807/D807)*H807/INDEX(Surface_Engine!$B$12:$B$72,$A807+1)-F807/INDEX(Surface_Engine!$B$12:$B$72,$A807+1))),IF(E807&lt;=0,0,MAX(0,(B807/E807)*I807/INDEX(Surface_Engine!$B$12:$B$72,$A807+1)-F807/INDEX(Surface_Engine!$B$12:$B$72,$A807+1))),IF($A807&lt;$Q$762,MAX(0,-Assumptions!$B$22*(F807/INDEX(Surface_Engine!$B$12:$B$72,$A807+1))),0)))*(MAX(0,J807/INDEX(Surface_Engine!$B$12:$B$72,$A807+1)-(F807/INDEX(Surface_Engine!$B$12:$B$72,$A807+1)))))</f>
        <v>18.7403261150889</v>
      </c>
      <c r="L807" s="48" t="n">
        <f aca="false">K807*INDEX(Surface_Engine!$B$12:$B$72,$A807+1)+L808</f>
        <v>9.59783374618421</v>
      </c>
      <c r="M807" s="48" t="n">
        <f aca="false">M806+B806*(IF($A806&lt;$Q$762,(Surface_Engine!B244*12)-(Surface_Engine!B244*12)*INDEX(Surface_Engine!$F$12:$F$72,$A806+1)-INDEX(Surface_Engine!$D$12:$D$72,$A806+1),-(1000*12*INDEX(Surface_Engine!$C$12:$C$72,$A806+1)/(1+Assumptions!$B$10)^7+INDEX(Surface_Engine!$D$12:$D$72,$A806+1))))*INDEX(Surface_Engine!$B$12:$B$72,$A806+1)</f>
        <v>4658.68292424039</v>
      </c>
      <c r="N807" s="12" t="n">
        <f aca="false">IF(B807&lt;=0,0,MAX(0,(K807+Assumptions!$B$29*L807/INDEX(Surface_Engine!$B$12:$B$72,$A807+1)-(M807/INDEX(Surface_Engine!$B$12:$B$72,$A807+1)-(F807/INDEX(Surface_Engine!$B$12:$B$72,$A807+1))))/B807))</f>
        <v>0</v>
      </c>
    </row>
    <row r="808" customFormat="false" ht="15" hidden="false" customHeight="true" outlineLevel="0" collapsed="false">
      <c r="A808" s="1" t="n">
        <v>44</v>
      </c>
      <c r="B808" s="32" t="n">
        <f aca="false">INDEX(Surface_Engine!$O$12:$O$72,$A808+1)*IF($A808&lt;$Q$762,INDEX(Surface_Engine!$E$12:$E$72,$A808+1),INDEX(Surface_Engine!$E$12:$E$72,$Q$762+1))</f>
        <v>0.000894227725467796</v>
      </c>
      <c r="C808" s="32" t="n">
        <f aca="false">INDEX(Panel_Reserving!$E$8:$E$68,$A808+1)*IF($A808&lt;$Q$762,INDEX(Surface_Engine!$E$12:$E$72,$A808+1),INDEX(Surface_Engine!$E$12:$E$72,$Q$762+1))</f>
        <v>0.0043386957235823</v>
      </c>
      <c r="D808" s="32" t="n">
        <f aca="false">INDEX(Surface_Engine!$O$12:$O$72,$A808+1)*IF($A808&lt;$Q$762,INDEX(Surface_Engine!$Y$12:$Y$72,$A808+1),INDEX(Surface_Engine!$Y$12:$Y$72,$Q$762+1))</f>
        <v>0.000840443433393619</v>
      </c>
      <c r="E808" s="32" t="n">
        <f aca="false">INDEX(Surface_Engine!$O$12:$O$72,$A808+1)*IF($A808&lt;$Q$762,INDEX(Surface_Engine!$Z$12:$Z$72,$A808+1),INDEX(Surface_Engine!$Z$12:$Z$72,$Q$762+1))</f>
        <v>0.000950741334019816</v>
      </c>
      <c r="F808" s="48" t="n">
        <f aca="false">B808*(IF($A808&lt;$Q$762,INDEX(Surface_Engine!$D$12:$D$72,$A808+1)+(Surface_Engine!B244*12)*INDEX(Surface_Engine!$F$12:$F$72,$A808+1)-(Surface_Engine!B244*12),1000*12*INDEX(Surface_Engine!$C$12:$C$72,$A808+1)/(1+Assumptions!$B$10)^7+INDEX(Surface_Engine!$D$12:$D$72,$A808+1)))*INDEX(Surface_Engine!$B$12:$B$72,$A808+1)+F809</f>
        <v>11.2701943120609</v>
      </c>
      <c r="G808" s="48" t="n">
        <f aca="false">C808*(IF($A808&lt;$Q$762,INDEX(Surface_Engine!$D$12:$D$72,$A808+1)+(Surface_Engine!B244*12)*INDEX(Surface_Engine!$F$12:$F$72,$A808+1)-(Surface_Engine!B244*12),1000*12*INDEX(Surface_Engine!$C$12:$C$72,$A808+1)/(1+Assumptions!$B$10)^7+INDEX(Surface_Engine!$D$12:$D$72,$A808+1)))*INDEX(Surface_Engine!$B$12:$B$72,$A808+1)+G809</f>
        <v>66.7695618090023</v>
      </c>
      <c r="H808" s="48" t="n">
        <f aca="false">D808*(IF($A808&lt;$Q$762,INDEX(Surface_Engine!$D$12:$D$72,$A808+1)+(Surface_Engine!B244*12)*INDEX(Surface_Engine!$F$12:$F$72,$A808+1)-(Surface_Engine!B244*12),1000*12*INDEX(Surface_Engine!$C$12:$C$72,$A808+1)/(1+Assumptions!$B$10)^7+INDEX(Surface_Engine!$D$12:$D$72,$A808+1)))*INDEX(Surface_Engine!$B$12:$B$72,$A808+1)+H809</f>
        <v>10.5923363063772</v>
      </c>
      <c r="I808" s="48" t="n">
        <f aca="false">E808*(IF($A808&lt;$Q$762,INDEX(Surface_Engine!$D$12:$D$72,$A808+1)+(Surface_Engine!B244*12)*INDEX(Surface_Engine!$F$12:$F$72,$A808+1)-(Surface_Engine!B244*12),1000*12*INDEX(Surface_Engine!$C$12:$C$72,$A808+1)/(1+Assumptions!$B$10)^7+INDEX(Surface_Engine!$D$12:$D$72,$A808+1)))*INDEX(Surface_Engine!$B$12:$B$72,$A808+1)+I809</f>
        <v>11.9824506328139</v>
      </c>
      <c r="J808" s="48" t="n">
        <f aca="false">B808*(IF($A808&lt;$Q$762,INDEX(Surface_Engine!$D$12:$D$72,$A808+1)*(1+Assumptions!$B$24)+(Surface_Engine!B244*12)*INDEX(Surface_Engine!$F$12:$F$72,$A808+1)-(Surface_Engine!B244*12),1000*12*INDEX(Surface_Engine!$C$12:$C$72,$A808+1)/(1+Assumptions!$B$10)^7+INDEX(Surface_Engine!$D$12:$D$72,$A808+1)*(1+Assumptions!$B$24)))*INDEX(Surface_Engine!$B$12:$B$72,$A808+1)+J809</f>
        <v>11.2811086199405</v>
      </c>
      <c r="K808" s="12" t="n">
        <f aca="false">SQRT((IF(C808&lt;=0,0,MAX(0,(B808/C808)*G808/INDEX(Surface_Engine!$B$12:$B$72,$A808+1)-F808/INDEX(Surface_Engine!$B$12:$B$72,$A808+1))))^2+(MAX(IF(D808&lt;=0,0,MAX(0,(B808/D808)*H808/INDEX(Surface_Engine!$B$12:$B$72,$A808+1)-F808/INDEX(Surface_Engine!$B$12:$B$72,$A808+1))),IF(E808&lt;=0,0,MAX(0,(B808/E808)*I808/INDEX(Surface_Engine!$B$12:$B$72,$A808+1)-F808/INDEX(Surface_Engine!$B$12:$B$72,$A808+1))),IF($A808&lt;$Q$762,MAX(0,-Assumptions!$B$22*(F808/INDEX(Surface_Engine!$B$12:$B$72,$A808+1))),0)))^2+(MAX(0,J808/INDEX(Surface_Engine!$B$12:$B$72,$A808+1)-(F808/INDEX(Surface_Engine!$B$12:$B$72,$A808+1))))^2+2*Assumptions!$B$26*(IF(C808&lt;=0,0,MAX(0,(B808/C808)*G808/INDEX(Surface_Engine!$B$12:$B$72,$A808+1)-F808/INDEX(Surface_Engine!$B$12:$B$72,$A808+1))))*(MAX(IF(D808&lt;=0,0,MAX(0,(B808/D808)*H808/INDEX(Surface_Engine!$B$12:$B$72,$A808+1)-F808/INDEX(Surface_Engine!$B$12:$B$72,$A808+1))),IF(E808&lt;=0,0,MAX(0,(B808/E808)*I808/INDEX(Surface_Engine!$B$12:$B$72,$A808+1)-F808/INDEX(Surface_Engine!$B$12:$B$72,$A808+1))),IF($A808&lt;$Q$762,MAX(0,-Assumptions!$B$22*(F808/INDEX(Surface_Engine!$B$12:$B$72,$A808+1))),0)))+2*Assumptions!$B$27*(IF(C808&lt;=0,0,MAX(0,(B808/C808)*G808/INDEX(Surface_Engine!$B$12:$B$72,$A808+1)-F808/INDEX(Surface_Engine!$B$12:$B$72,$A808+1))))*(MAX(0,J808/INDEX(Surface_Engine!$B$12:$B$72,$A808+1)-(F808/INDEX(Surface_Engine!$B$12:$B$72,$A808+1))))+2*Assumptions!$B$28*(MAX(IF(D808&lt;=0,0,MAX(0,(B808/D808)*H808/INDEX(Surface_Engine!$B$12:$B$72,$A808+1)-F808/INDEX(Surface_Engine!$B$12:$B$72,$A808+1))),IF(E808&lt;=0,0,MAX(0,(B808/E808)*I808/INDEX(Surface_Engine!$B$12:$B$72,$A808+1)-F808/INDEX(Surface_Engine!$B$12:$B$72,$A808+1))),IF($A808&lt;$Q$762,MAX(0,-Assumptions!$B$22*(F808/INDEX(Surface_Engine!$B$12:$B$72,$A808+1))),0)))*(MAX(0,J808/INDEX(Surface_Engine!$B$12:$B$72,$A808+1)-(F808/INDEX(Surface_Engine!$B$12:$B$72,$A808+1)))))</f>
        <v>10.0027270941031</v>
      </c>
      <c r="L808" s="48" t="n">
        <f aca="false">K808*INDEX(Surface_Engine!$B$12:$B$72,$A808+1)+L809</f>
        <v>4.77319882529742</v>
      </c>
      <c r="M808" s="48" t="n">
        <f aca="false">M807+B807*(IF($A807&lt;$Q$762,(Surface_Engine!B244*12)-(Surface_Engine!B244*12)*INDEX(Surface_Engine!$F$12:$F$72,$A807+1)-INDEX(Surface_Engine!$D$12:$D$72,$A807+1),-(1000*12*INDEX(Surface_Engine!$C$12:$C$72,$A807+1)/(1+Assumptions!$B$10)^7+INDEX(Surface_Engine!$D$12:$D$72,$A807+1))))*INDEX(Surface_Engine!$B$12:$B$72,$A807+1)</f>
        <v>4648.18022674566</v>
      </c>
      <c r="N808" s="12" t="n">
        <f aca="false">IF(B808&lt;=0,0,MAX(0,(K808+Assumptions!$B$29*L808/INDEX(Surface_Engine!$B$12:$B$72,$A808+1)-(M808/INDEX(Surface_Engine!$B$12:$B$72,$A808+1)-(F808/INDEX(Surface_Engine!$B$12:$B$72,$A808+1))))/B808))</f>
        <v>0</v>
      </c>
    </row>
    <row r="809" customFormat="false" ht="15" hidden="false" customHeight="true" outlineLevel="0" collapsed="false">
      <c r="A809" s="1" t="n">
        <v>45</v>
      </c>
      <c r="B809" s="32" t="n">
        <f aca="false">INDEX(Surface_Engine!$O$12:$O$72,$A809+1)*IF($A809&lt;$Q$762,INDEX(Surface_Engine!$E$12:$E$72,$A809+1),INDEX(Surface_Engine!$E$12:$E$72,$Q$762+1))</f>
        <v>0.000468742032857708</v>
      </c>
      <c r="C809" s="32" t="n">
        <f aca="false">INDEX(Panel_Reserving!$E$8:$E$68,$A809+1)*IF($A809&lt;$Q$762,INDEX(Surface_Engine!$E$12:$E$72,$A809+1),INDEX(Surface_Engine!$E$12:$E$72,$Q$762+1))</f>
        <v>0.0026871674585582</v>
      </c>
      <c r="D809" s="32" t="n">
        <f aca="false">INDEX(Surface_Engine!$O$12:$O$72,$A809+1)*IF($A809&lt;$Q$762,INDEX(Surface_Engine!$Y$12:$Y$72,$A809+1),INDEX(Surface_Engine!$Y$12:$Y$72,$Q$762+1))</f>
        <v>0.000440549037175904</v>
      </c>
      <c r="E809" s="32" t="n">
        <f aca="false">INDEX(Surface_Engine!$O$12:$O$72,$A809+1)*IF($A809&lt;$Q$762,INDEX(Surface_Engine!$Z$12:$Z$72,$A809+1),INDEX(Surface_Engine!$Z$12:$Z$72,$Q$762+1))</f>
        <v>0.000498365699181563</v>
      </c>
      <c r="F809" s="48" t="n">
        <f aca="false">B809*(IF($A809&lt;$Q$762,INDEX(Surface_Engine!$D$12:$D$72,$A809+1)+(Surface_Engine!B244*12)*INDEX(Surface_Engine!$F$12:$F$72,$A809+1)-(Surface_Engine!B244*12),1000*12*INDEX(Surface_Engine!$C$12:$C$72,$A809+1)/(1+Assumptions!$B$10)^7+INDEX(Surface_Engine!$D$12:$D$72,$A809+1)))*INDEX(Surface_Engine!$B$12:$B$72,$A809+1)+F810</f>
        <v>5.64885525993423</v>
      </c>
      <c r="G809" s="48" t="n">
        <f aca="false">C809*(IF($A809&lt;$Q$762,INDEX(Surface_Engine!$D$12:$D$72,$A809+1)+(Surface_Engine!B244*12)*INDEX(Surface_Engine!$F$12:$F$72,$A809+1)-(Surface_Engine!B244*12),1000*12*INDEX(Surface_Engine!$C$12:$C$72,$A809+1)/(1+Assumptions!$B$10)^7+INDEX(Surface_Engine!$D$12:$D$72,$A809+1)))*INDEX(Surface_Engine!$B$12:$B$72,$A809+1)+G810</f>
        <v>39.4954357540208</v>
      </c>
      <c r="H809" s="48" t="n">
        <f aca="false">D809*(IF($A809&lt;$Q$762,INDEX(Surface_Engine!$D$12:$D$72,$A809+1)+(Surface_Engine!B244*12)*INDEX(Surface_Engine!$F$12:$F$72,$A809+1)-(Surface_Engine!B244*12),1000*12*INDEX(Surface_Engine!$C$12:$C$72,$A809+1)/(1+Assumptions!$B$10)^7+INDEX(Surface_Engine!$D$12:$D$72,$A809+1)))*INDEX(Surface_Engine!$B$12:$B$72,$A809+1)+H810</f>
        <v>5.30909876107806</v>
      </c>
      <c r="I809" s="48" t="n">
        <f aca="false">E809*(IF($A809&lt;$Q$762,INDEX(Surface_Engine!$D$12:$D$72,$A809+1)+(Surface_Engine!B244*12)*INDEX(Surface_Engine!$F$12:$F$72,$A809+1)-(Surface_Engine!B244*12),1000*12*INDEX(Surface_Engine!$C$12:$C$72,$A809+1)/(1+Assumptions!$B$10)^7+INDEX(Surface_Engine!$D$12:$D$72,$A809+1)))*INDEX(Surface_Engine!$B$12:$B$72,$A809+1)+I810</f>
        <v>6.00585290811153</v>
      </c>
      <c r="J809" s="48" t="n">
        <f aca="false">B809*(IF($A809&lt;$Q$762,INDEX(Surface_Engine!$D$12:$D$72,$A809+1)*(1+Assumptions!$B$24)+(Surface_Engine!B244*12)*INDEX(Surface_Engine!$F$12:$F$72,$A809+1)-(Surface_Engine!B244*12),1000*12*INDEX(Surface_Engine!$C$12:$C$72,$A809+1)/(1+Assumptions!$B$10)^7+INDEX(Surface_Engine!$D$12:$D$72,$A809+1)*(1+Assumptions!$B$24)))*INDEX(Surface_Engine!$B$12:$B$72,$A809+1)+J810</f>
        <v>5.65435069106022</v>
      </c>
      <c r="K809" s="12" t="n">
        <f aca="false">SQRT((IF(C809&lt;=0,0,MAX(0,(B809/C809)*G809/INDEX(Surface_Engine!$B$12:$B$72,$A809+1)-F809/INDEX(Surface_Engine!$B$12:$B$72,$A809+1))))^2+(MAX(IF(D809&lt;=0,0,MAX(0,(B809/D809)*H809/INDEX(Surface_Engine!$B$12:$B$72,$A809+1)-F809/INDEX(Surface_Engine!$B$12:$B$72,$A809+1))),IF(E809&lt;=0,0,MAX(0,(B809/E809)*I809/INDEX(Surface_Engine!$B$12:$B$72,$A809+1)-F809/INDEX(Surface_Engine!$B$12:$B$72,$A809+1))),IF($A809&lt;$Q$762,MAX(0,-Assumptions!$B$22*(F809/INDEX(Surface_Engine!$B$12:$B$72,$A809+1))),0)))^2+(MAX(0,J809/INDEX(Surface_Engine!$B$12:$B$72,$A809+1)-(F809/INDEX(Surface_Engine!$B$12:$B$72,$A809+1))))^2+2*Assumptions!$B$26*(IF(C809&lt;=0,0,MAX(0,(B809/C809)*G809/INDEX(Surface_Engine!$B$12:$B$72,$A809+1)-F809/INDEX(Surface_Engine!$B$12:$B$72,$A809+1))))*(MAX(IF(D809&lt;=0,0,MAX(0,(B809/D809)*H809/INDEX(Surface_Engine!$B$12:$B$72,$A809+1)-F809/INDEX(Surface_Engine!$B$12:$B$72,$A809+1))),IF(E809&lt;=0,0,MAX(0,(B809/E809)*I809/INDEX(Surface_Engine!$B$12:$B$72,$A809+1)-F809/INDEX(Surface_Engine!$B$12:$B$72,$A809+1))),IF($A809&lt;$Q$762,MAX(0,-Assumptions!$B$22*(F809/INDEX(Surface_Engine!$B$12:$B$72,$A809+1))),0)))+2*Assumptions!$B$27*(IF(C809&lt;=0,0,MAX(0,(B809/C809)*G809/INDEX(Surface_Engine!$B$12:$B$72,$A809+1)-F809/INDEX(Surface_Engine!$B$12:$B$72,$A809+1))))*(MAX(0,J809/INDEX(Surface_Engine!$B$12:$B$72,$A809+1)-(F809/INDEX(Surface_Engine!$B$12:$B$72,$A809+1))))+2*Assumptions!$B$28*(MAX(IF(D809&lt;=0,0,MAX(0,(B809/D809)*H809/INDEX(Surface_Engine!$B$12:$B$72,$A809+1)-F809/INDEX(Surface_Engine!$B$12:$B$72,$A809+1))),IF(E809&lt;=0,0,MAX(0,(B809/E809)*I809/INDEX(Surface_Engine!$B$12:$B$72,$A809+1)-F809/INDEX(Surface_Engine!$B$12:$B$72,$A809+1))),IF($A809&lt;$Q$762,MAX(0,-Assumptions!$B$22*(F809/INDEX(Surface_Engine!$B$12:$B$72,$A809+1))),0)))*(MAX(0,J809/INDEX(Surface_Engine!$B$12:$B$72,$A809+1)-(F809/INDEX(Surface_Engine!$B$12:$B$72,$A809+1)))))</f>
        <v>5.14533571051213</v>
      </c>
      <c r="L809" s="48" t="n">
        <f aca="false">K809*INDEX(Surface_Engine!$B$12:$B$72,$A809+1)+L810</f>
        <v>2.27908865678515</v>
      </c>
      <c r="M809" s="48" t="n">
        <f aca="false">M808+B808*(IF($A808&lt;$Q$762,(Surface_Engine!B244*12)-(Surface_Engine!B244*12)*INDEX(Surface_Engine!$F$12:$F$72,$A808+1)-INDEX(Surface_Engine!$D$12:$D$72,$A808+1),-(1000*12*INDEX(Surface_Engine!$C$12:$C$72,$A808+1)/(1+Assumptions!$B$10)^7+INDEX(Surface_Engine!$D$12:$D$72,$A808+1))))*INDEX(Surface_Engine!$B$12:$B$72,$A808+1)</f>
        <v>4642.55888769353</v>
      </c>
      <c r="N809" s="12" t="n">
        <f aca="false">IF(B809&lt;=0,0,MAX(0,(K809+Assumptions!$B$29*L809/INDEX(Surface_Engine!$B$12:$B$72,$A809+1)-(M809/INDEX(Surface_Engine!$B$12:$B$72,$A809+1)-(F809/INDEX(Surface_Engine!$B$12:$B$72,$A809+1))))/B809))</f>
        <v>0</v>
      </c>
    </row>
    <row r="810" customFormat="false" ht="15" hidden="false" customHeight="true" outlineLevel="0" collapsed="false">
      <c r="A810" s="1" t="n">
        <v>46</v>
      </c>
      <c r="B810" s="32" t="n">
        <f aca="false">INDEX(Surface_Engine!$O$12:$O$72,$A810+1)*IF($A810&lt;$Q$762,INDEX(Surface_Engine!$E$12:$E$72,$A810+1),INDEX(Surface_Engine!$E$12:$E$72,$Q$762+1))</f>
        <v>0.000237528924383557</v>
      </c>
      <c r="C810" s="32" t="n">
        <f aca="false">INDEX(Panel_Reserving!$E$8:$E$68,$A810+1)*IF($A810&lt;$Q$762,INDEX(Surface_Engine!$E$12:$E$72,$A810+1),INDEX(Surface_Engine!$E$12:$E$72,$Q$762+1))</f>
        <v>0.00162678320021296</v>
      </c>
      <c r="D810" s="32" t="n">
        <f aca="false">INDEX(Surface_Engine!$O$12:$O$72,$A810+1)*IF($A810&lt;$Q$762,INDEX(Surface_Engine!$Y$12:$Y$72,$A810+1),INDEX(Surface_Engine!$Y$12:$Y$72,$Q$762+1))</f>
        <v>0.000223242490759027</v>
      </c>
      <c r="E810" s="32" t="n">
        <f aca="false">INDEX(Surface_Engine!$O$12:$O$72,$A810+1)*IF($A810&lt;$Q$762,INDEX(Surface_Engine!$Z$12:$Z$72,$A810+1),INDEX(Surface_Engine!$Z$12:$Z$72,$Q$762+1))</f>
        <v>0.000252540331735496</v>
      </c>
      <c r="F810" s="48" t="n">
        <f aca="false">B810*(IF($A810&lt;$Q$762,INDEX(Surface_Engine!$D$12:$D$72,$A810+1)+(Surface_Engine!B244*12)*INDEX(Surface_Engine!$F$12:$F$72,$A810+1)-(Surface_Engine!B244*12),1000*12*INDEX(Surface_Engine!$C$12:$C$72,$A810+1)/(1+Assumptions!$B$10)^7+INDEX(Surface_Engine!$D$12:$D$72,$A810+1)))*INDEX(Surface_Engine!$B$12:$B$72,$A810+1)+F811</f>
        <v>2.73908720148106</v>
      </c>
      <c r="G810" s="48" t="n">
        <f aca="false">C810*(IF($A810&lt;$Q$762,INDEX(Surface_Engine!$D$12:$D$72,$A810+1)+(Surface_Engine!B244*12)*INDEX(Surface_Engine!$F$12:$F$72,$A810+1)-(Surface_Engine!B244*12),1000*12*INDEX(Surface_Engine!$C$12:$C$72,$A810+1)/(1+Assumptions!$B$10)^7+INDEX(Surface_Engine!$D$12:$D$72,$A810+1)))*INDEX(Surface_Engine!$B$12:$B$72,$A810+1)+G811</f>
        <v>22.8145462870397</v>
      </c>
      <c r="H810" s="48" t="n">
        <f aca="false">D810*(IF($A810&lt;$Q$762,INDEX(Surface_Engine!$D$12:$D$72,$A810+1)+(Surface_Engine!B244*12)*INDEX(Surface_Engine!$F$12:$F$72,$A810+1)-(Surface_Engine!B244*12),1000*12*INDEX(Surface_Engine!$C$12:$C$72,$A810+1)/(1+Assumptions!$B$10)^7+INDEX(Surface_Engine!$D$12:$D$72,$A810+1)))*INDEX(Surface_Engine!$B$12:$B$72,$A810+1)+H811</f>
        <v>2.57434184426903</v>
      </c>
      <c r="I810" s="48" t="n">
        <f aca="false">E810*(IF($A810&lt;$Q$762,INDEX(Surface_Engine!$D$12:$D$72,$A810+1)+(Surface_Engine!B244*12)*INDEX(Surface_Engine!$F$12:$F$72,$A810+1)-(Surface_Engine!B244*12),1000*12*INDEX(Surface_Engine!$C$12:$C$72,$A810+1)/(1+Assumptions!$B$10)^7+INDEX(Surface_Engine!$D$12:$D$72,$A810+1)))*INDEX(Surface_Engine!$B$12:$B$72,$A810+1)+I811</f>
        <v>2.91219266162922</v>
      </c>
      <c r="J810" s="48" t="n">
        <f aca="false">B810*(IF($A810&lt;$Q$762,INDEX(Surface_Engine!$D$12:$D$72,$A810+1)*(1+Assumptions!$B$24)+(Surface_Engine!B244*12)*INDEX(Surface_Engine!$F$12:$F$72,$A810+1)-(Surface_Engine!B244*12),1000*12*INDEX(Surface_Engine!$C$12:$C$72,$A810+1)/(1+Assumptions!$B$10)^7+INDEX(Surface_Engine!$D$12:$D$72,$A810+1)*(1+Assumptions!$B$24)))*INDEX(Surface_Engine!$B$12:$B$72,$A810+1)+J811</f>
        <v>2.74176404825169</v>
      </c>
      <c r="K810" s="12" t="n">
        <f aca="false">SQRT((IF(C810&lt;=0,0,MAX(0,(B810/C810)*G810/INDEX(Surface_Engine!$B$12:$B$72,$A810+1)-F810/INDEX(Surface_Engine!$B$12:$B$72,$A810+1))))^2+(MAX(IF(D810&lt;=0,0,MAX(0,(B810/D810)*H810/INDEX(Surface_Engine!$B$12:$B$72,$A810+1)-F810/INDEX(Surface_Engine!$B$12:$B$72,$A810+1))),IF(E810&lt;=0,0,MAX(0,(B810/E810)*I810/INDEX(Surface_Engine!$B$12:$B$72,$A810+1)-F810/INDEX(Surface_Engine!$B$12:$B$72,$A810+1))),IF($A810&lt;$Q$762,MAX(0,-Assumptions!$B$22*(F810/INDEX(Surface_Engine!$B$12:$B$72,$A810+1))),0)))^2+(MAX(0,J810/INDEX(Surface_Engine!$B$12:$B$72,$A810+1)-(F810/INDEX(Surface_Engine!$B$12:$B$72,$A810+1))))^2+2*Assumptions!$B$26*(IF(C810&lt;=0,0,MAX(0,(B810/C810)*G810/INDEX(Surface_Engine!$B$12:$B$72,$A810+1)-F810/INDEX(Surface_Engine!$B$12:$B$72,$A810+1))))*(MAX(IF(D810&lt;=0,0,MAX(0,(B810/D810)*H810/INDEX(Surface_Engine!$B$12:$B$72,$A810+1)-F810/INDEX(Surface_Engine!$B$12:$B$72,$A810+1))),IF(E810&lt;=0,0,MAX(0,(B810/E810)*I810/INDEX(Surface_Engine!$B$12:$B$72,$A810+1)-F810/INDEX(Surface_Engine!$B$12:$B$72,$A810+1))),IF($A810&lt;$Q$762,MAX(0,-Assumptions!$B$22*(F810/INDEX(Surface_Engine!$B$12:$B$72,$A810+1))),0)))+2*Assumptions!$B$27*(IF(C810&lt;=0,0,MAX(0,(B810/C810)*G810/INDEX(Surface_Engine!$B$12:$B$72,$A810+1)-F810/INDEX(Surface_Engine!$B$12:$B$72,$A810+1))))*(MAX(0,J810/INDEX(Surface_Engine!$B$12:$B$72,$A810+1)-(F810/INDEX(Surface_Engine!$B$12:$B$72,$A810+1))))+2*Assumptions!$B$28*(MAX(IF(D810&lt;=0,0,MAX(0,(B810/D810)*H810/INDEX(Surface_Engine!$B$12:$B$72,$A810+1)-F810/INDEX(Surface_Engine!$B$12:$B$72,$A810+1))),IF(E810&lt;=0,0,MAX(0,(B810/E810)*I810/INDEX(Surface_Engine!$B$12:$B$72,$A810+1)-F810/INDEX(Surface_Engine!$B$12:$B$72,$A810+1))),IF($A810&lt;$Q$762,MAX(0,-Assumptions!$B$22*(F810/INDEX(Surface_Engine!$B$12:$B$72,$A810+1))),0)))*(MAX(0,J810/INDEX(Surface_Engine!$B$12:$B$72,$A810+1)-(F810/INDEX(Surface_Engine!$B$12:$B$72,$A810+1)))))</f>
        <v>2.53565081841704</v>
      </c>
      <c r="L810" s="48" t="n">
        <f aca="false">K810*INDEX(Surface_Engine!$B$12:$B$72,$A810+1)+L811</f>
        <v>1.03708447330076</v>
      </c>
      <c r="M810" s="48" t="n">
        <f aca="false">M809+B809*(IF($A809&lt;$Q$762,(Surface_Engine!B244*12)-(Surface_Engine!B244*12)*INDEX(Surface_Engine!$F$12:$F$72,$A809+1)-INDEX(Surface_Engine!$D$12:$D$72,$A809+1),-(1000*12*INDEX(Surface_Engine!$C$12:$C$72,$A809+1)/(1+Assumptions!$B$10)^7+INDEX(Surface_Engine!$D$12:$D$72,$A809+1))))*INDEX(Surface_Engine!$B$12:$B$72,$A809+1)</f>
        <v>4639.64911963508</v>
      </c>
      <c r="N810" s="12" t="n">
        <f aca="false">IF(B810&lt;=0,0,MAX(0,(K810+Assumptions!$B$29*L810/INDEX(Surface_Engine!$B$12:$B$72,$A810+1)-(M810/INDEX(Surface_Engine!$B$12:$B$72,$A810+1)-(F810/INDEX(Surface_Engine!$B$12:$B$72,$A810+1))))/B810))</f>
        <v>0</v>
      </c>
    </row>
    <row r="811" customFormat="false" ht="15" hidden="false" customHeight="true" outlineLevel="0" collapsed="false">
      <c r="A811" s="1" t="n">
        <v>47</v>
      </c>
      <c r="B811" s="32" t="n">
        <f aca="false">INDEX(Surface_Engine!$O$12:$O$72,$A811+1)*IF($A811&lt;$Q$762,INDEX(Surface_Engine!$E$12:$E$72,$A811+1),INDEX(Surface_Engine!$E$12:$E$72,$Q$762+1))</f>
        <v>0.000116262181622519</v>
      </c>
      <c r="C811" s="32" t="n">
        <f aca="false">INDEX(Panel_Reserving!$E$8:$E$68,$A811+1)*IF($A811&lt;$Q$762,INDEX(Surface_Engine!$E$12:$E$72,$A811+1),INDEX(Surface_Engine!$E$12:$E$72,$Q$762+1))</f>
        <v>0.000962359866068955</v>
      </c>
      <c r="D811" s="32" t="n">
        <f aca="false">INDEX(Surface_Engine!$O$12:$O$72,$A811+1)*IF($A811&lt;$Q$762,INDEX(Surface_Engine!$Y$12:$Y$72,$A811+1),INDEX(Surface_Engine!$Y$12:$Y$72,$Q$762+1))</f>
        <v>0.000109269467176883</v>
      </c>
      <c r="E811" s="32" t="n">
        <f aca="false">INDEX(Surface_Engine!$O$12:$O$72,$A811+1)*IF($A811&lt;$Q$762,INDEX(Surface_Engine!$Z$12:$Z$72,$A811+1),INDEX(Surface_Engine!$Z$12:$Z$72,$Q$762+1))</f>
        <v>0.000123609745598106</v>
      </c>
      <c r="F811" s="48" t="n">
        <f aca="false">B811*(IF($A811&lt;$Q$762,INDEX(Surface_Engine!$D$12:$D$72,$A811+1)+(Surface_Engine!B244*12)*INDEX(Surface_Engine!$F$12:$F$72,$A811+1)-(Surface_Engine!B244*12),1000*12*INDEX(Surface_Engine!$C$12:$C$72,$A811+1)/(1+Assumptions!$B$10)^7+INDEX(Surface_Engine!$D$12:$D$72,$A811+1)))*INDEX(Surface_Engine!$B$12:$B$72,$A811+1)+F812</f>
        <v>1.28245255692657</v>
      </c>
      <c r="G811" s="48" t="n">
        <f aca="false">C811*(IF($A811&lt;$Q$762,INDEX(Surface_Engine!$D$12:$D$72,$A811+1)+(Surface_Engine!B244*12)*INDEX(Surface_Engine!$F$12:$F$72,$A811+1)-(Surface_Engine!B244*12),1000*12*INDEX(Surface_Engine!$C$12:$C$72,$A811+1)/(1+Assumptions!$B$10)^7+INDEX(Surface_Engine!$D$12:$D$72,$A811+1)))*INDEX(Surface_Engine!$B$12:$B$72,$A811+1)+G812</f>
        <v>12.8383769646754</v>
      </c>
      <c r="H811" s="48" t="n">
        <f aca="false">D811*(IF($A811&lt;$Q$762,INDEX(Surface_Engine!$D$12:$D$72,$A811+1)+(Surface_Engine!B244*12)*INDEX(Surface_Engine!$F$12:$F$72,$A811+1)-(Surface_Engine!B244*12),1000*12*INDEX(Surface_Engine!$C$12:$C$72,$A811+1)/(1+Assumptions!$B$10)^7+INDEX(Surface_Engine!$D$12:$D$72,$A811+1)))*INDEX(Surface_Engine!$B$12:$B$72,$A811+1)+H812</f>
        <v>1.20531806318569</v>
      </c>
      <c r="I811" s="48" t="n">
        <f aca="false">E811*(IF($A811&lt;$Q$762,INDEX(Surface_Engine!$D$12:$D$72,$A811+1)+(Surface_Engine!B244*12)*INDEX(Surface_Engine!$F$12:$F$72,$A811+1)-(Surface_Engine!B244*12),1000*12*INDEX(Surface_Engine!$C$12:$C$72,$A811+1)/(1+Assumptions!$B$10)^7+INDEX(Surface_Engine!$D$12:$D$72,$A811+1)))*INDEX(Surface_Engine!$B$12:$B$72,$A811+1)+I812</f>
        <v>1.36350128727182</v>
      </c>
      <c r="J811" s="48" t="n">
        <f aca="false">B811*(IF($A811&lt;$Q$762,INDEX(Surface_Engine!$D$12:$D$72,$A811+1)*(1+Assumptions!$B$24)+(Surface_Engine!B244*12)*INDEX(Surface_Engine!$F$12:$F$72,$A811+1)-(Surface_Engine!B244*12),1000*12*INDEX(Surface_Engine!$C$12:$C$72,$A811+1)/(1+Assumptions!$B$10)^7+INDEX(Surface_Engine!$D$12:$D$72,$A811+1)*(1+Assumptions!$B$24)))*INDEX(Surface_Engine!$B$12:$B$72,$A811+1)+J812</f>
        <v>1.28371156647972</v>
      </c>
      <c r="K811" s="12" t="n">
        <f aca="false">SQRT((IF(C811&lt;=0,0,MAX(0,(B811/C811)*G811/INDEX(Surface_Engine!$B$12:$B$72,$A811+1)-F811/INDEX(Surface_Engine!$B$12:$B$72,$A811+1))))^2+(MAX(IF(D811&lt;=0,0,MAX(0,(B811/D811)*H811/INDEX(Surface_Engine!$B$12:$B$72,$A811+1)-F811/INDEX(Surface_Engine!$B$12:$B$72,$A811+1))),IF(E811&lt;=0,0,MAX(0,(B811/E811)*I811/INDEX(Surface_Engine!$B$12:$B$72,$A811+1)-F811/INDEX(Surface_Engine!$B$12:$B$72,$A811+1))),IF($A811&lt;$Q$762,MAX(0,-Assumptions!$B$22*(F811/INDEX(Surface_Engine!$B$12:$B$72,$A811+1))),0)))^2+(MAX(0,J811/INDEX(Surface_Engine!$B$12:$B$72,$A811+1)-(F811/INDEX(Surface_Engine!$B$12:$B$72,$A811+1))))^2+2*Assumptions!$B$26*(IF(C811&lt;=0,0,MAX(0,(B811/C811)*G811/INDEX(Surface_Engine!$B$12:$B$72,$A811+1)-F811/INDEX(Surface_Engine!$B$12:$B$72,$A811+1))))*(MAX(IF(D811&lt;=0,0,MAX(0,(B811/D811)*H811/INDEX(Surface_Engine!$B$12:$B$72,$A811+1)-F811/INDEX(Surface_Engine!$B$12:$B$72,$A811+1))),IF(E811&lt;=0,0,MAX(0,(B811/E811)*I811/INDEX(Surface_Engine!$B$12:$B$72,$A811+1)-F811/INDEX(Surface_Engine!$B$12:$B$72,$A811+1))),IF($A811&lt;$Q$762,MAX(0,-Assumptions!$B$22*(F811/INDEX(Surface_Engine!$B$12:$B$72,$A811+1))),0)))+2*Assumptions!$B$27*(IF(C811&lt;=0,0,MAX(0,(B811/C811)*G811/INDEX(Surface_Engine!$B$12:$B$72,$A811+1)-F811/INDEX(Surface_Engine!$B$12:$B$72,$A811+1))))*(MAX(0,J811/INDEX(Surface_Engine!$B$12:$B$72,$A811+1)-(F811/INDEX(Surface_Engine!$B$12:$B$72,$A811+1))))+2*Assumptions!$B$28*(MAX(IF(D811&lt;=0,0,MAX(0,(B811/D811)*H811/INDEX(Surface_Engine!$B$12:$B$72,$A811+1)-F811/INDEX(Surface_Engine!$B$12:$B$72,$A811+1))),IF(E811&lt;=0,0,MAX(0,(B811/E811)*I811/INDEX(Surface_Engine!$B$12:$B$72,$A811+1)-F811/INDEX(Surface_Engine!$B$12:$B$72,$A811+1))),IF($A811&lt;$Q$762,MAX(0,-Assumptions!$B$22*(F811/INDEX(Surface_Engine!$B$12:$B$72,$A811+1))),0)))*(MAX(0,J811/INDEX(Surface_Engine!$B$12:$B$72,$A811+1)-(F811/INDEX(Surface_Engine!$B$12:$B$72,$A811+1)))))</f>
        <v>1.18754875907707</v>
      </c>
      <c r="L811" s="48" t="n">
        <f aca="false">K811*INDEX(Surface_Engine!$B$12:$B$72,$A811+1)+L812</f>
        <v>0.444312506702416</v>
      </c>
      <c r="M811" s="48" t="n">
        <f aca="false">M810+B810*(IF($A810&lt;$Q$762,(Surface_Engine!B244*12)-(Surface_Engine!B244*12)*INDEX(Surface_Engine!$F$12:$F$72,$A810+1)-INDEX(Surface_Engine!$D$12:$D$72,$A810+1),-(1000*12*INDEX(Surface_Engine!$C$12:$C$72,$A810+1)/(1+Assumptions!$B$10)^7+INDEX(Surface_Engine!$D$12:$D$72,$A810+1))))*INDEX(Surface_Engine!$B$12:$B$72,$A810+1)</f>
        <v>4638.19248499052</v>
      </c>
      <c r="N811" s="12" t="n">
        <f aca="false">IF(B811&lt;=0,0,MAX(0,(K811+Assumptions!$B$29*L811/INDEX(Surface_Engine!$B$12:$B$72,$A811+1)-(M811/INDEX(Surface_Engine!$B$12:$B$72,$A811+1)-(F811/INDEX(Surface_Engine!$B$12:$B$72,$A811+1))))/B811))</f>
        <v>0</v>
      </c>
    </row>
    <row r="812" customFormat="false" ht="15" hidden="false" customHeight="true" outlineLevel="0" collapsed="false">
      <c r="A812" s="1" t="n">
        <v>48</v>
      </c>
      <c r="B812" s="32" t="n">
        <f aca="false">INDEX(Surface_Engine!$O$12:$O$72,$A812+1)*IF($A812&lt;$Q$762,INDEX(Surface_Engine!$E$12:$E$72,$A812+1),INDEX(Surface_Engine!$E$12:$E$72,$Q$762+1))</f>
        <v>5.49246319372259E-005</v>
      </c>
      <c r="C812" s="32" t="n">
        <f aca="false">INDEX(Panel_Reserving!$E$8:$E$68,$A812+1)*IF($A812&lt;$Q$762,INDEX(Surface_Engine!$E$12:$E$72,$A812+1),INDEX(Surface_Engine!$E$12:$E$72,$Q$762+1))</f>
        <v>0.00055618275653016</v>
      </c>
      <c r="D812" s="32" t="n">
        <f aca="false">INDEX(Surface_Engine!$O$12:$O$72,$A812+1)*IF($A812&lt;$Q$762,INDEX(Surface_Engine!$Y$12:$Y$72,$A812+1),INDEX(Surface_Engine!$Y$12:$Y$72,$Q$762+1))</f>
        <v>5.16211306455017E-005</v>
      </c>
      <c r="E812" s="32" t="n">
        <f aca="false">INDEX(Surface_Engine!$O$12:$O$72,$A812+1)*IF($A812&lt;$Q$762,INDEX(Surface_Engine!$Z$12:$Z$72,$A812+1),INDEX(Surface_Engine!$Z$12:$Z$72,$Q$762+1))</f>
        <v>5.8395771402892E-005</v>
      </c>
      <c r="F812" s="48" t="n">
        <f aca="false">B812*(IF($A812&lt;$Q$762,INDEX(Surface_Engine!$D$12:$D$72,$A812+1)+(Surface_Engine!B244*12)*INDEX(Surface_Engine!$F$12:$F$72,$A812+1)-(Surface_Engine!B244*12),1000*12*INDEX(Surface_Engine!$C$12:$C$72,$A812+1)/(1+Assumptions!$B$10)^7+INDEX(Surface_Engine!$D$12:$D$72,$A812+1)))*INDEX(Surface_Engine!$B$12:$B$72,$A812+1)+F813</f>
        <v>0.578126189559784</v>
      </c>
      <c r="G812" s="48" t="n">
        <f aca="false">C812*(IF($A812&lt;$Q$762,INDEX(Surface_Engine!$D$12:$D$72,$A812+1)+(Surface_Engine!B244*12)*INDEX(Surface_Engine!$F$12:$F$72,$A812+1)-(Surface_Engine!B244*12),1000*12*INDEX(Surface_Engine!$C$12:$C$72,$A812+1)/(1+Assumptions!$B$10)^7+INDEX(Surface_Engine!$D$12:$D$72,$A812+1)))*INDEX(Surface_Engine!$B$12:$B$72,$A812+1)+G813</f>
        <v>7.00831753254926</v>
      </c>
      <c r="H812" s="48" t="n">
        <f aca="false">D812*(IF($A812&lt;$Q$762,INDEX(Surface_Engine!$D$12:$D$72,$A812+1)+(Surface_Engine!B244*12)*INDEX(Surface_Engine!$F$12:$F$72,$A812+1)-(Surface_Engine!B244*12),1000*12*INDEX(Surface_Engine!$C$12:$C$72,$A812+1)/(1+Assumptions!$B$10)^7+INDEX(Surface_Engine!$D$12:$D$72,$A812+1)))*INDEX(Surface_Engine!$B$12:$B$72,$A812+1)+H813</f>
        <v>0.543354165667606</v>
      </c>
      <c r="I812" s="48" t="n">
        <f aca="false">E812*(IF($A812&lt;$Q$762,INDEX(Surface_Engine!$D$12:$D$72,$A812+1)+(Surface_Engine!B244*12)*INDEX(Surface_Engine!$F$12:$F$72,$A812+1)-(Surface_Engine!B244*12),1000*12*INDEX(Surface_Engine!$C$12:$C$72,$A812+1)/(1+Assumptions!$B$10)^7+INDEX(Surface_Engine!$D$12:$D$72,$A812+1)))*INDEX(Surface_Engine!$B$12:$B$72,$A812+1)+I813</f>
        <v>0.614662740865393</v>
      </c>
      <c r="J812" s="48" t="n">
        <f aca="false">B812*(IF($A812&lt;$Q$762,INDEX(Surface_Engine!$D$12:$D$72,$A812+1)*(1+Assumptions!$B$24)+(Surface_Engine!B244*12)*INDEX(Surface_Engine!$F$12:$F$72,$A812+1)-(Surface_Engine!B244*12),1000*12*INDEX(Surface_Engine!$C$12:$C$72,$A812+1)/(1+Assumptions!$B$10)^7+INDEX(Surface_Engine!$D$12:$D$72,$A812+1)*(1+Assumptions!$B$24)))*INDEX(Surface_Engine!$B$12:$B$72,$A812+1)+J813</f>
        <v>0.578696304709674</v>
      </c>
      <c r="K812" s="12" t="n">
        <f aca="false">SQRT((IF(C812&lt;=0,0,MAX(0,(B812/C812)*G812/INDEX(Surface_Engine!$B$12:$B$72,$A812+1)-F812/INDEX(Surface_Engine!$B$12:$B$72,$A812+1))))^2+(MAX(IF(D812&lt;=0,0,MAX(0,(B812/D812)*H812/INDEX(Surface_Engine!$B$12:$B$72,$A812+1)-F812/INDEX(Surface_Engine!$B$12:$B$72,$A812+1))),IF(E812&lt;=0,0,MAX(0,(B812/E812)*I812/INDEX(Surface_Engine!$B$12:$B$72,$A812+1)-F812/INDEX(Surface_Engine!$B$12:$B$72,$A812+1))),IF($A812&lt;$Q$762,MAX(0,-Assumptions!$B$22*(F812/INDEX(Surface_Engine!$B$12:$B$72,$A812+1))),0)))^2+(MAX(0,J812/INDEX(Surface_Engine!$B$12:$B$72,$A812+1)-(F812/INDEX(Surface_Engine!$B$12:$B$72,$A812+1))))^2+2*Assumptions!$B$26*(IF(C812&lt;=0,0,MAX(0,(B812/C812)*G812/INDEX(Surface_Engine!$B$12:$B$72,$A812+1)-F812/INDEX(Surface_Engine!$B$12:$B$72,$A812+1))))*(MAX(IF(D812&lt;=0,0,MAX(0,(B812/D812)*H812/INDEX(Surface_Engine!$B$12:$B$72,$A812+1)-F812/INDEX(Surface_Engine!$B$12:$B$72,$A812+1))),IF(E812&lt;=0,0,MAX(0,(B812/E812)*I812/INDEX(Surface_Engine!$B$12:$B$72,$A812+1)-F812/INDEX(Surface_Engine!$B$12:$B$72,$A812+1))),IF($A812&lt;$Q$762,MAX(0,-Assumptions!$B$22*(F812/INDEX(Surface_Engine!$B$12:$B$72,$A812+1))),0)))+2*Assumptions!$B$27*(IF(C812&lt;=0,0,MAX(0,(B812/C812)*G812/INDEX(Surface_Engine!$B$12:$B$72,$A812+1)-F812/INDEX(Surface_Engine!$B$12:$B$72,$A812+1))))*(MAX(0,J812/INDEX(Surface_Engine!$B$12:$B$72,$A812+1)-(F812/INDEX(Surface_Engine!$B$12:$B$72,$A812+1))))+2*Assumptions!$B$28*(MAX(IF(D812&lt;=0,0,MAX(0,(B812/D812)*H812/INDEX(Surface_Engine!$B$12:$B$72,$A812+1)-F812/INDEX(Surface_Engine!$B$12:$B$72,$A812+1))),IF(E812&lt;=0,0,MAX(0,(B812/E812)*I812/INDEX(Surface_Engine!$B$12:$B$72,$A812+1)-F812/INDEX(Surface_Engine!$B$12:$B$72,$A812+1))),IF($A812&lt;$Q$762,MAX(0,-Assumptions!$B$22*(F812/INDEX(Surface_Engine!$B$12:$B$72,$A812+1))),0)))*(MAX(0,J812/INDEX(Surface_Engine!$B$12:$B$72,$A812+1)-(F812/INDEX(Surface_Engine!$B$12:$B$72,$A812+1)))))</f>
        <v>0.520680327038273</v>
      </c>
      <c r="L812" s="48" t="n">
        <f aca="false">K812*INDEX(Surface_Engine!$B$12:$B$72,$A812+1)+L813</f>
        <v>0.175450080882614</v>
      </c>
      <c r="M812" s="48" t="n">
        <f aca="false">M811+B811*(IF($A811&lt;$Q$762,(Surface_Engine!B244*12)-(Surface_Engine!B244*12)*INDEX(Surface_Engine!$F$12:$F$72,$A811+1)-INDEX(Surface_Engine!$D$12:$D$72,$A811+1),-(1000*12*INDEX(Surface_Engine!$C$12:$C$72,$A811+1)/(1+Assumptions!$B$10)^7+INDEX(Surface_Engine!$D$12:$D$72,$A811+1))))*INDEX(Surface_Engine!$B$12:$B$72,$A811+1)</f>
        <v>4637.48815862316</v>
      </c>
      <c r="N812" s="12" t="n">
        <f aca="false">IF(B812&lt;=0,0,MAX(0,(K812+Assumptions!$B$29*L812/INDEX(Surface_Engine!$B$12:$B$72,$A812+1)-(M812/INDEX(Surface_Engine!$B$12:$B$72,$A812+1)-(F812/INDEX(Surface_Engine!$B$12:$B$72,$A812+1))))/B812))</f>
        <v>0</v>
      </c>
    </row>
    <row r="813" customFormat="false" ht="15" hidden="false" customHeight="true" outlineLevel="0" collapsed="false">
      <c r="A813" s="1" t="n">
        <v>49</v>
      </c>
      <c r="B813" s="32" t="n">
        <f aca="false">INDEX(Surface_Engine!$O$12:$O$72,$A813+1)*IF($A813&lt;$Q$762,INDEX(Surface_Engine!$E$12:$E$72,$A813+1),INDEX(Surface_Engine!$E$12:$E$72,$Q$762+1))</f>
        <v>2.50262841460279E-005</v>
      </c>
      <c r="C813" s="32" t="n">
        <f aca="false">INDEX(Panel_Reserving!$E$8:$E$68,$A813+1)*IF($A813&lt;$Q$762,INDEX(Surface_Engine!$E$12:$E$72,$A813+1),INDEX(Surface_Engine!$E$12:$E$72,$Q$762+1))</f>
        <v>0.00031397528197905</v>
      </c>
      <c r="D813" s="32" t="n">
        <f aca="false">INDEX(Surface_Engine!$O$12:$O$72,$A813+1)*IF($A813&lt;$Q$762,INDEX(Surface_Engine!$Y$12:$Y$72,$A813+1),INDEX(Surface_Engine!$Y$12:$Y$72,$Q$762+1))</f>
        <v>2.35210512643957E-005</v>
      </c>
      <c r="E813" s="32" t="n">
        <f aca="false">INDEX(Surface_Engine!$O$12:$O$72,$A813+1)*IF($A813&lt;$Q$762,INDEX(Surface_Engine!$Z$12:$Z$72,$A813+1),INDEX(Surface_Engine!$Z$12:$Z$72,$Q$762+1))</f>
        <v>2.66079009819411E-005</v>
      </c>
      <c r="F813" s="48" t="n">
        <f aca="false">B813*(IF($A813&lt;$Q$762,INDEX(Surface_Engine!$D$12:$D$72,$A813+1)+(Surface_Engine!B244*12)*INDEX(Surface_Engine!$F$12:$F$72,$A813+1)-(Surface_Engine!B244*12),1000*12*INDEX(Surface_Engine!$C$12:$C$72,$A813+1)/(1+Assumptions!$B$10)^7+INDEX(Surface_Engine!$D$12:$D$72,$A813+1)))*INDEX(Surface_Engine!$B$12:$B$72,$A813+1)+F814</f>
        <v>0.249582073140066</v>
      </c>
      <c r="G813" s="48" t="n">
        <f aca="false">C813*(IF($A813&lt;$Q$762,INDEX(Surface_Engine!$D$12:$D$72,$A813+1)+(Surface_Engine!B244*12)*INDEX(Surface_Engine!$F$12:$F$72,$A813+1)-(Surface_Engine!B244*12),1000*12*INDEX(Surface_Engine!$C$12:$C$72,$A813+1)/(1+Assumptions!$B$10)^7+INDEX(Surface_Engine!$D$12:$D$72,$A813+1)))*INDEX(Surface_Engine!$B$12:$B$72,$A813+1)+G814</f>
        <v>3.68138449964465</v>
      </c>
      <c r="H813" s="48" t="n">
        <f aca="false">D813*(IF($A813&lt;$Q$762,INDEX(Surface_Engine!$D$12:$D$72,$A813+1)+(Surface_Engine!B244*12)*INDEX(Surface_Engine!$F$12:$F$72,$A813+1)-(Surface_Engine!B244*12),1000*12*INDEX(Surface_Engine!$C$12:$C$72,$A813+1)/(1+Assumptions!$B$10)^7+INDEX(Surface_Engine!$D$12:$D$72,$A813+1)))*INDEX(Surface_Engine!$B$12:$B$72,$A813+1)+H814</f>
        <v>0.23457068986941</v>
      </c>
      <c r="I813" s="48" t="n">
        <f aca="false">E813*(IF($A813&lt;$Q$762,INDEX(Surface_Engine!$D$12:$D$72,$A813+1)+(Surface_Engine!B244*12)*INDEX(Surface_Engine!$F$12:$F$72,$A813+1)-(Surface_Engine!B244*12),1000*12*INDEX(Surface_Engine!$C$12:$C$72,$A813+1)/(1+Assumptions!$B$10)^7+INDEX(Surface_Engine!$D$12:$D$72,$A813+1)))*INDEX(Surface_Engine!$B$12:$B$72,$A813+1)+I814</f>
        <v>0.265355218147017</v>
      </c>
      <c r="J813" s="48" t="n">
        <f aca="false">B813*(IF($A813&lt;$Q$762,INDEX(Surface_Engine!$D$12:$D$72,$A813+1)*(1+Assumptions!$B$24)+(Surface_Engine!B244*12)*INDEX(Surface_Engine!$F$12:$F$72,$A813+1)-(Surface_Engine!B244*12),1000*12*INDEX(Surface_Engine!$C$12:$C$72,$A813+1)/(1+Assumptions!$B$10)^7+INDEX(Surface_Engine!$D$12:$D$72,$A813+1)*(1+Assumptions!$B$24)))*INDEX(Surface_Engine!$B$12:$B$72,$A813+1)+J814</f>
        <v>0.249829282914198</v>
      </c>
      <c r="K813" s="12" t="n">
        <f aca="false">SQRT((IF(C813&lt;=0,0,MAX(0,(B813/C813)*G813/INDEX(Surface_Engine!$B$12:$B$72,$A813+1)-F813/INDEX(Surface_Engine!$B$12:$B$72,$A813+1))))^2+(MAX(IF(D813&lt;=0,0,MAX(0,(B813/D813)*H813/INDEX(Surface_Engine!$B$12:$B$72,$A813+1)-F813/INDEX(Surface_Engine!$B$12:$B$72,$A813+1))),IF(E813&lt;=0,0,MAX(0,(B813/E813)*I813/INDEX(Surface_Engine!$B$12:$B$72,$A813+1)-F813/INDEX(Surface_Engine!$B$12:$B$72,$A813+1))),IF($A813&lt;$Q$762,MAX(0,-Assumptions!$B$22*(F813/INDEX(Surface_Engine!$B$12:$B$72,$A813+1))),0)))^2+(MAX(0,J813/INDEX(Surface_Engine!$B$12:$B$72,$A813+1)-(F813/INDEX(Surface_Engine!$B$12:$B$72,$A813+1))))^2+2*Assumptions!$B$26*(IF(C813&lt;=0,0,MAX(0,(B813/C813)*G813/INDEX(Surface_Engine!$B$12:$B$72,$A813+1)-F813/INDEX(Surface_Engine!$B$12:$B$72,$A813+1))))*(MAX(IF(D813&lt;=0,0,MAX(0,(B813/D813)*H813/INDEX(Surface_Engine!$B$12:$B$72,$A813+1)-F813/INDEX(Surface_Engine!$B$12:$B$72,$A813+1))),IF(E813&lt;=0,0,MAX(0,(B813/E813)*I813/INDEX(Surface_Engine!$B$12:$B$72,$A813+1)-F813/INDEX(Surface_Engine!$B$12:$B$72,$A813+1))),IF($A813&lt;$Q$762,MAX(0,-Assumptions!$B$22*(F813/INDEX(Surface_Engine!$B$12:$B$72,$A813+1))),0)))+2*Assumptions!$B$27*(IF(C813&lt;=0,0,MAX(0,(B813/C813)*G813/INDEX(Surface_Engine!$B$12:$B$72,$A813+1)-F813/INDEX(Surface_Engine!$B$12:$B$72,$A813+1))))*(MAX(0,J813/INDEX(Surface_Engine!$B$12:$B$72,$A813+1)-(F813/INDEX(Surface_Engine!$B$12:$B$72,$A813+1))))+2*Assumptions!$B$28*(MAX(IF(D813&lt;=0,0,MAX(0,(B813/D813)*H813/INDEX(Surface_Engine!$B$12:$B$72,$A813+1)-F813/INDEX(Surface_Engine!$B$12:$B$72,$A813+1))),IF(E813&lt;=0,0,MAX(0,(B813/E813)*I813/INDEX(Surface_Engine!$B$12:$B$72,$A813+1)-F813/INDEX(Surface_Engine!$B$12:$B$72,$A813+1))),IF($A813&lt;$Q$762,MAX(0,-Assumptions!$B$22*(F813/INDEX(Surface_Engine!$B$12:$B$72,$A813+1))),0)))*(MAX(0,J813/INDEX(Surface_Engine!$B$12:$B$72,$A813+1)-(F813/INDEX(Surface_Engine!$B$12:$B$72,$A813+1)))))</f>
        <v>0.206923444450583</v>
      </c>
      <c r="L813" s="48" t="n">
        <f aca="false">K813*INDEX(Surface_Engine!$B$12:$B$72,$A813+1)+L814</f>
        <v>0.0613410813289046</v>
      </c>
      <c r="M813" s="48" t="n">
        <f aca="false">M812+B812*(IF($A812&lt;$Q$762,(Surface_Engine!B244*12)-(Surface_Engine!B244*12)*INDEX(Surface_Engine!$F$12:$F$72,$A812+1)-INDEX(Surface_Engine!$D$12:$D$72,$A812+1),-(1000*12*INDEX(Surface_Engine!$C$12:$C$72,$A812+1)/(1+Assumptions!$B$10)^7+INDEX(Surface_Engine!$D$12:$D$72,$A812+1))))*INDEX(Surface_Engine!$B$12:$B$72,$A812+1)</f>
        <v>4637.15961450674</v>
      </c>
      <c r="N813" s="12" t="n">
        <f aca="false">IF(B813&lt;=0,0,MAX(0,(K813+Assumptions!$B$29*L813/INDEX(Surface_Engine!$B$12:$B$72,$A813+1)-(M813/INDEX(Surface_Engine!$B$12:$B$72,$A813+1)-(F813/INDEX(Surface_Engine!$B$12:$B$72,$A813+1))))/B813))</f>
        <v>0</v>
      </c>
    </row>
    <row r="814" customFormat="false" ht="15" hidden="false" customHeight="true" outlineLevel="0" collapsed="false">
      <c r="A814" s="1" t="n">
        <v>50</v>
      </c>
      <c r="B814" s="32" t="n">
        <f aca="false">INDEX(Surface_Engine!$O$12:$O$72,$A814+1)*IF($A814&lt;$Q$762,INDEX(Surface_Engine!$E$12:$E$72,$A814+1),INDEX(Surface_Engine!$E$12:$E$72,$Q$762+1))</f>
        <v>1.09912685273783E-005</v>
      </c>
      <c r="C814" s="32" t="n">
        <f aca="false">INDEX(Panel_Reserving!$E$8:$E$68,$A814+1)*IF($A814&lt;$Q$762,INDEX(Surface_Engine!$E$12:$E$72,$A814+1),INDEX(Surface_Engine!$E$12:$E$72,$Q$762+1))</f>
        <v>0.000173110646678558</v>
      </c>
      <c r="D814" s="32" t="n">
        <f aca="false">INDEX(Surface_Engine!$O$12:$O$72,$A814+1)*IF($A814&lt;$Q$762,INDEX(Surface_Engine!$Y$12:$Y$72,$A814+1),INDEX(Surface_Engine!$Y$12:$Y$72,$Q$762+1))</f>
        <v>1.03301868141794E-005</v>
      </c>
      <c r="E814" s="32" t="n">
        <f aca="false">INDEX(Surface_Engine!$O$12:$O$72,$A814+1)*IF($A814&lt;$Q$762,INDEX(Surface_Engine!$Z$12:$Z$72,$A814+1),INDEX(Surface_Engine!$Z$12:$Z$72,$Q$762+1))</f>
        <v>1.16858972325233E-005</v>
      </c>
      <c r="F814" s="48" t="n">
        <f aca="false">B814*(IF($A814&lt;$Q$762,INDEX(Surface_Engine!$D$12:$D$72,$A814+1)+(Surface_Engine!B244*12)*INDEX(Surface_Engine!$F$12:$F$72,$A814+1)-(Surface_Engine!B244*12),1000*12*INDEX(Surface_Engine!$C$12:$C$72,$A814+1)/(1+Assumptions!$B$10)^7+INDEX(Surface_Engine!$D$12:$D$72,$A814+1)))*INDEX(Surface_Engine!$B$12:$B$72,$A814+1)+F815</f>
        <v>0.101704122008794</v>
      </c>
      <c r="G814" s="48" t="n">
        <f aca="false">C814*(IF($A814&lt;$Q$762,INDEX(Surface_Engine!$D$12:$D$72,$A814+1)+(Surface_Engine!B244*12)*INDEX(Surface_Engine!$F$12:$F$72,$A814+1)-(Surface_Engine!B244*12),1000*12*INDEX(Surface_Engine!$C$12:$C$72,$A814+1)/(1+Assumptions!$B$10)^7+INDEX(Surface_Engine!$D$12:$D$72,$A814+1)))*INDEX(Surface_Engine!$B$12:$B$72,$A814+1)+G815</f>
        <v>1.82613419024965</v>
      </c>
      <c r="H814" s="48" t="n">
        <f aca="false">D814*(IF($A814&lt;$Q$762,INDEX(Surface_Engine!$D$12:$D$72,$A814+1)+(Surface_Engine!B244*12)*INDEX(Surface_Engine!$F$12:$F$72,$A814+1)-(Surface_Engine!B244*12),1000*12*INDEX(Surface_Engine!$C$12:$C$72,$A814+1)/(1+Assumptions!$B$10)^7+INDEX(Surface_Engine!$D$12:$D$72,$A814+1)))*INDEX(Surface_Engine!$B$12:$B$72,$A814+1)+H815</f>
        <v>0.0955870177774224</v>
      </c>
      <c r="I814" s="48" t="n">
        <f aca="false">E814*(IF($A814&lt;$Q$762,INDEX(Surface_Engine!$D$12:$D$72,$A814+1)+(Surface_Engine!B244*12)*INDEX(Surface_Engine!$F$12:$F$72,$A814+1)-(Surface_Engine!B244*12),1000*12*INDEX(Surface_Engine!$C$12:$C$72,$A814+1)/(1+Assumptions!$B$10)^7+INDEX(Surface_Engine!$D$12:$D$72,$A814+1)))*INDEX(Surface_Engine!$B$12:$B$72,$A814+1)+I815</f>
        <v>0.108131642399447</v>
      </c>
      <c r="J814" s="48" t="n">
        <f aca="false">B814*(IF($A814&lt;$Q$762,INDEX(Surface_Engine!$D$12:$D$72,$A814+1)*(1+Assumptions!$B$24)+(Surface_Engine!B244*12)*INDEX(Surface_Engine!$F$12:$F$72,$A814+1)-(Surface_Engine!B244*12),1000*12*INDEX(Surface_Engine!$C$12:$C$72,$A814+1)/(1+Assumptions!$B$10)^7+INDEX(Surface_Engine!$D$12:$D$72,$A814+1)*(1+Assumptions!$B$24)))*INDEX(Surface_Engine!$B$12:$B$72,$A814+1)+J815</f>
        <v>0.101805286418641</v>
      </c>
      <c r="K814" s="12" t="n">
        <f aca="false">SQRT((IF(C814&lt;=0,0,MAX(0,(B814/C814)*G814/INDEX(Surface_Engine!$B$12:$B$72,$A814+1)-F814/INDEX(Surface_Engine!$B$12:$B$72,$A814+1))))^2+(MAX(IF(D814&lt;=0,0,MAX(0,(B814/D814)*H814/INDEX(Surface_Engine!$B$12:$B$72,$A814+1)-F814/INDEX(Surface_Engine!$B$12:$B$72,$A814+1))),IF(E814&lt;=0,0,MAX(0,(B814/E814)*I814/INDEX(Surface_Engine!$B$12:$B$72,$A814+1)-F814/INDEX(Surface_Engine!$B$12:$B$72,$A814+1))),IF($A814&lt;$Q$762,MAX(0,-Assumptions!$B$22*(F814/INDEX(Surface_Engine!$B$12:$B$72,$A814+1))),0)))^2+(MAX(0,J814/INDEX(Surface_Engine!$B$12:$B$72,$A814+1)-(F814/INDEX(Surface_Engine!$B$12:$B$72,$A814+1))))^2+2*Assumptions!$B$26*(IF(C814&lt;=0,0,MAX(0,(B814/C814)*G814/INDEX(Surface_Engine!$B$12:$B$72,$A814+1)-F814/INDEX(Surface_Engine!$B$12:$B$72,$A814+1))))*(MAX(IF(D814&lt;=0,0,MAX(0,(B814/D814)*H814/INDEX(Surface_Engine!$B$12:$B$72,$A814+1)-F814/INDEX(Surface_Engine!$B$12:$B$72,$A814+1))),IF(E814&lt;=0,0,MAX(0,(B814/E814)*I814/INDEX(Surface_Engine!$B$12:$B$72,$A814+1)-F814/INDEX(Surface_Engine!$B$12:$B$72,$A814+1))),IF($A814&lt;$Q$762,MAX(0,-Assumptions!$B$22*(F814/INDEX(Surface_Engine!$B$12:$B$72,$A814+1))),0)))+2*Assumptions!$B$27*(IF(C814&lt;=0,0,MAX(0,(B814/C814)*G814/INDEX(Surface_Engine!$B$12:$B$72,$A814+1)-F814/INDEX(Surface_Engine!$B$12:$B$72,$A814+1))))*(MAX(0,J814/INDEX(Surface_Engine!$B$12:$B$72,$A814+1)-(F814/INDEX(Surface_Engine!$B$12:$B$72,$A814+1))))+2*Assumptions!$B$28*(MAX(IF(D814&lt;=0,0,MAX(0,(B814/D814)*H814/INDEX(Surface_Engine!$B$12:$B$72,$A814+1)-F814/INDEX(Surface_Engine!$B$12:$B$72,$A814+1))),IF(E814&lt;=0,0,MAX(0,(B814/E814)*I814/INDEX(Surface_Engine!$B$12:$B$72,$A814+1)-F814/INDEX(Surface_Engine!$B$12:$B$72,$A814+1))),IF($A814&lt;$Q$762,MAX(0,-Assumptions!$B$22*(F814/INDEX(Surface_Engine!$B$12:$B$72,$A814+1))),0)))*(MAX(0,J814/INDEX(Surface_Engine!$B$12:$B$72,$A814+1)-(F814/INDEX(Surface_Engine!$B$12:$B$72,$A814+1)))))</f>
        <v>0.0694555644563557</v>
      </c>
      <c r="L814" s="48" t="n">
        <f aca="false">K814*INDEX(Surface_Engine!$B$12:$B$72,$A814+1)+L815</f>
        <v>0.0174255797276312</v>
      </c>
      <c r="M814" s="48" t="n">
        <f aca="false">M813+B813*(IF($A813&lt;$Q$762,(Surface_Engine!B244*12)-(Surface_Engine!B244*12)*INDEX(Surface_Engine!$F$12:$F$72,$A813+1)-INDEX(Surface_Engine!$D$12:$D$72,$A813+1),-(1000*12*INDEX(Surface_Engine!$C$12:$C$72,$A813+1)/(1+Assumptions!$B$10)^7+INDEX(Surface_Engine!$D$12:$D$72,$A813+1))))*INDEX(Surface_Engine!$B$12:$B$72,$A813+1)</f>
        <v>4637.01173655561</v>
      </c>
      <c r="N814" s="12" t="n">
        <f aca="false">IF(B814&lt;=0,0,MAX(0,(K814+Assumptions!$B$29*L814/INDEX(Surface_Engine!$B$12:$B$72,$A814+1)-(M814/INDEX(Surface_Engine!$B$12:$B$72,$A814+1)-(F814/INDEX(Surface_Engine!$B$12:$B$72,$A814+1))))/B814))</f>
        <v>0</v>
      </c>
    </row>
    <row r="815" customFormat="false" ht="15" hidden="false" customHeight="true" outlineLevel="0" collapsed="false">
      <c r="A815" s="1" t="n">
        <v>51</v>
      </c>
      <c r="B815" s="32" t="n">
        <f aca="false">INDEX(Surface_Engine!$O$12:$O$72,$A815+1)*IF($A815&lt;$Q$762,INDEX(Surface_Engine!$E$12:$E$72,$A815+1),INDEX(Surface_Engine!$E$12:$E$72,$Q$762+1))</f>
        <v>4.65020791281894E-006</v>
      </c>
      <c r="C815" s="32" t="n">
        <f aca="false">INDEX(Panel_Reserving!$E$8:$E$68,$A815+1)*IF($A815&lt;$Q$762,INDEX(Surface_Engine!$E$12:$E$72,$A815+1),INDEX(Surface_Engine!$E$12:$E$72,$Q$762+1))</f>
        <v>9.32141287558074E-005</v>
      </c>
      <c r="D815" s="32" t="n">
        <f aca="false">INDEX(Surface_Engine!$O$12:$O$72,$A815+1)*IF($A815&lt;$Q$762,INDEX(Surface_Engine!$Y$12:$Y$72,$A815+1),INDEX(Surface_Engine!$Y$12:$Y$72,$Q$762+1))</f>
        <v>4.3705161369261E-006</v>
      </c>
      <c r="E815" s="32" t="n">
        <f aca="false">INDEX(Surface_Engine!$O$12:$O$72,$A815+1)*IF($A815&lt;$Q$762,INDEX(Surface_Engine!$Z$12:$Z$72,$A815+1),INDEX(Surface_Engine!$Z$12:$Z$72,$Q$762+1))</f>
        <v>4.94409281728561E-006</v>
      </c>
      <c r="F815" s="48" t="n">
        <f aca="false">B815*(IF($A815&lt;$Q$762,INDEX(Surface_Engine!$D$12:$D$72,$A815+1)+(Surface_Engine!B244*12)*INDEX(Surface_Engine!$F$12:$F$72,$A815+1)-(Surface_Engine!B244*12),1000*12*INDEX(Surface_Engine!$C$12:$C$72,$A815+1)/(1+Assumptions!$B$10)^7+INDEX(Surface_Engine!$D$12:$D$72,$A815+1)))*INDEX(Surface_Engine!$B$12:$B$72,$A815+1)+F816</f>
        <v>0.0375806998144952</v>
      </c>
      <c r="G815" s="48" t="n">
        <f aca="false">C815*(IF($A815&lt;$Q$762,INDEX(Surface_Engine!$D$12:$D$72,$A815+1)+(Surface_Engine!B244*12)*INDEX(Surface_Engine!$F$12:$F$72,$A815+1)-(Surface_Engine!B244*12),1000*12*INDEX(Surface_Engine!$C$12:$C$72,$A815+1)/(1+Assumptions!$B$10)^7+INDEX(Surface_Engine!$D$12:$D$72,$A815+1)))*INDEX(Surface_Engine!$B$12:$B$72,$A815+1)+G816</f>
        <v>0.816200982299453</v>
      </c>
      <c r="H815" s="48" t="n">
        <f aca="false">D815*(IF($A815&lt;$Q$762,INDEX(Surface_Engine!$D$12:$D$72,$A815+1)+(Surface_Engine!B244*12)*INDEX(Surface_Engine!$F$12:$F$72,$A815+1)-(Surface_Engine!B244*12),1000*12*INDEX(Surface_Engine!$C$12:$C$72,$A815+1)/(1+Assumptions!$B$10)^7+INDEX(Surface_Engine!$D$12:$D$72,$A815+1)))*INDEX(Surface_Engine!$B$12:$B$72,$A815+1)+H816</f>
        <v>0.035320368047084</v>
      </c>
      <c r="I815" s="48" t="n">
        <f aca="false">E815*(IF($A815&lt;$Q$762,INDEX(Surface_Engine!$D$12:$D$72,$A815+1)+(Surface_Engine!B244*12)*INDEX(Surface_Engine!$F$12:$F$72,$A815+1)-(Surface_Engine!B244*12),1000*12*INDEX(Surface_Engine!$C$12:$C$72,$A815+1)/(1+Assumptions!$B$10)^7+INDEX(Surface_Engine!$D$12:$D$72,$A815+1)))*INDEX(Surface_Engine!$B$12:$B$72,$A815+1)+I816</f>
        <v>0.0399557334865012</v>
      </c>
      <c r="J815" s="48" t="n">
        <f aca="false">B815*(IF($A815&lt;$Q$762,INDEX(Surface_Engine!$D$12:$D$72,$A815+1)*(1+Assumptions!$B$24)+(Surface_Engine!B244*12)*INDEX(Surface_Engine!$F$12:$F$72,$A815+1)-(Surface_Engine!B244*12),1000*12*INDEX(Surface_Engine!$C$12:$C$72,$A815+1)/(1+Assumptions!$B$10)^7+INDEX(Surface_Engine!$D$12:$D$72,$A815+1)*(1+Assumptions!$B$24)))*INDEX(Surface_Engine!$B$12:$B$72,$A815+1)+J816</f>
        <v>0.037618228101327</v>
      </c>
      <c r="K815" s="12" t="n">
        <f aca="false">SQRT((IF(C815&lt;=0,0,MAX(0,(B815/C815)*G815/INDEX(Surface_Engine!$B$12:$B$72,$A815+1)-F815/INDEX(Surface_Engine!$B$12:$B$72,$A815+1))))^2+(MAX(IF(D815&lt;=0,0,MAX(0,(B815/D815)*H815/INDEX(Surface_Engine!$B$12:$B$72,$A815+1)-F815/INDEX(Surface_Engine!$B$12:$B$72,$A815+1))),IF(E815&lt;=0,0,MAX(0,(B815/E815)*I815/INDEX(Surface_Engine!$B$12:$B$72,$A815+1)-F815/INDEX(Surface_Engine!$B$12:$B$72,$A815+1))),IF($A815&lt;$Q$762,MAX(0,-Assumptions!$B$22*(F815/INDEX(Surface_Engine!$B$12:$B$72,$A815+1))),0)))^2+(MAX(0,J815/INDEX(Surface_Engine!$B$12:$B$72,$A815+1)-(F815/INDEX(Surface_Engine!$B$12:$B$72,$A815+1))))^2+2*Assumptions!$B$26*(IF(C815&lt;=0,0,MAX(0,(B815/C815)*G815/INDEX(Surface_Engine!$B$12:$B$72,$A815+1)-F815/INDEX(Surface_Engine!$B$12:$B$72,$A815+1))))*(MAX(IF(D815&lt;=0,0,MAX(0,(B815/D815)*H815/INDEX(Surface_Engine!$B$12:$B$72,$A815+1)-F815/INDEX(Surface_Engine!$B$12:$B$72,$A815+1))),IF(E815&lt;=0,0,MAX(0,(B815/E815)*I815/INDEX(Surface_Engine!$B$12:$B$72,$A815+1)-F815/INDEX(Surface_Engine!$B$12:$B$72,$A815+1))),IF($A815&lt;$Q$762,MAX(0,-Assumptions!$B$22*(F815/INDEX(Surface_Engine!$B$12:$B$72,$A815+1))),0)))+2*Assumptions!$B$27*(IF(C815&lt;=0,0,MAX(0,(B815/C815)*G815/INDEX(Surface_Engine!$B$12:$B$72,$A815+1)-F815/INDEX(Surface_Engine!$B$12:$B$72,$A815+1))))*(MAX(0,J815/INDEX(Surface_Engine!$B$12:$B$72,$A815+1)-(F815/INDEX(Surface_Engine!$B$12:$B$72,$A815+1))))+2*Assumptions!$B$28*(MAX(IF(D815&lt;=0,0,MAX(0,(B815/D815)*H815/INDEX(Surface_Engine!$B$12:$B$72,$A815+1)-F815/INDEX(Surface_Engine!$B$12:$B$72,$A815+1))),IF(E815&lt;=0,0,MAX(0,(B815/E815)*I815/INDEX(Surface_Engine!$B$12:$B$72,$A815+1)-F815/INDEX(Surface_Engine!$B$12:$B$72,$A815+1))),IF($A815&lt;$Q$762,MAX(0,-Assumptions!$B$22*(F815/INDEX(Surface_Engine!$B$12:$B$72,$A815+1))),0)))*(MAX(0,J815/INDEX(Surface_Engine!$B$12:$B$72,$A815+1)-(F815/INDEX(Surface_Engine!$B$12:$B$72,$A815+1)))))</f>
        <v>0.015820183627065</v>
      </c>
      <c r="L815" s="48" t="n">
        <f aca="false">K815*INDEX(Surface_Engine!$B$12:$B$72,$A815+1)+L816</f>
        <v>0.0031578189976137</v>
      </c>
      <c r="M815" s="48" t="n">
        <f aca="false">M814+B814*(IF($A814&lt;$Q$762,(Surface_Engine!B244*12)-(Surface_Engine!B244*12)*INDEX(Surface_Engine!$F$12:$F$72,$A814+1)-INDEX(Surface_Engine!$D$12:$D$72,$A814+1),-(1000*12*INDEX(Surface_Engine!$C$12:$C$72,$A814+1)/(1+Assumptions!$B$10)^7+INDEX(Surface_Engine!$D$12:$D$72,$A814+1))))*INDEX(Surface_Engine!$B$12:$B$72,$A814+1)</f>
        <v>4636.94761313341</v>
      </c>
      <c r="N815" s="12" t="n">
        <f aca="false">IF(B815&lt;=0,0,MAX(0,(K815+Assumptions!$B$29*L815/INDEX(Surface_Engine!$B$12:$B$72,$A815+1)-(M815/INDEX(Surface_Engine!$B$12:$B$72,$A815+1)-(F815/INDEX(Surface_Engine!$B$12:$B$72,$A815+1))))/B815))</f>
        <v>0</v>
      </c>
    </row>
    <row r="816" customFormat="false" ht="15" hidden="false" customHeight="true" outlineLevel="0" collapsed="false">
      <c r="A816" s="1" t="n">
        <v>52</v>
      </c>
      <c r="B816" s="32" t="n">
        <f aca="false">INDEX(Surface_Engine!$O$12:$O$72,$A816+1)*IF($A816&lt;$Q$762,INDEX(Surface_Engine!$E$12:$E$72,$A816+1),INDEX(Surface_Engine!$E$12:$E$72,$Q$762+1))</f>
        <v>1.89431059718699E-006</v>
      </c>
      <c r="C816" s="32" t="n">
        <f aca="false">INDEX(Panel_Reserving!$E$8:$E$68,$A816+1)*IF($A816&lt;$Q$762,INDEX(Surface_Engine!$E$12:$E$72,$A816+1),INDEX(Surface_Engine!$E$12:$E$72,$Q$762+1))</f>
        <v>4.90202222409693E-005</v>
      </c>
      <c r="D816" s="32" t="n">
        <f aca="false">INDEX(Surface_Engine!$O$12:$O$72,$A816+1)*IF($A816&lt;$Q$762,INDEX(Surface_Engine!$Y$12:$Y$72,$A816+1),INDEX(Surface_Engine!$Y$12:$Y$72,$Q$762+1))</f>
        <v>1.7803752409722E-006</v>
      </c>
      <c r="E816" s="32" t="n">
        <f aca="false">INDEX(Surface_Engine!$O$12:$O$72,$A816+1)*IF($A816&lt;$Q$762,INDEX(Surface_Engine!$Z$12:$Z$72,$A816+1),INDEX(Surface_Engine!$Z$12:$Z$72,$Q$762+1))</f>
        <v>2.01402767206226E-006</v>
      </c>
      <c r="F816" s="48" t="n">
        <f aca="false">B816*(IF($A816&lt;$Q$762,INDEX(Surface_Engine!$D$12:$D$72,$A816+1)+(Surface_Engine!B244*12)*INDEX(Surface_Engine!$F$12:$F$72,$A816+1)-(Surface_Engine!B244*12),1000*12*INDEX(Surface_Engine!$C$12:$C$72,$A816+1)/(1+Assumptions!$B$10)^7+INDEX(Surface_Engine!$D$12:$D$72,$A816+1)))*INDEX(Surface_Engine!$B$12:$B$72,$A816+1)+F817</f>
        <v>0.0107827894216659</v>
      </c>
      <c r="G816" s="48" t="n">
        <f aca="false">C816*(IF($A816&lt;$Q$762,INDEX(Surface_Engine!$D$12:$D$72,$A816+1)+(Surface_Engine!B244*12)*INDEX(Surface_Engine!$F$12:$F$72,$A816+1)-(Surface_Engine!B244*12),1000*12*INDEX(Surface_Engine!$C$12:$C$72,$A816+1)/(1+Assumptions!$B$10)^7+INDEX(Surface_Engine!$D$12:$D$72,$A816+1)))*INDEX(Surface_Engine!$B$12:$B$72,$A816+1)+G817</f>
        <v>0.279032770345348</v>
      </c>
      <c r="H816" s="48" t="n">
        <f aca="false">D816*(IF($A816&lt;$Q$762,INDEX(Surface_Engine!$D$12:$D$72,$A816+1)+(Surface_Engine!B244*12)*INDEX(Surface_Engine!$F$12:$F$72,$A816+1)-(Surface_Engine!B244*12),1000*12*INDEX(Surface_Engine!$C$12:$C$72,$A816+1)/(1+Assumptions!$B$10)^7+INDEX(Surface_Engine!$D$12:$D$72,$A816+1)))*INDEX(Surface_Engine!$B$12:$B$72,$A816+1)+H817</f>
        <v>0.0101342469093815</v>
      </c>
      <c r="I816" s="48" t="n">
        <f aca="false">E816*(IF($A816&lt;$Q$762,INDEX(Surface_Engine!$D$12:$D$72,$A816+1)+(Surface_Engine!B244*12)*INDEX(Surface_Engine!$F$12:$F$72,$A816+1)-(Surface_Engine!B244*12),1000*12*INDEX(Surface_Engine!$C$12:$C$72,$A816+1)/(1+Assumptions!$B$10)^7+INDEX(Surface_Engine!$D$12:$D$72,$A816+1)))*INDEX(Surface_Engine!$B$12:$B$72,$A816+1)+I817</f>
        <v>0.011464242616551</v>
      </c>
      <c r="J816" s="48" t="n">
        <f aca="false">B816*(IF($A816&lt;$Q$762,INDEX(Surface_Engine!$D$12:$D$72,$A816+1)*(1+Assumptions!$B$24)+(Surface_Engine!B244*12)*INDEX(Surface_Engine!$F$12:$F$72,$A816+1)-(Surface_Engine!B244*12),1000*12*INDEX(Surface_Engine!$C$12:$C$72,$A816+1)/(1+Assumptions!$B$10)^7+INDEX(Surface_Engine!$D$12:$D$72,$A816+1)*(1+Assumptions!$B$24)))*INDEX(Surface_Engine!$B$12:$B$72,$A816+1)+J817</f>
        <v>0.0107935943819765</v>
      </c>
      <c r="K816" s="12" t="n">
        <f aca="false">SQRT((IF(C816&lt;=0,0,MAX(0,(B816/C816)*G816/INDEX(Surface_Engine!$B$12:$B$72,$A816+1)-F816/INDEX(Surface_Engine!$B$12:$B$72,$A816+1))))^2+(MAX(IF(D816&lt;=0,0,MAX(0,(B816/D816)*H816/INDEX(Surface_Engine!$B$12:$B$72,$A816+1)-F816/INDEX(Surface_Engine!$B$12:$B$72,$A816+1))),IF(E816&lt;=0,0,MAX(0,(B816/E816)*I816/INDEX(Surface_Engine!$B$12:$B$72,$A816+1)-F816/INDEX(Surface_Engine!$B$12:$B$72,$A816+1))),IF($A816&lt;$Q$762,MAX(0,-Assumptions!$B$22*(F816/INDEX(Surface_Engine!$B$12:$B$72,$A816+1))),0)))^2+(MAX(0,J816/INDEX(Surface_Engine!$B$12:$B$72,$A816+1)-(F816/INDEX(Surface_Engine!$B$12:$B$72,$A816+1))))^2+2*Assumptions!$B$26*(IF(C816&lt;=0,0,MAX(0,(B816/C816)*G816/INDEX(Surface_Engine!$B$12:$B$72,$A816+1)-F816/INDEX(Surface_Engine!$B$12:$B$72,$A816+1))))*(MAX(IF(D816&lt;=0,0,MAX(0,(B816/D816)*H816/INDEX(Surface_Engine!$B$12:$B$72,$A816+1)-F816/INDEX(Surface_Engine!$B$12:$B$72,$A816+1))),IF(E816&lt;=0,0,MAX(0,(B816/E816)*I816/INDEX(Surface_Engine!$B$12:$B$72,$A816+1)-F816/INDEX(Surface_Engine!$B$12:$B$72,$A816+1))),IF($A816&lt;$Q$762,MAX(0,-Assumptions!$B$22*(F816/INDEX(Surface_Engine!$B$12:$B$72,$A816+1))),0)))+2*Assumptions!$B$27*(IF(C816&lt;=0,0,MAX(0,(B816/C816)*G816/INDEX(Surface_Engine!$B$12:$B$72,$A816+1)-F816/INDEX(Surface_Engine!$B$12:$B$72,$A816+1))))*(MAX(0,J816/INDEX(Surface_Engine!$B$12:$B$72,$A816+1)-(F816/INDEX(Surface_Engine!$B$12:$B$72,$A816+1))))+2*Assumptions!$B$28*(MAX(IF(D816&lt;=0,0,MAX(0,(B816/D816)*H816/INDEX(Surface_Engine!$B$12:$B$72,$A816+1)-F816/INDEX(Surface_Engine!$B$12:$B$72,$A816+1))),IF(E816&lt;=0,0,MAX(0,(B816/E816)*I816/INDEX(Surface_Engine!$B$12:$B$72,$A816+1)-F816/INDEX(Surface_Engine!$B$12:$B$72,$A816+1))),IF($A816&lt;$Q$762,MAX(0,-Assumptions!$B$22*(F816/INDEX(Surface_Engine!$B$12:$B$72,$A816+1))),0)))*(MAX(0,J816/INDEX(Surface_Engine!$B$12:$B$72,$A816+1)-(F816/INDEX(Surface_Engine!$B$12:$B$72,$A816+1)))))</f>
        <v>5.60926607952109E-005</v>
      </c>
      <c r="L816" s="48" t="n">
        <f aca="false">K816*INDEX(Surface_Engine!$B$12:$B$72,$A816+1)+L817</f>
        <v>1.08049603105401E-005</v>
      </c>
      <c r="M816" s="48" t="n">
        <f aca="false">M815+B815*(IF($A815&lt;$Q$762,(Surface_Engine!B244*12)-(Surface_Engine!B244*12)*INDEX(Surface_Engine!$F$12:$F$72,$A815+1)-INDEX(Surface_Engine!$D$12:$D$72,$A815+1),-(1000*12*INDEX(Surface_Engine!$C$12:$C$72,$A815+1)/(1+Assumptions!$B$10)^7+INDEX(Surface_Engine!$D$12:$D$72,$A815+1))))*INDEX(Surface_Engine!$B$12:$B$72,$A815+1)</f>
        <v>4636.92081522302</v>
      </c>
      <c r="N816" s="12" t="n">
        <f aca="false">IF(B816&lt;=0,0,MAX(0,(K816+Assumptions!$B$29*L816/INDEX(Surface_Engine!$B$12:$B$72,$A816+1)-(M816/INDEX(Surface_Engine!$B$12:$B$72,$A816+1)-(F816/INDEX(Surface_Engine!$B$12:$B$72,$A816+1))))/B816))</f>
        <v>0</v>
      </c>
    </row>
    <row r="817" customFormat="false" ht="15" hidden="false" customHeight="true" outlineLevel="0" collapsed="false">
      <c r="A817" s="1" t="n">
        <v>53</v>
      </c>
      <c r="B817" s="32" t="n">
        <f aca="false">INDEX(Surface_Engine!$O$12:$O$72,$A817+1)*IF($A817&lt;$Q$762,INDEX(Surface_Engine!$E$12:$E$72,$A817+1),INDEX(Surface_Engine!$E$12:$E$72,$Q$762+1))</f>
        <v>0</v>
      </c>
      <c r="C817" s="32" t="n">
        <f aca="false">INDEX(Panel_Reserving!$E$8:$E$68,$A817+1)*IF($A817&lt;$Q$762,INDEX(Surface_Engine!$E$12:$E$72,$A817+1),INDEX(Surface_Engine!$E$12:$E$72,$Q$762+1))</f>
        <v>0</v>
      </c>
      <c r="D817" s="32" t="n">
        <f aca="false">INDEX(Surface_Engine!$O$12:$O$72,$A817+1)*IF($A817&lt;$Q$762,INDEX(Surface_Engine!$Y$12:$Y$72,$A817+1),INDEX(Surface_Engine!$Y$12:$Y$72,$Q$762+1))</f>
        <v>0</v>
      </c>
      <c r="E817" s="32" t="n">
        <f aca="false">INDEX(Surface_Engine!$O$12:$O$72,$A817+1)*IF($A817&lt;$Q$762,INDEX(Surface_Engine!$Z$12:$Z$72,$A817+1),INDEX(Surface_Engine!$Z$12:$Z$72,$Q$762+1))</f>
        <v>0</v>
      </c>
      <c r="F817" s="48" t="n">
        <f aca="false">B817*(IF($A817&lt;$Q$762,INDEX(Surface_Engine!$D$12:$D$72,$A817+1)+(Surface_Engine!B244*12)*INDEX(Surface_Engine!$F$12:$F$72,$A817+1)-(Surface_Engine!B244*12),1000*12*INDEX(Surface_Engine!$C$12:$C$72,$A817+1)/(1+Assumptions!$B$10)^7+INDEX(Surface_Engine!$D$12:$D$72,$A817+1)))*INDEX(Surface_Engine!$B$12:$B$72,$A817+1)+F818</f>
        <v>0</v>
      </c>
      <c r="G817" s="48" t="n">
        <f aca="false">C817*(IF($A817&lt;$Q$762,INDEX(Surface_Engine!$D$12:$D$72,$A817+1)+(Surface_Engine!B244*12)*INDEX(Surface_Engine!$F$12:$F$72,$A817+1)-(Surface_Engine!B244*12),1000*12*INDEX(Surface_Engine!$C$12:$C$72,$A817+1)/(1+Assumptions!$B$10)^7+INDEX(Surface_Engine!$D$12:$D$72,$A817+1)))*INDEX(Surface_Engine!$B$12:$B$72,$A817+1)+G818</f>
        <v>0</v>
      </c>
      <c r="H817" s="48" t="n">
        <f aca="false">D817*(IF($A817&lt;$Q$762,INDEX(Surface_Engine!$D$12:$D$72,$A817+1)+(Surface_Engine!B244*12)*INDEX(Surface_Engine!$F$12:$F$72,$A817+1)-(Surface_Engine!B244*12),1000*12*INDEX(Surface_Engine!$C$12:$C$72,$A817+1)/(1+Assumptions!$B$10)^7+INDEX(Surface_Engine!$D$12:$D$72,$A817+1)))*INDEX(Surface_Engine!$B$12:$B$72,$A817+1)+H818</f>
        <v>0</v>
      </c>
      <c r="I817" s="48" t="n">
        <f aca="false">E817*(IF($A817&lt;$Q$762,INDEX(Surface_Engine!$D$12:$D$72,$A817+1)+(Surface_Engine!B244*12)*INDEX(Surface_Engine!$F$12:$F$72,$A817+1)-(Surface_Engine!B244*12),1000*12*INDEX(Surface_Engine!$C$12:$C$72,$A817+1)/(1+Assumptions!$B$10)^7+INDEX(Surface_Engine!$D$12:$D$72,$A817+1)))*INDEX(Surface_Engine!$B$12:$B$72,$A817+1)+I818</f>
        <v>0</v>
      </c>
      <c r="J817" s="48" t="n">
        <f aca="false">B817*(IF($A817&lt;$Q$762,INDEX(Surface_Engine!$D$12:$D$72,$A817+1)*(1+Assumptions!$B$24)+(Surface_Engine!B244*12)*INDEX(Surface_Engine!$F$12:$F$72,$A817+1)-(Surface_Engine!B244*12),1000*12*INDEX(Surface_Engine!$C$12:$C$72,$A817+1)/(1+Assumptions!$B$10)^7+INDEX(Surface_Engine!$D$12:$D$72,$A817+1)*(1+Assumptions!$B$24)))*INDEX(Surface_Engine!$B$12:$B$72,$A817+1)+J818</f>
        <v>0</v>
      </c>
      <c r="K817" s="12" t="n">
        <f aca="false">SQRT((IF(C817&lt;=0,0,MAX(0,(B817/C817)*G817/INDEX(Surface_Engine!$B$12:$B$72,$A817+1)-F817/INDEX(Surface_Engine!$B$12:$B$72,$A817+1))))^2+(MAX(IF(D817&lt;=0,0,MAX(0,(B817/D817)*H817/INDEX(Surface_Engine!$B$12:$B$72,$A817+1)-F817/INDEX(Surface_Engine!$B$12:$B$72,$A817+1))),IF(E817&lt;=0,0,MAX(0,(B817/E817)*I817/INDEX(Surface_Engine!$B$12:$B$72,$A817+1)-F817/INDEX(Surface_Engine!$B$12:$B$72,$A817+1))),IF($A817&lt;$Q$762,MAX(0,-Assumptions!$B$22*(F817/INDEX(Surface_Engine!$B$12:$B$72,$A817+1))),0)))^2+(MAX(0,J817/INDEX(Surface_Engine!$B$12:$B$72,$A817+1)-(F817/INDEX(Surface_Engine!$B$12:$B$72,$A817+1))))^2+2*Assumptions!$B$26*(IF(C817&lt;=0,0,MAX(0,(B817/C817)*G817/INDEX(Surface_Engine!$B$12:$B$72,$A817+1)-F817/INDEX(Surface_Engine!$B$12:$B$72,$A817+1))))*(MAX(IF(D817&lt;=0,0,MAX(0,(B817/D817)*H817/INDEX(Surface_Engine!$B$12:$B$72,$A817+1)-F817/INDEX(Surface_Engine!$B$12:$B$72,$A817+1))),IF(E817&lt;=0,0,MAX(0,(B817/E817)*I817/INDEX(Surface_Engine!$B$12:$B$72,$A817+1)-F817/INDEX(Surface_Engine!$B$12:$B$72,$A817+1))),IF($A817&lt;$Q$762,MAX(0,-Assumptions!$B$22*(F817/INDEX(Surface_Engine!$B$12:$B$72,$A817+1))),0)))+2*Assumptions!$B$27*(IF(C817&lt;=0,0,MAX(0,(B817/C817)*G817/INDEX(Surface_Engine!$B$12:$B$72,$A817+1)-F817/INDEX(Surface_Engine!$B$12:$B$72,$A817+1))))*(MAX(0,J817/INDEX(Surface_Engine!$B$12:$B$72,$A817+1)-(F817/INDEX(Surface_Engine!$B$12:$B$72,$A817+1))))+2*Assumptions!$B$28*(MAX(IF(D817&lt;=0,0,MAX(0,(B817/D817)*H817/INDEX(Surface_Engine!$B$12:$B$72,$A817+1)-F817/INDEX(Surface_Engine!$B$12:$B$72,$A817+1))),IF(E817&lt;=0,0,MAX(0,(B817/E817)*I817/INDEX(Surface_Engine!$B$12:$B$72,$A817+1)-F817/INDEX(Surface_Engine!$B$12:$B$72,$A817+1))),IF($A817&lt;$Q$762,MAX(0,-Assumptions!$B$22*(F817/INDEX(Surface_Engine!$B$12:$B$72,$A817+1))),0)))*(MAX(0,J817/INDEX(Surface_Engine!$B$12:$B$72,$A817+1)-(F817/INDEX(Surface_Engine!$B$12:$B$72,$A817+1)))))</f>
        <v>0</v>
      </c>
      <c r="L817" s="48" t="n">
        <f aca="false">K817*INDEX(Surface_Engine!$B$12:$B$72,$A817+1)+L818</f>
        <v>0</v>
      </c>
      <c r="M817" s="48" t="n">
        <f aca="false">M816+B816*(IF($A816&lt;$Q$762,(Surface_Engine!B244*12)-(Surface_Engine!B244*12)*INDEX(Surface_Engine!$F$12:$F$72,$A816+1)-INDEX(Surface_Engine!$D$12:$D$72,$A816+1),-(1000*12*INDEX(Surface_Engine!$C$12:$C$72,$A816+1)/(1+Assumptions!$B$10)^7+INDEX(Surface_Engine!$D$12:$D$72,$A816+1))))*INDEX(Surface_Engine!$B$12:$B$72,$A816+1)</f>
        <v>4636.9100324336</v>
      </c>
      <c r="N817" s="12" t="n">
        <f aca="false">IF(B817&lt;=0,0,MAX(0,(K817+Assumptions!$B$29*L817/INDEX(Surface_Engine!$B$12:$B$72,$A817+1)-(M817/INDEX(Surface_Engine!$B$12:$B$72,$A817+1)-(F817/INDEX(Surface_Engine!$B$12:$B$72,$A817+1))))/B817))</f>
        <v>0</v>
      </c>
    </row>
    <row r="818" customFormat="false" ht="15" hidden="false" customHeight="true" outlineLevel="0" collapsed="false">
      <c r="A818" s="1" t="n">
        <v>54</v>
      </c>
      <c r="B818" s="32" t="n">
        <f aca="false">INDEX(Surface_Engine!$O$12:$O$72,$A818+1)*IF($A818&lt;$Q$762,INDEX(Surface_Engine!$E$12:$E$72,$A818+1),INDEX(Surface_Engine!$E$12:$E$72,$Q$762+1))</f>
        <v>0</v>
      </c>
      <c r="C818" s="32" t="n">
        <f aca="false">INDEX(Panel_Reserving!$E$8:$E$68,$A818+1)*IF($A818&lt;$Q$762,INDEX(Surface_Engine!$E$12:$E$72,$A818+1),INDEX(Surface_Engine!$E$12:$E$72,$Q$762+1))</f>
        <v>0</v>
      </c>
      <c r="D818" s="32" t="n">
        <f aca="false">INDEX(Surface_Engine!$O$12:$O$72,$A818+1)*IF($A818&lt;$Q$762,INDEX(Surface_Engine!$Y$12:$Y$72,$A818+1),INDEX(Surface_Engine!$Y$12:$Y$72,$Q$762+1))</f>
        <v>0</v>
      </c>
      <c r="E818" s="32" t="n">
        <f aca="false">INDEX(Surface_Engine!$O$12:$O$72,$A818+1)*IF($A818&lt;$Q$762,INDEX(Surface_Engine!$Z$12:$Z$72,$A818+1),INDEX(Surface_Engine!$Z$12:$Z$72,$Q$762+1))</f>
        <v>0</v>
      </c>
      <c r="F818" s="48" t="n">
        <f aca="false">B818*(IF($A818&lt;$Q$762,INDEX(Surface_Engine!$D$12:$D$72,$A818+1)+(Surface_Engine!B244*12)*INDEX(Surface_Engine!$F$12:$F$72,$A818+1)-(Surface_Engine!B244*12),1000*12*INDEX(Surface_Engine!$C$12:$C$72,$A818+1)/(1+Assumptions!$B$10)^7+INDEX(Surface_Engine!$D$12:$D$72,$A818+1)))*INDEX(Surface_Engine!$B$12:$B$72,$A818+1)+F819</f>
        <v>0</v>
      </c>
      <c r="G818" s="48" t="n">
        <f aca="false">C818*(IF($A818&lt;$Q$762,INDEX(Surface_Engine!$D$12:$D$72,$A818+1)+(Surface_Engine!B244*12)*INDEX(Surface_Engine!$F$12:$F$72,$A818+1)-(Surface_Engine!B244*12),1000*12*INDEX(Surface_Engine!$C$12:$C$72,$A818+1)/(1+Assumptions!$B$10)^7+INDEX(Surface_Engine!$D$12:$D$72,$A818+1)))*INDEX(Surface_Engine!$B$12:$B$72,$A818+1)+G819</f>
        <v>0</v>
      </c>
      <c r="H818" s="48" t="n">
        <f aca="false">D818*(IF($A818&lt;$Q$762,INDEX(Surface_Engine!$D$12:$D$72,$A818+1)+(Surface_Engine!B244*12)*INDEX(Surface_Engine!$F$12:$F$72,$A818+1)-(Surface_Engine!B244*12),1000*12*INDEX(Surface_Engine!$C$12:$C$72,$A818+1)/(1+Assumptions!$B$10)^7+INDEX(Surface_Engine!$D$12:$D$72,$A818+1)))*INDEX(Surface_Engine!$B$12:$B$72,$A818+1)+H819</f>
        <v>0</v>
      </c>
      <c r="I818" s="48" t="n">
        <f aca="false">E818*(IF($A818&lt;$Q$762,INDEX(Surface_Engine!$D$12:$D$72,$A818+1)+(Surface_Engine!B244*12)*INDEX(Surface_Engine!$F$12:$F$72,$A818+1)-(Surface_Engine!B244*12),1000*12*INDEX(Surface_Engine!$C$12:$C$72,$A818+1)/(1+Assumptions!$B$10)^7+INDEX(Surface_Engine!$D$12:$D$72,$A818+1)))*INDEX(Surface_Engine!$B$12:$B$72,$A818+1)+I819</f>
        <v>0</v>
      </c>
      <c r="J818" s="48" t="n">
        <f aca="false">B818*(IF($A818&lt;$Q$762,INDEX(Surface_Engine!$D$12:$D$72,$A818+1)*(1+Assumptions!$B$24)+(Surface_Engine!B244*12)*INDEX(Surface_Engine!$F$12:$F$72,$A818+1)-(Surface_Engine!B244*12),1000*12*INDEX(Surface_Engine!$C$12:$C$72,$A818+1)/(1+Assumptions!$B$10)^7+INDEX(Surface_Engine!$D$12:$D$72,$A818+1)*(1+Assumptions!$B$24)))*INDEX(Surface_Engine!$B$12:$B$72,$A818+1)+J819</f>
        <v>0</v>
      </c>
      <c r="K818" s="12" t="n">
        <f aca="false">SQRT((IF(C818&lt;=0,0,MAX(0,(B818/C818)*G818/INDEX(Surface_Engine!$B$12:$B$72,$A818+1)-F818/INDEX(Surface_Engine!$B$12:$B$72,$A818+1))))^2+(MAX(IF(D818&lt;=0,0,MAX(0,(B818/D818)*H818/INDEX(Surface_Engine!$B$12:$B$72,$A818+1)-F818/INDEX(Surface_Engine!$B$12:$B$72,$A818+1))),IF(E818&lt;=0,0,MAX(0,(B818/E818)*I818/INDEX(Surface_Engine!$B$12:$B$72,$A818+1)-F818/INDEX(Surface_Engine!$B$12:$B$72,$A818+1))),IF($A818&lt;$Q$762,MAX(0,-Assumptions!$B$22*(F818/INDEX(Surface_Engine!$B$12:$B$72,$A818+1))),0)))^2+(MAX(0,J818/INDEX(Surface_Engine!$B$12:$B$72,$A818+1)-(F818/INDEX(Surface_Engine!$B$12:$B$72,$A818+1))))^2+2*Assumptions!$B$26*(IF(C818&lt;=0,0,MAX(0,(B818/C818)*G818/INDEX(Surface_Engine!$B$12:$B$72,$A818+1)-F818/INDEX(Surface_Engine!$B$12:$B$72,$A818+1))))*(MAX(IF(D818&lt;=0,0,MAX(0,(B818/D818)*H818/INDEX(Surface_Engine!$B$12:$B$72,$A818+1)-F818/INDEX(Surface_Engine!$B$12:$B$72,$A818+1))),IF(E818&lt;=0,0,MAX(0,(B818/E818)*I818/INDEX(Surface_Engine!$B$12:$B$72,$A818+1)-F818/INDEX(Surface_Engine!$B$12:$B$72,$A818+1))),IF($A818&lt;$Q$762,MAX(0,-Assumptions!$B$22*(F818/INDEX(Surface_Engine!$B$12:$B$72,$A818+1))),0)))+2*Assumptions!$B$27*(IF(C818&lt;=0,0,MAX(0,(B818/C818)*G818/INDEX(Surface_Engine!$B$12:$B$72,$A818+1)-F818/INDEX(Surface_Engine!$B$12:$B$72,$A818+1))))*(MAX(0,J818/INDEX(Surface_Engine!$B$12:$B$72,$A818+1)-(F818/INDEX(Surface_Engine!$B$12:$B$72,$A818+1))))+2*Assumptions!$B$28*(MAX(IF(D818&lt;=0,0,MAX(0,(B818/D818)*H818/INDEX(Surface_Engine!$B$12:$B$72,$A818+1)-F818/INDEX(Surface_Engine!$B$12:$B$72,$A818+1))),IF(E818&lt;=0,0,MAX(0,(B818/E818)*I818/INDEX(Surface_Engine!$B$12:$B$72,$A818+1)-F818/INDEX(Surface_Engine!$B$12:$B$72,$A818+1))),IF($A818&lt;$Q$762,MAX(0,-Assumptions!$B$22*(F818/INDEX(Surface_Engine!$B$12:$B$72,$A818+1))),0)))*(MAX(0,J818/INDEX(Surface_Engine!$B$12:$B$72,$A818+1)-(F818/INDEX(Surface_Engine!$B$12:$B$72,$A818+1)))))</f>
        <v>0</v>
      </c>
      <c r="L818" s="48" t="n">
        <f aca="false">K818*INDEX(Surface_Engine!$B$12:$B$72,$A818+1)+L819</f>
        <v>0</v>
      </c>
      <c r="M818" s="48" t="n">
        <f aca="false">M817+B817*(IF($A817&lt;$Q$762,(Surface_Engine!B244*12)-(Surface_Engine!B244*12)*INDEX(Surface_Engine!$F$12:$F$72,$A817+1)-INDEX(Surface_Engine!$D$12:$D$72,$A817+1),-(1000*12*INDEX(Surface_Engine!$C$12:$C$72,$A817+1)/(1+Assumptions!$B$10)^7+INDEX(Surface_Engine!$D$12:$D$72,$A817+1))))*INDEX(Surface_Engine!$B$12:$B$72,$A817+1)</f>
        <v>4636.9100324336</v>
      </c>
      <c r="N818" s="12" t="n">
        <f aca="false">IF(B818&lt;=0,0,MAX(0,(K818+Assumptions!$B$29*L818/INDEX(Surface_Engine!$B$12:$B$72,$A818+1)-(M818/INDEX(Surface_Engine!$B$12:$B$72,$A818+1)-(F818/INDEX(Surface_Engine!$B$12:$B$72,$A818+1))))/B818))</f>
        <v>0</v>
      </c>
    </row>
    <row r="819" customFormat="false" ht="15" hidden="false" customHeight="true" outlineLevel="0" collapsed="false">
      <c r="A819" s="1" t="n">
        <v>55</v>
      </c>
      <c r="B819" s="32" t="n">
        <f aca="false">INDEX(Surface_Engine!$O$12:$O$72,$A819+1)*IF($A819&lt;$Q$762,INDEX(Surface_Engine!$E$12:$E$72,$A819+1),INDEX(Surface_Engine!$E$12:$E$72,$Q$762+1))</f>
        <v>0</v>
      </c>
      <c r="C819" s="32" t="n">
        <f aca="false">INDEX(Panel_Reserving!$E$8:$E$68,$A819+1)*IF($A819&lt;$Q$762,INDEX(Surface_Engine!$E$12:$E$72,$A819+1),INDEX(Surface_Engine!$E$12:$E$72,$Q$762+1))</f>
        <v>0</v>
      </c>
      <c r="D819" s="32" t="n">
        <f aca="false">INDEX(Surface_Engine!$O$12:$O$72,$A819+1)*IF($A819&lt;$Q$762,INDEX(Surface_Engine!$Y$12:$Y$72,$A819+1),INDEX(Surface_Engine!$Y$12:$Y$72,$Q$762+1))</f>
        <v>0</v>
      </c>
      <c r="E819" s="32" t="n">
        <f aca="false">INDEX(Surface_Engine!$O$12:$O$72,$A819+1)*IF($A819&lt;$Q$762,INDEX(Surface_Engine!$Z$12:$Z$72,$A819+1),INDEX(Surface_Engine!$Z$12:$Z$72,$Q$762+1))</f>
        <v>0</v>
      </c>
      <c r="F819" s="48" t="n">
        <f aca="false">B819*(IF($A819&lt;$Q$762,INDEX(Surface_Engine!$D$12:$D$72,$A819+1)+(Surface_Engine!B244*12)*INDEX(Surface_Engine!$F$12:$F$72,$A819+1)-(Surface_Engine!B244*12),1000*12*INDEX(Surface_Engine!$C$12:$C$72,$A819+1)/(1+Assumptions!$B$10)^7+INDEX(Surface_Engine!$D$12:$D$72,$A819+1)))*INDEX(Surface_Engine!$B$12:$B$72,$A819+1)+F820</f>
        <v>0</v>
      </c>
      <c r="G819" s="48" t="n">
        <f aca="false">C819*(IF($A819&lt;$Q$762,INDEX(Surface_Engine!$D$12:$D$72,$A819+1)+(Surface_Engine!B244*12)*INDEX(Surface_Engine!$F$12:$F$72,$A819+1)-(Surface_Engine!B244*12),1000*12*INDEX(Surface_Engine!$C$12:$C$72,$A819+1)/(1+Assumptions!$B$10)^7+INDEX(Surface_Engine!$D$12:$D$72,$A819+1)))*INDEX(Surface_Engine!$B$12:$B$72,$A819+1)+G820</f>
        <v>0</v>
      </c>
      <c r="H819" s="48" t="n">
        <f aca="false">D819*(IF($A819&lt;$Q$762,INDEX(Surface_Engine!$D$12:$D$72,$A819+1)+(Surface_Engine!B244*12)*INDEX(Surface_Engine!$F$12:$F$72,$A819+1)-(Surface_Engine!B244*12),1000*12*INDEX(Surface_Engine!$C$12:$C$72,$A819+1)/(1+Assumptions!$B$10)^7+INDEX(Surface_Engine!$D$12:$D$72,$A819+1)))*INDEX(Surface_Engine!$B$12:$B$72,$A819+1)+H820</f>
        <v>0</v>
      </c>
      <c r="I819" s="48" t="n">
        <f aca="false">E819*(IF($A819&lt;$Q$762,INDEX(Surface_Engine!$D$12:$D$72,$A819+1)+(Surface_Engine!B244*12)*INDEX(Surface_Engine!$F$12:$F$72,$A819+1)-(Surface_Engine!B244*12),1000*12*INDEX(Surface_Engine!$C$12:$C$72,$A819+1)/(1+Assumptions!$B$10)^7+INDEX(Surface_Engine!$D$12:$D$72,$A819+1)))*INDEX(Surface_Engine!$B$12:$B$72,$A819+1)+I820</f>
        <v>0</v>
      </c>
      <c r="J819" s="48" t="n">
        <f aca="false">B819*(IF($A819&lt;$Q$762,INDEX(Surface_Engine!$D$12:$D$72,$A819+1)*(1+Assumptions!$B$24)+(Surface_Engine!B244*12)*INDEX(Surface_Engine!$F$12:$F$72,$A819+1)-(Surface_Engine!B244*12),1000*12*INDEX(Surface_Engine!$C$12:$C$72,$A819+1)/(1+Assumptions!$B$10)^7+INDEX(Surface_Engine!$D$12:$D$72,$A819+1)*(1+Assumptions!$B$24)))*INDEX(Surface_Engine!$B$12:$B$72,$A819+1)+J820</f>
        <v>0</v>
      </c>
      <c r="K819" s="12" t="n">
        <f aca="false">SQRT((IF(C819&lt;=0,0,MAX(0,(B819/C819)*G819/INDEX(Surface_Engine!$B$12:$B$72,$A819+1)-F819/INDEX(Surface_Engine!$B$12:$B$72,$A819+1))))^2+(MAX(IF(D819&lt;=0,0,MAX(0,(B819/D819)*H819/INDEX(Surface_Engine!$B$12:$B$72,$A819+1)-F819/INDEX(Surface_Engine!$B$12:$B$72,$A819+1))),IF(E819&lt;=0,0,MAX(0,(B819/E819)*I819/INDEX(Surface_Engine!$B$12:$B$72,$A819+1)-F819/INDEX(Surface_Engine!$B$12:$B$72,$A819+1))),IF($A819&lt;$Q$762,MAX(0,-Assumptions!$B$22*(F819/INDEX(Surface_Engine!$B$12:$B$72,$A819+1))),0)))^2+(MAX(0,J819/INDEX(Surface_Engine!$B$12:$B$72,$A819+1)-(F819/INDEX(Surface_Engine!$B$12:$B$72,$A819+1))))^2+2*Assumptions!$B$26*(IF(C819&lt;=0,0,MAX(0,(B819/C819)*G819/INDEX(Surface_Engine!$B$12:$B$72,$A819+1)-F819/INDEX(Surface_Engine!$B$12:$B$72,$A819+1))))*(MAX(IF(D819&lt;=0,0,MAX(0,(B819/D819)*H819/INDEX(Surface_Engine!$B$12:$B$72,$A819+1)-F819/INDEX(Surface_Engine!$B$12:$B$72,$A819+1))),IF(E819&lt;=0,0,MAX(0,(B819/E819)*I819/INDEX(Surface_Engine!$B$12:$B$72,$A819+1)-F819/INDEX(Surface_Engine!$B$12:$B$72,$A819+1))),IF($A819&lt;$Q$762,MAX(0,-Assumptions!$B$22*(F819/INDEX(Surface_Engine!$B$12:$B$72,$A819+1))),0)))+2*Assumptions!$B$27*(IF(C819&lt;=0,0,MAX(0,(B819/C819)*G819/INDEX(Surface_Engine!$B$12:$B$72,$A819+1)-F819/INDEX(Surface_Engine!$B$12:$B$72,$A819+1))))*(MAX(0,J819/INDEX(Surface_Engine!$B$12:$B$72,$A819+1)-(F819/INDEX(Surface_Engine!$B$12:$B$72,$A819+1))))+2*Assumptions!$B$28*(MAX(IF(D819&lt;=0,0,MAX(0,(B819/D819)*H819/INDEX(Surface_Engine!$B$12:$B$72,$A819+1)-F819/INDEX(Surface_Engine!$B$12:$B$72,$A819+1))),IF(E819&lt;=0,0,MAX(0,(B819/E819)*I819/INDEX(Surface_Engine!$B$12:$B$72,$A819+1)-F819/INDEX(Surface_Engine!$B$12:$B$72,$A819+1))),IF($A819&lt;$Q$762,MAX(0,-Assumptions!$B$22*(F819/INDEX(Surface_Engine!$B$12:$B$72,$A819+1))),0)))*(MAX(0,J819/INDEX(Surface_Engine!$B$12:$B$72,$A819+1)-(F819/INDEX(Surface_Engine!$B$12:$B$72,$A819+1)))))</f>
        <v>0</v>
      </c>
      <c r="L819" s="48" t="n">
        <f aca="false">K819*INDEX(Surface_Engine!$B$12:$B$72,$A819+1)+L820</f>
        <v>0</v>
      </c>
      <c r="M819" s="48" t="n">
        <f aca="false">M818+B818*(IF($A818&lt;$Q$762,(Surface_Engine!B244*12)-(Surface_Engine!B244*12)*INDEX(Surface_Engine!$F$12:$F$72,$A818+1)-INDEX(Surface_Engine!$D$12:$D$72,$A818+1),-(1000*12*INDEX(Surface_Engine!$C$12:$C$72,$A818+1)/(1+Assumptions!$B$10)^7+INDEX(Surface_Engine!$D$12:$D$72,$A818+1))))*INDEX(Surface_Engine!$B$12:$B$72,$A818+1)</f>
        <v>4636.9100324336</v>
      </c>
      <c r="N819" s="12" t="n">
        <f aca="false">IF(B819&lt;=0,0,MAX(0,(K819+Assumptions!$B$29*L819/INDEX(Surface_Engine!$B$12:$B$72,$A819+1)-(M819/INDEX(Surface_Engine!$B$12:$B$72,$A819+1)-(F819/INDEX(Surface_Engine!$B$12:$B$72,$A819+1))))/B819))</f>
        <v>0</v>
      </c>
    </row>
    <row r="820" customFormat="false" ht="15" hidden="false" customHeight="true" outlineLevel="0" collapsed="false">
      <c r="A820" s="1" t="n">
        <v>56</v>
      </c>
      <c r="B820" s="32" t="n">
        <f aca="false">INDEX(Surface_Engine!$O$12:$O$72,$A820+1)*IF($A820&lt;$Q$762,INDEX(Surface_Engine!$E$12:$E$72,$A820+1),INDEX(Surface_Engine!$E$12:$E$72,$Q$762+1))</f>
        <v>0</v>
      </c>
      <c r="C820" s="32" t="n">
        <f aca="false">INDEX(Panel_Reserving!$E$8:$E$68,$A820+1)*IF($A820&lt;$Q$762,INDEX(Surface_Engine!$E$12:$E$72,$A820+1),INDEX(Surface_Engine!$E$12:$E$72,$Q$762+1))</f>
        <v>0</v>
      </c>
      <c r="D820" s="32" t="n">
        <f aca="false">INDEX(Surface_Engine!$O$12:$O$72,$A820+1)*IF($A820&lt;$Q$762,INDEX(Surface_Engine!$Y$12:$Y$72,$A820+1),INDEX(Surface_Engine!$Y$12:$Y$72,$Q$762+1))</f>
        <v>0</v>
      </c>
      <c r="E820" s="32" t="n">
        <f aca="false">INDEX(Surface_Engine!$O$12:$O$72,$A820+1)*IF($A820&lt;$Q$762,INDEX(Surface_Engine!$Z$12:$Z$72,$A820+1),INDEX(Surface_Engine!$Z$12:$Z$72,$Q$762+1))</f>
        <v>0</v>
      </c>
      <c r="F820" s="48" t="n">
        <f aca="false">B820*(IF($A820&lt;$Q$762,INDEX(Surface_Engine!$D$12:$D$72,$A820+1)+(Surface_Engine!B244*12)*INDEX(Surface_Engine!$F$12:$F$72,$A820+1)-(Surface_Engine!B244*12),1000*12*INDEX(Surface_Engine!$C$12:$C$72,$A820+1)/(1+Assumptions!$B$10)^7+INDEX(Surface_Engine!$D$12:$D$72,$A820+1)))*INDEX(Surface_Engine!$B$12:$B$72,$A820+1)+F821</f>
        <v>0</v>
      </c>
      <c r="G820" s="48" t="n">
        <f aca="false">C820*(IF($A820&lt;$Q$762,INDEX(Surface_Engine!$D$12:$D$72,$A820+1)+(Surface_Engine!B244*12)*INDEX(Surface_Engine!$F$12:$F$72,$A820+1)-(Surface_Engine!B244*12),1000*12*INDEX(Surface_Engine!$C$12:$C$72,$A820+1)/(1+Assumptions!$B$10)^7+INDEX(Surface_Engine!$D$12:$D$72,$A820+1)))*INDEX(Surface_Engine!$B$12:$B$72,$A820+1)+G821</f>
        <v>0</v>
      </c>
      <c r="H820" s="48" t="n">
        <f aca="false">D820*(IF($A820&lt;$Q$762,INDEX(Surface_Engine!$D$12:$D$72,$A820+1)+(Surface_Engine!B244*12)*INDEX(Surface_Engine!$F$12:$F$72,$A820+1)-(Surface_Engine!B244*12),1000*12*INDEX(Surface_Engine!$C$12:$C$72,$A820+1)/(1+Assumptions!$B$10)^7+INDEX(Surface_Engine!$D$12:$D$72,$A820+1)))*INDEX(Surface_Engine!$B$12:$B$72,$A820+1)+H821</f>
        <v>0</v>
      </c>
      <c r="I820" s="48" t="n">
        <f aca="false">E820*(IF($A820&lt;$Q$762,INDEX(Surface_Engine!$D$12:$D$72,$A820+1)+(Surface_Engine!B244*12)*INDEX(Surface_Engine!$F$12:$F$72,$A820+1)-(Surface_Engine!B244*12),1000*12*INDEX(Surface_Engine!$C$12:$C$72,$A820+1)/(1+Assumptions!$B$10)^7+INDEX(Surface_Engine!$D$12:$D$72,$A820+1)))*INDEX(Surface_Engine!$B$12:$B$72,$A820+1)+I821</f>
        <v>0</v>
      </c>
      <c r="J820" s="48" t="n">
        <f aca="false">B820*(IF($A820&lt;$Q$762,INDEX(Surface_Engine!$D$12:$D$72,$A820+1)*(1+Assumptions!$B$24)+(Surface_Engine!B244*12)*INDEX(Surface_Engine!$F$12:$F$72,$A820+1)-(Surface_Engine!B244*12),1000*12*INDEX(Surface_Engine!$C$12:$C$72,$A820+1)/(1+Assumptions!$B$10)^7+INDEX(Surface_Engine!$D$12:$D$72,$A820+1)*(1+Assumptions!$B$24)))*INDEX(Surface_Engine!$B$12:$B$72,$A820+1)+J821</f>
        <v>0</v>
      </c>
      <c r="K820" s="12" t="n">
        <f aca="false">SQRT((IF(C820&lt;=0,0,MAX(0,(B820/C820)*G820/INDEX(Surface_Engine!$B$12:$B$72,$A820+1)-F820/INDEX(Surface_Engine!$B$12:$B$72,$A820+1))))^2+(MAX(IF(D820&lt;=0,0,MAX(0,(B820/D820)*H820/INDEX(Surface_Engine!$B$12:$B$72,$A820+1)-F820/INDEX(Surface_Engine!$B$12:$B$72,$A820+1))),IF(E820&lt;=0,0,MAX(0,(B820/E820)*I820/INDEX(Surface_Engine!$B$12:$B$72,$A820+1)-F820/INDEX(Surface_Engine!$B$12:$B$72,$A820+1))),IF($A820&lt;$Q$762,MAX(0,-Assumptions!$B$22*(F820/INDEX(Surface_Engine!$B$12:$B$72,$A820+1))),0)))^2+(MAX(0,J820/INDEX(Surface_Engine!$B$12:$B$72,$A820+1)-(F820/INDEX(Surface_Engine!$B$12:$B$72,$A820+1))))^2+2*Assumptions!$B$26*(IF(C820&lt;=0,0,MAX(0,(B820/C820)*G820/INDEX(Surface_Engine!$B$12:$B$72,$A820+1)-F820/INDEX(Surface_Engine!$B$12:$B$72,$A820+1))))*(MAX(IF(D820&lt;=0,0,MAX(0,(B820/D820)*H820/INDEX(Surface_Engine!$B$12:$B$72,$A820+1)-F820/INDEX(Surface_Engine!$B$12:$B$72,$A820+1))),IF(E820&lt;=0,0,MAX(0,(B820/E820)*I820/INDEX(Surface_Engine!$B$12:$B$72,$A820+1)-F820/INDEX(Surface_Engine!$B$12:$B$72,$A820+1))),IF($A820&lt;$Q$762,MAX(0,-Assumptions!$B$22*(F820/INDEX(Surface_Engine!$B$12:$B$72,$A820+1))),0)))+2*Assumptions!$B$27*(IF(C820&lt;=0,0,MAX(0,(B820/C820)*G820/INDEX(Surface_Engine!$B$12:$B$72,$A820+1)-F820/INDEX(Surface_Engine!$B$12:$B$72,$A820+1))))*(MAX(0,J820/INDEX(Surface_Engine!$B$12:$B$72,$A820+1)-(F820/INDEX(Surface_Engine!$B$12:$B$72,$A820+1))))+2*Assumptions!$B$28*(MAX(IF(D820&lt;=0,0,MAX(0,(B820/D820)*H820/INDEX(Surface_Engine!$B$12:$B$72,$A820+1)-F820/INDEX(Surface_Engine!$B$12:$B$72,$A820+1))),IF(E820&lt;=0,0,MAX(0,(B820/E820)*I820/INDEX(Surface_Engine!$B$12:$B$72,$A820+1)-F820/INDEX(Surface_Engine!$B$12:$B$72,$A820+1))),IF($A820&lt;$Q$762,MAX(0,-Assumptions!$B$22*(F820/INDEX(Surface_Engine!$B$12:$B$72,$A820+1))),0)))*(MAX(0,J820/INDEX(Surface_Engine!$B$12:$B$72,$A820+1)-(F820/INDEX(Surface_Engine!$B$12:$B$72,$A820+1)))))</f>
        <v>0</v>
      </c>
      <c r="L820" s="48" t="n">
        <f aca="false">K820*INDEX(Surface_Engine!$B$12:$B$72,$A820+1)+L821</f>
        <v>0</v>
      </c>
      <c r="M820" s="48" t="n">
        <f aca="false">M819+B819*(IF($A819&lt;$Q$762,(Surface_Engine!B244*12)-(Surface_Engine!B244*12)*INDEX(Surface_Engine!$F$12:$F$72,$A819+1)-INDEX(Surface_Engine!$D$12:$D$72,$A819+1),-(1000*12*INDEX(Surface_Engine!$C$12:$C$72,$A819+1)/(1+Assumptions!$B$10)^7+INDEX(Surface_Engine!$D$12:$D$72,$A819+1))))*INDEX(Surface_Engine!$B$12:$B$72,$A819+1)</f>
        <v>4636.9100324336</v>
      </c>
      <c r="N820" s="12" t="n">
        <f aca="false">IF(B820&lt;=0,0,MAX(0,(K820+Assumptions!$B$29*L820/INDEX(Surface_Engine!$B$12:$B$72,$A820+1)-(M820/INDEX(Surface_Engine!$B$12:$B$72,$A820+1)-(F820/INDEX(Surface_Engine!$B$12:$B$72,$A820+1))))/B820))</f>
        <v>0</v>
      </c>
    </row>
    <row r="821" customFormat="false" ht="15" hidden="false" customHeight="true" outlineLevel="0" collapsed="false">
      <c r="A821" s="1" t="n">
        <v>57</v>
      </c>
      <c r="B821" s="32" t="n">
        <f aca="false">INDEX(Surface_Engine!$O$12:$O$72,$A821+1)*IF($A821&lt;$Q$762,INDEX(Surface_Engine!$E$12:$E$72,$A821+1),INDEX(Surface_Engine!$E$12:$E$72,$Q$762+1))</f>
        <v>0</v>
      </c>
      <c r="C821" s="32" t="n">
        <f aca="false">INDEX(Panel_Reserving!$E$8:$E$68,$A821+1)*IF($A821&lt;$Q$762,INDEX(Surface_Engine!$E$12:$E$72,$A821+1),INDEX(Surface_Engine!$E$12:$E$72,$Q$762+1))</f>
        <v>0</v>
      </c>
      <c r="D821" s="32" t="n">
        <f aca="false">INDEX(Surface_Engine!$O$12:$O$72,$A821+1)*IF($A821&lt;$Q$762,INDEX(Surface_Engine!$Y$12:$Y$72,$A821+1),INDEX(Surface_Engine!$Y$12:$Y$72,$Q$762+1))</f>
        <v>0</v>
      </c>
      <c r="E821" s="32" t="n">
        <f aca="false">INDEX(Surface_Engine!$O$12:$O$72,$A821+1)*IF($A821&lt;$Q$762,INDEX(Surface_Engine!$Z$12:$Z$72,$A821+1),INDEX(Surface_Engine!$Z$12:$Z$72,$Q$762+1))</f>
        <v>0</v>
      </c>
      <c r="F821" s="48" t="n">
        <f aca="false">B821*(IF($A821&lt;$Q$762,INDEX(Surface_Engine!$D$12:$D$72,$A821+1)+(Surface_Engine!B244*12)*INDEX(Surface_Engine!$F$12:$F$72,$A821+1)-(Surface_Engine!B244*12),1000*12*INDEX(Surface_Engine!$C$12:$C$72,$A821+1)/(1+Assumptions!$B$10)^7+INDEX(Surface_Engine!$D$12:$D$72,$A821+1)))*INDEX(Surface_Engine!$B$12:$B$72,$A821+1)+F822</f>
        <v>0</v>
      </c>
      <c r="G821" s="48" t="n">
        <f aca="false">C821*(IF($A821&lt;$Q$762,INDEX(Surface_Engine!$D$12:$D$72,$A821+1)+(Surface_Engine!B244*12)*INDEX(Surface_Engine!$F$12:$F$72,$A821+1)-(Surface_Engine!B244*12),1000*12*INDEX(Surface_Engine!$C$12:$C$72,$A821+1)/(1+Assumptions!$B$10)^7+INDEX(Surface_Engine!$D$12:$D$72,$A821+1)))*INDEX(Surface_Engine!$B$12:$B$72,$A821+1)+G822</f>
        <v>0</v>
      </c>
      <c r="H821" s="48" t="n">
        <f aca="false">D821*(IF($A821&lt;$Q$762,INDEX(Surface_Engine!$D$12:$D$72,$A821+1)+(Surface_Engine!B244*12)*INDEX(Surface_Engine!$F$12:$F$72,$A821+1)-(Surface_Engine!B244*12),1000*12*INDEX(Surface_Engine!$C$12:$C$72,$A821+1)/(1+Assumptions!$B$10)^7+INDEX(Surface_Engine!$D$12:$D$72,$A821+1)))*INDEX(Surface_Engine!$B$12:$B$72,$A821+1)+H822</f>
        <v>0</v>
      </c>
      <c r="I821" s="48" t="n">
        <f aca="false">E821*(IF($A821&lt;$Q$762,INDEX(Surface_Engine!$D$12:$D$72,$A821+1)+(Surface_Engine!B244*12)*INDEX(Surface_Engine!$F$12:$F$72,$A821+1)-(Surface_Engine!B244*12),1000*12*INDEX(Surface_Engine!$C$12:$C$72,$A821+1)/(1+Assumptions!$B$10)^7+INDEX(Surface_Engine!$D$12:$D$72,$A821+1)))*INDEX(Surface_Engine!$B$12:$B$72,$A821+1)+I822</f>
        <v>0</v>
      </c>
      <c r="J821" s="48" t="n">
        <f aca="false">B821*(IF($A821&lt;$Q$762,INDEX(Surface_Engine!$D$12:$D$72,$A821+1)*(1+Assumptions!$B$24)+(Surface_Engine!B244*12)*INDEX(Surface_Engine!$F$12:$F$72,$A821+1)-(Surface_Engine!B244*12),1000*12*INDEX(Surface_Engine!$C$12:$C$72,$A821+1)/(1+Assumptions!$B$10)^7+INDEX(Surface_Engine!$D$12:$D$72,$A821+1)*(1+Assumptions!$B$24)))*INDEX(Surface_Engine!$B$12:$B$72,$A821+1)+J822</f>
        <v>0</v>
      </c>
      <c r="K821" s="12" t="n">
        <f aca="false">SQRT((IF(C821&lt;=0,0,MAX(0,(B821/C821)*G821/INDEX(Surface_Engine!$B$12:$B$72,$A821+1)-F821/INDEX(Surface_Engine!$B$12:$B$72,$A821+1))))^2+(MAX(IF(D821&lt;=0,0,MAX(0,(B821/D821)*H821/INDEX(Surface_Engine!$B$12:$B$72,$A821+1)-F821/INDEX(Surface_Engine!$B$12:$B$72,$A821+1))),IF(E821&lt;=0,0,MAX(0,(B821/E821)*I821/INDEX(Surface_Engine!$B$12:$B$72,$A821+1)-F821/INDEX(Surface_Engine!$B$12:$B$72,$A821+1))),IF($A821&lt;$Q$762,MAX(0,-Assumptions!$B$22*(F821/INDEX(Surface_Engine!$B$12:$B$72,$A821+1))),0)))^2+(MAX(0,J821/INDEX(Surface_Engine!$B$12:$B$72,$A821+1)-(F821/INDEX(Surface_Engine!$B$12:$B$72,$A821+1))))^2+2*Assumptions!$B$26*(IF(C821&lt;=0,0,MAX(0,(B821/C821)*G821/INDEX(Surface_Engine!$B$12:$B$72,$A821+1)-F821/INDEX(Surface_Engine!$B$12:$B$72,$A821+1))))*(MAX(IF(D821&lt;=0,0,MAX(0,(B821/D821)*H821/INDEX(Surface_Engine!$B$12:$B$72,$A821+1)-F821/INDEX(Surface_Engine!$B$12:$B$72,$A821+1))),IF(E821&lt;=0,0,MAX(0,(B821/E821)*I821/INDEX(Surface_Engine!$B$12:$B$72,$A821+1)-F821/INDEX(Surface_Engine!$B$12:$B$72,$A821+1))),IF($A821&lt;$Q$762,MAX(0,-Assumptions!$B$22*(F821/INDEX(Surface_Engine!$B$12:$B$72,$A821+1))),0)))+2*Assumptions!$B$27*(IF(C821&lt;=0,0,MAX(0,(B821/C821)*G821/INDEX(Surface_Engine!$B$12:$B$72,$A821+1)-F821/INDEX(Surface_Engine!$B$12:$B$72,$A821+1))))*(MAX(0,J821/INDEX(Surface_Engine!$B$12:$B$72,$A821+1)-(F821/INDEX(Surface_Engine!$B$12:$B$72,$A821+1))))+2*Assumptions!$B$28*(MAX(IF(D821&lt;=0,0,MAX(0,(B821/D821)*H821/INDEX(Surface_Engine!$B$12:$B$72,$A821+1)-F821/INDEX(Surface_Engine!$B$12:$B$72,$A821+1))),IF(E821&lt;=0,0,MAX(0,(B821/E821)*I821/INDEX(Surface_Engine!$B$12:$B$72,$A821+1)-F821/INDEX(Surface_Engine!$B$12:$B$72,$A821+1))),IF($A821&lt;$Q$762,MAX(0,-Assumptions!$B$22*(F821/INDEX(Surface_Engine!$B$12:$B$72,$A821+1))),0)))*(MAX(0,J821/INDEX(Surface_Engine!$B$12:$B$72,$A821+1)-(F821/INDEX(Surface_Engine!$B$12:$B$72,$A821+1)))))</f>
        <v>0</v>
      </c>
      <c r="L821" s="48" t="n">
        <f aca="false">K821*INDEX(Surface_Engine!$B$12:$B$72,$A821+1)+L822</f>
        <v>0</v>
      </c>
      <c r="M821" s="48" t="n">
        <f aca="false">M820+B820*(IF($A820&lt;$Q$762,(Surface_Engine!B244*12)-(Surface_Engine!B244*12)*INDEX(Surface_Engine!$F$12:$F$72,$A820+1)-INDEX(Surface_Engine!$D$12:$D$72,$A820+1),-(1000*12*INDEX(Surface_Engine!$C$12:$C$72,$A820+1)/(1+Assumptions!$B$10)^7+INDEX(Surface_Engine!$D$12:$D$72,$A820+1))))*INDEX(Surface_Engine!$B$12:$B$72,$A820+1)</f>
        <v>4636.9100324336</v>
      </c>
      <c r="N821" s="12" t="n">
        <f aca="false">IF(B821&lt;=0,0,MAX(0,(K821+Assumptions!$B$29*L821/INDEX(Surface_Engine!$B$12:$B$72,$A821+1)-(M821/INDEX(Surface_Engine!$B$12:$B$72,$A821+1)-(F821/INDEX(Surface_Engine!$B$12:$B$72,$A821+1))))/B821))</f>
        <v>0</v>
      </c>
    </row>
    <row r="822" customFormat="false" ht="15" hidden="false" customHeight="true" outlineLevel="0" collapsed="false">
      <c r="A822" s="1" t="n">
        <v>58</v>
      </c>
      <c r="B822" s="32" t="n">
        <f aca="false">INDEX(Surface_Engine!$O$12:$O$72,$A822+1)*IF($A822&lt;$Q$762,INDEX(Surface_Engine!$E$12:$E$72,$A822+1),INDEX(Surface_Engine!$E$12:$E$72,$Q$762+1))</f>
        <v>0</v>
      </c>
      <c r="C822" s="32" t="n">
        <f aca="false">INDEX(Panel_Reserving!$E$8:$E$68,$A822+1)*IF($A822&lt;$Q$762,INDEX(Surface_Engine!$E$12:$E$72,$A822+1),INDEX(Surface_Engine!$E$12:$E$72,$Q$762+1))</f>
        <v>0</v>
      </c>
      <c r="D822" s="32" t="n">
        <f aca="false">INDEX(Surface_Engine!$O$12:$O$72,$A822+1)*IF($A822&lt;$Q$762,INDEX(Surface_Engine!$Y$12:$Y$72,$A822+1),INDEX(Surface_Engine!$Y$12:$Y$72,$Q$762+1))</f>
        <v>0</v>
      </c>
      <c r="E822" s="32" t="n">
        <f aca="false">INDEX(Surface_Engine!$O$12:$O$72,$A822+1)*IF($A822&lt;$Q$762,INDEX(Surface_Engine!$Z$12:$Z$72,$A822+1),INDEX(Surface_Engine!$Z$12:$Z$72,$Q$762+1))</f>
        <v>0</v>
      </c>
      <c r="F822" s="48" t="n">
        <f aca="false">B822*(IF($A822&lt;$Q$762,INDEX(Surface_Engine!$D$12:$D$72,$A822+1)+(Surface_Engine!B244*12)*INDEX(Surface_Engine!$F$12:$F$72,$A822+1)-(Surface_Engine!B244*12),1000*12*INDEX(Surface_Engine!$C$12:$C$72,$A822+1)/(1+Assumptions!$B$10)^7+INDEX(Surface_Engine!$D$12:$D$72,$A822+1)))*INDEX(Surface_Engine!$B$12:$B$72,$A822+1)+F823</f>
        <v>0</v>
      </c>
      <c r="G822" s="48" t="n">
        <f aca="false">C822*(IF($A822&lt;$Q$762,INDEX(Surface_Engine!$D$12:$D$72,$A822+1)+(Surface_Engine!B244*12)*INDEX(Surface_Engine!$F$12:$F$72,$A822+1)-(Surface_Engine!B244*12),1000*12*INDEX(Surface_Engine!$C$12:$C$72,$A822+1)/(1+Assumptions!$B$10)^7+INDEX(Surface_Engine!$D$12:$D$72,$A822+1)))*INDEX(Surface_Engine!$B$12:$B$72,$A822+1)+G823</f>
        <v>0</v>
      </c>
      <c r="H822" s="48" t="n">
        <f aca="false">D822*(IF($A822&lt;$Q$762,INDEX(Surface_Engine!$D$12:$D$72,$A822+1)+(Surface_Engine!B244*12)*INDEX(Surface_Engine!$F$12:$F$72,$A822+1)-(Surface_Engine!B244*12),1000*12*INDEX(Surface_Engine!$C$12:$C$72,$A822+1)/(1+Assumptions!$B$10)^7+INDEX(Surface_Engine!$D$12:$D$72,$A822+1)))*INDEX(Surface_Engine!$B$12:$B$72,$A822+1)+H823</f>
        <v>0</v>
      </c>
      <c r="I822" s="48" t="n">
        <f aca="false">E822*(IF($A822&lt;$Q$762,INDEX(Surface_Engine!$D$12:$D$72,$A822+1)+(Surface_Engine!B244*12)*INDEX(Surface_Engine!$F$12:$F$72,$A822+1)-(Surface_Engine!B244*12),1000*12*INDEX(Surface_Engine!$C$12:$C$72,$A822+1)/(1+Assumptions!$B$10)^7+INDEX(Surface_Engine!$D$12:$D$72,$A822+1)))*INDEX(Surface_Engine!$B$12:$B$72,$A822+1)+I823</f>
        <v>0</v>
      </c>
      <c r="J822" s="48" t="n">
        <f aca="false">B822*(IF($A822&lt;$Q$762,INDEX(Surface_Engine!$D$12:$D$72,$A822+1)*(1+Assumptions!$B$24)+(Surface_Engine!B244*12)*INDEX(Surface_Engine!$F$12:$F$72,$A822+1)-(Surface_Engine!B244*12),1000*12*INDEX(Surface_Engine!$C$12:$C$72,$A822+1)/(1+Assumptions!$B$10)^7+INDEX(Surface_Engine!$D$12:$D$72,$A822+1)*(1+Assumptions!$B$24)))*INDEX(Surface_Engine!$B$12:$B$72,$A822+1)+J823</f>
        <v>0</v>
      </c>
      <c r="K822" s="12" t="n">
        <f aca="false">SQRT((IF(C822&lt;=0,0,MAX(0,(B822/C822)*G822/INDEX(Surface_Engine!$B$12:$B$72,$A822+1)-F822/INDEX(Surface_Engine!$B$12:$B$72,$A822+1))))^2+(MAX(IF(D822&lt;=0,0,MAX(0,(B822/D822)*H822/INDEX(Surface_Engine!$B$12:$B$72,$A822+1)-F822/INDEX(Surface_Engine!$B$12:$B$72,$A822+1))),IF(E822&lt;=0,0,MAX(0,(B822/E822)*I822/INDEX(Surface_Engine!$B$12:$B$72,$A822+1)-F822/INDEX(Surface_Engine!$B$12:$B$72,$A822+1))),IF($A822&lt;$Q$762,MAX(0,-Assumptions!$B$22*(F822/INDEX(Surface_Engine!$B$12:$B$72,$A822+1))),0)))^2+(MAX(0,J822/INDEX(Surface_Engine!$B$12:$B$72,$A822+1)-(F822/INDEX(Surface_Engine!$B$12:$B$72,$A822+1))))^2+2*Assumptions!$B$26*(IF(C822&lt;=0,0,MAX(0,(B822/C822)*G822/INDEX(Surface_Engine!$B$12:$B$72,$A822+1)-F822/INDEX(Surface_Engine!$B$12:$B$72,$A822+1))))*(MAX(IF(D822&lt;=0,0,MAX(0,(B822/D822)*H822/INDEX(Surface_Engine!$B$12:$B$72,$A822+1)-F822/INDEX(Surface_Engine!$B$12:$B$72,$A822+1))),IF(E822&lt;=0,0,MAX(0,(B822/E822)*I822/INDEX(Surface_Engine!$B$12:$B$72,$A822+1)-F822/INDEX(Surface_Engine!$B$12:$B$72,$A822+1))),IF($A822&lt;$Q$762,MAX(0,-Assumptions!$B$22*(F822/INDEX(Surface_Engine!$B$12:$B$72,$A822+1))),0)))+2*Assumptions!$B$27*(IF(C822&lt;=0,0,MAX(0,(B822/C822)*G822/INDEX(Surface_Engine!$B$12:$B$72,$A822+1)-F822/INDEX(Surface_Engine!$B$12:$B$72,$A822+1))))*(MAX(0,J822/INDEX(Surface_Engine!$B$12:$B$72,$A822+1)-(F822/INDEX(Surface_Engine!$B$12:$B$72,$A822+1))))+2*Assumptions!$B$28*(MAX(IF(D822&lt;=0,0,MAX(0,(B822/D822)*H822/INDEX(Surface_Engine!$B$12:$B$72,$A822+1)-F822/INDEX(Surface_Engine!$B$12:$B$72,$A822+1))),IF(E822&lt;=0,0,MAX(0,(B822/E822)*I822/INDEX(Surface_Engine!$B$12:$B$72,$A822+1)-F822/INDEX(Surface_Engine!$B$12:$B$72,$A822+1))),IF($A822&lt;$Q$762,MAX(0,-Assumptions!$B$22*(F822/INDEX(Surface_Engine!$B$12:$B$72,$A822+1))),0)))*(MAX(0,J822/INDEX(Surface_Engine!$B$12:$B$72,$A822+1)-(F822/INDEX(Surface_Engine!$B$12:$B$72,$A822+1)))))</f>
        <v>0</v>
      </c>
      <c r="L822" s="48" t="n">
        <f aca="false">K822*INDEX(Surface_Engine!$B$12:$B$72,$A822+1)+L823</f>
        <v>0</v>
      </c>
      <c r="M822" s="48" t="n">
        <f aca="false">M821+B821*(IF($A821&lt;$Q$762,(Surface_Engine!B244*12)-(Surface_Engine!B244*12)*INDEX(Surface_Engine!$F$12:$F$72,$A821+1)-INDEX(Surface_Engine!$D$12:$D$72,$A821+1),-(1000*12*INDEX(Surface_Engine!$C$12:$C$72,$A821+1)/(1+Assumptions!$B$10)^7+INDEX(Surface_Engine!$D$12:$D$72,$A821+1))))*INDEX(Surface_Engine!$B$12:$B$72,$A821+1)</f>
        <v>4636.9100324336</v>
      </c>
      <c r="N822" s="12" t="n">
        <f aca="false">IF(B822&lt;=0,0,MAX(0,(K822+Assumptions!$B$29*L822/INDEX(Surface_Engine!$B$12:$B$72,$A822+1)-(M822/INDEX(Surface_Engine!$B$12:$B$72,$A822+1)-(F822/INDEX(Surface_Engine!$B$12:$B$72,$A822+1))))/B822))</f>
        <v>0</v>
      </c>
    </row>
    <row r="823" customFormat="false" ht="15" hidden="false" customHeight="true" outlineLevel="0" collapsed="false">
      <c r="A823" s="1" t="n">
        <v>59</v>
      </c>
      <c r="B823" s="32" t="n">
        <f aca="false">INDEX(Surface_Engine!$O$12:$O$72,$A823+1)*IF($A823&lt;$Q$762,INDEX(Surface_Engine!$E$12:$E$72,$A823+1),INDEX(Surface_Engine!$E$12:$E$72,$Q$762+1))</f>
        <v>0</v>
      </c>
      <c r="C823" s="32" t="n">
        <f aca="false">INDEX(Panel_Reserving!$E$8:$E$68,$A823+1)*IF($A823&lt;$Q$762,INDEX(Surface_Engine!$E$12:$E$72,$A823+1),INDEX(Surface_Engine!$E$12:$E$72,$Q$762+1))</f>
        <v>0</v>
      </c>
      <c r="D823" s="32" t="n">
        <f aca="false">INDEX(Surface_Engine!$O$12:$O$72,$A823+1)*IF($A823&lt;$Q$762,INDEX(Surface_Engine!$Y$12:$Y$72,$A823+1),INDEX(Surface_Engine!$Y$12:$Y$72,$Q$762+1))</f>
        <v>0</v>
      </c>
      <c r="E823" s="32" t="n">
        <f aca="false">INDEX(Surface_Engine!$O$12:$O$72,$A823+1)*IF($A823&lt;$Q$762,INDEX(Surface_Engine!$Z$12:$Z$72,$A823+1),INDEX(Surface_Engine!$Z$12:$Z$72,$Q$762+1))</f>
        <v>0</v>
      </c>
      <c r="F823" s="48" t="n">
        <f aca="false">B823*(IF($A823&lt;$Q$762,INDEX(Surface_Engine!$D$12:$D$72,$A823+1)+(Surface_Engine!B244*12)*INDEX(Surface_Engine!$F$12:$F$72,$A823+1)-(Surface_Engine!B244*12),1000*12*INDEX(Surface_Engine!$C$12:$C$72,$A823+1)/(1+Assumptions!$B$10)^7+INDEX(Surface_Engine!$D$12:$D$72,$A823+1)))*INDEX(Surface_Engine!$B$12:$B$72,$A823+1)+F824</f>
        <v>0</v>
      </c>
      <c r="G823" s="48" t="n">
        <f aca="false">C823*(IF($A823&lt;$Q$762,INDEX(Surface_Engine!$D$12:$D$72,$A823+1)+(Surface_Engine!B244*12)*INDEX(Surface_Engine!$F$12:$F$72,$A823+1)-(Surface_Engine!B244*12),1000*12*INDEX(Surface_Engine!$C$12:$C$72,$A823+1)/(1+Assumptions!$B$10)^7+INDEX(Surface_Engine!$D$12:$D$72,$A823+1)))*INDEX(Surface_Engine!$B$12:$B$72,$A823+1)+G824</f>
        <v>0</v>
      </c>
      <c r="H823" s="48" t="n">
        <f aca="false">D823*(IF($A823&lt;$Q$762,INDEX(Surface_Engine!$D$12:$D$72,$A823+1)+(Surface_Engine!B244*12)*INDEX(Surface_Engine!$F$12:$F$72,$A823+1)-(Surface_Engine!B244*12),1000*12*INDEX(Surface_Engine!$C$12:$C$72,$A823+1)/(1+Assumptions!$B$10)^7+INDEX(Surface_Engine!$D$12:$D$72,$A823+1)))*INDEX(Surface_Engine!$B$12:$B$72,$A823+1)+H824</f>
        <v>0</v>
      </c>
      <c r="I823" s="48" t="n">
        <f aca="false">E823*(IF($A823&lt;$Q$762,INDEX(Surface_Engine!$D$12:$D$72,$A823+1)+(Surface_Engine!B244*12)*INDEX(Surface_Engine!$F$12:$F$72,$A823+1)-(Surface_Engine!B244*12),1000*12*INDEX(Surface_Engine!$C$12:$C$72,$A823+1)/(1+Assumptions!$B$10)^7+INDEX(Surface_Engine!$D$12:$D$72,$A823+1)))*INDEX(Surface_Engine!$B$12:$B$72,$A823+1)+I824</f>
        <v>0</v>
      </c>
      <c r="J823" s="48" t="n">
        <f aca="false">B823*(IF($A823&lt;$Q$762,INDEX(Surface_Engine!$D$12:$D$72,$A823+1)*(1+Assumptions!$B$24)+(Surface_Engine!B244*12)*INDEX(Surface_Engine!$F$12:$F$72,$A823+1)-(Surface_Engine!B244*12),1000*12*INDEX(Surface_Engine!$C$12:$C$72,$A823+1)/(1+Assumptions!$B$10)^7+INDEX(Surface_Engine!$D$12:$D$72,$A823+1)*(1+Assumptions!$B$24)))*INDEX(Surface_Engine!$B$12:$B$72,$A823+1)+J824</f>
        <v>0</v>
      </c>
      <c r="K823" s="12" t="n">
        <f aca="false">SQRT((IF(C823&lt;=0,0,MAX(0,(B823/C823)*G823/INDEX(Surface_Engine!$B$12:$B$72,$A823+1)-F823/INDEX(Surface_Engine!$B$12:$B$72,$A823+1))))^2+(MAX(IF(D823&lt;=0,0,MAX(0,(B823/D823)*H823/INDEX(Surface_Engine!$B$12:$B$72,$A823+1)-F823/INDEX(Surface_Engine!$B$12:$B$72,$A823+1))),IF(E823&lt;=0,0,MAX(0,(B823/E823)*I823/INDEX(Surface_Engine!$B$12:$B$72,$A823+1)-F823/INDEX(Surface_Engine!$B$12:$B$72,$A823+1))),IF($A823&lt;$Q$762,MAX(0,-Assumptions!$B$22*(F823/INDEX(Surface_Engine!$B$12:$B$72,$A823+1))),0)))^2+(MAX(0,J823/INDEX(Surface_Engine!$B$12:$B$72,$A823+1)-(F823/INDEX(Surface_Engine!$B$12:$B$72,$A823+1))))^2+2*Assumptions!$B$26*(IF(C823&lt;=0,0,MAX(0,(B823/C823)*G823/INDEX(Surface_Engine!$B$12:$B$72,$A823+1)-F823/INDEX(Surface_Engine!$B$12:$B$72,$A823+1))))*(MAX(IF(D823&lt;=0,0,MAX(0,(B823/D823)*H823/INDEX(Surface_Engine!$B$12:$B$72,$A823+1)-F823/INDEX(Surface_Engine!$B$12:$B$72,$A823+1))),IF(E823&lt;=0,0,MAX(0,(B823/E823)*I823/INDEX(Surface_Engine!$B$12:$B$72,$A823+1)-F823/INDEX(Surface_Engine!$B$12:$B$72,$A823+1))),IF($A823&lt;$Q$762,MAX(0,-Assumptions!$B$22*(F823/INDEX(Surface_Engine!$B$12:$B$72,$A823+1))),0)))+2*Assumptions!$B$27*(IF(C823&lt;=0,0,MAX(0,(B823/C823)*G823/INDEX(Surface_Engine!$B$12:$B$72,$A823+1)-F823/INDEX(Surface_Engine!$B$12:$B$72,$A823+1))))*(MAX(0,J823/INDEX(Surface_Engine!$B$12:$B$72,$A823+1)-(F823/INDEX(Surface_Engine!$B$12:$B$72,$A823+1))))+2*Assumptions!$B$28*(MAX(IF(D823&lt;=0,0,MAX(0,(B823/D823)*H823/INDEX(Surface_Engine!$B$12:$B$72,$A823+1)-F823/INDEX(Surface_Engine!$B$12:$B$72,$A823+1))),IF(E823&lt;=0,0,MAX(0,(B823/E823)*I823/INDEX(Surface_Engine!$B$12:$B$72,$A823+1)-F823/INDEX(Surface_Engine!$B$12:$B$72,$A823+1))),IF($A823&lt;$Q$762,MAX(0,-Assumptions!$B$22*(F823/INDEX(Surface_Engine!$B$12:$B$72,$A823+1))),0)))*(MAX(0,J823/INDEX(Surface_Engine!$B$12:$B$72,$A823+1)-(F823/INDEX(Surface_Engine!$B$12:$B$72,$A823+1)))))</f>
        <v>0</v>
      </c>
      <c r="L823" s="48" t="n">
        <f aca="false">K823*INDEX(Surface_Engine!$B$12:$B$72,$A823+1)+L824</f>
        <v>0</v>
      </c>
      <c r="M823" s="48" t="n">
        <f aca="false">M822+B822*(IF($A822&lt;$Q$762,(Surface_Engine!B244*12)-(Surface_Engine!B244*12)*INDEX(Surface_Engine!$F$12:$F$72,$A822+1)-INDEX(Surface_Engine!$D$12:$D$72,$A822+1),-(1000*12*INDEX(Surface_Engine!$C$12:$C$72,$A822+1)/(1+Assumptions!$B$10)^7+INDEX(Surface_Engine!$D$12:$D$72,$A822+1))))*INDEX(Surface_Engine!$B$12:$B$72,$A822+1)</f>
        <v>4636.9100324336</v>
      </c>
      <c r="N823" s="12" t="n">
        <f aca="false">IF(B823&lt;=0,0,MAX(0,(K823+Assumptions!$B$29*L823/INDEX(Surface_Engine!$B$12:$B$72,$A823+1)-(M823/INDEX(Surface_Engine!$B$12:$B$72,$A823+1)-(F823/INDEX(Surface_Engine!$B$12:$B$72,$A823+1))))/B823))</f>
        <v>0</v>
      </c>
    </row>
    <row r="824" customFormat="false" ht="15" hidden="false" customHeight="true" outlineLevel="0" collapsed="false">
      <c r="A824" s="1" t="n">
        <v>60</v>
      </c>
      <c r="B824" s="32" t="n">
        <f aca="false">INDEX(Surface_Engine!$O$12:$O$72,$A824+1)*IF($A824&lt;$Q$762,INDEX(Surface_Engine!$E$12:$E$72,$A824+1),INDEX(Surface_Engine!$E$12:$E$72,$Q$762+1))</f>
        <v>0</v>
      </c>
      <c r="C824" s="32" t="n">
        <f aca="false">INDEX(Panel_Reserving!$E$8:$E$68,$A824+1)*IF($A824&lt;$Q$762,INDEX(Surface_Engine!$E$12:$E$72,$A824+1),INDEX(Surface_Engine!$E$12:$E$72,$Q$762+1))</f>
        <v>0</v>
      </c>
      <c r="D824" s="32" t="n">
        <f aca="false">INDEX(Surface_Engine!$O$12:$O$72,$A824+1)*IF($A824&lt;$Q$762,INDEX(Surface_Engine!$Y$12:$Y$72,$A824+1),INDEX(Surface_Engine!$Y$12:$Y$72,$Q$762+1))</f>
        <v>0</v>
      </c>
      <c r="E824" s="32" t="n">
        <f aca="false">INDEX(Surface_Engine!$O$12:$O$72,$A824+1)*IF($A824&lt;$Q$762,INDEX(Surface_Engine!$Z$12:$Z$72,$A824+1),INDEX(Surface_Engine!$Z$12:$Z$72,$Q$762+1))</f>
        <v>0</v>
      </c>
      <c r="F824" s="48" t="n">
        <f aca="false">B824*(IF($A824&lt;$Q$762,INDEX(Surface_Engine!$D$12:$D$72,$A824+1)+(Surface_Engine!B244*12)*INDEX(Surface_Engine!$F$12:$F$72,$A824+1)-(Surface_Engine!B244*12),1000*12*INDEX(Surface_Engine!$C$12:$C$72,$A824+1)/(1+Assumptions!$B$10)^7+INDEX(Surface_Engine!$D$12:$D$72,$A824+1)))*INDEX(Surface_Engine!$B$12:$B$72,$A824+1)</f>
        <v>0</v>
      </c>
      <c r="G824" s="48" t="n">
        <f aca="false">C824*(IF($A824&lt;$Q$762,INDEX(Surface_Engine!$D$12:$D$72,$A824+1)+(Surface_Engine!B244*12)*INDEX(Surface_Engine!$F$12:$F$72,$A824+1)-(Surface_Engine!B244*12),1000*12*INDEX(Surface_Engine!$C$12:$C$72,$A824+1)/(1+Assumptions!$B$10)^7+INDEX(Surface_Engine!$D$12:$D$72,$A824+1)))*INDEX(Surface_Engine!$B$12:$B$72,$A824+1)</f>
        <v>0</v>
      </c>
      <c r="H824" s="48" t="n">
        <f aca="false">D824*(IF($A824&lt;$Q$762,INDEX(Surface_Engine!$D$12:$D$72,$A824+1)+(Surface_Engine!B244*12)*INDEX(Surface_Engine!$F$12:$F$72,$A824+1)-(Surface_Engine!B244*12),1000*12*INDEX(Surface_Engine!$C$12:$C$72,$A824+1)/(1+Assumptions!$B$10)^7+INDEX(Surface_Engine!$D$12:$D$72,$A824+1)))*INDEX(Surface_Engine!$B$12:$B$72,$A824+1)</f>
        <v>0</v>
      </c>
      <c r="I824" s="48" t="n">
        <f aca="false">E824*(IF($A824&lt;$Q$762,INDEX(Surface_Engine!$D$12:$D$72,$A824+1)+(Surface_Engine!B244*12)*INDEX(Surface_Engine!$F$12:$F$72,$A824+1)-(Surface_Engine!B244*12),1000*12*INDEX(Surface_Engine!$C$12:$C$72,$A824+1)/(1+Assumptions!$B$10)^7+INDEX(Surface_Engine!$D$12:$D$72,$A824+1)))*INDEX(Surface_Engine!$B$12:$B$72,$A824+1)</f>
        <v>0</v>
      </c>
      <c r="J824" s="48" t="n">
        <f aca="false">B824*(IF($A824&lt;$Q$762,INDEX(Surface_Engine!$D$12:$D$72,$A824+1)*(1+Assumptions!$B$24)+(Surface_Engine!B244*12)*INDEX(Surface_Engine!$F$12:$F$72,$A824+1)-(Surface_Engine!B244*12),1000*12*INDEX(Surface_Engine!$C$12:$C$72,$A824+1)/(1+Assumptions!$B$10)^7+INDEX(Surface_Engine!$D$12:$D$72,$A824+1)*(1+Assumptions!$B$24)))*INDEX(Surface_Engine!$B$12:$B$72,$A824+1)</f>
        <v>0</v>
      </c>
      <c r="K824" s="12" t="n">
        <f aca="false">SQRT((IF(C824&lt;=0,0,MAX(0,(B824/C824)*G824/INDEX(Surface_Engine!$B$12:$B$72,$A824+1)-F824/INDEX(Surface_Engine!$B$12:$B$72,$A824+1))))^2+(MAX(IF(D824&lt;=0,0,MAX(0,(B824/D824)*H824/INDEX(Surface_Engine!$B$12:$B$72,$A824+1)-F824/INDEX(Surface_Engine!$B$12:$B$72,$A824+1))),IF(E824&lt;=0,0,MAX(0,(B824/E824)*I824/INDEX(Surface_Engine!$B$12:$B$72,$A824+1)-F824/INDEX(Surface_Engine!$B$12:$B$72,$A824+1))),IF($A824&lt;$Q$762,MAX(0,-Assumptions!$B$22*(F824/INDEX(Surface_Engine!$B$12:$B$72,$A824+1))),0)))^2+(MAX(0,J824/INDEX(Surface_Engine!$B$12:$B$72,$A824+1)-(F824/INDEX(Surface_Engine!$B$12:$B$72,$A824+1))))^2+2*Assumptions!$B$26*(IF(C824&lt;=0,0,MAX(0,(B824/C824)*G824/INDEX(Surface_Engine!$B$12:$B$72,$A824+1)-F824/INDEX(Surface_Engine!$B$12:$B$72,$A824+1))))*(MAX(IF(D824&lt;=0,0,MAX(0,(B824/D824)*H824/INDEX(Surface_Engine!$B$12:$B$72,$A824+1)-F824/INDEX(Surface_Engine!$B$12:$B$72,$A824+1))),IF(E824&lt;=0,0,MAX(0,(B824/E824)*I824/INDEX(Surface_Engine!$B$12:$B$72,$A824+1)-F824/INDEX(Surface_Engine!$B$12:$B$72,$A824+1))),IF($A824&lt;$Q$762,MAX(0,-Assumptions!$B$22*(F824/INDEX(Surface_Engine!$B$12:$B$72,$A824+1))),0)))+2*Assumptions!$B$27*(IF(C824&lt;=0,0,MAX(0,(B824/C824)*G824/INDEX(Surface_Engine!$B$12:$B$72,$A824+1)-F824/INDEX(Surface_Engine!$B$12:$B$72,$A824+1))))*(MAX(0,J824/INDEX(Surface_Engine!$B$12:$B$72,$A824+1)-(F824/INDEX(Surface_Engine!$B$12:$B$72,$A824+1))))+2*Assumptions!$B$28*(MAX(IF(D824&lt;=0,0,MAX(0,(B824/D824)*H824/INDEX(Surface_Engine!$B$12:$B$72,$A824+1)-F824/INDEX(Surface_Engine!$B$12:$B$72,$A824+1))),IF(E824&lt;=0,0,MAX(0,(B824/E824)*I824/INDEX(Surface_Engine!$B$12:$B$72,$A824+1)-F824/INDEX(Surface_Engine!$B$12:$B$72,$A824+1))),IF($A824&lt;$Q$762,MAX(0,-Assumptions!$B$22*(F824/INDEX(Surface_Engine!$B$12:$B$72,$A824+1))),0)))*(MAX(0,J824/INDEX(Surface_Engine!$B$12:$B$72,$A824+1)-(F824/INDEX(Surface_Engine!$B$12:$B$72,$A824+1)))))</f>
        <v>0</v>
      </c>
      <c r="L824" s="48" t="n">
        <f aca="false">K824*INDEX(Surface_Engine!$B$12:$B$72,$A824+1)</f>
        <v>0</v>
      </c>
      <c r="M824" s="48" t="n">
        <f aca="false">M823+B823*(IF($A823&lt;$Q$762,(Surface_Engine!B244*12)-(Surface_Engine!B244*12)*INDEX(Surface_Engine!$F$12:$F$72,$A823+1)-INDEX(Surface_Engine!$D$12:$D$72,$A823+1),-(1000*12*INDEX(Surface_Engine!$C$12:$C$72,$A823+1)/(1+Assumptions!$B$10)^7+INDEX(Surface_Engine!$D$12:$D$72,$A823+1))))*INDEX(Surface_Engine!$B$12:$B$72,$A823+1)</f>
        <v>4636.9100324336</v>
      </c>
      <c r="N824" s="12" t="n">
        <f aca="false">IF(B824&lt;=0,0,MAX(0,(K824+Assumptions!$B$29*L824/INDEX(Surface_Engine!$B$12:$B$72,$A824+1)-(M824/INDEX(Surface_Engine!$B$12:$B$72,$A824+1)-(F824/INDEX(Surface_Engine!$B$12:$B$72,$A824+1))))/B824))</f>
        <v>0</v>
      </c>
    </row>
    <row r="825" customFormat="false" ht="15" hidden="false" customHeight="true" outlineLevel="0" collapsed="false">
      <c r="A825" s="4" t="str">
        <f aca="false">"entry "&amp;O825&amp;" / vesting "&amp;P825&amp;"   deferral "&amp;Q825</f>
        <v>entry 68 / vesting 80   deferral 12</v>
      </c>
      <c r="C825" s="49" t="n">
        <f aca="false">MAX(N764:N824)</f>
        <v>22152.0237966531</v>
      </c>
      <c r="E825" s="7" t="s">
        <v>1634</v>
      </c>
      <c r="G825" s="21" t="n">
        <f aca="false">INDEX(A764:A824,MATCH(C825,N764:N824,0))</f>
        <v>2</v>
      </c>
      <c r="J825" s="7" t="s">
        <v>1624</v>
      </c>
      <c r="K825" s="50" t="n">
        <f aca="false">Surface_Engine!G244</f>
        <v>781.086149320344</v>
      </c>
      <c r="O825" s="1" t="n">
        <f aca="false">A1717</f>
        <v>68</v>
      </c>
      <c r="P825" s="76" t="n">
        <f aca="false">C$1713</f>
        <v>80</v>
      </c>
      <c r="Q825" s="1" t="n">
        <f aca="false">P825-O825</f>
        <v>12</v>
      </c>
    </row>
    <row r="826" customFormat="false" ht="15" hidden="false" customHeight="true" outlineLevel="0" collapsed="false">
      <c r="A826" s="8" t="s">
        <v>802</v>
      </c>
      <c r="B826" s="8" t="s">
        <v>1584</v>
      </c>
      <c r="C826" s="8" t="s">
        <v>1585</v>
      </c>
      <c r="D826" s="8" t="s">
        <v>1587</v>
      </c>
      <c r="E826" s="8" t="s">
        <v>1588</v>
      </c>
      <c r="F826" s="8" t="s">
        <v>1625</v>
      </c>
      <c r="G826" s="8" t="s">
        <v>1626</v>
      </c>
      <c r="H826" s="8" t="s">
        <v>1627</v>
      </c>
      <c r="I826" s="8" t="s">
        <v>1628</v>
      </c>
      <c r="J826" s="8" t="s">
        <v>1629</v>
      </c>
      <c r="K826" s="8" t="s">
        <v>812</v>
      </c>
      <c r="L826" s="8" t="s">
        <v>1630</v>
      </c>
      <c r="M826" s="8" t="s">
        <v>341</v>
      </c>
      <c r="N826" s="8" t="s">
        <v>1631</v>
      </c>
      <c r="O826" s="1" t="s">
        <v>1544</v>
      </c>
      <c r="P826" s="1" t="s">
        <v>1632</v>
      </c>
      <c r="Q826" s="1" t="s">
        <v>1633</v>
      </c>
    </row>
    <row r="827" customFormat="false" ht="15" hidden="false" customHeight="true" outlineLevel="0" collapsed="false">
      <c r="A827" s="1" t="n">
        <v>0</v>
      </c>
      <c r="B827" s="32" t="n">
        <f aca="false">INDEX(Surface_Engine!$O$12:$O$72,$A827+1)*IF($A827&lt;$Q$825,INDEX(Surface_Engine!$E$12:$E$72,$A827+1),INDEX(Surface_Engine!$E$12:$E$72,$Q$825+1))</f>
        <v>1</v>
      </c>
      <c r="C827" s="32" t="n">
        <f aca="false">INDEX(Panel_Reserving!$E$8:$E$68,$A827+1)*IF($A827&lt;$Q$825,INDEX(Surface_Engine!$E$12:$E$72,$A827+1),INDEX(Surface_Engine!$E$12:$E$72,$Q$825+1))</f>
        <v>1</v>
      </c>
      <c r="D827" s="32" t="n">
        <f aca="false">INDEX(Surface_Engine!$O$12:$O$72,$A827+1)*IF($A827&lt;$Q$825,INDEX(Surface_Engine!$Y$12:$Y$72,$A827+1),INDEX(Surface_Engine!$Y$12:$Y$72,$Q$825+1))</f>
        <v>1</v>
      </c>
      <c r="E827" s="32" t="n">
        <f aca="false">INDEX(Surface_Engine!$O$12:$O$72,$A827+1)*IF($A827&lt;$Q$825,INDEX(Surface_Engine!$Z$12:$Z$72,$A827+1),INDEX(Surface_Engine!$Z$12:$Z$72,$Q$825+1))</f>
        <v>1</v>
      </c>
      <c r="F827" s="48" t="n">
        <f aca="false">B827*(IF($A827&lt;$Q$825,INDEX(Surface_Engine!$D$12:$D$72,$A827+1)+(Surface_Engine!G244*12)*INDEX(Surface_Engine!$F$12:$F$72,$A827+1)-(Surface_Engine!G244*12),1000*12*INDEX(Surface_Engine!$C$12:$C$72,$A827+1)/(1+Assumptions!$B$10)^12+INDEX(Surface_Engine!$D$12:$D$72,$A827+1)))*INDEX(Surface_Engine!$B$12:$B$72,$A827+1)+F828</f>
        <v>-2518.3619483584</v>
      </c>
      <c r="G827" s="48" t="n">
        <f aca="false">C827*(IF($A827&lt;$Q$825,INDEX(Surface_Engine!$D$12:$D$72,$A827+1)+(Surface_Engine!G244*12)*INDEX(Surface_Engine!$F$12:$F$72,$A827+1)-(Surface_Engine!G244*12),1000*12*INDEX(Surface_Engine!$C$12:$C$72,$A827+1)/(1+Assumptions!$B$10)^12+INDEX(Surface_Engine!$D$12:$D$72,$A827+1)))*INDEX(Surface_Engine!$B$12:$B$72,$A827+1)+G828</f>
        <v>6718.65389532429</v>
      </c>
      <c r="H827" s="48" t="n">
        <f aca="false">D827*(IF($A827&lt;$Q$825,INDEX(Surface_Engine!$D$12:$D$72,$A827+1)+(Surface_Engine!G244*12)*INDEX(Surface_Engine!$F$12:$F$72,$A827+1)-(Surface_Engine!G244*12),1000*12*INDEX(Surface_Engine!$C$12:$C$72,$A827+1)/(1+Assumptions!$B$10)^12+INDEX(Surface_Engine!$D$12:$D$72,$A827+1)))*INDEX(Surface_Engine!$B$12:$B$72,$A827+1)+H828</f>
        <v>-4476.50598229578</v>
      </c>
      <c r="I827" s="48" t="n">
        <f aca="false">E827*(IF($A827&lt;$Q$825,INDEX(Surface_Engine!$D$12:$D$72,$A827+1)+(Surface_Engine!G244*12)*INDEX(Surface_Engine!$F$12:$F$72,$A827+1)-(Surface_Engine!G244*12),1000*12*INDEX(Surface_Engine!$C$12:$C$72,$A827+1)/(1+Assumptions!$B$10)^12+INDEX(Surface_Engine!$D$12:$D$72,$A827+1)))*INDEX(Surface_Engine!$B$12:$B$72,$A827+1)+I828</f>
        <v>-296.854400834717</v>
      </c>
      <c r="J827" s="48" t="n">
        <f aca="false">B827*(IF($A827&lt;$Q$825,INDEX(Surface_Engine!$D$12:$D$72,$A827+1)*(1+Assumptions!$B$24)+(Surface_Engine!G244*12)*INDEX(Surface_Engine!$F$12:$F$72,$A827+1)-(Surface_Engine!G244*12),1000*12*INDEX(Surface_Engine!$C$12:$C$72,$A827+1)/(1+Assumptions!$B$10)^12+INDEX(Surface_Engine!$D$12:$D$72,$A827+1)*(1+Assumptions!$B$24)))*INDEX(Surface_Engine!$B$12:$B$72,$A827+1)+J828</f>
        <v>-2371.67993399859</v>
      </c>
      <c r="K827" s="12" t="n">
        <f aca="false">SQRT((IF(C827&lt;=0,0,MAX(0,(B827/C827)*G827/INDEX(Surface_Engine!$B$12:$B$72,$A827+1)-F827/INDEX(Surface_Engine!$B$12:$B$72,$A827+1))))^2+(MAX(IF(D827&lt;=0,0,MAX(0,(B827/D827)*H827/INDEX(Surface_Engine!$B$12:$B$72,$A827+1)-F827/INDEX(Surface_Engine!$B$12:$B$72,$A827+1))),IF(E827&lt;=0,0,MAX(0,(B827/E827)*I827/INDEX(Surface_Engine!$B$12:$B$72,$A827+1)-F827/INDEX(Surface_Engine!$B$12:$B$72,$A827+1))),IF($A827&lt;$Q$825,MAX(0,-Assumptions!$B$22*(F827/INDEX(Surface_Engine!$B$12:$B$72,$A827+1))),0)))^2+(MAX(0,J827/INDEX(Surface_Engine!$B$12:$B$72,$A827+1)-(F827/INDEX(Surface_Engine!$B$12:$B$72,$A827+1))))^2+2*Assumptions!$B$26*(IF(C827&lt;=0,0,MAX(0,(B827/C827)*G827/INDEX(Surface_Engine!$B$12:$B$72,$A827+1)-F827/INDEX(Surface_Engine!$B$12:$B$72,$A827+1))))*(MAX(IF(D827&lt;=0,0,MAX(0,(B827/D827)*H827/INDEX(Surface_Engine!$B$12:$B$72,$A827+1)-F827/INDEX(Surface_Engine!$B$12:$B$72,$A827+1))),IF(E827&lt;=0,0,MAX(0,(B827/E827)*I827/INDEX(Surface_Engine!$B$12:$B$72,$A827+1)-F827/INDEX(Surface_Engine!$B$12:$B$72,$A827+1))),IF($A827&lt;$Q$825,MAX(0,-Assumptions!$B$22*(F827/INDEX(Surface_Engine!$B$12:$B$72,$A827+1))),0)))+2*Assumptions!$B$27*(IF(C827&lt;=0,0,MAX(0,(B827/C827)*G827/INDEX(Surface_Engine!$B$12:$B$72,$A827+1)-F827/INDEX(Surface_Engine!$B$12:$B$72,$A827+1))))*(MAX(0,J827/INDEX(Surface_Engine!$B$12:$B$72,$A827+1)-(F827/INDEX(Surface_Engine!$B$12:$B$72,$A827+1))))+2*Assumptions!$B$28*(MAX(IF(D827&lt;=0,0,MAX(0,(B827/D827)*H827/INDEX(Surface_Engine!$B$12:$B$72,$A827+1)-F827/INDEX(Surface_Engine!$B$12:$B$72,$A827+1))),IF(E827&lt;=0,0,MAX(0,(B827/E827)*I827/INDEX(Surface_Engine!$B$12:$B$72,$A827+1)-F827/INDEX(Surface_Engine!$B$12:$B$72,$A827+1))),IF($A827&lt;$Q$825,MAX(0,-Assumptions!$B$22*(F827/INDEX(Surface_Engine!$B$12:$B$72,$A827+1))),0)))*(MAX(0,J827/INDEX(Surface_Engine!$B$12:$B$72,$A827+1)-(F827/INDEX(Surface_Engine!$B$12:$B$72,$A827+1)))))</f>
        <v>10076.8264124899</v>
      </c>
      <c r="L827" s="48" t="n">
        <f aca="false">K827*INDEX(Surface_Engine!$B$12:$B$72,$A827+1)+L828</f>
        <v>185542.813577785</v>
      </c>
      <c r="M827" s="48" t="n">
        <v>0</v>
      </c>
      <c r="N827" s="12" t="n">
        <f aca="false">IF(B827&lt;=0,0,MAX(0,(K827+Assumptions!$B$29*L827/INDEX(Surface_Engine!$B$12:$B$72,$A827+1)-(M827/INDEX(Surface_Engine!$B$12:$B$72,$A827+1)-(F827/INDEX(Surface_Engine!$B$12:$B$72,$A827+1))))/B827))</f>
        <v>18691.0332787986</v>
      </c>
    </row>
    <row r="828" customFormat="false" ht="15" hidden="false" customHeight="true" outlineLevel="0" collapsed="false">
      <c r="A828" s="1" t="n">
        <v>1</v>
      </c>
      <c r="B828" s="32" t="n">
        <f aca="false">INDEX(Surface_Engine!$O$12:$O$72,$A828+1)*IF($A828&lt;$Q$825,INDEX(Surface_Engine!$E$12:$E$72,$A828+1),INDEX(Surface_Engine!$E$12:$E$72,$Q$825+1))</f>
        <v>0.952496634911626</v>
      </c>
      <c r="C828" s="32" t="n">
        <f aca="false">INDEX(Panel_Reserving!$E$8:$E$68,$A828+1)*IF($A828&lt;$Q$825,INDEX(Surface_Engine!$E$12:$E$72,$A828+1),INDEX(Surface_Engine!$E$12:$E$72,$Q$825+1))</f>
        <v>0.953877307929301</v>
      </c>
      <c r="D828" s="32" t="n">
        <f aca="false">INDEX(Surface_Engine!$O$12:$O$72,$A828+1)*IF($A828&lt;$Q$825,INDEX(Surface_Engine!$Y$12:$Y$72,$A828+1),INDEX(Surface_Engine!$Y$12:$Y$72,$Q$825+1))</f>
        <v>0.932342703612161</v>
      </c>
      <c r="E828" s="32" t="n">
        <f aca="false">INDEX(Surface_Engine!$O$12:$O$72,$A828+1)*IF($A828&lt;$Q$825,INDEX(Surface_Engine!$Z$12:$Z$72,$A828+1),INDEX(Surface_Engine!$Z$12:$Z$72,$Q$825+1))</f>
        <v>0.97265056621109</v>
      </c>
      <c r="F828" s="48" t="n">
        <f aca="false">B828*(IF($A828&lt;$Q$825,INDEX(Surface_Engine!$D$12:$D$72,$A828+1)+(Surface_Engine!G244*12)*INDEX(Surface_Engine!$F$12:$F$72,$A828+1)-(Surface_Engine!G244*12),1000*12*INDEX(Surface_Engine!$C$12:$C$72,$A828+1)/(1+Assumptions!$B$10)^12+INDEX(Surface_Engine!$D$12:$D$72,$A828+1)))*INDEX(Surface_Engine!$B$12:$B$72,$A828+1)+F829</f>
        <v>-2600.3619483584</v>
      </c>
      <c r="G828" s="48" t="n">
        <f aca="false">C828*(IF($A828&lt;$Q$825,INDEX(Surface_Engine!$D$12:$D$72,$A828+1)+(Surface_Engine!G244*12)*INDEX(Surface_Engine!$F$12:$F$72,$A828+1)-(Surface_Engine!G244*12),1000*12*INDEX(Surface_Engine!$C$12:$C$72,$A828+1)/(1+Assumptions!$B$10)^12+INDEX(Surface_Engine!$D$12:$D$72,$A828+1)))*INDEX(Surface_Engine!$B$12:$B$72,$A828+1)+G829</f>
        <v>6636.65389532429</v>
      </c>
      <c r="H828" s="48" t="n">
        <f aca="false">D828*(IF($A828&lt;$Q$825,INDEX(Surface_Engine!$D$12:$D$72,$A828+1)+(Surface_Engine!G244*12)*INDEX(Surface_Engine!$F$12:$F$72,$A828+1)-(Surface_Engine!G244*12),1000*12*INDEX(Surface_Engine!$C$12:$C$72,$A828+1)/(1+Assumptions!$B$10)^12+INDEX(Surface_Engine!$D$12:$D$72,$A828+1)))*INDEX(Surface_Engine!$B$12:$B$72,$A828+1)+H829</f>
        <v>-4558.50598229578</v>
      </c>
      <c r="I828" s="48" t="n">
        <f aca="false">E828*(IF($A828&lt;$Q$825,INDEX(Surface_Engine!$D$12:$D$72,$A828+1)+(Surface_Engine!G244*12)*INDEX(Surface_Engine!$F$12:$F$72,$A828+1)-(Surface_Engine!G244*12),1000*12*INDEX(Surface_Engine!$C$12:$C$72,$A828+1)/(1+Assumptions!$B$10)^12+INDEX(Surface_Engine!$D$12:$D$72,$A828+1)))*INDEX(Surface_Engine!$B$12:$B$72,$A828+1)+I829</f>
        <v>-378.854400834717</v>
      </c>
      <c r="J828" s="48" t="n">
        <f aca="false">B828*(IF($A828&lt;$Q$825,INDEX(Surface_Engine!$D$12:$D$72,$A828+1)*(1+Assumptions!$B$24)+(Surface_Engine!G244*12)*INDEX(Surface_Engine!$F$12:$F$72,$A828+1)-(Surface_Engine!G244*12),1000*12*INDEX(Surface_Engine!$C$12:$C$72,$A828+1)/(1+Assumptions!$B$10)^12+INDEX(Surface_Engine!$D$12:$D$72,$A828+1)*(1+Assumptions!$B$24)))*INDEX(Surface_Engine!$B$12:$B$72,$A828+1)+J829</f>
        <v>-2461.87993399859</v>
      </c>
      <c r="K828" s="12" t="n">
        <f aca="false">SQRT((IF(C828&lt;=0,0,MAX(0,(B828/C828)*G828/INDEX(Surface_Engine!$B$12:$B$72,$A828+1)-F828/INDEX(Surface_Engine!$B$12:$B$72,$A828+1))))^2+(MAX(IF(D828&lt;=0,0,MAX(0,(B828/D828)*H828/INDEX(Surface_Engine!$B$12:$B$72,$A828+1)-F828/INDEX(Surface_Engine!$B$12:$B$72,$A828+1))),IF(E828&lt;=0,0,MAX(0,(B828/E828)*I828/INDEX(Surface_Engine!$B$12:$B$72,$A828+1)-F828/INDEX(Surface_Engine!$B$12:$B$72,$A828+1))),IF($A828&lt;$Q$825,MAX(0,-Assumptions!$B$22*(F828/INDEX(Surface_Engine!$B$12:$B$72,$A828+1))),0)))^2+(MAX(0,J828/INDEX(Surface_Engine!$B$12:$B$72,$A828+1)-(F828/INDEX(Surface_Engine!$B$12:$B$72,$A828+1))))^2+2*Assumptions!$B$26*(IF(C828&lt;=0,0,MAX(0,(B828/C828)*G828/INDEX(Surface_Engine!$B$12:$B$72,$A828+1)-F828/INDEX(Surface_Engine!$B$12:$B$72,$A828+1))))*(MAX(IF(D828&lt;=0,0,MAX(0,(B828/D828)*H828/INDEX(Surface_Engine!$B$12:$B$72,$A828+1)-F828/INDEX(Surface_Engine!$B$12:$B$72,$A828+1))),IF(E828&lt;=0,0,MAX(0,(B828/E828)*I828/INDEX(Surface_Engine!$B$12:$B$72,$A828+1)-F828/INDEX(Surface_Engine!$B$12:$B$72,$A828+1))),IF($A828&lt;$Q$825,MAX(0,-Assumptions!$B$22*(F828/INDEX(Surface_Engine!$B$12:$B$72,$A828+1))),0)))+2*Assumptions!$B$27*(IF(C828&lt;=0,0,MAX(0,(B828/C828)*G828/INDEX(Surface_Engine!$B$12:$B$72,$A828+1)-F828/INDEX(Surface_Engine!$B$12:$B$72,$A828+1))))*(MAX(0,J828/INDEX(Surface_Engine!$B$12:$B$72,$A828+1)-(F828/INDEX(Surface_Engine!$B$12:$B$72,$A828+1))))+2*Assumptions!$B$28*(MAX(IF(D828&lt;=0,0,MAX(0,(B828/D828)*H828/INDEX(Surface_Engine!$B$12:$B$72,$A828+1)-F828/INDEX(Surface_Engine!$B$12:$B$72,$A828+1))),IF(E828&lt;=0,0,MAX(0,(B828/E828)*I828/INDEX(Surface_Engine!$B$12:$B$72,$A828+1)-F828/INDEX(Surface_Engine!$B$12:$B$72,$A828+1))),IF($A828&lt;$Q$825,MAX(0,-Assumptions!$B$22*(F828/INDEX(Surface_Engine!$B$12:$B$72,$A828+1))),0)))*(MAX(0,J828/INDEX(Surface_Engine!$B$12:$B$72,$A828+1)-(F828/INDEX(Surface_Engine!$B$12:$B$72,$A828+1)))))</f>
        <v>10329.5139826605</v>
      </c>
      <c r="L828" s="48" t="n">
        <f aca="false">K828*INDEX(Surface_Engine!$B$12:$B$72,$A828+1)+L829</f>
        <v>175465.987165295</v>
      </c>
      <c r="M828" s="48" t="n">
        <f aca="false">M827+B827*(IF($A827&lt;$Q$825,(Surface_Engine!G244*12)-(Surface_Engine!G244*12)*INDEX(Surface_Engine!$F$12:$F$72,$A827+1)-INDEX(Surface_Engine!$D$12:$D$72,$A827+1),-(1000*12*INDEX(Surface_Engine!$C$12:$C$72,$A827+1)/(1+Assumptions!$B$10)^12+INDEX(Surface_Engine!$D$12:$D$72,$A827+1))))*INDEX(Surface_Engine!$B$12:$B$72,$A827+1)</f>
        <v>-82</v>
      </c>
      <c r="N828" s="12" t="n">
        <f aca="false">IF(B828&lt;=0,0,MAX(0,(K828+Assumptions!$B$29*L828/INDEX(Surface_Engine!$B$12:$B$72,$A828+1)-(M828/INDEX(Surface_Engine!$B$12:$B$72,$A828+1)-(F828/INDEX(Surface_Engine!$B$12:$B$72,$A828+1))))/B828))</f>
        <v>19472.0272280751</v>
      </c>
    </row>
    <row r="829" customFormat="false" ht="15" hidden="false" customHeight="true" outlineLevel="0" collapsed="false">
      <c r="A829" s="1" t="n">
        <v>2</v>
      </c>
      <c r="B829" s="32" t="n">
        <f aca="false">INDEX(Surface_Engine!$O$12:$O$72,$A829+1)*IF($A829&lt;$Q$825,INDEX(Surface_Engine!$E$12:$E$72,$A829+1),INDEX(Surface_Engine!$E$12:$E$72,$Q$825+1))</f>
        <v>0.92448688269402</v>
      </c>
      <c r="C829" s="32" t="n">
        <f aca="false">INDEX(Panel_Reserving!$E$8:$E$68,$A829+1)*IF($A829&lt;$Q$825,INDEX(Surface_Engine!$E$12:$E$72,$A829+1),INDEX(Surface_Engine!$E$12:$E$72,$Q$825+1))</f>
        <v>0.927297197844477</v>
      </c>
      <c r="D829" s="32" t="n">
        <f aca="false">INDEX(Surface_Engine!$O$12:$O$72,$A829+1)*IF($A829&lt;$Q$825,INDEX(Surface_Engine!$Y$12:$Y$72,$A829+1),INDEX(Surface_Engine!$Y$12:$Y$72,$Q$825+1))</f>
        <v>0.894889382305423</v>
      </c>
      <c r="E829" s="32" t="n">
        <f aca="false">INDEX(Surface_Engine!$O$12:$O$72,$A829+1)*IF($A829&lt;$Q$825,INDEX(Surface_Engine!$Z$12:$Z$72,$A829+1),INDEX(Surface_Engine!$Z$12:$Z$72,$Q$825+1))</f>
        <v>0.954518278194512</v>
      </c>
      <c r="F829" s="48" t="n">
        <f aca="false">B829*(IF($A829&lt;$Q$825,INDEX(Surface_Engine!$D$12:$D$72,$A829+1)+(Surface_Engine!G244*12)*INDEX(Surface_Engine!$F$12:$F$72,$A829+1)-(Surface_Engine!G244*12),1000*12*INDEX(Surface_Engine!$C$12:$C$72,$A829+1)/(1+Assumptions!$B$10)^12+INDEX(Surface_Engine!$D$12:$D$72,$A829+1)))*INDEX(Surface_Engine!$B$12:$B$72,$A829+1)+F830</f>
        <v>5588.39457840476</v>
      </c>
      <c r="G829" s="48" t="n">
        <f aca="false">C829*(IF($A829&lt;$Q$825,INDEX(Surface_Engine!$D$12:$D$72,$A829+1)+(Surface_Engine!G244*12)*INDEX(Surface_Engine!$F$12:$F$72,$A829+1)-(Surface_Engine!G244*12),1000*12*INDEX(Surface_Engine!$C$12:$C$72,$A829+1)/(1+Assumptions!$B$10)^12+INDEX(Surface_Engine!$D$12:$D$72,$A829+1)))*INDEX(Surface_Engine!$B$12:$B$72,$A829+1)+G830</f>
        <v>14837.2802752401</v>
      </c>
      <c r="H829" s="48" t="n">
        <f aca="false">D829*(IF($A829&lt;$Q$825,INDEX(Surface_Engine!$D$12:$D$72,$A829+1)+(Surface_Engine!G244*12)*INDEX(Surface_Engine!$F$12:$F$72,$A829+1)-(Surface_Engine!G244*12),1000*12*INDEX(Surface_Engine!$C$12:$C$72,$A829+1)/(1+Assumptions!$B$10)^12+INDEX(Surface_Engine!$D$12:$D$72,$A829+1)))*INDEX(Surface_Engine!$B$12:$B$72,$A829+1)+H830</f>
        <v>3456.98417226258</v>
      </c>
      <c r="I829" s="48" t="n">
        <f aca="false">E829*(IF($A829&lt;$Q$825,INDEX(Surface_Engine!$D$12:$D$72,$A829+1)+(Surface_Engine!G244*12)*INDEX(Surface_Engine!$F$12:$F$72,$A829+1)-(Surface_Engine!G244*12),1000*12*INDEX(Surface_Engine!$C$12:$C$72,$A829+1)/(1+Assumptions!$B$10)^12+INDEX(Surface_Engine!$D$12:$D$72,$A829+1)))*INDEX(Surface_Engine!$B$12:$B$72,$A829+1)+I830</f>
        <v>7983.16849813326</v>
      </c>
      <c r="J829" s="48" t="n">
        <f aca="false">B829*(IF($A829&lt;$Q$825,INDEX(Surface_Engine!$D$12:$D$72,$A829+1)*(1+Assumptions!$B$24)+(Surface_Engine!G244*12)*INDEX(Surface_Engine!$F$12:$F$72,$A829+1)-(Surface_Engine!G244*12),1000*12*INDEX(Surface_Engine!$C$12:$C$72,$A829+1)/(1+Assumptions!$B$10)^12+INDEX(Surface_Engine!$D$12:$D$72,$A829+1)*(1+Assumptions!$B$24)))*INDEX(Surface_Engine!$B$12:$B$72,$A829+1)+J830</f>
        <v>5719.07342868758</v>
      </c>
      <c r="K829" s="12" t="n">
        <f aca="false">SQRT((IF(C829&lt;=0,0,MAX(0,(B829/C829)*G829/INDEX(Surface_Engine!$B$12:$B$72,$A829+1)-F829/INDEX(Surface_Engine!$B$12:$B$72,$A829+1))))^2+(MAX(IF(D829&lt;=0,0,MAX(0,(B829/D829)*H829/INDEX(Surface_Engine!$B$12:$B$72,$A829+1)-F829/INDEX(Surface_Engine!$B$12:$B$72,$A829+1))),IF(E829&lt;=0,0,MAX(0,(B829/E829)*I829/INDEX(Surface_Engine!$B$12:$B$72,$A829+1)-F829/INDEX(Surface_Engine!$B$12:$B$72,$A829+1))),IF($A829&lt;$Q$825,MAX(0,-Assumptions!$B$22*(F829/INDEX(Surface_Engine!$B$12:$B$72,$A829+1))),0)))^2+(MAX(0,J829/INDEX(Surface_Engine!$B$12:$B$72,$A829+1)-(F829/INDEX(Surface_Engine!$B$12:$B$72,$A829+1))))^2+2*Assumptions!$B$26*(IF(C829&lt;=0,0,MAX(0,(B829/C829)*G829/INDEX(Surface_Engine!$B$12:$B$72,$A829+1)-F829/INDEX(Surface_Engine!$B$12:$B$72,$A829+1))))*(MAX(IF(D829&lt;=0,0,MAX(0,(B829/D829)*H829/INDEX(Surface_Engine!$B$12:$B$72,$A829+1)-F829/INDEX(Surface_Engine!$B$12:$B$72,$A829+1))),IF(E829&lt;=0,0,MAX(0,(B829/E829)*I829/INDEX(Surface_Engine!$B$12:$B$72,$A829+1)-F829/INDEX(Surface_Engine!$B$12:$B$72,$A829+1))),IF($A829&lt;$Q$825,MAX(0,-Assumptions!$B$22*(F829/INDEX(Surface_Engine!$B$12:$B$72,$A829+1))),0)))+2*Assumptions!$B$27*(IF(C829&lt;=0,0,MAX(0,(B829/C829)*G829/INDEX(Surface_Engine!$B$12:$B$72,$A829+1)-F829/INDEX(Surface_Engine!$B$12:$B$72,$A829+1))))*(MAX(0,J829/INDEX(Surface_Engine!$B$12:$B$72,$A829+1)-(F829/INDEX(Surface_Engine!$B$12:$B$72,$A829+1))))+2*Assumptions!$B$28*(MAX(IF(D829&lt;=0,0,MAX(0,(B829/D829)*H829/INDEX(Surface_Engine!$B$12:$B$72,$A829+1)-F829/INDEX(Surface_Engine!$B$12:$B$72,$A829+1))),IF(E829&lt;=0,0,MAX(0,(B829/E829)*I829/INDEX(Surface_Engine!$B$12:$B$72,$A829+1)-F829/INDEX(Surface_Engine!$B$12:$B$72,$A829+1))),IF($A829&lt;$Q$825,MAX(0,-Assumptions!$B$22*(F829/INDEX(Surface_Engine!$B$12:$B$72,$A829+1))),0)))*(MAX(0,J829/INDEX(Surface_Engine!$B$12:$B$72,$A829+1)-(F829/INDEX(Surface_Engine!$B$12:$B$72,$A829+1)))))</f>
        <v>10535.8092648911</v>
      </c>
      <c r="L829" s="48" t="n">
        <f aca="false">K829*INDEX(Surface_Engine!$B$12:$B$72,$A829+1)+L830</f>
        <v>165397.842225277</v>
      </c>
      <c r="M829" s="48" t="n">
        <f aca="false">M828+B828*(IF($A828&lt;$Q$825,(Surface_Engine!G244*12)-(Surface_Engine!G244*12)*INDEX(Surface_Engine!$F$12:$F$72,$A828+1)-INDEX(Surface_Engine!$D$12:$D$72,$A828+1),-(1000*12*INDEX(Surface_Engine!$C$12:$C$72,$A828+1)/(1+Assumptions!$B$10)^12+INDEX(Surface_Engine!$D$12:$D$72,$A828+1))))*INDEX(Surface_Engine!$B$12:$B$72,$A828+1)</f>
        <v>8106.75652676317</v>
      </c>
      <c r="N829" s="12" t="n">
        <f aca="false">IF(B829&lt;=0,0,MAX(0,(K829+Assumptions!$B$29*L829/INDEX(Surface_Engine!$B$12:$B$72,$A829+1)-(M829/INDEX(Surface_Engine!$B$12:$B$72,$A829+1)-(F829/INDEX(Surface_Engine!$B$12:$B$72,$A829+1))))/B829))</f>
        <v>19833.0146712339</v>
      </c>
    </row>
    <row r="830" customFormat="false" ht="15" hidden="false" customHeight="true" outlineLevel="0" collapsed="false">
      <c r="A830" s="1" t="n">
        <v>3</v>
      </c>
      <c r="B830" s="32" t="n">
        <f aca="false">INDEX(Surface_Engine!$O$12:$O$72,$A830+1)*IF($A830&lt;$Q$825,INDEX(Surface_Engine!$E$12:$E$72,$A830+1),INDEX(Surface_Engine!$E$12:$E$72,$Q$825+1))</f>
        <v>0.904008274691798</v>
      </c>
      <c r="C830" s="32" t="n">
        <f aca="false">INDEX(Panel_Reserving!$E$8:$E$68,$A830+1)*IF($A830&lt;$Q$825,INDEX(Surface_Engine!$E$12:$E$72,$A830+1),INDEX(Surface_Engine!$E$12:$E$72,$Q$825+1))</f>
        <v>0.908397899136424</v>
      </c>
      <c r="D830" s="32" t="n">
        <f aca="false">INDEX(Surface_Engine!$O$12:$O$72,$A830+1)*IF($A830&lt;$Q$825,INDEX(Surface_Engine!$Y$12:$Y$72,$A830+1),INDEX(Surface_Engine!$Y$12:$Y$72,$Q$825+1))</f>
        <v>0.869168768082069</v>
      </c>
      <c r="E830" s="32" t="n">
        <f aca="false">INDEX(Surface_Engine!$O$12:$O$72,$A830+1)*IF($A830&lt;$Q$825,INDEX(Surface_Engine!$Z$12:$Z$72,$A830+1),INDEX(Surface_Engine!$Z$12:$Z$72,$Q$825+1))</f>
        <v>0.939665040075677</v>
      </c>
      <c r="F830" s="48" t="n">
        <f aca="false">B830*(IF($A830&lt;$Q$825,INDEX(Surface_Engine!$D$12:$D$72,$A830+1)+(Surface_Engine!G244*12)*INDEX(Surface_Engine!$F$12:$F$72,$A830+1)-(Surface_Engine!G244*12),1000*12*INDEX(Surface_Engine!$C$12:$C$72,$A830+1)/(1+Assumptions!$B$10)^12+INDEX(Surface_Engine!$D$12:$D$72,$A830+1)))*INDEX(Surface_Engine!$B$12:$B$72,$A830+1)+F831</f>
        <v>13328.8660358017</v>
      </c>
      <c r="G830" s="48" t="n">
        <f aca="false">C830*(IF($A830&lt;$Q$825,INDEX(Surface_Engine!$D$12:$D$72,$A830+1)+(Surface_Engine!G244*12)*INDEX(Surface_Engine!$F$12:$F$72,$A830+1)-(Surface_Engine!G244*12),1000*12*INDEX(Surface_Engine!$C$12:$C$72,$A830+1)/(1+Assumptions!$B$10)^12+INDEX(Surface_Engine!$D$12:$D$72,$A830+1)))*INDEX(Surface_Engine!$B$12:$B$72,$A830+1)+G831</f>
        <v>22601.281719504</v>
      </c>
      <c r="H830" s="48" t="n">
        <f aca="false">D830*(IF($A830&lt;$Q$825,INDEX(Surface_Engine!$D$12:$D$72,$A830+1)+(Surface_Engine!G244*12)*INDEX(Surface_Engine!$F$12:$F$72,$A830+1)-(Surface_Engine!G244*12),1000*12*INDEX(Surface_Engine!$C$12:$C$72,$A830+1)/(1+Assumptions!$B$10)^12+INDEX(Surface_Engine!$D$12:$D$72,$A830+1)))*INDEX(Surface_Engine!$B$12:$B$72,$A830+1)+H831</f>
        <v>10949.6439935435</v>
      </c>
      <c r="I830" s="48" t="n">
        <f aca="false">E830*(IF($A830&lt;$Q$825,INDEX(Surface_Engine!$D$12:$D$72,$A830+1)+(Surface_Engine!G244*12)*INDEX(Surface_Engine!$F$12:$F$72,$A830+1)-(Surface_Engine!G244*12),1000*12*INDEX(Surface_Engine!$C$12:$C$72,$A830+1)/(1+Assumptions!$B$10)^12+INDEX(Surface_Engine!$D$12:$D$72,$A830+1)))*INDEX(Surface_Engine!$B$12:$B$72,$A830+1)+I831</f>
        <v>15975.0844746995</v>
      </c>
      <c r="J830" s="48" t="n">
        <f aca="false">B830*(IF($A830&lt;$Q$825,INDEX(Surface_Engine!$D$12:$D$72,$A830+1)*(1+Assumptions!$B$24)+(Surface_Engine!G244*12)*INDEX(Surface_Engine!$F$12:$F$72,$A830+1)-(Surface_Engine!G244*12),1000*12*INDEX(Surface_Engine!$C$12:$C$72,$A830+1)/(1+Assumptions!$B$10)^12+INDEX(Surface_Engine!$D$12:$D$72,$A830+1)*(1+Assumptions!$B$24)))*INDEX(Surface_Engine!$B$12:$B$72,$A830+1)+J831</f>
        <v>13451.9826969922</v>
      </c>
      <c r="K830" s="12" t="n">
        <f aca="false">SQRT((IF(C830&lt;=0,0,MAX(0,(B830/C830)*G830/INDEX(Surface_Engine!$B$12:$B$72,$A830+1)-F830/INDEX(Surface_Engine!$B$12:$B$72,$A830+1))))^2+(MAX(IF(D830&lt;=0,0,MAX(0,(B830/D830)*H830/INDEX(Surface_Engine!$B$12:$B$72,$A830+1)-F830/INDEX(Surface_Engine!$B$12:$B$72,$A830+1))),IF(E830&lt;=0,0,MAX(0,(B830/E830)*I830/INDEX(Surface_Engine!$B$12:$B$72,$A830+1)-F830/INDEX(Surface_Engine!$B$12:$B$72,$A830+1))),IF($A830&lt;$Q$825,MAX(0,-Assumptions!$B$22*(F830/INDEX(Surface_Engine!$B$12:$B$72,$A830+1))),0)))^2+(MAX(0,J830/INDEX(Surface_Engine!$B$12:$B$72,$A830+1)-(F830/INDEX(Surface_Engine!$B$12:$B$72,$A830+1))))^2+2*Assumptions!$B$26*(IF(C830&lt;=0,0,MAX(0,(B830/C830)*G830/INDEX(Surface_Engine!$B$12:$B$72,$A830+1)-F830/INDEX(Surface_Engine!$B$12:$B$72,$A830+1))))*(MAX(IF(D830&lt;=0,0,MAX(0,(B830/D830)*H830/INDEX(Surface_Engine!$B$12:$B$72,$A830+1)-F830/INDEX(Surface_Engine!$B$12:$B$72,$A830+1))),IF(E830&lt;=0,0,MAX(0,(B830/E830)*I830/INDEX(Surface_Engine!$B$12:$B$72,$A830+1)-F830/INDEX(Surface_Engine!$B$12:$B$72,$A830+1))),IF($A830&lt;$Q$825,MAX(0,-Assumptions!$B$22*(F830/INDEX(Surface_Engine!$B$12:$B$72,$A830+1))),0)))+2*Assumptions!$B$27*(IF(C830&lt;=0,0,MAX(0,(B830/C830)*G830/INDEX(Surface_Engine!$B$12:$B$72,$A830+1)-F830/INDEX(Surface_Engine!$B$12:$B$72,$A830+1))))*(MAX(0,J830/INDEX(Surface_Engine!$B$12:$B$72,$A830+1)-(F830/INDEX(Surface_Engine!$B$12:$B$72,$A830+1))))+2*Assumptions!$B$28*(MAX(IF(D830&lt;=0,0,MAX(0,(B830/D830)*H830/INDEX(Surface_Engine!$B$12:$B$72,$A830+1)-F830/INDEX(Surface_Engine!$B$12:$B$72,$A830+1))),IF(E830&lt;=0,0,MAX(0,(B830/E830)*I830/INDEX(Surface_Engine!$B$12:$B$72,$A830+1)-F830/INDEX(Surface_Engine!$B$12:$B$72,$A830+1))),IF($A830&lt;$Q$825,MAX(0,-Assumptions!$B$22*(F830/INDEX(Surface_Engine!$B$12:$B$72,$A830+1))),0)))*(MAX(0,J830/INDEX(Surface_Engine!$B$12:$B$72,$A830+1)-(F830/INDEX(Surface_Engine!$B$12:$B$72,$A830+1)))))</f>
        <v>10715.9326684165</v>
      </c>
      <c r="L830" s="48" t="n">
        <f aca="false">K830*INDEX(Surface_Engine!$B$12:$B$72,$A830+1)+L831</f>
        <v>155394.316441868</v>
      </c>
      <c r="M830" s="48" t="n">
        <f aca="false">M829+B829*(IF($A829&lt;$Q$825,(Surface_Engine!G244*12)-(Surface_Engine!G244*12)*INDEX(Surface_Engine!$F$12:$F$72,$A829+1)-INDEX(Surface_Engine!$D$12:$D$72,$A829+1),-(1000*12*INDEX(Surface_Engine!$C$12:$C$72,$A829+1)/(1+Assumptions!$B$10)^12+INDEX(Surface_Engine!$D$12:$D$72,$A829+1))))*INDEX(Surface_Engine!$B$12:$B$72,$A829+1)</f>
        <v>15847.2279841601</v>
      </c>
      <c r="N830" s="12" t="n">
        <f aca="false">IF(B830&lt;=0,0,MAX(0,(K830+Assumptions!$B$29*L830/INDEX(Surface_Engine!$B$12:$B$72,$A830+1)-(M830/INDEX(Surface_Engine!$B$12:$B$72,$A830+1)-(F830/INDEX(Surface_Engine!$B$12:$B$72,$A830+1))))/B830))</f>
        <v>19989.9970573701</v>
      </c>
    </row>
    <row r="831" customFormat="false" ht="15" hidden="false" customHeight="true" outlineLevel="0" collapsed="false">
      <c r="A831" s="1" t="n">
        <v>4</v>
      </c>
      <c r="B831" s="32" t="n">
        <f aca="false">INDEX(Surface_Engine!$O$12:$O$72,$A831+1)*IF($A831&lt;$Q$825,INDEX(Surface_Engine!$E$12:$E$72,$A831+1),INDEX(Surface_Engine!$E$12:$E$72,$Q$825+1))</f>
        <v>0.883164776935926</v>
      </c>
      <c r="C831" s="32" t="n">
        <f aca="false">INDEX(Panel_Reserving!$E$8:$E$68,$A831+1)*IF($A831&lt;$Q$825,INDEX(Surface_Engine!$E$12:$E$72,$A831+1),INDEX(Surface_Engine!$E$12:$E$72,$Q$825+1))</f>
        <v>0.889225794121993</v>
      </c>
      <c r="D831" s="32" t="n">
        <f aca="false">INDEX(Surface_Engine!$O$12:$O$72,$A831+1)*IF($A831&lt;$Q$825,INDEX(Surface_Engine!$Y$12:$Y$72,$A831+1),INDEX(Surface_Engine!$Y$12:$Y$72,$Q$825+1))</f>
        <v>0.843405737927717</v>
      </c>
      <c r="E831" s="32" t="n">
        <f aca="false">INDEX(Surface_Engine!$O$12:$O$72,$A831+1)*IF($A831&lt;$Q$825,INDEX(Surface_Engine!$Z$12:$Z$72,$A831+1),INDEX(Surface_Engine!$Z$12:$Z$72,$Q$825+1))</f>
        <v>0.924186395968513</v>
      </c>
      <c r="F831" s="48" t="n">
        <f aca="false">B831*(IF($A831&lt;$Q$825,INDEX(Surface_Engine!$D$12:$D$72,$A831+1)+(Surface_Engine!G244*12)*INDEX(Surface_Engine!$F$12:$F$72,$A831+1)-(Surface_Engine!G244*12),1000*12*INDEX(Surface_Engine!$C$12:$C$72,$A831+1)/(1+Assumptions!$B$10)^12+INDEX(Surface_Engine!$D$12:$D$72,$A831+1)))*INDEX(Surface_Engine!$B$12:$B$72,$A831+1)+F832</f>
        <v>20702.8292909139</v>
      </c>
      <c r="G831" s="48" t="n">
        <f aca="false">C831*(IF($A831&lt;$Q$825,INDEX(Surface_Engine!$D$12:$D$72,$A831+1)+(Surface_Engine!G244*12)*INDEX(Surface_Engine!$F$12:$F$72,$A831+1)-(Surface_Engine!G244*12),1000*12*INDEX(Surface_Engine!$C$12:$C$72,$A831+1)/(1+Assumptions!$B$10)^12+INDEX(Surface_Engine!$D$12:$D$72,$A831+1)))*INDEX(Surface_Engine!$B$12:$B$72,$A831+1)+G832</f>
        <v>30011.0509846546</v>
      </c>
      <c r="H831" s="48" t="n">
        <f aca="false">D831*(IF($A831&lt;$Q$825,INDEX(Surface_Engine!$D$12:$D$72,$A831+1)+(Surface_Engine!G244*12)*INDEX(Surface_Engine!$F$12:$F$72,$A831+1)-(Surface_Engine!G244*12),1000*12*INDEX(Surface_Engine!$C$12:$C$72,$A831+1)/(1+Assumptions!$B$10)^12+INDEX(Surface_Engine!$D$12:$D$72,$A831+1)))*INDEX(Surface_Engine!$B$12:$B$72,$A831+1)+H832</f>
        <v>18039.4226357947</v>
      </c>
      <c r="I831" s="48" t="n">
        <f aca="false">E831*(IF($A831&lt;$Q$825,INDEX(Surface_Engine!$D$12:$D$72,$A831+1)+(Surface_Engine!G244*12)*INDEX(Surface_Engine!$F$12:$F$72,$A831+1)-(Surface_Engine!G244*12),1000*12*INDEX(Surface_Engine!$C$12:$C$72,$A831+1)/(1+Assumptions!$B$10)^12+INDEX(Surface_Engine!$D$12:$D$72,$A831+1)))*INDEX(Surface_Engine!$B$12:$B$72,$A831+1)+I832</f>
        <v>23639.8986933458</v>
      </c>
      <c r="J831" s="48" t="n">
        <f aca="false">B831*(IF($A831&lt;$Q$825,INDEX(Surface_Engine!$D$12:$D$72,$A831+1)*(1+Assumptions!$B$24)+(Surface_Engine!G244*12)*INDEX(Surface_Engine!$F$12:$F$72,$A831+1)-(Surface_Engine!G244*12),1000*12*INDEX(Surface_Engine!$C$12:$C$72,$A831+1)/(1+Assumptions!$B$10)^12+INDEX(Surface_Engine!$D$12:$D$72,$A831+1)*(1+Assumptions!$B$24)))*INDEX(Surface_Engine!$B$12:$B$72,$A831+1)+J832</f>
        <v>20818.5599225764</v>
      </c>
      <c r="K831" s="12" t="n">
        <f aca="false">SQRT((IF(C831&lt;=0,0,MAX(0,(B831/C831)*G831/INDEX(Surface_Engine!$B$12:$B$72,$A831+1)-F831/INDEX(Surface_Engine!$B$12:$B$72,$A831+1))))^2+(MAX(IF(D831&lt;=0,0,MAX(0,(B831/D831)*H831/INDEX(Surface_Engine!$B$12:$B$72,$A831+1)-F831/INDEX(Surface_Engine!$B$12:$B$72,$A831+1))),IF(E831&lt;=0,0,MAX(0,(B831/E831)*I831/INDEX(Surface_Engine!$B$12:$B$72,$A831+1)-F831/INDEX(Surface_Engine!$B$12:$B$72,$A831+1))),IF($A831&lt;$Q$825,MAX(0,-Assumptions!$B$22*(F831/INDEX(Surface_Engine!$B$12:$B$72,$A831+1))),0)))^2+(MAX(0,J831/INDEX(Surface_Engine!$B$12:$B$72,$A831+1)-(F831/INDEX(Surface_Engine!$B$12:$B$72,$A831+1))))^2+2*Assumptions!$B$26*(IF(C831&lt;=0,0,MAX(0,(B831/C831)*G831/INDEX(Surface_Engine!$B$12:$B$72,$A831+1)-F831/INDEX(Surface_Engine!$B$12:$B$72,$A831+1))))*(MAX(IF(D831&lt;=0,0,MAX(0,(B831/D831)*H831/INDEX(Surface_Engine!$B$12:$B$72,$A831+1)-F831/INDEX(Surface_Engine!$B$12:$B$72,$A831+1))),IF(E831&lt;=0,0,MAX(0,(B831/E831)*I831/INDEX(Surface_Engine!$B$12:$B$72,$A831+1)-F831/INDEX(Surface_Engine!$B$12:$B$72,$A831+1))),IF($A831&lt;$Q$825,MAX(0,-Assumptions!$B$22*(F831/INDEX(Surface_Engine!$B$12:$B$72,$A831+1))),0)))+2*Assumptions!$B$27*(IF(C831&lt;=0,0,MAX(0,(B831/C831)*G831/INDEX(Surface_Engine!$B$12:$B$72,$A831+1)-F831/INDEX(Surface_Engine!$B$12:$B$72,$A831+1))))*(MAX(0,J831/INDEX(Surface_Engine!$B$12:$B$72,$A831+1)-(F831/INDEX(Surface_Engine!$B$12:$B$72,$A831+1))))+2*Assumptions!$B$28*(MAX(IF(D831&lt;=0,0,MAX(0,(B831/D831)*H831/INDEX(Surface_Engine!$B$12:$B$72,$A831+1)-F831/INDEX(Surface_Engine!$B$12:$B$72,$A831+1))),IF(E831&lt;=0,0,MAX(0,(B831/E831)*I831/INDEX(Surface_Engine!$B$12:$B$72,$A831+1)-F831/INDEX(Surface_Engine!$B$12:$B$72,$A831+1))),IF($A831&lt;$Q$825,MAX(0,-Assumptions!$B$22*(F831/INDEX(Surface_Engine!$B$12:$B$72,$A831+1))),0)))*(MAX(0,J831/INDEX(Surface_Engine!$B$12:$B$72,$A831+1)-(F831/INDEX(Surface_Engine!$B$12:$B$72,$A831+1)))))</f>
        <v>10860.834037977</v>
      </c>
      <c r="L831" s="48" t="n">
        <f aca="false">K831*INDEX(Surface_Engine!$B$12:$B$72,$A831+1)+L832</f>
        <v>145479.534630473</v>
      </c>
      <c r="M831" s="48" t="n">
        <f aca="false">M830+B830*(IF($A830&lt;$Q$825,(Surface_Engine!G244*12)-(Surface_Engine!G244*12)*INDEX(Surface_Engine!$F$12:$F$72,$A830+1)-INDEX(Surface_Engine!$D$12:$D$72,$A830+1),-(1000*12*INDEX(Surface_Engine!$C$12:$C$72,$A830+1)/(1+Assumptions!$B$10)^12+INDEX(Surface_Engine!$D$12:$D$72,$A830+1))))*INDEX(Surface_Engine!$B$12:$B$72,$A830+1)</f>
        <v>23221.1912392723</v>
      </c>
      <c r="N831" s="12" t="n">
        <f aca="false">IF(B831&lt;=0,0,MAX(0,(K831+Assumptions!$B$29*L831/INDEX(Surface_Engine!$B$12:$B$72,$A831+1)-(M831/INDEX(Surface_Engine!$B$12:$B$72,$A831+1)-(F831/INDEX(Surface_Engine!$B$12:$B$72,$A831+1))))/B831))</f>
        <v>20100.9144441615</v>
      </c>
    </row>
    <row r="832" customFormat="false" ht="15" hidden="false" customHeight="true" outlineLevel="0" collapsed="false">
      <c r="A832" s="1" t="n">
        <v>5</v>
      </c>
      <c r="B832" s="32" t="n">
        <f aca="false">INDEX(Surface_Engine!$O$12:$O$72,$A832+1)*IF($A832&lt;$Q$825,INDEX(Surface_Engine!$E$12:$E$72,$A832+1),INDEX(Surface_Engine!$E$12:$E$72,$Q$825+1))</f>
        <v>0.861889437947002</v>
      </c>
      <c r="C832" s="32" t="n">
        <f aca="false">INDEX(Panel_Reserving!$E$8:$E$68,$A832+1)*IF($A832&lt;$Q$825,INDEX(Surface_Engine!$E$12:$E$72,$A832+1),INDEX(Surface_Engine!$E$12:$E$72,$Q$825+1))</f>
        <v>0.869723374946982</v>
      </c>
      <c r="D832" s="32" t="n">
        <f aca="false">INDEX(Surface_Engine!$O$12:$O$72,$A832+1)*IF($A832&lt;$Q$825,INDEX(Surface_Engine!$Y$12:$Y$72,$A832+1),INDEX(Surface_Engine!$Y$12:$Y$72,$Q$825+1))</f>
        <v>0.817540873903783</v>
      </c>
      <c r="E832" s="32" t="n">
        <f aca="false">INDEX(Surface_Engine!$O$12:$O$72,$A832+1)*IF($A832&lt;$Q$825,INDEX(Surface_Engine!$Z$12:$Z$72,$A832+1),INDEX(Surface_Engine!$Z$12:$Z$72,$Q$825+1))</f>
        <v>0.908001483618589</v>
      </c>
      <c r="F832" s="48" t="n">
        <f aca="false">B832*(IF($A832&lt;$Q$825,INDEX(Surface_Engine!$D$12:$D$72,$A832+1)+(Surface_Engine!G244*12)*INDEX(Surface_Engine!$F$12:$F$72,$A832+1)-(Surface_Engine!G244*12),1000*12*INDEX(Surface_Engine!$C$12:$C$72,$A832+1)/(1+Assumptions!$B$10)^12+INDEX(Surface_Engine!$D$12:$D$72,$A832+1)))*INDEX(Surface_Engine!$B$12:$B$72,$A832+1)+F833</f>
        <v>27717.5354072555</v>
      </c>
      <c r="G832" s="48" t="n">
        <f aca="false">C832*(IF($A832&lt;$Q$825,INDEX(Surface_Engine!$D$12:$D$72,$A832+1)+(Surface_Engine!G244*12)*INDEX(Surface_Engine!$F$12:$F$72,$A832+1)-(Surface_Engine!G244*12),1000*12*INDEX(Surface_Engine!$C$12:$C$72,$A832+1)/(1+Assumptions!$B$10)^12+INDEX(Surface_Engine!$D$12:$D$72,$A832+1)))*INDEX(Surface_Engine!$B$12:$B$72,$A832+1)+G833</f>
        <v>37073.8978958248</v>
      </c>
      <c r="H832" s="48" t="n">
        <f aca="false">D832*(IF($A832&lt;$Q$825,INDEX(Surface_Engine!$D$12:$D$72,$A832+1)+(Surface_Engine!G244*12)*INDEX(Surface_Engine!$F$12:$F$72,$A832+1)-(Surface_Engine!G244*12),1000*12*INDEX(Surface_Engine!$C$12:$C$72,$A832+1)/(1+Assumptions!$B$10)^12+INDEX(Surface_Engine!$D$12:$D$72,$A832+1)))*INDEX(Surface_Engine!$B$12:$B$72,$A832+1)+H833</f>
        <v>24738.3349372173</v>
      </c>
      <c r="I832" s="48" t="n">
        <f aca="false">E832*(IF($A832&lt;$Q$825,INDEX(Surface_Engine!$D$12:$D$72,$A832+1)+(Surface_Engine!G244*12)*INDEX(Surface_Engine!$F$12:$F$72,$A832+1)-(Surface_Engine!G244*12),1000*12*INDEX(Surface_Engine!$C$12:$C$72,$A832+1)/(1+Assumptions!$B$10)^12+INDEX(Surface_Engine!$D$12:$D$72,$A832+1)))*INDEX(Surface_Engine!$B$12:$B$72,$A832+1)+I833</f>
        <v>30980.4269093057</v>
      </c>
      <c r="J832" s="48" t="n">
        <f aca="false">B832*(IF($A832&lt;$Q$825,INDEX(Surface_Engine!$D$12:$D$72,$A832+1)*(1+Assumptions!$B$24)+(Surface_Engine!G244*12)*INDEX(Surface_Engine!$F$12:$F$72,$A832+1)-(Surface_Engine!G244*12),1000*12*INDEX(Surface_Engine!$C$12:$C$72,$A832+1)/(1+Assumptions!$B$10)^12+INDEX(Surface_Engine!$D$12:$D$72,$A832+1)*(1+Assumptions!$B$24)))*INDEX(Surface_Engine!$B$12:$B$72,$A832+1)+J833</f>
        <v>27826.062395923</v>
      </c>
      <c r="K832" s="12" t="n">
        <f aca="false">SQRT((IF(C832&lt;=0,0,MAX(0,(B832/C832)*G832/INDEX(Surface_Engine!$B$12:$B$72,$A832+1)-F832/INDEX(Surface_Engine!$B$12:$B$72,$A832+1))))^2+(MAX(IF(D832&lt;=0,0,MAX(0,(B832/D832)*H832/INDEX(Surface_Engine!$B$12:$B$72,$A832+1)-F832/INDEX(Surface_Engine!$B$12:$B$72,$A832+1))),IF(E832&lt;=0,0,MAX(0,(B832/E832)*I832/INDEX(Surface_Engine!$B$12:$B$72,$A832+1)-F832/INDEX(Surface_Engine!$B$12:$B$72,$A832+1))),IF($A832&lt;$Q$825,MAX(0,-Assumptions!$B$22*(F832/INDEX(Surface_Engine!$B$12:$B$72,$A832+1))),0)))^2+(MAX(0,J832/INDEX(Surface_Engine!$B$12:$B$72,$A832+1)-(F832/INDEX(Surface_Engine!$B$12:$B$72,$A832+1))))^2+2*Assumptions!$B$26*(IF(C832&lt;=0,0,MAX(0,(B832/C832)*G832/INDEX(Surface_Engine!$B$12:$B$72,$A832+1)-F832/INDEX(Surface_Engine!$B$12:$B$72,$A832+1))))*(MAX(IF(D832&lt;=0,0,MAX(0,(B832/D832)*H832/INDEX(Surface_Engine!$B$12:$B$72,$A832+1)-F832/INDEX(Surface_Engine!$B$12:$B$72,$A832+1))),IF(E832&lt;=0,0,MAX(0,(B832/E832)*I832/INDEX(Surface_Engine!$B$12:$B$72,$A832+1)-F832/INDEX(Surface_Engine!$B$12:$B$72,$A832+1))),IF($A832&lt;$Q$825,MAX(0,-Assumptions!$B$22*(F832/INDEX(Surface_Engine!$B$12:$B$72,$A832+1))),0)))+2*Assumptions!$B$27*(IF(C832&lt;=0,0,MAX(0,(B832/C832)*G832/INDEX(Surface_Engine!$B$12:$B$72,$A832+1)-F832/INDEX(Surface_Engine!$B$12:$B$72,$A832+1))))*(MAX(0,J832/INDEX(Surface_Engine!$B$12:$B$72,$A832+1)-(F832/INDEX(Surface_Engine!$B$12:$B$72,$A832+1))))+2*Assumptions!$B$28*(MAX(IF(D832&lt;=0,0,MAX(0,(B832/D832)*H832/INDEX(Surface_Engine!$B$12:$B$72,$A832+1)-F832/INDEX(Surface_Engine!$B$12:$B$72,$A832+1))),IF(E832&lt;=0,0,MAX(0,(B832/E832)*I832/INDEX(Surface_Engine!$B$12:$B$72,$A832+1)-F832/INDEX(Surface_Engine!$B$12:$B$72,$A832+1))),IF($A832&lt;$Q$825,MAX(0,-Assumptions!$B$22*(F832/INDEX(Surface_Engine!$B$12:$B$72,$A832+1))),0)))*(MAX(0,J832/INDEX(Surface_Engine!$B$12:$B$72,$A832+1)-(F832/INDEX(Surface_Engine!$B$12:$B$72,$A832+1)))))</f>
        <v>10975.4266657704</v>
      </c>
      <c r="L832" s="48" t="n">
        <f aca="false">K832*INDEX(Surface_Engine!$B$12:$B$72,$A832+1)+L833</f>
        <v>135692.202976738</v>
      </c>
      <c r="M832" s="48" t="n">
        <f aca="false">M831+B831*(IF($A831&lt;$Q$825,(Surface_Engine!G244*12)-(Surface_Engine!G244*12)*INDEX(Surface_Engine!$F$12:$F$72,$A831+1)-INDEX(Surface_Engine!$D$12:$D$72,$A831+1),-(1000*12*INDEX(Surface_Engine!$C$12:$C$72,$A831+1)/(1+Assumptions!$B$10)^12+INDEX(Surface_Engine!$D$12:$D$72,$A831+1))))*INDEX(Surface_Engine!$B$12:$B$72,$A831+1)</f>
        <v>30235.8973556139</v>
      </c>
      <c r="N832" s="12" t="n">
        <f aca="false">IF(B832&lt;=0,0,MAX(0,(K832+Assumptions!$B$29*L832/INDEX(Surface_Engine!$B$12:$B$72,$A832+1)-(M832/INDEX(Surface_Engine!$B$12:$B$72,$A832+1)-(F832/INDEX(Surface_Engine!$B$12:$B$72,$A832+1))))/B832))</f>
        <v>20176.775185485</v>
      </c>
    </row>
    <row r="833" customFormat="false" ht="15" hidden="false" customHeight="true" outlineLevel="0" collapsed="false">
      <c r="A833" s="1" t="n">
        <v>6</v>
      </c>
      <c r="B833" s="32" t="n">
        <f aca="false">INDEX(Surface_Engine!$O$12:$O$72,$A833+1)*IF($A833&lt;$Q$825,INDEX(Surface_Engine!$E$12:$E$72,$A833+1),INDEX(Surface_Engine!$E$12:$E$72,$Q$825+1))</f>
        <v>0.843686875261664</v>
      </c>
      <c r="C833" s="32" t="n">
        <f aca="false">INDEX(Panel_Reserving!$E$8:$E$68,$A833+1)*IF($A833&lt;$Q$825,INDEX(Surface_Engine!$E$12:$E$72,$A833+1),INDEX(Surface_Engine!$E$12:$E$72,$Q$825+1))</f>
        <v>0.853446069999635</v>
      </c>
      <c r="D833" s="32" t="n">
        <f aca="false">INDEX(Surface_Engine!$O$12:$O$72,$A833+1)*IF($A833&lt;$Q$825,INDEX(Surface_Engine!$Y$12:$Y$72,$A833+1),INDEX(Surface_Engine!$Y$12:$Y$72,$Q$825+1))</f>
        <v>0.79660023439674</v>
      </c>
      <c r="E833" s="32" t="n">
        <f aca="false">INDEX(Surface_Engine!$O$12:$O$72,$A833+1)*IF($A833&lt;$Q$825,INDEX(Surface_Engine!$Z$12:$Z$72,$A833+1),INDEX(Surface_Engine!$Z$12:$Z$72,$Q$825+1))</f>
        <v>0.892906357352133</v>
      </c>
      <c r="F833" s="48" t="n">
        <f aca="false">B833*(IF($A833&lt;$Q$825,INDEX(Surface_Engine!$D$12:$D$72,$A833+1)+(Surface_Engine!G244*12)*INDEX(Surface_Engine!$F$12:$F$72,$A833+1)-(Surface_Engine!G244*12),1000*12*INDEX(Surface_Engine!$C$12:$C$72,$A833+1)/(1+Assumptions!$B$10)^12+INDEX(Surface_Engine!$D$12:$D$72,$A833+1)))*INDEX(Surface_Engine!$B$12:$B$72,$A833+1)+F834</f>
        <v>34375.0173880324</v>
      </c>
      <c r="G833" s="48" t="n">
        <f aca="false">C833*(IF($A833&lt;$Q$825,INDEX(Surface_Engine!$D$12:$D$72,$A833+1)+(Surface_Engine!G244*12)*INDEX(Surface_Engine!$F$12:$F$72,$A833+1)-(Surface_Engine!G244*12),1000*12*INDEX(Surface_Engine!$C$12:$C$72,$A833+1)/(1+Assumptions!$B$10)^12+INDEX(Surface_Engine!$D$12:$D$72,$A833+1)))*INDEX(Surface_Engine!$B$12:$B$72,$A833+1)+G834</f>
        <v>43791.8914597813</v>
      </c>
      <c r="H833" s="48" t="n">
        <f aca="false">D833*(IF($A833&lt;$Q$825,INDEX(Surface_Engine!$D$12:$D$72,$A833+1)+(Surface_Engine!G244*12)*INDEX(Surface_Engine!$F$12:$F$72,$A833+1)-(Surface_Engine!G244*12),1000*12*INDEX(Surface_Engine!$C$12:$C$72,$A833+1)/(1+Assumptions!$B$10)^12+INDEX(Surface_Engine!$D$12:$D$72,$A833+1)))*INDEX(Surface_Engine!$B$12:$B$72,$A833+1)+H834</f>
        <v>31053.2558504235</v>
      </c>
      <c r="I833" s="48" t="n">
        <f aca="false">E833*(IF($A833&lt;$Q$825,INDEX(Surface_Engine!$D$12:$D$72,$A833+1)+(Surface_Engine!G244*12)*INDEX(Surface_Engine!$F$12:$F$72,$A833+1)-(Surface_Engine!G244*12),1000*12*INDEX(Surface_Engine!$C$12:$C$72,$A833+1)/(1+Assumptions!$B$10)^12+INDEX(Surface_Engine!$D$12:$D$72,$A833+1)))*INDEX(Surface_Engine!$B$12:$B$72,$A833+1)+I834</f>
        <v>37994.0915970973</v>
      </c>
      <c r="J833" s="48" t="n">
        <f aca="false">B833*(IF($A833&lt;$Q$825,INDEX(Surface_Engine!$D$12:$D$72,$A833+1)*(1+Assumptions!$B$24)+(Surface_Engine!G244*12)*INDEX(Surface_Engine!$F$12:$F$72,$A833+1)-(Surface_Engine!G244*12),1000*12*INDEX(Surface_Engine!$C$12:$C$72,$A833+1)/(1+Assumptions!$B$10)^12+INDEX(Surface_Engine!$D$12:$D$72,$A833+1)*(1+Assumptions!$B$24)))*INDEX(Surface_Engine!$B$12:$B$72,$A833+1)+J834</f>
        <v>34476.5348599475</v>
      </c>
      <c r="K833" s="12" t="n">
        <f aca="false">SQRT((IF(C833&lt;=0,0,MAX(0,(B833/C833)*G833/INDEX(Surface_Engine!$B$12:$B$72,$A833+1)-F833/INDEX(Surface_Engine!$B$12:$B$72,$A833+1))))^2+(MAX(IF(D833&lt;=0,0,MAX(0,(B833/D833)*H833/INDEX(Surface_Engine!$B$12:$B$72,$A833+1)-F833/INDEX(Surface_Engine!$B$12:$B$72,$A833+1))),IF(E833&lt;=0,0,MAX(0,(B833/E833)*I833/INDEX(Surface_Engine!$B$12:$B$72,$A833+1)-F833/INDEX(Surface_Engine!$B$12:$B$72,$A833+1))),IF($A833&lt;$Q$825,MAX(0,-Assumptions!$B$22*(F833/INDEX(Surface_Engine!$B$12:$B$72,$A833+1))),0)))^2+(MAX(0,J833/INDEX(Surface_Engine!$B$12:$B$72,$A833+1)-(F833/INDEX(Surface_Engine!$B$12:$B$72,$A833+1))))^2+2*Assumptions!$B$26*(IF(C833&lt;=0,0,MAX(0,(B833/C833)*G833/INDEX(Surface_Engine!$B$12:$B$72,$A833+1)-F833/INDEX(Surface_Engine!$B$12:$B$72,$A833+1))))*(MAX(IF(D833&lt;=0,0,MAX(0,(B833/D833)*H833/INDEX(Surface_Engine!$B$12:$B$72,$A833+1)-F833/INDEX(Surface_Engine!$B$12:$B$72,$A833+1))),IF(E833&lt;=0,0,MAX(0,(B833/E833)*I833/INDEX(Surface_Engine!$B$12:$B$72,$A833+1)-F833/INDEX(Surface_Engine!$B$12:$B$72,$A833+1))),IF($A833&lt;$Q$825,MAX(0,-Assumptions!$B$22*(F833/INDEX(Surface_Engine!$B$12:$B$72,$A833+1))),0)))+2*Assumptions!$B$27*(IF(C833&lt;=0,0,MAX(0,(B833/C833)*G833/INDEX(Surface_Engine!$B$12:$B$72,$A833+1)-F833/INDEX(Surface_Engine!$B$12:$B$72,$A833+1))))*(MAX(0,J833/INDEX(Surface_Engine!$B$12:$B$72,$A833+1)-(F833/INDEX(Surface_Engine!$B$12:$B$72,$A833+1))))+2*Assumptions!$B$28*(MAX(IF(D833&lt;=0,0,MAX(0,(B833/D833)*H833/INDEX(Surface_Engine!$B$12:$B$72,$A833+1)-F833/INDEX(Surface_Engine!$B$12:$B$72,$A833+1))),IF(E833&lt;=0,0,MAX(0,(B833/E833)*I833/INDEX(Surface_Engine!$B$12:$B$72,$A833+1)-F833/INDEX(Surface_Engine!$B$12:$B$72,$A833+1))),IF($A833&lt;$Q$825,MAX(0,-Assumptions!$B$22*(F833/INDEX(Surface_Engine!$B$12:$B$72,$A833+1))),0)))*(MAX(0,J833/INDEX(Surface_Engine!$B$12:$B$72,$A833+1)-(F833/INDEX(Surface_Engine!$B$12:$B$72,$A833+1)))))</f>
        <v>11087.8432091784</v>
      </c>
      <c r="L833" s="48" t="n">
        <f aca="false">K833*INDEX(Surface_Engine!$B$12:$B$72,$A833+1)+L834</f>
        <v>126071.102452931</v>
      </c>
      <c r="M833" s="48" t="n">
        <f aca="false">M832+B832*(IF($A832&lt;$Q$825,(Surface_Engine!G244*12)-(Surface_Engine!G244*12)*INDEX(Surface_Engine!$F$12:$F$72,$A832+1)-INDEX(Surface_Engine!$D$12:$D$72,$A832+1),-(1000*12*INDEX(Surface_Engine!$C$12:$C$72,$A832+1)/(1+Assumptions!$B$10)^12+INDEX(Surface_Engine!$D$12:$D$72,$A832+1))))*INDEX(Surface_Engine!$B$12:$B$72,$A832+1)</f>
        <v>36893.3793363908</v>
      </c>
      <c r="N833" s="12" t="n">
        <f aca="false">IF(B833&lt;=0,0,MAX(0,(K833+Assumptions!$B$29*L833/INDEX(Surface_Engine!$B$12:$B$72,$A833+1)-(M833/INDEX(Surface_Engine!$B$12:$B$72,$A833+1)-(F833/INDEX(Surface_Engine!$B$12:$B$72,$A833+1))))/B833))</f>
        <v>20162.0578023562</v>
      </c>
    </row>
    <row r="834" customFormat="false" ht="15" hidden="false" customHeight="true" outlineLevel="0" collapsed="false">
      <c r="A834" s="1" t="n">
        <v>7</v>
      </c>
      <c r="B834" s="32" t="n">
        <f aca="false">INDEX(Surface_Engine!$O$12:$O$72,$A834+1)*IF($A834&lt;$Q$825,INDEX(Surface_Engine!$E$12:$E$72,$A834+1),INDEX(Surface_Engine!$E$12:$E$72,$Q$825+1))</f>
        <v>0.824731058261812</v>
      </c>
      <c r="C834" s="32" t="n">
        <f aca="false">INDEX(Panel_Reserving!$E$8:$E$68,$A834+1)*IF($A834&lt;$Q$825,INDEX(Surface_Engine!$E$12:$E$72,$A834+1),INDEX(Surface_Engine!$E$12:$E$72,$Q$825+1))</f>
        <v>0.836552730175345</v>
      </c>
      <c r="D834" s="32" t="n">
        <f aca="false">INDEX(Surface_Engine!$O$12:$O$72,$A834+1)*IF($A834&lt;$Q$825,INDEX(Surface_Engine!$Y$12:$Y$72,$A834+1),INDEX(Surface_Engine!$Y$12:$Y$72,$Q$825+1))</f>
        <v>0.775126718274485</v>
      </c>
      <c r="E834" s="32" t="n">
        <f aca="false">INDEX(Surface_Engine!$O$12:$O$72,$A834+1)*IF($A834&lt;$Q$825,INDEX(Surface_Engine!$Z$12:$Z$72,$A834+1),INDEX(Surface_Engine!$Z$12:$Z$72,$Q$825+1))</f>
        <v>0.876852600526584</v>
      </c>
      <c r="F834" s="48" t="n">
        <f aca="false">B834*(IF($A834&lt;$Q$825,INDEX(Surface_Engine!$D$12:$D$72,$A834+1)+(Surface_Engine!G244*12)*INDEX(Surface_Engine!$F$12:$F$72,$A834+1)-(Surface_Engine!G244*12),1000*12*INDEX(Surface_Engine!$C$12:$C$72,$A834+1)/(1+Assumptions!$B$10)^12+INDEX(Surface_Engine!$D$12:$D$72,$A834+1)))*INDEX(Surface_Engine!$B$12:$B$72,$A834+1)+F835</f>
        <v>40707.1087359056</v>
      </c>
      <c r="G834" s="48" t="n">
        <f aca="false">C834*(IF($A834&lt;$Q$825,INDEX(Surface_Engine!$D$12:$D$72,$A834+1)+(Surface_Engine!G244*12)*INDEX(Surface_Engine!$F$12:$F$72,$A834+1)-(Surface_Engine!G244*12),1000*12*INDEX(Surface_Engine!$C$12:$C$72,$A834+1)/(1+Assumptions!$B$10)^12+INDEX(Surface_Engine!$D$12:$D$72,$A834+1)))*INDEX(Surface_Engine!$B$12:$B$72,$A834+1)+G835</f>
        <v>50197.2281245777</v>
      </c>
      <c r="H834" s="48" t="n">
        <f aca="false">D834*(IF($A834&lt;$Q$825,INDEX(Surface_Engine!$D$12:$D$72,$A834+1)+(Surface_Engine!G244*12)*INDEX(Surface_Engine!$F$12:$F$72,$A834+1)-(Surface_Engine!G244*12),1000*12*INDEX(Surface_Engine!$C$12:$C$72,$A834+1)/(1+Assumptions!$B$10)^12+INDEX(Surface_Engine!$D$12:$D$72,$A834+1)))*INDEX(Surface_Engine!$B$12:$B$72,$A834+1)+H835</f>
        <v>37031.9496049908</v>
      </c>
      <c r="I834" s="48" t="n">
        <f aca="false">E834*(IF($A834&lt;$Q$825,INDEX(Surface_Engine!$D$12:$D$72,$A834+1)+(Surface_Engine!G244*12)*INDEX(Surface_Engine!$F$12:$F$72,$A834+1)-(Surface_Engine!G244*12),1000*12*INDEX(Surface_Engine!$C$12:$C$72,$A834+1)/(1+Assumptions!$B$10)^12+INDEX(Surface_Engine!$D$12:$D$72,$A834+1)))*INDEX(Surface_Engine!$B$12:$B$72,$A834+1)+I835</f>
        <v>44695.5880712446</v>
      </c>
      <c r="J834" s="48" t="n">
        <f aca="false">B834*(IF($A834&lt;$Q$825,INDEX(Surface_Engine!$D$12:$D$72,$A834+1)*(1+Assumptions!$B$24)+(Surface_Engine!G244*12)*INDEX(Surface_Engine!$F$12:$F$72,$A834+1)-(Surface_Engine!G244*12),1000*12*INDEX(Surface_Engine!$C$12:$C$72,$A834+1)/(1+Assumptions!$B$10)^12+INDEX(Surface_Engine!$D$12:$D$72,$A834+1)*(1+Assumptions!$B$24)))*INDEX(Surface_Engine!$B$12:$B$72,$A834+1)+J835</f>
        <v>40801.7908155176</v>
      </c>
      <c r="K834" s="12" t="n">
        <f aca="false">SQRT((IF(C834&lt;=0,0,MAX(0,(B834/C834)*G834/INDEX(Surface_Engine!$B$12:$B$72,$A834+1)-F834/INDEX(Surface_Engine!$B$12:$B$72,$A834+1))))^2+(MAX(IF(D834&lt;=0,0,MAX(0,(B834/D834)*H834/INDEX(Surface_Engine!$B$12:$B$72,$A834+1)-F834/INDEX(Surface_Engine!$B$12:$B$72,$A834+1))),IF(E834&lt;=0,0,MAX(0,(B834/E834)*I834/INDEX(Surface_Engine!$B$12:$B$72,$A834+1)-F834/INDEX(Surface_Engine!$B$12:$B$72,$A834+1))),IF($A834&lt;$Q$825,MAX(0,-Assumptions!$B$22*(F834/INDEX(Surface_Engine!$B$12:$B$72,$A834+1))),0)))^2+(MAX(0,J834/INDEX(Surface_Engine!$B$12:$B$72,$A834+1)-(F834/INDEX(Surface_Engine!$B$12:$B$72,$A834+1))))^2+2*Assumptions!$B$26*(IF(C834&lt;=0,0,MAX(0,(B834/C834)*G834/INDEX(Surface_Engine!$B$12:$B$72,$A834+1)-F834/INDEX(Surface_Engine!$B$12:$B$72,$A834+1))))*(MAX(IF(D834&lt;=0,0,MAX(0,(B834/D834)*H834/INDEX(Surface_Engine!$B$12:$B$72,$A834+1)-F834/INDEX(Surface_Engine!$B$12:$B$72,$A834+1))),IF(E834&lt;=0,0,MAX(0,(B834/E834)*I834/INDEX(Surface_Engine!$B$12:$B$72,$A834+1)-F834/INDEX(Surface_Engine!$B$12:$B$72,$A834+1))),IF($A834&lt;$Q$825,MAX(0,-Assumptions!$B$22*(F834/INDEX(Surface_Engine!$B$12:$B$72,$A834+1))),0)))+2*Assumptions!$B$27*(IF(C834&lt;=0,0,MAX(0,(B834/C834)*G834/INDEX(Surface_Engine!$B$12:$B$72,$A834+1)-F834/INDEX(Surface_Engine!$B$12:$B$72,$A834+1))))*(MAX(0,J834/INDEX(Surface_Engine!$B$12:$B$72,$A834+1)-(F834/INDEX(Surface_Engine!$B$12:$B$72,$A834+1))))+2*Assumptions!$B$28*(MAX(IF(D834&lt;=0,0,MAX(0,(B834/D834)*H834/INDEX(Surface_Engine!$B$12:$B$72,$A834+1)-F834/INDEX(Surface_Engine!$B$12:$B$72,$A834+1))),IF(E834&lt;=0,0,MAX(0,(B834/E834)*I834/INDEX(Surface_Engine!$B$12:$B$72,$A834+1)-F834/INDEX(Surface_Engine!$B$12:$B$72,$A834+1))),IF($A834&lt;$Q$825,MAX(0,-Assumptions!$B$22*(F834/INDEX(Surface_Engine!$B$12:$B$72,$A834+1))),0)))*(MAX(0,J834/INDEX(Surface_Engine!$B$12:$B$72,$A834+1)-(F834/INDEX(Surface_Engine!$B$12:$B$72,$A834+1)))))</f>
        <v>11165.4856663185</v>
      </c>
      <c r="L834" s="48" t="n">
        <f aca="false">K834*INDEX(Surface_Engine!$B$12:$B$72,$A834+1)+L835</f>
        <v>116624.575169036</v>
      </c>
      <c r="M834" s="48" t="n">
        <f aca="false">M833+B833*(IF($A833&lt;$Q$825,(Surface_Engine!G244*12)-(Surface_Engine!G244*12)*INDEX(Surface_Engine!$F$12:$F$72,$A833+1)-INDEX(Surface_Engine!$D$12:$D$72,$A833+1),-(1000*12*INDEX(Surface_Engine!$C$12:$C$72,$A833+1)/(1+Assumptions!$B$10)^12+INDEX(Surface_Engine!$D$12:$D$72,$A833+1))))*INDEX(Surface_Engine!$B$12:$B$72,$A833+1)</f>
        <v>43225.470684264</v>
      </c>
      <c r="N834" s="12" t="n">
        <f aca="false">IF(B834&lt;=0,0,MAX(0,(K834+Assumptions!$B$29*L834/INDEX(Surface_Engine!$B$12:$B$72,$A834+1)-(M834/INDEX(Surface_Engine!$B$12:$B$72,$A834+1)-(F834/INDEX(Surface_Engine!$B$12:$B$72,$A834+1))))/B834))</f>
        <v>20105.1149849312</v>
      </c>
    </row>
    <row r="835" customFormat="false" ht="15" hidden="false" customHeight="true" outlineLevel="0" collapsed="false">
      <c r="A835" s="1" t="n">
        <v>8</v>
      </c>
      <c r="B835" s="32" t="n">
        <f aca="false">INDEX(Surface_Engine!$O$12:$O$72,$A835+1)*IF($A835&lt;$Q$825,INDEX(Surface_Engine!$E$12:$E$72,$A835+1),INDEX(Surface_Engine!$E$12:$E$72,$Q$825+1))</f>
        <v>0.804503103189844</v>
      </c>
      <c r="C835" s="32" t="n">
        <f aca="false">INDEX(Panel_Reserving!$E$8:$E$68,$A835+1)*IF($A835&lt;$Q$825,INDEX(Surface_Engine!$E$12:$E$72,$A835+1),INDEX(Surface_Engine!$E$12:$E$72,$Q$825+1))</f>
        <v>0.818615882595225</v>
      </c>
      <c r="D835" s="32" t="n">
        <f aca="false">INDEX(Surface_Engine!$O$12:$O$72,$A835+1)*IF($A835&lt;$Q$825,INDEX(Surface_Engine!$Y$12:$Y$72,$A835+1),INDEX(Surface_Engine!$Y$12:$Y$72,$Q$825+1))</f>
        <v>0.752643475884406</v>
      </c>
      <c r="E835" s="32" t="n">
        <f aca="false">INDEX(Surface_Engine!$O$12:$O$72,$A835+1)*IF($A835&lt;$Q$825,INDEX(Surface_Engine!$Z$12:$Z$72,$A835+1),INDEX(Surface_Engine!$Z$12:$Z$72,$Q$825+1))</f>
        <v>0.859273840921563</v>
      </c>
      <c r="F835" s="48" t="n">
        <f aca="false">B835*(IF($A835&lt;$Q$825,INDEX(Surface_Engine!$D$12:$D$72,$A835+1)+(Surface_Engine!G244*12)*INDEX(Surface_Engine!$F$12:$F$72,$A835+1)-(Surface_Engine!G244*12),1000*12*INDEX(Surface_Engine!$C$12:$C$72,$A835+1)/(1+Assumptions!$B$10)^12+INDEX(Surface_Engine!$D$12:$D$72,$A835+1)))*INDEX(Surface_Engine!$B$12:$B$72,$A835+1)+F836</f>
        <v>46714.1841996302</v>
      </c>
      <c r="G835" s="48" t="n">
        <f aca="false">C835*(IF($A835&lt;$Q$825,INDEX(Surface_Engine!$D$12:$D$72,$A835+1)+(Surface_Engine!G244*12)*INDEX(Surface_Engine!$F$12:$F$72,$A835+1)-(Surface_Engine!G244*12),1000*12*INDEX(Surface_Engine!$C$12:$C$72,$A835+1)/(1+Assumptions!$B$10)^12+INDEX(Surface_Engine!$D$12:$D$72,$A835+1)))*INDEX(Surface_Engine!$B$12:$B$72,$A835+1)+G836</f>
        <v>56290.4088399241</v>
      </c>
      <c r="H835" s="48" t="n">
        <f aca="false">D835*(IF($A835&lt;$Q$825,INDEX(Surface_Engine!$D$12:$D$72,$A835+1)+(Surface_Engine!G244*12)*INDEX(Surface_Engine!$F$12:$F$72,$A835+1)-(Surface_Engine!G244*12),1000*12*INDEX(Surface_Engine!$C$12:$C$72,$A835+1)/(1+Assumptions!$B$10)^12+INDEX(Surface_Engine!$D$12:$D$72,$A835+1)))*INDEX(Surface_Engine!$B$12:$B$72,$A835+1)+H836</f>
        <v>42677.7230289206</v>
      </c>
      <c r="I835" s="48" t="n">
        <f aca="false">E835*(IF($A835&lt;$Q$825,INDEX(Surface_Engine!$D$12:$D$72,$A835+1)+(Surface_Engine!G244*12)*INDEX(Surface_Engine!$F$12:$F$72,$A835+1)-(Surface_Engine!G244*12),1000*12*INDEX(Surface_Engine!$C$12:$C$72,$A835+1)/(1+Assumptions!$B$10)^12+INDEX(Surface_Engine!$D$12:$D$72,$A835+1)))*INDEX(Surface_Engine!$B$12:$B$72,$A835+1)+I836</f>
        <v>51082.3000656099</v>
      </c>
      <c r="J835" s="48" t="n">
        <f aca="false">B835*(IF($A835&lt;$Q$825,INDEX(Surface_Engine!$D$12:$D$72,$A835+1)*(1+Assumptions!$B$24)+(Surface_Engine!G244*12)*INDEX(Surface_Engine!$F$12:$F$72,$A835+1)-(Surface_Engine!G244*12),1000*12*INDEX(Surface_Engine!$C$12:$C$72,$A835+1)/(1+Assumptions!$B$10)^12+INDEX(Surface_Engine!$D$12:$D$72,$A835+1)*(1+Assumptions!$B$24)))*INDEX(Surface_Engine!$B$12:$B$72,$A835+1)+J836</f>
        <v>46802.2178286431</v>
      </c>
      <c r="K835" s="12" t="n">
        <f aca="false">SQRT((IF(C835&lt;=0,0,MAX(0,(B835/C835)*G835/INDEX(Surface_Engine!$B$12:$B$72,$A835+1)-F835/INDEX(Surface_Engine!$B$12:$B$72,$A835+1))))^2+(MAX(IF(D835&lt;=0,0,MAX(0,(B835/D835)*H835/INDEX(Surface_Engine!$B$12:$B$72,$A835+1)-F835/INDEX(Surface_Engine!$B$12:$B$72,$A835+1))),IF(E835&lt;=0,0,MAX(0,(B835/E835)*I835/INDEX(Surface_Engine!$B$12:$B$72,$A835+1)-F835/INDEX(Surface_Engine!$B$12:$B$72,$A835+1))),IF($A835&lt;$Q$825,MAX(0,-Assumptions!$B$22*(F835/INDEX(Surface_Engine!$B$12:$B$72,$A835+1))),0)))^2+(MAX(0,J835/INDEX(Surface_Engine!$B$12:$B$72,$A835+1)-(F835/INDEX(Surface_Engine!$B$12:$B$72,$A835+1))))^2+2*Assumptions!$B$26*(IF(C835&lt;=0,0,MAX(0,(B835/C835)*G835/INDEX(Surface_Engine!$B$12:$B$72,$A835+1)-F835/INDEX(Surface_Engine!$B$12:$B$72,$A835+1))))*(MAX(IF(D835&lt;=0,0,MAX(0,(B835/D835)*H835/INDEX(Surface_Engine!$B$12:$B$72,$A835+1)-F835/INDEX(Surface_Engine!$B$12:$B$72,$A835+1))),IF(E835&lt;=0,0,MAX(0,(B835/E835)*I835/INDEX(Surface_Engine!$B$12:$B$72,$A835+1)-F835/INDEX(Surface_Engine!$B$12:$B$72,$A835+1))),IF($A835&lt;$Q$825,MAX(0,-Assumptions!$B$22*(F835/INDEX(Surface_Engine!$B$12:$B$72,$A835+1))),0)))+2*Assumptions!$B$27*(IF(C835&lt;=0,0,MAX(0,(B835/C835)*G835/INDEX(Surface_Engine!$B$12:$B$72,$A835+1)-F835/INDEX(Surface_Engine!$B$12:$B$72,$A835+1))))*(MAX(0,J835/INDEX(Surface_Engine!$B$12:$B$72,$A835+1)-(F835/INDEX(Surface_Engine!$B$12:$B$72,$A835+1))))+2*Assumptions!$B$28*(MAX(IF(D835&lt;=0,0,MAX(0,(B835/D835)*H835/INDEX(Surface_Engine!$B$12:$B$72,$A835+1)-F835/INDEX(Surface_Engine!$B$12:$B$72,$A835+1))),IF(E835&lt;=0,0,MAX(0,(B835/E835)*I835/INDEX(Surface_Engine!$B$12:$B$72,$A835+1)-F835/INDEX(Surface_Engine!$B$12:$B$72,$A835+1))),IF($A835&lt;$Q$825,MAX(0,-Assumptions!$B$22*(F835/INDEX(Surface_Engine!$B$12:$B$72,$A835+1))),0)))*(MAX(0,J835/INDEX(Surface_Engine!$B$12:$B$72,$A835+1)-(F835/INDEX(Surface_Engine!$B$12:$B$72,$A835+1)))))</f>
        <v>11193.1747756601</v>
      </c>
      <c r="L835" s="48" t="n">
        <f aca="false">K835*INDEX(Surface_Engine!$B$12:$B$72,$A835+1)+L836</f>
        <v>107390.257629013</v>
      </c>
      <c r="M835" s="48" t="n">
        <f aca="false">M834+B834*(IF($A834&lt;$Q$825,(Surface_Engine!G244*12)-(Surface_Engine!G244*12)*INDEX(Surface_Engine!$F$12:$F$72,$A834+1)-INDEX(Surface_Engine!$D$12:$D$72,$A834+1),-(1000*12*INDEX(Surface_Engine!$C$12:$C$72,$A834+1)/(1+Assumptions!$B$10)^12+INDEX(Surface_Engine!$D$12:$D$72,$A834+1))))*INDEX(Surface_Engine!$B$12:$B$72,$A834+1)</f>
        <v>49232.5461479886</v>
      </c>
      <c r="N835" s="12" t="n">
        <f aca="false">IF(B835&lt;=0,0,MAX(0,(K835+Assumptions!$B$29*L835/INDEX(Surface_Engine!$B$12:$B$72,$A835+1)-(M835/INDEX(Surface_Engine!$B$12:$B$72,$A835+1)-(F835/INDEX(Surface_Engine!$B$12:$B$72,$A835+1))))/B835))</f>
        <v>19997.2367173542</v>
      </c>
    </row>
    <row r="836" customFormat="false" ht="15" hidden="false" customHeight="true" outlineLevel="0" collapsed="false">
      <c r="A836" s="1" t="n">
        <v>9</v>
      </c>
      <c r="B836" s="32" t="n">
        <f aca="false">INDEX(Surface_Engine!$O$12:$O$72,$A836+1)*IF($A836&lt;$Q$825,INDEX(Surface_Engine!$E$12:$E$72,$A836+1),INDEX(Surface_Engine!$E$12:$E$72,$Q$825+1))</f>
        <v>0.783323450903977</v>
      </c>
      <c r="C836" s="32" t="n">
        <f aca="false">INDEX(Panel_Reserving!$E$8:$E$68,$A836+1)*IF($A836&lt;$Q$825,INDEX(Surface_Engine!$E$12:$E$72,$A836+1),INDEX(Surface_Engine!$E$12:$E$72,$Q$825+1))</f>
        <v>0.799885049175172</v>
      </c>
      <c r="D836" s="32" t="n">
        <f aca="false">INDEX(Surface_Engine!$O$12:$O$72,$A836+1)*IF($A836&lt;$Q$825,INDEX(Surface_Engine!$Y$12:$Y$72,$A836+1),INDEX(Surface_Engine!$Y$12:$Y$72,$Q$825+1))</f>
        <v>0.729464105869262</v>
      </c>
      <c r="E836" s="32" t="n">
        <f aca="false">INDEX(Surface_Engine!$O$12:$O$72,$A836+1)*IF($A836&lt;$Q$825,INDEX(Surface_Engine!$Z$12:$Z$72,$A836+1),INDEX(Surface_Engine!$Z$12:$Z$72,$Q$825+1))</f>
        <v>0.840494001090999</v>
      </c>
      <c r="F836" s="48" t="n">
        <f aca="false">B836*(IF($A836&lt;$Q$825,INDEX(Surface_Engine!$D$12:$D$72,$A836+1)+(Surface_Engine!G244*12)*INDEX(Surface_Engine!$F$12:$F$72,$A836+1)-(Surface_Engine!G244*12),1000*12*INDEX(Surface_Engine!$C$12:$C$72,$A836+1)/(1+Assumptions!$B$10)^12+INDEX(Surface_Engine!$D$12:$D$72,$A836+1)))*INDEX(Surface_Engine!$B$12:$B$72,$A836+1)+F837</f>
        <v>52394.2552819654</v>
      </c>
      <c r="G836" s="48" t="n">
        <f aca="false">C836*(IF($A836&lt;$Q$825,INDEX(Surface_Engine!$D$12:$D$72,$A836+1)+(Surface_Engine!G244*12)*INDEX(Surface_Engine!$F$12:$F$72,$A836+1)-(Surface_Engine!G244*12),1000*12*INDEX(Surface_Engine!$C$12:$C$72,$A836+1)/(1+Assumptions!$B$10)^12+INDEX(Surface_Engine!$D$12:$D$72,$A836+1)))*INDEX(Surface_Engine!$B$12:$B$72,$A836+1)+G837</f>
        <v>62070.121042193</v>
      </c>
      <c r="H836" s="48" t="n">
        <f aca="false">D836*(IF($A836&lt;$Q$825,INDEX(Surface_Engine!$D$12:$D$72,$A836+1)+(Surface_Engine!G244*12)*INDEX(Surface_Engine!$F$12:$F$72,$A836+1)-(Surface_Engine!G244*12),1000*12*INDEX(Surface_Engine!$C$12:$C$72,$A836+1)/(1+Assumptions!$B$10)^12+INDEX(Surface_Engine!$D$12:$D$72,$A836+1)))*INDEX(Surface_Engine!$B$12:$B$72,$A836+1)+H837</f>
        <v>47991.6471464643</v>
      </c>
      <c r="I836" s="48" t="n">
        <f aca="false">E836*(IF($A836&lt;$Q$825,INDEX(Surface_Engine!$D$12:$D$72,$A836+1)+(Surface_Engine!G244*12)*INDEX(Surface_Engine!$F$12:$F$72,$A836+1)-(Surface_Engine!G244*12),1000*12*INDEX(Surface_Engine!$C$12:$C$72,$A836+1)/(1+Assumptions!$B$10)^12+INDEX(Surface_Engine!$D$12:$D$72,$A836+1)))*INDEX(Surface_Engine!$B$12:$B$72,$A836+1)+I837</f>
        <v>57149.0715625422</v>
      </c>
      <c r="J836" s="48" t="n">
        <f aca="false">B836*(IF($A836&lt;$Q$825,INDEX(Surface_Engine!$D$12:$D$72,$A836+1)*(1+Assumptions!$B$24)+(Surface_Engine!G244*12)*INDEX(Surface_Engine!$F$12:$F$72,$A836+1)-(Surface_Engine!G244*12),1000*12*INDEX(Surface_Engine!$C$12:$C$72,$A836+1)/(1+Assumptions!$B$10)^12+INDEX(Surface_Engine!$D$12:$D$72,$A836+1)*(1+Assumptions!$B$24)))*INDEX(Surface_Engine!$B$12:$B$72,$A836+1)+J837</f>
        <v>52475.8434322865</v>
      </c>
      <c r="K836" s="12" t="n">
        <f aca="false">SQRT((IF(C836&lt;=0,0,MAX(0,(B836/C836)*G836/INDEX(Surface_Engine!$B$12:$B$72,$A836+1)-F836/INDEX(Surface_Engine!$B$12:$B$72,$A836+1))))^2+(MAX(IF(D836&lt;=0,0,MAX(0,(B836/D836)*H836/INDEX(Surface_Engine!$B$12:$B$72,$A836+1)-F836/INDEX(Surface_Engine!$B$12:$B$72,$A836+1))),IF(E836&lt;=0,0,MAX(0,(B836/E836)*I836/INDEX(Surface_Engine!$B$12:$B$72,$A836+1)-F836/INDEX(Surface_Engine!$B$12:$B$72,$A836+1))),IF($A836&lt;$Q$825,MAX(0,-Assumptions!$B$22*(F836/INDEX(Surface_Engine!$B$12:$B$72,$A836+1))),0)))^2+(MAX(0,J836/INDEX(Surface_Engine!$B$12:$B$72,$A836+1)-(F836/INDEX(Surface_Engine!$B$12:$B$72,$A836+1))))^2+2*Assumptions!$B$26*(IF(C836&lt;=0,0,MAX(0,(B836/C836)*G836/INDEX(Surface_Engine!$B$12:$B$72,$A836+1)-F836/INDEX(Surface_Engine!$B$12:$B$72,$A836+1))))*(MAX(IF(D836&lt;=0,0,MAX(0,(B836/D836)*H836/INDEX(Surface_Engine!$B$12:$B$72,$A836+1)-F836/INDEX(Surface_Engine!$B$12:$B$72,$A836+1))),IF(E836&lt;=0,0,MAX(0,(B836/E836)*I836/INDEX(Surface_Engine!$B$12:$B$72,$A836+1)-F836/INDEX(Surface_Engine!$B$12:$B$72,$A836+1))),IF($A836&lt;$Q$825,MAX(0,-Assumptions!$B$22*(F836/INDEX(Surface_Engine!$B$12:$B$72,$A836+1))),0)))+2*Assumptions!$B$27*(IF(C836&lt;=0,0,MAX(0,(B836/C836)*G836/INDEX(Surface_Engine!$B$12:$B$72,$A836+1)-F836/INDEX(Surface_Engine!$B$12:$B$72,$A836+1))))*(MAX(0,J836/INDEX(Surface_Engine!$B$12:$B$72,$A836+1)-(F836/INDEX(Surface_Engine!$B$12:$B$72,$A836+1))))+2*Assumptions!$B$28*(MAX(IF(D836&lt;=0,0,MAX(0,(B836/D836)*H836/INDEX(Surface_Engine!$B$12:$B$72,$A836+1)-F836/INDEX(Surface_Engine!$B$12:$B$72,$A836+1))),IF(E836&lt;=0,0,MAX(0,(B836/E836)*I836/INDEX(Surface_Engine!$B$12:$B$72,$A836+1)-F836/INDEX(Surface_Engine!$B$12:$B$72,$A836+1))),IF($A836&lt;$Q$825,MAX(0,-Assumptions!$B$22*(F836/INDEX(Surface_Engine!$B$12:$B$72,$A836+1))),0)))*(MAX(0,J836/INDEX(Surface_Engine!$B$12:$B$72,$A836+1)-(F836/INDEX(Surface_Engine!$B$12:$B$72,$A836+1)))))</f>
        <v>11165.5297498616</v>
      </c>
      <c r="L836" s="48" t="n">
        <f aca="false">K836*INDEX(Surface_Engine!$B$12:$B$72,$A836+1)+L837</f>
        <v>98414.3998435647</v>
      </c>
      <c r="M836" s="48" t="n">
        <f aca="false">M835+B835*(IF($A835&lt;$Q$825,(Surface_Engine!G244*12)-(Surface_Engine!G244*12)*INDEX(Surface_Engine!$F$12:$F$72,$A835+1)-INDEX(Surface_Engine!$D$12:$D$72,$A835+1),-(1000*12*INDEX(Surface_Engine!$C$12:$C$72,$A835+1)/(1+Assumptions!$B$10)^12+INDEX(Surface_Engine!$D$12:$D$72,$A835+1))))*INDEX(Surface_Engine!$B$12:$B$72,$A835+1)</f>
        <v>54912.6172303238</v>
      </c>
      <c r="N836" s="12" t="n">
        <f aca="false">IF(B836&lt;=0,0,MAX(0,(K836+Assumptions!$B$29*L836/INDEX(Surface_Engine!$B$12:$B$72,$A836+1)-(M836/INDEX(Surface_Engine!$B$12:$B$72,$A836+1)-(F836/INDEX(Surface_Engine!$B$12:$B$72,$A836+1))))/B836))</f>
        <v>19819.9407547443</v>
      </c>
    </row>
    <row r="837" customFormat="false" ht="15" hidden="false" customHeight="true" outlineLevel="0" collapsed="false">
      <c r="A837" s="1" t="n">
        <v>10</v>
      </c>
      <c r="B837" s="32" t="n">
        <f aca="false">INDEX(Surface_Engine!$O$12:$O$72,$A837+1)*IF($A837&lt;$Q$825,INDEX(Surface_Engine!$E$12:$E$72,$A837+1),INDEX(Surface_Engine!$E$12:$E$72,$Q$825+1))</f>
        <v>0.76110417839761</v>
      </c>
      <c r="C837" s="32" t="n">
        <f aca="false">INDEX(Panel_Reserving!$E$8:$E$68,$A837+1)*IF($A837&lt;$Q$825,INDEX(Surface_Engine!$E$12:$E$72,$A837+1),INDEX(Surface_Engine!$E$12:$E$72,$Q$825+1))</f>
        <v>0.780278019470631</v>
      </c>
      <c r="D837" s="32" t="n">
        <f aca="false">INDEX(Surface_Engine!$O$12:$O$72,$A837+1)*IF($A837&lt;$Q$825,INDEX(Surface_Engine!$Y$12:$Y$72,$A837+1),INDEX(Surface_Engine!$Y$12:$Y$72,$Q$825+1))</f>
        <v>0.705518043055846</v>
      </c>
      <c r="E837" s="32" t="n">
        <f aca="false">INDEX(Surface_Engine!$O$12:$O$72,$A837+1)*IF($A837&lt;$Q$825,INDEX(Surface_Engine!$Z$12:$Z$72,$A837+1),INDEX(Surface_Engine!$Z$12:$Z$72,$Q$825+1))</f>
        <v>0.820402959316639</v>
      </c>
      <c r="F837" s="48" t="n">
        <f aca="false">B837*(IF($A837&lt;$Q$825,INDEX(Surface_Engine!$D$12:$D$72,$A837+1)+(Surface_Engine!G244*12)*INDEX(Surface_Engine!$F$12:$F$72,$A837+1)-(Surface_Engine!G244*12),1000*12*INDEX(Surface_Engine!$C$12:$C$72,$A837+1)/(1+Assumptions!$B$10)^12+INDEX(Surface_Engine!$D$12:$D$72,$A837+1)))*INDEX(Surface_Engine!$B$12:$B$72,$A837+1)+F838</f>
        <v>57749.713353829</v>
      </c>
      <c r="G837" s="48" t="n">
        <f aca="false">C837*(IF($A837&lt;$Q$825,INDEX(Surface_Engine!$D$12:$D$72,$A837+1)+(Surface_Engine!G244*12)*INDEX(Surface_Engine!$F$12:$F$72,$A837+1)-(Surface_Engine!G244*12),1000*12*INDEX(Surface_Engine!$C$12:$C$72,$A837+1)/(1+Assumptions!$B$10)^12+INDEX(Surface_Engine!$D$12:$D$72,$A837+1)))*INDEX(Surface_Engine!$B$12:$B$72,$A837+1)+G838</f>
        <v>67538.8081320848</v>
      </c>
      <c r="H837" s="48" t="n">
        <f aca="false">D837*(IF($A837&lt;$Q$825,INDEX(Surface_Engine!$D$12:$D$72,$A837+1)+(Surface_Engine!G244*12)*INDEX(Surface_Engine!$F$12:$F$72,$A837+1)-(Surface_Engine!G244*12),1000*12*INDEX(Surface_Engine!$C$12:$C$72,$A837+1)/(1+Assumptions!$B$10)^12+INDEX(Surface_Engine!$D$12:$D$72,$A837+1)))*INDEX(Surface_Engine!$B$12:$B$72,$A837+1)+H838</f>
        <v>52978.8774271407</v>
      </c>
      <c r="I837" s="48" t="n">
        <f aca="false">E837*(IF($A837&lt;$Q$825,INDEX(Surface_Engine!$D$12:$D$72,$A837+1)+(Surface_Engine!G244*12)*INDEX(Surface_Engine!$F$12:$F$72,$A837+1)-(Surface_Engine!G244*12),1000*12*INDEX(Surface_Engine!$C$12:$C$72,$A837+1)/(1+Assumptions!$B$10)^12+INDEX(Surface_Engine!$D$12:$D$72,$A837+1)))*INDEX(Surface_Engine!$B$12:$B$72,$A837+1)+I838</f>
        <v>62895.3956095257</v>
      </c>
      <c r="J837" s="48" t="n">
        <f aca="false">B837*(IF($A837&lt;$Q$825,INDEX(Surface_Engine!$D$12:$D$72,$A837+1)*(1+Assumptions!$B$24)+(Surface_Engine!G244*12)*INDEX(Surface_Engine!$F$12:$F$72,$A837+1)-(Surface_Engine!G244*12),1000*12*INDEX(Surface_Engine!$C$12:$C$72,$A837+1)/(1+Assumptions!$B$10)^12+INDEX(Surface_Engine!$D$12:$D$72,$A837+1)*(1+Assumptions!$B$24)))*INDEX(Surface_Engine!$B$12:$B$72,$A837+1)+J838</f>
        <v>57825.0706854157</v>
      </c>
      <c r="K837" s="12" t="n">
        <f aca="false">SQRT((IF(C837&lt;=0,0,MAX(0,(B837/C837)*G837/INDEX(Surface_Engine!$B$12:$B$72,$A837+1)-F837/INDEX(Surface_Engine!$B$12:$B$72,$A837+1))))^2+(MAX(IF(D837&lt;=0,0,MAX(0,(B837/D837)*H837/INDEX(Surface_Engine!$B$12:$B$72,$A837+1)-F837/INDEX(Surface_Engine!$B$12:$B$72,$A837+1))),IF(E837&lt;=0,0,MAX(0,(B837/E837)*I837/INDEX(Surface_Engine!$B$12:$B$72,$A837+1)-F837/INDEX(Surface_Engine!$B$12:$B$72,$A837+1))),IF($A837&lt;$Q$825,MAX(0,-Assumptions!$B$22*(F837/INDEX(Surface_Engine!$B$12:$B$72,$A837+1))),0)))^2+(MAX(0,J837/INDEX(Surface_Engine!$B$12:$B$72,$A837+1)-(F837/INDEX(Surface_Engine!$B$12:$B$72,$A837+1))))^2+2*Assumptions!$B$26*(IF(C837&lt;=0,0,MAX(0,(B837/C837)*G837/INDEX(Surface_Engine!$B$12:$B$72,$A837+1)-F837/INDEX(Surface_Engine!$B$12:$B$72,$A837+1))))*(MAX(IF(D837&lt;=0,0,MAX(0,(B837/D837)*H837/INDEX(Surface_Engine!$B$12:$B$72,$A837+1)-F837/INDEX(Surface_Engine!$B$12:$B$72,$A837+1))),IF(E837&lt;=0,0,MAX(0,(B837/E837)*I837/INDEX(Surface_Engine!$B$12:$B$72,$A837+1)-F837/INDEX(Surface_Engine!$B$12:$B$72,$A837+1))),IF($A837&lt;$Q$825,MAX(0,-Assumptions!$B$22*(F837/INDEX(Surface_Engine!$B$12:$B$72,$A837+1))),0)))+2*Assumptions!$B$27*(IF(C837&lt;=0,0,MAX(0,(B837/C837)*G837/INDEX(Surface_Engine!$B$12:$B$72,$A837+1)-F837/INDEX(Surface_Engine!$B$12:$B$72,$A837+1))))*(MAX(0,J837/INDEX(Surface_Engine!$B$12:$B$72,$A837+1)-(F837/INDEX(Surface_Engine!$B$12:$B$72,$A837+1))))+2*Assumptions!$B$28*(MAX(IF(D837&lt;=0,0,MAX(0,(B837/D837)*H837/INDEX(Surface_Engine!$B$12:$B$72,$A837+1)-F837/INDEX(Surface_Engine!$B$12:$B$72,$A837+1))),IF(E837&lt;=0,0,MAX(0,(B837/E837)*I837/INDEX(Surface_Engine!$B$12:$B$72,$A837+1)-F837/INDEX(Surface_Engine!$B$12:$B$72,$A837+1))),IF($A837&lt;$Q$825,MAX(0,-Assumptions!$B$22*(F837/INDEX(Surface_Engine!$B$12:$B$72,$A837+1))),0)))*(MAX(0,J837/INDEX(Surface_Engine!$B$12:$B$72,$A837+1)-(F837/INDEX(Surface_Engine!$B$12:$B$72,$A837+1)))))</f>
        <v>11086.7106545919</v>
      </c>
      <c r="L837" s="48" t="n">
        <f aca="false">K837*INDEX(Surface_Engine!$B$12:$B$72,$A837+1)+L838</f>
        <v>89741.692718082</v>
      </c>
      <c r="M837" s="48" t="n">
        <f aca="false">M836+B836*(IF($A836&lt;$Q$825,(Surface_Engine!G244*12)-(Surface_Engine!G244*12)*INDEX(Surface_Engine!$F$12:$F$72,$A836+1)-INDEX(Surface_Engine!$D$12:$D$72,$A836+1),-(1000*12*INDEX(Surface_Engine!$C$12:$C$72,$A836+1)/(1+Assumptions!$B$10)^12+INDEX(Surface_Engine!$D$12:$D$72,$A836+1))))*INDEX(Surface_Engine!$B$12:$B$72,$A836+1)</f>
        <v>60268.0753021874</v>
      </c>
      <c r="N837" s="12" t="n">
        <f aca="false">IF(B837&lt;=0,0,MAX(0,(K837+Assumptions!$B$29*L837/INDEX(Surface_Engine!$B$12:$B$72,$A837+1)-(M837/INDEX(Surface_Engine!$B$12:$B$72,$A837+1)-(F837/INDEX(Surface_Engine!$B$12:$B$72,$A837+1))))/B837))</f>
        <v>19583.9271110909</v>
      </c>
    </row>
    <row r="838" customFormat="false" ht="15" hidden="false" customHeight="true" outlineLevel="0" collapsed="false">
      <c r="A838" s="1" t="n">
        <v>11</v>
      </c>
      <c r="B838" s="32" t="n">
        <f aca="false">INDEX(Surface_Engine!$O$12:$O$72,$A838+1)*IF($A838&lt;$Q$825,INDEX(Surface_Engine!$E$12:$E$72,$A838+1),INDEX(Surface_Engine!$E$12:$E$72,$Q$825+1))</f>
        <v>0.737758587094672</v>
      </c>
      <c r="C838" s="32" t="n">
        <f aca="false">INDEX(Panel_Reserving!$E$8:$E$68,$A838+1)*IF($A838&lt;$Q$825,INDEX(Surface_Engine!$E$12:$E$72,$A838+1),INDEX(Surface_Engine!$E$12:$E$72,$Q$825+1))</f>
        <v>0.759710940156952</v>
      </c>
      <c r="D838" s="32" t="n">
        <f aca="false">INDEX(Surface_Engine!$O$12:$O$72,$A838+1)*IF($A838&lt;$Q$825,INDEX(Surface_Engine!$Y$12:$Y$72,$A838+1),INDEX(Surface_Engine!$Y$12:$Y$72,$Q$825+1))</f>
        <v>0.680737244573059</v>
      </c>
      <c r="E838" s="32" t="n">
        <f aca="false">INDEX(Surface_Engine!$O$12:$O$72,$A838+1)*IF($A838&lt;$Q$825,INDEX(Surface_Engine!$Z$12:$Z$72,$A838+1),INDEX(Surface_Engine!$Z$12:$Z$72,$Q$825+1))</f>
        <v>0.798890041894845</v>
      </c>
      <c r="F838" s="48" t="n">
        <f aca="false">B838*(IF($A838&lt;$Q$825,INDEX(Surface_Engine!$D$12:$D$72,$A838+1)+(Surface_Engine!G244*12)*INDEX(Surface_Engine!$F$12:$F$72,$A838+1)-(Surface_Engine!G244*12),1000*12*INDEX(Surface_Engine!$C$12:$C$72,$A838+1)/(1+Assumptions!$B$10)^12+INDEX(Surface_Engine!$D$12:$D$72,$A838+1)))*INDEX(Surface_Engine!$B$12:$B$72,$A838+1)+F839</f>
        <v>62776.3782268582</v>
      </c>
      <c r="G838" s="48" t="n">
        <f aca="false">C838*(IF($A838&lt;$Q$825,INDEX(Surface_Engine!$D$12:$D$72,$A838+1)+(Surface_Engine!G244*12)*INDEX(Surface_Engine!$F$12:$F$72,$A838+1)-(Surface_Engine!G244*12),1000*12*INDEX(Surface_Engine!$C$12:$C$72,$A838+1)/(1+Assumptions!$B$10)^12+INDEX(Surface_Engine!$D$12:$D$72,$A838+1)))*INDEX(Surface_Engine!$B$12:$B$72,$A838+1)+G839</f>
        <v>72692.1054374911</v>
      </c>
      <c r="H838" s="48" t="n">
        <f aca="false">D838*(IF($A838&lt;$Q$825,INDEX(Surface_Engine!$D$12:$D$72,$A838+1)+(Surface_Engine!G244*12)*INDEX(Surface_Engine!$F$12:$F$72,$A838+1)-(Surface_Engine!G244*12),1000*12*INDEX(Surface_Engine!$C$12:$C$72,$A838+1)/(1+Assumptions!$B$10)^12+INDEX(Surface_Engine!$D$12:$D$72,$A838+1)))*INDEX(Surface_Engine!$B$12:$B$72,$A838+1)+H839</f>
        <v>57638.4271510479</v>
      </c>
      <c r="I838" s="48" t="n">
        <f aca="false">E838*(IF($A838&lt;$Q$825,INDEX(Surface_Engine!$D$12:$D$72,$A838+1)+(Surface_Engine!G244*12)*INDEX(Surface_Engine!$F$12:$F$72,$A838+1)-(Surface_Engine!G244*12),1000*12*INDEX(Surface_Engine!$C$12:$C$72,$A838+1)/(1+Assumptions!$B$10)^12+INDEX(Surface_Engine!$D$12:$D$72,$A838+1)))*INDEX(Surface_Engine!$B$12:$B$72,$A838+1)+I839</f>
        <v>68313.6955668435</v>
      </c>
      <c r="J838" s="48" t="n">
        <f aca="false">B838*(IF($A838&lt;$Q$825,INDEX(Surface_Engine!$D$12:$D$72,$A838+1)*(1+Assumptions!$B$24)+(Surface_Engine!G244*12)*INDEX(Surface_Engine!$F$12:$F$72,$A838+1)-(Surface_Engine!G244*12),1000*12*INDEX(Surface_Engine!$C$12:$C$72,$A838+1)/(1+Assumptions!$B$10)^12+INDEX(Surface_Engine!$D$12:$D$72,$A838+1)*(1+Assumptions!$B$24)))*INDEX(Surface_Engine!$B$12:$B$72,$A838+1)+J839</f>
        <v>62845.7393236625</v>
      </c>
      <c r="K838" s="12" t="n">
        <f aca="false">SQRT((IF(C838&lt;=0,0,MAX(0,(B838/C838)*G838/INDEX(Surface_Engine!$B$12:$B$72,$A838+1)-F838/INDEX(Surface_Engine!$B$12:$B$72,$A838+1))))^2+(MAX(IF(D838&lt;=0,0,MAX(0,(B838/D838)*H838/INDEX(Surface_Engine!$B$12:$B$72,$A838+1)-F838/INDEX(Surface_Engine!$B$12:$B$72,$A838+1))),IF(E838&lt;=0,0,MAX(0,(B838/E838)*I838/INDEX(Surface_Engine!$B$12:$B$72,$A838+1)-F838/INDEX(Surface_Engine!$B$12:$B$72,$A838+1))),IF($A838&lt;$Q$825,MAX(0,-Assumptions!$B$22*(F838/INDEX(Surface_Engine!$B$12:$B$72,$A838+1))),0)))^2+(MAX(0,J838/INDEX(Surface_Engine!$B$12:$B$72,$A838+1)-(F838/INDEX(Surface_Engine!$B$12:$B$72,$A838+1))))^2+2*Assumptions!$B$26*(IF(C838&lt;=0,0,MAX(0,(B838/C838)*G838/INDEX(Surface_Engine!$B$12:$B$72,$A838+1)-F838/INDEX(Surface_Engine!$B$12:$B$72,$A838+1))))*(MAX(IF(D838&lt;=0,0,MAX(0,(B838/D838)*H838/INDEX(Surface_Engine!$B$12:$B$72,$A838+1)-F838/INDEX(Surface_Engine!$B$12:$B$72,$A838+1))),IF(E838&lt;=0,0,MAX(0,(B838/E838)*I838/INDEX(Surface_Engine!$B$12:$B$72,$A838+1)-F838/INDEX(Surface_Engine!$B$12:$B$72,$A838+1))),IF($A838&lt;$Q$825,MAX(0,-Assumptions!$B$22*(F838/INDEX(Surface_Engine!$B$12:$B$72,$A838+1))),0)))+2*Assumptions!$B$27*(IF(C838&lt;=0,0,MAX(0,(B838/C838)*G838/INDEX(Surface_Engine!$B$12:$B$72,$A838+1)-F838/INDEX(Surface_Engine!$B$12:$B$72,$A838+1))))*(MAX(0,J838/INDEX(Surface_Engine!$B$12:$B$72,$A838+1)-(F838/INDEX(Surface_Engine!$B$12:$B$72,$A838+1))))+2*Assumptions!$B$28*(MAX(IF(D838&lt;=0,0,MAX(0,(B838/D838)*H838/INDEX(Surface_Engine!$B$12:$B$72,$A838+1)-F838/INDEX(Surface_Engine!$B$12:$B$72,$A838+1))),IF(E838&lt;=0,0,MAX(0,(B838/E838)*I838/INDEX(Surface_Engine!$B$12:$B$72,$A838+1)-F838/INDEX(Surface_Engine!$B$12:$B$72,$A838+1))),IF($A838&lt;$Q$825,MAX(0,-Assumptions!$B$22*(F838/INDEX(Surface_Engine!$B$12:$B$72,$A838+1))),0)))*(MAX(0,J838/INDEX(Surface_Engine!$B$12:$B$72,$A838+1)-(F838/INDEX(Surface_Engine!$B$12:$B$72,$A838+1)))))</f>
        <v>10890.4322301109</v>
      </c>
      <c r="L838" s="48" t="n">
        <f aca="false">K838*INDEX(Surface_Engine!$B$12:$B$72,$A838+1)+L839</f>
        <v>81420.5162910483</v>
      </c>
      <c r="M838" s="48" t="n">
        <f aca="false">M837+B837*(IF($A837&lt;$Q$825,(Surface_Engine!G244*12)-(Surface_Engine!G244*12)*INDEX(Surface_Engine!$F$12:$F$72,$A837+1)-INDEX(Surface_Engine!$D$12:$D$72,$A837+1),-(1000*12*INDEX(Surface_Engine!$C$12:$C$72,$A837+1)/(1+Assumptions!$B$10)^12+INDEX(Surface_Engine!$D$12:$D$72,$A837+1))))*INDEX(Surface_Engine!$B$12:$B$72,$A837+1)</f>
        <v>65294.7401752166</v>
      </c>
      <c r="N838" s="12" t="n">
        <f aca="false">IF(B838&lt;=0,0,MAX(0,(K838+Assumptions!$B$29*L838/INDEX(Surface_Engine!$B$12:$B$72,$A838+1)-(M838/INDEX(Surface_Engine!$B$12:$B$72,$A838+1)-(F838/INDEX(Surface_Engine!$B$12:$B$72,$A838+1))))/B838))</f>
        <v>19174.4940780934</v>
      </c>
    </row>
    <row r="839" customFormat="false" ht="15" hidden="false" customHeight="true" outlineLevel="0" collapsed="false">
      <c r="A839" s="1" t="n">
        <v>12</v>
      </c>
      <c r="B839" s="32" t="n">
        <f aca="false">INDEX(Surface_Engine!$O$12:$O$72,$A839+1)*IF($A839&lt;$Q$825,INDEX(Surface_Engine!$E$12:$E$72,$A839+1),INDEX(Surface_Engine!$E$12:$E$72,$Q$825+1))</f>
        <v>0.713204224299805</v>
      </c>
      <c r="C839" s="32" t="n">
        <f aca="false">INDEX(Panel_Reserving!$E$8:$E$68,$A839+1)*IF($A839&lt;$Q$825,INDEX(Surface_Engine!$E$12:$E$72,$A839+1),INDEX(Surface_Engine!$E$12:$E$72,$Q$825+1))</f>
        <v>0.738100274737365</v>
      </c>
      <c r="D839" s="32" t="n">
        <f aca="false">INDEX(Surface_Engine!$O$12:$O$72,$A839+1)*IF($A839&lt;$Q$825,INDEX(Surface_Engine!$Y$12:$Y$72,$A839+1),INDEX(Surface_Engine!$Y$12:$Y$72,$Q$825+1))</f>
        <v>0.655058922664055</v>
      </c>
      <c r="E839" s="32" t="n">
        <f aca="false">INDEX(Surface_Engine!$O$12:$O$72,$A839+1)*IF($A839&lt;$Q$825,INDEX(Surface_Engine!$Z$12:$Z$72,$A839+1),INDEX(Surface_Engine!$Z$12:$Z$72,$Q$825+1))</f>
        <v>0.775847319394422</v>
      </c>
      <c r="F839" s="48" t="n">
        <f aca="false">B839*(IF($A839&lt;$Q$825,INDEX(Surface_Engine!$D$12:$D$72,$A839+1)+(Surface_Engine!G244*12)*INDEX(Surface_Engine!$F$12:$F$72,$A839+1)-(Surface_Engine!G244*12),1000*12*INDEX(Surface_Engine!$C$12:$C$72,$A839+1)/(1+Assumptions!$B$10)^12+INDEX(Surface_Engine!$D$12:$D$72,$A839+1)))*INDEX(Surface_Engine!$B$12:$B$72,$A839+1)+F840</f>
        <v>67494.4694756688</v>
      </c>
      <c r="G839" s="48" t="n">
        <f aca="false">C839*(IF($A839&lt;$Q$825,INDEX(Surface_Engine!$D$12:$D$72,$A839+1)+(Surface_Engine!G244*12)*INDEX(Surface_Engine!$F$12:$F$72,$A839+1)-(Surface_Engine!G244*12),1000*12*INDEX(Surface_Engine!$C$12:$C$72,$A839+1)/(1+Assumptions!$B$10)^12+INDEX(Surface_Engine!$D$12:$D$72,$A839+1)))*INDEX(Surface_Engine!$B$12:$B$72,$A839+1)+G840</f>
        <v>77550.5857060782</v>
      </c>
      <c r="H839" s="48" t="n">
        <f aca="false">D839*(IF($A839&lt;$Q$825,INDEX(Surface_Engine!$D$12:$D$72,$A839+1)+(Surface_Engine!G244*12)*INDEX(Surface_Engine!$F$12:$F$72,$A839+1)-(Surface_Engine!G244*12),1000*12*INDEX(Surface_Engine!$C$12:$C$72,$A839+1)/(1+Assumptions!$B$10)^12+INDEX(Surface_Engine!$D$12:$D$72,$A839+1)))*INDEX(Surface_Engine!$B$12:$B$72,$A839+1)+H840</f>
        <v>61991.8572466673</v>
      </c>
      <c r="I839" s="48" t="n">
        <f aca="false">E839*(IF($A839&lt;$Q$825,INDEX(Surface_Engine!$D$12:$D$72,$A839+1)+(Surface_Engine!G244*12)*INDEX(Surface_Engine!$F$12:$F$72,$A839+1)-(Surface_Engine!G244*12),1000*12*INDEX(Surface_Engine!$C$12:$C$72,$A839+1)/(1+Assumptions!$B$10)^12+INDEX(Surface_Engine!$D$12:$D$72,$A839+1)))*INDEX(Surface_Engine!$B$12:$B$72,$A839+1)+I840</f>
        <v>73422.7328337216</v>
      </c>
      <c r="J839" s="48" t="n">
        <f aca="false">B839*(IF($A839&lt;$Q$825,INDEX(Surface_Engine!$D$12:$D$72,$A839+1)*(1+Assumptions!$B$24)+(Surface_Engine!G244*12)*INDEX(Surface_Engine!$F$12:$F$72,$A839+1)-(Surface_Engine!G244*12),1000*12*INDEX(Surface_Engine!$C$12:$C$72,$A839+1)/(1+Assumptions!$B$10)^12+INDEX(Surface_Engine!$D$12:$D$72,$A839+1)*(1+Assumptions!$B$24)))*INDEX(Surface_Engine!$B$12:$B$72,$A839+1)+J840</f>
        <v>67558.0600061882</v>
      </c>
      <c r="K839" s="12" t="n">
        <f aca="false">SQRT((IF(C839&lt;=0,0,MAX(0,(B839/C839)*G839/INDEX(Surface_Engine!$B$12:$B$72,$A839+1)-F839/INDEX(Surface_Engine!$B$12:$B$72,$A839+1))))^2+(MAX(IF(D839&lt;=0,0,MAX(0,(B839/D839)*H839/INDEX(Surface_Engine!$B$12:$B$72,$A839+1)-F839/INDEX(Surface_Engine!$B$12:$B$72,$A839+1))),IF(E839&lt;=0,0,MAX(0,(B839/E839)*I839/INDEX(Surface_Engine!$B$12:$B$72,$A839+1)-F839/INDEX(Surface_Engine!$B$12:$B$72,$A839+1))),IF($A839&lt;$Q$825,MAX(0,-Assumptions!$B$22*(F839/INDEX(Surface_Engine!$B$12:$B$72,$A839+1))),0)))^2+(MAX(0,J839/INDEX(Surface_Engine!$B$12:$B$72,$A839+1)-(F839/INDEX(Surface_Engine!$B$12:$B$72,$A839+1))))^2+2*Assumptions!$B$26*(IF(C839&lt;=0,0,MAX(0,(B839/C839)*G839/INDEX(Surface_Engine!$B$12:$B$72,$A839+1)-F839/INDEX(Surface_Engine!$B$12:$B$72,$A839+1))))*(MAX(IF(D839&lt;=0,0,MAX(0,(B839/D839)*H839/INDEX(Surface_Engine!$B$12:$B$72,$A839+1)-F839/INDEX(Surface_Engine!$B$12:$B$72,$A839+1))),IF(E839&lt;=0,0,MAX(0,(B839/E839)*I839/INDEX(Surface_Engine!$B$12:$B$72,$A839+1)-F839/INDEX(Surface_Engine!$B$12:$B$72,$A839+1))),IF($A839&lt;$Q$825,MAX(0,-Assumptions!$B$22*(F839/INDEX(Surface_Engine!$B$12:$B$72,$A839+1))),0)))+2*Assumptions!$B$27*(IF(C839&lt;=0,0,MAX(0,(B839/C839)*G839/INDEX(Surface_Engine!$B$12:$B$72,$A839+1)-F839/INDEX(Surface_Engine!$B$12:$B$72,$A839+1))))*(MAX(0,J839/INDEX(Surface_Engine!$B$12:$B$72,$A839+1)-(F839/INDEX(Surface_Engine!$B$12:$B$72,$A839+1))))+2*Assumptions!$B$28*(MAX(IF(D839&lt;=0,0,MAX(0,(B839/D839)*H839/INDEX(Surface_Engine!$B$12:$B$72,$A839+1)-F839/INDEX(Surface_Engine!$B$12:$B$72,$A839+1))),IF(E839&lt;=0,0,MAX(0,(B839/E839)*I839/INDEX(Surface_Engine!$B$12:$B$72,$A839+1)-F839/INDEX(Surface_Engine!$B$12:$B$72,$A839+1))),IF($A839&lt;$Q$825,MAX(0,-Assumptions!$B$22*(F839/INDEX(Surface_Engine!$B$12:$B$72,$A839+1))),0)))*(MAX(0,J839/INDEX(Surface_Engine!$B$12:$B$72,$A839+1)-(F839/INDEX(Surface_Engine!$B$12:$B$72,$A839+1)))))</f>
        <v>10621.2735835344</v>
      </c>
      <c r="L839" s="48" t="n">
        <f aca="false">K839*INDEX(Surface_Engine!$B$12:$B$72,$A839+1)+L840</f>
        <v>73503.2927745701</v>
      </c>
      <c r="M839" s="48" t="n">
        <f aca="false">M838+B838*(IF($A838&lt;$Q$825,(Surface_Engine!G244*12)-(Surface_Engine!G244*12)*INDEX(Surface_Engine!$F$12:$F$72,$A838+1)-INDEX(Surface_Engine!$D$12:$D$72,$A838+1),-(1000*12*INDEX(Surface_Engine!$C$12:$C$72,$A838+1)/(1+Assumptions!$B$10)^12+INDEX(Surface_Engine!$D$12:$D$72,$A838+1))))*INDEX(Surface_Engine!$B$12:$B$72,$A838+1)</f>
        <v>70012.8314240272</v>
      </c>
      <c r="N839" s="12" t="n">
        <f aca="false">IF(B839&lt;=0,0,MAX(0,(K839+Assumptions!$B$29*L839/INDEX(Surface_Engine!$B$12:$B$72,$A839+1)-(M839/INDEX(Surface_Engine!$B$12:$B$72,$A839+1)-(F839/INDEX(Surface_Engine!$B$12:$B$72,$A839+1))))/B839))</f>
        <v>18670.7613877324</v>
      </c>
    </row>
    <row r="840" customFormat="false" ht="15" hidden="false" customHeight="true" outlineLevel="0" collapsed="false">
      <c r="A840" s="1" t="n">
        <v>13</v>
      </c>
      <c r="B840" s="32" t="n">
        <f aca="false">INDEX(Surface_Engine!$O$12:$O$72,$A840+1)*IF($A840&lt;$Q$825,INDEX(Surface_Engine!$E$12:$E$72,$A840+1),INDEX(Surface_Engine!$E$12:$E$72,$Q$825+1))</f>
        <v>0.693013802175405</v>
      </c>
      <c r="C840" s="32" t="n">
        <f aca="false">INDEX(Panel_Reserving!$E$8:$E$68,$A840+1)*IF($A840&lt;$Q$825,INDEX(Surface_Engine!$E$12:$E$72,$A840+1),INDEX(Surface_Engine!$E$12:$E$72,$Q$825+1))</f>
        <v>0.721384102163695</v>
      </c>
      <c r="D840" s="32" t="n">
        <f aca="false">INDEX(Surface_Engine!$O$12:$O$72,$A840+1)*IF($A840&lt;$Q$825,INDEX(Surface_Engine!$Y$12:$Y$72,$A840+1),INDEX(Surface_Engine!$Y$12:$Y$72,$Q$825+1))</f>
        <v>0.636514562277062</v>
      </c>
      <c r="E840" s="32" t="n">
        <f aca="false">INDEX(Surface_Engine!$O$12:$O$72,$A840+1)*IF($A840&lt;$Q$825,INDEX(Surface_Engine!$Z$12:$Z$72,$A840+1),INDEX(Surface_Engine!$Z$12:$Z$72,$Q$825+1))</f>
        <v>0.753883505455944</v>
      </c>
      <c r="F840" s="48" t="n">
        <f aca="false">B840*(IF($A840&lt;$Q$825,INDEX(Surface_Engine!$D$12:$D$72,$A840+1)+(Surface_Engine!G244*12)*INDEX(Surface_Engine!$F$12:$F$72,$A840+1)-(Surface_Engine!G244*12),1000*12*INDEX(Surface_Engine!$C$12:$C$72,$A840+1)/(1+Assumptions!$B$10)^12+INDEX(Surface_Engine!$D$12:$D$72,$A840+1)))*INDEX(Surface_Engine!$B$12:$B$72,$A840+1)+F841</f>
        <v>61430.9298282644</v>
      </c>
      <c r="G840" s="48" t="n">
        <f aca="false">C840*(IF($A840&lt;$Q$825,INDEX(Surface_Engine!$D$12:$D$72,$A840+1)+(Surface_Engine!G244*12)*INDEX(Surface_Engine!$F$12:$F$72,$A840+1)-(Surface_Engine!G244*12),1000*12*INDEX(Surface_Engine!$C$12:$C$72,$A840+1)/(1+Assumptions!$B$10)^12+INDEX(Surface_Engine!$D$12:$D$72,$A840+1)))*INDEX(Surface_Engine!$B$12:$B$72,$A840+1)+G841</f>
        <v>71275.384119851</v>
      </c>
      <c r="H840" s="48" t="n">
        <f aca="false">D840*(IF($A840&lt;$Q$825,INDEX(Surface_Engine!$D$12:$D$72,$A840+1)+(Surface_Engine!G244*12)*INDEX(Surface_Engine!$F$12:$F$72,$A840+1)-(Surface_Engine!G244*12),1000*12*INDEX(Surface_Engine!$C$12:$C$72,$A840+1)/(1+Assumptions!$B$10)^12+INDEX(Surface_Engine!$D$12:$D$72,$A840+1)))*INDEX(Surface_Engine!$B$12:$B$72,$A840+1)+H841</f>
        <v>56422.6589530663</v>
      </c>
      <c r="I840" s="48" t="n">
        <f aca="false">E840*(IF($A840&lt;$Q$825,INDEX(Surface_Engine!$D$12:$D$72,$A840+1)+(Surface_Engine!G244*12)*INDEX(Surface_Engine!$F$12:$F$72,$A840+1)-(Surface_Engine!G244*12),1000*12*INDEX(Surface_Engine!$C$12:$C$72,$A840+1)/(1+Assumptions!$B$10)^12+INDEX(Surface_Engine!$D$12:$D$72,$A840+1)))*INDEX(Surface_Engine!$B$12:$B$72,$A840+1)+I841</f>
        <v>66826.6123661248</v>
      </c>
      <c r="J840" s="48" t="n">
        <f aca="false">B840*(IF($A840&lt;$Q$825,INDEX(Surface_Engine!$D$12:$D$72,$A840+1)*(1+Assumptions!$B$24)+(Surface_Engine!G244*12)*INDEX(Surface_Engine!$F$12:$F$72,$A840+1)-(Surface_Engine!G244*12),1000*12*INDEX(Surface_Engine!$C$12:$C$72,$A840+1)/(1+Assumptions!$B$10)^12+INDEX(Surface_Engine!$D$12:$D$72,$A840+1)*(1+Assumptions!$B$24)))*INDEX(Surface_Engine!$B$12:$B$72,$A840+1)+J841</f>
        <v>61488.9986659643</v>
      </c>
      <c r="K840" s="12" t="n">
        <f aca="false">SQRT((IF(C840&lt;=0,0,MAX(0,(B840/C840)*G840/INDEX(Surface_Engine!$B$12:$B$72,$A840+1)-F840/INDEX(Surface_Engine!$B$12:$B$72,$A840+1))))^2+(MAX(IF(D840&lt;=0,0,MAX(0,(B840/D840)*H840/INDEX(Surface_Engine!$B$12:$B$72,$A840+1)-F840/INDEX(Surface_Engine!$B$12:$B$72,$A840+1))),IF(E840&lt;=0,0,MAX(0,(B840/E840)*I840/INDEX(Surface_Engine!$B$12:$B$72,$A840+1)-F840/INDEX(Surface_Engine!$B$12:$B$72,$A840+1))),IF($A840&lt;$Q$825,MAX(0,-Assumptions!$B$22*(F840/INDEX(Surface_Engine!$B$12:$B$72,$A840+1))),0)))^2+(MAX(0,J840/INDEX(Surface_Engine!$B$12:$B$72,$A840+1)-(F840/INDEX(Surface_Engine!$B$12:$B$72,$A840+1))))^2+2*Assumptions!$B$26*(IF(C840&lt;=0,0,MAX(0,(B840/C840)*G840/INDEX(Surface_Engine!$B$12:$B$72,$A840+1)-F840/INDEX(Surface_Engine!$B$12:$B$72,$A840+1))))*(MAX(IF(D840&lt;=0,0,MAX(0,(B840/D840)*H840/INDEX(Surface_Engine!$B$12:$B$72,$A840+1)-F840/INDEX(Surface_Engine!$B$12:$B$72,$A840+1))),IF(E840&lt;=0,0,MAX(0,(B840/E840)*I840/INDEX(Surface_Engine!$B$12:$B$72,$A840+1)-F840/INDEX(Surface_Engine!$B$12:$B$72,$A840+1))),IF($A840&lt;$Q$825,MAX(0,-Assumptions!$B$22*(F840/INDEX(Surface_Engine!$B$12:$B$72,$A840+1))),0)))+2*Assumptions!$B$27*(IF(C840&lt;=0,0,MAX(0,(B840/C840)*G840/INDEX(Surface_Engine!$B$12:$B$72,$A840+1)-F840/INDEX(Surface_Engine!$B$12:$B$72,$A840+1))))*(MAX(0,J840/INDEX(Surface_Engine!$B$12:$B$72,$A840+1)-(F840/INDEX(Surface_Engine!$B$12:$B$72,$A840+1))))+2*Assumptions!$B$28*(MAX(IF(D840&lt;=0,0,MAX(0,(B840/D840)*H840/INDEX(Surface_Engine!$B$12:$B$72,$A840+1)-F840/INDEX(Surface_Engine!$B$12:$B$72,$A840+1))),IF(E840&lt;=0,0,MAX(0,(B840/E840)*I840/INDEX(Surface_Engine!$B$12:$B$72,$A840+1)-F840/INDEX(Surface_Engine!$B$12:$B$72,$A840+1))),IF($A840&lt;$Q$825,MAX(0,-Assumptions!$B$22*(F840/INDEX(Surface_Engine!$B$12:$B$72,$A840+1))),0)))*(MAX(0,J840/INDEX(Surface_Engine!$B$12:$B$72,$A840+1)-(F840/INDEX(Surface_Engine!$B$12:$B$72,$A840+1)))))</f>
        <v>10405.3717535272</v>
      </c>
      <c r="L840" s="48" t="n">
        <f aca="false">K840*INDEX(Surface_Engine!$B$12:$B$72,$A840+1)+L841</f>
        <v>66046.7984067841</v>
      </c>
      <c r="M840" s="48" t="n">
        <f aca="false">M839+B839*(IF($A839&lt;$Q$825,(Surface_Engine!G244*12)-(Surface_Engine!G244*12)*INDEX(Surface_Engine!$F$12:$F$72,$A839+1)-INDEX(Surface_Engine!$D$12:$D$72,$A839+1),-(1000*12*INDEX(Surface_Engine!$C$12:$C$72,$A839+1)/(1+Assumptions!$B$10)^12+INDEX(Surface_Engine!$D$12:$D$72,$A839+1))))*INDEX(Surface_Engine!$B$12:$B$72,$A839+1)</f>
        <v>63949.2917766228</v>
      </c>
      <c r="N840" s="12" t="n">
        <f aca="false">IF(B840&lt;=0,0,MAX(0,(K840+Assumptions!$B$29*L840/INDEX(Surface_Engine!$B$12:$B$72,$A840+1)-(M840/INDEX(Surface_Engine!$B$12:$B$72,$A840+1)-(F840/INDEX(Surface_Engine!$B$12:$B$72,$A840+1))))/B840))</f>
        <v>18088.2996497422</v>
      </c>
    </row>
    <row r="841" customFormat="false" ht="15" hidden="false" customHeight="true" outlineLevel="0" collapsed="false">
      <c r="A841" s="1" t="n">
        <v>14</v>
      </c>
      <c r="B841" s="32" t="n">
        <f aca="false">INDEX(Surface_Engine!$O$12:$O$72,$A841+1)*IF($A841&lt;$Q$825,INDEX(Surface_Engine!$E$12:$E$72,$A841+1),INDEX(Surface_Engine!$E$12:$E$72,$Q$825+1))</f>
        <v>0.670995862442715</v>
      </c>
      <c r="C841" s="32" t="n">
        <f aca="false">INDEX(Panel_Reserving!$E$8:$E$68,$A841+1)*IF($A841&lt;$Q$825,INDEX(Surface_Engine!$E$12:$E$72,$A841+1),INDEX(Surface_Engine!$E$12:$E$72,$Q$825+1))</f>
        <v>0.703048661644961</v>
      </c>
      <c r="D841" s="32" t="n">
        <f aca="false">INDEX(Surface_Engine!$O$12:$O$72,$A841+1)*IF($A841&lt;$Q$825,INDEX(Surface_Engine!$Y$12:$Y$72,$A841+1),INDEX(Surface_Engine!$Y$12:$Y$72,$Q$825+1))</f>
        <v>0.616291676055744</v>
      </c>
      <c r="E841" s="32" t="n">
        <f aca="false">INDEX(Surface_Engine!$O$12:$O$72,$A841+1)*IF($A841&lt;$Q$825,INDEX(Surface_Engine!$Z$12:$Z$72,$A841+1),INDEX(Surface_Engine!$Z$12:$Z$72,$Q$825+1))</f>
        <v>0.729931656969675</v>
      </c>
      <c r="F841" s="48" t="n">
        <f aca="false">B841*(IF($A841&lt;$Q$825,INDEX(Surface_Engine!$D$12:$D$72,$A841+1)+(Surface_Engine!G244*12)*INDEX(Surface_Engine!$F$12:$F$72,$A841+1)-(Surface_Engine!G244*12),1000*12*INDEX(Surface_Engine!$C$12:$C$72,$A841+1)/(1+Assumptions!$B$10)^12+INDEX(Surface_Engine!$D$12:$D$72,$A841+1)))*INDEX(Surface_Engine!$B$12:$B$72,$A841+1)+F842</f>
        <v>55625.649858559</v>
      </c>
      <c r="G841" s="48" t="n">
        <f aca="false">C841*(IF($A841&lt;$Q$825,INDEX(Surface_Engine!$D$12:$D$72,$A841+1)+(Surface_Engine!G244*12)*INDEX(Surface_Engine!$F$12:$F$72,$A841+1)-(Surface_Engine!G244*12),1000*12*INDEX(Surface_Engine!$C$12:$C$72,$A841+1)/(1+Assumptions!$B$10)^12+INDEX(Surface_Engine!$D$12:$D$72,$A841+1)))*INDEX(Surface_Engine!$B$12:$B$72,$A841+1)+G842</f>
        <v>65232.4501038054</v>
      </c>
      <c r="H841" s="48" t="n">
        <f aca="false">D841*(IF($A841&lt;$Q$825,INDEX(Surface_Engine!$D$12:$D$72,$A841+1)+(Surface_Engine!G244*12)*INDEX(Surface_Engine!$F$12:$F$72,$A841+1)-(Surface_Engine!G244*12),1000*12*INDEX(Surface_Engine!$C$12:$C$72,$A841+1)/(1+Assumptions!$B$10)^12+INDEX(Surface_Engine!$D$12:$D$72,$A841+1)))*INDEX(Surface_Engine!$B$12:$B$72,$A841+1)+H842</f>
        <v>51090.665236327</v>
      </c>
      <c r="I841" s="48" t="n">
        <f aca="false">E841*(IF($A841&lt;$Q$825,INDEX(Surface_Engine!$D$12:$D$72,$A841+1)+(Surface_Engine!G244*12)*INDEX(Surface_Engine!$F$12:$F$72,$A841+1)-(Surface_Engine!G244*12),1000*12*INDEX(Surface_Engine!$C$12:$C$72,$A841+1)/(1+Assumptions!$B$10)^12+INDEX(Surface_Engine!$D$12:$D$72,$A841+1)))*INDEX(Surface_Engine!$B$12:$B$72,$A841+1)+I842</f>
        <v>60511.4353812269</v>
      </c>
      <c r="J841" s="48" t="n">
        <f aca="false">B841*(IF($A841&lt;$Q$825,INDEX(Surface_Engine!$D$12:$D$72,$A841+1)*(1+Assumptions!$B$24)+(Surface_Engine!G244*12)*INDEX(Surface_Engine!$F$12:$F$72,$A841+1)-(Surface_Engine!G244*12),1000*12*INDEX(Surface_Engine!$C$12:$C$72,$A841+1)/(1+Assumptions!$B$10)^12+INDEX(Surface_Engine!$D$12:$D$72,$A841+1)*(1+Assumptions!$B$24)))*INDEX(Surface_Engine!$B$12:$B$72,$A841+1)+J842</f>
        <v>55678.4065075109</v>
      </c>
      <c r="K841" s="12" t="n">
        <f aca="false">SQRT((IF(C841&lt;=0,0,MAX(0,(B841/C841)*G841/INDEX(Surface_Engine!$B$12:$B$72,$A841+1)-F841/INDEX(Surface_Engine!$B$12:$B$72,$A841+1))))^2+(MAX(IF(D841&lt;=0,0,MAX(0,(B841/D841)*H841/INDEX(Surface_Engine!$B$12:$B$72,$A841+1)-F841/INDEX(Surface_Engine!$B$12:$B$72,$A841+1))),IF(E841&lt;=0,0,MAX(0,(B841/E841)*I841/INDEX(Surface_Engine!$B$12:$B$72,$A841+1)-F841/INDEX(Surface_Engine!$B$12:$B$72,$A841+1))),IF($A841&lt;$Q$825,MAX(0,-Assumptions!$B$22*(F841/INDEX(Surface_Engine!$B$12:$B$72,$A841+1))),0)))^2+(MAX(0,J841/INDEX(Surface_Engine!$B$12:$B$72,$A841+1)-(F841/INDEX(Surface_Engine!$B$12:$B$72,$A841+1))))^2+2*Assumptions!$B$26*(IF(C841&lt;=0,0,MAX(0,(B841/C841)*G841/INDEX(Surface_Engine!$B$12:$B$72,$A841+1)-F841/INDEX(Surface_Engine!$B$12:$B$72,$A841+1))))*(MAX(IF(D841&lt;=0,0,MAX(0,(B841/D841)*H841/INDEX(Surface_Engine!$B$12:$B$72,$A841+1)-F841/INDEX(Surface_Engine!$B$12:$B$72,$A841+1))),IF(E841&lt;=0,0,MAX(0,(B841/E841)*I841/INDEX(Surface_Engine!$B$12:$B$72,$A841+1)-F841/INDEX(Surface_Engine!$B$12:$B$72,$A841+1))),IF($A841&lt;$Q$825,MAX(0,-Assumptions!$B$22*(F841/INDEX(Surface_Engine!$B$12:$B$72,$A841+1))),0)))+2*Assumptions!$B$27*(IF(C841&lt;=0,0,MAX(0,(B841/C841)*G841/INDEX(Surface_Engine!$B$12:$B$72,$A841+1)-F841/INDEX(Surface_Engine!$B$12:$B$72,$A841+1))))*(MAX(0,J841/INDEX(Surface_Engine!$B$12:$B$72,$A841+1)-(F841/INDEX(Surface_Engine!$B$12:$B$72,$A841+1))))+2*Assumptions!$B$28*(MAX(IF(D841&lt;=0,0,MAX(0,(B841/D841)*H841/INDEX(Surface_Engine!$B$12:$B$72,$A841+1)-F841/INDEX(Surface_Engine!$B$12:$B$72,$A841+1))),IF(E841&lt;=0,0,MAX(0,(B841/E841)*I841/INDEX(Surface_Engine!$B$12:$B$72,$A841+1)-F841/INDEX(Surface_Engine!$B$12:$B$72,$A841+1))),IF($A841&lt;$Q$825,MAX(0,-Assumptions!$B$22*(F841/INDEX(Surface_Engine!$B$12:$B$72,$A841+1))),0)))*(MAX(0,J841/INDEX(Surface_Engine!$B$12:$B$72,$A841+1)-(F841/INDEX(Surface_Engine!$B$12:$B$72,$A841+1)))))</f>
        <v>10139.3452956319</v>
      </c>
      <c r="L841" s="48" t="n">
        <f aca="false">K841*INDEX(Surface_Engine!$B$12:$B$72,$A841+1)+L842</f>
        <v>58990.6921549897</v>
      </c>
      <c r="M841" s="48" t="n">
        <f aca="false">M840+B840*(IF($A840&lt;$Q$825,(Surface_Engine!G244*12)-(Surface_Engine!G244*12)*INDEX(Surface_Engine!$F$12:$F$72,$A840+1)-INDEX(Surface_Engine!$D$12:$D$72,$A840+1),-(1000*12*INDEX(Surface_Engine!$C$12:$C$72,$A840+1)/(1+Assumptions!$B$10)^12+INDEX(Surface_Engine!$D$12:$D$72,$A840+1))))*INDEX(Surface_Engine!$B$12:$B$72,$A840+1)</f>
        <v>58144.0118069174</v>
      </c>
      <c r="N841" s="12" t="n">
        <f aca="false">IF(B841&lt;=0,0,MAX(0,(K841+Assumptions!$B$29*L841/INDEX(Surface_Engine!$B$12:$B$72,$A841+1)-(M841/INDEX(Surface_Engine!$B$12:$B$72,$A841+1)-(F841/INDEX(Surface_Engine!$B$12:$B$72,$A841+1))))/B841))</f>
        <v>17432.4442854693</v>
      </c>
    </row>
    <row r="842" customFormat="false" ht="15" hidden="false" customHeight="true" outlineLevel="0" collapsed="false">
      <c r="A842" s="1" t="n">
        <v>15</v>
      </c>
      <c r="B842" s="32" t="n">
        <f aca="false">INDEX(Surface_Engine!$O$12:$O$72,$A842+1)*IF($A842&lt;$Q$825,INDEX(Surface_Engine!$E$12:$E$72,$A842+1),INDEX(Surface_Engine!$E$12:$E$72,$Q$825+1))</f>
        <v>0.647066609768497</v>
      </c>
      <c r="C842" s="32" t="n">
        <f aca="false">INDEX(Panel_Reserving!$E$8:$E$68,$A842+1)*IF($A842&lt;$Q$825,INDEX(Surface_Engine!$E$12:$E$72,$A842+1),INDEX(Surface_Engine!$E$12:$E$72,$Q$825+1))</f>
        <v>0.682990798390152</v>
      </c>
      <c r="D842" s="32" t="n">
        <f aca="false">INDEX(Surface_Engine!$O$12:$O$72,$A842+1)*IF($A842&lt;$Q$825,INDEX(Surface_Engine!$Y$12:$Y$72,$A842+1),INDEX(Surface_Engine!$Y$12:$Y$72,$Q$825+1))</f>
        <v>0.594313300237347</v>
      </c>
      <c r="E842" s="32" t="n">
        <f aca="false">INDEX(Surface_Engine!$O$12:$O$72,$A842+1)*IF($A842&lt;$Q$825,INDEX(Surface_Engine!$Z$12:$Z$72,$A842+1),INDEX(Surface_Engine!$Z$12:$Z$72,$Q$825+1))</f>
        <v>0.703900618580032</v>
      </c>
      <c r="F842" s="48" t="n">
        <f aca="false">B842*(IF($A842&lt;$Q$825,INDEX(Surface_Engine!$D$12:$D$72,$A842+1)+(Surface_Engine!G244*12)*INDEX(Surface_Engine!$F$12:$F$72,$A842+1)-(Surface_Engine!G244*12),1000*12*INDEX(Surface_Engine!$C$12:$C$72,$A842+1)/(1+Assumptions!$B$10)^12+INDEX(Surface_Engine!$D$12:$D$72,$A842+1)))*INDEX(Surface_Engine!$B$12:$B$72,$A842+1)+F843</f>
        <v>50083.5499676281</v>
      </c>
      <c r="G842" s="48" t="n">
        <f aca="false">C842*(IF($A842&lt;$Q$825,INDEX(Surface_Engine!$D$12:$D$72,$A842+1)+(Surface_Engine!G244*12)*INDEX(Surface_Engine!$F$12:$F$72,$A842+1)-(Surface_Engine!G244*12),1000*12*INDEX(Surface_Engine!$C$12:$C$72,$A842+1)/(1+Assumptions!$B$10)^12+INDEX(Surface_Engine!$D$12:$D$72,$A842+1)))*INDEX(Surface_Engine!$B$12:$B$72,$A842+1)+G843</f>
        <v>59425.6096609491</v>
      </c>
      <c r="H842" s="48" t="n">
        <f aca="false">D842*(IF($A842&lt;$Q$825,INDEX(Surface_Engine!$D$12:$D$72,$A842+1)+(Surface_Engine!G244*12)*INDEX(Surface_Engine!$F$12:$F$72,$A842+1)-(Surface_Engine!G244*12),1000*12*INDEX(Surface_Engine!$C$12:$C$72,$A842+1)/(1+Assumptions!$B$10)^12+INDEX(Surface_Engine!$D$12:$D$72,$A842+1)))*INDEX(Surface_Engine!$B$12:$B$72,$A842+1)+H843</f>
        <v>46000.3953526707</v>
      </c>
      <c r="I842" s="48" t="n">
        <f aca="false">E842*(IF($A842&lt;$Q$825,INDEX(Surface_Engine!$D$12:$D$72,$A842+1)+(Surface_Engine!G244*12)*INDEX(Surface_Engine!$F$12:$F$72,$A842+1)-(Surface_Engine!G244*12),1000*12*INDEX(Surface_Engine!$C$12:$C$72,$A842+1)/(1+Assumptions!$B$10)^12+INDEX(Surface_Engine!$D$12:$D$72,$A842+1)))*INDEX(Surface_Engine!$B$12:$B$72,$A842+1)+I843</f>
        <v>54482.5544552674</v>
      </c>
      <c r="J842" s="48" t="n">
        <f aca="false">B842*(IF($A842&lt;$Q$825,INDEX(Surface_Engine!$D$12:$D$72,$A842+1)*(1+Assumptions!$B$24)+(Surface_Engine!G244*12)*INDEX(Surface_Engine!$F$12:$F$72,$A842+1)-(Surface_Engine!G244*12),1000*12*INDEX(Surface_Engine!$C$12:$C$72,$A842+1)/(1+Assumptions!$B$10)^12+INDEX(Surface_Engine!$D$12:$D$72,$A842+1)*(1+Assumptions!$B$24)))*INDEX(Surface_Engine!$B$12:$B$72,$A842+1)+J843</f>
        <v>50131.210622779</v>
      </c>
      <c r="K842" s="12" t="n">
        <f aca="false">SQRT((IF(C842&lt;=0,0,MAX(0,(B842/C842)*G842/INDEX(Surface_Engine!$B$12:$B$72,$A842+1)-F842/INDEX(Surface_Engine!$B$12:$B$72,$A842+1))))^2+(MAX(IF(D842&lt;=0,0,MAX(0,(B842/D842)*H842/INDEX(Surface_Engine!$B$12:$B$72,$A842+1)-F842/INDEX(Surface_Engine!$B$12:$B$72,$A842+1))),IF(E842&lt;=0,0,MAX(0,(B842/E842)*I842/INDEX(Surface_Engine!$B$12:$B$72,$A842+1)-F842/INDEX(Surface_Engine!$B$12:$B$72,$A842+1))),IF($A842&lt;$Q$825,MAX(0,-Assumptions!$B$22*(F842/INDEX(Surface_Engine!$B$12:$B$72,$A842+1))),0)))^2+(MAX(0,J842/INDEX(Surface_Engine!$B$12:$B$72,$A842+1)-(F842/INDEX(Surface_Engine!$B$12:$B$72,$A842+1))))^2+2*Assumptions!$B$26*(IF(C842&lt;=0,0,MAX(0,(B842/C842)*G842/INDEX(Surface_Engine!$B$12:$B$72,$A842+1)-F842/INDEX(Surface_Engine!$B$12:$B$72,$A842+1))))*(MAX(IF(D842&lt;=0,0,MAX(0,(B842/D842)*H842/INDEX(Surface_Engine!$B$12:$B$72,$A842+1)-F842/INDEX(Surface_Engine!$B$12:$B$72,$A842+1))),IF(E842&lt;=0,0,MAX(0,(B842/E842)*I842/INDEX(Surface_Engine!$B$12:$B$72,$A842+1)-F842/INDEX(Surface_Engine!$B$12:$B$72,$A842+1))),IF($A842&lt;$Q$825,MAX(0,-Assumptions!$B$22*(F842/INDEX(Surface_Engine!$B$12:$B$72,$A842+1))),0)))+2*Assumptions!$B$27*(IF(C842&lt;=0,0,MAX(0,(B842/C842)*G842/INDEX(Surface_Engine!$B$12:$B$72,$A842+1)-F842/INDEX(Surface_Engine!$B$12:$B$72,$A842+1))))*(MAX(0,J842/INDEX(Surface_Engine!$B$12:$B$72,$A842+1)-(F842/INDEX(Surface_Engine!$B$12:$B$72,$A842+1))))+2*Assumptions!$B$28*(MAX(IF(D842&lt;=0,0,MAX(0,(B842/D842)*H842/INDEX(Surface_Engine!$B$12:$B$72,$A842+1)-F842/INDEX(Surface_Engine!$B$12:$B$72,$A842+1))),IF(E842&lt;=0,0,MAX(0,(B842/E842)*I842/INDEX(Surface_Engine!$B$12:$B$72,$A842+1)-F842/INDEX(Surface_Engine!$B$12:$B$72,$A842+1))),IF($A842&lt;$Q$825,MAX(0,-Assumptions!$B$22*(F842/INDEX(Surface_Engine!$B$12:$B$72,$A842+1))),0)))*(MAX(0,J842/INDEX(Surface_Engine!$B$12:$B$72,$A842+1)-(F842/INDEX(Surface_Engine!$B$12:$B$72,$A842+1)))))</f>
        <v>9856.0459898361</v>
      </c>
      <c r="L842" s="48" t="n">
        <f aca="false">K842*INDEX(Surface_Engine!$B$12:$B$72,$A842+1)+L843</f>
        <v>52344.5290654024</v>
      </c>
      <c r="M842" s="48" t="n">
        <f aca="false">M841+B841*(IF($A841&lt;$Q$825,(Surface_Engine!G244*12)-(Surface_Engine!G244*12)*INDEX(Surface_Engine!$F$12:$F$72,$A841+1)-INDEX(Surface_Engine!$D$12:$D$72,$A841+1),-(1000*12*INDEX(Surface_Engine!$C$12:$C$72,$A841+1)/(1+Assumptions!$B$10)^12+INDEX(Surface_Engine!$D$12:$D$72,$A841+1))))*INDEX(Surface_Engine!$B$12:$B$72,$A841+1)</f>
        <v>52601.9119159865</v>
      </c>
      <c r="N842" s="12" t="n">
        <f aca="false">IF(B842&lt;=0,0,MAX(0,(K842+Assumptions!$B$29*L842/INDEX(Surface_Engine!$B$12:$B$72,$A842+1)-(M842/INDEX(Surface_Engine!$B$12:$B$72,$A842+1)-(F842/INDEX(Surface_Engine!$B$12:$B$72,$A842+1))))/B842))</f>
        <v>16753.7660330303</v>
      </c>
    </row>
    <row r="843" customFormat="false" ht="15" hidden="false" customHeight="true" outlineLevel="0" collapsed="false">
      <c r="A843" s="1" t="n">
        <v>16</v>
      </c>
      <c r="B843" s="32" t="n">
        <f aca="false">INDEX(Surface_Engine!$O$12:$O$72,$A843+1)*IF($A843&lt;$Q$825,INDEX(Surface_Engine!$E$12:$E$72,$A843+1),INDEX(Surface_Engine!$E$12:$E$72,$Q$825+1))</f>
        <v>0.621168629398362</v>
      </c>
      <c r="C843" s="32" t="n">
        <f aca="false">INDEX(Panel_Reserving!$E$8:$E$68,$A843+1)*IF($A843&lt;$Q$825,INDEX(Surface_Engine!$E$12:$E$72,$A843+1),INDEX(Surface_Engine!$E$12:$E$72,$Q$825+1))</f>
        <v>0.661122159801591</v>
      </c>
      <c r="D843" s="32" t="n">
        <f aca="false">INDEX(Surface_Engine!$O$12:$O$72,$A843+1)*IF($A843&lt;$Q$825,INDEX(Surface_Engine!$Y$12:$Y$72,$A843+1),INDEX(Surface_Engine!$Y$12:$Y$72,$Q$825+1))</f>
        <v>0.570526700912181</v>
      </c>
      <c r="E843" s="32" t="n">
        <f aca="false">INDEX(Surface_Engine!$O$12:$O$72,$A843+1)*IF($A843&lt;$Q$825,INDEX(Surface_Engine!$Z$12:$Z$72,$A843+1),INDEX(Surface_Engine!$Z$12:$Z$72,$Q$825+1))</f>
        <v>0.675727932604112</v>
      </c>
      <c r="F843" s="48" t="n">
        <f aca="false">B843*(IF($A843&lt;$Q$825,INDEX(Surface_Engine!$D$12:$D$72,$A843+1)+(Surface_Engine!G244*12)*INDEX(Surface_Engine!$F$12:$F$72,$A843+1)-(Surface_Engine!G244*12),1000*12*INDEX(Surface_Engine!$C$12:$C$72,$A843+1)/(1+Assumptions!$B$10)^12+INDEX(Surface_Engine!$D$12:$D$72,$A843+1)))*INDEX(Surface_Engine!$B$12:$B$72,$A843+1)+F844</f>
        <v>44827.7370224615</v>
      </c>
      <c r="G843" s="48" t="n">
        <f aca="false">C843*(IF($A843&lt;$Q$825,INDEX(Surface_Engine!$D$12:$D$72,$A843+1)+(Surface_Engine!G244*12)*INDEX(Surface_Engine!$F$12:$F$72,$A843+1)-(Surface_Engine!G244*12),1000*12*INDEX(Surface_Engine!$C$12:$C$72,$A843+1)/(1+Assumptions!$B$10)^12+INDEX(Surface_Engine!$D$12:$D$72,$A843+1)))*INDEX(Surface_Engine!$B$12:$B$72,$A843+1)+G844</f>
        <v>53878.0016938297</v>
      </c>
      <c r="H843" s="48" t="n">
        <f aca="false">D843*(IF($A843&lt;$Q$825,INDEX(Surface_Engine!$D$12:$D$72,$A843+1)+(Surface_Engine!G244*12)*INDEX(Surface_Engine!$F$12:$F$72,$A843+1)-(Surface_Engine!G244*12),1000*12*INDEX(Surface_Engine!$C$12:$C$72,$A843+1)/(1+Assumptions!$B$10)^12+INDEX(Surface_Engine!$D$12:$D$72,$A843+1)))*INDEX(Surface_Engine!$B$12:$B$72,$A843+1)+H844</f>
        <v>41173.0723387545</v>
      </c>
      <c r="I843" s="48" t="n">
        <f aca="false">E843*(IF($A843&lt;$Q$825,INDEX(Surface_Engine!$D$12:$D$72,$A843+1)+(Surface_Engine!G244*12)*INDEX(Surface_Engine!$F$12:$F$72,$A843+1)-(Surface_Engine!G244*12),1000*12*INDEX(Surface_Engine!$C$12:$C$72,$A843+1)/(1+Assumptions!$B$10)^12+INDEX(Surface_Engine!$D$12:$D$72,$A843+1)))*INDEX(Surface_Engine!$B$12:$B$72,$A843+1)+I844</f>
        <v>48765.1060080861</v>
      </c>
      <c r="J843" s="48" t="n">
        <f aca="false">B843*(IF($A843&lt;$Q$825,INDEX(Surface_Engine!$D$12:$D$72,$A843+1)*(1+Assumptions!$B$24)+(Surface_Engine!G244*12)*INDEX(Surface_Engine!$F$12:$F$72,$A843+1)-(Surface_Engine!G244*12),1000*12*INDEX(Surface_Engine!$C$12:$C$72,$A843+1)/(1+Assumptions!$B$10)^12+INDEX(Surface_Engine!$D$12:$D$72,$A843+1)*(1+Assumptions!$B$24)))*INDEX(Surface_Engine!$B$12:$B$72,$A843+1)+J844</f>
        <v>44870.5414552916</v>
      </c>
      <c r="K843" s="12" t="n">
        <f aca="false">SQRT((IF(C843&lt;=0,0,MAX(0,(B843/C843)*G843/INDEX(Surface_Engine!$B$12:$B$72,$A843+1)-F843/INDEX(Surface_Engine!$B$12:$B$72,$A843+1))))^2+(MAX(IF(D843&lt;=0,0,MAX(0,(B843/D843)*H843/INDEX(Surface_Engine!$B$12:$B$72,$A843+1)-F843/INDEX(Surface_Engine!$B$12:$B$72,$A843+1))),IF(E843&lt;=0,0,MAX(0,(B843/E843)*I843/INDEX(Surface_Engine!$B$12:$B$72,$A843+1)-F843/INDEX(Surface_Engine!$B$12:$B$72,$A843+1))),IF($A843&lt;$Q$825,MAX(0,-Assumptions!$B$22*(F843/INDEX(Surface_Engine!$B$12:$B$72,$A843+1))),0)))^2+(MAX(0,J843/INDEX(Surface_Engine!$B$12:$B$72,$A843+1)-(F843/INDEX(Surface_Engine!$B$12:$B$72,$A843+1))))^2+2*Assumptions!$B$26*(IF(C843&lt;=0,0,MAX(0,(B843/C843)*G843/INDEX(Surface_Engine!$B$12:$B$72,$A843+1)-F843/INDEX(Surface_Engine!$B$12:$B$72,$A843+1))))*(MAX(IF(D843&lt;=0,0,MAX(0,(B843/D843)*H843/INDEX(Surface_Engine!$B$12:$B$72,$A843+1)-F843/INDEX(Surface_Engine!$B$12:$B$72,$A843+1))),IF(E843&lt;=0,0,MAX(0,(B843/E843)*I843/INDEX(Surface_Engine!$B$12:$B$72,$A843+1)-F843/INDEX(Surface_Engine!$B$12:$B$72,$A843+1))),IF($A843&lt;$Q$825,MAX(0,-Assumptions!$B$22*(F843/INDEX(Surface_Engine!$B$12:$B$72,$A843+1))),0)))+2*Assumptions!$B$27*(IF(C843&lt;=0,0,MAX(0,(B843/C843)*G843/INDEX(Surface_Engine!$B$12:$B$72,$A843+1)-F843/INDEX(Surface_Engine!$B$12:$B$72,$A843+1))))*(MAX(0,J843/INDEX(Surface_Engine!$B$12:$B$72,$A843+1)-(F843/INDEX(Surface_Engine!$B$12:$B$72,$A843+1))))+2*Assumptions!$B$28*(MAX(IF(D843&lt;=0,0,MAX(0,(B843/D843)*H843/INDEX(Surface_Engine!$B$12:$B$72,$A843+1)-F843/INDEX(Surface_Engine!$B$12:$B$72,$A843+1))),IF(E843&lt;=0,0,MAX(0,(B843/E843)*I843/INDEX(Surface_Engine!$B$12:$B$72,$A843+1)-F843/INDEX(Surface_Engine!$B$12:$B$72,$A843+1))),IF($A843&lt;$Q$825,MAX(0,-Assumptions!$B$22*(F843/INDEX(Surface_Engine!$B$12:$B$72,$A843+1))),0)))*(MAX(0,J843/INDEX(Surface_Engine!$B$12:$B$72,$A843+1)-(F843/INDEX(Surface_Engine!$B$12:$B$72,$A843+1)))))</f>
        <v>9518.68809978563</v>
      </c>
      <c r="L843" s="48" t="n">
        <f aca="false">K843*INDEX(Surface_Engine!$B$12:$B$72,$A843+1)+L844</f>
        <v>46116.0722290558</v>
      </c>
      <c r="M843" s="48" t="n">
        <f aca="false">M842+B842*(IF($A842&lt;$Q$825,(Surface_Engine!G244*12)-(Surface_Engine!G244*12)*INDEX(Surface_Engine!$F$12:$F$72,$A842+1)-INDEX(Surface_Engine!$D$12:$D$72,$A842+1),-(1000*12*INDEX(Surface_Engine!$C$12:$C$72,$A842+1)/(1+Assumptions!$B$10)^12+INDEX(Surface_Engine!$D$12:$D$72,$A842+1))))*INDEX(Surface_Engine!$B$12:$B$72,$A842+1)</f>
        <v>47346.0989708199</v>
      </c>
      <c r="N843" s="12" t="n">
        <f aca="false">IF(B843&lt;=0,0,MAX(0,(K843+Assumptions!$B$29*L843/INDEX(Surface_Engine!$B$12:$B$72,$A843+1)-(M843/INDEX(Surface_Engine!$B$12:$B$72,$A843+1)-(F843/INDEX(Surface_Engine!$B$12:$B$72,$A843+1))))/B843))</f>
        <v>15980.0786562486</v>
      </c>
    </row>
    <row r="844" customFormat="false" ht="15" hidden="false" customHeight="true" outlineLevel="0" collapsed="false">
      <c r="A844" s="1" t="n">
        <v>17</v>
      </c>
      <c r="B844" s="32" t="n">
        <f aca="false">INDEX(Surface_Engine!$O$12:$O$72,$A844+1)*IF($A844&lt;$Q$825,INDEX(Surface_Engine!$E$12:$E$72,$A844+1),INDEX(Surface_Engine!$E$12:$E$72,$Q$825+1))</f>
        <v>0.593280144517424</v>
      </c>
      <c r="C844" s="32" t="n">
        <f aca="false">INDEX(Panel_Reserving!$E$8:$E$68,$A844+1)*IF($A844&lt;$Q$825,INDEX(Surface_Engine!$E$12:$E$72,$A844+1),INDEX(Surface_Engine!$E$12:$E$72,$Q$825+1))</f>
        <v>0.637376343306076</v>
      </c>
      <c r="D844" s="32" t="n">
        <f aca="false">INDEX(Surface_Engine!$O$12:$O$72,$A844+1)*IF($A844&lt;$Q$825,INDEX(Surface_Engine!$Y$12:$Y$72,$A844+1),INDEX(Surface_Engine!$Y$12:$Y$72,$Q$825+1))</f>
        <v>0.544911876660718</v>
      </c>
      <c r="E844" s="32" t="n">
        <f aca="false">INDEX(Surface_Engine!$O$12:$O$72,$A844+1)*IF($A844&lt;$Q$825,INDEX(Surface_Engine!$Z$12:$Z$72,$A844+1),INDEX(Surface_Engine!$Z$12:$Z$72,$Q$825+1))</f>
        <v>0.645389909497069</v>
      </c>
      <c r="F844" s="48" t="n">
        <f aca="false">B844*(IF($A844&lt;$Q$825,INDEX(Surface_Engine!$D$12:$D$72,$A844+1)+(Surface_Engine!G244*12)*INDEX(Surface_Engine!$F$12:$F$72,$A844+1)-(Surface_Engine!G244*12),1000*12*INDEX(Surface_Engine!$C$12:$C$72,$A844+1)/(1+Assumptions!$B$10)^12+INDEX(Surface_Engine!$D$12:$D$72,$A844+1)))*INDEX(Surface_Engine!$B$12:$B$72,$A844+1)+F845</f>
        <v>39860.94622373</v>
      </c>
      <c r="G844" s="48" t="n">
        <f aca="false">C844*(IF($A844&lt;$Q$825,INDEX(Surface_Engine!$D$12:$D$72,$A844+1)+(Surface_Engine!G244*12)*INDEX(Surface_Engine!$F$12:$F$72,$A844+1)-(Surface_Engine!G244*12),1000*12*INDEX(Surface_Engine!$C$12:$C$72,$A844+1)/(1+Assumptions!$B$10)^12+INDEX(Surface_Engine!$D$12:$D$72,$A844+1)))*INDEX(Surface_Engine!$B$12:$B$72,$A844+1)+G845</f>
        <v>48591.7471974936</v>
      </c>
      <c r="H844" s="48" t="n">
        <f aca="false">D844*(IF($A844&lt;$Q$825,INDEX(Surface_Engine!$D$12:$D$72,$A844+1)+(Surface_Engine!G244*12)*INDEX(Surface_Engine!$F$12:$F$72,$A844+1)-(Surface_Engine!G244*12),1000*12*INDEX(Surface_Engine!$C$12:$C$72,$A844+1)/(1+Assumptions!$B$10)^12+INDEX(Surface_Engine!$D$12:$D$72,$A844+1)))*INDEX(Surface_Engine!$B$12:$B$72,$A844+1)+H845</f>
        <v>36611.2084029247</v>
      </c>
      <c r="I844" s="48" t="n">
        <f aca="false">E844*(IF($A844&lt;$Q$825,INDEX(Surface_Engine!$D$12:$D$72,$A844+1)+(Surface_Engine!G244*12)*INDEX(Surface_Engine!$F$12:$F$72,$A844+1)-(Surface_Engine!G244*12),1000*12*INDEX(Surface_Engine!$C$12:$C$72,$A844+1)/(1+Assumptions!$B$10)^12+INDEX(Surface_Engine!$D$12:$D$72,$A844+1)))*INDEX(Surface_Engine!$B$12:$B$72,$A844+1)+I845</f>
        <v>43362.0654821107</v>
      </c>
      <c r="J844" s="48" t="n">
        <f aca="false">B844*(IF($A844&lt;$Q$825,INDEX(Surface_Engine!$D$12:$D$72,$A844+1)*(1+Assumptions!$B$24)+(Surface_Engine!G244*12)*INDEX(Surface_Engine!$F$12:$F$72,$A844+1)-(Surface_Engine!G244*12),1000*12*INDEX(Surface_Engine!$C$12:$C$72,$A844+1)/(1+Assumptions!$B$10)^12+INDEX(Surface_Engine!$D$12:$D$72,$A844+1)*(1+Assumptions!$B$24)))*INDEX(Surface_Engine!$B$12:$B$72,$A844+1)+J845</f>
        <v>39899.1391954322</v>
      </c>
      <c r="K844" s="12" t="n">
        <f aca="false">SQRT((IF(C844&lt;=0,0,MAX(0,(B844/C844)*G844/INDEX(Surface_Engine!$B$12:$B$72,$A844+1)-F844/INDEX(Surface_Engine!$B$12:$B$72,$A844+1))))^2+(MAX(IF(D844&lt;=0,0,MAX(0,(B844/D844)*H844/INDEX(Surface_Engine!$B$12:$B$72,$A844+1)-F844/INDEX(Surface_Engine!$B$12:$B$72,$A844+1))),IF(E844&lt;=0,0,MAX(0,(B844/E844)*I844/INDEX(Surface_Engine!$B$12:$B$72,$A844+1)-F844/INDEX(Surface_Engine!$B$12:$B$72,$A844+1))),IF($A844&lt;$Q$825,MAX(0,-Assumptions!$B$22*(F844/INDEX(Surface_Engine!$B$12:$B$72,$A844+1))),0)))^2+(MAX(0,J844/INDEX(Surface_Engine!$B$12:$B$72,$A844+1)-(F844/INDEX(Surface_Engine!$B$12:$B$72,$A844+1))))^2+2*Assumptions!$B$26*(IF(C844&lt;=0,0,MAX(0,(B844/C844)*G844/INDEX(Surface_Engine!$B$12:$B$72,$A844+1)-F844/INDEX(Surface_Engine!$B$12:$B$72,$A844+1))))*(MAX(IF(D844&lt;=0,0,MAX(0,(B844/D844)*H844/INDEX(Surface_Engine!$B$12:$B$72,$A844+1)-F844/INDEX(Surface_Engine!$B$12:$B$72,$A844+1))),IF(E844&lt;=0,0,MAX(0,(B844/E844)*I844/INDEX(Surface_Engine!$B$12:$B$72,$A844+1)-F844/INDEX(Surface_Engine!$B$12:$B$72,$A844+1))),IF($A844&lt;$Q$825,MAX(0,-Assumptions!$B$22*(F844/INDEX(Surface_Engine!$B$12:$B$72,$A844+1))),0)))+2*Assumptions!$B$27*(IF(C844&lt;=0,0,MAX(0,(B844/C844)*G844/INDEX(Surface_Engine!$B$12:$B$72,$A844+1)-F844/INDEX(Surface_Engine!$B$12:$B$72,$A844+1))))*(MAX(0,J844/INDEX(Surface_Engine!$B$12:$B$72,$A844+1)-(F844/INDEX(Surface_Engine!$B$12:$B$72,$A844+1))))+2*Assumptions!$B$28*(MAX(IF(D844&lt;=0,0,MAX(0,(B844/D844)*H844/INDEX(Surface_Engine!$B$12:$B$72,$A844+1)-F844/INDEX(Surface_Engine!$B$12:$B$72,$A844+1))),IF(E844&lt;=0,0,MAX(0,(B844/E844)*I844/INDEX(Surface_Engine!$B$12:$B$72,$A844+1)-F844/INDEX(Surface_Engine!$B$12:$B$72,$A844+1))),IF($A844&lt;$Q$825,MAX(0,-Assumptions!$B$22*(F844/INDEX(Surface_Engine!$B$12:$B$72,$A844+1))),0)))*(MAX(0,J844/INDEX(Surface_Engine!$B$12:$B$72,$A844+1)-(F844/INDEX(Surface_Engine!$B$12:$B$72,$A844+1)))))</f>
        <v>9121.88077078223</v>
      </c>
      <c r="L844" s="48" t="n">
        <f aca="false">K844*INDEX(Surface_Engine!$B$12:$B$72,$A844+1)+L845</f>
        <v>40310.9624725317</v>
      </c>
      <c r="M844" s="48" t="n">
        <f aca="false">M843+B843*(IF($A843&lt;$Q$825,(Surface_Engine!G244*12)-(Surface_Engine!G244*12)*INDEX(Surface_Engine!$F$12:$F$72,$A843+1)-INDEX(Surface_Engine!$D$12:$D$72,$A843+1),-(1000*12*INDEX(Surface_Engine!$C$12:$C$72,$A843+1)/(1+Assumptions!$B$10)^12+INDEX(Surface_Engine!$D$12:$D$72,$A843+1))))*INDEX(Surface_Engine!$B$12:$B$72,$A843+1)</f>
        <v>42379.3081720884</v>
      </c>
      <c r="N844" s="12" t="n">
        <f aca="false">IF(B844&lt;=0,0,MAX(0,(K844+Assumptions!$B$29*L844/INDEX(Surface_Engine!$B$12:$B$72,$A844+1)-(M844/INDEX(Surface_Engine!$B$12:$B$72,$A844+1)-(F844/INDEX(Surface_Engine!$B$12:$B$72,$A844+1))))/B844))</f>
        <v>15090.3247084474</v>
      </c>
    </row>
    <row r="845" customFormat="false" ht="15" hidden="false" customHeight="true" outlineLevel="0" collapsed="false">
      <c r="A845" s="1" t="n">
        <v>18</v>
      </c>
      <c r="B845" s="32" t="n">
        <f aca="false">INDEX(Surface_Engine!$O$12:$O$72,$A845+1)*IF($A845&lt;$Q$825,INDEX(Surface_Engine!$E$12:$E$72,$A845+1),INDEX(Surface_Engine!$E$12:$E$72,$Q$825+1))</f>
        <v>0.562441111376382</v>
      </c>
      <c r="C845" s="32" t="n">
        <f aca="false">INDEX(Panel_Reserving!$E$8:$E$68,$A845+1)*IF($A845&lt;$Q$825,INDEX(Surface_Engine!$E$12:$E$72,$A845+1),INDEX(Surface_Engine!$E$12:$E$72,$Q$825+1))</f>
        <v>0.610871400767646</v>
      </c>
      <c r="D845" s="32" t="n">
        <f aca="false">INDEX(Surface_Engine!$O$12:$O$72,$A845+1)*IF($A845&lt;$Q$825,INDEX(Surface_Engine!$Y$12:$Y$72,$A845+1),INDEX(Surface_Engine!$Y$12:$Y$72,$Q$825+1))</f>
        <v>0.516587053086931</v>
      </c>
      <c r="E845" s="32" t="n">
        <f aca="false">INDEX(Surface_Engine!$O$12:$O$72,$A845+1)*IF($A845&lt;$Q$825,INDEX(Surface_Engine!$Z$12:$Z$72,$A845+1),INDEX(Surface_Engine!$Z$12:$Z$72,$Q$825+1))</f>
        <v>0.61184218167944</v>
      </c>
      <c r="F845" s="48" t="n">
        <f aca="false">B845*(IF($A845&lt;$Q$825,INDEX(Surface_Engine!$D$12:$D$72,$A845+1)+(Surface_Engine!G244*12)*INDEX(Surface_Engine!$F$12:$F$72,$A845+1)-(Surface_Engine!G244*12),1000*12*INDEX(Surface_Engine!$C$12:$C$72,$A845+1)/(1+Assumptions!$B$10)^12+INDEX(Surface_Engine!$D$12:$D$72,$A845+1)))*INDEX(Surface_Engine!$B$12:$B$72,$A845+1)+F846</f>
        <v>35182.4489991045</v>
      </c>
      <c r="G845" s="48" t="n">
        <f aca="false">C845*(IF($A845&lt;$Q$825,INDEX(Surface_Engine!$D$12:$D$72,$A845+1)+(Surface_Engine!G244*12)*INDEX(Surface_Engine!$F$12:$F$72,$A845+1)-(Surface_Engine!G244*12),1000*12*INDEX(Surface_Engine!$C$12:$C$72,$A845+1)/(1+Assumptions!$B$10)^12+INDEX(Surface_Engine!$D$12:$D$72,$A845+1)))*INDEX(Surface_Engine!$B$12:$B$72,$A845+1)+G846</f>
        <v>43565.515524723</v>
      </c>
      <c r="H845" s="48" t="n">
        <f aca="false">D845*(IF($A845&lt;$Q$825,INDEX(Surface_Engine!$D$12:$D$72,$A845+1)+(Surface_Engine!G244*12)*INDEX(Surface_Engine!$F$12:$F$72,$A845+1)-(Surface_Engine!G244*12),1000*12*INDEX(Surface_Engine!$C$12:$C$72,$A845+1)/(1+Assumptions!$B$10)^12+INDEX(Surface_Engine!$D$12:$D$72,$A845+1)))*INDEX(Surface_Engine!$B$12:$B$72,$A845+1)+H846</f>
        <v>32314.134371067</v>
      </c>
      <c r="I845" s="48" t="n">
        <f aca="false">E845*(IF($A845&lt;$Q$825,INDEX(Surface_Engine!$D$12:$D$72,$A845+1)+(Surface_Engine!G244*12)*INDEX(Surface_Engine!$F$12:$F$72,$A845+1)-(Surface_Engine!G244*12),1000*12*INDEX(Surface_Engine!$C$12:$C$72,$A845+1)/(1+Assumptions!$B$10)^12+INDEX(Surface_Engine!$D$12:$D$72,$A845+1)))*INDEX(Surface_Engine!$B$12:$B$72,$A845+1)+I846</f>
        <v>38272.6403120853</v>
      </c>
      <c r="J845" s="48" t="n">
        <f aca="false">B845*(IF($A845&lt;$Q$825,INDEX(Surface_Engine!$D$12:$D$72,$A845+1)*(1+Assumptions!$B$24)+(Surface_Engine!G244*12)*INDEX(Surface_Engine!$F$12:$F$72,$A845+1)-(Surface_Engine!G244*12),1000*12*INDEX(Surface_Engine!$C$12:$C$72,$A845+1)/(1+Assumptions!$B$10)^12+INDEX(Surface_Engine!$D$12:$D$72,$A845+1)*(1+Assumptions!$B$24)))*INDEX(Surface_Engine!$B$12:$B$72,$A845+1)+J846</f>
        <v>35216.2770839717</v>
      </c>
      <c r="K845" s="12" t="n">
        <f aca="false">SQRT((IF(C845&lt;=0,0,MAX(0,(B845/C845)*G845/INDEX(Surface_Engine!$B$12:$B$72,$A845+1)-F845/INDEX(Surface_Engine!$B$12:$B$72,$A845+1))))^2+(MAX(IF(D845&lt;=0,0,MAX(0,(B845/D845)*H845/INDEX(Surface_Engine!$B$12:$B$72,$A845+1)-F845/INDEX(Surface_Engine!$B$12:$B$72,$A845+1))),IF(E845&lt;=0,0,MAX(0,(B845/E845)*I845/INDEX(Surface_Engine!$B$12:$B$72,$A845+1)-F845/INDEX(Surface_Engine!$B$12:$B$72,$A845+1))),IF($A845&lt;$Q$825,MAX(0,-Assumptions!$B$22*(F845/INDEX(Surface_Engine!$B$12:$B$72,$A845+1))),0)))^2+(MAX(0,J845/INDEX(Surface_Engine!$B$12:$B$72,$A845+1)-(F845/INDEX(Surface_Engine!$B$12:$B$72,$A845+1))))^2+2*Assumptions!$B$26*(IF(C845&lt;=0,0,MAX(0,(B845/C845)*G845/INDEX(Surface_Engine!$B$12:$B$72,$A845+1)-F845/INDEX(Surface_Engine!$B$12:$B$72,$A845+1))))*(MAX(IF(D845&lt;=0,0,MAX(0,(B845/D845)*H845/INDEX(Surface_Engine!$B$12:$B$72,$A845+1)-F845/INDEX(Surface_Engine!$B$12:$B$72,$A845+1))),IF(E845&lt;=0,0,MAX(0,(B845/E845)*I845/INDEX(Surface_Engine!$B$12:$B$72,$A845+1)-F845/INDEX(Surface_Engine!$B$12:$B$72,$A845+1))),IF($A845&lt;$Q$825,MAX(0,-Assumptions!$B$22*(F845/INDEX(Surface_Engine!$B$12:$B$72,$A845+1))),0)))+2*Assumptions!$B$27*(IF(C845&lt;=0,0,MAX(0,(B845/C845)*G845/INDEX(Surface_Engine!$B$12:$B$72,$A845+1)-F845/INDEX(Surface_Engine!$B$12:$B$72,$A845+1))))*(MAX(0,J845/INDEX(Surface_Engine!$B$12:$B$72,$A845+1)-(F845/INDEX(Surface_Engine!$B$12:$B$72,$A845+1))))+2*Assumptions!$B$28*(MAX(IF(D845&lt;=0,0,MAX(0,(B845/D845)*H845/INDEX(Surface_Engine!$B$12:$B$72,$A845+1)-F845/INDEX(Surface_Engine!$B$12:$B$72,$A845+1))),IF(E845&lt;=0,0,MAX(0,(B845/E845)*I845/INDEX(Surface_Engine!$B$12:$B$72,$A845+1)-F845/INDEX(Surface_Engine!$B$12:$B$72,$A845+1))),IF($A845&lt;$Q$825,MAX(0,-Assumptions!$B$22*(F845/INDEX(Surface_Engine!$B$12:$B$72,$A845+1))),0)))*(MAX(0,J845/INDEX(Surface_Engine!$B$12:$B$72,$A845+1)-(F845/INDEX(Surface_Engine!$B$12:$B$72,$A845+1)))))</f>
        <v>8651.87343400743</v>
      </c>
      <c r="L845" s="48" t="n">
        <f aca="false">K845*INDEX(Surface_Engine!$B$12:$B$72,$A845+1)+L846</f>
        <v>34932.2540495941</v>
      </c>
      <c r="M845" s="48" t="n">
        <f aca="false">M844+B844*(IF($A844&lt;$Q$825,(Surface_Engine!G244*12)-(Surface_Engine!G244*12)*INDEX(Surface_Engine!$F$12:$F$72,$A844+1)-INDEX(Surface_Engine!$D$12:$D$72,$A844+1),-(1000*12*INDEX(Surface_Engine!$C$12:$C$72,$A844+1)/(1+Assumptions!$B$10)^12+INDEX(Surface_Engine!$D$12:$D$72,$A844+1))))*INDEX(Surface_Engine!$B$12:$B$72,$A844+1)</f>
        <v>37700.8109474629</v>
      </c>
      <c r="N845" s="12" t="n">
        <f aca="false">IF(B845&lt;=0,0,MAX(0,(K845+Assumptions!$B$29*L845/INDEX(Surface_Engine!$B$12:$B$72,$A845+1)-(M845/INDEX(Surface_Engine!$B$12:$B$72,$A845+1)-(F845/INDEX(Surface_Engine!$B$12:$B$72,$A845+1))))/B845))</f>
        <v>14066.7148053261</v>
      </c>
    </row>
    <row r="846" customFormat="false" ht="15" hidden="false" customHeight="true" outlineLevel="0" collapsed="false">
      <c r="A846" s="1" t="n">
        <v>19</v>
      </c>
      <c r="B846" s="32" t="n">
        <f aca="false">INDEX(Surface_Engine!$O$12:$O$72,$A846+1)*IF($A846&lt;$Q$825,INDEX(Surface_Engine!$E$12:$E$72,$A846+1),INDEX(Surface_Engine!$E$12:$E$72,$Q$825+1))</f>
        <v>0.529340692174848</v>
      </c>
      <c r="C846" s="32" t="n">
        <f aca="false">INDEX(Panel_Reserving!$E$8:$E$68,$A846+1)*IF($A846&lt;$Q$825,INDEX(Surface_Engine!$E$12:$E$72,$A846+1),INDEX(Surface_Engine!$E$12:$E$72,$Q$825+1))</f>
        <v>0.582110915042617</v>
      </c>
      <c r="D846" s="32" t="n">
        <f aca="false">INDEX(Surface_Engine!$O$12:$O$72,$A846+1)*IF($A846&lt;$Q$825,INDEX(Surface_Engine!$Y$12:$Y$72,$A846+1),INDEX(Surface_Engine!$Y$12:$Y$72,$Q$825+1))</f>
        <v>0.486185207159598</v>
      </c>
      <c r="E846" s="32" t="n">
        <f aca="false">INDEX(Surface_Engine!$O$12:$O$72,$A846+1)*IF($A846&lt;$Q$825,INDEX(Surface_Engine!$Z$12:$Z$72,$A846+1),INDEX(Surface_Engine!$Z$12:$Z$72,$Q$825+1))</f>
        <v>0.575834442755075</v>
      </c>
      <c r="F846" s="48" t="n">
        <f aca="false">B846*(IF($A846&lt;$Q$825,INDEX(Surface_Engine!$D$12:$D$72,$A846+1)+(Surface_Engine!G244*12)*INDEX(Surface_Engine!$F$12:$F$72,$A846+1)-(Surface_Engine!G244*12),1000*12*INDEX(Surface_Engine!$C$12:$C$72,$A846+1)/(1+Assumptions!$B$10)^12+INDEX(Surface_Engine!$D$12:$D$72,$A846+1)))*INDEX(Surface_Engine!$B$12:$B$72,$A846+1)+F847</f>
        <v>30803.5275235833</v>
      </c>
      <c r="G846" s="48" t="n">
        <f aca="false">C846*(IF($A846&lt;$Q$825,INDEX(Surface_Engine!$D$12:$D$72,$A846+1)+(Surface_Engine!G244*12)*INDEX(Surface_Engine!$F$12:$F$72,$A846+1)-(Surface_Engine!G244*12),1000*12*INDEX(Surface_Engine!$C$12:$C$72,$A846+1)/(1+Assumptions!$B$10)^12+INDEX(Surface_Engine!$D$12:$D$72,$A846+1)))*INDEX(Surface_Engine!$B$12:$B$72,$A846+1)+G847</f>
        <v>38809.5369138118</v>
      </c>
      <c r="H846" s="48" t="n">
        <f aca="false">D846*(IF($A846&lt;$Q$825,INDEX(Surface_Engine!$D$12:$D$72,$A846+1)+(Surface_Engine!G244*12)*INDEX(Surface_Engine!$F$12:$F$72,$A846+1)-(Surface_Engine!G244*12),1000*12*INDEX(Surface_Engine!$C$12:$C$72,$A846+1)/(1+Assumptions!$B$10)^12+INDEX(Surface_Engine!$D$12:$D$72,$A846+1)))*INDEX(Surface_Engine!$B$12:$B$72,$A846+1)+H847</f>
        <v>28292.2126178671</v>
      </c>
      <c r="I846" s="48" t="n">
        <f aca="false">E846*(IF($A846&lt;$Q$825,INDEX(Surface_Engine!$D$12:$D$72,$A846+1)+(Surface_Engine!G244*12)*INDEX(Surface_Engine!$F$12:$F$72,$A846+1)-(Surface_Engine!G244*12),1000*12*INDEX(Surface_Engine!$C$12:$C$72,$A846+1)/(1+Assumptions!$B$10)^12+INDEX(Surface_Engine!$D$12:$D$72,$A846+1)))*INDEX(Surface_Engine!$B$12:$B$72,$A846+1)+I847</f>
        <v>33509.1036238986</v>
      </c>
      <c r="J846" s="48" t="n">
        <f aca="false">B846*(IF($A846&lt;$Q$825,INDEX(Surface_Engine!$D$12:$D$72,$A846+1)*(1+Assumptions!$B$24)+(Surface_Engine!G244*12)*INDEX(Surface_Engine!$F$12:$F$72,$A846+1)-(Surface_Engine!G244*12),1000*12*INDEX(Surface_Engine!$C$12:$C$72,$A846+1)/(1+Assumptions!$B$10)^12+INDEX(Surface_Engine!$D$12:$D$72,$A846+1)*(1+Assumptions!$B$24)))*INDEX(Surface_Engine!$B$12:$B$72,$A846+1)+J847</f>
        <v>30833.25037743</v>
      </c>
      <c r="K846" s="12" t="n">
        <f aca="false">SQRT((IF(C846&lt;=0,0,MAX(0,(B846/C846)*G846/INDEX(Surface_Engine!$B$12:$B$72,$A846+1)-F846/INDEX(Surface_Engine!$B$12:$B$72,$A846+1))))^2+(MAX(IF(D846&lt;=0,0,MAX(0,(B846/D846)*H846/INDEX(Surface_Engine!$B$12:$B$72,$A846+1)-F846/INDEX(Surface_Engine!$B$12:$B$72,$A846+1))),IF(E846&lt;=0,0,MAX(0,(B846/E846)*I846/INDEX(Surface_Engine!$B$12:$B$72,$A846+1)-F846/INDEX(Surface_Engine!$B$12:$B$72,$A846+1))),IF($A846&lt;$Q$825,MAX(0,-Assumptions!$B$22*(F846/INDEX(Surface_Engine!$B$12:$B$72,$A846+1))),0)))^2+(MAX(0,J846/INDEX(Surface_Engine!$B$12:$B$72,$A846+1)-(F846/INDEX(Surface_Engine!$B$12:$B$72,$A846+1))))^2+2*Assumptions!$B$26*(IF(C846&lt;=0,0,MAX(0,(B846/C846)*G846/INDEX(Surface_Engine!$B$12:$B$72,$A846+1)-F846/INDEX(Surface_Engine!$B$12:$B$72,$A846+1))))*(MAX(IF(D846&lt;=0,0,MAX(0,(B846/D846)*H846/INDEX(Surface_Engine!$B$12:$B$72,$A846+1)-F846/INDEX(Surface_Engine!$B$12:$B$72,$A846+1))),IF(E846&lt;=0,0,MAX(0,(B846/E846)*I846/INDEX(Surface_Engine!$B$12:$B$72,$A846+1)-F846/INDEX(Surface_Engine!$B$12:$B$72,$A846+1))),IF($A846&lt;$Q$825,MAX(0,-Assumptions!$B$22*(F846/INDEX(Surface_Engine!$B$12:$B$72,$A846+1))),0)))+2*Assumptions!$B$27*(IF(C846&lt;=0,0,MAX(0,(B846/C846)*G846/INDEX(Surface_Engine!$B$12:$B$72,$A846+1)-F846/INDEX(Surface_Engine!$B$12:$B$72,$A846+1))))*(MAX(0,J846/INDEX(Surface_Engine!$B$12:$B$72,$A846+1)-(F846/INDEX(Surface_Engine!$B$12:$B$72,$A846+1))))+2*Assumptions!$B$28*(MAX(IF(D846&lt;=0,0,MAX(0,(B846/D846)*H846/INDEX(Surface_Engine!$B$12:$B$72,$A846+1)-F846/INDEX(Surface_Engine!$B$12:$B$72,$A846+1))),IF(E846&lt;=0,0,MAX(0,(B846/E846)*I846/INDEX(Surface_Engine!$B$12:$B$72,$A846+1)-F846/INDEX(Surface_Engine!$B$12:$B$72,$A846+1))),IF($A846&lt;$Q$825,MAX(0,-Assumptions!$B$22*(F846/INDEX(Surface_Engine!$B$12:$B$72,$A846+1))),0)))*(MAX(0,J846/INDEX(Surface_Engine!$B$12:$B$72,$A846+1)-(F846/INDEX(Surface_Engine!$B$12:$B$72,$A846+1)))))</f>
        <v>8130.47901340881</v>
      </c>
      <c r="L846" s="48" t="n">
        <f aca="false">K846*INDEX(Surface_Engine!$B$12:$B$72,$A846+1)+L847</f>
        <v>29994.5248023271</v>
      </c>
      <c r="M846" s="48" t="n">
        <f aca="false">M845+B845*(IF($A845&lt;$Q$825,(Surface_Engine!G244*12)-(Surface_Engine!G244*12)*INDEX(Surface_Engine!$F$12:$F$72,$A845+1)-INDEX(Surface_Engine!$D$12:$D$72,$A845+1),-(1000*12*INDEX(Surface_Engine!$C$12:$C$72,$A845+1)/(1+Assumptions!$B$10)^12+INDEX(Surface_Engine!$D$12:$D$72,$A845+1))))*INDEX(Surface_Engine!$B$12:$B$72,$A845+1)</f>
        <v>33321.8894719417</v>
      </c>
      <c r="N846" s="12" t="n">
        <f aca="false">IF(B846&lt;=0,0,MAX(0,(K846+Assumptions!$B$29*L846/INDEX(Surface_Engine!$B$12:$B$72,$A846+1)-(M846/INDEX(Surface_Engine!$B$12:$B$72,$A846+1)-(F846/INDEX(Surface_Engine!$B$12:$B$72,$A846+1))))/B846))</f>
        <v>12904.0097683623</v>
      </c>
    </row>
    <row r="847" customFormat="false" ht="15" hidden="false" customHeight="true" outlineLevel="0" collapsed="false">
      <c r="A847" s="1" t="n">
        <v>20</v>
      </c>
      <c r="B847" s="32" t="n">
        <f aca="false">INDEX(Surface_Engine!$O$12:$O$72,$A847+1)*IF($A847&lt;$Q$825,INDEX(Surface_Engine!$E$12:$E$72,$A847+1),INDEX(Surface_Engine!$E$12:$E$72,$Q$825+1))</f>
        <v>0.494075780816082</v>
      </c>
      <c r="C847" s="32" t="n">
        <f aca="false">INDEX(Panel_Reserving!$E$8:$E$68,$A847+1)*IF($A847&lt;$Q$825,INDEX(Surface_Engine!$E$12:$E$72,$A847+1),INDEX(Surface_Engine!$E$12:$E$72,$Q$825+1))</f>
        <v>0.551086525460012</v>
      </c>
      <c r="D847" s="32" t="n">
        <f aca="false">INDEX(Surface_Engine!$O$12:$O$72,$A847+1)*IF($A847&lt;$Q$825,INDEX(Surface_Engine!$Y$12:$Y$72,$A847+1),INDEX(Surface_Engine!$Y$12:$Y$72,$Q$825+1))</f>
        <v>0.453795333326201</v>
      </c>
      <c r="E847" s="32" t="n">
        <f aca="false">INDEX(Surface_Engine!$O$12:$O$72,$A847+1)*IF($A847&lt;$Q$825,INDEX(Surface_Engine!$Z$12:$Z$72,$A847+1),INDEX(Surface_Engine!$Z$12:$Z$72,$Q$825+1))</f>
        <v>0.537472097140477</v>
      </c>
      <c r="F847" s="48" t="n">
        <f aca="false">B847*(IF($A847&lt;$Q$825,INDEX(Surface_Engine!$D$12:$D$72,$A847+1)+(Surface_Engine!G244*12)*INDEX(Surface_Engine!$F$12:$F$72,$A847+1)-(Surface_Engine!G244*12),1000*12*INDEX(Surface_Engine!$C$12:$C$72,$A847+1)/(1+Assumptions!$B$10)^12+INDEX(Surface_Engine!$D$12:$D$72,$A847+1)))*INDEX(Surface_Engine!$B$12:$B$72,$A847+1)+F848</f>
        <v>26730.9141990518</v>
      </c>
      <c r="G847" s="48" t="n">
        <f aca="false">C847*(IF($A847&lt;$Q$825,INDEX(Surface_Engine!$D$12:$D$72,$A847+1)+(Surface_Engine!G244*12)*INDEX(Surface_Engine!$F$12:$F$72,$A847+1)-(Surface_Engine!G244*12),1000*12*INDEX(Surface_Engine!$C$12:$C$72,$A847+1)/(1+Assumptions!$B$10)^12+INDEX(Surface_Engine!$D$12:$D$72,$A847+1)))*INDEX(Surface_Engine!$B$12:$B$72,$A847+1)+G848</f>
        <v>34330.922849177</v>
      </c>
      <c r="H847" s="48" t="n">
        <f aca="false">D847*(IF($A847&lt;$Q$825,INDEX(Surface_Engine!$D$12:$D$72,$A847+1)+(Surface_Engine!G244*12)*INDEX(Surface_Engine!$F$12:$F$72,$A847+1)-(Surface_Engine!G244*12),1000*12*INDEX(Surface_Engine!$C$12:$C$72,$A847+1)/(1+Assumptions!$B$10)^12+INDEX(Surface_Engine!$D$12:$D$72,$A847+1)))*INDEX(Surface_Engine!$B$12:$B$72,$A847+1)+H848</f>
        <v>24551.6266736181</v>
      </c>
      <c r="I847" s="48" t="n">
        <f aca="false">E847*(IF($A847&lt;$Q$825,INDEX(Surface_Engine!$D$12:$D$72,$A847+1)+(Surface_Engine!G244*12)*INDEX(Surface_Engine!$F$12:$F$72,$A847+1)-(Surface_Engine!G244*12),1000*12*INDEX(Surface_Engine!$C$12:$C$72,$A847+1)/(1+Assumptions!$B$10)^12+INDEX(Surface_Engine!$D$12:$D$72,$A847+1)))*INDEX(Surface_Engine!$B$12:$B$72,$A847+1)+I848</f>
        <v>29078.7791486477</v>
      </c>
      <c r="J847" s="48" t="n">
        <f aca="false">B847*(IF($A847&lt;$Q$825,INDEX(Surface_Engine!$D$12:$D$72,$A847+1)*(1+Assumptions!$B$24)+(Surface_Engine!G244*12)*INDEX(Surface_Engine!$F$12:$F$72,$A847+1)-(Surface_Engine!G244*12),1000*12*INDEX(Surface_Engine!$C$12:$C$72,$A847+1)/(1+Assumptions!$B$10)^12+INDEX(Surface_Engine!$D$12:$D$72,$A847+1)*(1+Assumptions!$B$24)))*INDEX(Surface_Engine!$B$12:$B$72,$A847+1)+J848</f>
        <v>26756.8004455159</v>
      </c>
      <c r="K847" s="12" t="n">
        <f aca="false">SQRT((IF(C847&lt;=0,0,MAX(0,(B847/C847)*G847/INDEX(Surface_Engine!$B$12:$B$72,$A847+1)-F847/INDEX(Surface_Engine!$B$12:$B$72,$A847+1))))^2+(MAX(IF(D847&lt;=0,0,MAX(0,(B847/D847)*H847/INDEX(Surface_Engine!$B$12:$B$72,$A847+1)-F847/INDEX(Surface_Engine!$B$12:$B$72,$A847+1))),IF(E847&lt;=0,0,MAX(0,(B847/E847)*I847/INDEX(Surface_Engine!$B$12:$B$72,$A847+1)-F847/INDEX(Surface_Engine!$B$12:$B$72,$A847+1))),IF($A847&lt;$Q$825,MAX(0,-Assumptions!$B$22*(F847/INDEX(Surface_Engine!$B$12:$B$72,$A847+1))),0)))^2+(MAX(0,J847/INDEX(Surface_Engine!$B$12:$B$72,$A847+1)-(F847/INDEX(Surface_Engine!$B$12:$B$72,$A847+1))))^2+2*Assumptions!$B$26*(IF(C847&lt;=0,0,MAX(0,(B847/C847)*G847/INDEX(Surface_Engine!$B$12:$B$72,$A847+1)-F847/INDEX(Surface_Engine!$B$12:$B$72,$A847+1))))*(MAX(IF(D847&lt;=0,0,MAX(0,(B847/D847)*H847/INDEX(Surface_Engine!$B$12:$B$72,$A847+1)-F847/INDEX(Surface_Engine!$B$12:$B$72,$A847+1))),IF(E847&lt;=0,0,MAX(0,(B847/E847)*I847/INDEX(Surface_Engine!$B$12:$B$72,$A847+1)-F847/INDEX(Surface_Engine!$B$12:$B$72,$A847+1))),IF($A847&lt;$Q$825,MAX(0,-Assumptions!$B$22*(F847/INDEX(Surface_Engine!$B$12:$B$72,$A847+1))),0)))+2*Assumptions!$B$27*(IF(C847&lt;=0,0,MAX(0,(B847/C847)*G847/INDEX(Surface_Engine!$B$12:$B$72,$A847+1)-F847/INDEX(Surface_Engine!$B$12:$B$72,$A847+1))))*(MAX(0,J847/INDEX(Surface_Engine!$B$12:$B$72,$A847+1)-(F847/INDEX(Surface_Engine!$B$12:$B$72,$A847+1))))+2*Assumptions!$B$28*(MAX(IF(D847&lt;=0,0,MAX(0,(B847/D847)*H847/INDEX(Surface_Engine!$B$12:$B$72,$A847+1)-F847/INDEX(Surface_Engine!$B$12:$B$72,$A847+1))),IF(E847&lt;=0,0,MAX(0,(B847/E847)*I847/INDEX(Surface_Engine!$B$12:$B$72,$A847+1)-F847/INDEX(Surface_Engine!$B$12:$B$72,$A847+1))),IF($A847&lt;$Q$825,MAX(0,-Assumptions!$B$22*(F847/INDEX(Surface_Engine!$B$12:$B$72,$A847+1))),0)))*(MAX(0,J847/INDEX(Surface_Engine!$B$12:$B$72,$A847+1)-(F847/INDEX(Surface_Engine!$B$12:$B$72,$A847+1)))))</f>
        <v>7567.84431840491</v>
      </c>
      <c r="L847" s="48" t="n">
        <f aca="false">K847*INDEX(Surface_Engine!$B$12:$B$72,$A847+1)+L848</f>
        <v>25499.2016655044</v>
      </c>
      <c r="M847" s="48" t="n">
        <f aca="false">M846+B846*(IF($A846&lt;$Q$825,(Surface_Engine!G244*12)-(Surface_Engine!G244*12)*INDEX(Surface_Engine!$F$12:$F$72,$A846+1)-INDEX(Surface_Engine!$D$12:$D$72,$A846+1),-(1000*12*INDEX(Surface_Engine!$C$12:$C$72,$A846+1)/(1+Assumptions!$B$10)^12+INDEX(Surface_Engine!$D$12:$D$72,$A846+1))))*INDEX(Surface_Engine!$B$12:$B$72,$A846+1)</f>
        <v>29249.2761474102</v>
      </c>
      <c r="N847" s="12" t="n">
        <f aca="false">IF(B847&lt;=0,0,MAX(0,(K847+Assumptions!$B$29*L847/INDEX(Surface_Engine!$B$12:$B$72,$A847+1)-(M847/INDEX(Surface_Engine!$B$12:$B$72,$A847+1)-(F847/INDEX(Surface_Engine!$B$12:$B$72,$A847+1))))/B847))</f>
        <v>11583.5720948174</v>
      </c>
    </row>
    <row r="848" customFormat="false" ht="15" hidden="false" customHeight="true" outlineLevel="0" collapsed="false">
      <c r="A848" s="1" t="n">
        <v>21</v>
      </c>
      <c r="B848" s="32" t="n">
        <f aca="false">INDEX(Surface_Engine!$O$12:$O$72,$A848+1)*IF($A848&lt;$Q$825,INDEX(Surface_Engine!$E$12:$E$72,$A848+1),INDEX(Surface_Engine!$E$12:$E$72,$Q$825+1))</f>
        <v>0.456834878999579</v>
      </c>
      <c r="C848" s="32" t="n">
        <f aca="false">INDEX(Panel_Reserving!$E$8:$E$68,$A848+1)*IF($A848&lt;$Q$825,INDEX(Surface_Engine!$E$12:$E$72,$A848+1),INDEX(Surface_Engine!$E$12:$E$72,$Q$825+1))</f>
        <v>0.517856061658437</v>
      </c>
      <c r="D848" s="32" t="n">
        <f aca="false">INDEX(Surface_Engine!$O$12:$O$72,$A848+1)*IF($A848&lt;$Q$825,INDEX(Surface_Engine!$Y$12:$Y$72,$A848+1),INDEX(Surface_Engine!$Y$12:$Y$72,$Q$825+1))</f>
        <v>0.419590565334387</v>
      </c>
      <c r="E848" s="32" t="n">
        <f aca="false">INDEX(Surface_Engine!$O$12:$O$72,$A848+1)*IF($A848&lt;$Q$825,INDEX(Surface_Engine!$Z$12:$Z$72,$A848+1),INDEX(Surface_Engine!$Z$12:$Z$72,$Q$825+1))</f>
        <v>0.496960203265295</v>
      </c>
      <c r="F848" s="48" t="n">
        <f aca="false">B848*(IF($A848&lt;$Q$825,INDEX(Surface_Engine!$D$12:$D$72,$A848+1)+(Surface_Engine!G244*12)*INDEX(Surface_Engine!$F$12:$F$72,$A848+1)-(Surface_Engine!G244*12),1000*12*INDEX(Surface_Engine!$C$12:$C$72,$A848+1)/(1+Assumptions!$B$10)^12+INDEX(Surface_Engine!$D$12:$D$72,$A848+1)))*INDEX(Surface_Engine!$B$12:$B$72,$A848+1)+F849</f>
        <v>22973.2108974654</v>
      </c>
      <c r="G848" s="48" t="n">
        <f aca="false">C848*(IF($A848&lt;$Q$825,INDEX(Surface_Engine!$D$12:$D$72,$A848+1)+(Surface_Engine!G244*12)*INDEX(Surface_Engine!$F$12:$F$72,$A848+1)-(Surface_Engine!G244*12),1000*12*INDEX(Surface_Engine!$C$12:$C$72,$A848+1)/(1+Assumptions!$B$10)^12+INDEX(Surface_Engine!$D$12:$D$72,$A848+1)))*INDEX(Surface_Engine!$B$12:$B$72,$A848+1)+G849</f>
        <v>30139.6231810159</v>
      </c>
      <c r="H848" s="48" t="n">
        <f aca="false">D848*(IF($A848&lt;$Q$825,INDEX(Surface_Engine!$D$12:$D$72,$A848+1)+(Surface_Engine!G244*12)*INDEX(Surface_Engine!$F$12:$F$72,$A848+1)-(Surface_Engine!G244*12),1000*12*INDEX(Surface_Engine!$C$12:$C$72,$A848+1)/(1+Assumptions!$B$10)^12+INDEX(Surface_Engine!$D$12:$D$72,$A848+1)))*INDEX(Surface_Engine!$B$12:$B$72,$A848+1)+H849</f>
        <v>21100.2771266563</v>
      </c>
      <c r="I848" s="48" t="n">
        <f aca="false">E848*(IF($A848&lt;$Q$825,INDEX(Surface_Engine!$D$12:$D$72,$A848+1)+(Surface_Engine!G244*12)*INDEX(Surface_Engine!$F$12:$F$72,$A848+1)-(Surface_Engine!G244*12),1000*12*INDEX(Surface_Engine!$C$12:$C$72,$A848+1)/(1+Assumptions!$B$10)^12+INDEX(Surface_Engine!$D$12:$D$72,$A848+1)))*INDEX(Surface_Engine!$B$12:$B$72,$A848+1)+I849</f>
        <v>24991.0242892628</v>
      </c>
      <c r="J848" s="48" t="n">
        <f aca="false">B848*(IF($A848&lt;$Q$825,INDEX(Surface_Engine!$D$12:$D$72,$A848+1)*(1+Assumptions!$B$24)+(Surface_Engine!G244*12)*INDEX(Surface_Engine!$F$12:$F$72,$A848+1)-(Surface_Engine!G244*12),1000*12*INDEX(Surface_Engine!$C$12:$C$72,$A848+1)/(1+Assumptions!$B$10)^12+INDEX(Surface_Engine!$D$12:$D$72,$A848+1)*(1+Assumptions!$B$24)))*INDEX(Surface_Engine!$B$12:$B$72,$A848+1)+J849</f>
        <v>22995.5400092757</v>
      </c>
      <c r="K848" s="12" t="n">
        <f aca="false">SQRT((IF(C848&lt;=0,0,MAX(0,(B848/C848)*G848/INDEX(Surface_Engine!$B$12:$B$72,$A848+1)-F848/INDEX(Surface_Engine!$B$12:$B$72,$A848+1))))^2+(MAX(IF(D848&lt;=0,0,MAX(0,(B848/D848)*H848/INDEX(Surface_Engine!$B$12:$B$72,$A848+1)-F848/INDEX(Surface_Engine!$B$12:$B$72,$A848+1))),IF(E848&lt;=0,0,MAX(0,(B848/E848)*I848/INDEX(Surface_Engine!$B$12:$B$72,$A848+1)-F848/INDEX(Surface_Engine!$B$12:$B$72,$A848+1))),IF($A848&lt;$Q$825,MAX(0,-Assumptions!$B$22*(F848/INDEX(Surface_Engine!$B$12:$B$72,$A848+1))),0)))^2+(MAX(0,J848/INDEX(Surface_Engine!$B$12:$B$72,$A848+1)-(F848/INDEX(Surface_Engine!$B$12:$B$72,$A848+1))))^2+2*Assumptions!$B$26*(IF(C848&lt;=0,0,MAX(0,(B848/C848)*G848/INDEX(Surface_Engine!$B$12:$B$72,$A848+1)-F848/INDEX(Surface_Engine!$B$12:$B$72,$A848+1))))*(MAX(IF(D848&lt;=0,0,MAX(0,(B848/D848)*H848/INDEX(Surface_Engine!$B$12:$B$72,$A848+1)-F848/INDEX(Surface_Engine!$B$12:$B$72,$A848+1))),IF(E848&lt;=0,0,MAX(0,(B848/E848)*I848/INDEX(Surface_Engine!$B$12:$B$72,$A848+1)-F848/INDEX(Surface_Engine!$B$12:$B$72,$A848+1))),IF($A848&lt;$Q$825,MAX(0,-Assumptions!$B$22*(F848/INDEX(Surface_Engine!$B$12:$B$72,$A848+1))),0)))+2*Assumptions!$B$27*(IF(C848&lt;=0,0,MAX(0,(B848/C848)*G848/INDEX(Surface_Engine!$B$12:$B$72,$A848+1)-F848/INDEX(Surface_Engine!$B$12:$B$72,$A848+1))))*(MAX(0,J848/INDEX(Surface_Engine!$B$12:$B$72,$A848+1)-(F848/INDEX(Surface_Engine!$B$12:$B$72,$A848+1))))+2*Assumptions!$B$28*(MAX(IF(D848&lt;=0,0,MAX(0,(B848/D848)*H848/INDEX(Surface_Engine!$B$12:$B$72,$A848+1)-F848/INDEX(Surface_Engine!$B$12:$B$72,$A848+1))),IF(E848&lt;=0,0,MAX(0,(B848/E848)*I848/INDEX(Surface_Engine!$B$12:$B$72,$A848+1)-F848/INDEX(Surface_Engine!$B$12:$B$72,$A848+1))),IF($A848&lt;$Q$825,MAX(0,-Assumptions!$B$22*(F848/INDEX(Surface_Engine!$B$12:$B$72,$A848+1))),0)))*(MAX(0,J848/INDEX(Surface_Engine!$B$12:$B$72,$A848+1)-(F848/INDEX(Surface_Engine!$B$12:$B$72,$A848+1)))))</f>
        <v>6972.68557761721</v>
      </c>
      <c r="L848" s="48" t="n">
        <f aca="false">K848*INDEX(Surface_Engine!$B$12:$B$72,$A848+1)+L849</f>
        <v>21444.2305118863</v>
      </c>
      <c r="M848" s="48" t="n">
        <f aca="false">M847+B847*(IF($A847&lt;$Q$825,(Surface_Engine!G244*12)-(Surface_Engine!G244*12)*INDEX(Surface_Engine!$F$12:$F$72,$A847+1)-INDEX(Surface_Engine!$D$12:$D$72,$A847+1),-(1000*12*INDEX(Surface_Engine!$C$12:$C$72,$A847+1)/(1+Assumptions!$B$10)^12+INDEX(Surface_Engine!$D$12:$D$72,$A847+1))))*INDEX(Surface_Engine!$B$12:$B$72,$A847+1)</f>
        <v>25491.5728458238</v>
      </c>
      <c r="N848" s="12" t="n">
        <f aca="false">IF(B848&lt;=0,0,MAX(0,(K848+Assumptions!$B$29*L848/INDEX(Surface_Engine!$B$12:$B$72,$A848+1)-(M848/INDEX(Surface_Engine!$B$12:$B$72,$A848+1)-(F848/INDEX(Surface_Engine!$B$12:$B$72,$A848+1))))/B848))</f>
        <v>10070.603156279</v>
      </c>
    </row>
    <row r="849" customFormat="false" ht="15" hidden="false" customHeight="true" outlineLevel="0" collapsed="false">
      <c r="A849" s="1" t="n">
        <v>22</v>
      </c>
      <c r="B849" s="32" t="n">
        <f aca="false">INDEX(Surface_Engine!$O$12:$O$72,$A849+1)*IF($A849&lt;$Q$825,INDEX(Surface_Engine!$E$12:$E$72,$A849+1),INDEX(Surface_Engine!$E$12:$E$72,$Q$825+1))</f>
        <v>0.417912068987115</v>
      </c>
      <c r="C849" s="32" t="n">
        <f aca="false">INDEX(Panel_Reserving!$E$8:$E$68,$A849+1)*IF($A849&lt;$Q$825,INDEX(Surface_Engine!$E$12:$E$72,$A849+1),INDEX(Surface_Engine!$E$12:$E$72,$Q$825+1))</f>
        <v>0.482558558725431</v>
      </c>
      <c r="D849" s="32" t="n">
        <f aca="false">INDEX(Surface_Engine!$O$12:$O$72,$A849+1)*IF($A849&lt;$Q$825,INDEX(Surface_Engine!$Y$12:$Y$72,$A849+1),INDEX(Surface_Engine!$Y$12:$Y$72,$Q$825+1))</f>
        <v>0.383841009842264</v>
      </c>
      <c r="E849" s="32" t="n">
        <f aca="false">INDEX(Surface_Engine!$O$12:$O$72,$A849+1)*IF($A849&lt;$Q$825,INDEX(Surface_Engine!$Z$12:$Z$72,$A849+1),INDEX(Surface_Engine!$Z$12:$Z$72,$Q$825+1))</f>
        <v>0.454618673612809</v>
      </c>
      <c r="F849" s="48" t="n">
        <f aca="false">B849*(IF($A849&lt;$Q$825,INDEX(Surface_Engine!$D$12:$D$72,$A849+1)+(Surface_Engine!G244*12)*INDEX(Surface_Engine!$F$12:$F$72,$A849+1)-(Surface_Engine!G244*12),1000*12*INDEX(Surface_Engine!$C$12:$C$72,$A849+1)/(1+Assumptions!$B$10)^12+INDEX(Surface_Engine!$D$12:$D$72,$A849+1)))*INDEX(Surface_Engine!$B$12:$B$72,$A849+1)+F850</f>
        <v>19538.6527124271</v>
      </c>
      <c r="G849" s="48" t="n">
        <f aca="false">C849*(IF($A849&lt;$Q$825,INDEX(Surface_Engine!$D$12:$D$72,$A849+1)+(Surface_Engine!G244*12)*INDEX(Surface_Engine!$F$12:$F$72,$A849+1)-(Surface_Engine!G244*12),1000*12*INDEX(Surface_Engine!$C$12:$C$72,$A849+1)/(1+Assumptions!$B$10)^12+INDEX(Surface_Engine!$D$12:$D$72,$A849+1)))*INDEX(Surface_Engine!$B$12:$B$72,$A849+1)+G850</f>
        <v>26246.2979184273</v>
      </c>
      <c r="H849" s="48" t="n">
        <f aca="false">D849*(IF($A849&lt;$Q$825,INDEX(Surface_Engine!$D$12:$D$72,$A849+1)+(Surface_Engine!G244*12)*INDEX(Surface_Engine!$F$12:$F$72,$A849+1)-(Surface_Engine!G244*12),1000*12*INDEX(Surface_Engine!$C$12:$C$72,$A849+1)/(1+Assumptions!$B$10)^12+INDEX(Surface_Engine!$D$12:$D$72,$A849+1)))*INDEX(Surface_Engine!$B$12:$B$72,$A849+1)+H850</f>
        <v>17945.7276892536</v>
      </c>
      <c r="I849" s="48" t="n">
        <f aca="false">E849*(IF($A849&lt;$Q$825,INDEX(Surface_Engine!$D$12:$D$72,$A849+1)+(Surface_Engine!G244*12)*INDEX(Surface_Engine!$F$12:$F$72,$A849+1)-(Surface_Engine!G244*12),1000*12*INDEX(Surface_Engine!$C$12:$C$72,$A849+1)/(1+Assumptions!$B$10)^12+INDEX(Surface_Engine!$D$12:$D$72,$A849+1)))*INDEX(Surface_Engine!$B$12:$B$72,$A849+1)+I850</f>
        <v>21254.7974549612</v>
      </c>
      <c r="J849" s="48" t="n">
        <f aca="false">B849*(IF($A849&lt;$Q$825,INDEX(Surface_Engine!$D$12:$D$72,$A849+1)*(1+Assumptions!$B$24)+(Surface_Engine!G244*12)*INDEX(Surface_Engine!$F$12:$F$72,$A849+1)-(Surface_Engine!G244*12),1000*12*INDEX(Surface_Engine!$C$12:$C$72,$A849+1)/(1+Assumptions!$B$10)^12+INDEX(Surface_Engine!$D$12:$D$72,$A849+1)*(1+Assumptions!$B$24)))*INDEX(Surface_Engine!$B$12:$B$72,$A849+1)+J850</f>
        <v>19557.7148008849</v>
      </c>
      <c r="K849" s="12" t="n">
        <f aca="false">SQRT((IF(C849&lt;=0,0,MAX(0,(B849/C849)*G849/INDEX(Surface_Engine!$B$12:$B$72,$A849+1)-F849/INDEX(Surface_Engine!$B$12:$B$72,$A849+1))))^2+(MAX(IF(D849&lt;=0,0,MAX(0,(B849/D849)*H849/INDEX(Surface_Engine!$B$12:$B$72,$A849+1)-F849/INDEX(Surface_Engine!$B$12:$B$72,$A849+1))),IF(E849&lt;=0,0,MAX(0,(B849/E849)*I849/INDEX(Surface_Engine!$B$12:$B$72,$A849+1)-F849/INDEX(Surface_Engine!$B$12:$B$72,$A849+1))),IF($A849&lt;$Q$825,MAX(0,-Assumptions!$B$22*(F849/INDEX(Surface_Engine!$B$12:$B$72,$A849+1))),0)))^2+(MAX(0,J849/INDEX(Surface_Engine!$B$12:$B$72,$A849+1)-(F849/INDEX(Surface_Engine!$B$12:$B$72,$A849+1))))^2+2*Assumptions!$B$26*(IF(C849&lt;=0,0,MAX(0,(B849/C849)*G849/INDEX(Surface_Engine!$B$12:$B$72,$A849+1)-F849/INDEX(Surface_Engine!$B$12:$B$72,$A849+1))))*(MAX(IF(D849&lt;=0,0,MAX(0,(B849/D849)*H849/INDEX(Surface_Engine!$B$12:$B$72,$A849+1)-F849/INDEX(Surface_Engine!$B$12:$B$72,$A849+1))),IF(E849&lt;=0,0,MAX(0,(B849/E849)*I849/INDEX(Surface_Engine!$B$12:$B$72,$A849+1)-F849/INDEX(Surface_Engine!$B$12:$B$72,$A849+1))),IF($A849&lt;$Q$825,MAX(0,-Assumptions!$B$22*(F849/INDEX(Surface_Engine!$B$12:$B$72,$A849+1))),0)))+2*Assumptions!$B$27*(IF(C849&lt;=0,0,MAX(0,(B849/C849)*G849/INDEX(Surface_Engine!$B$12:$B$72,$A849+1)-F849/INDEX(Surface_Engine!$B$12:$B$72,$A849+1))))*(MAX(0,J849/INDEX(Surface_Engine!$B$12:$B$72,$A849+1)-(F849/INDEX(Surface_Engine!$B$12:$B$72,$A849+1))))+2*Assumptions!$B$28*(MAX(IF(D849&lt;=0,0,MAX(0,(B849/D849)*H849/INDEX(Surface_Engine!$B$12:$B$72,$A849+1)-F849/INDEX(Surface_Engine!$B$12:$B$72,$A849+1))),IF(E849&lt;=0,0,MAX(0,(B849/E849)*I849/INDEX(Surface_Engine!$B$12:$B$72,$A849+1)-F849/INDEX(Surface_Engine!$B$12:$B$72,$A849+1))),IF($A849&lt;$Q$825,MAX(0,-Assumptions!$B$22*(F849/INDEX(Surface_Engine!$B$12:$B$72,$A849+1))),0)))*(MAX(0,J849/INDEX(Surface_Engine!$B$12:$B$72,$A849+1)-(F849/INDEX(Surface_Engine!$B$12:$B$72,$A849+1)))))</f>
        <v>6352.17385651614</v>
      </c>
      <c r="L849" s="48" t="n">
        <f aca="false">K849*INDEX(Surface_Engine!$B$12:$B$72,$A849+1)+L850</f>
        <v>17823.6514090341</v>
      </c>
      <c r="M849" s="48" t="n">
        <f aca="false">M848+B848*(IF($A848&lt;$Q$825,(Surface_Engine!G244*12)-(Surface_Engine!G244*12)*INDEX(Surface_Engine!$F$12:$F$72,$A848+1)-INDEX(Surface_Engine!$D$12:$D$72,$A848+1),-(1000*12*INDEX(Surface_Engine!$C$12:$C$72,$A848+1)/(1+Assumptions!$B$10)^12+INDEX(Surface_Engine!$D$12:$D$72,$A848+1))))*INDEX(Surface_Engine!$B$12:$B$72,$A848+1)</f>
        <v>22057.0146607855</v>
      </c>
      <c r="N849" s="12" t="n">
        <f aca="false">IF(B849&lt;=0,0,MAX(0,(K849+Assumptions!$B$29*L849/INDEX(Surface_Engine!$B$12:$B$72,$A849+1)-(M849/INDEX(Surface_Engine!$B$12:$B$72,$A849+1)-(F849/INDEX(Surface_Engine!$B$12:$B$72,$A849+1))))/B849))</f>
        <v>8309.54438341254</v>
      </c>
    </row>
    <row r="850" customFormat="false" ht="15" hidden="false" customHeight="true" outlineLevel="0" collapsed="false">
      <c r="A850" s="1" t="n">
        <v>23</v>
      </c>
      <c r="B850" s="32" t="n">
        <f aca="false">INDEX(Surface_Engine!$O$12:$O$72,$A850+1)*IF($A850&lt;$Q$825,INDEX(Surface_Engine!$E$12:$E$72,$A850+1),INDEX(Surface_Engine!$E$12:$E$72,$Q$825+1))</f>
        <v>0.376433861377077</v>
      </c>
      <c r="C850" s="32" t="n">
        <f aca="false">INDEX(Panel_Reserving!$E$8:$E$68,$A850+1)*IF($A850&lt;$Q$825,INDEX(Surface_Engine!$E$12:$E$72,$A850+1),INDEX(Surface_Engine!$E$12:$E$72,$Q$825+1))</f>
        <v>0.444243007549652</v>
      </c>
      <c r="D850" s="32" t="n">
        <f aca="false">INDEX(Surface_Engine!$O$12:$O$72,$A850+1)*IF($A850&lt;$Q$825,INDEX(Surface_Engine!$Y$12:$Y$72,$A850+1),INDEX(Surface_Engine!$Y$12:$Y$72,$Q$825+1))</f>
        <v>0.345744390297221</v>
      </c>
      <c r="E850" s="32" t="n">
        <f aca="false">INDEX(Surface_Engine!$O$12:$O$72,$A850+1)*IF($A850&lt;$Q$825,INDEX(Surface_Engine!$Z$12:$Z$72,$A850+1),INDEX(Surface_Engine!$Z$12:$Z$72,$Q$825+1))</f>
        <v>0.409497297306987</v>
      </c>
      <c r="F850" s="48" t="n">
        <f aca="false">B850*(IF($A850&lt;$Q$825,INDEX(Surface_Engine!$D$12:$D$72,$A850+1)+(Surface_Engine!G244*12)*INDEX(Surface_Engine!$F$12:$F$72,$A850+1)-(Surface_Engine!G244*12),1000*12*INDEX(Surface_Engine!$C$12:$C$72,$A850+1)/(1+Assumptions!$B$10)^12+INDEX(Surface_Engine!$D$12:$D$72,$A850+1)))*INDEX(Surface_Engine!$B$12:$B$72,$A850+1)+F851</f>
        <v>16432.8710625527</v>
      </c>
      <c r="G850" s="48" t="n">
        <f aca="false">C850*(IF($A850&lt;$Q$825,INDEX(Surface_Engine!$D$12:$D$72,$A850+1)+(Surface_Engine!G244*12)*INDEX(Surface_Engine!$F$12:$F$72,$A850+1)-(Surface_Engine!G244*12),1000*12*INDEX(Surface_Engine!$C$12:$C$72,$A850+1)/(1+Assumptions!$B$10)^12+INDEX(Surface_Engine!$D$12:$D$72,$A850+1)))*INDEX(Surface_Engine!$B$12:$B$72,$A850+1)+G851</f>
        <v>22660.0853443044</v>
      </c>
      <c r="H850" s="48" t="n">
        <f aca="false">D850*(IF($A850&lt;$Q$825,INDEX(Surface_Engine!$D$12:$D$72,$A850+1)+(Surface_Engine!G244*12)*INDEX(Surface_Engine!$F$12:$F$72,$A850+1)-(Surface_Engine!G244*12),1000*12*INDEX(Surface_Engine!$C$12:$C$72,$A850+1)/(1+Assumptions!$B$10)^12+INDEX(Surface_Engine!$D$12:$D$72,$A850+1)))*INDEX(Surface_Engine!$B$12:$B$72,$A850+1)+H851</f>
        <v>15093.1506681431</v>
      </c>
      <c r="I850" s="48" t="n">
        <f aca="false">E850*(IF($A850&lt;$Q$825,INDEX(Surface_Engine!$D$12:$D$72,$A850+1)+(Surface_Engine!G244*12)*INDEX(Surface_Engine!$F$12:$F$72,$A850+1)-(Surface_Engine!G244*12),1000*12*INDEX(Surface_Engine!$C$12:$C$72,$A850+1)/(1+Assumptions!$B$10)^12+INDEX(Surface_Engine!$D$12:$D$72,$A850+1)))*INDEX(Surface_Engine!$B$12:$B$72,$A850+1)+I851</f>
        <v>17876.2246905541</v>
      </c>
      <c r="J850" s="48" t="n">
        <f aca="false">B850*(IF($A850&lt;$Q$825,INDEX(Surface_Engine!$D$12:$D$72,$A850+1)*(1+Assumptions!$B$24)+(Surface_Engine!G244*12)*INDEX(Surface_Engine!$F$12:$F$72,$A850+1)-(Surface_Engine!G244*12),1000*12*INDEX(Surface_Engine!$C$12:$C$72,$A850+1)/(1+Assumptions!$B$10)^12+INDEX(Surface_Engine!$D$12:$D$72,$A850+1)*(1+Assumptions!$B$24)))*INDEX(Surface_Engine!$B$12:$B$72,$A850+1)+J851</f>
        <v>16448.9645233899</v>
      </c>
      <c r="K850" s="12" t="n">
        <f aca="false">SQRT((IF(C850&lt;=0,0,MAX(0,(B850/C850)*G850/INDEX(Surface_Engine!$B$12:$B$72,$A850+1)-F850/INDEX(Surface_Engine!$B$12:$B$72,$A850+1))))^2+(MAX(IF(D850&lt;=0,0,MAX(0,(B850/D850)*H850/INDEX(Surface_Engine!$B$12:$B$72,$A850+1)-F850/INDEX(Surface_Engine!$B$12:$B$72,$A850+1))),IF(E850&lt;=0,0,MAX(0,(B850/E850)*I850/INDEX(Surface_Engine!$B$12:$B$72,$A850+1)-F850/INDEX(Surface_Engine!$B$12:$B$72,$A850+1))),IF($A850&lt;$Q$825,MAX(0,-Assumptions!$B$22*(F850/INDEX(Surface_Engine!$B$12:$B$72,$A850+1))),0)))^2+(MAX(0,J850/INDEX(Surface_Engine!$B$12:$B$72,$A850+1)-(F850/INDEX(Surface_Engine!$B$12:$B$72,$A850+1))))^2+2*Assumptions!$B$26*(IF(C850&lt;=0,0,MAX(0,(B850/C850)*G850/INDEX(Surface_Engine!$B$12:$B$72,$A850+1)-F850/INDEX(Surface_Engine!$B$12:$B$72,$A850+1))))*(MAX(IF(D850&lt;=0,0,MAX(0,(B850/D850)*H850/INDEX(Surface_Engine!$B$12:$B$72,$A850+1)-F850/INDEX(Surface_Engine!$B$12:$B$72,$A850+1))),IF(E850&lt;=0,0,MAX(0,(B850/E850)*I850/INDEX(Surface_Engine!$B$12:$B$72,$A850+1)-F850/INDEX(Surface_Engine!$B$12:$B$72,$A850+1))),IF($A850&lt;$Q$825,MAX(0,-Assumptions!$B$22*(F850/INDEX(Surface_Engine!$B$12:$B$72,$A850+1))),0)))+2*Assumptions!$B$27*(IF(C850&lt;=0,0,MAX(0,(B850/C850)*G850/INDEX(Surface_Engine!$B$12:$B$72,$A850+1)-F850/INDEX(Surface_Engine!$B$12:$B$72,$A850+1))))*(MAX(0,J850/INDEX(Surface_Engine!$B$12:$B$72,$A850+1)-(F850/INDEX(Surface_Engine!$B$12:$B$72,$A850+1))))+2*Assumptions!$B$28*(MAX(IF(D850&lt;=0,0,MAX(0,(B850/D850)*H850/INDEX(Surface_Engine!$B$12:$B$72,$A850+1)-F850/INDEX(Surface_Engine!$B$12:$B$72,$A850+1))),IF(E850&lt;=0,0,MAX(0,(B850/E850)*I850/INDEX(Surface_Engine!$B$12:$B$72,$A850+1)-F850/INDEX(Surface_Engine!$B$12:$B$72,$A850+1))),IF($A850&lt;$Q$825,MAX(0,-Assumptions!$B$22*(F850/INDEX(Surface_Engine!$B$12:$B$72,$A850+1))),0)))*(MAX(0,J850/INDEX(Surface_Engine!$B$12:$B$72,$A850+1)-(F850/INDEX(Surface_Engine!$B$12:$B$72,$A850+1)))))</f>
        <v>5685.73332485604</v>
      </c>
      <c r="L850" s="48" t="n">
        <f aca="false">K850*INDEX(Surface_Engine!$B$12:$B$72,$A850+1)+L851</f>
        <v>14627.3016514809</v>
      </c>
      <c r="M850" s="48" t="n">
        <f aca="false">M849+B849*(IF($A849&lt;$Q$825,(Surface_Engine!G244*12)-(Surface_Engine!G244*12)*INDEX(Surface_Engine!$F$12:$F$72,$A849+1)-INDEX(Surface_Engine!$D$12:$D$72,$A849+1),-(1000*12*INDEX(Surface_Engine!$C$12:$C$72,$A849+1)/(1+Assumptions!$B$10)^12+INDEX(Surface_Engine!$D$12:$D$72,$A849+1))))*INDEX(Surface_Engine!$B$12:$B$72,$A849+1)</f>
        <v>18951.2330109111</v>
      </c>
      <c r="N850" s="12" t="n">
        <f aca="false">IF(B850&lt;=0,0,MAX(0,(K850+Assumptions!$B$29*L850/INDEX(Surface_Engine!$B$12:$B$72,$A850+1)-(M850/INDEX(Surface_Engine!$B$12:$B$72,$A850+1)-(F850/INDEX(Surface_Engine!$B$12:$B$72,$A850+1))))/B850))</f>
        <v>6165.60587816686</v>
      </c>
    </row>
    <row r="851" customFormat="false" ht="15" hidden="false" customHeight="true" outlineLevel="0" collapsed="false">
      <c r="A851" s="1" t="n">
        <v>24</v>
      </c>
      <c r="B851" s="32" t="n">
        <f aca="false">INDEX(Surface_Engine!$O$12:$O$72,$A851+1)*IF($A851&lt;$Q$825,INDEX(Surface_Engine!$E$12:$E$72,$A851+1),INDEX(Surface_Engine!$E$12:$E$72,$Q$825+1))</f>
        <v>0.334402446421218</v>
      </c>
      <c r="C851" s="32" t="n">
        <f aca="false">INDEX(Panel_Reserving!$E$8:$E$68,$A851+1)*IF($A851&lt;$Q$825,INDEX(Surface_Engine!$E$12:$E$72,$A851+1),INDEX(Surface_Engine!$E$12:$E$72,$Q$825+1))</f>
        <v>0.404560791665563</v>
      </c>
      <c r="D851" s="32" t="n">
        <f aca="false">INDEX(Surface_Engine!$O$12:$O$72,$A851+1)*IF($A851&lt;$Q$825,INDEX(Surface_Engine!$Y$12:$Y$72,$A851+1),INDEX(Surface_Engine!$Y$12:$Y$72,$Q$825+1))</f>
        <v>0.307139664664725</v>
      </c>
      <c r="E851" s="32" t="n">
        <f aca="false">INDEX(Surface_Engine!$O$12:$O$72,$A851+1)*IF($A851&lt;$Q$825,INDEX(Surface_Engine!$Z$12:$Z$72,$A851+1),INDEX(Surface_Engine!$Z$12:$Z$72,$Q$825+1))</f>
        <v>0.363774123617329</v>
      </c>
      <c r="F851" s="48" t="n">
        <f aca="false">B851*(IF($A851&lt;$Q$825,INDEX(Surface_Engine!$D$12:$D$72,$A851+1)+(Surface_Engine!G244*12)*INDEX(Surface_Engine!$F$12:$F$72,$A851+1)-(Surface_Engine!G244*12),1000*12*INDEX(Surface_Engine!$C$12:$C$72,$A851+1)/(1+Assumptions!$B$10)^12+INDEX(Surface_Engine!$D$12:$D$72,$A851+1)))*INDEX(Surface_Engine!$B$12:$B$72,$A851+1)+F852</f>
        <v>13667.5806255991</v>
      </c>
      <c r="G851" s="48" t="n">
        <f aca="false">C851*(IF($A851&lt;$Q$825,INDEX(Surface_Engine!$D$12:$D$72,$A851+1)+(Surface_Engine!G244*12)*INDEX(Surface_Engine!$F$12:$F$72,$A851+1)-(Surface_Engine!G244*12),1000*12*INDEX(Surface_Engine!$C$12:$C$72,$A851+1)/(1+Assumptions!$B$10)^12+INDEX(Surface_Engine!$D$12:$D$72,$A851+1)))*INDEX(Surface_Engine!$B$12:$B$72,$A851+1)+G852</f>
        <v>19396.6676061483</v>
      </c>
      <c r="H851" s="48" t="n">
        <f aca="false">D851*(IF($A851&lt;$Q$825,INDEX(Surface_Engine!$D$12:$D$72,$A851+1)+(Surface_Engine!G244*12)*INDEX(Surface_Engine!$F$12:$F$72,$A851+1)-(Surface_Engine!G244*12),1000*12*INDEX(Surface_Engine!$C$12:$C$72,$A851+1)/(1+Assumptions!$B$10)^12+INDEX(Surface_Engine!$D$12:$D$72,$A851+1)))*INDEX(Surface_Engine!$B$12:$B$72,$A851+1)+H852</f>
        <v>12553.3056801771</v>
      </c>
      <c r="I851" s="48" t="n">
        <f aca="false">E851*(IF($A851&lt;$Q$825,INDEX(Surface_Engine!$D$12:$D$72,$A851+1)+(Surface_Engine!G244*12)*INDEX(Surface_Engine!$F$12:$F$72,$A851+1)-(Surface_Engine!G244*12),1000*12*INDEX(Surface_Engine!$C$12:$C$72,$A851+1)/(1+Assumptions!$B$10)^12+INDEX(Surface_Engine!$D$12:$D$72,$A851+1)))*INDEX(Surface_Engine!$B$12:$B$72,$A851+1)+I852</f>
        <v>14868.0496128423</v>
      </c>
      <c r="J851" s="48" t="n">
        <f aca="false">B851*(IF($A851&lt;$Q$825,INDEX(Surface_Engine!$D$12:$D$72,$A851+1)*(1+Assumptions!$B$24)+(Surface_Engine!G244*12)*INDEX(Surface_Engine!$F$12:$F$72,$A851+1)-(Surface_Engine!G244*12),1000*12*INDEX(Surface_Engine!$C$12:$C$72,$A851+1)/(1+Assumptions!$B$10)^12+INDEX(Surface_Engine!$D$12:$D$72,$A851+1)*(1+Assumptions!$B$24)))*INDEX(Surface_Engine!$B$12:$B$72,$A851+1)+J852</f>
        <v>13681.0180813568</v>
      </c>
      <c r="K851" s="12" t="n">
        <f aca="false">SQRT((IF(C851&lt;=0,0,MAX(0,(B851/C851)*G851/INDEX(Surface_Engine!$B$12:$B$72,$A851+1)-F851/INDEX(Surface_Engine!$B$12:$B$72,$A851+1))))^2+(MAX(IF(D851&lt;=0,0,MAX(0,(B851/D851)*H851/INDEX(Surface_Engine!$B$12:$B$72,$A851+1)-F851/INDEX(Surface_Engine!$B$12:$B$72,$A851+1))),IF(E851&lt;=0,0,MAX(0,(B851/E851)*I851/INDEX(Surface_Engine!$B$12:$B$72,$A851+1)-F851/INDEX(Surface_Engine!$B$12:$B$72,$A851+1))),IF($A851&lt;$Q$825,MAX(0,-Assumptions!$B$22*(F851/INDEX(Surface_Engine!$B$12:$B$72,$A851+1))),0)))^2+(MAX(0,J851/INDEX(Surface_Engine!$B$12:$B$72,$A851+1)-(F851/INDEX(Surface_Engine!$B$12:$B$72,$A851+1))))^2+2*Assumptions!$B$26*(IF(C851&lt;=0,0,MAX(0,(B851/C851)*G851/INDEX(Surface_Engine!$B$12:$B$72,$A851+1)-F851/INDEX(Surface_Engine!$B$12:$B$72,$A851+1))))*(MAX(IF(D851&lt;=0,0,MAX(0,(B851/D851)*H851/INDEX(Surface_Engine!$B$12:$B$72,$A851+1)-F851/INDEX(Surface_Engine!$B$12:$B$72,$A851+1))),IF(E851&lt;=0,0,MAX(0,(B851/E851)*I851/INDEX(Surface_Engine!$B$12:$B$72,$A851+1)-F851/INDEX(Surface_Engine!$B$12:$B$72,$A851+1))),IF($A851&lt;$Q$825,MAX(0,-Assumptions!$B$22*(F851/INDEX(Surface_Engine!$B$12:$B$72,$A851+1))),0)))+2*Assumptions!$B$27*(IF(C851&lt;=0,0,MAX(0,(B851/C851)*G851/INDEX(Surface_Engine!$B$12:$B$72,$A851+1)-F851/INDEX(Surface_Engine!$B$12:$B$72,$A851+1))))*(MAX(0,J851/INDEX(Surface_Engine!$B$12:$B$72,$A851+1)-(F851/INDEX(Surface_Engine!$B$12:$B$72,$A851+1))))+2*Assumptions!$B$28*(MAX(IF(D851&lt;=0,0,MAX(0,(B851/D851)*H851/INDEX(Surface_Engine!$B$12:$B$72,$A851+1)-F851/INDEX(Surface_Engine!$B$12:$B$72,$A851+1))),IF(E851&lt;=0,0,MAX(0,(B851/E851)*I851/INDEX(Surface_Engine!$B$12:$B$72,$A851+1)-F851/INDEX(Surface_Engine!$B$12:$B$72,$A851+1))),IF($A851&lt;$Q$825,MAX(0,-Assumptions!$B$22*(F851/INDEX(Surface_Engine!$B$12:$B$72,$A851+1))),0)))*(MAX(0,J851/INDEX(Surface_Engine!$B$12:$B$72,$A851+1)-(F851/INDEX(Surface_Engine!$B$12:$B$72,$A851+1)))))</f>
        <v>5014.22544408709</v>
      </c>
      <c r="L851" s="48" t="n">
        <f aca="false">K851*INDEX(Surface_Engine!$B$12:$B$72,$A851+1)+L852</f>
        <v>11854.8502086243</v>
      </c>
      <c r="M851" s="48" t="n">
        <f aca="false">M850+B850*(IF($A850&lt;$Q$825,(Surface_Engine!G244*12)-(Surface_Engine!G244*12)*INDEX(Surface_Engine!$F$12:$F$72,$A850+1)-INDEX(Surface_Engine!$D$12:$D$72,$A850+1),-(1000*12*INDEX(Surface_Engine!$C$12:$C$72,$A850+1)/(1+Assumptions!$B$10)^12+INDEX(Surface_Engine!$D$12:$D$72,$A850+1))))*INDEX(Surface_Engine!$B$12:$B$72,$A850+1)</f>
        <v>16185.9425739575</v>
      </c>
      <c r="N851" s="12" t="n">
        <f aca="false">IF(B851&lt;=0,0,MAX(0,(K851+Assumptions!$B$29*L851/INDEX(Surface_Engine!$B$12:$B$72,$A851+1)-(M851/INDEX(Surface_Engine!$B$12:$B$72,$A851+1)-(F851/INDEX(Surface_Engine!$B$12:$B$72,$A851+1))))/B851))</f>
        <v>3555.47476859319</v>
      </c>
    </row>
    <row r="852" customFormat="false" ht="15" hidden="false" customHeight="true" outlineLevel="0" collapsed="false">
      <c r="A852" s="1" t="n">
        <v>25</v>
      </c>
      <c r="B852" s="32" t="n">
        <f aca="false">INDEX(Surface_Engine!$O$12:$O$72,$A852+1)*IF($A852&lt;$Q$825,INDEX(Surface_Engine!$E$12:$E$72,$A852+1),INDEX(Surface_Engine!$E$12:$E$72,$Q$825+1))</f>
        <v>0.292856592171353</v>
      </c>
      <c r="C852" s="32" t="n">
        <f aca="false">INDEX(Panel_Reserving!$E$8:$E$68,$A852+1)*IF($A852&lt;$Q$825,INDEX(Surface_Engine!$E$12:$E$72,$A852+1),INDEX(Surface_Engine!$E$12:$E$72,$Q$825+1))</f>
        <v>0.364350981323264</v>
      </c>
      <c r="D852" s="32" t="n">
        <f aca="false">INDEX(Surface_Engine!$O$12:$O$72,$A852+1)*IF($A852&lt;$Q$825,INDEX(Surface_Engine!$Y$12:$Y$72,$A852+1),INDEX(Surface_Engine!$Y$12:$Y$72,$Q$825+1))</f>
        <v>0.268980913498055</v>
      </c>
      <c r="E852" s="32" t="n">
        <f aca="false">INDEX(Surface_Engine!$O$12:$O$72,$A852+1)*IF($A852&lt;$Q$825,INDEX(Surface_Engine!$Z$12:$Z$72,$A852+1),INDEX(Surface_Engine!$Z$12:$Z$72,$Q$825+1))</f>
        <v>0.318579159042696</v>
      </c>
      <c r="F852" s="48" t="n">
        <f aca="false">B852*(IF($A852&lt;$Q$825,INDEX(Surface_Engine!$D$12:$D$72,$A852+1)+(Surface_Engine!G244*12)*INDEX(Surface_Engine!$F$12:$F$72,$A852+1)-(Surface_Engine!G244*12),1000*12*INDEX(Surface_Engine!$C$12:$C$72,$A852+1)/(1+Assumptions!$B$10)^12+INDEX(Surface_Engine!$D$12:$D$72,$A852+1)))*INDEX(Surface_Engine!$B$12:$B$72,$A852+1)+F853</f>
        <v>11239.974446631</v>
      </c>
      <c r="G852" s="48" t="n">
        <f aca="false">C852*(IF($A852&lt;$Q$825,INDEX(Surface_Engine!$D$12:$D$72,$A852+1)+(Surface_Engine!G244*12)*INDEX(Surface_Engine!$F$12:$F$72,$A852+1)-(Surface_Engine!G244*12),1000*12*INDEX(Surface_Engine!$C$12:$C$72,$A852+1)/(1+Assumptions!$B$10)^12+INDEX(Surface_Engine!$D$12:$D$72,$A852+1)))*INDEX(Surface_Engine!$B$12:$B$72,$A852+1)+G853</f>
        <v>16459.7444821516</v>
      </c>
      <c r="H852" s="48" t="n">
        <f aca="false">D852*(IF($A852&lt;$Q$825,INDEX(Surface_Engine!$D$12:$D$72,$A852+1)+(Surface_Engine!G244*12)*INDEX(Surface_Engine!$F$12:$F$72,$A852+1)-(Surface_Engine!G244*12),1000*12*INDEX(Surface_Engine!$C$12:$C$72,$A852+1)/(1+Assumptions!$B$10)^12+INDEX(Surface_Engine!$D$12:$D$72,$A852+1)))*INDEX(Surface_Engine!$B$12:$B$72,$A852+1)+H853</f>
        <v>10323.614612645</v>
      </c>
      <c r="I852" s="48" t="n">
        <f aca="false">E852*(IF($A852&lt;$Q$825,INDEX(Surface_Engine!$D$12:$D$72,$A852+1)+(Surface_Engine!G244*12)*INDEX(Surface_Engine!$F$12:$F$72,$A852+1)-(Surface_Engine!G244*12),1000*12*INDEX(Surface_Engine!$C$12:$C$72,$A852+1)/(1+Assumptions!$B$10)^12+INDEX(Surface_Engine!$D$12:$D$72,$A852+1)))*INDEX(Surface_Engine!$B$12:$B$72,$A852+1)+I853</f>
        <v>12227.2187227185</v>
      </c>
      <c r="J852" s="48" t="n">
        <f aca="false">B852*(IF($A852&lt;$Q$825,INDEX(Surface_Engine!$D$12:$D$72,$A852+1)*(1+Assumptions!$B$24)+(Surface_Engine!G244*12)*INDEX(Surface_Engine!$F$12:$F$72,$A852+1)-(Surface_Engine!G244*12),1000*12*INDEX(Surface_Engine!$C$12:$C$72,$A852+1)/(1+Assumptions!$B$10)^12+INDEX(Surface_Engine!$D$12:$D$72,$A852+1)*(1+Assumptions!$B$24)))*INDEX(Surface_Engine!$B$12:$B$72,$A852+1)+J853</f>
        <v>11251.0689167302</v>
      </c>
      <c r="K852" s="12" t="n">
        <f aca="false">SQRT((IF(C852&lt;=0,0,MAX(0,(B852/C852)*G852/INDEX(Surface_Engine!$B$12:$B$72,$A852+1)-F852/INDEX(Surface_Engine!$B$12:$B$72,$A852+1))))^2+(MAX(IF(D852&lt;=0,0,MAX(0,(B852/D852)*H852/INDEX(Surface_Engine!$B$12:$B$72,$A852+1)-F852/INDEX(Surface_Engine!$B$12:$B$72,$A852+1))),IF(E852&lt;=0,0,MAX(0,(B852/E852)*I852/INDEX(Surface_Engine!$B$12:$B$72,$A852+1)-F852/INDEX(Surface_Engine!$B$12:$B$72,$A852+1))),IF($A852&lt;$Q$825,MAX(0,-Assumptions!$B$22*(F852/INDEX(Surface_Engine!$B$12:$B$72,$A852+1))),0)))^2+(MAX(0,J852/INDEX(Surface_Engine!$B$12:$B$72,$A852+1)-(F852/INDEX(Surface_Engine!$B$12:$B$72,$A852+1))))^2+2*Assumptions!$B$26*(IF(C852&lt;=0,0,MAX(0,(B852/C852)*G852/INDEX(Surface_Engine!$B$12:$B$72,$A852+1)-F852/INDEX(Surface_Engine!$B$12:$B$72,$A852+1))))*(MAX(IF(D852&lt;=0,0,MAX(0,(B852/D852)*H852/INDEX(Surface_Engine!$B$12:$B$72,$A852+1)-F852/INDEX(Surface_Engine!$B$12:$B$72,$A852+1))),IF(E852&lt;=0,0,MAX(0,(B852/E852)*I852/INDEX(Surface_Engine!$B$12:$B$72,$A852+1)-F852/INDEX(Surface_Engine!$B$12:$B$72,$A852+1))),IF($A852&lt;$Q$825,MAX(0,-Assumptions!$B$22*(F852/INDEX(Surface_Engine!$B$12:$B$72,$A852+1))),0)))+2*Assumptions!$B$27*(IF(C852&lt;=0,0,MAX(0,(B852/C852)*G852/INDEX(Surface_Engine!$B$12:$B$72,$A852+1)-F852/INDEX(Surface_Engine!$B$12:$B$72,$A852+1))))*(MAX(0,J852/INDEX(Surface_Engine!$B$12:$B$72,$A852+1)-(F852/INDEX(Surface_Engine!$B$12:$B$72,$A852+1))))+2*Assumptions!$B$28*(MAX(IF(D852&lt;=0,0,MAX(0,(B852/D852)*H852/INDEX(Surface_Engine!$B$12:$B$72,$A852+1)-F852/INDEX(Surface_Engine!$B$12:$B$72,$A852+1))),IF(E852&lt;=0,0,MAX(0,(B852/E852)*I852/INDEX(Surface_Engine!$B$12:$B$72,$A852+1)-F852/INDEX(Surface_Engine!$B$12:$B$72,$A852+1))),IF($A852&lt;$Q$825,MAX(0,-Assumptions!$B$22*(F852/INDEX(Surface_Engine!$B$12:$B$72,$A852+1))),0)))*(MAX(0,J852/INDEX(Surface_Engine!$B$12:$B$72,$A852+1)-(F852/INDEX(Surface_Engine!$B$12:$B$72,$A852+1)))))</f>
        <v>4353.31941723141</v>
      </c>
      <c r="L852" s="48" t="n">
        <f aca="false">K852*INDEX(Surface_Engine!$B$12:$B$72,$A852+1)+L853</f>
        <v>9486.11007254808</v>
      </c>
      <c r="M852" s="48" t="n">
        <f aca="false">M851+B851*(IF($A851&lt;$Q$825,(Surface_Engine!G244*12)-(Surface_Engine!G244*12)*INDEX(Surface_Engine!$F$12:$F$72,$A851+1)-INDEX(Surface_Engine!$D$12:$D$72,$A851+1),-(1000*12*INDEX(Surface_Engine!$C$12:$C$72,$A851+1)/(1+Assumptions!$B$10)^12+INDEX(Surface_Engine!$D$12:$D$72,$A851+1))))*INDEX(Surface_Engine!$B$12:$B$72,$A851+1)</f>
        <v>13758.3363949894</v>
      </c>
      <c r="N852" s="12" t="n">
        <f aca="false">IF(B852&lt;=0,0,MAX(0,(K852+Assumptions!$B$29*L852/INDEX(Surface_Engine!$B$12:$B$72,$A852+1)-(M852/INDEX(Surface_Engine!$B$12:$B$72,$A852+1)-(F852/INDEX(Surface_Engine!$B$12:$B$72,$A852+1))))/B852))</f>
        <v>325.091620757803</v>
      </c>
    </row>
    <row r="853" customFormat="false" ht="15" hidden="false" customHeight="true" outlineLevel="0" collapsed="false">
      <c r="A853" s="1" t="n">
        <v>26</v>
      </c>
      <c r="B853" s="32" t="n">
        <f aca="false">INDEX(Surface_Engine!$O$12:$O$72,$A853+1)*IF($A853&lt;$Q$825,INDEX(Surface_Engine!$E$12:$E$72,$A853+1),INDEX(Surface_Engine!$E$12:$E$72,$Q$825+1))</f>
        <v>0.253000870298959</v>
      </c>
      <c r="C853" s="32" t="n">
        <f aca="false">INDEX(Panel_Reserving!$E$8:$E$68,$A853+1)*IF($A853&lt;$Q$825,INDEX(Surface_Engine!$E$12:$E$72,$A853+1),INDEX(Surface_Engine!$E$12:$E$72,$Q$825+1))</f>
        <v>0.324682497119754</v>
      </c>
      <c r="D853" s="32" t="n">
        <f aca="false">INDEX(Surface_Engine!$O$12:$O$72,$A853+1)*IF($A853&lt;$Q$825,INDEX(Surface_Engine!$Y$12:$Y$72,$A853+1),INDEX(Surface_Engine!$Y$12:$Y$72,$Q$825+1))</f>
        <v>0.232374503521501</v>
      </c>
      <c r="E853" s="32" t="n">
        <f aca="false">INDEX(Surface_Engine!$O$12:$O$72,$A853+1)*IF($A853&lt;$Q$825,INDEX(Surface_Engine!$Z$12:$Z$72,$A853+1),INDEX(Surface_Engine!$Z$12:$Z$72,$Q$825+1))</f>
        <v>0.275222776784045</v>
      </c>
      <c r="F853" s="48" t="n">
        <f aca="false">B853*(IF($A853&lt;$Q$825,INDEX(Surface_Engine!$D$12:$D$72,$A853+1)+(Surface_Engine!G244*12)*INDEX(Surface_Engine!$F$12:$F$72,$A853+1)-(Surface_Engine!G244*12),1000*12*INDEX(Surface_Engine!$C$12:$C$72,$A853+1)/(1+Assumptions!$B$10)^12+INDEX(Surface_Engine!$D$12:$D$72,$A853+1)))*INDEX(Surface_Engine!$B$12:$B$72,$A853+1)+F854</f>
        <v>9138.5730839518</v>
      </c>
      <c r="G853" s="48" t="n">
        <f aca="false">C853*(IF($A853&lt;$Q$825,INDEX(Surface_Engine!$D$12:$D$72,$A853+1)+(Surface_Engine!G244*12)*INDEX(Surface_Engine!$F$12:$F$72,$A853+1)-(Surface_Engine!G244*12),1000*12*INDEX(Surface_Engine!$C$12:$C$72,$A853+1)/(1+Assumptions!$B$10)^12+INDEX(Surface_Engine!$D$12:$D$72,$A853+1)))*INDEX(Surface_Engine!$B$12:$B$72,$A853+1)+G854</f>
        <v>13845.3329609036</v>
      </c>
      <c r="H853" s="48" t="n">
        <f aca="false">D853*(IF($A853&lt;$Q$825,INDEX(Surface_Engine!$D$12:$D$72,$A853+1)+(Surface_Engine!G244*12)*INDEX(Surface_Engine!$F$12:$F$72,$A853+1)-(Surface_Engine!G244*12),1000*12*INDEX(Surface_Engine!$C$12:$C$72,$A853+1)/(1+Assumptions!$B$10)^12+INDEX(Surface_Engine!$D$12:$D$72,$A853+1)))*INDEX(Surface_Engine!$B$12:$B$72,$A853+1)+H854</f>
        <v>8393.53390669735</v>
      </c>
      <c r="I853" s="48" t="n">
        <f aca="false">E853*(IF($A853&lt;$Q$825,INDEX(Surface_Engine!$D$12:$D$72,$A853+1)+(Surface_Engine!G244*12)*INDEX(Surface_Engine!$F$12:$F$72,$A853+1)-(Surface_Engine!G244*12),1000*12*INDEX(Surface_Engine!$C$12:$C$72,$A853+1)/(1+Assumptions!$B$10)^12+INDEX(Surface_Engine!$D$12:$D$72,$A853+1)))*INDEX(Surface_Engine!$B$12:$B$72,$A853+1)+I854</f>
        <v>9941.24430100624</v>
      </c>
      <c r="J853" s="48" t="n">
        <f aca="false">B853*(IF($A853&lt;$Q$825,INDEX(Surface_Engine!$D$12:$D$72,$A853+1)*(1+Assumptions!$B$24)+(Surface_Engine!G244*12)*INDEX(Surface_Engine!$F$12:$F$72,$A853+1)-(Surface_Engine!G244*12),1000*12*INDEX(Surface_Engine!$C$12:$C$72,$A853+1)/(1+Assumptions!$B$10)^12+INDEX(Surface_Engine!$D$12:$D$72,$A853+1)*(1+Assumptions!$B$24)))*INDEX(Surface_Engine!$B$12:$B$72,$A853+1)+J854</f>
        <v>9147.62955699252</v>
      </c>
      <c r="K853" s="12" t="n">
        <f aca="false">SQRT((IF(C853&lt;=0,0,MAX(0,(B853/C853)*G853/INDEX(Surface_Engine!$B$12:$B$72,$A853+1)-F853/INDEX(Surface_Engine!$B$12:$B$72,$A853+1))))^2+(MAX(IF(D853&lt;=0,0,MAX(0,(B853/D853)*H853/INDEX(Surface_Engine!$B$12:$B$72,$A853+1)-F853/INDEX(Surface_Engine!$B$12:$B$72,$A853+1))),IF(E853&lt;=0,0,MAX(0,(B853/E853)*I853/INDEX(Surface_Engine!$B$12:$B$72,$A853+1)-F853/INDEX(Surface_Engine!$B$12:$B$72,$A853+1))),IF($A853&lt;$Q$825,MAX(0,-Assumptions!$B$22*(F853/INDEX(Surface_Engine!$B$12:$B$72,$A853+1))),0)))^2+(MAX(0,J853/INDEX(Surface_Engine!$B$12:$B$72,$A853+1)-(F853/INDEX(Surface_Engine!$B$12:$B$72,$A853+1))))^2+2*Assumptions!$B$26*(IF(C853&lt;=0,0,MAX(0,(B853/C853)*G853/INDEX(Surface_Engine!$B$12:$B$72,$A853+1)-F853/INDEX(Surface_Engine!$B$12:$B$72,$A853+1))))*(MAX(IF(D853&lt;=0,0,MAX(0,(B853/D853)*H853/INDEX(Surface_Engine!$B$12:$B$72,$A853+1)-F853/INDEX(Surface_Engine!$B$12:$B$72,$A853+1))),IF(E853&lt;=0,0,MAX(0,(B853/E853)*I853/INDEX(Surface_Engine!$B$12:$B$72,$A853+1)-F853/INDEX(Surface_Engine!$B$12:$B$72,$A853+1))),IF($A853&lt;$Q$825,MAX(0,-Assumptions!$B$22*(F853/INDEX(Surface_Engine!$B$12:$B$72,$A853+1))),0)))+2*Assumptions!$B$27*(IF(C853&lt;=0,0,MAX(0,(B853/C853)*G853/INDEX(Surface_Engine!$B$12:$B$72,$A853+1)-F853/INDEX(Surface_Engine!$B$12:$B$72,$A853+1))))*(MAX(0,J853/INDEX(Surface_Engine!$B$12:$B$72,$A853+1)-(F853/INDEX(Surface_Engine!$B$12:$B$72,$A853+1))))+2*Assumptions!$B$28*(MAX(IF(D853&lt;=0,0,MAX(0,(B853/D853)*H853/INDEX(Surface_Engine!$B$12:$B$72,$A853+1)-F853/INDEX(Surface_Engine!$B$12:$B$72,$A853+1))),IF(E853&lt;=0,0,MAX(0,(B853/E853)*I853/INDEX(Surface_Engine!$B$12:$B$72,$A853+1)-F853/INDEX(Surface_Engine!$B$12:$B$72,$A853+1))),IF($A853&lt;$Q$825,MAX(0,-Assumptions!$B$22*(F853/INDEX(Surface_Engine!$B$12:$B$72,$A853+1))),0)))*(MAX(0,J853/INDEX(Surface_Engine!$B$12:$B$72,$A853+1)-(F853/INDEX(Surface_Engine!$B$12:$B$72,$A853+1)))))</f>
        <v>3726.12509796672</v>
      </c>
      <c r="L853" s="48" t="n">
        <f aca="false">K853*INDEX(Surface_Engine!$B$12:$B$72,$A853+1)+L854</f>
        <v>7493.33356295606</v>
      </c>
      <c r="M853" s="48" t="n">
        <f aca="false">M852+B852*(IF($A852&lt;$Q$825,(Surface_Engine!G244*12)-(Surface_Engine!G244*12)*INDEX(Surface_Engine!$F$12:$F$72,$A852+1)-INDEX(Surface_Engine!$D$12:$D$72,$A852+1),-(1000*12*INDEX(Surface_Engine!$C$12:$C$72,$A852+1)/(1+Assumptions!$B$10)^12+INDEX(Surface_Engine!$D$12:$D$72,$A852+1))))*INDEX(Surface_Engine!$B$12:$B$72,$A852+1)</f>
        <v>11656.9350323102</v>
      </c>
      <c r="N853" s="12" t="n">
        <f aca="false">IF(B853&lt;=0,0,MAX(0,(K853+Assumptions!$B$29*L853/INDEX(Surface_Engine!$B$12:$B$72,$A853+1)-(M853/INDEX(Surface_Engine!$B$12:$B$72,$A853+1)-(F853/INDEX(Surface_Engine!$B$12:$B$72,$A853+1))))/B853))</f>
        <v>0</v>
      </c>
    </row>
    <row r="854" customFormat="false" ht="15" hidden="false" customHeight="true" outlineLevel="0" collapsed="false">
      <c r="A854" s="1" t="n">
        <v>27</v>
      </c>
      <c r="B854" s="32" t="n">
        <f aca="false">INDEX(Surface_Engine!$O$12:$O$72,$A854+1)*IF($A854&lt;$Q$825,INDEX(Surface_Engine!$E$12:$E$72,$A854+1),INDEX(Surface_Engine!$E$12:$E$72,$Q$825+1))</f>
        <v>0.215775495948764</v>
      </c>
      <c r="C854" s="32" t="n">
        <f aca="false">INDEX(Panel_Reserving!$E$8:$E$68,$A854+1)*IF($A854&lt;$Q$825,INDEX(Surface_Engine!$E$12:$E$72,$A854+1),INDEX(Surface_Engine!$E$12:$E$72,$Q$825+1))</f>
        <v>0.286464676015955</v>
      </c>
      <c r="D854" s="32" t="n">
        <f aca="false">INDEX(Surface_Engine!$O$12:$O$72,$A854+1)*IF($A854&lt;$Q$825,INDEX(Surface_Engine!$Y$12:$Y$72,$A854+1),INDEX(Surface_Engine!$Y$12:$Y$72,$Q$825+1))</f>
        <v>0.198183997090408</v>
      </c>
      <c r="E854" s="32" t="n">
        <f aca="false">INDEX(Surface_Engine!$O$12:$O$72,$A854+1)*IF($A854&lt;$Q$825,INDEX(Surface_Engine!$Z$12:$Z$72,$A854+1),INDEX(Surface_Engine!$Z$12:$Z$72,$Q$825+1))</f>
        <v>0.234727774204094</v>
      </c>
      <c r="F854" s="48" t="n">
        <f aca="false">B854*(IF($A854&lt;$Q$825,INDEX(Surface_Engine!$D$12:$D$72,$A854+1)+(Surface_Engine!G244*12)*INDEX(Surface_Engine!$F$12:$F$72,$A854+1)-(Surface_Engine!G244*12),1000*12*INDEX(Surface_Engine!$C$12:$C$72,$A854+1)/(1+Assumptions!$B$10)^12+INDEX(Surface_Engine!$D$12:$D$72,$A854+1)))*INDEX(Surface_Engine!$B$12:$B$72,$A854+1)+F855</f>
        <v>7344.65140117841</v>
      </c>
      <c r="G854" s="48" t="n">
        <f aca="false">C854*(IF($A854&lt;$Q$825,INDEX(Surface_Engine!$D$12:$D$72,$A854+1)+(Surface_Engine!G244*12)*INDEX(Surface_Engine!$F$12:$F$72,$A854+1)-(Surface_Engine!G244*12),1000*12*INDEX(Surface_Engine!$C$12:$C$72,$A854+1)/(1+Assumptions!$B$10)^12+INDEX(Surface_Engine!$D$12:$D$72,$A854+1)))*INDEX(Surface_Engine!$B$12:$B$72,$A854+1)+G855</f>
        <v>11543.1473165939</v>
      </c>
      <c r="H854" s="48" t="n">
        <f aca="false">D854*(IF($A854&lt;$Q$825,INDEX(Surface_Engine!$D$12:$D$72,$A854+1)+(Surface_Engine!G244*12)*INDEX(Surface_Engine!$F$12:$F$72,$A854+1)-(Surface_Engine!G244*12),1000*12*INDEX(Surface_Engine!$C$12:$C$72,$A854+1)/(1+Assumptions!$B$10)^12+INDEX(Surface_Engine!$D$12:$D$72,$A854+1)))*INDEX(Surface_Engine!$B$12:$B$72,$A854+1)+H855</f>
        <v>6745.86502754158</v>
      </c>
      <c r="I854" s="48" t="n">
        <f aca="false">E854*(IF($A854&lt;$Q$825,INDEX(Surface_Engine!$D$12:$D$72,$A854+1)+(Surface_Engine!G244*12)*INDEX(Surface_Engine!$F$12:$F$72,$A854+1)-(Surface_Engine!G244*12),1000*12*INDEX(Surface_Engine!$C$12:$C$72,$A854+1)/(1+Assumptions!$B$10)^12+INDEX(Surface_Engine!$D$12:$D$72,$A854+1)))*INDEX(Surface_Engine!$B$12:$B$72,$A854+1)+I855</f>
        <v>7989.75652042042</v>
      </c>
      <c r="J854" s="48" t="n">
        <f aca="false">B854*(IF($A854&lt;$Q$825,INDEX(Surface_Engine!$D$12:$D$72,$A854+1)*(1+Assumptions!$B$24)+(Surface_Engine!G244*12)*INDEX(Surface_Engine!$F$12:$F$72,$A854+1)-(Surface_Engine!G244*12),1000*12*INDEX(Surface_Engine!$C$12:$C$72,$A854+1)/(1+Assumptions!$B$10)^12+INDEX(Surface_Engine!$D$12:$D$72,$A854+1)*(1+Assumptions!$B$24)))*INDEX(Surface_Engine!$B$12:$B$72,$A854+1)+J855</f>
        <v>7351.95963414989</v>
      </c>
      <c r="K854" s="12" t="n">
        <f aca="false">SQRT((IF(C854&lt;=0,0,MAX(0,(B854/C854)*G854/INDEX(Surface_Engine!$B$12:$B$72,$A854+1)-F854/INDEX(Surface_Engine!$B$12:$B$72,$A854+1))))^2+(MAX(IF(D854&lt;=0,0,MAX(0,(B854/D854)*H854/INDEX(Surface_Engine!$B$12:$B$72,$A854+1)-F854/INDEX(Surface_Engine!$B$12:$B$72,$A854+1))),IF(E854&lt;=0,0,MAX(0,(B854/E854)*I854/INDEX(Surface_Engine!$B$12:$B$72,$A854+1)-F854/INDEX(Surface_Engine!$B$12:$B$72,$A854+1))),IF($A854&lt;$Q$825,MAX(0,-Assumptions!$B$22*(F854/INDEX(Surface_Engine!$B$12:$B$72,$A854+1))),0)))^2+(MAX(0,J854/INDEX(Surface_Engine!$B$12:$B$72,$A854+1)-(F854/INDEX(Surface_Engine!$B$12:$B$72,$A854+1))))^2+2*Assumptions!$B$26*(IF(C854&lt;=0,0,MAX(0,(B854/C854)*G854/INDEX(Surface_Engine!$B$12:$B$72,$A854+1)-F854/INDEX(Surface_Engine!$B$12:$B$72,$A854+1))))*(MAX(IF(D854&lt;=0,0,MAX(0,(B854/D854)*H854/INDEX(Surface_Engine!$B$12:$B$72,$A854+1)-F854/INDEX(Surface_Engine!$B$12:$B$72,$A854+1))),IF(E854&lt;=0,0,MAX(0,(B854/E854)*I854/INDEX(Surface_Engine!$B$12:$B$72,$A854+1)-F854/INDEX(Surface_Engine!$B$12:$B$72,$A854+1))),IF($A854&lt;$Q$825,MAX(0,-Assumptions!$B$22*(F854/INDEX(Surface_Engine!$B$12:$B$72,$A854+1))),0)))+2*Assumptions!$B$27*(IF(C854&lt;=0,0,MAX(0,(B854/C854)*G854/INDEX(Surface_Engine!$B$12:$B$72,$A854+1)-F854/INDEX(Surface_Engine!$B$12:$B$72,$A854+1))))*(MAX(0,J854/INDEX(Surface_Engine!$B$12:$B$72,$A854+1)-(F854/INDEX(Surface_Engine!$B$12:$B$72,$A854+1))))+2*Assumptions!$B$28*(MAX(IF(D854&lt;=0,0,MAX(0,(B854/D854)*H854/INDEX(Surface_Engine!$B$12:$B$72,$A854+1)-F854/INDEX(Surface_Engine!$B$12:$B$72,$A854+1))),IF(E854&lt;=0,0,MAX(0,(B854/E854)*I854/INDEX(Surface_Engine!$B$12:$B$72,$A854+1)-F854/INDEX(Surface_Engine!$B$12:$B$72,$A854+1))),IF($A854&lt;$Q$825,MAX(0,-Assumptions!$B$22*(F854/INDEX(Surface_Engine!$B$12:$B$72,$A854+1))),0)))*(MAX(0,J854/INDEX(Surface_Engine!$B$12:$B$72,$A854+1)-(F854/INDEX(Surface_Engine!$B$12:$B$72,$A854+1)))))</f>
        <v>3146.29133046625</v>
      </c>
      <c r="L854" s="48" t="n">
        <f aca="false">K854*INDEX(Surface_Engine!$B$12:$B$72,$A854+1)+L855</f>
        <v>5840.98322456678</v>
      </c>
      <c r="M854" s="48" t="n">
        <f aca="false">M853+B853*(IF($A853&lt;$Q$825,(Surface_Engine!G244*12)-(Surface_Engine!G244*12)*INDEX(Surface_Engine!$F$12:$F$72,$A853+1)-INDEX(Surface_Engine!$D$12:$D$72,$A853+1),-(1000*12*INDEX(Surface_Engine!$C$12:$C$72,$A853+1)/(1+Assumptions!$B$10)^12+INDEX(Surface_Engine!$D$12:$D$72,$A853+1))))*INDEX(Surface_Engine!$B$12:$B$72,$A853+1)</f>
        <v>9863.0133495368</v>
      </c>
      <c r="N854" s="12" t="n">
        <f aca="false">IF(B854&lt;=0,0,MAX(0,(K854+Assumptions!$B$29*L854/INDEX(Surface_Engine!$B$12:$B$72,$A854+1)-(M854/INDEX(Surface_Engine!$B$12:$B$72,$A854+1)-(F854/INDEX(Surface_Engine!$B$12:$B$72,$A854+1))))/B854))</f>
        <v>0</v>
      </c>
    </row>
    <row r="855" customFormat="false" ht="15" hidden="false" customHeight="true" outlineLevel="0" collapsed="false">
      <c r="A855" s="1" t="n">
        <v>28</v>
      </c>
      <c r="B855" s="32" t="n">
        <f aca="false">INDEX(Surface_Engine!$O$12:$O$72,$A855+1)*IF($A855&lt;$Q$825,INDEX(Surface_Engine!$E$12:$E$72,$A855+1),INDEX(Surface_Engine!$E$12:$E$72,$Q$825+1))</f>
        <v>0.180745082753191</v>
      </c>
      <c r="C855" s="32" t="n">
        <f aca="false">INDEX(Panel_Reserving!$E$8:$E$68,$A855+1)*IF($A855&lt;$Q$825,INDEX(Surface_Engine!$E$12:$E$72,$A855+1),INDEX(Surface_Engine!$E$12:$E$72,$Q$825+1))</f>
        <v>0.249259428320331</v>
      </c>
      <c r="D855" s="32" t="n">
        <f aca="false">INDEX(Surface_Engine!$O$12:$O$72,$A855+1)*IF($A855&lt;$Q$825,INDEX(Surface_Engine!$Y$12:$Y$72,$A855+1),INDEX(Surface_Engine!$Y$12:$Y$72,$Q$825+1))</f>
        <v>0.166009503521057</v>
      </c>
      <c r="E855" s="32" t="n">
        <f aca="false">INDEX(Surface_Engine!$O$12:$O$72,$A855+1)*IF($A855&lt;$Q$825,INDEX(Surface_Engine!$Z$12:$Z$72,$A855+1),INDEX(Surface_Engine!$Z$12:$Z$72,$Q$825+1))</f>
        <v>0.196620523504974</v>
      </c>
      <c r="F855" s="48" t="n">
        <f aca="false">B855*(IF($A855&lt;$Q$825,INDEX(Surface_Engine!$D$12:$D$72,$A855+1)+(Surface_Engine!G244*12)*INDEX(Surface_Engine!$F$12:$F$72,$A855+1)-(Surface_Engine!G244*12),1000*12*INDEX(Surface_Engine!$C$12:$C$72,$A855+1)/(1+Assumptions!$B$10)^12+INDEX(Surface_Engine!$D$12:$D$72,$A855+1)))*INDEX(Surface_Engine!$B$12:$B$72,$A855+1)+F856</f>
        <v>5832.45583206373</v>
      </c>
      <c r="G855" s="48" t="n">
        <f aca="false">C855*(IF($A855&lt;$Q$825,INDEX(Surface_Engine!$D$12:$D$72,$A855+1)+(Surface_Engine!G244*12)*INDEX(Surface_Engine!$F$12:$F$72,$A855+1)-(Surface_Engine!G244*12),1000*12*INDEX(Surface_Engine!$C$12:$C$72,$A855+1)/(1+Assumptions!$B$10)^12+INDEX(Surface_Engine!$D$12:$D$72,$A855+1)))*INDEX(Surface_Engine!$B$12:$B$72,$A855+1)+G856</f>
        <v>9535.54857664214</v>
      </c>
      <c r="H855" s="48" t="n">
        <f aca="false">D855*(IF($A855&lt;$Q$825,INDEX(Surface_Engine!$D$12:$D$72,$A855+1)+(Surface_Engine!G244*12)*INDEX(Surface_Engine!$F$12:$F$72,$A855+1)-(Surface_Engine!G244*12),1000*12*INDEX(Surface_Engine!$C$12:$C$72,$A855+1)/(1+Assumptions!$B$10)^12+INDEX(Surface_Engine!$D$12:$D$72,$A855+1)))*INDEX(Surface_Engine!$B$12:$B$72,$A855+1)+H856</f>
        <v>5356.95401634541</v>
      </c>
      <c r="I855" s="48" t="n">
        <f aca="false">E855*(IF($A855&lt;$Q$825,INDEX(Surface_Engine!$D$12:$D$72,$A855+1)+(Surface_Engine!G244*12)*INDEX(Surface_Engine!$F$12:$F$72,$A855+1)-(Surface_Engine!G244*12),1000*12*INDEX(Surface_Engine!$C$12:$C$72,$A855+1)/(1+Assumptions!$B$10)^12+INDEX(Surface_Engine!$D$12:$D$72,$A855+1)))*INDEX(Surface_Engine!$B$12:$B$72,$A855+1)+I856</f>
        <v>6344.73979348</v>
      </c>
      <c r="J855" s="48" t="n">
        <f aca="false">B855*(IF($A855&lt;$Q$825,INDEX(Surface_Engine!$D$12:$D$72,$A855+1)*(1+Assumptions!$B$24)+(Surface_Engine!G244*12)*INDEX(Surface_Engine!$F$12:$F$72,$A855+1)-(Surface_Engine!G244*12),1000*12*INDEX(Surface_Engine!$C$12:$C$72,$A855+1)/(1+Assumptions!$B$10)^12+INDEX(Surface_Engine!$D$12:$D$72,$A855+1)*(1+Assumptions!$B$24)))*INDEX(Surface_Engine!$B$12:$B$72,$A855+1)+J856</f>
        <v>5838.28322379961</v>
      </c>
      <c r="K855" s="12" t="n">
        <f aca="false">SQRT((IF(C855&lt;=0,0,MAX(0,(B855/C855)*G855/INDEX(Surface_Engine!$B$12:$B$72,$A855+1)-F855/INDEX(Surface_Engine!$B$12:$B$72,$A855+1))))^2+(MAX(IF(D855&lt;=0,0,MAX(0,(B855/D855)*H855/INDEX(Surface_Engine!$B$12:$B$72,$A855+1)-F855/INDEX(Surface_Engine!$B$12:$B$72,$A855+1))),IF(E855&lt;=0,0,MAX(0,(B855/E855)*I855/INDEX(Surface_Engine!$B$12:$B$72,$A855+1)-F855/INDEX(Surface_Engine!$B$12:$B$72,$A855+1))),IF($A855&lt;$Q$825,MAX(0,-Assumptions!$B$22*(F855/INDEX(Surface_Engine!$B$12:$B$72,$A855+1))),0)))^2+(MAX(0,J855/INDEX(Surface_Engine!$B$12:$B$72,$A855+1)-(F855/INDEX(Surface_Engine!$B$12:$B$72,$A855+1))))^2+2*Assumptions!$B$26*(IF(C855&lt;=0,0,MAX(0,(B855/C855)*G855/INDEX(Surface_Engine!$B$12:$B$72,$A855+1)-F855/INDEX(Surface_Engine!$B$12:$B$72,$A855+1))))*(MAX(IF(D855&lt;=0,0,MAX(0,(B855/D855)*H855/INDEX(Surface_Engine!$B$12:$B$72,$A855+1)-F855/INDEX(Surface_Engine!$B$12:$B$72,$A855+1))),IF(E855&lt;=0,0,MAX(0,(B855/E855)*I855/INDEX(Surface_Engine!$B$12:$B$72,$A855+1)-F855/INDEX(Surface_Engine!$B$12:$B$72,$A855+1))),IF($A855&lt;$Q$825,MAX(0,-Assumptions!$B$22*(F855/INDEX(Surface_Engine!$B$12:$B$72,$A855+1))),0)))+2*Assumptions!$B$27*(IF(C855&lt;=0,0,MAX(0,(B855/C855)*G855/INDEX(Surface_Engine!$B$12:$B$72,$A855+1)-F855/INDEX(Surface_Engine!$B$12:$B$72,$A855+1))))*(MAX(0,J855/INDEX(Surface_Engine!$B$12:$B$72,$A855+1)-(F855/INDEX(Surface_Engine!$B$12:$B$72,$A855+1))))+2*Assumptions!$B$28*(MAX(IF(D855&lt;=0,0,MAX(0,(B855/D855)*H855/INDEX(Surface_Engine!$B$12:$B$72,$A855+1)-F855/INDEX(Surface_Engine!$B$12:$B$72,$A855+1))),IF(E855&lt;=0,0,MAX(0,(B855/E855)*I855/INDEX(Surface_Engine!$B$12:$B$72,$A855+1)-F855/INDEX(Surface_Engine!$B$12:$B$72,$A855+1))),IF($A855&lt;$Q$825,MAX(0,-Assumptions!$B$22*(F855/INDEX(Surface_Engine!$B$12:$B$72,$A855+1))),0)))*(MAX(0,J855/INDEX(Surface_Engine!$B$12:$B$72,$A855+1)-(F855/INDEX(Surface_Engine!$B$12:$B$72,$A855+1)))))</f>
        <v>2603.20627926153</v>
      </c>
      <c r="L855" s="48" t="n">
        <f aca="false">K855*INDEX(Surface_Engine!$B$12:$B$72,$A855+1)+L856</f>
        <v>4489.07536951909</v>
      </c>
      <c r="M855" s="48" t="n">
        <f aca="false">M854+B854*(IF($A854&lt;$Q$825,(Surface_Engine!G244*12)-(Surface_Engine!G244*12)*INDEX(Surface_Engine!$F$12:$F$72,$A854+1)-INDEX(Surface_Engine!$D$12:$D$72,$A854+1),-(1000*12*INDEX(Surface_Engine!$C$12:$C$72,$A854+1)/(1+Assumptions!$B$10)^12+INDEX(Surface_Engine!$D$12:$D$72,$A854+1))))*INDEX(Surface_Engine!$B$12:$B$72,$A854+1)</f>
        <v>8350.81778042211</v>
      </c>
      <c r="N855" s="12" t="n">
        <f aca="false">IF(B855&lt;=0,0,MAX(0,(K855+Assumptions!$B$29*L855/INDEX(Surface_Engine!$B$12:$B$72,$A855+1)-(M855/INDEX(Surface_Engine!$B$12:$B$72,$A855+1)-(F855/INDEX(Surface_Engine!$B$12:$B$72,$A855+1))))/B855))</f>
        <v>0</v>
      </c>
    </row>
    <row r="856" customFormat="false" ht="15" hidden="false" customHeight="true" outlineLevel="0" collapsed="false">
      <c r="A856" s="1" t="n">
        <v>29</v>
      </c>
      <c r="B856" s="32" t="n">
        <f aca="false">INDEX(Surface_Engine!$O$12:$O$72,$A856+1)*IF($A856&lt;$Q$825,INDEX(Surface_Engine!$E$12:$E$72,$A856+1),INDEX(Surface_Engine!$E$12:$E$72,$Q$825+1))</f>
        <v>0.149568290513271</v>
      </c>
      <c r="C856" s="32" t="n">
        <f aca="false">INDEX(Panel_Reserving!$E$8:$E$68,$A856+1)*IF($A856&lt;$Q$825,INDEX(Surface_Engine!$E$12:$E$72,$A856+1),INDEX(Surface_Engine!$E$12:$E$72,$Q$825+1))</f>
        <v>0.214863540842957</v>
      </c>
      <c r="D856" s="32" t="n">
        <f aca="false">INDEX(Surface_Engine!$O$12:$O$72,$A856+1)*IF($A856&lt;$Q$825,INDEX(Surface_Engine!$Y$12:$Y$72,$A856+1),INDEX(Surface_Engine!$Y$12:$Y$72,$Q$825+1))</f>
        <v>0.137374457287486</v>
      </c>
      <c r="E856" s="32" t="n">
        <f aca="false">INDEX(Surface_Engine!$O$12:$O$72,$A856+1)*IF($A856&lt;$Q$825,INDEX(Surface_Engine!$Z$12:$Z$72,$A856+1),INDEX(Surface_Engine!$Z$12:$Z$72,$Q$825+1))</f>
        <v>0.16270537008534</v>
      </c>
      <c r="F856" s="48" t="n">
        <f aca="false">B856*(IF($A856&lt;$Q$825,INDEX(Surface_Engine!$D$12:$D$72,$A856+1)+(Surface_Engine!G244*12)*INDEX(Surface_Engine!$F$12:$F$72,$A856+1)-(Surface_Engine!G244*12),1000*12*INDEX(Surface_Engine!$C$12:$C$72,$A856+1)/(1+Assumptions!$B$10)^12+INDEX(Surface_Engine!$D$12:$D$72,$A856+1)))*INDEX(Surface_Engine!$B$12:$B$72,$A856+1)+F857</f>
        <v>4580.8414912939</v>
      </c>
      <c r="G856" s="48" t="n">
        <f aca="false">C856*(IF($A856&lt;$Q$825,INDEX(Surface_Engine!$D$12:$D$72,$A856+1)+(Surface_Engine!G244*12)*INDEX(Surface_Engine!$F$12:$F$72,$A856+1)-(Surface_Engine!G244*12),1000*12*INDEX(Surface_Engine!$C$12:$C$72,$A856+1)/(1+Assumptions!$B$10)^12+INDEX(Surface_Engine!$D$12:$D$72,$A856+1)))*INDEX(Surface_Engine!$B$12:$B$72,$A856+1)+G857</f>
        <v>7809.48958623618</v>
      </c>
      <c r="H856" s="48" t="n">
        <f aca="false">D856*(IF($A856&lt;$Q$825,INDEX(Surface_Engine!$D$12:$D$72,$A856+1)+(Surface_Engine!G244*12)*INDEX(Surface_Engine!$F$12:$F$72,$A856+1)-(Surface_Engine!G244*12),1000*12*INDEX(Surface_Engine!$C$12:$C$72,$A856+1)/(1+Assumptions!$B$10)^12+INDEX(Surface_Engine!$D$12:$D$72,$A856+1)))*INDEX(Surface_Engine!$B$12:$B$72,$A856+1)+H857</f>
        <v>4207.37986392015</v>
      </c>
      <c r="I856" s="48" t="n">
        <f aca="false">E856*(IF($A856&lt;$Q$825,INDEX(Surface_Engine!$D$12:$D$72,$A856+1)+(Surface_Engine!G244*12)*INDEX(Surface_Engine!$F$12:$F$72,$A856+1)-(Surface_Engine!G244*12),1000*12*INDEX(Surface_Engine!$C$12:$C$72,$A856+1)/(1+Assumptions!$B$10)^12+INDEX(Surface_Engine!$D$12:$D$72,$A856+1)))*INDEX(Surface_Engine!$B$12:$B$72,$A856+1)+I857</f>
        <v>4983.19200938599</v>
      </c>
      <c r="J856" s="48" t="n">
        <f aca="false">B856*(IF($A856&lt;$Q$825,INDEX(Surface_Engine!$D$12:$D$72,$A856+1)*(1+Assumptions!$B$24)+(Surface_Engine!G244*12)*INDEX(Surface_Engine!$F$12:$F$72,$A856+1)-(Surface_Engine!G244*12),1000*12*INDEX(Surface_Engine!$C$12:$C$72,$A856+1)/(1+Assumptions!$B$10)^12+INDEX(Surface_Engine!$D$12:$D$72,$A856+1)*(1+Assumptions!$B$24)))*INDEX(Surface_Engine!$B$12:$B$72,$A856+1)+J857</f>
        <v>4585.43727101973</v>
      </c>
      <c r="K856" s="12" t="n">
        <f aca="false">SQRT((IF(C856&lt;=0,0,MAX(0,(B856/C856)*G856/INDEX(Surface_Engine!$B$12:$B$72,$A856+1)-F856/INDEX(Surface_Engine!$B$12:$B$72,$A856+1))))^2+(MAX(IF(D856&lt;=0,0,MAX(0,(B856/D856)*H856/INDEX(Surface_Engine!$B$12:$B$72,$A856+1)-F856/INDEX(Surface_Engine!$B$12:$B$72,$A856+1))),IF(E856&lt;=0,0,MAX(0,(B856/E856)*I856/INDEX(Surface_Engine!$B$12:$B$72,$A856+1)-F856/INDEX(Surface_Engine!$B$12:$B$72,$A856+1))),IF($A856&lt;$Q$825,MAX(0,-Assumptions!$B$22*(F856/INDEX(Surface_Engine!$B$12:$B$72,$A856+1))),0)))^2+(MAX(0,J856/INDEX(Surface_Engine!$B$12:$B$72,$A856+1)-(F856/INDEX(Surface_Engine!$B$12:$B$72,$A856+1))))^2+2*Assumptions!$B$26*(IF(C856&lt;=0,0,MAX(0,(B856/C856)*G856/INDEX(Surface_Engine!$B$12:$B$72,$A856+1)-F856/INDEX(Surface_Engine!$B$12:$B$72,$A856+1))))*(MAX(IF(D856&lt;=0,0,MAX(0,(B856/D856)*H856/INDEX(Surface_Engine!$B$12:$B$72,$A856+1)-F856/INDEX(Surface_Engine!$B$12:$B$72,$A856+1))),IF(E856&lt;=0,0,MAX(0,(B856/E856)*I856/INDEX(Surface_Engine!$B$12:$B$72,$A856+1)-F856/INDEX(Surface_Engine!$B$12:$B$72,$A856+1))),IF($A856&lt;$Q$825,MAX(0,-Assumptions!$B$22*(F856/INDEX(Surface_Engine!$B$12:$B$72,$A856+1))),0)))+2*Assumptions!$B$27*(IF(C856&lt;=0,0,MAX(0,(B856/C856)*G856/INDEX(Surface_Engine!$B$12:$B$72,$A856+1)-F856/INDEX(Surface_Engine!$B$12:$B$72,$A856+1))))*(MAX(0,J856/INDEX(Surface_Engine!$B$12:$B$72,$A856+1)-(F856/INDEX(Surface_Engine!$B$12:$B$72,$A856+1))))+2*Assumptions!$B$28*(MAX(IF(D856&lt;=0,0,MAX(0,(B856/D856)*H856/INDEX(Surface_Engine!$B$12:$B$72,$A856+1)-F856/INDEX(Surface_Engine!$B$12:$B$72,$A856+1))),IF(E856&lt;=0,0,MAX(0,(B856/E856)*I856/INDEX(Surface_Engine!$B$12:$B$72,$A856+1)-F856/INDEX(Surface_Engine!$B$12:$B$72,$A856+1))),IF($A856&lt;$Q$825,MAX(0,-Assumptions!$B$22*(F856/INDEX(Surface_Engine!$B$12:$B$72,$A856+1))),0)))*(MAX(0,J856/INDEX(Surface_Engine!$B$12:$B$72,$A856+1)-(F856/INDEX(Surface_Engine!$B$12:$B$72,$A856+1)))))</f>
        <v>2124.59846449589</v>
      </c>
      <c r="L856" s="48" t="n">
        <f aca="false">K856*INDEX(Surface_Engine!$B$12:$B$72,$A856+1)+L857</f>
        <v>3405.56287406812</v>
      </c>
      <c r="M856" s="48" t="n">
        <f aca="false">M855+B855*(IF($A855&lt;$Q$825,(Surface_Engine!G244*12)-(Surface_Engine!G244*12)*INDEX(Surface_Engine!$F$12:$F$72,$A855+1)-INDEX(Surface_Engine!$D$12:$D$72,$A855+1),-(1000*12*INDEX(Surface_Engine!$C$12:$C$72,$A855+1)/(1+Assumptions!$B$10)^12+INDEX(Surface_Engine!$D$12:$D$72,$A855+1))))*INDEX(Surface_Engine!$B$12:$B$72,$A855+1)</f>
        <v>7099.20343965229</v>
      </c>
      <c r="N856" s="12" t="n">
        <f aca="false">IF(B856&lt;=0,0,MAX(0,(K856+Assumptions!$B$29*L856/INDEX(Surface_Engine!$B$12:$B$72,$A856+1)-(M856/INDEX(Surface_Engine!$B$12:$B$72,$A856+1)-(F856/INDEX(Surface_Engine!$B$12:$B$72,$A856+1))))/B856))</f>
        <v>0</v>
      </c>
    </row>
    <row r="857" customFormat="false" ht="15" hidden="false" customHeight="true" outlineLevel="0" collapsed="false">
      <c r="A857" s="1" t="n">
        <v>30</v>
      </c>
      <c r="B857" s="32" t="n">
        <f aca="false">INDEX(Surface_Engine!$O$12:$O$72,$A857+1)*IF($A857&lt;$Q$825,INDEX(Surface_Engine!$E$12:$E$72,$A857+1),INDEX(Surface_Engine!$E$12:$E$72,$Q$825+1))</f>
        <v>0.12229869960523</v>
      </c>
      <c r="C857" s="32" t="n">
        <f aca="false">INDEX(Panel_Reserving!$E$8:$E$68,$A857+1)*IF($A857&lt;$Q$825,INDEX(Surface_Engine!$E$12:$E$72,$A857+1),INDEX(Surface_Engine!$E$12:$E$72,$Q$825+1))</f>
        <v>0.183524059247046</v>
      </c>
      <c r="D857" s="32" t="n">
        <f aca="false">INDEX(Surface_Engine!$O$12:$O$72,$A857+1)*IF($A857&lt;$Q$825,INDEX(Surface_Engine!$Y$12:$Y$72,$A857+1),INDEX(Surface_Engine!$Y$12:$Y$72,$Q$825+1))</f>
        <v>0.112328070526038</v>
      </c>
      <c r="E857" s="32" t="n">
        <f aca="false">INDEX(Surface_Engine!$O$12:$O$72,$A857+1)*IF($A857&lt;$Q$825,INDEX(Surface_Engine!$Z$12:$Z$72,$A857+1),INDEX(Surface_Engine!$Z$12:$Z$72,$Q$825+1))</f>
        <v>0.133040600463767</v>
      </c>
      <c r="F857" s="48" t="n">
        <f aca="false">B857*(IF($A857&lt;$Q$825,INDEX(Surface_Engine!$D$12:$D$72,$A857+1)+(Surface_Engine!G244*12)*INDEX(Surface_Engine!$F$12:$F$72,$A857+1)-(Surface_Engine!G244*12),1000*12*INDEX(Surface_Engine!$C$12:$C$72,$A857+1)/(1+Assumptions!$B$10)^12+INDEX(Surface_Engine!$D$12:$D$72,$A857+1)))*INDEX(Surface_Engine!$B$12:$B$72,$A857+1)+F858</f>
        <v>3557.48949570095</v>
      </c>
      <c r="G857" s="48" t="n">
        <f aca="false">C857*(IF($A857&lt;$Q$825,INDEX(Surface_Engine!$D$12:$D$72,$A857+1)+(Surface_Engine!G244*12)*INDEX(Surface_Engine!$F$12:$F$72,$A857+1)-(Surface_Engine!G244*12),1000*12*INDEX(Surface_Engine!$C$12:$C$72,$A857+1)/(1+Assumptions!$B$10)^12+INDEX(Surface_Engine!$D$12:$D$72,$A857+1)))*INDEX(Surface_Engine!$B$12:$B$72,$A857+1)+G858</f>
        <v>6339.38497684841</v>
      </c>
      <c r="H857" s="48" t="n">
        <f aca="false">D857*(IF($A857&lt;$Q$825,INDEX(Surface_Engine!$D$12:$D$72,$A857+1)+(Surface_Engine!G244*12)*INDEX(Surface_Engine!$F$12:$F$72,$A857+1)-(Surface_Engine!G244*12),1000*12*INDEX(Surface_Engine!$C$12:$C$72,$A857+1)/(1+Assumptions!$B$10)^12+INDEX(Surface_Engine!$D$12:$D$72,$A857+1)))*INDEX(Surface_Engine!$B$12:$B$72,$A857+1)+H858</f>
        <v>3267.45854419246</v>
      </c>
      <c r="I857" s="48" t="n">
        <f aca="false">E857*(IF($A857&lt;$Q$825,INDEX(Surface_Engine!$D$12:$D$72,$A857+1)+(Surface_Engine!G244*12)*INDEX(Surface_Engine!$F$12:$F$72,$A857+1)-(Surface_Engine!G244*12),1000*12*INDEX(Surface_Engine!$C$12:$C$72,$A857+1)/(1+Assumptions!$B$10)^12+INDEX(Surface_Engine!$D$12:$D$72,$A857+1)))*INDEX(Surface_Engine!$B$12:$B$72,$A857+1)+I858</f>
        <v>3869.95561015236</v>
      </c>
      <c r="J857" s="48" t="n">
        <f aca="false">B857*(IF($A857&lt;$Q$825,INDEX(Surface_Engine!$D$12:$D$72,$A857+1)*(1+Assumptions!$B$24)+(Surface_Engine!G244*12)*INDEX(Surface_Engine!$F$12:$F$72,$A857+1)-(Surface_Engine!G244*12),1000*12*INDEX(Surface_Engine!$C$12:$C$72,$A857+1)/(1+Assumptions!$B$10)^12+INDEX(Surface_Engine!$D$12:$D$72,$A857+1)*(1+Assumptions!$B$24)))*INDEX(Surface_Engine!$B$12:$B$72,$A857+1)+J858</f>
        <v>3561.07339039681</v>
      </c>
      <c r="K857" s="12" t="n">
        <f aca="false">SQRT((IF(C857&lt;=0,0,MAX(0,(B857/C857)*G857/INDEX(Surface_Engine!$B$12:$B$72,$A857+1)-F857/INDEX(Surface_Engine!$B$12:$B$72,$A857+1))))^2+(MAX(IF(D857&lt;=0,0,MAX(0,(B857/D857)*H857/INDEX(Surface_Engine!$B$12:$B$72,$A857+1)-F857/INDEX(Surface_Engine!$B$12:$B$72,$A857+1))),IF(E857&lt;=0,0,MAX(0,(B857/E857)*I857/INDEX(Surface_Engine!$B$12:$B$72,$A857+1)-F857/INDEX(Surface_Engine!$B$12:$B$72,$A857+1))),IF($A857&lt;$Q$825,MAX(0,-Assumptions!$B$22*(F857/INDEX(Surface_Engine!$B$12:$B$72,$A857+1))),0)))^2+(MAX(0,J857/INDEX(Surface_Engine!$B$12:$B$72,$A857+1)-(F857/INDEX(Surface_Engine!$B$12:$B$72,$A857+1))))^2+2*Assumptions!$B$26*(IF(C857&lt;=0,0,MAX(0,(B857/C857)*G857/INDEX(Surface_Engine!$B$12:$B$72,$A857+1)-F857/INDEX(Surface_Engine!$B$12:$B$72,$A857+1))))*(MAX(IF(D857&lt;=0,0,MAX(0,(B857/D857)*H857/INDEX(Surface_Engine!$B$12:$B$72,$A857+1)-F857/INDEX(Surface_Engine!$B$12:$B$72,$A857+1))),IF(E857&lt;=0,0,MAX(0,(B857/E857)*I857/INDEX(Surface_Engine!$B$12:$B$72,$A857+1)-F857/INDEX(Surface_Engine!$B$12:$B$72,$A857+1))),IF($A857&lt;$Q$825,MAX(0,-Assumptions!$B$22*(F857/INDEX(Surface_Engine!$B$12:$B$72,$A857+1))),0)))+2*Assumptions!$B$27*(IF(C857&lt;=0,0,MAX(0,(B857/C857)*G857/INDEX(Surface_Engine!$B$12:$B$72,$A857+1)-F857/INDEX(Surface_Engine!$B$12:$B$72,$A857+1))))*(MAX(0,J857/INDEX(Surface_Engine!$B$12:$B$72,$A857+1)-(F857/INDEX(Surface_Engine!$B$12:$B$72,$A857+1))))+2*Assumptions!$B$28*(MAX(IF(D857&lt;=0,0,MAX(0,(B857/D857)*H857/INDEX(Surface_Engine!$B$12:$B$72,$A857+1)-F857/INDEX(Surface_Engine!$B$12:$B$72,$A857+1))),IF(E857&lt;=0,0,MAX(0,(B857/E857)*I857/INDEX(Surface_Engine!$B$12:$B$72,$A857+1)-F857/INDEX(Surface_Engine!$B$12:$B$72,$A857+1))),IF($A857&lt;$Q$825,MAX(0,-Assumptions!$B$22*(F857/INDEX(Surface_Engine!$B$12:$B$72,$A857+1))),0)))*(MAX(0,J857/INDEX(Surface_Engine!$B$12:$B$72,$A857+1)-(F857/INDEX(Surface_Engine!$B$12:$B$72,$A857+1)))))</f>
        <v>1710.39485548218</v>
      </c>
      <c r="L857" s="48" t="n">
        <f aca="false">K857*INDEX(Surface_Engine!$B$12:$B$72,$A857+1)+L858</f>
        <v>2548.99347434067</v>
      </c>
      <c r="M857" s="48" t="n">
        <f aca="false">M856+B856*(IF($A856&lt;$Q$825,(Surface_Engine!G244*12)-(Surface_Engine!G244*12)*INDEX(Surface_Engine!$F$12:$F$72,$A856+1)-INDEX(Surface_Engine!$D$12:$D$72,$A856+1),-(1000*12*INDEX(Surface_Engine!$C$12:$C$72,$A856+1)/(1+Assumptions!$B$10)^12+INDEX(Surface_Engine!$D$12:$D$72,$A856+1))))*INDEX(Surface_Engine!$B$12:$B$72,$A856+1)</f>
        <v>6075.85144405933</v>
      </c>
      <c r="N857" s="12" t="n">
        <f aca="false">IF(B857&lt;=0,0,MAX(0,(K857+Assumptions!$B$29*L857/INDEX(Surface_Engine!$B$12:$B$72,$A857+1)-(M857/INDEX(Surface_Engine!$B$12:$B$72,$A857+1)-(F857/INDEX(Surface_Engine!$B$12:$B$72,$A857+1))))/B857))</f>
        <v>0</v>
      </c>
    </row>
    <row r="858" customFormat="false" ht="15" hidden="false" customHeight="true" outlineLevel="0" collapsed="false">
      <c r="A858" s="1" t="n">
        <v>31</v>
      </c>
      <c r="B858" s="32" t="n">
        <f aca="false">INDEX(Surface_Engine!$O$12:$O$72,$A858+1)*IF($A858&lt;$Q$825,INDEX(Surface_Engine!$E$12:$E$72,$A858+1),INDEX(Surface_Engine!$E$12:$E$72,$Q$825+1))</f>
        <v>0.0988067751287527</v>
      </c>
      <c r="C858" s="32" t="n">
        <f aca="false">INDEX(Panel_Reserving!$E$8:$E$68,$A858+1)*IF($A858&lt;$Q$825,INDEX(Surface_Engine!$E$12:$E$72,$A858+1),INDEX(Surface_Engine!$E$12:$E$72,$Q$825+1))</f>
        <v>0.155322069506421</v>
      </c>
      <c r="D858" s="32" t="n">
        <f aca="false">INDEX(Surface_Engine!$O$12:$O$72,$A858+1)*IF($A858&lt;$Q$825,INDEX(Surface_Engine!$Y$12:$Y$72,$A858+1),INDEX(Surface_Engine!$Y$12:$Y$72,$Q$825+1))</f>
        <v>0.090751368910208</v>
      </c>
      <c r="E858" s="32" t="n">
        <f aca="false">INDEX(Surface_Engine!$O$12:$O$72,$A858+1)*IF($A858&lt;$Q$825,INDEX(Surface_Engine!$Z$12:$Z$72,$A858+1),INDEX(Surface_Engine!$Z$12:$Z$72,$Q$825+1))</f>
        <v>0.107485302259547</v>
      </c>
      <c r="F858" s="48" t="n">
        <f aca="false">B858*(IF($A858&lt;$Q$825,INDEX(Surface_Engine!$D$12:$D$72,$A858+1)+(Surface_Engine!G244*12)*INDEX(Surface_Engine!$F$12:$F$72,$A858+1)-(Surface_Engine!G244*12),1000*12*INDEX(Surface_Engine!$C$12:$C$72,$A858+1)/(1+Assumptions!$B$10)^12+INDEX(Surface_Engine!$D$12:$D$72,$A858+1)))*INDEX(Surface_Engine!$B$12:$B$72,$A858+1)+F859</f>
        <v>2730.74351598022</v>
      </c>
      <c r="G858" s="48" t="n">
        <f aca="false">C858*(IF($A858&lt;$Q$825,INDEX(Surface_Engine!$D$12:$D$72,$A858+1)+(Surface_Engine!G244*12)*INDEX(Surface_Engine!$F$12:$F$72,$A858+1)-(Surface_Engine!G244*12),1000*12*INDEX(Surface_Engine!$C$12:$C$72,$A858+1)/(1+Assumptions!$B$10)^12+INDEX(Surface_Engine!$D$12:$D$72,$A858+1)))*INDEX(Surface_Engine!$B$12:$B$72,$A858+1)+G859</f>
        <v>5098.75217654645</v>
      </c>
      <c r="H858" s="48" t="n">
        <f aca="false">D858*(IF($A858&lt;$Q$825,INDEX(Surface_Engine!$D$12:$D$72,$A858+1)+(Surface_Engine!G244*12)*INDEX(Surface_Engine!$F$12:$F$72,$A858+1)-(Surface_Engine!G244*12),1000*12*INDEX(Surface_Engine!$C$12:$C$72,$A858+1)/(1+Assumptions!$B$10)^12+INDEX(Surface_Engine!$D$12:$D$72,$A858+1)))*INDEX(Surface_Engine!$B$12:$B$72,$A858+1)+H859</f>
        <v>2508.11456901567</v>
      </c>
      <c r="I858" s="48" t="n">
        <f aca="false">E858*(IF($A858&lt;$Q$825,INDEX(Surface_Engine!$D$12:$D$72,$A858+1)+(Surface_Engine!G244*12)*INDEX(Surface_Engine!$F$12:$F$72,$A858+1)-(Surface_Engine!G244*12),1000*12*INDEX(Surface_Engine!$C$12:$C$72,$A858+1)/(1+Assumptions!$B$10)^12+INDEX(Surface_Engine!$D$12:$D$72,$A858+1)))*INDEX(Surface_Engine!$B$12:$B$72,$A858+1)+I859</f>
        <v>2970.59378596214</v>
      </c>
      <c r="J858" s="48" t="n">
        <f aca="false">B858*(IF($A858&lt;$Q$825,INDEX(Surface_Engine!$D$12:$D$72,$A858+1)*(1+Assumptions!$B$24)+(Surface_Engine!G244*12)*INDEX(Surface_Engine!$F$12:$F$72,$A858+1)-(Surface_Engine!G244*12),1000*12*INDEX(Surface_Engine!$C$12:$C$72,$A858+1)/(1+Assumptions!$B$10)^12+INDEX(Surface_Engine!$D$12:$D$72,$A858+1)*(1+Assumptions!$B$24)))*INDEX(Surface_Engine!$B$12:$B$72,$A858+1)+J859</f>
        <v>2733.50596118371</v>
      </c>
      <c r="K858" s="12" t="n">
        <f aca="false">SQRT((IF(C858&lt;=0,0,MAX(0,(B858/C858)*G858/INDEX(Surface_Engine!$B$12:$B$72,$A858+1)-F858/INDEX(Surface_Engine!$B$12:$B$72,$A858+1))))^2+(MAX(IF(D858&lt;=0,0,MAX(0,(B858/D858)*H858/INDEX(Surface_Engine!$B$12:$B$72,$A858+1)-F858/INDEX(Surface_Engine!$B$12:$B$72,$A858+1))),IF(E858&lt;=0,0,MAX(0,(B858/E858)*I858/INDEX(Surface_Engine!$B$12:$B$72,$A858+1)-F858/INDEX(Surface_Engine!$B$12:$B$72,$A858+1))),IF($A858&lt;$Q$825,MAX(0,-Assumptions!$B$22*(F858/INDEX(Surface_Engine!$B$12:$B$72,$A858+1))),0)))^2+(MAX(0,J858/INDEX(Surface_Engine!$B$12:$B$72,$A858+1)-(F858/INDEX(Surface_Engine!$B$12:$B$72,$A858+1))))^2+2*Assumptions!$B$26*(IF(C858&lt;=0,0,MAX(0,(B858/C858)*G858/INDEX(Surface_Engine!$B$12:$B$72,$A858+1)-F858/INDEX(Surface_Engine!$B$12:$B$72,$A858+1))))*(MAX(IF(D858&lt;=0,0,MAX(0,(B858/D858)*H858/INDEX(Surface_Engine!$B$12:$B$72,$A858+1)-F858/INDEX(Surface_Engine!$B$12:$B$72,$A858+1))),IF(E858&lt;=0,0,MAX(0,(B858/E858)*I858/INDEX(Surface_Engine!$B$12:$B$72,$A858+1)-F858/INDEX(Surface_Engine!$B$12:$B$72,$A858+1))),IF($A858&lt;$Q$825,MAX(0,-Assumptions!$B$22*(F858/INDEX(Surface_Engine!$B$12:$B$72,$A858+1))),0)))+2*Assumptions!$B$27*(IF(C858&lt;=0,0,MAX(0,(B858/C858)*G858/INDEX(Surface_Engine!$B$12:$B$72,$A858+1)-F858/INDEX(Surface_Engine!$B$12:$B$72,$A858+1))))*(MAX(0,J858/INDEX(Surface_Engine!$B$12:$B$72,$A858+1)-(F858/INDEX(Surface_Engine!$B$12:$B$72,$A858+1))))+2*Assumptions!$B$28*(MAX(IF(D858&lt;=0,0,MAX(0,(B858/D858)*H858/INDEX(Surface_Engine!$B$12:$B$72,$A858+1)-F858/INDEX(Surface_Engine!$B$12:$B$72,$A858+1))),IF(E858&lt;=0,0,MAX(0,(B858/E858)*I858/INDEX(Surface_Engine!$B$12:$B$72,$A858+1)-F858/INDEX(Surface_Engine!$B$12:$B$72,$A858+1))),IF($A858&lt;$Q$825,MAX(0,-Assumptions!$B$22*(F858/INDEX(Surface_Engine!$B$12:$B$72,$A858+1))),0)))*(MAX(0,J858/INDEX(Surface_Engine!$B$12:$B$72,$A858+1)-(F858/INDEX(Surface_Engine!$B$12:$B$72,$A858+1)))))</f>
        <v>1357.18075488607</v>
      </c>
      <c r="L858" s="48" t="n">
        <f aca="false">K858*INDEX(Surface_Engine!$B$12:$B$72,$A858+1)+L859</f>
        <v>1881.07171223432</v>
      </c>
      <c r="M858" s="48" t="n">
        <f aca="false">M857+B857*(IF($A857&lt;$Q$825,(Surface_Engine!G244*12)-(Surface_Engine!G244*12)*INDEX(Surface_Engine!$F$12:$F$72,$A857+1)-INDEX(Surface_Engine!$D$12:$D$72,$A857+1),-(1000*12*INDEX(Surface_Engine!$C$12:$C$72,$A857+1)/(1+Assumptions!$B$10)^12+INDEX(Surface_Engine!$D$12:$D$72,$A857+1))))*INDEX(Surface_Engine!$B$12:$B$72,$A857+1)</f>
        <v>5249.1054643386</v>
      </c>
      <c r="N858" s="12" t="n">
        <f aca="false">IF(B858&lt;=0,0,MAX(0,(K858+Assumptions!$B$29*L858/INDEX(Surface_Engine!$B$12:$B$72,$A858+1)-(M858/INDEX(Surface_Engine!$B$12:$B$72,$A858+1)-(F858/INDEX(Surface_Engine!$B$12:$B$72,$A858+1))))/B858))</f>
        <v>0</v>
      </c>
    </row>
    <row r="859" customFormat="false" ht="15" hidden="false" customHeight="true" outlineLevel="0" collapsed="false">
      <c r="A859" s="1" t="n">
        <v>32</v>
      </c>
      <c r="B859" s="32" t="n">
        <f aca="false">INDEX(Surface_Engine!$O$12:$O$72,$A859+1)*IF($A859&lt;$Q$825,INDEX(Surface_Engine!$E$12:$E$72,$A859+1),INDEX(Surface_Engine!$E$12:$E$72,$Q$825+1))</f>
        <v>0.0788434378655494</v>
      </c>
      <c r="C859" s="32" t="n">
        <f aca="false">INDEX(Panel_Reserving!$E$8:$E$68,$A859+1)*IF($A859&lt;$Q$825,INDEX(Surface_Engine!$E$12:$E$72,$A859+1),INDEX(Surface_Engine!$E$12:$E$72,$Q$825+1))</f>
        <v>0.130216529090312</v>
      </c>
      <c r="D859" s="32" t="n">
        <f aca="false">INDEX(Surface_Engine!$O$12:$O$72,$A859+1)*IF($A859&lt;$Q$825,INDEX(Surface_Engine!$Y$12:$Y$72,$A859+1),INDEX(Surface_Engine!$Y$12:$Y$72,$Q$825+1))</f>
        <v>0.0724155798685043</v>
      </c>
      <c r="E859" s="32" t="n">
        <f aca="false">INDEX(Surface_Engine!$O$12:$O$72,$A859+1)*IF($A859&lt;$Q$825,INDEX(Surface_Engine!$Z$12:$Z$72,$A859+1),INDEX(Surface_Engine!$Z$12:$Z$72,$Q$825+1))</f>
        <v>0.0857685187996214</v>
      </c>
      <c r="F859" s="48" t="n">
        <f aca="false">B859*(IF($A859&lt;$Q$825,INDEX(Surface_Engine!$D$12:$D$72,$A859+1)+(Surface_Engine!G244*12)*INDEX(Surface_Engine!$F$12:$F$72,$A859+1)-(Surface_Engine!G244*12),1000*12*INDEX(Surface_Engine!$C$12:$C$72,$A859+1)/(1+Assumptions!$B$10)^12+INDEX(Surface_Engine!$D$12:$D$72,$A859+1)))*INDEX(Surface_Engine!$B$12:$B$72,$A859+1)+F860</f>
        <v>2070.63480269976</v>
      </c>
      <c r="G859" s="48" t="n">
        <f aca="false">C859*(IF($A859&lt;$Q$825,INDEX(Surface_Engine!$D$12:$D$72,$A859+1)+(Surface_Engine!G244*12)*INDEX(Surface_Engine!$F$12:$F$72,$A859+1)-(Surface_Engine!G244*12),1000*12*INDEX(Surface_Engine!$C$12:$C$72,$A859+1)/(1+Assumptions!$B$10)^12+INDEX(Surface_Engine!$D$12:$D$72,$A859+1)))*INDEX(Surface_Engine!$B$12:$B$72,$A859+1)+G860</f>
        <v>4061.07585007656</v>
      </c>
      <c r="H859" s="48" t="n">
        <f aca="false">D859*(IF($A859&lt;$Q$825,INDEX(Surface_Engine!$D$12:$D$72,$A859+1)+(Surface_Engine!G244*12)*INDEX(Surface_Engine!$F$12:$F$72,$A859+1)-(Surface_Engine!G244*12),1000*12*INDEX(Surface_Engine!$C$12:$C$72,$A859+1)/(1+Assumptions!$B$10)^12+INDEX(Surface_Engine!$D$12:$D$72,$A859+1)))*INDEX(Surface_Engine!$B$12:$B$72,$A859+1)+H860</f>
        <v>1901.8224470261</v>
      </c>
      <c r="I859" s="48" t="n">
        <f aca="false">E859*(IF($A859&lt;$Q$825,INDEX(Surface_Engine!$D$12:$D$72,$A859+1)+(Surface_Engine!G244*12)*INDEX(Surface_Engine!$F$12:$F$72,$A859+1)-(Surface_Engine!G244*12),1000*12*INDEX(Surface_Engine!$C$12:$C$72,$A859+1)/(1+Assumptions!$B$10)^12+INDEX(Surface_Engine!$D$12:$D$72,$A859+1)))*INDEX(Surface_Engine!$B$12:$B$72,$A859+1)+I860</f>
        <v>2252.50553261459</v>
      </c>
      <c r="J859" s="48" t="n">
        <f aca="false">B859*(IF($A859&lt;$Q$825,INDEX(Surface_Engine!$D$12:$D$72,$A859+1)*(1+Assumptions!$B$24)+(Surface_Engine!G244*12)*INDEX(Surface_Engine!$F$12:$F$72,$A859+1)-(Surface_Engine!G244*12),1000*12*INDEX(Surface_Engine!$C$12:$C$72,$A859+1)/(1+Assumptions!$B$10)^12+INDEX(Surface_Engine!$D$12:$D$72,$A859+1)*(1+Assumptions!$B$24)))*INDEX(Surface_Engine!$B$12:$B$72,$A859+1)+J860</f>
        <v>2072.738185131</v>
      </c>
      <c r="K859" s="12" t="n">
        <f aca="false">SQRT((IF(C859&lt;=0,0,MAX(0,(B859/C859)*G859/INDEX(Surface_Engine!$B$12:$B$72,$A859+1)-F859/INDEX(Surface_Engine!$B$12:$B$72,$A859+1))))^2+(MAX(IF(D859&lt;=0,0,MAX(0,(B859/D859)*H859/INDEX(Surface_Engine!$B$12:$B$72,$A859+1)-F859/INDEX(Surface_Engine!$B$12:$B$72,$A859+1))),IF(E859&lt;=0,0,MAX(0,(B859/E859)*I859/INDEX(Surface_Engine!$B$12:$B$72,$A859+1)-F859/INDEX(Surface_Engine!$B$12:$B$72,$A859+1))),IF($A859&lt;$Q$825,MAX(0,-Assumptions!$B$22*(F859/INDEX(Surface_Engine!$B$12:$B$72,$A859+1))),0)))^2+(MAX(0,J859/INDEX(Surface_Engine!$B$12:$B$72,$A859+1)-(F859/INDEX(Surface_Engine!$B$12:$B$72,$A859+1))))^2+2*Assumptions!$B$26*(IF(C859&lt;=0,0,MAX(0,(B859/C859)*G859/INDEX(Surface_Engine!$B$12:$B$72,$A859+1)-F859/INDEX(Surface_Engine!$B$12:$B$72,$A859+1))))*(MAX(IF(D859&lt;=0,0,MAX(0,(B859/D859)*H859/INDEX(Surface_Engine!$B$12:$B$72,$A859+1)-F859/INDEX(Surface_Engine!$B$12:$B$72,$A859+1))),IF(E859&lt;=0,0,MAX(0,(B859/E859)*I859/INDEX(Surface_Engine!$B$12:$B$72,$A859+1)-F859/INDEX(Surface_Engine!$B$12:$B$72,$A859+1))),IF($A859&lt;$Q$825,MAX(0,-Assumptions!$B$22*(F859/INDEX(Surface_Engine!$B$12:$B$72,$A859+1))),0)))+2*Assumptions!$B$27*(IF(C859&lt;=0,0,MAX(0,(B859/C859)*G859/INDEX(Surface_Engine!$B$12:$B$72,$A859+1)-F859/INDEX(Surface_Engine!$B$12:$B$72,$A859+1))))*(MAX(0,J859/INDEX(Surface_Engine!$B$12:$B$72,$A859+1)-(F859/INDEX(Surface_Engine!$B$12:$B$72,$A859+1))))+2*Assumptions!$B$28*(MAX(IF(D859&lt;=0,0,MAX(0,(B859/D859)*H859/INDEX(Surface_Engine!$B$12:$B$72,$A859+1)-F859/INDEX(Surface_Engine!$B$12:$B$72,$A859+1))),IF(E859&lt;=0,0,MAX(0,(B859/E859)*I859/INDEX(Surface_Engine!$B$12:$B$72,$A859+1)-F859/INDEX(Surface_Engine!$B$12:$B$72,$A859+1))),IF($A859&lt;$Q$825,MAX(0,-Assumptions!$B$22*(F859/INDEX(Surface_Engine!$B$12:$B$72,$A859+1))),0)))*(MAX(0,J859/INDEX(Surface_Engine!$B$12:$B$72,$A859+1)-(F859/INDEX(Surface_Engine!$B$12:$B$72,$A859+1)))))</f>
        <v>1061.01052642942</v>
      </c>
      <c r="L859" s="48" t="n">
        <f aca="false">K859*INDEX(Surface_Engine!$B$12:$B$72,$A859+1)+L860</f>
        <v>1367.59107799281</v>
      </c>
      <c r="M859" s="48" t="n">
        <f aca="false">M858+B858*(IF($A858&lt;$Q$825,(Surface_Engine!G244*12)-(Surface_Engine!G244*12)*INDEX(Surface_Engine!$F$12:$F$72,$A858+1)-INDEX(Surface_Engine!$D$12:$D$72,$A858+1),-(1000*12*INDEX(Surface_Engine!$C$12:$C$72,$A858+1)/(1+Assumptions!$B$10)^12+INDEX(Surface_Engine!$D$12:$D$72,$A858+1))))*INDEX(Surface_Engine!$B$12:$B$72,$A858+1)</f>
        <v>4588.99675105815</v>
      </c>
      <c r="N859" s="12" t="n">
        <f aca="false">IF(B859&lt;=0,0,MAX(0,(K859+Assumptions!$B$29*L859/INDEX(Surface_Engine!$B$12:$B$72,$A859+1)-(M859/INDEX(Surface_Engine!$B$12:$B$72,$A859+1)-(F859/INDEX(Surface_Engine!$B$12:$B$72,$A859+1))))/B859))</f>
        <v>0</v>
      </c>
    </row>
    <row r="860" customFormat="false" ht="15" hidden="false" customHeight="true" outlineLevel="0" collapsed="false">
      <c r="A860" s="1" t="n">
        <v>33</v>
      </c>
      <c r="B860" s="32" t="n">
        <f aca="false">INDEX(Surface_Engine!$O$12:$O$72,$A860+1)*IF($A860&lt;$Q$825,INDEX(Surface_Engine!$E$12:$E$72,$A860+1),INDEX(Surface_Engine!$E$12:$E$72,$Q$825+1))</f>
        <v>0.0620907652307427</v>
      </c>
      <c r="C860" s="32" t="n">
        <f aca="false">INDEX(Panel_Reserving!$E$8:$E$68,$A860+1)*IF($A860&lt;$Q$825,INDEX(Surface_Engine!$E$12:$E$72,$A860+1),INDEX(Surface_Engine!$E$12:$E$72,$Q$825+1))</f>
        <v>0.10808177756199</v>
      </c>
      <c r="D860" s="32" t="n">
        <f aca="false">INDEX(Surface_Engine!$O$12:$O$72,$A860+1)*IF($A860&lt;$Q$825,INDEX(Surface_Engine!$Y$12:$Y$72,$A860+1),INDEX(Surface_Engine!$Y$12:$Y$72,$Q$825+1))</f>
        <v>0.0570287000464254</v>
      </c>
      <c r="E860" s="32" t="n">
        <f aca="false">INDEX(Surface_Engine!$O$12:$O$72,$A860+1)*IF($A860&lt;$Q$825,INDEX(Surface_Engine!$Z$12:$Z$72,$A860+1),INDEX(Surface_Engine!$Z$12:$Z$72,$Q$825+1))</f>
        <v>0.0675444033028749</v>
      </c>
      <c r="F860" s="48" t="n">
        <f aca="false">B860*(IF($A860&lt;$Q$825,INDEX(Surface_Engine!$D$12:$D$72,$A860+1)+(Surface_Engine!G244*12)*INDEX(Surface_Engine!$F$12:$F$72,$A860+1)-(Surface_Engine!G244*12),1000*12*INDEX(Surface_Engine!$C$12:$C$72,$A860+1)/(1+Assumptions!$B$10)^12+INDEX(Surface_Engine!$D$12:$D$72,$A860+1)))*INDEX(Surface_Engine!$B$12:$B$72,$A860+1)+F861</f>
        <v>1550.24379333323</v>
      </c>
      <c r="G860" s="48" t="n">
        <f aca="false">C860*(IF($A860&lt;$Q$825,INDEX(Surface_Engine!$D$12:$D$72,$A860+1)+(Surface_Engine!G244*12)*INDEX(Surface_Engine!$F$12:$F$72,$A860+1)-(Surface_Engine!G244*12),1000*12*INDEX(Surface_Engine!$C$12:$C$72,$A860+1)/(1+Assumptions!$B$10)^12+INDEX(Surface_Engine!$D$12:$D$72,$A860+1)))*INDEX(Surface_Engine!$B$12:$B$72,$A860+1)+G861</f>
        <v>3201.60659246922</v>
      </c>
      <c r="H860" s="48" t="n">
        <f aca="false">D860*(IF($A860&lt;$Q$825,INDEX(Surface_Engine!$D$12:$D$72,$A860+1)+(Surface_Engine!G244*12)*INDEX(Surface_Engine!$F$12:$F$72,$A860+1)-(Surface_Engine!G244*12),1000*12*INDEX(Surface_Engine!$C$12:$C$72,$A860+1)/(1+Assumptions!$B$10)^12+INDEX(Surface_Engine!$D$12:$D$72,$A860+1)))*INDEX(Surface_Engine!$B$12:$B$72,$A860+1)+H861</f>
        <v>1423.8572831288</v>
      </c>
      <c r="I860" s="48" t="n">
        <f aca="false">E860*(IF($A860&lt;$Q$825,INDEX(Surface_Engine!$D$12:$D$72,$A860+1)+(Surface_Engine!G244*12)*INDEX(Surface_Engine!$F$12:$F$72,$A860+1)-(Surface_Engine!G244*12),1000*12*INDEX(Surface_Engine!$C$12:$C$72,$A860+1)/(1+Assumptions!$B$10)^12+INDEX(Surface_Engine!$D$12:$D$72,$A860+1)))*INDEX(Surface_Engine!$B$12:$B$72,$A860+1)+I861</f>
        <v>1686.4068530248</v>
      </c>
      <c r="J860" s="48" t="n">
        <f aca="false">B860*(IF($A860&lt;$Q$825,INDEX(Surface_Engine!$D$12:$D$72,$A860+1)*(1+Assumptions!$B$24)+(Surface_Engine!G244*12)*INDEX(Surface_Engine!$F$12:$F$72,$A860+1)-(Surface_Engine!G244*12),1000*12*INDEX(Surface_Engine!$C$12:$C$72,$A860+1)/(1+Assumptions!$B$10)^12+INDEX(Surface_Engine!$D$12:$D$72,$A860+1)*(1+Assumptions!$B$24)))*INDEX(Surface_Engine!$B$12:$B$72,$A860+1)+J861</f>
        <v>1551.82508797132</v>
      </c>
      <c r="K860" s="12" t="n">
        <f aca="false">SQRT((IF(C860&lt;=0,0,MAX(0,(B860/C860)*G860/INDEX(Surface_Engine!$B$12:$B$72,$A860+1)-F860/INDEX(Surface_Engine!$B$12:$B$72,$A860+1))))^2+(MAX(IF(D860&lt;=0,0,MAX(0,(B860/D860)*H860/INDEX(Surface_Engine!$B$12:$B$72,$A860+1)-F860/INDEX(Surface_Engine!$B$12:$B$72,$A860+1))),IF(E860&lt;=0,0,MAX(0,(B860/E860)*I860/INDEX(Surface_Engine!$B$12:$B$72,$A860+1)-F860/INDEX(Surface_Engine!$B$12:$B$72,$A860+1))),IF($A860&lt;$Q$825,MAX(0,-Assumptions!$B$22*(F860/INDEX(Surface_Engine!$B$12:$B$72,$A860+1))),0)))^2+(MAX(0,J860/INDEX(Surface_Engine!$B$12:$B$72,$A860+1)-(F860/INDEX(Surface_Engine!$B$12:$B$72,$A860+1))))^2+2*Assumptions!$B$26*(IF(C860&lt;=0,0,MAX(0,(B860/C860)*G860/INDEX(Surface_Engine!$B$12:$B$72,$A860+1)-F860/INDEX(Surface_Engine!$B$12:$B$72,$A860+1))))*(MAX(IF(D860&lt;=0,0,MAX(0,(B860/D860)*H860/INDEX(Surface_Engine!$B$12:$B$72,$A860+1)-F860/INDEX(Surface_Engine!$B$12:$B$72,$A860+1))),IF(E860&lt;=0,0,MAX(0,(B860/E860)*I860/INDEX(Surface_Engine!$B$12:$B$72,$A860+1)-F860/INDEX(Surface_Engine!$B$12:$B$72,$A860+1))),IF($A860&lt;$Q$825,MAX(0,-Assumptions!$B$22*(F860/INDEX(Surface_Engine!$B$12:$B$72,$A860+1))),0)))+2*Assumptions!$B$27*(IF(C860&lt;=0,0,MAX(0,(B860/C860)*G860/INDEX(Surface_Engine!$B$12:$B$72,$A860+1)-F860/INDEX(Surface_Engine!$B$12:$B$72,$A860+1))))*(MAX(0,J860/INDEX(Surface_Engine!$B$12:$B$72,$A860+1)-(F860/INDEX(Surface_Engine!$B$12:$B$72,$A860+1))))+2*Assumptions!$B$28*(MAX(IF(D860&lt;=0,0,MAX(0,(B860/D860)*H860/INDEX(Surface_Engine!$B$12:$B$72,$A860+1)-F860/INDEX(Surface_Engine!$B$12:$B$72,$A860+1))),IF(E860&lt;=0,0,MAX(0,(B860/E860)*I860/INDEX(Surface_Engine!$B$12:$B$72,$A860+1)-F860/INDEX(Surface_Engine!$B$12:$B$72,$A860+1))),IF($A860&lt;$Q$825,MAX(0,-Assumptions!$B$22*(F860/INDEX(Surface_Engine!$B$12:$B$72,$A860+1))),0)))*(MAX(0,J860/INDEX(Surface_Engine!$B$12:$B$72,$A860+1)-(F860/INDEX(Surface_Engine!$B$12:$B$72,$A860+1)))))</f>
        <v>815.493018408369</v>
      </c>
      <c r="L860" s="48" t="n">
        <f aca="false">K860*INDEX(Surface_Engine!$B$12:$B$72,$A860+1)+L861</f>
        <v>978.796558876722</v>
      </c>
      <c r="M860" s="48" t="n">
        <f aca="false">M859+B859*(IF($A859&lt;$Q$825,(Surface_Engine!G244*12)-(Surface_Engine!G244*12)*INDEX(Surface_Engine!$F$12:$F$72,$A859+1)-INDEX(Surface_Engine!$D$12:$D$72,$A859+1),-(1000*12*INDEX(Surface_Engine!$C$12:$C$72,$A859+1)/(1+Assumptions!$B$10)^12+INDEX(Surface_Engine!$D$12:$D$72,$A859+1))))*INDEX(Surface_Engine!$B$12:$B$72,$A859+1)</f>
        <v>4068.60574169161</v>
      </c>
      <c r="N860" s="12" t="n">
        <f aca="false">IF(B860&lt;=0,0,MAX(0,(K860+Assumptions!$B$29*L860/INDEX(Surface_Engine!$B$12:$B$72,$A860+1)-(M860/INDEX(Surface_Engine!$B$12:$B$72,$A860+1)-(F860/INDEX(Surface_Engine!$B$12:$B$72,$A860+1))))/B860))</f>
        <v>0</v>
      </c>
    </row>
    <row r="861" customFormat="false" ht="15" hidden="false" customHeight="true" outlineLevel="0" collapsed="false">
      <c r="A861" s="1" t="n">
        <v>34</v>
      </c>
      <c r="B861" s="32" t="n">
        <f aca="false">INDEX(Surface_Engine!$O$12:$O$72,$A861+1)*IF($A861&lt;$Q$825,INDEX(Surface_Engine!$E$12:$E$72,$A861+1),INDEX(Surface_Engine!$E$12:$E$72,$Q$825+1))</f>
        <v>0.0481992443313485</v>
      </c>
      <c r="C861" s="32" t="n">
        <f aca="false">INDEX(Panel_Reserving!$E$8:$E$68,$A861+1)*IF($A861&lt;$Q$825,INDEX(Surface_Engine!$E$12:$E$72,$A861+1),INDEX(Surface_Engine!$E$12:$E$72,$Q$825+1))</f>
        <v>0.088736932752731</v>
      </c>
      <c r="D861" s="32" t="n">
        <f aca="false">INDEX(Surface_Engine!$O$12:$O$72,$A861+1)*IF($A861&lt;$Q$825,INDEX(Surface_Engine!$Y$12:$Y$72,$A861+1),INDEX(Surface_Engine!$Y$12:$Y$72,$Q$825+1))</f>
        <v>0.0442697112400199</v>
      </c>
      <c r="E861" s="32" t="n">
        <f aca="false">INDEX(Surface_Engine!$O$12:$O$72,$A861+1)*IF($A861&lt;$Q$825,INDEX(Surface_Engine!$Z$12:$Z$72,$A861+1),INDEX(Surface_Engine!$Z$12:$Z$72,$Q$825+1))</f>
        <v>0.0524327439984342</v>
      </c>
      <c r="F861" s="48" t="n">
        <f aca="false">B861*(IF($A861&lt;$Q$825,INDEX(Surface_Engine!$D$12:$D$72,$A861+1)+(Surface_Engine!G244*12)*INDEX(Surface_Engine!$F$12:$F$72,$A861+1)-(Surface_Engine!G244*12),1000*12*INDEX(Surface_Engine!$C$12:$C$72,$A861+1)/(1+Assumptions!$B$10)^12+INDEX(Surface_Engine!$D$12:$D$72,$A861+1)))*INDEX(Surface_Engine!$B$12:$B$72,$A861+1)+F862</f>
        <v>1145.37900348263</v>
      </c>
      <c r="G861" s="48" t="n">
        <f aca="false">C861*(IF($A861&lt;$Q$825,INDEX(Surface_Engine!$D$12:$D$72,$A861+1)+(Surface_Engine!G244*12)*INDEX(Surface_Engine!$F$12:$F$72,$A861+1)-(Surface_Engine!G244*12),1000*12*INDEX(Surface_Engine!$C$12:$C$72,$A861+1)/(1+Assumptions!$B$10)^12+INDEX(Surface_Engine!$D$12:$D$72,$A861+1)))*INDEX(Surface_Engine!$B$12:$B$72,$A861+1)+G862</f>
        <v>2496.85595851104</v>
      </c>
      <c r="H861" s="48" t="n">
        <f aca="false">D861*(IF($A861&lt;$Q$825,INDEX(Surface_Engine!$D$12:$D$72,$A861+1)+(Surface_Engine!G244*12)*INDEX(Surface_Engine!$F$12:$F$72,$A861+1)-(Surface_Engine!G244*12),1000*12*INDEX(Surface_Engine!$C$12:$C$72,$A861+1)/(1+Assumptions!$B$10)^12+INDEX(Surface_Engine!$D$12:$D$72,$A861+1)))*INDEX(Surface_Engine!$B$12:$B$72,$A861+1)+H862</f>
        <v>1051.99984871088</v>
      </c>
      <c r="I861" s="48" t="n">
        <f aca="false">E861*(IF($A861&lt;$Q$825,INDEX(Surface_Engine!$D$12:$D$72,$A861+1)+(Surface_Engine!G244*12)*INDEX(Surface_Engine!$F$12:$F$72,$A861+1)-(Surface_Engine!G244*12),1000*12*INDEX(Surface_Engine!$C$12:$C$72,$A861+1)/(1+Assumptions!$B$10)^12+INDEX(Surface_Engine!$D$12:$D$72,$A861+1)))*INDEX(Surface_Engine!$B$12:$B$72,$A861+1)+I862</f>
        <v>1245.98144439635</v>
      </c>
      <c r="J861" s="48" t="n">
        <f aca="false">B861*(IF($A861&lt;$Q$825,INDEX(Surface_Engine!$D$12:$D$72,$A861+1)*(1+Assumptions!$B$24)+(Surface_Engine!G244*12)*INDEX(Surface_Engine!$F$12:$F$72,$A861+1)-(Surface_Engine!G244*12),1000*12*INDEX(Surface_Engine!$C$12:$C$72,$A861+1)/(1+Assumptions!$B$10)^12+INDEX(Surface_Engine!$D$12:$D$72,$A861+1)*(1+Assumptions!$B$24)))*INDEX(Surface_Engine!$B$12:$B$72,$A861+1)+J862</f>
        <v>1146.55214220165</v>
      </c>
      <c r="K861" s="12" t="n">
        <f aca="false">SQRT((IF(C861&lt;=0,0,MAX(0,(B861/C861)*G861/INDEX(Surface_Engine!$B$12:$B$72,$A861+1)-F861/INDEX(Surface_Engine!$B$12:$B$72,$A861+1))))^2+(MAX(IF(D861&lt;=0,0,MAX(0,(B861/D861)*H861/INDEX(Surface_Engine!$B$12:$B$72,$A861+1)-F861/INDEX(Surface_Engine!$B$12:$B$72,$A861+1))),IF(E861&lt;=0,0,MAX(0,(B861/E861)*I861/INDEX(Surface_Engine!$B$12:$B$72,$A861+1)-F861/INDEX(Surface_Engine!$B$12:$B$72,$A861+1))),IF($A861&lt;$Q$825,MAX(0,-Assumptions!$B$22*(F861/INDEX(Surface_Engine!$B$12:$B$72,$A861+1))),0)))^2+(MAX(0,J861/INDEX(Surface_Engine!$B$12:$B$72,$A861+1)-(F861/INDEX(Surface_Engine!$B$12:$B$72,$A861+1))))^2+2*Assumptions!$B$26*(IF(C861&lt;=0,0,MAX(0,(B861/C861)*G861/INDEX(Surface_Engine!$B$12:$B$72,$A861+1)-F861/INDEX(Surface_Engine!$B$12:$B$72,$A861+1))))*(MAX(IF(D861&lt;=0,0,MAX(0,(B861/D861)*H861/INDEX(Surface_Engine!$B$12:$B$72,$A861+1)-F861/INDEX(Surface_Engine!$B$12:$B$72,$A861+1))),IF(E861&lt;=0,0,MAX(0,(B861/E861)*I861/INDEX(Surface_Engine!$B$12:$B$72,$A861+1)-F861/INDEX(Surface_Engine!$B$12:$B$72,$A861+1))),IF($A861&lt;$Q$825,MAX(0,-Assumptions!$B$22*(F861/INDEX(Surface_Engine!$B$12:$B$72,$A861+1))),0)))+2*Assumptions!$B$27*(IF(C861&lt;=0,0,MAX(0,(B861/C861)*G861/INDEX(Surface_Engine!$B$12:$B$72,$A861+1)-F861/INDEX(Surface_Engine!$B$12:$B$72,$A861+1))))*(MAX(0,J861/INDEX(Surface_Engine!$B$12:$B$72,$A861+1)-(F861/INDEX(Surface_Engine!$B$12:$B$72,$A861+1))))+2*Assumptions!$B$28*(MAX(IF(D861&lt;=0,0,MAX(0,(B861/D861)*H861/INDEX(Surface_Engine!$B$12:$B$72,$A861+1)-F861/INDEX(Surface_Engine!$B$12:$B$72,$A861+1))),IF(E861&lt;=0,0,MAX(0,(B861/E861)*I861/INDEX(Surface_Engine!$B$12:$B$72,$A861+1)-F861/INDEX(Surface_Engine!$B$12:$B$72,$A861+1))),IF($A861&lt;$Q$825,MAX(0,-Assumptions!$B$22*(F861/INDEX(Surface_Engine!$B$12:$B$72,$A861+1))),0)))*(MAX(0,J861/INDEX(Surface_Engine!$B$12:$B$72,$A861+1)-(F861/INDEX(Surface_Engine!$B$12:$B$72,$A861+1)))))</f>
        <v>614.30148754937</v>
      </c>
      <c r="L861" s="48" t="n">
        <f aca="false">K861*INDEX(Surface_Engine!$B$12:$B$72,$A861+1)+L862</f>
        <v>689.383633091484</v>
      </c>
      <c r="M861" s="48" t="n">
        <f aca="false">M860+B860*(IF($A860&lt;$Q$825,(Surface_Engine!G244*12)-(Surface_Engine!G244*12)*INDEX(Surface_Engine!$F$12:$F$72,$A860+1)-INDEX(Surface_Engine!$D$12:$D$72,$A860+1),-(1000*12*INDEX(Surface_Engine!$C$12:$C$72,$A860+1)/(1+Assumptions!$B$10)^12+INDEX(Surface_Engine!$D$12:$D$72,$A860+1))))*INDEX(Surface_Engine!$B$12:$B$72,$A860+1)</f>
        <v>3663.74095184101</v>
      </c>
      <c r="N861" s="12" t="n">
        <f aca="false">IF(B861&lt;=0,0,MAX(0,(K861+Assumptions!$B$29*L861/INDEX(Surface_Engine!$B$12:$B$72,$A861+1)-(M861/INDEX(Surface_Engine!$B$12:$B$72,$A861+1)-(F861/INDEX(Surface_Engine!$B$12:$B$72,$A861+1))))/B861))</f>
        <v>0</v>
      </c>
    </row>
    <row r="862" customFormat="false" ht="15" hidden="false" customHeight="true" outlineLevel="0" collapsed="false">
      <c r="A862" s="1" t="n">
        <v>35</v>
      </c>
      <c r="B862" s="32" t="n">
        <f aca="false">INDEX(Surface_Engine!$O$12:$O$72,$A862+1)*IF($A862&lt;$Q$825,INDEX(Surface_Engine!$E$12:$E$72,$A862+1),INDEX(Surface_Engine!$E$12:$E$72,$Q$825+1))</f>
        <v>0.0368136471277098</v>
      </c>
      <c r="C862" s="32" t="n">
        <f aca="false">INDEX(Panel_Reserving!$E$8:$E$68,$A862+1)*IF($A862&lt;$Q$825,INDEX(Surface_Engine!$E$12:$E$72,$A862+1),INDEX(Surface_Engine!$E$12:$E$72,$Q$825+1))</f>
        <v>0.071967823818766</v>
      </c>
      <c r="D862" s="32" t="n">
        <f aca="false">INDEX(Surface_Engine!$O$12:$O$72,$A862+1)*IF($A862&lt;$Q$825,INDEX(Surface_Engine!$Y$12:$Y$72,$A862+1),INDEX(Surface_Engine!$Y$12:$Y$72,$Q$825+1))</f>
        <v>0.0338123460366314</v>
      </c>
      <c r="E862" s="32" t="n">
        <f aca="false">INDEX(Surface_Engine!$O$12:$O$72,$A862+1)*IF($A862&lt;$Q$825,INDEX(Surface_Engine!$Z$12:$Z$72,$A862+1),INDEX(Surface_Engine!$Z$12:$Z$72,$Q$825+1))</f>
        <v>0.0400471119884442</v>
      </c>
      <c r="F862" s="48" t="n">
        <f aca="false">B862*(IF($A862&lt;$Q$825,INDEX(Surface_Engine!$D$12:$D$72,$A862+1)+(Surface_Engine!G244*12)*INDEX(Surface_Engine!$F$12:$F$72,$A862+1)-(Surface_Engine!G244*12),1000*12*INDEX(Surface_Engine!$C$12:$C$72,$A862+1)/(1+Assumptions!$B$10)^12+INDEX(Surface_Engine!$D$12:$D$72,$A862+1)))*INDEX(Surface_Engine!$B$12:$B$72,$A862+1)+F863</f>
        <v>834.904983657853</v>
      </c>
      <c r="G862" s="48" t="n">
        <f aca="false">C862*(IF($A862&lt;$Q$825,INDEX(Surface_Engine!$D$12:$D$72,$A862+1)+(Surface_Engine!G244*12)*INDEX(Surface_Engine!$F$12:$F$72,$A862+1)-(Surface_Engine!G244*12),1000*12*INDEX(Surface_Engine!$C$12:$C$72,$A862+1)/(1+Assumptions!$B$10)^12+INDEX(Surface_Engine!$D$12:$D$72,$A862+1)))*INDEX(Surface_Engine!$B$12:$B$72,$A862+1)+G863</f>
        <v>1925.25960672462</v>
      </c>
      <c r="H862" s="48" t="n">
        <f aca="false">D862*(IF($A862&lt;$Q$825,INDEX(Surface_Engine!$D$12:$D$72,$A862+1)+(Surface_Engine!G244*12)*INDEX(Surface_Engine!$F$12:$F$72,$A862+1)-(Surface_Engine!G244*12),1000*12*INDEX(Surface_Engine!$C$12:$C$72,$A862+1)/(1+Assumptions!$B$10)^12+INDEX(Surface_Engine!$D$12:$D$72,$A862+1)))*INDEX(Surface_Engine!$B$12:$B$72,$A862+1)+H863</f>
        <v>766.83780113431</v>
      </c>
      <c r="I862" s="48" t="n">
        <f aca="false">E862*(IF($A862&lt;$Q$825,INDEX(Surface_Engine!$D$12:$D$72,$A862+1)+(Surface_Engine!G244*12)*INDEX(Surface_Engine!$F$12:$F$72,$A862+1)-(Surface_Engine!G244*12),1000*12*INDEX(Surface_Engine!$C$12:$C$72,$A862+1)/(1+Assumptions!$B$10)^12+INDEX(Surface_Engine!$D$12:$D$72,$A862+1)))*INDEX(Surface_Engine!$B$12:$B$72,$A862+1)+I863</f>
        <v>908.237460533737</v>
      </c>
      <c r="J862" s="48" t="n">
        <f aca="false">B862*(IF($A862&lt;$Q$825,INDEX(Surface_Engine!$D$12:$D$72,$A862+1)*(1+Assumptions!$B$24)+(Surface_Engine!G244*12)*INDEX(Surface_Engine!$F$12:$F$72,$A862+1)-(Surface_Engine!G244*12),1000*12*INDEX(Surface_Engine!$C$12:$C$72,$A862+1)/(1+Assumptions!$B$10)^12+INDEX(Surface_Engine!$D$12:$D$72,$A862+1)*(1+Assumptions!$B$24)))*INDEX(Surface_Engine!$B$12:$B$72,$A862+1)+J863</f>
        <v>835.763605766144</v>
      </c>
      <c r="K862" s="12" t="n">
        <f aca="false">SQRT((IF(C862&lt;=0,0,MAX(0,(B862/C862)*G862/INDEX(Surface_Engine!$B$12:$B$72,$A862+1)-F862/INDEX(Surface_Engine!$B$12:$B$72,$A862+1))))^2+(MAX(IF(D862&lt;=0,0,MAX(0,(B862/D862)*H862/INDEX(Surface_Engine!$B$12:$B$72,$A862+1)-F862/INDEX(Surface_Engine!$B$12:$B$72,$A862+1))),IF(E862&lt;=0,0,MAX(0,(B862/E862)*I862/INDEX(Surface_Engine!$B$12:$B$72,$A862+1)-F862/INDEX(Surface_Engine!$B$12:$B$72,$A862+1))),IF($A862&lt;$Q$825,MAX(0,-Assumptions!$B$22*(F862/INDEX(Surface_Engine!$B$12:$B$72,$A862+1))),0)))^2+(MAX(0,J862/INDEX(Surface_Engine!$B$12:$B$72,$A862+1)-(F862/INDEX(Surface_Engine!$B$12:$B$72,$A862+1))))^2+2*Assumptions!$B$26*(IF(C862&lt;=0,0,MAX(0,(B862/C862)*G862/INDEX(Surface_Engine!$B$12:$B$72,$A862+1)-F862/INDEX(Surface_Engine!$B$12:$B$72,$A862+1))))*(MAX(IF(D862&lt;=0,0,MAX(0,(B862/D862)*H862/INDEX(Surface_Engine!$B$12:$B$72,$A862+1)-F862/INDEX(Surface_Engine!$B$12:$B$72,$A862+1))),IF(E862&lt;=0,0,MAX(0,(B862/E862)*I862/INDEX(Surface_Engine!$B$12:$B$72,$A862+1)-F862/INDEX(Surface_Engine!$B$12:$B$72,$A862+1))),IF($A862&lt;$Q$825,MAX(0,-Assumptions!$B$22*(F862/INDEX(Surface_Engine!$B$12:$B$72,$A862+1))),0)))+2*Assumptions!$B$27*(IF(C862&lt;=0,0,MAX(0,(B862/C862)*G862/INDEX(Surface_Engine!$B$12:$B$72,$A862+1)-F862/INDEX(Surface_Engine!$B$12:$B$72,$A862+1))))*(MAX(0,J862/INDEX(Surface_Engine!$B$12:$B$72,$A862+1)-(F862/INDEX(Surface_Engine!$B$12:$B$72,$A862+1))))+2*Assumptions!$B$28*(MAX(IF(D862&lt;=0,0,MAX(0,(B862/D862)*H862/INDEX(Surface_Engine!$B$12:$B$72,$A862+1)-F862/INDEX(Surface_Engine!$B$12:$B$72,$A862+1))),IF(E862&lt;=0,0,MAX(0,(B862/E862)*I862/INDEX(Surface_Engine!$B$12:$B$72,$A862+1)-F862/INDEX(Surface_Engine!$B$12:$B$72,$A862+1))),IF($A862&lt;$Q$825,MAX(0,-Assumptions!$B$22*(F862/INDEX(Surface_Engine!$B$12:$B$72,$A862+1))),0)))*(MAX(0,J862/INDEX(Surface_Engine!$B$12:$B$72,$A862+1)-(F862/INDEX(Surface_Engine!$B$12:$B$72,$A862+1)))))</f>
        <v>451.076964613379</v>
      </c>
      <c r="L862" s="48" t="n">
        <f aca="false">K862*INDEX(Surface_Engine!$B$12:$B$72,$A862+1)+L863</f>
        <v>478.248916866808</v>
      </c>
      <c r="M862" s="48" t="n">
        <f aca="false">M861+B861*(IF($A861&lt;$Q$825,(Surface_Engine!G244*12)-(Surface_Engine!G244*12)*INDEX(Surface_Engine!$F$12:$F$72,$A861+1)-INDEX(Surface_Engine!$D$12:$D$72,$A861+1),-(1000*12*INDEX(Surface_Engine!$C$12:$C$72,$A861+1)/(1+Assumptions!$B$10)^12+INDEX(Surface_Engine!$D$12:$D$72,$A861+1))))*INDEX(Surface_Engine!$B$12:$B$72,$A861+1)</f>
        <v>3353.26693201624</v>
      </c>
      <c r="N862" s="12" t="n">
        <f aca="false">IF(B862&lt;=0,0,MAX(0,(K862+Assumptions!$B$29*L862/INDEX(Surface_Engine!$B$12:$B$72,$A862+1)-(M862/INDEX(Surface_Engine!$B$12:$B$72,$A862+1)-(F862/INDEX(Surface_Engine!$B$12:$B$72,$A862+1))))/B862))</f>
        <v>0</v>
      </c>
    </row>
    <row r="863" customFormat="false" ht="15" hidden="false" customHeight="true" outlineLevel="0" collapsed="false">
      <c r="A863" s="1" t="n">
        <v>36</v>
      </c>
      <c r="B863" s="32" t="n">
        <f aca="false">INDEX(Surface_Engine!$O$12:$O$72,$A863+1)*IF($A863&lt;$Q$825,INDEX(Surface_Engine!$E$12:$E$72,$A863+1),INDEX(Surface_Engine!$E$12:$E$72,$Q$825+1))</f>
        <v>0.0275904140390153</v>
      </c>
      <c r="C863" s="32" t="n">
        <f aca="false">INDEX(Panel_Reserving!$E$8:$E$68,$A863+1)*IF($A863&lt;$Q$825,INDEX(Surface_Engine!$E$12:$E$72,$A863+1),INDEX(Surface_Engine!$E$12:$E$72,$Q$825+1))</f>
        <v>0.0575432597615536</v>
      </c>
      <c r="D863" s="32" t="n">
        <f aca="false">INDEX(Surface_Engine!$O$12:$O$72,$A863+1)*IF($A863&lt;$Q$825,INDEX(Surface_Engine!$Y$12:$Y$72,$A863+1),INDEX(Surface_Engine!$Y$12:$Y$72,$Q$825+1))</f>
        <v>0.0253410541896274</v>
      </c>
      <c r="E863" s="32" t="n">
        <f aca="false">INDEX(Surface_Engine!$O$12:$O$72,$A863+1)*IF($A863&lt;$Q$825,INDEX(Surface_Engine!$Z$12:$Z$72,$A863+1),INDEX(Surface_Engine!$Z$12:$Z$72,$Q$825+1))</f>
        <v>0.0300137717133794</v>
      </c>
      <c r="F863" s="48" t="n">
        <f aca="false">B863*(IF($A863&lt;$Q$825,INDEX(Surface_Engine!$D$12:$D$72,$A863+1)+(Surface_Engine!G244*12)*INDEX(Surface_Engine!$F$12:$F$72,$A863+1)-(Surface_Engine!G244*12),1000*12*INDEX(Surface_Engine!$C$12:$C$72,$A863+1)/(1+Assumptions!$B$10)^12+INDEX(Surface_Engine!$D$12:$D$72,$A863+1)))*INDEX(Surface_Engine!$B$12:$B$72,$A863+1)+F864</f>
        <v>600.655202294986</v>
      </c>
      <c r="G863" s="48" t="n">
        <f aca="false">C863*(IF($A863&lt;$Q$825,INDEX(Surface_Engine!$D$12:$D$72,$A863+1)+(Surface_Engine!G244*12)*INDEX(Surface_Engine!$F$12:$F$72,$A863+1)-(Surface_Engine!G244*12),1000*12*INDEX(Surface_Engine!$C$12:$C$72,$A863+1)/(1+Assumptions!$B$10)^12+INDEX(Surface_Engine!$D$12:$D$72,$A863+1)))*INDEX(Surface_Engine!$B$12:$B$72,$A863+1)+G864</f>
        <v>1467.31945925094</v>
      </c>
      <c r="H863" s="48" t="n">
        <f aca="false">D863*(IF($A863&lt;$Q$825,INDEX(Surface_Engine!$D$12:$D$72,$A863+1)+(Surface_Engine!G244*12)*INDEX(Surface_Engine!$F$12:$F$72,$A863+1)-(Surface_Engine!G244*12),1000*12*INDEX(Surface_Engine!$C$12:$C$72,$A863+1)/(1+Assumptions!$B$10)^12+INDEX(Surface_Engine!$D$12:$D$72,$A863+1)))*INDEX(Surface_Engine!$B$12:$B$72,$A863+1)+H864</f>
        <v>551.685669128224</v>
      </c>
      <c r="I863" s="48" t="n">
        <f aca="false">E863*(IF($A863&lt;$Q$825,INDEX(Surface_Engine!$D$12:$D$72,$A863+1)+(Surface_Engine!G244*12)*INDEX(Surface_Engine!$F$12:$F$72,$A863+1)-(Surface_Engine!G244*12),1000*12*INDEX(Surface_Engine!$C$12:$C$72,$A863+1)/(1+Assumptions!$B$10)^12+INDEX(Surface_Engine!$D$12:$D$72,$A863+1)))*INDEX(Surface_Engine!$B$12:$B$72,$A863+1)+I864</f>
        <v>653.41274308687</v>
      </c>
      <c r="J863" s="48" t="n">
        <f aca="false">B863*(IF($A863&lt;$Q$825,INDEX(Surface_Engine!$D$12:$D$72,$A863+1)*(1+Assumptions!$B$24)+(Surface_Engine!G244*12)*INDEX(Surface_Engine!$F$12:$F$72,$A863+1)-(Surface_Engine!G244*12),1000*12*INDEX(Surface_Engine!$C$12:$C$72,$A863+1)/(1+Assumptions!$B$10)^12+INDEX(Surface_Engine!$D$12:$D$72,$A863+1)*(1+Assumptions!$B$24)))*INDEX(Surface_Engine!$B$12:$B$72,$A863+1)+J864</f>
        <v>601.275373130684</v>
      </c>
      <c r="K863" s="12" t="n">
        <f aca="false">SQRT((IF(C863&lt;=0,0,MAX(0,(B863/C863)*G863/INDEX(Surface_Engine!$B$12:$B$72,$A863+1)-F863/INDEX(Surface_Engine!$B$12:$B$72,$A863+1))))^2+(MAX(IF(D863&lt;=0,0,MAX(0,(B863/D863)*H863/INDEX(Surface_Engine!$B$12:$B$72,$A863+1)-F863/INDEX(Surface_Engine!$B$12:$B$72,$A863+1))),IF(E863&lt;=0,0,MAX(0,(B863/E863)*I863/INDEX(Surface_Engine!$B$12:$B$72,$A863+1)-F863/INDEX(Surface_Engine!$B$12:$B$72,$A863+1))),IF($A863&lt;$Q$825,MAX(0,-Assumptions!$B$22*(F863/INDEX(Surface_Engine!$B$12:$B$72,$A863+1))),0)))^2+(MAX(0,J863/INDEX(Surface_Engine!$B$12:$B$72,$A863+1)-(F863/INDEX(Surface_Engine!$B$12:$B$72,$A863+1))))^2+2*Assumptions!$B$26*(IF(C863&lt;=0,0,MAX(0,(B863/C863)*G863/INDEX(Surface_Engine!$B$12:$B$72,$A863+1)-F863/INDEX(Surface_Engine!$B$12:$B$72,$A863+1))))*(MAX(IF(D863&lt;=0,0,MAX(0,(B863/D863)*H863/INDEX(Surface_Engine!$B$12:$B$72,$A863+1)-F863/INDEX(Surface_Engine!$B$12:$B$72,$A863+1))),IF(E863&lt;=0,0,MAX(0,(B863/E863)*I863/INDEX(Surface_Engine!$B$12:$B$72,$A863+1)-F863/INDEX(Surface_Engine!$B$12:$B$72,$A863+1))),IF($A863&lt;$Q$825,MAX(0,-Assumptions!$B$22*(F863/INDEX(Surface_Engine!$B$12:$B$72,$A863+1))),0)))+2*Assumptions!$B$27*(IF(C863&lt;=0,0,MAX(0,(B863/C863)*G863/INDEX(Surface_Engine!$B$12:$B$72,$A863+1)-F863/INDEX(Surface_Engine!$B$12:$B$72,$A863+1))))*(MAX(0,J863/INDEX(Surface_Engine!$B$12:$B$72,$A863+1)-(F863/INDEX(Surface_Engine!$B$12:$B$72,$A863+1))))+2*Assumptions!$B$28*(MAX(IF(D863&lt;=0,0,MAX(0,(B863/D863)*H863/INDEX(Surface_Engine!$B$12:$B$72,$A863+1)-F863/INDEX(Surface_Engine!$B$12:$B$72,$A863+1))),IF(E863&lt;=0,0,MAX(0,(B863/E863)*I863/INDEX(Surface_Engine!$B$12:$B$72,$A863+1)-F863/INDEX(Surface_Engine!$B$12:$B$72,$A863+1))),IF($A863&lt;$Q$825,MAX(0,-Assumptions!$B$22*(F863/INDEX(Surface_Engine!$B$12:$B$72,$A863+1))),0)))*(MAX(0,J863/INDEX(Surface_Engine!$B$12:$B$72,$A863+1)-(F863/INDEX(Surface_Engine!$B$12:$B$72,$A863+1)))))</f>
        <v>319.573074646001</v>
      </c>
      <c r="L863" s="48" t="n">
        <f aca="false">K863*INDEX(Surface_Engine!$B$12:$B$72,$A863+1)+L864</f>
        <v>328.110335609389</v>
      </c>
      <c r="M863" s="48" t="n">
        <f aca="false">M862+B862*(IF($A862&lt;$Q$825,(Surface_Engine!G244*12)-(Surface_Engine!G244*12)*INDEX(Surface_Engine!$F$12:$F$72,$A862+1)-INDEX(Surface_Engine!$D$12:$D$72,$A862+1),-(1000*12*INDEX(Surface_Engine!$C$12:$C$72,$A862+1)/(1+Assumptions!$B$10)^12+INDEX(Surface_Engine!$D$12:$D$72,$A862+1))))*INDEX(Surface_Engine!$B$12:$B$72,$A862+1)</f>
        <v>3119.01715065337</v>
      </c>
      <c r="N863" s="12" t="n">
        <f aca="false">IF(B863&lt;=0,0,MAX(0,(K863+Assumptions!$B$29*L863/INDEX(Surface_Engine!$B$12:$B$72,$A863+1)-(M863/INDEX(Surface_Engine!$B$12:$B$72,$A863+1)-(F863/INDEX(Surface_Engine!$B$12:$B$72,$A863+1))))/B863))</f>
        <v>0</v>
      </c>
    </row>
    <row r="864" customFormat="false" ht="15" hidden="false" customHeight="true" outlineLevel="0" collapsed="false">
      <c r="A864" s="1" t="n">
        <v>37</v>
      </c>
      <c r="B864" s="32" t="n">
        <f aca="false">INDEX(Surface_Engine!$O$12:$O$72,$A864+1)*IF($A864&lt;$Q$825,INDEX(Surface_Engine!$E$12:$E$72,$A864+1),INDEX(Surface_Engine!$E$12:$E$72,$Q$825+1))</f>
        <v>0.0209565196399726</v>
      </c>
      <c r="C864" s="32" t="n">
        <f aca="false">INDEX(Panel_Reserving!$E$8:$E$68,$A864+1)*IF($A864&lt;$Q$825,INDEX(Surface_Engine!$E$12:$E$72,$A864+1),INDEX(Surface_Engine!$E$12:$E$72,$Q$825+1))</f>
        <v>0.0464746064794385</v>
      </c>
      <c r="D864" s="32" t="n">
        <f aca="false">INDEX(Surface_Engine!$O$12:$O$72,$A864+1)*IF($A864&lt;$Q$825,INDEX(Surface_Engine!$Y$12:$Y$72,$A864+1),INDEX(Surface_Engine!$Y$12:$Y$72,$Q$825+1))</f>
        <v>0.019248000376927</v>
      </c>
      <c r="E864" s="32" t="n">
        <f aca="false">INDEX(Surface_Engine!$O$12:$O$72,$A864+1)*IF($A864&lt;$Q$825,INDEX(Surface_Engine!$Z$12:$Z$72,$A864+1),INDEX(Surface_Engine!$Z$12:$Z$72,$Q$825+1))</f>
        <v>0.0227972003425412</v>
      </c>
      <c r="F864" s="48" t="n">
        <f aca="false">B864*(IF($A864&lt;$Q$825,INDEX(Surface_Engine!$D$12:$D$72,$A864+1)+(Surface_Engine!G244*12)*INDEX(Surface_Engine!$F$12:$F$72,$A864+1)-(Surface_Engine!G244*12),1000*12*INDEX(Surface_Engine!$C$12:$C$72,$A864+1)/(1+Assumptions!$B$10)^12+INDEX(Surface_Engine!$D$12:$D$72,$A864+1)))*INDEX(Surface_Engine!$B$12:$B$72,$A864+1)+F865</f>
        <v>427.175502091205</v>
      </c>
      <c r="G864" s="48" t="n">
        <f aca="false">C864*(IF($A864&lt;$Q$825,INDEX(Surface_Engine!$D$12:$D$72,$A864+1)+(Surface_Engine!G244*12)*INDEX(Surface_Engine!$F$12:$F$72,$A864+1)-(Surface_Engine!G244*12),1000*12*INDEX(Surface_Engine!$C$12:$C$72,$A864+1)/(1+Assumptions!$B$10)^12+INDEX(Surface_Engine!$D$12:$D$72,$A864+1)))*INDEX(Surface_Engine!$B$12:$B$72,$A864+1)+G865</f>
        <v>1105.50584391098</v>
      </c>
      <c r="H864" s="48" t="n">
        <f aca="false">D864*(IF($A864&lt;$Q$825,INDEX(Surface_Engine!$D$12:$D$72,$A864+1)+(Surface_Engine!G244*12)*INDEX(Surface_Engine!$F$12:$F$72,$A864+1)-(Surface_Engine!G244*12),1000*12*INDEX(Surface_Engine!$C$12:$C$72,$A864+1)/(1+Assumptions!$B$10)^12+INDEX(Surface_Engine!$D$12:$D$72,$A864+1)))*INDEX(Surface_Engine!$B$12:$B$72,$A864+1)+H865</f>
        <v>392.349224323597</v>
      </c>
      <c r="I864" s="48" t="n">
        <f aca="false">E864*(IF($A864&lt;$Q$825,INDEX(Surface_Engine!$D$12:$D$72,$A864+1)+(Surface_Engine!G244*12)*INDEX(Surface_Engine!$F$12:$F$72,$A864+1)-(Surface_Engine!G244*12),1000*12*INDEX(Surface_Engine!$C$12:$C$72,$A864+1)/(1+Assumptions!$B$10)^12+INDEX(Surface_Engine!$D$12:$D$72,$A864+1)))*INDEX(Surface_Engine!$B$12:$B$72,$A864+1)+I865</f>
        <v>464.695744804099</v>
      </c>
      <c r="J864" s="48" t="n">
        <f aca="false">B864*(IF($A864&lt;$Q$825,INDEX(Surface_Engine!$D$12:$D$72,$A864+1)*(1+Assumptions!$B$24)+(Surface_Engine!G244*12)*INDEX(Surface_Engine!$F$12:$F$72,$A864+1)-(Surface_Engine!G244*12),1000*12*INDEX(Surface_Engine!$C$12:$C$72,$A864+1)/(1+Assumptions!$B$10)^12+INDEX(Surface_Engine!$D$12:$D$72,$A864+1)*(1+Assumptions!$B$24)))*INDEX(Surface_Engine!$B$12:$B$72,$A864+1)+J865</f>
        <v>427.618224915509</v>
      </c>
      <c r="K864" s="12" t="n">
        <f aca="false">SQRT((IF(C864&lt;=0,0,MAX(0,(B864/C864)*G864/INDEX(Surface_Engine!$B$12:$B$72,$A864+1)-F864/INDEX(Surface_Engine!$B$12:$B$72,$A864+1))))^2+(MAX(IF(D864&lt;=0,0,MAX(0,(B864/D864)*H864/INDEX(Surface_Engine!$B$12:$B$72,$A864+1)-F864/INDEX(Surface_Engine!$B$12:$B$72,$A864+1))),IF(E864&lt;=0,0,MAX(0,(B864/E864)*I864/INDEX(Surface_Engine!$B$12:$B$72,$A864+1)-F864/INDEX(Surface_Engine!$B$12:$B$72,$A864+1))),IF($A864&lt;$Q$825,MAX(0,-Assumptions!$B$22*(F864/INDEX(Surface_Engine!$B$12:$B$72,$A864+1))),0)))^2+(MAX(0,J864/INDEX(Surface_Engine!$B$12:$B$72,$A864+1)-(F864/INDEX(Surface_Engine!$B$12:$B$72,$A864+1))))^2+2*Assumptions!$B$26*(IF(C864&lt;=0,0,MAX(0,(B864/C864)*G864/INDEX(Surface_Engine!$B$12:$B$72,$A864+1)-F864/INDEX(Surface_Engine!$B$12:$B$72,$A864+1))))*(MAX(IF(D864&lt;=0,0,MAX(0,(B864/D864)*H864/INDEX(Surface_Engine!$B$12:$B$72,$A864+1)-F864/INDEX(Surface_Engine!$B$12:$B$72,$A864+1))),IF(E864&lt;=0,0,MAX(0,(B864/E864)*I864/INDEX(Surface_Engine!$B$12:$B$72,$A864+1)-F864/INDEX(Surface_Engine!$B$12:$B$72,$A864+1))),IF($A864&lt;$Q$825,MAX(0,-Assumptions!$B$22*(F864/INDEX(Surface_Engine!$B$12:$B$72,$A864+1))),0)))+2*Assumptions!$B$27*(IF(C864&lt;=0,0,MAX(0,(B864/C864)*G864/INDEX(Surface_Engine!$B$12:$B$72,$A864+1)-F864/INDEX(Surface_Engine!$B$12:$B$72,$A864+1))))*(MAX(0,J864/INDEX(Surface_Engine!$B$12:$B$72,$A864+1)-(F864/INDEX(Surface_Engine!$B$12:$B$72,$A864+1))))+2*Assumptions!$B$28*(MAX(IF(D864&lt;=0,0,MAX(0,(B864/D864)*H864/INDEX(Surface_Engine!$B$12:$B$72,$A864+1)-F864/INDEX(Surface_Engine!$B$12:$B$72,$A864+1))),IF(E864&lt;=0,0,MAX(0,(B864/E864)*I864/INDEX(Surface_Engine!$B$12:$B$72,$A864+1)-F864/INDEX(Surface_Engine!$B$12:$B$72,$A864+1))),IF($A864&lt;$Q$825,MAX(0,-Assumptions!$B$22*(F864/INDEX(Surface_Engine!$B$12:$B$72,$A864+1))),0)))*(MAX(0,J864/INDEX(Surface_Engine!$B$12:$B$72,$A864+1)-(F864/INDEX(Surface_Engine!$B$12:$B$72,$A864+1)))))</f>
        <v>228.792168644647</v>
      </c>
      <c r="L864" s="48" t="n">
        <f aca="false">K864*INDEX(Surface_Engine!$B$12:$B$72,$A864+1)+L865</f>
        <v>225.069328809743</v>
      </c>
      <c r="M864" s="48" t="n">
        <f aca="false">M863+B863*(IF($A863&lt;$Q$825,(Surface_Engine!G244*12)-(Surface_Engine!G244*12)*INDEX(Surface_Engine!$F$12:$F$72,$A863+1)-INDEX(Surface_Engine!$D$12:$D$72,$A863+1),-(1000*12*INDEX(Surface_Engine!$C$12:$C$72,$A863+1)/(1+Assumptions!$B$10)^12+INDEX(Surface_Engine!$D$12:$D$72,$A863+1))))*INDEX(Surface_Engine!$B$12:$B$72,$A863+1)</f>
        <v>2945.53745044959</v>
      </c>
      <c r="N864" s="12" t="n">
        <f aca="false">IF(B864&lt;=0,0,MAX(0,(K864+Assumptions!$B$29*L864/INDEX(Surface_Engine!$B$12:$B$72,$A864+1)-(M864/INDEX(Surface_Engine!$B$12:$B$72,$A864+1)-(F864/INDEX(Surface_Engine!$B$12:$B$72,$A864+1))))/B864))</f>
        <v>0</v>
      </c>
    </row>
    <row r="865" customFormat="false" ht="15" hidden="false" customHeight="true" outlineLevel="0" collapsed="false">
      <c r="A865" s="1" t="n">
        <v>38</v>
      </c>
      <c r="B865" s="32" t="n">
        <f aca="false">INDEX(Surface_Engine!$O$12:$O$72,$A865+1)*IF($A865&lt;$Q$825,INDEX(Surface_Engine!$E$12:$E$72,$A865+1),INDEX(Surface_Engine!$E$12:$E$72,$Q$825+1))</f>
        <v>0.0183762084883487</v>
      </c>
      <c r="C865" s="32" t="n">
        <f aca="false">INDEX(Panel_Reserving!$E$8:$E$68,$A865+1)*IF($A865&lt;$Q$825,INDEX(Surface_Engine!$E$12:$E$72,$A865+1),INDEX(Surface_Engine!$E$12:$E$72,$Q$825+1))</f>
        <v>0.0418967873596074</v>
      </c>
      <c r="D865" s="32" t="n">
        <f aca="false">INDEX(Surface_Engine!$O$12:$O$72,$A865+1)*IF($A865&lt;$Q$825,INDEX(Surface_Engine!$Y$12:$Y$72,$A865+1),INDEX(Surface_Engine!$Y$12:$Y$72,$Q$825+1))</f>
        <v>0.0168780538938138</v>
      </c>
      <c r="E865" s="32" t="n">
        <f aca="false">INDEX(Surface_Engine!$O$12:$O$72,$A865+1)*IF($A865&lt;$Q$825,INDEX(Surface_Engine!$Z$12:$Z$72,$A865+1),INDEX(Surface_Engine!$Z$12:$Z$72,$Q$825+1))</f>
        <v>0.0199902518949821</v>
      </c>
      <c r="F865" s="48" t="n">
        <f aca="false">B865*(IF($A865&lt;$Q$825,INDEX(Surface_Engine!$D$12:$D$72,$A865+1)+(Surface_Engine!G244*12)*INDEX(Surface_Engine!$F$12:$F$72,$A865+1)-(Surface_Engine!G244*12),1000*12*INDEX(Surface_Engine!$C$12:$C$72,$A865+1)/(1+Assumptions!$B$10)^12+INDEX(Surface_Engine!$D$12:$D$72,$A865+1)))*INDEX(Surface_Engine!$B$12:$B$72,$A865+1)+F866</f>
        <v>297.019057619482</v>
      </c>
      <c r="G865" s="48" t="n">
        <f aca="false">C865*(IF($A865&lt;$Q$825,INDEX(Surface_Engine!$D$12:$D$72,$A865+1)+(Surface_Engine!G244*12)*INDEX(Surface_Engine!$F$12:$F$72,$A865+1)-(Surface_Engine!G244*12),1000*12*INDEX(Surface_Engine!$C$12:$C$72,$A865+1)/(1+Assumptions!$B$10)^12+INDEX(Surface_Engine!$D$12:$D$72,$A865+1)))*INDEX(Surface_Engine!$B$12:$B$72,$A865+1)+G866</f>
        <v>816.862040383207</v>
      </c>
      <c r="H865" s="48" t="n">
        <f aca="false">D865*(IF($A865&lt;$Q$825,INDEX(Surface_Engine!$D$12:$D$72,$A865+1)+(Surface_Engine!G244*12)*INDEX(Surface_Engine!$F$12:$F$72,$A865+1)-(Surface_Engine!G244*12),1000*12*INDEX(Surface_Engine!$C$12:$C$72,$A865+1)/(1+Assumptions!$B$10)^12+INDEX(Surface_Engine!$D$12:$D$72,$A865+1)))*INDEX(Surface_Engine!$B$12:$B$72,$A865+1)+H866</f>
        <v>272.804026204313</v>
      </c>
      <c r="I865" s="48" t="n">
        <f aca="false">E865*(IF($A865&lt;$Q$825,INDEX(Surface_Engine!$D$12:$D$72,$A865+1)+(Surface_Engine!G244*12)*INDEX(Surface_Engine!$F$12:$F$72,$A865+1)-(Surface_Engine!G244*12),1000*12*INDEX(Surface_Engine!$C$12:$C$72,$A865+1)/(1+Assumptions!$B$10)^12+INDEX(Surface_Engine!$D$12:$D$72,$A865+1)))*INDEX(Surface_Engine!$B$12:$B$72,$A865+1)+I866</f>
        <v>323.107227651898</v>
      </c>
      <c r="J865" s="48" t="n">
        <f aca="false">B865*(IF($A865&lt;$Q$825,INDEX(Surface_Engine!$D$12:$D$72,$A865+1)*(1+Assumptions!$B$24)+(Surface_Engine!G244*12)*INDEX(Surface_Engine!$F$12:$F$72,$A865+1)-(Surface_Engine!G244*12),1000*12*INDEX(Surface_Engine!$C$12:$C$72,$A865+1)/(1+Assumptions!$B$10)^12+INDEX(Surface_Engine!$D$12:$D$72,$A865+1)*(1+Assumptions!$B$24)))*INDEX(Surface_Engine!$B$12:$B$72,$A865+1)+J866</f>
        <v>297.328000789808</v>
      </c>
      <c r="K865" s="12" t="n">
        <f aca="false">SQRT((IF(C865&lt;=0,0,MAX(0,(B865/C865)*G865/INDEX(Surface_Engine!$B$12:$B$72,$A865+1)-F865/INDEX(Surface_Engine!$B$12:$B$72,$A865+1))))^2+(MAX(IF(D865&lt;=0,0,MAX(0,(B865/D865)*H865/INDEX(Surface_Engine!$B$12:$B$72,$A865+1)-F865/INDEX(Surface_Engine!$B$12:$B$72,$A865+1))),IF(E865&lt;=0,0,MAX(0,(B865/E865)*I865/INDEX(Surface_Engine!$B$12:$B$72,$A865+1)-F865/INDEX(Surface_Engine!$B$12:$B$72,$A865+1))),IF($A865&lt;$Q$825,MAX(0,-Assumptions!$B$22*(F865/INDEX(Surface_Engine!$B$12:$B$72,$A865+1))),0)))^2+(MAX(0,J865/INDEX(Surface_Engine!$B$12:$B$72,$A865+1)-(F865/INDEX(Surface_Engine!$B$12:$B$72,$A865+1))))^2+2*Assumptions!$B$26*(IF(C865&lt;=0,0,MAX(0,(B865/C865)*G865/INDEX(Surface_Engine!$B$12:$B$72,$A865+1)-F865/INDEX(Surface_Engine!$B$12:$B$72,$A865+1))))*(MAX(IF(D865&lt;=0,0,MAX(0,(B865/D865)*H865/INDEX(Surface_Engine!$B$12:$B$72,$A865+1)-F865/INDEX(Surface_Engine!$B$12:$B$72,$A865+1))),IF(E865&lt;=0,0,MAX(0,(B865/E865)*I865/INDEX(Surface_Engine!$B$12:$B$72,$A865+1)-F865/INDEX(Surface_Engine!$B$12:$B$72,$A865+1))),IF($A865&lt;$Q$825,MAX(0,-Assumptions!$B$22*(F865/INDEX(Surface_Engine!$B$12:$B$72,$A865+1))),0)))+2*Assumptions!$B$27*(IF(C865&lt;=0,0,MAX(0,(B865/C865)*G865/INDEX(Surface_Engine!$B$12:$B$72,$A865+1)-F865/INDEX(Surface_Engine!$B$12:$B$72,$A865+1))))*(MAX(0,J865/INDEX(Surface_Engine!$B$12:$B$72,$A865+1)-(F865/INDEX(Surface_Engine!$B$12:$B$72,$A865+1))))+2*Assumptions!$B$28*(MAX(IF(D865&lt;=0,0,MAX(0,(B865/D865)*H865/INDEX(Surface_Engine!$B$12:$B$72,$A865+1)-F865/INDEX(Surface_Engine!$B$12:$B$72,$A865+1))),IF(E865&lt;=0,0,MAX(0,(B865/E865)*I865/INDEX(Surface_Engine!$B$12:$B$72,$A865+1)-F865/INDEX(Surface_Engine!$B$12:$B$72,$A865+1))),IF($A865&lt;$Q$825,MAX(0,-Assumptions!$B$22*(F865/INDEX(Surface_Engine!$B$12:$B$72,$A865+1))),0)))*(MAX(0,J865/INDEX(Surface_Engine!$B$12:$B$72,$A865+1)-(F865/INDEX(Surface_Engine!$B$12:$B$72,$A865+1)))))</f>
        <v>202.886199307248</v>
      </c>
      <c r="L865" s="48" t="n">
        <f aca="false">K865*INDEX(Surface_Engine!$B$12:$B$72,$A865+1)+L866</f>
        <v>153.633647261234</v>
      </c>
      <c r="M865" s="48" t="n">
        <f aca="false">M864+B864*(IF($A864&lt;$Q$825,(Surface_Engine!G244*12)-(Surface_Engine!G244*12)*INDEX(Surface_Engine!$F$12:$F$72,$A864+1)-INDEX(Surface_Engine!$D$12:$D$72,$A864+1),-(1000*12*INDEX(Surface_Engine!$C$12:$C$72,$A864+1)/(1+Assumptions!$B$10)^12+INDEX(Surface_Engine!$D$12:$D$72,$A864+1))))*INDEX(Surface_Engine!$B$12:$B$72,$A864+1)</f>
        <v>2815.38100597787</v>
      </c>
      <c r="N865" s="12" t="n">
        <f aca="false">IF(B865&lt;=0,0,MAX(0,(K865+Assumptions!$B$29*L865/INDEX(Surface_Engine!$B$12:$B$72,$A865+1)-(M865/INDEX(Surface_Engine!$B$12:$B$72,$A865+1)-(F865/INDEX(Surface_Engine!$B$12:$B$72,$A865+1))))/B865))</f>
        <v>0</v>
      </c>
    </row>
    <row r="866" customFormat="false" ht="15" hidden="false" customHeight="true" outlineLevel="0" collapsed="false">
      <c r="A866" s="1" t="n">
        <v>39</v>
      </c>
      <c r="B866" s="32" t="n">
        <f aca="false">INDEX(Surface_Engine!$O$12:$O$72,$A866+1)*IF($A866&lt;$Q$825,INDEX(Surface_Engine!$E$12:$E$72,$A866+1),INDEX(Surface_Engine!$E$12:$E$72,$Q$825+1))</f>
        <v>0.0121932102450794</v>
      </c>
      <c r="C866" s="32" t="n">
        <f aca="false">INDEX(Panel_Reserving!$E$8:$E$68,$A866+1)*IF($A866&lt;$Q$825,INDEX(Surface_Engine!$E$12:$E$72,$A866+1),INDEX(Surface_Engine!$E$12:$E$72,$Q$825+1))</f>
        <v>0.0306192591227101</v>
      </c>
      <c r="D866" s="32" t="n">
        <f aca="false">INDEX(Surface_Engine!$O$12:$O$72,$A866+1)*IF($A866&lt;$Q$825,INDEX(Surface_Engine!$Y$12:$Y$72,$A866+1),INDEX(Surface_Engine!$Y$12:$Y$72,$Q$825+1))</f>
        <v>0.0111991360886843</v>
      </c>
      <c r="E866" s="32" t="n">
        <f aca="false">INDEX(Surface_Engine!$O$12:$O$72,$A866+1)*IF($A866&lt;$Q$825,INDEX(Surface_Engine!$Z$12:$Z$72,$A866+1),INDEX(Surface_Engine!$Z$12:$Z$72,$Q$825+1))</f>
        <v>0.0132641803864033</v>
      </c>
      <c r="F866" s="48" t="n">
        <f aca="false">B866*(IF($A866&lt;$Q$825,INDEX(Surface_Engine!$D$12:$D$72,$A866+1)+(Surface_Engine!G244*12)*INDEX(Surface_Engine!$F$12:$F$72,$A866+1)-(Surface_Engine!G244*12),1000*12*INDEX(Surface_Engine!$C$12:$C$72,$A866+1)/(1+Assumptions!$B$10)^12+INDEX(Surface_Engine!$D$12:$D$72,$A866+1)))*INDEX(Surface_Engine!$B$12:$B$72,$A866+1)+F867</f>
        <v>184.288468263851</v>
      </c>
      <c r="G866" s="48" t="n">
        <f aca="false">C866*(IF($A866&lt;$Q$825,INDEX(Surface_Engine!$D$12:$D$72,$A866+1)+(Surface_Engine!G244*12)*INDEX(Surface_Engine!$F$12:$F$72,$A866+1)-(Surface_Engine!G244*12),1000*12*INDEX(Surface_Engine!$C$12:$C$72,$A866+1)/(1+Assumptions!$B$10)^12+INDEX(Surface_Engine!$D$12:$D$72,$A866+1)))*INDEX(Surface_Engine!$B$12:$B$72,$A866+1)+G867</f>
        <v>559.842234902077</v>
      </c>
      <c r="H866" s="48" t="n">
        <f aca="false">D866*(IF($A866&lt;$Q$825,INDEX(Surface_Engine!$D$12:$D$72,$A866+1)+(Surface_Engine!G244*12)*INDEX(Surface_Engine!$F$12:$F$72,$A866+1)-(Surface_Engine!G244*12),1000*12*INDEX(Surface_Engine!$C$12:$C$72,$A866+1)/(1+Assumptions!$B$10)^12+INDEX(Surface_Engine!$D$12:$D$72,$A866+1)))*INDEX(Surface_Engine!$B$12:$B$72,$A866+1)+H867</f>
        <v>169.264007933836</v>
      </c>
      <c r="I866" s="48" t="n">
        <f aca="false">E866*(IF($A866&lt;$Q$825,INDEX(Surface_Engine!$D$12:$D$72,$A866+1)+(Surface_Engine!G244*12)*INDEX(Surface_Engine!$F$12:$F$72,$A866+1)-(Surface_Engine!G244*12),1000*12*INDEX(Surface_Engine!$C$12:$C$72,$A866+1)/(1+Assumptions!$B$10)^12+INDEX(Surface_Engine!$D$12:$D$72,$A866+1)))*INDEX(Surface_Engine!$B$12:$B$72,$A866+1)+I867</f>
        <v>200.475136330249</v>
      </c>
      <c r="J866" s="48" t="n">
        <f aca="false">B866*(IF($A866&lt;$Q$825,INDEX(Surface_Engine!$D$12:$D$72,$A866+1)*(1+Assumptions!$B$24)+(Surface_Engine!G244*12)*INDEX(Surface_Engine!$F$12:$F$72,$A866+1)-(Surface_Engine!G244*12),1000*12*INDEX(Surface_Engine!$C$12:$C$72,$A866+1)/(1+Assumptions!$B$10)^12+INDEX(Surface_Engine!$D$12:$D$72,$A866+1)*(1+Assumptions!$B$24)))*INDEX(Surface_Engine!$B$12:$B$72,$A866+1)+J867</f>
        <v>184.480980607212</v>
      </c>
      <c r="K866" s="12" t="n">
        <f aca="false">SQRT((IF(C866&lt;=0,0,MAX(0,(B866/C866)*G866/INDEX(Surface_Engine!$B$12:$B$72,$A866+1)-F866/INDEX(Surface_Engine!$B$12:$B$72,$A866+1))))^2+(MAX(IF(D866&lt;=0,0,MAX(0,(B866/D866)*H866/INDEX(Surface_Engine!$B$12:$B$72,$A866+1)-F866/INDEX(Surface_Engine!$B$12:$B$72,$A866+1))),IF(E866&lt;=0,0,MAX(0,(B866/E866)*I866/INDEX(Surface_Engine!$B$12:$B$72,$A866+1)-F866/INDEX(Surface_Engine!$B$12:$B$72,$A866+1))),IF($A866&lt;$Q$825,MAX(0,-Assumptions!$B$22*(F866/INDEX(Surface_Engine!$B$12:$B$72,$A866+1))),0)))^2+(MAX(0,J866/INDEX(Surface_Engine!$B$12:$B$72,$A866+1)-(F866/INDEX(Surface_Engine!$B$12:$B$72,$A866+1))))^2+2*Assumptions!$B$26*(IF(C866&lt;=0,0,MAX(0,(B866/C866)*G866/INDEX(Surface_Engine!$B$12:$B$72,$A866+1)-F866/INDEX(Surface_Engine!$B$12:$B$72,$A866+1))))*(MAX(IF(D866&lt;=0,0,MAX(0,(B866/D866)*H866/INDEX(Surface_Engine!$B$12:$B$72,$A866+1)-F866/INDEX(Surface_Engine!$B$12:$B$72,$A866+1))),IF(E866&lt;=0,0,MAX(0,(B866/E866)*I866/INDEX(Surface_Engine!$B$12:$B$72,$A866+1)-F866/INDEX(Surface_Engine!$B$12:$B$72,$A866+1))),IF($A866&lt;$Q$825,MAX(0,-Assumptions!$B$22*(F866/INDEX(Surface_Engine!$B$12:$B$72,$A866+1))),0)))+2*Assumptions!$B$27*(IF(C866&lt;=0,0,MAX(0,(B866/C866)*G866/INDEX(Surface_Engine!$B$12:$B$72,$A866+1)-F866/INDEX(Surface_Engine!$B$12:$B$72,$A866+1))))*(MAX(0,J866/INDEX(Surface_Engine!$B$12:$B$72,$A866+1)-(F866/INDEX(Surface_Engine!$B$12:$B$72,$A866+1))))+2*Assumptions!$B$28*(MAX(IF(D866&lt;=0,0,MAX(0,(B866/D866)*H866/INDEX(Surface_Engine!$B$12:$B$72,$A866+1)-F866/INDEX(Surface_Engine!$B$12:$B$72,$A866+1))),IF(E866&lt;=0,0,MAX(0,(B866/E866)*I866/INDEX(Surface_Engine!$B$12:$B$72,$A866+1)-F866/INDEX(Surface_Engine!$B$12:$B$72,$A866+1))),IF($A866&lt;$Q$825,MAX(0,-Assumptions!$B$22*(F866/INDEX(Surface_Engine!$B$12:$B$72,$A866+1))),0)))*(MAX(0,J866/INDEX(Surface_Engine!$B$12:$B$72,$A866+1)-(F866/INDEX(Surface_Engine!$B$12:$B$72,$A866+1)))))</f>
        <v>132.14851370693</v>
      </c>
      <c r="L866" s="48" t="n">
        <f aca="false">K866*INDEX(Surface_Engine!$B$12:$B$72,$A866+1)+L867</f>
        <v>92.293637348275</v>
      </c>
      <c r="M866" s="48" t="n">
        <f aca="false">M865+B865*(IF($A865&lt;$Q$825,(Surface_Engine!G244*12)-(Surface_Engine!G244*12)*INDEX(Surface_Engine!$F$12:$F$72,$A865+1)-INDEX(Surface_Engine!$D$12:$D$72,$A865+1),-(1000*12*INDEX(Surface_Engine!$C$12:$C$72,$A865+1)/(1+Assumptions!$B$10)^12+INDEX(Surface_Engine!$D$12:$D$72,$A865+1))))*INDEX(Surface_Engine!$B$12:$B$72,$A865+1)</f>
        <v>2702.65041662224</v>
      </c>
      <c r="N866" s="12" t="n">
        <f aca="false">IF(B866&lt;=0,0,MAX(0,(K866+Assumptions!$B$29*L866/INDEX(Surface_Engine!$B$12:$B$72,$A866+1)-(M866/INDEX(Surface_Engine!$B$12:$B$72,$A866+1)-(F866/INDEX(Surface_Engine!$B$12:$B$72,$A866+1))))/B866))</f>
        <v>0</v>
      </c>
    </row>
    <row r="867" customFormat="false" ht="15" hidden="false" customHeight="true" outlineLevel="0" collapsed="false">
      <c r="A867" s="1" t="n">
        <v>40</v>
      </c>
      <c r="B867" s="32" t="n">
        <f aca="false">INDEX(Surface_Engine!$O$12:$O$72,$A867+1)*IF($A867&lt;$Q$825,INDEX(Surface_Engine!$E$12:$E$72,$A867+1),INDEX(Surface_Engine!$E$12:$E$72,$Q$825+1))</f>
        <v>0.00780158346081476</v>
      </c>
      <c r="C867" s="32" t="n">
        <f aca="false">INDEX(Panel_Reserving!$E$8:$E$68,$A867+1)*IF($A867&lt;$Q$825,INDEX(Surface_Engine!$E$12:$E$72,$A867+1),INDEX(Surface_Engine!$E$12:$E$72,$Q$825+1))</f>
        <v>0.0217967517911795</v>
      </c>
      <c r="D867" s="32" t="n">
        <f aca="false">INDEX(Surface_Engine!$O$12:$O$72,$A867+1)*IF($A867&lt;$Q$825,INDEX(Surface_Engine!$Y$12:$Y$72,$A867+1),INDEX(Surface_Engine!$Y$12:$Y$72,$Q$825+1))</f>
        <v>0.00716554485068048</v>
      </c>
      <c r="E867" s="32" t="n">
        <f aca="false">INDEX(Surface_Engine!$O$12:$O$72,$A867+1)*IF($A867&lt;$Q$825,INDEX(Surface_Engine!$Z$12:$Z$72,$A867+1),INDEX(Surface_Engine!$Z$12:$Z$72,$Q$825+1))</f>
        <v>0.00848682244002049</v>
      </c>
      <c r="F867" s="48" t="n">
        <f aca="false">B867*(IF($A867&lt;$Q$825,INDEX(Surface_Engine!$D$12:$D$72,$A867+1)+(Surface_Engine!G244*12)*INDEX(Surface_Engine!$F$12:$F$72,$A867+1)-(Surface_Engine!G244*12),1000*12*INDEX(Surface_Engine!$C$12:$C$72,$A867+1)/(1+Assumptions!$B$10)^12+INDEX(Surface_Engine!$D$12:$D$72,$A867+1)))*INDEX(Surface_Engine!$B$12:$B$72,$A867+1)+F868</f>
        <v>110.380598768491</v>
      </c>
      <c r="G867" s="48" t="n">
        <f aca="false">C867*(IF($A867&lt;$Q$825,INDEX(Surface_Engine!$D$12:$D$72,$A867+1)+(Surface_Engine!G244*12)*INDEX(Surface_Engine!$F$12:$F$72,$A867+1)-(Surface_Engine!G244*12),1000*12*INDEX(Surface_Engine!$C$12:$C$72,$A867+1)/(1+Assumptions!$B$10)^12+INDEX(Surface_Engine!$D$12:$D$72,$A867+1)))*INDEX(Surface_Engine!$B$12:$B$72,$A867+1)+G868</f>
        <v>374.246795981542</v>
      </c>
      <c r="H867" s="48" t="n">
        <f aca="false">D867*(IF($A867&lt;$Q$825,INDEX(Surface_Engine!$D$12:$D$72,$A867+1)+(Surface_Engine!G244*12)*INDEX(Surface_Engine!$F$12:$F$72,$A867+1)-(Surface_Engine!G244*12),1000*12*INDEX(Surface_Engine!$C$12:$C$72,$A867+1)/(1+Assumptions!$B$10)^12+INDEX(Surface_Engine!$D$12:$D$72,$A867+1)))*INDEX(Surface_Engine!$B$12:$B$72,$A867+1)+H868</f>
        <v>101.38161503921</v>
      </c>
      <c r="I867" s="48" t="n">
        <f aca="false">E867*(IF($A867&lt;$Q$825,INDEX(Surface_Engine!$D$12:$D$72,$A867+1)+(Surface_Engine!G244*12)*INDEX(Surface_Engine!$F$12:$F$72,$A867+1)-(Surface_Engine!G244*12),1000*12*INDEX(Surface_Engine!$C$12:$C$72,$A867+1)/(1+Assumptions!$B$10)^12+INDEX(Surface_Engine!$D$12:$D$72,$A867+1)))*INDEX(Surface_Engine!$B$12:$B$72,$A867+1)+I868</f>
        <v>120.075693258494</v>
      </c>
      <c r="J867" s="48" t="n">
        <f aca="false">B867*(IF($A867&lt;$Q$825,INDEX(Surface_Engine!$D$12:$D$72,$A867+1)*(1+Assumptions!$B$24)+(Surface_Engine!G244*12)*INDEX(Surface_Engine!$F$12:$F$72,$A867+1)-(Surface_Engine!G244*12),1000*12*INDEX(Surface_Engine!$C$12:$C$72,$A867+1)/(1+Assumptions!$B$10)^12+INDEX(Surface_Engine!$D$12:$D$72,$A867+1)*(1+Assumptions!$B$24)))*INDEX(Surface_Engine!$B$12:$B$72,$A867+1)+J868</f>
        <v>110.496407009064</v>
      </c>
      <c r="K867" s="12" t="n">
        <f aca="false">SQRT((IF(C867&lt;=0,0,MAX(0,(B867/C867)*G867/INDEX(Surface_Engine!$B$12:$B$72,$A867+1)-F867/INDEX(Surface_Engine!$B$12:$B$72,$A867+1))))^2+(MAX(IF(D867&lt;=0,0,MAX(0,(B867/D867)*H867/INDEX(Surface_Engine!$B$12:$B$72,$A867+1)-F867/INDEX(Surface_Engine!$B$12:$B$72,$A867+1))),IF(E867&lt;=0,0,MAX(0,(B867/E867)*I867/INDEX(Surface_Engine!$B$12:$B$72,$A867+1)-F867/INDEX(Surface_Engine!$B$12:$B$72,$A867+1))),IF($A867&lt;$Q$825,MAX(0,-Assumptions!$B$22*(F867/INDEX(Surface_Engine!$B$12:$B$72,$A867+1))),0)))^2+(MAX(0,J867/INDEX(Surface_Engine!$B$12:$B$72,$A867+1)-(F867/INDEX(Surface_Engine!$B$12:$B$72,$A867+1))))^2+2*Assumptions!$B$26*(IF(C867&lt;=0,0,MAX(0,(B867/C867)*G867/INDEX(Surface_Engine!$B$12:$B$72,$A867+1)-F867/INDEX(Surface_Engine!$B$12:$B$72,$A867+1))))*(MAX(IF(D867&lt;=0,0,MAX(0,(B867/D867)*H867/INDEX(Surface_Engine!$B$12:$B$72,$A867+1)-F867/INDEX(Surface_Engine!$B$12:$B$72,$A867+1))),IF(E867&lt;=0,0,MAX(0,(B867/E867)*I867/INDEX(Surface_Engine!$B$12:$B$72,$A867+1)-F867/INDEX(Surface_Engine!$B$12:$B$72,$A867+1))),IF($A867&lt;$Q$825,MAX(0,-Assumptions!$B$22*(F867/INDEX(Surface_Engine!$B$12:$B$72,$A867+1))),0)))+2*Assumptions!$B$27*(IF(C867&lt;=0,0,MAX(0,(B867/C867)*G867/INDEX(Surface_Engine!$B$12:$B$72,$A867+1)-F867/INDEX(Surface_Engine!$B$12:$B$72,$A867+1))))*(MAX(0,J867/INDEX(Surface_Engine!$B$12:$B$72,$A867+1)-(F867/INDEX(Surface_Engine!$B$12:$B$72,$A867+1))))+2*Assumptions!$B$28*(MAX(IF(D867&lt;=0,0,MAX(0,(B867/D867)*H867/INDEX(Surface_Engine!$B$12:$B$72,$A867+1)-F867/INDEX(Surface_Engine!$B$12:$B$72,$A867+1))),IF(E867&lt;=0,0,MAX(0,(B867/E867)*I867/INDEX(Surface_Engine!$B$12:$B$72,$A867+1)-F867/INDEX(Surface_Engine!$B$12:$B$72,$A867+1))),IF($A867&lt;$Q$825,MAX(0,-Assumptions!$B$22*(F867/INDEX(Surface_Engine!$B$12:$B$72,$A867+1))),0)))*(MAX(0,J867/INDEX(Surface_Engine!$B$12:$B$72,$A867+1)-(F867/INDEX(Surface_Engine!$B$12:$B$72,$A867+1)))))</f>
        <v>83.2298062175479</v>
      </c>
      <c r="L867" s="48" t="n">
        <f aca="false">K867*INDEX(Surface_Engine!$B$12:$B$72,$A867+1)+L868</f>
        <v>53.5929915394129</v>
      </c>
      <c r="M867" s="48" t="n">
        <f aca="false">M866+B866*(IF($A866&lt;$Q$825,(Surface_Engine!G244*12)-(Surface_Engine!G244*12)*INDEX(Surface_Engine!$F$12:$F$72,$A866+1)-INDEX(Surface_Engine!$D$12:$D$72,$A866+1),-(1000*12*INDEX(Surface_Engine!$C$12:$C$72,$A866+1)/(1+Assumptions!$B$10)^12+INDEX(Surface_Engine!$D$12:$D$72,$A866+1))))*INDEX(Surface_Engine!$B$12:$B$72,$A866+1)</f>
        <v>2628.74254712688</v>
      </c>
      <c r="N867" s="12" t="n">
        <f aca="false">IF(B867&lt;=0,0,MAX(0,(K867+Assumptions!$B$29*L867/INDEX(Surface_Engine!$B$12:$B$72,$A867+1)-(M867/INDEX(Surface_Engine!$B$12:$B$72,$A867+1)-(F867/INDEX(Surface_Engine!$B$12:$B$72,$A867+1))))/B867))</f>
        <v>0</v>
      </c>
    </row>
    <row r="868" customFormat="false" ht="15" hidden="false" customHeight="true" outlineLevel="0" collapsed="false">
      <c r="A868" s="1" t="n">
        <v>41</v>
      </c>
      <c r="B868" s="32" t="n">
        <f aca="false">INDEX(Surface_Engine!$O$12:$O$72,$A868+1)*IF($A868&lt;$Q$825,INDEX(Surface_Engine!$E$12:$E$72,$A868+1),INDEX(Surface_Engine!$E$12:$E$72,$Q$825+1))</f>
        <v>0.00479506646556466</v>
      </c>
      <c r="C868" s="32" t="n">
        <f aca="false">INDEX(Panel_Reserving!$E$8:$E$68,$A868+1)*IF($A868&lt;$Q$825,INDEX(Surface_Engine!$E$12:$E$72,$A868+1),INDEX(Surface_Engine!$E$12:$E$72,$Q$825+1))</f>
        <v>0.0150768539621729</v>
      </c>
      <c r="D868" s="32" t="n">
        <f aca="false">INDEX(Surface_Engine!$O$12:$O$72,$A868+1)*IF($A868&lt;$Q$825,INDEX(Surface_Engine!$Y$12:$Y$72,$A868+1),INDEX(Surface_Engine!$Y$12:$Y$72,$Q$825+1))</f>
        <v>0.00440413974849782</v>
      </c>
      <c r="E868" s="32" t="n">
        <f aca="false">INDEX(Surface_Engine!$O$12:$O$72,$A868+1)*IF($A868&lt;$Q$825,INDEX(Surface_Engine!$Z$12:$Z$72,$A868+1),INDEX(Surface_Engine!$Z$12:$Z$72,$Q$825+1))</f>
        <v>0.00521623307444485</v>
      </c>
      <c r="F868" s="48" t="n">
        <f aca="false">B868*(IF($A868&lt;$Q$825,INDEX(Surface_Engine!$D$12:$D$72,$A868+1)+(Surface_Engine!G244*12)*INDEX(Surface_Engine!$F$12:$F$72,$A868+1)-(Surface_Engine!G244*12),1000*12*INDEX(Surface_Engine!$C$12:$C$72,$A868+1)/(1+Assumptions!$B$10)^12+INDEX(Surface_Engine!$D$12:$D$72,$A868+1)))*INDEX(Surface_Engine!$B$12:$B$72,$A868+1)+F869</f>
        <v>63.675371030193</v>
      </c>
      <c r="G868" s="48" t="n">
        <f aca="false">C868*(IF($A868&lt;$Q$825,INDEX(Surface_Engine!$D$12:$D$72,$A868+1)+(Surface_Engine!G244*12)*INDEX(Surface_Engine!$F$12:$F$72,$A868+1)-(Surface_Engine!G244*12),1000*12*INDEX(Surface_Engine!$C$12:$C$72,$A868+1)/(1+Assumptions!$B$10)^12+INDEX(Surface_Engine!$D$12:$D$72,$A868+1)))*INDEX(Surface_Engine!$B$12:$B$72,$A868+1)+G869</f>
        <v>243.757612410611</v>
      </c>
      <c r="H868" s="48" t="n">
        <f aca="false">D868*(IF($A868&lt;$Q$825,INDEX(Surface_Engine!$D$12:$D$72,$A868+1)+(Surface_Engine!G244*12)*INDEX(Surface_Engine!$F$12:$F$72,$A868+1)-(Surface_Engine!G244*12),1000*12*INDEX(Surface_Engine!$C$12:$C$72,$A868+1)/(1+Assumptions!$B$10)^12+INDEX(Surface_Engine!$D$12:$D$72,$A868+1)))*INDEX(Surface_Engine!$B$12:$B$72,$A868+1)+H869</f>
        <v>58.4841179091761</v>
      </c>
      <c r="I868" s="48" t="n">
        <f aca="false">E868*(IF($A868&lt;$Q$825,INDEX(Surface_Engine!$D$12:$D$72,$A868+1)+(Surface_Engine!G244*12)*INDEX(Surface_Engine!$F$12:$F$72,$A868+1)-(Surface_Engine!G244*12),1000*12*INDEX(Surface_Engine!$C$12:$C$72,$A868+1)/(1+Assumptions!$B$10)^12+INDEX(Surface_Engine!$D$12:$D$72,$A868+1)))*INDEX(Surface_Engine!$B$12:$B$72,$A868+1)+I869</f>
        <v>69.2681902911073</v>
      </c>
      <c r="J868" s="48" t="n">
        <f aca="false">B868*(IF($A868&lt;$Q$825,INDEX(Surface_Engine!$D$12:$D$72,$A868+1)*(1+Assumptions!$B$24)+(Surface_Engine!G244*12)*INDEX(Surface_Engine!$F$12:$F$72,$A868+1)-(Surface_Engine!G244*12),1000*12*INDEX(Surface_Engine!$C$12:$C$72,$A868+1)/(1+Assumptions!$B$10)^12+INDEX(Surface_Engine!$D$12:$D$72,$A868+1)*(1+Assumptions!$B$24)))*INDEX(Surface_Engine!$B$12:$B$72,$A868+1)+J869</f>
        <v>63.7424718643309</v>
      </c>
      <c r="K868" s="12" t="n">
        <f aca="false">SQRT((IF(C868&lt;=0,0,MAX(0,(B868/C868)*G868/INDEX(Surface_Engine!$B$12:$B$72,$A868+1)-F868/INDEX(Surface_Engine!$B$12:$B$72,$A868+1))))^2+(MAX(IF(D868&lt;=0,0,MAX(0,(B868/D868)*H868/INDEX(Surface_Engine!$B$12:$B$72,$A868+1)-F868/INDEX(Surface_Engine!$B$12:$B$72,$A868+1))),IF(E868&lt;=0,0,MAX(0,(B868/E868)*I868/INDEX(Surface_Engine!$B$12:$B$72,$A868+1)-F868/INDEX(Surface_Engine!$B$12:$B$72,$A868+1))),IF($A868&lt;$Q$825,MAX(0,-Assumptions!$B$22*(F868/INDEX(Surface_Engine!$B$12:$B$72,$A868+1))),0)))^2+(MAX(0,J868/INDEX(Surface_Engine!$B$12:$B$72,$A868+1)-(F868/INDEX(Surface_Engine!$B$12:$B$72,$A868+1))))^2+2*Assumptions!$B$26*(IF(C868&lt;=0,0,MAX(0,(B868/C868)*G868/INDEX(Surface_Engine!$B$12:$B$72,$A868+1)-F868/INDEX(Surface_Engine!$B$12:$B$72,$A868+1))))*(MAX(IF(D868&lt;=0,0,MAX(0,(B868/D868)*H868/INDEX(Surface_Engine!$B$12:$B$72,$A868+1)-F868/INDEX(Surface_Engine!$B$12:$B$72,$A868+1))),IF(E868&lt;=0,0,MAX(0,(B868/E868)*I868/INDEX(Surface_Engine!$B$12:$B$72,$A868+1)-F868/INDEX(Surface_Engine!$B$12:$B$72,$A868+1))),IF($A868&lt;$Q$825,MAX(0,-Assumptions!$B$22*(F868/INDEX(Surface_Engine!$B$12:$B$72,$A868+1))),0)))+2*Assumptions!$B$27*(IF(C868&lt;=0,0,MAX(0,(B868/C868)*G868/INDEX(Surface_Engine!$B$12:$B$72,$A868+1)-F868/INDEX(Surface_Engine!$B$12:$B$72,$A868+1))))*(MAX(0,J868/INDEX(Surface_Engine!$B$12:$B$72,$A868+1)-(F868/INDEX(Surface_Engine!$B$12:$B$72,$A868+1))))+2*Assumptions!$B$28*(MAX(IF(D868&lt;=0,0,MAX(0,(B868/D868)*H868/INDEX(Surface_Engine!$B$12:$B$72,$A868+1)-F868/INDEX(Surface_Engine!$B$12:$B$72,$A868+1))),IF(E868&lt;=0,0,MAX(0,(B868/E868)*I868/INDEX(Surface_Engine!$B$12:$B$72,$A868+1)-F868/INDEX(Surface_Engine!$B$12:$B$72,$A868+1))),IF($A868&lt;$Q$825,MAX(0,-Assumptions!$B$22*(F868/INDEX(Surface_Engine!$B$12:$B$72,$A868+1))),0)))*(MAX(0,J868/INDEX(Surface_Engine!$B$12:$B$72,$A868+1)-(F868/INDEX(Surface_Engine!$B$12:$B$72,$A868+1)))))</f>
        <v>50.5074667476536</v>
      </c>
      <c r="L868" s="48" t="n">
        <f aca="false">K868*INDEX(Surface_Engine!$B$12:$B$72,$A868+1)+L869</f>
        <v>29.9924123399007</v>
      </c>
      <c r="M868" s="48" t="n">
        <f aca="false">M867+B867*(IF($A867&lt;$Q$825,(Surface_Engine!G244*12)-(Surface_Engine!G244*12)*INDEX(Surface_Engine!$F$12:$F$72,$A867+1)-INDEX(Surface_Engine!$D$12:$D$72,$A867+1),-(1000*12*INDEX(Surface_Engine!$C$12:$C$72,$A867+1)/(1+Assumptions!$B$10)^12+INDEX(Surface_Engine!$D$12:$D$72,$A867+1))))*INDEX(Surface_Engine!$B$12:$B$72,$A867+1)</f>
        <v>2582.03731938858</v>
      </c>
      <c r="N868" s="12" t="n">
        <f aca="false">IF(B868&lt;=0,0,MAX(0,(K868+Assumptions!$B$29*L868/INDEX(Surface_Engine!$B$12:$B$72,$A868+1)-(M868/INDEX(Surface_Engine!$B$12:$B$72,$A868+1)-(F868/INDEX(Surface_Engine!$B$12:$B$72,$A868+1))))/B868))</f>
        <v>0</v>
      </c>
    </row>
    <row r="869" customFormat="false" ht="15" hidden="false" customHeight="true" outlineLevel="0" collapsed="false">
      <c r="A869" s="1" t="n">
        <v>42</v>
      </c>
      <c r="B869" s="32" t="n">
        <f aca="false">INDEX(Surface_Engine!$O$12:$O$72,$A869+1)*IF($A869&lt;$Q$825,INDEX(Surface_Engine!$E$12:$E$72,$A869+1),INDEX(Surface_Engine!$E$12:$E$72,$Q$825+1))</f>
        <v>0.00281876791390998</v>
      </c>
      <c r="C869" s="32" t="n">
        <f aca="false">INDEX(Panel_Reserving!$E$8:$E$68,$A869+1)*IF($A869&lt;$Q$825,INDEX(Surface_Engine!$E$12:$E$72,$A869+1),INDEX(Surface_Engine!$E$12:$E$72,$Q$825+1))</f>
        <v>0.0101056837207706</v>
      </c>
      <c r="D869" s="32" t="n">
        <f aca="false">INDEX(Surface_Engine!$O$12:$O$72,$A869+1)*IF($A869&lt;$Q$825,INDEX(Surface_Engine!$Y$12:$Y$72,$A869+1),INDEX(Surface_Engine!$Y$12:$Y$72,$Q$825+1))</f>
        <v>0.00258896261409368</v>
      </c>
      <c r="E869" s="32" t="n">
        <f aca="false">INDEX(Surface_Engine!$O$12:$O$72,$A869+1)*IF($A869&lt;$Q$825,INDEX(Surface_Engine!$Z$12:$Z$72,$A869+1),INDEX(Surface_Engine!$Z$12:$Z$72,$Q$825+1))</f>
        <v>0.00306634965903224</v>
      </c>
      <c r="F869" s="48" t="n">
        <f aca="false">B869*(IF($A869&lt;$Q$825,INDEX(Surface_Engine!$D$12:$D$72,$A869+1)+(Surface_Engine!G244*12)*INDEX(Surface_Engine!$F$12:$F$72,$A869+1)-(Surface_Engine!G244*12),1000*12*INDEX(Surface_Engine!$C$12:$C$72,$A869+1)/(1+Assumptions!$B$10)^12+INDEX(Surface_Engine!$D$12:$D$72,$A869+1)))*INDEX(Surface_Engine!$B$12:$B$72,$A869+1)+F870</f>
        <v>35.3242156922126</v>
      </c>
      <c r="G869" s="48" t="n">
        <f aca="false">C869*(IF($A869&lt;$Q$825,INDEX(Surface_Engine!$D$12:$D$72,$A869+1)+(Surface_Engine!G244*12)*INDEX(Surface_Engine!$F$12:$F$72,$A869+1)-(Surface_Engine!G244*12),1000*12*INDEX(Surface_Engine!$C$12:$C$72,$A869+1)/(1+Assumptions!$B$10)^12+INDEX(Surface_Engine!$D$12:$D$72,$A869+1)))*INDEX(Surface_Engine!$B$12:$B$72,$A869+1)+G870</f>
        <v>154.614691919461</v>
      </c>
      <c r="H869" s="48" t="n">
        <f aca="false">D869*(IF($A869&lt;$Q$825,INDEX(Surface_Engine!$D$12:$D$72,$A869+1)+(Surface_Engine!G244*12)*INDEX(Surface_Engine!$F$12:$F$72,$A869+1)-(Surface_Engine!G244*12),1000*12*INDEX(Surface_Engine!$C$12:$C$72,$A869+1)/(1+Assumptions!$B$10)^12+INDEX(Surface_Engine!$D$12:$D$72,$A869+1)))*INDEX(Surface_Engine!$B$12:$B$72,$A869+1)+H870</f>
        <v>32.4443432706962</v>
      </c>
      <c r="I869" s="48" t="n">
        <f aca="false">E869*(IF($A869&lt;$Q$825,INDEX(Surface_Engine!$D$12:$D$72,$A869+1)+(Surface_Engine!G244*12)*INDEX(Surface_Engine!$F$12:$F$72,$A869+1)-(Surface_Engine!G244*12),1000*12*INDEX(Surface_Engine!$C$12:$C$72,$A869+1)/(1+Assumptions!$B$10)^12+INDEX(Surface_Engine!$D$12:$D$72,$A869+1)))*INDEX(Surface_Engine!$B$12:$B$72,$A869+1)+I870</f>
        <v>38.4268588445614</v>
      </c>
      <c r="J869" s="48" t="n">
        <f aca="false">B869*(IF($A869&lt;$Q$825,INDEX(Surface_Engine!$D$12:$D$72,$A869+1)*(1+Assumptions!$B$24)+(Surface_Engine!G244*12)*INDEX(Surface_Engine!$F$12:$F$72,$A869+1)-(Surface_Engine!G244*12),1000*12*INDEX(Surface_Engine!$C$12:$C$72,$A869+1)/(1+Assumptions!$B$10)^12+INDEX(Surface_Engine!$D$12:$D$72,$A869+1)*(1+Assumptions!$B$24)))*INDEX(Surface_Engine!$B$12:$B$72,$A869+1)+J870</f>
        <v>35.3616065870153</v>
      </c>
      <c r="K869" s="12" t="n">
        <f aca="false">SQRT((IF(C869&lt;=0,0,MAX(0,(B869/C869)*G869/INDEX(Surface_Engine!$B$12:$B$72,$A869+1)-F869/INDEX(Surface_Engine!$B$12:$B$72,$A869+1))))^2+(MAX(IF(D869&lt;=0,0,MAX(0,(B869/D869)*H869/INDEX(Surface_Engine!$B$12:$B$72,$A869+1)-F869/INDEX(Surface_Engine!$B$12:$B$72,$A869+1))),IF(E869&lt;=0,0,MAX(0,(B869/E869)*I869/INDEX(Surface_Engine!$B$12:$B$72,$A869+1)-F869/INDEX(Surface_Engine!$B$12:$B$72,$A869+1))),IF($A869&lt;$Q$825,MAX(0,-Assumptions!$B$22*(F869/INDEX(Surface_Engine!$B$12:$B$72,$A869+1))),0)))^2+(MAX(0,J869/INDEX(Surface_Engine!$B$12:$B$72,$A869+1)-(F869/INDEX(Surface_Engine!$B$12:$B$72,$A869+1))))^2+2*Assumptions!$B$26*(IF(C869&lt;=0,0,MAX(0,(B869/C869)*G869/INDEX(Surface_Engine!$B$12:$B$72,$A869+1)-F869/INDEX(Surface_Engine!$B$12:$B$72,$A869+1))))*(MAX(IF(D869&lt;=0,0,MAX(0,(B869/D869)*H869/INDEX(Surface_Engine!$B$12:$B$72,$A869+1)-F869/INDEX(Surface_Engine!$B$12:$B$72,$A869+1))),IF(E869&lt;=0,0,MAX(0,(B869/E869)*I869/INDEX(Surface_Engine!$B$12:$B$72,$A869+1)-F869/INDEX(Surface_Engine!$B$12:$B$72,$A869+1))),IF($A869&lt;$Q$825,MAX(0,-Assumptions!$B$22*(F869/INDEX(Surface_Engine!$B$12:$B$72,$A869+1))),0)))+2*Assumptions!$B$27*(IF(C869&lt;=0,0,MAX(0,(B869/C869)*G869/INDEX(Surface_Engine!$B$12:$B$72,$A869+1)-F869/INDEX(Surface_Engine!$B$12:$B$72,$A869+1))))*(MAX(0,J869/INDEX(Surface_Engine!$B$12:$B$72,$A869+1)-(F869/INDEX(Surface_Engine!$B$12:$B$72,$A869+1))))+2*Assumptions!$B$28*(MAX(IF(D869&lt;=0,0,MAX(0,(B869/D869)*H869/INDEX(Surface_Engine!$B$12:$B$72,$A869+1)-F869/INDEX(Surface_Engine!$B$12:$B$72,$A869+1))),IF(E869&lt;=0,0,MAX(0,(B869/E869)*I869/INDEX(Surface_Engine!$B$12:$B$72,$A869+1)-F869/INDEX(Surface_Engine!$B$12:$B$72,$A869+1))),IF($A869&lt;$Q$825,MAX(0,-Assumptions!$B$22*(F869/INDEX(Surface_Engine!$B$12:$B$72,$A869+1))),0)))*(MAX(0,J869/INDEX(Surface_Engine!$B$12:$B$72,$A869+1)-(F869/INDEX(Surface_Engine!$B$12:$B$72,$A869+1)))))</f>
        <v>29.3766051081539</v>
      </c>
      <c r="L869" s="48" t="n">
        <f aca="false">K869*INDEX(Surface_Engine!$B$12:$B$72,$A869+1)+L870</f>
        <v>16.1257996066195</v>
      </c>
      <c r="M869" s="48" t="n">
        <f aca="false">M868+B868*(IF($A868&lt;$Q$825,(Surface_Engine!G244*12)-(Surface_Engine!G244*12)*INDEX(Surface_Engine!$F$12:$F$72,$A868+1)-INDEX(Surface_Engine!$D$12:$D$72,$A868+1),-(1000*12*INDEX(Surface_Engine!$C$12:$C$72,$A868+1)/(1+Assumptions!$B$10)^12+INDEX(Surface_Engine!$D$12:$D$72,$A868+1))))*INDEX(Surface_Engine!$B$12:$B$72,$A868+1)</f>
        <v>2553.6861640506</v>
      </c>
      <c r="N869" s="12" t="n">
        <f aca="false">IF(B869&lt;=0,0,MAX(0,(K869+Assumptions!$B$29*L869/INDEX(Surface_Engine!$B$12:$B$72,$A869+1)-(M869/INDEX(Surface_Engine!$B$12:$B$72,$A869+1)-(F869/INDEX(Surface_Engine!$B$12:$B$72,$A869+1))))/B869))</f>
        <v>0</v>
      </c>
    </row>
    <row r="870" customFormat="false" ht="15" hidden="false" customHeight="true" outlineLevel="0" collapsed="false">
      <c r="A870" s="1" t="n">
        <v>43</v>
      </c>
      <c r="B870" s="32" t="n">
        <f aca="false">INDEX(Surface_Engine!$O$12:$O$72,$A870+1)*IF($A870&lt;$Q$825,INDEX(Surface_Engine!$E$12:$E$72,$A870+1),INDEX(Surface_Engine!$E$12:$E$72,$Q$825+1))</f>
        <v>0.00157684441675023</v>
      </c>
      <c r="C870" s="32" t="n">
        <f aca="false">INDEX(Panel_Reserving!$E$8:$E$68,$A870+1)*IF($A870&lt;$Q$825,INDEX(Surface_Engine!$E$12:$E$72,$A870+1),INDEX(Surface_Engine!$E$12:$E$72,$Q$825+1))</f>
        <v>0.00654370587768362</v>
      </c>
      <c r="D870" s="32" t="n">
        <f aca="false">INDEX(Surface_Engine!$O$12:$O$72,$A870+1)*IF($A870&lt;$Q$825,INDEX(Surface_Engine!$Y$12:$Y$72,$A870+1),INDEX(Surface_Engine!$Y$12:$Y$72,$Q$825+1))</f>
        <v>0.00144828924121884</v>
      </c>
      <c r="E870" s="32" t="n">
        <f aca="false">INDEX(Surface_Engine!$O$12:$O$72,$A870+1)*IF($A870&lt;$Q$825,INDEX(Surface_Engine!$Z$12:$Z$72,$A870+1),INDEX(Surface_Engine!$Z$12:$Z$72,$Q$825+1))</f>
        <v>0.0017153438975194</v>
      </c>
      <c r="F870" s="48" t="n">
        <f aca="false">B870*(IF($A870&lt;$Q$825,INDEX(Surface_Engine!$D$12:$D$72,$A870+1)+(Surface_Engine!G244*12)*INDEX(Surface_Engine!$F$12:$F$72,$A870+1)-(Surface_Engine!G244*12),1000*12*INDEX(Surface_Engine!$C$12:$C$72,$A870+1)/(1+Assumptions!$B$10)^12+INDEX(Surface_Engine!$D$12:$D$72,$A870+1)))*INDEX(Surface_Engine!$B$12:$B$72,$A870+1)+F871</f>
        <v>18.8581870648525</v>
      </c>
      <c r="G870" s="48" t="n">
        <f aca="false">C870*(IF($A870&lt;$Q$825,INDEX(Surface_Engine!$D$12:$D$72,$A870+1)+(Surface_Engine!G244*12)*INDEX(Surface_Engine!$F$12:$F$72,$A870+1)-(Surface_Engine!G244*12),1000*12*INDEX(Surface_Engine!$C$12:$C$72,$A870+1)/(1+Assumptions!$B$10)^12+INDEX(Surface_Engine!$D$12:$D$72,$A870+1)))*INDEX(Surface_Engine!$B$12:$B$72,$A870+1)+G871</f>
        <v>95.5816382848902</v>
      </c>
      <c r="H870" s="48" t="n">
        <f aca="false">D870*(IF($A870&lt;$Q$825,INDEX(Surface_Engine!$D$12:$D$72,$A870+1)+(Surface_Engine!G244*12)*INDEX(Surface_Engine!$F$12:$F$72,$A870+1)-(Surface_Engine!G244*12),1000*12*INDEX(Surface_Engine!$C$12:$C$72,$A870+1)/(1+Assumptions!$B$10)^12+INDEX(Surface_Engine!$D$12:$D$72,$A870+1)))*INDEX(Surface_Engine!$B$12:$B$72,$A870+1)+H871</f>
        <v>17.3207382699217</v>
      </c>
      <c r="I870" s="48" t="n">
        <f aca="false">E870*(IF($A870&lt;$Q$825,INDEX(Surface_Engine!$D$12:$D$72,$A870+1)+(Surface_Engine!G244*12)*INDEX(Surface_Engine!$F$12:$F$72,$A870+1)-(Surface_Engine!G244*12),1000*12*INDEX(Surface_Engine!$C$12:$C$72,$A870+1)/(1+Assumptions!$B$10)^12+INDEX(Surface_Engine!$D$12:$D$72,$A870+1)))*INDEX(Surface_Engine!$B$12:$B$72,$A870+1)+I871</f>
        <v>20.5145642501887</v>
      </c>
      <c r="J870" s="48" t="n">
        <f aca="false">B870*(IF($A870&lt;$Q$825,INDEX(Surface_Engine!$D$12:$D$72,$A870+1)*(1+Assumptions!$B$24)+(Surface_Engine!G244*12)*INDEX(Surface_Engine!$F$12:$F$72,$A870+1)-(Surface_Engine!G244*12),1000*12*INDEX(Surface_Engine!$C$12:$C$72,$A870+1)/(1+Assumptions!$B$10)^12+INDEX(Surface_Engine!$D$12:$D$72,$A870+1)*(1+Assumptions!$B$24)))*INDEX(Surface_Engine!$B$12:$B$72,$A870+1)+J871</f>
        <v>18.8782390711256</v>
      </c>
      <c r="K870" s="12" t="n">
        <f aca="false">SQRT((IF(C870&lt;=0,0,MAX(0,(B870/C870)*G870/INDEX(Surface_Engine!$B$12:$B$72,$A870+1)-F870/INDEX(Surface_Engine!$B$12:$B$72,$A870+1))))^2+(MAX(IF(D870&lt;=0,0,MAX(0,(B870/D870)*H870/INDEX(Surface_Engine!$B$12:$B$72,$A870+1)-F870/INDEX(Surface_Engine!$B$12:$B$72,$A870+1))),IF(E870&lt;=0,0,MAX(0,(B870/E870)*I870/INDEX(Surface_Engine!$B$12:$B$72,$A870+1)-F870/INDEX(Surface_Engine!$B$12:$B$72,$A870+1))),IF($A870&lt;$Q$825,MAX(0,-Assumptions!$B$22*(F870/INDEX(Surface_Engine!$B$12:$B$72,$A870+1))),0)))^2+(MAX(0,J870/INDEX(Surface_Engine!$B$12:$B$72,$A870+1)-(F870/INDEX(Surface_Engine!$B$12:$B$72,$A870+1))))^2+2*Assumptions!$B$26*(IF(C870&lt;=0,0,MAX(0,(B870/C870)*G870/INDEX(Surface_Engine!$B$12:$B$72,$A870+1)-F870/INDEX(Surface_Engine!$B$12:$B$72,$A870+1))))*(MAX(IF(D870&lt;=0,0,MAX(0,(B870/D870)*H870/INDEX(Surface_Engine!$B$12:$B$72,$A870+1)-F870/INDEX(Surface_Engine!$B$12:$B$72,$A870+1))),IF(E870&lt;=0,0,MAX(0,(B870/E870)*I870/INDEX(Surface_Engine!$B$12:$B$72,$A870+1)-F870/INDEX(Surface_Engine!$B$12:$B$72,$A870+1))),IF($A870&lt;$Q$825,MAX(0,-Assumptions!$B$22*(F870/INDEX(Surface_Engine!$B$12:$B$72,$A870+1))),0)))+2*Assumptions!$B$27*(IF(C870&lt;=0,0,MAX(0,(B870/C870)*G870/INDEX(Surface_Engine!$B$12:$B$72,$A870+1)-F870/INDEX(Surface_Engine!$B$12:$B$72,$A870+1))))*(MAX(0,J870/INDEX(Surface_Engine!$B$12:$B$72,$A870+1)-(F870/INDEX(Surface_Engine!$B$12:$B$72,$A870+1))))+2*Assumptions!$B$28*(MAX(IF(D870&lt;=0,0,MAX(0,(B870/D870)*H870/INDEX(Surface_Engine!$B$12:$B$72,$A870+1)-F870/INDEX(Surface_Engine!$B$12:$B$72,$A870+1))),IF(E870&lt;=0,0,MAX(0,(B870/E870)*I870/INDEX(Surface_Engine!$B$12:$B$72,$A870+1)-F870/INDEX(Surface_Engine!$B$12:$B$72,$A870+1))),IF($A870&lt;$Q$825,MAX(0,-Assumptions!$B$22*(F870/INDEX(Surface_Engine!$B$12:$B$72,$A870+1))),0)))*(MAX(0,J870/INDEX(Surface_Engine!$B$12:$B$72,$A870+1)-(F870/INDEX(Surface_Engine!$B$12:$B$72,$A870+1)))))</f>
        <v>16.2336116861929</v>
      </c>
      <c r="L870" s="48" t="n">
        <f aca="false">K870*INDEX(Surface_Engine!$B$12:$B$72,$A870+1)+L871</f>
        <v>8.31406749101924</v>
      </c>
      <c r="M870" s="48" t="n">
        <f aca="false">M869+B869*(IF($A869&lt;$Q$825,(Surface_Engine!G244*12)-(Surface_Engine!G244*12)*INDEX(Surface_Engine!$F$12:$F$72,$A869+1)-INDEX(Surface_Engine!$D$12:$D$72,$A869+1),-(1000*12*INDEX(Surface_Engine!$C$12:$C$72,$A869+1)/(1+Assumptions!$B$10)^12+INDEX(Surface_Engine!$D$12:$D$72,$A869+1))))*INDEX(Surface_Engine!$B$12:$B$72,$A869+1)</f>
        <v>2537.22013542324</v>
      </c>
      <c r="N870" s="12" t="n">
        <f aca="false">IF(B870&lt;=0,0,MAX(0,(K870+Assumptions!$B$29*L870/INDEX(Surface_Engine!$B$12:$B$72,$A870+1)-(M870/INDEX(Surface_Engine!$B$12:$B$72,$A870+1)-(F870/INDEX(Surface_Engine!$B$12:$B$72,$A870+1))))/B870))</f>
        <v>0</v>
      </c>
    </row>
    <row r="871" customFormat="false" ht="15" hidden="false" customHeight="true" outlineLevel="0" collapsed="false">
      <c r="A871" s="1" t="n">
        <v>44</v>
      </c>
      <c r="B871" s="32" t="n">
        <f aca="false">INDEX(Surface_Engine!$O$12:$O$72,$A871+1)*IF($A871&lt;$Q$825,INDEX(Surface_Engine!$E$12:$E$72,$A871+1),INDEX(Surface_Engine!$E$12:$E$72,$Q$825+1))</f>
        <v>0.000854274165902671</v>
      </c>
      <c r="C871" s="32" t="n">
        <f aca="false">INDEX(Panel_Reserving!$E$8:$E$68,$A871+1)*IF($A871&lt;$Q$825,INDEX(Surface_Engine!$E$12:$E$72,$A871+1),INDEX(Surface_Engine!$E$12:$E$72,$Q$825+1))</f>
        <v>0.00414484539542745</v>
      </c>
      <c r="D871" s="32" t="n">
        <f aca="false">INDEX(Surface_Engine!$O$12:$O$72,$A871+1)*IF($A871&lt;$Q$825,INDEX(Surface_Engine!$Y$12:$Y$72,$A871+1),INDEX(Surface_Engine!$Y$12:$Y$72,$Q$825+1))</f>
        <v>0.000784627874751206</v>
      </c>
      <c r="E871" s="32" t="n">
        <f aca="false">INDEX(Surface_Engine!$O$12:$O$72,$A871+1)*IF($A871&lt;$Q$825,INDEX(Surface_Engine!$Z$12:$Z$72,$A871+1),INDEX(Surface_Engine!$Z$12:$Z$72,$Q$825+1))</f>
        <v>0.000929307902367222</v>
      </c>
      <c r="F871" s="48" t="n">
        <f aca="false">B871*(IF($A871&lt;$Q$825,INDEX(Surface_Engine!$D$12:$D$72,$A871+1)+(Surface_Engine!G244*12)*INDEX(Surface_Engine!$F$12:$F$72,$A871+1)-(Surface_Engine!G244*12),1000*12*INDEX(Surface_Engine!$C$12:$C$72,$A871+1)/(1+Assumptions!$B$10)^12+INDEX(Surface_Engine!$D$12:$D$72,$A871+1)))*INDEX(Surface_Engine!$B$12:$B$72,$A871+1)+F872</f>
        <v>9.76151464555967</v>
      </c>
      <c r="G871" s="48" t="n">
        <f aca="false">C871*(IF($A871&lt;$Q$825,INDEX(Surface_Engine!$D$12:$D$72,$A871+1)+(Surface_Engine!G244*12)*INDEX(Surface_Engine!$F$12:$F$72,$A871+1)-(Surface_Engine!G244*12),1000*12*INDEX(Surface_Engine!$C$12:$C$72,$A871+1)/(1+Assumptions!$B$10)^12+INDEX(Surface_Engine!$D$12:$D$72,$A871+1)))*INDEX(Surface_Engine!$B$12:$B$72,$A871+1)+G872</f>
        <v>57.8315925954318</v>
      </c>
      <c r="H871" s="48" t="n">
        <f aca="false">D871*(IF($A871&lt;$Q$825,INDEX(Surface_Engine!$D$12:$D$72,$A871+1)+(Surface_Engine!G244*12)*INDEX(Surface_Engine!$F$12:$F$72,$A871+1)-(Surface_Engine!G244*12),1000*12*INDEX(Surface_Engine!$C$12:$C$72,$A871+1)/(1+Assumptions!$B$10)^12+INDEX(Surface_Engine!$D$12:$D$72,$A871+1)))*INDEX(Surface_Engine!$B$12:$B$72,$A871+1)+H872</f>
        <v>8.9656889982213</v>
      </c>
      <c r="I871" s="48" t="n">
        <f aca="false">E871*(IF($A871&lt;$Q$825,INDEX(Surface_Engine!$D$12:$D$72,$A871+1)+(Surface_Engine!G244*12)*INDEX(Surface_Engine!$F$12:$F$72,$A871+1)-(Surface_Engine!G244*12),1000*12*INDEX(Surface_Engine!$C$12:$C$72,$A871+1)/(1+Assumptions!$B$10)^12+INDEX(Surface_Engine!$D$12:$D$72,$A871+1)))*INDEX(Surface_Engine!$B$12:$B$72,$A871+1)+I872</f>
        <v>10.6189008883426</v>
      </c>
      <c r="J871" s="48" t="n">
        <f aca="false">B871*(IF($A871&lt;$Q$825,INDEX(Surface_Engine!$D$12:$D$72,$A871+1)*(1+Assumptions!$B$24)+(Surface_Engine!G244*12)*INDEX(Surface_Engine!$F$12:$F$72,$A871+1)-(Surface_Engine!G244*12),1000*12*INDEX(Surface_Engine!$C$12:$C$72,$A871+1)/(1+Assumptions!$B$10)^12+INDEX(Surface_Engine!$D$12:$D$72,$A871+1)*(1+Assumptions!$B$24)))*INDEX(Surface_Engine!$B$12:$B$72,$A871+1)+J872</f>
        <v>9.77194130869564</v>
      </c>
      <c r="K871" s="12" t="n">
        <f aca="false">SQRT((IF(C871&lt;=0,0,MAX(0,(B871/C871)*G871/INDEX(Surface_Engine!$B$12:$B$72,$A871+1)-F871/INDEX(Surface_Engine!$B$12:$B$72,$A871+1))))^2+(MAX(IF(D871&lt;=0,0,MAX(0,(B871/D871)*H871/INDEX(Surface_Engine!$B$12:$B$72,$A871+1)-F871/INDEX(Surface_Engine!$B$12:$B$72,$A871+1))),IF(E871&lt;=0,0,MAX(0,(B871/E871)*I871/INDEX(Surface_Engine!$B$12:$B$72,$A871+1)-F871/INDEX(Surface_Engine!$B$12:$B$72,$A871+1))),IF($A871&lt;$Q$825,MAX(0,-Assumptions!$B$22*(F871/INDEX(Surface_Engine!$B$12:$B$72,$A871+1))),0)))^2+(MAX(0,J871/INDEX(Surface_Engine!$B$12:$B$72,$A871+1)-(F871/INDEX(Surface_Engine!$B$12:$B$72,$A871+1))))^2+2*Assumptions!$B$26*(IF(C871&lt;=0,0,MAX(0,(B871/C871)*G871/INDEX(Surface_Engine!$B$12:$B$72,$A871+1)-F871/INDEX(Surface_Engine!$B$12:$B$72,$A871+1))))*(MAX(IF(D871&lt;=0,0,MAX(0,(B871/D871)*H871/INDEX(Surface_Engine!$B$12:$B$72,$A871+1)-F871/INDEX(Surface_Engine!$B$12:$B$72,$A871+1))),IF(E871&lt;=0,0,MAX(0,(B871/E871)*I871/INDEX(Surface_Engine!$B$12:$B$72,$A871+1)-F871/INDEX(Surface_Engine!$B$12:$B$72,$A871+1))),IF($A871&lt;$Q$825,MAX(0,-Assumptions!$B$22*(F871/INDEX(Surface_Engine!$B$12:$B$72,$A871+1))),0)))+2*Assumptions!$B$27*(IF(C871&lt;=0,0,MAX(0,(B871/C871)*G871/INDEX(Surface_Engine!$B$12:$B$72,$A871+1)-F871/INDEX(Surface_Engine!$B$12:$B$72,$A871+1))))*(MAX(0,J871/INDEX(Surface_Engine!$B$12:$B$72,$A871+1)-(F871/INDEX(Surface_Engine!$B$12:$B$72,$A871+1))))+2*Assumptions!$B$28*(MAX(IF(D871&lt;=0,0,MAX(0,(B871/D871)*H871/INDEX(Surface_Engine!$B$12:$B$72,$A871+1)-F871/INDEX(Surface_Engine!$B$12:$B$72,$A871+1))),IF(E871&lt;=0,0,MAX(0,(B871/E871)*I871/INDEX(Surface_Engine!$B$12:$B$72,$A871+1)-F871/INDEX(Surface_Engine!$B$12:$B$72,$A871+1))),IF($A871&lt;$Q$825,MAX(0,-Assumptions!$B$22*(F871/INDEX(Surface_Engine!$B$12:$B$72,$A871+1))),0)))*(MAX(0,J871/INDEX(Surface_Engine!$B$12:$B$72,$A871+1)-(F871/INDEX(Surface_Engine!$B$12:$B$72,$A871+1)))))</f>
        <v>8.66479940907581</v>
      </c>
      <c r="L871" s="48" t="n">
        <f aca="false">K871*INDEX(Surface_Engine!$B$12:$B$72,$A871+1)+L872</f>
        <v>4.13477790169554</v>
      </c>
      <c r="M871" s="48" t="n">
        <f aca="false">M870+B870*(IF($A870&lt;$Q$825,(Surface_Engine!G244*12)-(Surface_Engine!G244*12)*INDEX(Surface_Engine!$F$12:$F$72,$A870+1)-INDEX(Surface_Engine!$D$12:$D$72,$A870+1),-(1000*12*INDEX(Surface_Engine!$C$12:$C$72,$A870+1)/(1+Assumptions!$B$10)^12+INDEX(Surface_Engine!$D$12:$D$72,$A870+1))))*INDEX(Surface_Engine!$B$12:$B$72,$A870+1)</f>
        <v>2528.12346300394</v>
      </c>
      <c r="N871" s="12" t="n">
        <f aca="false">IF(B871&lt;=0,0,MAX(0,(K871+Assumptions!$B$29*L871/INDEX(Surface_Engine!$B$12:$B$72,$A871+1)-(M871/INDEX(Surface_Engine!$B$12:$B$72,$A871+1)-(F871/INDEX(Surface_Engine!$B$12:$B$72,$A871+1))))/B871))</f>
        <v>0</v>
      </c>
    </row>
    <row r="872" customFormat="false" ht="15" hidden="false" customHeight="true" outlineLevel="0" collapsed="false">
      <c r="A872" s="1" t="n">
        <v>45</v>
      </c>
      <c r="B872" s="32" t="n">
        <f aca="false">INDEX(Surface_Engine!$O$12:$O$72,$A872+1)*IF($A872&lt;$Q$825,INDEX(Surface_Engine!$E$12:$E$72,$A872+1),INDEX(Surface_Engine!$E$12:$E$72,$Q$825+1))</f>
        <v>0.000447798919378799</v>
      </c>
      <c r="C872" s="32" t="n">
        <f aca="false">INDEX(Panel_Reserving!$E$8:$E$68,$A872+1)*IF($A872&lt;$Q$825,INDEX(Surface_Engine!$E$12:$E$72,$A872+1),INDEX(Surface_Engine!$E$12:$E$72,$Q$825+1))</f>
        <v>0.00256710642482006</v>
      </c>
      <c r="D872" s="32" t="n">
        <f aca="false">INDEX(Surface_Engine!$O$12:$O$72,$A872+1)*IF($A872&lt;$Q$825,INDEX(Surface_Engine!$Y$12:$Y$72,$A872+1),INDEX(Surface_Engine!$Y$12:$Y$72,$Q$825+1))</f>
        <v>0.000411291279137316</v>
      </c>
      <c r="E872" s="32" t="n">
        <f aca="false">INDEX(Surface_Engine!$O$12:$O$72,$A872+1)*IF($A872&lt;$Q$825,INDEX(Surface_Engine!$Z$12:$Z$72,$A872+1),INDEX(Surface_Engine!$Z$12:$Z$72,$Q$825+1))</f>
        <v>0.000487130585308642</v>
      </c>
      <c r="F872" s="48" t="n">
        <f aca="false">B872*(IF($A872&lt;$Q$825,INDEX(Surface_Engine!$D$12:$D$72,$A872+1)+(Surface_Engine!G244*12)*INDEX(Surface_Engine!$F$12:$F$72,$A872+1)-(Surface_Engine!G244*12),1000*12*INDEX(Surface_Engine!$C$12:$C$72,$A872+1)/(1+Assumptions!$B$10)^12+INDEX(Surface_Engine!$D$12:$D$72,$A872+1)))*INDEX(Surface_Engine!$B$12:$B$72,$A872+1)+F873</f>
        <v>4.89269617655636</v>
      </c>
      <c r="G872" s="48" t="n">
        <f aca="false">C872*(IF($A872&lt;$Q$825,INDEX(Surface_Engine!$D$12:$D$72,$A872+1)+(Surface_Engine!G244*12)*INDEX(Surface_Engine!$F$12:$F$72,$A872+1)-(Surface_Engine!G244*12),1000*12*INDEX(Surface_Engine!$C$12:$C$72,$A872+1)/(1+Assumptions!$B$10)^12+INDEX(Surface_Engine!$D$12:$D$72,$A872+1)))*INDEX(Surface_Engine!$B$12:$B$72,$A872+1)+G873</f>
        <v>34.2086146126003</v>
      </c>
      <c r="H872" s="48" t="n">
        <f aca="false">D872*(IF($A872&lt;$Q$825,INDEX(Surface_Engine!$D$12:$D$72,$A872+1)+(Surface_Engine!G244*12)*INDEX(Surface_Engine!$F$12:$F$72,$A872+1)-(Surface_Engine!G244*12),1000*12*INDEX(Surface_Engine!$C$12:$C$72,$A872+1)/(1+Assumptions!$B$10)^12+INDEX(Surface_Engine!$D$12:$D$72,$A872+1)))*INDEX(Surface_Engine!$B$12:$B$72,$A872+1)+H873</f>
        <v>4.49381001561522</v>
      </c>
      <c r="I872" s="48" t="n">
        <f aca="false">E872*(IF($A872&lt;$Q$825,INDEX(Surface_Engine!$D$12:$D$72,$A872+1)+(Surface_Engine!G244*12)*INDEX(Surface_Engine!$F$12:$F$72,$A872+1)-(Surface_Engine!G244*12),1000*12*INDEX(Surface_Engine!$C$12:$C$72,$A872+1)/(1+Assumptions!$B$10)^12+INDEX(Surface_Engine!$D$12:$D$72,$A872+1)))*INDEX(Surface_Engine!$B$12:$B$72,$A872+1)+I873</f>
        <v>5.32243792711594</v>
      </c>
      <c r="J872" s="48" t="n">
        <f aca="false">B872*(IF($A872&lt;$Q$825,INDEX(Surface_Engine!$D$12:$D$72,$A872+1)*(1+Assumptions!$B$24)+(Surface_Engine!G244*12)*INDEX(Surface_Engine!$F$12:$F$72,$A872+1)-(Surface_Engine!G244*12),1000*12*INDEX(Surface_Engine!$C$12:$C$72,$A872+1)/(1+Assumptions!$B$10)^12+INDEX(Surface_Engine!$D$12:$D$72,$A872+1)*(1+Assumptions!$B$24)))*INDEX(Surface_Engine!$B$12:$B$72,$A872+1)+J873</f>
        <v>4.89794607510874</v>
      </c>
      <c r="K872" s="12" t="n">
        <f aca="false">SQRT((IF(C872&lt;=0,0,MAX(0,(B872/C872)*G872/INDEX(Surface_Engine!$B$12:$B$72,$A872+1)-F872/INDEX(Surface_Engine!$B$12:$B$72,$A872+1))))^2+(MAX(IF(D872&lt;=0,0,MAX(0,(B872/D872)*H872/INDEX(Surface_Engine!$B$12:$B$72,$A872+1)-F872/INDEX(Surface_Engine!$B$12:$B$72,$A872+1))),IF(E872&lt;=0,0,MAX(0,(B872/E872)*I872/INDEX(Surface_Engine!$B$12:$B$72,$A872+1)-F872/INDEX(Surface_Engine!$B$12:$B$72,$A872+1))),IF($A872&lt;$Q$825,MAX(0,-Assumptions!$B$22*(F872/INDEX(Surface_Engine!$B$12:$B$72,$A872+1))),0)))^2+(MAX(0,J872/INDEX(Surface_Engine!$B$12:$B$72,$A872+1)-(F872/INDEX(Surface_Engine!$B$12:$B$72,$A872+1))))^2+2*Assumptions!$B$26*(IF(C872&lt;=0,0,MAX(0,(B872/C872)*G872/INDEX(Surface_Engine!$B$12:$B$72,$A872+1)-F872/INDEX(Surface_Engine!$B$12:$B$72,$A872+1))))*(MAX(IF(D872&lt;=0,0,MAX(0,(B872/D872)*H872/INDEX(Surface_Engine!$B$12:$B$72,$A872+1)-F872/INDEX(Surface_Engine!$B$12:$B$72,$A872+1))),IF(E872&lt;=0,0,MAX(0,(B872/E872)*I872/INDEX(Surface_Engine!$B$12:$B$72,$A872+1)-F872/INDEX(Surface_Engine!$B$12:$B$72,$A872+1))),IF($A872&lt;$Q$825,MAX(0,-Assumptions!$B$22*(F872/INDEX(Surface_Engine!$B$12:$B$72,$A872+1))),0)))+2*Assumptions!$B$27*(IF(C872&lt;=0,0,MAX(0,(B872/C872)*G872/INDEX(Surface_Engine!$B$12:$B$72,$A872+1)-F872/INDEX(Surface_Engine!$B$12:$B$72,$A872+1))))*(MAX(0,J872/INDEX(Surface_Engine!$B$12:$B$72,$A872+1)-(F872/INDEX(Surface_Engine!$B$12:$B$72,$A872+1))))+2*Assumptions!$B$28*(MAX(IF(D872&lt;=0,0,MAX(0,(B872/D872)*H872/INDEX(Surface_Engine!$B$12:$B$72,$A872+1)-F872/INDEX(Surface_Engine!$B$12:$B$72,$A872+1))),IF(E872&lt;=0,0,MAX(0,(B872/E872)*I872/INDEX(Surface_Engine!$B$12:$B$72,$A872+1)-F872/INDEX(Surface_Engine!$B$12:$B$72,$A872+1))),IF($A872&lt;$Q$825,MAX(0,-Assumptions!$B$22*(F872/INDEX(Surface_Engine!$B$12:$B$72,$A872+1))),0)))*(MAX(0,J872/INDEX(Surface_Engine!$B$12:$B$72,$A872+1)-(F872/INDEX(Surface_Engine!$B$12:$B$72,$A872+1)))))</f>
        <v>4.45713862692881</v>
      </c>
      <c r="L872" s="48" t="n">
        <f aca="false">K872*INDEX(Surface_Engine!$B$12:$B$72,$A872+1)+L873</f>
        <v>1.97427066092163</v>
      </c>
      <c r="M872" s="48" t="n">
        <f aca="false">M871+B871*(IF($A871&lt;$Q$825,(Surface_Engine!G244*12)-(Surface_Engine!G244*12)*INDEX(Surface_Engine!$F$12:$F$72,$A871+1)-INDEX(Surface_Engine!$D$12:$D$72,$A871+1),-(1000*12*INDEX(Surface_Engine!$C$12:$C$72,$A871+1)/(1+Assumptions!$B$10)^12+INDEX(Surface_Engine!$D$12:$D$72,$A871+1))))*INDEX(Surface_Engine!$B$12:$B$72,$A871+1)</f>
        <v>2523.25464453494</v>
      </c>
      <c r="N872" s="12" t="n">
        <f aca="false">IF(B872&lt;=0,0,MAX(0,(K872+Assumptions!$B$29*L872/INDEX(Surface_Engine!$B$12:$B$72,$A872+1)-(M872/INDEX(Surface_Engine!$B$12:$B$72,$A872+1)-(F872/INDEX(Surface_Engine!$B$12:$B$72,$A872+1))))/B872))</f>
        <v>0</v>
      </c>
    </row>
    <row r="873" customFormat="false" ht="15" hidden="false" customHeight="true" outlineLevel="0" collapsed="false">
      <c r="A873" s="1" t="n">
        <v>46</v>
      </c>
      <c r="B873" s="32" t="n">
        <f aca="false">INDEX(Surface_Engine!$O$12:$O$72,$A873+1)*IF($A873&lt;$Q$825,INDEX(Surface_Engine!$E$12:$E$72,$A873+1),INDEX(Surface_Engine!$E$12:$E$72,$Q$825+1))</f>
        <v>0.000226916274206742</v>
      </c>
      <c r="C873" s="32" t="n">
        <f aca="false">INDEX(Panel_Reserving!$E$8:$E$68,$A873+1)*IF($A873&lt;$Q$825,INDEX(Surface_Engine!$E$12:$E$72,$A873+1),INDEX(Surface_Engine!$E$12:$E$72,$Q$825+1))</f>
        <v>0.00155409950048172</v>
      </c>
      <c r="D873" s="32" t="n">
        <f aca="false">INDEX(Surface_Engine!$O$12:$O$72,$A873+1)*IF($A873&lt;$Q$825,INDEX(Surface_Engine!$Y$12:$Y$72,$A873+1),INDEX(Surface_Engine!$Y$12:$Y$72,$Q$825+1))</f>
        <v>0.000208416502668282</v>
      </c>
      <c r="E873" s="32" t="n">
        <f aca="false">INDEX(Surface_Engine!$O$12:$O$72,$A873+1)*IF($A873&lt;$Q$825,INDEX(Surface_Engine!$Z$12:$Z$72,$A873+1),INDEX(Surface_Engine!$Z$12:$Z$72,$Q$825+1))</f>
        <v>0.000246847084007546</v>
      </c>
      <c r="F873" s="48" t="n">
        <f aca="false">B873*(IF($A873&lt;$Q$825,INDEX(Surface_Engine!$D$12:$D$72,$A873+1)+(Surface_Engine!G244*12)*INDEX(Surface_Engine!$F$12:$F$72,$A873+1)-(Surface_Engine!G244*12),1000*12*INDEX(Surface_Engine!$C$12:$C$72,$A873+1)/(1+Assumptions!$B$10)^12+INDEX(Surface_Engine!$D$12:$D$72,$A873+1)))*INDEX(Surface_Engine!$B$12:$B$72,$A873+1)+F874</f>
        <v>2.37244232503886</v>
      </c>
      <c r="G873" s="48" t="n">
        <f aca="false">C873*(IF($A873&lt;$Q$825,INDEX(Surface_Engine!$D$12:$D$72,$A873+1)+(Surface_Engine!G244*12)*INDEX(Surface_Engine!$F$12:$F$72,$A873+1)-(Surface_Engine!G244*12),1000*12*INDEX(Surface_Engine!$C$12:$C$72,$A873+1)/(1+Assumptions!$B$10)^12+INDEX(Surface_Engine!$D$12:$D$72,$A873+1)))*INDEX(Surface_Engine!$B$12:$B$72,$A873+1)+G874</f>
        <v>19.7607015551433</v>
      </c>
      <c r="H873" s="48" t="n">
        <f aca="false">D873*(IF($A873&lt;$Q$825,INDEX(Surface_Engine!$D$12:$D$72,$A873+1)+(Surface_Engine!G244*12)*INDEX(Surface_Engine!$F$12:$F$72,$A873+1)-(Surface_Engine!G244*12),1000*12*INDEX(Surface_Engine!$C$12:$C$72,$A873+1)/(1+Assumptions!$B$10)^12+INDEX(Surface_Engine!$D$12:$D$72,$A873+1)))*INDEX(Surface_Engine!$B$12:$B$72,$A873+1)+H874</f>
        <v>2.17902454945259</v>
      </c>
      <c r="I873" s="48" t="n">
        <f aca="false">E873*(IF($A873&lt;$Q$825,INDEX(Surface_Engine!$D$12:$D$72,$A873+1)+(Surface_Engine!G244*12)*INDEX(Surface_Engine!$F$12:$F$72,$A873+1)-(Surface_Engine!G244*12),1000*12*INDEX(Surface_Engine!$C$12:$C$72,$A873+1)/(1+Assumptions!$B$10)^12+INDEX(Surface_Engine!$D$12:$D$72,$A873+1)))*INDEX(Surface_Engine!$B$12:$B$72,$A873+1)+I874</f>
        <v>2.58082181174172</v>
      </c>
      <c r="J873" s="48" t="n">
        <f aca="false">B873*(IF($A873&lt;$Q$825,INDEX(Surface_Engine!$D$12:$D$72,$A873+1)*(1+Assumptions!$B$24)+(Surface_Engine!G244*12)*INDEX(Surface_Engine!$F$12:$F$72,$A873+1)-(Surface_Engine!G244*12),1000*12*INDEX(Surface_Engine!$C$12:$C$72,$A873+1)/(1+Assumptions!$B$10)^12+INDEX(Surface_Engine!$D$12:$D$72,$A873+1)*(1+Assumptions!$B$24)))*INDEX(Surface_Engine!$B$12:$B$72,$A873+1)+J874</f>
        <v>2.37499957189791</v>
      </c>
      <c r="K873" s="12" t="n">
        <f aca="false">SQRT((IF(C873&lt;=0,0,MAX(0,(B873/C873)*G873/INDEX(Surface_Engine!$B$12:$B$72,$A873+1)-F873/INDEX(Surface_Engine!$B$12:$B$72,$A873+1))))^2+(MAX(IF(D873&lt;=0,0,MAX(0,(B873/D873)*H873/INDEX(Surface_Engine!$B$12:$B$72,$A873+1)-F873/INDEX(Surface_Engine!$B$12:$B$72,$A873+1))),IF(E873&lt;=0,0,MAX(0,(B873/E873)*I873/INDEX(Surface_Engine!$B$12:$B$72,$A873+1)-F873/INDEX(Surface_Engine!$B$12:$B$72,$A873+1))),IF($A873&lt;$Q$825,MAX(0,-Assumptions!$B$22*(F873/INDEX(Surface_Engine!$B$12:$B$72,$A873+1))),0)))^2+(MAX(0,J873/INDEX(Surface_Engine!$B$12:$B$72,$A873+1)-(F873/INDEX(Surface_Engine!$B$12:$B$72,$A873+1))))^2+2*Assumptions!$B$26*(IF(C873&lt;=0,0,MAX(0,(B873/C873)*G873/INDEX(Surface_Engine!$B$12:$B$72,$A873+1)-F873/INDEX(Surface_Engine!$B$12:$B$72,$A873+1))))*(MAX(IF(D873&lt;=0,0,MAX(0,(B873/D873)*H873/INDEX(Surface_Engine!$B$12:$B$72,$A873+1)-F873/INDEX(Surface_Engine!$B$12:$B$72,$A873+1))),IF(E873&lt;=0,0,MAX(0,(B873/E873)*I873/INDEX(Surface_Engine!$B$12:$B$72,$A873+1)-F873/INDEX(Surface_Engine!$B$12:$B$72,$A873+1))),IF($A873&lt;$Q$825,MAX(0,-Assumptions!$B$22*(F873/INDEX(Surface_Engine!$B$12:$B$72,$A873+1))),0)))+2*Assumptions!$B$27*(IF(C873&lt;=0,0,MAX(0,(B873/C873)*G873/INDEX(Surface_Engine!$B$12:$B$72,$A873+1)-F873/INDEX(Surface_Engine!$B$12:$B$72,$A873+1))))*(MAX(0,J873/INDEX(Surface_Engine!$B$12:$B$72,$A873+1)-(F873/INDEX(Surface_Engine!$B$12:$B$72,$A873+1))))+2*Assumptions!$B$28*(MAX(IF(D873&lt;=0,0,MAX(0,(B873/D873)*H873/INDEX(Surface_Engine!$B$12:$B$72,$A873+1)-F873/INDEX(Surface_Engine!$B$12:$B$72,$A873+1))),IF(E873&lt;=0,0,MAX(0,(B873/E873)*I873/INDEX(Surface_Engine!$B$12:$B$72,$A873+1)-F873/INDEX(Surface_Engine!$B$12:$B$72,$A873+1))),IF($A873&lt;$Q$825,MAX(0,-Assumptions!$B$22*(F873/INDEX(Surface_Engine!$B$12:$B$72,$A873+1))),0)))*(MAX(0,J873/INDEX(Surface_Engine!$B$12:$B$72,$A873+1)-(F873/INDEX(Surface_Engine!$B$12:$B$72,$A873+1)))))</f>
        <v>2.19651747109961</v>
      </c>
      <c r="L873" s="48" t="n">
        <f aca="false">K873*INDEX(Surface_Engine!$B$12:$B$72,$A873+1)+L874</f>
        <v>0.898386572405192</v>
      </c>
      <c r="M873" s="48" t="n">
        <f aca="false">M872+B872*(IF($A872&lt;$Q$825,(Surface_Engine!G244*12)-(Surface_Engine!G244*12)*INDEX(Surface_Engine!$F$12:$F$72,$A872+1)-INDEX(Surface_Engine!$D$12:$D$72,$A872+1),-(1000*12*INDEX(Surface_Engine!$C$12:$C$72,$A872+1)/(1+Assumptions!$B$10)^12+INDEX(Surface_Engine!$D$12:$D$72,$A872+1))))*INDEX(Surface_Engine!$B$12:$B$72,$A872+1)</f>
        <v>2520.73439068342</v>
      </c>
      <c r="N873" s="12" t="n">
        <f aca="false">IF(B873&lt;=0,0,MAX(0,(K873+Assumptions!$B$29*L873/INDEX(Surface_Engine!$B$12:$B$72,$A873+1)-(M873/INDEX(Surface_Engine!$B$12:$B$72,$A873+1)-(F873/INDEX(Surface_Engine!$B$12:$B$72,$A873+1))))/B873))</f>
        <v>0</v>
      </c>
    </row>
    <row r="874" customFormat="false" ht="15" hidden="false" customHeight="true" outlineLevel="0" collapsed="false">
      <c r="A874" s="1" t="n">
        <v>47</v>
      </c>
      <c r="B874" s="32" t="n">
        <f aca="false">INDEX(Surface_Engine!$O$12:$O$72,$A874+1)*IF($A874&lt;$Q$825,INDEX(Surface_Engine!$E$12:$E$72,$A874+1),INDEX(Surface_Engine!$E$12:$E$72,$Q$825+1))</f>
        <v>0.000111067656932293</v>
      </c>
      <c r="C874" s="32" t="n">
        <f aca="false">INDEX(Panel_Reserving!$E$8:$E$68,$A874+1)*IF($A874&lt;$Q$825,INDEX(Surface_Engine!$E$12:$E$72,$A874+1),INDEX(Surface_Engine!$E$12:$E$72,$Q$825+1))</f>
        <v>0.000919362203239883</v>
      </c>
      <c r="D874" s="32" t="n">
        <f aca="false">INDEX(Surface_Engine!$O$12:$O$72,$A874+1)*IF($A874&lt;$Q$825,INDEX(Surface_Engine!$Y$12:$Y$72,$A874+1),INDEX(Surface_Engine!$Y$12:$Y$72,$Q$825+1))</f>
        <v>0.000102012659507615</v>
      </c>
      <c r="E874" s="32" t="n">
        <f aca="false">INDEX(Surface_Engine!$O$12:$O$72,$A874+1)*IF($A874&lt;$Q$825,INDEX(Surface_Engine!$Z$12:$Z$72,$A874+1),INDEX(Surface_Engine!$Z$12:$Z$72,$Q$825+1))</f>
        <v>0.000120823098022083</v>
      </c>
      <c r="F874" s="48" t="n">
        <f aca="false">B874*(IF($A874&lt;$Q$825,INDEX(Surface_Engine!$D$12:$D$72,$A874+1)+(Surface_Engine!G244*12)*INDEX(Surface_Engine!$F$12:$F$72,$A874+1)-(Surface_Engine!G244*12),1000*12*INDEX(Surface_Engine!$C$12:$C$72,$A874+1)/(1+Assumptions!$B$10)^12+INDEX(Surface_Engine!$D$12:$D$72,$A874+1)))*INDEX(Surface_Engine!$B$12:$B$72,$A874+1)+F875</f>
        <v>1.11079296065356</v>
      </c>
      <c r="G874" s="48" t="n">
        <f aca="false">C874*(IF($A874&lt;$Q$825,INDEX(Surface_Engine!$D$12:$D$72,$A874+1)+(Surface_Engine!G244*12)*INDEX(Surface_Engine!$F$12:$F$72,$A874+1)-(Surface_Engine!G244*12),1000*12*INDEX(Surface_Engine!$C$12:$C$72,$A874+1)/(1+Assumptions!$B$10)^12+INDEX(Surface_Engine!$D$12:$D$72,$A874+1)))*INDEX(Surface_Engine!$B$12:$B$72,$A874+1)+G875</f>
        <v>11.1199433996138</v>
      </c>
      <c r="H874" s="48" t="n">
        <f aca="false">D874*(IF($A874&lt;$Q$825,INDEX(Surface_Engine!$D$12:$D$72,$A874+1)+(Surface_Engine!G244*12)*INDEX(Surface_Engine!$F$12:$F$72,$A874+1)-(Surface_Engine!G244*12),1000*12*INDEX(Surface_Engine!$C$12:$C$72,$A874+1)/(1+Assumptions!$B$10)^12+INDEX(Surface_Engine!$D$12:$D$72,$A874+1)))*INDEX(Surface_Engine!$B$12:$B$72,$A874+1)+H875</f>
        <v>1.02023349738695</v>
      </c>
      <c r="I874" s="48" t="n">
        <f aca="false">E874*(IF($A874&lt;$Q$825,INDEX(Surface_Engine!$D$12:$D$72,$A874+1)+(Surface_Engine!G244*12)*INDEX(Surface_Engine!$F$12:$F$72,$A874+1)-(Surface_Engine!G244*12),1000*12*INDEX(Surface_Engine!$C$12:$C$72,$A874+1)/(1+Assumptions!$B$10)^12+INDEX(Surface_Engine!$D$12:$D$72,$A874+1)))*INDEX(Surface_Engine!$B$12:$B$72,$A874+1)+I875</f>
        <v>1.20835759458849</v>
      </c>
      <c r="J874" s="48" t="n">
        <f aca="false">B874*(IF($A874&lt;$Q$825,INDEX(Surface_Engine!$D$12:$D$72,$A874+1)*(1+Assumptions!$B$24)+(Surface_Engine!G244*12)*INDEX(Surface_Engine!$F$12:$F$72,$A874+1)-(Surface_Engine!G244*12),1000*12*INDEX(Surface_Engine!$C$12:$C$72,$A874+1)/(1+Assumptions!$B$10)^12+INDEX(Surface_Engine!$D$12:$D$72,$A874+1)*(1+Assumptions!$B$24)))*INDEX(Surface_Engine!$B$12:$B$72,$A874+1)+J875</f>
        <v>1.11199571841342</v>
      </c>
      <c r="K874" s="12" t="n">
        <f aca="false">SQRT((IF(C874&lt;=0,0,MAX(0,(B874/C874)*G874/INDEX(Surface_Engine!$B$12:$B$72,$A874+1)-F874/INDEX(Surface_Engine!$B$12:$B$72,$A874+1))))^2+(MAX(IF(D874&lt;=0,0,MAX(0,(B874/D874)*H874/INDEX(Surface_Engine!$B$12:$B$72,$A874+1)-F874/INDEX(Surface_Engine!$B$12:$B$72,$A874+1))),IF(E874&lt;=0,0,MAX(0,(B874/E874)*I874/INDEX(Surface_Engine!$B$12:$B$72,$A874+1)-F874/INDEX(Surface_Engine!$B$12:$B$72,$A874+1))),IF($A874&lt;$Q$825,MAX(0,-Assumptions!$B$22*(F874/INDEX(Surface_Engine!$B$12:$B$72,$A874+1))),0)))^2+(MAX(0,J874/INDEX(Surface_Engine!$B$12:$B$72,$A874+1)-(F874/INDEX(Surface_Engine!$B$12:$B$72,$A874+1))))^2+2*Assumptions!$B$26*(IF(C874&lt;=0,0,MAX(0,(B874/C874)*G874/INDEX(Surface_Engine!$B$12:$B$72,$A874+1)-F874/INDEX(Surface_Engine!$B$12:$B$72,$A874+1))))*(MAX(IF(D874&lt;=0,0,MAX(0,(B874/D874)*H874/INDEX(Surface_Engine!$B$12:$B$72,$A874+1)-F874/INDEX(Surface_Engine!$B$12:$B$72,$A874+1))),IF(E874&lt;=0,0,MAX(0,(B874/E874)*I874/INDEX(Surface_Engine!$B$12:$B$72,$A874+1)-F874/INDEX(Surface_Engine!$B$12:$B$72,$A874+1))),IF($A874&lt;$Q$825,MAX(0,-Assumptions!$B$22*(F874/INDEX(Surface_Engine!$B$12:$B$72,$A874+1))),0)))+2*Assumptions!$B$27*(IF(C874&lt;=0,0,MAX(0,(B874/C874)*G874/INDEX(Surface_Engine!$B$12:$B$72,$A874+1)-F874/INDEX(Surface_Engine!$B$12:$B$72,$A874+1))))*(MAX(0,J874/INDEX(Surface_Engine!$B$12:$B$72,$A874+1)-(F874/INDEX(Surface_Engine!$B$12:$B$72,$A874+1))))+2*Assumptions!$B$28*(MAX(IF(D874&lt;=0,0,MAX(0,(B874/D874)*H874/INDEX(Surface_Engine!$B$12:$B$72,$A874+1)-F874/INDEX(Surface_Engine!$B$12:$B$72,$A874+1))),IF(E874&lt;=0,0,MAX(0,(B874/E874)*I874/INDEX(Surface_Engine!$B$12:$B$72,$A874+1)-F874/INDEX(Surface_Engine!$B$12:$B$72,$A874+1))),IF($A874&lt;$Q$825,MAX(0,-Assumptions!$B$22*(F874/INDEX(Surface_Engine!$B$12:$B$72,$A874+1))),0)))*(MAX(0,J874/INDEX(Surface_Engine!$B$12:$B$72,$A874+1)-(F874/INDEX(Surface_Engine!$B$12:$B$72,$A874+1)))))</f>
        <v>1.02872731565104</v>
      </c>
      <c r="L874" s="48" t="n">
        <f aca="false">K874*INDEX(Surface_Engine!$B$12:$B$72,$A874+1)+L875</f>
        <v>0.384895530360146</v>
      </c>
      <c r="M874" s="48" t="n">
        <f aca="false">M873+B873*(IF($A873&lt;$Q$825,(Surface_Engine!G244*12)-(Surface_Engine!G244*12)*INDEX(Surface_Engine!$F$12:$F$72,$A873+1)-INDEX(Surface_Engine!$D$12:$D$72,$A873+1),-(1000*12*INDEX(Surface_Engine!$C$12:$C$72,$A873+1)/(1+Assumptions!$B$10)^12+INDEX(Surface_Engine!$D$12:$D$72,$A873+1))))*INDEX(Surface_Engine!$B$12:$B$72,$A873+1)</f>
        <v>2519.47274131904</v>
      </c>
      <c r="N874" s="12" t="n">
        <f aca="false">IF(B874&lt;=0,0,MAX(0,(K874+Assumptions!$B$29*L874/INDEX(Surface_Engine!$B$12:$B$72,$A874+1)-(M874/INDEX(Surface_Engine!$B$12:$B$72,$A874+1)-(F874/INDEX(Surface_Engine!$B$12:$B$72,$A874+1))))/B874))</f>
        <v>0</v>
      </c>
    </row>
    <row r="875" customFormat="false" ht="15" hidden="false" customHeight="true" outlineLevel="0" collapsed="false">
      <c r="A875" s="1" t="n">
        <v>48</v>
      </c>
      <c r="B875" s="32" t="n">
        <f aca="false">INDEX(Surface_Engine!$O$12:$O$72,$A875+1)*IF($A875&lt;$Q$825,INDEX(Surface_Engine!$E$12:$E$72,$A875+1),INDEX(Surface_Engine!$E$12:$E$72,$Q$825+1))</f>
        <v>5.2470632255491E-005</v>
      </c>
      <c r="C875" s="32" t="n">
        <f aca="false">INDEX(Panel_Reserving!$E$8:$E$68,$A875+1)*IF($A875&lt;$Q$825,INDEX(Surface_Engine!$E$12:$E$72,$A875+1),INDEX(Surface_Engine!$E$12:$E$72,$Q$825+1))</f>
        <v>0.000531332843852158</v>
      </c>
      <c r="D875" s="32" t="n">
        <f aca="false">INDEX(Surface_Engine!$O$12:$O$72,$A875+1)*IF($A875&lt;$Q$825,INDEX(Surface_Engine!$Y$12:$Y$72,$A875+1),INDEX(Surface_Engine!$Y$12:$Y$72,$Q$825+1))</f>
        <v>4.81928663147336E-005</v>
      </c>
      <c r="E875" s="32" t="n">
        <f aca="false">INDEX(Surface_Engine!$O$12:$O$72,$A875+1)*IF($A875&lt;$Q$825,INDEX(Surface_Engine!$Z$12:$Z$72,$A875+1),INDEX(Surface_Engine!$Z$12:$Z$72,$Q$825+1))</f>
        <v>5.70793021063775E-005</v>
      </c>
      <c r="F875" s="48" t="n">
        <f aca="false">B875*(IF($A875&lt;$Q$825,INDEX(Surface_Engine!$D$12:$D$72,$A875+1)+(Surface_Engine!G244*12)*INDEX(Surface_Engine!$F$12:$F$72,$A875+1)-(Surface_Engine!G244*12),1000*12*INDEX(Surface_Engine!$C$12:$C$72,$A875+1)/(1+Assumptions!$B$10)^12+INDEX(Surface_Engine!$D$12:$D$72,$A875+1)))*INDEX(Surface_Engine!$B$12:$B$72,$A875+1)+F876</f>
        <v>0.500744804519689</v>
      </c>
      <c r="G875" s="48" t="n">
        <f aca="false">C875*(IF($A875&lt;$Q$825,INDEX(Surface_Engine!$D$12:$D$72,$A875+1)+(Surface_Engine!G244*12)*INDEX(Surface_Engine!$F$12:$F$72,$A875+1)-(Surface_Engine!G244*12),1000*12*INDEX(Surface_Engine!$C$12:$C$72,$A875+1)/(1+Assumptions!$B$10)^12+INDEX(Surface_Engine!$D$12:$D$72,$A875+1)))*INDEX(Surface_Engine!$B$12:$B$72,$A875+1)+G876</f>
        <v>6.07027158338417</v>
      </c>
      <c r="H875" s="48" t="n">
        <f aca="false">D875*(IF($A875&lt;$Q$825,INDEX(Surface_Engine!$D$12:$D$72,$A875+1)+(Surface_Engine!G244*12)*INDEX(Surface_Engine!$F$12:$F$72,$A875+1)-(Surface_Engine!G244*12),1000*12*INDEX(Surface_Engine!$C$12:$C$72,$A875+1)/(1+Assumptions!$B$10)^12+INDEX(Surface_Engine!$D$12:$D$72,$A875+1)))*INDEX(Surface_Engine!$B$12:$B$72,$A875+1)+H876</f>
        <v>0.459920652461537</v>
      </c>
      <c r="I875" s="48" t="n">
        <f aca="false">E875*(IF($A875&lt;$Q$825,INDEX(Surface_Engine!$D$12:$D$72,$A875+1)+(Surface_Engine!G244*12)*INDEX(Surface_Engine!$F$12:$F$72,$A875+1)-(Surface_Engine!G244*12),1000*12*INDEX(Surface_Engine!$C$12:$C$72,$A875+1)/(1+Assumptions!$B$10)^12+INDEX(Surface_Engine!$D$12:$D$72,$A875+1)))*INDEX(Surface_Engine!$B$12:$B$72,$A875+1)+I876</f>
        <v>0.54472688333934</v>
      </c>
      <c r="J875" s="48" t="n">
        <f aca="false">B875*(IF($A875&lt;$Q$825,INDEX(Surface_Engine!$D$12:$D$72,$A875+1)*(1+Assumptions!$B$24)+(Surface_Engine!G244*12)*INDEX(Surface_Engine!$F$12:$F$72,$A875+1)-(Surface_Engine!G244*12),1000*12*INDEX(Surface_Engine!$C$12:$C$72,$A875+1)/(1+Assumptions!$B$10)^12+INDEX(Surface_Engine!$D$12:$D$72,$A875+1)*(1+Assumptions!$B$24)))*INDEX(Surface_Engine!$B$12:$B$72,$A875+1)+J876</f>
        <v>0.501289447265904</v>
      </c>
      <c r="K875" s="12" t="n">
        <f aca="false">SQRT((IF(C875&lt;=0,0,MAX(0,(B875/C875)*G875/INDEX(Surface_Engine!$B$12:$B$72,$A875+1)-F875/INDEX(Surface_Engine!$B$12:$B$72,$A875+1))))^2+(MAX(IF(D875&lt;=0,0,MAX(0,(B875/D875)*H875/INDEX(Surface_Engine!$B$12:$B$72,$A875+1)-F875/INDEX(Surface_Engine!$B$12:$B$72,$A875+1))),IF(E875&lt;=0,0,MAX(0,(B875/E875)*I875/INDEX(Surface_Engine!$B$12:$B$72,$A875+1)-F875/INDEX(Surface_Engine!$B$12:$B$72,$A875+1))),IF($A875&lt;$Q$825,MAX(0,-Assumptions!$B$22*(F875/INDEX(Surface_Engine!$B$12:$B$72,$A875+1))),0)))^2+(MAX(0,J875/INDEX(Surface_Engine!$B$12:$B$72,$A875+1)-(F875/INDEX(Surface_Engine!$B$12:$B$72,$A875+1))))^2+2*Assumptions!$B$26*(IF(C875&lt;=0,0,MAX(0,(B875/C875)*G875/INDEX(Surface_Engine!$B$12:$B$72,$A875+1)-F875/INDEX(Surface_Engine!$B$12:$B$72,$A875+1))))*(MAX(IF(D875&lt;=0,0,MAX(0,(B875/D875)*H875/INDEX(Surface_Engine!$B$12:$B$72,$A875+1)-F875/INDEX(Surface_Engine!$B$12:$B$72,$A875+1))),IF(E875&lt;=0,0,MAX(0,(B875/E875)*I875/INDEX(Surface_Engine!$B$12:$B$72,$A875+1)-F875/INDEX(Surface_Engine!$B$12:$B$72,$A875+1))),IF($A875&lt;$Q$825,MAX(0,-Assumptions!$B$22*(F875/INDEX(Surface_Engine!$B$12:$B$72,$A875+1))),0)))+2*Assumptions!$B$27*(IF(C875&lt;=0,0,MAX(0,(B875/C875)*G875/INDEX(Surface_Engine!$B$12:$B$72,$A875+1)-F875/INDEX(Surface_Engine!$B$12:$B$72,$A875+1))))*(MAX(0,J875/INDEX(Surface_Engine!$B$12:$B$72,$A875+1)-(F875/INDEX(Surface_Engine!$B$12:$B$72,$A875+1))))+2*Assumptions!$B$28*(MAX(IF(D875&lt;=0,0,MAX(0,(B875/D875)*H875/INDEX(Surface_Engine!$B$12:$B$72,$A875+1)-F875/INDEX(Surface_Engine!$B$12:$B$72,$A875+1))),IF(E875&lt;=0,0,MAX(0,(B875/E875)*I875/INDEX(Surface_Engine!$B$12:$B$72,$A875+1)-F875/INDEX(Surface_Engine!$B$12:$B$72,$A875+1))),IF($A875&lt;$Q$825,MAX(0,-Assumptions!$B$22*(F875/INDEX(Surface_Engine!$B$12:$B$72,$A875+1))),0)))*(MAX(0,J875/INDEX(Surface_Engine!$B$12:$B$72,$A875+1)-(F875/INDEX(Surface_Engine!$B$12:$B$72,$A875+1)))))</f>
        <v>0.45105054390026</v>
      </c>
      <c r="L875" s="48" t="n">
        <f aca="false">K875*INDEX(Surface_Engine!$B$12:$B$72,$A875+1)+L876</f>
        <v>0.151990464796364</v>
      </c>
      <c r="M875" s="48" t="n">
        <f aca="false">M874+B874*(IF($A874&lt;$Q$825,(Surface_Engine!G244*12)-(Surface_Engine!G244*12)*INDEX(Surface_Engine!$F$12:$F$72,$A874+1)-INDEX(Surface_Engine!$D$12:$D$72,$A874+1),-(1000*12*INDEX(Surface_Engine!$C$12:$C$72,$A874+1)/(1+Assumptions!$B$10)^12+INDEX(Surface_Engine!$D$12:$D$72,$A874+1))))*INDEX(Surface_Engine!$B$12:$B$72,$A874+1)</f>
        <v>2518.8626931629</v>
      </c>
      <c r="N875" s="12" t="n">
        <f aca="false">IF(B875&lt;=0,0,MAX(0,(K875+Assumptions!$B$29*L875/INDEX(Surface_Engine!$B$12:$B$72,$A875+1)-(M875/INDEX(Surface_Engine!$B$12:$B$72,$A875+1)-(F875/INDEX(Surface_Engine!$B$12:$B$72,$A875+1))))/B875))</f>
        <v>0</v>
      </c>
    </row>
    <row r="876" customFormat="false" ht="15" hidden="false" customHeight="true" outlineLevel="0" collapsed="false">
      <c r="A876" s="1" t="n">
        <v>49</v>
      </c>
      <c r="B876" s="32" t="n">
        <f aca="false">INDEX(Surface_Engine!$O$12:$O$72,$A876+1)*IF($A876&lt;$Q$825,INDEX(Surface_Engine!$E$12:$E$72,$A876+1),INDEX(Surface_Engine!$E$12:$E$72,$Q$825+1))</f>
        <v>2.39081247489918E-005</v>
      </c>
      <c r="C876" s="32" t="n">
        <f aca="false">INDEX(Panel_Reserving!$E$8:$E$68,$A876+1)*IF($A876&lt;$Q$825,INDEX(Surface_Engine!$E$12:$E$72,$A876+1),INDEX(Surface_Engine!$E$12:$E$72,$Q$825+1))</f>
        <v>0.000299947054299166</v>
      </c>
      <c r="D876" s="32" t="n">
        <f aca="false">INDEX(Surface_Engine!$O$12:$O$72,$A876+1)*IF($A876&lt;$Q$825,INDEX(Surface_Engine!$Y$12:$Y$72,$A876+1),INDEX(Surface_Engine!$Y$12:$Y$72,$Q$825+1))</f>
        <v>2.19589703865929E-005</v>
      </c>
      <c r="E876" s="32" t="n">
        <f aca="false">INDEX(Surface_Engine!$O$12:$O$72,$A876+1)*IF($A876&lt;$Q$825,INDEX(Surface_Engine!$Z$12:$Z$72,$A876+1),INDEX(Surface_Engine!$Z$12:$Z$72,$Q$825+1))</f>
        <v>2.60080547285926E-005</v>
      </c>
      <c r="F876" s="48" t="n">
        <f aca="false">B876*(IF($A876&lt;$Q$825,INDEX(Surface_Engine!$D$12:$D$72,$A876+1)+(Surface_Engine!G244*12)*INDEX(Surface_Engine!$F$12:$F$72,$A876+1)-(Surface_Engine!G244*12),1000*12*INDEX(Surface_Engine!$C$12:$C$72,$A876+1)/(1+Assumptions!$B$10)^12+INDEX(Surface_Engine!$D$12:$D$72,$A876+1)))*INDEX(Surface_Engine!$B$12:$B$72,$A876+1)+F877</f>
        <v>0.216176838507235</v>
      </c>
      <c r="G876" s="48" t="n">
        <f aca="false">C876*(IF($A876&lt;$Q$825,INDEX(Surface_Engine!$D$12:$D$72,$A876+1)+(Surface_Engine!G244*12)*INDEX(Surface_Engine!$F$12:$F$72,$A876+1)-(Surface_Engine!G244*12),1000*12*INDEX(Surface_Engine!$C$12:$C$72,$A876+1)/(1+Assumptions!$B$10)^12+INDEX(Surface_Engine!$D$12:$D$72,$A876+1)))*INDEX(Surface_Engine!$B$12:$B$72,$A876+1)+G877</f>
        <v>3.18865380690314</v>
      </c>
      <c r="H876" s="48" t="n">
        <f aca="false">D876*(IF($A876&lt;$Q$825,INDEX(Surface_Engine!$D$12:$D$72,$A876+1)+(Surface_Engine!G244*12)*INDEX(Surface_Engine!$F$12:$F$72,$A876+1)-(Surface_Engine!G244*12),1000*12*INDEX(Surface_Engine!$C$12:$C$72,$A876+1)/(1+Assumptions!$B$10)^12+INDEX(Surface_Engine!$D$12:$D$72,$A876+1)))*INDEX(Surface_Engine!$B$12:$B$72,$A876+1)+H877</f>
        <v>0.198552619449915</v>
      </c>
      <c r="I876" s="48" t="n">
        <f aca="false">E876*(IF($A876&lt;$Q$825,INDEX(Surface_Engine!$D$12:$D$72,$A876+1)+(Surface_Engine!G244*12)*INDEX(Surface_Engine!$F$12:$F$72,$A876+1)-(Surface_Engine!G244*12),1000*12*INDEX(Surface_Engine!$C$12:$C$72,$A876+1)/(1+Assumptions!$B$10)^12+INDEX(Surface_Engine!$D$12:$D$72,$A876+1)))*INDEX(Surface_Engine!$B$12:$B$72,$A876+1)+I877</f>
        <v>0.235164368012066</v>
      </c>
      <c r="J876" s="48" t="n">
        <f aca="false">B876*(IF($A876&lt;$Q$825,INDEX(Surface_Engine!$D$12:$D$72,$A876+1)*(1+Assumptions!$B$24)+(Surface_Engine!G244*12)*INDEX(Surface_Engine!$F$12:$F$72,$A876+1)-(Surface_Engine!G244*12),1000*12*INDEX(Surface_Engine!$C$12:$C$72,$A876+1)/(1+Assumptions!$B$10)^12+INDEX(Surface_Engine!$D$12:$D$72,$A876+1)*(1+Assumptions!$B$24)))*INDEX(Surface_Engine!$B$12:$B$72,$A876+1)+J877</f>
        <v>0.216413003096617</v>
      </c>
      <c r="K876" s="12" t="n">
        <f aca="false">SQRT((IF(C876&lt;=0,0,MAX(0,(B876/C876)*G876/INDEX(Surface_Engine!$B$12:$B$72,$A876+1)-F876/INDEX(Surface_Engine!$B$12:$B$72,$A876+1))))^2+(MAX(IF(D876&lt;=0,0,MAX(0,(B876/D876)*H876/INDEX(Surface_Engine!$B$12:$B$72,$A876+1)-F876/INDEX(Surface_Engine!$B$12:$B$72,$A876+1))),IF(E876&lt;=0,0,MAX(0,(B876/E876)*I876/INDEX(Surface_Engine!$B$12:$B$72,$A876+1)-F876/INDEX(Surface_Engine!$B$12:$B$72,$A876+1))),IF($A876&lt;$Q$825,MAX(0,-Assumptions!$B$22*(F876/INDEX(Surface_Engine!$B$12:$B$72,$A876+1))),0)))^2+(MAX(0,J876/INDEX(Surface_Engine!$B$12:$B$72,$A876+1)-(F876/INDEX(Surface_Engine!$B$12:$B$72,$A876+1))))^2+2*Assumptions!$B$26*(IF(C876&lt;=0,0,MAX(0,(B876/C876)*G876/INDEX(Surface_Engine!$B$12:$B$72,$A876+1)-F876/INDEX(Surface_Engine!$B$12:$B$72,$A876+1))))*(MAX(IF(D876&lt;=0,0,MAX(0,(B876/D876)*H876/INDEX(Surface_Engine!$B$12:$B$72,$A876+1)-F876/INDEX(Surface_Engine!$B$12:$B$72,$A876+1))),IF(E876&lt;=0,0,MAX(0,(B876/E876)*I876/INDEX(Surface_Engine!$B$12:$B$72,$A876+1)-F876/INDEX(Surface_Engine!$B$12:$B$72,$A876+1))),IF($A876&lt;$Q$825,MAX(0,-Assumptions!$B$22*(F876/INDEX(Surface_Engine!$B$12:$B$72,$A876+1))),0)))+2*Assumptions!$B$27*(IF(C876&lt;=0,0,MAX(0,(B876/C876)*G876/INDEX(Surface_Engine!$B$12:$B$72,$A876+1)-F876/INDEX(Surface_Engine!$B$12:$B$72,$A876+1))))*(MAX(0,J876/INDEX(Surface_Engine!$B$12:$B$72,$A876+1)-(F876/INDEX(Surface_Engine!$B$12:$B$72,$A876+1))))+2*Assumptions!$B$28*(MAX(IF(D876&lt;=0,0,MAX(0,(B876/D876)*H876/INDEX(Surface_Engine!$B$12:$B$72,$A876+1)-F876/INDEX(Surface_Engine!$B$12:$B$72,$A876+1))),IF(E876&lt;=0,0,MAX(0,(B876/E876)*I876/INDEX(Surface_Engine!$B$12:$B$72,$A876+1)-F876/INDEX(Surface_Engine!$B$12:$B$72,$A876+1))),IF($A876&lt;$Q$825,MAX(0,-Assumptions!$B$22*(F876/INDEX(Surface_Engine!$B$12:$B$72,$A876+1))),0)))*(MAX(0,J876/INDEX(Surface_Engine!$B$12:$B$72,$A876+1)-(F876/INDEX(Surface_Engine!$B$12:$B$72,$A876+1)))))</f>
        <v>0.179255533246973</v>
      </c>
      <c r="L876" s="48" t="n">
        <f aca="false">K876*INDEX(Surface_Engine!$B$12:$B$72,$A876+1)+L877</f>
        <v>0.0531410870882033</v>
      </c>
      <c r="M876" s="48" t="n">
        <f aca="false">M875+B875*(IF($A875&lt;$Q$825,(Surface_Engine!G244*12)-(Surface_Engine!G244*12)*INDEX(Surface_Engine!$F$12:$F$72,$A875+1)-INDEX(Surface_Engine!$D$12:$D$72,$A875+1),-(1000*12*INDEX(Surface_Engine!$C$12:$C$72,$A875+1)/(1+Assumptions!$B$10)^12+INDEX(Surface_Engine!$D$12:$D$72,$A875+1))))*INDEX(Surface_Engine!$B$12:$B$72,$A875+1)</f>
        <v>2518.57812519689</v>
      </c>
      <c r="N876" s="12" t="n">
        <f aca="false">IF(B876&lt;=0,0,MAX(0,(K876+Assumptions!$B$29*L876/INDEX(Surface_Engine!$B$12:$B$72,$A876+1)-(M876/INDEX(Surface_Engine!$B$12:$B$72,$A876+1)-(F876/INDEX(Surface_Engine!$B$12:$B$72,$A876+1))))/B876))</f>
        <v>0</v>
      </c>
    </row>
    <row r="877" customFormat="false" ht="15" hidden="false" customHeight="true" outlineLevel="0" collapsed="false">
      <c r="A877" s="1" t="n">
        <v>50</v>
      </c>
      <c r="B877" s="32" t="n">
        <f aca="false">INDEX(Surface_Engine!$O$12:$O$72,$A877+1)*IF($A877&lt;$Q$825,INDEX(Surface_Engine!$E$12:$E$72,$A877+1),INDEX(Surface_Engine!$E$12:$E$72,$Q$825+1))</f>
        <v>1.0500185228015E-005</v>
      </c>
      <c r="C877" s="32" t="n">
        <f aca="false">INDEX(Panel_Reserving!$E$8:$E$68,$A877+1)*IF($A877&lt;$Q$825,INDEX(Surface_Engine!$E$12:$E$72,$A877+1),INDEX(Surface_Engine!$E$12:$E$72,$Q$825+1))</f>
        <v>0.000165376166594292</v>
      </c>
      <c r="D877" s="32" t="n">
        <f aca="false">INDEX(Surface_Engine!$O$12:$O$72,$A877+1)*IF($A877&lt;$Q$825,INDEX(Surface_Engine!$Y$12:$Y$72,$A877+1),INDEX(Surface_Engine!$Y$12:$Y$72,$Q$825+1))</f>
        <v>9.64413808680019E-006</v>
      </c>
      <c r="E877" s="32" t="n">
        <f aca="false">INDEX(Surface_Engine!$O$12:$O$72,$A877+1)*IF($A877&lt;$Q$825,INDEX(Surface_Engine!$Z$12:$Z$72,$A877+1),INDEX(Surface_Engine!$Z$12:$Z$72,$Q$825+1))</f>
        <v>1.1422451360686E-005</v>
      </c>
      <c r="F877" s="48" t="n">
        <f aca="false">B877*(IF($A877&lt;$Q$825,INDEX(Surface_Engine!$D$12:$D$72,$A877+1)+(Surface_Engine!G244*12)*INDEX(Surface_Engine!$F$12:$F$72,$A877+1)-(Surface_Engine!G244*12),1000*12*INDEX(Surface_Engine!$C$12:$C$72,$A877+1)/(1+Assumptions!$B$10)^12+INDEX(Surface_Engine!$D$12:$D$72,$A877+1)))*INDEX(Surface_Engine!$B$12:$B$72,$A877+1)+F878</f>
        <v>0.0880919501010682</v>
      </c>
      <c r="G877" s="48" t="n">
        <f aca="false">C877*(IF($A877&lt;$Q$825,INDEX(Surface_Engine!$D$12:$D$72,$A877+1)+(Surface_Engine!G244*12)*INDEX(Surface_Engine!$F$12:$F$72,$A877+1)-(Surface_Engine!G244*12),1000*12*INDEX(Surface_Engine!$C$12:$C$72,$A877+1)/(1+Assumptions!$B$10)^12+INDEX(Surface_Engine!$D$12:$D$72,$A877+1)))*INDEX(Surface_Engine!$B$12:$B$72,$A877+1)+G878</f>
        <v>1.5817237201222</v>
      </c>
      <c r="H877" s="48" t="n">
        <f aca="false">D877*(IF($A877&lt;$Q$825,INDEX(Surface_Engine!$D$12:$D$72,$A877+1)+(Surface_Engine!G244*12)*INDEX(Surface_Engine!$F$12:$F$72,$A877+1)-(Surface_Engine!G244*12),1000*12*INDEX(Surface_Engine!$C$12:$C$72,$A877+1)/(1+Assumptions!$B$10)^12+INDEX(Surface_Engine!$D$12:$D$72,$A877+1)))*INDEX(Surface_Engine!$B$12:$B$72,$A877+1)+H878</f>
        <v>0.080910089932844</v>
      </c>
      <c r="I877" s="48" t="n">
        <f aca="false">E877*(IF($A877&lt;$Q$825,INDEX(Surface_Engine!$D$12:$D$72,$A877+1)+(Surface_Engine!G244*12)*INDEX(Surface_Engine!$F$12:$F$72,$A877+1)-(Surface_Engine!G244*12),1000*12*INDEX(Surface_Engine!$C$12:$C$72,$A877+1)/(1+Assumptions!$B$10)^12+INDEX(Surface_Engine!$D$12:$D$72,$A877+1)))*INDEX(Surface_Engine!$B$12:$B$72,$A877+1)+I878</f>
        <v>0.0958293585729111</v>
      </c>
      <c r="J877" s="48" t="n">
        <f aca="false">B877*(IF($A877&lt;$Q$825,INDEX(Surface_Engine!$D$12:$D$72,$A877+1)*(1+Assumptions!$B$24)+(Surface_Engine!G244*12)*INDEX(Surface_Engine!$F$12:$F$72,$A877+1)-(Surface_Engine!G244*12),1000*12*INDEX(Surface_Engine!$C$12:$C$72,$A877+1)/(1+Assumptions!$B$10)^12+INDEX(Surface_Engine!$D$12:$D$72,$A877+1)*(1+Assumptions!$B$24)))*INDEX(Surface_Engine!$B$12:$B$72,$A877+1)+J878</f>
        <v>0.0881885945456321</v>
      </c>
      <c r="K877" s="12" t="n">
        <f aca="false">SQRT((IF(C877&lt;=0,0,MAX(0,(B877/C877)*G877/INDEX(Surface_Engine!$B$12:$B$72,$A877+1)-F877/INDEX(Surface_Engine!$B$12:$B$72,$A877+1))))^2+(MAX(IF(D877&lt;=0,0,MAX(0,(B877/D877)*H877/INDEX(Surface_Engine!$B$12:$B$72,$A877+1)-F877/INDEX(Surface_Engine!$B$12:$B$72,$A877+1))),IF(E877&lt;=0,0,MAX(0,(B877/E877)*I877/INDEX(Surface_Engine!$B$12:$B$72,$A877+1)-F877/INDEX(Surface_Engine!$B$12:$B$72,$A877+1))),IF($A877&lt;$Q$825,MAX(0,-Assumptions!$B$22*(F877/INDEX(Surface_Engine!$B$12:$B$72,$A877+1))),0)))^2+(MAX(0,J877/INDEX(Surface_Engine!$B$12:$B$72,$A877+1)-(F877/INDEX(Surface_Engine!$B$12:$B$72,$A877+1))))^2+2*Assumptions!$B$26*(IF(C877&lt;=0,0,MAX(0,(B877/C877)*G877/INDEX(Surface_Engine!$B$12:$B$72,$A877+1)-F877/INDEX(Surface_Engine!$B$12:$B$72,$A877+1))))*(MAX(IF(D877&lt;=0,0,MAX(0,(B877/D877)*H877/INDEX(Surface_Engine!$B$12:$B$72,$A877+1)-F877/INDEX(Surface_Engine!$B$12:$B$72,$A877+1))),IF(E877&lt;=0,0,MAX(0,(B877/E877)*I877/INDEX(Surface_Engine!$B$12:$B$72,$A877+1)-F877/INDEX(Surface_Engine!$B$12:$B$72,$A877+1))),IF($A877&lt;$Q$825,MAX(0,-Assumptions!$B$22*(F877/INDEX(Surface_Engine!$B$12:$B$72,$A877+1))),0)))+2*Assumptions!$B$27*(IF(C877&lt;=0,0,MAX(0,(B877/C877)*G877/INDEX(Surface_Engine!$B$12:$B$72,$A877+1)-F877/INDEX(Surface_Engine!$B$12:$B$72,$A877+1))))*(MAX(0,J877/INDEX(Surface_Engine!$B$12:$B$72,$A877+1)-(F877/INDEX(Surface_Engine!$B$12:$B$72,$A877+1))))+2*Assumptions!$B$28*(MAX(IF(D877&lt;=0,0,MAX(0,(B877/D877)*H877/INDEX(Surface_Engine!$B$12:$B$72,$A877+1)-F877/INDEX(Surface_Engine!$B$12:$B$72,$A877+1))),IF(E877&lt;=0,0,MAX(0,(B877/E877)*I877/INDEX(Surface_Engine!$B$12:$B$72,$A877+1)-F877/INDEX(Surface_Engine!$B$12:$B$72,$A877+1))),IF($A877&lt;$Q$825,MAX(0,-Assumptions!$B$22*(F877/INDEX(Surface_Engine!$B$12:$B$72,$A877+1))),0)))*(MAX(0,J877/INDEX(Surface_Engine!$B$12:$B$72,$A877+1)-(F877/INDEX(Surface_Engine!$B$12:$B$72,$A877+1)))))</f>
        <v>0.0601711572934865</v>
      </c>
      <c r="L877" s="48" t="n">
        <f aca="false">K877*INDEX(Surface_Engine!$B$12:$B$72,$A877+1)+L878</f>
        <v>0.0150975648655458</v>
      </c>
      <c r="M877" s="48" t="n">
        <f aca="false">M876+B876*(IF($A876&lt;$Q$825,(Surface_Engine!G244*12)-(Surface_Engine!G244*12)*INDEX(Surface_Engine!$F$12:$F$72,$A876+1)-INDEX(Surface_Engine!$D$12:$D$72,$A876+1),-(1000*12*INDEX(Surface_Engine!$C$12:$C$72,$A876+1)/(1+Assumptions!$B$10)^12+INDEX(Surface_Engine!$D$12:$D$72,$A876+1))))*INDEX(Surface_Engine!$B$12:$B$72,$A876+1)</f>
        <v>2518.45004030849</v>
      </c>
      <c r="N877" s="12" t="n">
        <f aca="false">IF(B877&lt;=0,0,MAX(0,(K877+Assumptions!$B$29*L877/INDEX(Surface_Engine!$B$12:$B$72,$A877+1)-(M877/INDEX(Surface_Engine!$B$12:$B$72,$A877+1)-(F877/INDEX(Surface_Engine!$B$12:$B$72,$A877+1))))/B877))</f>
        <v>0</v>
      </c>
    </row>
    <row r="878" customFormat="false" ht="15" hidden="false" customHeight="true" outlineLevel="0" collapsed="false">
      <c r="A878" s="1" t="n">
        <v>51</v>
      </c>
      <c r="B878" s="32" t="n">
        <f aca="false">INDEX(Surface_Engine!$O$12:$O$72,$A878+1)*IF($A878&lt;$Q$825,INDEX(Surface_Engine!$E$12:$E$72,$A878+1),INDEX(Surface_Engine!$E$12:$E$72,$Q$825+1))</f>
        <v>4.44243940649374E-006</v>
      </c>
      <c r="C878" s="32" t="n">
        <f aca="false">INDEX(Panel_Reserving!$E$8:$E$68,$A878+1)*IF($A878&lt;$Q$825,INDEX(Surface_Engine!$E$12:$E$72,$A878+1),INDEX(Surface_Engine!$E$12:$E$72,$Q$825+1))</f>
        <v>8.90493772730594E-005</v>
      </c>
      <c r="D878" s="32" t="n">
        <f aca="false">INDEX(Surface_Engine!$O$12:$O$72,$A878+1)*IF($A878&lt;$Q$825,INDEX(Surface_Engine!$Y$12:$Y$72,$A878+1),INDEX(Surface_Engine!$Y$12:$Y$72,$Q$825+1))</f>
        <v>4.08026126664507E-006</v>
      </c>
      <c r="E878" s="32" t="n">
        <f aca="false">INDEX(Surface_Engine!$O$12:$O$72,$A878+1)*IF($A878&lt;$Q$825,INDEX(Surface_Engine!$Z$12:$Z$72,$A878+1),INDEX(Surface_Engine!$Z$12:$Z$72,$Q$825+1))</f>
        <v>4.83263360993704E-006</v>
      </c>
      <c r="F878" s="48" t="n">
        <f aca="false">B878*(IF($A878&lt;$Q$825,INDEX(Surface_Engine!$D$12:$D$72,$A878+1)+(Surface_Engine!G244*12)*INDEX(Surface_Engine!$F$12:$F$72,$A878+1)-(Surface_Engine!G244*12),1000*12*INDEX(Surface_Engine!$C$12:$C$72,$A878+1)/(1+Assumptions!$B$10)^12+INDEX(Surface_Engine!$D$12:$D$72,$A878+1)))*INDEX(Surface_Engine!$B$12:$B$72,$A878+1)+F879</f>
        <v>0.0325509972745533</v>
      </c>
      <c r="G878" s="48" t="n">
        <f aca="false">C878*(IF($A878&lt;$Q$825,INDEX(Surface_Engine!$D$12:$D$72,$A878+1)+(Surface_Engine!G244*12)*INDEX(Surface_Engine!$F$12:$F$72,$A878+1)-(Surface_Engine!G244*12),1000*12*INDEX(Surface_Engine!$C$12:$C$72,$A878+1)/(1+Assumptions!$B$10)^12+INDEX(Surface_Engine!$D$12:$D$72,$A878+1)))*INDEX(Surface_Engine!$B$12:$B$72,$A878+1)+G879</f>
        <v>0.70696297371774</v>
      </c>
      <c r="H878" s="48" t="n">
        <f aca="false">D878*(IF($A878&lt;$Q$825,INDEX(Surface_Engine!$D$12:$D$72,$A878+1)+(Surface_Engine!G244*12)*INDEX(Surface_Engine!$F$12:$F$72,$A878+1)-(Surface_Engine!G244*12),1000*12*INDEX(Surface_Engine!$C$12:$C$72,$A878+1)/(1+Assumptions!$B$10)^12+INDEX(Surface_Engine!$D$12:$D$72,$A878+1)))*INDEX(Surface_Engine!$B$12:$B$72,$A878+1)+H879</f>
        <v>0.0298972166454053</v>
      </c>
      <c r="I878" s="48" t="n">
        <f aca="false">E878*(IF($A878&lt;$Q$825,INDEX(Surface_Engine!$D$12:$D$72,$A878+1)+(Surface_Engine!G244*12)*INDEX(Surface_Engine!$F$12:$F$72,$A878+1)-(Surface_Engine!G244*12),1000*12*INDEX(Surface_Engine!$C$12:$C$72,$A878+1)/(1+Assumptions!$B$10)^12+INDEX(Surface_Engine!$D$12:$D$72,$A878+1)))*INDEX(Surface_Engine!$B$12:$B$72,$A878+1)+I879</f>
        <v>0.035410059445275</v>
      </c>
      <c r="J878" s="48" t="n">
        <f aca="false">B878*(IF($A878&lt;$Q$825,INDEX(Surface_Engine!$D$12:$D$72,$A878+1)*(1+Assumptions!$B$24)+(Surface_Engine!G244*12)*INDEX(Surface_Engine!$F$12:$F$72,$A878+1)-(Surface_Engine!G244*12),1000*12*INDEX(Surface_Engine!$C$12:$C$72,$A878+1)/(1+Assumptions!$B$10)^12+INDEX(Surface_Engine!$D$12:$D$72,$A878+1)*(1+Assumptions!$B$24)))*INDEX(Surface_Engine!$B$12:$B$72,$A878+1)+J879</f>
        <v>0.0325868488199907</v>
      </c>
      <c r="K878" s="12" t="n">
        <f aca="false">SQRT((IF(C878&lt;=0,0,MAX(0,(B878/C878)*G878/INDEX(Surface_Engine!$B$12:$B$72,$A878+1)-F878/INDEX(Surface_Engine!$B$12:$B$72,$A878+1))))^2+(MAX(IF(D878&lt;=0,0,MAX(0,(B878/D878)*H878/INDEX(Surface_Engine!$B$12:$B$72,$A878+1)-F878/INDEX(Surface_Engine!$B$12:$B$72,$A878+1))),IF(E878&lt;=0,0,MAX(0,(B878/E878)*I878/INDEX(Surface_Engine!$B$12:$B$72,$A878+1)-F878/INDEX(Surface_Engine!$B$12:$B$72,$A878+1))),IF($A878&lt;$Q$825,MAX(0,-Assumptions!$B$22*(F878/INDEX(Surface_Engine!$B$12:$B$72,$A878+1))),0)))^2+(MAX(0,J878/INDEX(Surface_Engine!$B$12:$B$72,$A878+1)-(F878/INDEX(Surface_Engine!$B$12:$B$72,$A878+1))))^2+2*Assumptions!$B$26*(IF(C878&lt;=0,0,MAX(0,(B878/C878)*G878/INDEX(Surface_Engine!$B$12:$B$72,$A878+1)-F878/INDEX(Surface_Engine!$B$12:$B$72,$A878+1))))*(MAX(IF(D878&lt;=0,0,MAX(0,(B878/D878)*H878/INDEX(Surface_Engine!$B$12:$B$72,$A878+1)-F878/INDEX(Surface_Engine!$B$12:$B$72,$A878+1))),IF(E878&lt;=0,0,MAX(0,(B878/E878)*I878/INDEX(Surface_Engine!$B$12:$B$72,$A878+1)-F878/INDEX(Surface_Engine!$B$12:$B$72,$A878+1))),IF($A878&lt;$Q$825,MAX(0,-Assumptions!$B$22*(F878/INDEX(Surface_Engine!$B$12:$B$72,$A878+1))),0)))+2*Assumptions!$B$27*(IF(C878&lt;=0,0,MAX(0,(B878/C878)*G878/INDEX(Surface_Engine!$B$12:$B$72,$A878+1)-F878/INDEX(Surface_Engine!$B$12:$B$72,$A878+1))))*(MAX(0,J878/INDEX(Surface_Engine!$B$12:$B$72,$A878+1)-(F878/INDEX(Surface_Engine!$B$12:$B$72,$A878+1))))+2*Assumptions!$B$28*(MAX(IF(D878&lt;=0,0,MAX(0,(B878/D878)*H878/INDEX(Surface_Engine!$B$12:$B$72,$A878+1)-F878/INDEX(Surface_Engine!$B$12:$B$72,$A878+1))),IF(E878&lt;=0,0,MAX(0,(B878/E878)*I878/INDEX(Surface_Engine!$B$12:$B$72,$A878+1)-F878/INDEX(Surface_Engine!$B$12:$B$72,$A878+1))),IF($A878&lt;$Q$825,MAX(0,-Assumptions!$B$22*(F878/INDEX(Surface_Engine!$B$12:$B$72,$A878+1))),0)))*(MAX(0,J878/INDEX(Surface_Engine!$B$12:$B$72,$A878+1)-(F878/INDEX(Surface_Engine!$B$12:$B$72,$A878+1)))))</f>
        <v>0.0137073030896575</v>
      </c>
      <c r="L878" s="48" t="n">
        <f aca="false">K878*INDEX(Surface_Engine!$B$12:$B$72,$A878+1)+L879</f>
        <v>0.00273703361320562</v>
      </c>
      <c r="M878" s="48" t="n">
        <f aca="false">M877+B877*(IF($A877&lt;$Q$825,(Surface_Engine!G244*12)-(Surface_Engine!G244*12)*INDEX(Surface_Engine!$F$12:$F$72,$A877+1)-INDEX(Surface_Engine!$D$12:$D$72,$A877+1),-(1000*12*INDEX(Surface_Engine!$C$12:$C$72,$A877+1)/(1+Assumptions!$B$10)^12+INDEX(Surface_Engine!$D$12:$D$72,$A877+1))))*INDEX(Surface_Engine!$B$12:$B$72,$A877+1)</f>
        <v>2518.39449935566</v>
      </c>
      <c r="N878" s="12" t="n">
        <f aca="false">IF(B878&lt;=0,0,MAX(0,(K878+Assumptions!$B$29*L878/INDEX(Surface_Engine!$B$12:$B$72,$A878+1)-(M878/INDEX(Surface_Engine!$B$12:$B$72,$A878+1)-(F878/INDEX(Surface_Engine!$B$12:$B$72,$A878+1))))/B878))</f>
        <v>0</v>
      </c>
    </row>
    <row r="879" customFormat="false" ht="15" hidden="false" customHeight="true" outlineLevel="0" collapsed="false">
      <c r="A879" s="1" t="n">
        <v>52</v>
      </c>
      <c r="B879" s="32" t="n">
        <f aca="false">INDEX(Surface_Engine!$O$12:$O$72,$A879+1)*IF($A879&lt;$Q$825,INDEX(Surface_Engine!$E$12:$E$72,$A879+1),INDEX(Surface_Engine!$E$12:$E$72,$Q$825+1))</f>
        <v>1.80967393347813E-006</v>
      </c>
      <c r="C879" s="32" t="n">
        <f aca="false">INDEX(Panel_Reserving!$E$8:$E$68,$A879+1)*IF($A879&lt;$Q$825,INDEX(Surface_Engine!$E$12:$E$72,$A879+1),INDEX(Surface_Engine!$E$12:$E$72,$Q$825+1))</f>
        <v>4.68300280505849E-005</v>
      </c>
      <c r="D879" s="32" t="n">
        <f aca="false">INDEX(Surface_Engine!$O$12:$O$72,$A879+1)*IF($A879&lt;$Q$825,INDEX(Surface_Engine!$Y$12:$Y$72,$A879+1),INDEX(Surface_Engine!$Y$12:$Y$72,$Q$825+1))</f>
        <v>1.66213689830739E-006</v>
      </c>
      <c r="E879" s="32" t="n">
        <f aca="false">INDEX(Surface_Engine!$O$12:$O$72,$A879+1)*IF($A879&lt;$Q$825,INDEX(Surface_Engine!$Z$12:$Z$72,$A879+1),INDEX(Surface_Engine!$Z$12:$Z$72,$Q$825+1))</f>
        <v>1.96862360377266E-006</v>
      </c>
      <c r="F879" s="48" t="n">
        <f aca="false">B879*(IF($A879&lt;$Q$825,INDEX(Surface_Engine!$D$12:$D$72,$A879+1)+(Surface_Engine!G244*12)*INDEX(Surface_Engine!$F$12:$F$72,$A879+1)-(Surface_Engine!G244*12),1000*12*INDEX(Surface_Engine!$C$12:$C$72,$A879+1)/(1+Assumptions!$B$10)^12+INDEX(Surface_Engine!$D$12:$D$72,$A879+1)))*INDEX(Surface_Engine!$B$12:$B$72,$A879+1)+F880</f>
        <v>0.0093396826065145</v>
      </c>
      <c r="G879" s="48" t="n">
        <f aca="false">C879*(IF($A879&lt;$Q$825,INDEX(Surface_Engine!$D$12:$D$72,$A879+1)+(Surface_Engine!G244*12)*INDEX(Surface_Engine!$F$12:$F$72,$A879+1)-(Surface_Engine!G244*12),1000*12*INDEX(Surface_Engine!$C$12:$C$72,$A879+1)/(1+Assumptions!$B$10)^12+INDEX(Surface_Engine!$D$12:$D$72,$A879+1)))*INDEX(Surface_Engine!$B$12:$B$72,$A879+1)+G880</f>
        <v>0.24168862155516</v>
      </c>
      <c r="H879" s="48" t="n">
        <f aca="false">D879*(IF($A879&lt;$Q$825,INDEX(Surface_Engine!$D$12:$D$72,$A879+1)+(Surface_Engine!G244*12)*INDEX(Surface_Engine!$F$12:$F$72,$A879+1)-(Surface_Engine!G244*12),1000*12*INDEX(Surface_Engine!$C$12:$C$72,$A879+1)/(1+Assumptions!$B$10)^12+INDEX(Surface_Engine!$D$12:$D$72,$A879+1)))*INDEX(Surface_Engine!$B$12:$B$72,$A879+1)+H880</f>
        <v>0.00857824760117489</v>
      </c>
      <c r="I879" s="48" t="n">
        <f aca="false">E879*(IF($A879&lt;$Q$825,INDEX(Surface_Engine!$D$12:$D$72,$A879+1)+(Surface_Engine!G244*12)*INDEX(Surface_Engine!$F$12:$F$72,$A879+1)-(Surface_Engine!G244*12),1000*12*INDEX(Surface_Engine!$C$12:$C$72,$A879+1)/(1+Assumptions!$B$10)^12+INDEX(Surface_Engine!$D$12:$D$72,$A879+1)))*INDEX(Surface_Engine!$B$12:$B$72,$A879+1)+I880</f>
        <v>0.0101600179406859</v>
      </c>
      <c r="J879" s="48" t="n">
        <f aca="false">B879*(IF($A879&lt;$Q$825,INDEX(Surface_Engine!$D$12:$D$72,$A879+1)*(1+Assumptions!$B$24)+(Surface_Engine!G244*12)*INDEX(Surface_Engine!$F$12:$F$72,$A879+1)-(Surface_Engine!G244*12),1000*12*INDEX(Surface_Engine!$C$12:$C$72,$A879+1)/(1+Assumptions!$B$10)^12+INDEX(Surface_Engine!$D$12:$D$72,$A879+1)*(1+Assumptions!$B$24)))*INDEX(Surface_Engine!$B$12:$B$72,$A879+1)+J880</f>
        <v>0.00935000480766529</v>
      </c>
      <c r="K879" s="12" t="n">
        <f aca="false">SQRT((IF(C879&lt;=0,0,MAX(0,(B879/C879)*G879/INDEX(Surface_Engine!$B$12:$B$72,$A879+1)-F879/INDEX(Surface_Engine!$B$12:$B$72,$A879+1))))^2+(MAX(IF(D879&lt;=0,0,MAX(0,(B879/D879)*H879/INDEX(Surface_Engine!$B$12:$B$72,$A879+1)-F879/INDEX(Surface_Engine!$B$12:$B$72,$A879+1))),IF(E879&lt;=0,0,MAX(0,(B879/E879)*I879/INDEX(Surface_Engine!$B$12:$B$72,$A879+1)-F879/INDEX(Surface_Engine!$B$12:$B$72,$A879+1))),IF($A879&lt;$Q$825,MAX(0,-Assumptions!$B$22*(F879/INDEX(Surface_Engine!$B$12:$B$72,$A879+1))),0)))^2+(MAX(0,J879/INDEX(Surface_Engine!$B$12:$B$72,$A879+1)-(F879/INDEX(Surface_Engine!$B$12:$B$72,$A879+1))))^2+2*Assumptions!$B$26*(IF(C879&lt;=0,0,MAX(0,(B879/C879)*G879/INDEX(Surface_Engine!$B$12:$B$72,$A879+1)-F879/INDEX(Surface_Engine!$B$12:$B$72,$A879+1))))*(MAX(IF(D879&lt;=0,0,MAX(0,(B879/D879)*H879/INDEX(Surface_Engine!$B$12:$B$72,$A879+1)-F879/INDEX(Surface_Engine!$B$12:$B$72,$A879+1))),IF(E879&lt;=0,0,MAX(0,(B879/E879)*I879/INDEX(Surface_Engine!$B$12:$B$72,$A879+1)-F879/INDEX(Surface_Engine!$B$12:$B$72,$A879+1))),IF($A879&lt;$Q$825,MAX(0,-Assumptions!$B$22*(F879/INDEX(Surface_Engine!$B$12:$B$72,$A879+1))),0)))+2*Assumptions!$B$27*(IF(C879&lt;=0,0,MAX(0,(B879/C879)*G879/INDEX(Surface_Engine!$B$12:$B$72,$A879+1)-F879/INDEX(Surface_Engine!$B$12:$B$72,$A879+1))))*(MAX(0,J879/INDEX(Surface_Engine!$B$12:$B$72,$A879+1)-(F879/INDEX(Surface_Engine!$B$12:$B$72,$A879+1))))+2*Assumptions!$B$28*(MAX(IF(D879&lt;=0,0,MAX(0,(B879/D879)*H879/INDEX(Surface_Engine!$B$12:$B$72,$A879+1)-F879/INDEX(Surface_Engine!$B$12:$B$72,$A879+1))),IF(E879&lt;=0,0,MAX(0,(B879/E879)*I879/INDEX(Surface_Engine!$B$12:$B$72,$A879+1)-F879/INDEX(Surface_Engine!$B$12:$B$72,$A879+1))),IF($A879&lt;$Q$825,MAX(0,-Assumptions!$B$22*(F879/INDEX(Surface_Engine!$B$12:$B$72,$A879+1))),0)))*(MAX(0,J879/INDEX(Surface_Engine!$B$12:$B$72,$A879+1)-(F879/INDEX(Surface_Engine!$B$12:$B$72,$A879+1)))))</f>
        <v>5.35864742831765E-005</v>
      </c>
      <c r="L879" s="48" t="n">
        <f aca="false">K879*INDEX(Surface_Engine!$B$12:$B$72,$A879+1)+L880</f>
        <v>1.03222011507954E-005</v>
      </c>
      <c r="M879" s="48" t="n">
        <f aca="false">M878+B878*(IF($A878&lt;$Q$825,(Surface_Engine!G244*12)-(Surface_Engine!G244*12)*INDEX(Surface_Engine!$F$12:$F$72,$A878+1)-INDEX(Surface_Engine!$D$12:$D$72,$A878+1),-(1000*12*INDEX(Surface_Engine!$C$12:$C$72,$A878+1)/(1+Assumptions!$B$10)^12+INDEX(Surface_Engine!$D$12:$D$72,$A878+1))))*INDEX(Surface_Engine!$B$12:$B$72,$A878+1)</f>
        <v>2518.37128804099</v>
      </c>
      <c r="N879" s="12" t="n">
        <f aca="false">IF(B879&lt;=0,0,MAX(0,(K879+Assumptions!$B$29*L879/INDEX(Surface_Engine!$B$12:$B$72,$A879+1)-(M879/INDEX(Surface_Engine!$B$12:$B$72,$A879+1)-(F879/INDEX(Surface_Engine!$B$12:$B$72,$A879+1))))/B879))</f>
        <v>0</v>
      </c>
    </row>
    <row r="880" customFormat="false" ht="15" hidden="false" customHeight="true" outlineLevel="0" collapsed="false">
      <c r="A880" s="1" t="n">
        <v>53</v>
      </c>
      <c r="B880" s="32" t="n">
        <f aca="false">INDEX(Surface_Engine!$O$12:$O$72,$A880+1)*IF($A880&lt;$Q$825,INDEX(Surface_Engine!$E$12:$E$72,$A880+1),INDEX(Surface_Engine!$E$12:$E$72,$Q$825+1))</f>
        <v>0</v>
      </c>
      <c r="C880" s="32" t="n">
        <f aca="false">INDEX(Panel_Reserving!$E$8:$E$68,$A880+1)*IF($A880&lt;$Q$825,INDEX(Surface_Engine!$E$12:$E$72,$A880+1),INDEX(Surface_Engine!$E$12:$E$72,$Q$825+1))</f>
        <v>0</v>
      </c>
      <c r="D880" s="32" t="n">
        <f aca="false">INDEX(Surface_Engine!$O$12:$O$72,$A880+1)*IF($A880&lt;$Q$825,INDEX(Surface_Engine!$Y$12:$Y$72,$A880+1),INDEX(Surface_Engine!$Y$12:$Y$72,$Q$825+1))</f>
        <v>0</v>
      </c>
      <c r="E880" s="32" t="n">
        <f aca="false">INDEX(Surface_Engine!$O$12:$O$72,$A880+1)*IF($A880&lt;$Q$825,INDEX(Surface_Engine!$Z$12:$Z$72,$A880+1),INDEX(Surface_Engine!$Z$12:$Z$72,$Q$825+1))</f>
        <v>0</v>
      </c>
      <c r="F880" s="48" t="n">
        <f aca="false">B880*(IF($A880&lt;$Q$825,INDEX(Surface_Engine!$D$12:$D$72,$A880+1)+(Surface_Engine!G244*12)*INDEX(Surface_Engine!$F$12:$F$72,$A880+1)-(Surface_Engine!G244*12),1000*12*INDEX(Surface_Engine!$C$12:$C$72,$A880+1)/(1+Assumptions!$B$10)^12+INDEX(Surface_Engine!$D$12:$D$72,$A880+1)))*INDEX(Surface_Engine!$B$12:$B$72,$A880+1)+F881</f>
        <v>0</v>
      </c>
      <c r="G880" s="48" t="n">
        <f aca="false">C880*(IF($A880&lt;$Q$825,INDEX(Surface_Engine!$D$12:$D$72,$A880+1)+(Surface_Engine!G244*12)*INDEX(Surface_Engine!$F$12:$F$72,$A880+1)-(Surface_Engine!G244*12),1000*12*INDEX(Surface_Engine!$C$12:$C$72,$A880+1)/(1+Assumptions!$B$10)^12+INDEX(Surface_Engine!$D$12:$D$72,$A880+1)))*INDEX(Surface_Engine!$B$12:$B$72,$A880+1)+G881</f>
        <v>0</v>
      </c>
      <c r="H880" s="48" t="n">
        <f aca="false">D880*(IF($A880&lt;$Q$825,INDEX(Surface_Engine!$D$12:$D$72,$A880+1)+(Surface_Engine!G244*12)*INDEX(Surface_Engine!$F$12:$F$72,$A880+1)-(Surface_Engine!G244*12),1000*12*INDEX(Surface_Engine!$C$12:$C$72,$A880+1)/(1+Assumptions!$B$10)^12+INDEX(Surface_Engine!$D$12:$D$72,$A880+1)))*INDEX(Surface_Engine!$B$12:$B$72,$A880+1)+H881</f>
        <v>0</v>
      </c>
      <c r="I880" s="48" t="n">
        <f aca="false">E880*(IF($A880&lt;$Q$825,INDEX(Surface_Engine!$D$12:$D$72,$A880+1)+(Surface_Engine!G244*12)*INDEX(Surface_Engine!$F$12:$F$72,$A880+1)-(Surface_Engine!G244*12),1000*12*INDEX(Surface_Engine!$C$12:$C$72,$A880+1)/(1+Assumptions!$B$10)^12+INDEX(Surface_Engine!$D$12:$D$72,$A880+1)))*INDEX(Surface_Engine!$B$12:$B$72,$A880+1)+I881</f>
        <v>0</v>
      </c>
      <c r="J880" s="48" t="n">
        <f aca="false">B880*(IF($A880&lt;$Q$825,INDEX(Surface_Engine!$D$12:$D$72,$A880+1)*(1+Assumptions!$B$24)+(Surface_Engine!G244*12)*INDEX(Surface_Engine!$F$12:$F$72,$A880+1)-(Surface_Engine!G244*12),1000*12*INDEX(Surface_Engine!$C$12:$C$72,$A880+1)/(1+Assumptions!$B$10)^12+INDEX(Surface_Engine!$D$12:$D$72,$A880+1)*(1+Assumptions!$B$24)))*INDEX(Surface_Engine!$B$12:$B$72,$A880+1)+J881</f>
        <v>0</v>
      </c>
      <c r="K880" s="12" t="n">
        <f aca="false">SQRT((IF(C880&lt;=0,0,MAX(0,(B880/C880)*G880/INDEX(Surface_Engine!$B$12:$B$72,$A880+1)-F880/INDEX(Surface_Engine!$B$12:$B$72,$A880+1))))^2+(MAX(IF(D880&lt;=0,0,MAX(0,(B880/D880)*H880/INDEX(Surface_Engine!$B$12:$B$72,$A880+1)-F880/INDEX(Surface_Engine!$B$12:$B$72,$A880+1))),IF(E880&lt;=0,0,MAX(0,(B880/E880)*I880/INDEX(Surface_Engine!$B$12:$B$72,$A880+1)-F880/INDEX(Surface_Engine!$B$12:$B$72,$A880+1))),IF($A880&lt;$Q$825,MAX(0,-Assumptions!$B$22*(F880/INDEX(Surface_Engine!$B$12:$B$72,$A880+1))),0)))^2+(MAX(0,J880/INDEX(Surface_Engine!$B$12:$B$72,$A880+1)-(F880/INDEX(Surface_Engine!$B$12:$B$72,$A880+1))))^2+2*Assumptions!$B$26*(IF(C880&lt;=0,0,MAX(0,(B880/C880)*G880/INDEX(Surface_Engine!$B$12:$B$72,$A880+1)-F880/INDEX(Surface_Engine!$B$12:$B$72,$A880+1))))*(MAX(IF(D880&lt;=0,0,MAX(0,(B880/D880)*H880/INDEX(Surface_Engine!$B$12:$B$72,$A880+1)-F880/INDEX(Surface_Engine!$B$12:$B$72,$A880+1))),IF(E880&lt;=0,0,MAX(0,(B880/E880)*I880/INDEX(Surface_Engine!$B$12:$B$72,$A880+1)-F880/INDEX(Surface_Engine!$B$12:$B$72,$A880+1))),IF($A880&lt;$Q$825,MAX(0,-Assumptions!$B$22*(F880/INDEX(Surface_Engine!$B$12:$B$72,$A880+1))),0)))+2*Assumptions!$B$27*(IF(C880&lt;=0,0,MAX(0,(B880/C880)*G880/INDEX(Surface_Engine!$B$12:$B$72,$A880+1)-F880/INDEX(Surface_Engine!$B$12:$B$72,$A880+1))))*(MAX(0,J880/INDEX(Surface_Engine!$B$12:$B$72,$A880+1)-(F880/INDEX(Surface_Engine!$B$12:$B$72,$A880+1))))+2*Assumptions!$B$28*(MAX(IF(D880&lt;=0,0,MAX(0,(B880/D880)*H880/INDEX(Surface_Engine!$B$12:$B$72,$A880+1)-F880/INDEX(Surface_Engine!$B$12:$B$72,$A880+1))),IF(E880&lt;=0,0,MAX(0,(B880/E880)*I880/INDEX(Surface_Engine!$B$12:$B$72,$A880+1)-F880/INDEX(Surface_Engine!$B$12:$B$72,$A880+1))),IF($A880&lt;$Q$825,MAX(0,-Assumptions!$B$22*(F880/INDEX(Surface_Engine!$B$12:$B$72,$A880+1))),0)))*(MAX(0,J880/INDEX(Surface_Engine!$B$12:$B$72,$A880+1)-(F880/INDEX(Surface_Engine!$B$12:$B$72,$A880+1)))))</f>
        <v>0</v>
      </c>
      <c r="L880" s="48" t="n">
        <f aca="false">K880*INDEX(Surface_Engine!$B$12:$B$72,$A880+1)+L881</f>
        <v>0</v>
      </c>
      <c r="M880" s="48" t="n">
        <f aca="false">M879+B879*(IF($A879&lt;$Q$825,(Surface_Engine!G244*12)-(Surface_Engine!G244*12)*INDEX(Surface_Engine!$F$12:$F$72,$A879+1)-INDEX(Surface_Engine!$D$12:$D$72,$A879+1),-(1000*12*INDEX(Surface_Engine!$C$12:$C$72,$A879+1)/(1+Assumptions!$B$10)^12+INDEX(Surface_Engine!$D$12:$D$72,$A879+1))))*INDEX(Surface_Engine!$B$12:$B$72,$A879+1)</f>
        <v>2518.36194835838</v>
      </c>
      <c r="N880" s="12" t="n">
        <f aca="false">IF(B880&lt;=0,0,MAX(0,(K880+Assumptions!$B$29*L880/INDEX(Surface_Engine!$B$12:$B$72,$A880+1)-(M880/INDEX(Surface_Engine!$B$12:$B$72,$A880+1)-(F880/INDEX(Surface_Engine!$B$12:$B$72,$A880+1))))/B880))</f>
        <v>0</v>
      </c>
    </row>
    <row r="881" customFormat="false" ht="15" hidden="false" customHeight="true" outlineLevel="0" collapsed="false">
      <c r="A881" s="1" t="n">
        <v>54</v>
      </c>
      <c r="B881" s="32" t="n">
        <f aca="false">INDEX(Surface_Engine!$O$12:$O$72,$A881+1)*IF($A881&lt;$Q$825,INDEX(Surface_Engine!$E$12:$E$72,$A881+1),INDEX(Surface_Engine!$E$12:$E$72,$Q$825+1))</f>
        <v>0</v>
      </c>
      <c r="C881" s="32" t="n">
        <f aca="false">INDEX(Panel_Reserving!$E$8:$E$68,$A881+1)*IF($A881&lt;$Q$825,INDEX(Surface_Engine!$E$12:$E$72,$A881+1),INDEX(Surface_Engine!$E$12:$E$72,$Q$825+1))</f>
        <v>0</v>
      </c>
      <c r="D881" s="32" t="n">
        <f aca="false">INDEX(Surface_Engine!$O$12:$O$72,$A881+1)*IF($A881&lt;$Q$825,INDEX(Surface_Engine!$Y$12:$Y$72,$A881+1),INDEX(Surface_Engine!$Y$12:$Y$72,$Q$825+1))</f>
        <v>0</v>
      </c>
      <c r="E881" s="32" t="n">
        <f aca="false">INDEX(Surface_Engine!$O$12:$O$72,$A881+1)*IF($A881&lt;$Q$825,INDEX(Surface_Engine!$Z$12:$Z$72,$A881+1),INDEX(Surface_Engine!$Z$12:$Z$72,$Q$825+1))</f>
        <v>0</v>
      </c>
      <c r="F881" s="48" t="n">
        <f aca="false">B881*(IF($A881&lt;$Q$825,INDEX(Surface_Engine!$D$12:$D$72,$A881+1)+(Surface_Engine!G244*12)*INDEX(Surface_Engine!$F$12:$F$72,$A881+1)-(Surface_Engine!G244*12),1000*12*INDEX(Surface_Engine!$C$12:$C$72,$A881+1)/(1+Assumptions!$B$10)^12+INDEX(Surface_Engine!$D$12:$D$72,$A881+1)))*INDEX(Surface_Engine!$B$12:$B$72,$A881+1)+F882</f>
        <v>0</v>
      </c>
      <c r="G881" s="48" t="n">
        <f aca="false">C881*(IF($A881&lt;$Q$825,INDEX(Surface_Engine!$D$12:$D$72,$A881+1)+(Surface_Engine!G244*12)*INDEX(Surface_Engine!$F$12:$F$72,$A881+1)-(Surface_Engine!G244*12),1000*12*INDEX(Surface_Engine!$C$12:$C$72,$A881+1)/(1+Assumptions!$B$10)^12+INDEX(Surface_Engine!$D$12:$D$72,$A881+1)))*INDEX(Surface_Engine!$B$12:$B$72,$A881+1)+G882</f>
        <v>0</v>
      </c>
      <c r="H881" s="48" t="n">
        <f aca="false">D881*(IF($A881&lt;$Q$825,INDEX(Surface_Engine!$D$12:$D$72,$A881+1)+(Surface_Engine!G244*12)*INDEX(Surface_Engine!$F$12:$F$72,$A881+1)-(Surface_Engine!G244*12),1000*12*INDEX(Surface_Engine!$C$12:$C$72,$A881+1)/(1+Assumptions!$B$10)^12+INDEX(Surface_Engine!$D$12:$D$72,$A881+1)))*INDEX(Surface_Engine!$B$12:$B$72,$A881+1)+H882</f>
        <v>0</v>
      </c>
      <c r="I881" s="48" t="n">
        <f aca="false">E881*(IF($A881&lt;$Q$825,INDEX(Surface_Engine!$D$12:$D$72,$A881+1)+(Surface_Engine!G244*12)*INDEX(Surface_Engine!$F$12:$F$72,$A881+1)-(Surface_Engine!G244*12),1000*12*INDEX(Surface_Engine!$C$12:$C$72,$A881+1)/(1+Assumptions!$B$10)^12+INDEX(Surface_Engine!$D$12:$D$72,$A881+1)))*INDEX(Surface_Engine!$B$12:$B$72,$A881+1)+I882</f>
        <v>0</v>
      </c>
      <c r="J881" s="48" t="n">
        <f aca="false">B881*(IF($A881&lt;$Q$825,INDEX(Surface_Engine!$D$12:$D$72,$A881+1)*(1+Assumptions!$B$24)+(Surface_Engine!G244*12)*INDEX(Surface_Engine!$F$12:$F$72,$A881+1)-(Surface_Engine!G244*12),1000*12*INDEX(Surface_Engine!$C$12:$C$72,$A881+1)/(1+Assumptions!$B$10)^12+INDEX(Surface_Engine!$D$12:$D$72,$A881+1)*(1+Assumptions!$B$24)))*INDEX(Surface_Engine!$B$12:$B$72,$A881+1)+J882</f>
        <v>0</v>
      </c>
      <c r="K881" s="12" t="n">
        <f aca="false">SQRT((IF(C881&lt;=0,0,MAX(0,(B881/C881)*G881/INDEX(Surface_Engine!$B$12:$B$72,$A881+1)-F881/INDEX(Surface_Engine!$B$12:$B$72,$A881+1))))^2+(MAX(IF(D881&lt;=0,0,MAX(0,(B881/D881)*H881/INDEX(Surface_Engine!$B$12:$B$72,$A881+1)-F881/INDEX(Surface_Engine!$B$12:$B$72,$A881+1))),IF(E881&lt;=0,0,MAX(0,(B881/E881)*I881/INDEX(Surface_Engine!$B$12:$B$72,$A881+1)-F881/INDEX(Surface_Engine!$B$12:$B$72,$A881+1))),IF($A881&lt;$Q$825,MAX(0,-Assumptions!$B$22*(F881/INDEX(Surface_Engine!$B$12:$B$72,$A881+1))),0)))^2+(MAX(0,J881/INDEX(Surface_Engine!$B$12:$B$72,$A881+1)-(F881/INDEX(Surface_Engine!$B$12:$B$72,$A881+1))))^2+2*Assumptions!$B$26*(IF(C881&lt;=0,0,MAX(0,(B881/C881)*G881/INDEX(Surface_Engine!$B$12:$B$72,$A881+1)-F881/INDEX(Surface_Engine!$B$12:$B$72,$A881+1))))*(MAX(IF(D881&lt;=0,0,MAX(0,(B881/D881)*H881/INDEX(Surface_Engine!$B$12:$B$72,$A881+1)-F881/INDEX(Surface_Engine!$B$12:$B$72,$A881+1))),IF(E881&lt;=0,0,MAX(0,(B881/E881)*I881/INDEX(Surface_Engine!$B$12:$B$72,$A881+1)-F881/INDEX(Surface_Engine!$B$12:$B$72,$A881+1))),IF($A881&lt;$Q$825,MAX(0,-Assumptions!$B$22*(F881/INDEX(Surface_Engine!$B$12:$B$72,$A881+1))),0)))+2*Assumptions!$B$27*(IF(C881&lt;=0,0,MAX(0,(B881/C881)*G881/INDEX(Surface_Engine!$B$12:$B$72,$A881+1)-F881/INDEX(Surface_Engine!$B$12:$B$72,$A881+1))))*(MAX(0,J881/INDEX(Surface_Engine!$B$12:$B$72,$A881+1)-(F881/INDEX(Surface_Engine!$B$12:$B$72,$A881+1))))+2*Assumptions!$B$28*(MAX(IF(D881&lt;=0,0,MAX(0,(B881/D881)*H881/INDEX(Surface_Engine!$B$12:$B$72,$A881+1)-F881/INDEX(Surface_Engine!$B$12:$B$72,$A881+1))),IF(E881&lt;=0,0,MAX(0,(B881/E881)*I881/INDEX(Surface_Engine!$B$12:$B$72,$A881+1)-F881/INDEX(Surface_Engine!$B$12:$B$72,$A881+1))),IF($A881&lt;$Q$825,MAX(0,-Assumptions!$B$22*(F881/INDEX(Surface_Engine!$B$12:$B$72,$A881+1))),0)))*(MAX(0,J881/INDEX(Surface_Engine!$B$12:$B$72,$A881+1)-(F881/INDEX(Surface_Engine!$B$12:$B$72,$A881+1)))))</f>
        <v>0</v>
      </c>
      <c r="L881" s="48" t="n">
        <f aca="false">K881*INDEX(Surface_Engine!$B$12:$B$72,$A881+1)+L882</f>
        <v>0</v>
      </c>
      <c r="M881" s="48" t="n">
        <f aca="false">M880+B880*(IF($A880&lt;$Q$825,(Surface_Engine!G244*12)-(Surface_Engine!G244*12)*INDEX(Surface_Engine!$F$12:$F$72,$A880+1)-INDEX(Surface_Engine!$D$12:$D$72,$A880+1),-(1000*12*INDEX(Surface_Engine!$C$12:$C$72,$A880+1)/(1+Assumptions!$B$10)^12+INDEX(Surface_Engine!$D$12:$D$72,$A880+1))))*INDEX(Surface_Engine!$B$12:$B$72,$A880+1)</f>
        <v>2518.36194835838</v>
      </c>
      <c r="N881" s="12" t="n">
        <f aca="false">IF(B881&lt;=0,0,MAX(0,(K881+Assumptions!$B$29*L881/INDEX(Surface_Engine!$B$12:$B$72,$A881+1)-(M881/INDEX(Surface_Engine!$B$12:$B$72,$A881+1)-(F881/INDEX(Surface_Engine!$B$12:$B$72,$A881+1))))/B881))</f>
        <v>0</v>
      </c>
    </row>
    <row r="882" customFormat="false" ht="15" hidden="false" customHeight="true" outlineLevel="0" collapsed="false">
      <c r="A882" s="1" t="n">
        <v>55</v>
      </c>
      <c r="B882" s="32" t="n">
        <f aca="false">INDEX(Surface_Engine!$O$12:$O$72,$A882+1)*IF($A882&lt;$Q$825,INDEX(Surface_Engine!$E$12:$E$72,$A882+1),INDEX(Surface_Engine!$E$12:$E$72,$Q$825+1))</f>
        <v>0</v>
      </c>
      <c r="C882" s="32" t="n">
        <f aca="false">INDEX(Panel_Reserving!$E$8:$E$68,$A882+1)*IF($A882&lt;$Q$825,INDEX(Surface_Engine!$E$12:$E$72,$A882+1),INDEX(Surface_Engine!$E$12:$E$72,$Q$825+1))</f>
        <v>0</v>
      </c>
      <c r="D882" s="32" t="n">
        <f aca="false">INDEX(Surface_Engine!$O$12:$O$72,$A882+1)*IF($A882&lt;$Q$825,INDEX(Surface_Engine!$Y$12:$Y$72,$A882+1),INDEX(Surface_Engine!$Y$12:$Y$72,$Q$825+1))</f>
        <v>0</v>
      </c>
      <c r="E882" s="32" t="n">
        <f aca="false">INDEX(Surface_Engine!$O$12:$O$72,$A882+1)*IF($A882&lt;$Q$825,INDEX(Surface_Engine!$Z$12:$Z$72,$A882+1),INDEX(Surface_Engine!$Z$12:$Z$72,$Q$825+1))</f>
        <v>0</v>
      </c>
      <c r="F882" s="48" t="n">
        <f aca="false">B882*(IF($A882&lt;$Q$825,INDEX(Surface_Engine!$D$12:$D$72,$A882+1)+(Surface_Engine!G244*12)*INDEX(Surface_Engine!$F$12:$F$72,$A882+1)-(Surface_Engine!G244*12),1000*12*INDEX(Surface_Engine!$C$12:$C$72,$A882+1)/(1+Assumptions!$B$10)^12+INDEX(Surface_Engine!$D$12:$D$72,$A882+1)))*INDEX(Surface_Engine!$B$12:$B$72,$A882+1)+F883</f>
        <v>0</v>
      </c>
      <c r="G882" s="48" t="n">
        <f aca="false">C882*(IF($A882&lt;$Q$825,INDEX(Surface_Engine!$D$12:$D$72,$A882+1)+(Surface_Engine!G244*12)*INDEX(Surface_Engine!$F$12:$F$72,$A882+1)-(Surface_Engine!G244*12),1000*12*INDEX(Surface_Engine!$C$12:$C$72,$A882+1)/(1+Assumptions!$B$10)^12+INDEX(Surface_Engine!$D$12:$D$72,$A882+1)))*INDEX(Surface_Engine!$B$12:$B$72,$A882+1)+G883</f>
        <v>0</v>
      </c>
      <c r="H882" s="48" t="n">
        <f aca="false">D882*(IF($A882&lt;$Q$825,INDEX(Surface_Engine!$D$12:$D$72,$A882+1)+(Surface_Engine!G244*12)*INDEX(Surface_Engine!$F$12:$F$72,$A882+1)-(Surface_Engine!G244*12),1000*12*INDEX(Surface_Engine!$C$12:$C$72,$A882+1)/(1+Assumptions!$B$10)^12+INDEX(Surface_Engine!$D$12:$D$72,$A882+1)))*INDEX(Surface_Engine!$B$12:$B$72,$A882+1)+H883</f>
        <v>0</v>
      </c>
      <c r="I882" s="48" t="n">
        <f aca="false">E882*(IF($A882&lt;$Q$825,INDEX(Surface_Engine!$D$12:$D$72,$A882+1)+(Surface_Engine!G244*12)*INDEX(Surface_Engine!$F$12:$F$72,$A882+1)-(Surface_Engine!G244*12),1000*12*INDEX(Surface_Engine!$C$12:$C$72,$A882+1)/(1+Assumptions!$B$10)^12+INDEX(Surface_Engine!$D$12:$D$72,$A882+1)))*INDEX(Surface_Engine!$B$12:$B$72,$A882+1)+I883</f>
        <v>0</v>
      </c>
      <c r="J882" s="48" t="n">
        <f aca="false">B882*(IF($A882&lt;$Q$825,INDEX(Surface_Engine!$D$12:$D$72,$A882+1)*(1+Assumptions!$B$24)+(Surface_Engine!G244*12)*INDEX(Surface_Engine!$F$12:$F$72,$A882+1)-(Surface_Engine!G244*12),1000*12*INDEX(Surface_Engine!$C$12:$C$72,$A882+1)/(1+Assumptions!$B$10)^12+INDEX(Surface_Engine!$D$12:$D$72,$A882+1)*(1+Assumptions!$B$24)))*INDEX(Surface_Engine!$B$12:$B$72,$A882+1)+J883</f>
        <v>0</v>
      </c>
      <c r="K882" s="12" t="n">
        <f aca="false">SQRT((IF(C882&lt;=0,0,MAX(0,(B882/C882)*G882/INDEX(Surface_Engine!$B$12:$B$72,$A882+1)-F882/INDEX(Surface_Engine!$B$12:$B$72,$A882+1))))^2+(MAX(IF(D882&lt;=0,0,MAX(0,(B882/D882)*H882/INDEX(Surface_Engine!$B$12:$B$72,$A882+1)-F882/INDEX(Surface_Engine!$B$12:$B$72,$A882+1))),IF(E882&lt;=0,0,MAX(0,(B882/E882)*I882/INDEX(Surface_Engine!$B$12:$B$72,$A882+1)-F882/INDEX(Surface_Engine!$B$12:$B$72,$A882+1))),IF($A882&lt;$Q$825,MAX(0,-Assumptions!$B$22*(F882/INDEX(Surface_Engine!$B$12:$B$72,$A882+1))),0)))^2+(MAX(0,J882/INDEX(Surface_Engine!$B$12:$B$72,$A882+1)-(F882/INDEX(Surface_Engine!$B$12:$B$72,$A882+1))))^2+2*Assumptions!$B$26*(IF(C882&lt;=0,0,MAX(0,(B882/C882)*G882/INDEX(Surface_Engine!$B$12:$B$72,$A882+1)-F882/INDEX(Surface_Engine!$B$12:$B$72,$A882+1))))*(MAX(IF(D882&lt;=0,0,MAX(0,(B882/D882)*H882/INDEX(Surface_Engine!$B$12:$B$72,$A882+1)-F882/INDEX(Surface_Engine!$B$12:$B$72,$A882+1))),IF(E882&lt;=0,0,MAX(0,(B882/E882)*I882/INDEX(Surface_Engine!$B$12:$B$72,$A882+1)-F882/INDEX(Surface_Engine!$B$12:$B$72,$A882+1))),IF($A882&lt;$Q$825,MAX(0,-Assumptions!$B$22*(F882/INDEX(Surface_Engine!$B$12:$B$72,$A882+1))),0)))+2*Assumptions!$B$27*(IF(C882&lt;=0,0,MAX(0,(B882/C882)*G882/INDEX(Surface_Engine!$B$12:$B$72,$A882+1)-F882/INDEX(Surface_Engine!$B$12:$B$72,$A882+1))))*(MAX(0,J882/INDEX(Surface_Engine!$B$12:$B$72,$A882+1)-(F882/INDEX(Surface_Engine!$B$12:$B$72,$A882+1))))+2*Assumptions!$B$28*(MAX(IF(D882&lt;=0,0,MAX(0,(B882/D882)*H882/INDEX(Surface_Engine!$B$12:$B$72,$A882+1)-F882/INDEX(Surface_Engine!$B$12:$B$72,$A882+1))),IF(E882&lt;=0,0,MAX(0,(B882/E882)*I882/INDEX(Surface_Engine!$B$12:$B$72,$A882+1)-F882/INDEX(Surface_Engine!$B$12:$B$72,$A882+1))),IF($A882&lt;$Q$825,MAX(0,-Assumptions!$B$22*(F882/INDEX(Surface_Engine!$B$12:$B$72,$A882+1))),0)))*(MAX(0,J882/INDEX(Surface_Engine!$B$12:$B$72,$A882+1)-(F882/INDEX(Surface_Engine!$B$12:$B$72,$A882+1)))))</f>
        <v>0</v>
      </c>
      <c r="L882" s="48" t="n">
        <f aca="false">K882*INDEX(Surface_Engine!$B$12:$B$72,$A882+1)+L883</f>
        <v>0</v>
      </c>
      <c r="M882" s="48" t="n">
        <f aca="false">M881+B881*(IF($A881&lt;$Q$825,(Surface_Engine!G244*12)-(Surface_Engine!G244*12)*INDEX(Surface_Engine!$F$12:$F$72,$A881+1)-INDEX(Surface_Engine!$D$12:$D$72,$A881+1),-(1000*12*INDEX(Surface_Engine!$C$12:$C$72,$A881+1)/(1+Assumptions!$B$10)^12+INDEX(Surface_Engine!$D$12:$D$72,$A881+1))))*INDEX(Surface_Engine!$B$12:$B$72,$A881+1)</f>
        <v>2518.36194835838</v>
      </c>
      <c r="N882" s="12" t="n">
        <f aca="false">IF(B882&lt;=0,0,MAX(0,(K882+Assumptions!$B$29*L882/INDEX(Surface_Engine!$B$12:$B$72,$A882+1)-(M882/INDEX(Surface_Engine!$B$12:$B$72,$A882+1)-(F882/INDEX(Surface_Engine!$B$12:$B$72,$A882+1))))/B882))</f>
        <v>0</v>
      </c>
    </row>
    <row r="883" customFormat="false" ht="15" hidden="false" customHeight="true" outlineLevel="0" collapsed="false">
      <c r="A883" s="1" t="n">
        <v>56</v>
      </c>
      <c r="B883" s="32" t="n">
        <f aca="false">INDEX(Surface_Engine!$O$12:$O$72,$A883+1)*IF($A883&lt;$Q$825,INDEX(Surface_Engine!$E$12:$E$72,$A883+1),INDEX(Surface_Engine!$E$12:$E$72,$Q$825+1))</f>
        <v>0</v>
      </c>
      <c r="C883" s="32" t="n">
        <f aca="false">INDEX(Panel_Reserving!$E$8:$E$68,$A883+1)*IF($A883&lt;$Q$825,INDEX(Surface_Engine!$E$12:$E$72,$A883+1),INDEX(Surface_Engine!$E$12:$E$72,$Q$825+1))</f>
        <v>0</v>
      </c>
      <c r="D883" s="32" t="n">
        <f aca="false">INDEX(Surface_Engine!$O$12:$O$72,$A883+1)*IF($A883&lt;$Q$825,INDEX(Surface_Engine!$Y$12:$Y$72,$A883+1),INDEX(Surface_Engine!$Y$12:$Y$72,$Q$825+1))</f>
        <v>0</v>
      </c>
      <c r="E883" s="32" t="n">
        <f aca="false">INDEX(Surface_Engine!$O$12:$O$72,$A883+1)*IF($A883&lt;$Q$825,INDEX(Surface_Engine!$Z$12:$Z$72,$A883+1),INDEX(Surface_Engine!$Z$12:$Z$72,$Q$825+1))</f>
        <v>0</v>
      </c>
      <c r="F883" s="48" t="n">
        <f aca="false">B883*(IF($A883&lt;$Q$825,INDEX(Surface_Engine!$D$12:$D$72,$A883+1)+(Surface_Engine!G244*12)*INDEX(Surface_Engine!$F$12:$F$72,$A883+1)-(Surface_Engine!G244*12),1000*12*INDEX(Surface_Engine!$C$12:$C$72,$A883+1)/(1+Assumptions!$B$10)^12+INDEX(Surface_Engine!$D$12:$D$72,$A883+1)))*INDEX(Surface_Engine!$B$12:$B$72,$A883+1)+F884</f>
        <v>0</v>
      </c>
      <c r="G883" s="48" t="n">
        <f aca="false">C883*(IF($A883&lt;$Q$825,INDEX(Surface_Engine!$D$12:$D$72,$A883+1)+(Surface_Engine!G244*12)*INDEX(Surface_Engine!$F$12:$F$72,$A883+1)-(Surface_Engine!G244*12),1000*12*INDEX(Surface_Engine!$C$12:$C$72,$A883+1)/(1+Assumptions!$B$10)^12+INDEX(Surface_Engine!$D$12:$D$72,$A883+1)))*INDEX(Surface_Engine!$B$12:$B$72,$A883+1)+G884</f>
        <v>0</v>
      </c>
      <c r="H883" s="48" t="n">
        <f aca="false">D883*(IF($A883&lt;$Q$825,INDEX(Surface_Engine!$D$12:$D$72,$A883+1)+(Surface_Engine!G244*12)*INDEX(Surface_Engine!$F$12:$F$72,$A883+1)-(Surface_Engine!G244*12),1000*12*INDEX(Surface_Engine!$C$12:$C$72,$A883+1)/(1+Assumptions!$B$10)^12+INDEX(Surface_Engine!$D$12:$D$72,$A883+1)))*INDEX(Surface_Engine!$B$12:$B$72,$A883+1)+H884</f>
        <v>0</v>
      </c>
      <c r="I883" s="48" t="n">
        <f aca="false">E883*(IF($A883&lt;$Q$825,INDEX(Surface_Engine!$D$12:$D$72,$A883+1)+(Surface_Engine!G244*12)*INDEX(Surface_Engine!$F$12:$F$72,$A883+1)-(Surface_Engine!G244*12),1000*12*INDEX(Surface_Engine!$C$12:$C$72,$A883+1)/(1+Assumptions!$B$10)^12+INDEX(Surface_Engine!$D$12:$D$72,$A883+1)))*INDEX(Surface_Engine!$B$12:$B$72,$A883+1)+I884</f>
        <v>0</v>
      </c>
      <c r="J883" s="48" t="n">
        <f aca="false">B883*(IF($A883&lt;$Q$825,INDEX(Surface_Engine!$D$12:$D$72,$A883+1)*(1+Assumptions!$B$24)+(Surface_Engine!G244*12)*INDEX(Surface_Engine!$F$12:$F$72,$A883+1)-(Surface_Engine!G244*12),1000*12*INDEX(Surface_Engine!$C$12:$C$72,$A883+1)/(1+Assumptions!$B$10)^12+INDEX(Surface_Engine!$D$12:$D$72,$A883+1)*(1+Assumptions!$B$24)))*INDEX(Surface_Engine!$B$12:$B$72,$A883+1)+J884</f>
        <v>0</v>
      </c>
      <c r="K883" s="12" t="n">
        <f aca="false">SQRT((IF(C883&lt;=0,0,MAX(0,(B883/C883)*G883/INDEX(Surface_Engine!$B$12:$B$72,$A883+1)-F883/INDEX(Surface_Engine!$B$12:$B$72,$A883+1))))^2+(MAX(IF(D883&lt;=0,0,MAX(0,(B883/D883)*H883/INDEX(Surface_Engine!$B$12:$B$72,$A883+1)-F883/INDEX(Surface_Engine!$B$12:$B$72,$A883+1))),IF(E883&lt;=0,0,MAX(0,(B883/E883)*I883/INDEX(Surface_Engine!$B$12:$B$72,$A883+1)-F883/INDEX(Surface_Engine!$B$12:$B$72,$A883+1))),IF($A883&lt;$Q$825,MAX(0,-Assumptions!$B$22*(F883/INDEX(Surface_Engine!$B$12:$B$72,$A883+1))),0)))^2+(MAX(0,J883/INDEX(Surface_Engine!$B$12:$B$72,$A883+1)-(F883/INDEX(Surface_Engine!$B$12:$B$72,$A883+1))))^2+2*Assumptions!$B$26*(IF(C883&lt;=0,0,MAX(0,(B883/C883)*G883/INDEX(Surface_Engine!$B$12:$B$72,$A883+1)-F883/INDEX(Surface_Engine!$B$12:$B$72,$A883+1))))*(MAX(IF(D883&lt;=0,0,MAX(0,(B883/D883)*H883/INDEX(Surface_Engine!$B$12:$B$72,$A883+1)-F883/INDEX(Surface_Engine!$B$12:$B$72,$A883+1))),IF(E883&lt;=0,0,MAX(0,(B883/E883)*I883/INDEX(Surface_Engine!$B$12:$B$72,$A883+1)-F883/INDEX(Surface_Engine!$B$12:$B$72,$A883+1))),IF($A883&lt;$Q$825,MAX(0,-Assumptions!$B$22*(F883/INDEX(Surface_Engine!$B$12:$B$72,$A883+1))),0)))+2*Assumptions!$B$27*(IF(C883&lt;=0,0,MAX(0,(B883/C883)*G883/INDEX(Surface_Engine!$B$12:$B$72,$A883+1)-F883/INDEX(Surface_Engine!$B$12:$B$72,$A883+1))))*(MAX(0,J883/INDEX(Surface_Engine!$B$12:$B$72,$A883+1)-(F883/INDEX(Surface_Engine!$B$12:$B$72,$A883+1))))+2*Assumptions!$B$28*(MAX(IF(D883&lt;=0,0,MAX(0,(B883/D883)*H883/INDEX(Surface_Engine!$B$12:$B$72,$A883+1)-F883/INDEX(Surface_Engine!$B$12:$B$72,$A883+1))),IF(E883&lt;=0,0,MAX(0,(B883/E883)*I883/INDEX(Surface_Engine!$B$12:$B$72,$A883+1)-F883/INDEX(Surface_Engine!$B$12:$B$72,$A883+1))),IF($A883&lt;$Q$825,MAX(0,-Assumptions!$B$22*(F883/INDEX(Surface_Engine!$B$12:$B$72,$A883+1))),0)))*(MAX(0,J883/INDEX(Surface_Engine!$B$12:$B$72,$A883+1)-(F883/INDEX(Surface_Engine!$B$12:$B$72,$A883+1)))))</f>
        <v>0</v>
      </c>
      <c r="L883" s="48" t="n">
        <f aca="false">K883*INDEX(Surface_Engine!$B$12:$B$72,$A883+1)+L884</f>
        <v>0</v>
      </c>
      <c r="M883" s="48" t="n">
        <f aca="false">M882+B882*(IF($A882&lt;$Q$825,(Surface_Engine!G244*12)-(Surface_Engine!G244*12)*INDEX(Surface_Engine!$F$12:$F$72,$A882+1)-INDEX(Surface_Engine!$D$12:$D$72,$A882+1),-(1000*12*INDEX(Surface_Engine!$C$12:$C$72,$A882+1)/(1+Assumptions!$B$10)^12+INDEX(Surface_Engine!$D$12:$D$72,$A882+1))))*INDEX(Surface_Engine!$B$12:$B$72,$A882+1)</f>
        <v>2518.36194835838</v>
      </c>
      <c r="N883" s="12" t="n">
        <f aca="false">IF(B883&lt;=0,0,MAX(0,(K883+Assumptions!$B$29*L883/INDEX(Surface_Engine!$B$12:$B$72,$A883+1)-(M883/INDEX(Surface_Engine!$B$12:$B$72,$A883+1)-(F883/INDEX(Surface_Engine!$B$12:$B$72,$A883+1))))/B883))</f>
        <v>0</v>
      </c>
    </row>
    <row r="884" customFormat="false" ht="15" hidden="false" customHeight="true" outlineLevel="0" collapsed="false">
      <c r="A884" s="1" t="n">
        <v>57</v>
      </c>
      <c r="B884" s="32" t="n">
        <f aca="false">INDEX(Surface_Engine!$O$12:$O$72,$A884+1)*IF($A884&lt;$Q$825,INDEX(Surface_Engine!$E$12:$E$72,$A884+1),INDEX(Surface_Engine!$E$12:$E$72,$Q$825+1))</f>
        <v>0</v>
      </c>
      <c r="C884" s="32" t="n">
        <f aca="false">INDEX(Panel_Reserving!$E$8:$E$68,$A884+1)*IF($A884&lt;$Q$825,INDEX(Surface_Engine!$E$12:$E$72,$A884+1),INDEX(Surface_Engine!$E$12:$E$72,$Q$825+1))</f>
        <v>0</v>
      </c>
      <c r="D884" s="32" t="n">
        <f aca="false">INDEX(Surface_Engine!$O$12:$O$72,$A884+1)*IF($A884&lt;$Q$825,INDEX(Surface_Engine!$Y$12:$Y$72,$A884+1),INDEX(Surface_Engine!$Y$12:$Y$72,$Q$825+1))</f>
        <v>0</v>
      </c>
      <c r="E884" s="32" t="n">
        <f aca="false">INDEX(Surface_Engine!$O$12:$O$72,$A884+1)*IF($A884&lt;$Q$825,INDEX(Surface_Engine!$Z$12:$Z$72,$A884+1),INDEX(Surface_Engine!$Z$12:$Z$72,$Q$825+1))</f>
        <v>0</v>
      </c>
      <c r="F884" s="48" t="n">
        <f aca="false">B884*(IF($A884&lt;$Q$825,INDEX(Surface_Engine!$D$12:$D$72,$A884+1)+(Surface_Engine!G244*12)*INDEX(Surface_Engine!$F$12:$F$72,$A884+1)-(Surface_Engine!G244*12),1000*12*INDEX(Surface_Engine!$C$12:$C$72,$A884+1)/(1+Assumptions!$B$10)^12+INDEX(Surface_Engine!$D$12:$D$72,$A884+1)))*INDEX(Surface_Engine!$B$12:$B$72,$A884+1)+F885</f>
        <v>0</v>
      </c>
      <c r="G884" s="48" t="n">
        <f aca="false">C884*(IF($A884&lt;$Q$825,INDEX(Surface_Engine!$D$12:$D$72,$A884+1)+(Surface_Engine!G244*12)*INDEX(Surface_Engine!$F$12:$F$72,$A884+1)-(Surface_Engine!G244*12),1000*12*INDEX(Surface_Engine!$C$12:$C$72,$A884+1)/(1+Assumptions!$B$10)^12+INDEX(Surface_Engine!$D$12:$D$72,$A884+1)))*INDEX(Surface_Engine!$B$12:$B$72,$A884+1)+G885</f>
        <v>0</v>
      </c>
      <c r="H884" s="48" t="n">
        <f aca="false">D884*(IF($A884&lt;$Q$825,INDEX(Surface_Engine!$D$12:$D$72,$A884+1)+(Surface_Engine!G244*12)*INDEX(Surface_Engine!$F$12:$F$72,$A884+1)-(Surface_Engine!G244*12),1000*12*INDEX(Surface_Engine!$C$12:$C$72,$A884+1)/(1+Assumptions!$B$10)^12+INDEX(Surface_Engine!$D$12:$D$72,$A884+1)))*INDEX(Surface_Engine!$B$12:$B$72,$A884+1)+H885</f>
        <v>0</v>
      </c>
      <c r="I884" s="48" t="n">
        <f aca="false">E884*(IF($A884&lt;$Q$825,INDEX(Surface_Engine!$D$12:$D$72,$A884+1)+(Surface_Engine!G244*12)*INDEX(Surface_Engine!$F$12:$F$72,$A884+1)-(Surface_Engine!G244*12),1000*12*INDEX(Surface_Engine!$C$12:$C$72,$A884+1)/(1+Assumptions!$B$10)^12+INDEX(Surface_Engine!$D$12:$D$72,$A884+1)))*INDEX(Surface_Engine!$B$12:$B$72,$A884+1)+I885</f>
        <v>0</v>
      </c>
      <c r="J884" s="48" t="n">
        <f aca="false">B884*(IF($A884&lt;$Q$825,INDEX(Surface_Engine!$D$12:$D$72,$A884+1)*(1+Assumptions!$B$24)+(Surface_Engine!G244*12)*INDEX(Surface_Engine!$F$12:$F$72,$A884+1)-(Surface_Engine!G244*12),1000*12*INDEX(Surface_Engine!$C$12:$C$72,$A884+1)/(1+Assumptions!$B$10)^12+INDEX(Surface_Engine!$D$12:$D$72,$A884+1)*(1+Assumptions!$B$24)))*INDEX(Surface_Engine!$B$12:$B$72,$A884+1)+J885</f>
        <v>0</v>
      </c>
      <c r="K884" s="12" t="n">
        <f aca="false">SQRT((IF(C884&lt;=0,0,MAX(0,(B884/C884)*G884/INDEX(Surface_Engine!$B$12:$B$72,$A884+1)-F884/INDEX(Surface_Engine!$B$12:$B$72,$A884+1))))^2+(MAX(IF(D884&lt;=0,0,MAX(0,(B884/D884)*H884/INDEX(Surface_Engine!$B$12:$B$72,$A884+1)-F884/INDEX(Surface_Engine!$B$12:$B$72,$A884+1))),IF(E884&lt;=0,0,MAX(0,(B884/E884)*I884/INDEX(Surface_Engine!$B$12:$B$72,$A884+1)-F884/INDEX(Surface_Engine!$B$12:$B$72,$A884+1))),IF($A884&lt;$Q$825,MAX(0,-Assumptions!$B$22*(F884/INDEX(Surface_Engine!$B$12:$B$72,$A884+1))),0)))^2+(MAX(0,J884/INDEX(Surface_Engine!$B$12:$B$72,$A884+1)-(F884/INDEX(Surface_Engine!$B$12:$B$72,$A884+1))))^2+2*Assumptions!$B$26*(IF(C884&lt;=0,0,MAX(0,(B884/C884)*G884/INDEX(Surface_Engine!$B$12:$B$72,$A884+1)-F884/INDEX(Surface_Engine!$B$12:$B$72,$A884+1))))*(MAX(IF(D884&lt;=0,0,MAX(0,(B884/D884)*H884/INDEX(Surface_Engine!$B$12:$B$72,$A884+1)-F884/INDEX(Surface_Engine!$B$12:$B$72,$A884+1))),IF(E884&lt;=0,0,MAX(0,(B884/E884)*I884/INDEX(Surface_Engine!$B$12:$B$72,$A884+1)-F884/INDEX(Surface_Engine!$B$12:$B$72,$A884+1))),IF($A884&lt;$Q$825,MAX(0,-Assumptions!$B$22*(F884/INDEX(Surface_Engine!$B$12:$B$72,$A884+1))),0)))+2*Assumptions!$B$27*(IF(C884&lt;=0,0,MAX(0,(B884/C884)*G884/INDEX(Surface_Engine!$B$12:$B$72,$A884+1)-F884/INDEX(Surface_Engine!$B$12:$B$72,$A884+1))))*(MAX(0,J884/INDEX(Surface_Engine!$B$12:$B$72,$A884+1)-(F884/INDEX(Surface_Engine!$B$12:$B$72,$A884+1))))+2*Assumptions!$B$28*(MAX(IF(D884&lt;=0,0,MAX(0,(B884/D884)*H884/INDEX(Surface_Engine!$B$12:$B$72,$A884+1)-F884/INDEX(Surface_Engine!$B$12:$B$72,$A884+1))),IF(E884&lt;=0,0,MAX(0,(B884/E884)*I884/INDEX(Surface_Engine!$B$12:$B$72,$A884+1)-F884/INDEX(Surface_Engine!$B$12:$B$72,$A884+1))),IF($A884&lt;$Q$825,MAX(0,-Assumptions!$B$22*(F884/INDEX(Surface_Engine!$B$12:$B$72,$A884+1))),0)))*(MAX(0,J884/INDEX(Surface_Engine!$B$12:$B$72,$A884+1)-(F884/INDEX(Surface_Engine!$B$12:$B$72,$A884+1)))))</f>
        <v>0</v>
      </c>
      <c r="L884" s="48" t="n">
        <f aca="false">K884*INDEX(Surface_Engine!$B$12:$B$72,$A884+1)+L885</f>
        <v>0</v>
      </c>
      <c r="M884" s="48" t="n">
        <f aca="false">M883+B883*(IF($A883&lt;$Q$825,(Surface_Engine!G244*12)-(Surface_Engine!G244*12)*INDEX(Surface_Engine!$F$12:$F$72,$A883+1)-INDEX(Surface_Engine!$D$12:$D$72,$A883+1),-(1000*12*INDEX(Surface_Engine!$C$12:$C$72,$A883+1)/(1+Assumptions!$B$10)^12+INDEX(Surface_Engine!$D$12:$D$72,$A883+1))))*INDEX(Surface_Engine!$B$12:$B$72,$A883+1)</f>
        <v>2518.36194835838</v>
      </c>
      <c r="N884" s="12" t="n">
        <f aca="false">IF(B884&lt;=0,0,MAX(0,(K884+Assumptions!$B$29*L884/INDEX(Surface_Engine!$B$12:$B$72,$A884+1)-(M884/INDEX(Surface_Engine!$B$12:$B$72,$A884+1)-(F884/INDEX(Surface_Engine!$B$12:$B$72,$A884+1))))/B884))</f>
        <v>0</v>
      </c>
    </row>
    <row r="885" customFormat="false" ht="15" hidden="false" customHeight="true" outlineLevel="0" collapsed="false">
      <c r="A885" s="1" t="n">
        <v>58</v>
      </c>
      <c r="B885" s="32" t="n">
        <f aca="false">INDEX(Surface_Engine!$O$12:$O$72,$A885+1)*IF($A885&lt;$Q$825,INDEX(Surface_Engine!$E$12:$E$72,$A885+1),INDEX(Surface_Engine!$E$12:$E$72,$Q$825+1))</f>
        <v>0</v>
      </c>
      <c r="C885" s="32" t="n">
        <f aca="false">INDEX(Panel_Reserving!$E$8:$E$68,$A885+1)*IF($A885&lt;$Q$825,INDEX(Surface_Engine!$E$12:$E$72,$A885+1),INDEX(Surface_Engine!$E$12:$E$72,$Q$825+1))</f>
        <v>0</v>
      </c>
      <c r="D885" s="32" t="n">
        <f aca="false">INDEX(Surface_Engine!$O$12:$O$72,$A885+1)*IF($A885&lt;$Q$825,INDEX(Surface_Engine!$Y$12:$Y$72,$A885+1),INDEX(Surface_Engine!$Y$12:$Y$72,$Q$825+1))</f>
        <v>0</v>
      </c>
      <c r="E885" s="32" t="n">
        <f aca="false">INDEX(Surface_Engine!$O$12:$O$72,$A885+1)*IF($A885&lt;$Q$825,INDEX(Surface_Engine!$Z$12:$Z$72,$A885+1),INDEX(Surface_Engine!$Z$12:$Z$72,$Q$825+1))</f>
        <v>0</v>
      </c>
      <c r="F885" s="48" t="n">
        <f aca="false">B885*(IF($A885&lt;$Q$825,INDEX(Surface_Engine!$D$12:$D$72,$A885+1)+(Surface_Engine!G244*12)*INDEX(Surface_Engine!$F$12:$F$72,$A885+1)-(Surface_Engine!G244*12),1000*12*INDEX(Surface_Engine!$C$12:$C$72,$A885+1)/(1+Assumptions!$B$10)^12+INDEX(Surface_Engine!$D$12:$D$72,$A885+1)))*INDEX(Surface_Engine!$B$12:$B$72,$A885+1)+F886</f>
        <v>0</v>
      </c>
      <c r="G885" s="48" t="n">
        <f aca="false">C885*(IF($A885&lt;$Q$825,INDEX(Surface_Engine!$D$12:$D$72,$A885+1)+(Surface_Engine!G244*12)*INDEX(Surface_Engine!$F$12:$F$72,$A885+1)-(Surface_Engine!G244*12),1000*12*INDEX(Surface_Engine!$C$12:$C$72,$A885+1)/(1+Assumptions!$B$10)^12+INDEX(Surface_Engine!$D$12:$D$72,$A885+1)))*INDEX(Surface_Engine!$B$12:$B$72,$A885+1)+G886</f>
        <v>0</v>
      </c>
      <c r="H885" s="48" t="n">
        <f aca="false">D885*(IF($A885&lt;$Q$825,INDEX(Surface_Engine!$D$12:$D$72,$A885+1)+(Surface_Engine!G244*12)*INDEX(Surface_Engine!$F$12:$F$72,$A885+1)-(Surface_Engine!G244*12),1000*12*INDEX(Surface_Engine!$C$12:$C$72,$A885+1)/(1+Assumptions!$B$10)^12+INDEX(Surface_Engine!$D$12:$D$72,$A885+1)))*INDEX(Surface_Engine!$B$12:$B$72,$A885+1)+H886</f>
        <v>0</v>
      </c>
      <c r="I885" s="48" t="n">
        <f aca="false">E885*(IF($A885&lt;$Q$825,INDEX(Surface_Engine!$D$12:$D$72,$A885+1)+(Surface_Engine!G244*12)*INDEX(Surface_Engine!$F$12:$F$72,$A885+1)-(Surface_Engine!G244*12),1000*12*INDEX(Surface_Engine!$C$12:$C$72,$A885+1)/(1+Assumptions!$B$10)^12+INDEX(Surface_Engine!$D$12:$D$72,$A885+1)))*INDEX(Surface_Engine!$B$12:$B$72,$A885+1)+I886</f>
        <v>0</v>
      </c>
      <c r="J885" s="48" t="n">
        <f aca="false">B885*(IF($A885&lt;$Q$825,INDEX(Surface_Engine!$D$12:$D$72,$A885+1)*(1+Assumptions!$B$24)+(Surface_Engine!G244*12)*INDEX(Surface_Engine!$F$12:$F$72,$A885+1)-(Surface_Engine!G244*12),1000*12*INDEX(Surface_Engine!$C$12:$C$72,$A885+1)/(1+Assumptions!$B$10)^12+INDEX(Surface_Engine!$D$12:$D$72,$A885+1)*(1+Assumptions!$B$24)))*INDEX(Surface_Engine!$B$12:$B$72,$A885+1)+J886</f>
        <v>0</v>
      </c>
      <c r="K885" s="12" t="n">
        <f aca="false">SQRT((IF(C885&lt;=0,0,MAX(0,(B885/C885)*G885/INDEX(Surface_Engine!$B$12:$B$72,$A885+1)-F885/INDEX(Surface_Engine!$B$12:$B$72,$A885+1))))^2+(MAX(IF(D885&lt;=0,0,MAX(0,(B885/D885)*H885/INDEX(Surface_Engine!$B$12:$B$72,$A885+1)-F885/INDEX(Surface_Engine!$B$12:$B$72,$A885+1))),IF(E885&lt;=0,0,MAX(0,(B885/E885)*I885/INDEX(Surface_Engine!$B$12:$B$72,$A885+1)-F885/INDEX(Surface_Engine!$B$12:$B$72,$A885+1))),IF($A885&lt;$Q$825,MAX(0,-Assumptions!$B$22*(F885/INDEX(Surface_Engine!$B$12:$B$72,$A885+1))),0)))^2+(MAX(0,J885/INDEX(Surface_Engine!$B$12:$B$72,$A885+1)-(F885/INDEX(Surface_Engine!$B$12:$B$72,$A885+1))))^2+2*Assumptions!$B$26*(IF(C885&lt;=0,0,MAX(0,(B885/C885)*G885/INDEX(Surface_Engine!$B$12:$B$72,$A885+1)-F885/INDEX(Surface_Engine!$B$12:$B$72,$A885+1))))*(MAX(IF(D885&lt;=0,0,MAX(0,(B885/D885)*H885/INDEX(Surface_Engine!$B$12:$B$72,$A885+1)-F885/INDEX(Surface_Engine!$B$12:$B$72,$A885+1))),IF(E885&lt;=0,0,MAX(0,(B885/E885)*I885/INDEX(Surface_Engine!$B$12:$B$72,$A885+1)-F885/INDEX(Surface_Engine!$B$12:$B$72,$A885+1))),IF($A885&lt;$Q$825,MAX(0,-Assumptions!$B$22*(F885/INDEX(Surface_Engine!$B$12:$B$72,$A885+1))),0)))+2*Assumptions!$B$27*(IF(C885&lt;=0,0,MAX(0,(B885/C885)*G885/INDEX(Surface_Engine!$B$12:$B$72,$A885+1)-F885/INDEX(Surface_Engine!$B$12:$B$72,$A885+1))))*(MAX(0,J885/INDEX(Surface_Engine!$B$12:$B$72,$A885+1)-(F885/INDEX(Surface_Engine!$B$12:$B$72,$A885+1))))+2*Assumptions!$B$28*(MAX(IF(D885&lt;=0,0,MAX(0,(B885/D885)*H885/INDEX(Surface_Engine!$B$12:$B$72,$A885+1)-F885/INDEX(Surface_Engine!$B$12:$B$72,$A885+1))),IF(E885&lt;=0,0,MAX(0,(B885/E885)*I885/INDEX(Surface_Engine!$B$12:$B$72,$A885+1)-F885/INDEX(Surface_Engine!$B$12:$B$72,$A885+1))),IF($A885&lt;$Q$825,MAX(0,-Assumptions!$B$22*(F885/INDEX(Surface_Engine!$B$12:$B$72,$A885+1))),0)))*(MAX(0,J885/INDEX(Surface_Engine!$B$12:$B$72,$A885+1)-(F885/INDEX(Surface_Engine!$B$12:$B$72,$A885+1)))))</f>
        <v>0</v>
      </c>
      <c r="L885" s="48" t="n">
        <f aca="false">K885*INDEX(Surface_Engine!$B$12:$B$72,$A885+1)+L886</f>
        <v>0</v>
      </c>
      <c r="M885" s="48" t="n">
        <f aca="false">M884+B884*(IF($A884&lt;$Q$825,(Surface_Engine!G244*12)-(Surface_Engine!G244*12)*INDEX(Surface_Engine!$F$12:$F$72,$A884+1)-INDEX(Surface_Engine!$D$12:$D$72,$A884+1),-(1000*12*INDEX(Surface_Engine!$C$12:$C$72,$A884+1)/(1+Assumptions!$B$10)^12+INDEX(Surface_Engine!$D$12:$D$72,$A884+1))))*INDEX(Surface_Engine!$B$12:$B$72,$A884+1)</f>
        <v>2518.36194835838</v>
      </c>
      <c r="N885" s="12" t="n">
        <f aca="false">IF(B885&lt;=0,0,MAX(0,(K885+Assumptions!$B$29*L885/INDEX(Surface_Engine!$B$12:$B$72,$A885+1)-(M885/INDEX(Surface_Engine!$B$12:$B$72,$A885+1)-(F885/INDEX(Surface_Engine!$B$12:$B$72,$A885+1))))/B885))</f>
        <v>0</v>
      </c>
    </row>
    <row r="886" customFormat="false" ht="15" hidden="false" customHeight="true" outlineLevel="0" collapsed="false">
      <c r="A886" s="1" t="n">
        <v>59</v>
      </c>
      <c r="B886" s="32" t="n">
        <f aca="false">INDEX(Surface_Engine!$O$12:$O$72,$A886+1)*IF($A886&lt;$Q$825,INDEX(Surface_Engine!$E$12:$E$72,$A886+1),INDEX(Surface_Engine!$E$12:$E$72,$Q$825+1))</f>
        <v>0</v>
      </c>
      <c r="C886" s="32" t="n">
        <f aca="false">INDEX(Panel_Reserving!$E$8:$E$68,$A886+1)*IF($A886&lt;$Q$825,INDEX(Surface_Engine!$E$12:$E$72,$A886+1),INDEX(Surface_Engine!$E$12:$E$72,$Q$825+1))</f>
        <v>0</v>
      </c>
      <c r="D886" s="32" t="n">
        <f aca="false">INDEX(Surface_Engine!$O$12:$O$72,$A886+1)*IF($A886&lt;$Q$825,INDEX(Surface_Engine!$Y$12:$Y$72,$A886+1),INDEX(Surface_Engine!$Y$12:$Y$72,$Q$825+1))</f>
        <v>0</v>
      </c>
      <c r="E886" s="32" t="n">
        <f aca="false">INDEX(Surface_Engine!$O$12:$O$72,$A886+1)*IF($A886&lt;$Q$825,INDEX(Surface_Engine!$Z$12:$Z$72,$A886+1),INDEX(Surface_Engine!$Z$12:$Z$72,$Q$825+1))</f>
        <v>0</v>
      </c>
      <c r="F886" s="48" t="n">
        <f aca="false">B886*(IF($A886&lt;$Q$825,INDEX(Surface_Engine!$D$12:$D$72,$A886+1)+(Surface_Engine!G244*12)*INDEX(Surface_Engine!$F$12:$F$72,$A886+1)-(Surface_Engine!G244*12),1000*12*INDEX(Surface_Engine!$C$12:$C$72,$A886+1)/(1+Assumptions!$B$10)^12+INDEX(Surface_Engine!$D$12:$D$72,$A886+1)))*INDEX(Surface_Engine!$B$12:$B$72,$A886+1)+F887</f>
        <v>0</v>
      </c>
      <c r="G886" s="48" t="n">
        <f aca="false">C886*(IF($A886&lt;$Q$825,INDEX(Surface_Engine!$D$12:$D$72,$A886+1)+(Surface_Engine!G244*12)*INDEX(Surface_Engine!$F$12:$F$72,$A886+1)-(Surface_Engine!G244*12),1000*12*INDEX(Surface_Engine!$C$12:$C$72,$A886+1)/(1+Assumptions!$B$10)^12+INDEX(Surface_Engine!$D$12:$D$72,$A886+1)))*INDEX(Surface_Engine!$B$12:$B$72,$A886+1)+G887</f>
        <v>0</v>
      </c>
      <c r="H886" s="48" t="n">
        <f aca="false">D886*(IF($A886&lt;$Q$825,INDEX(Surface_Engine!$D$12:$D$72,$A886+1)+(Surface_Engine!G244*12)*INDEX(Surface_Engine!$F$12:$F$72,$A886+1)-(Surface_Engine!G244*12),1000*12*INDEX(Surface_Engine!$C$12:$C$72,$A886+1)/(1+Assumptions!$B$10)^12+INDEX(Surface_Engine!$D$12:$D$72,$A886+1)))*INDEX(Surface_Engine!$B$12:$B$72,$A886+1)+H887</f>
        <v>0</v>
      </c>
      <c r="I886" s="48" t="n">
        <f aca="false">E886*(IF($A886&lt;$Q$825,INDEX(Surface_Engine!$D$12:$D$72,$A886+1)+(Surface_Engine!G244*12)*INDEX(Surface_Engine!$F$12:$F$72,$A886+1)-(Surface_Engine!G244*12),1000*12*INDEX(Surface_Engine!$C$12:$C$72,$A886+1)/(1+Assumptions!$B$10)^12+INDEX(Surface_Engine!$D$12:$D$72,$A886+1)))*INDEX(Surface_Engine!$B$12:$B$72,$A886+1)+I887</f>
        <v>0</v>
      </c>
      <c r="J886" s="48" t="n">
        <f aca="false">B886*(IF($A886&lt;$Q$825,INDEX(Surface_Engine!$D$12:$D$72,$A886+1)*(1+Assumptions!$B$24)+(Surface_Engine!G244*12)*INDEX(Surface_Engine!$F$12:$F$72,$A886+1)-(Surface_Engine!G244*12),1000*12*INDEX(Surface_Engine!$C$12:$C$72,$A886+1)/(1+Assumptions!$B$10)^12+INDEX(Surface_Engine!$D$12:$D$72,$A886+1)*(1+Assumptions!$B$24)))*INDEX(Surface_Engine!$B$12:$B$72,$A886+1)+J887</f>
        <v>0</v>
      </c>
      <c r="K886" s="12" t="n">
        <f aca="false">SQRT((IF(C886&lt;=0,0,MAX(0,(B886/C886)*G886/INDEX(Surface_Engine!$B$12:$B$72,$A886+1)-F886/INDEX(Surface_Engine!$B$12:$B$72,$A886+1))))^2+(MAX(IF(D886&lt;=0,0,MAX(0,(B886/D886)*H886/INDEX(Surface_Engine!$B$12:$B$72,$A886+1)-F886/INDEX(Surface_Engine!$B$12:$B$72,$A886+1))),IF(E886&lt;=0,0,MAX(0,(B886/E886)*I886/INDEX(Surface_Engine!$B$12:$B$72,$A886+1)-F886/INDEX(Surface_Engine!$B$12:$B$72,$A886+1))),IF($A886&lt;$Q$825,MAX(0,-Assumptions!$B$22*(F886/INDEX(Surface_Engine!$B$12:$B$72,$A886+1))),0)))^2+(MAX(0,J886/INDEX(Surface_Engine!$B$12:$B$72,$A886+1)-(F886/INDEX(Surface_Engine!$B$12:$B$72,$A886+1))))^2+2*Assumptions!$B$26*(IF(C886&lt;=0,0,MAX(0,(B886/C886)*G886/INDEX(Surface_Engine!$B$12:$B$72,$A886+1)-F886/INDEX(Surface_Engine!$B$12:$B$72,$A886+1))))*(MAX(IF(D886&lt;=0,0,MAX(0,(B886/D886)*H886/INDEX(Surface_Engine!$B$12:$B$72,$A886+1)-F886/INDEX(Surface_Engine!$B$12:$B$72,$A886+1))),IF(E886&lt;=0,0,MAX(0,(B886/E886)*I886/INDEX(Surface_Engine!$B$12:$B$72,$A886+1)-F886/INDEX(Surface_Engine!$B$12:$B$72,$A886+1))),IF($A886&lt;$Q$825,MAX(0,-Assumptions!$B$22*(F886/INDEX(Surface_Engine!$B$12:$B$72,$A886+1))),0)))+2*Assumptions!$B$27*(IF(C886&lt;=0,0,MAX(0,(B886/C886)*G886/INDEX(Surface_Engine!$B$12:$B$72,$A886+1)-F886/INDEX(Surface_Engine!$B$12:$B$72,$A886+1))))*(MAX(0,J886/INDEX(Surface_Engine!$B$12:$B$72,$A886+1)-(F886/INDEX(Surface_Engine!$B$12:$B$72,$A886+1))))+2*Assumptions!$B$28*(MAX(IF(D886&lt;=0,0,MAX(0,(B886/D886)*H886/INDEX(Surface_Engine!$B$12:$B$72,$A886+1)-F886/INDEX(Surface_Engine!$B$12:$B$72,$A886+1))),IF(E886&lt;=0,0,MAX(0,(B886/E886)*I886/INDEX(Surface_Engine!$B$12:$B$72,$A886+1)-F886/INDEX(Surface_Engine!$B$12:$B$72,$A886+1))),IF($A886&lt;$Q$825,MAX(0,-Assumptions!$B$22*(F886/INDEX(Surface_Engine!$B$12:$B$72,$A886+1))),0)))*(MAX(0,J886/INDEX(Surface_Engine!$B$12:$B$72,$A886+1)-(F886/INDEX(Surface_Engine!$B$12:$B$72,$A886+1)))))</f>
        <v>0</v>
      </c>
      <c r="L886" s="48" t="n">
        <f aca="false">K886*INDEX(Surface_Engine!$B$12:$B$72,$A886+1)+L887</f>
        <v>0</v>
      </c>
      <c r="M886" s="48" t="n">
        <f aca="false">M885+B885*(IF($A885&lt;$Q$825,(Surface_Engine!G244*12)-(Surface_Engine!G244*12)*INDEX(Surface_Engine!$F$12:$F$72,$A885+1)-INDEX(Surface_Engine!$D$12:$D$72,$A885+1),-(1000*12*INDEX(Surface_Engine!$C$12:$C$72,$A885+1)/(1+Assumptions!$B$10)^12+INDEX(Surface_Engine!$D$12:$D$72,$A885+1))))*INDEX(Surface_Engine!$B$12:$B$72,$A885+1)</f>
        <v>2518.36194835838</v>
      </c>
      <c r="N886" s="12" t="n">
        <f aca="false">IF(B886&lt;=0,0,MAX(0,(K886+Assumptions!$B$29*L886/INDEX(Surface_Engine!$B$12:$B$72,$A886+1)-(M886/INDEX(Surface_Engine!$B$12:$B$72,$A886+1)-(F886/INDEX(Surface_Engine!$B$12:$B$72,$A886+1))))/B886))</f>
        <v>0</v>
      </c>
    </row>
    <row r="887" customFormat="false" ht="15" hidden="false" customHeight="true" outlineLevel="0" collapsed="false">
      <c r="A887" s="1" t="n">
        <v>60</v>
      </c>
      <c r="B887" s="32" t="n">
        <f aca="false">INDEX(Surface_Engine!$O$12:$O$72,$A887+1)*IF($A887&lt;$Q$825,INDEX(Surface_Engine!$E$12:$E$72,$A887+1),INDEX(Surface_Engine!$E$12:$E$72,$Q$825+1))</f>
        <v>0</v>
      </c>
      <c r="C887" s="32" t="n">
        <f aca="false">INDEX(Panel_Reserving!$E$8:$E$68,$A887+1)*IF($A887&lt;$Q$825,INDEX(Surface_Engine!$E$12:$E$72,$A887+1),INDEX(Surface_Engine!$E$12:$E$72,$Q$825+1))</f>
        <v>0</v>
      </c>
      <c r="D887" s="32" t="n">
        <f aca="false">INDEX(Surface_Engine!$O$12:$O$72,$A887+1)*IF($A887&lt;$Q$825,INDEX(Surface_Engine!$Y$12:$Y$72,$A887+1),INDEX(Surface_Engine!$Y$12:$Y$72,$Q$825+1))</f>
        <v>0</v>
      </c>
      <c r="E887" s="32" t="n">
        <f aca="false">INDEX(Surface_Engine!$O$12:$O$72,$A887+1)*IF($A887&lt;$Q$825,INDEX(Surface_Engine!$Z$12:$Z$72,$A887+1),INDEX(Surface_Engine!$Z$12:$Z$72,$Q$825+1))</f>
        <v>0</v>
      </c>
      <c r="F887" s="48" t="n">
        <f aca="false">B887*(IF($A887&lt;$Q$825,INDEX(Surface_Engine!$D$12:$D$72,$A887+1)+(Surface_Engine!G244*12)*INDEX(Surface_Engine!$F$12:$F$72,$A887+1)-(Surface_Engine!G244*12),1000*12*INDEX(Surface_Engine!$C$12:$C$72,$A887+1)/(1+Assumptions!$B$10)^12+INDEX(Surface_Engine!$D$12:$D$72,$A887+1)))*INDEX(Surface_Engine!$B$12:$B$72,$A887+1)</f>
        <v>0</v>
      </c>
      <c r="G887" s="48" t="n">
        <f aca="false">C887*(IF($A887&lt;$Q$825,INDEX(Surface_Engine!$D$12:$D$72,$A887+1)+(Surface_Engine!G244*12)*INDEX(Surface_Engine!$F$12:$F$72,$A887+1)-(Surface_Engine!G244*12),1000*12*INDEX(Surface_Engine!$C$12:$C$72,$A887+1)/(1+Assumptions!$B$10)^12+INDEX(Surface_Engine!$D$12:$D$72,$A887+1)))*INDEX(Surface_Engine!$B$12:$B$72,$A887+1)</f>
        <v>0</v>
      </c>
      <c r="H887" s="48" t="n">
        <f aca="false">D887*(IF($A887&lt;$Q$825,INDEX(Surface_Engine!$D$12:$D$72,$A887+1)+(Surface_Engine!G244*12)*INDEX(Surface_Engine!$F$12:$F$72,$A887+1)-(Surface_Engine!G244*12),1000*12*INDEX(Surface_Engine!$C$12:$C$72,$A887+1)/(1+Assumptions!$B$10)^12+INDEX(Surface_Engine!$D$12:$D$72,$A887+1)))*INDEX(Surface_Engine!$B$12:$B$72,$A887+1)</f>
        <v>0</v>
      </c>
      <c r="I887" s="48" t="n">
        <f aca="false">E887*(IF($A887&lt;$Q$825,INDEX(Surface_Engine!$D$12:$D$72,$A887+1)+(Surface_Engine!G244*12)*INDEX(Surface_Engine!$F$12:$F$72,$A887+1)-(Surface_Engine!G244*12),1000*12*INDEX(Surface_Engine!$C$12:$C$72,$A887+1)/(1+Assumptions!$B$10)^12+INDEX(Surface_Engine!$D$12:$D$72,$A887+1)))*INDEX(Surface_Engine!$B$12:$B$72,$A887+1)</f>
        <v>0</v>
      </c>
      <c r="J887" s="48" t="n">
        <f aca="false">B887*(IF($A887&lt;$Q$825,INDEX(Surface_Engine!$D$12:$D$72,$A887+1)*(1+Assumptions!$B$24)+(Surface_Engine!G244*12)*INDEX(Surface_Engine!$F$12:$F$72,$A887+1)-(Surface_Engine!G244*12),1000*12*INDEX(Surface_Engine!$C$12:$C$72,$A887+1)/(1+Assumptions!$B$10)^12+INDEX(Surface_Engine!$D$12:$D$72,$A887+1)*(1+Assumptions!$B$24)))*INDEX(Surface_Engine!$B$12:$B$72,$A887+1)</f>
        <v>0</v>
      </c>
      <c r="K887" s="12" t="n">
        <f aca="false">SQRT((IF(C887&lt;=0,0,MAX(0,(B887/C887)*G887/INDEX(Surface_Engine!$B$12:$B$72,$A887+1)-F887/INDEX(Surface_Engine!$B$12:$B$72,$A887+1))))^2+(MAX(IF(D887&lt;=0,0,MAX(0,(B887/D887)*H887/INDEX(Surface_Engine!$B$12:$B$72,$A887+1)-F887/INDEX(Surface_Engine!$B$12:$B$72,$A887+1))),IF(E887&lt;=0,0,MAX(0,(B887/E887)*I887/INDEX(Surface_Engine!$B$12:$B$72,$A887+1)-F887/INDEX(Surface_Engine!$B$12:$B$72,$A887+1))),IF($A887&lt;$Q$825,MAX(0,-Assumptions!$B$22*(F887/INDEX(Surface_Engine!$B$12:$B$72,$A887+1))),0)))^2+(MAX(0,J887/INDEX(Surface_Engine!$B$12:$B$72,$A887+1)-(F887/INDEX(Surface_Engine!$B$12:$B$72,$A887+1))))^2+2*Assumptions!$B$26*(IF(C887&lt;=0,0,MAX(0,(B887/C887)*G887/INDEX(Surface_Engine!$B$12:$B$72,$A887+1)-F887/INDEX(Surface_Engine!$B$12:$B$72,$A887+1))))*(MAX(IF(D887&lt;=0,0,MAX(0,(B887/D887)*H887/INDEX(Surface_Engine!$B$12:$B$72,$A887+1)-F887/INDEX(Surface_Engine!$B$12:$B$72,$A887+1))),IF(E887&lt;=0,0,MAX(0,(B887/E887)*I887/INDEX(Surface_Engine!$B$12:$B$72,$A887+1)-F887/INDEX(Surface_Engine!$B$12:$B$72,$A887+1))),IF($A887&lt;$Q$825,MAX(0,-Assumptions!$B$22*(F887/INDEX(Surface_Engine!$B$12:$B$72,$A887+1))),0)))+2*Assumptions!$B$27*(IF(C887&lt;=0,0,MAX(0,(B887/C887)*G887/INDEX(Surface_Engine!$B$12:$B$72,$A887+1)-F887/INDEX(Surface_Engine!$B$12:$B$72,$A887+1))))*(MAX(0,J887/INDEX(Surface_Engine!$B$12:$B$72,$A887+1)-(F887/INDEX(Surface_Engine!$B$12:$B$72,$A887+1))))+2*Assumptions!$B$28*(MAX(IF(D887&lt;=0,0,MAX(0,(B887/D887)*H887/INDEX(Surface_Engine!$B$12:$B$72,$A887+1)-F887/INDEX(Surface_Engine!$B$12:$B$72,$A887+1))),IF(E887&lt;=0,0,MAX(0,(B887/E887)*I887/INDEX(Surface_Engine!$B$12:$B$72,$A887+1)-F887/INDEX(Surface_Engine!$B$12:$B$72,$A887+1))),IF($A887&lt;$Q$825,MAX(0,-Assumptions!$B$22*(F887/INDEX(Surface_Engine!$B$12:$B$72,$A887+1))),0)))*(MAX(0,J887/INDEX(Surface_Engine!$B$12:$B$72,$A887+1)-(F887/INDEX(Surface_Engine!$B$12:$B$72,$A887+1)))))</f>
        <v>0</v>
      </c>
      <c r="L887" s="48" t="n">
        <f aca="false">K887*INDEX(Surface_Engine!$B$12:$B$72,$A887+1)</f>
        <v>0</v>
      </c>
      <c r="M887" s="48" t="n">
        <f aca="false">M886+B886*(IF($A886&lt;$Q$825,(Surface_Engine!G244*12)-(Surface_Engine!G244*12)*INDEX(Surface_Engine!$F$12:$F$72,$A886+1)-INDEX(Surface_Engine!$D$12:$D$72,$A886+1),-(1000*12*INDEX(Surface_Engine!$C$12:$C$72,$A886+1)/(1+Assumptions!$B$10)^12+INDEX(Surface_Engine!$D$12:$D$72,$A886+1))))*INDEX(Surface_Engine!$B$12:$B$72,$A886+1)</f>
        <v>2518.36194835838</v>
      </c>
      <c r="N887" s="12" t="n">
        <f aca="false">IF(B887&lt;=0,0,MAX(0,(K887+Assumptions!$B$29*L887/INDEX(Surface_Engine!$B$12:$B$72,$A887+1)-(M887/INDEX(Surface_Engine!$B$12:$B$72,$A887+1)-(F887/INDEX(Surface_Engine!$B$12:$B$72,$A887+1))))/B887))</f>
        <v>0</v>
      </c>
    </row>
    <row r="888" customFormat="false" ht="15" hidden="false" customHeight="true" outlineLevel="0" collapsed="false">
      <c r="A888" s="4" t="str">
        <f aca="false">"entry "&amp;O888&amp;" / vesting "&amp;P888&amp;"   deferral "&amp;Q888</f>
        <v>entry 68 / vesting 85   deferral 17</v>
      </c>
      <c r="C888" s="49" t="n">
        <f aca="false">MAX(N827:N887)</f>
        <v>20176.775185485</v>
      </c>
      <c r="E888" s="7" t="s">
        <v>1634</v>
      </c>
      <c r="G888" s="21" t="n">
        <f aca="false">INDEX(A827:A887,MATCH(C888,N827:N887,0))</f>
        <v>5</v>
      </c>
      <c r="J888" s="7" t="s">
        <v>1624</v>
      </c>
      <c r="K888" s="50" t="n">
        <f aca="false">Surface_Engine!L244</f>
        <v>319.800153491245</v>
      </c>
      <c r="O888" s="1" t="n">
        <f aca="false">A1717</f>
        <v>68</v>
      </c>
      <c r="P888" s="76" t="n">
        <f aca="false">D$1713</f>
        <v>85</v>
      </c>
      <c r="Q888" s="1" t="n">
        <f aca="false">P888-O888</f>
        <v>17</v>
      </c>
    </row>
    <row r="889" customFormat="false" ht="15" hidden="false" customHeight="true" outlineLevel="0" collapsed="false">
      <c r="A889" s="8" t="s">
        <v>802</v>
      </c>
      <c r="B889" s="8" t="s">
        <v>1584</v>
      </c>
      <c r="C889" s="8" t="s">
        <v>1585</v>
      </c>
      <c r="D889" s="8" t="s">
        <v>1587</v>
      </c>
      <c r="E889" s="8" t="s">
        <v>1588</v>
      </c>
      <c r="F889" s="8" t="s">
        <v>1625</v>
      </c>
      <c r="G889" s="8" t="s">
        <v>1626</v>
      </c>
      <c r="H889" s="8" t="s">
        <v>1627</v>
      </c>
      <c r="I889" s="8" t="s">
        <v>1628</v>
      </c>
      <c r="J889" s="8" t="s">
        <v>1629</v>
      </c>
      <c r="K889" s="8" t="s">
        <v>812</v>
      </c>
      <c r="L889" s="8" t="s">
        <v>1630</v>
      </c>
      <c r="M889" s="8" t="s">
        <v>341</v>
      </c>
      <c r="N889" s="8" t="s">
        <v>1631</v>
      </c>
      <c r="O889" s="1" t="s">
        <v>1544</v>
      </c>
      <c r="P889" s="1" t="s">
        <v>1632</v>
      </c>
      <c r="Q889" s="1" t="s">
        <v>1633</v>
      </c>
    </row>
    <row r="890" customFormat="false" ht="15" hidden="false" customHeight="true" outlineLevel="0" collapsed="false">
      <c r="A890" s="1" t="n">
        <v>0</v>
      </c>
      <c r="B890" s="32" t="n">
        <f aca="false">INDEX(Surface_Engine!$O$12:$O$72,$A890+1)*IF($A890&lt;$Q$888,INDEX(Surface_Engine!$E$12:$E$72,$A890+1),INDEX(Surface_Engine!$E$12:$E$72,$Q$888+1))</f>
        <v>1</v>
      </c>
      <c r="C890" s="32" t="n">
        <f aca="false">INDEX(Panel_Reserving!$E$8:$E$68,$A890+1)*IF($A890&lt;$Q$888,INDEX(Surface_Engine!$E$12:$E$72,$A890+1),INDEX(Surface_Engine!$E$12:$E$72,$Q$888+1))</f>
        <v>1</v>
      </c>
      <c r="D890" s="32" t="n">
        <f aca="false">INDEX(Surface_Engine!$O$12:$O$72,$A890+1)*IF($A890&lt;$Q$888,INDEX(Surface_Engine!$Y$12:$Y$72,$A890+1),INDEX(Surface_Engine!$Y$12:$Y$72,$Q$888+1))</f>
        <v>1</v>
      </c>
      <c r="E890" s="32" t="n">
        <f aca="false">INDEX(Surface_Engine!$O$12:$O$72,$A890+1)*IF($A890&lt;$Q$888,INDEX(Surface_Engine!$Z$12:$Z$72,$A890+1),INDEX(Surface_Engine!$Z$12:$Z$72,$Q$888+1))</f>
        <v>1</v>
      </c>
      <c r="F890" s="48" t="n">
        <f aca="false">B890*(IF($A890&lt;$Q$888,INDEX(Surface_Engine!$D$12:$D$72,$A890+1)+(Surface_Engine!L244*12)*INDEX(Surface_Engine!$F$12:$F$72,$A890+1)-(Surface_Engine!L244*12),1000*12*INDEX(Surface_Engine!$C$12:$C$72,$A890+1)/(1+Assumptions!$B$10)^17+INDEX(Surface_Engine!$D$12:$D$72,$A890+1)))*INDEX(Surface_Engine!$B$12:$B$72,$A890+1)+F891</f>
        <v>-1279.91887175455</v>
      </c>
      <c r="G890" s="48" t="n">
        <f aca="false">C890*(IF($A890&lt;$Q$888,INDEX(Surface_Engine!$D$12:$D$72,$A890+1)+(Surface_Engine!L244*12)*INDEX(Surface_Engine!$F$12:$F$72,$A890+1)-(Surface_Engine!L244*12),1000*12*INDEX(Surface_Engine!$C$12:$C$72,$A890+1)/(1+Assumptions!$B$10)^17+INDEX(Surface_Engine!$D$12:$D$72,$A890+1)))*INDEX(Surface_Engine!$B$12:$B$72,$A890+1)+G891</f>
        <v>5589.67492507483</v>
      </c>
      <c r="H890" s="48" t="n">
        <f aca="false">D890*(IF($A890&lt;$Q$888,INDEX(Surface_Engine!$D$12:$D$72,$A890+1)+(Surface_Engine!L244*12)*INDEX(Surface_Engine!$F$12:$F$72,$A890+1)-(Surface_Engine!L244*12),1000*12*INDEX(Surface_Engine!$C$12:$C$72,$A890+1)/(1+Assumptions!$B$10)^17+INDEX(Surface_Engine!$D$12:$D$72,$A890+1)))*INDEX(Surface_Engine!$B$12:$B$72,$A890+1)+H891</f>
        <v>-2706.66810139967</v>
      </c>
      <c r="I890" s="48" t="n">
        <f aca="false">E890*(IF($A890&lt;$Q$888,INDEX(Surface_Engine!$D$12:$D$72,$A890+1)+(Surface_Engine!L244*12)*INDEX(Surface_Engine!$F$12:$F$72,$A890+1)-(Surface_Engine!L244*12),1000*12*INDEX(Surface_Engine!$C$12:$C$72,$A890+1)/(1+Assumptions!$B$10)^17+INDEX(Surface_Engine!$D$12:$D$72,$A890+1)))*INDEX(Surface_Engine!$B$12:$B$72,$A890+1)+I891</f>
        <v>388.435685642114</v>
      </c>
      <c r="J890" s="48" t="n">
        <f aca="false">B890*(IF($A890&lt;$Q$888,INDEX(Surface_Engine!$D$12:$D$72,$A890+1)*(1+Assumptions!$B$24)+(Surface_Engine!L244*12)*INDEX(Surface_Engine!$F$12:$F$72,$A890+1)-(Surface_Engine!L244*12),1000*12*INDEX(Surface_Engine!$C$12:$C$72,$A890+1)/(1+Assumptions!$B$10)^17+INDEX(Surface_Engine!$D$12:$D$72,$A890+1)*(1+Assumptions!$B$24)))*INDEX(Surface_Engine!$B$12:$B$72,$A890+1)+J891</f>
        <v>-1135.38091441752</v>
      </c>
      <c r="K890" s="12" t="n">
        <f aca="false">SQRT((IF(C890&lt;=0,0,MAX(0,(B890/C890)*G890/INDEX(Surface_Engine!$B$12:$B$72,$A890+1)-F890/INDEX(Surface_Engine!$B$12:$B$72,$A890+1))))^2+(MAX(IF(D890&lt;=0,0,MAX(0,(B890/D890)*H890/INDEX(Surface_Engine!$B$12:$B$72,$A890+1)-F890/INDEX(Surface_Engine!$B$12:$B$72,$A890+1))),IF(E890&lt;=0,0,MAX(0,(B890/E890)*I890/INDEX(Surface_Engine!$B$12:$B$72,$A890+1)-F890/INDEX(Surface_Engine!$B$12:$B$72,$A890+1))),IF($A890&lt;$Q$888,MAX(0,-Assumptions!$B$22*(F890/INDEX(Surface_Engine!$B$12:$B$72,$A890+1))),0)))^2+(MAX(0,J890/INDEX(Surface_Engine!$B$12:$B$72,$A890+1)-(F890/INDEX(Surface_Engine!$B$12:$B$72,$A890+1))))^2+2*Assumptions!$B$26*(IF(C890&lt;=0,0,MAX(0,(B890/C890)*G890/INDEX(Surface_Engine!$B$12:$B$72,$A890+1)-F890/INDEX(Surface_Engine!$B$12:$B$72,$A890+1))))*(MAX(IF(D890&lt;=0,0,MAX(0,(B890/D890)*H890/INDEX(Surface_Engine!$B$12:$B$72,$A890+1)-F890/INDEX(Surface_Engine!$B$12:$B$72,$A890+1))),IF(E890&lt;=0,0,MAX(0,(B890/E890)*I890/INDEX(Surface_Engine!$B$12:$B$72,$A890+1)-F890/INDEX(Surface_Engine!$B$12:$B$72,$A890+1))),IF($A890&lt;$Q$888,MAX(0,-Assumptions!$B$22*(F890/INDEX(Surface_Engine!$B$12:$B$72,$A890+1))),0)))+2*Assumptions!$B$27*(IF(C890&lt;=0,0,MAX(0,(B890/C890)*G890/INDEX(Surface_Engine!$B$12:$B$72,$A890+1)-F890/INDEX(Surface_Engine!$B$12:$B$72,$A890+1))))*(MAX(0,J890/INDEX(Surface_Engine!$B$12:$B$72,$A890+1)-(F890/INDEX(Surface_Engine!$B$12:$B$72,$A890+1))))+2*Assumptions!$B$28*(MAX(IF(D890&lt;=0,0,MAX(0,(B890/D890)*H890/INDEX(Surface_Engine!$B$12:$B$72,$A890+1)-F890/INDEX(Surface_Engine!$B$12:$B$72,$A890+1))),IF(E890&lt;=0,0,MAX(0,(B890/E890)*I890/INDEX(Surface_Engine!$B$12:$B$72,$A890+1)-F890/INDEX(Surface_Engine!$B$12:$B$72,$A890+1))),IF($A890&lt;$Q$888,MAX(0,-Assumptions!$B$22*(F890/INDEX(Surface_Engine!$B$12:$B$72,$A890+1))),0)))*(MAX(0,J890/INDEX(Surface_Engine!$B$12:$B$72,$A890+1)-(F890/INDEX(Surface_Engine!$B$12:$B$72,$A890+1)))))</f>
        <v>7514.23151295863</v>
      </c>
      <c r="L890" s="48" t="n">
        <f aca="false">K890*INDEX(Surface_Engine!$B$12:$B$72,$A890+1)+L891</f>
        <v>149417.32183283</v>
      </c>
      <c r="M890" s="48" t="n">
        <v>0</v>
      </c>
      <c r="N890" s="12" t="n">
        <f aca="false">IF(B890&lt;=0,0,MAX(0,(K890+Assumptions!$B$29*L890/INDEX(Surface_Engine!$B$12:$B$72,$A890+1)-(M890/INDEX(Surface_Engine!$B$12:$B$72,$A890+1)-(F890/INDEX(Surface_Engine!$B$12:$B$72,$A890+1))))/B890))</f>
        <v>15199.3519511739</v>
      </c>
    </row>
    <row r="891" customFormat="false" ht="15" hidden="false" customHeight="true" outlineLevel="0" collapsed="false">
      <c r="A891" s="1" t="n">
        <v>1</v>
      </c>
      <c r="B891" s="32" t="n">
        <f aca="false">INDEX(Surface_Engine!$O$12:$O$72,$A891+1)*IF($A891&lt;$Q$888,INDEX(Surface_Engine!$E$12:$E$72,$A891+1),INDEX(Surface_Engine!$E$12:$E$72,$Q$888+1))</f>
        <v>0.952496634911626</v>
      </c>
      <c r="C891" s="32" t="n">
        <f aca="false">INDEX(Panel_Reserving!$E$8:$E$68,$A891+1)*IF($A891&lt;$Q$888,INDEX(Surface_Engine!$E$12:$E$72,$A891+1),INDEX(Surface_Engine!$E$12:$E$72,$Q$888+1))</f>
        <v>0.953877307929301</v>
      </c>
      <c r="D891" s="32" t="n">
        <f aca="false">INDEX(Surface_Engine!$O$12:$O$72,$A891+1)*IF($A891&lt;$Q$888,INDEX(Surface_Engine!$Y$12:$Y$72,$A891+1),INDEX(Surface_Engine!$Y$12:$Y$72,$Q$888+1))</f>
        <v>0.932342703612161</v>
      </c>
      <c r="E891" s="32" t="n">
        <f aca="false">INDEX(Surface_Engine!$O$12:$O$72,$A891+1)*IF($A891&lt;$Q$888,INDEX(Surface_Engine!$Z$12:$Z$72,$A891+1),INDEX(Surface_Engine!$Z$12:$Z$72,$Q$888+1))</f>
        <v>0.97265056621109</v>
      </c>
      <c r="F891" s="48" t="n">
        <f aca="false">B891*(IF($A891&lt;$Q$888,INDEX(Surface_Engine!$D$12:$D$72,$A891+1)+(Surface_Engine!L244*12)*INDEX(Surface_Engine!$F$12:$F$72,$A891+1)-(Surface_Engine!L244*12),1000*12*INDEX(Surface_Engine!$C$12:$C$72,$A891+1)/(1+Assumptions!$B$10)^17+INDEX(Surface_Engine!$D$12:$D$72,$A891+1)))*INDEX(Surface_Engine!$B$12:$B$72,$A891+1)+F892</f>
        <v>-1361.91887175455</v>
      </c>
      <c r="G891" s="48" t="n">
        <f aca="false">C891*(IF($A891&lt;$Q$888,INDEX(Surface_Engine!$D$12:$D$72,$A891+1)+(Surface_Engine!L244*12)*INDEX(Surface_Engine!$F$12:$F$72,$A891+1)-(Surface_Engine!L244*12),1000*12*INDEX(Surface_Engine!$C$12:$C$72,$A891+1)/(1+Assumptions!$B$10)^17+INDEX(Surface_Engine!$D$12:$D$72,$A891+1)))*INDEX(Surface_Engine!$B$12:$B$72,$A891+1)+G892</f>
        <v>5507.67492507483</v>
      </c>
      <c r="H891" s="48" t="n">
        <f aca="false">D891*(IF($A891&lt;$Q$888,INDEX(Surface_Engine!$D$12:$D$72,$A891+1)+(Surface_Engine!L244*12)*INDEX(Surface_Engine!$F$12:$F$72,$A891+1)-(Surface_Engine!L244*12),1000*12*INDEX(Surface_Engine!$C$12:$C$72,$A891+1)/(1+Assumptions!$B$10)^17+INDEX(Surface_Engine!$D$12:$D$72,$A891+1)))*INDEX(Surface_Engine!$B$12:$B$72,$A891+1)+H892</f>
        <v>-2788.66810139967</v>
      </c>
      <c r="I891" s="48" t="n">
        <f aca="false">E891*(IF($A891&lt;$Q$888,INDEX(Surface_Engine!$D$12:$D$72,$A891+1)+(Surface_Engine!L244*12)*INDEX(Surface_Engine!$F$12:$F$72,$A891+1)-(Surface_Engine!L244*12),1000*12*INDEX(Surface_Engine!$C$12:$C$72,$A891+1)/(1+Assumptions!$B$10)^17+INDEX(Surface_Engine!$D$12:$D$72,$A891+1)))*INDEX(Surface_Engine!$B$12:$B$72,$A891+1)+I892</f>
        <v>306.435685642114</v>
      </c>
      <c r="J891" s="48" t="n">
        <f aca="false">B891*(IF($A891&lt;$Q$888,INDEX(Surface_Engine!$D$12:$D$72,$A891+1)*(1+Assumptions!$B$24)+(Surface_Engine!L244*12)*INDEX(Surface_Engine!$F$12:$F$72,$A891+1)-(Surface_Engine!L244*12),1000*12*INDEX(Surface_Engine!$C$12:$C$72,$A891+1)/(1+Assumptions!$B$10)^17+INDEX(Surface_Engine!$D$12:$D$72,$A891+1)*(1+Assumptions!$B$24)))*INDEX(Surface_Engine!$B$12:$B$72,$A891+1)+J892</f>
        <v>-1225.58091441752</v>
      </c>
      <c r="K891" s="12" t="n">
        <f aca="false">SQRT((IF(C891&lt;=0,0,MAX(0,(B891/C891)*G891/INDEX(Surface_Engine!$B$12:$B$72,$A891+1)-F891/INDEX(Surface_Engine!$B$12:$B$72,$A891+1))))^2+(MAX(IF(D891&lt;=0,0,MAX(0,(B891/D891)*H891/INDEX(Surface_Engine!$B$12:$B$72,$A891+1)-F891/INDEX(Surface_Engine!$B$12:$B$72,$A891+1))),IF(E891&lt;=0,0,MAX(0,(B891/E891)*I891/INDEX(Surface_Engine!$B$12:$B$72,$A891+1)-F891/INDEX(Surface_Engine!$B$12:$B$72,$A891+1))),IF($A891&lt;$Q$888,MAX(0,-Assumptions!$B$22*(F891/INDEX(Surface_Engine!$B$12:$B$72,$A891+1))),0)))^2+(MAX(0,J891/INDEX(Surface_Engine!$B$12:$B$72,$A891+1)-(F891/INDEX(Surface_Engine!$B$12:$B$72,$A891+1))))^2+2*Assumptions!$B$26*(IF(C891&lt;=0,0,MAX(0,(B891/C891)*G891/INDEX(Surface_Engine!$B$12:$B$72,$A891+1)-F891/INDEX(Surface_Engine!$B$12:$B$72,$A891+1))))*(MAX(IF(D891&lt;=0,0,MAX(0,(B891/D891)*H891/INDEX(Surface_Engine!$B$12:$B$72,$A891+1)-F891/INDEX(Surface_Engine!$B$12:$B$72,$A891+1))),IF(E891&lt;=0,0,MAX(0,(B891/E891)*I891/INDEX(Surface_Engine!$B$12:$B$72,$A891+1)-F891/INDEX(Surface_Engine!$B$12:$B$72,$A891+1))),IF($A891&lt;$Q$888,MAX(0,-Assumptions!$B$22*(F891/INDEX(Surface_Engine!$B$12:$B$72,$A891+1))),0)))+2*Assumptions!$B$27*(IF(C891&lt;=0,0,MAX(0,(B891/C891)*G891/INDEX(Surface_Engine!$B$12:$B$72,$A891+1)-F891/INDEX(Surface_Engine!$B$12:$B$72,$A891+1))))*(MAX(0,J891/INDEX(Surface_Engine!$B$12:$B$72,$A891+1)-(F891/INDEX(Surface_Engine!$B$12:$B$72,$A891+1))))+2*Assumptions!$B$28*(MAX(IF(D891&lt;=0,0,MAX(0,(B891/D891)*H891/INDEX(Surface_Engine!$B$12:$B$72,$A891+1)-F891/INDEX(Surface_Engine!$B$12:$B$72,$A891+1))),IF(E891&lt;=0,0,MAX(0,(B891/E891)*I891/INDEX(Surface_Engine!$B$12:$B$72,$A891+1)-F891/INDEX(Surface_Engine!$B$12:$B$72,$A891+1))),IF($A891&lt;$Q$888,MAX(0,-Assumptions!$B$22*(F891/INDEX(Surface_Engine!$B$12:$B$72,$A891+1))),0)))*(MAX(0,J891/INDEX(Surface_Engine!$B$12:$B$72,$A891+1)-(F891/INDEX(Surface_Engine!$B$12:$B$72,$A891+1)))))</f>
        <v>7695.32044991316</v>
      </c>
      <c r="L891" s="48" t="n">
        <f aca="false">K891*INDEX(Surface_Engine!$B$12:$B$72,$A891+1)+L892</f>
        <v>141903.090319871</v>
      </c>
      <c r="M891" s="48" t="n">
        <f aca="false">M890+B890*(IF($A890&lt;$Q$888,(Surface_Engine!L244*12)-(Surface_Engine!L244*12)*INDEX(Surface_Engine!$F$12:$F$72,$A890+1)-INDEX(Surface_Engine!$D$12:$D$72,$A890+1),-(1000*12*INDEX(Surface_Engine!$C$12:$C$72,$A890+1)/(1+Assumptions!$B$10)^17+INDEX(Surface_Engine!$D$12:$D$72,$A890+1))))*INDEX(Surface_Engine!$B$12:$B$72,$A890+1)</f>
        <v>-82</v>
      </c>
      <c r="N891" s="12" t="n">
        <f aca="false">IF(B891&lt;=0,0,MAX(0,(K891+Assumptions!$B$29*L891/INDEX(Surface_Engine!$B$12:$B$72,$A891+1)-(M891/INDEX(Surface_Engine!$B$12:$B$72,$A891+1)-(F891/INDEX(Surface_Engine!$B$12:$B$72,$A891+1))))/B891))</f>
        <v>15871.3301473501</v>
      </c>
    </row>
    <row r="892" customFormat="false" ht="15" hidden="false" customHeight="true" outlineLevel="0" collapsed="false">
      <c r="A892" s="1" t="n">
        <v>2</v>
      </c>
      <c r="B892" s="32" t="n">
        <f aca="false">INDEX(Surface_Engine!$O$12:$O$72,$A892+1)*IF($A892&lt;$Q$888,INDEX(Surface_Engine!$E$12:$E$72,$A892+1),INDEX(Surface_Engine!$E$12:$E$72,$Q$888+1))</f>
        <v>0.92448688269402</v>
      </c>
      <c r="C892" s="32" t="n">
        <f aca="false">INDEX(Panel_Reserving!$E$8:$E$68,$A892+1)*IF($A892&lt;$Q$888,INDEX(Surface_Engine!$E$12:$E$72,$A892+1),INDEX(Surface_Engine!$E$12:$E$72,$Q$888+1))</f>
        <v>0.927297197844477</v>
      </c>
      <c r="D892" s="32" t="n">
        <f aca="false">INDEX(Surface_Engine!$O$12:$O$72,$A892+1)*IF($A892&lt;$Q$888,INDEX(Surface_Engine!$Y$12:$Y$72,$A892+1),INDEX(Surface_Engine!$Y$12:$Y$72,$Q$888+1))</f>
        <v>0.894889382305423</v>
      </c>
      <c r="E892" s="32" t="n">
        <f aca="false">INDEX(Surface_Engine!$O$12:$O$72,$A892+1)*IF($A892&lt;$Q$888,INDEX(Surface_Engine!$Z$12:$Z$72,$A892+1),INDEX(Surface_Engine!$Z$12:$Z$72,$Q$888+1))</f>
        <v>0.954518278194512</v>
      </c>
      <c r="F892" s="48" t="n">
        <f aca="false">B892*(IF($A892&lt;$Q$888,INDEX(Surface_Engine!$D$12:$D$72,$A892+1)+(Surface_Engine!L244*12)*INDEX(Surface_Engine!$F$12:$F$72,$A892+1)-(Surface_Engine!L244*12),1000*12*INDEX(Surface_Engine!$C$12:$C$72,$A892+1)/(1+Assumptions!$B$10)^17+INDEX(Surface_Engine!$D$12:$D$72,$A892+1)))*INDEX(Surface_Engine!$B$12:$B$72,$A892+1)+F893</f>
        <v>1944.72111064679</v>
      </c>
      <c r="G892" s="48" t="n">
        <f aca="false">C892*(IF($A892&lt;$Q$888,INDEX(Surface_Engine!$D$12:$D$72,$A892+1)+(Surface_Engine!L244*12)*INDEX(Surface_Engine!$F$12:$F$72,$A892+1)-(Surface_Engine!L244*12),1000*12*INDEX(Surface_Engine!$C$12:$C$72,$A892+1)/(1+Assumptions!$B$10)^17+INDEX(Surface_Engine!$D$12:$D$72,$A892+1)))*INDEX(Surface_Engine!$B$12:$B$72,$A892+1)+G893</f>
        <v>8819.10798331028</v>
      </c>
      <c r="H892" s="48" t="n">
        <f aca="false">D892*(IF($A892&lt;$Q$888,INDEX(Surface_Engine!$D$12:$D$72,$A892+1)+(Surface_Engine!L244*12)*INDEX(Surface_Engine!$F$12:$F$72,$A892+1)-(Surface_Engine!L244*12),1000*12*INDEX(Surface_Engine!$C$12:$C$72,$A892+1)/(1+Assumptions!$B$10)^17+INDEX(Surface_Engine!$D$12:$D$72,$A892+1)))*INDEX(Surface_Engine!$B$12:$B$72,$A892+1)+H893</f>
        <v>448.006494674024</v>
      </c>
      <c r="I892" s="48" t="n">
        <f aca="false">E892*(IF($A892&lt;$Q$888,INDEX(Surface_Engine!$D$12:$D$72,$A892+1)+(Surface_Engine!L244*12)*INDEX(Surface_Engine!$F$12:$F$72,$A892+1)-(Surface_Engine!L244*12),1000*12*INDEX(Surface_Engine!$C$12:$C$72,$A892+1)/(1+Assumptions!$B$10)^17+INDEX(Surface_Engine!$D$12:$D$72,$A892+1)))*INDEX(Surface_Engine!$B$12:$B$72,$A892+1)+I893</f>
        <v>3683.04105437111</v>
      </c>
      <c r="J892" s="48" t="n">
        <f aca="false">B892*(IF($A892&lt;$Q$888,INDEX(Surface_Engine!$D$12:$D$72,$A892+1)*(1+Assumptions!$B$24)+(Surface_Engine!L244*12)*INDEX(Surface_Engine!$F$12:$F$72,$A892+1)-(Surface_Engine!L244*12),1000*12*INDEX(Surface_Engine!$C$12:$C$72,$A892+1)/(1+Assumptions!$B$10)^17+INDEX(Surface_Engine!$D$12:$D$72,$A892+1)*(1+Assumptions!$B$24)))*INDEX(Surface_Engine!$B$12:$B$72,$A892+1)+J893</f>
        <v>2073.25590390683</v>
      </c>
      <c r="K892" s="12" t="n">
        <f aca="false">SQRT((IF(C892&lt;=0,0,MAX(0,(B892/C892)*G892/INDEX(Surface_Engine!$B$12:$B$72,$A892+1)-F892/INDEX(Surface_Engine!$B$12:$B$72,$A892+1))))^2+(MAX(IF(D892&lt;=0,0,MAX(0,(B892/D892)*H892/INDEX(Surface_Engine!$B$12:$B$72,$A892+1)-F892/INDEX(Surface_Engine!$B$12:$B$72,$A892+1))),IF(E892&lt;=0,0,MAX(0,(B892/E892)*I892/INDEX(Surface_Engine!$B$12:$B$72,$A892+1)-F892/INDEX(Surface_Engine!$B$12:$B$72,$A892+1))),IF($A892&lt;$Q$888,MAX(0,-Assumptions!$B$22*(F892/INDEX(Surface_Engine!$B$12:$B$72,$A892+1))),0)))^2+(MAX(0,J892/INDEX(Surface_Engine!$B$12:$B$72,$A892+1)-(F892/INDEX(Surface_Engine!$B$12:$B$72,$A892+1))))^2+2*Assumptions!$B$26*(IF(C892&lt;=0,0,MAX(0,(B892/C892)*G892/INDEX(Surface_Engine!$B$12:$B$72,$A892+1)-F892/INDEX(Surface_Engine!$B$12:$B$72,$A892+1))))*(MAX(IF(D892&lt;=0,0,MAX(0,(B892/D892)*H892/INDEX(Surface_Engine!$B$12:$B$72,$A892+1)-F892/INDEX(Surface_Engine!$B$12:$B$72,$A892+1))),IF(E892&lt;=0,0,MAX(0,(B892/E892)*I892/INDEX(Surface_Engine!$B$12:$B$72,$A892+1)-F892/INDEX(Surface_Engine!$B$12:$B$72,$A892+1))),IF($A892&lt;$Q$888,MAX(0,-Assumptions!$B$22*(F892/INDEX(Surface_Engine!$B$12:$B$72,$A892+1))),0)))+2*Assumptions!$B$27*(IF(C892&lt;=0,0,MAX(0,(B892/C892)*G892/INDEX(Surface_Engine!$B$12:$B$72,$A892+1)-F892/INDEX(Surface_Engine!$B$12:$B$72,$A892+1))))*(MAX(0,J892/INDEX(Surface_Engine!$B$12:$B$72,$A892+1)-(F892/INDEX(Surface_Engine!$B$12:$B$72,$A892+1))))+2*Assumptions!$B$28*(MAX(IF(D892&lt;=0,0,MAX(0,(B892/D892)*H892/INDEX(Surface_Engine!$B$12:$B$72,$A892+1)-F892/INDEX(Surface_Engine!$B$12:$B$72,$A892+1))),IF(E892&lt;=0,0,MAX(0,(B892/E892)*I892/INDEX(Surface_Engine!$B$12:$B$72,$A892+1)-F892/INDEX(Surface_Engine!$B$12:$B$72,$A892+1))),IF($A892&lt;$Q$888,MAX(0,-Assumptions!$B$22*(F892/INDEX(Surface_Engine!$B$12:$B$72,$A892+1))),0)))*(MAX(0,J892/INDEX(Surface_Engine!$B$12:$B$72,$A892+1)-(F892/INDEX(Surface_Engine!$B$12:$B$72,$A892+1)))))</f>
        <v>7863.38352688236</v>
      </c>
      <c r="L892" s="48" t="n">
        <f aca="false">K892*INDEX(Surface_Engine!$B$12:$B$72,$A892+1)+L893</f>
        <v>134402.485569283</v>
      </c>
      <c r="M892" s="48" t="n">
        <f aca="false">M891+B891*(IF($A891&lt;$Q$888,(Surface_Engine!L244*12)-(Surface_Engine!L244*12)*INDEX(Surface_Engine!$F$12:$F$72,$A891+1)-INDEX(Surface_Engine!$D$12:$D$72,$A891+1),-(1000*12*INDEX(Surface_Engine!$C$12:$C$72,$A891+1)/(1+Assumptions!$B$10)^17+INDEX(Surface_Engine!$D$12:$D$72,$A891+1))))*INDEX(Surface_Engine!$B$12:$B$72,$A891+1)</f>
        <v>3224.63998240134</v>
      </c>
      <c r="N892" s="12" t="n">
        <f aca="false">IF(B892&lt;=0,0,MAX(0,(K892+Assumptions!$B$29*L892/INDEX(Surface_Engine!$B$12:$B$72,$A892+1)-(M892/INDEX(Surface_Engine!$B$12:$B$72,$A892+1)-(F892/INDEX(Surface_Engine!$B$12:$B$72,$A892+1))))/B892))</f>
        <v>16234.5190231305</v>
      </c>
    </row>
    <row r="893" customFormat="false" ht="15" hidden="false" customHeight="true" outlineLevel="0" collapsed="false">
      <c r="A893" s="1" t="n">
        <v>3</v>
      </c>
      <c r="B893" s="32" t="n">
        <f aca="false">INDEX(Surface_Engine!$O$12:$O$72,$A893+1)*IF($A893&lt;$Q$888,INDEX(Surface_Engine!$E$12:$E$72,$A893+1),INDEX(Surface_Engine!$E$12:$E$72,$Q$888+1))</f>
        <v>0.904008274691798</v>
      </c>
      <c r="C893" s="32" t="n">
        <f aca="false">INDEX(Panel_Reserving!$E$8:$E$68,$A893+1)*IF($A893&lt;$Q$888,INDEX(Surface_Engine!$E$12:$E$72,$A893+1),INDEX(Surface_Engine!$E$12:$E$72,$Q$888+1))</f>
        <v>0.908397899136424</v>
      </c>
      <c r="D893" s="32" t="n">
        <f aca="false">INDEX(Surface_Engine!$O$12:$O$72,$A893+1)*IF($A893&lt;$Q$888,INDEX(Surface_Engine!$Y$12:$Y$72,$A893+1),INDEX(Surface_Engine!$Y$12:$Y$72,$Q$888+1))</f>
        <v>0.869168768082069</v>
      </c>
      <c r="E893" s="32" t="n">
        <f aca="false">INDEX(Surface_Engine!$O$12:$O$72,$A893+1)*IF($A893&lt;$Q$888,INDEX(Surface_Engine!$Z$12:$Z$72,$A893+1),INDEX(Surface_Engine!$Z$12:$Z$72,$Q$888+1))</f>
        <v>0.939665040075677</v>
      </c>
      <c r="F893" s="48" t="n">
        <f aca="false">B893*(IF($A893&lt;$Q$888,INDEX(Surface_Engine!$D$12:$D$72,$A893+1)+(Surface_Engine!L244*12)*INDEX(Surface_Engine!$F$12:$F$72,$A893+1)-(Surface_Engine!L244*12),1000*12*INDEX(Surface_Engine!$C$12:$C$72,$A893+1)/(1+Assumptions!$B$10)^17+INDEX(Surface_Engine!$D$12:$D$72,$A893+1)))*INDEX(Surface_Engine!$B$12:$B$72,$A893+1)+F894</f>
        <v>5069.24283342063</v>
      </c>
      <c r="G893" s="48" t="n">
        <f aca="false">C893*(IF($A893&lt;$Q$888,INDEX(Surface_Engine!$D$12:$D$72,$A893+1)+(Surface_Engine!L244*12)*INDEX(Surface_Engine!$F$12:$F$72,$A893+1)-(Surface_Engine!L244*12),1000*12*INDEX(Surface_Engine!$C$12:$C$72,$A893+1)/(1+Assumptions!$B$10)^17+INDEX(Surface_Engine!$D$12:$D$72,$A893+1)))*INDEX(Surface_Engine!$B$12:$B$72,$A893+1)+G894</f>
        <v>11953.1278297458</v>
      </c>
      <c r="H893" s="48" t="n">
        <f aca="false">D893*(IF($A893&lt;$Q$888,INDEX(Surface_Engine!$D$12:$D$72,$A893+1)+(Surface_Engine!L244*12)*INDEX(Surface_Engine!$F$12:$F$72,$A893+1)-(Surface_Engine!L244*12),1000*12*INDEX(Surface_Engine!$C$12:$C$72,$A893+1)/(1+Assumptions!$B$10)^17+INDEX(Surface_Engine!$D$12:$D$72,$A893+1)))*INDEX(Surface_Engine!$B$12:$B$72,$A893+1)+H894</f>
        <v>3472.49647591088</v>
      </c>
      <c r="I893" s="48" t="n">
        <f aca="false">E893*(IF($A893&lt;$Q$888,INDEX(Surface_Engine!$D$12:$D$72,$A893+1)+(Surface_Engine!L244*12)*INDEX(Surface_Engine!$F$12:$F$72,$A893+1)-(Surface_Engine!L244*12),1000*12*INDEX(Surface_Engine!$C$12:$C$72,$A893+1)/(1+Assumptions!$B$10)^17+INDEX(Surface_Engine!$D$12:$D$72,$A893+1)))*INDEX(Surface_Engine!$B$12:$B$72,$A893+1)+I894</f>
        <v>6909.06096966993</v>
      </c>
      <c r="J893" s="48" t="n">
        <f aca="false">B893*(IF($A893&lt;$Q$888,INDEX(Surface_Engine!$D$12:$D$72,$A893+1)*(1+Assumptions!$B$24)+(Surface_Engine!L244*12)*INDEX(Surface_Engine!$F$12:$F$72,$A893+1)-(Surface_Engine!L244*12),1000*12*INDEX(Surface_Engine!$C$12:$C$72,$A893+1)/(1+Assumptions!$B$10)^17+INDEX(Surface_Engine!$D$12:$D$72,$A893+1)*(1+Assumptions!$B$24)))*INDEX(Surface_Engine!$B$12:$B$72,$A893+1)+J894</f>
        <v>5190.21543758835</v>
      </c>
      <c r="K893" s="12" t="n">
        <f aca="false">SQRT((IF(C893&lt;=0,0,MAX(0,(B893/C893)*G893/INDEX(Surface_Engine!$B$12:$B$72,$A893+1)-F893/INDEX(Surface_Engine!$B$12:$B$72,$A893+1))))^2+(MAX(IF(D893&lt;=0,0,MAX(0,(B893/D893)*H893/INDEX(Surface_Engine!$B$12:$B$72,$A893+1)-F893/INDEX(Surface_Engine!$B$12:$B$72,$A893+1))),IF(E893&lt;=0,0,MAX(0,(B893/E893)*I893/INDEX(Surface_Engine!$B$12:$B$72,$A893+1)-F893/INDEX(Surface_Engine!$B$12:$B$72,$A893+1))),IF($A893&lt;$Q$888,MAX(0,-Assumptions!$B$22*(F893/INDEX(Surface_Engine!$B$12:$B$72,$A893+1))),0)))^2+(MAX(0,J893/INDEX(Surface_Engine!$B$12:$B$72,$A893+1)-(F893/INDEX(Surface_Engine!$B$12:$B$72,$A893+1))))^2+2*Assumptions!$B$26*(IF(C893&lt;=0,0,MAX(0,(B893/C893)*G893/INDEX(Surface_Engine!$B$12:$B$72,$A893+1)-F893/INDEX(Surface_Engine!$B$12:$B$72,$A893+1))))*(MAX(IF(D893&lt;=0,0,MAX(0,(B893/D893)*H893/INDEX(Surface_Engine!$B$12:$B$72,$A893+1)-F893/INDEX(Surface_Engine!$B$12:$B$72,$A893+1))),IF(E893&lt;=0,0,MAX(0,(B893/E893)*I893/INDEX(Surface_Engine!$B$12:$B$72,$A893+1)-F893/INDEX(Surface_Engine!$B$12:$B$72,$A893+1))),IF($A893&lt;$Q$888,MAX(0,-Assumptions!$B$22*(F893/INDEX(Surface_Engine!$B$12:$B$72,$A893+1))),0)))+2*Assumptions!$B$27*(IF(C893&lt;=0,0,MAX(0,(B893/C893)*G893/INDEX(Surface_Engine!$B$12:$B$72,$A893+1)-F893/INDEX(Surface_Engine!$B$12:$B$72,$A893+1))))*(MAX(0,J893/INDEX(Surface_Engine!$B$12:$B$72,$A893+1)-(F893/INDEX(Surface_Engine!$B$12:$B$72,$A893+1))))+2*Assumptions!$B$28*(MAX(IF(D893&lt;=0,0,MAX(0,(B893/D893)*H893/INDEX(Surface_Engine!$B$12:$B$72,$A893+1)-F893/INDEX(Surface_Engine!$B$12:$B$72,$A893+1))),IF(E893&lt;=0,0,MAX(0,(B893/E893)*I893/INDEX(Surface_Engine!$B$12:$B$72,$A893+1)-F893/INDEX(Surface_Engine!$B$12:$B$72,$A893+1))),IF($A893&lt;$Q$888,MAX(0,-Assumptions!$B$22*(F893/INDEX(Surface_Engine!$B$12:$B$72,$A893+1))),0)))*(MAX(0,J893/INDEX(Surface_Engine!$B$12:$B$72,$A893+1)-(F893/INDEX(Surface_Engine!$B$12:$B$72,$A893+1)))))</f>
        <v>8021.85792100708</v>
      </c>
      <c r="L893" s="48" t="n">
        <f aca="false">K893*INDEX(Surface_Engine!$B$12:$B$72,$A893+1)+L894</f>
        <v>126936.370923669</v>
      </c>
      <c r="M893" s="48" t="n">
        <f aca="false">M892+B892*(IF($A892&lt;$Q$888,(Surface_Engine!L244*12)-(Surface_Engine!L244*12)*INDEX(Surface_Engine!$F$12:$F$72,$A892+1)-INDEX(Surface_Engine!$D$12:$D$72,$A892+1),-(1000*12*INDEX(Surface_Engine!$C$12:$C$72,$A892+1)/(1+Assumptions!$B$10)^17+INDEX(Surface_Engine!$D$12:$D$72,$A892+1))))*INDEX(Surface_Engine!$B$12:$B$72,$A892+1)</f>
        <v>6349.16170517518</v>
      </c>
      <c r="N893" s="12" t="n">
        <f aca="false">IF(B893&lt;=0,0,MAX(0,(K893+Assumptions!$B$29*L893/INDEX(Surface_Engine!$B$12:$B$72,$A893+1)-(M893/INDEX(Surface_Engine!$B$12:$B$72,$A893+1)-(F893/INDEX(Surface_Engine!$B$12:$B$72,$A893+1))))/B893))</f>
        <v>16449.0913634175</v>
      </c>
    </row>
    <row r="894" customFormat="false" ht="15" hidden="false" customHeight="true" outlineLevel="0" collapsed="false">
      <c r="A894" s="1" t="n">
        <v>4</v>
      </c>
      <c r="B894" s="32" t="n">
        <f aca="false">INDEX(Surface_Engine!$O$12:$O$72,$A894+1)*IF($A894&lt;$Q$888,INDEX(Surface_Engine!$E$12:$E$72,$A894+1),INDEX(Surface_Engine!$E$12:$E$72,$Q$888+1))</f>
        <v>0.883164776935926</v>
      </c>
      <c r="C894" s="32" t="n">
        <f aca="false">INDEX(Panel_Reserving!$E$8:$E$68,$A894+1)*IF($A894&lt;$Q$888,INDEX(Surface_Engine!$E$12:$E$72,$A894+1),INDEX(Surface_Engine!$E$12:$E$72,$Q$888+1))</f>
        <v>0.889225794121993</v>
      </c>
      <c r="D894" s="32" t="n">
        <f aca="false">INDEX(Surface_Engine!$O$12:$O$72,$A894+1)*IF($A894&lt;$Q$888,INDEX(Surface_Engine!$Y$12:$Y$72,$A894+1),INDEX(Surface_Engine!$Y$12:$Y$72,$Q$888+1))</f>
        <v>0.843405737927717</v>
      </c>
      <c r="E894" s="32" t="n">
        <f aca="false">INDEX(Surface_Engine!$O$12:$O$72,$A894+1)*IF($A894&lt;$Q$888,INDEX(Surface_Engine!$Z$12:$Z$72,$A894+1),INDEX(Surface_Engine!$Z$12:$Z$72,$Q$888+1))</f>
        <v>0.924186395968513</v>
      </c>
      <c r="F894" s="48" t="n">
        <f aca="false">B894*(IF($A894&lt;$Q$888,INDEX(Surface_Engine!$D$12:$D$72,$A894+1)+(Surface_Engine!L244*12)*INDEX(Surface_Engine!$F$12:$F$72,$A894+1)-(Surface_Engine!L244*12),1000*12*INDEX(Surface_Engine!$C$12:$C$72,$A894+1)/(1+Assumptions!$B$10)^17+INDEX(Surface_Engine!$D$12:$D$72,$A894+1)))*INDEX(Surface_Engine!$B$12:$B$72,$A894+1)+F895</f>
        <v>8044.74542424924</v>
      </c>
      <c r="G894" s="48" t="n">
        <f aca="false">C894*(IF($A894&lt;$Q$888,INDEX(Surface_Engine!$D$12:$D$72,$A894+1)+(Surface_Engine!L244*12)*INDEX(Surface_Engine!$F$12:$F$72,$A894+1)-(Surface_Engine!L244*12),1000*12*INDEX(Surface_Engine!$C$12:$C$72,$A894+1)/(1+Assumptions!$B$10)^17+INDEX(Surface_Engine!$D$12:$D$72,$A894+1)))*INDEX(Surface_Engine!$B$12:$B$72,$A894+1)+G895</f>
        <v>14943.078672071</v>
      </c>
      <c r="H894" s="48" t="n">
        <f aca="false">D894*(IF($A894&lt;$Q$888,INDEX(Surface_Engine!$D$12:$D$72,$A894+1)+(Surface_Engine!L244*12)*INDEX(Surface_Engine!$F$12:$F$72,$A894+1)-(Surface_Engine!L244*12),1000*12*INDEX(Surface_Engine!$C$12:$C$72,$A894+1)/(1+Assumptions!$B$10)^17+INDEX(Surface_Engine!$D$12:$D$72,$A894+1)))*INDEX(Surface_Engine!$B$12:$B$72,$A894+1)+H895</f>
        <v>6333.32639716046</v>
      </c>
      <c r="I894" s="48" t="n">
        <f aca="false">E894*(IF($A894&lt;$Q$888,INDEX(Surface_Engine!$D$12:$D$72,$A894+1)+(Surface_Engine!L244*12)*INDEX(Surface_Engine!$F$12:$F$72,$A894+1)-(Surface_Engine!L244*12),1000*12*INDEX(Surface_Engine!$C$12:$C$72,$A894+1)/(1+Assumptions!$B$10)^17+INDEX(Surface_Engine!$D$12:$D$72,$A894+1)))*INDEX(Surface_Engine!$B$12:$B$72,$A894+1)+I895</f>
        <v>10001.9262005877</v>
      </c>
      <c r="J894" s="48" t="n">
        <f aca="false">B894*(IF($A894&lt;$Q$888,INDEX(Surface_Engine!$D$12:$D$72,$A894+1)*(1+Assumptions!$B$24)+(Surface_Engine!L244*12)*INDEX(Surface_Engine!$F$12:$F$72,$A894+1)-(Surface_Engine!L244*12),1000*12*INDEX(Surface_Engine!$C$12:$C$72,$A894+1)/(1+Assumptions!$B$10)^17+INDEX(Surface_Engine!$D$12:$D$72,$A894+1)*(1+Assumptions!$B$24)))*INDEX(Surface_Engine!$B$12:$B$72,$A894+1)+J895</f>
        <v>8158.33199888892</v>
      </c>
      <c r="K894" s="12" t="n">
        <f aca="false">SQRT((IF(C894&lt;=0,0,MAX(0,(B894/C894)*G894/INDEX(Surface_Engine!$B$12:$B$72,$A894+1)-F894/INDEX(Surface_Engine!$B$12:$B$72,$A894+1))))^2+(MAX(IF(D894&lt;=0,0,MAX(0,(B894/D894)*H894/INDEX(Surface_Engine!$B$12:$B$72,$A894+1)-F894/INDEX(Surface_Engine!$B$12:$B$72,$A894+1))),IF(E894&lt;=0,0,MAX(0,(B894/E894)*I894/INDEX(Surface_Engine!$B$12:$B$72,$A894+1)-F894/INDEX(Surface_Engine!$B$12:$B$72,$A894+1))),IF($A894&lt;$Q$888,MAX(0,-Assumptions!$B$22*(F894/INDEX(Surface_Engine!$B$12:$B$72,$A894+1))),0)))^2+(MAX(0,J894/INDEX(Surface_Engine!$B$12:$B$72,$A894+1)-(F894/INDEX(Surface_Engine!$B$12:$B$72,$A894+1))))^2+2*Assumptions!$B$26*(IF(C894&lt;=0,0,MAX(0,(B894/C894)*G894/INDEX(Surface_Engine!$B$12:$B$72,$A894+1)-F894/INDEX(Surface_Engine!$B$12:$B$72,$A894+1))))*(MAX(IF(D894&lt;=0,0,MAX(0,(B894/D894)*H894/INDEX(Surface_Engine!$B$12:$B$72,$A894+1)-F894/INDEX(Surface_Engine!$B$12:$B$72,$A894+1))),IF(E894&lt;=0,0,MAX(0,(B894/E894)*I894/INDEX(Surface_Engine!$B$12:$B$72,$A894+1)-F894/INDEX(Surface_Engine!$B$12:$B$72,$A894+1))),IF($A894&lt;$Q$888,MAX(0,-Assumptions!$B$22*(F894/INDEX(Surface_Engine!$B$12:$B$72,$A894+1))),0)))+2*Assumptions!$B$27*(IF(C894&lt;=0,0,MAX(0,(B894/C894)*G894/INDEX(Surface_Engine!$B$12:$B$72,$A894+1)-F894/INDEX(Surface_Engine!$B$12:$B$72,$A894+1))))*(MAX(0,J894/INDEX(Surface_Engine!$B$12:$B$72,$A894+1)-(F894/INDEX(Surface_Engine!$B$12:$B$72,$A894+1))))+2*Assumptions!$B$28*(MAX(IF(D894&lt;=0,0,MAX(0,(B894/D894)*H894/INDEX(Surface_Engine!$B$12:$B$72,$A894+1)-F894/INDEX(Surface_Engine!$B$12:$B$72,$A894+1))),IF(E894&lt;=0,0,MAX(0,(B894/E894)*I894/INDEX(Surface_Engine!$B$12:$B$72,$A894+1)-F894/INDEX(Surface_Engine!$B$12:$B$72,$A894+1))),IF($A894&lt;$Q$888,MAX(0,-Assumptions!$B$22*(F894/INDEX(Surface_Engine!$B$12:$B$72,$A894+1))),0)))*(MAX(0,J894/INDEX(Surface_Engine!$B$12:$B$72,$A894+1)-(F894/INDEX(Surface_Engine!$B$12:$B$72,$A894+1)))))</f>
        <v>8169.18740069898</v>
      </c>
      <c r="L894" s="48" t="n">
        <f aca="false">K894*INDEX(Surface_Engine!$B$12:$B$72,$A894+1)+L895</f>
        <v>119514.24785983</v>
      </c>
      <c r="M894" s="48" t="n">
        <f aca="false">M893+B893*(IF($A893&lt;$Q$888,(Surface_Engine!L244*12)-(Surface_Engine!L244*12)*INDEX(Surface_Engine!$F$12:$F$72,$A893+1)-INDEX(Surface_Engine!$D$12:$D$72,$A893+1),-(1000*12*INDEX(Surface_Engine!$C$12:$C$72,$A893+1)/(1+Assumptions!$B$10)^17+INDEX(Surface_Engine!$D$12:$D$72,$A893+1))))*INDEX(Surface_Engine!$B$12:$B$72,$A893+1)</f>
        <v>9324.66429600379</v>
      </c>
      <c r="N894" s="12" t="n">
        <f aca="false">IF(B894&lt;=0,0,MAX(0,(K894+Assumptions!$B$29*L894/INDEX(Surface_Engine!$B$12:$B$72,$A894+1)-(M894/INDEX(Surface_Engine!$B$12:$B$72,$A894+1)-(F894/INDEX(Surface_Engine!$B$12:$B$72,$A894+1))))/B894))</f>
        <v>16651.7714551967</v>
      </c>
    </row>
    <row r="895" customFormat="false" ht="15" hidden="false" customHeight="true" outlineLevel="0" collapsed="false">
      <c r="A895" s="1" t="n">
        <v>5</v>
      </c>
      <c r="B895" s="32" t="n">
        <f aca="false">INDEX(Surface_Engine!$O$12:$O$72,$A895+1)*IF($A895&lt;$Q$888,INDEX(Surface_Engine!$E$12:$E$72,$A895+1),INDEX(Surface_Engine!$E$12:$E$72,$Q$888+1))</f>
        <v>0.861889437947002</v>
      </c>
      <c r="C895" s="32" t="n">
        <f aca="false">INDEX(Panel_Reserving!$E$8:$E$68,$A895+1)*IF($A895&lt;$Q$888,INDEX(Surface_Engine!$E$12:$E$72,$A895+1),INDEX(Surface_Engine!$E$12:$E$72,$Q$888+1))</f>
        <v>0.869723374946982</v>
      </c>
      <c r="D895" s="32" t="n">
        <f aca="false">INDEX(Surface_Engine!$O$12:$O$72,$A895+1)*IF($A895&lt;$Q$888,INDEX(Surface_Engine!$Y$12:$Y$72,$A895+1),INDEX(Surface_Engine!$Y$12:$Y$72,$Q$888+1))</f>
        <v>0.817540873903783</v>
      </c>
      <c r="E895" s="32" t="n">
        <f aca="false">INDEX(Surface_Engine!$O$12:$O$72,$A895+1)*IF($A895&lt;$Q$888,INDEX(Surface_Engine!$Z$12:$Z$72,$A895+1),INDEX(Surface_Engine!$Z$12:$Z$72,$Q$888+1))</f>
        <v>0.908001483618589</v>
      </c>
      <c r="F895" s="48" t="n">
        <f aca="false">B895*(IF($A895&lt;$Q$888,INDEX(Surface_Engine!$D$12:$D$72,$A895+1)+(Surface_Engine!L244*12)*INDEX(Surface_Engine!$F$12:$F$72,$A895+1)-(Surface_Engine!L244*12),1000*12*INDEX(Surface_Engine!$C$12:$C$72,$A895+1)/(1+Assumptions!$B$10)^17+INDEX(Surface_Engine!$D$12:$D$72,$A895+1)))*INDEX(Surface_Engine!$B$12:$B$72,$A895+1)+F896</f>
        <v>10874.2344611492</v>
      </c>
      <c r="G895" s="48" t="n">
        <f aca="false">C895*(IF($A895&lt;$Q$888,INDEX(Surface_Engine!$D$12:$D$72,$A895+1)+(Surface_Engine!L244*12)*INDEX(Surface_Engine!$F$12:$F$72,$A895+1)-(Surface_Engine!L244*12),1000*12*INDEX(Surface_Engine!$C$12:$C$72,$A895+1)/(1+Assumptions!$B$10)^17+INDEX(Surface_Engine!$D$12:$D$72,$A895+1)))*INDEX(Surface_Engine!$B$12:$B$72,$A895+1)+G896</f>
        <v>17791.9860351184</v>
      </c>
      <c r="H895" s="48" t="n">
        <f aca="false">D895*(IF($A895&lt;$Q$888,INDEX(Surface_Engine!$D$12:$D$72,$A895+1)+(Surface_Engine!L244*12)*INDEX(Surface_Engine!$F$12:$F$72,$A895+1)-(Surface_Engine!L244*12),1000*12*INDEX(Surface_Engine!$C$12:$C$72,$A895+1)/(1+Assumptions!$B$10)^17+INDEX(Surface_Engine!$D$12:$D$72,$A895+1)))*INDEX(Surface_Engine!$B$12:$B$72,$A895+1)+H896</f>
        <v>9035.43516717333</v>
      </c>
      <c r="I895" s="48" t="n">
        <f aca="false">E895*(IF($A895&lt;$Q$888,INDEX(Surface_Engine!$D$12:$D$72,$A895+1)+(Surface_Engine!L244*12)*INDEX(Surface_Engine!$F$12:$F$72,$A895+1)-(Surface_Engine!L244*12),1000*12*INDEX(Surface_Engine!$C$12:$C$72,$A895+1)/(1+Assumptions!$B$10)^17+INDEX(Surface_Engine!$D$12:$D$72,$A895+1)))*INDEX(Surface_Engine!$B$12:$B$72,$A895+1)+I896</f>
        <v>12962.8405664408</v>
      </c>
      <c r="J895" s="48" t="n">
        <f aca="false">B895*(IF($A895&lt;$Q$888,INDEX(Surface_Engine!$D$12:$D$72,$A895+1)*(1+Assumptions!$B$24)+(Surface_Engine!L244*12)*INDEX(Surface_Engine!$F$12:$F$72,$A895+1)-(Surface_Engine!L244*12),1000*12*INDEX(Surface_Engine!$C$12:$C$72,$A895+1)/(1+Assumptions!$B$10)^17+INDEX(Surface_Engine!$D$12:$D$72,$A895+1)*(1+Assumptions!$B$24)))*INDEX(Surface_Engine!$B$12:$B$72,$A895+1)+J896</f>
        <v>10980.6173927939</v>
      </c>
      <c r="K895" s="12" t="n">
        <f aca="false">SQRT((IF(C895&lt;=0,0,MAX(0,(B895/C895)*G895/INDEX(Surface_Engine!$B$12:$B$72,$A895+1)-F895/INDEX(Surface_Engine!$B$12:$B$72,$A895+1))))^2+(MAX(IF(D895&lt;=0,0,MAX(0,(B895/D895)*H895/INDEX(Surface_Engine!$B$12:$B$72,$A895+1)-F895/INDEX(Surface_Engine!$B$12:$B$72,$A895+1))),IF(E895&lt;=0,0,MAX(0,(B895/E895)*I895/INDEX(Surface_Engine!$B$12:$B$72,$A895+1)-F895/INDEX(Surface_Engine!$B$12:$B$72,$A895+1))),IF($A895&lt;$Q$888,MAX(0,-Assumptions!$B$22*(F895/INDEX(Surface_Engine!$B$12:$B$72,$A895+1))),0)))^2+(MAX(0,J895/INDEX(Surface_Engine!$B$12:$B$72,$A895+1)-(F895/INDEX(Surface_Engine!$B$12:$B$72,$A895+1))))^2+2*Assumptions!$B$26*(IF(C895&lt;=0,0,MAX(0,(B895/C895)*G895/INDEX(Surface_Engine!$B$12:$B$72,$A895+1)-F895/INDEX(Surface_Engine!$B$12:$B$72,$A895+1))))*(MAX(IF(D895&lt;=0,0,MAX(0,(B895/D895)*H895/INDEX(Surface_Engine!$B$12:$B$72,$A895+1)-F895/INDEX(Surface_Engine!$B$12:$B$72,$A895+1))),IF(E895&lt;=0,0,MAX(0,(B895/E895)*I895/INDEX(Surface_Engine!$B$12:$B$72,$A895+1)-F895/INDEX(Surface_Engine!$B$12:$B$72,$A895+1))),IF($A895&lt;$Q$888,MAX(0,-Assumptions!$B$22*(F895/INDEX(Surface_Engine!$B$12:$B$72,$A895+1))),0)))+2*Assumptions!$B$27*(IF(C895&lt;=0,0,MAX(0,(B895/C895)*G895/INDEX(Surface_Engine!$B$12:$B$72,$A895+1)-F895/INDEX(Surface_Engine!$B$12:$B$72,$A895+1))))*(MAX(0,J895/INDEX(Surface_Engine!$B$12:$B$72,$A895+1)-(F895/INDEX(Surface_Engine!$B$12:$B$72,$A895+1))))+2*Assumptions!$B$28*(MAX(IF(D895&lt;=0,0,MAX(0,(B895/D895)*H895/INDEX(Surface_Engine!$B$12:$B$72,$A895+1)-F895/INDEX(Surface_Engine!$B$12:$B$72,$A895+1))),IF(E895&lt;=0,0,MAX(0,(B895/E895)*I895/INDEX(Surface_Engine!$B$12:$B$72,$A895+1)-F895/INDEX(Surface_Engine!$B$12:$B$72,$A895+1))),IF($A895&lt;$Q$888,MAX(0,-Assumptions!$B$22*(F895/INDEX(Surface_Engine!$B$12:$B$72,$A895+1))),0)))*(MAX(0,J895/INDEX(Surface_Engine!$B$12:$B$72,$A895+1)-(F895/INDEX(Surface_Engine!$B$12:$B$72,$A895+1)))))</f>
        <v>8309.99437105555</v>
      </c>
      <c r="L895" s="48" t="n">
        <f aca="false">K895*INDEX(Surface_Engine!$B$12:$B$72,$A895+1)+L896</f>
        <v>112152.516140832</v>
      </c>
      <c r="M895" s="48" t="n">
        <f aca="false">M894+B894*(IF($A894&lt;$Q$888,(Surface_Engine!L244*12)-(Surface_Engine!L244*12)*INDEX(Surface_Engine!$F$12:$F$72,$A894+1)-INDEX(Surface_Engine!$D$12:$D$72,$A894+1),-(1000*12*INDEX(Surface_Engine!$C$12:$C$72,$A894+1)/(1+Assumptions!$B$10)^17+INDEX(Surface_Engine!$D$12:$D$72,$A894+1))))*INDEX(Surface_Engine!$B$12:$B$72,$A894+1)</f>
        <v>12154.1533329038</v>
      </c>
      <c r="N895" s="12" t="n">
        <f aca="false">IF(B895&lt;=0,0,MAX(0,(K895+Assumptions!$B$29*L895/INDEX(Surface_Engine!$B$12:$B$72,$A895+1)-(M895/INDEX(Surface_Engine!$B$12:$B$72,$A895+1)-(F895/INDEX(Surface_Engine!$B$12:$B$72,$A895+1))))/B895))</f>
        <v>16854.0113608377</v>
      </c>
    </row>
    <row r="896" customFormat="false" ht="15" hidden="false" customHeight="true" outlineLevel="0" collapsed="false">
      <c r="A896" s="1" t="n">
        <v>6</v>
      </c>
      <c r="B896" s="32" t="n">
        <f aca="false">INDEX(Surface_Engine!$O$12:$O$72,$A896+1)*IF($A896&lt;$Q$888,INDEX(Surface_Engine!$E$12:$E$72,$A896+1),INDEX(Surface_Engine!$E$12:$E$72,$Q$888+1))</f>
        <v>0.843686875261664</v>
      </c>
      <c r="C896" s="32" t="n">
        <f aca="false">INDEX(Panel_Reserving!$E$8:$E$68,$A896+1)*IF($A896&lt;$Q$888,INDEX(Surface_Engine!$E$12:$E$72,$A896+1),INDEX(Surface_Engine!$E$12:$E$72,$Q$888+1))</f>
        <v>0.853446069999635</v>
      </c>
      <c r="D896" s="32" t="n">
        <f aca="false">INDEX(Surface_Engine!$O$12:$O$72,$A896+1)*IF($A896&lt;$Q$888,INDEX(Surface_Engine!$Y$12:$Y$72,$A896+1),INDEX(Surface_Engine!$Y$12:$Y$72,$Q$888+1))</f>
        <v>0.79660023439674</v>
      </c>
      <c r="E896" s="32" t="n">
        <f aca="false">INDEX(Surface_Engine!$O$12:$O$72,$A896+1)*IF($A896&lt;$Q$888,INDEX(Surface_Engine!$Z$12:$Z$72,$A896+1),INDEX(Surface_Engine!$Z$12:$Z$72,$Q$888+1))</f>
        <v>0.892906357352133</v>
      </c>
      <c r="F896" s="48" t="n">
        <f aca="false">B896*(IF($A896&lt;$Q$888,INDEX(Surface_Engine!$D$12:$D$72,$A896+1)+(Surface_Engine!L244*12)*INDEX(Surface_Engine!$F$12:$F$72,$A896+1)-(Surface_Engine!L244*12),1000*12*INDEX(Surface_Engine!$C$12:$C$72,$A896+1)/(1+Assumptions!$B$10)^17+INDEX(Surface_Engine!$D$12:$D$72,$A896+1)))*INDEX(Surface_Engine!$B$12:$B$72,$A896+1)+F897</f>
        <v>13558.6116479527</v>
      </c>
      <c r="G896" s="48" t="n">
        <f aca="false">C896*(IF($A896&lt;$Q$888,INDEX(Surface_Engine!$D$12:$D$72,$A896+1)+(Surface_Engine!L244*12)*INDEX(Surface_Engine!$F$12:$F$72,$A896+1)-(Surface_Engine!L244*12),1000*12*INDEX(Surface_Engine!$C$12:$C$72,$A896+1)/(1+Assumptions!$B$10)^17+INDEX(Surface_Engine!$D$12:$D$72,$A896+1)))*INDEX(Surface_Engine!$B$12:$B$72,$A896+1)+G897</f>
        <v>20500.7622235104</v>
      </c>
      <c r="H896" s="48" t="n">
        <f aca="false">D896*(IF($A896&lt;$Q$888,INDEX(Surface_Engine!$D$12:$D$72,$A896+1)+(Surface_Engine!L244*12)*INDEX(Surface_Engine!$F$12:$F$72,$A896+1)-(Surface_Engine!L244*12),1000*12*INDEX(Surface_Engine!$C$12:$C$72,$A896+1)/(1+Assumptions!$B$10)^17+INDEX(Surface_Engine!$D$12:$D$72,$A896+1)))*INDEX(Surface_Engine!$B$12:$B$72,$A896+1)+H897</f>
        <v>11581.6875918626</v>
      </c>
      <c r="I896" s="48" t="n">
        <f aca="false">E896*(IF($A896&lt;$Q$888,INDEX(Surface_Engine!$D$12:$D$72,$A896+1)+(Surface_Engine!L244*12)*INDEX(Surface_Engine!$F$12:$F$72,$A896+1)-(Surface_Engine!L244*12),1000*12*INDEX(Surface_Engine!$C$12:$C$72,$A896+1)/(1+Assumptions!$B$10)^17+INDEX(Surface_Engine!$D$12:$D$72,$A896+1)))*INDEX(Surface_Engine!$B$12:$B$72,$A896+1)+I897</f>
        <v>15790.8349249925</v>
      </c>
      <c r="J896" s="48" t="n">
        <f aca="false">B896*(IF($A896&lt;$Q$888,INDEX(Surface_Engine!$D$12:$D$72,$A896+1)*(1+Assumptions!$B$24)+(Surface_Engine!L244*12)*INDEX(Surface_Engine!$F$12:$F$72,$A896+1)-(Surface_Engine!L244*12),1000*12*INDEX(Surface_Engine!$C$12:$C$72,$A896+1)/(1+Assumptions!$B$10)^17+INDEX(Surface_Engine!$D$12:$D$72,$A896+1)*(1+Assumptions!$B$24)))*INDEX(Surface_Engine!$B$12:$B$72,$A896+1)+J897</f>
        <v>13657.9850628449</v>
      </c>
      <c r="K896" s="12" t="n">
        <f aca="false">SQRT((IF(C896&lt;=0,0,MAX(0,(B896/C896)*G896/INDEX(Surface_Engine!$B$12:$B$72,$A896+1)-F896/INDEX(Surface_Engine!$B$12:$B$72,$A896+1))))^2+(MAX(IF(D896&lt;=0,0,MAX(0,(B896/D896)*H896/INDEX(Surface_Engine!$B$12:$B$72,$A896+1)-F896/INDEX(Surface_Engine!$B$12:$B$72,$A896+1))),IF(E896&lt;=0,0,MAX(0,(B896/E896)*I896/INDEX(Surface_Engine!$B$12:$B$72,$A896+1)-F896/INDEX(Surface_Engine!$B$12:$B$72,$A896+1))),IF($A896&lt;$Q$888,MAX(0,-Assumptions!$B$22*(F896/INDEX(Surface_Engine!$B$12:$B$72,$A896+1))),0)))^2+(MAX(0,J896/INDEX(Surface_Engine!$B$12:$B$72,$A896+1)-(F896/INDEX(Surface_Engine!$B$12:$B$72,$A896+1))))^2+2*Assumptions!$B$26*(IF(C896&lt;=0,0,MAX(0,(B896/C896)*G896/INDEX(Surface_Engine!$B$12:$B$72,$A896+1)-F896/INDEX(Surface_Engine!$B$12:$B$72,$A896+1))))*(MAX(IF(D896&lt;=0,0,MAX(0,(B896/D896)*H896/INDEX(Surface_Engine!$B$12:$B$72,$A896+1)-F896/INDEX(Surface_Engine!$B$12:$B$72,$A896+1))),IF(E896&lt;=0,0,MAX(0,(B896/E896)*I896/INDEX(Surface_Engine!$B$12:$B$72,$A896+1)-F896/INDEX(Surface_Engine!$B$12:$B$72,$A896+1))),IF($A896&lt;$Q$888,MAX(0,-Assumptions!$B$22*(F896/INDEX(Surface_Engine!$B$12:$B$72,$A896+1))),0)))+2*Assumptions!$B$27*(IF(C896&lt;=0,0,MAX(0,(B896/C896)*G896/INDEX(Surface_Engine!$B$12:$B$72,$A896+1)-F896/INDEX(Surface_Engine!$B$12:$B$72,$A896+1))))*(MAX(0,J896/INDEX(Surface_Engine!$B$12:$B$72,$A896+1)-(F896/INDEX(Surface_Engine!$B$12:$B$72,$A896+1))))+2*Assumptions!$B$28*(MAX(IF(D896&lt;=0,0,MAX(0,(B896/D896)*H896/INDEX(Surface_Engine!$B$12:$B$72,$A896+1)-F896/INDEX(Surface_Engine!$B$12:$B$72,$A896+1))),IF(E896&lt;=0,0,MAX(0,(B896/E896)*I896/INDEX(Surface_Engine!$B$12:$B$72,$A896+1)-F896/INDEX(Surface_Engine!$B$12:$B$72,$A896+1))),IF($A896&lt;$Q$888,MAX(0,-Assumptions!$B$22*(F896/INDEX(Surface_Engine!$B$12:$B$72,$A896+1))),0)))*(MAX(0,J896/INDEX(Surface_Engine!$B$12:$B$72,$A896+1)-(F896/INDEX(Surface_Engine!$B$12:$B$72,$A896+1)))))</f>
        <v>8455.36677390832</v>
      </c>
      <c r="L896" s="48" t="n">
        <f aca="false">K896*INDEX(Surface_Engine!$B$12:$B$72,$A896+1)+L897</f>
        <v>104867.943647122</v>
      </c>
      <c r="M896" s="48" t="n">
        <f aca="false">M895+B895*(IF($A895&lt;$Q$888,(Surface_Engine!L244*12)-(Surface_Engine!L244*12)*INDEX(Surface_Engine!$F$12:$F$72,$A895+1)-INDEX(Surface_Engine!$D$12:$D$72,$A895+1),-(1000*12*INDEX(Surface_Engine!$C$12:$C$72,$A895+1)/(1+Assumptions!$B$10)^17+INDEX(Surface_Engine!$D$12:$D$72,$A895+1))))*INDEX(Surface_Engine!$B$12:$B$72,$A895+1)</f>
        <v>14838.5305197072</v>
      </c>
      <c r="N896" s="12" t="n">
        <f aca="false">IF(B896&lt;=0,0,MAX(0,(K896+Assumptions!$B$29*L896/INDEX(Surface_Engine!$B$12:$B$72,$A896+1)-(M896/INDEX(Surface_Engine!$B$12:$B$72,$A896+1)-(F896/INDEX(Surface_Engine!$B$12:$B$72,$A896+1))))/B896))</f>
        <v>16994.9037949001</v>
      </c>
    </row>
    <row r="897" customFormat="false" ht="15" hidden="false" customHeight="true" outlineLevel="0" collapsed="false">
      <c r="A897" s="1" t="n">
        <v>7</v>
      </c>
      <c r="B897" s="32" t="n">
        <f aca="false">INDEX(Surface_Engine!$O$12:$O$72,$A897+1)*IF($A897&lt;$Q$888,INDEX(Surface_Engine!$E$12:$E$72,$A897+1),INDEX(Surface_Engine!$E$12:$E$72,$Q$888+1))</f>
        <v>0.824731058261812</v>
      </c>
      <c r="C897" s="32" t="n">
        <f aca="false">INDEX(Panel_Reserving!$E$8:$E$68,$A897+1)*IF($A897&lt;$Q$888,INDEX(Surface_Engine!$E$12:$E$72,$A897+1),INDEX(Surface_Engine!$E$12:$E$72,$Q$888+1))</f>
        <v>0.836552730175345</v>
      </c>
      <c r="D897" s="32" t="n">
        <f aca="false">INDEX(Surface_Engine!$O$12:$O$72,$A897+1)*IF($A897&lt;$Q$888,INDEX(Surface_Engine!$Y$12:$Y$72,$A897+1),INDEX(Surface_Engine!$Y$12:$Y$72,$Q$888+1))</f>
        <v>0.775126718274485</v>
      </c>
      <c r="E897" s="32" t="n">
        <f aca="false">INDEX(Surface_Engine!$O$12:$O$72,$A897+1)*IF($A897&lt;$Q$888,INDEX(Surface_Engine!$Z$12:$Z$72,$A897+1),INDEX(Surface_Engine!$Z$12:$Z$72,$Q$888+1))</f>
        <v>0.876852600526584</v>
      </c>
      <c r="F897" s="48" t="n">
        <f aca="false">B897*(IF($A897&lt;$Q$888,INDEX(Surface_Engine!$D$12:$D$72,$A897+1)+(Surface_Engine!L244*12)*INDEX(Surface_Engine!$F$12:$F$72,$A897+1)-(Surface_Engine!L244*12),1000*12*INDEX(Surface_Engine!$C$12:$C$72,$A897+1)/(1+Assumptions!$B$10)^17+INDEX(Surface_Engine!$D$12:$D$72,$A897+1)))*INDEX(Surface_Engine!$B$12:$B$72,$A897+1)+F898</f>
        <v>16110.7924531699</v>
      </c>
      <c r="G897" s="48" t="n">
        <f aca="false">C897*(IF($A897&lt;$Q$888,INDEX(Surface_Engine!$D$12:$D$72,$A897+1)+(Surface_Engine!L244*12)*INDEX(Surface_Engine!$F$12:$F$72,$A897+1)-(Surface_Engine!L244*12),1000*12*INDEX(Surface_Engine!$C$12:$C$72,$A897+1)/(1+Assumptions!$B$10)^17+INDEX(Surface_Engine!$D$12:$D$72,$A897+1)))*INDEX(Surface_Engine!$B$12:$B$72,$A897+1)+G898</f>
        <v>23082.4649167822</v>
      </c>
      <c r="H897" s="48" t="n">
        <f aca="false">D897*(IF($A897&lt;$Q$888,INDEX(Surface_Engine!$D$12:$D$72,$A897+1)+(Surface_Engine!L244*12)*INDEX(Surface_Engine!$F$12:$F$72,$A897+1)-(Surface_Engine!L244*12),1000*12*INDEX(Surface_Engine!$C$12:$C$72,$A897+1)/(1+Assumptions!$B$10)^17+INDEX(Surface_Engine!$D$12:$D$72,$A897+1)))*INDEX(Surface_Engine!$B$12:$B$72,$A897+1)+H898</f>
        <v>13991.4297453463</v>
      </c>
      <c r="I897" s="48" t="n">
        <f aca="false">E897*(IF($A897&lt;$Q$888,INDEX(Surface_Engine!$D$12:$D$72,$A897+1)+(Surface_Engine!L244*12)*INDEX(Surface_Engine!$F$12:$F$72,$A897+1)-(Surface_Engine!L244*12),1000*12*INDEX(Surface_Engine!$C$12:$C$72,$A897+1)/(1+Assumptions!$B$10)^17+INDEX(Surface_Engine!$D$12:$D$72,$A897+1)))*INDEX(Surface_Engine!$B$12:$B$72,$A897+1)+I898</f>
        <v>18491.9062974537</v>
      </c>
      <c r="J897" s="48" t="n">
        <f aca="false">B897*(IF($A897&lt;$Q$888,INDEX(Surface_Engine!$D$12:$D$72,$A897+1)*(1+Assumptions!$B$24)+(Surface_Engine!L244*12)*INDEX(Surface_Engine!$F$12:$F$72,$A897+1)-(Surface_Engine!L244*12),1000*12*INDEX(Surface_Engine!$C$12:$C$72,$A897+1)/(1+Assumptions!$B$10)^17+INDEX(Surface_Engine!$D$12:$D$72,$A897+1)*(1+Assumptions!$B$24)))*INDEX(Surface_Engine!$B$12:$B$72,$A897+1)+J898</f>
        <v>16203.3304757591</v>
      </c>
      <c r="K897" s="12" t="n">
        <f aca="false">SQRT((IF(C897&lt;=0,0,MAX(0,(B897/C897)*G897/INDEX(Surface_Engine!$B$12:$B$72,$A897+1)-F897/INDEX(Surface_Engine!$B$12:$B$72,$A897+1))))^2+(MAX(IF(D897&lt;=0,0,MAX(0,(B897/D897)*H897/INDEX(Surface_Engine!$B$12:$B$72,$A897+1)-F897/INDEX(Surface_Engine!$B$12:$B$72,$A897+1))),IF(E897&lt;=0,0,MAX(0,(B897/E897)*I897/INDEX(Surface_Engine!$B$12:$B$72,$A897+1)-F897/INDEX(Surface_Engine!$B$12:$B$72,$A897+1))),IF($A897&lt;$Q$888,MAX(0,-Assumptions!$B$22*(F897/INDEX(Surface_Engine!$B$12:$B$72,$A897+1))),0)))^2+(MAX(0,J897/INDEX(Surface_Engine!$B$12:$B$72,$A897+1)-(F897/INDEX(Surface_Engine!$B$12:$B$72,$A897+1))))^2+2*Assumptions!$B$26*(IF(C897&lt;=0,0,MAX(0,(B897/C897)*G897/INDEX(Surface_Engine!$B$12:$B$72,$A897+1)-F897/INDEX(Surface_Engine!$B$12:$B$72,$A897+1))))*(MAX(IF(D897&lt;=0,0,MAX(0,(B897/D897)*H897/INDEX(Surface_Engine!$B$12:$B$72,$A897+1)-F897/INDEX(Surface_Engine!$B$12:$B$72,$A897+1))),IF(E897&lt;=0,0,MAX(0,(B897/E897)*I897/INDEX(Surface_Engine!$B$12:$B$72,$A897+1)-F897/INDEX(Surface_Engine!$B$12:$B$72,$A897+1))),IF($A897&lt;$Q$888,MAX(0,-Assumptions!$B$22*(F897/INDEX(Surface_Engine!$B$12:$B$72,$A897+1))),0)))+2*Assumptions!$B$27*(IF(C897&lt;=0,0,MAX(0,(B897/C897)*G897/INDEX(Surface_Engine!$B$12:$B$72,$A897+1)-F897/INDEX(Surface_Engine!$B$12:$B$72,$A897+1))))*(MAX(0,J897/INDEX(Surface_Engine!$B$12:$B$72,$A897+1)-(F897/INDEX(Surface_Engine!$B$12:$B$72,$A897+1))))+2*Assumptions!$B$28*(MAX(IF(D897&lt;=0,0,MAX(0,(B897/D897)*H897/INDEX(Surface_Engine!$B$12:$B$72,$A897+1)-F897/INDEX(Surface_Engine!$B$12:$B$72,$A897+1))),IF(E897&lt;=0,0,MAX(0,(B897/E897)*I897/INDEX(Surface_Engine!$B$12:$B$72,$A897+1)-F897/INDEX(Surface_Engine!$B$12:$B$72,$A897+1))),IF($A897&lt;$Q$888,MAX(0,-Assumptions!$B$22*(F897/INDEX(Surface_Engine!$B$12:$B$72,$A897+1))),0)))*(MAX(0,J897/INDEX(Surface_Engine!$B$12:$B$72,$A897+1)-(F897/INDEX(Surface_Engine!$B$12:$B$72,$A897+1)))))</f>
        <v>8592.47721862545</v>
      </c>
      <c r="L897" s="48" t="n">
        <f aca="false">K897*INDEX(Surface_Engine!$B$12:$B$72,$A897+1)+L898</f>
        <v>97664.2114678157</v>
      </c>
      <c r="M897" s="48" t="n">
        <f aca="false">M896+B896*(IF($A896&lt;$Q$888,(Surface_Engine!L244*12)-(Surface_Engine!L244*12)*INDEX(Surface_Engine!$F$12:$F$72,$A896+1)-INDEX(Surface_Engine!$D$12:$D$72,$A896+1),-(1000*12*INDEX(Surface_Engine!$C$12:$C$72,$A896+1)/(1+Assumptions!$B$10)^17+INDEX(Surface_Engine!$D$12:$D$72,$A896+1))))*INDEX(Surface_Engine!$B$12:$B$72,$A896+1)</f>
        <v>17390.7113249245</v>
      </c>
      <c r="N897" s="12" t="n">
        <f aca="false">IF(B897&lt;=0,0,MAX(0,(K897+Assumptions!$B$29*L897/INDEX(Surface_Engine!$B$12:$B$72,$A897+1)-(M897/INDEX(Surface_Engine!$B$12:$B$72,$A897+1)-(F897/INDEX(Surface_Engine!$B$12:$B$72,$A897+1))))/B897))</f>
        <v>17133.1128140748</v>
      </c>
    </row>
    <row r="898" customFormat="false" ht="15" hidden="false" customHeight="true" outlineLevel="0" collapsed="false">
      <c r="A898" s="1" t="n">
        <v>8</v>
      </c>
      <c r="B898" s="32" t="n">
        <f aca="false">INDEX(Surface_Engine!$O$12:$O$72,$A898+1)*IF($A898&lt;$Q$888,INDEX(Surface_Engine!$E$12:$E$72,$A898+1),INDEX(Surface_Engine!$E$12:$E$72,$Q$888+1))</f>
        <v>0.804503103189844</v>
      </c>
      <c r="C898" s="32" t="n">
        <f aca="false">INDEX(Panel_Reserving!$E$8:$E$68,$A898+1)*IF($A898&lt;$Q$888,INDEX(Surface_Engine!$E$12:$E$72,$A898+1),INDEX(Surface_Engine!$E$12:$E$72,$Q$888+1))</f>
        <v>0.818615882595225</v>
      </c>
      <c r="D898" s="32" t="n">
        <f aca="false">INDEX(Surface_Engine!$O$12:$O$72,$A898+1)*IF($A898&lt;$Q$888,INDEX(Surface_Engine!$Y$12:$Y$72,$A898+1),INDEX(Surface_Engine!$Y$12:$Y$72,$Q$888+1))</f>
        <v>0.752643475884406</v>
      </c>
      <c r="E898" s="32" t="n">
        <f aca="false">INDEX(Surface_Engine!$O$12:$O$72,$A898+1)*IF($A898&lt;$Q$888,INDEX(Surface_Engine!$Z$12:$Z$72,$A898+1),INDEX(Surface_Engine!$Z$12:$Z$72,$Q$888+1))</f>
        <v>0.859273840921563</v>
      </c>
      <c r="F898" s="48" t="n">
        <f aca="false">B898*(IF($A898&lt;$Q$888,INDEX(Surface_Engine!$D$12:$D$72,$A898+1)+(Surface_Engine!L244*12)*INDEX(Surface_Engine!$F$12:$F$72,$A898+1)-(Surface_Engine!L244*12),1000*12*INDEX(Surface_Engine!$C$12:$C$72,$A898+1)/(1+Assumptions!$B$10)^17+INDEX(Surface_Engine!$D$12:$D$72,$A898+1)))*INDEX(Surface_Engine!$B$12:$B$72,$A898+1)+F899</f>
        <v>18531.0060050607</v>
      </c>
      <c r="G898" s="48" t="n">
        <f aca="false">C898*(IF($A898&lt;$Q$888,INDEX(Surface_Engine!$D$12:$D$72,$A898+1)+(Surface_Engine!L244*12)*INDEX(Surface_Engine!$F$12:$F$72,$A898+1)-(Surface_Engine!L244*12),1000*12*INDEX(Surface_Engine!$C$12:$C$72,$A898+1)/(1+Assumptions!$B$10)^17+INDEX(Surface_Engine!$D$12:$D$72,$A898+1)))*INDEX(Surface_Engine!$B$12:$B$72,$A898+1)+G899</f>
        <v>25537.3697420094</v>
      </c>
      <c r="H898" s="48" t="n">
        <f aca="false">D898*(IF($A898&lt;$Q$888,INDEX(Surface_Engine!$D$12:$D$72,$A898+1)+(Surface_Engine!L244*12)*INDEX(Surface_Engine!$F$12:$F$72,$A898+1)-(Surface_Engine!L244*12),1000*12*INDEX(Surface_Engine!$C$12:$C$72,$A898+1)/(1+Assumptions!$B$10)^17+INDEX(Surface_Engine!$D$12:$D$72,$A898+1)))*INDEX(Surface_Engine!$B$12:$B$72,$A898+1)+H899</f>
        <v>16266.0769399776</v>
      </c>
      <c r="I898" s="48" t="n">
        <f aca="false">E898*(IF($A898&lt;$Q$888,INDEX(Surface_Engine!$D$12:$D$72,$A898+1)+(Surface_Engine!L244*12)*INDEX(Surface_Engine!$F$12:$F$72,$A898+1)-(Surface_Engine!L244*12),1000*12*INDEX(Surface_Engine!$C$12:$C$72,$A898+1)/(1+Assumptions!$B$10)^17+INDEX(Surface_Engine!$D$12:$D$72,$A898+1)))*INDEX(Surface_Engine!$B$12:$B$72,$A898+1)+I899</f>
        <v>21065.0730595711</v>
      </c>
      <c r="J898" s="48" t="n">
        <f aca="false">B898*(IF($A898&lt;$Q$888,INDEX(Surface_Engine!$D$12:$D$72,$A898+1)*(1+Assumptions!$B$24)+(Surface_Engine!L244*12)*INDEX(Surface_Engine!$F$12:$F$72,$A898+1)-(Surface_Engine!L244*12),1000*12*INDEX(Surface_Engine!$C$12:$C$72,$A898+1)/(1+Assumptions!$B$10)^17+INDEX(Surface_Engine!$D$12:$D$72,$A898+1)*(1+Assumptions!$B$24)))*INDEX(Surface_Engine!$B$12:$B$72,$A898+1)+J899</f>
        <v>18616.8955770508</v>
      </c>
      <c r="K898" s="12" t="n">
        <f aca="false">SQRT((IF(C898&lt;=0,0,MAX(0,(B898/C898)*G898/INDEX(Surface_Engine!$B$12:$B$72,$A898+1)-F898/INDEX(Surface_Engine!$B$12:$B$72,$A898+1))))^2+(MAX(IF(D898&lt;=0,0,MAX(0,(B898/D898)*H898/INDEX(Surface_Engine!$B$12:$B$72,$A898+1)-F898/INDEX(Surface_Engine!$B$12:$B$72,$A898+1))),IF(E898&lt;=0,0,MAX(0,(B898/E898)*I898/INDEX(Surface_Engine!$B$12:$B$72,$A898+1)-F898/INDEX(Surface_Engine!$B$12:$B$72,$A898+1))),IF($A898&lt;$Q$888,MAX(0,-Assumptions!$B$22*(F898/INDEX(Surface_Engine!$B$12:$B$72,$A898+1))),0)))^2+(MAX(0,J898/INDEX(Surface_Engine!$B$12:$B$72,$A898+1)-(F898/INDEX(Surface_Engine!$B$12:$B$72,$A898+1))))^2+2*Assumptions!$B$26*(IF(C898&lt;=0,0,MAX(0,(B898/C898)*G898/INDEX(Surface_Engine!$B$12:$B$72,$A898+1)-F898/INDEX(Surface_Engine!$B$12:$B$72,$A898+1))))*(MAX(IF(D898&lt;=0,0,MAX(0,(B898/D898)*H898/INDEX(Surface_Engine!$B$12:$B$72,$A898+1)-F898/INDEX(Surface_Engine!$B$12:$B$72,$A898+1))),IF(E898&lt;=0,0,MAX(0,(B898/E898)*I898/INDEX(Surface_Engine!$B$12:$B$72,$A898+1)-F898/INDEX(Surface_Engine!$B$12:$B$72,$A898+1))),IF($A898&lt;$Q$888,MAX(0,-Assumptions!$B$22*(F898/INDEX(Surface_Engine!$B$12:$B$72,$A898+1))),0)))+2*Assumptions!$B$27*(IF(C898&lt;=0,0,MAX(0,(B898/C898)*G898/INDEX(Surface_Engine!$B$12:$B$72,$A898+1)-F898/INDEX(Surface_Engine!$B$12:$B$72,$A898+1))))*(MAX(0,J898/INDEX(Surface_Engine!$B$12:$B$72,$A898+1)-(F898/INDEX(Surface_Engine!$B$12:$B$72,$A898+1))))+2*Assumptions!$B$28*(MAX(IF(D898&lt;=0,0,MAX(0,(B898/D898)*H898/INDEX(Surface_Engine!$B$12:$B$72,$A898+1)-F898/INDEX(Surface_Engine!$B$12:$B$72,$A898+1))),IF(E898&lt;=0,0,MAX(0,(B898/E898)*I898/INDEX(Surface_Engine!$B$12:$B$72,$A898+1)-F898/INDEX(Surface_Engine!$B$12:$B$72,$A898+1))),IF($A898&lt;$Q$888,MAX(0,-Assumptions!$B$22*(F898/INDEX(Surface_Engine!$B$12:$B$72,$A898+1))),0)))*(MAX(0,J898/INDEX(Surface_Engine!$B$12:$B$72,$A898+1)-(F898/INDEX(Surface_Engine!$B$12:$B$72,$A898+1)))))</f>
        <v>8714.60424744206</v>
      </c>
      <c r="L898" s="48" t="n">
        <f aca="false">K898*INDEX(Surface_Engine!$B$12:$B$72,$A898+1)+L899</f>
        <v>90557.8781238439</v>
      </c>
      <c r="M898" s="48" t="n">
        <f aca="false">M897+B897*(IF($A897&lt;$Q$888,(Surface_Engine!L244*12)-(Surface_Engine!L244*12)*INDEX(Surface_Engine!$F$12:$F$72,$A897+1)-INDEX(Surface_Engine!$D$12:$D$72,$A897+1),-(1000*12*INDEX(Surface_Engine!$C$12:$C$72,$A897+1)/(1+Assumptions!$B$10)^17+INDEX(Surface_Engine!$D$12:$D$72,$A897+1))))*INDEX(Surface_Engine!$B$12:$B$72,$A897+1)</f>
        <v>19810.9248768153</v>
      </c>
      <c r="N898" s="12" t="n">
        <f aca="false">IF(B898&lt;=0,0,MAX(0,(K898+Assumptions!$B$29*L898/INDEX(Surface_Engine!$B$12:$B$72,$A898+1)-(M898/INDEX(Surface_Engine!$B$12:$B$72,$A898+1)-(F898/INDEX(Surface_Engine!$B$12:$B$72,$A898+1))))/B898))</f>
        <v>17270.5554819814</v>
      </c>
    </row>
    <row r="899" customFormat="false" ht="15" hidden="false" customHeight="true" outlineLevel="0" collapsed="false">
      <c r="A899" s="1" t="n">
        <v>9</v>
      </c>
      <c r="B899" s="32" t="n">
        <f aca="false">INDEX(Surface_Engine!$O$12:$O$72,$A899+1)*IF($A899&lt;$Q$888,INDEX(Surface_Engine!$E$12:$E$72,$A899+1),INDEX(Surface_Engine!$E$12:$E$72,$Q$888+1))</f>
        <v>0.783323450903977</v>
      </c>
      <c r="C899" s="32" t="n">
        <f aca="false">INDEX(Panel_Reserving!$E$8:$E$68,$A899+1)*IF($A899&lt;$Q$888,INDEX(Surface_Engine!$E$12:$E$72,$A899+1),INDEX(Surface_Engine!$E$12:$E$72,$Q$888+1))</f>
        <v>0.799885049175172</v>
      </c>
      <c r="D899" s="32" t="n">
        <f aca="false">INDEX(Surface_Engine!$O$12:$O$72,$A899+1)*IF($A899&lt;$Q$888,INDEX(Surface_Engine!$Y$12:$Y$72,$A899+1),INDEX(Surface_Engine!$Y$12:$Y$72,$Q$888+1))</f>
        <v>0.729464105869262</v>
      </c>
      <c r="E899" s="32" t="n">
        <f aca="false">INDEX(Surface_Engine!$O$12:$O$72,$A899+1)*IF($A899&lt;$Q$888,INDEX(Surface_Engine!$Z$12:$Z$72,$A899+1),INDEX(Surface_Engine!$Z$12:$Z$72,$Q$888+1))</f>
        <v>0.840494001090999</v>
      </c>
      <c r="F899" s="48" t="n">
        <f aca="false">B899*(IF($A899&lt;$Q$888,INDEX(Surface_Engine!$D$12:$D$72,$A899+1)+(Surface_Engine!L244*12)*INDEX(Surface_Engine!$F$12:$F$72,$A899+1)-(Surface_Engine!L244*12),1000*12*INDEX(Surface_Engine!$C$12:$C$72,$A899+1)/(1+Assumptions!$B$10)^17+INDEX(Surface_Engine!$D$12:$D$72,$A899+1)))*INDEX(Surface_Engine!$B$12:$B$72,$A899+1)+F900</f>
        <v>20818.5328226302</v>
      </c>
      <c r="G899" s="48" t="n">
        <f aca="false">C899*(IF($A899&lt;$Q$888,INDEX(Surface_Engine!$D$12:$D$72,$A899+1)+(Surface_Engine!L244*12)*INDEX(Surface_Engine!$F$12:$F$72,$A899+1)-(Surface_Engine!L244*12),1000*12*INDEX(Surface_Engine!$C$12:$C$72,$A899+1)/(1+Assumptions!$B$10)^17+INDEX(Surface_Engine!$D$12:$D$72,$A899+1)))*INDEX(Surface_Engine!$B$12:$B$72,$A899+1)+G900</f>
        <v>27865.0248837982</v>
      </c>
      <c r="H899" s="48" t="n">
        <f aca="false">D899*(IF($A899&lt;$Q$888,INDEX(Surface_Engine!$D$12:$D$72,$A899+1)+(Surface_Engine!L244*12)*INDEX(Surface_Engine!$F$12:$F$72,$A899+1)-(Surface_Engine!L244*12),1000*12*INDEX(Surface_Engine!$C$12:$C$72,$A899+1)/(1+Assumptions!$B$10)^17+INDEX(Surface_Engine!$D$12:$D$72,$A899+1)))*INDEX(Surface_Engine!$B$12:$B$72,$A899+1)+H900</f>
        <v>18406.1459196096</v>
      </c>
      <c r="I899" s="48" t="n">
        <f aca="false">E899*(IF($A899&lt;$Q$888,INDEX(Surface_Engine!$D$12:$D$72,$A899+1)+(Surface_Engine!L244*12)*INDEX(Surface_Engine!$F$12:$F$72,$A899+1)-(Surface_Engine!L244*12),1000*12*INDEX(Surface_Engine!$C$12:$C$72,$A899+1)/(1+Assumptions!$B$10)^17+INDEX(Surface_Engine!$D$12:$D$72,$A899+1)))*INDEX(Surface_Engine!$B$12:$B$72,$A899+1)+I900</f>
        <v>23508.3351762122</v>
      </c>
      <c r="J899" s="48" t="n">
        <f aca="false">B899*(IF($A899&lt;$Q$888,INDEX(Surface_Engine!$D$12:$D$72,$A899+1)*(1+Assumptions!$B$24)+(Surface_Engine!L244*12)*INDEX(Surface_Engine!$F$12:$F$72,$A899+1)-(Surface_Engine!L244*12),1000*12*INDEX(Surface_Engine!$C$12:$C$72,$A899+1)/(1+Assumptions!$B$10)^17+INDEX(Surface_Engine!$D$12:$D$72,$A899+1)*(1+Assumptions!$B$24)))*INDEX(Surface_Engine!$B$12:$B$72,$A899+1)+J900</f>
        <v>20897.9769159284</v>
      </c>
      <c r="K899" s="12" t="n">
        <f aca="false">SQRT((IF(C899&lt;=0,0,MAX(0,(B899/C899)*G899/INDEX(Surface_Engine!$B$12:$B$72,$A899+1)-F899/INDEX(Surface_Engine!$B$12:$B$72,$A899+1))))^2+(MAX(IF(D899&lt;=0,0,MAX(0,(B899/D899)*H899/INDEX(Surface_Engine!$B$12:$B$72,$A899+1)-F899/INDEX(Surface_Engine!$B$12:$B$72,$A899+1))),IF(E899&lt;=0,0,MAX(0,(B899/E899)*I899/INDEX(Surface_Engine!$B$12:$B$72,$A899+1)-F899/INDEX(Surface_Engine!$B$12:$B$72,$A899+1))),IF($A899&lt;$Q$888,MAX(0,-Assumptions!$B$22*(F899/INDEX(Surface_Engine!$B$12:$B$72,$A899+1))),0)))^2+(MAX(0,J899/INDEX(Surface_Engine!$B$12:$B$72,$A899+1)-(F899/INDEX(Surface_Engine!$B$12:$B$72,$A899+1))))^2+2*Assumptions!$B$26*(IF(C899&lt;=0,0,MAX(0,(B899/C899)*G899/INDEX(Surface_Engine!$B$12:$B$72,$A899+1)-F899/INDEX(Surface_Engine!$B$12:$B$72,$A899+1))))*(MAX(IF(D899&lt;=0,0,MAX(0,(B899/D899)*H899/INDEX(Surface_Engine!$B$12:$B$72,$A899+1)-F899/INDEX(Surface_Engine!$B$12:$B$72,$A899+1))),IF(E899&lt;=0,0,MAX(0,(B899/E899)*I899/INDEX(Surface_Engine!$B$12:$B$72,$A899+1)-F899/INDEX(Surface_Engine!$B$12:$B$72,$A899+1))),IF($A899&lt;$Q$888,MAX(0,-Assumptions!$B$22*(F899/INDEX(Surface_Engine!$B$12:$B$72,$A899+1))),0)))+2*Assumptions!$B$27*(IF(C899&lt;=0,0,MAX(0,(B899/C899)*G899/INDEX(Surface_Engine!$B$12:$B$72,$A899+1)-F899/INDEX(Surface_Engine!$B$12:$B$72,$A899+1))))*(MAX(0,J899/INDEX(Surface_Engine!$B$12:$B$72,$A899+1)-(F899/INDEX(Surface_Engine!$B$12:$B$72,$A899+1))))+2*Assumptions!$B$28*(MAX(IF(D899&lt;=0,0,MAX(0,(B899/D899)*H899/INDEX(Surface_Engine!$B$12:$B$72,$A899+1)-F899/INDEX(Surface_Engine!$B$12:$B$72,$A899+1))),IF(E899&lt;=0,0,MAX(0,(B899/E899)*I899/INDEX(Surface_Engine!$B$12:$B$72,$A899+1)-F899/INDEX(Surface_Engine!$B$12:$B$72,$A899+1))),IF($A899&lt;$Q$888,MAX(0,-Assumptions!$B$22*(F899/INDEX(Surface_Engine!$B$12:$B$72,$A899+1))),0)))*(MAX(0,J899/INDEX(Surface_Engine!$B$12:$B$72,$A899+1)-(F899/INDEX(Surface_Engine!$B$12:$B$72,$A899+1)))))</f>
        <v>8818.97463221574</v>
      </c>
      <c r="L899" s="48" t="n">
        <f aca="false">K899*INDEX(Surface_Engine!$B$12:$B$72,$A899+1)+L900</f>
        <v>83569.5973233332</v>
      </c>
      <c r="M899" s="48" t="n">
        <f aca="false">M898+B898*(IF($A898&lt;$Q$888,(Surface_Engine!L244*12)-(Surface_Engine!L244*12)*INDEX(Surface_Engine!$F$12:$F$72,$A898+1)-INDEX(Surface_Engine!$D$12:$D$72,$A898+1),-(1000*12*INDEX(Surface_Engine!$C$12:$C$72,$A898+1)/(1+Assumptions!$B$10)^17+INDEX(Surface_Engine!$D$12:$D$72,$A898+1))))*INDEX(Surface_Engine!$B$12:$B$72,$A898+1)</f>
        <v>22098.4516943847</v>
      </c>
      <c r="N899" s="12" t="n">
        <f aca="false">IF(B899&lt;=0,0,MAX(0,(K899+Assumptions!$B$29*L899/INDEX(Surface_Engine!$B$12:$B$72,$A899+1)-(M899/INDEX(Surface_Engine!$B$12:$B$72,$A899+1)-(F899/INDEX(Surface_Engine!$B$12:$B$72,$A899+1))))/B899))</f>
        <v>17395.854085733</v>
      </c>
    </row>
    <row r="900" customFormat="false" ht="15" hidden="false" customHeight="true" outlineLevel="0" collapsed="false">
      <c r="A900" s="1" t="n">
        <v>10</v>
      </c>
      <c r="B900" s="32" t="n">
        <f aca="false">INDEX(Surface_Engine!$O$12:$O$72,$A900+1)*IF($A900&lt;$Q$888,INDEX(Surface_Engine!$E$12:$E$72,$A900+1),INDEX(Surface_Engine!$E$12:$E$72,$Q$888+1))</f>
        <v>0.76110417839761</v>
      </c>
      <c r="C900" s="32" t="n">
        <f aca="false">INDEX(Panel_Reserving!$E$8:$E$68,$A900+1)*IF($A900&lt;$Q$888,INDEX(Surface_Engine!$E$12:$E$72,$A900+1),INDEX(Surface_Engine!$E$12:$E$72,$Q$888+1))</f>
        <v>0.780278019470631</v>
      </c>
      <c r="D900" s="32" t="n">
        <f aca="false">INDEX(Surface_Engine!$O$12:$O$72,$A900+1)*IF($A900&lt;$Q$888,INDEX(Surface_Engine!$Y$12:$Y$72,$A900+1),INDEX(Surface_Engine!$Y$12:$Y$72,$Q$888+1))</f>
        <v>0.705518043055846</v>
      </c>
      <c r="E900" s="32" t="n">
        <f aca="false">INDEX(Surface_Engine!$O$12:$O$72,$A900+1)*IF($A900&lt;$Q$888,INDEX(Surface_Engine!$Z$12:$Z$72,$A900+1),INDEX(Surface_Engine!$Z$12:$Z$72,$Q$888+1))</f>
        <v>0.820402959316639</v>
      </c>
      <c r="F900" s="48" t="n">
        <f aca="false">B900*(IF($A900&lt;$Q$888,INDEX(Surface_Engine!$D$12:$D$72,$A900+1)+(Surface_Engine!L244*12)*INDEX(Surface_Engine!$F$12:$F$72,$A900+1)-(Surface_Engine!L244*12),1000*12*INDEX(Surface_Engine!$C$12:$C$72,$A900+1)/(1+Assumptions!$B$10)^17+INDEX(Surface_Engine!$D$12:$D$72,$A900+1)))*INDEX(Surface_Engine!$B$12:$B$72,$A900+1)+F901</f>
        <v>22974.4210311414</v>
      </c>
      <c r="G900" s="48" t="n">
        <f aca="false">C900*(IF($A900&lt;$Q$888,INDEX(Surface_Engine!$D$12:$D$72,$A900+1)+(Surface_Engine!L244*12)*INDEX(Surface_Engine!$F$12:$F$72,$A900+1)-(Surface_Engine!L244*12),1000*12*INDEX(Surface_Engine!$C$12:$C$72,$A900+1)/(1+Assumptions!$B$10)^17+INDEX(Surface_Engine!$D$12:$D$72,$A900+1)))*INDEX(Surface_Engine!$B$12:$B$72,$A900+1)+G901</f>
        <v>30066.4944602434</v>
      </c>
      <c r="H900" s="48" t="n">
        <f aca="false">D900*(IF($A900&lt;$Q$888,INDEX(Surface_Engine!$D$12:$D$72,$A900+1)+(Surface_Engine!L244*12)*INDEX(Surface_Engine!$F$12:$F$72,$A900+1)-(Surface_Engine!L244*12),1000*12*INDEX(Surface_Engine!$C$12:$C$72,$A900+1)/(1+Assumptions!$B$10)^17+INDEX(Surface_Engine!$D$12:$D$72,$A900+1)))*INDEX(Surface_Engine!$B$12:$B$72,$A900+1)+H901</f>
        <v>20413.8006917996</v>
      </c>
      <c r="I900" s="48" t="n">
        <f aca="false">E900*(IF($A900&lt;$Q$888,INDEX(Surface_Engine!$D$12:$D$72,$A900+1)+(Surface_Engine!L244*12)*INDEX(Surface_Engine!$F$12:$F$72,$A900+1)-(Surface_Engine!L244*12),1000*12*INDEX(Surface_Engine!$C$12:$C$72,$A900+1)/(1+Assumptions!$B$10)^17+INDEX(Surface_Engine!$D$12:$D$72,$A900+1)))*INDEX(Surface_Engine!$B$12:$B$72,$A900+1)+I901</f>
        <v>25821.5700272631</v>
      </c>
      <c r="J900" s="48" t="n">
        <f aca="false">B900*(IF($A900&lt;$Q$888,INDEX(Surface_Engine!$D$12:$D$72,$A900+1)*(1+Assumptions!$B$24)+(Surface_Engine!L244*12)*INDEX(Surface_Engine!$F$12:$F$72,$A900+1)-(Surface_Engine!L244*12),1000*12*INDEX(Surface_Engine!$C$12:$C$72,$A900+1)/(1+Assumptions!$B$10)^17+INDEX(Surface_Engine!$D$12:$D$72,$A900+1)*(1+Assumptions!$B$24)))*INDEX(Surface_Engine!$B$12:$B$72,$A900+1)+J901</f>
        <v>23047.6343057054</v>
      </c>
      <c r="K900" s="12" t="n">
        <f aca="false">SQRT((IF(C900&lt;=0,0,MAX(0,(B900/C900)*G900/INDEX(Surface_Engine!$B$12:$B$72,$A900+1)-F900/INDEX(Surface_Engine!$B$12:$B$72,$A900+1))))^2+(MAX(IF(D900&lt;=0,0,MAX(0,(B900/D900)*H900/INDEX(Surface_Engine!$B$12:$B$72,$A900+1)-F900/INDEX(Surface_Engine!$B$12:$B$72,$A900+1))),IF(E900&lt;=0,0,MAX(0,(B900/E900)*I900/INDEX(Surface_Engine!$B$12:$B$72,$A900+1)-F900/INDEX(Surface_Engine!$B$12:$B$72,$A900+1))),IF($A900&lt;$Q$888,MAX(0,-Assumptions!$B$22*(F900/INDEX(Surface_Engine!$B$12:$B$72,$A900+1))),0)))^2+(MAX(0,J900/INDEX(Surface_Engine!$B$12:$B$72,$A900+1)-(F900/INDEX(Surface_Engine!$B$12:$B$72,$A900+1))))^2+2*Assumptions!$B$26*(IF(C900&lt;=0,0,MAX(0,(B900/C900)*G900/INDEX(Surface_Engine!$B$12:$B$72,$A900+1)-F900/INDEX(Surface_Engine!$B$12:$B$72,$A900+1))))*(MAX(IF(D900&lt;=0,0,MAX(0,(B900/D900)*H900/INDEX(Surface_Engine!$B$12:$B$72,$A900+1)-F900/INDEX(Surface_Engine!$B$12:$B$72,$A900+1))),IF(E900&lt;=0,0,MAX(0,(B900/E900)*I900/INDEX(Surface_Engine!$B$12:$B$72,$A900+1)-F900/INDEX(Surface_Engine!$B$12:$B$72,$A900+1))),IF($A900&lt;$Q$888,MAX(0,-Assumptions!$B$22*(F900/INDEX(Surface_Engine!$B$12:$B$72,$A900+1))),0)))+2*Assumptions!$B$27*(IF(C900&lt;=0,0,MAX(0,(B900/C900)*G900/INDEX(Surface_Engine!$B$12:$B$72,$A900+1)-F900/INDEX(Surface_Engine!$B$12:$B$72,$A900+1))))*(MAX(0,J900/INDEX(Surface_Engine!$B$12:$B$72,$A900+1)-(F900/INDEX(Surface_Engine!$B$12:$B$72,$A900+1))))+2*Assumptions!$B$28*(MAX(IF(D900&lt;=0,0,MAX(0,(B900/D900)*H900/INDEX(Surface_Engine!$B$12:$B$72,$A900+1)-F900/INDEX(Surface_Engine!$B$12:$B$72,$A900+1))),IF(E900&lt;=0,0,MAX(0,(B900/E900)*I900/INDEX(Surface_Engine!$B$12:$B$72,$A900+1)-F900/INDEX(Surface_Engine!$B$12:$B$72,$A900+1))),IF($A900&lt;$Q$888,MAX(0,-Assumptions!$B$22*(F900/INDEX(Surface_Engine!$B$12:$B$72,$A900+1))),0)))*(MAX(0,J900/INDEX(Surface_Engine!$B$12:$B$72,$A900+1)-(F900/INDEX(Surface_Engine!$B$12:$B$72,$A900+1)))))</f>
        <v>8912.89641613875</v>
      </c>
      <c r="L900" s="48" t="n">
        <f aca="false">K900*INDEX(Surface_Engine!$B$12:$B$72,$A900+1)+L901</f>
        <v>76719.5520638849</v>
      </c>
      <c r="M900" s="48" t="n">
        <f aca="false">M899+B899*(IF($A899&lt;$Q$888,(Surface_Engine!L244*12)-(Surface_Engine!L244*12)*INDEX(Surface_Engine!$F$12:$F$72,$A899+1)-INDEX(Surface_Engine!$D$12:$D$72,$A899+1),-(1000*12*INDEX(Surface_Engine!$C$12:$C$72,$A899+1)/(1+Assumptions!$B$10)^17+INDEX(Surface_Engine!$D$12:$D$72,$A899+1))))*INDEX(Surface_Engine!$B$12:$B$72,$A899+1)</f>
        <v>24254.339902896</v>
      </c>
      <c r="N900" s="12" t="n">
        <f aca="false">IF(B900&lt;=0,0,MAX(0,(K900+Assumptions!$B$29*L900/INDEX(Surface_Engine!$B$12:$B$72,$A900+1)-(M900/INDEX(Surface_Engine!$B$12:$B$72,$A900+1)-(F900/INDEX(Surface_Engine!$B$12:$B$72,$A900+1))))/B900))</f>
        <v>17527.9956408672</v>
      </c>
    </row>
    <row r="901" customFormat="false" ht="15" hidden="false" customHeight="true" outlineLevel="0" collapsed="false">
      <c r="A901" s="1" t="n">
        <v>11</v>
      </c>
      <c r="B901" s="32" t="n">
        <f aca="false">INDEX(Surface_Engine!$O$12:$O$72,$A901+1)*IF($A901&lt;$Q$888,INDEX(Surface_Engine!$E$12:$E$72,$A901+1),INDEX(Surface_Engine!$E$12:$E$72,$Q$888+1))</f>
        <v>0.737758587094672</v>
      </c>
      <c r="C901" s="32" t="n">
        <f aca="false">INDEX(Panel_Reserving!$E$8:$E$68,$A901+1)*IF($A901&lt;$Q$888,INDEX(Surface_Engine!$E$12:$E$72,$A901+1),INDEX(Surface_Engine!$E$12:$E$72,$Q$888+1))</f>
        <v>0.759710940156952</v>
      </c>
      <c r="D901" s="32" t="n">
        <f aca="false">INDEX(Surface_Engine!$O$12:$O$72,$A901+1)*IF($A901&lt;$Q$888,INDEX(Surface_Engine!$Y$12:$Y$72,$A901+1),INDEX(Surface_Engine!$Y$12:$Y$72,$Q$888+1))</f>
        <v>0.680737244573059</v>
      </c>
      <c r="E901" s="32" t="n">
        <f aca="false">INDEX(Surface_Engine!$O$12:$O$72,$A901+1)*IF($A901&lt;$Q$888,INDEX(Surface_Engine!$Z$12:$Z$72,$A901+1),INDEX(Surface_Engine!$Z$12:$Z$72,$Q$888+1))</f>
        <v>0.798890041894845</v>
      </c>
      <c r="F901" s="48" t="n">
        <f aca="false">B901*(IF($A901&lt;$Q$888,INDEX(Surface_Engine!$D$12:$D$72,$A901+1)+(Surface_Engine!L244*12)*INDEX(Surface_Engine!$F$12:$F$72,$A901+1)-(Surface_Engine!L244*12),1000*12*INDEX(Surface_Engine!$C$12:$C$72,$A901+1)/(1+Assumptions!$B$10)^17+INDEX(Surface_Engine!$D$12:$D$72,$A901+1)))*INDEX(Surface_Engine!$B$12:$B$72,$A901+1)+F902</f>
        <v>24997.0768009181</v>
      </c>
      <c r="G901" s="48" t="n">
        <f aca="false">C901*(IF($A901&lt;$Q$888,INDEX(Surface_Engine!$D$12:$D$72,$A901+1)+(Surface_Engine!L244*12)*INDEX(Surface_Engine!$F$12:$F$72,$A901+1)-(Surface_Engine!L244*12),1000*12*INDEX(Surface_Engine!$C$12:$C$72,$A901+1)/(1+Assumptions!$B$10)^17+INDEX(Surface_Engine!$D$12:$D$72,$A901+1)))*INDEX(Surface_Engine!$B$12:$B$72,$A901+1)+G902</f>
        <v>32140.1052521785</v>
      </c>
      <c r="H901" s="48" t="n">
        <f aca="false">D901*(IF($A901&lt;$Q$888,INDEX(Surface_Engine!$D$12:$D$72,$A901+1)+(Surface_Engine!L244*12)*INDEX(Surface_Engine!$F$12:$F$72,$A901+1)-(Surface_Engine!L244*12),1000*12*INDEX(Surface_Engine!$C$12:$C$72,$A901+1)/(1+Assumptions!$B$10)^17+INDEX(Surface_Engine!$D$12:$D$72,$A901+1)))*INDEX(Surface_Engine!$B$12:$B$72,$A901+1)+H902</f>
        <v>22288.7347428422</v>
      </c>
      <c r="I901" s="48" t="n">
        <f aca="false">E901*(IF($A901&lt;$Q$888,INDEX(Surface_Engine!$D$12:$D$72,$A901+1)+(Surface_Engine!L244*12)*INDEX(Surface_Engine!$F$12:$F$72,$A901+1)-(Surface_Engine!L244*12),1000*12*INDEX(Surface_Engine!$C$12:$C$72,$A901+1)/(1+Assumptions!$B$10)^17+INDEX(Surface_Engine!$D$12:$D$72,$A901+1)))*INDEX(Surface_Engine!$B$12:$B$72,$A901+1)+I902</f>
        <v>28001.8139758606</v>
      </c>
      <c r="J901" s="48" t="n">
        <f aca="false">B901*(IF($A901&lt;$Q$888,INDEX(Surface_Engine!$D$12:$D$72,$A901+1)*(1+Assumptions!$B$24)+(Surface_Engine!L244*12)*INDEX(Surface_Engine!$F$12:$F$72,$A901+1)-(Surface_Engine!L244*12),1000*12*INDEX(Surface_Engine!$C$12:$C$72,$A901+1)/(1+Assumptions!$B$10)^17+INDEX(Surface_Engine!$D$12:$D$72,$A901+1)*(1+Assumptions!$B$24)))*INDEX(Surface_Engine!$B$12:$B$72,$A901+1)+J902</f>
        <v>25064.2938406996</v>
      </c>
      <c r="K901" s="12" t="n">
        <f aca="false">SQRT((IF(C901&lt;=0,0,MAX(0,(B901/C901)*G901/INDEX(Surface_Engine!$B$12:$B$72,$A901+1)-F901/INDEX(Surface_Engine!$B$12:$B$72,$A901+1))))^2+(MAX(IF(D901&lt;=0,0,MAX(0,(B901/D901)*H901/INDEX(Surface_Engine!$B$12:$B$72,$A901+1)-F901/INDEX(Surface_Engine!$B$12:$B$72,$A901+1))),IF(E901&lt;=0,0,MAX(0,(B901/E901)*I901/INDEX(Surface_Engine!$B$12:$B$72,$A901+1)-F901/INDEX(Surface_Engine!$B$12:$B$72,$A901+1))),IF($A901&lt;$Q$888,MAX(0,-Assumptions!$B$22*(F901/INDEX(Surface_Engine!$B$12:$B$72,$A901+1))),0)))^2+(MAX(0,J901/INDEX(Surface_Engine!$B$12:$B$72,$A901+1)-(F901/INDEX(Surface_Engine!$B$12:$B$72,$A901+1))))^2+2*Assumptions!$B$26*(IF(C901&lt;=0,0,MAX(0,(B901/C901)*G901/INDEX(Surface_Engine!$B$12:$B$72,$A901+1)-F901/INDEX(Surface_Engine!$B$12:$B$72,$A901+1))))*(MAX(IF(D901&lt;=0,0,MAX(0,(B901/D901)*H901/INDEX(Surface_Engine!$B$12:$B$72,$A901+1)-F901/INDEX(Surface_Engine!$B$12:$B$72,$A901+1))),IF(E901&lt;=0,0,MAX(0,(B901/E901)*I901/INDEX(Surface_Engine!$B$12:$B$72,$A901+1)-F901/INDEX(Surface_Engine!$B$12:$B$72,$A901+1))),IF($A901&lt;$Q$888,MAX(0,-Assumptions!$B$22*(F901/INDEX(Surface_Engine!$B$12:$B$72,$A901+1))),0)))+2*Assumptions!$B$27*(IF(C901&lt;=0,0,MAX(0,(B901/C901)*G901/INDEX(Surface_Engine!$B$12:$B$72,$A901+1)-F901/INDEX(Surface_Engine!$B$12:$B$72,$A901+1))))*(MAX(0,J901/INDEX(Surface_Engine!$B$12:$B$72,$A901+1)-(F901/INDEX(Surface_Engine!$B$12:$B$72,$A901+1))))+2*Assumptions!$B$28*(MAX(IF(D901&lt;=0,0,MAX(0,(B901/D901)*H901/INDEX(Surface_Engine!$B$12:$B$72,$A901+1)-F901/INDEX(Surface_Engine!$B$12:$B$72,$A901+1))),IF(E901&lt;=0,0,MAX(0,(B901/E901)*I901/INDEX(Surface_Engine!$B$12:$B$72,$A901+1)-F901/INDEX(Surface_Engine!$B$12:$B$72,$A901+1))),IF($A901&lt;$Q$888,MAX(0,-Assumptions!$B$22*(F901/INDEX(Surface_Engine!$B$12:$B$72,$A901+1))),0)))*(MAX(0,J901/INDEX(Surface_Engine!$B$12:$B$72,$A901+1)-(F901/INDEX(Surface_Engine!$B$12:$B$72,$A901+1)))))</f>
        <v>8947.39971042244</v>
      </c>
      <c r="L901" s="48" t="n">
        <f aca="false">K901*INDEX(Surface_Engine!$B$12:$B$72,$A901+1)+L902</f>
        <v>70029.9408829663</v>
      </c>
      <c r="M901" s="48" t="n">
        <f aca="false">M900+B900*(IF($A900&lt;$Q$888,(Surface_Engine!L244*12)-(Surface_Engine!L244*12)*INDEX(Surface_Engine!$F$12:$F$72,$A900+1)-INDEX(Surface_Engine!$D$12:$D$72,$A900+1),-(1000*12*INDEX(Surface_Engine!$C$12:$C$72,$A900+1)/(1+Assumptions!$B$10)^17+INDEX(Surface_Engine!$D$12:$D$72,$A900+1))))*INDEX(Surface_Engine!$B$12:$B$72,$A900+1)</f>
        <v>26276.9956726726</v>
      </c>
      <c r="N901" s="12" t="n">
        <f aca="false">IF(B901&lt;=0,0,MAX(0,(K901+Assumptions!$B$29*L901/INDEX(Surface_Engine!$B$12:$B$72,$A901+1)-(M901/INDEX(Surface_Engine!$B$12:$B$72,$A901+1)-(F901/INDEX(Surface_Engine!$B$12:$B$72,$A901+1))))/B901))</f>
        <v>17575.5999987568</v>
      </c>
    </row>
    <row r="902" customFormat="false" ht="15" hidden="false" customHeight="true" outlineLevel="0" collapsed="false">
      <c r="A902" s="1" t="n">
        <v>12</v>
      </c>
      <c r="B902" s="32" t="n">
        <f aca="false">INDEX(Surface_Engine!$O$12:$O$72,$A902+1)*IF($A902&lt;$Q$888,INDEX(Surface_Engine!$E$12:$E$72,$A902+1),INDEX(Surface_Engine!$E$12:$E$72,$Q$888+1))</f>
        <v>0.713204224299805</v>
      </c>
      <c r="C902" s="32" t="n">
        <f aca="false">INDEX(Panel_Reserving!$E$8:$E$68,$A902+1)*IF($A902&lt;$Q$888,INDEX(Surface_Engine!$E$12:$E$72,$A902+1),INDEX(Surface_Engine!$E$12:$E$72,$Q$888+1))</f>
        <v>0.738100274737365</v>
      </c>
      <c r="D902" s="32" t="n">
        <f aca="false">INDEX(Surface_Engine!$O$12:$O$72,$A902+1)*IF($A902&lt;$Q$888,INDEX(Surface_Engine!$Y$12:$Y$72,$A902+1),INDEX(Surface_Engine!$Y$12:$Y$72,$Q$888+1))</f>
        <v>0.655058922664055</v>
      </c>
      <c r="E902" s="32" t="n">
        <f aca="false">INDEX(Surface_Engine!$O$12:$O$72,$A902+1)*IF($A902&lt;$Q$888,INDEX(Surface_Engine!$Z$12:$Z$72,$A902+1),INDEX(Surface_Engine!$Z$12:$Z$72,$Q$888+1))</f>
        <v>0.775847319394422</v>
      </c>
      <c r="F902" s="48" t="n">
        <f aca="false">B902*(IF($A902&lt;$Q$888,INDEX(Surface_Engine!$D$12:$D$72,$A902+1)+(Surface_Engine!L244*12)*INDEX(Surface_Engine!$F$12:$F$72,$A902+1)-(Surface_Engine!L244*12),1000*12*INDEX(Surface_Engine!$C$12:$C$72,$A902+1)/(1+Assumptions!$B$10)^17+INDEX(Surface_Engine!$D$12:$D$72,$A902+1)))*INDEX(Surface_Engine!$B$12:$B$72,$A902+1)+F903</f>
        <v>26894.7259817324</v>
      </c>
      <c r="G902" s="48" t="n">
        <f aca="false">C902*(IF($A902&lt;$Q$888,INDEX(Surface_Engine!$D$12:$D$72,$A902+1)+(Surface_Engine!L244*12)*INDEX(Surface_Engine!$F$12:$F$72,$A902+1)-(Surface_Engine!L244*12),1000*12*INDEX(Surface_Engine!$C$12:$C$72,$A902+1)/(1+Assumptions!$B$10)^17+INDEX(Surface_Engine!$D$12:$D$72,$A902+1)))*INDEX(Surface_Engine!$B$12:$B$72,$A902+1)+G903</f>
        <v>34094.2198751229</v>
      </c>
      <c r="H902" s="48" t="n">
        <f aca="false">D902*(IF($A902&lt;$Q$888,INDEX(Surface_Engine!$D$12:$D$72,$A902+1)+(Surface_Engine!L244*12)*INDEX(Surface_Engine!$F$12:$F$72,$A902+1)-(Surface_Engine!L244*12),1000*12*INDEX(Surface_Engine!$C$12:$C$72,$A902+1)/(1+Assumptions!$B$10)^17+INDEX(Surface_Engine!$D$12:$D$72,$A902+1)))*INDEX(Surface_Engine!$B$12:$B$72,$A902+1)+H903</f>
        <v>24039.7146665067</v>
      </c>
      <c r="I902" s="48" t="n">
        <f aca="false">E902*(IF($A902&lt;$Q$888,INDEX(Surface_Engine!$D$12:$D$72,$A902+1)+(Surface_Engine!L244*12)*INDEX(Surface_Engine!$F$12:$F$72,$A902+1)-(Surface_Engine!L244*12),1000*12*INDEX(Surface_Engine!$C$12:$C$72,$A902+1)/(1+Assumptions!$B$10)^17+INDEX(Surface_Engine!$D$12:$D$72,$A902+1)))*INDEX(Surface_Engine!$B$12:$B$72,$A902+1)+I903</f>
        <v>30056.7043696581</v>
      </c>
      <c r="J902" s="48" t="n">
        <f aca="false">B902*(IF($A902&lt;$Q$888,INDEX(Surface_Engine!$D$12:$D$72,$A902+1)*(1+Assumptions!$B$24)+(Surface_Engine!L244*12)*INDEX(Surface_Engine!$F$12:$F$72,$A902+1)-(Surface_Engine!L244*12),1000*12*INDEX(Surface_Engine!$C$12:$C$72,$A902+1)/(1+Assumptions!$B$10)^17+INDEX(Surface_Engine!$D$12:$D$72,$A902+1)*(1+Assumptions!$B$24)))*INDEX(Surface_Engine!$B$12:$B$72,$A902+1)+J903</f>
        <v>26956.1724552291</v>
      </c>
      <c r="K902" s="12" t="n">
        <f aca="false">SQRT((IF(C902&lt;=0,0,MAX(0,(B902/C902)*G902/INDEX(Surface_Engine!$B$12:$B$72,$A902+1)-F902/INDEX(Surface_Engine!$B$12:$B$72,$A902+1))))^2+(MAX(IF(D902&lt;=0,0,MAX(0,(B902/D902)*H902/INDEX(Surface_Engine!$B$12:$B$72,$A902+1)-F902/INDEX(Surface_Engine!$B$12:$B$72,$A902+1))),IF(E902&lt;=0,0,MAX(0,(B902/E902)*I902/INDEX(Surface_Engine!$B$12:$B$72,$A902+1)-F902/INDEX(Surface_Engine!$B$12:$B$72,$A902+1))),IF($A902&lt;$Q$888,MAX(0,-Assumptions!$B$22*(F902/INDEX(Surface_Engine!$B$12:$B$72,$A902+1))),0)))^2+(MAX(0,J902/INDEX(Surface_Engine!$B$12:$B$72,$A902+1)-(F902/INDEX(Surface_Engine!$B$12:$B$72,$A902+1))))^2+2*Assumptions!$B$26*(IF(C902&lt;=0,0,MAX(0,(B902/C902)*G902/INDEX(Surface_Engine!$B$12:$B$72,$A902+1)-F902/INDEX(Surface_Engine!$B$12:$B$72,$A902+1))))*(MAX(IF(D902&lt;=0,0,MAX(0,(B902/D902)*H902/INDEX(Surface_Engine!$B$12:$B$72,$A902+1)-F902/INDEX(Surface_Engine!$B$12:$B$72,$A902+1))),IF(E902&lt;=0,0,MAX(0,(B902/E902)*I902/INDEX(Surface_Engine!$B$12:$B$72,$A902+1)-F902/INDEX(Surface_Engine!$B$12:$B$72,$A902+1))),IF($A902&lt;$Q$888,MAX(0,-Assumptions!$B$22*(F902/INDEX(Surface_Engine!$B$12:$B$72,$A902+1))),0)))+2*Assumptions!$B$27*(IF(C902&lt;=0,0,MAX(0,(B902/C902)*G902/INDEX(Surface_Engine!$B$12:$B$72,$A902+1)-F902/INDEX(Surface_Engine!$B$12:$B$72,$A902+1))))*(MAX(0,J902/INDEX(Surface_Engine!$B$12:$B$72,$A902+1)-(F902/INDEX(Surface_Engine!$B$12:$B$72,$A902+1))))+2*Assumptions!$B$28*(MAX(IF(D902&lt;=0,0,MAX(0,(B902/D902)*H902/INDEX(Surface_Engine!$B$12:$B$72,$A902+1)-F902/INDEX(Surface_Engine!$B$12:$B$72,$A902+1))),IF(E902&lt;=0,0,MAX(0,(B902/E902)*I902/INDEX(Surface_Engine!$B$12:$B$72,$A902+1)-F902/INDEX(Surface_Engine!$B$12:$B$72,$A902+1))),IF($A902&lt;$Q$888,MAX(0,-Assumptions!$B$22*(F902/INDEX(Surface_Engine!$B$12:$B$72,$A902+1))),0)))*(MAX(0,J902/INDEX(Surface_Engine!$B$12:$B$72,$A902+1)-(F902/INDEX(Surface_Engine!$B$12:$B$72,$A902+1)))))</f>
        <v>8963.21964677246</v>
      </c>
      <c r="L902" s="48" t="n">
        <f aca="false">K902*INDEX(Surface_Engine!$B$12:$B$72,$A902+1)+L903</f>
        <v>63525.2804707904</v>
      </c>
      <c r="M902" s="48" t="n">
        <f aca="false">M901+B901*(IF($A901&lt;$Q$888,(Surface_Engine!L244*12)-(Surface_Engine!L244*12)*INDEX(Surface_Engine!$F$12:$F$72,$A901+1)-INDEX(Surface_Engine!$D$12:$D$72,$A901+1),-(1000*12*INDEX(Surface_Engine!$C$12:$C$72,$A901+1)/(1+Assumptions!$B$10)^17+INDEX(Surface_Engine!$D$12:$D$72,$A901+1))))*INDEX(Surface_Engine!$B$12:$B$72,$A901+1)</f>
        <v>28174.644853487</v>
      </c>
      <c r="N902" s="12" t="n">
        <f aca="false">IF(B902&lt;=0,0,MAX(0,(K902+Assumptions!$B$29*L902/INDEX(Surface_Engine!$B$12:$B$72,$A902+1)-(M902/INDEX(Surface_Engine!$B$12:$B$72,$A902+1)-(F902/INDEX(Surface_Engine!$B$12:$B$72,$A902+1))))/B902))</f>
        <v>17623.7182172438</v>
      </c>
    </row>
    <row r="903" customFormat="false" ht="15" hidden="false" customHeight="true" outlineLevel="0" collapsed="false">
      <c r="A903" s="1" t="n">
        <v>13</v>
      </c>
      <c r="B903" s="32" t="n">
        <f aca="false">INDEX(Surface_Engine!$O$12:$O$72,$A903+1)*IF($A903&lt;$Q$888,INDEX(Surface_Engine!$E$12:$E$72,$A903+1),INDEX(Surface_Engine!$E$12:$E$72,$Q$888+1))</f>
        <v>0.686707376575609</v>
      </c>
      <c r="C903" s="32" t="n">
        <f aca="false">INDEX(Panel_Reserving!$E$8:$E$68,$A903+1)*IF($A903&lt;$Q$888,INDEX(Surface_Engine!$E$12:$E$72,$A903+1),INDEX(Surface_Engine!$E$12:$E$72,$Q$888+1))</f>
        <v>0.714819506834005</v>
      </c>
      <c r="D903" s="32" t="n">
        <f aca="false">INDEX(Surface_Engine!$O$12:$O$72,$A903+1)*IF($A903&lt;$Q$888,INDEX(Surface_Engine!$Y$12:$Y$72,$A903+1),INDEX(Surface_Engine!$Y$12:$Y$72,$Q$888+1))</f>
        <v>0.62782613850198</v>
      </c>
      <c r="E903" s="32" t="n">
        <f aca="false">INDEX(Surface_Engine!$O$12:$O$72,$A903+1)*IF($A903&lt;$Q$888,INDEX(Surface_Engine!$Z$12:$Z$72,$A903+1),INDEX(Surface_Engine!$Z$12:$Z$72,$Q$888+1))</f>
        <v>0.750453335506119</v>
      </c>
      <c r="F903" s="48" t="n">
        <f aca="false">B903*(IF($A903&lt;$Q$888,INDEX(Surface_Engine!$D$12:$D$72,$A903+1)+(Surface_Engine!L244*12)*INDEX(Surface_Engine!$F$12:$F$72,$A903+1)-(Surface_Engine!L244*12),1000*12*INDEX(Surface_Engine!$C$12:$C$72,$A903+1)/(1+Assumptions!$B$10)^17+INDEX(Surface_Engine!$D$12:$D$72,$A903+1)))*INDEX(Surface_Engine!$B$12:$B$72,$A903+1)+F904</f>
        <v>28664.8984549722</v>
      </c>
      <c r="G903" s="48" t="n">
        <f aca="false">C903*(IF($A903&lt;$Q$888,INDEX(Surface_Engine!$D$12:$D$72,$A903+1)+(Surface_Engine!L244*12)*INDEX(Surface_Engine!$F$12:$F$72,$A903+1)-(Surface_Engine!L244*12),1000*12*INDEX(Surface_Engine!$C$12:$C$72,$A903+1)/(1+Assumptions!$B$10)^17+INDEX(Surface_Engine!$D$12:$D$72,$A903+1)))*INDEX(Surface_Engine!$B$12:$B$72,$A903+1)+G904</f>
        <v>35926.1843311854</v>
      </c>
      <c r="H903" s="48" t="n">
        <f aca="false">D903*(IF($A903&lt;$Q$888,INDEX(Surface_Engine!$D$12:$D$72,$A903+1)+(Surface_Engine!L244*12)*INDEX(Surface_Engine!$F$12:$F$72,$A903+1)-(Surface_Engine!L244*12),1000*12*INDEX(Surface_Engine!$C$12:$C$72,$A903+1)/(1+Assumptions!$B$10)^17+INDEX(Surface_Engine!$D$12:$D$72,$A903+1)))*INDEX(Surface_Engine!$B$12:$B$72,$A903+1)+H904</f>
        <v>25665.5705346326</v>
      </c>
      <c r="I903" s="48" t="n">
        <f aca="false">E903*(IF($A903&lt;$Q$888,INDEX(Surface_Engine!$D$12:$D$72,$A903+1)+(Surface_Engine!L244*12)*INDEX(Surface_Engine!$F$12:$F$72,$A903+1)-(Surface_Engine!L244*12),1000*12*INDEX(Surface_Engine!$C$12:$C$72,$A903+1)/(1+Assumptions!$B$10)^17+INDEX(Surface_Engine!$D$12:$D$72,$A903+1)))*INDEX(Surface_Engine!$B$12:$B$72,$A903+1)+I904</f>
        <v>31982.3569687818</v>
      </c>
      <c r="J903" s="48" t="n">
        <f aca="false">B903*(IF($A903&lt;$Q$888,INDEX(Surface_Engine!$D$12:$D$72,$A903+1)*(1+Assumptions!$B$24)+(Surface_Engine!L244*12)*INDEX(Surface_Engine!$F$12:$F$72,$A903+1)-(Surface_Engine!L244*12),1000*12*INDEX(Surface_Engine!$C$12:$C$72,$A903+1)/(1+Assumptions!$B$10)^17+INDEX(Surface_Engine!$D$12:$D$72,$A903+1)*(1+Assumptions!$B$24)))*INDEX(Surface_Engine!$B$12:$B$72,$A903+1)+J904</f>
        <v>28720.8232356493</v>
      </c>
      <c r="K903" s="12" t="n">
        <f aca="false">SQRT((IF(C903&lt;=0,0,MAX(0,(B903/C903)*G903/INDEX(Surface_Engine!$B$12:$B$72,$A903+1)-F903/INDEX(Surface_Engine!$B$12:$B$72,$A903+1))))^2+(MAX(IF(D903&lt;=0,0,MAX(0,(B903/D903)*H903/INDEX(Surface_Engine!$B$12:$B$72,$A903+1)-F903/INDEX(Surface_Engine!$B$12:$B$72,$A903+1))),IF(E903&lt;=0,0,MAX(0,(B903/E903)*I903/INDEX(Surface_Engine!$B$12:$B$72,$A903+1)-F903/INDEX(Surface_Engine!$B$12:$B$72,$A903+1))),IF($A903&lt;$Q$888,MAX(0,-Assumptions!$B$22*(F903/INDEX(Surface_Engine!$B$12:$B$72,$A903+1))),0)))^2+(MAX(0,J903/INDEX(Surface_Engine!$B$12:$B$72,$A903+1)-(F903/INDEX(Surface_Engine!$B$12:$B$72,$A903+1))))^2+2*Assumptions!$B$26*(IF(C903&lt;=0,0,MAX(0,(B903/C903)*G903/INDEX(Surface_Engine!$B$12:$B$72,$A903+1)-F903/INDEX(Surface_Engine!$B$12:$B$72,$A903+1))))*(MAX(IF(D903&lt;=0,0,MAX(0,(B903/D903)*H903/INDEX(Surface_Engine!$B$12:$B$72,$A903+1)-F903/INDEX(Surface_Engine!$B$12:$B$72,$A903+1))),IF(E903&lt;=0,0,MAX(0,(B903/E903)*I903/INDEX(Surface_Engine!$B$12:$B$72,$A903+1)-F903/INDEX(Surface_Engine!$B$12:$B$72,$A903+1))),IF($A903&lt;$Q$888,MAX(0,-Assumptions!$B$22*(F903/INDEX(Surface_Engine!$B$12:$B$72,$A903+1))),0)))+2*Assumptions!$B$27*(IF(C903&lt;=0,0,MAX(0,(B903/C903)*G903/INDEX(Surface_Engine!$B$12:$B$72,$A903+1)-F903/INDEX(Surface_Engine!$B$12:$B$72,$A903+1))))*(MAX(0,J903/INDEX(Surface_Engine!$B$12:$B$72,$A903+1)-(F903/INDEX(Surface_Engine!$B$12:$B$72,$A903+1))))+2*Assumptions!$B$28*(MAX(IF(D903&lt;=0,0,MAX(0,(B903/D903)*H903/INDEX(Surface_Engine!$B$12:$B$72,$A903+1)-F903/INDEX(Surface_Engine!$B$12:$B$72,$A903+1))),IF(E903&lt;=0,0,MAX(0,(B903/E903)*I903/INDEX(Surface_Engine!$B$12:$B$72,$A903+1)-F903/INDEX(Surface_Engine!$B$12:$B$72,$A903+1))),IF($A903&lt;$Q$888,MAX(0,-Assumptions!$B$22*(F903/INDEX(Surface_Engine!$B$12:$B$72,$A903+1))),0)))*(MAX(0,J903/INDEX(Surface_Engine!$B$12:$B$72,$A903+1)-(F903/INDEX(Surface_Engine!$B$12:$B$72,$A903+1)))))</f>
        <v>8911.85192763438</v>
      </c>
      <c r="L903" s="48" t="n">
        <f aca="false">K903*INDEX(Surface_Engine!$B$12:$B$72,$A903+1)+L904</f>
        <v>57232.7962138179</v>
      </c>
      <c r="M903" s="48" t="n">
        <f aca="false">M902+B902*(IF($A902&lt;$Q$888,(Surface_Engine!L244*12)-(Surface_Engine!L244*12)*INDEX(Surface_Engine!$F$12:$F$72,$A902+1)-INDEX(Surface_Engine!$D$12:$D$72,$A902+1),-(1000*12*INDEX(Surface_Engine!$C$12:$C$72,$A902+1)/(1+Assumptions!$B$10)^17+INDEX(Surface_Engine!$D$12:$D$72,$A902+1))))*INDEX(Surface_Engine!$B$12:$B$72,$A902+1)</f>
        <v>29944.8173267268</v>
      </c>
      <c r="N903" s="12" t="n">
        <f aca="false">IF(B903&lt;=0,0,MAX(0,(K903+Assumptions!$B$29*L903/INDEX(Surface_Engine!$B$12:$B$72,$A903+1)-(M903/INDEX(Surface_Engine!$B$12:$B$72,$A903+1)-(F903/INDEX(Surface_Engine!$B$12:$B$72,$A903+1))))/B903))</f>
        <v>17603.3437230043</v>
      </c>
    </row>
    <row r="904" customFormat="false" ht="15" hidden="false" customHeight="true" outlineLevel="0" collapsed="false">
      <c r="A904" s="1" t="n">
        <v>14</v>
      </c>
      <c r="B904" s="32" t="n">
        <f aca="false">INDEX(Surface_Engine!$O$12:$O$72,$A904+1)*IF($A904&lt;$Q$888,INDEX(Surface_Engine!$E$12:$E$72,$A904+1),INDEX(Surface_Engine!$E$12:$E$72,$Q$888+1))</f>
        <v>0.658839302913626</v>
      </c>
      <c r="C904" s="32" t="n">
        <f aca="false">INDEX(Panel_Reserving!$E$8:$E$68,$A904+1)*IF($A904&lt;$Q$888,INDEX(Surface_Engine!$E$12:$E$72,$A904+1),INDEX(Surface_Engine!$E$12:$E$72,$Q$888+1))</f>
        <v>0.690311395462693</v>
      </c>
      <c r="D904" s="32" t="n">
        <f aca="false">INDEX(Surface_Engine!$O$12:$O$72,$A904+1)*IF($A904&lt;$Q$888,INDEX(Surface_Engine!$Y$12:$Y$72,$A904+1),INDEX(Surface_Engine!$Y$12:$Y$72,$Q$888+1))</f>
        <v>0.599581742305234</v>
      </c>
      <c r="E904" s="32" t="n">
        <f aca="false">INDEX(Surface_Engine!$O$12:$O$72,$A904+1)*IF($A904&lt;$Q$888,INDEX(Surface_Engine!$Z$12:$Z$72,$A904+1),INDEX(Surface_Engine!$Z$12:$Z$72,$Q$888+1))</f>
        <v>0.723304390301379</v>
      </c>
      <c r="F904" s="48" t="n">
        <f aca="false">B904*(IF($A904&lt;$Q$888,INDEX(Surface_Engine!$D$12:$D$72,$A904+1)+(Surface_Engine!L244*12)*INDEX(Surface_Engine!$F$12:$F$72,$A904+1)-(Surface_Engine!L244*12),1000*12*INDEX(Surface_Engine!$C$12:$C$72,$A904+1)/(1+Assumptions!$B$10)^17+INDEX(Surface_Engine!$D$12:$D$72,$A904+1)))*INDEX(Surface_Engine!$B$12:$B$72,$A904+1)+F905</f>
        <v>30309.9669898573</v>
      </c>
      <c r="G904" s="48" t="n">
        <f aca="false">C904*(IF($A904&lt;$Q$888,INDEX(Surface_Engine!$D$12:$D$72,$A904+1)+(Surface_Engine!L244*12)*INDEX(Surface_Engine!$F$12:$F$72,$A904+1)-(Surface_Engine!L244*12),1000*12*INDEX(Surface_Engine!$C$12:$C$72,$A904+1)/(1+Assumptions!$B$10)^17+INDEX(Surface_Engine!$D$12:$D$72,$A904+1)))*INDEX(Surface_Engine!$B$12:$B$72,$A904+1)+G905</f>
        <v>37638.5979718814</v>
      </c>
      <c r="H904" s="48" t="n">
        <f aca="false">D904*(IF($A904&lt;$Q$888,INDEX(Surface_Engine!$D$12:$D$72,$A904+1)+(Surface_Engine!L244*12)*INDEX(Surface_Engine!$F$12:$F$72,$A904+1)-(Surface_Engine!L244*12),1000*12*INDEX(Surface_Engine!$C$12:$C$72,$A904+1)/(1+Assumptions!$B$10)^17+INDEX(Surface_Engine!$D$12:$D$72,$A904+1)))*INDEX(Surface_Engine!$B$12:$B$72,$A904+1)+H905</f>
        <v>27169.5838320845</v>
      </c>
      <c r="I904" s="48" t="n">
        <f aca="false">E904*(IF($A904&lt;$Q$888,INDEX(Surface_Engine!$D$12:$D$72,$A904+1)+(Surface_Engine!L244*12)*INDEX(Surface_Engine!$F$12:$F$72,$A904+1)-(Surface_Engine!L244*12),1000*12*INDEX(Surface_Engine!$C$12:$C$72,$A904+1)/(1+Assumptions!$B$10)^17+INDEX(Surface_Engine!$D$12:$D$72,$A904+1)))*INDEX(Surface_Engine!$B$12:$B$72,$A904+1)+I905</f>
        <v>33780.1346121456</v>
      </c>
      <c r="J904" s="48" t="n">
        <f aca="false">B904*(IF($A904&lt;$Q$888,INDEX(Surface_Engine!$D$12:$D$72,$A904+1)*(1+Assumptions!$B$24)+(Surface_Engine!L244*12)*INDEX(Surface_Engine!$F$12:$F$72,$A904+1)-(Surface_Engine!L244*12),1000*12*INDEX(Surface_Engine!$C$12:$C$72,$A904+1)/(1+Assumptions!$B$10)^17+INDEX(Surface_Engine!$D$12:$D$72,$A904+1)*(1+Assumptions!$B$24)))*INDEX(Surface_Engine!$B$12:$B$72,$A904+1)+J905</f>
        <v>30360.627922704</v>
      </c>
      <c r="K904" s="12" t="n">
        <f aca="false">SQRT((IF(C904&lt;=0,0,MAX(0,(B904/C904)*G904/INDEX(Surface_Engine!$B$12:$B$72,$A904+1)-F904/INDEX(Surface_Engine!$B$12:$B$72,$A904+1))))^2+(MAX(IF(D904&lt;=0,0,MAX(0,(B904/D904)*H904/INDEX(Surface_Engine!$B$12:$B$72,$A904+1)-F904/INDEX(Surface_Engine!$B$12:$B$72,$A904+1))),IF(E904&lt;=0,0,MAX(0,(B904/E904)*I904/INDEX(Surface_Engine!$B$12:$B$72,$A904+1)-F904/INDEX(Surface_Engine!$B$12:$B$72,$A904+1))),IF($A904&lt;$Q$888,MAX(0,-Assumptions!$B$22*(F904/INDEX(Surface_Engine!$B$12:$B$72,$A904+1))),0)))^2+(MAX(0,J904/INDEX(Surface_Engine!$B$12:$B$72,$A904+1)-(F904/INDEX(Surface_Engine!$B$12:$B$72,$A904+1))))^2+2*Assumptions!$B$26*(IF(C904&lt;=0,0,MAX(0,(B904/C904)*G904/INDEX(Surface_Engine!$B$12:$B$72,$A904+1)-F904/INDEX(Surface_Engine!$B$12:$B$72,$A904+1))))*(MAX(IF(D904&lt;=0,0,MAX(0,(B904/D904)*H904/INDEX(Surface_Engine!$B$12:$B$72,$A904+1)-F904/INDEX(Surface_Engine!$B$12:$B$72,$A904+1))),IF(E904&lt;=0,0,MAX(0,(B904/E904)*I904/INDEX(Surface_Engine!$B$12:$B$72,$A904+1)-F904/INDEX(Surface_Engine!$B$12:$B$72,$A904+1))),IF($A904&lt;$Q$888,MAX(0,-Assumptions!$B$22*(F904/INDEX(Surface_Engine!$B$12:$B$72,$A904+1))),0)))+2*Assumptions!$B$27*(IF(C904&lt;=0,0,MAX(0,(B904/C904)*G904/INDEX(Surface_Engine!$B$12:$B$72,$A904+1)-F904/INDEX(Surface_Engine!$B$12:$B$72,$A904+1))))*(MAX(0,J904/INDEX(Surface_Engine!$B$12:$B$72,$A904+1)-(F904/INDEX(Surface_Engine!$B$12:$B$72,$A904+1))))+2*Assumptions!$B$28*(MAX(IF(D904&lt;=0,0,MAX(0,(B904/D904)*H904/INDEX(Surface_Engine!$B$12:$B$72,$A904+1)-F904/INDEX(Surface_Engine!$B$12:$B$72,$A904+1))),IF(E904&lt;=0,0,MAX(0,(B904/E904)*I904/INDEX(Surface_Engine!$B$12:$B$72,$A904+1)-F904/INDEX(Surface_Engine!$B$12:$B$72,$A904+1))),IF($A904&lt;$Q$888,MAX(0,-Assumptions!$B$22*(F904/INDEX(Surface_Engine!$B$12:$B$72,$A904+1))),0)))*(MAX(0,J904/INDEX(Surface_Engine!$B$12:$B$72,$A904+1)-(F904/INDEX(Surface_Engine!$B$12:$B$72,$A904+1)))))</f>
        <v>8786.46410071854</v>
      </c>
      <c r="L904" s="48" t="n">
        <f aca="false">K904*INDEX(Surface_Engine!$B$12:$B$72,$A904+1)+L905</f>
        <v>51189.4778594948</v>
      </c>
      <c r="M904" s="48" t="n">
        <f aca="false">M903+B903*(IF($A903&lt;$Q$888,(Surface_Engine!L244*12)-(Surface_Engine!L244*12)*INDEX(Surface_Engine!$F$12:$F$72,$A903+1)-INDEX(Surface_Engine!$D$12:$D$72,$A903+1),-(1000*12*INDEX(Surface_Engine!$C$12:$C$72,$A903+1)/(1+Assumptions!$B$10)^17+INDEX(Surface_Engine!$D$12:$D$72,$A903+1))))*INDEX(Surface_Engine!$B$12:$B$72,$A903+1)</f>
        <v>31589.8858616118</v>
      </c>
      <c r="N904" s="12" t="n">
        <f aca="false">IF(B904&lt;=0,0,MAX(0,(K904+Assumptions!$B$29*L904/INDEX(Surface_Engine!$B$12:$B$72,$A904+1)-(M904/INDEX(Surface_Engine!$B$12:$B$72,$A904+1)-(F904/INDEX(Surface_Engine!$B$12:$B$72,$A904+1))))/B904))</f>
        <v>17484.5197945569</v>
      </c>
    </row>
    <row r="905" customFormat="false" ht="15" hidden="false" customHeight="true" outlineLevel="0" collapsed="false">
      <c r="A905" s="1" t="n">
        <v>15</v>
      </c>
      <c r="B905" s="32" t="n">
        <f aca="false">INDEX(Surface_Engine!$O$12:$O$72,$A905+1)*IF($A905&lt;$Q$888,INDEX(Surface_Engine!$E$12:$E$72,$A905+1),INDEX(Surface_Engine!$E$12:$E$72,$Q$888+1))</f>
        <v>0.62956195446905</v>
      </c>
      <c r="C905" s="32" t="n">
        <f aca="false">INDEX(Panel_Reserving!$E$8:$E$68,$A905+1)*IF($A905&lt;$Q$888,INDEX(Surface_Engine!$E$12:$E$72,$A905+1),INDEX(Surface_Engine!$E$12:$E$72,$Q$888+1))</f>
        <v>0.664514310316086</v>
      </c>
      <c r="D905" s="32" t="n">
        <f aca="false">INDEX(Surface_Engine!$O$12:$O$72,$A905+1)*IF($A905&lt;$Q$888,INDEX(Surface_Engine!$Y$12:$Y$72,$A905+1),INDEX(Surface_Engine!$Y$12:$Y$72,$Q$888+1))</f>
        <v>0.570306860893999</v>
      </c>
      <c r="E905" s="32" t="n">
        <f aca="false">INDEX(Surface_Engine!$O$12:$O$72,$A905+1)*IF($A905&lt;$Q$888,INDEX(Surface_Engine!$Z$12:$Z$72,$A905+1),INDEX(Surface_Engine!$Z$12:$Z$72,$Q$888+1))</f>
        <v>0.694336026339197</v>
      </c>
      <c r="F905" s="48" t="n">
        <f aca="false">B905*(IF($A905&lt;$Q$888,INDEX(Surface_Engine!$D$12:$D$72,$A905+1)+(Surface_Engine!L244*12)*INDEX(Surface_Engine!$F$12:$F$72,$A905+1)-(Surface_Engine!L244*12),1000*12*INDEX(Surface_Engine!$C$12:$C$72,$A905+1)/(1+Assumptions!$B$10)^17+INDEX(Surface_Engine!$D$12:$D$72,$A905+1)))*INDEX(Surface_Engine!$B$12:$B$72,$A905+1)+F906</f>
        <v>31834.3629953439</v>
      </c>
      <c r="G905" s="48" t="n">
        <f aca="false">C905*(IF($A905&lt;$Q$888,INDEX(Surface_Engine!$D$12:$D$72,$A905+1)+(Surface_Engine!L244*12)*INDEX(Surface_Engine!$F$12:$F$72,$A905+1)-(Surface_Engine!L244*12),1000*12*INDEX(Surface_Engine!$C$12:$C$72,$A905+1)/(1+Assumptions!$B$10)^17+INDEX(Surface_Engine!$D$12:$D$72,$A905+1)))*INDEX(Surface_Engine!$B$12:$B$72,$A905+1)+G906</f>
        <v>39235.8128452679</v>
      </c>
      <c r="H905" s="48" t="n">
        <f aca="false">D905*(IF($A905&lt;$Q$888,INDEX(Surface_Engine!$D$12:$D$72,$A905+1)+(Surface_Engine!L244*12)*INDEX(Surface_Engine!$F$12:$F$72,$A905+1)-(Surface_Engine!L244*12),1000*12*INDEX(Surface_Engine!$C$12:$C$72,$A905+1)/(1+Assumptions!$B$10)^17+INDEX(Surface_Engine!$D$12:$D$72,$A905+1)))*INDEX(Surface_Engine!$B$12:$B$72,$A905+1)+H906</f>
        <v>28556.8720659387</v>
      </c>
      <c r="I905" s="48" t="n">
        <f aca="false">E905*(IF($A905&lt;$Q$888,INDEX(Surface_Engine!$D$12:$D$72,$A905+1)+(Surface_Engine!L244*12)*INDEX(Surface_Engine!$F$12:$F$72,$A905+1)-(Surface_Engine!L244*12),1000*12*INDEX(Surface_Engine!$C$12:$C$72,$A905+1)/(1+Assumptions!$B$10)^17+INDEX(Surface_Engine!$D$12:$D$72,$A905+1)))*INDEX(Surface_Engine!$B$12:$B$72,$A905+1)+I906</f>
        <v>35453.6873562673</v>
      </c>
      <c r="J905" s="48" t="n">
        <f aca="false">B905*(IF($A905&lt;$Q$888,INDEX(Surface_Engine!$D$12:$D$72,$A905+1)*(1+Assumptions!$B$24)+(Surface_Engine!L244*12)*INDEX(Surface_Engine!$F$12:$F$72,$A905+1)-(Surface_Engine!L244*12),1000*12*INDEX(Surface_Engine!$C$12:$C$72,$A905+1)/(1+Assumptions!$B$10)^17+INDEX(Surface_Engine!$D$12:$D$72,$A905+1)*(1+Assumptions!$B$24)))*INDEX(Surface_Engine!$B$12:$B$72,$A905+1)+J906</f>
        <v>31880.0202594776</v>
      </c>
      <c r="K905" s="12" t="n">
        <f aca="false">SQRT((IF(C905&lt;=0,0,MAX(0,(B905/C905)*G905/INDEX(Surface_Engine!$B$12:$B$72,$A905+1)-F905/INDEX(Surface_Engine!$B$12:$B$72,$A905+1))))^2+(MAX(IF(D905&lt;=0,0,MAX(0,(B905/D905)*H905/INDEX(Surface_Engine!$B$12:$B$72,$A905+1)-F905/INDEX(Surface_Engine!$B$12:$B$72,$A905+1))),IF(E905&lt;=0,0,MAX(0,(B905/E905)*I905/INDEX(Surface_Engine!$B$12:$B$72,$A905+1)-F905/INDEX(Surface_Engine!$B$12:$B$72,$A905+1))),IF($A905&lt;$Q$888,MAX(0,-Assumptions!$B$22*(F905/INDEX(Surface_Engine!$B$12:$B$72,$A905+1))),0)))^2+(MAX(0,J905/INDEX(Surface_Engine!$B$12:$B$72,$A905+1)-(F905/INDEX(Surface_Engine!$B$12:$B$72,$A905+1))))^2+2*Assumptions!$B$26*(IF(C905&lt;=0,0,MAX(0,(B905/C905)*G905/INDEX(Surface_Engine!$B$12:$B$72,$A905+1)-F905/INDEX(Surface_Engine!$B$12:$B$72,$A905+1))))*(MAX(IF(D905&lt;=0,0,MAX(0,(B905/D905)*H905/INDEX(Surface_Engine!$B$12:$B$72,$A905+1)-F905/INDEX(Surface_Engine!$B$12:$B$72,$A905+1))),IF(E905&lt;=0,0,MAX(0,(B905/E905)*I905/INDEX(Surface_Engine!$B$12:$B$72,$A905+1)-F905/INDEX(Surface_Engine!$B$12:$B$72,$A905+1))),IF($A905&lt;$Q$888,MAX(0,-Assumptions!$B$22*(F905/INDEX(Surface_Engine!$B$12:$B$72,$A905+1))),0)))+2*Assumptions!$B$27*(IF(C905&lt;=0,0,MAX(0,(B905/C905)*G905/INDEX(Surface_Engine!$B$12:$B$72,$A905+1)-F905/INDEX(Surface_Engine!$B$12:$B$72,$A905+1))))*(MAX(0,J905/INDEX(Surface_Engine!$B$12:$B$72,$A905+1)-(F905/INDEX(Surface_Engine!$B$12:$B$72,$A905+1))))+2*Assumptions!$B$28*(MAX(IF(D905&lt;=0,0,MAX(0,(B905/D905)*H905/INDEX(Surface_Engine!$B$12:$B$72,$A905+1)-F905/INDEX(Surface_Engine!$B$12:$B$72,$A905+1))),IF(E905&lt;=0,0,MAX(0,(B905/E905)*I905/INDEX(Surface_Engine!$B$12:$B$72,$A905+1)-F905/INDEX(Surface_Engine!$B$12:$B$72,$A905+1))),IF($A905&lt;$Q$888,MAX(0,-Assumptions!$B$22*(F905/INDEX(Surface_Engine!$B$12:$B$72,$A905+1))),0)))*(MAX(0,J905/INDEX(Surface_Engine!$B$12:$B$72,$A905+1)-(F905/INDEX(Surface_Engine!$B$12:$B$72,$A905+1)))))</f>
        <v>8603.33456255397</v>
      </c>
      <c r="L905" s="48" t="n">
        <f aca="false">K905*INDEX(Surface_Engine!$B$12:$B$72,$A905+1)+L906</f>
        <v>45430.1046759681</v>
      </c>
      <c r="M905" s="48" t="n">
        <f aca="false">M904+B904*(IF($A904&lt;$Q$888,(Surface_Engine!L244*12)-(Surface_Engine!L244*12)*INDEX(Surface_Engine!$F$12:$F$72,$A904+1)-INDEX(Surface_Engine!$D$12:$D$72,$A904+1),-(1000*12*INDEX(Surface_Engine!$C$12:$C$72,$A904+1)/(1+Assumptions!$B$10)^17+INDEX(Surface_Engine!$D$12:$D$72,$A904+1))))*INDEX(Surface_Engine!$B$12:$B$72,$A904+1)</f>
        <v>33114.2818670984</v>
      </c>
      <c r="N905" s="12" t="n">
        <f aca="false">IF(B905&lt;=0,0,MAX(0,(K905+Assumptions!$B$29*L905/INDEX(Surface_Engine!$B$12:$B$72,$A905+1)-(M905/INDEX(Surface_Engine!$B$12:$B$72,$A905+1)-(F905/INDEX(Surface_Engine!$B$12:$B$72,$A905+1))))/B905))</f>
        <v>17299.8674192319</v>
      </c>
    </row>
    <row r="906" customFormat="false" ht="15" hidden="false" customHeight="true" outlineLevel="0" collapsed="false">
      <c r="A906" s="1" t="n">
        <v>16</v>
      </c>
      <c r="B906" s="32" t="n">
        <f aca="false">INDEX(Surface_Engine!$O$12:$O$72,$A906+1)*IF($A906&lt;$Q$888,INDEX(Surface_Engine!$E$12:$E$72,$A906+1),INDEX(Surface_Engine!$E$12:$E$72,$Q$888+1))</f>
        <v>0.598864857014466</v>
      </c>
      <c r="C906" s="32" t="n">
        <f aca="false">INDEX(Panel_Reserving!$E$8:$E$68,$A906+1)*IF($A906&lt;$Q$888,INDEX(Surface_Engine!$E$12:$E$72,$A906+1),INDEX(Surface_Engine!$E$12:$E$72,$Q$888+1))</f>
        <v>0.637383810064827</v>
      </c>
      <c r="D906" s="32" t="n">
        <f aca="false">INDEX(Surface_Engine!$O$12:$O$72,$A906+1)*IF($A906&lt;$Q$888,INDEX(Surface_Engine!$Y$12:$Y$72,$A906+1),INDEX(Surface_Engine!$Y$12:$Y$72,$Q$888+1))</f>
        <v>0.540007970529124</v>
      </c>
      <c r="E906" s="32" t="n">
        <f aca="false">INDEX(Surface_Engine!$O$12:$O$72,$A906+1)*IF($A906&lt;$Q$888,INDEX(Surface_Engine!$Z$12:$Z$72,$A906+1),INDEX(Surface_Engine!$Z$12:$Z$72,$Q$888+1))</f>
        <v>0.663513365460991</v>
      </c>
      <c r="F906" s="48" t="n">
        <f aca="false">B906*(IF($A906&lt;$Q$888,INDEX(Surface_Engine!$D$12:$D$72,$A906+1)+(Surface_Engine!L244*12)*INDEX(Surface_Engine!$F$12:$F$72,$A906+1)-(Surface_Engine!L244*12),1000*12*INDEX(Surface_Engine!$C$12:$C$72,$A906+1)/(1+Assumptions!$B$10)^17+INDEX(Surface_Engine!$D$12:$D$72,$A906+1)))*INDEX(Surface_Engine!$B$12:$B$72,$A906+1)+F907</f>
        <v>33237.554372198</v>
      </c>
      <c r="G906" s="48" t="n">
        <f aca="false">C906*(IF($A906&lt;$Q$888,INDEX(Surface_Engine!$D$12:$D$72,$A906+1)+(Surface_Engine!L244*12)*INDEX(Surface_Engine!$F$12:$F$72,$A906+1)-(Surface_Engine!L244*12),1000*12*INDEX(Surface_Engine!$C$12:$C$72,$A906+1)/(1+Assumptions!$B$10)^17+INDEX(Surface_Engine!$D$12:$D$72,$A906+1)))*INDEX(Surface_Engine!$B$12:$B$72,$A906+1)+G907</f>
        <v>40716.9073482196</v>
      </c>
      <c r="H906" s="48" t="n">
        <f aca="false">D906*(IF($A906&lt;$Q$888,INDEX(Surface_Engine!$D$12:$D$72,$A906+1)+(Surface_Engine!L244*12)*INDEX(Surface_Engine!$F$12:$F$72,$A906+1)-(Surface_Engine!L244*12),1000*12*INDEX(Surface_Engine!$C$12:$C$72,$A906+1)/(1+Assumptions!$B$10)^17+INDEX(Surface_Engine!$D$12:$D$72,$A906+1)))*INDEX(Surface_Engine!$B$12:$B$72,$A906+1)+H907</f>
        <v>29827.9934602455</v>
      </c>
      <c r="I906" s="48" t="n">
        <f aca="false">E906*(IF($A906&lt;$Q$888,INDEX(Surface_Engine!$D$12:$D$72,$A906+1)+(Surface_Engine!L244*12)*INDEX(Surface_Engine!$F$12:$F$72,$A906+1)-(Surface_Engine!L244*12),1000*12*INDEX(Surface_Engine!$C$12:$C$72,$A906+1)/(1+Assumptions!$B$10)^17+INDEX(Surface_Engine!$D$12:$D$72,$A906+1)))*INDEX(Surface_Engine!$B$12:$B$72,$A906+1)+I907</f>
        <v>37001.2496221923</v>
      </c>
      <c r="J906" s="48" t="n">
        <f aca="false">B906*(IF($A906&lt;$Q$888,INDEX(Surface_Engine!$D$12:$D$72,$A906+1)*(1+Assumptions!$B$24)+(Surface_Engine!L244*12)*INDEX(Surface_Engine!$F$12:$F$72,$A906+1)-(Surface_Engine!L244*12),1000*12*INDEX(Surface_Engine!$C$12:$C$72,$A906+1)/(1+Assumptions!$B$10)^17+INDEX(Surface_Engine!$D$12:$D$72,$A906+1)*(1+Assumptions!$B$24)))*INDEX(Surface_Engine!$B$12:$B$72,$A906+1)+J907</f>
        <v>33278.4867861084</v>
      </c>
      <c r="K906" s="12" t="n">
        <f aca="false">SQRT((IF(C906&lt;=0,0,MAX(0,(B906/C906)*G906/INDEX(Surface_Engine!$B$12:$B$72,$A906+1)-F906/INDEX(Surface_Engine!$B$12:$B$72,$A906+1))))^2+(MAX(IF(D906&lt;=0,0,MAX(0,(B906/D906)*H906/INDEX(Surface_Engine!$B$12:$B$72,$A906+1)-F906/INDEX(Surface_Engine!$B$12:$B$72,$A906+1))),IF(E906&lt;=0,0,MAX(0,(B906/E906)*I906/INDEX(Surface_Engine!$B$12:$B$72,$A906+1)-F906/INDEX(Surface_Engine!$B$12:$B$72,$A906+1))),IF($A906&lt;$Q$888,MAX(0,-Assumptions!$B$22*(F906/INDEX(Surface_Engine!$B$12:$B$72,$A906+1))),0)))^2+(MAX(0,J906/INDEX(Surface_Engine!$B$12:$B$72,$A906+1)-(F906/INDEX(Surface_Engine!$B$12:$B$72,$A906+1))))^2+2*Assumptions!$B$26*(IF(C906&lt;=0,0,MAX(0,(B906/C906)*G906/INDEX(Surface_Engine!$B$12:$B$72,$A906+1)-F906/INDEX(Surface_Engine!$B$12:$B$72,$A906+1))))*(MAX(IF(D906&lt;=0,0,MAX(0,(B906/D906)*H906/INDEX(Surface_Engine!$B$12:$B$72,$A906+1)-F906/INDEX(Surface_Engine!$B$12:$B$72,$A906+1))),IF(E906&lt;=0,0,MAX(0,(B906/E906)*I906/INDEX(Surface_Engine!$B$12:$B$72,$A906+1)-F906/INDEX(Surface_Engine!$B$12:$B$72,$A906+1))),IF($A906&lt;$Q$888,MAX(0,-Assumptions!$B$22*(F906/INDEX(Surface_Engine!$B$12:$B$72,$A906+1))),0)))+2*Assumptions!$B$27*(IF(C906&lt;=0,0,MAX(0,(B906/C906)*G906/INDEX(Surface_Engine!$B$12:$B$72,$A906+1)-F906/INDEX(Surface_Engine!$B$12:$B$72,$A906+1))))*(MAX(0,J906/INDEX(Surface_Engine!$B$12:$B$72,$A906+1)-(F906/INDEX(Surface_Engine!$B$12:$B$72,$A906+1))))+2*Assumptions!$B$28*(MAX(IF(D906&lt;=0,0,MAX(0,(B906/D906)*H906/INDEX(Surface_Engine!$B$12:$B$72,$A906+1)-F906/INDEX(Surface_Engine!$B$12:$B$72,$A906+1))),IF(E906&lt;=0,0,MAX(0,(B906/E906)*I906/INDEX(Surface_Engine!$B$12:$B$72,$A906+1)-F906/INDEX(Surface_Engine!$B$12:$B$72,$A906+1))),IF($A906&lt;$Q$888,MAX(0,-Assumptions!$B$22*(F906/INDEX(Surface_Engine!$B$12:$B$72,$A906+1))),0)))*(MAX(0,J906/INDEX(Surface_Engine!$B$12:$B$72,$A906+1)-(F906/INDEX(Surface_Engine!$B$12:$B$72,$A906+1)))))</f>
        <v>8315.9720841104</v>
      </c>
      <c r="L906" s="48" t="n">
        <f aca="false">K906*INDEX(Surface_Engine!$B$12:$B$72,$A906+1)+L907</f>
        <v>39993.2897476717</v>
      </c>
      <c r="M906" s="48" t="n">
        <f aca="false">M905+B905*(IF($A905&lt;$Q$888,(Surface_Engine!L244*12)-(Surface_Engine!L244*12)*INDEX(Surface_Engine!$F$12:$F$72,$A905+1)-INDEX(Surface_Engine!$D$12:$D$72,$A905+1),-(1000*12*INDEX(Surface_Engine!$C$12:$C$72,$A905+1)/(1+Assumptions!$B$10)^17+INDEX(Surface_Engine!$D$12:$D$72,$A905+1))))*INDEX(Surface_Engine!$B$12:$B$72,$A905+1)</f>
        <v>34517.4732439525</v>
      </c>
      <c r="N906" s="12" t="n">
        <f aca="false">IF(B906&lt;=0,0,MAX(0,(K906+Assumptions!$B$29*L906/INDEX(Surface_Engine!$B$12:$B$72,$A906+1)-(M906/INDEX(Surface_Engine!$B$12:$B$72,$A906+1)-(F906/INDEX(Surface_Engine!$B$12:$B$72,$A906+1))))/B906))</f>
        <v>16951.9356430241</v>
      </c>
    </row>
    <row r="907" customFormat="false" ht="15" hidden="false" customHeight="true" outlineLevel="0" collapsed="false">
      <c r="A907" s="1" t="n">
        <v>17</v>
      </c>
      <c r="B907" s="32" t="n">
        <f aca="false">INDEX(Surface_Engine!$O$12:$O$72,$A907+1)*IF($A907&lt;$Q$888,INDEX(Surface_Engine!$E$12:$E$72,$A907+1),INDEX(Surface_Engine!$E$12:$E$72,$Q$888+1))</f>
        <v>0.566772742747497</v>
      </c>
      <c r="C907" s="32" t="n">
        <f aca="false">INDEX(Panel_Reserving!$E$8:$E$68,$A907+1)*IF($A907&lt;$Q$888,INDEX(Surface_Engine!$E$12:$E$72,$A907+1),INDEX(Surface_Engine!$E$12:$E$72,$Q$888+1))</f>
        <v>0.608898749766512</v>
      </c>
      <c r="D907" s="32" t="n">
        <f aca="false">INDEX(Surface_Engine!$O$12:$O$72,$A907+1)*IF($A907&lt;$Q$888,INDEX(Surface_Engine!$Y$12:$Y$72,$A907+1),INDEX(Surface_Engine!$Y$12:$Y$72,$Q$888+1))</f>
        <v>0.508723170082462</v>
      </c>
      <c r="E907" s="32" t="n">
        <f aca="false">INDEX(Surface_Engine!$O$12:$O$72,$A907+1)*IF($A907&lt;$Q$888,INDEX(Surface_Engine!$Z$12:$Z$72,$A907+1),INDEX(Surface_Engine!$Z$12:$Z$72,$Q$888+1))</f>
        <v>0.630840294349916</v>
      </c>
      <c r="F907" s="48" t="n">
        <f aca="false">B907*(IF($A907&lt;$Q$888,INDEX(Surface_Engine!$D$12:$D$72,$A907+1)+(Surface_Engine!L244*12)*INDEX(Surface_Engine!$F$12:$F$72,$A907+1)-(Surface_Engine!L244*12),1000*12*INDEX(Surface_Engine!$C$12:$C$72,$A907+1)/(1+Assumptions!$B$10)^17+INDEX(Surface_Engine!$D$12:$D$72,$A907+1)))*INDEX(Surface_Engine!$B$12:$B$72,$A907+1)+F908</f>
        <v>34524.6094031589</v>
      </c>
      <c r="G907" s="48" t="n">
        <f aca="false">C907*(IF($A907&lt;$Q$888,INDEX(Surface_Engine!$D$12:$D$72,$A907+1)+(Surface_Engine!L244*12)*INDEX(Surface_Engine!$F$12:$F$72,$A907+1)-(Surface_Engine!L244*12),1000*12*INDEX(Surface_Engine!$C$12:$C$72,$A907+1)/(1+Assumptions!$B$10)^17+INDEX(Surface_Engine!$D$12:$D$72,$A907+1)))*INDEX(Surface_Engine!$B$12:$B$72,$A907+1)+G908</f>
        <v>42086.7456845126</v>
      </c>
      <c r="H907" s="48" t="n">
        <f aca="false">D907*(IF($A907&lt;$Q$888,INDEX(Surface_Engine!$D$12:$D$72,$A907+1)+(Surface_Engine!L244*12)*INDEX(Surface_Engine!$F$12:$F$72,$A907+1)-(Surface_Engine!L244*12),1000*12*INDEX(Surface_Engine!$C$12:$C$72,$A907+1)/(1+Assumptions!$B$10)^17+INDEX(Surface_Engine!$D$12:$D$72,$A907+1)))*INDEX(Surface_Engine!$B$12:$B$72,$A907+1)+H908</f>
        <v>30988.5557592146</v>
      </c>
      <c r="I907" s="48" t="n">
        <f aca="false">E907*(IF($A907&lt;$Q$888,INDEX(Surface_Engine!$D$12:$D$72,$A907+1)+(Surface_Engine!L244*12)*INDEX(Surface_Engine!$F$12:$F$72,$A907+1)-(Surface_Engine!L244*12),1000*12*INDEX(Surface_Engine!$C$12:$C$72,$A907+1)/(1+Assumptions!$B$10)^17+INDEX(Surface_Engine!$D$12:$D$72,$A907+1)))*INDEX(Surface_Engine!$B$12:$B$72,$A907+1)+I908</f>
        <v>38427.244494197</v>
      </c>
      <c r="J907" s="48" t="n">
        <f aca="false">B907*(IF($A907&lt;$Q$888,INDEX(Surface_Engine!$D$12:$D$72,$A907+1)*(1+Assumptions!$B$24)+(Surface_Engine!L244*12)*INDEX(Surface_Engine!$F$12:$F$72,$A907+1)-(Surface_Engine!L244*12),1000*12*INDEX(Surface_Engine!$C$12:$C$72,$A907+1)/(1+Assumptions!$B$10)^17+INDEX(Surface_Engine!$D$12:$D$72,$A907+1)*(1+Assumptions!$B$24)))*INDEX(Surface_Engine!$B$12:$B$72,$A907+1)+J908</f>
        <v>34561.0959357446</v>
      </c>
      <c r="K907" s="12" t="n">
        <f aca="false">SQRT((IF(C907&lt;=0,0,MAX(0,(B907/C907)*G907/INDEX(Surface_Engine!$B$12:$B$72,$A907+1)-F907/INDEX(Surface_Engine!$B$12:$B$72,$A907+1))))^2+(MAX(IF(D907&lt;=0,0,MAX(0,(B907/D907)*H907/INDEX(Surface_Engine!$B$12:$B$72,$A907+1)-F907/INDEX(Surface_Engine!$B$12:$B$72,$A907+1))),IF(E907&lt;=0,0,MAX(0,(B907/E907)*I907/INDEX(Surface_Engine!$B$12:$B$72,$A907+1)-F907/INDEX(Surface_Engine!$B$12:$B$72,$A907+1))),IF($A907&lt;$Q$888,MAX(0,-Assumptions!$B$22*(F907/INDEX(Surface_Engine!$B$12:$B$72,$A907+1))),0)))^2+(MAX(0,J907/INDEX(Surface_Engine!$B$12:$B$72,$A907+1)-(F907/INDEX(Surface_Engine!$B$12:$B$72,$A907+1))))^2+2*Assumptions!$B$26*(IF(C907&lt;=0,0,MAX(0,(B907/C907)*G907/INDEX(Surface_Engine!$B$12:$B$72,$A907+1)-F907/INDEX(Surface_Engine!$B$12:$B$72,$A907+1))))*(MAX(IF(D907&lt;=0,0,MAX(0,(B907/D907)*H907/INDEX(Surface_Engine!$B$12:$B$72,$A907+1)-F907/INDEX(Surface_Engine!$B$12:$B$72,$A907+1))),IF(E907&lt;=0,0,MAX(0,(B907/E907)*I907/INDEX(Surface_Engine!$B$12:$B$72,$A907+1)-F907/INDEX(Surface_Engine!$B$12:$B$72,$A907+1))),IF($A907&lt;$Q$888,MAX(0,-Assumptions!$B$22*(F907/INDEX(Surface_Engine!$B$12:$B$72,$A907+1))),0)))+2*Assumptions!$B$27*(IF(C907&lt;=0,0,MAX(0,(B907/C907)*G907/INDEX(Surface_Engine!$B$12:$B$72,$A907+1)-F907/INDEX(Surface_Engine!$B$12:$B$72,$A907+1))))*(MAX(0,J907/INDEX(Surface_Engine!$B$12:$B$72,$A907+1)-(F907/INDEX(Surface_Engine!$B$12:$B$72,$A907+1))))+2*Assumptions!$B$28*(MAX(IF(D907&lt;=0,0,MAX(0,(B907/D907)*H907/INDEX(Surface_Engine!$B$12:$B$72,$A907+1)-F907/INDEX(Surface_Engine!$B$12:$B$72,$A907+1))),IF(E907&lt;=0,0,MAX(0,(B907/E907)*I907/INDEX(Surface_Engine!$B$12:$B$72,$A907+1)-F907/INDEX(Surface_Engine!$B$12:$B$72,$A907+1))),IF($A907&lt;$Q$888,MAX(0,-Assumptions!$B$22*(F907/INDEX(Surface_Engine!$B$12:$B$72,$A907+1))),0)))*(MAX(0,J907/INDEX(Surface_Engine!$B$12:$B$72,$A907+1)-(F907/INDEX(Surface_Engine!$B$12:$B$72,$A907+1)))))</f>
        <v>7902.43856433366</v>
      </c>
      <c r="L907" s="48" t="n">
        <f aca="false">K907*INDEX(Surface_Engine!$B$12:$B$72,$A907+1)+L908</f>
        <v>34921.6737671525</v>
      </c>
      <c r="M907" s="48" t="n">
        <f aca="false">M906+B906*(IF($A906&lt;$Q$888,(Surface_Engine!L244*12)-(Surface_Engine!L244*12)*INDEX(Surface_Engine!$F$12:$F$72,$A906+1)-INDEX(Surface_Engine!$D$12:$D$72,$A906+1),-(1000*12*INDEX(Surface_Engine!$C$12:$C$72,$A906+1)/(1+Assumptions!$B$10)^17+INDEX(Surface_Engine!$D$12:$D$72,$A906+1))))*INDEX(Surface_Engine!$B$12:$B$72,$A906+1)</f>
        <v>35804.5282749135</v>
      </c>
      <c r="N907" s="12" t="n">
        <f aca="false">IF(B907&lt;=0,0,MAX(0,(K907+Assumptions!$B$29*L907/INDEX(Surface_Engine!$B$12:$B$72,$A907+1)-(M907/INDEX(Surface_Engine!$B$12:$B$72,$A907+1)-(F907/INDEX(Surface_Engine!$B$12:$B$72,$A907+1))))/B907))</f>
        <v>16382.6927819062</v>
      </c>
    </row>
    <row r="908" customFormat="false" ht="15" hidden="false" customHeight="true" outlineLevel="0" collapsed="false">
      <c r="A908" s="1" t="n">
        <v>18</v>
      </c>
      <c r="B908" s="32" t="n">
        <f aca="false">INDEX(Surface_Engine!$O$12:$O$72,$A908+1)*IF($A908&lt;$Q$888,INDEX(Surface_Engine!$E$12:$E$72,$A908+1),INDEX(Surface_Engine!$E$12:$E$72,$Q$888+1))</f>
        <v>0.537311579149571</v>
      </c>
      <c r="C908" s="32" t="n">
        <f aca="false">INDEX(Panel_Reserving!$E$8:$E$68,$A908+1)*IF($A908&lt;$Q$888,INDEX(Surface_Engine!$E$12:$E$72,$A908+1),INDEX(Surface_Engine!$E$12:$E$72,$Q$888+1))</f>
        <v>0.583578032197092</v>
      </c>
      <c r="D908" s="32" t="n">
        <f aca="false">INDEX(Surface_Engine!$O$12:$O$72,$A908+1)*IF($A908&lt;$Q$888,INDEX(Surface_Engine!$Y$12:$Y$72,$A908+1),INDEX(Surface_Engine!$Y$12:$Y$72,$Q$888+1))</f>
        <v>0.482279455680812</v>
      </c>
      <c r="E908" s="32" t="n">
        <f aca="false">INDEX(Surface_Engine!$O$12:$O$72,$A908+1)*IF($A908&lt;$Q$888,INDEX(Surface_Engine!$Z$12:$Z$72,$A908+1),INDEX(Surface_Engine!$Z$12:$Z$72,$Q$888+1))</f>
        <v>0.598048863650704</v>
      </c>
      <c r="F908" s="48" t="n">
        <f aca="false">B908*(IF($A908&lt;$Q$888,INDEX(Surface_Engine!$D$12:$D$72,$A908+1)+(Surface_Engine!L244*12)*INDEX(Surface_Engine!$F$12:$F$72,$A908+1)-(Surface_Engine!L244*12),1000*12*INDEX(Surface_Engine!$C$12:$C$72,$A908+1)/(1+Assumptions!$B$10)^17+INDEX(Surface_Engine!$D$12:$D$72,$A908+1)))*INDEX(Surface_Engine!$B$12:$B$72,$A908+1)+F909</f>
        <v>30472.5465594296</v>
      </c>
      <c r="G908" s="48" t="n">
        <f aca="false">C908*(IF($A908&lt;$Q$888,INDEX(Surface_Engine!$D$12:$D$72,$A908+1)+(Surface_Engine!L244*12)*INDEX(Surface_Engine!$F$12:$F$72,$A908+1)-(Surface_Engine!L244*12),1000*12*INDEX(Surface_Engine!$C$12:$C$72,$A908+1)/(1+Assumptions!$B$10)^17+INDEX(Surface_Engine!$D$12:$D$72,$A908+1)))*INDEX(Surface_Engine!$B$12:$B$72,$A908+1)+G909</f>
        <v>37733.5088164839</v>
      </c>
      <c r="H908" s="48" t="n">
        <f aca="false">D908*(IF($A908&lt;$Q$888,INDEX(Surface_Engine!$D$12:$D$72,$A908+1)+(Surface_Engine!L244*12)*INDEX(Surface_Engine!$F$12:$F$72,$A908+1)-(Surface_Engine!L244*12),1000*12*INDEX(Surface_Engine!$C$12:$C$72,$A908+1)/(1+Assumptions!$B$10)^17+INDEX(Surface_Engine!$D$12:$D$72,$A908+1)))*INDEX(Surface_Engine!$B$12:$B$72,$A908+1)+H909</f>
        <v>27351.51025621</v>
      </c>
      <c r="I908" s="48" t="n">
        <f aca="false">E908*(IF($A908&lt;$Q$888,INDEX(Surface_Engine!$D$12:$D$72,$A908+1)+(Surface_Engine!L244*12)*INDEX(Surface_Engine!$F$12:$F$72,$A908+1)-(Surface_Engine!L244*12),1000*12*INDEX(Surface_Engine!$C$12:$C$72,$A908+1)/(1+Assumptions!$B$10)^17+INDEX(Surface_Engine!$D$12:$D$72,$A908+1)))*INDEX(Surface_Engine!$B$12:$B$72,$A908+1)+I909</f>
        <v>33917.1396068816</v>
      </c>
      <c r="J908" s="48" t="n">
        <f aca="false">B908*(IF($A908&lt;$Q$888,INDEX(Surface_Engine!$D$12:$D$72,$A908+1)*(1+Assumptions!$B$24)+(Surface_Engine!L244*12)*INDEX(Surface_Engine!$F$12:$F$72,$A908+1)-(Surface_Engine!L244*12),1000*12*INDEX(Surface_Engine!$C$12:$C$72,$A908+1)/(1+Assumptions!$B$10)^17+INDEX(Surface_Engine!$D$12:$D$72,$A908+1)*(1+Assumptions!$B$24)))*INDEX(Surface_Engine!$B$12:$B$72,$A908+1)+J909</f>
        <v>30504.8632257115</v>
      </c>
      <c r="K908" s="12" t="n">
        <f aca="false">SQRT((IF(C908&lt;=0,0,MAX(0,(B908/C908)*G908/INDEX(Surface_Engine!$B$12:$B$72,$A908+1)-F908/INDEX(Surface_Engine!$B$12:$B$72,$A908+1))))^2+(MAX(IF(D908&lt;=0,0,MAX(0,(B908/D908)*H908/INDEX(Surface_Engine!$B$12:$B$72,$A908+1)-F908/INDEX(Surface_Engine!$B$12:$B$72,$A908+1))),IF(E908&lt;=0,0,MAX(0,(B908/E908)*I908/INDEX(Surface_Engine!$B$12:$B$72,$A908+1)-F908/INDEX(Surface_Engine!$B$12:$B$72,$A908+1))),IF($A908&lt;$Q$888,MAX(0,-Assumptions!$B$22*(F908/INDEX(Surface_Engine!$B$12:$B$72,$A908+1))),0)))^2+(MAX(0,J908/INDEX(Surface_Engine!$B$12:$B$72,$A908+1)-(F908/INDEX(Surface_Engine!$B$12:$B$72,$A908+1))))^2+2*Assumptions!$B$26*(IF(C908&lt;=0,0,MAX(0,(B908/C908)*G908/INDEX(Surface_Engine!$B$12:$B$72,$A908+1)-F908/INDEX(Surface_Engine!$B$12:$B$72,$A908+1))))*(MAX(IF(D908&lt;=0,0,MAX(0,(B908/D908)*H908/INDEX(Surface_Engine!$B$12:$B$72,$A908+1)-F908/INDEX(Surface_Engine!$B$12:$B$72,$A908+1))),IF(E908&lt;=0,0,MAX(0,(B908/E908)*I908/INDEX(Surface_Engine!$B$12:$B$72,$A908+1)-F908/INDEX(Surface_Engine!$B$12:$B$72,$A908+1))),IF($A908&lt;$Q$888,MAX(0,-Assumptions!$B$22*(F908/INDEX(Surface_Engine!$B$12:$B$72,$A908+1))),0)))+2*Assumptions!$B$27*(IF(C908&lt;=0,0,MAX(0,(B908/C908)*G908/INDEX(Surface_Engine!$B$12:$B$72,$A908+1)-F908/INDEX(Surface_Engine!$B$12:$B$72,$A908+1))))*(MAX(0,J908/INDEX(Surface_Engine!$B$12:$B$72,$A908+1)-(F908/INDEX(Surface_Engine!$B$12:$B$72,$A908+1))))+2*Assumptions!$B$28*(MAX(IF(D908&lt;=0,0,MAX(0,(B908/D908)*H908/INDEX(Surface_Engine!$B$12:$B$72,$A908+1)-F908/INDEX(Surface_Engine!$B$12:$B$72,$A908+1))),IF(E908&lt;=0,0,MAX(0,(B908/E908)*I908/INDEX(Surface_Engine!$B$12:$B$72,$A908+1)-F908/INDEX(Surface_Engine!$B$12:$B$72,$A908+1))),IF($A908&lt;$Q$888,MAX(0,-Assumptions!$B$22*(F908/INDEX(Surface_Engine!$B$12:$B$72,$A908+1))),0)))*(MAX(0,J908/INDEX(Surface_Engine!$B$12:$B$72,$A908+1)-(F908/INDEX(Surface_Engine!$B$12:$B$72,$A908+1)))))</f>
        <v>7495.22911948934</v>
      </c>
      <c r="L908" s="48" t="n">
        <f aca="false">K908*INDEX(Surface_Engine!$B$12:$B$72,$A908+1)+L909</f>
        <v>30262.0082951071</v>
      </c>
      <c r="M908" s="48" t="n">
        <f aca="false">M907+B907*(IF($A907&lt;$Q$888,(Surface_Engine!L244*12)-(Surface_Engine!L244*12)*INDEX(Surface_Engine!$F$12:$F$72,$A907+1)-INDEX(Surface_Engine!$D$12:$D$72,$A907+1),-(1000*12*INDEX(Surface_Engine!$C$12:$C$72,$A907+1)/(1+Assumptions!$B$10)^17+INDEX(Surface_Engine!$D$12:$D$72,$A907+1))))*INDEX(Surface_Engine!$B$12:$B$72,$A907+1)</f>
        <v>31752.4654311841</v>
      </c>
      <c r="N908" s="12" t="n">
        <f aca="false">IF(B908&lt;=0,0,MAX(0,(K908+Assumptions!$B$29*L908/INDEX(Surface_Engine!$B$12:$B$72,$A908+1)-(M908/INDEX(Surface_Engine!$B$12:$B$72,$A908+1)-(F908/INDEX(Surface_Engine!$B$12:$B$72,$A908+1))))/B908))</f>
        <v>15696.7751047536</v>
      </c>
    </row>
    <row r="909" customFormat="false" ht="15" hidden="false" customHeight="true" outlineLevel="0" collapsed="false">
      <c r="A909" s="1" t="n">
        <v>19</v>
      </c>
      <c r="B909" s="32" t="n">
        <f aca="false">INDEX(Surface_Engine!$O$12:$O$72,$A909+1)*IF($A909&lt;$Q$888,INDEX(Surface_Engine!$E$12:$E$72,$A909+1),INDEX(Surface_Engine!$E$12:$E$72,$Q$888+1))</f>
        <v>0.505690066866861</v>
      </c>
      <c r="C909" s="32" t="n">
        <f aca="false">INDEX(Panel_Reserving!$E$8:$E$68,$A909+1)*IF($A909&lt;$Q$888,INDEX(Surface_Engine!$E$12:$E$72,$A909+1),INDEX(Surface_Engine!$E$12:$E$72,$Q$888+1))</f>
        <v>0.556102547760672</v>
      </c>
      <c r="D909" s="32" t="n">
        <f aca="false">INDEX(Surface_Engine!$O$12:$O$72,$A909+1)*IF($A909&lt;$Q$888,INDEX(Surface_Engine!$Y$12:$Y$72,$A909+1),INDEX(Surface_Engine!$Y$12:$Y$72,$Q$888+1))</f>
        <v>0.453896658206678</v>
      </c>
      <c r="E909" s="32" t="n">
        <f aca="false">INDEX(Surface_Engine!$O$12:$O$72,$A909+1)*IF($A909&lt;$Q$888,INDEX(Surface_Engine!$Z$12:$Z$72,$A909+1),INDEX(Surface_Engine!$Z$12:$Z$72,$Q$888+1))</f>
        <v>0.562852880125608</v>
      </c>
      <c r="F909" s="48" t="n">
        <f aca="false">B909*(IF($A909&lt;$Q$888,INDEX(Surface_Engine!$D$12:$D$72,$A909+1)+(Surface_Engine!L244*12)*INDEX(Surface_Engine!$F$12:$F$72,$A909+1)-(Surface_Engine!L244*12),1000*12*INDEX(Surface_Engine!$C$12:$C$72,$A909+1)/(1+Assumptions!$B$10)^17+INDEX(Surface_Engine!$D$12:$D$72,$A909+1)))*INDEX(Surface_Engine!$B$12:$B$72,$A909+1)+F910</f>
        <v>26679.9294557862</v>
      </c>
      <c r="G909" s="48" t="n">
        <f aca="false">C909*(IF($A909&lt;$Q$888,INDEX(Surface_Engine!$D$12:$D$72,$A909+1)+(Surface_Engine!L244*12)*INDEX(Surface_Engine!$F$12:$F$72,$A909+1)-(Surface_Engine!L244*12),1000*12*INDEX(Surface_Engine!$C$12:$C$72,$A909+1)/(1+Assumptions!$B$10)^17+INDEX(Surface_Engine!$D$12:$D$72,$A909+1)))*INDEX(Surface_Engine!$B$12:$B$72,$A909+1)+G910</f>
        <v>33614.3196679375</v>
      </c>
      <c r="H909" s="48" t="n">
        <f aca="false">D909*(IF($A909&lt;$Q$888,INDEX(Surface_Engine!$D$12:$D$72,$A909+1)+(Surface_Engine!L244*12)*INDEX(Surface_Engine!$F$12:$F$72,$A909+1)-(Surface_Engine!L244*12),1000*12*INDEX(Surface_Engine!$C$12:$C$72,$A909+1)/(1+Assumptions!$B$10)^17+INDEX(Surface_Engine!$D$12:$D$72,$A909+1)))*INDEX(Surface_Engine!$B$12:$B$72,$A909+1)+H910</f>
        <v>23947.3377363364</v>
      </c>
      <c r="I909" s="48" t="n">
        <f aca="false">E909*(IF($A909&lt;$Q$888,INDEX(Surface_Engine!$D$12:$D$72,$A909+1)+(Surface_Engine!L244*12)*INDEX(Surface_Engine!$F$12:$F$72,$A909+1)-(Surface_Engine!L244*12),1000*12*INDEX(Surface_Engine!$C$12:$C$72,$A909+1)/(1+Assumptions!$B$10)^17+INDEX(Surface_Engine!$D$12:$D$72,$A909+1)))*INDEX(Surface_Engine!$B$12:$B$72,$A909+1)+I910</f>
        <v>29695.8080050463</v>
      </c>
      <c r="J909" s="48" t="n">
        <f aca="false">B909*(IF($A909&lt;$Q$888,INDEX(Surface_Engine!$D$12:$D$72,$A909+1)*(1+Assumptions!$B$24)+(Surface_Engine!L244*12)*INDEX(Surface_Engine!$F$12:$F$72,$A909+1)-(Surface_Engine!L244*12),1000*12*INDEX(Surface_Engine!$C$12:$C$72,$A909+1)/(1+Assumptions!$B$10)^17+INDEX(Surface_Engine!$D$12:$D$72,$A909+1)*(1+Assumptions!$B$24)))*INDEX(Surface_Engine!$B$12:$B$72,$A909+1)+J910</f>
        <v>26708.3243103126</v>
      </c>
      <c r="K909" s="12" t="n">
        <f aca="false">SQRT((IF(C909&lt;=0,0,MAX(0,(B909/C909)*G909/INDEX(Surface_Engine!$B$12:$B$72,$A909+1)-F909/INDEX(Surface_Engine!$B$12:$B$72,$A909+1))))^2+(MAX(IF(D909&lt;=0,0,MAX(0,(B909/D909)*H909/INDEX(Surface_Engine!$B$12:$B$72,$A909+1)-F909/INDEX(Surface_Engine!$B$12:$B$72,$A909+1))),IF(E909&lt;=0,0,MAX(0,(B909/E909)*I909/INDEX(Surface_Engine!$B$12:$B$72,$A909+1)-F909/INDEX(Surface_Engine!$B$12:$B$72,$A909+1))),IF($A909&lt;$Q$888,MAX(0,-Assumptions!$B$22*(F909/INDEX(Surface_Engine!$B$12:$B$72,$A909+1))),0)))^2+(MAX(0,J909/INDEX(Surface_Engine!$B$12:$B$72,$A909+1)-(F909/INDEX(Surface_Engine!$B$12:$B$72,$A909+1))))^2+2*Assumptions!$B$26*(IF(C909&lt;=0,0,MAX(0,(B909/C909)*G909/INDEX(Surface_Engine!$B$12:$B$72,$A909+1)-F909/INDEX(Surface_Engine!$B$12:$B$72,$A909+1))))*(MAX(IF(D909&lt;=0,0,MAX(0,(B909/D909)*H909/INDEX(Surface_Engine!$B$12:$B$72,$A909+1)-F909/INDEX(Surface_Engine!$B$12:$B$72,$A909+1))),IF(E909&lt;=0,0,MAX(0,(B909/E909)*I909/INDEX(Surface_Engine!$B$12:$B$72,$A909+1)-F909/INDEX(Surface_Engine!$B$12:$B$72,$A909+1))),IF($A909&lt;$Q$888,MAX(0,-Assumptions!$B$22*(F909/INDEX(Surface_Engine!$B$12:$B$72,$A909+1))),0)))+2*Assumptions!$B$27*(IF(C909&lt;=0,0,MAX(0,(B909/C909)*G909/INDEX(Surface_Engine!$B$12:$B$72,$A909+1)-F909/INDEX(Surface_Engine!$B$12:$B$72,$A909+1))))*(MAX(0,J909/INDEX(Surface_Engine!$B$12:$B$72,$A909+1)-(F909/INDEX(Surface_Engine!$B$12:$B$72,$A909+1))))+2*Assumptions!$B$28*(MAX(IF(D909&lt;=0,0,MAX(0,(B909/D909)*H909/INDEX(Surface_Engine!$B$12:$B$72,$A909+1)-F909/INDEX(Surface_Engine!$B$12:$B$72,$A909+1))),IF(E909&lt;=0,0,MAX(0,(B909/E909)*I909/INDEX(Surface_Engine!$B$12:$B$72,$A909+1)-F909/INDEX(Surface_Engine!$B$12:$B$72,$A909+1))),IF($A909&lt;$Q$888,MAX(0,-Assumptions!$B$22*(F909/INDEX(Surface_Engine!$B$12:$B$72,$A909+1))),0)))*(MAX(0,J909/INDEX(Surface_Engine!$B$12:$B$72,$A909+1)-(F909/INDEX(Surface_Engine!$B$12:$B$72,$A909+1)))))</f>
        <v>7043.50915643358</v>
      </c>
      <c r="L909" s="48" t="n">
        <f aca="false">K909*INDEX(Surface_Engine!$B$12:$B$72,$A909+1)+L910</f>
        <v>25984.3900057781</v>
      </c>
      <c r="M909" s="48" t="n">
        <f aca="false">M908+B908*(IF($A908&lt;$Q$888,(Surface_Engine!L244*12)-(Surface_Engine!L244*12)*INDEX(Surface_Engine!$F$12:$F$72,$A908+1)-INDEX(Surface_Engine!$D$12:$D$72,$A908+1),-(1000*12*INDEX(Surface_Engine!$C$12:$C$72,$A908+1)/(1+Assumptions!$B$10)^17+INDEX(Surface_Engine!$D$12:$D$72,$A908+1))))*INDEX(Surface_Engine!$B$12:$B$72,$A908+1)</f>
        <v>27959.8483275408</v>
      </c>
      <c r="N909" s="12" t="n">
        <f aca="false">IF(B909&lt;=0,0,MAX(0,(K909+Assumptions!$B$29*L909/INDEX(Surface_Engine!$B$12:$B$72,$A909+1)-(M909/INDEX(Surface_Engine!$B$12:$B$72,$A909+1)-(F909/INDEX(Surface_Engine!$B$12:$B$72,$A909+1))))/B909))</f>
        <v>14926.8992983049</v>
      </c>
    </row>
    <row r="910" customFormat="false" ht="15" hidden="false" customHeight="true" outlineLevel="0" collapsed="false">
      <c r="A910" s="1" t="n">
        <v>20</v>
      </c>
      <c r="B910" s="32" t="n">
        <f aca="false">INDEX(Surface_Engine!$O$12:$O$72,$A910+1)*IF($A910&lt;$Q$888,INDEX(Surface_Engine!$E$12:$E$72,$A910+1),INDEX(Surface_Engine!$E$12:$E$72,$Q$888+1))</f>
        <v>0.472000770641023</v>
      </c>
      <c r="C910" s="32" t="n">
        <f aca="false">INDEX(Panel_Reserving!$E$8:$E$68,$A910+1)*IF($A910&lt;$Q$888,INDEX(Surface_Engine!$E$12:$E$72,$A910+1),INDEX(Surface_Engine!$E$12:$E$72,$Q$888+1))</f>
        <v>0.526464309336053</v>
      </c>
      <c r="D910" s="32" t="n">
        <f aca="false">INDEX(Surface_Engine!$O$12:$O$72,$A910+1)*IF($A910&lt;$Q$888,INDEX(Surface_Engine!$Y$12:$Y$72,$A910+1),INDEX(Surface_Engine!$Y$12:$Y$72,$Q$888+1))</f>
        <v>0.423657861805189</v>
      </c>
      <c r="E910" s="32" t="n">
        <f aca="false">INDEX(Surface_Engine!$O$12:$O$72,$A910+1)*IF($A910&lt;$Q$888,INDEX(Surface_Engine!$Z$12:$Z$72,$A910+1),INDEX(Surface_Engine!$Z$12:$Z$72,$Q$888+1))</f>
        <v>0.525355371962946</v>
      </c>
      <c r="F910" s="48" t="n">
        <f aca="false">B910*(IF($A910&lt;$Q$888,INDEX(Surface_Engine!$D$12:$D$72,$A910+1)+(Surface_Engine!L244*12)*INDEX(Surface_Engine!$F$12:$F$72,$A910+1)-(Surface_Engine!L244*12),1000*12*INDEX(Surface_Engine!$C$12:$C$72,$A910+1)/(1+Assumptions!$B$10)^17+INDEX(Surface_Engine!$D$12:$D$72,$A910+1)))*INDEX(Surface_Engine!$B$12:$B$72,$A910+1)+F911</f>
        <v>23152.5914686763</v>
      </c>
      <c r="G910" s="48" t="n">
        <f aca="false">C910*(IF($A910&lt;$Q$888,INDEX(Surface_Engine!$D$12:$D$72,$A910+1)+(Surface_Engine!L244*12)*INDEX(Surface_Engine!$F$12:$F$72,$A910+1)-(Surface_Engine!L244*12),1000*12*INDEX(Surface_Engine!$C$12:$C$72,$A910+1)/(1+Assumptions!$B$10)^17+INDEX(Surface_Engine!$D$12:$D$72,$A910+1)))*INDEX(Surface_Engine!$B$12:$B$72,$A910+1)+G911</f>
        <v>29735.3396958803</v>
      </c>
      <c r="H910" s="48" t="n">
        <f aca="false">D910*(IF($A910&lt;$Q$888,INDEX(Surface_Engine!$D$12:$D$72,$A910+1)+(Surface_Engine!L244*12)*INDEX(Surface_Engine!$F$12:$F$72,$A910+1)-(Surface_Engine!L244*12),1000*12*INDEX(Surface_Engine!$C$12:$C$72,$A910+1)/(1+Assumptions!$B$10)^17+INDEX(Surface_Engine!$D$12:$D$72,$A910+1)))*INDEX(Surface_Engine!$B$12:$B$72,$A910+1)+H911</f>
        <v>20781.2741143349</v>
      </c>
      <c r="I910" s="48" t="n">
        <f aca="false">E910*(IF($A910&lt;$Q$888,INDEX(Surface_Engine!$D$12:$D$72,$A910+1)+(Surface_Engine!L244*12)*INDEX(Surface_Engine!$F$12:$F$72,$A910+1)-(Surface_Engine!L244*12),1000*12*INDEX(Surface_Engine!$C$12:$C$72,$A910+1)/(1+Assumptions!$B$10)^17+INDEX(Surface_Engine!$D$12:$D$72,$A910+1)))*INDEX(Surface_Engine!$B$12:$B$72,$A910+1)+I911</f>
        <v>25769.7424654912</v>
      </c>
      <c r="J910" s="48" t="n">
        <f aca="false">B910*(IF($A910&lt;$Q$888,INDEX(Surface_Engine!$D$12:$D$72,$A910+1)*(1+Assumptions!$B$24)+(Surface_Engine!L244*12)*INDEX(Surface_Engine!$F$12:$F$72,$A910+1)-(Surface_Engine!L244*12),1000*12*INDEX(Surface_Engine!$C$12:$C$72,$A910+1)/(1+Assumptions!$B$10)^17+INDEX(Surface_Engine!$D$12:$D$72,$A910+1)*(1+Assumptions!$B$24)))*INDEX(Surface_Engine!$B$12:$B$72,$A910+1)+J911</f>
        <v>23177.3211331417</v>
      </c>
      <c r="K910" s="12" t="n">
        <f aca="false">SQRT((IF(C910&lt;=0,0,MAX(0,(B910/C910)*G910/INDEX(Surface_Engine!$B$12:$B$72,$A910+1)-F910/INDEX(Surface_Engine!$B$12:$B$72,$A910+1))))^2+(MAX(IF(D910&lt;=0,0,MAX(0,(B910/D910)*H910/INDEX(Surface_Engine!$B$12:$B$72,$A910+1)-F910/INDEX(Surface_Engine!$B$12:$B$72,$A910+1))),IF(E910&lt;=0,0,MAX(0,(B910/E910)*I910/INDEX(Surface_Engine!$B$12:$B$72,$A910+1)-F910/INDEX(Surface_Engine!$B$12:$B$72,$A910+1))),IF($A910&lt;$Q$888,MAX(0,-Assumptions!$B$22*(F910/INDEX(Surface_Engine!$B$12:$B$72,$A910+1))),0)))^2+(MAX(0,J910/INDEX(Surface_Engine!$B$12:$B$72,$A910+1)-(F910/INDEX(Surface_Engine!$B$12:$B$72,$A910+1))))^2+2*Assumptions!$B$26*(IF(C910&lt;=0,0,MAX(0,(B910/C910)*G910/INDEX(Surface_Engine!$B$12:$B$72,$A910+1)-F910/INDEX(Surface_Engine!$B$12:$B$72,$A910+1))))*(MAX(IF(D910&lt;=0,0,MAX(0,(B910/D910)*H910/INDEX(Surface_Engine!$B$12:$B$72,$A910+1)-F910/INDEX(Surface_Engine!$B$12:$B$72,$A910+1))),IF(E910&lt;=0,0,MAX(0,(B910/E910)*I910/INDEX(Surface_Engine!$B$12:$B$72,$A910+1)-F910/INDEX(Surface_Engine!$B$12:$B$72,$A910+1))),IF($A910&lt;$Q$888,MAX(0,-Assumptions!$B$22*(F910/INDEX(Surface_Engine!$B$12:$B$72,$A910+1))),0)))+2*Assumptions!$B$27*(IF(C910&lt;=0,0,MAX(0,(B910/C910)*G910/INDEX(Surface_Engine!$B$12:$B$72,$A910+1)-F910/INDEX(Surface_Engine!$B$12:$B$72,$A910+1))))*(MAX(0,J910/INDEX(Surface_Engine!$B$12:$B$72,$A910+1)-(F910/INDEX(Surface_Engine!$B$12:$B$72,$A910+1))))+2*Assumptions!$B$28*(MAX(IF(D910&lt;=0,0,MAX(0,(B910/D910)*H910/INDEX(Surface_Engine!$B$12:$B$72,$A910+1)-F910/INDEX(Surface_Engine!$B$12:$B$72,$A910+1))),IF(E910&lt;=0,0,MAX(0,(B910/E910)*I910/INDEX(Surface_Engine!$B$12:$B$72,$A910+1)-F910/INDEX(Surface_Engine!$B$12:$B$72,$A910+1))),IF($A910&lt;$Q$888,MAX(0,-Assumptions!$B$22*(F910/INDEX(Surface_Engine!$B$12:$B$72,$A910+1))),0)))*(MAX(0,J910/INDEX(Surface_Engine!$B$12:$B$72,$A910+1)-(F910/INDEX(Surface_Engine!$B$12:$B$72,$A910+1)))))</f>
        <v>6556.06894009275</v>
      </c>
      <c r="L910" s="48" t="n">
        <f aca="false">K910*INDEX(Surface_Engine!$B$12:$B$72,$A910+1)+L911</f>
        <v>22090.0500015644</v>
      </c>
      <c r="M910" s="48" t="n">
        <f aca="false">M909+B909*(IF($A909&lt;$Q$888,(Surface_Engine!L244*12)-(Surface_Engine!L244*12)*INDEX(Surface_Engine!$F$12:$F$72,$A909+1)-INDEX(Surface_Engine!$D$12:$D$72,$A909+1),-(1000*12*INDEX(Surface_Engine!$C$12:$C$72,$A909+1)/(1+Assumptions!$B$10)^17+INDEX(Surface_Engine!$D$12:$D$72,$A909+1))))*INDEX(Surface_Engine!$B$12:$B$72,$A909+1)</f>
        <v>24432.5103404308</v>
      </c>
      <c r="N910" s="12" t="n">
        <f aca="false">IF(B910&lt;=0,0,MAX(0,(K910+Assumptions!$B$29*L910/INDEX(Surface_Engine!$B$12:$B$72,$A910+1)-(M910/INDEX(Surface_Engine!$B$12:$B$72,$A910+1)-(F910/INDEX(Surface_Engine!$B$12:$B$72,$A910+1))))/B910))</f>
        <v>14069.8002234079</v>
      </c>
    </row>
    <row r="911" customFormat="false" ht="15" hidden="false" customHeight="true" outlineLevel="0" collapsed="false">
      <c r="A911" s="1" t="n">
        <v>21</v>
      </c>
      <c r="B911" s="32" t="n">
        <f aca="false">INDEX(Surface_Engine!$O$12:$O$72,$A911+1)*IF($A911&lt;$Q$888,INDEX(Surface_Engine!$E$12:$E$72,$A911+1),INDEX(Surface_Engine!$E$12:$E$72,$Q$888+1))</f>
        <v>0.43642377002844</v>
      </c>
      <c r="C911" s="32" t="n">
        <f aca="false">INDEX(Panel_Reserving!$E$8:$E$68,$A911+1)*IF($A911&lt;$Q$888,INDEX(Surface_Engine!$E$12:$E$72,$A911+1),INDEX(Surface_Engine!$E$12:$E$72,$Q$888+1))</f>
        <v>0.494718562768199</v>
      </c>
      <c r="D911" s="32" t="n">
        <f aca="false">INDEX(Surface_Engine!$O$12:$O$72,$A911+1)*IF($A911&lt;$Q$888,INDEX(Surface_Engine!$Y$12:$Y$72,$A911+1),INDEX(Surface_Engine!$Y$12:$Y$72,$Q$888+1))</f>
        <v>0.391724702059498</v>
      </c>
      <c r="E911" s="32" t="n">
        <f aca="false">INDEX(Surface_Engine!$O$12:$O$72,$A911+1)*IF($A911&lt;$Q$888,INDEX(Surface_Engine!$Z$12:$Z$72,$A911+1),INDEX(Surface_Engine!$Z$12:$Z$72,$Q$888+1))</f>
        <v>0.485756774772594</v>
      </c>
      <c r="F911" s="48" t="n">
        <f aca="false">B911*(IF($A911&lt;$Q$888,INDEX(Surface_Engine!$D$12:$D$72,$A911+1)+(Surface_Engine!L244*12)*INDEX(Surface_Engine!$F$12:$F$72,$A911+1)-(Surface_Engine!L244*12),1000*12*INDEX(Surface_Engine!$C$12:$C$72,$A911+1)/(1+Assumptions!$B$10)^17+INDEX(Surface_Engine!$D$12:$D$72,$A911+1)))*INDEX(Surface_Engine!$B$12:$B$72,$A911+1)+F912</f>
        <v>19897.9852526066</v>
      </c>
      <c r="G911" s="48" t="n">
        <f aca="false">C911*(IF($A911&lt;$Q$888,INDEX(Surface_Engine!$D$12:$D$72,$A911+1)+(Surface_Engine!L244*12)*INDEX(Surface_Engine!$F$12:$F$72,$A911+1)-(Surface_Engine!L244*12),1000*12*INDEX(Surface_Engine!$C$12:$C$72,$A911+1)/(1+Assumptions!$B$10)^17+INDEX(Surface_Engine!$D$12:$D$72,$A911+1)))*INDEX(Surface_Engine!$B$12:$B$72,$A911+1)+G912</f>
        <v>26105.1888141838</v>
      </c>
      <c r="H911" s="48" t="n">
        <f aca="false">D911*(IF($A911&lt;$Q$888,INDEX(Surface_Engine!$D$12:$D$72,$A911+1)+(Surface_Engine!L244*12)*INDEX(Surface_Engine!$F$12:$F$72,$A911+1)-(Surface_Engine!L244*12),1000*12*INDEX(Surface_Engine!$C$12:$C$72,$A911+1)/(1+Assumptions!$B$10)^17+INDEX(Surface_Engine!$D$12:$D$72,$A911+1)))*INDEX(Surface_Engine!$B$12:$B$72,$A911+1)+H912</f>
        <v>17860.0087345235</v>
      </c>
      <c r="I911" s="48" t="n">
        <f aca="false">E911*(IF($A911&lt;$Q$888,INDEX(Surface_Engine!$D$12:$D$72,$A911+1)+(Surface_Engine!L244*12)*INDEX(Surface_Engine!$F$12:$F$72,$A911+1)-(Surface_Engine!L244*12),1000*12*INDEX(Surface_Engine!$C$12:$C$72,$A911+1)/(1+Assumptions!$B$10)^17+INDEX(Surface_Engine!$D$12:$D$72,$A911+1)))*INDEX(Surface_Engine!$B$12:$B$72,$A911+1)+I912</f>
        <v>22147.238085013</v>
      </c>
      <c r="J911" s="48" t="n">
        <f aca="false">B911*(IF($A911&lt;$Q$888,INDEX(Surface_Engine!$D$12:$D$72,$A911+1)*(1+Assumptions!$B$24)+(Surface_Engine!L244*12)*INDEX(Surface_Engine!$F$12:$F$72,$A911+1)-(Surface_Engine!L244*12),1000*12*INDEX(Surface_Engine!$C$12:$C$72,$A911+1)/(1+Assumptions!$B$10)^17+INDEX(Surface_Engine!$D$12:$D$72,$A911+1)*(1+Assumptions!$B$24)))*INDEX(Surface_Engine!$B$12:$B$72,$A911+1)+J912</f>
        <v>19919.3167130656</v>
      </c>
      <c r="K911" s="12" t="n">
        <f aca="false">SQRT((IF(C911&lt;=0,0,MAX(0,(B911/C911)*G911/INDEX(Surface_Engine!$B$12:$B$72,$A911+1)-F911/INDEX(Surface_Engine!$B$12:$B$72,$A911+1))))^2+(MAX(IF(D911&lt;=0,0,MAX(0,(B911/D911)*H911/INDEX(Surface_Engine!$B$12:$B$72,$A911+1)-F911/INDEX(Surface_Engine!$B$12:$B$72,$A911+1))),IF(E911&lt;=0,0,MAX(0,(B911/E911)*I911/INDEX(Surface_Engine!$B$12:$B$72,$A911+1)-F911/INDEX(Surface_Engine!$B$12:$B$72,$A911+1))),IF($A911&lt;$Q$888,MAX(0,-Assumptions!$B$22*(F911/INDEX(Surface_Engine!$B$12:$B$72,$A911+1))),0)))^2+(MAX(0,J911/INDEX(Surface_Engine!$B$12:$B$72,$A911+1)-(F911/INDEX(Surface_Engine!$B$12:$B$72,$A911+1))))^2+2*Assumptions!$B$26*(IF(C911&lt;=0,0,MAX(0,(B911/C911)*G911/INDEX(Surface_Engine!$B$12:$B$72,$A911+1)-F911/INDEX(Surface_Engine!$B$12:$B$72,$A911+1))))*(MAX(IF(D911&lt;=0,0,MAX(0,(B911/D911)*H911/INDEX(Surface_Engine!$B$12:$B$72,$A911+1)-F911/INDEX(Surface_Engine!$B$12:$B$72,$A911+1))),IF(E911&lt;=0,0,MAX(0,(B911/E911)*I911/INDEX(Surface_Engine!$B$12:$B$72,$A911+1)-F911/INDEX(Surface_Engine!$B$12:$B$72,$A911+1))),IF($A911&lt;$Q$888,MAX(0,-Assumptions!$B$22*(F911/INDEX(Surface_Engine!$B$12:$B$72,$A911+1))),0)))+2*Assumptions!$B$27*(IF(C911&lt;=0,0,MAX(0,(B911/C911)*G911/INDEX(Surface_Engine!$B$12:$B$72,$A911+1)-F911/INDEX(Surface_Engine!$B$12:$B$72,$A911+1))))*(MAX(0,J911/INDEX(Surface_Engine!$B$12:$B$72,$A911+1)-(F911/INDEX(Surface_Engine!$B$12:$B$72,$A911+1))))+2*Assumptions!$B$28*(MAX(IF(D911&lt;=0,0,MAX(0,(B911/D911)*H911/INDEX(Surface_Engine!$B$12:$B$72,$A911+1)-F911/INDEX(Surface_Engine!$B$12:$B$72,$A911+1))),IF(E911&lt;=0,0,MAX(0,(B911/E911)*I911/INDEX(Surface_Engine!$B$12:$B$72,$A911+1)-F911/INDEX(Surface_Engine!$B$12:$B$72,$A911+1))),IF($A911&lt;$Q$888,MAX(0,-Assumptions!$B$22*(F911/INDEX(Surface_Engine!$B$12:$B$72,$A911+1))),0)))*(MAX(0,J911/INDEX(Surface_Engine!$B$12:$B$72,$A911+1)-(F911/INDEX(Surface_Engine!$B$12:$B$72,$A911+1)))))</f>
        <v>6040.45929244411</v>
      </c>
      <c r="L911" s="48" t="n">
        <f aca="false">K911*INDEX(Surface_Engine!$B$12:$B$72,$A911+1)+L912</f>
        <v>18577.204161362</v>
      </c>
      <c r="M911" s="48" t="n">
        <f aca="false">M910+B910*(IF($A910&lt;$Q$888,(Surface_Engine!L244*12)-(Surface_Engine!L244*12)*INDEX(Surface_Engine!$F$12:$F$72,$A910+1)-INDEX(Surface_Engine!$D$12:$D$72,$A910+1),-(1000*12*INDEX(Surface_Engine!$C$12:$C$72,$A910+1)/(1+Assumptions!$B$10)^17+INDEX(Surface_Engine!$D$12:$D$72,$A910+1))))*INDEX(Surface_Engine!$B$12:$B$72,$A910+1)</f>
        <v>21177.9041243612</v>
      </c>
      <c r="N911" s="12" t="n">
        <f aca="false">IF(B911&lt;=0,0,MAX(0,(K911+Assumptions!$B$29*L911/INDEX(Surface_Engine!$B$12:$B$72,$A911+1)-(M911/INDEX(Surface_Engine!$B$12:$B$72,$A911+1)-(F911/INDEX(Surface_Engine!$B$12:$B$72,$A911+1))))/B911))</f>
        <v>13111.4360619151</v>
      </c>
    </row>
    <row r="912" customFormat="false" ht="15" hidden="false" customHeight="true" outlineLevel="0" collapsed="false">
      <c r="A912" s="1" t="n">
        <v>22</v>
      </c>
      <c r="B912" s="32" t="n">
        <f aca="false">INDEX(Surface_Engine!$O$12:$O$72,$A912+1)*IF($A912&lt;$Q$888,INDEX(Surface_Engine!$E$12:$E$72,$A912+1),INDEX(Surface_Engine!$E$12:$E$72,$Q$888+1))</f>
        <v>0.399240007871445</v>
      </c>
      <c r="C912" s="32" t="n">
        <f aca="false">INDEX(Panel_Reserving!$E$8:$E$68,$A912+1)*IF($A912&lt;$Q$888,INDEX(Surface_Engine!$E$12:$E$72,$A912+1),INDEX(Surface_Engine!$E$12:$E$72,$Q$888+1))</f>
        <v>0.460998131140152</v>
      </c>
      <c r="D912" s="32" t="n">
        <f aca="false">INDEX(Surface_Engine!$O$12:$O$72,$A912+1)*IF($A912&lt;$Q$888,INDEX(Surface_Engine!$Y$12:$Y$72,$A912+1),INDEX(Surface_Engine!$Y$12:$Y$72,$Q$888+1))</f>
        <v>0.358349347294905</v>
      </c>
      <c r="E912" s="32" t="n">
        <f aca="false">INDEX(Surface_Engine!$O$12:$O$72,$A912+1)*IF($A912&lt;$Q$888,INDEX(Surface_Engine!$Z$12:$Z$72,$A912+1),INDEX(Surface_Engine!$Z$12:$Z$72,$Q$888+1))</f>
        <v>0.444369788958058</v>
      </c>
      <c r="F912" s="48" t="n">
        <f aca="false">B912*(IF($A912&lt;$Q$888,INDEX(Surface_Engine!$D$12:$D$72,$A912+1)+(Surface_Engine!L244*12)*INDEX(Surface_Engine!$F$12:$F$72,$A912+1)-(Surface_Engine!L244*12),1000*12*INDEX(Surface_Engine!$C$12:$C$72,$A912+1)/(1+Assumptions!$B$10)^17+INDEX(Surface_Engine!$D$12:$D$72,$A912+1)))*INDEX(Surface_Engine!$B$12:$B$72,$A912+1)+F913</f>
        <v>16923.2459126497</v>
      </c>
      <c r="G912" s="48" t="n">
        <f aca="false">C912*(IF($A912&lt;$Q$888,INDEX(Surface_Engine!$D$12:$D$72,$A912+1)+(Surface_Engine!L244*12)*INDEX(Surface_Engine!$F$12:$F$72,$A912+1)-(Surface_Engine!L244*12),1000*12*INDEX(Surface_Engine!$C$12:$C$72,$A912+1)/(1+Assumptions!$B$10)^17+INDEX(Surface_Engine!$D$12:$D$72,$A912+1)))*INDEX(Surface_Engine!$B$12:$B$72,$A912+1)+G913</f>
        <v>22733.1021591017</v>
      </c>
      <c r="H912" s="48" t="n">
        <f aca="false">D912*(IF($A912&lt;$Q$888,INDEX(Surface_Engine!$D$12:$D$72,$A912+1)+(Surface_Engine!L244*12)*INDEX(Surface_Engine!$F$12:$F$72,$A912+1)-(Surface_Engine!L244*12),1000*12*INDEX(Surface_Engine!$C$12:$C$72,$A912+1)/(1+Assumptions!$B$10)^17+INDEX(Surface_Engine!$D$12:$D$72,$A912+1)))*INDEX(Surface_Engine!$B$12:$B$72,$A912+1)+H913</f>
        <v>15189.9459155955</v>
      </c>
      <c r="I912" s="48" t="n">
        <f aca="false">E912*(IF($A912&lt;$Q$888,INDEX(Surface_Engine!$D$12:$D$72,$A912+1)+(Surface_Engine!L244*12)*INDEX(Surface_Engine!$F$12:$F$72,$A912+1)-(Surface_Engine!L244*12),1000*12*INDEX(Surface_Engine!$C$12:$C$72,$A912+1)/(1+Assumptions!$B$10)^17+INDEX(Surface_Engine!$D$12:$D$72,$A912+1)))*INDEX(Surface_Engine!$B$12:$B$72,$A912+1)+I913</f>
        <v>18836.236515432</v>
      </c>
      <c r="J912" s="48" t="n">
        <f aca="false">B912*(IF($A912&lt;$Q$888,INDEX(Surface_Engine!$D$12:$D$72,$A912+1)*(1+Assumptions!$B$24)+(Surface_Engine!L244*12)*INDEX(Surface_Engine!$F$12:$F$72,$A912+1)-(Surface_Engine!L244*12),1000*12*INDEX(Surface_Engine!$C$12:$C$72,$A912+1)/(1+Assumptions!$B$10)^17+INDEX(Surface_Engine!$D$12:$D$72,$A912+1)*(1+Assumptions!$B$24)))*INDEX(Surface_Engine!$B$12:$B$72,$A912+1)+J913</f>
        <v>16941.4563184042</v>
      </c>
      <c r="K912" s="12" t="n">
        <f aca="false">SQRT((IF(C912&lt;=0,0,MAX(0,(B912/C912)*G912/INDEX(Surface_Engine!$B$12:$B$72,$A912+1)-F912/INDEX(Surface_Engine!$B$12:$B$72,$A912+1))))^2+(MAX(IF(D912&lt;=0,0,MAX(0,(B912/D912)*H912/INDEX(Surface_Engine!$B$12:$B$72,$A912+1)-F912/INDEX(Surface_Engine!$B$12:$B$72,$A912+1))),IF(E912&lt;=0,0,MAX(0,(B912/E912)*I912/INDEX(Surface_Engine!$B$12:$B$72,$A912+1)-F912/INDEX(Surface_Engine!$B$12:$B$72,$A912+1))),IF($A912&lt;$Q$888,MAX(0,-Assumptions!$B$22*(F912/INDEX(Surface_Engine!$B$12:$B$72,$A912+1))),0)))^2+(MAX(0,J912/INDEX(Surface_Engine!$B$12:$B$72,$A912+1)-(F912/INDEX(Surface_Engine!$B$12:$B$72,$A912+1))))^2+2*Assumptions!$B$26*(IF(C912&lt;=0,0,MAX(0,(B912/C912)*G912/INDEX(Surface_Engine!$B$12:$B$72,$A912+1)-F912/INDEX(Surface_Engine!$B$12:$B$72,$A912+1))))*(MAX(IF(D912&lt;=0,0,MAX(0,(B912/D912)*H912/INDEX(Surface_Engine!$B$12:$B$72,$A912+1)-F912/INDEX(Surface_Engine!$B$12:$B$72,$A912+1))),IF(E912&lt;=0,0,MAX(0,(B912/E912)*I912/INDEX(Surface_Engine!$B$12:$B$72,$A912+1)-F912/INDEX(Surface_Engine!$B$12:$B$72,$A912+1))),IF($A912&lt;$Q$888,MAX(0,-Assumptions!$B$22*(F912/INDEX(Surface_Engine!$B$12:$B$72,$A912+1))),0)))+2*Assumptions!$B$27*(IF(C912&lt;=0,0,MAX(0,(B912/C912)*G912/INDEX(Surface_Engine!$B$12:$B$72,$A912+1)-F912/INDEX(Surface_Engine!$B$12:$B$72,$A912+1))))*(MAX(0,J912/INDEX(Surface_Engine!$B$12:$B$72,$A912+1)-(F912/INDEX(Surface_Engine!$B$12:$B$72,$A912+1))))+2*Assumptions!$B$28*(MAX(IF(D912&lt;=0,0,MAX(0,(B912/D912)*H912/INDEX(Surface_Engine!$B$12:$B$72,$A912+1)-F912/INDEX(Surface_Engine!$B$12:$B$72,$A912+1))),IF(E912&lt;=0,0,MAX(0,(B912/E912)*I912/INDEX(Surface_Engine!$B$12:$B$72,$A912+1)-F912/INDEX(Surface_Engine!$B$12:$B$72,$A912+1))),IF($A912&lt;$Q$888,MAX(0,-Assumptions!$B$22*(F912/INDEX(Surface_Engine!$B$12:$B$72,$A912+1))),0)))*(MAX(0,J912/INDEX(Surface_Engine!$B$12:$B$72,$A912+1)-(F912/INDEX(Surface_Engine!$B$12:$B$72,$A912+1)))))</f>
        <v>5502.89234323086</v>
      </c>
      <c r="L912" s="48" t="n">
        <f aca="false">K912*INDEX(Surface_Engine!$B$12:$B$72,$A912+1)+L913</f>
        <v>15440.6851770475</v>
      </c>
      <c r="M912" s="48" t="n">
        <f aca="false">M911+B911*(IF($A911&lt;$Q$888,(Surface_Engine!L244*12)-(Surface_Engine!L244*12)*INDEX(Surface_Engine!$F$12:$F$72,$A911+1)-INDEX(Surface_Engine!$D$12:$D$72,$A911+1),-(1000*12*INDEX(Surface_Engine!$C$12:$C$72,$A911+1)/(1+Assumptions!$B$10)^17+INDEX(Surface_Engine!$D$12:$D$72,$A911+1))))*INDEX(Surface_Engine!$B$12:$B$72,$A911+1)</f>
        <v>18203.1647844042</v>
      </c>
      <c r="N912" s="12" t="n">
        <f aca="false">IF(B912&lt;=0,0,MAX(0,(K912+Assumptions!$B$29*L912/INDEX(Surface_Engine!$B$12:$B$72,$A912+1)-(M912/INDEX(Surface_Engine!$B$12:$B$72,$A912+1)-(F912/INDEX(Surface_Engine!$B$12:$B$72,$A912+1))))/B912))</f>
        <v>12023.8913329111</v>
      </c>
    </row>
    <row r="913" customFormat="false" ht="15" hidden="false" customHeight="true" outlineLevel="0" collapsed="false">
      <c r="A913" s="1" t="n">
        <v>23</v>
      </c>
      <c r="B913" s="32" t="n">
        <f aca="false">INDEX(Surface_Engine!$O$12:$O$72,$A913+1)*IF($A913&lt;$Q$888,INDEX(Surface_Engine!$E$12:$E$72,$A913+1),INDEX(Surface_Engine!$E$12:$E$72,$Q$888+1))</f>
        <v>0.359615021752091</v>
      </c>
      <c r="C913" s="32" t="n">
        <f aca="false">INDEX(Panel_Reserving!$E$8:$E$68,$A913+1)*IF($A913&lt;$Q$888,INDEX(Surface_Engine!$E$12:$E$72,$A913+1),INDEX(Surface_Engine!$E$12:$E$72,$Q$888+1))</f>
        <v>0.424394495858472</v>
      </c>
      <c r="D913" s="32" t="n">
        <f aca="false">INDEX(Surface_Engine!$O$12:$O$72,$A913+1)*IF($A913&lt;$Q$888,INDEX(Surface_Engine!$Y$12:$Y$72,$A913+1),INDEX(Surface_Engine!$Y$12:$Y$72,$Q$888+1))</f>
        <v>0.322782801777221</v>
      </c>
      <c r="E913" s="32" t="n">
        <f aca="false">INDEX(Surface_Engine!$O$12:$O$72,$A913+1)*IF($A913&lt;$Q$888,INDEX(Surface_Engine!$Z$12:$Z$72,$A913+1),INDEX(Surface_Engine!$Z$12:$Z$72,$Q$888+1))</f>
        <v>0.400265625116359</v>
      </c>
      <c r="F913" s="48" t="n">
        <f aca="false">B913*(IF($A913&lt;$Q$888,INDEX(Surface_Engine!$D$12:$D$72,$A913+1)+(Surface_Engine!L244*12)*INDEX(Surface_Engine!$F$12:$F$72,$A913+1)-(Surface_Engine!L244*12),1000*12*INDEX(Surface_Engine!$C$12:$C$72,$A913+1)/(1+Assumptions!$B$10)^17+INDEX(Surface_Engine!$D$12:$D$72,$A913+1)))*INDEX(Surface_Engine!$B$12:$B$72,$A913+1)+F914</f>
        <v>14233.2535693912</v>
      </c>
      <c r="G913" s="48" t="n">
        <f aca="false">C913*(IF($A913&lt;$Q$888,INDEX(Surface_Engine!$D$12:$D$72,$A913+1)+(Surface_Engine!L244*12)*INDEX(Surface_Engine!$F$12:$F$72,$A913+1)-(Surface_Engine!L244*12),1000*12*INDEX(Surface_Engine!$C$12:$C$72,$A913+1)/(1+Assumptions!$B$10)^17+INDEX(Surface_Engine!$D$12:$D$72,$A913+1)))*INDEX(Surface_Engine!$B$12:$B$72,$A913+1)+G914</f>
        <v>19626.9970128891</v>
      </c>
      <c r="H913" s="48" t="n">
        <f aca="false">D913*(IF($A913&lt;$Q$888,INDEX(Surface_Engine!$D$12:$D$72,$A913+1)+(Surface_Engine!L244*12)*INDEX(Surface_Engine!$F$12:$F$72,$A913+1)-(Surface_Engine!L244*12),1000*12*INDEX(Surface_Engine!$C$12:$C$72,$A913+1)/(1+Assumptions!$B$10)^17+INDEX(Surface_Engine!$D$12:$D$72,$A913+1)))*INDEX(Surface_Engine!$B$12:$B$72,$A913+1)+H914</f>
        <v>12775.4659500873</v>
      </c>
      <c r="I913" s="48" t="n">
        <f aca="false">E913*(IF($A913&lt;$Q$888,INDEX(Surface_Engine!$D$12:$D$72,$A913+1)+(Surface_Engine!L244*12)*INDEX(Surface_Engine!$F$12:$F$72,$A913+1)-(Surface_Engine!L244*12),1000*12*INDEX(Surface_Engine!$C$12:$C$72,$A913+1)/(1+Assumptions!$B$10)^17+INDEX(Surface_Engine!$D$12:$D$72,$A913+1)))*INDEX(Surface_Engine!$B$12:$B$72,$A913+1)+I914</f>
        <v>15842.1695223829</v>
      </c>
      <c r="J913" s="48" t="n">
        <f aca="false">B913*(IF($A913&lt;$Q$888,INDEX(Surface_Engine!$D$12:$D$72,$A913+1)*(1+Assumptions!$B$24)+(Surface_Engine!L244*12)*INDEX(Surface_Engine!$F$12:$F$72,$A913+1)-(Surface_Engine!L244*12),1000*12*INDEX(Surface_Engine!$C$12:$C$72,$A913+1)/(1+Assumptions!$B$10)^17+INDEX(Surface_Engine!$D$12:$D$72,$A913+1)*(1+Assumptions!$B$24)))*INDEX(Surface_Engine!$B$12:$B$72,$A913+1)+J914</f>
        <v>14248.6279840305</v>
      </c>
      <c r="K913" s="12" t="n">
        <f aca="false">SQRT((IF(C913&lt;=0,0,MAX(0,(B913/C913)*G913/INDEX(Surface_Engine!$B$12:$B$72,$A913+1)-F913/INDEX(Surface_Engine!$B$12:$B$72,$A913+1))))^2+(MAX(IF(D913&lt;=0,0,MAX(0,(B913/D913)*H913/INDEX(Surface_Engine!$B$12:$B$72,$A913+1)-F913/INDEX(Surface_Engine!$B$12:$B$72,$A913+1))),IF(E913&lt;=0,0,MAX(0,(B913/E913)*I913/INDEX(Surface_Engine!$B$12:$B$72,$A913+1)-F913/INDEX(Surface_Engine!$B$12:$B$72,$A913+1))),IF($A913&lt;$Q$888,MAX(0,-Assumptions!$B$22*(F913/INDEX(Surface_Engine!$B$12:$B$72,$A913+1))),0)))^2+(MAX(0,J913/INDEX(Surface_Engine!$B$12:$B$72,$A913+1)-(F913/INDEX(Surface_Engine!$B$12:$B$72,$A913+1))))^2+2*Assumptions!$B$26*(IF(C913&lt;=0,0,MAX(0,(B913/C913)*G913/INDEX(Surface_Engine!$B$12:$B$72,$A913+1)-F913/INDEX(Surface_Engine!$B$12:$B$72,$A913+1))))*(MAX(IF(D913&lt;=0,0,MAX(0,(B913/D913)*H913/INDEX(Surface_Engine!$B$12:$B$72,$A913+1)-F913/INDEX(Surface_Engine!$B$12:$B$72,$A913+1))),IF(E913&lt;=0,0,MAX(0,(B913/E913)*I913/INDEX(Surface_Engine!$B$12:$B$72,$A913+1)-F913/INDEX(Surface_Engine!$B$12:$B$72,$A913+1))),IF($A913&lt;$Q$888,MAX(0,-Assumptions!$B$22*(F913/INDEX(Surface_Engine!$B$12:$B$72,$A913+1))),0)))+2*Assumptions!$B$27*(IF(C913&lt;=0,0,MAX(0,(B913/C913)*G913/INDEX(Surface_Engine!$B$12:$B$72,$A913+1)-F913/INDEX(Surface_Engine!$B$12:$B$72,$A913+1))))*(MAX(0,J913/INDEX(Surface_Engine!$B$12:$B$72,$A913+1)-(F913/INDEX(Surface_Engine!$B$12:$B$72,$A913+1))))+2*Assumptions!$B$28*(MAX(IF(D913&lt;=0,0,MAX(0,(B913/D913)*H913/INDEX(Surface_Engine!$B$12:$B$72,$A913+1)-F913/INDEX(Surface_Engine!$B$12:$B$72,$A913+1))),IF(E913&lt;=0,0,MAX(0,(B913/E913)*I913/INDEX(Surface_Engine!$B$12:$B$72,$A913+1)-F913/INDEX(Surface_Engine!$B$12:$B$72,$A913+1))),IF($A913&lt;$Q$888,MAX(0,-Assumptions!$B$22*(F913/INDEX(Surface_Engine!$B$12:$B$72,$A913+1))),0)))*(MAX(0,J913/INDEX(Surface_Engine!$B$12:$B$72,$A913+1)-(F913/INDEX(Surface_Engine!$B$12:$B$72,$A913+1)))))</f>
        <v>4925.54744943774</v>
      </c>
      <c r="L913" s="48" t="n">
        <f aca="false">K913*INDEX(Surface_Engine!$B$12:$B$72,$A913+1)+L914</f>
        <v>12671.6853032351</v>
      </c>
      <c r="M913" s="48" t="n">
        <f aca="false">M912+B912*(IF($A912&lt;$Q$888,(Surface_Engine!L244*12)-(Surface_Engine!L244*12)*INDEX(Surface_Engine!$F$12:$F$72,$A912+1)-INDEX(Surface_Engine!$D$12:$D$72,$A912+1),-(1000*12*INDEX(Surface_Engine!$C$12:$C$72,$A912+1)/(1+Assumptions!$B$10)^17+INDEX(Surface_Engine!$D$12:$D$72,$A912+1))))*INDEX(Surface_Engine!$B$12:$B$72,$A912+1)</f>
        <v>15513.1724411458</v>
      </c>
      <c r="N913" s="12" t="n">
        <f aca="false">IF(B913&lt;=0,0,MAX(0,(K913+Assumptions!$B$29*L913/INDEX(Surface_Engine!$B$12:$B$72,$A913+1)-(M913/INDEX(Surface_Engine!$B$12:$B$72,$A913+1)-(F913/INDEX(Surface_Engine!$B$12:$B$72,$A913+1))))/B913))</f>
        <v>10733.4705694279</v>
      </c>
    </row>
    <row r="914" customFormat="false" ht="15" hidden="false" customHeight="true" outlineLevel="0" collapsed="false">
      <c r="A914" s="1" t="n">
        <v>24</v>
      </c>
      <c r="B914" s="32" t="n">
        <f aca="false">INDEX(Surface_Engine!$O$12:$O$72,$A914+1)*IF($A914&lt;$Q$888,INDEX(Surface_Engine!$E$12:$E$72,$A914+1),INDEX(Surface_Engine!$E$12:$E$72,$Q$888+1))</f>
        <v>0.319461545260024</v>
      </c>
      <c r="C914" s="32" t="n">
        <f aca="false">INDEX(Panel_Reserving!$E$8:$E$68,$A914+1)*IF($A914&lt;$Q$888,INDEX(Surface_Engine!$E$12:$E$72,$A914+1),INDEX(Surface_Engine!$E$12:$E$72,$Q$888+1))</f>
        <v>0.386485257629679</v>
      </c>
      <c r="D914" s="32" t="n">
        <f aca="false">INDEX(Surface_Engine!$O$12:$O$72,$A914+1)*IF($A914&lt;$Q$888,INDEX(Surface_Engine!$Y$12:$Y$72,$A914+1),INDEX(Surface_Engine!$Y$12:$Y$72,$Q$888+1))</f>
        <v>0.286741894531305</v>
      </c>
      <c r="E914" s="32" t="n">
        <f aca="false">INDEX(Surface_Engine!$O$12:$O$72,$A914+1)*IF($A914&lt;$Q$888,INDEX(Surface_Engine!$Z$12:$Z$72,$A914+1),INDEX(Surface_Engine!$Z$12:$Z$72,$Q$888+1))</f>
        <v>0.355573230759786</v>
      </c>
      <c r="F914" s="48" t="n">
        <f aca="false">B914*(IF($A914&lt;$Q$888,INDEX(Surface_Engine!$D$12:$D$72,$A914+1)+(Surface_Engine!L244*12)*INDEX(Surface_Engine!$F$12:$F$72,$A914+1)-(Surface_Engine!L244*12),1000*12*INDEX(Surface_Engine!$C$12:$C$72,$A914+1)/(1+Assumptions!$B$10)^17+INDEX(Surface_Engine!$D$12:$D$72,$A914+1)))*INDEX(Surface_Engine!$B$12:$B$72,$A914+1)+F915</f>
        <v>11838.1573158381</v>
      </c>
      <c r="G914" s="48" t="n">
        <f aca="false">C914*(IF($A914&lt;$Q$888,INDEX(Surface_Engine!$D$12:$D$72,$A914+1)+(Surface_Engine!L244*12)*INDEX(Surface_Engine!$F$12:$F$72,$A914+1)-(Surface_Engine!L244*12),1000*12*INDEX(Surface_Engine!$C$12:$C$72,$A914+1)/(1+Assumptions!$B$10)^17+INDEX(Surface_Engine!$D$12:$D$72,$A914+1)))*INDEX(Surface_Engine!$B$12:$B$72,$A914+1)+G915</f>
        <v>16800.4586160589</v>
      </c>
      <c r="H914" s="48" t="n">
        <f aca="false">D914*(IF($A914&lt;$Q$888,INDEX(Surface_Engine!$D$12:$D$72,$A914+1)+(Surface_Engine!L244*12)*INDEX(Surface_Engine!$F$12:$F$72,$A914+1)-(Surface_Engine!L244*12),1000*12*INDEX(Surface_Engine!$C$12:$C$72,$A914+1)/(1+Assumptions!$B$10)^17+INDEX(Surface_Engine!$D$12:$D$72,$A914+1)))*INDEX(Surface_Engine!$B$12:$B$72,$A914+1)+H915</f>
        <v>10625.6784482154</v>
      </c>
      <c r="I914" s="48" t="n">
        <f aca="false">E914*(IF($A914&lt;$Q$888,INDEX(Surface_Engine!$D$12:$D$72,$A914+1)+(Surface_Engine!L244*12)*INDEX(Surface_Engine!$F$12:$F$72,$A914+1)-(Surface_Engine!L244*12),1000*12*INDEX(Surface_Engine!$C$12:$C$72,$A914+1)/(1+Assumptions!$B$10)^17+INDEX(Surface_Engine!$D$12:$D$72,$A914+1)))*INDEX(Surface_Engine!$B$12:$B$72,$A914+1)+I915</f>
        <v>13176.3334444807</v>
      </c>
      <c r="J914" s="48" t="n">
        <f aca="false">B914*(IF($A914&lt;$Q$888,INDEX(Surface_Engine!$D$12:$D$72,$A914+1)*(1+Assumptions!$B$24)+(Surface_Engine!L244*12)*INDEX(Surface_Engine!$F$12:$F$72,$A914+1)-(Surface_Engine!L244*12),1000*12*INDEX(Surface_Engine!$C$12:$C$72,$A914+1)/(1+Assumptions!$B$10)^17+INDEX(Surface_Engine!$D$12:$D$72,$A914+1)*(1+Assumptions!$B$24)))*INDEX(Surface_Engine!$B$12:$B$72,$A914+1)+J915</f>
        <v>11850.994394115</v>
      </c>
      <c r="K914" s="12" t="n">
        <f aca="false">SQRT((IF(C914&lt;=0,0,MAX(0,(B914/C914)*G914/INDEX(Surface_Engine!$B$12:$B$72,$A914+1)-F914/INDEX(Surface_Engine!$B$12:$B$72,$A914+1))))^2+(MAX(IF(D914&lt;=0,0,MAX(0,(B914/D914)*H914/INDEX(Surface_Engine!$B$12:$B$72,$A914+1)-F914/INDEX(Surface_Engine!$B$12:$B$72,$A914+1))),IF(E914&lt;=0,0,MAX(0,(B914/E914)*I914/INDEX(Surface_Engine!$B$12:$B$72,$A914+1)-F914/INDEX(Surface_Engine!$B$12:$B$72,$A914+1))),IF($A914&lt;$Q$888,MAX(0,-Assumptions!$B$22*(F914/INDEX(Surface_Engine!$B$12:$B$72,$A914+1))),0)))^2+(MAX(0,J914/INDEX(Surface_Engine!$B$12:$B$72,$A914+1)-(F914/INDEX(Surface_Engine!$B$12:$B$72,$A914+1))))^2+2*Assumptions!$B$26*(IF(C914&lt;=0,0,MAX(0,(B914/C914)*G914/INDEX(Surface_Engine!$B$12:$B$72,$A914+1)-F914/INDEX(Surface_Engine!$B$12:$B$72,$A914+1))))*(MAX(IF(D914&lt;=0,0,MAX(0,(B914/D914)*H914/INDEX(Surface_Engine!$B$12:$B$72,$A914+1)-F914/INDEX(Surface_Engine!$B$12:$B$72,$A914+1))),IF(E914&lt;=0,0,MAX(0,(B914/E914)*I914/INDEX(Surface_Engine!$B$12:$B$72,$A914+1)-F914/INDEX(Surface_Engine!$B$12:$B$72,$A914+1))),IF($A914&lt;$Q$888,MAX(0,-Assumptions!$B$22*(F914/INDEX(Surface_Engine!$B$12:$B$72,$A914+1))),0)))+2*Assumptions!$B$27*(IF(C914&lt;=0,0,MAX(0,(B914/C914)*G914/INDEX(Surface_Engine!$B$12:$B$72,$A914+1)-F914/INDEX(Surface_Engine!$B$12:$B$72,$A914+1))))*(MAX(0,J914/INDEX(Surface_Engine!$B$12:$B$72,$A914+1)-(F914/INDEX(Surface_Engine!$B$12:$B$72,$A914+1))))+2*Assumptions!$B$28*(MAX(IF(D914&lt;=0,0,MAX(0,(B914/D914)*H914/INDEX(Surface_Engine!$B$12:$B$72,$A914+1)-F914/INDEX(Surface_Engine!$B$12:$B$72,$A914+1))),IF(E914&lt;=0,0,MAX(0,(B914/E914)*I914/INDEX(Surface_Engine!$B$12:$B$72,$A914+1)-F914/INDEX(Surface_Engine!$B$12:$B$72,$A914+1))),IF($A914&lt;$Q$888,MAX(0,-Assumptions!$B$22*(F914/INDEX(Surface_Engine!$B$12:$B$72,$A914+1))),0)))*(MAX(0,J914/INDEX(Surface_Engine!$B$12:$B$72,$A914+1)-(F914/INDEX(Surface_Engine!$B$12:$B$72,$A914+1)))))</f>
        <v>4343.81818341857</v>
      </c>
      <c r="L914" s="48" t="n">
        <f aca="false">K914*INDEX(Surface_Engine!$B$12:$B$72,$A914+1)+L915</f>
        <v>10269.9122419919</v>
      </c>
      <c r="M914" s="48" t="n">
        <f aca="false">M913+B913*(IF($A913&lt;$Q$888,(Surface_Engine!L244*12)-(Surface_Engine!L244*12)*INDEX(Surface_Engine!$F$12:$F$72,$A913+1)-INDEX(Surface_Engine!$D$12:$D$72,$A913+1),-(1000*12*INDEX(Surface_Engine!$C$12:$C$72,$A913+1)/(1+Assumptions!$B$10)^17+INDEX(Surface_Engine!$D$12:$D$72,$A913+1))))*INDEX(Surface_Engine!$B$12:$B$72,$A913+1)</f>
        <v>13118.0761875926</v>
      </c>
      <c r="N914" s="12" t="n">
        <f aca="false">IF(B914&lt;=0,0,MAX(0,(K914+Assumptions!$B$29*L914/INDEX(Surface_Engine!$B$12:$B$72,$A914+1)-(M914/INDEX(Surface_Engine!$B$12:$B$72,$A914+1)-(F914/INDEX(Surface_Engine!$B$12:$B$72,$A914+1))))/B914))</f>
        <v>9199.30923526212</v>
      </c>
    </row>
    <row r="915" customFormat="false" ht="15" hidden="false" customHeight="true" outlineLevel="0" collapsed="false">
      <c r="A915" s="1" t="n">
        <v>25</v>
      </c>
      <c r="B915" s="32" t="n">
        <f aca="false">INDEX(Surface_Engine!$O$12:$O$72,$A915+1)*IF($A915&lt;$Q$888,INDEX(Surface_Engine!$E$12:$E$72,$A915+1),INDEX(Surface_Engine!$E$12:$E$72,$Q$888+1))</f>
        <v>0.279771934912223</v>
      </c>
      <c r="C915" s="32" t="n">
        <f aca="false">INDEX(Panel_Reserving!$E$8:$E$68,$A915+1)*IF($A915&lt;$Q$888,INDEX(Surface_Engine!$E$12:$E$72,$A915+1),INDEX(Surface_Engine!$E$12:$E$72,$Q$888+1))</f>
        <v>0.348071997547297</v>
      </c>
      <c r="D915" s="32" t="n">
        <f aca="false">INDEX(Surface_Engine!$O$12:$O$72,$A915+1)*IF($A915&lt;$Q$888,INDEX(Surface_Engine!$Y$12:$Y$72,$A915+1),INDEX(Surface_Engine!$Y$12:$Y$72,$Q$888+1))</f>
        <v>0.25111734367942</v>
      </c>
      <c r="E915" s="32" t="n">
        <f aca="false">INDEX(Surface_Engine!$O$12:$O$72,$A915+1)*IF($A915&lt;$Q$888,INDEX(Surface_Engine!$Z$12:$Z$72,$A915+1),INDEX(Surface_Engine!$Z$12:$Z$72,$Q$888+1))</f>
        <v>0.311397137616939</v>
      </c>
      <c r="F915" s="48" t="n">
        <f aca="false">B915*(IF($A915&lt;$Q$888,INDEX(Surface_Engine!$D$12:$D$72,$A915+1)+(Surface_Engine!L244*12)*INDEX(Surface_Engine!$F$12:$F$72,$A915+1)-(Surface_Engine!L244*12),1000*12*INDEX(Surface_Engine!$C$12:$C$72,$A915+1)/(1+Assumptions!$B$10)^17+INDEX(Surface_Engine!$D$12:$D$72,$A915+1)))*INDEX(Surface_Engine!$B$12:$B$72,$A915+1)+F916</f>
        <v>9735.52875432129</v>
      </c>
      <c r="G915" s="48" t="n">
        <f aca="false">C915*(IF($A915&lt;$Q$888,INDEX(Surface_Engine!$D$12:$D$72,$A915+1)+(Surface_Engine!L244*12)*INDEX(Surface_Engine!$F$12:$F$72,$A915+1)-(Surface_Engine!L244*12),1000*12*INDEX(Surface_Engine!$C$12:$C$72,$A915+1)/(1+Assumptions!$B$10)^17+INDEX(Surface_Engine!$D$12:$D$72,$A915+1)))*INDEX(Surface_Engine!$B$12:$B$72,$A915+1)+G916</f>
        <v>14256.6941055733</v>
      </c>
      <c r="H915" s="48" t="n">
        <f aca="false">D915*(IF($A915&lt;$Q$888,INDEX(Surface_Engine!$D$12:$D$72,$A915+1)+(Surface_Engine!L244*12)*INDEX(Surface_Engine!$F$12:$F$72,$A915+1)-(Surface_Engine!L244*12),1000*12*INDEX(Surface_Engine!$C$12:$C$72,$A915+1)/(1+Assumptions!$B$10)^17+INDEX(Surface_Engine!$D$12:$D$72,$A915+1)))*INDEX(Surface_Engine!$B$12:$B$72,$A915+1)+H916</f>
        <v>8738.40373183537</v>
      </c>
      <c r="I915" s="48" t="n">
        <f aca="false">E915*(IF($A915&lt;$Q$888,INDEX(Surface_Engine!$D$12:$D$72,$A915+1)+(Surface_Engine!L244*12)*INDEX(Surface_Engine!$F$12:$F$72,$A915+1)-(Surface_Engine!L244*12),1000*12*INDEX(Surface_Engine!$C$12:$C$72,$A915+1)/(1+Assumptions!$B$10)^17+INDEX(Surface_Engine!$D$12:$D$72,$A915+1)))*INDEX(Surface_Engine!$B$12:$B$72,$A915+1)+I916</f>
        <v>10836.025379866</v>
      </c>
      <c r="J915" s="48" t="n">
        <f aca="false">B915*(IF($A915&lt;$Q$888,INDEX(Surface_Engine!$D$12:$D$72,$A915+1)*(1+Assumptions!$B$24)+(Surface_Engine!L244*12)*INDEX(Surface_Engine!$F$12:$F$72,$A915+1)-(Surface_Engine!L244*12),1000*12*INDEX(Surface_Engine!$C$12:$C$72,$A915+1)/(1+Assumptions!$B$10)^17+INDEX(Surface_Engine!$D$12:$D$72,$A915+1)*(1+Assumptions!$B$24)))*INDEX(Surface_Engine!$B$12:$B$72,$A915+1)+J916</f>
        <v>9746.12753013668</v>
      </c>
      <c r="K915" s="12" t="n">
        <f aca="false">SQRT((IF(C915&lt;=0,0,MAX(0,(B915/C915)*G915/INDEX(Surface_Engine!$B$12:$B$72,$A915+1)-F915/INDEX(Surface_Engine!$B$12:$B$72,$A915+1))))^2+(MAX(IF(D915&lt;=0,0,MAX(0,(B915/D915)*H915/INDEX(Surface_Engine!$B$12:$B$72,$A915+1)-F915/INDEX(Surface_Engine!$B$12:$B$72,$A915+1))),IF(E915&lt;=0,0,MAX(0,(B915/E915)*I915/INDEX(Surface_Engine!$B$12:$B$72,$A915+1)-F915/INDEX(Surface_Engine!$B$12:$B$72,$A915+1))),IF($A915&lt;$Q$888,MAX(0,-Assumptions!$B$22*(F915/INDEX(Surface_Engine!$B$12:$B$72,$A915+1))),0)))^2+(MAX(0,J915/INDEX(Surface_Engine!$B$12:$B$72,$A915+1)-(F915/INDEX(Surface_Engine!$B$12:$B$72,$A915+1))))^2+2*Assumptions!$B$26*(IF(C915&lt;=0,0,MAX(0,(B915/C915)*G915/INDEX(Surface_Engine!$B$12:$B$72,$A915+1)-F915/INDEX(Surface_Engine!$B$12:$B$72,$A915+1))))*(MAX(IF(D915&lt;=0,0,MAX(0,(B915/D915)*H915/INDEX(Surface_Engine!$B$12:$B$72,$A915+1)-F915/INDEX(Surface_Engine!$B$12:$B$72,$A915+1))),IF(E915&lt;=0,0,MAX(0,(B915/E915)*I915/INDEX(Surface_Engine!$B$12:$B$72,$A915+1)-F915/INDEX(Surface_Engine!$B$12:$B$72,$A915+1))),IF($A915&lt;$Q$888,MAX(0,-Assumptions!$B$22*(F915/INDEX(Surface_Engine!$B$12:$B$72,$A915+1))),0)))+2*Assumptions!$B$27*(IF(C915&lt;=0,0,MAX(0,(B915/C915)*G915/INDEX(Surface_Engine!$B$12:$B$72,$A915+1)-F915/INDEX(Surface_Engine!$B$12:$B$72,$A915+1))))*(MAX(0,J915/INDEX(Surface_Engine!$B$12:$B$72,$A915+1)-(F915/INDEX(Surface_Engine!$B$12:$B$72,$A915+1))))+2*Assumptions!$B$28*(MAX(IF(D915&lt;=0,0,MAX(0,(B915/D915)*H915/INDEX(Surface_Engine!$B$12:$B$72,$A915+1)-F915/INDEX(Surface_Engine!$B$12:$B$72,$A915+1))),IF(E915&lt;=0,0,MAX(0,(B915/E915)*I915/INDEX(Surface_Engine!$B$12:$B$72,$A915+1)-F915/INDEX(Surface_Engine!$B$12:$B$72,$A915+1))),IF($A915&lt;$Q$888,MAX(0,-Assumptions!$B$22*(F915/INDEX(Surface_Engine!$B$12:$B$72,$A915+1))),0)))*(MAX(0,J915/INDEX(Surface_Engine!$B$12:$B$72,$A915+1)-(F915/INDEX(Surface_Engine!$B$12:$B$72,$A915+1)))))</f>
        <v>3771.27713700263</v>
      </c>
      <c r="L915" s="48" t="n">
        <f aca="false">K915*INDEX(Surface_Engine!$B$12:$B$72,$A915+1)+L916</f>
        <v>8217.87517472863</v>
      </c>
      <c r="M915" s="48" t="n">
        <f aca="false">M914+B914*(IF($A914&lt;$Q$888,(Surface_Engine!L244*12)-(Surface_Engine!L244*12)*INDEX(Surface_Engine!$F$12:$F$72,$A914+1)-INDEX(Surface_Engine!$D$12:$D$72,$A914+1),-(1000*12*INDEX(Surface_Engine!$C$12:$C$72,$A914+1)/(1+Assumptions!$B$10)^17+INDEX(Surface_Engine!$D$12:$D$72,$A914+1))))*INDEX(Surface_Engine!$B$12:$B$72,$A914+1)</f>
        <v>11015.4476260758</v>
      </c>
      <c r="N915" s="12" t="n">
        <f aca="false">IF(B915&lt;=0,0,MAX(0,(K915+Assumptions!$B$29*L915/INDEX(Surface_Engine!$B$12:$B$72,$A915+1)-(M915/INDEX(Surface_Engine!$B$12:$B$72,$A915+1)-(F915/INDEX(Surface_Engine!$B$12:$B$72,$A915+1))))/B915))</f>
        <v>7335.87562755756</v>
      </c>
    </row>
    <row r="916" customFormat="false" ht="15" hidden="false" customHeight="true" outlineLevel="0" collapsed="false">
      <c r="A916" s="1" t="n">
        <v>26</v>
      </c>
      <c r="B916" s="32" t="n">
        <f aca="false">INDEX(Surface_Engine!$O$12:$O$72,$A916+1)*IF($A916&lt;$Q$888,INDEX(Surface_Engine!$E$12:$E$72,$A916+1),INDEX(Surface_Engine!$E$12:$E$72,$Q$888+1))</f>
        <v>0.241696942838837</v>
      </c>
      <c r="C916" s="32" t="n">
        <f aca="false">INDEX(Panel_Reserving!$E$8:$E$68,$A916+1)*IF($A916&lt;$Q$888,INDEX(Surface_Engine!$E$12:$E$72,$A916+1),INDEX(Surface_Engine!$E$12:$E$72,$Q$888+1))</f>
        <v>0.310175877475813</v>
      </c>
      <c r="D916" s="32" t="n">
        <f aca="false">INDEX(Surface_Engine!$O$12:$O$72,$A916+1)*IF($A916&lt;$Q$888,INDEX(Surface_Engine!$Y$12:$Y$72,$A916+1),INDEX(Surface_Engine!$Y$12:$Y$72,$Q$888+1))</f>
        <v>0.216942039880332</v>
      </c>
      <c r="E916" s="32" t="n">
        <f aca="false">INDEX(Surface_Engine!$O$12:$O$72,$A916+1)*IF($A916&lt;$Q$888,INDEX(Surface_Engine!$Z$12:$Z$72,$A916+1),INDEX(Surface_Engine!$Z$12:$Z$72,$Q$888+1))</f>
        <v>0.269018177946949</v>
      </c>
      <c r="F916" s="48" t="n">
        <f aca="false">B916*(IF($A916&lt;$Q$888,INDEX(Surface_Engine!$D$12:$D$72,$A916+1)+(Surface_Engine!L244*12)*INDEX(Surface_Engine!$F$12:$F$72,$A916+1)-(Surface_Engine!L244*12),1000*12*INDEX(Surface_Engine!$C$12:$C$72,$A916+1)/(1+Assumptions!$B$10)^17+INDEX(Surface_Engine!$D$12:$D$72,$A916+1)))*INDEX(Surface_Engine!$B$12:$B$72,$A916+1)+F917</f>
        <v>7915.4279129032</v>
      </c>
      <c r="G916" s="48" t="n">
        <f aca="false">C916*(IF($A916&lt;$Q$888,INDEX(Surface_Engine!$D$12:$D$72,$A916+1)+(Surface_Engine!L244*12)*INDEX(Surface_Engine!$F$12:$F$72,$A916+1)-(Surface_Engine!L244*12),1000*12*INDEX(Surface_Engine!$C$12:$C$72,$A916+1)/(1+Assumptions!$B$10)^17+INDEX(Surface_Engine!$D$12:$D$72,$A916+1)))*INDEX(Surface_Engine!$B$12:$B$72,$A916+1)+G917</f>
        <v>11992.2563384017</v>
      </c>
      <c r="H916" s="48" t="n">
        <f aca="false">D916*(IF($A916&lt;$Q$888,INDEX(Surface_Engine!$D$12:$D$72,$A916+1)+(Surface_Engine!L244*12)*INDEX(Surface_Engine!$F$12:$F$72,$A916+1)-(Surface_Engine!L244*12),1000*12*INDEX(Surface_Engine!$C$12:$C$72,$A916+1)/(1+Assumptions!$B$10)^17+INDEX(Surface_Engine!$D$12:$D$72,$A916+1)))*INDEX(Surface_Engine!$B$12:$B$72,$A916+1)+H917</f>
        <v>7104.71989335819</v>
      </c>
      <c r="I916" s="48" t="n">
        <f aca="false">E916*(IF($A916&lt;$Q$888,INDEX(Surface_Engine!$D$12:$D$72,$A916+1)+(Surface_Engine!L244*12)*INDEX(Surface_Engine!$F$12:$F$72,$A916+1)-(Surface_Engine!L244*12),1000*12*INDEX(Surface_Engine!$C$12:$C$72,$A916+1)/(1+Assumptions!$B$10)^17+INDEX(Surface_Engine!$D$12:$D$72,$A916+1)))*INDEX(Surface_Engine!$B$12:$B$72,$A916+1)+I917</f>
        <v>8810.18174987641</v>
      </c>
      <c r="J916" s="48" t="n">
        <f aca="false">B916*(IF($A916&lt;$Q$888,INDEX(Surface_Engine!$D$12:$D$72,$A916+1)*(1+Assumptions!$B$24)+(Surface_Engine!L244*12)*INDEX(Surface_Engine!$F$12:$F$72,$A916+1)-(Surface_Engine!L244*12),1000*12*INDEX(Surface_Engine!$C$12:$C$72,$A916+1)/(1+Assumptions!$B$10)^17+INDEX(Surface_Engine!$D$12:$D$72,$A916+1)*(1+Assumptions!$B$24)))*INDEX(Surface_Engine!$B$12:$B$72,$A916+1)+J917</f>
        <v>7924.0797481489</v>
      </c>
      <c r="K916" s="12" t="n">
        <f aca="false">SQRT((IF(C916&lt;=0,0,MAX(0,(B916/C916)*G916/INDEX(Surface_Engine!$B$12:$B$72,$A916+1)-F916/INDEX(Surface_Engine!$B$12:$B$72,$A916+1))))^2+(MAX(IF(D916&lt;=0,0,MAX(0,(B916/D916)*H916/INDEX(Surface_Engine!$B$12:$B$72,$A916+1)-F916/INDEX(Surface_Engine!$B$12:$B$72,$A916+1))),IF(E916&lt;=0,0,MAX(0,(B916/E916)*I916/INDEX(Surface_Engine!$B$12:$B$72,$A916+1)-F916/INDEX(Surface_Engine!$B$12:$B$72,$A916+1))),IF($A916&lt;$Q$888,MAX(0,-Assumptions!$B$22*(F916/INDEX(Surface_Engine!$B$12:$B$72,$A916+1))),0)))^2+(MAX(0,J916/INDEX(Surface_Engine!$B$12:$B$72,$A916+1)-(F916/INDEX(Surface_Engine!$B$12:$B$72,$A916+1))))^2+2*Assumptions!$B$26*(IF(C916&lt;=0,0,MAX(0,(B916/C916)*G916/INDEX(Surface_Engine!$B$12:$B$72,$A916+1)-F916/INDEX(Surface_Engine!$B$12:$B$72,$A916+1))))*(MAX(IF(D916&lt;=0,0,MAX(0,(B916/D916)*H916/INDEX(Surface_Engine!$B$12:$B$72,$A916+1)-F916/INDEX(Surface_Engine!$B$12:$B$72,$A916+1))),IF(E916&lt;=0,0,MAX(0,(B916/E916)*I916/INDEX(Surface_Engine!$B$12:$B$72,$A916+1)-F916/INDEX(Surface_Engine!$B$12:$B$72,$A916+1))),IF($A916&lt;$Q$888,MAX(0,-Assumptions!$B$22*(F916/INDEX(Surface_Engine!$B$12:$B$72,$A916+1))),0)))+2*Assumptions!$B$27*(IF(C916&lt;=0,0,MAX(0,(B916/C916)*G916/INDEX(Surface_Engine!$B$12:$B$72,$A916+1)-F916/INDEX(Surface_Engine!$B$12:$B$72,$A916+1))))*(MAX(0,J916/INDEX(Surface_Engine!$B$12:$B$72,$A916+1)-(F916/INDEX(Surface_Engine!$B$12:$B$72,$A916+1))))+2*Assumptions!$B$28*(MAX(IF(D916&lt;=0,0,MAX(0,(B916/D916)*H916/INDEX(Surface_Engine!$B$12:$B$72,$A916+1)-F916/INDEX(Surface_Engine!$B$12:$B$72,$A916+1))),IF(E916&lt;=0,0,MAX(0,(B916/E916)*I916/INDEX(Surface_Engine!$B$12:$B$72,$A916+1)-F916/INDEX(Surface_Engine!$B$12:$B$72,$A916+1))),IF($A916&lt;$Q$888,MAX(0,-Assumptions!$B$22*(F916/INDEX(Surface_Engine!$B$12:$B$72,$A916+1))),0)))*(MAX(0,J916/INDEX(Surface_Engine!$B$12:$B$72,$A916+1)-(F916/INDEX(Surface_Engine!$B$12:$B$72,$A916+1)))))</f>
        <v>3227.94217403861</v>
      </c>
      <c r="L916" s="48" t="n">
        <f aca="false">K916*INDEX(Surface_Engine!$B$12:$B$72,$A916+1)+L917</f>
        <v>6491.53447479446</v>
      </c>
      <c r="M916" s="48" t="n">
        <f aca="false">M915+B915*(IF($A915&lt;$Q$888,(Surface_Engine!L244*12)-(Surface_Engine!L244*12)*INDEX(Surface_Engine!$F$12:$F$72,$A915+1)-INDEX(Surface_Engine!$D$12:$D$72,$A915+1),-(1000*12*INDEX(Surface_Engine!$C$12:$C$72,$A915+1)/(1+Assumptions!$B$10)^17+INDEX(Surface_Engine!$D$12:$D$72,$A915+1))))*INDEX(Surface_Engine!$B$12:$B$72,$A915+1)</f>
        <v>9195.34678465775</v>
      </c>
      <c r="N916" s="12" t="n">
        <f aca="false">IF(B916&lt;=0,0,MAX(0,(K916+Assumptions!$B$29*L916/INDEX(Surface_Engine!$B$12:$B$72,$A916+1)-(M916/INDEX(Surface_Engine!$B$12:$B$72,$A916+1)-(F916/INDEX(Surface_Engine!$B$12:$B$72,$A916+1))))/B916))</f>
        <v>5047.59909751915</v>
      </c>
    </row>
    <row r="917" customFormat="false" ht="15" hidden="false" customHeight="true" outlineLevel="0" collapsed="false">
      <c r="A917" s="1" t="n">
        <v>27</v>
      </c>
      <c r="B917" s="32" t="n">
        <f aca="false">INDEX(Surface_Engine!$O$12:$O$72,$A917+1)*IF($A917&lt;$Q$888,INDEX(Surface_Engine!$E$12:$E$72,$A917+1),INDEX(Surface_Engine!$E$12:$E$72,$Q$888+1))</f>
        <v>0.206134775934661</v>
      </c>
      <c r="C917" s="32" t="n">
        <f aca="false">INDEX(Panel_Reserving!$E$8:$E$68,$A917+1)*IF($A917&lt;$Q$888,INDEX(Surface_Engine!$E$12:$E$72,$A917+1),INDEX(Surface_Engine!$E$12:$E$72,$Q$888+1))</f>
        <v>0.273665605744989</v>
      </c>
      <c r="D917" s="32" t="n">
        <f aca="false">INDEX(Surface_Engine!$O$12:$O$72,$A917+1)*IF($A917&lt;$Q$888,INDEX(Surface_Engine!$Y$12:$Y$72,$A917+1),INDEX(Surface_Engine!$Y$12:$Y$72,$Q$888+1))</f>
        <v>0.185022194556095</v>
      </c>
      <c r="E917" s="32" t="n">
        <f aca="false">INDEX(Surface_Engine!$O$12:$O$72,$A917+1)*IF($A917&lt;$Q$888,INDEX(Surface_Engine!$Z$12:$Z$72,$A917+1),INDEX(Surface_Engine!$Z$12:$Z$72,$Q$888+1))</f>
        <v>0.229436091255907</v>
      </c>
      <c r="F917" s="48" t="n">
        <f aca="false">B917*(IF($A917&lt;$Q$888,INDEX(Surface_Engine!$D$12:$D$72,$A917+1)+(Surface_Engine!L244*12)*INDEX(Surface_Engine!$F$12:$F$72,$A917+1)-(Surface_Engine!L244*12),1000*12*INDEX(Surface_Engine!$C$12:$C$72,$A917+1)/(1+Assumptions!$B$10)^17+INDEX(Surface_Engine!$D$12:$D$72,$A917+1)))*INDEX(Surface_Engine!$B$12:$B$72,$A917+1)+F918</f>
        <v>6361.63890111922</v>
      </c>
      <c r="G917" s="48" t="n">
        <f aca="false">C917*(IF($A917&lt;$Q$888,INDEX(Surface_Engine!$D$12:$D$72,$A917+1)+(Surface_Engine!L244*12)*INDEX(Surface_Engine!$F$12:$F$72,$A917+1)-(Surface_Engine!L244*12),1000*12*INDEX(Surface_Engine!$C$12:$C$72,$A917+1)/(1+Assumptions!$B$10)^17+INDEX(Surface_Engine!$D$12:$D$72,$A917+1)))*INDEX(Surface_Engine!$B$12:$B$72,$A917+1)+G918</f>
        <v>9998.23910143675</v>
      </c>
      <c r="H917" s="48" t="n">
        <f aca="false">D917*(IF($A917&lt;$Q$888,INDEX(Surface_Engine!$D$12:$D$72,$A917+1)+(Surface_Engine!L244*12)*INDEX(Surface_Engine!$F$12:$F$72,$A917+1)-(Surface_Engine!L244*12),1000*12*INDEX(Surface_Engine!$C$12:$C$72,$A917+1)/(1+Assumptions!$B$10)^17+INDEX(Surface_Engine!$D$12:$D$72,$A917+1)))*INDEX(Surface_Engine!$B$12:$B$72,$A917+1)+H918</f>
        <v>5710.07189408735</v>
      </c>
      <c r="I917" s="48" t="n">
        <f aca="false">E917*(IF($A917&lt;$Q$888,INDEX(Surface_Engine!$D$12:$D$72,$A917+1)+(Surface_Engine!L244*12)*INDEX(Surface_Engine!$F$12:$F$72,$A917+1)-(Surface_Engine!L244*12),1000*12*INDEX(Surface_Engine!$C$12:$C$72,$A917+1)/(1+Assumptions!$B$10)^17+INDEX(Surface_Engine!$D$12:$D$72,$A917+1)))*INDEX(Surface_Engine!$B$12:$B$72,$A917+1)+I918</f>
        <v>7080.75363235638</v>
      </c>
      <c r="J917" s="48" t="n">
        <f aca="false">B917*(IF($A917&lt;$Q$888,INDEX(Surface_Engine!$D$12:$D$72,$A917+1)*(1+Assumptions!$B$24)+(Surface_Engine!L244*12)*INDEX(Surface_Engine!$F$12:$F$72,$A917+1)-(Surface_Engine!L244*12),1000*12*INDEX(Surface_Engine!$C$12:$C$72,$A917+1)/(1+Assumptions!$B$10)^17+INDEX(Surface_Engine!$D$12:$D$72,$A917+1)*(1+Assumptions!$B$24)))*INDEX(Surface_Engine!$B$12:$B$72,$A917+1)+J918</f>
        <v>6368.62060661562</v>
      </c>
      <c r="K917" s="12" t="n">
        <f aca="false">SQRT((IF(C917&lt;=0,0,MAX(0,(B917/C917)*G917/INDEX(Surface_Engine!$B$12:$B$72,$A917+1)-F917/INDEX(Surface_Engine!$B$12:$B$72,$A917+1))))^2+(MAX(IF(D917&lt;=0,0,MAX(0,(B917/D917)*H917/INDEX(Surface_Engine!$B$12:$B$72,$A917+1)-F917/INDEX(Surface_Engine!$B$12:$B$72,$A917+1))),IF(E917&lt;=0,0,MAX(0,(B917/E917)*I917/INDEX(Surface_Engine!$B$12:$B$72,$A917+1)-F917/INDEX(Surface_Engine!$B$12:$B$72,$A917+1))),IF($A917&lt;$Q$888,MAX(0,-Assumptions!$B$22*(F917/INDEX(Surface_Engine!$B$12:$B$72,$A917+1))),0)))^2+(MAX(0,J917/INDEX(Surface_Engine!$B$12:$B$72,$A917+1)-(F917/INDEX(Surface_Engine!$B$12:$B$72,$A917+1))))^2+2*Assumptions!$B$26*(IF(C917&lt;=0,0,MAX(0,(B917/C917)*G917/INDEX(Surface_Engine!$B$12:$B$72,$A917+1)-F917/INDEX(Surface_Engine!$B$12:$B$72,$A917+1))))*(MAX(IF(D917&lt;=0,0,MAX(0,(B917/D917)*H917/INDEX(Surface_Engine!$B$12:$B$72,$A917+1)-F917/INDEX(Surface_Engine!$B$12:$B$72,$A917+1))),IF(E917&lt;=0,0,MAX(0,(B917/E917)*I917/INDEX(Surface_Engine!$B$12:$B$72,$A917+1)-F917/INDEX(Surface_Engine!$B$12:$B$72,$A917+1))),IF($A917&lt;$Q$888,MAX(0,-Assumptions!$B$22*(F917/INDEX(Surface_Engine!$B$12:$B$72,$A917+1))),0)))+2*Assumptions!$B$27*(IF(C917&lt;=0,0,MAX(0,(B917/C917)*G917/INDEX(Surface_Engine!$B$12:$B$72,$A917+1)-F917/INDEX(Surface_Engine!$B$12:$B$72,$A917+1))))*(MAX(0,J917/INDEX(Surface_Engine!$B$12:$B$72,$A917+1)-(F917/INDEX(Surface_Engine!$B$12:$B$72,$A917+1))))+2*Assumptions!$B$28*(MAX(IF(D917&lt;=0,0,MAX(0,(B917/D917)*H917/INDEX(Surface_Engine!$B$12:$B$72,$A917+1)-F917/INDEX(Surface_Engine!$B$12:$B$72,$A917+1))),IF(E917&lt;=0,0,MAX(0,(B917/E917)*I917/INDEX(Surface_Engine!$B$12:$B$72,$A917+1)-F917/INDEX(Surface_Engine!$B$12:$B$72,$A917+1))),IF($A917&lt;$Q$888,MAX(0,-Assumptions!$B$22*(F917/INDEX(Surface_Engine!$B$12:$B$72,$A917+1))),0)))*(MAX(0,J917/INDEX(Surface_Engine!$B$12:$B$72,$A917+1)-(F917/INDEX(Surface_Engine!$B$12:$B$72,$A917+1)))))</f>
        <v>2725.63569993139</v>
      </c>
      <c r="L917" s="48" t="n">
        <f aca="false">K917*INDEX(Surface_Engine!$B$12:$B$72,$A917+1)+L918</f>
        <v>5060.10337590725</v>
      </c>
      <c r="M917" s="48" t="n">
        <f aca="false">M916+B916*(IF($A916&lt;$Q$888,(Surface_Engine!L244*12)-(Surface_Engine!L244*12)*INDEX(Surface_Engine!$F$12:$F$72,$A916+1)-INDEX(Surface_Engine!$D$12:$D$72,$A916+1),-(1000*12*INDEX(Surface_Engine!$C$12:$C$72,$A916+1)/(1+Assumptions!$B$10)^17+INDEX(Surface_Engine!$D$12:$D$72,$A916+1))))*INDEX(Surface_Engine!$B$12:$B$72,$A916+1)</f>
        <v>7641.55777287377</v>
      </c>
      <c r="N917" s="12" t="n">
        <f aca="false">IF(B917&lt;=0,0,MAX(0,(K917+Assumptions!$B$29*L917/INDEX(Surface_Engine!$B$12:$B$72,$A917+1)-(M917/INDEX(Surface_Engine!$B$12:$B$72,$A917+1)-(F917/INDEX(Surface_Engine!$B$12:$B$72,$A917+1))))/B917))</f>
        <v>2199.85192684644</v>
      </c>
    </row>
    <row r="918" customFormat="false" ht="15" hidden="false" customHeight="true" outlineLevel="0" collapsed="false">
      <c r="A918" s="1" t="n">
        <v>28</v>
      </c>
      <c r="B918" s="32" t="n">
        <f aca="false">INDEX(Surface_Engine!$O$12:$O$72,$A918+1)*IF($A918&lt;$Q$888,INDEX(Surface_Engine!$E$12:$E$72,$A918+1),INDEX(Surface_Engine!$E$12:$E$72,$Q$888+1))</f>
        <v>0.172669500634436</v>
      </c>
      <c r="C918" s="32" t="n">
        <f aca="false">INDEX(Panel_Reserving!$E$8:$E$68,$A918+1)*IF($A918&lt;$Q$888,INDEX(Surface_Engine!$E$12:$E$72,$A918+1),INDEX(Surface_Engine!$E$12:$E$72,$Q$888+1))</f>
        <v>0.238122666248505</v>
      </c>
      <c r="D918" s="32" t="n">
        <f aca="false">INDEX(Surface_Engine!$O$12:$O$72,$A918+1)*IF($A918&lt;$Q$888,INDEX(Surface_Engine!$Y$12:$Y$72,$A918+1),INDEX(Surface_Engine!$Y$12:$Y$72,$Q$888+1))</f>
        <v>0.154984474577035</v>
      </c>
      <c r="E918" s="32" t="n">
        <f aca="false">INDEX(Surface_Engine!$O$12:$O$72,$A918+1)*IF($A918&lt;$Q$888,INDEX(Surface_Engine!$Z$12:$Z$72,$A918+1),INDEX(Surface_Engine!$Z$12:$Z$72,$Q$888+1))</f>
        <v>0.192187927170677</v>
      </c>
      <c r="F918" s="48" t="n">
        <f aca="false">B918*(IF($A918&lt;$Q$888,INDEX(Surface_Engine!$D$12:$D$72,$A918+1)+(Surface_Engine!L244*12)*INDEX(Surface_Engine!$F$12:$F$72,$A918+1)-(Surface_Engine!L244*12),1000*12*INDEX(Surface_Engine!$C$12:$C$72,$A918+1)/(1+Assumptions!$B$10)^17+INDEX(Surface_Engine!$D$12:$D$72,$A918+1)))*INDEX(Surface_Engine!$B$12:$B$72,$A918+1)+F919</f>
        <v>5051.85796811748</v>
      </c>
      <c r="G918" s="48" t="n">
        <f aca="false">C918*(IF($A918&lt;$Q$888,INDEX(Surface_Engine!$D$12:$D$72,$A918+1)+(Surface_Engine!L244*12)*INDEX(Surface_Engine!$F$12:$F$72,$A918+1)-(Surface_Engine!L244*12),1000*12*INDEX(Surface_Engine!$C$12:$C$72,$A918+1)/(1+Assumptions!$B$10)^17+INDEX(Surface_Engine!$D$12:$D$72,$A918+1)))*INDEX(Surface_Engine!$B$12:$B$72,$A918+1)+G919</f>
        <v>8259.36709016207</v>
      </c>
      <c r="H918" s="48" t="n">
        <f aca="false">D918*(IF($A918&lt;$Q$888,INDEX(Surface_Engine!$D$12:$D$72,$A918+1)+(Surface_Engine!L244*12)*INDEX(Surface_Engine!$F$12:$F$72,$A918+1)-(Surface_Engine!L244*12),1000*12*INDEX(Surface_Engine!$C$12:$C$72,$A918+1)/(1+Assumptions!$B$10)^17+INDEX(Surface_Engine!$D$12:$D$72,$A918+1)))*INDEX(Surface_Engine!$B$12:$B$72,$A918+1)+H919</f>
        <v>4534.44036120846</v>
      </c>
      <c r="I918" s="48" t="n">
        <f aca="false">E918*(IF($A918&lt;$Q$888,INDEX(Surface_Engine!$D$12:$D$72,$A918+1)+(Surface_Engine!L244*12)*INDEX(Surface_Engine!$F$12:$F$72,$A918+1)-(Surface_Engine!L244*12),1000*12*INDEX(Surface_Engine!$C$12:$C$72,$A918+1)/(1+Assumptions!$B$10)^17+INDEX(Surface_Engine!$D$12:$D$72,$A918+1)))*INDEX(Surface_Engine!$B$12:$B$72,$A918+1)+I919</f>
        <v>5622.91607774265</v>
      </c>
      <c r="J918" s="48" t="n">
        <f aca="false">B918*(IF($A918&lt;$Q$888,INDEX(Surface_Engine!$D$12:$D$72,$A918+1)*(1+Assumptions!$B$24)+(Surface_Engine!L244*12)*INDEX(Surface_Engine!$F$12:$F$72,$A918+1)-(Surface_Engine!L244*12),1000*12*INDEX(Surface_Engine!$C$12:$C$72,$A918+1)/(1+Assumptions!$B$10)^17+INDEX(Surface_Engine!$D$12:$D$72,$A918+1)*(1+Assumptions!$B$24)))*INDEX(Surface_Engine!$B$12:$B$72,$A918+1)+J919</f>
        <v>5057.42499547838</v>
      </c>
      <c r="K918" s="12" t="n">
        <f aca="false">SQRT((IF(C918&lt;=0,0,MAX(0,(B918/C918)*G918/INDEX(Surface_Engine!$B$12:$B$72,$A918+1)-F918/INDEX(Surface_Engine!$B$12:$B$72,$A918+1))))^2+(MAX(IF(D918&lt;=0,0,MAX(0,(B918/D918)*H918/INDEX(Surface_Engine!$B$12:$B$72,$A918+1)-F918/INDEX(Surface_Engine!$B$12:$B$72,$A918+1))),IF(E918&lt;=0,0,MAX(0,(B918/E918)*I918/INDEX(Surface_Engine!$B$12:$B$72,$A918+1)-F918/INDEX(Surface_Engine!$B$12:$B$72,$A918+1))),IF($A918&lt;$Q$888,MAX(0,-Assumptions!$B$22*(F918/INDEX(Surface_Engine!$B$12:$B$72,$A918+1))),0)))^2+(MAX(0,J918/INDEX(Surface_Engine!$B$12:$B$72,$A918+1)-(F918/INDEX(Surface_Engine!$B$12:$B$72,$A918+1))))^2+2*Assumptions!$B$26*(IF(C918&lt;=0,0,MAX(0,(B918/C918)*G918/INDEX(Surface_Engine!$B$12:$B$72,$A918+1)-F918/INDEX(Surface_Engine!$B$12:$B$72,$A918+1))))*(MAX(IF(D918&lt;=0,0,MAX(0,(B918/D918)*H918/INDEX(Surface_Engine!$B$12:$B$72,$A918+1)-F918/INDEX(Surface_Engine!$B$12:$B$72,$A918+1))),IF(E918&lt;=0,0,MAX(0,(B918/E918)*I918/INDEX(Surface_Engine!$B$12:$B$72,$A918+1)-F918/INDEX(Surface_Engine!$B$12:$B$72,$A918+1))),IF($A918&lt;$Q$888,MAX(0,-Assumptions!$B$22*(F918/INDEX(Surface_Engine!$B$12:$B$72,$A918+1))),0)))+2*Assumptions!$B$27*(IF(C918&lt;=0,0,MAX(0,(B918/C918)*G918/INDEX(Surface_Engine!$B$12:$B$72,$A918+1)-F918/INDEX(Surface_Engine!$B$12:$B$72,$A918+1))))*(MAX(0,J918/INDEX(Surface_Engine!$B$12:$B$72,$A918+1)-(F918/INDEX(Surface_Engine!$B$12:$B$72,$A918+1))))+2*Assumptions!$B$28*(MAX(IF(D918&lt;=0,0,MAX(0,(B918/D918)*H918/INDEX(Surface_Engine!$B$12:$B$72,$A918+1)-F918/INDEX(Surface_Engine!$B$12:$B$72,$A918+1))),IF(E918&lt;=0,0,MAX(0,(B918/E918)*I918/INDEX(Surface_Engine!$B$12:$B$72,$A918+1)-F918/INDEX(Surface_Engine!$B$12:$B$72,$A918+1))),IF($A918&lt;$Q$888,MAX(0,-Assumptions!$B$22*(F918/INDEX(Surface_Engine!$B$12:$B$72,$A918+1))),0)))*(MAX(0,J918/INDEX(Surface_Engine!$B$12:$B$72,$A918+1)-(F918/INDEX(Surface_Engine!$B$12:$B$72,$A918+1)))))</f>
        <v>2255.16667959072</v>
      </c>
      <c r="L918" s="48" t="n">
        <f aca="false">K918*INDEX(Surface_Engine!$B$12:$B$72,$A918+1)+L919</f>
        <v>3888.94408844559</v>
      </c>
      <c r="M918" s="48" t="n">
        <f aca="false">M917+B917*(IF($A917&lt;$Q$888,(Surface_Engine!L244*12)-(Surface_Engine!L244*12)*INDEX(Surface_Engine!$F$12:$F$72,$A917+1)-INDEX(Surface_Engine!$D$12:$D$72,$A917+1),-(1000*12*INDEX(Surface_Engine!$C$12:$C$72,$A917+1)/(1+Assumptions!$B$10)^17+INDEX(Surface_Engine!$D$12:$D$72,$A917+1))))*INDEX(Surface_Engine!$B$12:$B$72,$A917+1)</f>
        <v>6331.77683987203</v>
      </c>
      <c r="N918" s="12" t="n">
        <f aca="false">IF(B918&lt;=0,0,MAX(0,(K918+Assumptions!$B$29*L918/INDEX(Surface_Engine!$B$12:$B$72,$A918+1)-(M918/INDEX(Surface_Engine!$B$12:$B$72,$A918+1)-(F918/INDEX(Surface_Engine!$B$12:$B$72,$A918+1))))/B918))</f>
        <v>0</v>
      </c>
    </row>
    <row r="919" customFormat="false" ht="15" hidden="false" customHeight="true" outlineLevel="0" collapsed="false">
      <c r="A919" s="1" t="n">
        <v>29</v>
      </c>
      <c r="B919" s="32" t="n">
        <f aca="false">INDEX(Surface_Engine!$O$12:$O$72,$A919+1)*IF($A919&lt;$Q$888,INDEX(Surface_Engine!$E$12:$E$72,$A919+1),INDEX(Surface_Engine!$E$12:$E$72,$Q$888+1))</f>
        <v>0.142885668812015</v>
      </c>
      <c r="C919" s="32" t="n">
        <f aca="false">INDEX(Panel_Reserving!$E$8:$E$68,$A919+1)*IF($A919&lt;$Q$888,INDEX(Surface_Engine!$E$12:$E$72,$A919+1),INDEX(Surface_Engine!$E$12:$E$72,$Q$888+1))</f>
        <v>0.205263566437163</v>
      </c>
      <c r="D919" s="32" t="n">
        <f aca="false">INDEX(Surface_Engine!$O$12:$O$72,$A919+1)*IF($A919&lt;$Q$888,INDEX(Surface_Engine!$Y$12:$Y$72,$A919+1),INDEX(Surface_Engine!$Y$12:$Y$72,$Q$888+1))</f>
        <v>0.128251140033714</v>
      </c>
      <c r="E919" s="32" t="n">
        <f aca="false">INDEX(Surface_Engine!$O$12:$O$72,$A919+1)*IF($A919&lt;$Q$888,INDEX(Surface_Engine!$Z$12:$Z$72,$A919+1),INDEX(Surface_Engine!$Z$12:$Z$72,$Q$888+1))</f>
        <v>0.159037354080935</v>
      </c>
      <c r="F919" s="48" t="n">
        <f aca="false">B919*(IF($A919&lt;$Q$888,INDEX(Surface_Engine!$D$12:$D$72,$A919+1)+(Surface_Engine!L244*12)*INDEX(Surface_Engine!$F$12:$F$72,$A919+1)-(Surface_Engine!L244*12),1000*12*INDEX(Surface_Engine!$C$12:$C$72,$A919+1)/(1+Assumptions!$B$10)^17+INDEX(Surface_Engine!$D$12:$D$72,$A919+1)))*INDEX(Surface_Engine!$B$12:$B$72,$A919+1)+F920</f>
        <v>3967.77285760883</v>
      </c>
      <c r="G919" s="48" t="n">
        <f aca="false">C919*(IF($A919&lt;$Q$888,INDEX(Surface_Engine!$D$12:$D$72,$A919+1)+(Surface_Engine!L244*12)*INDEX(Surface_Engine!$F$12:$F$72,$A919+1)-(Surface_Engine!L244*12),1000*12*INDEX(Surface_Engine!$C$12:$C$72,$A919+1)/(1+Assumptions!$B$10)^17+INDEX(Surface_Engine!$D$12:$D$72,$A919+1)))*INDEX(Surface_Engine!$B$12:$B$72,$A919+1)+G920</f>
        <v>6764.34199304806</v>
      </c>
      <c r="H919" s="48" t="n">
        <f aca="false">D919*(IF($A919&lt;$Q$888,INDEX(Surface_Engine!$D$12:$D$72,$A919+1)+(Surface_Engine!L244*12)*INDEX(Surface_Engine!$F$12:$F$72,$A919+1)-(Surface_Engine!L244*12),1000*12*INDEX(Surface_Engine!$C$12:$C$72,$A919+1)/(1+Assumptions!$B$10)^17+INDEX(Surface_Engine!$D$12:$D$72,$A919+1)))*INDEX(Surface_Engine!$B$12:$B$72,$A919+1)+H920</f>
        <v>3561.38860260818</v>
      </c>
      <c r="I919" s="48" t="n">
        <f aca="false">E919*(IF($A919&lt;$Q$888,INDEX(Surface_Engine!$D$12:$D$72,$A919+1)+(Surface_Engine!L244*12)*INDEX(Surface_Engine!$F$12:$F$72,$A919+1)-(Surface_Engine!L244*12),1000*12*INDEX(Surface_Engine!$C$12:$C$72,$A919+1)/(1+Assumptions!$B$10)^17+INDEX(Surface_Engine!$D$12:$D$72,$A919+1)))*INDEX(Surface_Engine!$B$12:$B$72,$A919+1)+I920</f>
        <v>4416.28682648679</v>
      </c>
      <c r="J919" s="48" t="n">
        <f aca="false">B919*(IF($A919&lt;$Q$888,INDEX(Surface_Engine!$D$12:$D$72,$A919+1)*(1+Assumptions!$B$24)+(Surface_Engine!L244*12)*INDEX(Surface_Engine!$F$12:$F$72,$A919+1)-(Surface_Engine!L244*12),1000*12*INDEX(Surface_Engine!$C$12:$C$72,$A919+1)/(1+Assumptions!$B$10)^17+INDEX(Surface_Engine!$D$12:$D$72,$A919+1)*(1+Assumptions!$B$24)))*INDEX(Surface_Engine!$B$12:$B$72,$A919+1)+J920</f>
        <v>3972.16330064715</v>
      </c>
      <c r="K919" s="12" t="n">
        <f aca="false">SQRT((IF(C919&lt;=0,0,MAX(0,(B919/C919)*G919/INDEX(Surface_Engine!$B$12:$B$72,$A919+1)-F919/INDEX(Surface_Engine!$B$12:$B$72,$A919+1))))^2+(MAX(IF(D919&lt;=0,0,MAX(0,(B919/D919)*H919/INDEX(Surface_Engine!$B$12:$B$72,$A919+1)-F919/INDEX(Surface_Engine!$B$12:$B$72,$A919+1))),IF(E919&lt;=0,0,MAX(0,(B919/E919)*I919/INDEX(Surface_Engine!$B$12:$B$72,$A919+1)-F919/INDEX(Surface_Engine!$B$12:$B$72,$A919+1))),IF($A919&lt;$Q$888,MAX(0,-Assumptions!$B$22*(F919/INDEX(Surface_Engine!$B$12:$B$72,$A919+1))),0)))^2+(MAX(0,J919/INDEX(Surface_Engine!$B$12:$B$72,$A919+1)-(F919/INDEX(Surface_Engine!$B$12:$B$72,$A919+1))))^2+2*Assumptions!$B$26*(IF(C919&lt;=0,0,MAX(0,(B919/C919)*G919/INDEX(Surface_Engine!$B$12:$B$72,$A919+1)-F919/INDEX(Surface_Engine!$B$12:$B$72,$A919+1))))*(MAX(IF(D919&lt;=0,0,MAX(0,(B919/D919)*H919/INDEX(Surface_Engine!$B$12:$B$72,$A919+1)-F919/INDEX(Surface_Engine!$B$12:$B$72,$A919+1))),IF(E919&lt;=0,0,MAX(0,(B919/E919)*I919/INDEX(Surface_Engine!$B$12:$B$72,$A919+1)-F919/INDEX(Surface_Engine!$B$12:$B$72,$A919+1))),IF($A919&lt;$Q$888,MAX(0,-Assumptions!$B$22*(F919/INDEX(Surface_Engine!$B$12:$B$72,$A919+1))),0)))+2*Assumptions!$B$27*(IF(C919&lt;=0,0,MAX(0,(B919/C919)*G919/INDEX(Surface_Engine!$B$12:$B$72,$A919+1)-F919/INDEX(Surface_Engine!$B$12:$B$72,$A919+1))))*(MAX(0,J919/INDEX(Surface_Engine!$B$12:$B$72,$A919+1)-(F919/INDEX(Surface_Engine!$B$12:$B$72,$A919+1))))+2*Assumptions!$B$28*(MAX(IF(D919&lt;=0,0,MAX(0,(B919/D919)*H919/INDEX(Surface_Engine!$B$12:$B$72,$A919+1)-F919/INDEX(Surface_Engine!$B$12:$B$72,$A919+1))),IF(E919&lt;=0,0,MAX(0,(B919/E919)*I919/INDEX(Surface_Engine!$B$12:$B$72,$A919+1)-F919/INDEX(Surface_Engine!$B$12:$B$72,$A919+1))),IF($A919&lt;$Q$888,MAX(0,-Assumptions!$B$22*(F919/INDEX(Surface_Engine!$B$12:$B$72,$A919+1))),0)))*(MAX(0,J919/INDEX(Surface_Engine!$B$12:$B$72,$A919+1)-(F919/INDEX(Surface_Engine!$B$12:$B$72,$A919+1)))))</f>
        <v>1840.55291914585</v>
      </c>
      <c r="L919" s="48" t="n">
        <f aca="false">K919*INDEX(Surface_Engine!$B$12:$B$72,$A919+1)+L920</f>
        <v>2950.29343439354</v>
      </c>
      <c r="M919" s="48" t="n">
        <f aca="false">M918+B918*(IF($A918&lt;$Q$888,(Surface_Engine!L244*12)-(Surface_Engine!L244*12)*INDEX(Surface_Engine!$F$12:$F$72,$A918+1)-INDEX(Surface_Engine!$D$12:$D$72,$A918+1),-(1000*12*INDEX(Surface_Engine!$C$12:$C$72,$A918+1)/(1+Assumptions!$B$10)^17+INDEX(Surface_Engine!$D$12:$D$72,$A918+1))))*INDEX(Surface_Engine!$B$12:$B$72,$A918+1)</f>
        <v>5247.69172936337</v>
      </c>
      <c r="N919" s="12" t="n">
        <f aca="false">IF(B919&lt;=0,0,MAX(0,(K919+Assumptions!$B$29*L919/INDEX(Surface_Engine!$B$12:$B$72,$A919+1)-(M919/INDEX(Surface_Engine!$B$12:$B$72,$A919+1)-(F919/INDEX(Surface_Engine!$B$12:$B$72,$A919+1))))/B919))</f>
        <v>0</v>
      </c>
    </row>
    <row r="920" customFormat="false" ht="15" hidden="false" customHeight="true" outlineLevel="0" collapsed="false">
      <c r="A920" s="1" t="n">
        <v>30</v>
      </c>
      <c r="B920" s="32" t="n">
        <f aca="false">INDEX(Surface_Engine!$O$12:$O$72,$A920+1)*IF($A920&lt;$Q$888,INDEX(Surface_Engine!$E$12:$E$72,$A920+1),INDEX(Surface_Engine!$E$12:$E$72,$Q$888+1))</f>
        <v>0.116834466904484</v>
      </c>
      <c r="C920" s="32" t="n">
        <f aca="false">INDEX(Panel_Reserving!$E$8:$E$68,$A920+1)*IF($A920&lt;$Q$888,INDEX(Surface_Engine!$E$12:$E$72,$A920+1),INDEX(Surface_Engine!$E$12:$E$72,$Q$888+1))</f>
        <v>0.175324314121805</v>
      </c>
      <c r="D920" s="32" t="n">
        <f aca="false">INDEX(Surface_Engine!$O$12:$O$72,$A920+1)*IF($A920&lt;$Q$888,INDEX(Surface_Engine!$Y$12:$Y$72,$A920+1),INDEX(Surface_Engine!$Y$12:$Y$72,$Q$888+1))</f>
        <v>0.104868134784356</v>
      </c>
      <c r="E920" s="32" t="n">
        <f aca="false">INDEX(Surface_Engine!$O$12:$O$72,$A920+1)*IF($A920&lt;$Q$888,INDEX(Surface_Engine!$Z$12:$Z$72,$A920+1),INDEX(Surface_Engine!$Z$12:$Z$72,$Q$888+1))</f>
        <v>0.130041344498947</v>
      </c>
      <c r="F920" s="48" t="n">
        <f aca="false">B920*(IF($A920&lt;$Q$888,INDEX(Surface_Engine!$D$12:$D$72,$A920+1)+(Surface_Engine!L244*12)*INDEX(Surface_Engine!$F$12:$F$72,$A920+1)-(Surface_Engine!L244*12),1000*12*INDEX(Surface_Engine!$C$12:$C$72,$A920+1)/(1+Assumptions!$B$10)^17+INDEX(Surface_Engine!$D$12:$D$72,$A920+1)))*INDEX(Surface_Engine!$B$12:$B$72,$A920+1)+F921</f>
        <v>3081.39265718689</v>
      </c>
      <c r="G920" s="48" t="n">
        <f aca="false">C920*(IF($A920&lt;$Q$888,INDEX(Surface_Engine!$D$12:$D$72,$A920+1)+(Surface_Engine!L244*12)*INDEX(Surface_Engine!$F$12:$F$72,$A920+1)-(Surface_Engine!L244*12),1000*12*INDEX(Surface_Engine!$C$12:$C$72,$A920+1)/(1+Assumptions!$B$10)^17+INDEX(Surface_Engine!$D$12:$D$72,$A920+1)))*INDEX(Surface_Engine!$B$12:$B$72,$A920+1)+G921</f>
        <v>5491.00532695272</v>
      </c>
      <c r="H920" s="48" t="n">
        <f aca="false">D920*(IF($A920&lt;$Q$888,INDEX(Surface_Engine!$D$12:$D$72,$A920+1)+(Surface_Engine!L244*12)*INDEX(Surface_Engine!$F$12:$F$72,$A920+1)-(Surface_Engine!L244*12),1000*12*INDEX(Surface_Engine!$C$12:$C$72,$A920+1)/(1+Assumptions!$B$10)^17+INDEX(Surface_Engine!$D$12:$D$72,$A920+1)))*INDEX(Surface_Engine!$B$12:$B$72,$A920+1)+H921</f>
        <v>2765.79257011184</v>
      </c>
      <c r="I920" s="48" t="n">
        <f aca="false">E920*(IF($A920&lt;$Q$888,INDEX(Surface_Engine!$D$12:$D$72,$A920+1)+(Surface_Engine!L244*12)*INDEX(Surface_Engine!$F$12:$F$72,$A920+1)-(Surface_Engine!L244*12),1000*12*INDEX(Surface_Engine!$C$12:$C$72,$A920+1)/(1+Assumptions!$B$10)^17+INDEX(Surface_Engine!$D$12:$D$72,$A920+1)))*INDEX(Surface_Engine!$B$12:$B$72,$A920+1)+I921</f>
        <v>3429.71089513643</v>
      </c>
      <c r="J920" s="48" t="n">
        <f aca="false">B920*(IF($A920&lt;$Q$888,INDEX(Surface_Engine!$D$12:$D$72,$A920+1)*(1+Assumptions!$B$24)+(Surface_Engine!L244*12)*INDEX(Surface_Engine!$F$12:$F$72,$A920+1)-(Surface_Engine!L244*12),1000*12*INDEX(Surface_Engine!$C$12:$C$72,$A920+1)/(1+Assumptions!$B$10)^17+INDEX(Surface_Engine!$D$12:$D$72,$A920+1)*(1+Assumptions!$B$24)))*INDEX(Surface_Engine!$B$12:$B$72,$A920+1)+J921</f>
        <v>3084.81642561276</v>
      </c>
      <c r="K920" s="12" t="n">
        <f aca="false">SQRT((IF(C920&lt;=0,0,MAX(0,(B920/C920)*G920/INDEX(Surface_Engine!$B$12:$B$72,$A920+1)-F920/INDEX(Surface_Engine!$B$12:$B$72,$A920+1))))^2+(MAX(IF(D920&lt;=0,0,MAX(0,(B920/D920)*H920/INDEX(Surface_Engine!$B$12:$B$72,$A920+1)-F920/INDEX(Surface_Engine!$B$12:$B$72,$A920+1))),IF(E920&lt;=0,0,MAX(0,(B920/E920)*I920/INDEX(Surface_Engine!$B$12:$B$72,$A920+1)-F920/INDEX(Surface_Engine!$B$12:$B$72,$A920+1))),IF($A920&lt;$Q$888,MAX(0,-Assumptions!$B$22*(F920/INDEX(Surface_Engine!$B$12:$B$72,$A920+1))),0)))^2+(MAX(0,J920/INDEX(Surface_Engine!$B$12:$B$72,$A920+1)-(F920/INDEX(Surface_Engine!$B$12:$B$72,$A920+1))))^2+2*Assumptions!$B$26*(IF(C920&lt;=0,0,MAX(0,(B920/C920)*G920/INDEX(Surface_Engine!$B$12:$B$72,$A920+1)-F920/INDEX(Surface_Engine!$B$12:$B$72,$A920+1))))*(MAX(IF(D920&lt;=0,0,MAX(0,(B920/D920)*H920/INDEX(Surface_Engine!$B$12:$B$72,$A920+1)-F920/INDEX(Surface_Engine!$B$12:$B$72,$A920+1))),IF(E920&lt;=0,0,MAX(0,(B920/E920)*I920/INDEX(Surface_Engine!$B$12:$B$72,$A920+1)-F920/INDEX(Surface_Engine!$B$12:$B$72,$A920+1))),IF($A920&lt;$Q$888,MAX(0,-Assumptions!$B$22*(F920/INDEX(Surface_Engine!$B$12:$B$72,$A920+1))),0)))+2*Assumptions!$B$27*(IF(C920&lt;=0,0,MAX(0,(B920/C920)*G920/INDEX(Surface_Engine!$B$12:$B$72,$A920+1)-F920/INDEX(Surface_Engine!$B$12:$B$72,$A920+1))))*(MAX(0,J920/INDEX(Surface_Engine!$B$12:$B$72,$A920+1)-(F920/INDEX(Surface_Engine!$B$12:$B$72,$A920+1))))+2*Assumptions!$B$28*(MAX(IF(D920&lt;=0,0,MAX(0,(B920/D920)*H920/INDEX(Surface_Engine!$B$12:$B$72,$A920+1)-F920/INDEX(Surface_Engine!$B$12:$B$72,$A920+1))),IF(E920&lt;=0,0,MAX(0,(B920/E920)*I920/INDEX(Surface_Engine!$B$12:$B$72,$A920+1)-F920/INDEX(Surface_Engine!$B$12:$B$72,$A920+1))),IF($A920&lt;$Q$888,MAX(0,-Assumptions!$B$22*(F920/INDEX(Surface_Engine!$B$12:$B$72,$A920+1))),0)))*(MAX(0,J920/INDEX(Surface_Engine!$B$12:$B$72,$A920+1)-(F920/INDEX(Surface_Engine!$B$12:$B$72,$A920+1)))))</f>
        <v>1481.73105095529</v>
      </c>
      <c r="L920" s="48" t="n">
        <f aca="false">K920*INDEX(Surface_Engine!$B$12:$B$72,$A920+1)+L921</f>
        <v>2208.24201363558</v>
      </c>
      <c r="M920" s="48" t="n">
        <f aca="false">M919+B919*(IF($A919&lt;$Q$888,(Surface_Engine!L244*12)-(Surface_Engine!L244*12)*INDEX(Surface_Engine!$F$12:$F$72,$A919+1)-INDEX(Surface_Engine!$D$12:$D$72,$A919+1),-(1000*12*INDEX(Surface_Engine!$C$12:$C$72,$A919+1)/(1+Assumptions!$B$10)^17+INDEX(Surface_Engine!$D$12:$D$72,$A919+1))))*INDEX(Surface_Engine!$B$12:$B$72,$A919+1)</f>
        <v>4361.31152894143</v>
      </c>
      <c r="N920" s="12" t="n">
        <f aca="false">IF(B920&lt;=0,0,MAX(0,(K920+Assumptions!$B$29*L920/INDEX(Surface_Engine!$B$12:$B$72,$A920+1)-(M920/INDEX(Surface_Engine!$B$12:$B$72,$A920+1)-(F920/INDEX(Surface_Engine!$B$12:$B$72,$A920+1))))/B920))</f>
        <v>0</v>
      </c>
    </row>
    <row r="921" customFormat="false" ht="15" hidden="false" customHeight="true" outlineLevel="0" collapsed="false">
      <c r="A921" s="1" t="n">
        <v>31</v>
      </c>
      <c r="B921" s="32" t="n">
        <f aca="false">INDEX(Surface_Engine!$O$12:$O$72,$A921+1)*IF($A921&lt;$Q$888,INDEX(Surface_Engine!$E$12:$E$72,$A921+1),INDEX(Surface_Engine!$E$12:$E$72,$Q$888+1))</f>
        <v>0.0943921475533447</v>
      </c>
      <c r="C921" s="32" t="n">
        <f aca="false">INDEX(Panel_Reserving!$E$8:$E$68,$A921+1)*IF($A921&lt;$Q$888,INDEX(Surface_Engine!$E$12:$E$72,$A921+1),INDEX(Surface_Engine!$E$12:$E$72,$Q$888+1))</f>
        <v>0.148382372403474</v>
      </c>
      <c r="D921" s="32" t="n">
        <f aca="false">INDEX(Surface_Engine!$O$12:$O$72,$A921+1)*IF($A921&lt;$Q$888,INDEX(Surface_Engine!$Y$12:$Y$72,$A921+1),INDEX(Surface_Engine!$Y$12:$Y$72,$Q$888+1))</f>
        <v>0.0847243858295815</v>
      </c>
      <c r="E921" s="32" t="n">
        <f aca="false">INDEX(Surface_Engine!$O$12:$O$72,$A921+1)*IF($A921&lt;$Q$888,INDEX(Surface_Engine!$Z$12:$Z$72,$A921+1),INDEX(Surface_Engine!$Z$12:$Z$72,$Q$888+1))</f>
        <v>0.105062162760712</v>
      </c>
      <c r="F921" s="48" t="n">
        <f aca="false">B921*(IF($A921&lt;$Q$888,INDEX(Surface_Engine!$D$12:$D$72,$A921+1)+(Surface_Engine!L244*12)*INDEX(Surface_Engine!$F$12:$F$72,$A921+1)-(Surface_Engine!L244*12),1000*12*INDEX(Surface_Engine!$C$12:$C$72,$A921+1)/(1+Assumptions!$B$10)^17+INDEX(Surface_Engine!$D$12:$D$72,$A921+1)))*INDEX(Surface_Engine!$B$12:$B$72,$A921+1)+F922</f>
        <v>2365.29992783051</v>
      </c>
      <c r="G921" s="48" t="n">
        <f aca="false">C921*(IF($A921&lt;$Q$888,INDEX(Surface_Engine!$D$12:$D$72,$A921+1)+(Surface_Engine!L244*12)*INDEX(Surface_Engine!$F$12:$F$72,$A921+1)-(Surface_Engine!L244*12),1000*12*INDEX(Surface_Engine!$C$12:$C$72,$A921+1)/(1+Assumptions!$B$10)^17+INDEX(Surface_Engine!$D$12:$D$72,$A921+1)))*INDEX(Surface_Engine!$B$12:$B$72,$A921+1)+G922</f>
        <v>4416.42117427578</v>
      </c>
      <c r="H921" s="48" t="n">
        <f aca="false">D921*(IF($A921&lt;$Q$888,INDEX(Surface_Engine!$D$12:$D$72,$A921+1)+(Surface_Engine!L244*12)*INDEX(Surface_Engine!$F$12:$F$72,$A921+1)-(Surface_Engine!L244*12),1000*12*INDEX(Surface_Engine!$C$12:$C$72,$A921+1)/(1+Assumptions!$B$10)^17+INDEX(Surface_Engine!$D$12:$D$72,$A921+1)))*INDEX(Surface_Engine!$B$12:$B$72,$A921+1)+H922</f>
        <v>2123.04295306917</v>
      </c>
      <c r="I921" s="48" t="n">
        <f aca="false">E921*(IF($A921&lt;$Q$888,INDEX(Surface_Engine!$D$12:$D$72,$A921+1)+(Surface_Engine!L244*12)*INDEX(Surface_Engine!$F$12:$F$72,$A921+1)-(Surface_Engine!L244*12),1000*12*INDEX(Surface_Engine!$C$12:$C$72,$A921+1)/(1+Assumptions!$B$10)^17+INDEX(Surface_Engine!$D$12:$D$72,$A921+1)))*INDEX(Surface_Engine!$B$12:$B$72,$A921+1)+I922</f>
        <v>2632.67159861143</v>
      </c>
      <c r="J921" s="48" t="n">
        <f aca="false">B921*(IF($A921&lt;$Q$888,INDEX(Surface_Engine!$D$12:$D$72,$A921+1)*(1+Assumptions!$B$24)+(Surface_Engine!L244*12)*INDEX(Surface_Engine!$F$12:$F$72,$A921+1)-(Surface_Engine!L244*12),1000*12*INDEX(Surface_Engine!$C$12:$C$72,$A921+1)/(1+Assumptions!$B$10)^17+INDEX(Surface_Engine!$D$12:$D$72,$A921+1)*(1+Assumptions!$B$24)))*INDEX(Surface_Engine!$B$12:$B$72,$A921+1)+J922</f>
        <v>2367.93894863568</v>
      </c>
      <c r="K921" s="12" t="n">
        <f aca="false">SQRT((IF(C921&lt;=0,0,MAX(0,(B921/C921)*G921/INDEX(Surface_Engine!$B$12:$B$72,$A921+1)-F921/INDEX(Surface_Engine!$B$12:$B$72,$A921+1))))^2+(MAX(IF(D921&lt;=0,0,MAX(0,(B921/D921)*H921/INDEX(Surface_Engine!$B$12:$B$72,$A921+1)-F921/INDEX(Surface_Engine!$B$12:$B$72,$A921+1))),IF(E921&lt;=0,0,MAX(0,(B921/E921)*I921/INDEX(Surface_Engine!$B$12:$B$72,$A921+1)-F921/INDEX(Surface_Engine!$B$12:$B$72,$A921+1))),IF($A921&lt;$Q$888,MAX(0,-Assumptions!$B$22*(F921/INDEX(Surface_Engine!$B$12:$B$72,$A921+1))),0)))^2+(MAX(0,J921/INDEX(Surface_Engine!$B$12:$B$72,$A921+1)-(F921/INDEX(Surface_Engine!$B$12:$B$72,$A921+1))))^2+2*Assumptions!$B$26*(IF(C921&lt;=0,0,MAX(0,(B921/C921)*G921/INDEX(Surface_Engine!$B$12:$B$72,$A921+1)-F921/INDEX(Surface_Engine!$B$12:$B$72,$A921+1))))*(MAX(IF(D921&lt;=0,0,MAX(0,(B921/D921)*H921/INDEX(Surface_Engine!$B$12:$B$72,$A921+1)-F921/INDEX(Surface_Engine!$B$12:$B$72,$A921+1))),IF(E921&lt;=0,0,MAX(0,(B921/E921)*I921/INDEX(Surface_Engine!$B$12:$B$72,$A921+1)-F921/INDEX(Surface_Engine!$B$12:$B$72,$A921+1))),IF($A921&lt;$Q$888,MAX(0,-Assumptions!$B$22*(F921/INDEX(Surface_Engine!$B$12:$B$72,$A921+1))),0)))+2*Assumptions!$B$27*(IF(C921&lt;=0,0,MAX(0,(B921/C921)*G921/INDEX(Surface_Engine!$B$12:$B$72,$A921+1)-F921/INDEX(Surface_Engine!$B$12:$B$72,$A921+1))))*(MAX(0,J921/INDEX(Surface_Engine!$B$12:$B$72,$A921+1)-(F921/INDEX(Surface_Engine!$B$12:$B$72,$A921+1))))+2*Assumptions!$B$28*(MAX(IF(D921&lt;=0,0,MAX(0,(B921/D921)*H921/INDEX(Surface_Engine!$B$12:$B$72,$A921+1)-F921/INDEX(Surface_Engine!$B$12:$B$72,$A921+1))),IF(E921&lt;=0,0,MAX(0,(B921/E921)*I921/INDEX(Surface_Engine!$B$12:$B$72,$A921+1)-F921/INDEX(Surface_Engine!$B$12:$B$72,$A921+1))),IF($A921&lt;$Q$888,MAX(0,-Assumptions!$B$22*(F921/INDEX(Surface_Engine!$B$12:$B$72,$A921+1))),0)))*(MAX(0,J921/INDEX(Surface_Engine!$B$12:$B$72,$A921+1)-(F921/INDEX(Surface_Engine!$B$12:$B$72,$A921+1)))))</f>
        <v>1175.74305333996</v>
      </c>
      <c r="L921" s="48" t="n">
        <f aca="false">K921*INDEX(Surface_Engine!$B$12:$B$72,$A921+1)+L922</f>
        <v>1629.6151478276</v>
      </c>
      <c r="M921" s="48" t="n">
        <f aca="false">M920+B920*(IF($A920&lt;$Q$888,(Surface_Engine!L244*12)-(Surface_Engine!L244*12)*INDEX(Surface_Engine!$F$12:$F$72,$A920+1)-INDEX(Surface_Engine!$D$12:$D$72,$A920+1),-(1000*12*INDEX(Surface_Engine!$C$12:$C$72,$A920+1)/(1+Assumptions!$B$10)^17+INDEX(Surface_Engine!$D$12:$D$72,$A920+1))))*INDEX(Surface_Engine!$B$12:$B$72,$A920+1)</f>
        <v>3645.21879958506</v>
      </c>
      <c r="N921" s="12" t="n">
        <f aca="false">IF(B921&lt;=0,0,MAX(0,(K921+Assumptions!$B$29*L921/INDEX(Surface_Engine!$B$12:$B$72,$A921+1)-(M921/INDEX(Surface_Engine!$B$12:$B$72,$A921+1)-(F921/INDEX(Surface_Engine!$B$12:$B$72,$A921+1))))/B921))</f>
        <v>0</v>
      </c>
    </row>
    <row r="922" customFormat="false" ht="15" hidden="false" customHeight="true" outlineLevel="0" collapsed="false">
      <c r="A922" s="1" t="n">
        <v>32</v>
      </c>
      <c r="B922" s="32" t="n">
        <f aca="false">INDEX(Surface_Engine!$O$12:$O$72,$A922+1)*IF($A922&lt;$Q$888,INDEX(Surface_Engine!$E$12:$E$72,$A922+1),INDEX(Surface_Engine!$E$12:$E$72,$Q$888+1))</f>
        <v>0.075320760250703</v>
      </c>
      <c r="C922" s="32" t="n">
        <f aca="false">INDEX(Panel_Reserving!$E$8:$E$68,$A922+1)*IF($A922&lt;$Q$888,INDEX(Surface_Engine!$E$12:$E$72,$A922+1),INDEX(Surface_Engine!$E$12:$E$72,$Q$888+1))</f>
        <v>0.124398532507113</v>
      </c>
      <c r="D922" s="32" t="n">
        <f aca="false">INDEX(Surface_Engine!$O$12:$O$72,$A922+1)*IF($A922&lt;$Q$888,INDEX(Surface_Engine!$Y$12:$Y$72,$A922+1),INDEX(Surface_Engine!$Y$12:$Y$72,$Q$888+1))</f>
        <v>0.067606313849905</v>
      </c>
      <c r="E922" s="32" t="n">
        <f aca="false">INDEX(Surface_Engine!$O$12:$O$72,$A922+1)*IF($A922&lt;$Q$888,INDEX(Surface_Engine!$Z$12:$Z$72,$A922+1),INDEX(Surface_Engine!$Z$12:$Z$72,$Q$888+1))</f>
        <v>0.0838349606173307</v>
      </c>
      <c r="F922" s="48" t="n">
        <f aca="false">B922*(IF($A922&lt;$Q$888,INDEX(Surface_Engine!$D$12:$D$72,$A922+1)+(Surface_Engine!L244*12)*INDEX(Surface_Engine!$F$12:$F$72,$A922+1)-(Surface_Engine!L244*12),1000*12*INDEX(Surface_Engine!$C$12:$C$72,$A922+1)/(1+Assumptions!$B$10)^17+INDEX(Surface_Engine!$D$12:$D$72,$A922+1)))*INDEX(Surface_Engine!$B$12:$B$72,$A922+1)+F923</f>
        <v>1793.53855052166</v>
      </c>
      <c r="G922" s="48" t="n">
        <f aca="false">C922*(IF($A922&lt;$Q$888,INDEX(Surface_Engine!$D$12:$D$72,$A922+1)+(Surface_Engine!L244*12)*INDEX(Surface_Engine!$F$12:$F$72,$A922+1)-(Surface_Engine!L244*12),1000*12*INDEX(Surface_Engine!$C$12:$C$72,$A922+1)/(1+Assumptions!$B$10)^17+INDEX(Surface_Engine!$D$12:$D$72,$A922+1)))*INDEX(Surface_Engine!$B$12:$B$72,$A922+1)+G923</f>
        <v>3517.62490983207</v>
      </c>
      <c r="H922" s="48" t="n">
        <f aca="false">D922*(IF($A922&lt;$Q$888,INDEX(Surface_Engine!$D$12:$D$72,$A922+1)+(Surface_Engine!L244*12)*INDEX(Surface_Engine!$F$12:$F$72,$A922+1)-(Surface_Engine!L244*12),1000*12*INDEX(Surface_Engine!$C$12:$C$72,$A922+1)/(1+Assumptions!$B$10)^17+INDEX(Surface_Engine!$D$12:$D$72,$A922+1)))*INDEX(Surface_Engine!$B$12:$B$72,$A922+1)+H923</f>
        <v>1609.84209061192</v>
      </c>
      <c r="I922" s="48" t="n">
        <f aca="false">E922*(IF($A922&lt;$Q$888,INDEX(Surface_Engine!$D$12:$D$72,$A922+1)+(Surface_Engine!L244*12)*INDEX(Surface_Engine!$F$12:$F$72,$A922+1)-(Surface_Engine!L244*12),1000*12*INDEX(Surface_Engine!$C$12:$C$72,$A922+1)/(1+Assumptions!$B$10)^17+INDEX(Surface_Engine!$D$12:$D$72,$A922+1)))*INDEX(Surface_Engine!$B$12:$B$72,$A922+1)+I923</f>
        <v>1996.27875831543</v>
      </c>
      <c r="J922" s="48" t="n">
        <f aca="false">B922*(IF($A922&lt;$Q$888,INDEX(Surface_Engine!$D$12:$D$72,$A922+1)*(1+Assumptions!$B$24)+(Surface_Engine!L244*12)*INDEX(Surface_Engine!$F$12:$F$72,$A922+1)-(Surface_Engine!L244*12),1000*12*INDEX(Surface_Engine!$C$12:$C$72,$A922+1)/(1+Assumptions!$B$10)^17+INDEX(Surface_Engine!$D$12:$D$72,$A922+1)*(1+Assumptions!$B$24)))*INDEX(Surface_Engine!$B$12:$B$72,$A922+1)+J923</f>
        <v>1795.54795508478</v>
      </c>
      <c r="K922" s="12" t="n">
        <f aca="false">SQRT((IF(C922&lt;=0,0,MAX(0,(B922/C922)*G922/INDEX(Surface_Engine!$B$12:$B$72,$A922+1)-F922/INDEX(Surface_Engine!$B$12:$B$72,$A922+1))))^2+(MAX(IF(D922&lt;=0,0,MAX(0,(B922/D922)*H922/INDEX(Surface_Engine!$B$12:$B$72,$A922+1)-F922/INDEX(Surface_Engine!$B$12:$B$72,$A922+1))),IF(E922&lt;=0,0,MAX(0,(B922/E922)*I922/INDEX(Surface_Engine!$B$12:$B$72,$A922+1)-F922/INDEX(Surface_Engine!$B$12:$B$72,$A922+1))),IF($A922&lt;$Q$888,MAX(0,-Assumptions!$B$22*(F922/INDEX(Surface_Engine!$B$12:$B$72,$A922+1))),0)))^2+(MAX(0,J922/INDEX(Surface_Engine!$B$12:$B$72,$A922+1)-(F922/INDEX(Surface_Engine!$B$12:$B$72,$A922+1))))^2+2*Assumptions!$B$26*(IF(C922&lt;=0,0,MAX(0,(B922/C922)*G922/INDEX(Surface_Engine!$B$12:$B$72,$A922+1)-F922/INDEX(Surface_Engine!$B$12:$B$72,$A922+1))))*(MAX(IF(D922&lt;=0,0,MAX(0,(B922/D922)*H922/INDEX(Surface_Engine!$B$12:$B$72,$A922+1)-F922/INDEX(Surface_Engine!$B$12:$B$72,$A922+1))),IF(E922&lt;=0,0,MAX(0,(B922/E922)*I922/INDEX(Surface_Engine!$B$12:$B$72,$A922+1)-F922/INDEX(Surface_Engine!$B$12:$B$72,$A922+1))),IF($A922&lt;$Q$888,MAX(0,-Assumptions!$B$22*(F922/INDEX(Surface_Engine!$B$12:$B$72,$A922+1))),0)))+2*Assumptions!$B$27*(IF(C922&lt;=0,0,MAX(0,(B922/C922)*G922/INDEX(Surface_Engine!$B$12:$B$72,$A922+1)-F922/INDEX(Surface_Engine!$B$12:$B$72,$A922+1))))*(MAX(0,J922/INDEX(Surface_Engine!$B$12:$B$72,$A922+1)-(F922/INDEX(Surface_Engine!$B$12:$B$72,$A922+1))))+2*Assumptions!$B$28*(MAX(IF(D922&lt;=0,0,MAX(0,(B922/D922)*H922/INDEX(Surface_Engine!$B$12:$B$72,$A922+1)-F922/INDEX(Surface_Engine!$B$12:$B$72,$A922+1))),IF(E922&lt;=0,0,MAX(0,(B922/E922)*I922/INDEX(Surface_Engine!$B$12:$B$72,$A922+1)-F922/INDEX(Surface_Engine!$B$12:$B$72,$A922+1))),IF($A922&lt;$Q$888,MAX(0,-Assumptions!$B$22*(F922/INDEX(Surface_Engine!$B$12:$B$72,$A922+1))),0)))*(MAX(0,J922/INDEX(Surface_Engine!$B$12:$B$72,$A922+1)-(F922/INDEX(Surface_Engine!$B$12:$B$72,$A922+1)))))</f>
        <v>919.171078192108</v>
      </c>
      <c r="L922" s="48" t="n">
        <f aca="false">K922*INDEX(Surface_Engine!$B$12:$B$72,$A922+1)+L923</f>
        <v>1184.78030430322</v>
      </c>
      <c r="M922" s="48" t="n">
        <f aca="false">M921+B921*(IF($A921&lt;$Q$888,(Surface_Engine!L244*12)-(Surface_Engine!L244*12)*INDEX(Surface_Engine!$F$12:$F$72,$A921+1)-INDEX(Surface_Engine!$D$12:$D$72,$A921+1),-(1000*12*INDEX(Surface_Engine!$C$12:$C$72,$A921+1)/(1+Assumptions!$B$10)^17+INDEX(Surface_Engine!$D$12:$D$72,$A921+1))))*INDEX(Surface_Engine!$B$12:$B$72,$A921+1)</f>
        <v>3073.45742227621</v>
      </c>
      <c r="N922" s="12" t="n">
        <f aca="false">IF(B922&lt;=0,0,MAX(0,(K922+Assumptions!$B$29*L922/INDEX(Surface_Engine!$B$12:$B$72,$A922+1)-(M922/INDEX(Surface_Engine!$B$12:$B$72,$A922+1)-(F922/INDEX(Surface_Engine!$B$12:$B$72,$A922+1))))/B922))</f>
        <v>0</v>
      </c>
    </row>
    <row r="923" customFormat="false" ht="15" hidden="false" customHeight="true" outlineLevel="0" collapsed="false">
      <c r="A923" s="1" t="n">
        <v>33</v>
      </c>
      <c r="B923" s="32" t="n">
        <f aca="false">INDEX(Surface_Engine!$O$12:$O$72,$A923+1)*IF($A923&lt;$Q$888,INDEX(Surface_Engine!$E$12:$E$72,$A923+1),INDEX(Surface_Engine!$E$12:$E$72,$Q$888+1))</f>
        <v>0.0593165870024922</v>
      </c>
      <c r="C923" s="32" t="n">
        <f aca="false">INDEX(Panel_Reserving!$E$8:$E$68,$A923+1)*IF($A923&lt;$Q$888,INDEX(Surface_Engine!$E$12:$E$72,$A923+1),INDEX(Surface_Engine!$E$12:$E$72,$Q$888+1))</f>
        <v>0.103252748429094</v>
      </c>
      <c r="D923" s="32" t="n">
        <f aca="false">INDEX(Surface_Engine!$O$12:$O$72,$A923+1)*IF($A923&lt;$Q$888,INDEX(Surface_Engine!$Y$12:$Y$72,$A923+1),INDEX(Surface_Engine!$Y$12:$Y$72,$Q$888+1))</f>
        <v>0.0532413080277991</v>
      </c>
      <c r="E923" s="32" t="n">
        <f aca="false">INDEX(Surface_Engine!$O$12:$O$72,$A923+1)*IF($A923&lt;$Q$888,INDEX(Surface_Engine!$Z$12:$Z$72,$A923+1),INDEX(Surface_Engine!$Z$12:$Z$72,$Q$888+1))</f>
        <v>0.0660216880280626</v>
      </c>
      <c r="F923" s="48" t="n">
        <f aca="false">B923*(IF($A923&lt;$Q$888,INDEX(Surface_Engine!$D$12:$D$72,$A923+1)+(Surface_Engine!L244*12)*INDEX(Surface_Engine!$F$12:$F$72,$A923+1)-(Surface_Engine!L244*12),1000*12*INDEX(Surface_Engine!$C$12:$C$72,$A923+1)/(1+Assumptions!$B$10)^17+INDEX(Surface_Engine!$D$12:$D$72,$A923+1)))*INDEX(Surface_Engine!$B$12:$B$72,$A923+1)+F924</f>
        <v>1342.79313064433</v>
      </c>
      <c r="G923" s="48" t="n">
        <f aca="false">C923*(IF($A923&lt;$Q$888,INDEX(Surface_Engine!$D$12:$D$72,$A923+1)+(Surface_Engine!L244*12)*INDEX(Surface_Engine!$F$12:$F$72,$A923+1)-(Surface_Engine!L244*12),1000*12*INDEX(Surface_Engine!$C$12:$C$72,$A923+1)/(1+Assumptions!$B$10)^17+INDEX(Surface_Engine!$D$12:$D$72,$A923+1)))*INDEX(Surface_Engine!$B$12:$B$72,$A923+1)+G924</f>
        <v>2773.18116576459</v>
      </c>
      <c r="H923" s="48" t="n">
        <f aca="false">D923*(IF($A923&lt;$Q$888,INDEX(Surface_Engine!$D$12:$D$72,$A923+1)+(Surface_Engine!L244*12)*INDEX(Surface_Engine!$F$12:$F$72,$A923+1)-(Surface_Engine!L244*12),1000*12*INDEX(Surface_Engine!$C$12:$C$72,$A923+1)/(1+Assumptions!$B$10)^17+INDEX(Surface_Engine!$D$12:$D$72,$A923+1)))*INDEX(Surface_Engine!$B$12:$B$72,$A923+1)+H924</f>
        <v>1205.26257998026</v>
      </c>
      <c r="I923" s="48" t="n">
        <f aca="false">E923*(IF($A923&lt;$Q$888,INDEX(Surface_Engine!$D$12:$D$72,$A923+1)+(Surface_Engine!L244*12)*INDEX(Surface_Engine!$F$12:$F$72,$A923+1)-(Surface_Engine!L244*12),1000*12*INDEX(Surface_Engine!$C$12:$C$72,$A923+1)/(1+Assumptions!$B$10)^17+INDEX(Surface_Engine!$D$12:$D$72,$A923+1)))*INDEX(Surface_Engine!$B$12:$B$72,$A923+1)+I924</f>
        <v>1494.58142549403</v>
      </c>
      <c r="J923" s="48" t="n">
        <f aca="false">B923*(IF($A923&lt;$Q$888,INDEX(Surface_Engine!$D$12:$D$72,$A923+1)*(1+Assumptions!$B$24)+(Surface_Engine!L244*12)*INDEX(Surface_Engine!$F$12:$F$72,$A923+1)-(Surface_Engine!L244*12),1000*12*INDEX(Surface_Engine!$C$12:$C$72,$A923+1)/(1+Assumptions!$B$10)^17+INDEX(Surface_Engine!$D$12:$D$72,$A923+1)*(1+Assumptions!$B$24)))*INDEX(Surface_Engine!$B$12:$B$72,$A923+1)+J924</f>
        <v>1344.30377398441</v>
      </c>
      <c r="K923" s="12" t="n">
        <f aca="false">SQRT((IF(C923&lt;=0,0,MAX(0,(B923/C923)*G923/INDEX(Surface_Engine!$B$12:$B$72,$A923+1)-F923/INDEX(Surface_Engine!$B$12:$B$72,$A923+1))))^2+(MAX(IF(D923&lt;=0,0,MAX(0,(B923/D923)*H923/INDEX(Surface_Engine!$B$12:$B$72,$A923+1)-F923/INDEX(Surface_Engine!$B$12:$B$72,$A923+1))),IF(E923&lt;=0,0,MAX(0,(B923/E923)*I923/INDEX(Surface_Engine!$B$12:$B$72,$A923+1)-F923/INDEX(Surface_Engine!$B$12:$B$72,$A923+1))),IF($A923&lt;$Q$888,MAX(0,-Assumptions!$B$22*(F923/INDEX(Surface_Engine!$B$12:$B$72,$A923+1))),0)))^2+(MAX(0,J923/INDEX(Surface_Engine!$B$12:$B$72,$A923+1)-(F923/INDEX(Surface_Engine!$B$12:$B$72,$A923+1))))^2+2*Assumptions!$B$26*(IF(C923&lt;=0,0,MAX(0,(B923/C923)*G923/INDEX(Surface_Engine!$B$12:$B$72,$A923+1)-F923/INDEX(Surface_Engine!$B$12:$B$72,$A923+1))))*(MAX(IF(D923&lt;=0,0,MAX(0,(B923/D923)*H923/INDEX(Surface_Engine!$B$12:$B$72,$A923+1)-F923/INDEX(Surface_Engine!$B$12:$B$72,$A923+1))),IF(E923&lt;=0,0,MAX(0,(B923/E923)*I923/INDEX(Surface_Engine!$B$12:$B$72,$A923+1)-F923/INDEX(Surface_Engine!$B$12:$B$72,$A923+1))),IF($A923&lt;$Q$888,MAX(0,-Assumptions!$B$22*(F923/INDEX(Surface_Engine!$B$12:$B$72,$A923+1))),0)))+2*Assumptions!$B$27*(IF(C923&lt;=0,0,MAX(0,(B923/C923)*G923/INDEX(Surface_Engine!$B$12:$B$72,$A923+1)-F923/INDEX(Surface_Engine!$B$12:$B$72,$A923+1))))*(MAX(0,J923/INDEX(Surface_Engine!$B$12:$B$72,$A923+1)-(F923/INDEX(Surface_Engine!$B$12:$B$72,$A923+1))))+2*Assumptions!$B$28*(MAX(IF(D923&lt;=0,0,MAX(0,(B923/D923)*H923/INDEX(Surface_Engine!$B$12:$B$72,$A923+1)-F923/INDEX(Surface_Engine!$B$12:$B$72,$A923+1))),IF(E923&lt;=0,0,MAX(0,(B923/E923)*I923/INDEX(Surface_Engine!$B$12:$B$72,$A923+1)-F923/INDEX(Surface_Engine!$B$12:$B$72,$A923+1))),IF($A923&lt;$Q$888,MAX(0,-Assumptions!$B$22*(F923/INDEX(Surface_Engine!$B$12:$B$72,$A923+1))),0)))*(MAX(0,J923/INDEX(Surface_Engine!$B$12:$B$72,$A923+1)-(F923/INDEX(Surface_Engine!$B$12:$B$72,$A923+1)))))</f>
        <v>706.478792512916</v>
      </c>
      <c r="L923" s="48" t="n">
        <f aca="false">K923*INDEX(Surface_Engine!$B$12:$B$72,$A923+1)+L924</f>
        <v>847.961141411628</v>
      </c>
      <c r="M923" s="48" t="n">
        <f aca="false">M922+B922*(IF($A922&lt;$Q$888,(Surface_Engine!L244*12)-(Surface_Engine!L244*12)*INDEX(Surface_Engine!$F$12:$F$72,$A922+1)-INDEX(Surface_Engine!$D$12:$D$72,$A922+1),-(1000*12*INDEX(Surface_Engine!$C$12:$C$72,$A922+1)/(1+Assumptions!$B$10)^17+INDEX(Surface_Engine!$D$12:$D$72,$A922+1))))*INDEX(Surface_Engine!$B$12:$B$72,$A922+1)</f>
        <v>2622.71200239888</v>
      </c>
      <c r="N923" s="12" t="n">
        <f aca="false">IF(B923&lt;=0,0,MAX(0,(K923+Assumptions!$B$29*L923/INDEX(Surface_Engine!$B$12:$B$72,$A923+1)-(M923/INDEX(Surface_Engine!$B$12:$B$72,$A923+1)-(F923/INDEX(Surface_Engine!$B$12:$B$72,$A923+1))))/B923))</f>
        <v>0</v>
      </c>
    </row>
    <row r="924" customFormat="false" ht="15" hidden="false" customHeight="true" outlineLevel="0" collapsed="false">
      <c r="A924" s="1" t="n">
        <v>34</v>
      </c>
      <c r="B924" s="32" t="n">
        <f aca="false">INDEX(Surface_Engine!$O$12:$O$72,$A924+1)*IF($A924&lt;$Q$888,INDEX(Surface_Engine!$E$12:$E$72,$A924+1),INDEX(Surface_Engine!$E$12:$E$72,$Q$888+1))</f>
        <v>0.0460457309425983</v>
      </c>
      <c r="C924" s="32" t="n">
        <f aca="false">INDEX(Panel_Reserving!$E$8:$E$68,$A924+1)*IF($A924&lt;$Q$888,INDEX(Surface_Engine!$E$12:$E$72,$A924+1),INDEX(Surface_Engine!$E$12:$E$72,$Q$888+1))</f>
        <v>0.0847722197077311</v>
      </c>
      <c r="D924" s="32" t="n">
        <f aca="false">INDEX(Surface_Engine!$O$12:$O$72,$A924+1)*IF($A924&lt;$Q$888,INDEX(Surface_Engine!$Y$12:$Y$72,$A924+1),INDEX(Surface_Engine!$Y$12:$Y$72,$Q$888+1))</f>
        <v>0.0413296696314816</v>
      </c>
      <c r="E924" s="32" t="n">
        <f aca="false">INDEX(Surface_Engine!$O$12:$O$72,$A924+1)*IF($A924&lt;$Q$888,INDEX(Surface_Engine!$Z$12:$Z$72,$A924+1),INDEX(Surface_Engine!$Z$12:$Z$72,$Q$888+1))</f>
        <v>0.0512507046838114</v>
      </c>
      <c r="F924" s="48" t="n">
        <f aca="false">B924*(IF($A924&lt;$Q$888,INDEX(Surface_Engine!$D$12:$D$72,$A924+1)+(Surface_Engine!L244*12)*INDEX(Surface_Engine!$F$12:$F$72,$A924+1)-(Surface_Engine!L244*12),1000*12*INDEX(Surface_Engine!$C$12:$C$72,$A924+1)/(1+Assumptions!$B$10)^17+INDEX(Surface_Engine!$D$12:$D$72,$A924+1)))*INDEX(Surface_Engine!$B$12:$B$72,$A924+1)+F925</f>
        <v>992.110912594364</v>
      </c>
      <c r="G924" s="48" t="n">
        <f aca="false">C924*(IF($A924&lt;$Q$888,INDEX(Surface_Engine!$D$12:$D$72,$A924+1)+(Surface_Engine!L244*12)*INDEX(Surface_Engine!$F$12:$F$72,$A924+1)-(Surface_Engine!L244*12),1000*12*INDEX(Surface_Engine!$C$12:$C$72,$A924+1)/(1+Assumptions!$B$10)^17+INDEX(Surface_Engine!$D$12:$D$72,$A924+1)))*INDEX(Surface_Engine!$B$12:$B$72,$A924+1)+G925</f>
        <v>2162.74646834432</v>
      </c>
      <c r="H924" s="48" t="n">
        <f aca="false">D924*(IF($A924&lt;$Q$888,INDEX(Surface_Engine!$D$12:$D$72,$A924+1)+(Surface_Engine!L244*12)*INDEX(Surface_Engine!$F$12:$F$72,$A924+1)-(Surface_Engine!L244*12),1000*12*INDEX(Surface_Engine!$C$12:$C$72,$A924+1)/(1+Assumptions!$B$10)^17+INDEX(Surface_Engine!$D$12:$D$72,$A924+1)))*INDEX(Surface_Engine!$B$12:$B$72,$A924+1)+H925</f>
        <v>890.497672985772</v>
      </c>
      <c r="I924" s="48" t="n">
        <f aca="false">E924*(IF($A924&lt;$Q$888,INDEX(Surface_Engine!$D$12:$D$72,$A924+1)+(Surface_Engine!L244*12)*INDEX(Surface_Engine!$F$12:$F$72,$A924+1)-(Surface_Engine!L244*12),1000*12*INDEX(Surface_Engine!$C$12:$C$72,$A924+1)/(1+Assumptions!$B$10)^17+INDEX(Surface_Engine!$D$12:$D$72,$A924+1)))*INDEX(Surface_Engine!$B$12:$B$72,$A924+1)+I925</f>
        <v>1104.25836128753</v>
      </c>
      <c r="J924" s="48" t="n">
        <f aca="false">B924*(IF($A924&lt;$Q$888,INDEX(Surface_Engine!$D$12:$D$72,$A924+1)*(1+Assumptions!$B$24)+(Surface_Engine!L244*12)*INDEX(Surface_Engine!$F$12:$F$72,$A924+1)-(Surface_Engine!L244*12),1000*12*INDEX(Surface_Engine!$C$12:$C$72,$A924+1)/(1+Assumptions!$B$10)^17+INDEX(Surface_Engine!$D$12:$D$72,$A924+1)*(1+Assumptions!$B$24)))*INDEX(Surface_Engine!$B$12:$B$72,$A924+1)+J925</f>
        <v>993.231636177563</v>
      </c>
      <c r="K924" s="12" t="n">
        <f aca="false">SQRT((IF(C924&lt;=0,0,MAX(0,(B924/C924)*G924/INDEX(Surface_Engine!$B$12:$B$72,$A924+1)-F924/INDEX(Surface_Engine!$B$12:$B$72,$A924+1))))^2+(MAX(IF(D924&lt;=0,0,MAX(0,(B924/D924)*H924/INDEX(Surface_Engine!$B$12:$B$72,$A924+1)-F924/INDEX(Surface_Engine!$B$12:$B$72,$A924+1))),IF(E924&lt;=0,0,MAX(0,(B924/E924)*I924/INDEX(Surface_Engine!$B$12:$B$72,$A924+1)-F924/INDEX(Surface_Engine!$B$12:$B$72,$A924+1))),IF($A924&lt;$Q$888,MAX(0,-Assumptions!$B$22*(F924/INDEX(Surface_Engine!$B$12:$B$72,$A924+1))),0)))^2+(MAX(0,J924/INDEX(Surface_Engine!$B$12:$B$72,$A924+1)-(F924/INDEX(Surface_Engine!$B$12:$B$72,$A924+1))))^2+2*Assumptions!$B$26*(IF(C924&lt;=0,0,MAX(0,(B924/C924)*G924/INDEX(Surface_Engine!$B$12:$B$72,$A924+1)-F924/INDEX(Surface_Engine!$B$12:$B$72,$A924+1))))*(MAX(IF(D924&lt;=0,0,MAX(0,(B924/D924)*H924/INDEX(Surface_Engine!$B$12:$B$72,$A924+1)-F924/INDEX(Surface_Engine!$B$12:$B$72,$A924+1))),IF(E924&lt;=0,0,MAX(0,(B924/E924)*I924/INDEX(Surface_Engine!$B$12:$B$72,$A924+1)-F924/INDEX(Surface_Engine!$B$12:$B$72,$A924+1))),IF($A924&lt;$Q$888,MAX(0,-Assumptions!$B$22*(F924/INDEX(Surface_Engine!$B$12:$B$72,$A924+1))),0)))+2*Assumptions!$B$27*(IF(C924&lt;=0,0,MAX(0,(B924/C924)*G924/INDEX(Surface_Engine!$B$12:$B$72,$A924+1)-F924/INDEX(Surface_Engine!$B$12:$B$72,$A924+1))))*(MAX(0,J924/INDEX(Surface_Engine!$B$12:$B$72,$A924+1)-(F924/INDEX(Surface_Engine!$B$12:$B$72,$A924+1))))+2*Assumptions!$B$28*(MAX(IF(D924&lt;=0,0,MAX(0,(B924/D924)*H924/INDEX(Surface_Engine!$B$12:$B$72,$A924+1)-F924/INDEX(Surface_Engine!$B$12:$B$72,$A924+1))),IF(E924&lt;=0,0,MAX(0,(B924/E924)*I924/INDEX(Surface_Engine!$B$12:$B$72,$A924+1)-F924/INDEX(Surface_Engine!$B$12:$B$72,$A924+1))),IF($A924&lt;$Q$888,MAX(0,-Assumptions!$B$22*(F924/INDEX(Surface_Engine!$B$12:$B$72,$A924+1))),0)))*(MAX(0,J924/INDEX(Surface_Engine!$B$12:$B$72,$A924+1)-(F924/INDEX(Surface_Engine!$B$12:$B$72,$A924+1)))))</f>
        <v>532.185651725801</v>
      </c>
      <c r="L924" s="48" t="n">
        <f aca="false">K924*INDEX(Surface_Engine!$B$12:$B$72,$A924+1)+L925</f>
        <v>597.236622953523</v>
      </c>
      <c r="M924" s="48" t="n">
        <f aca="false">M923+B923*(IF($A923&lt;$Q$888,(Surface_Engine!L244*12)-(Surface_Engine!L244*12)*INDEX(Surface_Engine!$F$12:$F$72,$A923+1)-INDEX(Surface_Engine!$D$12:$D$72,$A923+1),-(1000*12*INDEX(Surface_Engine!$C$12:$C$72,$A923+1)/(1+Assumptions!$B$10)^17+INDEX(Surface_Engine!$D$12:$D$72,$A923+1))))*INDEX(Surface_Engine!$B$12:$B$72,$A923+1)</f>
        <v>2272.02978434891</v>
      </c>
      <c r="N924" s="12" t="n">
        <f aca="false">IF(B924&lt;=0,0,MAX(0,(K924+Assumptions!$B$29*L924/INDEX(Surface_Engine!$B$12:$B$72,$A924+1)-(M924/INDEX(Surface_Engine!$B$12:$B$72,$A924+1)-(F924/INDEX(Surface_Engine!$B$12:$B$72,$A924+1))))/B924))</f>
        <v>0</v>
      </c>
    </row>
    <row r="925" customFormat="false" ht="15" hidden="false" customHeight="true" outlineLevel="0" collapsed="false">
      <c r="A925" s="1" t="n">
        <v>35</v>
      </c>
      <c r="B925" s="32" t="n">
        <f aca="false">INDEX(Surface_Engine!$O$12:$O$72,$A925+1)*IF($A925&lt;$Q$888,INDEX(Surface_Engine!$E$12:$E$72,$A925+1),INDEX(Surface_Engine!$E$12:$E$72,$Q$888+1))</f>
        <v>0.0351688354075665</v>
      </c>
      <c r="C925" s="32" t="n">
        <f aca="false">INDEX(Panel_Reserving!$E$8:$E$68,$A925+1)*IF($A925&lt;$Q$888,INDEX(Surface_Engine!$E$12:$E$72,$A925+1),INDEX(Surface_Engine!$E$12:$E$72,$Q$888+1))</f>
        <v>0.0687523445243712</v>
      </c>
      <c r="D925" s="32" t="n">
        <f aca="false">INDEX(Surface_Engine!$O$12:$O$72,$A925+1)*IF($A925&lt;$Q$888,INDEX(Surface_Engine!$Y$12:$Y$72,$A925+1),INDEX(Surface_Engine!$Y$12:$Y$72,$Q$888+1))</f>
        <v>0.0315667993310968</v>
      </c>
      <c r="E925" s="32" t="n">
        <f aca="false">INDEX(Surface_Engine!$O$12:$O$72,$A925+1)*IF($A925&lt;$Q$888,INDEX(Surface_Engine!$Z$12:$Z$72,$A925+1),INDEX(Surface_Engine!$Z$12:$Z$72,$Q$888+1))</f>
        <v>0.0391442933068803</v>
      </c>
      <c r="F925" s="48" t="n">
        <f aca="false">B925*(IF($A925&lt;$Q$888,INDEX(Surface_Engine!$D$12:$D$72,$A925+1)+(Surface_Engine!L244*12)*INDEX(Surface_Engine!$F$12:$F$72,$A925+1)-(Surface_Engine!L244*12),1000*12*INDEX(Surface_Engine!$C$12:$C$72,$A925+1)/(1+Assumptions!$B$10)^17+INDEX(Surface_Engine!$D$12:$D$72,$A925+1)))*INDEX(Surface_Engine!$B$12:$B$72,$A925+1)+F926</f>
        <v>723.185892676265</v>
      </c>
      <c r="G925" s="48" t="n">
        <f aca="false">C925*(IF($A925&lt;$Q$888,INDEX(Surface_Engine!$D$12:$D$72,$A925+1)+(Surface_Engine!L244*12)*INDEX(Surface_Engine!$F$12:$F$72,$A925+1)-(Surface_Engine!L244*12),1000*12*INDEX(Surface_Engine!$C$12:$C$72,$A925+1)/(1+Assumptions!$B$10)^17+INDEX(Surface_Engine!$D$12:$D$72,$A925+1)))*INDEX(Surface_Engine!$B$12:$B$72,$A925+1)+G926</f>
        <v>1667.6436562764</v>
      </c>
      <c r="H925" s="48" t="n">
        <f aca="false">D925*(IF($A925&lt;$Q$888,INDEX(Surface_Engine!$D$12:$D$72,$A925+1)+(Surface_Engine!L244*12)*INDEX(Surface_Engine!$F$12:$F$72,$A925+1)-(Surface_Engine!L244*12),1000*12*INDEX(Surface_Engine!$C$12:$C$72,$A925+1)/(1+Assumptions!$B$10)^17+INDEX(Surface_Engine!$D$12:$D$72,$A925+1)))*INDEX(Surface_Engine!$B$12:$B$72,$A925+1)+H926</f>
        <v>649.116289710299</v>
      </c>
      <c r="I925" s="48" t="n">
        <f aca="false">E925*(IF($A925&lt;$Q$888,INDEX(Surface_Engine!$D$12:$D$72,$A925+1)+(Surface_Engine!L244*12)*INDEX(Surface_Engine!$F$12:$F$72,$A925+1)-(Surface_Engine!L244*12),1000*12*INDEX(Surface_Engine!$C$12:$C$72,$A925+1)/(1+Assumptions!$B$10)^17+INDEX(Surface_Engine!$D$12:$D$72,$A925+1)))*INDEX(Surface_Engine!$B$12:$B$72,$A925+1)+I926</f>
        <v>804.934265529509</v>
      </c>
      <c r="J925" s="48" t="n">
        <f aca="false">B925*(IF($A925&lt;$Q$888,INDEX(Surface_Engine!$D$12:$D$72,$A925+1)*(1+Assumptions!$B$24)+(Surface_Engine!L244*12)*INDEX(Surface_Engine!$F$12:$F$72,$A925+1)-(Surface_Engine!L244*12),1000*12*INDEX(Surface_Engine!$C$12:$C$72,$A925+1)/(1+Assumptions!$B$10)^17+INDEX(Surface_Engine!$D$12:$D$72,$A925+1)*(1+Assumptions!$B$24)))*INDEX(Surface_Engine!$B$12:$B$72,$A925+1)+J926</f>
        <v>724.006152062657</v>
      </c>
      <c r="K925" s="12" t="n">
        <f aca="false">SQRT((IF(C925&lt;=0,0,MAX(0,(B925/C925)*G925/INDEX(Surface_Engine!$B$12:$B$72,$A925+1)-F925/INDEX(Surface_Engine!$B$12:$B$72,$A925+1))))^2+(MAX(IF(D925&lt;=0,0,MAX(0,(B925/D925)*H925/INDEX(Surface_Engine!$B$12:$B$72,$A925+1)-F925/INDEX(Surface_Engine!$B$12:$B$72,$A925+1))),IF(E925&lt;=0,0,MAX(0,(B925/E925)*I925/INDEX(Surface_Engine!$B$12:$B$72,$A925+1)-F925/INDEX(Surface_Engine!$B$12:$B$72,$A925+1))),IF($A925&lt;$Q$888,MAX(0,-Assumptions!$B$22*(F925/INDEX(Surface_Engine!$B$12:$B$72,$A925+1))),0)))^2+(MAX(0,J925/INDEX(Surface_Engine!$B$12:$B$72,$A925+1)-(F925/INDEX(Surface_Engine!$B$12:$B$72,$A925+1))))^2+2*Assumptions!$B$26*(IF(C925&lt;=0,0,MAX(0,(B925/C925)*G925/INDEX(Surface_Engine!$B$12:$B$72,$A925+1)-F925/INDEX(Surface_Engine!$B$12:$B$72,$A925+1))))*(MAX(IF(D925&lt;=0,0,MAX(0,(B925/D925)*H925/INDEX(Surface_Engine!$B$12:$B$72,$A925+1)-F925/INDEX(Surface_Engine!$B$12:$B$72,$A925+1))),IF(E925&lt;=0,0,MAX(0,(B925/E925)*I925/INDEX(Surface_Engine!$B$12:$B$72,$A925+1)-F925/INDEX(Surface_Engine!$B$12:$B$72,$A925+1))),IF($A925&lt;$Q$888,MAX(0,-Assumptions!$B$22*(F925/INDEX(Surface_Engine!$B$12:$B$72,$A925+1))),0)))+2*Assumptions!$B$27*(IF(C925&lt;=0,0,MAX(0,(B925/C925)*G925/INDEX(Surface_Engine!$B$12:$B$72,$A925+1)-F925/INDEX(Surface_Engine!$B$12:$B$72,$A925+1))))*(MAX(0,J925/INDEX(Surface_Engine!$B$12:$B$72,$A925+1)-(F925/INDEX(Surface_Engine!$B$12:$B$72,$A925+1))))+2*Assumptions!$B$28*(MAX(IF(D925&lt;=0,0,MAX(0,(B925/D925)*H925/INDEX(Surface_Engine!$B$12:$B$72,$A925+1)-F925/INDEX(Surface_Engine!$B$12:$B$72,$A925+1))),IF(E925&lt;=0,0,MAX(0,(B925/E925)*I925/INDEX(Surface_Engine!$B$12:$B$72,$A925+1)-F925/INDEX(Surface_Engine!$B$12:$B$72,$A925+1))),IF($A925&lt;$Q$888,MAX(0,-Assumptions!$B$22*(F925/INDEX(Surface_Engine!$B$12:$B$72,$A925+1))),0)))*(MAX(0,J925/INDEX(Surface_Engine!$B$12:$B$72,$A925+1)-(F925/INDEX(Surface_Engine!$B$12:$B$72,$A925+1)))))</f>
        <v>390.783167888784</v>
      </c>
      <c r="L925" s="48" t="n">
        <f aca="false">K925*INDEX(Surface_Engine!$B$12:$B$72,$A925+1)+L926</f>
        <v>414.325025255428</v>
      </c>
      <c r="M925" s="48" t="n">
        <f aca="false">M924+B924*(IF($A924&lt;$Q$888,(Surface_Engine!L244*12)-(Surface_Engine!L244*12)*INDEX(Surface_Engine!$F$12:$F$72,$A924+1)-INDEX(Surface_Engine!$D$12:$D$72,$A924+1),-(1000*12*INDEX(Surface_Engine!$C$12:$C$72,$A924+1)/(1+Assumptions!$B$10)^17+INDEX(Surface_Engine!$D$12:$D$72,$A924+1))))*INDEX(Surface_Engine!$B$12:$B$72,$A924+1)</f>
        <v>2003.10476443081</v>
      </c>
      <c r="N925" s="12" t="n">
        <f aca="false">IF(B925&lt;=0,0,MAX(0,(K925+Assumptions!$B$29*L925/INDEX(Surface_Engine!$B$12:$B$72,$A925+1)-(M925/INDEX(Surface_Engine!$B$12:$B$72,$A925+1)-(F925/INDEX(Surface_Engine!$B$12:$B$72,$A925+1))))/B925))</f>
        <v>0</v>
      </c>
    </row>
    <row r="926" customFormat="false" ht="15" hidden="false" customHeight="true" outlineLevel="0" collapsed="false">
      <c r="A926" s="1" t="n">
        <v>36</v>
      </c>
      <c r="B926" s="32" t="n">
        <f aca="false">INDEX(Surface_Engine!$O$12:$O$72,$A926+1)*IF($A926&lt;$Q$888,INDEX(Surface_Engine!$E$12:$E$72,$A926+1),INDEX(Surface_Engine!$E$12:$E$72,$Q$888+1))</f>
        <v>0.0263576908530309</v>
      </c>
      <c r="C926" s="32" t="n">
        <f aca="false">INDEX(Panel_Reserving!$E$8:$E$68,$A926+1)*IF($A926&lt;$Q$888,INDEX(Surface_Engine!$E$12:$E$72,$A926+1),INDEX(Surface_Engine!$E$12:$E$72,$Q$888+1))</f>
        <v>0.0549722613559159</v>
      </c>
      <c r="D926" s="32" t="n">
        <f aca="false">INDEX(Surface_Engine!$O$12:$O$72,$A926+1)*IF($A926&lt;$Q$888,INDEX(Surface_Engine!$Y$12:$Y$72,$A926+1),INDEX(Surface_Engine!$Y$12:$Y$72,$Q$888+1))</f>
        <v>0.0236581032140092</v>
      </c>
      <c r="E926" s="32" t="n">
        <f aca="false">INDEX(Surface_Engine!$O$12:$O$72,$A926+1)*IF($A926&lt;$Q$888,INDEX(Surface_Engine!$Z$12:$Z$72,$A926+1),INDEX(Surface_Engine!$Z$12:$Z$72,$Q$888+1))</f>
        <v>0.0293371438003641</v>
      </c>
      <c r="F926" s="48" t="n">
        <f aca="false">B926*(IF($A926&lt;$Q$888,INDEX(Surface_Engine!$D$12:$D$72,$A926+1)+(Surface_Engine!L244*12)*INDEX(Surface_Engine!$F$12:$F$72,$A926+1)-(Surface_Engine!L244*12),1000*12*INDEX(Surface_Engine!$C$12:$C$72,$A926+1)/(1+Assumptions!$B$10)^17+INDEX(Surface_Engine!$D$12:$D$72,$A926+1)))*INDEX(Surface_Engine!$B$12:$B$72,$A926+1)+F927</f>
        <v>520.28341120855</v>
      </c>
      <c r="G926" s="48" t="n">
        <f aca="false">C926*(IF($A926&lt;$Q$888,INDEX(Surface_Engine!$D$12:$D$72,$A926+1)+(Surface_Engine!L244*12)*INDEX(Surface_Engine!$F$12:$F$72,$A926+1)-(Surface_Engine!L244*12),1000*12*INDEX(Surface_Engine!$C$12:$C$72,$A926+1)/(1+Assumptions!$B$10)^17+INDEX(Surface_Engine!$D$12:$D$72,$A926+1)))*INDEX(Surface_Engine!$B$12:$B$72,$A926+1)+G927</f>
        <v>1270.98504790756</v>
      </c>
      <c r="H926" s="48" t="n">
        <f aca="false">D926*(IF($A926&lt;$Q$888,INDEX(Surface_Engine!$D$12:$D$72,$A926+1)+(Surface_Engine!L244*12)*INDEX(Surface_Engine!$F$12:$F$72,$A926+1)-(Surface_Engine!L244*12),1000*12*INDEX(Surface_Engine!$C$12:$C$72,$A926+1)/(1+Assumptions!$B$10)^17+INDEX(Surface_Engine!$D$12:$D$72,$A926+1)))*INDEX(Surface_Engine!$B$12:$B$72,$A926+1)+H927</f>
        <v>466.995333982123</v>
      </c>
      <c r="I926" s="48" t="n">
        <f aca="false">E926*(IF($A926&lt;$Q$888,INDEX(Surface_Engine!$D$12:$D$72,$A926+1)+(Surface_Engine!L244*12)*INDEX(Surface_Engine!$F$12:$F$72,$A926+1)-(Surface_Engine!L244*12),1000*12*INDEX(Surface_Engine!$C$12:$C$72,$A926+1)/(1+Assumptions!$B$10)^17+INDEX(Surface_Engine!$D$12:$D$72,$A926+1)))*INDEX(Surface_Engine!$B$12:$B$72,$A926+1)+I927</f>
        <v>579.095844802127</v>
      </c>
      <c r="J926" s="48" t="n">
        <f aca="false">B926*(IF($A926&lt;$Q$888,INDEX(Surface_Engine!$D$12:$D$72,$A926+1)*(1+Assumptions!$B$24)+(Surface_Engine!L244*12)*INDEX(Surface_Engine!$F$12:$F$72,$A926+1)-(Surface_Engine!L244*12),1000*12*INDEX(Surface_Engine!$C$12:$C$72,$A926+1)/(1+Assumptions!$B$10)^17+INDEX(Surface_Engine!$D$12:$D$72,$A926+1)*(1+Assumptions!$B$24)))*INDEX(Surface_Engine!$B$12:$B$72,$A926+1)+J927</f>
        <v>520.875873182491</v>
      </c>
      <c r="K926" s="12" t="n">
        <f aca="false">SQRT((IF(C926&lt;=0,0,MAX(0,(B926/C926)*G926/INDEX(Surface_Engine!$B$12:$B$72,$A926+1)-F926/INDEX(Surface_Engine!$B$12:$B$72,$A926+1))))^2+(MAX(IF(D926&lt;=0,0,MAX(0,(B926/D926)*H926/INDEX(Surface_Engine!$B$12:$B$72,$A926+1)-F926/INDEX(Surface_Engine!$B$12:$B$72,$A926+1))),IF(E926&lt;=0,0,MAX(0,(B926/E926)*I926/INDEX(Surface_Engine!$B$12:$B$72,$A926+1)-F926/INDEX(Surface_Engine!$B$12:$B$72,$A926+1))),IF($A926&lt;$Q$888,MAX(0,-Assumptions!$B$22*(F926/INDEX(Surface_Engine!$B$12:$B$72,$A926+1))),0)))^2+(MAX(0,J926/INDEX(Surface_Engine!$B$12:$B$72,$A926+1)-(F926/INDEX(Surface_Engine!$B$12:$B$72,$A926+1))))^2+2*Assumptions!$B$26*(IF(C926&lt;=0,0,MAX(0,(B926/C926)*G926/INDEX(Surface_Engine!$B$12:$B$72,$A926+1)-F926/INDEX(Surface_Engine!$B$12:$B$72,$A926+1))))*(MAX(IF(D926&lt;=0,0,MAX(0,(B926/D926)*H926/INDEX(Surface_Engine!$B$12:$B$72,$A926+1)-F926/INDEX(Surface_Engine!$B$12:$B$72,$A926+1))),IF(E926&lt;=0,0,MAX(0,(B926/E926)*I926/INDEX(Surface_Engine!$B$12:$B$72,$A926+1)-F926/INDEX(Surface_Engine!$B$12:$B$72,$A926+1))),IF($A926&lt;$Q$888,MAX(0,-Assumptions!$B$22*(F926/INDEX(Surface_Engine!$B$12:$B$72,$A926+1))),0)))+2*Assumptions!$B$27*(IF(C926&lt;=0,0,MAX(0,(B926/C926)*G926/INDEX(Surface_Engine!$B$12:$B$72,$A926+1)-F926/INDEX(Surface_Engine!$B$12:$B$72,$A926+1))))*(MAX(0,J926/INDEX(Surface_Engine!$B$12:$B$72,$A926+1)-(F926/INDEX(Surface_Engine!$B$12:$B$72,$A926+1))))+2*Assumptions!$B$28*(MAX(IF(D926&lt;=0,0,MAX(0,(B926/D926)*H926/INDEX(Surface_Engine!$B$12:$B$72,$A926+1)-F926/INDEX(Surface_Engine!$B$12:$B$72,$A926+1))),IF(E926&lt;=0,0,MAX(0,(B926/E926)*I926/INDEX(Surface_Engine!$B$12:$B$72,$A926+1)-F926/INDEX(Surface_Engine!$B$12:$B$72,$A926+1))),IF($A926&lt;$Q$888,MAX(0,-Assumptions!$B$22*(F926/INDEX(Surface_Engine!$B$12:$B$72,$A926+1))),0)))*(MAX(0,J926/INDEX(Surface_Engine!$B$12:$B$72,$A926+1)-(F926/INDEX(Surface_Engine!$B$12:$B$72,$A926+1)))))</f>
        <v>276.860350540826</v>
      </c>
      <c r="L926" s="48" t="n">
        <f aca="false">K926*INDEX(Surface_Engine!$B$12:$B$72,$A926+1)+L927</f>
        <v>284.2549152546</v>
      </c>
      <c r="M926" s="48" t="n">
        <f aca="false">M925+B925*(IF($A925&lt;$Q$888,(Surface_Engine!L244*12)-(Surface_Engine!L244*12)*INDEX(Surface_Engine!$F$12:$F$72,$A925+1)-INDEX(Surface_Engine!$D$12:$D$72,$A925+1),-(1000*12*INDEX(Surface_Engine!$C$12:$C$72,$A925+1)/(1+Assumptions!$B$10)^17+INDEX(Surface_Engine!$D$12:$D$72,$A925+1))))*INDEX(Surface_Engine!$B$12:$B$72,$A925+1)</f>
        <v>1800.2022829631</v>
      </c>
      <c r="N926" s="12" t="n">
        <f aca="false">IF(B926&lt;=0,0,MAX(0,(K926+Assumptions!$B$29*L926/INDEX(Surface_Engine!$B$12:$B$72,$A926+1)-(M926/INDEX(Surface_Engine!$B$12:$B$72,$A926+1)-(F926/INDEX(Surface_Engine!$B$12:$B$72,$A926+1))))/B926))</f>
        <v>0</v>
      </c>
    </row>
    <row r="927" customFormat="false" ht="15" hidden="false" customHeight="true" outlineLevel="0" collapsed="false">
      <c r="A927" s="1" t="n">
        <v>37</v>
      </c>
      <c r="B927" s="32" t="n">
        <f aca="false">INDEX(Surface_Engine!$O$12:$O$72,$A927+1)*IF($A927&lt;$Q$888,INDEX(Surface_Engine!$E$12:$E$72,$A927+1),INDEX(Surface_Engine!$E$12:$E$72,$Q$888+1))</f>
        <v>0.0200201948852516</v>
      </c>
      <c r="C927" s="32" t="n">
        <f aca="false">INDEX(Panel_Reserving!$E$8:$E$68,$A927+1)*IF($A927&lt;$Q$888,INDEX(Surface_Engine!$E$12:$E$72,$A927+1),INDEX(Surface_Engine!$E$12:$E$72,$Q$888+1))</f>
        <v>0.0443981488776899</v>
      </c>
      <c r="D927" s="32" t="n">
        <f aca="false">INDEX(Surface_Engine!$O$12:$O$72,$A927+1)*IF($A927&lt;$Q$888,INDEX(Surface_Engine!$Y$12:$Y$72,$A927+1),INDEX(Surface_Engine!$Y$12:$Y$72,$Q$888+1))</f>
        <v>0.0179697015038553</v>
      </c>
      <c r="E927" s="32" t="n">
        <f aca="false">INDEX(Surface_Engine!$O$12:$O$72,$A927+1)*IF($A927&lt;$Q$888,INDEX(Surface_Engine!$Z$12:$Z$72,$A927+1),INDEX(Surface_Engine!$Z$12:$Z$72,$Q$888+1))</f>
        <v>0.0222832621998222</v>
      </c>
      <c r="F927" s="48" t="n">
        <f aca="false">B927*(IF($A927&lt;$Q$888,INDEX(Surface_Engine!$D$12:$D$72,$A927+1)+(Surface_Engine!L244*12)*INDEX(Surface_Engine!$F$12:$F$72,$A927+1)-(Surface_Engine!L244*12),1000*12*INDEX(Surface_Engine!$C$12:$C$72,$A927+1)/(1+Assumptions!$B$10)^17+INDEX(Surface_Engine!$D$12:$D$72,$A927+1)))*INDEX(Surface_Engine!$B$12:$B$72,$A927+1)+F928</f>
        <v>370.017988555167</v>
      </c>
      <c r="G927" s="48" t="n">
        <f aca="false">C927*(IF($A927&lt;$Q$888,INDEX(Surface_Engine!$D$12:$D$72,$A927+1)+(Surface_Engine!L244*12)*INDEX(Surface_Engine!$F$12:$F$72,$A927+1)-(Surface_Engine!L244*12),1000*12*INDEX(Surface_Engine!$C$12:$C$72,$A927+1)/(1+Assumptions!$B$10)^17+INDEX(Surface_Engine!$D$12:$D$72,$A927+1)))*INDEX(Surface_Engine!$B$12:$B$72,$A927+1)+G928</f>
        <v>957.587712271494</v>
      </c>
      <c r="H927" s="48" t="n">
        <f aca="false">D927*(IF($A927&lt;$Q$888,INDEX(Surface_Engine!$D$12:$D$72,$A927+1)+(Surface_Engine!L244*12)*INDEX(Surface_Engine!$F$12:$F$72,$A927+1)-(Surface_Engine!L244*12),1000*12*INDEX(Surface_Engine!$C$12:$C$72,$A927+1)/(1+Assumptions!$B$10)^17+INDEX(Surface_Engine!$D$12:$D$72,$A927+1)))*INDEX(Surface_Engine!$B$12:$B$72,$A927+1)+H928</f>
        <v>332.120283718694</v>
      </c>
      <c r="I927" s="48" t="n">
        <f aca="false">E927*(IF($A927&lt;$Q$888,INDEX(Surface_Engine!$D$12:$D$72,$A927+1)+(Surface_Engine!L244*12)*INDEX(Surface_Engine!$F$12:$F$72,$A927+1)-(Surface_Engine!L244*12),1000*12*INDEX(Surface_Engine!$C$12:$C$72,$A927+1)/(1+Assumptions!$B$10)^17+INDEX(Surface_Engine!$D$12:$D$72,$A927+1)))*INDEX(Surface_Engine!$B$12:$B$72,$A927+1)+I928</f>
        <v>411.84453522476</v>
      </c>
      <c r="J927" s="48" t="n">
        <f aca="false">B927*(IF($A927&lt;$Q$888,INDEX(Surface_Engine!$D$12:$D$72,$A927+1)*(1+Assumptions!$B$24)+(Surface_Engine!L244*12)*INDEX(Surface_Engine!$F$12:$F$72,$A927+1)-(Surface_Engine!L244*12),1000*12*INDEX(Surface_Engine!$C$12:$C$72,$A927+1)/(1+Assumptions!$B$10)^17+INDEX(Surface_Engine!$D$12:$D$72,$A927+1)*(1+Assumptions!$B$24)))*INDEX(Surface_Engine!$B$12:$B$72,$A927+1)+J928</f>
        <v>370.440930788658</v>
      </c>
      <c r="K927" s="12" t="n">
        <f aca="false">SQRT((IF(C927&lt;=0,0,MAX(0,(B927/C927)*G927/INDEX(Surface_Engine!$B$12:$B$72,$A927+1)-F927/INDEX(Surface_Engine!$B$12:$B$72,$A927+1))))^2+(MAX(IF(D927&lt;=0,0,MAX(0,(B927/D927)*H927/INDEX(Surface_Engine!$B$12:$B$72,$A927+1)-F927/INDEX(Surface_Engine!$B$12:$B$72,$A927+1))),IF(E927&lt;=0,0,MAX(0,(B927/E927)*I927/INDEX(Surface_Engine!$B$12:$B$72,$A927+1)-F927/INDEX(Surface_Engine!$B$12:$B$72,$A927+1))),IF($A927&lt;$Q$888,MAX(0,-Assumptions!$B$22*(F927/INDEX(Surface_Engine!$B$12:$B$72,$A927+1))),0)))^2+(MAX(0,J927/INDEX(Surface_Engine!$B$12:$B$72,$A927+1)-(F927/INDEX(Surface_Engine!$B$12:$B$72,$A927+1))))^2+2*Assumptions!$B$26*(IF(C927&lt;=0,0,MAX(0,(B927/C927)*G927/INDEX(Surface_Engine!$B$12:$B$72,$A927+1)-F927/INDEX(Surface_Engine!$B$12:$B$72,$A927+1))))*(MAX(IF(D927&lt;=0,0,MAX(0,(B927/D927)*H927/INDEX(Surface_Engine!$B$12:$B$72,$A927+1)-F927/INDEX(Surface_Engine!$B$12:$B$72,$A927+1))),IF(E927&lt;=0,0,MAX(0,(B927/E927)*I927/INDEX(Surface_Engine!$B$12:$B$72,$A927+1)-F927/INDEX(Surface_Engine!$B$12:$B$72,$A927+1))),IF($A927&lt;$Q$888,MAX(0,-Assumptions!$B$22*(F927/INDEX(Surface_Engine!$B$12:$B$72,$A927+1))),0)))+2*Assumptions!$B$27*(IF(C927&lt;=0,0,MAX(0,(B927/C927)*G927/INDEX(Surface_Engine!$B$12:$B$72,$A927+1)-F927/INDEX(Surface_Engine!$B$12:$B$72,$A927+1))))*(MAX(0,J927/INDEX(Surface_Engine!$B$12:$B$72,$A927+1)-(F927/INDEX(Surface_Engine!$B$12:$B$72,$A927+1))))+2*Assumptions!$B$28*(MAX(IF(D927&lt;=0,0,MAX(0,(B927/D927)*H927/INDEX(Surface_Engine!$B$12:$B$72,$A927+1)-F927/INDEX(Surface_Engine!$B$12:$B$72,$A927+1))),IF(E927&lt;=0,0,MAX(0,(B927/E927)*I927/INDEX(Surface_Engine!$B$12:$B$72,$A927+1)-F927/INDEX(Surface_Engine!$B$12:$B$72,$A927+1))),IF($A927&lt;$Q$888,MAX(0,-Assumptions!$B$22*(F927/INDEX(Surface_Engine!$B$12:$B$72,$A927+1))),0)))*(MAX(0,J927/INDEX(Surface_Engine!$B$12:$B$72,$A927+1)-(F927/INDEX(Surface_Engine!$B$12:$B$72,$A927+1)))))</f>
        <v>198.214630241297</v>
      </c>
      <c r="L927" s="48" t="n">
        <f aca="false">K927*INDEX(Surface_Engine!$B$12:$B$72,$A927+1)+L928</f>
        <v>194.985913808747</v>
      </c>
      <c r="M927" s="48" t="n">
        <f aca="false">M926+B926*(IF($A926&lt;$Q$888,(Surface_Engine!L244*12)-(Surface_Engine!L244*12)*INDEX(Surface_Engine!$F$12:$F$72,$A926+1)-INDEX(Surface_Engine!$D$12:$D$72,$A926+1),-(1000*12*INDEX(Surface_Engine!$C$12:$C$72,$A926+1)/(1+Assumptions!$B$10)^17+INDEX(Surface_Engine!$D$12:$D$72,$A926+1))))*INDEX(Surface_Engine!$B$12:$B$72,$A926+1)</f>
        <v>1649.93686030971</v>
      </c>
      <c r="N927" s="12" t="n">
        <f aca="false">IF(B927&lt;=0,0,MAX(0,(K927+Assumptions!$B$29*L927/INDEX(Surface_Engine!$B$12:$B$72,$A927+1)-(M927/INDEX(Surface_Engine!$B$12:$B$72,$A927+1)-(F927/INDEX(Surface_Engine!$B$12:$B$72,$A927+1))))/B927))</f>
        <v>0</v>
      </c>
    </row>
    <row r="928" customFormat="false" ht="15" hidden="false" customHeight="true" outlineLevel="0" collapsed="false">
      <c r="A928" s="1" t="n">
        <v>38</v>
      </c>
      <c r="B928" s="32" t="n">
        <f aca="false">INDEX(Surface_Engine!$O$12:$O$72,$A928+1)*IF($A928&lt;$Q$888,INDEX(Surface_Engine!$E$12:$E$72,$A928+1),INDEX(Surface_Engine!$E$12:$E$72,$Q$888+1))</f>
        <v>0.0175551704915271</v>
      </c>
      <c r="C928" s="32" t="n">
        <f aca="false">INDEX(Panel_Reserving!$E$8:$E$68,$A928+1)*IF($A928&lt;$Q$888,INDEX(Surface_Engine!$E$12:$E$72,$A928+1),INDEX(Surface_Engine!$E$12:$E$72,$Q$888+1))</f>
        <v>0.0400248639762391</v>
      </c>
      <c r="D928" s="32" t="n">
        <f aca="false">INDEX(Surface_Engine!$O$12:$O$72,$A928+1)*IF($A928&lt;$Q$888,INDEX(Surface_Engine!$Y$12:$Y$72,$A928+1),INDEX(Surface_Engine!$Y$12:$Y$72,$Q$888+1))</f>
        <v>0.0157571479893247</v>
      </c>
      <c r="E928" s="32" t="n">
        <f aca="false">INDEX(Surface_Engine!$O$12:$O$72,$A928+1)*IF($A928&lt;$Q$888,INDEX(Surface_Engine!$Z$12:$Z$72,$A928+1),INDEX(Surface_Engine!$Z$12:$Z$72,$Q$888+1))</f>
        <v>0.0195395933589766</v>
      </c>
      <c r="F928" s="48" t="n">
        <f aca="false">B928*(IF($A928&lt;$Q$888,INDEX(Surface_Engine!$D$12:$D$72,$A928+1)+(Surface_Engine!L244*12)*INDEX(Surface_Engine!$F$12:$F$72,$A928+1)-(Surface_Engine!L244*12),1000*12*INDEX(Surface_Engine!$C$12:$C$72,$A928+1)/(1+Assumptions!$B$10)^17+INDEX(Surface_Engine!$D$12:$D$72,$A928+1)))*INDEX(Surface_Engine!$B$12:$B$72,$A928+1)+F929</f>
        <v>257.277915637948</v>
      </c>
      <c r="G928" s="48" t="n">
        <f aca="false">C928*(IF($A928&lt;$Q$888,INDEX(Surface_Engine!$D$12:$D$72,$A928+1)+(Surface_Engine!L244*12)*INDEX(Surface_Engine!$F$12:$F$72,$A928+1)-(Surface_Engine!L244*12),1000*12*INDEX(Surface_Engine!$C$12:$C$72,$A928+1)/(1+Assumptions!$B$10)^17+INDEX(Surface_Engine!$D$12:$D$72,$A928+1)))*INDEX(Surface_Engine!$B$12:$B$72,$A928+1)+G929</f>
        <v>707.567641510461</v>
      </c>
      <c r="H928" s="48" t="n">
        <f aca="false">D928*(IF($A928&lt;$Q$888,INDEX(Surface_Engine!$D$12:$D$72,$A928+1)+(Surface_Engine!L244*12)*INDEX(Surface_Engine!$F$12:$F$72,$A928+1)-(Surface_Engine!L244*12),1000*12*INDEX(Surface_Engine!$C$12:$C$72,$A928+1)/(1+Assumptions!$B$10)^17+INDEX(Surface_Engine!$D$12:$D$72,$A928+1)))*INDEX(Surface_Engine!$B$12:$B$72,$A928+1)+H929</f>
        <v>230.927189972252</v>
      </c>
      <c r="I928" s="48" t="n">
        <f aca="false">E928*(IF($A928&lt;$Q$888,INDEX(Surface_Engine!$D$12:$D$72,$A928+1)+(Surface_Engine!L244*12)*INDEX(Surface_Engine!$F$12:$F$72,$A928+1)-(Surface_Engine!L244*12),1000*12*INDEX(Surface_Engine!$C$12:$C$72,$A928+1)/(1+Assumptions!$B$10)^17+INDEX(Surface_Engine!$D$12:$D$72,$A928+1)))*INDEX(Surface_Engine!$B$12:$B$72,$A928+1)+I929</f>
        <v>286.360411836324</v>
      </c>
      <c r="J928" s="48" t="n">
        <f aca="false">B928*(IF($A928&lt;$Q$888,INDEX(Surface_Engine!$D$12:$D$72,$A928+1)*(1+Assumptions!$B$24)+(Surface_Engine!L244*12)*INDEX(Surface_Engine!$F$12:$F$72,$A928+1)-(Surface_Engine!L244*12),1000*12*INDEX(Surface_Engine!$C$12:$C$72,$A928+1)/(1+Assumptions!$B$10)^17+INDEX(Surface_Engine!$D$12:$D$72,$A928+1)*(1+Assumptions!$B$24)))*INDEX(Surface_Engine!$B$12:$B$72,$A928+1)+J929</f>
        <v>257.573055412331</v>
      </c>
      <c r="K928" s="12" t="n">
        <f aca="false">SQRT((IF(C928&lt;=0,0,MAX(0,(B928/C928)*G928/INDEX(Surface_Engine!$B$12:$B$72,$A928+1)-F928/INDEX(Surface_Engine!$B$12:$B$72,$A928+1))))^2+(MAX(IF(D928&lt;=0,0,MAX(0,(B928/D928)*H928/INDEX(Surface_Engine!$B$12:$B$72,$A928+1)-F928/INDEX(Surface_Engine!$B$12:$B$72,$A928+1))),IF(E928&lt;=0,0,MAX(0,(B928/E928)*I928/INDEX(Surface_Engine!$B$12:$B$72,$A928+1)-F928/INDEX(Surface_Engine!$B$12:$B$72,$A928+1))),IF($A928&lt;$Q$888,MAX(0,-Assumptions!$B$22*(F928/INDEX(Surface_Engine!$B$12:$B$72,$A928+1))),0)))^2+(MAX(0,J928/INDEX(Surface_Engine!$B$12:$B$72,$A928+1)-(F928/INDEX(Surface_Engine!$B$12:$B$72,$A928+1))))^2+2*Assumptions!$B$26*(IF(C928&lt;=0,0,MAX(0,(B928/C928)*G928/INDEX(Surface_Engine!$B$12:$B$72,$A928+1)-F928/INDEX(Surface_Engine!$B$12:$B$72,$A928+1))))*(MAX(IF(D928&lt;=0,0,MAX(0,(B928/D928)*H928/INDEX(Surface_Engine!$B$12:$B$72,$A928+1)-F928/INDEX(Surface_Engine!$B$12:$B$72,$A928+1))),IF(E928&lt;=0,0,MAX(0,(B928/E928)*I928/INDEX(Surface_Engine!$B$12:$B$72,$A928+1)-F928/INDEX(Surface_Engine!$B$12:$B$72,$A928+1))),IF($A928&lt;$Q$888,MAX(0,-Assumptions!$B$22*(F928/INDEX(Surface_Engine!$B$12:$B$72,$A928+1))),0)))+2*Assumptions!$B$27*(IF(C928&lt;=0,0,MAX(0,(B928/C928)*G928/INDEX(Surface_Engine!$B$12:$B$72,$A928+1)-F928/INDEX(Surface_Engine!$B$12:$B$72,$A928+1))))*(MAX(0,J928/INDEX(Surface_Engine!$B$12:$B$72,$A928+1)-(F928/INDEX(Surface_Engine!$B$12:$B$72,$A928+1))))+2*Assumptions!$B$28*(MAX(IF(D928&lt;=0,0,MAX(0,(B928/D928)*H928/INDEX(Surface_Engine!$B$12:$B$72,$A928+1)-F928/INDEX(Surface_Engine!$B$12:$B$72,$A928+1))),IF(E928&lt;=0,0,MAX(0,(B928/E928)*I928/INDEX(Surface_Engine!$B$12:$B$72,$A928+1)-F928/INDEX(Surface_Engine!$B$12:$B$72,$A928+1))),IF($A928&lt;$Q$888,MAX(0,-Assumptions!$B$22*(F928/INDEX(Surface_Engine!$B$12:$B$72,$A928+1))),0)))*(MAX(0,J928/INDEX(Surface_Engine!$B$12:$B$72,$A928+1)-(F928/INDEX(Surface_Engine!$B$12:$B$72,$A928+1)))))</f>
        <v>175.765745697401</v>
      </c>
      <c r="L928" s="48" t="n">
        <f aca="false">K928*INDEX(Surface_Engine!$B$12:$B$72,$A928+1)+L929</f>
        <v>133.097444076354</v>
      </c>
      <c r="M928" s="48" t="n">
        <f aca="false">M927+B927*(IF($A927&lt;$Q$888,(Surface_Engine!L244*12)-(Surface_Engine!L244*12)*INDEX(Surface_Engine!$F$12:$F$72,$A927+1)-INDEX(Surface_Engine!$D$12:$D$72,$A927+1),-(1000*12*INDEX(Surface_Engine!$C$12:$C$72,$A927+1)/(1+Assumptions!$B$10)^17+INDEX(Surface_Engine!$D$12:$D$72,$A927+1))))*INDEX(Surface_Engine!$B$12:$B$72,$A927+1)</f>
        <v>1537.1967873925</v>
      </c>
      <c r="N928" s="12" t="n">
        <f aca="false">IF(B928&lt;=0,0,MAX(0,(K928+Assumptions!$B$29*L928/INDEX(Surface_Engine!$B$12:$B$72,$A928+1)-(M928/INDEX(Surface_Engine!$B$12:$B$72,$A928+1)-(F928/INDEX(Surface_Engine!$B$12:$B$72,$A928+1))))/B928))</f>
        <v>0</v>
      </c>
    </row>
    <row r="929" customFormat="false" ht="15" hidden="false" customHeight="true" outlineLevel="0" collapsed="false">
      <c r="A929" s="1" t="n">
        <v>39</v>
      </c>
      <c r="B929" s="32" t="n">
        <f aca="false">INDEX(Surface_Engine!$O$12:$O$72,$A929+1)*IF($A929&lt;$Q$888,INDEX(Surface_Engine!$E$12:$E$72,$A929+1),INDEX(Surface_Engine!$E$12:$E$72,$Q$888+1))</f>
        <v>0.0116484249091494</v>
      </c>
      <c r="C929" s="32" t="n">
        <f aca="false">INDEX(Panel_Reserving!$E$8:$E$68,$A929+1)*IF($A929&lt;$Q$888,INDEX(Surface_Engine!$E$12:$E$72,$A929+1),INDEX(Surface_Engine!$E$12:$E$72,$Q$888+1))</f>
        <v>0.0292512089511956</v>
      </c>
      <c r="D929" s="32" t="n">
        <f aca="false">INDEX(Surface_Engine!$O$12:$O$72,$A929+1)*IF($A929&lt;$Q$888,INDEX(Surface_Engine!$Y$12:$Y$72,$A929+1),INDEX(Surface_Engine!$Y$12:$Y$72,$Q$888+1))</f>
        <v>0.0104553786717475</v>
      </c>
      <c r="E929" s="32" t="n">
        <f aca="false">INDEX(Surface_Engine!$O$12:$O$72,$A929+1)*IF($A929&lt;$Q$888,INDEX(Surface_Engine!$Z$12:$Z$72,$A929+1),INDEX(Surface_Engine!$Z$12:$Z$72,$Q$888+1))</f>
        <v>0.0129651538335789</v>
      </c>
      <c r="F929" s="48" t="n">
        <f aca="false">B929*(IF($A929&lt;$Q$888,INDEX(Surface_Engine!$D$12:$D$72,$A929+1)+(Surface_Engine!L244*12)*INDEX(Surface_Engine!$F$12:$F$72,$A929+1)-(Surface_Engine!L244*12),1000*12*INDEX(Surface_Engine!$C$12:$C$72,$A929+1)/(1+Assumptions!$B$10)^17+INDEX(Surface_Engine!$D$12:$D$72,$A929+1)))*INDEX(Surface_Engine!$B$12:$B$72,$A929+1)+F930</f>
        <v>159.631419497352</v>
      </c>
      <c r="G929" s="48" t="n">
        <f aca="false">C929*(IF($A929&lt;$Q$888,INDEX(Surface_Engine!$D$12:$D$72,$A929+1)+(Surface_Engine!L244*12)*INDEX(Surface_Engine!$F$12:$F$72,$A929+1)-(Surface_Engine!L244*12),1000*12*INDEX(Surface_Engine!$C$12:$C$72,$A929+1)/(1+Assumptions!$B$10)^17+INDEX(Surface_Engine!$D$12:$D$72,$A929+1)))*INDEX(Surface_Engine!$B$12:$B$72,$A929+1)+G930</f>
        <v>484.938773982799</v>
      </c>
      <c r="H929" s="48" t="n">
        <f aca="false">D929*(IF($A929&lt;$Q$888,INDEX(Surface_Engine!$D$12:$D$72,$A929+1)+(Surface_Engine!L244*12)*INDEX(Surface_Engine!$F$12:$F$72,$A929+1)-(Surface_Engine!L244*12),1000*12*INDEX(Surface_Engine!$C$12:$C$72,$A929+1)/(1+Assumptions!$B$10)^17+INDEX(Surface_Engine!$D$12:$D$72,$A929+1)))*INDEX(Surface_Engine!$B$12:$B$72,$A929+1)+H930</f>
        <v>143.281770005011</v>
      </c>
      <c r="I929" s="48" t="n">
        <f aca="false">E929*(IF($A929&lt;$Q$888,INDEX(Surface_Engine!$D$12:$D$72,$A929+1)+(Surface_Engine!L244*12)*INDEX(Surface_Engine!$F$12:$F$72,$A929+1)-(Surface_Engine!L244*12),1000*12*INDEX(Surface_Engine!$C$12:$C$72,$A929+1)/(1+Assumptions!$B$10)^17+INDEX(Surface_Engine!$D$12:$D$72,$A929+1)))*INDEX(Surface_Engine!$B$12:$B$72,$A929+1)+I930</f>
        <v>177.676031446114</v>
      </c>
      <c r="J929" s="48" t="n">
        <f aca="false">B929*(IF($A929&lt;$Q$888,INDEX(Surface_Engine!$D$12:$D$72,$A929+1)*(1+Assumptions!$B$24)+(Surface_Engine!L244*12)*INDEX(Surface_Engine!$F$12:$F$72,$A929+1)-(Surface_Engine!L244*12),1000*12*INDEX(Surface_Engine!$C$12:$C$72,$A929+1)/(1+Assumptions!$B$10)^17+INDEX(Surface_Engine!$D$12:$D$72,$A929+1)*(1+Assumptions!$B$24)))*INDEX(Surface_Engine!$B$12:$B$72,$A929+1)+J930</f>
        <v>159.815330504433</v>
      </c>
      <c r="K929" s="12" t="n">
        <f aca="false">SQRT((IF(C929&lt;=0,0,MAX(0,(B929/C929)*G929/INDEX(Surface_Engine!$B$12:$B$72,$A929+1)-F929/INDEX(Surface_Engine!$B$12:$B$72,$A929+1))))^2+(MAX(IF(D929&lt;=0,0,MAX(0,(B929/D929)*H929/INDEX(Surface_Engine!$B$12:$B$72,$A929+1)-F929/INDEX(Surface_Engine!$B$12:$B$72,$A929+1))),IF(E929&lt;=0,0,MAX(0,(B929/E929)*I929/INDEX(Surface_Engine!$B$12:$B$72,$A929+1)-F929/INDEX(Surface_Engine!$B$12:$B$72,$A929+1))),IF($A929&lt;$Q$888,MAX(0,-Assumptions!$B$22*(F929/INDEX(Surface_Engine!$B$12:$B$72,$A929+1))),0)))^2+(MAX(0,J929/INDEX(Surface_Engine!$B$12:$B$72,$A929+1)-(F929/INDEX(Surface_Engine!$B$12:$B$72,$A929+1))))^2+2*Assumptions!$B$26*(IF(C929&lt;=0,0,MAX(0,(B929/C929)*G929/INDEX(Surface_Engine!$B$12:$B$72,$A929+1)-F929/INDEX(Surface_Engine!$B$12:$B$72,$A929+1))))*(MAX(IF(D929&lt;=0,0,MAX(0,(B929/D929)*H929/INDEX(Surface_Engine!$B$12:$B$72,$A929+1)-F929/INDEX(Surface_Engine!$B$12:$B$72,$A929+1))),IF(E929&lt;=0,0,MAX(0,(B929/E929)*I929/INDEX(Surface_Engine!$B$12:$B$72,$A929+1)-F929/INDEX(Surface_Engine!$B$12:$B$72,$A929+1))),IF($A929&lt;$Q$888,MAX(0,-Assumptions!$B$22*(F929/INDEX(Surface_Engine!$B$12:$B$72,$A929+1))),0)))+2*Assumptions!$B$27*(IF(C929&lt;=0,0,MAX(0,(B929/C929)*G929/INDEX(Surface_Engine!$B$12:$B$72,$A929+1)-F929/INDEX(Surface_Engine!$B$12:$B$72,$A929+1))))*(MAX(0,J929/INDEX(Surface_Engine!$B$12:$B$72,$A929+1)-(F929/INDEX(Surface_Engine!$B$12:$B$72,$A929+1))))+2*Assumptions!$B$28*(MAX(IF(D929&lt;=0,0,MAX(0,(B929/D929)*H929/INDEX(Surface_Engine!$B$12:$B$72,$A929+1)-F929/INDEX(Surface_Engine!$B$12:$B$72,$A929+1))),IF(E929&lt;=0,0,MAX(0,(B929/E929)*I929/INDEX(Surface_Engine!$B$12:$B$72,$A929+1)-F929/INDEX(Surface_Engine!$B$12:$B$72,$A929+1))),IF($A929&lt;$Q$888,MAX(0,-Assumptions!$B$22*(F929/INDEX(Surface_Engine!$B$12:$B$72,$A929+1))),0)))*(MAX(0,J929/INDEX(Surface_Engine!$B$12:$B$72,$A929+1)-(F929/INDEX(Surface_Engine!$B$12:$B$72,$A929+1)))))</f>
        <v>114.484084713053</v>
      </c>
      <c r="L929" s="48" t="n">
        <f aca="false">K929*INDEX(Surface_Engine!$B$12:$B$72,$A929+1)+L930</f>
        <v>79.9569514245607</v>
      </c>
      <c r="M929" s="48" t="n">
        <f aca="false">M928+B928*(IF($A928&lt;$Q$888,(Surface_Engine!L244*12)-(Surface_Engine!L244*12)*INDEX(Surface_Engine!$F$12:$F$72,$A928+1)-INDEX(Surface_Engine!$D$12:$D$72,$A928+1),-(1000*12*INDEX(Surface_Engine!$C$12:$C$72,$A928+1)/(1+Assumptions!$B$10)^17+INDEX(Surface_Engine!$D$12:$D$72,$A928+1))))*INDEX(Surface_Engine!$B$12:$B$72,$A928+1)</f>
        <v>1439.5502912519</v>
      </c>
      <c r="N929" s="12" t="n">
        <f aca="false">IF(B929&lt;=0,0,MAX(0,(K929+Assumptions!$B$29*L929/INDEX(Surface_Engine!$B$12:$B$72,$A929+1)-(M929/INDEX(Surface_Engine!$B$12:$B$72,$A929+1)-(F929/INDEX(Surface_Engine!$B$12:$B$72,$A929+1))))/B929))</f>
        <v>0</v>
      </c>
    </row>
    <row r="930" customFormat="false" ht="15" hidden="false" customHeight="true" outlineLevel="0" collapsed="false">
      <c r="A930" s="1" t="n">
        <v>40</v>
      </c>
      <c r="B930" s="32" t="n">
        <f aca="false">INDEX(Surface_Engine!$O$12:$O$72,$A930+1)*IF($A930&lt;$Q$888,INDEX(Surface_Engine!$E$12:$E$72,$A930+1),INDEX(Surface_Engine!$E$12:$E$72,$Q$888+1))</f>
        <v>0.00745301338115089</v>
      </c>
      <c r="C930" s="32" t="n">
        <f aca="false">INDEX(Panel_Reserving!$E$8:$E$68,$A930+1)*IF($A930&lt;$Q$888,INDEX(Surface_Engine!$E$12:$E$72,$A930+1),INDEX(Surface_Engine!$E$12:$E$72,$Q$888+1))</f>
        <v>0.0208228859668342</v>
      </c>
      <c r="D930" s="32" t="n">
        <f aca="false">INDEX(Surface_Engine!$O$12:$O$72,$A930+1)*IF($A930&lt;$Q$888,INDEX(Surface_Engine!$Y$12:$Y$72,$A930+1),INDEX(Surface_Engine!$Y$12:$Y$72,$Q$888+1))</f>
        <v>0.00668966643587385</v>
      </c>
      <c r="E930" s="32" t="n">
        <f aca="false">INDEX(Surface_Engine!$O$12:$O$72,$A930+1)*IF($A930&lt;$Q$888,INDEX(Surface_Engine!$Z$12:$Z$72,$A930+1),INDEX(Surface_Engine!$Z$12:$Z$72,$Q$888+1))</f>
        <v>0.00829549623781701</v>
      </c>
      <c r="F930" s="48" t="n">
        <f aca="false">B930*(IF($A930&lt;$Q$888,INDEX(Surface_Engine!$D$12:$D$72,$A930+1)+(Surface_Engine!L244*12)*INDEX(Surface_Engine!$F$12:$F$72,$A930+1)-(Surface_Engine!L244*12),1000*12*INDEX(Surface_Engine!$C$12:$C$72,$A930+1)/(1+Assumptions!$B$10)^17+INDEX(Surface_Engine!$D$12:$D$72,$A930+1)))*INDEX(Surface_Engine!$B$12:$B$72,$A930+1)+F931</f>
        <v>95.61257484726</v>
      </c>
      <c r="G930" s="48" t="n">
        <f aca="false">C930*(IF($A930&lt;$Q$888,INDEX(Surface_Engine!$D$12:$D$72,$A930+1)+(Surface_Engine!L244*12)*INDEX(Surface_Engine!$F$12:$F$72,$A930+1)-(Surface_Engine!L244*12),1000*12*INDEX(Surface_Engine!$C$12:$C$72,$A930+1)/(1+Assumptions!$B$10)^17+INDEX(Surface_Engine!$D$12:$D$72,$A930+1)))*INDEX(Surface_Engine!$B$12:$B$72,$A930+1)+G931</f>
        <v>324.176386254043</v>
      </c>
      <c r="H930" s="48" t="n">
        <f aca="false">D930*(IF($A930&lt;$Q$888,INDEX(Surface_Engine!$D$12:$D$72,$A930+1)+(Surface_Engine!L244*12)*INDEX(Surface_Engine!$F$12:$F$72,$A930+1)-(Surface_Engine!L244*12),1000*12*INDEX(Surface_Engine!$C$12:$C$72,$A930+1)/(1+Assumptions!$B$10)^17+INDEX(Surface_Engine!$D$12:$D$72,$A930+1)))*INDEX(Surface_Engine!$B$12:$B$72,$A930+1)+H931</f>
        <v>85.8198154347634</v>
      </c>
      <c r="I930" s="48" t="n">
        <f aca="false">E930*(IF($A930&lt;$Q$888,INDEX(Surface_Engine!$D$12:$D$72,$A930+1)+(Surface_Engine!L244*12)*INDEX(Surface_Engine!$F$12:$F$72,$A930+1)-(Surface_Engine!L244*12),1000*12*INDEX(Surface_Engine!$C$12:$C$72,$A930+1)/(1+Assumptions!$B$10)^17+INDEX(Surface_Engine!$D$12:$D$72,$A930+1)))*INDEX(Surface_Engine!$B$12:$B$72,$A930+1)+I931</f>
        <v>106.420546210124</v>
      </c>
      <c r="J930" s="48" t="n">
        <f aca="false">B930*(IF($A930&lt;$Q$888,INDEX(Surface_Engine!$D$12:$D$72,$A930+1)*(1+Assumptions!$B$24)+(Surface_Engine!L244*12)*INDEX(Surface_Engine!$F$12:$F$72,$A930+1)-(Surface_Engine!L244*12),1000*12*INDEX(Surface_Engine!$C$12:$C$72,$A930+1)/(1+Assumptions!$B$10)^17+INDEX(Surface_Engine!$D$12:$D$72,$A930+1)*(1+Assumptions!$B$24)))*INDEX(Surface_Engine!$B$12:$B$72,$A930+1)+J931</f>
        <v>95.7232088449569</v>
      </c>
      <c r="K930" s="12" t="n">
        <f aca="false">SQRT((IF(C930&lt;=0,0,MAX(0,(B930/C930)*G930/INDEX(Surface_Engine!$B$12:$B$72,$A930+1)-F930/INDEX(Surface_Engine!$B$12:$B$72,$A930+1))))^2+(MAX(IF(D930&lt;=0,0,MAX(0,(B930/D930)*H930/INDEX(Surface_Engine!$B$12:$B$72,$A930+1)-F930/INDEX(Surface_Engine!$B$12:$B$72,$A930+1))),IF(E930&lt;=0,0,MAX(0,(B930/E930)*I930/INDEX(Surface_Engine!$B$12:$B$72,$A930+1)-F930/INDEX(Surface_Engine!$B$12:$B$72,$A930+1))),IF($A930&lt;$Q$888,MAX(0,-Assumptions!$B$22*(F930/INDEX(Surface_Engine!$B$12:$B$72,$A930+1))),0)))^2+(MAX(0,J930/INDEX(Surface_Engine!$B$12:$B$72,$A930+1)-(F930/INDEX(Surface_Engine!$B$12:$B$72,$A930+1))))^2+2*Assumptions!$B$26*(IF(C930&lt;=0,0,MAX(0,(B930/C930)*G930/INDEX(Surface_Engine!$B$12:$B$72,$A930+1)-F930/INDEX(Surface_Engine!$B$12:$B$72,$A930+1))))*(MAX(IF(D930&lt;=0,0,MAX(0,(B930/D930)*H930/INDEX(Surface_Engine!$B$12:$B$72,$A930+1)-F930/INDEX(Surface_Engine!$B$12:$B$72,$A930+1))),IF(E930&lt;=0,0,MAX(0,(B930/E930)*I930/INDEX(Surface_Engine!$B$12:$B$72,$A930+1)-F930/INDEX(Surface_Engine!$B$12:$B$72,$A930+1))),IF($A930&lt;$Q$888,MAX(0,-Assumptions!$B$22*(F930/INDEX(Surface_Engine!$B$12:$B$72,$A930+1))),0)))+2*Assumptions!$B$27*(IF(C930&lt;=0,0,MAX(0,(B930/C930)*G930/INDEX(Surface_Engine!$B$12:$B$72,$A930+1)-F930/INDEX(Surface_Engine!$B$12:$B$72,$A930+1))))*(MAX(0,J930/INDEX(Surface_Engine!$B$12:$B$72,$A930+1)-(F930/INDEX(Surface_Engine!$B$12:$B$72,$A930+1))))+2*Assumptions!$B$28*(MAX(IF(D930&lt;=0,0,MAX(0,(B930/D930)*H930/INDEX(Surface_Engine!$B$12:$B$72,$A930+1)-F930/INDEX(Surface_Engine!$B$12:$B$72,$A930+1))),IF(E930&lt;=0,0,MAX(0,(B930/E930)*I930/INDEX(Surface_Engine!$B$12:$B$72,$A930+1)-F930/INDEX(Surface_Engine!$B$12:$B$72,$A930+1))),IF($A930&lt;$Q$888,MAX(0,-Assumptions!$B$22*(F930/INDEX(Surface_Engine!$B$12:$B$72,$A930+1))),0)))*(MAX(0,J930/INDEX(Surface_Engine!$B$12:$B$72,$A930+1)-(F930/INDEX(Surface_Engine!$B$12:$B$72,$A930+1)))))</f>
        <v>72.1045700306905</v>
      </c>
      <c r="L930" s="48" t="n">
        <f aca="false">K930*INDEX(Surface_Engine!$B$12:$B$72,$A930+1)+L931</f>
        <v>46.4294611112186</v>
      </c>
      <c r="M930" s="48" t="n">
        <f aca="false">M929+B929*(IF($A929&lt;$Q$888,(Surface_Engine!L244*12)-(Surface_Engine!L244*12)*INDEX(Surface_Engine!$F$12:$F$72,$A929+1)-INDEX(Surface_Engine!$D$12:$D$72,$A929+1),-(1000*12*INDEX(Surface_Engine!$C$12:$C$72,$A929+1)/(1+Assumptions!$B$10)^17+INDEX(Surface_Engine!$D$12:$D$72,$A929+1))))*INDEX(Surface_Engine!$B$12:$B$72,$A929+1)</f>
        <v>1375.53144660181</v>
      </c>
      <c r="N930" s="12" t="n">
        <f aca="false">IF(B930&lt;=0,0,MAX(0,(K930+Assumptions!$B$29*L930/INDEX(Surface_Engine!$B$12:$B$72,$A930+1)-(M930/INDEX(Surface_Engine!$B$12:$B$72,$A930+1)-(F930/INDEX(Surface_Engine!$B$12:$B$72,$A930+1))))/B930))</f>
        <v>0</v>
      </c>
    </row>
    <row r="931" customFormat="false" ht="15" hidden="false" customHeight="true" outlineLevel="0" collapsed="false">
      <c r="A931" s="1" t="n">
        <v>41</v>
      </c>
      <c r="B931" s="32" t="n">
        <f aca="false">INDEX(Surface_Engine!$O$12:$O$72,$A931+1)*IF($A931&lt;$Q$888,INDEX(Surface_Engine!$E$12:$E$72,$A931+1),INDEX(Surface_Engine!$E$12:$E$72,$Q$888+1))</f>
        <v>0.00458082576580281</v>
      </c>
      <c r="C931" s="32" t="n">
        <f aca="false">INDEX(Panel_Reserving!$E$8:$E$68,$A931+1)*IF($A931&lt;$Q$888,INDEX(Surface_Engine!$E$12:$E$72,$A931+1),INDEX(Surface_Engine!$E$12:$E$72,$Q$888+1))</f>
        <v>0.0144032291508674</v>
      </c>
      <c r="D931" s="32" t="n">
        <f aca="false">INDEX(Surface_Engine!$O$12:$O$72,$A931+1)*IF($A931&lt;$Q$888,INDEX(Surface_Engine!$Y$12:$Y$72,$A931+1),INDEX(Surface_Engine!$Y$12:$Y$72,$Q$888+1))</f>
        <v>0.00411165186575112</v>
      </c>
      <c r="E931" s="32" t="n">
        <f aca="false">INDEX(Surface_Engine!$O$12:$O$72,$A931+1)*IF($A931&lt;$Q$888,INDEX(Surface_Engine!$Z$12:$Z$72,$A931+1),INDEX(Surface_Engine!$Z$12:$Z$72,$Q$888+1))</f>
        <v>0.00509863876031904</v>
      </c>
      <c r="F931" s="48" t="n">
        <f aca="false">B931*(IF($A931&lt;$Q$888,INDEX(Surface_Engine!$D$12:$D$72,$A931+1)+(Surface_Engine!L244*12)*INDEX(Surface_Engine!$F$12:$F$72,$A931+1)-(Surface_Engine!L244*12),1000*12*INDEX(Surface_Engine!$C$12:$C$72,$A931+1)/(1+Assumptions!$B$10)^17+INDEX(Surface_Engine!$D$12:$D$72,$A931+1)))*INDEX(Surface_Engine!$B$12:$B$72,$A931+1)+F932</f>
        <v>55.1563908232484</v>
      </c>
      <c r="G931" s="48" t="n">
        <f aca="false">C931*(IF($A931&lt;$Q$888,INDEX(Surface_Engine!$D$12:$D$72,$A931+1)+(Surface_Engine!L244*12)*INDEX(Surface_Engine!$F$12:$F$72,$A931+1)-(Surface_Engine!L244*12),1000*12*INDEX(Surface_Engine!$C$12:$C$72,$A931+1)/(1+Assumptions!$B$10)^17+INDEX(Surface_Engine!$D$12:$D$72,$A931+1)))*INDEX(Surface_Engine!$B$12:$B$72,$A931+1)+G932</f>
        <v>211.146332032516</v>
      </c>
      <c r="H931" s="48" t="n">
        <f aca="false">D931*(IF($A931&lt;$Q$888,INDEX(Surface_Engine!$D$12:$D$72,$A931+1)+(Surface_Engine!L244*12)*INDEX(Surface_Engine!$F$12:$F$72,$A931+1)-(Surface_Engine!L244*12),1000*12*INDEX(Surface_Engine!$C$12:$C$72,$A931+1)/(1+Assumptions!$B$10)^17+INDEX(Surface_Engine!$D$12:$D$72,$A931+1)))*INDEX(Surface_Engine!$B$12:$B$72,$A931+1)+H932</f>
        <v>49.5072043406485</v>
      </c>
      <c r="I931" s="48" t="n">
        <f aca="false">E931*(IF($A931&lt;$Q$888,INDEX(Surface_Engine!$D$12:$D$72,$A931+1)+(Surface_Engine!L244*12)*INDEX(Surface_Engine!$F$12:$F$72,$A931+1)-(Surface_Engine!L244*12),1000*12*INDEX(Surface_Engine!$C$12:$C$72,$A931+1)/(1+Assumptions!$B$10)^17+INDEX(Surface_Engine!$D$12:$D$72,$A931+1)))*INDEX(Surface_Engine!$B$12:$B$72,$A931+1)+I932</f>
        <v>61.3912264967874</v>
      </c>
      <c r="J931" s="48" t="n">
        <f aca="false">B931*(IF($A931&lt;$Q$888,INDEX(Surface_Engine!$D$12:$D$72,$A931+1)*(1+Assumptions!$B$24)+(Surface_Engine!L244*12)*INDEX(Surface_Engine!$F$12:$F$72,$A931+1)-(Surface_Engine!L244*12),1000*12*INDEX(Surface_Engine!$C$12:$C$72,$A931+1)/(1+Assumptions!$B$10)^17+INDEX(Surface_Engine!$D$12:$D$72,$A931+1)*(1+Assumptions!$B$24)))*INDEX(Surface_Engine!$B$12:$B$72,$A931+1)+J932</f>
        <v>55.2204936322778</v>
      </c>
      <c r="K931" s="12" t="n">
        <f aca="false">SQRT((IF(C931&lt;=0,0,MAX(0,(B931/C931)*G931/INDEX(Surface_Engine!$B$12:$B$72,$A931+1)-F931/INDEX(Surface_Engine!$B$12:$B$72,$A931+1))))^2+(MAX(IF(D931&lt;=0,0,MAX(0,(B931/D931)*H931/INDEX(Surface_Engine!$B$12:$B$72,$A931+1)-F931/INDEX(Surface_Engine!$B$12:$B$72,$A931+1))),IF(E931&lt;=0,0,MAX(0,(B931/E931)*I931/INDEX(Surface_Engine!$B$12:$B$72,$A931+1)-F931/INDEX(Surface_Engine!$B$12:$B$72,$A931+1))),IF($A931&lt;$Q$888,MAX(0,-Assumptions!$B$22*(F931/INDEX(Surface_Engine!$B$12:$B$72,$A931+1))),0)))^2+(MAX(0,J931/INDEX(Surface_Engine!$B$12:$B$72,$A931+1)-(F931/INDEX(Surface_Engine!$B$12:$B$72,$A931+1))))^2+2*Assumptions!$B$26*(IF(C931&lt;=0,0,MAX(0,(B931/C931)*G931/INDEX(Surface_Engine!$B$12:$B$72,$A931+1)-F931/INDEX(Surface_Engine!$B$12:$B$72,$A931+1))))*(MAX(IF(D931&lt;=0,0,MAX(0,(B931/D931)*H931/INDEX(Surface_Engine!$B$12:$B$72,$A931+1)-F931/INDEX(Surface_Engine!$B$12:$B$72,$A931+1))),IF(E931&lt;=0,0,MAX(0,(B931/E931)*I931/INDEX(Surface_Engine!$B$12:$B$72,$A931+1)-F931/INDEX(Surface_Engine!$B$12:$B$72,$A931+1))),IF($A931&lt;$Q$888,MAX(0,-Assumptions!$B$22*(F931/INDEX(Surface_Engine!$B$12:$B$72,$A931+1))),0)))+2*Assumptions!$B$27*(IF(C931&lt;=0,0,MAX(0,(B931/C931)*G931/INDEX(Surface_Engine!$B$12:$B$72,$A931+1)-F931/INDEX(Surface_Engine!$B$12:$B$72,$A931+1))))*(MAX(0,J931/INDEX(Surface_Engine!$B$12:$B$72,$A931+1)-(F931/INDEX(Surface_Engine!$B$12:$B$72,$A931+1))))+2*Assumptions!$B$28*(MAX(IF(D931&lt;=0,0,MAX(0,(B931/D931)*H931/INDEX(Surface_Engine!$B$12:$B$72,$A931+1)-F931/INDEX(Surface_Engine!$B$12:$B$72,$A931+1))),IF(E931&lt;=0,0,MAX(0,(B931/E931)*I931/INDEX(Surface_Engine!$B$12:$B$72,$A931+1)-F931/INDEX(Surface_Engine!$B$12:$B$72,$A931+1))),IF($A931&lt;$Q$888,MAX(0,-Assumptions!$B$22*(F931/INDEX(Surface_Engine!$B$12:$B$72,$A931+1))),0)))*(MAX(0,J931/INDEX(Surface_Engine!$B$12:$B$72,$A931+1)-(F931/INDEX(Surface_Engine!$B$12:$B$72,$A931+1)))))</f>
        <v>43.7563004925574</v>
      </c>
      <c r="L931" s="48" t="n">
        <f aca="false">K931*INDEX(Surface_Engine!$B$12:$B$72,$A931+1)+L932</f>
        <v>25.9835452429524</v>
      </c>
      <c r="M931" s="48" t="n">
        <f aca="false">M930+B930*(IF($A930&lt;$Q$888,(Surface_Engine!L244*12)-(Surface_Engine!L244*12)*INDEX(Surface_Engine!$F$12:$F$72,$A930+1)-INDEX(Surface_Engine!$D$12:$D$72,$A930+1),-(1000*12*INDEX(Surface_Engine!$C$12:$C$72,$A930+1)/(1+Assumptions!$B$10)^17+INDEX(Surface_Engine!$D$12:$D$72,$A930+1))))*INDEX(Surface_Engine!$B$12:$B$72,$A930+1)</f>
        <v>1335.0752625778</v>
      </c>
      <c r="N931" s="12" t="n">
        <f aca="false">IF(B931&lt;=0,0,MAX(0,(K931+Assumptions!$B$29*L931/INDEX(Surface_Engine!$B$12:$B$72,$A931+1)-(M931/INDEX(Surface_Engine!$B$12:$B$72,$A931+1)-(F931/INDEX(Surface_Engine!$B$12:$B$72,$A931+1))))/B931))</f>
        <v>0</v>
      </c>
    </row>
    <row r="932" customFormat="false" ht="15" hidden="false" customHeight="true" outlineLevel="0" collapsed="false">
      <c r="A932" s="1" t="n">
        <v>42</v>
      </c>
      <c r="B932" s="32" t="n">
        <f aca="false">INDEX(Surface_Engine!$O$12:$O$72,$A932+1)*IF($A932&lt;$Q$888,INDEX(Surface_Engine!$E$12:$E$72,$A932+1),INDEX(Surface_Engine!$E$12:$E$72,$Q$888+1))</f>
        <v>0.00269282705059158</v>
      </c>
      <c r="C932" s="32" t="n">
        <f aca="false">INDEX(Panel_Reserving!$E$8:$E$68,$A932+1)*IF($A932&lt;$Q$888,INDEX(Surface_Engine!$E$12:$E$72,$A932+1),INDEX(Surface_Engine!$E$12:$E$72,$Q$888+1))</f>
        <v>0.00965416782053062</v>
      </c>
      <c r="D932" s="32" t="n">
        <f aca="false">INDEX(Surface_Engine!$O$12:$O$72,$A932+1)*IF($A932&lt;$Q$888,INDEX(Surface_Engine!$Y$12:$Y$72,$A932+1),INDEX(Surface_Engine!$Y$12:$Y$72,$Q$888+1))</f>
        <v>0.00241702433857349</v>
      </c>
      <c r="E932" s="32" t="n">
        <f aca="false">INDEX(Surface_Engine!$O$12:$O$72,$A932+1)*IF($A932&lt;$Q$888,INDEX(Surface_Engine!$Z$12:$Z$72,$A932+1),INDEX(Surface_Engine!$Z$12:$Z$72,$Q$888+1))</f>
        <v>0.00299722213350231</v>
      </c>
      <c r="F932" s="48" t="n">
        <f aca="false">B932*(IF($A932&lt;$Q$888,INDEX(Surface_Engine!$D$12:$D$72,$A932+1)+(Surface_Engine!L244*12)*INDEX(Surface_Engine!$F$12:$F$72,$A932+1)-(Surface_Engine!L244*12),1000*12*INDEX(Surface_Engine!$C$12:$C$72,$A932+1)/(1+Assumptions!$B$10)^17+INDEX(Surface_Engine!$D$12:$D$72,$A932+1)))*INDEX(Surface_Engine!$B$12:$B$72,$A932+1)+F933</f>
        <v>30.5984206464475</v>
      </c>
      <c r="G932" s="48" t="n">
        <f aca="false">C932*(IF($A932&lt;$Q$888,INDEX(Surface_Engine!$D$12:$D$72,$A932+1)+(Surface_Engine!L244*12)*INDEX(Surface_Engine!$F$12:$F$72,$A932+1)-(Surface_Engine!L244*12),1000*12*INDEX(Surface_Engine!$C$12:$C$72,$A932+1)/(1+Assumptions!$B$10)^17+INDEX(Surface_Engine!$D$12:$D$72,$A932+1)))*INDEX(Surface_Engine!$B$12:$B$72,$A932+1)+G933</f>
        <v>133.930107268586</v>
      </c>
      <c r="H932" s="48" t="n">
        <f aca="false">D932*(IF($A932&lt;$Q$888,INDEX(Surface_Engine!$D$12:$D$72,$A932+1)+(Surface_Engine!L244*12)*INDEX(Surface_Engine!$F$12:$F$72,$A932+1)-(Surface_Engine!L244*12),1000*12*INDEX(Surface_Engine!$C$12:$C$72,$A932+1)/(1+Assumptions!$B$10)^17+INDEX(Surface_Engine!$D$12:$D$72,$A932+1)))*INDEX(Surface_Engine!$B$12:$B$72,$A932+1)+H933</f>
        <v>27.4644921619181</v>
      </c>
      <c r="I932" s="48" t="n">
        <f aca="false">E932*(IF($A932&lt;$Q$888,INDEX(Surface_Engine!$D$12:$D$72,$A932+1)+(Surface_Engine!L244*12)*INDEX(Surface_Engine!$F$12:$F$72,$A932+1)-(Surface_Engine!L244*12),1000*12*INDEX(Surface_Engine!$C$12:$C$72,$A932+1)/(1+Assumptions!$B$10)^17+INDEX(Surface_Engine!$D$12:$D$72,$A932+1)))*INDEX(Surface_Engine!$B$12:$B$72,$A932+1)+I933</f>
        <v>34.0572424031461</v>
      </c>
      <c r="J932" s="48" t="n">
        <f aca="false">B932*(IF($A932&lt;$Q$888,INDEX(Surface_Engine!$D$12:$D$72,$A932+1)*(1+Assumptions!$B$24)+(Surface_Engine!L244*12)*INDEX(Surface_Engine!$F$12:$F$72,$A932+1)-(Surface_Engine!L244*12),1000*12*INDEX(Surface_Engine!$C$12:$C$72,$A932+1)/(1+Assumptions!$B$10)^17+INDEX(Surface_Engine!$D$12:$D$72,$A932+1)*(1+Assumptions!$B$24)))*INDEX(Surface_Engine!$B$12:$B$72,$A932+1)+J933</f>
        <v>30.6341409384495</v>
      </c>
      <c r="K932" s="12" t="n">
        <f aca="false">SQRT((IF(C932&lt;=0,0,MAX(0,(B932/C932)*G932/INDEX(Surface_Engine!$B$12:$B$72,$A932+1)-F932/INDEX(Surface_Engine!$B$12:$B$72,$A932+1))))^2+(MAX(IF(D932&lt;=0,0,MAX(0,(B932/D932)*H932/INDEX(Surface_Engine!$B$12:$B$72,$A932+1)-F932/INDEX(Surface_Engine!$B$12:$B$72,$A932+1))),IF(E932&lt;=0,0,MAX(0,(B932/E932)*I932/INDEX(Surface_Engine!$B$12:$B$72,$A932+1)-F932/INDEX(Surface_Engine!$B$12:$B$72,$A932+1))),IF($A932&lt;$Q$888,MAX(0,-Assumptions!$B$22*(F932/INDEX(Surface_Engine!$B$12:$B$72,$A932+1))),0)))^2+(MAX(0,J932/INDEX(Surface_Engine!$B$12:$B$72,$A932+1)-(F932/INDEX(Surface_Engine!$B$12:$B$72,$A932+1))))^2+2*Assumptions!$B$26*(IF(C932&lt;=0,0,MAX(0,(B932/C932)*G932/INDEX(Surface_Engine!$B$12:$B$72,$A932+1)-F932/INDEX(Surface_Engine!$B$12:$B$72,$A932+1))))*(MAX(IF(D932&lt;=0,0,MAX(0,(B932/D932)*H932/INDEX(Surface_Engine!$B$12:$B$72,$A932+1)-F932/INDEX(Surface_Engine!$B$12:$B$72,$A932+1))),IF(E932&lt;=0,0,MAX(0,(B932/E932)*I932/INDEX(Surface_Engine!$B$12:$B$72,$A932+1)-F932/INDEX(Surface_Engine!$B$12:$B$72,$A932+1))),IF($A932&lt;$Q$888,MAX(0,-Assumptions!$B$22*(F932/INDEX(Surface_Engine!$B$12:$B$72,$A932+1))),0)))+2*Assumptions!$B$27*(IF(C932&lt;=0,0,MAX(0,(B932/C932)*G932/INDEX(Surface_Engine!$B$12:$B$72,$A932+1)-F932/INDEX(Surface_Engine!$B$12:$B$72,$A932+1))))*(MAX(0,J932/INDEX(Surface_Engine!$B$12:$B$72,$A932+1)-(F932/INDEX(Surface_Engine!$B$12:$B$72,$A932+1))))+2*Assumptions!$B$28*(MAX(IF(D932&lt;=0,0,MAX(0,(B932/D932)*H932/INDEX(Surface_Engine!$B$12:$B$72,$A932+1)-F932/INDEX(Surface_Engine!$B$12:$B$72,$A932+1))),IF(E932&lt;=0,0,MAX(0,(B932/E932)*I932/INDEX(Surface_Engine!$B$12:$B$72,$A932+1)-F932/INDEX(Surface_Engine!$B$12:$B$72,$A932+1))),IF($A932&lt;$Q$888,MAX(0,-Assumptions!$B$22*(F932/INDEX(Surface_Engine!$B$12:$B$72,$A932+1))),0)))*(MAX(0,J932/INDEX(Surface_Engine!$B$12:$B$72,$A932+1)-(F932/INDEX(Surface_Engine!$B$12:$B$72,$A932+1)))))</f>
        <v>25.4500084026005</v>
      </c>
      <c r="L932" s="48" t="n">
        <f aca="false">K932*INDEX(Surface_Engine!$B$12:$B$72,$A932+1)+L933</f>
        <v>13.9704368326091</v>
      </c>
      <c r="M932" s="48" t="n">
        <f aca="false">M931+B931*(IF($A931&lt;$Q$888,(Surface_Engine!L244*12)-(Surface_Engine!L244*12)*INDEX(Surface_Engine!$F$12:$F$72,$A931+1)-INDEX(Surface_Engine!$D$12:$D$72,$A931+1),-(1000*12*INDEX(Surface_Engine!$C$12:$C$72,$A931+1)/(1+Assumptions!$B$10)^17+INDEX(Surface_Engine!$D$12:$D$72,$A931+1))))*INDEX(Surface_Engine!$B$12:$B$72,$A931+1)</f>
        <v>1310.51729240099</v>
      </c>
      <c r="N932" s="12" t="n">
        <f aca="false">IF(B932&lt;=0,0,MAX(0,(K932+Assumptions!$B$29*L932/INDEX(Surface_Engine!$B$12:$B$72,$A932+1)-(M932/INDEX(Surface_Engine!$B$12:$B$72,$A932+1)-(F932/INDEX(Surface_Engine!$B$12:$B$72,$A932+1))))/B932))</f>
        <v>0</v>
      </c>
    </row>
    <row r="933" customFormat="false" ht="15" hidden="false" customHeight="true" outlineLevel="0" collapsed="false">
      <c r="A933" s="1" t="n">
        <v>43</v>
      </c>
      <c r="B933" s="32" t="n">
        <f aca="false">INDEX(Surface_Engine!$O$12:$O$72,$A933+1)*IF($A933&lt;$Q$888,INDEX(Surface_Engine!$E$12:$E$72,$A933+1),INDEX(Surface_Engine!$E$12:$E$72,$Q$888+1))</f>
        <v>0.00150639195197499</v>
      </c>
      <c r="C933" s="32" t="n">
        <f aca="false">INDEX(Panel_Reserving!$E$8:$E$68,$A933+1)*IF($A933&lt;$Q$888,INDEX(Surface_Engine!$E$12:$E$72,$A933+1),INDEX(Surface_Engine!$E$12:$E$72,$Q$888+1))</f>
        <v>0.00625133701557535</v>
      </c>
      <c r="D933" s="32" t="n">
        <f aca="false">INDEX(Surface_Engine!$O$12:$O$72,$A933+1)*IF($A933&lt;$Q$888,INDEX(Surface_Engine!$Y$12:$Y$72,$A933+1),INDEX(Surface_Engine!$Y$12:$Y$72,$Q$888+1))</f>
        <v>0.00135210540556435</v>
      </c>
      <c r="E933" s="32" t="n">
        <f aca="false">INDEX(Surface_Engine!$O$12:$O$72,$A933+1)*IF($A933&lt;$Q$888,INDEX(Surface_Engine!$Z$12:$Z$72,$A933+1),INDEX(Surface_Engine!$Z$12:$Z$72,$Q$888+1))</f>
        <v>0.00167667333080203</v>
      </c>
      <c r="F933" s="48" t="n">
        <f aca="false">B933*(IF($A933&lt;$Q$888,INDEX(Surface_Engine!$D$12:$D$72,$A933+1)+(Surface_Engine!L244*12)*INDEX(Surface_Engine!$F$12:$F$72,$A933+1)-(Surface_Engine!L244*12),1000*12*INDEX(Surface_Engine!$C$12:$C$72,$A933+1)/(1+Assumptions!$B$10)^17+INDEX(Surface_Engine!$D$12:$D$72,$A933+1)))*INDEX(Surface_Engine!$B$12:$B$72,$A933+1)+F934</f>
        <v>16.33535545459</v>
      </c>
      <c r="G933" s="48" t="n">
        <f aca="false">C933*(IF($A933&lt;$Q$888,INDEX(Surface_Engine!$D$12:$D$72,$A933+1)+(Surface_Engine!L244*12)*INDEX(Surface_Engine!$F$12:$F$72,$A933+1)-(Surface_Engine!L244*12),1000*12*INDEX(Surface_Engine!$C$12:$C$72,$A933+1)/(1+Assumptions!$B$10)^17+INDEX(Surface_Engine!$D$12:$D$72,$A933+1)))*INDEX(Surface_Engine!$B$12:$B$72,$A933+1)+G934</f>
        <v>82.7949907496431</v>
      </c>
      <c r="H933" s="48" t="n">
        <f aca="false">D933*(IF($A933&lt;$Q$888,INDEX(Surface_Engine!$D$12:$D$72,$A933+1)+(Surface_Engine!L244*12)*INDEX(Surface_Engine!$F$12:$F$72,$A933+1)-(Surface_Engine!L244*12),1000*12*INDEX(Surface_Engine!$C$12:$C$72,$A933+1)/(1+Assumptions!$B$10)^17+INDEX(Surface_Engine!$D$12:$D$72,$A933+1)))*INDEX(Surface_Engine!$B$12:$B$72,$A933+1)+H934</f>
        <v>14.6622679329961</v>
      </c>
      <c r="I933" s="48" t="n">
        <f aca="false">E933*(IF($A933&lt;$Q$888,INDEX(Surface_Engine!$D$12:$D$72,$A933+1)+(Surface_Engine!L244*12)*INDEX(Surface_Engine!$F$12:$F$72,$A933+1)-(Surface_Engine!L244*12),1000*12*INDEX(Surface_Engine!$C$12:$C$72,$A933+1)/(1+Assumptions!$B$10)^17+INDEX(Surface_Engine!$D$12:$D$72,$A933+1)))*INDEX(Surface_Engine!$B$12:$B$72,$A933+1)+I934</f>
        <v>18.1818913755968</v>
      </c>
      <c r="J933" s="48" t="n">
        <f aca="false">B933*(IF($A933&lt;$Q$888,INDEX(Surface_Engine!$D$12:$D$72,$A933+1)*(1+Assumptions!$B$24)+(Surface_Engine!L244*12)*INDEX(Surface_Engine!$F$12:$F$72,$A933+1)-(Surface_Engine!L244*12),1000*12*INDEX(Surface_Engine!$C$12:$C$72,$A933+1)/(1+Assumptions!$B$10)^17+INDEX(Surface_Engine!$D$12:$D$72,$A933+1)*(1+Assumptions!$B$24)))*INDEX(Surface_Engine!$B$12:$B$72,$A933+1)+J934</f>
        <v>16.3545115492243</v>
      </c>
      <c r="K933" s="12" t="n">
        <f aca="false">SQRT((IF(C933&lt;=0,0,MAX(0,(B933/C933)*G933/INDEX(Surface_Engine!$B$12:$B$72,$A933+1)-F933/INDEX(Surface_Engine!$B$12:$B$72,$A933+1))))^2+(MAX(IF(D933&lt;=0,0,MAX(0,(B933/D933)*H933/INDEX(Surface_Engine!$B$12:$B$72,$A933+1)-F933/INDEX(Surface_Engine!$B$12:$B$72,$A933+1))),IF(E933&lt;=0,0,MAX(0,(B933/E933)*I933/INDEX(Surface_Engine!$B$12:$B$72,$A933+1)-F933/INDEX(Surface_Engine!$B$12:$B$72,$A933+1))),IF($A933&lt;$Q$888,MAX(0,-Assumptions!$B$22*(F933/INDEX(Surface_Engine!$B$12:$B$72,$A933+1))),0)))^2+(MAX(0,J933/INDEX(Surface_Engine!$B$12:$B$72,$A933+1)-(F933/INDEX(Surface_Engine!$B$12:$B$72,$A933+1))))^2+2*Assumptions!$B$26*(IF(C933&lt;=0,0,MAX(0,(B933/C933)*G933/INDEX(Surface_Engine!$B$12:$B$72,$A933+1)-F933/INDEX(Surface_Engine!$B$12:$B$72,$A933+1))))*(MAX(IF(D933&lt;=0,0,MAX(0,(B933/D933)*H933/INDEX(Surface_Engine!$B$12:$B$72,$A933+1)-F933/INDEX(Surface_Engine!$B$12:$B$72,$A933+1))),IF(E933&lt;=0,0,MAX(0,(B933/E933)*I933/INDEX(Surface_Engine!$B$12:$B$72,$A933+1)-F933/INDEX(Surface_Engine!$B$12:$B$72,$A933+1))),IF($A933&lt;$Q$888,MAX(0,-Assumptions!$B$22*(F933/INDEX(Surface_Engine!$B$12:$B$72,$A933+1))),0)))+2*Assumptions!$B$27*(IF(C933&lt;=0,0,MAX(0,(B933/C933)*G933/INDEX(Surface_Engine!$B$12:$B$72,$A933+1)-F933/INDEX(Surface_Engine!$B$12:$B$72,$A933+1))))*(MAX(0,J933/INDEX(Surface_Engine!$B$12:$B$72,$A933+1)-(F933/INDEX(Surface_Engine!$B$12:$B$72,$A933+1))))+2*Assumptions!$B$28*(MAX(IF(D933&lt;=0,0,MAX(0,(B933/D933)*H933/INDEX(Surface_Engine!$B$12:$B$72,$A933+1)-F933/INDEX(Surface_Engine!$B$12:$B$72,$A933+1))),IF(E933&lt;=0,0,MAX(0,(B933/E933)*I933/INDEX(Surface_Engine!$B$12:$B$72,$A933+1)-F933/INDEX(Surface_Engine!$B$12:$B$72,$A933+1))),IF($A933&lt;$Q$888,MAX(0,-Assumptions!$B$22*(F933/INDEX(Surface_Engine!$B$12:$B$72,$A933+1))),0)))*(MAX(0,J933/INDEX(Surface_Engine!$B$12:$B$72,$A933+1)-(F933/INDEX(Surface_Engine!$B$12:$B$72,$A933+1)))))</f>
        <v>14.0638293211583</v>
      </c>
      <c r="L933" s="48" t="n">
        <f aca="false">K933*INDEX(Surface_Engine!$B$12:$B$72,$A933+1)+L934</f>
        <v>7.20285265298891</v>
      </c>
      <c r="M933" s="48" t="n">
        <f aca="false">M932+B932*(IF($A932&lt;$Q$888,(Surface_Engine!L244*12)-(Surface_Engine!L244*12)*INDEX(Surface_Engine!$F$12:$F$72,$A932+1)-INDEX(Surface_Engine!$D$12:$D$72,$A932+1),-(1000*12*INDEX(Surface_Engine!$C$12:$C$72,$A932+1)/(1+Assumptions!$B$10)^17+INDEX(Surface_Engine!$D$12:$D$72,$A932+1))))*INDEX(Surface_Engine!$B$12:$B$72,$A932+1)</f>
        <v>1296.25422720914</v>
      </c>
      <c r="N933" s="12" t="n">
        <f aca="false">IF(B933&lt;=0,0,MAX(0,(K933+Assumptions!$B$29*L933/INDEX(Surface_Engine!$B$12:$B$72,$A933+1)-(M933/INDEX(Surface_Engine!$B$12:$B$72,$A933+1)-(F933/INDEX(Surface_Engine!$B$12:$B$72,$A933+1))))/B933))</f>
        <v>0</v>
      </c>
    </row>
    <row r="934" customFormat="false" ht="15" hidden="false" customHeight="true" outlineLevel="0" collapsed="false">
      <c r="A934" s="1" t="n">
        <v>44</v>
      </c>
      <c r="B934" s="32" t="n">
        <f aca="false">INDEX(Surface_Engine!$O$12:$O$72,$A934+1)*IF($A934&lt;$Q$888,INDEX(Surface_Engine!$E$12:$E$72,$A934+1),INDEX(Surface_Engine!$E$12:$E$72,$Q$888+1))</f>
        <v>0.000816105707466108</v>
      </c>
      <c r="C934" s="32" t="n">
        <f aca="false">INDEX(Panel_Reserving!$E$8:$E$68,$A934+1)*IF($A934&lt;$Q$888,INDEX(Surface_Engine!$E$12:$E$72,$A934+1),INDEX(Surface_Engine!$E$12:$E$72,$Q$888+1))</f>
        <v>0.00395965618391222</v>
      </c>
      <c r="D934" s="32" t="n">
        <f aca="false">INDEX(Surface_Engine!$O$12:$O$72,$A934+1)*IF($A934&lt;$Q$888,INDEX(Surface_Engine!$Y$12:$Y$72,$A934+1),INDEX(Surface_Engine!$Y$12:$Y$72,$Q$888+1))</f>
        <v>0.000732519140938139</v>
      </c>
      <c r="E934" s="32" t="n">
        <f aca="false">INDEX(Surface_Engine!$O$12:$O$72,$A934+1)*IF($A934&lt;$Q$888,INDEX(Surface_Engine!$Z$12:$Z$72,$A934+1),INDEX(Surface_Engine!$Z$12:$Z$72,$Q$888+1))</f>
        <v>0.000908357664172162</v>
      </c>
      <c r="F934" s="48" t="n">
        <f aca="false">B934*(IF($A934&lt;$Q$888,INDEX(Surface_Engine!$D$12:$D$72,$A934+1)+(Surface_Engine!L244*12)*INDEX(Surface_Engine!$F$12:$F$72,$A934+1)-(Surface_Engine!L244*12),1000*12*INDEX(Surface_Engine!$C$12:$C$72,$A934+1)/(1+Assumptions!$B$10)^17+INDEX(Surface_Engine!$D$12:$D$72,$A934+1)))*INDEX(Surface_Engine!$B$12:$B$72,$A934+1)+F935</f>
        <v>8.45567033998955</v>
      </c>
      <c r="G934" s="48" t="n">
        <f aca="false">C934*(IF($A934&lt;$Q$888,INDEX(Surface_Engine!$D$12:$D$72,$A934+1)+(Surface_Engine!L244*12)*INDEX(Surface_Engine!$F$12:$F$72,$A934+1)-(Surface_Engine!L244*12),1000*12*INDEX(Surface_Engine!$C$12:$C$72,$A934+1)/(1+Assumptions!$B$10)^17+INDEX(Surface_Engine!$D$12:$D$72,$A934+1)))*INDEX(Surface_Engine!$B$12:$B$72,$A934+1)+G935</f>
        <v>50.0952892122057</v>
      </c>
      <c r="H934" s="48" t="n">
        <f aca="false">D934*(IF($A934&lt;$Q$888,INDEX(Surface_Engine!$D$12:$D$72,$A934+1)+(Surface_Engine!L244*12)*INDEX(Surface_Engine!$F$12:$F$72,$A934+1)-(Surface_Engine!L244*12),1000*12*INDEX(Surface_Engine!$C$12:$C$72,$A934+1)/(1+Assumptions!$B$10)^17+INDEX(Surface_Engine!$D$12:$D$72,$A934+1)))*INDEX(Surface_Engine!$B$12:$B$72,$A934+1)+H935</f>
        <v>7.58963001586712</v>
      </c>
      <c r="I934" s="48" t="n">
        <f aca="false">E934*(IF($A934&lt;$Q$888,INDEX(Surface_Engine!$D$12:$D$72,$A934+1)+(Surface_Engine!L244*12)*INDEX(Surface_Engine!$F$12:$F$72,$A934+1)-(Surface_Engine!L244*12),1000*12*INDEX(Surface_Engine!$C$12:$C$72,$A934+1)/(1+Assumptions!$B$10)^17+INDEX(Surface_Engine!$D$12:$D$72,$A934+1)))*INDEX(Surface_Engine!$B$12:$B$72,$A934+1)+I935</f>
        <v>9.41149276224332</v>
      </c>
      <c r="J934" s="48" t="n">
        <f aca="false">B934*(IF($A934&lt;$Q$888,INDEX(Surface_Engine!$D$12:$D$72,$A934+1)*(1+Assumptions!$B$24)+(Surface_Engine!L244*12)*INDEX(Surface_Engine!$F$12:$F$72,$A934+1)-(Surface_Engine!L244*12),1000*12*INDEX(Surface_Engine!$C$12:$C$72,$A934+1)/(1+Assumptions!$B$10)^17+INDEX(Surface_Engine!$D$12:$D$72,$A934+1)*(1+Assumptions!$B$24)))*INDEX(Surface_Engine!$B$12:$B$72,$A934+1)+J935</f>
        <v>8.46563114605712</v>
      </c>
      <c r="K934" s="12" t="n">
        <f aca="false">SQRT((IF(C934&lt;=0,0,MAX(0,(B934/C934)*G934/INDEX(Surface_Engine!$B$12:$B$72,$A934+1)-F934/INDEX(Surface_Engine!$B$12:$B$72,$A934+1))))^2+(MAX(IF(D934&lt;=0,0,MAX(0,(B934/D934)*H934/INDEX(Surface_Engine!$B$12:$B$72,$A934+1)-F934/INDEX(Surface_Engine!$B$12:$B$72,$A934+1))),IF(E934&lt;=0,0,MAX(0,(B934/E934)*I934/INDEX(Surface_Engine!$B$12:$B$72,$A934+1)-F934/INDEX(Surface_Engine!$B$12:$B$72,$A934+1))),IF($A934&lt;$Q$888,MAX(0,-Assumptions!$B$22*(F934/INDEX(Surface_Engine!$B$12:$B$72,$A934+1))),0)))^2+(MAX(0,J934/INDEX(Surface_Engine!$B$12:$B$72,$A934+1)-(F934/INDEX(Surface_Engine!$B$12:$B$72,$A934+1))))^2+2*Assumptions!$B$26*(IF(C934&lt;=0,0,MAX(0,(B934/C934)*G934/INDEX(Surface_Engine!$B$12:$B$72,$A934+1)-F934/INDEX(Surface_Engine!$B$12:$B$72,$A934+1))))*(MAX(IF(D934&lt;=0,0,MAX(0,(B934/D934)*H934/INDEX(Surface_Engine!$B$12:$B$72,$A934+1)-F934/INDEX(Surface_Engine!$B$12:$B$72,$A934+1))),IF(E934&lt;=0,0,MAX(0,(B934/E934)*I934/INDEX(Surface_Engine!$B$12:$B$72,$A934+1)-F934/INDEX(Surface_Engine!$B$12:$B$72,$A934+1))),IF($A934&lt;$Q$888,MAX(0,-Assumptions!$B$22*(F934/INDEX(Surface_Engine!$B$12:$B$72,$A934+1))),0)))+2*Assumptions!$B$27*(IF(C934&lt;=0,0,MAX(0,(B934/C934)*G934/INDEX(Surface_Engine!$B$12:$B$72,$A934+1)-F934/INDEX(Surface_Engine!$B$12:$B$72,$A934+1))))*(MAX(0,J934/INDEX(Surface_Engine!$B$12:$B$72,$A934+1)-(F934/INDEX(Surface_Engine!$B$12:$B$72,$A934+1))))+2*Assumptions!$B$28*(MAX(IF(D934&lt;=0,0,MAX(0,(B934/D934)*H934/INDEX(Surface_Engine!$B$12:$B$72,$A934+1)-F934/INDEX(Surface_Engine!$B$12:$B$72,$A934+1))),IF(E934&lt;=0,0,MAX(0,(B934/E934)*I934/INDEX(Surface_Engine!$B$12:$B$72,$A934+1)-F934/INDEX(Surface_Engine!$B$12:$B$72,$A934+1))),IF($A934&lt;$Q$888,MAX(0,-Assumptions!$B$22*(F934/INDEX(Surface_Engine!$B$12:$B$72,$A934+1))),0)))*(MAX(0,J934/INDEX(Surface_Engine!$B$12:$B$72,$A934+1)-(F934/INDEX(Surface_Engine!$B$12:$B$72,$A934+1)))))</f>
        <v>7.50670317511723</v>
      </c>
      <c r="L934" s="48" t="n">
        <f aca="false">K934*INDEX(Surface_Engine!$B$12:$B$72,$A934+1)+L935</f>
        <v>3.58216635075751</v>
      </c>
      <c r="M934" s="48" t="n">
        <f aca="false">M933+B933*(IF($A933&lt;$Q$888,(Surface_Engine!L244*12)-(Surface_Engine!L244*12)*INDEX(Surface_Engine!$F$12:$F$72,$A933+1)-INDEX(Surface_Engine!$D$12:$D$72,$A933+1),-(1000*12*INDEX(Surface_Engine!$C$12:$C$72,$A933+1)/(1+Assumptions!$B$10)^17+INDEX(Surface_Engine!$D$12:$D$72,$A933+1))))*INDEX(Surface_Engine!$B$12:$B$72,$A933+1)</f>
        <v>1288.37454209454</v>
      </c>
      <c r="N934" s="12" t="n">
        <f aca="false">IF(B934&lt;=0,0,MAX(0,(K934+Assumptions!$B$29*L934/INDEX(Surface_Engine!$B$12:$B$72,$A934+1)-(M934/INDEX(Surface_Engine!$B$12:$B$72,$A934+1)-(F934/INDEX(Surface_Engine!$B$12:$B$72,$A934+1))))/B934))</f>
        <v>0</v>
      </c>
    </row>
    <row r="935" customFormat="false" ht="15" hidden="false" customHeight="true" outlineLevel="0" collapsed="false">
      <c r="A935" s="1" t="n">
        <v>45</v>
      </c>
      <c r="B935" s="32" t="n">
        <f aca="false">INDEX(Surface_Engine!$O$12:$O$72,$A935+1)*IF($A935&lt;$Q$888,INDEX(Surface_Engine!$E$12:$E$72,$A935+1),INDEX(Surface_Engine!$E$12:$E$72,$Q$888+1))</f>
        <v>0.000427791531675359</v>
      </c>
      <c r="C935" s="32" t="n">
        <f aca="false">INDEX(Panel_Reserving!$E$8:$E$68,$A935+1)*IF($A935&lt;$Q$888,INDEX(Surface_Engine!$E$12:$E$72,$A935+1),INDEX(Surface_Engine!$E$12:$E$72,$Q$888+1))</f>
        <v>0.002452409646211</v>
      </c>
      <c r="D935" s="32" t="n">
        <f aca="false">INDEX(Surface_Engine!$O$12:$O$72,$A935+1)*IF($A935&lt;$Q$888,INDEX(Surface_Engine!$Y$12:$Y$72,$A935+1),INDEX(Surface_Engine!$Y$12:$Y$72,$Q$888+1))</f>
        <v>0.000383976588347115</v>
      </c>
      <c r="E935" s="32" t="n">
        <f aca="false">INDEX(Surface_Engine!$O$12:$O$72,$A935+1)*IF($A935&lt;$Q$888,INDEX(Surface_Engine!$Z$12:$Z$72,$A935+1),INDEX(Surface_Engine!$Z$12:$Z$72,$Q$888+1))</f>
        <v>0.000476148754885896</v>
      </c>
      <c r="F935" s="48" t="n">
        <f aca="false">B935*(IF($A935&lt;$Q$888,INDEX(Surface_Engine!$D$12:$D$72,$A935+1)+(Surface_Engine!L244*12)*INDEX(Surface_Engine!$F$12:$F$72,$A935+1)-(Surface_Engine!L244*12),1000*12*INDEX(Surface_Engine!$C$12:$C$72,$A935+1)/(1+Assumptions!$B$10)^17+INDEX(Surface_Engine!$D$12:$D$72,$A935+1)))*INDEX(Surface_Engine!$B$12:$B$72,$A935+1)+F936</f>
        <v>4.23819835324233</v>
      </c>
      <c r="G935" s="48" t="n">
        <f aca="false">C935*(IF($A935&lt;$Q$888,INDEX(Surface_Engine!$D$12:$D$72,$A935+1)+(Surface_Engine!L244*12)*INDEX(Surface_Engine!$F$12:$F$72,$A935+1)-(Surface_Engine!L244*12),1000*12*INDEX(Surface_Engine!$C$12:$C$72,$A935+1)/(1+Assumptions!$B$10)^17+INDEX(Surface_Engine!$D$12:$D$72,$A935+1)))*INDEX(Surface_Engine!$B$12:$B$72,$A935+1)+G936</f>
        <v>29.632573561496</v>
      </c>
      <c r="H935" s="48" t="n">
        <f aca="false">D935*(IF($A935&lt;$Q$888,INDEX(Surface_Engine!$D$12:$D$72,$A935+1)+(Surface_Engine!L244*12)*INDEX(Surface_Engine!$F$12:$F$72,$A935+1)-(Surface_Engine!L244*12),1000*12*INDEX(Surface_Engine!$C$12:$C$72,$A935+1)/(1+Assumptions!$B$10)^17+INDEX(Surface_Engine!$D$12:$D$72,$A935+1)))*INDEX(Surface_Engine!$B$12:$B$72,$A935+1)+H936</f>
        <v>3.80411678100099</v>
      </c>
      <c r="I935" s="48" t="n">
        <f aca="false">E935*(IF($A935&lt;$Q$888,INDEX(Surface_Engine!$D$12:$D$72,$A935+1)+(Surface_Engine!L244*12)*INDEX(Surface_Engine!$F$12:$F$72,$A935+1)-(Surface_Engine!L244*12),1000*12*INDEX(Surface_Engine!$C$12:$C$72,$A935+1)/(1+Assumptions!$B$10)^17+INDEX(Surface_Engine!$D$12:$D$72,$A935+1)))*INDEX(Surface_Engine!$B$12:$B$72,$A935+1)+I936</f>
        <v>4.71728101057225</v>
      </c>
      <c r="J935" s="48" t="n">
        <f aca="false">B935*(IF($A935&lt;$Q$888,INDEX(Surface_Engine!$D$12:$D$72,$A935+1)*(1+Assumptions!$B$24)+(Surface_Engine!L244*12)*INDEX(Surface_Engine!$F$12:$F$72,$A935+1)-(Surface_Engine!L244*12),1000*12*INDEX(Surface_Engine!$C$12:$C$72,$A935+1)/(1+Assumptions!$B$10)^17+INDEX(Surface_Engine!$D$12:$D$72,$A935+1)*(1+Assumptions!$B$24)))*INDEX(Surface_Engine!$B$12:$B$72,$A935+1)+J936</f>
        <v>4.24321368946954</v>
      </c>
      <c r="K935" s="12" t="n">
        <f aca="false">SQRT((IF(C935&lt;=0,0,MAX(0,(B935/C935)*G935/INDEX(Surface_Engine!$B$12:$B$72,$A935+1)-F935/INDEX(Surface_Engine!$B$12:$B$72,$A935+1))))^2+(MAX(IF(D935&lt;=0,0,MAX(0,(B935/D935)*H935/INDEX(Surface_Engine!$B$12:$B$72,$A935+1)-F935/INDEX(Surface_Engine!$B$12:$B$72,$A935+1))),IF(E935&lt;=0,0,MAX(0,(B935/E935)*I935/INDEX(Surface_Engine!$B$12:$B$72,$A935+1)-F935/INDEX(Surface_Engine!$B$12:$B$72,$A935+1))),IF($A935&lt;$Q$888,MAX(0,-Assumptions!$B$22*(F935/INDEX(Surface_Engine!$B$12:$B$72,$A935+1))),0)))^2+(MAX(0,J935/INDEX(Surface_Engine!$B$12:$B$72,$A935+1)-(F935/INDEX(Surface_Engine!$B$12:$B$72,$A935+1))))^2+2*Assumptions!$B$26*(IF(C935&lt;=0,0,MAX(0,(B935/C935)*G935/INDEX(Surface_Engine!$B$12:$B$72,$A935+1)-F935/INDEX(Surface_Engine!$B$12:$B$72,$A935+1))))*(MAX(IF(D935&lt;=0,0,MAX(0,(B935/D935)*H935/INDEX(Surface_Engine!$B$12:$B$72,$A935+1)-F935/INDEX(Surface_Engine!$B$12:$B$72,$A935+1))),IF(E935&lt;=0,0,MAX(0,(B935/E935)*I935/INDEX(Surface_Engine!$B$12:$B$72,$A935+1)-F935/INDEX(Surface_Engine!$B$12:$B$72,$A935+1))),IF($A935&lt;$Q$888,MAX(0,-Assumptions!$B$22*(F935/INDEX(Surface_Engine!$B$12:$B$72,$A935+1))),0)))+2*Assumptions!$B$27*(IF(C935&lt;=0,0,MAX(0,(B935/C935)*G935/INDEX(Surface_Engine!$B$12:$B$72,$A935+1)-F935/INDEX(Surface_Engine!$B$12:$B$72,$A935+1))))*(MAX(0,J935/INDEX(Surface_Engine!$B$12:$B$72,$A935+1)-(F935/INDEX(Surface_Engine!$B$12:$B$72,$A935+1))))+2*Assumptions!$B$28*(MAX(IF(D935&lt;=0,0,MAX(0,(B935/D935)*H935/INDEX(Surface_Engine!$B$12:$B$72,$A935+1)-F935/INDEX(Surface_Engine!$B$12:$B$72,$A935+1))),IF(E935&lt;=0,0,MAX(0,(B935/E935)*I935/INDEX(Surface_Engine!$B$12:$B$72,$A935+1)-F935/INDEX(Surface_Engine!$B$12:$B$72,$A935+1))),IF($A935&lt;$Q$888,MAX(0,-Assumptions!$B$22*(F935/INDEX(Surface_Engine!$B$12:$B$72,$A935+1))),0)))*(MAX(0,J935/INDEX(Surface_Engine!$B$12:$B$72,$A935+1)-(F935/INDEX(Surface_Engine!$B$12:$B$72,$A935+1)))))</f>
        <v>3.86144135864698</v>
      </c>
      <c r="L935" s="48" t="n">
        <f aca="false">K935*INDEX(Surface_Engine!$B$12:$B$72,$A935+1)+L936</f>
        <v>1.71042232086183</v>
      </c>
      <c r="M935" s="48" t="n">
        <f aca="false">M934+B934*(IF($A934&lt;$Q$888,(Surface_Engine!L244*12)-(Surface_Engine!L244*12)*INDEX(Surface_Engine!$F$12:$F$72,$A934+1)-INDEX(Surface_Engine!$D$12:$D$72,$A934+1),-(1000*12*INDEX(Surface_Engine!$C$12:$C$72,$A934+1)/(1+Assumptions!$B$10)^17+INDEX(Surface_Engine!$D$12:$D$72,$A934+1))))*INDEX(Surface_Engine!$B$12:$B$72,$A934+1)</f>
        <v>1284.15707010779</v>
      </c>
      <c r="N935" s="12" t="n">
        <f aca="false">IF(B935&lt;=0,0,MAX(0,(K935+Assumptions!$B$29*L935/INDEX(Surface_Engine!$B$12:$B$72,$A935+1)-(M935/INDEX(Surface_Engine!$B$12:$B$72,$A935+1)-(F935/INDEX(Surface_Engine!$B$12:$B$72,$A935+1))))/B935))</f>
        <v>0</v>
      </c>
    </row>
    <row r="936" customFormat="false" ht="15" hidden="false" customHeight="true" outlineLevel="0" collapsed="false">
      <c r="A936" s="1" t="n">
        <v>46</v>
      </c>
      <c r="B936" s="32" t="n">
        <f aca="false">INDEX(Surface_Engine!$O$12:$O$72,$A936+1)*IF($A936&lt;$Q$888,INDEX(Surface_Engine!$E$12:$E$72,$A936+1),INDEX(Surface_Engine!$E$12:$E$72,$Q$888+1))</f>
        <v>0.000216777790887997</v>
      </c>
      <c r="C936" s="32" t="n">
        <f aca="false">INDEX(Panel_Reserving!$E$8:$E$68,$A936+1)*IF($A936&lt;$Q$888,INDEX(Surface_Engine!$E$12:$E$72,$A936+1),INDEX(Surface_Engine!$E$12:$E$72,$Q$888+1))</f>
        <v>0.00148466326495218</v>
      </c>
      <c r="D936" s="32" t="n">
        <f aca="false">INDEX(Surface_Engine!$O$12:$O$72,$A936+1)*IF($A936&lt;$Q$888,INDEX(Surface_Engine!$Y$12:$Y$72,$A936+1),INDEX(Surface_Engine!$Y$12:$Y$72,$Q$888+1))</f>
        <v>0.000194575138616265</v>
      </c>
      <c r="E936" s="32" t="n">
        <f aca="false">INDEX(Surface_Engine!$O$12:$O$72,$A936+1)*IF($A936&lt;$Q$888,INDEX(Surface_Engine!$Z$12:$Z$72,$A936+1),INDEX(Surface_Engine!$Z$12:$Z$72,$Q$888+1))</f>
        <v>0.00024128218437144</v>
      </c>
      <c r="F936" s="48" t="n">
        <f aca="false">B936*(IF($A936&lt;$Q$888,INDEX(Surface_Engine!$D$12:$D$72,$A936+1)+(Surface_Engine!L244*12)*INDEX(Surface_Engine!$F$12:$F$72,$A936+1)-(Surface_Engine!L244*12),1000*12*INDEX(Surface_Engine!$C$12:$C$72,$A936+1)/(1+Assumptions!$B$10)^17+INDEX(Surface_Engine!$D$12:$D$72,$A936+1)))*INDEX(Surface_Engine!$B$12:$B$72,$A936+1)+F937</f>
        <v>2.0550902611121</v>
      </c>
      <c r="G936" s="48" t="n">
        <f aca="false">C936*(IF($A936&lt;$Q$888,INDEX(Surface_Engine!$D$12:$D$72,$A936+1)+(Surface_Engine!L244*12)*INDEX(Surface_Engine!$F$12:$F$72,$A936+1)-(Surface_Engine!L244*12),1000*12*INDEX(Surface_Engine!$C$12:$C$72,$A936+1)/(1+Assumptions!$B$10)^17+INDEX(Surface_Engine!$D$12:$D$72,$A936+1)))*INDEX(Surface_Engine!$B$12:$B$72,$A936+1)+G937</f>
        <v>17.1174231963308</v>
      </c>
      <c r="H936" s="48" t="n">
        <f aca="false">D936*(IF($A936&lt;$Q$888,INDEX(Surface_Engine!$D$12:$D$72,$A936+1)+(Surface_Engine!L244*12)*INDEX(Surface_Engine!$F$12:$F$72,$A936+1)-(Surface_Engine!L244*12),1000*12*INDEX(Surface_Engine!$C$12:$C$72,$A936+1)/(1+Assumptions!$B$10)^17+INDEX(Surface_Engine!$D$12:$D$72,$A936+1)))*INDEX(Surface_Engine!$B$12:$B$72,$A936+1)+H937</f>
        <v>1.84460534811624</v>
      </c>
      <c r="I936" s="48" t="n">
        <f aca="false">E936*(IF($A936&lt;$Q$888,INDEX(Surface_Engine!$D$12:$D$72,$A936+1)+(Surface_Engine!L244*12)*INDEX(Surface_Engine!$F$12:$F$72,$A936+1)-(Surface_Engine!L244*12),1000*12*INDEX(Surface_Engine!$C$12:$C$72,$A936+1)/(1+Assumptions!$B$10)^17+INDEX(Surface_Engine!$D$12:$D$72,$A936+1)))*INDEX(Surface_Engine!$B$12:$B$72,$A936+1)+I937</f>
        <v>2.28739607157357</v>
      </c>
      <c r="J936" s="48" t="n">
        <f aca="false">B936*(IF($A936&lt;$Q$888,INDEX(Surface_Engine!$D$12:$D$72,$A936+1)*(1+Assumptions!$B$24)+(Surface_Engine!L244*12)*INDEX(Surface_Engine!$F$12:$F$72,$A936+1)-(Surface_Engine!L244*12),1000*12*INDEX(Surface_Engine!$C$12:$C$72,$A936+1)/(1+Assumptions!$B$10)^17+INDEX(Surface_Engine!$D$12:$D$72,$A936+1)*(1+Assumptions!$B$24)))*INDEX(Surface_Engine!$B$12:$B$72,$A936+1)+J937</f>
        <v>2.05753325171204</v>
      </c>
      <c r="K936" s="12" t="n">
        <f aca="false">SQRT((IF(C936&lt;=0,0,MAX(0,(B936/C936)*G936/INDEX(Surface_Engine!$B$12:$B$72,$A936+1)-F936/INDEX(Surface_Engine!$B$12:$B$72,$A936+1))))^2+(MAX(IF(D936&lt;=0,0,MAX(0,(B936/D936)*H936/INDEX(Surface_Engine!$B$12:$B$72,$A936+1)-F936/INDEX(Surface_Engine!$B$12:$B$72,$A936+1))),IF(E936&lt;=0,0,MAX(0,(B936/E936)*I936/INDEX(Surface_Engine!$B$12:$B$72,$A936+1)-F936/INDEX(Surface_Engine!$B$12:$B$72,$A936+1))),IF($A936&lt;$Q$888,MAX(0,-Assumptions!$B$22*(F936/INDEX(Surface_Engine!$B$12:$B$72,$A936+1))),0)))^2+(MAX(0,J936/INDEX(Surface_Engine!$B$12:$B$72,$A936+1)-(F936/INDEX(Surface_Engine!$B$12:$B$72,$A936+1))))^2+2*Assumptions!$B$26*(IF(C936&lt;=0,0,MAX(0,(B936/C936)*G936/INDEX(Surface_Engine!$B$12:$B$72,$A936+1)-F936/INDEX(Surface_Engine!$B$12:$B$72,$A936+1))))*(MAX(IF(D936&lt;=0,0,MAX(0,(B936/D936)*H936/INDEX(Surface_Engine!$B$12:$B$72,$A936+1)-F936/INDEX(Surface_Engine!$B$12:$B$72,$A936+1))),IF(E936&lt;=0,0,MAX(0,(B936/E936)*I936/INDEX(Surface_Engine!$B$12:$B$72,$A936+1)-F936/INDEX(Surface_Engine!$B$12:$B$72,$A936+1))),IF($A936&lt;$Q$888,MAX(0,-Assumptions!$B$22*(F936/INDEX(Surface_Engine!$B$12:$B$72,$A936+1))),0)))+2*Assumptions!$B$27*(IF(C936&lt;=0,0,MAX(0,(B936/C936)*G936/INDEX(Surface_Engine!$B$12:$B$72,$A936+1)-F936/INDEX(Surface_Engine!$B$12:$B$72,$A936+1))))*(MAX(0,J936/INDEX(Surface_Engine!$B$12:$B$72,$A936+1)-(F936/INDEX(Surface_Engine!$B$12:$B$72,$A936+1))))+2*Assumptions!$B$28*(MAX(IF(D936&lt;=0,0,MAX(0,(B936/D936)*H936/INDEX(Surface_Engine!$B$12:$B$72,$A936+1)-F936/INDEX(Surface_Engine!$B$12:$B$72,$A936+1))),IF(E936&lt;=0,0,MAX(0,(B936/E936)*I936/INDEX(Surface_Engine!$B$12:$B$72,$A936+1)-F936/INDEX(Surface_Engine!$B$12:$B$72,$A936+1))),IF($A936&lt;$Q$888,MAX(0,-Assumptions!$B$22*(F936/INDEX(Surface_Engine!$B$12:$B$72,$A936+1))),0)))*(MAX(0,J936/INDEX(Surface_Engine!$B$12:$B$72,$A936+1)-(F936/INDEX(Surface_Engine!$B$12:$B$72,$A936+1)))))</f>
        <v>1.90296604798462</v>
      </c>
      <c r="L936" s="48" t="n">
        <f aca="false">K936*INDEX(Surface_Engine!$B$12:$B$72,$A936+1)+L937</f>
        <v>0.778330307522272</v>
      </c>
      <c r="M936" s="48" t="n">
        <f aca="false">M935+B935*(IF($A935&lt;$Q$888,(Surface_Engine!L244*12)-(Surface_Engine!L244*12)*INDEX(Surface_Engine!$F$12:$F$72,$A935+1)-INDEX(Surface_Engine!$D$12:$D$72,$A935+1),-(1000*12*INDEX(Surface_Engine!$C$12:$C$72,$A935+1)/(1+Assumptions!$B$10)^17+INDEX(Surface_Engine!$D$12:$D$72,$A935+1))))*INDEX(Surface_Engine!$B$12:$B$72,$A935+1)</f>
        <v>1281.97396201566</v>
      </c>
      <c r="N936" s="12" t="n">
        <f aca="false">IF(B936&lt;=0,0,MAX(0,(K936+Assumptions!$B$29*L936/INDEX(Surface_Engine!$B$12:$B$72,$A936+1)-(M936/INDEX(Surface_Engine!$B$12:$B$72,$A936+1)-(F936/INDEX(Surface_Engine!$B$12:$B$72,$A936+1))))/B936))</f>
        <v>0</v>
      </c>
    </row>
    <row r="937" customFormat="false" ht="15" hidden="false" customHeight="true" outlineLevel="0" collapsed="false">
      <c r="A937" s="1" t="n">
        <v>47</v>
      </c>
      <c r="B937" s="32" t="n">
        <f aca="false">INDEX(Surface_Engine!$O$12:$O$72,$A937+1)*IF($A937&lt;$Q$888,INDEX(Surface_Engine!$E$12:$E$72,$A937+1),INDEX(Surface_Engine!$E$12:$E$72,$Q$888+1))</f>
        <v>0.000106105220496226</v>
      </c>
      <c r="C937" s="32" t="n">
        <f aca="false">INDEX(Panel_Reserving!$E$8:$E$68,$A937+1)*IF($A937&lt;$Q$888,INDEX(Surface_Engine!$E$12:$E$72,$A937+1),INDEX(Surface_Engine!$E$12:$E$72,$Q$888+1))</f>
        <v>0.000878285650251265</v>
      </c>
      <c r="D937" s="32" t="n">
        <f aca="false">INDEX(Surface_Engine!$O$12:$O$72,$A937+1)*IF($A937&lt;$Q$888,INDEX(Surface_Engine!$Y$12:$Y$72,$A937+1),INDEX(Surface_Engine!$Y$12:$Y$72,$Q$888+1))</f>
        <v>9.52377912026487E-005</v>
      </c>
      <c r="E937" s="32" t="n">
        <f aca="false">INDEX(Surface_Engine!$O$12:$O$72,$A937+1)*IF($A937&lt;$Q$888,INDEX(Surface_Engine!$Z$12:$Z$72,$A937+1),INDEX(Surface_Engine!$Z$12:$Z$72,$Q$888+1))</f>
        <v>0.000118099272391655</v>
      </c>
      <c r="F937" s="48" t="n">
        <f aca="false">B937*(IF($A937&lt;$Q$888,INDEX(Surface_Engine!$D$12:$D$72,$A937+1)+(Surface_Engine!L244*12)*INDEX(Surface_Engine!$F$12:$F$72,$A937+1)-(Surface_Engine!L244*12),1000*12*INDEX(Surface_Engine!$C$12:$C$72,$A937+1)/(1+Assumptions!$B$10)^17+INDEX(Surface_Engine!$D$12:$D$72,$A937+1)))*INDEX(Surface_Engine!$B$12:$B$72,$A937+1)+F938</f>
        <v>0.962211553173178</v>
      </c>
      <c r="G937" s="48" t="n">
        <f aca="false">C937*(IF($A937&lt;$Q$888,INDEX(Surface_Engine!$D$12:$D$72,$A937+1)+(Surface_Engine!L244*12)*INDEX(Surface_Engine!$F$12:$F$72,$A937+1)-(Surface_Engine!L244*12),1000*12*INDEX(Surface_Engine!$C$12:$C$72,$A937+1)/(1+Assumptions!$B$10)^17+INDEX(Surface_Engine!$D$12:$D$72,$A937+1)))*INDEX(Surface_Engine!$B$12:$B$72,$A937+1)+G938</f>
        <v>9.63253803314702</v>
      </c>
      <c r="H937" s="48" t="n">
        <f aca="false">D937*(IF($A937&lt;$Q$888,INDEX(Surface_Engine!$D$12:$D$72,$A937+1)+(Surface_Engine!L244*12)*INDEX(Surface_Engine!$F$12:$F$72,$A937+1)-(Surface_Engine!L244*12),1000*12*INDEX(Surface_Engine!$C$12:$C$72,$A937+1)/(1+Assumptions!$B$10)^17+INDEX(Surface_Engine!$D$12:$D$72,$A937+1)))*INDEX(Surface_Engine!$B$12:$B$72,$A937+1)+H938</f>
        <v>0.863660643324737</v>
      </c>
      <c r="I937" s="48" t="n">
        <f aca="false">E937*(IF($A937&lt;$Q$888,INDEX(Surface_Engine!$D$12:$D$72,$A937+1)+(Surface_Engine!L244*12)*INDEX(Surface_Engine!$F$12:$F$72,$A937+1)-(Surface_Engine!L244*12),1000*12*INDEX(Surface_Engine!$C$12:$C$72,$A937+1)/(1+Assumptions!$B$10)^17+INDEX(Surface_Engine!$D$12:$D$72,$A937+1)))*INDEX(Surface_Engine!$B$12:$B$72,$A937+1)+I938</f>
        <v>1.07097920144879</v>
      </c>
      <c r="J937" s="48" t="n">
        <f aca="false">B937*(IF($A937&lt;$Q$888,INDEX(Surface_Engine!$D$12:$D$72,$A937+1)*(1+Assumptions!$B$24)+(Surface_Engine!L244*12)*INDEX(Surface_Engine!$F$12:$F$72,$A937+1)-(Surface_Engine!L244*12),1000*12*INDEX(Surface_Engine!$C$12:$C$72,$A937+1)/(1+Assumptions!$B$10)^17+INDEX(Surface_Engine!$D$12:$D$72,$A937+1)*(1+Assumptions!$B$24)))*INDEX(Surface_Engine!$B$12:$B$72,$A937+1)+J938</f>
        <v>0.963360572436191</v>
      </c>
      <c r="K937" s="12" t="n">
        <f aca="false">SQRT((IF(C937&lt;=0,0,MAX(0,(B937/C937)*G937/INDEX(Surface_Engine!$B$12:$B$72,$A937+1)-F937/INDEX(Surface_Engine!$B$12:$B$72,$A937+1))))^2+(MAX(IF(D937&lt;=0,0,MAX(0,(B937/D937)*H937/INDEX(Surface_Engine!$B$12:$B$72,$A937+1)-F937/INDEX(Surface_Engine!$B$12:$B$72,$A937+1))),IF(E937&lt;=0,0,MAX(0,(B937/E937)*I937/INDEX(Surface_Engine!$B$12:$B$72,$A937+1)-F937/INDEX(Surface_Engine!$B$12:$B$72,$A937+1))),IF($A937&lt;$Q$888,MAX(0,-Assumptions!$B$22*(F937/INDEX(Surface_Engine!$B$12:$B$72,$A937+1))),0)))^2+(MAX(0,J937/INDEX(Surface_Engine!$B$12:$B$72,$A937+1)-(F937/INDEX(Surface_Engine!$B$12:$B$72,$A937+1))))^2+2*Assumptions!$B$26*(IF(C937&lt;=0,0,MAX(0,(B937/C937)*G937/INDEX(Surface_Engine!$B$12:$B$72,$A937+1)-F937/INDEX(Surface_Engine!$B$12:$B$72,$A937+1))))*(MAX(IF(D937&lt;=0,0,MAX(0,(B937/D937)*H937/INDEX(Surface_Engine!$B$12:$B$72,$A937+1)-F937/INDEX(Surface_Engine!$B$12:$B$72,$A937+1))),IF(E937&lt;=0,0,MAX(0,(B937/E937)*I937/INDEX(Surface_Engine!$B$12:$B$72,$A937+1)-F937/INDEX(Surface_Engine!$B$12:$B$72,$A937+1))),IF($A937&lt;$Q$888,MAX(0,-Assumptions!$B$22*(F937/INDEX(Surface_Engine!$B$12:$B$72,$A937+1))),0)))+2*Assumptions!$B$27*(IF(C937&lt;=0,0,MAX(0,(B937/C937)*G937/INDEX(Surface_Engine!$B$12:$B$72,$A937+1)-F937/INDEX(Surface_Engine!$B$12:$B$72,$A937+1))))*(MAX(0,J937/INDEX(Surface_Engine!$B$12:$B$72,$A937+1)-(F937/INDEX(Surface_Engine!$B$12:$B$72,$A937+1))))+2*Assumptions!$B$28*(MAX(IF(D937&lt;=0,0,MAX(0,(B937/D937)*H937/INDEX(Surface_Engine!$B$12:$B$72,$A937+1)-F937/INDEX(Surface_Engine!$B$12:$B$72,$A937+1))),IF(E937&lt;=0,0,MAX(0,(B937/E937)*I937/INDEX(Surface_Engine!$B$12:$B$72,$A937+1)-F937/INDEX(Surface_Engine!$B$12:$B$72,$A937+1))),IF($A937&lt;$Q$888,MAX(0,-Assumptions!$B$22*(F937/INDEX(Surface_Engine!$B$12:$B$72,$A937+1))),0)))*(MAX(0,J937/INDEX(Surface_Engine!$B$12:$B$72,$A937+1)-(F937/INDEX(Surface_Engine!$B$12:$B$72,$A937+1)))))</f>
        <v>0.891252230396097</v>
      </c>
      <c r="L937" s="48" t="n">
        <f aca="false">K937*INDEX(Surface_Engine!$B$12:$B$72,$A937+1)+L938</f>
        <v>0.33346427216732</v>
      </c>
      <c r="M937" s="48" t="n">
        <f aca="false">M936+B936*(IF($A936&lt;$Q$888,(Surface_Engine!L244*12)-(Surface_Engine!L244*12)*INDEX(Surface_Engine!$F$12:$F$72,$A936+1)-INDEX(Surface_Engine!$D$12:$D$72,$A936+1),-(1000*12*INDEX(Surface_Engine!$C$12:$C$72,$A936+1)/(1+Assumptions!$B$10)^17+INDEX(Surface_Engine!$D$12:$D$72,$A936+1))))*INDEX(Surface_Engine!$B$12:$B$72,$A936+1)</f>
        <v>1280.88108330772</v>
      </c>
      <c r="N937" s="12" t="n">
        <f aca="false">IF(B937&lt;=0,0,MAX(0,(K937+Assumptions!$B$29*L937/INDEX(Surface_Engine!$B$12:$B$72,$A937+1)-(M937/INDEX(Surface_Engine!$B$12:$B$72,$A937+1)-(F937/INDEX(Surface_Engine!$B$12:$B$72,$A937+1))))/B937))</f>
        <v>0</v>
      </c>
    </row>
    <row r="938" customFormat="false" ht="15" hidden="false" customHeight="true" outlineLevel="0" collapsed="false">
      <c r="A938" s="1" t="n">
        <v>48</v>
      </c>
      <c r="B938" s="32" t="n">
        <f aca="false">INDEX(Surface_Engine!$O$12:$O$72,$A938+1)*IF($A938&lt;$Q$888,INDEX(Surface_Engine!$E$12:$E$72,$A938+1),INDEX(Surface_Engine!$E$12:$E$72,$Q$888+1))</f>
        <v>5.01262758107802E-005</v>
      </c>
      <c r="C938" s="32" t="n">
        <f aca="false">INDEX(Panel_Reserving!$E$8:$E$68,$A938+1)*IF($A938&lt;$Q$888,INDEX(Surface_Engine!$E$12:$E$72,$A938+1),INDEX(Surface_Engine!$E$12:$E$72,$Q$888+1))</f>
        <v>0.000507593210399562</v>
      </c>
      <c r="D938" s="32" t="n">
        <f aca="false">INDEX(Surface_Engine!$O$12:$O$72,$A938+1)*IF($A938&lt;$Q$888,INDEX(Surface_Engine!$Y$12:$Y$72,$A938+1),INDEX(Surface_Engine!$Y$12:$Y$72,$Q$888+1))</f>
        <v>4.49922799943974E-005</v>
      </c>
      <c r="E938" s="32" t="n">
        <f aca="false">INDEX(Surface_Engine!$O$12:$O$72,$A938+1)*IF($A938&lt;$Q$888,INDEX(Surface_Engine!$Z$12:$Z$72,$A938+1),INDEX(Surface_Engine!$Z$12:$Z$72,$Q$888+1))</f>
        <v>5.57925111815503E-005</v>
      </c>
      <c r="F938" s="48" t="n">
        <f aca="false">B938*(IF($A938&lt;$Q$888,INDEX(Surface_Engine!$D$12:$D$72,$A938+1)+(Surface_Engine!L244*12)*INDEX(Surface_Engine!$F$12:$F$72,$A938+1)-(Surface_Engine!L244*12),1000*12*INDEX(Surface_Engine!$C$12:$C$72,$A938+1)/(1+Assumptions!$B$10)^17+INDEX(Surface_Engine!$D$12:$D$72,$A938+1)))*INDEX(Surface_Engine!$B$12:$B$72,$A938+1)+F939</f>
        <v>0.433766592233593</v>
      </c>
      <c r="G938" s="48" t="n">
        <f aca="false">C938*(IF($A938&lt;$Q$888,INDEX(Surface_Engine!$D$12:$D$72,$A938+1)+(Surface_Engine!L244*12)*INDEX(Surface_Engine!$F$12:$F$72,$A938+1)-(Surface_Engine!L244*12),1000*12*INDEX(Surface_Engine!$C$12:$C$72,$A938+1)/(1+Assumptions!$B$10)^17+INDEX(Surface_Engine!$D$12:$D$72,$A938+1)))*INDEX(Surface_Engine!$B$12:$B$72,$A938+1)+G939</f>
        <v>5.2583364248733</v>
      </c>
      <c r="H938" s="48" t="n">
        <f aca="false">D938*(IF($A938&lt;$Q$888,INDEX(Surface_Engine!$D$12:$D$72,$A938+1)+(Surface_Engine!L244*12)*INDEX(Surface_Engine!$F$12:$F$72,$A938+1)-(Surface_Engine!L244*12),1000*12*INDEX(Surface_Engine!$C$12:$C$72,$A938+1)/(1+Assumptions!$B$10)^17+INDEX(Surface_Engine!$D$12:$D$72,$A938+1)))*INDEX(Surface_Engine!$B$12:$B$72,$A938+1)+H939</f>
        <v>0.389339675735341</v>
      </c>
      <c r="I938" s="48" t="n">
        <f aca="false">E938*(IF($A938&lt;$Q$888,INDEX(Surface_Engine!$D$12:$D$72,$A938+1)+(Surface_Engine!L244*12)*INDEX(Surface_Engine!$F$12:$F$72,$A938+1)-(Surface_Engine!L244*12),1000*12*INDEX(Surface_Engine!$C$12:$C$72,$A938+1)/(1+Assumptions!$B$10)^17+INDEX(Surface_Engine!$D$12:$D$72,$A938+1)))*INDEX(Surface_Engine!$B$12:$B$72,$A938+1)+I939</f>
        <v>0.482799231659078</v>
      </c>
      <c r="J938" s="48" t="n">
        <f aca="false">B938*(IF($A938&lt;$Q$888,INDEX(Surface_Engine!$D$12:$D$72,$A938+1)*(1+Assumptions!$B$24)+(Surface_Engine!L244*12)*INDEX(Surface_Engine!$F$12:$F$72,$A938+1)-(Surface_Engine!L244*12),1000*12*INDEX(Surface_Engine!$C$12:$C$72,$A938+1)/(1+Assumptions!$B$10)^17+INDEX(Surface_Engine!$D$12:$D$72,$A938+1)*(1+Assumptions!$B$24)))*INDEX(Surface_Engine!$B$12:$B$72,$A938+1)+J939</f>
        <v>0.434286900667884</v>
      </c>
      <c r="K938" s="12" t="n">
        <f aca="false">SQRT((IF(C938&lt;=0,0,MAX(0,(B938/C938)*G938/INDEX(Surface_Engine!$B$12:$B$72,$A938+1)-F938/INDEX(Surface_Engine!$B$12:$B$72,$A938+1))))^2+(MAX(IF(D938&lt;=0,0,MAX(0,(B938/D938)*H938/INDEX(Surface_Engine!$B$12:$B$72,$A938+1)-F938/INDEX(Surface_Engine!$B$12:$B$72,$A938+1))),IF(E938&lt;=0,0,MAX(0,(B938/E938)*I938/INDEX(Surface_Engine!$B$12:$B$72,$A938+1)-F938/INDEX(Surface_Engine!$B$12:$B$72,$A938+1))),IF($A938&lt;$Q$888,MAX(0,-Assumptions!$B$22*(F938/INDEX(Surface_Engine!$B$12:$B$72,$A938+1))),0)))^2+(MAX(0,J938/INDEX(Surface_Engine!$B$12:$B$72,$A938+1)-(F938/INDEX(Surface_Engine!$B$12:$B$72,$A938+1))))^2+2*Assumptions!$B$26*(IF(C938&lt;=0,0,MAX(0,(B938/C938)*G938/INDEX(Surface_Engine!$B$12:$B$72,$A938+1)-F938/INDEX(Surface_Engine!$B$12:$B$72,$A938+1))))*(MAX(IF(D938&lt;=0,0,MAX(0,(B938/D938)*H938/INDEX(Surface_Engine!$B$12:$B$72,$A938+1)-F938/INDEX(Surface_Engine!$B$12:$B$72,$A938+1))),IF(E938&lt;=0,0,MAX(0,(B938/E938)*I938/INDEX(Surface_Engine!$B$12:$B$72,$A938+1)-F938/INDEX(Surface_Engine!$B$12:$B$72,$A938+1))),IF($A938&lt;$Q$888,MAX(0,-Assumptions!$B$22*(F938/INDEX(Surface_Engine!$B$12:$B$72,$A938+1))),0)))+2*Assumptions!$B$27*(IF(C938&lt;=0,0,MAX(0,(B938/C938)*G938/INDEX(Surface_Engine!$B$12:$B$72,$A938+1)-F938/INDEX(Surface_Engine!$B$12:$B$72,$A938+1))))*(MAX(0,J938/INDEX(Surface_Engine!$B$12:$B$72,$A938+1)-(F938/INDEX(Surface_Engine!$B$12:$B$72,$A938+1))))+2*Assumptions!$B$28*(MAX(IF(D938&lt;=0,0,MAX(0,(B938/D938)*H938/INDEX(Surface_Engine!$B$12:$B$72,$A938+1)-F938/INDEX(Surface_Engine!$B$12:$B$72,$A938+1))),IF(E938&lt;=0,0,MAX(0,(B938/E938)*I938/INDEX(Surface_Engine!$B$12:$B$72,$A938+1)-F938/INDEX(Surface_Engine!$B$12:$B$72,$A938+1))),IF($A938&lt;$Q$888,MAX(0,-Assumptions!$B$22*(F938/INDEX(Surface_Engine!$B$12:$B$72,$A938+1))),0)))*(MAX(0,J938/INDEX(Surface_Engine!$B$12:$B$72,$A938+1)-(F938/INDEX(Surface_Engine!$B$12:$B$72,$A938+1)))))</f>
        <v>0.390779104664051</v>
      </c>
      <c r="L938" s="48" t="n">
        <f aca="false">K938*INDEX(Surface_Engine!$B$12:$B$72,$A938+1)+L939</f>
        <v>0.131683726442331</v>
      </c>
      <c r="M938" s="48" t="n">
        <f aca="false">M937+B937*(IF($A937&lt;$Q$888,(Surface_Engine!L244*12)-(Surface_Engine!L244*12)*INDEX(Surface_Engine!$F$12:$F$72,$A937+1)-INDEX(Surface_Engine!$D$12:$D$72,$A937+1),-(1000*12*INDEX(Surface_Engine!$C$12:$C$72,$A937+1)/(1+Assumptions!$B$10)^17+INDEX(Surface_Engine!$D$12:$D$72,$A937+1))))*INDEX(Surface_Engine!$B$12:$B$72,$A937+1)</f>
        <v>1280.35263834678</v>
      </c>
      <c r="N938" s="12" t="n">
        <f aca="false">IF(B938&lt;=0,0,MAX(0,(K938+Assumptions!$B$29*L938/INDEX(Surface_Engine!$B$12:$B$72,$A938+1)-(M938/INDEX(Surface_Engine!$B$12:$B$72,$A938+1)-(F938/INDEX(Surface_Engine!$B$12:$B$72,$A938+1))))/B938))</f>
        <v>0</v>
      </c>
    </row>
    <row r="939" customFormat="false" ht="15" hidden="false" customHeight="true" outlineLevel="0" collapsed="false">
      <c r="A939" s="1" t="n">
        <v>49</v>
      </c>
      <c r="B939" s="32" t="n">
        <f aca="false">INDEX(Surface_Engine!$O$12:$O$72,$A939+1)*IF($A939&lt;$Q$888,INDEX(Surface_Engine!$E$12:$E$72,$A939+1),INDEX(Surface_Engine!$E$12:$E$72,$Q$888+1))</f>
        <v>2.283992404458E-005</v>
      </c>
      <c r="C939" s="32" t="n">
        <f aca="false">INDEX(Panel_Reserving!$E$8:$E$68,$A939+1)*IF($A939&lt;$Q$888,INDEX(Surface_Engine!$E$12:$E$72,$A939+1),INDEX(Surface_Engine!$E$12:$E$72,$Q$888+1))</f>
        <v>0.000286545599435914</v>
      </c>
      <c r="D939" s="32" t="n">
        <f aca="false">INDEX(Surface_Engine!$O$12:$O$72,$A939+1)*IF($A939&lt;$Q$888,INDEX(Surface_Engine!$Y$12:$Y$72,$A939+1),INDEX(Surface_Engine!$Y$12:$Y$72,$Q$888+1))</f>
        <v>2.05006304785865E-005</v>
      </c>
      <c r="E939" s="32" t="n">
        <f aca="false">INDEX(Surface_Engine!$O$12:$O$72,$A939+1)*IF($A939&lt;$Q$888,INDEX(Surface_Engine!$Z$12:$Z$72,$A939+1),INDEX(Surface_Engine!$Z$12:$Z$72,$Q$888+1))</f>
        <v>2.54217313580862E-005</v>
      </c>
      <c r="F939" s="48" t="n">
        <f aca="false">B939*(IF($A939&lt;$Q$888,INDEX(Surface_Engine!$D$12:$D$72,$A939+1)+(Surface_Engine!L244*12)*INDEX(Surface_Engine!$F$12:$F$72,$A939+1)-(Surface_Engine!L244*12),1000*12*INDEX(Surface_Engine!$C$12:$C$72,$A939+1)/(1+Assumptions!$B$10)^17+INDEX(Surface_Engine!$D$12:$D$72,$A939+1)))*INDEX(Surface_Engine!$B$12:$B$72,$A939+1)+F940</f>
        <v>0.187262567978522</v>
      </c>
      <c r="G939" s="48" t="n">
        <f aca="false">C939*(IF($A939&lt;$Q$888,INDEX(Surface_Engine!$D$12:$D$72,$A939+1)+(Surface_Engine!L244*12)*INDEX(Surface_Engine!$F$12:$F$72,$A939+1)-(Surface_Engine!L244*12),1000*12*INDEX(Surface_Engine!$C$12:$C$72,$A939+1)/(1+Assumptions!$B$10)^17+INDEX(Surface_Engine!$D$12:$D$72,$A939+1)))*INDEX(Surface_Engine!$B$12:$B$72,$A939+1)+G940</f>
        <v>2.76216516490641</v>
      </c>
      <c r="H939" s="48" t="n">
        <f aca="false">D939*(IF($A939&lt;$Q$888,INDEX(Surface_Engine!$D$12:$D$72,$A939+1)+(Surface_Engine!L244*12)*INDEX(Surface_Engine!$F$12:$F$72,$A939+1)-(Surface_Engine!L244*12),1000*12*INDEX(Surface_Engine!$C$12:$C$72,$A939+1)/(1+Assumptions!$B$10)^17+INDEX(Surface_Engine!$D$12:$D$72,$A939+1)))*INDEX(Surface_Engine!$B$12:$B$72,$A939+1)+H940</f>
        <v>0.168082901725317</v>
      </c>
      <c r="I939" s="48" t="n">
        <f aca="false">E939*(IF($A939&lt;$Q$888,INDEX(Surface_Engine!$D$12:$D$72,$A939+1)+(Surface_Engine!L244*12)*INDEX(Surface_Engine!$F$12:$F$72,$A939+1)-(Surface_Engine!L244*12),1000*12*INDEX(Surface_Engine!$C$12:$C$72,$A939+1)/(1+Assumptions!$B$10)^17+INDEX(Surface_Engine!$D$12:$D$72,$A939+1)))*INDEX(Surface_Engine!$B$12:$B$72,$A939+1)+I940</f>
        <v>0.208430583537997</v>
      </c>
      <c r="J939" s="48" t="n">
        <f aca="false">B939*(IF($A939&lt;$Q$888,INDEX(Surface_Engine!$D$12:$D$72,$A939+1)*(1+Assumptions!$B$24)+(Surface_Engine!L244*12)*INDEX(Surface_Engine!$F$12:$F$72,$A939+1)-(Surface_Engine!L244*12),1000*12*INDEX(Surface_Engine!$C$12:$C$72,$A939+1)/(1+Assumptions!$B$10)^17+INDEX(Surface_Engine!$D$12:$D$72,$A939+1)*(1+Assumptions!$B$24)))*INDEX(Surface_Engine!$B$12:$B$72,$A939+1)+J940</f>
        <v>0.187488180875398</v>
      </c>
      <c r="K939" s="12" t="n">
        <f aca="false">SQRT((IF(C939&lt;=0,0,MAX(0,(B939/C939)*G939/INDEX(Surface_Engine!$B$12:$B$72,$A939+1)-F939/INDEX(Surface_Engine!$B$12:$B$72,$A939+1))))^2+(MAX(IF(D939&lt;=0,0,MAX(0,(B939/D939)*H939/INDEX(Surface_Engine!$B$12:$B$72,$A939+1)-F939/INDEX(Surface_Engine!$B$12:$B$72,$A939+1))),IF(E939&lt;=0,0,MAX(0,(B939/E939)*I939/INDEX(Surface_Engine!$B$12:$B$72,$A939+1)-F939/INDEX(Surface_Engine!$B$12:$B$72,$A939+1))),IF($A939&lt;$Q$888,MAX(0,-Assumptions!$B$22*(F939/INDEX(Surface_Engine!$B$12:$B$72,$A939+1))),0)))^2+(MAX(0,J939/INDEX(Surface_Engine!$B$12:$B$72,$A939+1)-(F939/INDEX(Surface_Engine!$B$12:$B$72,$A939+1))))^2+2*Assumptions!$B$26*(IF(C939&lt;=0,0,MAX(0,(B939/C939)*G939/INDEX(Surface_Engine!$B$12:$B$72,$A939+1)-F939/INDEX(Surface_Engine!$B$12:$B$72,$A939+1))))*(MAX(IF(D939&lt;=0,0,MAX(0,(B939/D939)*H939/INDEX(Surface_Engine!$B$12:$B$72,$A939+1)-F939/INDEX(Surface_Engine!$B$12:$B$72,$A939+1))),IF(E939&lt;=0,0,MAX(0,(B939/E939)*I939/INDEX(Surface_Engine!$B$12:$B$72,$A939+1)-F939/INDEX(Surface_Engine!$B$12:$B$72,$A939+1))),IF($A939&lt;$Q$888,MAX(0,-Assumptions!$B$22*(F939/INDEX(Surface_Engine!$B$12:$B$72,$A939+1))),0)))+2*Assumptions!$B$27*(IF(C939&lt;=0,0,MAX(0,(B939/C939)*G939/INDEX(Surface_Engine!$B$12:$B$72,$A939+1)-F939/INDEX(Surface_Engine!$B$12:$B$72,$A939+1))))*(MAX(0,J939/INDEX(Surface_Engine!$B$12:$B$72,$A939+1)-(F939/INDEX(Surface_Engine!$B$12:$B$72,$A939+1))))+2*Assumptions!$B$28*(MAX(IF(D939&lt;=0,0,MAX(0,(B939/D939)*H939/INDEX(Surface_Engine!$B$12:$B$72,$A939+1)-F939/INDEX(Surface_Engine!$B$12:$B$72,$A939+1))),IF(E939&lt;=0,0,MAX(0,(B939/E939)*I939/INDEX(Surface_Engine!$B$12:$B$72,$A939+1)-F939/INDEX(Surface_Engine!$B$12:$B$72,$A939+1))),IF($A939&lt;$Q$888,MAX(0,-Assumptions!$B$22*(F939/INDEX(Surface_Engine!$B$12:$B$72,$A939+1))),0)))*(MAX(0,J939/INDEX(Surface_Engine!$B$12:$B$72,$A939+1)-(F939/INDEX(Surface_Engine!$B$12:$B$72,$A939+1)))))</f>
        <v>0.155306077363854</v>
      </c>
      <c r="L939" s="48" t="n">
        <f aca="false">K939*INDEX(Surface_Engine!$B$12:$B$72,$A939+1)+L940</f>
        <v>0.046043055258626</v>
      </c>
      <c r="M939" s="48" t="n">
        <f aca="false">M938+B938*(IF($A938&lt;$Q$888,(Surface_Engine!L244*12)-(Surface_Engine!L244*12)*INDEX(Surface_Engine!$F$12:$F$72,$A938+1)-INDEX(Surface_Engine!$D$12:$D$72,$A938+1),-(1000*12*INDEX(Surface_Engine!$C$12:$C$72,$A938+1)/(1+Assumptions!$B$10)^17+INDEX(Surface_Engine!$D$12:$D$72,$A938+1))))*INDEX(Surface_Engine!$B$12:$B$72,$A938+1)</f>
        <v>1280.10613432253</v>
      </c>
      <c r="N939" s="12" t="n">
        <f aca="false">IF(B939&lt;=0,0,MAX(0,(K939+Assumptions!$B$29*L939/INDEX(Surface_Engine!$B$12:$B$72,$A939+1)-(M939/INDEX(Surface_Engine!$B$12:$B$72,$A939+1)-(F939/INDEX(Surface_Engine!$B$12:$B$72,$A939+1))))/B939))</f>
        <v>0</v>
      </c>
    </row>
    <row r="940" customFormat="false" ht="15" hidden="false" customHeight="true" outlineLevel="0" collapsed="false">
      <c r="A940" s="1" t="n">
        <v>50</v>
      </c>
      <c r="B940" s="32" t="n">
        <f aca="false">INDEX(Surface_Engine!$O$12:$O$72,$A940+1)*IF($A940&lt;$Q$888,INDEX(Surface_Engine!$E$12:$E$72,$A940+1),INDEX(Surface_Engine!$E$12:$E$72,$Q$888+1))</f>
        <v>1.00310432365465E-005</v>
      </c>
      <c r="C940" s="32" t="n">
        <f aca="false">INDEX(Panel_Reserving!$E$8:$E$68,$A940+1)*IF($A940&lt;$Q$888,INDEX(Surface_Engine!$E$12:$E$72,$A940+1),INDEX(Surface_Engine!$E$12:$E$72,$Q$888+1))</f>
        <v>0.000157987258450988</v>
      </c>
      <c r="D940" s="32" t="n">
        <f aca="false">INDEX(Surface_Engine!$O$12:$O$72,$A940+1)*IF($A940&lt;$Q$888,INDEX(Surface_Engine!$Y$12:$Y$72,$A940+1),INDEX(Surface_Engine!$Y$12:$Y$72,$Q$888+1))</f>
        <v>9.0036512514569E-006</v>
      </c>
      <c r="E940" s="32" t="n">
        <f aca="false">INDEX(Surface_Engine!$O$12:$O$72,$A940+1)*IF($A940&lt;$Q$888,INDEX(Surface_Engine!$Z$12:$Z$72,$A940+1),INDEX(Surface_Engine!$Z$12:$Z$72,$Q$888+1))</f>
        <v>1.11649445901439E-005</v>
      </c>
      <c r="F940" s="48" t="n">
        <f aca="false">B940*(IF($A940&lt;$Q$888,INDEX(Surface_Engine!$D$12:$D$72,$A940+1)+(Surface_Engine!L244*12)*INDEX(Surface_Engine!$F$12:$F$72,$A940+1)-(Surface_Engine!L244*12),1000*12*INDEX(Surface_Engine!$C$12:$C$72,$A940+1)/(1+Assumptions!$B$10)^17+INDEX(Surface_Engine!$D$12:$D$72,$A940+1)))*INDEX(Surface_Engine!$B$12:$B$72,$A940+1)+F941</f>
        <v>0.0763097667663447</v>
      </c>
      <c r="G940" s="48" t="n">
        <f aca="false">C940*(IF($A940&lt;$Q$888,INDEX(Surface_Engine!$D$12:$D$72,$A940+1)+(Surface_Engine!L244*12)*INDEX(Surface_Engine!$F$12:$F$72,$A940+1)-(Surface_Engine!L244*12),1000*12*INDEX(Surface_Engine!$C$12:$C$72,$A940+1)/(1+Assumptions!$B$10)^17+INDEX(Surface_Engine!$D$12:$D$72,$A940+1)))*INDEX(Surface_Engine!$B$12:$B$72,$A940+1)+G941</f>
        <v>1.37017117795698</v>
      </c>
      <c r="H940" s="48" t="n">
        <f aca="false">D940*(IF($A940&lt;$Q$888,INDEX(Surface_Engine!$D$12:$D$72,$A940+1)+(Surface_Engine!L244*12)*INDEX(Surface_Engine!$F$12:$F$72,$A940+1)-(Surface_Engine!L244*12),1000*12*INDEX(Surface_Engine!$C$12:$C$72,$A940+1)/(1+Assumptions!$B$10)^17+INDEX(Surface_Engine!$D$12:$D$72,$A940+1)))*INDEX(Surface_Engine!$B$12:$B$72,$A940+1)+H941</f>
        <v>0.0684940250821539</v>
      </c>
      <c r="I940" s="48" t="n">
        <f aca="false">E940*(IF($A940&lt;$Q$888,INDEX(Surface_Engine!$D$12:$D$72,$A940+1)+(Surface_Engine!L244*12)*INDEX(Surface_Engine!$F$12:$F$72,$A940+1)-(Surface_Engine!L244*12),1000*12*INDEX(Surface_Engine!$C$12:$C$72,$A940+1)/(1+Assumptions!$B$10)^17+INDEX(Surface_Engine!$D$12:$D$72,$A940+1)))*INDEX(Surface_Engine!$B$12:$B$72,$A940+1)+I941</f>
        <v>0.0849357636630399</v>
      </c>
      <c r="J940" s="48" t="n">
        <f aca="false">B940*(IF($A940&lt;$Q$888,INDEX(Surface_Engine!$D$12:$D$72,$A940+1)*(1+Assumptions!$B$24)+(Surface_Engine!L244*12)*INDEX(Surface_Engine!$F$12:$F$72,$A940+1)-(Surface_Engine!L244*12),1000*12*INDEX(Surface_Engine!$C$12:$C$72,$A940+1)/(1+Assumptions!$B$10)^17+INDEX(Surface_Engine!$D$12:$D$72,$A940+1)*(1+Assumptions!$B$24)))*INDEX(Surface_Engine!$B$12:$B$72,$A940+1)+J941</f>
        <v>0.0764020931949686</v>
      </c>
      <c r="K940" s="12" t="n">
        <f aca="false">SQRT((IF(C940&lt;=0,0,MAX(0,(B940/C940)*G940/INDEX(Surface_Engine!$B$12:$B$72,$A940+1)-F940/INDEX(Surface_Engine!$B$12:$B$72,$A940+1))))^2+(MAX(IF(D940&lt;=0,0,MAX(0,(B940/D940)*H940/INDEX(Surface_Engine!$B$12:$B$72,$A940+1)-F940/INDEX(Surface_Engine!$B$12:$B$72,$A940+1))),IF(E940&lt;=0,0,MAX(0,(B940/E940)*I940/INDEX(Surface_Engine!$B$12:$B$72,$A940+1)-F940/INDEX(Surface_Engine!$B$12:$B$72,$A940+1))),IF($A940&lt;$Q$888,MAX(0,-Assumptions!$B$22*(F940/INDEX(Surface_Engine!$B$12:$B$72,$A940+1))),0)))^2+(MAX(0,J940/INDEX(Surface_Engine!$B$12:$B$72,$A940+1)-(F940/INDEX(Surface_Engine!$B$12:$B$72,$A940+1))))^2+2*Assumptions!$B$26*(IF(C940&lt;=0,0,MAX(0,(B940/C940)*G940/INDEX(Surface_Engine!$B$12:$B$72,$A940+1)-F940/INDEX(Surface_Engine!$B$12:$B$72,$A940+1))))*(MAX(IF(D940&lt;=0,0,MAX(0,(B940/D940)*H940/INDEX(Surface_Engine!$B$12:$B$72,$A940+1)-F940/INDEX(Surface_Engine!$B$12:$B$72,$A940+1))),IF(E940&lt;=0,0,MAX(0,(B940/E940)*I940/INDEX(Surface_Engine!$B$12:$B$72,$A940+1)-F940/INDEX(Surface_Engine!$B$12:$B$72,$A940+1))),IF($A940&lt;$Q$888,MAX(0,-Assumptions!$B$22*(F940/INDEX(Surface_Engine!$B$12:$B$72,$A940+1))),0)))+2*Assumptions!$B$27*(IF(C940&lt;=0,0,MAX(0,(B940/C940)*G940/INDEX(Surface_Engine!$B$12:$B$72,$A940+1)-F940/INDEX(Surface_Engine!$B$12:$B$72,$A940+1))))*(MAX(0,J940/INDEX(Surface_Engine!$B$12:$B$72,$A940+1)-(F940/INDEX(Surface_Engine!$B$12:$B$72,$A940+1))))+2*Assumptions!$B$28*(MAX(IF(D940&lt;=0,0,MAX(0,(B940/D940)*H940/INDEX(Surface_Engine!$B$12:$B$72,$A940+1)-F940/INDEX(Surface_Engine!$B$12:$B$72,$A940+1))),IF(E940&lt;=0,0,MAX(0,(B940/E940)*I940/INDEX(Surface_Engine!$B$12:$B$72,$A940+1)-F940/INDEX(Surface_Engine!$B$12:$B$72,$A940+1))),IF($A940&lt;$Q$888,MAX(0,-Assumptions!$B$22*(F940/INDEX(Surface_Engine!$B$12:$B$72,$A940+1))),0)))*(MAX(0,J940/INDEX(Surface_Engine!$B$12:$B$72,$A940+1)-(F940/INDEX(Surface_Engine!$B$12:$B$72,$A940+1)))))</f>
        <v>0.0521344328941314</v>
      </c>
      <c r="L940" s="48" t="n">
        <f aca="false">K940*INDEX(Surface_Engine!$B$12:$B$72,$A940+1)+L941</f>
        <v>0.0130823421443192</v>
      </c>
      <c r="M940" s="48" t="n">
        <f aca="false">M939+B939*(IF($A939&lt;$Q$888,(Surface_Engine!L244*12)-(Surface_Engine!L244*12)*INDEX(Surface_Engine!$F$12:$F$72,$A939+1)-INDEX(Surface_Engine!$D$12:$D$72,$A939+1),-(1000*12*INDEX(Surface_Engine!$C$12:$C$72,$A939+1)/(1+Assumptions!$B$10)^17+INDEX(Surface_Engine!$D$12:$D$72,$A939+1))))*INDEX(Surface_Engine!$B$12:$B$72,$A939+1)</f>
        <v>1279.99518152131</v>
      </c>
      <c r="N940" s="12" t="n">
        <f aca="false">IF(B940&lt;=0,0,MAX(0,(K940+Assumptions!$B$29*L940/INDEX(Surface_Engine!$B$12:$B$72,$A940+1)-(M940/INDEX(Surface_Engine!$B$12:$B$72,$A940+1)-(F940/INDEX(Surface_Engine!$B$12:$B$72,$A940+1))))/B940))</f>
        <v>0</v>
      </c>
    </row>
    <row r="941" customFormat="false" ht="15" hidden="false" customHeight="true" outlineLevel="0" collapsed="false">
      <c r="A941" s="1" t="n">
        <v>51</v>
      </c>
      <c r="B941" s="32" t="n">
        <f aca="false">INDEX(Surface_Engine!$O$12:$O$72,$A941+1)*IF($A941&lt;$Q$888,INDEX(Surface_Engine!$E$12:$E$72,$A941+1),INDEX(Surface_Engine!$E$12:$E$72,$Q$888+1))</f>
        <v>4.24395387267856E-006</v>
      </c>
      <c r="C941" s="32" t="n">
        <f aca="false">INDEX(Panel_Reserving!$E$8:$E$68,$A941+1)*IF($A941&lt;$Q$888,INDEX(Surface_Engine!$E$12:$E$72,$A941+1),INDEX(Surface_Engine!$E$12:$E$72,$Q$888+1))</f>
        <v>8.5070704393894E-005</v>
      </c>
      <c r="D941" s="32" t="n">
        <f aca="false">INDEX(Surface_Engine!$O$12:$O$72,$A941+1)*IF($A941&lt;$Q$888,INDEX(Surface_Engine!$Y$12:$Y$72,$A941+1),INDEX(Surface_Engine!$Y$12:$Y$72,$Q$888+1))</f>
        <v>3.80928281294331E-006</v>
      </c>
      <c r="E941" s="32" t="n">
        <f aca="false">INDEX(Surface_Engine!$O$12:$O$72,$A941+1)*IF($A941&lt;$Q$888,INDEX(Surface_Engine!$Z$12:$Z$72,$A941+1),INDEX(Surface_Engine!$Z$12:$Z$72,$Q$888+1))</f>
        <v>4.72368712946514E-006</v>
      </c>
      <c r="F941" s="48" t="n">
        <f aca="false">B941*(IF($A941&lt;$Q$888,INDEX(Surface_Engine!$D$12:$D$72,$A941+1)+(Surface_Engine!L244*12)*INDEX(Surface_Engine!$F$12:$F$72,$A941+1)-(Surface_Engine!L244*12),1000*12*INDEX(Surface_Engine!$C$12:$C$72,$A941+1)/(1+Assumptions!$B$10)^17+INDEX(Surface_Engine!$D$12:$D$72,$A941+1)))*INDEX(Surface_Engine!$B$12:$B$72,$A941+1)+F942</f>
        <v>0.0281974702321292</v>
      </c>
      <c r="G941" s="48" t="n">
        <f aca="false">C941*(IF($A941&lt;$Q$888,INDEX(Surface_Engine!$D$12:$D$72,$A941+1)+(Surface_Engine!L244*12)*INDEX(Surface_Engine!$F$12:$F$72,$A941+1)-(Surface_Engine!L244*12),1000*12*INDEX(Surface_Engine!$C$12:$C$72,$A941+1)/(1+Assumptions!$B$10)^17+INDEX(Surface_Engine!$D$12:$D$72,$A941+1)))*INDEX(Surface_Engine!$B$12:$B$72,$A941+1)+G942</f>
        <v>0.612410529540255</v>
      </c>
      <c r="H941" s="48" t="n">
        <f aca="false">D941*(IF($A941&lt;$Q$888,INDEX(Surface_Engine!$D$12:$D$72,$A941+1)+(Surface_Engine!L244*12)*INDEX(Surface_Engine!$F$12:$F$72,$A941+1)-(Surface_Engine!L244*12),1000*12*INDEX(Surface_Engine!$C$12:$C$72,$A941+1)/(1+Assumptions!$B$10)^17+INDEX(Surface_Engine!$D$12:$D$72,$A941+1)))*INDEX(Surface_Engine!$B$12:$B$72,$A941+1)+H942</f>
        <v>0.0253094500897432</v>
      </c>
      <c r="I941" s="48" t="n">
        <f aca="false">E941*(IF($A941&lt;$Q$888,INDEX(Surface_Engine!$D$12:$D$72,$A941+1)+(Surface_Engine!L244*12)*INDEX(Surface_Engine!$F$12:$F$72,$A941+1)-(Surface_Engine!L244*12),1000*12*INDEX(Surface_Engine!$C$12:$C$72,$A941+1)/(1+Assumptions!$B$10)^17+INDEX(Surface_Engine!$D$12:$D$72,$A941+1)))*INDEX(Surface_Engine!$B$12:$B$72,$A941+1)+I942</f>
        <v>0.0313848904146828</v>
      </c>
      <c r="J941" s="48" t="n">
        <f aca="false">B941*(IF($A941&lt;$Q$888,INDEX(Surface_Engine!$D$12:$D$72,$A941+1)*(1+Assumptions!$B$24)+(Surface_Engine!L244*12)*INDEX(Surface_Engine!$F$12:$F$72,$A941+1)-(Surface_Engine!L244*12),1000*12*INDEX(Surface_Engine!$C$12:$C$72,$A941+1)/(1+Assumptions!$B$10)^17+INDEX(Surface_Engine!$D$12:$D$72,$A941+1)*(1+Assumptions!$B$24)))*INDEX(Surface_Engine!$B$12:$B$72,$A941+1)+J942</f>
        <v>0.0282317199519741</v>
      </c>
      <c r="K941" s="12" t="n">
        <f aca="false">SQRT((IF(C941&lt;=0,0,MAX(0,(B941/C941)*G941/INDEX(Surface_Engine!$B$12:$B$72,$A941+1)-F941/INDEX(Surface_Engine!$B$12:$B$72,$A941+1))))^2+(MAX(IF(D941&lt;=0,0,MAX(0,(B941/D941)*H941/INDEX(Surface_Engine!$B$12:$B$72,$A941+1)-F941/INDEX(Surface_Engine!$B$12:$B$72,$A941+1))),IF(E941&lt;=0,0,MAX(0,(B941/E941)*I941/INDEX(Surface_Engine!$B$12:$B$72,$A941+1)-F941/INDEX(Surface_Engine!$B$12:$B$72,$A941+1))),IF($A941&lt;$Q$888,MAX(0,-Assumptions!$B$22*(F941/INDEX(Surface_Engine!$B$12:$B$72,$A941+1))),0)))^2+(MAX(0,J941/INDEX(Surface_Engine!$B$12:$B$72,$A941+1)-(F941/INDEX(Surface_Engine!$B$12:$B$72,$A941+1))))^2+2*Assumptions!$B$26*(IF(C941&lt;=0,0,MAX(0,(B941/C941)*G941/INDEX(Surface_Engine!$B$12:$B$72,$A941+1)-F941/INDEX(Surface_Engine!$B$12:$B$72,$A941+1))))*(MAX(IF(D941&lt;=0,0,MAX(0,(B941/D941)*H941/INDEX(Surface_Engine!$B$12:$B$72,$A941+1)-F941/INDEX(Surface_Engine!$B$12:$B$72,$A941+1))),IF(E941&lt;=0,0,MAX(0,(B941/E941)*I941/INDEX(Surface_Engine!$B$12:$B$72,$A941+1)-F941/INDEX(Surface_Engine!$B$12:$B$72,$A941+1))),IF($A941&lt;$Q$888,MAX(0,-Assumptions!$B$22*(F941/INDEX(Surface_Engine!$B$12:$B$72,$A941+1))),0)))+2*Assumptions!$B$27*(IF(C941&lt;=0,0,MAX(0,(B941/C941)*G941/INDEX(Surface_Engine!$B$12:$B$72,$A941+1)-F941/INDEX(Surface_Engine!$B$12:$B$72,$A941+1))))*(MAX(0,J941/INDEX(Surface_Engine!$B$12:$B$72,$A941+1)-(F941/INDEX(Surface_Engine!$B$12:$B$72,$A941+1))))+2*Assumptions!$B$28*(MAX(IF(D941&lt;=0,0,MAX(0,(B941/D941)*H941/INDEX(Surface_Engine!$B$12:$B$72,$A941+1)-F941/INDEX(Surface_Engine!$B$12:$B$72,$A941+1))),IF(E941&lt;=0,0,MAX(0,(B941/E941)*I941/INDEX(Surface_Engine!$B$12:$B$72,$A941+1)-F941/INDEX(Surface_Engine!$B$12:$B$72,$A941+1))),IF($A941&lt;$Q$888,MAX(0,-Assumptions!$B$22*(F941/INDEX(Surface_Engine!$B$12:$B$72,$A941+1))),0)))*(MAX(0,J941/INDEX(Surface_Engine!$B$12:$B$72,$A941+1)-(F941/INDEX(Surface_Engine!$B$12:$B$72,$A941+1)))))</f>
        <v>0.0118782898192427</v>
      </c>
      <c r="L941" s="48" t="n">
        <f aca="false">K941*INDEX(Surface_Engine!$B$12:$B$72,$A941+1)+L942</f>
        <v>0.0023727378073473</v>
      </c>
      <c r="M941" s="48" t="n">
        <f aca="false">M940+B940*(IF($A940&lt;$Q$888,(Surface_Engine!L244*12)-(Surface_Engine!L244*12)*INDEX(Surface_Engine!$F$12:$F$72,$A940+1)-INDEX(Surface_Engine!$D$12:$D$72,$A940+1),-(1000*12*INDEX(Surface_Engine!$C$12:$C$72,$A940+1)/(1+Assumptions!$B$10)^17+INDEX(Surface_Engine!$D$12:$D$72,$A940+1))))*INDEX(Surface_Engine!$B$12:$B$72,$A940+1)</f>
        <v>1279.94706922478</v>
      </c>
      <c r="N941" s="12" t="n">
        <f aca="false">IF(B941&lt;=0,0,MAX(0,(K941+Assumptions!$B$29*L941/INDEX(Surface_Engine!$B$12:$B$72,$A941+1)-(M941/INDEX(Surface_Engine!$B$12:$B$72,$A941+1)-(F941/INDEX(Surface_Engine!$B$12:$B$72,$A941+1))))/B941))</f>
        <v>0</v>
      </c>
    </row>
    <row r="942" customFormat="false" ht="15" hidden="false" customHeight="true" outlineLevel="0" collapsed="false">
      <c r="A942" s="1" t="n">
        <v>52</v>
      </c>
      <c r="B942" s="32" t="n">
        <f aca="false">INDEX(Surface_Engine!$O$12:$O$72,$A942+1)*IF($A942&lt;$Q$888,INDEX(Surface_Engine!$E$12:$E$72,$A942+1),INDEX(Surface_Engine!$E$12:$E$72,$Q$888+1))</f>
        <v>1.72881878524746E-006</v>
      </c>
      <c r="C942" s="32" t="n">
        <f aca="false">INDEX(Panel_Reserving!$E$8:$E$68,$A942+1)*IF($A942&lt;$Q$888,INDEX(Surface_Engine!$E$12:$E$72,$A942+1),INDEX(Surface_Engine!$E$12:$E$72,$Q$888+1))</f>
        <v>4.47376904257626E-005</v>
      </c>
      <c r="D942" s="32" t="n">
        <f aca="false">INDEX(Surface_Engine!$O$12:$O$72,$A942+1)*IF($A942&lt;$Q$888,INDEX(Surface_Engine!$Y$12:$Y$72,$A942+1),INDEX(Surface_Engine!$Y$12:$Y$72,$Q$888+1))</f>
        <v>1.5517510045839E-006</v>
      </c>
      <c r="E942" s="32" t="n">
        <f aca="false">INDEX(Surface_Engine!$O$12:$O$72,$A942+1)*IF($A942&lt;$Q$888,INDEX(Surface_Engine!$Z$12:$Z$72,$A942+1),INDEX(Surface_Engine!$Z$12:$Z$72,$Q$888+1))</f>
        <v>1.92424312093119E-006</v>
      </c>
      <c r="F942" s="48" t="n">
        <f aca="false">B942*(IF($A942&lt;$Q$888,INDEX(Surface_Engine!$D$12:$D$72,$A942+1)+(Surface_Engine!L244*12)*INDEX(Surface_Engine!$F$12:$F$72,$A942+1)-(Surface_Engine!L244*12),1000*12*INDEX(Surface_Engine!$C$12:$C$72,$A942+1)/(1+Assumptions!$B$10)^17+INDEX(Surface_Engine!$D$12:$D$72,$A942+1)))*INDEX(Surface_Engine!$B$12:$B$72,$A942+1)+F943</f>
        <v>0.00809058048247538</v>
      </c>
      <c r="G942" s="48" t="n">
        <f aca="false">C942*(IF($A942&lt;$Q$888,INDEX(Surface_Engine!$D$12:$D$72,$A942+1)+(Surface_Engine!L244*12)*INDEX(Surface_Engine!$F$12:$F$72,$A942+1)-(Surface_Engine!L244*12),1000*12*INDEX(Surface_Engine!$C$12:$C$72,$A942+1)/(1+Assumptions!$B$10)^17+INDEX(Surface_Engine!$D$12:$D$72,$A942+1)))*INDEX(Surface_Engine!$B$12:$B$72,$A942+1)+G943</f>
        <v>0.209364849617765</v>
      </c>
      <c r="H942" s="48" t="n">
        <f aca="false">D942*(IF($A942&lt;$Q$888,INDEX(Surface_Engine!$D$12:$D$72,$A942+1)+(Surface_Engine!L244*12)*INDEX(Surface_Engine!$F$12:$F$72,$A942+1)-(Surface_Engine!L244*12),1000*12*INDEX(Surface_Engine!$C$12:$C$72,$A942+1)/(1+Assumptions!$B$10)^17+INDEX(Surface_Engine!$D$12:$D$72,$A942+1)))*INDEX(Surface_Engine!$B$12:$B$72,$A942+1)+H943</f>
        <v>0.00726193311784903</v>
      </c>
      <c r="I942" s="48" t="n">
        <f aca="false">E942*(IF($A942&lt;$Q$888,INDEX(Surface_Engine!$D$12:$D$72,$A942+1)+(Surface_Engine!L244*12)*INDEX(Surface_Engine!$F$12:$F$72,$A942+1)-(Surface_Engine!L244*12),1000*12*INDEX(Surface_Engine!$C$12:$C$72,$A942+1)/(1+Assumptions!$B$10)^17+INDEX(Surface_Engine!$D$12:$D$72,$A942+1)))*INDEX(Surface_Engine!$B$12:$B$72,$A942+1)+I943</f>
        <v>0.00900513343017322</v>
      </c>
      <c r="J942" s="48" t="n">
        <f aca="false">B942*(IF($A942&lt;$Q$888,INDEX(Surface_Engine!$D$12:$D$72,$A942+1)*(1+Assumptions!$B$24)+(Surface_Engine!L244*12)*INDEX(Surface_Engine!$F$12:$F$72,$A942+1)-(Surface_Engine!L244*12),1000*12*INDEX(Surface_Engine!$C$12:$C$72,$A942+1)/(1+Assumptions!$B$10)^17+INDEX(Surface_Engine!$D$12:$D$72,$A942+1)*(1+Assumptions!$B$24)))*INDEX(Surface_Engine!$B$12:$B$72,$A942+1)+J943</f>
        <v>0.00810044149385675</v>
      </c>
      <c r="K942" s="12" t="n">
        <f aca="false">SQRT((IF(C942&lt;=0,0,MAX(0,(B942/C942)*G942/INDEX(Surface_Engine!$B$12:$B$72,$A942+1)-F942/INDEX(Surface_Engine!$B$12:$B$72,$A942+1))))^2+(MAX(IF(D942&lt;=0,0,MAX(0,(B942/D942)*H942/INDEX(Surface_Engine!$B$12:$B$72,$A942+1)-F942/INDEX(Surface_Engine!$B$12:$B$72,$A942+1))),IF(E942&lt;=0,0,MAX(0,(B942/E942)*I942/INDEX(Surface_Engine!$B$12:$B$72,$A942+1)-F942/INDEX(Surface_Engine!$B$12:$B$72,$A942+1))),IF($A942&lt;$Q$888,MAX(0,-Assumptions!$B$22*(F942/INDEX(Surface_Engine!$B$12:$B$72,$A942+1))),0)))^2+(MAX(0,J942/INDEX(Surface_Engine!$B$12:$B$72,$A942+1)-(F942/INDEX(Surface_Engine!$B$12:$B$72,$A942+1))))^2+2*Assumptions!$B$26*(IF(C942&lt;=0,0,MAX(0,(B942/C942)*G942/INDEX(Surface_Engine!$B$12:$B$72,$A942+1)-F942/INDEX(Surface_Engine!$B$12:$B$72,$A942+1))))*(MAX(IF(D942&lt;=0,0,MAX(0,(B942/D942)*H942/INDEX(Surface_Engine!$B$12:$B$72,$A942+1)-F942/INDEX(Surface_Engine!$B$12:$B$72,$A942+1))),IF(E942&lt;=0,0,MAX(0,(B942/E942)*I942/INDEX(Surface_Engine!$B$12:$B$72,$A942+1)-F942/INDEX(Surface_Engine!$B$12:$B$72,$A942+1))),IF($A942&lt;$Q$888,MAX(0,-Assumptions!$B$22*(F942/INDEX(Surface_Engine!$B$12:$B$72,$A942+1))),0)))+2*Assumptions!$B$27*(IF(C942&lt;=0,0,MAX(0,(B942/C942)*G942/INDEX(Surface_Engine!$B$12:$B$72,$A942+1)-F942/INDEX(Surface_Engine!$B$12:$B$72,$A942+1))))*(MAX(0,J942/INDEX(Surface_Engine!$B$12:$B$72,$A942+1)-(F942/INDEX(Surface_Engine!$B$12:$B$72,$A942+1))))+2*Assumptions!$B$28*(MAX(IF(D942&lt;=0,0,MAX(0,(B942/D942)*H942/INDEX(Surface_Engine!$B$12:$B$72,$A942+1)-F942/INDEX(Surface_Engine!$B$12:$B$72,$A942+1))),IF(E942&lt;=0,0,MAX(0,(B942/E942)*I942/INDEX(Surface_Engine!$B$12:$B$72,$A942+1)-F942/INDEX(Surface_Engine!$B$12:$B$72,$A942+1))),IF($A942&lt;$Q$888,MAX(0,-Assumptions!$B$22*(F942/INDEX(Surface_Engine!$B$12:$B$72,$A942+1))),0)))*(MAX(0,J942/INDEX(Surface_Engine!$B$12:$B$72,$A942+1)-(F942/INDEX(Surface_Engine!$B$12:$B$72,$A942+1)))))</f>
        <v>5.11922626845046E-005</v>
      </c>
      <c r="L942" s="48" t="n">
        <f aca="false">K942*INDEX(Surface_Engine!$B$12:$B$72,$A942+1)+L943</f>
        <v>9.86101138136845E-006</v>
      </c>
      <c r="M942" s="48" t="n">
        <f aca="false">M941+B941*(IF($A941&lt;$Q$888,(Surface_Engine!L244*12)-(Surface_Engine!L244*12)*INDEX(Surface_Engine!$F$12:$F$72,$A941+1)-INDEX(Surface_Engine!$D$12:$D$72,$A941+1),-(1000*12*INDEX(Surface_Engine!$C$12:$C$72,$A941+1)/(1+Assumptions!$B$10)^17+INDEX(Surface_Engine!$D$12:$D$72,$A941+1))))*INDEX(Surface_Engine!$B$12:$B$72,$A941+1)</f>
        <v>1279.92696233503</v>
      </c>
      <c r="N942" s="12" t="n">
        <f aca="false">IF(B942&lt;=0,0,MAX(0,(K942+Assumptions!$B$29*L942/INDEX(Surface_Engine!$B$12:$B$72,$A942+1)-(M942/INDEX(Surface_Engine!$B$12:$B$72,$A942+1)-(F942/INDEX(Surface_Engine!$B$12:$B$72,$A942+1))))/B942))</f>
        <v>0</v>
      </c>
    </row>
    <row r="943" customFormat="false" ht="15" hidden="false" customHeight="true" outlineLevel="0" collapsed="false">
      <c r="A943" s="1" t="n">
        <v>53</v>
      </c>
      <c r="B943" s="32" t="n">
        <f aca="false">INDEX(Surface_Engine!$O$12:$O$72,$A943+1)*IF($A943&lt;$Q$888,INDEX(Surface_Engine!$E$12:$E$72,$A943+1),INDEX(Surface_Engine!$E$12:$E$72,$Q$888+1))</f>
        <v>0</v>
      </c>
      <c r="C943" s="32" t="n">
        <f aca="false">INDEX(Panel_Reserving!$E$8:$E$68,$A943+1)*IF($A943&lt;$Q$888,INDEX(Surface_Engine!$E$12:$E$72,$A943+1),INDEX(Surface_Engine!$E$12:$E$72,$Q$888+1))</f>
        <v>0</v>
      </c>
      <c r="D943" s="32" t="n">
        <f aca="false">INDEX(Surface_Engine!$O$12:$O$72,$A943+1)*IF($A943&lt;$Q$888,INDEX(Surface_Engine!$Y$12:$Y$72,$A943+1),INDEX(Surface_Engine!$Y$12:$Y$72,$Q$888+1))</f>
        <v>0</v>
      </c>
      <c r="E943" s="32" t="n">
        <f aca="false">INDEX(Surface_Engine!$O$12:$O$72,$A943+1)*IF($A943&lt;$Q$888,INDEX(Surface_Engine!$Z$12:$Z$72,$A943+1),INDEX(Surface_Engine!$Z$12:$Z$72,$Q$888+1))</f>
        <v>0</v>
      </c>
      <c r="F943" s="48" t="n">
        <f aca="false">B943*(IF($A943&lt;$Q$888,INDEX(Surface_Engine!$D$12:$D$72,$A943+1)+(Surface_Engine!L244*12)*INDEX(Surface_Engine!$F$12:$F$72,$A943+1)-(Surface_Engine!L244*12),1000*12*INDEX(Surface_Engine!$C$12:$C$72,$A943+1)/(1+Assumptions!$B$10)^17+INDEX(Surface_Engine!$D$12:$D$72,$A943+1)))*INDEX(Surface_Engine!$B$12:$B$72,$A943+1)+F944</f>
        <v>0</v>
      </c>
      <c r="G943" s="48" t="n">
        <f aca="false">C943*(IF($A943&lt;$Q$888,INDEX(Surface_Engine!$D$12:$D$72,$A943+1)+(Surface_Engine!L244*12)*INDEX(Surface_Engine!$F$12:$F$72,$A943+1)-(Surface_Engine!L244*12),1000*12*INDEX(Surface_Engine!$C$12:$C$72,$A943+1)/(1+Assumptions!$B$10)^17+INDEX(Surface_Engine!$D$12:$D$72,$A943+1)))*INDEX(Surface_Engine!$B$12:$B$72,$A943+1)+G944</f>
        <v>0</v>
      </c>
      <c r="H943" s="48" t="n">
        <f aca="false">D943*(IF($A943&lt;$Q$888,INDEX(Surface_Engine!$D$12:$D$72,$A943+1)+(Surface_Engine!L244*12)*INDEX(Surface_Engine!$F$12:$F$72,$A943+1)-(Surface_Engine!L244*12),1000*12*INDEX(Surface_Engine!$C$12:$C$72,$A943+1)/(1+Assumptions!$B$10)^17+INDEX(Surface_Engine!$D$12:$D$72,$A943+1)))*INDEX(Surface_Engine!$B$12:$B$72,$A943+1)+H944</f>
        <v>0</v>
      </c>
      <c r="I943" s="48" t="n">
        <f aca="false">E943*(IF($A943&lt;$Q$888,INDEX(Surface_Engine!$D$12:$D$72,$A943+1)+(Surface_Engine!L244*12)*INDEX(Surface_Engine!$F$12:$F$72,$A943+1)-(Surface_Engine!L244*12),1000*12*INDEX(Surface_Engine!$C$12:$C$72,$A943+1)/(1+Assumptions!$B$10)^17+INDEX(Surface_Engine!$D$12:$D$72,$A943+1)))*INDEX(Surface_Engine!$B$12:$B$72,$A943+1)+I944</f>
        <v>0</v>
      </c>
      <c r="J943" s="48" t="n">
        <f aca="false">B943*(IF($A943&lt;$Q$888,INDEX(Surface_Engine!$D$12:$D$72,$A943+1)*(1+Assumptions!$B$24)+(Surface_Engine!L244*12)*INDEX(Surface_Engine!$F$12:$F$72,$A943+1)-(Surface_Engine!L244*12),1000*12*INDEX(Surface_Engine!$C$12:$C$72,$A943+1)/(1+Assumptions!$B$10)^17+INDEX(Surface_Engine!$D$12:$D$72,$A943+1)*(1+Assumptions!$B$24)))*INDEX(Surface_Engine!$B$12:$B$72,$A943+1)+J944</f>
        <v>0</v>
      </c>
      <c r="K943" s="12" t="n">
        <f aca="false">SQRT((IF(C943&lt;=0,0,MAX(0,(B943/C943)*G943/INDEX(Surface_Engine!$B$12:$B$72,$A943+1)-F943/INDEX(Surface_Engine!$B$12:$B$72,$A943+1))))^2+(MAX(IF(D943&lt;=0,0,MAX(0,(B943/D943)*H943/INDEX(Surface_Engine!$B$12:$B$72,$A943+1)-F943/INDEX(Surface_Engine!$B$12:$B$72,$A943+1))),IF(E943&lt;=0,0,MAX(0,(B943/E943)*I943/INDEX(Surface_Engine!$B$12:$B$72,$A943+1)-F943/INDEX(Surface_Engine!$B$12:$B$72,$A943+1))),IF($A943&lt;$Q$888,MAX(0,-Assumptions!$B$22*(F943/INDEX(Surface_Engine!$B$12:$B$72,$A943+1))),0)))^2+(MAX(0,J943/INDEX(Surface_Engine!$B$12:$B$72,$A943+1)-(F943/INDEX(Surface_Engine!$B$12:$B$72,$A943+1))))^2+2*Assumptions!$B$26*(IF(C943&lt;=0,0,MAX(0,(B943/C943)*G943/INDEX(Surface_Engine!$B$12:$B$72,$A943+1)-F943/INDEX(Surface_Engine!$B$12:$B$72,$A943+1))))*(MAX(IF(D943&lt;=0,0,MAX(0,(B943/D943)*H943/INDEX(Surface_Engine!$B$12:$B$72,$A943+1)-F943/INDEX(Surface_Engine!$B$12:$B$72,$A943+1))),IF(E943&lt;=0,0,MAX(0,(B943/E943)*I943/INDEX(Surface_Engine!$B$12:$B$72,$A943+1)-F943/INDEX(Surface_Engine!$B$12:$B$72,$A943+1))),IF($A943&lt;$Q$888,MAX(0,-Assumptions!$B$22*(F943/INDEX(Surface_Engine!$B$12:$B$72,$A943+1))),0)))+2*Assumptions!$B$27*(IF(C943&lt;=0,0,MAX(0,(B943/C943)*G943/INDEX(Surface_Engine!$B$12:$B$72,$A943+1)-F943/INDEX(Surface_Engine!$B$12:$B$72,$A943+1))))*(MAX(0,J943/INDEX(Surface_Engine!$B$12:$B$72,$A943+1)-(F943/INDEX(Surface_Engine!$B$12:$B$72,$A943+1))))+2*Assumptions!$B$28*(MAX(IF(D943&lt;=0,0,MAX(0,(B943/D943)*H943/INDEX(Surface_Engine!$B$12:$B$72,$A943+1)-F943/INDEX(Surface_Engine!$B$12:$B$72,$A943+1))),IF(E943&lt;=0,0,MAX(0,(B943/E943)*I943/INDEX(Surface_Engine!$B$12:$B$72,$A943+1)-F943/INDEX(Surface_Engine!$B$12:$B$72,$A943+1))),IF($A943&lt;$Q$888,MAX(0,-Assumptions!$B$22*(F943/INDEX(Surface_Engine!$B$12:$B$72,$A943+1))),0)))*(MAX(0,J943/INDEX(Surface_Engine!$B$12:$B$72,$A943+1)-(F943/INDEX(Surface_Engine!$B$12:$B$72,$A943+1)))))</f>
        <v>0</v>
      </c>
      <c r="L943" s="48" t="n">
        <f aca="false">K943*INDEX(Surface_Engine!$B$12:$B$72,$A943+1)+L944</f>
        <v>0</v>
      </c>
      <c r="M943" s="48" t="n">
        <f aca="false">M942+B942*(IF($A942&lt;$Q$888,(Surface_Engine!L244*12)-(Surface_Engine!L244*12)*INDEX(Surface_Engine!$F$12:$F$72,$A942+1)-INDEX(Surface_Engine!$D$12:$D$72,$A942+1),-(1000*12*INDEX(Surface_Engine!$C$12:$C$72,$A942+1)/(1+Assumptions!$B$10)^17+INDEX(Surface_Engine!$D$12:$D$72,$A942+1))))*INDEX(Surface_Engine!$B$12:$B$72,$A942+1)</f>
        <v>1279.91887175455</v>
      </c>
      <c r="N943" s="12" t="n">
        <f aca="false">IF(B943&lt;=0,0,MAX(0,(K943+Assumptions!$B$29*L943/INDEX(Surface_Engine!$B$12:$B$72,$A943+1)-(M943/INDEX(Surface_Engine!$B$12:$B$72,$A943+1)-(F943/INDEX(Surface_Engine!$B$12:$B$72,$A943+1))))/B943))</f>
        <v>0</v>
      </c>
    </row>
    <row r="944" customFormat="false" ht="15" hidden="false" customHeight="true" outlineLevel="0" collapsed="false">
      <c r="A944" s="1" t="n">
        <v>54</v>
      </c>
      <c r="B944" s="32" t="n">
        <f aca="false">INDEX(Surface_Engine!$O$12:$O$72,$A944+1)*IF($A944&lt;$Q$888,INDEX(Surface_Engine!$E$12:$E$72,$A944+1),INDEX(Surface_Engine!$E$12:$E$72,$Q$888+1))</f>
        <v>0</v>
      </c>
      <c r="C944" s="32" t="n">
        <f aca="false">INDEX(Panel_Reserving!$E$8:$E$68,$A944+1)*IF($A944&lt;$Q$888,INDEX(Surface_Engine!$E$12:$E$72,$A944+1),INDEX(Surface_Engine!$E$12:$E$72,$Q$888+1))</f>
        <v>0</v>
      </c>
      <c r="D944" s="32" t="n">
        <f aca="false">INDEX(Surface_Engine!$O$12:$O$72,$A944+1)*IF($A944&lt;$Q$888,INDEX(Surface_Engine!$Y$12:$Y$72,$A944+1),INDEX(Surface_Engine!$Y$12:$Y$72,$Q$888+1))</f>
        <v>0</v>
      </c>
      <c r="E944" s="32" t="n">
        <f aca="false">INDEX(Surface_Engine!$O$12:$O$72,$A944+1)*IF($A944&lt;$Q$888,INDEX(Surface_Engine!$Z$12:$Z$72,$A944+1),INDEX(Surface_Engine!$Z$12:$Z$72,$Q$888+1))</f>
        <v>0</v>
      </c>
      <c r="F944" s="48" t="n">
        <f aca="false">B944*(IF($A944&lt;$Q$888,INDEX(Surface_Engine!$D$12:$D$72,$A944+1)+(Surface_Engine!L244*12)*INDEX(Surface_Engine!$F$12:$F$72,$A944+1)-(Surface_Engine!L244*12),1000*12*INDEX(Surface_Engine!$C$12:$C$72,$A944+1)/(1+Assumptions!$B$10)^17+INDEX(Surface_Engine!$D$12:$D$72,$A944+1)))*INDEX(Surface_Engine!$B$12:$B$72,$A944+1)+F945</f>
        <v>0</v>
      </c>
      <c r="G944" s="48" t="n">
        <f aca="false">C944*(IF($A944&lt;$Q$888,INDEX(Surface_Engine!$D$12:$D$72,$A944+1)+(Surface_Engine!L244*12)*INDEX(Surface_Engine!$F$12:$F$72,$A944+1)-(Surface_Engine!L244*12),1000*12*INDEX(Surface_Engine!$C$12:$C$72,$A944+1)/(1+Assumptions!$B$10)^17+INDEX(Surface_Engine!$D$12:$D$72,$A944+1)))*INDEX(Surface_Engine!$B$12:$B$72,$A944+1)+G945</f>
        <v>0</v>
      </c>
      <c r="H944" s="48" t="n">
        <f aca="false">D944*(IF($A944&lt;$Q$888,INDEX(Surface_Engine!$D$12:$D$72,$A944+1)+(Surface_Engine!L244*12)*INDEX(Surface_Engine!$F$12:$F$72,$A944+1)-(Surface_Engine!L244*12),1000*12*INDEX(Surface_Engine!$C$12:$C$72,$A944+1)/(1+Assumptions!$B$10)^17+INDEX(Surface_Engine!$D$12:$D$72,$A944+1)))*INDEX(Surface_Engine!$B$12:$B$72,$A944+1)+H945</f>
        <v>0</v>
      </c>
      <c r="I944" s="48" t="n">
        <f aca="false">E944*(IF($A944&lt;$Q$888,INDEX(Surface_Engine!$D$12:$D$72,$A944+1)+(Surface_Engine!L244*12)*INDEX(Surface_Engine!$F$12:$F$72,$A944+1)-(Surface_Engine!L244*12),1000*12*INDEX(Surface_Engine!$C$12:$C$72,$A944+1)/(1+Assumptions!$B$10)^17+INDEX(Surface_Engine!$D$12:$D$72,$A944+1)))*INDEX(Surface_Engine!$B$12:$B$72,$A944+1)+I945</f>
        <v>0</v>
      </c>
      <c r="J944" s="48" t="n">
        <f aca="false">B944*(IF($A944&lt;$Q$888,INDEX(Surface_Engine!$D$12:$D$72,$A944+1)*(1+Assumptions!$B$24)+(Surface_Engine!L244*12)*INDEX(Surface_Engine!$F$12:$F$72,$A944+1)-(Surface_Engine!L244*12),1000*12*INDEX(Surface_Engine!$C$12:$C$72,$A944+1)/(1+Assumptions!$B$10)^17+INDEX(Surface_Engine!$D$12:$D$72,$A944+1)*(1+Assumptions!$B$24)))*INDEX(Surface_Engine!$B$12:$B$72,$A944+1)+J945</f>
        <v>0</v>
      </c>
      <c r="K944" s="12" t="n">
        <f aca="false">SQRT((IF(C944&lt;=0,0,MAX(0,(B944/C944)*G944/INDEX(Surface_Engine!$B$12:$B$72,$A944+1)-F944/INDEX(Surface_Engine!$B$12:$B$72,$A944+1))))^2+(MAX(IF(D944&lt;=0,0,MAX(0,(B944/D944)*H944/INDEX(Surface_Engine!$B$12:$B$72,$A944+1)-F944/INDEX(Surface_Engine!$B$12:$B$72,$A944+1))),IF(E944&lt;=0,0,MAX(0,(B944/E944)*I944/INDEX(Surface_Engine!$B$12:$B$72,$A944+1)-F944/INDEX(Surface_Engine!$B$12:$B$72,$A944+1))),IF($A944&lt;$Q$888,MAX(0,-Assumptions!$B$22*(F944/INDEX(Surface_Engine!$B$12:$B$72,$A944+1))),0)))^2+(MAX(0,J944/INDEX(Surface_Engine!$B$12:$B$72,$A944+1)-(F944/INDEX(Surface_Engine!$B$12:$B$72,$A944+1))))^2+2*Assumptions!$B$26*(IF(C944&lt;=0,0,MAX(0,(B944/C944)*G944/INDEX(Surface_Engine!$B$12:$B$72,$A944+1)-F944/INDEX(Surface_Engine!$B$12:$B$72,$A944+1))))*(MAX(IF(D944&lt;=0,0,MAX(0,(B944/D944)*H944/INDEX(Surface_Engine!$B$12:$B$72,$A944+1)-F944/INDEX(Surface_Engine!$B$12:$B$72,$A944+1))),IF(E944&lt;=0,0,MAX(0,(B944/E944)*I944/INDEX(Surface_Engine!$B$12:$B$72,$A944+1)-F944/INDEX(Surface_Engine!$B$12:$B$72,$A944+1))),IF($A944&lt;$Q$888,MAX(0,-Assumptions!$B$22*(F944/INDEX(Surface_Engine!$B$12:$B$72,$A944+1))),0)))+2*Assumptions!$B$27*(IF(C944&lt;=0,0,MAX(0,(B944/C944)*G944/INDEX(Surface_Engine!$B$12:$B$72,$A944+1)-F944/INDEX(Surface_Engine!$B$12:$B$72,$A944+1))))*(MAX(0,J944/INDEX(Surface_Engine!$B$12:$B$72,$A944+1)-(F944/INDEX(Surface_Engine!$B$12:$B$72,$A944+1))))+2*Assumptions!$B$28*(MAX(IF(D944&lt;=0,0,MAX(0,(B944/D944)*H944/INDEX(Surface_Engine!$B$12:$B$72,$A944+1)-F944/INDEX(Surface_Engine!$B$12:$B$72,$A944+1))),IF(E944&lt;=0,0,MAX(0,(B944/E944)*I944/INDEX(Surface_Engine!$B$12:$B$72,$A944+1)-F944/INDEX(Surface_Engine!$B$12:$B$72,$A944+1))),IF($A944&lt;$Q$888,MAX(0,-Assumptions!$B$22*(F944/INDEX(Surface_Engine!$B$12:$B$72,$A944+1))),0)))*(MAX(0,J944/INDEX(Surface_Engine!$B$12:$B$72,$A944+1)-(F944/INDEX(Surface_Engine!$B$12:$B$72,$A944+1)))))</f>
        <v>0</v>
      </c>
      <c r="L944" s="48" t="n">
        <f aca="false">K944*INDEX(Surface_Engine!$B$12:$B$72,$A944+1)+L945</f>
        <v>0</v>
      </c>
      <c r="M944" s="48" t="n">
        <f aca="false">M943+B943*(IF($A943&lt;$Q$888,(Surface_Engine!L244*12)-(Surface_Engine!L244*12)*INDEX(Surface_Engine!$F$12:$F$72,$A943+1)-INDEX(Surface_Engine!$D$12:$D$72,$A943+1),-(1000*12*INDEX(Surface_Engine!$C$12:$C$72,$A943+1)/(1+Assumptions!$B$10)^17+INDEX(Surface_Engine!$D$12:$D$72,$A943+1))))*INDEX(Surface_Engine!$B$12:$B$72,$A943+1)</f>
        <v>1279.91887175455</v>
      </c>
      <c r="N944" s="12" t="n">
        <f aca="false">IF(B944&lt;=0,0,MAX(0,(K944+Assumptions!$B$29*L944/INDEX(Surface_Engine!$B$12:$B$72,$A944+1)-(M944/INDEX(Surface_Engine!$B$12:$B$72,$A944+1)-(F944/INDEX(Surface_Engine!$B$12:$B$72,$A944+1))))/B944))</f>
        <v>0</v>
      </c>
    </row>
    <row r="945" customFormat="false" ht="15" hidden="false" customHeight="true" outlineLevel="0" collapsed="false">
      <c r="A945" s="1" t="n">
        <v>55</v>
      </c>
      <c r="B945" s="32" t="n">
        <f aca="false">INDEX(Surface_Engine!$O$12:$O$72,$A945+1)*IF($A945&lt;$Q$888,INDEX(Surface_Engine!$E$12:$E$72,$A945+1),INDEX(Surface_Engine!$E$12:$E$72,$Q$888+1))</f>
        <v>0</v>
      </c>
      <c r="C945" s="32" t="n">
        <f aca="false">INDEX(Panel_Reserving!$E$8:$E$68,$A945+1)*IF($A945&lt;$Q$888,INDEX(Surface_Engine!$E$12:$E$72,$A945+1),INDEX(Surface_Engine!$E$12:$E$72,$Q$888+1))</f>
        <v>0</v>
      </c>
      <c r="D945" s="32" t="n">
        <f aca="false">INDEX(Surface_Engine!$O$12:$O$72,$A945+1)*IF($A945&lt;$Q$888,INDEX(Surface_Engine!$Y$12:$Y$72,$A945+1),INDEX(Surface_Engine!$Y$12:$Y$72,$Q$888+1))</f>
        <v>0</v>
      </c>
      <c r="E945" s="32" t="n">
        <f aca="false">INDEX(Surface_Engine!$O$12:$O$72,$A945+1)*IF($A945&lt;$Q$888,INDEX(Surface_Engine!$Z$12:$Z$72,$A945+1),INDEX(Surface_Engine!$Z$12:$Z$72,$Q$888+1))</f>
        <v>0</v>
      </c>
      <c r="F945" s="48" t="n">
        <f aca="false">B945*(IF($A945&lt;$Q$888,INDEX(Surface_Engine!$D$12:$D$72,$A945+1)+(Surface_Engine!L244*12)*INDEX(Surface_Engine!$F$12:$F$72,$A945+1)-(Surface_Engine!L244*12),1000*12*INDEX(Surface_Engine!$C$12:$C$72,$A945+1)/(1+Assumptions!$B$10)^17+INDEX(Surface_Engine!$D$12:$D$72,$A945+1)))*INDEX(Surface_Engine!$B$12:$B$72,$A945+1)+F946</f>
        <v>0</v>
      </c>
      <c r="G945" s="48" t="n">
        <f aca="false">C945*(IF($A945&lt;$Q$888,INDEX(Surface_Engine!$D$12:$D$72,$A945+1)+(Surface_Engine!L244*12)*INDEX(Surface_Engine!$F$12:$F$72,$A945+1)-(Surface_Engine!L244*12),1000*12*INDEX(Surface_Engine!$C$12:$C$72,$A945+1)/(1+Assumptions!$B$10)^17+INDEX(Surface_Engine!$D$12:$D$72,$A945+1)))*INDEX(Surface_Engine!$B$12:$B$72,$A945+1)+G946</f>
        <v>0</v>
      </c>
      <c r="H945" s="48" t="n">
        <f aca="false">D945*(IF($A945&lt;$Q$888,INDEX(Surface_Engine!$D$12:$D$72,$A945+1)+(Surface_Engine!L244*12)*INDEX(Surface_Engine!$F$12:$F$72,$A945+1)-(Surface_Engine!L244*12),1000*12*INDEX(Surface_Engine!$C$12:$C$72,$A945+1)/(1+Assumptions!$B$10)^17+INDEX(Surface_Engine!$D$12:$D$72,$A945+1)))*INDEX(Surface_Engine!$B$12:$B$72,$A945+1)+H946</f>
        <v>0</v>
      </c>
      <c r="I945" s="48" t="n">
        <f aca="false">E945*(IF($A945&lt;$Q$888,INDEX(Surface_Engine!$D$12:$D$72,$A945+1)+(Surface_Engine!L244*12)*INDEX(Surface_Engine!$F$12:$F$72,$A945+1)-(Surface_Engine!L244*12),1000*12*INDEX(Surface_Engine!$C$12:$C$72,$A945+1)/(1+Assumptions!$B$10)^17+INDEX(Surface_Engine!$D$12:$D$72,$A945+1)))*INDEX(Surface_Engine!$B$12:$B$72,$A945+1)+I946</f>
        <v>0</v>
      </c>
      <c r="J945" s="48" t="n">
        <f aca="false">B945*(IF($A945&lt;$Q$888,INDEX(Surface_Engine!$D$12:$D$72,$A945+1)*(1+Assumptions!$B$24)+(Surface_Engine!L244*12)*INDEX(Surface_Engine!$F$12:$F$72,$A945+1)-(Surface_Engine!L244*12),1000*12*INDEX(Surface_Engine!$C$12:$C$72,$A945+1)/(1+Assumptions!$B$10)^17+INDEX(Surface_Engine!$D$12:$D$72,$A945+1)*(1+Assumptions!$B$24)))*INDEX(Surface_Engine!$B$12:$B$72,$A945+1)+J946</f>
        <v>0</v>
      </c>
      <c r="K945" s="12" t="n">
        <f aca="false">SQRT((IF(C945&lt;=0,0,MAX(0,(B945/C945)*G945/INDEX(Surface_Engine!$B$12:$B$72,$A945+1)-F945/INDEX(Surface_Engine!$B$12:$B$72,$A945+1))))^2+(MAX(IF(D945&lt;=0,0,MAX(0,(B945/D945)*H945/INDEX(Surface_Engine!$B$12:$B$72,$A945+1)-F945/INDEX(Surface_Engine!$B$12:$B$72,$A945+1))),IF(E945&lt;=0,0,MAX(0,(B945/E945)*I945/INDEX(Surface_Engine!$B$12:$B$72,$A945+1)-F945/INDEX(Surface_Engine!$B$12:$B$72,$A945+1))),IF($A945&lt;$Q$888,MAX(0,-Assumptions!$B$22*(F945/INDEX(Surface_Engine!$B$12:$B$72,$A945+1))),0)))^2+(MAX(0,J945/INDEX(Surface_Engine!$B$12:$B$72,$A945+1)-(F945/INDEX(Surface_Engine!$B$12:$B$72,$A945+1))))^2+2*Assumptions!$B$26*(IF(C945&lt;=0,0,MAX(0,(B945/C945)*G945/INDEX(Surface_Engine!$B$12:$B$72,$A945+1)-F945/INDEX(Surface_Engine!$B$12:$B$72,$A945+1))))*(MAX(IF(D945&lt;=0,0,MAX(0,(B945/D945)*H945/INDEX(Surface_Engine!$B$12:$B$72,$A945+1)-F945/INDEX(Surface_Engine!$B$12:$B$72,$A945+1))),IF(E945&lt;=0,0,MAX(0,(B945/E945)*I945/INDEX(Surface_Engine!$B$12:$B$72,$A945+1)-F945/INDEX(Surface_Engine!$B$12:$B$72,$A945+1))),IF($A945&lt;$Q$888,MAX(0,-Assumptions!$B$22*(F945/INDEX(Surface_Engine!$B$12:$B$72,$A945+1))),0)))+2*Assumptions!$B$27*(IF(C945&lt;=0,0,MAX(0,(B945/C945)*G945/INDEX(Surface_Engine!$B$12:$B$72,$A945+1)-F945/INDEX(Surface_Engine!$B$12:$B$72,$A945+1))))*(MAX(0,J945/INDEX(Surface_Engine!$B$12:$B$72,$A945+1)-(F945/INDEX(Surface_Engine!$B$12:$B$72,$A945+1))))+2*Assumptions!$B$28*(MAX(IF(D945&lt;=0,0,MAX(0,(B945/D945)*H945/INDEX(Surface_Engine!$B$12:$B$72,$A945+1)-F945/INDEX(Surface_Engine!$B$12:$B$72,$A945+1))),IF(E945&lt;=0,0,MAX(0,(B945/E945)*I945/INDEX(Surface_Engine!$B$12:$B$72,$A945+1)-F945/INDEX(Surface_Engine!$B$12:$B$72,$A945+1))),IF($A945&lt;$Q$888,MAX(0,-Assumptions!$B$22*(F945/INDEX(Surface_Engine!$B$12:$B$72,$A945+1))),0)))*(MAX(0,J945/INDEX(Surface_Engine!$B$12:$B$72,$A945+1)-(F945/INDEX(Surface_Engine!$B$12:$B$72,$A945+1)))))</f>
        <v>0</v>
      </c>
      <c r="L945" s="48" t="n">
        <f aca="false">K945*INDEX(Surface_Engine!$B$12:$B$72,$A945+1)+L946</f>
        <v>0</v>
      </c>
      <c r="M945" s="48" t="n">
        <f aca="false">M944+B944*(IF($A944&lt;$Q$888,(Surface_Engine!L244*12)-(Surface_Engine!L244*12)*INDEX(Surface_Engine!$F$12:$F$72,$A944+1)-INDEX(Surface_Engine!$D$12:$D$72,$A944+1),-(1000*12*INDEX(Surface_Engine!$C$12:$C$72,$A944+1)/(1+Assumptions!$B$10)^17+INDEX(Surface_Engine!$D$12:$D$72,$A944+1))))*INDEX(Surface_Engine!$B$12:$B$72,$A944+1)</f>
        <v>1279.91887175455</v>
      </c>
      <c r="N945" s="12" t="n">
        <f aca="false">IF(B945&lt;=0,0,MAX(0,(K945+Assumptions!$B$29*L945/INDEX(Surface_Engine!$B$12:$B$72,$A945+1)-(M945/INDEX(Surface_Engine!$B$12:$B$72,$A945+1)-(F945/INDEX(Surface_Engine!$B$12:$B$72,$A945+1))))/B945))</f>
        <v>0</v>
      </c>
    </row>
    <row r="946" customFormat="false" ht="15" hidden="false" customHeight="true" outlineLevel="0" collapsed="false">
      <c r="A946" s="1" t="n">
        <v>56</v>
      </c>
      <c r="B946" s="32" t="n">
        <f aca="false">INDEX(Surface_Engine!$O$12:$O$72,$A946+1)*IF($A946&lt;$Q$888,INDEX(Surface_Engine!$E$12:$E$72,$A946+1),INDEX(Surface_Engine!$E$12:$E$72,$Q$888+1))</f>
        <v>0</v>
      </c>
      <c r="C946" s="32" t="n">
        <f aca="false">INDEX(Panel_Reserving!$E$8:$E$68,$A946+1)*IF($A946&lt;$Q$888,INDEX(Surface_Engine!$E$12:$E$72,$A946+1),INDEX(Surface_Engine!$E$12:$E$72,$Q$888+1))</f>
        <v>0</v>
      </c>
      <c r="D946" s="32" t="n">
        <f aca="false">INDEX(Surface_Engine!$O$12:$O$72,$A946+1)*IF($A946&lt;$Q$888,INDEX(Surface_Engine!$Y$12:$Y$72,$A946+1),INDEX(Surface_Engine!$Y$12:$Y$72,$Q$888+1))</f>
        <v>0</v>
      </c>
      <c r="E946" s="32" t="n">
        <f aca="false">INDEX(Surface_Engine!$O$12:$O$72,$A946+1)*IF($A946&lt;$Q$888,INDEX(Surface_Engine!$Z$12:$Z$72,$A946+1),INDEX(Surface_Engine!$Z$12:$Z$72,$Q$888+1))</f>
        <v>0</v>
      </c>
      <c r="F946" s="48" t="n">
        <f aca="false">B946*(IF($A946&lt;$Q$888,INDEX(Surface_Engine!$D$12:$D$72,$A946+1)+(Surface_Engine!L244*12)*INDEX(Surface_Engine!$F$12:$F$72,$A946+1)-(Surface_Engine!L244*12),1000*12*INDEX(Surface_Engine!$C$12:$C$72,$A946+1)/(1+Assumptions!$B$10)^17+INDEX(Surface_Engine!$D$12:$D$72,$A946+1)))*INDEX(Surface_Engine!$B$12:$B$72,$A946+1)+F947</f>
        <v>0</v>
      </c>
      <c r="G946" s="48" t="n">
        <f aca="false">C946*(IF($A946&lt;$Q$888,INDEX(Surface_Engine!$D$12:$D$72,$A946+1)+(Surface_Engine!L244*12)*INDEX(Surface_Engine!$F$12:$F$72,$A946+1)-(Surface_Engine!L244*12),1000*12*INDEX(Surface_Engine!$C$12:$C$72,$A946+1)/(1+Assumptions!$B$10)^17+INDEX(Surface_Engine!$D$12:$D$72,$A946+1)))*INDEX(Surface_Engine!$B$12:$B$72,$A946+1)+G947</f>
        <v>0</v>
      </c>
      <c r="H946" s="48" t="n">
        <f aca="false">D946*(IF($A946&lt;$Q$888,INDEX(Surface_Engine!$D$12:$D$72,$A946+1)+(Surface_Engine!L244*12)*INDEX(Surface_Engine!$F$12:$F$72,$A946+1)-(Surface_Engine!L244*12),1000*12*INDEX(Surface_Engine!$C$12:$C$72,$A946+1)/(1+Assumptions!$B$10)^17+INDEX(Surface_Engine!$D$12:$D$72,$A946+1)))*INDEX(Surface_Engine!$B$12:$B$72,$A946+1)+H947</f>
        <v>0</v>
      </c>
      <c r="I946" s="48" t="n">
        <f aca="false">E946*(IF($A946&lt;$Q$888,INDEX(Surface_Engine!$D$12:$D$72,$A946+1)+(Surface_Engine!L244*12)*INDEX(Surface_Engine!$F$12:$F$72,$A946+1)-(Surface_Engine!L244*12),1000*12*INDEX(Surface_Engine!$C$12:$C$72,$A946+1)/(1+Assumptions!$B$10)^17+INDEX(Surface_Engine!$D$12:$D$72,$A946+1)))*INDEX(Surface_Engine!$B$12:$B$72,$A946+1)+I947</f>
        <v>0</v>
      </c>
      <c r="J946" s="48" t="n">
        <f aca="false">B946*(IF($A946&lt;$Q$888,INDEX(Surface_Engine!$D$12:$D$72,$A946+1)*(1+Assumptions!$B$24)+(Surface_Engine!L244*12)*INDEX(Surface_Engine!$F$12:$F$72,$A946+1)-(Surface_Engine!L244*12),1000*12*INDEX(Surface_Engine!$C$12:$C$72,$A946+1)/(1+Assumptions!$B$10)^17+INDEX(Surface_Engine!$D$12:$D$72,$A946+1)*(1+Assumptions!$B$24)))*INDEX(Surface_Engine!$B$12:$B$72,$A946+1)+J947</f>
        <v>0</v>
      </c>
      <c r="K946" s="12" t="n">
        <f aca="false">SQRT((IF(C946&lt;=0,0,MAX(0,(B946/C946)*G946/INDEX(Surface_Engine!$B$12:$B$72,$A946+1)-F946/INDEX(Surface_Engine!$B$12:$B$72,$A946+1))))^2+(MAX(IF(D946&lt;=0,0,MAX(0,(B946/D946)*H946/INDEX(Surface_Engine!$B$12:$B$72,$A946+1)-F946/INDEX(Surface_Engine!$B$12:$B$72,$A946+1))),IF(E946&lt;=0,0,MAX(0,(B946/E946)*I946/INDEX(Surface_Engine!$B$12:$B$72,$A946+1)-F946/INDEX(Surface_Engine!$B$12:$B$72,$A946+1))),IF($A946&lt;$Q$888,MAX(0,-Assumptions!$B$22*(F946/INDEX(Surface_Engine!$B$12:$B$72,$A946+1))),0)))^2+(MAX(0,J946/INDEX(Surface_Engine!$B$12:$B$72,$A946+1)-(F946/INDEX(Surface_Engine!$B$12:$B$72,$A946+1))))^2+2*Assumptions!$B$26*(IF(C946&lt;=0,0,MAX(0,(B946/C946)*G946/INDEX(Surface_Engine!$B$12:$B$72,$A946+1)-F946/INDEX(Surface_Engine!$B$12:$B$72,$A946+1))))*(MAX(IF(D946&lt;=0,0,MAX(0,(B946/D946)*H946/INDEX(Surface_Engine!$B$12:$B$72,$A946+1)-F946/INDEX(Surface_Engine!$B$12:$B$72,$A946+1))),IF(E946&lt;=0,0,MAX(0,(B946/E946)*I946/INDEX(Surface_Engine!$B$12:$B$72,$A946+1)-F946/INDEX(Surface_Engine!$B$12:$B$72,$A946+1))),IF($A946&lt;$Q$888,MAX(0,-Assumptions!$B$22*(F946/INDEX(Surface_Engine!$B$12:$B$72,$A946+1))),0)))+2*Assumptions!$B$27*(IF(C946&lt;=0,0,MAX(0,(B946/C946)*G946/INDEX(Surface_Engine!$B$12:$B$72,$A946+1)-F946/INDEX(Surface_Engine!$B$12:$B$72,$A946+1))))*(MAX(0,J946/INDEX(Surface_Engine!$B$12:$B$72,$A946+1)-(F946/INDEX(Surface_Engine!$B$12:$B$72,$A946+1))))+2*Assumptions!$B$28*(MAX(IF(D946&lt;=0,0,MAX(0,(B946/D946)*H946/INDEX(Surface_Engine!$B$12:$B$72,$A946+1)-F946/INDEX(Surface_Engine!$B$12:$B$72,$A946+1))),IF(E946&lt;=0,0,MAX(0,(B946/E946)*I946/INDEX(Surface_Engine!$B$12:$B$72,$A946+1)-F946/INDEX(Surface_Engine!$B$12:$B$72,$A946+1))),IF($A946&lt;$Q$888,MAX(0,-Assumptions!$B$22*(F946/INDEX(Surface_Engine!$B$12:$B$72,$A946+1))),0)))*(MAX(0,J946/INDEX(Surface_Engine!$B$12:$B$72,$A946+1)-(F946/INDEX(Surface_Engine!$B$12:$B$72,$A946+1)))))</f>
        <v>0</v>
      </c>
      <c r="L946" s="48" t="n">
        <f aca="false">K946*INDEX(Surface_Engine!$B$12:$B$72,$A946+1)+L947</f>
        <v>0</v>
      </c>
      <c r="M946" s="48" t="n">
        <f aca="false">M945+B945*(IF($A945&lt;$Q$888,(Surface_Engine!L244*12)-(Surface_Engine!L244*12)*INDEX(Surface_Engine!$F$12:$F$72,$A945+1)-INDEX(Surface_Engine!$D$12:$D$72,$A945+1),-(1000*12*INDEX(Surface_Engine!$C$12:$C$72,$A945+1)/(1+Assumptions!$B$10)^17+INDEX(Surface_Engine!$D$12:$D$72,$A945+1))))*INDEX(Surface_Engine!$B$12:$B$72,$A945+1)</f>
        <v>1279.91887175455</v>
      </c>
      <c r="N946" s="12" t="n">
        <f aca="false">IF(B946&lt;=0,0,MAX(0,(K946+Assumptions!$B$29*L946/INDEX(Surface_Engine!$B$12:$B$72,$A946+1)-(M946/INDEX(Surface_Engine!$B$12:$B$72,$A946+1)-(F946/INDEX(Surface_Engine!$B$12:$B$72,$A946+1))))/B946))</f>
        <v>0</v>
      </c>
    </row>
    <row r="947" customFormat="false" ht="15" hidden="false" customHeight="true" outlineLevel="0" collapsed="false">
      <c r="A947" s="1" t="n">
        <v>57</v>
      </c>
      <c r="B947" s="32" t="n">
        <f aca="false">INDEX(Surface_Engine!$O$12:$O$72,$A947+1)*IF($A947&lt;$Q$888,INDEX(Surface_Engine!$E$12:$E$72,$A947+1),INDEX(Surface_Engine!$E$12:$E$72,$Q$888+1))</f>
        <v>0</v>
      </c>
      <c r="C947" s="32" t="n">
        <f aca="false">INDEX(Panel_Reserving!$E$8:$E$68,$A947+1)*IF($A947&lt;$Q$888,INDEX(Surface_Engine!$E$12:$E$72,$A947+1),INDEX(Surface_Engine!$E$12:$E$72,$Q$888+1))</f>
        <v>0</v>
      </c>
      <c r="D947" s="32" t="n">
        <f aca="false">INDEX(Surface_Engine!$O$12:$O$72,$A947+1)*IF($A947&lt;$Q$888,INDEX(Surface_Engine!$Y$12:$Y$72,$A947+1),INDEX(Surface_Engine!$Y$12:$Y$72,$Q$888+1))</f>
        <v>0</v>
      </c>
      <c r="E947" s="32" t="n">
        <f aca="false">INDEX(Surface_Engine!$O$12:$O$72,$A947+1)*IF($A947&lt;$Q$888,INDEX(Surface_Engine!$Z$12:$Z$72,$A947+1),INDEX(Surface_Engine!$Z$12:$Z$72,$Q$888+1))</f>
        <v>0</v>
      </c>
      <c r="F947" s="48" t="n">
        <f aca="false">B947*(IF($A947&lt;$Q$888,INDEX(Surface_Engine!$D$12:$D$72,$A947+1)+(Surface_Engine!L244*12)*INDEX(Surface_Engine!$F$12:$F$72,$A947+1)-(Surface_Engine!L244*12),1000*12*INDEX(Surface_Engine!$C$12:$C$72,$A947+1)/(1+Assumptions!$B$10)^17+INDEX(Surface_Engine!$D$12:$D$72,$A947+1)))*INDEX(Surface_Engine!$B$12:$B$72,$A947+1)+F948</f>
        <v>0</v>
      </c>
      <c r="G947" s="48" t="n">
        <f aca="false">C947*(IF($A947&lt;$Q$888,INDEX(Surface_Engine!$D$12:$D$72,$A947+1)+(Surface_Engine!L244*12)*INDEX(Surface_Engine!$F$12:$F$72,$A947+1)-(Surface_Engine!L244*12),1000*12*INDEX(Surface_Engine!$C$12:$C$72,$A947+1)/(1+Assumptions!$B$10)^17+INDEX(Surface_Engine!$D$12:$D$72,$A947+1)))*INDEX(Surface_Engine!$B$12:$B$72,$A947+1)+G948</f>
        <v>0</v>
      </c>
      <c r="H947" s="48" t="n">
        <f aca="false">D947*(IF($A947&lt;$Q$888,INDEX(Surface_Engine!$D$12:$D$72,$A947+1)+(Surface_Engine!L244*12)*INDEX(Surface_Engine!$F$12:$F$72,$A947+1)-(Surface_Engine!L244*12),1000*12*INDEX(Surface_Engine!$C$12:$C$72,$A947+1)/(1+Assumptions!$B$10)^17+INDEX(Surface_Engine!$D$12:$D$72,$A947+1)))*INDEX(Surface_Engine!$B$12:$B$72,$A947+1)+H948</f>
        <v>0</v>
      </c>
      <c r="I947" s="48" t="n">
        <f aca="false">E947*(IF($A947&lt;$Q$888,INDEX(Surface_Engine!$D$12:$D$72,$A947+1)+(Surface_Engine!L244*12)*INDEX(Surface_Engine!$F$12:$F$72,$A947+1)-(Surface_Engine!L244*12),1000*12*INDEX(Surface_Engine!$C$12:$C$72,$A947+1)/(1+Assumptions!$B$10)^17+INDEX(Surface_Engine!$D$12:$D$72,$A947+1)))*INDEX(Surface_Engine!$B$12:$B$72,$A947+1)+I948</f>
        <v>0</v>
      </c>
      <c r="J947" s="48" t="n">
        <f aca="false">B947*(IF($A947&lt;$Q$888,INDEX(Surface_Engine!$D$12:$D$72,$A947+1)*(1+Assumptions!$B$24)+(Surface_Engine!L244*12)*INDEX(Surface_Engine!$F$12:$F$72,$A947+1)-(Surface_Engine!L244*12),1000*12*INDEX(Surface_Engine!$C$12:$C$72,$A947+1)/(1+Assumptions!$B$10)^17+INDEX(Surface_Engine!$D$12:$D$72,$A947+1)*(1+Assumptions!$B$24)))*INDEX(Surface_Engine!$B$12:$B$72,$A947+1)+J948</f>
        <v>0</v>
      </c>
      <c r="K947" s="12" t="n">
        <f aca="false">SQRT((IF(C947&lt;=0,0,MAX(0,(B947/C947)*G947/INDEX(Surface_Engine!$B$12:$B$72,$A947+1)-F947/INDEX(Surface_Engine!$B$12:$B$72,$A947+1))))^2+(MAX(IF(D947&lt;=0,0,MAX(0,(B947/D947)*H947/INDEX(Surface_Engine!$B$12:$B$72,$A947+1)-F947/INDEX(Surface_Engine!$B$12:$B$72,$A947+1))),IF(E947&lt;=0,0,MAX(0,(B947/E947)*I947/INDEX(Surface_Engine!$B$12:$B$72,$A947+1)-F947/INDEX(Surface_Engine!$B$12:$B$72,$A947+1))),IF($A947&lt;$Q$888,MAX(0,-Assumptions!$B$22*(F947/INDEX(Surface_Engine!$B$12:$B$72,$A947+1))),0)))^2+(MAX(0,J947/INDEX(Surface_Engine!$B$12:$B$72,$A947+1)-(F947/INDEX(Surface_Engine!$B$12:$B$72,$A947+1))))^2+2*Assumptions!$B$26*(IF(C947&lt;=0,0,MAX(0,(B947/C947)*G947/INDEX(Surface_Engine!$B$12:$B$72,$A947+1)-F947/INDEX(Surface_Engine!$B$12:$B$72,$A947+1))))*(MAX(IF(D947&lt;=0,0,MAX(0,(B947/D947)*H947/INDEX(Surface_Engine!$B$12:$B$72,$A947+1)-F947/INDEX(Surface_Engine!$B$12:$B$72,$A947+1))),IF(E947&lt;=0,0,MAX(0,(B947/E947)*I947/INDEX(Surface_Engine!$B$12:$B$72,$A947+1)-F947/INDEX(Surface_Engine!$B$12:$B$72,$A947+1))),IF($A947&lt;$Q$888,MAX(0,-Assumptions!$B$22*(F947/INDEX(Surface_Engine!$B$12:$B$72,$A947+1))),0)))+2*Assumptions!$B$27*(IF(C947&lt;=0,0,MAX(0,(B947/C947)*G947/INDEX(Surface_Engine!$B$12:$B$72,$A947+1)-F947/INDEX(Surface_Engine!$B$12:$B$72,$A947+1))))*(MAX(0,J947/INDEX(Surface_Engine!$B$12:$B$72,$A947+1)-(F947/INDEX(Surface_Engine!$B$12:$B$72,$A947+1))))+2*Assumptions!$B$28*(MAX(IF(D947&lt;=0,0,MAX(0,(B947/D947)*H947/INDEX(Surface_Engine!$B$12:$B$72,$A947+1)-F947/INDEX(Surface_Engine!$B$12:$B$72,$A947+1))),IF(E947&lt;=0,0,MAX(0,(B947/E947)*I947/INDEX(Surface_Engine!$B$12:$B$72,$A947+1)-F947/INDEX(Surface_Engine!$B$12:$B$72,$A947+1))),IF($A947&lt;$Q$888,MAX(0,-Assumptions!$B$22*(F947/INDEX(Surface_Engine!$B$12:$B$72,$A947+1))),0)))*(MAX(0,J947/INDEX(Surface_Engine!$B$12:$B$72,$A947+1)-(F947/INDEX(Surface_Engine!$B$12:$B$72,$A947+1)))))</f>
        <v>0</v>
      </c>
      <c r="L947" s="48" t="n">
        <f aca="false">K947*INDEX(Surface_Engine!$B$12:$B$72,$A947+1)+L948</f>
        <v>0</v>
      </c>
      <c r="M947" s="48" t="n">
        <f aca="false">M946+B946*(IF($A946&lt;$Q$888,(Surface_Engine!L244*12)-(Surface_Engine!L244*12)*INDEX(Surface_Engine!$F$12:$F$72,$A946+1)-INDEX(Surface_Engine!$D$12:$D$72,$A946+1),-(1000*12*INDEX(Surface_Engine!$C$12:$C$72,$A946+1)/(1+Assumptions!$B$10)^17+INDEX(Surface_Engine!$D$12:$D$72,$A946+1))))*INDEX(Surface_Engine!$B$12:$B$72,$A946+1)</f>
        <v>1279.91887175455</v>
      </c>
      <c r="N947" s="12" t="n">
        <f aca="false">IF(B947&lt;=0,0,MAX(0,(K947+Assumptions!$B$29*L947/INDEX(Surface_Engine!$B$12:$B$72,$A947+1)-(M947/INDEX(Surface_Engine!$B$12:$B$72,$A947+1)-(F947/INDEX(Surface_Engine!$B$12:$B$72,$A947+1))))/B947))</f>
        <v>0</v>
      </c>
    </row>
    <row r="948" customFormat="false" ht="15" hidden="false" customHeight="true" outlineLevel="0" collapsed="false">
      <c r="A948" s="1" t="n">
        <v>58</v>
      </c>
      <c r="B948" s="32" t="n">
        <f aca="false">INDEX(Surface_Engine!$O$12:$O$72,$A948+1)*IF($A948&lt;$Q$888,INDEX(Surface_Engine!$E$12:$E$72,$A948+1),INDEX(Surface_Engine!$E$12:$E$72,$Q$888+1))</f>
        <v>0</v>
      </c>
      <c r="C948" s="32" t="n">
        <f aca="false">INDEX(Panel_Reserving!$E$8:$E$68,$A948+1)*IF($A948&lt;$Q$888,INDEX(Surface_Engine!$E$12:$E$72,$A948+1),INDEX(Surface_Engine!$E$12:$E$72,$Q$888+1))</f>
        <v>0</v>
      </c>
      <c r="D948" s="32" t="n">
        <f aca="false">INDEX(Surface_Engine!$O$12:$O$72,$A948+1)*IF($A948&lt;$Q$888,INDEX(Surface_Engine!$Y$12:$Y$72,$A948+1),INDEX(Surface_Engine!$Y$12:$Y$72,$Q$888+1))</f>
        <v>0</v>
      </c>
      <c r="E948" s="32" t="n">
        <f aca="false">INDEX(Surface_Engine!$O$12:$O$72,$A948+1)*IF($A948&lt;$Q$888,INDEX(Surface_Engine!$Z$12:$Z$72,$A948+1),INDEX(Surface_Engine!$Z$12:$Z$72,$Q$888+1))</f>
        <v>0</v>
      </c>
      <c r="F948" s="48" t="n">
        <f aca="false">B948*(IF($A948&lt;$Q$888,INDEX(Surface_Engine!$D$12:$D$72,$A948+1)+(Surface_Engine!L244*12)*INDEX(Surface_Engine!$F$12:$F$72,$A948+1)-(Surface_Engine!L244*12),1000*12*INDEX(Surface_Engine!$C$12:$C$72,$A948+1)/(1+Assumptions!$B$10)^17+INDEX(Surface_Engine!$D$12:$D$72,$A948+1)))*INDEX(Surface_Engine!$B$12:$B$72,$A948+1)+F949</f>
        <v>0</v>
      </c>
      <c r="G948" s="48" t="n">
        <f aca="false">C948*(IF($A948&lt;$Q$888,INDEX(Surface_Engine!$D$12:$D$72,$A948+1)+(Surface_Engine!L244*12)*INDEX(Surface_Engine!$F$12:$F$72,$A948+1)-(Surface_Engine!L244*12),1000*12*INDEX(Surface_Engine!$C$12:$C$72,$A948+1)/(1+Assumptions!$B$10)^17+INDEX(Surface_Engine!$D$12:$D$72,$A948+1)))*INDEX(Surface_Engine!$B$12:$B$72,$A948+1)+G949</f>
        <v>0</v>
      </c>
      <c r="H948" s="48" t="n">
        <f aca="false">D948*(IF($A948&lt;$Q$888,INDEX(Surface_Engine!$D$12:$D$72,$A948+1)+(Surface_Engine!L244*12)*INDEX(Surface_Engine!$F$12:$F$72,$A948+1)-(Surface_Engine!L244*12),1000*12*INDEX(Surface_Engine!$C$12:$C$72,$A948+1)/(1+Assumptions!$B$10)^17+INDEX(Surface_Engine!$D$12:$D$72,$A948+1)))*INDEX(Surface_Engine!$B$12:$B$72,$A948+1)+H949</f>
        <v>0</v>
      </c>
      <c r="I948" s="48" t="n">
        <f aca="false">E948*(IF($A948&lt;$Q$888,INDEX(Surface_Engine!$D$12:$D$72,$A948+1)+(Surface_Engine!L244*12)*INDEX(Surface_Engine!$F$12:$F$72,$A948+1)-(Surface_Engine!L244*12),1000*12*INDEX(Surface_Engine!$C$12:$C$72,$A948+1)/(1+Assumptions!$B$10)^17+INDEX(Surface_Engine!$D$12:$D$72,$A948+1)))*INDEX(Surface_Engine!$B$12:$B$72,$A948+1)+I949</f>
        <v>0</v>
      </c>
      <c r="J948" s="48" t="n">
        <f aca="false">B948*(IF($A948&lt;$Q$888,INDEX(Surface_Engine!$D$12:$D$72,$A948+1)*(1+Assumptions!$B$24)+(Surface_Engine!L244*12)*INDEX(Surface_Engine!$F$12:$F$72,$A948+1)-(Surface_Engine!L244*12),1000*12*INDEX(Surface_Engine!$C$12:$C$72,$A948+1)/(1+Assumptions!$B$10)^17+INDEX(Surface_Engine!$D$12:$D$72,$A948+1)*(1+Assumptions!$B$24)))*INDEX(Surface_Engine!$B$12:$B$72,$A948+1)+J949</f>
        <v>0</v>
      </c>
      <c r="K948" s="12" t="n">
        <f aca="false">SQRT((IF(C948&lt;=0,0,MAX(0,(B948/C948)*G948/INDEX(Surface_Engine!$B$12:$B$72,$A948+1)-F948/INDEX(Surface_Engine!$B$12:$B$72,$A948+1))))^2+(MAX(IF(D948&lt;=0,0,MAX(0,(B948/D948)*H948/INDEX(Surface_Engine!$B$12:$B$72,$A948+1)-F948/INDEX(Surface_Engine!$B$12:$B$72,$A948+1))),IF(E948&lt;=0,0,MAX(0,(B948/E948)*I948/INDEX(Surface_Engine!$B$12:$B$72,$A948+1)-F948/INDEX(Surface_Engine!$B$12:$B$72,$A948+1))),IF($A948&lt;$Q$888,MAX(0,-Assumptions!$B$22*(F948/INDEX(Surface_Engine!$B$12:$B$72,$A948+1))),0)))^2+(MAX(0,J948/INDEX(Surface_Engine!$B$12:$B$72,$A948+1)-(F948/INDEX(Surface_Engine!$B$12:$B$72,$A948+1))))^2+2*Assumptions!$B$26*(IF(C948&lt;=0,0,MAX(0,(B948/C948)*G948/INDEX(Surface_Engine!$B$12:$B$72,$A948+1)-F948/INDEX(Surface_Engine!$B$12:$B$72,$A948+1))))*(MAX(IF(D948&lt;=0,0,MAX(0,(B948/D948)*H948/INDEX(Surface_Engine!$B$12:$B$72,$A948+1)-F948/INDEX(Surface_Engine!$B$12:$B$72,$A948+1))),IF(E948&lt;=0,0,MAX(0,(B948/E948)*I948/INDEX(Surface_Engine!$B$12:$B$72,$A948+1)-F948/INDEX(Surface_Engine!$B$12:$B$72,$A948+1))),IF($A948&lt;$Q$888,MAX(0,-Assumptions!$B$22*(F948/INDEX(Surface_Engine!$B$12:$B$72,$A948+1))),0)))+2*Assumptions!$B$27*(IF(C948&lt;=0,0,MAX(0,(B948/C948)*G948/INDEX(Surface_Engine!$B$12:$B$72,$A948+1)-F948/INDEX(Surface_Engine!$B$12:$B$72,$A948+1))))*(MAX(0,J948/INDEX(Surface_Engine!$B$12:$B$72,$A948+1)-(F948/INDEX(Surface_Engine!$B$12:$B$72,$A948+1))))+2*Assumptions!$B$28*(MAX(IF(D948&lt;=0,0,MAX(0,(B948/D948)*H948/INDEX(Surface_Engine!$B$12:$B$72,$A948+1)-F948/INDEX(Surface_Engine!$B$12:$B$72,$A948+1))),IF(E948&lt;=0,0,MAX(0,(B948/E948)*I948/INDEX(Surface_Engine!$B$12:$B$72,$A948+1)-F948/INDEX(Surface_Engine!$B$12:$B$72,$A948+1))),IF($A948&lt;$Q$888,MAX(0,-Assumptions!$B$22*(F948/INDEX(Surface_Engine!$B$12:$B$72,$A948+1))),0)))*(MAX(0,J948/INDEX(Surface_Engine!$B$12:$B$72,$A948+1)-(F948/INDEX(Surface_Engine!$B$12:$B$72,$A948+1)))))</f>
        <v>0</v>
      </c>
      <c r="L948" s="48" t="n">
        <f aca="false">K948*INDEX(Surface_Engine!$B$12:$B$72,$A948+1)+L949</f>
        <v>0</v>
      </c>
      <c r="M948" s="48" t="n">
        <f aca="false">M947+B947*(IF($A947&lt;$Q$888,(Surface_Engine!L244*12)-(Surface_Engine!L244*12)*INDEX(Surface_Engine!$F$12:$F$72,$A947+1)-INDEX(Surface_Engine!$D$12:$D$72,$A947+1),-(1000*12*INDEX(Surface_Engine!$C$12:$C$72,$A947+1)/(1+Assumptions!$B$10)^17+INDEX(Surface_Engine!$D$12:$D$72,$A947+1))))*INDEX(Surface_Engine!$B$12:$B$72,$A947+1)</f>
        <v>1279.91887175455</v>
      </c>
      <c r="N948" s="12" t="n">
        <f aca="false">IF(B948&lt;=0,0,MAX(0,(K948+Assumptions!$B$29*L948/INDEX(Surface_Engine!$B$12:$B$72,$A948+1)-(M948/INDEX(Surface_Engine!$B$12:$B$72,$A948+1)-(F948/INDEX(Surface_Engine!$B$12:$B$72,$A948+1))))/B948))</f>
        <v>0</v>
      </c>
    </row>
    <row r="949" customFormat="false" ht="15" hidden="false" customHeight="true" outlineLevel="0" collapsed="false">
      <c r="A949" s="1" t="n">
        <v>59</v>
      </c>
      <c r="B949" s="32" t="n">
        <f aca="false">INDEX(Surface_Engine!$O$12:$O$72,$A949+1)*IF($A949&lt;$Q$888,INDEX(Surface_Engine!$E$12:$E$72,$A949+1),INDEX(Surface_Engine!$E$12:$E$72,$Q$888+1))</f>
        <v>0</v>
      </c>
      <c r="C949" s="32" t="n">
        <f aca="false">INDEX(Panel_Reserving!$E$8:$E$68,$A949+1)*IF($A949&lt;$Q$888,INDEX(Surface_Engine!$E$12:$E$72,$A949+1),INDEX(Surface_Engine!$E$12:$E$72,$Q$888+1))</f>
        <v>0</v>
      </c>
      <c r="D949" s="32" t="n">
        <f aca="false">INDEX(Surface_Engine!$O$12:$O$72,$A949+1)*IF($A949&lt;$Q$888,INDEX(Surface_Engine!$Y$12:$Y$72,$A949+1),INDEX(Surface_Engine!$Y$12:$Y$72,$Q$888+1))</f>
        <v>0</v>
      </c>
      <c r="E949" s="32" t="n">
        <f aca="false">INDEX(Surface_Engine!$O$12:$O$72,$A949+1)*IF($A949&lt;$Q$888,INDEX(Surface_Engine!$Z$12:$Z$72,$A949+1),INDEX(Surface_Engine!$Z$12:$Z$72,$Q$888+1))</f>
        <v>0</v>
      </c>
      <c r="F949" s="48" t="n">
        <f aca="false">B949*(IF($A949&lt;$Q$888,INDEX(Surface_Engine!$D$12:$D$72,$A949+1)+(Surface_Engine!L244*12)*INDEX(Surface_Engine!$F$12:$F$72,$A949+1)-(Surface_Engine!L244*12),1000*12*INDEX(Surface_Engine!$C$12:$C$72,$A949+1)/(1+Assumptions!$B$10)^17+INDEX(Surface_Engine!$D$12:$D$72,$A949+1)))*INDEX(Surface_Engine!$B$12:$B$72,$A949+1)+F950</f>
        <v>0</v>
      </c>
      <c r="G949" s="48" t="n">
        <f aca="false">C949*(IF($A949&lt;$Q$888,INDEX(Surface_Engine!$D$12:$D$72,$A949+1)+(Surface_Engine!L244*12)*INDEX(Surface_Engine!$F$12:$F$72,$A949+1)-(Surface_Engine!L244*12),1000*12*INDEX(Surface_Engine!$C$12:$C$72,$A949+1)/(1+Assumptions!$B$10)^17+INDEX(Surface_Engine!$D$12:$D$72,$A949+1)))*INDEX(Surface_Engine!$B$12:$B$72,$A949+1)+G950</f>
        <v>0</v>
      </c>
      <c r="H949" s="48" t="n">
        <f aca="false">D949*(IF($A949&lt;$Q$888,INDEX(Surface_Engine!$D$12:$D$72,$A949+1)+(Surface_Engine!L244*12)*INDEX(Surface_Engine!$F$12:$F$72,$A949+1)-(Surface_Engine!L244*12),1000*12*INDEX(Surface_Engine!$C$12:$C$72,$A949+1)/(1+Assumptions!$B$10)^17+INDEX(Surface_Engine!$D$12:$D$72,$A949+1)))*INDEX(Surface_Engine!$B$12:$B$72,$A949+1)+H950</f>
        <v>0</v>
      </c>
      <c r="I949" s="48" t="n">
        <f aca="false">E949*(IF($A949&lt;$Q$888,INDEX(Surface_Engine!$D$12:$D$72,$A949+1)+(Surface_Engine!L244*12)*INDEX(Surface_Engine!$F$12:$F$72,$A949+1)-(Surface_Engine!L244*12),1000*12*INDEX(Surface_Engine!$C$12:$C$72,$A949+1)/(1+Assumptions!$B$10)^17+INDEX(Surface_Engine!$D$12:$D$72,$A949+1)))*INDEX(Surface_Engine!$B$12:$B$72,$A949+1)+I950</f>
        <v>0</v>
      </c>
      <c r="J949" s="48" t="n">
        <f aca="false">B949*(IF($A949&lt;$Q$888,INDEX(Surface_Engine!$D$12:$D$72,$A949+1)*(1+Assumptions!$B$24)+(Surface_Engine!L244*12)*INDEX(Surface_Engine!$F$12:$F$72,$A949+1)-(Surface_Engine!L244*12),1000*12*INDEX(Surface_Engine!$C$12:$C$72,$A949+1)/(1+Assumptions!$B$10)^17+INDEX(Surface_Engine!$D$12:$D$72,$A949+1)*(1+Assumptions!$B$24)))*INDEX(Surface_Engine!$B$12:$B$72,$A949+1)+J950</f>
        <v>0</v>
      </c>
      <c r="K949" s="12" t="n">
        <f aca="false">SQRT((IF(C949&lt;=0,0,MAX(0,(B949/C949)*G949/INDEX(Surface_Engine!$B$12:$B$72,$A949+1)-F949/INDEX(Surface_Engine!$B$12:$B$72,$A949+1))))^2+(MAX(IF(D949&lt;=0,0,MAX(0,(B949/D949)*H949/INDEX(Surface_Engine!$B$12:$B$72,$A949+1)-F949/INDEX(Surface_Engine!$B$12:$B$72,$A949+1))),IF(E949&lt;=0,0,MAX(0,(B949/E949)*I949/INDEX(Surface_Engine!$B$12:$B$72,$A949+1)-F949/INDEX(Surface_Engine!$B$12:$B$72,$A949+1))),IF($A949&lt;$Q$888,MAX(0,-Assumptions!$B$22*(F949/INDEX(Surface_Engine!$B$12:$B$72,$A949+1))),0)))^2+(MAX(0,J949/INDEX(Surface_Engine!$B$12:$B$72,$A949+1)-(F949/INDEX(Surface_Engine!$B$12:$B$72,$A949+1))))^2+2*Assumptions!$B$26*(IF(C949&lt;=0,0,MAX(0,(B949/C949)*G949/INDEX(Surface_Engine!$B$12:$B$72,$A949+1)-F949/INDEX(Surface_Engine!$B$12:$B$72,$A949+1))))*(MAX(IF(D949&lt;=0,0,MAX(0,(B949/D949)*H949/INDEX(Surface_Engine!$B$12:$B$72,$A949+1)-F949/INDEX(Surface_Engine!$B$12:$B$72,$A949+1))),IF(E949&lt;=0,0,MAX(0,(B949/E949)*I949/INDEX(Surface_Engine!$B$12:$B$72,$A949+1)-F949/INDEX(Surface_Engine!$B$12:$B$72,$A949+1))),IF($A949&lt;$Q$888,MAX(0,-Assumptions!$B$22*(F949/INDEX(Surface_Engine!$B$12:$B$72,$A949+1))),0)))+2*Assumptions!$B$27*(IF(C949&lt;=0,0,MAX(0,(B949/C949)*G949/INDEX(Surface_Engine!$B$12:$B$72,$A949+1)-F949/INDEX(Surface_Engine!$B$12:$B$72,$A949+1))))*(MAX(0,J949/INDEX(Surface_Engine!$B$12:$B$72,$A949+1)-(F949/INDEX(Surface_Engine!$B$12:$B$72,$A949+1))))+2*Assumptions!$B$28*(MAX(IF(D949&lt;=0,0,MAX(0,(B949/D949)*H949/INDEX(Surface_Engine!$B$12:$B$72,$A949+1)-F949/INDEX(Surface_Engine!$B$12:$B$72,$A949+1))),IF(E949&lt;=0,0,MAX(0,(B949/E949)*I949/INDEX(Surface_Engine!$B$12:$B$72,$A949+1)-F949/INDEX(Surface_Engine!$B$12:$B$72,$A949+1))),IF($A949&lt;$Q$888,MAX(0,-Assumptions!$B$22*(F949/INDEX(Surface_Engine!$B$12:$B$72,$A949+1))),0)))*(MAX(0,J949/INDEX(Surface_Engine!$B$12:$B$72,$A949+1)-(F949/INDEX(Surface_Engine!$B$12:$B$72,$A949+1)))))</f>
        <v>0</v>
      </c>
      <c r="L949" s="48" t="n">
        <f aca="false">K949*INDEX(Surface_Engine!$B$12:$B$72,$A949+1)+L950</f>
        <v>0</v>
      </c>
      <c r="M949" s="48" t="n">
        <f aca="false">M948+B948*(IF($A948&lt;$Q$888,(Surface_Engine!L244*12)-(Surface_Engine!L244*12)*INDEX(Surface_Engine!$F$12:$F$72,$A948+1)-INDEX(Surface_Engine!$D$12:$D$72,$A948+1),-(1000*12*INDEX(Surface_Engine!$C$12:$C$72,$A948+1)/(1+Assumptions!$B$10)^17+INDEX(Surface_Engine!$D$12:$D$72,$A948+1))))*INDEX(Surface_Engine!$B$12:$B$72,$A948+1)</f>
        <v>1279.91887175455</v>
      </c>
      <c r="N949" s="12" t="n">
        <f aca="false">IF(B949&lt;=0,0,MAX(0,(K949+Assumptions!$B$29*L949/INDEX(Surface_Engine!$B$12:$B$72,$A949+1)-(M949/INDEX(Surface_Engine!$B$12:$B$72,$A949+1)-(F949/INDEX(Surface_Engine!$B$12:$B$72,$A949+1))))/B949))</f>
        <v>0</v>
      </c>
    </row>
    <row r="950" customFormat="false" ht="15" hidden="false" customHeight="true" outlineLevel="0" collapsed="false">
      <c r="A950" s="1" t="n">
        <v>60</v>
      </c>
      <c r="B950" s="32" t="n">
        <f aca="false">INDEX(Surface_Engine!$O$12:$O$72,$A950+1)*IF($A950&lt;$Q$888,INDEX(Surface_Engine!$E$12:$E$72,$A950+1),INDEX(Surface_Engine!$E$12:$E$72,$Q$888+1))</f>
        <v>0</v>
      </c>
      <c r="C950" s="32" t="n">
        <f aca="false">INDEX(Panel_Reserving!$E$8:$E$68,$A950+1)*IF($A950&lt;$Q$888,INDEX(Surface_Engine!$E$12:$E$72,$A950+1),INDEX(Surface_Engine!$E$12:$E$72,$Q$888+1))</f>
        <v>0</v>
      </c>
      <c r="D950" s="32" t="n">
        <f aca="false">INDEX(Surface_Engine!$O$12:$O$72,$A950+1)*IF($A950&lt;$Q$888,INDEX(Surface_Engine!$Y$12:$Y$72,$A950+1),INDEX(Surface_Engine!$Y$12:$Y$72,$Q$888+1))</f>
        <v>0</v>
      </c>
      <c r="E950" s="32" t="n">
        <f aca="false">INDEX(Surface_Engine!$O$12:$O$72,$A950+1)*IF($A950&lt;$Q$888,INDEX(Surface_Engine!$Z$12:$Z$72,$A950+1),INDEX(Surface_Engine!$Z$12:$Z$72,$Q$888+1))</f>
        <v>0</v>
      </c>
      <c r="F950" s="48" t="n">
        <f aca="false">B950*(IF($A950&lt;$Q$888,INDEX(Surface_Engine!$D$12:$D$72,$A950+1)+(Surface_Engine!L244*12)*INDEX(Surface_Engine!$F$12:$F$72,$A950+1)-(Surface_Engine!L244*12),1000*12*INDEX(Surface_Engine!$C$12:$C$72,$A950+1)/(1+Assumptions!$B$10)^17+INDEX(Surface_Engine!$D$12:$D$72,$A950+1)))*INDEX(Surface_Engine!$B$12:$B$72,$A950+1)</f>
        <v>0</v>
      </c>
      <c r="G950" s="48" t="n">
        <f aca="false">C950*(IF($A950&lt;$Q$888,INDEX(Surface_Engine!$D$12:$D$72,$A950+1)+(Surface_Engine!L244*12)*INDEX(Surface_Engine!$F$12:$F$72,$A950+1)-(Surface_Engine!L244*12),1000*12*INDEX(Surface_Engine!$C$12:$C$72,$A950+1)/(1+Assumptions!$B$10)^17+INDEX(Surface_Engine!$D$12:$D$72,$A950+1)))*INDEX(Surface_Engine!$B$12:$B$72,$A950+1)</f>
        <v>0</v>
      </c>
      <c r="H950" s="48" t="n">
        <f aca="false">D950*(IF($A950&lt;$Q$888,INDEX(Surface_Engine!$D$12:$D$72,$A950+1)+(Surface_Engine!L244*12)*INDEX(Surface_Engine!$F$12:$F$72,$A950+1)-(Surface_Engine!L244*12),1000*12*INDEX(Surface_Engine!$C$12:$C$72,$A950+1)/(1+Assumptions!$B$10)^17+INDEX(Surface_Engine!$D$12:$D$72,$A950+1)))*INDEX(Surface_Engine!$B$12:$B$72,$A950+1)</f>
        <v>0</v>
      </c>
      <c r="I950" s="48" t="n">
        <f aca="false">E950*(IF($A950&lt;$Q$888,INDEX(Surface_Engine!$D$12:$D$72,$A950+1)+(Surface_Engine!L244*12)*INDEX(Surface_Engine!$F$12:$F$72,$A950+1)-(Surface_Engine!L244*12),1000*12*INDEX(Surface_Engine!$C$12:$C$72,$A950+1)/(1+Assumptions!$B$10)^17+INDEX(Surface_Engine!$D$12:$D$72,$A950+1)))*INDEX(Surface_Engine!$B$12:$B$72,$A950+1)</f>
        <v>0</v>
      </c>
      <c r="J950" s="48" t="n">
        <f aca="false">B950*(IF($A950&lt;$Q$888,INDEX(Surface_Engine!$D$12:$D$72,$A950+1)*(1+Assumptions!$B$24)+(Surface_Engine!L244*12)*INDEX(Surface_Engine!$F$12:$F$72,$A950+1)-(Surface_Engine!L244*12),1000*12*INDEX(Surface_Engine!$C$12:$C$72,$A950+1)/(1+Assumptions!$B$10)^17+INDEX(Surface_Engine!$D$12:$D$72,$A950+1)*(1+Assumptions!$B$24)))*INDEX(Surface_Engine!$B$12:$B$72,$A950+1)</f>
        <v>0</v>
      </c>
      <c r="K950" s="12" t="n">
        <f aca="false">SQRT((IF(C950&lt;=0,0,MAX(0,(B950/C950)*G950/INDEX(Surface_Engine!$B$12:$B$72,$A950+1)-F950/INDEX(Surface_Engine!$B$12:$B$72,$A950+1))))^2+(MAX(IF(D950&lt;=0,0,MAX(0,(B950/D950)*H950/INDEX(Surface_Engine!$B$12:$B$72,$A950+1)-F950/INDEX(Surface_Engine!$B$12:$B$72,$A950+1))),IF(E950&lt;=0,0,MAX(0,(B950/E950)*I950/INDEX(Surface_Engine!$B$12:$B$72,$A950+1)-F950/INDEX(Surface_Engine!$B$12:$B$72,$A950+1))),IF($A950&lt;$Q$888,MAX(0,-Assumptions!$B$22*(F950/INDEX(Surface_Engine!$B$12:$B$72,$A950+1))),0)))^2+(MAX(0,J950/INDEX(Surface_Engine!$B$12:$B$72,$A950+1)-(F950/INDEX(Surface_Engine!$B$12:$B$72,$A950+1))))^2+2*Assumptions!$B$26*(IF(C950&lt;=0,0,MAX(0,(B950/C950)*G950/INDEX(Surface_Engine!$B$12:$B$72,$A950+1)-F950/INDEX(Surface_Engine!$B$12:$B$72,$A950+1))))*(MAX(IF(D950&lt;=0,0,MAX(0,(B950/D950)*H950/INDEX(Surface_Engine!$B$12:$B$72,$A950+1)-F950/INDEX(Surface_Engine!$B$12:$B$72,$A950+1))),IF(E950&lt;=0,0,MAX(0,(B950/E950)*I950/INDEX(Surface_Engine!$B$12:$B$72,$A950+1)-F950/INDEX(Surface_Engine!$B$12:$B$72,$A950+1))),IF($A950&lt;$Q$888,MAX(0,-Assumptions!$B$22*(F950/INDEX(Surface_Engine!$B$12:$B$72,$A950+1))),0)))+2*Assumptions!$B$27*(IF(C950&lt;=0,0,MAX(0,(B950/C950)*G950/INDEX(Surface_Engine!$B$12:$B$72,$A950+1)-F950/INDEX(Surface_Engine!$B$12:$B$72,$A950+1))))*(MAX(0,J950/INDEX(Surface_Engine!$B$12:$B$72,$A950+1)-(F950/INDEX(Surface_Engine!$B$12:$B$72,$A950+1))))+2*Assumptions!$B$28*(MAX(IF(D950&lt;=0,0,MAX(0,(B950/D950)*H950/INDEX(Surface_Engine!$B$12:$B$72,$A950+1)-F950/INDEX(Surface_Engine!$B$12:$B$72,$A950+1))),IF(E950&lt;=0,0,MAX(0,(B950/E950)*I950/INDEX(Surface_Engine!$B$12:$B$72,$A950+1)-F950/INDEX(Surface_Engine!$B$12:$B$72,$A950+1))),IF($A950&lt;$Q$888,MAX(0,-Assumptions!$B$22*(F950/INDEX(Surface_Engine!$B$12:$B$72,$A950+1))),0)))*(MAX(0,J950/INDEX(Surface_Engine!$B$12:$B$72,$A950+1)-(F950/INDEX(Surface_Engine!$B$12:$B$72,$A950+1)))))</f>
        <v>0</v>
      </c>
      <c r="L950" s="48" t="n">
        <f aca="false">K950*INDEX(Surface_Engine!$B$12:$B$72,$A950+1)</f>
        <v>0</v>
      </c>
      <c r="M950" s="48" t="n">
        <f aca="false">M949+B949*(IF($A949&lt;$Q$888,(Surface_Engine!L244*12)-(Surface_Engine!L244*12)*INDEX(Surface_Engine!$F$12:$F$72,$A949+1)-INDEX(Surface_Engine!$D$12:$D$72,$A949+1),-(1000*12*INDEX(Surface_Engine!$C$12:$C$72,$A949+1)/(1+Assumptions!$B$10)^17+INDEX(Surface_Engine!$D$12:$D$72,$A949+1))))*INDEX(Surface_Engine!$B$12:$B$72,$A949+1)</f>
        <v>1279.91887175455</v>
      </c>
      <c r="N950" s="12" t="n">
        <f aca="false">IF(B950&lt;=0,0,MAX(0,(K950+Assumptions!$B$29*L950/INDEX(Surface_Engine!$B$12:$B$72,$A950+1)-(M950/INDEX(Surface_Engine!$B$12:$B$72,$A950+1)-(F950/INDEX(Surface_Engine!$B$12:$B$72,$A950+1))))/B950))</f>
        <v>0</v>
      </c>
    </row>
    <row r="951" customFormat="false" ht="15" hidden="false" customHeight="true" outlineLevel="0" collapsed="false">
      <c r="A951" s="4" t="str">
        <f aca="false">"entry "&amp;O951&amp;" / vesting "&amp;P951&amp;"   deferral "&amp;Q951</f>
        <v>entry 68 / vesting 90   deferral 22</v>
      </c>
      <c r="C951" s="49" t="n">
        <f aca="false">MAX(N890:N950)</f>
        <v>17623.7182172438</v>
      </c>
      <c r="E951" s="7" t="s">
        <v>1634</v>
      </c>
      <c r="G951" s="21" t="n">
        <f aca="false">INDEX(A890:A950,MATCH(C951,N890:N950,0))</f>
        <v>12</v>
      </c>
      <c r="J951" s="7" t="s">
        <v>1624</v>
      </c>
      <c r="K951" s="50" t="n">
        <f aca="false">Surface_Engine!Q244</f>
        <v>125.808446512156</v>
      </c>
      <c r="O951" s="1" t="n">
        <f aca="false">A1717</f>
        <v>68</v>
      </c>
      <c r="P951" s="76" t="n">
        <f aca="false">E$1713</f>
        <v>90</v>
      </c>
      <c r="Q951" s="1" t="n">
        <f aca="false">P951-O951</f>
        <v>22</v>
      </c>
    </row>
    <row r="952" customFormat="false" ht="15" hidden="false" customHeight="true" outlineLevel="0" collapsed="false">
      <c r="A952" s="8" t="s">
        <v>802</v>
      </c>
      <c r="B952" s="8" t="s">
        <v>1584</v>
      </c>
      <c r="C952" s="8" t="s">
        <v>1585</v>
      </c>
      <c r="D952" s="8" t="s">
        <v>1587</v>
      </c>
      <c r="E952" s="8" t="s">
        <v>1588</v>
      </c>
      <c r="F952" s="8" t="s">
        <v>1625</v>
      </c>
      <c r="G952" s="8" t="s">
        <v>1626</v>
      </c>
      <c r="H952" s="8" t="s">
        <v>1627</v>
      </c>
      <c r="I952" s="8" t="s">
        <v>1628</v>
      </c>
      <c r="J952" s="8" t="s">
        <v>1629</v>
      </c>
      <c r="K952" s="8" t="s">
        <v>812</v>
      </c>
      <c r="L952" s="8" t="s">
        <v>1630</v>
      </c>
      <c r="M952" s="8" t="s">
        <v>341</v>
      </c>
      <c r="N952" s="8" t="s">
        <v>1631</v>
      </c>
      <c r="O952" s="1" t="s">
        <v>1544</v>
      </c>
      <c r="P952" s="1" t="s">
        <v>1632</v>
      </c>
      <c r="Q952" s="1" t="s">
        <v>1633</v>
      </c>
    </row>
    <row r="953" customFormat="false" ht="15" hidden="false" customHeight="true" outlineLevel="0" collapsed="false">
      <c r="A953" s="1" t="n">
        <v>0</v>
      </c>
      <c r="B953" s="32" t="n">
        <f aca="false">INDEX(Surface_Engine!$O$12:$O$72,$A953+1)*IF($A953&lt;$Q$951,INDEX(Surface_Engine!$E$12:$E$72,$A953+1),INDEX(Surface_Engine!$E$12:$E$72,$Q$951+1))</f>
        <v>1</v>
      </c>
      <c r="C953" s="32" t="n">
        <f aca="false">INDEX(Panel_Reserving!$E$8:$E$68,$A953+1)*IF($A953&lt;$Q$951,INDEX(Surface_Engine!$E$12:$E$72,$A953+1),INDEX(Surface_Engine!$E$12:$E$72,$Q$951+1))</f>
        <v>1</v>
      </c>
      <c r="D953" s="32" t="n">
        <f aca="false">INDEX(Surface_Engine!$O$12:$O$72,$A953+1)*IF($A953&lt;$Q$951,INDEX(Surface_Engine!$Y$12:$Y$72,$A953+1),INDEX(Surface_Engine!$Y$12:$Y$72,$Q$951+1))</f>
        <v>1</v>
      </c>
      <c r="E953" s="32" t="n">
        <f aca="false">INDEX(Surface_Engine!$O$12:$O$72,$A953+1)*IF($A953&lt;$Q$951,INDEX(Surface_Engine!$Z$12:$Z$72,$A953+1),INDEX(Surface_Engine!$Z$12:$Z$72,$Q$951+1))</f>
        <v>1</v>
      </c>
      <c r="F953" s="48" t="n">
        <f aca="false">B953*(IF($A953&lt;$Q$951,INDEX(Surface_Engine!$D$12:$D$72,$A953+1)+(Surface_Engine!Q244*12)*INDEX(Surface_Engine!$F$12:$F$72,$A953+1)-(Surface_Engine!Q244*12),1000*12*INDEX(Surface_Engine!$C$12:$C$72,$A953+1)/(1+Assumptions!$B$10)^22+INDEX(Surface_Engine!$D$12:$D$72,$A953+1)))*INDEX(Surface_Engine!$B$12:$B$72,$A953+1)+F954</f>
        <v>-565.887858965782</v>
      </c>
      <c r="G953" s="48" t="n">
        <f aca="false">C953*(IF($A953&lt;$Q$951,INDEX(Surface_Engine!$D$12:$D$72,$A953+1)+(Surface_Engine!Q244*12)*INDEX(Surface_Engine!$F$12:$F$72,$A953+1)-(Surface_Engine!Q244*12),1000*12*INDEX(Surface_Engine!$C$12:$C$72,$A953+1)/(1+Assumptions!$B$10)^22+INDEX(Surface_Engine!$D$12:$D$72,$A953+1)))*INDEX(Surface_Engine!$B$12:$B$72,$A953+1)+G954</f>
        <v>4030.18686821103</v>
      </c>
      <c r="H953" s="48" t="n">
        <f aca="false">D953*(IF($A953&lt;$Q$951,INDEX(Surface_Engine!$D$12:$D$72,$A953+1)+(Surface_Engine!Q244*12)*INDEX(Surface_Engine!$F$12:$F$72,$A953+1)-(Surface_Engine!Q244*12),1000*12*INDEX(Surface_Engine!$C$12:$C$72,$A953+1)/(1+Assumptions!$B$10)^22+INDEX(Surface_Engine!$D$12:$D$72,$A953+1)))*INDEX(Surface_Engine!$B$12:$B$72,$A953+1)+H954</f>
        <v>-1376.94701402898</v>
      </c>
      <c r="I953" s="48" t="n">
        <f aca="false">E953*(IF($A953&lt;$Q$951,INDEX(Surface_Engine!$D$12:$D$72,$A953+1)+(Surface_Engine!Q244*12)*INDEX(Surface_Engine!$F$12:$F$72,$A953+1)-(Surface_Engine!Q244*12),1000*12*INDEX(Surface_Engine!$C$12:$C$72,$A953+1)/(1+Assumptions!$B$10)^22+INDEX(Surface_Engine!$D$12:$D$72,$A953+1)))*INDEX(Surface_Engine!$B$12:$B$72,$A953+1)+I954</f>
        <v>410.334397822315</v>
      </c>
      <c r="J953" s="48" t="n">
        <f aca="false">B953*(IF($A953&lt;$Q$951,INDEX(Surface_Engine!$D$12:$D$72,$A953+1)*(1+Assumptions!$B$24)+(Surface_Engine!Q244*12)*INDEX(Surface_Engine!$F$12:$F$72,$A953+1)-(Surface_Engine!Q244*12),1000*12*INDEX(Surface_Engine!$C$12:$C$72,$A953+1)/(1+Assumptions!$B$10)^22+INDEX(Surface_Engine!$D$12:$D$72,$A953+1)*(1+Assumptions!$B$24)))*INDEX(Surface_Engine!$B$12:$B$72,$A953+1)+J954</f>
        <v>-422.469617455034</v>
      </c>
      <c r="K953" s="12" t="n">
        <f aca="false">SQRT((IF(C953&lt;=0,0,MAX(0,(B953/C953)*G953/INDEX(Surface_Engine!$B$12:$B$72,$A953+1)-F953/INDEX(Surface_Engine!$B$12:$B$72,$A953+1))))^2+(MAX(IF(D953&lt;=0,0,MAX(0,(B953/D953)*H953/INDEX(Surface_Engine!$B$12:$B$72,$A953+1)-F953/INDEX(Surface_Engine!$B$12:$B$72,$A953+1))),IF(E953&lt;=0,0,MAX(0,(B953/E953)*I953/INDEX(Surface_Engine!$B$12:$B$72,$A953+1)-F953/INDEX(Surface_Engine!$B$12:$B$72,$A953+1))),IF($A953&lt;$Q$951,MAX(0,-Assumptions!$B$22*(F953/INDEX(Surface_Engine!$B$12:$B$72,$A953+1))),0)))^2+(MAX(0,J953/INDEX(Surface_Engine!$B$12:$B$72,$A953+1)-(F953/INDEX(Surface_Engine!$B$12:$B$72,$A953+1))))^2+2*Assumptions!$B$26*(IF(C953&lt;=0,0,MAX(0,(B953/C953)*G953/INDEX(Surface_Engine!$B$12:$B$72,$A953+1)-F953/INDEX(Surface_Engine!$B$12:$B$72,$A953+1))))*(MAX(IF(D953&lt;=0,0,MAX(0,(B953/D953)*H953/INDEX(Surface_Engine!$B$12:$B$72,$A953+1)-F953/INDEX(Surface_Engine!$B$12:$B$72,$A953+1))),IF(E953&lt;=0,0,MAX(0,(B953/E953)*I953/INDEX(Surface_Engine!$B$12:$B$72,$A953+1)-F953/INDEX(Surface_Engine!$B$12:$B$72,$A953+1))),IF($A953&lt;$Q$951,MAX(0,-Assumptions!$B$22*(F953/INDEX(Surface_Engine!$B$12:$B$72,$A953+1))),0)))+2*Assumptions!$B$27*(IF(C953&lt;=0,0,MAX(0,(B953/C953)*G953/INDEX(Surface_Engine!$B$12:$B$72,$A953+1)-F953/INDEX(Surface_Engine!$B$12:$B$72,$A953+1))))*(MAX(0,J953/INDEX(Surface_Engine!$B$12:$B$72,$A953+1)-(F953/INDEX(Surface_Engine!$B$12:$B$72,$A953+1))))+2*Assumptions!$B$28*(MAX(IF(D953&lt;=0,0,MAX(0,(B953/D953)*H953/INDEX(Surface_Engine!$B$12:$B$72,$A953+1)-F953/INDEX(Surface_Engine!$B$12:$B$72,$A953+1))),IF(E953&lt;=0,0,MAX(0,(B953/E953)*I953/INDEX(Surface_Engine!$B$12:$B$72,$A953+1)-F953/INDEX(Surface_Engine!$B$12:$B$72,$A953+1))),IF($A953&lt;$Q$951,MAX(0,-Assumptions!$B$22*(F953/INDEX(Surface_Engine!$B$12:$B$72,$A953+1))),0)))*(MAX(0,J953/INDEX(Surface_Engine!$B$12:$B$72,$A953+1)-(F953/INDEX(Surface_Engine!$B$12:$B$72,$A953+1)))))</f>
        <v>4981.01047606905</v>
      </c>
      <c r="L953" s="48" t="n">
        <f aca="false">K953*INDEX(Surface_Engine!$B$12:$B$72,$A953+1)+L954</f>
        <v>108398.088500156</v>
      </c>
      <c r="M953" s="48" t="n">
        <v>0</v>
      </c>
      <c r="N953" s="12" t="n">
        <f aca="false">IF(B953&lt;=0,0,MAX(0,(K953+Assumptions!$B$29*L953/INDEX(Surface_Engine!$B$12:$B$72,$A953+1)-(M953/INDEX(Surface_Engine!$B$12:$B$72,$A953+1)-(F953/INDEX(Surface_Engine!$B$12:$B$72,$A953+1))))/B953))</f>
        <v>10919.0079271126</v>
      </c>
    </row>
    <row r="954" customFormat="false" ht="15" hidden="false" customHeight="true" outlineLevel="0" collapsed="false">
      <c r="A954" s="1" t="n">
        <v>1</v>
      </c>
      <c r="B954" s="32" t="n">
        <f aca="false">INDEX(Surface_Engine!$O$12:$O$72,$A954+1)*IF($A954&lt;$Q$951,INDEX(Surface_Engine!$E$12:$E$72,$A954+1),INDEX(Surface_Engine!$E$12:$E$72,$Q$951+1))</f>
        <v>0.952496634911626</v>
      </c>
      <c r="C954" s="32" t="n">
        <f aca="false">INDEX(Panel_Reserving!$E$8:$E$68,$A954+1)*IF($A954&lt;$Q$951,INDEX(Surface_Engine!$E$12:$E$72,$A954+1),INDEX(Surface_Engine!$E$12:$E$72,$Q$951+1))</f>
        <v>0.953877307929301</v>
      </c>
      <c r="D954" s="32" t="n">
        <f aca="false">INDEX(Surface_Engine!$O$12:$O$72,$A954+1)*IF($A954&lt;$Q$951,INDEX(Surface_Engine!$Y$12:$Y$72,$A954+1),INDEX(Surface_Engine!$Y$12:$Y$72,$Q$951+1))</f>
        <v>0.932342703612161</v>
      </c>
      <c r="E954" s="32" t="n">
        <f aca="false">INDEX(Surface_Engine!$O$12:$O$72,$A954+1)*IF($A954&lt;$Q$951,INDEX(Surface_Engine!$Z$12:$Z$72,$A954+1),INDEX(Surface_Engine!$Z$12:$Z$72,$Q$951+1))</f>
        <v>0.97265056621109</v>
      </c>
      <c r="F954" s="48" t="n">
        <f aca="false">B954*(IF($A954&lt;$Q$951,INDEX(Surface_Engine!$D$12:$D$72,$A954+1)+(Surface_Engine!Q244*12)*INDEX(Surface_Engine!$F$12:$F$72,$A954+1)-(Surface_Engine!Q244*12),1000*12*INDEX(Surface_Engine!$C$12:$C$72,$A954+1)/(1+Assumptions!$B$10)^22+INDEX(Surface_Engine!$D$12:$D$72,$A954+1)))*INDEX(Surface_Engine!$B$12:$B$72,$A954+1)+F955</f>
        <v>-647.887858965782</v>
      </c>
      <c r="G954" s="48" t="n">
        <f aca="false">C954*(IF($A954&lt;$Q$951,INDEX(Surface_Engine!$D$12:$D$72,$A954+1)+(Surface_Engine!Q244*12)*INDEX(Surface_Engine!$F$12:$F$72,$A954+1)-(Surface_Engine!Q244*12),1000*12*INDEX(Surface_Engine!$C$12:$C$72,$A954+1)/(1+Assumptions!$B$10)^22+INDEX(Surface_Engine!$D$12:$D$72,$A954+1)))*INDEX(Surface_Engine!$B$12:$B$72,$A954+1)+G955</f>
        <v>3948.18686821103</v>
      </c>
      <c r="H954" s="48" t="n">
        <f aca="false">D954*(IF($A954&lt;$Q$951,INDEX(Surface_Engine!$D$12:$D$72,$A954+1)+(Surface_Engine!Q244*12)*INDEX(Surface_Engine!$F$12:$F$72,$A954+1)-(Surface_Engine!Q244*12),1000*12*INDEX(Surface_Engine!$C$12:$C$72,$A954+1)/(1+Assumptions!$B$10)^22+INDEX(Surface_Engine!$D$12:$D$72,$A954+1)))*INDEX(Surface_Engine!$B$12:$B$72,$A954+1)+H955</f>
        <v>-1458.94701402898</v>
      </c>
      <c r="I954" s="48" t="n">
        <f aca="false">E954*(IF($A954&lt;$Q$951,INDEX(Surface_Engine!$D$12:$D$72,$A954+1)+(Surface_Engine!Q244*12)*INDEX(Surface_Engine!$F$12:$F$72,$A954+1)-(Surface_Engine!Q244*12),1000*12*INDEX(Surface_Engine!$C$12:$C$72,$A954+1)/(1+Assumptions!$B$10)^22+INDEX(Surface_Engine!$D$12:$D$72,$A954+1)))*INDEX(Surface_Engine!$B$12:$B$72,$A954+1)+I955</f>
        <v>328.334397822315</v>
      </c>
      <c r="J954" s="48" t="n">
        <f aca="false">B954*(IF($A954&lt;$Q$951,INDEX(Surface_Engine!$D$12:$D$72,$A954+1)*(1+Assumptions!$B$24)+(Surface_Engine!Q244*12)*INDEX(Surface_Engine!$F$12:$F$72,$A954+1)-(Surface_Engine!Q244*12),1000*12*INDEX(Surface_Engine!$C$12:$C$72,$A954+1)/(1+Assumptions!$B$10)^22+INDEX(Surface_Engine!$D$12:$D$72,$A954+1)*(1+Assumptions!$B$24)))*INDEX(Surface_Engine!$B$12:$B$72,$A954+1)+J955</f>
        <v>-512.669617455034</v>
      </c>
      <c r="K954" s="12" t="n">
        <f aca="false">SQRT((IF(C954&lt;=0,0,MAX(0,(B954/C954)*G954/INDEX(Surface_Engine!$B$12:$B$72,$A954+1)-F954/INDEX(Surface_Engine!$B$12:$B$72,$A954+1))))^2+(MAX(IF(D954&lt;=0,0,MAX(0,(B954/D954)*H954/INDEX(Surface_Engine!$B$12:$B$72,$A954+1)-F954/INDEX(Surface_Engine!$B$12:$B$72,$A954+1))),IF(E954&lt;=0,0,MAX(0,(B954/E954)*I954/INDEX(Surface_Engine!$B$12:$B$72,$A954+1)-F954/INDEX(Surface_Engine!$B$12:$B$72,$A954+1))),IF($A954&lt;$Q$951,MAX(0,-Assumptions!$B$22*(F954/INDEX(Surface_Engine!$B$12:$B$72,$A954+1))),0)))^2+(MAX(0,J954/INDEX(Surface_Engine!$B$12:$B$72,$A954+1)-(F954/INDEX(Surface_Engine!$B$12:$B$72,$A954+1))))^2+2*Assumptions!$B$26*(IF(C954&lt;=0,0,MAX(0,(B954/C954)*G954/INDEX(Surface_Engine!$B$12:$B$72,$A954+1)-F954/INDEX(Surface_Engine!$B$12:$B$72,$A954+1))))*(MAX(IF(D954&lt;=0,0,MAX(0,(B954/D954)*H954/INDEX(Surface_Engine!$B$12:$B$72,$A954+1)-F954/INDEX(Surface_Engine!$B$12:$B$72,$A954+1))),IF(E954&lt;=0,0,MAX(0,(B954/E954)*I954/INDEX(Surface_Engine!$B$12:$B$72,$A954+1)-F954/INDEX(Surface_Engine!$B$12:$B$72,$A954+1))),IF($A954&lt;$Q$951,MAX(0,-Assumptions!$B$22*(F954/INDEX(Surface_Engine!$B$12:$B$72,$A954+1))),0)))+2*Assumptions!$B$27*(IF(C954&lt;=0,0,MAX(0,(B954/C954)*G954/INDEX(Surface_Engine!$B$12:$B$72,$A954+1)-F954/INDEX(Surface_Engine!$B$12:$B$72,$A954+1))))*(MAX(0,J954/INDEX(Surface_Engine!$B$12:$B$72,$A954+1)-(F954/INDEX(Surface_Engine!$B$12:$B$72,$A954+1))))+2*Assumptions!$B$28*(MAX(IF(D954&lt;=0,0,MAX(0,(B954/D954)*H954/INDEX(Surface_Engine!$B$12:$B$72,$A954+1)-F954/INDEX(Surface_Engine!$B$12:$B$72,$A954+1))),IF(E954&lt;=0,0,MAX(0,(B954/E954)*I954/INDEX(Surface_Engine!$B$12:$B$72,$A954+1)-F954/INDEX(Surface_Engine!$B$12:$B$72,$A954+1))),IF($A954&lt;$Q$951,MAX(0,-Assumptions!$B$22*(F954/INDEX(Surface_Engine!$B$12:$B$72,$A954+1))),0)))*(MAX(0,J954/INDEX(Surface_Engine!$B$12:$B$72,$A954+1)-(F954/INDEX(Surface_Engine!$B$12:$B$72,$A954+1)))))</f>
        <v>5098.50368347673</v>
      </c>
      <c r="L954" s="48" t="n">
        <f aca="false">K954*INDEX(Surface_Engine!$B$12:$B$72,$A954+1)+L955</f>
        <v>103417.078024087</v>
      </c>
      <c r="M954" s="48" t="n">
        <f aca="false">M953+B953*(IF($A953&lt;$Q$951,(Surface_Engine!Q244*12)-(Surface_Engine!Q244*12)*INDEX(Surface_Engine!$F$12:$F$72,$A953+1)-INDEX(Surface_Engine!$D$12:$D$72,$A953+1),-(1000*12*INDEX(Surface_Engine!$C$12:$C$72,$A953+1)/(1+Assumptions!$B$10)^22+INDEX(Surface_Engine!$D$12:$D$72,$A953+1))))*INDEX(Surface_Engine!$B$12:$B$72,$A953+1)</f>
        <v>-82</v>
      </c>
      <c r="N954" s="12" t="n">
        <f aca="false">IF(B954&lt;=0,0,MAX(0,(K954+Assumptions!$B$29*L954/INDEX(Surface_Engine!$B$12:$B$72,$A954+1)-(M954/INDEX(Surface_Engine!$B$12:$B$72,$A954+1)-(F954/INDEX(Surface_Engine!$B$12:$B$72,$A954+1))))/B954))</f>
        <v>11426.8461419578</v>
      </c>
    </row>
    <row r="955" customFormat="false" ht="15" hidden="false" customHeight="true" outlineLevel="0" collapsed="false">
      <c r="A955" s="1" t="n">
        <v>2</v>
      </c>
      <c r="B955" s="32" t="n">
        <f aca="false">INDEX(Surface_Engine!$O$12:$O$72,$A955+1)*IF($A955&lt;$Q$951,INDEX(Surface_Engine!$E$12:$E$72,$A955+1),INDEX(Surface_Engine!$E$12:$E$72,$Q$951+1))</f>
        <v>0.92448688269402</v>
      </c>
      <c r="C955" s="32" t="n">
        <f aca="false">INDEX(Panel_Reserving!$E$8:$E$68,$A955+1)*IF($A955&lt;$Q$951,INDEX(Surface_Engine!$E$12:$E$72,$A955+1),INDEX(Surface_Engine!$E$12:$E$72,$Q$951+1))</f>
        <v>0.927297197844477</v>
      </c>
      <c r="D955" s="32" t="n">
        <f aca="false">INDEX(Surface_Engine!$O$12:$O$72,$A955+1)*IF($A955&lt;$Q$951,INDEX(Surface_Engine!$Y$12:$Y$72,$A955+1),INDEX(Surface_Engine!$Y$12:$Y$72,$Q$951+1))</f>
        <v>0.894889382305423</v>
      </c>
      <c r="E955" s="32" t="n">
        <f aca="false">INDEX(Surface_Engine!$O$12:$O$72,$A955+1)*IF($A955&lt;$Q$951,INDEX(Surface_Engine!$Z$12:$Z$72,$A955+1),INDEX(Surface_Engine!$Z$12:$Z$72,$Q$951+1))</f>
        <v>0.954518278194512</v>
      </c>
      <c r="F955" s="48" t="n">
        <f aca="false">B955*(IF($A955&lt;$Q$951,INDEX(Surface_Engine!$D$12:$D$72,$A955+1)+(Surface_Engine!Q244*12)*INDEX(Surface_Engine!$F$12:$F$72,$A955+1)-(Surface_Engine!Q244*12),1000*12*INDEX(Surface_Engine!$C$12:$C$72,$A955+1)/(1+Assumptions!$B$10)^22+INDEX(Surface_Engine!$D$12:$D$72,$A955+1)))*INDEX(Surface_Engine!$B$12:$B$72,$A955+1)+F956</f>
        <v>605.600432998188</v>
      </c>
      <c r="G955" s="48" t="n">
        <f aca="false">C955*(IF($A955&lt;$Q$951,INDEX(Surface_Engine!$D$12:$D$72,$A955+1)+(Surface_Engine!Q244*12)*INDEX(Surface_Engine!$F$12:$F$72,$A955+1)-(Surface_Engine!Q244*12),1000*12*INDEX(Surface_Engine!$C$12:$C$72,$A955+1)/(1+Assumptions!$B$10)^22+INDEX(Surface_Engine!$D$12:$D$72,$A955+1)))*INDEX(Surface_Engine!$B$12:$B$72,$A955+1)+G956</f>
        <v>5203.4921298096</v>
      </c>
      <c r="H955" s="48" t="n">
        <f aca="false">D955*(IF($A955&lt;$Q$951,INDEX(Surface_Engine!$D$12:$D$72,$A955+1)+(Surface_Engine!Q244*12)*INDEX(Surface_Engine!$F$12:$F$72,$A955+1)-(Surface_Engine!Q244*12),1000*12*INDEX(Surface_Engine!$C$12:$C$72,$A955+1)/(1+Assumptions!$B$10)^22+INDEX(Surface_Engine!$D$12:$D$72,$A955+1)))*INDEX(Surface_Engine!$B$12:$B$72,$A955+1)+H956</f>
        <v>-231.981353216635</v>
      </c>
      <c r="I955" s="48" t="n">
        <f aca="false">E955*(IF($A955&lt;$Q$951,INDEX(Surface_Engine!$D$12:$D$72,$A955+1)+(Surface_Engine!Q244*12)*INDEX(Surface_Engine!$F$12:$F$72,$A955+1)-(Surface_Engine!Q244*12),1000*12*INDEX(Surface_Engine!$C$12:$C$72,$A955+1)/(1+Assumptions!$B$10)^22+INDEX(Surface_Engine!$D$12:$D$72,$A955+1)))*INDEX(Surface_Engine!$B$12:$B$72,$A955+1)+I956</f>
        <v>1608.34532093791</v>
      </c>
      <c r="J955" s="48" t="n">
        <f aca="false">B955*(IF($A955&lt;$Q$951,INDEX(Surface_Engine!$D$12:$D$72,$A955+1)*(1+Assumptions!$B$24)+(Surface_Engine!Q244*12)*INDEX(Surface_Engine!$F$12:$F$72,$A955+1)-(Surface_Engine!Q244*12),1000*12*INDEX(Surface_Engine!$C$12:$C$72,$A955+1)/(1+Assumptions!$B$10)^22+INDEX(Surface_Engine!$D$12:$D$72,$A955+1)*(1+Assumptions!$B$24)))*INDEX(Surface_Engine!$B$12:$B$72,$A955+1)+J956</f>
        <v>733.015510431942</v>
      </c>
      <c r="K955" s="12" t="n">
        <f aca="false">SQRT((IF(C955&lt;=0,0,MAX(0,(B955/C955)*G955/INDEX(Surface_Engine!$B$12:$B$72,$A955+1)-F955/INDEX(Surface_Engine!$B$12:$B$72,$A955+1))))^2+(MAX(IF(D955&lt;=0,0,MAX(0,(B955/D955)*H955/INDEX(Surface_Engine!$B$12:$B$72,$A955+1)-F955/INDEX(Surface_Engine!$B$12:$B$72,$A955+1))),IF(E955&lt;=0,0,MAX(0,(B955/E955)*I955/INDEX(Surface_Engine!$B$12:$B$72,$A955+1)-F955/INDEX(Surface_Engine!$B$12:$B$72,$A955+1))),IF($A955&lt;$Q$951,MAX(0,-Assumptions!$B$22*(F955/INDEX(Surface_Engine!$B$12:$B$72,$A955+1))),0)))^2+(MAX(0,J955/INDEX(Surface_Engine!$B$12:$B$72,$A955+1)-(F955/INDEX(Surface_Engine!$B$12:$B$72,$A955+1))))^2+2*Assumptions!$B$26*(IF(C955&lt;=0,0,MAX(0,(B955/C955)*G955/INDEX(Surface_Engine!$B$12:$B$72,$A955+1)-F955/INDEX(Surface_Engine!$B$12:$B$72,$A955+1))))*(MAX(IF(D955&lt;=0,0,MAX(0,(B955/D955)*H955/INDEX(Surface_Engine!$B$12:$B$72,$A955+1)-F955/INDEX(Surface_Engine!$B$12:$B$72,$A955+1))),IF(E955&lt;=0,0,MAX(0,(B955/E955)*I955/INDEX(Surface_Engine!$B$12:$B$72,$A955+1)-F955/INDEX(Surface_Engine!$B$12:$B$72,$A955+1))),IF($A955&lt;$Q$951,MAX(0,-Assumptions!$B$22*(F955/INDEX(Surface_Engine!$B$12:$B$72,$A955+1))),0)))+2*Assumptions!$B$27*(IF(C955&lt;=0,0,MAX(0,(B955/C955)*G955/INDEX(Surface_Engine!$B$12:$B$72,$A955+1)-F955/INDEX(Surface_Engine!$B$12:$B$72,$A955+1))))*(MAX(0,J955/INDEX(Surface_Engine!$B$12:$B$72,$A955+1)-(F955/INDEX(Surface_Engine!$B$12:$B$72,$A955+1))))+2*Assumptions!$B$28*(MAX(IF(D955&lt;=0,0,MAX(0,(B955/D955)*H955/INDEX(Surface_Engine!$B$12:$B$72,$A955+1)-F955/INDEX(Surface_Engine!$B$12:$B$72,$A955+1))),IF(E955&lt;=0,0,MAX(0,(B955/E955)*I955/INDEX(Surface_Engine!$B$12:$B$72,$A955+1)-F955/INDEX(Surface_Engine!$B$12:$B$72,$A955+1))),IF($A955&lt;$Q$951,MAX(0,-Assumptions!$B$22*(F955/INDEX(Surface_Engine!$B$12:$B$72,$A955+1))),0)))*(MAX(0,J955/INDEX(Surface_Engine!$B$12:$B$72,$A955+1)-(F955/INDEX(Surface_Engine!$B$12:$B$72,$A955+1)))))</f>
        <v>5214.53618938889</v>
      </c>
      <c r="L955" s="48" t="n">
        <f aca="false">K955*INDEX(Surface_Engine!$B$12:$B$72,$A955+1)+L956</f>
        <v>98447.582445822</v>
      </c>
      <c r="M955" s="48" t="n">
        <f aca="false">M954+B954*(IF($A954&lt;$Q$951,(Surface_Engine!Q244*12)-(Surface_Engine!Q244*12)*INDEX(Surface_Engine!$F$12:$F$72,$A954+1)-INDEX(Surface_Engine!$D$12:$D$72,$A954+1),-(1000*12*INDEX(Surface_Engine!$C$12:$C$72,$A954+1)/(1+Assumptions!$B$10)^22+INDEX(Surface_Engine!$D$12:$D$72,$A954+1))))*INDEX(Surface_Engine!$B$12:$B$72,$A954+1)</f>
        <v>1171.48829196397</v>
      </c>
      <c r="N955" s="12" t="n">
        <f aca="false">IF(B955&lt;=0,0,MAX(0,(K955+Assumptions!$B$29*L955/INDEX(Surface_Engine!$B$12:$B$72,$A955+1)-(M955/INDEX(Surface_Engine!$B$12:$B$72,$A955+1)-(F955/INDEX(Surface_Engine!$B$12:$B$72,$A955+1))))/B955))</f>
        <v>11725.0921956956</v>
      </c>
    </row>
    <row r="956" customFormat="false" ht="15" hidden="false" customHeight="true" outlineLevel="0" collapsed="false">
      <c r="A956" s="1" t="n">
        <v>3</v>
      </c>
      <c r="B956" s="32" t="n">
        <f aca="false">INDEX(Surface_Engine!$O$12:$O$72,$A956+1)*IF($A956&lt;$Q$951,INDEX(Surface_Engine!$E$12:$E$72,$A956+1),INDEX(Surface_Engine!$E$12:$E$72,$Q$951+1))</f>
        <v>0.904008274691798</v>
      </c>
      <c r="C956" s="32" t="n">
        <f aca="false">INDEX(Panel_Reserving!$E$8:$E$68,$A956+1)*IF($A956&lt;$Q$951,INDEX(Surface_Engine!$E$12:$E$72,$A956+1),INDEX(Surface_Engine!$E$12:$E$72,$Q$951+1))</f>
        <v>0.908397899136424</v>
      </c>
      <c r="D956" s="32" t="n">
        <f aca="false">INDEX(Surface_Engine!$O$12:$O$72,$A956+1)*IF($A956&lt;$Q$951,INDEX(Surface_Engine!$Y$12:$Y$72,$A956+1),INDEX(Surface_Engine!$Y$12:$Y$72,$Q$951+1))</f>
        <v>0.869168768082069</v>
      </c>
      <c r="E956" s="32" t="n">
        <f aca="false">INDEX(Surface_Engine!$O$12:$O$72,$A956+1)*IF($A956&lt;$Q$951,INDEX(Surface_Engine!$Z$12:$Z$72,$A956+1),INDEX(Surface_Engine!$Z$12:$Z$72,$Q$951+1))</f>
        <v>0.939665040075677</v>
      </c>
      <c r="F956" s="48" t="n">
        <f aca="false">B956*(IF($A956&lt;$Q$951,INDEX(Surface_Engine!$D$12:$D$72,$A956+1)+(Surface_Engine!Q244*12)*INDEX(Surface_Engine!$F$12:$F$72,$A956+1)-(Surface_Engine!Q244*12),1000*12*INDEX(Surface_Engine!$C$12:$C$72,$A956+1)/(1+Assumptions!$B$10)^22+INDEX(Surface_Engine!$D$12:$D$72,$A956+1)))*INDEX(Surface_Engine!$B$12:$B$72,$A956+1)+F957</f>
        <v>1788.9056947352</v>
      </c>
      <c r="G956" s="48" t="n">
        <f aca="false">C956*(IF($A956&lt;$Q$951,INDEX(Surface_Engine!$D$12:$D$72,$A956+1)+(Surface_Engine!Q244*12)*INDEX(Surface_Engine!$F$12:$F$72,$A956+1)-(Surface_Engine!Q244*12),1000*12*INDEX(Surface_Engine!$C$12:$C$72,$A956+1)/(1+Assumptions!$B$10)^22+INDEX(Surface_Engine!$D$12:$D$72,$A956+1)))*INDEX(Surface_Engine!$B$12:$B$72,$A956+1)+G957</f>
        <v>6390.39447958206</v>
      </c>
      <c r="H956" s="48" t="n">
        <f aca="false">D956*(IF($A956&lt;$Q$951,INDEX(Surface_Engine!$D$12:$D$72,$A956+1)+(Surface_Engine!Q244*12)*INDEX(Surface_Engine!$F$12:$F$72,$A956+1)-(Surface_Engine!Q244*12),1000*12*INDEX(Surface_Engine!$C$12:$C$72,$A956+1)/(1+Assumptions!$B$10)^22+INDEX(Surface_Engine!$D$12:$D$72,$A956+1)))*INDEX(Surface_Engine!$B$12:$B$72,$A956+1)+H957</f>
        <v>913.440322933924</v>
      </c>
      <c r="I956" s="48" t="n">
        <f aca="false">E956*(IF($A956&lt;$Q$951,INDEX(Surface_Engine!$D$12:$D$72,$A956+1)+(Surface_Engine!Q244*12)*INDEX(Surface_Engine!$F$12:$F$72,$A956+1)-(Surface_Engine!Q244*12),1000*12*INDEX(Surface_Engine!$C$12:$C$72,$A956+1)/(1+Assumptions!$B$10)^22+INDEX(Surface_Engine!$D$12:$D$72,$A956+1)))*INDEX(Surface_Engine!$B$12:$B$72,$A956+1)+I957</f>
        <v>2830.08953619418</v>
      </c>
      <c r="J956" s="48" t="n">
        <f aca="false">B956*(IF($A956&lt;$Q$951,INDEX(Surface_Engine!$D$12:$D$72,$A956+1)*(1+Assumptions!$B$24)+(Surface_Engine!Q244*12)*INDEX(Surface_Engine!$F$12:$F$72,$A956+1)-(Surface_Engine!Q244*12),1000*12*INDEX(Surface_Engine!$C$12:$C$72,$A956+1)/(1+Assumptions!$B$10)^22+INDEX(Surface_Engine!$D$12:$D$72,$A956+1)*(1+Assumptions!$B$24)))*INDEX(Surface_Engine!$B$12:$B$72,$A956+1)+J957</f>
        <v>1908.75858307664</v>
      </c>
      <c r="K956" s="12" t="n">
        <f aca="false">SQRT((IF(C956&lt;=0,0,MAX(0,(B956/C956)*G956/INDEX(Surface_Engine!$B$12:$B$72,$A956+1)-F956/INDEX(Surface_Engine!$B$12:$B$72,$A956+1))))^2+(MAX(IF(D956&lt;=0,0,MAX(0,(B956/D956)*H956/INDEX(Surface_Engine!$B$12:$B$72,$A956+1)-F956/INDEX(Surface_Engine!$B$12:$B$72,$A956+1))),IF(E956&lt;=0,0,MAX(0,(B956/E956)*I956/INDEX(Surface_Engine!$B$12:$B$72,$A956+1)-F956/INDEX(Surface_Engine!$B$12:$B$72,$A956+1))),IF($A956&lt;$Q$951,MAX(0,-Assumptions!$B$22*(F956/INDEX(Surface_Engine!$B$12:$B$72,$A956+1))),0)))^2+(MAX(0,J956/INDEX(Surface_Engine!$B$12:$B$72,$A956+1)-(F956/INDEX(Surface_Engine!$B$12:$B$72,$A956+1))))^2+2*Assumptions!$B$26*(IF(C956&lt;=0,0,MAX(0,(B956/C956)*G956/INDEX(Surface_Engine!$B$12:$B$72,$A956+1)-F956/INDEX(Surface_Engine!$B$12:$B$72,$A956+1))))*(MAX(IF(D956&lt;=0,0,MAX(0,(B956/D956)*H956/INDEX(Surface_Engine!$B$12:$B$72,$A956+1)-F956/INDEX(Surface_Engine!$B$12:$B$72,$A956+1))),IF(E956&lt;=0,0,MAX(0,(B956/E956)*I956/INDEX(Surface_Engine!$B$12:$B$72,$A956+1)-F956/INDEX(Surface_Engine!$B$12:$B$72,$A956+1))),IF($A956&lt;$Q$951,MAX(0,-Assumptions!$B$22*(F956/INDEX(Surface_Engine!$B$12:$B$72,$A956+1))),0)))+2*Assumptions!$B$27*(IF(C956&lt;=0,0,MAX(0,(B956/C956)*G956/INDEX(Surface_Engine!$B$12:$B$72,$A956+1)-F956/INDEX(Surface_Engine!$B$12:$B$72,$A956+1))))*(MAX(0,J956/INDEX(Surface_Engine!$B$12:$B$72,$A956+1)-(F956/INDEX(Surface_Engine!$B$12:$B$72,$A956+1))))+2*Assumptions!$B$28*(MAX(IF(D956&lt;=0,0,MAX(0,(B956/D956)*H956/INDEX(Surface_Engine!$B$12:$B$72,$A956+1)-F956/INDEX(Surface_Engine!$B$12:$B$72,$A956+1))),IF(E956&lt;=0,0,MAX(0,(B956/E956)*I956/INDEX(Surface_Engine!$B$12:$B$72,$A956+1)-F956/INDEX(Surface_Engine!$B$12:$B$72,$A956+1))),IF($A956&lt;$Q$951,MAX(0,-Assumptions!$B$22*(F956/INDEX(Surface_Engine!$B$12:$B$72,$A956+1))),0)))*(MAX(0,J956/INDEX(Surface_Engine!$B$12:$B$72,$A956+1)-(F956/INDEX(Surface_Engine!$B$12:$B$72,$A956+1)))))</f>
        <v>5327.45391490036</v>
      </c>
      <c r="L956" s="48" t="n">
        <f aca="false">K956*INDEX(Surface_Engine!$B$12:$B$72,$A956+1)+L957</f>
        <v>93496.4917505013</v>
      </c>
      <c r="M956" s="48" t="n">
        <f aca="false">M955+B955*(IF($A955&lt;$Q$951,(Surface_Engine!Q244*12)-(Surface_Engine!Q244*12)*INDEX(Surface_Engine!$F$12:$F$72,$A955+1)-INDEX(Surface_Engine!$D$12:$D$72,$A955+1),-(1000*12*INDEX(Surface_Engine!$C$12:$C$72,$A955+1)/(1+Assumptions!$B$10)^22+INDEX(Surface_Engine!$D$12:$D$72,$A955+1))))*INDEX(Surface_Engine!$B$12:$B$72,$A955+1)</f>
        <v>2354.79355370098</v>
      </c>
      <c r="N956" s="12" t="n">
        <f aca="false">IF(B956&lt;=0,0,MAX(0,(K956+Assumptions!$B$29*L956/INDEX(Surface_Engine!$B$12:$B$72,$A956+1)-(M956/INDEX(Surface_Engine!$B$12:$B$72,$A956+1)-(F956/INDEX(Surface_Engine!$B$12:$B$72,$A956+1))))/B956))</f>
        <v>11923.4764519538</v>
      </c>
    </row>
    <row r="957" customFormat="false" ht="15" hidden="false" customHeight="true" outlineLevel="0" collapsed="false">
      <c r="A957" s="1" t="n">
        <v>4</v>
      </c>
      <c r="B957" s="32" t="n">
        <f aca="false">INDEX(Surface_Engine!$O$12:$O$72,$A957+1)*IF($A957&lt;$Q$951,INDEX(Surface_Engine!$E$12:$E$72,$A957+1),INDEX(Surface_Engine!$E$12:$E$72,$Q$951+1))</f>
        <v>0.883164776935926</v>
      </c>
      <c r="C957" s="32" t="n">
        <f aca="false">INDEX(Panel_Reserving!$E$8:$E$68,$A957+1)*IF($A957&lt;$Q$951,INDEX(Surface_Engine!$E$12:$E$72,$A957+1),INDEX(Surface_Engine!$E$12:$E$72,$Q$951+1))</f>
        <v>0.889225794121993</v>
      </c>
      <c r="D957" s="32" t="n">
        <f aca="false">INDEX(Surface_Engine!$O$12:$O$72,$A957+1)*IF($A957&lt;$Q$951,INDEX(Surface_Engine!$Y$12:$Y$72,$A957+1),INDEX(Surface_Engine!$Y$12:$Y$72,$Q$951+1))</f>
        <v>0.843405737927717</v>
      </c>
      <c r="E957" s="32" t="n">
        <f aca="false">INDEX(Surface_Engine!$O$12:$O$72,$A957+1)*IF($A957&lt;$Q$951,INDEX(Surface_Engine!$Z$12:$Z$72,$A957+1),INDEX(Surface_Engine!$Z$12:$Z$72,$Q$951+1))</f>
        <v>0.924186395968513</v>
      </c>
      <c r="F957" s="48" t="n">
        <f aca="false">B957*(IF($A957&lt;$Q$951,INDEX(Surface_Engine!$D$12:$D$72,$A957+1)+(Surface_Engine!Q244*12)*INDEX(Surface_Engine!$F$12:$F$72,$A957+1)-(Surface_Engine!Q244*12),1000*12*INDEX(Surface_Engine!$C$12:$C$72,$A957+1)/(1+Assumptions!$B$10)^22+INDEX(Surface_Engine!$D$12:$D$72,$A957+1)))*INDEX(Surface_Engine!$B$12:$B$72,$A957+1)+F958</f>
        <v>2914.65585418743</v>
      </c>
      <c r="G957" s="48" t="n">
        <f aca="false">C957*(IF($A957&lt;$Q$951,INDEX(Surface_Engine!$D$12:$D$72,$A957+1)+(Surface_Engine!Q244*12)*INDEX(Surface_Engine!$F$12:$F$72,$A957+1)-(Surface_Engine!Q244*12),1000*12*INDEX(Surface_Engine!$C$12:$C$72,$A957+1)/(1+Assumptions!$B$10)^22+INDEX(Surface_Engine!$D$12:$D$72,$A957+1)))*INDEX(Surface_Engine!$B$12:$B$72,$A957+1)+G958</f>
        <v>7521.61098326677</v>
      </c>
      <c r="H957" s="48" t="n">
        <f aca="false">D957*(IF($A957&lt;$Q$951,INDEX(Surface_Engine!$D$12:$D$72,$A957+1)+(Surface_Engine!Q244*12)*INDEX(Surface_Engine!$F$12:$F$72,$A957+1)-(Surface_Engine!Q244*12),1000*12*INDEX(Surface_Engine!$C$12:$C$72,$A957+1)/(1+Assumptions!$B$10)^22+INDEX(Surface_Engine!$D$12:$D$72,$A957+1)))*INDEX(Surface_Engine!$B$12:$B$72,$A957+1)+H958</f>
        <v>1995.80528202998</v>
      </c>
      <c r="I957" s="48" t="n">
        <f aca="false">E957*(IF($A957&lt;$Q$951,INDEX(Surface_Engine!$D$12:$D$72,$A957+1)+(Surface_Engine!Q244*12)*INDEX(Surface_Engine!$F$12:$F$72,$A957+1)-(Surface_Engine!Q244*12),1000*12*INDEX(Surface_Engine!$C$12:$C$72,$A957+1)/(1+Assumptions!$B$10)^22+INDEX(Surface_Engine!$D$12:$D$72,$A957+1)))*INDEX(Surface_Engine!$B$12:$B$72,$A957+1)+I958</f>
        <v>4000.24261809768</v>
      </c>
      <c r="J957" s="48" t="n">
        <f aca="false">B957*(IF($A957&lt;$Q$951,INDEX(Surface_Engine!$D$12:$D$72,$A957+1)*(1+Assumptions!$B$24)+(Surface_Engine!Q244*12)*INDEX(Surface_Engine!$F$12:$F$72,$A957+1)-(Surface_Engine!Q244*12),1000*12*INDEX(Surface_Engine!$C$12:$C$72,$A957+1)/(1+Assumptions!$B$10)^22+INDEX(Surface_Engine!$D$12:$D$72,$A957+1)*(1+Assumptions!$B$24)))*INDEX(Surface_Engine!$B$12:$B$72,$A957+1)+J958</f>
        <v>3027.12271300082</v>
      </c>
      <c r="K957" s="12" t="n">
        <f aca="false">SQRT((IF(C957&lt;=0,0,MAX(0,(B957/C957)*G957/INDEX(Surface_Engine!$B$12:$B$72,$A957+1)-F957/INDEX(Surface_Engine!$B$12:$B$72,$A957+1))))^2+(MAX(IF(D957&lt;=0,0,MAX(0,(B957/D957)*H957/INDEX(Surface_Engine!$B$12:$B$72,$A957+1)-F957/INDEX(Surface_Engine!$B$12:$B$72,$A957+1))),IF(E957&lt;=0,0,MAX(0,(B957/E957)*I957/INDEX(Surface_Engine!$B$12:$B$72,$A957+1)-F957/INDEX(Surface_Engine!$B$12:$B$72,$A957+1))),IF($A957&lt;$Q$951,MAX(0,-Assumptions!$B$22*(F957/INDEX(Surface_Engine!$B$12:$B$72,$A957+1))),0)))^2+(MAX(0,J957/INDEX(Surface_Engine!$B$12:$B$72,$A957+1)-(F957/INDEX(Surface_Engine!$B$12:$B$72,$A957+1))))^2+2*Assumptions!$B$26*(IF(C957&lt;=0,0,MAX(0,(B957/C957)*G957/INDEX(Surface_Engine!$B$12:$B$72,$A957+1)-F957/INDEX(Surface_Engine!$B$12:$B$72,$A957+1))))*(MAX(IF(D957&lt;=0,0,MAX(0,(B957/D957)*H957/INDEX(Surface_Engine!$B$12:$B$72,$A957+1)-F957/INDEX(Surface_Engine!$B$12:$B$72,$A957+1))),IF(E957&lt;=0,0,MAX(0,(B957/E957)*I957/INDEX(Surface_Engine!$B$12:$B$72,$A957+1)-F957/INDEX(Surface_Engine!$B$12:$B$72,$A957+1))),IF($A957&lt;$Q$951,MAX(0,-Assumptions!$B$22*(F957/INDEX(Surface_Engine!$B$12:$B$72,$A957+1))),0)))+2*Assumptions!$B$27*(IF(C957&lt;=0,0,MAX(0,(B957/C957)*G957/INDEX(Surface_Engine!$B$12:$B$72,$A957+1)-F957/INDEX(Surface_Engine!$B$12:$B$72,$A957+1))))*(MAX(0,J957/INDEX(Surface_Engine!$B$12:$B$72,$A957+1)-(F957/INDEX(Surface_Engine!$B$12:$B$72,$A957+1))))+2*Assumptions!$B$28*(MAX(IF(D957&lt;=0,0,MAX(0,(B957/D957)*H957/INDEX(Surface_Engine!$B$12:$B$72,$A957+1)-F957/INDEX(Surface_Engine!$B$12:$B$72,$A957+1))),IF(E957&lt;=0,0,MAX(0,(B957/E957)*I957/INDEX(Surface_Engine!$B$12:$B$72,$A957+1)-F957/INDEX(Surface_Engine!$B$12:$B$72,$A957+1))),IF($A957&lt;$Q$951,MAX(0,-Assumptions!$B$22*(F957/INDEX(Surface_Engine!$B$12:$B$72,$A957+1))),0)))*(MAX(0,J957/INDEX(Surface_Engine!$B$12:$B$72,$A957+1)-(F957/INDEX(Surface_Engine!$B$12:$B$72,$A957+1)))))</f>
        <v>5438.3637627847</v>
      </c>
      <c r="L957" s="48" t="n">
        <f aca="false">K957*INDEX(Surface_Engine!$B$12:$B$72,$A957+1)+L958</f>
        <v>88567.3320766842</v>
      </c>
      <c r="M957" s="48" t="n">
        <f aca="false">M956+B956*(IF($A956&lt;$Q$951,(Surface_Engine!Q244*12)-(Surface_Engine!Q244*12)*INDEX(Surface_Engine!$F$12:$F$72,$A956+1)-INDEX(Surface_Engine!$D$12:$D$72,$A956+1),-(1000*12*INDEX(Surface_Engine!$C$12:$C$72,$A956+1)/(1+Assumptions!$B$10)^22+INDEX(Surface_Engine!$D$12:$D$72,$A956+1))))*INDEX(Surface_Engine!$B$12:$B$72,$A956+1)</f>
        <v>3480.54371315321</v>
      </c>
      <c r="N957" s="12" t="n">
        <f aca="false">IF(B957&lt;=0,0,MAX(0,(K957+Assumptions!$B$29*L957/INDEX(Surface_Engine!$B$12:$B$72,$A957+1)-(M957/INDEX(Surface_Engine!$B$12:$B$72,$A957+1)-(F957/INDEX(Surface_Engine!$B$12:$B$72,$A957+1))))/B957))</f>
        <v>12123.7926792308</v>
      </c>
    </row>
    <row r="958" customFormat="false" ht="15" hidden="false" customHeight="true" outlineLevel="0" collapsed="false">
      <c r="A958" s="1" t="n">
        <v>5</v>
      </c>
      <c r="B958" s="32" t="n">
        <f aca="false">INDEX(Surface_Engine!$O$12:$O$72,$A958+1)*IF($A958&lt;$Q$951,INDEX(Surface_Engine!$E$12:$E$72,$A958+1),INDEX(Surface_Engine!$E$12:$E$72,$Q$951+1))</f>
        <v>0.861889437947002</v>
      </c>
      <c r="C958" s="32" t="n">
        <f aca="false">INDEX(Panel_Reserving!$E$8:$E$68,$A958+1)*IF($A958&lt;$Q$951,INDEX(Surface_Engine!$E$12:$E$72,$A958+1),INDEX(Surface_Engine!$E$12:$E$72,$Q$951+1))</f>
        <v>0.869723374946982</v>
      </c>
      <c r="D958" s="32" t="n">
        <f aca="false">INDEX(Surface_Engine!$O$12:$O$72,$A958+1)*IF($A958&lt;$Q$951,INDEX(Surface_Engine!$Y$12:$Y$72,$A958+1),INDEX(Surface_Engine!$Y$12:$Y$72,$Q$951+1))</f>
        <v>0.817540873903783</v>
      </c>
      <c r="E958" s="32" t="n">
        <f aca="false">INDEX(Surface_Engine!$O$12:$O$72,$A958+1)*IF($A958&lt;$Q$951,INDEX(Surface_Engine!$Z$12:$Z$72,$A958+1),INDEX(Surface_Engine!$Z$12:$Z$72,$Q$951+1))</f>
        <v>0.908001483618589</v>
      </c>
      <c r="F958" s="48" t="n">
        <f aca="false">B958*(IF($A958&lt;$Q$951,INDEX(Surface_Engine!$D$12:$D$72,$A958+1)+(Surface_Engine!Q244*12)*INDEX(Surface_Engine!$F$12:$F$72,$A958+1)-(Surface_Engine!Q244*12),1000*12*INDEX(Surface_Engine!$C$12:$C$72,$A958+1)/(1+Assumptions!$B$10)^22+INDEX(Surface_Engine!$D$12:$D$72,$A958+1)))*INDEX(Surface_Engine!$B$12:$B$72,$A958+1)+F959</f>
        <v>3984.07106994388</v>
      </c>
      <c r="G958" s="48" t="n">
        <f aca="false">C958*(IF($A958&lt;$Q$951,INDEX(Surface_Engine!$D$12:$D$72,$A958+1)+(Surface_Engine!Q244*12)*INDEX(Surface_Engine!$F$12:$F$72,$A958+1)-(Surface_Engine!Q244*12),1000*12*INDEX(Surface_Engine!$C$12:$C$72,$A958+1)/(1+Assumptions!$B$10)^22+INDEX(Surface_Engine!$D$12:$D$72,$A958+1)))*INDEX(Surface_Engine!$B$12:$B$72,$A958+1)+G959</f>
        <v>8598.36542288157</v>
      </c>
      <c r="H958" s="48" t="n">
        <f aca="false">D958*(IF($A958&lt;$Q$951,INDEX(Surface_Engine!$D$12:$D$72,$A958+1)+(Surface_Engine!Q244*12)*INDEX(Surface_Engine!$F$12:$F$72,$A958+1)-(Surface_Engine!Q244*12),1000*12*INDEX(Surface_Engine!$C$12:$C$72,$A958+1)/(1+Assumptions!$B$10)^22+INDEX(Surface_Engine!$D$12:$D$72,$A958+1)))*INDEX(Surface_Engine!$B$12:$B$72,$A958+1)+H959</f>
        <v>3017.07668318963</v>
      </c>
      <c r="I958" s="48" t="n">
        <f aca="false">E958*(IF($A958&lt;$Q$951,INDEX(Surface_Engine!$D$12:$D$72,$A958+1)+(Surface_Engine!Q244*12)*INDEX(Surface_Engine!$F$12:$F$72,$A958+1)-(Surface_Engine!Q244*12),1000*12*INDEX(Surface_Engine!$C$12:$C$72,$A958+1)/(1+Assumptions!$B$10)^22+INDEX(Surface_Engine!$D$12:$D$72,$A958+1)))*INDEX(Surface_Engine!$B$12:$B$72,$A958+1)+I959</f>
        <v>5119.33049371792</v>
      </c>
      <c r="J958" s="48" t="n">
        <f aca="false">B958*(IF($A958&lt;$Q$951,INDEX(Surface_Engine!$D$12:$D$72,$A958+1)*(1+Assumptions!$B$24)+(Surface_Engine!Q244*12)*INDEX(Surface_Engine!$F$12:$F$72,$A958+1)-(Surface_Engine!Q244*12),1000*12*INDEX(Surface_Engine!$C$12:$C$72,$A958+1)/(1+Assumptions!$B$10)^22+INDEX(Surface_Engine!$D$12:$D$72,$A958+1)*(1+Assumptions!$B$24)))*INDEX(Surface_Engine!$B$12:$B$72,$A958+1)+J959</f>
        <v>4089.33428576223</v>
      </c>
      <c r="K958" s="12" t="n">
        <f aca="false">SQRT((IF(C958&lt;=0,0,MAX(0,(B958/C958)*G958/INDEX(Surface_Engine!$B$12:$B$72,$A958+1)-F958/INDEX(Surface_Engine!$B$12:$B$72,$A958+1))))^2+(MAX(IF(D958&lt;=0,0,MAX(0,(B958/D958)*H958/INDEX(Surface_Engine!$B$12:$B$72,$A958+1)-F958/INDEX(Surface_Engine!$B$12:$B$72,$A958+1))),IF(E958&lt;=0,0,MAX(0,(B958/E958)*I958/INDEX(Surface_Engine!$B$12:$B$72,$A958+1)-F958/INDEX(Surface_Engine!$B$12:$B$72,$A958+1))),IF($A958&lt;$Q$951,MAX(0,-Assumptions!$B$22*(F958/INDEX(Surface_Engine!$B$12:$B$72,$A958+1))),0)))^2+(MAX(0,J958/INDEX(Surface_Engine!$B$12:$B$72,$A958+1)-(F958/INDEX(Surface_Engine!$B$12:$B$72,$A958+1))))^2+2*Assumptions!$B$26*(IF(C958&lt;=0,0,MAX(0,(B958/C958)*G958/INDEX(Surface_Engine!$B$12:$B$72,$A958+1)-F958/INDEX(Surface_Engine!$B$12:$B$72,$A958+1))))*(MAX(IF(D958&lt;=0,0,MAX(0,(B958/D958)*H958/INDEX(Surface_Engine!$B$12:$B$72,$A958+1)-F958/INDEX(Surface_Engine!$B$12:$B$72,$A958+1))),IF(E958&lt;=0,0,MAX(0,(B958/E958)*I958/INDEX(Surface_Engine!$B$12:$B$72,$A958+1)-F958/INDEX(Surface_Engine!$B$12:$B$72,$A958+1))),IF($A958&lt;$Q$951,MAX(0,-Assumptions!$B$22*(F958/INDEX(Surface_Engine!$B$12:$B$72,$A958+1))),0)))+2*Assumptions!$B$27*(IF(C958&lt;=0,0,MAX(0,(B958/C958)*G958/INDEX(Surface_Engine!$B$12:$B$72,$A958+1)-F958/INDEX(Surface_Engine!$B$12:$B$72,$A958+1))))*(MAX(0,J958/INDEX(Surface_Engine!$B$12:$B$72,$A958+1)-(F958/INDEX(Surface_Engine!$B$12:$B$72,$A958+1))))+2*Assumptions!$B$28*(MAX(IF(D958&lt;=0,0,MAX(0,(B958/D958)*H958/INDEX(Surface_Engine!$B$12:$B$72,$A958+1)-F958/INDEX(Surface_Engine!$B$12:$B$72,$A958+1))),IF(E958&lt;=0,0,MAX(0,(B958/E958)*I958/INDEX(Surface_Engine!$B$12:$B$72,$A958+1)-F958/INDEX(Surface_Engine!$B$12:$B$72,$A958+1))),IF($A958&lt;$Q$951,MAX(0,-Assumptions!$B$22*(F958/INDEX(Surface_Engine!$B$12:$B$72,$A958+1))),0)))*(MAX(0,J958/INDEX(Surface_Engine!$B$12:$B$72,$A958+1)-(F958/INDEX(Surface_Engine!$B$12:$B$72,$A958+1)))))</f>
        <v>5550.80712449707</v>
      </c>
      <c r="L958" s="48" t="n">
        <f aca="false">K958*INDEX(Surface_Engine!$B$12:$B$72,$A958+1)+L959</f>
        <v>83666.5049750169</v>
      </c>
      <c r="M958" s="48" t="n">
        <f aca="false">M957+B957*(IF($A957&lt;$Q$951,(Surface_Engine!Q244*12)-(Surface_Engine!Q244*12)*INDEX(Surface_Engine!$F$12:$F$72,$A957+1)-INDEX(Surface_Engine!$D$12:$D$72,$A957+1),-(1000*12*INDEX(Surface_Engine!$C$12:$C$72,$A957+1)/(1+Assumptions!$B$10)^22+INDEX(Surface_Engine!$D$12:$D$72,$A957+1))))*INDEX(Surface_Engine!$B$12:$B$72,$A957+1)</f>
        <v>4549.95892890966</v>
      </c>
      <c r="N958" s="12" t="n">
        <f aca="false">IF(B958&lt;=0,0,MAX(0,(K958+Assumptions!$B$29*L958/INDEX(Surface_Engine!$B$12:$B$72,$A958+1)-(M958/INDEX(Surface_Engine!$B$12:$B$72,$A958+1)-(F958/INDEX(Surface_Engine!$B$12:$B$72,$A958+1))))/B958))</f>
        <v>12335.5692126306</v>
      </c>
    </row>
    <row r="959" customFormat="false" ht="15" hidden="false" customHeight="true" outlineLevel="0" collapsed="false">
      <c r="A959" s="1" t="n">
        <v>6</v>
      </c>
      <c r="B959" s="32" t="n">
        <f aca="false">INDEX(Surface_Engine!$O$12:$O$72,$A959+1)*IF($A959&lt;$Q$951,INDEX(Surface_Engine!$E$12:$E$72,$A959+1),INDEX(Surface_Engine!$E$12:$E$72,$Q$951+1))</f>
        <v>0.843686875261664</v>
      </c>
      <c r="C959" s="32" t="n">
        <f aca="false">INDEX(Panel_Reserving!$E$8:$E$68,$A959+1)*IF($A959&lt;$Q$951,INDEX(Surface_Engine!$E$12:$E$72,$A959+1),INDEX(Surface_Engine!$E$12:$E$72,$Q$951+1))</f>
        <v>0.853446069999635</v>
      </c>
      <c r="D959" s="32" t="n">
        <f aca="false">INDEX(Surface_Engine!$O$12:$O$72,$A959+1)*IF($A959&lt;$Q$951,INDEX(Surface_Engine!$Y$12:$Y$72,$A959+1),INDEX(Surface_Engine!$Y$12:$Y$72,$Q$951+1))</f>
        <v>0.79660023439674</v>
      </c>
      <c r="E959" s="32" t="n">
        <f aca="false">INDEX(Surface_Engine!$O$12:$O$72,$A959+1)*IF($A959&lt;$Q$951,INDEX(Surface_Engine!$Z$12:$Z$72,$A959+1),INDEX(Surface_Engine!$Z$12:$Z$72,$Q$951+1))</f>
        <v>0.892906357352133</v>
      </c>
      <c r="F959" s="48" t="n">
        <f aca="false">B959*(IF($A959&lt;$Q$951,INDEX(Surface_Engine!$D$12:$D$72,$A959+1)+(Surface_Engine!Q244*12)*INDEX(Surface_Engine!$F$12:$F$72,$A959+1)-(Surface_Engine!Q244*12),1000*12*INDEX(Surface_Engine!$C$12:$C$72,$A959+1)/(1+Assumptions!$B$10)^22+INDEX(Surface_Engine!$D$12:$D$72,$A959+1)))*INDEX(Surface_Engine!$B$12:$B$72,$A959+1)+F960</f>
        <v>4997.57728308076</v>
      </c>
      <c r="G959" s="48" t="n">
        <f aca="false">C959*(IF($A959&lt;$Q$951,INDEX(Surface_Engine!$D$12:$D$72,$A959+1)+(Surface_Engine!Q244*12)*INDEX(Surface_Engine!$F$12:$F$72,$A959+1)-(Surface_Engine!Q244*12),1000*12*INDEX(Surface_Engine!$C$12:$C$72,$A959+1)/(1+Assumptions!$B$10)^22+INDEX(Surface_Engine!$D$12:$D$72,$A959+1)))*INDEX(Surface_Engine!$B$12:$B$72,$A959+1)+G960</f>
        <v>9621.08365727459</v>
      </c>
      <c r="H959" s="48" t="n">
        <f aca="false">D959*(IF($A959&lt;$Q$951,INDEX(Surface_Engine!$D$12:$D$72,$A959+1)+(Surface_Engine!Q244*12)*INDEX(Surface_Engine!$F$12:$F$72,$A959+1)-(Surface_Engine!Q244*12),1000*12*INDEX(Surface_Engine!$C$12:$C$72,$A959+1)/(1+Assumptions!$B$10)^22+INDEX(Surface_Engine!$D$12:$D$72,$A959+1)))*INDEX(Surface_Engine!$B$12:$B$72,$A959+1)+H960</f>
        <v>3978.43288354928</v>
      </c>
      <c r="I959" s="48" t="n">
        <f aca="false">E959*(IF($A959&lt;$Q$951,INDEX(Surface_Engine!$D$12:$D$72,$A959+1)+(Surface_Engine!Q244*12)*INDEX(Surface_Engine!$F$12:$F$72,$A959+1)-(Surface_Engine!Q244*12),1000*12*INDEX(Surface_Engine!$C$12:$C$72,$A959+1)/(1+Assumptions!$B$10)^22+INDEX(Surface_Engine!$D$12:$D$72,$A959+1)))*INDEX(Surface_Engine!$B$12:$B$72,$A959+1)+I960</f>
        <v>6187.06041900508</v>
      </c>
      <c r="J959" s="48" t="n">
        <f aca="false">B959*(IF($A959&lt;$Q$951,INDEX(Surface_Engine!$D$12:$D$72,$A959+1)*(1+Assumptions!$B$24)+(Surface_Engine!Q244*12)*INDEX(Surface_Engine!$F$12:$F$72,$A959+1)-(Surface_Engine!Q244*12),1000*12*INDEX(Surface_Engine!$C$12:$C$72,$A959+1)/(1+Assumptions!$B$10)^22+INDEX(Surface_Engine!$D$12:$D$72,$A959+1)*(1+Assumptions!$B$24)))*INDEX(Surface_Engine!$B$12:$B$72,$A959+1)+J960</f>
        <v>5095.83098214675</v>
      </c>
      <c r="K959" s="12" t="n">
        <f aca="false">SQRT((IF(C959&lt;=0,0,MAX(0,(B959/C959)*G959/INDEX(Surface_Engine!$B$12:$B$72,$A959+1)-F959/INDEX(Surface_Engine!$B$12:$B$72,$A959+1))))^2+(MAX(IF(D959&lt;=0,0,MAX(0,(B959/D959)*H959/INDEX(Surface_Engine!$B$12:$B$72,$A959+1)-F959/INDEX(Surface_Engine!$B$12:$B$72,$A959+1))),IF(E959&lt;=0,0,MAX(0,(B959/E959)*I959/INDEX(Surface_Engine!$B$12:$B$72,$A959+1)-F959/INDEX(Surface_Engine!$B$12:$B$72,$A959+1))),IF($A959&lt;$Q$951,MAX(0,-Assumptions!$B$22*(F959/INDEX(Surface_Engine!$B$12:$B$72,$A959+1))),0)))^2+(MAX(0,J959/INDEX(Surface_Engine!$B$12:$B$72,$A959+1)-(F959/INDEX(Surface_Engine!$B$12:$B$72,$A959+1))))^2+2*Assumptions!$B$26*(IF(C959&lt;=0,0,MAX(0,(B959/C959)*G959/INDEX(Surface_Engine!$B$12:$B$72,$A959+1)-F959/INDEX(Surface_Engine!$B$12:$B$72,$A959+1))))*(MAX(IF(D959&lt;=0,0,MAX(0,(B959/D959)*H959/INDEX(Surface_Engine!$B$12:$B$72,$A959+1)-F959/INDEX(Surface_Engine!$B$12:$B$72,$A959+1))),IF(E959&lt;=0,0,MAX(0,(B959/E959)*I959/INDEX(Surface_Engine!$B$12:$B$72,$A959+1)-F959/INDEX(Surface_Engine!$B$12:$B$72,$A959+1))),IF($A959&lt;$Q$951,MAX(0,-Assumptions!$B$22*(F959/INDEX(Surface_Engine!$B$12:$B$72,$A959+1))),0)))+2*Assumptions!$B$27*(IF(C959&lt;=0,0,MAX(0,(B959/C959)*G959/INDEX(Surface_Engine!$B$12:$B$72,$A959+1)-F959/INDEX(Surface_Engine!$B$12:$B$72,$A959+1))))*(MAX(0,J959/INDEX(Surface_Engine!$B$12:$B$72,$A959+1)-(F959/INDEX(Surface_Engine!$B$12:$B$72,$A959+1))))+2*Assumptions!$B$28*(MAX(IF(D959&lt;=0,0,MAX(0,(B959/D959)*H959/INDEX(Surface_Engine!$B$12:$B$72,$A959+1)-F959/INDEX(Surface_Engine!$B$12:$B$72,$A959+1))),IF(E959&lt;=0,0,MAX(0,(B959/E959)*I959/INDEX(Surface_Engine!$B$12:$B$72,$A959+1)-F959/INDEX(Surface_Engine!$B$12:$B$72,$A959+1))),IF($A959&lt;$Q$951,MAX(0,-Assumptions!$B$22*(F959/INDEX(Surface_Engine!$B$12:$B$72,$A959+1))),0)))*(MAX(0,J959/INDEX(Surface_Engine!$B$12:$B$72,$A959+1)-(F959/INDEX(Surface_Engine!$B$12:$B$72,$A959+1)))))</f>
        <v>5668.22793625345</v>
      </c>
      <c r="L959" s="48" t="n">
        <f aca="false">K959*INDEX(Surface_Engine!$B$12:$B$72,$A959+1)+L960</f>
        <v>78800.6464567687</v>
      </c>
      <c r="M959" s="48" t="n">
        <f aca="false">M958+B958*(IF($A958&lt;$Q$951,(Surface_Engine!Q244*12)-(Surface_Engine!Q244*12)*INDEX(Surface_Engine!$F$12:$F$72,$A958+1)-INDEX(Surface_Engine!$D$12:$D$72,$A958+1),-(1000*12*INDEX(Surface_Engine!$C$12:$C$72,$A958+1)/(1+Assumptions!$B$10)^22+INDEX(Surface_Engine!$D$12:$D$72,$A958+1))))*INDEX(Surface_Engine!$B$12:$B$72,$A958+1)</f>
        <v>5563.46514204655</v>
      </c>
      <c r="N959" s="12" t="n">
        <f aca="false">IF(B959&lt;=0,0,MAX(0,(K959+Assumptions!$B$29*L959/INDEX(Surface_Engine!$B$12:$B$72,$A959+1)-(M959/INDEX(Surface_Engine!$B$12:$B$72,$A959+1)-(F959/INDEX(Surface_Engine!$B$12:$B$72,$A959+1))))/B959))</f>
        <v>12508.8405228215</v>
      </c>
    </row>
    <row r="960" customFormat="false" ht="15" hidden="false" customHeight="true" outlineLevel="0" collapsed="false">
      <c r="A960" s="1" t="n">
        <v>7</v>
      </c>
      <c r="B960" s="32" t="n">
        <f aca="false">INDEX(Surface_Engine!$O$12:$O$72,$A960+1)*IF($A960&lt;$Q$951,INDEX(Surface_Engine!$E$12:$E$72,$A960+1),INDEX(Surface_Engine!$E$12:$E$72,$Q$951+1))</f>
        <v>0.824731058261812</v>
      </c>
      <c r="C960" s="32" t="n">
        <f aca="false">INDEX(Panel_Reserving!$E$8:$E$68,$A960+1)*IF($A960&lt;$Q$951,INDEX(Surface_Engine!$E$12:$E$72,$A960+1),INDEX(Surface_Engine!$E$12:$E$72,$Q$951+1))</f>
        <v>0.836552730175345</v>
      </c>
      <c r="D960" s="32" t="n">
        <f aca="false">INDEX(Surface_Engine!$O$12:$O$72,$A960+1)*IF($A960&lt;$Q$951,INDEX(Surface_Engine!$Y$12:$Y$72,$A960+1),INDEX(Surface_Engine!$Y$12:$Y$72,$Q$951+1))</f>
        <v>0.775126718274485</v>
      </c>
      <c r="E960" s="32" t="n">
        <f aca="false">INDEX(Surface_Engine!$O$12:$O$72,$A960+1)*IF($A960&lt;$Q$951,INDEX(Surface_Engine!$Z$12:$Z$72,$A960+1),INDEX(Surface_Engine!$Z$12:$Z$72,$Q$951+1))</f>
        <v>0.876852600526584</v>
      </c>
      <c r="F960" s="48" t="n">
        <f aca="false">B960*(IF($A960&lt;$Q$951,INDEX(Surface_Engine!$D$12:$D$72,$A960+1)+(Surface_Engine!Q244*12)*INDEX(Surface_Engine!$F$12:$F$72,$A960+1)-(Surface_Engine!Q244*12),1000*12*INDEX(Surface_Engine!$C$12:$C$72,$A960+1)/(1+Assumptions!$B$10)^22+INDEX(Surface_Engine!$D$12:$D$72,$A960+1)))*INDEX(Surface_Engine!$B$12:$B$72,$A960+1)+F961</f>
        <v>5960.13406973197</v>
      </c>
      <c r="G960" s="48" t="n">
        <f aca="false">C960*(IF($A960&lt;$Q$951,INDEX(Surface_Engine!$D$12:$D$72,$A960+1)+(Surface_Engine!Q244*12)*INDEX(Surface_Engine!$F$12:$F$72,$A960+1)-(Surface_Engine!Q244*12),1000*12*INDEX(Surface_Engine!$C$12:$C$72,$A960+1)/(1+Assumptions!$B$10)^22+INDEX(Surface_Engine!$D$12:$D$72,$A960+1)))*INDEX(Surface_Engine!$B$12:$B$72,$A960+1)+G961</f>
        <v>10594.7746447801</v>
      </c>
      <c r="H960" s="48" t="n">
        <f aca="false">D960*(IF($A960&lt;$Q$951,INDEX(Surface_Engine!$D$12:$D$72,$A960+1)+(Surface_Engine!Q244*12)*INDEX(Surface_Engine!$F$12:$F$72,$A960+1)-(Surface_Engine!Q244*12),1000*12*INDEX(Surface_Engine!$C$12:$C$72,$A960+1)/(1+Assumptions!$B$10)^22+INDEX(Surface_Engine!$D$12:$D$72,$A960+1)))*INDEX(Surface_Engine!$B$12:$B$72,$A960+1)+H961</f>
        <v>4887.26883246542</v>
      </c>
      <c r="I960" s="48" t="n">
        <f aca="false">E960*(IF($A960&lt;$Q$951,INDEX(Surface_Engine!$D$12:$D$72,$A960+1)+(Surface_Engine!Q244*12)*INDEX(Surface_Engine!$F$12:$F$72,$A960+1)-(Surface_Engine!Q244*12),1000*12*INDEX(Surface_Engine!$C$12:$C$72,$A960+1)/(1+Assumptions!$B$10)^22+INDEX(Surface_Engine!$D$12:$D$72,$A960+1)))*INDEX(Surface_Engine!$B$12:$B$72,$A960+1)+I961</f>
        <v>7205.7713878663</v>
      </c>
      <c r="J960" s="48" t="n">
        <f aca="false">B960*(IF($A960&lt;$Q$951,INDEX(Surface_Engine!$D$12:$D$72,$A960+1)*(1+Assumptions!$B$24)+(Surface_Engine!Q244*12)*INDEX(Surface_Engine!$F$12:$F$72,$A960+1)-(Surface_Engine!Q244*12),1000*12*INDEX(Surface_Engine!$C$12:$C$72,$A960+1)/(1+Assumptions!$B$10)^22+INDEX(Surface_Engine!$D$12:$D$72,$A960+1)*(1+Assumptions!$B$24)))*INDEX(Surface_Engine!$B$12:$B$72,$A960+1)+J961</f>
        <v>6051.55237649489</v>
      </c>
      <c r="K960" s="12" t="n">
        <f aca="false">SQRT((IF(C960&lt;=0,0,MAX(0,(B960/C960)*G960/INDEX(Surface_Engine!$B$12:$B$72,$A960+1)-F960/INDEX(Surface_Engine!$B$12:$B$72,$A960+1))))^2+(MAX(IF(D960&lt;=0,0,MAX(0,(B960/D960)*H960/INDEX(Surface_Engine!$B$12:$B$72,$A960+1)-F960/INDEX(Surface_Engine!$B$12:$B$72,$A960+1))),IF(E960&lt;=0,0,MAX(0,(B960/E960)*I960/INDEX(Surface_Engine!$B$12:$B$72,$A960+1)-F960/INDEX(Surface_Engine!$B$12:$B$72,$A960+1))),IF($A960&lt;$Q$951,MAX(0,-Assumptions!$B$22*(F960/INDEX(Surface_Engine!$B$12:$B$72,$A960+1))),0)))^2+(MAX(0,J960/INDEX(Surface_Engine!$B$12:$B$72,$A960+1)-(F960/INDEX(Surface_Engine!$B$12:$B$72,$A960+1))))^2+2*Assumptions!$B$26*(IF(C960&lt;=0,0,MAX(0,(B960/C960)*G960/INDEX(Surface_Engine!$B$12:$B$72,$A960+1)-F960/INDEX(Surface_Engine!$B$12:$B$72,$A960+1))))*(MAX(IF(D960&lt;=0,0,MAX(0,(B960/D960)*H960/INDEX(Surface_Engine!$B$12:$B$72,$A960+1)-F960/INDEX(Surface_Engine!$B$12:$B$72,$A960+1))),IF(E960&lt;=0,0,MAX(0,(B960/E960)*I960/INDEX(Surface_Engine!$B$12:$B$72,$A960+1)-F960/INDEX(Surface_Engine!$B$12:$B$72,$A960+1))),IF($A960&lt;$Q$951,MAX(0,-Assumptions!$B$22*(F960/INDEX(Surface_Engine!$B$12:$B$72,$A960+1))),0)))+2*Assumptions!$B$27*(IF(C960&lt;=0,0,MAX(0,(B960/C960)*G960/INDEX(Surface_Engine!$B$12:$B$72,$A960+1)-F960/INDEX(Surface_Engine!$B$12:$B$72,$A960+1))))*(MAX(0,J960/INDEX(Surface_Engine!$B$12:$B$72,$A960+1)-(F960/INDEX(Surface_Engine!$B$12:$B$72,$A960+1))))+2*Assumptions!$B$28*(MAX(IF(D960&lt;=0,0,MAX(0,(B960/D960)*H960/INDEX(Surface_Engine!$B$12:$B$72,$A960+1)-F960/INDEX(Surface_Engine!$B$12:$B$72,$A960+1))),IF(E960&lt;=0,0,MAX(0,(B960/E960)*I960/INDEX(Surface_Engine!$B$12:$B$72,$A960+1)-F960/INDEX(Surface_Engine!$B$12:$B$72,$A960+1))),IF($A960&lt;$Q$951,MAX(0,-Assumptions!$B$22*(F960/INDEX(Surface_Engine!$B$12:$B$72,$A960+1))),0)))*(MAX(0,J960/INDEX(Surface_Engine!$B$12:$B$72,$A960+1)-(F960/INDEX(Surface_Engine!$B$12:$B$72,$A960+1)))))</f>
        <v>5786.59057357179</v>
      </c>
      <c r="L960" s="48" t="n">
        <f aca="false">K960*INDEX(Surface_Engine!$B$12:$B$72,$A960+1)+L961</f>
        <v>73971.477353184</v>
      </c>
      <c r="M960" s="48" t="n">
        <f aca="false">M959+B959*(IF($A959&lt;$Q$951,(Surface_Engine!Q244*12)-(Surface_Engine!Q244*12)*INDEX(Surface_Engine!$F$12:$F$72,$A959+1)-INDEX(Surface_Engine!$D$12:$D$72,$A959+1),-(1000*12*INDEX(Surface_Engine!$C$12:$C$72,$A959+1)/(1+Assumptions!$B$10)^22+INDEX(Surface_Engine!$D$12:$D$72,$A959+1))))*INDEX(Surface_Engine!$B$12:$B$72,$A959+1)</f>
        <v>6526.02192869775</v>
      </c>
      <c r="N960" s="12" t="n">
        <f aca="false">IF(B960&lt;=0,0,MAX(0,(K960+Assumptions!$B$29*L960/INDEX(Surface_Engine!$B$12:$B$72,$A960+1)-(M960/INDEX(Surface_Engine!$B$12:$B$72,$A960+1)-(F960/INDEX(Surface_Engine!$B$12:$B$72,$A960+1))))/B960))</f>
        <v>12693.6223090129</v>
      </c>
    </row>
    <row r="961" customFormat="false" ht="15" hidden="false" customHeight="true" outlineLevel="0" collapsed="false">
      <c r="A961" s="1" t="n">
        <v>8</v>
      </c>
      <c r="B961" s="32" t="n">
        <f aca="false">INDEX(Surface_Engine!$O$12:$O$72,$A961+1)*IF($A961&lt;$Q$951,INDEX(Surface_Engine!$E$12:$E$72,$A961+1),INDEX(Surface_Engine!$E$12:$E$72,$Q$951+1))</f>
        <v>0.804503103189844</v>
      </c>
      <c r="C961" s="32" t="n">
        <f aca="false">INDEX(Panel_Reserving!$E$8:$E$68,$A961+1)*IF($A961&lt;$Q$951,INDEX(Surface_Engine!$E$12:$E$72,$A961+1),INDEX(Surface_Engine!$E$12:$E$72,$Q$951+1))</f>
        <v>0.818615882595225</v>
      </c>
      <c r="D961" s="32" t="n">
        <f aca="false">INDEX(Surface_Engine!$O$12:$O$72,$A961+1)*IF($A961&lt;$Q$951,INDEX(Surface_Engine!$Y$12:$Y$72,$A961+1),INDEX(Surface_Engine!$Y$12:$Y$72,$Q$951+1))</f>
        <v>0.752643475884406</v>
      </c>
      <c r="E961" s="32" t="n">
        <f aca="false">INDEX(Surface_Engine!$O$12:$O$72,$A961+1)*IF($A961&lt;$Q$951,INDEX(Surface_Engine!$Z$12:$Z$72,$A961+1),INDEX(Surface_Engine!$Z$12:$Z$72,$Q$951+1))</f>
        <v>0.859273840921563</v>
      </c>
      <c r="F961" s="48" t="n">
        <f aca="false">B961*(IF($A961&lt;$Q$951,INDEX(Surface_Engine!$D$12:$D$72,$A961+1)+(Surface_Engine!Q244*12)*INDEX(Surface_Engine!$F$12:$F$72,$A961+1)-(Surface_Engine!Q244*12),1000*12*INDEX(Surface_Engine!$C$12:$C$72,$A961+1)/(1+Assumptions!$B$10)^22+INDEX(Surface_Engine!$D$12:$D$72,$A961+1)))*INDEX(Surface_Engine!$B$12:$B$72,$A961+1)+F962</f>
        <v>6871.90931812677</v>
      </c>
      <c r="G961" s="48" t="n">
        <f aca="false">C961*(IF($A961&lt;$Q$951,INDEX(Surface_Engine!$D$12:$D$72,$A961+1)+(Surface_Engine!Q244*12)*INDEX(Surface_Engine!$F$12:$F$72,$A961+1)-(Surface_Engine!Q244*12),1000*12*INDEX(Surface_Engine!$C$12:$C$72,$A961+1)/(1+Assumptions!$B$10)^22+INDEX(Surface_Engine!$D$12:$D$72,$A961+1)))*INDEX(Surface_Engine!$B$12:$B$72,$A961+1)+G962</f>
        <v>11519.6192540743</v>
      </c>
      <c r="H961" s="48" t="n">
        <f aca="false">D961*(IF($A961&lt;$Q$951,INDEX(Surface_Engine!$D$12:$D$72,$A961+1)+(Surface_Engine!Q244*12)*INDEX(Surface_Engine!$F$12:$F$72,$A961+1)-(Surface_Engine!Q244*12),1000*12*INDEX(Surface_Engine!$C$12:$C$72,$A961+1)/(1+Assumptions!$B$10)^22+INDEX(Surface_Engine!$D$12:$D$72,$A961+1)))*INDEX(Surface_Engine!$B$12:$B$72,$A961+1)+H962</f>
        <v>5744.20437407298</v>
      </c>
      <c r="I961" s="48" t="n">
        <f aca="false">E961*(IF($A961&lt;$Q$951,INDEX(Surface_Engine!$D$12:$D$72,$A961+1)+(Surface_Engine!Q244*12)*INDEX(Surface_Engine!$F$12:$F$72,$A961+1)-(Surface_Engine!Q244*12),1000*12*INDEX(Surface_Engine!$C$12:$C$72,$A961+1)/(1+Assumptions!$B$10)^22+INDEX(Surface_Engine!$D$12:$D$72,$A961+1)))*INDEX(Surface_Engine!$B$12:$B$72,$A961+1)+I962</f>
        <v>8175.16921718504</v>
      </c>
      <c r="J961" s="48" t="n">
        <f aca="false">B961*(IF($A961&lt;$Q$951,INDEX(Surface_Engine!$D$12:$D$72,$A961+1)*(1+Assumptions!$B$24)+(Surface_Engine!Q244*12)*INDEX(Surface_Engine!$F$12:$F$72,$A961+1)-(Surface_Engine!Q244*12),1000*12*INDEX(Surface_Engine!$C$12:$C$72,$A961+1)/(1+Assumptions!$B$10)^22+INDEX(Surface_Engine!$D$12:$D$72,$A961+1)*(1+Assumptions!$B$24)))*INDEX(Surface_Engine!$B$12:$B$72,$A961+1)+J962</f>
        <v>6956.67917429058</v>
      </c>
      <c r="K961" s="12" t="n">
        <f aca="false">SQRT((IF(C961&lt;=0,0,MAX(0,(B961/C961)*G961/INDEX(Surface_Engine!$B$12:$B$72,$A961+1)-F961/INDEX(Surface_Engine!$B$12:$B$72,$A961+1))))^2+(MAX(IF(D961&lt;=0,0,MAX(0,(B961/D961)*H961/INDEX(Surface_Engine!$B$12:$B$72,$A961+1)-F961/INDEX(Surface_Engine!$B$12:$B$72,$A961+1))),IF(E961&lt;=0,0,MAX(0,(B961/E961)*I961/INDEX(Surface_Engine!$B$12:$B$72,$A961+1)-F961/INDEX(Surface_Engine!$B$12:$B$72,$A961+1))),IF($A961&lt;$Q$951,MAX(0,-Assumptions!$B$22*(F961/INDEX(Surface_Engine!$B$12:$B$72,$A961+1))),0)))^2+(MAX(0,J961/INDEX(Surface_Engine!$B$12:$B$72,$A961+1)-(F961/INDEX(Surface_Engine!$B$12:$B$72,$A961+1))))^2+2*Assumptions!$B$26*(IF(C961&lt;=0,0,MAX(0,(B961/C961)*G961/INDEX(Surface_Engine!$B$12:$B$72,$A961+1)-F961/INDEX(Surface_Engine!$B$12:$B$72,$A961+1))))*(MAX(IF(D961&lt;=0,0,MAX(0,(B961/D961)*H961/INDEX(Surface_Engine!$B$12:$B$72,$A961+1)-F961/INDEX(Surface_Engine!$B$12:$B$72,$A961+1))),IF(E961&lt;=0,0,MAX(0,(B961/E961)*I961/INDEX(Surface_Engine!$B$12:$B$72,$A961+1)-F961/INDEX(Surface_Engine!$B$12:$B$72,$A961+1))),IF($A961&lt;$Q$951,MAX(0,-Assumptions!$B$22*(F961/INDEX(Surface_Engine!$B$12:$B$72,$A961+1))),0)))+2*Assumptions!$B$27*(IF(C961&lt;=0,0,MAX(0,(B961/C961)*G961/INDEX(Surface_Engine!$B$12:$B$72,$A961+1)-F961/INDEX(Surface_Engine!$B$12:$B$72,$A961+1))))*(MAX(0,J961/INDEX(Surface_Engine!$B$12:$B$72,$A961+1)-(F961/INDEX(Surface_Engine!$B$12:$B$72,$A961+1))))+2*Assumptions!$B$28*(MAX(IF(D961&lt;=0,0,MAX(0,(B961/D961)*H961/INDEX(Surface_Engine!$B$12:$B$72,$A961+1)-F961/INDEX(Surface_Engine!$B$12:$B$72,$A961+1))),IF(E961&lt;=0,0,MAX(0,(B961/E961)*I961/INDEX(Surface_Engine!$B$12:$B$72,$A961+1)-F961/INDEX(Surface_Engine!$B$12:$B$72,$A961+1))),IF($A961&lt;$Q$951,MAX(0,-Assumptions!$B$22*(F961/INDEX(Surface_Engine!$B$12:$B$72,$A961+1))),0)))*(MAX(0,J961/INDEX(Surface_Engine!$B$12:$B$72,$A961+1)-(F961/INDEX(Surface_Engine!$B$12:$B$72,$A961+1)))))</f>
        <v>5903.14161558543</v>
      </c>
      <c r="L961" s="48" t="n">
        <f aca="false">K961*INDEX(Surface_Engine!$B$12:$B$72,$A961+1)+L962</f>
        <v>69185.7280873321</v>
      </c>
      <c r="M961" s="48" t="n">
        <f aca="false">M960+B960*(IF($A960&lt;$Q$951,(Surface_Engine!Q244*12)-(Surface_Engine!Q244*12)*INDEX(Surface_Engine!$F$12:$F$72,$A960+1)-INDEX(Surface_Engine!$D$12:$D$72,$A960+1),-(1000*12*INDEX(Surface_Engine!$C$12:$C$72,$A960+1)/(1+Assumptions!$B$10)^22+INDEX(Surface_Engine!$D$12:$D$72,$A960+1))))*INDEX(Surface_Engine!$B$12:$B$72,$A960+1)</f>
        <v>7437.79717709255</v>
      </c>
      <c r="N961" s="12" t="n">
        <f aca="false">IF(B961&lt;=0,0,MAX(0,(K961+Assumptions!$B$29*L961/INDEX(Surface_Engine!$B$12:$B$72,$A961+1)-(M961/INDEX(Surface_Engine!$B$12:$B$72,$A961+1)-(F961/INDEX(Surface_Engine!$B$12:$B$72,$A961+1))))/B961))</f>
        <v>12895.00000427</v>
      </c>
    </row>
    <row r="962" customFormat="false" ht="15" hidden="false" customHeight="true" outlineLevel="0" collapsed="false">
      <c r="A962" s="1" t="n">
        <v>9</v>
      </c>
      <c r="B962" s="32" t="n">
        <f aca="false">INDEX(Surface_Engine!$O$12:$O$72,$A962+1)*IF($A962&lt;$Q$951,INDEX(Surface_Engine!$E$12:$E$72,$A962+1),INDEX(Surface_Engine!$E$12:$E$72,$Q$951+1))</f>
        <v>0.783323450903977</v>
      </c>
      <c r="C962" s="32" t="n">
        <f aca="false">INDEX(Panel_Reserving!$E$8:$E$68,$A962+1)*IF($A962&lt;$Q$951,INDEX(Surface_Engine!$E$12:$E$72,$A962+1),INDEX(Surface_Engine!$E$12:$E$72,$Q$951+1))</f>
        <v>0.799885049175172</v>
      </c>
      <c r="D962" s="32" t="n">
        <f aca="false">INDEX(Surface_Engine!$O$12:$O$72,$A962+1)*IF($A962&lt;$Q$951,INDEX(Surface_Engine!$Y$12:$Y$72,$A962+1),INDEX(Surface_Engine!$Y$12:$Y$72,$Q$951+1))</f>
        <v>0.729464105869262</v>
      </c>
      <c r="E962" s="32" t="n">
        <f aca="false">INDEX(Surface_Engine!$O$12:$O$72,$A962+1)*IF($A962&lt;$Q$951,INDEX(Surface_Engine!$Z$12:$Z$72,$A962+1),INDEX(Surface_Engine!$Z$12:$Z$72,$Q$951+1))</f>
        <v>0.840494001090999</v>
      </c>
      <c r="F962" s="48" t="n">
        <f aca="false">B962*(IF($A962&lt;$Q$951,INDEX(Surface_Engine!$D$12:$D$72,$A962+1)+(Surface_Engine!Q244*12)*INDEX(Surface_Engine!$F$12:$F$72,$A962+1)-(Surface_Engine!Q244*12),1000*12*INDEX(Surface_Engine!$C$12:$C$72,$A962+1)/(1+Assumptions!$B$10)^22+INDEX(Surface_Engine!$D$12:$D$72,$A962+1)))*INDEX(Surface_Engine!$B$12:$B$72,$A962+1)+F963</f>
        <v>7732.71722622415</v>
      </c>
      <c r="G962" s="48" t="n">
        <f aca="false">C962*(IF($A962&lt;$Q$951,INDEX(Surface_Engine!$D$12:$D$72,$A962+1)+(Surface_Engine!Q244*12)*INDEX(Surface_Engine!$F$12:$F$72,$A962+1)-(Surface_Engine!Q244*12),1000*12*INDEX(Surface_Engine!$C$12:$C$72,$A962+1)/(1+Assumptions!$B$10)^22+INDEX(Surface_Engine!$D$12:$D$72,$A962+1)))*INDEX(Surface_Engine!$B$12:$B$72,$A962+1)+G963</f>
        <v>12395.5276534802</v>
      </c>
      <c r="H962" s="48" t="n">
        <f aca="false">D962*(IF($A962&lt;$Q$951,INDEX(Surface_Engine!$D$12:$D$72,$A962+1)+(Surface_Engine!Q244*12)*INDEX(Surface_Engine!$F$12:$F$72,$A962+1)-(Surface_Engine!Q244*12),1000*12*INDEX(Surface_Engine!$C$12:$C$72,$A962+1)/(1+Assumptions!$B$10)^22+INDEX(Surface_Engine!$D$12:$D$72,$A962+1)))*INDEX(Surface_Engine!$B$12:$B$72,$A962+1)+H963</f>
        <v>6549.52315214898</v>
      </c>
      <c r="I962" s="48" t="n">
        <f aca="false">E962*(IF($A962&lt;$Q$951,INDEX(Surface_Engine!$D$12:$D$72,$A962+1)+(Surface_Engine!Q244*12)*INDEX(Surface_Engine!$F$12:$F$72,$A962+1)-(Surface_Engine!Q244*12),1000*12*INDEX(Surface_Engine!$C$12:$C$72,$A962+1)/(1+Assumptions!$B$10)^22+INDEX(Surface_Engine!$D$12:$D$72,$A962+1)))*INDEX(Surface_Engine!$B$12:$B$72,$A962+1)+I963</f>
        <v>9094.58110578275</v>
      </c>
      <c r="J962" s="48" t="n">
        <f aca="false">B962*(IF($A962&lt;$Q$951,INDEX(Surface_Engine!$D$12:$D$72,$A962+1)*(1+Assumptions!$B$24)+(Surface_Engine!Q244*12)*INDEX(Surface_Engine!$F$12:$F$72,$A962+1)-(Surface_Engine!Q244*12),1000*12*INDEX(Surface_Engine!$C$12:$C$72,$A962+1)/(1+Assumptions!$B$10)^22+INDEX(Surface_Engine!$D$12:$D$72,$A962+1)*(1+Assumptions!$B$24)))*INDEX(Surface_Engine!$B$12:$B$72,$A962+1)+J963</f>
        <v>7811.04160369611</v>
      </c>
      <c r="K962" s="12" t="n">
        <f aca="false">SQRT((IF(C962&lt;=0,0,MAX(0,(B962/C962)*G962/INDEX(Surface_Engine!$B$12:$B$72,$A962+1)-F962/INDEX(Surface_Engine!$B$12:$B$72,$A962+1))))^2+(MAX(IF(D962&lt;=0,0,MAX(0,(B962/D962)*H962/INDEX(Surface_Engine!$B$12:$B$72,$A962+1)-F962/INDEX(Surface_Engine!$B$12:$B$72,$A962+1))),IF(E962&lt;=0,0,MAX(0,(B962/E962)*I962/INDEX(Surface_Engine!$B$12:$B$72,$A962+1)-F962/INDEX(Surface_Engine!$B$12:$B$72,$A962+1))),IF($A962&lt;$Q$951,MAX(0,-Assumptions!$B$22*(F962/INDEX(Surface_Engine!$B$12:$B$72,$A962+1))),0)))^2+(MAX(0,J962/INDEX(Surface_Engine!$B$12:$B$72,$A962+1)-(F962/INDEX(Surface_Engine!$B$12:$B$72,$A962+1))))^2+2*Assumptions!$B$26*(IF(C962&lt;=0,0,MAX(0,(B962/C962)*G962/INDEX(Surface_Engine!$B$12:$B$72,$A962+1)-F962/INDEX(Surface_Engine!$B$12:$B$72,$A962+1))))*(MAX(IF(D962&lt;=0,0,MAX(0,(B962/D962)*H962/INDEX(Surface_Engine!$B$12:$B$72,$A962+1)-F962/INDEX(Surface_Engine!$B$12:$B$72,$A962+1))),IF(E962&lt;=0,0,MAX(0,(B962/E962)*I962/INDEX(Surface_Engine!$B$12:$B$72,$A962+1)-F962/INDEX(Surface_Engine!$B$12:$B$72,$A962+1))),IF($A962&lt;$Q$951,MAX(0,-Assumptions!$B$22*(F962/INDEX(Surface_Engine!$B$12:$B$72,$A962+1))),0)))+2*Assumptions!$B$27*(IF(C962&lt;=0,0,MAX(0,(B962/C962)*G962/INDEX(Surface_Engine!$B$12:$B$72,$A962+1)-F962/INDEX(Surface_Engine!$B$12:$B$72,$A962+1))))*(MAX(0,J962/INDEX(Surface_Engine!$B$12:$B$72,$A962+1)-(F962/INDEX(Surface_Engine!$B$12:$B$72,$A962+1))))+2*Assumptions!$B$28*(MAX(IF(D962&lt;=0,0,MAX(0,(B962/D962)*H962/INDEX(Surface_Engine!$B$12:$B$72,$A962+1)-F962/INDEX(Surface_Engine!$B$12:$B$72,$A962+1))),IF(E962&lt;=0,0,MAX(0,(B962/E962)*I962/INDEX(Surface_Engine!$B$12:$B$72,$A962+1)-F962/INDEX(Surface_Engine!$B$12:$B$72,$A962+1))),IF($A962&lt;$Q$951,MAX(0,-Assumptions!$B$22*(F962/INDEX(Surface_Engine!$B$12:$B$72,$A962+1))),0)))*(MAX(0,J962/INDEX(Surface_Engine!$B$12:$B$72,$A962+1)-(F962/INDEX(Surface_Engine!$B$12:$B$72,$A962+1)))))</f>
        <v>6016.7378931439</v>
      </c>
      <c r="L962" s="48" t="n">
        <f aca="false">K962*INDEX(Surface_Engine!$B$12:$B$72,$A962+1)+L963</f>
        <v>64451.9719644422</v>
      </c>
      <c r="M962" s="48" t="n">
        <f aca="false">M961+B961*(IF($A961&lt;$Q$951,(Surface_Engine!Q244*12)-(Surface_Engine!Q244*12)*INDEX(Surface_Engine!$F$12:$F$72,$A961+1)-INDEX(Surface_Engine!$D$12:$D$72,$A961+1),-(1000*12*INDEX(Surface_Engine!$C$12:$C$72,$A961+1)/(1+Assumptions!$B$10)^22+INDEX(Surface_Engine!$D$12:$D$72,$A961+1))))*INDEX(Surface_Engine!$B$12:$B$72,$A961+1)</f>
        <v>8298.60508518993</v>
      </c>
      <c r="N962" s="12" t="n">
        <f aca="false">IF(B962&lt;=0,0,MAX(0,(K962+Assumptions!$B$29*L962/INDEX(Surface_Engine!$B$12:$B$72,$A962+1)-(M962/INDEX(Surface_Engine!$B$12:$B$72,$A962+1)-(F962/INDEX(Surface_Engine!$B$12:$B$72,$A962+1))))/B962))</f>
        <v>13106.783750537</v>
      </c>
    </row>
    <row r="963" customFormat="false" ht="15" hidden="false" customHeight="true" outlineLevel="0" collapsed="false">
      <c r="A963" s="1" t="n">
        <v>10</v>
      </c>
      <c r="B963" s="32" t="n">
        <f aca="false">INDEX(Surface_Engine!$O$12:$O$72,$A963+1)*IF($A963&lt;$Q$951,INDEX(Surface_Engine!$E$12:$E$72,$A963+1),INDEX(Surface_Engine!$E$12:$E$72,$Q$951+1))</f>
        <v>0.76110417839761</v>
      </c>
      <c r="C963" s="32" t="n">
        <f aca="false">INDEX(Panel_Reserving!$E$8:$E$68,$A963+1)*IF($A963&lt;$Q$951,INDEX(Surface_Engine!$E$12:$E$72,$A963+1),INDEX(Surface_Engine!$E$12:$E$72,$Q$951+1))</f>
        <v>0.780278019470631</v>
      </c>
      <c r="D963" s="32" t="n">
        <f aca="false">INDEX(Surface_Engine!$O$12:$O$72,$A963+1)*IF($A963&lt;$Q$951,INDEX(Surface_Engine!$Y$12:$Y$72,$A963+1),INDEX(Surface_Engine!$Y$12:$Y$72,$Q$951+1))</f>
        <v>0.705518043055846</v>
      </c>
      <c r="E963" s="32" t="n">
        <f aca="false">INDEX(Surface_Engine!$O$12:$O$72,$A963+1)*IF($A963&lt;$Q$951,INDEX(Surface_Engine!$Z$12:$Z$72,$A963+1),INDEX(Surface_Engine!$Z$12:$Z$72,$Q$951+1))</f>
        <v>0.820402959316639</v>
      </c>
      <c r="F963" s="48" t="n">
        <f aca="false">B963*(IF($A963&lt;$Q$951,INDEX(Surface_Engine!$D$12:$D$72,$A963+1)+(Surface_Engine!Q244*12)*INDEX(Surface_Engine!$F$12:$F$72,$A963+1)-(Surface_Engine!Q244*12),1000*12*INDEX(Surface_Engine!$C$12:$C$72,$A963+1)/(1+Assumptions!$B$10)^22+INDEX(Surface_Engine!$D$12:$D$72,$A963+1)))*INDEX(Surface_Engine!$B$12:$B$72,$A963+1)+F964</f>
        <v>8543.04102349644</v>
      </c>
      <c r="G963" s="48" t="n">
        <f aca="false">C963*(IF($A963&lt;$Q$951,INDEX(Surface_Engine!$D$12:$D$72,$A963+1)+(Surface_Engine!Q244*12)*INDEX(Surface_Engine!$F$12:$F$72,$A963+1)-(Surface_Engine!Q244*12),1000*12*INDEX(Surface_Engine!$C$12:$C$72,$A963+1)/(1+Assumptions!$B$10)^22+INDEX(Surface_Engine!$D$12:$D$72,$A963+1)))*INDEX(Surface_Engine!$B$12:$B$72,$A963+1)+G964</f>
        <v>13222.9839101274</v>
      </c>
      <c r="H963" s="48" t="n">
        <f aca="false">D963*(IF($A963&lt;$Q$951,INDEX(Surface_Engine!$D$12:$D$72,$A963+1)+(Surface_Engine!Q244*12)*INDEX(Surface_Engine!$F$12:$F$72,$A963+1)-(Surface_Engine!Q244*12),1000*12*INDEX(Surface_Engine!$C$12:$C$72,$A963+1)/(1+Assumptions!$B$10)^22+INDEX(Surface_Engine!$D$12:$D$72,$A963+1)))*INDEX(Surface_Engine!$B$12:$B$72,$A963+1)+H964</f>
        <v>7304.13112866196</v>
      </c>
      <c r="I963" s="48" t="n">
        <f aca="false">E963*(IF($A963&lt;$Q$951,INDEX(Surface_Engine!$D$12:$D$72,$A963+1)+(Surface_Engine!Q244*12)*INDEX(Surface_Engine!$F$12:$F$72,$A963+1)-(Surface_Engine!Q244*12),1000*12*INDEX(Surface_Engine!$C$12:$C$72,$A963+1)/(1+Assumptions!$B$10)^22+INDEX(Surface_Engine!$D$12:$D$72,$A963+1)))*INDEX(Surface_Engine!$B$12:$B$72,$A963+1)+I964</f>
        <v>9964.04606277168</v>
      </c>
      <c r="J963" s="48" t="n">
        <f aca="false">B963*(IF($A963&lt;$Q$951,INDEX(Surface_Engine!$D$12:$D$72,$A963+1)*(1+Assumptions!$B$24)+(Surface_Engine!Q244*12)*INDEX(Surface_Engine!$F$12:$F$72,$A963+1)-(Surface_Engine!Q244*12),1000*12*INDEX(Surface_Engine!$C$12:$C$72,$A963+1)/(1+Assumptions!$B$10)^22+INDEX(Surface_Engine!$D$12:$D$72,$A963+1)*(1+Assumptions!$B$24)))*INDEX(Surface_Engine!$B$12:$B$72,$A963+1)+J964</f>
        <v>8615.13458223413</v>
      </c>
      <c r="K963" s="12" t="n">
        <f aca="false">SQRT((IF(C963&lt;=0,0,MAX(0,(B963/C963)*G963/INDEX(Surface_Engine!$B$12:$B$72,$A963+1)-F963/INDEX(Surface_Engine!$B$12:$B$72,$A963+1))))^2+(MAX(IF(D963&lt;=0,0,MAX(0,(B963/D963)*H963/INDEX(Surface_Engine!$B$12:$B$72,$A963+1)-F963/INDEX(Surface_Engine!$B$12:$B$72,$A963+1))),IF(E963&lt;=0,0,MAX(0,(B963/E963)*I963/INDEX(Surface_Engine!$B$12:$B$72,$A963+1)-F963/INDEX(Surface_Engine!$B$12:$B$72,$A963+1))),IF($A963&lt;$Q$951,MAX(0,-Assumptions!$B$22*(F963/INDEX(Surface_Engine!$B$12:$B$72,$A963+1))),0)))^2+(MAX(0,J963/INDEX(Surface_Engine!$B$12:$B$72,$A963+1)-(F963/INDEX(Surface_Engine!$B$12:$B$72,$A963+1))))^2+2*Assumptions!$B$26*(IF(C963&lt;=0,0,MAX(0,(B963/C963)*G963/INDEX(Surface_Engine!$B$12:$B$72,$A963+1)-F963/INDEX(Surface_Engine!$B$12:$B$72,$A963+1))))*(MAX(IF(D963&lt;=0,0,MAX(0,(B963/D963)*H963/INDEX(Surface_Engine!$B$12:$B$72,$A963+1)-F963/INDEX(Surface_Engine!$B$12:$B$72,$A963+1))),IF(E963&lt;=0,0,MAX(0,(B963/E963)*I963/INDEX(Surface_Engine!$B$12:$B$72,$A963+1)-F963/INDEX(Surface_Engine!$B$12:$B$72,$A963+1))),IF($A963&lt;$Q$951,MAX(0,-Assumptions!$B$22*(F963/INDEX(Surface_Engine!$B$12:$B$72,$A963+1))),0)))+2*Assumptions!$B$27*(IF(C963&lt;=0,0,MAX(0,(B963/C963)*G963/INDEX(Surface_Engine!$B$12:$B$72,$A963+1)-F963/INDEX(Surface_Engine!$B$12:$B$72,$A963+1))))*(MAX(0,J963/INDEX(Surface_Engine!$B$12:$B$72,$A963+1)-(F963/INDEX(Surface_Engine!$B$12:$B$72,$A963+1))))+2*Assumptions!$B$28*(MAX(IF(D963&lt;=0,0,MAX(0,(B963/D963)*H963/INDEX(Surface_Engine!$B$12:$B$72,$A963+1)-F963/INDEX(Surface_Engine!$B$12:$B$72,$A963+1))),IF(E963&lt;=0,0,MAX(0,(B963/E963)*I963/INDEX(Surface_Engine!$B$12:$B$72,$A963+1)-F963/INDEX(Surface_Engine!$B$12:$B$72,$A963+1))),IF($A963&lt;$Q$951,MAX(0,-Assumptions!$B$22*(F963/INDEX(Surface_Engine!$B$12:$B$72,$A963+1))),0)))*(MAX(0,J963/INDEX(Surface_Engine!$B$12:$B$72,$A963+1)-(F963/INDEX(Surface_Engine!$B$12:$B$72,$A963+1)))))</f>
        <v>6134.01281453299</v>
      </c>
      <c r="L963" s="48" t="n">
        <f aca="false">K963*INDEX(Surface_Engine!$B$12:$B$72,$A963+1)+L964</f>
        <v>59778.5344503217</v>
      </c>
      <c r="M963" s="48" t="n">
        <f aca="false">M962+B962*(IF($A962&lt;$Q$951,(Surface_Engine!Q244*12)-(Surface_Engine!Q244*12)*INDEX(Surface_Engine!$F$12:$F$72,$A962+1)-INDEX(Surface_Engine!$D$12:$D$72,$A962+1),-(1000*12*INDEX(Surface_Engine!$C$12:$C$72,$A962+1)/(1+Assumptions!$B$10)^22+INDEX(Surface_Engine!$D$12:$D$72,$A962+1))))*INDEX(Surface_Engine!$B$12:$B$72,$A962+1)</f>
        <v>9108.92888246222</v>
      </c>
      <c r="N963" s="12" t="n">
        <f aca="false">IF(B963&lt;=0,0,MAX(0,(K963+Assumptions!$B$29*L963/INDEX(Surface_Engine!$B$12:$B$72,$A963+1)-(M963/INDEX(Surface_Engine!$B$12:$B$72,$A963+1)-(F963/INDEX(Surface_Engine!$B$12:$B$72,$A963+1))))/B963))</f>
        <v>13347.4563102905</v>
      </c>
    </row>
    <row r="964" customFormat="false" ht="15" hidden="false" customHeight="true" outlineLevel="0" collapsed="false">
      <c r="A964" s="1" t="n">
        <v>11</v>
      </c>
      <c r="B964" s="32" t="n">
        <f aca="false">INDEX(Surface_Engine!$O$12:$O$72,$A964+1)*IF($A964&lt;$Q$951,INDEX(Surface_Engine!$E$12:$E$72,$A964+1),INDEX(Surface_Engine!$E$12:$E$72,$Q$951+1))</f>
        <v>0.737758587094672</v>
      </c>
      <c r="C964" s="32" t="n">
        <f aca="false">INDEX(Panel_Reserving!$E$8:$E$68,$A964+1)*IF($A964&lt;$Q$951,INDEX(Surface_Engine!$E$12:$E$72,$A964+1),INDEX(Surface_Engine!$E$12:$E$72,$Q$951+1))</f>
        <v>0.759710940156952</v>
      </c>
      <c r="D964" s="32" t="n">
        <f aca="false">INDEX(Surface_Engine!$O$12:$O$72,$A964+1)*IF($A964&lt;$Q$951,INDEX(Surface_Engine!$Y$12:$Y$72,$A964+1),INDEX(Surface_Engine!$Y$12:$Y$72,$Q$951+1))</f>
        <v>0.680737244573059</v>
      </c>
      <c r="E964" s="32" t="n">
        <f aca="false">INDEX(Surface_Engine!$O$12:$O$72,$A964+1)*IF($A964&lt;$Q$951,INDEX(Surface_Engine!$Z$12:$Z$72,$A964+1),INDEX(Surface_Engine!$Z$12:$Z$72,$Q$951+1))</f>
        <v>0.798890041894845</v>
      </c>
      <c r="F964" s="48" t="n">
        <f aca="false">B964*(IF($A964&lt;$Q$951,INDEX(Surface_Engine!$D$12:$D$72,$A964+1)+(Surface_Engine!Q244*12)*INDEX(Surface_Engine!$F$12:$F$72,$A964+1)-(Surface_Engine!Q244*12),1000*12*INDEX(Surface_Engine!$C$12:$C$72,$A964+1)/(1+Assumptions!$B$10)^22+INDEX(Surface_Engine!$D$12:$D$72,$A964+1)))*INDEX(Surface_Engine!$B$12:$B$72,$A964+1)+F965</f>
        <v>9302.37456153428</v>
      </c>
      <c r="G964" s="48" t="n">
        <f aca="false">C964*(IF($A964&lt;$Q$951,INDEX(Surface_Engine!$D$12:$D$72,$A964+1)+(Surface_Engine!Q244*12)*INDEX(Surface_Engine!$F$12:$F$72,$A964+1)-(Surface_Engine!Q244*12),1000*12*INDEX(Surface_Engine!$C$12:$C$72,$A964+1)/(1+Assumptions!$B$10)^22+INDEX(Surface_Engine!$D$12:$D$72,$A964+1)))*INDEX(Surface_Engine!$B$12:$B$72,$A964+1)+G965</f>
        <v>14001.4466830229</v>
      </c>
      <c r="H964" s="48" t="n">
        <f aca="false">D964*(IF($A964&lt;$Q$951,INDEX(Surface_Engine!$D$12:$D$72,$A964+1)+(Surface_Engine!Q244*12)*INDEX(Surface_Engine!$F$12:$F$72,$A964+1)-(Surface_Engine!Q244*12),1000*12*INDEX(Surface_Engine!$C$12:$C$72,$A964+1)/(1+Assumptions!$B$10)^22+INDEX(Surface_Engine!$D$12:$D$72,$A964+1)))*INDEX(Surface_Engine!$B$12:$B$72,$A964+1)+H965</f>
        <v>8008.00784749829</v>
      </c>
      <c r="I964" s="48" t="n">
        <f aca="false">E964*(IF($A964&lt;$Q$951,INDEX(Surface_Engine!$D$12:$D$72,$A964+1)+(Surface_Engine!Q244*12)*INDEX(Surface_Engine!$F$12:$F$72,$A964+1)-(Surface_Engine!Q244*12),1000*12*INDEX(Surface_Engine!$C$12:$C$72,$A964+1)/(1+Assumptions!$B$10)^22+INDEX(Surface_Engine!$D$12:$D$72,$A964+1)))*INDEX(Surface_Engine!$B$12:$B$72,$A964+1)+I965</f>
        <v>10782.5404284526</v>
      </c>
      <c r="J964" s="48" t="n">
        <f aca="false">B964*(IF($A964&lt;$Q$951,INDEX(Surface_Engine!$D$12:$D$72,$A964+1)*(1+Assumptions!$B$24)+(Surface_Engine!Q244*12)*INDEX(Surface_Engine!$F$12:$F$72,$A964+1)-(Surface_Engine!Q244*12),1000*12*INDEX(Surface_Engine!$C$12:$C$72,$A964+1)/(1+Assumptions!$B$10)^22+INDEX(Surface_Engine!$D$12:$D$72,$A964+1)*(1+Assumptions!$B$24)))*INDEX(Surface_Engine!$B$12:$B$72,$A964+1)+J965</f>
        <v>9368.47188548955</v>
      </c>
      <c r="K964" s="12" t="n">
        <f aca="false">SQRT((IF(C964&lt;=0,0,MAX(0,(B964/C964)*G964/INDEX(Surface_Engine!$B$12:$B$72,$A964+1)-F964/INDEX(Surface_Engine!$B$12:$B$72,$A964+1))))^2+(MAX(IF(D964&lt;=0,0,MAX(0,(B964/D964)*H964/INDEX(Surface_Engine!$B$12:$B$72,$A964+1)-F964/INDEX(Surface_Engine!$B$12:$B$72,$A964+1))),IF(E964&lt;=0,0,MAX(0,(B964/E964)*I964/INDEX(Surface_Engine!$B$12:$B$72,$A964+1)-F964/INDEX(Surface_Engine!$B$12:$B$72,$A964+1))),IF($A964&lt;$Q$951,MAX(0,-Assumptions!$B$22*(F964/INDEX(Surface_Engine!$B$12:$B$72,$A964+1))),0)))^2+(MAX(0,J964/INDEX(Surface_Engine!$B$12:$B$72,$A964+1)-(F964/INDEX(Surface_Engine!$B$12:$B$72,$A964+1))))^2+2*Assumptions!$B$26*(IF(C964&lt;=0,0,MAX(0,(B964/C964)*G964/INDEX(Surface_Engine!$B$12:$B$72,$A964+1)-F964/INDEX(Surface_Engine!$B$12:$B$72,$A964+1))))*(MAX(IF(D964&lt;=0,0,MAX(0,(B964/D964)*H964/INDEX(Surface_Engine!$B$12:$B$72,$A964+1)-F964/INDEX(Surface_Engine!$B$12:$B$72,$A964+1))),IF(E964&lt;=0,0,MAX(0,(B964/E964)*I964/INDEX(Surface_Engine!$B$12:$B$72,$A964+1)-F964/INDEX(Surface_Engine!$B$12:$B$72,$A964+1))),IF($A964&lt;$Q$951,MAX(0,-Assumptions!$B$22*(F964/INDEX(Surface_Engine!$B$12:$B$72,$A964+1))),0)))+2*Assumptions!$B$27*(IF(C964&lt;=0,0,MAX(0,(B964/C964)*G964/INDEX(Surface_Engine!$B$12:$B$72,$A964+1)-F964/INDEX(Surface_Engine!$B$12:$B$72,$A964+1))))*(MAX(0,J964/INDEX(Surface_Engine!$B$12:$B$72,$A964+1)-(F964/INDEX(Surface_Engine!$B$12:$B$72,$A964+1))))+2*Assumptions!$B$28*(MAX(IF(D964&lt;=0,0,MAX(0,(B964/D964)*H964/INDEX(Surface_Engine!$B$12:$B$72,$A964+1)-F964/INDEX(Surface_Engine!$B$12:$B$72,$A964+1))),IF(E964&lt;=0,0,MAX(0,(B964/E964)*I964/INDEX(Surface_Engine!$B$12:$B$72,$A964+1)-F964/INDEX(Surface_Engine!$B$12:$B$72,$A964+1))),IF($A964&lt;$Q$951,MAX(0,-Assumptions!$B$22*(F964/INDEX(Surface_Engine!$B$12:$B$72,$A964+1))),0)))*(MAX(0,J964/INDEX(Surface_Engine!$B$12:$B$72,$A964+1)-(F964/INDEX(Surface_Engine!$B$12:$B$72,$A964+1)))))</f>
        <v>6223.14456819274</v>
      </c>
      <c r="L964" s="48" t="n">
        <f aca="false">K964*INDEX(Surface_Engine!$B$12:$B$72,$A964+1)+L965</f>
        <v>55174.6258226284</v>
      </c>
      <c r="M964" s="48" t="n">
        <f aca="false">M963+B963*(IF($A963&lt;$Q$951,(Surface_Engine!Q244*12)-(Surface_Engine!Q244*12)*INDEX(Surface_Engine!$F$12:$F$72,$A963+1)-INDEX(Surface_Engine!$D$12:$D$72,$A963+1),-(1000*12*INDEX(Surface_Engine!$C$12:$C$72,$A963+1)/(1+Assumptions!$B$10)^22+INDEX(Surface_Engine!$D$12:$D$72,$A963+1))))*INDEX(Surface_Engine!$B$12:$B$72,$A963+1)</f>
        <v>9868.26242050007</v>
      </c>
      <c r="N964" s="12" t="n">
        <f aca="false">IF(B964&lt;=0,0,MAX(0,(K964+Assumptions!$B$29*L964/INDEX(Surface_Engine!$B$12:$B$72,$A964+1)-(M964/INDEX(Surface_Engine!$B$12:$B$72,$A964+1)-(F964/INDEX(Surface_Engine!$B$12:$B$72,$A964+1))))/B964))</f>
        <v>13552.4395630785</v>
      </c>
    </row>
    <row r="965" customFormat="false" ht="15" hidden="false" customHeight="true" outlineLevel="0" collapsed="false">
      <c r="A965" s="1" t="n">
        <v>12</v>
      </c>
      <c r="B965" s="32" t="n">
        <f aca="false">INDEX(Surface_Engine!$O$12:$O$72,$A965+1)*IF($A965&lt;$Q$951,INDEX(Surface_Engine!$E$12:$E$72,$A965+1),INDEX(Surface_Engine!$E$12:$E$72,$Q$951+1))</f>
        <v>0.713204224299805</v>
      </c>
      <c r="C965" s="32" t="n">
        <f aca="false">INDEX(Panel_Reserving!$E$8:$E$68,$A965+1)*IF($A965&lt;$Q$951,INDEX(Surface_Engine!$E$12:$E$72,$A965+1),INDEX(Surface_Engine!$E$12:$E$72,$Q$951+1))</f>
        <v>0.738100274737365</v>
      </c>
      <c r="D965" s="32" t="n">
        <f aca="false">INDEX(Surface_Engine!$O$12:$O$72,$A965+1)*IF($A965&lt;$Q$951,INDEX(Surface_Engine!$Y$12:$Y$72,$A965+1),INDEX(Surface_Engine!$Y$12:$Y$72,$Q$951+1))</f>
        <v>0.655058922664055</v>
      </c>
      <c r="E965" s="32" t="n">
        <f aca="false">INDEX(Surface_Engine!$O$12:$O$72,$A965+1)*IF($A965&lt;$Q$951,INDEX(Surface_Engine!$Z$12:$Z$72,$A965+1),INDEX(Surface_Engine!$Z$12:$Z$72,$Q$951+1))</f>
        <v>0.775847319394422</v>
      </c>
      <c r="F965" s="48" t="n">
        <f aca="false">B965*(IF($A965&lt;$Q$951,INDEX(Surface_Engine!$D$12:$D$72,$A965+1)+(Surface_Engine!Q244*12)*INDEX(Surface_Engine!$F$12:$F$72,$A965+1)-(Surface_Engine!Q244*12),1000*12*INDEX(Surface_Engine!$C$12:$C$72,$A965+1)/(1+Assumptions!$B$10)^22+INDEX(Surface_Engine!$D$12:$D$72,$A965+1)))*INDEX(Surface_Engine!$B$12:$B$72,$A965+1)+F966</f>
        <v>10013.8997842111</v>
      </c>
      <c r="G965" s="48" t="n">
        <f aca="false">C965*(IF($A965&lt;$Q$951,INDEX(Surface_Engine!$D$12:$D$72,$A965+1)+(Surface_Engine!Q244*12)*INDEX(Surface_Engine!$F$12:$F$72,$A965+1)-(Surface_Engine!Q244*12),1000*12*INDEX(Surface_Engine!$C$12:$C$72,$A965+1)/(1+Assumptions!$B$10)^22+INDEX(Surface_Engine!$D$12:$D$72,$A965+1)))*INDEX(Surface_Engine!$B$12:$B$72,$A965+1)+G966</f>
        <v>14734.1436726898</v>
      </c>
      <c r="H965" s="48" t="n">
        <f aca="false">D965*(IF($A965&lt;$Q$951,INDEX(Surface_Engine!$D$12:$D$72,$A965+1)+(Surface_Engine!Q244*12)*INDEX(Surface_Engine!$F$12:$F$72,$A965+1)-(Surface_Engine!Q244*12),1000*12*INDEX(Surface_Engine!$C$12:$C$72,$A965+1)/(1+Assumptions!$B$10)^22+INDEX(Surface_Engine!$D$12:$D$72,$A965+1)))*INDEX(Surface_Engine!$B$12:$B$72,$A965+1)+H966</f>
        <v>8664.53930372528</v>
      </c>
      <c r="I965" s="48" t="n">
        <f aca="false">E965*(IF($A965&lt;$Q$951,INDEX(Surface_Engine!$D$12:$D$72,$A965+1)+(Surface_Engine!Q244*12)*INDEX(Surface_Engine!$F$12:$F$72,$A965+1)-(Surface_Engine!Q244*12),1000*12*INDEX(Surface_Engine!$C$12:$C$72,$A965+1)/(1+Assumptions!$B$10)^22+INDEX(Surface_Engine!$D$12:$D$72,$A965+1)))*INDEX(Surface_Engine!$B$12:$B$72,$A965+1)+I966</f>
        <v>11553.0233816799</v>
      </c>
      <c r="J965" s="48" t="n">
        <f aca="false">B965*(IF($A965&lt;$Q$951,INDEX(Surface_Engine!$D$12:$D$72,$A965+1)*(1+Assumptions!$B$24)+(Surface_Engine!Q244*12)*INDEX(Surface_Engine!$F$12:$F$72,$A965+1)-(Surface_Engine!Q244*12),1000*12*INDEX(Surface_Engine!$C$12:$C$72,$A965+1)/(1+Assumptions!$B$10)^22+INDEX(Surface_Engine!$D$12:$D$72,$A965+1)*(1+Assumptions!$B$24)))*INDEX(Surface_Engine!$B$12:$B$72,$A965+1)+J966</f>
        <v>10074.2265418815</v>
      </c>
      <c r="K965" s="12" t="n">
        <f aca="false">SQRT((IF(C965&lt;=0,0,MAX(0,(B965/C965)*G965/INDEX(Surface_Engine!$B$12:$B$72,$A965+1)-F965/INDEX(Surface_Engine!$B$12:$B$72,$A965+1))))^2+(MAX(IF(D965&lt;=0,0,MAX(0,(B965/D965)*H965/INDEX(Surface_Engine!$B$12:$B$72,$A965+1)-F965/INDEX(Surface_Engine!$B$12:$B$72,$A965+1))),IF(E965&lt;=0,0,MAX(0,(B965/E965)*I965/INDEX(Surface_Engine!$B$12:$B$72,$A965+1)-F965/INDEX(Surface_Engine!$B$12:$B$72,$A965+1))),IF($A965&lt;$Q$951,MAX(0,-Assumptions!$B$22*(F965/INDEX(Surface_Engine!$B$12:$B$72,$A965+1))),0)))^2+(MAX(0,J965/INDEX(Surface_Engine!$B$12:$B$72,$A965+1)-(F965/INDEX(Surface_Engine!$B$12:$B$72,$A965+1))))^2+2*Assumptions!$B$26*(IF(C965&lt;=0,0,MAX(0,(B965/C965)*G965/INDEX(Surface_Engine!$B$12:$B$72,$A965+1)-F965/INDEX(Surface_Engine!$B$12:$B$72,$A965+1))))*(MAX(IF(D965&lt;=0,0,MAX(0,(B965/D965)*H965/INDEX(Surface_Engine!$B$12:$B$72,$A965+1)-F965/INDEX(Surface_Engine!$B$12:$B$72,$A965+1))),IF(E965&lt;=0,0,MAX(0,(B965/E965)*I965/INDEX(Surface_Engine!$B$12:$B$72,$A965+1)-F965/INDEX(Surface_Engine!$B$12:$B$72,$A965+1))),IF($A965&lt;$Q$951,MAX(0,-Assumptions!$B$22*(F965/INDEX(Surface_Engine!$B$12:$B$72,$A965+1))),0)))+2*Assumptions!$B$27*(IF(C965&lt;=0,0,MAX(0,(B965/C965)*G965/INDEX(Surface_Engine!$B$12:$B$72,$A965+1)-F965/INDEX(Surface_Engine!$B$12:$B$72,$A965+1))))*(MAX(0,J965/INDEX(Surface_Engine!$B$12:$B$72,$A965+1)-(F965/INDEX(Surface_Engine!$B$12:$B$72,$A965+1))))+2*Assumptions!$B$28*(MAX(IF(D965&lt;=0,0,MAX(0,(B965/D965)*H965/INDEX(Surface_Engine!$B$12:$B$72,$A965+1)-F965/INDEX(Surface_Engine!$B$12:$B$72,$A965+1))),IF(E965&lt;=0,0,MAX(0,(B965/E965)*I965/INDEX(Surface_Engine!$B$12:$B$72,$A965+1)-F965/INDEX(Surface_Engine!$B$12:$B$72,$A965+1))),IF($A965&lt;$Q$951,MAX(0,-Assumptions!$B$22*(F965/INDEX(Surface_Engine!$B$12:$B$72,$A965+1))),0)))*(MAX(0,J965/INDEX(Surface_Engine!$B$12:$B$72,$A965+1)-(F965/INDEX(Surface_Engine!$B$12:$B$72,$A965+1)))))</f>
        <v>6314.50869007338</v>
      </c>
      <c r="L965" s="48" t="n">
        <f aca="false">K965*INDEX(Surface_Engine!$B$12:$B$72,$A965+1)+L966</f>
        <v>50650.4687018934</v>
      </c>
      <c r="M965" s="48" t="n">
        <f aca="false">M964+B964*(IF($A964&lt;$Q$951,(Surface_Engine!Q244*12)-(Surface_Engine!Q244*12)*INDEX(Surface_Engine!$F$12:$F$72,$A964+1)-INDEX(Surface_Engine!$D$12:$D$72,$A964+1),-(1000*12*INDEX(Surface_Engine!$C$12:$C$72,$A964+1)/(1+Assumptions!$B$10)^22+INDEX(Surface_Engine!$D$12:$D$72,$A964+1))))*INDEX(Surface_Engine!$B$12:$B$72,$A964+1)</f>
        <v>10579.7876431769</v>
      </c>
      <c r="N965" s="12" t="n">
        <f aca="false">IF(B965&lt;=0,0,MAX(0,(K965+Assumptions!$B$29*L965/INDEX(Surface_Engine!$B$12:$B$72,$A965+1)-(M965/INDEX(Surface_Engine!$B$12:$B$72,$A965+1)-(F965/INDEX(Surface_Engine!$B$12:$B$72,$A965+1))))/B965))</f>
        <v>13793.1464018433</v>
      </c>
    </row>
    <row r="966" customFormat="false" ht="15" hidden="false" customHeight="true" outlineLevel="0" collapsed="false">
      <c r="A966" s="1" t="n">
        <v>13</v>
      </c>
      <c r="B966" s="32" t="n">
        <f aca="false">INDEX(Surface_Engine!$O$12:$O$72,$A966+1)*IF($A966&lt;$Q$951,INDEX(Surface_Engine!$E$12:$E$72,$A966+1),INDEX(Surface_Engine!$E$12:$E$72,$Q$951+1))</f>
        <v>0.686707376575609</v>
      </c>
      <c r="C966" s="32" t="n">
        <f aca="false">INDEX(Panel_Reserving!$E$8:$E$68,$A966+1)*IF($A966&lt;$Q$951,INDEX(Surface_Engine!$E$12:$E$72,$A966+1),INDEX(Surface_Engine!$E$12:$E$72,$Q$951+1))</f>
        <v>0.714819506834005</v>
      </c>
      <c r="D966" s="32" t="n">
        <f aca="false">INDEX(Surface_Engine!$O$12:$O$72,$A966+1)*IF($A966&lt;$Q$951,INDEX(Surface_Engine!$Y$12:$Y$72,$A966+1),INDEX(Surface_Engine!$Y$12:$Y$72,$Q$951+1))</f>
        <v>0.62782613850198</v>
      </c>
      <c r="E966" s="32" t="n">
        <f aca="false">INDEX(Surface_Engine!$O$12:$O$72,$A966+1)*IF($A966&lt;$Q$951,INDEX(Surface_Engine!$Z$12:$Z$72,$A966+1),INDEX(Surface_Engine!$Z$12:$Z$72,$Q$951+1))</f>
        <v>0.750453335506119</v>
      </c>
      <c r="F966" s="48" t="n">
        <f aca="false">B966*(IF($A966&lt;$Q$951,INDEX(Surface_Engine!$D$12:$D$72,$A966+1)+(Surface_Engine!Q244*12)*INDEX(Surface_Engine!$F$12:$F$72,$A966+1)-(Surface_Engine!Q244*12),1000*12*INDEX(Surface_Engine!$C$12:$C$72,$A966+1)/(1+Assumptions!$B$10)^22+INDEX(Surface_Engine!$D$12:$D$72,$A966+1)))*INDEX(Surface_Engine!$B$12:$B$72,$A966+1)+F967</f>
        <v>10676.7857160895</v>
      </c>
      <c r="G966" s="48" t="n">
        <f aca="false">C966*(IF($A966&lt;$Q$951,INDEX(Surface_Engine!$D$12:$D$72,$A966+1)+(Surface_Engine!Q244*12)*INDEX(Surface_Engine!$F$12:$F$72,$A966+1)-(Surface_Engine!Q244*12),1000*12*INDEX(Surface_Engine!$C$12:$C$72,$A966+1)/(1+Assumptions!$B$10)^22+INDEX(Surface_Engine!$D$12:$D$72,$A966+1)))*INDEX(Surface_Engine!$B$12:$B$72,$A966+1)+G967</f>
        <v>15420.1691781043</v>
      </c>
      <c r="H966" s="48" t="n">
        <f aca="false">D966*(IF($A966&lt;$Q$951,INDEX(Surface_Engine!$D$12:$D$72,$A966+1)+(Surface_Engine!Q244*12)*INDEX(Surface_Engine!$F$12:$F$72,$A966+1)-(Surface_Engine!Q244*12),1000*12*INDEX(Surface_Engine!$C$12:$C$72,$A966+1)/(1+Assumptions!$B$10)^22+INDEX(Surface_Engine!$D$12:$D$72,$A966+1)))*INDEX(Surface_Engine!$B$12:$B$72,$A966+1)+H967</f>
        <v>9273.38222639831</v>
      </c>
      <c r="I966" s="48" t="n">
        <f aca="false">E966*(IF($A966&lt;$Q$951,INDEX(Surface_Engine!$D$12:$D$72,$A966+1)+(Surface_Engine!Q244*12)*INDEX(Surface_Engine!$F$12:$F$72,$A966+1)-(Surface_Engine!Q244*12),1000*12*INDEX(Surface_Engine!$C$12:$C$72,$A966+1)/(1+Assumptions!$B$10)^22+INDEX(Surface_Engine!$D$12:$D$72,$A966+1)))*INDEX(Surface_Engine!$B$12:$B$72,$A966+1)+I967</f>
        <v>12274.1327859561</v>
      </c>
      <c r="J966" s="48" t="n">
        <f aca="false">B966*(IF($A966&lt;$Q$951,INDEX(Surface_Engine!$D$12:$D$72,$A966+1)*(1+Assumptions!$B$24)+(Surface_Engine!Q244*12)*INDEX(Surface_Engine!$F$12:$F$72,$A966+1)-(Surface_Engine!Q244*12),1000*12*INDEX(Surface_Engine!$C$12:$C$72,$A966+1)/(1+Assumptions!$B$10)^22+INDEX(Surface_Engine!$D$12:$D$72,$A966+1)*(1+Assumptions!$B$24)))*INDEX(Surface_Engine!$B$12:$B$72,$A966+1)+J967</f>
        <v>10731.5907809403</v>
      </c>
      <c r="K966" s="12" t="n">
        <f aca="false">SQRT((IF(C966&lt;=0,0,MAX(0,(B966/C966)*G966/INDEX(Surface_Engine!$B$12:$B$72,$A966+1)-F966/INDEX(Surface_Engine!$B$12:$B$72,$A966+1))))^2+(MAX(IF(D966&lt;=0,0,MAX(0,(B966/D966)*H966/INDEX(Surface_Engine!$B$12:$B$72,$A966+1)-F966/INDEX(Surface_Engine!$B$12:$B$72,$A966+1))),IF(E966&lt;=0,0,MAX(0,(B966/E966)*I966/INDEX(Surface_Engine!$B$12:$B$72,$A966+1)-F966/INDEX(Surface_Engine!$B$12:$B$72,$A966+1))),IF($A966&lt;$Q$951,MAX(0,-Assumptions!$B$22*(F966/INDEX(Surface_Engine!$B$12:$B$72,$A966+1))),0)))^2+(MAX(0,J966/INDEX(Surface_Engine!$B$12:$B$72,$A966+1)-(F966/INDEX(Surface_Engine!$B$12:$B$72,$A966+1))))^2+2*Assumptions!$B$26*(IF(C966&lt;=0,0,MAX(0,(B966/C966)*G966/INDEX(Surface_Engine!$B$12:$B$72,$A966+1)-F966/INDEX(Surface_Engine!$B$12:$B$72,$A966+1))))*(MAX(IF(D966&lt;=0,0,MAX(0,(B966/D966)*H966/INDEX(Surface_Engine!$B$12:$B$72,$A966+1)-F966/INDEX(Surface_Engine!$B$12:$B$72,$A966+1))),IF(E966&lt;=0,0,MAX(0,(B966/E966)*I966/INDEX(Surface_Engine!$B$12:$B$72,$A966+1)-F966/INDEX(Surface_Engine!$B$12:$B$72,$A966+1))),IF($A966&lt;$Q$951,MAX(0,-Assumptions!$B$22*(F966/INDEX(Surface_Engine!$B$12:$B$72,$A966+1))),0)))+2*Assumptions!$B$27*(IF(C966&lt;=0,0,MAX(0,(B966/C966)*G966/INDEX(Surface_Engine!$B$12:$B$72,$A966+1)-F966/INDEX(Surface_Engine!$B$12:$B$72,$A966+1))))*(MAX(0,J966/INDEX(Surface_Engine!$B$12:$B$72,$A966+1)-(F966/INDEX(Surface_Engine!$B$12:$B$72,$A966+1))))+2*Assumptions!$B$28*(MAX(IF(D966&lt;=0,0,MAX(0,(B966/D966)*H966/INDEX(Surface_Engine!$B$12:$B$72,$A966+1)-F966/INDEX(Surface_Engine!$B$12:$B$72,$A966+1))),IF(E966&lt;=0,0,MAX(0,(B966/E966)*I966/INDEX(Surface_Engine!$B$12:$B$72,$A966+1)-F966/INDEX(Surface_Engine!$B$12:$B$72,$A966+1))),IF($A966&lt;$Q$951,MAX(0,-Assumptions!$B$22*(F966/INDEX(Surface_Engine!$B$12:$B$72,$A966+1))),0)))*(MAX(0,J966/INDEX(Surface_Engine!$B$12:$B$72,$A966+1)-(F966/INDEX(Surface_Engine!$B$12:$B$72,$A966+1)))))</f>
        <v>6379.73165959384</v>
      </c>
      <c r="L966" s="48" t="n">
        <f aca="false">K966*INDEX(Surface_Engine!$B$12:$B$72,$A966+1)+L967</f>
        <v>46217.4693904115</v>
      </c>
      <c r="M966" s="48" t="n">
        <f aca="false">M965+B965*(IF($A965&lt;$Q$951,(Surface_Engine!Q244*12)-(Surface_Engine!Q244*12)*INDEX(Surface_Engine!$F$12:$F$72,$A965+1)-INDEX(Surface_Engine!$D$12:$D$72,$A965+1),-(1000*12*INDEX(Surface_Engine!$C$12:$C$72,$A965+1)/(1+Assumptions!$B$10)^22+INDEX(Surface_Engine!$D$12:$D$72,$A965+1))))*INDEX(Surface_Engine!$B$12:$B$72,$A965+1)</f>
        <v>11242.6735750553</v>
      </c>
      <c r="N966" s="12" t="n">
        <f aca="false">IF(B966&lt;=0,0,MAX(0,(K966+Assumptions!$B$29*L966/INDEX(Surface_Engine!$B$12:$B$72,$A966+1)-(M966/INDEX(Surface_Engine!$B$12:$B$72,$A966+1)-(F966/INDEX(Surface_Engine!$B$12:$B$72,$A966+1))))/B966))</f>
        <v>14030.0620262661</v>
      </c>
    </row>
    <row r="967" customFormat="false" ht="15" hidden="false" customHeight="true" outlineLevel="0" collapsed="false">
      <c r="A967" s="1" t="n">
        <v>14</v>
      </c>
      <c r="B967" s="32" t="n">
        <f aca="false">INDEX(Surface_Engine!$O$12:$O$72,$A967+1)*IF($A967&lt;$Q$951,INDEX(Surface_Engine!$E$12:$E$72,$A967+1),INDEX(Surface_Engine!$E$12:$E$72,$Q$951+1))</f>
        <v>0.658839302913626</v>
      </c>
      <c r="C967" s="32" t="n">
        <f aca="false">INDEX(Panel_Reserving!$E$8:$E$68,$A967+1)*IF($A967&lt;$Q$951,INDEX(Surface_Engine!$E$12:$E$72,$A967+1),INDEX(Surface_Engine!$E$12:$E$72,$Q$951+1))</f>
        <v>0.690311395462693</v>
      </c>
      <c r="D967" s="32" t="n">
        <f aca="false">INDEX(Surface_Engine!$O$12:$O$72,$A967+1)*IF($A967&lt;$Q$951,INDEX(Surface_Engine!$Y$12:$Y$72,$A967+1),INDEX(Surface_Engine!$Y$12:$Y$72,$Q$951+1))</f>
        <v>0.599581742305234</v>
      </c>
      <c r="E967" s="32" t="n">
        <f aca="false">INDEX(Surface_Engine!$O$12:$O$72,$A967+1)*IF($A967&lt;$Q$951,INDEX(Surface_Engine!$Z$12:$Z$72,$A967+1),INDEX(Surface_Engine!$Z$12:$Z$72,$Q$951+1))</f>
        <v>0.723304390301379</v>
      </c>
      <c r="F967" s="48" t="n">
        <f aca="false">B967*(IF($A967&lt;$Q$951,INDEX(Surface_Engine!$D$12:$D$72,$A967+1)+(Surface_Engine!Q244*12)*INDEX(Surface_Engine!$F$12:$F$72,$A967+1)-(Surface_Engine!Q244*12),1000*12*INDEX(Surface_Engine!$C$12:$C$72,$A967+1)/(1+Assumptions!$B$10)^22+INDEX(Surface_Engine!$D$12:$D$72,$A967+1)))*INDEX(Surface_Engine!$B$12:$B$72,$A967+1)+F968</f>
        <v>11292.020219179</v>
      </c>
      <c r="G967" s="48" t="n">
        <f aca="false">C967*(IF($A967&lt;$Q$951,INDEX(Surface_Engine!$D$12:$D$72,$A967+1)+(Surface_Engine!Q244*12)*INDEX(Surface_Engine!$F$12:$F$72,$A967+1)-(Surface_Engine!Q244*12),1000*12*INDEX(Surface_Engine!$C$12:$C$72,$A967+1)/(1+Assumptions!$B$10)^22+INDEX(Surface_Engine!$D$12:$D$72,$A967+1)))*INDEX(Surface_Engine!$B$12:$B$72,$A967+1)+G968</f>
        <v>16060.589885799</v>
      </c>
      <c r="H967" s="48" t="n">
        <f aca="false">D967*(IF($A967&lt;$Q$951,INDEX(Surface_Engine!$D$12:$D$72,$A967+1)+(Surface_Engine!Q244*12)*INDEX(Surface_Engine!$F$12:$F$72,$A967+1)-(Surface_Engine!Q244*12),1000*12*INDEX(Surface_Engine!$C$12:$C$72,$A967+1)/(1+Assumptions!$B$10)^22+INDEX(Surface_Engine!$D$12:$D$72,$A967+1)))*INDEX(Surface_Engine!$B$12:$B$72,$A967+1)+H968</f>
        <v>9835.86388237534</v>
      </c>
      <c r="I967" s="48" t="n">
        <f aca="false">E967*(IF($A967&lt;$Q$951,INDEX(Surface_Engine!$D$12:$D$72,$A967+1)+(Surface_Engine!Q244*12)*INDEX(Surface_Engine!$F$12:$F$72,$A967+1)-(Surface_Engine!Q244*12),1000*12*INDEX(Surface_Engine!$C$12:$C$72,$A967+1)/(1+Assumptions!$B$10)^22+INDEX(Surface_Engine!$D$12:$D$72,$A967+1)))*INDEX(Surface_Engine!$B$12:$B$72,$A967+1)+I968</f>
        <v>12946.478534249</v>
      </c>
      <c r="J967" s="48" t="n">
        <f aca="false">B967*(IF($A967&lt;$Q$951,INDEX(Surface_Engine!$D$12:$D$72,$A967+1)*(1+Assumptions!$B$24)+(Surface_Engine!Q244*12)*INDEX(Surface_Engine!$F$12:$F$72,$A967+1)-(Surface_Engine!Q244*12),1000*12*INDEX(Surface_Engine!$C$12:$C$72,$A967+1)/(1+Assumptions!$B$10)^22+INDEX(Surface_Engine!$D$12:$D$72,$A967+1)*(1+Assumptions!$B$24)))*INDEX(Surface_Engine!$B$12:$B$72,$A967+1)+J968</f>
        <v>11341.5614361995</v>
      </c>
      <c r="K967" s="12" t="n">
        <f aca="false">SQRT((IF(C967&lt;=0,0,MAX(0,(B967/C967)*G967/INDEX(Surface_Engine!$B$12:$B$72,$A967+1)-F967/INDEX(Surface_Engine!$B$12:$B$72,$A967+1))))^2+(MAX(IF(D967&lt;=0,0,MAX(0,(B967/D967)*H967/INDEX(Surface_Engine!$B$12:$B$72,$A967+1)-F967/INDEX(Surface_Engine!$B$12:$B$72,$A967+1))),IF(E967&lt;=0,0,MAX(0,(B967/E967)*I967/INDEX(Surface_Engine!$B$12:$B$72,$A967+1)-F967/INDEX(Surface_Engine!$B$12:$B$72,$A967+1))),IF($A967&lt;$Q$951,MAX(0,-Assumptions!$B$22*(F967/INDEX(Surface_Engine!$B$12:$B$72,$A967+1))),0)))^2+(MAX(0,J967/INDEX(Surface_Engine!$B$12:$B$72,$A967+1)-(F967/INDEX(Surface_Engine!$B$12:$B$72,$A967+1))))^2+2*Assumptions!$B$26*(IF(C967&lt;=0,0,MAX(0,(B967/C967)*G967/INDEX(Surface_Engine!$B$12:$B$72,$A967+1)-F967/INDEX(Surface_Engine!$B$12:$B$72,$A967+1))))*(MAX(IF(D967&lt;=0,0,MAX(0,(B967/D967)*H967/INDEX(Surface_Engine!$B$12:$B$72,$A967+1)-F967/INDEX(Surface_Engine!$B$12:$B$72,$A967+1))),IF(E967&lt;=0,0,MAX(0,(B967/E967)*I967/INDEX(Surface_Engine!$B$12:$B$72,$A967+1)-F967/INDEX(Surface_Engine!$B$12:$B$72,$A967+1))),IF($A967&lt;$Q$951,MAX(0,-Assumptions!$B$22*(F967/INDEX(Surface_Engine!$B$12:$B$72,$A967+1))),0)))+2*Assumptions!$B$27*(IF(C967&lt;=0,0,MAX(0,(B967/C967)*G967/INDEX(Surface_Engine!$B$12:$B$72,$A967+1)-F967/INDEX(Surface_Engine!$B$12:$B$72,$A967+1))))*(MAX(0,J967/INDEX(Surface_Engine!$B$12:$B$72,$A967+1)-(F967/INDEX(Surface_Engine!$B$12:$B$72,$A967+1))))+2*Assumptions!$B$28*(MAX(IF(D967&lt;=0,0,MAX(0,(B967/D967)*H967/INDEX(Surface_Engine!$B$12:$B$72,$A967+1)-F967/INDEX(Surface_Engine!$B$12:$B$72,$A967+1))),IF(E967&lt;=0,0,MAX(0,(B967/E967)*I967/INDEX(Surface_Engine!$B$12:$B$72,$A967+1)-F967/INDEX(Surface_Engine!$B$12:$B$72,$A967+1))),IF($A967&lt;$Q$951,MAX(0,-Assumptions!$B$22*(F967/INDEX(Surface_Engine!$B$12:$B$72,$A967+1))),0)))*(MAX(0,J967/INDEX(Surface_Engine!$B$12:$B$72,$A967+1)-(F967/INDEX(Surface_Engine!$B$12:$B$72,$A967+1)))))</f>
        <v>6414.79571846025</v>
      </c>
      <c r="L967" s="48" t="n">
        <f aca="false">K967*INDEX(Surface_Engine!$B$12:$B$72,$A967+1)+L968</f>
        <v>41891.2362183222</v>
      </c>
      <c r="M967" s="48" t="n">
        <f aca="false">M966+B966*(IF($A966&lt;$Q$951,(Surface_Engine!Q244*12)-(Surface_Engine!Q244*12)*INDEX(Surface_Engine!$F$12:$F$72,$A966+1)-INDEX(Surface_Engine!$D$12:$D$72,$A966+1),-(1000*12*INDEX(Surface_Engine!$C$12:$C$72,$A966+1)/(1+Assumptions!$B$10)^22+INDEX(Surface_Engine!$D$12:$D$72,$A966+1))))*INDEX(Surface_Engine!$B$12:$B$72,$A966+1)</f>
        <v>11857.9080781448</v>
      </c>
      <c r="N967" s="12" t="n">
        <f aca="false">IF(B967&lt;=0,0,MAX(0,(K967+Assumptions!$B$29*L967/INDEX(Surface_Engine!$B$12:$B$72,$A967+1)-(M967/INDEX(Surface_Engine!$B$12:$B$72,$A967+1)-(F967/INDEX(Surface_Engine!$B$12:$B$72,$A967+1))))/B967))</f>
        <v>14246.2984673599</v>
      </c>
    </row>
    <row r="968" customFormat="false" ht="15" hidden="false" customHeight="true" outlineLevel="0" collapsed="false">
      <c r="A968" s="1" t="n">
        <v>15</v>
      </c>
      <c r="B968" s="32" t="n">
        <f aca="false">INDEX(Surface_Engine!$O$12:$O$72,$A968+1)*IF($A968&lt;$Q$951,INDEX(Surface_Engine!$E$12:$E$72,$A968+1),INDEX(Surface_Engine!$E$12:$E$72,$Q$951+1))</f>
        <v>0.62956195446905</v>
      </c>
      <c r="C968" s="32" t="n">
        <f aca="false">INDEX(Panel_Reserving!$E$8:$E$68,$A968+1)*IF($A968&lt;$Q$951,INDEX(Surface_Engine!$E$12:$E$72,$A968+1),INDEX(Surface_Engine!$E$12:$E$72,$Q$951+1))</f>
        <v>0.664514310316086</v>
      </c>
      <c r="D968" s="32" t="n">
        <f aca="false">INDEX(Surface_Engine!$O$12:$O$72,$A968+1)*IF($A968&lt;$Q$951,INDEX(Surface_Engine!$Y$12:$Y$72,$A968+1),INDEX(Surface_Engine!$Y$12:$Y$72,$Q$951+1))</f>
        <v>0.570306860893999</v>
      </c>
      <c r="E968" s="32" t="n">
        <f aca="false">INDEX(Surface_Engine!$O$12:$O$72,$A968+1)*IF($A968&lt;$Q$951,INDEX(Surface_Engine!$Z$12:$Z$72,$A968+1),INDEX(Surface_Engine!$Z$12:$Z$72,$Q$951+1))</f>
        <v>0.694336026339197</v>
      </c>
      <c r="F968" s="48" t="n">
        <f aca="false">B968*(IF($A968&lt;$Q$951,INDEX(Surface_Engine!$D$12:$D$72,$A968+1)+(Surface_Engine!Q244*12)*INDEX(Surface_Engine!$F$12:$F$72,$A968+1)-(Surface_Engine!Q244*12),1000*12*INDEX(Surface_Engine!$C$12:$C$72,$A968+1)/(1+Assumptions!$B$10)^22+INDEX(Surface_Engine!$D$12:$D$72,$A968+1)))*INDEX(Surface_Engine!$B$12:$B$72,$A968+1)+F969</f>
        <v>11861.3607557107</v>
      </c>
      <c r="G968" s="48" t="n">
        <f aca="false">C968*(IF($A968&lt;$Q$951,INDEX(Surface_Engine!$D$12:$D$72,$A968+1)+(Surface_Engine!Q244*12)*INDEX(Surface_Engine!$F$12:$F$72,$A968+1)-(Surface_Engine!Q244*12),1000*12*INDEX(Surface_Engine!$C$12:$C$72,$A968+1)/(1+Assumptions!$B$10)^22+INDEX(Surface_Engine!$D$12:$D$72,$A968+1)))*INDEX(Surface_Engine!$B$12:$B$72,$A968+1)+G969</f>
        <v>16657.1272485953</v>
      </c>
      <c r="H968" s="48" t="n">
        <f aca="false">D968*(IF($A968&lt;$Q$951,INDEX(Surface_Engine!$D$12:$D$72,$A968+1)+(Surface_Engine!Q244*12)*INDEX(Surface_Engine!$F$12:$F$72,$A968+1)-(Surface_Engine!Q244*12),1000*12*INDEX(Surface_Engine!$C$12:$C$72,$A968+1)/(1+Assumptions!$B$10)^22+INDEX(Surface_Engine!$D$12:$D$72,$A968+1)))*INDEX(Surface_Engine!$B$12:$B$72,$A968+1)+H969</f>
        <v>10353.996588407</v>
      </c>
      <c r="I968" s="48" t="n">
        <f aca="false">E968*(IF($A968&lt;$Q$951,INDEX(Surface_Engine!$D$12:$D$72,$A968+1)+(Surface_Engine!Q244*12)*INDEX(Surface_Engine!$F$12:$F$72,$A968+1)-(Surface_Engine!Q244*12),1000*12*INDEX(Surface_Engine!$C$12:$C$72,$A968+1)/(1+Assumptions!$B$10)^22+INDEX(Surface_Engine!$D$12:$D$72,$A968+1)))*INDEX(Surface_Engine!$B$12:$B$72,$A968+1)+I969</f>
        <v>13571.5270215337</v>
      </c>
      <c r="J968" s="48" t="n">
        <f aca="false">B968*(IF($A968&lt;$Q$951,INDEX(Surface_Engine!$D$12:$D$72,$A968+1)*(1+Assumptions!$B$24)+(Surface_Engine!Q244*12)*INDEX(Surface_Engine!$F$12:$F$72,$A968+1)-(Surface_Engine!Q244*12),1000*12*INDEX(Surface_Engine!$C$12:$C$72,$A968+1)/(1+Assumptions!$B$10)^22+INDEX(Surface_Engine!$D$12:$D$72,$A968+1)*(1+Assumptions!$B$24)))*INDEX(Surface_Engine!$B$12:$B$72,$A968+1)+J969</f>
        <v>11905.8983040181</v>
      </c>
      <c r="K968" s="12" t="n">
        <f aca="false">SQRT((IF(C968&lt;=0,0,MAX(0,(B968/C968)*G968/INDEX(Surface_Engine!$B$12:$B$72,$A968+1)-F968/INDEX(Surface_Engine!$B$12:$B$72,$A968+1))))^2+(MAX(IF(D968&lt;=0,0,MAX(0,(B968/D968)*H968/INDEX(Surface_Engine!$B$12:$B$72,$A968+1)-F968/INDEX(Surface_Engine!$B$12:$B$72,$A968+1))),IF(E968&lt;=0,0,MAX(0,(B968/E968)*I968/INDEX(Surface_Engine!$B$12:$B$72,$A968+1)-F968/INDEX(Surface_Engine!$B$12:$B$72,$A968+1))),IF($A968&lt;$Q$951,MAX(0,-Assumptions!$B$22*(F968/INDEX(Surface_Engine!$B$12:$B$72,$A968+1))),0)))^2+(MAX(0,J968/INDEX(Surface_Engine!$B$12:$B$72,$A968+1)-(F968/INDEX(Surface_Engine!$B$12:$B$72,$A968+1))))^2+2*Assumptions!$B$26*(IF(C968&lt;=0,0,MAX(0,(B968/C968)*G968/INDEX(Surface_Engine!$B$12:$B$72,$A968+1)-F968/INDEX(Surface_Engine!$B$12:$B$72,$A968+1))))*(MAX(IF(D968&lt;=0,0,MAX(0,(B968/D968)*H968/INDEX(Surface_Engine!$B$12:$B$72,$A968+1)-F968/INDEX(Surface_Engine!$B$12:$B$72,$A968+1))),IF(E968&lt;=0,0,MAX(0,(B968/E968)*I968/INDEX(Surface_Engine!$B$12:$B$72,$A968+1)-F968/INDEX(Surface_Engine!$B$12:$B$72,$A968+1))),IF($A968&lt;$Q$951,MAX(0,-Assumptions!$B$22*(F968/INDEX(Surface_Engine!$B$12:$B$72,$A968+1))),0)))+2*Assumptions!$B$27*(IF(C968&lt;=0,0,MAX(0,(B968/C968)*G968/INDEX(Surface_Engine!$B$12:$B$72,$A968+1)-F968/INDEX(Surface_Engine!$B$12:$B$72,$A968+1))))*(MAX(0,J968/INDEX(Surface_Engine!$B$12:$B$72,$A968+1)-(F968/INDEX(Surface_Engine!$B$12:$B$72,$A968+1))))+2*Assumptions!$B$28*(MAX(IF(D968&lt;=0,0,MAX(0,(B968/D968)*H968/INDEX(Surface_Engine!$B$12:$B$72,$A968+1)-F968/INDEX(Surface_Engine!$B$12:$B$72,$A968+1))),IF(E968&lt;=0,0,MAX(0,(B968/E968)*I968/INDEX(Surface_Engine!$B$12:$B$72,$A968+1)-F968/INDEX(Surface_Engine!$B$12:$B$72,$A968+1))),IF($A968&lt;$Q$951,MAX(0,-Assumptions!$B$22*(F968/INDEX(Surface_Engine!$B$12:$B$72,$A968+1))),0)))*(MAX(0,J968/INDEX(Surface_Engine!$B$12:$B$72,$A968+1)-(F968/INDEX(Surface_Engine!$B$12:$B$72,$A968+1)))))</f>
        <v>6435.63130449275</v>
      </c>
      <c r="L968" s="48" t="n">
        <f aca="false">K968*INDEX(Surface_Engine!$B$12:$B$72,$A968+1)+L969</f>
        <v>37686.4500819195</v>
      </c>
      <c r="M968" s="48" t="n">
        <f aca="false">M967+B967*(IF($A967&lt;$Q$951,(Surface_Engine!Q244*12)-(Surface_Engine!Q244*12)*INDEX(Surface_Engine!$F$12:$F$72,$A967+1)-INDEX(Surface_Engine!$D$12:$D$72,$A967+1),-(1000*12*INDEX(Surface_Engine!$C$12:$C$72,$A967+1)/(1+Assumptions!$B$10)^22+INDEX(Surface_Engine!$D$12:$D$72,$A967+1))))*INDEX(Surface_Engine!$B$12:$B$72,$A967+1)</f>
        <v>12427.2486146764</v>
      </c>
      <c r="N968" s="12" t="n">
        <f aca="false">IF(B968&lt;=0,0,MAX(0,(K968+Assumptions!$B$29*L968/INDEX(Surface_Engine!$B$12:$B$72,$A968+1)-(M968/INDEX(Surface_Engine!$B$12:$B$72,$A968+1)-(F968/INDEX(Surface_Engine!$B$12:$B$72,$A968+1))))/B968))</f>
        <v>14483.5779802513</v>
      </c>
    </row>
    <row r="969" customFormat="false" ht="15" hidden="false" customHeight="true" outlineLevel="0" collapsed="false">
      <c r="A969" s="1" t="n">
        <v>16</v>
      </c>
      <c r="B969" s="32" t="n">
        <f aca="false">INDEX(Surface_Engine!$O$12:$O$72,$A969+1)*IF($A969&lt;$Q$951,INDEX(Surface_Engine!$E$12:$E$72,$A969+1),INDEX(Surface_Engine!$E$12:$E$72,$Q$951+1))</f>
        <v>0.598864857014466</v>
      </c>
      <c r="C969" s="32" t="n">
        <f aca="false">INDEX(Panel_Reserving!$E$8:$E$68,$A969+1)*IF($A969&lt;$Q$951,INDEX(Surface_Engine!$E$12:$E$72,$A969+1),INDEX(Surface_Engine!$E$12:$E$72,$Q$951+1))</f>
        <v>0.637383810064827</v>
      </c>
      <c r="D969" s="32" t="n">
        <f aca="false">INDEX(Surface_Engine!$O$12:$O$72,$A969+1)*IF($A969&lt;$Q$951,INDEX(Surface_Engine!$Y$12:$Y$72,$A969+1),INDEX(Surface_Engine!$Y$12:$Y$72,$Q$951+1))</f>
        <v>0.540007970529124</v>
      </c>
      <c r="E969" s="32" t="n">
        <f aca="false">INDEX(Surface_Engine!$O$12:$O$72,$A969+1)*IF($A969&lt;$Q$951,INDEX(Surface_Engine!$Z$12:$Z$72,$A969+1),INDEX(Surface_Engine!$Z$12:$Z$72,$Q$951+1))</f>
        <v>0.663513365460991</v>
      </c>
      <c r="F969" s="48" t="n">
        <f aca="false">B969*(IF($A969&lt;$Q$951,INDEX(Surface_Engine!$D$12:$D$72,$A969+1)+(Surface_Engine!Q244*12)*INDEX(Surface_Engine!$F$12:$F$72,$A969+1)-(Surface_Engine!Q244*12),1000*12*INDEX(Surface_Engine!$C$12:$C$72,$A969+1)/(1+Assumptions!$B$10)^22+INDEX(Surface_Engine!$D$12:$D$72,$A969+1)))*INDEX(Surface_Engine!$B$12:$B$72,$A969+1)+F970</f>
        <v>12384.7110663776</v>
      </c>
      <c r="G969" s="48" t="n">
        <f aca="false">C969*(IF($A969&lt;$Q$951,INDEX(Surface_Engine!$D$12:$D$72,$A969+1)+(Surface_Engine!Q244*12)*INDEX(Surface_Engine!$F$12:$F$72,$A969+1)-(Surface_Engine!Q244*12),1000*12*INDEX(Surface_Engine!$C$12:$C$72,$A969+1)/(1+Assumptions!$B$10)^22+INDEX(Surface_Engine!$D$12:$D$72,$A969+1)))*INDEX(Surface_Engine!$B$12:$B$72,$A969+1)+G970</f>
        <v>17209.533200508</v>
      </c>
      <c r="H969" s="48" t="n">
        <f aca="false">D969*(IF($A969&lt;$Q$951,INDEX(Surface_Engine!$D$12:$D$72,$A969+1)+(Surface_Engine!Q244*12)*INDEX(Surface_Engine!$F$12:$F$72,$A969+1)-(Surface_Engine!Q244*12),1000*12*INDEX(Surface_Engine!$C$12:$C$72,$A969+1)/(1+Assumptions!$B$10)^22+INDEX(Surface_Engine!$D$12:$D$72,$A969+1)))*INDEX(Surface_Engine!$B$12:$B$72,$A969+1)+H970</f>
        <v>10828.088567291</v>
      </c>
      <c r="I969" s="48" t="n">
        <f aca="false">E969*(IF($A969&lt;$Q$951,INDEX(Surface_Engine!$D$12:$D$72,$A969+1)+(Surface_Engine!Q244*12)*INDEX(Surface_Engine!$F$12:$F$72,$A969+1)-(Surface_Engine!Q244*12),1000*12*INDEX(Surface_Engine!$C$12:$C$72,$A969+1)/(1+Assumptions!$B$10)^22+INDEX(Surface_Engine!$D$12:$D$72,$A969+1)))*INDEX(Surface_Engine!$B$12:$B$72,$A969+1)+I970</f>
        <v>14148.7235508226</v>
      </c>
      <c r="J969" s="48" t="n">
        <f aca="false">B969*(IF($A969&lt;$Q$951,INDEX(Surface_Engine!$D$12:$D$72,$A969+1)*(1+Assumptions!$B$24)+(Surface_Engine!Q244*12)*INDEX(Surface_Engine!$F$12:$F$72,$A969+1)-(Surface_Engine!Q244*12),1000*12*INDEX(Surface_Engine!$C$12:$C$72,$A969+1)/(1+Assumptions!$B$10)^22+INDEX(Surface_Engine!$D$12:$D$72,$A969+1)*(1+Assumptions!$B$24)))*INDEX(Surface_Engine!$B$12:$B$72,$A969+1)+J970</f>
        <v>12424.5237644617</v>
      </c>
      <c r="K969" s="12" t="n">
        <f aca="false">SQRT((IF(C969&lt;=0,0,MAX(0,(B969/C969)*G969/INDEX(Surface_Engine!$B$12:$B$72,$A969+1)-F969/INDEX(Surface_Engine!$B$12:$B$72,$A969+1))))^2+(MAX(IF(D969&lt;=0,0,MAX(0,(B969/D969)*H969/INDEX(Surface_Engine!$B$12:$B$72,$A969+1)-F969/INDEX(Surface_Engine!$B$12:$B$72,$A969+1))),IF(E969&lt;=0,0,MAX(0,(B969/E969)*I969/INDEX(Surface_Engine!$B$12:$B$72,$A969+1)-F969/INDEX(Surface_Engine!$B$12:$B$72,$A969+1))),IF($A969&lt;$Q$951,MAX(0,-Assumptions!$B$22*(F969/INDEX(Surface_Engine!$B$12:$B$72,$A969+1))),0)))^2+(MAX(0,J969/INDEX(Surface_Engine!$B$12:$B$72,$A969+1)-(F969/INDEX(Surface_Engine!$B$12:$B$72,$A969+1))))^2+2*Assumptions!$B$26*(IF(C969&lt;=0,0,MAX(0,(B969/C969)*G969/INDEX(Surface_Engine!$B$12:$B$72,$A969+1)-F969/INDEX(Surface_Engine!$B$12:$B$72,$A969+1))))*(MAX(IF(D969&lt;=0,0,MAX(0,(B969/D969)*H969/INDEX(Surface_Engine!$B$12:$B$72,$A969+1)-F969/INDEX(Surface_Engine!$B$12:$B$72,$A969+1))),IF(E969&lt;=0,0,MAX(0,(B969/E969)*I969/INDEX(Surface_Engine!$B$12:$B$72,$A969+1)-F969/INDEX(Surface_Engine!$B$12:$B$72,$A969+1))),IF($A969&lt;$Q$951,MAX(0,-Assumptions!$B$22*(F969/INDEX(Surface_Engine!$B$12:$B$72,$A969+1))),0)))+2*Assumptions!$B$27*(IF(C969&lt;=0,0,MAX(0,(B969/C969)*G969/INDEX(Surface_Engine!$B$12:$B$72,$A969+1)-F969/INDEX(Surface_Engine!$B$12:$B$72,$A969+1))))*(MAX(0,J969/INDEX(Surface_Engine!$B$12:$B$72,$A969+1)-(F969/INDEX(Surface_Engine!$B$12:$B$72,$A969+1))))+2*Assumptions!$B$28*(MAX(IF(D969&lt;=0,0,MAX(0,(B969/D969)*H969/INDEX(Surface_Engine!$B$12:$B$72,$A969+1)-F969/INDEX(Surface_Engine!$B$12:$B$72,$A969+1))),IF(E969&lt;=0,0,MAX(0,(B969/E969)*I969/INDEX(Surface_Engine!$B$12:$B$72,$A969+1)-F969/INDEX(Surface_Engine!$B$12:$B$72,$A969+1))),IF($A969&lt;$Q$951,MAX(0,-Assumptions!$B$22*(F969/INDEX(Surface_Engine!$B$12:$B$72,$A969+1))),0)))*(MAX(0,J969/INDEX(Surface_Engine!$B$12:$B$72,$A969+1)-(F969/INDEX(Surface_Engine!$B$12:$B$72,$A969+1)))))</f>
        <v>6412.7038531026</v>
      </c>
      <c r="L969" s="48" t="n">
        <f aca="false">K969*INDEX(Surface_Engine!$B$12:$B$72,$A969+1)+L970</f>
        <v>33619.4995181731</v>
      </c>
      <c r="M969" s="48" t="n">
        <f aca="false">M968+B968*(IF($A968&lt;$Q$951,(Surface_Engine!Q244*12)-(Surface_Engine!Q244*12)*INDEX(Surface_Engine!$F$12:$F$72,$A968+1)-INDEX(Surface_Engine!$D$12:$D$72,$A968+1),-(1000*12*INDEX(Surface_Engine!$C$12:$C$72,$A968+1)/(1+Assumptions!$B$10)^22+INDEX(Surface_Engine!$D$12:$D$72,$A968+1))))*INDEX(Surface_Engine!$B$12:$B$72,$A968+1)</f>
        <v>12950.5989253433</v>
      </c>
      <c r="N969" s="12" t="n">
        <f aca="false">IF(B969&lt;=0,0,MAX(0,(K969+Assumptions!$B$29*L969/INDEX(Surface_Engine!$B$12:$B$72,$A969+1)-(M969/INDEX(Surface_Engine!$B$12:$B$72,$A969+1)-(F969/INDEX(Surface_Engine!$B$12:$B$72,$A969+1))))/B969))</f>
        <v>14681.7490413937</v>
      </c>
    </row>
    <row r="970" customFormat="false" ht="15" hidden="false" customHeight="true" outlineLevel="0" collapsed="false">
      <c r="A970" s="1" t="n">
        <v>17</v>
      </c>
      <c r="B970" s="32" t="n">
        <f aca="false">INDEX(Surface_Engine!$O$12:$O$72,$A970+1)*IF($A970&lt;$Q$951,INDEX(Surface_Engine!$E$12:$E$72,$A970+1),INDEX(Surface_Engine!$E$12:$E$72,$Q$951+1))</f>
        <v>0.566772742747497</v>
      </c>
      <c r="C970" s="32" t="n">
        <f aca="false">INDEX(Panel_Reserving!$E$8:$E$68,$A970+1)*IF($A970&lt;$Q$951,INDEX(Surface_Engine!$E$12:$E$72,$A970+1),INDEX(Surface_Engine!$E$12:$E$72,$Q$951+1))</f>
        <v>0.608898749766512</v>
      </c>
      <c r="D970" s="32" t="n">
        <f aca="false">INDEX(Surface_Engine!$O$12:$O$72,$A970+1)*IF($A970&lt;$Q$951,INDEX(Surface_Engine!$Y$12:$Y$72,$A970+1),INDEX(Surface_Engine!$Y$12:$Y$72,$Q$951+1))</f>
        <v>0.508723170082462</v>
      </c>
      <c r="E970" s="32" t="n">
        <f aca="false">INDEX(Surface_Engine!$O$12:$O$72,$A970+1)*IF($A970&lt;$Q$951,INDEX(Surface_Engine!$Z$12:$Z$72,$A970+1),INDEX(Surface_Engine!$Z$12:$Z$72,$Q$951+1))</f>
        <v>0.630840294349916</v>
      </c>
      <c r="F970" s="48" t="n">
        <f aca="false">B970*(IF($A970&lt;$Q$951,INDEX(Surface_Engine!$D$12:$D$72,$A970+1)+(Surface_Engine!Q244*12)*INDEX(Surface_Engine!$F$12:$F$72,$A970+1)-(Surface_Engine!Q244*12),1000*12*INDEX(Surface_Engine!$C$12:$C$72,$A970+1)/(1+Assumptions!$B$10)^22+INDEX(Surface_Engine!$D$12:$D$72,$A970+1)))*INDEX(Surface_Engine!$B$12:$B$72,$A970+1)+F971</f>
        <v>12864.0659111925</v>
      </c>
      <c r="G970" s="48" t="n">
        <f aca="false">C970*(IF($A970&lt;$Q$951,INDEX(Surface_Engine!$D$12:$D$72,$A970+1)+(Surface_Engine!Q244*12)*INDEX(Surface_Engine!$F$12:$F$72,$A970+1)-(Surface_Engine!Q244*12),1000*12*INDEX(Surface_Engine!$C$12:$C$72,$A970+1)/(1+Assumptions!$B$10)^22+INDEX(Surface_Engine!$D$12:$D$72,$A970+1)))*INDEX(Surface_Engine!$B$12:$B$72,$A970+1)+G971</f>
        <v>17719.7201212841</v>
      </c>
      <c r="H970" s="48" t="n">
        <f aca="false">D970*(IF($A970&lt;$Q$951,INDEX(Surface_Engine!$D$12:$D$72,$A970+1)+(Surface_Engine!Q244*12)*INDEX(Surface_Engine!$F$12:$F$72,$A970+1)-(Surface_Engine!Q244*12),1000*12*INDEX(Surface_Engine!$C$12:$C$72,$A970+1)/(1+Assumptions!$B$10)^22+INDEX(Surface_Engine!$D$12:$D$72,$A970+1)))*INDEX(Surface_Engine!$B$12:$B$72,$A970+1)+H971</f>
        <v>11260.3320590903</v>
      </c>
      <c r="I970" s="48" t="n">
        <f aca="false">E970*(IF($A970&lt;$Q$951,INDEX(Surface_Engine!$D$12:$D$72,$A970+1)+(Surface_Engine!Q244*12)*INDEX(Surface_Engine!$F$12:$F$72,$A970+1)-(Surface_Engine!Q244*12),1000*12*INDEX(Surface_Engine!$C$12:$C$72,$A970+1)/(1+Assumptions!$B$10)^22+INDEX(Surface_Engine!$D$12:$D$72,$A970+1)))*INDEX(Surface_Engine!$B$12:$B$72,$A970+1)+I971</f>
        <v>14679.8255893006</v>
      </c>
      <c r="J970" s="48" t="n">
        <f aca="false">B970*(IF($A970&lt;$Q$951,INDEX(Surface_Engine!$D$12:$D$72,$A970+1)*(1+Assumptions!$B$24)+(Surface_Engine!Q244*12)*INDEX(Surface_Engine!$F$12:$F$72,$A970+1)-(Surface_Engine!Q244*12),1000*12*INDEX(Surface_Engine!$C$12:$C$72,$A970+1)/(1+Assumptions!$B$10)^22+INDEX(Surface_Engine!$D$12:$D$72,$A970+1)*(1+Assumptions!$B$24)))*INDEX(Surface_Engine!$B$12:$B$72,$A970+1)+J971</f>
        <v>12899.4327279519</v>
      </c>
      <c r="K970" s="12" t="n">
        <f aca="false">SQRT((IF(C970&lt;=0,0,MAX(0,(B970/C970)*G970/INDEX(Surface_Engine!$B$12:$B$72,$A970+1)-F970/INDEX(Surface_Engine!$B$12:$B$72,$A970+1))))^2+(MAX(IF(D970&lt;=0,0,MAX(0,(B970/D970)*H970/INDEX(Surface_Engine!$B$12:$B$72,$A970+1)-F970/INDEX(Surface_Engine!$B$12:$B$72,$A970+1))),IF(E970&lt;=0,0,MAX(0,(B970/E970)*I970/INDEX(Surface_Engine!$B$12:$B$72,$A970+1)-F970/INDEX(Surface_Engine!$B$12:$B$72,$A970+1))),IF($A970&lt;$Q$951,MAX(0,-Assumptions!$B$22*(F970/INDEX(Surface_Engine!$B$12:$B$72,$A970+1))),0)))^2+(MAX(0,J970/INDEX(Surface_Engine!$B$12:$B$72,$A970+1)-(F970/INDEX(Surface_Engine!$B$12:$B$72,$A970+1))))^2+2*Assumptions!$B$26*(IF(C970&lt;=0,0,MAX(0,(B970/C970)*G970/INDEX(Surface_Engine!$B$12:$B$72,$A970+1)-F970/INDEX(Surface_Engine!$B$12:$B$72,$A970+1))))*(MAX(IF(D970&lt;=0,0,MAX(0,(B970/D970)*H970/INDEX(Surface_Engine!$B$12:$B$72,$A970+1)-F970/INDEX(Surface_Engine!$B$12:$B$72,$A970+1))),IF(E970&lt;=0,0,MAX(0,(B970/E970)*I970/INDEX(Surface_Engine!$B$12:$B$72,$A970+1)-F970/INDEX(Surface_Engine!$B$12:$B$72,$A970+1))),IF($A970&lt;$Q$951,MAX(0,-Assumptions!$B$22*(F970/INDEX(Surface_Engine!$B$12:$B$72,$A970+1))),0)))+2*Assumptions!$B$27*(IF(C970&lt;=0,0,MAX(0,(B970/C970)*G970/INDEX(Surface_Engine!$B$12:$B$72,$A970+1)-F970/INDEX(Surface_Engine!$B$12:$B$72,$A970+1))))*(MAX(0,J970/INDEX(Surface_Engine!$B$12:$B$72,$A970+1)-(F970/INDEX(Surface_Engine!$B$12:$B$72,$A970+1))))+2*Assumptions!$B$28*(MAX(IF(D970&lt;=0,0,MAX(0,(B970/D970)*H970/INDEX(Surface_Engine!$B$12:$B$72,$A970+1)-F970/INDEX(Surface_Engine!$B$12:$B$72,$A970+1))),IF(E970&lt;=0,0,MAX(0,(B970/E970)*I970/INDEX(Surface_Engine!$B$12:$B$72,$A970+1)-F970/INDEX(Surface_Engine!$B$12:$B$72,$A970+1))),IF($A970&lt;$Q$951,MAX(0,-Assumptions!$B$22*(F970/INDEX(Surface_Engine!$B$12:$B$72,$A970+1))),0)))*(MAX(0,J970/INDEX(Surface_Engine!$B$12:$B$72,$A970+1)-(F970/INDEX(Surface_Engine!$B$12:$B$72,$A970+1)))))</f>
        <v>6333.56333456261</v>
      </c>
      <c r="L970" s="48" t="n">
        <f aca="false">K970*INDEX(Surface_Engine!$B$12:$B$72,$A970+1)+L971</f>
        <v>29708.6192253118</v>
      </c>
      <c r="M970" s="48" t="n">
        <f aca="false">M969+B969*(IF($A969&lt;$Q$951,(Surface_Engine!Q244*12)-(Surface_Engine!Q244*12)*INDEX(Surface_Engine!$F$12:$F$72,$A969+1)-INDEX(Surface_Engine!$D$12:$D$72,$A969+1),-(1000*12*INDEX(Surface_Engine!$C$12:$C$72,$A969+1)/(1+Assumptions!$B$10)^22+INDEX(Surface_Engine!$D$12:$D$72,$A969+1))))*INDEX(Surface_Engine!$B$12:$B$72,$A969+1)</f>
        <v>13429.9537701583</v>
      </c>
      <c r="N970" s="12" t="n">
        <f aca="false">IF(B970&lt;=0,0,MAX(0,(K970+Assumptions!$B$29*L970/INDEX(Surface_Engine!$B$12:$B$72,$A970+1)-(M970/INDEX(Surface_Engine!$B$12:$B$72,$A970+1)-(F970/INDEX(Surface_Engine!$B$12:$B$72,$A970+1))))/B970))</f>
        <v>14815.2399298889</v>
      </c>
    </row>
    <row r="971" customFormat="false" ht="15" hidden="false" customHeight="true" outlineLevel="0" collapsed="false">
      <c r="A971" s="1" t="n">
        <v>18</v>
      </c>
      <c r="B971" s="32" t="n">
        <f aca="false">INDEX(Surface_Engine!$O$12:$O$72,$A971+1)*IF($A971&lt;$Q$951,INDEX(Surface_Engine!$E$12:$E$72,$A971+1),INDEX(Surface_Engine!$E$12:$E$72,$Q$951+1))</f>
        <v>0.53242204377931</v>
      </c>
      <c r="C971" s="32" t="n">
        <f aca="false">INDEX(Panel_Reserving!$E$8:$E$68,$A971+1)*IF($A971&lt;$Q$951,INDEX(Surface_Engine!$E$12:$E$72,$A971+1),INDEX(Surface_Engine!$E$12:$E$72,$Q$951+1))</f>
        <v>0.578267472104098</v>
      </c>
      <c r="D971" s="32" t="n">
        <f aca="false">INDEX(Surface_Engine!$O$12:$O$72,$A971+1)*IF($A971&lt;$Q$951,INDEX(Surface_Engine!$Y$12:$Y$72,$A971+1),INDEX(Surface_Engine!$Y$12:$Y$72,$Q$951+1))</f>
        <v>0.475696341110769</v>
      </c>
      <c r="E971" s="32" t="n">
        <f aca="false">INDEX(Surface_Engine!$O$12:$O$72,$A971+1)*IF($A971&lt;$Q$951,INDEX(Surface_Engine!$Z$12:$Z$72,$A971+1),INDEX(Surface_Engine!$Z$12:$Z$72,$Q$951+1))</f>
        <v>0.595327741321093</v>
      </c>
      <c r="F971" s="48" t="n">
        <f aca="false">B971*(IF($A971&lt;$Q$951,INDEX(Surface_Engine!$D$12:$D$72,$A971+1)+(Surface_Engine!Q244*12)*INDEX(Surface_Engine!$F$12:$F$72,$A971+1)-(Surface_Engine!Q244*12),1000*12*INDEX(Surface_Engine!$C$12:$C$72,$A971+1)/(1+Assumptions!$B$10)^22+INDEX(Surface_Engine!$D$12:$D$72,$A971+1)))*INDEX(Surface_Engine!$B$12:$B$72,$A971+1)+F972</f>
        <v>13301.6780513001</v>
      </c>
      <c r="G971" s="48" t="n">
        <f aca="false">C971*(IF($A971&lt;$Q$951,INDEX(Surface_Engine!$D$12:$D$72,$A971+1)+(Surface_Engine!Q244*12)*INDEX(Surface_Engine!$F$12:$F$72,$A971+1)-(Surface_Engine!Q244*12),1000*12*INDEX(Surface_Engine!$C$12:$C$72,$A971+1)/(1+Assumptions!$B$10)^22+INDEX(Surface_Engine!$D$12:$D$72,$A971+1)))*INDEX(Surface_Engine!$B$12:$B$72,$A971+1)+G972</f>
        <v>18189.8582646648</v>
      </c>
      <c r="H971" s="48" t="n">
        <f aca="false">D971*(IF($A971&lt;$Q$951,INDEX(Surface_Engine!$D$12:$D$72,$A971+1)+(Surface_Engine!Q244*12)*INDEX(Surface_Engine!$F$12:$F$72,$A971+1)-(Surface_Engine!Q244*12),1000*12*INDEX(Surface_Engine!$C$12:$C$72,$A971+1)/(1+Assumptions!$B$10)^22+INDEX(Surface_Engine!$D$12:$D$72,$A971+1)))*INDEX(Surface_Engine!$B$12:$B$72,$A971+1)+H972</f>
        <v>11653.1234168802</v>
      </c>
      <c r="I971" s="48" t="n">
        <f aca="false">E971*(IF($A971&lt;$Q$951,INDEX(Surface_Engine!$D$12:$D$72,$A971+1)+(Surface_Engine!Q244*12)*INDEX(Surface_Engine!$F$12:$F$72,$A971+1)-(Surface_Engine!Q244*12),1000*12*INDEX(Surface_Engine!$C$12:$C$72,$A971+1)/(1+Assumptions!$B$10)^22+INDEX(Surface_Engine!$D$12:$D$72,$A971+1)))*INDEX(Surface_Engine!$B$12:$B$72,$A971+1)+I972</f>
        <v>15166.905066585</v>
      </c>
      <c r="J971" s="48" t="n">
        <f aca="false">B971*(IF($A971&lt;$Q$951,INDEX(Surface_Engine!$D$12:$D$72,$A971+1)*(1+Assumptions!$B$24)+(Surface_Engine!Q244*12)*INDEX(Surface_Engine!$F$12:$F$72,$A971+1)-(Surface_Engine!Q244*12),1000*12*INDEX(Surface_Engine!$C$12:$C$72,$A971+1)/(1+Assumptions!$B$10)^22+INDEX(Surface_Engine!$D$12:$D$72,$A971+1)*(1+Assumptions!$B$24)))*INDEX(Surface_Engine!$B$12:$B$72,$A971+1)+J972</f>
        <v>13332.8750017557</v>
      </c>
      <c r="K971" s="12" t="n">
        <f aca="false">SQRT((IF(C971&lt;=0,0,MAX(0,(B971/C971)*G971/INDEX(Surface_Engine!$B$12:$B$72,$A971+1)-F971/INDEX(Surface_Engine!$B$12:$B$72,$A971+1))))^2+(MAX(IF(D971&lt;=0,0,MAX(0,(B971/D971)*H971/INDEX(Surface_Engine!$B$12:$B$72,$A971+1)-F971/INDEX(Surface_Engine!$B$12:$B$72,$A971+1))),IF(E971&lt;=0,0,MAX(0,(B971/E971)*I971/INDEX(Surface_Engine!$B$12:$B$72,$A971+1)-F971/INDEX(Surface_Engine!$B$12:$B$72,$A971+1))),IF($A971&lt;$Q$951,MAX(0,-Assumptions!$B$22*(F971/INDEX(Surface_Engine!$B$12:$B$72,$A971+1))),0)))^2+(MAX(0,J971/INDEX(Surface_Engine!$B$12:$B$72,$A971+1)-(F971/INDEX(Surface_Engine!$B$12:$B$72,$A971+1))))^2+2*Assumptions!$B$26*(IF(C971&lt;=0,0,MAX(0,(B971/C971)*G971/INDEX(Surface_Engine!$B$12:$B$72,$A971+1)-F971/INDEX(Surface_Engine!$B$12:$B$72,$A971+1))))*(MAX(IF(D971&lt;=0,0,MAX(0,(B971/D971)*H971/INDEX(Surface_Engine!$B$12:$B$72,$A971+1)-F971/INDEX(Surface_Engine!$B$12:$B$72,$A971+1))),IF(E971&lt;=0,0,MAX(0,(B971/E971)*I971/INDEX(Surface_Engine!$B$12:$B$72,$A971+1)-F971/INDEX(Surface_Engine!$B$12:$B$72,$A971+1))),IF($A971&lt;$Q$951,MAX(0,-Assumptions!$B$22*(F971/INDEX(Surface_Engine!$B$12:$B$72,$A971+1))),0)))+2*Assumptions!$B$27*(IF(C971&lt;=0,0,MAX(0,(B971/C971)*G971/INDEX(Surface_Engine!$B$12:$B$72,$A971+1)-F971/INDEX(Surface_Engine!$B$12:$B$72,$A971+1))))*(MAX(0,J971/INDEX(Surface_Engine!$B$12:$B$72,$A971+1)-(F971/INDEX(Surface_Engine!$B$12:$B$72,$A971+1))))+2*Assumptions!$B$28*(MAX(IF(D971&lt;=0,0,MAX(0,(B971/D971)*H971/INDEX(Surface_Engine!$B$12:$B$72,$A971+1)-F971/INDEX(Surface_Engine!$B$12:$B$72,$A971+1))),IF(E971&lt;=0,0,MAX(0,(B971/E971)*I971/INDEX(Surface_Engine!$B$12:$B$72,$A971+1)-F971/INDEX(Surface_Engine!$B$12:$B$72,$A971+1))),IF($A971&lt;$Q$951,MAX(0,-Assumptions!$B$22*(F971/INDEX(Surface_Engine!$B$12:$B$72,$A971+1))),0)))*(MAX(0,J971/INDEX(Surface_Engine!$B$12:$B$72,$A971+1)-(F971/INDEX(Surface_Engine!$B$12:$B$72,$A971+1)))))</f>
        <v>6184.98235575737</v>
      </c>
      <c r="L971" s="48" t="n">
        <f aca="false">K971*INDEX(Surface_Engine!$B$12:$B$72,$A971+1)+L972</f>
        <v>25974.0395579326</v>
      </c>
      <c r="M971" s="48" t="n">
        <f aca="false">M970+B970*(IF($A970&lt;$Q$951,(Surface_Engine!Q244*12)-(Surface_Engine!Q244*12)*INDEX(Surface_Engine!$F$12:$F$72,$A970+1)-INDEX(Surface_Engine!$D$12:$D$72,$A970+1),-(1000*12*INDEX(Surface_Engine!$C$12:$C$72,$A970+1)/(1+Assumptions!$B$10)^22+INDEX(Surface_Engine!$D$12:$D$72,$A970+1))))*INDEX(Surface_Engine!$B$12:$B$72,$A970+1)</f>
        <v>13867.5659102658</v>
      </c>
      <c r="N971" s="12" t="n">
        <f aca="false">IF(B971&lt;=0,0,MAX(0,(K971+Assumptions!$B$29*L971/INDEX(Surface_Engine!$B$12:$B$72,$A971+1)-(M971/INDEX(Surface_Engine!$B$12:$B$72,$A971+1)-(F971/INDEX(Surface_Engine!$B$12:$B$72,$A971+1))))/B971))</f>
        <v>14883.1801802266</v>
      </c>
    </row>
    <row r="972" customFormat="false" ht="15" hidden="false" customHeight="true" outlineLevel="0" collapsed="false">
      <c r="A972" s="1" t="n">
        <v>19</v>
      </c>
      <c r="B972" s="32" t="n">
        <f aca="false">INDEX(Surface_Engine!$O$12:$O$72,$A972+1)*IF($A972&lt;$Q$951,INDEX(Surface_Engine!$E$12:$E$72,$A972+1),INDEX(Surface_Engine!$E$12:$E$72,$Q$951+1))</f>
        <v>0.496528383844321</v>
      </c>
      <c r="C972" s="32" t="n">
        <f aca="false">INDEX(Panel_Reserving!$E$8:$E$68,$A972+1)*IF($A972&lt;$Q$951,INDEX(Surface_Engine!$E$12:$E$72,$A972+1),INDEX(Surface_Engine!$E$12:$E$72,$Q$951+1))</f>
        <v>0.546027532243408</v>
      </c>
      <c r="D972" s="32" t="n">
        <f aca="false">INDEX(Surface_Engine!$O$12:$O$72,$A972+1)*IF($A972&lt;$Q$951,INDEX(Surface_Engine!$Y$12:$Y$72,$A972+1),INDEX(Surface_Engine!$Y$12:$Y$72,$Q$951+1))</f>
        <v>0.441589850597734</v>
      </c>
      <c r="E972" s="32" t="n">
        <f aca="false">INDEX(Surface_Engine!$O$12:$O$72,$A972+1)*IF($A972&lt;$Q$951,INDEX(Surface_Engine!$Z$12:$Z$72,$A972+1),INDEX(Surface_Engine!$Z$12:$Z$72,$Q$951+1))</f>
        <v>0.557742571378216</v>
      </c>
      <c r="F972" s="48" t="n">
        <f aca="false">B972*(IF($A972&lt;$Q$951,INDEX(Surface_Engine!$D$12:$D$72,$A972+1)+(Surface_Engine!Q244*12)*INDEX(Surface_Engine!$F$12:$F$72,$A972+1)-(Surface_Engine!Q244*12),1000*12*INDEX(Surface_Engine!$C$12:$C$72,$A972+1)/(1+Assumptions!$B$10)^22+INDEX(Surface_Engine!$D$12:$D$72,$A972+1)))*INDEX(Surface_Engine!$B$12:$B$72,$A972+1)+F973</f>
        <v>13698.6173886547</v>
      </c>
      <c r="G972" s="48" t="n">
        <f aca="false">C972*(IF($A972&lt;$Q$951,INDEX(Surface_Engine!$D$12:$D$72,$A972+1)+(Surface_Engine!Q244*12)*INDEX(Surface_Engine!$F$12:$F$72,$A972+1)-(Surface_Engine!Q244*12),1000*12*INDEX(Surface_Engine!$C$12:$C$72,$A972+1)/(1+Assumptions!$B$10)^22+INDEX(Surface_Engine!$D$12:$D$72,$A972+1)))*INDEX(Surface_Engine!$B$12:$B$72,$A972+1)+G973</f>
        <v>18620.9769793623</v>
      </c>
      <c r="H972" s="48" t="n">
        <f aca="false">D972*(IF($A972&lt;$Q$951,INDEX(Surface_Engine!$D$12:$D$72,$A972+1)+(Surface_Engine!Q244*12)*INDEX(Surface_Engine!$F$12:$F$72,$A972+1)-(Surface_Engine!Q244*12),1000*12*INDEX(Surface_Engine!$C$12:$C$72,$A972+1)/(1+Assumptions!$B$10)^22+INDEX(Surface_Engine!$D$12:$D$72,$A972+1)))*INDEX(Surface_Engine!$B$12:$B$72,$A972+1)+H973</f>
        <v>12007.7717501502</v>
      </c>
      <c r="I972" s="48" t="n">
        <f aca="false">E972*(IF($A972&lt;$Q$951,INDEX(Surface_Engine!$D$12:$D$72,$A972+1)+(Surface_Engine!Q244*12)*INDEX(Surface_Engine!$F$12:$F$72,$A972+1)-(Surface_Engine!Q244*12),1000*12*INDEX(Surface_Engine!$C$12:$C$72,$A972+1)/(1+Assumptions!$B$10)^22+INDEX(Surface_Engine!$D$12:$D$72,$A972+1)))*INDEX(Surface_Engine!$B$12:$B$72,$A972+1)+I973</f>
        <v>15610.7428113024</v>
      </c>
      <c r="J972" s="48" t="n">
        <f aca="false">B972*(IF($A972&lt;$Q$951,INDEX(Surface_Engine!$D$12:$D$72,$A972+1)*(1+Assumptions!$B$24)+(Surface_Engine!Q244*12)*INDEX(Surface_Engine!$F$12:$F$72,$A972+1)-(Surface_Engine!Q244*12),1000*12*INDEX(Surface_Engine!$C$12:$C$72,$A972+1)/(1+Assumptions!$B$10)^22+INDEX(Surface_Engine!$D$12:$D$72,$A972+1)*(1+Assumptions!$B$24)))*INDEX(Surface_Engine!$B$12:$B$72,$A972+1)+J973</f>
        <v>13725.9282158418</v>
      </c>
      <c r="K972" s="12" t="n">
        <f aca="false">SQRT((IF(C972&lt;=0,0,MAX(0,(B972/C972)*G972/INDEX(Surface_Engine!$B$12:$B$72,$A972+1)-F972/INDEX(Surface_Engine!$B$12:$B$72,$A972+1))))^2+(MAX(IF(D972&lt;=0,0,MAX(0,(B972/D972)*H972/INDEX(Surface_Engine!$B$12:$B$72,$A972+1)-F972/INDEX(Surface_Engine!$B$12:$B$72,$A972+1))),IF(E972&lt;=0,0,MAX(0,(B972/E972)*I972/INDEX(Surface_Engine!$B$12:$B$72,$A972+1)-F972/INDEX(Surface_Engine!$B$12:$B$72,$A972+1))),IF($A972&lt;$Q$951,MAX(0,-Assumptions!$B$22*(F972/INDEX(Surface_Engine!$B$12:$B$72,$A972+1))),0)))^2+(MAX(0,J972/INDEX(Surface_Engine!$B$12:$B$72,$A972+1)-(F972/INDEX(Surface_Engine!$B$12:$B$72,$A972+1))))^2+2*Assumptions!$B$26*(IF(C972&lt;=0,0,MAX(0,(B972/C972)*G972/INDEX(Surface_Engine!$B$12:$B$72,$A972+1)-F972/INDEX(Surface_Engine!$B$12:$B$72,$A972+1))))*(MAX(IF(D972&lt;=0,0,MAX(0,(B972/D972)*H972/INDEX(Surface_Engine!$B$12:$B$72,$A972+1)-F972/INDEX(Surface_Engine!$B$12:$B$72,$A972+1))),IF(E972&lt;=0,0,MAX(0,(B972/E972)*I972/INDEX(Surface_Engine!$B$12:$B$72,$A972+1)-F972/INDEX(Surface_Engine!$B$12:$B$72,$A972+1))),IF($A972&lt;$Q$951,MAX(0,-Assumptions!$B$22*(F972/INDEX(Surface_Engine!$B$12:$B$72,$A972+1))),0)))+2*Assumptions!$B$27*(IF(C972&lt;=0,0,MAX(0,(B972/C972)*G972/INDEX(Surface_Engine!$B$12:$B$72,$A972+1)-F972/INDEX(Surface_Engine!$B$12:$B$72,$A972+1))))*(MAX(0,J972/INDEX(Surface_Engine!$B$12:$B$72,$A972+1)-(F972/INDEX(Surface_Engine!$B$12:$B$72,$A972+1))))+2*Assumptions!$B$28*(MAX(IF(D972&lt;=0,0,MAX(0,(B972/D972)*H972/INDEX(Surface_Engine!$B$12:$B$72,$A972+1)-F972/INDEX(Surface_Engine!$B$12:$B$72,$A972+1))),IF(E972&lt;=0,0,MAX(0,(B972/E972)*I972/INDEX(Surface_Engine!$B$12:$B$72,$A972+1)-F972/INDEX(Surface_Engine!$B$12:$B$72,$A972+1))),IF($A972&lt;$Q$951,MAX(0,-Assumptions!$B$22*(F972/INDEX(Surface_Engine!$B$12:$B$72,$A972+1))),0)))*(MAX(0,J972/INDEX(Surface_Engine!$B$12:$B$72,$A972+1)-(F972/INDEX(Surface_Engine!$B$12:$B$72,$A972+1)))))</f>
        <v>5963.64341694802</v>
      </c>
      <c r="L972" s="48" t="n">
        <f aca="false">K972*INDEX(Surface_Engine!$B$12:$B$72,$A972+1)+L973</f>
        <v>22444.1950098359</v>
      </c>
      <c r="M972" s="48" t="n">
        <f aca="false">M971+B971*(IF($A971&lt;$Q$951,(Surface_Engine!Q244*12)-(Surface_Engine!Q244*12)*INDEX(Surface_Engine!$F$12:$F$72,$A971+1)-INDEX(Surface_Engine!$D$12:$D$72,$A971+1),-(1000*12*INDEX(Surface_Engine!$C$12:$C$72,$A971+1)/(1+Assumptions!$B$10)^22+INDEX(Surface_Engine!$D$12:$D$72,$A971+1))))*INDEX(Surface_Engine!$B$12:$B$72,$A971+1)</f>
        <v>14264.5052476205</v>
      </c>
      <c r="N972" s="12" t="n">
        <f aca="false">IF(B972&lt;=0,0,MAX(0,(K972+Assumptions!$B$29*L972/INDEX(Surface_Engine!$B$12:$B$72,$A972+1)-(M972/INDEX(Surface_Engine!$B$12:$B$72,$A972+1)-(F972/INDEX(Surface_Engine!$B$12:$B$72,$A972+1))))/B972))</f>
        <v>14854.6878810144</v>
      </c>
    </row>
    <row r="973" customFormat="false" ht="15" hidden="false" customHeight="true" outlineLevel="0" collapsed="false">
      <c r="A973" s="1" t="n">
        <v>20</v>
      </c>
      <c r="B973" s="32" t="n">
        <f aca="false">INDEX(Surface_Engine!$O$12:$O$72,$A973+1)*IF($A973&lt;$Q$951,INDEX(Surface_Engine!$E$12:$E$72,$A973+1),INDEX(Surface_Engine!$E$12:$E$72,$Q$951+1))</f>
        <v>0.459232053067881</v>
      </c>
      <c r="C973" s="32" t="n">
        <f aca="false">INDEX(Panel_Reserving!$E$8:$E$68,$A973+1)*IF($A973&lt;$Q$951,INDEX(Surface_Engine!$E$12:$E$72,$A973+1),INDEX(Surface_Engine!$E$12:$E$72,$Q$951+1))</f>
        <v>0.512222226491311</v>
      </c>
      <c r="D973" s="32" t="n">
        <f aca="false">INDEX(Surface_Engine!$O$12:$O$72,$A973+1)*IF($A973&lt;$Q$951,INDEX(Surface_Engine!$Y$12:$Y$72,$A973+1),INDEX(Surface_Engine!$Y$12:$Y$72,$Q$951+1))</f>
        <v>0.406544805850194</v>
      </c>
      <c r="E973" s="32" t="n">
        <f aca="false">INDEX(Surface_Engine!$O$12:$O$72,$A973+1)*IF($A973&lt;$Q$951,INDEX(Surface_Engine!$Z$12:$Z$72,$A973+1),INDEX(Surface_Engine!$Z$12:$Z$72,$Q$951+1))</f>
        <v>0.518216850157844</v>
      </c>
      <c r="F973" s="48" t="n">
        <f aca="false">B973*(IF($A973&lt;$Q$951,INDEX(Surface_Engine!$D$12:$D$72,$A973+1)+(Surface_Engine!Q244*12)*INDEX(Surface_Engine!$F$12:$F$72,$A973+1)-(Surface_Engine!Q244*12),1000*12*INDEX(Surface_Engine!$C$12:$C$72,$A973+1)/(1+Assumptions!$B$10)^22+INDEX(Surface_Engine!$D$12:$D$72,$A973+1)))*INDEX(Surface_Engine!$B$12:$B$72,$A973+1)+F974</f>
        <v>14056.3640563067</v>
      </c>
      <c r="G973" s="48" t="n">
        <f aca="false">C973*(IF($A973&lt;$Q$951,INDEX(Surface_Engine!$D$12:$D$72,$A973+1)+(Surface_Engine!Q244*12)*INDEX(Surface_Engine!$F$12:$F$72,$A973+1)-(Surface_Engine!Q244*12),1000*12*INDEX(Surface_Engine!$C$12:$C$72,$A973+1)/(1+Assumptions!$B$10)^22+INDEX(Surface_Engine!$D$12:$D$72,$A973+1)))*INDEX(Surface_Engine!$B$12:$B$72,$A973+1)+G974</f>
        <v>19014.3875807743</v>
      </c>
      <c r="H973" s="48" t="n">
        <f aca="false">D973*(IF($A973&lt;$Q$951,INDEX(Surface_Engine!$D$12:$D$72,$A973+1)+(Surface_Engine!Q244*12)*INDEX(Surface_Engine!$F$12:$F$72,$A973+1)-(Surface_Engine!Q244*12),1000*12*INDEX(Surface_Engine!$C$12:$C$72,$A973+1)/(1+Assumptions!$B$10)^22+INDEX(Surface_Engine!$D$12:$D$72,$A973+1)))*INDEX(Surface_Engine!$B$12:$B$72,$A973+1)+H974</f>
        <v>12325.9354295297</v>
      </c>
      <c r="I973" s="48" t="n">
        <f aca="false">E973*(IF($A973&lt;$Q$951,INDEX(Surface_Engine!$D$12:$D$72,$A973+1)+(Surface_Engine!Q244*12)*INDEX(Surface_Engine!$F$12:$F$72,$A973+1)-(Surface_Engine!Q244*12),1000*12*INDEX(Surface_Engine!$C$12:$C$72,$A973+1)/(1+Assumptions!$B$10)^22+INDEX(Surface_Engine!$D$12:$D$72,$A973+1)))*INDEX(Surface_Engine!$B$12:$B$72,$A973+1)+I974</f>
        <v>16012.5940504468</v>
      </c>
      <c r="J973" s="48" t="n">
        <f aca="false">B973*(IF($A973&lt;$Q$951,INDEX(Surface_Engine!$D$12:$D$72,$A973+1)*(1+Assumptions!$B$24)+(Surface_Engine!Q244*12)*INDEX(Surface_Engine!$F$12:$F$72,$A973+1)-(Surface_Engine!Q244*12),1000*12*INDEX(Surface_Engine!$C$12:$C$72,$A973+1)/(1+Assumptions!$B$10)^22+INDEX(Surface_Engine!$D$12:$D$72,$A973+1)*(1+Assumptions!$B$24)))*INDEX(Surface_Engine!$B$12:$B$72,$A973+1)+J974</f>
        <v>14080.0760963775</v>
      </c>
      <c r="K973" s="12" t="n">
        <f aca="false">SQRT((IF(C973&lt;=0,0,MAX(0,(B973/C973)*G973/INDEX(Surface_Engine!$B$12:$B$72,$A973+1)-F973/INDEX(Surface_Engine!$B$12:$B$72,$A973+1))))^2+(MAX(IF(D973&lt;=0,0,MAX(0,(B973/D973)*H973/INDEX(Surface_Engine!$B$12:$B$72,$A973+1)-F973/INDEX(Surface_Engine!$B$12:$B$72,$A973+1))),IF(E973&lt;=0,0,MAX(0,(B973/E973)*I973/INDEX(Surface_Engine!$B$12:$B$72,$A973+1)-F973/INDEX(Surface_Engine!$B$12:$B$72,$A973+1))),IF($A973&lt;$Q$951,MAX(0,-Assumptions!$B$22*(F973/INDEX(Surface_Engine!$B$12:$B$72,$A973+1))),0)))^2+(MAX(0,J973/INDEX(Surface_Engine!$B$12:$B$72,$A973+1)-(F973/INDEX(Surface_Engine!$B$12:$B$72,$A973+1))))^2+2*Assumptions!$B$26*(IF(C973&lt;=0,0,MAX(0,(B973/C973)*G973/INDEX(Surface_Engine!$B$12:$B$72,$A973+1)-F973/INDEX(Surface_Engine!$B$12:$B$72,$A973+1))))*(MAX(IF(D973&lt;=0,0,MAX(0,(B973/D973)*H973/INDEX(Surface_Engine!$B$12:$B$72,$A973+1)-F973/INDEX(Surface_Engine!$B$12:$B$72,$A973+1))),IF(E973&lt;=0,0,MAX(0,(B973/E973)*I973/INDEX(Surface_Engine!$B$12:$B$72,$A973+1)-F973/INDEX(Surface_Engine!$B$12:$B$72,$A973+1))),IF($A973&lt;$Q$951,MAX(0,-Assumptions!$B$22*(F973/INDEX(Surface_Engine!$B$12:$B$72,$A973+1))),0)))+2*Assumptions!$B$27*(IF(C973&lt;=0,0,MAX(0,(B973/C973)*G973/INDEX(Surface_Engine!$B$12:$B$72,$A973+1)-F973/INDEX(Surface_Engine!$B$12:$B$72,$A973+1))))*(MAX(0,J973/INDEX(Surface_Engine!$B$12:$B$72,$A973+1)-(F973/INDEX(Surface_Engine!$B$12:$B$72,$A973+1))))+2*Assumptions!$B$28*(MAX(IF(D973&lt;=0,0,MAX(0,(B973/D973)*H973/INDEX(Surface_Engine!$B$12:$B$72,$A973+1)-F973/INDEX(Surface_Engine!$B$12:$B$72,$A973+1))),IF(E973&lt;=0,0,MAX(0,(B973/E973)*I973/INDEX(Surface_Engine!$B$12:$B$72,$A973+1)-F973/INDEX(Surface_Engine!$B$12:$B$72,$A973+1))),IF($A973&lt;$Q$951,MAX(0,-Assumptions!$B$22*(F973/INDEX(Surface_Engine!$B$12:$B$72,$A973+1))),0)))*(MAX(0,J973/INDEX(Surface_Engine!$B$12:$B$72,$A973+1)-(F973/INDEX(Surface_Engine!$B$12:$B$72,$A973+1)))))</f>
        <v>5661.64224498797</v>
      </c>
      <c r="L973" s="48" t="n">
        <f aca="false">K973*INDEX(Surface_Engine!$B$12:$B$72,$A973+1)+L974</f>
        <v>19146.9102880188</v>
      </c>
      <c r="M973" s="48" t="n">
        <f aca="false">M972+B972*(IF($A972&lt;$Q$951,(Surface_Engine!Q244*12)-(Surface_Engine!Q244*12)*INDEX(Surface_Engine!$F$12:$F$72,$A972+1)-INDEX(Surface_Engine!$D$12:$D$72,$A972+1),-(1000*12*INDEX(Surface_Engine!$C$12:$C$72,$A972+1)/(1+Assumptions!$B$10)^22+INDEX(Surface_Engine!$D$12:$D$72,$A972+1))))*INDEX(Surface_Engine!$B$12:$B$72,$A972+1)</f>
        <v>14622.2519152725</v>
      </c>
      <c r="N973" s="12" t="n">
        <f aca="false">IF(B973&lt;=0,0,MAX(0,(K973+Assumptions!$B$29*L973/INDEX(Surface_Engine!$B$12:$B$72,$A973+1)-(M973/INDEX(Surface_Engine!$B$12:$B$72,$A973+1)-(F973/INDEX(Surface_Engine!$B$12:$B$72,$A973+1))))/B973))</f>
        <v>14697.5060529352</v>
      </c>
    </row>
    <row r="974" customFormat="false" ht="15" hidden="false" customHeight="true" outlineLevel="0" collapsed="false">
      <c r="A974" s="1" t="n">
        <v>21</v>
      </c>
      <c r="B974" s="32" t="n">
        <f aca="false">INDEX(Surface_Engine!$O$12:$O$72,$A974+1)*IF($A974&lt;$Q$951,INDEX(Surface_Engine!$E$12:$E$72,$A974+1),INDEX(Surface_Engine!$E$12:$E$72,$Q$951+1))</f>
        <v>0.420753473801369</v>
      </c>
      <c r="C974" s="32" t="n">
        <f aca="false">INDEX(Panel_Reserving!$E$8:$E$68,$A974+1)*IF($A974&lt;$Q$951,INDEX(Surface_Engine!$E$12:$E$72,$A974+1),INDEX(Surface_Engine!$E$12:$E$72,$Q$951+1))</f>
        <v>0.476955125118816</v>
      </c>
      <c r="D974" s="32" t="n">
        <f aca="false">INDEX(Surface_Engine!$O$12:$O$72,$A974+1)*IF($A974&lt;$Q$951,INDEX(Surface_Engine!$Y$12:$Y$72,$A974+1),INDEX(Surface_Engine!$Y$12:$Y$72,$Q$951+1))</f>
        <v>0.370770484583921</v>
      </c>
      <c r="E974" s="32" t="n">
        <f aca="false">INDEX(Surface_Engine!$O$12:$O$72,$A974+1)*IF($A974&lt;$Q$951,INDEX(Surface_Engine!$Z$12:$Z$72,$A974+1),INDEX(Surface_Engine!$Z$12:$Z$72,$Q$951+1))</f>
        <v>0.476976156931594</v>
      </c>
      <c r="F974" s="48" t="n">
        <f aca="false">B974*(IF($A974&lt;$Q$951,INDEX(Surface_Engine!$D$12:$D$72,$A974+1)+(Surface_Engine!Q244*12)*INDEX(Surface_Engine!$F$12:$F$72,$A974+1)-(Surface_Engine!Q244*12),1000*12*INDEX(Surface_Engine!$C$12:$C$72,$A974+1)/(1+Assumptions!$B$10)^22+INDEX(Surface_Engine!$D$12:$D$72,$A974+1)))*INDEX(Surface_Engine!$B$12:$B$72,$A974+1)+F975</f>
        <v>14376.2100571584</v>
      </c>
      <c r="G974" s="48" t="n">
        <f aca="false">C974*(IF($A974&lt;$Q$951,INDEX(Surface_Engine!$D$12:$D$72,$A974+1)+(Surface_Engine!Q244*12)*INDEX(Surface_Engine!$F$12:$F$72,$A974+1)-(Surface_Engine!Q244*12),1000*12*INDEX(Surface_Engine!$C$12:$C$72,$A974+1)/(1+Assumptions!$B$10)^22+INDEX(Surface_Engine!$D$12:$D$72,$A974+1)))*INDEX(Surface_Engine!$B$12:$B$72,$A974+1)+G975</f>
        <v>19371.1401845966</v>
      </c>
      <c r="H974" s="48" t="n">
        <f aca="false">D974*(IF($A974&lt;$Q$951,INDEX(Surface_Engine!$D$12:$D$72,$A974+1)+(Surface_Engine!Q244*12)*INDEX(Surface_Engine!$F$12:$F$72,$A974+1)-(Surface_Engine!Q244*12),1000*12*INDEX(Surface_Engine!$C$12:$C$72,$A974+1)/(1+Assumptions!$B$10)^22+INDEX(Surface_Engine!$D$12:$D$72,$A974+1)))*INDEX(Surface_Engine!$B$12:$B$72,$A974+1)+H975</f>
        <v>12609.0858094946</v>
      </c>
      <c r="I974" s="48" t="n">
        <f aca="false">E974*(IF($A974&lt;$Q$951,INDEX(Surface_Engine!$D$12:$D$72,$A974+1)+(Surface_Engine!Q244*12)*INDEX(Surface_Engine!$F$12:$F$72,$A974+1)-(Surface_Engine!Q244*12),1000*12*INDEX(Surface_Engine!$C$12:$C$72,$A974+1)/(1+Assumptions!$B$10)^22+INDEX(Surface_Engine!$D$12:$D$72,$A974+1)))*INDEX(Surface_Engine!$B$12:$B$72,$A974+1)+I975</f>
        <v>16373.5217905505</v>
      </c>
      <c r="J974" s="48" t="n">
        <f aca="false">B974*(IF($A974&lt;$Q$951,INDEX(Surface_Engine!$D$12:$D$72,$A974+1)*(1+Assumptions!$B$24)+(Surface_Engine!Q244*12)*INDEX(Surface_Engine!$F$12:$F$72,$A974+1)-(Surface_Engine!Q244*12),1000*12*INDEX(Surface_Engine!$C$12:$C$72,$A974+1)/(1+Assumptions!$B$10)^22+INDEX(Surface_Engine!$D$12:$D$72,$A974+1)*(1+Assumptions!$B$24)))*INDEX(Surface_Engine!$B$12:$B$72,$A974+1)+J975</f>
        <v>14396.6158225371</v>
      </c>
      <c r="K974" s="12" t="n">
        <f aca="false">SQRT((IF(C974&lt;=0,0,MAX(0,(B974/C974)*G974/INDEX(Surface_Engine!$B$12:$B$72,$A974+1)-F974/INDEX(Surface_Engine!$B$12:$B$72,$A974+1))))^2+(MAX(IF(D974&lt;=0,0,MAX(0,(B974/D974)*H974/INDEX(Surface_Engine!$B$12:$B$72,$A974+1)-F974/INDEX(Surface_Engine!$B$12:$B$72,$A974+1))),IF(E974&lt;=0,0,MAX(0,(B974/E974)*I974/INDEX(Surface_Engine!$B$12:$B$72,$A974+1)-F974/INDEX(Surface_Engine!$B$12:$B$72,$A974+1))),IF($A974&lt;$Q$951,MAX(0,-Assumptions!$B$22*(F974/INDEX(Surface_Engine!$B$12:$B$72,$A974+1))),0)))^2+(MAX(0,J974/INDEX(Surface_Engine!$B$12:$B$72,$A974+1)-(F974/INDEX(Surface_Engine!$B$12:$B$72,$A974+1))))^2+2*Assumptions!$B$26*(IF(C974&lt;=0,0,MAX(0,(B974/C974)*G974/INDEX(Surface_Engine!$B$12:$B$72,$A974+1)-F974/INDEX(Surface_Engine!$B$12:$B$72,$A974+1))))*(MAX(IF(D974&lt;=0,0,MAX(0,(B974/D974)*H974/INDEX(Surface_Engine!$B$12:$B$72,$A974+1)-F974/INDEX(Surface_Engine!$B$12:$B$72,$A974+1))),IF(E974&lt;=0,0,MAX(0,(B974/E974)*I974/INDEX(Surface_Engine!$B$12:$B$72,$A974+1)-F974/INDEX(Surface_Engine!$B$12:$B$72,$A974+1))),IF($A974&lt;$Q$951,MAX(0,-Assumptions!$B$22*(F974/INDEX(Surface_Engine!$B$12:$B$72,$A974+1))),0)))+2*Assumptions!$B$27*(IF(C974&lt;=0,0,MAX(0,(B974/C974)*G974/INDEX(Surface_Engine!$B$12:$B$72,$A974+1)-F974/INDEX(Surface_Engine!$B$12:$B$72,$A974+1))))*(MAX(0,J974/INDEX(Surface_Engine!$B$12:$B$72,$A974+1)-(F974/INDEX(Surface_Engine!$B$12:$B$72,$A974+1))))+2*Assumptions!$B$28*(MAX(IF(D974&lt;=0,0,MAX(0,(B974/D974)*H974/INDEX(Surface_Engine!$B$12:$B$72,$A974+1)-F974/INDEX(Surface_Engine!$B$12:$B$72,$A974+1))),IF(E974&lt;=0,0,MAX(0,(B974/E974)*I974/INDEX(Surface_Engine!$B$12:$B$72,$A974+1)-F974/INDEX(Surface_Engine!$B$12:$B$72,$A974+1))),IF($A974&lt;$Q$951,MAX(0,-Assumptions!$B$22*(F974/INDEX(Surface_Engine!$B$12:$B$72,$A974+1))),0)))*(MAX(0,J974/INDEX(Surface_Engine!$B$12:$B$72,$A974+1)-(F974/INDEX(Surface_Engine!$B$12:$B$72,$A974+1)))))</f>
        <v>5267.85667217708</v>
      </c>
      <c r="L974" s="48" t="n">
        <f aca="false">K974*INDEX(Surface_Engine!$B$12:$B$72,$A974+1)+L975</f>
        <v>16113.3124734207</v>
      </c>
      <c r="M974" s="48" t="n">
        <f aca="false">M973+B973*(IF($A973&lt;$Q$951,(Surface_Engine!Q244*12)-(Surface_Engine!Q244*12)*INDEX(Surface_Engine!$F$12:$F$72,$A973+1)-INDEX(Surface_Engine!$D$12:$D$72,$A973+1),-(1000*12*INDEX(Surface_Engine!$C$12:$C$72,$A973+1)/(1+Assumptions!$B$10)^22+INDEX(Surface_Engine!$D$12:$D$72,$A973+1))))*INDEX(Surface_Engine!$B$12:$B$72,$A973+1)</f>
        <v>14942.0979161242</v>
      </c>
      <c r="N974" s="12" t="n">
        <f aca="false">IF(B974&lt;=0,0,MAX(0,(K974+Assumptions!$B$29*L974/INDEX(Surface_Engine!$B$12:$B$72,$A974+1)-(M974/INDEX(Surface_Engine!$B$12:$B$72,$A974+1)-(F974/INDEX(Surface_Engine!$B$12:$B$72,$A974+1))))/B974))</f>
        <v>14355.0809301901</v>
      </c>
    </row>
    <row r="975" customFormat="false" ht="15" hidden="false" customHeight="true" outlineLevel="0" collapsed="false">
      <c r="A975" s="1" t="n">
        <v>22</v>
      </c>
      <c r="B975" s="32" t="n">
        <f aca="false">INDEX(Surface_Engine!$O$12:$O$72,$A975+1)*IF($A975&lt;$Q$951,INDEX(Surface_Engine!$E$12:$E$72,$A975+1),INDEX(Surface_Engine!$E$12:$E$72,$Q$951+1))</f>
        <v>0.381402203270913</v>
      </c>
      <c r="C975" s="32" t="n">
        <f aca="false">INDEX(Panel_Reserving!$E$8:$E$68,$A975+1)*IF($A975&lt;$Q$951,INDEX(Surface_Engine!$E$12:$E$72,$A975+1),INDEX(Surface_Engine!$E$12:$E$72,$Q$951+1))</f>
        <v>0.440401010555142</v>
      </c>
      <c r="D975" s="32" t="n">
        <f aca="false">INDEX(Surface_Engine!$O$12:$O$72,$A975+1)*IF($A975&lt;$Q$951,INDEX(Surface_Engine!$Y$12:$Y$72,$A975+1),INDEX(Surface_Engine!$Y$12:$Y$72,$Q$951+1))</f>
        <v>0.334550637930676</v>
      </c>
      <c r="E975" s="32" t="n">
        <f aca="false">INDEX(Surface_Engine!$O$12:$O$72,$A975+1)*IF($A975&lt;$Q$951,INDEX(Surface_Engine!$Z$12:$Z$72,$A975+1),INDEX(Surface_Engine!$Z$12:$Z$72,$Q$951+1))</f>
        <v>0.434351954285992</v>
      </c>
      <c r="F975" s="48" t="n">
        <f aca="false">B975*(IF($A975&lt;$Q$951,INDEX(Surface_Engine!$D$12:$D$72,$A975+1)+(Surface_Engine!Q244*12)*INDEX(Surface_Engine!$F$12:$F$72,$A975+1)-(Surface_Engine!Q244*12),1000*12*INDEX(Surface_Engine!$C$12:$C$72,$A975+1)/(1+Assumptions!$B$10)^22+INDEX(Surface_Engine!$D$12:$D$72,$A975+1)))*INDEX(Surface_Engine!$B$12:$B$72,$A975+1)+F976</f>
        <v>14659.4633935171</v>
      </c>
      <c r="G975" s="48" t="n">
        <f aca="false">C975*(IF($A975&lt;$Q$951,INDEX(Surface_Engine!$D$12:$D$72,$A975+1)+(Surface_Engine!Q244*12)*INDEX(Surface_Engine!$F$12:$F$72,$A975+1)-(Surface_Engine!Q244*12),1000*12*INDEX(Surface_Engine!$C$12:$C$72,$A975+1)/(1+Assumptions!$B$10)^22+INDEX(Surface_Engine!$D$12:$D$72,$A975+1)))*INDEX(Surface_Engine!$B$12:$B$72,$A975+1)+G976</f>
        <v>19692.2287528327</v>
      </c>
      <c r="H975" s="48" t="n">
        <f aca="false">D975*(IF($A975&lt;$Q$951,INDEX(Surface_Engine!$D$12:$D$72,$A975+1)+(Surface_Engine!Q244*12)*INDEX(Surface_Engine!$F$12:$F$72,$A975+1)-(Surface_Engine!Q244*12),1000*12*INDEX(Surface_Engine!$C$12:$C$72,$A975+1)/(1+Assumptions!$B$10)^22+INDEX(Surface_Engine!$D$12:$D$72,$A975+1)))*INDEX(Surface_Engine!$B$12:$B$72,$A975+1)+H976</f>
        <v>12858.6903483066</v>
      </c>
      <c r="I975" s="48" t="n">
        <f aca="false">E975*(IF($A975&lt;$Q$951,INDEX(Surface_Engine!$D$12:$D$72,$A975+1)+(Surface_Engine!Q244*12)*INDEX(Surface_Engine!$F$12:$F$72,$A975+1)-(Surface_Engine!Q244*12),1000*12*INDEX(Surface_Engine!$C$12:$C$72,$A975+1)/(1+Assumptions!$B$10)^22+INDEX(Surface_Engine!$D$12:$D$72,$A975+1)))*INDEX(Surface_Engine!$B$12:$B$72,$A975+1)+I976</f>
        <v>16694.6245175079</v>
      </c>
      <c r="J975" s="48" t="n">
        <f aca="false">B975*(IF($A975&lt;$Q$951,INDEX(Surface_Engine!$D$12:$D$72,$A975+1)*(1+Assumptions!$B$24)+(Surface_Engine!Q244*12)*INDEX(Surface_Engine!$F$12:$F$72,$A975+1)-(Surface_Engine!Q244*12),1000*12*INDEX(Surface_Engine!$C$12:$C$72,$A975+1)/(1+Assumptions!$B$10)^22+INDEX(Surface_Engine!$D$12:$D$72,$A975+1)*(1+Assumptions!$B$24)))*INDEX(Surface_Engine!$B$12:$B$72,$A975+1)+J976</f>
        <v>14676.8601692417</v>
      </c>
      <c r="K975" s="12" t="n">
        <f aca="false">SQRT((IF(C975&lt;=0,0,MAX(0,(B975/C975)*G975/INDEX(Surface_Engine!$B$12:$B$72,$A975+1)-F975/INDEX(Surface_Engine!$B$12:$B$72,$A975+1))))^2+(MAX(IF(D975&lt;=0,0,MAX(0,(B975/D975)*H975/INDEX(Surface_Engine!$B$12:$B$72,$A975+1)-F975/INDEX(Surface_Engine!$B$12:$B$72,$A975+1))),IF(E975&lt;=0,0,MAX(0,(B975/E975)*I975/INDEX(Surface_Engine!$B$12:$B$72,$A975+1)-F975/INDEX(Surface_Engine!$B$12:$B$72,$A975+1))),IF($A975&lt;$Q$951,MAX(0,-Assumptions!$B$22*(F975/INDEX(Surface_Engine!$B$12:$B$72,$A975+1))),0)))^2+(MAX(0,J975/INDEX(Surface_Engine!$B$12:$B$72,$A975+1)-(F975/INDEX(Surface_Engine!$B$12:$B$72,$A975+1))))^2+2*Assumptions!$B$26*(IF(C975&lt;=0,0,MAX(0,(B975/C975)*G975/INDEX(Surface_Engine!$B$12:$B$72,$A975+1)-F975/INDEX(Surface_Engine!$B$12:$B$72,$A975+1))))*(MAX(IF(D975&lt;=0,0,MAX(0,(B975/D975)*H975/INDEX(Surface_Engine!$B$12:$B$72,$A975+1)-F975/INDEX(Surface_Engine!$B$12:$B$72,$A975+1))),IF(E975&lt;=0,0,MAX(0,(B975/E975)*I975/INDEX(Surface_Engine!$B$12:$B$72,$A975+1)-F975/INDEX(Surface_Engine!$B$12:$B$72,$A975+1))),IF($A975&lt;$Q$951,MAX(0,-Assumptions!$B$22*(F975/INDEX(Surface_Engine!$B$12:$B$72,$A975+1))),0)))+2*Assumptions!$B$27*(IF(C975&lt;=0,0,MAX(0,(B975/C975)*G975/INDEX(Surface_Engine!$B$12:$B$72,$A975+1)-F975/INDEX(Surface_Engine!$B$12:$B$72,$A975+1))))*(MAX(0,J975/INDEX(Surface_Engine!$B$12:$B$72,$A975+1)-(F975/INDEX(Surface_Engine!$B$12:$B$72,$A975+1))))+2*Assumptions!$B$28*(MAX(IF(D975&lt;=0,0,MAX(0,(B975/D975)*H975/INDEX(Surface_Engine!$B$12:$B$72,$A975+1)-F975/INDEX(Surface_Engine!$B$12:$B$72,$A975+1))),IF(E975&lt;=0,0,MAX(0,(B975/E975)*I975/INDEX(Surface_Engine!$B$12:$B$72,$A975+1)-F975/INDEX(Surface_Engine!$B$12:$B$72,$A975+1))),IF($A975&lt;$Q$951,MAX(0,-Assumptions!$B$22*(F975/INDEX(Surface_Engine!$B$12:$B$72,$A975+1))),0)))*(MAX(0,J975/INDEX(Surface_Engine!$B$12:$B$72,$A975+1)-(F975/INDEX(Surface_Engine!$B$12:$B$72,$A975+1)))))</f>
        <v>4767.74774938794</v>
      </c>
      <c r="L975" s="48" t="n">
        <f aca="false">K975*INDEX(Surface_Engine!$B$12:$B$72,$A975+1)+L976</f>
        <v>13377.9687422579</v>
      </c>
      <c r="M975" s="48" t="n">
        <f aca="false">M974+B974*(IF($A974&lt;$Q$951,(Surface_Engine!Q244*12)-(Surface_Engine!Q244*12)*INDEX(Surface_Engine!$F$12:$F$72,$A974+1)-INDEX(Surface_Engine!$D$12:$D$72,$A974+1),-(1000*12*INDEX(Surface_Engine!$C$12:$C$72,$A974+1)/(1+Assumptions!$B$10)^22+INDEX(Surface_Engine!$D$12:$D$72,$A974+1))))*INDEX(Surface_Engine!$B$12:$B$72,$A974+1)</f>
        <v>15225.3512524829</v>
      </c>
      <c r="N975" s="12" t="n">
        <f aca="false">IF(B975&lt;=0,0,MAX(0,(K975+Assumptions!$B$29*L975/INDEX(Surface_Engine!$B$12:$B$72,$A975+1)-(M975/INDEX(Surface_Engine!$B$12:$B$72,$A975+1)-(F975/INDEX(Surface_Engine!$B$12:$B$72,$A975+1))))/B975))</f>
        <v>13734.3886205564</v>
      </c>
    </row>
    <row r="976" customFormat="false" ht="15" hidden="false" customHeight="true" outlineLevel="0" collapsed="false">
      <c r="A976" s="1" t="n">
        <v>23</v>
      </c>
      <c r="B976" s="32" t="n">
        <f aca="false">INDEX(Surface_Engine!$O$12:$O$72,$A976+1)*IF($A976&lt;$Q$951,INDEX(Surface_Engine!$E$12:$E$72,$A976+1),INDEX(Surface_Engine!$E$12:$E$72,$Q$951+1))</f>
        <v>0.34354763781522</v>
      </c>
      <c r="C976" s="32" t="n">
        <f aca="false">INDEX(Panel_Reserving!$E$8:$E$68,$A976+1)*IF($A976&lt;$Q$951,INDEX(Surface_Engine!$E$12:$E$72,$A976+1),INDEX(Surface_Engine!$E$12:$E$72,$Q$951+1))</f>
        <v>0.40543280379002</v>
      </c>
      <c r="D976" s="32" t="n">
        <f aca="false">INDEX(Surface_Engine!$O$12:$O$72,$A976+1)*IF($A976&lt;$Q$951,INDEX(Surface_Engine!$Y$12:$Y$72,$A976+1),INDEX(Surface_Engine!$Y$12:$Y$72,$Q$951+1))</f>
        <v>0.30134613907571</v>
      </c>
      <c r="E976" s="32" t="n">
        <f aca="false">INDEX(Surface_Engine!$O$12:$O$72,$A976+1)*IF($A976&lt;$Q$951,INDEX(Surface_Engine!$Z$12:$Z$72,$A976+1),INDEX(Surface_Engine!$Z$12:$Z$72,$Q$951+1))</f>
        <v>0.391242070957268</v>
      </c>
      <c r="F976" s="48" t="n">
        <f aca="false">B976*(IF($A976&lt;$Q$951,INDEX(Surface_Engine!$D$12:$D$72,$A976+1)+(Surface_Engine!Q244*12)*INDEX(Surface_Engine!$F$12:$F$72,$A976+1)-(Surface_Engine!Q244*12),1000*12*INDEX(Surface_Engine!$C$12:$C$72,$A976+1)/(1+Assumptions!$B$10)^22+INDEX(Surface_Engine!$D$12:$D$72,$A976+1)))*INDEX(Surface_Engine!$B$12:$B$72,$A976+1)+F977</f>
        <v>12329.357726386</v>
      </c>
      <c r="G976" s="48" t="n">
        <f aca="false">C976*(IF($A976&lt;$Q$951,INDEX(Surface_Engine!$D$12:$D$72,$A976+1)+(Surface_Engine!Q244*12)*INDEX(Surface_Engine!$F$12:$F$72,$A976+1)-(Surface_Engine!Q244*12),1000*12*INDEX(Surface_Engine!$C$12:$C$72,$A976+1)/(1+Assumptions!$B$10)^22+INDEX(Surface_Engine!$D$12:$D$72,$A976+1)))*INDEX(Surface_Engine!$B$12:$B$72,$A976+1)+G977</f>
        <v>17001.6808700354</v>
      </c>
      <c r="H976" s="48" t="n">
        <f aca="false">D976*(IF($A976&lt;$Q$951,INDEX(Surface_Engine!$D$12:$D$72,$A976+1)+(Surface_Engine!Q244*12)*INDEX(Surface_Engine!$F$12:$F$72,$A976+1)-(Surface_Engine!Q244*12),1000*12*INDEX(Surface_Engine!$C$12:$C$72,$A976+1)/(1+Assumptions!$B$10)^22+INDEX(Surface_Engine!$D$12:$D$72,$A976+1)))*INDEX(Surface_Engine!$B$12:$B$72,$A976+1)+H977</f>
        <v>10814.815586443</v>
      </c>
      <c r="I976" s="48" t="n">
        <f aca="false">E976*(IF($A976&lt;$Q$951,INDEX(Surface_Engine!$D$12:$D$72,$A976+1)+(Surface_Engine!Q244*12)*INDEX(Surface_Engine!$F$12:$F$72,$A976+1)-(Surface_Engine!Q244*12),1000*12*INDEX(Surface_Engine!$C$12:$C$72,$A976+1)/(1+Assumptions!$B$10)^22+INDEX(Surface_Engine!$D$12:$D$72,$A976+1)))*INDEX(Surface_Engine!$B$12:$B$72,$A976+1)+I977</f>
        <v>14041.0322164368</v>
      </c>
      <c r="J976" s="48" t="n">
        <f aca="false">B976*(IF($A976&lt;$Q$951,INDEX(Surface_Engine!$D$12:$D$72,$A976+1)*(1+Assumptions!$B$24)+(Surface_Engine!Q244*12)*INDEX(Surface_Engine!$F$12:$F$72,$A976+1)-(Surface_Engine!Q244*12),1000*12*INDEX(Surface_Engine!$C$12:$C$72,$A976+1)/(1+Assumptions!$B$10)^22+INDEX(Surface_Engine!$D$12:$D$72,$A976+1)*(1+Assumptions!$B$24)))*INDEX(Surface_Engine!$B$12:$B$72,$A976+1)+J977</f>
        <v>12344.045221381</v>
      </c>
      <c r="K976" s="12" t="n">
        <f aca="false">SQRT((IF(C976&lt;=0,0,MAX(0,(B976/C976)*G976/INDEX(Surface_Engine!$B$12:$B$72,$A976+1)-F976/INDEX(Surface_Engine!$B$12:$B$72,$A976+1))))^2+(MAX(IF(D976&lt;=0,0,MAX(0,(B976/D976)*H976/INDEX(Surface_Engine!$B$12:$B$72,$A976+1)-F976/INDEX(Surface_Engine!$B$12:$B$72,$A976+1))),IF(E976&lt;=0,0,MAX(0,(B976/E976)*I976/INDEX(Surface_Engine!$B$12:$B$72,$A976+1)-F976/INDEX(Surface_Engine!$B$12:$B$72,$A976+1))),IF($A976&lt;$Q$951,MAX(0,-Assumptions!$B$22*(F976/INDEX(Surface_Engine!$B$12:$B$72,$A976+1))),0)))^2+(MAX(0,J976/INDEX(Surface_Engine!$B$12:$B$72,$A976+1)-(F976/INDEX(Surface_Engine!$B$12:$B$72,$A976+1))))^2+2*Assumptions!$B$26*(IF(C976&lt;=0,0,MAX(0,(B976/C976)*G976/INDEX(Surface_Engine!$B$12:$B$72,$A976+1)-F976/INDEX(Surface_Engine!$B$12:$B$72,$A976+1))))*(MAX(IF(D976&lt;=0,0,MAX(0,(B976/D976)*H976/INDEX(Surface_Engine!$B$12:$B$72,$A976+1)-F976/INDEX(Surface_Engine!$B$12:$B$72,$A976+1))),IF(E976&lt;=0,0,MAX(0,(B976/E976)*I976/INDEX(Surface_Engine!$B$12:$B$72,$A976+1)-F976/INDEX(Surface_Engine!$B$12:$B$72,$A976+1))),IF($A976&lt;$Q$951,MAX(0,-Assumptions!$B$22*(F976/INDEX(Surface_Engine!$B$12:$B$72,$A976+1))),0)))+2*Assumptions!$B$27*(IF(C976&lt;=0,0,MAX(0,(B976/C976)*G976/INDEX(Surface_Engine!$B$12:$B$72,$A976+1)-F976/INDEX(Surface_Engine!$B$12:$B$72,$A976+1))))*(MAX(0,J976/INDEX(Surface_Engine!$B$12:$B$72,$A976+1)-(F976/INDEX(Surface_Engine!$B$12:$B$72,$A976+1))))+2*Assumptions!$B$28*(MAX(IF(D976&lt;=0,0,MAX(0,(B976/D976)*H976/INDEX(Surface_Engine!$B$12:$B$72,$A976+1)-F976/INDEX(Surface_Engine!$B$12:$B$72,$A976+1))),IF(E976&lt;=0,0,MAX(0,(B976/E976)*I976/INDEX(Surface_Engine!$B$12:$B$72,$A976+1)-F976/INDEX(Surface_Engine!$B$12:$B$72,$A976+1))),IF($A976&lt;$Q$951,MAX(0,-Assumptions!$B$22*(F976/INDEX(Surface_Engine!$B$12:$B$72,$A976+1))),0)))*(MAX(0,J976/INDEX(Surface_Engine!$B$12:$B$72,$A976+1)-(F976/INDEX(Surface_Engine!$B$12:$B$72,$A976+1)))))</f>
        <v>4267.52494833744</v>
      </c>
      <c r="L976" s="48" t="n">
        <f aca="false">K976*INDEX(Surface_Engine!$B$12:$B$72,$A976+1)+L977</f>
        <v>10978.8862065685</v>
      </c>
      <c r="M976" s="48" t="n">
        <f aca="false">M975+B975*(IF($A975&lt;$Q$951,(Surface_Engine!Q244*12)-(Surface_Engine!Q244*12)*INDEX(Surface_Engine!$F$12:$F$72,$A975+1)-INDEX(Surface_Engine!$D$12:$D$72,$A975+1),-(1000*12*INDEX(Surface_Engine!$C$12:$C$72,$A975+1)/(1+Assumptions!$B$10)^22+INDEX(Surface_Engine!$D$12:$D$72,$A975+1))))*INDEX(Surface_Engine!$B$12:$B$72,$A975+1)</f>
        <v>12895.2455853518</v>
      </c>
      <c r="N976" s="12" t="n">
        <f aca="false">IF(B976&lt;=0,0,MAX(0,(K976+Assumptions!$B$29*L976/INDEX(Surface_Engine!$B$12:$B$72,$A976+1)-(M976/INDEX(Surface_Engine!$B$12:$B$72,$A976+1)-(F976/INDEX(Surface_Engine!$B$12:$B$72,$A976+1))))/B976))</f>
        <v>12976.1677519542</v>
      </c>
    </row>
    <row r="977" customFormat="false" ht="15" hidden="false" customHeight="true" outlineLevel="0" collapsed="false">
      <c r="A977" s="1" t="n">
        <v>24</v>
      </c>
      <c r="B977" s="32" t="n">
        <f aca="false">INDEX(Surface_Engine!$O$12:$O$72,$A977+1)*IF($A977&lt;$Q$951,INDEX(Surface_Engine!$E$12:$E$72,$A977+1),INDEX(Surface_Engine!$E$12:$E$72,$Q$951+1))</f>
        <v>0.305188194620357</v>
      </c>
      <c r="C977" s="32" t="n">
        <f aca="false">INDEX(Panel_Reserving!$E$8:$E$68,$A977+1)*IF($A977&lt;$Q$951,INDEX(Surface_Engine!$E$12:$E$72,$A977+1),INDEX(Surface_Engine!$E$12:$E$72,$Q$951+1))</f>
        <v>0.369217327636039</v>
      </c>
      <c r="D977" s="32" t="n">
        <f aca="false">INDEX(Surface_Engine!$O$12:$O$72,$A977+1)*IF($A977&lt;$Q$951,INDEX(Surface_Engine!$Y$12:$Y$72,$A977+1),INDEX(Surface_Engine!$Y$12:$Y$72,$Q$951+1))</f>
        <v>0.267698781820169</v>
      </c>
      <c r="E977" s="32" t="n">
        <f aca="false">INDEX(Surface_Engine!$O$12:$O$72,$A977+1)*IF($A977&lt;$Q$951,INDEX(Surface_Engine!$Z$12:$Z$72,$A977+1),INDEX(Surface_Engine!$Z$12:$Z$72,$Q$951+1))</f>
        <v>0.347557218132293</v>
      </c>
      <c r="F977" s="48" t="n">
        <f aca="false">B977*(IF($A977&lt;$Q$951,INDEX(Surface_Engine!$D$12:$D$72,$A977+1)+(Surface_Engine!Q244*12)*INDEX(Surface_Engine!$F$12:$F$72,$A977+1)-(Surface_Engine!Q244*12),1000*12*INDEX(Surface_Engine!$C$12:$C$72,$A977+1)/(1+Assumptions!$B$10)^22+INDEX(Surface_Engine!$D$12:$D$72,$A977+1)))*INDEX(Surface_Engine!$B$12:$B$72,$A977+1)+F978</f>
        <v>10254.6837832003</v>
      </c>
      <c r="G977" s="48" t="n">
        <f aca="false">C977*(IF($A977&lt;$Q$951,INDEX(Surface_Engine!$D$12:$D$72,$A977+1)+(Surface_Engine!Q244*12)*INDEX(Surface_Engine!$F$12:$F$72,$A977+1)-(Surface_Engine!Q244*12),1000*12*INDEX(Surface_Engine!$C$12:$C$72,$A977+1)/(1+Assumptions!$B$10)^22+INDEX(Surface_Engine!$D$12:$D$72,$A977+1)))*INDEX(Surface_Engine!$B$12:$B$72,$A977+1)+G978</f>
        <v>14553.2842544012</v>
      </c>
      <c r="H977" s="48" t="n">
        <f aca="false">D977*(IF($A977&lt;$Q$951,INDEX(Surface_Engine!$D$12:$D$72,$A977+1)+(Surface_Engine!Q244*12)*INDEX(Surface_Engine!$F$12:$F$72,$A977+1)-(Surface_Engine!Q244*12),1000*12*INDEX(Surface_Engine!$C$12:$C$72,$A977+1)/(1+Assumptions!$B$10)^22+INDEX(Surface_Engine!$D$12:$D$72,$A977+1)))*INDEX(Surface_Engine!$B$12:$B$72,$A977+1)+H978</f>
        <v>8994.99523606619</v>
      </c>
      <c r="I977" s="48" t="n">
        <f aca="false">E977*(IF($A977&lt;$Q$951,INDEX(Surface_Engine!$D$12:$D$72,$A977+1)+(Surface_Engine!Q244*12)*INDEX(Surface_Engine!$F$12:$F$72,$A977+1)-(Surface_Engine!Q244*12),1000*12*INDEX(Surface_Engine!$C$12:$C$72,$A977+1)/(1+Assumptions!$B$10)^22+INDEX(Surface_Engine!$D$12:$D$72,$A977+1)))*INDEX(Surface_Engine!$B$12:$B$72,$A977+1)+I978</f>
        <v>11678.3330133363</v>
      </c>
      <c r="J977" s="48" t="n">
        <f aca="false">B977*(IF($A977&lt;$Q$951,INDEX(Surface_Engine!$D$12:$D$72,$A977+1)*(1+Assumptions!$B$24)+(Surface_Engine!Q244*12)*INDEX(Surface_Engine!$F$12:$F$72,$A977+1)-(Surface_Engine!Q244*12),1000*12*INDEX(Surface_Engine!$C$12:$C$72,$A977+1)/(1+Assumptions!$B$10)^22+INDEX(Surface_Engine!$D$12:$D$72,$A977+1)*(1+Assumptions!$B$24)))*INDEX(Surface_Engine!$B$12:$B$72,$A977+1)+J978</f>
        <v>10266.947308503</v>
      </c>
      <c r="K977" s="12" t="n">
        <f aca="false">SQRT((IF(C977&lt;=0,0,MAX(0,(B977/C977)*G977/INDEX(Surface_Engine!$B$12:$B$72,$A977+1)-F977/INDEX(Surface_Engine!$B$12:$B$72,$A977+1))))^2+(MAX(IF(D977&lt;=0,0,MAX(0,(B977/D977)*H977/INDEX(Surface_Engine!$B$12:$B$72,$A977+1)-F977/INDEX(Surface_Engine!$B$12:$B$72,$A977+1))),IF(E977&lt;=0,0,MAX(0,(B977/E977)*I977/INDEX(Surface_Engine!$B$12:$B$72,$A977+1)-F977/INDEX(Surface_Engine!$B$12:$B$72,$A977+1))),IF($A977&lt;$Q$951,MAX(0,-Assumptions!$B$22*(F977/INDEX(Surface_Engine!$B$12:$B$72,$A977+1))),0)))^2+(MAX(0,J977/INDEX(Surface_Engine!$B$12:$B$72,$A977+1)-(F977/INDEX(Surface_Engine!$B$12:$B$72,$A977+1))))^2+2*Assumptions!$B$26*(IF(C977&lt;=0,0,MAX(0,(B977/C977)*G977/INDEX(Surface_Engine!$B$12:$B$72,$A977+1)-F977/INDEX(Surface_Engine!$B$12:$B$72,$A977+1))))*(MAX(IF(D977&lt;=0,0,MAX(0,(B977/D977)*H977/INDEX(Surface_Engine!$B$12:$B$72,$A977+1)-F977/INDEX(Surface_Engine!$B$12:$B$72,$A977+1))),IF(E977&lt;=0,0,MAX(0,(B977/E977)*I977/INDEX(Surface_Engine!$B$12:$B$72,$A977+1)-F977/INDEX(Surface_Engine!$B$12:$B$72,$A977+1))),IF($A977&lt;$Q$951,MAX(0,-Assumptions!$B$22*(F977/INDEX(Surface_Engine!$B$12:$B$72,$A977+1))),0)))+2*Assumptions!$B$27*(IF(C977&lt;=0,0,MAX(0,(B977/C977)*G977/INDEX(Surface_Engine!$B$12:$B$72,$A977+1)-F977/INDEX(Surface_Engine!$B$12:$B$72,$A977+1))))*(MAX(0,J977/INDEX(Surface_Engine!$B$12:$B$72,$A977+1)-(F977/INDEX(Surface_Engine!$B$12:$B$72,$A977+1))))+2*Assumptions!$B$28*(MAX(IF(D977&lt;=0,0,MAX(0,(B977/D977)*H977/INDEX(Surface_Engine!$B$12:$B$72,$A977+1)-F977/INDEX(Surface_Engine!$B$12:$B$72,$A977+1))),IF(E977&lt;=0,0,MAX(0,(B977/E977)*I977/INDEX(Surface_Engine!$B$12:$B$72,$A977+1)-F977/INDEX(Surface_Engine!$B$12:$B$72,$A977+1))),IF($A977&lt;$Q$951,MAX(0,-Assumptions!$B$22*(F977/INDEX(Surface_Engine!$B$12:$B$72,$A977+1))),0)))*(MAX(0,J977/INDEX(Surface_Engine!$B$12:$B$72,$A977+1)-(F977/INDEX(Surface_Engine!$B$12:$B$72,$A977+1)))))</f>
        <v>3763.50875545543</v>
      </c>
      <c r="L977" s="48" t="n">
        <f aca="false">K977*INDEX(Surface_Engine!$B$12:$B$72,$A977+1)+L978</f>
        <v>8897.97508667449</v>
      </c>
      <c r="M977" s="48" t="n">
        <f aca="false">M976+B976*(IF($A976&lt;$Q$951,(Surface_Engine!Q244*12)-(Surface_Engine!Q244*12)*INDEX(Surface_Engine!$F$12:$F$72,$A976+1)-INDEX(Surface_Engine!$D$12:$D$72,$A976+1),-(1000*12*INDEX(Surface_Engine!$C$12:$C$72,$A976+1)/(1+Assumptions!$B$10)^22+INDEX(Surface_Engine!$D$12:$D$72,$A976+1))))*INDEX(Surface_Engine!$B$12:$B$72,$A976+1)</f>
        <v>10820.5716421661</v>
      </c>
      <c r="N977" s="12" t="n">
        <f aca="false">IF(B977&lt;=0,0,MAX(0,(K977+Assumptions!$B$29*L977/INDEX(Surface_Engine!$B$12:$B$72,$A977+1)-(M977/INDEX(Surface_Engine!$B$12:$B$72,$A977+1)-(F977/INDEX(Surface_Engine!$B$12:$B$72,$A977+1))))/B977))</f>
        <v>12109.7420842812</v>
      </c>
    </row>
    <row r="978" customFormat="false" ht="15" hidden="false" customHeight="true" outlineLevel="0" collapsed="false">
      <c r="A978" s="1" t="n">
        <v>25</v>
      </c>
      <c r="B978" s="32" t="n">
        <f aca="false">INDEX(Surface_Engine!$O$12:$O$72,$A978+1)*IF($A978&lt;$Q$951,INDEX(Surface_Engine!$E$12:$E$72,$A978+1),INDEX(Surface_Engine!$E$12:$E$72,$Q$951+1))</f>
        <v>0.267271892308066</v>
      </c>
      <c r="C978" s="32" t="n">
        <f aca="false">INDEX(Panel_Reserving!$E$8:$E$68,$A978+1)*IF($A978&lt;$Q$951,INDEX(Surface_Engine!$E$12:$E$72,$A978+1),INDEX(Surface_Engine!$E$12:$E$72,$Q$951+1))</f>
        <v>0.332520349023222</v>
      </c>
      <c r="D978" s="32" t="n">
        <f aca="false">INDEX(Surface_Engine!$O$12:$O$72,$A978+1)*IF($A978&lt;$Q$951,INDEX(Surface_Engine!$Y$12:$Y$72,$A978+1),INDEX(Surface_Engine!$Y$12:$Y$72,$Q$951+1))</f>
        <v>0.234440129883282</v>
      </c>
      <c r="E978" s="32" t="n">
        <f aca="false">INDEX(Surface_Engine!$O$12:$O$72,$A978+1)*IF($A978&lt;$Q$951,INDEX(Surface_Engine!$Z$12:$Z$72,$A978+1),INDEX(Surface_Engine!$Z$12:$Z$72,$Q$951+1))</f>
        <v>0.30437702707046</v>
      </c>
      <c r="F978" s="48" t="n">
        <f aca="false">B978*(IF($A978&lt;$Q$951,INDEX(Surface_Engine!$D$12:$D$72,$A978+1)+(Surface_Engine!Q244*12)*INDEX(Surface_Engine!$F$12:$F$72,$A978+1)-(Surface_Engine!Q244*12),1000*12*INDEX(Surface_Engine!$C$12:$C$72,$A978+1)/(1+Assumptions!$B$10)^22+INDEX(Surface_Engine!$D$12:$D$72,$A978+1)))*INDEX(Surface_Engine!$B$12:$B$72,$A978+1)+F979</f>
        <v>8433.34070203095</v>
      </c>
      <c r="G978" s="48" t="n">
        <f aca="false">C978*(IF($A978&lt;$Q$951,INDEX(Surface_Engine!$D$12:$D$72,$A978+1)+(Surface_Engine!Q244*12)*INDEX(Surface_Engine!$F$12:$F$72,$A978+1)-(Surface_Engine!Q244*12),1000*12*INDEX(Surface_Engine!$C$12:$C$72,$A978+1)/(1+Assumptions!$B$10)^22+INDEX(Surface_Engine!$D$12:$D$72,$A978+1)))*INDEX(Surface_Engine!$B$12:$B$72,$A978+1)+G979</f>
        <v>12349.8195169324</v>
      </c>
      <c r="H978" s="48" t="n">
        <f aca="false">D978*(IF($A978&lt;$Q$951,INDEX(Surface_Engine!$D$12:$D$72,$A978+1)+(Surface_Engine!Q244*12)*INDEX(Surface_Engine!$F$12:$F$72,$A978+1)-(Surface_Engine!Q244*12),1000*12*INDEX(Surface_Engine!$C$12:$C$72,$A978+1)/(1+Assumptions!$B$10)^22+INDEX(Surface_Engine!$D$12:$D$72,$A978+1)))*INDEX(Surface_Engine!$B$12:$B$72,$A978+1)+H979</f>
        <v>7397.38650578047</v>
      </c>
      <c r="I978" s="48" t="n">
        <f aca="false">E978*(IF($A978&lt;$Q$951,INDEX(Surface_Engine!$D$12:$D$72,$A978+1)+(Surface_Engine!Q244*12)*INDEX(Surface_Engine!$F$12:$F$72,$A978+1)-(Surface_Engine!Q244*12),1000*12*INDEX(Surface_Engine!$C$12:$C$72,$A978+1)/(1+Assumptions!$B$10)^22+INDEX(Surface_Engine!$D$12:$D$72,$A978+1)))*INDEX(Surface_Engine!$B$12:$B$72,$A978+1)+I979</f>
        <v>9604.13438536132</v>
      </c>
      <c r="J978" s="48" t="n">
        <f aca="false">B978*(IF($A978&lt;$Q$951,INDEX(Surface_Engine!$D$12:$D$72,$A978+1)*(1+Assumptions!$B$24)+(Surface_Engine!Q244*12)*INDEX(Surface_Engine!$F$12:$F$72,$A978+1)-(Surface_Engine!Q244*12),1000*12*INDEX(Surface_Engine!$C$12:$C$72,$A978+1)/(1+Assumptions!$B$10)^22+INDEX(Surface_Engine!$D$12:$D$72,$A978+1)*(1+Assumptions!$B$24)))*INDEX(Surface_Engine!$B$12:$B$72,$A978+1)+J979</f>
        <v>8443.46593088643</v>
      </c>
      <c r="K978" s="12" t="n">
        <f aca="false">SQRT((IF(C978&lt;=0,0,MAX(0,(B978/C978)*G978/INDEX(Surface_Engine!$B$12:$B$72,$A978+1)-F978/INDEX(Surface_Engine!$B$12:$B$72,$A978+1))))^2+(MAX(IF(D978&lt;=0,0,MAX(0,(B978/D978)*H978/INDEX(Surface_Engine!$B$12:$B$72,$A978+1)-F978/INDEX(Surface_Engine!$B$12:$B$72,$A978+1))),IF(E978&lt;=0,0,MAX(0,(B978/E978)*I978/INDEX(Surface_Engine!$B$12:$B$72,$A978+1)-F978/INDEX(Surface_Engine!$B$12:$B$72,$A978+1))),IF($A978&lt;$Q$951,MAX(0,-Assumptions!$B$22*(F978/INDEX(Surface_Engine!$B$12:$B$72,$A978+1))),0)))^2+(MAX(0,J978/INDEX(Surface_Engine!$B$12:$B$72,$A978+1)-(F978/INDEX(Surface_Engine!$B$12:$B$72,$A978+1))))^2+2*Assumptions!$B$26*(IF(C978&lt;=0,0,MAX(0,(B978/C978)*G978/INDEX(Surface_Engine!$B$12:$B$72,$A978+1)-F978/INDEX(Surface_Engine!$B$12:$B$72,$A978+1))))*(MAX(IF(D978&lt;=0,0,MAX(0,(B978/D978)*H978/INDEX(Surface_Engine!$B$12:$B$72,$A978+1)-F978/INDEX(Surface_Engine!$B$12:$B$72,$A978+1))),IF(E978&lt;=0,0,MAX(0,(B978/E978)*I978/INDEX(Surface_Engine!$B$12:$B$72,$A978+1)-F978/INDEX(Surface_Engine!$B$12:$B$72,$A978+1))),IF($A978&lt;$Q$951,MAX(0,-Assumptions!$B$22*(F978/INDEX(Surface_Engine!$B$12:$B$72,$A978+1))),0)))+2*Assumptions!$B$27*(IF(C978&lt;=0,0,MAX(0,(B978/C978)*G978/INDEX(Surface_Engine!$B$12:$B$72,$A978+1)-F978/INDEX(Surface_Engine!$B$12:$B$72,$A978+1))))*(MAX(0,J978/INDEX(Surface_Engine!$B$12:$B$72,$A978+1)-(F978/INDEX(Surface_Engine!$B$12:$B$72,$A978+1))))+2*Assumptions!$B$28*(MAX(IF(D978&lt;=0,0,MAX(0,(B978/D978)*H978/INDEX(Surface_Engine!$B$12:$B$72,$A978+1)-F978/INDEX(Surface_Engine!$B$12:$B$72,$A978+1))),IF(E978&lt;=0,0,MAX(0,(B978/E978)*I978/INDEX(Surface_Engine!$B$12:$B$72,$A978+1)-F978/INDEX(Surface_Engine!$B$12:$B$72,$A978+1))),IF($A978&lt;$Q$951,MAX(0,-Assumptions!$B$22*(F978/INDEX(Surface_Engine!$B$12:$B$72,$A978+1))),0)))*(MAX(0,J978/INDEX(Surface_Engine!$B$12:$B$72,$A978+1)-(F978/INDEX(Surface_Engine!$B$12:$B$72,$A978+1)))))</f>
        <v>3267.45698650149</v>
      </c>
      <c r="L978" s="48" t="n">
        <f aca="false">K978*INDEX(Surface_Engine!$B$12:$B$72,$A978+1)+L979</f>
        <v>7120.07851203322</v>
      </c>
      <c r="M978" s="48" t="n">
        <f aca="false">M977+B977*(IF($A977&lt;$Q$951,(Surface_Engine!Q244*12)-(Surface_Engine!Q244*12)*INDEX(Surface_Engine!$F$12:$F$72,$A977+1)-INDEX(Surface_Engine!$D$12:$D$72,$A977+1),-(1000*12*INDEX(Surface_Engine!$C$12:$C$72,$A977+1)/(1+Assumptions!$B$10)^22+INDEX(Surface_Engine!$D$12:$D$72,$A977+1))))*INDEX(Surface_Engine!$B$12:$B$72,$A977+1)</f>
        <v>8999.22856099673</v>
      </c>
      <c r="N978" s="12" t="n">
        <f aca="false">IF(B978&lt;=0,0,MAX(0,(K978+Assumptions!$B$29*L978/INDEX(Surface_Engine!$B$12:$B$72,$A978+1)-(M978/INDEX(Surface_Engine!$B$12:$B$72,$A978+1)-(F978/INDEX(Surface_Engine!$B$12:$B$72,$A978+1))))/B978))</f>
        <v>11091.6891584622</v>
      </c>
    </row>
    <row r="979" customFormat="false" ht="15" hidden="false" customHeight="true" outlineLevel="0" collapsed="false">
      <c r="A979" s="1" t="n">
        <v>26</v>
      </c>
      <c r="B979" s="32" t="n">
        <f aca="false">INDEX(Surface_Engine!$O$12:$O$72,$A979+1)*IF($A979&lt;$Q$951,INDEX(Surface_Engine!$E$12:$E$72,$A979+1),INDEX(Surface_Engine!$E$12:$E$72,$Q$951+1))</f>
        <v>0.230898068092062</v>
      </c>
      <c r="C979" s="32" t="n">
        <f aca="false">INDEX(Panel_Reserving!$E$8:$E$68,$A979+1)*IF($A979&lt;$Q$951,INDEX(Surface_Engine!$E$12:$E$72,$A979+1),INDEX(Surface_Engine!$E$12:$E$72,$Q$951+1))</f>
        <v>0.296317404915133</v>
      </c>
      <c r="D979" s="32" t="n">
        <f aca="false">INDEX(Surface_Engine!$O$12:$O$72,$A979+1)*IF($A979&lt;$Q$951,INDEX(Surface_Engine!$Y$12:$Y$72,$A979+1),INDEX(Surface_Engine!$Y$12:$Y$72,$Q$951+1))</f>
        <v>0.202534477553322</v>
      </c>
      <c r="E979" s="32" t="n">
        <f aca="false">INDEX(Surface_Engine!$O$12:$O$72,$A979+1)*IF($A979&lt;$Q$951,INDEX(Surface_Engine!$Z$12:$Z$72,$A979+1),INDEX(Surface_Engine!$Z$12:$Z$72,$Q$951+1))</f>
        <v>0.262953455057547</v>
      </c>
      <c r="F979" s="48" t="n">
        <f aca="false">B979*(IF($A979&lt;$Q$951,INDEX(Surface_Engine!$D$12:$D$72,$A979+1)+(Surface_Engine!Q244*12)*INDEX(Surface_Engine!$F$12:$F$72,$A979+1)-(Surface_Engine!Q244*12),1000*12*INDEX(Surface_Engine!$C$12:$C$72,$A979+1)/(1+Assumptions!$B$10)^22+INDEX(Surface_Engine!$D$12:$D$72,$A979+1)))*INDEX(Surface_Engine!$B$12:$B$72,$A979+1)+F980</f>
        <v>6856.72088075995</v>
      </c>
      <c r="G979" s="48" t="n">
        <f aca="false">C979*(IF($A979&lt;$Q$951,INDEX(Surface_Engine!$D$12:$D$72,$A979+1)+(Surface_Engine!Q244*12)*INDEX(Surface_Engine!$F$12:$F$72,$A979+1)-(Surface_Engine!Q244*12),1000*12*INDEX(Surface_Engine!$C$12:$C$72,$A979+1)/(1+Assumptions!$B$10)^22+INDEX(Surface_Engine!$D$12:$D$72,$A979+1)))*INDEX(Surface_Engine!$B$12:$B$72,$A979+1)+G980</f>
        <v>10388.3032171126</v>
      </c>
      <c r="H979" s="48" t="n">
        <f aca="false">D979*(IF($A979&lt;$Q$951,INDEX(Surface_Engine!$D$12:$D$72,$A979+1)+(Surface_Engine!Q244*12)*INDEX(Surface_Engine!$F$12:$F$72,$A979+1)-(Surface_Engine!Q244*12),1000*12*INDEX(Surface_Engine!$C$12:$C$72,$A979+1)/(1+Assumptions!$B$10)^22+INDEX(Surface_Engine!$D$12:$D$72,$A979+1)))*INDEX(Surface_Engine!$B$12:$B$72,$A979+1)+H980</f>
        <v>6014.43915399052</v>
      </c>
      <c r="I979" s="48" t="n">
        <f aca="false">E979*(IF($A979&lt;$Q$951,INDEX(Surface_Engine!$D$12:$D$72,$A979+1)+(Surface_Engine!Q244*12)*INDEX(Surface_Engine!$F$12:$F$72,$A979+1)-(Surface_Engine!Q244*12),1000*12*INDEX(Surface_Engine!$C$12:$C$72,$A979+1)/(1+Assumptions!$B$10)^22+INDEX(Surface_Engine!$D$12:$D$72,$A979+1)))*INDEX(Surface_Engine!$B$12:$B$72,$A979+1)+I980</f>
        <v>7808.63374414277</v>
      </c>
      <c r="J979" s="48" t="n">
        <f aca="false">B979*(IF($A979&lt;$Q$951,INDEX(Surface_Engine!$D$12:$D$72,$A979+1)*(1+Assumptions!$B$24)+(Surface_Engine!Q244*12)*INDEX(Surface_Engine!$F$12:$F$72,$A979+1)-(Surface_Engine!Q244*12),1000*12*INDEX(Surface_Engine!$C$12:$C$72,$A979+1)/(1+Assumptions!$B$10)^22+INDEX(Surface_Engine!$D$12:$D$72,$A979+1)*(1+Assumptions!$B$24)))*INDEX(Surface_Engine!$B$12:$B$72,$A979+1)+J980</f>
        <v>6864.98615718512</v>
      </c>
      <c r="K979" s="12" t="n">
        <f aca="false">SQRT((IF(C979&lt;=0,0,MAX(0,(B979/C979)*G979/INDEX(Surface_Engine!$B$12:$B$72,$A979+1)-F979/INDEX(Surface_Engine!$B$12:$B$72,$A979+1))))^2+(MAX(IF(D979&lt;=0,0,MAX(0,(B979/D979)*H979/INDEX(Surface_Engine!$B$12:$B$72,$A979+1)-F979/INDEX(Surface_Engine!$B$12:$B$72,$A979+1))),IF(E979&lt;=0,0,MAX(0,(B979/E979)*I979/INDEX(Surface_Engine!$B$12:$B$72,$A979+1)-F979/INDEX(Surface_Engine!$B$12:$B$72,$A979+1))),IF($A979&lt;$Q$951,MAX(0,-Assumptions!$B$22*(F979/INDEX(Surface_Engine!$B$12:$B$72,$A979+1))),0)))^2+(MAX(0,J979/INDEX(Surface_Engine!$B$12:$B$72,$A979+1)-(F979/INDEX(Surface_Engine!$B$12:$B$72,$A979+1))))^2+2*Assumptions!$B$26*(IF(C979&lt;=0,0,MAX(0,(B979/C979)*G979/INDEX(Surface_Engine!$B$12:$B$72,$A979+1)-F979/INDEX(Surface_Engine!$B$12:$B$72,$A979+1))))*(MAX(IF(D979&lt;=0,0,MAX(0,(B979/D979)*H979/INDEX(Surface_Engine!$B$12:$B$72,$A979+1)-F979/INDEX(Surface_Engine!$B$12:$B$72,$A979+1))),IF(E979&lt;=0,0,MAX(0,(B979/E979)*I979/INDEX(Surface_Engine!$B$12:$B$72,$A979+1)-F979/INDEX(Surface_Engine!$B$12:$B$72,$A979+1))),IF($A979&lt;$Q$951,MAX(0,-Assumptions!$B$22*(F979/INDEX(Surface_Engine!$B$12:$B$72,$A979+1))),0)))+2*Assumptions!$B$27*(IF(C979&lt;=0,0,MAX(0,(B979/C979)*G979/INDEX(Surface_Engine!$B$12:$B$72,$A979+1)-F979/INDEX(Surface_Engine!$B$12:$B$72,$A979+1))))*(MAX(0,J979/INDEX(Surface_Engine!$B$12:$B$72,$A979+1)-(F979/INDEX(Surface_Engine!$B$12:$B$72,$A979+1))))+2*Assumptions!$B$28*(MAX(IF(D979&lt;=0,0,MAX(0,(B979/D979)*H979/INDEX(Surface_Engine!$B$12:$B$72,$A979+1)-F979/INDEX(Surface_Engine!$B$12:$B$72,$A979+1))),IF(E979&lt;=0,0,MAX(0,(B979/E979)*I979/INDEX(Surface_Engine!$B$12:$B$72,$A979+1)-F979/INDEX(Surface_Engine!$B$12:$B$72,$A979+1))),IF($A979&lt;$Q$951,MAX(0,-Assumptions!$B$22*(F979/INDEX(Surface_Engine!$B$12:$B$72,$A979+1))),0)))*(MAX(0,J979/INDEX(Surface_Engine!$B$12:$B$72,$A979+1)-(F979/INDEX(Surface_Engine!$B$12:$B$72,$A979+1)))))</f>
        <v>2796.71114493059</v>
      </c>
      <c r="L979" s="48" t="n">
        <f aca="false">K979*INDEX(Surface_Engine!$B$12:$B$72,$A979+1)+L980</f>
        <v>5624.36664144792</v>
      </c>
      <c r="M979" s="48" t="n">
        <f aca="false">M978+B978*(IF($A978&lt;$Q$951,(Surface_Engine!Q244*12)-(Surface_Engine!Q244*12)*INDEX(Surface_Engine!$F$12:$F$72,$A978+1)-INDEX(Surface_Engine!$D$12:$D$72,$A978+1),-(1000*12*INDEX(Surface_Engine!$C$12:$C$72,$A978+1)/(1+Assumptions!$B$10)^22+INDEX(Surface_Engine!$D$12:$D$72,$A978+1))))*INDEX(Surface_Engine!$B$12:$B$72,$A978+1)</f>
        <v>7422.60873972573</v>
      </c>
      <c r="N979" s="12" t="n">
        <f aca="false">IF(B979&lt;=0,0,MAX(0,(K979+Assumptions!$B$29*L979/INDEX(Surface_Engine!$B$12:$B$72,$A979+1)-(M979/INDEX(Surface_Engine!$B$12:$B$72,$A979+1)-(F979/INDEX(Surface_Engine!$B$12:$B$72,$A979+1))))/B979))</f>
        <v>9881.41853434478</v>
      </c>
    </row>
    <row r="980" customFormat="false" ht="15" hidden="false" customHeight="true" outlineLevel="0" collapsed="false">
      <c r="A980" s="1" t="n">
        <v>27</v>
      </c>
      <c r="B980" s="32" t="n">
        <f aca="false">INDEX(Surface_Engine!$O$12:$O$72,$A980+1)*IF($A980&lt;$Q$951,INDEX(Surface_Engine!$E$12:$E$72,$A980+1),INDEX(Surface_Engine!$E$12:$E$72,$Q$951+1))</f>
        <v>0.196924797520671</v>
      </c>
      <c r="C980" s="32" t="n">
        <f aca="false">INDEX(Panel_Reserving!$E$8:$E$68,$A980+1)*IF($A980&lt;$Q$951,INDEX(Surface_Engine!$E$12:$E$72,$A980+1),INDEX(Surface_Engine!$E$12:$E$72,$Q$951+1))</f>
        <v>0.261438390273294</v>
      </c>
      <c r="D980" s="32" t="n">
        <f aca="false">INDEX(Surface_Engine!$O$12:$O$72,$A980+1)*IF($A980&lt;$Q$951,INDEX(Surface_Engine!$Y$12:$Y$72,$A980+1),INDEX(Surface_Engine!$Y$12:$Y$72,$Q$951+1))</f>
        <v>0.172734494111231</v>
      </c>
      <c r="E980" s="32" t="n">
        <f aca="false">INDEX(Surface_Engine!$O$12:$O$72,$A980+1)*IF($A980&lt;$Q$951,INDEX(Surface_Engine!$Z$12:$Z$72,$A980+1),INDEX(Surface_Engine!$Z$12:$Z$72,$Q$951+1))</f>
        <v>0.224263703557373</v>
      </c>
      <c r="F980" s="48" t="n">
        <f aca="false">B980*(IF($A980&lt;$Q$951,INDEX(Surface_Engine!$D$12:$D$72,$A980+1)+(Surface_Engine!Q244*12)*INDEX(Surface_Engine!$F$12:$F$72,$A980+1)-(Surface_Engine!Q244*12),1000*12*INDEX(Surface_Engine!$C$12:$C$72,$A980+1)/(1+Assumptions!$B$10)^22+INDEX(Surface_Engine!$D$12:$D$72,$A980+1)))*INDEX(Surface_Engine!$B$12:$B$72,$A980+1)+F981</f>
        <v>5510.78020020017</v>
      </c>
      <c r="G980" s="48" t="n">
        <f aca="false">C980*(IF($A980&lt;$Q$951,INDEX(Surface_Engine!$D$12:$D$72,$A980+1)+(Surface_Engine!Q244*12)*INDEX(Surface_Engine!$F$12:$F$72,$A980+1)-(Surface_Engine!Q244*12),1000*12*INDEX(Surface_Engine!$C$12:$C$72,$A980+1)/(1+Assumptions!$B$10)^22+INDEX(Surface_Engine!$D$12:$D$72,$A980+1)))*INDEX(Surface_Engine!$B$12:$B$72,$A980+1)+G981</f>
        <v>8661.02306735333</v>
      </c>
      <c r="H980" s="48" t="n">
        <f aca="false">D980*(IF($A980&lt;$Q$951,INDEX(Surface_Engine!$D$12:$D$72,$A980+1)+(Surface_Engine!Q244*12)*INDEX(Surface_Engine!$F$12:$F$72,$A980+1)-(Surface_Engine!Q244*12),1000*12*INDEX(Surface_Engine!$C$12:$C$72,$A980+1)/(1+Assumptions!$B$10)^22+INDEX(Surface_Engine!$D$12:$D$72,$A980+1)))*INDEX(Surface_Engine!$B$12:$B$72,$A980+1)+H981</f>
        <v>4833.83424548064</v>
      </c>
      <c r="I980" s="48" t="n">
        <f aca="false">E980*(IF($A980&lt;$Q$951,INDEX(Surface_Engine!$D$12:$D$72,$A980+1)+(Surface_Engine!Q244*12)*INDEX(Surface_Engine!$F$12:$F$72,$A980+1)-(Surface_Engine!Q244*12),1000*12*INDEX(Surface_Engine!$C$12:$C$72,$A980+1)/(1+Assumptions!$B$10)^22+INDEX(Surface_Engine!$D$12:$D$72,$A980+1)))*INDEX(Surface_Engine!$B$12:$B$72,$A980+1)+I981</f>
        <v>6275.83723709453</v>
      </c>
      <c r="J980" s="48" t="n">
        <f aca="false">B980*(IF($A980&lt;$Q$951,INDEX(Surface_Engine!$D$12:$D$72,$A980+1)*(1+Assumptions!$B$24)+(Surface_Engine!Q244*12)*INDEX(Surface_Engine!$F$12:$F$72,$A980+1)-(Surface_Engine!Q244*12),1000*12*INDEX(Surface_Engine!$C$12:$C$72,$A980+1)/(1+Assumptions!$B$10)^22+INDEX(Surface_Engine!$D$12:$D$72,$A980+1)*(1+Assumptions!$B$24)))*INDEX(Surface_Engine!$B$12:$B$72,$A980+1)+J981</f>
        <v>5517.44996727365</v>
      </c>
      <c r="K980" s="12" t="n">
        <f aca="false">SQRT((IF(C980&lt;=0,0,MAX(0,(B980/C980)*G980/INDEX(Surface_Engine!$B$12:$B$72,$A980+1)-F980/INDEX(Surface_Engine!$B$12:$B$72,$A980+1))))^2+(MAX(IF(D980&lt;=0,0,MAX(0,(B980/D980)*H980/INDEX(Surface_Engine!$B$12:$B$72,$A980+1)-F980/INDEX(Surface_Engine!$B$12:$B$72,$A980+1))),IF(E980&lt;=0,0,MAX(0,(B980/E980)*I980/INDEX(Surface_Engine!$B$12:$B$72,$A980+1)-F980/INDEX(Surface_Engine!$B$12:$B$72,$A980+1))),IF($A980&lt;$Q$951,MAX(0,-Assumptions!$B$22*(F980/INDEX(Surface_Engine!$B$12:$B$72,$A980+1))),0)))^2+(MAX(0,J980/INDEX(Surface_Engine!$B$12:$B$72,$A980+1)-(F980/INDEX(Surface_Engine!$B$12:$B$72,$A980+1))))^2+2*Assumptions!$B$26*(IF(C980&lt;=0,0,MAX(0,(B980/C980)*G980/INDEX(Surface_Engine!$B$12:$B$72,$A980+1)-F980/INDEX(Surface_Engine!$B$12:$B$72,$A980+1))))*(MAX(IF(D980&lt;=0,0,MAX(0,(B980/D980)*H980/INDEX(Surface_Engine!$B$12:$B$72,$A980+1)-F980/INDEX(Surface_Engine!$B$12:$B$72,$A980+1))),IF(E980&lt;=0,0,MAX(0,(B980/E980)*I980/INDEX(Surface_Engine!$B$12:$B$72,$A980+1)-F980/INDEX(Surface_Engine!$B$12:$B$72,$A980+1))),IF($A980&lt;$Q$951,MAX(0,-Assumptions!$B$22*(F980/INDEX(Surface_Engine!$B$12:$B$72,$A980+1))),0)))+2*Assumptions!$B$27*(IF(C980&lt;=0,0,MAX(0,(B980/C980)*G980/INDEX(Surface_Engine!$B$12:$B$72,$A980+1)-F980/INDEX(Surface_Engine!$B$12:$B$72,$A980+1))))*(MAX(0,J980/INDEX(Surface_Engine!$B$12:$B$72,$A980+1)-(F980/INDEX(Surface_Engine!$B$12:$B$72,$A980+1))))+2*Assumptions!$B$28*(MAX(IF(D980&lt;=0,0,MAX(0,(B980/D980)*H980/INDEX(Surface_Engine!$B$12:$B$72,$A980+1)-F980/INDEX(Surface_Engine!$B$12:$B$72,$A980+1))),IF(E980&lt;=0,0,MAX(0,(B980/E980)*I980/INDEX(Surface_Engine!$B$12:$B$72,$A980+1)-F980/INDEX(Surface_Engine!$B$12:$B$72,$A980+1))),IF($A980&lt;$Q$951,MAX(0,-Assumptions!$B$22*(F980/INDEX(Surface_Engine!$B$12:$B$72,$A980+1))),0)))*(MAX(0,J980/INDEX(Surface_Engine!$B$12:$B$72,$A980+1)-(F980/INDEX(Surface_Engine!$B$12:$B$72,$A980+1)))))</f>
        <v>2361.51272079468</v>
      </c>
      <c r="L980" s="48" t="n">
        <f aca="false">K980*INDEX(Surface_Engine!$B$12:$B$72,$A980+1)+L981</f>
        <v>4384.16496136349</v>
      </c>
      <c r="M980" s="48" t="n">
        <f aca="false">M979+B979*(IF($A979&lt;$Q$951,(Surface_Engine!Q244*12)-(Surface_Engine!Q244*12)*INDEX(Surface_Engine!$F$12:$F$72,$A979+1)-INDEX(Surface_Engine!$D$12:$D$72,$A979+1),-(1000*12*INDEX(Surface_Engine!$C$12:$C$72,$A979+1)/(1+Assumptions!$B$10)^22+INDEX(Surface_Engine!$D$12:$D$72,$A979+1))))*INDEX(Surface_Engine!$B$12:$B$72,$A979+1)</f>
        <v>6076.66805916595</v>
      </c>
      <c r="N980" s="12" t="n">
        <f aca="false">IF(B980&lt;=0,0,MAX(0,(K980+Assumptions!$B$29*L980/INDEX(Surface_Engine!$B$12:$B$72,$A980+1)-(M980/INDEX(Surface_Engine!$B$12:$B$72,$A980+1)-(F980/INDEX(Surface_Engine!$B$12:$B$72,$A980+1))))/B980))</f>
        <v>8412.95159471148</v>
      </c>
    </row>
    <row r="981" customFormat="false" ht="15" hidden="false" customHeight="true" outlineLevel="0" collapsed="false">
      <c r="A981" s="1" t="n">
        <v>28</v>
      </c>
      <c r="B981" s="32" t="n">
        <f aca="false">INDEX(Surface_Engine!$O$12:$O$72,$A981+1)*IF($A981&lt;$Q$951,INDEX(Surface_Engine!$E$12:$E$72,$A981+1),INDEX(Surface_Engine!$E$12:$E$72,$Q$951+1))</f>
        <v>0.164954730691389</v>
      </c>
      <c r="C981" s="32" t="n">
        <f aca="false">INDEX(Panel_Reserving!$E$8:$E$68,$A981+1)*IF($A981&lt;$Q$951,INDEX(Surface_Engine!$E$12:$E$72,$A981+1),INDEX(Surface_Engine!$E$12:$E$72,$Q$951+1))</f>
        <v>0.227483488040528</v>
      </c>
      <c r="D981" s="32" t="n">
        <f aca="false">INDEX(Surface_Engine!$O$12:$O$72,$A981+1)*IF($A981&lt;$Q$951,INDEX(Surface_Engine!$Y$12:$Y$72,$A981+1),INDEX(Surface_Engine!$Y$12:$Y$72,$Q$951+1))</f>
        <v>0.14469164024018</v>
      </c>
      <c r="E981" s="32" t="n">
        <f aca="false">INDEX(Surface_Engine!$O$12:$O$72,$A981+1)*IF($A981&lt;$Q$951,INDEX(Surface_Engine!$Z$12:$Z$72,$A981+1),INDEX(Surface_Engine!$Z$12:$Z$72,$Q$951+1))</f>
        <v>0.187855258910583</v>
      </c>
      <c r="F981" s="48" t="n">
        <f aca="false">B981*(IF($A981&lt;$Q$951,INDEX(Surface_Engine!$D$12:$D$72,$A981+1)+(Surface_Engine!Q244*12)*INDEX(Surface_Engine!$F$12:$F$72,$A981+1)-(Surface_Engine!Q244*12),1000*12*INDEX(Surface_Engine!$C$12:$C$72,$A981+1)/(1+Assumptions!$B$10)^22+INDEX(Surface_Engine!$D$12:$D$72,$A981+1)))*INDEX(Surface_Engine!$B$12:$B$72,$A981+1)+F982</f>
        <v>4376.20080777727</v>
      </c>
      <c r="G981" s="48" t="n">
        <f aca="false">C981*(IF($A981&lt;$Q$951,INDEX(Surface_Engine!$D$12:$D$72,$A981+1)+(Surface_Engine!Q244*12)*INDEX(Surface_Engine!$F$12:$F$72,$A981+1)-(Surface_Engine!Q244*12),1000*12*INDEX(Surface_Engine!$C$12:$C$72,$A981+1)/(1+Assumptions!$B$10)^22+INDEX(Surface_Engine!$D$12:$D$72,$A981+1)))*INDEX(Surface_Engine!$B$12:$B$72,$A981+1)+G982</f>
        <v>7154.7495369151</v>
      </c>
      <c r="H981" s="48" t="n">
        <f aca="false">D981*(IF($A981&lt;$Q$951,INDEX(Surface_Engine!$D$12:$D$72,$A981+1)+(Surface_Engine!Q244*12)*INDEX(Surface_Engine!$F$12:$F$72,$A981+1)-(Surface_Engine!Q244*12),1000*12*INDEX(Surface_Engine!$C$12:$C$72,$A981+1)/(1+Assumptions!$B$10)^22+INDEX(Surface_Engine!$D$12:$D$72,$A981+1)))*INDEX(Surface_Engine!$B$12:$B$72,$A981+1)+H982</f>
        <v>3838.62693869834</v>
      </c>
      <c r="I981" s="48" t="n">
        <f aca="false">E981*(IF($A981&lt;$Q$951,INDEX(Surface_Engine!$D$12:$D$72,$A981+1)+(Surface_Engine!Q244*12)*INDEX(Surface_Engine!$F$12:$F$72,$A981+1)-(Surface_Engine!Q244*12),1000*12*INDEX(Surface_Engine!$C$12:$C$72,$A981+1)/(1+Assumptions!$B$10)^22+INDEX(Surface_Engine!$D$12:$D$72,$A981+1)))*INDEX(Surface_Engine!$B$12:$B$72,$A981+1)+I982</f>
        <v>4983.74513021843</v>
      </c>
      <c r="J981" s="48" t="n">
        <f aca="false">B981*(IF($A981&lt;$Q$951,INDEX(Surface_Engine!$D$12:$D$72,$A981+1)*(1+Assumptions!$B$24)+(Surface_Engine!Q244*12)*INDEX(Surface_Engine!$F$12:$F$72,$A981+1)-(Surface_Engine!Q244*12),1000*12*INDEX(Surface_Engine!$C$12:$C$72,$A981+1)/(1+Assumptions!$B$10)^22+INDEX(Surface_Engine!$D$12:$D$72,$A981+1)*(1+Assumptions!$B$24)))*INDEX(Surface_Engine!$B$12:$B$72,$A981+1)+J982</f>
        <v>4381.51910368764</v>
      </c>
      <c r="K981" s="12" t="n">
        <f aca="false">SQRT((IF(C981&lt;=0,0,MAX(0,(B981/C981)*G981/INDEX(Surface_Engine!$B$12:$B$72,$A981+1)-F981/INDEX(Surface_Engine!$B$12:$B$72,$A981+1))))^2+(MAX(IF(D981&lt;=0,0,MAX(0,(B981/D981)*H981/INDEX(Surface_Engine!$B$12:$B$72,$A981+1)-F981/INDEX(Surface_Engine!$B$12:$B$72,$A981+1))),IF(E981&lt;=0,0,MAX(0,(B981/E981)*I981/INDEX(Surface_Engine!$B$12:$B$72,$A981+1)-F981/INDEX(Surface_Engine!$B$12:$B$72,$A981+1))),IF($A981&lt;$Q$951,MAX(0,-Assumptions!$B$22*(F981/INDEX(Surface_Engine!$B$12:$B$72,$A981+1))),0)))^2+(MAX(0,J981/INDEX(Surface_Engine!$B$12:$B$72,$A981+1)-(F981/INDEX(Surface_Engine!$B$12:$B$72,$A981+1))))^2+2*Assumptions!$B$26*(IF(C981&lt;=0,0,MAX(0,(B981/C981)*G981/INDEX(Surface_Engine!$B$12:$B$72,$A981+1)-F981/INDEX(Surface_Engine!$B$12:$B$72,$A981+1))))*(MAX(IF(D981&lt;=0,0,MAX(0,(B981/D981)*H981/INDEX(Surface_Engine!$B$12:$B$72,$A981+1)-F981/INDEX(Surface_Engine!$B$12:$B$72,$A981+1))),IF(E981&lt;=0,0,MAX(0,(B981/E981)*I981/INDEX(Surface_Engine!$B$12:$B$72,$A981+1)-F981/INDEX(Surface_Engine!$B$12:$B$72,$A981+1))),IF($A981&lt;$Q$951,MAX(0,-Assumptions!$B$22*(F981/INDEX(Surface_Engine!$B$12:$B$72,$A981+1))),0)))+2*Assumptions!$B$27*(IF(C981&lt;=0,0,MAX(0,(B981/C981)*G981/INDEX(Surface_Engine!$B$12:$B$72,$A981+1)-F981/INDEX(Surface_Engine!$B$12:$B$72,$A981+1))))*(MAX(0,J981/INDEX(Surface_Engine!$B$12:$B$72,$A981+1)-(F981/INDEX(Surface_Engine!$B$12:$B$72,$A981+1))))+2*Assumptions!$B$28*(MAX(IF(D981&lt;=0,0,MAX(0,(B981/D981)*H981/INDEX(Surface_Engine!$B$12:$B$72,$A981+1)-F981/INDEX(Surface_Engine!$B$12:$B$72,$A981+1))),IF(E981&lt;=0,0,MAX(0,(B981/E981)*I981/INDEX(Surface_Engine!$B$12:$B$72,$A981+1)-F981/INDEX(Surface_Engine!$B$12:$B$72,$A981+1))),IF($A981&lt;$Q$951,MAX(0,-Assumptions!$B$22*(F981/INDEX(Surface_Engine!$B$12:$B$72,$A981+1))),0)))*(MAX(0,J981/INDEX(Surface_Engine!$B$12:$B$72,$A981+1)-(F981/INDEX(Surface_Engine!$B$12:$B$72,$A981+1)))))</f>
        <v>1953.90045059774</v>
      </c>
      <c r="L981" s="48" t="n">
        <f aca="false">K981*INDEX(Surface_Engine!$B$12:$B$72,$A981+1)+L982</f>
        <v>3369.4631230044</v>
      </c>
      <c r="M981" s="48" t="n">
        <f aca="false">M980+B980*(IF($A980&lt;$Q$951,(Surface_Engine!Q244*12)-(Surface_Engine!Q244*12)*INDEX(Surface_Engine!$F$12:$F$72,$A980+1)-INDEX(Surface_Engine!$D$12:$D$72,$A980+1),-(1000*12*INDEX(Surface_Engine!$C$12:$C$72,$A980+1)/(1+Assumptions!$B$10)^22+INDEX(Surface_Engine!$D$12:$D$72,$A980+1))))*INDEX(Surface_Engine!$B$12:$B$72,$A980+1)</f>
        <v>4942.08866674305</v>
      </c>
      <c r="N981" s="12" t="n">
        <f aca="false">IF(B981&lt;=0,0,MAX(0,(K981+Assumptions!$B$29*L981/INDEX(Surface_Engine!$B$12:$B$72,$A981+1)-(M981/INDEX(Surface_Engine!$B$12:$B$72,$A981+1)-(F981/INDEX(Surface_Engine!$B$12:$B$72,$A981+1))))/B981))</f>
        <v>6547.4952568772</v>
      </c>
    </row>
    <row r="982" customFormat="false" ht="15" hidden="false" customHeight="true" outlineLevel="0" collapsed="false">
      <c r="A982" s="1" t="n">
        <v>29</v>
      </c>
      <c r="B982" s="32" t="n">
        <f aca="false">INDEX(Surface_Engine!$O$12:$O$72,$A982+1)*IF($A982&lt;$Q$951,INDEX(Surface_Engine!$E$12:$E$72,$A982+1),INDEX(Surface_Engine!$E$12:$E$72,$Q$951+1))</f>
        <v>0.136501622648721</v>
      </c>
      <c r="C982" s="32" t="n">
        <f aca="false">INDEX(Panel_Reserving!$E$8:$E$68,$A982+1)*IF($A982&lt;$Q$951,INDEX(Surface_Engine!$E$12:$E$72,$A982+1),INDEX(Surface_Engine!$E$12:$E$72,$Q$951+1))</f>
        <v>0.19609251314209</v>
      </c>
      <c r="D982" s="32" t="n">
        <f aca="false">INDEX(Surface_Engine!$O$12:$O$72,$A982+1)*IF($A982&lt;$Q$951,INDEX(Surface_Engine!$Y$12:$Y$72,$A982+1),INDEX(Surface_Engine!$Y$12:$Y$72,$Q$951+1))</f>
        <v>0.119733720843938</v>
      </c>
      <c r="E982" s="32" t="n">
        <f aca="false">INDEX(Surface_Engine!$O$12:$O$72,$A982+1)*IF($A982&lt;$Q$951,INDEX(Surface_Engine!$Z$12:$Z$72,$A982+1),INDEX(Surface_Engine!$Z$12:$Z$72,$Q$951+1))</f>
        <v>0.155452029516901</v>
      </c>
      <c r="F982" s="48" t="n">
        <f aca="false">B982*(IF($A982&lt;$Q$951,INDEX(Surface_Engine!$D$12:$D$72,$A982+1)+(Surface_Engine!Q244*12)*INDEX(Surface_Engine!$F$12:$F$72,$A982+1)-(Surface_Engine!Q244*12),1000*12*INDEX(Surface_Engine!$C$12:$C$72,$A982+1)/(1+Assumptions!$B$10)^22+INDEX(Surface_Engine!$D$12:$D$72,$A982+1)))*INDEX(Surface_Engine!$B$12:$B$72,$A982+1)+F983</f>
        <v>3437.12214822947</v>
      </c>
      <c r="G982" s="48" t="n">
        <f aca="false">C982*(IF($A982&lt;$Q$951,INDEX(Surface_Engine!$D$12:$D$72,$A982+1)+(Surface_Engine!Q244*12)*INDEX(Surface_Engine!$F$12:$F$72,$A982+1)-(Surface_Engine!Q244*12),1000*12*INDEX(Surface_Engine!$C$12:$C$72,$A982+1)/(1+Assumptions!$B$10)^22+INDEX(Surface_Engine!$D$12:$D$72,$A982+1)))*INDEX(Surface_Engine!$B$12:$B$72,$A982+1)+G983</f>
        <v>5859.69793019262</v>
      </c>
      <c r="H982" s="48" t="n">
        <f aca="false">D982*(IF($A982&lt;$Q$951,INDEX(Surface_Engine!$D$12:$D$72,$A982+1)+(Surface_Engine!Q244*12)*INDEX(Surface_Engine!$F$12:$F$72,$A982+1)-(Surface_Engine!Q244*12),1000*12*INDEX(Surface_Engine!$C$12:$C$72,$A982+1)/(1+Assumptions!$B$10)^22+INDEX(Surface_Engine!$D$12:$D$72,$A982+1)))*INDEX(Surface_Engine!$B$12:$B$72,$A982+1)+H983</f>
        <v>3014.90499392592</v>
      </c>
      <c r="I982" s="48" t="n">
        <f aca="false">E982*(IF($A982&lt;$Q$951,INDEX(Surface_Engine!$D$12:$D$72,$A982+1)+(Surface_Engine!Q244*12)*INDEX(Surface_Engine!$F$12:$F$72,$A982+1)-(Surface_Engine!Q244*12),1000*12*INDEX(Surface_Engine!$C$12:$C$72,$A982+1)/(1+Assumptions!$B$10)^22+INDEX(Surface_Engine!$D$12:$D$72,$A982+1)))*INDEX(Surface_Engine!$B$12:$B$72,$A982+1)+I983</f>
        <v>3914.29496054249</v>
      </c>
      <c r="J982" s="48" t="n">
        <f aca="false">B982*(IF($A982&lt;$Q$951,INDEX(Surface_Engine!$D$12:$D$72,$A982+1)*(1+Assumptions!$B$24)+(Surface_Engine!Q244*12)*INDEX(Surface_Engine!$F$12:$F$72,$A982+1)-(Surface_Engine!Q244*12),1000*12*INDEX(Surface_Engine!$C$12:$C$72,$A982+1)/(1+Assumptions!$B$10)^22+INDEX(Surface_Engine!$D$12:$D$72,$A982+1)*(1+Assumptions!$B$24)))*INDEX(Surface_Engine!$B$12:$B$72,$A982+1)+J983</f>
        <v>3441.31642890058</v>
      </c>
      <c r="K982" s="12" t="n">
        <f aca="false">SQRT((IF(C982&lt;=0,0,MAX(0,(B982/C982)*G982/INDEX(Surface_Engine!$B$12:$B$72,$A982+1)-F982/INDEX(Surface_Engine!$B$12:$B$72,$A982+1))))^2+(MAX(IF(D982&lt;=0,0,MAX(0,(B982/D982)*H982/INDEX(Surface_Engine!$B$12:$B$72,$A982+1)-F982/INDEX(Surface_Engine!$B$12:$B$72,$A982+1))),IF(E982&lt;=0,0,MAX(0,(B982/E982)*I982/INDEX(Surface_Engine!$B$12:$B$72,$A982+1)-F982/INDEX(Surface_Engine!$B$12:$B$72,$A982+1))),IF($A982&lt;$Q$951,MAX(0,-Assumptions!$B$22*(F982/INDEX(Surface_Engine!$B$12:$B$72,$A982+1))),0)))^2+(MAX(0,J982/INDEX(Surface_Engine!$B$12:$B$72,$A982+1)-(F982/INDEX(Surface_Engine!$B$12:$B$72,$A982+1))))^2+2*Assumptions!$B$26*(IF(C982&lt;=0,0,MAX(0,(B982/C982)*G982/INDEX(Surface_Engine!$B$12:$B$72,$A982+1)-F982/INDEX(Surface_Engine!$B$12:$B$72,$A982+1))))*(MAX(IF(D982&lt;=0,0,MAX(0,(B982/D982)*H982/INDEX(Surface_Engine!$B$12:$B$72,$A982+1)-F982/INDEX(Surface_Engine!$B$12:$B$72,$A982+1))),IF(E982&lt;=0,0,MAX(0,(B982/E982)*I982/INDEX(Surface_Engine!$B$12:$B$72,$A982+1)-F982/INDEX(Surface_Engine!$B$12:$B$72,$A982+1))),IF($A982&lt;$Q$951,MAX(0,-Assumptions!$B$22*(F982/INDEX(Surface_Engine!$B$12:$B$72,$A982+1))),0)))+2*Assumptions!$B$27*(IF(C982&lt;=0,0,MAX(0,(B982/C982)*G982/INDEX(Surface_Engine!$B$12:$B$72,$A982+1)-F982/INDEX(Surface_Engine!$B$12:$B$72,$A982+1))))*(MAX(0,J982/INDEX(Surface_Engine!$B$12:$B$72,$A982+1)-(F982/INDEX(Surface_Engine!$B$12:$B$72,$A982+1))))+2*Assumptions!$B$28*(MAX(IF(D982&lt;=0,0,MAX(0,(B982/D982)*H982/INDEX(Surface_Engine!$B$12:$B$72,$A982+1)-F982/INDEX(Surface_Engine!$B$12:$B$72,$A982+1))),IF(E982&lt;=0,0,MAX(0,(B982/E982)*I982/INDEX(Surface_Engine!$B$12:$B$72,$A982+1)-F982/INDEX(Surface_Engine!$B$12:$B$72,$A982+1))),IF($A982&lt;$Q$951,MAX(0,-Assumptions!$B$22*(F982/INDEX(Surface_Engine!$B$12:$B$72,$A982+1))),0)))*(MAX(0,J982/INDEX(Surface_Engine!$B$12:$B$72,$A982+1)-(F982/INDEX(Surface_Engine!$B$12:$B$72,$A982+1)))))</f>
        <v>1594.68025667607</v>
      </c>
      <c r="L982" s="48" t="n">
        <f aca="false">K982*INDEX(Surface_Engine!$B$12:$B$72,$A982+1)+L983</f>
        <v>2556.20619059929</v>
      </c>
      <c r="M982" s="48" t="n">
        <f aca="false">M981+B981*(IF($A981&lt;$Q$951,(Surface_Engine!Q244*12)-(Surface_Engine!Q244*12)*INDEX(Surface_Engine!$F$12:$F$72,$A981+1)-INDEX(Surface_Engine!$D$12:$D$72,$A981+1),-(1000*12*INDEX(Surface_Engine!$C$12:$C$72,$A981+1)/(1+Assumptions!$B$10)^22+INDEX(Surface_Engine!$D$12:$D$72,$A981+1))))*INDEX(Surface_Engine!$B$12:$B$72,$A981+1)</f>
        <v>4003.01000719525</v>
      </c>
      <c r="N982" s="12" t="n">
        <f aca="false">IF(B982&lt;=0,0,MAX(0,(K982+Assumptions!$B$29*L982/INDEX(Surface_Engine!$B$12:$B$72,$A982+1)-(M982/INDEX(Surface_Engine!$B$12:$B$72,$A982+1)-(F982/INDEX(Surface_Engine!$B$12:$B$72,$A982+1))))/B982))</f>
        <v>4186.72173858637</v>
      </c>
    </row>
    <row r="983" customFormat="false" ht="15" hidden="false" customHeight="true" outlineLevel="0" collapsed="false">
      <c r="A983" s="1" t="n">
        <v>30</v>
      </c>
      <c r="B983" s="32" t="n">
        <f aca="false">INDEX(Surface_Engine!$O$12:$O$72,$A983+1)*IF($A983&lt;$Q$951,INDEX(Surface_Engine!$E$12:$E$72,$A983+1),INDEX(Surface_Engine!$E$12:$E$72,$Q$951+1))</f>
        <v>0.111614372850381</v>
      </c>
      <c r="C983" s="32" t="n">
        <f aca="false">INDEX(Panel_Reserving!$E$8:$E$68,$A983+1)*IF($A983&lt;$Q$951,INDEX(Surface_Engine!$E$12:$E$72,$A983+1),INDEX(Surface_Engine!$E$12:$E$72,$Q$951+1))</f>
        <v>0.167490928701088</v>
      </c>
      <c r="D983" s="32" t="n">
        <f aca="false">INDEX(Surface_Engine!$O$12:$O$72,$A983+1)*IF($A983&lt;$Q$951,INDEX(Surface_Engine!$Y$12:$Y$72,$A983+1),INDEX(Surface_Engine!$Y$12:$Y$72,$Q$951+1))</f>
        <v>0.097903628555612</v>
      </c>
      <c r="E983" s="32" t="n">
        <f aca="false">INDEX(Surface_Engine!$O$12:$O$72,$A983+1)*IF($A983&lt;$Q$951,INDEX(Surface_Engine!$Z$12:$Z$72,$A983+1),INDEX(Surface_Engine!$Z$12:$Z$72,$Q$951+1))</f>
        <v>0.127109703505129</v>
      </c>
      <c r="F983" s="48" t="n">
        <f aca="false">B983*(IF($A983&lt;$Q$951,INDEX(Surface_Engine!$D$12:$D$72,$A983+1)+(Surface_Engine!Q244*12)*INDEX(Surface_Engine!$F$12:$F$72,$A983+1)-(Surface_Engine!Q244*12),1000*12*INDEX(Surface_Engine!$C$12:$C$72,$A983+1)/(1+Assumptions!$B$10)^22+INDEX(Surface_Engine!$D$12:$D$72,$A983+1)))*INDEX(Surface_Engine!$B$12:$B$72,$A983+1)+F984</f>
        <v>2669.29933049472</v>
      </c>
      <c r="G983" s="48" t="n">
        <f aca="false">C983*(IF($A983&lt;$Q$951,INDEX(Surface_Engine!$D$12:$D$72,$A983+1)+(Surface_Engine!Q244*12)*INDEX(Surface_Engine!$F$12:$F$72,$A983+1)-(Surface_Engine!Q244*12),1000*12*INDEX(Surface_Engine!$C$12:$C$72,$A983+1)/(1+Assumptions!$B$10)^22+INDEX(Surface_Engine!$D$12:$D$72,$A983+1)))*INDEX(Surface_Engine!$B$12:$B$72,$A983+1)+G984</f>
        <v>4756.67583378198</v>
      </c>
      <c r="H983" s="48" t="n">
        <f aca="false">D983*(IF($A983&lt;$Q$951,INDEX(Surface_Engine!$D$12:$D$72,$A983+1)+(Surface_Engine!Q244*12)*INDEX(Surface_Engine!$F$12:$F$72,$A983+1)-(Surface_Engine!Q244*12),1000*12*INDEX(Surface_Engine!$C$12:$C$72,$A983+1)/(1+Assumptions!$B$10)^22+INDEX(Surface_Engine!$D$12:$D$72,$A983+1)))*INDEX(Surface_Engine!$B$12:$B$72,$A983+1)+H984</f>
        <v>2341.40177006429</v>
      </c>
      <c r="I983" s="48" t="n">
        <f aca="false">E983*(IF($A983&lt;$Q$951,INDEX(Surface_Engine!$D$12:$D$72,$A983+1)+(Surface_Engine!Q244*12)*INDEX(Surface_Engine!$F$12:$F$72,$A983+1)-(Surface_Engine!Q244*12),1000*12*INDEX(Surface_Engine!$C$12:$C$72,$A983+1)/(1+Assumptions!$B$10)^22+INDEX(Surface_Engine!$D$12:$D$72,$A983+1)))*INDEX(Surface_Engine!$B$12:$B$72,$A983+1)+I984</f>
        <v>3039.87593892091</v>
      </c>
      <c r="J983" s="48" t="n">
        <f aca="false">B983*(IF($A983&lt;$Q$951,INDEX(Surface_Engine!$D$12:$D$72,$A983+1)*(1+Assumptions!$B$24)+(Surface_Engine!Q244*12)*INDEX(Surface_Engine!$F$12:$F$72,$A983+1)-(Surface_Engine!Q244*12),1000*12*INDEX(Surface_Engine!$C$12:$C$72,$A983+1)/(1+Assumptions!$B$10)^22+INDEX(Surface_Engine!$D$12:$D$72,$A983+1)*(1+Assumptions!$B$24)))*INDEX(Surface_Engine!$B$12:$B$72,$A983+1)+J984</f>
        <v>2672.5701269965</v>
      </c>
      <c r="K983" s="12" t="n">
        <f aca="false">SQRT((IF(C983&lt;=0,0,MAX(0,(B983/C983)*G983/INDEX(Surface_Engine!$B$12:$B$72,$A983+1)-F983/INDEX(Surface_Engine!$B$12:$B$72,$A983+1))))^2+(MAX(IF(D983&lt;=0,0,MAX(0,(B983/D983)*H983/INDEX(Surface_Engine!$B$12:$B$72,$A983+1)-F983/INDEX(Surface_Engine!$B$12:$B$72,$A983+1))),IF(E983&lt;=0,0,MAX(0,(B983/E983)*I983/INDEX(Surface_Engine!$B$12:$B$72,$A983+1)-F983/INDEX(Surface_Engine!$B$12:$B$72,$A983+1))),IF($A983&lt;$Q$951,MAX(0,-Assumptions!$B$22*(F983/INDEX(Surface_Engine!$B$12:$B$72,$A983+1))),0)))^2+(MAX(0,J983/INDEX(Surface_Engine!$B$12:$B$72,$A983+1)-(F983/INDEX(Surface_Engine!$B$12:$B$72,$A983+1))))^2+2*Assumptions!$B$26*(IF(C983&lt;=0,0,MAX(0,(B983/C983)*G983/INDEX(Surface_Engine!$B$12:$B$72,$A983+1)-F983/INDEX(Surface_Engine!$B$12:$B$72,$A983+1))))*(MAX(IF(D983&lt;=0,0,MAX(0,(B983/D983)*H983/INDEX(Surface_Engine!$B$12:$B$72,$A983+1)-F983/INDEX(Surface_Engine!$B$12:$B$72,$A983+1))),IF(E983&lt;=0,0,MAX(0,(B983/E983)*I983/INDEX(Surface_Engine!$B$12:$B$72,$A983+1)-F983/INDEX(Surface_Engine!$B$12:$B$72,$A983+1))),IF($A983&lt;$Q$951,MAX(0,-Assumptions!$B$22*(F983/INDEX(Surface_Engine!$B$12:$B$72,$A983+1))),0)))+2*Assumptions!$B$27*(IF(C983&lt;=0,0,MAX(0,(B983/C983)*G983/INDEX(Surface_Engine!$B$12:$B$72,$A983+1)-F983/INDEX(Surface_Engine!$B$12:$B$72,$A983+1))))*(MAX(0,J983/INDEX(Surface_Engine!$B$12:$B$72,$A983+1)-(F983/INDEX(Surface_Engine!$B$12:$B$72,$A983+1))))+2*Assumptions!$B$28*(MAX(IF(D983&lt;=0,0,MAX(0,(B983/D983)*H983/INDEX(Surface_Engine!$B$12:$B$72,$A983+1)-F983/INDEX(Surface_Engine!$B$12:$B$72,$A983+1))),IF(E983&lt;=0,0,MAX(0,(B983/E983)*I983/INDEX(Surface_Engine!$B$12:$B$72,$A983+1)-F983/INDEX(Surface_Engine!$B$12:$B$72,$A983+1))),IF($A983&lt;$Q$951,MAX(0,-Assumptions!$B$22*(F983/INDEX(Surface_Engine!$B$12:$B$72,$A983+1))),0)))*(MAX(0,J983/INDEX(Surface_Engine!$B$12:$B$72,$A983+1)-(F983/INDEX(Surface_Engine!$B$12:$B$72,$A983+1)))))</f>
        <v>1283.79713791743</v>
      </c>
      <c r="L983" s="48" t="n">
        <f aca="false">K983*INDEX(Surface_Engine!$B$12:$B$72,$A983+1)+L984</f>
        <v>1913.28267679437</v>
      </c>
      <c r="M983" s="48" t="n">
        <f aca="false">M982+B982*(IF($A982&lt;$Q$951,(Surface_Engine!Q244*12)-(Surface_Engine!Q244*12)*INDEX(Surface_Engine!$F$12:$F$72,$A982+1)-INDEX(Surface_Engine!$D$12:$D$72,$A982+1),-(1000*12*INDEX(Surface_Engine!$C$12:$C$72,$A982+1)/(1+Assumptions!$B$10)^22+INDEX(Surface_Engine!$D$12:$D$72,$A982+1))))*INDEX(Surface_Engine!$B$12:$B$72,$A982+1)</f>
        <v>3235.1871894605</v>
      </c>
      <c r="N983" s="12" t="n">
        <f aca="false">IF(B983&lt;=0,0,MAX(0,(K983+Assumptions!$B$29*L983/INDEX(Surface_Engine!$B$12:$B$72,$A983+1)-(M983/INDEX(Surface_Engine!$B$12:$B$72,$A983+1)-(F983/INDEX(Surface_Engine!$B$12:$B$72,$A983+1))))/B983))</f>
        <v>1152.68781555848</v>
      </c>
    </row>
    <row r="984" customFormat="false" ht="15" hidden="false" customHeight="true" outlineLevel="0" collapsed="false">
      <c r="A984" s="1" t="n">
        <v>31</v>
      </c>
      <c r="B984" s="32" t="n">
        <f aca="false">INDEX(Surface_Engine!$O$12:$O$72,$A984+1)*IF($A984&lt;$Q$951,INDEX(Surface_Engine!$E$12:$E$72,$A984+1),INDEX(Surface_Engine!$E$12:$E$72,$Q$951+1))</f>
        <v>0.0901747628957847</v>
      </c>
      <c r="C984" s="32" t="n">
        <f aca="false">INDEX(Panel_Reserving!$E$8:$E$68,$A984+1)*IF($A984&lt;$Q$951,INDEX(Surface_Engine!$E$12:$E$72,$A984+1),INDEX(Surface_Engine!$E$12:$E$72,$Q$951+1))</f>
        <v>0.141752736813574</v>
      </c>
      <c r="D984" s="32" t="n">
        <f aca="false">INDEX(Surface_Engine!$O$12:$O$72,$A984+1)*IF($A984&lt;$Q$951,INDEX(Surface_Engine!$Y$12:$Y$72,$A984+1),INDEX(Surface_Engine!$Y$12:$Y$72,$Q$951+1))</f>
        <v>0.0790976669597362</v>
      </c>
      <c r="E984" s="32" t="n">
        <f aca="false">INDEX(Surface_Engine!$O$12:$O$72,$A984+1)*IF($A984&lt;$Q$951,INDEX(Surface_Engine!$Z$12:$Z$72,$A984+1),INDEX(Surface_Engine!$Z$12:$Z$72,$Q$951+1))</f>
        <v>0.102693650312342</v>
      </c>
      <c r="F984" s="48" t="n">
        <f aca="false">B984*(IF($A984&lt;$Q$951,INDEX(Surface_Engine!$D$12:$D$72,$A984+1)+(Surface_Engine!Q244*12)*INDEX(Surface_Engine!$F$12:$F$72,$A984+1)-(Surface_Engine!Q244*12),1000*12*INDEX(Surface_Engine!$C$12:$C$72,$A984+1)/(1+Assumptions!$B$10)^22+INDEX(Surface_Engine!$D$12:$D$72,$A984+1)))*INDEX(Surface_Engine!$B$12:$B$72,$A984+1)+F985</f>
        <v>2048.9838503457</v>
      </c>
      <c r="G984" s="48" t="n">
        <f aca="false">C984*(IF($A984&lt;$Q$951,INDEX(Surface_Engine!$D$12:$D$72,$A984+1)+(Surface_Engine!Q244*12)*INDEX(Surface_Engine!$F$12:$F$72,$A984+1)-(Surface_Engine!Q244*12),1000*12*INDEX(Surface_Engine!$C$12:$C$72,$A984+1)/(1+Assumptions!$B$10)^22+INDEX(Surface_Engine!$D$12:$D$72,$A984+1)))*INDEX(Surface_Engine!$B$12:$B$72,$A984+1)+G985</f>
        <v>3825.81708141418</v>
      </c>
      <c r="H984" s="48" t="n">
        <f aca="false">D984*(IF($A984&lt;$Q$951,INDEX(Surface_Engine!$D$12:$D$72,$A984+1)+(Surface_Engine!Q244*12)*INDEX(Surface_Engine!$F$12:$F$72,$A984+1)-(Surface_Engine!Q244*12),1000*12*INDEX(Surface_Engine!$C$12:$C$72,$A984+1)/(1+Assumptions!$B$10)^22+INDEX(Surface_Engine!$D$12:$D$72,$A984+1)))*INDEX(Surface_Engine!$B$12:$B$72,$A984+1)+H985</f>
        <v>1797.28603653582</v>
      </c>
      <c r="I984" s="48" t="n">
        <f aca="false">E984*(IF($A984&lt;$Q$951,INDEX(Surface_Engine!$D$12:$D$72,$A984+1)+(Surface_Engine!Q244*12)*INDEX(Surface_Engine!$F$12:$F$72,$A984+1)-(Surface_Engine!Q244*12),1000*12*INDEX(Surface_Engine!$C$12:$C$72,$A984+1)/(1+Assumptions!$B$10)^22+INDEX(Surface_Engine!$D$12:$D$72,$A984+1)))*INDEX(Surface_Engine!$B$12:$B$72,$A984+1)+I985</f>
        <v>2333.44257601452</v>
      </c>
      <c r="J984" s="48" t="n">
        <f aca="false">B984*(IF($A984&lt;$Q$951,INDEX(Surface_Engine!$D$12:$D$72,$A984+1)*(1+Assumptions!$B$24)+(Surface_Engine!Q244*12)*INDEX(Surface_Engine!$F$12:$F$72,$A984+1)-(Surface_Engine!Q244*12),1000*12*INDEX(Surface_Engine!$C$12:$C$72,$A984+1)/(1+Assumptions!$B$10)^22+INDEX(Surface_Engine!$D$12:$D$72,$A984+1)*(1+Assumptions!$B$24)))*INDEX(Surface_Engine!$B$12:$B$72,$A984+1)+J985</f>
        <v>2051.50496128078</v>
      </c>
      <c r="K984" s="12" t="n">
        <f aca="false">SQRT((IF(C984&lt;=0,0,MAX(0,(B984/C984)*G984/INDEX(Surface_Engine!$B$12:$B$72,$A984+1)-F984/INDEX(Surface_Engine!$B$12:$B$72,$A984+1))))^2+(MAX(IF(D984&lt;=0,0,MAX(0,(B984/D984)*H984/INDEX(Surface_Engine!$B$12:$B$72,$A984+1)-F984/INDEX(Surface_Engine!$B$12:$B$72,$A984+1))),IF(E984&lt;=0,0,MAX(0,(B984/E984)*I984/INDEX(Surface_Engine!$B$12:$B$72,$A984+1)-F984/INDEX(Surface_Engine!$B$12:$B$72,$A984+1))),IF($A984&lt;$Q$951,MAX(0,-Assumptions!$B$22*(F984/INDEX(Surface_Engine!$B$12:$B$72,$A984+1))),0)))^2+(MAX(0,J984/INDEX(Surface_Engine!$B$12:$B$72,$A984+1)-(F984/INDEX(Surface_Engine!$B$12:$B$72,$A984+1))))^2+2*Assumptions!$B$26*(IF(C984&lt;=0,0,MAX(0,(B984/C984)*G984/INDEX(Surface_Engine!$B$12:$B$72,$A984+1)-F984/INDEX(Surface_Engine!$B$12:$B$72,$A984+1))))*(MAX(IF(D984&lt;=0,0,MAX(0,(B984/D984)*H984/INDEX(Surface_Engine!$B$12:$B$72,$A984+1)-F984/INDEX(Surface_Engine!$B$12:$B$72,$A984+1))),IF(E984&lt;=0,0,MAX(0,(B984/E984)*I984/INDEX(Surface_Engine!$B$12:$B$72,$A984+1)-F984/INDEX(Surface_Engine!$B$12:$B$72,$A984+1))),IF($A984&lt;$Q$951,MAX(0,-Assumptions!$B$22*(F984/INDEX(Surface_Engine!$B$12:$B$72,$A984+1))),0)))+2*Assumptions!$B$27*(IF(C984&lt;=0,0,MAX(0,(B984/C984)*G984/INDEX(Surface_Engine!$B$12:$B$72,$A984+1)-F984/INDEX(Surface_Engine!$B$12:$B$72,$A984+1))))*(MAX(0,J984/INDEX(Surface_Engine!$B$12:$B$72,$A984+1)-(F984/INDEX(Surface_Engine!$B$12:$B$72,$A984+1))))+2*Assumptions!$B$28*(MAX(IF(D984&lt;=0,0,MAX(0,(B984/D984)*H984/INDEX(Surface_Engine!$B$12:$B$72,$A984+1)-F984/INDEX(Surface_Engine!$B$12:$B$72,$A984+1))),IF(E984&lt;=0,0,MAX(0,(B984/E984)*I984/INDEX(Surface_Engine!$B$12:$B$72,$A984+1)-F984/INDEX(Surface_Engine!$B$12:$B$72,$A984+1))),IF($A984&lt;$Q$951,MAX(0,-Assumptions!$B$22*(F984/INDEX(Surface_Engine!$B$12:$B$72,$A984+1))),0)))*(MAX(0,J984/INDEX(Surface_Engine!$B$12:$B$72,$A984+1)-(F984/INDEX(Surface_Engine!$B$12:$B$72,$A984+1)))))</f>
        <v>1018.68836733272</v>
      </c>
      <c r="L984" s="48" t="n">
        <f aca="false">K984*INDEX(Surface_Engine!$B$12:$B$72,$A984+1)+L985</f>
        <v>1411.95045880008</v>
      </c>
      <c r="M984" s="48" t="n">
        <f aca="false">M983+B983*(IF($A983&lt;$Q$951,(Surface_Engine!Q244*12)-(Surface_Engine!Q244*12)*INDEX(Surface_Engine!$F$12:$F$72,$A983+1)-INDEX(Surface_Engine!$D$12:$D$72,$A983+1),-(1000*12*INDEX(Surface_Engine!$C$12:$C$72,$A983+1)/(1+Assumptions!$B$10)^22+INDEX(Surface_Engine!$D$12:$D$72,$A983+1))))*INDEX(Surface_Engine!$B$12:$B$72,$A983+1)</f>
        <v>2614.87170931148</v>
      </c>
      <c r="N984" s="12" t="n">
        <f aca="false">IF(B984&lt;=0,0,MAX(0,(K984+Assumptions!$B$29*L984/INDEX(Surface_Engine!$B$12:$B$72,$A984+1)-(M984/INDEX(Surface_Engine!$B$12:$B$72,$A984+1)-(F984/INDEX(Surface_Engine!$B$12:$B$72,$A984+1))))/B984))</f>
        <v>0</v>
      </c>
    </row>
    <row r="985" customFormat="false" ht="15" hidden="false" customHeight="true" outlineLevel="0" collapsed="false">
      <c r="A985" s="1" t="n">
        <v>32</v>
      </c>
      <c r="B985" s="32" t="n">
        <f aca="false">INDEX(Surface_Engine!$O$12:$O$72,$A985+1)*IF($A985&lt;$Q$951,INDEX(Surface_Engine!$E$12:$E$72,$A985+1),INDEX(Surface_Engine!$E$12:$E$72,$Q$951+1))</f>
        <v>0.0719554737633122</v>
      </c>
      <c r="C985" s="32" t="n">
        <f aca="false">INDEX(Panel_Reserving!$E$8:$E$68,$A985+1)*IF($A985&lt;$Q$951,INDEX(Surface_Engine!$E$12:$E$72,$A985+1),INDEX(Surface_Engine!$E$12:$E$72,$Q$951+1))</f>
        <v>0.118840480529092</v>
      </c>
      <c r="D985" s="32" t="n">
        <f aca="false">INDEX(Surface_Engine!$O$12:$O$72,$A985+1)*IF($A985&lt;$Q$951,INDEX(Surface_Engine!$Y$12:$Y$72,$A985+1),INDEX(Surface_Engine!$Y$12:$Y$72,$Q$951+1))</f>
        <v>0.0631164409740473</v>
      </c>
      <c r="E985" s="32" t="n">
        <f aca="false">INDEX(Surface_Engine!$O$12:$O$72,$A985+1)*IF($A985&lt;$Q$951,INDEX(Surface_Engine!$Z$12:$Z$72,$A985+1),INDEX(Surface_Engine!$Z$12:$Z$72,$Q$951+1))</f>
        <v>0.0819449924060065</v>
      </c>
      <c r="F985" s="48" t="n">
        <f aca="false">B985*(IF($A985&lt;$Q$951,INDEX(Surface_Engine!$D$12:$D$72,$A985+1)+(Surface_Engine!Q244*12)*INDEX(Surface_Engine!$F$12:$F$72,$A985+1)-(Surface_Engine!Q244*12),1000*12*INDEX(Surface_Engine!$C$12:$C$72,$A985+1)/(1+Assumptions!$B$10)^22+INDEX(Surface_Engine!$D$12:$D$72,$A985+1)))*INDEX(Surface_Engine!$B$12:$B$72,$A985+1)+F986</f>
        <v>1553.69269919736</v>
      </c>
      <c r="G985" s="48" t="n">
        <f aca="false">C985*(IF($A985&lt;$Q$951,INDEX(Surface_Engine!$D$12:$D$72,$A985+1)+(Surface_Engine!Q244*12)*INDEX(Surface_Engine!$F$12:$F$72,$A985+1)-(Surface_Engine!Q244*12),1000*12*INDEX(Surface_Engine!$C$12:$C$72,$A985+1)/(1+Assumptions!$B$10)^22+INDEX(Surface_Engine!$D$12:$D$72,$A985+1)))*INDEX(Surface_Engine!$B$12:$B$72,$A985+1)+G986</f>
        <v>3047.23032454116</v>
      </c>
      <c r="H985" s="48" t="n">
        <f aca="false">D985*(IF($A985&lt;$Q$951,INDEX(Surface_Engine!$D$12:$D$72,$A985+1)+(Surface_Engine!Q244*12)*INDEX(Surface_Engine!$F$12:$F$72,$A985+1)-(Surface_Engine!Q244*12),1000*12*INDEX(Surface_Engine!$C$12:$C$72,$A985+1)/(1+Assumptions!$B$10)^22+INDEX(Surface_Engine!$D$12:$D$72,$A985+1)))*INDEX(Surface_Engine!$B$12:$B$72,$A985+1)+H986</f>
        <v>1362.83660452664</v>
      </c>
      <c r="I985" s="48" t="n">
        <f aca="false">E985*(IF($A985&lt;$Q$951,INDEX(Surface_Engine!$D$12:$D$72,$A985+1)+(Surface_Engine!Q244*12)*INDEX(Surface_Engine!$F$12:$F$72,$A985+1)-(Surface_Engine!Q244*12),1000*12*INDEX(Surface_Engine!$C$12:$C$72,$A985+1)/(1+Assumptions!$B$10)^22+INDEX(Surface_Engine!$D$12:$D$72,$A985+1)))*INDEX(Surface_Engine!$B$12:$B$72,$A985+1)+I986</f>
        <v>1769.39056583504</v>
      </c>
      <c r="J985" s="48" t="n">
        <f aca="false">B985*(IF($A985&lt;$Q$951,INDEX(Surface_Engine!$D$12:$D$72,$A985+1)*(1+Assumptions!$B$24)+(Surface_Engine!Q244*12)*INDEX(Surface_Engine!$F$12:$F$72,$A985+1)-(Surface_Engine!Q244*12),1000*12*INDEX(Surface_Engine!$C$12:$C$72,$A985+1)/(1+Assumptions!$B$10)^22+INDEX(Surface_Engine!$D$12:$D$72,$A985+1)*(1+Assumptions!$B$24)))*INDEX(Surface_Engine!$B$12:$B$72,$A985+1)+J986</f>
        <v>1555.61232476726</v>
      </c>
      <c r="K985" s="12" t="n">
        <f aca="false">SQRT((IF(C985&lt;=0,0,MAX(0,(B985/C985)*G985/INDEX(Surface_Engine!$B$12:$B$72,$A985+1)-F985/INDEX(Surface_Engine!$B$12:$B$72,$A985+1))))^2+(MAX(IF(D985&lt;=0,0,MAX(0,(B985/D985)*H985/INDEX(Surface_Engine!$B$12:$B$72,$A985+1)-F985/INDEX(Surface_Engine!$B$12:$B$72,$A985+1))),IF(E985&lt;=0,0,MAX(0,(B985/E985)*I985/INDEX(Surface_Engine!$B$12:$B$72,$A985+1)-F985/INDEX(Surface_Engine!$B$12:$B$72,$A985+1))),IF($A985&lt;$Q$951,MAX(0,-Assumptions!$B$22*(F985/INDEX(Surface_Engine!$B$12:$B$72,$A985+1))),0)))^2+(MAX(0,J985/INDEX(Surface_Engine!$B$12:$B$72,$A985+1)-(F985/INDEX(Surface_Engine!$B$12:$B$72,$A985+1))))^2+2*Assumptions!$B$26*(IF(C985&lt;=0,0,MAX(0,(B985/C985)*G985/INDEX(Surface_Engine!$B$12:$B$72,$A985+1)-F985/INDEX(Surface_Engine!$B$12:$B$72,$A985+1))))*(MAX(IF(D985&lt;=0,0,MAX(0,(B985/D985)*H985/INDEX(Surface_Engine!$B$12:$B$72,$A985+1)-F985/INDEX(Surface_Engine!$B$12:$B$72,$A985+1))),IF(E985&lt;=0,0,MAX(0,(B985/E985)*I985/INDEX(Surface_Engine!$B$12:$B$72,$A985+1)-F985/INDEX(Surface_Engine!$B$12:$B$72,$A985+1))),IF($A985&lt;$Q$951,MAX(0,-Assumptions!$B$22*(F985/INDEX(Surface_Engine!$B$12:$B$72,$A985+1))),0)))+2*Assumptions!$B$27*(IF(C985&lt;=0,0,MAX(0,(B985/C985)*G985/INDEX(Surface_Engine!$B$12:$B$72,$A985+1)-F985/INDEX(Surface_Engine!$B$12:$B$72,$A985+1))))*(MAX(0,J985/INDEX(Surface_Engine!$B$12:$B$72,$A985+1)-(F985/INDEX(Surface_Engine!$B$12:$B$72,$A985+1))))+2*Assumptions!$B$28*(MAX(IF(D985&lt;=0,0,MAX(0,(B985/D985)*H985/INDEX(Surface_Engine!$B$12:$B$72,$A985+1)-F985/INDEX(Surface_Engine!$B$12:$B$72,$A985+1))),IF(E985&lt;=0,0,MAX(0,(B985/E985)*I985/INDEX(Surface_Engine!$B$12:$B$72,$A985+1)-F985/INDEX(Surface_Engine!$B$12:$B$72,$A985+1))),IF($A985&lt;$Q$951,MAX(0,-Assumptions!$B$22*(F985/INDEX(Surface_Engine!$B$12:$B$72,$A985+1))),0)))*(MAX(0,J985/INDEX(Surface_Engine!$B$12:$B$72,$A985+1)-(F985/INDEX(Surface_Engine!$B$12:$B$72,$A985+1)))))</f>
        <v>796.392941989977</v>
      </c>
      <c r="L985" s="48" t="n">
        <f aca="false">K985*INDEX(Surface_Engine!$B$12:$B$72,$A985+1)+L986</f>
        <v>1026.53624844579</v>
      </c>
      <c r="M985" s="48" t="n">
        <f aca="false">M984+B984*(IF($A984&lt;$Q$951,(Surface_Engine!Q244*12)-(Surface_Engine!Q244*12)*INDEX(Surface_Engine!$F$12:$F$72,$A984+1)-INDEX(Surface_Engine!$D$12:$D$72,$A984+1),-(1000*12*INDEX(Surface_Engine!$C$12:$C$72,$A984+1)/(1+Assumptions!$B$10)^22+INDEX(Surface_Engine!$D$12:$D$72,$A984+1))))*INDEX(Surface_Engine!$B$12:$B$72,$A984+1)</f>
        <v>2119.58055816314</v>
      </c>
      <c r="N985" s="12" t="n">
        <f aca="false">IF(B985&lt;=0,0,MAX(0,(K985+Assumptions!$B$29*L985/INDEX(Surface_Engine!$B$12:$B$72,$A985+1)-(M985/INDEX(Surface_Engine!$B$12:$B$72,$A985+1)-(F985/INDEX(Surface_Engine!$B$12:$B$72,$A985+1))))/B985))</f>
        <v>0</v>
      </c>
    </row>
    <row r="986" customFormat="false" ht="15" hidden="false" customHeight="true" outlineLevel="0" collapsed="false">
      <c r="A986" s="1" t="n">
        <v>33</v>
      </c>
      <c r="B986" s="32" t="n">
        <f aca="false">INDEX(Surface_Engine!$O$12:$O$72,$A986+1)*IF($A986&lt;$Q$951,INDEX(Surface_Engine!$E$12:$E$72,$A986+1),INDEX(Surface_Engine!$E$12:$E$72,$Q$951+1))</f>
        <v>0.0566663573970925</v>
      </c>
      <c r="C986" s="32" t="n">
        <f aca="false">INDEX(Panel_Reserving!$E$8:$E$68,$A986+1)*IF($A986&lt;$Q$951,INDEX(Surface_Engine!$E$12:$E$72,$A986+1),INDEX(Surface_Engine!$E$12:$E$72,$Q$951+1))</f>
        <v>0.0986394774276084</v>
      </c>
      <c r="D986" s="32" t="n">
        <f aca="false">INDEX(Surface_Engine!$O$12:$O$72,$A986+1)*IF($A986&lt;$Q$951,INDEX(Surface_Engine!$Y$12:$Y$72,$A986+1),INDEX(Surface_Engine!$Y$12:$Y$72,$Q$951+1))</f>
        <v>0.0497054444201497</v>
      </c>
      <c r="E986" s="32" t="n">
        <f aca="false">INDEX(Surface_Engine!$O$12:$O$72,$A986+1)*IF($A986&lt;$Q$951,INDEX(Surface_Engine!$Z$12:$Z$72,$A986+1),INDEX(Surface_Engine!$Z$12:$Z$72,$Q$951+1))</f>
        <v>0.0645333007167049</v>
      </c>
      <c r="F986" s="48" t="n">
        <f aca="false">B986*(IF($A986&lt;$Q$951,INDEX(Surface_Engine!$D$12:$D$72,$A986+1)+(Surface_Engine!Q244*12)*INDEX(Surface_Engine!$F$12:$F$72,$A986+1)-(Surface_Engine!Q244*12),1000*12*INDEX(Surface_Engine!$C$12:$C$72,$A986+1)/(1+Assumptions!$B$10)^22+INDEX(Surface_Engine!$D$12:$D$72,$A986+1)))*INDEX(Surface_Engine!$B$12:$B$72,$A986+1)+F987</f>
        <v>1163.230059145</v>
      </c>
      <c r="G986" s="48" t="n">
        <f aca="false">C986*(IF($A986&lt;$Q$951,INDEX(Surface_Engine!$D$12:$D$72,$A986+1)+(Surface_Engine!Q244*12)*INDEX(Surface_Engine!$F$12:$F$72,$A986+1)-(Surface_Engine!Q244*12),1000*12*INDEX(Surface_Engine!$C$12:$C$72,$A986+1)/(1+Assumptions!$B$10)^22+INDEX(Surface_Engine!$D$12:$D$72,$A986+1)))*INDEX(Surface_Engine!$B$12:$B$72,$A986+1)+G987</f>
        <v>2402.34863110507</v>
      </c>
      <c r="H986" s="48" t="n">
        <f aca="false">D986*(IF($A986&lt;$Q$951,INDEX(Surface_Engine!$D$12:$D$72,$A986+1)+(Surface_Engine!Q244*12)*INDEX(Surface_Engine!$F$12:$F$72,$A986+1)-(Surface_Engine!Q244*12),1000*12*INDEX(Surface_Engine!$C$12:$C$72,$A986+1)/(1+Assumptions!$B$10)^22+INDEX(Surface_Engine!$D$12:$D$72,$A986+1)))*INDEX(Surface_Engine!$B$12:$B$72,$A986+1)+H987</f>
        <v>1020.33851668831</v>
      </c>
      <c r="I986" s="48" t="n">
        <f aca="false">E986*(IF($A986&lt;$Q$951,INDEX(Surface_Engine!$D$12:$D$72,$A986+1)+(Surface_Engine!Q244*12)*INDEX(Surface_Engine!$F$12:$F$72,$A986+1)-(Surface_Engine!Q244*12),1000*12*INDEX(Surface_Engine!$C$12:$C$72,$A986+1)/(1+Assumptions!$B$10)^22+INDEX(Surface_Engine!$D$12:$D$72,$A986+1)))*INDEX(Surface_Engine!$B$12:$B$72,$A986+1)+I987</f>
        <v>1324.72032185654</v>
      </c>
      <c r="J986" s="48" t="n">
        <f aca="false">B986*(IF($A986&lt;$Q$951,INDEX(Surface_Engine!$D$12:$D$72,$A986+1)*(1+Assumptions!$B$24)+(Surface_Engine!Q244*12)*INDEX(Surface_Engine!$F$12:$F$72,$A986+1)-(Surface_Engine!Q244*12),1000*12*INDEX(Surface_Engine!$C$12:$C$72,$A986+1)/(1+Assumptions!$B$10)^22+INDEX(Surface_Engine!$D$12:$D$72,$A986+1)*(1+Assumptions!$B$24)))*INDEX(Surface_Engine!$B$12:$B$72,$A986+1)+J987</f>
        <v>1164.67320784479</v>
      </c>
      <c r="K986" s="12" t="n">
        <f aca="false">SQRT((IF(C986&lt;=0,0,MAX(0,(B986/C986)*G986/INDEX(Surface_Engine!$B$12:$B$72,$A986+1)-F986/INDEX(Surface_Engine!$B$12:$B$72,$A986+1))))^2+(MAX(IF(D986&lt;=0,0,MAX(0,(B986/D986)*H986/INDEX(Surface_Engine!$B$12:$B$72,$A986+1)-F986/INDEX(Surface_Engine!$B$12:$B$72,$A986+1))),IF(E986&lt;=0,0,MAX(0,(B986/E986)*I986/INDEX(Surface_Engine!$B$12:$B$72,$A986+1)-F986/INDEX(Surface_Engine!$B$12:$B$72,$A986+1))),IF($A986&lt;$Q$951,MAX(0,-Assumptions!$B$22*(F986/INDEX(Surface_Engine!$B$12:$B$72,$A986+1))),0)))^2+(MAX(0,J986/INDEX(Surface_Engine!$B$12:$B$72,$A986+1)-(F986/INDEX(Surface_Engine!$B$12:$B$72,$A986+1))))^2+2*Assumptions!$B$26*(IF(C986&lt;=0,0,MAX(0,(B986/C986)*G986/INDEX(Surface_Engine!$B$12:$B$72,$A986+1)-F986/INDEX(Surface_Engine!$B$12:$B$72,$A986+1))))*(MAX(IF(D986&lt;=0,0,MAX(0,(B986/D986)*H986/INDEX(Surface_Engine!$B$12:$B$72,$A986+1)-F986/INDEX(Surface_Engine!$B$12:$B$72,$A986+1))),IF(E986&lt;=0,0,MAX(0,(B986/E986)*I986/INDEX(Surface_Engine!$B$12:$B$72,$A986+1)-F986/INDEX(Surface_Engine!$B$12:$B$72,$A986+1))),IF($A986&lt;$Q$951,MAX(0,-Assumptions!$B$22*(F986/INDEX(Surface_Engine!$B$12:$B$72,$A986+1))),0)))+2*Assumptions!$B$27*(IF(C986&lt;=0,0,MAX(0,(B986/C986)*G986/INDEX(Surface_Engine!$B$12:$B$72,$A986+1)-F986/INDEX(Surface_Engine!$B$12:$B$72,$A986+1))))*(MAX(0,J986/INDEX(Surface_Engine!$B$12:$B$72,$A986+1)-(F986/INDEX(Surface_Engine!$B$12:$B$72,$A986+1))))+2*Assumptions!$B$28*(MAX(IF(D986&lt;=0,0,MAX(0,(B986/D986)*H986/INDEX(Surface_Engine!$B$12:$B$72,$A986+1)-F986/INDEX(Surface_Engine!$B$12:$B$72,$A986+1))),IF(E986&lt;=0,0,MAX(0,(B986/E986)*I986/INDEX(Surface_Engine!$B$12:$B$72,$A986+1)-F986/INDEX(Surface_Engine!$B$12:$B$72,$A986+1))),IF($A986&lt;$Q$951,MAX(0,-Assumptions!$B$22*(F986/INDEX(Surface_Engine!$B$12:$B$72,$A986+1))),0)))*(MAX(0,J986/INDEX(Surface_Engine!$B$12:$B$72,$A986+1)-(F986/INDEX(Surface_Engine!$B$12:$B$72,$A986+1)))))</f>
        <v>612.114451912986</v>
      </c>
      <c r="L986" s="48" t="n">
        <f aca="false">K986*INDEX(Surface_Engine!$B$12:$B$72,$A986+1)+L987</f>
        <v>734.707653728229</v>
      </c>
      <c r="M986" s="48" t="n">
        <f aca="false">M985+B985*(IF($A985&lt;$Q$951,(Surface_Engine!Q244*12)-(Surface_Engine!Q244*12)*INDEX(Surface_Engine!$F$12:$F$72,$A985+1)-INDEX(Surface_Engine!$D$12:$D$72,$A985+1),-(1000*12*INDEX(Surface_Engine!$C$12:$C$72,$A985+1)/(1+Assumptions!$B$10)^22+INDEX(Surface_Engine!$D$12:$D$72,$A985+1))))*INDEX(Surface_Engine!$B$12:$B$72,$A985+1)</f>
        <v>1729.11791811078</v>
      </c>
      <c r="N986" s="12" t="n">
        <f aca="false">IF(B986&lt;=0,0,MAX(0,(K986+Assumptions!$B$29*L986/INDEX(Surface_Engine!$B$12:$B$72,$A986+1)-(M986/INDEX(Surface_Engine!$B$12:$B$72,$A986+1)-(F986/INDEX(Surface_Engine!$B$12:$B$72,$A986+1))))/B986))</f>
        <v>0</v>
      </c>
    </row>
    <row r="987" customFormat="false" ht="15" hidden="false" customHeight="true" outlineLevel="0" collapsed="false">
      <c r="A987" s="1" t="n">
        <v>34</v>
      </c>
      <c r="B987" s="32" t="n">
        <f aca="false">INDEX(Surface_Engine!$O$12:$O$72,$A987+1)*IF($A987&lt;$Q$951,INDEX(Surface_Engine!$E$12:$E$72,$A987+1),INDEX(Surface_Engine!$E$12:$E$72,$Q$951+1))</f>
        <v>0.0439884352431472</v>
      </c>
      <c r="C987" s="32" t="n">
        <f aca="false">INDEX(Panel_Reserving!$E$8:$E$68,$A987+1)*IF($A987&lt;$Q$951,INDEX(Surface_Engine!$E$12:$E$72,$A987+1),INDEX(Surface_Engine!$E$12:$E$72,$Q$951+1))</f>
        <v>0.0809846476686413</v>
      </c>
      <c r="D987" s="32" t="n">
        <f aca="false">INDEX(Surface_Engine!$O$12:$O$72,$A987+1)*IF($A987&lt;$Q$951,INDEX(Surface_Engine!$Y$12:$Y$72,$A987+1),INDEX(Surface_Engine!$Y$12:$Y$72,$Q$951+1))</f>
        <v>0.0385848821689003</v>
      </c>
      <c r="E987" s="32" t="n">
        <f aca="false">INDEX(Surface_Engine!$O$12:$O$72,$A987+1)*IF($A987&lt;$Q$951,INDEX(Surface_Engine!$Z$12:$Z$72,$A987+1),INDEX(Surface_Engine!$Z$12:$Z$72,$Q$951+1))</f>
        <v>0.0500953131628145</v>
      </c>
      <c r="F987" s="48" t="n">
        <f aca="false">B987*(IF($A987&lt;$Q$951,INDEX(Surface_Engine!$D$12:$D$72,$A987+1)+(Surface_Engine!Q244*12)*INDEX(Surface_Engine!$F$12:$F$72,$A987+1)-(Surface_Engine!Q244*12),1000*12*INDEX(Surface_Engine!$C$12:$C$72,$A987+1)/(1+Assumptions!$B$10)^22+INDEX(Surface_Engine!$D$12:$D$72,$A987+1)))*INDEX(Surface_Engine!$B$12:$B$72,$A987+1)+F988</f>
        <v>859.446454933121</v>
      </c>
      <c r="G987" s="48" t="n">
        <f aca="false">C987*(IF($A987&lt;$Q$951,INDEX(Surface_Engine!$D$12:$D$72,$A987+1)+(Surface_Engine!Q244*12)*INDEX(Surface_Engine!$F$12:$F$72,$A987+1)-(Surface_Engine!Q244*12),1000*12*INDEX(Surface_Engine!$C$12:$C$72,$A987+1)/(1+Assumptions!$B$10)^22+INDEX(Surface_Engine!$D$12:$D$72,$A987+1)))*INDEX(Surface_Engine!$B$12:$B$72,$A987+1)+G988</f>
        <v>1873.55063972275</v>
      </c>
      <c r="H987" s="48" t="n">
        <f aca="false">D987*(IF($A987&lt;$Q$951,INDEX(Surface_Engine!$D$12:$D$72,$A987+1)+(Surface_Engine!Q244*12)*INDEX(Surface_Engine!$F$12:$F$72,$A987+1)-(Surface_Engine!Q244*12),1000*12*INDEX(Surface_Engine!$C$12:$C$72,$A987+1)/(1+Assumptions!$B$10)^22+INDEX(Surface_Engine!$D$12:$D$72,$A987+1)))*INDEX(Surface_Engine!$B$12:$B$72,$A987+1)+H988</f>
        <v>753.871784953744</v>
      </c>
      <c r="I987" s="48" t="n">
        <f aca="false">E987*(IF($A987&lt;$Q$951,INDEX(Surface_Engine!$D$12:$D$72,$A987+1)+(Surface_Engine!Q244*12)*INDEX(Surface_Engine!$F$12:$F$72,$A987+1)-(Surface_Engine!Q244*12),1000*12*INDEX(Surface_Engine!$C$12:$C$72,$A987+1)/(1+Assumptions!$B$10)^22+INDEX(Surface_Engine!$D$12:$D$72,$A987+1)))*INDEX(Surface_Engine!$B$12:$B$72,$A987+1)+I988</f>
        <v>978.762692252224</v>
      </c>
      <c r="J987" s="48" t="n">
        <f aca="false">B987*(IF($A987&lt;$Q$951,INDEX(Surface_Engine!$D$12:$D$72,$A987+1)*(1+Assumptions!$B$24)+(Surface_Engine!Q244*12)*INDEX(Surface_Engine!$F$12:$F$72,$A987+1)-(Surface_Engine!Q244*12),1000*12*INDEX(Surface_Engine!$C$12:$C$72,$A987+1)/(1+Assumptions!$B$10)^22+INDEX(Surface_Engine!$D$12:$D$72,$A987+1)*(1+Assumptions!$B$24)))*INDEX(Surface_Engine!$B$12:$B$72,$A987+1)+J988</f>
        <v>860.517105257393</v>
      </c>
      <c r="K987" s="12" t="n">
        <f aca="false">SQRT((IF(C987&lt;=0,0,MAX(0,(B987/C987)*G987/INDEX(Surface_Engine!$B$12:$B$72,$A987+1)-F987/INDEX(Surface_Engine!$B$12:$B$72,$A987+1))))^2+(MAX(IF(D987&lt;=0,0,MAX(0,(B987/D987)*H987/INDEX(Surface_Engine!$B$12:$B$72,$A987+1)-F987/INDEX(Surface_Engine!$B$12:$B$72,$A987+1))),IF(E987&lt;=0,0,MAX(0,(B987/E987)*I987/INDEX(Surface_Engine!$B$12:$B$72,$A987+1)-F987/INDEX(Surface_Engine!$B$12:$B$72,$A987+1))),IF($A987&lt;$Q$951,MAX(0,-Assumptions!$B$22*(F987/INDEX(Surface_Engine!$B$12:$B$72,$A987+1))),0)))^2+(MAX(0,J987/INDEX(Surface_Engine!$B$12:$B$72,$A987+1)-(F987/INDEX(Surface_Engine!$B$12:$B$72,$A987+1))))^2+2*Assumptions!$B$26*(IF(C987&lt;=0,0,MAX(0,(B987/C987)*G987/INDEX(Surface_Engine!$B$12:$B$72,$A987+1)-F987/INDEX(Surface_Engine!$B$12:$B$72,$A987+1))))*(MAX(IF(D987&lt;=0,0,MAX(0,(B987/D987)*H987/INDEX(Surface_Engine!$B$12:$B$72,$A987+1)-F987/INDEX(Surface_Engine!$B$12:$B$72,$A987+1))),IF(E987&lt;=0,0,MAX(0,(B987/E987)*I987/INDEX(Surface_Engine!$B$12:$B$72,$A987+1)-F987/INDEX(Surface_Engine!$B$12:$B$72,$A987+1))),IF($A987&lt;$Q$951,MAX(0,-Assumptions!$B$22*(F987/INDEX(Surface_Engine!$B$12:$B$72,$A987+1))),0)))+2*Assumptions!$B$27*(IF(C987&lt;=0,0,MAX(0,(B987/C987)*G987/INDEX(Surface_Engine!$B$12:$B$72,$A987+1)-F987/INDEX(Surface_Engine!$B$12:$B$72,$A987+1))))*(MAX(0,J987/INDEX(Surface_Engine!$B$12:$B$72,$A987+1)-(F987/INDEX(Surface_Engine!$B$12:$B$72,$A987+1))))+2*Assumptions!$B$28*(MAX(IF(D987&lt;=0,0,MAX(0,(B987/D987)*H987/INDEX(Surface_Engine!$B$12:$B$72,$A987+1)-F987/INDEX(Surface_Engine!$B$12:$B$72,$A987+1))),IF(E987&lt;=0,0,MAX(0,(B987/E987)*I987/INDEX(Surface_Engine!$B$12:$B$72,$A987+1)-F987/INDEX(Surface_Engine!$B$12:$B$72,$A987+1))),IF($A987&lt;$Q$951,MAX(0,-Assumptions!$B$22*(F987/INDEX(Surface_Engine!$B$12:$B$72,$A987+1))),0)))*(MAX(0,J987/INDEX(Surface_Engine!$B$12:$B$72,$A987+1)-(F987/INDEX(Surface_Engine!$B$12:$B$72,$A987+1)))))</f>
        <v>461.104814637711</v>
      </c>
      <c r="L987" s="48" t="n">
        <f aca="false">K987*INDEX(Surface_Engine!$B$12:$B$72,$A987+1)+L988</f>
        <v>517.472397944773</v>
      </c>
      <c r="M987" s="48" t="n">
        <f aca="false">M986+B986*(IF($A986&lt;$Q$951,(Surface_Engine!Q244*12)-(Surface_Engine!Q244*12)*INDEX(Surface_Engine!$F$12:$F$72,$A986+1)-INDEX(Surface_Engine!$D$12:$D$72,$A986+1),-(1000*12*INDEX(Surface_Engine!$C$12:$C$72,$A986+1)/(1+Assumptions!$B$10)^22+INDEX(Surface_Engine!$D$12:$D$72,$A986+1))))*INDEX(Surface_Engine!$B$12:$B$72,$A986+1)</f>
        <v>1425.3343138989</v>
      </c>
      <c r="N987" s="12" t="n">
        <f aca="false">IF(B987&lt;=0,0,MAX(0,(K987+Assumptions!$B$29*L987/INDEX(Surface_Engine!$B$12:$B$72,$A987+1)-(M987/INDEX(Surface_Engine!$B$12:$B$72,$A987+1)-(F987/INDEX(Surface_Engine!$B$12:$B$72,$A987+1))))/B987))</f>
        <v>0</v>
      </c>
    </row>
    <row r="988" customFormat="false" ht="15" hidden="false" customHeight="true" outlineLevel="0" collapsed="false">
      <c r="A988" s="1" t="n">
        <v>35</v>
      </c>
      <c r="B988" s="32" t="n">
        <f aca="false">INDEX(Surface_Engine!$O$12:$O$72,$A988+1)*IF($A988&lt;$Q$951,INDEX(Surface_Engine!$E$12:$E$72,$A988+1),INDEX(Surface_Engine!$E$12:$E$72,$Q$951+1))</f>
        <v>0.0335975128906347</v>
      </c>
      <c r="C988" s="32" t="n">
        <f aca="false">INDEX(Panel_Reserving!$E$8:$E$68,$A988+1)*IF($A988&lt;$Q$951,INDEX(Surface_Engine!$E$12:$E$72,$A988+1),INDEX(Surface_Engine!$E$12:$E$72,$Q$951+1))</f>
        <v>0.065680530920337</v>
      </c>
      <c r="D988" s="32" t="n">
        <f aca="false">INDEX(Surface_Engine!$O$12:$O$72,$A988+1)*IF($A988&lt;$Q$951,INDEX(Surface_Engine!$Y$12:$Y$72,$A988+1),INDEX(Surface_Engine!$Y$12:$Y$72,$Q$951+1))</f>
        <v>0.029470383951773</v>
      </c>
      <c r="E988" s="32" t="n">
        <f aca="false">INDEX(Surface_Engine!$O$12:$O$72,$A988+1)*IF($A988&lt;$Q$951,INDEX(Surface_Engine!$Z$12:$Z$72,$A988+1),INDEX(Surface_Engine!$Z$12:$Z$72,$Q$951+1))</f>
        <v>0.0382618276927739</v>
      </c>
      <c r="F988" s="48" t="n">
        <f aca="false">B988*(IF($A988&lt;$Q$951,INDEX(Surface_Engine!$D$12:$D$72,$A988+1)+(Surface_Engine!Q244*12)*INDEX(Surface_Engine!$F$12:$F$72,$A988+1)-(Surface_Engine!Q244*12),1000*12*INDEX(Surface_Engine!$C$12:$C$72,$A988+1)/(1+Assumptions!$B$10)^22+INDEX(Surface_Engine!$D$12:$D$72,$A988+1)))*INDEX(Surface_Engine!$B$12:$B$72,$A988+1)+F989</f>
        <v>626.484914983009</v>
      </c>
      <c r="G988" s="48" t="n">
        <f aca="false">C988*(IF($A988&lt;$Q$951,INDEX(Surface_Engine!$D$12:$D$72,$A988+1)+(Surface_Engine!Q244*12)*INDEX(Surface_Engine!$F$12:$F$72,$A988+1)-(Surface_Engine!Q244*12),1000*12*INDEX(Surface_Engine!$C$12:$C$72,$A988+1)/(1+Assumptions!$B$10)^22+INDEX(Surface_Engine!$D$12:$D$72,$A988+1)))*INDEX(Surface_Engine!$B$12:$B$72,$A988+1)+G989</f>
        <v>1444.65817903576</v>
      </c>
      <c r="H988" s="48" t="n">
        <f aca="false">D988*(IF($A988&lt;$Q$951,INDEX(Surface_Engine!$D$12:$D$72,$A988+1)+(Surface_Engine!Q244*12)*INDEX(Surface_Engine!$F$12:$F$72,$A988+1)-(Surface_Engine!Q244*12),1000*12*INDEX(Surface_Engine!$C$12:$C$72,$A988+1)/(1+Assumptions!$B$10)^22+INDEX(Surface_Engine!$D$12:$D$72,$A988+1)))*INDEX(Surface_Engine!$B$12:$B$72,$A988+1)+H989</f>
        <v>549.527313067558</v>
      </c>
      <c r="I988" s="48" t="n">
        <f aca="false">E988*(IF($A988&lt;$Q$951,INDEX(Surface_Engine!$D$12:$D$72,$A988+1)+(Surface_Engine!Q244*12)*INDEX(Surface_Engine!$F$12:$F$72,$A988+1)-(Surface_Engine!Q244*12),1000*12*INDEX(Surface_Engine!$C$12:$C$72,$A988+1)/(1+Assumptions!$B$10)^22+INDEX(Surface_Engine!$D$12:$D$72,$A988+1)))*INDEX(Surface_Engine!$B$12:$B$72,$A988+1)+I989</f>
        <v>713.459295252886</v>
      </c>
      <c r="J988" s="48" t="n">
        <f aca="false">B988*(IF($A988&lt;$Q$951,INDEX(Surface_Engine!$D$12:$D$72,$A988+1)*(1+Assumptions!$B$24)+(Surface_Engine!Q244*12)*INDEX(Surface_Engine!$F$12:$F$72,$A988+1)-(Surface_Engine!Q244*12),1000*12*INDEX(Surface_Engine!$C$12:$C$72,$A988+1)/(1+Assumptions!$B$10)^22+INDEX(Surface_Engine!$D$12:$D$72,$A988+1)*(1+Assumptions!$B$24)))*INDEX(Surface_Engine!$B$12:$B$72,$A988+1)+J989</f>
        <v>627.268525670954</v>
      </c>
      <c r="K988" s="12" t="n">
        <f aca="false">SQRT((IF(C988&lt;=0,0,MAX(0,(B988/C988)*G988/INDEX(Surface_Engine!$B$12:$B$72,$A988+1)-F988/INDEX(Surface_Engine!$B$12:$B$72,$A988+1))))^2+(MAX(IF(D988&lt;=0,0,MAX(0,(B988/D988)*H988/INDEX(Surface_Engine!$B$12:$B$72,$A988+1)-F988/INDEX(Surface_Engine!$B$12:$B$72,$A988+1))),IF(E988&lt;=0,0,MAX(0,(B988/E988)*I988/INDEX(Surface_Engine!$B$12:$B$72,$A988+1)-F988/INDEX(Surface_Engine!$B$12:$B$72,$A988+1))),IF($A988&lt;$Q$951,MAX(0,-Assumptions!$B$22*(F988/INDEX(Surface_Engine!$B$12:$B$72,$A988+1))),0)))^2+(MAX(0,J988/INDEX(Surface_Engine!$B$12:$B$72,$A988+1)-(F988/INDEX(Surface_Engine!$B$12:$B$72,$A988+1))))^2+2*Assumptions!$B$26*(IF(C988&lt;=0,0,MAX(0,(B988/C988)*G988/INDEX(Surface_Engine!$B$12:$B$72,$A988+1)-F988/INDEX(Surface_Engine!$B$12:$B$72,$A988+1))))*(MAX(IF(D988&lt;=0,0,MAX(0,(B988/D988)*H988/INDEX(Surface_Engine!$B$12:$B$72,$A988+1)-F988/INDEX(Surface_Engine!$B$12:$B$72,$A988+1))),IF(E988&lt;=0,0,MAX(0,(B988/E988)*I988/INDEX(Surface_Engine!$B$12:$B$72,$A988+1)-F988/INDEX(Surface_Engine!$B$12:$B$72,$A988+1))),IF($A988&lt;$Q$951,MAX(0,-Assumptions!$B$22*(F988/INDEX(Surface_Engine!$B$12:$B$72,$A988+1))),0)))+2*Assumptions!$B$27*(IF(C988&lt;=0,0,MAX(0,(B988/C988)*G988/INDEX(Surface_Engine!$B$12:$B$72,$A988+1)-F988/INDEX(Surface_Engine!$B$12:$B$72,$A988+1))))*(MAX(0,J988/INDEX(Surface_Engine!$B$12:$B$72,$A988+1)-(F988/INDEX(Surface_Engine!$B$12:$B$72,$A988+1))))+2*Assumptions!$B$28*(MAX(IF(D988&lt;=0,0,MAX(0,(B988/D988)*H988/INDEX(Surface_Engine!$B$12:$B$72,$A988+1)-F988/INDEX(Surface_Engine!$B$12:$B$72,$A988+1))),IF(E988&lt;=0,0,MAX(0,(B988/E988)*I988/INDEX(Surface_Engine!$B$12:$B$72,$A988+1)-F988/INDEX(Surface_Engine!$B$12:$B$72,$A988+1))),IF($A988&lt;$Q$951,MAX(0,-Assumptions!$B$22*(F988/INDEX(Surface_Engine!$B$12:$B$72,$A988+1))),0)))*(MAX(0,J988/INDEX(Surface_Engine!$B$12:$B$72,$A988+1)-(F988/INDEX(Surface_Engine!$B$12:$B$72,$A988+1)))))</f>
        <v>338.591712791709</v>
      </c>
      <c r="L988" s="48" t="n">
        <f aca="false">K988*INDEX(Surface_Engine!$B$12:$B$72,$A988+1)+L989</f>
        <v>358.991202372964</v>
      </c>
      <c r="M988" s="48" t="n">
        <f aca="false">M987+B987*(IF($A987&lt;$Q$951,(Surface_Engine!Q244*12)-(Surface_Engine!Q244*12)*INDEX(Surface_Engine!$F$12:$F$72,$A987+1)-INDEX(Surface_Engine!$D$12:$D$72,$A987+1),-(1000*12*INDEX(Surface_Engine!$C$12:$C$72,$A987+1)/(1+Assumptions!$B$10)^22+INDEX(Surface_Engine!$D$12:$D$72,$A987+1))))*INDEX(Surface_Engine!$B$12:$B$72,$A987+1)</f>
        <v>1192.37277394879</v>
      </c>
      <c r="N988" s="12" t="n">
        <f aca="false">IF(B988&lt;=0,0,MAX(0,(K988+Assumptions!$B$29*L988/INDEX(Surface_Engine!$B$12:$B$72,$A988+1)-(M988/INDEX(Surface_Engine!$B$12:$B$72,$A988+1)-(F988/INDEX(Surface_Engine!$B$12:$B$72,$A988+1))))/B988))</f>
        <v>0</v>
      </c>
    </row>
    <row r="989" customFormat="false" ht="15" hidden="false" customHeight="true" outlineLevel="0" collapsed="false">
      <c r="A989" s="1" t="n">
        <v>36</v>
      </c>
      <c r="B989" s="32" t="n">
        <f aca="false">INDEX(Surface_Engine!$O$12:$O$72,$A989+1)*IF($A989&lt;$Q$951,INDEX(Surface_Engine!$E$12:$E$72,$A989+1),INDEX(Surface_Engine!$E$12:$E$72,$Q$951+1))</f>
        <v>0.0251800450011928</v>
      </c>
      <c r="C989" s="32" t="n">
        <f aca="false">INDEX(Panel_Reserving!$E$8:$E$68,$A989+1)*IF($A989&lt;$Q$951,INDEX(Surface_Engine!$E$12:$E$72,$A989+1),INDEX(Surface_Engine!$E$12:$E$72,$Q$951+1))</f>
        <v>0.0525161336202608</v>
      </c>
      <c r="D989" s="32" t="n">
        <f aca="false">INDEX(Surface_Engine!$O$12:$O$72,$A989+1)*IF($A989&lt;$Q$951,INDEX(Surface_Engine!$Y$12:$Y$72,$A989+1),INDEX(Surface_Engine!$Y$12:$Y$72,$Q$951+1))</f>
        <v>0.0220869204373436</v>
      </c>
      <c r="E989" s="32" t="n">
        <f aca="false">INDEX(Surface_Engine!$O$12:$O$72,$A989+1)*IF($A989&lt;$Q$951,INDEX(Surface_Engine!$Z$12:$Z$72,$A989+1),INDEX(Surface_Engine!$Z$12:$Z$72,$Q$951+1))</f>
        <v>0.0286757697293864</v>
      </c>
      <c r="F989" s="48" t="n">
        <f aca="false">B989*(IF($A989&lt;$Q$951,INDEX(Surface_Engine!$D$12:$D$72,$A989+1)+(Surface_Engine!Q244*12)*INDEX(Surface_Engine!$F$12:$F$72,$A989+1)-(Surface_Engine!Q244*12),1000*12*INDEX(Surface_Engine!$C$12:$C$72,$A989+1)/(1+Assumptions!$B$10)^22+INDEX(Surface_Engine!$D$12:$D$72,$A989+1)))*INDEX(Surface_Engine!$B$12:$B$72,$A989+1)+F990</f>
        <v>450.715696226685</v>
      </c>
      <c r="G989" s="48" t="n">
        <f aca="false">C989*(IF($A989&lt;$Q$951,INDEX(Surface_Engine!$D$12:$D$72,$A989+1)+(Surface_Engine!Q244*12)*INDEX(Surface_Engine!$F$12:$F$72,$A989+1)-(Surface_Engine!Q244*12),1000*12*INDEX(Surface_Engine!$C$12:$C$72,$A989+1)/(1+Assumptions!$B$10)^22+INDEX(Surface_Engine!$D$12:$D$72,$A989+1)))*INDEX(Surface_Engine!$B$12:$B$72,$A989+1)+G990</f>
        <v>1101.04299403835</v>
      </c>
      <c r="H989" s="48" t="n">
        <f aca="false">D989*(IF($A989&lt;$Q$951,INDEX(Surface_Engine!$D$12:$D$72,$A989+1)+(Surface_Engine!Q244*12)*INDEX(Surface_Engine!$F$12:$F$72,$A989+1)-(Surface_Engine!Q244*12),1000*12*INDEX(Surface_Engine!$C$12:$C$72,$A989+1)/(1+Assumptions!$B$10)^22+INDEX(Surface_Engine!$D$12:$D$72,$A989+1)))*INDEX(Surface_Engine!$B$12:$B$72,$A989+1)+H990</f>
        <v>395.349639841753</v>
      </c>
      <c r="I989" s="48" t="n">
        <f aca="false">E989*(IF($A989&lt;$Q$951,INDEX(Surface_Engine!$D$12:$D$72,$A989+1)+(Surface_Engine!Q244*12)*INDEX(Surface_Engine!$F$12:$F$72,$A989+1)-(Surface_Engine!Q244*12),1000*12*INDEX(Surface_Engine!$C$12:$C$72,$A989+1)/(1+Assumptions!$B$10)^22+INDEX(Surface_Engine!$D$12:$D$72,$A989+1)))*INDEX(Surface_Engine!$B$12:$B$72,$A989+1)+I990</f>
        <v>513.288181883878</v>
      </c>
      <c r="J989" s="48" t="n">
        <f aca="false">B989*(IF($A989&lt;$Q$951,INDEX(Surface_Engine!$D$12:$D$72,$A989+1)*(1+Assumptions!$B$24)+(Surface_Engine!Q244*12)*INDEX(Surface_Engine!$F$12:$F$72,$A989+1)-(Surface_Engine!Q244*12),1000*12*INDEX(Surface_Engine!$C$12:$C$72,$A989+1)/(1+Assumptions!$B$10)^22+INDEX(Surface_Engine!$D$12:$D$72,$A989+1)*(1+Assumptions!$B$24)))*INDEX(Surface_Engine!$B$12:$B$72,$A989+1)+J990</f>
        <v>451.281687354227</v>
      </c>
      <c r="K989" s="12" t="n">
        <f aca="false">SQRT((IF(C989&lt;=0,0,MAX(0,(B989/C989)*G989/INDEX(Surface_Engine!$B$12:$B$72,$A989+1)-F989/INDEX(Surface_Engine!$B$12:$B$72,$A989+1))))^2+(MAX(IF(D989&lt;=0,0,MAX(0,(B989/D989)*H989/INDEX(Surface_Engine!$B$12:$B$72,$A989+1)-F989/INDEX(Surface_Engine!$B$12:$B$72,$A989+1))),IF(E989&lt;=0,0,MAX(0,(B989/E989)*I989/INDEX(Surface_Engine!$B$12:$B$72,$A989+1)-F989/INDEX(Surface_Engine!$B$12:$B$72,$A989+1))),IF($A989&lt;$Q$951,MAX(0,-Assumptions!$B$22*(F989/INDEX(Surface_Engine!$B$12:$B$72,$A989+1))),0)))^2+(MAX(0,J989/INDEX(Surface_Engine!$B$12:$B$72,$A989+1)-(F989/INDEX(Surface_Engine!$B$12:$B$72,$A989+1))))^2+2*Assumptions!$B$26*(IF(C989&lt;=0,0,MAX(0,(B989/C989)*G989/INDEX(Surface_Engine!$B$12:$B$72,$A989+1)-F989/INDEX(Surface_Engine!$B$12:$B$72,$A989+1))))*(MAX(IF(D989&lt;=0,0,MAX(0,(B989/D989)*H989/INDEX(Surface_Engine!$B$12:$B$72,$A989+1)-F989/INDEX(Surface_Engine!$B$12:$B$72,$A989+1))),IF(E989&lt;=0,0,MAX(0,(B989/E989)*I989/INDEX(Surface_Engine!$B$12:$B$72,$A989+1)-F989/INDEX(Surface_Engine!$B$12:$B$72,$A989+1))),IF($A989&lt;$Q$951,MAX(0,-Assumptions!$B$22*(F989/INDEX(Surface_Engine!$B$12:$B$72,$A989+1))),0)))+2*Assumptions!$B$27*(IF(C989&lt;=0,0,MAX(0,(B989/C989)*G989/INDEX(Surface_Engine!$B$12:$B$72,$A989+1)-F989/INDEX(Surface_Engine!$B$12:$B$72,$A989+1))))*(MAX(0,J989/INDEX(Surface_Engine!$B$12:$B$72,$A989+1)-(F989/INDEX(Surface_Engine!$B$12:$B$72,$A989+1))))+2*Assumptions!$B$28*(MAX(IF(D989&lt;=0,0,MAX(0,(B989/D989)*H989/INDEX(Surface_Engine!$B$12:$B$72,$A989+1)-F989/INDEX(Surface_Engine!$B$12:$B$72,$A989+1))),IF(E989&lt;=0,0,MAX(0,(B989/E989)*I989/INDEX(Surface_Engine!$B$12:$B$72,$A989+1)-F989/INDEX(Surface_Engine!$B$12:$B$72,$A989+1))),IF($A989&lt;$Q$951,MAX(0,-Assumptions!$B$22*(F989/INDEX(Surface_Engine!$B$12:$B$72,$A989+1))),0)))*(MAX(0,J989/INDEX(Surface_Engine!$B$12:$B$72,$A989+1)-(F989/INDEX(Surface_Engine!$B$12:$B$72,$A989+1)))))</f>
        <v>239.887260748607</v>
      </c>
      <c r="L989" s="48" t="n">
        <f aca="false">K989*INDEX(Surface_Engine!$B$12:$B$72,$A989+1)+L990</f>
        <v>246.292742083292</v>
      </c>
      <c r="M989" s="48" t="n">
        <f aca="false">M988+B988*(IF($A988&lt;$Q$951,(Surface_Engine!Q244*12)-(Surface_Engine!Q244*12)*INDEX(Surface_Engine!$F$12:$F$72,$A988+1)-INDEX(Surface_Engine!$D$12:$D$72,$A988+1),-(1000*12*INDEX(Surface_Engine!$C$12:$C$72,$A988+1)/(1+Assumptions!$B$10)^22+INDEX(Surface_Engine!$D$12:$D$72,$A988+1))))*INDEX(Surface_Engine!$B$12:$B$72,$A988+1)</f>
        <v>1016.60355519247</v>
      </c>
      <c r="N989" s="12" t="n">
        <f aca="false">IF(B989&lt;=0,0,MAX(0,(K989+Assumptions!$B$29*L989/INDEX(Surface_Engine!$B$12:$B$72,$A989+1)-(M989/INDEX(Surface_Engine!$B$12:$B$72,$A989+1)-(F989/INDEX(Surface_Engine!$B$12:$B$72,$A989+1))))/B989))</f>
        <v>0</v>
      </c>
    </row>
    <row r="990" customFormat="false" ht="15" hidden="false" customHeight="true" outlineLevel="0" collapsed="false">
      <c r="A990" s="1" t="n">
        <v>37</v>
      </c>
      <c r="B990" s="32" t="n">
        <f aca="false">INDEX(Surface_Engine!$O$12:$O$72,$A990+1)*IF($A990&lt;$Q$951,INDEX(Surface_Engine!$E$12:$E$72,$A990+1),INDEX(Surface_Engine!$E$12:$E$72,$Q$951+1))</f>
        <v>0.0191257045601671</v>
      </c>
      <c r="C990" s="32" t="n">
        <f aca="false">INDEX(Panel_Reserving!$E$8:$E$68,$A990+1)*IF($A990&lt;$Q$951,INDEX(Surface_Engine!$E$12:$E$72,$A990+1),INDEX(Surface_Engine!$E$12:$E$72,$Q$951+1))</f>
        <v>0.0424144661587962</v>
      </c>
      <c r="D990" s="32" t="n">
        <f aca="false">INDEX(Surface_Engine!$O$12:$O$72,$A990+1)*IF($A990&lt;$Q$951,INDEX(Surface_Engine!$Y$12:$Y$72,$A990+1),INDEX(Surface_Engine!$Y$12:$Y$72,$Q$951+1))</f>
        <v>0.0167762970601736</v>
      </c>
      <c r="E990" s="32" t="n">
        <f aca="false">INDEX(Surface_Engine!$O$12:$O$72,$A990+1)*IF($A990&lt;$Q$951,INDEX(Surface_Engine!$Z$12:$Z$72,$A990+1),INDEX(Surface_Engine!$Z$12:$Z$72,$Q$951+1))</f>
        <v>0.0217809102348167</v>
      </c>
      <c r="F990" s="48" t="n">
        <f aca="false">B990*(IF($A990&lt;$Q$951,INDEX(Surface_Engine!$D$12:$D$72,$A990+1)+(Surface_Engine!Q244*12)*INDEX(Surface_Engine!$F$12:$F$72,$A990+1)-(Surface_Engine!Q244*12),1000*12*INDEX(Surface_Engine!$C$12:$C$72,$A990+1)/(1+Assumptions!$B$10)^22+INDEX(Surface_Engine!$D$12:$D$72,$A990+1)))*INDEX(Surface_Engine!$B$12:$B$72,$A990+1)+F991</f>
        <v>320.543875945042</v>
      </c>
      <c r="G990" s="48" t="n">
        <f aca="false">C990*(IF($A990&lt;$Q$951,INDEX(Surface_Engine!$D$12:$D$72,$A990+1)+(Surface_Engine!Q244*12)*INDEX(Surface_Engine!$F$12:$F$72,$A990+1)-(Surface_Engine!Q244*12),1000*12*INDEX(Surface_Engine!$C$12:$C$72,$A990+1)/(1+Assumptions!$B$10)^22+INDEX(Surface_Engine!$D$12:$D$72,$A990+1)))*INDEX(Surface_Engine!$B$12:$B$72,$A990+1)+G991</f>
        <v>829.553379656031</v>
      </c>
      <c r="H990" s="48" t="n">
        <f aca="false">D990*(IF($A990&lt;$Q$951,INDEX(Surface_Engine!$D$12:$D$72,$A990+1)+(Surface_Engine!Q244*12)*INDEX(Surface_Engine!$F$12:$F$72,$A990+1)-(Surface_Engine!Q244*12),1000*12*INDEX(Surface_Engine!$C$12:$C$72,$A990+1)/(1+Assumptions!$B$10)^22+INDEX(Surface_Engine!$D$12:$D$72,$A990+1)))*INDEX(Surface_Engine!$B$12:$B$72,$A990+1)+H991</f>
        <v>281.16816647232</v>
      </c>
      <c r="I990" s="48" t="n">
        <f aca="false">E990*(IF($A990&lt;$Q$951,INDEX(Surface_Engine!$D$12:$D$72,$A990+1)+(Surface_Engine!Q244*12)*INDEX(Surface_Engine!$F$12:$F$72,$A990+1)-(Surface_Engine!Q244*12),1000*12*INDEX(Surface_Engine!$C$12:$C$72,$A990+1)/(1+Assumptions!$B$10)^22+INDEX(Surface_Engine!$D$12:$D$72,$A990+1)))*INDEX(Surface_Engine!$B$12:$B$72,$A990+1)+I991</f>
        <v>365.044715937942</v>
      </c>
      <c r="J990" s="48" t="n">
        <f aca="false">B990*(IF($A990&lt;$Q$951,INDEX(Surface_Engine!$D$12:$D$72,$A990+1)*(1+Assumptions!$B$24)+(Surface_Engine!Q244*12)*INDEX(Surface_Engine!$F$12:$F$72,$A990+1)-(Surface_Engine!Q244*12),1000*12*INDEX(Surface_Engine!$C$12:$C$72,$A990+1)/(1+Assumptions!$B$10)^22+INDEX(Surface_Engine!$D$12:$D$72,$A990+1)*(1+Assumptions!$B$24)))*INDEX(Surface_Engine!$B$12:$B$72,$A990+1)+J991</f>
        <v>320.947921372678</v>
      </c>
      <c r="K990" s="12" t="n">
        <f aca="false">SQRT((IF(C990&lt;=0,0,MAX(0,(B990/C990)*G990/INDEX(Surface_Engine!$B$12:$B$72,$A990+1)-F990/INDEX(Surface_Engine!$B$12:$B$72,$A990+1))))^2+(MAX(IF(D990&lt;=0,0,MAX(0,(B990/D990)*H990/INDEX(Surface_Engine!$B$12:$B$72,$A990+1)-F990/INDEX(Surface_Engine!$B$12:$B$72,$A990+1))),IF(E990&lt;=0,0,MAX(0,(B990/E990)*I990/INDEX(Surface_Engine!$B$12:$B$72,$A990+1)-F990/INDEX(Surface_Engine!$B$12:$B$72,$A990+1))),IF($A990&lt;$Q$951,MAX(0,-Assumptions!$B$22*(F990/INDEX(Surface_Engine!$B$12:$B$72,$A990+1))),0)))^2+(MAX(0,J990/INDEX(Surface_Engine!$B$12:$B$72,$A990+1)-(F990/INDEX(Surface_Engine!$B$12:$B$72,$A990+1))))^2+2*Assumptions!$B$26*(IF(C990&lt;=0,0,MAX(0,(B990/C990)*G990/INDEX(Surface_Engine!$B$12:$B$72,$A990+1)-F990/INDEX(Surface_Engine!$B$12:$B$72,$A990+1))))*(MAX(IF(D990&lt;=0,0,MAX(0,(B990/D990)*H990/INDEX(Surface_Engine!$B$12:$B$72,$A990+1)-F990/INDEX(Surface_Engine!$B$12:$B$72,$A990+1))),IF(E990&lt;=0,0,MAX(0,(B990/E990)*I990/INDEX(Surface_Engine!$B$12:$B$72,$A990+1)-F990/INDEX(Surface_Engine!$B$12:$B$72,$A990+1))),IF($A990&lt;$Q$951,MAX(0,-Assumptions!$B$22*(F990/INDEX(Surface_Engine!$B$12:$B$72,$A990+1))),0)))+2*Assumptions!$B$27*(IF(C990&lt;=0,0,MAX(0,(B990/C990)*G990/INDEX(Surface_Engine!$B$12:$B$72,$A990+1)-F990/INDEX(Surface_Engine!$B$12:$B$72,$A990+1))))*(MAX(0,J990/INDEX(Surface_Engine!$B$12:$B$72,$A990+1)-(F990/INDEX(Surface_Engine!$B$12:$B$72,$A990+1))))+2*Assumptions!$B$28*(MAX(IF(D990&lt;=0,0,MAX(0,(B990/D990)*H990/INDEX(Surface_Engine!$B$12:$B$72,$A990+1)-F990/INDEX(Surface_Engine!$B$12:$B$72,$A990+1))),IF(E990&lt;=0,0,MAX(0,(B990/E990)*I990/INDEX(Surface_Engine!$B$12:$B$72,$A990+1)-F990/INDEX(Surface_Engine!$B$12:$B$72,$A990+1))),IF($A990&lt;$Q$951,MAX(0,-Assumptions!$B$22*(F990/INDEX(Surface_Engine!$B$12:$B$72,$A990+1))),0)))*(MAX(0,J990/INDEX(Surface_Engine!$B$12:$B$72,$A990+1)-(F990/INDEX(Surface_Engine!$B$12:$B$72,$A990+1)))))</f>
        <v>171.745951451183</v>
      </c>
      <c r="L990" s="48" t="n">
        <f aca="false">K990*INDEX(Surface_Engine!$B$12:$B$72,$A990+1)+L991</f>
        <v>168.945096655633</v>
      </c>
      <c r="M990" s="48" t="n">
        <f aca="false">M989+B989*(IF($A989&lt;$Q$951,(Surface_Engine!Q244*12)-(Surface_Engine!Q244*12)*INDEX(Surface_Engine!$F$12:$F$72,$A989+1)-INDEX(Surface_Engine!$D$12:$D$72,$A989+1),-(1000*12*INDEX(Surface_Engine!$C$12:$C$72,$A989+1)/(1+Assumptions!$B$10)^22+INDEX(Surface_Engine!$D$12:$D$72,$A989+1))))*INDEX(Surface_Engine!$B$12:$B$72,$A989+1)</f>
        <v>886.431734910825</v>
      </c>
      <c r="N990" s="12" t="n">
        <f aca="false">IF(B990&lt;=0,0,MAX(0,(K990+Assumptions!$B$29*L990/INDEX(Surface_Engine!$B$12:$B$72,$A990+1)-(M990/INDEX(Surface_Engine!$B$12:$B$72,$A990+1)-(F990/INDEX(Surface_Engine!$B$12:$B$72,$A990+1))))/B990))</f>
        <v>0</v>
      </c>
    </row>
    <row r="991" customFormat="false" ht="15" hidden="false" customHeight="true" outlineLevel="0" collapsed="false">
      <c r="A991" s="1" t="n">
        <v>38</v>
      </c>
      <c r="B991" s="32" t="n">
        <f aca="false">INDEX(Surface_Engine!$O$12:$O$72,$A991+1)*IF($A991&lt;$Q$951,INDEX(Surface_Engine!$E$12:$E$72,$A991+1),INDEX(Surface_Engine!$E$12:$E$72,$Q$951+1))</f>
        <v>0.0167708159809999</v>
      </c>
      <c r="C991" s="32" t="n">
        <f aca="false">INDEX(Panel_Reserving!$E$8:$E$68,$A991+1)*IF($A991&lt;$Q$951,INDEX(Surface_Engine!$E$12:$E$72,$A991+1),INDEX(Surface_Engine!$E$12:$E$72,$Q$951+1))</f>
        <v>0.0382365770092653</v>
      </c>
      <c r="D991" s="32" t="n">
        <f aca="false">INDEX(Surface_Engine!$O$12:$O$72,$A991+1)*IF($A991&lt;$Q$951,INDEX(Surface_Engine!$Y$12:$Y$72,$A991+1),INDEX(Surface_Engine!$Y$12:$Y$72,$Q$951+1))</f>
        <v>0.0147106837269008</v>
      </c>
      <c r="E991" s="32" t="n">
        <f aca="false">INDEX(Surface_Engine!$O$12:$O$72,$A991+1)*IF($A991&lt;$Q$951,INDEX(Surface_Engine!$Z$12:$Z$72,$A991+1),INDEX(Surface_Engine!$Z$12:$Z$72,$Q$951+1))</f>
        <v>0.019099094430621</v>
      </c>
      <c r="F991" s="48" t="n">
        <f aca="false">B991*(IF($A991&lt;$Q$951,INDEX(Surface_Engine!$D$12:$D$72,$A991+1)+(Surface_Engine!Q244*12)*INDEX(Surface_Engine!$F$12:$F$72,$A991+1)-(Surface_Engine!Q244*12),1000*12*INDEX(Surface_Engine!$C$12:$C$72,$A991+1)/(1+Assumptions!$B$10)^22+INDEX(Surface_Engine!$D$12:$D$72,$A991+1)))*INDEX(Surface_Engine!$B$12:$B$72,$A991+1)+F992</f>
        <v>222.878933041876</v>
      </c>
      <c r="G991" s="48" t="n">
        <f aca="false">C991*(IF($A991&lt;$Q$951,INDEX(Surface_Engine!$D$12:$D$72,$A991+1)+(Surface_Engine!Q244*12)*INDEX(Surface_Engine!$F$12:$F$72,$A991+1)-(Surface_Engine!Q244*12),1000*12*INDEX(Surface_Engine!$C$12:$C$72,$A991+1)/(1+Assumptions!$B$10)^22+INDEX(Surface_Engine!$D$12:$D$72,$A991+1)))*INDEX(Surface_Engine!$B$12:$B$72,$A991+1)+G992</f>
        <v>612.964944828147</v>
      </c>
      <c r="H991" s="48" t="n">
        <f aca="false">D991*(IF($A991&lt;$Q$951,INDEX(Surface_Engine!$D$12:$D$72,$A991+1)+(Surface_Engine!Q244*12)*INDEX(Surface_Engine!$F$12:$F$72,$A991+1)-(Surface_Engine!Q244*12),1000*12*INDEX(Surface_Engine!$C$12:$C$72,$A991+1)/(1+Assumptions!$B$10)^22+INDEX(Surface_Engine!$D$12:$D$72,$A991+1)))*INDEX(Surface_Engine!$B$12:$B$72,$A991+1)+H992</f>
        <v>195.500415548215</v>
      </c>
      <c r="I991" s="48" t="n">
        <f aca="false">E991*(IF($A991&lt;$Q$951,INDEX(Surface_Engine!$D$12:$D$72,$A991+1)+(Surface_Engine!Q244*12)*INDEX(Surface_Engine!$F$12:$F$72,$A991+1)-(Surface_Engine!Q244*12),1000*12*INDEX(Surface_Engine!$C$12:$C$72,$A991+1)/(1+Assumptions!$B$10)^22+INDEX(Surface_Engine!$D$12:$D$72,$A991+1)))*INDEX(Surface_Engine!$B$12:$B$72,$A991+1)+I992</f>
        <v>253.821030150558</v>
      </c>
      <c r="J991" s="48" t="n">
        <f aca="false">B991*(IF($A991&lt;$Q$951,INDEX(Surface_Engine!$D$12:$D$72,$A991+1)*(1+Assumptions!$B$24)+(Surface_Engine!Q244*12)*INDEX(Surface_Engine!$F$12:$F$72,$A991+1)-(Surface_Engine!Q244*12),1000*12*INDEX(Surface_Engine!$C$12:$C$72,$A991+1)/(1+Assumptions!$B$10)^22+INDEX(Surface_Engine!$D$12:$D$72,$A991+1)*(1+Assumptions!$B$24)))*INDEX(Surface_Engine!$B$12:$B$72,$A991+1)+J992</f>
        <v>223.160886147785</v>
      </c>
      <c r="K991" s="12" t="n">
        <f aca="false">SQRT((IF(C991&lt;=0,0,MAX(0,(B991/C991)*G991/INDEX(Surface_Engine!$B$12:$B$72,$A991+1)-F991/INDEX(Surface_Engine!$B$12:$B$72,$A991+1))))^2+(MAX(IF(D991&lt;=0,0,MAX(0,(B991/D991)*H991/INDEX(Surface_Engine!$B$12:$B$72,$A991+1)-F991/INDEX(Surface_Engine!$B$12:$B$72,$A991+1))),IF(E991&lt;=0,0,MAX(0,(B991/E991)*I991/INDEX(Surface_Engine!$B$12:$B$72,$A991+1)-F991/INDEX(Surface_Engine!$B$12:$B$72,$A991+1))),IF($A991&lt;$Q$951,MAX(0,-Assumptions!$B$22*(F991/INDEX(Surface_Engine!$B$12:$B$72,$A991+1))),0)))^2+(MAX(0,J991/INDEX(Surface_Engine!$B$12:$B$72,$A991+1)-(F991/INDEX(Surface_Engine!$B$12:$B$72,$A991+1))))^2+2*Assumptions!$B$26*(IF(C991&lt;=0,0,MAX(0,(B991/C991)*G991/INDEX(Surface_Engine!$B$12:$B$72,$A991+1)-F991/INDEX(Surface_Engine!$B$12:$B$72,$A991+1))))*(MAX(IF(D991&lt;=0,0,MAX(0,(B991/D991)*H991/INDEX(Surface_Engine!$B$12:$B$72,$A991+1)-F991/INDEX(Surface_Engine!$B$12:$B$72,$A991+1))),IF(E991&lt;=0,0,MAX(0,(B991/E991)*I991/INDEX(Surface_Engine!$B$12:$B$72,$A991+1)-F991/INDEX(Surface_Engine!$B$12:$B$72,$A991+1))),IF($A991&lt;$Q$951,MAX(0,-Assumptions!$B$22*(F991/INDEX(Surface_Engine!$B$12:$B$72,$A991+1))),0)))+2*Assumptions!$B$27*(IF(C991&lt;=0,0,MAX(0,(B991/C991)*G991/INDEX(Surface_Engine!$B$12:$B$72,$A991+1)-F991/INDEX(Surface_Engine!$B$12:$B$72,$A991+1))))*(MAX(0,J991/INDEX(Surface_Engine!$B$12:$B$72,$A991+1)-(F991/INDEX(Surface_Engine!$B$12:$B$72,$A991+1))))+2*Assumptions!$B$28*(MAX(IF(D991&lt;=0,0,MAX(0,(B991/D991)*H991/INDEX(Surface_Engine!$B$12:$B$72,$A991+1)-F991/INDEX(Surface_Engine!$B$12:$B$72,$A991+1))),IF(E991&lt;=0,0,MAX(0,(B991/E991)*I991/INDEX(Surface_Engine!$B$12:$B$72,$A991+1)-F991/INDEX(Surface_Engine!$B$12:$B$72,$A991+1))),IF($A991&lt;$Q$951,MAX(0,-Assumptions!$B$22*(F991/INDEX(Surface_Engine!$B$12:$B$72,$A991+1))),0)))*(MAX(0,J991/INDEX(Surface_Engine!$B$12:$B$72,$A991+1)-(F991/INDEX(Surface_Engine!$B$12:$B$72,$A991+1)))))</f>
        <v>152.289816561914</v>
      </c>
      <c r="L991" s="48" t="n">
        <f aca="false">K991*INDEX(Surface_Engine!$B$12:$B$72,$A991+1)+L992</f>
        <v>115.320931249133</v>
      </c>
      <c r="M991" s="48" t="n">
        <f aca="false">M990+B990*(IF($A990&lt;$Q$951,(Surface_Engine!Q244*12)-(Surface_Engine!Q244*12)*INDEX(Surface_Engine!$F$12:$F$72,$A990+1)-INDEX(Surface_Engine!$D$12:$D$72,$A990+1),-(1000*12*INDEX(Surface_Engine!$C$12:$C$72,$A990+1)/(1+Assumptions!$B$10)^22+INDEX(Surface_Engine!$D$12:$D$72,$A990+1))))*INDEX(Surface_Engine!$B$12:$B$72,$A990+1)</f>
        <v>788.766792007659</v>
      </c>
      <c r="N991" s="12" t="n">
        <f aca="false">IF(B991&lt;=0,0,MAX(0,(K991+Assumptions!$B$29*L991/INDEX(Surface_Engine!$B$12:$B$72,$A991+1)-(M991/INDEX(Surface_Engine!$B$12:$B$72,$A991+1)-(F991/INDEX(Surface_Engine!$B$12:$B$72,$A991+1))))/B991))</f>
        <v>0</v>
      </c>
    </row>
    <row r="992" customFormat="false" ht="15" hidden="false" customHeight="true" outlineLevel="0" collapsed="false">
      <c r="A992" s="1" t="n">
        <v>39</v>
      </c>
      <c r="B992" s="32" t="n">
        <f aca="false">INDEX(Surface_Engine!$O$12:$O$72,$A992+1)*IF($A992&lt;$Q$951,INDEX(Surface_Engine!$E$12:$E$72,$A992+1),INDEX(Surface_Engine!$E$12:$E$72,$Q$951+1))</f>
        <v>0.0111279802559666</v>
      </c>
      <c r="C992" s="32" t="n">
        <f aca="false">INDEX(Panel_Reserving!$E$8:$E$68,$A992+1)*IF($A992&lt;$Q$951,INDEX(Surface_Engine!$E$12:$E$72,$A992+1),INDEX(Surface_Engine!$E$12:$E$72,$Q$951+1))</f>
        <v>0.0279442824425458</v>
      </c>
      <c r="D992" s="32" t="n">
        <f aca="false">INDEX(Surface_Engine!$O$12:$O$72,$A992+1)*IF($A992&lt;$Q$951,INDEX(Surface_Engine!$Y$12:$Y$72,$A992+1),INDEX(Surface_Engine!$Y$12:$Y$72,$Q$951+1))</f>
        <v>0.00976101569835243</v>
      </c>
      <c r="E992" s="32" t="n">
        <f aca="false">INDEX(Surface_Engine!$O$12:$O$72,$A992+1)*IF($A992&lt;$Q$951,INDEX(Surface_Engine!$Z$12:$Z$72,$A992+1),INDEX(Surface_Engine!$Z$12:$Z$72,$Q$951+1))</f>
        <v>0.012672868509891</v>
      </c>
      <c r="F992" s="48" t="n">
        <f aca="false">B992*(IF($A992&lt;$Q$951,INDEX(Surface_Engine!$D$12:$D$72,$A992+1)+(Surface_Engine!Q244*12)*INDEX(Surface_Engine!$F$12:$F$72,$A992+1)-(Surface_Engine!Q244*12),1000*12*INDEX(Surface_Engine!$C$12:$C$72,$A992+1)/(1+Assumptions!$B$10)^22+INDEX(Surface_Engine!$D$12:$D$72,$A992+1)))*INDEX(Surface_Engine!$B$12:$B$72,$A992+1)+F993</f>
        <v>138.28883399851</v>
      </c>
      <c r="G992" s="48" t="n">
        <f aca="false">C992*(IF($A992&lt;$Q$951,INDEX(Surface_Engine!$D$12:$D$72,$A992+1)+(Surface_Engine!Q244*12)*INDEX(Surface_Engine!$F$12:$F$72,$A992+1)-(Surface_Engine!Q244*12),1000*12*INDEX(Surface_Engine!$C$12:$C$72,$A992+1)/(1+Assumptions!$B$10)^22+INDEX(Surface_Engine!$D$12:$D$72,$A992+1)))*INDEX(Surface_Engine!$B$12:$B$72,$A992+1)+G993</f>
        <v>420.103974917238</v>
      </c>
      <c r="H992" s="48" t="n">
        <f aca="false">D992*(IF($A992&lt;$Q$951,INDEX(Surface_Engine!$D$12:$D$72,$A992+1)+(Surface_Engine!Q244*12)*INDEX(Surface_Engine!$F$12:$F$72,$A992+1)-(Surface_Engine!Q244*12),1000*12*INDEX(Surface_Engine!$C$12:$C$72,$A992+1)/(1+Assumptions!$B$10)^22+INDEX(Surface_Engine!$D$12:$D$72,$A992+1)))*INDEX(Surface_Engine!$B$12:$B$72,$A992+1)+H993</f>
        <v>121.301390595347</v>
      </c>
      <c r="I992" s="48" t="n">
        <f aca="false">E992*(IF($A992&lt;$Q$951,INDEX(Surface_Engine!$D$12:$D$72,$A992+1)+(Surface_Engine!Q244*12)*INDEX(Surface_Engine!$F$12:$F$72,$A992+1)-(Surface_Engine!Q244*12),1000*12*INDEX(Surface_Engine!$C$12:$C$72,$A992+1)/(1+Assumptions!$B$10)^22+INDEX(Surface_Engine!$D$12:$D$72,$A992+1)))*INDEX(Surface_Engine!$B$12:$B$72,$A992+1)+I993</f>
        <v>157.487357933585</v>
      </c>
      <c r="J992" s="48" t="n">
        <f aca="false">B992*(IF($A992&lt;$Q$951,INDEX(Surface_Engine!$D$12:$D$72,$A992+1)*(1+Assumptions!$B$24)+(Surface_Engine!Q244*12)*INDEX(Surface_Engine!$F$12:$F$72,$A992+1)-(Surface_Engine!Q244*12),1000*12*INDEX(Surface_Engine!$C$12:$C$72,$A992+1)/(1+Assumptions!$B$10)^22+INDEX(Surface_Engine!$D$12:$D$72,$A992+1)*(1+Assumptions!$B$24)))*INDEX(Surface_Engine!$B$12:$B$72,$A992+1)+J993</f>
        <v>138.464527971869</v>
      </c>
      <c r="K992" s="12" t="n">
        <f aca="false">SQRT((IF(C992&lt;=0,0,MAX(0,(B992/C992)*G992/INDEX(Surface_Engine!$B$12:$B$72,$A992+1)-F992/INDEX(Surface_Engine!$B$12:$B$72,$A992+1))))^2+(MAX(IF(D992&lt;=0,0,MAX(0,(B992/D992)*H992/INDEX(Surface_Engine!$B$12:$B$72,$A992+1)-F992/INDEX(Surface_Engine!$B$12:$B$72,$A992+1))),IF(E992&lt;=0,0,MAX(0,(B992/E992)*I992/INDEX(Surface_Engine!$B$12:$B$72,$A992+1)-F992/INDEX(Surface_Engine!$B$12:$B$72,$A992+1))),IF($A992&lt;$Q$951,MAX(0,-Assumptions!$B$22*(F992/INDEX(Surface_Engine!$B$12:$B$72,$A992+1))),0)))^2+(MAX(0,J992/INDEX(Surface_Engine!$B$12:$B$72,$A992+1)-(F992/INDEX(Surface_Engine!$B$12:$B$72,$A992+1))))^2+2*Assumptions!$B$26*(IF(C992&lt;=0,0,MAX(0,(B992/C992)*G992/INDEX(Surface_Engine!$B$12:$B$72,$A992+1)-F992/INDEX(Surface_Engine!$B$12:$B$72,$A992+1))))*(MAX(IF(D992&lt;=0,0,MAX(0,(B992/D992)*H992/INDEX(Surface_Engine!$B$12:$B$72,$A992+1)-F992/INDEX(Surface_Engine!$B$12:$B$72,$A992+1))),IF(E992&lt;=0,0,MAX(0,(B992/E992)*I992/INDEX(Surface_Engine!$B$12:$B$72,$A992+1)-F992/INDEX(Surface_Engine!$B$12:$B$72,$A992+1))),IF($A992&lt;$Q$951,MAX(0,-Assumptions!$B$22*(F992/INDEX(Surface_Engine!$B$12:$B$72,$A992+1))),0)))+2*Assumptions!$B$27*(IF(C992&lt;=0,0,MAX(0,(B992/C992)*G992/INDEX(Surface_Engine!$B$12:$B$72,$A992+1)-F992/INDEX(Surface_Engine!$B$12:$B$72,$A992+1))))*(MAX(0,J992/INDEX(Surface_Engine!$B$12:$B$72,$A992+1)-(F992/INDEX(Surface_Engine!$B$12:$B$72,$A992+1))))+2*Assumptions!$B$28*(MAX(IF(D992&lt;=0,0,MAX(0,(B992/D992)*H992/INDEX(Surface_Engine!$B$12:$B$72,$A992+1)-F992/INDEX(Surface_Engine!$B$12:$B$72,$A992+1))),IF(E992&lt;=0,0,MAX(0,(B992/E992)*I992/INDEX(Surface_Engine!$B$12:$B$72,$A992+1)-F992/INDEX(Surface_Engine!$B$12:$B$72,$A992+1))),IF($A992&lt;$Q$951,MAX(0,-Assumptions!$B$22*(F992/INDEX(Surface_Engine!$B$12:$B$72,$A992+1))),0)))*(MAX(0,J992/INDEX(Surface_Engine!$B$12:$B$72,$A992+1)-(F992/INDEX(Surface_Engine!$B$12:$B$72,$A992+1)))))</f>
        <v>99.1934386840944</v>
      </c>
      <c r="L992" s="48" t="n">
        <f aca="false">K992*INDEX(Surface_Engine!$B$12:$B$72,$A992+1)+L993</f>
        <v>69.2780811713715</v>
      </c>
      <c r="M992" s="48" t="n">
        <f aca="false">M991+B991*(IF($A991&lt;$Q$951,(Surface_Engine!Q244*12)-(Surface_Engine!Q244*12)*INDEX(Surface_Engine!$F$12:$F$72,$A991+1)-INDEX(Surface_Engine!$D$12:$D$72,$A991+1),-(1000*12*INDEX(Surface_Engine!$C$12:$C$72,$A991+1)/(1+Assumptions!$B$10)^22+INDEX(Surface_Engine!$D$12:$D$72,$A991+1))))*INDEX(Surface_Engine!$B$12:$B$72,$A991+1)</f>
        <v>704.176692964293</v>
      </c>
      <c r="N992" s="12" t="n">
        <f aca="false">IF(B992&lt;=0,0,MAX(0,(K992+Assumptions!$B$29*L992/INDEX(Surface_Engine!$B$12:$B$72,$A992+1)-(M992/INDEX(Surface_Engine!$B$12:$B$72,$A992+1)-(F992/INDEX(Surface_Engine!$B$12:$B$72,$A992+1))))/B992))</f>
        <v>0</v>
      </c>
    </row>
    <row r="993" customFormat="false" ht="15" hidden="false" customHeight="true" outlineLevel="0" collapsed="false">
      <c r="A993" s="1" t="n">
        <v>40</v>
      </c>
      <c r="B993" s="32" t="n">
        <f aca="false">INDEX(Surface_Engine!$O$12:$O$72,$A993+1)*IF($A993&lt;$Q$951,INDEX(Surface_Engine!$E$12:$E$72,$A993+1),INDEX(Surface_Engine!$E$12:$E$72,$Q$951+1))</f>
        <v>0.00712001720402195</v>
      </c>
      <c r="C993" s="32" t="n">
        <f aca="false">INDEX(Panel_Reserving!$E$8:$E$68,$A993+1)*IF($A993&lt;$Q$951,INDEX(Surface_Engine!$E$12:$E$72,$A993+1),INDEX(Surface_Engine!$E$12:$E$72,$Q$951+1))</f>
        <v>0.0198925318846473</v>
      </c>
      <c r="D993" s="32" t="n">
        <f aca="false">INDEX(Surface_Engine!$O$12:$O$72,$A993+1)*IF($A993&lt;$Q$951,INDEX(Surface_Engine!$Y$12:$Y$72,$A993+1),INDEX(Surface_Engine!$Y$12:$Y$72,$Q$951+1))</f>
        <v>0.00624539207496653</v>
      </c>
      <c r="E993" s="32" t="n">
        <f aca="false">INDEX(Surface_Engine!$O$12:$O$72,$A993+1)*IF($A993&lt;$Q$951,INDEX(Surface_Engine!$Z$12:$Z$72,$A993+1),INDEX(Surface_Engine!$Z$12:$Z$72,$Q$951+1))</f>
        <v>0.00810848327721936</v>
      </c>
      <c r="F993" s="48" t="n">
        <f aca="false">B993*(IF($A993&lt;$Q$951,INDEX(Surface_Engine!$D$12:$D$72,$A993+1)+(Surface_Engine!Q244*12)*INDEX(Surface_Engine!$F$12:$F$72,$A993+1)-(Surface_Engine!Q244*12),1000*12*INDEX(Surface_Engine!$C$12:$C$72,$A993+1)/(1+Assumptions!$B$10)^22+INDEX(Surface_Engine!$D$12:$D$72,$A993+1)))*INDEX(Surface_Engine!$B$12:$B$72,$A993+1)+F994</f>
        <v>82.8296859610528</v>
      </c>
      <c r="G993" s="48" t="n">
        <f aca="false">C993*(IF($A993&lt;$Q$951,INDEX(Surface_Engine!$D$12:$D$72,$A993+1)+(Surface_Engine!Q244*12)*INDEX(Surface_Engine!$F$12:$F$72,$A993+1)-(Surface_Engine!Q244*12),1000*12*INDEX(Surface_Engine!$C$12:$C$72,$A993+1)/(1+Assumptions!$B$10)^22+INDEX(Surface_Engine!$D$12:$D$72,$A993+1)))*INDEX(Surface_Engine!$B$12:$B$72,$A993+1)+G994</f>
        <v>280.836465348219</v>
      </c>
      <c r="H993" s="48" t="n">
        <f aca="false">D993*(IF($A993&lt;$Q$951,INDEX(Surface_Engine!$D$12:$D$72,$A993+1)+(Surface_Engine!Q244*12)*INDEX(Surface_Engine!$F$12:$F$72,$A993+1)-(Surface_Engine!Q244*12),1000*12*INDEX(Surface_Engine!$C$12:$C$72,$A993+1)/(1+Assumptions!$B$10)^22+INDEX(Surface_Engine!$D$12:$D$72,$A993+1)))*INDEX(Surface_Engine!$B$12:$B$72,$A993+1)+H994</f>
        <v>72.6548615614175</v>
      </c>
      <c r="I993" s="48" t="n">
        <f aca="false">E993*(IF($A993&lt;$Q$951,INDEX(Surface_Engine!$D$12:$D$72,$A993+1)+(Surface_Engine!Q244*12)*INDEX(Surface_Engine!$F$12:$F$72,$A993+1)-(Surface_Engine!Q244*12),1000*12*INDEX(Surface_Engine!$C$12:$C$72,$A993+1)/(1+Assumptions!$B$10)^22+INDEX(Surface_Engine!$D$12:$D$72,$A993+1)))*INDEX(Surface_Engine!$B$12:$B$72,$A993+1)+I994</f>
        <v>94.3288624489759</v>
      </c>
      <c r="J993" s="48" t="n">
        <f aca="false">B993*(IF($A993&lt;$Q$951,INDEX(Surface_Engine!$D$12:$D$72,$A993+1)*(1+Assumptions!$B$24)+(Surface_Engine!Q244*12)*INDEX(Surface_Engine!$F$12:$F$72,$A993+1)-(Surface_Engine!Q244*12),1000*12*INDEX(Surface_Engine!$C$12:$C$72,$A993+1)/(1+Assumptions!$B$10)^22+INDEX(Surface_Engine!$D$12:$D$72,$A993+1)*(1+Assumptions!$B$24)))*INDEX(Surface_Engine!$B$12:$B$72,$A993+1)+J994</f>
        <v>82.9353768979488</v>
      </c>
      <c r="K993" s="12" t="n">
        <f aca="false">SQRT((IF(C993&lt;=0,0,MAX(0,(B993/C993)*G993/INDEX(Surface_Engine!$B$12:$B$72,$A993+1)-F993/INDEX(Surface_Engine!$B$12:$B$72,$A993+1))))^2+(MAX(IF(D993&lt;=0,0,MAX(0,(B993/D993)*H993/INDEX(Surface_Engine!$B$12:$B$72,$A993+1)-F993/INDEX(Surface_Engine!$B$12:$B$72,$A993+1))),IF(E993&lt;=0,0,MAX(0,(B993/E993)*I993/INDEX(Surface_Engine!$B$12:$B$72,$A993+1)-F993/INDEX(Surface_Engine!$B$12:$B$72,$A993+1))),IF($A993&lt;$Q$951,MAX(0,-Assumptions!$B$22*(F993/INDEX(Surface_Engine!$B$12:$B$72,$A993+1))),0)))^2+(MAX(0,J993/INDEX(Surface_Engine!$B$12:$B$72,$A993+1)-(F993/INDEX(Surface_Engine!$B$12:$B$72,$A993+1))))^2+2*Assumptions!$B$26*(IF(C993&lt;=0,0,MAX(0,(B993/C993)*G993/INDEX(Surface_Engine!$B$12:$B$72,$A993+1)-F993/INDEX(Surface_Engine!$B$12:$B$72,$A993+1))))*(MAX(IF(D993&lt;=0,0,MAX(0,(B993/D993)*H993/INDEX(Surface_Engine!$B$12:$B$72,$A993+1)-F993/INDEX(Surface_Engine!$B$12:$B$72,$A993+1))),IF(E993&lt;=0,0,MAX(0,(B993/E993)*I993/INDEX(Surface_Engine!$B$12:$B$72,$A993+1)-F993/INDEX(Surface_Engine!$B$12:$B$72,$A993+1))),IF($A993&lt;$Q$951,MAX(0,-Assumptions!$B$22*(F993/INDEX(Surface_Engine!$B$12:$B$72,$A993+1))),0)))+2*Assumptions!$B$27*(IF(C993&lt;=0,0,MAX(0,(B993/C993)*G993/INDEX(Surface_Engine!$B$12:$B$72,$A993+1)-F993/INDEX(Surface_Engine!$B$12:$B$72,$A993+1))))*(MAX(0,J993/INDEX(Surface_Engine!$B$12:$B$72,$A993+1)-(F993/INDEX(Surface_Engine!$B$12:$B$72,$A993+1))))+2*Assumptions!$B$28*(MAX(IF(D993&lt;=0,0,MAX(0,(B993/D993)*H993/INDEX(Surface_Engine!$B$12:$B$72,$A993+1)-F993/INDEX(Surface_Engine!$B$12:$B$72,$A993+1))),IF(E993&lt;=0,0,MAX(0,(B993/E993)*I993/INDEX(Surface_Engine!$B$12:$B$72,$A993+1)-F993/INDEX(Surface_Engine!$B$12:$B$72,$A993+1))),IF($A993&lt;$Q$951,MAX(0,-Assumptions!$B$22*(F993/INDEX(Surface_Engine!$B$12:$B$72,$A993+1))),0)))*(MAX(0,J993/INDEX(Surface_Engine!$B$12:$B$72,$A993+1)-(F993/INDEX(Surface_Engine!$B$12:$B$72,$A993+1)))))</f>
        <v>62.4743578723264</v>
      </c>
      <c r="L993" s="48" t="n">
        <f aca="false">K993*INDEX(Surface_Engine!$B$12:$B$72,$A993+1)+L994</f>
        <v>40.2285668833049</v>
      </c>
      <c r="M993" s="48" t="n">
        <f aca="false">M992+B992*(IF($A992&lt;$Q$951,(Surface_Engine!Q244*12)-(Surface_Engine!Q244*12)*INDEX(Surface_Engine!$F$12:$F$72,$A992+1)-INDEX(Surface_Engine!$D$12:$D$72,$A992+1),-(1000*12*INDEX(Surface_Engine!$C$12:$C$72,$A992+1)/(1+Assumptions!$B$10)^22+INDEX(Surface_Engine!$D$12:$D$72,$A992+1))))*INDEX(Surface_Engine!$B$12:$B$72,$A992+1)</f>
        <v>648.717544926835</v>
      </c>
      <c r="N993" s="12" t="n">
        <f aca="false">IF(B993&lt;=0,0,MAX(0,(K993+Assumptions!$B$29*L993/INDEX(Surface_Engine!$B$12:$B$72,$A993+1)-(M993/INDEX(Surface_Engine!$B$12:$B$72,$A993+1)-(F993/INDEX(Surface_Engine!$B$12:$B$72,$A993+1))))/B993))</f>
        <v>0</v>
      </c>
    </row>
    <row r="994" customFormat="false" ht="15" hidden="false" customHeight="true" outlineLevel="0" collapsed="false">
      <c r="A994" s="1" t="n">
        <v>41</v>
      </c>
      <c r="B994" s="32" t="n">
        <f aca="false">INDEX(Surface_Engine!$O$12:$O$72,$A994+1)*IF($A994&lt;$Q$951,INDEX(Surface_Engine!$E$12:$E$72,$A994+1),INDEX(Surface_Engine!$E$12:$E$72,$Q$951+1))</f>
        <v>0.00437615721228003</v>
      </c>
      <c r="C994" s="32" t="n">
        <f aca="false">INDEX(Panel_Reserving!$E$8:$E$68,$A994+1)*IF($A994&lt;$Q$951,INDEX(Surface_Engine!$E$12:$E$72,$A994+1),INDEX(Surface_Engine!$E$12:$E$72,$Q$951+1))</f>
        <v>0.0137597014929564</v>
      </c>
      <c r="D994" s="32" t="n">
        <f aca="false">INDEX(Surface_Engine!$O$12:$O$72,$A994+1)*IF($A994&lt;$Q$951,INDEX(Surface_Engine!$Y$12:$Y$72,$A994+1),INDEX(Surface_Engine!$Y$12:$Y$72,$Q$951+1))</f>
        <v>0.00383858869848554</v>
      </c>
      <c r="E994" s="32" t="n">
        <f aca="false">INDEX(Surface_Engine!$O$12:$O$72,$A994+1)*IF($A994&lt;$Q$951,INDEX(Surface_Engine!$Z$12:$Z$72,$A994+1),INDEX(Surface_Engine!$Z$12:$Z$72,$Q$951+1))</f>
        <v>0.00498369548239453</v>
      </c>
      <c r="F994" s="48" t="n">
        <f aca="false">B994*(IF($A994&lt;$Q$951,INDEX(Surface_Engine!$D$12:$D$72,$A994+1)+(Surface_Engine!Q244*12)*INDEX(Surface_Engine!$F$12:$F$72,$A994+1)-(Surface_Engine!Q244*12),1000*12*INDEX(Surface_Engine!$C$12:$C$72,$A994+1)/(1+Assumptions!$B$10)^22+INDEX(Surface_Engine!$D$12:$D$72,$A994+1)))*INDEX(Surface_Engine!$B$12:$B$72,$A994+1)+F995</f>
        <v>47.7825299619318</v>
      </c>
      <c r="G994" s="48" t="n">
        <f aca="false">C994*(IF($A994&lt;$Q$951,INDEX(Surface_Engine!$D$12:$D$72,$A994+1)+(Surface_Engine!Q244*12)*INDEX(Surface_Engine!$F$12:$F$72,$A994+1)-(Surface_Engine!Q244*12),1000*12*INDEX(Surface_Engine!$C$12:$C$72,$A994+1)/(1+Assumptions!$B$10)^22+INDEX(Surface_Engine!$D$12:$D$72,$A994+1)))*INDEX(Surface_Engine!$B$12:$B$72,$A994+1)+G995</f>
        <v>182.918630573199</v>
      </c>
      <c r="H994" s="48" t="n">
        <f aca="false">D994*(IF($A994&lt;$Q$951,INDEX(Surface_Engine!$D$12:$D$72,$A994+1)+(Surface_Engine!Q244*12)*INDEX(Surface_Engine!$F$12:$F$72,$A994+1)-(Surface_Engine!Q244*12),1000*12*INDEX(Surface_Engine!$C$12:$C$72,$A994+1)/(1+Assumptions!$B$10)^22+INDEX(Surface_Engine!$D$12:$D$72,$A994+1)))*INDEX(Surface_Engine!$B$12:$B$72,$A994+1)+H995</f>
        <v>41.9129091117264</v>
      </c>
      <c r="I994" s="48" t="n">
        <f aca="false">E994*(IF($A994&lt;$Q$951,INDEX(Surface_Engine!$D$12:$D$72,$A994+1)+(Surface_Engine!Q244*12)*INDEX(Surface_Engine!$F$12:$F$72,$A994+1)-(Surface_Engine!Q244*12),1000*12*INDEX(Surface_Engine!$C$12:$C$72,$A994+1)/(1+Assumptions!$B$10)^22+INDEX(Surface_Engine!$D$12:$D$72,$A994+1)))*INDEX(Surface_Engine!$B$12:$B$72,$A994+1)+I995</f>
        <v>54.4161388993132</v>
      </c>
      <c r="J994" s="48" t="n">
        <f aca="false">B994*(IF($A994&lt;$Q$951,INDEX(Surface_Engine!$D$12:$D$72,$A994+1)*(1+Assumptions!$B$24)+(Surface_Engine!Q244*12)*INDEX(Surface_Engine!$F$12:$F$72,$A994+1)-(Surface_Engine!Q244*12),1000*12*INDEX(Surface_Engine!$C$12:$C$72,$A994+1)/(1+Assumptions!$B$10)^22+INDEX(Surface_Engine!$D$12:$D$72,$A994+1)*(1+Assumptions!$B$24)))*INDEX(Surface_Engine!$B$12:$B$72,$A994+1)+J995</f>
        <v>47.8437686958203</v>
      </c>
      <c r="K994" s="12" t="n">
        <f aca="false">SQRT((IF(C994&lt;=0,0,MAX(0,(B994/C994)*G994/INDEX(Surface_Engine!$B$12:$B$72,$A994+1)-F994/INDEX(Surface_Engine!$B$12:$B$72,$A994+1))))^2+(MAX(IF(D994&lt;=0,0,MAX(0,(B994/D994)*H994/INDEX(Surface_Engine!$B$12:$B$72,$A994+1)-F994/INDEX(Surface_Engine!$B$12:$B$72,$A994+1))),IF(E994&lt;=0,0,MAX(0,(B994/E994)*I994/INDEX(Surface_Engine!$B$12:$B$72,$A994+1)-F994/INDEX(Surface_Engine!$B$12:$B$72,$A994+1))),IF($A994&lt;$Q$951,MAX(0,-Assumptions!$B$22*(F994/INDEX(Surface_Engine!$B$12:$B$72,$A994+1))),0)))^2+(MAX(0,J994/INDEX(Surface_Engine!$B$12:$B$72,$A994+1)-(F994/INDEX(Surface_Engine!$B$12:$B$72,$A994+1))))^2+2*Assumptions!$B$26*(IF(C994&lt;=0,0,MAX(0,(B994/C994)*G994/INDEX(Surface_Engine!$B$12:$B$72,$A994+1)-F994/INDEX(Surface_Engine!$B$12:$B$72,$A994+1))))*(MAX(IF(D994&lt;=0,0,MAX(0,(B994/D994)*H994/INDEX(Surface_Engine!$B$12:$B$72,$A994+1)-F994/INDEX(Surface_Engine!$B$12:$B$72,$A994+1))),IF(E994&lt;=0,0,MAX(0,(B994/E994)*I994/INDEX(Surface_Engine!$B$12:$B$72,$A994+1)-F994/INDEX(Surface_Engine!$B$12:$B$72,$A994+1))),IF($A994&lt;$Q$951,MAX(0,-Assumptions!$B$22*(F994/INDEX(Surface_Engine!$B$12:$B$72,$A994+1))),0)))+2*Assumptions!$B$27*(IF(C994&lt;=0,0,MAX(0,(B994/C994)*G994/INDEX(Surface_Engine!$B$12:$B$72,$A994+1)-F994/INDEX(Surface_Engine!$B$12:$B$72,$A994+1))))*(MAX(0,J994/INDEX(Surface_Engine!$B$12:$B$72,$A994+1)-(F994/INDEX(Surface_Engine!$B$12:$B$72,$A994+1))))+2*Assumptions!$B$28*(MAX(IF(D994&lt;=0,0,MAX(0,(B994/D994)*H994/INDEX(Surface_Engine!$B$12:$B$72,$A994+1)-F994/INDEX(Surface_Engine!$B$12:$B$72,$A994+1))),IF(E994&lt;=0,0,MAX(0,(B994/E994)*I994/INDEX(Surface_Engine!$B$12:$B$72,$A994+1)-F994/INDEX(Surface_Engine!$B$12:$B$72,$A994+1))),IF($A994&lt;$Q$951,MAX(0,-Assumptions!$B$22*(F994/INDEX(Surface_Engine!$B$12:$B$72,$A994+1))),0)))*(MAX(0,J994/INDEX(Surface_Engine!$B$12:$B$72,$A994+1)-(F994/INDEX(Surface_Engine!$B$12:$B$72,$A994+1)))))</f>
        <v>37.9123596472427</v>
      </c>
      <c r="L994" s="48" t="n">
        <f aca="false">K994*INDEX(Surface_Engine!$B$12:$B$72,$A994+1)+L995</f>
        <v>22.513386494075</v>
      </c>
      <c r="M994" s="48" t="n">
        <f aca="false">M993+B993*(IF($A993&lt;$Q$951,(Surface_Engine!Q244*12)-(Surface_Engine!Q244*12)*INDEX(Surface_Engine!$F$12:$F$72,$A993+1)-INDEX(Surface_Engine!$D$12:$D$72,$A993+1),-(1000*12*INDEX(Surface_Engine!$C$12:$C$72,$A993+1)/(1+Assumptions!$B$10)^22+INDEX(Surface_Engine!$D$12:$D$72,$A993+1))))*INDEX(Surface_Engine!$B$12:$B$72,$A993+1)</f>
        <v>613.670388927714</v>
      </c>
      <c r="N994" s="12" t="n">
        <f aca="false">IF(B994&lt;=0,0,MAX(0,(K994+Assumptions!$B$29*L994/INDEX(Surface_Engine!$B$12:$B$72,$A994+1)-(M994/INDEX(Surface_Engine!$B$12:$B$72,$A994+1)-(F994/INDEX(Surface_Engine!$B$12:$B$72,$A994+1))))/B994))</f>
        <v>0</v>
      </c>
    </row>
    <row r="995" customFormat="false" ht="15" hidden="false" customHeight="true" outlineLevel="0" collapsed="false">
      <c r="A995" s="1" t="n">
        <v>42</v>
      </c>
      <c r="B995" s="32" t="n">
        <f aca="false">INDEX(Surface_Engine!$O$12:$O$72,$A995+1)*IF($A995&lt;$Q$951,INDEX(Surface_Engine!$E$12:$E$72,$A995+1),INDEX(Surface_Engine!$E$12:$E$72,$Q$951+1))</f>
        <v>0.00257251314966873</v>
      </c>
      <c r="C995" s="32" t="n">
        <f aca="false">INDEX(Panel_Reserving!$E$8:$E$68,$A995+1)*IF($A995&lt;$Q$951,INDEX(Surface_Engine!$E$12:$E$72,$A995+1),INDEX(Surface_Engine!$E$12:$E$72,$Q$951+1))</f>
        <v>0.00922282538047431</v>
      </c>
      <c r="D995" s="32" t="n">
        <f aca="false">INDEX(Surface_Engine!$O$12:$O$72,$A995+1)*IF($A995&lt;$Q$951,INDEX(Surface_Engine!$Y$12:$Y$72,$A995+1),INDEX(Surface_Engine!$Y$12:$Y$72,$Q$951+1))</f>
        <v>0.00225650483381034</v>
      </c>
      <c r="E995" s="32" t="n">
        <f aca="false">INDEX(Surface_Engine!$O$12:$O$72,$A995+1)*IF($A995&lt;$Q$951,INDEX(Surface_Engine!$Z$12:$Z$72,$A995+1),INDEX(Surface_Engine!$Z$12:$Z$72,$Q$951+1))</f>
        <v>0.00292965301301982</v>
      </c>
      <c r="F995" s="48" t="n">
        <f aca="false">B995*(IF($A995&lt;$Q$951,INDEX(Surface_Engine!$D$12:$D$72,$A995+1)+(Surface_Engine!Q244*12)*INDEX(Surface_Engine!$F$12:$F$72,$A995+1)-(Surface_Engine!Q244*12),1000*12*INDEX(Surface_Engine!$C$12:$C$72,$A995+1)/(1+Assumptions!$B$10)^22+INDEX(Surface_Engine!$D$12:$D$72,$A995+1)))*INDEX(Surface_Engine!$B$12:$B$72,$A995+1)+F996</f>
        <v>26.5078591333807</v>
      </c>
      <c r="G995" s="48" t="n">
        <f aca="false">C995*(IF($A995&lt;$Q$951,INDEX(Surface_Engine!$D$12:$D$72,$A995+1)+(Surface_Engine!Q244*12)*INDEX(Surface_Engine!$F$12:$F$72,$A995+1)-(Surface_Engine!Q244*12),1000*12*INDEX(Surface_Engine!$C$12:$C$72,$A995+1)/(1+Assumptions!$B$10)^22+INDEX(Surface_Engine!$D$12:$D$72,$A995+1)))*INDEX(Surface_Engine!$B$12:$B$72,$A995+1)+G996</f>
        <v>116.025896660366</v>
      </c>
      <c r="H995" s="48" t="n">
        <f aca="false">D995*(IF($A995&lt;$Q$951,INDEX(Surface_Engine!$D$12:$D$72,$A995+1)+(Surface_Engine!Q244*12)*INDEX(Surface_Engine!$F$12:$F$72,$A995+1)-(Surface_Engine!Q244*12),1000*12*INDEX(Surface_Engine!$C$12:$C$72,$A995+1)/(1+Assumptions!$B$10)^22+INDEX(Surface_Engine!$D$12:$D$72,$A995+1)))*INDEX(Surface_Engine!$B$12:$B$72,$A995+1)+H996</f>
        <v>23.2516254683244</v>
      </c>
      <c r="I995" s="48" t="n">
        <f aca="false">E995*(IF($A995&lt;$Q$951,INDEX(Surface_Engine!$D$12:$D$72,$A995+1)+(Surface_Engine!Q244*12)*INDEX(Surface_Engine!$F$12:$F$72,$A995+1)-(Surface_Engine!Q244*12),1000*12*INDEX(Surface_Engine!$C$12:$C$72,$A995+1)/(1+Assumptions!$B$10)^22+INDEX(Surface_Engine!$D$12:$D$72,$A995+1)))*INDEX(Surface_Engine!$B$12:$B$72,$A995+1)+I996</f>
        <v>30.1879231944116</v>
      </c>
      <c r="J995" s="48" t="n">
        <f aca="false">B995*(IF($A995&lt;$Q$951,INDEX(Surface_Engine!$D$12:$D$72,$A995+1)*(1+Assumptions!$B$24)+(Surface_Engine!Q244*12)*INDEX(Surface_Engine!$F$12:$F$72,$A995+1)-(Surface_Engine!Q244*12),1000*12*INDEX(Surface_Engine!$C$12:$C$72,$A995+1)/(1+Assumptions!$B$10)^22+INDEX(Surface_Engine!$D$12:$D$72,$A995+1)*(1+Assumptions!$B$24)))*INDEX(Surface_Engine!$B$12:$B$72,$A995+1)+J996</f>
        <v>26.5419834641151</v>
      </c>
      <c r="K995" s="12" t="n">
        <f aca="false">SQRT((IF(C995&lt;=0,0,MAX(0,(B995/C995)*G995/INDEX(Surface_Engine!$B$12:$B$72,$A995+1)-F995/INDEX(Surface_Engine!$B$12:$B$72,$A995+1))))^2+(MAX(IF(D995&lt;=0,0,MAX(0,(B995/D995)*H995/INDEX(Surface_Engine!$B$12:$B$72,$A995+1)-F995/INDEX(Surface_Engine!$B$12:$B$72,$A995+1))),IF(E995&lt;=0,0,MAX(0,(B995/E995)*I995/INDEX(Surface_Engine!$B$12:$B$72,$A995+1)-F995/INDEX(Surface_Engine!$B$12:$B$72,$A995+1))),IF($A995&lt;$Q$951,MAX(0,-Assumptions!$B$22*(F995/INDEX(Surface_Engine!$B$12:$B$72,$A995+1))),0)))^2+(MAX(0,J995/INDEX(Surface_Engine!$B$12:$B$72,$A995+1)-(F995/INDEX(Surface_Engine!$B$12:$B$72,$A995+1))))^2+2*Assumptions!$B$26*(IF(C995&lt;=0,0,MAX(0,(B995/C995)*G995/INDEX(Surface_Engine!$B$12:$B$72,$A995+1)-F995/INDEX(Surface_Engine!$B$12:$B$72,$A995+1))))*(MAX(IF(D995&lt;=0,0,MAX(0,(B995/D995)*H995/INDEX(Surface_Engine!$B$12:$B$72,$A995+1)-F995/INDEX(Surface_Engine!$B$12:$B$72,$A995+1))),IF(E995&lt;=0,0,MAX(0,(B995/E995)*I995/INDEX(Surface_Engine!$B$12:$B$72,$A995+1)-F995/INDEX(Surface_Engine!$B$12:$B$72,$A995+1))),IF($A995&lt;$Q$951,MAX(0,-Assumptions!$B$22*(F995/INDEX(Surface_Engine!$B$12:$B$72,$A995+1))),0)))+2*Assumptions!$B$27*(IF(C995&lt;=0,0,MAX(0,(B995/C995)*G995/INDEX(Surface_Engine!$B$12:$B$72,$A995+1)-F995/INDEX(Surface_Engine!$B$12:$B$72,$A995+1))))*(MAX(0,J995/INDEX(Surface_Engine!$B$12:$B$72,$A995+1)-(F995/INDEX(Surface_Engine!$B$12:$B$72,$A995+1))))+2*Assumptions!$B$28*(MAX(IF(D995&lt;=0,0,MAX(0,(B995/D995)*H995/INDEX(Surface_Engine!$B$12:$B$72,$A995+1)-F995/INDEX(Surface_Engine!$B$12:$B$72,$A995+1))),IF(E995&lt;=0,0,MAX(0,(B995/E995)*I995/INDEX(Surface_Engine!$B$12:$B$72,$A995+1)-F995/INDEX(Surface_Engine!$B$12:$B$72,$A995+1))),IF($A995&lt;$Q$951,MAX(0,-Assumptions!$B$22*(F995/INDEX(Surface_Engine!$B$12:$B$72,$A995+1))),0)))*(MAX(0,J995/INDEX(Surface_Engine!$B$12:$B$72,$A995+1)-(F995/INDEX(Surface_Engine!$B$12:$B$72,$A995+1)))))</f>
        <v>22.0510663087848</v>
      </c>
      <c r="L995" s="48" t="n">
        <f aca="false">K995*INDEX(Surface_Engine!$B$12:$B$72,$A995+1)+L996</f>
        <v>12.1047074831125</v>
      </c>
      <c r="M995" s="48" t="n">
        <f aca="false">M994+B994*(IF($A994&lt;$Q$951,(Surface_Engine!Q244*12)-(Surface_Engine!Q244*12)*INDEX(Surface_Engine!$F$12:$F$72,$A994+1)-INDEX(Surface_Engine!$D$12:$D$72,$A994+1),-(1000*12*INDEX(Surface_Engine!$C$12:$C$72,$A994+1)/(1+Assumptions!$B$10)^22+INDEX(Surface_Engine!$D$12:$D$72,$A994+1))))*INDEX(Surface_Engine!$B$12:$B$72,$A994+1)</f>
        <v>592.395718099163</v>
      </c>
      <c r="N995" s="12" t="n">
        <f aca="false">IF(B995&lt;=0,0,MAX(0,(K995+Assumptions!$B$29*L995/INDEX(Surface_Engine!$B$12:$B$72,$A995+1)-(M995/INDEX(Surface_Engine!$B$12:$B$72,$A995+1)-(F995/INDEX(Surface_Engine!$B$12:$B$72,$A995+1))))/B995))</f>
        <v>0</v>
      </c>
    </row>
    <row r="996" customFormat="false" ht="15" hidden="false" customHeight="true" outlineLevel="0" collapsed="false">
      <c r="A996" s="1" t="n">
        <v>43</v>
      </c>
      <c r="B996" s="32" t="n">
        <f aca="false">INDEX(Surface_Engine!$O$12:$O$72,$A996+1)*IF($A996&lt;$Q$951,INDEX(Surface_Engine!$E$12:$E$72,$A996+1),INDEX(Surface_Engine!$E$12:$E$72,$Q$951+1))</f>
        <v>0.00143908726115904</v>
      </c>
      <c r="C996" s="32" t="n">
        <f aca="false">INDEX(Panel_Reserving!$E$8:$E$68,$A996+1)*IF($A996&lt;$Q$951,INDEX(Surface_Engine!$E$12:$E$72,$A996+1),INDEX(Surface_Engine!$E$12:$E$72,$Q$951+1))</f>
        <v>0.0059720310192389</v>
      </c>
      <c r="D996" s="32" t="n">
        <f aca="false">INDEX(Surface_Engine!$O$12:$O$72,$A996+1)*IF($A996&lt;$Q$951,INDEX(Surface_Engine!$Y$12:$Y$72,$A996+1),INDEX(Surface_Engine!$Y$12:$Y$72,$Q$951+1))</f>
        <v>0.00126230933416158</v>
      </c>
      <c r="E996" s="32" t="n">
        <f aca="false">INDEX(Surface_Engine!$O$12:$O$72,$A996+1)*IF($A996&lt;$Q$951,INDEX(Surface_Engine!$Z$12:$Z$72,$A996+1),INDEX(Surface_Engine!$Z$12:$Z$72,$Q$951+1))</f>
        <v>0.00163887455004688</v>
      </c>
      <c r="F996" s="48" t="n">
        <f aca="false">B996*(IF($A996&lt;$Q$951,INDEX(Surface_Engine!$D$12:$D$72,$A996+1)+(Surface_Engine!Q244*12)*INDEX(Surface_Engine!$F$12:$F$72,$A996+1)-(Surface_Engine!Q244*12),1000*12*INDEX(Surface_Engine!$C$12:$C$72,$A996+1)/(1+Assumptions!$B$10)^22+INDEX(Surface_Engine!$D$12:$D$72,$A996+1)))*INDEX(Surface_Engine!$B$12:$B$72,$A996+1)+F997</f>
        <v>14.1516350179895</v>
      </c>
      <c r="G996" s="48" t="n">
        <f aca="false">C996*(IF($A996&lt;$Q$951,INDEX(Surface_Engine!$D$12:$D$72,$A996+1)+(Surface_Engine!Q244*12)*INDEX(Surface_Engine!$F$12:$F$72,$A996+1)-(Surface_Engine!Q244*12),1000*12*INDEX(Surface_Engine!$C$12:$C$72,$A996+1)/(1+Assumptions!$B$10)^22+INDEX(Surface_Engine!$D$12:$D$72,$A996+1)))*INDEX(Surface_Engine!$B$12:$B$72,$A996+1)+G997</f>
        <v>71.7270764996475</v>
      </c>
      <c r="H996" s="48" t="n">
        <f aca="false">D996*(IF($A996&lt;$Q$951,INDEX(Surface_Engine!$D$12:$D$72,$A996+1)+(Surface_Engine!Q244*12)*INDEX(Surface_Engine!$F$12:$F$72,$A996+1)-(Surface_Engine!Q244*12),1000*12*INDEX(Surface_Engine!$C$12:$C$72,$A996+1)/(1+Assumptions!$B$10)^22+INDEX(Surface_Engine!$D$12:$D$72,$A996+1)))*INDEX(Surface_Engine!$B$12:$B$72,$A996+1)+H997</f>
        <v>12.4132437684624</v>
      </c>
      <c r="I996" s="48" t="n">
        <f aca="false">E996*(IF($A996&lt;$Q$951,INDEX(Surface_Engine!$D$12:$D$72,$A996+1)+(Surface_Engine!Q244*12)*INDEX(Surface_Engine!$F$12:$F$72,$A996+1)-(Surface_Engine!Q244*12),1000*12*INDEX(Surface_Engine!$C$12:$C$72,$A996+1)/(1+Assumptions!$B$10)^22+INDEX(Surface_Engine!$D$12:$D$72,$A996+1)))*INDEX(Surface_Engine!$B$12:$B$72,$A996+1)+I997</f>
        <v>16.1162947505044</v>
      </c>
      <c r="J996" s="48" t="n">
        <f aca="false">B996*(IF($A996&lt;$Q$951,INDEX(Surface_Engine!$D$12:$D$72,$A996+1)*(1+Assumptions!$B$24)+(Surface_Engine!Q244*12)*INDEX(Surface_Engine!$F$12:$F$72,$A996+1)-(Surface_Engine!Q244*12),1000*12*INDEX(Surface_Engine!$C$12:$C$72,$A996+1)/(1+Assumptions!$B$10)^22+INDEX(Surface_Engine!$D$12:$D$72,$A996+1)*(1+Assumptions!$B$24)))*INDEX(Surface_Engine!$B$12:$B$72,$A996+1)+J997</f>
        <v>14.1699352297807</v>
      </c>
      <c r="K996" s="12" t="n">
        <f aca="false">SQRT((IF(C996&lt;=0,0,MAX(0,(B996/C996)*G996/INDEX(Surface_Engine!$B$12:$B$72,$A996+1)-F996/INDEX(Surface_Engine!$B$12:$B$72,$A996+1))))^2+(MAX(IF(D996&lt;=0,0,MAX(0,(B996/D996)*H996/INDEX(Surface_Engine!$B$12:$B$72,$A996+1)-F996/INDEX(Surface_Engine!$B$12:$B$72,$A996+1))),IF(E996&lt;=0,0,MAX(0,(B996/E996)*I996/INDEX(Surface_Engine!$B$12:$B$72,$A996+1)-F996/INDEX(Surface_Engine!$B$12:$B$72,$A996+1))),IF($A996&lt;$Q$951,MAX(0,-Assumptions!$B$22*(F996/INDEX(Surface_Engine!$B$12:$B$72,$A996+1))),0)))^2+(MAX(0,J996/INDEX(Surface_Engine!$B$12:$B$72,$A996+1)-(F996/INDEX(Surface_Engine!$B$12:$B$72,$A996+1))))^2+2*Assumptions!$B$26*(IF(C996&lt;=0,0,MAX(0,(B996/C996)*G996/INDEX(Surface_Engine!$B$12:$B$72,$A996+1)-F996/INDEX(Surface_Engine!$B$12:$B$72,$A996+1))))*(MAX(IF(D996&lt;=0,0,MAX(0,(B996/D996)*H996/INDEX(Surface_Engine!$B$12:$B$72,$A996+1)-F996/INDEX(Surface_Engine!$B$12:$B$72,$A996+1))),IF(E996&lt;=0,0,MAX(0,(B996/E996)*I996/INDEX(Surface_Engine!$B$12:$B$72,$A996+1)-F996/INDEX(Surface_Engine!$B$12:$B$72,$A996+1))),IF($A996&lt;$Q$951,MAX(0,-Assumptions!$B$22*(F996/INDEX(Surface_Engine!$B$12:$B$72,$A996+1))),0)))+2*Assumptions!$B$27*(IF(C996&lt;=0,0,MAX(0,(B996/C996)*G996/INDEX(Surface_Engine!$B$12:$B$72,$A996+1)-F996/INDEX(Surface_Engine!$B$12:$B$72,$A996+1))))*(MAX(0,J996/INDEX(Surface_Engine!$B$12:$B$72,$A996+1)-(F996/INDEX(Surface_Engine!$B$12:$B$72,$A996+1))))+2*Assumptions!$B$28*(MAX(IF(D996&lt;=0,0,MAX(0,(B996/D996)*H996/INDEX(Surface_Engine!$B$12:$B$72,$A996+1)-F996/INDEX(Surface_Engine!$B$12:$B$72,$A996+1))),IF(E996&lt;=0,0,MAX(0,(B996/E996)*I996/INDEX(Surface_Engine!$B$12:$B$72,$A996+1)-F996/INDEX(Surface_Engine!$B$12:$B$72,$A996+1))),IF($A996&lt;$Q$951,MAX(0,-Assumptions!$B$22*(F996/INDEX(Surface_Engine!$B$12:$B$72,$A996+1))),0)))*(MAX(0,J996/INDEX(Surface_Engine!$B$12:$B$72,$A996+1)-(F996/INDEX(Surface_Engine!$B$12:$B$72,$A996+1)))))</f>
        <v>12.1856184460162</v>
      </c>
      <c r="L996" s="48" t="n">
        <f aca="false">K996*INDEX(Surface_Engine!$B$12:$B$72,$A996+1)+L997</f>
        <v>6.24095902636</v>
      </c>
      <c r="M996" s="48" t="n">
        <f aca="false">M995+B995*(IF($A995&lt;$Q$951,(Surface_Engine!Q244*12)-(Surface_Engine!Q244*12)*INDEX(Surface_Engine!$F$12:$F$72,$A995+1)-INDEX(Surface_Engine!$D$12:$D$72,$A995+1),-(1000*12*INDEX(Surface_Engine!$C$12:$C$72,$A995+1)/(1+Assumptions!$B$10)^22+INDEX(Surface_Engine!$D$12:$D$72,$A995+1))))*INDEX(Surface_Engine!$B$12:$B$72,$A995+1)</f>
        <v>580.039493983772</v>
      </c>
      <c r="N996" s="12" t="n">
        <f aca="false">IF(B996&lt;=0,0,MAX(0,(K996+Assumptions!$B$29*L996/INDEX(Surface_Engine!$B$12:$B$72,$A996+1)-(M996/INDEX(Surface_Engine!$B$12:$B$72,$A996+1)-(F996/INDEX(Surface_Engine!$B$12:$B$72,$A996+1))))/B996))</f>
        <v>0</v>
      </c>
    </row>
    <row r="997" customFormat="false" ht="15" hidden="false" customHeight="true" outlineLevel="0" collapsed="false">
      <c r="A997" s="1" t="n">
        <v>44</v>
      </c>
      <c r="B997" s="32" t="n">
        <f aca="false">INDEX(Surface_Engine!$O$12:$O$72,$A997+1)*IF($A997&lt;$Q$951,INDEX(Surface_Engine!$E$12:$E$72,$A997+1),INDEX(Surface_Engine!$E$12:$E$72,$Q$951+1))</f>
        <v>0.000779642592908093</v>
      </c>
      <c r="C997" s="32" t="n">
        <f aca="false">INDEX(Panel_Reserving!$E$8:$E$68,$A997+1)*IF($A997&lt;$Q$951,INDEX(Surface_Engine!$E$12:$E$72,$A997+1),INDEX(Surface_Engine!$E$12:$E$72,$Q$951+1))</f>
        <v>0.00378274111552895</v>
      </c>
      <c r="D997" s="32" t="n">
        <f aca="false">INDEX(Surface_Engine!$O$12:$O$72,$A997+1)*IF($A997&lt;$Q$951,INDEX(Surface_Engine!$Y$12:$Y$72,$A997+1),INDEX(Surface_Engine!$Y$12:$Y$72,$Q$951+1))</f>
        <v>0.000683871054174429</v>
      </c>
      <c r="E997" s="32" t="n">
        <f aca="false">INDEX(Surface_Engine!$O$12:$O$72,$A997+1)*IF($A997&lt;$Q$951,INDEX(Surface_Engine!$Z$12:$Z$72,$A997+1),INDEX(Surface_Engine!$Z$12:$Z$72,$Q$951+1))</f>
        <v>0.000887879726362489</v>
      </c>
      <c r="F997" s="48" t="n">
        <f aca="false">B997*(IF($A997&lt;$Q$951,INDEX(Surface_Engine!$D$12:$D$72,$A997+1)+(Surface_Engine!Q244*12)*INDEX(Surface_Engine!$F$12:$F$72,$A997+1)-(Surface_Engine!Q244*12),1000*12*INDEX(Surface_Engine!$C$12:$C$72,$A997+1)/(1+Assumptions!$B$10)^22+INDEX(Surface_Engine!$D$12:$D$72,$A997+1)))*INDEX(Surface_Engine!$B$12:$B$72,$A997+1)+F998</f>
        <v>7.32535164943344</v>
      </c>
      <c r="G997" s="48" t="n">
        <f aca="false">C997*(IF($A997&lt;$Q$951,INDEX(Surface_Engine!$D$12:$D$72,$A997+1)+(Surface_Engine!Q244*12)*INDEX(Surface_Engine!$F$12:$F$72,$A997+1)-(Surface_Engine!Q244*12),1000*12*INDEX(Surface_Engine!$C$12:$C$72,$A997+1)/(1+Assumptions!$B$10)^22+INDEX(Surface_Engine!$D$12:$D$72,$A997+1)))*INDEX(Surface_Engine!$B$12:$B$72,$A997+1)+G998</f>
        <v>43.3988596337031</v>
      </c>
      <c r="H997" s="48" t="n">
        <f aca="false">D997*(IF($A997&lt;$Q$951,INDEX(Surface_Engine!$D$12:$D$72,$A997+1)+(Surface_Engine!Q244*12)*INDEX(Surface_Engine!$F$12:$F$72,$A997+1)-(Surface_Engine!Q244*12),1000*12*INDEX(Surface_Engine!$C$12:$C$72,$A997+1)/(1+Assumptions!$B$10)^22+INDEX(Surface_Engine!$D$12:$D$72,$A997+1)))*INDEX(Surface_Engine!$B$12:$B$72,$A997+1)+H998</f>
        <v>6.42550317320463</v>
      </c>
      <c r="I997" s="48" t="n">
        <f aca="false">E997*(IF($A997&lt;$Q$951,INDEX(Surface_Engine!$D$12:$D$72,$A997+1)+(Surface_Engine!Q244*12)*INDEX(Surface_Engine!$F$12:$F$72,$A997+1)-(Surface_Engine!Q244*12),1000*12*INDEX(Surface_Engine!$C$12:$C$72,$A997+1)/(1+Assumptions!$B$10)^22+INDEX(Surface_Engine!$D$12:$D$72,$A997+1)))*INDEX(Surface_Engine!$B$12:$B$72,$A997+1)+I998</f>
        <v>8.34232413309759</v>
      </c>
      <c r="J997" s="48" t="n">
        <f aca="false">B997*(IF($A997&lt;$Q$951,INDEX(Surface_Engine!$D$12:$D$72,$A997+1)*(1+Assumptions!$B$24)+(Surface_Engine!Q244*12)*INDEX(Surface_Engine!$F$12:$F$72,$A997+1)-(Surface_Engine!Q244*12),1000*12*INDEX(Surface_Engine!$C$12:$C$72,$A997+1)/(1+Assumptions!$B$10)^22+INDEX(Surface_Engine!$D$12:$D$72,$A997+1)*(1+Assumptions!$B$24)))*INDEX(Surface_Engine!$B$12:$B$72,$A997+1)+J998</f>
        <v>7.3348674126476</v>
      </c>
      <c r="K997" s="12" t="n">
        <f aca="false">SQRT((IF(C997&lt;=0,0,MAX(0,(B997/C997)*G997/INDEX(Surface_Engine!$B$12:$B$72,$A997+1)-F997/INDEX(Surface_Engine!$B$12:$B$72,$A997+1))))^2+(MAX(IF(D997&lt;=0,0,MAX(0,(B997/D997)*H997/INDEX(Surface_Engine!$B$12:$B$72,$A997+1)-F997/INDEX(Surface_Engine!$B$12:$B$72,$A997+1))),IF(E997&lt;=0,0,MAX(0,(B997/E997)*I997/INDEX(Surface_Engine!$B$12:$B$72,$A997+1)-F997/INDEX(Surface_Engine!$B$12:$B$72,$A997+1))),IF($A997&lt;$Q$951,MAX(0,-Assumptions!$B$22*(F997/INDEX(Surface_Engine!$B$12:$B$72,$A997+1))),0)))^2+(MAX(0,J997/INDEX(Surface_Engine!$B$12:$B$72,$A997+1)-(F997/INDEX(Surface_Engine!$B$12:$B$72,$A997+1))))^2+2*Assumptions!$B$26*(IF(C997&lt;=0,0,MAX(0,(B997/C997)*G997/INDEX(Surface_Engine!$B$12:$B$72,$A997+1)-F997/INDEX(Surface_Engine!$B$12:$B$72,$A997+1))))*(MAX(IF(D997&lt;=0,0,MAX(0,(B997/D997)*H997/INDEX(Surface_Engine!$B$12:$B$72,$A997+1)-F997/INDEX(Surface_Engine!$B$12:$B$72,$A997+1))),IF(E997&lt;=0,0,MAX(0,(B997/E997)*I997/INDEX(Surface_Engine!$B$12:$B$72,$A997+1)-F997/INDEX(Surface_Engine!$B$12:$B$72,$A997+1))),IF($A997&lt;$Q$951,MAX(0,-Assumptions!$B$22*(F997/INDEX(Surface_Engine!$B$12:$B$72,$A997+1))),0)))+2*Assumptions!$B$27*(IF(C997&lt;=0,0,MAX(0,(B997/C997)*G997/INDEX(Surface_Engine!$B$12:$B$72,$A997+1)-F997/INDEX(Surface_Engine!$B$12:$B$72,$A997+1))))*(MAX(0,J997/INDEX(Surface_Engine!$B$12:$B$72,$A997+1)-(F997/INDEX(Surface_Engine!$B$12:$B$72,$A997+1))))+2*Assumptions!$B$28*(MAX(IF(D997&lt;=0,0,MAX(0,(B997/D997)*H997/INDEX(Surface_Engine!$B$12:$B$72,$A997+1)-F997/INDEX(Surface_Engine!$B$12:$B$72,$A997+1))),IF(E997&lt;=0,0,MAX(0,(B997/E997)*I997/INDEX(Surface_Engine!$B$12:$B$72,$A997+1)-F997/INDEX(Surface_Engine!$B$12:$B$72,$A997+1))),IF($A997&lt;$Q$951,MAX(0,-Assumptions!$B$22*(F997/INDEX(Surface_Engine!$B$12:$B$72,$A997+1))),0)))*(MAX(0,J997/INDEX(Surface_Engine!$B$12:$B$72,$A997+1)-(F997/INDEX(Surface_Engine!$B$12:$B$72,$A997+1)))))</f>
        <v>6.5042280826565</v>
      </c>
      <c r="L997" s="48" t="n">
        <f aca="false">K997*INDEX(Surface_Engine!$B$12:$B$72,$A997+1)+L998</f>
        <v>3.10381189635802</v>
      </c>
      <c r="M997" s="48" t="n">
        <f aca="false">M996+B996*(IF($A996&lt;$Q$951,(Surface_Engine!Q244*12)-(Surface_Engine!Q244*12)*INDEX(Surface_Engine!$F$12:$F$72,$A996+1)-INDEX(Surface_Engine!$D$12:$D$72,$A996+1),-(1000*12*INDEX(Surface_Engine!$C$12:$C$72,$A996+1)/(1+Assumptions!$B$10)^22+INDEX(Surface_Engine!$D$12:$D$72,$A996+1))))*INDEX(Surface_Engine!$B$12:$B$72,$A996+1)</f>
        <v>573.213210615216</v>
      </c>
      <c r="N997" s="12" t="n">
        <f aca="false">IF(B997&lt;=0,0,MAX(0,(K997+Assumptions!$B$29*L997/INDEX(Surface_Engine!$B$12:$B$72,$A997+1)-(M997/INDEX(Surface_Engine!$B$12:$B$72,$A997+1)-(F997/INDEX(Surface_Engine!$B$12:$B$72,$A997+1))))/B997))</f>
        <v>0</v>
      </c>
    </row>
    <row r="998" customFormat="false" ht="15" hidden="false" customHeight="true" outlineLevel="0" collapsed="false">
      <c r="A998" s="1" t="n">
        <v>45</v>
      </c>
      <c r="B998" s="32" t="n">
        <f aca="false">INDEX(Surface_Engine!$O$12:$O$72,$A998+1)*IF($A998&lt;$Q$951,INDEX(Surface_Engine!$E$12:$E$72,$A998+1),INDEX(Surface_Engine!$E$12:$E$72,$Q$951+1))</f>
        <v>0.000408678062079786</v>
      </c>
      <c r="C998" s="32" t="n">
        <f aca="false">INDEX(Panel_Reserving!$E$8:$E$68,$A998+1)*IF($A998&lt;$Q$951,INDEX(Surface_Engine!$E$12:$E$72,$A998+1),INDEX(Surface_Engine!$E$12:$E$72,$Q$951+1))</f>
        <v>0.00234283745102244</v>
      </c>
      <c r="D998" s="32" t="n">
        <f aca="false">INDEX(Surface_Engine!$O$12:$O$72,$A998+1)*IF($A998&lt;$Q$951,INDEX(Surface_Engine!$Y$12:$Y$72,$A998+1),INDEX(Surface_Engine!$Y$12:$Y$72,$Q$951+1))</f>
        <v>0.000358475921755358</v>
      </c>
      <c r="E998" s="32" t="n">
        <f aca="false">INDEX(Surface_Engine!$O$12:$O$72,$A998+1)*IF($A998&lt;$Q$951,INDEX(Surface_Engine!$Z$12:$Z$72,$A998+1),INDEX(Surface_Engine!$Z$12:$Z$72,$Q$951+1))</f>
        <v>0.000465414497912798</v>
      </c>
      <c r="F998" s="48" t="n">
        <f aca="false">B998*(IF($A998&lt;$Q$951,INDEX(Surface_Engine!$D$12:$D$72,$A998+1)+(Surface_Engine!Q244*12)*INDEX(Surface_Engine!$F$12:$F$72,$A998+1)-(Surface_Engine!Q244*12),1000*12*INDEX(Surface_Engine!$C$12:$C$72,$A998+1)/(1+Assumptions!$B$10)^22+INDEX(Surface_Engine!$D$12:$D$72,$A998+1)))*INDEX(Surface_Engine!$B$12:$B$72,$A998+1)+F999</f>
        <v>3.67167416673568</v>
      </c>
      <c r="G998" s="48" t="n">
        <f aca="false">C998*(IF($A998&lt;$Q$951,INDEX(Surface_Engine!$D$12:$D$72,$A998+1)+(Surface_Engine!Q244*12)*INDEX(Surface_Engine!$F$12:$F$72,$A998+1)-(Surface_Engine!Q244*12),1000*12*INDEX(Surface_Engine!$C$12:$C$72,$A998+1)/(1+Assumptions!$B$10)^22+INDEX(Surface_Engine!$D$12:$D$72,$A998+1)))*INDEX(Surface_Engine!$B$12:$B$72,$A998+1)+G999</f>
        <v>25.6716136335447</v>
      </c>
      <c r="H998" s="48" t="n">
        <f aca="false">D998*(IF($A998&lt;$Q$951,INDEX(Surface_Engine!$D$12:$D$72,$A998+1)+(Surface_Engine!Q244*12)*INDEX(Surface_Engine!$F$12:$F$72,$A998+1)-(Surface_Engine!Q244*12),1000*12*INDEX(Surface_Engine!$C$12:$C$72,$A998+1)/(1+Assumptions!$B$10)^22+INDEX(Surface_Engine!$D$12:$D$72,$A998+1)))*INDEX(Surface_Engine!$B$12:$B$72,$A998+1)+H999</f>
        <v>3.22064456948743</v>
      </c>
      <c r="I998" s="48" t="n">
        <f aca="false">E998*(IF($A998&lt;$Q$951,INDEX(Surface_Engine!$D$12:$D$72,$A998+1)+(Surface_Engine!Q244*12)*INDEX(Surface_Engine!$F$12:$F$72,$A998+1)-(Surface_Engine!Q244*12),1000*12*INDEX(Surface_Engine!$C$12:$C$72,$A998+1)/(1+Assumptions!$B$10)^22+INDEX(Surface_Engine!$D$12:$D$72,$A998+1)))*INDEX(Surface_Engine!$B$12:$B$72,$A998+1)+I999</f>
        <v>4.18140964091451</v>
      </c>
      <c r="J998" s="48" t="n">
        <f aca="false">B998*(IF($A998&lt;$Q$951,INDEX(Surface_Engine!$D$12:$D$72,$A998+1)*(1+Assumptions!$B$24)+(Surface_Engine!Q244*12)*INDEX(Surface_Engine!$F$12:$F$72,$A998+1)-(Surface_Engine!Q244*12),1000*12*INDEX(Surface_Engine!$C$12:$C$72,$A998+1)/(1+Assumptions!$B$10)^22+INDEX(Surface_Engine!$D$12:$D$72,$A998+1)*(1+Assumptions!$B$24)))*INDEX(Surface_Engine!$B$12:$B$72,$A998+1)+J999</f>
        <v>3.67646542074201</v>
      </c>
      <c r="K998" s="12" t="n">
        <f aca="false">SQRT((IF(C998&lt;=0,0,MAX(0,(B998/C998)*G998/INDEX(Surface_Engine!$B$12:$B$72,$A998+1)-F998/INDEX(Surface_Engine!$B$12:$B$72,$A998+1))))^2+(MAX(IF(D998&lt;=0,0,MAX(0,(B998/D998)*H998/INDEX(Surface_Engine!$B$12:$B$72,$A998+1)-F998/INDEX(Surface_Engine!$B$12:$B$72,$A998+1))),IF(E998&lt;=0,0,MAX(0,(B998/E998)*I998/INDEX(Surface_Engine!$B$12:$B$72,$A998+1)-F998/INDEX(Surface_Engine!$B$12:$B$72,$A998+1))),IF($A998&lt;$Q$951,MAX(0,-Assumptions!$B$22*(F998/INDEX(Surface_Engine!$B$12:$B$72,$A998+1))),0)))^2+(MAX(0,J998/INDEX(Surface_Engine!$B$12:$B$72,$A998+1)-(F998/INDEX(Surface_Engine!$B$12:$B$72,$A998+1))))^2+2*Assumptions!$B$26*(IF(C998&lt;=0,0,MAX(0,(B998/C998)*G998/INDEX(Surface_Engine!$B$12:$B$72,$A998+1)-F998/INDEX(Surface_Engine!$B$12:$B$72,$A998+1))))*(MAX(IF(D998&lt;=0,0,MAX(0,(B998/D998)*H998/INDEX(Surface_Engine!$B$12:$B$72,$A998+1)-F998/INDEX(Surface_Engine!$B$12:$B$72,$A998+1))),IF(E998&lt;=0,0,MAX(0,(B998/E998)*I998/INDEX(Surface_Engine!$B$12:$B$72,$A998+1)-F998/INDEX(Surface_Engine!$B$12:$B$72,$A998+1))),IF($A998&lt;$Q$951,MAX(0,-Assumptions!$B$22*(F998/INDEX(Surface_Engine!$B$12:$B$72,$A998+1))),0)))+2*Assumptions!$B$27*(IF(C998&lt;=0,0,MAX(0,(B998/C998)*G998/INDEX(Surface_Engine!$B$12:$B$72,$A998+1)-F998/INDEX(Surface_Engine!$B$12:$B$72,$A998+1))))*(MAX(0,J998/INDEX(Surface_Engine!$B$12:$B$72,$A998+1)-(F998/INDEX(Surface_Engine!$B$12:$B$72,$A998+1))))+2*Assumptions!$B$28*(MAX(IF(D998&lt;=0,0,MAX(0,(B998/D998)*H998/INDEX(Surface_Engine!$B$12:$B$72,$A998+1)-F998/INDEX(Surface_Engine!$B$12:$B$72,$A998+1))),IF(E998&lt;=0,0,MAX(0,(B998/E998)*I998/INDEX(Surface_Engine!$B$12:$B$72,$A998+1)-F998/INDEX(Surface_Engine!$B$12:$B$72,$A998+1))),IF($A998&lt;$Q$951,MAX(0,-Assumptions!$B$22*(F998/INDEX(Surface_Engine!$B$12:$B$72,$A998+1))),0)))*(MAX(0,J998/INDEX(Surface_Engine!$B$12:$B$72,$A998+1)-(F998/INDEX(Surface_Engine!$B$12:$B$72,$A998+1)))))</f>
        <v>3.34579090896314</v>
      </c>
      <c r="L998" s="48" t="n">
        <f aca="false">K998*INDEX(Surface_Engine!$B$12:$B$72,$A998+1)+L999</f>
        <v>1.48202803215161</v>
      </c>
      <c r="M998" s="48" t="n">
        <f aca="false">M997+B997*(IF($A997&lt;$Q$951,(Surface_Engine!Q244*12)-(Surface_Engine!Q244*12)*INDEX(Surface_Engine!$F$12:$F$72,$A997+1)-INDEX(Surface_Engine!$D$12:$D$72,$A997+1),-(1000*12*INDEX(Surface_Engine!$C$12:$C$72,$A997+1)/(1+Assumptions!$B$10)^22+INDEX(Surface_Engine!$D$12:$D$72,$A997+1))))*INDEX(Surface_Engine!$B$12:$B$72,$A997+1)</f>
        <v>569.559533132518</v>
      </c>
      <c r="N998" s="12" t="n">
        <f aca="false">IF(B998&lt;=0,0,MAX(0,(K998+Assumptions!$B$29*L998/INDEX(Surface_Engine!$B$12:$B$72,$A998+1)-(M998/INDEX(Surface_Engine!$B$12:$B$72,$A998+1)-(F998/INDEX(Surface_Engine!$B$12:$B$72,$A998+1))))/B998))</f>
        <v>0</v>
      </c>
    </row>
    <row r="999" customFormat="false" ht="15" hidden="false" customHeight="true" outlineLevel="0" collapsed="false">
      <c r="A999" s="1" t="n">
        <v>46</v>
      </c>
      <c r="B999" s="32" t="n">
        <f aca="false">INDEX(Surface_Engine!$O$12:$O$72,$A999+1)*IF($A999&lt;$Q$951,INDEX(Surface_Engine!$E$12:$E$72,$A999+1),INDEX(Surface_Engine!$E$12:$E$72,$Q$951+1))</f>
        <v>0.000207092288935897</v>
      </c>
      <c r="C999" s="32" t="n">
        <f aca="false">INDEX(Panel_Reserving!$E$8:$E$68,$A999+1)*IF($A999&lt;$Q$951,INDEX(Surface_Engine!$E$12:$E$72,$A999+1),INDEX(Surface_Engine!$E$12:$E$72,$Q$951+1))</f>
        <v>0.00141832939886747</v>
      </c>
      <c r="D999" s="32" t="n">
        <f aca="false">INDEX(Surface_Engine!$O$12:$O$72,$A999+1)*IF($A999&lt;$Q$951,INDEX(Surface_Engine!$Y$12:$Y$72,$A999+1),INDEX(Surface_Engine!$Y$12:$Y$72,$Q$951+1))</f>
        <v>0.000181653007716938</v>
      </c>
      <c r="E999" s="32" t="n">
        <f aca="false">INDEX(Surface_Engine!$O$12:$O$72,$A999+1)*IF($A999&lt;$Q$951,INDEX(Surface_Engine!$Z$12:$Z$72,$A999+1),INDEX(Surface_Engine!$Z$12:$Z$72,$Q$951+1))</f>
        <v>0.000235842739358727</v>
      </c>
      <c r="F999" s="48" t="n">
        <f aca="false">B999*(IF($A999&lt;$Q$951,INDEX(Surface_Engine!$D$12:$D$72,$A999+1)+(Surface_Engine!Q244*12)*INDEX(Surface_Engine!$F$12:$F$72,$A999+1)-(Surface_Engine!Q244*12),1000*12*INDEX(Surface_Engine!$C$12:$C$72,$A999+1)/(1+Assumptions!$B$10)^22+INDEX(Surface_Engine!$D$12:$D$72,$A999+1)))*INDEX(Surface_Engine!$B$12:$B$72,$A999+1)+F1000</f>
        <v>1.78039427112529</v>
      </c>
      <c r="G999" s="48" t="n">
        <f aca="false">C999*(IF($A999&lt;$Q$951,INDEX(Surface_Engine!$D$12:$D$72,$A999+1)+(Surface_Engine!Q244*12)*INDEX(Surface_Engine!$F$12:$F$72,$A999+1)-(Surface_Engine!Q244*12),1000*12*INDEX(Surface_Engine!$C$12:$C$72,$A999+1)/(1+Assumptions!$B$10)^22+INDEX(Surface_Engine!$D$12:$D$72,$A999+1)))*INDEX(Surface_Engine!$B$12:$B$72,$A999+1)+G1000</f>
        <v>14.8294330005731</v>
      </c>
      <c r="H999" s="48" t="n">
        <f aca="false">D999*(IF($A999&lt;$Q$951,INDEX(Surface_Engine!$D$12:$D$72,$A999+1)+(Surface_Engine!Q244*12)*INDEX(Surface_Engine!$F$12:$F$72,$A999+1)-(Surface_Engine!Q244*12),1000*12*INDEX(Surface_Engine!$C$12:$C$72,$A999+1)/(1+Assumptions!$B$10)^22+INDEX(Surface_Engine!$D$12:$D$72,$A999+1)))*INDEX(Surface_Engine!$B$12:$B$72,$A999+1)+H1000</f>
        <v>1.56169008481057</v>
      </c>
      <c r="I999" s="48" t="n">
        <f aca="false">E999*(IF($A999&lt;$Q$951,INDEX(Surface_Engine!$D$12:$D$72,$A999+1)+(Surface_Engine!Q244*12)*INDEX(Surface_Engine!$F$12:$F$72,$A999+1)-(Surface_Engine!Q244*12),1000*12*INDEX(Surface_Engine!$C$12:$C$72,$A999+1)/(1+Assumptions!$B$10)^22+INDEX(Surface_Engine!$D$12:$D$72,$A999+1)))*INDEX(Surface_Engine!$B$12:$B$72,$A999+1)+I1000</f>
        <v>2.0275649286524</v>
      </c>
      <c r="J999" s="48" t="n">
        <f aca="false">B999*(IF($A999&lt;$Q$951,INDEX(Surface_Engine!$D$12:$D$72,$A999+1)*(1+Assumptions!$B$24)+(Surface_Engine!Q244*12)*INDEX(Surface_Engine!$F$12:$F$72,$A999+1)-(Surface_Engine!Q244*12),1000*12*INDEX(Surface_Engine!$C$12:$C$72,$A999+1)/(1+Assumptions!$B$10)^22+INDEX(Surface_Engine!$D$12:$D$72,$A999+1)*(1+Assumptions!$B$24)))*INDEX(Surface_Engine!$B$12:$B$72,$A999+1)+J1000</f>
        <v>1.7827281103674</v>
      </c>
      <c r="K999" s="12" t="n">
        <f aca="false">SQRT((IF(C999&lt;=0,0,MAX(0,(B999/C999)*G999/INDEX(Surface_Engine!$B$12:$B$72,$A999+1)-F999/INDEX(Surface_Engine!$B$12:$B$72,$A999+1))))^2+(MAX(IF(D999&lt;=0,0,MAX(0,(B999/D999)*H999/INDEX(Surface_Engine!$B$12:$B$72,$A999+1)-F999/INDEX(Surface_Engine!$B$12:$B$72,$A999+1))),IF(E999&lt;=0,0,MAX(0,(B999/E999)*I999/INDEX(Surface_Engine!$B$12:$B$72,$A999+1)-F999/INDEX(Surface_Engine!$B$12:$B$72,$A999+1))),IF($A999&lt;$Q$951,MAX(0,-Assumptions!$B$22*(F999/INDEX(Surface_Engine!$B$12:$B$72,$A999+1))),0)))^2+(MAX(0,J999/INDEX(Surface_Engine!$B$12:$B$72,$A999+1)-(F999/INDEX(Surface_Engine!$B$12:$B$72,$A999+1))))^2+2*Assumptions!$B$26*(IF(C999&lt;=0,0,MAX(0,(B999/C999)*G999/INDEX(Surface_Engine!$B$12:$B$72,$A999+1)-F999/INDEX(Surface_Engine!$B$12:$B$72,$A999+1))))*(MAX(IF(D999&lt;=0,0,MAX(0,(B999/D999)*H999/INDEX(Surface_Engine!$B$12:$B$72,$A999+1)-F999/INDEX(Surface_Engine!$B$12:$B$72,$A999+1))),IF(E999&lt;=0,0,MAX(0,(B999/E999)*I999/INDEX(Surface_Engine!$B$12:$B$72,$A999+1)-F999/INDEX(Surface_Engine!$B$12:$B$72,$A999+1))),IF($A999&lt;$Q$951,MAX(0,-Assumptions!$B$22*(F999/INDEX(Surface_Engine!$B$12:$B$72,$A999+1))),0)))+2*Assumptions!$B$27*(IF(C999&lt;=0,0,MAX(0,(B999/C999)*G999/INDEX(Surface_Engine!$B$12:$B$72,$A999+1)-F999/INDEX(Surface_Engine!$B$12:$B$72,$A999+1))))*(MAX(0,J999/INDEX(Surface_Engine!$B$12:$B$72,$A999+1)-(F999/INDEX(Surface_Engine!$B$12:$B$72,$A999+1))))+2*Assumptions!$B$28*(MAX(IF(D999&lt;=0,0,MAX(0,(B999/D999)*H999/INDEX(Surface_Engine!$B$12:$B$72,$A999+1)-F999/INDEX(Surface_Engine!$B$12:$B$72,$A999+1))),IF(E999&lt;=0,0,MAX(0,(B999/E999)*I999/INDEX(Surface_Engine!$B$12:$B$72,$A999+1)-F999/INDEX(Surface_Engine!$B$12:$B$72,$A999+1))),IF($A999&lt;$Q$951,MAX(0,-Assumptions!$B$22*(F999/INDEX(Surface_Engine!$B$12:$B$72,$A999+1))),0)))*(MAX(0,J999/INDEX(Surface_Engine!$B$12:$B$72,$A999+1)-(F999/INDEX(Surface_Engine!$B$12:$B$72,$A999+1)))))</f>
        <v>1.64886000803231</v>
      </c>
      <c r="L999" s="48" t="n">
        <f aca="false">K999*INDEX(Surface_Engine!$B$12:$B$72,$A999+1)+L1000</f>
        <v>0.674406034328146</v>
      </c>
      <c r="M999" s="48" t="n">
        <f aca="false">M998+B998*(IF($A998&lt;$Q$951,(Surface_Engine!Q244*12)-(Surface_Engine!Q244*12)*INDEX(Surface_Engine!$F$12:$F$72,$A998+1)-INDEX(Surface_Engine!$D$12:$D$72,$A998+1),-(1000*12*INDEX(Surface_Engine!$C$12:$C$72,$A998+1)/(1+Assumptions!$B$10)^22+INDEX(Surface_Engine!$D$12:$D$72,$A998+1))))*INDEX(Surface_Engine!$B$12:$B$72,$A998+1)</f>
        <v>567.668253236908</v>
      </c>
      <c r="N999" s="12" t="n">
        <f aca="false">IF(B999&lt;=0,0,MAX(0,(K999+Assumptions!$B$29*L999/INDEX(Surface_Engine!$B$12:$B$72,$A999+1)-(M999/INDEX(Surface_Engine!$B$12:$B$72,$A999+1)-(F999/INDEX(Surface_Engine!$B$12:$B$72,$A999+1))))/B999))</f>
        <v>0</v>
      </c>
    </row>
    <row r="1000" customFormat="false" ht="15" hidden="false" customHeight="true" outlineLevel="0" collapsed="false">
      <c r="A1000" s="1" t="n">
        <v>47</v>
      </c>
      <c r="B1000" s="32" t="n">
        <f aca="false">INDEX(Surface_Engine!$O$12:$O$72,$A1000+1)*IF($A1000&lt;$Q$951,INDEX(Surface_Engine!$E$12:$E$72,$A1000+1),INDEX(Surface_Engine!$E$12:$E$72,$Q$951+1))</f>
        <v>0.000101364502750029</v>
      </c>
      <c r="C1000" s="32" t="n">
        <f aca="false">INDEX(Panel_Reserving!$E$8:$E$68,$A1000+1)*IF($A1000&lt;$Q$951,INDEX(Surface_Engine!$E$12:$E$72,$A1000+1),INDEX(Surface_Engine!$E$12:$E$72,$Q$951+1))</f>
        <v>0.000839044373065243</v>
      </c>
      <c r="D1000" s="32" t="n">
        <f aca="false">INDEX(Surface_Engine!$O$12:$O$72,$A1000+1)*IF($A1000&lt;$Q$951,INDEX(Surface_Engine!$Y$12:$Y$72,$A1000+1),INDEX(Surface_Engine!$Y$12:$Y$72,$Q$951+1))</f>
        <v>8.89128556880943E-005</v>
      </c>
      <c r="E1000" s="32" t="n">
        <f aca="false">INDEX(Surface_Engine!$O$12:$O$72,$A1000+1)*IF($A1000&lt;$Q$951,INDEX(Surface_Engine!$Z$12:$Z$72,$A1000+1),INDEX(Surface_Engine!$Z$12:$Z$72,$Q$951+1))</f>
        <v>0.00011543685245423</v>
      </c>
      <c r="F1000" s="48" t="n">
        <f aca="false">B1000*(IF($A1000&lt;$Q$951,INDEX(Surface_Engine!$D$12:$D$72,$A1000+1)+(Surface_Engine!Q244*12)*INDEX(Surface_Engine!$F$12:$F$72,$A1000+1)-(Surface_Engine!Q244*12),1000*12*INDEX(Surface_Engine!$C$12:$C$72,$A1000+1)/(1+Assumptions!$B$10)^22+INDEX(Surface_Engine!$D$12:$D$72,$A1000+1)))*INDEX(Surface_Engine!$B$12:$B$72,$A1000+1)+F1001</f>
        <v>0.833601118877209</v>
      </c>
      <c r="G1000" s="48" t="n">
        <f aca="false">C1000*(IF($A1000&lt;$Q$951,INDEX(Surface_Engine!$D$12:$D$72,$A1000+1)+(Surface_Engine!Q244*12)*INDEX(Surface_Engine!$F$12:$F$72,$A1000+1)-(Surface_Engine!Q244*12),1000*12*INDEX(Surface_Engine!$C$12:$C$72,$A1000+1)/(1+Assumptions!$B$10)^22+INDEX(Surface_Engine!$D$12:$D$72,$A1000+1)))*INDEX(Surface_Engine!$B$12:$B$72,$A1000+1)+G1001</f>
        <v>8.34505557937648</v>
      </c>
      <c r="H1000" s="48" t="n">
        <f aca="false">D1000*(IF($A1000&lt;$Q$951,INDEX(Surface_Engine!$D$12:$D$72,$A1000+1)+(Surface_Engine!Q244*12)*INDEX(Surface_Engine!$F$12:$F$72,$A1000+1)-(Surface_Engine!Q244*12),1000*12*INDEX(Surface_Engine!$C$12:$C$72,$A1000+1)/(1+Assumptions!$B$10)^22+INDEX(Surface_Engine!$D$12:$D$72,$A1000+1)))*INDEX(Surface_Engine!$B$12:$B$72,$A1000+1)+H1001</f>
        <v>0.731201298021878</v>
      </c>
      <c r="I1000" s="48" t="n">
        <f aca="false">E1000*(IF($A1000&lt;$Q$951,INDEX(Surface_Engine!$D$12:$D$72,$A1000+1)+(Surface_Engine!Q244*12)*INDEX(Surface_Engine!$F$12:$F$72,$A1000+1)-(Surface_Engine!Q244*12),1000*12*INDEX(Surface_Engine!$C$12:$C$72,$A1000+1)/(1+Assumptions!$B$10)^22+INDEX(Surface_Engine!$D$12:$D$72,$A1000+1)))*INDEX(Surface_Engine!$B$12:$B$72,$A1000+1)+I1001</f>
        <v>0.949329269663709</v>
      </c>
      <c r="J1000" s="48" t="n">
        <f aca="false">B1000*(IF($A1000&lt;$Q$951,INDEX(Surface_Engine!$D$12:$D$72,$A1000+1)*(1+Assumptions!$B$24)+(Surface_Engine!Q244*12)*INDEX(Surface_Engine!$F$12:$F$72,$A1000+1)-(Surface_Engine!Q244*12),1000*12*INDEX(Surface_Engine!$C$12:$C$72,$A1000+1)/(1+Assumptions!$B$10)^22+INDEX(Surface_Engine!$D$12:$D$72,$A1000+1)*(1+Assumptions!$B$24)))*INDEX(Surface_Engine!$B$12:$B$72,$A1000+1)+J1001</f>
        <v>0.834698800647256</v>
      </c>
      <c r="K1000" s="12" t="n">
        <f aca="false">SQRT((IF(C1000&lt;=0,0,MAX(0,(B1000/C1000)*G1000/INDEX(Surface_Engine!$B$12:$B$72,$A1000+1)-F1000/INDEX(Surface_Engine!$B$12:$B$72,$A1000+1))))^2+(MAX(IF(D1000&lt;=0,0,MAX(0,(B1000/D1000)*H1000/INDEX(Surface_Engine!$B$12:$B$72,$A1000+1)-F1000/INDEX(Surface_Engine!$B$12:$B$72,$A1000+1))),IF(E1000&lt;=0,0,MAX(0,(B1000/E1000)*I1000/INDEX(Surface_Engine!$B$12:$B$72,$A1000+1)-F1000/INDEX(Surface_Engine!$B$12:$B$72,$A1000+1))),IF($A1000&lt;$Q$951,MAX(0,-Assumptions!$B$22*(F1000/INDEX(Surface_Engine!$B$12:$B$72,$A1000+1))),0)))^2+(MAX(0,J1000/INDEX(Surface_Engine!$B$12:$B$72,$A1000+1)-(F1000/INDEX(Surface_Engine!$B$12:$B$72,$A1000+1))))^2+2*Assumptions!$B$26*(IF(C1000&lt;=0,0,MAX(0,(B1000/C1000)*G1000/INDEX(Surface_Engine!$B$12:$B$72,$A1000+1)-F1000/INDEX(Surface_Engine!$B$12:$B$72,$A1000+1))))*(MAX(IF(D1000&lt;=0,0,MAX(0,(B1000/D1000)*H1000/INDEX(Surface_Engine!$B$12:$B$72,$A1000+1)-F1000/INDEX(Surface_Engine!$B$12:$B$72,$A1000+1))),IF(E1000&lt;=0,0,MAX(0,(B1000/E1000)*I1000/INDEX(Surface_Engine!$B$12:$B$72,$A1000+1)-F1000/INDEX(Surface_Engine!$B$12:$B$72,$A1000+1))),IF($A1000&lt;$Q$951,MAX(0,-Assumptions!$B$22*(F1000/INDEX(Surface_Engine!$B$12:$B$72,$A1000+1))),0)))+2*Assumptions!$B$27*(IF(C1000&lt;=0,0,MAX(0,(B1000/C1000)*G1000/INDEX(Surface_Engine!$B$12:$B$72,$A1000+1)-F1000/INDEX(Surface_Engine!$B$12:$B$72,$A1000+1))))*(MAX(0,J1000/INDEX(Surface_Engine!$B$12:$B$72,$A1000+1)-(F1000/INDEX(Surface_Engine!$B$12:$B$72,$A1000+1))))+2*Assumptions!$B$28*(MAX(IF(D1000&lt;=0,0,MAX(0,(B1000/D1000)*H1000/INDEX(Surface_Engine!$B$12:$B$72,$A1000+1)-F1000/INDEX(Surface_Engine!$B$12:$B$72,$A1000+1))),IF(E1000&lt;=0,0,MAX(0,(B1000/E1000)*I1000/INDEX(Surface_Engine!$B$12:$B$72,$A1000+1)-F1000/INDEX(Surface_Engine!$B$12:$B$72,$A1000+1))),IF($A1000&lt;$Q$951,MAX(0,-Assumptions!$B$22*(F1000/INDEX(Surface_Engine!$B$12:$B$72,$A1000+1))),0)))*(MAX(0,J1000/INDEX(Surface_Engine!$B$12:$B$72,$A1000+1)-(F1000/INDEX(Surface_Engine!$B$12:$B$72,$A1000+1)))))</f>
        <v>0.77224973226741</v>
      </c>
      <c r="L1000" s="48" t="n">
        <f aca="false">K1000*INDEX(Surface_Engine!$B$12:$B$72,$A1000+1)+L1001</f>
        <v>0.288943658157263</v>
      </c>
      <c r="M1000" s="48" t="n">
        <f aca="false">M999+B999*(IF($A999&lt;$Q$951,(Surface_Engine!Q244*12)-(Surface_Engine!Q244*12)*INDEX(Surface_Engine!$F$12:$F$72,$A999+1)-INDEX(Surface_Engine!$D$12:$D$72,$A999+1),-(1000*12*INDEX(Surface_Engine!$C$12:$C$72,$A999+1)/(1+Assumptions!$B$10)^22+INDEX(Surface_Engine!$D$12:$D$72,$A999+1))))*INDEX(Surface_Engine!$B$12:$B$72,$A999+1)</f>
        <v>566.72146008466</v>
      </c>
      <c r="N1000" s="12" t="n">
        <f aca="false">IF(B1000&lt;=0,0,MAX(0,(K1000+Assumptions!$B$29*L1000/INDEX(Surface_Engine!$B$12:$B$72,$A1000+1)-(M1000/INDEX(Surface_Engine!$B$12:$B$72,$A1000+1)-(F1000/INDEX(Surface_Engine!$B$12:$B$72,$A1000+1))))/B1000))</f>
        <v>0</v>
      </c>
    </row>
    <row r="1001" customFormat="false" ht="15" hidden="false" customHeight="true" outlineLevel="0" collapsed="false">
      <c r="A1001" s="1" t="n">
        <v>48</v>
      </c>
      <c r="B1001" s="32" t="n">
        <f aca="false">INDEX(Surface_Engine!$O$12:$O$72,$A1001+1)*IF($A1001&lt;$Q$951,INDEX(Surface_Engine!$E$12:$E$72,$A1001+1),INDEX(Surface_Engine!$E$12:$E$72,$Q$951+1))</f>
        <v>4.78866638088863E-005</v>
      </c>
      <c r="C1001" s="32" t="n">
        <f aca="false">INDEX(Panel_Reserving!$E$8:$E$68,$A1001+1)*IF($A1001&lt;$Q$951,INDEX(Surface_Engine!$E$12:$E$72,$A1001+1),INDEX(Surface_Engine!$E$12:$E$72,$Q$951+1))</f>
        <v>0.000484914249561099</v>
      </c>
      <c r="D1001" s="32" t="n">
        <f aca="false">INDEX(Surface_Engine!$O$12:$O$72,$A1001+1)*IF($A1001&lt;$Q$951,INDEX(Surface_Engine!$Y$12:$Y$72,$A1001+1),INDEX(Surface_Engine!$Y$12:$Y$72,$Q$951+1))</f>
        <v>4.2004251124515E-005</v>
      </c>
      <c r="E1001" s="32" t="n">
        <f aca="false">INDEX(Surface_Engine!$O$12:$O$72,$A1001+1)*IF($A1001&lt;$Q$951,INDEX(Surface_Engine!$Z$12:$Z$72,$A1001+1),INDEX(Surface_Engine!$Z$12:$Z$72,$Q$951+1))</f>
        <v>5.4534729561727E-005</v>
      </c>
      <c r="F1001" s="48" t="n">
        <f aca="false">B1001*(IF($A1001&lt;$Q$951,INDEX(Surface_Engine!$D$12:$D$72,$A1001+1)+(Surface_Engine!Q244*12)*INDEX(Surface_Engine!$F$12:$F$72,$A1001+1)-(Surface_Engine!Q244*12),1000*12*INDEX(Surface_Engine!$C$12:$C$72,$A1001+1)/(1+Assumptions!$B$10)^22+INDEX(Surface_Engine!$D$12:$D$72,$A1001+1)))*INDEX(Surface_Engine!$B$12:$B$72,$A1001+1)+F1002</f>
        <v>0.375790888462922</v>
      </c>
      <c r="G1001" s="48" t="n">
        <f aca="false">C1001*(IF($A1001&lt;$Q$951,INDEX(Surface_Engine!$D$12:$D$72,$A1001+1)+(Surface_Engine!Q244*12)*INDEX(Surface_Engine!$F$12:$F$72,$A1001+1)-(Surface_Engine!Q244*12),1000*12*INDEX(Surface_Engine!$C$12:$C$72,$A1001+1)/(1+Assumptions!$B$10)^22+INDEX(Surface_Engine!$D$12:$D$72,$A1001+1)))*INDEX(Surface_Engine!$B$12:$B$72,$A1001+1)+G1002</f>
        <v>4.55553274505565</v>
      </c>
      <c r="H1001" s="48" t="n">
        <f aca="false">D1001*(IF($A1001&lt;$Q$951,INDEX(Surface_Engine!$D$12:$D$72,$A1001+1)+(Surface_Engine!Q244*12)*INDEX(Surface_Engine!$F$12:$F$72,$A1001+1)-(Surface_Engine!Q244*12),1000*12*INDEX(Surface_Engine!$C$12:$C$72,$A1001+1)/(1+Assumptions!$B$10)^22+INDEX(Surface_Engine!$D$12:$D$72,$A1001+1)))*INDEX(Surface_Engine!$B$12:$B$72,$A1001+1)+H1002</f>
        <v>0.329628618779912</v>
      </c>
      <c r="I1001" s="48" t="n">
        <f aca="false">E1001*(IF($A1001&lt;$Q$951,INDEX(Surface_Engine!$D$12:$D$72,$A1001+1)+(Surface_Engine!Q244*12)*INDEX(Surface_Engine!$F$12:$F$72,$A1001+1)-(Surface_Engine!Q244*12),1000*12*INDEX(Surface_Engine!$C$12:$C$72,$A1001+1)/(1+Assumptions!$B$10)^22+INDEX(Surface_Engine!$D$12:$D$72,$A1001+1)))*INDEX(Surface_Engine!$B$12:$B$72,$A1001+1)+I1002</f>
        <v>0.42796162530503</v>
      </c>
      <c r="J1001" s="48" t="n">
        <f aca="false">B1001*(IF($A1001&lt;$Q$951,INDEX(Surface_Engine!$D$12:$D$72,$A1001+1)*(1+Assumptions!$B$24)+(Surface_Engine!Q244*12)*INDEX(Surface_Engine!$F$12:$F$72,$A1001+1)-(Surface_Engine!Q244*12),1000*12*INDEX(Surface_Engine!$C$12:$C$72,$A1001+1)/(1+Assumptions!$B$10)^22+INDEX(Surface_Engine!$D$12:$D$72,$A1001+1)*(1+Assumptions!$B$24)))*INDEX(Surface_Engine!$B$12:$B$72,$A1001+1)+J1002</f>
        <v>0.376287949827781</v>
      </c>
      <c r="K1001" s="12" t="n">
        <f aca="false">SQRT((IF(C1001&lt;=0,0,MAX(0,(B1001/C1001)*G1001/INDEX(Surface_Engine!$B$12:$B$72,$A1001+1)-F1001/INDEX(Surface_Engine!$B$12:$B$72,$A1001+1))))^2+(MAX(IF(D1001&lt;=0,0,MAX(0,(B1001/D1001)*H1001/INDEX(Surface_Engine!$B$12:$B$72,$A1001+1)-F1001/INDEX(Surface_Engine!$B$12:$B$72,$A1001+1))),IF(E1001&lt;=0,0,MAX(0,(B1001/E1001)*I1001/INDEX(Surface_Engine!$B$12:$B$72,$A1001+1)-F1001/INDEX(Surface_Engine!$B$12:$B$72,$A1001+1))),IF($A1001&lt;$Q$951,MAX(0,-Assumptions!$B$22*(F1001/INDEX(Surface_Engine!$B$12:$B$72,$A1001+1))),0)))^2+(MAX(0,J1001/INDEX(Surface_Engine!$B$12:$B$72,$A1001+1)-(F1001/INDEX(Surface_Engine!$B$12:$B$72,$A1001+1))))^2+2*Assumptions!$B$26*(IF(C1001&lt;=0,0,MAX(0,(B1001/C1001)*G1001/INDEX(Surface_Engine!$B$12:$B$72,$A1001+1)-F1001/INDEX(Surface_Engine!$B$12:$B$72,$A1001+1))))*(MAX(IF(D1001&lt;=0,0,MAX(0,(B1001/D1001)*H1001/INDEX(Surface_Engine!$B$12:$B$72,$A1001+1)-F1001/INDEX(Surface_Engine!$B$12:$B$72,$A1001+1))),IF(E1001&lt;=0,0,MAX(0,(B1001/E1001)*I1001/INDEX(Surface_Engine!$B$12:$B$72,$A1001+1)-F1001/INDEX(Surface_Engine!$B$12:$B$72,$A1001+1))),IF($A1001&lt;$Q$951,MAX(0,-Assumptions!$B$22*(F1001/INDEX(Surface_Engine!$B$12:$B$72,$A1001+1))),0)))+2*Assumptions!$B$27*(IF(C1001&lt;=0,0,MAX(0,(B1001/C1001)*G1001/INDEX(Surface_Engine!$B$12:$B$72,$A1001+1)-F1001/INDEX(Surface_Engine!$B$12:$B$72,$A1001+1))))*(MAX(0,J1001/INDEX(Surface_Engine!$B$12:$B$72,$A1001+1)-(F1001/INDEX(Surface_Engine!$B$12:$B$72,$A1001+1))))+2*Assumptions!$B$28*(MAX(IF(D1001&lt;=0,0,MAX(0,(B1001/D1001)*H1001/INDEX(Surface_Engine!$B$12:$B$72,$A1001+1)-F1001/INDEX(Surface_Engine!$B$12:$B$72,$A1001+1))),IF(E1001&lt;=0,0,MAX(0,(B1001/E1001)*I1001/INDEX(Surface_Engine!$B$12:$B$72,$A1001+1)-F1001/INDEX(Surface_Engine!$B$12:$B$72,$A1001+1))),IF($A1001&lt;$Q$951,MAX(0,-Assumptions!$B$22*(F1001/INDEX(Surface_Engine!$B$12:$B$72,$A1001+1))),0)))*(MAX(0,J1001/INDEX(Surface_Engine!$B$12:$B$72,$A1001+1)-(F1001/INDEX(Surface_Engine!$B$12:$B$72,$A1001+1)))))</f>
        <v>0.338606145583187</v>
      </c>
      <c r="L1001" s="48" t="n">
        <f aca="false">K1001*INDEX(Surface_Engine!$B$12:$B$72,$A1001+1)+L1002</f>
        <v>0.114105416974246</v>
      </c>
      <c r="M1001" s="48" t="n">
        <f aca="false">M1000+B1000*(IF($A1000&lt;$Q$951,(Surface_Engine!Q244*12)-(Surface_Engine!Q244*12)*INDEX(Surface_Engine!$F$12:$F$72,$A1000+1)-INDEX(Surface_Engine!$D$12:$D$72,$A1000+1),-(1000*12*INDEX(Surface_Engine!$C$12:$C$72,$A1000+1)/(1+Assumptions!$B$10)^22+INDEX(Surface_Engine!$D$12:$D$72,$A1000+1))))*INDEX(Surface_Engine!$B$12:$B$72,$A1000+1)</f>
        <v>566.263649854245</v>
      </c>
      <c r="N1001" s="12" t="n">
        <f aca="false">IF(B1001&lt;=0,0,MAX(0,(K1001+Assumptions!$B$29*L1001/INDEX(Surface_Engine!$B$12:$B$72,$A1001+1)-(M1001/INDEX(Surface_Engine!$B$12:$B$72,$A1001+1)-(F1001/INDEX(Surface_Engine!$B$12:$B$72,$A1001+1))))/B1001))</f>
        <v>0</v>
      </c>
    </row>
    <row r="1002" customFormat="false" ht="15" hidden="false" customHeight="true" outlineLevel="0" collapsed="false">
      <c r="A1002" s="1" t="n">
        <v>49</v>
      </c>
      <c r="B1002" s="32" t="n">
        <f aca="false">INDEX(Surface_Engine!$O$12:$O$72,$A1002+1)*IF($A1002&lt;$Q$951,INDEX(Surface_Engine!$E$12:$E$72,$A1002+1),INDEX(Surface_Engine!$E$12:$E$72,$Q$951+1))</f>
        <v>2.18194499083071E-005</v>
      </c>
      <c r="C1002" s="32" t="n">
        <f aca="false">INDEX(Panel_Reserving!$E$8:$E$68,$A1002+1)*IF($A1002&lt;$Q$951,INDEX(Surface_Engine!$E$12:$E$72,$A1002+1),INDEX(Surface_Engine!$E$12:$E$72,$Q$951+1))</f>
        <v>0.000273742913554979</v>
      </c>
      <c r="D1002" s="32" t="n">
        <f aca="false">INDEX(Surface_Engine!$O$12:$O$72,$A1002+1)*IF($A1002&lt;$Q$951,INDEX(Surface_Engine!$Y$12:$Y$72,$A1002+1),INDEX(Surface_Engine!$Y$12:$Y$72,$Q$951+1))</f>
        <v>1.91391418914681E-005</v>
      </c>
      <c r="E1002" s="32" t="n">
        <f aca="false">INDEX(Surface_Engine!$O$12:$O$72,$A1002+1)*IF($A1002&lt;$Q$951,INDEX(Surface_Engine!$Z$12:$Z$72,$A1002+1),INDEX(Surface_Engine!$Z$12:$Z$72,$Q$951+1))</f>
        <v>2.48486260117031E-005</v>
      </c>
      <c r="F1002" s="48" t="n">
        <f aca="false">B1002*(IF($A1002&lt;$Q$951,INDEX(Surface_Engine!$D$12:$D$72,$A1002+1)+(Surface_Engine!Q244*12)*INDEX(Surface_Engine!$F$12:$F$72,$A1002+1)-(Surface_Engine!Q244*12),1000*12*INDEX(Surface_Engine!$C$12:$C$72,$A1002+1)/(1+Assumptions!$B$10)^22+INDEX(Surface_Engine!$D$12:$D$72,$A1002+1)))*INDEX(Surface_Engine!$B$12:$B$72,$A1002+1)+F1003</f>
        <v>0.162234608293542</v>
      </c>
      <c r="G1002" s="48" t="n">
        <f aca="false">C1002*(IF($A1002&lt;$Q$951,INDEX(Surface_Engine!$D$12:$D$72,$A1002+1)+(Surface_Engine!Q244*12)*INDEX(Surface_Engine!$F$12:$F$72,$A1002+1)-(Surface_Engine!Q244*12),1000*12*INDEX(Surface_Engine!$C$12:$C$72,$A1002+1)/(1+Assumptions!$B$10)^22+INDEX(Surface_Engine!$D$12:$D$72,$A1002+1)))*INDEX(Surface_Engine!$B$12:$B$72,$A1002+1)+G1003</f>
        <v>2.3929998997799</v>
      </c>
      <c r="H1002" s="48" t="n">
        <f aca="false">D1002*(IF($A1002&lt;$Q$951,INDEX(Surface_Engine!$D$12:$D$72,$A1002+1)+(Surface_Engine!Q244*12)*INDEX(Surface_Engine!$F$12:$F$72,$A1002+1)-(Surface_Engine!Q244*12),1000*12*INDEX(Surface_Engine!$C$12:$C$72,$A1002+1)/(1+Assumptions!$B$10)^22+INDEX(Surface_Engine!$D$12:$D$72,$A1002+1)))*INDEX(Surface_Engine!$B$12:$B$72,$A1002+1)+H1003</f>
        <v>0.142305658524174</v>
      </c>
      <c r="I1002" s="48" t="n">
        <f aca="false">E1002*(IF($A1002&lt;$Q$951,INDEX(Surface_Engine!$D$12:$D$72,$A1002+1)+(Surface_Engine!Q244*12)*INDEX(Surface_Engine!$F$12:$F$72,$A1002+1)-(Surface_Engine!Q244*12),1000*12*INDEX(Surface_Engine!$C$12:$C$72,$A1002+1)/(1+Assumptions!$B$10)^22+INDEX(Surface_Engine!$D$12:$D$72,$A1002+1)))*INDEX(Surface_Engine!$B$12:$B$72,$A1002+1)+I1003</f>
        <v>0.184757504180094</v>
      </c>
      <c r="J1002" s="48" t="n">
        <f aca="false">B1002*(IF($A1002&lt;$Q$951,INDEX(Surface_Engine!$D$12:$D$72,$A1002+1)*(1+Assumptions!$B$24)+(Surface_Engine!Q244*12)*INDEX(Surface_Engine!$F$12:$F$72,$A1002+1)-(Surface_Engine!Q244*12),1000*12*INDEX(Surface_Engine!$C$12:$C$72,$A1002+1)/(1+Assumptions!$B$10)^22+INDEX(Surface_Engine!$D$12:$D$72,$A1002+1)*(1+Assumptions!$B$24)))*INDEX(Surface_Engine!$B$12:$B$72,$A1002+1)+J1003</f>
        <v>0.162450140941219</v>
      </c>
      <c r="K1002" s="12" t="n">
        <f aca="false">SQRT((IF(C1002&lt;=0,0,MAX(0,(B1002/C1002)*G1002/INDEX(Surface_Engine!$B$12:$B$72,$A1002+1)-F1002/INDEX(Surface_Engine!$B$12:$B$72,$A1002+1))))^2+(MAX(IF(D1002&lt;=0,0,MAX(0,(B1002/D1002)*H1002/INDEX(Surface_Engine!$B$12:$B$72,$A1002+1)-F1002/INDEX(Surface_Engine!$B$12:$B$72,$A1002+1))),IF(E1002&lt;=0,0,MAX(0,(B1002/E1002)*I1002/INDEX(Surface_Engine!$B$12:$B$72,$A1002+1)-F1002/INDEX(Surface_Engine!$B$12:$B$72,$A1002+1))),IF($A1002&lt;$Q$951,MAX(0,-Assumptions!$B$22*(F1002/INDEX(Surface_Engine!$B$12:$B$72,$A1002+1))),0)))^2+(MAX(0,J1002/INDEX(Surface_Engine!$B$12:$B$72,$A1002+1)-(F1002/INDEX(Surface_Engine!$B$12:$B$72,$A1002+1))))^2+2*Assumptions!$B$26*(IF(C1002&lt;=0,0,MAX(0,(B1002/C1002)*G1002/INDEX(Surface_Engine!$B$12:$B$72,$A1002+1)-F1002/INDEX(Surface_Engine!$B$12:$B$72,$A1002+1))))*(MAX(IF(D1002&lt;=0,0,MAX(0,(B1002/D1002)*H1002/INDEX(Surface_Engine!$B$12:$B$72,$A1002+1)-F1002/INDEX(Surface_Engine!$B$12:$B$72,$A1002+1))),IF(E1002&lt;=0,0,MAX(0,(B1002/E1002)*I1002/INDEX(Surface_Engine!$B$12:$B$72,$A1002+1)-F1002/INDEX(Surface_Engine!$B$12:$B$72,$A1002+1))),IF($A1002&lt;$Q$951,MAX(0,-Assumptions!$B$22*(F1002/INDEX(Surface_Engine!$B$12:$B$72,$A1002+1))),0)))+2*Assumptions!$B$27*(IF(C1002&lt;=0,0,MAX(0,(B1002/C1002)*G1002/INDEX(Surface_Engine!$B$12:$B$72,$A1002+1)-F1002/INDEX(Surface_Engine!$B$12:$B$72,$A1002+1))))*(MAX(0,J1002/INDEX(Surface_Engine!$B$12:$B$72,$A1002+1)-(F1002/INDEX(Surface_Engine!$B$12:$B$72,$A1002+1))))+2*Assumptions!$B$28*(MAX(IF(D1002&lt;=0,0,MAX(0,(B1002/D1002)*H1002/INDEX(Surface_Engine!$B$12:$B$72,$A1002+1)-F1002/INDEX(Surface_Engine!$B$12:$B$72,$A1002+1))),IF(E1002&lt;=0,0,MAX(0,(B1002/E1002)*I1002/INDEX(Surface_Engine!$B$12:$B$72,$A1002+1)-F1002/INDEX(Surface_Engine!$B$12:$B$72,$A1002+1))),IF($A1002&lt;$Q$951,MAX(0,-Assumptions!$B$22*(F1002/INDEX(Surface_Engine!$B$12:$B$72,$A1002+1))),0)))*(MAX(0,J1002/INDEX(Surface_Engine!$B$12:$B$72,$A1002+1)-(F1002/INDEX(Surface_Engine!$B$12:$B$72,$A1002+1)))))</f>
        <v>0.134574488480006</v>
      </c>
      <c r="L1002" s="48" t="n">
        <f aca="false">K1002*INDEX(Surface_Engine!$B$12:$B$72,$A1002+1)+L1003</f>
        <v>0.039898640745509</v>
      </c>
      <c r="M1002" s="48" t="n">
        <f aca="false">M1001+B1001*(IF($A1001&lt;$Q$951,(Surface_Engine!Q244*12)-(Surface_Engine!Q244*12)*INDEX(Surface_Engine!$F$12:$F$72,$A1001+1)-INDEX(Surface_Engine!$D$12:$D$72,$A1001+1),-(1000*12*INDEX(Surface_Engine!$C$12:$C$72,$A1001+1)/(1+Assumptions!$B$10)^22+INDEX(Surface_Engine!$D$12:$D$72,$A1001+1))))*INDEX(Surface_Engine!$B$12:$B$72,$A1001+1)</f>
        <v>566.050093574076</v>
      </c>
      <c r="N1002" s="12" t="n">
        <f aca="false">IF(B1002&lt;=0,0,MAX(0,(K1002+Assumptions!$B$29*L1002/INDEX(Surface_Engine!$B$12:$B$72,$A1002+1)-(M1002/INDEX(Surface_Engine!$B$12:$B$72,$A1002+1)-(F1002/INDEX(Surface_Engine!$B$12:$B$72,$A1002+1))))/B1002))</f>
        <v>0</v>
      </c>
    </row>
    <row r="1003" customFormat="false" ht="15" hidden="false" customHeight="true" outlineLevel="0" collapsed="false">
      <c r="A1003" s="1" t="n">
        <v>50</v>
      </c>
      <c r="B1003" s="32" t="n">
        <f aca="false">INDEX(Surface_Engine!$O$12:$O$72,$A1003+1)*IF($A1003&lt;$Q$951,INDEX(Surface_Engine!$E$12:$E$72,$A1003+1),INDEX(Surface_Engine!$E$12:$E$72,$Q$951+1))</f>
        <v>9.58286222846819E-006</v>
      </c>
      <c r="C1003" s="32" t="n">
        <f aca="false">INDEX(Panel_Reserving!$E$8:$E$68,$A1003+1)*IF($A1003&lt;$Q$951,INDEX(Surface_Engine!$E$12:$E$72,$A1003+1),INDEX(Surface_Engine!$E$12:$E$72,$Q$951+1))</f>
        <v>0.000150928482301154</v>
      </c>
      <c r="D1003" s="32" t="n">
        <f aca="false">INDEX(Surface_Engine!$O$12:$O$72,$A1003+1)*IF($A1003&lt;$Q$951,INDEX(Surface_Engine!$Y$12:$Y$72,$A1003+1),INDEX(Surface_Engine!$Y$12:$Y$72,$Q$951+1))</f>
        <v>8.40570045018487E-006</v>
      </c>
      <c r="E1003" s="32" t="n">
        <f aca="false">INDEX(Surface_Engine!$O$12:$O$72,$A1003+1)*IF($A1003&lt;$Q$951,INDEX(Surface_Engine!$Z$12:$Z$72,$A1003+1),INDEX(Surface_Engine!$Z$12:$Z$72,$Q$951+1))</f>
        <v>1.09132430303032E-005</v>
      </c>
      <c r="F1003" s="48" t="n">
        <f aca="false">B1003*(IF($A1003&lt;$Q$951,INDEX(Surface_Engine!$D$12:$D$72,$A1003+1)+(Surface_Engine!Q244*12)*INDEX(Surface_Engine!$F$12:$F$72,$A1003+1)-(Surface_Engine!Q244*12),1000*12*INDEX(Surface_Engine!$C$12:$C$72,$A1003+1)/(1+Assumptions!$B$10)^22+INDEX(Surface_Engine!$D$12:$D$72,$A1003+1)))*INDEX(Surface_Engine!$B$12:$B$72,$A1003+1)+F1004</f>
        <v>0.0661111872521765</v>
      </c>
      <c r="G1003" s="48" t="n">
        <f aca="false">C1003*(IF($A1003&lt;$Q$951,INDEX(Surface_Engine!$D$12:$D$72,$A1003+1)+(Surface_Engine!Q244*12)*INDEX(Surface_Engine!$F$12:$F$72,$A1003+1)-(Surface_Engine!Q244*12),1000*12*INDEX(Surface_Engine!$C$12:$C$72,$A1003+1)/(1+Assumptions!$B$10)^22+INDEX(Surface_Engine!$D$12:$D$72,$A1003+1)))*INDEX(Surface_Engine!$B$12:$B$72,$A1003+1)+G1004</f>
        <v>1.18705266246126</v>
      </c>
      <c r="H1003" s="48" t="n">
        <f aca="false">D1003*(IF($A1003&lt;$Q$951,INDEX(Surface_Engine!$D$12:$D$72,$A1003+1)+(Surface_Engine!Q244*12)*INDEX(Surface_Engine!$F$12:$F$72,$A1003+1)-(Surface_Engine!Q244*12),1000*12*INDEX(Surface_Engine!$C$12:$C$72,$A1003+1)/(1+Assumptions!$B$10)^22+INDEX(Surface_Engine!$D$12:$D$72,$A1003+1)))*INDEX(Surface_Engine!$B$12:$B$72,$A1003+1)+H1004</f>
        <v>0.0579900684366519</v>
      </c>
      <c r="I1003" s="48" t="n">
        <f aca="false">E1003*(IF($A1003&lt;$Q$951,INDEX(Surface_Engine!$D$12:$D$72,$A1003+1)+(Surface_Engine!Q244*12)*INDEX(Surface_Engine!$F$12:$F$72,$A1003+1)-(Surface_Engine!Q244*12),1000*12*INDEX(Surface_Engine!$C$12:$C$72,$A1003+1)/(1+Assumptions!$B$10)^22+INDEX(Surface_Engine!$D$12:$D$72,$A1003+1)))*INDEX(Surface_Engine!$B$12:$B$72,$A1003+1)+I1004</f>
        <v>0.0752893484539028</v>
      </c>
      <c r="J1003" s="48" t="n">
        <f aca="false">B1003*(IF($A1003&lt;$Q$951,INDEX(Surface_Engine!$D$12:$D$72,$A1003+1)*(1+Assumptions!$B$24)+(Surface_Engine!Q244*12)*INDEX(Surface_Engine!$F$12:$F$72,$A1003+1)-(Surface_Engine!Q244*12),1000*12*INDEX(Surface_Engine!$C$12:$C$72,$A1003+1)/(1+Assumptions!$B$10)^22+INDEX(Surface_Engine!$D$12:$D$72,$A1003+1)*(1+Assumptions!$B$24)))*INDEX(Surface_Engine!$B$12:$B$72,$A1003+1)+J1004</f>
        <v>0.0661993885912283</v>
      </c>
      <c r="K1003" s="12" t="n">
        <f aca="false">SQRT((IF(C1003&lt;=0,0,MAX(0,(B1003/C1003)*G1003/INDEX(Surface_Engine!$B$12:$B$72,$A1003+1)-F1003/INDEX(Surface_Engine!$B$12:$B$72,$A1003+1))))^2+(MAX(IF(D1003&lt;=0,0,MAX(0,(B1003/D1003)*H1003/INDEX(Surface_Engine!$B$12:$B$72,$A1003+1)-F1003/INDEX(Surface_Engine!$B$12:$B$72,$A1003+1))),IF(E1003&lt;=0,0,MAX(0,(B1003/E1003)*I1003/INDEX(Surface_Engine!$B$12:$B$72,$A1003+1)-F1003/INDEX(Surface_Engine!$B$12:$B$72,$A1003+1))),IF($A1003&lt;$Q$951,MAX(0,-Assumptions!$B$22*(F1003/INDEX(Surface_Engine!$B$12:$B$72,$A1003+1))),0)))^2+(MAX(0,J1003/INDEX(Surface_Engine!$B$12:$B$72,$A1003+1)-(F1003/INDEX(Surface_Engine!$B$12:$B$72,$A1003+1))))^2+2*Assumptions!$B$26*(IF(C1003&lt;=0,0,MAX(0,(B1003/C1003)*G1003/INDEX(Surface_Engine!$B$12:$B$72,$A1003+1)-F1003/INDEX(Surface_Engine!$B$12:$B$72,$A1003+1))))*(MAX(IF(D1003&lt;=0,0,MAX(0,(B1003/D1003)*H1003/INDEX(Surface_Engine!$B$12:$B$72,$A1003+1)-F1003/INDEX(Surface_Engine!$B$12:$B$72,$A1003+1))),IF(E1003&lt;=0,0,MAX(0,(B1003/E1003)*I1003/INDEX(Surface_Engine!$B$12:$B$72,$A1003+1)-F1003/INDEX(Surface_Engine!$B$12:$B$72,$A1003+1))),IF($A1003&lt;$Q$951,MAX(0,-Assumptions!$B$22*(F1003/INDEX(Surface_Engine!$B$12:$B$72,$A1003+1))),0)))+2*Assumptions!$B$27*(IF(C1003&lt;=0,0,MAX(0,(B1003/C1003)*G1003/INDEX(Surface_Engine!$B$12:$B$72,$A1003+1)-F1003/INDEX(Surface_Engine!$B$12:$B$72,$A1003+1))))*(MAX(0,J1003/INDEX(Surface_Engine!$B$12:$B$72,$A1003+1)-(F1003/INDEX(Surface_Engine!$B$12:$B$72,$A1003+1))))+2*Assumptions!$B$28*(MAX(IF(D1003&lt;=0,0,MAX(0,(B1003/D1003)*H1003/INDEX(Surface_Engine!$B$12:$B$72,$A1003+1)-F1003/INDEX(Surface_Engine!$B$12:$B$72,$A1003+1))),IF(E1003&lt;=0,0,MAX(0,(B1003/E1003)*I1003/INDEX(Surface_Engine!$B$12:$B$72,$A1003+1)-F1003/INDEX(Surface_Engine!$B$12:$B$72,$A1003+1))),IF($A1003&lt;$Q$951,MAX(0,-Assumptions!$B$22*(F1003/INDEX(Surface_Engine!$B$12:$B$72,$A1003+1))),0)))*(MAX(0,J1003/INDEX(Surface_Engine!$B$12:$B$72,$A1003+1)-(F1003/INDEX(Surface_Engine!$B$12:$B$72,$A1003+1)))))</f>
        <v>0.0451774301087748</v>
      </c>
      <c r="L1003" s="48" t="n">
        <f aca="false">K1003*INDEX(Surface_Engine!$B$12:$B$72,$A1003+1)+L1004</f>
        <v>0.0113378066649335</v>
      </c>
      <c r="M1003" s="48" t="n">
        <f aca="false">M1002+B1002*(IF($A1002&lt;$Q$951,(Surface_Engine!Q244*12)-(Surface_Engine!Q244*12)*INDEX(Surface_Engine!$F$12:$F$72,$A1002+1)-INDEX(Surface_Engine!$D$12:$D$72,$A1002+1),-(1000*12*INDEX(Surface_Engine!$C$12:$C$72,$A1002+1)/(1+Assumptions!$B$10)^22+INDEX(Surface_Engine!$D$12:$D$72,$A1002+1))))*INDEX(Surface_Engine!$B$12:$B$72,$A1002+1)</f>
        <v>565.953970153034</v>
      </c>
      <c r="N1003" s="12" t="n">
        <f aca="false">IF(B1003&lt;=0,0,MAX(0,(K1003+Assumptions!$B$29*L1003/INDEX(Surface_Engine!$B$12:$B$72,$A1003+1)-(M1003/INDEX(Surface_Engine!$B$12:$B$72,$A1003+1)-(F1003/INDEX(Surface_Engine!$B$12:$B$72,$A1003+1))))/B1003))</f>
        <v>0</v>
      </c>
    </row>
    <row r="1004" customFormat="false" ht="15" hidden="false" customHeight="true" outlineLevel="0" collapsed="false">
      <c r="A1004" s="1" t="n">
        <v>51</v>
      </c>
      <c r="B1004" s="32" t="n">
        <f aca="false">INDEX(Surface_Engine!$O$12:$O$72,$A1004+1)*IF($A1004&lt;$Q$951,INDEX(Surface_Engine!$E$12:$E$72,$A1004+1),INDEX(Surface_Engine!$E$12:$E$72,$Q$951+1))</f>
        <v>4.05433655371767E-006</v>
      </c>
      <c r="C1004" s="32" t="n">
        <f aca="false">INDEX(Panel_Reserving!$E$8:$E$68,$A1004+1)*IF($A1004&lt;$Q$951,INDEX(Surface_Engine!$E$12:$E$72,$A1004+1),INDEX(Surface_Engine!$E$12:$E$72,$Q$951+1))</f>
        <v>8.1269796237674E-005</v>
      </c>
      <c r="D1004" s="32" t="n">
        <f aca="false">INDEX(Surface_Engine!$O$12:$O$72,$A1004+1)*IF($A1004&lt;$Q$951,INDEX(Surface_Engine!$Y$12:$Y$72,$A1004+1),INDEX(Surface_Engine!$Y$12:$Y$72,$Q$951+1))</f>
        <v>3.55630058976995E-006</v>
      </c>
      <c r="E1004" s="32" t="n">
        <f aca="false">INDEX(Surface_Engine!$O$12:$O$72,$A1004+1)*IF($A1004&lt;$Q$951,INDEX(Surface_Engine!$Z$12:$Z$72,$A1004+1),INDEX(Surface_Engine!$Z$12:$Z$72,$Q$951+1))</f>
        <v>4.61719672916924E-006</v>
      </c>
      <c r="F1004" s="48" t="n">
        <f aca="false">B1004*(IF($A1004&lt;$Q$951,INDEX(Surface_Engine!$D$12:$D$72,$A1004+1)+(Surface_Engine!Q244*12)*INDEX(Surface_Engine!$F$12:$F$72,$A1004+1)-(Surface_Engine!Q244*12),1000*12*INDEX(Surface_Engine!$C$12:$C$72,$A1004+1)/(1+Assumptions!$B$10)^22+INDEX(Surface_Engine!$D$12:$D$72,$A1004+1)))*INDEX(Surface_Engine!$B$12:$B$72,$A1004+1)+F1005</f>
        <v>0.0244290804987682</v>
      </c>
      <c r="G1004" s="48" t="n">
        <f aca="false">C1004*(IF($A1004&lt;$Q$951,INDEX(Surface_Engine!$D$12:$D$72,$A1004+1)+(Surface_Engine!Q244*12)*INDEX(Surface_Engine!$F$12:$F$72,$A1004+1)-(Surface_Engine!Q244*12),1000*12*INDEX(Surface_Engine!$C$12:$C$72,$A1004+1)/(1+Assumptions!$B$10)^22+INDEX(Surface_Engine!$D$12:$D$72,$A1004+1)))*INDEX(Surface_Engine!$B$12:$B$72,$A1004+1)+G1005</f>
        <v>0.530566430955427</v>
      </c>
      <c r="H1004" s="48" t="n">
        <f aca="false">D1004*(IF($A1004&lt;$Q$951,INDEX(Surface_Engine!$D$12:$D$72,$A1004+1)+(Surface_Engine!Q244*12)*INDEX(Surface_Engine!$F$12:$F$72,$A1004+1)-(Surface_Engine!Q244*12),1000*12*INDEX(Surface_Engine!$C$12:$C$72,$A1004+1)/(1+Assumptions!$B$10)^22+INDEX(Surface_Engine!$D$12:$D$72,$A1004+1)))*INDEX(Surface_Engine!$B$12:$B$72,$A1004+1)+H1005</f>
        <v>0.0214282046480931</v>
      </c>
      <c r="I1004" s="48" t="n">
        <f aca="false">E1004*(IF($A1004&lt;$Q$951,INDEX(Surface_Engine!$D$12:$D$72,$A1004+1)+(Surface_Engine!Q244*12)*INDEX(Surface_Engine!$F$12:$F$72,$A1004+1)-(Surface_Engine!Q244*12),1000*12*INDEX(Surface_Engine!$C$12:$C$72,$A1004+1)/(1+Assumptions!$B$10)^22+INDEX(Surface_Engine!$D$12:$D$72,$A1004+1)))*INDEX(Surface_Engine!$B$12:$B$72,$A1004+1)+I1005</f>
        <v>0.0278205494489837</v>
      </c>
      <c r="J1004" s="48" t="n">
        <f aca="false">B1004*(IF($A1004&lt;$Q$951,INDEX(Surface_Engine!$D$12:$D$72,$A1004+1)*(1+Assumptions!$B$24)+(Surface_Engine!Q244*12)*INDEX(Surface_Engine!$F$12:$F$72,$A1004+1)-(Surface_Engine!Q244*12),1000*12*INDEX(Surface_Engine!$C$12:$C$72,$A1004+1)/(1+Assumptions!$B$10)^22+INDEX(Surface_Engine!$D$12:$D$72,$A1004+1)*(1+Assumptions!$B$24)))*INDEX(Surface_Engine!$B$12:$B$72,$A1004+1)+J1005</f>
        <v>0.0244617999616294</v>
      </c>
      <c r="K1004" s="12" t="n">
        <f aca="false">SQRT((IF(C1004&lt;=0,0,MAX(0,(B1004/C1004)*G1004/INDEX(Surface_Engine!$B$12:$B$72,$A1004+1)-F1004/INDEX(Surface_Engine!$B$12:$B$72,$A1004+1))))^2+(MAX(IF(D1004&lt;=0,0,MAX(0,(B1004/D1004)*H1004/INDEX(Surface_Engine!$B$12:$B$72,$A1004+1)-F1004/INDEX(Surface_Engine!$B$12:$B$72,$A1004+1))),IF(E1004&lt;=0,0,MAX(0,(B1004/E1004)*I1004/INDEX(Surface_Engine!$B$12:$B$72,$A1004+1)-F1004/INDEX(Surface_Engine!$B$12:$B$72,$A1004+1))),IF($A1004&lt;$Q$951,MAX(0,-Assumptions!$B$22*(F1004/INDEX(Surface_Engine!$B$12:$B$72,$A1004+1))),0)))^2+(MAX(0,J1004/INDEX(Surface_Engine!$B$12:$B$72,$A1004+1)-(F1004/INDEX(Surface_Engine!$B$12:$B$72,$A1004+1))))^2+2*Assumptions!$B$26*(IF(C1004&lt;=0,0,MAX(0,(B1004/C1004)*G1004/INDEX(Surface_Engine!$B$12:$B$72,$A1004+1)-F1004/INDEX(Surface_Engine!$B$12:$B$72,$A1004+1))))*(MAX(IF(D1004&lt;=0,0,MAX(0,(B1004/D1004)*H1004/INDEX(Surface_Engine!$B$12:$B$72,$A1004+1)-F1004/INDEX(Surface_Engine!$B$12:$B$72,$A1004+1))),IF(E1004&lt;=0,0,MAX(0,(B1004/E1004)*I1004/INDEX(Surface_Engine!$B$12:$B$72,$A1004+1)-F1004/INDEX(Surface_Engine!$B$12:$B$72,$A1004+1))),IF($A1004&lt;$Q$951,MAX(0,-Assumptions!$B$22*(F1004/INDEX(Surface_Engine!$B$12:$B$72,$A1004+1))),0)))+2*Assumptions!$B$27*(IF(C1004&lt;=0,0,MAX(0,(B1004/C1004)*G1004/INDEX(Surface_Engine!$B$12:$B$72,$A1004+1)-F1004/INDEX(Surface_Engine!$B$12:$B$72,$A1004+1))))*(MAX(0,J1004/INDEX(Surface_Engine!$B$12:$B$72,$A1004+1)-(F1004/INDEX(Surface_Engine!$B$12:$B$72,$A1004+1))))+2*Assumptions!$B$28*(MAX(IF(D1004&lt;=0,0,MAX(0,(B1004/D1004)*H1004/INDEX(Surface_Engine!$B$12:$B$72,$A1004+1)-F1004/INDEX(Surface_Engine!$B$12:$B$72,$A1004+1))),IF(E1004&lt;=0,0,MAX(0,(B1004/E1004)*I1004/INDEX(Surface_Engine!$B$12:$B$72,$A1004+1)-F1004/INDEX(Surface_Engine!$B$12:$B$72,$A1004+1))),IF($A1004&lt;$Q$951,MAX(0,-Assumptions!$B$22*(F1004/INDEX(Surface_Engine!$B$12:$B$72,$A1004+1))),0)))*(MAX(0,J1004/INDEX(Surface_Engine!$B$12:$B$72,$A1004+1)-(F1004/INDEX(Surface_Engine!$B$12:$B$72,$A1004+1)))))</f>
        <v>0.0102949338666354</v>
      </c>
      <c r="L1004" s="48" t="n">
        <f aca="false">K1004*INDEX(Surface_Engine!$B$12:$B$72,$A1004+1)+L1005</f>
        <v>0.00205732974081142</v>
      </c>
      <c r="M1004" s="48" t="n">
        <f aca="false">M1003+B1003*(IF($A1003&lt;$Q$951,(Surface_Engine!Q244*12)-(Surface_Engine!Q244*12)*INDEX(Surface_Engine!$F$12:$F$72,$A1003+1)-INDEX(Surface_Engine!$D$12:$D$72,$A1003+1),-(1000*12*INDEX(Surface_Engine!$C$12:$C$72,$A1003+1)/(1+Assumptions!$B$10)^22+INDEX(Surface_Engine!$D$12:$D$72,$A1003+1))))*INDEX(Surface_Engine!$B$12:$B$72,$A1003+1)</f>
        <v>565.912288046281</v>
      </c>
      <c r="N1004" s="12" t="n">
        <f aca="false">IF(B1004&lt;=0,0,MAX(0,(K1004+Assumptions!$B$29*L1004/INDEX(Surface_Engine!$B$12:$B$72,$A1004+1)-(M1004/INDEX(Surface_Engine!$B$12:$B$72,$A1004+1)-(F1004/INDEX(Surface_Engine!$B$12:$B$72,$A1004+1))))/B1004))</f>
        <v>0</v>
      </c>
    </row>
    <row r="1005" customFormat="false" ht="15" hidden="false" customHeight="true" outlineLevel="0" collapsed="false">
      <c r="A1005" s="1" t="n">
        <v>52</v>
      </c>
      <c r="B1005" s="32" t="n">
        <f aca="false">INDEX(Surface_Engine!$O$12:$O$72,$A1005+1)*IF($A1005&lt;$Q$951,INDEX(Surface_Engine!$E$12:$E$72,$A1005+1),INDEX(Surface_Engine!$E$12:$E$72,$Q$951+1))</f>
        <v>1.65157619664671E-006</v>
      </c>
      <c r="C1005" s="32" t="n">
        <f aca="false">INDEX(Panel_Reserving!$E$8:$E$68,$A1005+1)*IF($A1005&lt;$Q$951,INDEX(Surface_Engine!$E$12:$E$72,$A1005+1),INDEX(Surface_Engine!$E$12:$E$72,$Q$951+1))</f>
        <v>4.27388371937218E-005</v>
      </c>
      <c r="D1005" s="32" t="n">
        <f aca="false">INDEX(Surface_Engine!$O$12:$O$72,$A1005+1)*IF($A1005&lt;$Q$951,INDEX(Surface_Engine!$Y$12:$Y$72,$A1005+1),INDEX(Surface_Engine!$Y$12:$Y$72,$Q$951+1))</f>
        <v>1.44869606268847E-006</v>
      </c>
      <c r="E1005" s="32" t="n">
        <f aca="false">INDEX(Surface_Engine!$O$12:$O$72,$A1005+1)*IF($A1005&lt;$Q$951,INDEX(Surface_Engine!$Z$12:$Z$72,$A1005+1),INDEX(Surface_Engine!$Z$12:$Z$72,$Q$951+1))</f>
        <v>1.88086314791468E-006</v>
      </c>
      <c r="F1005" s="48" t="n">
        <f aca="false">B1005*(IF($A1005&lt;$Q$951,INDEX(Surface_Engine!$D$12:$D$72,$A1005+1)+(Surface_Engine!Q244*12)*INDEX(Surface_Engine!$F$12:$F$72,$A1005+1)-(Surface_Engine!Q244*12),1000*12*INDEX(Surface_Engine!$C$12:$C$72,$A1005+1)/(1+Assumptions!$B$10)^22+INDEX(Surface_Engine!$D$12:$D$72,$A1005+1)))*INDEX(Surface_Engine!$B$12:$B$72,$A1005+1)+F1006</f>
        <v>0.00700936292236595</v>
      </c>
      <c r="G1005" s="48" t="n">
        <f aca="false">C1005*(IF($A1005&lt;$Q$951,INDEX(Surface_Engine!$D$12:$D$72,$A1005+1)+(Surface_Engine!Q244*12)*INDEX(Surface_Engine!$F$12:$F$72,$A1005+1)-(Surface_Engine!Q244*12),1000*12*INDEX(Surface_Engine!$C$12:$C$72,$A1005+1)/(1+Assumptions!$B$10)^22+INDEX(Surface_Engine!$D$12:$D$72,$A1005+1)))*INDEX(Surface_Engine!$B$12:$B$72,$A1005+1)+G1006</f>
        <v>0.181385528187526</v>
      </c>
      <c r="H1005" s="48" t="n">
        <f aca="false">D1005*(IF($A1005&lt;$Q$951,INDEX(Surface_Engine!$D$12:$D$72,$A1005+1)+(Surface_Engine!Q244*12)*INDEX(Surface_Engine!$F$12:$F$72,$A1005+1)-(Surface_Engine!Q244*12),1000*12*INDEX(Surface_Engine!$C$12:$C$72,$A1005+1)/(1+Assumptions!$B$10)^22+INDEX(Surface_Engine!$D$12:$D$72,$A1005+1)))*INDEX(Surface_Engine!$B$12:$B$72,$A1005+1)+H1006</f>
        <v>0.00614833059970421</v>
      </c>
      <c r="I1005" s="48" t="n">
        <f aca="false">E1005*(IF($A1005&lt;$Q$951,INDEX(Surface_Engine!$D$12:$D$72,$A1005+1)+(Surface_Engine!Q244*12)*INDEX(Surface_Engine!$F$12:$F$72,$A1005+1)-(Surface_Engine!Q244*12),1000*12*INDEX(Surface_Engine!$C$12:$C$72,$A1005+1)/(1+Assumptions!$B$10)^22+INDEX(Surface_Engine!$D$12:$D$72,$A1005+1)))*INDEX(Surface_Engine!$B$12:$B$72,$A1005+1)+I1006</f>
        <v>0.0079824669535715</v>
      </c>
      <c r="J1005" s="48" t="n">
        <f aca="false">B1005*(IF($A1005&lt;$Q$951,INDEX(Surface_Engine!$D$12:$D$72,$A1005+1)*(1+Assumptions!$B$24)+(Surface_Engine!Q244*12)*INDEX(Surface_Engine!$F$12:$F$72,$A1005+1)-(Surface_Engine!Q244*12),1000*12*INDEX(Surface_Engine!$C$12:$C$72,$A1005+1)/(1+Assumptions!$B$10)^22+INDEX(Surface_Engine!$D$12:$D$72,$A1005+1)*(1+Assumptions!$B$24)))*INDEX(Surface_Engine!$B$12:$B$72,$A1005+1)+J1006</f>
        <v>0.00701878334966076</v>
      </c>
      <c r="K1005" s="12" t="n">
        <f aca="false">SQRT((IF(C1005&lt;=0,0,MAX(0,(B1005/C1005)*G1005/INDEX(Surface_Engine!$B$12:$B$72,$A1005+1)-F1005/INDEX(Surface_Engine!$B$12:$B$72,$A1005+1))))^2+(MAX(IF(D1005&lt;=0,0,MAX(0,(B1005/D1005)*H1005/INDEX(Surface_Engine!$B$12:$B$72,$A1005+1)-F1005/INDEX(Surface_Engine!$B$12:$B$72,$A1005+1))),IF(E1005&lt;=0,0,MAX(0,(B1005/E1005)*I1005/INDEX(Surface_Engine!$B$12:$B$72,$A1005+1)-F1005/INDEX(Surface_Engine!$B$12:$B$72,$A1005+1))),IF($A1005&lt;$Q$951,MAX(0,-Assumptions!$B$22*(F1005/INDEX(Surface_Engine!$B$12:$B$72,$A1005+1))),0)))^2+(MAX(0,J1005/INDEX(Surface_Engine!$B$12:$B$72,$A1005+1)-(F1005/INDEX(Surface_Engine!$B$12:$B$72,$A1005+1))))^2+2*Assumptions!$B$26*(IF(C1005&lt;=0,0,MAX(0,(B1005/C1005)*G1005/INDEX(Surface_Engine!$B$12:$B$72,$A1005+1)-F1005/INDEX(Surface_Engine!$B$12:$B$72,$A1005+1))))*(MAX(IF(D1005&lt;=0,0,MAX(0,(B1005/D1005)*H1005/INDEX(Surface_Engine!$B$12:$B$72,$A1005+1)-F1005/INDEX(Surface_Engine!$B$12:$B$72,$A1005+1))),IF(E1005&lt;=0,0,MAX(0,(B1005/E1005)*I1005/INDEX(Surface_Engine!$B$12:$B$72,$A1005+1)-F1005/INDEX(Surface_Engine!$B$12:$B$72,$A1005+1))),IF($A1005&lt;$Q$951,MAX(0,-Assumptions!$B$22*(F1005/INDEX(Surface_Engine!$B$12:$B$72,$A1005+1))),0)))+2*Assumptions!$B$27*(IF(C1005&lt;=0,0,MAX(0,(B1005/C1005)*G1005/INDEX(Surface_Engine!$B$12:$B$72,$A1005+1)-F1005/INDEX(Surface_Engine!$B$12:$B$72,$A1005+1))))*(MAX(0,J1005/INDEX(Surface_Engine!$B$12:$B$72,$A1005+1)-(F1005/INDEX(Surface_Engine!$B$12:$B$72,$A1005+1))))+2*Assumptions!$B$28*(MAX(IF(D1005&lt;=0,0,MAX(0,(B1005/D1005)*H1005/INDEX(Surface_Engine!$B$12:$B$72,$A1005+1)-F1005/INDEX(Surface_Engine!$B$12:$B$72,$A1005+1))),IF(E1005&lt;=0,0,MAX(0,(B1005/E1005)*I1005/INDEX(Surface_Engine!$B$12:$B$72,$A1005+1)-F1005/INDEX(Surface_Engine!$B$12:$B$72,$A1005+1))),IF($A1005&lt;$Q$951,MAX(0,-Assumptions!$B$22*(F1005/INDEX(Surface_Engine!$B$12:$B$72,$A1005+1))),0)))*(MAX(0,J1005/INDEX(Surface_Engine!$B$12:$B$72,$A1005+1)-(F1005/INDEX(Surface_Engine!$B$12:$B$72,$A1005+1)))))</f>
        <v>4.89050230271168E-005</v>
      </c>
      <c r="L1005" s="48" t="n">
        <f aca="false">K1005*INDEX(Surface_Engine!$B$12:$B$72,$A1005+1)+L1006</f>
        <v>9.42042729481575E-006</v>
      </c>
      <c r="M1005" s="48" t="n">
        <f aca="false">M1004+B1004*(IF($A1004&lt;$Q$951,(Surface_Engine!Q244*12)-(Surface_Engine!Q244*12)*INDEX(Surface_Engine!$F$12:$F$72,$A1004+1)-INDEX(Surface_Engine!$D$12:$D$72,$A1004+1),-(1000*12*INDEX(Surface_Engine!$C$12:$C$72,$A1004+1)/(1+Assumptions!$B$10)^22+INDEX(Surface_Engine!$D$12:$D$72,$A1004+1))))*INDEX(Surface_Engine!$B$12:$B$72,$A1004+1)</f>
        <v>565.894868328705</v>
      </c>
      <c r="N1005" s="12" t="n">
        <f aca="false">IF(B1005&lt;=0,0,MAX(0,(K1005+Assumptions!$B$29*L1005/INDEX(Surface_Engine!$B$12:$B$72,$A1005+1)-(M1005/INDEX(Surface_Engine!$B$12:$B$72,$A1005+1)-(F1005/INDEX(Surface_Engine!$B$12:$B$72,$A1005+1))))/B1005))</f>
        <v>0</v>
      </c>
    </row>
    <row r="1006" customFormat="false" ht="15" hidden="false" customHeight="true" outlineLevel="0" collapsed="false">
      <c r="A1006" s="1" t="n">
        <v>53</v>
      </c>
      <c r="B1006" s="32" t="n">
        <f aca="false">INDEX(Surface_Engine!$O$12:$O$72,$A1006+1)*IF($A1006&lt;$Q$951,INDEX(Surface_Engine!$E$12:$E$72,$A1006+1),INDEX(Surface_Engine!$E$12:$E$72,$Q$951+1))</f>
        <v>0</v>
      </c>
      <c r="C1006" s="32" t="n">
        <f aca="false">INDEX(Panel_Reserving!$E$8:$E$68,$A1006+1)*IF($A1006&lt;$Q$951,INDEX(Surface_Engine!$E$12:$E$72,$A1006+1),INDEX(Surface_Engine!$E$12:$E$72,$Q$951+1))</f>
        <v>0</v>
      </c>
      <c r="D1006" s="32" t="n">
        <f aca="false">INDEX(Surface_Engine!$O$12:$O$72,$A1006+1)*IF($A1006&lt;$Q$951,INDEX(Surface_Engine!$Y$12:$Y$72,$A1006+1),INDEX(Surface_Engine!$Y$12:$Y$72,$Q$951+1))</f>
        <v>0</v>
      </c>
      <c r="E1006" s="32" t="n">
        <f aca="false">INDEX(Surface_Engine!$O$12:$O$72,$A1006+1)*IF($A1006&lt;$Q$951,INDEX(Surface_Engine!$Z$12:$Z$72,$A1006+1),INDEX(Surface_Engine!$Z$12:$Z$72,$Q$951+1))</f>
        <v>0</v>
      </c>
      <c r="F1006" s="48" t="n">
        <f aca="false">B1006*(IF($A1006&lt;$Q$951,INDEX(Surface_Engine!$D$12:$D$72,$A1006+1)+(Surface_Engine!Q244*12)*INDEX(Surface_Engine!$F$12:$F$72,$A1006+1)-(Surface_Engine!Q244*12),1000*12*INDEX(Surface_Engine!$C$12:$C$72,$A1006+1)/(1+Assumptions!$B$10)^22+INDEX(Surface_Engine!$D$12:$D$72,$A1006+1)))*INDEX(Surface_Engine!$B$12:$B$72,$A1006+1)+F1007</f>
        <v>0</v>
      </c>
      <c r="G1006" s="48" t="n">
        <f aca="false">C1006*(IF($A1006&lt;$Q$951,INDEX(Surface_Engine!$D$12:$D$72,$A1006+1)+(Surface_Engine!Q244*12)*INDEX(Surface_Engine!$F$12:$F$72,$A1006+1)-(Surface_Engine!Q244*12),1000*12*INDEX(Surface_Engine!$C$12:$C$72,$A1006+1)/(1+Assumptions!$B$10)^22+INDEX(Surface_Engine!$D$12:$D$72,$A1006+1)))*INDEX(Surface_Engine!$B$12:$B$72,$A1006+1)+G1007</f>
        <v>0</v>
      </c>
      <c r="H1006" s="48" t="n">
        <f aca="false">D1006*(IF($A1006&lt;$Q$951,INDEX(Surface_Engine!$D$12:$D$72,$A1006+1)+(Surface_Engine!Q244*12)*INDEX(Surface_Engine!$F$12:$F$72,$A1006+1)-(Surface_Engine!Q244*12),1000*12*INDEX(Surface_Engine!$C$12:$C$72,$A1006+1)/(1+Assumptions!$B$10)^22+INDEX(Surface_Engine!$D$12:$D$72,$A1006+1)))*INDEX(Surface_Engine!$B$12:$B$72,$A1006+1)+H1007</f>
        <v>0</v>
      </c>
      <c r="I1006" s="48" t="n">
        <f aca="false">E1006*(IF($A1006&lt;$Q$951,INDEX(Surface_Engine!$D$12:$D$72,$A1006+1)+(Surface_Engine!Q244*12)*INDEX(Surface_Engine!$F$12:$F$72,$A1006+1)-(Surface_Engine!Q244*12),1000*12*INDEX(Surface_Engine!$C$12:$C$72,$A1006+1)/(1+Assumptions!$B$10)^22+INDEX(Surface_Engine!$D$12:$D$72,$A1006+1)))*INDEX(Surface_Engine!$B$12:$B$72,$A1006+1)+I1007</f>
        <v>0</v>
      </c>
      <c r="J1006" s="48" t="n">
        <f aca="false">B1006*(IF($A1006&lt;$Q$951,INDEX(Surface_Engine!$D$12:$D$72,$A1006+1)*(1+Assumptions!$B$24)+(Surface_Engine!Q244*12)*INDEX(Surface_Engine!$F$12:$F$72,$A1006+1)-(Surface_Engine!Q244*12),1000*12*INDEX(Surface_Engine!$C$12:$C$72,$A1006+1)/(1+Assumptions!$B$10)^22+INDEX(Surface_Engine!$D$12:$D$72,$A1006+1)*(1+Assumptions!$B$24)))*INDEX(Surface_Engine!$B$12:$B$72,$A1006+1)+J1007</f>
        <v>0</v>
      </c>
      <c r="K1006" s="12" t="n">
        <f aca="false">SQRT((IF(C1006&lt;=0,0,MAX(0,(B1006/C1006)*G1006/INDEX(Surface_Engine!$B$12:$B$72,$A1006+1)-F1006/INDEX(Surface_Engine!$B$12:$B$72,$A1006+1))))^2+(MAX(IF(D1006&lt;=0,0,MAX(0,(B1006/D1006)*H1006/INDEX(Surface_Engine!$B$12:$B$72,$A1006+1)-F1006/INDEX(Surface_Engine!$B$12:$B$72,$A1006+1))),IF(E1006&lt;=0,0,MAX(0,(B1006/E1006)*I1006/INDEX(Surface_Engine!$B$12:$B$72,$A1006+1)-F1006/INDEX(Surface_Engine!$B$12:$B$72,$A1006+1))),IF($A1006&lt;$Q$951,MAX(0,-Assumptions!$B$22*(F1006/INDEX(Surface_Engine!$B$12:$B$72,$A1006+1))),0)))^2+(MAX(0,J1006/INDEX(Surface_Engine!$B$12:$B$72,$A1006+1)-(F1006/INDEX(Surface_Engine!$B$12:$B$72,$A1006+1))))^2+2*Assumptions!$B$26*(IF(C1006&lt;=0,0,MAX(0,(B1006/C1006)*G1006/INDEX(Surface_Engine!$B$12:$B$72,$A1006+1)-F1006/INDEX(Surface_Engine!$B$12:$B$72,$A1006+1))))*(MAX(IF(D1006&lt;=0,0,MAX(0,(B1006/D1006)*H1006/INDEX(Surface_Engine!$B$12:$B$72,$A1006+1)-F1006/INDEX(Surface_Engine!$B$12:$B$72,$A1006+1))),IF(E1006&lt;=0,0,MAX(0,(B1006/E1006)*I1006/INDEX(Surface_Engine!$B$12:$B$72,$A1006+1)-F1006/INDEX(Surface_Engine!$B$12:$B$72,$A1006+1))),IF($A1006&lt;$Q$951,MAX(0,-Assumptions!$B$22*(F1006/INDEX(Surface_Engine!$B$12:$B$72,$A1006+1))),0)))+2*Assumptions!$B$27*(IF(C1006&lt;=0,0,MAX(0,(B1006/C1006)*G1006/INDEX(Surface_Engine!$B$12:$B$72,$A1006+1)-F1006/INDEX(Surface_Engine!$B$12:$B$72,$A1006+1))))*(MAX(0,J1006/INDEX(Surface_Engine!$B$12:$B$72,$A1006+1)-(F1006/INDEX(Surface_Engine!$B$12:$B$72,$A1006+1))))+2*Assumptions!$B$28*(MAX(IF(D1006&lt;=0,0,MAX(0,(B1006/D1006)*H1006/INDEX(Surface_Engine!$B$12:$B$72,$A1006+1)-F1006/INDEX(Surface_Engine!$B$12:$B$72,$A1006+1))),IF(E1006&lt;=0,0,MAX(0,(B1006/E1006)*I1006/INDEX(Surface_Engine!$B$12:$B$72,$A1006+1)-F1006/INDEX(Surface_Engine!$B$12:$B$72,$A1006+1))),IF($A1006&lt;$Q$951,MAX(0,-Assumptions!$B$22*(F1006/INDEX(Surface_Engine!$B$12:$B$72,$A1006+1))),0)))*(MAX(0,J1006/INDEX(Surface_Engine!$B$12:$B$72,$A1006+1)-(F1006/INDEX(Surface_Engine!$B$12:$B$72,$A1006+1)))))</f>
        <v>0</v>
      </c>
      <c r="L1006" s="48" t="n">
        <f aca="false">K1006*INDEX(Surface_Engine!$B$12:$B$72,$A1006+1)+L1007</f>
        <v>0</v>
      </c>
      <c r="M1006" s="48" t="n">
        <f aca="false">M1005+B1005*(IF($A1005&lt;$Q$951,(Surface_Engine!Q244*12)-(Surface_Engine!Q244*12)*INDEX(Surface_Engine!$F$12:$F$72,$A1005+1)-INDEX(Surface_Engine!$D$12:$D$72,$A1005+1),-(1000*12*INDEX(Surface_Engine!$C$12:$C$72,$A1005+1)/(1+Assumptions!$B$10)^22+INDEX(Surface_Engine!$D$12:$D$72,$A1005+1))))*INDEX(Surface_Engine!$B$12:$B$72,$A1005+1)</f>
        <v>565.887858965782</v>
      </c>
      <c r="N1006" s="12" t="n">
        <f aca="false">IF(B1006&lt;=0,0,MAX(0,(K1006+Assumptions!$B$29*L1006/INDEX(Surface_Engine!$B$12:$B$72,$A1006+1)-(M1006/INDEX(Surface_Engine!$B$12:$B$72,$A1006+1)-(F1006/INDEX(Surface_Engine!$B$12:$B$72,$A1006+1))))/B1006))</f>
        <v>0</v>
      </c>
    </row>
    <row r="1007" customFormat="false" ht="15" hidden="false" customHeight="true" outlineLevel="0" collapsed="false">
      <c r="A1007" s="1" t="n">
        <v>54</v>
      </c>
      <c r="B1007" s="32" t="n">
        <f aca="false">INDEX(Surface_Engine!$O$12:$O$72,$A1007+1)*IF($A1007&lt;$Q$951,INDEX(Surface_Engine!$E$12:$E$72,$A1007+1),INDEX(Surface_Engine!$E$12:$E$72,$Q$951+1))</f>
        <v>0</v>
      </c>
      <c r="C1007" s="32" t="n">
        <f aca="false">INDEX(Panel_Reserving!$E$8:$E$68,$A1007+1)*IF($A1007&lt;$Q$951,INDEX(Surface_Engine!$E$12:$E$72,$A1007+1),INDEX(Surface_Engine!$E$12:$E$72,$Q$951+1))</f>
        <v>0</v>
      </c>
      <c r="D1007" s="32" t="n">
        <f aca="false">INDEX(Surface_Engine!$O$12:$O$72,$A1007+1)*IF($A1007&lt;$Q$951,INDEX(Surface_Engine!$Y$12:$Y$72,$A1007+1),INDEX(Surface_Engine!$Y$12:$Y$72,$Q$951+1))</f>
        <v>0</v>
      </c>
      <c r="E1007" s="32" t="n">
        <f aca="false">INDEX(Surface_Engine!$O$12:$O$72,$A1007+1)*IF($A1007&lt;$Q$951,INDEX(Surface_Engine!$Z$12:$Z$72,$A1007+1),INDEX(Surface_Engine!$Z$12:$Z$72,$Q$951+1))</f>
        <v>0</v>
      </c>
      <c r="F1007" s="48" t="n">
        <f aca="false">B1007*(IF($A1007&lt;$Q$951,INDEX(Surface_Engine!$D$12:$D$72,$A1007+1)+(Surface_Engine!Q244*12)*INDEX(Surface_Engine!$F$12:$F$72,$A1007+1)-(Surface_Engine!Q244*12),1000*12*INDEX(Surface_Engine!$C$12:$C$72,$A1007+1)/(1+Assumptions!$B$10)^22+INDEX(Surface_Engine!$D$12:$D$72,$A1007+1)))*INDEX(Surface_Engine!$B$12:$B$72,$A1007+1)+F1008</f>
        <v>0</v>
      </c>
      <c r="G1007" s="48" t="n">
        <f aca="false">C1007*(IF($A1007&lt;$Q$951,INDEX(Surface_Engine!$D$12:$D$72,$A1007+1)+(Surface_Engine!Q244*12)*INDEX(Surface_Engine!$F$12:$F$72,$A1007+1)-(Surface_Engine!Q244*12),1000*12*INDEX(Surface_Engine!$C$12:$C$72,$A1007+1)/(1+Assumptions!$B$10)^22+INDEX(Surface_Engine!$D$12:$D$72,$A1007+1)))*INDEX(Surface_Engine!$B$12:$B$72,$A1007+1)+G1008</f>
        <v>0</v>
      </c>
      <c r="H1007" s="48" t="n">
        <f aca="false">D1007*(IF($A1007&lt;$Q$951,INDEX(Surface_Engine!$D$12:$D$72,$A1007+1)+(Surface_Engine!Q244*12)*INDEX(Surface_Engine!$F$12:$F$72,$A1007+1)-(Surface_Engine!Q244*12),1000*12*INDEX(Surface_Engine!$C$12:$C$72,$A1007+1)/(1+Assumptions!$B$10)^22+INDEX(Surface_Engine!$D$12:$D$72,$A1007+1)))*INDEX(Surface_Engine!$B$12:$B$72,$A1007+1)+H1008</f>
        <v>0</v>
      </c>
      <c r="I1007" s="48" t="n">
        <f aca="false">E1007*(IF($A1007&lt;$Q$951,INDEX(Surface_Engine!$D$12:$D$72,$A1007+1)+(Surface_Engine!Q244*12)*INDEX(Surface_Engine!$F$12:$F$72,$A1007+1)-(Surface_Engine!Q244*12),1000*12*INDEX(Surface_Engine!$C$12:$C$72,$A1007+1)/(1+Assumptions!$B$10)^22+INDEX(Surface_Engine!$D$12:$D$72,$A1007+1)))*INDEX(Surface_Engine!$B$12:$B$72,$A1007+1)+I1008</f>
        <v>0</v>
      </c>
      <c r="J1007" s="48" t="n">
        <f aca="false">B1007*(IF($A1007&lt;$Q$951,INDEX(Surface_Engine!$D$12:$D$72,$A1007+1)*(1+Assumptions!$B$24)+(Surface_Engine!Q244*12)*INDEX(Surface_Engine!$F$12:$F$72,$A1007+1)-(Surface_Engine!Q244*12),1000*12*INDEX(Surface_Engine!$C$12:$C$72,$A1007+1)/(1+Assumptions!$B$10)^22+INDEX(Surface_Engine!$D$12:$D$72,$A1007+1)*(1+Assumptions!$B$24)))*INDEX(Surface_Engine!$B$12:$B$72,$A1007+1)+J1008</f>
        <v>0</v>
      </c>
      <c r="K1007" s="12" t="n">
        <f aca="false">SQRT((IF(C1007&lt;=0,0,MAX(0,(B1007/C1007)*G1007/INDEX(Surface_Engine!$B$12:$B$72,$A1007+1)-F1007/INDEX(Surface_Engine!$B$12:$B$72,$A1007+1))))^2+(MAX(IF(D1007&lt;=0,0,MAX(0,(B1007/D1007)*H1007/INDEX(Surface_Engine!$B$12:$B$72,$A1007+1)-F1007/INDEX(Surface_Engine!$B$12:$B$72,$A1007+1))),IF(E1007&lt;=0,0,MAX(0,(B1007/E1007)*I1007/INDEX(Surface_Engine!$B$12:$B$72,$A1007+1)-F1007/INDEX(Surface_Engine!$B$12:$B$72,$A1007+1))),IF($A1007&lt;$Q$951,MAX(0,-Assumptions!$B$22*(F1007/INDEX(Surface_Engine!$B$12:$B$72,$A1007+1))),0)))^2+(MAX(0,J1007/INDEX(Surface_Engine!$B$12:$B$72,$A1007+1)-(F1007/INDEX(Surface_Engine!$B$12:$B$72,$A1007+1))))^2+2*Assumptions!$B$26*(IF(C1007&lt;=0,0,MAX(0,(B1007/C1007)*G1007/INDEX(Surface_Engine!$B$12:$B$72,$A1007+1)-F1007/INDEX(Surface_Engine!$B$12:$B$72,$A1007+1))))*(MAX(IF(D1007&lt;=0,0,MAX(0,(B1007/D1007)*H1007/INDEX(Surface_Engine!$B$12:$B$72,$A1007+1)-F1007/INDEX(Surface_Engine!$B$12:$B$72,$A1007+1))),IF(E1007&lt;=0,0,MAX(0,(B1007/E1007)*I1007/INDEX(Surface_Engine!$B$12:$B$72,$A1007+1)-F1007/INDEX(Surface_Engine!$B$12:$B$72,$A1007+1))),IF($A1007&lt;$Q$951,MAX(0,-Assumptions!$B$22*(F1007/INDEX(Surface_Engine!$B$12:$B$72,$A1007+1))),0)))+2*Assumptions!$B$27*(IF(C1007&lt;=0,0,MAX(0,(B1007/C1007)*G1007/INDEX(Surface_Engine!$B$12:$B$72,$A1007+1)-F1007/INDEX(Surface_Engine!$B$12:$B$72,$A1007+1))))*(MAX(0,J1007/INDEX(Surface_Engine!$B$12:$B$72,$A1007+1)-(F1007/INDEX(Surface_Engine!$B$12:$B$72,$A1007+1))))+2*Assumptions!$B$28*(MAX(IF(D1007&lt;=0,0,MAX(0,(B1007/D1007)*H1007/INDEX(Surface_Engine!$B$12:$B$72,$A1007+1)-F1007/INDEX(Surface_Engine!$B$12:$B$72,$A1007+1))),IF(E1007&lt;=0,0,MAX(0,(B1007/E1007)*I1007/INDEX(Surface_Engine!$B$12:$B$72,$A1007+1)-F1007/INDEX(Surface_Engine!$B$12:$B$72,$A1007+1))),IF($A1007&lt;$Q$951,MAX(0,-Assumptions!$B$22*(F1007/INDEX(Surface_Engine!$B$12:$B$72,$A1007+1))),0)))*(MAX(0,J1007/INDEX(Surface_Engine!$B$12:$B$72,$A1007+1)-(F1007/INDEX(Surface_Engine!$B$12:$B$72,$A1007+1)))))</f>
        <v>0</v>
      </c>
      <c r="L1007" s="48" t="n">
        <f aca="false">K1007*INDEX(Surface_Engine!$B$12:$B$72,$A1007+1)+L1008</f>
        <v>0</v>
      </c>
      <c r="M1007" s="48" t="n">
        <f aca="false">M1006+B1006*(IF($A1006&lt;$Q$951,(Surface_Engine!Q244*12)-(Surface_Engine!Q244*12)*INDEX(Surface_Engine!$F$12:$F$72,$A1006+1)-INDEX(Surface_Engine!$D$12:$D$72,$A1006+1),-(1000*12*INDEX(Surface_Engine!$C$12:$C$72,$A1006+1)/(1+Assumptions!$B$10)^22+INDEX(Surface_Engine!$D$12:$D$72,$A1006+1))))*INDEX(Surface_Engine!$B$12:$B$72,$A1006+1)</f>
        <v>565.887858965782</v>
      </c>
      <c r="N1007" s="12" t="n">
        <f aca="false">IF(B1007&lt;=0,0,MAX(0,(K1007+Assumptions!$B$29*L1007/INDEX(Surface_Engine!$B$12:$B$72,$A1007+1)-(M1007/INDEX(Surface_Engine!$B$12:$B$72,$A1007+1)-(F1007/INDEX(Surface_Engine!$B$12:$B$72,$A1007+1))))/B1007))</f>
        <v>0</v>
      </c>
    </row>
    <row r="1008" customFormat="false" ht="15" hidden="false" customHeight="true" outlineLevel="0" collapsed="false">
      <c r="A1008" s="1" t="n">
        <v>55</v>
      </c>
      <c r="B1008" s="32" t="n">
        <f aca="false">INDEX(Surface_Engine!$O$12:$O$72,$A1008+1)*IF($A1008&lt;$Q$951,INDEX(Surface_Engine!$E$12:$E$72,$A1008+1),INDEX(Surface_Engine!$E$12:$E$72,$Q$951+1))</f>
        <v>0</v>
      </c>
      <c r="C1008" s="32" t="n">
        <f aca="false">INDEX(Panel_Reserving!$E$8:$E$68,$A1008+1)*IF($A1008&lt;$Q$951,INDEX(Surface_Engine!$E$12:$E$72,$A1008+1),INDEX(Surface_Engine!$E$12:$E$72,$Q$951+1))</f>
        <v>0</v>
      </c>
      <c r="D1008" s="32" t="n">
        <f aca="false">INDEX(Surface_Engine!$O$12:$O$72,$A1008+1)*IF($A1008&lt;$Q$951,INDEX(Surface_Engine!$Y$12:$Y$72,$A1008+1),INDEX(Surface_Engine!$Y$12:$Y$72,$Q$951+1))</f>
        <v>0</v>
      </c>
      <c r="E1008" s="32" t="n">
        <f aca="false">INDEX(Surface_Engine!$O$12:$O$72,$A1008+1)*IF($A1008&lt;$Q$951,INDEX(Surface_Engine!$Z$12:$Z$72,$A1008+1),INDEX(Surface_Engine!$Z$12:$Z$72,$Q$951+1))</f>
        <v>0</v>
      </c>
      <c r="F1008" s="48" t="n">
        <f aca="false">B1008*(IF($A1008&lt;$Q$951,INDEX(Surface_Engine!$D$12:$D$72,$A1008+1)+(Surface_Engine!Q244*12)*INDEX(Surface_Engine!$F$12:$F$72,$A1008+1)-(Surface_Engine!Q244*12),1000*12*INDEX(Surface_Engine!$C$12:$C$72,$A1008+1)/(1+Assumptions!$B$10)^22+INDEX(Surface_Engine!$D$12:$D$72,$A1008+1)))*INDEX(Surface_Engine!$B$12:$B$72,$A1008+1)+F1009</f>
        <v>0</v>
      </c>
      <c r="G1008" s="48" t="n">
        <f aca="false">C1008*(IF($A1008&lt;$Q$951,INDEX(Surface_Engine!$D$12:$D$72,$A1008+1)+(Surface_Engine!Q244*12)*INDEX(Surface_Engine!$F$12:$F$72,$A1008+1)-(Surface_Engine!Q244*12),1000*12*INDEX(Surface_Engine!$C$12:$C$72,$A1008+1)/(1+Assumptions!$B$10)^22+INDEX(Surface_Engine!$D$12:$D$72,$A1008+1)))*INDEX(Surface_Engine!$B$12:$B$72,$A1008+1)+G1009</f>
        <v>0</v>
      </c>
      <c r="H1008" s="48" t="n">
        <f aca="false">D1008*(IF($A1008&lt;$Q$951,INDEX(Surface_Engine!$D$12:$D$72,$A1008+1)+(Surface_Engine!Q244*12)*INDEX(Surface_Engine!$F$12:$F$72,$A1008+1)-(Surface_Engine!Q244*12),1000*12*INDEX(Surface_Engine!$C$12:$C$72,$A1008+1)/(1+Assumptions!$B$10)^22+INDEX(Surface_Engine!$D$12:$D$72,$A1008+1)))*INDEX(Surface_Engine!$B$12:$B$72,$A1008+1)+H1009</f>
        <v>0</v>
      </c>
      <c r="I1008" s="48" t="n">
        <f aca="false">E1008*(IF($A1008&lt;$Q$951,INDEX(Surface_Engine!$D$12:$D$72,$A1008+1)+(Surface_Engine!Q244*12)*INDEX(Surface_Engine!$F$12:$F$72,$A1008+1)-(Surface_Engine!Q244*12),1000*12*INDEX(Surface_Engine!$C$12:$C$72,$A1008+1)/(1+Assumptions!$B$10)^22+INDEX(Surface_Engine!$D$12:$D$72,$A1008+1)))*INDEX(Surface_Engine!$B$12:$B$72,$A1008+1)+I1009</f>
        <v>0</v>
      </c>
      <c r="J1008" s="48" t="n">
        <f aca="false">B1008*(IF($A1008&lt;$Q$951,INDEX(Surface_Engine!$D$12:$D$72,$A1008+1)*(1+Assumptions!$B$24)+(Surface_Engine!Q244*12)*INDEX(Surface_Engine!$F$12:$F$72,$A1008+1)-(Surface_Engine!Q244*12),1000*12*INDEX(Surface_Engine!$C$12:$C$72,$A1008+1)/(1+Assumptions!$B$10)^22+INDEX(Surface_Engine!$D$12:$D$72,$A1008+1)*(1+Assumptions!$B$24)))*INDEX(Surface_Engine!$B$12:$B$72,$A1008+1)+J1009</f>
        <v>0</v>
      </c>
      <c r="K1008" s="12" t="n">
        <f aca="false">SQRT((IF(C1008&lt;=0,0,MAX(0,(B1008/C1008)*G1008/INDEX(Surface_Engine!$B$12:$B$72,$A1008+1)-F1008/INDEX(Surface_Engine!$B$12:$B$72,$A1008+1))))^2+(MAX(IF(D1008&lt;=0,0,MAX(0,(B1008/D1008)*H1008/INDEX(Surface_Engine!$B$12:$B$72,$A1008+1)-F1008/INDEX(Surface_Engine!$B$12:$B$72,$A1008+1))),IF(E1008&lt;=0,0,MAX(0,(B1008/E1008)*I1008/INDEX(Surface_Engine!$B$12:$B$72,$A1008+1)-F1008/INDEX(Surface_Engine!$B$12:$B$72,$A1008+1))),IF($A1008&lt;$Q$951,MAX(0,-Assumptions!$B$22*(F1008/INDEX(Surface_Engine!$B$12:$B$72,$A1008+1))),0)))^2+(MAX(0,J1008/INDEX(Surface_Engine!$B$12:$B$72,$A1008+1)-(F1008/INDEX(Surface_Engine!$B$12:$B$72,$A1008+1))))^2+2*Assumptions!$B$26*(IF(C1008&lt;=0,0,MAX(0,(B1008/C1008)*G1008/INDEX(Surface_Engine!$B$12:$B$72,$A1008+1)-F1008/INDEX(Surface_Engine!$B$12:$B$72,$A1008+1))))*(MAX(IF(D1008&lt;=0,0,MAX(0,(B1008/D1008)*H1008/INDEX(Surface_Engine!$B$12:$B$72,$A1008+1)-F1008/INDEX(Surface_Engine!$B$12:$B$72,$A1008+1))),IF(E1008&lt;=0,0,MAX(0,(B1008/E1008)*I1008/INDEX(Surface_Engine!$B$12:$B$72,$A1008+1)-F1008/INDEX(Surface_Engine!$B$12:$B$72,$A1008+1))),IF($A1008&lt;$Q$951,MAX(0,-Assumptions!$B$22*(F1008/INDEX(Surface_Engine!$B$12:$B$72,$A1008+1))),0)))+2*Assumptions!$B$27*(IF(C1008&lt;=0,0,MAX(0,(B1008/C1008)*G1008/INDEX(Surface_Engine!$B$12:$B$72,$A1008+1)-F1008/INDEX(Surface_Engine!$B$12:$B$72,$A1008+1))))*(MAX(0,J1008/INDEX(Surface_Engine!$B$12:$B$72,$A1008+1)-(F1008/INDEX(Surface_Engine!$B$12:$B$72,$A1008+1))))+2*Assumptions!$B$28*(MAX(IF(D1008&lt;=0,0,MAX(0,(B1008/D1008)*H1008/INDEX(Surface_Engine!$B$12:$B$72,$A1008+1)-F1008/INDEX(Surface_Engine!$B$12:$B$72,$A1008+1))),IF(E1008&lt;=0,0,MAX(0,(B1008/E1008)*I1008/INDEX(Surface_Engine!$B$12:$B$72,$A1008+1)-F1008/INDEX(Surface_Engine!$B$12:$B$72,$A1008+1))),IF($A1008&lt;$Q$951,MAX(0,-Assumptions!$B$22*(F1008/INDEX(Surface_Engine!$B$12:$B$72,$A1008+1))),0)))*(MAX(0,J1008/INDEX(Surface_Engine!$B$12:$B$72,$A1008+1)-(F1008/INDEX(Surface_Engine!$B$12:$B$72,$A1008+1)))))</f>
        <v>0</v>
      </c>
      <c r="L1008" s="48" t="n">
        <f aca="false">K1008*INDEX(Surface_Engine!$B$12:$B$72,$A1008+1)+L1009</f>
        <v>0</v>
      </c>
      <c r="M1008" s="48" t="n">
        <f aca="false">M1007+B1007*(IF($A1007&lt;$Q$951,(Surface_Engine!Q244*12)-(Surface_Engine!Q244*12)*INDEX(Surface_Engine!$F$12:$F$72,$A1007+1)-INDEX(Surface_Engine!$D$12:$D$72,$A1007+1),-(1000*12*INDEX(Surface_Engine!$C$12:$C$72,$A1007+1)/(1+Assumptions!$B$10)^22+INDEX(Surface_Engine!$D$12:$D$72,$A1007+1))))*INDEX(Surface_Engine!$B$12:$B$72,$A1007+1)</f>
        <v>565.887858965782</v>
      </c>
      <c r="N1008" s="12" t="n">
        <f aca="false">IF(B1008&lt;=0,0,MAX(0,(K1008+Assumptions!$B$29*L1008/INDEX(Surface_Engine!$B$12:$B$72,$A1008+1)-(M1008/INDEX(Surface_Engine!$B$12:$B$72,$A1008+1)-(F1008/INDEX(Surface_Engine!$B$12:$B$72,$A1008+1))))/B1008))</f>
        <v>0</v>
      </c>
    </row>
    <row r="1009" customFormat="false" ht="15" hidden="false" customHeight="true" outlineLevel="0" collapsed="false">
      <c r="A1009" s="1" t="n">
        <v>56</v>
      </c>
      <c r="B1009" s="32" t="n">
        <f aca="false">INDEX(Surface_Engine!$O$12:$O$72,$A1009+1)*IF($A1009&lt;$Q$951,INDEX(Surface_Engine!$E$12:$E$72,$A1009+1),INDEX(Surface_Engine!$E$12:$E$72,$Q$951+1))</f>
        <v>0</v>
      </c>
      <c r="C1009" s="32" t="n">
        <f aca="false">INDEX(Panel_Reserving!$E$8:$E$68,$A1009+1)*IF($A1009&lt;$Q$951,INDEX(Surface_Engine!$E$12:$E$72,$A1009+1),INDEX(Surface_Engine!$E$12:$E$72,$Q$951+1))</f>
        <v>0</v>
      </c>
      <c r="D1009" s="32" t="n">
        <f aca="false">INDEX(Surface_Engine!$O$12:$O$72,$A1009+1)*IF($A1009&lt;$Q$951,INDEX(Surface_Engine!$Y$12:$Y$72,$A1009+1),INDEX(Surface_Engine!$Y$12:$Y$72,$Q$951+1))</f>
        <v>0</v>
      </c>
      <c r="E1009" s="32" t="n">
        <f aca="false">INDEX(Surface_Engine!$O$12:$O$72,$A1009+1)*IF($A1009&lt;$Q$951,INDEX(Surface_Engine!$Z$12:$Z$72,$A1009+1),INDEX(Surface_Engine!$Z$12:$Z$72,$Q$951+1))</f>
        <v>0</v>
      </c>
      <c r="F1009" s="48" t="n">
        <f aca="false">B1009*(IF($A1009&lt;$Q$951,INDEX(Surface_Engine!$D$12:$D$72,$A1009+1)+(Surface_Engine!Q244*12)*INDEX(Surface_Engine!$F$12:$F$72,$A1009+1)-(Surface_Engine!Q244*12),1000*12*INDEX(Surface_Engine!$C$12:$C$72,$A1009+1)/(1+Assumptions!$B$10)^22+INDEX(Surface_Engine!$D$12:$D$72,$A1009+1)))*INDEX(Surface_Engine!$B$12:$B$72,$A1009+1)+F1010</f>
        <v>0</v>
      </c>
      <c r="G1009" s="48" t="n">
        <f aca="false">C1009*(IF($A1009&lt;$Q$951,INDEX(Surface_Engine!$D$12:$D$72,$A1009+1)+(Surface_Engine!Q244*12)*INDEX(Surface_Engine!$F$12:$F$72,$A1009+1)-(Surface_Engine!Q244*12),1000*12*INDEX(Surface_Engine!$C$12:$C$72,$A1009+1)/(1+Assumptions!$B$10)^22+INDEX(Surface_Engine!$D$12:$D$72,$A1009+1)))*INDEX(Surface_Engine!$B$12:$B$72,$A1009+1)+G1010</f>
        <v>0</v>
      </c>
      <c r="H1009" s="48" t="n">
        <f aca="false">D1009*(IF($A1009&lt;$Q$951,INDEX(Surface_Engine!$D$12:$D$72,$A1009+1)+(Surface_Engine!Q244*12)*INDEX(Surface_Engine!$F$12:$F$72,$A1009+1)-(Surface_Engine!Q244*12),1000*12*INDEX(Surface_Engine!$C$12:$C$72,$A1009+1)/(1+Assumptions!$B$10)^22+INDEX(Surface_Engine!$D$12:$D$72,$A1009+1)))*INDEX(Surface_Engine!$B$12:$B$72,$A1009+1)+H1010</f>
        <v>0</v>
      </c>
      <c r="I1009" s="48" t="n">
        <f aca="false">E1009*(IF($A1009&lt;$Q$951,INDEX(Surface_Engine!$D$12:$D$72,$A1009+1)+(Surface_Engine!Q244*12)*INDEX(Surface_Engine!$F$12:$F$72,$A1009+1)-(Surface_Engine!Q244*12),1000*12*INDEX(Surface_Engine!$C$12:$C$72,$A1009+1)/(1+Assumptions!$B$10)^22+INDEX(Surface_Engine!$D$12:$D$72,$A1009+1)))*INDEX(Surface_Engine!$B$12:$B$72,$A1009+1)+I1010</f>
        <v>0</v>
      </c>
      <c r="J1009" s="48" t="n">
        <f aca="false">B1009*(IF($A1009&lt;$Q$951,INDEX(Surface_Engine!$D$12:$D$72,$A1009+1)*(1+Assumptions!$B$24)+(Surface_Engine!Q244*12)*INDEX(Surface_Engine!$F$12:$F$72,$A1009+1)-(Surface_Engine!Q244*12),1000*12*INDEX(Surface_Engine!$C$12:$C$72,$A1009+1)/(1+Assumptions!$B$10)^22+INDEX(Surface_Engine!$D$12:$D$72,$A1009+1)*(1+Assumptions!$B$24)))*INDEX(Surface_Engine!$B$12:$B$72,$A1009+1)+J1010</f>
        <v>0</v>
      </c>
      <c r="K1009" s="12" t="n">
        <f aca="false">SQRT((IF(C1009&lt;=0,0,MAX(0,(B1009/C1009)*G1009/INDEX(Surface_Engine!$B$12:$B$72,$A1009+1)-F1009/INDEX(Surface_Engine!$B$12:$B$72,$A1009+1))))^2+(MAX(IF(D1009&lt;=0,0,MAX(0,(B1009/D1009)*H1009/INDEX(Surface_Engine!$B$12:$B$72,$A1009+1)-F1009/INDEX(Surface_Engine!$B$12:$B$72,$A1009+1))),IF(E1009&lt;=0,0,MAX(0,(B1009/E1009)*I1009/INDEX(Surface_Engine!$B$12:$B$72,$A1009+1)-F1009/INDEX(Surface_Engine!$B$12:$B$72,$A1009+1))),IF($A1009&lt;$Q$951,MAX(0,-Assumptions!$B$22*(F1009/INDEX(Surface_Engine!$B$12:$B$72,$A1009+1))),0)))^2+(MAX(0,J1009/INDEX(Surface_Engine!$B$12:$B$72,$A1009+1)-(F1009/INDEX(Surface_Engine!$B$12:$B$72,$A1009+1))))^2+2*Assumptions!$B$26*(IF(C1009&lt;=0,0,MAX(0,(B1009/C1009)*G1009/INDEX(Surface_Engine!$B$12:$B$72,$A1009+1)-F1009/INDEX(Surface_Engine!$B$12:$B$72,$A1009+1))))*(MAX(IF(D1009&lt;=0,0,MAX(0,(B1009/D1009)*H1009/INDEX(Surface_Engine!$B$12:$B$72,$A1009+1)-F1009/INDEX(Surface_Engine!$B$12:$B$72,$A1009+1))),IF(E1009&lt;=0,0,MAX(0,(B1009/E1009)*I1009/INDEX(Surface_Engine!$B$12:$B$72,$A1009+1)-F1009/INDEX(Surface_Engine!$B$12:$B$72,$A1009+1))),IF($A1009&lt;$Q$951,MAX(0,-Assumptions!$B$22*(F1009/INDEX(Surface_Engine!$B$12:$B$72,$A1009+1))),0)))+2*Assumptions!$B$27*(IF(C1009&lt;=0,0,MAX(0,(B1009/C1009)*G1009/INDEX(Surface_Engine!$B$12:$B$72,$A1009+1)-F1009/INDEX(Surface_Engine!$B$12:$B$72,$A1009+1))))*(MAX(0,J1009/INDEX(Surface_Engine!$B$12:$B$72,$A1009+1)-(F1009/INDEX(Surface_Engine!$B$12:$B$72,$A1009+1))))+2*Assumptions!$B$28*(MAX(IF(D1009&lt;=0,0,MAX(0,(B1009/D1009)*H1009/INDEX(Surface_Engine!$B$12:$B$72,$A1009+1)-F1009/INDEX(Surface_Engine!$B$12:$B$72,$A1009+1))),IF(E1009&lt;=0,0,MAX(0,(B1009/E1009)*I1009/INDEX(Surface_Engine!$B$12:$B$72,$A1009+1)-F1009/INDEX(Surface_Engine!$B$12:$B$72,$A1009+1))),IF($A1009&lt;$Q$951,MAX(0,-Assumptions!$B$22*(F1009/INDEX(Surface_Engine!$B$12:$B$72,$A1009+1))),0)))*(MAX(0,J1009/INDEX(Surface_Engine!$B$12:$B$72,$A1009+1)-(F1009/INDEX(Surface_Engine!$B$12:$B$72,$A1009+1)))))</f>
        <v>0</v>
      </c>
      <c r="L1009" s="48" t="n">
        <f aca="false">K1009*INDEX(Surface_Engine!$B$12:$B$72,$A1009+1)+L1010</f>
        <v>0</v>
      </c>
      <c r="M1009" s="48" t="n">
        <f aca="false">M1008+B1008*(IF($A1008&lt;$Q$951,(Surface_Engine!Q244*12)-(Surface_Engine!Q244*12)*INDEX(Surface_Engine!$F$12:$F$72,$A1008+1)-INDEX(Surface_Engine!$D$12:$D$72,$A1008+1),-(1000*12*INDEX(Surface_Engine!$C$12:$C$72,$A1008+1)/(1+Assumptions!$B$10)^22+INDEX(Surface_Engine!$D$12:$D$72,$A1008+1))))*INDEX(Surface_Engine!$B$12:$B$72,$A1008+1)</f>
        <v>565.887858965782</v>
      </c>
      <c r="N1009" s="12" t="n">
        <f aca="false">IF(B1009&lt;=0,0,MAX(0,(K1009+Assumptions!$B$29*L1009/INDEX(Surface_Engine!$B$12:$B$72,$A1009+1)-(M1009/INDEX(Surface_Engine!$B$12:$B$72,$A1009+1)-(F1009/INDEX(Surface_Engine!$B$12:$B$72,$A1009+1))))/B1009))</f>
        <v>0</v>
      </c>
    </row>
    <row r="1010" customFormat="false" ht="15" hidden="false" customHeight="true" outlineLevel="0" collapsed="false">
      <c r="A1010" s="1" t="n">
        <v>57</v>
      </c>
      <c r="B1010" s="32" t="n">
        <f aca="false">INDEX(Surface_Engine!$O$12:$O$72,$A1010+1)*IF($A1010&lt;$Q$951,INDEX(Surface_Engine!$E$12:$E$72,$A1010+1),INDEX(Surface_Engine!$E$12:$E$72,$Q$951+1))</f>
        <v>0</v>
      </c>
      <c r="C1010" s="32" t="n">
        <f aca="false">INDEX(Panel_Reserving!$E$8:$E$68,$A1010+1)*IF($A1010&lt;$Q$951,INDEX(Surface_Engine!$E$12:$E$72,$A1010+1),INDEX(Surface_Engine!$E$12:$E$72,$Q$951+1))</f>
        <v>0</v>
      </c>
      <c r="D1010" s="32" t="n">
        <f aca="false">INDEX(Surface_Engine!$O$12:$O$72,$A1010+1)*IF($A1010&lt;$Q$951,INDEX(Surface_Engine!$Y$12:$Y$72,$A1010+1),INDEX(Surface_Engine!$Y$12:$Y$72,$Q$951+1))</f>
        <v>0</v>
      </c>
      <c r="E1010" s="32" t="n">
        <f aca="false">INDEX(Surface_Engine!$O$12:$O$72,$A1010+1)*IF($A1010&lt;$Q$951,INDEX(Surface_Engine!$Z$12:$Z$72,$A1010+1),INDEX(Surface_Engine!$Z$12:$Z$72,$Q$951+1))</f>
        <v>0</v>
      </c>
      <c r="F1010" s="48" t="n">
        <f aca="false">B1010*(IF($A1010&lt;$Q$951,INDEX(Surface_Engine!$D$12:$D$72,$A1010+1)+(Surface_Engine!Q244*12)*INDEX(Surface_Engine!$F$12:$F$72,$A1010+1)-(Surface_Engine!Q244*12),1000*12*INDEX(Surface_Engine!$C$12:$C$72,$A1010+1)/(1+Assumptions!$B$10)^22+INDEX(Surface_Engine!$D$12:$D$72,$A1010+1)))*INDEX(Surface_Engine!$B$12:$B$72,$A1010+1)+F1011</f>
        <v>0</v>
      </c>
      <c r="G1010" s="48" t="n">
        <f aca="false">C1010*(IF($A1010&lt;$Q$951,INDEX(Surface_Engine!$D$12:$D$72,$A1010+1)+(Surface_Engine!Q244*12)*INDEX(Surface_Engine!$F$12:$F$72,$A1010+1)-(Surface_Engine!Q244*12),1000*12*INDEX(Surface_Engine!$C$12:$C$72,$A1010+1)/(1+Assumptions!$B$10)^22+INDEX(Surface_Engine!$D$12:$D$72,$A1010+1)))*INDEX(Surface_Engine!$B$12:$B$72,$A1010+1)+G1011</f>
        <v>0</v>
      </c>
      <c r="H1010" s="48" t="n">
        <f aca="false">D1010*(IF($A1010&lt;$Q$951,INDEX(Surface_Engine!$D$12:$D$72,$A1010+1)+(Surface_Engine!Q244*12)*INDEX(Surface_Engine!$F$12:$F$72,$A1010+1)-(Surface_Engine!Q244*12),1000*12*INDEX(Surface_Engine!$C$12:$C$72,$A1010+1)/(1+Assumptions!$B$10)^22+INDEX(Surface_Engine!$D$12:$D$72,$A1010+1)))*INDEX(Surface_Engine!$B$12:$B$72,$A1010+1)+H1011</f>
        <v>0</v>
      </c>
      <c r="I1010" s="48" t="n">
        <f aca="false">E1010*(IF($A1010&lt;$Q$951,INDEX(Surface_Engine!$D$12:$D$72,$A1010+1)+(Surface_Engine!Q244*12)*INDEX(Surface_Engine!$F$12:$F$72,$A1010+1)-(Surface_Engine!Q244*12),1000*12*INDEX(Surface_Engine!$C$12:$C$72,$A1010+1)/(1+Assumptions!$B$10)^22+INDEX(Surface_Engine!$D$12:$D$72,$A1010+1)))*INDEX(Surface_Engine!$B$12:$B$72,$A1010+1)+I1011</f>
        <v>0</v>
      </c>
      <c r="J1010" s="48" t="n">
        <f aca="false">B1010*(IF($A1010&lt;$Q$951,INDEX(Surface_Engine!$D$12:$D$72,$A1010+1)*(1+Assumptions!$B$24)+(Surface_Engine!Q244*12)*INDEX(Surface_Engine!$F$12:$F$72,$A1010+1)-(Surface_Engine!Q244*12),1000*12*INDEX(Surface_Engine!$C$12:$C$72,$A1010+1)/(1+Assumptions!$B$10)^22+INDEX(Surface_Engine!$D$12:$D$72,$A1010+1)*(1+Assumptions!$B$24)))*INDEX(Surface_Engine!$B$12:$B$72,$A1010+1)+J1011</f>
        <v>0</v>
      </c>
      <c r="K1010" s="12" t="n">
        <f aca="false">SQRT((IF(C1010&lt;=0,0,MAX(0,(B1010/C1010)*G1010/INDEX(Surface_Engine!$B$12:$B$72,$A1010+1)-F1010/INDEX(Surface_Engine!$B$12:$B$72,$A1010+1))))^2+(MAX(IF(D1010&lt;=0,0,MAX(0,(B1010/D1010)*H1010/INDEX(Surface_Engine!$B$12:$B$72,$A1010+1)-F1010/INDEX(Surface_Engine!$B$12:$B$72,$A1010+1))),IF(E1010&lt;=0,0,MAX(0,(B1010/E1010)*I1010/INDEX(Surface_Engine!$B$12:$B$72,$A1010+1)-F1010/INDEX(Surface_Engine!$B$12:$B$72,$A1010+1))),IF($A1010&lt;$Q$951,MAX(0,-Assumptions!$B$22*(F1010/INDEX(Surface_Engine!$B$12:$B$72,$A1010+1))),0)))^2+(MAX(0,J1010/INDEX(Surface_Engine!$B$12:$B$72,$A1010+1)-(F1010/INDEX(Surface_Engine!$B$12:$B$72,$A1010+1))))^2+2*Assumptions!$B$26*(IF(C1010&lt;=0,0,MAX(0,(B1010/C1010)*G1010/INDEX(Surface_Engine!$B$12:$B$72,$A1010+1)-F1010/INDEX(Surface_Engine!$B$12:$B$72,$A1010+1))))*(MAX(IF(D1010&lt;=0,0,MAX(0,(B1010/D1010)*H1010/INDEX(Surface_Engine!$B$12:$B$72,$A1010+1)-F1010/INDEX(Surface_Engine!$B$12:$B$72,$A1010+1))),IF(E1010&lt;=0,0,MAX(0,(B1010/E1010)*I1010/INDEX(Surface_Engine!$B$12:$B$72,$A1010+1)-F1010/INDEX(Surface_Engine!$B$12:$B$72,$A1010+1))),IF($A1010&lt;$Q$951,MAX(0,-Assumptions!$B$22*(F1010/INDEX(Surface_Engine!$B$12:$B$72,$A1010+1))),0)))+2*Assumptions!$B$27*(IF(C1010&lt;=0,0,MAX(0,(B1010/C1010)*G1010/INDEX(Surface_Engine!$B$12:$B$72,$A1010+1)-F1010/INDEX(Surface_Engine!$B$12:$B$72,$A1010+1))))*(MAX(0,J1010/INDEX(Surface_Engine!$B$12:$B$72,$A1010+1)-(F1010/INDEX(Surface_Engine!$B$12:$B$72,$A1010+1))))+2*Assumptions!$B$28*(MAX(IF(D1010&lt;=0,0,MAX(0,(B1010/D1010)*H1010/INDEX(Surface_Engine!$B$12:$B$72,$A1010+1)-F1010/INDEX(Surface_Engine!$B$12:$B$72,$A1010+1))),IF(E1010&lt;=0,0,MAX(0,(B1010/E1010)*I1010/INDEX(Surface_Engine!$B$12:$B$72,$A1010+1)-F1010/INDEX(Surface_Engine!$B$12:$B$72,$A1010+1))),IF($A1010&lt;$Q$951,MAX(0,-Assumptions!$B$22*(F1010/INDEX(Surface_Engine!$B$12:$B$72,$A1010+1))),0)))*(MAX(0,J1010/INDEX(Surface_Engine!$B$12:$B$72,$A1010+1)-(F1010/INDEX(Surface_Engine!$B$12:$B$72,$A1010+1)))))</f>
        <v>0</v>
      </c>
      <c r="L1010" s="48" t="n">
        <f aca="false">K1010*INDEX(Surface_Engine!$B$12:$B$72,$A1010+1)+L1011</f>
        <v>0</v>
      </c>
      <c r="M1010" s="48" t="n">
        <f aca="false">M1009+B1009*(IF($A1009&lt;$Q$951,(Surface_Engine!Q244*12)-(Surface_Engine!Q244*12)*INDEX(Surface_Engine!$F$12:$F$72,$A1009+1)-INDEX(Surface_Engine!$D$12:$D$72,$A1009+1),-(1000*12*INDEX(Surface_Engine!$C$12:$C$72,$A1009+1)/(1+Assumptions!$B$10)^22+INDEX(Surface_Engine!$D$12:$D$72,$A1009+1))))*INDEX(Surface_Engine!$B$12:$B$72,$A1009+1)</f>
        <v>565.887858965782</v>
      </c>
      <c r="N1010" s="12" t="n">
        <f aca="false">IF(B1010&lt;=0,0,MAX(0,(K1010+Assumptions!$B$29*L1010/INDEX(Surface_Engine!$B$12:$B$72,$A1010+1)-(M1010/INDEX(Surface_Engine!$B$12:$B$72,$A1010+1)-(F1010/INDEX(Surface_Engine!$B$12:$B$72,$A1010+1))))/B1010))</f>
        <v>0</v>
      </c>
    </row>
    <row r="1011" customFormat="false" ht="15" hidden="false" customHeight="true" outlineLevel="0" collapsed="false">
      <c r="A1011" s="1" t="n">
        <v>58</v>
      </c>
      <c r="B1011" s="32" t="n">
        <f aca="false">INDEX(Surface_Engine!$O$12:$O$72,$A1011+1)*IF($A1011&lt;$Q$951,INDEX(Surface_Engine!$E$12:$E$72,$A1011+1),INDEX(Surface_Engine!$E$12:$E$72,$Q$951+1))</f>
        <v>0</v>
      </c>
      <c r="C1011" s="32" t="n">
        <f aca="false">INDEX(Panel_Reserving!$E$8:$E$68,$A1011+1)*IF($A1011&lt;$Q$951,INDEX(Surface_Engine!$E$12:$E$72,$A1011+1),INDEX(Surface_Engine!$E$12:$E$72,$Q$951+1))</f>
        <v>0</v>
      </c>
      <c r="D1011" s="32" t="n">
        <f aca="false">INDEX(Surface_Engine!$O$12:$O$72,$A1011+1)*IF($A1011&lt;$Q$951,INDEX(Surface_Engine!$Y$12:$Y$72,$A1011+1),INDEX(Surface_Engine!$Y$12:$Y$72,$Q$951+1))</f>
        <v>0</v>
      </c>
      <c r="E1011" s="32" t="n">
        <f aca="false">INDEX(Surface_Engine!$O$12:$O$72,$A1011+1)*IF($A1011&lt;$Q$951,INDEX(Surface_Engine!$Z$12:$Z$72,$A1011+1),INDEX(Surface_Engine!$Z$12:$Z$72,$Q$951+1))</f>
        <v>0</v>
      </c>
      <c r="F1011" s="48" t="n">
        <f aca="false">B1011*(IF($A1011&lt;$Q$951,INDEX(Surface_Engine!$D$12:$D$72,$A1011+1)+(Surface_Engine!Q244*12)*INDEX(Surface_Engine!$F$12:$F$72,$A1011+1)-(Surface_Engine!Q244*12),1000*12*INDEX(Surface_Engine!$C$12:$C$72,$A1011+1)/(1+Assumptions!$B$10)^22+INDEX(Surface_Engine!$D$12:$D$72,$A1011+1)))*INDEX(Surface_Engine!$B$12:$B$72,$A1011+1)+F1012</f>
        <v>0</v>
      </c>
      <c r="G1011" s="48" t="n">
        <f aca="false">C1011*(IF($A1011&lt;$Q$951,INDEX(Surface_Engine!$D$12:$D$72,$A1011+1)+(Surface_Engine!Q244*12)*INDEX(Surface_Engine!$F$12:$F$72,$A1011+1)-(Surface_Engine!Q244*12),1000*12*INDEX(Surface_Engine!$C$12:$C$72,$A1011+1)/(1+Assumptions!$B$10)^22+INDEX(Surface_Engine!$D$12:$D$72,$A1011+1)))*INDEX(Surface_Engine!$B$12:$B$72,$A1011+1)+G1012</f>
        <v>0</v>
      </c>
      <c r="H1011" s="48" t="n">
        <f aca="false">D1011*(IF($A1011&lt;$Q$951,INDEX(Surface_Engine!$D$12:$D$72,$A1011+1)+(Surface_Engine!Q244*12)*INDEX(Surface_Engine!$F$12:$F$72,$A1011+1)-(Surface_Engine!Q244*12),1000*12*INDEX(Surface_Engine!$C$12:$C$72,$A1011+1)/(1+Assumptions!$B$10)^22+INDEX(Surface_Engine!$D$12:$D$72,$A1011+1)))*INDEX(Surface_Engine!$B$12:$B$72,$A1011+1)+H1012</f>
        <v>0</v>
      </c>
      <c r="I1011" s="48" t="n">
        <f aca="false">E1011*(IF($A1011&lt;$Q$951,INDEX(Surface_Engine!$D$12:$D$72,$A1011+1)+(Surface_Engine!Q244*12)*INDEX(Surface_Engine!$F$12:$F$72,$A1011+1)-(Surface_Engine!Q244*12),1000*12*INDEX(Surface_Engine!$C$12:$C$72,$A1011+1)/(1+Assumptions!$B$10)^22+INDEX(Surface_Engine!$D$12:$D$72,$A1011+1)))*INDEX(Surface_Engine!$B$12:$B$72,$A1011+1)+I1012</f>
        <v>0</v>
      </c>
      <c r="J1011" s="48" t="n">
        <f aca="false">B1011*(IF($A1011&lt;$Q$951,INDEX(Surface_Engine!$D$12:$D$72,$A1011+1)*(1+Assumptions!$B$24)+(Surface_Engine!Q244*12)*INDEX(Surface_Engine!$F$12:$F$72,$A1011+1)-(Surface_Engine!Q244*12),1000*12*INDEX(Surface_Engine!$C$12:$C$72,$A1011+1)/(1+Assumptions!$B$10)^22+INDEX(Surface_Engine!$D$12:$D$72,$A1011+1)*(1+Assumptions!$B$24)))*INDEX(Surface_Engine!$B$12:$B$72,$A1011+1)+J1012</f>
        <v>0</v>
      </c>
      <c r="K1011" s="12" t="n">
        <f aca="false">SQRT((IF(C1011&lt;=0,0,MAX(0,(B1011/C1011)*G1011/INDEX(Surface_Engine!$B$12:$B$72,$A1011+1)-F1011/INDEX(Surface_Engine!$B$12:$B$72,$A1011+1))))^2+(MAX(IF(D1011&lt;=0,0,MAX(0,(B1011/D1011)*H1011/INDEX(Surface_Engine!$B$12:$B$72,$A1011+1)-F1011/INDEX(Surface_Engine!$B$12:$B$72,$A1011+1))),IF(E1011&lt;=0,0,MAX(0,(B1011/E1011)*I1011/INDEX(Surface_Engine!$B$12:$B$72,$A1011+1)-F1011/INDEX(Surface_Engine!$B$12:$B$72,$A1011+1))),IF($A1011&lt;$Q$951,MAX(0,-Assumptions!$B$22*(F1011/INDEX(Surface_Engine!$B$12:$B$72,$A1011+1))),0)))^2+(MAX(0,J1011/INDEX(Surface_Engine!$B$12:$B$72,$A1011+1)-(F1011/INDEX(Surface_Engine!$B$12:$B$72,$A1011+1))))^2+2*Assumptions!$B$26*(IF(C1011&lt;=0,0,MAX(0,(B1011/C1011)*G1011/INDEX(Surface_Engine!$B$12:$B$72,$A1011+1)-F1011/INDEX(Surface_Engine!$B$12:$B$72,$A1011+1))))*(MAX(IF(D1011&lt;=0,0,MAX(0,(B1011/D1011)*H1011/INDEX(Surface_Engine!$B$12:$B$72,$A1011+1)-F1011/INDEX(Surface_Engine!$B$12:$B$72,$A1011+1))),IF(E1011&lt;=0,0,MAX(0,(B1011/E1011)*I1011/INDEX(Surface_Engine!$B$12:$B$72,$A1011+1)-F1011/INDEX(Surface_Engine!$B$12:$B$72,$A1011+1))),IF($A1011&lt;$Q$951,MAX(0,-Assumptions!$B$22*(F1011/INDEX(Surface_Engine!$B$12:$B$72,$A1011+1))),0)))+2*Assumptions!$B$27*(IF(C1011&lt;=0,0,MAX(0,(B1011/C1011)*G1011/INDEX(Surface_Engine!$B$12:$B$72,$A1011+1)-F1011/INDEX(Surface_Engine!$B$12:$B$72,$A1011+1))))*(MAX(0,J1011/INDEX(Surface_Engine!$B$12:$B$72,$A1011+1)-(F1011/INDEX(Surface_Engine!$B$12:$B$72,$A1011+1))))+2*Assumptions!$B$28*(MAX(IF(D1011&lt;=0,0,MAX(0,(B1011/D1011)*H1011/INDEX(Surface_Engine!$B$12:$B$72,$A1011+1)-F1011/INDEX(Surface_Engine!$B$12:$B$72,$A1011+1))),IF(E1011&lt;=0,0,MAX(0,(B1011/E1011)*I1011/INDEX(Surface_Engine!$B$12:$B$72,$A1011+1)-F1011/INDEX(Surface_Engine!$B$12:$B$72,$A1011+1))),IF($A1011&lt;$Q$951,MAX(0,-Assumptions!$B$22*(F1011/INDEX(Surface_Engine!$B$12:$B$72,$A1011+1))),0)))*(MAX(0,J1011/INDEX(Surface_Engine!$B$12:$B$72,$A1011+1)-(F1011/INDEX(Surface_Engine!$B$12:$B$72,$A1011+1)))))</f>
        <v>0</v>
      </c>
      <c r="L1011" s="48" t="n">
        <f aca="false">K1011*INDEX(Surface_Engine!$B$12:$B$72,$A1011+1)+L1012</f>
        <v>0</v>
      </c>
      <c r="M1011" s="48" t="n">
        <f aca="false">M1010+B1010*(IF($A1010&lt;$Q$951,(Surface_Engine!Q244*12)-(Surface_Engine!Q244*12)*INDEX(Surface_Engine!$F$12:$F$72,$A1010+1)-INDEX(Surface_Engine!$D$12:$D$72,$A1010+1),-(1000*12*INDEX(Surface_Engine!$C$12:$C$72,$A1010+1)/(1+Assumptions!$B$10)^22+INDEX(Surface_Engine!$D$12:$D$72,$A1010+1))))*INDEX(Surface_Engine!$B$12:$B$72,$A1010+1)</f>
        <v>565.887858965782</v>
      </c>
      <c r="N1011" s="12" t="n">
        <f aca="false">IF(B1011&lt;=0,0,MAX(0,(K1011+Assumptions!$B$29*L1011/INDEX(Surface_Engine!$B$12:$B$72,$A1011+1)-(M1011/INDEX(Surface_Engine!$B$12:$B$72,$A1011+1)-(F1011/INDEX(Surface_Engine!$B$12:$B$72,$A1011+1))))/B1011))</f>
        <v>0</v>
      </c>
    </row>
    <row r="1012" customFormat="false" ht="15" hidden="false" customHeight="true" outlineLevel="0" collapsed="false">
      <c r="A1012" s="1" t="n">
        <v>59</v>
      </c>
      <c r="B1012" s="32" t="n">
        <f aca="false">INDEX(Surface_Engine!$O$12:$O$72,$A1012+1)*IF($A1012&lt;$Q$951,INDEX(Surface_Engine!$E$12:$E$72,$A1012+1),INDEX(Surface_Engine!$E$12:$E$72,$Q$951+1))</f>
        <v>0</v>
      </c>
      <c r="C1012" s="32" t="n">
        <f aca="false">INDEX(Panel_Reserving!$E$8:$E$68,$A1012+1)*IF($A1012&lt;$Q$951,INDEX(Surface_Engine!$E$12:$E$72,$A1012+1),INDEX(Surface_Engine!$E$12:$E$72,$Q$951+1))</f>
        <v>0</v>
      </c>
      <c r="D1012" s="32" t="n">
        <f aca="false">INDEX(Surface_Engine!$O$12:$O$72,$A1012+1)*IF($A1012&lt;$Q$951,INDEX(Surface_Engine!$Y$12:$Y$72,$A1012+1),INDEX(Surface_Engine!$Y$12:$Y$72,$Q$951+1))</f>
        <v>0</v>
      </c>
      <c r="E1012" s="32" t="n">
        <f aca="false">INDEX(Surface_Engine!$O$12:$O$72,$A1012+1)*IF($A1012&lt;$Q$951,INDEX(Surface_Engine!$Z$12:$Z$72,$A1012+1),INDEX(Surface_Engine!$Z$12:$Z$72,$Q$951+1))</f>
        <v>0</v>
      </c>
      <c r="F1012" s="48" t="n">
        <f aca="false">B1012*(IF($A1012&lt;$Q$951,INDEX(Surface_Engine!$D$12:$D$72,$A1012+1)+(Surface_Engine!Q244*12)*INDEX(Surface_Engine!$F$12:$F$72,$A1012+1)-(Surface_Engine!Q244*12),1000*12*INDEX(Surface_Engine!$C$12:$C$72,$A1012+1)/(1+Assumptions!$B$10)^22+INDEX(Surface_Engine!$D$12:$D$72,$A1012+1)))*INDEX(Surface_Engine!$B$12:$B$72,$A1012+1)+F1013</f>
        <v>0</v>
      </c>
      <c r="G1012" s="48" t="n">
        <f aca="false">C1012*(IF($A1012&lt;$Q$951,INDEX(Surface_Engine!$D$12:$D$72,$A1012+1)+(Surface_Engine!Q244*12)*INDEX(Surface_Engine!$F$12:$F$72,$A1012+1)-(Surface_Engine!Q244*12),1000*12*INDEX(Surface_Engine!$C$12:$C$72,$A1012+1)/(1+Assumptions!$B$10)^22+INDEX(Surface_Engine!$D$12:$D$72,$A1012+1)))*INDEX(Surface_Engine!$B$12:$B$72,$A1012+1)+G1013</f>
        <v>0</v>
      </c>
      <c r="H1012" s="48" t="n">
        <f aca="false">D1012*(IF($A1012&lt;$Q$951,INDEX(Surface_Engine!$D$12:$D$72,$A1012+1)+(Surface_Engine!Q244*12)*INDEX(Surface_Engine!$F$12:$F$72,$A1012+1)-(Surface_Engine!Q244*12),1000*12*INDEX(Surface_Engine!$C$12:$C$72,$A1012+1)/(1+Assumptions!$B$10)^22+INDEX(Surface_Engine!$D$12:$D$72,$A1012+1)))*INDEX(Surface_Engine!$B$12:$B$72,$A1012+1)+H1013</f>
        <v>0</v>
      </c>
      <c r="I1012" s="48" t="n">
        <f aca="false">E1012*(IF($A1012&lt;$Q$951,INDEX(Surface_Engine!$D$12:$D$72,$A1012+1)+(Surface_Engine!Q244*12)*INDEX(Surface_Engine!$F$12:$F$72,$A1012+1)-(Surface_Engine!Q244*12),1000*12*INDEX(Surface_Engine!$C$12:$C$72,$A1012+1)/(1+Assumptions!$B$10)^22+INDEX(Surface_Engine!$D$12:$D$72,$A1012+1)))*INDEX(Surface_Engine!$B$12:$B$72,$A1012+1)+I1013</f>
        <v>0</v>
      </c>
      <c r="J1012" s="48" t="n">
        <f aca="false">B1012*(IF($A1012&lt;$Q$951,INDEX(Surface_Engine!$D$12:$D$72,$A1012+1)*(1+Assumptions!$B$24)+(Surface_Engine!Q244*12)*INDEX(Surface_Engine!$F$12:$F$72,$A1012+1)-(Surface_Engine!Q244*12),1000*12*INDEX(Surface_Engine!$C$12:$C$72,$A1012+1)/(1+Assumptions!$B$10)^22+INDEX(Surface_Engine!$D$12:$D$72,$A1012+1)*(1+Assumptions!$B$24)))*INDEX(Surface_Engine!$B$12:$B$72,$A1012+1)+J1013</f>
        <v>0</v>
      </c>
      <c r="K1012" s="12" t="n">
        <f aca="false">SQRT((IF(C1012&lt;=0,0,MAX(0,(B1012/C1012)*G1012/INDEX(Surface_Engine!$B$12:$B$72,$A1012+1)-F1012/INDEX(Surface_Engine!$B$12:$B$72,$A1012+1))))^2+(MAX(IF(D1012&lt;=0,0,MAX(0,(B1012/D1012)*H1012/INDEX(Surface_Engine!$B$12:$B$72,$A1012+1)-F1012/INDEX(Surface_Engine!$B$12:$B$72,$A1012+1))),IF(E1012&lt;=0,0,MAX(0,(B1012/E1012)*I1012/INDEX(Surface_Engine!$B$12:$B$72,$A1012+1)-F1012/INDEX(Surface_Engine!$B$12:$B$72,$A1012+1))),IF($A1012&lt;$Q$951,MAX(0,-Assumptions!$B$22*(F1012/INDEX(Surface_Engine!$B$12:$B$72,$A1012+1))),0)))^2+(MAX(0,J1012/INDEX(Surface_Engine!$B$12:$B$72,$A1012+1)-(F1012/INDEX(Surface_Engine!$B$12:$B$72,$A1012+1))))^2+2*Assumptions!$B$26*(IF(C1012&lt;=0,0,MAX(0,(B1012/C1012)*G1012/INDEX(Surface_Engine!$B$12:$B$72,$A1012+1)-F1012/INDEX(Surface_Engine!$B$12:$B$72,$A1012+1))))*(MAX(IF(D1012&lt;=0,0,MAX(0,(B1012/D1012)*H1012/INDEX(Surface_Engine!$B$12:$B$72,$A1012+1)-F1012/INDEX(Surface_Engine!$B$12:$B$72,$A1012+1))),IF(E1012&lt;=0,0,MAX(0,(B1012/E1012)*I1012/INDEX(Surface_Engine!$B$12:$B$72,$A1012+1)-F1012/INDEX(Surface_Engine!$B$12:$B$72,$A1012+1))),IF($A1012&lt;$Q$951,MAX(0,-Assumptions!$B$22*(F1012/INDEX(Surface_Engine!$B$12:$B$72,$A1012+1))),0)))+2*Assumptions!$B$27*(IF(C1012&lt;=0,0,MAX(0,(B1012/C1012)*G1012/INDEX(Surface_Engine!$B$12:$B$72,$A1012+1)-F1012/INDEX(Surface_Engine!$B$12:$B$72,$A1012+1))))*(MAX(0,J1012/INDEX(Surface_Engine!$B$12:$B$72,$A1012+1)-(F1012/INDEX(Surface_Engine!$B$12:$B$72,$A1012+1))))+2*Assumptions!$B$28*(MAX(IF(D1012&lt;=0,0,MAX(0,(B1012/D1012)*H1012/INDEX(Surface_Engine!$B$12:$B$72,$A1012+1)-F1012/INDEX(Surface_Engine!$B$12:$B$72,$A1012+1))),IF(E1012&lt;=0,0,MAX(0,(B1012/E1012)*I1012/INDEX(Surface_Engine!$B$12:$B$72,$A1012+1)-F1012/INDEX(Surface_Engine!$B$12:$B$72,$A1012+1))),IF($A1012&lt;$Q$951,MAX(0,-Assumptions!$B$22*(F1012/INDEX(Surface_Engine!$B$12:$B$72,$A1012+1))),0)))*(MAX(0,J1012/INDEX(Surface_Engine!$B$12:$B$72,$A1012+1)-(F1012/INDEX(Surface_Engine!$B$12:$B$72,$A1012+1)))))</f>
        <v>0</v>
      </c>
      <c r="L1012" s="48" t="n">
        <f aca="false">K1012*INDEX(Surface_Engine!$B$12:$B$72,$A1012+1)+L1013</f>
        <v>0</v>
      </c>
      <c r="M1012" s="48" t="n">
        <f aca="false">M1011+B1011*(IF($A1011&lt;$Q$951,(Surface_Engine!Q244*12)-(Surface_Engine!Q244*12)*INDEX(Surface_Engine!$F$12:$F$72,$A1011+1)-INDEX(Surface_Engine!$D$12:$D$72,$A1011+1),-(1000*12*INDEX(Surface_Engine!$C$12:$C$72,$A1011+1)/(1+Assumptions!$B$10)^22+INDEX(Surface_Engine!$D$12:$D$72,$A1011+1))))*INDEX(Surface_Engine!$B$12:$B$72,$A1011+1)</f>
        <v>565.887858965782</v>
      </c>
      <c r="N1012" s="12" t="n">
        <f aca="false">IF(B1012&lt;=0,0,MAX(0,(K1012+Assumptions!$B$29*L1012/INDEX(Surface_Engine!$B$12:$B$72,$A1012+1)-(M1012/INDEX(Surface_Engine!$B$12:$B$72,$A1012+1)-(F1012/INDEX(Surface_Engine!$B$12:$B$72,$A1012+1))))/B1012))</f>
        <v>0</v>
      </c>
    </row>
    <row r="1013" customFormat="false" ht="15" hidden="false" customHeight="true" outlineLevel="0" collapsed="false">
      <c r="A1013" s="1" t="n">
        <v>60</v>
      </c>
      <c r="B1013" s="32" t="n">
        <f aca="false">INDEX(Surface_Engine!$O$12:$O$72,$A1013+1)*IF($A1013&lt;$Q$951,INDEX(Surface_Engine!$E$12:$E$72,$A1013+1),INDEX(Surface_Engine!$E$12:$E$72,$Q$951+1))</f>
        <v>0</v>
      </c>
      <c r="C1013" s="32" t="n">
        <f aca="false">INDEX(Panel_Reserving!$E$8:$E$68,$A1013+1)*IF($A1013&lt;$Q$951,INDEX(Surface_Engine!$E$12:$E$72,$A1013+1),INDEX(Surface_Engine!$E$12:$E$72,$Q$951+1))</f>
        <v>0</v>
      </c>
      <c r="D1013" s="32" t="n">
        <f aca="false">INDEX(Surface_Engine!$O$12:$O$72,$A1013+1)*IF($A1013&lt;$Q$951,INDEX(Surface_Engine!$Y$12:$Y$72,$A1013+1),INDEX(Surface_Engine!$Y$12:$Y$72,$Q$951+1))</f>
        <v>0</v>
      </c>
      <c r="E1013" s="32" t="n">
        <f aca="false">INDEX(Surface_Engine!$O$12:$O$72,$A1013+1)*IF($A1013&lt;$Q$951,INDEX(Surface_Engine!$Z$12:$Z$72,$A1013+1),INDEX(Surface_Engine!$Z$12:$Z$72,$Q$951+1))</f>
        <v>0</v>
      </c>
      <c r="F1013" s="48" t="n">
        <f aca="false">B1013*(IF($A1013&lt;$Q$951,INDEX(Surface_Engine!$D$12:$D$72,$A1013+1)+(Surface_Engine!Q244*12)*INDEX(Surface_Engine!$F$12:$F$72,$A1013+1)-(Surface_Engine!Q244*12),1000*12*INDEX(Surface_Engine!$C$12:$C$72,$A1013+1)/(1+Assumptions!$B$10)^22+INDEX(Surface_Engine!$D$12:$D$72,$A1013+1)))*INDEX(Surface_Engine!$B$12:$B$72,$A1013+1)</f>
        <v>0</v>
      </c>
      <c r="G1013" s="48" t="n">
        <f aca="false">C1013*(IF($A1013&lt;$Q$951,INDEX(Surface_Engine!$D$12:$D$72,$A1013+1)+(Surface_Engine!Q244*12)*INDEX(Surface_Engine!$F$12:$F$72,$A1013+1)-(Surface_Engine!Q244*12),1000*12*INDEX(Surface_Engine!$C$12:$C$72,$A1013+1)/(1+Assumptions!$B$10)^22+INDEX(Surface_Engine!$D$12:$D$72,$A1013+1)))*INDEX(Surface_Engine!$B$12:$B$72,$A1013+1)</f>
        <v>0</v>
      </c>
      <c r="H1013" s="48" t="n">
        <f aca="false">D1013*(IF($A1013&lt;$Q$951,INDEX(Surface_Engine!$D$12:$D$72,$A1013+1)+(Surface_Engine!Q244*12)*INDEX(Surface_Engine!$F$12:$F$72,$A1013+1)-(Surface_Engine!Q244*12),1000*12*INDEX(Surface_Engine!$C$12:$C$72,$A1013+1)/(1+Assumptions!$B$10)^22+INDEX(Surface_Engine!$D$12:$D$72,$A1013+1)))*INDEX(Surface_Engine!$B$12:$B$72,$A1013+1)</f>
        <v>0</v>
      </c>
      <c r="I1013" s="48" t="n">
        <f aca="false">E1013*(IF($A1013&lt;$Q$951,INDEX(Surface_Engine!$D$12:$D$72,$A1013+1)+(Surface_Engine!Q244*12)*INDEX(Surface_Engine!$F$12:$F$72,$A1013+1)-(Surface_Engine!Q244*12),1000*12*INDEX(Surface_Engine!$C$12:$C$72,$A1013+1)/(1+Assumptions!$B$10)^22+INDEX(Surface_Engine!$D$12:$D$72,$A1013+1)))*INDEX(Surface_Engine!$B$12:$B$72,$A1013+1)</f>
        <v>0</v>
      </c>
      <c r="J1013" s="48" t="n">
        <f aca="false">B1013*(IF($A1013&lt;$Q$951,INDEX(Surface_Engine!$D$12:$D$72,$A1013+1)*(1+Assumptions!$B$24)+(Surface_Engine!Q244*12)*INDEX(Surface_Engine!$F$12:$F$72,$A1013+1)-(Surface_Engine!Q244*12),1000*12*INDEX(Surface_Engine!$C$12:$C$72,$A1013+1)/(1+Assumptions!$B$10)^22+INDEX(Surface_Engine!$D$12:$D$72,$A1013+1)*(1+Assumptions!$B$24)))*INDEX(Surface_Engine!$B$12:$B$72,$A1013+1)</f>
        <v>0</v>
      </c>
      <c r="K1013" s="12" t="n">
        <f aca="false">SQRT((IF(C1013&lt;=0,0,MAX(0,(B1013/C1013)*G1013/INDEX(Surface_Engine!$B$12:$B$72,$A1013+1)-F1013/INDEX(Surface_Engine!$B$12:$B$72,$A1013+1))))^2+(MAX(IF(D1013&lt;=0,0,MAX(0,(B1013/D1013)*H1013/INDEX(Surface_Engine!$B$12:$B$72,$A1013+1)-F1013/INDEX(Surface_Engine!$B$12:$B$72,$A1013+1))),IF(E1013&lt;=0,0,MAX(0,(B1013/E1013)*I1013/INDEX(Surface_Engine!$B$12:$B$72,$A1013+1)-F1013/INDEX(Surface_Engine!$B$12:$B$72,$A1013+1))),IF($A1013&lt;$Q$951,MAX(0,-Assumptions!$B$22*(F1013/INDEX(Surface_Engine!$B$12:$B$72,$A1013+1))),0)))^2+(MAX(0,J1013/INDEX(Surface_Engine!$B$12:$B$72,$A1013+1)-(F1013/INDEX(Surface_Engine!$B$12:$B$72,$A1013+1))))^2+2*Assumptions!$B$26*(IF(C1013&lt;=0,0,MAX(0,(B1013/C1013)*G1013/INDEX(Surface_Engine!$B$12:$B$72,$A1013+1)-F1013/INDEX(Surface_Engine!$B$12:$B$72,$A1013+1))))*(MAX(IF(D1013&lt;=0,0,MAX(0,(B1013/D1013)*H1013/INDEX(Surface_Engine!$B$12:$B$72,$A1013+1)-F1013/INDEX(Surface_Engine!$B$12:$B$72,$A1013+1))),IF(E1013&lt;=0,0,MAX(0,(B1013/E1013)*I1013/INDEX(Surface_Engine!$B$12:$B$72,$A1013+1)-F1013/INDEX(Surface_Engine!$B$12:$B$72,$A1013+1))),IF($A1013&lt;$Q$951,MAX(0,-Assumptions!$B$22*(F1013/INDEX(Surface_Engine!$B$12:$B$72,$A1013+1))),0)))+2*Assumptions!$B$27*(IF(C1013&lt;=0,0,MAX(0,(B1013/C1013)*G1013/INDEX(Surface_Engine!$B$12:$B$72,$A1013+1)-F1013/INDEX(Surface_Engine!$B$12:$B$72,$A1013+1))))*(MAX(0,J1013/INDEX(Surface_Engine!$B$12:$B$72,$A1013+1)-(F1013/INDEX(Surface_Engine!$B$12:$B$72,$A1013+1))))+2*Assumptions!$B$28*(MAX(IF(D1013&lt;=0,0,MAX(0,(B1013/D1013)*H1013/INDEX(Surface_Engine!$B$12:$B$72,$A1013+1)-F1013/INDEX(Surface_Engine!$B$12:$B$72,$A1013+1))),IF(E1013&lt;=0,0,MAX(0,(B1013/E1013)*I1013/INDEX(Surface_Engine!$B$12:$B$72,$A1013+1)-F1013/INDEX(Surface_Engine!$B$12:$B$72,$A1013+1))),IF($A1013&lt;$Q$951,MAX(0,-Assumptions!$B$22*(F1013/INDEX(Surface_Engine!$B$12:$B$72,$A1013+1))),0)))*(MAX(0,J1013/INDEX(Surface_Engine!$B$12:$B$72,$A1013+1)-(F1013/INDEX(Surface_Engine!$B$12:$B$72,$A1013+1)))))</f>
        <v>0</v>
      </c>
      <c r="L1013" s="48" t="n">
        <f aca="false">K1013*INDEX(Surface_Engine!$B$12:$B$72,$A1013+1)</f>
        <v>0</v>
      </c>
      <c r="M1013" s="48" t="n">
        <f aca="false">M1012+B1012*(IF($A1012&lt;$Q$951,(Surface_Engine!Q244*12)-(Surface_Engine!Q244*12)*INDEX(Surface_Engine!$F$12:$F$72,$A1012+1)-INDEX(Surface_Engine!$D$12:$D$72,$A1012+1),-(1000*12*INDEX(Surface_Engine!$C$12:$C$72,$A1012+1)/(1+Assumptions!$B$10)^22+INDEX(Surface_Engine!$D$12:$D$72,$A1012+1))))*INDEX(Surface_Engine!$B$12:$B$72,$A1012+1)</f>
        <v>565.887858965782</v>
      </c>
      <c r="N1013" s="12" t="n">
        <f aca="false">IF(B1013&lt;=0,0,MAX(0,(K1013+Assumptions!$B$29*L1013/INDEX(Surface_Engine!$B$12:$B$72,$A1013+1)-(M1013/INDEX(Surface_Engine!$B$12:$B$72,$A1013+1)-(F1013/INDEX(Surface_Engine!$B$12:$B$72,$A1013+1))))/B1013))</f>
        <v>0</v>
      </c>
    </row>
    <row r="1014" customFormat="false" ht="15" hidden="false" customHeight="true" outlineLevel="0" collapsed="false">
      <c r="A1014" s="4" t="str">
        <f aca="false">"entry "&amp;O1014&amp;" / vesting "&amp;P1014&amp;"   deferral "&amp;Q1014</f>
        <v>entry 70 / vesting 75   deferral 5</v>
      </c>
      <c r="C1014" s="49" t="n">
        <f aca="false">MAX(N953:N1013)</f>
        <v>14883.1801802266</v>
      </c>
      <c r="E1014" s="7" t="s">
        <v>1634</v>
      </c>
      <c r="G1014" s="21" t="n">
        <f aca="false">INDEX(A953:A1013,MATCH(C1014,N953:N1013,0))</f>
        <v>18</v>
      </c>
      <c r="J1014" s="7" t="s">
        <v>1624</v>
      </c>
      <c r="K1014" s="50" t="n">
        <f aca="false">Surface_Engine!B246</f>
        <v>3415.80353150829</v>
      </c>
      <c r="O1014" s="1" t="n">
        <f aca="false">A1718</f>
        <v>70</v>
      </c>
      <c r="P1014" s="76" t="n">
        <f aca="false">B$1713</f>
        <v>75</v>
      </c>
      <c r="Q1014" s="1" t="n">
        <f aca="false">P1014-O1014</f>
        <v>5</v>
      </c>
    </row>
    <row r="1015" customFormat="false" ht="15" hidden="false" customHeight="true" outlineLevel="0" collapsed="false">
      <c r="A1015" s="8" t="s">
        <v>802</v>
      </c>
      <c r="B1015" s="8" t="s">
        <v>1584</v>
      </c>
      <c r="C1015" s="8" t="s">
        <v>1585</v>
      </c>
      <c r="D1015" s="8" t="s">
        <v>1587</v>
      </c>
      <c r="E1015" s="8" t="s">
        <v>1588</v>
      </c>
      <c r="F1015" s="8" t="s">
        <v>1625</v>
      </c>
      <c r="G1015" s="8" t="s">
        <v>1626</v>
      </c>
      <c r="H1015" s="8" t="s">
        <v>1627</v>
      </c>
      <c r="I1015" s="8" t="s">
        <v>1628</v>
      </c>
      <c r="J1015" s="8" t="s">
        <v>1629</v>
      </c>
      <c r="K1015" s="8" t="s">
        <v>812</v>
      </c>
      <c r="L1015" s="8" t="s">
        <v>1630</v>
      </c>
      <c r="M1015" s="8" t="s">
        <v>341</v>
      </c>
      <c r="N1015" s="8" t="s">
        <v>1631</v>
      </c>
      <c r="O1015" s="1" t="s">
        <v>1544</v>
      </c>
      <c r="P1015" s="1" t="s">
        <v>1632</v>
      </c>
      <c r="Q1015" s="1" t="s">
        <v>1633</v>
      </c>
    </row>
    <row r="1016" customFormat="false" ht="15" hidden="false" customHeight="true" outlineLevel="0" collapsed="false">
      <c r="A1016" s="1" t="n">
        <v>0</v>
      </c>
      <c r="B1016" s="32" t="n">
        <f aca="false">INDEX(Surface_Engine!$Q$12:$Q$72,$A1016+1)*IF($A1016&lt;$Q$1014,INDEX(Surface_Engine!$E$12:$E$72,$A1016+1),INDEX(Surface_Engine!$E$12:$E$72,$Q$1014+1))</f>
        <v>1</v>
      </c>
      <c r="C1016" s="32" t="n">
        <f aca="false">INDEX(Panel_Reserving!$F$8:$F$68,$A1016+1)*IF($A1016&lt;$Q$1014,INDEX(Surface_Engine!$E$12:$E$72,$A1016+1),INDEX(Surface_Engine!$E$12:$E$72,$Q$1014+1))</f>
        <v>1</v>
      </c>
      <c r="D1016" s="32" t="n">
        <f aca="false">INDEX(Surface_Engine!$Q$12:$Q$72,$A1016+1)*IF($A1016&lt;$Q$1014,INDEX(Surface_Engine!$Y$12:$Y$72,$A1016+1),INDEX(Surface_Engine!$Y$12:$Y$72,$Q$1014+1))</f>
        <v>1</v>
      </c>
      <c r="E1016" s="32" t="n">
        <f aca="false">INDEX(Surface_Engine!$Q$12:$Q$72,$A1016+1)*IF($A1016&lt;$Q$1014,INDEX(Surface_Engine!$Z$12:$Z$72,$A1016+1),INDEX(Surface_Engine!$Z$12:$Z$72,$Q$1014+1))</f>
        <v>1</v>
      </c>
      <c r="F1016" s="48" t="n">
        <f aca="false">B1016*(IF($A1016&lt;$Q$1014,INDEX(Surface_Engine!$D$12:$D$72,$A1016+1)+(Surface_Engine!B246*12)*INDEX(Surface_Engine!$F$12:$F$72,$A1016+1)-(Surface_Engine!B246*12),1000*12*INDEX(Surface_Engine!$C$12:$C$72,$A1016+1)/(1+Assumptions!$B$10)^5+INDEX(Surface_Engine!$D$12:$D$72,$A1016+1)))*INDEX(Surface_Engine!$B$12:$B$72,$A1016+1)+F1017</f>
        <v>-5433.95937966844</v>
      </c>
      <c r="G1016" s="48" t="n">
        <f aca="false">C1016*(IF($A1016&lt;$Q$1014,INDEX(Surface_Engine!$D$12:$D$72,$A1016+1)+(Surface_Engine!B246*12)*INDEX(Surface_Engine!$F$12:$F$72,$A1016+1)-(Surface_Engine!B246*12),1000*12*INDEX(Surface_Engine!$C$12:$C$72,$A1016+1)/(1+Assumptions!$B$10)^5+INDEX(Surface_Engine!$D$12:$D$72,$A1016+1)))*INDEX(Surface_Engine!$B$12:$B$72,$A1016+1)+G1017</f>
        <v>7184.12900422857</v>
      </c>
      <c r="H1016" s="48" t="n">
        <f aca="false">D1016*(IF($A1016&lt;$Q$1014,INDEX(Surface_Engine!$D$12:$D$72,$A1016+1)+(Surface_Engine!B246*12)*INDEX(Surface_Engine!$F$12:$F$72,$A1016+1)-(Surface_Engine!B246*12),1000*12*INDEX(Surface_Engine!$C$12:$C$72,$A1016+1)/(1+Assumptions!$B$10)^5+INDEX(Surface_Engine!$D$12:$D$72,$A1016+1)))*INDEX(Surface_Engine!$B$12:$B$72,$A1016+1)+H1017</f>
        <v>-7514.53063483316</v>
      </c>
      <c r="I1016" s="48" t="n">
        <f aca="false">E1016*(IF($A1016&lt;$Q$1014,INDEX(Surface_Engine!$D$12:$D$72,$A1016+1)+(Surface_Engine!B246*12)*INDEX(Surface_Engine!$F$12:$F$72,$A1016+1)-(Surface_Engine!B246*12),1000*12*INDEX(Surface_Engine!$C$12:$C$72,$A1016+1)/(1+Assumptions!$B$10)^5+INDEX(Surface_Engine!$D$12:$D$72,$A1016+1)))*INDEX(Surface_Engine!$B$12:$B$72,$A1016+1)+I1017</f>
        <v>-3181.76520896816</v>
      </c>
      <c r="J1016" s="48" t="n">
        <f aca="false">B1016*(IF($A1016&lt;$Q$1014,INDEX(Surface_Engine!$D$12:$D$72,$A1016+1)*(1+Assumptions!$B$24)+(Surface_Engine!B246*12)*INDEX(Surface_Engine!$F$12:$F$72,$A1016+1)-(Surface_Engine!B246*12),1000*12*INDEX(Surface_Engine!$C$12:$C$72,$A1016+1)/(1+Assumptions!$B$10)^5+INDEX(Surface_Engine!$D$12:$D$72,$A1016+1)*(1+Assumptions!$B$24)))*INDEX(Surface_Engine!$B$12:$B$72,$A1016+1)+J1017</f>
        <v>-5294.11337108064</v>
      </c>
      <c r="K1016" s="12" t="n">
        <f aca="false">SQRT((IF(C1016&lt;=0,0,MAX(0,(B1016/C1016)*G1016/INDEX(Surface_Engine!$B$12:$B$72,$A1016+1)-F1016/INDEX(Surface_Engine!$B$12:$B$72,$A1016+1))))^2+(MAX(IF(D1016&lt;=0,0,MAX(0,(B1016/D1016)*H1016/INDEX(Surface_Engine!$B$12:$B$72,$A1016+1)-F1016/INDEX(Surface_Engine!$B$12:$B$72,$A1016+1))),IF(E1016&lt;=0,0,MAX(0,(B1016/E1016)*I1016/INDEX(Surface_Engine!$B$12:$B$72,$A1016+1)-F1016/INDEX(Surface_Engine!$B$12:$B$72,$A1016+1))),IF($A1016&lt;$Q$1014,MAX(0,-Assumptions!$B$22*(F1016/INDEX(Surface_Engine!$B$12:$B$72,$A1016+1))),0)))^2+(MAX(0,J1016/INDEX(Surface_Engine!$B$12:$B$72,$A1016+1)-(F1016/INDEX(Surface_Engine!$B$12:$B$72,$A1016+1))))^2+2*Assumptions!$B$26*(IF(C1016&lt;=0,0,MAX(0,(B1016/C1016)*G1016/INDEX(Surface_Engine!$B$12:$B$72,$A1016+1)-F1016/INDEX(Surface_Engine!$B$12:$B$72,$A1016+1))))*(MAX(IF(D1016&lt;=0,0,MAX(0,(B1016/D1016)*H1016/INDEX(Surface_Engine!$B$12:$B$72,$A1016+1)-F1016/INDEX(Surface_Engine!$B$12:$B$72,$A1016+1))),IF(E1016&lt;=0,0,MAX(0,(B1016/E1016)*I1016/INDEX(Surface_Engine!$B$12:$B$72,$A1016+1)-F1016/INDEX(Surface_Engine!$B$12:$B$72,$A1016+1))),IF($A1016&lt;$Q$1014,MAX(0,-Assumptions!$B$22*(F1016/INDEX(Surface_Engine!$B$12:$B$72,$A1016+1))),0)))+2*Assumptions!$B$27*(IF(C1016&lt;=0,0,MAX(0,(B1016/C1016)*G1016/INDEX(Surface_Engine!$B$12:$B$72,$A1016+1)-F1016/INDEX(Surface_Engine!$B$12:$B$72,$A1016+1))))*(MAX(0,J1016/INDEX(Surface_Engine!$B$12:$B$72,$A1016+1)-(F1016/INDEX(Surface_Engine!$B$12:$B$72,$A1016+1))))+2*Assumptions!$B$28*(MAX(IF(D1016&lt;=0,0,MAX(0,(B1016/D1016)*H1016/INDEX(Surface_Engine!$B$12:$B$72,$A1016+1)-F1016/INDEX(Surface_Engine!$B$12:$B$72,$A1016+1))),IF(E1016&lt;=0,0,MAX(0,(B1016/E1016)*I1016/INDEX(Surface_Engine!$B$12:$B$72,$A1016+1)-F1016/INDEX(Surface_Engine!$B$12:$B$72,$A1016+1))),IF($A1016&lt;$Q$1014,MAX(0,-Assumptions!$B$22*(F1016/INDEX(Surface_Engine!$B$12:$B$72,$A1016+1))),0)))*(MAX(0,J1016/INDEX(Surface_Engine!$B$12:$B$72,$A1016+1)-(F1016/INDEX(Surface_Engine!$B$12:$B$72,$A1016+1)))))</f>
        <v>13405.7650851368</v>
      </c>
      <c r="L1016" s="48" t="n">
        <f aca="false">K1016*INDEX(Surface_Engine!$B$12:$B$72,$A1016+1)+L1017</f>
        <v>210979.787507473</v>
      </c>
      <c r="M1016" s="48" t="n">
        <v>0</v>
      </c>
      <c r="N1016" s="12" t="n">
        <f aca="false">IF(B1016&lt;=0,0,MAX(0,(K1016+Assumptions!$B$29*L1016/INDEX(Surface_Engine!$B$12:$B$72,$A1016+1)-(M1016/INDEX(Surface_Engine!$B$12:$B$72,$A1016+1)-(F1016/INDEX(Surface_Engine!$B$12:$B$72,$A1016+1))))/B1016))</f>
        <v>20630.5929559167</v>
      </c>
    </row>
    <row r="1017" customFormat="false" ht="15" hidden="false" customHeight="true" outlineLevel="0" collapsed="false">
      <c r="A1017" s="1" t="n">
        <v>1</v>
      </c>
      <c r="B1017" s="32" t="n">
        <f aca="false">INDEX(Surface_Engine!$Q$12:$Q$72,$A1017+1)*IF($A1017&lt;$Q$1014,INDEX(Surface_Engine!$E$12:$E$72,$A1017+1),INDEX(Surface_Engine!$E$12:$E$72,$Q$1014+1))</f>
        <v>0.95043139219025</v>
      </c>
      <c r="C1017" s="32" t="n">
        <f aca="false">INDEX(Panel_Reserving!$F$8:$F$68,$A1017+1)*IF($A1017&lt;$Q$1014,INDEX(Surface_Engine!$E$12:$E$72,$A1017+1),INDEX(Surface_Engine!$E$12:$E$72,$Q$1014+1))</f>
        <v>0.9522251137522</v>
      </c>
      <c r="D1017" s="32" t="n">
        <f aca="false">INDEX(Surface_Engine!$Q$12:$Q$72,$A1017+1)*IF($A1017&lt;$Q$1014,INDEX(Surface_Engine!$Y$12:$Y$72,$A1017+1),INDEX(Surface_Engine!$Y$12:$Y$72,$Q$1014+1))</f>
        <v>0.930321159480783</v>
      </c>
      <c r="E1017" s="32" t="n">
        <f aca="false">INDEX(Surface_Engine!$Q$12:$Q$72,$A1017+1)*IF($A1017&lt;$Q$1014,INDEX(Surface_Engine!$Z$12:$Z$72,$A1017+1),INDEX(Surface_Engine!$Z$12:$Z$72,$Q$1014+1))</f>
        <v>0.970541624899716</v>
      </c>
      <c r="F1017" s="48" t="n">
        <f aca="false">B1017*(IF($A1017&lt;$Q$1014,INDEX(Surface_Engine!$D$12:$D$72,$A1017+1)+(Surface_Engine!B246*12)*INDEX(Surface_Engine!$F$12:$F$72,$A1017+1)-(Surface_Engine!B246*12),1000*12*INDEX(Surface_Engine!$C$12:$C$72,$A1017+1)/(1+Assumptions!$B$10)^5+INDEX(Surface_Engine!$D$12:$D$72,$A1017+1)))*INDEX(Surface_Engine!$B$12:$B$72,$A1017+1)+F1018</f>
        <v>-5515.95937966844</v>
      </c>
      <c r="G1017" s="48" t="n">
        <f aca="false">C1017*(IF($A1017&lt;$Q$1014,INDEX(Surface_Engine!$D$12:$D$72,$A1017+1)+(Surface_Engine!B246*12)*INDEX(Surface_Engine!$F$12:$F$72,$A1017+1)-(Surface_Engine!B246*12),1000*12*INDEX(Surface_Engine!$C$12:$C$72,$A1017+1)/(1+Assumptions!$B$10)^5+INDEX(Surface_Engine!$D$12:$D$72,$A1017+1)))*INDEX(Surface_Engine!$B$12:$B$72,$A1017+1)+G1018</f>
        <v>7102.12900422857</v>
      </c>
      <c r="H1017" s="48" t="n">
        <f aca="false">D1017*(IF($A1017&lt;$Q$1014,INDEX(Surface_Engine!$D$12:$D$72,$A1017+1)+(Surface_Engine!B246*12)*INDEX(Surface_Engine!$F$12:$F$72,$A1017+1)-(Surface_Engine!B246*12),1000*12*INDEX(Surface_Engine!$C$12:$C$72,$A1017+1)/(1+Assumptions!$B$10)^5+INDEX(Surface_Engine!$D$12:$D$72,$A1017+1)))*INDEX(Surface_Engine!$B$12:$B$72,$A1017+1)+H1018</f>
        <v>-7596.53063483316</v>
      </c>
      <c r="I1017" s="48" t="n">
        <f aca="false">E1017*(IF($A1017&lt;$Q$1014,INDEX(Surface_Engine!$D$12:$D$72,$A1017+1)+(Surface_Engine!B246*12)*INDEX(Surface_Engine!$F$12:$F$72,$A1017+1)-(Surface_Engine!B246*12),1000*12*INDEX(Surface_Engine!$C$12:$C$72,$A1017+1)/(1+Assumptions!$B$10)^5+INDEX(Surface_Engine!$D$12:$D$72,$A1017+1)))*INDEX(Surface_Engine!$B$12:$B$72,$A1017+1)+I1018</f>
        <v>-3263.76520896816</v>
      </c>
      <c r="J1017" s="48" t="n">
        <f aca="false">B1017*(IF($A1017&lt;$Q$1014,INDEX(Surface_Engine!$D$12:$D$72,$A1017+1)*(1+Assumptions!$B$24)+(Surface_Engine!B246*12)*INDEX(Surface_Engine!$F$12:$F$72,$A1017+1)-(Surface_Engine!B246*12),1000*12*INDEX(Surface_Engine!$C$12:$C$72,$A1017+1)/(1+Assumptions!$B$10)^5+INDEX(Surface_Engine!$D$12:$D$72,$A1017+1)*(1+Assumptions!$B$24)))*INDEX(Surface_Engine!$B$12:$B$72,$A1017+1)+J1018</f>
        <v>-5384.31337108064</v>
      </c>
      <c r="K1017" s="12" t="n">
        <f aca="false">SQRT((IF(C1017&lt;=0,0,MAX(0,(B1017/C1017)*G1017/INDEX(Surface_Engine!$B$12:$B$72,$A1017+1)-F1017/INDEX(Surface_Engine!$B$12:$B$72,$A1017+1))))^2+(MAX(IF(D1017&lt;=0,0,MAX(0,(B1017/D1017)*H1017/INDEX(Surface_Engine!$B$12:$B$72,$A1017+1)-F1017/INDEX(Surface_Engine!$B$12:$B$72,$A1017+1))),IF(E1017&lt;=0,0,MAX(0,(B1017/E1017)*I1017/INDEX(Surface_Engine!$B$12:$B$72,$A1017+1)-F1017/INDEX(Surface_Engine!$B$12:$B$72,$A1017+1))),IF($A1017&lt;$Q$1014,MAX(0,-Assumptions!$B$22*(F1017/INDEX(Surface_Engine!$B$12:$B$72,$A1017+1))),0)))^2+(MAX(0,J1017/INDEX(Surface_Engine!$B$12:$B$72,$A1017+1)-(F1017/INDEX(Surface_Engine!$B$12:$B$72,$A1017+1))))^2+2*Assumptions!$B$26*(IF(C1017&lt;=0,0,MAX(0,(B1017/C1017)*G1017/INDEX(Surface_Engine!$B$12:$B$72,$A1017+1)-F1017/INDEX(Surface_Engine!$B$12:$B$72,$A1017+1))))*(MAX(IF(D1017&lt;=0,0,MAX(0,(B1017/D1017)*H1017/INDEX(Surface_Engine!$B$12:$B$72,$A1017+1)-F1017/INDEX(Surface_Engine!$B$12:$B$72,$A1017+1))),IF(E1017&lt;=0,0,MAX(0,(B1017/E1017)*I1017/INDEX(Surface_Engine!$B$12:$B$72,$A1017+1)-F1017/INDEX(Surface_Engine!$B$12:$B$72,$A1017+1))),IF($A1017&lt;$Q$1014,MAX(0,-Assumptions!$B$22*(F1017/INDEX(Surface_Engine!$B$12:$B$72,$A1017+1))),0)))+2*Assumptions!$B$27*(IF(C1017&lt;=0,0,MAX(0,(B1017/C1017)*G1017/INDEX(Surface_Engine!$B$12:$B$72,$A1017+1)-F1017/INDEX(Surface_Engine!$B$12:$B$72,$A1017+1))))*(MAX(0,J1017/INDEX(Surface_Engine!$B$12:$B$72,$A1017+1)-(F1017/INDEX(Surface_Engine!$B$12:$B$72,$A1017+1))))+2*Assumptions!$B$28*(MAX(IF(D1017&lt;=0,0,MAX(0,(B1017/D1017)*H1017/INDEX(Surface_Engine!$B$12:$B$72,$A1017+1)-F1017/INDEX(Surface_Engine!$B$12:$B$72,$A1017+1))),IF(E1017&lt;=0,0,MAX(0,(B1017/E1017)*I1017/INDEX(Surface_Engine!$B$12:$B$72,$A1017+1)-F1017/INDEX(Surface_Engine!$B$12:$B$72,$A1017+1))),IF($A1017&lt;$Q$1014,MAX(0,-Assumptions!$B$22*(F1017/INDEX(Surface_Engine!$B$12:$B$72,$A1017+1))),0)))*(MAX(0,J1017/INDEX(Surface_Engine!$B$12:$B$72,$A1017+1)-(F1017/INDEX(Surface_Engine!$B$12:$B$72,$A1017+1)))))</f>
        <v>13765.9606459072</v>
      </c>
      <c r="L1017" s="48" t="n">
        <f aca="false">K1017*INDEX(Surface_Engine!$B$12:$B$72,$A1017+1)+L1018</f>
        <v>197574.022422336</v>
      </c>
      <c r="M1017" s="48" t="n">
        <f aca="false">M1016+B1016*(IF($A1016&lt;$Q$1014,(Surface_Engine!B246*12)-(Surface_Engine!B246*12)*INDEX(Surface_Engine!$F$12:$F$72,$A1016+1)-INDEX(Surface_Engine!$D$12:$D$72,$A1016+1),-(1000*12*INDEX(Surface_Engine!$C$12:$C$72,$A1016+1)/(1+Assumptions!$B$10)^5+INDEX(Surface_Engine!$D$12:$D$72,$A1016+1))))*INDEX(Surface_Engine!$B$12:$B$72,$A1016+1)</f>
        <v>-82</v>
      </c>
      <c r="N1017" s="12" t="n">
        <f aca="false">IF(B1017&lt;=0,0,MAX(0,(K1017+Assumptions!$B$29*L1017/INDEX(Surface_Engine!$B$12:$B$72,$A1017+1)-(M1017/INDEX(Surface_Engine!$B$12:$B$72,$A1017+1)-(F1017/INDEX(Surface_Engine!$B$12:$B$72,$A1017+1))))/B1017))</f>
        <v>21414.6107658591</v>
      </c>
    </row>
    <row r="1018" customFormat="false" ht="15" hidden="false" customHeight="true" outlineLevel="0" collapsed="false">
      <c r="A1018" s="1" t="n">
        <v>2</v>
      </c>
      <c r="B1018" s="32" t="n">
        <f aca="false">INDEX(Surface_Engine!$Q$12:$Q$72,$A1018+1)*IF($A1018&lt;$Q$1014,INDEX(Surface_Engine!$E$12:$E$72,$A1018+1),INDEX(Surface_Engine!$E$12:$E$72,$Q$1014+1))</f>
        <v>0.920253133366788</v>
      </c>
      <c r="C1018" s="32" t="n">
        <f aca="false">INDEX(Panel_Reserving!$F$8:$F$68,$A1018+1)*IF($A1018&lt;$Q$1014,INDEX(Surface_Engine!$E$12:$E$72,$A1018+1),INDEX(Surface_Engine!$E$12:$E$72,$Q$1014+1))</f>
        <v>0.923904286058646</v>
      </c>
      <c r="D1018" s="32" t="n">
        <f aca="false">INDEX(Surface_Engine!$Q$12:$Q$72,$A1018+1)*IF($A1018&lt;$Q$1014,INDEX(Surface_Engine!$Y$12:$Y$72,$A1018+1),INDEX(Surface_Engine!$Y$12:$Y$72,$Q$1014+1))</f>
        <v>0.890791176704882</v>
      </c>
      <c r="E1018" s="32" t="n">
        <f aca="false">INDEX(Surface_Engine!$Q$12:$Q$72,$A1018+1)*IF($A1018&lt;$Q$1014,INDEX(Surface_Engine!$Z$12:$Z$72,$A1018+1),INDEX(Surface_Engine!$Z$12:$Z$72,$Q$1014+1))</f>
        <v>0.950146998088989</v>
      </c>
      <c r="F1018" s="48" t="n">
        <f aca="false">B1018*(IF($A1018&lt;$Q$1014,INDEX(Surface_Engine!$D$12:$D$72,$A1018+1)+(Surface_Engine!B246*12)*INDEX(Surface_Engine!$F$12:$F$72,$A1018+1)-(Surface_Engine!B246*12),1000*12*INDEX(Surface_Engine!$C$12:$C$72,$A1018+1)/(1+Assumptions!$B$10)^5+INDEX(Surface_Engine!$D$12:$D$72,$A1018+1)))*INDEX(Surface_Engine!$B$12:$B$72,$A1018+1)+F1019</f>
        <v>30479.6612768329</v>
      </c>
      <c r="G1018" s="48" t="n">
        <f aca="false">C1018*(IF($A1018&lt;$Q$1014,INDEX(Surface_Engine!$D$12:$D$72,$A1018+1)+(Surface_Engine!B246*12)*INDEX(Surface_Engine!$F$12:$F$72,$A1018+1)-(Surface_Engine!B246*12),1000*12*INDEX(Surface_Engine!$C$12:$C$72,$A1018+1)/(1+Assumptions!$B$10)^5+INDEX(Surface_Engine!$D$12:$D$72,$A1018+1)))*INDEX(Surface_Engine!$B$12:$B$72,$A1018+1)+G1019</f>
        <v>43165.6831501304</v>
      </c>
      <c r="H1018" s="48" t="n">
        <f aca="false">D1018*(IF($A1018&lt;$Q$1014,INDEX(Surface_Engine!$D$12:$D$72,$A1018+1)+(Surface_Engine!B246*12)*INDEX(Surface_Engine!$F$12:$F$72,$A1018+1)-(Surface_Engine!B246*12),1000*12*INDEX(Surface_Engine!$C$12:$C$72,$A1018+1)/(1+Assumptions!$B$10)^5+INDEX(Surface_Engine!$D$12:$D$72,$A1018+1)))*INDEX(Surface_Engine!$B$12:$B$72,$A1018+1)+H1019</f>
        <v>27637.4566056509</v>
      </c>
      <c r="I1018" s="48" t="n">
        <f aca="false">E1018*(IF($A1018&lt;$Q$1014,INDEX(Surface_Engine!$D$12:$D$72,$A1018+1)+(Surface_Engine!B246*12)*INDEX(Surface_Engine!$F$12:$F$72,$A1018+1)-(Surface_Engine!B246*12),1000*12*INDEX(Surface_Engine!$C$12:$C$72,$A1018+1)/(1+Assumptions!$B$10)^5+INDEX(Surface_Engine!$D$12:$D$72,$A1018+1)))*INDEX(Surface_Engine!$B$12:$B$72,$A1018+1)+I1019</f>
        <v>33493.4888635504</v>
      </c>
      <c r="J1018" s="48" t="n">
        <f aca="false">B1018*(IF($A1018&lt;$Q$1014,INDEX(Surface_Engine!$D$12:$D$72,$A1018+1)*(1+Assumptions!$B$24)+(Surface_Engine!B246*12)*INDEX(Surface_Engine!$F$12:$F$72,$A1018+1)-(Surface_Engine!B246*12),1000*12*INDEX(Surface_Engine!$C$12:$C$72,$A1018+1)/(1+Assumptions!$B$10)^5+INDEX(Surface_Engine!$D$12:$D$72,$A1018+1)*(1+Assumptions!$B$24)))*INDEX(Surface_Engine!$B$12:$B$72,$A1018+1)+J1019</f>
        <v>30603.5210404878</v>
      </c>
      <c r="K1018" s="12" t="n">
        <f aca="false">SQRT((IF(C1018&lt;=0,0,MAX(0,(B1018/C1018)*G1018/INDEX(Surface_Engine!$B$12:$B$72,$A1018+1)-F1018/INDEX(Surface_Engine!$B$12:$B$72,$A1018+1))))^2+(MAX(IF(D1018&lt;=0,0,MAX(0,(B1018/D1018)*H1018/INDEX(Surface_Engine!$B$12:$B$72,$A1018+1)-F1018/INDEX(Surface_Engine!$B$12:$B$72,$A1018+1))),IF(E1018&lt;=0,0,MAX(0,(B1018/E1018)*I1018/INDEX(Surface_Engine!$B$12:$B$72,$A1018+1)-F1018/INDEX(Surface_Engine!$B$12:$B$72,$A1018+1))),IF($A1018&lt;$Q$1014,MAX(0,-Assumptions!$B$22*(F1018/INDEX(Surface_Engine!$B$12:$B$72,$A1018+1))),0)))^2+(MAX(0,J1018/INDEX(Surface_Engine!$B$12:$B$72,$A1018+1)-(F1018/INDEX(Surface_Engine!$B$12:$B$72,$A1018+1))))^2+2*Assumptions!$B$26*(IF(C1018&lt;=0,0,MAX(0,(B1018/C1018)*G1018/INDEX(Surface_Engine!$B$12:$B$72,$A1018+1)-F1018/INDEX(Surface_Engine!$B$12:$B$72,$A1018+1))))*(MAX(IF(D1018&lt;=0,0,MAX(0,(B1018/D1018)*H1018/INDEX(Surface_Engine!$B$12:$B$72,$A1018+1)-F1018/INDEX(Surface_Engine!$B$12:$B$72,$A1018+1))),IF(E1018&lt;=0,0,MAX(0,(B1018/E1018)*I1018/INDEX(Surface_Engine!$B$12:$B$72,$A1018+1)-F1018/INDEX(Surface_Engine!$B$12:$B$72,$A1018+1))),IF($A1018&lt;$Q$1014,MAX(0,-Assumptions!$B$22*(F1018/INDEX(Surface_Engine!$B$12:$B$72,$A1018+1))),0)))+2*Assumptions!$B$27*(IF(C1018&lt;=0,0,MAX(0,(B1018/C1018)*G1018/INDEX(Surface_Engine!$B$12:$B$72,$A1018+1)-F1018/INDEX(Surface_Engine!$B$12:$B$72,$A1018+1))))*(MAX(0,J1018/INDEX(Surface_Engine!$B$12:$B$72,$A1018+1)-(F1018/INDEX(Surface_Engine!$B$12:$B$72,$A1018+1))))+2*Assumptions!$B$28*(MAX(IF(D1018&lt;=0,0,MAX(0,(B1018/D1018)*H1018/INDEX(Surface_Engine!$B$12:$B$72,$A1018+1)-F1018/INDEX(Surface_Engine!$B$12:$B$72,$A1018+1))),IF(E1018&lt;=0,0,MAX(0,(B1018/E1018)*I1018/INDEX(Surface_Engine!$B$12:$B$72,$A1018+1)-F1018/INDEX(Surface_Engine!$B$12:$B$72,$A1018+1))),IF($A1018&lt;$Q$1014,MAX(0,-Assumptions!$B$22*(F1018/INDEX(Surface_Engine!$B$12:$B$72,$A1018+1))),0)))*(MAX(0,J1018/INDEX(Surface_Engine!$B$12:$B$72,$A1018+1)-(F1018/INDEX(Surface_Engine!$B$12:$B$72,$A1018+1)))))</f>
        <v>13883.8637831456</v>
      </c>
      <c r="L1018" s="48" t="n">
        <f aca="false">K1018*INDEX(Surface_Engine!$B$12:$B$72,$A1018+1)+L1019</f>
        <v>184156.383678226</v>
      </c>
      <c r="M1018" s="48" t="n">
        <f aca="false">M1017+B1017*(IF($A1017&lt;$Q$1014,(Surface_Engine!B246*12)-(Surface_Engine!B246*12)*INDEX(Surface_Engine!$F$12:$F$72,$A1017+1)-INDEX(Surface_Engine!$D$12:$D$72,$A1017+1),-(1000*12*INDEX(Surface_Engine!$C$12:$C$72,$A1017+1)/(1+Assumptions!$B$10)^5+INDEX(Surface_Engine!$D$12:$D$72,$A1017+1))))*INDEX(Surface_Engine!$B$12:$B$72,$A1017+1)</f>
        <v>35913.6206565013</v>
      </c>
      <c r="N1018" s="12" t="n">
        <f aca="false">IF(B1018&lt;=0,0,MAX(0,(K1018+Assumptions!$B$29*L1018/INDEX(Surface_Engine!$B$12:$B$72,$A1018+1)-(M1018/INDEX(Surface_Engine!$B$12:$B$72,$A1018+1)-(F1018/INDEX(Surface_Engine!$B$12:$B$72,$A1018+1))))/B1018))</f>
        <v>21513.7347350036</v>
      </c>
    </row>
    <row r="1019" customFormat="false" ht="15" hidden="false" customHeight="true" outlineLevel="0" collapsed="false">
      <c r="A1019" s="1" t="n">
        <v>3</v>
      </c>
      <c r="B1019" s="32" t="n">
        <f aca="false">INDEX(Surface_Engine!$Q$12:$Q$72,$A1019+1)*IF($A1019&lt;$Q$1014,INDEX(Surface_Engine!$E$12:$E$72,$A1019+1),INDEX(Surface_Engine!$E$12:$E$72,$Q$1014+1))</f>
        <v>0.897723075465755</v>
      </c>
      <c r="C1019" s="32" t="n">
        <f aca="false">INDEX(Panel_Reserving!$F$8:$F$68,$A1019+1)*IF($A1019&lt;$Q$1014,INDEX(Surface_Engine!$E$12:$E$72,$A1019+1),INDEX(Surface_Engine!$E$12:$E$72,$Q$1014+1))</f>
        <v>0.903351142985455</v>
      </c>
      <c r="D1019" s="32" t="n">
        <f aca="false">INDEX(Surface_Engine!$Q$12:$Q$72,$A1019+1)*IF($A1019&lt;$Q$1014,INDEX(Surface_Engine!$Y$12:$Y$72,$A1019+1),INDEX(Surface_Engine!$Y$12:$Y$72,$Q$1014+1))</f>
        <v>0.863125793674216</v>
      </c>
      <c r="E1019" s="32" t="n">
        <f aca="false">INDEX(Surface_Engine!$Q$12:$Q$72,$A1019+1)*IF($A1019&lt;$Q$1014,INDEX(Surface_Engine!$Z$12:$Z$72,$A1019+1),INDEX(Surface_Engine!$Z$12:$Z$72,$Q$1014+1))</f>
        <v>0.93313193396596</v>
      </c>
      <c r="F1019" s="48" t="n">
        <f aca="false">B1019*(IF($A1019&lt;$Q$1014,INDEX(Surface_Engine!$D$12:$D$72,$A1019+1)+(Surface_Engine!B246*12)*INDEX(Surface_Engine!$F$12:$F$72,$A1019+1)-(Surface_Engine!B246*12),1000*12*INDEX(Surface_Engine!$C$12:$C$72,$A1019+1)/(1+Assumptions!$B$10)^5+INDEX(Surface_Engine!$D$12:$D$72,$A1019+1)))*INDEX(Surface_Engine!$B$12:$B$72,$A1019+1)+F1020</f>
        <v>64428.7669017166</v>
      </c>
      <c r="G1019" s="48" t="n">
        <f aca="false">C1019*(IF($A1019&lt;$Q$1014,INDEX(Surface_Engine!$D$12:$D$72,$A1019+1)+(Surface_Engine!B246*12)*INDEX(Surface_Engine!$F$12:$F$72,$A1019+1)-(Surface_Engine!B246*12),1000*12*INDEX(Surface_Engine!$C$12:$C$72,$A1019+1)/(1+Assumptions!$B$10)^5+INDEX(Surface_Engine!$D$12:$D$72,$A1019+1)))*INDEX(Surface_Engine!$B$12:$B$72,$A1019+1)+G1020</f>
        <v>77249.4836365627</v>
      </c>
      <c r="H1019" s="48" t="n">
        <f aca="false">D1019*(IF($A1019&lt;$Q$1014,INDEX(Surface_Engine!$D$12:$D$72,$A1019+1)+(Surface_Engine!B246*12)*INDEX(Surface_Engine!$F$12:$F$72,$A1019+1)-(Surface_Engine!B246*12),1000*12*INDEX(Surface_Engine!$C$12:$C$72,$A1019+1)/(1+Assumptions!$B$10)^5+INDEX(Surface_Engine!$D$12:$D$72,$A1019+1)))*INDEX(Surface_Engine!$B$12:$B$72,$A1019+1)+H1020</f>
        <v>60499.6796735891</v>
      </c>
      <c r="I1019" s="48" t="n">
        <f aca="false">E1019*(IF($A1019&lt;$Q$1014,INDEX(Surface_Engine!$D$12:$D$72,$A1019+1)+(Surface_Engine!B246*12)*INDEX(Surface_Engine!$F$12:$F$72,$A1019+1)-(Surface_Engine!B246*12),1000*12*INDEX(Surface_Engine!$C$12:$C$72,$A1019+1)/(1+Assumptions!$B$10)^5+INDEX(Surface_Engine!$D$12:$D$72,$A1019+1)))*INDEX(Surface_Engine!$B$12:$B$72,$A1019+1)+I1020</f>
        <v>68545.4105878231</v>
      </c>
      <c r="J1019" s="48" t="n">
        <f aca="false">B1019*(IF($A1019&lt;$Q$1014,INDEX(Surface_Engine!$D$12:$D$72,$A1019+1)*(1+Assumptions!$B$24)+(Surface_Engine!B246*12)*INDEX(Surface_Engine!$F$12:$F$72,$A1019+1)-(Surface_Engine!B246*12),1000*12*INDEX(Surface_Engine!$C$12:$C$72,$A1019+1)/(1+Assumptions!$B$10)^5+INDEX(Surface_Engine!$D$12:$D$72,$A1019+1)*(1+Assumptions!$B$24)))*INDEX(Surface_Engine!$B$12:$B$72,$A1019+1)+J1020</f>
        <v>64545.0991078284</v>
      </c>
      <c r="K1019" s="12" t="n">
        <f aca="false">SQRT((IF(C1019&lt;=0,0,MAX(0,(B1019/C1019)*G1019/INDEX(Surface_Engine!$B$12:$B$72,$A1019+1)-F1019/INDEX(Surface_Engine!$B$12:$B$72,$A1019+1))))^2+(MAX(IF(D1019&lt;=0,0,MAX(0,(B1019/D1019)*H1019/INDEX(Surface_Engine!$B$12:$B$72,$A1019+1)-F1019/INDEX(Surface_Engine!$B$12:$B$72,$A1019+1))),IF(E1019&lt;=0,0,MAX(0,(B1019/E1019)*I1019/INDEX(Surface_Engine!$B$12:$B$72,$A1019+1)-F1019/INDEX(Surface_Engine!$B$12:$B$72,$A1019+1))),IF($A1019&lt;$Q$1014,MAX(0,-Assumptions!$B$22*(F1019/INDEX(Surface_Engine!$B$12:$B$72,$A1019+1))),0)))^2+(MAX(0,J1019/INDEX(Surface_Engine!$B$12:$B$72,$A1019+1)-(F1019/INDEX(Surface_Engine!$B$12:$B$72,$A1019+1))))^2+2*Assumptions!$B$26*(IF(C1019&lt;=0,0,MAX(0,(B1019/C1019)*G1019/INDEX(Surface_Engine!$B$12:$B$72,$A1019+1)-F1019/INDEX(Surface_Engine!$B$12:$B$72,$A1019+1))))*(MAX(IF(D1019&lt;=0,0,MAX(0,(B1019/D1019)*H1019/INDEX(Surface_Engine!$B$12:$B$72,$A1019+1)-F1019/INDEX(Surface_Engine!$B$12:$B$72,$A1019+1))),IF(E1019&lt;=0,0,MAX(0,(B1019/E1019)*I1019/INDEX(Surface_Engine!$B$12:$B$72,$A1019+1)-F1019/INDEX(Surface_Engine!$B$12:$B$72,$A1019+1))),IF($A1019&lt;$Q$1014,MAX(0,-Assumptions!$B$22*(F1019/INDEX(Surface_Engine!$B$12:$B$72,$A1019+1))),0)))+2*Assumptions!$B$27*(IF(C1019&lt;=0,0,MAX(0,(B1019/C1019)*G1019/INDEX(Surface_Engine!$B$12:$B$72,$A1019+1)-F1019/INDEX(Surface_Engine!$B$12:$B$72,$A1019+1))))*(MAX(0,J1019/INDEX(Surface_Engine!$B$12:$B$72,$A1019+1)-(F1019/INDEX(Surface_Engine!$B$12:$B$72,$A1019+1))))+2*Assumptions!$B$28*(MAX(IF(D1019&lt;=0,0,MAX(0,(B1019/D1019)*H1019/INDEX(Surface_Engine!$B$12:$B$72,$A1019+1)-F1019/INDEX(Surface_Engine!$B$12:$B$72,$A1019+1))),IF(E1019&lt;=0,0,MAX(0,(B1019/E1019)*I1019/INDEX(Surface_Engine!$B$12:$B$72,$A1019+1)-F1019/INDEX(Surface_Engine!$B$12:$B$72,$A1019+1))),IF($A1019&lt;$Q$1014,MAX(0,-Assumptions!$B$22*(F1019/INDEX(Surface_Engine!$B$12:$B$72,$A1019+1))),0)))*(MAX(0,J1019/INDEX(Surface_Engine!$B$12:$B$72,$A1019+1)-(F1019/INDEX(Surface_Engine!$B$12:$B$72,$A1019+1)))))</f>
        <v>13875.4803531981</v>
      </c>
      <c r="L1019" s="48" t="n">
        <f aca="false">K1019*INDEX(Surface_Engine!$B$12:$B$72,$A1019+1)+L1020</f>
        <v>170973.951666015</v>
      </c>
      <c r="M1019" s="48" t="n">
        <f aca="false">M1018+B1018*(IF($A1018&lt;$Q$1014,(Surface_Engine!B246*12)-(Surface_Engine!B246*12)*INDEX(Surface_Engine!$F$12:$F$72,$A1018+1)-INDEX(Surface_Engine!$D$12:$D$72,$A1018+1),-(1000*12*INDEX(Surface_Engine!$C$12:$C$72,$A1018+1)/(1+Assumptions!$B$10)^5+INDEX(Surface_Engine!$D$12:$D$72,$A1018+1))))*INDEX(Surface_Engine!$B$12:$B$72,$A1018+1)</f>
        <v>69862.726281385</v>
      </c>
      <c r="N1019" s="12" t="n">
        <f aca="false">IF(B1019&lt;=0,0,MAX(0,(K1019+Assumptions!$B$29*L1019/INDEX(Surface_Engine!$B$12:$B$72,$A1019+1)-(M1019/INDEX(Surface_Engine!$B$12:$B$72,$A1019+1)-(F1019/INDEX(Surface_Engine!$B$12:$B$72,$A1019+1))))/B1019))</f>
        <v>21264.6796648204</v>
      </c>
    </row>
    <row r="1020" customFormat="false" ht="15" hidden="false" customHeight="true" outlineLevel="0" collapsed="false">
      <c r="A1020" s="1" t="n">
        <v>4</v>
      </c>
      <c r="B1020" s="32" t="n">
        <f aca="false">INDEX(Surface_Engine!$Q$12:$Q$72,$A1020+1)*IF($A1020&lt;$Q$1014,INDEX(Surface_Engine!$E$12:$E$72,$A1020+1),INDEX(Surface_Engine!$E$12:$E$72,$Q$1014+1))</f>
        <v>0.874673469850504</v>
      </c>
      <c r="C1020" s="32" t="n">
        <f aca="false">INDEX(Panel_Reserving!$F$8:$F$68,$A1020+1)*IF($A1020&lt;$Q$1014,INDEX(Surface_Engine!$E$12:$E$72,$A1020+1),INDEX(Surface_Engine!$E$12:$E$72,$Q$1014+1))</f>
        <v>0.882392941109076</v>
      </c>
      <c r="D1020" s="32" t="n">
        <f aca="false">INDEX(Surface_Engine!$Q$12:$Q$72,$A1020+1)*IF($A1020&lt;$Q$1014,INDEX(Surface_Engine!$Y$12:$Y$72,$A1020+1),INDEX(Surface_Engine!$Y$12:$Y$72,$Q$1014+1))</f>
        <v>0.835296699495277</v>
      </c>
      <c r="E1020" s="32" t="n">
        <f aca="false">INDEX(Surface_Engine!$Q$12:$Q$72,$A1020+1)*IF($A1020&lt;$Q$1014,INDEX(Surface_Engine!$Z$12:$Z$72,$A1020+1),INDEX(Surface_Engine!$Z$12:$Z$72,$Q$1014+1))</f>
        <v>0.91530068098386</v>
      </c>
      <c r="F1020" s="48" t="n">
        <f aca="false">B1020*(IF($A1020&lt;$Q$1014,INDEX(Surface_Engine!$D$12:$D$72,$A1020+1)+(Surface_Engine!B246*12)*INDEX(Surface_Engine!$F$12:$F$72,$A1020+1)-(Surface_Engine!B246*12),1000*12*INDEX(Surface_Engine!$C$12:$C$72,$A1020+1)/(1+Assumptions!$B$10)^5+INDEX(Surface_Engine!$D$12:$D$72,$A1020+1)))*INDEX(Surface_Engine!$B$12:$B$72,$A1020+1)+F1021</f>
        <v>96699.3888540044</v>
      </c>
      <c r="G1020" s="48" t="n">
        <f aca="false">C1020*(IF($A1020&lt;$Q$1014,INDEX(Surface_Engine!$D$12:$D$72,$A1020+1)+(Surface_Engine!B246*12)*INDEX(Surface_Engine!$F$12:$F$72,$A1020+1)-(Surface_Engine!B246*12),1000*12*INDEX(Surface_Engine!$C$12:$C$72,$A1020+1)/(1+Assumptions!$B$10)^5+INDEX(Surface_Engine!$D$12:$D$72,$A1020+1)))*INDEX(Surface_Engine!$B$12:$B$72,$A1020+1)+G1021</f>
        <v>109722.418801258</v>
      </c>
      <c r="H1020" s="48" t="n">
        <f aca="false">D1020*(IF($A1020&lt;$Q$1014,INDEX(Surface_Engine!$D$12:$D$72,$A1020+1)+(Surface_Engine!B246*12)*INDEX(Surface_Engine!$F$12:$F$72,$A1020+1)-(Surface_Engine!B246*12),1000*12*INDEX(Surface_Engine!$C$12:$C$72,$A1020+1)/(1+Assumptions!$B$10)^5+INDEX(Surface_Engine!$D$12:$D$72,$A1020+1)))*INDEX(Surface_Engine!$B$12:$B$72,$A1020+1)+H1021</f>
        <v>91526.6265641745</v>
      </c>
      <c r="I1020" s="48" t="n">
        <f aca="false">E1020*(IF($A1020&lt;$Q$1014,INDEX(Surface_Engine!$D$12:$D$72,$A1020+1)+(Surface_Engine!B246*12)*INDEX(Surface_Engine!$F$12:$F$72,$A1020+1)-(Surface_Engine!B246*12),1000*12*INDEX(Surface_Engine!$C$12:$C$72,$A1020+1)/(1+Assumptions!$B$10)^5+INDEX(Surface_Engine!$D$12:$D$72,$A1020+1)))*INDEX(Surface_Engine!$B$12:$B$72,$A1020+1)+I1021</f>
        <v>102088.881503951</v>
      </c>
      <c r="J1020" s="48" t="n">
        <f aca="false">B1020*(IF($A1020&lt;$Q$1014,INDEX(Surface_Engine!$D$12:$D$72,$A1020+1)*(1+Assumptions!$B$24)+(Surface_Engine!B246*12)*INDEX(Surface_Engine!$F$12:$F$72,$A1020+1)-(Surface_Engine!B246*12),1000*12*INDEX(Surface_Engine!$C$12:$C$72,$A1020+1)/(1+Assumptions!$B$10)^5+INDEX(Surface_Engine!$D$12:$D$72,$A1020+1)*(1+Assumptions!$B$24)))*INDEX(Surface_Engine!$B$12:$B$72,$A1020+1)+J1021</f>
        <v>96808.3863826259</v>
      </c>
      <c r="K1020" s="12" t="n">
        <f aca="false">SQRT((IF(C1020&lt;=0,0,MAX(0,(B1020/C1020)*G1020/INDEX(Surface_Engine!$B$12:$B$72,$A1020+1)-F1020/INDEX(Surface_Engine!$B$12:$B$72,$A1020+1))))^2+(MAX(IF(D1020&lt;=0,0,MAX(0,(B1020/D1020)*H1020/INDEX(Surface_Engine!$B$12:$B$72,$A1020+1)-F1020/INDEX(Surface_Engine!$B$12:$B$72,$A1020+1))),IF(E1020&lt;=0,0,MAX(0,(B1020/E1020)*I1020/INDEX(Surface_Engine!$B$12:$B$72,$A1020+1)-F1020/INDEX(Surface_Engine!$B$12:$B$72,$A1020+1))),IF($A1020&lt;$Q$1014,MAX(0,-Assumptions!$B$22*(F1020/INDEX(Surface_Engine!$B$12:$B$72,$A1020+1))),0)))^2+(MAX(0,J1020/INDEX(Surface_Engine!$B$12:$B$72,$A1020+1)-(F1020/INDEX(Surface_Engine!$B$12:$B$72,$A1020+1))))^2+2*Assumptions!$B$26*(IF(C1020&lt;=0,0,MAX(0,(B1020/C1020)*G1020/INDEX(Surface_Engine!$B$12:$B$72,$A1020+1)-F1020/INDEX(Surface_Engine!$B$12:$B$72,$A1020+1))))*(MAX(IF(D1020&lt;=0,0,MAX(0,(B1020/D1020)*H1020/INDEX(Surface_Engine!$B$12:$B$72,$A1020+1)-F1020/INDEX(Surface_Engine!$B$12:$B$72,$A1020+1))),IF(E1020&lt;=0,0,MAX(0,(B1020/E1020)*I1020/INDEX(Surface_Engine!$B$12:$B$72,$A1020+1)-F1020/INDEX(Surface_Engine!$B$12:$B$72,$A1020+1))),IF($A1020&lt;$Q$1014,MAX(0,-Assumptions!$B$22*(F1020/INDEX(Surface_Engine!$B$12:$B$72,$A1020+1))),0)))+2*Assumptions!$B$27*(IF(C1020&lt;=0,0,MAX(0,(B1020/C1020)*G1020/INDEX(Surface_Engine!$B$12:$B$72,$A1020+1)-F1020/INDEX(Surface_Engine!$B$12:$B$72,$A1020+1))))*(MAX(0,J1020/INDEX(Surface_Engine!$B$12:$B$72,$A1020+1)-(F1020/INDEX(Surface_Engine!$B$12:$B$72,$A1020+1))))+2*Assumptions!$B$28*(MAX(IF(D1020&lt;=0,0,MAX(0,(B1020/D1020)*H1020/INDEX(Surface_Engine!$B$12:$B$72,$A1020+1)-F1020/INDEX(Surface_Engine!$B$12:$B$72,$A1020+1))),IF(E1020&lt;=0,0,MAX(0,(B1020/E1020)*I1020/INDEX(Surface_Engine!$B$12:$B$72,$A1020+1)-F1020/INDEX(Surface_Engine!$B$12:$B$72,$A1020+1))),IF($A1020&lt;$Q$1014,MAX(0,-Assumptions!$B$22*(F1020/INDEX(Surface_Engine!$B$12:$B$72,$A1020+1))),0)))*(MAX(0,J1020/INDEX(Surface_Engine!$B$12:$B$72,$A1020+1)-(F1020/INDEX(Surface_Engine!$B$12:$B$72,$A1020+1)))))</f>
        <v>13689.8277094932</v>
      </c>
      <c r="L1020" s="48" t="n">
        <f aca="false">K1020*INDEX(Surface_Engine!$B$12:$B$72,$A1020+1)+L1021</f>
        <v>158135.838131042</v>
      </c>
      <c r="M1020" s="48" t="n">
        <f aca="false">M1019+B1019*(IF($A1019&lt;$Q$1014,(Surface_Engine!B246*12)-(Surface_Engine!B246*12)*INDEX(Surface_Engine!$F$12:$F$72,$A1019+1)-INDEX(Surface_Engine!$D$12:$D$72,$A1019+1),-(1000*12*INDEX(Surface_Engine!$C$12:$C$72,$A1019+1)/(1+Assumptions!$B$10)^5+INDEX(Surface_Engine!$D$12:$D$72,$A1019+1))))*INDEX(Surface_Engine!$B$12:$B$72,$A1019+1)</f>
        <v>102133.348233673</v>
      </c>
      <c r="N1020" s="12" t="n">
        <f aca="false">IF(B1020&lt;=0,0,MAX(0,(K1020+Assumptions!$B$29*L1020/INDEX(Surface_Engine!$B$12:$B$72,$A1020+1)-(M1020/INDEX(Surface_Engine!$B$12:$B$72,$A1020+1)-(F1020/INDEX(Surface_Engine!$B$12:$B$72,$A1020+1))))/B1020))</f>
        <v>20794.8388045089</v>
      </c>
    </row>
    <row r="1021" customFormat="false" ht="15" hidden="false" customHeight="true" outlineLevel="0" collapsed="false">
      <c r="A1021" s="1" t="n">
        <v>5</v>
      </c>
      <c r="B1021" s="32" t="n">
        <f aca="false">INDEX(Surface_Engine!$Q$12:$Q$72,$A1021+1)*IF($A1021&lt;$Q$1014,INDEX(Surface_Engine!$E$12:$E$72,$A1021+1),INDEX(Surface_Engine!$E$12:$E$72,$Q$1014+1))</f>
        <v>0.851022429075038</v>
      </c>
      <c r="C1021" s="32" t="n">
        <f aca="false">INDEX(Panel_Reserving!$F$8:$F$68,$A1021+1)*IF($A1021&lt;$Q$1014,INDEX(Surface_Engine!$E$12:$E$72,$A1021+1),INDEX(Surface_Engine!$E$12:$E$72,$Q$1014+1))</f>
        <v>0.86095795657988</v>
      </c>
      <c r="D1021" s="32" t="n">
        <f aca="false">INDEX(Surface_Engine!$Q$12:$Q$72,$A1021+1)*IF($A1021&lt;$Q$1014,INDEX(Surface_Engine!$Y$12:$Y$72,$A1021+1),INDEX(Surface_Engine!$Y$12:$Y$72,$Q$1014+1))</f>
        <v>0.807233027515658</v>
      </c>
      <c r="E1021" s="32" t="n">
        <f aca="false">INDEX(Surface_Engine!$Q$12:$Q$72,$A1021+1)*IF($A1021&lt;$Q$1014,INDEX(Surface_Engine!$Z$12:$Z$72,$A1021+1),INDEX(Surface_Engine!$Z$12:$Z$72,$Q$1014+1))</f>
        <v>0.896553077658606</v>
      </c>
      <c r="F1021" s="48" t="n">
        <f aca="false">B1021*(IF($A1021&lt;$Q$1014,INDEX(Surface_Engine!$D$12:$D$72,$A1021+1)+(Surface_Engine!B246*12)*INDEX(Surface_Engine!$F$12:$F$72,$A1021+1)-(Surface_Engine!B246*12),1000*12*INDEX(Surface_Engine!$C$12:$C$72,$A1021+1)/(1+Assumptions!$B$10)^5+INDEX(Surface_Engine!$D$12:$D$72,$A1021+1)))*INDEX(Surface_Engine!$B$12:$B$72,$A1021+1)+F1022</f>
        <v>127321.43209168</v>
      </c>
      <c r="G1021" s="48" t="n">
        <f aca="false">C1021*(IF($A1021&lt;$Q$1014,INDEX(Surface_Engine!$D$12:$D$72,$A1021+1)+(Surface_Engine!B246*12)*INDEX(Surface_Engine!$F$12:$F$72,$A1021+1)-(Surface_Engine!B246*12),1000*12*INDEX(Surface_Engine!$C$12:$C$72,$A1021+1)/(1+Assumptions!$B$10)^5+INDEX(Surface_Engine!$D$12:$D$72,$A1021+1)))*INDEX(Surface_Engine!$B$12:$B$72,$A1021+1)+G1022</f>
        <v>140614.718301185</v>
      </c>
      <c r="H1021" s="48" t="n">
        <f aca="false">D1021*(IF($A1021&lt;$Q$1014,INDEX(Surface_Engine!$D$12:$D$72,$A1021+1)+(Surface_Engine!B246*12)*INDEX(Surface_Engine!$F$12:$F$72,$A1021+1)-(Surface_Engine!B246*12),1000*12*INDEX(Surface_Engine!$C$12:$C$72,$A1021+1)/(1+Assumptions!$B$10)^5+INDEX(Surface_Engine!$D$12:$D$72,$A1021+1)))*INDEX(Surface_Engine!$B$12:$B$72,$A1021+1)+H1022</f>
        <v>120770.10144927</v>
      </c>
      <c r="I1021" s="48" t="n">
        <f aca="false">E1021*(IF($A1021&lt;$Q$1014,INDEX(Surface_Engine!$D$12:$D$72,$A1021+1)+(Surface_Engine!B246*12)*INDEX(Surface_Engine!$F$12:$F$72,$A1021+1)-(Surface_Engine!B246*12),1000*12*INDEX(Surface_Engine!$C$12:$C$72,$A1021+1)/(1+Assumptions!$B$10)^5+INDEX(Surface_Engine!$D$12:$D$72,$A1021+1)))*INDEX(Surface_Engine!$B$12:$B$72,$A1021+1)+I1022</f>
        <v>134133.270632791</v>
      </c>
      <c r="J1021" s="48" t="n">
        <f aca="false">B1021*(IF($A1021&lt;$Q$1014,INDEX(Surface_Engine!$D$12:$D$72,$A1021+1)*(1+Assumptions!$B$24)+(Surface_Engine!B246*12)*INDEX(Surface_Engine!$F$12:$F$72,$A1021+1)-(Surface_Engine!B246*12),1000*12*INDEX(Surface_Engine!$C$12:$C$72,$A1021+1)/(1+Assumptions!$B$10)^5+INDEX(Surface_Engine!$D$12:$D$72,$A1021+1)*(1+Assumptions!$B$24)))*INDEX(Surface_Engine!$B$12:$B$72,$A1021+1)+J1022</f>
        <v>127423.295237706</v>
      </c>
      <c r="K1021" s="12" t="n">
        <f aca="false">SQRT((IF(C1021&lt;=0,0,MAX(0,(B1021/C1021)*G1021/INDEX(Surface_Engine!$B$12:$B$72,$A1021+1)-F1021/INDEX(Surface_Engine!$B$12:$B$72,$A1021+1))))^2+(MAX(IF(D1021&lt;=0,0,MAX(0,(B1021/D1021)*H1021/INDEX(Surface_Engine!$B$12:$B$72,$A1021+1)-F1021/INDEX(Surface_Engine!$B$12:$B$72,$A1021+1))),IF(E1021&lt;=0,0,MAX(0,(B1021/E1021)*I1021/INDEX(Surface_Engine!$B$12:$B$72,$A1021+1)-F1021/INDEX(Surface_Engine!$B$12:$B$72,$A1021+1))),IF($A1021&lt;$Q$1014,MAX(0,-Assumptions!$B$22*(F1021/INDEX(Surface_Engine!$B$12:$B$72,$A1021+1))),0)))^2+(MAX(0,J1021/INDEX(Surface_Engine!$B$12:$B$72,$A1021+1)-(F1021/INDEX(Surface_Engine!$B$12:$B$72,$A1021+1))))^2+2*Assumptions!$B$26*(IF(C1021&lt;=0,0,MAX(0,(B1021/C1021)*G1021/INDEX(Surface_Engine!$B$12:$B$72,$A1021+1)-F1021/INDEX(Surface_Engine!$B$12:$B$72,$A1021+1))))*(MAX(IF(D1021&lt;=0,0,MAX(0,(B1021/D1021)*H1021/INDEX(Surface_Engine!$B$12:$B$72,$A1021+1)-F1021/INDEX(Surface_Engine!$B$12:$B$72,$A1021+1))),IF(E1021&lt;=0,0,MAX(0,(B1021/E1021)*I1021/INDEX(Surface_Engine!$B$12:$B$72,$A1021+1)-F1021/INDEX(Surface_Engine!$B$12:$B$72,$A1021+1))),IF($A1021&lt;$Q$1014,MAX(0,-Assumptions!$B$22*(F1021/INDEX(Surface_Engine!$B$12:$B$72,$A1021+1))),0)))+2*Assumptions!$B$27*(IF(C1021&lt;=0,0,MAX(0,(B1021/C1021)*G1021/INDEX(Surface_Engine!$B$12:$B$72,$A1021+1)-F1021/INDEX(Surface_Engine!$B$12:$B$72,$A1021+1))))*(MAX(0,J1021/INDEX(Surface_Engine!$B$12:$B$72,$A1021+1)-(F1021/INDEX(Surface_Engine!$B$12:$B$72,$A1021+1))))+2*Assumptions!$B$28*(MAX(IF(D1021&lt;=0,0,MAX(0,(B1021/D1021)*H1021/INDEX(Surface_Engine!$B$12:$B$72,$A1021+1)-F1021/INDEX(Surface_Engine!$B$12:$B$72,$A1021+1))),IF(E1021&lt;=0,0,MAX(0,(B1021/E1021)*I1021/INDEX(Surface_Engine!$B$12:$B$72,$A1021+1)-F1021/INDEX(Surface_Engine!$B$12:$B$72,$A1021+1))),IF($A1021&lt;$Q$1014,MAX(0,-Assumptions!$B$22*(F1021/INDEX(Surface_Engine!$B$12:$B$72,$A1021+1))),0)))*(MAX(0,J1021/INDEX(Surface_Engine!$B$12:$B$72,$A1021+1)-(F1021/INDEX(Surface_Engine!$B$12:$B$72,$A1021+1)))))</f>
        <v>13342.9291072308</v>
      </c>
      <c r="L1021" s="48" t="n">
        <f aca="false">K1021*INDEX(Surface_Engine!$B$12:$B$72,$A1021+1)+L1022</f>
        <v>145799.135111109</v>
      </c>
      <c r="M1021" s="48" t="n">
        <f aca="false">M1020+B1020*(IF($A1020&lt;$Q$1014,(Surface_Engine!B246*12)-(Surface_Engine!B246*12)*INDEX(Surface_Engine!$F$12:$F$72,$A1020+1)-INDEX(Surface_Engine!$D$12:$D$72,$A1020+1),-(1000*12*INDEX(Surface_Engine!$C$12:$C$72,$A1020+1)/(1+Assumptions!$B$10)^5+INDEX(Surface_Engine!$D$12:$D$72,$A1020+1))))*INDEX(Surface_Engine!$B$12:$B$72,$A1020+1)</f>
        <v>132755.391471349</v>
      </c>
      <c r="N1021" s="12" t="n">
        <f aca="false">IF(B1021&lt;=0,0,MAX(0,(K1021+Assumptions!$B$29*L1021/INDEX(Surface_Engine!$B$12:$B$72,$A1021+1)-(M1021/INDEX(Surface_Engine!$B$12:$B$72,$A1021+1)-(F1021/INDEX(Surface_Engine!$B$12:$B$72,$A1021+1))))/B1021))</f>
        <v>20120.9920920169</v>
      </c>
    </row>
    <row r="1022" customFormat="false" ht="15" hidden="false" customHeight="true" outlineLevel="0" collapsed="false">
      <c r="A1022" s="1" t="n">
        <v>6</v>
      </c>
      <c r="B1022" s="32" t="n">
        <f aca="false">INDEX(Surface_Engine!$Q$12:$Q$72,$A1022+1)*IF($A1022&lt;$Q$1014,INDEX(Surface_Engine!$E$12:$E$72,$A1022+1),INDEX(Surface_Engine!$E$12:$E$72,$Q$1014+1))</f>
        <v>0.837361652436173</v>
      </c>
      <c r="C1022" s="32" t="n">
        <f aca="false">INDEX(Panel_Reserving!$F$8:$F$68,$A1022+1)*IF($A1022&lt;$Q$1014,INDEX(Surface_Engine!$E$12:$E$72,$A1022+1),INDEX(Surface_Engine!$E$12:$E$72,$Q$1014+1))</f>
        <v>0.849901745661373</v>
      </c>
      <c r="D1022" s="32" t="n">
        <f aca="false">INDEX(Surface_Engine!$Q$12:$Q$72,$A1022+1)*IF($A1022&lt;$Q$1014,INDEX(Surface_Engine!$Y$12:$Y$72,$A1022+1),INDEX(Surface_Engine!$Y$12:$Y$72,$Q$1014+1))</f>
        <v>0.794275166820503</v>
      </c>
      <c r="E1022" s="32" t="n">
        <f aca="false">INDEX(Surface_Engine!$Q$12:$Q$72,$A1022+1)*IF($A1022&lt;$Q$1014,INDEX(Surface_Engine!$Z$12:$Z$72,$A1022+1),INDEX(Surface_Engine!$Z$12:$Z$72,$Q$1014+1))</f>
        <v>0.882161434242</v>
      </c>
      <c r="F1022" s="48" t="n">
        <f aca="false">B1022*(IF($A1022&lt;$Q$1014,INDEX(Surface_Engine!$D$12:$D$72,$A1022+1)+(Surface_Engine!B246*12)*INDEX(Surface_Engine!$F$12:$F$72,$A1022+1)-(Surface_Engine!B246*12),1000*12*INDEX(Surface_Engine!$C$12:$C$72,$A1022+1)/(1+Assumptions!$B$10)^5+INDEX(Surface_Engine!$D$12:$D$72,$A1022+1)))*INDEX(Surface_Engine!$B$12:$B$72,$A1022+1)+F1023</f>
        <v>118300.106950694</v>
      </c>
      <c r="G1022" s="48" t="n">
        <f aca="false">C1022*(IF($A1022&lt;$Q$1014,INDEX(Surface_Engine!$D$12:$D$72,$A1022+1)+(Surface_Engine!B246*12)*INDEX(Surface_Engine!$F$12:$F$72,$A1022+1)-(Surface_Engine!B246*12),1000*12*INDEX(Surface_Engine!$C$12:$C$72,$A1022+1)/(1+Assumptions!$B$10)^5+INDEX(Surface_Engine!$D$12:$D$72,$A1022+1)))*INDEX(Surface_Engine!$B$12:$B$72,$A1022+1)+G1023</f>
        <v>131488.070878428</v>
      </c>
      <c r="H1022" s="48" t="n">
        <f aca="false">D1022*(IF($A1022&lt;$Q$1014,INDEX(Surface_Engine!$D$12:$D$72,$A1022+1)+(Surface_Engine!B246*12)*INDEX(Surface_Engine!$F$12:$F$72,$A1022+1)-(Surface_Engine!B246*12),1000*12*INDEX(Surface_Engine!$C$12:$C$72,$A1022+1)/(1+Assumptions!$B$10)^5+INDEX(Surface_Engine!$D$12:$D$72,$A1022+1)))*INDEX(Surface_Engine!$B$12:$B$72,$A1022+1)+H1023</f>
        <v>112212.969043633</v>
      </c>
      <c r="I1022" s="48" t="n">
        <f aca="false">E1022*(IF($A1022&lt;$Q$1014,INDEX(Surface_Engine!$D$12:$D$72,$A1022+1)+(Surface_Engine!B246*12)*INDEX(Surface_Engine!$F$12:$F$72,$A1022+1)-(Surface_Engine!B246*12),1000*12*INDEX(Surface_Engine!$C$12:$C$72,$A1022+1)/(1+Assumptions!$B$10)^5+INDEX(Surface_Engine!$D$12:$D$72,$A1022+1)))*INDEX(Surface_Engine!$B$12:$B$72,$A1022+1)+I1023</f>
        <v>124629.294540761</v>
      </c>
      <c r="J1022" s="48" t="n">
        <f aca="false">B1022*(IF($A1022&lt;$Q$1014,INDEX(Surface_Engine!$D$12:$D$72,$A1022+1)*(1+Assumptions!$B$24)+(Surface_Engine!B246*12)*INDEX(Surface_Engine!$F$12:$F$72,$A1022+1)-(Surface_Engine!B246*12),1000*12*INDEX(Surface_Engine!$C$12:$C$72,$A1022+1)/(1+Assumptions!$B$10)^5+INDEX(Surface_Engine!$D$12:$D$72,$A1022+1)*(1+Assumptions!$B$24)))*INDEX(Surface_Engine!$B$12:$B$72,$A1022+1)+J1023</f>
        <v>118395.048958449</v>
      </c>
      <c r="K1022" s="12" t="n">
        <f aca="false">SQRT((IF(C1022&lt;=0,0,MAX(0,(B1022/C1022)*G1022/INDEX(Surface_Engine!$B$12:$B$72,$A1022+1)-F1022/INDEX(Surface_Engine!$B$12:$B$72,$A1022+1))))^2+(MAX(IF(D1022&lt;=0,0,MAX(0,(B1022/D1022)*H1022/INDEX(Surface_Engine!$B$12:$B$72,$A1022+1)-F1022/INDEX(Surface_Engine!$B$12:$B$72,$A1022+1))),IF(E1022&lt;=0,0,MAX(0,(B1022/E1022)*I1022/INDEX(Surface_Engine!$B$12:$B$72,$A1022+1)-F1022/INDEX(Surface_Engine!$B$12:$B$72,$A1022+1))),IF($A1022&lt;$Q$1014,MAX(0,-Assumptions!$B$22*(F1022/INDEX(Surface_Engine!$B$12:$B$72,$A1022+1))),0)))^2+(MAX(0,J1022/INDEX(Surface_Engine!$B$12:$B$72,$A1022+1)-(F1022/INDEX(Surface_Engine!$B$12:$B$72,$A1022+1))))^2+2*Assumptions!$B$26*(IF(C1022&lt;=0,0,MAX(0,(B1022/C1022)*G1022/INDEX(Surface_Engine!$B$12:$B$72,$A1022+1)-F1022/INDEX(Surface_Engine!$B$12:$B$72,$A1022+1))))*(MAX(IF(D1022&lt;=0,0,MAX(0,(B1022/D1022)*H1022/INDEX(Surface_Engine!$B$12:$B$72,$A1022+1)-F1022/INDEX(Surface_Engine!$B$12:$B$72,$A1022+1))),IF(E1022&lt;=0,0,MAX(0,(B1022/E1022)*I1022/INDEX(Surface_Engine!$B$12:$B$72,$A1022+1)-F1022/INDEX(Surface_Engine!$B$12:$B$72,$A1022+1))),IF($A1022&lt;$Q$1014,MAX(0,-Assumptions!$B$22*(F1022/INDEX(Surface_Engine!$B$12:$B$72,$A1022+1))),0)))+2*Assumptions!$B$27*(IF(C1022&lt;=0,0,MAX(0,(B1022/C1022)*G1022/INDEX(Surface_Engine!$B$12:$B$72,$A1022+1)-F1022/INDEX(Surface_Engine!$B$12:$B$72,$A1022+1))))*(MAX(0,J1022/INDEX(Surface_Engine!$B$12:$B$72,$A1022+1)-(F1022/INDEX(Surface_Engine!$B$12:$B$72,$A1022+1))))+2*Assumptions!$B$28*(MAX(IF(D1022&lt;=0,0,MAX(0,(B1022/D1022)*H1022/INDEX(Surface_Engine!$B$12:$B$72,$A1022+1)-F1022/INDEX(Surface_Engine!$B$12:$B$72,$A1022+1))),IF(E1022&lt;=0,0,MAX(0,(B1022/E1022)*I1022/INDEX(Surface_Engine!$B$12:$B$72,$A1022+1)-F1022/INDEX(Surface_Engine!$B$12:$B$72,$A1022+1))),IF($A1022&lt;$Q$1014,MAX(0,-Assumptions!$B$22*(F1022/INDEX(Surface_Engine!$B$12:$B$72,$A1022+1))),0)))*(MAX(0,J1022/INDEX(Surface_Engine!$B$12:$B$72,$A1022+1)-(F1022/INDEX(Surface_Engine!$B$12:$B$72,$A1022+1)))))</f>
        <v>13230.4880945965</v>
      </c>
      <c r="L1022" s="48" t="n">
        <f aca="false">K1022*INDEX(Surface_Engine!$B$12:$B$72,$A1022+1)+L1023</f>
        <v>134102.672993326</v>
      </c>
      <c r="M1022" s="48" t="n">
        <f aca="false">M1021+B1021*(IF($A1021&lt;$Q$1014,(Surface_Engine!B246*12)-(Surface_Engine!B246*12)*INDEX(Surface_Engine!$F$12:$F$72,$A1021+1)-INDEX(Surface_Engine!$D$12:$D$72,$A1021+1),-(1000*12*INDEX(Surface_Engine!$C$12:$C$72,$A1021+1)/(1+Assumptions!$B$10)^5+INDEX(Surface_Engine!$D$12:$D$72,$A1021+1))))*INDEX(Surface_Engine!$B$12:$B$72,$A1021+1)</f>
        <v>123734.066330362</v>
      </c>
      <c r="N1022" s="12" t="n">
        <f aca="false">IF(B1022&lt;=0,0,MAX(0,(K1022+Assumptions!$B$29*L1022/INDEX(Surface_Engine!$B$12:$B$72,$A1022+1)-(M1022/INDEX(Surface_Engine!$B$12:$B$72,$A1022+1)-(F1022/INDEX(Surface_Engine!$B$12:$B$72,$A1022+1))))/B1022))</f>
        <v>19461.7868405872</v>
      </c>
    </row>
    <row r="1023" customFormat="false" ht="15" hidden="false" customHeight="true" outlineLevel="0" collapsed="false">
      <c r="A1023" s="1" t="n">
        <v>7</v>
      </c>
      <c r="B1023" s="32" t="n">
        <f aca="false">INDEX(Surface_Engine!$Q$12:$Q$72,$A1023+1)*IF($A1023&lt;$Q$1014,INDEX(Surface_Engine!$E$12:$E$72,$A1023+1),INDEX(Surface_Engine!$E$12:$E$72,$Q$1014+1))</f>
        <v>0.822357534614629</v>
      </c>
      <c r="C1023" s="32" t="n">
        <f aca="false">INDEX(Panel_Reserving!$F$8:$F$68,$A1023+1)*IF($A1023&lt;$Q$1014,INDEX(Surface_Engine!$E$12:$E$72,$A1023+1),INDEX(Surface_Engine!$E$12:$E$72,$Q$1014+1))</f>
        <v>0.837718693436291</v>
      </c>
      <c r="D1023" s="32" t="n">
        <f aca="false">INDEX(Surface_Engine!$Q$12:$Q$72,$A1023+1)*IF($A1023&lt;$Q$1014,INDEX(Surface_Engine!$Y$12:$Y$72,$A1023+1),INDEX(Surface_Engine!$Y$12:$Y$72,$Q$1014+1))</f>
        <v>0.780043086630266</v>
      </c>
      <c r="E1023" s="32" t="n">
        <f aca="false">INDEX(Surface_Engine!$Q$12:$Q$72,$A1023+1)*IF($A1023&lt;$Q$1014,INDEX(Surface_Engine!$Z$12:$Z$72,$A1023+1),INDEX(Surface_Engine!$Z$12:$Z$72,$Q$1014+1))</f>
        <v>0.866354579392031</v>
      </c>
      <c r="F1023" s="48" t="n">
        <f aca="false">B1023*(IF($A1023&lt;$Q$1014,INDEX(Surface_Engine!$D$12:$D$72,$A1023+1)+(Surface_Engine!B246*12)*INDEX(Surface_Engine!$F$12:$F$72,$A1023+1)-(Surface_Engine!B246*12),1000*12*INDEX(Surface_Engine!$C$12:$C$72,$A1023+1)/(1+Assumptions!$B$10)^5+INDEX(Surface_Engine!$D$12:$D$72,$A1023+1)))*INDEX(Surface_Engine!$B$12:$B$72,$A1023+1)+F1024</f>
        <v>109500.147538186</v>
      </c>
      <c r="G1023" s="48" t="n">
        <f aca="false">C1023*(IF($A1023&lt;$Q$1014,INDEX(Surface_Engine!$D$12:$D$72,$A1023+1)+(Surface_Engine!B246*12)*INDEX(Surface_Engine!$F$12:$F$72,$A1023+1)-(Surface_Engine!B246*12),1000*12*INDEX(Surface_Engine!$C$12:$C$72,$A1023+1)/(1+Assumptions!$B$10)^5+INDEX(Surface_Engine!$D$12:$D$72,$A1023+1)))*INDEX(Surface_Engine!$B$12:$B$72,$A1023+1)+G1024</f>
        <v>122556.325742166</v>
      </c>
      <c r="H1023" s="48" t="n">
        <f aca="false">D1023*(IF($A1023&lt;$Q$1014,INDEX(Surface_Engine!$D$12:$D$72,$A1023+1)+(Surface_Engine!B246*12)*INDEX(Surface_Engine!$F$12:$F$72,$A1023+1)-(Surface_Engine!B246*12),1000*12*INDEX(Surface_Engine!$C$12:$C$72,$A1023+1)/(1+Assumptions!$B$10)^5+INDEX(Surface_Engine!$D$12:$D$72,$A1023+1)))*INDEX(Surface_Engine!$B$12:$B$72,$A1023+1)+H1024</f>
        <v>103865.811981869</v>
      </c>
      <c r="I1023" s="48" t="n">
        <f aca="false">E1023*(IF($A1023&lt;$Q$1014,INDEX(Surface_Engine!$D$12:$D$72,$A1023+1)+(Surface_Engine!B246*12)*INDEX(Surface_Engine!$F$12:$F$72,$A1023+1)-(Surface_Engine!B246*12),1000*12*INDEX(Surface_Engine!$C$12:$C$72,$A1023+1)/(1+Assumptions!$B$10)^5+INDEX(Surface_Engine!$D$12:$D$72,$A1023+1)))*INDEX(Surface_Engine!$B$12:$B$72,$A1023+1)+I1024</f>
        <v>115358.527490438</v>
      </c>
      <c r="J1023" s="48" t="n">
        <f aca="false">B1023*(IF($A1023&lt;$Q$1014,INDEX(Surface_Engine!$D$12:$D$72,$A1023+1)*(1+Assumptions!$B$24)+(Surface_Engine!B246*12)*INDEX(Surface_Engine!$F$12:$F$72,$A1023+1)-(Surface_Engine!B246*12),1000*12*INDEX(Surface_Engine!$C$12:$C$72,$A1023+1)/(1+Assumptions!$B$10)^5+INDEX(Surface_Engine!$D$12:$D$72,$A1023+1)*(1+Assumptions!$B$24)))*INDEX(Surface_Engine!$B$12:$B$72,$A1023+1)+J1024</f>
        <v>109588.305399404</v>
      </c>
      <c r="K1023" s="12" t="n">
        <f aca="false">SQRT((IF(C1023&lt;=0,0,MAX(0,(B1023/C1023)*G1023/INDEX(Surface_Engine!$B$12:$B$72,$A1023+1)-F1023/INDEX(Surface_Engine!$B$12:$B$72,$A1023+1))))^2+(MAX(IF(D1023&lt;=0,0,MAX(0,(B1023/D1023)*H1023/INDEX(Surface_Engine!$B$12:$B$72,$A1023+1)-F1023/INDEX(Surface_Engine!$B$12:$B$72,$A1023+1))),IF(E1023&lt;=0,0,MAX(0,(B1023/E1023)*I1023/INDEX(Surface_Engine!$B$12:$B$72,$A1023+1)-F1023/INDEX(Surface_Engine!$B$12:$B$72,$A1023+1))),IF($A1023&lt;$Q$1014,MAX(0,-Assumptions!$B$22*(F1023/INDEX(Surface_Engine!$B$12:$B$72,$A1023+1))),0)))^2+(MAX(0,J1023/INDEX(Surface_Engine!$B$12:$B$72,$A1023+1)-(F1023/INDEX(Surface_Engine!$B$12:$B$72,$A1023+1))))^2+2*Assumptions!$B$26*(IF(C1023&lt;=0,0,MAX(0,(B1023/C1023)*G1023/INDEX(Surface_Engine!$B$12:$B$72,$A1023+1)-F1023/INDEX(Surface_Engine!$B$12:$B$72,$A1023+1))))*(MAX(IF(D1023&lt;=0,0,MAX(0,(B1023/D1023)*H1023/INDEX(Surface_Engine!$B$12:$B$72,$A1023+1)-F1023/INDEX(Surface_Engine!$B$12:$B$72,$A1023+1))),IF(E1023&lt;=0,0,MAX(0,(B1023/E1023)*I1023/INDEX(Surface_Engine!$B$12:$B$72,$A1023+1)-F1023/INDEX(Surface_Engine!$B$12:$B$72,$A1023+1))),IF($A1023&lt;$Q$1014,MAX(0,-Assumptions!$B$22*(F1023/INDEX(Surface_Engine!$B$12:$B$72,$A1023+1))),0)))+2*Assumptions!$B$27*(IF(C1023&lt;=0,0,MAX(0,(B1023/C1023)*G1023/INDEX(Surface_Engine!$B$12:$B$72,$A1023+1)-F1023/INDEX(Surface_Engine!$B$12:$B$72,$A1023+1))))*(MAX(0,J1023/INDEX(Surface_Engine!$B$12:$B$72,$A1023+1)-(F1023/INDEX(Surface_Engine!$B$12:$B$72,$A1023+1))))+2*Assumptions!$B$28*(MAX(IF(D1023&lt;=0,0,MAX(0,(B1023/D1023)*H1023/INDEX(Surface_Engine!$B$12:$B$72,$A1023+1)-F1023/INDEX(Surface_Engine!$B$12:$B$72,$A1023+1))),IF(E1023&lt;=0,0,MAX(0,(B1023/E1023)*I1023/INDEX(Surface_Engine!$B$12:$B$72,$A1023+1)-F1023/INDEX(Surface_Engine!$B$12:$B$72,$A1023+1))),IF($A1023&lt;$Q$1014,MAX(0,-Assumptions!$B$22*(F1023/INDEX(Surface_Engine!$B$12:$B$72,$A1023+1))),0)))*(MAX(0,J1023/INDEX(Surface_Engine!$B$12:$B$72,$A1023+1)-(F1023/INDEX(Surface_Engine!$B$12:$B$72,$A1023+1)))))</f>
        <v>13096.3858230048</v>
      </c>
      <c r="L1023" s="48" t="n">
        <f aca="false">K1023*INDEX(Surface_Engine!$B$12:$B$72,$A1023+1)+L1024</f>
        <v>122830.673163693</v>
      </c>
      <c r="M1023" s="48" t="n">
        <f aca="false">M1022+B1022*(IF($A1022&lt;$Q$1014,(Surface_Engine!B246*12)-(Surface_Engine!B246*12)*INDEX(Surface_Engine!$F$12:$F$72,$A1022+1)-INDEX(Surface_Engine!$D$12:$D$72,$A1022+1),-(1000*12*INDEX(Surface_Engine!$C$12:$C$72,$A1022+1)/(1+Assumptions!$B$10)^5+INDEX(Surface_Engine!$D$12:$D$72,$A1022+1))))*INDEX(Surface_Engine!$B$12:$B$72,$A1022+1)</f>
        <v>114934.106917855</v>
      </c>
      <c r="N1023" s="12" t="n">
        <f aca="false">IF(B1023&lt;=0,0,MAX(0,(K1023+Assumptions!$B$29*L1023/INDEX(Surface_Engine!$B$12:$B$72,$A1023+1)-(M1023/INDEX(Surface_Engine!$B$12:$B$72,$A1023+1)-(F1023/INDEX(Surface_Engine!$B$12:$B$72,$A1023+1))))/B1023))</f>
        <v>18771.7823374234</v>
      </c>
    </row>
    <row r="1024" customFormat="false" ht="15" hidden="false" customHeight="true" outlineLevel="0" collapsed="false">
      <c r="A1024" s="1" t="n">
        <v>8</v>
      </c>
      <c r="B1024" s="32" t="n">
        <f aca="false">INDEX(Surface_Engine!$Q$12:$Q$72,$A1024+1)*IF($A1024&lt;$Q$1014,INDEX(Surface_Engine!$E$12:$E$72,$A1024+1),INDEX(Surface_Engine!$E$12:$E$72,$Q$1014+1))</f>
        <v>0.80587833499387</v>
      </c>
      <c r="C1024" s="32" t="n">
        <f aca="false">INDEX(Panel_Reserving!$F$8:$F$68,$A1024+1)*IF($A1024&lt;$Q$1014,INDEX(Surface_Engine!$E$12:$E$72,$A1024+1),INDEX(Surface_Engine!$E$12:$E$72,$Q$1014+1))</f>
        <v>0.824289076274313</v>
      </c>
      <c r="D1024" s="32" t="n">
        <f aca="false">INDEX(Surface_Engine!$Q$12:$Q$72,$A1024+1)*IF($A1024&lt;$Q$1014,INDEX(Surface_Engine!$Y$12:$Y$72,$A1024+1),INDEX(Surface_Engine!$Y$12:$Y$72,$Q$1014+1))</f>
        <v>0.764411825048408</v>
      </c>
      <c r="E1024" s="32" t="n">
        <f aca="false">INDEX(Surface_Engine!$Q$12:$Q$72,$A1024+1)*IF($A1024&lt;$Q$1014,INDEX(Surface_Engine!$Z$12:$Z$72,$A1024+1),INDEX(Surface_Engine!$Z$12:$Z$72,$Q$1014+1))</f>
        <v>0.848993724222327</v>
      </c>
      <c r="F1024" s="48" t="n">
        <f aca="false">B1024*(IF($A1024&lt;$Q$1014,INDEX(Surface_Engine!$D$12:$D$72,$A1024+1)+(Surface_Engine!B246*12)*INDEX(Surface_Engine!$F$12:$F$72,$A1024+1)-(Surface_Engine!B246*12),1000*12*INDEX(Surface_Engine!$C$12:$C$72,$A1024+1)/(1+Assumptions!$B$10)^5+INDEX(Surface_Engine!$D$12:$D$72,$A1024+1)))*INDEX(Surface_Engine!$B$12:$B$72,$A1024+1)+F1025</f>
        <v>100942.646914845</v>
      </c>
      <c r="G1024" s="48" t="n">
        <f aca="false">C1024*(IF($A1024&lt;$Q$1014,INDEX(Surface_Engine!$D$12:$D$72,$A1024+1)+(Surface_Engine!B246*12)*INDEX(Surface_Engine!$F$12:$F$72,$A1024+1)-(Surface_Engine!B246*12),1000*12*INDEX(Surface_Engine!$C$12:$C$72,$A1024+1)/(1+Assumptions!$B$10)^5+INDEX(Surface_Engine!$D$12:$D$72,$A1024+1)))*INDEX(Surface_Engine!$B$12:$B$72,$A1024+1)+G1025</f>
        <v>113838.976001307</v>
      </c>
      <c r="H1024" s="48" t="n">
        <f aca="false">D1024*(IF($A1024&lt;$Q$1014,INDEX(Surface_Engine!$D$12:$D$72,$A1024+1)+(Surface_Engine!B246*12)*INDEX(Surface_Engine!$F$12:$F$72,$A1024+1)-(Surface_Engine!B246*12),1000*12*INDEX(Surface_Engine!$C$12:$C$72,$A1024+1)/(1+Assumptions!$B$10)^5+INDEX(Surface_Engine!$D$12:$D$72,$A1024+1)))*INDEX(Surface_Engine!$B$12:$B$72,$A1024+1)+H1025</f>
        <v>95748.6379801743</v>
      </c>
      <c r="I1024" s="48" t="n">
        <f aca="false">E1024*(IF($A1024&lt;$Q$1014,INDEX(Surface_Engine!$D$12:$D$72,$A1024+1)+(Surface_Engine!B246*12)*INDEX(Surface_Engine!$F$12:$F$72,$A1024+1)-(Surface_Engine!B246*12),1000*12*INDEX(Surface_Engine!$C$12:$C$72,$A1024+1)/(1+Assumptions!$B$10)^5+INDEX(Surface_Engine!$D$12:$D$72,$A1024+1)))*INDEX(Surface_Engine!$B$12:$B$72,$A1024+1)+I1025</f>
        <v>106343.191044769</v>
      </c>
      <c r="J1024" s="48" t="n">
        <f aca="false">B1024*(IF($A1024&lt;$Q$1014,INDEX(Surface_Engine!$D$12:$D$72,$A1024+1)*(1+Assumptions!$B$24)+(Surface_Engine!B246*12)*INDEX(Surface_Engine!$F$12:$F$72,$A1024+1)-(Surface_Engine!B246*12),1000*12*INDEX(Surface_Engine!$C$12:$C$72,$A1024+1)/(1+Assumptions!$B$10)^5+INDEX(Surface_Engine!$D$12:$D$72,$A1024+1)*(1+Assumptions!$B$24)))*INDEX(Surface_Engine!$B$12:$B$72,$A1024+1)+J1025</f>
        <v>101024.175459283</v>
      </c>
      <c r="K1024" s="12" t="n">
        <f aca="false">SQRT((IF(C1024&lt;=0,0,MAX(0,(B1024/C1024)*G1024/INDEX(Surface_Engine!$B$12:$B$72,$A1024+1)-F1024/INDEX(Surface_Engine!$B$12:$B$72,$A1024+1))))^2+(MAX(IF(D1024&lt;=0,0,MAX(0,(B1024/D1024)*H1024/INDEX(Surface_Engine!$B$12:$B$72,$A1024+1)-F1024/INDEX(Surface_Engine!$B$12:$B$72,$A1024+1))),IF(E1024&lt;=0,0,MAX(0,(B1024/E1024)*I1024/INDEX(Surface_Engine!$B$12:$B$72,$A1024+1)-F1024/INDEX(Surface_Engine!$B$12:$B$72,$A1024+1))),IF($A1024&lt;$Q$1014,MAX(0,-Assumptions!$B$22*(F1024/INDEX(Surface_Engine!$B$12:$B$72,$A1024+1))),0)))^2+(MAX(0,J1024/INDEX(Surface_Engine!$B$12:$B$72,$A1024+1)-(F1024/INDEX(Surface_Engine!$B$12:$B$72,$A1024+1))))^2+2*Assumptions!$B$26*(IF(C1024&lt;=0,0,MAX(0,(B1024/C1024)*G1024/INDEX(Surface_Engine!$B$12:$B$72,$A1024+1)-F1024/INDEX(Surface_Engine!$B$12:$B$72,$A1024+1))))*(MAX(IF(D1024&lt;=0,0,MAX(0,(B1024/D1024)*H1024/INDEX(Surface_Engine!$B$12:$B$72,$A1024+1)-F1024/INDEX(Surface_Engine!$B$12:$B$72,$A1024+1))),IF(E1024&lt;=0,0,MAX(0,(B1024/E1024)*I1024/INDEX(Surface_Engine!$B$12:$B$72,$A1024+1)-F1024/INDEX(Surface_Engine!$B$12:$B$72,$A1024+1))),IF($A1024&lt;$Q$1014,MAX(0,-Assumptions!$B$22*(F1024/INDEX(Surface_Engine!$B$12:$B$72,$A1024+1))),0)))+2*Assumptions!$B$27*(IF(C1024&lt;=0,0,MAX(0,(B1024/C1024)*G1024/INDEX(Surface_Engine!$B$12:$B$72,$A1024+1)-F1024/INDEX(Surface_Engine!$B$12:$B$72,$A1024+1))))*(MAX(0,J1024/INDEX(Surface_Engine!$B$12:$B$72,$A1024+1)-(F1024/INDEX(Surface_Engine!$B$12:$B$72,$A1024+1))))+2*Assumptions!$B$28*(MAX(IF(D1024&lt;=0,0,MAX(0,(B1024/D1024)*H1024/INDEX(Surface_Engine!$B$12:$B$72,$A1024+1)-F1024/INDEX(Surface_Engine!$B$12:$B$72,$A1024+1))),IF(E1024&lt;=0,0,MAX(0,(B1024/E1024)*I1024/INDEX(Surface_Engine!$B$12:$B$72,$A1024+1)-F1024/INDEX(Surface_Engine!$B$12:$B$72,$A1024+1))),IF($A1024&lt;$Q$1014,MAX(0,-Assumptions!$B$22*(F1024/INDEX(Surface_Engine!$B$12:$B$72,$A1024+1))),0)))*(MAX(0,J1024/INDEX(Surface_Engine!$B$12:$B$72,$A1024+1)-(F1024/INDEX(Surface_Engine!$B$12:$B$72,$A1024+1)))))</f>
        <v>12937.1808903677</v>
      </c>
      <c r="L1024" s="48" t="n">
        <f aca="false">K1024*INDEX(Surface_Engine!$B$12:$B$72,$A1024+1)+L1025</f>
        <v>111999.421489519</v>
      </c>
      <c r="M1024" s="48" t="n">
        <f aca="false">M1023+B1023*(IF($A1023&lt;$Q$1014,(Surface_Engine!B246*12)-(Surface_Engine!B246*12)*INDEX(Surface_Engine!$F$12:$F$72,$A1023+1)-INDEX(Surface_Engine!$D$12:$D$72,$A1023+1),-(1000*12*INDEX(Surface_Engine!$C$12:$C$72,$A1023+1)/(1+Assumptions!$B$10)^5+INDEX(Surface_Engine!$D$12:$D$72,$A1023+1))))*INDEX(Surface_Engine!$B$12:$B$72,$A1023+1)</f>
        <v>106376.606294513</v>
      </c>
      <c r="N1024" s="12" t="n">
        <f aca="false">IF(B1024&lt;=0,0,MAX(0,(K1024+Assumptions!$B$29*L1024/INDEX(Surface_Engine!$B$12:$B$72,$A1024+1)-(M1024/INDEX(Surface_Engine!$B$12:$B$72,$A1024+1)-(F1024/INDEX(Surface_Engine!$B$12:$B$72,$A1024+1))))/B1024))</f>
        <v>18043.5057772767</v>
      </c>
    </row>
    <row r="1025" customFormat="false" ht="15" hidden="false" customHeight="true" outlineLevel="0" collapsed="false">
      <c r="A1025" s="1" t="n">
        <v>9</v>
      </c>
      <c r="B1025" s="32" t="n">
        <f aca="false">INDEX(Surface_Engine!$Q$12:$Q$72,$A1025+1)*IF($A1025&lt;$Q$1014,INDEX(Surface_Engine!$E$12:$E$72,$A1025+1),INDEX(Surface_Engine!$E$12:$E$72,$Q$1014+1))</f>
        <v>0.787794765575603</v>
      </c>
      <c r="C1025" s="32" t="n">
        <f aca="false">INDEX(Panel_Reserving!$F$8:$F$68,$A1025+1)*IF($A1025&lt;$Q$1014,INDEX(Surface_Engine!$E$12:$E$72,$A1025+1),INDEX(Surface_Engine!$E$12:$E$72,$Q$1014+1))</f>
        <v>0.809491717333883</v>
      </c>
      <c r="D1025" s="32" t="n">
        <f aca="false">INDEX(Surface_Engine!$Q$12:$Q$72,$A1025+1)*IF($A1025&lt;$Q$1014,INDEX(Surface_Engine!$Y$12:$Y$72,$A1025+1),INDEX(Surface_Engine!$Y$12:$Y$72,$Q$1014+1))</f>
        <v>0.74725874659704</v>
      </c>
      <c r="E1025" s="32" t="n">
        <f aca="false">INDEX(Surface_Engine!$Q$12:$Q$72,$A1025+1)*IF($A1025&lt;$Q$1014,INDEX(Surface_Engine!$Z$12:$Z$72,$A1025+1),INDEX(Surface_Engine!$Z$12:$Z$72,$Q$1014+1))</f>
        <v>0.829942663682568</v>
      </c>
      <c r="F1025" s="48" t="n">
        <f aca="false">B1025*(IF($A1025&lt;$Q$1014,INDEX(Surface_Engine!$D$12:$D$72,$A1025+1)+(Surface_Engine!B246*12)*INDEX(Surface_Engine!$F$12:$F$72,$A1025+1)-(Surface_Engine!B246*12),1000*12*INDEX(Surface_Engine!$C$12:$C$72,$A1025+1)/(1+Assumptions!$B$10)^5+INDEX(Surface_Engine!$D$12:$D$72,$A1025+1)))*INDEX(Surface_Engine!$B$12:$B$72,$A1025+1)+F1026</f>
        <v>92648.5730398349</v>
      </c>
      <c r="G1025" s="48" t="n">
        <f aca="false">C1025*(IF($A1025&lt;$Q$1014,INDEX(Surface_Engine!$D$12:$D$72,$A1025+1)+(Surface_Engine!B246*12)*INDEX(Surface_Engine!$F$12:$F$72,$A1025+1)-(Surface_Engine!B246*12),1000*12*INDEX(Surface_Engine!$C$12:$C$72,$A1025+1)/(1+Assumptions!$B$10)^5+INDEX(Surface_Engine!$D$12:$D$72,$A1025+1)))*INDEX(Surface_Engine!$B$12:$B$72,$A1025+1)+G1026</f>
        <v>105355.419369853</v>
      </c>
      <c r="H1025" s="48" t="n">
        <f aca="false">D1025*(IF($A1025&lt;$Q$1014,INDEX(Surface_Engine!$D$12:$D$72,$A1025+1)+(Surface_Engine!B246*12)*INDEX(Surface_Engine!$F$12:$F$72,$A1025+1)-(Surface_Engine!B246*12),1000*12*INDEX(Surface_Engine!$C$12:$C$72,$A1025+1)/(1+Assumptions!$B$10)^5+INDEX(Surface_Engine!$D$12:$D$72,$A1025+1)))*INDEX(Surface_Engine!$B$12:$B$72,$A1025+1)+H1026</f>
        <v>87881.3360903288</v>
      </c>
      <c r="I1025" s="48" t="n">
        <f aca="false">E1025*(IF($A1025&lt;$Q$1014,INDEX(Surface_Engine!$D$12:$D$72,$A1025+1)+(Surface_Engine!B246*12)*INDEX(Surface_Engine!$F$12:$F$72,$A1025+1)-(Surface_Engine!B246*12),1000*12*INDEX(Surface_Engine!$C$12:$C$72,$A1025+1)/(1+Assumptions!$B$10)^5+INDEX(Surface_Engine!$D$12:$D$72,$A1025+1)))*INDEX(Surface_Engine!$B$12:$B$72,$A1025+1)+I1026</f>
        <v>97605.3749721066</v>
      </c>
      <c r="J1025" s="48" t="n">
        <f aca="false">B1025*(IF($A1025&lt;$Q$1014,INDEX(Surface_Engine!$D$12:$D$72,$A1025+1)*(1+Assumptions!$B$24)+(Surface_Engine!B246*12)*INDEX(Surface_Engine!$F$12:$F$72,$A1025+1)-(Surface_Engine!B246*12),1000*12*INDEX(Surface_Engine!$C$12:$C$72,$A1025+1)/(1+Assumptions!$B$10)^5+INDEX(Surface_Engine!$D$12:$D$72,$A1025+1)*(1+Assumptions!$B$24)))*INDEX(Surface_Engine!$B$12:$B$72,$A1025+1)+J1026</f>
        <v>92723.6450875655</v>
      </c>
      <c r="K1025" s="12" t="n">
        <f aca="false">SQRT((IF(C1025&lt;=0,0,MAX(0,(B1025/C1025)*G1025/INDEX(Surface_Engine!$B$12:$B$72,$A1025+1)-F1025/INDEX(Surface_Engine!$B$12:$B$72,$A1025+1))))^2+(MAX(IF(D1025&lt;=0,0,MAX(0,(B1025/D1025)*H1025/INDEX(Surface_Engine!$B$12:$B$72,$A1025+1)-F1025/INDEX(Surface_Engine!$B$12:$B$72,$A1025+1))),IF(E1025&lt;=0,0,MAX(0,(B1025/E1025)*I1025/INDEX(Surface_Engine!$B$12:$B$72,$A1025+1)-F1025/INDEX(Surface_Engine!$B$12:$B$72,$A1025+1))),IF($A1025&lt;$Q$1014,MAX(0,-Assumptions!$B$22*(F1025/INDEX(Surface_Engine!$B$12:$B$72,$A1025+1))),0)))^2+(MAX(0,J1025/INDEX(Surface_Engine!$B$12:$B$72,$A1025+1)-(F1025/INDEX(Surface_Engine!$B$12:$B$72,$A1025+1))))^2+2*Assumptions!$B$26*(IF(C1025&lt;=0,0,MAX(0,(B1025/C1025)*G1025/INDEX(Surface_Engine!$B$12:$B$72,$A1025+1)-F1025/INDEX(Surface_Engine!$B$12:$B$72,$A1025+1))))*(MAX(IF(D1025&lt;=0,0,MAX(0,(B1025/D1025)*H1025/INDEX(Surface_Engine!$B$12:$B$72,$A1025+1)-F1025/INDEX(Surface_Engine!$B$12:$B$72,$A1025+1))),IF(E1025&lt;=0,0,MAX(0,(B1025/E1025)*I1025/INDEX(Surface_Engine!$B$12:$B$72,$A1025+1)-F1025/INDEX(Surface_Engine!$B$12:$B$72,$A1025+1))),IF($A1025&lt;$Q$1014,MAX(0,-Assumptions!$B$22*(F1025/INDEX(Surface_Engine!$B$12:$B$72,$A1025+1))),0)))+2*Assumptions!$B$27*(IF(C1025&lt;=0,0,MAX(0,(B1025/C1025)*G1025/INDEX(Surface_Engine!$B$12:$B$72,$A1025+1)-F1025/INDEX(Surface_Engine!$B$12:$B$72,$A1025+1))))*(MAX(0,J1025/INDEX(Surface_Engine!$B$12:$B$72,$A1025+1)-(F1025/INDEX(Surface_Engine!$B$12:$B$72,$A1025+1))))+2*Assumptions!$B$28*(MAX(IF(D1025&lt;=0,0,MAX(0,(B1025/D1025)*H1025/INDEX(Surface_Engine!$B$12:$B$72,$A1025+1)-F1025/INDEX(Surface_Engine!$B$12:$B$72,$A1025+1))),IF(E1025&lt;=0,0,MAX(0,(B1025/E1025)*I1025/INDEX(Surface_Engine!$B$12:$B$72,$A1025+1)-F1025/INDEX(Surface_Engine!$B$12:$B$72,$A1025+1))),IF($A1025&lt;$Q$1014,MAX(0,-Assumptions!$B$22*(F1025/INDEX(Surface_Engine!$B$12:$B$72,$A1025+1))),0)))*(MAX(0,J1025/INDEX(Surface_Engine!$B$12:$B$72,$A1025+1)-(F1025/INDEX(Surface_Engine!$B$12:$B$72,$A1025+1)))))</f>
        <v>12748.1889621956</v>
      </c>
      <c r="L1025" s="48" t="n">
        <f aca="false">K1025*INDEX(Surface_Engine!$B$12:$B$72,$A1025+1)+L1026</f>
        <v>101625.037264851</v>
      </c>
      <c r="M1025" s="48" t="n">
        <f aca="false">M1024+B1024*(IF($A1024&lt;$Q$1014,(Surface_Engine!B246*12)-(Surface_Engine!B246*12)*INDEX(Surface_Engine!$F$12:$F$72,$A1024+1)-INDEX(Surface_Engine!$D$12:$D$72,$A1024+1),-(1000*12*INDEX(Surface_Engine!$C$12:$C$72,$A1024+1)/(1+Assumptions!$B$10)^5+INDEX(Surface_Engine!$D$12:$D$72,$A1024+1))))*INDEX(Surface_Engine!$B$12:$B$72,$A1024+1)</f>
        <v>98082.5324195033</v>
      </c>
      <c r="N1025" s="12" t="n">
        <f aca="false">IF(B1025&lt;=0,0,MAX(0,(K1025+Assumptions!$B$29*L1025/INDEX(Surface_Engine!$B$12:$B$72,$A1025+1)-(M1025/INDEX(Surface_Engine!$B$12:$B$72,$A1025+1)-(F1025/INDEX(Surface_Engine!$B$12:$B$72,$A1025+1))))/B1025))</f>
        <v>17266.4970078345</v>
      </c>
    </row>
    <row r="1026" customFormat="false" ht="15" hidden="false" customHeight="true" outlineLevel="0" collapsed="false">
      <c r="A1026" s="1" t="n">
        <v>10</v>
      </c>
      <c r="B1026" s="32" t="n">
        <f aca="false">INDEX(Surface_Engine!$Q$12:$Q$72,$A1026+1)*IF($A1026&lt;$Q$1014,INDEX(Surface_Engine!$E$12:$E$72,$A1026+1),INDEX(Surface_Engine!$E$12:$E$72,$Q$1014+1))</f>
        <v>0.767979044942915</v>
      </c>
      <c r="C1026" s="32" t="n">
        <f aca="false">INDEX(Panel_Reserving!$F$8:$F$68,$A1026+1)*IF($A1026&lt;$Q$1014,INDEX(Surface_Engine!$E$12:$E$72,$A1026+1),INDEX(Surface_Engine!$E$12:$E$72,$Q$1014+1))</f>
        <v>0.793202539059444</v>
      </c>
      <c r="D1026" s="32" t="n">
        <f aca="false">INDEX(Surface_Engine!$Q$12:$Q$72,$A1026+1)*IF($A1026&lt;$Q$1014,INDEX(Surface_Engine!$Y$12:$Y$72,$A1026+1),INDEX(Surface_Engine!$Y$12:$Y$72,$Q$1014+1))</f>
        <v>0.728462644858436</v>
      </c>
      <c r="E1026" s="32" t="n">
        <f aca="false">INDEX(Surface_Engine!$Q$12:$Q$72,$A1026+1)*IF($A1026&lt;$Q$1014,INDEX(Surface_Engine!$Z$12:$Z$72,$A1026+1),INDEX(Surface_Engine!$Z$12:$Z$72,$Q$1014+1))</f>
        <v>0.809066779907603</v>
      </c>
      <c r="F1026" s="48" t="n">
        <f aca="false">B1026*(IF($A1026&lt;$Q$1014,INDEX(Surface_Engine!$D$12:$D$72,$A1026+1)+(Surface_Engine!B246*12)*INDEX(Surface_Engine!$F$12:$F$72,$A1026+1)-(Surface_Engine!B246*12),1000*12*INDEX(Surface_Engine!$C$12:$C$72,$A1026+1)/(1+Assumptions!$B$10)^5+INDEX(Surface_Engine!$D$12:$D$72,$A1026+1)))*INDEX(Surface_Engine!$B$12:$B$72,$A1026+1)+F1027</f>
        <v>84637.6801838446</v>
      </c>
      <c r="G1026" s="48" t="n">
        <f aca="false">C1026*(IF($A1026&lt;$Q$1014,INDEX(Surface_Engine!$D$12:$D$72,$A1026+1)+(Surface_Engine!B246*12)*INDEX(Surface_Engine!$F$12:$F$72,$A1026+1)-(Surface_Engine!B246*12),1000*12*INDEX(Surface_Engine!$C$12:$C$72,$A1026+1)/(1+Assumptions!$B$10)^5+INDEX(Surface_Engine!$D$12:$D$72,$A1026+1)))*INDEX(Surface_Engine!$B$12:$B$72,$A1026+1)+G1027</f>
        <v>97123.8955025479</v>
      </c>
      <c r="H1026" s="48" t="n">
        <f aca="false">D1026*(IF($A1026&lt;$Q$1014,INDEX(Surface_Engine!$D$12:$D$72,$A1026+1)+(Surface_Engine!B246*12)*INDEX(Surface_Engine!$F$12:$F$72,$A1026+1)-(Surface_Engine!B246*12),1000*12*INDEX(Surface_Engine!$C$12:$C$72,$A1026+1)/(1+Assumptions!$B$10)^5+INDEX(Surface_Engine!$D$12:$D$72,$A1026+1)))*INDEX(Surface_Engine!$B$12:$B$72,$A1026+1)+H1027</f>
        <v>80282.644126037</v>
      </c>
      <c r="I1026" s="48" t="n">
        <f aca="false">E1026*(IF($A1026&lt;$Q$1014,INDEX(Surface_Engine!$D$12:$D$72,$A1026+1)+(Surface_Engine!B246*12)*INDEX(Surface_Engine!$F$12:$F$72,$A1026+1)-(Surface_Engine!B246*12),1000*12*INDEX(Surface_Engine!$C$12:$C$72,$A1026+1)/(1+Assumptions!$B$10)^5+INDEX(Surface_Engine!$D$12:$D$72,$A1026+1)))*INDEX(Surface_Engine!$B$12:$B$72,$A1026+1)+I1027</f>
        <v>89165.8904186411</v>
      </c>
      <c r="J1026" s="48" t="n">
        <f aca="false">B1026*(IF($A1026&lt;$Q$1014,INDEX(Surface_Engine!$D$12:$D$72,$A1026+1)*(1+Assumptions!$B$24)+(Surface_Engine!B246*12)*INDEX(Surface_Engine!$F$12:$F$72,$A1026+1)-(Surface_Engine!B246*12),1000*12*INDEX(Surface_Engine!$C$12:$C$72,$A1026+1)/(1+Assumptions!$B$10)^5+INDEX(Surface_Engine!$D$12:$D$72,$A1026+1)*(1+Assumptions!$B$24)))*INDEX(Surface_Engine!$B$12:$B$72,$A1026+1)+J1027</f>
        <v>84706.4858464971</v>
      </c>
      <c r="K1026" s="12" t="n">
        <f aca="false">SQRT((IF(C1026&lt;=0,0,MAX(0,(B1026/C1026)*G1026/INDEX(Surface_Engine!$B$12:$B$72,$A1026+1)-F1026/INDEX(Surface_Engine!$B$12:$B$72,$A1026+1))))^2+(MAX(IF(D1026&lt;=0,0,MAX(0,(B1026/D1026)*H1026/INDEX(Surface_Engine!$B$12:$B$72,$A1026+1)-F1026/INDEX(Surface_Engine!$B$12:$B$72,$A1026+1))),IF(E1026&lt;=0,0,MAX(0,(B1026/E1026)*I1026/INDEX(Surface_Engine!$B$12:$B$72,$A1026+1)-F1026/INDEX(Surface_Engine!$B$12:$B$72,$A1026+1))),IF($A1026&lt;$Q$1014,MAX(0,-Assumptions!$B$22*(F1026/INDEX(Surface_Engine!$B$12:$B$72,$A1026+1))),0)))^2+(MAX(0,J1026/INDEX(Surface_Engine!$B$12:$B$72,$A1026+1)-(F1026/INDEX(Surface_Engine!$B$12:$B$72,$A1026+1))))^2+2*Assumptions!$B$26*(IF(C1026&lt;=0,0,MAX(0,(B1026/C1026)*G1026/INDEX(Surface_Engine!$B$12:$B$72,$A1026+1)-F1026/INDEX(Surface_Engine!$B$12:$B$72,$A1026+1))))*(MAX(IF(D1026&lt;=0,0,MAX(0,(B1026/D1026)*H1026/INDEX(Surface_Engine!$B$12:$B$72,$A1026+1)-F1026/INDEX(Surface_Engine!$B$12:$B$72,$A1026+1))),IF(E1026&lt;=0,0,MAX(0,(B1026/E1026)*I1026/INDEX(Surface_Engine!$B$12:$B$72,$A1026+1)-F1026/INDEX(Surface_Engine!$B$12:$B$72,$A1026+1))),IF($A1026&lt;$Q$1014,MAX(0,-Assumptions!$B$22*(F1026/INDEX(Surface_Engine!$B$12:$B$72,$A1026+1))),0)))+2*Assumptions!$B$27*(IF(C1026&lt;=0,0,MAX(0,(B1026/C1026)*G1026/INDEX(Surface_Engine!$B$12:$B$72,$A1026+1)-F1026/INDEX(Surface_Engine!$B$12:$B$72,$A1026+1))))*(MAX(0,J1026/INDEX(Surface_Engine!$B$12:$B$72,$A1026+1)-(F1026/INDEX(Surface_Engine!$B$12:$B$72,$A1026+1))))+2*Assumptions!$B$28*(MAX(IF(D1026&lt;=0,0,MAX(0,(B1026/D1026)*H1026/INDEX(Surface_Engine!$B$12:$B$72,$A1026+1)-F1026/INDEX(Surface_Engine!$B$12:$B$72,$A1026+1))),IF(E1026&lt;=0,0,MAX(0,(B1026/E1026)*I1026/INDEX(Surface_Engine!$B$12:$B$72,$A1026+1)-F1026/INDEX(Surface_Engine!$B$12:$B$72,$A1026+1))),IF($A1026&lt;$Q$1014,MAX(0,-Assumptions!$B$22*(F1026/INDEX(Surface_Engine!$B$12:$B$72,$A1026+1))),0)))*(MAX(0,J1026/INDEX(Surface_Engine!$B$12:$B$72,$A1026+1)-(F1026/INDEX(Surface_Engine!$B$12:$B$72,$A1026+1)))))</f>
        <v>12544.2718607413</v>
      </c>
      <c r="L1026" s="48" t="n">
        <f aca="false">K1026*INDEX(Surface_Engine!$B$12:$B$72,$A1026+1)+L1027</f>
        <v>91723.0163373793</v>
      </c>
      <c r="M1026" s="48" t="n">
        <f aca="false">M1025+B1025*(IF($A1025&lt;$Q$1014,(Surface_Engine!B246*12)-(Surface_Engine!B246*12)*INDEX(Surface_Engine!$F$12:$F$72,$A1025+1)-INDEX(Surface_Engine!$D$12:$D$72,$A1025+1),-(1000*12*INDEX(Surface_Engine!$C$12:$C$72,$A1025+1)/(1+Assumptions!$B$10)^5+INDEX(Surface_Engine!$D$12:$D$72,$A1025+1))))*INDEX(Surface_Engine!$B$12:$B$72,$A1025+1)</f>
        <v>90071.639563513</v>
      </c>
      <c r="N1026" s="12" t="n">
        <f aca="false">IF(B1026&lt;=0,0,MAX(0,(K1026+Assumptions!$B$29*L1026/INDEX(Surface_Engine!$B$12:$B$72,$A1026+1)-(M1026/INDEX(Surface_Engine!$B$12:$B$72,$A1026+1)-(F1026/INDEX(Surface_Engine!$B$12:$B$72,$A1026+1))))/B1026))</f>
        <v>16454.5709162419</v>
      </c>
    </row>
    <row r="1027" customFormat="false" ht="15" hidden="false" customHeight="true" outlineLevel="0" collapsed="false">
      <c r="A1027" s="1" t="n">
        <v>11</v>
      </c>
      <c r="B1027" s="32" t="n">
        <f aca="false">INDEX(Surface_Engine!$Q$12:$Q$72,$A1027+1)*IF($A1027&lt;$Q$1014,INDEX(Surface_Engine!$E$12:$E$72,$A1027+1),INDEX(Surface_Engine!$E$12:$E$72,$Q$1014+1))</f>
        <v>0.745570771206976</v>
      </c>
      <c r="C1027" s="32" t="n">
        <f aca="false">INDEX(Panel_Reserving!$F$8:$F$68,$A1027+1)*IF($A1027&lt;$Q$1014,INDEX(Surface_Engine!$E$12:$E$72,$A1027+1),INDEX(Surface_Engine!$E$12:$E$72,$Q$1014+1))</f>
        <v>0.774687138421546</v>
      </c>
      <c r="D1027" s="32" t="n">
        <f aca="false">INDEX(Surface_Engine!$Q$12:$Q$72,$A1027+1)*IF($A1027&lt;$Q$1014,INDEX(Surface_Engine!$Y$12:$Y$72,$A1027+1),INDEX(Surface_Engine!$Y$12:$Y$72,$Q$1014+1))</f>
        <v>0.707207389965892</v>
      </c>
      <c r="E1027" s="32" t="n">
        <f aca="false">INDEX(Surface_Engine!$Q$12:$Q$72,$A1027+1)*IF($A1027&lt;$Q$1014,INDEX(Surface_Engine!$Z$12:$Z$72,$A1027+1),INDEX(Surface_Engine!$Z$12:$Z$72,$Q$1014+1))</f>
        <v>0.785459638548463</v>
      </c>
      <c r="F1027" s="48" t="n">
        <f aca="false">B1027*(IF($A1027&lt;$Q$1014,INDEX(Surface_Engine!$D$12:$D$72,$A1027+1)+(Surface_Engine!B246*12)*INDEX(Surface_Engine!$F$12:$F$72,$A1027+1)-(Surface_Engine!B246*12),1000*12*INDEX(Surface_Engine!$C$12:$C$72,$A1027+1)/(1+Assumptions!$B$10)^5+INDEX(Surface_Engine!$D$12:$D$72,$A1027+1)))*INDEX(Surface_Engine!$B$12:$B$72,$A1027+1)+F1028</f>
        <v>76940.339728688</v>
      </c>
      <c r="G1027" s="48" t="n">
        <f aca="false">C1027*(IF($A1027&lt;$Q$1014,INDEX(Surface_Engine!$D$12:$D$72,$A1027+1)+(Surface_Engine!B246*12)*INDEX(Surface_Engine!$F$12:$F$72,$A1027+1)-(Surface_Engine!B246*12),1000*12*INDEX(Surface_Engine!$C$12:$C$72,$A1027+1)/(1+Assumptions!$B$10)^5+INDEX(Surface_Engine!$D$12:$D$72,$A1027+1)))*INDEX(Surface_Engine!$B$12:$B$72,$A1027+1)+G1028</f>
        <v>89173.7436940581</v>
      </c>
      <c r="H1027" s="48" t="n">
        <f aca="false">D1027*(IF($A1027&lt;$Q$1014,INDEX(Surface_Engine!$D$12:$D$72,$A1027+1)+(Surface_Engine!B246*12)*INDEX(Surface_Engine!$F$12:$F$72,$A1027+1)-(Surface_Engine!B246*12),1000*12*INDEX(Surface_Engine!$C$12:$C$72,$A1027+1)/(1+Assumptions!$B$10)^5+INDEX(Surface_Engine!$D$12:$D$72,$A1027+1)))*INDEX(Surface_Engine!$B$12:$B$72,$A1027+1)+H1028</f>
        <v>72981.3707081458</v>
      </c>
      <c r="I1027" s="48" t="n">
        <f aca="false">E1027*(IF($A1027&lt;$Q$1014,INDEX(Surface_Engine!$D$12:$D$72,$A1027+1)+(Surface_Engine!B246*12)*INDEX(Surface_Engine!$F$12:$F$72,$A1027+1)-(Surface_Engine!B246*12),1000*12*INDEX(Surface_Engine!$C$12:$C$72,$A1027+1)/(1+Assumptions!$B$10)^5+INDEX(Surface_Engine!$D$12:$D$72,$A1027+1)))*INDEX(Surface_Engine!$B$12:$B$72,$A1027+1)+I1028</f>
        <v>81056.7336689684</v>
      </c>
      <c r="J1027" s="48" t="n">
        <f aca="false">B1027*(IF($A1027&lt;$Q$1014,INDEX(Surface_Engine!$D$12:$D$72,$A1027+1)*(1+Assumptions!$B$24)+(Surface_Engine!B246*12)*INDEX(Surface_Engine!$F$12:$F$72,$A1027+1)-(Surface_Engine!B246*12),1000*12*INDEX(Surface_Engine!$C$12:$C$72,$A1027+1)/(1+Assumptions!$B$10)^5+INDEX(Surface_Engine!$D$12:$D$72,$A1027+1)*(1+Assumptions!$B$24)))*INDEX(Surface_Engine!$B$12:$B$72,$A1027+1)+J1028</f>
        <v>77003.0949940465</v>
      </c>
      <c r="K1027" s="12" t="n">
        <f aca="false">SQRT((IF(C1027&lt;=0,0,MAX(0,(B1027/C1027)*G1027/INDEX(Surface_Engine!$B$12:$B$72,$A1027+1)-F1027/INDEX(Surface_Engine!$B$12:$B$72,$A1027+1))))^2+(MAX(IF(D1027&lt;=0,0,MAX(0,(B1027/D1027)*H1027/INDEX(Surface_Engine!$B$12:$B$72,$A1027+1)-F1027/INDEX(Surface_Engine!$B$12:$B$72,$A1027+1))),IF(E1027&lt;=0,0,MAX(0,(B1027/E1027)*I1027/INDEX(Surface_Engine!$B$12:$B$72,$A1027+1)-F1027/INDEX(Surface_Engine!$B$12:$B$72,$A1027+1))),IF($A1027&lt;$Q$1014,MAX(0,-Assumptions!$B$22*(F1027/INDEX(Surface_Engine!$B$12:$B$72,$A1027+1))),0)))^2+(MAX(0,J1027/INDEX(Surface_Engine!$B$12:$B$72,$A1027+1)-(F1027/INDEX(Surface_Engine!$B$12:$B$72,$A1027+1))))^2+2*Assumptions!$B$26*(IF(C1027&lt;=0,0,MAX(0,(B1027/C1027)*G1027/INDEX(Surface_Engine!$B$12:$B$72,$A1027+1)-F1027/INDEX(Surface_Engine!$B$12:$B$72,$A1027+1))))*(MAX(IF(D1027&lt;=0,0,MAX(0,(B1027/D1027)*H1027/INDEX(Surface_Engine!$B$12:$B$72,$A1027+1)-F1027/INDEX(Surface_Engine!$B$12:$B$72,$A1027+1))),IF(E1027&lt;=0,0,MAX(0,(B1027/E1027)*I1027/INDEX(Surface_Engine!$B$12:$B$72,$A1027+1)-F1027/INDEX(Surface_Engine!$B$12:$B$72,$A1027+1))),IF($A1027&lt;$Q$1014,MAX(0,-Assumptions!$B$22*(F1027/INDEX(Surface_Engine!$B$12:$B$72,$A1027+1))),0)))+2*Assumptions!$B$27*(IF(C1027&lt;=0,0,MAX(0,(B1027/C1027)*G1027/INDEX(Surface_Engine!$B$12:$B$72,$A1027+1)-F1027/INDEX(Surface_Engine!$B$12:$B$72,$A1027+1))))*(MAX(0,J1027/INDEX(Surface_Engine!$B$12:$B$72,$A1027+1)-(F1027/INDEX(Surface_Engine!$B$12:$B$72,$A1027+1))))+2*Assumptions!$B$28*(MAX(IF(D1027&lt;=0,0,MAX(0,(B1027/D1027)*H1027/INDEX(Surface_Engine!$B$12:$B$72,$A1027+1)-F1027/INDEX(Surface_Engine!$B$12:$B$72,$A1027+1))),IF(E1027&lt;=0,0,MAX(0,(B1027/E1027)*I1027/INDEX(Surface_Engine!$B$12:$B$72,$A1027+1)-F1027/INDEX(Surface_Engine!$B$12:$B$72,$A1027+1))),IF($A1027&lt;$Q$1014,MAX(0,-Assumptions!$B$22*(F1027/INDEX(Surface_Engine!$B$12:$B$72,$A1027+1))),0)))*(MAX(0,J1027/INDEX(Surface_Engine!$B$12:$B$72,$A1027+1)-(F1027/INDEX(Surface_Engine!$B$12:$B$72,$A1027+1)))))</f>
        <v>12239.1601295957</v>
      </c>
      <c r="L1027" s="48" t="n">
        <f aca="false">K1027*INDEX(Surface_Engine!$B$12:$B$72,$A1027+1)+L1028</f>
        <v>82307.8613329804</v>
      </c>
      <c r="M1027" s="48" t="n">
        <f aca="false">M1026+B1026*(IF($A1026&lt;$Q$1014,(Surface_Engine!B246*12)-(Surface_Engine!B246*12)*INDEX(Surface_Engine!$F$12:$F$72,$A1026+1)-INDEX(Surface_Engine!$D$12:$D$72,$A1026+1),-(1000*12*INDEX(Surface_Engine!$C$12:$C$72,$A1026+1)/(1+Assumptions!$B$10)^5+INDEX(Surface_Engine!$D$12:$D$72,$A1026+1))))*INDEX(Surface_Engine!$B$12:$B$72,$A1026+1)</f>
        <v>82374.2991083564</v>
      </c>
      <c r="N1027" s="12" t="n">
        <f aca="false">IF(B1027&lt;=0,0,MAX(0,(K1027+Assumptions!$B$29*L1027/INDEX(Surface_Engine!$B$12:$B$72,$A1027+1)-(M1027/INDEX(Surface_Engine!$B$12:$B$72,$A1027+1)-(F1027/INDEX(Surface_Engine!$B$12:$B$72,$A1027+1))))/B1027))</f>
        <v>15501.6787345828</v>
      </c>
    </row>
    <row r="1028" customFormat="false" ht="15" hidden="false" customHeight="true" outlineLevel="0" collapsed="false">
      <c r="A1028" s="1" t="n">
        <v>12</v>
      </c>
      <c r="B1028" s="32" t="n">
        <f aca="false">INDEX(Surface_Engine!$Q$12:$Q$72,$A1028+1)*IF($A1028&lt;$Q$1014,INDEX(Surface_Engine!$E$12:$E$72,$A1028+1),INDEX(Surface_Engine!$E$12:$E$72,$Q$1014+1))</f>
        <v>0.721156081595039</v>
      </c>
      <c r="C1028" s="32" t="n">
        <f aca="false">INDEX(Panel_Reserving!$F$8:$F$68,$A1028+1)*IF($A1028&lt;$Q$1014,INDEX(Surface_Engine!$E$12:$E$72,$A1028+1),INDEX(Surface_Engine!$E$12:$E$72,$Q$1014+1))</f>
        <v>0.75439262392463</v>
      </c>
      <c r="D1028" s="32" t="n">
        <f aca="false">INDEX(Surface_Engine!$Q$12:$Q$72,$A1028+1)*IF($A1028&lt;$Q$1014,INDEX(Surface_Engine!$Y$12:$Y$72,$A1028+1),INDEX(Surface_Engine!$Y$12:$Y$72,$Q$1014+1))</f>
        <v>0.684048959426383</v>
      </c>
      <c r="E1028" s="32" t="n">
        <f aca="false">INDEX(Surface_Engine!$Q$12:$Q$72,$A1028+1)*IF($A1028&lt;$Q$1014,INDEX(Surface_Engine!$Z$12:$Z$72,$A1028+1),INDEX(Surface_Engine!$Z$12:$Z$72,$Q$1014+1))</f>
        <v>0.759738735827424</v>
      </c>
      <c r="F1028" s="48" t="n">
        <f aca="false">B1028*(IF($A1028&lt;$Q$1014,INDEX(Surface_Engine!$D$12:$D$72,$A1028+1)+(Surface_Engine!B246*12)*INDEX(Surface_Engine!$F$12:$F$72,$A1028+1)-(Surface_Engine!B246*12),1000*12*INDEX(Surface_Engine!$C$12:$C$72,$A1028+1)/(1+Assumptions!$B$10)^5+INDEX(Surface_Engine!$D$12:$D$72,$A1028+1)))*INDEX(Surface_Engine!$B$12:$B$72,$A1028+1)+F1029</f>
        <v>69557.1695721963</v>
      </c>
      <c r="G1028" s="48" t="n">
        <f aca="false">C1028*(IF($A1028&lt;$Q$1014,INDEX(Surface_Engine!$D$12:$D$72,$A1028+1)+(Surface_Engine!B246*12)*INDEX(Surface_Engine!$F$12:$F$72,$A1028+1)-(Surface_Engine!B246*12),1000*12*INDEX(Surface_Engine!$C$12:$C$72,$A1028+1)/(1+Assumptions!$B$10)^5+INDEX(Surface_Engine!$D$12:$D$72,$A1028+1)))*INDEX(Surface_Engine!$B$12:$B$72,$A1028+1)+G1029</f>
        <v>81502.2426348728</v>
      </c>
      <c r="H1028" s="48" t="n">
        <f aca="false">D1028*(IF($A1028&lt;$Q$1014,INDEX(Surface_Engine!$D$12:$D$72,$A1028+1)+(Surface_Engine!B246*12)*INDEX(Surface_Engine!$F$12:$F$72,$A1028+1)-(Surface_Engine!B246*12),1000*12*INDEX(Surface_Engine!$C$12:$C$72,$A1028+1)/(1+Assumptions!$B$10)^5+INDEX(Surface_Engine!$D$12:$D$72,$A1028+1)))*INDEX(Surface_Engine!$B$12:$B$72,$A1028+1)+H1029</f>
        <v>65978.1019405226</v>
      </c>
      <c r="I1028" s="48" t="n">
        <f aca="false">E1028*(IF($A1028&lt;$Q$1014,INDEX(Surface_Engine!$D$12:$D$72,$A1028+1)+(Surface_Engine!B246*12)*INDEX(Surface_Engine!$F$12:$F$72,$A1028+1)-(Surface_Engine!B246*12),1000*12*INDEX(Surface_Engine!$C$12:$C$72,$A1028+1)/(1+Assumptions!$B$10)^5+INDEX(Surface_Engine!$D$12:$D$72,$A1028+1)))*INDEX(Surface_Engine!$B$12:$B$72,$A1028+1)+I1029</f>
        <v>73278.5556791424</v>
      </c>
      <c r="J1028" s="48" t="n">
        <f aca="false">B1028*(IF($A1028&lt;$Q$1014,INDEX(Surface_Engine!$D$12:$D$72,$A1028+1)*(1+Assumptions!$B$24)+(Surface_Engine!B246*12)*INDEX(Surface_Engine!$F$12:$F$72,$A1028+1)-(Surface_Engine!B246*12),1000*12*INDEX(Surface_Engine!$C$12:$C$72,$A1028+1)/(1+Assumptions!$B$10)^5+INDEX(Surface_Engine!$D$12:$D$72,$A1028+1)*(1+Assumptions!$B$24)))*INDEX(Surface_Engine!$B$12:$B$72,$A1028+1)+J1029</f>
        <v>69614.0931662865</v>
      </c>
      <c r="K1028" s="12" t="n">
        <f aca="false">SQRT((IF(C1028&lt;=0,0,MAX(0,(B1028/C1028)*G1028/INDEX(Surface_Engine!$B$12:$B$72,$A1028+1)-F1028/INDEX(Surface_Engine!$B$12:$B$72,$A1028+1))))^2+(MAX(IF(D1028&lt;=0,0,MAX(0,(B1028/D1028)*H1028/INDEX(Surface_Engine!$B$12:$B$72,$A1028+1)-F1028/INDEX(Surface_Engine!$B$12:$B$72,$A1028+1))),IF(E1028&lt;=0,0,MAX(0,(B1028/E1028)*I1028/INDEX(Surface_Engine!$B$12:$B$72,$A1028+1)-F1028/INDEX(Surface_Engine!$B$12:$B$72,$A1028+1))),IF($A1028&lt;$Q$1014,MAX(0,-Assumptions!$B$22*(F1028/INDEX(Surface_Engine!$B$12:$B$72,$A1028+1))),0)))^2+(MAX(0,J1028/INDEX(Surface_Engine!$B$12:$B$72,$A1028+1)-(F1028/INDEX(Surface_Engine!$B$12:$B$72,$A1028+1))))^2+2*Assumptions!$B$26*(IF(C1028&lt;=0,0,MAX(0,(B1028/C1028)*G1028/INDEX(Surface_Engine!$B$12:$B$72,$A1028+1)-F1028/INDEX(Surface_Engine!$B$12:$B$72,$A1028+1))))*(MAX(IF(D1028&lt;=0,0,MAX(0,(B1028/D1028)*H1028/INDEX(Surface_Engine!$B$12:$B$72,$A1028+1)-F1028/INDEX(Surface_Engine!$B$12:$B$72,$A1028+1))),IF(E1028&lt;=0,0,MAX(0,(B1028/E1028)*I1028/INDEX(Surface_Engine!$B$12:$B$72,$A1028+1)-F1028/INDEX(Surface_Engine!$B$12:$B$72,$A1028+1))),IF($A1028&lt;$Q$1014,MAX(0,-Assumptions!$B$22*(F1028/INDEX(Surface_Engine!$B$12:$B$72,$A1028+1))),0)))+2*Assumptions!$B$27*(IF(C1028&lt;=0,0,MAX(0,(B1028/C1028)*G1028/INDEX(Surface_Engine!$B$12:$B$72,$A1028+1)-F1028/INDEX(Surface_Engine!$B$12:$B$72,$A1028+1))))*(MAX(0,J1028/INDEX(Surface_Engine!$B$12:$B$72,$A1028+1)-(F1028/INDEX(Surface_Engine!$B$12:$B$72,$A1028+1))))+2*Assumptions!$B$28*(MAX(IF(D1028&lt;=0,0,MAX(0,(B1028/D1028)*H1028/INDEX(Surface_Engine!$B$12:$B$72,$A1028+1)-F1028/INDEX(Surface_Engine!$B$12:$B$72,$A1028+1))),IF(E1028&lt;=0,0,MAX(0,(B1028/E1028)*I1028/INDEX(Surface_Engine!$B$12:$B$72,$A1028+1)-F1028/INDEX(Surface_Engine!$B$12:$B$72,$A1028+1))),IF($A1028&lt;$Q$1014,MAX(0,-Assumptions!$B$22*(F1028/INDEX(Surface_Engine!$B$12:$B$72,$A1028+1))),0)))*(MAX(0,J1028/INDEX(Surface_Engine!$B$12:$B$72,$A1028+1)-(F1028/INDEX(Surface_Engine!$B$12:$B$72,$A1028+1)))))</f>
        <v>11920.6666263096</v>
      </c>
      <c r="L1028" s="48" t="n">
        <f aca="false">K1028*INDEX(Surface_Engine!$B$12:$B$72,$A1028+1)+L1029</f>
        <v>73410.1275835285</v>
      </c>
      <c r="M1028" s="48" t="n">
        <f aca="false">M1027+B1027*(IF($A1027&lt;$Q$1014,(Surface_Engine!B246*12)-(Surface_Engine!B246*12)*INDEX(Surface_Engine!$F$12:$F$72,$A1027+1)-INDEX(Surface_Engine!$D$12:$D$72,$A1027+1),-(1000*12*INDEX(Surface_Engine!$C$12:$C$72,$A1027+1)/(1+Assumptions!$B$10)^5+INDEX(Surface_Engine!$D$12:$D$72,$A1027+1))))*INDEX(Surface_Engine!$B$12:$B$72,$A1027+1)</f>
        <v>74991.1289518648</v>
      </c>
      <c r="N1028" s="12" t="n">
        <f aca="false">IF(B1028&lt;=0,0,MAX(0,(K1028+Assumptions!$B$29*L1028/INDEX(Surface_Engine!$B$12:$B$72,$A1028+1)-(M1028/INDEX(Surface_Engine!$B$12:$B$72,$A1028+1)-(F1028/INDEX(Surface_Engine!$B$12:$B$72,$A1028+1))))/B1028))</f>
        <v>14496.7570129391</v>
      </c>
    </row>
    <row r="1029" customFormat="false" ht="15" hidden="false" customHeight="true" outlineLevel="0" collapsed="false">
      <c r="A1029" s="1" t="n">
        <v>13</v>
      </c>
      <c r="B1029" s="32" t="n">
        <f aca="false">INDEX(Surface_Engine!$Q$12:$Q$72,$A1029+1)*IF($A1029&lt;$Q$1014,INDEX(Surface_Engine!$E$12:$E$72,$A1029+1),INDEX(Surface_Engine!$E$12:$E$72,$Q$1014+1))</f>
        <v>0.694648744401993</v>
      </c>
      <c r="C1029" s="32" t="n">
        <f aca="false">INDEX(Panel_Reserving!$F$8:$F$68,$A1029+1)*IF($A1029&lt;$Q$1014,INDEX(Surface_Engine!$E$12:$E$72,$A1029+1),INDEX(Surface_Engine!$E$12:$E$72,$Q$1014+1))</f>
        <v>0.732209420960757</v>
      </c>
      <c r="D1029" s="32" t="n">
        <f aca="false">INDEX(Surface_Engine!$Q$12:$Q$72,$A1029+1)*IF($A1029&lt;$Q$1014,INDEX(Surface_Engine!$Y$12:$Y$72,$A1029+1),INDEX(Surface_Engine!$Y$12:$Y$72,$Q$1014+1))</f>
        <v>0.658905558591486</v>
      </c>
      <c r="E1029" s="32" t="n">
        <f aca="false">INDEX(Surface_Engine!$Q$12:$Q$72,$A1029+1)*IF($A1029&lt;$Q$1014,INDEX(Surface_Engine!$Z$12:$Z$72,$A1029+1),INDEX(Surface_Engine!$Z$12:$Z$72,$Q$1014+1))</f>
        <v>0.731813226547028</v>
      </c>
      <c r="F1029" s="48" t="n">
        <f aca="false">B1029*(IF($A1029&lt;$Q$1014,INDEX(Surface_Engine!$D$12:$D$72,$A1029+1)+(Surface_Engine!B246*12)*INDEX(Surface_Engine!$F$12:$F$72,$A1029+1)-(Surface_Engine!B246*12),1000*12*INDEX(Surface_Engine!$C$12:$C$72,$A1029+1)/(1+Assumptions!$B$10)^5+INDEX(Surface_Engine!$D$12:$D$72,$A1029+1)))*INDEX(Surface_Engine!$B$12:$B$72,$A1029+1)+F1030</f>
        <v>62522.7127210588</v>
      </c>
      <c r="G1029" s="48" t="n">
        <f aca="false">C1029*(IF($A1029&lt;$Q$1014,INDEX(Surface_Engine!$D$12:$D$72,$A1029+1)+(Surface_Engine!B246*12)*INDEX(Surface_Engine!$F$12:$F$72,$A1029+1)-(Surface_Engine!B246*12),1000*12*INDEX(Surface_Engine!$C$12:$C$72,$A1029+1)/(1+Assumptions!$B$10)^5+INDEX(Surface_Engine!$D$12:$D$72,$A1029+1)))*INDEX(Surface_Engine!$B$12:$B$72,$A1029+1)+G1030</f>
        <v>74143.5827036179</v>
      </c>
      <c r="H1029" s="48" t="n">
        <f aca="false">D1029*(IF($A1029&lt;$Q$1014,INDEX(Surface_Engine!$D$12:$D$72,$A1029+1)+(Surface_Engine!B246*12)*INDEX(Surface_Engine!$F$12:$F$72,$A1029+1)-(Surface_Engine!B246*12),1000*12*INDEX(Surface_Engine!$C$12:$C$72,$A1029+1)/(1+Assumptions!$B$10)^5+INDEX(Surface_Engine!$D$12:$D$72,$A1029+1)))*INDEX(Surface_Engine!$B$12:$B$72,$A1029+1)+H1030</f>
        <v>59305.6034177236</v>
      </c>
      <c r="I1029" s="48" t="n">
        <f aca="false">E1029*(IF($A1029&lt;$Q$1014,INDEX(Surface_Engine!$D$12:$D$72,$A1029+1)+(Surface_Engine!B246*12)*INDEX(Surface_Engine!$F$12:$F$72,$A1029+1)-(Surface_Engine!B246*12),1000*12*INDEX(Surface_Engine!$C$12:$C$72,$A1029+1)/(1+Assumptions!$B$10)^5+INDEX(Surface_Engine!$D$12:$D$72,$A1029+1)))*INDEX(Surface_Engine!$B$12:$B$72,$A1029+1)+I1030</f>
        <v>65867.7475452149</v>
      </c>
      <c r="J1029" s="48" t="n">
        <f aca="false">B1029*(IF($A1029&lt;$Q$1014,INDEX(Surface_Engine!$D$12:$D$72,$A1029+1)*(1+Assumptions!$B$24)+(Surface_Engine!B246*12)*INDEX(Surface_Engine!$F$12:$F$72,$A1029+1)-(Surface_Engine!B246*12),1000*12*INDEX(Surface_Engine!$C$12:$C$72,$A1029+1)/(1+Assumptions!$B$10)^5+INDEX(Surface_Engine!$D$12:$D$72,$A1029+1)*(1+Assumptions!$B$24)))*INDEX(Surface_Engine!$B$12:$B$72,$A1029+1)+J1030</f>
        <v>62574.0530583175</v>
      </c>
      <c r="K1029" s="12" t="n">
        <f aca="false">SQRT((IF(C1029&lt;=0,0,MAX(0,(B1029/C1029)*G1029/INDEX(Surface_Engine!$B$12:$B$72,$A1029+1)-F1029/INDEX(Surface_Engine!$B$12:$B$72,$A1029+1))))^2+(MAX(IF(D1029&lt;=0,0,MAX(0,(B1029/D1029)*H1029/INDEX(Surface_Engine!$B$12:$B$72,$A1029+1)-F1029/INDEX(Surface_Engine!$B$12:$B$72,$A1029+1))),IF(E1029&lt;=0,0,MAX(0,(B1029/E1029)*I1029/INDEX(Surface_Engine!$B$12:$B$72,$A1029+1)-F1029/INDEX(Surface_Engine!$B$12:$B$72,$A1029+1))),IF($A1029&lt;$Q$1014,MAX(0,-Assumptions!$B$22*(F1029/INDEX(Surface_Engine!$B$12:$B$72,$A1029+1))),0)))^2+(MAX(0,J1029/INDEX(Surface_Engine!$B$12:$B$72,$A1029+1)-(F1029/INDEX(Surface_Engine!$B$12:$B$72,$A1029+1))))^2+2*Assumptions!$B$26*(IF(C1029&lt;=0,0,MAX(0,(B1029/C1029)*G1029/INDEX(Surface_Engine!$B$12:$B$72,$A1029+1)-F1029/INDEX(Surface_Engine!$B$12:$B$72,$A1029+1))))*(MAX(IF(D1029&lt;=0,0,MAX(0,(B1029/D1029)*H1029/INDEX(Surface_Engine!$B$12:$B$72,$A1029+1)-F1029/INDEX(Surface_Engine!$B$12:$B$72,$A1029+1))),IF(E1029&lt;=0,0,MAX(0,(B1029/E1029)*I1029/INDEX(Surface_Engine!$B$12:$B$72,$A1029+1)-F1029/INDEX(Surface_Engine!$B$12:$B$72,$A1029+1))),IF($A1029&lt;$Q$1014,MAX(0,-Assumptions!$B$22*(F1029/INDEX(Surface_Engine!$B$12:$B$72,$A1029+1))),0)))+2*Assumptions!$B$27*(IF(C1029&lt;=0,0,MAX(0,(B1029/C1029)*G1029/INDEX(Surface_Engine!$B$12:$B$72,$A1029+1)-F1029/INDEX(Surface_Engine!$B$12:$B$72,$A1029+1))))*(MAX(0,J1029/INDEX(Surface_Engine!$B$12:$B$72,$A1029+1)-(F1029/INDEX(Surface_Engine!$B$12:$B$72,$A1029+1))))+2*Assumptions!$B$28*(MAX(IF(D1029&lt;=0,0,MAX(0,(B1029/D1029)*H1029/INDEX(Surface_Engine!$B$12:$B$72,$A1029+1)-F1029/INDEX(Surface_Engine!$B$12:$B$72,$A1029+1))),IF(E1029&lt;=0,0,MAX(0,(B1029/E1029)*I1029/INDEX(Surface_Engine!$B$12:$B$72,$A1029+1)-F1029/INDEX(Surface_Engine!$B$12:$B$72,$A1029+1))),IF($A1029&lt;$Q$1014,MAX(0,-Assumptions!$B$22*(F1029/INDEX(Surface_Engine!$B$12:$B$72,$A1029+1))),0)))*(MAX(0,J1029/INDEX(Surface_Engine!$B$12:$B$72,$A1029+1)-(F1029/INDEX(Surface_Engine!$B$12:$B$72,$A1029+1)))))</f>
        <v>11547.2904071416</v>
      </c>
      <c r="L1029" s="48" t="n">
        <f aca="false">K1029*INDEX(Surface_Engine!$B$12:$B$72,$A1029+1)+L1030</f>
        <v>65041.4152195866</v>
      </c>
      <c r="M1029" s="48" t="n">
        <f aca="false">M1028+B1028*(IF($A1028&lt;$Q$1014,(Surface_Engine!B246*12)-(Surface_Engine!B246*12)*INDEX(Surface_Engine!$F$12:$F$72,$A1028+1)-INDEX(Surface_Engine!$D$12:$D$72,$A1028+1),-(1000*12*INDEX(Surface_Engine!$C$12:$C$72,$A1028+1)/(1+Assumptions!$B$10)^5+INDEX(Surface_Engine!$D$12:$D$72,$A1028+1))))*INDEX(Surface_Engine!$B$12:$B$72,$A1028+1)</f>
        <v>67956.6721007272</v>
      </c>
      <c r="N1029" s="12" t="n">
        <f aca="false">IF(B1029&lt;=0,0,MAX(0,(K1029+Assumptions!$B$29*L1029/INDEX(Surface_Engine!$B$12:$B$72,$A1029+1)-(M1029/INDEX(Surface_Engine!$B$12:$B$72,$A1029+1)-(F1029/INDEX(Surface_Engine!$B$12:$B$72,$A1029+1))))/B1029))</f>
        <v>13372.0578683102</v>
      </c>
    </row>
    <row r="1030" customFormat="false" ht="15" hidden="false" customHeight="true" outlineLevel="0" collapsed="false">
      <c r="A1030" s="1" t="n">
        <v>14</v>
      </c>
      <c r="B1030" s="32" t="n">
        <f aca="false">INDEX(Surface_Engine!$Q$12:$Q$72,$A1030+1)*IF($A1030&lt;$Q$1014,INDEX(Surface_Engine!$E$12:$E$72,$A1030+1),INDEX(Surface_Engine!$E$12:$E$72,$Q$1014+1))</f>
        <v>0.665993131509947</v>
      </c>
      <c r="C1030" s="32" t="n">
        <f aca="false">INDEX(Panel_Reserving!$F$8:$F$68,$A1030+1)*IF($A1030&lt;$Q$1014,INDEX(Surface_Engine!$E$12:$E$72,$A1030+1),INDEX(Surface_Engine!$E$12:$E$72,$Q$1014+1))</f>
        <v>0.708045369828961</v>
      </c>
      <c r="D1030" s="32" t="n">
        <f aca="false">INDEX(Surface_Engine!$Q$12:$Q$72,$A1030+1)*IF($A1030&lt;$Q$1014,INDEX(Surface_Engine!$Y$12:$Y$72,$A1030+1),INDEX(Surface_Engine!$Y$12:$Y$72,$Q$1014+1))</f>
        <v>0.631724421690894</v>
      </c>
      <c r="E1030" s="32" t="n">
        <f aca="false">INDEX(Surface_Engine!$Q$12:$Q$72,$A1030+1)*IF($A1030&lt;$Q$1014,INDEX(Surface_Engine!$Z$12:$Z$72,$A1030+1),INDEX(Surface_Engine!$Z$12:$Z$72,$Q$1014+1))</f>
        <v>0.701624506423071</v>
      </c>
      <c r="F1030" s="48" t="n">
        <f aca="false">B1030*(IF($A1030&lt;$Q$1014,INDEX(Surface_Engine!$D$12:$D$72,$A1030+1)+(Surface_Engine!B246*12)*INDEX(Surface_Engine!$F$12:$F$72,$A1030+1)-(Surface_Engine!B246*12),1000*12*INDEX(Surface_Engine!$C$12:$C$72,$A1030+1)/(1+Assumptions!$B$10)^5+INDEX(Surface_Engine!$D$12:$D$72,$A1030+1)))*INDEX(Surface_Engine!$B$12:$B$72,$A1030+1)+F1031</f>
        <v>55846.4558855583</v>
      </c>
      <c r="G1030" s="48" t="n">
        <f aca="false">C1030*(IF($A1030&lt;$Q$1014,INDEX(Surface_Engine!$D$12:$D$72,$A1030+1)+(Surface_Engine!B246*12)*INDEX(Surface_Engine!$F$12:$F$72,$A1030+1)-(Surface_Engine!B246*12),1000*12*INDEX(Surface_Engine!$C$12:$C$72,$A1030+1)/(1+Assumptions!$B$10)^5+INDEX(Surface_Engine!$D$12:$D$72,$A1030+1)))*INDEX(Surface_Engine!$B$12:$B$72,$A1030+1)+G1031</f>
        <v>67106.3308679215</v>
      </c>
      <c r="H1030" s="48" t="n">
        <f aca="false">D1030*(IF($A1030&lt;$Q$1014,INDEX(Surface_Engine!$D$12:$D$72,$A1030+1)+(Surface_Engine!B246*12)*INDEX(Surface_Engine!$F$12:$F$72,$A1030+1)-(Surface_Engine!B246*12),1000*12*INDEX(Surface_Engine!$C$12:$C$72,$A1030+1)/(1+Assumptions!$B$10)^5+INDEX(Surface_Engine!$D$12:$D$72,$A1030+1)))*INDEX(Surface_Engine!$B$12:$B$72,$A1030+1)+H1031</f>
        <v>52972.8737108806</v>
      </c>
      <c r="I1030" s="48" t="n">
        <f aca="false">E1030*(IF($A1030&lt;$Q$1014,INDEX(Surface_Engine!$D$12:$D$72,$A1030+1)+(Surface_Engine!B246*12)*INDEX(Surface_Engine!$F$12:$F$72,$A1030+1)-(Surface_Engine!B246*12),1000*12*INDEX(Surface_Engine!$C$12:$C$72,$A1030+1)/(1+Assumptions!$B$10)^5+INDEX(Surface_Engine!$D$12:$D$72,$A1030+1)))*INDEX(Surface_Engine!$B$12:$B$72,$A1030+1)+I1031</f>
        <v>58834.3035270438</v>
      </c>
      <c r="J1030" s="48" t="n">
        <f aca="false">B1030*(IF($A1030&lt;$Q$1014,INDEX(Surface_Engine!$D$12:$D$72,$A1030+1)*(1+Assumptions!$B$24)+(Surface_Engine!B246*12)*INDEX(Surface_Engine!$F$12:$F$72,$A1030+1)-(Surface_Engine!B246*12),1000*12*INDEX(Surface_Engine!$C$12:$C$72,$A1030+1)/(1+Assumptions!$B$10)^5+INDEX(Surface_Engine!$D$12:$D$72,$A1030+1)*(1+Assumptions!$B$24)))*INDEX(Surface_Engine!$B$12:$B$72,$A1030+1)+J1031</f>
        <v>55892.4715016755</v>
      </c>
      <c r="K1030" s="12" t="n">
        <f aca="false">SQRT((IF(C1030&lt;=0,0,MAX(0,(B1030/C1030)*G1030/INDEX(Surface_Engine!$B$12:$B$72,$A1030+1)-F1030/INDEX(Surface_Engine!$B$12:$B$72,$A1030+1))))^2+(MAX(IF(D1030&lt;=0,0,MAX(0,(B1030/D1030)*H1030/INDEX(Surface_Engine!$B$12:$B$72,$A1030+1)-F1030/INDEX(Surface_Engine!$B$12:$B$72,$A1030+1))),IF(E1030&lt;=0,0,MAX(0,(B1030/E1030)*I1030/INDEX(Surface_Engine!$B$12:$B$72,$A1030+1)-F1030/INDEX(Surface_Engine!$B$12:$B$72,$A1030+1))),IF($A1030&lt;$Q$1014,MAX(0,-Assumptions!$B$22*(F1030/INDEX(Surface_Engine!$B$12:$B$72,$A1030+1))),0)))^2+(MAX(0,J1030/INDEX(Surface_Engine!$B$12:$B$72,$A1030+1)-(F1030/INDEX(Surface_Engine!$B$12:$B$72,$A1030+1))))^2+2*Assumptions!$B$26*(IF(C1030&lt;=0,0,MAX(0,(B1030/C1030)*G1030/INDEX(Surface_Engine!$B$12:$B$72,$A1030+1)-F1030/INDEX(Surface_Engine!$B$12:$B$72,$A1030+1))))*(MAX(IF(D1030&lt;=0,0,MAX(0,(B1030/D1030)*H1030/INDEX(Surface_Engine!$B$12:$B$72,$A1030+1)-F1030/INDEX(Surface_Engine!$B$12:$B$72,$A1030+1))),IF(E1030&lt;=0,0,MAX(0,(B1030/E1030)*I1030/INDEX(Surface_Engine!$B$12:$B$72,$A1030+1)-F1030/INDEX(Surface_Engine!$B$12:$B$72,$A1030+1))),IF($A1030&lt;$Q$1014,MAX(0,-Assumptions!$B$22*(F1030/INDEX(Surface_Engine!$B$12:$B$72,$A1030+1))),0)))+2*Assumptions!$B$27*(IF(C1030&lt;=0,0,MAX(0,(B1030/C1030)*G1030/INDEX(Surface_Engine!$B$12:$B$72,$A1030+1)-F1030/INDEX(Surface_Engine!$B$12:$B$72,$A1030+1))))*(MAX(0,J1030/INDEX(Surface_Engine!$B$12:$B$72,$A1030+1)-(F1030/INDEX(Surface_Engine!$B$12:$B$72,$A1030+1))))+2*Assumptions!$B$28*(MAX(IF(D1030&lt;=0,0,MAX(0,(B1030/D1030)*H1030/INDEX(Surface_Engine!$B$12:$B$72,$A1030+1)-F1030/INDEX(Surface_Engine!$B$12:$B$72,$A1030+1))),IF(E1030&lt;=0,0,MAX(0,(B1030/E1030)*I1030/INDEX(Surface_Engine!$B$12:$B$72,$A1030+1)-F1030/INDEX(Surface_Engine!$B$12:$B$72,$A1030+1))),IF($A1030&lt;$Q$1014,MAX(0,-Assumptions!$B$22*(F1030/INDEX(Surface_Engine!$B$12:$B$72,$A1030+1))),0)))*(MAX(0,J1030/INDEX(Surface_Engine!$B$12:$B$72,$A1030+1)-(F1030/INDEX(Surface_Engine!$B$12:$B$72,$A1030+1)))))</f>
        <v>11115.3776416057</v>
      </c>
      <c r="L1030" s="48" t="n">
        <f aca="false">K1030*INDEX(Surface_Engine!$B$12:$B$72,$A1030+1)+L1031</f>
        <v>57210.9493829867</v>
      </c>
      <c r="M1030" s="48" t="n">
        <f aca="false">M1029+B1029*(IF($A1029&lt;$Q$1014,(Surface_Engine!B246*12)-(Surface_Engine!B246*12)*INDEX(Surface_Engine!$F$12:$F$72,$A1029+1)-INDEX(Surface_Engine!$D$12:$D$72,$A1029+1),-(1000*12*INDEX(Surface_Engine!$C$12:$C$72,$A1029+1)/(1+Assumptions!$B$10)^5+INDEX(Surface_Engine!$D$12:$D$72,$A1029+1))))*INDEX(Surface_Engine!$B$12:$B$72,$A1029+1)</f>
        <v>61280.4152652267</v>
      </c>
      <c r="N1030" s="12" t="n">
        <f aca="false">IF(B1030&lt;=0,0,MAX(0,(K1030+Assumptions!$B$29*L1030/INDEX(Surface_Engine!$B$12:$B$72,$A1030+1)-(M1030/INDEX(Surface_Engine!$B$12:$B$72,$A1030+1)-(F1030/INDEX(Surface_Engine!$B$12:$B$72,$A1030+1))))/B1030))</f>
        <v>12105.534837404</v>
      </c>
    </row>
    <row r="1031" customFormat="false" ht="15" hidden="false" customHeight="true" outlineLevel="0" collapsed="false">
      <c r="A1031" s="1" t="n">
        <v>15</v>
      </c>
      <c r="B1031" s="32" t="n">
        <f aca="false">INDEX(Surface_Engine!$Q$12:$Q$72,$A1031+1)*IF($A1031&lt;$Q$1014,INDEX(Surface_Engine!$E$12:$E$72,$A1031+1),INDEX(Surface_Engine!$E$12:$E$72,$Q$1014+1))</f>
        <v>0.635174546469271</v>
      </c>
      <c r="C1031" s="32" t="n">
        <f aca="false">INDEX(Panel_Reserving!$F$8:$F$68,$A1031+1)*IF($A1031&lt;$Q$1014,INDEX(Surface_Engine!$E$12:$E$72,$A1031+1),INDEX(Surface_Engine!$E$12:$E$72,$Q$1014+1))</f>
        <v>0.681833740416797</v>
      </c>
      <c r="D1031" s="32" t="n">
        <f aca="false">INDEX(Surface_Engine!$Q$12:$Q$72,$A1031+1)*IF($A1031&lt;$Q$1014,INDEX(Surface_Engine!$Y$12:$Y$72,$A1031+1),INDEX(Surface_Engine!$Y$12:$Y$72,$Q$1014+1))</f>
        <v>0.602491608481525</v>
      </c>
      <c r="E1031" s="32" t="n">
        <f aca="false">INDEX(Surface_Engine!$Q$12:$Q$72,$A1031+1)*IF($A1031&lt;$Q$1014,INDEX(Surface_Engine!$Z$12:$Z$72,$A1031+1),INDEX(Surface_Engine!$Z$12:$Z$72,$Q$1014+1))</f>
        <v>0.669157092729482</v>
      </c>
      <c r="F1031" s="48" t="n">
        <f aca="false">B1031*(IF($A1031&lt;$Q$1014,INDEX(Surface_Engine!$D$12:$D$72,$A1031+1)+(Surface_Engine!B246*12)*INDEX(Surface_Engine!$F$12:$F$72,$A1031+1)-(Surface_Engine!B246*12),1000*12*INDEX(Surface_Engine!$C$12:$C$72,$A1031+1)/(1+Assumptions!$B$10)^5+INDEX(Surface_Engine!$D$12:$D$72,$A1031+1)))*INDEX(Surface_Engine!$B$12:$B$72,$A1031+1)+F1032</f>
        <v>49535.3095309774</v>
      </c>
      <c r="G1031" s="48" t="n">
        <f aca="false">C1031*(IF($A1031&lt;$Q$1014,INDEX(Surface_Engine!$D$12:$D$72,$A1031+1)+(Surface_Engine!B246*12)*INDEX(Surface_Engine!$F$12:$F$72,$A1031+1)-(Surface_Engine!B246*12),1000*12*INDEX(Surface_Engine!$C$12:$C$72,$A1031+1)/(1+Assumptions!$B$10)^5+INDEX(Surface_Engine!$D$12:$D$72,$A1031+1)))*INDEX(Surface_Engine!$B$12:$B$72,$A1031+1)+G1032</f>
        <v>60396.685162503</v>
      </c>
      <c r="H1031" s="48" t="n">
        <f aca="false">D1031*(IF($A1031&lt;$Q$1014,INDEX(Surface_Engine!$D$12:$D$72,$A1031+1)+(Surface_Engine!B246*12)*INDEX(Surface_Engine!$F$12:$F$72,$A1031+1)-(Surface_Engine!B246*12),1000*12*INDEX(Surface_Engine!$C$12:$C$72,$A1031+1)/(1+Assumptions!$B$10)^5+INDEX(Surface_Engine!$D$12:$D$72,$A1031+1)))*INDEX(Surface_Engine!$B$12:$B$72,$A1031+1)+H1032</f>
        <v>46986.4677069402</v>
      </c>
      <c r="I1031" s="48" t="n">
        <f aca="false">E1031*(IF($A1031&lt;$Q$1014,INDEX(Surface_Engine!$D$12:$D$72,$A1031+1)+(Surface_Engine!B246*12)*INDEX(Surface_Engine!$F$12:$F$72,$A1031+1)-(Surface_Engine!B246*12),1000*12*INDEX(Surface_Engine!$C$12:$C$72,$A1031+1)/(1+Assumptions!$B$10)^5+INDEX(Surface_Engine!$D$12:$D$72,$A1031+1)))*INDEX(Surface_Engine!$B$12:$B$72,$A1031+1)+I1032</f>
        <v>52185.5038075072</v>
      </c>
      <c r="J1031" s="48" t="n">
        <f aca="false">B1031*(IF($A1031&lt;$Q$1014,INDEX(Surface_Engine!$D$12:$D$72,$A1031+1)*(1+Assumptions!$B$24)+(Surface_Engine!B246*12)*INDEX(Surface_Engine!$F$12:$F$72,$A1031+1)-(Surface_Engine!B246*12),1000*12*INDEX(Surface_Engine!$C$12:$C$72,$A1031+1)/(1+Assumptions!$B$10)^5+INDEX(Surface_Engine!$D$12:$D$72,$A1031+1)*(1+Assumptions!$B$24)))*INDEX(Surface_Engine!$B$12:$B$72,$A1031+1)+J1032</f>
        <v>49576.2671473965</v>
      </c>
      <c r="K1031" s="12" t="n">
        <f aca="false">SQRT((IF(C1031&lt;=0,0,MAX(0,(B1031/C1031)*G1031/INDEX(Surface_Engine!$B$12:$B$72,$A1031+1)-F1031/INDEX(Surface_Engine!$B$12:$B$72,$A1031+1))))^2+(MAX(IF(D1031&lt;=0,0,MAX(0,(B1031/D1031)*H1031/INDEX(Surface_Engine!$B$12:$B$72,$A1031+1)-F1031/INDEX(Surface_Engine!$B$12:$B$72,$A1031+1))),IF(E1031&lt;=0,0,MAX(0,(B1031/E1031)*I1031/INDEX(Surface_Engine!$B$12:$B$72,$A1031+1)-F1031/INDEX(Surface_Engine!$B$12:$B$72,$A1031+1))),IF($A1031&lt;$Q$1014,MAX(0,-Assumptions!$B$22*(F1031/INDEX(Surface_Engine!$B$12:$B$72,$A1031+1))),0)))^2+(MAX(0,J1031/INDEX(Surface_Engine!$B$12:$B$72,$A1031+1)-(F1031/INDEX(Surface_Engine!$B$12:$B$72,$A1031+1))))^2+2*Assumptions!$B$26*(IF(C1031&lt;=0,0,MAX(0,(B1031/C1031)*G1031/INDEX(Surface_Engine!$B$12:$B$72,$A1031+1)-F1031/INDEX(Surface_Engine!$B$12:$B$72,$A1031+1))))*(MAX(IF(D1031&lt;=0,0,MAX(0,(B1031/D1031)*H1031/INDEX(Surface_Engine!$B$12:$B$72,$A1031+1)-F1031/INDEX(Surface_Engine!$B$12:$B$72,$A1031+1))),IF(E1031&lt;=0,0,MAX(0,(B1031/E1031)*I1031/INDEX(Surface_Engine!$B$12:$B$72,$A1031+1)-F1031/INDEX(Surface_Engine!$B$12:$B$72,$A1031+1))),IF($A1031&lt;$Q$1014,MAX(0,-Assumptions!$B$22*(F1031/INDEX(Surface_Engine!$B$12:$B$72,$A1031+1))),0)))+2*Assumptions!$B$27*(IF(C1031&lt;=0,0,MAX(0,(B1031/C1031)*G1031/INDEX(Surface_Engine!$B$12:$B$72,$A1031+1)-F1031/INDEX(Surface_Engine!$B$12:$B$72,$A1031+1))))*(MAX(0,J1031/INDEX(Surface_Engine!$B$12:$B$72,$A1031+1)-(F1031/INDEX(Surface_Engine!$B$12:$B$72,$A1031+1))))+2*Assumptions!$B$28*(MAX(IF(D1031&lt;=0,0,MAX(0,(B1031/D1031)*H1031/INDEX(Surface_Engine!$B$12:$B$72,$A1031+1)-F1031/INDEX(Surface_Engine!$B$12:$B$72,$A1031+1))),IF(E1031&lt;=0,0,MAX(0,(B1031/E1031)*I1031/INDEX(Surface_Engine!$B$12:$B$72,$A1031+1)-F1031/INDEX(Surface_Engine!$B$12:$B$72,$A1031+1))),IF($A1031&lt;$Q$1014,MAX(0,-Assumptions!$B$22*(F1031/INDEX(Surface_Engine!$B$12:$B$72,$A1031+1))),0)))*(MAX(0,J1031/INDEX(Surface_Engine!$B$12:$B$72,$A1031+1)-(F1031/INDEX(Surface_Engine!$B$12:$B$72,$A1031+1)))))</f>
        <v>10663.4191052344</v>
      </c>
      <c r="L1031" s="48" t="n">
        <f aca="false">K1031*INDEX(Surface_Engine!$B$12:$B$72,$A1031+1)+L1032</f>
        <v>49925.0142013246</v>
      </c>
      <c r="M1031" s="48" t="n">
        <f aca="false">M1030+B1030*(IF($A1030&lt;$Q$1014,(Surface_Engine!B246*12)-(Surface_Engine!B246*12)*INDEX(Surface_Engine!$F$12:$F$72,$A1030+1)-INDEX(Surface_Engine!$D$12:$D$72,$A1030+1),-(1000*12*INDEX(Surface_Engine!$C$12:$C$72,$A1030+1)/(1+Assumptions!$B$10)^5+INDEX(Surface_Engine!$D$12:$D$72,$A1030+1))))*INDEX(Surface_Engine!$B$12:$B$72,$A1030+1)</f>
        <v>54969.2689106458</v>
      </c>
      <c r="N1031" s="12" t="n">
        <f aca="false">IF(B1031&lt;=0,0,MAX(0,(K1031+Assumptions!$B$29*L1031/INDEX(Surface_Engine!$B$12:$B$72,$A1031+1)-(M1031/INDEX(Surface_Engine!$B$12:$B$72,$A1031+1)-(F1031/INDEX(Surface_Engine!$B$12:$B$72,$A1031+1))))/B1031))</f>
        <v>10713.1955568732</v>
      </c>
    </row>
    <row r="1032" customFormat="false" ht="15" hidden="false" customHeight="true" outlineLevel="0" collapsed="false">
      <c r="A1032" s="1" t="n">
        <v>16</v>
      </c>
      <c r="B1032" s="32" t="n">
        <f aca="false">INDEX(Surface_Engine!$Q$12:$Q$72,$A1032+1)*IF($A1032&lt;$Q$1014,INDEX(Surface_Engine!$E$12:$E$72,$A1032+1),INDEX(Surface_Engine!$E$12:$E$72,$Q$1014+1))</f>
        <v>0.601144576571367</v>
      </c>
      <c r="C1032" s="32" t="n">
        <f aca="false">INDEX(Panel_Reserving!$F$8:$F$68,$A1032+1)*IF($A1032&lt;$Q$1014,INDEX(Surface_Engine!$E$12:$E$72,$A1032+1),INDEX(Surface_Engine!$E$12:$E$72,$Q$1014+1))</f>
        <v>0.652609922440166</v>
      </c>
      <c r="D1032" s="32" t="n">
        <f aca="false">INDEX(Surface_Engine!$Q$12:$Q$72,$A1032+1)*IF($A1032&lt;$Q$1014,INDEX(Surface_Engine!$Y$12:$Y$72,$A1032+1),INDEX(Surface_Engine!$Y$12:$Y$72,$Q$1014+1))</f>
        <v>0.570212652383025</v>
      </c>
      <c r="E1032" s="32" t="n">
        <f aca="false">INDEX(Surface_Engine!$Q$12:$Q$72,$A1032+1)*IF($A1032&lt;$Q$1014,INDEX(Surface_Engine!$Z$12:$Z$72,$A1032+1),INDEX(Surface_Engine!$Z$12:$Z$72,$Q$1014+1))</f>
        <v>0.633306481509098</v>
      </c>
      <c r="F1032" s="48" t="n">
        <f aca="false">B1032*(IF($A1032&lt;$Q$1014,INDEX(Surface_Engine!$D$12:$D$72,$A1032+1)+(Surface_Engine!B246*12)*INDEX(Surface_Engine!$F$12:$F$72,$A1032+1)-(Surface_Engine!B246*12),1000*12*INDEX(Surface_Engine!$C$12:$C$72,$A1032+1)/(1+Assumptions!$B$10)^5+INDEX(Surface_Engine!$D$12:$D$72,$A1032+1)))*INDEX(Surface_Engine!$B$12:$B$72,$A1032+1)+F1033</f>
        <v>43616.0759593266</v>
      </c>
      <c r="G1032" s="48" t="n">
        <f aca="false">C1032*(IF($A1032&lt;$Q$1014,INDEX(Surface_Engine!$D$12:$D$72,$A1032+1)+(Surface_Engine!B246*12)*INDEX(Surface_Engine!$F$12:$F$72,$A1032+1)-(Surface_Engine!B246*12),1000*12*INDEX(Surface_Engine!$C$12:$C$72,$A1032+1)/(1+Assumptions!$B$10)^5+INDEX(Surface_Engine!$D$12:$D$72,$A1032+1)))*INDEX(Surface_Engine!$B$12:$B$72,$A1032+1)+G1033</f>
        <v>54042.6314791591</v>
      </c>
      <c r="H1032" s="48" t="n">
        <f aca="false">D1032*(IF($A1032&lt;$Q$1014,INDEX(Surface_Engine!$D$12:$D$72,$A1032+1)+(Surface_Engine!B246*12)*INDEX(Surface_Engine!$F$12:$F$72,$A1032+1)-(Surface_Engine!B246*12),1000*12*INDEX(Surface_Engine!$C$12:$C$72,$A1032+1)/(1+Assumptions!$B$10)^5+INDEX(Surface_Engine!$D$12:$D$72,$A1032+1)))*INDEX(Surface_Engine!$B$12:$B$72,$A1032+1)+H1033</f>
        <v>41371.8085941253</v>
      </c>
      <c r="I1032" s="48" t="n">
        <f aca="false">E1032*(IF($A1032&lt;$Q$1014,INDEX(Surface_Engine!$D$12:$D$72,$A1032+1)+(Surface_Engine!B246*12)*INDEX(Surface_Engine!$F$12:$F$72,$A1032+1)-(Surface_Engine!B246*12),1000*12*INDEX(Surface_Engine!$C$12:$C$72,$A1032+1)/(1+Assumptions!$B$10)^5+INDEX(Surface_Engine!$D$12:$D$72,$A1032+1)))*INDEX(Surface_Engine!$B$12:$B$72,$A1032+1)+I1033</f>
        <v>45949.5846416497</v>
      </c>
      <c r="J1032" s="48" t="n">
        <f aca="false">B1032*(IF($A1032&lt;$Q$1014,INDEX(Surface_Engine!$D$12:$D$72,$A1032+1)*(1+Assumptions!$B$24)+(Surface_Engine!B246*12)*INDEX(Surface_Engine!$F$12:$F$72,$A1032+1)-(Surface_Engine!B246*12),1000*12*INDEX(Surface_Engine!$C$12:$C$72,$A1032+1)/(1+Assumptions!$B$10)^5+INDEX(Surface_Engine!$D$12:$D$72,$A1032+1)*(1+Assumptions!$B$24)))*INDEX(Surface_Engine!$B$12:$B$72,$A1032+1)+J1033</f>
        <v>43652.2666031286</v>
      </c>
      <c r="K1032" s="12" t="n">
        <f aca="false">SQRT((IF(C1032&lt;=0,0,MAX(0,(B1032/C1032)*G1032/INDEX(Surface_Engine!$B$12:$B$72,$A1032+1)-F1032/INDEX(Surface_Engine!$B$12:$B$72,$A1032+1))))^2+(MAX(IF(D1032&lt;=0,0,MAX(0,(B1032/D1032)*H1032/INDEX(Surface_Engine!$B$12:$B$72,$A1032+1)-F1032/INDEX(Surface_Engine!$B$12:$B$72,$A1032+1))),IF(E1032&lt;=0,0,MAX(0,(B1032/E1032)*I1032/INDEX(Surface_Engine!$B$12:$B$72,$A1032+1)-F1032/INDEX(Surface_Engine!$B$12:$B$72,$A1032+1))),IF($A1032&lt;$Q$1014,MAX(0,-Assumptions!$B$22*(F1032/INDEX(Surface_Engine!$B$12:$B$72,$A1032+1))),0)))^2+(MAX(0,J1032/INDEX(Surface_Engine!$B$12:$B$72,$A1032+1)-(F1032/INDEX(Surface_Engine!$B$12:$B$72,$A1032+1))))^2+2*Assumptions!$B$26*(IF(C1032&lt;=0,0,MAX(0,(B1032/C1032)*G1032/INDEX(Surface_Engine!$B$12:$B$72,$A1032+1)-F1032/INDEX(Surface_Engine!$B$12:$B$72,$A1032+1))))*(MAX(IF(D1032&lt;=0,0,MAX(0,(B1032/D1032)*H1032/INDEX(Surface_Engine!$B$12:$B$72,$A1032+1)-F1032/INDEX(Surface_Engine!$B$12:$B$72,$A1032+1))),IF(E1032&lt;=0,0,MAX(0,(B1032/E1032)*I1032/INDEX(Surface_Engine!$B$12:$B$72,$A1032+1)-F1032/INDEX(Surface_Engine!$B$12:$B$72,$A1032+1))),IF($A1032&lt;$Q$1014,MAX(0,-Assumptions!$B$22*(F1032/INDEX(Surface_Engine!$B$12:$B$72,$A1032+1))),0)))+2*Assumptions!$B$27*(IF(C1032&lt;=0,0,MAX(0,(B1032/C1032)*G1032/INDEX(Surface_Engine!$B$12:$B$72,$A1032+1)-F1032/INDEX(Surface_Engine!$B$12:$B$72,$A1032+1))))*(MAX(0,J1032/INDEX(Surface_Engine!$B$12:$B$72,$A1032+1)-(F1032/INDEX(Surface_Engine!$B$12:$B$72,$A1032+1))))+2*Assumptions!$B$28*(MAX(IF(D1032&lt;=0,0,MAX(0,(B1032/D1032)*H1032/INDEX(Surface_Engine!$B$12:$B$72,$A1032+1)-F1032/INDEX(Surface_Engine!$B$12:$B$72,$A1032+1))),IF(E1032&lt;=0,0,MAX(0,(B1032/E1032)*I1032/INDEX(Surface_Engine!$B$12:$B$72,$A1032+1)-F1032/INDEX(Surface_Engine!$B$12:$B$72,$A1032+1))),IF($A1032&lt;$Q$1014,MAX(0,-Assumptions!$B$22*(F1032/INDEX(Surface_Engine!$B$12:$B$72,$A1032+1))),0)))*(MAX(0,J1032/INDEX(Surface_Engine!$B$12:$B$72,$A1032+1)-(F1032/INDEX(Surface_Engine!$B$12:$B$72,$A1032+1)))))</f>
        <v>10123.326163479</v>
      </c>
      <c r="L1032" s="48" t="n">
        <f aca="false">K1032*INDEX(Surface_Engine!$B$12:$B$72,$A1032+1)+L1033</f>
        <v>43186.3437757485</v>
      </c>
      <c r="M1032" s="48" t="n">
        <f aca="false">M1031+B1031*(IF($A1031&lt;$Q$1014,(Surface_Engine!B246*12)-(Surface_Engine!B246*12)*INDEX(Surface_Engine!$F$12:$F$72,$A1031+1)-INDEX(Surface_Engine!$D$12:$D$72,$A1031+1),-(1000*12*INDEX(Surface_Engine!$C$12:$C$72,$A1031+1)/(1+Assumptions!$B$10)^5+INDEX(Surface_Engine!$D$12:$D$72,$A1031+1))))*INDEX(Surface_Engine!$B$12:$B$72,$A1031+1)</f>
        <v>49050.035338995</v>
      </c>
      <c r="N1032" s="12" t="n">
        <f aca="false">IF(B1032&lt;=0,0,MAX(0,(K1032+Assumptions!$B$29*L1032/INDEX(Surface_Engine!$B$12:$B$72,$A1032+1)-(M1032/INDEX(Surface_Engine!$B$12:$B$72,$A1032+1)-(F1032/INDEX(Surface_Engine!$B$12:$B$72,$A1032+1))))/B1032))</f>
        <v>9085.99653048031</v>
      </c>
    </row>
    <row r="1033" customFormat="false" ht="15" hidden="false" customHeight="true" outlineLevel="0" collapsed="false">
      <c r="A1033" s="1" t="n">
        <v>17</v>
      </c>
      <c r="B1033" s="32" t="n">
        <f aca="false">INDEX(Surface_Engine!$Q$12:$Q$72,$A1033+1)*IF($A1033&lt;$Q$1014,INDEX(Surface_Engine!$E$12:$E$72,$A1033+1),INDEX(Surface_Engine!$E$12:$E$72,$Q$1014+1))</f>
        <v>0.564725076504526</v>
      </c>
      <c r="C1033" s="32" t="n">
        <f aca="false">INDEX(Panel_Reserving!$F$8:$F$68,$A1033+1)*IF($A1033&lt;$Q$1014,INDEX(Surface_Engine!$E$12:$E$72,$A1033+1),INDEX(Surface_Engine!$E$12:$E$72,$Q$1014+1))</f>
        <v>0.620979957815696</v>
      </c>
      <c r="D1033" s="32" t="n">
        <f aca="false">INDEX(Surface_Engine!$Q$12:$Q$72,$A1033+1)*IF($A1033&lt;$Q$1014,INDEX(Surface_Engine!$Y$12:$Y$72,$A1033+1),INDEX(Surface_Engine!$Y$12:$Y$72,$Q$1014+1))</f>
        <v>0.535667119509684</v>
      </c>
      <c r="E1033" s="32" t="n">
        <f aca="false">INDEX(Surface_Engine!$Q$12:$Q$72,$A1033+1)*IF($A1033&lt;$Q$1014,INDEX(Surface_Engine!$Z$12:$Z$72,$A1033+1),INDEX(Surface_Engine!$Z$12:$Z$72,$Q$1014+1))</f>
        <v>0.594938497592149</v>
      </c>
      <c r="F1033" s="48" t="n">
        <f aca="false">B1033*(IF($A1033&lt;$Q$1014,INDEX(Surface_Engine!$D$12:$D$72,$A1033+1)+(Surface_Engine!B246*12)*INDEX(Surface_Engine!$F$12:$F$72,$A1033+1)-(Surface_Engine!B246*12),1000*12*INDEX(Surface_Engine!$C$12:$C$72,$A1033+1)/(1+Assumptions!$B$10)^5+INDEX(Surface_Engine!$D$12:$D$72,$A1033+1)))*INDEX(Surface_Engine!$B$12:$B$72,$A1033+1)+F1034</f>
        <v>38101.3461175553</v>
      </c>
      <c r="G1033" s="48" t="n">
        <f aca="false">C1033*(IF($A1033&lt;$Q$1014,INDEX(Surface_Engine!$D$12:$D$72,$A1033+1)+(Surface_Engine!B246*12)*INDEX(Surface_Engine!$F$12:$F$72,$A1033+1)-(Surface_Engine!B246*12),1000*12*INDEX(Surface_Engine!$C$12:$C$72,$A1033+1)/(1+Assumptions!$B$10)^5+INDEX(Surface_Engine!$D$12:$D$72,$A1033+1)))*INDEX(Surface_Engine!$B$12:$B$72,$A1033+1)+G1034</f>
        <v>48055.7731515941</v>
      </c>
      <c r="H1033" s="48" t="n">
        <f aca="false">D1033*(IF($A1033&lt;$Q$1014,INDEX(Surface_Engine!$D$12:$D$72,$A1033+1)+(Surface_Engine!B246*12)*INDEX(Surface_Engine!$F$12:$F$72,$A1033+1)-(Surface_Engine!B246*12),1000*12*INDEX(Surface_Engine!$C$12:$C$72,$A1033+1)/(1+Assumptions!$B$10)^5+INDEX(Surface_Engine!$D$12:$D$72,$A1033+1)))*INDEX(Surface_Engine!$B$12:$B$72,$A1033+1)+H1034</f>
        <v>36140.8394515818</v>
      </c>
      <c r="I1033" s="48" t="n">
        <f aca="false">E1033*(IF($A1033&lt;$Q$1014,INDEX(Surface_Engine!$D$12:$D$72,$A1033+1)+(Surface_Engine!B246*12)*INDEX(Surface_Engine!$F$12:$F$72,$A1033+1)-(Surface_Engine!B246*12),1000*12*INDEX(Surface_Engine!$C$12:$C$72,$A1033+1)/(1+Assumptions!$B$10)^5+INDEX(Surface_Engine!$D$12:$D$72,$A1033+1)))*INDEX(Surface_Engine!$B$12:$B$72,$A1033+1)+I1034</f>
        <v>40139.8106061174</v>
      </c>
      <c r="J1033" s="48" t="n">
        <f aca="false">B1033*(IF($A1033&lt;$Q$1014,INDEX(Surface_Engine!$D$12:$D$72,$A1033+1)*(1+Assumptions!$B$24)+(Surface_Engine!B246*12)*INDEX(Surface_Engine!$F$12:$F$72,$A1033+1)-(Surface_Engine!B246*12),1000*12*INDEX(Surface_Engine!$C$12:$C$72,$A1033+1)/(1+Assumptions!$B$10)^5+INDEX(Surface_Engine!$D$12:$D$72,$A1033+1)*(1+Assumptions!$B$24)))*INDEX(Surface_Engine!$B$12:$B$72,$A1033+1)+J1034</f>
        <v>38133.0739557424</v>
      </c>
      <c r="K1033" s="12" t="n">
        <f aca="false">SQRT((IF(C1033&lt;=0,0,MAX(0,(B1033/C1033)*G1033/INDEX(Surface_Engine!$B$12:$B$72,$A1033+1)-F1033/INDEX(Surface_Engine!$B$12:$B$72,$A1033+1))))^2+(MAX(IF(D1033&lt;=0,0,MAX(0,(B1033/D1033)*H1033/INDEX(Surface_Engine!$B$12:$B$72,$A1033+1)-F1033/INDEX(Surface_Engine!$B$12:$B$72,$A1033+1))),IF(E1033&lt;=0,0,MAX(0,(B1033/E1033)*I1033/INDEX(Surface_Engine!$B$12:$B$72,$A1033+1)-F1033/INDEX(Surface_Engine!$B$12:$B$72,$A1033+1))),IF($A1033&lt;$Q$1014,MAX(0,-Assumptions!$B$22*(F1033/INDEX(Surface_Engine!$B$12:$B$72,$A1033+1))),0)))^2+(MAX(0,J1033/INDEX(Surface_Engine!$B$12:$B$72,$A1033+1)-(F1033/INDEX(Surface_Engine!$B$12:$B$72,$A1033+1))))^2+2*Assumptions!$B$26*(IF(C1033&lt;=0,0,MAX(0,(B1033/C1033)*G1033/INDEX(Surface_Engine!$B$12:$B$72,$A1033+1)-F1033/INDEX(Surface_Engine!$B$12:$B$72,$A1033+1))))*(MAX(IF(D1033&lt;=0,0,MAX(0,(B1033/D1033)*H1033/INDEX(Surface_Engine!$B$12:$B$72,$A1033+1)-F1033/INDEX(Surface_Engine!$B$12:$B$72,$A1033+1))),IF(E1033&lt;=0,0,MAX(0,(B1033/E1033)*I1033/INDEX(Surface_Engine!$B$12:$B$72,$A1033+1)-F1033/INDEX(Surface_Engine!$B$12:$B$72,$A1033+1))),IF($A1033&lt;$Q$1014,MAX(0,-Assumptions!$B$22*(F1033/INDEX(Surface_Engine!$B$12:$B$72,$A1033+1))),0)))+2*Assumptions!$B$27*(IF(C1033&lt;=0,0,MAX(0,(B1033/C1033)*G1033/INDEX(Surface_Engine!$B$12:$B$72,$A1033+1)-F1033/INDEX(Surface_Engine!$B$12:$B$72,$A1033+1))))*(MAX(0,J1033/INDEX(Surface_Engine!$B$12:$B$72,$A1033+1)-(F1033/INDEX(Surface_Engine!$B$12:$B$72,$A1033+1))))+2*Assumptions!$B$28*(MAX(IF(D1033&lt;=0,0,MAX(0,(B1033/D1033)*H1033/INDEX(Surface_Engine!$B$12:$B$72,$A1033+1)-F1033/INDEX(Surface_Engine!$B$12:$B$72,$A1033+1))),IF(E1033&lt;=0,0,MAX(0,(B1033/E1033)*I1033/INDEX(Surface_Engine!$B$12:$B$72,$A1033+1)-F1033/INDEX(Surface_Engine!$B$12:$B$72,$A1033+1))),IF($A1033&lt;$Q$1014,MAX(0,-Assumptions!$B$22*(F1033/INDEX(Surface_Engine!$B$12:$B$72,$A1033+1))),0)))*(MAX(0,J1033/INDEX(Surface_Engine!$B$12:$B$72,$A1033+1)-(F1033/INDEX(Surface_Engine!$B$12:$B$72,$A1033+1)))))</f>
        <v>9512.51728838454</v>
      </c>
      <c r="L1033" s="48" t="n">
        <f aca="false">K1033*INDEX(Surface_Engine!$B$12:$B$72,$A1033+1)+L1034</f>
        <v>37012.4867416672</v>
      </c>
      <c r="M1033" s="48" t="n">
        <f aca="false">M1032+B1032*(IF($A1032&lt;$Q$1014,(Surface_Engine!B246*12)-(Surface_Engine!B246*12)*INDEX(Surface_Engine!$F$12:$F$72,$A1032+1)-INDEX(Surface_Engine!$D$12:$D$72,$A1032+1),-(1000*12*INDEX(Surface_Engine!$C$12:$C$72,$A1032+1)/(1+Assumptions!$B$10)^5+INDEX(Surface_Engine!$D$12:$D$72,$A1032+1))))*INDEX(Surface_Engine!$B$12:$B$72,$A1032+1)</f>
        <v>43535.3054972237</v>
      </c>
      <c r="N1033" s="12" t="n">
        <f aca="false">IF(B1033&lt;=0,0,MAX(0,(K1033+Assumptions!$B$29*L1033/INDEX(Surface_Engine!$B$12:$B$72,$A1033+1)-(M1033/INDEX(Surface_Engine!$B$12:$B$72,$A1033+1)-(F1033/INDEX(Surface_Engine!$B$12:$B$72,$A1033+1))))/B1033))</f>
        <v>7194.92929232972</v>
      </c>
    </row>
    <row r="1034" customFormat="false" ht="15" hidden="false" customHeight="true" outlineLevel="0" collapsed="false">
      <c r="A1034" s="1" t="n">
        <v>18</v>
      </c>
      <c r="B1034" s="32" t="n">
        <f aca="false">INDEX(Surface_Engine!$Q$12:$Q$72,$A1034+1)*IF($A1034&lt;$Q$1014,INDEX(Surface_Engine!$E$12:$E$72,$A1034+1),INDEX(Surface_Engine!$E$12:$E$72,$Q$1014+1))</f>
        <v>0.526042571343746</v>
      </c>
      <c r="C1034" s="32" t="n">
        <f aca="false">INDEX(Panel_Reserving!$F$8:$F$68,$A1034+1)*IF($A1034&lt;$Q$1014,INDEX(Surface_Engine!$E$12:$E$72,$A1034+1),INDEX(Surface_Engine!$E$12:$E$72,$Q$1014+1))</f>
        <v>0.586951278839186</v>
      </c>
      <c r="D1034" s="32" t="n">
        <f aca="false">INDEX(Surface_Engine!$Q$12:$Q$72,$A1034+1)*IF($A1034&lt;$Q$1014,INDEX(Surface_Engine!$Y$12:$Y$72,$A1034+1),INDEX(Surface_Engine!$Y$12:$Y$72,$Q$1014+1))</f>
        <v>0.49897502458245</v>
      </c>
      <c r="E1034" s="32" t="n">
        <f aca="false">INDEX(Surface_Engine!$Q$12:$Q$72,$A1034+1)*IF($A1034&lt;$Q$1014,INDEX(Surface_Engine!$Z$12:$Z$72,$A1034+1),INDEX(Surface_Engine!$Z$12:$Z$72,$Q$1014+1))</f>
        <v>0.554186435286181</v>
      </c>
      <c r="F1034" s="48" t="n">
        <f aca="false">B1034*(IF($A1034&lt;$Q$1014,INDEX(Surface_Engine!$D$12:$D$72,$A1034+1)+(Surface_Engine!B246*12)*INDEX(Surface_Engine!$F$12:$F$72,$A1034+1)-(Surface_Engine!B246*12),1000*12*INDEX(Surface_Engine!$C$12:$C$72,$A1034+1)/(1+Assumptions!$B$10)^5+INDEX(Surface_Engine!$D$12:$D$72,$A1034+1)))*INDEX(Surface_Engine!$B$12:$B$72,$A1034+1)+F1035</f>
        <v>32992.0620100877</v>
      </c>
      <c r="G1034" s="48" t="n">
        <f aca="false">C1034*(IF($A1034&lt;$Q$1014,INDEX(Surface_Engine!$D$12:$D$72,$A1034+1)+(Surface_Engine!B246*12)*INDEX(Surface_Engine!$F$12:$F$72,$A1034+1)-(Surface_Engine!B246*12),1000*12*INDEX(Surface_Engine!$C$12:$C$72,$A1034+1)/(1+Assumptions!$B$10)^5+INDEX(Surface_Engine!$D$12:$D$72,$A1034+1)))*INDEX(Surface_Engine!$B$12:$B$72,$A1034+1)+G1035</f>
        <v>42437.5295822416</v>
      </c>
      <c r="H1034" s="48" t="n">
        <f aca="false">D1034*(IF($A1034&lt;$Q$1014,INDEX(Surface_Engine!$D$12:$D$72,$A1034+1)+(Surface_Engine!B246*12)*INDEX(Surface_Engine!$F$12:$F$72,$A1034+1)-(Surface_Engine!B246*12),1000*12*INDEX(Surface_Engine!$C$12:$C$72,$A1034+1)/(1+Assumptions!$B$10)^5+INDEX(Surface_Engine!$D$12:$D$72,$A1034+1)))*INDEX(Surface_Engine!$B$12:$B$72,$A1034+1)+H1035</f>
        <v>31294.453812849</v>
      </c>
      <c r="I1034" s="48" t="n">
        <f aca="false">E1034*(IF($A1034&lt;$Q$1014,INDEX(Surface_Engine!$D$12:$D$72,$A1034+1)+(Surface_Engine!B246*12)*INDEX(Surface_Engine!$F$12:$F$72,$A1034+1)-(Surface_Engine!B246*12),1000*12*INDEX(Surface_Engine!$C$12:$C$72,$A1034+1)/(1+Assumptions!$B$10)^5+INDEX(Surface_Engine!$D$12:$D$72,$A1034+1)))*INDEX(Surface_Engine!$B$12:$B$72,$A1034+1)+I1035</f>
        <v>34757.1741036211</v>
      </c>
      <c r="J1034" s="48" t="n">
        <f aca="false">B1034*(IF($A1034&lt;$Q$1014,INDEX(Surface_Engine!$D$12:$D$72,$A1034+1)*(1+Assumptions!$B$24)+(Surface_Engine!B246*12)*INDEX(Surface_Engine!$F$12:$F$72,$A1034+1)-(Surface_Engine!B246*12),1000*12*INDEX(Surface_Engine!$C$12:$C$72,$A1034+1)/(1+Assumptions!$B$10)^5+INDEX(Surface_Engine!$D$12:$D$72,$A1034+1)*(1+Assumptions!$B$24)))*INDEX(Surface_Engine!$B$12:$B$72,$A1034+1)+J1035</f>
        <v>33019.6350470824</v>
      </c>
      <c r="K1034" s="12" t="n">
        <f aca="false">SQRT((IF(C1034&lt;=0,0,MAX(0,(B1034/C1034)*G1034/INDEX(Surface_Engine!$B$12:$B$72,$A1034+1)-F1034/INDEX(Surface_Engine!$B$12:$B$72,$A1034+1))))^2+(MAX(IF(D1034&lt;=0,0,MAX(0,(B1034/D1034)*H1034/INDEX(Surface_Engine!$B$12:$B$72,$A1034+1)-F1034/INDEX(Surface_Engine!$B$12:$B$72,$A1034+1))),IF(E1034&lt;=0,0,MAX(0,(B1034/E1034)*I1034/INDEX(Surface_Engine!$B$12:$B$72,$A1034+1)-F1034/INDEX(Surface_Engine!$B$12:$B$72,$A1034+1))),IF($A1034&lt;$Q$1014,MAX(0,-Assumptions!$B$22*(F1034/INDEX(Surface_Engine!$B$12:$B$72,$A1034+1))),0)))^2+(MAX(0,J1034/INDEX(Surface_Engine!$B$12:$B$72,$A1034+1)-(F1034/INDEX(Surface_Engine!$B$12:$B$72,$A1034+1))))^2+2*Assumptions!$B$26*(IF(C1034&lt;=0,0,MAX(0,(B1034/C1034)*G1034/INDEX(Surface_Engine!$B$12:$B$72,$A1034+1)-F1034/INDEX(Surface_Engine!$B$12:$B$72,$A1034+1))))*(MAX(IF(D1034&lt;=0,0,MAX(0,(B1034/D1034)*H1034/INDEX(Surface_Engine!$B$12:$B$72,$A1034+1)-F1034/INDEX(Surface_Engine!$B$12:$B$72,$A1034+1))),IF(E1034&lt;=0,0,MAX(0,(B1034/E1034)*I1034/INDEX(Surface_Engine!$B$12:$B$72,$A1034+1)-F1034/INDEX(Surface_Engine!$B$12:$B$72,$A1034+1))),IF($A1034&lt;$Q$1014,MAX(0,-Assumptions!$B$22*(F1034/INDEX(Surface_Engine!$B$12:$B$72,$A1034+1))),0)))+2*Assumptions!$B$27*(IF(C1034&lt;=0,0,MAX(0,(B1034/C1034)*G1034/INDEX(Surface_Engine!$B$12:$B$72,$A1034+1)-F1034/INDEX(Surface_Engine!$B$12:$B$72,$A1034+1))))*(MAX(0,J1034/INDEX(Surface_Engine!$B$12:$B$72,$A1034+1)-(F1034/INDEX(Surface_Engine!$B$12:$B$72,$A1034+1))))+2*Assumptions!$B$28*(MAX(IF(D1034&lt;=0,0,MAX(0,(B1034/D1034)*H1034/INDEX(Surface_Engine!$B$12:$B$72,$A1034+1)-F1034/INDEX(Surface_Engine!$B$12:$B$72,$A1034+1))),IF(E1034&lt;=0,0,MAX(0,(B1034/E1034)*I1034/INDEX(Surface_Engine!$B$12:$B$72,$A1034+1)-F1034/INDEX(Surface_Engine!$B$12:$B$72,$A1034+1))),IF($A1034&lt;$Q$1014,MAX(0,-Assumptions!$B$22*(F1034/INDEX(Surface_Engine!$B$12:$B$72,$A1034+1))),0)))*(MAX(0,J1034/INDEX(Surface_Engine!$B$12:$B$72,$A1034+1)-(F1034/INDEX(Surface_Engine!$B$12:$B$72,$A1034+1)))))</f>
        <v>8846.19875127753</v>
      </c>
      <c r="L1034" s="48" t="n">
        <f aca="false">K1034*INDEX(Surface_Engine!$B$12:$B$72,$A1034+1)+L1035</f>
        <v>31403.4398632803</v>
      </c>
      <c r="M1034" s="48" t="n">
        <f aca="false">M1033+B1033*(IF($A1033&lt;$Q$1014,(Surface_Engine!B246*12)-(Surface_Engine!B246*12)*INDEX(Surface_Engine!$F$12:$F$72,$A1033+1)-INDEX(Surface_Engine!$D$12:$D$72,$A1033+1),-(1000*12*INDEX(Surface_Engine!$C$12:$C$72,$A1033+1)/(1+Assumptions!$B$10)^5+INDEX(Surface_Engine!$D$12:$D$72,$A1033+1))))*INDEX(Surface_Engine!$B$12:$B$72,$A1033+1)</f>
        <v>38426.0213897561</v>
      </c>
      <c r="N1034" s="12" t="n">
        <f aca="false">IF(B1034&lt;=0,0,MAX(0,(K1034+Assumptions!$B$29*L1034/INDEX(Surface_Engine!$B$12:$B$72,$A1034+1)-(M1034/INDEX(Surface_Engine!$B$12:$B$72,$A1034+1)-(F1034/INDEX(Surface_Engine!$B$12:$B$72,$A1034+1))))/B1034))</f>
        <v>4992.62423600529</v>
      </c>
    </row>
    <row r="1035" customFormat="false" ht="15" hidden="false" customHeight="true" outlineLevel="0" collapsed="false">
      <c r="A1035" s="1" t="n">
        <v>19</v>
      </c>
      <c r="B1035" s="32" t="n">
        <f aca="false">INDEX(Surface_Engine!$Q$12:$Q$72,$A1035+1)*IF($A1035&lt;$Q$1014,INDEX(Surface_Engine!$E$12:$E$72,$A1035+1),INDEX(Surface_Engine!$E$12:$E$72,$Q$1014+1))</f>
        <v>0.4853243092135</v>
      </c>
      <c r="C1035" s="32" t="n">
        <f aca="false">INDEX(Panel_Reserving!$F$8:$F$68,$A1035+1)*IF($A1035&lt;$Q$1014,INDEX(Surface_Engine!$E$12:$E$72,$A1035+1),INDEX(Surface_Engine!$E$12:$E$72,$Q$1014+1))</f>
        <v>0.55060496417738</v>
      </c>
      <c r="D1035" s="32" t="n">
        <f aca="false">INDEX(Surface_Engine!$Q$12:$Q$72,$A1035+1)*IF($A1035&lt;$Q$1014,INDEX(Surface_Engine!$Y$12:$Y$72,$A1035+1),INDEX(Surface_Engine!$Y$12:$Y$72,$Q$1014+1))</f>
        <v>0.460351922662211</v>
      </c>
      <c r="E1035" s="32" t="n">
        <f aca="false">INDEX(Surface_Engine!$Q$12:$Q$72,$A1035+1)*IF($A1035&lt;$Q$1014,INDEX(Surface_Engine!$Z$12:$Z$72,$A1035+1),INDEX(Surface_Engine!$Z$12:$Z$72,$Q$1014+1))</f>
        <v>0.511289700743638</v>
      </c>
      <c r="F1035" s="48" t="n">
        <f aca="false">B1035*(IF($A1035&lt;$Q$1014,INDEX(Surface_Engine!$D$12:$D$72,$A1035+1)+(Surface_Engine!B246*12)*INDEX(Surface_Engine!$F$12:$F$72,$A1035+1)-(Surface_Engine!B246*12),1000*12*INDEX(Surface_Engine!$C$12:$C$72,$A1035+1)/(1+Assumptions!$B$10)^5+INDEX(Surface_Engine!$D$12:$D$72,$A1035+1)))*INDEX(Surface_Engine!$B$12:$B$72,$A1035+1)+F1036</f>
        <v>28293.2847395953</v>
      </c>
      <c r="G1035" s="48" t="n">
        <f aca="false">C1035*(IF($A1035&lt;$Q$1014,INDEX(Surface_Engine!$D$12:$D$72,$A1035+1)+(Surface_Engine!B246*12)*INDEX(Surface_Engine!$F$12:$F$72,$A1035+1)-(Surface_Engine!B246*12),1000*12*INDEX(Surface_Engine!$C$12:$C$72,$A1035+1)/(1+Assumptions!$B$10)^5+INDEX(Surface_Engine!$D$12:$D$72,$A1035+1)))*INDEX(Surface_Engine!$B$12:$B$72,$A1035+1)+G1036</f>
        <v>37194.6966289105</v>
      </c>
      <c r="H1035" s="48" t="n">
        <f aca="false">D1035*(IF($A1035&lt;$Q$1014,INDEX(Surface_Engine!$D$12:$D$72,$A1035+1)+(Surface_Engine!B246*12)*INDEX(Surface_Engine!$F$12:$F$72,$A1035+1)-(Surface_Engine!B246*12),1000*12*INDEX(Surface_Engine!$C$12:$C$72,$A1035+1)/(1+Assumptions!$B$10)^5+INDEX(Surface_Engine!$D$12:$D$72,$A1035+1)))*INDEX(Surface_Engine!$B$12:$B$72,$A1035+1)+H1036</f>
        <v>26837.4523613081</v>
      </c>
      <c r="I1035" s="48" t="n">
        <f aca="false">E1035*(IF($A1035&lt;$Q$1014,INDEX(Surface_Engine!$D$12:$D$72,$A1035+1)+(Surface_Engine!B246*12)*INDEX(Surface_Engine!$F$12:$F$72,$A1035+1)-(Surface_Engine!B246*12),1000*12*INDEX(Surface_Engine!$C$12:$C$72,$A1035+1)/(1+Assumptions!$B$10)^5+INDEX(Surface_Engine!$D$12:$D$72,$A1035+1)))*INDEX(Surface_Engine!$B$12:$B$72,$A1035+1)+I1036</f>
        <v>29807.0070114671</v>
      </c>
      <c r="J1035" s="48" t="n">
        <f aca="false">B1035*(IF($A1035&lt;$Q$1014,INDEX(Surface_Engine!$D$12:$D$72,$A1035+1)*(1+Assumptions!$B$24)+(Surface_Engine!B246*12)*INDEX(Surface_Engine!$F$12:$F$72,$A1035+1)-(Surface_Engine!B246*12),1000*12*INDEX(Surface_Engine!$C$12:$C$72,$A1035+1)/(1+Assumptions!$B$10)^5+INDEX(Surface_Engine!$D$12:$D$72,$A1035+1)*(1+Assumptions!$B$24)))*INDEX(Surface_Engine!$B$12:$B$72,$A1035+1)+J1036</f>
        <v>28317.0182167885</v>
      </c>
      <c r="K1035" s="12" t="n">
        <f aca="false">SQRT((IF(C1035&lt;=0,0,MAX(0,(B1035/C1035)*G1035/INDEX(Surface_Engine!$B$12:$B$72,$A1035+1)-F1035/INDEX(Surface_Engine!$B$12:$B$72,$A1035+1))))^2+(MAX(IF(D1035&lt;=0,0,MAX(0,(B1035/D1035)*H1035/INDEX(Surface_Engine!$B$12:$B$72,$A1035+1)-F1035/INDEX(Surface_Engine!$B$12:$B$72,$A1035+1))),IF(E1035&lt;=0,0,MAX(0,(B1035/E1035)*I1035/INDEX(Surface_Engine!$B$12:$B$72,$A1035+1)-F1035/INDEX(Surface_Engine!$B$12:$B$72,$A1035+1))),IF($A1035&lt;$Q$1014,MAX(0,-Assumptions!$B$22*(F1035/INDEX(Surface_Engine!$B$12:$B$72,$A1035+1))),0)))^2+(MAX(0,J1035/INDEX(Surface_Engine!$B$12:$B$72,$A1035+1)-(F1035/INDEX(Surface_Engine!$B$12:$B$72,$A1035+1))))^2+2*Assumptions!$B$26*(IF(C1035&lt;=0,0,MAX(0,(B1035/C1035)*G1035/INDEX(Surface_Engine!$B$12:$B$72,$A1035+1)-F1035/INDEX(Surface_Engine!$B$12:$B$72,$A1035+1))))*(MAX(IF(D1035&lt;=0,0,MAX(0,(B1035/D1035)*H1035/INDEX(Surface_Engine!$B$12:$B$72,$A1035+1)-F1035/INDEX(Surface_Engine!$B$12:$B$72,$A1035+1))),IF(E1035&lt;=0,0,MAX(0,(B1035/E1035)*I1035/INDEX(Surface_Engine!$B$12:$B$72,$A1035+1)-F1035/INDEX(Surface_Engine!$B$12:$B$72,$A1035+1))),IF($A1035&lt;$Q$1014,MAX(0,-Assumptions!$B$22*(F1035/INDEX(Surface_Engine!$B$12:$B$72,$A1035+1))),0)))+2*Assumptions!$B$27*(IF(C1035&lt;=0,0,MAX(0,(B1035/C1035)*G1035/INDEX(Surface_Engine!$B$12:$B$72,$A1035+1)-F1035/INDEX(Surface_Engine!$B$12:$B$72,$A1035+1))))*(MAX(0,J1035/INDEX(Surface_Engine!$B$12:$B$72,$A1035+1)-(F1035/INDEX(Surface_Engine!$B$12:$B$72,$A1035+1))))+2*Assumptions!$B$28*(MAX(IF(D1035&lt;=0,0,MAX(0,(B1035/D1035)*H1035/INDEX(Surface_Engine!$B$12:$B$72,$A1035+1)-F1035/INDEX(Surface_Engine!$B$12:$B$72,$A1035+1))),IF(E1035&lt;=0,0,MAX(0,(B1035/E1035)*I1035/INDEX(Surface_Engine!$B$12:$B$72,$A1035+1)-F1035/INDEX(Surface_Engine!$B$12:$B$72,$A1035+1))),IF($A1035&lt;$Q$1014,MAX(0,-Assumptions!$B$22*(F1035/INDEX(Surface_Engine!$B$12:$B$72,$A1035+1))),0)))*(MAX(0,J1035/INDEX(Surface_Engine!$B$12:$B$72,$A1035+1)-(F1035/INDEX(Surface_Engine!$B$12:$B$72,$A1035+1)))))</f>
        <v>8134.48471871</v>
      </c>
      <c r="L1035" s="48" t="n">
        <f aca="false">K1035*INDEX(Surface_Engine!$B$12:$B$72,$A1035+1)+L1036</f>
        <v>26354.8067973331</v>
      </c>
      <c r="M1035" s="48" t="n">
        <f aca="false">M1034+B1034*(IF($A1034&lt;$Q$1014,(Surface_Engine!B246*12)-(Surface_Engine!B246*12)*INDEX(Surface_Engine!$F$12:$F$72,$A1034+1)-INDEX(Surface_Engine!$D$12:$D$72,$A1034+1),-(1000*12*INDEX(Surface_Engine!$C$12:$C$72,$A1034+1)/(1+Assumptions!$B$10)^5+INDEX(Surface_Engine!$D$12:$D$72,$A1034+1))))*INDEX(Surface_Engine!$B$12:$B$72,$A1034+1)</f>
        <v>33727.2441192637</v>
      </c>
      <c r="N1035" s="12" t="n">
        <f aca="false">IF(B1035&lt;=0,0,MAX(0,(K1035+Assumptions!$B$29*L1035/INDEX(Surface_Engine!$B$12:$B$72,$A1035+1)-(M1035/INDEX(Surface_Engine!$B$12:$B$72,$A1035+1)-(F1035/INDEX(Surface_Engine!$B$12:$B$72,$A1035+1))))/B1035))</f>
        <v>2403.21853739967</v>
      </c>
    </row>
    <row r="1036" customFormat="false" ht="15" hidden="false" customHeight="true" outlineLevel="0" collapsed="false">
      <c r="A1036" s="1" t="n">
        <v>20</v>
      </c>
      <c r="B1036" s="32" t="n">
        <f aca="false">INDEX(Surface_Engine!$Q$12:$Q$72,$A1036+1)*IF($A1036&lt;$Q$1014,INDEX(Surface_Engine!$E$12:$E$72,$A1036+1),INDEX(Surface_Engine!$E$12:$E$72,$Q$1014+1))</f>
        <v>0.44291211600843</v>
      </c>
      <c r="C1036" s="32" t="n">
        <f aca="false">INDEX(Panel_Reserving!$F$8:$F$68,$A1036+1)*IF($A1036&lt;$Q$1014,INDEX(Surface_Engine!$E$12:$E$72,$A1036+1),INDEX(Surface_Engine!$E$12:$E$72,$Q$1014+1))</f>
        <v>0.512111340549574</v>
      </c>
      <c r="D1036" s="32" t="n">
        <f aca="false">INDEX(Surface_Engine!$Q$12:$Q$72,$A1036+1)*IF($A1036&lt;$Q$1014,INDEX(Surface_Engine!$Y$12:$Y$72,$A1036+1),INDEX(Surface_Engine!$Y$12:$Y$72,$Q$1014+1))</f>
        <v>0.420122050975141</v>
      </c>
      <c r="E1036" s="32" t="n">
        <f aca="false">INDEX(Surface_Engine!$Q$12:$Q$72,$A1036+1)*IF($A1036&lt;$Q$1014,INDEX(Surface_Engine!$Z$12:$Z$72,$A1036+1),INDEX(Surface_Engine!$Z$12:$Z$72,$Q$1014+1))</f>
        <v>0.466608407925557</v>
      </c>
      <c r="F1036" s="48" t="n">
        <f aca="false">B1036*(IF($A1036&lt;$Q$1014,INDEX(Surface_Engine!$D$12:$D$72,$A1036+1)+(Surface_Engine!B246*12)*INDEX(Surface_Engine!$F$12:$F$72,$A1036+1)-(Surface_Engine!B246*12),1000*12*INDEX(Surface_Engine!$C$12:$C$72,$A1036+1)/(1+Assumptions!$B$10)^5+INDEX(Surface_Engine!$D$12:$D$72,$A1036+1)))*INDEX(Surface_Engine!$B$12:$B$72,$A1036+1)+F1037</f>
        <v>24009.3657708543</v>
      </c>
      <c r="G1036" s="48" t="n">
        <f aca="false">C1036*(IF($A1036&lt;$Q$1014,INDEX(Surface_Engine!$D$12:$D$72,$A1036+1)+(Surface_Engine!B246*12)*INDEX(Surface_Engine!$F$12:$F$72,$A1036+1)-(Surface_Engine!B246*12),1000*12*INDEX(Surface_Engine!$C$12:$C$72,$A1036+1)/(1+Assumptions!$B$10)^5+INDEX(Surface_Engine!$D$12:$D$72,$A1036+1)))*INDEX(Surface_Engine!$B$12:$B$72,$A1036+1)+G1037</f>
        <v>32334.5505254835</v>
      </c>
      <c r="H1036" s="48" t="n">
        <f aca="false">D1036*(IF($A1036&lt;$Q$1014,INDEX(Surface_Engine!$D$12:$D$72,$A1036+1)+(Surface_Engine!B246*12)*INDEX(Surface_Engine!$F$12:$F$72,$A1036+1)-(Surface_Engine!B246*12),1000*12*INDEX(Surface_Engine!$C$12:$C$72,$A1036+1)/(1+Assumptions!$B$10)^5+INDEX(Surface_Engine!$D$12:$D$72,$A1036+1)))*INDEX(Surface_Engine!$B$12:$B$72,$A1036+1)+H1037</f>
        <v>22773.962656898</v>
      </c>
      <c r="I1036" s="48" t="n">
        <f aca="false">E1036*(IF($A1036&lt;$Q$1014,INDEX(Surface_Engine!$D$12:$D$72,$A1036+1)+(Surface_Engine!B246*12)*INDEX(Surface_Engine!$F$12:$F$72,$A1036+1)-(Surface_Engine!B246*12),1000*12*INDEX(Surface_Engine!$C$12:$C$72,$A1036+1)/(1+Assumptions!$B$10)^5+INDEX(Surface_Engine!$D$12:$D$72,$A1036+1)))*INDEX(Surface_Engine!$B$12:$B$72,$A1036+1)+I1037</f>
        <v>25293.8936026475</v>
      </c>
      <c r="J1036" s="48" t="n">
        <f aca="false">B1036*(IF($A1036&lt;$Q$1014,INDEX(Surface_Engine!$D$12:$D$72,$A1036+1)*(1+Assumptions!$B$24)+(Surface_Engine!B246*12)*INDEX(Surface_Engine!$F$12:$F$72,$A1036+1)-(Surface_Engine!B246*12),1000*12*INDEX(Surface_Engine!$C$12:$C$72,$A1036+1)/(1+Assumptions!$B$10)^5+INDEX(Surface_Engine!$D$12:$D$72,$A1036+1)*(1+Assumptions!$B$24)))*INDEX(Surface_Engine!$B$12:$B$72,$A1036+1)+J1037</f>
        <v>24029.5816669221</v>
      </c>
      <c r="K1036" s="12" t="n">
        <f aca="false">SQRT((IF(C1036&lt;=0,0,MAX(0,(B1036/C1036)*G1036/INDEX(Surface_Engine!$B$12:$B$72,$A1036+1)-F1036/INDEX(Surface_Engine!$B$12:$B$72,$A1036+1))))^2+(MAX(IF(D1036&lt;=0,0,MAX(0,(B1036/D1036)*H1036/INDEX(Surface_Engine!$B$12:$B$72,$A1036+1)-F1036/INDEX(Surface_Engine!$B$12:$B$72,$A1036+1))),IF(E1036&lt;=0,0,MAX(0,(B1036/E1036)*I1036/INDEX(Surface_Engine!$B$12:$B$72,$A1036+1)-F1036/INDEX(Surface_Engine!$B$12:$B$72,$A1036+1))),IF($A1036&lt;$Q$1014,MAX(0,-Assumptions!$B$22*(F1036/INDEX(Surface_Engine!$B$12:$B$72,$A1036+1))),0)))^2+(MAX(0,J1036/INDEX(Surface_Engine!$B$12:$B$72,$A1036+1)-(F1036/INDEX(Surface_Engine!$B$12:$B$72,$A1036+1))))^2+2*Assumptions!$B$26*(IF(C1036&lt;=0,0,MAX(0,(B1036/C1036)*G1036/INDEX(Surface_Engine!$B$12:$B$72,$A1036+1)-F1036/INDEX(Surface_Engine!$B$12:$B$72,$A1036+1))))*(MAX(IF(D1036&lt;=0,0,MAX(0,(B1036/D1036)*H1036/INDEX(Surface_Engine!$B$12:$B$72,$A1036+1)-F1036/INDEX(Surface_Engine!$B$12:$B$72,$A1036+1))),IF(E1036&lt;=0,0,MAX(0,(B1036/E1036)*I1036/INDEX(Surface_Engine!$B$12:$B$72,$A1036+1)-F1036/INDEX(Surface_Engine!$B$12:$B$72,$A1036+1))),IF($A1036&lt;$Q$1014,MAX(0,-Assumptions!$B$22*(F1036/INDEX(Surface_Engine!$B$12:$B$72,$A1036+1))),0)))+2*Assumptions!$B$27*(IF(C1036&lt;=0,0,MAX(0,(B1036/C1036)*G1036/INDEX(Surface_Engine!$B$12:$B$72,$A1036+1)-F1036/INDEX(Surface_Engine!$B$12:$B$72,$A1036+1))))*(MAX(0,J1036/INDEX(Surface_Engine!$B$12:$B$72,$A1036+1)-(F1036/INDEX(Surface_Engine!$B$12:$B$72,$A1036+1))))+2*Assumptions!$B$28*(MAX(IF(D1036&lt;=0,0,MAX(0,(B1036/D1036)*H1036/INDEX(Surface_Engine!$B$12:$B$72,$A1036+1)-F1036/INDEX(Surface_Engine!$B$12:$B$72,$A1036+1))),IF(E1036&lt;=0,0,MAX(0,(B1036/E1036)*I1036/INDEX(Surface_Engine!$B$12:$B$72,$A1036+1)-F1036/INDEX(Surface_Engine!$B$12:$B$72,$A1036+1))),IF($A1036&lt;$Q$1014,MAX(0,-Assumptions!$B$22*(F1036/INDEX(Surface_Engine!$B$12:$B$72,$A1036+1))),0)))*(MAX(0,J1036/INDEX(Surface_Engine!$B$12:$B$72,$A1036+1)-(F1036/INDEX(Surface_Engine!$B$12:$B$72,$A1036+1)))))</f>
        <v>7392.59467017586</v>
      </c>
      <c r="L1036" s="48" t="n">
        <f aca="false">K1036*INDEX(Surface_Engine!$B$12:$B$72,$A1036+1)+L1037</f>
        <v>21857.2689152672</v>
      </c>
      <c r="M1036" s="48" t="n">
        <f aca="false">M1035+B1035*(IF($A1035&lt;$Q$1014,(Surface_Engine!B246*12)-(Surface_Engine!B246*12)*INDEX(Surface_Engine!$F$12:$F$72,$A1035+1)-INDEX(Surface_Engine!$D$12:$D$72,$A1035+1),-(1000*12*INDEX(Surface_Engine!$C$12:$C$72,$A1035+1)/(1+Assumptions!$B$10)^5+INDEX(Surface_Engine!$D$12:$D$72,$A1035+1))))*INDEX(Surface_Engine!$B$12:$B$72,$A1035+1)</f>
        <v>29443.3251505227</v>
      </c>
      <c r="N1036" s="12" t="n">
        <f aca="false">IF(B1036&lt;=0,0,MAX(0,(K1036+Assumptions!$B$29*L1036/INDEX(Surface_Engine!$B$12:$B$72,$A1036+1)-(M1036/INDEX(Surface_Engine!$B$12:$B$72,$A1036+1)-(F1036/INDEX(Surface_Engine!$B$12:$B$72,$A1036+1))))/B1036))</f>
        <v>0</v>
      </c>
    </row>
    <row r="1037" customFormat="false" ht="15" hidden="false" customHeight="true" outlineLevel="0" collapsed="false">
      <c r="A1037" s="1" t="n">
        <v>21</v>
      </c>
      <c r="B1037" s="32" t="n">
        <f aca="false">INDEX(Surface_Engine!$Q$12:$Q$72,$A1037+1)*IF($A1037&lt;$Q$1014,INDEX(Surface_Engine!$E$12:$E$72,$A1037+1),INDEX(Surface_Engine!$E$12:$E$72,$Q$1014+1))</f>
        <v>0.397878301033386</v>
      </c>
      <c r="C1037" s="32" t="n">
        <f aca="false">INDEX(Panel_Reserving!$F$8:$F$68,$A1037+1)*IF($A1037&lt;$Q$1014,INDEX(Surface_Engine!$E$12:$E$72,$A1037+1),INDEX(Surface_Engine!$E$12:$E$72,$Q$1014+1))</f>
        <v>0.470455532955469</v>
      </c>
      <c r="D1037" s="32" t="n">
        <f aca="false">INDEX(Surface_Engine!$Q$12:$Q$72,$A1037+1)*IF($A1037&lt;$Q$1014,INDEX(Surface_Engine!$Y$12:$Y$72,$A1037+1),INDEX(Surface_Engine!$Y$12:$Y$72,$Q$1014+1))</f>
        <v>0.377405453197106</v>
      </c>
      <c r="E1037" s="32" t="n">
        <f aca="false">INDEX(Surface_Engine!$Q$12:$Q$72,$A1037+1)*IF($A1037&lt;$Q$1014,INDEX(Surface_Engine!$Z$12:$Z$72,$A1037+1),INDEX(Surface_Engine!$Z$12:$Z$72,$Q$1014+1))</f>
        <v>0.419165233650506</v>
      </c>
      <c r="F1037" s="48" t="n">
        <f aca="false">B1037*(IF($A1037&lt;$Q$1014,INDEX(Surface_Engine!$D$12:$D$72,$A1037+1)+(Surface_Engine!B246*12)*INDEX(Surface_Engine!$F$12:$F$72,$A1037+1)-(Surface_Engine!B246*12),1000*12*INDEX(Surface_Engine!$C$12:$C$72,$A1037+1)/(1+Assumptions!$B$10)^5+INDEX(Surface_Engine!$D$12:$D$72,$A1037+1)))*INDEX(Surface_Engine!$B$12:$B$72,$A1037+1)+F1038</f>
        <v>20144.6708853984</v>
      </c>
      <c r="G1037" s="48" t="n">
        <f aca="false">C1037*(IF($A1037&lt;$Q$1014,INDEX(Surface_Engine!$D$12:$D$72,$A1037+1)+(Surface_Engine!B246*12)*INDEX(Surface_Engine!$F$12:$F$72,$A1037+1)-(Surface_Engine!B246*12),1000*12*INDEX(Surface_Engine!$C$12:$C$72,$A1037+1)/(1+Assumptions!$B$10)^5+INDEX(Surface_Engine!$D$12:$D$72,$A1037+1)))*INDEX(Surface_Engine!$B$12:$B$72,$A1037+1)+G1038</f>
        <v>27866.0476169556</v>
      </c>
      <c r="H1037" s="48" t="n">
        <f aca="false">D1037*(IF($A1037&lt;$Q$1014,INDEX(Surface_Engine!$D$12:$D$72,$A1037+1)+(Surface_Engine!B246*12)*INDEX(Surface_Engine!$F$12:$F$72,$A1037+1)-(Surface_Engine!B246*12),1000*12*INDEX(Surface_Engine!$C$12:$C$72,$A1037+1)/(1+Assumptions!$B$10)^5+INDEX(Surface_Engine!$D$12:$D$72,$A1037+1)))*INDEX(Surface_Engine!$B$12:$B$72,$A1037+1)+H1038</f>
        <v>19108.1258396456</v>
      </c>
      <c r="I1037" s="48" t="n">
        <f aca="false">E1037*(IF($A1037&lt;$Q$1014,INDEX(Surface_Engine!$D$12:$D$72,$A1037+1)+(Surface_Engine!B246*12)*INDEX(Surface_Engine!$F$12:$F$72,$A1037+1)-(Surface_Engine!B246*12),1000*12*INDEX(Surface_Engine!$C$12:$C$72,$A1037+1)/(1+Assumptions!$B$10)^5+INDEX(Surface_Engine!$D$12:$D$72,$A1037+1)))*INDEX(Surface_Engine!$B$12:$B$72,$A1037+1)+I1038</f>
        <v>21222.4332328745</v>
      </c>
      <c r="J1037" s="48" t="n">
        <f aca="false">B1037*(IF($A1037&lt;$Q$1014,INDEX(Surface_Engine!$D$12:$D$72,$A1037+1)*(1+Assumptions!$B$24)+(Surface_Engine!B246*12)*INDEX(Surface_Engine!$F$12:$F$72,$A1037+1)-(Surface_Engine!B246*12),1000*12*INDEX(Surface_Engine!$C$12:$C$72,$A1037+1)/(1+Assumptions!$B$10)^5+INDEX(Surface_Engine!$D$12:$D$72,$A1037+1)*(1+Assumptions!$B$24)))*INDEX(Surface_Engine!$B$12:$B$72,$A1037+1)+J1038</f>
        <v>20161.6980033524</v>
      </c>
      <c r="K1037" s="12" t="n">
        <f aca="false">SQRT((IF(C1037&lt;=0,0,MAX(0,(B1037/C1037)*G1037/INDEX(Surface_Engine!$B$12:$B$72,$A1037+1)-F1037/INDEX(Surface_Engine!$B$12:$B$72,$A1037+1))))^2+(MAX(IF(D1037&lt;=0,0,MAX(0,(B1037/D1037)*H1037/INDEX(Surface_Engine!$B$12:$B$72,$A1037+1)-F1037/INDEX(Surface_Engine!$B$12:$B$72,$A1037+1))),IF(E1037&lt;=0,0,MAX(0,(B1037/E1037)*I1037/INDEX(Surface_Engine!$B$12:$B$72,$A1037+1)-F1037/INDEX(Surface_Engine!$B$12:$B$72,$A1037+1))),IF($A1037&lt;$Q$1014,MAX(0,-Assumptions!$B$22*(F1037/INDEX(Surface_Engine!$B$12:$B$72,$A1037+1))),0)))^2+(MAX(0,J1037/INDEX(Surface_Engine!$B$12:$B$72,$A1037+1)-(F1037/INDEX(Surface_Engine!$B$12:$B$72,$A1037+1))))^2+2*Assumptions!$B$26*(IF(C1037&lt;=0,0,MAX(0,(B1037/C1037)*G1037/INDEX(Surface_Engine!$B$12:$B$72,$A1037+1)-F1037/INDEX(Surface_Engine!$B$12:$B$72,$A1037+1))))*(MAX(IF(D1037&lt;=0,0,MAX(0,(B1037/D1037)*H1037/INDEX(Surface_Engine!$B$12:$B$72,$A1037+1)-F1037/INDEX(Surface_Engine!$B$12:$B$72,$A1037+1))),IF(E1037&lt;=0,0,MAX(0,(B1037/E1037)*I1037/INDEX(Surface_Engine!$B$12:$B$72,$A1037+1)-F1037/INDEX(Surface_Engine!$B$12:$B$72,$A1037+1))),IF($A1037&lt;$Q$1014,MAX(0,-Assumptions!$B$22*(F1037/INDEX(Surface_Engine!$B$12:$B$72,$A1037+1))),0)))+2*Assumptions!$B$27*(IF(C1037&lt;=0,0,MAX(0,(B1037/C1037)*G1037/INDEX(Surface_Engine!$B$12:$B$72,$A1037+1)-F1037/INDEX(Surface_Engine!$B$12:$B$72,$A1037+1))))*(MAX(0,J1037/INDEX(Surface_Engine!$B$12:$B$72,$A1037+1)-(F1037/INDEX(Surface_Engine!$B$12:$B$72,$A1037+1))))+2*Assumptions!$B$28*(MAX(IF(D1037&lt;=0,0,MAX(0,(B1037/D1037)*H1037/INDEX(Surface_Engine!$B$12:$B$72,$A1037+1)-F1037/INDEX(Surface_Engine!$B$12:$B$72,$A1037+1))),IF(E1037&lt;=0,0,MAX(0,(B1037/E1037)*I1037/INDEX(Surface_Engine!$B$12:$B$72,$A1037+1)-F1037/INDEX(Surface_Engine!$B$12:$B$72,$A1037+1))),IF($A1037&lt;$Q$1014,MAX(0,-Assumptions!$B$22*(F1037/INDEX(Surface_Engine!$B$12:$B$72,$A1037+1))),0)))*(MAX(0,J1037/INDEX(Surface_Engine!$B$12:$B$72,$A1037+1)-(F1037/INDEX(Surface_Engine!$B$12:$B$72,$A1037+1)))))</f>
        <v>6599.44760415606</v>
      </c>
      <c r="L1037" s="48" t="n">
        <f aca="false">K1037*INDEX(Surface_Engine!$B$12:$B$72,$A1037+1)+L1038</f>
        <v>17896.1993059135</v>
      </c>
      <c r="M1037" s="48" t="n">
        <f aca="false">M1036+B1036*(IF($A1036&lt;$Q$1014,(Surface_Engine!B246*12)-(Surface_Engine!B246*12)*INDEX(Surface_Engine!$F$12:$F$72,$A1036+1)-INDEX(Surface_Engine!$D$12:$D$72,$A1036+1),-(1000*12*INDEX(Surface_Engine!$C$12:$C$72,$A1036+1)/(1+Assumptions!$B$10)^5+INDEX(Surface_Engine!$D$12:$D$72,$A1036+1))))*INDEX(Surface_Engine!$B$12:$B$72,$A1036+1)</f>
        <v>25578.6302650669</v>
      </c>
      <c r="N1037" s="12" t="n">
        <f aca="false">IF(B1037&lt;=0,0,MAX(0,(K1037+Assumptions!$B$29*L1037/INDEX(Surface_Engine!$B$12:$B$72,$A1037+1)-(M1037/INDEX(Surface_Engine!$B$12:$B$72,$A1037+1)-(F1037/INDEX(Surface_Engine!$B$12:$B$72,$A1037+1))))/B1037))</f>
        <v>0</v>
      </c>
    </row>
    <row r="1038" customFormat="false" ht="15" hidden="false" customHeight="true" outlineLevel="0" collapsed="false">
      <c r="A1038" s="1" t="n">
        <v>22</v>
      </c>
      <c r="B1038" s="32" t="n">
        <f aca="false">INDEX(Surface_Engine!$Q$12:$Q$72,$A1038+1)*IF($A1038&lt;$Q$1014,INDEX(Surface_Engine!$E$12:$E$72,$A1038+1),INDEX(Surface_Engine!$E$12:$E$72,$Q$1014+1))</f>
        <v>0.352421970914926</v>
      </c>
      <c r="C1038" s="32" t="n">
        <f aca="false">INDEX(Panel_Reserving!$F$8:$F$68,$A1038+1)*IF($A1038&lt;$Q$1014,INDEX(Surface_Engine!$E$12:$E$72,$A1038+1),INDEX(Surface_Engine!$E$12:$E$72,$Q$1014+1))</f>
        <v>0.427457094575618</v>
      </c>
      <c r="D1038" s="32" t="n">
        <f aca="false">INDEX(Surface_Engine!$Q$12:$Q$72,$A1038+1)*IF($A1038&lt;$Q$1014,INDEX(Surface_Engine!$Y$12:$Y$72,$A1038+1),INDEX(Surface_Engine!$Y$12:$Y$72,$Q$1014+1))</f>
        <v>0.334288080813445</v>
      </c>
      <c r="E1038" s="32" t="n">
        <f aca="false">INDEX(Surface_Engine!$Q$12:$Q$72,$A1038+1)*IF($A1038&lt;$Q$1014,INDEX(Surface_Engine!$Z$12:$Z$72,$A1038+1),INDEX(Surface_Engine!$Z$12:$Z$72,$Q$1014+1))</f>
        <v>0.371276939200892</v>
      </c>
      <c r="F1038" s="48" t="n">
        <f aca="false">B1038*(IF($A1038&lt;$Q$1014,INDEX(Surface_Engine!$D$12:$D$72,$A1038+1)+(Surface_Engine!B246*12)*INDEX(Surface_Engine!$F$12:$F$72,$A1038+1)-(Surface_Engine!B246*12),1000*12*INDEX(Surface_Engine!$C$12:$C$72,$A1038+1)/(1+Assumptions!$B$10)^5+INDEX(Surface_Engine!$D$12:$D$72,$A1038+1)))*INDEX(Surface_Engine!$B$12:$B$72,$A1038+1)+F1039</f>
        <v>16712.8230574172</v>
      </c>
      <c r="G1038" s="48" t="n">
        <f aca="false">C1038*(IF($A1038&lt;$Q$1014,INDEX(Surface_Engine!$D$12:$D$72,$A1038+1)+(Surface_Engine!B246*12)*INDEX(Surface_Engine!$F$12:$F$72,$A1038+1)-(Surface_Engine!B246*12),1000*12*INDEX(Surface_Engine!$C$12:$C$72,$A1038+1)/(1+Assumptions!$B$10)^5+INDEX(Surface_Engine!$D$12:$D$72,$A1038+1)))*INDEX(Surface_Engine!$B$12:$B$72,$A1038+1)+G1039</f>
        <v>23808.1942614405</v>
      </c>
      <c r="H1038" s="48" t="n">
        <f aca="false">D1038*(IF($A1038&lt;$Q$1014,INDEX(Surface_Engine!$D$12:$D$72,$A1038+1)+(Surface_Engine!B246*12)*INDEX(Surface_Engine!$F$12:$F$72,$A1038+1)-(Surface_Engine!B246*12),1000*12*INDEX(Surface_Engine!$C$12:$C$72,$A1038+1)/(1+Assumptions!$B$10)^5+INDEX(Surface_Engine!$D$12:$D$72,$A1038+1)))*INDEX(Surface_Engine!$B$12:$B$72,$A1038+1)+H1039</f>
        <v>15852.8639129238</v>
      </c>
      <c r="I1038" s="48" t="n">
        <f aca="false">E1038*(IF($A1038&lt;$Q$1014,INDEX(Surface_Engine!$D$12:$D$72,$A1038+1)+(Surface_Engine!B246*12)*INDEX(Surface_Engine!$F$12:$F$72,$A1038+1)-(Surface_Engine!B246*12),1000*12*INDEX(Surface_Engine!$C$12:$C$72,$A1038+1)/(1+Assumptions!$B$10)^5+INDEX(Surface_Engine!$D$12:$D$72,$A1038+1)))*INDEX(Surface_Engine!$B$12:$B$72,$A1038+1)+I1039</f>
        <v>17606.9777206423</v>
      </c>
      <c r="J1038" s="48" t="n">
        <f aca="false">B1038*(IF($A1038&lt;$Q$1014,INDEX(Surface_Engine!$D$12:$D$72,$A1038+1)*(1+Assumptions!$B$24)+(Surface_Engine!B246*12)*INDEX(Surface_Engine!$F$12:$F$72,$A1038+1)-(Surface_Engine!B246*12),1000*12*INDEX(Surface_Engine!$C$12:$C$72,$A1038+1)/(1+Assumptions!$B$10)^5+INDEX(Surface_Engine!$D$12:$D$72,$A1038+1)*(1+Assumptions!$B$24)))*INDEX(Surface_Engine!$B$12:$B$72,$A1038+1)+J1039</f>
        <v>16727.0047759486</v>
      </c>
      <c r="K1038" s="12" t="n">
        <f aca="false">SQRT((IF(C1038&lt;=0,0,MAX(0,(B1038/C1038)*G1038/INDEX(Surface_Engine!$B$12:$B$72,$A1038+1)-F1038/INDEX(Surface_Engine!$B$12:$B$72,$A1038+1))))^2+(MAX(IF(D1038&lt;=0,0,MAX(0,(B1038/D1038)*H1038/INDEX(Surface_Engine!$B$12:$B$72,$A1038+1)-F1038/INDEX(Surface_Engine!$B$12:$B$72,$A1038+1))),IF(E1038&lt;=0,0,MAX(0,(B1038/E1038)*I1038/INDEX(Surface_Engine!$B$12:$B$72,$A1038+1)-F1038/INDEX(Surface_Engine!$B$12:$B$72,$A1038+1))),IF($A1038&lt;$Q$1014,MAX(0,-Assumptions!$B$22*(F1038/INDEX(Surface_Engine!$B$12:$B$72,$A1038+1))),0)))^2+(MAX(0,J1038/INDEX(Surface_Engine!$B$12:$B$72,$A1038+1)-(F1038/INDEX(Surface_Engine!$B$12:$B$72,$A1038+1))))^2+2*Assumptions!$B$26*(IF(C1038&lt;=0,0,MAX(0,(B1038/C1038)*G1038/INDEX(Surface_Engine!$B$12:$B$72,$A1038+1)-F1038/INDEX(Surface_Engine!$B$12:$B$72,$A1038+1))))*(MAX(IF(D1038&lt;=0,0,MAX(0,(B1038/D1038)*H1038/INDEX(Surface_Engine!$B$12:$B$72,$A1038+1)-F1038/INDEX(Surface_Engine!$B$12:$B$72,$A1038+1))),IF(E1038&lt;=0,0,MAX(0,(B1038/E1038)*I1038/INDEX(Surface_Engine!$B$12:$B$72,$A1038+1)-F1038/INDEX(Surface_Engine!$B$12:$B$72,$A1038+1))),IF($A1038&lt;$Q$1014,MAX(0,-Assumptions!$B$22*(F1038/INDEX(Surface_Engine!$B$12:$B$72,$A1038+1))),0)))+2*Assumptions!$B$27*(IF(C1038&lt;=0,0,MAX(0,(B1038/C1038)*G1038/INDEX(Surface_Engine!$B$12:$B$72,$A1038+1)-F1038/INDEX(Surface_Engine!$B$12:$B$72,$A1038+1))))*(MAX(0,J1038/INDEX(Surface_Engine!$B$12:$B$72,$A1038+1)-(F1038/INDEX(Surface_Engine!$B$12:$B$72,$A1038+1))))+2*Assumptions!$B$28*(MAX(IF(D1038&lt;=0,0,MAX(0,(B1038/D1038)*H1038/INDEX(Surface_Engine!$B$12:$B$72,$A1038+1)-F1038/INDEX(Surface_Engine!$B$12:$B$72,$A1038+1))),IF(E1038&lt;=0,0,MAX(0,(B1038/E1038)*I1038/INDEX(Surface_Engine!$B$12:$B$72,$A1038+1)-F1038/INDEX(Surface_Engine!$B$12:$B$72,$A1038+1))),IF($A1038&lt;$Q$1014,MAX(0,-Assumptions!$B$22*(F1038/INDEX(Surface_Engine!$B$12:$B$72,$A1038+1))),0)))*(MAX(0,J1038/INDEX(Surface_Engine!$B$12:$B$72,$A1038+1)-(F1038/INDEX(Surface_Engine!$B$12:$B$72,$A1038+1)))))</f>
        <v>5802.37633827997</v>
      </c>
      <c r="L1038" s="48" t="n">
        <f aca="false">K1038*INDEX(Surface_Engine!$B$12:$B$72,$A1038+1)+L1039</f>
        <v>14469.4246693695</v>
      </c>
      <c r="M1038" s="48" t="n">
        <f aca="false">M1037+B1037*(IF($A1037&lt;$Q$1014,(Surface_Engine!B246*12)-(Surface_Engine!B246*12)*INDEX(Surface_Engine!$F$12:$F$72,$A1037+1)-INDEX(Surface_Engine!$D$12:$D$72,$A1037+1),-(1000*12*INDEX(Surface_Engine!$C$12:$C$72,$A1037+1)/(1+Assumptions!$B$10)^5+INDEX(Surface_Engine!$D$12:$D$72,$A1037+1))))*INDEX(Surface_Engine!$B$12:$B$72,$A1037+1)</f>
        <v>22146.7824370856</v>
      </c>
      <c r="N1038" s="12" t="n">
        <f aca="false">IF(B1038&lt;=0,0,MAX(0,(K1038+Assumptions!$B$29*L1038/INDEX(Surface_Engine!$B$12:$B$72,$A1038+1)-(M1038/INDEX(Surface_Engine!$B$12:$B$72,$A1038+1)-(F1038/INDEX(Surface_Engine!$B$12:$B$72,$A1038+1))))/B1038))</f>
        <v>0</v>
      </c>
    </row>
    <row r="1039" customFormat="false" ht="15" hidden="false" customHeight="true" outlineLevel="0" collapsed="false">
      <c r="A1039" s="1" t="n">
        <v>23</v>
      </c>
      <c r="B1039" s="32" t="n">
        <f aca="false">INDEX(Surface_Engine!$Q$12:$Q$72,$A1039+1)*IF($A1039&lt;$Q$1014,INDEX(Surface_Engine!$E$12:$E$72,$A1039+1),INDEX(Surface_Engine!$E$12:$E$72,$Q$1014+1))</f>
        <v>0.307676095668041</v>
      </c>
      <c r="C1039" s="32" t="n">
        <f aca="false">INDEX(Panel_Reserving!$F$8:$F$68,$A1039+1)*IF($A1039&lt;$Q$1014,INDEX(Surface_Engine!$E$12:$E$72,$A1039+1),INDEX(Surface_Engine!$E$12:$E$72,$Q$1014+1))</f>
        <v>0.384038821242384</v>
      </c>
      <c r="D1039" s="32" t="n">
        <f aca="false">INDEX(Surface_Engine!$Q$12:$Q$72,$A1039+1)*IF($A1039&lt;$Q$1014,INDEX(Surface_Engine!$Y$12:$Y$72,$A1039+1),INDEX(Surface_Engine!$Y$12:$Y$72,$Q$1014+1))</f>
        <v>0.291844606810487</v>
      </c>
      <c r="E1039" s="32" t="n">
        <f aca="false">INDEX(Surface_Engine!$Q$12:$Q$72,$A1039+1)*IF($A1039&lt;$Q$1014,INDEX(Surface_Engine!$Z$12:$Z$72,$A1039+1),INDEX(Surface_Engine!$Z$12:$Z$72,$Q$1014+1))</f>
        <v>0.324137109750422</v>
      </c>
      <c r="F1039" s="48" t="n">
        <f aca="false">B1039*(IF($A1039&lt;$Q$1014,INDEX(Surface_Engine!$D$12:$D$72,$A1039+1)+(Surface_Engine!B246*12)*INDEX(Surface_Engine!$F$12:$F$72,$A1039+1)-(Surface_Engine!B246*12),1000*12*INDEX(Surface_Engine!$C$12:$C$72,$A1039+1)/(1+Assumptions!$B$10)^5+INDEX(Surface_Engine!$D$12:$D$72,$A1039+1)))*INDEX(Surface_Engine!$B$12:$B$72,$A1039+1)+F1040</f>
        <v>13708.0441183181</v>
      </c>
      <c r="G1039" s="48" t="n">
        <f aca="false">C1039*(IF($A1039&lt;$Q$1014,INDEX(Surface_Engine!$D$12:$D$72,$A1039+1)+(Surface_Engine!B246*12)*INDEX(Surface_Engine!$F$12:$F$72,$A1039+1)-(Surface_Engine!B246*12),1000*12*INDEX(Surface_Engine!$C$12:$C$72,$A1039+1)/(1+Assumptions!$B$10)^5+INDEX(Surface_Engine!$D$12:$D$72,$A1039+1)))*INDEX(Surface_Engine!$B$12:$B$72,$A1039+1)+G1040</f>
        <v>20163.6596377482</v>
      </c>
      <c r="H1039" s="48" t="n">
        <f aca="false">D1039*(IF($A1039&lt;$Q$1014,INDEX(Surface_Engine!$D$12:$D$72,$A1039+1)+(Surface_Engine!B246*12)*INDEX(Surface_Engine!$F$12:$F$72,$A1039+1)-(Surface_Engine!B246*12),1000*12*INDEX(Surface_Engine!$C$12:$C$72,$A1039+1)/(1+Assumptions!$B$10)^5+INDEX(Surface_Engine!$D$12:$D$72,$A1039+1)))*INDEX(Surface_Engine!$B$12:$B$72,$A1039+1)+H1040</f>
        <v>13002.6960240931</v>
      </c>
      <c r="I1039" s="48" t="n">
        <f aca="false">E1039*(IF($A1039&lt;$Q$1014,INDEX(Surface_Engine!$D$12:$D$72,$A1039+1)+(Surface_Engine!B246*12)*INDEX(Surface_Engine!$F$12:$F$72,$A1039+1)-(Surface_Engine!B246*12),1000*12*INDEX(Surface_Engine!$C$12:$C$72,$A1039+1)/(1+Assumptions!$B$10)^5+INDEX(Surface_Engine!$D$12:$D$72,$A1039+1)))*INDEX(Surface_Engine!$B$12:$B$72,$A1039+1)+I1040</f>
        <v>14441.4397588978</v>
      </c>
      <c r="J1039" s="48" t="n">
        <f aca="false">B1039*(IF($A1039&lt;$Q$1014,INDEX(Surface_Engine!$D$12:$D$72,$A1039+1)*(1+Assumptions!$B$24)+(Surface_Engine!B246*12)*INDEX(Surface_Engine!$F$12:$F$72,$A1039+1)-(Surface_Engine!B246*12),1000*12*INDEX(Surface_Engine!$C$12:$C$72,$A1039+1)/(1+Assumptions!$B$10)^5+INDEX(Surface_Engine!$D$12:$D$72,$A1039+1)*(1+Assumptions!$B$24)))*INDEX(Surface_Engine!$B$12:$B$72,$A1039+1)+J1040</f>
        <v>13719.7224164541</v>
      </c>
      <c r="K1039" s="12" t="n">
        <f aca="false">SQRT((IF(C1039&lt;=0,0,MAX(0,(B1039/C1039)*G1039/INDEX(Surface_Engine!$B$12:$B$72,$A1039+1)-F1039/INDEX(Surface_Engine!$B$12:$B$72,$A1039+1))))^2+(MAX(IF(D1039&lt;=0,0,MAX(0,(B1039/D1039)*H1039/INDEX(Surface_Engine!$B$12:$B$72,$A1039+1)-F1039/INDEX(Surface_Engine!$B$12:$B$72,$A1039+1))),IF(E1039&lt;=0,0,MAX(0,(B1039/E1039)*I1039/INDEX(Surface_Engine!$B$12:$B$72,$A1039+1)-F1039/INDEX(Surface_Engine!$B$12:$B$72,$A1039+1))),IF($A1039&lt;$Q$1014,MAX(0,-Assumptions!$B$22*(F1039/INDEX(Surface_Engine!$B$12:$B$72,$A1039+1))),0)))^2+(MAX(0,J1039/INDEX(Surface_Engine!$B$12:$B$72,$A1039+1)-(F1039/INDEX(Surface_Engine!$B$12:$B$72,$A1039+1))))^2+2*Assumptions!$B$26*(IF(C1039&lt;=0,0,MAX(0,(B1039/C1039)*G1039/INDEX(Surface_Engine!$B$12:$B$72,$A1039+1)-F1039/INDEX(Surface_Engine!$B$12:$B$72,$A1039+1))))*(MAX(IF(D1039&lt;=0,0,MAX(0,(B1039/D1039)*H1039/INDEX(Surface_Engine!$B$12:$B$72,$A1039+1)-F1039/INDEX(Surface_Engine!$B$12:$B$72,$A1039+1))),IF(E1039&lt;=0,0,MAX(0,(B1039/E1039)*I1039/INDEX(Surface_Engine!$B$12:$B$72,$A1039+1)-F1039/INDEX(Surface_Engine!$B$12:$B$72,$A1039+1))),IF($A1039&lt;$Q$1014,MAX(0,-Assumptions!$B$22*(F1039/INDEX(Surface_Engine!$B$12:$B$72,$A1039+1))),0)))+2*Assumptions!$B$27*(IF(C1039&lt;=0,0,MAX(0,(B1039/C1039)*G1039/INDEX(Surface_Engine!$B$12:$B$72,$A1039+1)-F1039/INDEX(Surface_Engine!$B$12:$B$72,$A1039+1))))*(MAX(0,J1039/INDEX(Surface_Engine!$B$12:$B$72,$A1039+1)-(F1039/INDEX(Surface_Engine!$B$12:$B$72,$A1039+1))))+2*Assumptions!$B$28*(MAX(IF(D1039&lt;=0,0,MAX(0,(B1039/D1039)*H1039/INDEX(Surface_Engine!$B$12:$B$72,$A1039+1)-F1039/INDEX(Surface_Engine!$B$12:$B$72,$A1039+1))),IF(E1039&lt;=0,0,MAX(0,(B1039/E1039)*I1039/INDEX(Surface_Engine!$B$12:$B$72,$A1039+1)-F1039/INDEX(Surface_Engine!$B$12:$B$72,$A1039+1))),IF($A1039&lt;$Q$1014,MAX(0,-Assumptions!$B$22*(F1039/INDEX(Surface_Engine!$B$12:$B$72,$A1039+1))),0)))*(MAX(0,J1039/INDEX(Surface_Engine!$B$12:$B$72,$A1039+1)-(F1039/INDEX(Surface_Engine!$B$12:$B$72,$A1039+1)))))</f>
        <v>5022.80157966367</v>
      </c>
      <c r="L1039" s="48" t="n">
        <f aca="false">K1039*INDEX(Surface_Engine!$B$12:$B$72,$A1039+1)+L1040</f>
        <v>11549.7274726265</v>
      </c>
      <c r="M1039" s="48" t="n">
        <f aca="false">M1038+B1038*(IF($A1038&lt;$Q$1014,(Surface_Engine!B246*12)-(Surface_Engine!B246*12)*INDEX(Surface_Engine!$F$12:$F$72,$A1038+1)-INDEX(Surface_Engine!$D$12:$D$72,$A1038+1),-(1000*12*INDEX(Surface_Engine!$C$12:$C$72,$A1038+1)/(1+Assumptions!$B$10)^5+INDEX(Surface_Engine!$D$12:$D$72,$A1038+1))))*INDEX(Surface_Engine!$B$12:$B$72,$A1038+1)</f>
        <v>19142.0034979865</v>
      </c>
      <c r="N1039" s="12" t="n">
        <f aca="false">IF(B1039&lt;=0,0,MAX(0,(K1039+Assumptions!$B$29*L1039/INDEX(Surface_Engine!$B$12:$B$72,$A1039+1)-(M1039/INDEX(Surface_Engine!$B$12:$B$72,$A1039+1)-(F1039/INDEX(Surface_Engine!$B$12:$B$72,$A1039+1))))/B1039))</f>
        <v>0</v>
      </c>
    </row>
    <row r="1040" customFormat="false" ht="15" hidden="false" customHeight="true" outlineLevel="0" collapsed="false">
      <c r="A1040" s="1" t="n">
        <v>24</v>
      </c>
      <c r="B1040" s="32" t="n">
        <f aca="false">INDEX(Surface_Engine!$Q$12:$Q$72,$A1040+1)*IF($A1040&lt;$Q$1014,INDEX(Surface_Engine!$E$12:$E$72,$A1040+1),INDEX(Surface_Engine!$E$12:$E$72,$Q$1014+1))</f>
        <v>0.264936094270026</v>
      </c>
      <c r="C1040" s="32" t="n">
        <f aca="false">INDEX(Panel_Reserving!$F$8:$F$68,$A1040+1)*IF($A1040&lt;$Q$1014,INDEX(Surface_Engine!$E$12:$E$72,$A1040+1),INDEX(Surface_Engine!$E$12:$E$72,$Q$1014+1))</f>
        <v>0.341360641200732</v>
      </c>
      <c r="D1040" s="32" t="n">
        <f aca="false">INDEX(Surface_Engine!$Q$12:$Q$72,$A1040+1)*IF($A1040&lt;$Q$1014,INDEX(Surface_Engine!$Y$12:$Y$72,$A1040+1),INDEX(Surface_Engine!$Y$12:$Y$72,$Q$1014+1))</f>
        <v>0.2513037943174</v>
      </c>
      <c r="E1040" s="32" t="n">
        <f aca="false">INDEX(Surface_Engine!$Q$12:$Q$72,$A1040+1)*IF($A1040&lt;$Q$1014,INDEX(Surface_Engine!$Z$12:$Z$72,$A1040+1),INDEX(Surface_Engine!$Z$12:$Z$72,$Q$1014+1))</f>
        <v>0.279110470635667</v>
      </c>
      <c r="F1040" s="48" t="n">
        <f aca="false">B1040*(IF($A1040&lt;$Q$1014,INDEX(Surface_Engine!$D$12:$D$72,$A1040+1)+(Surface_Engine!B246*12)*INDEX(Surface_Engine!$F$12:$F$72,$A1040+1)-(Surface_Engine!B246*12),1000*12*INDEX(Surface_Engine!$C$12:$C$72,$A1040+1)/(1+Assumptions!$B$10)^5+INDEX(Surface_Engine!$D$12:$D$72,$A1040+1)))*INDEX(Surface_Engine!$B$12:$B$72,$A1040+1)+F1041</f>
        <v>11115.0187968672</v>
      </c>
      <c r="G1040" s="48" t="n">
        <f aca="false">C1040*(IF($A1040&lt;$Q$1014,INDEX(Surface_Engine!$D$12:$D$72,$A1040+1)+(Surface_Engine!B246*12)*INDEX(Surface_Engine!$F$12:$F$72,$A1040+1)-(Surface_Engine!B246*12),1000*12*INDEX(Surface_Engine!$C$12:$C$72,$A1040+1)/(1+Assumptions!$B$10)^5+INDEX(Surface_Engine!$D$12:$D$72,$A1040+1)))*INDEX(Surface_Engine!$B$12:$B$72,$A1040+1)+G1041</f>
        <v>16927.0663439485</v>
      </c>
      <c r="H1040" s="48" t="n">
        <f aca="false">D1040*(IF($A1040&lt;$Q$1014,INDEX(Surface_Engine!$D$12:$D$72,$A1040+1)+(Surface_Engine!B246*12)*INDEX(Surface_Engine!$F$12:$F$72,$A1040+1)-(Surface_Engine!B246*12),1000*12*INDEX(Surface_Engine!$C$12:$C$72,$A1040+1)/(1+Assumptions!$B$10)^5+INDEX(Surface_Engine!$D$12:$D$72,$A1040+1)))*INDEX(Surface_Engine!$B$12:$B$72,$A1040+1)+H1041</f>
        <v>10543.0949499656</v>
      </c>
      <c r="I1040" s="48" t="n">
        <f aca="false">E1040*(IF($A1040&lt;$Q$1014,INDEX(Surface_Engine!$D$12:$D$72,$A1040+1)+(Surface_Engine!B246*12)*INDEX(Surface_Engine!$F$12:$F$72,$A1040+1)-(Surface_Engine!B246*12),1000*12*INDEX(Surface_Engine!$C$12:$C$72,$A1040+1)/(1+Assumptions!$B$10)^5+INDEX(Surface_Engine!$D$12:$D$72,$A1040+1)))*INDEX(Surface_Engine!$B$12:$B$72,$A1040+1)+I1041</f>
        <v>11709.6846923242</v>
      </c>
      <c r="J1040" s="48" t="n">
        <f aca="false">B1040*(IF($A1040&lt;$Q$1014,INDEX(Surface_Engine!$D$12:$D$72,$A1040+1)*(1+Assumptions!$B$24)+(Surface_Engine!B246*12)*INDEX(Surface_Engine!$F$12:$F$72,$A1040+1)-(Surface_Engine!B246*12),1000*12*INDEX(Surface_Engine!$C$12:$C$72,$A1040+1)/(1+Assumptions!$B$10)^5+INDEX(Surface_Engine!$D$12:$D$72,$A1040+1)*(1+Assumptions!$B$24)))*INDEX(Surface_Engine!$B$12:$B$72,$A1040+1)+J1041</f>
        <v>11124.5262242161</v>
      </c>
      <c r="K1040" s="12" t="n">
        <f aca="false">SQRT((IF(C1040&lt;=0,0,MAX(0,(B1040/C1040)*G1040/INDEX(Surface_Engine!$B$12:$B$72,$A1040+1)-F1040/INDEX(Surface_Engine!$B$12:$B$72,$A1040+1))))^2+(MAX(IF(D1040&lt;=0,0,MAX(0,(B1040/D1040)*H1040/INDEX(Surface_Engine!$B$12:$B$72,$A1040+1)-F1040/INDEX(Surface_Engine!$B$12:$B$72,$A1040+1))),IF(E1040&lt;=0,0,MAX(0,(B1040/E1040)*I1040/INDEX(Surface_Engine!$B$12:$B$72,$A1040+1)-F1040/INDEX(Surface_Engine!$B$12:$B$72,$A1040+1))),IF($A1040&lt;$Q$1014,MAX(0,-Assumptions!$B$22*(F1040/INDEX(Surface_Engine!$B$12:$B$72,$A1040+1))),0)))^2+(MAX(0,J1040/INDEX(Surface_Engine!$B$12:$B$72,$A1040+1)-(F1040/INDEX(Surface_Engine!$B$12:$B$72,$A1040+1))))^2+2*Assumptions!$B$26*(IF(C1040&lt;=0,0,MAX(0,(B1040/C1040)*G1040/INDEX(Surface_Engine!$B$12:$B$72,$A1040+1)-F1040/INDEX(Surface_Engine!$B$12:$B$72,$A1040+1))))*(MAX(IF(D1040&lt;=0,0,MAX(0,(B1040/D1040)*H1040/INDEX(Surface_Engine!$B$12:$B$72,$A1040+1)-F1040/INDEX(Surface_Engine!$B$12:$B$72,$A1040+1))),IF(E1040&lt;=0,0,MAX(0,(B1040/E1040)*I1040/INDEX(Surface_Engine!$B$12:$B$72,$A1040+1)-F1040/INDEX(Surface_Engine!$B$12:$B$72,$A1040+1))),IF($A1040&lt;$Q$1014,MAX(0,-Assumptions!$B$22*(F1040/INDEX(Surface_Engine!$B$12:$B$72,$A1040+1))),0)))+2*Assumptions!$B$27*(IF(C1040&lt;=0,0,MAX(0,(B1040/C1040)*G1040/INDEX(Surface_Engine!$B$12:$B$72,$A1040+1)-F1040/INDEX(Surface_Engine!$B$12:$B$72,$A1040+1))))*(MAX(0,J1040/INDEX(Surface_Engine!$B$12:$B$72,$A1040+1)-(F1040/INDEX(Surface_Engine!$B$12:$B$72,$A1040+1))))+2*Assumptions!$B$28*(MAX(IF(D1040&lt;=0,0,MAX(0,(B1040/D1040)*H1040/INDEX(Surface_Engine!$B$12:$B$72,$A1040+1)-F1040/INDEX(Surface_Engine!$B$12:$B$72,$A1040+1))),IF(E1040&lt;=0,0,MAX(0,(B1040/E1040)*I1040/INDEX(Surface_Engine!$B$12:$B$72,$A1040+1)-F1040/INDEX(Surface_Engine!$B$12:$B$72,$A1040+1))),IF($A1040&lt;$Q$1014,MAX(0,-Assumptions!$B$22*(F1040/INDEX(Surface_Engine!$B$12:$B$72,$A1040+1))),0)))*(MAX(0,J1040/INDEX(Surface_Engine!$B$12:$B$72,$A1040+1)-(F1040/INDEX(Surface_Engine!$B$12:$B$72,$A1040+1)))))</f>
        <v>4286.11465155102</v>
      </c>
      <c r="L1040" s="48" t="n">
        <f aca="false">K1040*INDEX(Surface_Engine!$B$12:$B$72,$A1040+1)+L1041</f>
        <v>9100.53179441146</v>
      </c>
      <c r="M1040" s="48" t="n">
        <f aca="false">M1039+B1039*(IF($A1039&lt;$Q$1014,(Surface_Engine!B246*12)-(Surface_Engine!B246*12)*INDEX(Surface_Engine!$F$12:$F$72,$A1039+1)-INDEX(Surface_Engine!$D$12:$D$72,$A1039+1),-(1000*12*INDEX(Surface_Engine!$C$12:$C$72,$A1039+1)/(1+Assumptions!$B$10)^5+INDEX(Surface_Engine!$D$12:$D$72,$A1039+1))))*INDEX(Surface_Engine!$B$12:$B$72,$A1039+1)</f>
        <v>16548.9781765356</v>
      </c>
      <c r="N1040" s="12" t="n">
        <f aca="false">IF(B1040&lt;=0,0,MAX(0,(K1040+Assumptions!$B$29*L1040/INDEX(Surface_Engine!$B$12:$B$72,$A1040+1)-(M1040/INDEX(Surface_Engine!$B$12:$B$72,$A1040+1)-(F1040/INDEX(Surface_Engine!$B$12:$B$72,$A1040+1))))/B1040))</f>
        <v>0</v>
      </c>
    </row>
    <row r="1041" customFormat="false" ht="15" hidden="false" customHeight="true" outlineLevel="0" collapsed="false">
      <c r="A1041" s="1" t="n">
        <v>25</v>
      </c>
      <c r="B1041" s="32" t="n">
        <f aca="false">INDEX(Surface_Engine!$Q$12:$Q$72,$A1041+1)*IF($A1041&lt;$Q$1014,INDEX(Surface_Engine!$E$12:$E$72,$A1041+1),INDEX(Surface_Engine!$E$12:$E$72,$Q$1014+1))</f>
        <v>0.225195265027224</v>
      </c>
      <c r="C1041" s="32" t="n">
        <f aca="false">INDEX(Panel_Reserving!$F$8:$F$68,$A1041+1)*IF($A1041&lt;$Q$1014,INDEX(Surface_Engine!$E$12:$E$72,$A1041+1),INDEX(Surface_Engine!$E$12:$E$72,$Q$1014+1))</f>
        <v>0.300396936381123</v>
      </c>
      <c r="D1041" s="32" t="n">
        <f aca="false">INDEX(Surface_Engine!$Q$12:$Q$72,$A1041+1)*IF($A1041&lt;$Q$1014,INDEX(Surface_Engine!$Y$12:$Y$72,$A1041+1),INDEX(Surface_Engine!$Y$12:$Y$72,$Q$1014+1))</f>
        <v>0.213607831426601</v>
      </c>
      <c r="E1041" s="32" t="n">
        <f aca="false">INDEX(Surface_Engine!$Q$12:$Q$72,$A1041+1)*IF($A1041&lt;$Q$1014,INDEX(Surface_Engine!$Z$12:$Z$72,$A1041+1),INDEX(Surface_Engine!$Z$12:$Z$72,$Q$1014+1))</f>
        <v>0.237243462729583</v>
      </c>
      <c r="F1041" s="48" t="n">
        <f aca="false">B1041*(IF($A1041&lt;$Q$1014,INDEX(Surface_Engine!$D$12:$D$72,$A1041+1)+(Surface_Engine!B246*12)*INDEX(Surface_Engine!$F$12:$F$72,$A1041+1)-(Surface_Engine!B246*12),1000*12*INDEX(Surface_Engine!$C$12:$C$72,$A1041+1)/(1+Assumptions!$B$10)^5+INDEX(Surface_Engine!$D$12:$D$72,$A1041+1)))*INDEX(Surface_Engine!$B$12:$B$72,$A1041+1)+F1042</f>
        <v>8908.49697846745</v>
      </c>
      <c r="G1041" s="48" t="n">
        <f aca="false">C1041*(IF($A1041&lt;$Q$1014,INDEX(Surface_Engine!$D$12:$D$72,$A1041+1)+(Surface_Engine!B246*12)*INDEX(Surface_Engine!$F$12:$F$72,$A1041+1)-(Surface_Engine!B246*12),1000*12*INDEX(Surface_Engine!$C$12:$C$72,$A1041+1)/(1+Assumptions!$B$10)^5+INDEX(Surface_Engine!$D$12:$D$72,$A1041+1)))*INDEX(Surface_Engine!$B$12:$B$72,$A1041+1)+G1042</f>
        <v>14084.0422372195</v>
      </c>
      <c r="H1041" s="48" t="n">
        <f aca="false">D1041*(IF($A1041&lt;$Q$1014,INDEX(Surface_Engine!$D$12:$D$72,$A1041+1)+(Surface_Engine!B246*12)*INDEX(Surface_Engine!$F$12:$F$72,$A1041+1)-(Surface_Engine!B246*12),1000*12*INDEX(Surface_Engine!$C$12:$C$72,$A1041+1)/(1+Assumptions!$B$10)^5+INDEX(Surface_Engine!$D$12:$D$72,$A1041+1)))*INDEX(Surface_Engine!$B$12:$B$72,$A1041+1)+H1042</f>
        <v>8450.10982185088</v>
      </c>
      <c r="I1041" s="48" t="n">
        <f aca="false">E1041*(IF($A1041&lt;$Q$1014,INDEX(Surface_Engine!$D$12:$D$72,$A1041+1)+(Surface_Engine!B246*12)*INDEX(Surface_Engine!$F$12:$F$72,$A1041+1)-(Surface_Engine!B246*12),1000*12*INDEX(Surface_Engine!$C$12:$C$72,$A1041+1)/(1+Assumptions!$B$10)^5+INDEX(Surface_Engine!$D$12:$D$72,$A1041+1)))*INDEX(Surface_Engine!$B$12:$B$72,$A1041+1)+I1042</f>
        <v>9385.11149704745</v>
      </c>
      <c r="J1041" s="48" t="n">
        <f aca="false">B1041*(IF($A1041&lt;$Q$1014,INDEX(Surface_Engine!$D$12:$D$72,$A1041+1)*(1+Assumptions!$B$24)+(Surface_Engine!B246*12)*INDEX(Surface_Engine!$F$12:$F$72,$A1041+1)-(Surface_Engine!B246*12),1000*12*INDEX(Surface_Engine!$C$12:$C$72,$A1041+1)/(1+Assumptions!$B$10)^5+INDEX(Surface_Engine!$D$12:$D$72,$A1041+1)*(1+Assumptions!$B$24)))*INDEX(Surface_Engine!$B$12:$B$72,$A1041+1)+J1042</f>
        <v>8916.14813509848</v>
      </c>
      <c r="K1041" s="12" t="n">
        <f aca="false">SQRT((IF(C1041&lt;=0,0,MAX(0,(B1041/C1041)*G1041/INDEX(Surface_Engine!$B$12:$B$72,$A1041+1)-F1041/INDEX(Surface_Engine!$B$12:$B$72,$A1041+1))))^2+(MAX(IF(D1041&lt;=0,0,MAX(0,(B1041/D1041)*H1041/INDEX(Surface_Engine!$B$12:$B$72,$A1041+1)-F1041/INDEX(Surface_Engine!$B$12:$B$72,$A1041+1))),IF(E1041&lt;=0,0,MAX(0,(B1041/E1041)*I1041/INDEX(Surface_Engine!$B$12:$B$72,$A1041+1)-F1041/INDEX(Surface_Engine!$B$12:$B$72,$A1041+1))),IF($A1041&lt;$Q$1014,MAX(0,-Assumptions!$B$22*(F1041/INDEX(Surface_Engine!$B$12:$B$72,$A1041+1))),0)))^2+(MAX(0,J1041/INDEX(Surface_Engine!$B$12:$B$72,$A1041+1)-(F1041/INDEX(Surface_Engine!$B$12:$B$72,$A1041+1))))^2+2*Assumptions!$B$26*(IF(C1041&lt;=0,0,MAX(0,(B1041/C1041)*G1041/INDEX(Surface_Engine!$B$12:$B$72,$A1041+1)-F1041/INDEX(Surface_Engine!$B$12:$B$72,$A1041+1))))*(MAX(IF(D1041&lt;=0,0,MAX(0,(B1041/D1041)*H1041/INDEX(Surface_Engine!$B$12:$B$72,$A1041+1)-F1041/INDEX(Surface_Engine!$B$12:$B$72,$A1041+1))),IF(E1041&lt;=0,0,MAX(0,(B1041/E1041)*I1041/INDEX(Surface_Engine!$B$12:$B$72,$A1041+1)-F1041/INDEX(Surface_Engine!$B$12:$B$72,$A1041+1))),IF($A1041&lt;$Q$1014,MAX(0,-Assumptions!$B$22*(F1041/INDEX(Surface_Engine!$B$12:$B$72,$A1041+1))),0)))+2*Assumptions!$B$27*(IF(C1041&lt;=0,0,MAX(0,(B1041/C1041)*G1041/INDEX(Surface_Engine!$B$12:$B$72,$A1041+1)-F1041/INDEX(Surface_Engine!$B$12:$B$72,$A1041+1))))*(MAX(0,J1041/INDEX(Surface_Engine!$B$12:$B$72,$A1041+1)-(F1041/INDEX(Surface_Engine!$B$12:$B$72,$A1041+1))))+2*Assumptions!$B$28*(MAX(IF(D1041&lt;=0,0,MAX(0,(B1041/D1041)*H1041/INDEX(Surface_Engine!$B$12:$B$72,$A1041+1)-F1041/INDEX(Surface_Engine!$B$12:$B$72,$A1041+1))),IF(E1041&lt;=0,0,MAX(0,(B1041/E1041)*I1041/INDEX(Surface_Engine!$B$12:$B$72,$A1041+1)-F1041/INDEX(Surface_Engine!$B$12:$B$72,$A1041+1))),IF($A1041&lt;$Q$1014,MAX(0,-Assumptions!$B$22*(F1041/INDEX(Surface_Engine!$B$12:$B$72,$A1041+1))),0)))*(MAX(0,J1041/INDEX(Surface_Engine!$B$12:$B$72,$A1041+1)-(F1041/INDEX(Surface_Engine!$B$12:$B$72,$A1041+1)))))</f>
        <v>3608.1363931475</v>
      </c>
      <c r="L1041" s="48" t="n">
        <f aca="false">K1041*INDEX(Surface_Engine!$B$12:$B$72,$A1041+1)+L1042</f>
        <v>7075.75410617936</v>
      </c>
      <c r="M1041" s="48" t="n">
        <f aca="false">M1040+B1040*(IF($A1040&lt;$Q$1014,(Surface_Engine!B246*12)-(Surface_Engine!B246*12)*INDEX(Surface_Engine!$F$12:$F$72,$A1040+1)-INDEX(Surface_Engine!$D$12:$D$72,$A1040+1),-(1000*12*INDEX(Surface_Engine!$C$12:$C$72,$A1040+1)/(1+Assumptions!$B$10)^5+INDEX(Surface_Engine!$D$12:$D$72,$A1040+1))))*INDEX(Surface_Engine!$B$12:$B$72,$A1040+1)</f>
        <v>14342.4563581359</v>
      </c>
      <c r="N1041" s="12" t="n">
        <f aca="false">IF(B1041&lt;=0,0,MAX(0,(K1041+Assumptions!$B$29*L1041/INDEX(Surface_Engine!$B$12:$B$72,$A1041+1)-(M1041/INDEX(Surface_Engine!$B$12:$B$72,$A1041+1)-(F1041/INDEX(Surface_Engine!$B$12:$B$72,$A1041+1))))/B1041))</f>
        <v>0</v>
      </c>
    </row>
    <row r="1042" customFormat="false" ht="15" hidden="false" customHeight="true" outlineLevel="0" collapsed="false">
      <c r="A1042" s="1" t="n">
        <v>26</v>
      </c>
      <c r="B1042" s="32" t="n">
        <f aca="false">INDEX(Surface_Engine!$Q$12:$Q$72,$A1042+1)*IF($A1042&lt;$Q$1014,INDEX(Surface_Engine!$E$12:$E$72,$A1042+1),INDEX(Surface_Engine!$E$12:$E$72,$Q$1014+1))</f>
        <v>0.187968518493277</v>
      </c>
      <c r="C1042" s="32" t="n">
        <f aca="false">INDEX(Panel_Reserving!$F$8:$F$68,$A1042+1)*IF($A1042&lt;$Q$1014,INDEX(Surface_Engine!$E$12:$E$72,$A1042+1),INDEX(Surface_Engine!$E$12:$E$72,$Q$1014+1))</f>
        <v>0.260670344051991</v>
      </c>
      <c r="D1042" s="32" t="n">
        <f aca="false">INDEX(Surface_Engine!$Q$12:$Q$72,$A1042+1)*IF($A1042&lt;$Q$1014,INDEX(Surface_Engine!$Y$12:$Y$72,$A1042+1),INDEX(Surface_Engine!$Y$12:$Y$72,$Q$1014+1))</f>
        <v>0.178296588993405</v>
      </c>
      <c r="E1042" s="32" t="n">
        <f aca="false">INDEX(Surface_Engine!$Q$12:$Q$72,$A1042+1)*IF($A1042&lt;$Q$1014,INDEX(Surface_Engine!$Z$12:$Z$72,$A1042+1),INDEX(Surface_Engine!$Z$12:$Z$72,$Q$1014+1))</f>
        <v>0.198025043759706</v>
      </c>
      <c r="F1042" s="48" t="n">
        <f aca="false">B1042*(IF($A1042&lt;$Q$1014,INDEX(Surface_Engine!$D$12:$D$72,$A1042+1)+(Surface_Engine!B246*12)*INDEX(Surface_Engine!$F$12:$F$72,$A1042+1)-(Surface_Engine!B246*12),1000*12*INDEX(Surface_Engine!$C$12:$C$72,$A1042+1)/(1+Assumptions!$B$10)^5+INDEX(Surface_Engine!$D$12:$D$72,$A1042+1)))*INDEX(Surface_Engine!$B$12:$B$72,$A1042+1)+F1043</f>
        <v>7054.67113938065</v>
      </c>
      <c r="G1042" s="48" t="n">
        <f aca="false">C1042*(IF($A1042&lt;$Q$1014,INDEX(Surface_Engine!$D$12:$D$72,$A1042+1)+(Surface_Engine!B246*12)*INDEX(Surface_Engine!$F$12:$F$72,$A1042+1)-(Surface_Engine!B246*12),1000*12*INDEX(Surface_Engine!$C$12:$C$72,$A1042+1)/(1+Assumptions!$B$10)^5+INDEX(Surface_Engine!$D$12:$D$72,$A1042+1)))*INDEX(Surface_Engine!$B$12:$B$72,$A1042+1)+G1043</f>
        <v>11611.1500892495</v>
      </c>
      <c r="H1042" s="48" t="n">
        <f aca="false">D1042*(IF($A1042&lt;$Q$1014,INDEX(Surface_Engine!$D$12:$D$72,$A1042+1)+(Surface_Engine!B246*12)*INDEX(Surface_Engine!$F$12:$F$72,$A1042+1)-(Surface_Engine!B246*12),1000*12*INDEX(Surface_Engine!$C$12:$C$72,$A1042+1)/(1+Assumptions!$B$10)^5+INDEX(Surface_Engine!$D$12:$D$72,$A1042+1)))*INDEX(Surface_Engine!$B$12:$B$72,$A1042+1)+H1043</f>
        <v>6691.67268383175</v>
      </c>
      <c r="I1042" s="48" t="n">
        <f aca="false">E1042*(IF($A1042&lt;$Q$1014,INDEX(Surface_Engine!$D$12:$D$72,$A1042+1)+(Surface_Engine!B246*12)*INDEX(Surface_Engine!$F$12:$F$72,$A1042+1)-(Surface_Engine!B246*12),1000*12*INDEX(Surface_Engine!$C$12:$C$72,$A1042+1)/(1+Assumptions!$B$10)^5+INDEX(Surface_Engine!$D$12:$D$72,$A1042+1)))*INDEX(Surface_Engine!$B$12:$B$72,$A1042+1)+I1043</f>
        <v>7432.10390912432</v>
      </c>
      <c r="J1042" s="48" t="n">
        <f aca="false">B1042*(IF($A1042&lt;$Q$1014,INDEX(Surface_Engine!$D$12:$D$72,$A1042+1)*(1+Assumptions!$B$24)+(Surface_Engine!B246*12)*INDEX(Surface_Engine!$F$12:$F$72,$A1042+1)-(Surface_Engine!B246*12),1000*12*INDEX(Surface_Engine!$C$12:$C$72,$A1042+1)/(1+Assumptions!$B$10)^5+INDEX(Surface_Engine!$D$12:$D$72,$A1042+1)*(1+Assumptions!$B$24)))*INDEX(Surface_Engine!$B$12:$B$72,$A1042+1)+J1043</f>
        <v>7060.75515598485</v>
      </c>
      <c r="K1042" s="12" t="n">
        <f aca="false">SQRT((IF(C1042&lt;=0,0,MAX(0,(B1042/C1042)*G1042/INDEX(Surface_Engine!$B$12:$B$72,$A1042+1)-F1042/INDEX(Surface_Engine!$B$12:$B$72,$A1042+1))))^2+(MAX(IF(D1042&lt;=0,0,MAX(0,(B1042/D1042)*H1042/INDEX(Surface_Engine!$B$12:$B$72,$A1042+1)-F1042/INDEX(Surface_Engine!$B$12:$B$72,$A1042+1))),IF(E1042&lt;=0,0,MAX(0,(B1042/E1042)*I1042/INDEX(Surface_Engine!$B$12:$B$72,$A1042+1)-F1042/INDEX(Surface_Engine!$B$12:$B$72,$A1042+1))),IF($A1042&lt;$Q$1014,MAX(0,-Assumptions!$B$22*(F1042/INDEX(Surface_Engine!$B$12:$B$72,$A1042+1))),0)))^2+(MAX(0,J1042/INDEX(Surface_Engine!$B$12:$B$72,$A1042+1)-(F1042/INDEX(Surface_Engine!$B$12:$B$72,$A1042+1))))^2+2*Assumptions!$B$26*(IF(C1042&lt;=0,0,MAX(0,(B1042/C1042)*G1042/INDEX(Surface_Engine!$B$12:$B$72,$A1042+1)-F1042/INDEX(Surface_Engine!$B$12:$B$72,$A1042+1))))*(MAX(IF(D1042&lt;=0,0,MAX(0,(B1042/D1042)*H1042/INDEX(Surface_Engine!$B$12:$B$72,$A1042+1)-F1042/INDEX(Surface_Engine!$B$12:$B$72,$A1042+1))),IF(E1042&lt;=0,0,MAX(0,(B1042/E1042)*I1042/INDEX(Surface_Engine!$B$12:$B$72,$A1042+1)-F1042/INDEX(Surface_Engine!$B$12:$B$72,$A1042+1))),IF($A1042&lt;$Q$1014,MAX(0,-Assumptions!$B$22*(F1042/INDEX(Surface_Engine!$B$12:$B$72,$A1042+1))),0)))+2*Assumptions!$B$27*(IF(C1042&lt;=0,0,MAX(0,(B1042/C1042)*G1042/INDEX(Surface_Engine!$B$12:$B$72,$A1042+1)-F1042/INDEX(Surface_Engine!$B$12:$B$72,$A1042+1))))*(MAX(0,J1042/INDEX(Surface_Engine!$B$12:$B$72,$A1042+1)-(F1042/INDEX(Surface_Engine!$B$12:$B$72,$A1042+1))))+2*Assumptions!$B$28*(MAX(IF(D1042&lt;=0,0,MAX(0,(B1042/D1042)*H1042/INDEX(Surface_Engine!$B$12:$B$72,$A1042+1)-F1042/INDEX(Surface_Engine!$B$12:$B$72,$A1042+1))),IF(E1042&lt;=0,0,MAX(0,(B1042/E1042)*I1042/INDEX(Surface_Engine!$B$12:$B$72,$A1042+1)-F1042/INDEX(Surface_Engine!$B$12:$B$72,$A1042+1))),IF($A1042&lt;$Q$1014,MAX(0,-Assumptions!$B$22*(F1042/INDEX(Surface_Engine!$B$12:$B$72,$A1042+1))),0)))*(MAX(0,J1042/INDEX(Surface_Engine!$B$12:$B$72,$A1042+1)-(F1042/INDEX(Surface_Engine!$B$12:$B$72,$A1042+1)))))</f>
        <v>2975.81375661767</v>
      </c>
      <c r="L1042" s="48" t="n">
        <f aca="false">K1042*INDEX(Surface_Engine!$B$12:$B$72,$A1042+1)+L1043</f>
        <v>5424.09275112051</v>
      </c>
      <c r="M1042" s="48" t="n">
        <f aca="false">M1041+B1041*(IF($A1041&lt;$Q$1014,(Surface_Engine!B246*12)-(Surface_Engine!B246*12)*INDEX(Surface_Engine!$F$12:$F$72,$A1041+1)-INDEX(Surface_Engine!$D$12:$D$72,$A1041+1),-(1000*12*INDEX(Surface_Engine!$C$12:$C$72,$A1041+1)/(1+Assumptions!$B$10)^5+INDEX(Surface_Engine!$D$12:$D$72,$A1041+1))))*INDEX(Surface_Engine!$B$12:$B$72,$A1041+1)</f>
        <v>12488.6305190491</v>
      </c>
      <c r="N1042" s="12" t="n">
        <f aca="false">IF(B1042&lt;=0,0,MAX(0,(K1042+Assumptions!$B$29*L1042/INDEX(Surface_Engine!$B$12:$B$72,$A1042+1)-(M1042/INDEX(Surface_Engine!$B$12:$B$72,$A1042+1)-(F1042/INDEX(Surface_Engine!$B$12:$B$72,$A1042+1))))/B1042))</f>
        <v>0</v>
      </c>
    </row>
    <row r="1043" customFormat="false" ht="15" hidden="false" customHeight="true" outlineLevel="0" collapsed="false">
      <c r="A1043" s="1" t="n">
        <v>27</v>
      </c>
      <c r="B1043" s="32" t="n">
        <f aca="false">INDEX(Surface_Engine!$Q$12:$Q$72,$A1043+1)*IF($A1043&lt;$Q$1014,INDEX(Surface_Engine!$E$12:$E$72,$A1043+1),INDEX(Surface_Engine!$E$12:$E$72,$Q$1014+1))</f>
        <v>0.154994109511896</v>
      </c>
      <c r="C1043" s="32" t="n">
        <f aca="false">INDEX(Panel_Reserving!$F$8:$F$68,$A1043+1)*IF($A1043&lt;$Q$1014,INDEX(Surface_Engine!$E$12:$E$72,$A1043+1),INDEX(Surface_Engine!$E$12:$E$72,$Q$1014+1))</f>
        <v>0.224087832882622</v>
      </c>
      <c r="D1043" s="32" t="n">
        <f aca="false">INDEX(Surface_Engine!$Q$12:$Q$72,$A1043+1)*IF($A1043&lt;$Q$1014,INDEX(Surface_Engine!$Y$12:$Y$72,$A1043+1),INDEX(Surface_Engine!$Y$12:$Y$72,$Q$1014+1))</f>
        <v>0.147018879871789</v>
      </c>
      <c r="E1043" s="32" t="n">
        <f aca="false">INDEX(Surface_Engine!$Q$12:$Q$72,$A1043+1)*IF($A1043&lt;$Q$1014,INDEX(Surface_Engine!$Z$12:$Z$72,$A1043+1),INDEX(Surface_Engine!$Z$12:$Z$72,$Q$1014+1))</f>
        <v>0.163286467141505</v>
      </c>
      <c r="F1043" s="48" t="n">
        <f aca="false">B1043*(IF($A1043&lt;$Q$1014,INDEX(Surface_Engine!$D$12:$D$72,$A1043+1)+(Surface_Engine!B246*12)*INDEX(Surface_Engine!$F$12:$F$72,$A1043+1)-(Surface_Engine!B246*12),1000*12*INDEX(Surface_Engine!$C$12:$C$72,$A1043+1)/(1+Assumptions!$B$10)^5+INDEX(Surface_Engine!$D$12:$D$72,$A1043+1)))*INDEX(Surface_Engine!$B$12:$B$72,$A1043+1)+F1044</f>
        <v>5525.62847358435</v>
      </c>
      <c r="G1043" s="48" t="n">
        <f aca="false">C1043*(IF($A1043&lt;$Q$1014,INDEX(Surface_Engine!$D$12:$D$72,$A1043+1)+(Surface_Engine!B246*12)*INDEX(Surface_Engine!$F$12:$F$72,$A1043+1)-(Surface_Engine!B246*12),1000*12*INDEX(Surface_Engine!$C$12:$C$72,$A1043+1)/(1+Assumptions!$B$10)^5+INDEX(Surface_Engine!$D$12:$D$72,$A1043+1)))*INDEX(Surface_Engine!$B$12:$B$72,$A1043+1)+G1044</f>
        <v>9490.70949122693</v>
      </c>
      <c r="H1043" s="48" t="n">
        <f aca="false">D1043*(IF($A1043&lt;$Q$1014,INDEX(Surface_Engine!$D$12:$D$72,$A1043+1)+(Surface_Engine!B246*12)*INDEX(Surface_Engine!$F$12:$F$72,$A1043+1)-(Surface_Engine!B246*12),1000*12*INDEX(Surface_Engine!$C$12:$C$72,$A1043+1)/(1+Assumptions!$B$10)^5+INDEX(Surface_Engine!$D$12:$D$72,$A1043+1)))*INDEX(Surface_Engine!$B$12:$B$72,$A1043+1)+H1044</f>
        <v>5241.30698471276</v>
      </c>
      <c r="I1043" s="48" t="n">
        <f aca="false">E1043*(IF($A1043&lt;$Q$1014,INDEX(Surface_Engine!$D$12:$D$72,$A1043+1)+(Surface_Engine!B246*12)*INDEX(Surface_Engine!$F$12:$F$72,$A1043+1)-(Surface_Engine!B246*12),1000*12*INDEX(Surface_Engine!$C$12:$C$72,$A1043+1)/(1+Assumptions!$B$10)^5+INDEX(Surface_Engine!$D$12:$D$72,$A1043+1)))*INDEX(Surface_Engine!$B$12:$B$72,$A1043+1)+I1044</f>
        <v>5821.255756296</v>
      </c>
      <c r="J1043" s="48" t="n">
        <f aca="false">B1043*(IF($A1043&lt;$Q$1014,INDEX(Surface_Engine!$D$12:$D$72,$A1043+1)*(1+Assumptions!$B$24)+(Surface_Engine!B246*12)*INDEX(Surface_Engine!$F$12:$F$72,$A1043+1)-(Surface_Engine!B246*12),1000*12*INDEX(Surface_Engine!$C$12:$C$72,$A1043+1)/(1+Assumptions!$B$10)^5+INDEX(Surface_Engine!$D$12:$D$72,$A1043+1)*(1+Assumptions!$B$24)))*INDEX(Surface_Engine!$B$12:$B$72,$A1043+1)+J1044</f>
        <v>5530.41362471272</v>
      </c>
      <c r="K1043" s="12" t="n">
        <f aca="false">SQRT((IF(C1043&lt;=0,0,MAX(0,(B1043/C1043)*G1043/INDEX(Surface_Engine!$B$12:$B$72,$A1043+1)-F1043/INDEX(Surface_Engine!$B$12:$B$72,$A1043+1))))^2+(MAX(IF(D1043&lt;=0,0,MAX(0,(B1043/D1043)*H1043/INDEX(Surface_Engine!$B$12:$B$72,$A1043+1)-F1043/INDEX(Surface_Engine!$B$12:$B$72,$A1043+1))),IF(E1043&lt;=0,0,MAX(0,(B1043/E1043)*I1043/INDEX(Surface_Engine!$B$12:$B$72,$A1043+1)-F1043/INDEX(Surface_Engine!$B$12:$B$72,$A1043+1))),IF($A1043&lt;$Q$1014,MAX(0,-Assumptions!$B$22*(F1043/INDEX(Surface_Engine!$B$12:$B$72,$A1043+1))),0)))^2+(MAX(0,J1043/INDEX(Surface_Engine!$B$12:$B$72,$A1043+1)-(F1043/INDEX(Surface_Engine!$B$12:$B$72,$A1043+1))))^2+2*Assumptions!$B$26*(IF(C1043&lt;=0,0,MAX(0,(B1043/C1043)*G1043/INDEX(Surface_Engine!$B$12:$B$72,$A1043+1)-F1043/INDEX(Surface_Engine!$B$12:$B$72,$A1043+1))))*(MAX(IF(D1043&lt;=0,0,MAX(0,(B1043/D1043)*H1043/INDEX(Surface_Engine!$B$12:$B$72,$A1043+1)-F1043/INDEX(Surface_Engine!$B$12:$B$72,$A1043+1))),IF(E1043&lt;=0,0,MAX(0,(B1043/E1043)*I1043/INDEX(Surface_Engine!$B$12:$B$72,$A1043+1)-F1043/INDEX(Surface_Engine!$B$12:$B$72,$A1043+1))),IF($A1043&lt;$Q$1014,MAX(0,-Assumptions!$B$22*(F1043/INDEX(Surface_Engine!$B$12:$B$72,$A1043+1))),0)))+2*Assumptions!$B$27*(IF(C1043&lt;=0,0,MAX(0,(B1043/C1043)*G1043/INDEX(Surface_Engine!$B$12:$B$72,$A1043+1)-F1043/INDEX(Surface_Engine!$B$12:$B$72,$A1043+1))))*(MAX(0,J1043/INDEX(Surface_Engine!$B$12:$B$72,$A1043+1)-(F1043/INDEX(Surface_Engine!$B$12:$B$72,$A1043+1))))+2*Assumptions!$B$28*(MAX(IF(D1043&lt;=0,0,MAX(0,(B1043/D1043)*H1043/INDEX(Surface_Engine!$B$12:$B$72,$A1043+1)-F1043/INDEX(Surface_Engine!$B$12:$B$72,$A1043+1))),IF(E1043&lt;=0,0,MAX(0,(B1043/E1043)*I1043/INDEX(Surface_Engine!$B$12:$B$72,$A1043+1)-F1043/INDEX(Surface_Engine!$B$12:$B$72,$A1043+1))),IF($A1043&lt;$Q$1014,MAX(0,-Assumptions!$B$22*(F1043/INDEX(Surface_Engine!$B$12:$B$72,$A1043+1))),0)))*(MAX(0,J1043/INDEX(Surface_Engine!$B$12:$B$72,$A1043+1)-(F1043/INDEX(Surface_Engine!$B$12:$B$72,$A1043+1)))))</f>
        <v>2420.35786592729</v>
      </c>
      <c r="L1043" s="48" t="n">
        <f aca="false">K1043*INDEX(Surface_Engine!$B$12:$B$72,$A1043+1)+L1044</f>
        <v>4104.46801001511</v>
      </c>
      <c r="M1043" s="48" t="n">
        <f aca="false">M1042+B1042*(IF($A1042&lt;$Q$1014,(Surface_Engine!B246*12)-(Surface_Engine!B246*12)*INDEX(Surface_Engine!$F$12:$F$72,$A1042+1)-INDEX(Surface_Engine!$D$12:$D$72,$A1042+1),-(1000*12*INDEX(Surface_Engine!$C$12:$C$72,$A1042+1)/(1+Assumptions!$B$10)^5+INDEX(Surface_Engine!$D$12:$D$72,$A1042+1))))*INDEX(Surface_Engine!$B$12:$B$72,$A1042+1)</f>
        <v>10959.5878532528</v>
      </c>
      <c r="N1043" s="12" t="n">
        <f aca="false">IF(B1043&lt;=0,0,MAX(0,(K1043+Assumptions!$B$29*L1043/INDEX(Surface_Engine!$B$12:$B$72,$A1043+1)-(M1043/INDEX(Surface_Engine!$B$12:$B$72,$A1043+1)-(F1043/INDEX(Surface_Engine!$B$12:$B$72,$A1043+1))))/B1043))</f>
        <v>0</v>
      </c>
    </row>
    <row r="1044" customFormat="false" ht="15" hidden="false" customHeight="true" outlineLevel="0" collapsed="false">
      <c r="A1044" s="1" t="n">
        <v>28</v>
      </c>
      <c r="B1044" s="32" t="n">
        <f aca="false">INDEX(Surface_Engine!$Q$12:$Q$72,$A1044+1)*IF($A1044&lt;$Q$1014,INDEX(Surface_Engine!$E$12:$E$72,$A1044+1),INDEX(Surface_Engine!$E$12:$E$72,$Q$1014+1))</f>
        <v>0.126289222563401</v>
      </c>
      <c r="C1044" s="32" t="n">
        <f aca="false">INDEX(Panel_Reserving!$F$8:$F$68,$A1044+1)*IF($A1044&lt;$Q$1014,INDEX(Surface_Engine!$E$12:$E$72,$A1044+1),INDEX(Surface_Engine!$E$12:$E$72,$Q$1014+1))</f>
        <v>0.190887005162468</v>
      </c>
      <c r="D1044" s="32" t="n">
        <f aca="false">INDEX(Surface_Engine!$Q$12:$Q$72,$A1044+1)*IF($A1044&lt;$Q$1014,INDEX(Surface_Engine!$Y$12:$Y$72,$A1044+1),INDEX(Surface_Engine!$Y$12:$Y$72,$Q$1014+1))</f>
        <v>0.119791004313782</v>
      </c>
      <c r="E1044" s="32" t="n">
        <f aca="false">INDEX(Surface_Engine!$Q$12:$Q$72,$A1044+1)*IF($A1044&lt;$Q$1014,INDEX(Surface_Engine!$Z$12:$Z$72,$A1044+1),INDEX(Surface_Engine!$Z$12:$Z$72,$Q$1014+1))</f>
        <v>0.133045836744153</v>
      </c>
      <c r="F1044" s="48" t="n">
        <f aca="false">B1044*(IF($A1044&lt;$Q$1014,INDEX(Surface_Engine!$D$12:$D$72,$A1044+1)+(Surface_Engine!B246*12)*INDEX(Surface_Engine!$F$12:$F$72,$A1044+1)-(Surface_Engine!B246*12),1000*12*INDEX(Surface_Engine!$C$12:$C$72,$A1044+1)/(1+Assumptions!$B$10)^5+INDEX(Surface_Engine!$D$12:$D$72,$A1044+1)))*INDEX(Surface_Engine!$B$12:$B$72,$A1044+1)+F1045</f>
        <v>4279.47540871656</v>
      </c>
      <c r="G1044" s="48" t="n">
        <f aca="false">C1044*(IF($A1044&lt;$Q$1014,INDEX(Surface_Engine!$D$12:$D$72,$A1044+1)+(Surface_Engine!B246*12)*INDEX(Surface_Engine!$F$12:$F$72,$A1044+1)-(Surface_Engine!B246*12),1000*12*INDEX(Surface_Engine!$C$12:$C$72,$A1044+1)/(1+Assumptions!$B$10)^5+INDEX(Surface_Engine!$D$12:$D$72,$A1044+1)))*INDEX(Surface_Engine!$B$12:$B$72,$A1044+1)+G1045</f>
        <v>7689.04270127175</v>
      </c>
      <c r="H1044" s="48" t="n">
        <f aca="false">D1044*(IF($A1044&lt;$Q$1014,INDEX(Surface_Engine!$D$12:$D$72,$A1044+1)+(Surface_Engine!B246*12)*INDEX(Surface_Engine!$F$12:$F$72,$A1044+1)-(Surface_Engine!B246*12),1000*12*INDEX(Surface_Engine!$C$12:$C$72,$A1044+1)/(1+Assumptions!$B$10)^5+INDEX(Surface_Engine!$D$12:$D$72,$A1044+1)))*INDEX(Surface_Engine!$B$12:$B$72,$A1044+1)+H1045</f>
        <v>4059.27478798855</v>
      </c>
      <c r="I1044" s="48" t="n">
        <f aca="false">E1044*(IF($A1044&lt;$Q$1014,INDEX(Surface_Engine!$D$12:$D$72,$A1044+1)+(Surface_Engine!B246*12)*INDEX(Surface_Engine!$F$12:$F$72,$A1044+1)-(Surface_Engine!B246*12),1000*12*INDEX(Surface_Engine!$C$12:$C$72,$A1044+1)/(1+Assumptions!$B$10)^5+INDEX(Surface_Engine!$D$12:$D$72,$A1044+1)))*INDEX(Surface_Engine!$B$12:$B$72,$A1044+1)+I1045</f>
        <v>4508.4321133807</v>
      </c>
      <c r="J1044" s="48" t="n">
        <f aca="false">B1044*(IF($A1044&lt;$Q$1014,INDEX(Surface_Engine!$D$12:$D$72,$A1044+1)*(1+Assumptions!$B$24)+(Surface_Engine!B246*12)*INDEX(Surface_Engine!$F$12:$F$72,$A1044+1)-(Surface_Engine!B246*12),1000*12*INDEX(Surface_Engine!$C$12:$C$72,$A1044+1)/(1+Assumptions!$B$10)^5+INDEX(Surface_Engine!$D$12:$D$72,$A1044+1)*(1+Assumptions!$B$24)))*INDEX(Surface_Engine!$B$12:$B$72,$A1044+1)+J1045</f>
        <v>4283.19685394251</v>
      </c>
      <c r="K1044" s="12" t="n">
        <f aca="false">SQRT((IF(C1044&lt;=0,0,MAX(0,(B1044/C1044)*G1044/INDEX(Surface_Engine!$B$12:$B$72,$A1044+1)-F1044/INDEX(Surface_Engine!$B$12:$B$72,$A1044+1))))^2+(MAX(IF(D1044&lt;=0,0,MAX(0,(B1044/D1044)*H1044/INDEX(Surface_Engine!$B$12:$B$72,$A1044+1)-F1044/INDEX(Surface_Engine!$B$12:$B$72,$A1044+1))),IF(E1044&lt;=0,0,MAX(0,(B1044/E1044)*I1044/INDEX(Surface_Engine!$B$12:$B$72,$A1044+1)-F1044/INDEX(Surface_Engine!$B$12:$B$72,$A1044+1))),IF($A1044&lt;$Q$1014,MAX(0,-Assumptions!$B$22*(F1044/INDEX(Surface_Engine!$B$12:$B$72,$A1044+1))),0)))^2+(MAX(0,J1044/INDEX(Surface_Engine!$B$12:$B$72,$A1044+1)-(F1044/INDEX(Surface_Engine!$B$12:$B$72,$A1044+1))))^2+2*Assumptions!$B$26*(IF(C1044&lt;=0,0,MAX(0,(B1044/C1044)*G1044/INDEX(Surface_Engine!$B$12:$B$72,$A1044+1)-F1044/INDEX(Surface_Engine!$B$12:$B$72,$A1044+1))))*(MAX(IF(D1044&lt;=0,0,MAX(0,(B1044/D1044)*H1044/INDEX(Surface_Engine!$B$12:$B$72,$A1044+1)-F1044/INDEX(Surface_Engine!$B$12:$B$72,$A1044+1))),IF(E1044&lt;=0,0,MAX(0,(B1044/E1044)*I1044/INDEX(Surface_Engine!$B$12:$B$72,$A1044+1)-F1044/INDEX(Surface_Engine!$B$12:$B$72,$A1044+1))),IF($A1044&lt;$Q$1014,MAX(0,-Assumptions!$B$22*(F1044/INDEX(Surface_Engine!$B$12:$B$72,$A1044+1))),0)))+2*Assumptions!$B$27*(IF(C1044&lt;=0,0,MAX(0,(B1044/C1044)*G1044/INDEX(Surface_Engine!$B$12:$B$72,$A1044+1)-F1044/INDEX(Surface_Engine!$B$12:$B$72,$A1044+1))))*(MAX(0,J1044/INDEX(Surface_Engine!$B$12:$B$72,$A1044+1)-(F1044/INDEX(Surface_Engine!$B$12:$B$72,$A1044+1))))+2*Assumptions!$B$28*(MAX(IF(D1044&lt;=0,0,MAX(0,(B1044/D1044)*H1044/INDEX(Surface_Engine!$B$12:$B$72,$A1044+1)-F1044/INDEX(Surface_Engine!$B$12:$B$72,$A1044+1))),IF(E1044&lt;=0,0,MAX(0,(B1044/E1044)*I1044/INDEX(Surface_Engine!$B$12:$B$72,$A1044+1)-F1044/INDEX(Surface_Engine!$B$12:$B$72,$A1044+1))),IF($A1044&lt;$Q$1014,MAX(0,-Assumptions!$B$22*(F1044/INDEX(Surface_Engine!$B$12:$B$72,$A1044+1))),0)))*(MAX(0,J1044/INDEX(Surface_Engine!$B$12:$B$72,$A1044+1)-(F1044/INDEX(Surface_Engine!$B$12:$B$72,$A1044+1)))))</f>
        <v>1942.3956475583</v>
      </c>
      <c r="L1044" s="48" t="n">
        <f aca="false">K1044*INDEX(Surface_Engine!$B$12:$B$72,$A1044+1)+L1045</f>
        <v>3064.48141395865</v>
      </c>
      <c r="M1044" s="48" t="n">
        <f aca="false">M1043+B1043*(IF($A1043&lt;$Q$1014,(Surface_Engine!B246*12)-(Surface_Engine!B246*12)*INDEX(Surface_Engine!$F$12:$F$72,$A1043+1)-INDEX(Surface_Engine!$D$12:$D$72,$A1043+1),-(1000*12*INDEX(Surface_Engine!$C$12:$C$72,$A1043+1)/(1+Assumptions!$B$10)^5+INDEX(Surface_Engine!$D$12:$D$72,$A1043+1))))*INDEX(Surface_Engine!$B$12:$B$72,$A1043+1)</f>
        <v>9713.43478838498</v>
      </c>
      <c r="N1044" s="12" t="n">
        <f aca="false">IF(B1044&lt;=0,0,MAX(0,(K1044+Assumptions!$B$29*L1044/INDEX(Surface_Engine!$B$12:$B$72,$A1044+1)-(M1044/INDEX(Surface_Engine!$B$12:$B$72,$A1044+1)-(F1044/INDEX(Surface_Engine!$B$12:$B$72,$A1044+1))))/B1044))</f>
        <v>0</v>
      </c>
    </row>
    <row r="1045" customFormat="false" ht="15" hidden="false" customHeight="true" outlineLevel="0" collapsed="false">
      <c r="A1045" s="1" t="n">
        <v>29</v>
      </c>
      <c r="B1045" s="32" t="n">
        <f aca="false">INDEX(Surface_Engine!$Q$12:$Q$72,$A1045+1)*IF($A1045&lt;$Q$1014,INDEX(Surface_Engine!$E$12:$E$72,$A1045+1),INDEX(Surface_Engine!$E$12:$E$72,$Q$1014+1))</f>
        <v>0.101677641752264</v>
      </c>
      <c r="C1045" s="32" t="n">
        <f aca="false">INDEX(Panel_Reserving!$F$8:$F$68,$A1045+1)*IF($A1045&lt;$Q$1014,INDEX(Surface_Engine!$E$12:$E$72,$A1045+1),INDEX(Surface_Engine!$E$12:$E$72,$Q$1014+1))</f>
        <v>0.16112654986475</v>
      </c>
      <c r="D1045" s="32" t="n">
        <f aca="false">INDEX(Surface_Engine!$Q$12:$Q$72,$A1045+1)*IF($A1045&lt;$Q$1014,INDEX(Surface_Engine!$Y$12:$Y$72,$A1045+1),INDEX(Surface_Engine!$Y$12:$Y$72,$Q$1014+1))</f>
        <v>0.0964458136215532</v>
      </c>
      <c r="E1045" s="32" t="n">
        <f aca="false">INDEX(Surface_Engine!$Q$12:$Q$72,$A1045+1)*IF($A1045&lt;$Q$1014,INDEX(Surface_Engine!$Z$12:$Z$72,$A1045+1),INDEX(Surface_Engine!$Z$12:$Z$72,$Q$1014+1))</f>
        <v>0.107117508925283</v>
      </c>
      <c r="F1045" s="48" t="n">
        <f aca="false">B1045*(IF($A1045&lt;$Q$1014,INDEX(Surface_Engine!$D$12:$D$72,$A1045+1)+(Surface_Engine!B246*12)*INDEX(Surface_Engine!$F$12:$F$72,$A1045+1)-(Surface_Engine!B246*12),1000*12*INDEX(Surface_Engine!$C$12:$C$72,$A1045+1)/(1+Assumptions!$B$10)^5+INDEX(Surface_Engine!$D$12:$D$72,$A1045+1)))*INDEX(Surface_Engine!$B$12:$B$72,$A1045+1)+F1046</f>
        <v>3276.20497702948</v>
      </c>
      <c r="G1045" s="48" t="n">
        <f aca="false">C1045*(IF($A1045&lt;$Q$1014,INDEX(Surface_Engine!$D$12:$D$72,$A1045+1)+(Surface_Engine!B246*12)*INDEX(Surface_Engine!$F$12:$F$72,$A1045+1)-(Surface_Engine!B246*12),1000*12*INDEX(Surface_Engine!$C$12:$C$72,$A1045+1)/(1+Assumptions!$B$10)^5+INDEX(Surface_Engine!$D$12:$D$72,$A1045+1)))*INDEX(Surface_Engine!$B$12:$B$72,$A1045+1)+G1046</f>
        <v>6172.592728855</v>
      </c>
      <c r="H1045" s="48" t="n">
        <f aca="false">D1045*(IF($A1045&lt;$Q$1014,INDEX(Surface_Engine!$D$12:$D$72,$A1045+1)+(Surface_Engine!B246*12)*INDEX(Surface_Engine!$F$12:$F$72,$A1045+1)-(Surface_Engine!B246*12),1000*12*INDEX(Surface_Engine!$C$12:$C$72,$A1045+1)/(1+Assumptions!$B$10)^5+INDEX(Surface_Engine!$D$12:$D$72,$A1045+1)))*INDEX(Surface_Engine!$B$12:$B$72,$A1045+1)+H1046</f>
        <v>3107.62768643338</v>
      </c>
      <c r="I1045" s="48" t="n">
        <f aca="false">E1045*(IF($A1045&lt;$Q$1014,INDEX(Surface_Engine!$D$12:$D$72,$A1045+1)+(Surface_Engine!B246*12)*INDEX(Surface_Engine!$F$12:$F$72,$A1045+1)-(Surface_Engine!B246*12),1000*12*INDEX(Surface_Engine!$C$12:$C$72,$A1045+1)/(1+Assumptions!$B$10)^5+INDEX(Surface_Engine!$D$12:$D$72,$A1045+1)))*INDEX(Surface_Engine!$B$12:$B$72,$A1045+1)+I1046</f>
        <v>3451.48559526065</v>
      </c>
      <c r="J1045" s="48" t="n">
        <f aca="false">B1045*(IF($A1045&lt;$Q$1014,INDEX(Surface_Engine!$D$12:$D$72,$A1045+1)*(1+Assumptions!$B$24)+(Surface_Engine!B246*12)*INDEX(Surface_Engine!$F$12:$F$72,$A1045+1)-(Surface_Engine!B246*12),1000*12*INDEX(Surface_Engine!$C$12:$C$72,$A1045+1)/(1+Assumptions!$B$10)^5+INDEX(Surface_Engine!$D$12:$D$72,$A1045+1)*(1+Assumptions!$B$24)))*INDEX(Surface_Engine!$B$12:$B$72,$A1045+1)+J1046</f>
        <v>3279.06587700087</v>
      </c>
      <c r="K1045" s="12" t="n">
        <f aca="false">SQRT((IF(C1045&lt;=0,0,MAX(0,(B1045/C1045)*G1045/INDEX(Surface_Engine!$B$12:$B$72,$A1045+1)-F1045/INDEX(Surface_Engine!$B$12:$B$72,$A1045+1))))^2+(MAX(IF(D1045&lt;=0,0,MAX(0,(B1045/D1045)*H1045/INDEX(Surface_Engine!$B$12:$B$72,$A1045+1)-F1045/INDEX(Surface_Engine!$B$12:$B$72,$A1045+1))),IF(E1045&lt;=0,0,MAX(0,(B1045/E1045)*I1045/INDEX(Surface_Engine!$B$12:$B$72,$A1045+1)-F1045/INDEX(Surface_Engine!$B$12:$B$72,$A1045+1))),IF($A1045&lt;$Q$1014,MAX(0,-Assumptions!$B$22*(F1045/INDEX(Surface_Engine!$B$12:$B$72,$A1045+1))),0)))^2+(MAX(0,J1045/INDEX(Surface_Engine!$B$12:$B$72,$A1045+1)-(F1045/INDEX(Surface_Engine!$B$12:$B$72,$A1045+1))))^2+2*Assumptions!$B$26*(IF(C1045&lt;=0,0,MAX(0,(B1045/C1045)*G1045/INDEX(Surface_Engine!$B$12:$B$72,$A1045+1)-F1045/INDEX(Surface_Engine!$B$12:$B$72,$A1045+1))))*(MAX(IF(D1045&lt;=0,0,MAX(0,(B1045/D1045)*H1045/INDEX(Surface_Engine!$B$12:$B$72,$A1045+1)-F1045/INDEX(Surface_Engine!$B$12:$B$72,$A1045+1))),IF(E1045&lt;=0,0,MAX(0,(B1045/E1045)*I1045/INDEX(Surface_Engine!$B$12:$B$72,$A1045+1)-F1045/INDEX(Surface_Engine!$B$12:$B$72,$A1045+1))),IF($A1045&lt;$Q$1014,MAX(0,-Assumptions!$B$22*(F1045/INDEX(Surface_Engine!$B$12:$B$72,$A1045+1))),0)))+2*Assumptions!$B$27*(IF(C1045&lt;=0,0,MAX(0,(B1045/C1045)*G1045/INDEX(Surface_Engine!$B$12:$B$72,$A1045+1)-F1045/INDEX(Surface_Engine!$B$12:$B$72,$A1045+1))))*(MAX(0,J1045/INDEX(Surface_Engine!$B$12:$B$72,$A1045+1)-(F1045/INDEX(Surface_Engine!$B$12:$B$72,$A1045+1))))+2*Assumptions!$B$28*(MAX(IF(D1045&lt;=0,0,MAX(0,(B1045/D1045)*H1045/INDEX(Surface_Engine!$B$12:$B$72,$A1045+1)-F1045/INDEX(Surface_Engine!$B$12:$B$72,$A1045+1))),IF(E1045&lt;=0,0,MAX(0,(B1045/E1045)*I1045/INDEX(Surface_Engine!$B$12:$B$72,$A1045+1)-F1045/INDEX(Surface_Engine!$B$12:$B$72,$A1045+1))),IF($A1045&lt;$Q$1014,MAX(0,-Assumptions!$B$22*(F1045/INDEX(Surface_Engine!$B$12:$B$72,$A1045+1))),0)))*(MAX(0,J1045/INDEX(Surface_Engine!$B$12:$B$72,$A1045+1)-(F1045/INDEX(Surface_Engine!$B$12:$B$72,$A1045+1)))))</f>
        <v>1537.03428637289</v>
      </c>
      <c r="L1045" s="48" t="n">
        <f aca="false">K1045*INDEX(Surface_Engine!$B$12:$B$72,$A1045+1)+L1046</f>
        <v>2256.01303709378</v>
      </c>
      <c r="M1045" s="48" t="n">
        <f aca="false">M1044+B1044*(IF($A1044&lt;$Q$1014,(Surface_Engine!B246*12)-(Surface_Engine!B246*12)*INDEX(Surface_Engine!$F$12:$F$72,$A1044+1)-INDEX(Surface_Engine!$D$12:$D$72,$A1044+1),-(1000*12*INDEX(Surface_Engine!$C$12:$C$72,$A1044+1)/(1+Assumptions!$B$10)^5+INDEX(Surface_Engine!$D$12:$D$72,$A1044+1))))*INDEX(Surface_Engine!$B$12:$B$72,$A1044+1)</f>
        <v>8710.16435669791</v>
      </c>
      <c r="N1045" s="12" t="n">
        <f aca="false">IF(B1045&lt;=0,0,MAX(0,(K1045+Assumptions!$B$29*L1045/INDEX(Surface_Engine!$B$12:$B$72,$A1045+1)-(M1045/INDEX(Surface_Engine!$B$12:$B$72,$A1045+1)-(F1045/INDEX(Surface_Engine!$B$12:$B$72,$A1045+1))))/B1045))</f>
        <v>0</v>
      </c>
    </row>
    <row r="1046" customFormat="false" ht="15" hidden="false" customHeight="true" outlineLevel="0" collapsed="false">
      <c r="A1046" s="1" t="n">
        <v>30</v>
      </c>
      <c r="B1046" s="32" t="n">
        <f aca="false">INDEX(Surface_Engine!$Q$12:$Q$72,$A1046+1)*IF($A1046&lt;$Q$1014,INDEX(Surface_Engine!$E$12:$E$72,$A1046+1),INDEX(Surface_Engine!$E$12:$E$72,$Q$1014+1))</f>
        <v>0.0808603814613415</v>
      </c>
      <c r="C1046" s="32" t="n">
        <f aca="false">INDEX(Panel_Reserving!$F$8:$F$68,$A1046+1)*IF($A1046&lt;$Q$1014,INDEX(Surface_Engine!$E$12:$E$72,$A1046+1),INDEX(Surface_Engine!$E$12:$E$72,$Q$1014+1))</f>
        <v>0.134735589016266</v>
      </c>
      <c r="D1046" s="32" t="n">
        <f aca="false">INDEX(Surface_Engine!$Q$12:$Q$72,$A1046+1)*IF($A1046&lt;$Q$1014,INDEX(Surface_Engine!$Y$12:$Y$72,$A1046+1),INDEX(Surface_Engine!$Y$12:$Y$72,$Q$1014+1))</f>
        <v>0.0766997064978111</v>
      </c>
      <c r="E1046" s="32" t="n">
        <f aca="false">INDEX(Surface_Engine!$Q$12:$Q$72,$A1046+1)*IF($A1046&lt;$Q$1014,INDEX(Surface_Engine!$Z$12:$Z$72,$A1046+1),INDEX(Surface_Engine!$Z$12:$Z$72,$Q$1014+1))</f>
        <v>0.0851865020039588</v>
      </c>
      <c r="F1046" s="48" t="n">
        <f aca="false">B1046*(IF($A1046&lt;$Q$1014,INDEX(Surface_Engine!$D$12:$D$72,$A1046+1)+(Surface_Engine!B246*12)*INDEX(Surface_Engine!$F$12:$F$72,$A1046+1)-(Surface_Engine!B246*12),1000*12*INDEX(Surface_Engine!$C$12:$C$72,$A1046+1)/(1+Assumptions!$B$10)^5+INDEX(Surface_Engine!$D$12:$D$72,$A1046+1)))*INDEX(Surface_Engine!$B$12:$B$72,$A1046+1)+F1047</f>
        <v>2478.10743890344</v>
      </c>
      <c r="G1046" s="48" t="n">
        <f aca="false">C1046*(IF($A1046&lt;$Q$1014,INDEX(Surface_Engine!$D$12:$D$72,$A1046+1)+(Surface_Engine!B246*12)*INDEX(Surface_Engine!$F$12:$F$72,$A1046+1)-(Surface_Engine!B246*12),1000*12*INDEX(Surface_Engine!$C$12:$C$72,$A1046+1)/(1+Assumptions!$B$10)^5+INDEX(Surface_Engine!$D$12:$D$72,$A1046+1)))*INDEX(Surface_Engine!$B$12:$B$72,$A1046+1)+G1047</f>
        <v>4907.86332957252</v>
      </c>
      <c r="H1046" s="48" t="n">
        <f aca="false">D1046*(IF($A1046&lt;$Q$1014,INDEX(Surface_Engine!$D$12:$D$72,$A1046+1)+(Surface_Engine!B246*12)*INDEX(Surface_Engine!$F$12:$F$72,$A1046+1)-(Surface_Engine!B246*12),1000*12*INDEX(Surface_Engine!$C$12:$C$72,$A1046+1)/(1+Assumptions!$B$10)^5+INDEX(Surface_Engine!$D$12:$D$72,$A1046+1)))*INDEX(Surface_Engine!$B$12:$B$72,$A1046+1)+H1047</f>
        <v>2350.59629696166</v>
      </c>
      <c r="I1046" s="48" t="n">
        <f aca="false">E1046*(IF($A1046&lt;$Q$1014,INDEX(Surface_Engine!$D$12:$D$72,$A1046+1)+(Surface_Engine!B246*12)*INDEX(Surface_Engine!$F$12:$F$72,$A1046+1)-(Surface_Engine!B246*12),1000*12*INDEX(Surface_Engine!$C$12:$C$72,$A1046+1)/(1+Assumptions!$B$10)^5+INDEX(Surface_Engine!$D$12:$D$72,$A1046+1)))*INDEX(Surface_Engine!$B$12:$B$72,$A1046+1)+I1047</f>
        <v>2610.68894921178</v>
      </c>
      <c r="J1046" s="48" t="n">
        <f aca="false">B1046*(IF($A1046&lt;$Q$1014,INDEX(Surface_Engine!$D$12:$D$72,$A1046+1)*(1+Assumptions!$B$24)+(Surface_Engine!B246*12)*INDEX(Surface_Engine!$F$12:$F$72,$A1046+1)-(Surface_Engine!B246*12),1000*12*INDEX(Surface_Engine!$C$12:$C$72,$A1046+1)/(1+Assumptions!$B$10)^5+INDEX(Surface_Engine!$D$12:$D$72,$A1046+1)*(1+Assumptions!$B$24)))*INDEX(Surface_Engine!$B$12:$B$72,$A1046+1)+J1047</f>
        <v>2480.28045186871</v>
      </c>
      <c r="K1046" s="12" t="n">
        <f aca="false">SQRT((IF(C1046&lt;=0,0,MAX(0,(B1046/C1046)*G1046/INDEX(Surface_Engine!$B$12:$B$72,$A1046+1)-F1046/INDEX(Surface_Engine!$B$12:$B$72,$A1046+1))))^2+(MAX(IF(D1046&lt;=0,0,MAX(0,(B1046/D1046)*H1046/INDEX(Surface_Engine!$B$12:$B$72,$A1046+1)-F1046/INDEX(Surface_Engine!$B$12:$B$72,$A1046+1))),IF(E1046&lt;=0,0,MAX(0,(B1046/E1046)*I1046/INDEX(Surface_Engine!$B$12:$B$72,$A1046+1)-F1046/INDEX(Surface_Engine!$B$12:$B$72,$A1046+1))),IF($A1046&lt;$Q$1014,MAX(0,-Assumptions!$B$22*(F1046/INDEX(Surface_Engine!$B$12:$B$72,$A1046+1))),0)))^2+(MAX(0,J1046/INDEX(Surface_Engine!$B$12:$B$72,$A1046+1)-(F1046/INDEX(Surface_Engine!$B$12:$B$72,$A1046+1))))^2+2*Assumptions!$B$26*(IF(C1046&lt;=0,0,MAX(0,(B1046/C1046)*G1046/INDEX(Surface_Engine!$B$12:$B$72,$A1046+1)-F1046/INDEX(Surface_Engine!$B$12:$B$72,$A1046+1))))*(MAX(IF(D1046&lt;=0,0,MAX(0,(B1046/D1046)*H1046/INDEX(Surface_Engine!$B$12:$B$72,$A1046+1)-F1046/INDEX(Surface_Engine!$B$12:$B$72,$A1046+1))),IF(E1046&lt;=0,0,MAX(0,(B1046/E1046)*I1046/INDEX(Surface_Engine!$B$12:$B$72,$A1046+1)-F1046/INDEX(Surface_Engine!$B$12:$B$72,$A1046+1))),IF($A1046&lt;$Q$1014,MAX(0,-Assumptions!$B$22*(F1046/INDEX(Surface_Engine!$B$12:$B$72,$A1046+1))),0)))+2*Assumptions!$B$27*(IF(C1046&lt;=0,0,MAX(0,(B1046/C1046)*G1046/INDEX(Surface_Engine!$B$12:$B$72,$A1046+1)-F1046/INDEX(Surface_Engine!$B$12:$B$72,$A1046+1))))*(MAX(0,J1046/INDEX(Surface_Engine!$B$12:$B$72,$A1046+1)-(F1046/INDEX(Surface_Engine!$B$12:$B$72,$A1046+1))))+2*Assumptions!$B$28*(MAX(IF(D1046&lt;=0,0,MAX(0,(B1046/D1046)*H1046/INDEX(Surface_Engine!$B$12:$B$72,$A1046+1)-F1046/INDEX(Surface_Engine!$B$12:$B$72,$A1046+1))),IF(E1046&lt;=0,0,MAX(0,(B1046/E1046)*I1046/INDEX(Surface_Engine!$B$12:$B$72,$A1046+1)-F1046/INDEX(Surface_Engine!$B$12:$B$72,$A1046+1))),IF($A1046&lt;$Q$1014,MAX(0,-Assumptions!$B$22*(F1046/INDEX(Surface_Engine!$B$12:$B$72,$A1046+1))),0)))*(MAX(0,J1046/INDEX(Surface_Engine!$B$12:$B$72,$A1046+1)-(F1046/INDEX(Surface_Engine!$B$12:$B$72,$A1046+1)))))</f>
        <v>1198.06107891719</v>
      </c>
      <c r="L1046" s="48" t="n">
        <f aca="false">K1046*INDEX(Surface_Engine!$B$12:$B$72,$A1046+1)+L1047</f>
        <v>1636.33051447117</v>
      </c>
      <c r="M1046" s="48" t="n">
        <f aca="false">M1045+B1045*(IF($A1045&lt;$Q$1014,(Surface_Engine!B246*12)-(Surface_Engine!B246*12)*INDEX(Surface_Engine!$F$12:$F$72,$A1045+1)-INDEX(Surface_Engine!$D$12:$D$72,$A1045+1),-(1000*12*INDEX(Surface_Engine!$C$12:$C$72,$A1045+1)/(1+Assumptions!$B$10)^5+INDEX(Surface_Engine!$D$12:$D$72,$A1045+1))))*INDEX(Surface_Engine!$B$12:$B$72,$A1045+1)</f>
        <v>7912.06681857187</v>
      </c>
      <c r="N1046" s="12" t="n">
        <f aca="false">IF(B1046&lt;=0,0,MAX(0,(K1046+Assumptions!$B$29*L1046/INDEX(Surface_Engine!$B$12:$B$72,$A1046+1)-(M1046/INDEX(Surface_Engine!$B$12:$B$72,$A1046+1)-(F1046/INDEX(Surface_Engine!$B$12:$B$72,$A1046+1))))/B1046))</f>
        <v>0</v>
      </c>
    </row>
    <row r="1047" customFormat="false" ht="15" hidden="false" customHeight="true" outlineLevel="0" collapsed="false">
      <c r="A1047" s="1" t="n">
        <v>31</v>
      </c>
      <c r="B1047" s="32" t="n">
        <f aca="false">INDEX(Surface_Engine!$Q$12:$Q$72,$A1047+1)*IF($A1047&lt;$Q$1014,INDEX(Surface_Engine!$E$12:$E$72,$A1047+1),INDEX(Surface_Engine!$E$12:$E$72,$Q$1014+1))</f>
        <v>0.0634711028368834</v>
      </c>
      <c r="C1047" s="32" t="n">
        <f aca="false">INDEX(Panel_Reserving!$F$8:$F$68,$A1047+1)*IF($A1047&lt;$Q$1014,INDEX(Surface_Engine!$E$12:$E$72,$A1047+1),INDEX(Surface_Engine!$E$12:$E$72,$Q$1014+1))</f>
        <v>0.111555340239879</v>
      </c>
      <c r="D1047" s="32" t="n">
        <f aca="false">INDEX(Surface_Engine!$Q$12:$Q$72,$A1047+1)*IF($A1047&lt;$Q$1014,INDEX(Surface_Engine!$Y$12:$Y$72,$A1047+1),INDEX(Surface_Engine!$Y$12:$Y$72,$Q$1014+1))</f>
        <v>0.0602051940728079</v>
      </c>
      <c r="E1047" s="32" t="n">
        <f aca="false">INDEX(Surface_Engine!$Q$12:$Q$72,$A1047+1)*IF($A1047&lt;$Q$1014,INDEX(Surface_Engine!$Z$12:$Z$72,$A1047+1),INDEX(Surface_Engine!$Z$12:$Z$72,$Q$1014+1))</f>
        <v>0.0668668775893992</v>
      </c>
      <c r="F1047" s="48" t="n">
        <f aca="false">B1047*(IF($A1047&lt;$Q$1014,INDEX(Surface_Engine!$D$12:$D$72,$A1047+1)+(Surface_Engine!B246*12)*INDEX(Surface_Engine!$F$12:$F$72,$A1047+1)-(Surface_Engine!B246*12),1000*12*INDEX(Surface_Engine!$C$12:$C$72,$A1047+1)/(1+Assumptions!$B$10)^5+INDEX(Surface_Engine!$D$12:$D$72,$A1047+1)))*INDEX(Surface_Engine!$B$12:$B$72,$A1047+1)+F1048</f>
        <v>1851.01966655817</v>
      </c>
      <c r="G1047" s="48" t="n">
        <f aca="false">C1047*(IF($A1047&lt;$Q$1014,INDEX(Surface_Engine!$D$12:$D$72,$A1047+1)+(Surface_Engine!B246*12)*INDEX(Surface_Engine!$F$12:$F$72,$A1047+1)-(Surface_Engine!B246*12),1000*12*INDEX(Surface_Engine!$C$12:$C$72,$A1047+1)/(1+Assumptions!$B$10)^5+INDEX(Surface_Engine!$D$12:$D$72,$A1047+1)))*INDEX(Surface_Engine!$B$12:$B$72,$A1047+1)+G1048</f>
        <v>3862.96298598173</v>
      </c>
      <c r="H1047" s="48" t="n">
        <f aca="false">D1047*(IF($A1047&lt;$Q$1014,INDEX(Surface_Engine!$D$12:$D$72,$A1047+1)+(Surface_Engine!B246*12)*INDEX(Surface_Engine!$F$12:$F$72,$A1047+1)-(Surface_Engine!B246*12),1000*12*INDEX(Surface_Engine!$C$12:$C$72,$A1047+1)/(1+Assumptions!$B$10)^5+INDEX(Surface_Engine!$D$12:$D$72,$A1047+1)))*INDEX(Surface_Engine!$B$12:$B$72,$A1047+1)+H1048</f>
        <v>1755.775357238</v>
      </c>
      <c r="I1047" s="48" t="n">
        <f aca="false">E1047*(IF($A1047&lt;$Q$1014,INDEX(Surface_Engine!$D$12:$D$72,$A1047+1)+(Surface_Engine!B246*12)*INDEX(Surface_Engine!$F$12:$F$72,$A1047+1)-(Surface_Engine!B246*12),1000*12*INDEX(Surface_Engine!$C$12:$C$72,$A1047+1)/(1+Assumptions!$B$10)^5+INDEX(Surface_Engine!$D$12:$D$72,$A1047+1)))*INDEX(Surface_Engine!$B$12:$B$72,$A1047+1)+I1048</f>
        <v>1950.0512820362</v>
      </c>
      <c r="J1047" s="48" t="n">
        <f aca="false">B1047*(IF($A1047&lt;$Q$1014,INDEX(Surface_Engine!$D$12:$D$72,$A1047+1)*(1+Assumptions!$B$24)+(Surface_Engine!B246*12)*INDEX(Surface_Engine!$F$12:$F$72,$A1047+1)-(Surface_Engine!B246*12),1000*12*INDEX(Surface_Engine!$C$12:$C$72,$A1047+1)/(1+Assumptions!$B$10)^5+INDEX(Surface_Engine!$D$12:$D$72,$A1047+1)*(1+Assumptions!$B$24)))*INDEX(Surface_Engine!$B$12:$B$72,$A1047+1)+J1048</f>
        <v>1852.64956075342</v>
      </c>
      <c r="K1047" s="12" t="n">
        <f aca="false">SQRT((IF(C1047&lt;=0,0,MAX(0,(B1047/C1047)*G1047/INDEX(Surface_Engine!$B$12:$B$72,$A1047+1)-F1047/INDEX(Surface_Engine!$B$12:$B$72,$A1047+1))))^2+(MAX(IF(D1047&lt;=0,0,MAX(0,(B1047/D1047)*H1047/INDEX(Surface_Engine!$B$12:$B$72,$A1047+1)-F1047/INDEX(Surface_Engine!$B$12:$B$72,$A1047+1))),IF(E1047&lt;=0,0,MAX(0,(B1047/E1047)*I1047/INDEX(Surface_Engine!$B$12:$B$72,$A1047+1)-F1047/INDEX(Surface_Engine!$B$12:$B$72,$A1047+1))),IF($A1047&lt;$Q$1014,MAX(0,-Assumptions!$B$22*(F1047/INDEX(Surface_Engine!$B$12:$B$72,$A1047+1))),0)))^2+(MAX(0,J1047/INDEX(Surface_Engine!$B$12:$B$72,$A1047+1)-(F1047/INDEX(Surface_Engine!$B$12:$B$72,$A1047+1))))^2+2*Assumptions!$B$26*(IF(C1047&lt;=0,0,MAX(0,(B1047/C1047)*G1047/INDEX(Surface_Engine!$B$12:$B$72,$A1047+1)-F1047/INDEX(Surface_Engine!$B$12:$B$72,$A1047+1))))*(MAX(IF(D1047&lt;=0,0,MAX(0,(B1047/D1047)*H1047/INDEX(Surface_Engine!$B$12:$B$72,$A1047+1)-F1047/INDEX(Surface_Engine!$B$12:$B$72,$A1047+1))),IF(E1047&lt;=0,0,MAX(0,(B1047/E1047)*I1047/INDEX(Surface_Engine!$B$12:$B$72,$A1047+1)-F1047/INDEX(Surface_Engine!$B$12:$B$72,$A1047+1))),IF($A1047&lt;$Q$1014,MAX(0,-Assumptions!$B$22*(F1047/INDEX(Surface_Engine!$B$12:$B$72,$A1047+1))),0)))+2*Assumptions!$B$27*(IF(C1047&lt;=0,0,MAX(0,(B1047/C1047)*G1047/INDEX(Surface_Engine!$B$12:$B$72,$A1047+1)-F1047/INDEX(Surface_Engine!$B$12:$B$72,$A1047+1))))*(MAX(0,J1047/INDEX(Surface_Engine!$B$12:$B$72,$A1047+1)-(F1047/INDEX(Surface_Engine!$B$12:$B$72,$A1047+1))))+2*Assumptions!$B$28*(MAX(IF(D1047&lt;=0,0,MAX(0,(B1047/D1047)*H1047/INDEX(Surface_Engine!$B$12:$B$72,$A1047+1)-F1047/INDEX(Surface_Engine!$B$12:$B$72,$A1047+1))),IF(E1047&lt;=0,0,MAX(0,(B1047/E1047)*I1047/INDEX(Surface_Engine!$B$12:$B$72,$A1047+1)-F1047/INDEX(Surface_Engine!$B$12:$B$72,$A1047+1))),IF($A1047&lt;$Q$1014,MAX(0,-Assumptions!$B$22*(F1047/INDEX(Surface_Engine!$B$12:$B$72,$A1047+1))),0)))*(MAX(0,J1047/INDEX(Surface_Engine!$B$12:$B$72,$A1047+1)-(F1047/INDEX(Surface_Engine!$B$12:$B$72,$A1047+1)))))</f>
        <v>917.903163333932</v>
      </c>
      <c r="L1047" s="48" t="n">
        <f aca="false">K1047*INDEX(Surface_Engine!$B$12:$B$72,$A1047+1)+L1048</f>
        <v>1168.47885765838</v>
      </c>
      <c r="M1047" s="48" t="n">
        <f aca="false">M1046+B1046*(IF($A1046&lt;$Q$1014,(Surface_Engine!B246*12)-(Surface_Engine!B246*12)*INDEX(Surface_Engine!$F$12:$F$72,$A1046+1)-INDEX(Surface_Engine!$D$12:$D$72,$A1046+1),-(1000*12*INDEX(Surface_Engine!$C$12:$C$72,$A1046+1)/(1+Assumptions!$B$10)^5+INDEX(Surface_Engine!$D$12:$D$72,$A1046+1))))*INDEX(Surface_Engine!$B$12:$B$72,$A1046+1)</f>
        <v>7284.9790462266</v>
      </c>
      <c r="N1047" s="12" t="n">
        <f aca="false">IF(B1047&lt;=0,0,MAX(0,(K1047+Assumptions!$B$29*L1047/INDEX(Surface_Engine!$B$12:$B$72,$A1047+1)-(M1047/INDEX(Surface_Engine!$B$12:$B$72,$A1047+1)-(F1047/INDEX(Surface_Engine!$B$12:$B$72,$A1047+1))))/B1047))</f>
        <v>0</v>
      </c>
    </row>
    <row r="1048" customFormat="false" ht="15" hidden="false" customHeight="true" outlineLevel="0" collapsed="false">
      <c r="A1048" s="1" t="n">
        <v>32</v>
      </c>
      <c r="B1048" s="32" t="n">
        <f aca="false">INDEX(Surface_Engine!$Q$12:$Q$72,$A1048+1)*IF($A1048&lt;$Q$1014,INDEX(Surface_Engine!$E$12:$E$72,$A1048+1),INDEX(Surface_Engine!$E$12:$E$72,$Q$1014+1))</f>
        <v>0.049116145074351</v>
      </c>
      <c r="C1048" s="32" t="n">
        <f aca="false">INDEX(Panel_Reserving!$F$8:$F$68,$A1048+1)*IF($A1048&lt;$Q$1014,INDEX(Surface_Engine!$E$12:$E$72,$A1048+1),INDEX(Surface_Engine!$E$12:$E$72,$Q$1014+1))</f>
        <v>0.0913713872186896</v>
      </c>
      <c r="D1048" s="32" t="n">
        <f aca="false">INDEX(Surface_Engine!$Q$12:$Q$72,$A1048+1)*IF($A1048&lt;$Q$1014,INDEX(Surface_Engine!$Y$12:$Y$72,$A1048+1),INDEX(Surface_Engine!$Y$12:$Y$72,$Q$1014+1))</f>
        <v>0.0465888713783485</v>
      </c>
      <c r="E1048" s="32" t="n">
        <f aca="false">INDEX(Surface_Engine!$Q$12:$Q$72,$A1048+1)*IF($A1048&lt;$Q$1014,INDEX(Surface_Engine!$Z$12:$Z$72,$A1048+1),INDEX(Surface_Engine!$Z$12:$Z$72,$Q$1014+1))</f>
        <v>0.051743913585212</v>
      </c>
      <c r="F1048" s="48" t="n">
        <f aca="false">B1048*(IF($A1048&lt;$Q$1014,INDEX(Surface_Engine!$D$12:$D$72,$A1048+1)+(Surface_Engine!B246*12)*INDEX(Surface_Engine!$F$12:$F$72,$A1048+1)-(Surface_Engine!B246*12),1000*12*INDEX(Surface_Engine!$C$12:$C$72,$A1048+1)/(1+Assumptions!$B$10)^5+INDEX(Surface_Engine!$D$12:$D$72,$A1048+1)))*INDEX(Surface_Engine!$B$12:$B$72,$A1048+1)+F1049</f>
        <v>1364.56276988271</v>
      </c>
      <c r="G1048" s="48" t="n">
        <f aca="false">C1048*(IF($A1048&lt;$Q$1014,INDEX(Surface_Engine!$D$12:$D$72,$A1048+1)+(Surface_Engine!B246*12)*INDEX(Surface_Engine!$F$12:$F$72,$A1048+1)-(Surface_Engine!B246*12),1000*12*INDEX(Surface_Engine!$C$12:$C$72,$A1048+1)/(1+Assumptions!$B$10)^5+INDEX(Surface_Engine!$D$12:$D$72,$A1048+1)))*INDEX(Surface_Engine!$B$12:$B$72,$A1048+1)+G1049</f>
        <v>3007.97761161177</v>
      </c>
      <c r="H1048" s="48" t="n">
        <f aca="false">D1048*(IF($A1048&lt;$Q$1014,INDEX(Surface_Engine!$D$12:$D$72,$A1048+1)+(Surface_Engine!B246*12)*INDEX(Surface_Engine!$F$12:$F$72,$A1048+1)-(Surface_Engine!B246*12),1000*12*INDEX(Surface_Engine!$C$12:$C$72,$A1048+1)/(1+Assumptions!$B$10)^5+INDEX(Surface_Engine!$D$12:$D$72,$A1048+1)))*INDEX(Surface_Engine!$B$12:$B$72,$A1048+1)+H1049</f>
        <v>1294.34912445821</v>
      </c>
      <c r="I1048" s="48" t="n">
        <f aca="false">E1048*(IF($A1048&lt;$Q$1014,INDEX(Surface_Engine!$D$12:$D$72,$A1048+1)+(Surface_Engine!B246*12)*INDEX(Surface_Engine!$F$12:$F$72,$A1048+1)-(Surface_Engine!B246*12),1000*12*INDEX(Surface_Engine!$C$12:$C$72,$A1048+1)/(1+Assumptions!$B$10)^5+INDEX(Surface_Engine!$D$12:$D$72,$A1048+1)))*INDEX(Surface_Engine!$B$12:$B$72,$A1048+1)+I1049</f>
        <v>1437.56839913889</v>
      </c>
      <c r="J1048" s="48" t="n">
        <f aca="false">B1048*(IF($A1048&lt;$Q$1014,INDEX(Surface_Engine!$D$12:$D$72,$A1048+1)*(1+Assumptions!$B$24)+(Surface_Engine!B246*12)*INDEX(Surface_Engine!$F$12:$F$72,$A1048+1)-(Surface_Engine!B246*12),1000*12*INDEX(Surface_Engine!$C$12:$C$72,$A1048+1)/(1+Assumptions!$B$10)^5+INDEX(Surface_Engine!$D$12:$D$72,$A1048+1)*(1+Assumptions!$B$24)))*INDEX(Surface_Engine!$B$12:$B$72,$A1048+1)+J1049</f>
        <v>1365.76929795819</v>
      </c>
      <c r="K1048" s="12" t="n">
        <f aca="false">SQRT((IF(C1048&lt;=0,0,MAX(0,(B1048/C1048)*G1048/INDEX(Surface_Engine!$B$12:$B$72,$A1048+1)-F1048/INDEX(Surface_Engine!$B$12:$B$72,$A1048+1))))^2+(MAX(IF(D1048&lt;=0,0,MAX(0,(B1048/D1048)*H1048/INDEX(Surface_Engine!$B$12:$B$72,$A1048+1)-F1048/INDEX(Surface_Engine!$B$12:$B$72,$A1048+1))),IF(E1048&lt;=0,0,MAX(0,(B1048/E1048)*I1048/INDEX(Surface_Engine!$B$12:$B$72,$A1048+1)-F1048/INDEX(Surface_Engine!$B$12:$B$72,$A1048+1))),IF($A1048&lt;$Q$1014,MAX(0,-Assumptions!$B$22*(F1048/INDEX(Surface_Engine!$B$12:$B$72,$A1048+1))),0)))^2+(MAX(0,J1048/INDEX(Surface_Engine!$B$12:$B$72,$A1048+1)-(F1048/INDEX(Surface_Engine!$B$12:$B$72,$A1048+1))))^2+2*Assumptions!$B$26*(IF(C1048&lt;=0,0,MAX(0,(B1048/C1048)*G1048/INDEX(Surface_Engine!$B$12:$B$72,$A1048+1)-F1048/INDEX(Surface_Engine!$B$12:$B$72,$A1048+1))))*(MAX(IF(D1048&lt;=0,0,MAX(0,(B1048/D1048)*H1048/INDEX(Surface_Engine!$B$12:$B$72,$A1048+1)-F1048/INDEX(Surface_Engine!$B$12:$B$72,$A1048+1))),IF(E1048&lt;=0,0,MAX(0,(B1048/E1048)*I1048/INDEX(Surface_Engine!$B$12:$B$72,$A1048+1)-F1048/INDEX(Surface_Engine!$B$12:$B$72,$A1048+1))),IF($A1048&lt;$Q$1014,MAX(0,-Assumptions!$B$22*(F1048/INDEX(Surface_Engine!$B$12:$B$72,$A1048+1))),0)))+2*Assumptions!$B$27*(IF(C1048&lt;=0,0,MAX(0,(B1048/C1048)*G1048/INDEX(Surface_Engine!$B$12:$B$72,$A1048+1)-F1048/INDEX(Surface_Engine!$B$12:$B$72,$A1048+1))))*(MAX(0,J1048/INDEX(Surface_Engine!$B$12:$B$72,$A1048+1)-(F1048/INDEX(Surface_Engine!$B$12:$B$72,$A1048+1))))+2*Assumptions!$B$28*(MAX(IF(D1048&lt;=0,0,MAX(0,(B1048/D1048)*H1048/INDEX(Surface_Engine!$B$12:$B$72,$A1048+1)-F1048/INDEX(Surface_Engine!$B$12:$B$72,$A1048+1))),IF(E1048&lt;=0,0,MAX(0,(B1048/E1048)*I1048/INDEX(Surface_Engine!$B$12:$B$72,$A1048+1)-F1048/INDEX(Surface_Engine!$B$12:$B$72,$A1048+1))),IF($A1048&lt;$Q$1014,MAX(0,-Assumptions!$B$22*(F1048/INDEX(Surface_Engine!$B$12:$B$72,$A1048+1))),0)))*(MAX(0,J1048/INDEX(Surface_Engine!$B$12:$B$72,$A1048+1)-(F1048/INDEX(Surface_Engine!$B$12:$B$72,$A1048+1)))))</f>
        <v>689.508325250042</v>
      </c>
      <c r="L1048" s="48" t="n">
        <f aca="false">K1048*INDEX(Surface_Engine!$B$12:$B$72,$A1048+1)+L1049</f>
        <v>821.196082844383</v>
      </c>
      <c r="M1048" s="48" t="n">
        <f aca="false">M1047+B1047*(IF($A1047&lt;$Q$1014,(Surface_Engine!B246*12)-(Surface_Engine!B246*12)*INDEX(Surface_Engine!$F$12:$F$72,$A1047+1)-INDEX(Surface_Engine!$D$12:$D$72,$A1047+1),-(1000*12*INDEX(Surface_Engine!$C$12:$C$72,$A1047+1)/(1+Assumptions!$B$10)^5+INDEX(Surface_Engine!$D$12:$D$72,$A1047+1))))*INDEX(Surface_Engine!$B$12:$B$72,$A1047+1)</f>
        <v>6798.52214955113</v>
      </c>
      <c r="N1048" s="12" t="n">
        <f aca="false">IF(B1048&lt;=0,0,MAX(0,(K1048+Assumptions!$B$29*L1048/INDEX(Surface_Engine!$B$12:$B$72,$A1048+1)-(M1048/INDEX(Surface_Engine!$B$12:$B$72,$A1048+1)-(F1048/INDEX(Surface_Engine!$B$12:$B$72,$A1048+1))))/B1048))</f>
        <v>0</v>
      </c>
    </row>
    <row r="1049" customFormat="false" ht="15" hidden="false" customHeight="true" outlineLevel="0" collapsed="false">
      <c r="A1049" s="1" t="n">
        <v>33</v>
      </c>
      <c r="B1049" s="32" t="n">
        <f aca="false">INDEX(Surface_Engine!$Q$12:$Q$72,$A1049+1)*IF($A1049&lt;$Q$1014,INDEX(Surface_Engine!$E$12:$E$72,$A1049+1),INDEX(Surface_Engine!$E$12:$E$72,$Q$1014+1))</f>
        <v>0.037401770014031</v>
      </c>
      <c r="C1049" s="32" t="n">
        <f aca="false">INDEX(Panel_Reserving!$F$8:$F$68,$A1049+1)*IF($A1049&lt;$Q$1014,INDEX(Surface_Engine!$E$12:$E$72,$A1049+1),INDEX(Surface_Engine!$E$12:$E$72,$Q$1014+1))</f>
        <v>0.0739374668971143</v>
      </c>
      <c r="D1049" s="32" t="n">
        <f aca="false">INDEX(Surface_Engine!$Q$12:$Q$72,$A1049+1)*IF($A1049&lt;$Q$1014,INDEX(Surface_Engine!$Y$12:$Y$72,$A1049+1),INDEX(Surface_Engine!$Y$12:$Y$72,$Q$1014+1))</f>
        <v>0.0354772600713776</v>
      </c>
      <c r="E1049" s="32" t="n">
        <f aca="false">INDEX(Surface_Engine!$Q$12:$Q$72,$A1049+1)*IF($A1049&lt;$Q$1014,INDEX(Surface_Engine!$Z$12:$Z$72,$A1049+1),INDEX(Surface_Engine!$Z$12:$Z$72,$Q$1014+1))</f>
        <v>0.0394028064012425</v>
      </c>
      <c r="F1049" s="48" t="n">
        <f aca="false">B1049*(IF($A1049&lt;$Q$1014,INDEX(Surface_Engine!$D$12:$D$72,$A1049+1)+(Surface_Engine!B246*12)*INDEX(Surface_Engine!$F$12:$F$72,$A1049+1)-(Surface_Engine!B246*12),1000*12*INDEX(Surface_Engine!$C$12:$C$72,$A1049+1)/(1+Assumptions!$B$10)^5+INDEX(Surface_Engine!$D$12:$D$72,$A1049+1)))*INDEX(Surface_Engine!$B$12:$B$72,$A1049+1)+F1050</f>
        <v>992.663472158538</v>
      </c>
      <c r="G1049" s="48" t="n">
        <f aca="false">C1049*(IF($A1049&lt;$Q$1014,INDEX(Surface_Engine!$D$12:$D$72,$A1049+1)+(Surface_Engine!B246*12)*INDEX(Surface_Engine!$F$12:$F$72,$A1049+1)-(Surface_Engine!B246*12),1000*12*INDEX(Surface_Engine!$C$12:$C$72,$A1049+1)/(1+Assumptions!$B$10)^5+INDEX(Surface_Engine!$D$12:$D$72,$A1049+1)))*INDEX(Surface_Engine!$B$12:$B$72,$A1049+1)+G1050</f>
        <v>2316.12863430962</v>
      </c>
      <c r="H1049" s="48" t="n">
        <f aca="false">D1049*(IF($A1049&lt;$Q$1014,INDEX(Surface_Engine!$D$12:$D$72,$A1049+1)+(Surface_Engine!B246*12)*INDEX(Surface_Engine!$F$12:$F$72,$A1049+1)-(Surface_Engine!B246*12),1000*12*INDEX(Surface_Engine!$C$12:$C$72,$A1049+1)/(1+Assumptions!$B$10)^5+INDEX(Surface_Engine!$D$12:$D$72,$A1049+1)))*INDEX(Surface_Engine!$B$12:$B$72,$A1049+1)+H1050</f>
        <v>941.585923658525</v>
      </c>
      <c r="I1049" s="48" t="n">
        <f aca="false">E1049*(IF($A1049&lt;$Q$1014,INDEX(Surface_Engine!$D$12:$D$72,$A1049+1)+(Surface_Engine!B246*12)*INDEX(Surface_Engine!$F$12:$F$72,$A1049+1)-(Surface_Engine!B246*12),1000*12*INDEX(Surface_Engine!$C$12:$C$72,$A1049+1)/(1+Assumptions!$B$10)^5+INDEX(Surface_Engine!$D$12:$D$72,$A1049+1)))*INDEX(Surface_Engine!$B$12:$B$72,$A1049+1)+I1050</f>
        <v>1045.77207443324</v>
      </c>
      <c r="J1049" s="48" t="n">
        <f aca="false">B1049*(IF($A1049&lt;$Q$1014,INDEX(Surface_Engine!$D$12:$D$72,$A1049+1)*(1+Assumptions!$B$24)+(Surface_Engine!B246*12)*INDEX(Surface_Engine!$F$12:$F$72,$A1049+1)-(Surface_Engine!B246*12),1000*12*INDEX(Surface_Engine!$C$12:$C$72,$A1049+1)/(1+Assumptions!$B$10)^5+INDEX(Surface_Engine!$D$12:$D$72,$A1049+1)*(1+Assumptions!$B$24)))*INDEX(Surface_Engine!$B$12:$B$72,$A1049+1)+J1050</f>
        <v>993.544761501607</v>
      </c>
      <c r="K1049" s="12" t="n">
        <f aca="false">SQRT((IF(C1049&lt;=0,0,MAX(0,(B1049/C1049)*G1049/INDEX(Surface_Engine!$B$12:$B$72,$A1049+1)-F1049/INDEX(Surface_Engine!$B$12:$B$72,$A1049+1))))^2+(MAX(IF(D1049&lt;=0,0,MAX(0,(B1049/D1049)*H1049/INDEX(Surface_Engine!$B$12:$B$72,$A1049+1)-F1049/INDEX(Surface_Engine!$B$12:$B$72,$A1049+1))),IF(E1049&lt;=0,0,MAX(0,(B1049/E1049)*I1049/INDEX(Surface_Engine!$B$12:$B$72,$A1049+1)-F1049/INDEX(Surface_Engine!$B$12:$B$72,$A1049+1))),IF($A1049&lt;$Q$1014,MAX(0,-Assumptions!$B$22*(F1049/INDEX(Surface_Engine!$B$12:$B$72,$A1049+1))),0)))^2+(MAX(0,J1049/INDEX(Surface_Engine!$B$12:$B$72,$A1049+1)-(F1049/INDEX(Surface_Engine!$B$12:$B$72,$A1049+1))))^2+2*Assumptions!$B$26*(IF(C1049&lt;=0,0,MAX(0,(B1049/C1049)*G1049/INDEX(Surface_Engine!$B$12:$B$72,$A1049+1)-F1049/INDEX(Surface_Engine!$B$12:$B$72,$A1049+1))))*(MAX(IF(D1049&lt;=0,0,MAX(0,(B1049/D1049)*H1049/INDEX(Surface_Engine!$B$12:$B$72,$A1049+1)-F1049/INDEX(Surface_Engine!$B$12:$B$72,$A1049+1))),IF(E1049&lt;=0,0,MAX(0,(B1049/E1049)*I1049/INDEX(Surface_Engine!$B$12:$B$72,$A1049+1)-F1049/INDEX(Surface_Engine!$B$12:$B$72,$A1049+1))),IF($A1049&lt;$Q$1014,MAX(0,-Assumptions!$B$22*(F1049/INDEX(Surface_Engine!$B$12:$B$72,$A1049+1))),0)))+2*Assumptions!$B$27*(IF(C1049&lt;=0,0,MAX(0,(B1049/C1049)*G1049/INDEX(Surface_Engine!$B$12:$B$72,$A1049+1)-F1049/INDEX(Surface_Engine!$B$12:$B$72,$A1049+1))))*(MAX(0,J1049/INDEX(Surface_Engine!$B$12:$B$72,$A1049+1)-(F1049/INDEX(Surface_Engine!$B$12:$B$72,$A1049+1))))+2*Assumptions!$B$28*(MAX(IF(D1049&lt;=0,0,MAX(0,(B1049/D1049)*H1049/INDEX(Surface_Engine!$B$12:$B$72,$A1049+1)-F1049/INDEX(Surface_Engine!$B$12:$B$72,$A1049+1))),IF(E1049&lt;=0,0,MAX(0,(B1049/E1049)*I1049/INDEX(Surface_Engine!$B$12:$B$72,$A1049+1)-F1049/INDEX(Surface_Engine!$B$12:$B$72,$A1049+1))),IF($A1049&lt;$Q$1014,MAX(0,-Assumptions!$B$22*(F1049/INDEX(Surface_Engine!$B$12:$B$72,$A1049+1))),0)))*(MAX(0,J1049/INDEX(Surface_Engine!$B$12:$B$72,$A1049+1)-(F1049/INDEX(Surface_Engine!$B$12:$B$72,$A1049+1)))))</f>
        <v>504.907644645008</v>
      </c>
      <c r="L1049" s="48" t="n">
        <f aca="false">K1049*INDEX(Surface_Engine!$B$12:$B$72,$A1049+1)+L1050</f>
        <v>568.53406765752</v>
      </c>
      <c r="M1049" s="48" t="n">
        <f aca="false">M1048+B1048*(IF($A1048&lt;$Q$1014,(Surface_Engine!B246*12)-(Surface_Engine!B246*12)*INDEX(Surface_Engine!$F$12:$F$72,$A1048+1)-INDEX(Surface_Engine!$D$12:$D$72,$A1048+1),-(1000*12*INDEX(Surface_Engine!$C$12:$C$72,$A1048+1)/(1+Assumptions!$B$10)^5+INDEX(Surface_Engine!$D$12:$D$72,$A1048+1))))*INDEX(Surface_Engine!$B$12:$B$72,$A1048+1)</f>
        <v>6426.62285182696</v>
      </c>
      <c r="N1049" s="12" t="n">
        <f aca="false">IF(B1049&lt;=0,0,MAX(0,(K1049+Assumptions!$B$29*L1049/INDEX(Surface_Engine!$B$12:$B$72,$A1049+1)-(M1049/INDEX(Surface_Engine!$B$12:$B$72,$A1049+1)-(F1049/INDEX(Surface_Engine!$B$12:$B$72,$A1049+1))))/B1049))</f>
        <v>0</v>
      </c>
    </row>
    <row r="1050" customFormat="false" ht="15" hidden="false" customHeight="true" outlineLevel="0" collapsed="false">
      <c r="A1050" s="1" t="n">
        <v>34</v>
      </c>
      <c r="B1050" s="32" t="n">
        <f aca="false">INDEX(Surface_Engine!$Q$12:$Q$72,$A1050+1)*IF($A1050&lt;$Q$1014,INDEX(Surface_Engine!$E$12:$E$72,$A1050+1),INDEX(Surface_Engine!$E$12:$E$72,$Q$1014+1))</f>
        <v>0.0279519779862865</v>
      </c>
      <c r="C1050" s="32" t="n">
        <f aca="false">INDEX(Panel_Reserving!$F$8:$F$68,$A1050+1)*IF($A1050&lt;$Q$1014,INDEX(Surface_Engine!$E$12:$E$72,$A1050+1),INDEX(Surface_Engine!$E$12:$E$72,$Q$1014+1))</f>
        <v>0.0589928547041862</v>
      </c>
      <c r="D1050" s="32" t="n">
        <f aca="false">INDEX(Surface_Engine!$Q$12:$Q$72,$A1050+1)*IF($A1050&lt;$Q$1014,INDEX(Surface_Engine!$Y$12:$Y$72,$A1050+1),INDEX(Surface_Engine!$Y$12:$Y$72,$Q$1014+1))</f>
        <v>0.0265137075640242</v>
      </c>
      <c r="E1050" s="32" t="n">
        <f aca="false">INDEX(Surface_Engine!$Q$12:$Q$72,$A1050+1)*IF($A1050&lt;$Q$1014,INDEX(Surface_Engine!$Z$12:$Z$72,$A1050+1),INDEX(Surface_Engine!$Z$12:$Z$72,$Q$1014+1))</f>
        <v>0.0294474399664043</v>
      </c>
      <c r="F1050" s="48" t="n">
        <f aca="false">B1050*(IF($A1050&lt;$Q$1014,INDEX(Surface_Engine!$D$12:$D$72,$A1050+1)+(Surface_Engine!B246*12)*INDEX(Surface_Engine!$F$12:$F$72,$A1050+1)-(Surface_Engine!B246*12),1000*12*INDEX(Surface_Engine!$C$12:$C$72,$A1050+1)/(1+Assumptions!$B$10)^5+INDEX(Surface_Engine!$D$12:$D$72,$A1050+1)))*INDEX(Surface_Engine!$B$12:$B$72,$A1050+1)+F1051</f>
        <v>712.888240203262</v>
      </c>
      <c r="G1050" s="48" t="n">
        <f aca="false">C1050*(IF($A1050&lt;$Q$1014,INDEX(Surface_Engine!$D$12:$D$72,$A1050+1)+(Surface_Engine!B246*12)*INDEX(Surface_Engine!$F$12:$F$72,$A1050+1)-(Surface_Engine!B246*12),1000*12*INDEX(Surface_Engine!$C$12:$C$72,$A1050+1)/(1+Assumptions!$B$10)^5+INDEX(Surface_Engine!$D$12:$D$72,$A1050+1)))*INDEX(Surface_Engine!$B$12:$B$72,$A1050+1)+G1051</f>
        <v>1763.0566287985</v>
      </c>
      <c r="H1050" s="48" t="n">
        <f aca="false">D1050*(IF($A1050&lt;$Q$1014,INDEX(Surface_Engine!$D$12:$D$72,$A1050+1)+(Surface_Engine!B246*12)*INDEX(Surface_Engine!$F$12:$F$72,$A1050+1)-(Surface_Engine!B246*12),1000*12*INDEX(Surface_Engine!$C$12:$C$72,$A1050+1)/(1+Assumptions!$B$10)^5+INDEX(Surface_Engine!$D$12:$D$72,$A1050+1)))*INDEX(Surface_Engine!$B$12:$B$72,$A1050+1)+H1051</f>
        <v>676.206540226036</v>
      </c>
      <c r="I1050" s="48" t="n">
        <f aca="false">E1050*(IF($A1050&lt;$Q$1014,INDEX(Surface_Engine!$D$12:$D$72,$A1050+1)+(Surface_Engine!B246*12)*INDEX(Surface_Engine!$F$12:$F$72,$A1050+1)-(Surface_Engine!B246*12),1000*12*INDEX(Surface_Engine!$C$12:$C$72,$A1050+1)/(1+Assumptions!$B$10)^5+INDEX(Surface_Engine!$D$12:$D$72,$A1050+1)))*INDEX(Surface_Engine!$B$12:$B$72,$A1050+1)+I1051</f>
        <v>751.028555705089</v>
      </c>
      <c r="J1050" s="48" t="n">
        <f aca="false">B1050*(IF($A1050&lt;$Q$1014,INDEX(Surface_Engine!$D$12:$D$72,$A1050+1)*(1+Assumptions!$B$24)+(Surface_Engine!B246*12)*INDEX(Surface_Engine!$F$12:$F$72,$A1050+1)-(Surface_Engine!B246*12),1000*12*INDEX(Surface_Engine!$C$12:$C$72,$A1050+1)/(1+Assumptions!$B$10)^5+INDEX(Surface_Engine!$D$12:$D$72,$A1050+1)*(1+Assumptions!$B$24)))*INDEX(Surface_Engine!$B$12:$B$72,$A1050+1)+J1051</f>
        <v>713.523667641458</v>
      </c>
      <c r="K1050" s="12" t="n">
        <f aca="false">SQRT((IF(C1050&lt;=0,0,MAX(0,(B1050/C1050)*G1050/INDEX(Surface_Engine!$B$12:$B$72,$A1050+1)-F1050/INDEX(Surface_Engine!$B$12:$B$72,$A1050+1))))^2+(MAX(IF(D1050&lt;=0,0,MAX(0,(B1050/D1050)*H1050/INDEX(Surface_Engine!$B$12:$B$72,$A1050+1)-F1050/INDEX(Surface_Engine!$B$12:$B$72,$A1050+1))),IF(E1050&lt;=0,0,MAX(0,(B1050/E1050)*I1050/INDEX(Surface_Engine!$B$12:$B$72,$A1050+1)-F1050/INDEX(Surface_Engine!$B$12:$B$72,$A1050+1))),IF($A1050&lt;$Q$1014,MAX(0,-Assumptions!$B$22*(F1050/INDEX(Surface_Engine!$B$12:$B$72,$A1050+1))),0)))^2+(MAX(0,J1050/INDEX(Surface_Engine!$B$12:$B$72,$A1050+1)-(F1050/INDEX(Surface_Engine!$B$12:$B$72,$A1050+1))))^2+2*Assumptions!$B$26*(IF(C1050&lt;=0,0,MAX(0,(B1050/C1050)*G1050/INDEX(Surface_Engine!$B$12:$B$72,$A1050+1)-F1050/INDEX(Surface_Engine!$B$12:$B$72,$A1050+1))))*(MAX(IF(D1050&lt;=0,0,MAX(0,(B1050/D1050)*H1050/INDEX(Surface_Engine!$B$12:$B$72,$A1050+1)-F1050/INDEX(Surface_Engine!$B$12:$B$72,$A1050+1))),IF(E1050&lt;=0,0,MAX(0,(B1050/E1050)*I1050/INDEX(Surface_Engine!$B$12:$B$72,$A1050+1)-F1050/INDEX(Surface_Engine!$B$12:$B$72,$A1050+1))),IF($A1050&lt;$Q$1014,MAX(0,-Assumptions!$B$22*(F1050/INDEX(Surface_Engine!$B$12:$B$72,$A1050+1))),0)))+2*Assumptions!$B$27*(IF(C1050&lt;=0,0,MAX(0,(B1050/C1050)*G1050/INDEX(Surface_Engine!$B$12:$B$72,$A1050+1)-F1050/INDEX(Surface_Engine!$B$12:$B$72,$A1050+1))))*(MAX(0,J1050/INDEX(Surface_Engine!$B$12:$B$72,$A1050+1)-(F1050/INDEX(Surface_Engine!$B$12:$B$72,$A1050+1))))+2*Assumptions!$B$28*(MAX(IF(D1050&lt;=0,0,MAX(0,(B1050/D1050)*H1050/INDEX(Surface_Engine!$B$12:$B$72,$A1050+1)-F1050/INDEX(Surface_Engine!$B$12:$B$72,$A1050+1))),IF(E1050&lt;=0,0,MAX(0,(B1050/E1050)*I1050/INDEX(Surface_Engine!$B$12:$B$72,$A1050+1)-F1050/INDEX(Surface_Engine!$B$12:$B$72,$A1050+1))),IF($A1050&lt;$Q$1014,MAX(0,-Assumptions!$B$22*(F1050/INDEX(Surface_Engine!$B$12:$B$72,$A1050+1))),0)))*(MAX(0,J1050/INDEX(Surface_Engine!$B$12:$B$72,$A1050+1)-(F1050/INDEX(Surface_Engine!$B$12:$B$72,$A1050+1)))))</f>
        <v>356.833198369506</v>
      </c>
      <c r="L1050" s="48" t="n">
        <f aca="false">K1050*INDEX(Surface_Engine!$B$12:$B$72,$A1050+1)+L1051</f>
        <v>389.345778623181</v>
      </c>
      <c r="M1050" s="48" t="n">
        <f aca="false">M1049+B1049*(IF($A1049&lt;$Q$1014,(Surface_Engine!B246*12)-(Surface_Engine!B246*12)*INDEX(Surface_Engine!$F$12:$F$72,$A1049+1)-INDEX(Surface_Engine!$D$12:$D$72,$A1049+1),-(1000*12*INDEX(Surface_Engine!$C$12:$C$72,$A1049+1)/(1+Assumptions!$B$10)^5+INDEX(Surface_Engine!$D$12:$D$72,$A1049+1))))*INDEX(Surface_Engine!$B$12:$B$72,$A1049+1)</f>
        <v>6146.84761987169</v>
      </c>
      <c r="N1050" s="12" t="n">
        <f aca="false">IF(B1050&lt;=0,0,MAX(0,(K1050+Assumptions!$B$29*L1050/INDEX(Surface_Engine!$B$12:$B$72,$A1050+1)-(M1050/INDEX(Surface_Engine!$B$12:$B$72,$A1050+1)-(F1050/INDEX(Surface_Engine!$B$12:$B$72,$A1050+1))))/B1050))</f>
        <v>0</v>
      </c>
    </row>
    <row r="1051" customFormat="false" ht="15" hidden="false" customHeight="true" outlineLevel="0" collapsed="false">
      <c r="A1051" s="1" t="n">
        <v>35</v>
      </c>
      <c r="B1051" s="32" t="n">
        <f aca="false">INDEX(Surface_Engine!$Q$12:$Q$72,$A1051+1)*IF($A1051&lt;$Q$1014,INDEX(Surface_Engine!$E$12:$E$72,$A1051+1),INDEX(Surface_Engine!$E$12:$E$72,$Q$1014+1))</f>
        <v>0.0211824958891489</v>
      </c>
      <c r="C1051" s="32" t="n">
        <f aca="false">INDEX(Panel_Reserving!$F$8:$F$68,$A1051+1)*IF($A1051&lt;$Q$1014,INDEX(Surface_Engine!$E$12:$E$72,$A1051+1),INDEX(Surface_Engine!$E$12:$E$72,$Q$1014+1))</f>
        <v>0.047563221381637</v>
      </c>
      <c r="D1051" s="32" t="n">
        <f aca="false">INDEX(Surface_Engine!$Q$12:$Q$72,$A1051+1)*IF($A1051&lt;$Q$1014,INDEX(Surface_Engine!$Y$12:$Y$72,$A1051+1),INDEX(Surface_Engine!$Y$12:$Y$72,$Q$1014+1))</f>
        <v>0.0200925495060342</v>
      </c>
      <c r="E1051" s="32" t="n">
        <f aca="false">INDEX(Surface_Engine!$Q$12:$Q$72,$A1051+1)*IF($A1051&lt;$Q$1014,INDEX(Surface_Engine!$Z$12:$Z$72,$A1051+1),INDEX(Surface_Engine!$Z$12:$Z$72,$Q$1014+1))</f>
        <v>0.0223157830311811</v>
      </c>
      <c r="F1051" s="48" t="n">
        <f aca="false">B1051*(IF($A1051&lt;$Q$1014,INDEX(Surface_Engine!$D$12:$D$72,$A1051+1)+(Surface_Engine!B246*12)*INDEX(Surface_Engine!$F$12:$F$72,$A1051+1)-(Surface_Engine!B246*12),1000*12*INDEX(Surface_Engine!$C$12:$C$72,$A1051+1)/(1+Assumptions!$B$10)^5+INDEX(Surface_Engine!$D$12:$D$72,$A1051+1)))*INDEX(Surface_Engine!$B$12:$B$72,$A1051+1)+F1052</f>
        <v>506.336461163497</v>
      </c>
      <c r="G1051" s="48" t="n">
        <f aca="false">C1051*(IF($A1051&lt;$Q$1014,INDEX(Surface_Engine!$D$12:$D$72,$A1051+1)+(Surface_Engine!B246*12)*INDEX(Surface_Engine!$F$12:$F$72,$A1051+1)-(Surface_Engine!B246*12),1000*12*INDEX(Surface_Engine!$C$12:$C$72,$A1051+1)/(1+Assumptions!$B$10)^5+INDEX(Surface_Engine!$D$12:$D$72,$A1051+1)))*INDEX(Surface_Engine!$B$12:$B$72,$A1051+1)+G1052</f>
        <v>1327.12758307007</v>
      </c>
      <c r="H1051" s="48" t="n">
        <f aca="false">D1051*(IF($A1051&lt;$Q$1014,INDEX(Surface_Engine!$D$12:$D$72,$A1051+1)+(Surface_Engine!B246*12)*INDEX(Surface_Engine!$F$12:$F$72,$A1051+1)-(Surface_Engine!B246*12),1000*12*INDEX(Surface_Engine!$C$12:$C$72,$A1051+1)/(1+Assumptions!$B$10)^5+INDEX(Surface_Engine!$D$12:$D$72,$A1051+1)))*INDEX(Surface_Engine!$B$12:$B$72,$A1051+1)+H1052</f>
        <v>480.282893284984</v>
      </c>
      <c r="I1051" s="48" t="n">
        <f aca="false">E1051*(IF($A1051&lt;$Q$1014,INDEX(Surface_Engine!$D$12:$D$72,$A1051+1)+(Surface_Engine!B246*12)*INDEX(Surface_Engine!$F$12:$F$72,$A1051+1)-(Surface_Engine!B246*12),1000*12*INDEX(Surface_Engine!$C$12:$C$72,$A1051+1)/(1+Assumptions!$B$10)^5+INDEX(Surface_Engine!$D$12:$D$72,$A1051+1)))*INDEX(Surface_Engine!$B$12:$B$72,$A1051+1)+I1052</f>
        <v>533.426026245042</v>
      </c>
      <c r="J1051" s="48" t="n">
        <f aca="false">B1051*(IF($A1051&lt;$Q$1014,INDEX(Surface_Engine!$D$12:$D$72,$A1051+1)*(1+Assumptions!$B$24)+(Surface_Engine!B246*12)*INDEX(Surface_Engine!$F$12:$F$72,$A1051+1)-(Surface_Engine!B246*12),1000*12*INDEX(Surface_Engine!$C$12:$C$72,$A1051+1)/(1+Assumptions!$B$10)^5+INDEX(Surface_Engine!$D$12:$D$72,$A1051+1)*(1+Assumptions!$B$24)))*INDEX(Surface_Engine!$B$12:$B$72,$A1051+1)+J1052</f>
        <v>506.78949235251</v>
      </c>
      <c r="K1051" s="12" t="n">
        <f aca="false">SQRT((IF(C1051&lt;=0,0,MAX(0,(B1051/C1051)*G1051/INDEX(Surface_Engine!$B$12:$B$72,$A1051+1)-F1051/INDEX(Surface_Engine!$B$12:$B$72,$A1051+1))))^2+(MAX(IF(D1051&lt;=0,0,MAX(0,(B1051/D1051)*H1051/INDEX(Surface_Engine!$B$12:$B$72,$A1051+1)-F1051/INDEX(Surface_Engine!$B$12:$B$72,$A1051+1))),IF(E1051&lt;=0,0,MAX(0,(B1051/E1051)*I1051/INDEX(Surface_Engine!$B$12:$B$72,$A1051+1)-F1051/INDEX(Surface_Engine!$B$12:$B$72,$A1051+1))),IF($A1051&lt;$Q$1014,MAX(0,-Assumptions!$B$22*(F1051/INDEX(Surface_Engine!$B$12:$B$72,$A1051+1))),0)))^2+(MAX(0,J1051/INDEX(Surface_Engine!$B$12:$B$72,$A1051+1)-(F1051/INDEX(Surface_Engine!$B$12:$B$72,$A1051+1))))^2+2*Assumptions!$B$26*(IF(C1051&lt;=0,0,MAX(0,(B1051/C1051)*G1051/INDEX(Surface_Engine!$B$12:$B$72,$A1051+1)-F1051/INDEX(Surface_Engine!$B$12:$B$72,$A1051+1))))*(MAX(IF(D1051&lt;=0,0,MAX(0,(B1051/D1051)*H1051/INDEX(Surface_Engine!$B$12:$B$72,$A1051+1)-F1051/INDEX(Surface_Engine!$B$12:$B$72,$A1051+1))),IF(E1051&lt;=0,0,MAX(0,(B1051/E1051)*I1051/INDEX(Surface_Engine!$B$12:$B$72,$A1051+1)-F1051/INDEX(Surface_Engine!$B$12:$B$72,$A1051+1))),IF($A1051&lt;$Q$1014,MAX(0,-Assumptions!$B$22*(F1051/INDEX(Surface_Engine!$B$12:$B$72,$A1051+1))),0)))+2*Assumptions!$B$27*(IF(C1051&lt;=0,0,MAX(0,(B1051/C1051)*G1051/INDEX(Surface_Engine!$B$12:$B$72,$A1051+1)-F1051/INDEX(Surface_Engine!$B$12:$B$72,$A1051+1))))*(MAX(0,J1051/INDEX(Surface_Engine!$B$12:$B$72,$A1051+1)-(F1051/INDEX(Surface_Engine!$B$12:$B$72,$A1051+1))))+2*Assumptions!$B$28*(MAX(IF(D1051&lt;=0,0,MAX(0,(B1051/D1051)*H1051/INDEX(Surface_Engine!$B$12:$B$72,$A1051+1)-F1051/INDEX(Surface_Engine!$B$12:$B$72,$A1051+1))),IF(E1051&lt;=0,0,MAX(0,(B1051/E1051)*I1051/INDEX(Surface_Engine!$B$12:$B$72,$A1051+1)-F1051/INDEX(Surface_Engine!$B$12:$B$72,$A1051+1))),IF($A1051&lt;$Q$1014,MAX(0,-Assumptions!$B$22*(F1051/INDEX(Surface_Engine!$B$12:$B$72,$A1051+1))),0)))*(MAX(0,J1051/INDEX(Surface_Engine!$B$12:$B$72,$A1051+1)-(F1051/INDEX(Surface_Engine!$B$12:$B$72,$A1051+1)))))</f>
        <v>254.834171790702</v>
      </c>
      <c r="L1051" s="48" t="n">
        <f aca="false">K1051*INDEX(Surface_Engine!$B$12:$B$72,$A1051+1)+L1052</f>
        <v>266.702617888144</v>
      </c>
      <c r="M1051" s="48" t="n">
        <f aca="false">M1050+B1050*(IF($A1050&lt;$Q$1014,(Surface_Engine!B246*12)-(Surface_Engine!B246*12)*INDEX(Surface_Engine!$F$12:$F$72,$A1050+1)-INDEX(Surface_Engine!$D$12:$D$72,$A1050+1),-(1000*12*INDEX(Surface_Engine!$C$12:$C$72,$A1050+1)/(1+Assumptions!$B$10)^5+INDEX(Surface_Engine!$D$12:$D$72,$A1050+1))))*INDEX(Surface_Engine!$B$12:$B$72,$A1050+1)</f>
        <v>5940.29584083192</v>
      </c>
      <c r="N1051" s="12" t="n">
        <f aca="false">IF(B1051&lt;=0,0,MAX(0,(K1051+Assumptions!$B$29*L1051/INDEX(Surface_Engine!$B$12:$B$72,$A1051+1)-(M1051/INDEX(Surface_Engine!$B$12:$B$72,$A1051+1)-(F1051/INDEX(Surface_Engine!$B$12:$B$72,$A1051+1))))/B1051))</f>
        <v>0</v>
      </c>
    </row>
    <row r="1052" customFormat="false" ht="15" hidden="false" customHeight="true" outlineLevel="0" collapsed="false">
      <c r="A1052" s="1" t="n">
        <v>36</v>
      </c>
      <c r="B1052" s="32" t="n">
        <f aca="false">INDEX(Surface_Engine!$Q$12:$Q$72,$A1052+1)*IF($A1052&lt;$Q$1014,INDEX(Surface_Engine!$E$12:$E$72,$A1052+1),INDEX(Surface_Engine!$E$12:$E$72,$Q$1014+1))</f>
        <v>0.0185586414722577</v>
      </c>
      <c r="C1052" s="32" t="n">
        <f aca="false">INDEX(Panel_Reserving!$F$8:$F$68,$A1052+1)*IF($A1052&lt;$Q$1014,INDEX(Surface_Engine!$E$12:$E$72,$A1052+1),INDEX(Surface_Engine!$E$12:$E$72,$Q$1014+1))</f>
        <v>0.0428499347450906</v>
      </c>
      <c r="D1052" s="32" t="n">
        <f aca="false">INDEX(Surface_Engine!$Q$12:$Q$72,$A1052+1)*IF($A1052&lt;$Q$1014,INDEX(Surface_Engine!$Y$12:$Y$72,$A1052+1),INDEX(Surface_Engine!$Y$12:$Y$72,$Q$1014+1))</f>
        <v>0.0176037056491108</v>
      </c>
      <c r="E1052" s="32" t="n">
        <f aca="false">INDEX(Surface_Engine!$Q$12:$Q$72,$A1052+1)*IF($A1052&lt;$Q$1014,INDEX(Surface_Engine!$Z$12:$Z$72,$A1052+1),INDEX(Surface_Engine!$Z$12:$Z$72,$Q$1014+1))</f>
        <v>0.0195515494781962</v>
      </c>
      <c r="F1052" s="48" t="n">
        <f aca="false">B1052*(IF($A1052&lt;$Q$1014,INDEX(Surface_Engine!$D$12:$D$72,$A1052+1)+(Surface_Engine!B246*12)*INDEX(Surface_Engine!$F$12:$F$72,$A1052+1)-(Surface_Engine!B246*12),1000*12*INDEX(Surface_Engine!$C$12:$C$72,$A1052+1)/(1+Assumptions!$B$10)^5+INDEX(Surface_Engine!$D$12:$D$72,$A1052+1)))*INDEX(Surface_Engine!$B$12:$B$72,$A1052+1)+F1053</f>
        <v>351.712757290581</v>
      </c>
      <c r="G1052" s="48" t="n">
        <f aca="false">C1052*(IF($A1052&lt;$Q$1014,INDEX(Surface_Engine!$D$12:$D$72,$A1052+1)+(Surface_Engine!B246*12)*INDEX(Surface_Engine!$F$12:$F$72,$A1052+1)-(Surface_Engine!B246*12),1000*12*INDEX(Surface_Engine!$C$12:$C$72,$A1052+1)/(1+Assumptions!$B$10)^5+INDEX(Surface_Engine!$D$12:$D$72,$A1052+1)))*INDEX(Surface_Engine!$B$12:$B$72,$A1052+1)+G1053</f>
        <v>979.935189093325</v>
      </c>
      <c r="H1052" s="48" t="n">
        <f aca="false">D1052*(IF($A1052&lt;$Q$1014,INDEX(Surface_Engine!$D$12:$D$72,$A1052+1)+(Surface_Engine!B246*12)*INDEX(Surface_Engine!$F$12:$F$72,$A1052+1)-(Surface_Engine!B246*12),1000*12*INDEX(Surface_Engine!$C$12:$C$72,$A1052+1)/(1+Assumptions!$B$10)^5+INDEX(Surface_Engine!$D$12:$D$72,$A1052+1)))*INDEX(Surface_Engine!$B$12:$B$72,$A1052+1)+H1053</f>
        <v>333.615359811535</v>
      </c>
      <c r="I1052" s="48" t="n">
        <f aca="false">E1052*(IF($A1052&lt;$Q$1014,INDEX(Surface_Engine!$D$12:$D$72,$A1052+1)+(Surface_Engine!B246*12)*INDEX(Surface_Engine!$F$12:$F$72,$A1052+1)-(Surface_Engine!B246*12),1000*12*INDEX(Surface_Engine!$C$12:$C$72,$A1052+1)/(1+Assumptions!$B$10)^5+INDEX(Surface_Engine!$D$12:$D$72,$A1052+1)))*INDEX(Surface_Engine!$B$12:$B$72,$A1052+1)+I1053</f>
        <v>370.52978185709</v>
      </c>
      <c r="J1052" s="48" t="n">
        <f aca="false">B1052*(IF($A1052&lt;$Q$1014,INDEX(Surface_Engine!$D$12:$D$72,$A1052+1)*(1+Assumptions!$B$24)+(Surface_Engine!B246*12)*INDEX(Surface_Engine!$F$12:$F$72,$A1052+1)-(Surface_Engine!B246*12),1000*12*INDEX(Surface_Engine!$C$12:$C$72,$A1052+1)/(1+Assumptions!$B$10)^5+INDEX(Surface_Engine!$D$12:$D$72,$A1052+1)*(1+Assumptions!$B$24)))*INDEX(Surface_Engine!$B$12:$B$72,$A1052+1)+J1053</f>
        <v>352.028584113942</v>
      </c>
      <c r="K1052" s="12" t="n">
        <f aca="false">SQRT((IF(C1052&lt;=0,0,MAX(0,(B1052/C1052)*G1052/INDEX(Surface_Engine!$B$12:$B$72,$A1052+1)-F1052/INDEX(Surface_Engine!$B$12:$B$72,$A1052+1))))^2+(MAX(IF(D1052&lt;=0,0,MAX(0,(B1052/D1052)*H1052/INDEX(Surface_Engine!$B$12:$B$72,$A1052+1)-F1052/INDEX(Surface_Engine!$B$12:$B$72,$A1052+1))),IF(E1052&lt;=0,0,MAX(0,(B1052/E1052)*I1052/INDEX(Surface_Engine!$B$12:$B$72,$A1052+1)-F1052/INDEX(Surface_Engine!$B$12:$B$72,$A1052+1))),IF($A1052&lt;$Q$1014,MAX(0,-Assumptions!$B$22*(F1052/INDEX(Surface_Engine!$B$12:$B$72,$A1052+1))),0)))^2+(MAX(0,J1052/INDEX(Surface_Engine!$B$12:$B$72,$A1052+1)-(F1052/INDEX(Surface_Engine!$B$12:$B$72,$A1052+1))))^2+2*Assumptions!$B$26*(IF(C1052&lt;=0,0,MAX(0,(B1052/C1052)*G1052/INDEX(Surface_Engine!$B$12:$B$72,$A1052+1)-F1052/INDEX(Surface_Engine!$B$12:$B$72,$A1052+1))))*(MAX(IF(D1052&lt;=0,0,MAX(0,(B1052/D1052)*H1052/INDEX(Surface_Engine!$B$12:$B$72,$A1052+1)-F1052/INDEX(Surface_Engine!$B$12:$B$72,$A1052+1))),IF(E1052&lt;=0,0,MAX(0,(B1052/E1052)*I1052/INDEX(Surface_Engine!$B$12:$B$72,$A1052+1)-F1052/INDEX(Surface_Engine!$B$12:$B$72,$A1052+1))),IF($A1052&lt;$Q$1014,MAX(0,-Assumptions!$B$22*(F1052/INDEX(Surface_Engine!$B$12:$B$72,$A1052+1))),0)))+2*Assumptions!$B$27*(IF(C1052&lt;=0,0,MAX(0,(B1052/C1052)*G1052/INDEX(Surface_Engine!$B$12:$B$72,$A1052+1)-F1052/INDEX(Surface_Engine!$B$12:$B$72,$A1052+1))))*(MAX(0,J1052/INDEX(Surface_Engine!$B$12:$B$72,$A1052+1)-(F1052/INDEX(Surface_Engine!$B$12:$B$72,$A1052+1))))+2*Assumptions!$B$28*(MAX(IF(D1052&lt;=0,0,MAX(0,(B1052/D1052)*H1052/INDEX(Surface_Engine!$B$12:$B$72,$A1052+1)-F1052/INDEX(Surface_Engine!$B$12:$B$72,$A1052+1))),IF(E1052&lt;=0,0,MAX(0,(B1052/E1052)*I1052/INDEX(Surface_Engine!$B$12:$B$72,$A1052+1)-F1052/INDEX(Surface_Engine!$B$12:$B$72,$A1052+1))),IF($A1052&lt;$Q$1014,MAX(0,-Assumptions!$B$22*(F1052/INDEX(Surface_Engine!$B$12:$B$72,$A1052+1))),0)))*(MAX(0,J1052/INDEX(Surface_Engine!$B$12:$B$72,$A1052+1)-(F1052/INDEX(Surface_Engine!$B$12:$B$72,$A1052+1)))))</f>
        <v>225.734820756194</v>
      </c>
      <c r="L1052" s="48" t="n">
        <f aca="false">K1052*INDEX(Surface_Engine!$B$12:$B$72,$A1052+1)+L1053</f>
        <v>181.882412002972</v>
      </c>
      <c r="M1052" s="48" t="n">
        <f aca="false">M1051+B1051*(IF($A1051&lt;$Q$1014,(Surface_Engine!B246*12)-(Surface_Engine!B246*12)*INDEX(Surface_Engine!$F$12:$F$72,$A1051+1)-INDEX(Surface_Engine!$D$12:$D$72,$A1051+1),-(1000*12*INDEX(Surface_Engine!$C$12:$C$72,$A1051+1)/(1+Assumptions!$B$10)^5+INDEX(Surface_Engine!$D$12:$D$72,$A1051+1))))*INDEX(Surface_Engine!$B$12:$B$72,$A1051+1)</f>
        <v>5785.67213695901</v>
      </c>
      <c r="N1052" s="12" t="n">
        <f aca="false">IF(B1052&lt;=0,0,MAX(0,(K1052+Assumptions!$B$29*L1052/INDEX(Surface_Engine!$B$12:$B$72,$A1052+1)-(M1052/INDEX(Surface_Engine!$B$12:$B$72,$A1052+1)-(F1052/INDEX(Surface_Engine!$B$12:$B$72,$A1052+1))))/B1052))</f>
        <v>0</v>
      </c>
    </row>
    <row r="1053" customFormat="false" ht="15" hidden="false" customHeight="true" outlineLevel="0" collapsed="false">
      <c r="A1053" s="1" t="n">
        <v>37</v>
      </c>
      <c r="B1053" s="32" t="n">
        <f aca="false">INDEX(Surface_Engine!$Q$12:$Q$72,$A1053+1)*IF($A1053&lt;$Q$1014,INDEX(Surface_Engine!$E$12:$E$72,$A1053+1),INDEX(Surface_Engine!$E$12:$E$72,$Q$1014+1))</f>
        <v>0.0122841791677742</v>
      </c>
      <c r="C1053" s="32" t="n">
        <f aca="false">INDEX(Panel_Reserving!$F$8:$F$68,$A1053+1)*IF($A1053&lt;$Q$1014,INDEX(Surface_Engine!$E$12:$E$72,$A1053+1),INDEX(Surface_Engine!$E$12:$E$72,$Q$1014+1))</f>
        <v>0.0312602803747724</v>
      </c>
      <c r="D1053" s="32" t="n">
        <f aca="false">INDEX(Surface_Engine!$Q$12:$Q$72,$A1053+1)*IF($A1053&lt;$Q$1014,INDEX(Surface_Engine!$Y$12:$Y$72,$A1053+1),INDEX(Surface_Engine!$Y$12:$Y$72,$Q$1014+1))</f>
        <v>0.0116520961156393</v>
      </c>
      <c r="E1053" s="32" t="n">
        <f aca="false">INDEX(Surface_Engine!$Q$12:$Q$72,$A1053+1)*IF($A1053&lt;$Q$1014,INDEX(Surface_Engine!$Z$12:$Z$72,$A1053+1),INDEX(Surface_Engine!$Z$12:$Z$72,$Q$1014+1))</f>
        <v>0.0129413964463287</v>
      </c>
      <c r="F1053" s="48" t="n">
        <f aca="false">B1053*(IF($A1053&lt;$Q$1014,INDEX(Surface_Engine!$D$12:$D$72,$A1053+1)+(Surface_Engine!B246*12)*INDEX(Surface_Engine!$F$12:$F$72,$A1053+1)-(Surface_Engine!B246*12),1000*12*INDEX(Surface_Engine!$C$12:$C$72,$A1053+1)/(1+Assumptions!$B$10)^5+INDEX(Surface_Engine!$D$12:$D$72,$A1053+1)))*INDEX(Surface_Engine!$B$12:$B$72,$A1053+1)+F1054</f>
        <v>217.84917610758</v>
      </c>
      <c r="G1053" s="48" t="n">
        <f aca="false">C1053*(IF($A1053&lt;$Q$1014,INDEX(Surface_Engine!$D$12:$D$72,$A1053+1)+(Surface_Engine!B246*12)*INDEX(Surface_Engine!$F$12:$F$72,$A1053+1)-(Surface_Engine!B246*12),1000*12*INDEX(Surface_Engine!$C$12:$C$72,$A1053+1)/(1+Assumptions!$B$10)^5+INDEX(Surface_Engine!$D$12:$D$72,$A1053+1)))*INDEX(Surface_Engine!$B$12:$B$72,$A1053+1)+G1054</f>
        <v>670.858378325132</v>
      </c>
      <c r="H1053" s="48" t="n">
        <f aca="false">D1053*(IF($A1053&lt;$Q$1014,INDEX(Surface_Engine!$D$12:$D$72,$A1053+1)+(Surface_Engine!B246*12)*INDEX(Surface_Engine!$F$12:$F$72,$A1053+1)-(Surface_Engine!B246*12),1000*12*INDEX(Surface_Engine!$C$12:$C$72,$A1053+1)/(1+Assumptions!$B$10)^5+INDEX(Surface_Engine!$D$12:$D$72,$A1053+1)))*INDEX(Surface_Engine!$B$12:$B$72,$A1053+1)+H1054</f>
        <v>206.639735878932</v>
      </c>
      <c r="I1053" s="48" t="n">
        <f aca="false">E1053*(IF($A1053&lt;$Q$1014,INDEX(Surface_Engine!$D$12:$D$72,$A1053+1)+(Surface_Engine!B246*12)*INDEX(Surface_Engine!$F$12:$F$72,$A1053+1)-(Surface_Engine!B246*12),1000*12*INDEX(Surface_Engine!$C$12:$C$72,$A1053+1)/(1+Assumptions!$B$10)^5+INDEX(Surface_Engine!$D$12:$D$72,$A1053+1)))*INDEX(Surface_Engine!$B$12:$B$72,$A1053+1)+I1054</f>
        <v>229.50434986411</v>
      </c>
      <c r="J1053" s="48" t="n">
        <f aca="false">B1053*(IF($A1053&lt;$Q$1014,INDEX(Surface_Engine!$D$12:$D$72,$A1053+1)*(1+Assumptions!$B$24)+(Surface_Engine!B246*12)*INDEX(Surface_Engine!$F$12:$F$72,$A1053+1)-(Surface_Engine!B246*12),1000*12*INDEX(Surface_Engine!$C$12:$C$72,$A1053+1)/(1+Assumptions!$B$10)^5+INDEX(Surface_Engine!$D$12:$D$72,$A1053+1)*(1+Assumptions!$B$24)))*INDEX(Surface_Engine!$B$12:$B$72,$A1053+1)+J1054</f>
        <v>218.045642851068</v>
      </c>
      <c r="K1053" s="12" t="n">
        <f aca="false">SQRT((IF(C1053&lt;=0,0,MAX(0,(B1053/C1053)*G1053/INDEX(Surface_Engine!$B$12:$B$72,$A1053+1)-F1053/INDEX(Surface_Engine!$B$12:$B$72,$A1053+1))))^2+(MAX(IF(D1053&lt;=0,0,MAX(0,(B1053/D1053)*H1053/INDEX(Surface_Engine!$B$12:$B$72,$A1053+1)-F1053/INDEX(Surface_Engine!$B$12:$B$72,$A1053+1))),IF(E1053&lt;=0,0,MAX(0,(B1053/E1053)*I1053/INDEX(Surface_Engine!$B$12:$B$72,$A1053+1)-F1053/INDEX(Surface_Engine!$B$12:$B$72,$A1053+1))),IF($A1053&lt;$Q$1014,MAX(0,-Assumptions!$B$22*(F1053/INDEX(Surface_Engine!$B$12:$B$72,$A1053+1))),0)))^2+(MAX(0,J1053/INDEX(Surface_Engine!$B$12:$B$72,$A1053+1)-(F1053/INDEX(Surface_Engine!$B$12:$B$72,$A1053+1))))^2+2*Assumptions!$B$26*(IF(C1053&lt;=0,0,MAX(0,(B1053/C1053)*G1053/INDEX(Surface_Engine!$B$12:$B$72,$A1053+1)-F1053/INDEX(Surface_Engine!$B$12:$B$72,$A1053+1))))*(MAX(IF(D1053&lt;=0,0,MAX(0,(B1053/D1053)*H1053/INDEX(Surface_Engine!$B$12:$B$72,$A1053+1)-F1053/INDEX(Surface_Engine!$B$12:$B$72,$A1053+1))),IF(E1053&lt;=0,0,MAX(0,(B1053/E1053)*I1053/INDEX(Surface_Engine!$B$12:$B$72,$A1053+1)-F1053/INDEX(Surface_Engine!$B$12:$B$72,$A1053+1))),IF($A1053&lt;$Q$1014,MAX(0,-Assumptions!$B$22*(F1053/INDEX(Surface_Engine!$B$12:$B$72,$A1053+1))),0)))+2*Assumptions!$B$27*(IF(C1053&lt;=0,0,MAX(0,(B1053/C1053)*G1053/INDEX(Surface_Engine!$B$12:$B$72,$A1053+1)-F1053/INDEX(Surface_Engine!$B$12:$B$72,$A1053+1))))*(MAX(0,J1053/INDEX(Surface_Engine!$B$12:$B$72,$A1053+1)-(F1053/INDEX(Surface_Engine!$B$12:$B$72,$A1053+1))))+2*Assumptions!$B$28*(MAX(IF(D1053&lt;=0,0,MAX(0,(B1053/D1053)*H1053/INDEX(Surface_Engine!$B$12:$B$72,$A1053+1)-F1053/INDEX(Surface_Engine!$B$12:$B$72,$A1053+1))),IF(E1053&lt;=0,0,MAX(0,(B1053/E1053)*I1053/INDEX(Surface_Engine!$B$12:$B$72,$A1053+1)-F1053/INDEX(Surface_Engine!$B$12:$B$72,$A1053+1))),IF($A1053&lt;$Q$1014,MAX(0,-Assumptions!$B$22*(F1053/INDEX(Surface_Engine!$B$12:$B$72,$A1053+1))),0)))*(MAX(0,J1053/INDEX(Surface_Engine!$B$12:$B$72,$A1053+1)-(F1053/INDEX(Surface_Engine!$B$12:$B$72,$A1053+1)))))</f>
        <v>146.763275693529</v>
      </c>
      <c r="L1053" s="48" t="n">
        <f aca="false">K1053*INDEX(Surface_Engine!$B$12:$B$72,$A1053+1)+L1054</f>
        <v>109.097984759778</v>
      </c>
      <c r="M1053" s="48" t="n">
        <f aca="false">M1052+B1052*(IF($A1052&lt;$Q$1014,(Surface_Engine!B246*12)-(Surface_Engine!B246*12)*INDEX(Surface_Engine!$F$12:$F$72,$A1052+1)-INDEX(Surface_Engine!$D$12:$D$72,$A1052+1),-(1000*12*INDEX(Surface_Engine!$C$12:$C$72,$A1052+1)/(1+Assumptions!$B$10)^5+INDEX(Surface_Engine!$D$12:$D$72,$A1052+1))))*INDEX(Surface_Engine!$B$12:$B$72,$A1052+1)</f>
        <v>5651.808555776</v>
      </c>
      <c r="N1053" s="12" t="n">
        <f aca="false">IF(B1053&lt;=0,0,MAX(0,(K1053+Assumptions!$B$29*L1053/INDEX(Surface_Engine!$B$12:$B$72,$A1053+1)-(M1053/INDEX(Surface_Engine!$B$12:$B$72,$A1053+1)-(F1053/INDEX(Surface_Engine!$B$12:$B$72,$A1053+1))))/B1053))</f>
        <v>0</v>
      </c>
    </row>
    <row r="1054" customFormat="false" ht="15" hidden="false" customHeight="true" outlineLevel="0" collapsed="false">
      <c r="A1054" s="1" t="n">
        <v>38</v>
      </c>
      <c r="B1054" s="32" t="n">
        <f aca="false">INDEX(Surface_Engine!$Q$12:$Q$72,$A1054+1)*IF($A1054&lt;$Q$1014,INDEX(Surface_Engine!$E$12:$E$72,$A1054+1),INDEX(Surface_Engine!$E$12:$E$72,$Q$1014+1))</f>
        <v>0.00784381720337742</v>
      </c>
      <c r="C1054" s="32" t="n">
        <f aca="false">INDEX(Panel_Reserving!$F$8:$F$68,$A1054+1)*IF($A1054&lt;$Q$1014,INDEX(Surface_Engine!$E$12:$E$72,$A1054+1),INDEX(Surface_Engine!$E$12:$E$72,$Q$1014+1))</f>
        <v>0.0222205581058782</v>
      </c>
      <c r="D1054" s="32" t="n">
        <f aca="false">INDEX(Surface_Engine!$Q$12:$Q$72,$A1054+1)*IF($A1054&lt;$Q$1014,INDEX(Surface_Engine!$Y$12:$Y$72,$A1054+1),INDEX(Surface_Engine!$Y$12:$Y$72,$Q$1014+1))</f>
        <v>0.00744021319772226</v>
      </c>
      <c r="E1054" s="32" t="n">
        <f aca="false">INDEX(Surface_Engine!$Q$12:$Q$72,$A1054+1)*IF($A1054&lt;$Q$1014,INDEX(Surface_Engine!$Z$12:$Z$72,$A1054+1),INDEX(Surface_Engine!$Z$12:$Z$72,$Q$1014+1))</f>
        <v>0.00826347016719987</v>
      </c>
      <c r="F1054" s="48" t="n">
        <f aca="false">B1054*(IF($A1054&lt;$Q$1014,INDEX(Surface_Engine!$D$12:$D$72,$A1054+1)+(Surface_Engine!B246*12)*INDEX(Surface_Engine!$F$12:$F$72,$A1054+1)-(Surface_Engine!B246*12),1000*12*INDEX(Surface_Engine!$C$12:$C$72,$A1054+1)/(1+Assumptions!$B$10)^5+INDEX(Surface_Engine!$D$12:$D$72,$A1054+1)))*INDEX(Surface_Engine!$B$12:$B$72,$A1054+1)+F1055</f>
        <v>130.3274894332</v>
      </c>
      <c r="G1054" s="48" t="n">
        <f aca="false">C1054*(IF($A1054&lt;$Q$1014,INDEX(Surface_Engine!$D$12:$D$72,$A1054+1)+(Surface_Engine!B246*12)*INDEX(Surface_Engine!$F$12:$F$72,$A1054+1)-(Surface_Engine!B246*12),1000*12*INDEX(Surface_Engine!$C$12:$C$72,$A1054+1)/(1+Assumptions!$B$10)^5+INDEX(Surface_Engine!$D$12:$D$72,$A1054+1)))*INDEX(Surface_Engine!$B$12:$B$72,$A1054+1)+G1055</f>
        <v>448.13674369679</v>
      </c>
      <c r="H1054" s="48" t="n">
        <f aca="false">D1054*(IF($A1054&lt;$Q$1014,INDEX(Surface_Engine!$D$12:$D$72,$A1054+1)+(Surface_Engine!B246*12)*INDEX(Surface_Engine!$F$12:$F$72,$A1054+1)-(Surface_Engine!B246*12),1000*12*INDEX(Surface_Engine!$C$12:$C$72,$A1054+1)/(1+Assumptions!$B$10)^5+INDEX(Surface_Engine!$D$12:$D$72,$A1054+1)))*INDEX(Surface_Engine!$B$12:$B$72,$A1054+1)+H1055</f>
        <v>123.62148196026</v>
      </c>
      <c r="I1054" s="48" t="n">
        <f aca="false">E1054*(IF($A1054&lt;$Q$1014,INDEX(Surface_Engine!$D$12:$D$72,$A1054+1)+(Surface_Engine!B246*12)*INDEX(Surface_Engine!$F$12:$F$72,$A1054+1)-(Surface_Engine!B246*12),1000*12*INDEX(Surface_Engine!$C$12:$C$72,$A1054+1)/(1+Assumptions!$B$10)^5+INDEX(Surface_Engine!$D$12:$D$72,$A1054+1)))*INDEX(Surface_Engine!$B$12:$B$72,$A1054+1)+I1055</f>
        <v>137.30015539291</v>
      </c>
      <c r="J1054" s="48" t="n">
        <f aca="false">B1054*(IF($A1054&lt;$Q$1014,INDEX(Surface_Engine!$D$12:$D$72,$A1054+1)*(1+Assumptions!$B$24)+(Surface_Engine!B246*12)*INDEX(Surface_Engine!$F$12:$F$72,$A1054+1)-(Surface_Engine!B246*12),1000*12*INDEX(Surface_Engine!$C$12:$C$72,$A1054+1)/(1+Assumptions!$B$10)^5+INDEX(Surface_Engine!$D$12:$D$72,$A1054+1)*(1+Assumptions!$B$24)))*INDEX(Surface_Engine!$B$12:$B$72,$A1054+1)+J1055</f>
        <v>130.445537943761</v>
      </c>
      <c r="K1054" s="12" t="n">
        <f aca="false">SQRT((IF(C1054&lt;=0,0,MAX(0,(B1054/C1054)*G1054/INDEX(Surface_Engine!$B$12:$B$72,$A1054+1)-F1054/INDEX(Surface_Engine!$B$12:$B$72,$A1054+1))))^2+(MAX(IF(D1054&lt;=0,0,MAX(0,(B1054/D1054)*H1054/INDEX(Surface_Engine!$B$12:$B$72,$A1054+1)-F1054/INDEX(Surface_Engine!$B$12:$B$72,$A1054+1))),IF(E1054&lt;=0,0,MAX(0,(B1054/E1054)*I1054/INDEX(Surface_Engine!$B$12:$B$72,$A1054+1)-F1054/INDEX(Surface_Engine!$B$12:$B$72,$A1054+1))),IF($A1054&lt;$Q$1014,MAX(0,-Assumptions!$B$22*(F1054/INDEX(Surface_Engine!$B$12:$B$72,$A1054+1))),0)))^2+(MAX(0,J1054/INDEX(Surface_Engine!$B$12:$B$72,$A1054+1)-(F1054/INDEX(Surface_Engine!$B$12:$B$72,$A1054+1))))^2+2*Assumptions!$B$26*(IF(C1054&lt;=0,0,MAX(0,(B1054/C1054)*G1054/INDEX(Surface_Engine!$B$12:$B$72,$A1054+1)-F1054/INDEX(Surface_Engine!$B$12:$B$72,$A1054+1))))*(MAX(IF(D1054&lt;=0,0,MAX(0,(B1054/D1054)*H1054/INDEX(Surface_Engine!$B$12:$B$72,$A1054+1)-F1054/INDEX(Surface_Engine!$B$12:$B$72,$A1054+1))),IF(E1054&lt;=0,0,MAX(0,(B1054/E1054)*I1054/INDEX(Surface_Engine!$B$12:$B$72,$A1054+1)-F1054/INDEX(Surface_Engine!$B$12:$B$72,$A1054+1))),IF($A1054&lt;$Q$1014,MAX(0,-Assumptions!$B$22*(F1054/INDEX(Surface_Engine!$B$12:$B$72,$A1054+1))),0)))+2*Assumptions!$B$27*(IF(C1054&lt;=0,0,MAX(0,(B1054/C1054)*G1054/INDEX(Surface_Engine!$B$12:$B$72,$A1054+1)-F1054/INDEX(Surface_Engine!$B$12:$B$72,$A1054+1))))*(MAX(0,J1054/INDEX(Surface_Engine!$B$12:$B$72,$A1054+1)-(F1054/INDEX(Surface_Engine!$B$12:$B$72,$A1054+1))))+2*Assumptions!$B$28*(MAX(IF(D1054&lt;=0,0,MAX(0,(B1054/D1054)*H1054/INDEX(Surface_Engine!$B$12:$B$72,$A1054+1)-F1054/INDEX(Surface_Engine!$B$12:$B$72,$A1054+1))),IF(E1054&lt;=0,0,MAX(0,(B1054/E1054)*I1054/INDEX(Surface_Engine!$B$12:$B$72,$A1054+1)-F1054/INDEX(Surface_Engine!$B$12:$B$72,$A1054+1))),IF($A1054&lt;$Q$1014,MAX(0,-Assumptions!$B$22*(F1054/INDEX(Surface_Engine!$B$12:$B$72,$A1054+1))),0)))*(MAX(0,J1054/INDEX(Surface_Engine!$B$12:$B$72,$A1054+1)-(F1054/INDEX(Surface_Engine!$B$12:$B$72,$A1054+1)))))</f>
        <v>92.2603659572566</v>
      </c>
      <c r="L1054" s="48" t="n">
        <f aca="false">K1054*INDEX(Surface_Engine!$B$12:$B$72,$A1054+1)+L1055</f>
        <v>63.2741495840964</v>
      </c>
      <c r="M1054" s="48" t="n">
        <f aca="false">M1053+B1053*(IF($A1053&lt;$Q$1014,(Surface_Engine!B246*12)-(Surface_Engine!B246*12)*INDEX(Surface_Engine!$F$12:$F$72,$A1053+1)-INDEX(Surface_Engine!$D$12:$D$72,$A1053+1),-(1000*12*INDEX(Surface_Engine!$C$12:$C$72,$A1053+1)/(1+Assumptions!$B$10)^5+INDEX(Surface_Engine!$D$12:$D$72,$A1053+1))))*INDEX(Surface_Engine!$B$12:$B$72,$A1053+1)</f>
        <v>5564.28686910162</v>
      </c>
      <c r="N1054" s="12" t="n">
        <f aca="false">IF(B1054&lt;=0,0,MAX(0,(K1054+Assumptions!$B$29*L1054/INDEX(Surface_Engine!$B$12:$B$72,$A1054+1)-(M1054/INDEX(Surface_Engine!$B$12:$B$72,$A1054+1)-(F1054/INDEX(Surface_Engine!$B$12:$B$72,$A1054+1))))/B1054))</f>
        <v>0</v>
      </c>
    </row>
    <row r="1055" customFormat="false" ht="15" hidden="false" customHeight="true" outlineLevel="0" collapsed="false">
      <c r="A1055" s="1" t="n">
        <v>39</v>
      </c>
      <c r="B1055" s="32" t="n">
        <f aca="false">INDEX(Surface_Engine!$Q$12:$Q$72,$A1055+1)*IF($A1055&lt;$Q$1014,INDEX(Surface_Engine!$E$12:$E$72,$A1055+1),INDEX(Surface_Engine!$E$12:$E$72,$Q$1014+1))</f>
        <v>0.0048137566963505</v>
      </c>
      <c r="C1055" s="32" t="n">
        <f aca="false">INDEX(Panel_Reserving!$F$8:$F$68,$A1055+1)*IF($A1055&lt;$Q$1014,INDEX(Surface_Engine!$E$12:$E$72,$A1055+1),INDEX(Surface_Engine!$E$12:$E$72,$Q$1014+1))</f>
        <v>0.0153535306048572</v>
      </c>
      <c r="D1055" s="32" t="n">
        <f aca="false">INDEX(Surface_Engine!$Q$12:$Q$72,$A1055+1)*IF($A1055&lt;$Q$1014,INDEX(Surface_Engine!$Y$12:$Y$72,$A1055+1),INDEX(Surface_Engine!$Y$12:$Y$72,$Q$1014+1))</f>
        <v>0.00456606460530332</v>
      </c>
      <c r="E1055" s="32" t="n">
        <f aca="false">INDEX(Surface_Engine!$Q$12:$Q$72,$A1055+1)*IF($A1055&lt;$Q$1014,INDEX(Surface_Engine!$Z$12:$Z$72,$A1055+1),INDEX(Surface_Engine!$Z$12:$Z$72,$Q$1014+1))</f>
        <v>0.00507129804546224</v>
      </c>
      <c r="F1055" s="48" t="n">
        <f aca="false">B1055*(IF($A1055&lt;$Q$1014,INDEX(Surface_Engine!$D$12:$D$72,$A1055+1)+(Surface_Engine!B246*12)*INDEX(Surface_Engine!$F$12:$F$72,$A1055+1)-(Surface_Engine!B246*12),1000*12*INDEX(Surface_Engine!$C$12:$C$72,$A1055+1)/(1+Assumptions!$B$10)^5+INDEX(Surface_Engine!$D$12:$D$72,$A1055+1)))*INDEX(Surface_Engine!$B$12:$B$72,$A1055+1)+F1056</f>
        <v>75.1281927706674</v>
      </c>
      <c r="G1055" s="48" t="n">
        <f aca="false">C1055*(IF($A1055&lt;$Q$1014,INDEX(Surface_Engine!$D$12:$D$72,$A1055+1)+(Surface_Engine!B246*12)*INDEX(Surface_Engine!$F$12:$F$72,$A1055+1)-(Surface_Engine!B246*12),1000*12*INDEX(Surface_Engine!$C$12:$C$72,$A1055+1)/(1+Assumptions!$B$10)^5+INDEX(Surface_Engine!$D$12:$D$72,$A1055+1)))*INDEX(Surface_Engine!$B$12:$B$72,$A1055+1)+G1056</f>
        <v>291.764004877065</v>
      </c>
      <c r="H1055" s="48" t="n">
        <f aca="false">D1055*(IF($A1055&lt;$Q$1014,INDEX(Surface_Engine!$D$12:$D$72,$A1055+1)+(Surface_Engine!B246*12)*INDEX(Surface_Engine!$F$12:$F$72,$A1055+1)-(Surface_Engine!B246*12),1000*12*INDEX(Surface_Engine!$C$12:$C$72,$A1055+1)/(1+Assumptions!$B$10)^5+INDEX(Surface_Engine!$D$12:$D$72,$A1055+1)))*INDEX(Surface_Engine!$B$12:$B$72,$A1055+1)+H1056</f>
        <v>71.2624678622876</v>
      </c>
      <c r="I1055" s="48" t="n">
        <f aca="false">E1055*(IF($A1055&lt;$Q$1014,INDEX(Surface_Engine!$D$12:$D$72,$A1055+1)+(Surface_Engine!B246*12)*INDEX(Surface_Engine!$F$12:$F$72,$A1055+1)-(Surface_Engine!B246*12),1000*12*INDEX(Surface_Engine!$C$12:$C$72,$A1055+1)/(1+Assumptions!$B$10)^5+INDEX(Surface_Engine!$D$12:$D$72,$A1055+1)))*INDEX(Surface_Engine!$B$12:$B$72,$A1055+1)+I1056</f>
        <v>79.1476348287077</v>
      </c>
      <c r="J1055" s="48" t="n">
        <f aca="false">B1055*(IF($A1055&lt;$Q$1014,INDEX(Surface_Engine!$D$12:$D$72,$A1055+1)*(1+Assumptions!$B$24)+(Surface_Engine!B246*12)*INDEX(Surface_Engine!$F$12:$F$72,$A1055+1)-(Surface_Engine!B246*12),1000*12*INDEX(Surface_Engine!$C$12:$C$72,$A1055+1)/(1+Assumptions!$B$10)^5+INDEX(Surface_Engine!$D$12:$D$72,$A1055+1)*(1+Assumptions!$B$24)))*INDEX(Surface_Engine!$B$12:$B$72,$A1055+1)+J1056</f>
        <v>75.1965432097176</v>
      </c>
      <c r="K1055" s="12" t="n">
        <f aca="false">SQRT((IF(C1055&lt;=0,0,MAX(0,(B1055/C1055)*G1055/INDEX(Surface_Engine!$B$12:$B$72,$A1055+1)-F1055/INDEX(Surface_Engine!$B$12:$B$72,$A1055+1))))^2+(MAX(IF(D1055&lt;=0,0,MAX(0,(B1055/D1055)*H1055/INDEX(Surface_Engine!$B$12:$B$72,$A1055+1)-F1055/INDEX(Surface_Engine!$B$12:$B$72,$A1055+1))),IF(E1055&lt;=0,0,MAX(0,(B1055/E1055)*I1055/INDEX(Surface_Engine!$B$12:$B$72,$A1055+1)-F1055/INDEX(Surface_Engine!$B$12:$B$72,$A1055+1))),IF($A1055&lt;$Q$1014,MAX(0,-Assumptions!$B$22*(F1055/INDEX(Surface_Engine!$B$12:$B$72,$A1055+1))),0)))^2+(MAX(0,J1055/INDEX(Surface_Engine!$B$12:$B$72,$A1055+1)-(F1055/INDEX(Surface_Engine!$B$12:$B$72,$A1055+1))))^2+2*Assumptions!$B$26*(IF(C1055&lt;=0,0,MAX(0,(B1055/C1055)*G1055/INDEX(Surface_Engine!$B$12:$B$72,$A1055+1)-F1055/INDEX(Surface_Engine!$B$12:$B$72,$A1055+1))))*(MAX(IF(D1055&lt;=0,0,MAX(0,(B1055/D1055)*H1055/INDEX(Surface_Engine!$B$12:$B$72,$A1055+1)-F1055/INDEX(Surface_Engine!$B$12:$B$72,$A1055+1))),IF(E1055&lt;=0,0,MAX(0,(B1055/E1055)*I1055/INDEX(Surface_Engine!$B$12:$B$72,$A1055+1)-F1055/INDEX(Surface_Engine!$B$12:$B$72,$A1055+1))),IF($A1055&lt;$Q$1014,MAX(0,-Assumptions!$B$22*(F1055/INDEX(Surface_Engine!$B$12:$B$72,$A1055+1))),0)))+2*Assumptions!$B$27*(IF(C1055&lt;=0,0,MAX(0,(B1055/C1055)*G1055/INDEX(Surface_Engine!$B$12:$B$72,$A1055+1)-F1055/INDEX(Surface_Engine!$B$12:$B$72,$A1055+1))))*(MAX(0,J1055/INDEX(Surface_Engine!$B$12:$B$72,$A1055+1)-(F1055/INDEX(Surface_Engine!$B$12:$B$72,$A1055+1))))+2*Assumptions!$B$28*(MAX(IF(D1055&lt;=0,0,MAX(0,(B1055/D1055)*H1055/INDEX(Surface_Engine!$B$12:$B$72,$A1055+1)-F1055/INDEX(Surface_Engine!$B$12:$B$72,$A1055+1))),IF(E1055&lt;=0,0,MAX(0,(B1055/E1055)*I1055/INDEX(Surface_Engine!$B$12:$B$72,$A1055+1)-F1055/INDEX(Surface_Engine!$B$12:$B$72,$A1055+1))),IF($A1055&lt;$Q$1014,MAX(0,-Assumptions!$B$22*(F1055/INDEX(Surface_Engine!$B$12:$B$72,$A1055+1))),0)))*(MAX(0,J1055/INDEX(Surface_Engine!$B$12:$B$72,$A1055+1)-(F1055/INDEX(Surface_Engine!$B$12:$B$72,$A1055+1)))))</f>
        <v>55.8808756507538</v>
      </c>
      <c r="L1055" s="48" t="n">
        <f aca="false">K1055*INDEX(Surface_Engine!$B$12:$B$72,$A1055+1)+L1056</f>
        <v>35.3804250147824</v>
      </c>
      <c r="M1055" s="48" t="n">
        <f aca="false">M1054+B1054*(IF($A1054&lt;$Q$1014,(Surface_Engine!B246*12)-(Surface_Engine!B246*12)*INDEX(Surface_Engine!$F$12:$F$72,$A1054+1)-INDEX(Surface_Engine!$D$12:$D$72,$A1054+1),-(1000*12*INDEX(Surface_Engine!$C$12:$C$72,$A1054+1)/(1+Assumptions!$B$10)^5+INDEX(Surface_Engine!$D$12:$D$72,$A1054+1))))*INDEX(Surface_Engine!$B$12:$B$72,$A1054+1)</f>
        <v>5509.08757243909</v>
      </c>
      <c r="N1055" s="12" t="n">
        <f aca="false">IF(B1055&lt;=0,0,MAX(0,(K1055+Assumptions!$B$29*L1055/INDEX(Surface_Engine!$B$12:$B$72,$A1055+1)-(M1055/INDEX(Surface_Engine!$B$12:$B$72,$A1055+1)-(F1055/INDEX(Surface_Engine!$B$12:$B$72,$A1055+1))))/B1055))</f>
        <v>0</v>
      </c>
    </row>
    <row r="1056" customFormat="false" ht="15" hidden="false" customHeight="true" outlineLevel="0" collapsed="false">
      <c r="A1056" s="1" t="n">
        <v>40</v>
      </c>
      <c r="B1056" s="32" t="n">
        <f aca="false">INDEX(Surface_Engine!$Q$12:$Q$72,$A1056+1)*IF($A1056&lt;$Q$1014,INDEX(Surface_Engine!$E$12:$E$72,$A1056+1),INDEX(Surface_Engine!$E$12:$E$72,$Q$1014+1))</f>
        <v>0.00282737197309347</v>
      </c>
      <c r="C1056" s="32" t="n">
        <f aca="false">INDEX(Panel_Reserving!$F$8:$F$68,$A1056+1)*IF($A1056&lt;$Q$1014,INDEX(Surface_Engine!$E$12:$E$72,$A1056+1),INDEX(Surface_Engine!$E$12:$E$72,$Q$1014+1))</f>
        <v>0.010285053643457</v>
      </c>
      <c r="D1056" s="32" t="n">
        <f aca="false">INDEX(Surface_Engine!$Q$12:$Q$72,$A1056+1)*IF($A1056&lt;$Q$1014,INDEX(Surface_Engine!$Y$12:$Y$72,$A1056+1),INDEX(Surface_Engine!$Y$12:$Y$72,$Q$1014+1))</f>
        <v>0.00268188940711446</v>
      </c>
      <c r="E1056" s="32" t="n">
        <f aca="false">INDEX(Surface_Engine!$Q$12:$Q$72,$A1056+1)*IF($A1056&lt;$Q$1014,INDEX(Surface_Engine!$Z$12:$Z$72,$A1056+1),INDEX(Surface_Engine!$Z$12:$Z$72,$Q$1014+1))</f>
        <v>0.00297863952530342</v>
      </c>
      <c r="F1056" s="48" t="n">
        <f aca="false">B1056*(IF($A1056&lt;$Q$1014,INDEX(Surface_Engine!$D$12:$D$72,$A1056+1)+(Surface_Engine!B246*12)*INDEX(Surface_Engine!$F$12:$F$72,$A1056+1)-(Surface_Engine!B246*12),1000*12*INDEX(Surface_Engine!$C$12:$C$72,$A1056+1)/(1+Assumptions!$B$10)^5+INDEX(Surface_Engine!$D$12:$D$72,$A1056+1)))*INDEX(Surface_Engine!$B$12:$B$72,$A1056+1)+F1057</f>
        <v>41.6567719182935</v>
      </c>
      <c r="G1056" s="48" t="n">
        <f aca="false">C1056*(IF($A1056&lt;$Q$1014,INDEX(Surface_Engine!$D$12:$D$72,$A1056+1)+(Surface_Engine!B246*12)*INDEX(Surface_Engine!$F$12:$F$72,$A1056+1)-(Surface_Engine!B246*12),1000*12*INDEX(Surface_Engine!$C$12:$C$72,$A1056+1)/(1+Assumptions!$B$10)^5+INDEX(Surface_Engine!$D$12:$D$72,$A1056+1)))*INDEX(Surface_Engine!$B$12:$B$72,$A1056+1)+G1057</f>
        <v>185.006535220447</v>
      </c>
      <c r="H1056" s="48" t="n">
        <f aca="false">D1056*(IF($A1056&lt;$Q$1014,INDEX(Surface_Engine!$D$12:$D$72,$A1056+1)+(Surface_Engine!B246*12)*INDEX(Surface_Engine!$F$12:$F$72,$A1056+1)-(Surface_Engine!B246*12),1000*12*INDEX(Surface_Engine!$C$12:$C$72,$A1056+1)/(1+Assumptions!$B$10)^5+INDEX(Surface_Engine!$D$12:$D$72,$A1056+1)))*INDEX(Surface_Engine!$B$12:$B$72,$A1056+1)+H1057</f>
        <v>39.5133206403052</v>
      </c>
      <c r="I1056" s="48" t="n">
        <f aca="false">E1056*(IF($A1056&lt;$Q$1014,INDEX(Surface_Engine!$D$12:$D$72,$A1056+1)+(Surface_Engine!B246*12)*INDEX(Surface_Engine!$F$12:$F$72,$A1056+1)-(Surface_Engine!B246*12),1000*12*INDEX(Surface_Engine!$C$12:$C$72,$A1056+1)/(1+Assumptions!$B$10)^5+INDEX(Surface_Engine!$D$12:$D$72,$A1056+1)))*INDEX(Surface_Engine!$B$12:$B$72,$A1056+1)+I1057</f>
        <v>43.8854556504005</v>
      </c>
      <c r="J1056" s="48" t="n">
        <f aca="false">B1056*(IF($A1056&lt;$Q$1014,INDEX(Surface_Engine!$D$12:$D$72,$A1056+1)*(1+Assumptions!$B$24)+(Surface_Engine!B246*12)*INDEX(Surface_Engine!$F$12:$F$72,$A1056+1)-(Surface_Engine!B246*12),1000*12*INDEX(Surface_Engine!$C$12:$C$72,$A1056+1)/(1+Assumptions!$B$10)^5+INDEX(Surface_Engine!$D$12:$D$72,$A1056+1)*(1+Assumptions!$B$24)))*INDEX(Surface_Engine!$B$12:$B$72,$A1056+1)+J1057</f>
        <v>41.6948403494875</v>
      </c>
      <c r="K1056" s="12" t="n">
        <f aca="false">SQRT((IF(C1056&lt;=0,0,MAX(0,(B1056/C1056)*G1056/INDEX(Surface_Engine!$B$12:$B$72,$A1056+1)-F1056/INDEX(Surface_Engine!$B$12:$B$72,$A1056+1))))^2+(MAX(IF(D1056&lt;=0,0,MAX(0,(B1056/D1056)*H1056/INDEX(Surface_Engine!$B$12:$B$72,$A1056+1)-F1056/INDEX(Surface_Engine!$B$12:$B$72,$A1056+1))),IF(E1056&lt;=0,0,MAX(0,(B1056/E1056)*I1056/INDEX(Surface_Engine!$B$12:$B$72,$A1056+1)-F1056/INDEX(Surface_Engine!$B$12:$B$72,$A1056+1))),IF($A1056&lt;$Q$1014,MAX(0,-Assumptions!$B$22*(F1056/INDEX(Surface_Engine!$B$12:$B$72,$A1056+1))),0)))^2+(MAX(0,J1056/INDEX(Surface_Engine!$B$12:$B$72,$A1056+1)-(F1056/INDEX(Surface_Engine!$B$12:$B$72,$A1056+1))))^2+2*Assumptions!$B$26*(IF(C1056&lt;=0,0,MAX(0,(B1056/C1056)*G1056/INDEX(Surface_Engine!$B$12:$B$72,$A1056+1)-F1056/INDEX(Surface_Engine!$B$12:$B$72,$A1056+1))))*(MAX(IF(D1056&lt;=0,0,MAX(0,(B1056/D1056)*H1056/INDEX(Surface_Engine!$B$12:$B$72,$A1056+1)-F1056/INDEX(Surface_Engine!$B$12:$B$72,$A1056+1))),IF(E1056&lt;=0,0,MAX(0,(B1056/E1056)*I1056/INDEX(Surface_Engine!$B$12:$B$72,$A1056+1)-F1056/INDEX(Surface_Engine!$B$12:$B$72,$A1056+1))),IF($A1056&lt;$Q$1014,MAX(0,-Assumptions!$B$22*(F1056/INDEX(Surface_Engine!$B$12:$B$72,$A1056+1))),0)))+2*Assumptions!$B$27*(IF(C1056&lt;=0,0,MAX(0,(B1056/C1056)*G1056/INDEX(Surface_Engine!$B$12:$B$72,$A1056+1)-F1056/INDEX(Surface_Engine!$B$12:$B$72,$A1056+1))))*(MAX(0,J1056/INDEX(Surface_Engine!$B$12:$B$72,$A1056+1)-(F1056/INDEX(Surface_Engine!$B$12:$B$72,$A1056+1))))+2*Assumptions!$B$28*(MAX(IF(D1056&lt;=0,0,MAX(0,(B1056/D1056)*H1056/INDEX(Surface_Engine!$B$12:$B$72,$A1056+1)-F1056/INDEX(Surface_Engine!$B$12:$B$72,$A1056+1))),IF(E1056&lt;=0,0,MAX(0,(B1056/E1056)*I1056/INDEX(Surface_Engine!$B$12:$B$72,$A1056+1)-F1056/INDEX(Surface_Engine!$B$12:$B$72,$A1056+1))),IF($A1056&lt;$Q$1014,MAX(0,-Assumptions!$B$22*(F1056/INDEX(Surface_Engine!$B$12:$B$72,$A1056+1))),0)))*(MAX(0,J1056/INDEX(Surface_Engine!$B$12:$B$72,$A1056+1)-(F1056/INDEX(Surface_Engine!$B$12:$B$72,$A1056+1)))))</f>
        <v>32.4846016740834</v>
      </c>
      <c r="L1056" s="48" t="n">
        <f aca="false">K1056*INDEX(Surface_Engine!$B$12:$B$72,$A1056+1)+L1057</f>
        <v>19.0153073499328</v>
      </c>
      <c r="M1056" s="48" t="n">
        <f aca="false">M1055+B1055*(IF($A1055&lt;$Q$1014,(Surface_Engine!B246*12)-(Surface_Engine!B246*12)*INDEX(Surface_Engine!$F$12:$F$72,$A1055+1)-INDEX(Surface_Engine!$D$12:$D$72,$A1055+1),-(1000*12*INDEX(Surface_Engine!$C$12:$C$72,$A1055+1)/(1+Assumptions!$B$10)^5+INDEX(Surface_Engine!$D$12:$D$72,$A1055+1))))*INDEX(Surface_Engine!$B$12:$B$72,$A1055+1)</f>
        <v>5475.61615158672</v>
      </c>
      <c r="N1056" s="12" t="n">
        <f aca="false">IF(B1056&lt;=0,0,MAX(0,(K1056+Assumptions!$B$29*L1056/INDEX(Surface_Engine!$B$12:$B$72,$A1056+1)-(M1056/INDEX(Surface_Engine!$B$12:$B$72,$A1056+1)-(F1056/INDEX(Surface_Engine!$B$12:$B$72,$A1056+1))))/B1056))</f>
        <v>0</v>
      </c>
    </row>
    <row r="1057" customFormat="false" ht="15" hidden="false" customHeight="true" outlineLevel="0" collapsed="false">
      <c r="A1057" s="1" t="n">
        <v>41</v>
      </c>
      <c r="B1057" s="32" t="n">
        <f aca="false">INDEX(Surface_Engine!$Q$12:$Q$72,$A1057+1)*IF($A1057&lt;$Q$1014,INDEX(Surface_Engine!$E$12:$E$72,$A1057+1),INDEX(Surface_Engine!$E$12:$E$72,$Q$1014+1))</f>
        <v>0.00158165760573891</v>
      </c>
      <c r="C1057" s="32" t="n">
        <f aca="false">INDEX(Panel_Reserving!$F$8:$F$68,$A1057+1)*IF($A1057&lt;$Q$1014,INDEX(Surface_Engine!$E$12:$E$72,$A1057+1),INDEX(Surface_Engine!$E$12:$E$72,$Q$1014+1))</f>
        <v>0.00665985279557605</v>
      </c>
      <c r="D1057" s="32" t="n">
        <f aca="false">INDEX(Surface_Engine!$Q$12:$Q$72,$A1057+1)*IF($A1057&lt;$Q$1014,INDEX(Surface_Engine!$Y$12:$Y$72,$A1057+1),INDEX(Surface_Engine!$Y$12:$Y$72,$Q$1014+1))</f>
        <v>0.00150027333470104</v>
      </c>
      <c r="E1057" s="32" t="n">
        <f aca="false">INDEX(Surface_Engine!$Q$12:$Q$72,$A1057+1)*IF($A1057&lt;$Q$1014,INDEX(Surface_Engine!$Z$12:$Z$72,$A1057+1),INDEX(Surface_Engine!$Z$12:$Z$72,$Q$1014+1))</f>
        <v>0.00166627805070732</v>
      </c>
      <c r="F1057" s="48" t="n">
        <f aca="false">B1057*(IF($A1057&lt;$Q$1014,INDEX(Surface_Engine!$D$12:$D$72,$A1057+1)+(Surface_Engine!B246*12)*INDEX(Surface_Engine!$F$12:$F$72,$A1057+1)-(Surface_Engine!B246*12),1000*12*INDEX(Surface_Engine!$C$12:$C$72,$A1057+1)/(1+Assumptions!$B$10)^5+INDEX(Surface_Engine!$D$12:$D$72,$A1057+1)))*INDEX(Surface_Engine!$B$12:$B$72,$A1057+1)+F1058</f>
        <v>22.2398563731494</v>
      </c>
      <c r="G1057" s="48" t="n">
        <f aca="false">C1057*(IF($A1057&lt;$Q$1014,INDEX(Surface_Engine!$D$12:$D$72,$A1057+1)+(Surface_Engine!B246*12)*INDEX(Surface_Engine!$F$12:$F$72,$A1057+1)-(Surface_Engine!B246*12),1000*12*INDEX(Surface_Engine!$C$12:$C$72,$A1057+1)/(1+Assumptions!$B$10)^5+INDEX(Surface_Engine!$D$12:$D$72,$A1057+1)))*INDEX(Surface_Engine!$B$12:$B$72,$A1057+1)+G1058</f>
        <v>114.374152968393</v>
      </c>
      <c r="H1057" s="48" t="n">
        <f aca="false">D1057*(IF($A1057&lt;$Q$1014,INDEX(Surface_Engine!$D$12:$D$72,$A1057+1)+(Surface_Engine!B246*12)*INDEX(Surface_Engine!$F$12:$F$72,$A1057+1)-(Surface_Engine!B246*12),1000*12*INDEX(Surface_Engine!$C$12:$C$72,$A1057+1)/(1+Assumptions!$B$10)^5+INDEX(Surface_Engine!$D$12:$D$72,$A1057+1)))*INDEX(Surface_Engine!$B$12:$B$72,$A1057+1)+H1058</f>
        <v>21.0955034535615</v>
      </c>
      <c r="I1057" s="48" t="n">
        <f aca="false">E1057*(IF($A1057&lt;$Q$1014,INDEX(Surface_Engine!$D$12:$D$72,$A1057+1)+(Surface_Engine!B246*12)*INDEX(Surface_Engine!$F$12:$F$72,$A1057+1)-(Surface_Engine!B246*12),1000*12*INDEX(Surface_Engine!$C$12:$C$72,$A1057+1)/(1+Assumptions!$B$10)^5+INDEX(Surface_Engine!$D$12:$D$72,$A1057+1)))*INDEX(Surface_Engine!$B$12:$B$72,$A1057+1)+I1058</f>
        <v>23.429713479707</v>
      </c>
      <c r="J1057" s="48" t="n">
        <f aca="false">B1057*(IF($A1057&lt;$Q$1014,INDEX(Surface_Engine!$D$12:$D$72,$A1057+1)*(1+Assumptions!$B$24)+(Surface_Engine!B246*12)*INDEX(Surface_Engine!$F$12:$F$72,$A1057+1)-(Surface_Engine!B246*12),1000*12*INDEX(Surface_Engine!$C$12:$C$72,$A1057+1)/(1+Assumptions!$B$10)^5+INDEX(Surface_Engine!$D$12:$D$72,$A1057+1)*(1+Assumptions!$B$24)))*INDEX(Surface_Engine!$B$12:$B$72,$A1057+1)+J1058</f>
        <v>22.2602727524839</v>
      </c>
      <c r="K1057" s="12" t="n">
        <f aca="false">SQRT((IF(C1057&lt;=0,0,MAX(0,(B1057/C1057)*G1057/INDEX(Surface_Engine!$B$12:$B$72,$A1057+1)-F1057/INDEX(Surface_Engine!$B$12:$B$72,$A1057+1))))^2+(MAX(IF(D1057&lt;=0,0,MAX(0,(B1057/D1057)*H1057/INDEX(Surface_Engine!$B$12:$B$72,$A1057+1)-F1057/INDEX(Surface_Engine!$B$12:$B$72,$A1057+1))),IF(E1057&lt;=0,0,MAX(0,(B1057/E1057)*I1057/INDEX(Surface_Engine!$B$12:$B$72,$A1057+1)-F1057/INDEX(Surface_Engine!$B$12:$B$72,$A1057+1))),IF($A1057&lt;$Q$1014,MAX(0,-Assumptions!$B$22*(F1057/INDEX(Surface_Engine!$B$12:$B$72,$A1057+1))),0)))^2+(MAX(0,J1057/INDEX(Surface_Engine!$B$12:$B$72,$A1057+1)-(F1057/INDEX(Surface_Engine!$B$12:$B$72,$A1057+1))))^2+2*Assumptions!$B$26*(IF(C1057&lt;=0,0,MAX(0,(B1057/C1057)*G1057/INDEX(Surface_Engine!$B$12:$B$72,$A1057+1)-F1057/INDEX(Surface_Engine!$B$12:$B$72,$A1057+1))))*(MAX(IF(D1057&lt;=0,0,MAX(0,(B1057/D1057)*H1057/INDEX(Surface_Engine!$B$12:$B$72,$A1057+1)-F1057/INDEX(Surface_Engine!$B$12:$B$72,$A1057+1))),IF(E1057&lt;=0,0,MAX(0,(B1057/E1057)*I1057/INDEX(Surface_Engine!$B$12:$B$72,$A1057+1)-F1057/INDEX(Surface_Engine!$B$12:$B$72,$A1057+1))),IF($A1057&lt;$Q$1014,MAX(0,-Assumptions!$B$22*(F1057/INDEX(Surface_Engine!$B$12:$B$72,$A1057+1))),0)))+2*Assumptions!$B$27*(IF(C1057&lt;=0,0,MAX(0,(B1057/C1057)*G1057/INDEX(Surface_Engine!$B$12:$B$72,$A1057+1)-F1057/INDEX(Surface_Engine!$B$12:$B$72,$A1057+1))))*(MAX(0,J1057/INDEX(Surface_Engine!$B$12:$B$72,$A1057+1)-(F1057/INDEX(Surface_Engine!$B$12:$B$72,$A1057+1))))+2*Assumptions!$B$28*(MAX(IF(D1057&lt;=0,0,MAX(0,(B1057/D1057)*H1057/INDEX(Surface_Engine!$B$12:$B$72,$A1057+1)-F1057/INDEX(Surface_Engine!$B$12:$B$72,$A1057+1))),IF(E1057&lt;=0,0,MAX(0,(B1057/E1057)*I1057/INDEX(Surface_Engine!$B$12:$B$72,$A1057+1)-F1057/INDEX(Surface_Engine!$B$12:$B$72,$A1057+1))),IF($A1057&lt;$Q$1014,MAX(0,-Assumptions!$B$22*(F1057/INDEX(Surface_Engine!$B$12:$B$72,$A1057+1))),0)))*(MAX(0,J1057/INDEX(Surface_Engine!$B$12:$B$72,$A1057+1)-(F1057/INDEX(Surface_Engine!$B$12:$B$72,$A1057+1)))))</f>
        <v>17.9502378340556</v>
      </c>
      <c r="L1057" s="48" t="n">
        <f aca="false">K1057*INDEX(Surface_Engine!$B$12:$B$72,$A1057+1)+L1058</f>
        <v>9.80399893273058</v>
      </c>
      <c r="M1057" s="48" t="n">
        <f aca="false">M1056+B1056*(IF($A1056&lt;$Q$1014,(Surface_Engine!B246*12)-(Surface_Engine!B246*12)*INDEX(Surface_Engine!$F$12:$F$72,$A1056+1)-INDEX(Surface_Engine!$D$12:$D$72,$A1056+1),-(1000*12*INDEX(Surface_Engine!$C$12:$C$72,$A1056+1)/(1+Assumptions!$B$10)^5+INDEX(Surface_Engine!$D$12:$D$72,$A1056+1))))*INDEX(Surface_Engine!$B$12:$B$72,$A1056+1)</f>
        <v>5456.19923604157</v>
      </c>
      <c r="N1057" s="12" t="n">
        <f aca="false">IF(B1057&lt;=0,0,MAX(0,(K1057+Assumptions!$B$29*L1057/INDEX(Surface_Engine!$B$12:$B$72,$A1057+1)-(M1057/INDEX(Surface_Engine!$B$12:$B$72,$A1057+1)-(F1057/INDEX(Surface_Engine!$B$12:$B$72,$A1057+1))))/B1057))</f>
        <v>0</v>
      </c>
    </row>
    <row r="1058" customFormat="false" ht="15" hidden="false" customHeight="true" outlineLevel="0" collapsed="false">
      <c r="A1058" s="1" t="n">
        <v>42</v>
      </c>
      <c r="B1058" s="32" t="n">
        <f aca="false">INDEX(Surface_Engine!$Q$12:$Q$72,$A1058+1)*IF($A1058&lt;$Q$1014,INDEX(Surface_Engine!$E$12:$E$72,$A1058+1),INDEX(Surface_Engine!$E$12:$E$72,$Q$1014+1))</f>
        <v>0.000856881768127063</v>
      </c>
      <c r="C1058" s="32" t="n">
        <f aca="false">INDEX(Panel_Reserving!$F$8:$F$68,$A1058+1)*IF($A1058&lt;$Q$1014,INDEX(Surface_Engine!$E$12:$E$72,$A1058+1),INDEX(Surface_Engine!$E$12:$E$72,$Q$1014+1))</f>
        <v>0.0042184139553258</v>
      </c>
      <c r="D1058" s="32" t="n">
        <f aca="false">INDEX(Surface_Engine!$Q$12:$Q$72,$A1058+1)*IF($A1058&lt;$Q$1014,INDEX(Surface_Engine!$Y$12:$Y$72,$A1058+1),INDEX(Surface_Engine!$Y$12:$Y$72,$Q$1014+1))</f>
        <v>0.000812790873984344</v>
      </c>
      <c r="E1058" s="32" t="n">
        <f aca="false">INDEX(Surface_Engine!$Q$12:$Q$72,$A1058+1)*IF($A1058&lt;$Q$1014,INDEX(Surface_Engine!$Z$12:$Z$72,$A1058+1),INDEX(Surface_Engine!$Z$12:$Z$72,$Q$1014+1))</f>
        <v>0.000902725897881274</v>
      </c>
      <c r="F1058" s="48" t="n">
        <f aca="false">B1058*(IF($A1058&lt;$Q$1014,INDEX(Surface_Engine!$D$12:$D$72,$A1058+1)+(Surface_Engine!B246*12)*INDEX(Surface_Engine!$F$12:$F$72,$A1058+1)-(Surface_Engine!B246*12),1000*12*INDEX(Surface_Engine!$C$12:$C$72,$A1058+1)/(1+Assumptions!$B$10)^5+INDEX(Surface_Engine!$D$12:$D$72,$A1058+1)))*INDEX(Surface_Engine!$B$12:$B$72,$A1058+1)+F1059</f>
        <v>11.5123121260211</v>
      </c>
      <c r="G1058" s="48" t="n">
        <f aca="false">C1058*(IF($A1058&lt;$Q$1014,INDEX(Surface_Engine!$D$12:$D$72,$A1058+1)+(Surface_Engine!B246*12)*INDEX(Surface_Engine!$F$12:$F$72,$A1058+1)-(Surface_Engine!B246*12),1000*12*INDEX(Surface_Engine!$C$12:$C$72,$A1058+1)/(1+Assumptions!$B$10)^5+INDEX(Surface_Engine!$D$12:$D$72,$A1058+1)))*INDEX(Surface_Engine!$B$12:$B$72,$A1058+1)+G1059</f>
        <v>69.2039054478964</v>
      </c>
      <c r="H1058" s="48" t="n">
        <f aca="false">D1058*(IF($A1058&lt;$Q$1014,INDEX(Surface_Engine!$D$12:$D$72,$A1058+1)+(Surface_Engine!B246*12)*INDEX(Surface_Engine!$F$12:$F$72,$A1058+1)-(Surface_Engine!B246*12),1000*12*INDEX(Surface_Engine!$C$12:$C$72,$A1058+1)/(1+Assumptions!$B$10)^5+INDEX(Surface_Engine!$D$12:$D$72,$A1058+1)))*INDEX(Surface_Engine!$B$12:$B$72,$A1058+1)+H1059</f>
        <v>10.9199455310405</v>
      </c>
      <c r="I1058" s="48" t="n">
        <f aca="false">E1058*(IF($A1058&lt;$Q$1014,INDEX(Surface_Engine!$D$12:$D$72,$A1058+1)+(Surface_Engine!B246*12)*INDEX(Surface_Engine!$F$12:$F$72,$A1058+1)-(Surface_Engine!B246*12),1000*12*INDEX(Surface_Engine!$C$12:$C$72,$A1058+1)/(1+Assumptions!$B$10)^5+INDEX(Surface_Engine!$D$12:$D$72,$A1058+1)))*INDEX(Surface_Engine!$B$12:$B$72,$A1058+1)+I1059</f>
        <v>12.1282336574476</v>
      </c>
      <c r="J1058" s="48" t="n">
        <f aca="false">B1058*(IF($A1058&lt;$Q$1014,INDEX(Surface_Engine!$D$12:$D$72,$A1058+1)*(1+Assumptions!$B$24)+(Surface_Engine!B246*12)*INDEX(Surface_Engine!$F$12:$F$72,$A1058+1)-(Surface_Engine!B246*12),1000*12*INDEX(Surface_Engine!$C$12:$C$72,$A1058+1)/(1+Assumptions!$B$10)^5+INDEX(Surface_Engine!$D$12:$D$72,$A1058+1)*(1+Assumptions!$B$24)))*INDEX(Surface_Engine!$B$12:$B$72,$A1058+1)+J1059</f>
        <v>11.5229286513071</v>
      </c>
      <c r="K1058" s="12" t="n">
        <f aca="false">SQRT((IF(C1058&lt;=0,0,MAX(0,(B1058/C1058)*G1058/INDEX(Surface_Engine!$B$12:$B$72,$A1058+1)-F1058/INDEX(Surface_Engine!$B$12:$B$72,$A1058+1))))^2+(MAX(IF(D1058&lt;=0,0,MAX(0,(B1058/D1058)*H1058/INDEX(Surface_Engine!$B$12:$B$72,$A1058+1)-F1058/INDEX(Surface_Engine!$B$12:$B$72,$A1058+1))),IF(E1058&lt;=0,0,MAX(0,(B1058/E1058)*I1058/INDEX(Surface_Engine!$B$12:$B$72,$A1058+1)-F1058/INDEX(Surface_Engine!$B$12:$B$72,$A1058+1))),IF($A1058&lt;$Q$1014,MAX(0,-Assumptions!$B$22*(F1058/INDEX(Surface_Engine!$B$12:$B$72,$A1058+1))),0)))^2+(MAX(0,J1058/INDEX(Surface_Engine!$B$12:$B$72,$A1058+1)-(F1058/INDEX(Surface_Engine!$B$12:$B$72,$A1058+1))))^2+2*Assumptions!$B$26*(IF(C1058&lt;=0,0,MAX(0,(B1058/C1058)*G1058/INDEX(Surface_Engine!$B$12:$B$72,$A1058+1)-F1058/INDEX(Surface_Engine!$B$12:$B$72,$A1058+1))))*(MAX(IF(D1058&lt;=0,0,MAX(0,(B1058/D1058)*H1058/INDEX(Surface_Engine!$B$12:$B$72,$A1058+1)-F1058/INDEX(Surface_Engine!$B$12:$B$72,$A1058+1))),IF(E1058&lt;=0,0,MAX(0,(B1058/E1058)*I1058/INDEX(Surface_Engine!$B$12:$B$72,$A1058+1)-F1058/INDEX(Surface_Engine!$B$12:$B$72,$A1058+1))),IF($A1058&lt;$Q$1014,MAX(0,-Assumptions!$B$22*(F1058/INDEX(Surface_Engine!$B$12:$B$72,$A1058+1))),0)))+2*Assumptions!$B$27*(IF(C1058&lt;=0,0,MAX(0,(B1058/C1058)*G1058/INDEX(Surface_Engine!$B$12:$B$72,$A1058+1)-F1058/INDEX(Surface_Engine!$B$12:$B$72,$A1058+1))))*(MAX(0,J1058/INDEX(Surface_Engine!$B$12:$B$72,$A1058+1)-(F1058/INDEX(Surface_Engine!$B$12:$B$72,$A1058+1))))+2*Assumptions!$B$28*(MAX(IF(D1058&lt;=0,0,MAX(0,(B1058/D1058)*H1058/INDEX(Surface_Engine!$B$12:$B$72,$A1058+1)-F1058/INDEX(Surface_Engine!$B$12:$B$72,$A1058+1))),IF(E1058&lt;=0,0,MAX(0,(B1058/E1058)*I1058/INDEX(Surface_Engine!$B$12:$B$72,$A1058+1)-F1058/INDEX(Surface_Engine!$B$12:$B$72,$A1058+1))),IF($A1058&lt;$Q$1014,MAX(0,-Assumptions!$B$22*(F1058/INDEX(Surface_Engine!$B$12:$B$72,$A1058+1))),0)))*(MAX(0,J1058/INDEX(Surface_Engine!$B$12:$B$72,$A1058+1)-(F1058/INDEX(Surface_Engine!$B$12:$B$72,$A1058+1)))))</f>
        <v>9.58072548507808</v>
      </c>
      <c r="L1058" s="48" t="n">
        <f aca="false">K1058*INDEX(Surface_Engine!$B$12:$B$72,$A1058+1)+L1059</f>
        <v>4.8758365729206</v>
      </c>
      <c r="M1058" s="48" t="n">
        <f aca="false">M1057+B1057*(IF($A1057&lt;$Q$1014,(Surface_Engine!B246*12)-(Surface_Engine!B246*12)*INDEX(Surface_Engine!$F$12:$F$72,$A1057+1)-INDEX(Surface_Engine!$D$12:$D$72,$A1057+1),-(1000*12*INDEX(Surface_Engine!$C$12:$C$72,$A1057+1)/(1+Assumptions!$B$10)^5+INDEX(Surface_Engine!$D$12:$D$72,$A1057+1))))*INDEX(Surface_Engine!$B$12:$B$72,$A1057+1)</f>
        <v>5445.47169179445</v>
      </c>
      <c r="N1058" s="12" t="n">
        <f aca="false">IF(B1058&lt;=0,0,MAX(0,(K1058+Assumptions!$B$29*L1058/INDEX(Surface_Engine!$B$12:$B$72,$A1058+1)-(M1058/INDEX(Surface_Engine!$B$12:$B$72,$A1058+1)-(F1058/INDEX(Surface_Engine!$B$12:$B$72,$A1058+1))))/B1058))</f>
        <v>0</v>
      </c>
    </row>
    <row r="1059" customFormat="false" ht="15" hidden="false" customHeight="true" outlineLevel="0" collapsed="false">
      <c r="A1059" s="1" t="n">
        <v>43</v>
      </c>
      <c r="B1059" s="32" t="n">
        <f aca="false">INDEX(Surface_Engine!$Q$12:$Q$72,$A1059+1)*IF($A1059&lt;$Q$1014,INDEX(Surface_Engine!$E$12:$E$72,$A1059+1),INDEX(Surface_Engine!$E$12:$E$72,$Q$1014+1))</f>
        <v>0.000449165789061694</v>
      </c>
      <c r="C1059" s="32" t="n">
        <f aca="false">INDEX(Panel_Reserving!$F$8:$F$68,$A1059+1)*IF($A1059&lt;$Q$1014,INDEX(Surface_Engine!$E$12:$E$72,$A1059+1),INDEX(Surface_Engine!$E$12:$E$72,$Q$1014+1))</f>
        <v>0.00261267104901284</v>
      </c>
      <c r="D1059" s="32" t="n">
        <f aca="false">INDEX(Surface_Engine!$Q$12:$Q$72,$A1059+1)*IF($A1059&lt;$Q$1014,INDEX(Surface_Engine!$Y$12:$Y$72,$A1059+1),INDEX(Surface_Engine!$Y$12:$Y$72,$Q$1014+1))</f>
        <v>0.000426053940969352</v>
      </c>
      <c r="E1059" s="32" t="n">
        <f aca="false">INDEX(Surface_Engine!$Q$12:$Q$72,$A1059+1)*IF($A1059&lt;$Q$1014,INDEX(Surface_Engine!$Z$12:$Z$72,$A1059+1),INDEX(Surface_Engine!$Z$12:$Z$72,$Q$1014+1))</f>
        <v>0.000473196659458091</v>
      </c>
      <c r="F1059" s="48" t="n">
        <f aca="false">B1059*(IF($A1059&lt;$Q$1014,INDEX(Surface_Engine!$D$12:$D$72,$A1059+1)+(Surface_Engine!B246*12)*INDEX(Surface_Engine!$F$12:$F$72,$A1059+1)-(Surface_Engine!B246*12),1000*12*INDEX(Surface_Engine!$C$12:$C$72,$A1059+1)/(1+Assumptions!$B$10)^5+INDEX(Surface_Engine!$D$12:$D$72,$A1059+1)))*INDEX(Surface_Engine!$B$12:$B$72,$A1059+1)+F1060</f>
        <v>5.77036355371875</v>
      </c>
      <c r="G1059" s="48" t="n">
        <f aca="false">C1059*(IF($A1059&lt;$Q$1014,INDEX(Surface_Engine!$D$12:$D$72,$A1059+1)+(Surface_Engine!B246*12)*INDEX(Surface_Engine!$F$12:$F$72,$A1059+1)-(Surface_Engine!B246*12),1000*12*INDEX(Surface_Engine!$C$12:$C$72,$A1059+1)/(1+Assumptions!$B$10)^5+INDEX(Surface_Engine!$D$12:$D$72,$A1059+1)))*INDEX(Surface_Engine!$B$12:$B$72,$A1059+1)+G1060</f>
        <v>40.9363930685556</v>
      </c>
      <c r="H1059" s="48" t="n">
        <f aca="false">D1059*(IF($A1059&lt;$Q$1014,INDEX(Surface_Engine!$D$12:$D$72,$A1059+1)+(Surface_Engine!B246*12)*INDEX(Surface_Engine!$F$12:$F$72,$A1059+1)-(Surface_Engine!B246*12),1000*12*INDEX(Surface_Engine!$C$12:$C$72,$A1059+1)/(1+Assumptions!$B$10)^5+INDEX(Surface_Engine!$D$12:$D$72,$A1059+1)))*INDEX(Surface_Engine!$B$12:$B$72,$A1059+1)+H1060</f>
        <v>5.47344920908504</v>
      </c>
      <c r="I1059" s="48" t="n">
        <f aca="false">E1059*(IF($A1059&lt;$Q$1014,INDEX(Surface_Engine!$D$12:$D$72,$A1059+1)+(Surface_Engine!B246*12)*INDEX(Surface_Engine!$F$12:$F$72,$A1059+1)-(Surface_Engine!B246*12),1000*12*INDEX(Surface_Engine!$C$12:$C$72,$A1059+1)/(1+Assumptions!$B$10)^5+INDEX(Surface_Engine!$D$12:$D$72,$A1059+1)))*INDEX(Surface_Engine!$B$12:$B$72,$A1059+1)+I1060</f>
        <v>6.07908443602188</v>
      </c>
      <c r="J1059" s="48" t="n">
        <f aca="false">B1059*(IF($A1059&lt;$Q$1014,INDEX(Surface_Engine!$D$12:$D$72,$A1059+1)*(1+Assumptions!$B$24)+(Surface_Engine!B246*12)*INDEX(Surface_Engine!$F$12:$F$72,$A1059+1)-(Surface_Engine!B246*12),1000*12*INDEX(Surface_Engine!$C$12:$C$72,$A1059+1)/(1+Assumptions!$B$10)^5+INDEX(Surface_Engine!$D$12:$D$72,$A1059+1)*(1+Assumptions!$B$24)))*INDEX(Surface_Engine!$B$12:$B$72,$A1059+1)+J1060</f>
        <v>5.77570920253875</v>
      </c>
      <c r="K1059" s="12" t="n">
        <f aca="false">SQRT((IF(C1059&lt;=0,0,MAX(0,(B1059/C1059)*G1059/INDEX(Surface_Engine!$B$12:$B$72,$A1059+1)-F1059/INDEX(Surface_Engine!$B$12:$B$72,$A1059+1))))^2+(MAX(IF(D1059&lt;=0,0,MAX(0,(B1059/D1059)*H1059/INDEX(Surface_Engine!$B$12:$B$72,$A1059+1)-F1059/INDEX(Surface_Engine!$B$12:$B$72,$A1059+1))),IF(E1059&lt;=0,0,MAX(0,(B1059/E1059)*I1059/INDEX(Surface_Engine!$B$12:$B$72,$A1059+1)-F1059/INDEX(Surface_Engine!$B$12:$B$72,$A1059+1))),IF($A1059&lt;$Q$1014,MAX(0,-Assumptions!$B$22*(F1059/INDEX(Surface_Engine!$B$12:$B$72,$A1059+1))),0)))^2+(MAX(0,J1059/INDEX(Surface_Engine!$B$12:$B$72,$A1059+1)-(F1059/INDEX(Surface_Engine!$B$12:$B$72,$A1059+1))))^2+2*Assumptions!$B$26*(IF(C1059&lt;=0,0,MAX(0,(B1059/C1059)*G1059/INDEX(Surface_Engine!$B$12:$B$72,$A1059+1)-F1059/INDEX(Surface_Engine!$B$12:$B$72,$A1059+1))))*(MAX(IF(D1059&lt;=0,0,MAX(0,(B1059/D1059)*H1059/INDEX(Surface_Engine!$B$12:$B$72,$A1059+1)-F1059/INDEX(Surface_Engine!$B$12:$B$72,$A1059+1))),IF(E1059&lt;=0,0,MAX(0,(B1059/E1059)*I1059/INDEX(Surface_Engine!$B$12:$B$72,$A1059+1)-F1059/INDEX(Surface_Engine!$B$12:$B$72,$A1059+1))),IF($A1059&lt;$Q$1014,MAX(0,-Assumptions!$B$22*(F1059/INDEX(Surface_Engine!$B$12:$B$72,$A1059+1))),0)))+2*Assumptions!$B$27*(IF(C1059&lt;=0,0,MAX(0,(B1059/C1059)*G1059/INDEX(Surface_Engine!$B$12:$B$72,$A1059+1)-F1059/INDEX(Surface_Engine!$B$12:$B$72,$A1059+1))))*(MAX(0,J1059/INDEX(Surface_Engine!$B$12:$B$72,$A1059+1)-(F1059/INDEX(Surface_Engine!$B$12:$B$72,$A1059+1))))+2*Assumptions!$B$28*(MAX(IF(D1059&lt;=0,0,MAX(0,(B1059/D1059)*H1059/INDEX(Surface_Engine!$B$12:$B$72,$A1059+1)-F1059/INDEX(Surface_Engine!$B$12:$B$72,$A1059+1))),IF(E1059&lt;=0,0,MAX(0,(B1059/E1059)*I1059/INDEX(Surface_Engine!$B$12:$B$72,$A1059+1)-F1059/INDEX(Surface_Engine!$B$12:$B$72,$A1059+1))),IF($A1059&lt;$Q$1014,MAX(0,-Assumptions!$B$22*(F1059/INDEX(Surface_Engine!$B$12:$B$72,$A1059+1))),0)))*(MAX(0,J1059/INDEX(Surface_Engine!$B$12:$B$72,$A1059+1)-(F1059/INDEX(Surface_Engine!$B$12:$B$72,$A1059+1)))))</f>
        <v>4.92799407527362</v>
      </c>
      <c r="L1059" s="48" t="n">
        <f aca="false">K1059*INDEX(Surface_Engine!$B$12:$B$72,$A1059+1)+L1060</f>
        <v>2.32816094168297</v>
      </c>
      <c r="M1059" s="48" t="n">
        <f aca="false">M1058+B1058*(IF($A1058&lt;$Q$1014,(Surface_Engine!B246*12)-(Surface_Engine!B246*12)*INDEX(Surface_Engine!$F$12:$F$72,$A1058+1)-INDEX(Surface_Engine!$D$12:$D$72,$A1058+1),-(1000*12*INDEX(Surface_Engine!$C$12:$C$72,$A1058+1)/(1+Assumptions!$B$10)^5+INDEX(Surface_Engine!$D$12:$D$72,$A1058+1))))*INDEX(Surface_Engine!$B$12:$B$72,$A1058+1)</f>
        <v>5439.72974322214</v>
      </c>
      <c r="N1059" s="12" t="n">
        <f aca="false">IF(B1059&lt;=0,0,MAX(0,(K1059+Assumptions!$B$29*L1059/INDEX(Surface_Engine!$B$12:$B$72,$A1059+1)-(M1059/INDEX(Surface_Engine!$B$12:$B$72,$A1059+1)-(F1059/INDEX(Surface_Engine!$B$12:$B$72,$A1059+1))))/B1059))</f>
        <v>0</v>
      </c>
    </row>
    <row r="1060" customFormat="false" ht="15" hidden="false" customHeight="true" outlineLevel="0" collapsed="false">
      <c r="A1060" s="1" t="n">
        <v>44</v>
      </c>
      <c r="B1060" s="32" t="n">
        <f aca="false">INDEX(Surface_Engine!$Q$12:$Q$72,$A1060+1)*IF($A1060&lt;$Q$1014,INDEX(Surface_Engine!$E$12:$E$72,$A1060+1),INDEX(Surface_Engine!$E$12:$E$72,$Q$1014+1))</f>
        <v>0.000227608917628479</v>
      </c>
      <c r="C1060" s="32" t="n">
        <f aca="false">INDEX(Panel_Reserving!$F$8:$F$68,$A1060+1)*IF($A1060&lt;$Q$1014,INDEX(Surface_Engine!$E$12:$E$72,$A1060+1),INDEX(Surface_Engine!$E$12:$E$72,$Q$1014+1))</f>
        <v>0.0015816838495422</v>
      </c>
      <c r="D1060" s="32" t="n">
        <f aca="false">INDEX(Surface_Engine!$Q$12:$Q$72,$A1060+1)*IF($A1060&lt;$Q$1014,INDEX(Surface_Engine!$Y$12:$Y$72,$A1060+1),INDEX(Surface_Engine!$Y$12:$Y$72,$Q$1014+1))</f>
        <v>0.000215897289412802</v>
      </c>
      <c r="E1060" s="32" t="n">
        <f aca="false">INDEX(Surface_Engine!$Q$12:$Q$72,$A1060+1)*IF($A1060&lt;$Q$1014,INDEX(Surface_Engine!$Z$12:$Z$72,$A1060+1),INDEX(Surface_Engine!$Z$12:$Z$72,$Q$1014+1))</f>
        <v>0.000239786248435485</v>
      </c>
      <c r="F1060" s="48" t="n">
        <f aca="false">B1060*(IF($A1060&lt;$Q$1014,INDEX(Surface_Engine!$D$12:$D$72,$A1060+1)+(Surface_Engine!B246*12)*INDEX(Surface_Engine!$F$12:$F$72,$A1060+1)-(Surface_Engine!B246*12),1000*12*INDEX(Surface_Engine!$C$12:$C$72,$A1060+1)/(1+Assumptions!$B$10)^5+INDEX(Surface_Engine!$D$12:$D$72,$A1060+1)))*INDEX(Surface_Engine!$B$12:$B$72,$A1060+1)+F1061</f>
        <v>2.79796969275758</v>
      </c>
      <c r="G1060" s="48" t="n">
        <f aca="false">C1060*(IF($A1060&lt;$Q$1014,INDEX(Surface_Engine!$D$12:$D$72,$A1060+1)+(Surface_Engine!B246*12)*INDEX(Surface_Engine!$F$12:$F$72,$A1060+1)-(Surface_Engine!B246*12),1000*12*INDEX(Surface_Engine!$C$12:$C$72,$A1060+1)/(1+Assumptions!$B$10)^5+INDEX(Surface_Engine!$D$12:$D$72,$A1060+1)))*INDEX(Surface_Engine!$B$12:$B$72,$A1060+1)+G1061</f>
        <v>23.6468140847696</v>
      </c>
      <c r="H1060" s="48" t="n">
        <f aca="false">D1060*(IF($A1060&lt;$Q$1014,INDEX(Surface_Engine!$D$12:$D$72,$A1060+1)+(Surface_Engine!B246*12)*INDEX(Surface_Engine!$F$12:$F$72,$A1060+1)-(Surface_Engine!B246*12),1000*12*INDEX(Surface_Engine!$C$12:$C$72,$A1060+1)/(1+Assumptions!$B$10)^5+INDEX(Surface_Engine!$D$12:$D$72,$A1060+1)))*INDEX(Surface_Engine!$B$12:$B$72,$A1060+1)+H1061</f>
        <v>2.65400002258061</v>
      </c>
      <c r="I1060" s="48" t="n">
        <f aca="false">E1060*(IF($A1060&lt;$Q$1014,INDEX(Surface_Engine!$D$12:$D$72,$A1060+1)+(Surface_Engine!B246*12)*INDEX(Surface_Engine!$F$12:$F$72,$A1060+1)-(Surface_Engine!B246*12),1000*12*INDEX(Surface_Engine!$C$12:$C$72,$A1060+1)/(1+Assumptions!$B$10)^5+INDEX(Surface_Engine!$D$12:$D$72,$A1060+1)))*INDEX(Surface_Engine!$B$12:$B$72,$A1060+1)+I1061</f>
        <v>2.94766419019507</v>
      </c>
      <c r="J1060" s="48" t="n">
        <f aca="false">B1060*(IF($A1060&lt;$Q$1014,INDEX(Surface_Engine!$D$12:$D$72,$A1060+1)*(1+Assumptions!$B$24)+(Surface_Engine!B246*12)*INDEX(Surface_Engine!$F$12:$F$72,$A1060+1)-(Surface_Engine!B246*12),1000*12*INDEX(Surface_Engine!$C$12:$C$72,$A1060+1)/(1+Assumptions!$B$10)^5+INDEX(Surface_Engine!$D$12:$D$72,$A1060+1)*(1+Assumptions!$B$24)))*INDEX(Surface_Engine!$B$12:$B$72,$A1060+1)+J1061</f>
        <v>2.80057355247064</v>
      </c>
      <c r="K1060" s="12" t="n">
        <f aca="false">SQRT((IF(C1060&lt;=0,0,MAX(0,(B1060/C1060)*G1060/INDEX(Surface_Engine!$B$12:$B$72,$A1060+1)-F1060/INDEX(Surface_Engine!$B$12:$B$72,$A1060+1))))^2+(MAX(IF(D1060&lt;=0,0,MAX(0,(B1060/D1060)*H1060/INDEX(Surface_Engine!$B$12:$B$72,$A1060+1)-F1060/INDEX(Surface_Engine!$B$12:$B$72,$A1060+1))),IF(E1060&lt;=0,0,MAX(0,(B1060/E1060)*I1060/INDEX(Surface_Engine!$B$12:$B$72,$A1060+1)-F1060/INDEX(Surface_Engine!$B$12:$B$72,$A1060+1))),IF($A1060&lt;$Q$1014,MAX(0,-Assumptions!$B$22*(F1060/INDEX(Surface_Engine!$B$12:$B$72,$A1060+1))),0)))^2+(MAX(0,J1060/INDEX(Surface_Engine!$B$12:$B$72,$A1060+1)-(F1060/INDEX(Surface_Engine!$B$12:$B$72,$A1060+1))))^2+2*Assumptions!$B$26*(IF(C1060&lt;=0,0,MAX(0,(B1060/C1060)*G1060/INDEX(Surface_Engine!$B$12:$B$72,$A1060+1)-F1060/INDEX(Surface_Engine!$B$12:$B$72,$A1060+1))))*(MAX(IF(D1060&lt;=0,0,MAX(0,(B1060/D1060)*H1060/INDEX(Surface_Engine!$B$12:$B$72,$A1060+1)-F1060/INDEX(Surface_Engine!$B$12:$B$72,$A1060+1))),IF(E1060&lt;=0,0,MAX(0,(B1060/E1060)*I1060/INDEX(Surface_Engine!$B$12:$B$72,$A1060+1)-F1060/INDEX(Surface_Engine!$B$12:$B$72,$A1060+1))),IF($A1060&lt;$Q$1014,MAX(0,-Assumptions!$B$22*(F1060/INDEX(Surface_Engine!$B$12:$B$72,$A1060+1))),0)))+2*Assumptions!$B$27*(IF(C1060&lt;=0,0,MAX(0,(B1060/C1060)*G1060/INDEX(Surface_Engine!$B$12:$B$72,$A1060+1)-F1060/INDEX(Surface_Engine!$B$12:$B$72,$A1060+1))))*(MAX(0,J1060/INDEX(Surface_Engine!$B$12:$B$72,$A1060+1)-(F1060/INDEX(Surface_Engine!$B$12:$B$72,$A1060+1))))+2*Assumptions!$B$28*(MAX(IF(D1060&lt;=0,0,MAX(0,(B1060/D1060)*H1060/INDEX(Surface_Engine!$B$12:$B$72,$A1060+1)-F1060/INDEX(Surface_Engine!$B$12:$B$72,$A1060+1))),IF(E1060&lt;=0,0,MAX(0,(B1060/E1060)*I1060/INDEX(Surface_Engine!$B$12:$B$72,$A1060+1)-F1060/INDEX(Surface_Engine!$B$12:$B$72,$A1060+1))),IF($A1060&lt;$Q$1014,MAX(0,-Assumptions!$B$22*(F1060/INDEX(Surface_Engine!$B$12:$B$72,$A1060+1))),0)))*(MAX(0,J1060/INDEX(Surface_Engine!$B$12:$B$72,$A1060+1)-(F1060/INDEX(Surface_Engine!$B$12:$B$72,$A1060+1)))))</f>
        <v>2.42850999904098</v>
      </c>
      <c r="L1060" s="48" t="n">
        <f aca="false">K1060*INDEX(Surface_Engine!$B$12:$B$72,$A1060+1)+L1061</f>
        <v>1.05946518049528</v>
      </c>
      <c r="M1060" s="48" t="n">
        <f aca="false">M1059+B1059*(IF($A1059&lt;$Q$1014,(Surface_Engine!B246*12)-(Surface_Engine!B246*12)*INDEX(Surface_Engine!$F$12:$F$72,$A1059+1)-INDEX(Surface_Engine!$D$12:$D$72,$A1059+1),-(1000*12*INDEX(Surface_Engine!$C$12:$C$72,$A1059+1)/(1+Assumptions!$B$10)^5+INDEX(Surface_Engine!$D$12:$D$72,$A1059+1))))*INDEX(Surface_Engine!$B$12:$B$72,$A1059+1)</f>
        <v>5436.75734936118</v>
      </c>
      <c r="N1060" s="12" t="n">
        <f aca="false">IF(B1060&lt;=0,0,MAX(0,(K1060+Assumptions!$B$29*L1060/INDEX(Surface_Engine!$B$12:$B$72,$A1060+1)-(M1060/INDEX(Surface_Engine!$B$12:$B$72,$A1060+1)-(F1060/INDEX(Surface_Engine!$B$12:$B$72,$A1060+1))))/B1060))</f>
        <v>0</v>
      </c>
    </row>
    <row r="1061" customFormat="false" ht="15" hidden="false" customHeight="true" outlineLevel="0" collapsed="false">
      <c r="A1061" s="1" t="n">
        <v>45</v>
      </c>
      <c r="B1061" s="32" t="n">
        <f aca="false">INDEX(Surface_Engine!$Q$12:$Q$72,$A1061+1)*IF($A1061&lt;$Q$1014,INDEX(Surface_Engine!$E$12:$E$72,$A1061+1),INDEX(Surface_Engine!$E$12:$E$72,$Q$1014+1))</f>
        <v>0.000111406681897386</v>
      </c>
      <c r="C1061" s="32" t="n">
        <f aca="false">INDEX(Panel_Reserving!$F$8:$F$68,$A1061+1)*IF($A1061&lt;$Q$1014,INDEX(Surface_Engine!$E$12:$E$72,$A1061+1),INDEX(Surface_Engine!$E$12:$E$72,$Q$1014+1))</f>
        <v>0.00093568033983237</v>
      </c>
      <c r="D1061" s="32" t="n">
        <f aca="false">INDEX(Surface_Engine!$Q$12:$Q$72,$A1061+1)*IF($A1061&lt;$Q$1014,INDEX(Surface_Engine!$Y$12:$Y$72,$A1061+1),INDEX(Surface_Engine!$Y$12:$Y$72,$Q$1014+1))</f>
        <v>0.000105674245520468</v>
      </c>
      <c r="E1061" s="32" t="n">
        <f aca="false">INDEX(Surface_Engine!$Q$12:$Q$72,$A1061+1)*IF($A1061&lt;$Q$1014,INDEX(Surface_Engine!$Z$12:$Z$72,$A1061+1),INDEX(Surface_Engine!$Z$12:$Z$72,$Q$1014+1))</f>
        <v>0.000117367063563054</v>
      </c>
      <c r="F1061" s="48" t="n">
        <f aca="false">B1061*(IF($A1061&lt;$Q$1014,INDEX(Surface_Engine!$D$12:$D$72,$A1061+1)+(Surface_Engine!B246*12)*INDEX(Surface_Engine!$F$12:$F$72,$A1061+1)-(Surface_Engine!B246*12),1000*12*INDEX(Surface_Engine!$C$12:$C$72,$A1061+1)/(1+Assumptions!$B$10)^5+INDEX(Surface_Engine!$D$12:$D$72,$A1061+1)))*INDEX(Surface_Engine!$B$12:$B$72,$A1061+1)+F1062</f>
        <v>1.30991577246185</v>
      </c>
      <c r="G1061" s="48" t="n">
        <f aca="false">C1061*(IF($A1061&lt;$Q$1014,INDEX(Surface_Engine!$D$12:$D$72,$A1061+1)+(Surface_Engine!B246*12)*INDEX(Surface_Engine!$F$12:$F$72,$A1061+1)-(Surface_Engine!B246*12),1000*12*INDEX(Surface_Engine!$C$12:$C$72,$A1061+1)/(1+Assumptions!$B$10)^5+INDEX(Surface_Engine!$D$12:$D$72,$A1061+1)))*INDEX(Surface_Engine!$B$12:$B$72,$A1061+1)+G1062</f>
        <v>13.3061346531249</v>
      </c>
      <c r="H1061" s="48" t="n">
        <f aca="false">D1061*(IF($A1061&lt;$Q$1014,INDEX(Surface_Engine!$D$12:$D$72,$A1061+1)+(Surface_Engine!B246*12)*INDEX(Surface_Engine!$F$12:$F$72,$A1061+1)-(Surface_Engine!B246*12),1000*12*INDEX(Surface_Engine!$C$12:$C$72,$A1061+1)/(1+Assumptions!$B$10)^5+INDEX(Surface_Engine!$D$12:$D$72,$A1061+1)))*INDEX(Surface_Engine!$B$12:$B$72,$A1061+1)+H1062</f>
        <v>1.24251399101686</v>
      </c>
      <c r="I1061" s="48" t="n">
        <f aca="false">E1061*(IF($A1061&lt;$Q$1014,INDEX(Surface_Engine!$D$12:$D$72,$A1061+1)+(Surface_Engine!B246*12)*INDEX(Surface_Engine!$F$12:$F$72,$A1061+1)-(Surface_Engine!B246*12),1000*12*INDEX(Surface_Engine!$C$12:$C$72,$A1061+1)/(1+Assumptions!$B$10)^5+INDEX(Surface_Engine!$D$12:$D$72,$A1061+1)))*INDEX(Surface_Engine!$B$12:$B$72,$A1061+1)+I1062</f>
        <v>1.37999772644144</v>
      </c>
      <c r="J1061" s="48" t="n">
        <f aca="false">B1061*(IF($A1061&lt;$Q$1014,INDEX(Surface_Engine!$D$12:$D$72,$A1061+1)*(1+Assumptions!$B$24)+(Surface_Engine!B246*12)*INDEX(Surface_Engine!$F$12:$F$72,$A1061+1)-(Surface_Engine!B246*12),1000*12*INDEX(Surface_Engine!$C$12:$C$72,$A1061+1)/(1+Assumptions!$B$10)^5+INDEX(Surface_Engine!$D$12:$D$72,$A1061+1)*(1+Assumptions!$B$24)))*INDEX(Surface_Engine!$B$12:$B$72,$A1061+1)+J1062</f>
        <v>1.3111403585989</v>
      </c>
      <c r="K1061" s="12" t="n">
        <f aca="false">SQRT((IF(C1061&lt;=0,0,MAX(0,(B1061/C1061)*G1061/INDEX(Surface_Engine!$B$12:$B$72,$A1061+1)-F1061/INDEX(Surface_Engine!$B$12:$B$72,$A1061+1))))^2+(MAX(IF(D1061&lt;=0,0,MAX(0,(B1061/D1061)*H1061/INDEX(Surface_Engine!$B$12:$B$72,$A1061+1)-F1061/INDEX(Surface_Engine!$B$12:$B$72,$A1061+1))),IF(E1061&lt;=0,0,MAX(0,(B1061/E1061)*I1061/INDEX(Surface_Engine!$B$12:$B$72,$A1061+1)-F1061/INDEX(Surface_Engine!$B$12:$B$72,$A1061+1))),IF($A1061&lt;$Q$1014,MAX(0,-Assumptions!$B$22*(F1061/INDEX(Surface_Engine!$B$12:$B$72,$A1061+1))),0)))^2+(MAX(0,J1061/INDEX(Surface_Engine!$B$12:$B$72,$A1061+1)-(F1061/INDEX(Surface_Engine!$B$12:$B$72,$A1061+1))))^2+2*Assumptions!$B$26*(IF(C1061&lt;=0,0,MAX(0,(B1061/C1061)*G1061/INDEX(Surface_Engine!$B$12:$B$72,$A1061+1)-F1061/INDEX(Surface_Engine!$B$12:$B$72,$A1061+1))))*(MAX(IF(D1061&lt;=0,0,MAX(0,(B1061/D1061)*H1061/INDEX(Surface_Engine!$B$12:$B$72,$A1061+1)-F1061/INDEX(Surface_Engine!$B$12:$B$72,$A1061+1))),IF(E1061&lt;=0,0,MAX(0,(B1061/E1061)*I1061/INDEX(Surface_Engine!$B$12:$B$72,$A1061+1)-F1061/INDEX(Surface_Engine!$B$12:$B$72,$A1061+1))),IF($A1061&lt;$Q$1014,MAX(0,-Assumptions!$B$22*(F1061/INDEX(Surface_Engine!$B$12:$B$72,$A1061+1))),0)))+2*Assumptions!$B$27*(IF(C1061&lt;=0,0,MAX(0,(B1061/C1061)*G1061/INDEX(Surface_Engine!$B$12:$B$72,$A1061+1)-F1061/INDEX(Surface_Engine!$B$12:$B$72,$A1061+1))))*(MAX(0,J1061/INDEX(Surface_Engine!$B$12:$B$72,$A1061+1)-(F1061/INDEX(Surface_Engine!$B$12:$B$72,$A1061+1))))+2*Assumptions!$B$28*(MAX(IF(D1061&lt;=0,0,MAX(0,(B1061/D1061)*H1061/INDEX(Surface_Engine!$B$12:$B$72,$A1061+1)-F1061/INDEX(Surface_Engine!$B$12:$B$72,$A1061+1))),IF(E1061&lt;=0,0,MAX(0,(B1061/E1061)*I1061/INDEX(Surface_Engine!$B$12:$B$72,$A1061+1)-F1061/INDEX(Surface_Engine!$B$12:$B$72,$A1061+1))),IF($A1061&lt;$Q$1014,MAX(0,-Assumptions!$B$22*(F1061/INDEX(Surface_Engine!$B$12:$B$72,$A1061+1))),0)))*(MAX(0,J1061/INDEX(Surface_Engine!$B$12:$B$72,$A1061+1)-(F1061/INDEX(Surface_Engine!$B$12:$B$72,$A1061+1)))))</f>
        <v>1.13796241437004</v>
      </c>
      <c r="L1061" s="48" t="n">
        <f aca="false">K1061*INDEX(Surface_Engine!$B$12:$B$72,$A1061+1)+L1062</f>
        <v>0.453933166479563</v>
      </c>
      <c r="M1061" s="48" t="n">
        <f aca="false">M1060+B1060*(IF($A1060&lt;$Q$1014,(Surface_Engine!B246*12)-(Surface_Engine!B246*12)*INDEX(Surface_Engine!$F$12:$F$72,$A1060+1)-INDEX(Surface_Engine!$D$12:$D$72,$A1060+1),-(1000*12*INDEX(Surface_Engine!$C$12:$C$72,$A1060+1)/(1+Assumptions!$B$10)^5+INDEX(Surface_Engine!$D$12:$D$72,$A1060+1))))*INDEX(Surface_Engine!$B$12:$B$72,$A1060+1)</f>
        <v>5435.26929544089</v>
      </c>
      <c r="N1061" s="12" t="n">
        <f aca="false">IF(B1061&lt;=0,0,MAX(0,(K1061+Assumptions!$B$29*L1061/INDEX(Surface_Engine!$B$12:$B$72,$A1061+1)-(M1061/INDEX(Surface_Engine!$B$12:$B$72,$A1061+1)-(F1061/INDEX(Surface_Engine!$B$12:$B$72,$A1061+1))))/B1061))</f>
        <v>0</v>
      </c>
    </row>
    <row r="1062" customFormat="false" ht="15" hidden="false" customHeight="true" outlineLevel="0" collapsed="false">
      <c r="A1062" s="1" t="n">
        <v>46</v>
      </c>
      <c r="B1062" s="32" t="n">
        <f aca="false">INDEX(Surface_Engine!$Q$12:$Q$72,$A1062+1)*IF($A1062&lt;$Q$1014,INDEX(Surface_Engine!$E$12:$E$72,$A1062+1),INDEX(Surface_Engine!$E$12:$E$72,$Q$1014+1))</f>
        <v>5.26307945814114E-005</v>
      </c>
      <c r="C1062" s="32" t="n">
        <f aca="false">INDEX(Panel_Reserving!$F$8:$F$68,$A1062+1)*IF($A1062&lt;$Q$1014,INDEX(Surface_Engine!$E$12:$E$72,$A1062+1),INDEX(Surface_Engine!$E$12:$E$72,$Q$1014+1))</f>
        <v>0.000540763688291378</v>
      </c>
      <c r="D1062" s="32" t="n">
        <f aca="false">INDEX(Surface_Engine!$Q$12:$Q$72,$A1062+1)*IF($A1062&lt;$Q$1014,INDEX(Surface_Engine!$Y$12:$Y$72,$A1062+1),INDEX(Surface_Engine!$Y$12:$Y$72,$Q$1014+1))</f>
        <v>4.99226744196201E-005</v>
      </c>
      <c r="E1062" s="32" t="n">
        <f aca="false">INDEX(Surface_Engine!$Q$12:$Q$72,$A1062+1)*IF($A1062&lt;$Q$1014,INDEX(Surface_Engine!$Z$12:$Z$72,$A1062+1),INDEX(Surface_Engine!$Z$12:$Z$72,$Q$1014+1))</f>
        <v>5.54466007586524E-005</v>
      </c>
      <c r="F1062" s="48" t="n">
        <f aca="false">B1062*(IF($A1062&lt;$Q$1014,INDEX(Surface_Engine!$D$12:$D$72,$A1062+1)+(Surface_Engine!B246*12)*INDEX(Surface_Engine!$F$12:$F$72,$A1062+1)-(Surface_Engine!B246*12),1000*12*INDEX(Surface_Engine!$C$12:$C$72,$A1062+1)/(1+Assumptions!$B$10)^5+INDEX(Surface_Engine!$D$12:$D$72,$A1062+1)))*INDEX(Surface_Engine!$B$12:$B$72,$A1062+1)+F1063</f>
        <v>0.590677700381511</v>
      </c>
      <c r="G1062" s="48" t="n">
        <f aca="false">C1062*(IF($A1062&lt;$Q$1014,INDEX(Surface_Engine!$D$12:$D$72,$A1062+1)+(Surface_Engine!B246*12)*INDEX(Surface_Engine!$F$12:$F$72,$A1062+1)-(Surface_Engine!B246*12),1000*12*INDEX(Surface_Engine!$C$12:$C$72,$A1062+1)/(1+Assumptions!$B$10)^5+INDEX(Surface_Engine!$D$12:$D$72,$A1062+1)))*INDEX(Surface_Engine!$B$12:$B$72,$A1062+1)+G1063</f>
        <v>7.26541149143547</v>
      </c>
      <c r="H1062" s="48" t="n">
        <f aca="false">D1062*(IF($A1062&lt;$Q$1014,INDEX(Surface_Engine!$D$12:$D$72,$A1062+1)+(Surface_Engine!B246*12)*INDEX(Surface_Engine!$F$12:$F$72,$A1062+1)-(Surface_Engine!B246*12),1000*12*INDEX(Surface_Engine!$C$12:$C$72,$A1062+1)/(1+Assumptions!$B$10)^5+INDEX(Surface_Engine!$D$12:$D$72,$A1062+1)))*INDEX(Surface_Engine!$B$12:$B$72,$A1062+1)+H1063</f>
        <v>0.560284349829881</v>
      </c>
      <c r="I1062" s="48" t="n">
        <f aca="false">E1062*(IF($A1062&lt;$Q$1014,INDEX(Surface_Engine!$D$12:$D$72,$A1062+1)+(Surface_Engine!B246*12)*INDEX(Surface_Engine!$F$12:$F$72,$A1062+1)-(Surface_Engine!B246*12),1000*12*INDEX(Surface_Engine!$C$12:$C$72,$A1062+1)/(1+Assumptions!$B$10)^5+INDEX(Surface_Engine!$D$12:$D$72,$A1062+1)))*INDEX(Surface_Engine!$B$12:$B$72,$A1062+1)+I1063</f>
        <v>0.62227961577574</v>
      </c>
      <c r="J1062" s="48" t="n">
        <f aca="false">B1062*(IF($A1062&lt;$Q$1014,INDEX(Surface_Engine!$D$12:$D$72,$A1062+1)*(1+Assumptions!$B$24)+(Surface_Engine!B246*12)*INDEX(Surface_Engine!$F$12:$F$72,$A1062+1)-(Surface_Engine!B246*12),1000*12*INDEX(Surface_Engine!$C$12:$C$72,$A1062+1)/(1+Assumptions!$B$10)^5+INDEX(Surface_Engine!$D$12:$D$72,$A1062+1)*(1+Assumptions!$B$24)))*INDEX(Surface_Engine!$B$12:$B$72,$A1062+1)+J1063</f>
        <v>0.591232388987158</v>
      </c>
      <c r="K1062" s="12" t="n">
        <f aca="false">SQRT((IF(C1062&lt;=0,0,MAX(0,(B1062/C1062)*G1062/INDEX(Surface_Engine!$B$12:$B$72,$A1062+1)-F1062/INDEX(Surface_Engine!$B$12:$B$72,$A1062+1))))^2+(MAX(IF(D1062&lt;=0,0,MAX(0,(B1062/D1062)*H1062/INDEX(Surface_Engine!$B$12:$B$72,$A1062+1)-F1062/INDEX(Surface_Engine!$B$12:$B$72,$A1062+1))),IF(E1062&lt;=0,0,MAX(0,(B1062/E1062)*I1062/INDEX(Surface_Engine!$B$12:$B$72,$A1062+1)-F1062/INDEX(Surface_Engine!$B$12:$B$72,$A1062+1))),IF($A1062&lt;$Q$1014,MAX(0,-Assumptions!$B$22*(F1062/INDEX(Surface_Engine!$B$12:$B$72,$A1062+1))),0)))^2+(MAX(0,J1062/INDEX(Surface_Engine!$B$12:$B$72,$A1062+1)-(F1062/INDEX(Surface_Engine!$B$12:$B$72,$A1062+1))))^2+2*Assumptions!$B$26*(IF(C1062&lt;=0,0,MAX(0,(B1062/C1062)*G1062/INDEX(Surface_Engine!$B$12:$B$72,$A1062+1)-F1062/INDEX(Surface_Engine!$B$12:$B$72,$A1062+1))))*(MAX(IF(D1062&lt;=0,0,MAX(0,(B1062/D1062)*H1062/INDEX(Surface_Engine!$B$12:$B$72,$A1062+1)-F1062/INDEX(Surface_Engine!$B$12:$B$72,$A1062+1))),IF(E1062&lt;=0,0,MAX(0,(B1062/E1062)*I1062/INDEX(Surface_Engine!$B$12:$B$72,$A1062+1)-F1062/INDEX(Surface_Engine!$B$12:$B$72,$A1062+1))),IF($A1062&lt;$Q$1014,MAX(0,-Assumptions!$B$22*(F1062/INDEX(Surface_Engine!$B$12:$B$72,$A1062+1))),0)))+2*Assumptions!$B$27*(IF(C1062&lt;=0,0,MAX(0,(B1062/C1062)*G1062/INDEX(Surface_Engine!$B$12:$B$72,$A1062+1)-F1062/INDEX(Surface_Engine!$B$12:$B$72,$A1062+1))))*(MAX(0,J1062/INDEX(Surface_Engine!$B$12:$B$72,$A1062+1)-(F1062/INDEX(Surface_Engine!$B$12:$B$72,$A1062+1))))+2*Assumptions!$B$28*(MAX(IF(D1062&lt;=0,0,MAX(0,(B1062/D1062)*H1062/INDEX(Surface_Engine!$B$12:$B$72,$A1062+1)-F1062/INDEX(Surface_Engine!$B$12:$B$72,$A1062+1))),IF(E1062&lt;=0,0,MAX(0,(B1062/E1062)*I1062/INDEX(Surface_Engine!$B$12:$B$72,$A1062+1)-F1062/INDEX(Surface_Engine!$B$12:$B$72,$A1062+1))),IF($A1062&lt;$Q$1014,MAX(0,-Assumptions!$B$22*(F1062/INDEX(Surface_Engine!$B$12:$B$72,$A1062+1))),0)))*(MAX(0,J1062/INDEX(Surface_Engine!$B$12:$B$72,$A1062+1)-(F1062/INDEX(Surface_Engine!$B$12:$B$72,$A1062+1)))))</f>
        <v>0.49869043946247</v>
      </c>
      <c r="L1062" s="48" t="n">
        <f aca="false">K1062*INDEX(Surface_Engine!$B$12:$B$72,$A1062+1)+L1063</f>
        <v>0.179246701142025</v>
      </c>
      <c r="M1062" s="48" t="n">
        <f aca="false">M1061+B1061*(IF($A1061&lt;$Q$1014,(Surface_Engine!B246*12)-(Surface_Engine!B246*12)*INDEX(Surface_Engine!$F$12:$F$72,$A1061+1)-INDEX(Surface_Engine!$D$12:$D$72,$A1061+1),-(1000*12*INDEX(Surface_Engine!$C$12:$C$72,$A1061+1)/(1+Assumptions!$B$10)^5+INDEX(Surface_Engine!$D$12:$D$72,$A1061+1))))*INDEX(Surface_Engine!$B$12:$B$72,$A1061+1)</f>
        <v>5434.55005736881</v>
      </c>
      <c r="N1062" s="12" t="n">
        <f aca="false">IF(B1062&lt;=0,0,MAX(0,(K1062+Assumptions!$B$29*L1062/INDEX(Surface_Engine!$B$12:$B$72,$A1062+1)-(M1062/INDEX(Surface_Engine!$B$12:$B$72,$A1062+1)-(F1062/INDEX(Surface_Engine!$B$12:$B$72,$A1062+1))))/B1062))</f>
        <v>0</v>
      </c>
    </row>
    <row r="1063" customFormat="false" ht="15" hidden="false" customHeight="true" outlineLevel="0" collapsed="false">
      <c r="A1063" s="1" t="n">
        <v>47</v>
      </c>
      <c r="B1063" s="32" t="n">
        <f aca="false">INDEX(Surface_Engine!$Q$12:$Q$72,$A1063+1)*IF($A1063&lt;$Q$1014,INDEX(Surface_Engine!$E$12:$E$72,$A1063+1),INDEX(Surface_Engine!$E$12:$E$72,$Q$1014+1))</f>
        <v>2.39811023500534E-005</v>
      </c>
      <c r="C1063" s="32" t="n">
        <f aca="false">INDEX(Panel_Reserving!$F$8:$F$68,$A1063+1)*IF($A1063&lt;$Q$1014,INDEX(Surface_Engine!$E$12:$E$72,$A1063+1),INDEX(Surface_Engine!$E$12:$E$72,$Q$1014+1))</f>
        <v>0.00030527093751442</v>
      </c>
      <c r="D1063" s="32" t="n">
        <f aca="false">INDEX(Surface_Engine!$Q$12:$Q$72,$A1063+1)*IF($A1063&lt;$Q$1014,INDEX(Surface_Engine!$Y$12:$Y$72,$A1063+1),INDEX(Surface_Engine!$Y$12:$Y$72,$Q$1014+1))</f>
        <v>2.2747153531825E-005</v>
      </c>
      <c r="E1063" s="32" t="n">
        <f aca="false">INDEX(Surface_Engine!$Q$12:$Q$72,$A1063+1)*IF($A1063&lt;$Q$1014,INDEX(Surface_Engine!$Z$12:$Z$72,$A1063+1),INDEX(Surface_Engine!$Z$12:$Z$72,$Q$1014+1))</f>
        <v>2.52641180573288E-005</v>
      </c>
      <c r="F1063" s="48" t="n">
        <f aca="false">B1063*(IF($A1063&lt;$Q$1014,INDEX(Surface_Engine!$D$12:$D$72,$A1063+1)+(Surface_Engine!B246*12)*INDEX(Surface_Engine!$F$12:$F$72,$A1063+1)-(Surface_Engine!B246*12),1000*12*INDEX(Surface_Engine!$C$12:$C$72,$A1063+1)/(1+Assumptions!$B$10)^5+INDEX(Surface_Engine!$D$12:$D$72,$A1063+1)))*INDEX(Surface_Engine!$B$12:$B$72,$A1063+1)+F1064</f>
        <v>0.255009483118658</v>
      </c>
      <c r="G1063" s="48" t="n">
        <f aca="false">C1063*(IF($A1063&lt;$Q$1014,INDEX(Surface_Engine!$D$12:$D$72,$A1063+1)+(Surface_Engine!B246*12)*INDEX(Surface_Engine!$F$12:$F$72,$A1063+1)-(Surface_Engine!B246*12),1000*12*INDEX(Surface_Engine!$C$12:$C$72,$A1063+1)/(1+Assumptions!$B$10)^5+INDEX(Surface_Engine!$D$12:$D$72,$A1063+1)))*INDEX(Surface_Engine!$B$12:$B$72,$A1063+1)+G1064</f>
        <v>3.81653361199411</v>
      </c>
      <c r="H1063" s="48" t="n">
        <f aca="false">D1063*(IF($A1063&lt;$Q$1014,INDEX(Surface_Engine!$D$12:$D$72,$A1063+1)+(Surface_Engine!B246*12)*INDEX(Surface_Engine!$F$12:$F$72,$A1063+1)-(Surface_Engine!B246*12),1000*12*INDEX(Surface_Engine!$C$12:$C$72,$A1063+1)/(1+Assumptions!$B$10)^5+INDEX(Surface_Engine!$D$12:$D$72,$A1063+1)))*INDEX(Surface_Engine!$B$12:$B$72,$A1063+1)+H1064</f>
        <v>0.241887957438224</v>
      </c>
      <c r="I1063" s="48" t="n">
        <f aca="false">E1063*(IF($A1063&lt;$Q$1014,INDEX(Surface_Engine!$D$12:$D$72,$A1063+1)+(Surface_Engine!B246*12)*INDEX(Surface_Engine!$F$12:$F$72,$A1063+1)-(Surface_Engine!B246*12),1000*12*INDEX(Surface_Engine!$C$12:$C$72,$A1063+1)/(1+Assumptions!$B$10)^5+INDEX(Surface_Engine!$D$12:$D$72,$A1063+1)))*INDEX(Surface_Engine!$B$12:$B$72,$A1063+1)+I1064</f>
        <v>0.268652774722585</v>
      </c>
      <c r="J1063" s="48" t="n">
        <f aca="false">B1063*(IF($A1063&lt;$Q$1014,INDEX(Surface_Engine!$D$12:$D$72,$A1063+1)*(1+Assumptions!$B$24)+(Surface_Engine!B246*12)*INDEX(Surface_Engine!$F$12:$F$72,$A1063+1)-(Surface_Engine!B246*12),1000*12*INDEX(Surface_Engine!$C$12:$C$72,$A1063+1)/(1+Assumptions!$B$10)^5+INDEX(Surface_Engine!$D$12:$D$72,$A1063+1)*(1+Assumptions!$B$24)))*INDEX(Surface_Engine!$B$12:$B$72,$A1063+1)+J1064</f>
        <v>0.255250012513857</v>
      </c>
      <c r="K1063" s="12" t="n">
        <f aca="false">SQRT((IF(C1063&lt;=0,0,MAX(0,(B1063/C1063)*G1063/INDEX(Surface_Engine!$B$12:$B$72,$A1063+1)-F1063/INDEX(Surface_Engine!$B$12:$B$72,$A1063+1))))^2+(MAX(IF(D1063&lt;=0,0,MAX(0,(B1063/D1063)*H1063/INDEX(Surface_Engine!$B$12:$B$72,$A1063+1)-F1063/INDEX(Surface_Engine!$B$12:$B$72,$A1063+1))),IF(E1063&lt;=0,0,MAX(0,(B1063/E1063)*I1063/INDEX(Surface_Engine!$B$12:$B$72,$A1063+1)-F1063/INDEX(Surface_Engine!$B$12:$B$72,$A1063+1))),IF($A1063&lt;$Q$1014,MAX(0,-Assumptions!$B$22*(F1063/INDEX(Surface_Engine!$B$12:$B$72,$A1063+1))),0)))^2+(MAX(0,J1063/INDEX(Surface_Engine!$B$12:$B$72,$A1063+1)-(F1063/INDEX(Surface_Engine!$B$12:$B$72,$A1063+1))))^2+2*Assumptions!$B$26*(IF(C1063&lt;=0,0,MAX(0,(B1063/C1063)*G1063/INDEX(Surface_Engine!$B$12:$B$72,$A1063+1)-F1063/INDEX(Surface_Engine!$B$12:$B$72,$A1063+1))))*(MAX(IF(D1063&lt;=0,0,MAX(0,(B1063/D1063)*H1063/INDEX(Surface_Engine!$B$12:$B$72,$A1063+1)-F1063/INDEX(Surface_Engine!$B$12:$B$72,$A1063+1))),IF(E1063&lt;=0,0,MAX(0,(B1063/E1063)*I1063/INDEX(Surface_Engine!$B$12:$B$72,$A1063+1)-F1063/INDEX(Surface_Engine!$B$12:$B$72,$A1063+1))),IF($A1063&lt;$Q$1014,MAX(0,-Assumptions!$B$22*(F1063/INDEX(Surface_Engine!$B$12:$B$72,$A1063+1))),0)))+2*Assumptions!$B$27*(IF(C1063&lt;=0,0,MAX(0,(B1063/C1063)*G1063/INDEX(Surface_Engine!$B$12:$B$72,$A1063+1)-F1063/INDEX(Surface_Engine!$B$12:$B$72,$A1063+1))))*(MAX(0,J1063/INDEX(Surface_Engine!$B$12:$B$72,$A1063+1)-(F1063/INDEX(Surface_Engine!$B$12:$B$72,$A1063+1))))+2*Assumptions!$B$28*(MAX(IF(D1063&lt;=0,0,MAX(0,(B1063/D1063)*H1063/INDEX(Surface_Engine!$B$12:$B$72,$A1063+1)-F1063/INDEX(Surface_Engine!$B$12:$B$72,$A1063+1))),IF(E1063&lt;=0,0,MAX(0,(B1063/E1063)*I1063/INDEX(Surface_Engine!$B$12:$B$72,$A1063+1)-F1063/INDEX(Surface_Engine!$B$12:$B$72,$A1063+1))),IF($A1063&lt;$Q$1014,MAX(0,-Assumptions!$B$22*(F1063/INDEX(Surface_Engine!$B$12:$B$72,$A1063+1))),0)))*(MAX(0,J1063/INDEX(Surface_Engine!$B$12:$B$72,$A1063+1)-(F1063/INDEX(Surface_Engine!$B$12:$B$72,$A1063+1)))))</f>
        <v>0.19816969737348</v>
      </c>
      <c r="L1063" s="48" t="n">
        <f aca="false">K1063*INDEX(Surface_Engine!$B$12:$B$72,$A1063+1)+L1064</f>
        <v>0.0626653050062178</v>
      </c>
      <c r="M1063" s="48" t="n">
        <f aca="false">M1062+B1062*(IF($A1062&lt;$Q$1014,(Surface_Engine!B246*12)-(Surface_Engine!B246*12)*INDEX(Surface_Engine!$F$12:$F$72,$A1062+1)-INDEX(Surface_Engine!$D$12:$D$72,$A1062+1),-(1000*12*INDEX(Surface_Engine!$C$12:$C$72,$A1062+1)/(1+Assumptions!$B$10)^5+INDEX(Surface_Engine!$D$12:$D$72,$A1062+1))))*INDEX(Surface_Engine!$B$12:$B$72,$A1062+1)</f>
        <v>5434.21438915154</v>
      </c>
      <c r="N1063" s="12" t="n">
        <f aca="false">IF(B1063&lt;=0,0,MAX(0,(K1063+Assumptions!$B$29*L1063/INDEX(Surface_Engine!$B$12:$B$72,$A1063+1)-(M1063/INDEX(Surface_Engine!$B$12:$B$72,$A1063+1)-(F1063/INDEX(Surface_Engine!$B$12:$B$72,$A1063+1))))/B1063))</f>
        <v>0</v>
      </c>
    </row>
    <row r="1064" customFormat="false" ht="15" hidden="false" customHeight="true" outlineLevel="0" collapsed="false">
      <c r="A1064" s="1" t="n">
        <v>48</v>
      </c>
      <c r="B1064" s="32" t="n">
        <f aca="false">INDEX(Surface_Engine!$Q$12:$Q$72,$A1064+1)*IF($A1064&lt;$Q$1014,INDEX(Surface_Engine!$E$12:$E$72,$A1064+1),INDEX(Surface_Engine!$E$12:$E$72,$Q$1014+1))</f>
        <v>1.05322361871215E-005</v>
      </c>
      <c r="C1064" s="32" t="n">
        <f aca="false">INDEX(Panel_Reserving!$F$8:$F$68,$A1064+1)*IF($A1064&lt;$Q$1014,INDEX(Surface_Engine!$E$12:$E$72,$A1064+1),INDEX(Surface_Engine!$E$12:$E$72,$Q$1014+1))</f>
        <v>0.000168311495962976</v>
      </c>
      <c r="D1064" s="32" t="n">
        <f aca="false">INDEX(Surface_Engine!$Q$12:$Q$72,$A1064+1)*IF($A1064&lt;$Q$1014,INDEX(Surface_Engine!$Y$12:$Y$72,$A1064+1),INDEX(Surface_Engine!$Y$12:$Y$72,$Q$1014+1))</f>
        <v>9.99029944848894E-006</v>
      </c>
      <c r="E1064" s="32" t="n">
        <f aca="false">INDEX(Surface_Engine!$Q$12:$Q$72,$A1064+1)*IF($A1064&lt;$Q$1014,INDEX(Surface_Engine!$Z$12:$Z$72,$A1064+1),INDEX(Surface_Engine!$Z$12:$Z$72,$Q$1014+1))</f>
        <v>1.10957225633339E-005</v>
      </c>
      <c r="F1064" s="48" t="n">
        <f aca="false">B1064*(IF($A1064&lt;$Q$1014,INDEX(Surface_Engine!$D$12:$D$72,$A1064+1)+(Surface_Engine!B246*12)*INDEX(Surface_Engine!$F$12:$F$72,$A1064+1)-(Surface_Engine!B246*12),1000*12*INDEX(Surface_Engine!$C$12:$C$72,$A1064+1)/(1+Assumptions!$B$10)^5+INDEX(Surface_Engine!$D$12:$D$72,$A1064+1)))*INDEX(Surface_Engine!$B$12:$B$72,$A1064+1)+F1065</f>
        <v>0.10391799906875</v>
      </c>
      <c r="G1064" s="48" t="n">
        <f aca="false">C1064*(IF($A1064&lt;$Q$1014,INDEX(Surface_Engine!$D$12:$D$72,$A1064+1)+(Surface_Engine!B246*12)*INDEX(Surface_Engine!$F$12:$F$72,$A1064+1)-(Surface_Engine!B246*12),1000*12*INDEX(Surface_Engine!$C$12:$C$72,$A1064+1)/(1+Assumptions!$B$10)^5+INDEX(Surface_Engine!$D$12:$D$72,$A1064+1)))*INDEX(Surface_Engine!$B$12:$B$72,$A1064+1)+G1065</f>
        <v>1.89319254480344</v>
      </c>
      <c r="H1064" s="48" t="n">
        <f aca="false">D1064*(IF($A1064&lt;$Q$1014,INDEX(Surface_Engine!$D$12:$D$72,$A1064+1)+(Surface_Engine!B246*12)*INDEX(Surface_Engine!$F$12:$F$72,$A1064+1)-(Surface_Engine!B246*12),1000*12*INDEX(Surface_Engine!$C$12:$C$72,$A1064+1)/(1+Assumptions!$B$10)^5+INDEX(Surface_Engine!$D$12:$D$72,$A1064+1)))*INDEX(Surface_Engine!$B$12:$B$72,$A1064+1)+H1065</f>
        <v>0.0985708932405117</v>
      </c>
      <c r="I1064" s="48" t="n">
        <f aca="false">E1064*(IF($A1064&lt;$Q$1014,INDEX(Surface_Engine!$D$12:$D$72,$A1064+1)+(Surface_Engine!B246*12)*INDEX(Surface_Engine!$F$12:$F$72,$A1064+1)-(Surface_Engine!B246*12),1000*12*INDEX(Surface_Engine!$C$12:$C$72,$A1064+1)/(1+Assumptions!$B$10)^5+INDEX(Surface_Engine!$D$12:$D$72,$A1064+1)))*INDEX(Surface_Engine!$B$12:$B$72,$A1064+1)+I1065</f>
        <v>0.10947772785551</v>
      </c>
      <c r="J1064" s="48" t="n">
        <f aca="false">B1064*(IF($A1064&lt;$Q$1014,INDEX(Surface_Engine!$D$12:$D$72,$A1064+1)*(1+Assumptions!$B$24)+(Surface_Engine!B246*12)*INDEX(Surface_Engine!$F$12:$F$72,$A1064+1)-(Surface_Engine!B246*12),1000*12*INDEX(Surface_Engine!$C$12:$C$72,$A1064+1)/(1+Assumptions!$B$10)^5+INDEX(Surface_Engine!$D$12:$D$72,$A1064+1)*(1+Assumptions!$B$24)))*INDEX(Surface_Engine!$B$12:$B$72,$A1064+1)+J1065</f>
        <v>0.104016431980273</v>
      </c>
      <c r="K1064" s="12" t="n">
        <f aca="false">SQRT((IF(C1064&lt;=0,0,MAX(0,(B1064/C1064)*G1064/INDEX(Surface_Engine!$B$12:$B$72,$A1064+1)-F1064/INDEX(Surface_Engine!$B$12:$B$72,$A1064+1))))^2+(MAX(IF(D1064&lt;=0,0,MAX(0,(B1064/D1064)*H1064/INDEX(Surface_Engine!$B$12:$B$72,$A1064+1)-F1064/INDEX(Surface_Engine!$B$12:$B$72,$A1064+1))),IF(E1064&lt;=0,0,MAX(0,(B1064/E1064)*I1064/INDEX(Surface_Engine!$B$12:$B$72,$A1064+1)-F1064/INDEX(Surface_Engine!$B$12:$B$72,$A1064+1))),IF($A1064&lt;$Q$1014,MAX(0,-Assumptions!$B$22*(F1064/INDEX(Surface_Engine!$B$12:$B$72,$A1064+1))),0)))^2+(MAX(0,J1064/INDEX(Surface_Engine!$B$12:$B$72,$A1064+1)-(F1064/INDEX(Surface_Engine!$B$12:$B$72,$A1064+1))))^2+2*Assumptions!$B$26*(IF(C1064&lt;=0,0,MAX(0,(B1064/C1064)*G1064/INDEX(Surface_Engine!$B$12:$B$72,$A1064+1)-F1064/INDEX(Surface_Engine!$B$12:$B$72,$A1064+1))))*(MAX(IF(D1064&lt;=0,0,MAX(0,(B1064/D1064)*H1064/INDEX(Surface_Engine!$B$12:$B$72,$A1064+1)-F1064/INDEX(Surface_Engine!$B$12:$B$72,$A1064+1))),IF(E1064&lt;=0,0,MAX(0,(B1064/E1064)*I1064/INDEX(Surface_Engine!$B$12:$B$72,$A1064+1)-F1064/INDEX(Surface_Engine!$B$12:$B$72,$A1064+1))),IF($A1064&lt;$Q$1014,MAX(0,-Assumptions!$B$22*(F1064/INDEX(Surface_Engine!$B$12:$B$72,$A1064+1))),0)))+2*Assumptions!$B$27*(IF(C1064&lt;=0,0,MAX(0,(B1064/C1064)*G1064/INDEX(Surface_Engine!$B$12:$B$72,$A1064+1)-F1064/INDEX(Surface_Engine!$B$12:$B$72,$A1064+1))))*(MAX(0,J1064/INDEX(Surface_Engine!$B$12:$B$72,$A1064+1)-(F1064/INDEX(Surface_Engine!$B$12:$B$72,$A1064+1))))+2*Assumptions!$B$28*(MAX(IF(D1064&lt;=0,0,MAX(0,(B1064/D1064)*H1064/INDEX(Surface_Engine!$B$12:$B$72,$A1064+1)-F1064/INDEX(Surface_Engine!$B$12:$B$72,$A1064+1))),IF(E1064&lt;=0,0,MAX(0,(B1064/E1064)*I1064/INDEX(Surface_Engine!$B$12:$B$72,$A1064+1)-F1064/INDEX(Surface_Engine!$B$12:$B$72,$A1064+1))),IF($A1064&lt;$Q$1014,MAX(0,-Assumptions!$B$22*(F1064/INDEX(Surface_Engine!$B$12:$B$72,$A1064+1))),0)))*(MAX(0,J1064/INDEX(Surface_Engine!$B$12:$B$72,$A1064+1)-(F1064/INDEX(Surface_Engine!$B$12:$B$72,$A1064+1)))))</f>
        <v>0.0665061566980405</v>
      </c>
      <c r="L1064" s="48" t="n">
        <f aca="false">K1064*INDEX(Surface_Engine!$B$12:$B$72,$A1064+1)+L1065</f>
        <v>0.017799454107415</v>
      </c>
      <c r="M1064" s="48" t="n">
        <f aca="false">M1063+B1063*(IF($A1063&lt;$Q$1014,(Surface_Engine!B246*12)-(Surface_Engine!B246*12)*INDEX(Surface_Engine!$F$12:$F$72,$A1063+1)-INDEX(Surface_Engine!$D$12:$D$72,$A1063+1),-(1000*12*INDEX(Surface_Engine!$C$12:$C$72,$A1063+1)/(1+Assumptions!$B$10)^5+INDEX(Surface_Engine!$D$12:$D$72,$A1063+1))))*INDEX(Surface_Engine!$B$12:$B$72,$A1063+1)</f>
        <v>5434.06329766749</v>
      </c>
      <c r="N1064" s="12" t="n">
        <f aca="false">IF(B1064&lt;=0,0,MAX(0,(K1064+Assumptions!$B$29*L1064/INDEX(Surface_Engine!$B$12:$B$72,$A1064+1)-(M1064/INDEX(Surface_Engine!$B$12:$B$72,$A1064+1)-(F1064/INDEX(Surface_Engine!$B$12:$B$72,$A1064+1))))/B1064))</f>
        <v>0</v>
      </c>
    </row>
    <row r="1065" customFormat="false" ht="15" hidden="false" customHeight="true" outlineLevel="0" collapsed="false">
      <c r="A1065" s="1" t="n">
        <v>49</v>
      </c>
      <c r="B1065" s="32" t="n">
        <f aca="false">INDEX(Surface_Engine!$Q$12:$Q$72,$A1065+1)*IF($A1065&lt;$Q$1014,INDEX(Surface_Engine!$E$12:$E$72,$A1065+1),INDEX(Surface_Engine!$E$12:$E$72,$Q$1014+1))</f>
        <v>4.4559995904961E-006</v>
      </c>
      <c r="C1065" s="32" t="n">
        <f aca="false">INDEX(Panel_Reserving!$F$8:$F$68,$A1065+1)*IF($A1065&lt;$Q$1014,INDEX(Surface_Engine!$E$12:$E$72,$A1065+1),INDEX(Surface_Engine!$E$12:$E$72,$Q$1014+1))</f>
        <v>9.06299511716783E-005</v>
      </c>
      <c r="D1065" s="32" t="n">
        <f aca="false">INDEX(Surface_Engine!$Q$12:$Q$72,$A1065+1)*IF($A1065&lt;$Q$1014,INDEX(Surface_Engine!$Y$12:$Y$72,$A1065+1),INDEX(Surface_Engine!$Y$12:$Y$72,$Q$1014+1))</f>
        <v>4.22671590918496E-006</v>
      </c>
      <c r="E1065" s="32" t="n">
        <f aca="false">INDEX(Surface_Engine!$Q$12:$Q$72,$A1065+1)*IF($A1065&lt;$Q$1014,INDEX(Surface_Engine!$Z$12:$Z$72,$A1065+1),INDEX(Surface_Engine!$Z$12:$Z$72,$Q$1014+1))</f>
        <v>4.69440053565557E-006</v>
      </c>
      <c r="F1065" s="48" t="n">
        <f aca="false">B1065*(IF($A1065&lt;$Q$1014,INDEX(Surface_Engine!$D$12:$D$72,$A1065+1)+(Surface_Engine!B246*12)*INDEX(Surface_Engine!$F$12:$F$72,$A1065+1)-(Surface_Engine!B246*12),1000*12*INDEX(Surface_Engine!$C$12:$C$72,$A1065+1)/(1+Assumptions!$B$10)^5+INDEX(Surface_Engine!$D$12:$D$72,$A1065+1)))*INDEX(Surface_Engine!$B$12:$B$72,$A1065+1)+F1066</f>
        <v>0.0383968216638263</v>
      </c>
      <c r="G1065" s="48" t="n">
        <f aca="false">C1065*(IF($A1065&lt;$Q$1014,INDEX(Surface_Engine!$D$12:$D$72,$A1065+1)+(Surface_Engine!B246*12)*INDEX(Surface_Engine!$F$12:$F$72,$A1065+1)-(Surface_Engine!B246*12),1000*12*INDEX(Surface_Engine!$C$12:$C$72,$A1065+1)/(1+Assumptions!$B$10)^5+INDEX(Surface_Engine!$D$12:$D$72,$A1065+1)))*INDEX(Surface_Engine!$B$12:$B$72,$A1065+1)+G1066</f>
        <v>0.846124553699815</v>
      </c>
      <c r="H1065" s="48" t="n">
        <f aca="false">D1065*(IF($A1065&lt;$Q$1014,INDEX(Surface_Engine!$D$12:$D$72,$A1065+1)+(Surface_Engine!B246*12)*INDEX(Surface_Engine!$F$12:$F$72,$A1065+1)-(Surface_Engine!B246*12),1000*12*INDEX(Surface_Engine!$C$12:$C$72,$A1065+1)/(1+Assumptions!$B$10)^5+INDEX(Surface_Engine!$D$12:$D$72,$A1065+1)))*INDEX(Surface_Engine!$B$12:$B$72,$A1065+1)+H1066</f>
        <v>0.0364211112888733</v>
      </c>
      <c r="I1065" s="48" t="n">
        <f aca="false">E1065*(IF($A1065&lt;$Q$1014,INDEX(Surface_Engine!$D$12:$D$72,$A1065+1)+(Surface_Engine!B246*12)*INDEX(Surface_Engine!$F$12:$F$72,$A1065+1)-(Surface_Engine!B246*12),1000*12*INDEX(Surface_Engine!$C$12:$C$72,$A1065+1)/(1+Assumptions!$B$10)^5+INDEX(Surface_Engine!$D$12:$D$72,$A1065+1)))*INDEX(Surface_Engine!$B$12:$B$72,$A1065+1)+I1066</f>
        <v>0.0404510944234781</v>
      </c>
      <c r="J1065" s="48" t="n">
        <f aca="false">B1065*(IF($A1065&lt;$Q$1014,INDEX(Surface_Engine!$D$12:$D$72,$A1065+1)*(1+Assumptions!$B$24)+(Surface_Engine!B246*12)*INDEX(Surface_Engine!$F$12:$F$72,$A1065+1)-(Surface_Engine!B246*12),1000*12*INDEX(Surface_Engine!$C$12:$C$72,$A1065+1)/(1+Assumptions!$B$10)^5+INDEX(Surface_Engine!$D$12:$D$72,$A1065+1)*(1+Assumptions!$B$24)))*INDEX(Surface_Engine!$B$12:$B$72,$A1065+1)+J1066</f>
        <v>0.0384333348944409</v>
      </c>
      <c r="K1065" s="12" t="n">
        <f aca="false">SQRT((IF(C1065&lt;=0,0,MAX(0,(B1065/C1065)*G1065/INDEX(Surface_Engine!$B$12:$B$72,$A1065+1)-F1065/INDEX(Surface_Engine!$B$12:$B$72,$A1065+1))))^2+(MAX(IF(D1065&lt;=0,0,MAX(0,(B1065/D1065)*H1065/INDEX(Surface_Engine!$B$12:$B$72,$A1065+1)-F1065/INDEX(Surface_Engine!$B$12:$B$72,$A1065+1))),IF(E1065&lt;=0,0,MAX(0,(B1065/E1065)*I1065/INDEX(Surface_Engine!$B$12:$B$72,$A1065+1)-F1065/INDEX(Surface_Engine!$B$12:$B$72,$A1065+1))),IF($A1065&lt;$Q$1014,MAX(0,-Assumptions!$B$22*(F1065/INDEX(Surface_Engine!$B$12:$B$72,$A1065+1))),0)))^2+(MAX(0,J1065/INDEX(Surface_Engine!$B$12:$B$72,$A1065+1)-(F1065/INDEX(Surface_Engine!$B$12:$B$72,$A1065+1))))^2+2*Assumptions!$B$26*(IF(C1065&lt;=0,0,MAX(0,(B1065/C1065)*G1065/INDEX(Surface_Engine!$B$12:$B$72,$A1065+1)-F1065/INDEX(Surface_Engine!$B$12:$B$72,$A1065+1))))*(MAX(IF(D1065&lt;=0,0,MAX(0,(B1065/D1065)*H1065/INDEX(Surface_Engine!$B$12:$B$72,$A1065+1)-F1065/INDEX(Surface_Engine!$B$12:$B$72,$A1065+1))),IF(E1065&lt;=0,0,MAX(0,(B1065/E1065)*I1065/INDEX(Surface_Engine!$B$12:$B$72,$A1065+1)-F1065/INDEX(Surface_Engine!$B$12:$B$72,$A1065+1))),IF($A1065&lt;$Q$1014,MAX(0,-Assumptions!$B$22*(F1065/INDEX(Surface_Engine!$B$12:$B$72,$A1065+1))),0)))+2*Assumptions!$B$27*(IF(C1065&lt;=0,0,MAX(0,(B1065/C1065)*G1065/INDEX(Surface_Engine!$B$12:$B$72,$A1065+1)-F1065/INDEX(Surface_Engine!$B$12:$B$72,$A1065+1))))*(MAX(0,J1065/INDEX(Surface_Engine!$B$12:$B$72,$A1065+1)-(F1065/INDEX(Surface_Engine!$B$12:$B$72,$A1065+1))))+2*Assumptions!$B$28*(MAX(IF(D1065&lt;=0,0,MAX(0,(B1065/D1065)*H1065/INDEX(Surface_Engine!$B$12:$B$72,$A1065+1)-F1065/INDEX(Surface_Engine!$B$12:$B$72,$A1065+1))),IF(E1065&lt;=0,0,MAX(0,(B1065/E1065)*I1065/INDEX(Surface_Engine!$B$12:$B$72,$A1065+1)-F1065/INDEX(Surface_Engine!$B$12:$B$72,$A1065+1))),IF($A1065&lt;$Q$1014,MAX(0,-Assumptions!$B$22*(F1065/INDEX(Surface_Engine!$B$12:$B$72,$A1065+1))),0)))*(MAX(0,J1065/INDEX(Surface_Engine!$B$12:$B$72,$A1065+1)-(F1065/INDEX(Surface_Engine!$B$12:$B$72,$A1065+1)))))</f>
        <v>0.0151433200379134</v>
      </c>
      <c r="L1065" s="48" t="n">
        <f aca="false">K1065*INDEX(Surface_Engine!$B$12:$B$72,$A1065+1)+L1066</f>
        <v>0.00322438642981906</v>
      </c>
      <c r="M1065" s="48" t="n">
        <f aca="false">M1064+B1064*(IF($A1064&lt;$Q$1014,(Surface_Engine!B246*12)-(Surface_Engine!B246*12)*INDEX(Surface_Engine!$F$12:$F$72,$A1064+1)-INDEX(Surface_Engine!$D$12:$D$72,$A1064+1),-(1000*12*INDEX(Surface_Engine!$C$12:$C$72,$A1064+1)/(1+Assumptions!$B$10)^5+INDEX(Surface_Engine!$D$12:$D$72,$A1064+1))))*INDEX(Surface_Engine!$B$12:$B$72,$A1064+1)</f>
        <v>5433.99777649009</v>
      </c>
      <c r="N1065" s="12" t="n">
        <f aca="false">IF(B1065&lt;=0,0,MAX(0,(K1065+Assumptions!$B$29*L1065/INDEX(Surface_Engine!$B$12:$B$72,$A1065+1)-(M1065/INDEX(Surface_Engine!$B$12:$B$72,$A1065+1)-(F1065/INDEX(Surface_Engine!$B$12:$B$72,$A1065+1))))/B1065))</f>
        <v>0</v>
      </c>
    </row>
    <row r="1066" customFormat="false" ht="15" hidden="false" customHeight="true" outlineLevel="0" collapsed="false">
      <c r="A1066" s="1" t="n">
        <v>50</v>
      </c>
      <c r="B1066" s="32" t="n">
        <f aca="false">INDEX(Surface_Engine!$Q$12:$Q$72,$A1066+1)*IF($A1066&lt;$Q$1014,INDEX(Surface_Engine!$E$12:$E$72,$A1066+1),INDEX(Surface_Engine!$E$12:$E$72,$Q$1014+1))</f>
        <v>1.81519781557911E-006</v>
      </c>
      <c r="C1066" s="32" t="n">
        <f aca="false">INDEX(Panel_Reserving!$F$8:$F$68,$A1066+1)*IF($A1066&lt;$Q$1014,INDEX(Surface_Engine!$E$12:$E$72,$A1066+1),INDEX(Surface_Engine!$E$12:$E$72,$Q$1014+1))</f>
        <v>4.76612334141146E-005</v>
      </c>
      <c r="D1066" s="32" t="n">
        <f aca="false">INDEX(Surface_Engine!$Q$12:$Q$72,$A1066+1)*IF($A1066&lt;$Q$1014,INDEX(Surface_Engine!$Y$12:$Y$72,$A1066+1),INDEX(Surface_Engine!$Y$12:$Y$72,$Q$1014+1))</f>
        <v>1.7217967213888E-006</v>
      </c>
      <c r="E1066" s="32" t="n">
        <f aca="false">INDEX(Surface_Engine!$Q$12:$Q$72,$A1066+1)*IF($A1066&lt;$Q$1014,INDEX(Surface_Engine!$Z$12:$Z$72,$A1066+1),INDEX(Surface_Engine!$Z$12:$Z$72,$Q$1014+1))</f>
        <v>1.91231292209942E-006</v>
      </c>
      <c r="F1066" s="48" t="n">
        <f aca="false">B1066*(IF($A1066&lt;$Q$1014,INDEX(Surface_Engine!$D$12:$D$72,$A1066+1)+(Surface_Engine!B246*12)*INDEX(Surface_Engine!$F$12:$F$72,$A1066+1)-(Surface_Engine!B246*12),1000*12*INDEX(Surface_Engine!$C$12:$C$72,$A1066+1)/(1+Assumptions!$B$10)^5+INDEX(Surface_Engine!$D$12:$D$72,$A1066+1)))*INDEX(Surface_Engine!$B$12:$B$72,$A1066+1)+F1067</f>
        <v>0.0110135108789267</v>
      </c>
      <c r="G1066" s="48" t="n">
        <f aca="false">C1066*(IF($A1066&lt;$Q$1014,INDEX(Surface_Engine!$D$12:$D$72,$A1066+1)+(Surface_Engine!B246*12)*INDEX(Surface_Engine!$F$12:$F$72,$A1066+1)-(Surface_Engine!B246*12),1000*12*INDEX(Surface_Engine!$C$12:$C$72,$A1066+1)/(1+Assumptions!$B$10)^5+INDEX(Surface_Engine!$D$12:$D$72,$A1066+1)))*INDEX(Surface_Engine!$B$12:$B$72,$A1066+1)+G1067</f>
        <v>0.289179233361928</v>
      </c>
      <c r="H1066" s="48" t="n">
        <f aca="false">D1066*(IF($A1066&lt;$Q$1014,INDEX(Surface_Engine!$D$12:$D$72,$A1066+1)+(Surface_Engine!B246*12)*INDEX(Surface_Engine!$F$12:$F$72,$A1066+1)-(Surface_Engine!B246*12),1000*12*INDEX(Surface_Engine!$C$12:$C$72,$A1066+1)/(1+Assumptions!$B$10)^5+INDEX(Surface_Engine!$D$12:$D$72,$A1066+1)))*INDEX(Surface_Engine!$B$12:$B$72,$A1066+1)+H1067</f>
        <v>0.0104468101270087</v>
      </c>
      <c r="I1066" s="48" t="n">
        <f aca="false">E1066*(IF($A1066&lt;$Q$1014,INDEX(Surface_Engine!$D$12:$D$72,$A1066+1)+(Surface_Engine!B246*12)*INDEX(Surface_Engine!$F$12:$F$72,$A1066+1)-(Surface_Engine!B246*12),1000*12*INDEX(Surface_Engine!$C$12:$C$72,$A1066+1)/(1+Assumptions!$B$10)^5+INDEX(Surface_Engine!$D$12:$D$72,$A1066+1)))*INDEX(Surface_Engine!$B$12:$B$72,$A1066+1)+I1067</f>
        <v>0.0116027459876238</v>
      </c>
      <c r="J1066" s="48" t="n">
        <f aca="false">B1066*(IF($A1066&lt;$Q$1014,INDEX(Surface_Engine!$D$12:$D$72,$A1066+1)*(1+Assumptions!$B$24)+(Surface_Engine!B246*12)*INDEX(Surface_Engine!$F$12:$F$72,$A1066+1)-(Surface_Engine!B246*12),1000*12*INDEX(Surface_Engine!$C$12:$C$72,$A1066+1)/(1+Assumptions!$B$10)^5+INDEX(Surface_Engine!$D$12:$D$72,$A1066+1)*(1+Assumptions!$B$24)))*INDEX(Surface_Engine!$B$12:$B$72,$A1066+1)+J1067</f>
        <v>0.0110240203256937</v>
      </c>
      <c r="K1066" s="12" t="n">
        <f aca="false">SQRT((IF(C1066&lt;=0,0,MAX(0,(B1066/C1066)*G1066/INDEX(Surface_Engine!$B$12:$B$72,$A1066+1)-F1066/INDEX(Surface_Engine!$B$12:$B$72,$A1066+1))))^2+(MAX(IF(D1066&lt;=0,0,MAX(0,(B1066/D1066)*H1066/INDEX(Surface_Engine!$B$12:$B$72,$A1066+1)-F1066/INDEX(Surface_Engine!$B$12:$B$72,$A1066+1))),IF(E1066&lt;=0,0,MAX(0,(B1066/E1066)*I1066/INDEX(Surface_Engine!$B$12:$B$72,$A1066+1)-F1066/INDEX(Surface_Engine!$B$12:$B$72,$A1066+1))),IF($A1066&lt;$Q$1014,MAX(0,-Assumptions!$B$22*(F1066/INDEX(Surface_Engine!$B$12:$B$72,$A1066+1))),0)))^2+(MAX(0,J1066/INDEX(Surface_Engine!$B$12:$B$72,$A1066+1)-(F1066/INDEX(Surface_Engine!$B$12:$B$72,$A1066+1))))^2+2*Assumptions!$B$26*(IF(C1066&lt;=0,0,MAX(0,(B1066/C1066)*G1066/INDEX(Surface_Engine!$B$12:$B$72,$A1066+1)-F1066/INDEX(Surface_Engine!$B$12:$B$72,$A1066+1))))*(MAX(IF(D1066&lt;=0,0,MAX(0,(B1066/D1066)*H1066/INDEX(Surface_Engine!$B$12:$B$72,$A1066+1)-F1066/INDEX(Surface_Engine!$B$12:$B$72,$A1066+1))),IF(E1066&lt;=0,0,MAX(0,(B1066/E1066)*I1066/INDEX(Surface_Engine!$B$12:$B$72,$A1066+1)-F1066/INDEX(Surface_Engine!$B$12:$B$72,$A1066+1))),IF($A1066&lt;$Q$1014,MAX(0,-Assumptions!$B$22*(F1066/INDEX(Surface_Engine!$B$12:$B$72,$A1066+1))),0)))+2*Assumptions!$B$27*(IF(C1066&lt;=0,0,MAX(0,(B1066/C1066)*G1066/INDEX(Surface_Engine!$B$12:$B$72,$A1066+1)-F1066/INDEX(Surface_Engine!$B$12:$B$72,$A1066+1))))*(MAX(0,J1066/INDEX(Surface_Engine!$B$12:$B$72,$A1066+1)-(F1066/INDEX(Surface_Engine!$B$12:$B$72,$A1066+1))))+2*Assumptions!$B$28*(MAX(IF(D1066&lt;=0,0,MAX(0,(B1066/D1066)*H1066/INDEX(Surface_Engine!$B$12:$B$72,$A1066+1)-F1066/INDEX(Surface_Engine!$B$12:$B$72,$A1066+1))),IF(E1066&lt;=0,0,MAX(0,(B1066/E1066)*I1066/INDEX(Surface_Engine!$B$12:$B$72,$A1066+1)-F1066/INDEX(Surface_Engine!$B$12:$B$72,$A1066+1))),IF($A1066&lt;$Q$1014,MAX(0,-Assumptions!$B$22*(F1066/INDEX(Surface_Engine!$B$12:$B$72,$A1066+1))),0)))*(MAX(0,J1066/INDEX(Surface_Engine!$B$12:$B$72,$A1066+1)-(F1066/INDEX(Surface_Engine!$B$12:$B$72,$A1066+1)))))</f>
        <v>5.11600643672769E-005</v>
      </c>
      <c r="L1066" s="48" t="n">
        <f aca="false">K1066*INDEX(Surface_Engine!$B$12:$B$72,$A1066+1)+L1067</f>
        <v>1.05094467669797E-005</v>
      </c>
      <c r="M1066" s="48" t="n">
        <f aca="false">M1065+B1065*(IF($A1065&lt;$Q$1014,(Surface_Engine!B246*12)-(Surface_Engine!B246*12)*INDEX(Surface_Engine!$F$12:$F$72,$A1065+1)-INDEX(Surface_Engine!$D$12:$D$72,$A1065+1),-(1000*12*INDEX(Surface_Engine!$C$12:$C$72,$A1065+1)/(1+Assumptions!$B$10)^5+INDEX(Surface_Engine!$D$12:$D$72,$A1065+1))))*INDEX(Surface_Engine!$B$12:$B$72,$A1065+1)</f>
        <v>5433.9703931793</v>
      </c>
      <c r="N1066" s="12" t="n">
        <f aca="false">IF(B1066&lt;=0,0,MAX(0,(K1066+Assumptions!$B$29*L1066/INDEX(Surface_Engine!$B$12:$B$72,$A1066+1)-(M1066/INDEX(Surface_Engine!$B$12:$B$72,$A1066+1)-(F1066/INDEX(Surface_Engine!$B$12:$B$72,$A1066+1))))/B1066))</f>
        <v>0</v>
      </c>
    </row>
    <row r="1067" customFormat="false" ht="15" hidden="false" customHeight="true" outlineLevel="0" collapsed="false">
      <c r="A1067" s="1" t="n">
        <v>51</v>
      </c>
      <c r="B1067" s="32" t="n">
        <f aca="false">INDEX(Surface_Engine!$Q$12:$Q$72,$A1067+1)*IF($A1067&lt;$Q$1014,INDEX(Surface_Engine!$E$12:$E$72,$A1067+1),INDEX(Surface_Engine!$E$12:$E$72,$Q$1014+1))</f>
        <v>0</v>
      </c>
      <c r="C1067" s="32" t="n">
        <f aca="false">INDEX(Panel_Reserving!$F$8:$F$68,$A1067+1)*IF($A1067&lt;$Q$1014,INDEX(Surface_Engine!$E$12:$E$72,$A1067+1),INDEX(Surface_Engine!$E$12:$E$72,$Q$1014+1))</f>
        <v>0</v>
      </c>
      <c r="D1067" s="32" t="n">
        <f aca="false">INDEX(Surface_Engine!$Q$12:$Q$72,$A1067+1)*IF($A1067&lt;$Q$1014,INDEX(Surface_Engine!$Y$12:$Y$72,$A1067+1),INDEX(Surface_Engine!$Y$12:$Y$72,$Q$1014+1))</f>
        <v>0</v>
      </c>
      <c r="E1067" s="32" t="n">
        <f aca="false">INDEX(Surface_Engine!$Q$12:$Q$72,$A1067+1)*IF($A1067&lt;$Q$1014,INDEX(Surface_Engine!$Z$12:$Z$72,$A1067+1),INDEX(Surface_Engine!$Z$12:$Z$72,$Q$1014+1))</f>
        <v>0</v>
      </c>
      <c r="F1067" s="48" t="n">
        <f aca="false">B1067*(IF($A1067&lt;$Q$1014,INDEX(Surface_Engine!$D$12:$D$72,$A1067+1)+(Surface_Engine!B246*12)*INDEX(Surface_Engine!$F$12:$F$72,$A1067+1)-(Surface_Engine!B246*12),1000*12*INDEX(Surface_Engine!$C$12:$C$72,$A1067+1)/(1+Assumptions!$B$10)^5+INDEX(Surface_Engine!$D$12:$D$72,$A1067+1)))*INDEX(Surface_Engine!$B$12:$B$72,$A1067+1)+F1068</f>
        <v>0</v>
      </c>
      <c r="G1067" s="48" t="n">
        <f aca="false">C1067*(IF($A1067&lt;$Q$1014,INDEX(Surface_Engine!$D$12:$D$72,$A1067+1)+(Surface_Engine!B246*12)*INDEX(Surface_Engine!$F$12:$F$72,$A1067+1)-(Surface_Engine!B246*12),1000*12*INDEX(Surface_Engine!$C$12:$C$72,$A1067+1)/(1+Assumptions!$B$10)^5+INDEX(Surface_Engine!$D$12:$D$72,$A1067+1)))*INDEX(Surface_Engine!$B$12:$B$72,$A1067+1)+G1068</f>
        <v>0</v>
      </c>
      <c r="H1067" s="48" t="n">
        <f aca="false">D1067*(IF($A1067&lt;$Q$1014,INDEX(Surface_Engine!$D$12:$D$72,$A1067+1)+(Surface_Engine!B246*12)*INDEX(Surface_Engine!$F$12:$F$72,$A1067+1)-(Surface_Engine!B246*12),1000*12*INDEX(Surface_Engine!$C$12:$C$72,$A1067+1)/(1+Assumptions!$B$10)^5+INDEX(Surface_Engine!$D$12:$D$72,$A1067+1)))*INDEX(Surface_Engine!$B$12:$B$72,$A1067+1)+H1068</f>
        <v>0</v>
      </c>
      <c r="I1067" s="48" t="n">
        <f aca="false">E1067*(IF($A1067&lt;$Q$1014,INDEX(Surface_Engine!$D$12:$D$72,$A1067+1)+(Surface_Engine!B246*12)*INDEX(Surface_Engine!$F$12:$F$72,$A1067+1)-(Surface_Engine!B246*12),1000*12*INDEX(Surface_Engine!$C$12:$C$72,$A1067+1)/(1+Assumptions!$B$10)^5+INDEX(Surface_Engine!$D$12:$D$72,$A1067+1)))*INDEX(Surface_Engine!$B$12:$B$72,$A1067+1)+I1068</f>
        <v>0</v>
      </c>
      <c r="J1067" s="48" t="n">
        <f aca="false">B1067*(IF($A1067&lt;$Q$1014,INDEX(Surface_Engine!$D$12:$D$72,$A1067+1)*(1+Assumptions!$B$24)+(Surface_Engine!B246*12)*INDEX(Surface_Engine!$F$12:$F$72,$A1067+1)-(Surface_Engine!B246*12),1000*12*INDEX(Surface_Engine!$C$12:$C$72,$A1067+1)/(1+Assumptions!$B$10)^5+INDEX(Surface_Engine!$D$12:$D$72,$A1067+1)*(1+Assumptions!$B$24)))*INDEX(Surface_Engine!$B$12:$B$72,$A1067+1)+J1068</f>
        <v>0</v>
      </c>
      <c r="K1067" s="12" t="n">
        <f aca="false">SQRT((IF(C1067&lt;=0,0,MAX(0,(B1067/C1067)*G1067/INDEX(Surface_Engine!$B$12:$B$72,$A1067+1)-F1067/INDEX(Surface_Engine!$B$12:$B$72,$A1067+1))))^2+(MAX(IF(D1067&lt;=0,0,MAX(0,(B1067/D1067)*H1067/INDEX(Surface_Engine!$B$12:$B$72,$A1067+1)-F1067/INDEX(Surface_Engine!$B$12:$B$72,$A1067+1))),IF(E1067&lt;=0,0,MAX(0,(B1067/E1067)*I1067/INDEX(Surface_Engine!$B$12:$B$72,$A1067+1)-F1067/INDEX(Surface_Engine!$B$12:$B$72,$A1067+1))),IF($A1067&lt;$Q$1014,MAX(0,-Assumptions!$B$22*(F1067/INDEX(Surface_Engine!$B$12:$B$72,$A1067+1))),0)))^2+(MAX(0,J1067/INDEX(Surface_Engine!$B$12:$B$72,$A1067+1)-(F1067/INDEX(Surface_Engine!$B$12:$B$72,$A1067+1))))^2+2*Assumptions!$B$26*(IF(C1067&lt;=0,0,MAX(0,(B1067/C1067)*G1067/INDEX(Surface_Engine!$B$12:$B$72,$A1067+1)-F1067/INDEX(Surface_Engine!$B$12:$B$72,$A1067+1))))*(MAX(IF(D1067&lt;=0,0,MAX(0,(B1067/D1067)*H1067/INDEX(Surface_Engine!$B$12:$B$72,$A1067+1)-F1067/INDEX(Surface_Engine!$B$12:$B$72,$A1067+1))),IF(E1067&lt;=0,0,MAX(0,(B1067/E1067)*I1067/INDEX(Surface_Engine!$B$12:$B$72,$A1067+1)-F1067/INDEX(Surface_Engine!$B$12:$B$72,$A1067+1))),IF($A1067&lt;$Q$1014,MAX(0,-Assumptions!$B$22*(F1067/INDEX(Surface_Engine!$B$12:$B$72,$A1067+1))),0)))+2*Assumptions!$B$27*(IF(C1067&lt;=0,0,MAX(0,(B1067/C1067)*G1067/INDEX(Surface_Engine!$B$12:$B$72,$A1067+1)-F1067/INDEX(Surface_Engine!$B$12:$B$72,$A1067+1))))*(MAX(0,J1067/INDEX(Surface_Engine!$B$12:$B$72,$A1067+1)-(F1067/INDEX(Surface_Engine!$B$12:$B$72,$A1067+1))))+2*Assumptions!$B$28*(MAX(IF(D1067&lt;=0,0,MAX(0,(B1067/D1067)*H1067/INDEX(Surface_Engine!$B$12:$B$72,$A1067+1)-F1067/INDEX(Surface_Engine!$B$12:$B$72,$A1067+1))),IF(E1067&lt;=0,0,MAX(0,(B1067/E1067)*I1067/INDEX(Surface_Engine!$B$12:$B$72,$A1067+1)-F1067/INDEX(Surface_Engine!$B$12:$B$72,$A1067+1))),IF($A1067&lt;$Q$1014,MAX(0,-Assumptions!$B$22*(F1067/INDEX(Surface_Engine!$B$12:$B$72,$A1067+1))),0)))*(MAX(0,J1067/INDEX(Surface_Engine!$B$12:$B$72,$A1067+1)-(F1067/INDEX(Surface_Engine!$B$12:$B$72,$A1067+1)))))</f>
        <v>0</v>
      </c>
      <c r="L1067" s="48" t="n">
        <f aca="false">K1067*INDEX(Surface_Engine!$B$12:$B$72,$A1067+1)+L1068</f>
        <v>0</v>
      </c>
      <c r="M1067" s="48" t="n">
        <f aca="false">M1066+B1066*(IF($A1066&lt;$Q$1014,(Surface_Engine!B246*12)-(Surface_Engine!B246*12)*INDEX(Surface_Engine!$F$12:$F$72,$A1066+1)-INDEX(Surface_Engine!$D$12:$D$72,$A1066+1),-(1000*12*INDEX(Surface_Engine!$C$12:$C$72,$A1066+1)/(1+Assumptions!$B$10)^5+INDEX(Surface_Engine!$D$12:$D$72,$A1066+1))))*INDEX(Surface_Engine!$B$12:$B$72,$A1066+1)</f>
        <v>5433.95937966842</v>
      </c>
      <c r="N1067" s="12" t="n">
        <f aca="false">IF(B1067&lt;=0,0,MAX(0,(K1067+Assumptions!$B$29*L1067/INDEX(Surface_Engine!$B$12:$B$72,$A1067+1)-(M1067/INDEX(Surface_Engine!$B$12:$B$72,$A1067+1)-(F1067/INDEX(Surface_Engine!$B$12:$B$72,$A1067+1))))/B1067))</f>
        <v>0</v>
      </c>
    </row>
    <row r="1068" customFormat="false" ht="15" hidden="false" customHeight="true" outlineLevel="0" collapsed="false">
      <c r="A1068" s="1" t="n">
        <v>52</v>
      </c>
      <c r="B1068" s="32" t="n">
        <f aca="false">INDEX(Surface_Engine!$Q$12:$Q$72,$A1068+1)*IF($A1068&lt;$Q$1014,INDEX(Surface_Engine!$E$12:$E$72,$A1068+1),INDEX(Surface_Engine!$E$12:$E$72,$Q$1014+1))</f>
        <v>0</v>
      </c>
      <c r="C1068" s="32" t="n">
        <f aca="false">INDEX(Panel_Reserving!$F$8:$F$68,$A1068+1)*IF($A1068&lt;$Q$1014,INDEX(Surface_Engine!$E$12:$E$72,$A1068+1),INDEX(Surface_Engine!$E$12:$E$72,$Q$1014+1))</f>
        <v>0</v>
      </c>
      <c r="D1068" s="32" t="n">
        <f aca="false">INDEX(Surface_Engine!$Q$12:$Q$72,$A1068+1)*IF($A1068&lt;$Q$1014,INDEX(Surface_Engine!$Y$12:$Y$72,$A1068+1),INDEX(Surface_Engine!$Y$12:$Y$72,$Q$1014+1))</f>
        <v>0</v>
      </c>
      <c r="E1068" s="32" t="n">
        <f aca="false">INDEX(Surface_Engine!$Q$12:$Q$72,$A1068+1)*IF($A1068&lt;$Q$1014,INDEX(Surface_Engine!$Z$12:$Z$72,$A1068+1),INDEX(Surface_Engine!$Z$12:$Z$72,$Q$1014+1))</f>
        <v>0</v>
      </c>
      <c r="F1068" s="48" t="n">
        <f aca="false">B1068*(IF($A1068&lt;$Q$1014,INDEX(Surface_Engine!$D$12:$D$72,$A1068+1)+(Surface_Engine!B246*12)*INDEX(Surface_Engine!$F$12:$F$72,$A1068+1)-(Surface_Engine!B246*12),1000*12*INDEX(Surface_Engine!$C$12:$C$72,$A1068+1)/(1+Assumptions!$B$10)^5+INDEX(Surface_Engine!$D$12:$D$72,$A1068+1)))*INDEX(Surface_Engine!$B$12:$B$72,$A1068+1)+F1069</f>
        <v>0</v>
      </c>
      <c r="G1068" s="48" t="n">
        <f aca="false">C1068*(IF($A1068&lt;$Q$1014,INDEX(Surface_Engine!$D$12:$D$72,$A1068+1)+(Surface_Engine!B246*12)*INDEX(Surface_Engine!$F$12:$F$72,$A1068+1)-(Surface_Engine!B246*12),1000*12*INDEX(Surface_Engine!$C$12:$C$72,$A1068+1)/(1+Assumptions!$B$10)^5+INDEX(Surface_Engine!$D$12:$D$72,$A1068+1)))*INDEX(Surface_Engine!$B$12:$B$72,$A1068+1)+G1069</f>
        <v>0</v>
      </c>
      <c r="H1068" s="48" t="n">
        <f aca="false">D1068*(IF($A1068&lt;$Q$1014,INDEX(Surface_Engine!$D$12:$D$72,$A1068+1)+(Surface_Engine!B246*12)*INDEX(Surface_Engine!$F$12:$F$72,$A1068+1)-(Surface_Engine!B246*12),1000*12*INDEX(Surface_Engine!$C$12:$C$72,$A1068+1)/(1+Assumptions!$B$10)^5+INDEX(Surface_Engine!$D$12:$D$72,$A1068+1)))*INDEX(Surface_Engine!$B$12:$B$72,$A1068+1)+H1069</f>
        <v>0</v>
      </c>
      <c r="I1068" s="48" t="n">
        <f aca="false">E1068*(IF($A1068&lt;$Q$1014,INDEX(Surface_Engine!$D$12:$D$72,$A1068+1)+(Surface_Engine!B246*12)*INDEX(Surface_Engine!$F$12:$F$72,$A1068+1)-(Surface_Engine!B246*12),1000*12*INDEX(Surface_Engine!$C$12:$C$72,$A1068+1)/(1+Assumptions!$B$10)^5+INDEX(Surface_Engine!$D$12:$D$72,$A1068+1)))*INDEX(Surface_Engine!$B$12:$B$72,$A1068+1)+I1069</f>
        <v>0</v>
      </c>
      <c r="J1068" s="48" t="n">
        <f aca="false">B1068*(IF($A1068&lt;$Q$1014,INDEX(Surface_Engine!$D$12:$D$72,$A1068+1)*(1+Assumptions!$B$24)+(Surface_Engine!B246*12)*INDEX(Surface_Engine!$F$12:$F$72,$A1068+1)-(Surface_Engine!B246*12),1000*12*INDEX(Surface_Engine!$C$12:$C$72,$A1068+1)/(1+Assumptions!$B$10)^5+INDEX(Surface_Engine!$D$12:$D$72,$A1068+1)*(1+Assumptions!$B$24)))*INDEX(Surface_Engine!$B$12:$B$72,$A1068+1)+J1069</f>
        <v>0</v>
      </c>
      <c r="K1068" s="12" t="n">
        <f aca="false">SQRT((IF(C1068&lt;=0,0,MAX(0,(B1068/C1068)*G1068/INDEX(Surface_Engine!$B$12:$B$72,$A1068+1)-F1068/INDEX(Surface_Engine!$B$12:$B$72,$A1068+1))))^2+(MAX(IF(D1068&lt;=0,0,MAX(0,(B1068/D1068)*H1068/INDEX(Surface_Engine!$B$12:$B$72,$A1068+1)-F1068/INDEX(Surface_Engine!$B$12:$B$72,$A1068+1))),IF(E1068&lt;=0,0,MAX(0,(B1068/E1068)*I1068/INDEX(Surface_Engine!$B$12:$B$72,$A1068+1)-F1068/INDEX(Surface_Engine!$B$12:$B$72,$A1068+1))),IF($A1068&lt;$Q$1014,MAX(0,-Assumptions!$B$22*(F1068/INDEX(Surface_Engine!$B$12:$B$72,$A1068+1))),0)))^2+(MAX(0,J1068/INDEX(Surface_Engine!$B$12:$B$72,$A1068+1)-(F1068/INDEX(Surface_Engine!$B$12:$B$72,$A1068+1))))^2+2*Assumptions!$B$26*(IF(C1068&lt;=0,0,MAX(0,(B1068/C1068)*G1068/INDEX(Surface_Engine!$B$12:$B$72,$A1068+1)-F1068/INDEX(Surface_Engine!$B$12:$B$72,$A1068+1))))*(MAX(IF(D1068&lt;=0,0,MAX(0,(B1068/D1068)*H1068/INDEX(Surface_Engine!$B$12:$B$72,$A1068+1)-F1068/INDEX(Surface_Engine!$B$12:$B$72,$A1068+1))),IF(E1068&lt;=0,0,MAX(0,(B1068/E1068)*I1068/INDEX(Surface_Engine!$B$12:$B$72,$A1068+1)-F1068/INDEX(Surface_Engine!$B$12:$B$72,$A1068+1))),IF($A1068&lt;$Q$1014,MAX(0,-Assumptions!$B$22*(F1068/INDEX(Surface_Engine!$B$12:$B$72,$A1068+1))),0)))+2*Assumptions!$B$27*(IF(C1068&lt;=0,0,MAX(0,(B1068/C1068)*G1068/INDEX(Surface_Engine!$B$12:$B$72,$A1068+1)-F1068/INDEX(Surface_Engine!$B$12:$B$72,$A1068+1))))*(MAX(0,J1068/INDEX(Surface_Engine!$B$12:$B$72,$A1068+1)-(F1068/INDEX(Surface_Engine!$B$12:$B$72,$A1068+1))))+2*Assumptions!$B$28*(MAX(IF(D1068&lt;=0,0,MAX(0,(B1068/D1068)*H1068/INDEX(Surface_Engine!$B$12:$B$72,$A1068+1)-F1068/INDEX(Surface_Engine!$B$12:$B$72,$A1068+1))),IF(E1068&lt;=0,0,MAX(0,(B1068/E1068)*I1068/INDEX(Surface_Engine!$B$12:$B$72,$A1068+1)-F1068/INDEX(Surface_Engine!$B$12:$B$72,$A1068+1))),IF($A1068&lt;$Q$1014,MAX(0,-Assumptions!$B$22*(F1068/INDEX(Surface_Engine!$B$12:$B$72,$A1068+1))),0)))*(MAX(0,J1068/INDEX(Surface_Engine!$B$12:$B$72,$A1068+1)-(F1068/INDEX(Surface_Engine!$B$12:$B$72,$A1068+1)))))</f>
        <v>0</v>
      </c>
      <c r="L1068" s="48" t="n">
        <f aca="false">K1068*INDEX(Surface_Engine!$B$12:$B$72,$A1068+1)+L1069</f>
        <v>0</v>
      </c>
      <c r="M1068" s="48" t="n">
        <f aca="false">M1067+B1067*(IF($A1067&lt;$Q$1014,(Surface_Engine!B246*12)-(Surface_Engine!B246*12)*INDEX(Surface_Engine!$F$12:$F$72,$A1067+1)-INDEX(Surface_Engine!$D$12:$D$72,$A1067+1),-(1000*12*INDEX(Surface_Engine!$C$12:$C$72,$A1067+1)/(1+Assumptions!$B$10)^5+INDEX(Surface_Engine!$D$12:$D$72,$A1067+1))))*INDEX(Surface_Engine!$B$12:$B$72,$A1067+1)</f>
        <v>5433.95937966842</v>
      </c>
      <c r="N1068" s="12" t="n">
        <f aca="false">IF(B1068&lt;=0,0,MAX(0,(K1068+Assumptions!$B$29*L1068/INDEX(Surface_Engine!$B$12:$B$72,$A1068+1)-(M1068/INDEX(Surface_Engine!$B$12:$B$72,$A1068+1)-(F1068/INDEX(Surface_Engine!$B$12:$B$72,$A1068+1))))/B1068))</f>
        <v>0</v>
      </c>
    </row>
    <row r="1069" customFormat="false" ht="15" hidden="false" customHeight="true" outlineLevel="0" collapsed="false">
      <c r="A1069" s="1" t="n">
        <v>53</v>
      </c>
      <c r="B1069" s="32" t="n">
        <f aca="false">INDEX(Surface_Engine!$Q$12:$Q$72,$A1069+1)*IF($A1069&lt;$Q$1014,INDEX(Surface_Engine!$E$12:$E$72,$A1069+1),INDEX(Surface_Engine!$E$12:$E$72,$Q$1014+1))</f>
        <v>0</v>
      </c>
      <c r="C1069" s="32" t="n">
        <f aca="false">INDEX(Panel_Reserving!$F$8:$F$68,$A1069+1)*IF($A1069&lt;$Q$1014,INDEX(Surface_Engine!$E$12:$E$72,$A1069+1),INDEX(Surface_Engine!$E$12:$E$72,$Q$1014+1))</f>
        <v>0</v>
      </c>
      <c r="D1069" s="32" t="n">
        <f aca="false">INDEX(Surface_Engine!$Q$12:$Q$72,$A1069+1)*IF($A1069&lt;$Q$1014,INDEX(Surface_Engine!$Y$12:$Y$72,$A1069+1),INDEX(Surface_Engine!$Y$12:$Y$72,$Q$1014+1))</f>
        <v>0</v>
      </c>
      <c r="E1069" s="32" t="n">
        <f aca="false">INDEX(Surface_Engine!$Q$12:$Q$72,$A1069+1)*IF($A1069&lt;$Q$1014,INDEX(Surface_Engine!$Z$12:$Z$72,$A1069+1),INDEX(Surface_Engine!$Z$12:$Z$72,$Q$1014+1))</f>
        <v>0</v>
      </c>
      <c r="F1069" s="48" t="n">
        <f aca="false">B1069*(IF($A1069&lt;$Q$1014,INDEX(Surface_Engine!$D$12:$D$72,$A1069+1)+(Surface_Engine!B246*12)*INDEX(Surface_Engine!$F$12:$F$72,$A1069+1)-(Surface_Engine!B246*12),1000*12*INDEX(Surface_Engine!$C$12:$C$72,$A1069+1)/(1+Assumptions!$B$10)^5+INDEX(Surface_Engine!$D$12:$D$72,$A1069+1)))*INDEX(Surface_Engine!$B$12:$B$72,$A1069+1)+F1070</f>
        <v>0</v>
      </c>
      <c r="G1069" s="48" t="n">
        <f aca="false">C1069*(IF($A1069&lt;$Q$1014,INDEX(Surface_Engine!$D$12:$D$72,$A1069+1)+(Surface_Engine!B246*12)*INDEX(Surface_Engine!$F$12:$F$72,$A1069+1)-(Surface_Engine!B246*12),1000*12*INDEX(Surface_Engine!$C$12:$C$72,$A1069+1)/(1+Assumptions!$B$10)^5+INDEX(Surface_Engine!$D$12:$D$72,$A1069+1)))*INDEX(Surface_Engine!$B$12:$B$72,$A1069+1)+G1070</f>
        <v>0</v>
      </c>
      <c r="H1069" s="48" t="n">
        <f aca="false">D1069*(IF($A1069&lt;$Q$1014,INDEX(Surface_Engine!$D$12:$D$72,$A1069+1)+(Surface_Engine!B246*12)*INDEX(Surface_Engine!$F$12:$F$72,$A1069+1)-(Surface_Engine!B246*12),1000*12*INDEX(Surface_Engine!$C$12:$C$72,$A1069+1)/(1+Assumptions!$B$10)^5+INDEX(Surface_Engine!$D$12:$D$72,$A1069+1)))*INDEX(Surface_Engine!$B$12:$B$72,$A1069+1)+H1070</f>
        <v>0</v>
      </c>
      <c r="I1069" s="48" t="n">
        <f aca="false">E1069*(IF($A1069&lt;$Q$1014,INDEX(Surface_Engine!$D$12:$D$72,$A1069+1)+(Surface_Engine!B246*12)*INDEX(Surface_Engine!$F$12:$F$72,$A1069+1)-(Surface_Engine!B246*12),1000*12*INDEX(Surface_Engine!$C$12:$C$72,$A1069+1)/(1+Assumptions!$B$10)^5+INDEX(Surface_Engine!$D$12:$D$72,$A1069+1)))*INDEX(Surface_Engine!$B$12:$B$72,$A1069+1)+I1070</f>
        <v>0</v>
      </c>
      <c r="J1069" s="48" t="n">
        <f aca="false">B1069*(IF($A1069&lt;$Q$1014,INDEX(Surface_Engine!$D$12:$D$72,$A1069+1)*(1+Assumptions!$B$24)+(Surface_Engine!B246*12)*INDEX(Surface_Engine!$F$12:$F$72,$A1069+1)-(Surface_Engine!B246*12),1000*12*INDEX(Surface_Engine!$C$12:$C$72,$A1069+1)/(1+Assumptions!$B$10)^5+INDEX(Surface_Engine!$D$12:$D$72,$A1069+1)*(1+Assumptions!$B$24)))*INDEX(Surface_Engine!$B$12:$B$72,$A1069+1)+J1070</f>
        <v>0</v>
      </c>
      <c r="K1069" s="12" t="n">
        <f aca="false">SQRT((IF(C1069&lt;=0,0,MAX(0,(B1069/C1069)*G1069/INDEX(Surface_Engine!$B$12:$B$72,$A1069+1)-F1069/INDEX(Surface_Engine!$B$12:$B$72,$A1069+1))))^2+(MAX(IF(D1069&lt;=0,0,MAX(0,(B1069/D1069)*H1069/INDEX(Surface_Engine!$B$12:$B$72,$A1069+1)-F1069/INDEX(Surface_Engine!$B$12:$B$72,$A1069+1))),IF(E1069&lt;=0,0,MAX(0,(B1069/E1069)*I1069/INDEX(Surface_Engine!$B$12:$B$72,$A1069+1)-F1069/INDEX(Surface_Engine!$B$12:$B$72,$A1069+1))),IF($A1069&lt;$Q$1014,MAX(0,-Assumptions!$B$22*(F1069/INDEX(Surface_Engine!$B$12:$B$72,$A1069+1))),0)))^2+(MAX(0,J1069/INDEX(Surface_Engine!$B$12:$B$72,$A1069+1)-(F1069/INDEX(Surface_Engine!$B$12:$B$72,$A1069+1))))^2+2*Assumptions!$B$26*(IF(C1069&lt;=0,0,MAX(0,(B1069/C1069)*G1069/INDEX(Surface_Engine!$B$12:$B$72,$A1069+1)-F1069/INDEX(Surface_Engine!$B$12:$B$72,$A1069+1))))*(MAX(IF(D1069&lt;=0,0,MAX(0,(B1069/D1069)*H1069/INDEX(Surface_Engine!$B$12:$B$72,$A1069+1)-F1069/INDEX(Surface_Engine!$B$12:$B$72,$A1069+1))),IF(E1069&lt;=0,0,MAX(0,(B1069/E1069)*I1069/INDEX(Surface_Engine!$B$12:$B$72,$A1069+1)-F1069/INDEX(Surface_Engine!$B$12:$B$72,$A1069+1))),IF($A1069&lt;$Q$1014,MAX(0,-Assumptions!$B$22*(F1069/INDEX(Surface_Engine!$B$12:$B$72,$A1069+1))),0)))+2*Assumptions!$B$27*(IF(C1069&lt;=0,0,MAX(0,(B1069/C1069)*G1069/INDEX(Surface_Engine!$B$12:$B$72,$A1069+1)-F1069/INDEX(Surface_Engine!$B$12:$B$72,$A1069+1))))*(MAX(0,J1069/INDEX(Surface_Engine!$B$12:$B$72,$A1069+1)-(F1069/INDEX(Surface_Engine!$B$12:$B$72,$A1069+1))))+2*Assumptions!$B$28*(MAX(IF(D1069&lt;=0,0,MAX(0,(B1069/D1069)*H1069/INDEX(Surface_Engine!$B$12:$B$72,$A1069+1)-F1069/INDEX(Surface_Engine!$B$12:$B$72,$A1069+1))),IF(E1069&lt;=0,0,MAX(0,(B1069/E1069)*I1069/INDEX(Surface_Engine!$B$12:$B$72,$A1069+1)-F1069/INDEX(Surface_Engine!$B$12:$B$72,$A1069+1))),IF($A1069&lt;$Q$1014,MAX(0,-Assumptions!$B$22*(F1069/INDEX(Surface_Engine!$B$12:$B$72,$A1069+1))),0)))*(MAX(0,J1069/INDEX(Surface_Engine!$B$12:$B$72,$A1069+1)-(F1069/INDEX(Surface_Engine!$B$12:$B$72,$A1069+1)))))</f>
        <v>0</v>
      </c>
      <c r="L1069" s="48" t="n">
        <f aca="false">K1069*INDEX(Surface_Engine!$B$12:$B$72,$A1069+1)+L1070</f>
        <v>0</v>
      </c>
      <c r="M1069" s="48" t="n">
        <f aca="false">M1068+B1068*(IF($A1068&lt;$Q$1014,(Surface_Engine!B246*12)-(Surface_Engine!B246*12)*INDEX(Surface_Engine!$F$12:$F$72,$A1068+1)-INDEX(Surface_Engine!$D$12:$D$72,$A1068+1),-(1000*12*INDEX(Surface_Engine!$C$12:$C$72,$A1068+1)/(1+Assumptions!$B$10)^5+INDEX(Surface_Engine!$D$12:$D$72,$A1068+1))))*INDEX(Surface_Engine!$B$12:$B$72,$A1068+1)</f>
        <v>5433.95937966842</v>
      </c>
      <c r="N1069" s="12" t="n">
        <f aca="false">IF(B1069&lt;=0,0,MAX(0,(K1069+Assumptions!$B$29*L1069/INDEX(Surface_Engine!$B$12:$B$72,$A1069+1)-(M1069/INDEX(Surface_Engine!$B$12:$B$72,$A1069+1)-(F1069/INDEX(Surface_Engine!$B$12:$B$72,$A1069+1))))/B1069))</f>
        <v>0</v>
      </c>
    </row>
    <row r="1070" customFormat="false" ht="15" hidden="false" customHeight="true" outlineLevel="0" collapsed="false">
      <c r="A1070" s="1" t="n">
        <v>54</v>
      </c>
      <c r="B1070" s="32" t="n">
        <f aca="false">INDEX(Surface_Engine!$Q$12:$Q$72,$A1070+1)*IF($A1070&lt;$Q$1014,INDEX(Surface_Engine!$E$12:$E$72,$A1070+1),INDEX(Surface_Engine!$E$12:$E$72,$Q$1014+1))</f>
        <v>0</v>
      </c>
      <c r="C1070" s="32" t="n">
        <f aca="false">INDEX(Panel_Reserving!$F$8:$F$68,$A1070+1)*IF($A1070&lt;$Q$1014,INDEX(Surface_Engine!$E$12:$E$72,$A1070+1),INDEX(Surface_Engine!$E$12:$E$72,$Q$1014+1))</f>
        <v>0</v>
      </c>
      <c r="D1070" s="32" t="n">
        <f aca="false">INDEX(Surface_Engine!$Q$12:$Q$72,$A1070+1)*IF($A1070&lt;$Q$1014,INDEX(Surface_Engine!$Y$12:$Y$72,$A1070+1),INDEX(Surface_Engine!$Y$12:$Y$72,$Q$1014+1))</f>
        <v>0</v>
      </c>
      <c r="E1070" s="32" t="n">
        <f aca="false">INDEX(Surface_Engine!$Q$12:$Q$72,$A1070+1)*IF($A1070&lt;$Q$1014,INDEX(Surface_Engine!$Z$12:$Z$72,$A1070+1),INDEX(Surface_Engine!$Z$12:$Z$72,$Q$1014+1))</f>
        <v>0</v>
      </c>
      <c r="F1070" s="48" t="n">
        <f aca="false">B1070*(IF($A1070&lt;$Q$1014,INDEX(Surface_Engine!$D$12:$D$72,$A1070+1)+(Surface_Engine!B246*12)*INDEX(Surface_Engine!$F$12:$F$72,$A1070+1)-(Surface_Engine!B246*12),1000*12*INDEX(Surface_Engine!$C$12:$C$72,$A1070+1)/(1+Assumptions!$B$10)^5+INDEX(Surface_Engine!$D$12:$D$72,$A1070+1)))*INDEX(Surface_Engine!$B$12:$B$72,$A1070+1)+F1071</f>
        <v>0</v>
      </c>
      <c r="G1070" s="48" t="n">
        <f aca="false">C1070*(IF($A1070&lt;$Q$1014,INDEX(Surface_Engine!$D$12:$D$72,$A1070+1)+(Surface_Engine!B246*12)*INDEX(Surface_Engine!$F$12:$F$72,$A1070+1)-(Surface_Engine!B246*12),1000*12*INDEX(Surface_Engine!$C$12:$C$72,$A1070+1)/(1+Assumptions!$B$10)^5+INDEX(Surface_Engine!$D$12:$D$72,$A1070+1)))*INDEX(Surface_Engine!$B$12:$B$72,$A1070+1)+G1071</f>
        <v>0</v>
      </c>
      <c r="H1070" s="48" t="n">
        <f aca="false">D1070*(IF($A1070&lt;$Q$1014,INDEX(Surface_Engine!$D$12:$D$72,$A1070+1)+(Surface_Engine!B246*12)*INDEX(Surface_Engine!$F$12:$F$72,$A1070+1)-(Surface_Engine!B246*12),1000*12*INDEX(Surface_Engine!$C$12:$C$72,$A1070+1)/(1+Assumptions!$B$10)^5+INDEX(Surface_Engine!$D$12:$D$72,$A1070+1)))*INDEX(Surface_Engine!$B$12:$B$72,$A1070+1)+H1071</f>
        <v>0</v>
      </c>
      <c r="I1070" s="48" t="n">
        <f aca="false">E1070*(IF($A1070&lt;$Q$1014,INDEX(Surface_Engine!$D$12:$D$72,$A1070+1)+(Surface_Engine!B246*12)*INDEX(Surface_Engine!$F$12:$F$72,$A1070+1)-(Surface_Engine!B246*12),1000*12*INDEX(Surface_Engine!$C$12:$C$72,$A1070+1)/(1+Assumptions!$B$10)^5+INDEX(Surface_Engine!$D$12:$D$72,$A1070+1)))*INDEX(Surface_Engine!$B$12:$B$72,$A1070+1)+I1071</f>
        <v>0</v>
      </c>
      <c r="J1070" s="48" t="n">
        <f aca="false">B1070*(IF($A1070&lt;$Q$1014,INDEX(Surface_Engine!$D$12:$D$72,$A1070+1)*(1+Assumptions!$B$24)+(Surface_Engine!B246*12)*INDEX(Surface_Engine!$F$12:$F$72,$A1070+1)-(Surface_Engine!B246*12),1000*12*INDEX(Surface_Engine!$C$12:$C$72,$A1070+1)/(1+Assumptions!$B$10)^5+INDEX(Surface_Engine!$D$12:$D$72,$A1070+1)*(1+Assumptions!$B$24)))*INDEX(Surface_Engine!$B$12:$B$72,$A1070+1)+J1071</f>
        <v>0</v>
      </c>
      <c r="K1070" s="12" t="n">
        <f aca="false">SQRT((IF(C1070&lt;=0,0,MAX(0,(B1070/C1070)*G1070/INDEX(Surface_Engine!$B$12:$B$72,$A1070+1)-F1070/INDEX(Surface_Engine!$B$12:$B$72,$A1070+1))))^2+(MAX(IF(D1070&lt;=0,0,MAX(0,(B1070/D1070)*H1070/INDEX(Surface_Engine!$B$12:$B$72,$A1070+1)-F1070/INDEX(Surface_Engine!$B$12:$B$72,$A1070+1))),IF(E1070&lt;=0,0,MAX(0,(B1070/E1070)*I1070/INDEX(Surface_Engine!$B$12:$B$72,$A1070+1)-F1070/INDEX(Surface_Engine!$B$12:$B$72,$A1070+1))),IF($A1070&lt;$Q$1014,MAX(0,-Assumptions!$B$22*(F1070/INDEX(Surface_Engine!$B$12:$B$72,$A1070+1))),0)))^2+(MAX(0,J1070/INDEX(Surface_Engine!$B$12:$B$72,$A1070+1)-(F1070/INDEX(Surface_Engine!$B$12:$B$72,$A1070+1))))^2+2*Assumptions!$B$26*(IF(C1070&lt;=0,0,MAX(0,(B1070/C1070)*G1070/INDEX(Surface_Engine!$B$12:$B$72,$A1070+1)-F1070/INDEX(Surface_Engine!$B$12:$B$72,$A1070+1))))*(MAX(IF(D1070&lt;=0,0,MAX(0,(B1070/D1070)*H1070/INDEX(Surface_Engine!$B$12:$B$72,$A1070+1)-F1070/INDEX(Surface_Engine!$B$12:$B$72,$A1070+1))),IF(E1070&lt;=0,0,MAX(0,(B1070/E1070)*I1070/INDEX(Surface_Engine!$B$12:$B$72,$A1070+1)-F1070/INDEX(Surface_Engine!$B$12:$B$72,$A1070+1))),IF($A1070&lt;$Q$1014,MAX(0,-Assumptions!$B$22*(F1070/INDEX(Surface_Engine!$B$12:$B$72,$A1070+1))),0)))+2*Assumptions!$B$27*(IF(C1070&lt;=0,0,MAX(0,(B1070/C1070)*G1070/INDEX(Surface_Engine!$B$12:$B$72,$A1070+1)-F1070/INDEX(Surface_Engine!$B$12:$B$72,$A1070+1))))*(MAX(0,J1070/INDEX(Surface_Engine!$B$12:$B$72,$A1070+1)-(F1070/INDEX(Surface_Engine!$B$12:$B$72,$A1070+1))))+2*Assumptions!$B$28*(MAX(IF(D1070&lt;=0,0,MAX(0,(B1070/D1070)*H1070/INDEX(Surface_Engine!$B$12:$B$72,$A1070+1)-F1070/INDEX(Surface_Engine!$B$12:$B$72,$A1070+1))),IF(E1070&lt;=0,0,MAX(0,(B1070/E1070)*I1070/INDEX(Surface_Engine!$B$12:$B$72,$A1070+1)-F1070/INDEX(Surface_Engine!$B$12:$B$72,$A1070+1))),IF($A1070&lt;$Q$1014,MAX(0,-Assumptions!$B$22*(F1070/INDEX(Surface_Engine!$B$12:$B$72,$A1070+1))),0)))*(MAX(0,J1070/INDEX(Surface_Engine!$B$12:$B$72,$A1070+1)-(F1070/INDEX(Surface_Engine!$B$12:$B$72,$A1070+1)))))</f>
        <v>0</v>
      </c>
      <c r="L1070" s="48" t="n">
        <f aca="false">K1070*INDEX(Surface_Engine!$B$12:$B$72,$A1070+1)+L1071</f>
        <v>0</v>
      </c>
      <c r="M1070" s="48" t="n">
        <f aca="false">M1069+B1069*(IF($A1069&lt;$Q$1014,(Surface_Engine!B246*12)-(Surface_Engine!B246*12)*INDEX(Surface_Engine!$F$12:$F$72,$A1069+1)-INDEX(Surface_Engine!$D$12:$D$72,$A1069+1),-(1000*12*INDEX(Surface_Engine!$C$12:$C$72,$A1069+1)/(1+Assumptions!$B$10)^5+INDEX(Surface_Engine!$D$12:$D$72,$A1069+1))))*INDEX(Surface_Engine!$B$12:$B$72,$A1069+1)</f>
        <v>5433.95937966842</v>
      </c>
      <c r="N1070" s="12" t="n">
        <f aca="false">IF(B1070&lt;=0,0,MAX(0,(K1070+Assumptions!$B$29*L1070/INDEX(Surface_Engine!$B$12:$B$72,$A1070+1)-(M1070/INDEX(Surface_Engine!$B$12:$B$72,$A1070+1)-(F1070/INDEX(Surface_Engine!$B$12:$B$72,$A1070+1))))/B1070))</f>
        <v>0</v>
      </c>
    </row>
    <row r="1071" customFormat="false" ht="15" hidden="false" customHeight="true" outlineLevel="0" collapsed="false">
      <c r="A1071" s="1" t="n">
        <v>55</v>
      </c>
      <c r="B1071" s="32" t="n">
        <f aca="false">INDEX(Surface_Engine!$Q$12:$Q$72,$A1071+1)*IF($A1071&lt;$Q$1014,INDEX(Surface_Engine!$E$12:$E$72,$A1071+1),INDEX(Surface_Engine!$E$12:$E$72,$Q$1014+1))</f>
        <v>0</v>
      </c>
      <c r="C1071" s="32" t="n">
        <f aca="false">INDEX(Panel_Reserving!$F$8:$F$68,$A1071+1)*IF($A1071&lt;$Q$1014,INDEX(Surface_Engine!$E$12:$E$72,$A1071+1),INDEX(Surface_Engine!$E$12:$E$72,$Q$1014+1))</f>
        <v>0</v>
      </c>
      <c r="D1071" s="32" t="n">
        <f aca="false">INDEX(Surface_Engine!$Q$12:$Q$72,$A1071+1)*IF($A1071&lt;$Q$1014,INDEX(Surface_Engine!$Y$12:$Y$72,$A1071+1),INDEX(Surface_Engine!$Y$12:$Y$72,$Q$1014+1))</f>
        <v>0</v>
      </c>
      <c r="E1071" s="32" t="n">
        <f aca="false">INDEX(Surface_Engine!$Q$12:$Q$72,$A1071+1)*IF($A1071&lt;$Q$1014,INDEX(Surface_Engine!$Z$12:$Z$72,$A1071+1),INDEX(Surface_Engine!$Z$12:$Z$72,$Q$1014+1))</f>
        <v>0</v>
      </c>
      <c r="F1071" s="48" t="n">
        <f aca="false">B1071*(IF($A1071&lt;$Q$1014,INDEX(Surface_Engine!$D$12:$D$72,$A1071+1)+(Surface_Engine!B246*12)*INDEX(Surface_Engine!$F$12:$F$72,$A1071+1)-(Surface_Engine!B246*12),1000*12*INDEX(Surface_Engine!$C$12:$C$72,$A1071+1)/(1+Assumptions!$B$10)^5+INDEX(Surface_Engine!$D$12:$D$72,$A1071+1)))*INDEX(Surface_Engine!$B$12:$B$72,$A1071+1)+F1072</f>
        <v>0</v>
      </c>
      <c r="G1071" s="48" t="n">
        <f aca="false">C1071*(IF($A1071&lt;$Q$1014,INDEX(Surface_Engine!$D$12:$D$72,$A1071+1)+(Surface_Engine!B246*12)*INDEX(Surface_Engine!$F$12:$F$72,$A1071+1)-(Surface_Engine!B246*12),1000*12*INDEX(Surface_Engine!$C$12:$C$72,$A1071+1)/(1+Assumptions!$B$10)^5+INDEX(Surface_Engine!$D$12:$D$72,$A1071+1)))*INDEX(Surface_Engine!$B$12:$B$72,$A1071+1)+G1072</f>
        <v>0</v>
      </c>
      <c r="H1071" s="48" t="n">
        <f aca="false">D1071*(IF($A1071&lt;$Q$1014,INDEX(Surface_Engine!$D$12:$D$72,$A1071+1)+(Surface_Engine!B246*12)*INDEX(Surface_Engine!$F$12:$F$72,$A1071+1)-(Surface_Engine!B246*12),1000*12*INDEX(Surface_Engine!$C$12:$C$72,$A1071+1)/(1+Assumptions!$B$10)^5+INDEX(Surface_Engine!$D$12:$D$72,$A1071+1)))*INDEX(Surface_Engine!$B$12:$B$72,$A1071+1)+H1072</f>
        <v>0</v>
      </c>
      <c r="I1071" s="48" t="n">
        <f aca="false">E1071*(IF($A1071&lt;$Q$1014,INDEX(Surface_Engine!$D$12:$D$72,$A1071+1)+(Surface_Engine!B246*12)*INDEX(Surface_Engine!$F$12:$F$72,$A1071+1)-(Surface_Engine!B246*12),1000*12*INDEX(Surface_Engine!$C$12:$C$72,$A1071+1)/(1+Assumptions!$B$10)^5+INDEX(Surface_Engine!$D$12:$D$72,$A1071+1)))*INDEX(Surface_Engine!$B$12:$B$72,$A1071+1)+I1072</f>
        <v>0</v>
      </c>
      <c r="J1071" s="48" t="n">
        <f aca="false">B1071*(IF($A1071&lt;$Q$1014,INDEX(Surface_Engine!$D$12:$D$72,$A1071+1)*(1+Assumptions!$B$24)+(Surface_Engine!B246*12)*INDEX(Surface_Engine!$F$12:$F$72,$A1071+1)-(Surface_Engine!B246*12),1000*12*INDEX(Surface_Engine!$C$12:$C$72,$A1071+1)/(1+Assumptions!$B$10)^5+INDEX(Surface_Engine!$D$12:$D$72,$A1071+1)*(1+Assumptions!$B$24)))*INDEX(Surface_Engine!$B$12:$B$72,$A1071+1)+J1072</f>
        <v>0</v>
      </c>
      <c r="K1071" s="12" t="n">
        <f aca="false">SQRT((IF(C1071&lt;=0,0,MAX(0,(B1071/C1071)*G1071/INDEX(Surface_Engine!$B$12:$B$72,$A1071+1)-F1071/INDEX(Surface_Engine!$B$12:$B$72,$A1071+1))))^2+(MAX(IF(D1071&lt;=0,0,MAX(0,(B1071/D1071)*H1071/INDEX(Surface_Engine!$B$12:$B$72,$A1071+1)-F1071/INDEX(Surface_Engine!$B$12:$B$72,$A1071+1))),IF(E1071&lt;=0,0,MAX(0,(B1071/E1071)*I1071/INDEX(Surface_Engine!$B$12:$B$72,$A1071+1)-F1071/INDEX(Surface_Engine!$B$12:$B$72,$A1071+1))),IF($A1071&lt;$Q$1014,MAX(0,-Assumptions!$B$22*(F1071/INDEX(Surface_Engine!$B$12:$B$72,$A1071+1))),0)))^2+(MAX(0,J1071/INDEX(Surface_Engine!$B$12:$B$72,$A1071+1)-(F1071/INDEX(Surface_Engine!$B$12:$B$72,$A1071+1))))^2+2*Assumptions!$B$26*(IF(C1071&lt;=0,0,MAX(0,(B1071/C1071)*G1071/INDEX(Surface_Engine!$B$12:$B$72,$A1071+1)-F1071/INDEX(Surface_Engine!$B$12:$B$72,$A1071+1))))*(MAX(IF(D1071&lt;=0,0,MAX(0,(B1071/D1071)*H1071/INDEX(Surface_Engine!$B$12:$B$72,$A1071+1)-F1071/INDEX(Surface_Engine!$B$12:$B$72,$A1071+1))),IF(E1071&lt;=0,0,MAX(0,(B1071/E1071)*I1071/INDEX(Surface_Engine!$B$12:$B$72,$A1071+1)-F1071/INDEX(Surface_Engine!$B$12:$B$72,$A1071+1))),IF($A1071&lt;$Q$1014,MAX(0,-Assumptions!$B$22*(F1071/INDEX(Surface_Engine!$B$12:$B$72,$A1071+1))),0)))+2*Assumptions!$B$27*(IF(C1071&lt;=0,0,MAX(0,(B1071/C1071)*G1071/INDEX(Surface_Engine!$B$12:$B$72,$A1071+1)-F1071/INDEX(Surface_Engine!$B$12:$B$72,$A1071+1))))*(MAX(0,J1071/INDEX(Surface_Engine!$B$12:$B$72,$A1071+1)-(F1071/INDEX(Surface_Engine!$B$12:$B$72,$A1071+1))))+2*Assumptions!$B$28*(MAX(IF(D1071&lt;=0,0,MAX(0,(B1071/D1071)*H1071/INDEX(Surface_Engine!$B$12:$B$72,$A1071+1)-F1071/INDEX(Surface_Engine!$B$12:$B$72,$A1071+1))),IF(E1071&lt;=0,0,MAX(0,(B1071/E1071)*I1071/INDEX(Surface_Engine!$B$12:$B$72,$A1071+1)-F1071/INDEX(Surface_Engine!$B$12:$B$72,$A1071+1))),IF($A1071&lt;$Q$1014,MAX(0,-Assumptions!$B$22*(F1071/INDEX(Surface_Engine!$B$12:$B$72,$A1071+1))),0)))*(MAX(0,J1071/INDEX(Surface_Engine!$B$12:$B$72,$A1071+1)-(F1071/INDEX(Surface_Engine!$B$12:$B$72,$A1071+1)))))</f>
        <v>0</v>
      </c>
      <c r="L1071" s="48" t="n">
        <f aca="false">K1071*INDEX(Surface_Engine!$B$12:$B$72,$A1071+1)+L1072</f>
        <v>0</v>
      </c>
      <c r="M1071" s="48" t="n">
        <f aca="false">M1070+B1070*(IF($A1070&lt;$Q$1014,(Surface_Engine!B246*12)-(Surface_Engine!B246*12)*INDEX(Surface_Engine!$F$12:$F$72,$A1070+1)-INDEX(Surface_Engine!$D$12:$D$72,$A1070+1),-(1000*12*INDEX(Surface_Engine!$C$12:$C$72,$A1070+1)/(1+Assumptions!$B$10)^5+INDEX(Surface_Engine!$D$12:$D$72,$A1070+1))))*INDEX(Surface_Engine!$B$12:$B$72,$A1070+1)</f>
        <v>5433.95937966842</v>
      </c>
      <c r="N1071" s="12" t="n">
        <f aca="false">IF(B1071&lt;=0,0,MAX(0,(K1071+Assumptions!$B$29*L1071/INDEX(Surface_Engine!$B$12:$B$72,$A1071+1)-(M1071/INDEX(Surface_Engine!$B$12:$B$72,$A1071+1)-(F1071/INDEX(Surface_Engine!$B$12:$B$72,$A1071+1))))/B1071))</f>
        <v>0</v>
      </c>
    </row>
    <row r="1072" customFormat="false" ht="15" hidden="false" customHeight="true" outlineLevel="0" collapsed="false">
      <c r="A1072" s="1" t="n">
        <v>56</v>
      </c>
      <c r="B1072" s="32" t="n">
        <f aca="false">INDEX(Surface_Engine!$Q$12:$Q$72,$A1072+1)*IF($A1072&lt;$Q$1014,INDEX(Surface_Engine!$E$12:$E$72,$A1072+1),INDEX(Surface_Engine!$E$12:$E$72,$Q$1014+1))</f>
        <v>0</v>
      </c>
      <c r="C1072" s="32" t="n">
        <f aca="false">INDEX(Panel_Reserving!$F$8:$F$68,$A1072+1)*IF($A1072&lt;$Q$1014,INDEX(Surface_Engine!$E$12:$E$72,$A1072+1),INDEX(Surface_Engine!$E$12:$E$72,$Q$1014+1))</f>
        <v>0</v>
      </c>
      <c r="D1072" s="32" t="n">
        <f aca="false">INDEX(Surface_Engine!$Q$12:$Q$72,$A1072+1)*IF($A1072&lt;$Q$1014,INDEX(Surface_Engine!$Y$12:$Y$72,$A1072+1),INDEX(Surface_Engine!$Y$12:$Y$72,$Q$1014+1))</f>
        <v>0</v>
      </c>
      <c r="E1072" s="32" t="n">
        <f aca="false">INDEX(Surface_Engine!$Q$12:$Q$72,$A1072+1)*IF($A1072&lt;$Q$1014,INDEX(Surface_Engine!$Z$12:$Z$72,$A1072+1),INDEX(Surface_Engine!$Z$12:$Z$72,$Q$1014+1))</f>
        <v>0</v>
      </c>
      <c r="F1072" s="48" t="n">
        <f aca="false">B1072*(IF($A1072&lt;$Q$1014,INDEX(Surface_Engine!$D$12:$D$72,$A1072+1)+(Surface_Engine!B246*12)*INDEX(Surface_Engine!$F$12:$F$72,$A1072+1)-(Surface_Engine!B246*12),1000*12*INDEX(Surface_Engine!$C$12:$C$72,$A1072+1)/(1+Assumptions!$B$10)^5+INDEX(Surface_Engine!$D$12:$D$72,$A1072+1)))*INDEX(Surface_Engine!$B$12:$B$72,$A1072+1)+F1073</f>
        <v>0</v>
      </c>
      <c r="G1072" s="48" t="n">
        <f aca="false">C1072*(IF($A1072&lt;$Q$1014,INDEX(Surface_Engine!$D$12:$D$72,$A1072+1)+(Surface_Engine!B246*12)*INDEX(Surface_Engine!$F$12:$F$72,$A1072+1)-(Surface_Engine!B246*12),1000*12*INDEX(Surface_Engine!$C$12:$C$72,$A1072+1)/(1+Assumptions!$B$10)^5+INDEX(Surface_Engine!$D$12:$D$72,$A1072+1)))*INDEX(Surface_Engine!$B$12:$B$72,$A1072+1)+G1073</f>
        <v>0</v>
      </c>
      <c r="H1072" s="48" t="n">
        <f aca="false">D1072*(IF($A1072&lt;$Q$1014,INDEX(Surface_Engine!$D$12:$D$72,$A1072+1)+(Surface_Engine!B246*12)*INDEX(Surface_Engine!$F$12:$F$72,$A1072+1)-(Surface_Engine!B246*12),1000*12*INDEX(Surface_Engine!$C$12:$C$72,$A1072+1)/(1+Assumptions!$B$10)^5+INDEX(Surface_Engine!$D$12:$D$72,$A1072+1)))*INDEX(Surface_Engine!$B$12:$B$72,$A1072+1)+H1073</f>
        <v>0</v>
      </c>
      <c r="I1072" s="48" t="n">
        <f aca="false">E1072*(IF($A1072&lt;$Q$1014,INDEX(Surface_Engine!$D$12:$D$72,$A1072+1)+(Surface_Engine!B246*12)*INDEX(Surface_Engine!$F$12:$F$72,$A1072+1)-(Surface_Engine!B246*12),1000*12*INDEX(Surface_Engine!$C$12:$C$72,$A1072+1)/(1+Assumptions!$B$10)^5+INDEX(Surface_Engine!$D$12:$D$72,$A1072+1)))*INDEX(Surface_Engine!$B$12:$B$72,$A1072+1)+I1073</f>
        <v>0</v>
      </c>
      <c r="J1072" s="48" t="n">
        <f aca="false">B1072*(IF($A1072&lt;$Q$1014,INDEX(Surface_Engine!$D$12:$D$72,$A1072+1)*(1+Assumptions!$B$24)+(Surface_Engine!B246*12)*INDEX(Surface_Engine!$F$12:$F$72,$A1072+1)-(Surface_Engine!B246*12),1000*12*INDEX(Surface_Engine!$C$12:$C$72,$A1072+1)/(1+Assumptions!$B$10)^5+INDEX(Surface_Engine!$D$12:$D$72,$A1072+1)*(1+Assumptions!$B$24)))*INDEX(Surface_Engine!$B$12:$B$72,$A1072+1)+J1073</f>
        <v>0</v>
      </c>
      <c r="K1072" s="12" t="n">
        <f aca="false">SQRT((IF(C1072&lt;=0,0,MAX(0,(B1072/C1072)*G1072/INDEX(Surface_Engine!$B$12:$B$72,$A1072+1)-F1072/INDEX(Surface_Engine!$B$12:$B$72,$A1072+1))))^2+(MAX(IF(D1072&lt;=0,0,MAX(0,(B1072/D1072)*H1072/INDEX(Surface_Engine!$B$12:$B$72,$A1072+1)-F1072/INDEX(Surface_Engine!$B$12:$B$72,$A1072+1))),IF(E1072&lt;=0,0,MAX(0,(B1072/E1072)*I1072/INDEX(Surface_Engine!$B$12:$B$72,$A1072+1)-F1072/INDEX(Surface_Engine!$B$12:$B$72,$A1072+1))),IF($A1072&lt;$Q$1014,MAX(0,-Assumptions!$B$22*(F1072/INDEX(Surface_Engine!$B$12:$B$72,$A1072+1))),0)))^2+(MAX(0,J1072/INDEX(Surface_Engine!$B$12:$B$72,$A1072+1)-(F1072/INDEX(Surface_Engine!$B$12:$B$72,$A1072+1))))^2+2*Assumptions!$B$26*(IF(C1072&lt;=0,0,MAX(0,(B1072/C1072)*G1072/INDEX(Surface_Engine!$B$12:$B$72,$A1072+1)-F1072/INDEX(Surface_Engine!$B$12:$B$72,$A1072+1))))*(MAX(IF(D1072&lt;=0,0,MAX(0,(B1072/D1072)*H1072/INDEX(Surface_Engine!$B$12:$B$72,$A1072+1)-F1072/INDEX(Surface_Engine!$B$12:$B$72,$A1072+1))),IF(E1072&lt;=0,0,MAX(0,(B1072/E1072)*I1072/INDEX(Surface_Engine!$B$12:$B$72,$A1072+1)-F1072/INDEX(Surface_Engine!$B$12:$B$72,$A1072+1))),IF($A1072&lt;$Q$1014,MAX(0,-Assumptions!$B$22*(F1072/INDEX(Surface_Engine!$B$12:$B$72,$A1072+1))),0)))+2*Assumptions!$B$27*(IF(C1072&lt;=0,0,MAX(0,(B1072/C1072)*G1072/INDEX(Surface_Engine!$B$12:$B$72,$A1072+1)-F1072/INDEX(Surface_Engine!$B$12:$B$72,$A1072+1))))*(MAX(0,J1072/INDEX(Surface_Engine!$B$12:$B$72,$A1072+1)-(F1072/INDEX(Surface_Engine!$B$12:$B$72,$A1072+1))))+2*Assumptions!$B$28*(MAX(IF(D1072&lt;=0,0,MAX(0,(B1072/D1072)*H1072/INDEX(Surface_Engine!$B$12:$B$72,$A1072+1)-F1072/INDEX(Surface_Engine!$B$12:$B$72,$A1072+1))),IF(E1072&lt;=0,0,MAX(0,(B1072/E1072)*I1072/INDEX(Surface_Engine!$B$12:$B$72,$A1072+1)-F1072/INDEX(Surface_Engine!$B$12:$B$72,$A1072+1))),IF($A1072&lt;$Q$1014,MAX(0,-Assumptions!$B$22*(F1072/INDEX(Surface_Engine!$B$12:$B$72,$A1072+1))),0)))*(MAX(0,J1072/INDEX(Surface_Engine!$B$12:$B$72,$A1072+1)-(F1072/INDEX(Surface_Engine!$B$12:$B$72,$A1072+1)))))</f>
        <v>0</v>
      </c>
      <c r="L1072" s="48" t="n">
        <f aca="false">K1072*INDEX(Surface_Engine!$B$12:$B$72,$A1072+1)+L1073</f>
        <v>0</v>
      </c>
      <c r="M1072" s="48" t="n">
        <f aca="false">M1071+B1071*(IF($A1071&lt;$Q$1014,(Surface_Engine!B246*12)-(Surface_Engine!B246*12)*INDEX(Surface_Engine!$F$12:$F$72,$A1071+1)-INDEX(Surface_Engine!$D$12:$D$72,$A1071+1),-(1000*12*INDEX(Surface_Engine!$C$12:$C$72,$A1071+1)/(1+Assumptions!$B$10)^5+INDEX(Surface_Engine!$D$12:$D$72,$A1071+1))))*INDEX(Surface_Engine!$B$12:$B$72,$A1071+1)</f>
        <v>5433.95937966842</v>
      </c>
      <c r="N1072" s="12" t="n">
        <f aca="false">IF(B1072&lt;=0,0,MAX(0,(K1072+Assumptions!$B$29*L1072/INDEX(Surface_Engine!$B$12:$B$72,$A1072+1)-(M1072/INDEX(Surface_Engine!$B$12:$B$72,$A1072+1)-(F1072/INDEX(Surface_Engine!$B$12:$B$72,$A1072+1))))/B1072))</f>
        <v>0</v>
      </c>
    </row>
    <row r="1073" customFormat="false" ht="15" hidden="false" customHeight="true" outlineLevel="0" collapsed="false">
      <c r="A1073" s="1" t="n">
        <v>57</v>
      </c>
      <c r="B1073" s="32" t="n">
        <f aca="false">INDEX(Surface_Engine!$Q$12:$Q$72,$A1073+1)*IF($A1073&lt;$Q$1014,INDEX(Surface_Engine!$E$12:$E$72,$A1073+1),INDEX(Surface_Engine!$E$12:$E$72,$Q$1014+1))</f>
        <v>0</v>
      </c>
      <c r="C1073" s="32" t="n">
        <f aca="false">INDEX(Panel_Reserving!$F$8:$F$68,$A1073+1)*IF($A1073&lt;$Q$1014,INDEX(Surface_Engine!$E$12:$E$72,$A1073+1),INDEX(Surface_Engine!$E$12:$E$72,$Q$1014+1))</f>
        <v>0</v>
      </c>
      <c r="D1073" s="32" t="n">
        <f aca="false">INDEX(Surface_Engine!$Q$12:$Q$72,$A1073+1)*IF($A1073&lt;$Q$1014,INDEX(Surface_Engine!$Y$12:$Y$72,$A1073+1),INDEX(Surface_Engine!$Y$12:$Y$72,$Q$1014+1))</f>
        <v>0</v>
      </c>
      <c r="E1073" s="32" t="n">
        <f aca="false">INDEX(Surface_Engine!$Q$12:$Q$72,$A1073+1)*IF($A1073&lt;$Q$1014,INDEX(Surface_Engine!$Z$12:$Z$72,$A1073+1),INDEX(Surface_Engine!$Z$12:$Z$72,$Q$1014+1))</f>
        <v>0</v>
      </c>
      <c r="F1073" s="48" t="n">
        <f aca="false">B1073*(IF($A1073&lt;$Q$1014,INDEX(Surface_Engine!$D$12:$D$72,$A1073+1)+(Surface_Engine!B246*12)*INDEX(Surface_Engine!$F$12:$F$72,$A1073+1)-(Surface_Engine!B246*12),1000*12*INDEX(Surface_Engine!$C$12:$C$72,$A1073+1)/(1+Assumptions!$B$10)^5+INDEX(Surface_Engine!$D$12:$D$72,$A1073+1)))*INDEX(Surface_Engine!$B$12:$B$72,$A1073+1)+F1074</f>
        <v>0</v>
      </c>
      <c r="G1073" s="48" t="n">
        <f aca="false">C1073*(IF($A1073&lt;$Q$1014,INDEX(Surface_Engine!$D$12:$D$72,$A1073+1)+(Surface_Engine!B246*12)*INDEX(Surface_Engine!$F$12:$F$72,$A1073+1)-(Surface_Engine!B246*12),1000*12*INDEX(Surface_Engine!$C$12:$C$72,$A1073+1)/(1+Assumptions!$B$10)^5+INDEX(Surface_Engine!$D$12:$D$72,$A1073+1)))*INDEX(Surface_Engine!$B$12:$B$72,$A1073+1)+G1074</f>
        <v>0</v>
      </c>
      <c r="H1073" s="48" t="n">
        <f aca="false">D1073*(IF($A1073&lt;$Q$1014,INDEX(Surface_Engine!$D$12:$D$72,$A1073+1)+(Surface_Engine!B246*12)*INDEX(Surface_Engine!$F$12:$F$72,$A1073+1)-(Surface_Engine!B246*12),1000*12*INDEX(Surface_Engine!$C$12:$C$72,$A1073+1)/(1+Assumptions!$B$10)^5+INDEX(Surface_Engine!$D$12:$D$72,$A1073+1)))*INDEX(Surface_Engine!$B$12:$B$72,$A1073+1)+H1074</f>
        <v>0</v>
      </c>
      <c r="I1073" s="48" t="n">
        <f aca="false">E1073*(IF($A1073&lt;$Q$1014,INDEX(Surface_Engine!$D$12:$D$72,$A1073+1)+(Surface_Engine!B246*12)*INDEX(Surface_Engine!$F$12:$F$72,$A1073+1)-(Surface_Engine!B246*12),1000*12*INDEX(Surface_Engine!$C$12:$C$72,$A1073+1)/(1+Assumptions!$B$10)^5+INDEX(Surface_Engine!$D$12:$D$72,$A1073+1)))*INDEX(Surface_Engine!$B$12:$B$72,$A1073+1)+I1074</f>
        <v>0</v>
      </c>
      <c r="J1073" s="48" t="n">
        <f aca="false">B1073*(IF($A1073&lt;$Q$1014,INDEX(Surface_Engine!$D$12:$D$72,$A1073+1)*(1+Assumptions!$B$24)+(Surface_Engine!B246*12)*INDEX(Surface_Engine!$F$12:$F$72,$A1073+1)-(Surface_Engine!B246*12),1000*12*INDEX(Surface_Engine!$C$12:$C$72,$A1073+1)/(1+Assumptions!$B$10)^5+INDEX(Surface_Engine!$D$12:$D$72,$A1073+1)*(1+Assumptions!$B$24)))*INDEX(Surface_Engine!$B$12:$B$72,$A1073+1)+J1074</f>
        <v>0</v>
      </c>
      <c r="K1073" s="12" t="n">
        <f aca="false">SQRT((IF(C1073&lt;=0,0,MAX(0,(B1073/C1073)*G1073/INDEX(Surface_Engine!$B$12:$B$72,$A1073+1)-F1073/INDEX(Surface_Engine!$B$12:$B$72,$A1073+1))))^2+(MAX(IF(D1073&lt;=0,0,MAX(0,(B1073/D1073)*H1073/INDEX(Surface_Engine!$B$12:$B$72,$A1073+1)-F1073/INDEX(Surface_Engine!$B$12:$B$72,$A1073+1))),IF(E1073&lt;=0,0,MAX(0,(B1073/E1073)*I1073/INDEX(Surface_Engine!$B$12:$B$72,$A1073+1)-F1073/INDEX(Surface_Engine!$B$12:$B$72,$A1073+1))),IF($A1073&lt;$Q$1014,MAX(0,-Assumptions!$B$22*(F1073/INDEX(Surface_Engine!$B$12:$B$72,$A1073+1))),0)))^2+(MAX(0,J1073/INDEX(Surface_Engine!$B$12:$B$72,$A1073+1)-(F1073/INDEX(Surface_Engine!$B$12:$B$72,$A1073+1))))^2+2*Assumptions!$B$26*(IF(C1073&lt;=0,0,MAX(0,(B1073/C1073)*G1073/INDEX(Surface_Engine!$B$12:$B$72,$A1073+1)-F1073/INDEX(Surface_Engine!$B$12:$B$72,$A1073+1))))*(MAX(IF(D1073&lt;=0,0,MAX(0,(B1073/D1073)*H1073/INDEX(Surface_Engine!$B$12:$B$72,$A1073+1)-F1073/INDEX(Surface_Engine!$B$12:$B$72,$A1073+1))),IF(E1073&lt;=0,0,MAX(0,(B1073/E1073)*I1073/INDEX(Surface_Engine!$B$12:$B$72,$A1073+1)-F1073/INDEX(Surface_Engine!$B$12:$B$72,$A1073+1))),IF($A1073&lt;$Q$1014,MAX(0,-Assumptions!$B$22*(F1073/INDEX(Surface_Engine!$B$12:$B$72,$A1073+1))),0)))+2*Assumptions!$B$27*(IF(C1073&lt;=0,0,MAX(0,(B1073/C1073)*G1073/INDEX(Surface_Engine!$B$12:$B$72,$A1073+1)-F1073/INDEX(Surface_Engine!$B$12:$B$72,$A1073+1))))*(MAX(0,J1073/INDEX(Surface_Engine!$B$12:$B$72,$A1073+1)-(F1073/INDEX(Surface_Engine!$B$12:$B$72,$A1073+1))))+2*Assumptions!$B$28*(MAX(IF(D1073&lt;=0,0,MAX(0,(B1073/D1073)*H1073/INDEX(Surface_Engine!$B$12:$B$72,$A1073+1)-F1073/INDEX(Surface_Engine!$B$12:$B$72,$A1073+1))),IF(E1073&lt;=0,0,MAX(0,(B1073/E1073)*I1073/INDEX(Surface_Engine!$B$12:$B$72,$A1073+1)-F1073/INDEX(Surface_Engine!$B$12:$B$72,$A1073+1))),IF($A1073&lt;$Q$1014,MAX(0,-Assumptions!$B$22*(F1073/INDEX(Surface_Engine!$B$12:$B$72,$A1073+1))),0)))*(MAX(0,J1073/INDEX(Surface_Engine!$B$12:$B$72,$A1073+1)-(F1073/INDEX(Surface_Engine!$B$12:$B$72,$A1073+1)))))</f>
        <v>0</v>
      </c>
      <c r="L1073" s="48" t="n">
        <f aca="false">K1073*INDEX(Surface_Engine!$B$12:$B$72,$A1073+1)+L1074</f>
        <v>0</v>
      </c>
      <c r="M1073" s="48" t="n">
        <f aca="false">M1072+B1072*(IF($A1072&lt;$Q$1014,(Surface_Engine!B246*12)-(Surface_Engine!B246*12)*INDEX(Surface_Engine!$F$12:$F$72,$A1072+1)-INDEX(Surface_Engine!$D$12:$D$72,$A1072+1),-(1000*12*INDEX(Surface_Engine!$C$12:$C$72,$A1072+1)/(1+Assumptions!$B$10)^5+INDEX(Surface_Engine!$D$12:$D$72,$A1072+1))))*INDEX(Surface_Engine!$B$12:$B$72,$A1072+1)</f>
        <v>5433.95937966842</v>
      </c>
      <c r="N1073" s="12" t="n">
        <f aca="false">IF(B1073&lt;=0,0,MAX(0,(K1073+Assumptions!$B$29*L1073/INDEX(Surface_Engine!$B$12:$B$72,$A1073+1)-(M1073/INDEX(Surface_Engine!$B$12:$B$72,$A1073+1)-(F1073/INDEX(Surface_Engine!$B$12:$B$72,$A1073+1))))/B1073))</f>
        <v>0</v>
      </c>
    </row>
    <row r="1074" customFormat="false" ht="15" hidden="false" customHeight="true" outlineLevel="0" collapsed="false">
      <c r="A1074" s="1" t="n">
        <v>58</v>
      </c>
      <c r="B1074" s="32" t="n">
        <f aca="false">INDEX(Surface_Engine!$Q$12:$Q$72,$A1074+1)*IF($A1074&lt;$Q$1014,INDEX(Surface_Engine!$E$12:$E$72,$A1074+1),INDEX(Surface_Engine!$E$12:$E$72,$Q$1014+1))</f>
        <v>0</v>
      </c>
      <c r="C1074" s="32" t="n">
        <f aca="false">INDEX(Panel_Reserving!$F$8:$F$68,$A1074+1)*IF($A1074&lt;$Q$1014,INDEX(Surface_Engine!$E$12:$E$72,$A1074+1),INDEX(Surface_Engine!$E$12:$E$72,$Q$1014+1))</f>
        <v>0</v>
      </c>
      <c r="D1074" s="32" t="n">
        <f aca="false">INDEX(Surface_Engine!$Q$12:$Q$72,$A1074+1)*IF($A1074&lt;$Q$1014,INDEX(Surface_Engine!$Y$12:$Y$72,$A1074+1),INDEX(Surface_Engine!$Y$12:$Y$72,$Q$1014+1))</f>
        <v>0</v>
      </c>
      <c r="E1074" s="32" t="n">
        <f aca="false">INDEX(Surface_Engine!$Q$12:$Q$72,$A1074+1)*IF($A1074&lt;$Q$1014,INDEX(Surface_Engine!$Z$12:$Z$72,$A1074+1),INDEX(Surface_Engine!$Z$12:$Z$72,$Q$1014+1))</f>
        <v>0</v>
      </c>
      <c r="F1074" s="48" t="n">
        <f aca="false">B1074*(IF($A1074&lt;$Q$1014,INDEX(Surface_Engine!$D$12:$D$72,$A1074+1)+(Surface_Engine!B246*12)*INDEX(Surface_Engine!$F$12:$F$72,$A1074+1)-(Surface_Engine!B246*12),1000*12*INDEX(Surface_Engine!$C$12:$C$72,$A1074+1)/(1+Assumptions!$B$10)^5+INDEX(Surface_Engine!$D$12:$D$72,$A1074+1)))*INDEX(Surface_Engine!$B$12:$B$72,$A1074+1)+F1075</f>
        <v>0</v>
      </c>
      <c r="G1074" s="48" t="n">
        <f aca="false">C1074*(IF($A1074&lt;$Q$1014,INDEX(Surface_Engine!$D$12:$D$72,$A1074+1)+(Surface_Engine!B246*12)*INDEX(Surface_Engine!$F$12:$F$72,$A1074+1)-(Surface_Engine!B246*12),1000*12*INDEX(Surface_Engine!$C$12:$C$72,$A1074+1)/(1+Assumptions!$B$10)^5+INDEX(Surface_Engine!$D$12:$D$72,$A1074+1)))*INDEX(Surface_Engine!$B$12:$B$72,$A1074+1)+G1075</f>
        <v>0</v>
      </c>
      <c r="H1074" s="48" t="n">
        <f aca="false">D1074*(IF($A1074&lt;$Q$1014,INDEX(Surface_Engine!$D$12:$D$72,$A1074+1)+(Surface_Engine!B246*12)*INDEX(Surface_Engine!$F$12:$F$72,$A1074+1)-(Surface_Engine!B246*12),1000*12*INDEX(Surface_Engine!$C$12:$C$72,$A1074+1)/(1+Assumptions!$B$10)^5+INDEX(Surface_Engine!$D$12:$D$72,$A1074+1)))*INDEX(Surface_Engine!$B$12:$B$72,$A1074+1)+H1075</f>
        <v>0</v>
      </c>
      <c r="I1074" s="48" t="n">
        <f aca="false">E1074*(IF($A1074&lt;$Q$1014,INDEX(Surface_Engine!$D$12:$D$72,$A1074+1)+(Surface_Engine!B246*12)*INDEX(Surface_Engine!$F$12:$F$72,$A1074+1)-(Surface_Engine!B246*12),1000*12*INDEX(Surface_Engine!$C$12:$C$72,$A1074+1)/(1+Assumptions!$B$10)^5+INDEX(Surface_Engine!$D$12:$D$72,$A1074+1)))*INDEX(Surface_Engine!$B$12:$B$72,$A1074+1)+I1075</f>
        <v>0</v>
      </c>
      <c r="J1074" s="48" t="n">
        <f aca="false">B1074*(IF($A1074&lt;$Q$1014,INDEX(Surface_Engine!$D$12:$D$72,$A1074+1)*(1+Assumptions!$B$24)+(Surface_Engine!B246*12)*INDEX(Surface_Engine!$F$12:$F$72,$A1074+1)-(Surface_Engine!B246*12),1000*12*INDEX(Surface_Engine!$C$12:$C$72,$A1074+1)/(1+Assumptions!$B$10)^5+INDEX(Surface_Engine!$D$12:$D$72,$A1074+1)*(1+Assumptions!$B$24)))*INDEX(Surface_Engine!$B$12:$B$72,$A1074+1)+J1075</f>
        <v>0</v>
      </c>
      <c r="K1074" s="12" t="n">
        <f aca="false">SQRT((IF(C1074&lt;=0,0,MAX(0,(B1074/C1074)*G1074/INDEX(Surface_Engine!$B$12:$B$72,$A1074+1)-F1074/INDEX(Surface_Engine!$B$12:$B$72,$A1074+1))))^2+(MAX(IF(D1074&lt;=0,0,MAX(0,(B1074/D1074)*H1074/INDEX(Surface_Engine!$B$12:$B$72,$A1074+1)-F1074/INDEX(Surface_Engine!$B$12:$B$72,$A1074+1))),IF(E1074&lt;=0,0,MAX(0,(B1074/E1074)*I1074/INDEX(Surface_Engine!$B$12:$B$72,$A1074+1)-F1074/INDEX(Surface_Engine!$B$12:$B$72,$A1074+1))),IF($A1074&lt;$Q$1014,MAX(0,-Assumptions!$B$22*(F1074/INDEX(Surface_Engine!$B$12:$B$72,$A1074+1))),0)))^2+(MAX(0,J1074/INDEX(Surface_Engine!$B$12:$B$72,$A1074+1)-(F1074/INDEX(Surface_Engine!$B$12:$B$72,$A1074+1))))^2+2*Assumptions!$B$26*(IF(C1074&lt;=0,0,MAX(0,(B1074/C1074)*G1074/INDEX(Surface_Engine!$B$12:$B$72,$A1074+1)-F1074/INDEX(Surface_Engine!$B$12:$B$72,$A1074+1))))*(MAX(IF(D1074&lt;=0,0,MAX(0,(B1074/D1074)*H1074/INDEX(Surface_Engine!$B$12:$B$72,$A1074+1)-F1074/INDEX(Surface_Engine!$B$12:$B$72,$A1074+1))),IF(E1074&lt;=0,0,MAX(0,(B1074/E1074)*I1074/INDEX(Surface_Engine!$B$12:$B$72,$A1074+1)-F1074/INDEX(Surface_Engine!$B$12:$B$72,$A1074+1))),IF($A1074&lt;$Q$1014,MAX(0,-Assumptions!$B$22*(F1074/INDEX(Surface_Engine!$B$12:$B$72,$A1074+1))),0)))+2*Assumptions!$B$27*(IF(C1074&lt;=0,0,MAX(0,(B1074/C1074)*G1074/INDEX(Surface_Engine!$B$12:$B$72,$A1074+1)-F1074/INDEX(Surface_Engine!$B$12:$B$72,$A1074+1))))*(MAX(0,J1074/INDEX(Surface_Engine!$B$12:$B$72,$A1074+1)-(F1074/INDEX(Surface_Engine!$B$12:$B$72,$A1074+1))))+2*Assumptions!$B$28*(MAX(IF(D1074&lt;=0,0,MAX(0,(B1074/D1074)*H1074/INDEX(Surface_Engine!$B$12:$B$72,$A1074+1)-F1074/INDEX(Surface_Engine!$B$12:$B$72,$A1074+1))),IF(E1074&lt;=0,0,MAX(0,(B1074/E1074)*I1074/INDEX(Surface_Engine!$B$12:$B$72,$A1074+1)-F1074/INDEX(Surface_Engine!$B$12:$B$72,$A1074+1))),IF($A1074&lt;$Q$1014,MAX(0,-Assumptions!$B$22*(F1074/INDEX(Surface_Engine!$B$12:$B$72,$A1074+1))),0)))*(MAX(0,J1074/INDEX(Surface_Engine!$B$12:$B$72,$A1074+1)-(F1074/INDEX(Surface_Engine!$B$12:$B$72,$A1074+1)))))</f>
        <v>0</v>
      </c>
      <c r="L1074" s="48" t="n">
        <f aca="false">K1074*INDEX(Surface_Engine!$B$12:$B$72,$A1074+1)+L1075</f>
        <v>0</v>
      </c>
      <c r="M1074" s="48" t="n">
        <f aca="false">M1073+B1073*(IF($A1073&lt;$Q$1014,(Surface_Engine!B246*12)-(Surface_Engine!B246*12)*INDEX(Surface_Engine!$F$12:$F$72,$A1073+1)-INDEX(Surface_Engine!$D$12:$D$72,$A1073+1),-(1000*12*INDEX(Surface_Engine!$C$12:$C$72,$A1073+1)/(1+Assumptions!$B$10)^5+INDEX(Surface_Engine!$D$12:$D$72,$A1073+1))))*INDEX(Surface_Engine!$B$12:$B$72,$A1073+1)</f>
        <v>5433.95937966842</v>
      </c>
      <c r="N1074" s="12" t="n">
        <f aca="false">IF(B1074&lt;=0,0,MAX(0,(K1074+Assumptions!$B$29*L1074/INDEX(Surface_Engine!$B$12:$B$72,$A1074+1)-(M1074/INDEX(Surface_Engine!$B$12:$B$72,$A1074+1)-(F1074/INDEX(Surface_Engine!$B$12:$B$72,$A1074+1))))/B1074))</f>
        <v>0</v>
      </c>
    </row>
    <row r="1075" customFormat="false" ht="15" hidden="false" customHeight="true" outlineLevel="0" collapsed="false">
      <c r="A1075" s="1" t="n">
        <v>59</v>
      </c>
      <c r="B1075" s="32" t="n">
        <f aca="false">INDEX(Surface_Engine!$Q$12:$Q$72,$A1075+1)*IF($A1075&lt;$Q$1014,INDEX(Surface_Engine!$E$12:$E$72,$A1075+1),INDEX(Surface_Engine!$E$12:$E$72,$Q$1014+1))</f>
        <v>0</v>
      </c>
      <c r="C1075" s="32" t="n">
        <f aca="false">INDEX(Panel_Reserving!$F$8:$F$68,$A1075+1)*IF($A1075&lt;$Q$1014,INDEX(Surface_Engine!$E$12:$E$72,$A1075+1),INDEX(Surface_Engine!$E$12:$E$72,$Q$1014+1))</f>
        <v>0</v>
      </c>
      <c r="D1075" s="32" t="n">
        <f aca="false">INDEX(Surface_Engine!$Q$12:$Q$72,$A1075+1)*IF($A1075&lt;$Q$1014,INDEX(Surface_Engine!$Y$12:$Y$72,$A1075+1),INDEX(Surface_Engine!$Y$12:$Y$72,$Q$1014+1))</f>
        <v>0</v>
      </c>
      <c r="E1075" s="32" t="n">
        <f aca="false">INDEX(Surface_Engine!$Q$12:$Q$72,$A1075+1)*IF($A1075&lt;$Q$1014,INDEX(Surface_Engine!$Z$12:$Z$72,$A1075+1),INDEX(Surface_Engine!$Z$12:$Z$72,$Q$1014+1))</f>
        <v>0</v>
      </c>
      <c r="F1075" s="48" t="n">
        <f aca="false">B1075*(IF($A1075&lt;$Q$1014,INDEX(Surface_Engine!$D$12:$D$72,$A1075+1)+(Surface_Engine!B246*12)*INDEX(Surface_Engine!$F$12:$F$72,$A1075+1)-(Surface_Engine!B246*12),1000*12*INDEX(Surface_Engine!$C$12:$C$72,$A1075+1)/(1+Assumptions!$B$10)^5+INDEX(Surface_Engine!$D$12:$D$72,$A1075+1)))*INDEX(Surface_Engine!$B$12:$B$72,$A1075+1)+F1076</f>
        <v>0</v>
      </c>
      <c r="G1075" s="48" t="n">
        <f aca="false">C1075*(IF($A1075&lt;$Q$1014,INDEX(Surface_Engine!$D$12:$D$72,$A1075+1)+(Surface_Engine!B246*12)*INDEX(Surface_Engine!$F$12:$F$72,$A1075+1)-(Surface_Engine!B246*12),1000*12*INDEX(Surface_Engine!$C$12:$C$72,$A1075+1)/(1+Assumptions!$B$10)^5+INDEX(Surface_Engine!$D$12:$D$72,$A1075+1)))*INDEX(Surface_Engine!$B$12:$B$72,$A1075+1)+G1076</f>
        <v>0</v>
      </c>
      <c r="H1075" s="48" t="n">
        <f aca="false">D1075*(IF($A1075&lt;$Q$1014,INDEX(Surface_Engine!$D$12:$D$72,$A1075+1)+(Surface_Engine!B246*12)*INDEX(Surface_Engine!$F$12:$F$72,$A1075+1)-(Surface_Engine!B246*12),1000*12*INDEX(Surface_Engine!$C$12:$C$72,$A1075+1)/(1+Assumptions!$B$10)^5+INDEX(Surface_Engine!$D$12:$D$72,$A1075+1)))*INDEX(Surface_Engine!$B$12:$B$72,$A1075+1)+H1076</f>
        <v>0</v>
      </c>
      <c r="I1075" s="48" t="n">
        <f aca="false">E1075*(IF($A1075&lt;$Q$1014,INDEX(Surface_Engine!$D$12:$D$72,$A1075+1)+(Surface_Engine!B246*12)*INDEX(Surface_Engine!$F$12:$F$72,$A1075+1)-(Surface_Engine!B246*12),1000*12*INDEX(Surface_Engine!$C$12:$C$72,$A1075+1)/(1+Assumptions!$B$10)^5+INDEX(Surface_Engine!$D$12:$D$72,$A1075+1)))*INDEX(Surface_Engine!$B$12:$B$72,$A1075+1)+I1076</f>
        <v>0</v>
      </c>
      <c r="J1075" s="48" t="n">
        <f aca="false">B1075*(IF($A1075&lt;$Q$1014,INDEX(Surface_Engine!$D$12:$D$72,$A1075+1)*(1+Assumptions!$B$24)+(Surface_Engine!B246*12)*INDEX(Surface_Engine!$F$12:$F$72,$A1075+1)-(Surface_Engine!B246*12),1000*12*INDEX(Surface_Engine!$C$12:$C$72,$A1075+1)/(1+Assumptions!$B$10)^5+INDEX(Surface_Engine!$D$12:$D$72,$A1075+1)*(1+Assumptions!$B$24)))*INDEX(Surface_Engine!$B$12:$B$72,$A1075+1)+J1076</f>
        <v>0</v>
      </c>
      <c r="K1075" s="12" t="n">
        <f aca="false">SQRT((IF(C1075&lt;=0,0,MAX(0,(B1075/C1075)*G1075/INDEX(Surface_Engine!$B$12:$B$72,$A1075+1)-F1075/INDEX(Surface_Engine!$B$12:$B$72,$A1075+1))))^2+(MAX(IF(D1075&lt;=0,0,MAX(0,(B1075/D1075)*H1075/INDEX(Surface_Engine!$B$12:$B$72,$A1075+1)-F1075/INDEX(Surface_Engine!$B$12:$B$72,$A1075+1))),IF(E1075&lt;=0,0,MAX(0,(B1075/E1075)*I1075/INDEX(Surface_Engine!$B$12:$B$72,$A1075+1)-F1075/INDEX(Surface_Engine!$B$12:$B$72,$A1075+1))),IF($A1075&lt;$Q$1014,MAX(0,-Assumptions!$B$22*(F1075/INDEX(Surface_Engine!$B$12:$B$72,$A1075+1))),0)))^2+(MAX(0,J1075/INDEX(Surface_Engine!$B$12:$B$72,$A1075+1)-(F1075/INDEX(Surface_Engine!$B$12:$B$72,$A1075+1))))^2+2*Assumptions!$B$26*(IF(C1075&lt;=0,0,MAX(0,(B1075/C1075)*G1075/INDEX(Surface_Engine!$B$12:$B$72,$A1075+1)-F1075/INDEX(Surface_Engine!$B$12:$B$72,$A1075+1))))*(MAX(IF(D1075&lt;=0,0,MAX(0,(B1075/D1075)*H1075/INDEX(Surface_Engine!$B$12:$B$72,$A1075+1)-F1075/INDEX(Surface_Engine!$B$12:$B$72,$A1075+1))),IF(E1075&lt;=0,0,MAX(0,(B1075/E1075)*I1075/INDEX(Surface_Engine!$B$12:$B$72,$A1075+1)-F1075/INDEX(Surface_Engine!$B$12:$B$72,$A1075+1))),IF($A1075&lt;$Q$1014,MAX(0,-Assumptions!$B$22*(F1075/INDEX(Surface_Engine!$B$12:$B$72,$A1075+1))),0)))+2*Assumptions!$B$27*(IF(C1075&lt;=0,0,MAX(0,(B1075/C1075)*G1075/INDEX(Surface_Engine!$B$12:$B$72,$A1075+1)-F1075/INDEX(Surface_Engine!$B$12:$B$72,$A1075+1))))*(MAX(0,J1075/INDEX(Surface_Engine!$B$12:$B$72,$A1075+1)-(F1075/INDEX(Surface_Engine!$B$12:$B$72,$A1075+1))))+2*Assumptions!$B$28*(MAX(IF(D1075&lt;=0,0,MAX(0,(B1075/D1075)*H1075/INDEX(Surface_Engine!$B$12:$B$72,$A1075+1)-F1075/INDEX(Surface_Engine!$B$12:$B$72,$A1075+1))),IF(E1075&lt;=0,0,MAX(0,(B1075/E1075)*I1075/INDEX(Surface_Engine!$B$12:$B$72,$A1075+1)-F1075/INDEX(Surface_Engine!$B$12:$B$72,$A1075+1))),IF($A1075&lt;$Q$1014,MAX(0,-Assumptions!$B$22*(F1075/INDEX(Surface_Engine!$B$12:$B$72,$A1075+1))),0)))*(MAX(0,J1075/INDEX(Surface_Engine!$B$12:$B$72,$A1075+1)-(F1075/INDEX(Surface_Engine!$B$12:$B$72,$A1075+1)))))</f>
        <v>0</v>
      </c>
      <c r="L1075" s="48" t="n">
        <f aca="false">K1075*INDEX(Surface_Engine!$B$12:$B$72,$A1075+1)+L1076</f>
        <v>0</v>
      </c>
      <c r="M1075" s="48" t="n">
        <f aca="false">M1074+B1074*(IF($A1074&lt;$Q$1014,(Surface_Engine!B246*12)-(Surface_Engine!B246*12)*INDEX(Surface_Engine!$F$12:$F$72,$A1074+1)-INDEX(Surface_Engine!$D$12:$D$72,$A1074+1),-(1000*12*INDEX(Surface_Engine!$C$12:$C$72,$A1074+1)/(1+Assumptions!$B$10)^5+INDEX(Surface_Engine!$D$12:$D$72,$A1074+1))))*INDEX(Surface_Engine!$B$12:$B$72,$A1074+1)</f>
        <v>5433.95937966842</v>
      </c>
      <c r="N1075" s="12" t="n">
        <f aca="false">IF(B1075&lt;=0,0,MAX(0,(K1075+Assumptions!$B$29*L1075/INDEX(Surface_Engine!$B$12:$B$72,$A1075+1)-(M1075/INDEX(Surface_Engine!$B$12:$B$72,$A1075+1)-(F1075/INDEX(Surface_Engine!$B$12:$B$72,$A1075+1))))/B1075))</f>
        <v>0</v>
      </c>
    </row>
    <row r="1076" customFormat="false" ht="15" hidden="false" customHeight="true" outlineLevel="0" collapsed="false">
      <c r="A1076" s="1" t="n">
        <v>60</v>
      </c>
      <c r="B1076" s="32" t="n">
        <f aca="false">INDEX(Surface_Engine!$Q$12:$Q$72,$A1076+1)*IF($A1076&lt;$Q$1014,INDEX(Surface_Engine!$E$12:$E$72,$A1076+1),INDEX(Surface_Engine!$E$12:$E$72,$Q$1014+1))</f>
        <v>0</v>
      </c>
      <c r="C1076" s="32" t="n">
        <f aca="false">INDEX(Panel_Reserving!$F$8:$F$68,$A1076+1)*IF($A1076&lt;$Q$1014,INDEX(Surface_Engine!$E$12:$E$72,$A1076+1),INDEX(Surface_Engine!$E$12:$E$72,$Q$1014+1))</f>
        <v>0</v>
      </c>
      <c r="D1076" s="32" t="n">
        <f aca="false">INDEX(Surface_Engine!$Q$12:$Q$72,$A1076+1)*IF($A1076&lt;$Q$1014,INDEX(Surface_Engine!$Y$12:$Y$72,$A1076+1),INDEX(Surface_Engine!$Y$12:$Y$72,$Q$1014+1))</f>
        <v>0</v>
      </c>
      <c r="E1076" s="32" t="n">
        <f aca="false">INDEX(Surface_Engine!$Q$12:$Q$72,$A1076+1)*IF($A1076&lt;$Q$1014,INDEX(Surface_Engine!$Z$12:$Z$72,$A1076+1),INDEX(Surface_Engine!$Z$12:$Z$72,$Q$1014+1))</f>
        <v>0</v>
      </c>
      <c r="F1076" s="48" t="n">
        <f aca="false">B1076*(IF($A1076&lt;$Q$1014,INDEX(Surface_Engine!$D$12:$D$72,$A1076+1)+(Surface_Engine!B246*12)*INDEX(Surface_Engine!$F$12:$F$72,$A1076+1)-(Surface_Engine!B246*12),1000*12*INDEX(Surface_Engine!$C$12:$C$72,$A1076+1)/(1+Assumptions!$B$10)^5+INDEX(Surface_Engine!$D$12:$D$72,$A1076+1)))*INDEX(Surface_Engine!$B$12:$B$72,$A1076+1)</f>
        <v>0</v>
      </c>
      <c r="G1076" s="48" t="n">
        <f aca="false">C1076*(IF($A1076&lt;$Q$1014,INDEX(Surface_Engine!$D$12:$D$72,$A1076+1)+(Surface_Engine!B246*12)*INDEX(Surface_Engine!$F$12:$F$72,$A1076+1)-(Surface_Engine!B246*12),1000*12*INDEX(Surface_Engine!$C$12:$C$72,$A1076+1)/(1+Assumptions!$B$10)^5+INDEX(Surface_Engine!$D$12:$D$72,$A1076+1)))*INDEX(Surface_Engine!$B$12:$B$72,$A1076+1)</f>
        <v>0</v>
      </c>
      <c r="H1076" s="48" t="n">
        <f aca="false">D1076*(IF($A1076&lt;$Q$1014,INDEX(Surface_Engine!$D$12:$D$72,$A1076+1)+(Surface_Engine!B246*12)*INDEX(Surface_Engine!$F$12:$F$72,$A1076+1)-(Surface_Engine!B246*12),1000*12*INDEX(Surface_Engine!$C$12:$C$72,$A1076+1)/(1+Assumptions!$B$10)^5+INDEX(Surface_Engine!$D$12:$D$72,$A1076+1)))*INDEX(Surface_Engine!$B$12:$B$72,$A1076+1)</f>
        <v>0</v>
      </c>
      <c r="I1076" s="48" t="n">
        <f aca="false">E1076*(IF($A1076&lt;$Q$1014,INDEX(Surface_Engine!$D$12:$D$72,$A1076+1)+(Surface_Engine!B246*12)*INDEX(Surface_Engine!$F$12:$F$72,$A1076+1)-(Surface_Engine!B246*12),1000*12*INDEX(Surface_Engine!$C$12:$C$72,$A1076+1)/(1+Assumptions!$B$10)^5+INDEX(Surface_Engine!$D$12:$D$72,$A1076+1)))*INDEX(Surface_Engine!$B$12:$B$72,$A1076+1)</f>
        <v>0</v>
      </c>
      <c r="J1076" s="48" t="n">
        <f aca="false">B1076*(IF($A1076&lt;$Q$1014,INDEX(Surface_Engine!$D$12:$D$72,$A1076+1)*(1+Assumptions!$B$24)+(Surface_Engine!B246*12)*INDEX(Surface_Engine!$F$12:$F$72,$A1076+1)-(Surface_Engine!B246*12),1000*12*INDEX(Surface_Engine!$C$12:$C$72,$A1076+1)/(1+Assumptions!$B$10)^5+INDEX(Surface_Engine!$D$12:$D$72,$A1076+1)*(1+Assumptions!$B$24)))*INDEX(Surface_Engine!$B$12:$B$72,$A1076+1)</f>
        <v>0</v>
      </c>
      <c r="K1076" s="12" t="n">
        <f aca="false">SQRT((IF(C1076&lt;=0,0,MAX(0,(B1076/C1076)*G1076/INDEX(Surface_Engine!$B$12:$B$72,$A1076+1)-F1076/INDEX(Surface_Engine!$B$12:$B$72,$A1076+1))))^2+(MAX(IF(D1076&lt;=0,0,MAX(0,(B1076/D1076)*H1076/INDEX(Surface_Engine!$B$12:$B$72,$A1076+1)-F1076/INDEX(Surface_Engine!$B$12:$B$72,$A1076+1))),IF(E1076&lt;=0,0,MAX(0,(B1076/E1076)*I1076/INDEX(Surface_Engine!$B$12:$B$72,$A1076+1)-F1076/INDEX(Surface_Engine!$B$12:$B$72,$A1076+1))),IF($A1076&lt;$Q$1014,MAX(0,-Assumptions!$B$22*(F1076/INDEX(Surface_Engine!$B$12:$B$72,$A1076+1))),0)))^2+(MAX(0,J1076/INDEX(Surface_Engine!$B$12:$B$72,$A1076+1)-(F1076/INDEX(Surface_Engine!$B$12:$B$72,$A1076+1))))^2+2*Assumptions!$B$26*(IF(C1076&lt;=0,0,MAX(0,(B1076/C1076)*G1076/INDEX(Surface_Engine!$B$12:$B$72,$A1076+1)-F1076/INDEX(Surface_Engine!$B$12:$B$72,$A1076+1))))*(MAX(IF(D1076&lt;=0,0,MAX(0,(B1076/D1076)*H1076/INDEX(Surface_Engine!$B$12:$B$72,$A1076+1)-F1076/INDEX(Surface_Engine!$B$12:$B$72,$A1076+1))),IF(E1076&lt;=0,0,MAX(0,(B1076/E1076)*I1076/INDEX(Surface_Engine!$B$12:$B$72,$A1076+1)-F1076/INDEX(Surface_Engine!$B$12:$B$72,$A1076+1))),IF($A1076&lt;$Q$1014,MAX(0,-Assumptions!$B$22*(F1076/INDEX(Surface_Engine!$B$12:$B$72,$A1076+1))),0)))+2*Assumptions!$B$27*(IF(C1076&lt;=0,0,MAX(0,(B1076/C1076)*G1076/INDEX(Surface_Engine!$B$12:$B$72,$A1076+1)-F1076/INDEX(Surface_Engine!$B$12:$B$72,$A1076+1))))*(MAX(0,J1076/INDEX(Surface_Engine!$B$12:$B$72,$A1076+1)-(F1076/INDEX(Surface_Engine!$B$12:$B$72,$A1076+1))))+2*Assumptions!$B$28*(MAX(IF(D1076&lt;=0,0,MAX(0,(B1076/D1076)*H1076/INDEX(Surface_Engine!$B$12:$B$72,$A1076+1)-F1076/INDEX(Surface_Engine!$B$12:$B$72,$A1076+1))),IF(E1076&lt;=0,0,MAX(0,(B1076/E1076)*I1076/INDEX(Surface_Engine!$B$12:$B$72,$A1076+1)-F1076/INDEX(Surface_Engine!$B$12:$B$72,$A1076+1))),IF($A1076&lt;$Q$1014,MAX(0,-Assumptions!$B$22*(F1076/INDEX(Surface_Engine!$B$12:$B$72,$A1076+1))),0)))*(MAX(0,J1076/INDEX(Surface_Engine!$B$12:$B$72,$A1076+1)-(F1076/INDEX(Surface_Engine!$B$12:$B$72,$A1076+1)))))</f>
        <v>0</v>
      </c>
      <c r="L1076" s="48" t="n">
        <f aca="false">K1076*INDEX(Surface_Engine!$B$12:$B$72,$A1076+1)</f>
        <v>0</v>
      </c>
      <c r="M1076" s="48" t="n">
        <f aca="false">M1075+B1075*(IF($A1075&lt;$Q$1014,(Surface_Engine!B246*12)-(Surface_Engine!B246*12)*INDEX(Surface_Engine!$F$12:$F$72,$A1075+1)-INDEX(Surface_Engine!$D$12:$D$72,$A1075+1),-(1000*12*INDEX(Surface_Engine!$C$12:$C$72,$A1075+1)/(1+Assumptions!$B$10)^5+INDEX(Surface_Engine!$D$12:$D$72,$A1075+1))))*INDEX(Surface_Engine!$B$12:$B$72,$A1075+1)</f>
        <v>5433.95937966842</v>
      </c>
      <c r="N1076" s="12" t="n">
        <f aca="false">IF(B1076&lt;=0,0,MAX(0,(K1076+Assumptions!$B$29*L1076/INDEX(Surface_Engine!$B$12:$B$72,$A1076+1)-(M1076/INDEX(Surface_Engine!$B$12:$B$72,$A1076+1)-(F1076/INDEX(Surface_Engine!$B$12:$B$72,$A1076+1))))/B1076))</f>
        <v>0</v>
      </c>
    </row>
    <row r="1077" customFormat="false" ht="15" hidden="false" customHeight="true" outlineLevel="0" collapsed="false">
      <c r="A1077" s="4" t="str">
        <f aca="false">"entry "&amp;O1077&amp;" / vesting "&amp;P1077&amp;"   deferral "&amp;Q1077</f>
        <v>entry 70 / vesting 80   deferral 10</v>
      </c>
      <c r="C1077" s="49" t="n">
        <f aca="false">MAX(N1016:N1076)</f>
        <v>21513.7347350036</v>
      </c>
      <c r="E1077" s="7" t="s">
        <v>1634</v>
      </c>
      <c r="G1077" s="21" t="n">
        <f aca="false">INDEX(A1016:A1076,MATCH(C1077,N1016:N1076,0))</f>
        <v>2</v>
      </c>
      <c r="J1077" s="7" t="s">
        <v>1624</v>
      </c>
      <c r="K1077" s="50" t="n">
        <f aca="false">Surface_Engine!G246</f>
        <v>996.603247196247</v>
      </c>
      <c r="O1077" s="1" t="n">
        <f aca="false">A1718</f>
        <v>70</v>
      </c>
      <c r="P1077" s="76" t="n">
        <f aca="false">C$1713</f>
        <v>80</v>
      </c>
      <c r="Q1077" s="1" t="n">
        <f aca="false">P1077-O1077</f>
        <v>10</v>
      </c>
    </row>
    <row r="1078" customFormat="false" ht="15" hidden="false" customHeight="true" outlineLevel="0" collapsed="false">
      <c r="A1078" s="8" t="s">
        <v>802</v>
      </c>
      <c r="B1078" s="8" t="s">
        <v>1584</v>
      </c>
      <c r="C1078" s="8" t="s">
        <v>1585</v>
      </c>
      <c r="D1078" s="8" t="s">
        <v>1587</v>
      </c>
      <c r="E1078" s="8" t="s">
        <v>1588</v>
      </c>
      <c r="F1078" s="8" t="s">
        <v>1625</v>
      </c>
      <c r="G1078" s="8" t="s">
        <v>1626</v>
      </c>
      <c r="H1078" s="8" t="s">
        <v>1627</v>
      </c>
      <c r="I1078" s="8" t="s">
        <v>1628</v>
      </c>
      <c r="J1078" s="8" t="s">
        <v>1629</v>
      </c>
      <c r="K1078" s="8" t="s">
        <v>812</v>
      </c>
      <c r="L1078" s="8" t="s">
        <v>1630</v>
      </c>
      <c r="M1078" s="8" t="s">
        <v>341</v>
      </c>
      <c r="N1078" s="8" t="s">
        <v>1631</v>
      </c>
      <c r="O1078" s="1" t="s">
        <v>1544</v>
      </c>
      <c r="P1078" s="1" t="s">
        <v>1632</v>
      </c>
      <c r="Q1078" s="1" t="s">
        <v>1633</v>
      </c>
    </row>
    <row r="1079" customFormat="false" ht="15" hidden="false" customHeight="true" outlineLevel="0" collapsed="false">
      <c r="A1079" s="1" t="n">
        <v>0</v>
      </c>
      <c r="B1079" s="32" t="n">
        <f aca="false">INDEX(Surface_Engine!$Q$12:$Q$72,$A1079+1)*IF($A1079&lt;$Q$1077,INDEX(Surface_Engine!$E$12:$E$72,$A1079+1),INDEX(Surface_Engine!$E$12:$E$72,$Q$1077+1))</f>
        <v>1</v>
      </c>
      <c r="C1079" s="32" t="n">
        <f aca="false">INDEX(Panel_Reserving!$F$8:$F$68,$A1079+1)*IF($A1079&lt;$Q$1077,INDEX(Surface_Engine!$E$12:$E$72,$A1079+1),INDEX(Surface_Engine!$E$12:$E$72,$Q$1077+1))</f>
        <v>1</v>
      </c>
      <c r="D1079" s="32" t="n">
        <f aca="false">INDEX(Surface_Engine!$Q$12:$Q$72,$A1079+1)*IF($A1079&lt;$Q$1077,INDEX(Surface_Engine!$Y$12:$Y$72,$A1079+1),INDEX(Surface_Engine!$Y$12:$Y$72,$Q$1077+1))</f>
        <v>1</v>
      </c>
      <c r="E1079" s="32" t="n">
        <f aca="false">INDEX(Surface_Engine!$Q$12:$Q$72,$A1079+1)*IF($A1079&lt;$Q$1077,INDEX(Surface_Engine!$Z$12:$Z$72,$A1079+1),INDEX(Surface_Engine!$Z$12:$Z$72,$Q$1077+1))</f>
        <v>1</v>
      </c>
      <c r="F1079" s="48" t="n">
        <f aca="false">B1079*(IF($A1079&lt;$Q$1077,INDEX(Surface_Engine!$D$12:$D$72,$A1079+1)+(Surface_Engine!G246*12)*INDEX(Surface_Engine!$F$12:$F$72,$A1079+1)-(Surface_Engine!G246*12),1000*12*INDEX(Surface_Engine!$C$12:$C$72,$A1079+1)/(1+Assumptions!$B$10)^10+INDEX(Surface_Engine!$D$12:$D$72,$A1079+1)))*INDEX(Surface_Engine!$B$12:$B$72,$A1079+1)+F1080</f>
        <v>-2783.53396793925</v>
      </c>
      <c r="G1079" s="48" t="n">
        <f aca="false">C1079*(IF($A1079&lt;$Q$1077,INDEX(Surface_Engine!$D$12:$D$72,$A1079+1)+(Surface_Engine!G246*12)*INDEX(Surface_Engine!$F$12:$F$72,$A1079+1)-(Surface_Engine!G246*12),1000*12*INDEX(Surface_Engine!$C$12:$C$72,$A1079+1)/(1+Assumptions!$B$10)^10+INDEX(Surface_Engine!$D$12:$D$72,$A1079+1)))*INDEX(Surface_Engine!$B$12:$B$72,$A1079+1)+G1080</f>
        <v>7131.23051798521</v>
      </c>
      <c r="H1079" s="48" t="n">
        <f aca="false">D1079*(IF($A1079&lt;$Q$1077,INDEX(Surface_Engine!$D$12:$D$72,$A1079+1)+(Surface_Engine!G246*12)*INDEX(Surface_Engine!$F$12:$F$72,$A1079+1)-(Surface_Engine!G246*12),1000*12*INDEX(Surface_Engine!$C$12:$C$72,$A1079+1)/(1+Assumptions!$B$10)^10+INDEX(Surface_Engine!$D$12:$D$72,$A1079+1)))*INDEX(Surface_Engine!$B$12:$B$72,$A1079+1)+H1080</f>
        <v>-4596.758896153</v>
      </c>
      <c r="I1079" s="48" t="n">
        <f aca="false">E1079*(IF($A1079&lt;$Q$1077,INDEX(Surface_Engine!$D$12:$D$72,$A1079+1)+(Surface_Engine!G246*12)*INDEX(Surface_Engine!$F$12:$F$72,$A1079+1)-(Surface_Engine!G246*12),1000*12*INDEX(Surface_Engine!$C$12:$C$72,$A1079+1)/(1+Assumptions!$B$10)^10+INDEX(Surface_Engine!$D$12:$D$72,$A1079+1)))*INDEX(Surface_Engine!$B$12:$B$72,$A1079+1)+I1080</f>
        <v>-752.553145264934</v>
      </c>
      <c r="J1079" s="48" t="n">
        <f aca="false">B1079*(IF($A1079&lt;$Q$1077,INDEX(Surface_Engine!$D$12:$D$72,$A1079+1)*(1+Assumptions!$B$24)+(Surface_Engine!G246*12)*INDEX(Surface_Engine!$F$12:$F$72,$A1079+1)-(Surface_Engine!G246*12),1000*12*INDEX(Surface_Engine!$C$12:$C$72,$A1079+1)/(1+Assumptions!$B$10)^10+INDEX(Surface_Engine!$D$12:$D$72,$A1079+1)*(1+Assumptions!$B$24)))*INDEX(Surface_Engine!$B$12:$B$72,$A1079+1)+J1080</f>
        <v>-2647.34366048719</v>
      </c>
      <c r="K1079" s="12" t="n">
        <f aca="false">SQRT((IF(C1079&lt;=0,0,MAX(0,(B1079/C1079)*G1079/INDEX(Surface_Engine!$B$12:$B$72,$A1079+1)-F1079/INDEX(Surface_Engine!$B$12:$B$72,$A1079+1))))^2+(MAX(IF(D1079&lt;=0,0,MAX(0,(B1079/D1079)*H1079/INDEX(Surface_Engine!$B$12:$B$72,$A1079+1)-F1079/INDEX(Surface_Engine!$B$12:$B$72,$A1079+1))),IF(E1079&lt;=0,0,MAX(0,(B1079/E1079)*I1079/INDEX(Surface_Engine!$B$12:$B$72,$A1079+1)-F1079/INDEX(Surface_Engine!$B$12:$B$72,$A1079+1))),IF($A1079&lt;$Q$1077,MAX(0,-Assumptions!$B$22*(F1079/INDEX(Surface_Engine!$B$12:$B$72,$A1079+1))),0)))^2+(MAX(0,J1079/INDEX(Surface_Engine!$B$12:$B$72,$A1079+1)-(F1079/INDEX(Surface_Engine!$B$12:$B$72,$A1079+1))))^2+2*Assumptions!$B$26*(IF(C1079&lt;=0,0,MAX(0,(B1079/C1079)*G1079/INDEX(Surface_Engine!$B$12:$B$72,$A1079+1)-F1079/INDEX(Surface_Engine!$B$12:$B$72,$A1079+1))))*(MAX(IF(D1079&lt;=0,0,MAX(0,(B1079/D1079)*H1079/INDEX(Surface_Engine!$B$12:$B$72,$A1079+1)-F1079/INDEX(Surface_Engine!$B$12:$B$72,$A1079+1))),IF(E1079&lt;=0,0,MAX(0,(B1079/E1079)*I1079/INDEX(Surface_Engine!$B$12:$B$72,$A1079+1)-F1079/INDEX(Surface_Engine!$B$12:$B$72,$A1079+1))),IF($A1079&lt;$Q$1077,MAX(0,-Assumptions!$B$22*(F1079/INDEX(Surface_Engine!$B$12:$B$72,$A1079+1))),0)))+2*Assumptions!$B$27*(IF(C1079&lt;=0,0,MAX(0,(B1079/C1079)*G1079/INDEX(Surface_Engine!$B$12:$B$72,$A1079+1)-F1079/INDEX(Surface_Engine!$B$12:$B$72,$A1079+1))))*(MAX(0,J1079/INDEX(Surface_Engine!$B$12:$B$72,$A1079+1)-(F1079/INDEX(Surface_Engine!$B$12:$B$72,$A1079+1))))+2*Assumptions!$B$28*(MAX(IF(D1079&lt;=0,0,MAX(0,(B1079/D1079)*H1079/INDEX(Surface_Engine!$B$12:$B$72,$A1079+1)-F1079/INDEX(Surface_Engine!$B$12:$B$72,$A1079+1))),IF(E1079&lt;=0,0,MAX(0,(B1079/E1079)*I1079/INDEX(Surface_Engine!$B$12:$B$72,$A1079+1)-F1079/INDEX(Surface_Engine!$B$12:$B$72,$A1079+1))),IF($A1079&lt;$Q$1077,MAX(0,-Assumptions!$B$22*(F1079/INDEX(Surface_Engine!$B$12:$B$72,$A1079+1))),0)))*(MAX(0,J1079/INDEX(Surface_Engine!$B$12:$B$72,$A1079+1)-(F1079/INDEX(Surface_Engine!$B$12:$B$72,$A1079+1)))))</f>
        <v>10652.0458736283</v>
      </c>
      <c r="L1079" s="48" t="n">
        <f aca="false">K1079*INDEX(Surface_Engine!$B$12:$B$72,$A1079+1)+L1080</f>
        <v>179111.416496606</v>
      </c>
      <c r="M1079" s="48" t="n">
        <v>0</v>
      </c>
      <c r="N1079" s="12" t="n">
        <f aca="false">IF(B1079&lt;=0,0,MAX(0,(K1079+Assumptions!$B$29*L1079/INDEX(Surface_Engine!$B$12:$B$72,$A1079+1)-(M1079/INDEX(Surface_Engine!$B$12:$B$72,$A1079+1)-(F1079/INDEX(Surface_Engine!$B$12:$B$72,$A1079+1))))/B1079))</f>
        <v>18615.1968954854</v>
      </c>
    </row>
    <row r="1080" customFormat="false" ht="15" hidden="false" customHeight="true" outlineLevel="0" collapsed="false">
      <c r="A1080" s="1" t="n">
        <v>1</v>
      </c>
      <c r="B1080" s="32" t="n">
        <f aca="false">INDEX(Surface_Engine!$Q$12:$Q$72,$A1080+1)*IF($A1080&lt;$Q$1077,INDEX(Surface_Engine!$E$12:$E$72,$A1080+1),INDEX(Surface_Engine!$E$12:$E$72,$Q$1077+1))</f>
        <v>0.95043139219025</v>
      </c>
      <c r="C1080" s="32" t="n">
        <f aca="false">INDEX(Panel_Reserving!$F$8:$F$68,$A1080+1)*IF($A1080&lt;$Q$1077,INDEX(Surface_Engine!$E$12:$E$72,$A1080+1),INDEX(Surface_Engine!$E$12:$E$72,$Q$1077+1))</f>
        <v>0.9522251137522</v>
      </c>
      <c r="D1080" s="32" t="n">
        <f aca="false">INDEX(Surface_Engine!$Q$12:$Q$72,$A1080+1)*IF($A1080&lt;$Q$1077,INDEX(Surface_Engine!$Y$12:$Y$72,$A1080+1),INDEX(Surface_Engine!$Y$12:$Y$72,$Q$1077+1))</f>
        <v>0.930321159480783</v>
      </c>
      <c r="E1080" s="32" t="n">
        <f aca="false">INDEX(Surface_Engine!$Q$12:$Q$72,$A1080+1)*IF($A1080&lt;$Q$1077,INDEX(Surface_Engine!$Z$12:$Z$72,$A1080+1),INDEX(Surface_Engine!$Z$12:$Z$72,$Q$1077+1))</f>
        <v>0.970541624899716</v>
      </c>
      <c r="F1080" s="48" t="n">
        <f aca="false">B1080*(IF($A1080&lt;$Q$1077,INDEX(Surface_Engine!$D$12:$D$72,$A1080+1)+(Surface_Engine!G246*12)*INDEX(Surface_Engine!$F$12:$F$72,$A1080+1)-(Surface_Engine!G246*12),1000*12*INDEX(Surface_Engine!$C$12:$C$72,$A1080+1)/(1+Assumptions!$B$10)^10+INDEX(Surface_Engine!$D$12:$D$72,$A1080+1)))*INDEX(Surface_Engine!$B$12:$B$72,$A1080+1)+F1081</f>
        <v>-2865.53396793925</v>
      </c>
      <c r="G1080" s="48" t="n">
        <f aca="false">C1080*(IF($A1080&lt;$Q$1077,INDEX(Surface_Engine!$D$12:$D$72,$A1080+1)+(Surface_Engine!G246*12)*INDEX(Surface_Engine!$F$12:$F$72,$A1080+1)-(Surface_Engine!G246*12),1000*12*INDEX(Surface_Engine!$C$12:$C$72,$A1080+1)/(1+Assumptions!$B$10)^10+INDEX(Surface_Engine!$D$12:$D$72,$A1080+1)))*INDEX(Surface_Engine!$B$12:$B$72,$A1080+1)+G1081</f>
        <v>7049.23051798521</v>
      </c>
      <c r="H1080" s="48" t="n">
        <f aca="false">D1080*(IF($A1080&lt;$Q$1077,INDEX(Surface_Engine!$D$12:$D$72,$A1080+1)+(Surface_Engine!G246*12)*INDEX(Surface_Engine!$F$12:$F$72,$A1080+1)-(Surface_Engine!G246*12),1000*12*INDEX(Surface_Engine!$C$12:$C$72,$A1080+1)/(1+Assumptions!$B$10)^10+INDEX(Surface_Engine!$D$12:$D$72,$A1080+1)))*INDEX(Surface_Engine!$B$12:$B$72,$A1080+1)+H1081</f>
        <v>-4678.758896153</v>
      </c>
      <c r="I1080" s="48" t="n">
        <f aca="false">E1080*(IF($A1080&lt;$Q$1077,INDEX(Surface_Engine!$D$12:$D$72,$A1080+1)+(Surface_Engine!G246*12)*INDEX(Surface_Engine!$F$12:$F$72,$A1080+1)-(Surface_Engine!G246*12),1000*12*INDEX(Surface_Engine!$C$12:$C$72,$A1080+1)/(1+Assumptions!$B$10)^10+INDEX(Surface_Engine!$D$12:$D$72,$A1080+1)))*INDEX(Surface_Engine!$B$12:$B$72,$A1080+1)+I1081</f>
        <v>-834.553145264934</v>
      </c>
      <c r="J1080" s="48" t="n">
        <f aca="false">B1080*(IF($A1080&lt;$Q$1077,INDEX(Surface_Engine!$D$12:$D$72,$A1080+1)*(1+Assumptions!$B$24)+(Surface_Engine!G246*12)*INDEX(Surface_Engine!$F$12:$F$72,$A1080+1)-(Surface_Engine!G246*12),1000*12*INDEX(Surface_Engine!$C$12:$C$72,$A1080+1)/(1+Assumptions!$B$10)^10+INDEX(Surface_Engine!$D$12:$D$72,$A1080+1)*(1+Assumptions!$B$24)))*INDEX(Surface_Engine!$B$12:$B$72,$A1080+1)+J1081</f>
        <v>-2737.54366048719</v>
      </c>
      <c r="K1080" s="12" t="n">
        <f aca="false">SQRT((IF(C1080&lt;=0,0,MAX(0,(B1080/C1080)*G1080/INDEX(Surface_Engine!$B$12:$B$72,$A1080+1)-F1080/INDEX(Surface_Engine!$B$12:$B$72,$A1080+1))))^2+(MAX(IF(D1080&lt;=0,0,MAX(0,(B1080/D1080)*H1080/INDEX(Surface_Engine!$B$12:$B$72,$A1080+1)-F1080/INDEX(Surface_Engine!$B$12:$B$72,$A1080+1))),IF(E1080&lt;=0,0,MAX(0,(B1080/E1080)*I1080/INDEX(Surface_Engine!$B$12:$B$72,$A1080+1)-F1080/INDEX(Surface_Engine!$B$12:$B$72,$A1080+1))),IF($A1080&lt;$Q$1077,MAX(0,-Assumptions!$B$22*(F1080/INDEX(Surface_Engine!$B$12:$B$72,$A1080+1))),0)))^2+(MAX(0,J1080/INDEX(Surface_Engine!$B$12:$B$72,$A1080+1)-(F1080/INDEX(Surface_Engine!$B$12:$B$72,$A1080+1))))^2+2*Assumptions!$B$26*(IF(C1080&lt;=0,0,MAX(0,(B1080/C1080)*G1080/INDEX(Surface_Engine!$B$12:$B$72,$A1080+1)-F1080/INDEX(Surface_Engine!$B$12:$B$72,$A1080+1))))*(MAX(IF(D1080&lt;=0,0,MAX(0,(B1080/D1080)*H1080/INDEX(Surface_Engine!$B$12:$B$72,$A1080+1)-F1080/INDEX(Surface_Engine!$B$12:$B$72,$A1080+1))),IF(E1080&lt;=0,0,MAX(0,(B1080/E1080)*I1080/INDEX(Surface_Engine!$B$12:$B$72,$A1080+1)-F1080/INDEX(Surface_Engine!$B$12:$B$72,$A1080+1))),IF($A1080&lt;$Q$1077,MAX(0,-Assumptions!$B$22*(F1080/INDEX(Surface_Engine!$B$12:$B$72,$A1080+1))),0)))+2*Assumptions!$B$27*(IF(C1080&lt;=0,0,MAX(0,(B1080/C1080)*G1080/INDEX(Surface_Engine!$B$12:$B$72,$A1080+1)-F1080/INDEX(Surface_Engine!$B$12:$B$72,$A1080+1))))*(MAX(0,J1080/INDEX(Surface_Engine!$B$12:$B$72,$A1080+1)-(F1080/INDEX(Surface_Engine!$B$12:$B$72,$A1080+1))))+2*Assumptions!$B$28*(MAX(IF(D1080&lt;=0,0,MAX(0,(B1080/D1080)*H1080/INDEX(Surface_Engine!$B$12:$B$72,$A1080+1)-F1080/INDEX(Surface_Engine!$B$12:$B$72,$A1080+1))),IF(E1080&lt;=0,0,MAX(0,(B1080/E1080)*I1080/INDEX(Surface_Engine!$B$12:$B$72,$A1080+1)-F1080/INDEX(Surface_Engine!$B$12:$B$72,$A1080+1))),IF($A1080&lt;$Q$1077,MAX(0,-Assumptions!$B$22*(F1080/INDEX(Surface_Engine!$B$12:$B$72,$A1080+1))),0)))*(MAX(0,J1080/INDEX(Surface_Engine!$B$12:$B$72,$A1080+1)-(F1080/INDEX(Surface_Engine!$B$12:$B$72,$A1080+1)))))</f>
        <v>10919.9697618288</v>
      </c>
      <c r="L1080" s="48" t="n">
        <f aca="false">K1080*INDEX(Surface_Engine!$B$12:$B$72,$A1080+1)+L1081</f>
        <v>168459.370622978</v>
      </c>
      <c r="M1080" s="48" t="n">
        <f aca="false">M1079+B1079*(IF($A1079&lt;$Q$1077,(Surface_Engine!G246*12)-(Surface_Engine!G246*12)*INDEX(Surface_Engine!$F$12:$F$72,$A1079+1)-INDEX(Surface_Engine!$D$12:$D$72,$A1079+1),-(1000*12*INDEX(Surface_Engine!$C$12:$C$72,$A1079+1)/(1+Assumptions!$B$10)^10+INDEX(Surface_Engine!$D$12:$D$72,$A1079+1))))*INDEX(Surface_Engine!$B$12:$B$72,$A1079+1)</f>
        <v>-82</v>
      </c>
      <c r="N1080" s="12" t="n">
        <f aca="false">IF(B1080&lt;=0,0,MAX(0,(K1080+Assumptions!$B$29*L1080/INDEX(Surface_Engine!$B$12:$B$72,$A1080+1)-(M1080/INDEX(Surface_Engine!$B$12:$B$72,$A1080+1)-(F1080/INDEX(Surface_Engine!$B$12:$B$72,$A1080+1))))/B1080))</f>
        <v>19395.5397060926</v>
      </c>
    </row>
    <row r="1081" customFormat="false" ht="15" hidden="false" customHeight="true" outlineLevel="0" collapsed="false">
      <c r="A1081" s="1" t="n">
        <v>2</v>
      </c>
      <c r="B1081" s="32" t="n">
        <f aca="false">INDEX(Surface_Engine!$Q$12:$Q$72,$A1081+1)*IF($A1081&lt;$Q$1077,INDEX(Surface_Engine!$E$12:$E$72,$A1081+1),INDEX(Surface_Engine!$E$12:$E$72,$Q$1077+1))</f>
        <v>0.920253133366788</v>
      </c>
      <c r="C1081" s="32" t="n">
        <f aca="false">INDEX(Panel_Reserving!$F$8:$F$68,$A1081+1)*IF($A1081&lt;$Q$1077,INDEX(Surface_Engine!$E$12:$E$72,$A1081+1),INDEX(Surface_Engine!$E$12:$E$72,$Q$1077+1))</f>
        <v>0.923904286058646</v>
      </c>
      <c r="D1081" s="32" t="n">
        <f aca="false">INDEX(Surface_Engine!$Q$12:$Q$72,$A1081+1)*IF($A1081&lt;$Q$1077,INDEX(Surface_Engine!$Y$12:$Y$72,$A1081+1),INDEX(Surface_Engine!$Y$12:$Y$72,$Q$1077+1))</f>
        <v>0.890791176704882</v>
      </c>
      <c r="E1081" s="32" t="n">
        <f aca="false">INDEX(Surface_Engine!$Q$12:$Q$72,$A1081+1)*IF($A1081&lt;$Q$1077,INDEX(Surface_Engine!$Z$12:$Z$72,$A1081+1),INDEX(Surface_Engine!$Z$12:$Z$72,$Q$1077+1))</f>
        <v>0.950146998088989</v>
      </c>
      <c r="F1081" s="48" t="n">
        <f aca="false">B1081*(IF($A1081&lt;$Q$1077,INDEX(Surface_Engine!$D$12:$D$72,$A1081+1)+(Surface_Engine!G246*12)*INDEX(Surface_Engine!$F$12:$F$72,$A1081+1)-(Surface_Engine!G246*12),1000*12*INDEX(Surface_Engine!$C$12:$C$72,$A1081+1)/(1+Assumptions!$B$10)^10+INDEX(Surface_Engine!$D$12:$D$72,$A1081+1)))*INDEX(Surface_Engine!$B$12:$B$72,$A1081+1)+F1082</f>
        <v>7581.49181747013</v>
      </c>
      <c r="G1081" s="48" t="n">
        <f aca="false">C1081*(IF($A1081&lt;$Q$1077,INDEX(Surface_Engine!$D$12:$D$72,$A1081+1)+(Surface_Engine!G246*12)*INDEX(Surface_Engine!$F$12:$F$72,$A1081+1)-(Surface_Engine!G246*12),1000*12*INDEX(Surface_Engine!$C$12:$C$72,$A1081+1)/(1+Assumptions!$B$10)^10+INDEX(Surface_Engine!$D$12:$D$72,$A1081+1)))*INDEX(Surface_Engine!$B$12:$B$72,$A1081+1)+G1082</f>
        <v>17515.9726717338</v>
      </c>
      <c r="H1081" s="48" t="n">
        <f aca="false">D1081*(IF($A1081&lt;$Q$1077,INDEX(Surface_Engine!$D$12:$D$72,$A1081+1)+(Surface_Engine!G246*12)*INDEX(Surface_Engine!$F$12:$F$72,$A1081+1)-(Surface_Engine!G246*12),1000*12*INDEX(Surface_Engine!$C$12:$C$72,$A1081+1)/(1+Assumptions!$B$10)^10+INDEX(Surface_Engine!$D$12:$D$72,$A1081+1)))*INDEX(Surface_Engine!$B$12:$B$72,$A1081+1)+H1082</f>
        <v>5547.21766740542</v>
      </c>
      <c r="I1081" s="48" t="n">
        <f aca="false">E1081*(IF($A1081&lt;$Q$1077,INDEX(Surface_Engine!$D$12:$D$72,$A1081+1)+(Surface_Engine!G246*12)*INDEX(Surface_Engine!$F$12:$F$72,$A1081+1)-(Surface_Engine!G246*12),1000*12*INDEX(Surface_Engine!$C$12:$C$72,$A1081+1)/(1+Assumptions!$B$10)^10+INDEX(Surface_Engine!$D$12:$D$72,$A1081+1)))*INDEX(Surface_Engine!$B$12:$B$72,$A1081+1)+I1082</f>
        <v>9833.5218619954</v>
      </c>
      <c r="J1081" s="48" t="n">
        <f aca="false">B1081*(IF($A1081&lt;$Q$1077,INDEX(Surface_Engine!$D$12:$D$72,$A1081+1)*(1+Assumptions!$B$24)+(Surface_Engine!G246*12)*INDEX(Surface_Engine!$F$12:$F$72,$A1081+1)-(Surface_Engine!G246*12),1000*12*INDEX(Surface_Engine!$C$12:$C$72,$A1081+1)/(1+Assumptions!$B$10)^10+INDEX(Surface_Engine!$D$12:$D$72,$A1081+1)*(1+Assumptions!$B$24)))*INDEX(Surface_Engine!$B$12:$B$72,$A1081+1)+J1082</f>
        <v>7701.69587998928</v>
      </c>
      <c r="K1081" s="12" t="n">
        <f aca="false">SQRT((IF(C1081&lt;=0,0,MAX(0,(B1081/C1081)*G1081/INDEX(Surface_Engine!$B$12:$B$72,$A1081+1)-F1081/INDEX(Surface_Engine!$B$12:$B$72,$A1081+1))))^2+(MAX(IF(D1081&lt;=0,0,MAX(0,(B1081/D1081)*H1081/INDEX(Surface_Engine!$B$12:$B$72,$A1081+1)-F1081/INDEX(Surface_Engine!$B$12:$B$72,$A1081+1))),IF(E1081&lt;=0,0,MAX(0,(B1081/E1081)*I1081/INDEX(Surface_Engine!$B$12:$B$72,$A1081+1)-F1081/INDEX(Surface_Engine!$B$12:$B$72,$A1081+1))),IF($A1081&lt;$Q$1077,MAX(0,-Assumptions!$B$22*(F1081/INDEX(Surface_Engine!$B$12:$B$72,$A1081+1))),0)))^2+(MAX(0,J1081/INDEX(Surface_Engine!$B$12:$B$72,$A1081+1)-(F1081/INDEX(Surface_Engine!$B$12:$B$72,$A1081+1))))^2+2*Assumptions!$B$26*(IF(C1081&lt;=0,0,MAX(0,(B1081/C1081)*G1081/INDEX(Surface_Engine!$B$12:$B$72,$A1081+1)-F1081/INDEX(Surface_Engine!$B$12:$B$72,$A1081+1))))*(MAX(IF(D1081&lt;=0,0,MAX(0,(B1081/D1081)*H1081/INDEX(Surface_Engine!$B$12:$B$72,$A1081+1)-F1081/INDEX(Surface_Engine!$B$12:$B$72,$A1081+1))),IF(E1081&lt;=0,0,MAX(0,(B1081/E1081)*I1081/INDEX(Surface_Engine!$B$12:$B$72,$A1081+1)-F1081/INDEX(Surface_Engine!$B$12:$B$72,$A1081+1))),IF($A1081&lt;$Q$1077,MAX(0,-Assumptions!$B$22*(F1081/INDEX(Surface_Engine!$B$12:$B$72,$A1081+1))),0)))+2*Assumptions!$B$27*(IF(C1081&lt;=0,0,MAX(0,(B1081/C1081)*G1081/INDEX(Surface_Engine!$B$12:$B$72,$A1081+1)-F1081/INDEX(Surface_Engine!$B$12:$B$72,$A1081+1))))*(MAX(0,J1081/INDEX(Surface_Engine!$B$12:$B$72,$A1081+1)-(F1081/INDEX(Surface_Engine!$B$12:$B$72,$A1081+1))))+2*Assumptions!$B$28*(MAX(IF(D1081&lt;=0,0,MAX(0,(B1081/D1081)*H1081/INDEX(Surface_Engine!$B$12:$B$72,$A1081+1)-F1081/INDEX(Surface_Engine!$B$12:$B$72,$A1081+1))),IF(E1081&lt;=0,0,MAX(0,(B1081/E1081)*I1081/INDEX(Surface_Engine!$B$12:$B$72,$A1081+1)-F1081/INDEX(Surface_Engine!$B$12:$B$72,$A1081+1))),IF($A1081&lt;$Q$1077,MAX(0,-Assumptions!$B$22*(F1081/INDEX(Surface_Engine!$B$12:$B$72,$A1081+1))),0)))*(MAX(0,J1081/INDEX(Surface_Engine!$B$12:$B$72,$A1081+1)-(F1081/INDEX(Surface_Engine!$B$12:$B$72,$A1081+1)))))</f>
        <v>11122.2348759656</v>
      </c>
      <c r="L1081" s="48" t="n">
        <f aca="false">K1081*INDEX(Surface_Engine!$B$12:$B$72,$A1081+1)+L1082</f>
        <v>157815.71028356</v>
      </c>
      <c r="M1081" s="48" t="n">
        <f aca="false">M1080+B1080*(IF($A1080&lt;$Q$1077,(Surface_Engine!G246*12)-(Surface_Engine!G246*12)*INDEX(Surface_Engine!$F$12:$F$72,$A1080+1)-INDEX(Surface_Engine!$D$12:$D$72,$A1080+1),-(1000*12*INDEX(Surface_Engine!$C$12:$C$72,$A1080+1)/(1+Assumptions!$B$10)^10+INDEX(Surface_Engine!$D$12:$D$72,$A1080+1))))*INDEX(Surface_Engine!$B$12:$B$72,$A1080+1)</f>
        <v>10365.0257854094</v>
      </c>
      <c r="N1081" s="12" t="n">
        <f aca="false">IF(B1081&lt;=0,0,MAX(0,(K1081+Assumptions!$B$29*L1081/INDEX(Surface_Engine!$B$12:$B$72,$A1081+1)-(M1081/INDEX(Surface_Engine!$B$12:$B$72,$A1081+1)-(F1081/INDEX(Surface_Engine!$B$12:$B$72,$A1081+1))))/B1081))</f>
        <v>19737.3643225133</v>
      </c>
    </row>
    <row r="1082" customFormat="false" ht="15" hidden="false" customHeight="true" outlineLevel="0" collapsed="false">
      <c r="A1082" s="1" t="n">
        <v>3</v>
      </c>
      <c r="B1082" s="32" t="n">
        <f aca="false">INDEX(Surface_Engine!$Q$12:$Q$72,$A1082+1)*IF($A1082&lt;$Q$1077,INDEX(Surface_Engine!$E$12:$E$72,$A1082+1),INDEX(Surface_Engine!$E$12:$E$72,$Q$1077+1))</f>
        <v>0.897723075465755</v>
      </c>
      <c r="C1082" s="32" t="n">
        <f aca="false">INDEX(Panel_Reserving!$F$8:$F$68,$A1082+1)*IF($A1082&lt;$Q$1077,INDEX(Surface_Engine!$E$12:$E$72,$A1082+1),INDEX(Surface_Engine!$E$12:$E$72,$Q$1077+1))</f>
        <v>0.903351142985455</v>
      </c>
      <c r="D1082" s="32" t="n">
        <f aca="false">INDEX(Surface_Engine!$Q$12:$Q$72,$A1082+1)*IF($A1082&lt;$Q$1077,INDEX(Surface_Engine!$Y$12:$Y$72,$A1082+1),INDEX(Surface_Engine!$Y$12:$Y$72,$Q$1077+1))</f>
        <v>0.863125793674216</v>
      </c>
      <c r="E1082" s="32" t="n">
        <f aca="false">INDEX(Surface_Engine!$Q$12:$Q$72,$A1082+1)*IF($A1082&lt;$Q$1077,INDEX(Surface_Engine!$Z$12:$Z$72,$A1082+1),INDEX(Surface_Engine!$Z$12:$Z$72,$Q$1077+1))</f>
        <v>0.93313193396596</v>
      </c>
      <c r="F1082" s="48" t="n">
        <f aca="false">B1082*(IF($A1082&lt;$Q$1077,INDEX(Surface_Engine!$D$12:$D$72,$A1082+1)+(Surface_Engine!G246*12)*INDEX(Surface_Engine!$F$12:$F$72,$A1082+1)-(Surface_Engine!G246*12),1000*12*INDEX(Surface_Engine!$C$12:$C$72,$A1082+1)/(1+Assumptions!$B$10)^10+INDEX(Surface_Engine!$D$12:$D$72,$A1082+1)))*INDEX(Surface_Engine!$B$12:$B$72,$A1082+1)+F1083</f>
        <v>17433.2534604543</v>
      </c>
      <c r="G1082" s="48" t="n">
        <f aca="false">C1082*(IF($A1082&lt;$Q$1077,INDEX(Surface_Engine!$D$12:$D$72,$A1082+1)+(Surface_Engine!G246*12)*INDEX(Surface_Engine!$F$12:$F$72,$A1082+1)-(Surface_Engine!G246*12),1000*12*INDEX(Surface_Engine!$C$12:$C$72,$A1082+1)/(1+Assumptions!$B$10)^10+INDEX(Surface_Engine!$D$12:$D$72,$A1082+1)))*INDEX(Surface_Engine!$B$12:$B$72,$A1082+1)+G1083</f>
        <v>27406.8216970241</v>
      </c>
      <c r="H1082" s="48" t="n">
        <f aca="false">D1082*(IF($A1082&lt;$Q$1077,INDEX(Surface_Engine!$D$12:$D$72,$A1082+1)+(Surface_Engine!G246*12)*INDEX(Surface_Engine!$F$12:$F$72,$A1082+1)-(Surface_Engine!G246*12),1000*12*INDEX(Surface_Engine!$C$12:$C$72,$A1082+1)/(1+Assumptions!$B$10)^10+INDEX(Surface_Engine!$D$12:$D$72,$A1082+1)))*INDEX(Surface_Engine!$B$12:$B$72,$A1082+1)+H1083</f>
        <v>15083.5745983109</v>
      </c>
      <c r="I1082" s="48" t="n">
        <f aca="false">E1082*(IF($A1082&lt;$Q$1077,INDEX(Surface_Engine!$D$12:$D$72,$A1082+1)+(Surface_Engine!G246*12)*INDEX(Surface_Engine!$F$12:$F$72,$A1082+1)-(Surface_Engine!G246*12),1000*12*INDEX(Surface_Engine!$C$12:$C$72,$A1082+1)/(1+Assumptions!$B$10)^10+INDEX(Surface_Engine!$D$12:$D$72,$A1082+1)))*INDEX(Surface_Engine!$B$12:$B$72,$A1082+1)+I1083</f>
        <v>20005.3120049134</v>
      </c>
      <c r="J1082" s="48" t="n">
        <f aca="false">B1082*(IF($A1082&lt;$Q$1077,INDEX(Surface_Engine!$D$12:$D$72,$A1082+1)*(1+Assumptions!$B$24)+(Surface_Engine!G246*12)*INDEX(Surface_Engine!$F$12:$F$72,$A1082+1)-(Surface_Engine!G246*12),1000*12*INDEX(Surface_Engine!$C$12:$C$72,$A1082+1)/(1+Assumptions!$B$10)^10+INDEX(Surface_Engine!$D$12:$D$72,$A1082+1)*(1+Assumptions!$B$24)))*INDEX(Surface_Engine!$B$12:$B$72,$A1082+1)+J1083</f>
        <v>17545.9299654304</v>
      </c>
      <c r="K1082" s="12" t="n">
        <f aca="false">SQRT((IF(C1082&lt;=0,0,MAX(0,(B1082/C1082)*G1082/INDEX(Surface_Engine!$B$12:$B$72,$A1082+1)-F1082/INDEX(Surface_Engine!$B$12:$B$72,$A1082+1))))^2+(MAX(IF(D1082&lt;=0,0,MAX(0,(B1082/D1082)*H1082/INDEX(Surface_Engine!$B$12:$B$72,$A1082+1)-F1082/INDEX(Surface_Engine!$B$12:$B$72,$A1082+1))),IF(E1082&lt;=0,0,MAX(0,(B1082/E1082)*I1082/INDEX(Surface_Engine!$B$12:$B$72,$A1082+1)-F1082/INDEX(Surface_Engine!$B$12:$B$72,$A1082+1))),IF($A1082&lt;$Q$1077,MAX(0,-Assumptions!$B$22*(F1082/INDEX(Surface_Engine!$B$12:$B$72,$A1082+1))),0)))^2+(MAX(0,J1082/INDEX(Surface_Engine!$B$12:$B$72,$A1082+1)-(F1082/INDEX(Surface_Engine!$B$12:$B$72,$A1082+1))))^2+2*Assumptions!$B$26*(IF(C1082&lt;=0,0,MAX(0,(B1082/C1082)*G1082/INDEX(Surface_Engine!$B$12:$B$72,$A1082+1)-F1082/INDEX(Surface_Engine!$B$12:$B$72,$A1082+1))))*(MAX(IF(D1082&lt;=0,0,MAX(0,(B1082/D1082)*H1082/INDEX(Surface_Engine!$B$12:$B$72,$A1082+1)-F1082/INDEX(Surface_Engine!$B$12:$B$72,$A1082+1))),IF(E1082&lt;=0,0,MAX(0,(B1082/E1082)*I1082/INDEX(Surface_Engine!$B$12:$B$72,$A1082+1)-F1082/INDEX(Surface_Engine!$B$12:$B$72,$A1082+1))),IF($A1082&lt;$Q$1077,MAX(0,-Assumptions!$B$22*(F1082/INDEX(Surface_Engine!$B$12:$B$72,$A1082+1))),0)))+2*Assumptions!$B$27*(IF(C1082&lt;=0,0,MAX(0,(B1082/C1082)*G1082/INDEX(Surface_Engine!$B$12:$B$72,$A1082+1)-F1082/INDEX(Surface_Engine!$B$12:$B$72,$A1082+1))))*(MAX(0,J1082/INDEX(Surface_Engine!$B$12:$B$72,$A1082+1)-(F1082/INDEX(Surface_Engine!$B$12:$B$72,$A1082+1))))+2*Assumptions!$B$28*(MAX(IF(D1082&lt;=0,0,MAX(0,(B1082/D1082)*H1082/INDEX(Surface_Engine!$B$12:$B$72,$A1082+1)-F1082/INDEX(Surface_Engine!$B$12:$B$72,$A1082+1))),IF(E1082&lt;=0,0,MAX(0,(B1082/E1082)*I1082/INDEX(Surface_Engine!$B$12:$B$72,$A1082+1)-F1082/INDEX(Surface_Engine!$B$12:$B$72,$A1082+1))),IF($A1082&lt;$Q$1077,MAX(0,-Assumptions!$B$22*(F1082/INDEX(Surface_Engine!$B$12:$B$72,$A1082+1))),0)))*(MAX(0,J1082/INDEX(Surface_Engine!$B$12:$B$72,$A1082+1)-(F1082/INDEX(Surface_Engine!$B$12:$B$72,$A1082+1)))))</f>
        <v>11285.8433179465</v>
      </c>
      <c r="L1082" s="48" t="n">
        <f aca="false">K1082*INDEX(Surface_Engine!$B$12:$B$72,$A1082+1)+L1083</f>
        <v>147255.385912311</v>
      </c>
      <c r="M1082" s="48" t="n">
        <f aca="false">M1081+B1081*(IF($A1081&lt;$Q$1077,(Surface_Engine!G246*12)-(Surface_Engine!G246*12)*INDEX(Surface_Engine!$F$12:$F$72,$A1081+1)-INDEX(Surface_Engine!$D$12:$D$72,$A1081+1),-(1000*12*INDEX(Surface_Engine!$C$12:$C$72,$A1081+1)/(1+Assumptions!$B$10)^10+INDEX(Surface_Engine!$D$12:$D$72,$A1081+1))))*INDEX(Surface_Engine!$B$12:$B$72,$A1081+1)</f>
        <v>20216.7874283935</v>
      </c>
      <c r="N1082" s="12" t="n">
        <f aca="false">IF(B1082&lt;=0,0,MAX(0,(K1082+Assumptions!$B$29*L1082/INDEX(Surface_Engine!$B$12:$B$72,$A1082+1)-(M1082/INDEX(Surface_Engine!$B$12:$B$72,$A1082+1)-(F1082/INDEX(Surface_Engine!$B$12:$B$72,$A1082+1))))/B1082))</f>
        <v>19857.6151476733</v>
      </c>
    </row>
    <row r="1083" customFormat="false" ht="15" hidden="false" customHeight="true" outlineLevel="0" collapsed="false">
      <c r="A1083" s="1" t="n">
        <v>4</v>
      </c>
      <c r="B1083" s="32" t="n">
        <f aca="false">INDEX(Surface_Engine!$Q$12:$Q$72,$A1083+1)*IF($A1083&lt;$Q$1077,INDEX(Surface_Engine!$E$12:$E$72,$A1083+1),INDEX(Surface_Engine!$E$12:$E$72,$Q$1077+1))</f>
        <v>0.874673469850504</v>
      </c>
      <c r="C1083" s="32" t="n">
        <f aca="false">INDEX(Panel_Reserving!$F$8:$F$68,$A1083+1)*IF($A1083&lt;$Q$1077,INDEX(Surface_Engine!$E$12:$E$72,$A1083+1),INDEX(Surface_Engine!$E$12:$E$72,$Q$1077+1))</f>
        <v>0.882392941109076</v>
      </c>
      <c r="D1083" s="32" t="n">
        <f aca="false">INDEX(Surface_Engine!$Q$12:$Q$72,$A1083+1)*IF($A1083&lt;$Q$1077,INDEX(Surface_Engine!$Y$12:$Y$72,$A1083+1),INDEX(Surface_Engine!$Y$12:$Y$72,$Q$1077+1))</f>
        <v>0.835296699495277</v>
      </c>
      <c r="E1083" s="32" t="n">
        <f aca="false">INDEX(Surface_Engine!$Q$12:$Q$72,$A1083+1)*IF($A1083&lt;$Q$1077,INDEX(Surface_Engine!$Z$12:$Z$72,$A1083+1),INDEX(Surface_Engine!$Z$12:$Z$72,$Q$1077+1))</f>
        <v>0.91530068098386</v>
      </c>
      <c r="F1083" s="48" t="n">
        <f aca="false">B1083*(IF($A1083&lt;$Q$1077,INDEX(Surface_Engine!$D$12:$D$72,$A1083+1)+(Surface_Engine!G246*12)*INDEX(Surface_Engine!$F$12:$F$72,$A1083+1)-(Surface_Engine!G246*12),1000*12*INDEX(Surface_Engine!$C$12:$C$72,$A1083+1)/(1+Assumptions!$B$10)^10+INDEX(Surface_Engine!$D$12:$D$72,$A1083+1)))*INDEX(Surface_Engine!$B$12:$B$72,$A1083+1)+F1084</f>
        <v>26796.662624058</v>
      </c>
      <c r="G1083" s="48" t="n">
        <f aca="false">C1083*(IF($A1083&lt;$Q$1077,INDEX(Surface_Engine!$D$12:$D$72,$A1083+1)+(Surface_Engine!G246*12)*INDEX(Surface_Engine!$F$12:$F$72,$A1083+1)-(Surface_Engine!G246*12),1000*12*INDEX(Surface_Engine!$C$12:$C$72,$A1083+1)/(1+Assumptions!$B$10)^10+INDEX(Surface_Engine!$D$12:$D$72,$A1083+1)))*INDEX(Surface_Engine!$B$12:$B$72,$A1083+1)+G1084</f>
        <v>36828.9325921835</v>
      </c>
      <c r="H1083" s="48" t="n">
        <f aca="false">D1083*(IF($A1083&lt;$Q$1077,INDEX(Surface_Engine!$D$12:$D$72,$A1083+1)+(Surface_Engine!G246*12)*INDEX(Surface_Engine!$F$12:$F$72,$A1083+1)-(Surface_Engine!G246*12),1000*12*INDEX(Surface_Engine!$C$12:$C$72,$A1083+1)/(1+Assumptions!$B$10)^10+INDEX(Surface_Engine!$D$12:$D$72,$A1083+1)))*INDEX(Surface_Engine!$B$12:$B$72,$A1083+1)+H1084</f>
        <v>24086.1280434687</v>
      </c>
      <c r="I1083" s="48" t="n">
        <f aca="false">E1083*(IF($A1083&lt;$Q$1077,INDEX(Surface_Engine!$D$12:$D$72,$A1083+1)+(Surface_Engine!G246*12)*INDEX(Surface_Engine!$F$12:$F$72,$A1083+1)-(Surface_Engine!G246*12),1000*12*INDEX(Surface_Engine!$C$12:$C$72,$A1083+1)/(1+Assumptions!$B$10)^10+INDEX(Surface_Engine!$D$12:$D$72,$A1083+1)))*INDEX(Surface_Engine!$B$12:$B$72,$A1083+1)+I1084</f>
        <v>29738.0417744083</v>
      </c>
      <c r="J1083" s="48" t="n">
        <f aca="false">B1083*(IF($A1083&lt;$Q$1077,INDEX(Surface_Engine!$D$12:$D$72,$A1083+1)*(1+Assumptions!$B$24)+(Surface_Engine!G246*12)*INDEX(Surface_Engine!$F$12:$F$72,$A1083+1)-(Surface_Engine!G246*12),1000*12*INDEX(Surface_Engine!$C$12:$C$72,$A1083+1)/(1+Assumptions!$B$10)^10+INDEX(Surface_Engine!$D$12:$D$72,$A1083+1)*(1+Assumptions!$B$24)))*INDEX(Surface_Engine!$B$12:$B$72,$A1083+1)+J1084</f>
        <v>26902.0044515438</v>
      </c>
      <c r="K1083" s="12" t="n">
        <f aca="false">SQRT((IF(C1083&lt;=0,0,MAX(0,(B1083/C1083)*G1083/INDEX(Surface_Engine!$B$12:$B$72,$A1083+1)-F1083/INDEX(Surface_Engine!$B$12:$B$72,$A1083+1))))^2+(MAX(IF(D1083&lt;=0,0,MAX(0,(B1083/D1083)*H1083/INDEX(Surface_Engine!$B$12:$B$72,$A1083+1)-F1083/INDEX(Surface_Engine!$B$12:$B$72,$A1083+1))),IF(E1083&lt;=0,0,MAX(0,(B1083/E1083)*I1083/INDEX(Surface_Engine!$B$12:$B$72,$A1083+1)-F1083/INDEX(Surface_Engine!$B$12:$B$72,$A1083+1))),IF($A1083&lt;$Q$1077,MAX(0,-Assumptions!$B$22*(F1083/INDEX(Surface_Engine!$B$12:$B$72,$A1083+1))),0)))^2+(MAX(0,J1083/INDEX(Surface_Engine!$B$12:$B$72,$A1083+1)-(F1083/INDEX(Surface_Engine!$B$12:$B$72,$A1083+1))))^2+2*Assumptions!$B$26*(IF(C1083&lt;=0,0,MAX(0,(B1083/C1083)*G1083/INDEX(Surface_Engine!$B$12:$B$72,$A1083+1)-F1083/INDEX(Surface_Engine!$B$12:$B$72,$A1083+1))))*(MAX(IF(D1083&lt;=0,0,MAX(0,(B1083/D1083)*H1083/INDEX(Surface_Engine!$B$12:$B$72,$A1083+1)-F1083/INDEX(Surface_Engine!$B$12:$B$72,$A1083+1))),IF(E1083&lt;=0,0,MAX(0,(B1083/E1083)*I1083/INDEX(Surface_Engine!$B$12:$B$72,$A1083+1)-F1083/INDEX(Surface_Engine!$B$12:$B$72,$A1083+1))),IF($A1083&lt;$Q$1077,MAX(0,-Assumptions!$B$22*(F1083/INDEX(Surface_Engine!$B$12:$B$72,$A1083+1))),0)))+2*Assumptions!$B$27*(IF(C1083&lt;=0,0,MAX(0,(B1083/C1083)*G1083/INDEX(Surface_Engine!$B$12:$B$72,$A1083+1)-F1083/INDEX(Surface_Engine!$B$12:$B$72,$A1083+1))))*(MAX(0,J1083/INDEX(Surface_Engine!$B$12:$B$72,$A1083+1)-(F1083/INDEX(Surface_Engine!$B$12:$B$72,$A1083+1))))+2*Assumptions!$B$28*(MAX(IF(D1083&lt;=0,0,MAX(0,(B1083/D1083)*H1083/INDEX(Surface_Engine!$B$12:$B$72,$A1083+1)-F1083/INDEX(Surface_Engine!$B$12:$B$72,$A1083+1))),IF(E1083&lt;=0,0,MAX(0,(B1083/E1083)*I1083/INDEX(Surface_Engine!$B$12:$B$72,$A1083+1)-F1083/INDEX(Surface_Engine!$B$12:$B$72,$A1083+1))),IF($A1083&lt;$Q$1077,MAX(0,-Assumptions!$B$22*(F1083/INDEX(Surface_Engine!$B$12:$B$72,$A1083+1))),0)))*(MAX(0,J1083/INDEX(Surface_Engine!$B$12:$B$72,$A1083+1)-(F1083/INDEX(Surface_Engine!$B$12:$B$72,$A1083+1)))))</f>
        <v>11396.8203117065</v>
      </c>
      <c r="L1083" s="48" t="n">
        <f aca="false">K1083*INDEX(Surface_Engine!$B$12:$B$72,$A1083+1)+L1084</f>
        <v>136813.301446362</v>
      </c>
      <c r="M1083" s="48" t="n">
        <f aca="false">M1082+B1082*(IF($A1082&lt;$Q$1077,(Surface_Engine!G246*12)-(Surface_Engine!G246*12)*INDEX(Surface_Engine!$F$12:$F$72,$A1082+1)-INDEX(Surface_Engine!$D$12:$D$72,$A1082+1),-(1000*12*INDEX(Surface_Engine!$C$12:$C$72,$A1082+1)/(1+Assumptions!$B$10)^10+INDEX(Surface_Engine!$D$12:$D$72,$A1082+1))))*INDEX(Surface_Engine!$B$12:$B$72,$A1082+1)</f>
        <v>29580.1965919973</v>
      </c>
      <c r="N1083" s="12" t="n">
        <f aca="false">IF(B1083&lt;=0,0,MAX(0,(K1083+Assumptions!$B$29*L1083/INDEX(Surface_Engine!$B$12:$B$72,$A1083+1)-(M1083/INDEX(Surface_Engine!$B$12:$B$72,$A1083+1)-(F1083/INDEX(Surface_Engine!$B$12:$B$72,$A1083+1))))/B1083))</f>
        <v>19912.7370799276</v>
      </c>
    </row>
    <row r="1084" customFormat="false" ht="15" hidden="false" customHeight="true" outlineLevel="0" collapsed="false">
      <c r="A1084" s="1" t="n">
        <v>5</v>
      </c>
      <c r="B1084" s="32" t="n">
        <f aca="false">INDEX(Surface_Engine!$Q$12:$Q$72,$A1084+1)*IF($A1084&lt;$Q$1077,INDEX(Surface_Engine!$E$12:$E$72,$A1084+1),INDEX(Surface_Engine!$E$12:$E$72,$Q$1077+1))</f>
        <v>0.851022429075038</v>
      </c>
      <c r="C1084" s="32" t="n">
        <f aca="false">INDEX(Panel_Reserving!$F$8:$F$68,$A1084+1)*IF($A1084&lt;$Q$1077,INDEX(Surface_Engine!$E$12:$E$72,$A1084+1),INDEX(Surface_Engine!$E$12:$E$72,$Q$1077+1))</f>
        <v>0.86095795657988</v>
      </c>
      <c r="D1084" s="32" t="n">
        <f aca="false">INDEX(Surface_Engine!$Q$12:$Q$72,$A1084+1)*IF($A1084&lt;$Q$1077,INDEX(Surface_Engine!$Y$12:$Y$72,$A1084+1),INDEX(Surface_Engine!$Y$12:$Y$72,$Q$1077+1))</f>
        <v>0.807233027515658</v>
      </c>
      <c r="E1084" s="32" t="n">
        <f aca="false">INDEX(Surface_Engine!$Q$12:$Q$72,$A1084+1)*IF($A1084&lt;$Q$1077,INDEX(Surface_Engine!$Z$12:$Z$72,$A1084+1),INDEX(Surface_Engine!$Z$12:$Z$72,$Q$1077+1))</f>
        <v>0.896553077658606</v>
      </c>
      <c r="F1084" s="48" t="n">
        <f aca="false">B1084*(IF($A1084&lt;$Q$1077,INDEX(Surface_Engine!$D$12:$D$72,$A1084+1)+(Surface_Engine!G246*12)*INDEX(Surface_Engine!$F$12:$F$72,$A1084+1)-(Surface_Engine!G246*12),1000*12*INDEX(Surface_Engine!$C$12:$C$72,$A1084+1)/(1+Assumptions!$B$10)^10+INDEX(Surface_Engine!$D$12:$D$72,$A1084+1)))*INDEX(Surface_Engine!$B$12:$B$72,$A1084+1)+F1085</f>
        <v>35680.496967131</v>
      </c>
      <c r="G1084" s="48" t="n">
        <f aca="false">C1084*(IF($A1084&lt;$Q$1077,INDEX(Surface_Engine!$D$12:$D$72,$A1084+1)+(Surface_Engine!G246*12)*INDEX(Surface_Engine!$F$12:$F$72,$A1084+1)-(Surface_Engine!G246*12),1000*12*INDEX(Surface_Engine!$C$12:$C$72,$A1084+1)/(1+Assumptions!$B$10)^10+INDEX(Surface_Engine!$D$12:$D$72,$A1084+1)))*INDEX(Surface_Engine!$B$12:$B$72,$A1084+1)+G1085</f>
        <v>45791.1716271113</v>
      </c>
      <c r="H1084" s="48" t="n">
        <f aca="false">D1084*(IF($A1084&lt;$Q$1077,INDEX(Surface_Engine!$D$12:$D$72,$A1084+1)+(Surface_Engine!G246*12)*INDEX(Surface_Engine!$F$12:$F$72,$A1084+1)-(Surface_Engine!G246*12),1000*12*INDEX(Surface_Engine!$C$12:$C$72,$A1084+1)/(1+Assumptions!$B$10)^10+INDEX(Surface_Engine!$D$12:$D$72,$A1084+1)))*INDEX(Surface_Engine!$B$12:$B$72,$A1084+1)+H1085</f>
        <v>32570.0226183207</v>
      </c>
      <c r="I1084" s="48" t="n">
        <f aca="false">E1084*(IF($A1084&lt;$Q$1077,INDEX(Surface_Engine!$D$12:$D$72,$A1084+1)+(Surface_Engine!G246*12)*INDEX(Surface_Engine!$F$12:$F$72,$A1084+1)-(Surface_Engine!G246*12),1000*12*INDEX(Surface_Engine!$C$12:$C$72,$A1084+1)/(1+Assumptions!$B$10)^10+INDEX(Surface_Engine!$D$12:$D$72,$A1084+1)))*INDEX(Surface_Engine!$B$12:$B$72,$A1084+1)+I1085</f>
        <v>39034.5162923245</v>
      </c>
      <c r="J1084" s="48" t="n">
        <f aca="false">B1084*(IF($A1084&lt;$Q$1077,INDEX(Surface_Engine!$D$12:$D$72,$A1084+1)*(1+Assumptions!$B$24)+(Surface_Engine!G246*12)*INDEX(Surface_Engine!$F$12:$F$72,$A1084+1)-(Surface_Engine!G246*12),1000*12*INDEX(Surface_Engine!$C$12:$C$72,$A1084+1)/(1+Assumptions!$B$10)^10+INDEX(Surface_Engine!$D$12:$D$72,$A1084+1)*(1+Assumptions!$B$24)))*INDEX(Surface_Engine!$B$12:$B$72,$A1084+1)+J1085</f>
        <v>35778.7044120207</v>
      </c>
      <c r="K1084" s="12" t="n">
        <f aca="false">SQRT((IF(C1084&lt;=0,0,MAX(0,(B1084/C1084)*G1084/INDEX(Surface_Engine!$B$12:$B$72,$A1084+1)-F1084/INDEX(Surface_Engine!$B$12:$B$72,$A1084+1))))^2+(MAX(IF(D1084&lt;=0,0,MAX(0,(B1084/D1084)*H1084/INDEX(Surface_Engine!$B$12:$B$72,$A1084+1)-F1084/INDEX(Surface_Engine!$B$12:$B$72,$A1084+1))),IF(E1084&lt;=0,0,MAX(0,(B1084/E1084)*I1084/INDEX(Surface_Engine!$B$12:$B$72,$A1084+1)-F1084/INDEX(Surface_Engine!$B$12:$B$72,$A1084+1))),IF($A1084&lt;$Q$1077,MAX(0,-Assumptions!$B$22*(F1084/INDEX(Surface_Engine!$B$12:$B$72,$A1084+1))),0)))^2+(MAX(0,J1084/INDEX(Surface_Engine!$B$12:$B$72,$A1084+1)-(F1084/INDEX(Surface_Engine!$B$12:$B$72,$A1084+1))))^2+2*Assumptions!$B$26*(IF(C1084&lt;=0,0,MAX(0,(B1084/C1084)*G1084/INDEX(Surface_Engine!$B$12:$B$72,$A1084+1)-F1084/INDEX(Surface_Engine!$B$12:$B$72,$A1084+1))))*(MAX(IF(D1084&lt;=0,0,MAX(0,(B1084/D1084)*H1084/INDEX(Surface_Engine!$B$12:$B$72,$A1084+1)-F1084/INDEX(Surface_Engine!$B$12:$B$72,$A1084+1))),IF(E1084&lt;=0,0,MAX(0,(B1084/E1084)*I1084/INDEX(Surface_Engine!$B$12:$B$72,$A1084+1)-F1084/INDEX(Surface_Engine!$B$12:$B$72,$A1084+1))),IF($A1084&lt;$Q$1077,MAX(0,-Assumptions!$B$22*(F1084/INDEX(Surface_Engine!$B$12:$B$72,$A1084+1))),0)))+2*Assumptions!$B$27*(IF(C1084&lt;=0,0,MAX(0,(B1084/C1084)*G1084/INDEX(Surface_Engine!$B$12:$B$72,$A1084+1)-F1084/INDEX(Surface_Engine!$B$12:$B$72,$A1084+1))))*(MAX(0,J1084/INDEX(Surface_Engine!$B$12:$B$72,$A1084+1)-(F1084/INDEX(Surface_Engine!$B$12:$B$72,$A1084+1))))+2*Assumptions!$B$28*(MAX(IF(D1084&lt;=0,0,MAX(0,(B1084/D1084)*H1084/INDEX(Surface_Engine!$B$12:$B$72,$A1084+1)-F1084/INDEX(Surface_Engine!$B$12:$B$72,$A1084+1))),IF(E1084&lt;=0,0,MAX(0,(B1084/E1084)*I1084/INDEX(Surface_Engine!$B$12:$B$72,$A1084+1)-F1084/INDEX(Surface_Engine!$B$12:$B$72,$A1084+1))),IF($A1084&lt;$Q$1077,MAX(0,-Assumptions!$B$22*(F1084/INDEX(Surface_Engine!$B$12:$B$72,$A1084+1))),0)))*(MAX(0,J1084/INDEX(Surface_Engine!$B$12:$B$72,$A1084+1)-(F1084/INDEX(Surface_Engine!$B$12:$B$72,$A1084+1)))))</f>
        <v>11458.1806730005</v>
      </c>
      <c r="L1084" s="48" t="n">
        <f aca="false">K1084*INDEX(Surface_Engine!$B$12:$B$72,$A1084+1)+L1085</f>
        <v>126542.96126819</v>
      </c>
      <c r="M1084" s="48" t="n">
        <f aca="false">M1083+B1083*(IF($A1083&lt;$Q$1077,(Surface_Engine!G246*12)-(Surface_Engine!G246*12)*INDEX(Surface_Engine!$F$12:$F$72,$A1083+1)-INDEX(Surface_Engine!$D$12:$D$72,$A1083+1),-(1000*12*INDEX(Surface_Engine!$C$12:$C$72,$A1083+1)/(1+Assumptions!$B$10)^10+INDEX(Surface_Engine!$D$12:$D$72,$A1083+1))))*INDEX(Surface_Engine!$B$12:$B$72,$A1083+1)</f>
        <v>38464.0309350702</v>
      </c>
      <c r="N1084" s="12" t="n">
        <f aca="false">IF(B1084&lt;=0,0,MAX(0,(K1084+Assumptions!$B$29*L1084/INDEX(Surface_Engine!$B$12:$B$72,$A1084+1)-(M1084/INDEX(Surface_Engine!$B$12:$B$72,$A1084+1)-(F1084/INDEX(Surface_Engine!$B$12:$B$72,$A1084+1))))/B1084))</f>
        <v>19910.3746286036</v>
      </c>
    </row>
    <row r="1085" customFormat="false" ht="15" hidden="false" customHeight="true" outlineLevel="0" collapsed="false">
      <c r="A1085" s="1" t="n">
        <v>6</v>
      </c>
      <c r="B1085" s="32" t="n">
        <f aca="false">INDEX(Surface_Engine!$Q$12:$Q$72,$A1085+1)*IF($A1085&lt;$Q$1077,INDEX(Surface_Engine!$E$12:$E$72,$A1085+1),INDEX(Surface_Engine!$E$12:$E$72,$Q$1077+1))</f>
        <v>0.829741661399003</v>
      </c>
      <c r="C1085" s="32" t="n">
        <f aca="false">INDEX(Panel_Reserving!$F$8:$F$68,$A1085+1)*IF($A1085&lt;$Q$1077,INDEX(Surface_Engine!$E$12:$E$72,$A1085+1),INDEX(Surface_Engine!$E$12:$E$72,$Q$1077+1))</f>
        <v>0.842167639775855</v>
      </c>
      <c r="D1085" s="32" t="n">
        <f aca="false">INDEX(Surface_Engine!$Q$12:$Q$72,$A1085+1)*IF($A1085&lt;$Q$1077,INDEX(Surface_Engine!$Y$12:$Y$72,$A1085+1),INDEX(Surface_Engine!$Y$12:$Y$72,$Q$1077+1))</f>
        <v>0.783433310793403</v>
      </c>
      <c r="E1085" s="32" t="n">
        <f aca="false">INDEX(Surface_Engine!$Q$12:$Q$72,$A1085+1)*IF($A1085&lt;$Q$1077,INDEX(Surface_Engine!$Z$12:$Z$72,$A1085+1),INDEX(Surface_Engine!$Z$12:$Z$72,$Q$1077+1))</f>
        <v>0.878147599716199</v>
      </c>
      <c r="F1085" s="48" t="n">
        <f aca="false">B1085*(IF($A1085&lt;$Q$1077,INDEX(Surface_Engine!$D$12:$D$72,$A1085+1)+(Surface_Engine!G246*12)*INDEX(Surface_Engine!$F$12:$F$72,$A1085+1)-(Surface_Engine!G246*12),1000*12*INDEX(Surface_Engine!$C$12:$C$72,$A1085+1)/(1+Assumptions!$B$10)^10+INDEX(Surface_Engine!$D$12:$D$72,$A1085+1)))*INDEX(Surface_Engine!$B$12:$B$72,$A1085+1)+F1086</f>
        <v>44086.9059431762</v>
      </c>
      <c r="G1085" s="48" t="n">
        <f aca="false">C1085*(IF($A1085&lt;$Q$1077,INDEX(Surface_Engine!$D$12:$D$72,$A1085+1)+(Surface_Engine!G246*12)*INDEX(Surface_Engine!$F$12:$F$72,$A1085+1)-(Surface_Engine!G246*12),1000*12*INDEX(Surface_Engine!$C$12:$C$72,$A1085+1)/(1+Assumptions!$B$10)^10+INDEX(Surface_Engine!$D$12:$D$72,$A1085+1)))*INDEX(Surface_Engine!$B$12:$B$72,$A1085+1)+G1086</f>
        <v>54295.7238538452</v>
      </c>
      <c r="H1085" s="48" t="n">
        <f aca="false">D1085*(IF($A1085&lt;$Q$1077,INDEX(Surface_Engine!$D$12:$D$72,$A1085+1)+(Surface_Engine!G246*12)*INDEX(Surface_Engine!$F$12:$F$72,$A1085+1)-(Surface_Engine!G246*12),1000*12*INDEX(Surface_Engine!$C$12:$C$72,$A1085+1)/(1+Assumptions!$B$10)^10+INDEX(Surface_Engine!$D$12:$D$72,$A1085+1)))*INDEX(Surface_Engine!$B$12:$B$72,$A1085+1)+H1086</f>
        <v>40543.8794009713</v>
      </c>
      <c r="I1085" s="48" t="n">
        <f aca="false">E1085*(IF($A1085&lt;$Q$1077,INDEX(Surface_Engine!$D$12:$D$72,$A1085+1)+(Surface_Engine!G246*12)*INDEX(Surface_Engine!$F$12:$F$72,$A1085+1)-(Surface_Engine!G246*12),1000*12*INDEX(Surface_Engine!$C$12:$C$72,$A1085+1)/(1+Assumptions!$B$10)^10+INDEX(Surface_Engine!$D$12:$D$72,$A1085+1)))*INDEX(Surface_Engine!$B$12:$B$72,$A1085+1)+I1086</f>
        <v>47890.6775191465</v>
      </c>
      <c r="J1085" s="48" t="n">
        <f aca="false">B1085*(IF($A1085&lt;$Q$1077,INDEX(Surface_Engine!$D$12:$D$72,$A1085+1)*(1+Assumptions!$B$24)+(Surface_Engine!G246*12)*INDEX(Surface_Engine!$F$12:$F$72,$A1085+1)-(Surface_Engine!G246*12),1000*12*INDEX(Surface_Engine!$C$12:$C$72,$A1085+1)/(1+Assumptions!$B$10)^10+INDEX(Surface_Engine!$D$12:$D$72,$A1085+1)*(1+Assumptions!$B$24)))*INDEX(Surface_Engine!$B$12:$B$72,$A1085+1)+J1086</f>
        <v>44178.1922497962</v>
      </c>
      <c r="K1085" s="12" t="n">
        <f aca="false">SQRT((IF(C1085&lt;=0,0,MAX(0,(B1085/C1085)*G1085/INDEX(Surface_Engine!$B$12:$B$72,$A1085+1)-F1085/INDEX(Surface_Engine!$B$12:$B$72,$A1085+1))))^2+(MAX(IF(D1085&lt;=0,0,MAX(0,(B1085/D1085)*H1085/INDEX(Surface_Engine!$B$12:$B$72,$A1085+1)-F1085/INDEX(Surface_Engine!$B$12:$B$72,$A1085+1))),IF(E1085&lt;=0,0,MAX(0,(B1085/E1085)*I1085/INDEX(Surface_Engine!$B$12:$B$72,$A1085+1)-F1085/INDEX(Surface_Engine!$B$12:$B$72,$A1085+1))),IF($A1085&lt;$Q$1077,MAX(0,-Assumptions!$B$22*(F1085/INDEX(Surface_Engine!$B$12:$B$72,$A1085+1))),0)))^2+(MAX(0,J1085/INDEX(Surface_Engine!$B$12:$B$72,$A1085+1)-(F1085/INDEX(Surface_Engine!$B$12:$B$72,$A1085+1))))^2+2*Assumptions!$B$26*(IF(C1085&lt;=0,0,MAX(0,(B1085/C1085)*G1085/INDEX(Surface_Engine!$B$12:$B$72,$A1085+1)-F1085/INDEX(Surface_Engine!$B$12:$B$72,$A1085+1))))*(MAX(IF(D1085&lt;=0,0,MAX(0,(B1085/D1085)*H1085/INDEX(Surface_Engine!$B$12:$B$72,$A1085+1)-F1085/INDEX(Surface_Engine!$B$12:$B$72,$A1085+1))),IF(E1085&lt;=0,0,MAX(0,(B1085/E1085)*I1085/INDEX(Surface_Engine!$B$12:$B$72,$A1085+1)-F1085/INDEX(Surface_Engine!$B$12:$B$72,$A1085+1))),IF($A1085&lt;$Q$1077,MAX(0,-Assumptions!$B$22*(F1085/INDEX(Surface_Engine!$B$12:$B$72,$A1085+1))),0)))+2*Assumptions!$B$27*(IF(C1085&lt;=0,0,MAX(0,(B1085/C1085)*G1085/INDEX(Surface_Engine!$B$12:$B$72,$A1085+1)-F1085/INDEX(Surface_Engine!$B$12:$B$72,$A1085+1))))*(MAX(0,J1085/INDEX(Surface_Engine!$B$12:$B$72,$A1085+1)-(F1085/INDEX(Surface_Engine!$B$12:$B$72,$A1085+1))))+2*Assumptions!$B$28*(MAX(IF(D1085&lt;=0,0,MAX(0,(B1085/D1085)*H1085/INDEX(Surface_Engine!$B$12:$B$72,$A1085+1)-F1085/INDEX(Surface_Engine!$B$12:$B$72,$A1085+1))),IF(E1085&lt;=0,0,MAX(0,(B1085/E1085)*I1085/INDEX(Surface_Engine!$B$12:$B$72,$A1085+1)-F1085/INDEX(Surface_Engine!$B$12:$B$72,$A1085+1))),IF($A1085&lt;$Q$1077,MAX(0,-Assumptions!$B$22*(F1085/INDEX(Surface_Engine!$B$12:$B$72,$A1085+1))),0)))*(MAX(0,J1085/INDEX(Surface_Engine!$B$12:$B$72,$A1085+1)-(F1085/INDEX(Surface_Engine!$B$12:$B$72,$A1085+1)))))</f>
        <v>11493.0411037517</v>
      </c>
      <c r="L1085" s="48" t="n">
        <f aca="false">K1085*INDEX(Surface_Engine!$B$12:$B$72,$A1085+1)+L1086</f>
        <v>116498.676755891</v>
      </c>
      <c r="M1085" s="48" t="n">
        <f aca="false">M1084+B1084*(IF($A1084&lt;$Q$1077,(Surface_Engine!G246*12)-(Surface_Engine!G246*12)*INDEX(Surface_Engine!$F$12:$F$72,$A1084+1)-INDEX(Surface_Engine!$D$12:$D$72,$A1084+1),-(1000*12*INDEX(Surface_Engine!$C$12:$C$72,$A1084+1)/(1+Assumptions!$B$10)^10+INDEX(Surface_Engine!$D$12:$D$72,$A1084+1))))*INDEX(Surface_Engine!$B$12:$B$72,$A1084+1)</f>
        <v>46870.4399111154</v>
      </c>
      <c r="N1085" s="12" t="n">
        <f aca="false">IF(B1085&lt;=0,0,MAX(0,(K1085+Assumptions!$B$29*L1085/INDEX(Surface_Engine!$B$12:$B$72,$A1085+1)-(M1085/INDEX(Surface_Engine!$B$12:$B$72,$A1085+1)-(F1085/INDEX(Surface_Engine!$B$12:$B$72,$A1085+1))))/B1085))</f>
        <v>19801.6805518345</v>
      </c>
    </row>
    <row r="1086" customFormat="false" ht="15" hidden="false" customHeight="true" outlineLevel="0" collapsed="false">
      <c r="A1086" s="1" t="n">
        <v>7</v>
      </c>
      <c r="B1086" s="32" t="n">
        <f aca="false">INDEX(Surface_Engine!$Q$12:$Q$72,$A1086+1)*IF($A1086&lt;$Q$1077,INDEX(Surface_Engine!$E$12:$E$72,$A1086+1),INDEX(Surface_Engine!$E$12:$E$72,$Q$1077+1))</f>
        <v>0.807458726912084</v>
      </c>
      <c r="C1086" s="32" t="n">
        <f aca="false">INDEX(Panel_Reserving!$F$8:$F$68,$A1086+1)*IF($A1086&lt;$Q$1077,INDEX(Surface_Engine!$E$12:$E$72,$A1086+1),INDEX(Surface_Engine!$E$12:$E$72,$Q$1077+1))</f>
        <v>0.822541584700754</v>
      </c>
      <c r="D1086" s="32" t="n">
        <f aca="false">INDEX(Surface_Engine!$Q$12:$Q$72,$A1086+1)*IF($A1086&lt;$Q$1077,INDEX(Surface_Engine!$Y$12:$Y$72,$A1086+1),INDEX(Surface_Engine!$Y$12:$Y$72,$Q$1077+1))</f>
        <v>0.758893249943268</v>
      </c>
      <c r="E1086" s="32" t="n">
        <f aca="false">INDEX(Surface_Engine!$Q$12:$Q$72,$A1086+1)*IF($A1086&lt;$Q$1077,INDEX(Surface_Engine!$Z$12:$Z$72,$A1086+1),INDEX(Surface_Engine!$Z$12:$Z$72,$Q$1077+1))</f>
        <v>0.858488688425243</v>
      </c>
      <c r="F1086" s="48" t="n">
        <f aca="false">B1086*(IF($A1086&lt;$Q$1077,INDEX(Surface_Engine!$D$12:$D$72,$A1086+1)+(Surface_Engine!G246*12)*INDEX(Surface_Engine!$F$12:$F$72,$A1086+1)-(Surface_Engine!G246*12),1000*12*INDEX(Surface_Engine!$C$12:$C$72,$A1086+1)/(1+Assumptions!$B$10)^10+INDEX(Surface_Engine!$D$12:$D$72,$A1086+1)))*INDEX(Surface_Engine!$B$12:$B$72,$A1086+1)+F1087</f>
        <v>52051.1538981897</v>
      </c>
      <c r="G1086" s="48" t="n">
        <f aca="false">C1086*(IF($A1086&lt;$Q$1077,INDEX(Surface_Engine!$D$12:$D$72,$A1086+1)+(Surface_Engine!G246*12)*INDEX(Surface_Engine!$F$12:$F$72,$A1086+1)-(Surface_Engine!G246*12),1000*12*INDEX(Surface_Engine!$C$12:$C$72,$A1086+1)/(1+Assumptions!$B$10)^10+INDEX(Surface_Engine!$D$12:$D$72,$A1086+1)))*INDEX(Surface_Engine!$B$12:$B$72,$A1086+1)+G1087</f>
        <v>62379.2421522449</v>
      </c>
      <c r="H1086" s="48" t="n">
        <f aca="false">D1086*(IF($A1086&lt;$Q$1077,INDEX(Surface_Engine!$D$12:$D$72,$A1086+1)+(Surface_Engine!G246*12)*INDEX(Surface_Engine!$F$12:$F$72,$A1086+1)-(Surface_Engine!G246*12),1000*12*INDEX(Surface_Engine!$C$12:$C$72,$A1086+1)/(1+Assumptions!$B$10)^10+INDEX(Surface_Engine!$D$12:$D$72,$A1086+1)))*INDEX(Surface_Engine!$B$12:$B$72,$A1086+1)+H1087</f>
        <v>48063.6381808976</v>
      </c>
      <c r="I1086" s="48" t="n">
        <f aca="false">E1086*(IF($A1086&lt;$Q$1077,INDEX(Surface_Engine!$D$12:$D$72,$A1086+1)+(Surface_Engine!G246*12)*INDEX(Surface_Engine!$F$12:$F$72,$A1086+1)-(Surface_Engine!G246*12),1000*12*INDEX(Surface_Engine!$C$12:$C$72,$A1086+1)/(1+Assumptions!$B$10)^10+INDEX(Surface_Engine!$D$12:$D$72,$A1086+1)))*INDEX(Surface_Engine!$B$12:$B$72,$A1086+1)+I1087</f>
        <v>56319.5482756754</v>
      </c>
      <c r="J1086" s="48" t="n">
        <f aca="false">B1086*(IF($A1086&lt;$Q$1077,INDEX(Surface_Engine!$D$12:$D$72,$A1086+1)*(1+Assumptions!$B$24)+(Surface_Engine!G246*12)*INDEX(Surface_Engine!$F$12:$F$72,$A1086+1)-(Surface_Engine!G246*12),1000*12*INDEX(Surface_Engine!$C$12:$C$72,$A1086+1)/(1+Assumptions!$B$10)^10+INDEX(Surface_Engine!$D$12:$D$72,$A1086+1)*(1+Assumptions!$B$24)))*INDEX(Surface_Engine!$B$12:$B$72,$A1086+1)+J1087</f>
        <v>52135.7177940052</v>
      </c>
      <c r="K1086" s="12" t="n">
        <f aca="false">SQRT((IF(C1086&lt;=0,0,MAX(0,(B1086/C1086)*G1086/INDEX(Surface_Engine!$B$12:$B$72,$A1086+1)-F1086/INDEX(Surface_Engine!$B$12:$B$72,$A1086+1))))^2+(MAX(IF(D1086&lt;=0,0,MAX(0,(B1086/D1086)*H1086/INDEX(Surface_Engine!$B$12:$B$72,$A1086+1)-F1086/INDEX(Surface_Engine!$B$12:$B$72,$A1086+1))),IF(E1086&lt;=0,0,MAX(0,(B1086/E1086)*I1086/INDEX(Surface_Engine!$B$12:$B$72,$A1086+1)-F1086/INDEX(Surface_Engine!$B$12:$B$72,$A1086+1))),IF($A1086&lt;$Q$1077,MAX(0,-Assumptions!$B$22*(F1086/INDEX(Surface_Engine!$B$12:$B$72,$A1086+1))),0)))^2+(MAX(0,J1086/INDEX(Surface_Engine!$B$12:$B$72,$A1086+1)-(F1086/INDEX(Surface_Engine!$B$12:$B$72,$A1086+1))))^2+2*Assumptions!$B$26*(IF(C1086&lt;=0,0,MAX(0,(B1086/C1086)*G1086/INDEX(Surface_Engine!$B$12:$B$72,$A1086+1)-F1086/INDEX(Surface_Engine!$B$12:$B$72,$A1086+1))))*(MAX(IF(D1086&lt;=0,0,MAX(0,(B1086/D1086)*H1086/INDEX(Surface_Engine!$B$12:$B$72,$A1086+1)-F1086/INDEX(Surface_Engine!$B$12:$B$72,$A1086+1))),IF(E1086&lt;=0,0,MAX(0,(B1086/E1086)*I1086/INDEX(Surface_Engine!$B$12:$B$72,$A1086+1)-F1086/INDEX(Surface_Engine!$B$12:$B$72,$A1086+1))),IF($A1086&lt;$Q$1077,MAX(0,-Assumptions!$B$22*(F1086/INDEX(Surface_Engine!$B$12:$B$72,$A1086+1))),0)))+2*Assumptions!$B$27*(IF(C1086&lt;=0,0,MAX(0,(B1086/C1086)*G1086/INDEX(Surface_Engine!$B$12:$B$72,$A1086+1)-F1086/INDEX(Surface_Engine!$B$12:$B$72,$A1086+1))))*(MAX(0,J1086/INDEX(Surface_Engine!$B$12:$B$72,$A1086+1)-(F1086/INDEX(Surface_Engine!$B$12:$B$72,$A1086+1))))+2*Assumptions!$B$28*(MAX(IF(D1086&lt;=0,0,MAX(0,(B1086/D1086)*H1086/INDEX(Surface_Engine!$B$12:$B$72,$A1086+1)-F1086/INDEX(Surface_Engine!$B$12:$B$72,$A1086+1))),IF(E1086&lt;=0,0,MAX(0,(B1086/E1086)*I1086/INDEX(Surface_Engine!$B$12:$B$72,$A1086+1)-F1086/INDEX(Surface_Engine!$B$12:$B$72,$A1086+1))),IF($A1086&lt;$Q$1077,MAX(0,-Assumptions!$B$22*(F1086/INDEX(Surface_Engine!$B$12:$B$72,$A1086+1))),0)))*(MAX(0,J1086/INDEX(Surface_Engine!$B$12:$B$72,$A1086+1)-(F1086/INDEX(Surface_Engine!$B$12:$B$72,$A1086+1)))))</f>
        <v>11464.3827253106</v>
      </c>
      <c r="L1086" s="48" t="n">
        <f aca="false">K1086*INDEX(Surface_Engine!$B$12:$B$72,$A1086+1)+L1087</f>
        <v>106706.932382048</v>
      </c>
      <c r="M1086" s="48" t="n">
        <f aca="false">M1085+B1085*(IF($A1085&lt;$Q$1077,(Surface_Engine!G246*12)-(Surface_Engine!G246*12)*INDEX(Surface_Engine!$F$12:$F$72,$A1085+1)-INDEX(Surface_Engine!$D$12:$D$72,$A1085+1),-(1000*12*INDEX(Surface_Engine!$C$12:$C$72,$A1085+1)/(1+Assumptions!$B$10)^10+INDEX(Surface_Engine!$D$12:$D$72,$A1085+1))))*INDEX(Surface_Engine!$B$12:$B$72,$A1085+1)</f>
        <v>54834.6878661289</v>
      </c>
      <c r="N1086" s="12" t="n">
        <f aca="false">IF(B1086&lt;=0,0,MAX(0,(K1086+Assumptions!$B$29*L1086/INDEX(Surface_Engine!$B$12:$B$72,$A1086+1)-(M1086/INDEX(Surface_Engine!$B$12:$B$72,$A1086+1)-(F1086/INDEX(Surface_Engine!$B$12:$B$72,$A1086+1))))/B1086))</f>
        <v>19617.2003813248</v>
      </c>
    </row>
    <row r="1087" customFormat="false" ht="15" hidden="false" customHeight="true" outlineLevel="0" collapsed="false">
      <c r="A1087" s="1" t="n">
        <v>8</v>
      </c>
      <c r="B1087" s="32" t="n">
        <f aca="false">INDEX(Surface_Engine!$Q$12:$Q$72,$A1087+1)*IF($A1087&lt;$Q$1077,INDEX(Surface_Engine!$E$12:$E$72,$A1087+1),INDEX(Surface_Engine!$E$12:$E$72,$Q$1077+1))</f>
        <v>0.784077453516757</v>
      </c>
      <c r="C1087" s="32" t="n">
        <f aca="false">INDEX(Panel_Reserving!$F$8:$F$68,$A1087+1)*IF($A1087&lt;$Q$1077,INDEX(Surface_Engine!$E$12:$E$72,$A1087+1),INDEX(Surface_Engine!$E$12:$E$72,$Q$1077+1))</f>
        <v>0.8019901414669</v>
      </c>
      <c r="D1087" s="32" t="n">
        <f aca="false">INDEX(Surface_Engine!$Q$12:$Q$72,$A1087+1)*IF($A1087&lt;$Q$1077,INDEX(Surface_Engine!$Y$12:$Y$72,$A1087+1),INDEX(Surface_Engine!$Y$12:$Y$72,$Q$1077+1))</f>
        <v>0.733534498049274</v>
      </c>
      <c r="E1087" s="32" t="n">
        <f aca="false">INDEX(Surface_Engine!$Q$12:$Q$72,$A1087+1)*IF($A1087&lt;$Q$1077,INDEX(Surface_Engine!$Z$12:$Z$72,$A1087+1),INDEX(Surface_Engine!$Z$12:$Z$72,$Q$1077+1))</f>
        <v>0.837457608792288</v>
      </c>
      <c r="F1087" s="48" t="n">
        <f aca="false">B1087*(IF($A1087&lt;$Q$1077,INDEX(Surface_Engine!$D$12:$D$72,$A1087+1)+(Surface_Engine!G246*12)*INDEX(Surface_Engine!$F$12:$F$72,$A1087+1)-(Surface_Engine!G246*12),1000*12*INDEX(Surface_Engine!$C$12:$C$72,$A1087+1)/(1+Assumptions!$B$10)^10+INDEX(Surface_Engine!$D$12:$D$72,$A1087+1)))*INDEX(Surface_Engine!$B$12:$B$72,$A1087+1)+F1088</f>
        <v>59573.1418581661</v>
      </c>
      <c r="G1087" s="48" t="n">
        <f aca="false">C1087*(IF($A1087&lt;$Q$1077,INDEX(Surface_Engine!$D$12:$D$72,$A1087+1)+(Surface_Engine!G246*12)*INDEX(Surface_Engine!$F$12:$F$72,$A1087+1)-(Surface_Engine!G246*12),1000*12*INDEX(Surface_Engine!$C$12:$C$72,$A1087+1)/(1+Assumptions!$B$10)^10+INDEX(Surface_Engine!$D$12:$D$72,$A1087+1)))*INDEX(Surface_Engine!$B$12:$B$72,$A1087+1)+G1088</f>
        <v>70041.7364575082</v>
      </c>
      <c r="H1087" s="48" t="n">
        <f aca="false">D1087*(IF($A1087&lt;$Q$1077,INDEX(Surface_Engine!$D$12:$D$72,$A1087+1)+(Surface_Engine!G246*12)*INDEX(Surface_Engine!$F$12:$F$72,$A1087+1)-(Surface_Engine!G246*12),1000*12*INDEX(Surface_Engine!$C$12:$C$72,$A1087+1)/(1+Assumptions!$B$10)^10+INDEX(Surface_Engine!$D$12:$D$72,$A1087+1)))*INDEX(Surface_Engine!$B$12:$B$72,$A1087+1)+H1088</f>
        <v>55133.2080532933</v>
      </c>
      <c r="I1087" s="48" t="n">
        <f aca="false">E1087*(IF($A1087&lt;$Q$1077,INDEX(Surface_Engine!$D$12:$D$72,$A1087+1)+(Surface_Engine!G246*12)*INDEX(Surface_Engine!$F$12:$F$72,$A1087+1)-(Surface_Engine!G246*12),1000*12*INDEX(Surface_Engine!$C$12:$C$72,$A1087+1)/(1+Assumptions!$B$10)^10+INDEX(Surface_Engine!$D$12:$D$72,$A1087+1)))*INDEX(Surface_Engine!$B$12:$B$72,$A1087+1)+I1088</f>
        <v>64316.9125531113</v>
      </c>
      <c r="J1087" s="48" t="n">
        <f aca="false">B1087*(IF($A1087&lt;$Q$1077,INDEX(Surface_Engine!$D$12:$D$72,$A1087+1)*(1+Assumptions!$B$24)+(Surface_Engine!G246*12)*INDEX(Surface_Engine!$F$12:$F$72,$A1087+1)-(Surface_Engine!G246*12),1000*12*INDEX(Surface_Engine!$C$12:$C$72,$A1087+1)/(1+Assumptions!$B$10)^10+INDEX(Surface_Engine!$D$12:$D$72,$A1087+1)*(1+Assumptions!$B$24)))*INDEX(Surface_Engine!$B$12:$B$72,$A1087+1)+J1088</f>
        <v>59651.1965417931</v>
      </c>
      <c r="K1087" s="12" t="n">
        <f aca="false">SQRT((IF(C1087&lt;=0,0,MAX(0,(B1087/C1087)*G1087/INDEX(Surface_Engine!$B$12:$B$72,$A1087+1)-F1087/INDEX(Surface_Engine!$B$12:$B$72,$A1087+1))))^2+(MAX(IF(D1087&lt;=0,0,MAX(0,(B1087/D1087)*H1087/INDEX(Surface_Engine!$B$12:$B$72,$A1087+1)-F1087/INDEX(Surface_Engine!$B$12:$B$72,$A1087+1))),IF(E1087&lt;=0,0,MAX(0,(B1087/E1087)*I1087/INDEX(Surface_Engine!$B$12:$B$72,$A1087+1)-F1087/INDEX(Surface_Engine!$B$12:$B$72,$A1087+1))),IF($A1087&lt;$Q$1077,MAX(0,-Assumptions!$B$22*(F1087/INDEX(Surface_Engine!$B$12:$B$72,$A1087+1))),0)))^2+(MAX(0,J1087/INDEX(Surface_Engine!$B$12:$B$72,$A1087+1)-(F1087/INDEX(Surface_Engine!$B$12:$B$72,$A1087+1))))^2+2*Assumptions!$B$26*(IF(C1087&lt;=0,0,MAX(0,(B1087/C1087)*G1087/INDEX(Surface_Engine!$B$12:$B$72,$A1087+1)-F1087/INDEX(Surface_Engine!$B$12:$B$72,$A1087+1))))*(MAX(IF(D1087&lt;=0,0,MAX(0,(B1087/D1087)*H1087/INDEX(Surface_Engine!$B$12:$B$72,$A1087+1)-F1087/INDEX(Surface_Engine!$B$12:$B$72,$A1087+1))),IF(E1087&lt;=0,0,MAX(0,(B1087/E1087)*I1087/INDEX(Surface_Engine!$B$12:$B$72,$A1087+1)-F1087/INDEX(Surface_Engine!$B$12:$B$72,$A1087+1))),IF($A1087&lt;$Q$1077,MAX(0,-Assumptions!$B$22*(F1087/INDEX(Surface_Engine!$B$12:$B$72,$A1087+1))),0)))+2*Assumptions!$B$27*(IF(C1087&lt;=0,0,MAX(0,(B1087/C1087)*G1087/INDEX(Surface_Engine!$B$12:$B$72,$A1087+1)-F1087/INDEX(Surface_Engine!$B$12:$B$72,$A1087+1))))*(MAX(0,J1087/INDEX(Surface_Engine!$B$12:$B$72,$A1087+1)-(F1087/INDEX(Surface_Engine!$B$12:$B$72,$A1087+1))))+2*Assumptions!$B$28*(MAX(IF(D1087&lt;=0,0,MAX(0,(B1087/D1087)*H1087/INDEX(Surface_Engine!$B$12:$B$72,$A1087+1)-F1087/INDEX(Surface_Engine!$B$12:$B$72,$A1087+1))),IF(E1087&lt;=0,0,MAX(0,(B1087/E1087)*I1087/INDEX(Surface_Engine!$B$12:$B$72,$A1087+1)-F1087/INDEX(Surface_Engine!$B$12:$B$72,$A1087+1))),IF($A1087&lt;$Q$1077,MAX(0,-Assumptions!$B$22*(F1087/INDEX(Surface_Engine!$B$12:$B$72,$A1087+1))),0)))*(MAX(0,J1087/INDEX(Surface_Engine!$B$12:$B$72,$A1087+1)-(F1087/INDEX(Surface_Engine!$B$12:$B$72,$A1087+1)))))</f>
        <v>11359.0330117492</v>
      </c>
      <c r="L1087" s="48" t="n">
        <f aca="false">K1087*INDEX(Surface_Engine!$B$12:$B$72,$A1087+1)+L1088</f>
        <v>97225.4146362309</v>
      </c>
      <c r="M1087" s="48" t="n">
        <f aca="false">M1086+B1086*(IF($A1086&lt;$Q$1077,(Surface_Engine!G246*12)-(Surface_Engine!G246*12)*INDEX(Surface_Engine!$F$12:$F$72,$A1086+1)-INDEX(Surface_Engine!$D$12:$D$72,$A1086+1),-(1000*12*INDEX(Surface_Engine!$C$12:$C$72,$A1086+1)/(1+Assumptions!$B$10)^10+INDEX(Surface_Engine!$D$12:$D$72,$A1086+1))))*INDEX(Surface_Engine!$B$12:$B$72,$A1086+1)</f>
        <v>62356.6758261053</v>
      </c>
      <c r="N1087" s="12" t="n">
        <f aca="false">IF(B1087&lt;=0,0,MAX(0,(K1087+Assumptions!$B$29*L1087/INDEX(Surface_Engine!$B$12:$B$72,$A1087+1)-(M1087/INDEX(Surface_Engine!$B$12:$B$72,$A1087+1)-(F1087/INDEX(Surface_Engine!$B$12:$B$72,$A1087+1))))/B1087))</f>
        <v>19337.9707482439</v>
      </c>
    </row>
    <row r="1088" customFormat="false" ht="15" hidden="false" customHeight="true" outlineLevel="0" collapsed="false">
      <c r="A1088" s="1" t="n">
        <v>9</v>
      </c>
      <c r="B1088" s="32" t="n">
        <f aca="false">INDEX(Surface_Engine!$Q$12:$Q$72,$A1088+1)*IF($A1088&lt;$Q$1077,INDEX(Surface_Engine!$E$12:$E$72,$A1088+1),INDEX(Surface_Engine!$E$12:$E$72,$Q$1077+1))</f>
        <v>0.759508090581017</v>
      </c>
      <c r="C1088" s="32" t="n">
        <f aca="false">INDEX(Panel_Reserving!$F$8:$F$68,$A1088+1)*IF($A1088&lt;$Q$1077,INDEX(Surface_Engine!$E$12:$E$72,$A1088+1),INDEX(Surface_Engine!$E$12:$E$72,$Q$1077+1))</f>
        <v>0.780425988390759</v>
      </c>
      <c r="D1088" s="32" t="n">
        <f aca="false">INDEX(Surface_Engine!$Q$12:$Q$72,$A1088+1)*IF($A1088&lt;$Q$1077,INDEX(Surface_Engine!$Y$12:$Y$72,$A1088+1),INDEX(Surface_Engine!$Y$12:$Y$72,$Q$1077+1))</f>
        <v>0.707286229662576</v>
      </c>
      <c r="E1088" s="32" t="n">
        <f aca="false">INDEX(Surface_Engine!$Q$12:$Q$72,$A1088+1)*IF($A1088&lt;$Q$1077,INDEX(Surface_Engine!$Z$12:$Z$72,$A1088+1),INDEX(Surface_Engine!$Z$12:$Z$72,$Q$1077+1))</f>
        <v>0.814940486176861</v>
      </c>
      <c r="F1088" s="48" t="n">
        <f aca="false">B1088*(IF($A1088&lt;$Q$1077,INDEX(Surface_Engine!$D$12:$D$72,$A1088+1)+(Surface_Engine!G246*12)*INDEX(Surface_Engine!$F$12:$F$72,$A1088+1)-(Surface_Engine!G246*12),1000*12*INDEX(Surface_Engine!$C$12:$C$72,$A1088+1)/(1+Assumptions!$B$10)^10+INDEX(Surface_Engine!$D$12:$D$72,$A1088+1)))*INDEX(Surface_Engine!$B$12:$B$72,$A1088+1)+F1089</f>
        <v>66653.7864111256</v>
      </c>
      <c r="G1088" s="48" t="n">
        <f aca="false">C1088*(IF($A1088&lt;$Q$1077,INDEX(Surface_Engine!$D$12:$D$72,$A1088+1)+(Surface_Engine!G246*12)*INDEX(Surface_Engine!$F$12:$F$72,$A1088+1)-(Surface_Engine!G246*12),1000*12*INDEX(Surface_Engine!$C$12:$C$72,$A1088+1)/(1+Assumptions!$B$10)^10+INDEX(Surface_Engine!$D$12:$D$72,$A1088+1)))*INDEX(Surface_Engine!$B$12:$B$72,$A1088+1)+G1089</f>
        <v>77284.1422953945</v>
      </c>
      <c r="H1088" s="48" t="n">
        <f aca="false">D1088*(IF($A1088&lt;$Q$1077,INDEX(Surface_Engine!$D$12:$D$72,$A1088+1)+(Surface_Engine!G246*12)*INDEX(Surface_Engine!$F$12:$F$72,$A1088+1)-(Surface_Engine!G246*12),1000*12*INDEX(Surface_Engine!$C$12:$C$72,$A1088+1)/(1+Assumptions!$B$10)^10+INDEX(Surface_Engine!$D$12:$D$72,$A1088+1)))*INDEX(Surface_Engine!$B$12:$B$72,$A1088+1)+H1089</f>
        <v>61757.4223126432</v>
      </c>
      <c r="I1088" s="48" t="n">
        <f aca="false">E1088*(IF($A1088&lt;$Q$1077,INDEX(Surface_Engine!$D$12:$D$72,$A1088+1)+(Surface_Engine!G246*12)*INDEX(Surface_Engine!$F$12:$F$72,$A1088+1)-(Surface_Engine!G246*12),1000*12*INDEX(Surface_Engine!$C$12:$C$72,$A1088+1)/(1+Assumptions!$B$10)^10+INDEX(Surface_Engine!$D$12:$D$72,$A1088+1)))*INDEX(Surface_Engine!$B$12:$B$72,$A1088+1)+I1089</f>
        <v>71879.6088523524</v>
      </c>
      <c r="J1088" s="48" t="n">
        <f aca="false">B1088*(IF($A1088&lt;$Q$1077,INDEX(Surface_Engine!$D$12:$D$72,$A1088+1)*(1+Assumptions!$B$24)+(Surface_Engine!G246*12)*INDEX(Surface_Engine!$F$12:$F$72,$A1088+1)-(Surface_Engine!G246*12),1000*12*INDEX(Surface_Engine!$C$12:$C$72,$A1088+1)/(1+Assumptions!$B$10)^10+INDEX(Surface_Engine!$D$12:$D$72,$A1088+1)*(1+Assumptions!$B$24)))*INDEX(Surface_Engine!$B$12:$B$72,$A1088+1)+J1089</f>
        <v>66725.5592612837</v>
      </c>
      <c r="K1088" s="12" t="n">
        <f aca="false">SQRT((IF(C1088&lt;=0,0,MAX(0,(B1088/C1088)*G1088/INDEX(Surface_Engine!$B$12:$B$72,$A1088+1)-F1088/INDEX(Surface_Engine!$B$12:$B$72,$A1088+1))))^2+(MAX(IF(D1088&lt;=0,0,MAX(0,(B1088/D1088)*H1088/INDEX(Surface_Engine!$B$12:$B$72,$A1088+1)-F1088/INDEX(Surface_Engine!$B$12:$B$72,$A1088+1))),IF(E1088&lt;=0,0,MAX(0,(B1088/E1088)*I1088/INDEX(Surface_Engine!$B$12:$B$72,$A1088+1)-F1088/INDEX(Surface_Engine!$B$12:$B$72,$A1088+1))),IF($A1088&lt;$Q$1077,MAX(0,-Assumptions!$B$22*(F1088/INDEX(Surface_Engine!$B$12:$B$72,$A1088+1))),0)))^2+(MAX(0,J1088/INDEX(Surface_Engine!$B$12:$B$72,$A1088+1)-(F1088/INDEX(Surface_Engine!$B$12:$B$72,$A1088+1))))^2+2*Assumptions!$B$26*(IF(C1088&lt;=0,0,MAX(0,(B1088/C1088)*G1088/INDEX(Surface_Engine!$B$12:$B$72,$A1088+1)-F1088/INDEX(Surface_Engine!$B$12:$B$72,$A1088+1))))*(MAX(IF(D1088&lt;=0,0,MAX(0,(B1088/D1088)*H1088/INDEX(Surface_Engine!$B$12:$B$72,$A1088+1)-F1088/INDEX(Surface_Engine!$B$12:$B$72,$A1088+1))),IF(E1088&lt;=0,0,MAX(0,(B1088/E1088)*I1088/INDEX(Surface_Engine!$B$12:$B$72,$A1088+1)-F1088/INDEX(Surface_Engine!$B$12:$B$72,$A1088+1))),IF($A1088&lt;$Q$1077,MAX(0,-Assumptions!$B$22*(F1088/INDEX(Surface_Engine!$B$12:$B$72,$A1088+1))),0)))+2*Assumptions!$B$27*(IF(C1088&lt;=0,0,MAX(0,(B1088/C1088)*G1088/INDEX(Surface_Engine!$B$12:$B$72,$A1088+1)-F1088/INDEX(Surface_Engine!$B$12:$B$72,$A1088+1))))*(MAX(0,J1088/INDEX(Surface_Engine!$B$12:$B$72,$A1088+1)-(F1088/INDEX(Surface_Engine!$B$12:$B$72,$A1088+1))))+2*Assumptions!$B$28*(MAX(IF(D1088&lt;=0,0,MAX(0,(B1088/D1088)*H1088/INDEX(Surface_Engine!$B$12:$B$72,$A1088+1)-F1088/INDEX(Surface_Engine!$B$12:$B$72,$A1088+1))),IF(E1088&lt;=0,0,MAX(0,(B1088/E1088)*I1088/INDEX(Surface_Engine!$B$12:$B$72,$A1088+1)-F1088/INDEX(Surface_Engine!$B$12:$B$72,$A1088+1))),IF($A1088&lt;$Q$1077,MAX(0,-Assumptions!$B$22*(F1088/INDEX(Surface_Engine!$B$12:$B$72,$A1088+1))),0)))*(MAX(0,J1088/INDEX(Surface_Engine!$B$12:$B$72,$A1088+1)-(F1088/INDEX(Surface_Engine!$B$12:$B$72,$A1088+1)))))</f>
        <v>11160.2475159509</v>
      </c>
      <c r="L1088" s="48" t="n">
        <f aca="false">K1088*INDEX(Surface_Engine!$B$12:$B$72,$A1088+1)+L1089</f>
        <v>88116.5543765497</v>
      </c>
      <c r="M1088" s="48" t="n">
        <f aca="false">M1087+B1087*(IF($A1087&lt;$Q$1077,(Surface_Engine!G246*12)-(Surface_Engine!G246*12)*INDEX(Surface_Engine!$F$12:$F$72,$A1087+1)-INDEX(Surface_Engine!$D$12:$D$72,$A1087+1),-(1000*12*INDEX(Surface_Engine!$C$12:$C$72,$A1087+1)/(1+Assumptions!$B$10)^10+INDEX(Surface_Engine!$D$12:$D$72,$A1087+1))))*INDEX(Surface_Engine!$B$12:$B$72,$A1087+1)</f>
        <v>69437.3203790648</v>
      </c>
      <c r="N1088" s="12" t="n">
        <f aca="false">IF(B1088&lt;=0,0,MAX(0,(K1088+Assumptions!$B$29*L1088/INDEX(Surface_Engine!$B$12:$B$72,$A1088+1)-(M1088/INDEX(Surface_Engine!$B$12:$B$72,$A1088+1)-(F1088/INDEX(Surface_Engine!$B$12:$B$72,$A1088+1))))/B1088))</f>
        <v>18937.6307100185</v>
      </c>
    </row>
    <row r="1089" customFormat="false" ht="15" hidden="false" customHeight="true" outlineLevel="0" collapsed="false">
      <c r="A1089" s="1" t="n">
        <v>10</v>
      </c>
      <c r="B1089" s="32" t="n">
        <f aca="false">INDEX(Surface_Engine!$Q$12:$Q$72,$A1089+1)*IF($A1089&lt;$Q$1077,INDEX(Surface_Engine!$E$12:$E$72,$A1089+1),INDEX(Surface_Engine!$E$12:$E$72,$Q$1077+1))</f>
        <v>0.733666200861903</v>
      </c>
      <c r="C1089" s="32" t="n">
        <f aca="false">INDEX(Panel_Reserving!$F$8:$F$68,$A1089+1)*IF($A1089&lt;$Q$1077,INDEX(Surface_Engine!$E$12:$E$72,$A1089+1),INDEX(Surface_Engine!$E$12:$E$72,$Q$1077+1))</f>
        <v>0.757762724357947</v>
      </c>
      <c r="D1089" s="32" t="n">
        <f aca="false">INDEX(Surface_Engine!$Q$12:$Q$72,$A1089+1)*IF($A1089&lt;$Q$1077,INDEX(Surface_Engine!$Y$12:$Y$72,$A1089+1),INDEX(Surface_Engine!$Y$12:$Y$72,$Q$1077+1))</f>
        <v>0.680083958254003</v>
      </c>
      <c r="E1089" s="32" t="n">
        <f aca="false">INDEX(Surface_Engine!$Q$12:$Q$72,$A1089+1)*IF($A1089&lt;$Q$1077,INDEX(Surface_Engine!$Z$12:$Z$72,$A1089+1),INDEX(Surface_Engine!$Z$12:$Z$72,$Q$1077+1))</f>
        <v>0.790827247335463</v>
      </c>
      <c r="F1089" s="48" t="n">
        <f aca="false">B1089*(IF($A1089&lt;$Q$1077,INDEX(Surface_Engine!$D$12:$D$72,$A1089+1)+(Surface_Engine!G246*12)*INDEX(Surface_Engine!$F$12:$F$72,$A1089+1)-(Surface_Engine!G246*12),1000*12*INDEX(Surface_Engine!$C$12:$C$72,$A1089+1)/(1+Assumptions!$B$10)^10+INDEX(Surface_Engine!$D$12:$D$72,$A1089+1)))*INDEX(Surface_Engine!$B$12:$B$72,$A1089+1)+F1090</f>
        <v>73295.8429258434</v>
      </c>
      <c r="G1089" s="48" t="n">
        <f aca="false">C1089*(IF($A1089&lt;$Q$1077,INDEX(Surface_Engine!$D$12:$D$72,$A1089+1)+(Surface_Engine!G246*12)*INDEX(Surface_Engine!$F$12:$F$72,$A1089+1)-(Surface_Engine!G246*12),1000*12*INDEX(Surface_Engine!$C$12:$C$72,$A1089+1)/(1+Assumptions!$B$10)^10+INDEX(Surface_Engine!$D$12:$D$72,$A1089+1)))*INDEX(Surface_Engine!$B$12:$B$72,$A1089+1)+G1090</f>
        <v>84109.1301852279</v>
      </c>
      <c r="H1089" s="48" t="n">
        <f aca="false">D1089*(IF($A1089&lt;$Q$1077,INDEX(Surface_Engine!$D$12:$D$72,$A1089+1)+(Surface_Engine!G246*12)*INDEX(Surface_Engine!$F$12:$F$72,$A1089+1)-(Surface_Engine!G246*12),1000*12*INDEX(Surface_Engine!$C$12:$C$72,$A1089+1)/(1+Assumptions!$B$10)^10+INDEX(Surface_Engine!$D$12:$D$72,$A1089+1)))*INDEX(Surface_Engine!$B$12:$B$72,$A1089+1)+H1090</f>
        <v>67942.7877718929</v>
      </c>
      <c r="I1089" s="48" t="n">
        <f aca="false">E1089*(IF($A1089&lt;$Q$1077,INDEX(Surface_Engine!$D$12:$D$72,$A1089+1)+(Surface_Engine!G246*12)*INDEX(Surface_Engine!$F$12:$F$72,$A1089+1)-(Surface_Engine!G246*12),1000*12*INDEX(Surface_Engine!$C$12:$C$72,$A1089+1)/(1+Assumptions!$B$10)^10+INDEX(Surface_Engine!$D$12:$D$72,$A1089+1)))*INDEX(Surface_Engine!$B$12:$B$72,$A1089+1)+I1090</f>
        <v>79006.4332172878</v>
      </c>
      <c r="J1089" s="48" t="n">
        <f aca="false">B1089*(IF($A1089&lt;$Q$1077,INDEX(Surface_Engine!$D$12:$D$72,$A1089+1)*(1+Assumptions!$B$24)+(Surface_Engine!G246*12)*INDEX(Surface_Engine!$F$12:$F$72,$A1089+1)-(Surface_Engine!G246*12),1000*12*INDEX(Surface_Engine!$C$12:$C$72,$A1089+1)/(1+Assumptions!$B$10)^10+INDEX(Surface_Engine!$D$12:$D$72,$A1089+1)*(1+Assumptions!$B$24)))*INDEX(Surface_Engine!$B$12:$B$72,$A1089+1)+J1090</f>
        <v>73361.5743926698</v>
      </c>
      <c r="K1089" s="12" t="n">
        <f aca="false">SQRT((IF(C1089&lt;=0,0,MAX(0,(B1089/C1089)*G1089/INDEX(Surface_Engine!$B$12:$B$72,$A1089+1)-F1089/INDEX(Surface_Engine!$B$12:$B$72,$A1089+1))))^2+(MAX(IF(D1089&lt;=0,0,MAX(0,(B1089/D1089)*H1089/INDEX(Surface_Engine!$B$12:$B$72,$A1089+1)-F1089/INDEX(Surface_Engine!$B$12:$B$72,$A1089+1))),IF(E1089&lt;=0,0,MAX(0,(B1089/E1089)*I1089/INDEX(Surface_Engine!$B$12:$B$72,$A1089+1)-F1089/INDEX(Surface_Engine!$B$12:$B$72,$A1089+1))),IF($A1089&lt;$Q$1077,MAX(0,-Assumptions!$B$22*(F1089/INDEX(Surface_Engine!$B$12:$B$72,$A1089+1))),0)))^2+(MAX(0,J1089/INDEX(Surface_Engine!$B$12:$B$72,$A1089+1)-(F1089/INDEX(Surface_Engine!$B$12:$B$72,$A1089+1))))^2+2*Assumptions!$B$26*(IF(C1089&lt;=0,0,MAX(0,(B1089/C1089)*G1089/INDEX(Surface_Engine!$B$12:$B$72,$A1089+1)-F1089/INDEX(Surface_Engine!$B$12:$B$72,$A1089+1))))*(MAX(IF(D1089&lt;=0,0,MAX(0,(B1089/D1089)*H1089/INDEX(Surface_Engine!$B$12:$B$72,$A1089+1)-F1089/INDEX(Surface_Engine!$B$12:$B$72,$A1089+1))),IF(E1089&lt;=0,0,MAX(0,(B1089/E1089)*I1089/INDEX(Surface_Engine!$B$12:$B$72,$A1089+1)-F1089/INDEX(Surface_Engine!$B$12:$B$72,$A1089+1))),IF($A1089&lt;$Q$1077,MAX(0,-Assumptions!$B$22*(F1089/INDEX(Surface_Engine!$B$12:$B$72,$A1089+1))),0)))+2*Assumptions!$B$27*(IF(C1089&lt;=0,0,MAX(0,(B1089/C1089)*G1089/INDEX(Surface_Engine!$B$12:$B$72,$A1089+1)-F1089/INDEX(Surface_Engine!$B$12:$B$72,$A1089+1))))*(MAX(0,J1089/INDEX(Surface_Engine!$B$12:$B$72,$A1089+1)-(F1089/INDEX(Surface_Engine!$B$12:$B$72,$A1089+1))))+2*Assumptions!$B$28*(MAX(IF(D1089&lt;=0,0,MAX(0,(B1089/D1089)*H1089/INDEX(Surface_Engine!$B$12:$B$72,$A1089+1)-F1089/INDEX(Surface_Engine!$B$12:$B$72,$A1089+1))),IF(E1089&lt;=0,0,MAX(0,(B1089/E1089)*I1089/INDEX(Surface_Engine!$B$12:$B$72,$A1089+1)-F1089/INDEX(Surface_Engine!$B$12:$B$72,$A1089+1))),IF($A1089&lt;$Q$1077,MAX(0,-Assumptions!$B$22*(F1089/INDEX(Surface_Engine!$B$12:$B$72,$A1089+1))),0)))*(MAX(0,J1089/INDEX(Surface_Engine!$B$12:$B$72,$A1089+1)-(F1089/INDEX(Surface_Engine!$B$12:$B$72,$A1089+1)))))</f>
        <v>10865.7518505304</v>
      </c>
      <c r="L1089" s="48" t="n">
        <f aca="false">K1089*INDEX(Surface_Engine!$B$12:$B$72,$A1089+1)+L1090</f>
        <v>79447.9501703822</v>
      </c>
      <c r="M1089" s="48" t="n">
        <f aca="false">M1088+B1088*(IF($A1088&lt;$Q$1077,(Surface_Engine!G246*12)-(Surface_Engine!G246*12)*INDEX(Surface_Engine!$F$12:$F$72,$A1088+1)-INDEX(Surface_Engine!$D$12:$D$72,$A1088+1),-(1000*12*INDEX(Surface_Engine!$C$12:$C$72,$A1088+1)/(1+Assumptions!$B$10)^10+INDEX(Surface_Engine!$D$12:$D$72,$A1088+1))))*INDEX(Surface_Engine!$B$12:$B$72,$A1088+1)</f>
        <v>76079.3768937826</v>
      </c>
      <c r="N1089" s="12" t="n">
        <f aca="false">IF(B1089&lt;=0,0,MAX(0,(K1089+Assumptions!$B$29*L1089/INDEX(Surface_Engine!$B$12:$B$72,$A1089+1)-(M1089/INDEX(Surface_Engine!$B$12:$B$72,$A1089+1)-(F1089/INDEX(Surface_Engine!$B$12:$B$72,$A1089+1))))/B1089))</f>
        <v>18411.9928785001</v>
      </c>
    </row>
    <row r="1090" customFormat="false" ht="15" hidden="false" customHeight="true" outlineLevel="0" collapsed="false">
      <c r="A1090" s="1" t="n">
        <v>11</v>
      </c>
      <c r="B1090" s="32" t="n">
        <f aca="false">INDEX(Surface_Engine!$Q$12:$Q$72,$A1090+1)*IF($A1090&lt;$Q$1077,INDEX(Surface_Engine!$E$12:$E$72,$A1090+1),INDEX(Surface_Engine!$E$12:$E$72,$Q$1077+1))</f>
        <v>0.712259115384796</v>
      </c>
      <c r="C1090" s="32" t="n">
        <f aca="false">INDEX(Panel_Reserving!$F$8:$F$68,$A1090+1)*IF($A1090&lt;$Q$1077,INDEX(Surface_Engine!$E$12:$E$72,$A1090+1),INDEX(Surface_Engine!$E$12:$E$72,$Q$1077+1))</f>
        <v>0.740074580738804</v>
      </c>
      <c r="D1090" s="32" t="n">
        <f aca="false">INDEX(Surface_Engine!$Q$12:$Q$72,$A1090+1)*IF($A1090&lt;$Q$1077,INDEX(Surface_Engine!$Y$12:$Y$72,$A1090+1),INDEX(Surface_Engine!$Y$12:$Y$72,$Q$1077+1))</f>
        <v>0.660240308091504</v>
      </c>
      <c r="E1090" s="32" t="n">
        <f aca="false">INDEX(Surface_Engine!$Q$12:$Q$72,$A1090+1)*IF($A1090&lt;$Q$1077,INDEX(Surface_Engine!$Z$12:$Z$72,$A1090+1),INDEX(Surface_Engine!$Z$12:$Z$72,$Q$1077+1))</f>
        <v>0.767752303360332</v>
      </c>
      <c r="F1090" s="48" t="n">
        <f aca="false">B1090*(IF($A1090&lt;$Q$1077,INDEX(Surface_Engine!$D$12:$D$72,$A1090+1)+(Surface_Engine!G246*12)*INDEX(Surface_Engine!$F$12:$F$72,$A1090+1)-(Surface_Engine!G246*12),1000*12*INDEX(Surface_Engine!$C$12:$C$72,$A1090+1)/(1+Assumptions!$B$10)^10+INDEX(Surface_Engine!$D$12:$D$72,$A1090+1)))*INDEX(Surface_Engine!$B$12:$B$72,$A1090+1)+F1091</f>
        <v>66630.1679030769</v>
      </c>
      <c r="G1090" s="48" t="n">
        <f aca="false">C1090*(IF($A1090&lt;$Q$1077,INDEX(Surface_Engine!$D$12:$D$72,$A1090+1)+(Surface_Engine!G246*12)*INDEX(Surface_Engine!$F$12:$F$72,$A1090+1)-(Surface_Engine!G246*12),1000*12*INDEX(Surface_Engine!$C$12:$C$72,$A1090+1)/(1+Assumptions!$B$10)^10+INDEX(Surface_Engine!$D$12:$D$72,$A1090+1)))*INDEX(Surface_Engine!$B$12:$B$72,$A1090+1)+G1091</f>
        <v>77224.5278156458</v>
      </c>
      <c r="H1090" s="48" t="n">
        <f aca="false">D1090*(IF($A1090&lt;$Q$1077,INDEX(Surface_Engine!$D$12:$D$72,$A1090+1)+(Surface_Engine!G246*12)*INDEX(Surface_Engine!$F$12:$F$72,$A1090+1)-(Surface_Engine!G246*12),1000*12*INDEX(Surface_Engine!$C$12:$C$72,$A1090+1)/(1+Assumptions!$B$10)^10+INDEX(Surface_Engine!$D$12:$D$72,$A1090+1)))*INDEX(Surface_Engine!$B$12:$B$72,$A1090+1)+H1091</f>
        <v>61763.9306177917</v>
      </c>
      <c r="I1090" s="48" t="n">
        <f aca="false">E1090*(IF($A1090&lt;$Q$1077,INDEX(Surface_Engine!$D$12:$D$72,$A1090+1)+(Surface_Engine!G246*12)*INDEX(Surface_Engine!$F$12:$F$72,$A1090+1)-(Surface_Engine!G246*12),1000*12*INDEX(Surface_Engine!$C$12:$C$72,$A1090+1)/(1+Assumptions!$B$10)^10+INDEX(Surface_Engine!$D$12:$D$72,$A1090+1)))*INDEX(Surface_Engine!$B$12:$B$72,$A1090+1)+I1091</f>
        <v>71821.4253435513</v>
      </c>
      <c r="J1090" s="48" t="n">
        <f aca="false">B1090*(IF($A1090&lt;$Q$1077,INDEX(Surface_Engine!$D$12:$D$72,$A1090+1)*(1+Assumptions!$B$24)+(Surface_Engine!G246*12)*INDEX(Surface_Engine!$F$12:$F$72,$A1090+1)-(Surface_Engine!G246*12),1000*12*INDEX(Surface_Engine!$C$12:$C$72,$A1090+1)/(1+Assumptions!$B$10)^10+INDEX(Surface_Engine!$D$12:$D$72,$A1090+1)*(1+Assumptions!$B$24)))*INDEX(Surface_Engine!$B$12:$B$72,$A1090+1)+J1091</f>
        <v>66690.1193007392</v>
      </c>
      <c r="K1090" s="12" t="n">
        <f aca="false">SQRT((IF(C1090&lt;=0,0,MAX(0,(B1090/C1090)*G1090/INDEX(Surface_Engine!$B$12:$B$72,$A1090+1)-F1090/INDEX(Surface_Engine!$B$12:$B$72,$A1090+1))))^2+(MAX(IF(D1090&lt;=0,0,MAX(0,(B1090/D1090)*H1090/INDEX(Surface_Engine!$B$12:$B$72,$A1090+1)-F1090/INDEX(Surface_Engine!$B$12:$B$72,$A1090+1))),IF(E1090&lt;=0,0,MAX(0,(B1090/E1090)*I1090/INDEX(Surface_Engine!$B$12:$B$72,$A1090+1)-F1090/INDEX(Surface_Engine!$B$12:$B$72,$A1090+1))),IF($A1090&lt;$Q$1077,MAX(0,-Assumptions!$B$22*(F1090/INDEX(Surface_Engine!$B$12:$B$72,$A1090+1))),0)))^2+(MAX(0,J1090/INDEX(Surface_Engine!$B$12:$B$72,$A1090+1)-(F1090/INDEX(Surface_Engine!$B$12:$B$72,$A1090+1))))^2+2*Assumptions!$B$26*(IF(C1090&lt;=0,0,MAX(0,(B1090/C1090)*G1090/INDEX(Surface_Engine!$B$12:$B$72,$A1090+1)-F1090/INDEX(Surface_Engine!$B$12:$B$72,$A1090+1))))*(MAX(IF(D1090&lt;=0,0,MAX(0,(B1090/D1090)*H1090/INDEX(Surface_Engine!$B$12:$B$72,$A1090+1)-F1090/INDEX(Surface_Engine!$B$12:$B$72,$A1090+1))),IF(E1090&lt;=0,0,MAX(0,(B1090/E1090)*I1090/INDEX(Surface_Engine!$B$12:$B$72,$A1090+1)-F1090/INDEX(Surface_Engine!$B$12:$B$72,$A1090+1))),IF($A1090&lt;$Q$1077,MAX(0,-Assumptions!$B$22*(F1090/INDEX(Surface_Engine!$B$12:$B$72,$A1090+1))),0)))+2*Assumptions!$B$27*(IF(C1090&lt;=0,0,MAX(0,(B1090/C1090)*G1090/INDEX(Surface_Engine!$B$12:$B$72,$A1090+1)-F1090/INDEX(Surface_Engine!$B$12:$B$72,$A1090+1))))*(MAX(0,J1090/INDEX(Surface_Engine!$B$12:$B$72,$A1090+1)-(F1090/INDEX(Surface_Engine!$B$12:$B$72,$A1090+1))))+2*Assumptions!$B$28*(MAX(IF(D1090&lt;=0,0,MAX(0,(B1090/D1090)*H1090/INDEX(Surface_Engine!$B$12:$B$72,$A1090+1)-F1090/INDEX(Surface_Engine!$B$12:$B$72,$A1090+1))),IF(E1090&lt;=0,0,MAX(0,(B1090/E1090)*I1090/INDEX(Surface_Engine!$B$12:$B$72,$A1090+1)-F1090/INDEX(Surface_Engine!$B$12:$B$72,$A1090+1))),IF($A1090&lt;$Q$1077,MAX(0,-Assumptions!$B$22*(F1090/INDEX(Surface_Engine!$B$12:$B$72,$A1090+1))),0)))*(MAX(0,J1090/INDEX(Surface_Engine!$B$12:$B$72,$A1090+1)-(F1090/INDEX(Surface_Engine!$B$12:$B$72,$A1090+1)))))</f>
        <v>10601.4096386475</v>
      </c>
      <c r="L1090" s="48" t="n">
        <f aca="false">K1090*INDEX(Surface_Engine!$B$12:$B$72,$A1090+1)+L1091</f>
        <v>71292.615285442</v>
      </c>
      <c r="M1090" s="48" t="n">
        <f aca="false">M1089+B1089*(IF($A1089&lt;$Q$1077,(Surface_Engine!G246*12)-(Surface_Engine!G246*12)*INDEX(Surface_Engine!$F$12:$F$72,$A1089+1)-INDEX(Surface_Engine!$D$12:$D$72,$A1089+1),-(1000*12*INDEX(Surface_Engine!$C$12:$C$72,$A1089+1)/(1+Assumptions!$B$10)^10+INDEX(Surface_Engine!$D$12:$D$72,$A1089+1))))*INDEX(Surface_Engine!$B$12:$B$72,$A1089+1)</f>
        <v>69413.7018710162</v>
      </c>
      <c r="N1090" s="12" t="n">
        <f aca="false">IF(B1090&lt;=0,0,MAX(0,(K1090+Assumptions!$B$29*L1090/INDEX(Surface_Engine!$B$12:$B$72,$A1090+1)-(M1090/INDEX(Surface_Engine!$B$12:$B$72,$A1090+1)-(F1090/INDEX(Surface_Engine!$B$12:$B$72,$A1090+1))))/B1090))</f>
        <v>17769.5067688017</v>
      </c>
    </row>
    <row r="1091" customFormat="false" ht="15" hidden="false" customHeight="true" outlineLevel="0" collapsed="false">
      <c r="A1091" s="1" t="n">
        <v>12</v>
      </c>
      <c r="B1091" s="32" t="n">
        <f aca="false">INDEX(Surface_Engine!$Q$12:$Q$72,$A1091+1)*IF($A1091&lt;$Q$1077,INDEX(Surface_Engine!$E$12:$E$72,$A1091+1),INDEX(Surface_Engine!$E$12:$E$72,$Q$1077+1))</f>
        <v>0.688935259492161</v>
      </c>
      <c r="C1091" s="32" t="n">
        <f aca="false">INDEX(Panel_Reserving!$F$8:$F$68,$A1091+1)*IF($A1091&lt;$Q$1077,INDEX(Surface_Engine!$E$12:$E$72,$A1091+1),INDEX(Surface_Engine!$E$12:$E$72,$Q$1077+1))</f>
        <v>0.720686813003037</v>
      </c>
      <c r="D1091" s="32" t="n">
        <f aca="false">INDEX(Surface_Engine!$Q$12:$Q$72,$A1091+1)*IF($A1091&lt;$Q$1077,INDEX(Surface_Engine!$Y$12:$Y$72,$A1091+1),INDEX(Surface_Engine!$Y$12:$Y$72,$Q$1077+1))</f>
        <v>0.638619876049556</v>
      </c>
      <c r="E1091" s="32" t="n">
        <f aca="false">INDEX(Surface_Engine!$Q$12:$Q$72,$A1091+1)*IF($A1091&lt;$Q$1077,INDEX(Surface_Engine!$Z$12:$Z$72,$A1091+1),INDEX(Surface_Engine!$Z$12:$Z$72,$Q$1077+1))</f>
        <v>0.7426112504794</v>
      </c>
      <c r="F1091" s="48" t="n">
        <f aca="false">B1091*(IF($A1091&lt;$Q$1077,INDEX(Surface_Engine!$D$12:$D$72,$A1091+1)+(Surface_Engine!G246*12)*INDEX(Surface_Engine!$F$12:$F$72,$A1091+1)-(Surface_Engine!G246*12),1000*12*INDEX(Surface_Engine!$C$12:$C$72,$A1091+1)/(1+Assumptions!$B$10)^10+INDEX(Surface_Engine!$D$12:$D$72,$A1091+1)))*INDEX(Surface_Engine!$B$12:$B$72,$A1091+1)+F1092</f>
        <v>60236.5298882394</v>
      </c>
      <c r="G1091" s="48" t="n">
        <f aca="false">C1091*(IF($A1091&lt;$Q$1077,INDEX(Surface_Engine!$D$12:$D$72,$A1091+1)+(Surface_Engine!G246*12)*INDEX(Surface_Engine!$F$12:$F$72,$A1091+1)-(Surface_Engine!G246*12),1000*12*INDEX(Surface_Engine!$C$12:$C$72,$A1091+1)/(1+Assumptions!$B$10)^10+INDEX(Surface_Engine!$D$12:$D$72,$A1091+1)))*INDEX(Surface_Engine!$B$12:$B$72,$A1091+1)+G1092</f>
        <v>70581.2025551888</v>
      </c>
      <c r="H1091" s="48" t="n">
        <f aca="false">D1091*(IF($A1091&lt;$Q$1077,INDEX(Surface_Engine!$D$12:$D$72,$A1091+1)+(Surface_Engine!G246*12)*INDEX(Surface_Engine!$F$12:$F$72,$A1091+1)-(Surface_Engine!G246*12),1000*12*INDEX(Surface_Engine!$C$12:$C$72,$A1091+1)/(1+Assumptions!$B$10)^10+INDEX(Surface_Engine!$D$12:$D$72,$A1091+1)))*INDEX(Surface_Engine!$B$12:$B$72,$A1091+1)+H1092</f>
        <v>55837.2426448883</v>
      </c>
      <c r="I1091" s="48" t="n">
        <f aca="false">E1091*(IF($A1091&lt;$Q$1077,INDEX(Surface_Engine!$D$12:$D$72,$A1091+1)+(Surface_Engine!G246*12)*INDEX(Surface_Engine!$F$12:$F$72,$A1091+1)-(Surface_Engine!G246*12),1000*12*INDEX(Surface_Engine!$C$12:$C$72,$A1091+1)/(1+Assumptions!$B$10)^10+INDEX(Surface_Engine!$D$12:$D$72,$A1091+1)))*INDEX(Surface_Engine!$B$12:$B$72,$A1091+1)+I1092</f>
        <v>64929.6492936347</v>
      </c>
      <c r="J1091" s="48" t="n">
        <f aca="false">B1091*(IF($A1091&lt;$Q$1077,INDEX(Surface_Engine!$D$12:$D$72,$A1091+1)*(1+Assumptions!$B$24)+(Surface_Engine!G246*12)*INDEX(Surface_Engine!$F$12:$F$72,$A1091+1)-(Surface_Engine!G246*12),1000*12*INDEX(Surface_Engine!$C$12:$C$72,$A1091+1)/(1+Assumptions!$B$10)^10+INDEX(Surface_Engine!$D$12:$D$72,$A1091+1)*(1+Assumptions!$B$24)))*INDEX(Surface_Engine!$B$12:$B$72,$A1091+1)+J1092</f>
        <v>60290.9101702153</v>
      </c>
      <c r="K1091" s="12" t="n">
        <f aca="false">SQRT((IF(C1091&lt;=0,0,MAX(0,(B1091/C1091)*G1091/INDEX(Surface_Engine!$B$12:$B$72,$A1091+1)-F1091/INDEX(Surface_Engine!$B$12:$B$72,$A1091+1))))^2+(MAX(IF(D1091&lt;=0,0,MAX(0,(B1091/D1091)*H1091/INDEX(Surface_Engine!$B$12:$B$72,$A1091+1)-F1091/INDEX(Surface_Engine!$B$12:$B$72,$A1091+1))),IF(E1091&lt;=0,0,MAX(0,(B1091/E1091)*I1091/INDEX(Surface_Engine!$B$12:$B$72,$A1091+1)-F1091/INDEX(Surface_Engine!$B$12:$B$72,$A1091+1))),IF($A1091&lt;$Q$1077,MAX(0,-Assumptions!$B$22*(F1091/INDEX(Surface_Engine!$B$12:$B$72,$A1091+1))),0)))^2+(MAX(0,J1091/INDEX(Surface_Engine!$B$12:$B$72,$A1091+1)-(F1091/INDEX(Surface_Engine!$B$12:$B$72,$A1091+1))))^2+2*Assumptions!$B$26*(IF(C1091&lt;=0,0,MAX(0,(B1091/C1091)*G1091/INDEX(Surface_Engine!$B$12:$B$72,$A1091+1)-F1091/INDEX(Surface_Engine!$B$12:$B$72,$A1091+1))))*(MAX(IF(D1091&lt;=0,0,MAX(0,(B1091/D1091)*H1091/INDEX(Surface_Engine!$B$12:$B$72,$A1091+1)-F1091/INDEX(Surface_Engine!$B$12:$B$72,$A1091+1))),IF(E1091&lt;=0,0,MAX(0,(B1091/E1091)*I1091/INDEX(Surface_Engine!$B$12:$B$72,$A1091+1)-F1091/INDEX(Surface_Engine!$B$12:$B$72,$A1091+1))),IF($A1091&lt;$Q$1077,MAX(0,-Assumptions!$B$22*(F1091/INDEX(Surface_Engine!$B$12:$B$72,$A1091+1))),0)))+2*Assumptions!$B$27*(IF(C1091&lt;=0,0,MAX(0,(B1091/C1091)*G1091/INDEX(Surface_Engine!$B$12:$B$72,$A1091+1)-F1091/INDEX(Surface_Engine!$B$12:$B$72,$A1091+1))))*(MAX(0,J1091/INDEX(Surface_Engine!$B$12:$B$72,$A1091+1)-(F1091/INDEX(Surface_Engine!$B$12:$B$72,$A1091+1))))+2*Assumptions!$B$28*(MAX(IF(D1091&lt;=0,0,MAX(0,(B1091/D1091)*H1091/INDEX(Surface_Engine!$B$12:$B$72,$A1091+1)-F1091/INDEX(Surface_Engine!$B$12:$B$72,$A1091+1))),IF(E1091&lt;=0,0,MAX(0,(B1091/E1091)*I1091/INDEX(Surface_Engine!$B$12:$B$72,$A1091+1)-F1091/INDEX(Surface_Engine!$B$12:$B$72,$A1091+1))),IF($A1091&lt;$Q$1077,MAX(0,-Assumptions!$B$22*(F1091/INDEX(Surface_Engine!$B$12:$B$72,$A1091+1))),0)))*(MAX(0,J1091/INDEX(Surface_Engine!$B$12:$B$72,$A1091+1)-(F1091/INDEX(Surface_Engine!$B$12:$B$72,$A1091+1)))))</f>
        <v>10325.4810791021</v>
      </c>
      <c r="L1091" s="48" t="n">
        <f aca="false">K1091*INDEX(Surface_Engine!$B$12:$B$72,$A1091+1)+L1092</f>
        <v>63585.5079892918</v>
      </c>
      <c r="M1091" s="48" t="n">
        <f aca="false">M1090+B1090*(IF($A1090&lt;$Q$1077,(Surface_Engine!G246*12)-(Surface_Engine!G246*12)*INDEX(Surface_Engine!$F$12:$F$72,$A1090+1)-INDEX(Surface_Engine!$D$12:$D$72,$A1090+1),-(1000*12*INDEX(Surface_Engine!$C$12:$C$72,$A1090+1)/(1+Assumptions!$B$10)^10+INDEX(Surface_Engine!$D$12:$D$72,$A1090+1))))*INDEX(Surface_Engine!$B$12:$B$72,$A1090+1)</f>
        <v>63020.0638561787</v>
      </c>
      <c r="N1091" s="12" t="n">
        <f aca="false">IF(B1091&lt;=0,0,MAX(0,(K1091+Assumptions!$B$29*L1091/INDEX(Surface_Engine!$B$12:$B$72,$A1091+1)-(M1091/INDEX(Surface_Engine!$B$12:$B$72,$A1091+1)-(F1091/INDEX(Surface_Engine!$B$12:$B$72,$A1091+1))))/B1091))</f>
        <v>17120.5067632045</v>
      </c>
    </row>
    <row r="1092" customFormat="false" ht="15" hidden="false" customHeight="true" outlineLevel="0" collapsed="false">
      <c r="A1092" s="1" t="n">
        <v>13</v>
      </c>
      <c r="B1092" s="32" t="n">
        <f aca="false">INDEX(Surface_Engine!$Q$12:$Q$72,$A1092+1)*IF($A1092&lt;$Q$1077,INDEX(Surface_Engine!$E$12:$E$72,$A1092+1),INDEX(Surface_Engine!$E$12:$E$72,$Q$1077+1))</f>
        <v>0.663612254259859</v>
      </c>
      <c r="C1092" s="32" t="n">
        <f aca="false">INDEX(Panel_Reserving!$F$8:$F$68,$A1092+1)*IF($A1092&lt;$Q$1077,INDEX(Surface_Engine!$E$12:$E$72,$A1092+1),INDEX(Surface_Engine!$E$12:$E$72,$Q$1077+1))</f>
        <v>0.699494742270609</v>
      </c>
      <c r="D1092" s="32" t="n">
        <f aca="false">INDEX(Surface_Engine!$Q$12:$Q$72,$A1092+1)*IF($A1092&lt;$Q$1077,INDEX(Surface_Engine!$Y$12:$Y$72,$A1092+1),INDEX(Surface_Engine!$Y$12:$Y$72,$Q$1077+1))</f>
        <v>0.615146299628782</v>
      </c>
      <c r="E1092" s="32" t="n">
        <f aca="false">INDEX(Surface_Engine!$Q$12:$Q$72,$A1092+1)*IF($A1092&lt;$Q$1077,INDEX(Surface_Engine!$Z$12:$Z$72,$A1092+1),INDEX(Surface_Engine!$Z$12:$Z$72,$Q$1077+1))</f>
        <v>0.715315291501602</v>
      </c>
      <c r="F1092" s="48" t="n">
        <f aca="false">B1092*(IF($A1092&lt;$Q$1077,INDEX(Surface_Engine!$D$12:$D$72,$A1092+1)+(Surface_Engine!G246*12)*INDEX(Surface_Engine!$F$12:$F$72,$A1092+1)-(Surface_Engine!G246*12),1000*12*INDEX(Surface_Engine!$C$12:$C$72,$A1092+1)/(1+Assumptions!$B$10)^10+INDEX(Surface_Engine!$D$12:$D$72,$A1092+1)))*INDEX(Surface_Engine!$B$12:$B$72,$A1092+1)+F1093</f>
        <v>54144.844413849</v>
      </c>
      <c r="G1092" s="48" t="n">
        <f aca="false">C1092*(IF($A1092&lt;$Q$1077,INDEX(Surface_Engine!$D$12:$D$72,$A1092+1)+(Surface_Engine!G246*12)*INDEX(Surface_Engine!$F$12:$F$72,$A1092+1)-(Surface_Engine!G246*12),1000*12*INDEX(Surface_Engine!$C$12:$C$72,$A1092+1)/(1+Assumptions!$B$10)^10+INDEX(Surface_Engine!$D$12:$D$72,$A1092+1)))*INDEX(Surface_Engine!$B$12:$B$72,$A1092+1)+G1093</f>
        <v>64208.7643182614</v>
      </c>
      <c r="H1092" s="48" t="n">
        <f aca="false">D1092*(IF($A1092&lt;$Q$1077,INDEX(Surface_Engine!$D$12:$D$72,$A1092+1)+(Surface_Engine!G246*12)*INDEX(Surface_Engine!$F$12:$F$72,$A1092+1)-(Surface_Engine!G246*12),1000*12*INDEX(Surface_Engine!$C$12:$C$72,$A1092+1)/(1+Assumptions!$B$10)^10+INDEX(Surface_Engine!$D$12:$D$72,$A1092+1)))*INDEX(Surface_Engine!$B$12:$B$72,$A1092+1)+H1093</f>
        <v>50190.4545483467</v>
      </c>
      <c r="I1092" s="48" t="n">
        <f aca="false">E1092*(IF($A1092&lt;$Q$1077,INDEX(Surface_Engine!$D$12:$D$72,$A1092+1)+(Surface_Engine!G246*12)*INDEX(Surface_Engine!$F$12:$F$72,$A1092+1)-(Surface_Engine!G246*12),1000*12*INDEX(Surface_Engine!$C$12:$C$72,$A1092+1)/(1+Assumptions!$B$10)^10+INDEX(Surface_Engine!$D$12:$D$72,$A1092+1)))*INDEX(Surface_Engine!$B$12:$B$72,$A1092+1)+I1093</f>
        <v>58363.3513645682</v>
      </c>
      <c r="J1092" s="48" t="n">
        <f aca="false">B1092*(IF($A1092&lt;$Q$1077,INDEX(Surface_Engine!$D$12:$D$72,$A1092+1)*(1+Assumptions!$B$24)+(Surface_Engine!G246*12)*INDEX(Surface_Engine!$F$12:$F$72,$A1092+1)-(Surface_Engine!G246*12),1000*12*INDEX(Surface_Engine!$C$12:$C$72,$A1092+1)/(1+Assumptions!$B$10)^10+INDEX(Surface_Engine!$D$12:$D$72,$A1092+1)*(1+Assumptions!$B$24)))*INDEX(Surface_Engine!$B$12:$B$72,$A1092+1)+J1093</f>
        <v>54193.8908955669</v>
      </c>
      <c r="K1092" s="12" t="n">
        <f aca="false">SQRT((IF(C1092&lt;=0,0,MAX(0,(B1092/C1092)*G1092/INDEX(Surface_Engine!$B$12:$B$72,$A1092+1)-F1092/INDEX(Surface_Engine!$B$12:$B$72,$A1092+1))))^2+(MAX(IF(D1092&lt;=0,0,MAX(0,(B1092/D1092)*H1092/INDEX(Surface_Engine!$B$12:$B$72,$A1092+1)-F1092/INDEX(Surface_Engine!$B$12:$B$72,$A1092+1))),IF(E1092&lt;=0,0,MAX(0,(B1092/E1092)*I1092/INDEX(Surface_Engine!$B$12:$B$72,$A1092+1)-F1092/INDEX(Surface_Engine!$B$12:$B$72,$A1092+1))),IF($A1092&lt;$Q$1077,MAX(0,-Assumptions!$B$22*(F1092/INDEX(Surface_Engine!$B$12:$B$72,$A1092+1))),0)))^2+(MAX(0,J1092/INDEX(Surface_Engine!$B$12:$B$72,$A1092+1)-(F1092/INDEX(Surface_Engine!$B$12:$B$72,$A1092+1))))^2+2*Assumptions!$B$26*(IF(C1092&lt;=0,0,MAX(0,(B1092/C1092)*G1092/INDEX(Surface_Engine!$B$12:$B$72,$A1092+1)-F1092/INDEX(Surface_Engine!$B$12:$B$72,$A1092+1))))*(MAX(IF(D1092&lt;=0,0,MAX(0,(B1092/D1092)*H1092/INDEX(Surface_Engine!$B$12:$B$72,$A1092+1)-F1092/INDEX(Surface_Engine!$B$12:$B$72,$A1092+1))),IF(E1092&lt;=0,0,MAX(0,(B1092/E1092)*I1092/INDEX(Surface_Engine!$B$12:$B$72,$A1092+1)-F1092/INDEX(Surface_Engine!$B$12:$B$72,$A1092+1))),IF($A1092&lt;$Q$1077,MAX(0,-Assumptions!$B$22*(F1092/INDEX(Surface_Engine!$B$12:$B$72,$A1092+1))),0)))+2*Assumptions!$B$27*(IF(C1092&lt;=0,0,MAX(0,(B1092/C1092)*G1092/INDEX(Surface_Engine!$B$12:$B$72,$A1092+1)-F1092/INDEX(Surface_Engine!$B$12:$B$72,$A1092+1))))*(MAX(0,J1092/INDEX(Surface_Engine!$B$12:$B$72,$A1092+1)-(F1092/INDEX(Surface_Engine!$B$12:$B$72,$A1092+1))))+2*Assumptions!$B$28*(MAX(IF(D1092&lt;=0,0,MAX(0,(B1092/D1092)*H1092/INDEX(Surface_Engine!$B$12:$B$72,$A1092+1)-F1092/INDEX(Surface_Engine!$B$12:$B$72,$A1092+1))),IF(E1092&lt;=0,0,MAX(0,(B1092/E1092)*I1092/INDEX(Surface_Engine!$B$12:$B$72,$A1092+1)-F1092/INDEX(Surface_Engine!$B$12:$B$72,$A1092+1))),IF($A1092&lt;$Q$1077,MAX(0,-Assumptions!$B$22*(F1092/INDEX(Surface_Engine!$B$12:$B$72,$A1092+1))),0)))*(MAX(0,J1092/INDEX(Surface_Engine!$B$12:$B$72,$A1092+1)-(F1092/INDEX(Surface_Engine!$B$12:$B$72,$A1092+1)))))</f>
        <v>10002.0193643387</v>
      </c>
      <c r="L1092" s="48" t="n">
        <f aca="false">K1092*INDEX(Surface_Engine!$B$12:$B$72,$A1092+1)+L1093</f>
        <v>56336.6699939724</v>
      </c>
      <c r="M1092" s="48" t="n">
        <f aca="false">M1091+B1091*(IF($A1091&lt;$Q$1077,(Surface_Engine!G246*12)-(Surface_Engine!G246*12)*INDEX(Surface_Engine!$F$12:$F$72,$A1091+1)-INDEX(Surface_Engine!$D$12:$D$72,$A1091+1),-(1000*12*INDEX(Surface_Engine!$C$12:$C$72,$A1091+1)/(1+Assumptions!$B$10)^10+INDEX(Surface_Engine!$D$12:$D$72,$A1091+1))))*INDEX(Surface_Engine!$B$12:$B$72,$A1091+1)</f>
        <v>56928.3783817883</v>
      </c>
      <c r="N1092" s="12" t="n">
        <f aca="false">IF(B1092&lt;=0,0,MAX(0,(K1092+Assumptions!$B$29*L1092/INDEX(Surface_Engine!$B$12:$B$72,$A1092+1)-(M1092/INDEX(Surface_Engine!$B$12:$B$72,$A1092+1)-(F1092/INDEX(Surface_Engine!$B$12:$B$72,$A1092+1))))/B1092))</f>
        <v>16397.9798635739</v>
      </c>
    </row>
    <row r="1093" customFormat="false" ht="15" hidden="false" customHeight="true" outlineLevel="0" collapsed="false">
      <c r="A1093" s="1" t="n">
        <v>14</v>
      </c>
      <c r="B1093" s="32" t="n">
        <f aca="false">INDEX(Surface_Engine!$Q$12:$Q$72,$A1093+1)*IF($A1093&lt;$Q$1077,INDEX(Surface_Engine!$E$12:$E$72,$A1093+1),INDEX(Surface_Engine!$E$12:$E$72,$Q$1077+1))</f>
        <v>0.636236957001014</v>
      </c>
      <c r="C1093" s="32" t="n">
        <f aca="false">INDEX(Panel_Reserving!$F$8:$F$68,$A1093+1)*IF($A1093&lt;$Q$1077,INDEX(Surface_Engine!$E$12:$E$72,$A1093+1),INDEX(Surface_Engine!$E$12:$E$72,$Q$1077+1))</f>
        <v>0.676410326480832</v>
      </c>
      <c r="D1093" s="32" t="n">
        <f aca="false">INDEX(Surface_Engine!$Q$12:$Q$72,$A1093+1)*IF($A1093&lt;$Q$1077,INDEX(Surface_Engine!$Y$12:$Y$72,$A1093+1),INDEX(Surface_Engine!$Y$12:$Y$72,$Q$1077+1))</f>
        <v>0.589770317341056</v>
      </c>
      <c r="E1093" s="32" t="n">
        <f aca="false">INDEX(Surface_Engine!$Q$12:$Q$72,$A1093+1)*IF($A1093&lt;$Q$1077,INDEX(Surface_Engine!$Z$12:$Z$72,$A1093+1),INDEX(Surface_Engine!$Z$12:$Z$72,$Q$1077+1))</f>
        <v>0.685807143312727</v>
      </c>
      <c r="F1093" s="48" t="n">
        <f aca="false">B1093*(IF($A1093&lt;$Q$1077,INDEX(Surface_Engine!$D$12:$D$72,$A1093+1)+(Surface_Engine!G246*12)*INDEX(Surface_Engine!$F$12:$F$72,$A1093+1)-(Surface_Engine!G246*12),1000*12*INDEX(Surface_Engine!$C$12:$C$72,$A1093+1)/(1+Assumptions!$B$10)^10+INDEX(Surface_Engine!$D$12:$D$72,$A1093+1)))*INDEX(Surface_Engine!$B$12:$B$72,$A1093+1)+F1094</f>
        <v>48363.3290970723</v>
      </c>
      <c r="G1093" s="48" t="n">
        <f aca="false">C1093*(IF($A1093&lt;$Q$1077,INDEX(Surface_Engine!$D$12:$D$72,$A1093+1)+(Surface_Engine!G246*12)*INDEX(Surface_Engine!$F$12:$F$72,$A1093+1)-(Surface_Engine!G246*12),1000*12*INDEX(Surface_Engine!$C$12:$C$72,$A1093+1)/(1+Assumptions!$B$10)^10+INDEX(Surface_Engine!$D$12:$D$72,$A1093+1)))*INDEX(Surface_Engine!$B$12:$B$72,$A1093+1)+G1094</f>
        <v>58114.6339876622</v>
      </c>
      <c r="H1093" s="48" t="n">
        <f aca="false">D1093*(IF($A1093&lt;$Q$1077,INDEX(Surface_Engine!$D$12:$D$72,$A1093+1)+(Surface_Engine!G246*12)*INDEX(Surface_Engine!$F$12:$F$72,$A1093+1)-(Surface_Engine!G246*12),1000*12*INDEX(Surface_Engine!$C$12:$C$72,$A1093+1)/(1+Assumptions!$B$10)^10+INDEX(Surface_Engine!$D$12:$D$72,$A1093+1)))*INDEX(Surface_Engine!$B$12:$B$72,$A1093+1)+H1094</f>
        <v>44831.1837836305</v>
      </c>
      <c r="I1093" s="48" t="n">
        <f aca="false">E1093*(IF($A1093&lt;$Q$1077,INDEX(Surface_Engine!$D$12:$D$72,$A1093+1)+(Surface_Engine!G246*12)*INDEX(Surface_Engine!$F$12:$F$72,$A1093+1)-(Surface_Engine!G246*12),1000*12*INDEX(Surface_Engine!$C$12:$C$72,$A1093+1)/(1+Assumptions!$B$10)^10+INDEX(Surface_Engine!$D$12:$D$72,$A1093+1)))*INDEX(Surface_Engine!$B$12:$B$72,$A1093+1)+I1094</f>
        <v>52131.3894205357</v>
      </c>
      <c r="J1093" s="48" t="n">
        <f aca="false">B1093*(IF($A1093&lt;$Q$1077,INDEX(Surface_Engine!$D$12:$D$72,$A1093+1)*(1+Assumptions!$B$24)+(Surface_Engine!G246*12)*INDEX(Surface_Engine!$F$12:$F$72,$A1093+1)-(Surface_Engine!G246*12),1000*12*INDEX(Surface_Engine!$C$12:$C$72,$A1093+1)/(1+Assumptions!$B$10)^10+INDEX(Surface_Engine!$D$12:$D$72,$A1093+1)*(1+Assumptions!$B$24)))*INDEX(Surface_Engine!$B$12:$B$72,$A1093+1)+J1094</f>
        <v>48407.2887630024</v>
      </c>
      <c r="K1093" s="12" t="n">
        <f aca="false">SQRT((IF(C1093&lt;=0,0,MAX(0,(B1093/C1093)*G1093/INDEX(Surface_Engine!$B$12:$B$72,$A1093+1)-F1093/INDEX(Surface_Engine!$B$12:$B$72,$A1093+1))))^2+(MAX(IF(D1093&lt;=0,0,MAX(0,(B1093/D1093)*H1093/INDEX(Surface_Engine!$B$12:$B$72,$A1093+1)-F1093/INDEX(Surface_Engine!$B$12:$B$72,$A1093+1))),IF(E1093&lt;=0,0,MAX(0,(B1093/E1093)*I1093/INDEX(Surface_Engine!$B$12:$B$72,$A1093+1)-F1093/INDEX(Surface_Engine!$B$12:$B$72,$A1093+1))),IF($A1093&lt;$Q$1077,MAX(0,-Assumptions!$B$22*(F1093/INDEX(Surface_Engine!$B$12:$B$72,$A1093+1))),0)))^2+(MAX(0,J1093/INDEX(Surface_Engine!$B$12:$B$72,$A1093+1)-(F1093/INDEX(Surface_Engine!$B$12:$B$72,$A1093+1))))^2+2*Assumptions!$B$26*(IF(C1093&lt;=0,0,MAX(0,(B1093/C1093)*G1093/INDEX(Surface_Engine!$B$12:$B$72,$A1093+1)-F1093/INDEX(Surface_Engine!$B$12:$B$72,$A1093+1))))*(MAX(IF(D1093&lt;=0,0,MAX(0,(B1093/D1093)*H1093/INDEX(Surface_Engine!$B$12:$B$72,$A1093+1)-F1093/INDEX(Surface_Engine!$B$12:$B$72,$A1093+1))),IF(E1093&lt;=0,0,MAX(0,(B1093/E1093)*I1093/INDEX(Surface_Engine!$B$12:$B$72,$A1093+1)-F1093/INDEX(Surface_Engine!$B$12:$B$72,$A1093+1))),IF($A1093&lt;$Q$1077,MAX(0,-Assumptions!$B$22*(F1093/INDEX(Surface_Engine!$B$12:$B$72,$A1093+1))),0)))+2*Assumptions!$B$27*(IF(C1093&lt;=0,0,MAX(0,(B1093/C1093)*G1093/INDEX(Surface_Engine!$B$12:$B$72,$A1093+1)-F1093/INDEX(Surface_Engine!$B$12:$B$72,$A1093+1))))*(MAX(0,J1093/INDEX(Surface_Engine!$B$12:$B$72,$A1093+1)-(F1093/INDEX(Surface_Engine!$B$12:$B$72,$A1093+1))))+2*Assumptions!$B$28*(MAX(IF(D1093&lt;=0,0,MAX(0,(B1093/D1093)*H1093/INDEX(Surface_Engine!$B$12:$B$72,$A1093+1)-F1093/INDEX(Surface_Engine!$B$12:$B$72,$A1093+1))),IF(E1093&lt;=0,0,MAX(0,(B1093/E1093)*I1093/INDEX(Surface_Engine!$B$12:$B$72,$A1093+1)-F1093/INDEX(Surface_Engine!$B$12:$B$72,$A1093+1))),IF($A1093&lt;$Q$1077,MAX(0,-Assumptions!$B$22*(F1093/INDEX(Surface_Engine!$B$12:$B$72,$A1093+1))),0)))*(MAX(0,J1093/INDEX(Surface_Engine!$B$12:$B$72,$A1093+1)-(F1093/INDEX(Surface_Engine!$B$12:$B$72,$A1093+1)))))</f>
        <v>9627.85988424054</v>
      </c>
      <c r="L1093" s="48" t="n">
        <f aca="false">K1093*INDEX(Surface_Engine!$B$12:$B$72,$A1093+1)+L1094</f>
        <v>49554.085667434</v>
      </c>
      <c r="M1093" s="48" t="n">
        <f aca="false">M1092+B1092*(IF($A1092&lt;$Q$1077,(Surface_Engine!G246*12)-(Surface_Engine!G246*12)*INDEX(Surface_Engine!$F$12:$F$72,$A1092+1)-INDEX(Surface_Engine!$D$12:$D$72,$A1092+1),-(1000*12*INDEX(Surface_Engine!$C$12:$C$72,$A1092+1)/(1+Assumptions!$B$10)^10+INDEX(Surface_Engine!$D$12:$D$72,$A1092+1))))*INDEX(Surface_Engine!$B$12:$B$72,$A1092+1)</f>
        <v>51146.8630650115</v>
      </c>
      <c r="N1093" s="12" t="n">
        <f aca="false">IF(B1093&lt;=0,0,MAX(0,(K1093+Assumptions!$B$29*L1093/INDEX(Surface_Engine!$B$12:$B$72,$A1093+1)-(M1093/INDEX(Surface_Engine!$B$12:$B$72,$A1093+1)-(F1093/INDEX(Surface_Engine!$B$12:$B$72,$A1093+1))))/B1093))</f>
        <v>15587.4033498155</v>
      </c>
    </row>
    <row r="1094" customFormat="false" ht="15" hidden="false" customHeight="true" outlineLevel="0" collapsed="false">
      <c r="A1094" s="1" t="n">
        <v>15</v>
      </c>
      <c r="B1094" s="32" t="n">
        <f aca="false">INDEX(Surface_Engine!$Q$12:$Q$72,$A1094+1)*IF($A1094&lt;$Q$1077,INDEX(Surface_Engine!$E$12:$E$72,$A1094+1),INDEX(Surface_Engine!$E$12:$E$72,$Q$1077+1))</f>
        <v>0.606795327894567</v>
      </c>
      <c r="C1094" s="32" t="n">
        <f aca="false">INDEX(Panel_Reserving!$F$8:$F$68,$A1094+1)*IF($A1094&lt;$Q$1077,INDEX(Surface_Engine!$E$12:$E$72,$A1094+1),INDEX(Surface_Engine!$E$12:$E$72,$Q$1077+1))</f>
        <v>0.651369816982748</v>
      </c>
      <c r="D1094" s="32" t="n">
        <f aca="false">INDEX(Surface_Engine!$Q$12:$Q$72,$A1094+1)*IF($A1094&lt;$Q$1077,INDEX(Surface_Engine!$Y$12:$Y$72,$A1094+1),INDEX(Surface_Engine!$Y$12:$Y$72,$Q$1077+1))</f>
        <v>0.562478914743204</v>
      </c>
      <c r="E1094" s="32" t="n">
        <f aca="false">INDEX(Surface_Engine!$Q$12:$Q$72,$A1094+1)*IF($A1094&lt;$Q$1077,INDEX(Surface_Engine!$Z$12:$Z$72,$A1094+1),INDEX(Surface_Engine!$Z$12:$Z$72,$Q$1077+1))</f>
        <v>0.654071672227961</v>
      </c>
      <c r="F1094" s="48" t="n">
        <f aca="false">B1094*(IF($A1094&lt;$Q$1077,INDEX(Surface_Engine!$D$12:$D$72,$A1094+1)+(Surface_Engine!G246*12)*INDEX(Surface_Engine!$F$12:$F$72,$A1094+1)-(Surface_Engine!G246*12),1000*12*INDEX(Surface_Engine!$C$12:$C$72,$A1094+1)/(1+Assumptions!$B$10)^10+INDEX(Surface_Engine!$D$12:$D$72,$A1094+1)))*INDEX(Surface_Engine!$B$12:$B$72,$A1094+1)+F1095</f>
        <v>42897.970681768</v>
      </c>
      <c r="G1094" s="48" t="n">
        <f aca="false">C1094*(IF($A1094&lt;$Q$1077,INDEX(Surface_Engine!$D$12:$D$72,$A1094+1)+(Surface_Engine!G246*12)*INDEX(Surface_Engine!$F$12:$F$72,$A1094+1)-(Surface_Engine!G246*12),1000*12*INDEX(Surface_Engine!$C$12:$C$72,$A1094+1)/(1+Assumptions!$B$10)^10+INDEX(Surface_Engine!$D$12:$D$72,$A1094+1)))*INDEX(Surface_Engine!$B$12:$B$72,$A1094+1)+G1095</f>
        <v>52304.1810905903</v>
      </c>
      <c r="H1094" s="48" t="n">
        <f aca="false">D1094*(IF($A1094&lt;$Q$1077,INDEX(Surface_Engine!$D$12:$D$72,$A1094+1)+(Surface_Engine!G246*12)*INDEX(Surface_Engine!$F$12:$F$72,$A1094+1)-(Surface_Engine!G246*12),1000*12*INDEX(Surface_Engine!$C$12:$C$72,$A1094+1)/(1+Assumptions!$B$10)^10+INDEX(Surface_Engine!$D$12:$D$72,$A1094+1)))*INDEX(Surface_Engine!$B$12:$B$72,$A1094+1)+H1095</f>
        <v>39764.9798614784</v>
      </c>
      <c r="I1094" s="48" t="n">
        <f aca="false">E1094*(IF($A1094&lt;$Q$1077,INDEX(Surface_Engine!$D$12:$D$72,$A1094+1)+(Surface_Engine!G246*12)*INDEX(Surface_Engine!$F$12:$F$72,$A1094+1)-(Surface_Engine!G246*12),1000*12*INDEX(Surface_Engine!$C$12:$C$72,$A1094+1)/(1+Assumptions!$B$10)^10+INDEX(Surface_Engine!$D$12:$D$72,$A1094+1)))*INDEX(Surface_Engine!$B$12:$B$72,$A1094+1)+I1095</f>
        <v>46240.2166416899</v>
      </c>
      <c r="J1094" s="48" t="n">
        <f aca="false">B1094*(IF($A1094&lt;$Q$1077,INDEX(Surface_Engine!$D$12:$D$72,$A1094+1)*(1+Assumptions!$B$24)+(Surface_Engine!G246*12)*INDEX(Surface_Engine!$F$12:$F$72,$A1094+1)-(Surface_Engine!G246*12),1000*12*INDEX(Surface_Engine!$C$12:$C$72,$A1094+1)/(1+Assumptions!$B$10)^10+INDEX(Surface_Engine!$D$12:$D$72,$A1094+1)*(1+Assumptions!$B$24)))*INDEX(Surface_Engine!$B$12:$B$72,$A1094+1)+J1095</f>
        <v>42937.0983363992</v>
      </c>
      <c r="K1094" s="12" t="n">
        <f aca="false">SQRT((IF(C1094&lt;=0,0,MAX(0,(B1094/C1094)*G1094/INDEX(Surface_Engine!$B$12:$B$72,$A1094+1)-F1094/INDEX(Surface_Engine!$B$12:$B$72,$A1094+1))))^2+(MAX(IF(D1094&lt;=0,0,MAX(0,(B1094/D1094)*H1094/INDEX(Surface_Engine!$B$12:$B$72,$A1094+1)-F1094/INDEX(Surface_Engine!$B$12:$B$72,$A1094+1))),IF(E1094&lt;=0,0,MAX(0,(B1094/E1094)*I1094/INDEX(Surface_Engine!$B$12:$B$72,$A1094+1)-F1094/INDEX(Surface_Engine!$B$12:$B$72,$A1094+1))),IF($A1094&lt;$Q$1077,MAX(0,-Assumptions!$B$22*(F1094/INDEX(Surface_Engine!$B$12:$B$72,$A1094+1))),0)))^2+(MAX(0,J1094/INDEX(Surface_Engine!$B$12:$B$72,$A1094+1)-(F1094/INDEX(Surface_Engine!$B$12:$B$72,$A1094+1))))^2+2*Assumptions!$B$26*(IF(C1094&lt;=0,0,MAX(0,(B1094/C1094)*G1094/INDEX(Surface_Engine!$B$12:$B$72,$A1094+1)-F1094/INDEX(Surface_Engine!$B$12:$B$72,$A1094+1))))*(MAX(IF(D1094&lt;=0,0,MAX(0,(B1094/D1094)*H1094/INDEX(Surface_Engine!$B$12:$B$72,$A1094+1)-F1094/INDEX(Surface_Engine!$B$12:$B$72,$A1094+1))),IF(E1094&lt;=0,0,MAX(0,(B1094/E1094)*I1094/INDEX(Surface_Engine!$B$12:$B$72,$A1094+1)-F1094/INDEX(Surface_Engine!$B$12:$B$72,$A1094+1))),IF($A1094&lt;$Q$1077,MAX(0,-Assumptions!$B$22*(F1094/INDEX(Surface_Engine!$B$12:$B$72,$A1094+1))),0)))+2*Assumptions!$B$27*(IF(C1094&lt;=0,0,MAX(0,(B1094/C1094)*G1094/INDEX(Surface_Engine!$B$12:$B$72,$A1094+1)-F1094/INDEX(Surface_Engine!$B$12:$B$72,$A1094+1))))*(MAX(0,J1094/INDEX(Surface_Engine!$B$12:$B$72,$A1094+1)-(F1094/INDEX(Surface_Engine!$B$12:$B$72,$A1094+1))))+2*Assumptions!$B$28*(MAX(IF(D1094&lt;=0,0,MAX(0,(B1094/D1094)*H1094/INDEX(Surface_Engine!$B$12:$B$72,$A1094+1)-F1094/INDEX(Surface_Engine!$B$12:$B$72,$A1094+1))),IF(E1094&lt;=0,0,MAX(0,(B1094/E1094)*I1094/INDEX(Surface_Engine!$B$12:$B$72,$A1094+1)-F1094/INDEX(Surface_Engine!$B$12:$B$72,$A1094+1))),IF($A1094&lt;$Q$1077,MAX(0,-Assumptions!$B$22*(F1094/INDEX(Surface_Engine!$B$12:$B$72,$A1094+1))),0)))*(MAX(0,J1094/INDEX(Surface_Engine!$B$12:$B$72,$A1094+1)-(F1094/INDEX(Surface_Engine!$B$12:$B$72,$A1094+1)))))</f>
        <v>9236.34231072982</v>
      </c>
      <c r="L1094" s="48" t="n">
        <f aca="false">K1094*INDEX(Surface_Engine!$B$12:$B$72,$A1094+1)+L1095</f>
        <v>43243.1922982216</v>
      </c>
      <c r="M1094" s="48" t="n">
        <f aca="false">M1093+B1093*(IF($A1093&lt;$Q$1077,(Surface_Engine!G246*12)-(Surface_Engine!G246*12)*INDEX(Surface_Engine!$F$12:$F$72,$A1093+1)-INDEX(Surface_Engine!$D$12:$D$72,$A1093+1),-(1000*12*INDEX(Surface_Engine!$C$12:$C$72,$A1093+1)/(1+Assumptions!$B$10)^10+INDEX(Surface_Engine!$D$12:$D$72,$A1093+1))))*INDEX(Surface_Engine!$B$12:$B$72,$A1093+1)</f>
        <v>45681.5046497072</v>
      </c>
      <c r="N1094" s="12" t="n">
        <f aca="false">IF(B1094&lt;=0,0,MAX(0,(K1094+Assumptions!$B$29*L1094/INDEX(Surface_Engine!$B$12:$B$72,$A1094+1)-(M1094/INDEX(Surface_Engine!$B$12:$B$72,$A1094+1)-(F1094/INDEX(Surface_Engine!$B$12:$B$72,$A1094+1))))/B1094))</f>
        <v>14728.7813142924</v>
      </c>
    </row>
    <row r="1095" customFormat="false" ht="15" hidden="false" customHeight="true" outlineLevel="0" collapsed="false">
      <c r="A1095" s="1" t="n">
        <v>16</v>
      </c>
      <c r="B1095" s="32" t="n">
        <f aca="false">INDEX(Surface_Engine!$Q$12:$Q$72,$A1095+1)*IF($A1095&lt;$Q$1077,INDEX(Surface_Engine!$E$12:$E$72,$A1095+1),INDEX(Surface_Engine!$E$12:$E$72,$Q$1077+1))</f>
        <v>0.574285796684251</v>
      </c>
      <c r="C1095" s="32" t="n">
        <f aca="false">INDEX(Panel_Reserving!$F$8:$F$68,$A1095+1)*IF($A1095&lt;$Q$1077,INDEX(Surface_Engine!$E$12:$E$72,$A1095+1),INDEX(Surface_Engine!$E$12:$E$72,$Q$1077+1))</f>
        <v>0.623451701702417</v>
      </c>
      <c r="D1095" s="32" t="n">
        <f aca="false">INDEX(Surface_Engine!$Q$12:$Q$72,$A1095+1)*IF($A1095&lt;$Q$1077,INDEX(Surface_Engine!$Y$12:$Y$72,$A1095+1),INDEX(Surface_Engine!$Y$12:$Y$72,$Q$1077+1))</f>
        <v>0.532343669804129</v>
      </c>
      <c r="E1095" s="32" t="n">
        <f aca="false">INDEX(Surface_Engine!$Q$12:$Q$72,$A1095+1)*IF($A1095&lt;$Q$1077,INDEX(Surface_Engine!$Z$12:$Z$72,$A1095+1),INDEX(Surface_Engine!$Z$12:$Z$72,$Q$1077+1))</f>
        <v>0.619029274133272</v>
      </c>
      <c r="F1095" s="48" t="n">
        <f aca="false">B1095*(IF($A1095&lt;$Q$1077,INDEX(Surface_Engine!$D$12:$D$72,$A1095+1)+(Surface_Engine!G246*12)*INDEX(Surface_Engine!$F$12:$F$72,$A1095+1)-(Surface_Engine!G246*12),1000*12*INDEX(Surface_Engine!$C$12:$C$72,$A1095+1)/(1+Assumptions!$B$10)^10+INDEX(Surface_Engine!$D$12:$D$72,$A1095+1)))*INDEX(Surface_Engine!$B$12:$B$72,$A1095+1)+F1096</f>
        <v>37771.9821052044</v>
      </c>
      <c r="G1095" s="48" t="n">
        <f aca="false">C1095*(IF($A1095&lt;$Q$1077,INDEX(Surface_Engine!$D$12:$D$72,$A1095+1)+(Surface_Engine!G246*12)*INDEX(Surface_Engine!$F$12:$F$72,$A1095+1)-(Surface_Engine!G246*12),1000*12*INDEX(Surface_Engine!$C$12:$C$72,$A1095+1)/(1+Assumptions!$B$10)^10+INDEX(Surface_Engine!$D$12:$D$72,$A1095+1)))*INDEX(Surface_Engine!$B$12:$B$72,$A1095+1)+G1096</f>
        <v>46801.6432702068</v>
      </c>
      <c r="H1095" s="48" t="n">
        <f aca="false">D1095*(IF($A1095&lt;$Q$1077,INDEX(Surface_Engine!$D$12:$D$72,$A1095+1)+(Surface_Engine!G246*12)*INDEX(Surface_Engine!$F$12:$F$72,$A1095+1)-(Surface_Engine!G246*12),1000*12*INDEX(Surface_Engine!$C$12:$C$72,$A1095+1)/(1+Assumptions!$B$10)^10+INDEX(Surface_Engine!$D$12:$D$72,$A1095+1)))*INDEX(Surface_Engine!$B$12:$B$72,$A1095+1)+H1096</f>
        <v>35013.3603960884</v>
      </c>
      <c r="I1095" s="48" t="n">
        <f aca="false">E1095*(IF($A1095&lt;$Q$1077,INDEX(Surface_Engine!$D$12:$D$72,$A1095+1)+(Surface_Engine!G246*12)*INDEX(Surface_Engine!$F$12:$F$72,$A1095+1)-(Surface_Engine!G246*12),1000*12*INDEX(Surface_Engine!$C$12:$C$72,$A1095+1)/(1+Assumptions!$B$10)^10+INDEX(Surface_Engine!$D$12:$D$72,$A1095+1)))*INDEX(Surface_Engine!$B$12:$B$72,$A1095+1)+I1096</f>
        <v>40714.8545204494</v>
      </c>
      <c r="J1095" s="48" t="n">
        <f aca="false">B1095*(IF($A1095&lt;$Q$1077,INDEX(Surface_Engine!$D$12:$D$72,$A1095+1)*(1+Assumptions!$B$24)+(Surface_Engine!G246*12)*INDEX(Surface_Engine!$F$12:$F$72,$A1095+1)-(Surface_Engine!G246*12),1000*12*INDEX(Surface_Engine!$C$12:$C$72,$A1095+1)/(1+Assumptions!$B$10)^10+INDEX(Surface_Engine!$D$12:$D$72,$A1095+1)*(1+Assumptions!$B$24)))*INDEX(Surface_Engine!$B$12:$B$72,$A1095+1)+J1096</f>
        <v>37806.5557727021</v>
      </c>
      <c r="K1095" s="12" t="n">
        <f aca="false">SQRT((IF(C1095&lt;=0,0,MAX(0,(B1095/C1095)*G1095/INDEX(Surface_Engine!$B$12:$B$72,$A1095+1)-F1095/INDEX(Surface_Engine!$B$12:$B$72,$A1095+1))))^2+(MAX(IF(D1095&lt;=0,0,MAX(0,(B1095/D1095)*H1095/INDEX(Surface_Engine!$B$12:$B$72,$A1095+1)-F1095/INDEX(Surface_Engine!$B$12:$B$72,$A1095+1))),IF(E1095&lt;=0,0,MAX(0,(B1095/E1095)*I1095/INDEX(Surface_Engine!$B$12:$B$72,$A1095+1)-F1095/INDEX(Surface_Engine!$B$12:$B$72,$A1095+1))),IF($A1095&lt;$Q$1077,MAX(0,-Assumptions!$B$22*(F1095/INDEX(Surface_Engine!$B$12:$B$72,$A1095+1))),0)))^2+(MAX(0,J1095/INDEX(Surface_Engine!$B$12:$B$72,$A1095+1)-(F1095/INDEX(Surface_Engine!$B$12:$B$72,$A1095+1))))^2+2*Assumptions!$B$26*(IF(C1095&lt;=0,0,MAX(0,(B1095/C1095)*G1095/INDEX(Surface_Engine!$B$12:$B$72,$A1095+1)-F1095/INDEX(Surface_Engine!$B$12:$B$72,$A1095+1))))*(MAX(IF(D1095&lt;=0,0,MAX(0,(B1095/D1095)*H1095/INDEX(Surface_Engine!$B$12:$B$72,$A1095+1)-F1095/INDEX(Surface_Engine!$B$12:$B$72,$A1095+1))),IF(E1095&lt;=0,0,MAX(0,(B1095/E1095)*I1095/INDEX(Surface_Engine!$B$12:$B$72,$A1095+1)-F1095/INDEX(Surface_Engine!$B$12:$B$72,$A1095+1))),IF($A1095&lt;$Q$1077,MAX(0,-Assumptions!$B$22*(F1095/INDEX(Surface_Engine!$B$12:$B$72,$A1095+1))),0)))+2*Assumptions!$B$27*(IF(C1095&lt;=0,0,MAX(0,(B1095/C1095)*G1095/INDEX(Surface_Engine!$B$12:$B$72,$A1095+1)-F1095/INDEX(Surface_Engine!$B$12:$B$72,$A1095+1))))*(MAX(0,J1095/INDEX(Surface_Engine!$B$12:$B$72,$A1095+1)-(F1095/INDEX(Surface_Engine!$B$12:$B$72,$A1095+1))))+2*Assumptions!$B$28*(MAX(IF(D1095&lt;=0,0,MAX(0,(B1095/D1095)*H1095/INDEX(Surface_Engine!$B$12:$B$72,$A1095+1)-F1095/INDEX(Surface_Engine!$B$12:$B$72,$A1095+1))),IF(E1095&lt;=0,0,MAX(0,(B1095/E1095)*I1095/INDEX(Surface_Engine!$B$12:$B$72,$A1095+1)-F1095/INDEX(Surface_Engine!$B$12:$B$72,$A1095+1))),IF($A1095&lt;$Q$1077,MAX(0,-Assumptions!$B$22*(F1095/INDEX(Surface_Engine!$B$12:$B$72,$A1095+1))),0)))*(MAX(0,J1095/INDEX(Surface_Engine!$B$12:$B$72,$A1095+1)-(F1095/INDEX(Surface_Engine!$B$12:$B$72,$A1095+1)))))</f>
        <v>8768.49552396046</v>
      </c>
      <c r="L1095" s="48" t="n">
        <f aca="false">K1095*INDEX(Surface_Engine!$B$12:$B$72,$A1095+1)+L1096</f>
        <v>37406.3527108833</v>
      </c>
      <c r="M1095" s="48" t="n">
        <f aca="false">M1094+B1094*(IF($A1094&lt;$Q$1077,(Surface_Engine!G246*12)-(Surface_Engine!G246*12)*INDEX(Surface_Engine!$F$12:$F$72,$A1094+1)-INDEX(Surface_Engine!$D$12:$D$72,$A1094+1),-(1000*12*INDEX(Surface_Engine!$C$12:$C$72,$A1094+1)/(1+Assumptions!$B$10)^10+INDEX(Surface_Engine!$D$12:$D$72,$A1094+1))))*INDEX(Surface_Engine!$B$12:$B$72,$A1094+1)</f>
        <v>40555.5160731437</v>
      </c>
      <c r="N1095" s="12" t="n">
        <f aca="false">IF(B1095&lt;=0,0,MAX(0,(K1095+Assumptions!$B$29*L1095/INDEX(Surface_Engine!$B$12:$B$72,$A1095+1)-(M1095/INDEX(Surface_Engine!$B$12:$B$72,$A1095+1)-(F1095/INDEX(Surface_Engine!$B$12:$B$72,$A1095+1))))/B1095))</f>
        <v>13729.1259945032</v>
      </c>
    </row>
    <row r="1096" customFormat="false" ht="15" hidden="false" customHeight="true" outlineLevel="0" collapsed="false">
      <c r="A1096" s="1" t="n">
        <v>17</v>
      </c>
      <c r="B1096" s="32" t="n">
        <f aca="false">INDEX(Surface_Engine!$Q$12:$Q$72,$A1096+1)*IF($A1096&lt;$Q$1077,INDEX(Surface_Engine!$E$12:$E$72,$A1096+1),INDEX(Surface_Engine!$E$12:$E$72,$Q$1077+1))</f>
        <v>0.539493498082777</v>
      </c>
      <c r="C1096" s="32" t="n">
        <f aca="false">INDEX(Panel_Reserving!$F$8:$F$68,$A1096+1)*IF($A1096&lt;$Q$1077,INDEX(Surface_Engine!$E$12:$E$72,$A1096+1),INDEX(Surface_Engine!$E$12:$E$72,$Q$1077+1))</f>
        <v>0.593234944966358</v>
      </c>
      <c r="D1096" s="32" t="n">
        <f aca="false">INDEX(Surface_Engine!$Q$12:$Q$72,$A1096+1)*IF($A1096&lt;$Q$1077,INDEX(Surface_Engine!$Y$12:$Y$72,$A1096+1),INDEX(Surface_Engine!$Y$12:$Y$72,$Q$1077+1))</f>
        <v>0.500092376066121</v>
      </c>
      <c r="E1096" s="32" t="n">
        <f aca="false">INDEX(Surface_Engine!$Q$12:$Q$72,$A1096+1)*IF($A1096&lt;$Q$1077,INDEX(Surface_Engine!$Z$12:$Z$72,$A1096+1),INDEX(Surface_Engine!$Z$12:$Z$72,$Q$1077+1))</f>
        <v>0.581526254777667</v>
      </c>
      <c r="F1096" s="48" t="n">
        <f aca="false">B1096*(IF($A1096&lt;$Q$1077,INDEX(Surface_Engine!$D$12:$D$72,$A1096+1)+(Surface_Engine!G246*12)*INDEX(Surface_Engine!$F$12:$F$72,$A1096+1)-(Surface_Engine!G246*12),1000*12*INDEX(Surface_Engine!$C$12:$C$72,$A1096+1)/(1+Assumptions!$B$10)^10+INDEX(Surface_Engine!$D$12:$D$72,$A1096+1)))*INDEX(Surface_Engine!$B$12:$B$72,$A1096+1)+F1097</f>
        <v>32996.269685139</v>
      </c>
      <c r="G1096" s="48" t="n">
        <f aca="false">C1096*(IF($A1096&lt;$Q$1077,INDEX(Surface_Engine!$D$12:$D$72,$A1096+1)+(Surface_Engine!G246*12)*INDEX(Surface_Engine!$F$12:$F$72,$A1096+1)-(Surface_Engine!G246*12),1000*12*INDEX(Surface_Engine!$C$12:$C$72,$A1096+1)/(1+Assumptions!$B$10)^10+INDEX(Surface_Engine!$D$12:$D$72,$A1096+1)))*INDEX(Surface_Engine!$B$12:$B$72,$A1096+1)+G1097</f>
        <v>41617.0713160998</v>
      </c>
      <c r="H1096" s="48" t="n">
        <f aca="false">D1096*(IF($A1096&lt;$Q$1077,INDEX(Surface_Engine!$D$12:$D$72,$A1096+1)+(Surface_Engine!G246*12)*INDEX(Surface_Engine!$F$12:$F$72,$A1096+1)-(Surface_Engine!G246*12),1000*12*INDEX(Surface_Engine!$C$12:$C$72,$A1096+1)/(1+Assumptions!$B$10)^10+INDEX(Surface_Engine!$D$12:$D$72,$A1096+1)))*INDEX(Surface_Engine!$B$12:$B$72,$A1096+1)+H1097</f>
        <v>30586.4351781823</v>
      </c>
      <c r="I1096" s="48" t="n">
        <f aca="false">E1096*(IF($A1096&lt;$Q$1077,INDEX(Surface_Engine!$D$12:$D$72,$A1096+1)+(Surface_Engine!G246*12)*INDEX(Surface_Engine!$F$12:$F$72,$A1096+1)-(Surface_Engine!G246*12),1000*12*INDEX(Surface_Engine!$C$12:$C$72,$A1096+1)/(1+Assumptions!$B$10)^10+INDEX(Surface_Engine!$D$12:$D$72,$A1096+1)))*INDEX(Surface_Engine!$B$12:$B$72,$A1096+1)+I1097</f>
        <v>35567.0591023298</v>
      </c>
      <c r="J1096" s="48" t="n">
        <f aca="false">B1096*(IF($A1096&lt;$Q$1077,INDEX(Surface_Engine!$D$12:$D$72,$A1096+1)*(1+Assumptions!$B$24)+(Surface_Engine!G246*12)*INDEX(Surface_Engine!$F$12:$F$72,$A1096+1)-(Surface_Engine!G246*12),1000*12*INDEX(Surface_Engine!$C$12:$C$72,$A1096+1)/(1+Assumptions!$B$10)^10+INDEX(Surface_Engine!$D$12:$D$72,$A1096+1)*(1+Assumptions!$B$24)))*INDEX(Surface_Engine!$B$12:$B$72,$A1096+1)+J1097</f>
        <v>33026.5799425055</v>
      </c>
      <c r="K1096" s="12" t="n">
        <f aca="false">SQRT((IF(C1096&lt;=0,0,MAX(0,(B1096/C1096)*G1096/INDEX(Surface_Engine!$B$12:$B$72,$A1096+1)-F1096/INDEX(Surface_Engine!$B$12:$B$72,$A1096+1))))^2+(MAX(IF(D1096&lt;=0,0,MAX(0,(B1096/D1096)*H1096/INDEX(Surface_Engine!$B$12:$B$72,$A1096+1)-F1096/INDEX(Surface_Engine!$B$12:$B$72,$A1096+1))),IF(E1096&lt;=0,0,MAX(0,(B1096/E1096)*I1096/INDEX(Surface_Engine!$B$12:$B$72,$A1096+1)-F1096/INDEX(Surface_Engine!$B$12:$B$72,$A1096+1))),IF($A1096&lt;$Q$1077,MAX(0,-Assumptions!$B$22*(F1096/INDEX(Surface_Engine!$B$12:$B$72,$A1096+1))),0)))^2+(MAX(0,J1096/INDEX(Surface_Engine!$B$12:$B$72,$A1096+1)-(F1096/INDEX(Surface_Engine!$B$12:$B$72,$A1096+1))))^2+2*Assumptions!$B$26*(IF(C1096&lt;=0,0,MAX(0,(B1096/C1096)*G1096/INDEX(Surface_Engine!$B$12:$B$72,$A1096+1)-F1096/INDEX(Surface_Engine!$B$12:$B$72,$A1096+1))))*(MAX(IF(D1096&lt;=0,0,MAX(0,(B1096/D1096)*H1096/INDEX(Surface_Engine!$B$12:$B$72,$A1096+1)-F1096/INDEX(Surface_Engine!$B$12:$B$72,$A1096+1))),IF(E1096&lt;=0,0,MAX(0,(B1096/E1096)*I1096/INDEX(Surface_Engine!$B$12:$B$72,$A1096+1)-F1096/INDEX(Surface_Engine!$B$12:$B$72,$A1096+1))),IF($A1096&lt;$Q$1077,MAX(0,-Assumptions!$B$22*(F1096/INDEX(Surface_Engine!$B$12:$B$72,$A1096+1))),0)))+2*Assumptions!$B$27*(IF(C1096&lt;=0,0,MAX(0,(B1096/C1096)*G1096/INDEX(Surface_Engine!$B$12:$B$72,$A1096+1)-F1096/INDEX(Surface_Engine!$B$12:$B$72,$A1096+1))))*(MAX(0,J1096/INDEX(Surface_Engine!$B$12:$B$72,$A1096+1)-(F1096/INDEX(Surface_Engine!$B$12:$B$72,$A1096+1))))+2*Assumptions!$B$28*(MAX(IF(D1096&lt;=0,0,MAX(0,(B1096/D1096)*H1096/INDEX(Surface_Engine!$B$12:$B$72,$A1096+1)-F1096/INDEX(Surface_Engine!$B$12:$B$72,$A1096+1))),IF(E1096&lt;=0,0,MAX(0,(B1096/E1096)*I1096/INDEX(Surface_Engine!$B$12:$B$72,$A1096+1)-F1096/INDEX(Surface_Engine!$B$12:$B$72,$A1096+1))),IF($A1096&lt;$Q$1077,MAX(0,-Assumptions!$B$22*(F1096/INDEX(Surface_Engine!$B$12:$B$72,$A1096+1))),0)))*(MAX(0,J1096/INDEX(Surface_Engine!$B$12:$B$72,$A1096+1)-(F1096/INDEX(Surface_Engine!$B$12:$B$72,$A1096+1)))))</f>
        <v>8239.40391734364</v>
      </c>
      <c r="L1096" s="48" t="n">
        <f aca="false">K1096*INDEX(Surface_Engine!$B$12:$B$72,$A1096+1)+L1097</f>
        <v>32058.7587585899</v>
      </c>
      <c r="M1096" s="48" t="n">
        <f aca="false">M1095+B1095*(IF($A1095&lt;$Q$1077,(Surface_Engine!G246*12)-(Surface_Engine!G246*12)*INDEX(Surface_Engine!$F$12:$F$72,$A1095+1)-INDEX(Surface_Engine!$D$12:$D$72,$A1095+1),-(1000*12*INDEX(Surface_Engine!$C$12:$C$72,$A1095+1)/(1+Assumptions!$B$10)^10+INDEX(Surface_Engine!$D$12:$D$72,$A1095+1))))*INDEX(Surface_Engine!$B$12:$B$72,$A1095+1)</f>
        <v>35779.8036530782</v>
      </c>
      <c r="N1096" s="12" t="n">
        <f aca="false">IF(B1096&lt;=0,0,MAX(0,(K1096+Assumptions!$B$29*L1096/INDEX(Surface_Engine!$B$12:$B$72,$A1096+1)-(M1096/INDEX(Surface_Engine!$B$12:$B$72,$A1096+1)-(F1096/INDEX(Surface_Engine!$B$12:$B$72,$A1096+1))))/B1096))</f>
        <v>12569.0021714221</v>
      </c>
    </row>
    <row r="1097" customFormat="false" ht="15" hidden="false" customHeight="true" outlineLevel="0" collapsed="false">
      <c r="A1097" s="1" t="n">
        <v>18</v>
      </c>
      <c r="B1097" s="32" t="n">
        <f aca="false">INDEX(Surface_Engine!$Q$12:$Q$72,$A1097+1)*IF($A1097&lt;$Q$1077,INDEX(Surface_Engine!$E$12:$E$72,$A1097+1),INDEX(Surface_Engine!$E$12:$E$72,$Q$1077+1))</f>
        <v>0.502539304100518</v>
      </c>
      <c r="C1097" s="32" t="n">
        <f aca="false">INDEX(Panel_Reserving!$F$8:$F$68,$A1097+1)*IF($A1097&lt;$Q$1077,INDEX(Surface_Engine!$E$12:$E$72,$A1097+1),INDEX(Surface_Engine!$E$12:$E$72,$Q$1077+1))</f>
        <v>0.560726646999841</v>
      </c>
      <c r="D1097" s="32" t="n">
        <f aca="false">INDEX(Surface_Engine!$Q$12:$Q$72,$A1097+1)*IF($A1097&lt;$Q$1077,INDEX(Surface_Engine!$Y$12:$Y$72,$A1097+1),INDEX(Surface_Engine!$Y$12:$Y$72,$Q$1077+1))</f>
        <v>0.46583707782829</v>
      </c>
      <c r="E1097" s="32" t="n">
        <f aca="false">INDEX(Surface_Engine!$Q$12:$Q$72,$A1097+1)*IF($A1097&lt;$Q$1077,INDEX(Surface_Engine!$Z$12:$Z$72,$A1097+1),INDEX(Surface_Engine!$Z$12:$Z$72,$Q$1077+1))</f>
        <v>0.541692903493175</v>
      </c>
      <c r="F1097" s="48" t="n">
        <f aca="false">B1097*(IF($A1097&lt;$Q$1077,INDEX(Surface_Engine!$D$12:$D$72,$A1097+1)+(Surface_Engine!G246*12)*INDEX(Surface_Engine!$F$12:$F$72,$A1097+1)-(Surface_Engine!G246*12),1000*12*INDEX(Surface_Engine!$C$12:$C$72,$A1097+1)/(1+Assumptions!$B$10)^10+INDEX(Surface_Engine!$D$12:$D$72,$A1097+1)))*INDEX(Surface_Engine!$B$12:$B$72,$A1097+1)+F1098</f>
        <v>28571.6519593048</v>
      </c>
      <c r="G1097" s="48" t="n">
        <f aca="false">C1097*(IF($A1097&lt;$Q$1077,INDEX(Surface_Engine!$D$12:$D$72,$A1097+1)+(Surface_Engine!G246*12)*INDEX(Surface_Engine!$F$12:$F$72,$A1097+1)-(Surface_Engine!G246*12),1000*12*INDEX(Surface_Engine!$C$12:$C$72,$A1097+1)/(1+Assumptions!$B$10)^10+INDEX(Surface_Engine!$D$12:$D$72,$A1097+1)))*INDEX(Surface_Engine!$B$12:$B$72,$A1097+1)+G1098</f>
        <v>36751.6969187986</v>
      </c>
      <c r="H1097" s="48" t="n">
        <f aca="false">D1097*(IF($A1097&lt;$Q$1077,INDEX(Surface_Engine!$D$12:$D$72,$A1097+1)+(Surface_Engine!G246*12)*INDEX(Surface_Engine!$F$12:$F$72,$A1097+1)-(Surface_Engine!G246*12),1000*12*INDEX(Surface_Engine!$C$12:$C$72,$A1097+1)/(1+Assumptions!$B$10)^10+INDEX(Surface_Engine!$D$12:$D$72,$A1097+1)))*INDEX(Surface_Engine!$B$12:$B$72,$A1097+1)+H1098</f>
        <v>26484.9629647819</v>
      </c>
      <c r="I1097" s="48" t="n">
        <f aca="false">E1097*(IF($A1097&lt;$Q$1077,INDEX(Surface_Engine!$D$12:$D$72,$A1097+1)+(Surface_Engine!G246*12)*INDEX(Surface_Engine!$F$12:$F$72,$A1097+1)-(Surface_Engine!G246*12),1000*12*INDEX(Surface_Engine!$C$12:$C$72,$A1097+1)/(1+Assumptions!$B$10)^10+INDEX(Surface_Engine!$D$12:$D$72,$A1097+1)))*INDEX(Surface_Engine!$B$12:$B$72,$A1097+1)+I1098</f>
        <v>30797.7126985805</v>
      </c>
      <c r="J1097" s="48" t="n">
        <f aca="false">B1097*(IF($A1097&lt;$Q$1077,INDEX(Surface_Engine!$D$12:$D$72,$A1097+1)*(1+Assumptions!$B$24)+(Surface_Engine!G246*12)*INDEX(Surface_Engine!$F$12:$F$72,$A1097+1)-(Surface_Engine!G246*12),1000*12*INDEX(Surface_Engine!$C$12:$C$72,$A1097+1)/(1+Assumptions!$B$10)^10+INDEX(Surface_Engine!$D$12:$D$72,$A1097+1)*(1+Assumptions!$B$24)))*INDEX(Surface_Engine!$B$12:$B$72,$A1097+1)+J1098</f>
        <v>28597.9930495095</v>
      </c>
      <c r="K1097" s="12" t="n">
        <f aca="false">SQRT((IF(C1097&lt;=0,0,MAX(0,(B1097/C1097)*G1097/INDEX(Surface_Engine!$B$12:$B$72,$A1097+1)-F1097/INDEX(Surface_Engine!$B$12:$B$72,$A1097+1))))^2+(MAX(IF(D1097&lt;=0,0,MAX(0,(B1097/D1097)*H1097/INDEX(Surface_Engine!$B$12:$B$72,$A1097+1)-F1097/INDEX(Surface_Engine!$B$12:$B$72,$A1097+1))),IF(E1097&lt;=0,0,MAX(0,(B1097/E1097)*I1097/INDEX(Surface_Engine!$B$12:$B$72,$A1097+1)-F1097/INDEX(Surface_Engine!$B$12:$B$72,$A1097+1))),IF($A1097&lt;$Q$1077,MAX(0,-Assumptions!$B$22*(F1097/INDEX(Surface_Engine!$B$12:$B$72,$A1097+1))),0)))^2+(MAX(0,J1097/INDEX(Surface_Engine!$B$12:$B$72,$A1097+1)-(F1097/INDEX(Surface_Engine!$B$12:$B$72,$A1097+1))))^2+2*Assumptions!$B$26*(IF(C1097&lt;=0,0,MAX(0,(B1097/C1097)*G1097/INDEX(Surface_Engine!$B$12:$B$72,$A1097+1)-F1097/INDEX(Surface_Engine!$B$12:$B$72,$A1097+1))))*(MAX(IF(D1097&lt;=0,0,MAX(0,(B1097/D1097)*H1097/INDEX(Surface_Engine!$B$12:$B$72,$A1097+1)-F1097/INDEX(Surface_Engine!$B$12:$B$72,$A1097+1))),IF(E1097&lt;=0,0,MAX(0,(B1097/E1097)*I1097/INDEX(Surface_Engine!$B$12:$B$72,$A1097+1)-F1097/INDEX(Surface_Engine!$B$12:$B$72,$A1097+1))),IF($A1097&lt;$Q$1077,MAX(0,-Assumptions!$B$22*(F1097/INDEX(Surface_Engine!$B$12:$B$72,$A1097+1))),0)))+2*Assumptions!$B$27*(IF(C1097&lt;=0,0,MAX(0,(B1097/C1097)*G1097/INDEX(Surface_Engine!$B$12:$B$72,$A1097+1)-F1097/INDEX(Surface_Engine!$B$12:$B$72,$A1097+1))))*(MAX(0,J1097/INDEX(Surface_Engine!$B$12:$B$72,$A1097+1)-(F1097/INDEX(Surface_Engine!$B$12:$B$72,$A1097+1))))+2*Assumptions!$B$28*(MAX(IF(D1097&lt;=0,0,MAX(0,(B1097/D1097)*H1097/INDEX(Surface_Engine!$B$12:$B$72,$A1097+1)-F1097/INDEX(Surface_Engine!$B$12:$B$72,$A1097+1))),IF(E1097&lt;=0,0,MAX(0,(B1097/E1097)*I1097/INDEX(Surface_Engine!$B$12:$B$72,$A1097+1)-F1097/INDEX(Surface_Engine!$B$12:$B$72,$A1097+1))),IF($A1097&lt;$Q$1077,MAX(0,-Assumptions!$B$22*(F1097/INDEX(Surface_Engine!$B$12:$B$72,$A1097+1))),0)))*(MAX(0,J1097/INDEX(Surface_Engine!$B$12:$B$72,$A1097+1)-(F1097/INDEX(Surface_Engine!$B$12:$B$72,$A1097+1)))))</f>
        <v>7662.23855182985</v>
      </c>
      <c r="L1097" s="48" t="n">
        <f aca="false">K1097*INDEX(Surface_Engine!$B$12:$B$72,$A1097+1)+L1098</f>
        <v>27200.4019828522</v>
      </c>
      <c r="M1097" s="48" t="n">
        <f aca="false">M1096+B1096*(IF($A1096&lt;$Q$1077,(Surface_Engine!G246*12)-(Surface_Engine!G246*12)*INDEX(Surface_Engine!$F$12:$F$72,$A1096+1)-INDEX(Surface_Engine!$D$12:$D$72,$A1096+1),-(1000*12*INDEX(Surface_Engine!$C$12:$C$72,$A1096+1)/(1+Assumptions!$B$10)^10+INDEX(Surface_Engine!$D$12:$D$72,$A1096+1))))*INDEX(Surface_Engine!$B$12:$B$72,$A1096+1)</f>
        <v>31355.1859272441</v>
      </c>
      <c r="N1097" s="12" t="n">
        <f aca="false">IF(B1097&lt;=0,0,MAX(0,(K1097+Assumptions!$B$29*L1097/INDEX(Surface_Engine!$B$12:$B$72,$A1097+1)-(M1097/INDEX(Surface_Engine!$B$12:$B$72,$A1097+1)-(F1097/INDEX(Surface_Engine!$B$12:$B$72,$A1097+1))))/B1097))</f>
        <v>11232.0899522144</v>
      </c>
    </row>
    <row r="1098" customFormat="false" ht="15" hidden="false" customHeight="true" outlineLevel="0" collapsed="false">
      <c r="A1098" s="1" t="n">
        <v>19</v>
      </c>
      <c r="B1098" s="32" t="n">
        <f aca="false">INDEX(Surface_Engine!$Q$12:$Q$72,$A1098+1)*IF($A1098&lt;$Q$1077,INDEX(Surface_Engine!$E$12:$E$72,$A1098+1),INDEX(Surface_Engine!$E$12:$E$72,$Q$1077+1))</f>
        <v>0.463640309551757</v>
      </c>
      <c r="C1098" s="32" t="n">
        <f aca="false">INDEX(Panel_Reserving!$F$8:$F$68,$A1098+1)*IF($A1098&lt;$Q$1077,INDEX(Surface_Engine!$E$12:$E$72,$A1098+1),INDEX(Surface_Engine!$E$12:$E$72,$Q$1077+1))</f>
        <v>0.526004263923307</v>
      </c>
      <c r="D1098" s="32" t="n">
        <f aca="false">INDEX(Surface_Engine!$Q$12:$Q$72,$A1098+1)*IF($A1098&lt;$Q$1077,INDEX(Surface_Engine!$Y$12:$Y$72,$A1098+1),INDEX(Surface_Engine!$Y$12:$Y$72,$Q$1077+1))</f>
        <v>0.429779014701294</v>
      </c>
      <c r="E1098" s="32" t="n">
        <f aca="false">INDEX(Surface_Engine!$Q$12:$Q$72,$A1098+1)*IF($A1098&lt;$Q$1077,INDEX(Surface_Engine!$Z$12:$Z$72,$A1098+1),INDEX(Surface_Engine!$Z$12:$Z$72,$Q$1077+1))</f>
        <v>0.499763229280333</v>
      </c>
      <c r="F1098" s="48" t="n">
        <f aca="false">B1098*(IF($A1098&lt;$Q$1077,INDEX(Surface_Engine!$D$12:$D$72,$A1098+1)+(Surface_Engine!G246*12)*INDEX(Surface_Engine!$F$12:$F$72,$A1098+1)-(Surface_Engine!G246*12),1000*12*INDEX(Surface_Engine!$C$12:$C$72,$A1098+1)/(1+Assumptions!$B$10)^10+INDEX(Surface_Engine!$D$12:$D$72,$A1098+1)))*INDEX(Surface_Engine!$B$12:$B$72,$A1098+1)+F1099</f>
        <v>24502.5146315161</v>
      </c>
      <c r="G1098" s="48" t="n">
        <f aca="false">C1098*(IF($A1098&lt;$Q$1077,INDEX(Surface_Engine!$D$12:$D$72,$A1098+1)+(Surface_Engine!G246*12)*INDEX(Surface_Engine!$F$12:$F$72,$A1098+1)-(Surface_Engine!G246*12),1000*12*INDEX(Surface_Engine!$C$12:$C$72,$A1098+1)/(1+Assumptions!$B$10)^10+INDEX(Surface_Engine!$D$12:$D$72,$A1098+1)))*INDEX(Surface_Engine!$B$12:$B$72,$A1098+1)+G1099</f>
        <v>32211.4078083244</v>
      </c>
      <c r="H1098" s="48" t="n">
        <f aca="false">D1098*(IF($A1098&lt;$Q$1077,INDEX(Surface_Engine!$D$12:$D$72,$A1098+1)+(Surface_Engine!G246*12)*INDEX(Surface_Engine!$F$12:$F$72,$A1098+1)-(Surface_Engine!G246*12),1000*12*INDEX(Surface_Engine!$C$12:$C$72,$A1098+1)/(1+Assumptions!$B$10)^10+INDEX(Surface_Engine!$D$12:$D$72,$A1098+1)))*INDEX(Surface_Engine!$B$12:$B$72,$A1098+1)+H1099</f>
        <v>22713.0091562098</v>
      </c>
      <c r="I1098" s="48" t="n">
        <f aca="false">E1098*(IF($A1098&lt;$Q$1077,INDEX(Surface_Engine!$D$12:$D$72,$A1098+1)+(Surface_Engine!G246*12)*INDEX(Surface_Engine!$F$12:$F$72,$A1098+1)-(Surface_Engine!G246*12),1000*12*INDEX(Surface_Engine!$C$12:$C$72,$A1098+1)/(1+Assumptions!$B$10)^10+INDEX(Surface_Engine!$D$12:$D$72,$A1098+1)))*INDEX(Surface_Engine!$B$12:$B$72,$A1098+1)+I1099</f>
        <v>26411.5427098517</v>
      </c>
      <c r="J1098" s="48" t="n">
        <f aca="false">B1098*(IF($A1098&lt;$Q$1077,INDEX(Surface_Engine!$D$12:$D$72,$A1098+1)*(1+Assumptions!$B$24)+(Surface_Engine!G246*12)*INDEX(Surface_Engine!$F$12:$F$72,$A1098+1)-(Surface_Engine!G246*12),1000*12*INDEX(Surface_Engine!$C$12:$C$72,$A1098+1)/(1+Assumptions!$B$10)^10+INDEX(Surface_Engine!$D$12:$D$72,$A1098+1)*(1+Assumptions!$B$24)))*INDEX(Surface_Engine!$B$12:$B$72,$A1098+1)+J1099</f>
        <v>24525.1877111531</v>
      </c>
      <c r="K1098" s="12" t="n">
        <f aca="false">SQRT((IF(C1098&lt;=0,0,MAX(0,(B1098/C1098)*G1098/INDEX(Surface_Engine!$B$12:$B$72,$A1098+1)-F1098/INDEX(Surface_Engine!$B$12:$B$72,$A1098+1))))^2+(MAX(IF(D1098&lt;=0,0,MAX(0,(B1098/D1098)*H1098/INDEX(Surface_Engine!$B$12:$B$72,$A1098+1)-F1098/INDEX(Surface_Engine!$B$12:$B$72,$A1098+1))),IF(E1098&lt;=0,0,MAX(0,(B1098/E1098)*I1098/INDEX(Surface_Engine!$B$12:$B$72,$A1098+1)-F1098/INDEX(Surface_Engine!$B$12:$B$72,$A1098+1))),IF($A1098&lt;$Q$1077,MAX(0,-Assumptions!$B$22*(F1098/INDEX(Surface_Engine!$B$12:$B$72,$A1098+1))),0)))^2+(MAX(0,J1098/INDEX(Surface_Engine!$B$12:$B$72,$A1098+1)-(F1098/INDEX(Surface_Engine!$B$12:$B$72,$A1098+1))))^2+2*Assumptions!$B$26*(IF(C1098&lt;=0,0,MAX(0,(B1098/C1098)*G1098/INDEX(Surface_Engine!$B$12:$B$72,$A1098+1)-F1098/INDEX(Surface_Engine!$B$12:$B$72,$A1098+1))))*(MAX(IF(D1098&lt;=0,0,MAX(0,(B1098/D1098)*H1098/INDEX(Surface_Engine!$B$12:$B$72,$A1098+1)-F1098/INDEX(Surface_Engine!$B$12:$B$72,$A1098+1))),IF(E1098&lt;=0,0,MAX(0,(B1098/E1098)*I1098/INDEX(Surface_Engine!$B$12:$B$72,$A1098+1)-F1098/INDEX(Surface_Engine!$B$12:$B$72,$A1098+1))),IF($A1098&lt;$Q$1077,MAX(0,-Assumptions!$B$22*(F1098/INDEX(Surface_Engine!$B$12:$B$72,$A1098+1))),0)))+2*Assumptions!$B$27*(IF(C1098&lt;=0,0,MAX(0,(B1098/C1098)*G1098/INDEX(Surface_Engine!$B$12:$B$72,$A1098+1)-F1098/INDEX(Surface_Engine!$B$12:$B$72,$A1098+1))))*(MAX(0,J1098/INDEX(Surface_Engine!$B$12:$B$72,$A1098+1)-(F1098/INDEX(Surface_Engine!$B$12:$B$72,$A1098+1))))+2*Assumptions!$B$28*(MAX(IF(D1098&lt;=0,0,MAX(0,(B1098/D1098)*H1098/INDEX(Surface_Engine!$B$12:$B$72,$A1098+1)-F1098/INDEX(Surface_Engine!$B$12:$B$72,$A1098+1))),IF(E1098&lt;=0,0,MAX(0,(B1098/E1098)*I1098/INDEX(Surface_Engine!$B$12:$B$72,$A1098+1)-F1098/INDEX(Surface_Engine!$B$12:$B$72,$A1098+1))),IF($A1098&lt;$Q$1077,MAX(0,-Assumptions!$B$22*(F1098/INDEX(Surface_Engine!$B$12:$B$72,$A1098+1))),0)))*(MAX(0,J1098/INDEX(Surface_Engine!$B$12:$B$72,$A1098+1)-(F1098/INDEX(Surface_Engine!$B$12:$B$72,$A1098+1)))))</f>
        <v>7045.75977096691</v>
      </c>
      <c r="L1098" s="48" t="n">
        <f aca="false">K1098*INDEX(Surface_Engine!$B$12:$B$72,$A1098+1)+L1099</f>
        <v>22827.4693821284</v>
      </c>
      <c r="M1098" s="48" t="n">
        <f aca="false">M1097+B1097*(IF($A1097&lt;$Q$1077,(Surface_Engine!G246*12)-(Surface_Engine!G246*12)*INDEX(Surface_Engine!$F$12:$F$72,$A1097+1)-INDEX(Surface_Engine!$D$12:$D$72,$A1097+1),-(1000*12*INDEX(Surface_Engine!$C$12:$C$72,$A1097+1)/(1+Assumptions!$B$10)^10+INDEX(Surface_Engine!$D$12:$D$72,$A1097+1))))*INDEX(Surface_Engine!$B$12:$B$72,$A1097+1)</f>
        <v>27286.0485994553</v>
      </c>
      <c r="N1098" s="12" t="n">
        <f aca="false">IF(B1098&lt;=0,0,MAX(0,(K1098+Assumptions!$B$29*L1098/INDEX(Surface_Engine!$B$12:$B$72,$A1098+1)-(M1098/INDEX(Surface_Engine!$B$12:$B$72,$A1098+1)-(F1098/INDEX(Surface_Engine!$B$12:$B$72,$A1098+1))))/B1098))</f>
        <v>9681.06328211786</v>
      </c>
    </row>
    <row r="1099" customFormat="false" ht="15" hidden="false" customHeight="true" outlineLevel="0" collapsed="false">
      <c r="A1099" s="1" t="n">
        <v>20</v>
      </c>
      <c r="B1099" s="32" t="n">
        <f aca="false">INDEX(Surface_Engine!$Q$12:$Q$72,$A1099+1)*IF($A1099&lt;$Q$1077,INDEX(Surface_Engine!$E$12:$E$72,$A1099+1),INDEX(Surface_Engine!$E$12:$E$72,$Q$1077+1))</f>
        <v>0.423123067754753</v>
      </c>
      <c r="C1099" s="32" t="n">
        <f aca="false">INDEX(Panel_Reserving!$F$8:$F$68,$A1099+1)*IF($A1099&lt;$Q$1077,INDEX(Surface_Engine!$E$12:$E$72,$A1099+1),INDEX(Surface_Engine!$E$12:$E$72,$Q$1077+1))</f>
        <v>0.489230512360178</v>
      </c>
      <c r="D1099" s="32" t="n">
        <f aca="false">INDEX(Surface_Engine!$Q$12:$Q$72,$A1099+1)*IF($A1099&lt;$Q$1077,INDEX(Surface_Engine!$Y$12:$Y$72,$A1099+1),INDEX(Surface_Engine!$Y$12:$Y$72,$Q$1077+1))</f>
        <v>0.392220890657322</v>
      </c>
      <c r="E1099" s="32" t="n">
        <f aca="false">INDEX(Surface_Engine!$Q$12:$Q$72,$A1099+1)*IF($A1099&lt;$Q$1077,INDEX(Surface_Engine!$Z$12:$Z$72,$A1099+1),INDEX(Surface_Engine!$Z$12:$Z$72,$Q$1077+1))</f>
        <v>0.456089227721712</v>
      </c>
      <c r="F1099" s="48" t="n">
        <f aca="false">B1099*(IF($A1099&lt;$Q$1077,INDEX(Surface_Engine!$D$12:$D$72,$A1099+1)+(Surface_Engine!G246*12)*INDEX(Surface_Engine!$F$12:$F$72,$A1099+1)-(Surface_Engine!G246*12),1000*12*INDEX(Surface_Engine!$C$12:$C$72,$A1099+1)/(1+Assumptions!$B$10)^10+INDEX(Surface_Engine!$D$12:$D$72,$A1099+1)))*INDEX(Surface_Engine!$B$12:$B$72,$A1099+1)+F1100</f>
        <v>20792.6289319592</v>
      </c>
      <c r="G1099" s="48" t="n">
        <f aca="false">C1099*(IF($A1099&lt;$Q$1077,INDEX(Surface_Engine!$D$12:$D$72,$A1099+1)+(Surface_Engine!G246*12)*INDEX(Surface_Engine!$F$12:$F$72,$A1099+1)-(Surface_Engine!G246*12),1000*12*INDEX(Surface_Engine!$C$12:$C$72,$A1099+1)/(1+Assumptions!$B$10)^10+INDEX(Surface_Engine!$D$12:$D$72,$A1099+1)))*INDEX(Surface_Engine!$B$12:$B$72,$A1099+1)+G1100</f>
        <v>28002.50781315</v>
      </c>
      <c r="H1099" s="48" t="n">
        <f aca="false">D1099*(IF($A1099&lt;$Q$1077,INDEX(Surface_Engine!$D$12:$D$72,$A1099+1)+(Surface_Engine!G246*12)*INDEX(Surface_Engine!$F$12:$F$72,$A1099+1)-(Surface_Engine!G246*12),1000*12*INDEX(Surface_Engine!$C$12:$C$72,$A1099+1)/(1+Assumptions!$B$10)^10+INDEX(Surface_Engine!$D$12:$D$72,$A1099+1)))*INDEX(Surface_Engine!$B$12:$B$72,$A1099+1)+H1100</f>
        <v>19274.0695563474</v>
      </c>
      <c r="I1099" s="48" t="n">
        <f aca="false">E1099*(IF($A1099&lt;$Q$1077,INDEX(Surface_Engine!$D$12:$D$72,$A1099+1)+(Surface_Engine!G246*12)*INDEX(Surface_Engine!$F$12:$F$72,$A1099+1)-(Surface_Engine!G246*12),1000*12*INDEX(Surface_Engine!$C$12:$C$72,$A1099+1)/(1+Assumptions!$B$10)^10+INDEX(Surface_Engine!$D$12:$D$72,$A1099+1)))*INDEX(Surface_Engine!$B$12:$B$72,$A1099+1)+I1100</f>
        <v>22412.6141885935</v>
      </c>
      <c r="J1099" s="48" t="n">
        <f aca="false">B1099*(IF($A1099&lt;$Q$1077,INDEX(Surface_Engine!$D$12:$D$72,$A1099+1)*(1+Assumptions!$B$24)+(Surface_Engine!G246*12)*INDEX(Surface_Engine!$F$12:$F$72,$A1099+1)-(Surface_Engine!G246*12),1000*12*INDEX(Surface_Engine!$C$12:$C$72,$A1099+1)/(1+Assumptions!$B$10)^10+INDEX(Surface_Engine!$D$12:$D$72,$A1099+1)*(1+Assumptions!$B$24)))*INDEX(Surface_Engine!$B$12:$B$72,$A1099+1)+J1100</f>
        <v>20811.9415938902</v>
      </c>
      <c r="K1099" s="12" t="n">
        <f aca="false">SQRT((IF(C1099&lt;=0,0,MAX(0,(B1099/C1099)*G1099/INDEX(Surface_Engine!$B$12:$B$72,$A1099+1)-F1099/INDEX(Surface_Engine!$B$12:$B$72,$A1099+1))))^2+(MAX(IF(D1099&lt;=0,0,MAX(0,(B1099/D1099)*H1099/INDEX(Surface_Engine!$B$12:$B$72,$A1099+1)-F1099/INDEX(Surface_Engine!$B$12:$B$72,$A1099+1))),IF(E1099&lt;=0,0,MAX(0,(B1099/E1099)*I1099/INDEX(Surface_Engine!$B$12:$B$72,$A1099+1)-F1099/INDEX(Surface_Engine!$B$12:$B$72,$A1099+1))),IF($A1099&lt;$Q$1077,MAX(0,-Assumptions!$B$22*(F1099/INDEX(Surface_Engine!$B$12:$B$72,$A1099+1))),0)))^2+(MAX(0,J1099/INDEX(Surface_Engine!$B$12:$B$72,$A1099+1)-(F1099/INDEX(Surface_Engine!$B$12:$B$72,$A1099+1))))^2+2*Assumptions!$B$26*(IF(C1099&lt;=0,0,MAX(0,(B1099/C1099)*G1099/INDEX(Surface_Engine!$B$12:$B$72,$A1099+1)-F1099/INDEX(Surface_Engine!$B$12:$B$72,$A1099+1))))*(MAX(IF(D1099&lt;=0,0,MAX(0,(B1099/D1099)*H1099/INDEX(Surface_Engine!$B$12:$B$72,$A1099+1)-F1099/INDEX(Surface_Engine!$B$12:$B$72,$A1099+1))),IF(E1099&lt;=0,0,MAX(0,(B1099/E1099)*I1099/INDEX(Surface_Engine!$B$12:$B$72,$A1099+1)-F1099/INDEX(Surface_Engine!$B$12:$B$72,$A1099+1))),IF($A1099&lt;$Q$1077,MAX(0,-Assumptions!$B$22*(F1099/INDEX(Surface_Engine!$B$12:$B$72,$A1099+1))),0)))+2*Assumptions!$B$27*(IF(C1099&lt;=0,0,MAX(0,(B1099/C1099)*G1099/INDEX(Surface_Engine!$B$12:$B$72,$A1099+1)-F1099/INDEX(Surface_Engine!$B$12:$B$72,$A1099+1))))*(MAX(0,J1099/INDEX(Surface_Engine!$B$12:$B$72,$A1099+1)-(F1099/INDEX(Surface_Engine!$B$12:$B$72,$A1099+1))))+2*Assumptions!$B$28*(MAX(IF(D1099&lt;=0,0,MAX(0,(B1099/D1099)*H1099/INDEX(Surface_Engine!$B$12:$B$72,$A1099+1)-F1099/INDEX(Surface_Engine!$B$12:$B$72,$A1099+1))),IF(E1099&lt;=0,0,MAX(0,(B1099/E1099)*I1099/INDEX(Surface_Engine!$B$12:$B$72,$A1099+1)-F1099/INDEX(Surface_Engine!$B$12:$B$72,$A1099+1))),IF($A1099&lt;$Q$1077,MAX(0,-Assumptions!$B$22*(F1099/INDEX(Surface_Engine!$B$12:$B$72,$A1099+1))),0)))*(MAX(0,J1099/INDEX(Surface_Engine!$B$12:$B$72,$A1099+1)-(F1099/INDEX(Surface_Engine!$B$12:$B$72,$A1099+1)))))</f>
        <v>6403.14975738435</v>
      </c>
      <c r="L1099" s="48" t="n">
        <f aca="false">K1099*INDEX(Surface_Engine!$B$12:$B$72,$A1099+1)+L1100</f>
        <v>18931.8850183183</v>
      </c>
      <c r="M1099" s="48" t="n">
        <f aca="false">M1098+B1098*(IF($A1098&lt;$Q$1077,(Surface_Engine!G246*12)-(Surface_Engine!G246*12)*INDEX(Surface_Engine!$F$12:$F$72,$A1098+1)-INDEX(Surface_Engine!$D$12:$D$72,$A1098+1),-(1000*12*INDEX(Surface_Engine!$C$12:$C$72,$A1098+1)/(1+Assumptions!$B$10)^10+INDEX(Surface_Engine!$D$12:$D$72,$A1098+1))))*INDEX(Surface_Engine!$B$12:$B$72,$A1098+1)</f>
        <v>23576.1628998984</v>
      </c>
      <c r="N1099" s="12" t="n">
        <f aca="false">IF(B1099&lt;=0,0,MAX(0,(K1099+Assumptions!$B$29*L1099/INDEX(Surface_Engine!$B$12:$B$72,$A1099+1)-(M1099/INDEX(Surface_Engine!$B$12:$B$72,$A1099+1)-(F1099/INDEX(Surface_Engine!$B$12:$B$72,$A1099+1))))/B1099))</f>
        <v>7865.73505192884</v>
      </c>
    </row>
    <row r="1100" customFormat="false" ht="15" hidden="false" customHeight="true" outlineLevel="0" collapsed="false">
      <c r="A1100" s="1" t="n">
        <v>21</v>
      </c>
      <c r="B1100" s="32" t="n">
        <f aca="false">INDEX(Surface_Engine!$Q$12:$Q$72,$A1100+1)*IF($A1100&lt;$Q$1077,INDEX(Surface_Engine!$E$12:$E$72,$A1100+1),INDEX(Surface_Engine!$E$12:$E$72,$Q$1077+1))</f>
        <v>0.380101336679377</v>
      </c>
      <c r="C1100" s="32" t="n">
        <f aca="false">INDEX(Panel_Reserving!$F$8:$F$68,$A1100+1)*IF($A1100&lt;$Q$1077,INDEX(Surface_Engine!$E$12:$E$72,$A1100+1),INDEX(Surface_Engine!$E$12:$E$72,$Q$1077+1))</f>
        <v>0.449435861317748</v>
      </c>
      <c r="D1100" s="32" t="n">
        <f aca="false">INDEX(Surface_Engine!$Q$12:$Q$72,$A1100+1)*IF($A1100&lt;$Q$1077,INDEX(Surface_Engine!$Y$12:$Y$72,$A1100+1),INDEX(Surface_Engine!$Y$12:$Y$72,$Q$1077+1))</f>
        <v>0.352341189062361</v>
      </c>
      <c r="E1100" s="32" t="n">
        <f aca="false">INDEX(Surface_Engine!$Q$12:$Q$72,$A1100+1)*IF($A1100&lt;$Q$1077,INDEX(Surface_Engine!$Z$12:$Z$72,$A1100+1),INDEX(Surface_Engine!$Z$12:$Z$72,$Q$1077+1))</f>
        <v>0.409715608326438</v>
      </c>
      <c r="F1100" s="48" t="n">
        <f aca="false">B1100*(IF($A1100&lt;$Q$1077,INDEX(Surface_Engine!$D$12:$D$72,$A1100+1)+(Surface_Engine!G246*12)*INDEX(Surface_Engine!$F$12:$F$72,$A1100+1)-(Surface_Engine!G246*12),1000*12*INDEX(Surface_Engine!$C$12:$C$72,$A1100+1)/(1+Assumptions!$B$10)^10+INDEX(Surface_Engine!$D$12:$D$72,$A1100+1)))*INDEX(Surface_Engine!$B$12:$B$72,$A1100+1)+F1101</f>
        <v>17445.7785569802</v>
      </c>
      <c r="G1100" s="48" t="n">
        <f aca="false">C1100*(IF($A1100&lt;$Q$1077,INDEX(Surface_Engine!$D$12:$D$72,$A1100+1)+(Surface_Engine!G246*12)*INDEX(Surface_Engine!$F$12:$F$72,$A1100+1)-(Surface_Engine!G246*12),1000*12*INDEX(Surface_Engine!$C$12:$C$72,$A1100+1)/(1+Assumptions!$B$10)^10+INDEX(Surface_Engine!$D$12:$D$72,$A1100+1)))*INDEX(Surface_Engine!$B$12:$B$72,$A1100+1)+G1101</f>
        <v>24132.7558461104</v>
      </c>
      <c r="H1100" s="48" t="n">
        <f aca="false">D1100*(IF($A1100&lt;$Q$1077,INDEX(Surface_Engine!$D$12:$D$72,$A1100+1)+(Surface_Engine!G246*12)*INDEX(Surface_Engine!$F$12:$F$72,$A1100+1)-(Surface_Engine!G246*12),1000*12*INDEX(Surface_Engine!$C$12:$C$72,$A1100+1)/(1+Assumptions!$B$10)^10+INDEX(Surface_Engine!$D$12:$D$72,$A1100+1)))*INDEX(Surface_Engine!$B$12:$B$72,$A1100+1)+H1101</f>
        <v>16171.6515247882</v>
      </c>
      <c r="I1100" s="48" t="n">
        <f aca="false">E1100*(IF($A1100&lt;$Q$1077,INDEX(Surface_Engine!$D$12:$D$72,$A1100+1)+(Surface_Engine!G246*12)*INDEX(Surface_Engine!$F$12:$F$72,$A1100+1)-(Surface_Engine!G246*12),1000*12*INDEX(Surface_Engine!$C$12:$C$72,$A1100+1)/(1+Assumptions!$B$10)^10+INDEX(Surface_Engine!$D$12:$D$72,$A1100+1)))*INDEX(Surface_Engine!$B$12:$B$72,$A1100+1)+I1101</f>
        <v>18805.0056246732</v>
      </c>
      <c r="J1100" s="48" t="n">
        <f aca="false">B1100*(IF($A1100&lt;$Q$1077,INDEX(Surface_Engine!$D$12:$D$72,$A1100+1)*(1+Assumptions!$B$24)+(Surface_Engine!G246*12)*INDEX(Surface_Engine!$F$12:$F$72,$A1100+1)-(Surface_Engine!G246*12),1000*12*INDEX(Surface_Engine!$C$12:$C$72,$A1100+1)/(1+Assumptions!$B$10)^10+INDEX(Surface_Engine!$D$12:$D$72,$A1100+1)*(1+Assumptions!$B$24)))*INDEX(Surface_Engine!$B$12:$B$72,$A1100+1)+J1101</f>
        <v>17462.044913495</v>
      </c>
      <c r="K1100" s="12" t="n">
        <f aca="false">SQRT((IF(C1100&lt;=0,0,MAX(0,(B1100/C1100)*G1100/INDEX(Surface_Engine!$B$12:$B$72,$A1100+1)-F1100/INDEX(Surface_Engine!$B$12:$B$72,$A1100+1))))^2+(MAX(IF(D1100&lt;=0,0,MAX(0,(B1100/D1100)*H1100/INDEX(Surface_Engine!$B$12:$B$72,$A1100+1)-F1100/INDEX(Surface_Engine!$B$12:$B$72,$A1100+1))),IF(E1100&lt;=0,0,MAX(0,(B1100/E1100)*I1100/INDEX(Surface_Engine!$B$12:$B$72,$A1100+1)-F1100/INDEX(Surface_Engine!$B$12:$B$72,$A1100+1))),IF($A1100&lt;$Q$1077,MAX(0,-Assumptions!$B$22*(F1100/INDEX(Surface_Engine!$B$12:$B$72,$A1100+1))),0)))^2+(MAX(0,J1100/INDEX(Surface_Engine!$B$12:$B$72,$A1100+1)-(F1100/INDEX(Surface_Engine!$B$12:$B$72,$A1100+1))))^2+2*Assumptions!$B$26*(IF(C1100&lt;=0,0,MAX(0,(B1100/C1100)*G1100/INDEX(Surface_Engine!$B$12:$B$72,$A1100+1)-F1100/INDEX(Surface_Engine!$B$12:$B$72,$A1100+1))))*(MAX(IF(D1100&lt;=0,0,MAX(0,(B1100/D1100)*H1100/INDEX(Surface_Engine!$B$12:$B$72,$A1100+1)-F1100/INDEX(Surface_Engine!$B$12:$B$72,$A1100+1))),IF(E1100&lt;=0,0,MAX(0,(B1100/E1100)*I1100/INDEX(Surface_Engine!$B$12:$B$72,$A1100+1)-F1100/INDEX(Surface_Engine!$B$12:$B$72,$A1100+1))),IF($A1100&lt;$Q$1077,MAX(0,-Assumptions!$B$22*(F1100/INDEX(Surface_Engine!$B$12:$B$72,$A1100+1))),0)))+2*Assumptions!$B$27*(IF(C1100&lt;=0,0,MAX(0,(B1100/C1100)*G1100/INDEX(Surface_Engine!$B$12:$B$72,$A1100+1)-F1100/INDEX(Surface_Engine!$B$12:$B$72,$A1100+1))))*(MAX(0,J1100/INDEX(Surface_Engine!$B$12:$B$72,$A1100+1)-(F1100/INDEX(Surface_Engine!$B$12:$B$72,$A1100+1))))+2*Assumptions!$B$28*(MAX(IF(D1100&lt;=0,0,MAX(0,(B1100/D1100)*H1100/INDEX(Surface_Engine!$B$12:$B$72,$A1100+1)-F1100/INDEX(Surface_Engine!$B$12:$B$72,$A1100+1))),IF(E1100&lt;=0,0,MAX(0,(B1100/E1100)*I1100/INDEX(Surface_Engine!$B$12:$B$72,$A1100+1)-F1100/INDEX(Surface_Engine!$B$12:$B$72,$A1100+1))),IF($A1100&lt;$Q$1077,MAX(0,-Assumptions!$B$22*(F1100/INDEX(Surface_Engine!$B$12:$B$72,$A1100+1))),0)))*(MAX(0,J1100/INDEX(Surface_Engine!$B$12:$B$72,$A1100+1)-(F1100/INDEX(Surface_Engine!$B$12:$B$72,$A1100+1)))))</f>
        <v>5716.15324321724</v>
      </c>
      <c r="L1100" s="48" t="n">
        <f aca="false">K1100*INDEX(Surface_Engine!$B$12:$B$72,$A1100+1)+L1101</f>
        <v>15500.9757043747</v>
      </c>
      <c r="M1100" s="48" t="n">
        <f aca="false">M1099+B1099*(IF($A1099&lt;$Q$1077,(Surface_Engine!G246*12)-(Surface_Engine!G246*12)*INDEX(Surface_Engine!$F$12:$F$72,$A1099+1)-INDEX(Surface_Engine!$D$12:$D$72,$A1099+1),-(1000*12*INDEX(Surface_Engine!$C$12:$C$72,$A1099+1)/(1+Assumptions!$B$10)^10+INDEX(Surface_Engine!$D$12:$D$72,$A1099+1))))*INDEX(Surface_Engine!$B$12:$B$72,$A1099+1)</f>
        <v>20229.3125249195</v>
      </c>
      <c r="N1100" s="12" t="n">
        <f aca="false">IF(B1100&lt;=0,0,MAX(0,(K1100+Assumptions!$B$29*L1100/INDEX(Surface_Engine!$B$12:$B$72,$A1100+1)-(M1100/INDEX(Surface_Engine!$B$12:$B$72,$A1100+1)-(F1100/INDEX(Surface_Engine!$B$12:$B$72,$A1100+1))))/B1100))</f>
        <v>5647.54924832789</v>
      </c>
    </row>
    <row r="1101" customFormat="false" ht="15" hidden="false" customHeight="true" outlineLevel="0" collapsed="false">
      <c r="A1101" s="1" t="n">
        <v>22</v>
      </c>
      <c r="B1101" s="32" t="n">
        <f aca="false">INDEX(Surface_Engine!$Q$12:$Q$72,$A1101+1)*IF($A1101&lt;$Q$1077,INDEX(Surface_Engine!$E$12:$E$72,$A1101+1),INDEX(Surface_Engine!$E$12:$E$72,$Q$1077+1))</f>
        <v>0.33667596818431</v>
      </c>
      <c r="C1101" s="32" t="n">
        <f aca="false">INDEX(Panel_Reserving!$F$8:$F$68,$A1101+1)*IF($A1101&lt;$Q$1077,INDEX(Surface_Engine!$E$12:$E$72,$A1101+1),INDEX(Surface_Engine!$E$12:$E$72,$Q$1077+1))</f>
        <v>0.408358567429495</v>
      </c>
      <c r="D1101" s="32" t="n">
        <f aca="false">INDEX(Surface_Engine!$Q$12:$Q$72,$A1101+1)*IF($A1101&lt;$Q$1077,INDEX(Surface_Engine!$Y$12:$Y$72,$A1101+1),INDEX(Surface_Engine!$Y$12:$Y$72,$Q$1077+1))</f>
        <v>0.312087329118876</v>
      </c>
      <c r="E1101" s="32" t="n">
        <f aca="false">INDEX(Surface_Engine!$Q$12:$Q$72,$A1101+1)*IF($A1101&lt;$Q$1077,INDEX(Surface_Engine!$Z$12:$Z$72,$A1101+1),INDEX(Surface_Engine!$Z$12:$Z$72,$Q$1077+1))</f>
        <v>0.362906903507902</v>
      </c>
      <c r="F1101" s="48" t="n">
        <f aca="false">B1101*(IF($A1101&lt;$Q$1077,INDEX(Surface_Engine!$D$12:$D$72,$A1101+1)+(Surface_Engine!G246*12)*INDEX(Surface_Engine!$F$12:$F$72,$A1101+1)-(Surface_Engine!G246*12),1000*12*INDEX(Surface_Engine!$C$12:$C$72,$A1101+1)/(1+Assumptions!$B$10)^10+INDEX(Surface_Engine!$D$12:$D$72,$A1101+1)))*INDEX(Surface_Engine!$B$12:$B$72,$A1101+1)+F1102</f>
        <v>14473.7640926368</v>
      </c>
      <c r="G1101" s="48" t="n">
        <f aca="false">C1101*(IF($A1101&lt;$Q$1077,INDEX(Surface_Engine!$D$12:$D$72,$A1101+1)+(Surface_Engine!G246*12)*INDEX(Surface_Engine!$F$12:$F$72,$A1101+1)-(Surface_Engine!G246*12),1000*12*INDEX(Surface_Engine!$C$12:$C$72,$A1101+1)/(1+Assumptions!$B$10)^10+INDEX(Surface_Engine!$D$12:$D$72,$A1101+1)))*INDEX(Surface_Engine!$B$12:$B$72,$A1101+1)+G1102</f>
        <v>20618.6143482137</v>
      </c>
      <c r="H1101" s="48" t="n">
        <f aca="false">D1101*(IF($A1101&lt;$Q$1077,INDEX(Surface_Engine!$D$12:$D$72,$A1101+1)+(Surface_Engine!G246*12)*INDEX(Surface_Engine!$F$12:$F$72,$A1101+1)-(Surface_Engine!G246*12),1000*12*INDEX(Surface_Engine!$C$12:$C$72,$A1101+1)/(1+Assumptions!$B$10)^10+INDEX(Surface_Engine!$D$12:$D$72,$A1101+1)))*INDEX(Surface_Engine!$B$12:$B$72,$A1101+1)+H1102</f>
        <v>13416.6938089709</v>
      </c>
      <c r="I1101" s="48" t="n">
        <f aca="false">E1101*(IF($A1101&lt;$Q$1077,INDEX(Surface_Engine!$D$12:$D$72,$A1101+1)+(Surface_Engine!G246*12)*INDEX(Surface_Engine!$F$12:$F$72,$A1101+1)-(Surface_Engine!G246*12),1000*12*INDEX(Surface_Engine!$C$12:$C$72,$A1101+1)/(1+Assumptions!$B$10)^10+INDEX(Surface_Engine!$D$12:$D$72,$A1101+1)))*INDEX(Surface_Engine!$B$12:$B$72,$A1101+1)+I1102</f>
        <v>15601.4370057063</v>
      </c>
      <c r="J1101" s="48" t="n">
        <f aca="false">B1101*(IF($A1101&lt;$Q$1077,INDEX(Surface_Engine!$D$12:$D$72,$A1101+1)*(1+Assumptions!$B$24)+(Surface_Engine!G246*12)*INDEX(Surface_Engine!$F$12:$F$72,$A1101+1)-(Surface_Engine!G246*12),1000*12*INDEX(Surface_Engine!$C$12:$C$72,$A1101+1)/(1+Assumptions!$B$10)^10+INDEX(Surface_Engine!$D$12:$D$72,$A1101+1)*(1+Assumptions!$B$24)))*INDEX(Surface_Engine!$B$12:$B$72,$A1101+1)+J1102</f>
        <v>14487.3121804722</v>
      </c>
      <c r="K1101" s="12" t="n">
        <f aca="false">SQRT((IF(C1101&lt;=0,0,MAX(0,(B1101/C1101)*G1101/INDEX(Surface_Engine!$B$12:$B$72,$A1101+1)-F1101/INDEX(Surface_Engine!$B$12:$B$72,$A1101+1))))^2+(MAX(IF(D1101&lt;=0,0,MAX(0,(B1101/D1101)*H1101/INDEX(Surface_Engine!$B$12:$B$72,$A1101+1)-F1101/INDEX(Surface_Engine!$B$12:$B$72,$A1101+1))),IF(E1101&lt;=0,0,MAX(0,(B1101/E1101)*I1101/INDEX(Surface_Engine!$B$12:$B$72,$A1101+1)-F1101/INDEX(Surface_Engine!$B$12:$B$72,$A1101+1))),IF($A1101&lt;$Q$1077,MAX(0,-Assumptions!$B$22*(F1101/INDEX(Surface_Engine!$B$12:$B$72,$A1101+1))),0)))^2+(MAX(0,J1101/INDEX(Surface_Engine!$B$12:$B$72,$A1101+1)-(F1101/INDEX(Surface_Engine!$B$12:$B$72,$A1101+1))))^2+2*Assumptions!$B$26*(IF(C1101&lt;=0,0,MAX(0,(B1101/C1101)*G1101/INDEX(Surface_Engine!$B$12:$B$72,$A1101+1)-F1101/INDEX(Surface_Engine!$B$12:$B$72,$A1101+1))))*(MAX(IF(D1101&lt;=0,0,MAX(0,(B1101/D1101)*H1101/INDEX(Surface_Engine!$B$12:$B$72,$A1101+1)-F1101/INDEX(Surface_Engine!$B$12:$B$72,$A1101+1))),IF(E1101&lt;=0,0,MAX(0,(B1101/E1101)*I1101/INDEX(Surface_Engine!$B$12:$B$72,$A1101+1)-F1101/INDEX(Surface_Engine!$B$12:$B$72,$A1101+1))),IF($A1101&lt;$Q$1077,MAX(0,-Assumptions!$B$22*(F1101/INDEX(Surface_Engine!$B$12:$B$72,$A1101+1))),0)))+2*Assumptions!$B$27*(IF(C1101&lt;=0,0,MAX(0,(B1101/C1101)*G1101/INDEX(Surface_Engine!$B$12:$B$72,$A1101+1)-F1101/INDEX(Surface_Engine!$B$12:$B$72,$A1101+1))))*(MAX(0,J1101/INDEX(Surface_Engine!$B$12:$B$72,$A1101+1)-(F1101/INDEX(Surface_Engine!$B$12:$B$72,$A1101+1))))+2*Assumptions!$B$28*(MAX(IF(D1101&lt;=0,0,MAX(0,(B1101/D1101)*H1101/INDEX(Surface_Engine!$B$12:$B$72,$A1101+1)-F1101/INDEX(Surface_Engine!$B$12:$B$72,$A1101+1))),IF(E1101&lt;=0,0,MAX(0,(B1101/E1101)*I1101/INDEX(Surface_Engine!$B$12:$B$72,$A1101+1)-F1101/INDEX(Surface_Engine!$B$12:$B$72,$A1101+1))),IF($A1101&lt;$Q$1077,MAX(0,-Assumptions!$B$22*(F1101/INDEX(Surface_Engine!$B$12:$B$72,$A1101+1))),0)))*(MAX(0,J1101/INDEX(Surface_Engine!$B$12:$B$72,$A1101+1)-(F1101/INDEX(Surface_Engine!$B$12:$B$72,$A1101+1)))))</f>
        <v>5025.76308451872</v>
      </c>
      <c r="L1101" s="48" t="n">
        <f aca="false">K1101*INDEX(Surface_Engine!$B$12:$B$72,$A1101+1)+L1102</f>
        <v>12532.853199679</v>
      </c>
      <c r="M1101" s="48" t="n">
        <f aca="false">M1100+B1100*(IF($A1100&lt;$Q$1077,(Surface_Engine!G246*12)-(Surface_Engine!G246*12)*INDEX(Surface_Engine!$F$12:$F$72,$A1100+1)-INDEX(Surface_Engine!$D$12:$D$72,$A1100+1),-(1000*12*INDEX(Surface_Engine!$C$12:$C$72,$A1100+1)/(1+Assumptions!$B$10)^10+INDEX(Surface_Engine!$D$12:$D$72,$A1100+1))))*INDEX(Surface_Engine!$B$12:$B$72,$A1100+1)</f>
        <v>17257.298060576</v>
      </c>
      <c r="N1101" s="12" t="n">
        <f aca="false">IF(B1101&lt;=0,0,MAX(0,(K1101+Assumptions!$B$29*L1101/INDEX(Surface_Engine!$B$12:$B$72,$A1101+1)-(M1101/INDEX(Surface_Engine!$B$12:$B$72,$A1101+1)-(F1101/INDEX(Surface_Engine!$B$12:$B$72,$A1101+1))))/B1101))</f>
        <v>2935.74612934683</v>
      </c>
    </row>
    <row r="1102" customFormat="false" ht="15" hidden="false" customHeight="true" outlineLevel="0" collapsed="false">
      <c r="A1102" s="1" t="n">
        <v>23</v>
      </c>
      <c r="B1102" s="32" t="n">
        <f aca="false">INDEX(Surface_Engine!$Q$12:$Q$72,$A1102+1)*IF($A1102&lt;$Q$1077,INDEX(Surface_Engine!$E$12:$E$72,$A1102+1),INDEX(Surface_Engine!$E$12:$E$72,$Q$1077+1))</f>
        <v>0.293929311862375</v>
      </c>
      <c r="C1102" s="32" t="n">
        <f aca="false">INDEX(Panel_Reserving!$F$8:$F$68,$A1102+1)*IF($A1102&lt;$Q$1077,INDEX(Surface_Engine!$E$12:$E$72,$A1102+1),INDEX(Surface_Engine!$E$12:$E$72,$Q$1077+1))</f>
        <v>0.366880196562299</v>
      </c>
      <c r="D1102" s="32" t="n">
        <f aca="false">INDEX(Surface_Engine!$Q$12:$Q$72,$A1102+1)*IF($A1102&lt;$Q$1077,INDEX(Surface_Engine!$Y$12:$Y$72,$A1102+1),INDEX(Surface_Engine!$Y$12:$Y$72,$Q$1077+1))</f>
        <v>0.272462612593306</v>
      </c>
      <c r="E1102" s="32" t="n">
        <f aca="false">INDEX(Surface_Engine!$Q$12:$Q$72,$A1102+1)*IF($A1102&lt;$Q$1077,INDEX(Surface_Engine!$Z$12:$Z$72,$A1102+1),INDEX(Surface_Engine!$Z$12:$Z$72,$Q$1077+1))</f>
        <v>0.316829790357321</v>
      </c>
      <c r="F1102" s="48" t="n">
        <f aca="false">B1102*(IF($A1102&lt;$Q$1077,INDEX(Surface_Engine!$D$12:$D$72,$A1102+1)+(Surface_Engine!G246*12)*INDEX(Surface_Engine!$F$12:$F$72,$A1102+1)-(Surface_Engine!G246*12),1000*12*INDEX(Surface_Engine!$C$12:$C$72,$A1102+1)/(1+Assumptions!$B$10)^10+INDEX(Surface_Engine!$D$12:$D$72,$A1102+1)))*INDEX(Surface_Engine!$B$12:$B$72,$A1102+1)+F1103</f>
        <v>11871.5846412087</v>
      </c>
      <c r="G1102" s="48" t="n">
        <f aca="false">C1102*(IF($A1102&lt;$Q$1077,INDEX(Surface_Engine!$D$12:$D$72,$A1102+1)+(Surface_Engine!G246*12)*INDEX(Surface_Engine!$F$12:$F$72,$A1102+1)-(Surface_Engine!G246*12),1000*12*INDEX(Surface_Engine!$C$12:$C$72,$A1102+1)/(1+Assumptions!$B$10)^10+INDEX(Surface_Engine!$D$12:$D$72,$A1102+1)))*INDEX(Surface_Engine!$B$12:$B$72,$A1102+1)+G1103</f>
        <v>17462.3977678906</v>
      </c>
      <c r="H1102" s="48" t="n">
        <f aca="false">D1102*(IF($A1102&lt;$Q$1077,INDEX(Surface_Engine!$D$12:$D$72,$A1102+1)+(Surface_Engine!G246*12)*INDEX(Surface_Engine!$F$12:$F$72,$A1102+1)-(Surface_Engine!G246*12),1000*12*INDEX(Surface_Engine!$C$12:$C$72,$A1102+1)/(1+Assumptions!$B$10)^10+INDEX(Surface_Engine!$D$12:$D$72,$A1102+1)))*INDEX(Surface_Engine!$B$12:$B$72,$A1102+1)+H1103</f>
        <v>11004.5607444581</v>
      </c>
      <c r="I1102" s="48" t="n">
        <f aca="false">E1102*(IF($A1102&lt;$Q$1077,INDEX(Surface_Engine!$D$12:$D$72,$A1102+1)+(Surface_Engine!G246*12)*INDEX(Surface_Engine!$F$12:$F$72,$A1102+1)-(Surface_Engine!G246*12),1000*12*INDEX(Surface_Engine!$C$12:$C$72,$A1102+1)/(1+Assumptions!$B$10)^10+INDEX(Surface_Engine!$D$12:$D$72,$A1102+1)))*INDEX(Surface_Engine!$B$12:$B$72,$A1102+1)+I1103</f>
        <v>12796.5178064461</v>
      </c>
      <c r="J1102" s="48" t="n">
        <f aca="false">B1102*(IF($A1102&lt;$Q$1077,INDEX(Surface_Engine!$D$12:$D$72,$A1102+1)*(1+Assumptions!$B$24)+(Surface_Engine!G246*12)*INDEX(Surface_Engine!$F$12:$F$72,$A1102+1)-(Surface_Engine!G246*12),1000*12*INDEX(Surface_Engine!$C$12:$C$72,$A1102+1)/(1+Assumptions!$B$10)^10+INDEX(Surface_Engine!$D$12:$D$72,$A1102+1)*(1+Assumptions!$B$24)))*INDEX(Surface_Engine!$B$12:$B$72,$A1102+1)+J1103</f>
        <v>11882.7411599737</v>
      </c>
      <c r="K1102" s="12" t="n">
        <f aca="false">SQRT((IF(C1102&lt;=0,0,MAX(0,(B1102/C1102)*G1102/INDEX(Surface_Engine!$B$12:$B$72,$A1102+1)-F1102/INDEX(Surface_Engine!$B$12:$B$72,$A1102+1))))^2+(MAX(IF(D1102&lt;=0,0,MAX(0,(B1102/D1102)*H1102/INDEX(Surface_Engine!$B$12:$B$72,$A1102+1)-F1102/INDEX(Surface_Engine!$B$12:$B$72,$A1102+1))),IF(E1102&lt;=0,0,MAX(0,(B1102/E1102)*I1102/INDEX(Surface_Engine!$B$12:$B$72,$A1102+1)-F1102/INDEX(Surface_Engine!$B$12:$B$72,$A1102+1))),IF($A1102&lt;$Q$1077,MAX(0,-Assumptions!$B$22*(F1102/INDEX(Surface_Engine!$B$12:$B$72,$A1102+1))),0)))^2+(MAX(0,J1102/INDEX(Surface_Engine!$B$12:$B$72,$A1102+1)-(F1102/INDEX(Surface_Engine!$B$12:$B$72,$A1102+1))))^2+2*Assumptions!$B$26*(IF(C1102&lt;=0,0,MAX(0,(B1102/C1102)*G1102/INDEX(Surface_Engine!$B$12:$B$72,$A1102+1)-F1102/INDEX(Surface_Engine!$B$12:$B$72,$A1102+1))))*(MAX(IF(D1102&lt;=0,0,MAX(0,(B1102/D1102)*H1102/INDEX(Surface_Engine!$B$12:$B$72,$A1102+1)-F1102/INDEX(Surface_Engine!$B$12:$B$72,$A1102+1))),IF(E1102&lt;=0,0,MAX(0,(B1102/E1102)*I1102/INDEX(Surface_Engine!$B$12:$B$72,$A1102+1)-F1102/INDEX(Surface_Engine!$B$12:$B$72,$A1102+1))),IF($A1102&lt;$Q$1077,MAX(0,-Assumptions!$B$22*(F1102/INDEX(Surface_Engine!$B$12:$B$72,$A1102+1))),0)))+2*Assumptions!$B$27*(IF(C1102&lt;=0,0,MAX(0,(B1102/C1102)*G1102/INDEX(Surface_Engine!$B$12:$B$72,$A1102+1)-F1102/INDEX(Surface_Engine!$B$12:$B$72,$A1102+1))))*(MAX(0,J1102/INDEX(Surface_Engine!$B$12:$B$72,$A1102+1)-(F1102/INDEX(Surface_Engine!$B$12:$B$72,$A1102+1))))+2*Assumptions!$B$28*(MAX(IF(D1102&lt;=0,0,MAX(0,(B1102/D1102)*H1102/INDEX(Surface_Engine!$B$12:$B$72,$A1102+1)-F1102/INDEX(Surface_Engine!$B$12:$B$72,$A1102+1))),IF(E1102&lt;=0,0,MAX(0,(B1102/E1102)*I1102/INDEX(Surface_Engine!$B$12:$B$72,$A1102+1)-F1102/INDEX(Surface_Engine!$B$12:$B$72,$A1102+1))),IF($A1102&lt;$Q$1077,MAX(0,-Assumptions!$B$22*(F1102/INDEX(Surface_Engine!$B$12:$B$72,$A1102+1))),0)))*(MAX(0,J1102/INDEX(Surface_Engine!$B$12:$B$72,$A1102+1)-(F1102/INDEX(Surface_Engine!$B$12:$B$72,$A1102+1)))))</f>
        <v>4350.53128231314</v>
      </c>
      <c r="L1102" s="48" t="n">
        <f aca="false">K1102*INDEX(Surface_Engine!$B$12:$B$72,$A1102+1)+L1103</f>
        <v>10003.9399520917</v>
      </c>
      <c r="M1102" s="48" t="n">
        <f aca="false">M1101+B1101*(IF($A1101&lt;$Q$1077,(Surface_Engine!G246*12)-(Surface_Engine!G246*12)*INDEX(Surface_Engine!$F$12:$F$72,$A1101+1)-INDEX(Surface_Engine!$D$12:$D$72,$A1101+1),-(1000*12*INDEX(Surface_Engine!$C$12:$C$72,$A1101+1)/(1+Assumptions!$B$10)^10+INDEX(Surface_Engine!$D$12:$D$72,$A1101+1))))*INDEX(Surface_Engine!$B$12:$B$72,$A1101+1)</f>
        <v>14655.1186091479</v>
      </c>
      <c r="N1102" s="12" t="n">
        <f aca="false">IF(B1102&lt;=0,0,MAX(0,(K1102+Assumptions!$B$29*L1102/INDEX(Surface_Engine!$B$12:$B$72,$A1102+1)-(M1102/INDEX(Surface_Engine!$B$12:$B$72,$A1102+1)-(F1102/INDEX(Surface_Engine!$B$12:$B$72,$A1102+1))))/B1102))</f>
        <v>0</v>
      </c>
    </row>
    <row r="1103" customFormat="false" ht="15" hidden="false" customHeight="true" outlineLevel="0" collapsed="false">
      <c r="A1103" s="1" t="n">
        <v>24</v>
      </c>
      <c r="B1103" s="32" t="n">
        <f aca="false">INDEX(Surface_Engine!$Q$12:$Q$72,$A1103+1)*IF($A1103&lt;$Q$1077,INDEX(Surface_Engine!$E$12:$E$72,$A1103+1),INDEX(Surface_Engine!$E$12:$E$72,$Q$1077+1))</f>
        <v>0.253098908146289</v>
      </c>
      <c r="C1103" s="32" t="n">
        <f aca="false">INDEX(Panel_Reserving!$F$8:$F$68,$A1103+1)*IF($A1103&lt;$Q$1077,INDEX(Surface_Engine!$E$12:$E$72,$A1103+1),INDEX(Surface_Engine!$E$12:$E$72,$Q$1077+1))</f>
        <v>0.326108852061374</v>
      </c>
      <c r="D1103" s="32" t="n">
        <f aca="false">INDEX(Surface_Engine!$Q$12:$Q$72,$A1103+1)*IF($A1103&lt;$Q$1077,INDEX(Surface_Engine!$Y$12:$Y$72,$A1103+1),INDEX(Surface_Engine!$Y$12:$Y$72,$Q$1077+1))</f>
        <v>0.234614197954982</v>
      </c>
      <c r="E1103" s="32" t="n">
        <f aca="false">INDEX(Surface_Engine!$Q$12:$Q$72,$A1103+1)*IF($A1103&lt;$Q$1077,INDEX(Surface_Engine!$Z$12:$Z$72,$A1103+1),INDEX(Surface_Engine!$Z$12:$Z$72,$Q$1077+1))</f>
        <v>0.272818227959524</v>
      </c>
      <c r="F1103" s="48" t="n">
        <f aca="false">B1103*(IF($A1103&lt;$Q$1077,INDEX(Surface_Engine!$D$12:$D$72,$A1103+1)+(Surface_Engine!G246*12)*INDEX(Surface_Engine!$F$12:$F$72,$A1103+1)-(Surface_Engine!G246*12),1000*12*INDEX(Surface_Engine!$C$12:$C$72,$A1103+1)/(1+Assumptions!$B$10)^10+INDEX(Surface_Engine!$D$12:$D$72,$A1103+1)))*INDEX(Surface_Engine!$B$12:$B$72,$A1103+1)+F1104</f>
        <v>9625.97996869775</v>
      </c>
      <c r="G1103" s="48" t="n">
        <f aca="false">C1103*(IF($A1103&lt;$Q$1077,INDEX(Surface_Engine!$D$12:$D$72,$A1103+1)+(Surface_Engine!G246*12)*INDEX(Surface_Engine!$F$12:$F$72,$A1103+1)-(Surface_Engine!G246*12),1000*12*INDEX(Surface_Engine!$C$12:$C$72,$A1103+1)/(1+Assumptions!$B$10)^10+INDEX(Surface_Engine!$D$12:$D$72,$A1103+1)))*INDEX(Surface_Engine!$B$12:$B$72,$A1103+1)+G1104</f>
        <v>14659.4521261923</v>
      </c>
      <c r="H1103" s="48" t="n">
        <f aca="false">D1103*(IF($A1103&lt;$Q$1077,INDEX(Surface_Engine!$D$12:$D$72,$A1103+1)+(Surface_Engine!G246*12)*INDEX(Surface_Engine!$F$12:$F$72,$A1103+1)-(Surface_Engine!G246*12),1000*12*INDEX(Surface_Engine!$C$12:$C$72,$A1103+1)/(1+Assumptions!$B$10)^10+INDEX(Surface_Engine!$D$12:$D$72,$A1103+1)))*INDEX(Surface_Engine!$B$12:$B$72,$A1103+1)+H1104</f>
        <v>8922.96053913208</v>
      </c>
      <c r="I1103" s="48" t="n">
        <f aca="false">E1103*(IF($A1103&lt;$Q$1077,INDEX(Surface_Engine!$D$12:$D$72,$A1103+1)+(Surface_Engine!G246*12)*INDEX(Surface_Engine!$F$12:$F$72,$A1103+1)-(Surface_Engine!G246*12),1000*12*INDEX(Surface_Engine!$C$12:$C$72,$A1103+1)/(1+Assumptions!$B$10)^10+INDEX(Surface_Engine!$D$12:$D$72,$A1103+1)))*INDEX(Surface_Engine!$B$12:$B$72,$A1103+1)+I1104</f>
        <v>10375.9546679518</v>
      </c>
      <c r="J1103" s="48" t="n">
        <f aca="false">B1103*(IF($A1103&lt;$Q$1077,INDEX(Surface_Engine!$D$12:$D$72,$A1103+1)*(1+Assumptions!$B$24)+(Surface_Engine!G246*12)*INDEX(Surface_Engine!$F$12:$F$72,$A1103+1)-(Surface_Engine!G246*12),1000*12*INDEX(Surface_Engine!$C$12:$C$72,$A1103+1)/(1+Assumptions!$B$10)^10+INDEX(Surface_Engine!$D$12:$D$72,$A1103+1)*(1+Assumptions!$B$24)))*INDEX(Surface_Engine!$B$12:$B$72,$A1103+1)+J1104</f>
        <v>9635.06260988307</v>
      </c>
      <c r="K1103" s="12" t="n">
        <f aca="false">SQRT((IF(C1103&lt;=0,0,MAX(0,(B1103/C1103)*G1103/INDEX(Surface_Engine!$B$12:$B$72,$A1103+1)-F1103/INDEX(Surface_Engine!$B$12:$B$72,$A1103+1))))^2+(MAX(IF(D1103&lt;=0,0,MAX(0,(B1103/D1103)*H1103/INDEX(Surface_Engine!$B$12:$B$72,$A1103+1)-F1103/INDEX(Surface_Engine!$B$12:$B$72,$A1103+1))),IF(E1103&lt;=0,0,MAX(0,(B1103/E1103)*I1103/INDEX(Surface_Engine!$B$12:$B$72,$A1103+1)-F1103/INDEX(Surface_Engine!$B$12:$B$72,$A1103+1))),IF($A1103&lt;$Q$1077,MAX(0,-Assumptions!$B$22*(F1103/INDEX(Surface_Engine!$B$12:$B$72,$A1103+1))),0)))^2+(MAX(0,J1103/INDEX(Surface_Engine!$B$12:$B$72,$A1103+1)-(F1103/INDEX(Surface_Engine!$B$12:$B$72,$A1103+1))))^2+2*Assumptions!$B$26*(IF(C1103&lt;=0,0,MAX(0,(B1103/C1103)*G1103/INDEX(Surface_Engine!$B$12:$B$72,$A1103+1)-F1103/INDEX(Surface_Engine!$B$12:$B$72,$A1103+1))))*(MAX(IF(D1103&lt;=0,0,MAX(0,(B1103/D1103)*H1103/INDEX(Surface_Engine!$B$12:$B$72,$A1103+1)-F1103/INDEX(Surface_Engine!$B$12:$B$72,$A1103+1))),IF(E1103&lt;=0,0,MAX(0,(B1103/E1103)*I1103/INDEX(Surface_Engine!$B$12:$B$72,$A1103+1)-F1103/INDEX(Surface_Engine!$B$12:$B$72,$A1103+1))),IF($A1103&lt;$Q$1077,MAX(0,-Assumptions!$B$22*(F1103/INDEX(Surface_Engine!$B$12:$B$72,$A1103+1))),0)))+2*Assumptions!$B$27*(IF(C1103&lt;=0,0,MAX(0,(B1103/C1103)*G1103/INDEX(Surface_Engine!$B$12:$B$72,$A1103+1)-F1103/INDEX(Surface_Engine!$B$12:$B$72,$A1103+1))))*(MAX(0,J1103/INDEX(Surface_Engine!$B$12:$B$72,$A1103+1)-(F1103/INDEX(Surface_Engine!$B$12:$B$72,$A1103+1))))+2*Assumptions!$B$28*(MAX(IF(D1103&lt;=0,0,MAX(0,(B1103/D1103)*H1103/INDEX(Surface_Engine!$B$12:$B$72,$A1103+1)-F1103/INDEX(Surface_Engine!$B$12:$B$72,$A1103+1))),IF(E1103&lt;=0,0,MAX(0,(B1103/E1103)*I1103/INDEX(Surface_Engine!$B$12:$B$72,$A1103+1)-F1103/INDEX(Surface_Engine!$B$12:$B$72,$A1103+1))),IF($A1103&lt;$Q$1077,MAX(0,-Assumptions!$B$22*(F1103/INDEX(Surface_Engine!$B$12:$B$72,$A1103+1))),0)))*(MAX(0,J1103/INDEX(Surface_Engine!$B$12:$B$72,$A1103+1)-(F1103/INDEX(Surface_Engine!$B$12:$B$72,$A1103+1)))))</f>
        <v>3712.44853555625</v>
      </c>
      <c r="L1103" s="48" t="n">
        <f aca="false">K1103*INDEX(Surface_Engine!$B$12:$B$72,$A1103+1)+L1104</f>
        <v>7882.55366087882</v>
      </c>
      <c r="M1103" s="48" t="n">
        <f aca="false">M1102+B1102*(IF($A1102&lt;$Q$1077,(Surface_Engine!G246*12)-(Surface_Engine!G246*12)*INDEX(Surface_Engine!$F$12:$F$72,$A1102+1)-INDEX(Surface_Engine!$D$12:$D$72,$A1102+1),-(1000*12*INDEX(Surface_Engine!$C$12:$C$72,$A1102+1)/(1+Assumptions!$B$10)^10+INDEX(Surface_Engine!$D$12:$D$72,$A1102+1))))*INDEX(Surface_Engine!$B$12:$B$72,$A1102+1)</f>
        <v>12409.513936637</v>
      </c>
      <c r="N1103" s="12" t="n">
        <f aca="false">IF(B1103&lt;=0,0,MAX(0,(K1103+Assumptions!$B$29*L1103/INDEX(Surface_Engine!$B$12:$B$72,$A1103+1)-(M1103/INDEX(Surface_Engine!$B$12:$B$72,$A1103+1)-(F1103/INDEX(Surface_Engine!$B$12:$B$72,$A1103+1))))/B1103))</f>
        <v>0</v>
      </c>
    </row>
    <row r="1104" customFormat="false" ht="15" hidden="false" customHeight="true" outlineLevel="0" collapsed="false">
      <c r="A1104" s="1" t="n">
        <v>25</v>
      </c>
      <c r="B1104" s="32" t="n">
        <f aca="false">INDEX(Surface_Engine!$Q$12:$Q$72,$A1104+1)*IF($A1104&lt;$Q$1077,INDEX(Surface_Engine!$E$12:$E$72,$A1104+1),INDEX(Surface_Engine!$E$12:$E$72,$Q$1077+1))</f>
        <v>0.215133675368569</v>
      </c>
      <c r="C1104" s="32" t="n">
        <f aca="false">INDEX(Panel_Reserving!$F$8:$F$68,$A1104+1)*IF($A1104&lt;$Q$1077,INDEX(Surface_Engine!$E$12:$E$72,$A1104+1),INDEX(Surface_Engine!$E$12:$E$72,$Q$1077+1))</f>
        <v>0.28697538105571</v>
      </c>
      <c r="D1104" s="32" t="n">
        <f aca="false">INDEX(Surface_Engine!$Q$12:$Q$72,$A1104+1)*IF($A1104&lt;$Q$1077,INDEX(Surface_Engine!$Y$12:$Y$72,$A1104+1),INDEX(Surface_Engine!$Y$12:$Y$72,$Q$1077+1))</f>
        <v>0.199421700667832</v>
      </c>
      <c r="E1104" s="32" t="n">
        <f aca="false">INDEX(Surface_Engine!$Q$12:$Q$72,$A1104+1)*IF($A1104&lt;$Q$1077,INDEX(Surface_Engine!$Z$12:$Z$72,$A1104+1),INDEX(Surface_Engine!$Z$12:$Z$72,$Q$1077+1))</f>
        <v>0.231895066313557</v>
      </c>
      <c r="F1104" s="48" t="n">
        <f aca="false">B1104*(IF($A1104&lt;$Q$1077,INDEX(Surface_Engine!$D$12:$D$72,$A1104+1)+(Surface_Engine!G246*12)*INDEX(Surface_Engine!$F$12:$F$72,$A1104+1)-(Surface_Engine!G246*12),1000*12*INDEX(Surface_Engine!$C$12:$C$72,$A1104+1)/(1+Assumptions!$B$10)^10+INDEX(Surface_Engine!$D$12:$D$72,$A1104+1)))*INDEX(Surface_Engine!$B$12:$B$72,$A1104+1)+F1105</f>
        <v>7715.08591276903</v>
      </c>
      <c r="G1104" s="48" t="n">
        <f aca="false">C1104*(IF($A1104&lt;$Q$1077,INDEX(Surface_Engine!$D$12:$D$72,$A1104+1)+(Surface_Engine!G246*12)*INDEX(Surface_Engine!$F$12:$F$72,$A1104+1)-(Surface_Engine!G246*12),1000*12*INDEX(Surface_Engine!$C$12:$C$72,$A1104+1)/(1+Assumptions!$B$10)^10+INDEX(Surface_Engine!$D$12:$D$72,$A1104+1)))*INDEX(Surface_Engine!$B$12:$B$72,$A1104+1)+G1105</f>
        <v>12197.3337727238</v>
      </c>
      <c r="H1104" s="48" t="n">
        <f aca="false">D1104*(IF($A1104&lt;$Q$1077,INDEX(Surface_Engine!$D$12:$D$72,$A1104+1)+(Surface_Engine!G246*12)*INDEX(Surface_Engine!$F$12:$F$72,$A1104+1)-(Surface_Engine!G246*12),1000*12*INDEX(Surface_Engine!$C$12:$C$72,$A1104+1)/(1+Assumptions!$B$10)^10+INDEX(Surface_Engine!$D$12:$D$72,$A1104+1)))*INDEX(Surface_Engine!$B$12:$B$72,$A1104+1)+H1105</f>
        <v>7151.62584791511</v>
      </c>
      <c r="I1104" s="48" t="n">
        <f aca="false">E1104*(IF($A1104&lt;$Q$1077,INDEX(Surface_Engine!$D$12:$D$72,$A1104+1)+(Surface_Engine!G246*12)*INDEX(Surface_Engine!$F$12:$F$72,$A1104+1)-(Surface_Engine!G246*12),1000*12*INDEX(Surface_Engine!$C$12:$C$72,$A1104+1)/(1+Assumptions!$B$10)^10+INDEX(Surface_Engine!$D$12:$D$72,$A1104+1)))*INDEX(Surface_Engine!$B$12:$B$72,$A1104+1)+I1105</f>
        <v>8316.17995783914</v>
      </c>
      <c r="J1104" s="48" t="n">
        <f aca="false">B1104*(IF($A1104&lt;$Q$1077,INDEX(Surface_Engine!$D$12:$D$72,$A1104+1)*(1+Assumptions!$B$24)+(Surface_Engine!G246*12)*INDEX(Surface_Engine!$F$12:$F$72,$A1104+1)-(Surface_Engine!G246*12),1000*12*INDEX(Surface_Engine!$C$12:$C$72,$A1104+1)/(1+Assumptions!$B$10)^10+INDEX(Surface_Engine!$D$12:$D$72,$A1104+1)*(1+Assumptions!$B$24)))*INDEX(Surface_Engine!$B$12:$B$72,$A1104+1)+J1105</f>
        <v>7722.39522030113</v>
      </c>
      <c r="K1104" s="12" t="n">
        <f aca="false">SQRT((IF(C1104&lt;=0,0,MAX(0,(B1104/C1104)*G1104/INDEX(Surface_Engine!$B$12:$B$72,$A1104+1)-F1104/INDEX(Surface_Engine!$B$12:$B$72,$A1104+1))))^2+(MAX(IF(D1104&lt;=0,0,MAX(0,(B1104/D1104)*H1104/INDEX(Surface_Engine!$B$12:$B$72,$A1104+1)-F1104/INDEX(Surface_Engine!$B$12:$B$72,$A1104+1))),IF(E1104&lt;=0,0,MAX(0,(B1104/E1104)*I1104/INDEX(Surface_Engine!$B$12:$B$72,$A1104+1)-F1104/INDEX(Surface_Engine!$B$12:$B$72,$A1104+1))),IF($A1104&lt;$Q$1077,MAX(0,-Assumptions!$B$22*(F1104/INDEX(Surface_Engine!$B$12:$B$72,$A1104+1))),0)))^2+(MAX(0,J1104/INDEX(Surface_Engine!$B$12:$B$72,$A1104+1)-(F1104/INDEX(Surface_Engine!$B$12:$B$72,$A1104+1))))^2+2*Assumptions!$B$26*(IF(C1104&lt;=0,0,MAX(0,(B1104/C1104)*G1104/INDEX(Surface_Engine!$B$12:$B$72,$A1104+1)-F1104/INDEX(Surface_Engine!$B$12:$B$72,$A1104+1))))*(MAX(IF(D1104&lt;=0,0,MAX(0,(B1104/D1104)*H1104/INDEX(Surface_Engine!$B$12:$B$72,$A1104+1)-F1104/INDEX(Surface_Engine!$B$12:$B$72,$A1104+1))),IF(E1104&lt;=0,0,MAX(0,(B1104/E1104)*I1104/INDEX(Surface_Engine!$B$12:$B$72,$A1104+1)-F1104/INDEX(Surface_Engine!$B$12:$B$72,$A1104+1))),IF($A1104&lt;$Q$1077,MAX(0,-Assumptions!$B$22*(F1104/INDEX(Surface_Engine!$B$12:$B$72,$A1104+1))),0)))+2*Assumptions!$B$27*(IF(C1104&lt;=0,0,MAX(0,(B1104/C1104)*G1104/INDEX(Surface_Engine!$B$12:$B$72,$A1104+1)-F1104/INDEX(Surface_Engine!$B$12:$B$72,$A1104+1))))*(MAX(0,J1104/INDEX(Surface_Engine!$B$12:$B$72,$A1104+1)-(F1104/INDEX(Surface_Engine!$B$12:$B$72,$A1104+1))))+2*Assumptions!$B$28*(MAX(IF(D1104&lt;=0,0,MAX(0,(B1104/D1104)*H1104/INDEX(Surface_Engine!$B$12:$B$72,$A1104+1)-F1104/INDEX(Surface_Engine!$B$12:$B$72,$A1104+1))),IF(E1104&lt;=0,0,MAX(0,(B1104/E1104)*I1104/INDEX(Surface_Engine!$B$12:$B$72,$A1104+1)-F1104/INDEX(Surface_Engine!$B$12:$B$72,$A1104+1))),IF($A1104&lt;$Q$1077,MAX(0,-Assumptions!$B$22*(F1104/INDEX(Surface_Engine!$B$12:$B$72,$A1104+1))),0)))*(MAX(0,J1104/INDEX(Surface_Engine!$B$12:$B$72,$A1104+1)-(F1104/INDEX(Surface_Engine!$B$12:$B$72,$A1104+1)))))</f>
        <v>3125.21660666505</v>
      </c>
      <c r="L1104" s="48" t="n">
        <f aca="false">K1104*INDEX(Surface_Engine!$B$12:$B$72,$A1104+1)+L1105</f>
        <v>6128.77813814891</v>
      </c>
      <c r="M1104" s="48" t="n">
        <f aca="false">M1103+B1103*(IF($A1103&lt;$Q$1077,(Surface_Engine!G246*12)-(Surface_Engine!G246*12)*INDEX(Surface_Engine!$F$12:$F$72,$A1103+1)-INDEX(Surface_Engine!$D$12:$D$72,$A1103+1),-(1000*12*INDEX(Surface_Engine!$C$12:$C$72,$A1103+1)/(1+Assumptions!$B$10)^10+INDEX(Surface_Engine!$D$12:$D$72,$A1103+1))))*INDEX(Surface_Engine!$B$12:$B$72,$A1103+1)</f>
        <v>10498.6198807083</v>
      </c>
      <c r="N1104" s="12" t="n">
        <f aca="false">IF(B1104&lt;=0,0,MAX(0,(K1104+Assumptions!$B$29*L1104/INDEX(Surface_Engine!$B$12:$B$72,$A1104+1)-(M1104/INDEX(Surface_Engine!$B$12:$B$72,$A1104+1)-(F1104/INDEX(Surface_Engine!$B$12:$B$72,$A1104+1))))/B1104))</f>
        <v>0</v>
      </c>
    </row>
    <row r="1105" customFormat="false" ht="15" hidden="false" customHeight="true" outlineLevel="0" collapsed="false">
      <c r="A1105" s="1" t="n">
        <v>26</v>
      </c>
      <c r="B1105" s="32" t="n">
        <f aca="false">INDEX(Surface_Engine!$Q$12:$Q$72,$A1105+1)*IF($A1105&lt;$Q$1077,INDEX(Surface_Engine!$E$12:$E$72,$A1105+1),INDEX(Surface_Engine!$E$12:$E$72,$Q$1077+1))</f>
        <v>0.17957019758899</v>
      </c>
      <c r="C1105" s="32" t="n">
        <f aca="false">INDEX(Panel_Reserving!$F$8:$F$68,$A1105+1)*IF($A1105&lt;$Q$1077,INDEX(Surface_Engine!$E$12:$E$72,$A1105+1),INDEX(Surface_Engine!$E$12:$E$72,$Q$1077+1))</f>
        <v>0.249023749094879</v>
      </c>
      <c r="D1105" s="32" t="n">
        <f aca="false">INDEX(Surface_Engine!$Q$12:$Q$72,$A1105+1)*IF($A1105&lt;$Q$1077,INDEX(Surface_Engine!$Y$12:$Y$72,$A1105+1),INDEX(Surface_Engine!$Y$12:$Y$72,$Q$1077+1))</f>
        <v>0.166455549699993</v>
      </c>
      <c r="E1105" s="32" t="n">
        <f aca="false">INDEX(Surface_Engine!$Q$12:$Q$72,$A1105+1)*IF($A1105&lt;$Q$1077,INDEX(Surface_Engine!$Z$12:$Z$72,$A1105+1),INDEX(Surface_Engine!$Z$12:$Z$72,$Q$1077+1))</f>
        <v>0.19356078404042</v>
      </c>
      <c r="F1105" s="48" t="n">
        <f aca="false">B1105*(IF($A1105&lt;$Q$1077,INDEX(Surface_Engine!$D$12:$D$72,$A1105+1)+(Surface_Engine!G246*12)*INDEX(Surface_Engine!$F$12:$F$72,$A1105+1)-(Surface_Engine!G246*12),1000*12*INDEX(Surface_Engine!$C$12:$C$72,$A1105+1)/(1+Assumptions!$B$10)^10+INDEX(Surface_Engine!$D$12:$D$72,$A1105+1)))*INDEX(Surface_Engine!$B$12:$B$72,$A1105+1)+F1106</f>
        <v>6109.62712685611</v>
      </c>
      <c r="G1105" s="48" t="n">
        <f aca="false">C1105*(IF($A1105&lt;$Q$1077,INDEX(Surface_Engine!$D$12:$D$72,$A1105+1)+(Surface_Engine!G246*12)*INDEX(Surface_Engine!$F$12:$F$72,$A1105+1)-(Surface_Engine!G246*12),1000*12*INDEX(Surface_Engine!$C$12:$C$72,$A1105+1)/(1+Assumptions!$B$10)^10+INDEX(Surface_Engine!$D$12:$D$72,$A1105+1)))*INDEX(Surface_Engine!$B$12:$B$72,$A1105+1)+G1106</f>
        <v>10055.7483325677</v>
      </c>
      <c r="H1105" s="48" t="n">
        <f aca="false">D1105*(IF($A1105&lt;$Q$1077,INDEX(Surface_Engine!$D$12:$D$72,$A1105+1)+(Surface_Engine!G246*12)*INDEX(Surface_Engine!$F$12:$F$72,$A1105+1)-(Surface_Engine!G246*12),1000*12*INDEX(Surface_Engine!$C$12:$C$72,$A1105+1)/(1+Assumptions!$B$10)^10+INDEX(Surface_Engine!$D$12:$D$72,$A1105+1)))*INDEX(Surface_Engine!$B$12:$B$72,$A1105+1)+H1106</f>
        <v>5663.41940654621</v>
      </c>
      <c r="I1105" s="48" t="n">
        <f aca="false">E1105*(IF($A1105&lt;$Q$1077,INDEX(Surface_Engine!$D$12:$D$72,$A1105+1)+(Surface_Engine!G246*12)*INDEX(Surface_Engine!$F$12:$F$72,$A1105+1)-(Surface_Engine!G246*12),1000*12*INDEX(Surface_Engine!$C$12:$C$72,$A1105+1)/(1+Assumptions!$B$10)^10+INDEX(Surface_Engine!$D$12:$D$72,$A1105+1)))*INDEX(Surface_Engine!$B$12:$B$72,$A1105+1)+I1106</f>
        <v>6585.63744288821</v>
      </c>
      <c r="J1105" s="48" t="n">
        <f aca="false">B1105*(IF($A1105&lt;$Q$1077,INDEX(Surface_Engine!$D$12:$D$72,$A1105+1)*(1+Assumptions!$B$24)+(Surface_Engine!G246*12)*INDEX(Surface_Engine!$F$12:$F$72,$A1105+1)-(Surface_Engine!G246*12),1000*12*INDEX(Surface_Engine!$C$12:$C$72,$A1105+1)/(1+Assumptions!$B$10)^10+INDEX(Surface_Engine!$D$12:$D$72,$A1105+1)*(1+Assumptions!$B$24)))*INDEX(Surface_Engine!$B$12:$B$72,$A1105+1)+J1106</f>
        <v>6115.43931323982</v>
      </c>
      <c r="K1105" s="12" t="n">
        <f aca="false">SQRT((IF(C1105&lt;=0,0,MAX(0,(B1105/C1105)*G1105/INDEX(Surface_Engine!$B$12:$B$72,$A1105+1)-F1105/INDEX(Surface_Engine!$B$12:$B$72,$A1105+1))))^2+(MAX(IF(D1105&lt;=0,0,MAX(0,(B1105/D1105)*H1105/INDEX(Surface_Engine!$B$12:$B$72,$A1105+1)-F1105/INDEX(Surface_Engine!$B$12:$B$72,$A1105+1))),IF(E1105&lt;=0,0,MAX(0,(B1105/E1105)*I1105/INDEX(Surface_Engine!$B$12:$B$72,$A1105+1)-F1105/INDEX(Surface_Engine!$B$12:$B$72,$A1105+1))),IF($A1105&lt;$Q$1077,MAX(0,-Assumptions!$B$22*(F1105/INDEX(Surface_Engine!$B$12:$B$72,$A1105+1))),0)))^2+(MAX(0,J1105/INDEX(Surface_Engine!$B$12:$B$72,$A1105+1)-(F1105/INDEX(Surface_Engine!$B$12:$B$72,$A1105+1))))^2+2*Assumptions!$B$26*(IF(C1105&lt;=0,0,MAX(0,(B1105/C1105)*G1105/INDEX(Surface_Engine!$B$12:$B$72,$A1105+1)-F1105/INDEX(Surface_Engine!$B$12:$B$72,$A1105+1))))*(MAX(IF(D1105&lt;=0,0,MAX(0,(B1105/D1105)*H1105/INDEX(Surface_Engine!$B$12:$B$72,$A1105+1)-F1105/INDEX(Surface_Engine!$B$12:$B$72,$A1105+1))),IF(E1105&lt;=0,0,MAX(0,(B1105/E1105)*I1105/INDEX(Surface_Engine!$B$12:$B$72,$A1105+1)-F1105/INDEX(Surface_Engine!$B$12:$B$72,$A1105+1))),IF($A1105&lt;$Q$1077,MAX(0,-Assumptions!$B$22*(F1105/INDEX(Surface_Engine!$B$12:$B$72,$A1105+1))),0)))+2*Assumptions!$B$27*(IF(C1105&lt;=0,0,MAX(0,(B1105/C1105)*G1105/INDEX(Surface_Engine!$B$12:$B$72,$A1105+1)-F1105/INDEX(Surface_Engine!$B$12:$B$72,$A1105+1))))*(MAX(0,J1105/INDEX(Surface_Engine!$B$12:$B$72,$A1105+1)-(F1105/INDEX(Surface_Engine!$B$12:$B$72,$A1105+1))))+2*Assumptions!$B$28*(MAX(IF(D1105&lt;=0,0,MAX(0,(B1105/D1105)*H1105/INDEX(Surface_Engine!$B$12:$B$72,$A1105+1)-F1105/INDEX(Surface_Engine!$B$12:$B$72,$A1105+1))),IF(E1105&lt;=0,0,MAX(0,(B1105/E1105)*I1105/INDEX(Surface_Engine!$B$12:$B$72,$A1105+1)-F1105/INDEX(Surface_Engine!$B$12:$B$72,$A1105+1))),IF($A1105&lt;$Q$1077,MAX(0,-Assumptions!$B$22*(F1105/INDEX(Surface_Engine!$B$12:$B$72,$A1105+1))),0)))*(MAX(0,J1105/INDEX(Surface_Engine!$B$12:$B$72,$A1105+1)-(F1105/INDEX(Surface_Engine!$B$12:$B$72,$A1105+1)))))</f>
        <v>2577.53152012212</v>
      </c>
      <c r="L1105" s="48" t="n">
        <f aca="false">K1105*INDEX(Surface_Engine!$B$12:$B$72,$A1105+1)+L1106</f>
        <v>4698.17825694153</v>
      </c>
      <c r="M1105" s="48" t="n">
        <f aca="false">M1104+B1104*(IF($A1104&lt;$Q$1077,(Surface_Engine!G246*12)-(Surface_Engine!G246*12)*INDEX(Surface_Engine!$F$12:$F$72,$A1104+1)-INDEX(Surface_Engine!$D$12:$D$72,$A1104+1),-(1000*12*INDEX(Surface_Engine!$C$12:$C$72,$A1104+1)/(1+Assumptions!$B$10)^10+INDEX(Surface_Engine!$D$12:$D$72,$A1104+1))))*INDEX(Surface_Engine!$B$12:$B$72,$A1104+1)</f>
        <v>8893.16109479535</v>
      </c>
      <c r="N1105" s="12" t="n">
        <f aca="false">IF(B1105&lt;=0,0,MAX(0,(K1105+Assumptions!$B$29*L1105/INDEX(Surface_Engine!$B$12:$B$72,$A1105+1)-(M1105/INDEX(Surface_Engine!$B$12:$B$72,$A1105+1)-(F1105/INDEX(Surface_Engine!$B$12:$B$72,$A1105+1))))/B1105))</f>
        <v>0</v>
      </c>
    </row>
    <row r="1106" customFormat="false" ht="15" hidden="false" customHeight="true" outlineLevel="0" collapsed="false">
      <c r="A1106" s="1" t="n">
        <v>27</v>
      </c>
      <c r="B1106" s="32" t="n">
        <f aca="false">INDEX(Surface_Engine!$Q$12:$Q$72,$A1106+1)*IF($A1106&lt;$Q$1077,INDEX(Surface_Engine!$E$12:$E$72,$A1106+1),INDEX(Surface_Engine!$E$12:$E$72,$Q$1077+1))</f>
        <v>0.148069065465216</v>
      </c>
      <c r="C1106" s="32" t="n">
        <f aca="false">INDEX(Panel_Reserving!$F$8:$F$68,$A1106+1)*IF($A1106&lt;$Q$1077,INDEX(Surface_Engine!$E$12:$E$72,$A1106+1),INDEX(Surface_Engine!$E$12:$E$72,$Q$1077+1))</f>
        <v>0.214075722629373</v>
      </c>
      <c r="D1106" s="32" t="n">
        <f aca="false">INDEX(Surface_Engine!$Q$12:$Q$72,$A1106+1)*IF($A1106&lt;$Q$1077,INDEX(Surface_Engine!$Y$12:$Y$72,$A1106+1),INDEX(Surface_Engine!$Y$12:$Y$72,$Q$1077+1))</f>
        <v>0.137255056888616</v>
      </c>
      <c r="E1106" s="32" t="n">
        <f aca="false">INDEX(Surface_Engine!$Q$12:$Q$72,$A1106+1)*IF($A1106&lt;$Q$1077,INDEX(Surface_Engine!$Z$12:$Z$72,$A1106+1),INDEX(Surface_Engine!$Z$12:$Z$72,$Q$1077+1))</f>
        <v>0.159605350934562</v>
      </c>
      <c r="F1106" s="48" t="n">
        <f aca="false">B1106*(IF($A1106&lt;$Q$1077,INDEX(Surface_Engine!$D$12:$D$72,$A1106+1)+(Surface_Engine!G246*12)*INDEX(Surface_Engine!$F$12:$F$72,$A1106+1)-(Surface_Engine!G246*12),1000*12*INDEX(Surface_Engine!$C$12:$C$72,$A1106+1)/(1+Assumptions!$B$10)^10+INDEX(Surface_Engine!$D$12:$D$72,$A1106+1)))*INDEX(Surface_Engine!$B$12:$B$72,$A1106+1)+F1107</f>
        <v>4785.43290184973</v>
      </c>
      <c r="G1106" s="48" t="n">
        <f aca="false">C1106*(IF($A1106&lt;$Q$1077,INDEX(Surface_Engine!$D$12:$D$72,$A1106+1)+(Surface_Engine!G246*12)*INDEX(Surface_Engine!$F$12:$F$72,$A1106+1)-(Surface_Engine!G246*12),1000*12*INDEX(Surface_Engine!$C$12:$C$72,$A1106+1)/(1+Assumptions!$B$10)^10+INDEX(Surface_Engine!$D$12:$D$72,$A1106+1)))*INDEX(Surface_Engine!$B$12:$B$72,$A1106+1)+G1107</f>
        <v>8219.3867599439</v>
      </c>
      <c r="H1106" s="48" t="n">
        <f aca="false">D1106*(IF($A1106&lt;$Q$1077,INDEX(Surface_Engine!$D$12:$D$72,$A1106+1)+(Surface_Engine!G246*12)*INDEX(Surface_Engine!$F$12:$F$72,$A1106+1)-(Surface_Engine!G246*12),1000*12*INDEX(Surface_Engine!$C$12:$C$72,$A1106+1)/(1+Assumptions!$B$10)^10+INDEX(Surface_Engine!$D$12:$D$72,$A1106+1)))*INDEX(Surface_Engine!$B$12:$B$72,$A1106+1)+H1107</f>
        <v>4435.93577845832</v>
      </c>
      <c r="I1106" s="48" t="n">
        <f aca="false">E1106*(IF($A1106&lt;$Q$1077,INDEX(Surface_Engine!$D$12:$D$72,$A1106+1)+(Surface_Engine!G246*12)*INDEX(Surface_Engine!$F$12:$F$72,$A1106+1)-(Surface_Engine!G246*12),1000*12*INDEX(Surface_Engine!$C$12:$C$72,$A1106+1)/(1+Assumptions!$B$10)^10+INDEX(Surface_Engine!$D$12:$D$72,$A1106+1)))*INDEX(Surface_Engine!$B$12:$B$72,$A1106+1)+I1107</f>
        <v>5158.27323738295</v>
      </c>
      <c r="J1106" s="48" t="n">
        <f aca="false">B1106*(IF($A1106&lt;$Q$1077,INDEX(Surface_Engine!$D$12:$D$72,$A1106+1)*(1+Assumptions!$B$24)+(Surface_Engine!G246*12)*INDEX(Surface_Engine!$F$12:$F$72,$A1106+1)-(Surface_Engine!G246*12),1000*12*INDEX(Surface_Engine!$C$12:$C$72,$A1106+1)/(1+Assumptions!$B$10)^10+INDEX(Surface_Engine!$D$12:$D$72,$A1106+1)*(1+Assumptions!$B$24)))*INDEX(Surface_Engine!$B$12:$B$72,$A1106+1)+J1107</f>
        <v>4790.00425528968</v>
      </c>
      <c r="K1106" s="12" t="n">
        <f aca="false">SQRT((IF(C1106&lt;=0,0,MAX(0,(B1106/C1106)*G1106/INDEX(Surface_Engine!$B$12:$B$72,$A1106+1)-F1106/INDEX(Surface_Engine!$B$12:$B$72,$A1106+1))))^2+(MAX(IF(D1106&lt;=0,0,MAX(0,(B1106/D1106)*H1106/INDEX(Surface_Engine!$B$12:$B$72,$A1106+1)-F1106/INDEX(Surface_Engine!$B$12:$B$72,$A1106+1))),IF(E1106&lt;=0,0,MAX(0,(B1106/E1106)*I1106/INDEX(Surface_Engine!$B$12:$B$72,$A1106+1)-F1106/INDEX(Surface_Engine!$B$12:$B$72,$A1106+1))),IF($A1106&lt;$Q$1077,MAX(0,-Assumptions!$B$22*(F1106/INDEX(Surface_Engine!$B$12:$B$72,$A1106+1))),0)))^2+(MAX(0,J1106/INDEX(Surface_Engine!$B$12:$B$72,$A1106+1)-(F1106/INDEX(Surface_Engine!$B$12:$B$72,$A1106+1))))^2+2*Assumptions!$B$26*(IF(C1106&lt;=0,0,MAX(0,(B1106/C1106)*G1106/INDEX(Surface_Engine!$B$12:$B$72,$A1106+1)-F1106/INDEX(Surface_Engine!$B$12:$B$72,$A1106+1))))*(MAX(IF(D1106&lt;=0,0,MAX(0,(B1106/D1106)*H1106/INDEX(Surface_Engine!$B$12:$B$72,$A1106+1)-F1106/INDEX(Surface_Engine!$B$12:$B$72,$A1106+1))),IF(E1106&lt;=0,0,MAX(0,(B1106/E1106)*I1106/INDEX(Surface_Engine!$B$12:$B$72,$A1106+1)-F1106/INDEX(Surface_Engine!$B$12:$B$72,$A1106+1))),IF($A1106&lt;$Q$1077,MAX(0,-Assumptions!$B$22*(F1106/INDEX(Surface_Engine!$B$12:$B$72,$A1106+1))),0)))+2*Assumptions!$B$27*(IF(C1106&lt;=0,0,MAX(0,(B1106/C1106)*G1106/INDEX(Surface_Engine!$B$12:$B$72,$A1106+1)-F1106/INDEX(Surface_Engine!$B$12:$B$72,$A1106+1))))*(MAX(0,J1106/INDEX(Surface_Engine!$B$12:$B$72,$A1106+1)-(F1106/INDEX(Surface_Engine!$B$12:$B$72,$A1106+1))))+2*Assumptions!$B$28*(MAX(IF(D1106&lt;=0,0,MAX(0,(B1106/D1106)*H1106/INDEX(Surface_Engine!$B$12:$B$72,$A1106+1)-F1106/INDEX(Surface_Engine!$B$12:$B$72,$A1106+1))),IF(E1106&lt;=0,0,MAX(0,(B1106/E1106)*I1106/INDEX(Surface_Engine!$B$12:$B$72,$A1106+1)-F1106/INDEX(Surface_Engine!$B$12:$B$72,$A1106+1))),IF($A1106&lt;$Q$1077,MAX(0,-Assumptions!$B$22*(F1106/INDEX(Surface_Engine!$B$12:$B$72,$A1106+1))),0)))*(MAX(0,J1106/INDEX(Surface_Engine!$B$12:$B$72,$A1106+1)-(F1106/INDEX(Surface_Engine!$B$12:$B$72,$A1106+1)))))</f>
        <v>2096.4236480954</v>
      </c>
      <c r="L1106" s="48" t="n">
        <f aca="false">K1106*INDEX(Surface_Engine!$B$12:$B$72,$A1106+1)+L1107</f>
        <v>3555.1717911074</v>
      </c>
      <c r="M1106" s="48" t="n">
        <f aca="false">M1105+B1105*(IF($A1105&lt;$Q$1077,(Surface_Engine!G246*12)-(Surface_Engine!G246*12)*INDEX(Surface_Engine!$F$12:$F$72,$A1105+1)-INDEX(Surface_Engine!$D$12:$D$72,$A1105+1),-(1000*12*INDEX(Surface_Engine!$C$12:$C$72,$A1105+1)/(1+Assumptions!$B$10)^10+INDEX(Surface_Engine!$D$12:$D$72,$A1105+1))))*INDEX(Surface_Engine!$B$12:$B$72,$A1105+1)</f>
        <v>7568.96686978897</v>
      </c>
      <c r="N1106" s="12" t="n">
        <f aca="false">IF(B1106&lt;=0,0,MAX(0,(K1106+Assumptions!$B$29*L1106/INDEX(Surface_Engine!$B$12:$B$72,$A1106+1)-(M1106/INDEX(Surface_Engine!$B$12:$B$72,$A1106+1)-(F1106/INDEX(Surface_Engine!$B$12:$B$72,$A1106+1))))/B1106))</f>
        <v>0</v>
      </c>
    </row>
    <row r="1107" customFormat="false" ht="15" hidden="false" customHeight="true" outlineLevel="0" collapsed="false">
      <c r="A1107" s="1" t="n">
        <v>28</v>
      </c>
      <c r="B1107" s="32" t="n">
        <f aca="false">INDEX(Surface_Engine!$Q$12:$Q$72,$A1107+1)*IF($A1107&lt;$Q$1077,INDEX(Surface_Engine!$E$12:$E$72,$A1107+1),INDEX(Surface_Engine!$E$12:$E$72,$Q$1077+1))</f>
        <v>0.120646695685272</v>
      </c>
      <c r="C1107" s="32" t="n">
        <f aca="false">INDEX(Panel_Reserving!$F$8:$F$68,$A1107+1)*IF($A1107&lt;$Q$1077,INDEX(Surface_Engine!$E$12:$E$72,$A1107+1),INDEX(Surface_Engine!$E$12:$E$72,$Q$1077+1))</f>
        <v>0.182358288020559</v>
      </c>
      <c r="D1107" s="32" t="n">
        <f aca="false">INDEX(Surface_Engine!$Q$12:$Q$72,$A1107+1)*IF($A1107&lt;$Q$1077,INDEX(Surface_Engine!$Y$12:$Y$72,$A1107+1),INDEX(Surface_Engine!$Y$12:$Y$72,$Q$1077+1))</f>
        <v>0.111835439952821</v>
      </c>
      <c r="E1107" s="32" t="n">
        <f aca="false">INDEX(Surface_Engine!$Q$12:$Q$72,$A1107+1)*IF($A1107&lt;$Q$1077,INDEX(Surface_Engine!$Z$12:$Z$72,$A1107+1),INDEX(Surface_Engine!$Z$12:$Z$72,$Q$1077+1))</f>
        <v>0.130046462733073</v>
      </c>
      <c r="F1107" s="48" t="n">
        <f aca="false">B1107*(IF($A1107&lt;$Q$1077,INDEX(Surface_Engine!$D$12:$D$72,$A1107+1)+(Surface_Engine!G246*12)*INDEX(Surface_Engine!$F$12:$F$72,$A1107+1)-(Surface_Engine!G246*12),1000*12*INDEX(Surface_Engine!$C$12:$C$72,$A1107+1)/(1+Assumptions!$B$10)^10+INDEX(Surface_Engine!$D$12:$D$72,$A1107+1)))*INDEX(Surface_Engine!$B$12:$B$72,$A1107+1)+F1108</f>
        <v>3706.22444465236</v>
      </c>
      <c r="G1107" s="48" t="n">
        <f aca="false">C1107*(IF($A1107&lt;$Q$1077,INDEX(Surface_Engine!$D$12:$D$72,$A1107+1)+(Surface_Engine!G246*12)*INDEX(Surface_Engine!$F$12:$F$72,$A1107+1)-(Surface_Engine!G246*12),1000*12*INDEX(Surface_Engine!$C$12:$C$72,$A1107+1)/(1+Assumptions!$B$10)^10+INDEX(Surface_Engine!$D$12:$D$72,$A1107+1)))*INDEX(Surface_Engine!$B$12:$B$72,$A1107+1)+G1108</f>
        <v>6659.08562873611</v>
      </c>
      <c r="H1107" s="48" t="n">
        <f aca="false">D1107*(IF($A1107&lt;$Q$1077,INDEX(Surface_Engine!$D$12:$D$72,$A1107+1)+(Surface_Engine!G246*12)*INDEX(Surface_Engine!$F$12:$F$72,$A1107+1)-(Surface_Engine!G246*12),1000*12*INDEX(Surface_Engine!$C$12:$C$72,$A1107+1)/(1+Assumptions!$B$10)^10+INDEX(Surface_Engine!$D$12:$D$72,$A1107+1)))*INDEX(Surface_Engine!$B$12:$B$72,$A1107+1)+H1108</f>
        <v>3435.54573937823</v>
      </c>
      <c r="I1107" s="48" t="n">
        <f aca="false">E1107*(IF($A1107&lt;$Q$1077,INDEX(Surface_Engine!$D$12:$D$72,$A1107+1)+(Surface_Engine!G246*12)*INDEX(Surface_Engine!$F$12:$F$72,$A1107+1)-(Surface_Engine!G246*12),1000*12*INDEX(Surface_Engine!$C$12:$C$72,$A1107+1)/(1+Assumptions!$B$10)^10+INDEX(Surface_Engine!$D$12:$D$72,$A1107+1)))*INDEX(Surface_Engine!$B$12:$B$72,$A1107+1)+I1108</f>
        <v>3994.98201243092</v>
      </c>
      <c r="J1107" s="48" t="n">
        <f aca="false">B1107*(IF($A1107&lt;$Q$1077,INDEX(Surface_Engine!$D$12:$D$72,$A1107+1)*(1+Assumptions!$B$24)+(Surface_Engine!G246*12)*INDEX(Surface_Engine!$F$12:$F$72,$A1107+1)-(Surface_Engine!G246*12),1000*12*INDEX(Surface_Engine!$C$12:$C$72,$A1107+1)/(1+Assumptions!$B$10)^10+INDEX(Surface_Engine!$D$12:$D$72,$A1107+1)*(1+Assumptions!$B$24)))*INDEX(Surface_Engine!$B$12:$B$72,$A1107+1)+J1108</f>
        <v>3709.77961793296</v>
      </c>
      <c r="K1107" s="12" t="n">
        <f aca="false">SQRT((IF(C1107&lt;=0,0,MAX(0,(B1107/C1107)*G1107/INDEX(Surface_Engine!$B$12:$B$72,$A1107+1)-F1107/INDEX(Surface_Engine!$B$12:$B$72,$A1107+1))))^2+(MAX(IF(D1107&lt;=0,0,MAX(0,(B1107/D1107)*H1107/INDEX(Surface_Engine!$B$12:$B$72,$A1107+1)-F1107/INDEX(Surface_Engine!$B$12:$B$72,$A1107+1))),IF(E1107&lt;=0,0,MAX(0,(B1107/E1107)*I1107/INDEX(Surface_Engine!$B$12:$B$72,$A1107+1)-F1107/INDEX(Surface_Engine!$B$12:$B$72,$A1107+1))),IF($A1107&lt;$Q$1077,MAX(0,-Assumptions!$B$22*(F1107/INDEX(Surface_Engine!$B$12:$B$72,$A1107+1))),0)))^2+(MAX(0,J1107/INDEX(Surface_Engine!$B$12:$B$72,$A1107+1)-(F1107/INDEX(Surface_Engine!$B$12:$B$72,$A1107+1))))^2+2*Assumptions!$B$26*(IF(C1107&lt;=0,0,MAX(0,(B1107/C1107)*G1107/INDEX(Surface_Engine!$B$12:$B$72,$A1107+1)-F1107/INDEX(Surface_Engine!$B$12:$B$72,$A1107+1))))*(MAX(IF(D1107&lt;=0,0,MAX(0,(B1107/D1107)*H1107/INDEX(Surface_Engine!$B$12:$B$72,$A1107+1)-F1107/INDEX(Surface_Engine!$B$12:$B$72,$A1107+1))),IF(E1107&lt;=0,0,MAX(0,(B1107/E1107)*I1107/INDEX(Surface_Engine!$B$12:$B$72,$A1107+1)-F1107/INDEX(Surface_Engine!$B$12:$B$72,$A1107+1))),IF($A1107&lt;$Q$1077,MAX(0,-Assumptions!$B$22*(F1107/INDEX(Surface_Engine!$B$12:$B$72,$A1107+1))),0)))+2*Assumptions!$B$27*(IF(C1107&lt;=0,0,MAX(0,(B1107/C1107)*G1107/INDEX(Surface_Engine!$B$12:$B$72,$A1107+1)-F1107/INDEX(Surface_Engine!$B$12:$B$72,$A1107+1))))*(MAX(0,J1107/INDEX(Surface_Engine!$B$12:$B$72,$A1107+1)-(F1107/INDEX(Surface_Engine!$B$12:$B$72,$A1107+1))))+2*Assumptions!$B$28*(MAX(IF(D1107&lt;=0,0,MAX(0,(B1107/D1107)*H1107/INDEX(Surface_Engine!$B$12:$B$72,$A1107+1)-F1107/INDEX(Surface_Engine!$B$12:$B$72,$A1107+1))),IF(E1107&lt;=0,0,MAX(0,(B1107/E1107)*I1107/INDEX(Surface_Engine!$B$12:$B$72,$A1107+1)-F1107/INDEX(Surface_Engine!$B$12:$B$72,$A1107+1))),IF($A1107&lt;$Q$1077,MAX(0,-Assumptions!$B$22*(F1107/INDEX(Surface_Engine!$B$12:$B$72,$A1107+1))),0)))*(MAX(0,J1107/INDEX(Surface_Engine!$B$12:$B$72,$A1107+1)-(F1107/INDEX(Surface_Engine!$B$12:$B$72,$A1107+1)))))</f>
        <v>1682.43592887737</v>
      </c>
      <c r="L1107" s="48" t="n">
        <f aca="false">K1107*INDEX(Surface_Engine!$B$12:$B$72,$A1107+1)+L1108</f>
        <v>2654.3742171752</v>
      </c>
      <c r="M1107" s="48" t="n">
        <f aca="false">M1106+B1106*(IF($A1106&lt;$Q$1077,(Surface_Engine!G246*12)-(Surface_Engine!G246*12)*INDEX(Surface_Engine!$F$12:$F$72,$A1106+1)-INDEX(Surface_Engine!$D$12:$D$72,$A1106+1),-(1000*12*INDEX(Surface_Engine!$C$12:$C$72,$A1106+1)/(1+Assumptions!$B$10)^10+INDEX(Surface_Engine!$D$12:$D$72,$A1106+1))))*INDEX(Surface_Engine!$B$12:$B$72,$A1106+1)</f>
        <v>6489.7584125916</v>
      </c>
      <c r="N1107" s="12" t="n">
        <f aca="false">IF(B1107&lt;=0,0,MAX(0,(K1107+Assumptions!$B$29*L1107/INDEX(Surface_Engine!$B$12:$B$72,$A1107+1)-(M1107/INDEX(Surface_Engine!$B$12:$B$72,$A1107+1)-(F1107/INDEX(Surface_Engine!$B$12:$B$72,$A1107+1))))/B1107))</f>
        <v>0</v>
      </c>
    </row>
    <row r="1108" customFormat="false" ht="15" hidden="false" customHeight="true" outlineLevel="0" collapsed="false">
      <c r="A1108" s="1" t="n">
        <v>29</v>
      </c>
      <c r="B1108" s="32" t="n">
        <f aca="false">INDEX(Surface_Engine!$Q$12:$Q$72,$A1108+1)*IF($A1108&lt;$Q$1077,INDEX(Surface_Engine!$E$12:$E$72,$A1108+1),INDEX(Surface_Engine!$E$12:$E$72,$Q$1077+1))</f>
        <v>0.0971347455743745</v>
      </c>
      <c r="C1108" s="32" t="n">
        <f aca="false">INDEX(Panel_Reserving!$F$8:$F$68,$A1108+1)*IF($A1108&lt;$Q$1077,INDEX(Surface_Engine!$E$12:$E$72,$A1108+1),INDEX(Surface_Engine!$E$12:$E$72,$Q$1077+1))</f>
        <v>0.153927512053463</v>
      </c>
      <c r="D1108" s="32" t="n">
        <f aca="false">INDEX(Surface_Engine!$Q$12:$Q$72,$A1108+1)*IF($A1108&lt;$Q$1077,INDEX(Surface_Engine!$Y$12:$Y$72,$A1108+1),INDEX(Surface_Engine!$Y$12:$Y$72,$Q$1077+1))</f>
        <v>0.0900406508799367</v>
      </c>
      <c r="E1108" s="32" t="n">
        <f aca="false">INDEX(Surface_Engine!$Q$12:$Q$72,$A1108+1)*IF($A1108&lt;$Q$1077,INDEX(Surface_Engine!$Z$12:$Z$72,$A1108+1),INDEX(Surface_Engine!$Z$12:$Z$72,$Q$1077+1))</f>
        <v>0.104702660928048</v>
      </c>
      <c r="F1108" s="48" t="n">
        <f aca="false">B1108*(IF($A1108&lt;$Q$1077,INDEX(Surface_Engine!$D$12:$D$72,$A1108+1)+(Surface_Engine!G246*12)*INDEX(Surface_Engine!$F$12:$F$72,$A1108+1)-(Surface_Engine!G246*12),1000*12*INDEX(Surface_Engine!$C$12:$C$72,$A1108+1)/(1+Assumptions!$B$10)^10+INDEX(Surface_Engine!$D$12:$D$72,$A1108+1)))*INDEX(Surface_Engine!$B$12:$B$72,$A1108+1)+F1109</f>
        <v>2837.35637698584</v>
      </c>
      <c r="G1108" s="48" t="n">
        <f aca="false">C1108*(IF($A1108&lt;$Q$1077,INDEX(Surface_Engine!$D$12:$D$72,$A1108+1)+(Surface_Engine!G246*12)*INDEX(Surface_Engine!$F$12:$F$72,$A1108+1)-(Surface_Engine!G246*12),1000*12*INDEX(Surface_Engine!$C$12:$C$72,$A1108+1)/(1+Assumptions!$B$10)^10+INDEX(Surface_Engine!$D$12:$D$72,$A1108+1)))*INDEX(Surface_Engine!$B$12:$B$72,$A1108+1)+G1109</f>
        <v>5345.78572909582</v>
      </c>
      <c r="H1108" s="48" t="n">
        <f aca="false">D1108*(IF($A1108&lt;$Q$1077,INDEX(Surface_Engine!$D$12:$D$72,$A1108+1)+(Surface_Engine!G246*12)*INDEX(Surface_Engine!$F$12:$F$72,$A1108+1)-(Surface_Engine!G246*12),1000*12*INDEX(Surface_Engine!$C$12:$C$72,$A1108+1)/(1+Assumptions!$B$10)^10+INDEX(Surface_Engine!$D$12:$D$72,$A1108+1)))*INDEX(Surface_Engine!$B$12:$B$72,$A1108+1)+H1109</f>
        <v>2630.13418577937</v>
      </c>
      <c r="I1108" s="48" t="n">
        <f aca="false">E1108*(IF($A1108&lt;$Q$1077,INDEX(Surface_Engine!$D$12:$D$72,$A1108+1)+(Surface_Engine!G246*12)*INDEX(Surface_Engine!$F$12:$F$72,$A1108+1)-(Surface_Engine!G246*12),1000*12*INDEX(Surface_Engine!$C$12:$C$72,$A1108+1)/(1+Assumptions!$B$10)^10+INDEX(Surface_Engine!$D$12:$D$72,$A1108+1)))*INDEX(Surface_Engine!$B$12:$B$72,$A1108+1)+I1109</f>
        <v>3058.41911578504</v>
      </c>
      <c r="J1108" s="48" t="n">
        <f aca="false">B1108*(IF($A1108&lt;$Q$1077,INDEX(Surface_Engine!$D$12:$D$72,$A1108+1)*(1+Assumptions!$B$24)+(Surface_Engine!G246*12)*INDEX(Surface_Engine!$F$12:$F$72,$A1108+1)-(Surface_Engine!G246*12),1000*12*INDEX(Surface_Engine!$C$12:$C$72,$A1108+1)/(1+Assumptions!$B$10)^10+INDEX(Surface_Engine!$D$12:$D$72,$A1108+1)*(1+Assumptions!$B$24)))*INDEX(Surface_Engine!$B$12:$B$72,$A1108+1)+J1109</f>
        <v>2840.08945365879</v>
      </c>
      <c r="K1108" s="12" t="n">
        <f aca="false">SQRT((IF(C1108&lt;=0,0,MAX(0,(B1108/C1108)*G1108/INDEX(Surface_Engine!$B$12:$B$72,$A1108+1)-F1108/INDEX(Surface_Engine!$B$12:$B$72,$A1108+1))))^2+(MAX(IF(D1108&lt;=0,0,MAX(0,(B1108/D1108)*H1108/INDEX(Surface_Engine!$B$12:$B$72,$A1108+1)-F1108/INDEX(Surface_Engine!$B$12:$B$72,$A1108+1))),IF(E1108&lt;=0,0,MAX(0,(B1108/E1108)*I1108/INDEX(Surface_Engine!$B$12:$B$72,$A1108+1)-F1108/INDEX(Surface_Engine!$B$12:$B$72,$A1108+1))),IF($A1108&lt;$Q$1077,MAX(0,-Assumptions!$B$22*(F1108/INDEX(Surface_Engine!$B$12:$B$72,$A1108+1))),0)))^2+(MAX(0,J1108/INDEX(Surface_Engine!$B$12:$B$72,$A1108+1)-(F1108/INDEX(Surface_Engine!$B$12:$B$72,$A1108+1))))^2+2*Assumptions!$B$26*(IF(C1108&lt;=0,0,MAX(0,(B1108/C1108)*G1108/INDEX(Surface_Engine!$B$12:$B$72,$A1108+1)-F1108/INDEX(Surface_Engine!$B$12:$B$72,$A1108+1))))*(MAX(IF(D1108&lt;=0,0,MAX(0,(B1108/D1108)*H1108/INDEX(Surface_Engine!$B$12:$B$72,$A1108+1)-F1108/INDEX(Surface_Engine!$B$12:$B$72,$A1108+1))),IF(E1108&lt;=0,0,MAX(0,(B1108/E1108)*I1108/INDEX(Surface_Engine!$B$12:$B$72,$A1108+1)-F1108/INDEX(Surface_Engine!$B$12:$B$72,$A1108+1))),IF($A1108&lt;$Q$1077,MAX(0,-Assumptions!$B$22*(F1108/INDEX(Surface_Engine!$B$12:$B$72,$A1108+1))),0)))+2*Assumptions!$B$27*(IF(C1108&lt;=0,0,MAX(0,(B1108/C1108)*G1108/INDEX(Surface_Engine!$B$12:$B$72,$A1108+1)-F1108/INDEX(Surface_Engine!$B$12:$B$72,$A1108+1))))*(MAX(0,J1108/INDEX(Surface_Engine!$B$12:$B$72,$A1108+1)-(F1108/INDEX(Surface_Engine!$B$12:$B$72,$A1108+1))))+2*Assumptions!$B$28*(MAX(IF(D1108&lt;=0,0,MAX(0,(B1108/D1108)*H1108/INDEX(Surface_Engine!$B$12:$B$72,$A1108+1)-F1108/INDEX(Surface_Engine!$B$12:$B$72,$A1108+1))),IF(E1108&lt;=0,0,MAX(0,(B1108/E1108)*I1108/INDEX(Surface_Engine!$B$12:$B$72,$A1108+1)-F1108/INDEX(Surface_Engine!$B$12:$B$72,$A1108+1))),IF($A1108&lt;$Q$1077,MAX(0,-Assumptions!$B$22*(F1108/INDEX(Surface_Engine!$B$12:$B$72,$A1108+1))),0)))*(MAX(0,J1108/INDEX(Surface_Engine!$B$12:$B$72,$A1108+1)-(F1108/INDEX(Surface_Engine!$B$12:$B$72,$A1108+1)))))</f>
        <v>1331.33059541627</v>
      </c>
      <c r="L1108" s="48" t="n">
        <f aca="false">K1108*INDEX(Surface_Engine!$B$12:$B$72,$A1108+1)+L1109</f>
        <v>1954.10687138061</v>
      </c>
      <c r="M1108" s="48" t="n">
        <f aca="false">M1107+B1107*(IF($A1107&lt;$Q$1077,(Surface_Engine!G246*12)-(Surface_Engine!G246*12)*INDEX(Surface_Engine!$F$12:$F$72,$A1107+1)-INDEX(Surface_Engine!$D$12:$D$72,$A1107+1),-(1000*12*INDEX(Surface_Engine!$C$12:$C$72,$A1107+1)/(1+Assumptions!$B$10)^10+INDEX(Surface_Engine!$D$12:$D$72,$A1107+1))))*INDEX(Surface_Engine!$B$12:$B$72,$A1107+1)</f>
        <v>5620.89034492507</v>
      </c>
      <c r="N1108" s="12" t="n">
        <f aca="false">IF(B1108&lt;=0,0,MAX(0,(K1108+Assumptions!$B$29*L1108/INDEX(Surface_Engine!$B$12:$B$72,$A1108+1)-(M1108/INDEX(Surface_Engine!$B$12:$B$72,$A1108+1)-(F1108/INDEX(Surface_Engine!$B$12:$B$72,$A1108+1))))/B1108))</f>
        <v>0</v>
      </c>
    </row>
    <row r="1109" customFormat="false" ht="15" hidden="false" customHeight="true" outlineLevel="0" collapsed="false">
      <c r="A1109" s="1" t="n">
        <v>30</v>
      </c>
      <c r="B1109" s="32" t="n">
        <f aca="false">INDEX(Surface_Engine!$Q$12:$Q$72,$A1109+1)*IF($A1109&lt;$Q$1077,INDEX(Surface_Engine!$E$12:$E$72,$A1109+1),INDEX(Surface_Engine!$E$12:$E$72,$Q$1077+1))</f>
        <v>0.0772475880138062</v>
      </c>
      <c r="C1109" s="32" t="n">
        <f aca="false">INDEX(Panel_Reserving!$F$8:$F$68,$A1109+1)*IF($A1109&lt;$Q$1077,INDEX(Surface_Engine!$E$12:$E$72,$A1109+1),INDEX(Surface_Engine!$E$12:$E$72,$Q$1077+1))</f>
        <v>0.1287156835403</v>
      </c>
      <c r="D1109" s="32" t="n">
        <f aca="false">INDEX(Surface_Engine!$Q$12:$Q$72,$A1109+1)*IF($A1109&lt;$Q$1077,INDEX(Surface_Engine!$Y$12:$Y$72,$A1109+1),INDEX(Surface_Engine!$Y$12:$Y$72,$Q$1077+1))</f>
        <v>0.071605922911927</v>
      </c>
      <c r="E1109" s="32" t="n">
        <f aca="false">INDEX(Surface_Engine!$Q$12:$Q$72,$A1109+1)*IF($A1109&lt;$Q$1077,INDEX(Surface_Engine!$Z$12:$Z$72,$A1109+1),INDEX(Surface_Engine!$Z$12:$Z$72,$Q$1077+1))</f>
        <v>0.083266064758735</v>
      </c>
      <c r="F1109" s="48" t="n">
        <f aca="false">B1109*(IF($A1109&lt;$Q$1077,INDEX(Surface_Engine!$D$12:$D$72,$A1109+1)+(Surface_Engine!G246*12)*INDEX(Surface_Engine!$F$12:$F$72,$A1109+1)-(Surface_Engine!G246*12),1000*12*INDEX(Surface_Engine!$C$12:$C$72,$A1109+1)/(1+Assumptions!$B$10)^10+INDEX(Surface_Engine!$D$12:$D$72,$A1109+1)))*INDEX(Surface_Engine!$B$12:$B$72,$A1109+1)+F1110</f>
        <v>2146.17237549248</v>
      </c>
      <c r="G1109" s="48" t="n">
        <f aca="false">C1109*(IF($A1109&lt;$Q$1077,INDEX(Surface_Engine!$D$12:$D$72,$A1109+1)+(Surface_Engine!G246*12)*INDEX(Surface_Engine!$F$12:$F$72,$A1109+1)-(Surface_Engine!G246*12),1000*12*INDEX(Surface_Engine!$C$12:$C$72,$A1109+1)/(1+Assumptions!$B$10)^10+INDEX(Surface_Engine!$D$12:$D$72,$A1109+1)))*INDEX(Surface_Engine!$B$12:$B$72,$A1109+1)+G1110</f>
        <v>4250.48009884051</v>
      </c>
      <c r="H1109" s="48" t="n">
        <f aca="false">D1109*(IF($A1109&lt;$Q$1077,INDEX(Surface_Engine!$D$12:$D$72,$A1109+1)+(Surface_Engine!G246*12)*INDEX(Surface_Engine!$F$12:$F$72,$A1109+1)-(Surface_Engine!G246*12),1000*12*INDEX(Surface_Engine!$C$12:$C$72,$A1109+1)/(1+Assumptions!$B$10)^10+INDEX(Surface_Engine!$D$12:$D$72,$A1109+1)))*INDEX(Surface_Engine!$B$12:$B$72,$A1109+1)+H1110</f>
        <v>1989.42980132603</v>
      </c>
      <c r="I1109" s="48" t="n">
        <f aca="false">E1109*(IF($A1109&lt;$Q$1077,INDEX(Surface_Engine!$D$12:$D$72,$A1109+1)+(Surface_Engine!G246*12)*INDEX(Surface_Engine!$F$12:$F$72,$A1109+1)-(Surface_Engine!G246*12),1000*12*INDEX(Surface_Engine!$C$12:$C$72,$A1109+1)/(1+Assumptions!$B$10)^10+INDEX(Surface_Engine!$D$12:$D$72,$A1109+1)))*INDEX(Surface_Engine!$B$12:$B$72,$A1109+1)+I1110</f>
        <v>2313.38392040442</v>
      </c>
      <c r="J1109" s="48" t="n">
        <f aca="false">B1109*(IF($A1109&lt;$Q$1077,INDEX(Surface_Engine!$D$12:$D$72,$A1109+1)*(1+Assumptions!$B$24)+(Surface_Engine!G246*12)*INDEX(Surface_Engine!$F$12:$F$72,$A1109+1)-(Surface_Engine!G246*12),1000*12*INDEX(Surface_Engine!$C$12:$C$72,$A1109+1)/(1+Assumptions!$B$10)^10+INDEX(Surface_Engine!$D$12:$D$72,$A1109+1)*(1+Assumptions!$B$24)))*INDEX(Surface_Engine!$B$12:$B$72,$A1109+1)+J1110</f>
        <v>2148.24829953904</v>
      </c>
      <c r="K1109" s="12" t="n">
        <f aca="false">SQRT((IF(C1109&lt;=0,0,MAX(0,(B1109/C1109)*G1109/INDEX(Surface_Engine!$B$12:$B$72,$A1109+1)-F1109/INDEX(Surface_Engine!$B$12:$B$72,$A1109+1))))^2+(MAX(IF(D1109&lt;=0,0,MAX(0,(B1109/D1109)*H1109/INDEX(Surface_Engine!$B$12:$B$72,$A1109+1)-F1109/INDEX(Surface_Engine!$B$12:$B$72,$A1109+1))),IF(E1109&lt;=0,0,MAX(0,(B1109/E1109)*I1109/INDEX(Surface_Engine!$B$12:$B$72,$A1109+1)-F1109/INDEX(Surface_Engine!$B$12:$B$72,$A1109+1))),IF($A1109&lt;$Q$1077,MAX(0,-Assumptions!$B$22*(F1109/INDEX(Surface_Engine!$B$12:$B$72,$A1109+1))),0)))^2+(MAX(0,J1109/INDEX(Surface_Engine!$B$12:$B$72,$A1109+1)-(F1109/INDEX(Surface_Engine!$B$12:$B$72,$A1109+1))))^2+2*Assumptions!$B$26*(IF(C1109&lt;=0,0,MAX(0,(B1109/C1109)*G1109/INDEX(Surface_Engine!$B$12:$B$72,$A1109+1)-F1109/INDEX(Surface_Engine!$B$12:$B$72,$A1109+1))))*(MAX(IF(D1109&lt;=0,0,MAX(0,(B1109/D1109)*H1109/INDEX(Surface_Engine!$B$12:$B$72,$A1109+1)-F1109/INDEX(Surface_Engine!$B$12:$B$72,$A1109+1))),IF(E1109&lt;=0,0,MAX(0,(B1109/E1109)*I1109/INDEX(Surface_Engine!$B$12:$B$72,$A1109+1)-F1109/INDEX(Surface_Engine!$B$12:$B$72,$A1109+1))),IF($A1109&lt;$Q$1077,MAX(0,-Assumptions!$B$22*(F1109/INDEX(Surface_Engine!$B$12:$B$72,$A1109+1))),0)))+2*Assumptions!$B$27*(IF(C1109&lt;=0,0,MAX(0,(B1109/C1109)*G1109/INDEX(Surface_Engine!$B$12:$B$72,$A1109+1)-F1109/INDEX(Surface_Engine!$B$12:$B$72,$A1109+1))))*(MAX(0,J1109/INDEX(Surface_Engine!$B$12:$B$72,$A1109+1)-(F1109/INDEX(Surface_Engine!$B$12:$B$72,$A1109+1))))+2*Assumptions!$B$28*(MAX(IF(D1109&lt;=0,0,MAX(0,(B1109/D1109)*H1109/INDEX(Surface_Engine!$B$12:$B$72,$A1109+1)-F1109/INDEX(Surface_Engine!$B$12:$B$72,$A1109+1))),IF(E1109&lt;=0,0,MAX(0,(B1109/E1109)*I1109/INDEX(Surface_Engine!$B$12:$B$72,$A1109+1)-F1109/INDEX(Surface_Engine!$B$12:$B$72,$A1109+1))),IF($A1109&lt;$Q$1077,MAX(0,-Assumptions!$B$22*(F1109/INDEX(Surface_Engine!$B$12:$B$72,$A1109+1))),0)))*(MAX(0,J1109/INDEX(Surface_Engine!$B$12:$B$72,$A1109+1)-(F1109/INDEX(Surface_Engine!$B$12:$B$72,$A1109+1)))))</f>
        <v>1037.72675352384</v>
      </c>
      <c r="L1109" s="48" t="n">
        <f aca="false">K1109*INDEX(Surface_Engine!$B$12:$B$72,$A1109+1)+L1110</f>
        <v>1417.35742530347</v>
      </c>
      <c r="M1109" s="48" t="n">
        <f aca="false">M1108+B1108*(IF($A1108&lt;$Q$1077,(Surface_Engine!G246*12)-(Surface_Engine!G246*12)*INDEX(Surface_Engine!$F$12:$F$72,$A1108+1)-INDEX(Surface_Engine!$D$12:$D$72,$A1108+1),-(1000*12*INDEX(Surface_Engine!$C$12:$C$72,$A1108+1)/(1+Assumptions!$B$10)^10+INDEX(Surface_Engine!$D$12:$D$72,$A1108+1))))*INDEX(Surface_Engine!$B$12:$B$72,$A1108+1)</f>
        <v>4929.70634343171</v>
      </c>
      <c r="N1109" s="12" t="n">
        <f aca="false">IF(B1109&lt;=0,0,MAX(0,(K1109+Assumptions!$B$29*L1109/INDEX(Surface_Engine!$B$12:$B$72,$A1109+1)-(M1109/INDEX(Surface_Engine!$B$12:$B$72,$A1109+1)-(F1109/INDEX(Surface_Engine!$B$12:$B$72,$A1109+1))))/B1109))</f>
        <v>0</v>
      </c>
    </row>
    <row r="1110" customFormat="false" ht="15" hidden="false" customHeight="true" outlineLevel="0" collapsed="false">
      <c r="A1110" s="1" t="n">
        <v>31</v>
      </c>
      <c r="B1110" s="32" t="n">
        <f aca="false">INDEX(Surface_Engine!$Q$12:$Q$72,$A1110+1)*IF($A1110&lt;$Q$1077,INDEX(Surface_Engine!$E$12:$E$72,$A1110+1),INDEX(Surface_Engine!$E$12:$E$72,$Q$1077+1))</f>
        <v>0.0606352519505435</v>
      </c>
      <c r="C1110" s="32" t="n">
        <f aca="false">INDEX(Panel_Reserving!$F$8:$F$68,$A1110+1)*IF($A1110&lt;$Q$1077,INDEX(Surface_Engine!$E$12:$E$72,$A1110+1),INDEX(Surface_Engine!$E$12:$E$72,$Q$1077+1))</f>
        <v>0.106571114405514</v>
      </c>
      <c r="D1110" s="32" t="n">
        <f aca="false">INDEX(Surface_Engine!$Q$12:$Q$72,$A1110+1)*IF($A1110&lt;$Q$1077,INDEX(Surface_Engine!$Y$12:$Y$72,$A1110+1),INDEX(Surface_Engine!$Y$12:$Y$72,$Q$1077+1))</f>
        <v>0.056206844621995</v>
      </c>
      <c r="E1110" s="32" t="n">
        <f aca="false">INDEX(Surface_Engine!$Q$12:$Q$72,$A1110+1)*IF($A1110&lt;$Q$1077,INDEX(Surface_Engine!$Z$12:$Z$72,$A1110+1),INDEX(Surface_Engine!$Z$12:$Z$72,$Q$1077+1))</f>
        <v>0.0653594363965617</v>
      </c>
      <c r="F1110" s="48" t="n">
        <f aca="false">B1110*(IF($A1110&lt;$Q$1077,INDEX(Surface_Engine!$D$12:$D$72,$A1110+1)+(Surface_Engine!G246*12)*INDEX(Surface_Engine!$F$12:$F$72,$A1110+1)-(Surface_Engine!G246*12),1000*12*INDEX(Surface_Engine!$C$12:$C$72,$A1110+1)/(1+Assumptions!$B$10)^10+INDEX(Surface_Engine!$D$12:$D$72,$A1110+1)))*INDEX(Surface_Engine!$B$12:$B$72,$A1110+1)+F1111</f>
        <v>1603.08722252148</v>
      </c>
      <c r="G1110" s="48" t="n">
        <f aca="false">C1110*(IF($A1110&lt;$Q$1077,INDEX(Surface_Engine!$D$12:$D$72,$A1110+1)+(Surface_Engine!G246*12)*INDEX(Surface_Engine!$F$12:$F$72,$A1110+1)-(Surface_Engine!G246*12),1000*12*INDEX(Surface_Engine!$C$12:$C$72,$A1110+1)/(1+Assumptions!$B$10)^10+INDEX(Surface_Engine!$D$12:$D$72,$A1110+1)))*INDEX(Surface_Engine!$B$12:$B$72,$A1110+1)+G1111</f>
        <v>3345.55117506937</v>
      </c>
      <c r="H1110" s="48" t="n">
        <f aca="false">D1110*(IF($A1110&lt;$Q$1077,INDEX(Surface_Engine!$D$12:$D$72,$A1110+1)+(Surface_Engine!G246*12)*INDEX(Surface_Engine!$F$12:$F$72,$A1110+1)-(Surface_Engine!G246*12),1000*12*INDEX(Surface_Engine!$C$12:$C$72,$A1110+1)/(1+Assumptions!$B$10)^10+INDEX(Surface_Engine!$D$12:$D$72,$A1110+1)))*INDEX(Surface_Engine!$B$12:$B$72,$A1110+1)+H1111</f>
        <v>1486.00808165625</v>
      </c>
      <c r="I1110" s="48" t="n">
        <f aca="false">E1110*(IF($A1110&lt;$Q$1077,INDEX(Surface_Engine!$D$12:$D$72,$A1110+1)+(Surface_Engine!G246*12)*INDEX(Surface_Engine!$F$12:$F$72,$A1110+1)-(Surface_Engine!G246*12),1000*12*INDEX(Surface_Engine!$C$12:$C$72,$A1110+1)/(1+Assumptions!$B$10)^10+INDEX(Surface_Engine!$D$12:$D$72,$A1110+1)))*INDEX(Surface_Engine!$B$12:$B$72,$A1110+1)+I1111</f>
        <v>1727.98617945867</v>
      </c>
      <c r="J1110" s="48" t="n">
        <f aca="false">B1110*(IF($A1110&lt;$Q$1077,INDEX(Surface_Engine!$D$12:$D$72,$A1110+1)*(1+Assumptions!$B$24)+(Surface_Engine!G246*12)*INDEX(Surface_Engine!$F$12:$F$72,$A1110+1)-(Surface_Engine!G246*12),1000*12*INDEX(Surface_Engine!$C$12:$C$72,$A1110+1)/(1+Assumptions!$B$10)^10+INDEX(Surface_Engine!$D$12:$D$72,$A1110+1)*(1+Assumptions!$B$24)))*INDEX(Surface_Engine!$B$12:$B$72,$A1110+1)+J1111</f>
        <v>1604.6442940196</v>
      </c>
      <c r="K1110" s="12" t="n">
        <f aca="false">SQRT((IF(C1110&lt;=0,0,MAX(0,(B1110/C1110)*G1110/INDEX(Surface_Engine!$B$12:$B$72,$A1110+1)-F1110/INDEX(Surface_Engine!$B$12:$B$72,$A1110+1))))^2+(MAX(IF(D1110&lt;=0,0,MAX(0,(B1110/D1110)*H1110/INDEX(Surface_Engine!$B$12:$B$72,$A1110+1)-F1110/INDEX(Surface_Engine!$B$12:$B$72,$A1110+1))),IF(E1110&lt;=0,0,MAX(0,(B1110/E1110)*I1110/INDEX(Surface_Engine!$B$12:$B$72,$A1110+1)-F1110/INDEX(Surface_Engine!$B$12:$B$72,$A1110+1))),IF($A1110&lt;$Q$1077,MAX(0,-Assumptions!$B$22*(F1110/INDEX(Surface_Engine!$B$12:$B$72,$A1110+1))),0)))^2+(MAX(0,J1110/INDEX(Surface_Engine!$B$12:$B$72,$A1110+1)-(F1110/INDEX(Surface_Engine!$B$12:$B$72,$A1110+1))))^2+2*Assumptions!$B$26*(IF(C1110&lt;=0,0,MAX(0,(B1110/C1110)*G1110/INDEX(Surface_Engine!$B$12:$B$72,$A1110+1)-F1110/INDEX(Surface_Engine!$B$12:$B$72,$A1110+1))))*(MAX(IF(D1110&lt;=0,0,MAX(0,(B1110/D1110)*H1110/INDEX(Surface_Engine!$B$12:$B$72,$A1110+1)-F1110/INDEX(Surface_Engine!$B$12:$B$72,$A1110+1))),IF(E1110&lt;=0,0,MAX(0,(B1110/E1110)*I1110/INDEX(Surface_Engine!$B$12:$B$72,$A1110+1)-F1110/INDEX(Surface_Engine!$B$12:$B$72,$A1110+1))),IF($A1110&lt;$Q$1077,MAX(0,-Assumptions!$B$22*(F1110/INDEX(Surface_Engine!$B$12:$B$72,$A1110+1))),0)))+2*Assumptions!$B$27*(IF(C1110&lt;=0,0,MAX(0,(B1110/C1110)*G1110/INDEX(Surface_Engine!$B$12:$B$72,$A1110+1)-F1110/INDEX(Surface_Engine!$B$12:$B$72,$A1110+1))))*(MAX(0,J1110/INDEX(Surface_Engine!$B$12:$B$72,$A1110+1)-(F1110/INDEX(Surface_Engine!$B$12:$B$72,$A1110+1))))+2*Assumptions!$B$28*(MAX(IF(D1110&lt;=0,0,MAX(0,(B1110/D1110)*H1110/INDEX(Surface_Engine!$B$12:$B$72,$A1110+1)-F1110/INDEX(Surface_Engine!$B$12:$B$72,$A1110+1))),IF(E1110&lt;=0,0,MAX(0,(B1110/E1110)*I1110/INDEX(Surface_Engine!$B$12:$B$72,$A1110+1)-F1110/INDEX(Surface_Engine!$B$12:$B$72,$A1110+1))),IF($A1110&lt;$Q$1077,MAX(0,-Assumptions!$B$22*(F1110/INDEX(Surface_Engine!$B$12:$B$72,$A1110+1))),0)))*(MAX(0,J1110/INDEX(Surface_Engine!$B$12:$B$72,$A1110+1)-(F1110/INDEX(Surface_Engine!$B$12:$B$72,$A1110+1)))))</f>
        <v>795.065434389826</v>
      </c>
      <c r="L1110" s="48" t="n">
        <f aca="false">K1110*INDEX(Surface_Engine!$B$12:$B$72,$A1110+1)+L1111</f>
        <v>1012.11750098018</v>
      </c>
      <c r="M1110" s="48" t="n">
        <f aca="false">M1109+B1109*(IF($A1109&lt;$Q$1077,(Surface_Engine!G246*12)-(Surface_Engine!G246*12)*INDEX(Surface_Engine!$F$12:$F$72,$A1109+1)-INDEX(Surface_Engine!$D$12:$D$72,$A1109+1),-(1000*12*INDEX(Surface_Engine!$C$12:$C$72,$A1109+1)/(1+Assumptions!$B$10)^10+INDEX(Surface_Engine!$D$12:$D$72,$A1109+1))))*INDEX(Surface_Engine!$B$12:$B$72,$A1109+1)</f>
        <v>4386.62119046072</v>
      </c>
      <c r="N1110" s="12" t="n">
        <f aca="false">IF(B1110&lt;=0,0,MAX(0,(K1110+Assumptions!$B$29*L1110/INDEX(Surface_Engine!$B$12:$B$72,$A1110+1)-(M1110/INDEX(Surface_Engine!$B$12:$B$72,$A1110+1)-(F1110/INDEX(Surface_Engine!$B$12:$B$72,$A1110+1))))/B1110))</f>
        <v>0</v>
      </c>
    </row>
    <row r="1111" customFormat="false" ht="15" hidden="false" customHeight="true" outlineLevel="0" collapsed="false">
      <c r="A1111" s="1" t="n">
        <v>32</v>
      </c>
      <c r="B1111" s="32" t="n">
        <f aca="false">INDEX(Surface_Engine!$Q$12:$Q$72,$A1111+1)*IF($A1111&lt;$Q$1077,INDEX(Surface_Engine!$E$12:$E$72,$A1111+1),INDEX(Surface_Engine!$E$12:$E$72,$Q$1077+1))</f>
        <v>0.0469216651091824</v>
      </c>
      <c r="C1111" s="32" t="n">
        <f aca="false">INDEX(Panel_Reserving!$F$8:$F$68,$A1111+1)*IF($A1111&lt;$Q$1077,INDEX(Surface_Engine!$E$12:$E$72,$A1111+1),INDEX(Surface_Engine!$E$12:$E$72,$Q$1077+1))</f>
        <v>0.0872889683249114</v>
      </c>
      <c r="D1111" s="32" t="n">
        <f aca="false">INDEX(Surface_Engine!$Q$12:$Q$72,$A1111+1)*IF($A1111&lt;$Q$1077,INDEX(Surface_Engine!$Y$12:$Y$72,$A1111+1),INDEX(Surface_Engine!$Y$12:$Y$72,$Q$1077+1))</f>
        <v>0.0434948096257306</v>
      </c>
      <c r="E1111" s="32" t="n">
        <f aca="false">INDEX(Surface_Engine!$Q$12:$Q$72,$A1111+1)*IF($A1111&lt;$Q$1077,INDEX(Surface_Engine!$Z$12:$Z$72,$A1111+1),INDEX(Surface_Engine!$Z$12:$Z$72,$Q$1077+1))</f>
        <v>0.0505774032047522</v>
      </c>
      <c r="F1111" s="48" t="n">
        <f aca="false">B1111*(IF($A1111&lt;$Q$1077,INDEX(Surface_Engine!$D$12:$D$72,$A1111+1)+(Surface_Engine!G246*12)*INDEX(Surface_Engine!$F$12:$F$72,$A1111+1)-(Surface_Engine!G246*12),1000*12*INDEX(Surface_Engine!$C$12:$C$72,$A1111+1)/(1+Assumptions!$B$10)^10+INDEX(Surface_Engine!$D$12:$D$72,$A1111+1)))*INDEX(Surface_Engine!$B$12:$B$72,$A1111+1)+F1112</f>
        <v>1181.79265102416</v>
      </c>
      <c r="G1111" s="48" t="n">
        <f aca="false">C1111*(IF($A1111&lt;$Q$1077,INDEX(Surface_Engine!$D$12:$D$72,$A1111+1)+(Surface_Engine!G246*12)*INDEX(Surface_Engine!$F$12:$F$72,$A1111+1)-(Surface_Engine!G246*12),1000*12*INDEX(Surface_Engine!$C$12:$C$72,$A1111+1)/(1+Assumptions!$B$10)^10+INDEX(Surface_Engine!$D$12:$D$72,$A1111+1)))*INDEX(Surface_Engine!$B$12:$B$72,$A1111+1)+G1112</f>
        <v>2605.0935941545</v>
      </c>
      <c r="H1111" s="48" t="n">
        <f aca="false">D1111*(IF($A1111&lt;$Q$1077,INDEX(Surface_Engine!$D$12:$D$72,$A1111+1)+(Surface_Engine!G246*12)*INDEX(Surface_Engine!$F$12:$F$72,$A1111+1)-(Surface_Engine!G246*12),1000*12*INDEX(Surface_Engine!$C$12:$C$72,$A1111+1)/(1+Assumptions!$B$10)^10+INDEX(Surface_Engine!$D$12:$D$72,$A1111+1)))*INDEX(Surface_Engine!$B$12:$B$72,$A1111+1)+H1112</f>
        <v>1095.48214569487</v>
      </c>
      <c r="I1111" s="48" t="n">
        <f aca="false">E1111*(IF($A1111&lt;$Q$1077,INDEX(Surface_Engine!$D$12:$D$72,$A1111+1)+(Surface_Engine!G246*12)*INDEX(Surface_Engine!$F$12:$F$72,$A1111+1)-(Surface_Engine!G246*12),1000*12*INDEX(Surface_Engine!$C$12:$C$72,$A1111+1)/(1+Assumptions!$B$10)^10+INDEX(Surface_Engine!$D$12:$D$72,$A1111+1)))*INDEX(Surface_Engine!$B$12:$B$72,$A1111+1)+I1112</f>
        <v>1273.86790891112</v>
      </c>
      <c r="J1111" s="48" t="n">
        <f aca="false">B1111*(IF($A1111&lt;$Q$1077,INDEX(Surface_Engine!$D$12:$D$72,$A1111+1)*(1+Assumptions!$B$24)+(Surface_Engine!G246*12)*INDEX(Surface_Engine!$F$12:$F$72,$A1111+1)-(Surface_Engine!G246*12),1000*12*INDEX(Surface_Engine!$C$12:$C$72,$A1111+1)/(1+Assumptions!$B$10)^10+INDEX(Surface_Engine!$D$12:$D$72,$A1111+1)*(1+Assumptions!$B$24)))*INDEX(Surface_Engine!$B$12:$B$72,$A1111+1)+J1112</f>
        <v>1182.94527214735</v>
      </c>
      <c r="K1111" s="12" t="n">
        <f aca="false">SQRT((IF(C1111&lt;=0,0,MAX(0,(B1111/C1111)*G1111/INDEX(Surface_Engine!$B$12:$B$72,$A1111+1)-F1111/INDEX(Surface_Engine!$B$12:$B$72,$A1111+1))))^2+(MAX(IF(D1111&lt;=0,0,MAX(0,(B1111/D1111)*H1111/INDEX(Surface_Engine!$B$12:$B$72,$A1111+1)-F1111/INDEX(Surface_Engine!$B$12:$B$72,$A1111+1))),IF(E1111&lt;=0,0,MAX(0,(B1111/E1111)*I1111/INDEX(Surface_Engine!$B$12:$B$72,$A1111+1)-F1111/INDEX(Surface_Engine!$B$12:$B$72,$A1111+1))),IF($A1111&lt;$Q$1077,MAX(0,-Assumptions!$B$22*(F1111/INDEX(Surface_Engine!$B$12:$B$72,$A1111+1))),0)))^2+(MAX(0,J1111/INDEX(Surface_Engine!$B$12:$B$72,$A1111+1)-(F1111/INDEX(Surface_Engine!$B$12:$B$72,$A1111+1))))^2+2*Assumptions!$B$26*(IF(C1111&lt;=0,0,MAX(0,(B1111/C1111)*G1111/INDEX(Surface_Engine!$B$12:$B$72,$A1111+1)-F1111/INDEX(Surface_Engine!$B$12:$B$72,$A1111+1))))*(MAX(IF(D1111&lt;=0,0,MAX(0,(B1111/D1111)*H1111/INDEX(Surface_Engine!$B$12:$B$72,$A1111+1)-F1111/INDEX(Surface_Engine!$B$12:$B$72,$A1111+1))),IF(E1111&lt;=0,0,MAX(0,(B1111/E1111)*I1111/INDEX(Surface_Engine!$B$12:$B$72,$A1111+1)-F1111/INDEX(Surface_Engine!$B$12:$B$72,$A1111+1))),IF($A1111&lt;$Q$1077,MAX(0,-Assumptions!$B$22*(F1111/INDEX(Surface_Engine!$B$12:$B$72,$A1111+1))),0)))+2*Assumptions!$B$27*(IF(C1111&lt;=0,0,MAX(0,(B1111/C1111)*G1111/INDEX(Surface_Engine!$B$12:$B$72,$A1111+1)-F1111/INDEX(Surface_Engine!$B$12:$B$72,$A1111+1))))*(MAX(0,J1111/INDEX(Surface_Engine!$B$12:$B$72,$A1111+1)-(F1111/INDEX(Surface_Engine!$B$12:$B$72,$A1111+1))))+2*Assumptions!$B$28*(MAX(IF(D1111&lt;=0,0,MAX(0,(B1111/D1111)*H1111/INDEX(Surface_Engine!$B$12:$B$72,$A1111+1)-F1111/INDEX(Surface_Engine!$B$12:$B$72,$A1111+1))),IF(E1111&lt;=0,0,MAX(0,(B1111/E1111)*I1111/INDEX(Surface_Engine!$B$12:$B$72,$A1111+1)-F1111/INDEX(Surface_Engine!$B$12:$B$72,$A1111+1))),IF($A1111&lt;$Q$1077,MAX(0,-Assumptions!$B$22*(F1111/INDEX(Surface_Engine!$B$12:$B$72,$A1111+1))),0)))*(MAX(0,J1111/INDEX(Surface_Engine!$B$12:$B$72,$A1111+1)-(F1111/INDEX(Surface_Engine!$B$12:$B$72,$A1111+1)))))</f>
        <v>597.23863083388</v>
      </c>
      <c r="L1111" s="48" t="n">
        <f aca="false">K1111*INDEX(Surface_Engine!$B$12:$B$72,$A1111+1)+L1112</f>
        <v>711.309593084187</v>
      </c>
      <c r="M1111" s="48" t="n">
        <f aca="false">M1110+B1110*(IF($A1110&lt;$Q$1077,(Surface_Engine!G246*12)-(Surface_Engine!G246*12)*INDEX(Surface_Engine!$F$12:$F$72,$A1110+1)-INDEX(Surface_Engine!$D$12:$D$72,$A1110+1),-(1000*12*INDEX(Surface_Engine!$C$12:$C$72,$A1110+1)/(1+Assumptions!$B$10)^10+INDEX(Surface_Engine!$D$12:$D$72,$A1110+1))))*INDEX(Surface_Engine!$B$12:$B$72,$A1110+1)</f>
        <v>3965.3266189634</v>
      </c>
      <c r="N1111" s="12" t="n">
        <f aca="false">IF(B1111&lt;=0,0,MAX(0,(K1111+Assumptions!$B$29*L1111/INDEX(Surface_Engine!$B$12:$B$72,$A1111+1)-(M1111/INDEX(Surface_Engine!$B$12:$B$72,$A1111+1)-(F1111/INDEX(Surface_Engine!$B$12:$B$72,$A1111+1))))/B1111))</f>
        <v>0</v>
      </c>
    </row>
    <row r="1112" customFormat="false" ht="15" hidden="false" customHeight="true" outlineLevel="0" collapsed="false">
      <c r="A1112" s="1" t="n">
        <v>33</v>
      </c>
      <c r="B1112" s="32" t="n">
        <f aca="false">INDEX(Surface_Engine!$Q$12:$Q$72,$A1112+1)*IF($A1112&lt;$Q$1077,INDEX(Surface_Engine!$E$12:$E$72,$A1112+1),INDEX(Surface_Engine!$E$12:$E$72,$Q$1077+1))</f>
        <v>0.0357306813153274</v>
      </c>
      <c r="C1112" s="32" t="n">
        <f aca="false">INDEX(Panel_Reserving!$F$8:$F$68,$A1112+1)*IF($A1112&lt;$Q$1077,INDEX(Surface_Engine!$E$12:$E$72,$A1112+1),INDEX(Surface_Engine!$E$12:$E$72,$Q$1077+1))</f>
        <v>0.07063398512884</v>
      </c>
      <c r="D1112" s="32" t="n">
        <f aca="false">INDEX(Surface_Engine!$Q$12:$Q$72,$A1112+1)*IF($A1112&lt;$Q$1077,INDEX(Surface_Engine!$Y$12:$Y$72,$A1112+1),INDEX(Surface_Engine!$Y$12:$Y$72,$Q$1077+1))</f>
        <v>0.0331211430368374</v>
      </c>
      <c r="E1112" s="32" t="n">
        <f aca="false">INDEX(Surface_Engine!$Q$12:$Q$72,$A1112+1)*IF($A1112&lt;$Q$1077,INDEX(Surface_Engine!$Z$12:$Z$72,$A1112+1),INDEX(Surface_Engine!$Z$12:$Z$72,$Q$1077+1))</f>
        <v>0.0385145128899563</v>
      </c>
      <c r="F1112" s="48" t="n">
        <f aca="false">B1112*(IF($A1112&lt;$Q$1077,INDEX(Surface_Engine!$D$12:$D$72,$A1112+1)+(Surface_Engine!G246*12)*INDEX(Surface_Engine!$F$12:$F$72,$A1112+1)-(Surface_Engine!G246*12),1000*12*INDEX(Surface_Engine!$C$12:$C$72,$A1112+1)/(1+Assumptions!$B$10)^10+INDEX(Surface_Engine!$D$12:$D$72,$A1112+1)))*INDEX(Surface_Engine!$B$12:$B$72,$A1112+1)+F1113</f>
        <v>859.708936434739</v>
      </c>
      <c r="G1112" s="48" t="n">
        <f aca="false">C1112*(IF($A1112&lt;$Q$1077,INDEX(Surface_Engine!$D$12:$D$72,$A1112+1)+(Surface_Engine!G246*12)*INDEX(Surface_Engine!$F$12:$F$72,$A1112+1)-(Surface_Engine!G246*12),1000*12*INDEX(Surface_Engine!$C$12:$C$72,$A1112+1)/(1+Assumptions!$B$10)^10+INDEX(Surface_Engine!$D$12:$D$72,$A1112+1)))*INDEX(Surface_Engine!$B$12:$B$72,$A1112+1)+G1113</f>
        <v>2005.91717756003</v>
      </c>
      <c r="H1112" s="48" t="n">
        <f aca="false">D1112*(IF($A1112&lt;$Q$1077,INDEX(Surface_Engine!$D$12:$D$72,$A1112+1)+(Surface_Engine!G246*12)*INDEX(Surface_Engine!$F$12:$F$72,$A1112+1)-(Surface_Engine!G246*12),1000*12*INDEX(Surface_Engine!$C$12:$C$72,$A1112+1)/(1+Assumptions!$B$10)^10+INDEX(Surface_Engine!$D$12:$D$72,$A1112+1)))*INDEX(Surface_Engine!$B$12:$B$72,$A1112+1)+H1113</f>
        <v>796.921346178967</v>
      </c>
      <c r="I1112" s="48" t="n">
        <f aca="false">E1112*(IF($A1112&lt;$Q$1077,INDEX(Surface_Engine!$D$12:$D$72,$A1112+1)+(Surface_Engine!G246*12)*INDEX(Surface_Engine!$F$12:$F$72,$A1112+1)-(Surface_Engine!G246*12),1000*12*INDEX(Surface_Engine!$C$12:$C$72,$A1112+1)/(1+Assumptions!$B$10)^10+INDEX(Surface_Engine!$D$12:$D$72,$A1112+1)))*INDEX(Surface_Engine!$B$12:$B$72,$A1112+1)+I1113</f>
        <v>926.690163608009</v>
      </c>
      <c r="J1112" s="48" t="n">
        <f aca="false">B1112*(IF($A1112&lt;$Q$1077,INDEX(Surface_Engine!$D$12:$D$72,$A1112+1)*(1+Assumptions!$B$24)+(Surface_Engine!G246*12)*INDEX(Surface_Engine!$F$12:$F$72,$A1112+1)-(Surface_Engine!G246*12),1000*12*INDEX(Surface_Engine!$C$12:$C$72,$A1112+1)/(1+Assumptions!$B$10)^10+INDEX(Surface_Engine!$D$12:$D$72,$A1112+1)*(1+Assumptions!$B$24)))*INDEX(Surface_Engine!$B$12:$B$72,$A1112+1)+J1113</f>
        <v>860.550850297425</v>
      </c>
      <c r="K1112" s="12" t="n">
        <f aca="false">SQRT((IF(C1112&lt;=0,0,MAX(0,(B1112/C1112)*G1112/INDEX(Surface_Engine!$B$12:$B$72,$A1112+1)-F1112/INDEX(Surface_Engine!$B$12:$B$72,$A1112+1))))^2+(MAX(IF(D1112&lt;=0,0,MAX(0,(B1112/D1112)*H1112/INDEX(Surface_Engine!$B$12:$B$72,$A1112+1)-F1112/INDEX(Surface_Engine!$B$12:$B$72,$A1112+1))),IF(E1112&lt;=0,0,MAX(0,(B1112/E1112)*I1112/INDEX(Surface_Engine!$B$12:$B$72,$A1112+1)-F1112/INDEX(Surface_Engine!$B$12:$B$72,$A1112+1))),IF($A1112&lt;$Q$1077,MAX(0,-Assumptions!$B$22*(F1112/INDEX(Surface_Engine!$B$12:$B$72,$A1112+1))),0)))^2+(MAX(0,J1112/INDEX(Surface_Engine!$B$12:$B$72,$A1112+1)-(F1112/INDEX(Surface_Engine!$B$12:$B$72,$A1112+1))))^2+2*Assumptions!$B$26*(IF(C1112&lt;=0,0,MAX(0,(B1112/C1112)*G1112/INDEX(Surface_Engine!$B$12:$B$72,$A1112+1)-F1112/INDEX(Surface_Engine!$B$12:$B$72,$A1112+1))))*(MAX(IF(D1112&lt;=0,0,MAX(0,(B1112/D1112)*H1112/INDEX(Surface_Engine!$B$12:$B$72,$A1112+1)-F1112/INDEX(Surface_Engine!$B$12:$B$72,$A1112+1))),IF(E1112&lt;=0,0,MAX(0,(B1112/E1112)*I1112/INDEX(Surface_Engine!$B$12:$B$72,$A1112+1)-F1112/INDEX(Surface_Engine!$B$12:$B$72,$A1112+1))),IF($A1112&lt;$Q$1077,MAX(0,-Assumptions!$B$22*(F1112/INDEX(Surface_Engine!$B$12:$B$72,$A1112+1))),0)))+2*Assumptions!$B$27*(IF(C1112&lt;=0,0,MAX(0,(B1112/C1112)*G1112/INDEX(Surface_Engine!$B$12:$B$72,$A1112+1)-F1112/INDEX(Surface_Engine!$B$12:$B$72,$A1112+1))))*(MAX(0,J1112/INDEX(Surface_Engine!$B$12:$B$72,$A1112+1)-(F1112/INDEX(Surface_Engine!$B$12:$B$72,$A1112+1))))+2*Assumptions!$B$28*(MAX(IF(D1112&lt;=0,0,MAX(0,(B1112/D1112)*H1112/INDEX(Surface_Engine!$B$12:$B$72,$A1112+1)-F1112/INDEX(Surface_Engine!$B$12:$B$72,$A1112+1))),IF(E1112&lt;=0,0,MAX(0,(B1112/E1112)*I1112/INDEX(Surface_Engine!$B$12:$B$72,$A1112+1)-F1112/INDEX(Surface_Engine!$B$12:$B$72,$A1112+1))),IF($A1112&lt;$Q$1077,MAX(0,-Assumptions!$B$22*(F1112/INDEX(Surface_Engine!$B$12:$B$72,$A1112+1))),0)))*(MAX(0,J1112/INDEX(Surface_Engine!$B$12:$B$72,$A1112+1)-(F1112/INDEX(Surface_Engine!$B$12:$B$72,$A1112+1)))))</f>
        <v>437.34429749195</v>
      </c>
      <c r="L1112" s="48" t="n">
        <f aca="false">K1112*INDEX(Surface_Engine!$B$12:$B$72,$A1112+1)+L1113</f>
        <v>492.458695295232</v>
      </c>
      <c r="M1112" s="48" t="n">
        <f aca="false">M1111+B1111*(IF($A1111&lt;$Q$1077,(Surface_Engine!G246*12)-(Surface_Engine!G246*12)*INDEX(Surface_Engine!$F$12:$F$72,$A1111+1)-INDEX(Surface_Engine!$D$12:$D$72,$A1111+1),-(1000*12*INDEX(Surface_Engine!$C$12:$C$72,$A1111+1)/(1+Assumptions!$B$10)^10+INDEX(Surface_Engine!$D$12:$D$72,$A1111+1))))*INDEX(Surface_Engine!$B$12:$B$72,$A1111+1)</f>
        <v>3643.24290437398</v>
      </c>
      <c r="N1112" s="12" t="n">
        <f aca="false">IF(B1112&lt;=0,0,MAX(0,(K1112+Assumptions!$B$29*L1112/INDEX(Surface_Engine!$B$12:$B$72,$A1112+1)-(M1112/INDEX(Surface_Engine!$B$12:$B$72,$A1112+1)-(F1112/INDEX(Surface_Engine!$B$12:$B$72,$A1112+1))))/B1112))</f>
        <v>0</v>
      </c>
    </row>
    <row r="1113" customFormat="false" ht="15" hidden="false" customHeight="true" outlineLevel="0" collapsed="false">
      <c r="A1113" s="1" t="n">
        <v>34</v>
      </c>
      <c r="B1113" s="32" t="n">
        <f aca="false">INDEX(Surface_Engine!$Q$12:$Q$72,$A1113+1)*IF($A1113&lt;$Q$1077,INDEX(Surface_Engine!$E$12:$E$72,$A1113+1),INDEX(Surface_Engine!$E$12:$E$72,$Q$1077+1))</f>
        <v>0.0267031003395395</v>
      </c>
      <c r="C1113" s="32" t="n">
        <f aca="false">INDEX(Panel_Reserving!$F$8:$F$68,$A1113+1)*IF($A1113&lt;$Q$1077,INDEX(Surface_Engine!$E$12:$E$72,$A1113+1),INDEX(Surface_Engine!$E$12:$E$72,$Q$1077+1))</f>
        <v>0.0563570892641161</v>
      </c>
      <c r="D1113" s="32" t="n">
        <f aca="false">INDEX(Surface_Engine!$Q$12:$Q$72,$A1113+1)*IF($A1113&lt;$Q$1077,INDEX(Surface_Engine!$Y$12:$Y$72,$A1113+1),INDEX(Surface_Engine!$Y$12:$Y$72,$Q$1077+1))</f>
        <v>0.0247528782915626</v>
      </c>
      <c r="E1113" s="32" t="n">
        <f aca="false">INDEX(Surface_Engine!$Q$12:$Q$72,$A1113+1)*IF($A1113&lt;$Q$1077,INDEX(Surface_Engine!$Z$12:$Z$72,$A1113+1),INDEX(Surface_Engine!$Z$12:$Z$72,$Q$1077+1))</f>
        <v>0.0287835793880542</v>
      </c>
      <c r="F1113" s="48" t="n">
        <f aca="false">B1113*(IF($A1113&lt;$Q$1077,INDEX(Surface_Engine!$D$12:$D$72,$A1113+1)+(Surface_Engine!G246*12)*INDEX(Surface_Engine!$F$12:$F$72,$A1113+1)-(Surface_Engine!G246*12),1000*12*INDEX(Surface_Engine!$C$12:$C$72,$A1113+1)/(1+Assumptions!$B$10)^10+INDEX(Surface_Engine!$D$12:$D$72,$A1113+1)))*INDEX(Surface_Engine!$B$12:$B$72,$A1113+1)+F1114</f>
        <v>617.408279568202</v>
      </c>
      <c r="G1113" s="48" t="n">
        <f aca="false">C1113*(IF($A1113&lt;$Q$1077,INDEX(Surface_Engine!$D$12:$D$72,$A1113+1)+(Surface_Engine!G246*12)*INDEX(Surface_Engine!$F$12:$F$72,$A1113+1)-(Surface_Engine!G246*12),1000*12*INDEX(Surface_Engine!$C$12:$C$72,$A1113+1)/(1+Assumptions!$B$10)^10+INDEX(Surface_Engine!$D$12:$D$72,$A1113+1)))*INDEX(Surface_Engine!$B$12:$B$72,$A1113+1)+G1114</f>
        <v>1526.92656322552</v>
      </c>
      <c r="H1113" s="48" t="n">
        <f aca="false">D1113*(IF($A1113&lt;$Q$1077,INDEX(Surface_Engine!$D$12:$D$72,$A1113+1)+(Surface_Engine!G246*12)*INDEX(Surface_Engine!$F$12:$F$72,$A1113+1)-(Surface_Engine!G246*12),1000*12*INDEX(Surface_Engine!$C$12:$C$72,$A1113+1)/(1+Assumptions!$B$10)^10+INDEX(Surface_Engine!$D$12:$D$72,$A1113+1)))*INDEX(Surface_Engine!$B$12:$B$72,$A1113+1)+H1114</f>
        <v>572.316764946041</v>
      </c>
      <c r="I1113" s="48" t="n">
        <f aca="false">E1113*(IF($A1113&lt;$Q$1077,INDEX(Surface_Engine!$D$12:$D$72,$A1113+1)+(Surface_Engine!G246*12)*INDEX(Surface_Engine!$F$12:$F$72,$A1113+1)-(Surface_Engine!G246*12),1000*12*INDEX(Surface_Engine!$C$12:$C$72,$A1113+1)/(1+Assumptions!$B$10)^10+INDEX(Surface_Engine!$D$12:$D$72,$A1113+1)))*INDEX(Surface_Engine!$B$12:$B$72,$A1113+1)+I1114</f>
        <v>665.511495063339</v>
      </c>
      <c r="J1113" s="48" t="n">
        <f aca="false">B1113*(IF($A1113&lt;$Q$1077,INDEX(Surface_Engine!$D$12:$D$72,$A1113+1)*(1+Assumptions!$B$24)+(Surface_Engine!G246*12)*INDEX(Surface_Engine!$F$12:$F$72,$A1113+1)-(Surface_Engine!G246*12),1000*12*INDEX(Surface_Engine!$C$12:$C$72,$A1113+1)/(1+Assumptions!$B$10)^10+INDEX(Surface_Engine!$D$12:$D$72,$A1113+1)*(1+Assumptions!$B$24)))*INDEX(Surface_Engine!$B$12:$B$72,$A1113+1)+J1114</f>
        <v>618.015316488772</v>
      </c>
      <c r="K1113" s="12" t="n">
        <f aca="false">SQRT((IF(C1113&lt;=0,0,MAX(0,(B1113/C1113)*G1113/INDEX(Surface_Engine!$B$12:$B$72,$A1113+1)-F1113/INDEX(Surface_Engine!$B$12:$B$72,$A1113+1))))^2+(MAX(IF(D1113&lt;=0,0,MAX(0,(B1113/D1113)*H1113/INDEX(Surface_Engine!$B$12:$B$72,$A1113+1)-F1113/INDEX(Surface_Engine!$B$12:$B$72,$A1113+1))),IF(E1113&lt;=0,0,MAX(0,(B1113/E1113)*I1113/INDEX(Surface_Engine!$B$12:$B$72,$A1113+1)-F1113/INDEX(Surface_Engine!$B$12:$B$72,$A1113+1))),IF($A1113&lt;$Q$1077,MAX(0,-Assumptions!$B$22*(F1113/INDEX(Surface_Engine!$B$12:$B$72,$A1113+1))),0)))^2+(MAX(0,J1113/INDEX(Surface_Engine!$B$12:$B$72,$A1113+1)-(F1113/INDEX(Surface_Engine!$B$12:$B$72,$A1113+1))))^2+2*Assumptions!$B$26*(IF(C1113&lt;=0,0,MAX(0,(B1113/C1113)*G1113/INDEX(Surface_Engine!$B$12:$B$72,$A1113+1)-F1113/INDEX(Surface_Engine!$B$12:$B$72,$A1113+1))))*(MAX(IF(D1113&lt;=0,0,MAX(0,(B1113/D1113)*H1113/INDEX(Surface_Engine!$B$12:$B$72,$A1113+1)-F1113/INDEX(Surface_Engine!$B$12:$B$72,$A1113+1))),IF(E1113&lt;=0,0,MAX(0,(B1113/E1113)*I1113/INDEX(Surface_Engine!$B$12:$B$72,$A1113+1)-F1113/INDEX(Surface_Engine!$B$12:$B$72,$A1113+1))),IF($A1113&lt;$Q$1077,MAX(0,-Assumptions!$B$22*(F1113/INDEX(Surface_Engine!$B$12:$B$72,$A1113+1))),0)))+2*Assumptions!$B$27*(IF(C1113&lt;=0,0,MAX(0,(B1113/C1113)*G1113/INDEX(Surface_Engine!$B$12:$B$72,$A1113+1)-F1113/INDEX(Surface_Engine!$B$12:$B$72,$A1113+1))))*(MAX(0,J1113/INDEX(Surface_Engine!$B$12:$B$72,$A1113+1)-(F1113/INDEX(Surface_Engine!$B$12:$B$72,$A1113+1))))+2*Assumptions!$B$28*(MAX(IF(D1113&lt;=0,0,MAX(0,(B1113/D1113)*H1113/INDEX(Surface_Engine!$B$12:$B$72,$A1113+1)-F1113/INDEX(Surface_Engine!$B$12:$B$72,$A1113+1))),IF(E1113&lt;=0,0,MAX(0,(B1113/E1113)*I1113/INDEX(Surface_Engine!$B$12:$B$72,$A1113+1)-F1113/INDEX(Surface_Engine!$B$12:$B$72,$A1113+1))),IF($A1113&lt;$Q$1077,MAX(0,-Assumptions!$B$22*(F1113/INDEX(Surface_Engine!$B$12:$B$72,$A1113+1))),0)))*(MAX(0,J1113/INDEX(Surface_Engine!$B$12:$B$72,$A1113+1)-(F1113/INDEX(Surface_Engine!$B$12:$B$72,$A1113+1)))))</f>
        <v>309.087516214485</v>
      </c>
      <c r="L1113" s="48" t="n">
        <f aca="false">K1113*INDEX(Surface_Engine!$B$12:$B$72,$A1113+1)+L1114</f>
        <v>337.248178644001</v>
      </c>
      <c r="M1113" s="48" t="n">
        <f aca="false">M1112+B1112*(IF($A1112&lt;$Q$1077,(Surface_Engine!G246*12)-(Surface_Engine!G246*12)*INDEX(Surface_Engine!$F$12:$F$72,$A1112+1)-INDEX(Surface_Engine!$D$12:$D$72,$A1112+1),-(1000*12*INDEX(Surface_Engine!$C$12:$C$72,$A1112+1)/(1+Assumptions!$B$10)^10+INDEX(Surface_Engine!$D$12:$D$72,$A1112+1))))*INDEX(Surface_Engine!$B$12:$B$72,$A1112+1)</f>
        <v>3400.94224750744</v>
      </c>
      <c r="N1113" s="12" t="n">
        <f aca="false">IF(B1113&lt;=0,0,MAX(0,(K1113+Assumptions!$B$29*L1113/INDEX(Surface_Engine!$B$12:$B$72,$A1113+1)-(M1113/INDEX(Surface_Engine!$B$12:$B$72,$A1113+1)-(F1113/INDEX(Surface_Engine!$B$12:$B$72,$A1113+1))))/B1113))</f>
        <v>0</v>
      </c>
    </row>
    <row r="1114" customFormat="false" ht="15" hidden="false" customHeight="true" outlineLevel="0" collapsed="false">
      <c r="A1114" s="1" t="n">
        <v>35</v>
      </c>
      <c r="B1114" s="32" t="n">
        <f aca="false">INDEX(Surface_Engine!$Q$12:$Q$72,$A1114+1)*IF($A1114&lt;$Q$1077,INDEX(Surface_Engine!$E$12:$E$72,$A1114+1),INDEX(Surface_Engine!$E$12:$E$72,$Q$1077+1))</f>
        <v>0.0202360746508649</v>
      </c>
      <c r="C1114" s="32" t="n">
        <f aca="false">INDEX(Panel_Reserving!$F$8:$F$68,$A1114+1)*IF($A1114&lt;$Q$1077,INDEX(Surface_Engine!$E$12:$E$72,$A1114+1),INDEX(Surface_Engine!$E$12:$E$72,$Q$1077+1))</f>
        <v>0.0454381251176106</v>
      </c>
      <c r="D1114" s="32" t="n">
        <f aca="false">INDEX(Surface_Engine!$Q$12:$Q$72,$A1114+1)*IF($A1114&lt;$Q$1077,INDEX(Surface_Engine!$Y$12:$Y$72,$A1114+1),INDEX(Surface_Engine!$Y$12:$Y$72,$Q$1077+1))</f>
        <v>0.018758162406713</v>
      </c>
      <c r="E1114" s="32" t="n">
        <f aca="false">INDEX(Surface_Engine!$Q$12:$Q$72,$A1114+1)*IF($A1114&lt;$Q$1077,INDEX(Surface_Engine!$Z$12:$Z$72,$A1114+1),INDEX(Surface_Engine!$Z$12:$Z$72,$Q$1077+1))</f>
        <v>0.0218126979193236</v>
      </c>
      <c r="F1114" s="48" t="n">
        <f aca="false">B1114*(IF($A1114&lt;$Q$1077,INDEX(Surface_Engine!$D$12:$D$72,$A1114+1)+(Surface_Engine!G246*12)*INDEX(Surface_Engine!$F$12:$F$72,$A1114+1)-(Surface_Engine!G246*12),1000*12*INDEX(Surface_Engine!$C$12:$C$72,$A1114+1)/(1+Assumptions!$B$10)^10+INDEX(Surface_Engine!$D$12:$D$72,$A1114+1)))*INDEX(Surface_Engine!$B$12:$B$72,$A1114+1)+F1115</f>
        <v>438.522344615844</v>
      </c>
      <c r="G1114" s="48" t="n">
        <f aca="false">C1114*(IF($A1114&lt;$Q$1077,INDEX(Surface_Engine!$D$12:$D$72,$A1114+1)+(Surface_Engine!G246*12)*INDEX(Surface_Engine!$F$12:$F$72,$A1114+1)-(Surface_Engine!G246*12),1000*12*INDEX(Surface_Engine!$C$12:$C$72,$A1114+1)/(1+Assumptions!$B$10)^10+INDEX(Surface_Engine!$D$12:$D$72,$A1114+1)))*INDEX(Surface_Engine!$B$12:$B$72,$A1114+1)+G1115</f>
        <v>1149.3864845075</v>
      </c>
      <c r="H1114" s="48" t="n">
        <f aca="false">D1114*(IF($A1114&lt;$Q$1077,INDEX(Surface_Engine!$D$12:$D$72,$A1114+1)+(Surface_Engine!G246*12)*INDEX(Surface_Engine!$F$12:$F$72,$A1114+1)-(Surface_Engine!G246*12),1000*12*INDEX(Surface_Engine!$C$12:$C$72,$A1114+1)/(1+Assumptions!$B$10)^10+INDEX(Surface_Engine!$D$12:$D$72,$A1114+1)))*INDEX(Surface_Engine!$B$12:$B$72,$A1114+1)+H1115</f>
        <v>406.495503757443</v>
      </c>
      <c r="I1114" s="48" t="n">
        <f aca="false">E1114*(IF($A1114&lt;$Q$1077,INDEX(Surface_Engine!$D$12:$D$72,$A1114+1)+(Surface_Engine!G246*12)*INDEX(Surface_Engine!$F$12:$F$72,$A1114+1)-(Surface_Engine!G246*12),1000*12*INDEX(Surface_Engine!$C$12:$C$72,$A1114+1)/(1+Assumptions!$B$10)^10+INDEX(Surface_Engine!$D$12:$D$72,$A1114+1)))*INDEX(Surface_Engine!$B$12:$B$72,$A1114+1)+I1115</f>
        <v>472.688285599404</v>
      </c>
      <c r="J1114" s="48" t="n">
        <f aca="false">B1114*(IF($A1114&lt;$Q$1077,INDEX(Surface_Engine!$D$12:$D$72,$A1114+1)*(1+Assumptions!$B$24)+(Surface_Engine!G246*12)*INDEX(Surface_Engine!$F$12:$F$72,$A1114+1)-(Surface_Engine!G246*12),1000*12*INDEX(Surface_Engine!$C$12:$C$72,$A1114+1)/(1+Assumptions!$B$10)^10+INDEX(Surface_Engine!$D$12:$D$72,$A1114+1)*(1+Assumptions!$B$24)))*INDEX(Surface_Engine!$B$12:$B$72,$A1114+1)+J1115</f>
        <v>438.955134642477</v>
      </c>
      <c r="K1114" s="12" t="n">
        <f aca="false">SQRT((IF(C1114&lt;=0,0,MAX(0,(B1114/C1114)*G1114/INDEX(Surface_Engine!$B$12:$B$72,$A1114+1)-F1114/INDEX(Surface_Engine!$B$12:$B$72,$A1114+1))))^2+(MAX(IF(D1114&lt;=0,0,MAX(0,(B1114/D1114)*H1114/INDEX(Surface_Engine!$B$12:$B$72,$A1114+1)-F1114/INDEX(Surface_Engine!$B$12:$B$72,$A1114+1))),IF(E1114&lt;=0,0,MAX(0,(B1114/E1114)*I1114/INDEX(Surface_Engine!$B$12:$B$72,$A1114+1)-F1114/INDEX(Surface_Engine!$B$12:$B$72,$A1114+1))),IF($A1114&lt;$Q$1077,MAX(0,-Assumptions!$B$22*(F1114/INDEX(Surface_Engine!$B$12:$B$72,$A1114+1))),0)))^2+(MAX(0,J1114/INDEX(Surface_Engine!$B$12:$B$72,$A1114+1)-(F1114/INDEX(Surface_Engine!$B$12:$B$72,$A1114+1))))^2+2*Assumptions!$B$26*(IF(C1114&lt;=0,0,MAX(0,(B1114/C1114)*G1114/INDEX(Surface_Engine!$B$12:$B$72,$A1114+1)-F1114/INDEX(Surface_Engine!$B$12:$B$72,$A1114+1))))*(MAX(IF(D1114&lt;=0,0,MAX(0,(B1114/D1114)*H1114/INDEX(Surface_Engine!$B$12:$B$72,$A1114+1)-F1114/INDEX(Surface_Engine!$B$12:$B$72,$A1114+1))),IF(E1114&lt;=0,0,MAX(0,(B1114/E1114)*I1114/INDEX(Surface_Engine!$B$12:$B$72,$A1114+1)-F1114/INDEX(Surface_Engine!$B$12:$B$72,$A1114+1))),IF($A1114&lt;$Q$1077,MAX(0,-Assumptions!$B$22*(F1114/INDEX(Surface_Engine!$B$12:$B$72,$A1114+1))),0)))+2*Assumptions!$B$27*(IF(C1114&lt;=0,0,MAX(0,(B1114/C1114)*G1114/INDEX(Surface_Engine!$B$12:$B$72,$A1114+1)-F1114/INDEX(Surface_Engine!$B$12:$B$72,$A1114+1))))*(MAX(0,J1114/INDEX(Surface_Engine!$B$12:$B$72,$A1114+1)-(F1114/INDEX(Surface_Engine!$B$12:$B$72,$A1114+1))))+2*Assumptions!$B$28*(MAX(IF(D1114&lt;=0,0,MAX(0,(B1114/D1114)*H1114/INDEX(Surface_Engine!$B$12:$B$72,$A1114+1)-F1114/INDEX(Surface_Engine!$B$12:$B$72,$A1114+1))),IF(E1114&lt;=0,0,MAX(0,(B1114/E1114)*I1114/INDEX(Surface_Engine!$B$12:$B$72,$A1114+1)-F1114/INDEX(Surface_Engine!$B$12:$B$72,$A1114+1))),IF($A1114&lt;$Q$1077,MAX(0,-Assumptions!$B$22*(F1114/INDEX(Surface_Engine!$B$12:$B$72,$A1114+1))),0)))*(MAX(0,J1114/INDEX(Surface_Engine!$B$12:$B$72,$A1114+1)-(F1114/INDEX(Surface_Engine!$B$12:$B$72,$A1114+1)))))</f>
        <v>220.738134736739</v>
      </c>
      <c r="L1114" s="48" t="n">
        <f aca="false">K1114*INDEX(Surface_Engine!$B$12:$B$72,$A1114+1)+L1115</f>
        <v>231.015154066976</v>
      </c>
      <c r="M1114" s="48" t="n">
        <f aca="false">M1113+B1113*(IF($A1113&lt;$Q$1077,(Surface_Engine!G246*12)-(Surface_Engine!G246*12)*INDEX(Surface_Engine!$F$12:$F$72,$A1113+1)-INDEX(Surface_Engine!$D$12:$D$72,$A1113+1),-(1000*12*INDEX(Surface_Engine!$C$12:$C$72,$A1113+1)/(1+Assumptions!$B$10)^10+INDEX(Surface_Engine!$D$12:$D$72,$A1113+1))))*INDEX(Surface_Engine!$B$12:$B$72,$A1113+1)</f>
        <v>3222.05631255508</v>
      </c>
      <c r="N1114" s="12" t="n">
        <f aca="false">IF(B1114&lt;=0,0,MAX(0,(K1114+Assumptions!$B$29*L1114/INDEX(Surface_Engine!$B$12:$B$72,$A1114+1)-(M1114/INDEX(Surface_Engine!$B$12:$B$72,$A1114+1)-(F1114/INDEX(Surface_Engine!$B$12:$B$72,$A1114+1))))/B1114))</f>
        <v>0</v>
      </c>
    </row>
    <row r="1115" customFormat="false" ht="15" hidden="false" customHeight="true" outlineLevel="0" collapsed="false">
      <c r="A1115" s="1" t="n">
        <v>36</v>
      </c>
      <c r="B1115" s="32" t="n">
        <f aca="false">INDEX(Surface_Engine!$Q$12:$Q$72,$A1115+1)*IF($A1115&lt;$Q$1077,INDEX(Surface_Engine!$E$12:$E$72,$A1115+1),INDEX(Surface_Engine!$E$12:$E$72,$Q$1077+1))</f>
        <v>0.017729452478904</v>
      </c>
      <c r="C1115" s="32" t="n">
        <f aca="false">INDEX(Panel_Reserving!$F$8:$F$68,$A1115+1)*IF($A1115&lt;$Q$1077,INDEX(Surface_Engine!$E$12:$E$72,$A1115+1),INDEX(Surface_Engine!$E$12:$E$72,$Q$1077+1))</f>
        <v>0.040935425307012</v>
      </c>
      <c r="D1115" s="32" t="n">
        <f aca="false">INDEX(Surface_Engine!$Q$12:$Q$72,$A1115+1)*IF($A1115&lt;$Q$1077,INDEX(Surface_Engine!$Y$12:$Y$72,$A1115+1),INDEX(Surface_Engine!$Y$12:$Y$72,$Q$1077+1))</f>
        <v>0.016434607734913</v>
      </c>
      <c r="E1115" s="32" t="n">
        <f aca="false">INDEX(Surface_Engine!$Q$12:$Q$72,$A1115+1)*IF($A1115&lt;$Q$1077,INDEX(Surface_Engine!$Z$12:$Z$72,$A1115+1),INDEX(Surface_Engine!$Z$12:$Z$72,$Q$1077+1))</f>
        <v>0.0191107810121073</v>
      </c>
      <c r="F1115" s="48" t="n">
        <f aca="false">B1115*(IF($A1115&lt;$Q$1077,INDEX(Surface_Engine!$D$12:$D$72,$A1115+1)+(Surface_Engine!G246*12)*INDEX(Surface_Engine!$F$12:$F$72,$A1115+1)-(Surface_Engine!G246*12),1000*12*INDEX(Surface_Engine!$C$12:$C$72,$A1115+1)/(1+Assumptions!$B$10)^10+INDEX(Surface_Engine!$D$12:$D$72,$A1115+1)))*INDEX(Surface_Engine!$B$12:$B$72,$A1115+1)+F1116</f>
        <v>304.608565900497</v>
      </c>
      <c r="G1115" s="48" t="n">
        <f aca="false">C1115*(IF($A1115&lt;$Q$1077,INDEX(Surface_Engine!$D$12:$D$72,$A1115+1)+(Surface_Engine!G246*12)*INDEX(Surface_Engine!$F$12:$F$72,$A1115+1)-(Surface_Engine!G246*12),1000*12*INDEX(Surface_Engine!$C$12:$C$72,$A1115+1)/(1+Assumptions!$B$10)^10+INDEX(Surface_Engine!$D$12:$D$72,$A1115+1)))*INDEX(Surface_Engine!$B$12:$B$72,$A1115+1)+G1116</f>
        <v>848.696200585275</v>
      </c>
      <c r="H1115" s="48" t="n">
        <f aca="false">D1115*(IF($A1115&lt;$Q$1077,INDEX(Surface_Engine!$D$12:$D$72,$A1115+1)+(Surface_Engine!G246*12)*INDEX(Surface_Engine!$F$12:$F$72,$A1115+1)-(Surface_Engine!G246*12),1000*12*INDEX(Surface_Engine!$C$12:$C$72,$A1115+1)/(1+Assumptions!$B$10)^10+INDEX(Surface_Engine!$D$12:$D$72,$A1115+1)))*INDEX(Surface_Engine!$B$12:$B$72,$A1115+1)+H1116</f>
        <v>282.36192286399</v>
      </c>
      <c r="I1115" s="48" t="n">
        <f aca="false">E1115*(IF($A1115&lt;$Q$1077,INDEX(Surface_Engine!$D$12:$D$72,$A1115+1)+(Surface_Engine!G246*12)*INDEX(Surface_Engine!$F$12:$F$72,$A1115+1)-(Surface_Engine!G246*12),1000*12*INDEX(Surface_Engine!$C$12:$C$72,$A1115+1)/(1+Assumptions!$B$10)^10+INDEX(Surface_Engine!$D$12:$D$72,$A1115+1)))*INDEX(Surface_Engine!$B$12:$B$72,$A1115+1)+I1116</f>
        <v>328.341081274965</v>
      </c>
      <c r="J1115" s="48" t="n">
        <f aca="false">B1115*(IF($A1115&lt;$Q$1077,INDEX(Surface_Engine!$D$12:$D$72,$A1115+1)*(1+Assumptions!$B$24)+(Surface_Engine!G246*12)*INDEX(Surface_Engine!$F$12:$F$72,$A1115+1)-(Surface_Engine!G246*12),1000*12*INDEX(Surface_Engine!$C$12:$C$72,$A1115+1)/(1+Assumptions!$B$10)^10+INDEX(Surface_Engine!$D$12:$D$72,$A1115+1)*(1+Assumptions!$B$24)))*INDEX(Surface_Engine!$B$12:$B$72,$A1115+1)+J1116</f>
        <v>304.910281770417</v>
      </c>
      <c r="K1115" s="12" t="n">
        <f aca="false">SQRT((IF(C1115&lt;=0,0,MAX(0,(B1115/C1115)*G1115/INDEX(Surface_Engine!$B$12:$B$72,$A1115+1)-F1115/INDEX(Surface_Engine!$B$12:$B$72,$A1115+1))))^2+(MAX(IF(D1115&lt;=0,0,MAX(0,(B1115/D1115)*H1115/INDEX(Surface_Engine!$B$12:$B$72,$A1115+1)-F1115/INDEX(Surface_Engine!$B$12:$B$72,$A1115+1))),IF(E1115&lt;=0,0,MAX(0,(B1115/E1115)*I1115/INDEX(Surface_Engine!$B$12:$B$72,$A1115+1)-F1115/INDEX(Surface_Engine!$B$12:$B$72,$A1115+1))),IF($A1115&lt;$Q$1077,MAX(0,-Assumptions!$B$22*(F1115/INDEX(Surface_Engine!$B$12:$B$72,$A1115+1))),0)))^2+(MAX(0,J1115/INDEX(Surface_Engine!$B$12:$B$72,$A1115+1)-(F1115/INDEX(Surface_Engine!$B$12:$B$72,$A1115+1))))^2+2*Assumptions!$B$26*(IF(C1115&lt;=0,0,MAX(0,(B1115/C1115)*G1115/INDEX(Surface_Engine!$B$12:$B$72,$A1115+1)-F1115/INDEX(Surface_Engine!$B$12:$B$72,$A1115+1))))*(MAX(IF(D1115&lt;=0,0,MAX(0,(B1115/D1115)*H1115/INDEX(Surface_Engine!$B$12:$B$72,$A1115+1)-F1115/INDEX(Surface_Engine!$B$12:$B$72,$A1115+1))),IF(E1115&lt;=0,0,MAX(0,(B1115/E1115)*I1115/INDEX(Surface_Engine!$B$12:$B$72,$A1115+1)-F1115/INDEX(Surface_Engine!$B$12:$B$72,$A1115+1))),IF($A1115&lt;$Q$1077,MAX(0,-Assumptions!$B$22*(F1115/INDEX(Surface_Engine!$B$12:$B$72,$A1115+1))),0)))+2*Assumptions!$B$27*(IF(C1115&lt;=0,0,MAX(0,(B1115/C1115)*G1115/INDEX(Surface_Engine!$B$12:$B$72,$A1115+1)-F1115/INDEX(Surface_Engine!$B$12:$B$72,$A1115+1))))*(MAX(0,J1115/INDEX(Surface_Engine!$B$12:$B$72,$A1115+1)-(F1115/INDEX(Surface_Engine!$B$12:$B$72,$A1115+1))))+2*Assumptions!$B$28*(MAX(IF(D1115&lt;=0,0,MAX(0,(B1115/D1115)*H1115/INDEX(Surface_Engine!$B$12:$B$72,$A1115+1)-F1115/INDEX(Surface_Engine!$B$12:$B$72,$A1115+1))),IF(E1115&lt;=0,0,MAX(0,(B1115/E1115)*I1115/INDEX(Surface_Engine!$B$12:$B$72,$A1115+1)-F1115/INDEX(Surface_Engine!$B$12:$B$72,$A1115+1))),IF($A1115&lt;$Q$1077,MAX(0,-Assumptions!$B$22*(F1115/INDEX(Surface_Engine!$B$12:$B$72,$A1115+1))),0)))*(MAX(0,J1115/INDEX(Surface_Engine!$B$12:$B$72,$A1115+1)-(F1115/INDEX(Surface_Engine!$B$12:$B$72,$A1115+1)))))</f>
        <v>195.527232139477</v>
      </c>
      <c r="L1115" s="48" t="n">
        <f aca="false">K1115*INDEX(Surface_Engine!$B$12:$B$72,$A1115+1)+L1116</f>
        <v>157.543633730776</v>
      </c>
      <c r="M1115" s="48" t="n">
        <f aca="false">M1114+B1114*(IF($A1114&lt;$Q$1077,(Surface_Engine!G246*12)-(Surface_Engine!G246*12)*INDEX(Surface_Engine!$F$12:$F$72,$A1114+1)-INDEX(Surface_Engine!$D$12:$D$72,$A1114+1),-(1000*12*INDEX(Surface_Engine!$C$12:$C$72,$A1114+1)/(1+Assumptions!$B$10)^10+INDEX(Surface_Engine!$D$12:$D$72,$A1114+1))))*INDEX(Surface_Engine!$B$12:$B$72,$A1114+1)</f>
        <v>3088.14253383973</v>
      </c>
      <c r="N1115" s="12" t="n">
        <f aca="false">IF(B1115&lt;=0,0,MAX(0,(K1115+Assumptions!$B$29*L1115/INDEX(Surface_Engine!$B$12:$B$72,$A1115+1)-(M1115/INDEX(Surface_Engine!$B$12:$B$72,$A1115+1)-(F1115/INDEX(Surface_Engine!$B$12:$B$72,$A1115+1))))/B1115))</f>
        <v>0</v>
      </c>
    </row>
    <row r="1116" customFormat="false" ht="15" hidden="false" customHeight="true" outlineLevel="0" collapsed="false">
      <c r="A1116" s="1" t="n">
        <v>37</v>
      </c>
      <c r="B1116" s="32" t="n">
        <f aca="false">INDEX(Surface_Engine!$Q$12:$Q$72,$A1116+1)*IF($A1116&lt;$Q$1077,INDEX(Surface_Engine!$E$12:$E$72,$A1116+1),INDEX(Surface_Engine!$E$12:$E$72,$Q$1077+1))</f>
        <v>0.0117353293948245</v>
      </c>
      <c r="C1116" s="32" t="n">
        <f aca="false">INDEX(Panel_Reserving!$F$8:$F$68,$A1116+1)*IF($A1116&lt;$Q$1077,INDEX(Surface_Engine!$E$12:$E$72,$A1116+1),INDEX(Surface_Engine!$E$12:$E$72,$Q$1077+1))</f>
        <v>0.0298635897573767</v>
      </c>
      <c r="D1116" s="32" t="n">
        <f aca="false">INDEX(Surface_Engine!$Q$12:$Q$72,$A1116+1)*IF($A1116&lt;$Q$1077,INDEX(Surface_Engine!$Y$12:$Y$72,$A1116+1),INDEX(Surface_Engine!$Y$12:$Y$72,$Q$1077+1))</f>
        <v>0.0108782567015774</v>
      </c>
      <c r="E1116" s="32" t="n">
        <f aca="false">INDEX(Surface_Engine!$Q$12:$Q$72,$A1116+1)*IF($A1116&lt;$Q$1077,INDEX(Surface_Engine!$Z$12:$Z$72,$A1116+1),INDEX(Surface_Engine!$Z$12:$Z$72,$Q$1077+1))</f>
        <v>0.0126496467071554</v>
      </c>
      <c r="F1116" s="48" t="n">
        <f aca="false">B1116*(IF($A1116&lt;$Q$1077,INDEX(Surface_Engine!$D$12:$D$72,$A1116+1)+(Surface_Engine!G246*12)*INDEX(Surface_Engine!$F$12:$F$72,$A1116+1)-(Surface_Engine!G246*12),1000*12*INDEX(Surface_Engine!$C$12:$C$72,$A1116+1)/(1+Assumptions!$B$10)^10+INDEX(Surface_Engine!$D$12:$D$72,$A1116+1)))*INDEX(Surface_Engine!$B$12:$B$72,$A1116+1)+F1117</f>
        <v>188.673829520364</v>
      </c>
      <c r="G1116" s="48" t="n">
        <f aca="false">C1116*(IF($A1116&lt;$Q$1077,INDEX(Surface_Engine!$D$12:$D$72,$A1116+1)+(Surface_Engine!G246*12)*INDEX(Surface_Engine!$F$12:$F$72,$A1116+1)-(Surface_Engine!G246*12),1000*12*INDEX(Surface_Engine!$C$12:$C$72,$A1116+1)/(1+Assumptions!$B$10)^10+INDEX(Surface_Engine!$D$12:$D$72,$A1116+1)))*INDEX(Surface_Engine!$B$12:$B$72,$A1116+1)+G1117</f>
        <v>581.015190851668</v>
      </c>
      <c r="H1116" s="48" t="n">
        <f aca="false">D1116*(IF($A1116&lt;$Q$1077,INDEX(Surface_Engine!$D$12:$D$72,$A1116+1)+(Surface_Engine!G246*12)*INDEX(Surface_Engine!$F$12:$F$72,$A1116+1)-(Surface_Engine!G246*12),1000*12*INDEX(Surface_Engine!$C$12:$C$72,$A1116+1)/(1+Assumptions!$B$10)^10+INDEX(Surface_Engine!$D$12:$D$72,$A1116+1)))*INDEX(Surface_Engine!$B$12:$B$72,$A1116+1)+H1117</f>
        <v>174.894311130059</v>
      </c>
      <c r="I1116" s="48" t="n">
        <f aca="false">E1116*(IF($A1116&lt;$Q$1077,INDEX(Surface_Engine!$D$12:$D$72,$A1116+1)+(Surface_Engine!G246*12)*INDEX(Surface_Engine!$F$12:$F$72,$A1116+1)-(Surface_Engine!G246*12),1000*12*INDEX(Surface_Engine!$C$12:$C$72,$A1116+1)/(1+Assumptions!$B$10)^10+INDEX(Surface_Engine!$D$12:$D$72,$A1116+1)))*INDEX(Surface_Engine!$B$12:$B$72,$A1116+1)+I1117</f>
        <v>203.373693743206</v>
      </c>
      <c r="J1116" s="48" t="n">
        <f aca="false">B1116*(IF($A1116&lt;$Q$1077,INDEX(Surface_Engine!$D$12:$D$72,$A1116+1)*(1+Assumptions!$B$24)+(Surface_Engine!G246*12)*INDEX(Surface_Engine!$F$12:$F$72,$A1116+1)-(Surface_Engine!G246*12),1000*12*INDEX(Surface_Engine!$C$12:$C$72,$A1116+1)/(1+Assumptions!$B$10)^10+INDEX(Surface_Engine!$D$12:$D$72,$A1116+1)*(1+Assumptions!$B$24)))*INDEX(Surface_Engine!$B$12:$B$72,$A1116+1)+J1117</f>
        <v>188.861518247342</v>
      </c>
      <c r="K1116" s="12" t="n">
        <f aca="false">SQRT((IF(C1116&lt;=0,0,MAX(0,(B1116/C1116)*G1116/INDEX(Surface_Engine!$B$12:$B$72,$A1116+1)-F1116/INDEX(Surface_Engine!$B$12:$B$72,$A1116+1))))^2+(MAX(IF(D1116&lt;=0,0,MAX(0,(B1116/D1116)*H1116/INDEX(Surface_Engine!$B$12:$B$72,$A1116+1)-F1116/INDEX(Surface_Engine!$B$12:$B$72,$A1116+1))),IF(E1116&lt;=0,0,MAX(0,(B1116/E1116)*I1116/INDEX(Surface_Engine!$B$12:$B$72,$A1116+1)-F1116/INDEX(Surface_Engine!$B$12:$B$72,$A1116+1))),IF($A1116&lt;$Q$1077,MAX(0,-Assumptions!$B$22*(F1116/INDEX(Surface_Engine!$B$12:$B$72,$A1116+1))),0)))^2+(MAX(0,J1116/INDEX(Surface_Engine!$B$12:$B$72,$A1116+1)-(F1116/INDEX(Surface_Engine!$B$12:$B$72,$A1116+1))))^2+2*Assumptions!$B$26*(IF(C1116&lt;=0,0,MAX(0,(B1116/C1116)*G1116/INDEX(Surface_Engine!$B$12:$B$72,$A1116+1)-F1116/INDEX(Surface_Engine!$B$12:$B$72,$A1116+1))))*(MAX(IF(D1116&lt;=0,0,MAX(0,(B1116/D1116)*H1116/INDEX(Surface_Engine!$B$12:$B$72,$A1116+1)-F1116/INDEX(Surface_Engine!$B$12:$B$72,$A1116+1))),IF(E1116&lt;=0,0,MAX(0,(B1116/E1116)*I1116/INDEX(Surface_Engine!$B$12:$B$72,$A1116+1)-F1116/INDEX(Surface_Engine!$B$12:$B$72,$A1116+1))),IF($A1116&lt;$Q$1077,MAX(0,-Assumptions!$B$22*(F1116/INDEX(Surface_Engine!$B$12:$B$72,$A1116+1))),0)))+2*Assumptions!$B$27*(IF(C1116&lt;=0,0,MAX(0,(B1116/C1116)*G1116/INDEX(Surface_Engine!$B$12:$B$72,$A1116+1)-F1116/INDEX(Surface_Engine!$B$12:$B$72,$A1116+1))))*(MAX(0,J1116/INDEX(Surface_Engine!$B$12:$B$72,$A1116+1)-(F1116/INDEX(Surface_Engine!$B$12:$B$72,$A1116+1))))+2*Assumptions!$B$28*(MAX(IF(D1116&lt;=0,0,MAX(0,(B1116/D1116)*H1116/INDEX(Surface_Engine!$B$12:$B$72,$A1116+1)-F1116/INDEX(Surface_Engine!$B$12:$B$72,$A1116+1))),IF(E1116&lt;=0,0,MAX(0,(B1116/E1116)*I1116/INDEX(Surface_Engine!$B$12:$B$72,$A1116+1)-F1116/INDEX(Surface_Engine!$B$12:$B$72,$A1116+1))),IF($A1116&lt;$Q$1077,MAX(0,-Assumptions!$B$22*(F1116/INDEX(Surface_Engine!$B$12:$B$72,$A1116+1))),0)))*(MAX(0,J1116/INDEX(Surface_Engine!$B$12:$B$72,$A1116+1)-(F1116/INDEX(Surface_Engine!$B$12:$B$72,$A1116+1)))))</f>
        <v>127.123860338879</v>
      </c>
      <c r="L1116" s="48" t="n">
        <f aca="false">K1116*INDEX(Surface_Engine!$B$12:$B$72,$A1116+1)+L1117</f>
        <v>94.4991395138668</v>
      </c>
      <c r="M1116" s="48" t="n">
        <f aca="false">M1115+B1115*(IF($A1115&lt;$Q$1077,(Surface_Engine!G246*12)-(Surface_Engine!G246*12)*INDEX(Surface_Engine!$F$12:$F$72,$A1115+1)-INDEX(Surface_Engine!$D$12:$D$72,$A1115+1),-(1000*12*INDEX(Surface_Engine!$C$12:$C$72,$A1115+1)/(1+Assumptions!$B$10)^10+INDEX(Surface_Engine!$D$12:$D$72,$A1115+1))))*INDEX(Surface_Engine!$B$12:$B$72,$A1115+1)</f>
        <v>2972.2077974596</v>
      </c>
      <c r="N1116" s="12" t="n">
        <f aca="false">IF(B1116&lt;=0,0,MAX(0,(K1116+Assumptions!$B$29*L1116/INDEX(Surface_Engine!$B$12:$B$72,$A1116+1)-(M1116/INDEX(Surface_Engine!$B$12:$B$72,$A1116+1)-(F1116/INDEX(Surface_Engine!$B$12:$B$72,$A1116+1))))/B1116))</f>
        <v>0</v>
      </c>
    </row>
    <row r="1117" customFormat="false" ht="15" hidden="false" customHeight="true" outlineLevel="0" collapsed="false">
      <c r="A1117" s="1" t="n">
        <v>38</v>
      </c>
      <c r="B1117" s="32" t="n">
        <f aca="false">INDEX(Surface_Engine!$Q$12:$Q$72,$A1117+1)*IF($A1117&lt;$Q$1077,INDEX(Surface_Engine!$E$12:$E$72,$A1117+1),INDEX(Surface_Engine!$E$12:$E$72,$Q$1077+1))</f>
        <v>0.00749336014537337</v>
      </c>
      <c r="C1117" s="32" t="n">
        <f aca="false">INDEX(Panel_Reserving!$F$8:$F$68,$A1117+1)*IF($A1117&lt;$Q$1077,INDEX(Surface_Engine!$E$12:$E$72,$A1117+1),INDEX(Surface_Engine!$E$12:$E$72,$Q$1077+1))</f>
        <v>0.0212277568690466</v>
      </c>
      <c r="D1117" s="32" t="n">
        <f aca="false">INDEX(Surface_Engine!$Q$12:$Q$72,$A1117+1)*IF($A1117&lt;$Q$1077,INDEX(Surface_Engine!$Y$12:$Y$72,$A1117+1),INDEX(Surface_Engine!$Y$12:$Y$72,$Q$1077+1))</f>
        <v>0.00694609349906191</v>
      </c>
      <c r="E1117" s="32" t="n">
        <f aca="false">INDEX(Surface_Engine!$Q$12:$Q$72,$A1117+1)*IF($A1117&lt;$Q$1077,INDEX(Surface_Engine!$Z$12:$Z$72,$A1117+1),INDEX(Surface_Engine!$Z$12:$Z$72,$Q$1077+1))</f>
        <v>0.00807717919961032</v>
      </c>
      <c r="F1117" s="48" t="n">
        <f aca="false">B1117*(IF($A1117&lt;$Q$1077,INDEX(Surface_Engine!$D$12:$D$72,$A1117+1)+(Surface_Engine!G246*12)*INDEX(Surface_Engine!$F$12:$F$72,$A1117+1)-(Surface_Engine!G246*12),1000*12*INDEX(Surface_Engine!$C$12:$C$72,$A1117+1)/(1+Assumptions!$B$10)^10+INDEX(Surface_Engine!$D$12:$D$72,$A1117+1)))*INDEX(Surface_Engine!$B$12:$B$72,$A1117+1)+F1118</f>
        <v>112.873904802031</v>
      </c>
      <c r="G1117" s="48" t="n">
        <f aca="false">C1117*(IF($A1117&lt;$Q$1077,INDEX(Surface_Engine!$D$12:$D$72,$A1117+1)+(Surface_Engine!G246*12)*INDEX(Surface_Engine!$F$12:$F$72,$A1117+1)-(Surface_Engine!G246*12),1000*12*INDEX(Surface_Engine!$C$12:$C$72,$A1117+1)/(1+Assumptions!$B$10)^10+INDEX(Surface_Engine!$D$12:$D$72,$A1117+1)))*INDEX(Surface_Engine!$B$12:$B$72,$A1117+1)+G1118</f>
        <v>388.122620113374</v>
      </c>
      <c r="H1117" s="48" t="n">
        <f aca="false">D1117*(IF($A1117&lt;$Q$1077,INDEX(Surface_Engine!$D$12:$D$72,$A1117+1)+(Surface_Engine!G246*12)*INDEX(Surface_Engine!$F$12:$F$72,$A1117+1)-(Surface_Engine!G246*12),1000*12*INDEX(Surface_Engine!$C$12:$C$72,$A1117+1)/(1+Assumptions!$B$10)^10+INDEX(Surface_Engine!$D$12:$D$72,$A1117+1)))*INDEX(Surface_Engine!$B$12:$B$72,$A1117+1)+H1118</f>
        <v>104.630323532922</v>
      </c>
      <c r="I1117" s="48" t="n">
        <f aca="false">E1117*(IF($A1117&lt;$Q$1077,INDEX(Surface_Engine!$D$12:$D$72,$A1117+1)+(Surface_Engine!G246*12)*INDEX(Surface_Engine!$F$12:$F$72,$A1117+1)-(Surface_Engine!G246*12),1000*12*INDEX(Surface_Engine!$C$12:$C$72,$A1117+1)/(1+Assumptions!$B$10)^10+INDEX(Surface_Engine!$D$12:$D$72,$A1117+1)))*INDEX(Surface_Engine!$B$12:$B$72,$A1117+1)+I1118</f>
        <v>121.66808192299</v>
      </c>
      <c r="J1117" s="48" t="n">
        <f aca="false">B1117*(IF($A1117&lt;$Q$1077,INDEX(Surface_Engine!$D$12:$D$72,$A1117+1)*(1+Assumptions!$B$24)+(Surface_Engine!G246*12)*INDEX(Surface_Engine!$F$12:$F$72,$A1117+1)-(Surface_Engine!G246*12),1000*12*INDEX(Surface_Engine!$C$12:$C$72,$A1117+1)/(1+Assumptions!$B$10)^10+INDEX(Surface_Engine!$D$12:$D$72,$A1117+1)*(1+Assumptions!$B$24)))*INDEX(Surface_Engine!$B$12:$B$72,$A1117+1)+J1118</f>
        <v>112.986678975793</v>
      </c>
      <c r="K1117" s="12" t="n">
        <f aca="false">SQRT((IF(C1117&lt;=0,0,MAX(0,(B1117/C1117)*G1117/INDEX(Surface_Engine!$B$12:$B$72,$A1117+1)-F1117/INDEX(Surface_Engine!$B$12:$B$72,$A1117+1))))^2+(MAX(IF(D1117&lt;=0,0,MAX(0,(B1117/D1117)*H1117/INDEX(Surface_Engine!$B$12:$B$72,$A1117+1)-F1117/INDEX(Surface_Engine!$B$12:$B$72,$A1117+1))),IF(E1117&lt;=0,0,MAX(0,(B1117/E1117)*I1117/INDEX(Surface_Engine!$B$12:$B$72,$A1117+1)-F1117/INDEX(Surface_Engine!$B$12:$B$72,$A1117+1))),IF($A1117&lt;$Q$1077,MAX(0,-Assumptions!$B$22*(F1117/INDEX(Surface_Engine!$B$12:$B$72,$A1117+1))),0)))^2+(MAX(0,J1117/INDEX(Surface_Engine!$B$12:$B$72,$A1117+1)-(F1117/INDEX(Surface_Engine!$B$12:$B$72,$A1117+1))))^2+2*Assumptions!$B$26*(IF(C1117&lt;=0,0,MAX(0,(B1117/C1117)*G1117/INDEX(Surface_Engine!$B$12:$B$72,$A1117+1)-F1117/INDEX(Surface_Engine!$B$12:$B$72,$A1117+1))))*(MAX(IF(D1117&lt;=0,0,MAX(0,(B1117/D1117)*H1117/INDEX(Surface_Engine!$B$12:$B$72,$A1117+1)-F1117/INDEX(Surface_Engine!$B$12:$B$72,$A1117+1))),IF(E1117&lt;=0,0,MAX(0,(B1117/E1117)*I1117/INDEX(Surface_Engine!$B$12:$B$72,$A1117+1)-F1117/INDEX(Surface_Engine!$B$12:$B$72,$A1117+1))),IF($A1117&lt;$Q$1077,MAX(0,-Assumptions!$B$22*(F1117/INDEX(Surface_Engine!$B$12:$B$72,$A1117+1))),0)))+2*Assumptions!$B$27*(IF(C1117&lt;=0,0,MAX(0,(B1117/C1117)*G1117/INDEX(Surface_Engine!$B$12:$B$72,$A1117+1)-F1117/INDEX(Surface_Engine!$B$12:$B$72,$A1117+1))))*(MAX(0,J1117/INDEX(Surface_Engine!$B$12:$B$72,$A1117+1)-(F1117/INDEX(Surface_Engine!$B$12:$B$72,$A1117+1))))+2*Assumptions!$B$28*(MAX(IF(D1117&lt;=0,0,MAX(0,(B1117/D1117)*H1117/INDEX(Surface_Engine!$B$12:$B$72,$A1117+1)-F1117/INDEX(Surface_Engine!$B$12:$B$72,$A1117+1))),IF(E1117&lt;=0,0,MAX(0,(B1117/E1117)*I1117/INDEX(Surface_Engine!$B$12:$B$72,$A1117+1)-F1117/INDEX(Surface_Engine!$B$12:$B$72,$A1117+1))),IF($A1117&lt;$Q$1077,MAX(0,-Assumptions!$B$22*(F1117/INDEX(Surface_Engine!$B$12:$B$72,$A1117+1))),0)))*(MAX(0,J1117/INDEX(Surface_Engine!$B$12:$B$72,$A1117+1)-(F1117/INDEX(Surface_Engine!$B$12:$B$72,$A1117+1)))))</f>
        <v>79.9145426042173</v>
      </c>
      <c r="L1117" s="48" t="n">
        <f aca="false">K1117*INDEX(Surface_Engine!$B$12:$B$72,$A1117+1)+L1118</f>
        <v>54.8073106449779</v>
      </c>
      <c r="M1117" s="48" t="n">
        <f aca="false">M1116+B1116*(IF($A1116&lt;$Q$1077,(Surface_Engine!G246*12)-(Surface_Engine!G246*12)*INDEX(Surface_Engine!$F$12:$F$72,$A1116+1)-INDEX(Surface_Engine!$D$12:$D$72,$A1116+1),-(1000*12*INDEX(Surface_Engine!$C$12:$C$72,$A1116+1)/(1+Assumptions!$B$10)^10+INDEX(Surface_Engine!$D$12:$D$72,$A1116+1))))*INDEX(Surface_Engine!$B$12:$B$72,$A1116+1)</f>
        <v>2896.40787274127</v>
      </c>
      <c r="N1117" s="12" t="n">
        <f aca="false">IF(B1117&lt;=0,0,MAX(0,(K1117+Assumptions!$B$29*L1117/INDEX(Surface_Engine!$B$12:$B$72,$A1117+1)-(M1117/INDEX(Surface_Engine!$B$12:$B$72,$A1117+1)-(F1117/INDEX(Surface_Engine!$B$12:$B$72,$A1117+1))))/B1117))</f>
        <v>0</v>
      </c>
    </row>
    <row r="1118" customFormat="false" ht="15" hidden="false" customHeight="true" outlineLevel="0" collapsed="false">
      <c r="A1118" s="1" t="n">
        <v>39</v>
      </c>
      <c r="B1118" s="32" t="n">
        <f aca="false">INDEX(Surface_Engine!$Q$12:$Q$72,$A1118+1)*IF($A1118&lt;$Q$1077,INDEX(Surface_Engine!$E$12:$E$72,$A1118+1),INDEX(Surface_Engine!$E$12:$E$72,$Q$1077+1))</f>
        <v>0.00459868092826352</v>
      </c>
      <c r="C1118" s="32" t="n">
        <f aca="false">INDEX(Panel_Reserving!$F$8:$F$68,$A1118+1)*IF($A1118&lt;$Q$1077,INDEX(Surface_Engine!$E$12:$E$72,$A1118+1),INDEX(Surface_Engine!$E$12:$E$72,$Q$1077+1))</f>
        <v>0.0146675440467517</v>
      </c>
      <c r="D1118" s="32" t="n">
        <f aca="false">INDEX(Surface_Engine!$Q$12:$Q$72,$A1118+1)*IF($A1118&lt;$Q$1077,INDEX(Surface_Engine!$Y$12:$Y$72,$A1118+1),INDEX(Surface_Engine!$Y$12:$Y$72,$Q$1077+1))</f>
        <v>0.00426282296331289</v>
      </c>
      <c r="E1118" s="32" t="n">
        <f aca="false">INDEX(Surface_Engine!$Q$12:$Q$72,$A1118+1)*IF($A1118&lt;$Q$1077,INDEX(Surface_Engine!$Z$12:$Z$72,$A1118+1),INDEX(Surface_Engine!$Z$12:$Z$72,$Q$1077+1))</f>
        <v>0.00495697113428465</v>
      </c>
      <c r="F1118" s="48" t="n">
        <f aca="false">B1118*(IF($A1118&lt;$Q$1077,INDEX(Surface_Engine!$D$12:$D$72,$A1118+1)+(Surface_Engine!G246*12)*INDEX(Surface_Engine!$F$12:$F$72,$A1118+1)-(Surface_Engine!G246*12),1000*12*INDEX(Surface_Engine!$C$12:$C$72,$A1118+1)/(1+Assumptions!$B$10)^10+INDEX(Surface_Engine!$D$12:$D$72,$A1118+1)))*INDEX(Surface_Engine!$B$12:$B$72,$A1118+1)+F1119</f>
        <v>65.0672225096016</v>
      </c>
      <c r="G1118" s="48" t="n">
        <f aca="false">C1118*(IF($A1118&lt;$Q$1077,INDEX(Surface_Engine!$D$12:$D$72,$A1118+1)+(Surface_Engine!G246*12)*INDEX(Surface_Engine!$F$12:$F$72,$A1118+1)-(Surface_Engine!G246*12),1000*12*INDEX(Surface_Engine!$C$12:$C$72,$A1118+1)/(1+Assumptions!$B$10)^10+INDEX(Surface_Engine!$D$12:$D$72,$A1118+1)))*INDEX(Surface_Engine!$B$12:$B$72,$A1118+1)+G1119</f>
        <v>252.692237917475</v>
      </c>
      <c r="H1118" s="48" t="n">
        <f aca="false">D1118*(IF($A1118&lt;$Q$1077,INDEX(Surface_Engine!$D$12:$D$72,$A1118+1)+(Surface_Engine!G246*12)*INDEX(Surface_Engine!$F$12:$F$72,$A1118+1)-(Surface_Engine!G246*12),1000*12*INDEX(Surface_Engine!$C$12:$C$72,$A1118+1)/(1+Assumptions!$B$10)^10+INDEX(Surface_Engine!$D$12:$D$72,$A1118+1)))*INDEX(Surface_Engine!$B$12:$B$72,$A1118+1)+H1119</f>
        <v>60.3151326651521</v>
      </c>
      <c r="I1118" s="48" t="n">
        <f aca="false">E1118*(IF($A1118&lt;$Q$1077,INDEX(Surface_Engine!$D$12:$D$72,$A1118+1)+(Surface_Engine!G246*12)*INDEX(Surface_Engine!$F$12:$F$72,$A1118+1)-(Surface_Engine!G246*12),1000*12*INDEX(Surface_Engine!$C$12:$C$72,$A1118+1)/(1+Assumptions!$B$10)^10+INDEX(Surface_Engine!$D$12:$D$72,$A1118+1)))*INDEX(Surface_Engine!$B$12:$B$72,$A1118+1)+I1119</f>
        <v>70.1367085039235</v>
      </c>
      <c r="J1118" s="48" t="n">
        <f aca="false">B1118*(IF($A1118&lt;$Q$1077,INDEX(Surface_Engine!$D$12:$D$72,$A1118+1)*(1+Assumptions!$B$24)+(Surface_Engine!G246*12)*INDEX(Surface_Engine!$F$12:$F$72,$A1118+1)-(Surface_Engine!G246*12),1000*12*INDEX(Surface_Engine!$C$12:$C$72,$A1118+1)/(1+Assumptions!$B$10)^10+INDEX(Surface_Engine!$D$12:$D$72,$A1118+1)*(1+Assumptions!$B$24)))*INDEX(Surface_Engine!$B$12:$B$72,$A1118+1)+J1119</f>
        <v>65.1325190919438</v>
      </c>
      <c r="K1118" s="12" t="n">
        <f aca="false">SQRT((IF(C1118&lt;=0,0,MAX(0,(B1118/C1118)*G1118/INDEX(Surface_Engine!$B$12:$B$72,$A1118+1)-F1118/INDEX(Surface_Engine!$B$12:$B$72,$A1118+1))))^2+(MAX(IF(D1118&lt;=0,0,MAX(0,(B1118/D1118)*H1118/INDEX(Surface_Engine!$B$12:$B$72,$A1118+1)-F1118/INDEX(Surface_Engine!$B$12:$B$72,$A1118+1))),IF(E1118&lt;=0,0,MAX(0,(B1118/E1118)*I1118/INDEX(Surface_Engine!$B$12:$B$72,$A1118+1)-F1118/INDEX(Surface_Engine!$B$12:$B$72,$A1118+1))),IF($A1118&lt;$Q$1077,MAX(0,-Assumptions!$B$22*(F1118/INDEX(Surface_Engine!$B$12:$B$72,$A1118+1))),0)))^2+(MAX(0,J1118/INDEX(Surface_Engine!$B$12:$B$72,$A1118+1)-(F1118/INDEX(Surface_Engine!$B$12:$B$72,$A1118+1))))^2+2*Assumptions!$B$26*(IF(C1118&lt;=0,0,MAX(0,(B1118/C1118)*G1118/INDEX(Surface_Engine!$B$12:$B$72,$A1118+1)-F1118/INDEX(Surface_Engine!$B$12:$B$72,$A1118+1))))*(MAX(IF(D1118&lt;=0,0,MAX(0,(B1118/D1118)*H1118/INDEX(Surface_Engine!$B$12:$B$72,$A1118+1)-F1118/INDEX(Surface_Engine!$B$12:$B$72,$A1118+1))),IF(E1118&lt;=0,0,MAX(0,(B1118/E1118)*I1118/INDEX(Surface_Engine!$B$12:$B$72,$A1118+1)-F1118/INDEX(Surface_Engine!$B$12:$B$72,$A1118+1))),IF($A1118&lt;$Q$1077,MAX(0,-Assumptions!$B$22*(F1118/INDEX(Surface_Engine!$B$12:$B$72,$A1118+1))),0)))+2*Assumptions!$B$27*(IF(C1118&lt;=0,0,MAX(0,(B1118/C1118)*G1118/INDEX(Surface_Engine!$B$12:$B$72,$A1118+1)-F1118/INDEX(Surface_Engine!$B$12:$B$72,$A1118+1))))*(MAX(0,J1118/INDEX(Surface_Engine!$B$12:$B$72,$A1118+1)-(F1118/INDEX(Surface_Engine!$B$12:$B$72,$A1118+1))))+2*Assumptions!$B$28*(MAX(IF(D1118&lt;=0,0,MAX(0,(B1118/D1118)*H1118/INDEX(Surface_Engine!$B$12:$B$72,$A1118+1)-F1118/INDEX(Surface_Engine!$B$12:$B$72,$A1118+1))),IF(E1118&lt;=0,0,MAX(0,(B1118/E1118)*I1118/INDEX(Surface_Engine!$B$12:$B$72,$A1118+1)-F1118/INDEX(Surface_Engine!$B$12:$B$72,$A1118+1))),IF($A1118&lt;$Q$1077,MAX(0,-Assumptions!$B$22*(F1118/INDEX(Surface_Engine!$B$12:$B$72,$A1118+1))),0)))*(MAX(0,J1118/INDEX(Surface_Engine!$B$12:$B$72,$A1118+1)-(F1118/INDEX(Surface_Engine!$B$12:$B$72,$A1118+1)))))</f>
        <v>48.4032858376157</v>
      </c>
      <c r="L1118" s="48" t="n">
        <f aca="false">K1118*INDEX(Surface_Engine!$B$12:$B$72,$A1118+1)+L1119</f>
        <v>30.6461855794489</v>
      </c>
      <c r="M1118" s="48" t="n">
        <f aca="false">M1117+B1117*(IF($A1117&lt;$Q$1077,(Surface_Engine!G246*12)-(Surface_Engine!G246*12)*INDEX(Surface_Engine!$F$12:$F$72,$A1117+1)-INDEX(Surface_Engine!$D$12:$D$72,$A1117+1),-(1000*12*INDEX(Surface_Engine!$C$12:$C$72,$A1117+1)/(1+Assumptions!$B$10)^10+INDEX(Surface_Engine!$D$12:$D$72,$A1117+1))))*INDEX(Surface_Engine!$B$12:$B$72,$A1117+1)</f>
        <v>2848.60119044884</v>
      </c>
      <c r="N1118" s="12" t="n">
        <f aca="false">IF(B1118&lt;=0,0,MAX(0,(K1118+Assumptions!$B$29*L1118/INDEX(Surface_Engine!$B$12:$B$72,$A1118+1)-(M1118/INDEX(Surface_Engine!$B$12:$B$72,$A1118+1)-(F1118/INDEX(Surface_Engine!$B$12:$B$72,$A1118+1))))/B1118))</f>
        <v>0</v>
      </c>
    </row>
    <row r="1119" customFormat="false" ht="15" hidden="false" customHeight="true" outlineLevel="0" collapsed="false">
      <c r="A1119" s="1" t="n">
        <v>40</v>
      </c>
      <c r="B1119" s="32" t="n">
        <f aca="false">INDEX(Surface_Engine!$Q$12:$Q$72,$A1119+1)*IF($A1119&lt;$Q$1077,INDEX(Surface_Engine!$E$12:$E$72,$A1119+1),INDEX(Surface_Engine!$E$12:$E$72,$Q$1077+1))</f>
        <v>0.00270104668556041</v>
      </c>
      <c r="C1119" s="32" t="n">
        <f aca="false">INDEX(Panel_Reserving!$F$8:$F$68,$A1119+1)*IF($A1119&lt;$Q$1077,INDEX(Surface_Engine!$E$12:$E$72,$A1119+1),INDEX(Surface_Engine!$E$12:$E$72,$Q$1077+1))</f>
        <v>0.00982552360242706</v>
      </c>
      <c r="D1119" s="32" t="n">
        <f aca="false">INDEX(Surface_Engine!$Q$12:$Q$72,$A1119+1)*IF($A1119&lt;$Q$1077,INDEX(Surface_Engine!$Y$12:$Y$72,$A1119+1),INDEX(Surface_Engine!$Y$12:$Y$72,$Q$1077+1))</f>
        <v>0.00250377967417167</v>
      </c>
      <c r="E1119" s="32" t="n">
        <f aca="false">INDEX(Surface_Engine!$Q$12:$Q$72,$A1119+1)*IF($A1119&lt;$Q$1077,INDEX(Surface_Engine!$Z$12:$Z$72,$A1119+1),INDEX(Surface_Engine!$Z$12:$Z$72,$Q$1077+1))</f>
        <v>0.00291148932955736</v>
      </c>
      <c r="F1119" s="48" t="n">
        <f aca="false">B1119*(IF($A1119&lt;$Q$1077,INDEX(Surface_Engine!$D$12:$D$72,$A1119+1)+(Surface_Engine!G246*12)*INDEX(Surface_Engine!$F$12:$F$72,$A1119+1)-(Surface_Engine!G246*12),1000*12*INDEX(Surface_Engine!$C$12:$C$72,$A1119+1)/(1+Assumptions!$B$10)^10+INDEX(Surface_Engine!$D$12:$D$72,$A1119+1)))*INDEX(Surface_Engine!$B$12:$B$72,$A1119+1)+F1120</f>
        <v>36.0783593108589</v>
      </c>
      <c r="G1119" s="48" t="n">
        <f aca="false">C1119*(IF($A1119&lt;$Q$1077,INDEX(Surface_Engine!$D$12:$D$72,$A1119+1)+(Surface_Engine!G246*12)*INDEX(Surface_Engine!$F$12:$F$72,$A1119+1)-(Surface_Engine!G246*12),1000*12*INDEX(Surface_Engine!$C$12:$C$72,$A1119+1)/(1+Assumptions!$B$10)^10+INDEX(Surface_Engine!$D$12:$D$72,$A1119+1)))*INDEX(Surface_Engine!$B$12:$B$72,$A1119+1)+G1120</f>
        <v>160.231935829638</v>
      </c>
      <c r="H1119" s="48" t="n">
        <f aca="false">D1119*(IF($A1119&lt;$Q$1077,INDEX(Surface_Engine!$D$12:$D$72,$A1119+1)+(Surface_Engine!G246*12)*INDEX(Surface_Engine!$F$12:$F$72,$A1119+1)-(Surface_Engine!G246*12),1000*12*INDEX(Surface_Engine!$C$12:$C$72,$A1119+1)/(1+Assumptions!$B$10)^10+INDEX(Surface_Engine!$D$12:$D$72,$A1119+1)))*INDEX(Surface_Engine!$B$12:$B$72,$A1119+1)+H1120</f>
        <v>33.4434288762575</v>
      </c>
      <c r="I1119" s="48" t="n">
        <f aca="false">E1119*(IF($A1119&lt;$Q$1077,INDEX(Surface_Engine!$D$12:$D$72,$A1119+1)+(Surface_Engine!G246*12)*INDEX(Surface_Engine!$F$12:$F$72,$A1119+1)-(Surface_Engine!G246*12),1000*12*INDEX(Surface_Engine!$C$12:$C$72,$A1119+1)/(1+Assumptions!$B$10)^10+INDEX(Surface_Engine!$D$12:$D$72,$A1119+1)))*INDEX(Surface_Engine!$B$12:$B$72,$A1119+1)+I1120</f>
        <v>38.889279005449</v>
      </c>
      <c r="J1119" s="48" t="n">
        <f aca="false">B1119*(IF($A1119&lt;$Q$1077,INDEX(Surface_Engine!$D$12:$D$72,$A1119+1)*(1+Assumptions!$B$24)+(Surface_Engine!G246*12)*INDEX(Surface_Engine!$F$12:$F$72,$A1119+1)-(Surface_Engine!G246*12),1000*12*INDEX(Surface_Engine!$C$12:$C$72,$A1119+1)/(1+Assumptions!$B$10)^10+INDEX(Surface_Engine!$D$12:$D$72,$A1119+1)*(1+Assumptions!$B$24)))*INDEX(Surface_Engine!$B$12:$B$72,$A1119+1)+J1120</f>
        <v>36.1147268673317</v>
      </c>
      <c r="K1119" s="12" t="n">
        <f aca="false">SQRT((IF(C1119&lt;=0,0,MAX(0,(B1119/C1119)*G1119/INDEX(Surface_Engine!$B$12:$B$72,$A1119+1)-F1119/INDEX(Surface_Engine!$B$12:$B$72,$A1119+1))))^2+(MAX(IF(D1119&lt;=0,0,MAX(0,(B1119/D1119)*H1119/INDEX(Surface_Engine!$B$12:$B$72,$A1119+1)-F1119/INDEX(Surface_Engine!$B$12:$B$72,$A1119+1))),IF(E1119&lt;=0,0,MAX(0,(B1119/E1119)*I1119/INDEX(Surface_Engine!$B$12:$B$72,$A1119+1)-F1119/INDEX(Surface_Engine!$B$12:$B$72,$A1119+1))),IF($A1119&lt;$Q$1077,MAX(0,-Assumptions!$B$22*(F1119/INDEX(Surface_Engine!$B$12:$B$72,$A1119+1))),0)))^2+(MAX(0,J1119/INDEX(Surface_Engine!$B$12:$B$72,$A1119+1)-(F1119/INDEX(Surface_Engine!$B$12:$B$72,$A1119+1))))^2+2*Assumptions!$B$26*(IF(C1119&lt;=0,0,MAX(0,(B1119/C1119)*G1119/INDEX(Surface_Engine!$B$12:$B$72,$A1119+1)-F1119/INDEX(Surface_Engine!$B$12:$B$72,$A1119+1))))*(MAX(IF(D1119&lt;=0,0,MAX(0,(B1119/D1119)*H1119/INDEX(Surface_Engine!$B$12:$B$72,$A1119+1)-F1119/INDEX(Surface_Engine!$B$12:$B$72,$A1119+1))),IF(E1119&lt;=0,0,MAX(0,(B1119/E1119)*I1119/INDEX(Surface_Engine!$B$12:$B$72,$A1119+1)-F1119/INDEX(Surface_Engine!$B$12:$B$72,$A1119+1))),IF($A1119&lt;$Q$1077,MAX(0,-Assumptions!$B$22*(F1119/INDEX(Surface_Engine!$B$12:$B$72,$A1119+1))),0)))+2*Assumptions!$B$27*(IF(C1119&lt;=0,0,MAX(0,(B1119/C1119)*G1119/INDEX(Surface_Engine!$B$12:$B$72,$A1119+1)-F1119/INDEX(Surface_Engine!$B$12:$B$72,$A1119+1))))*(MAX(0,J1119/INDEX(Surface_Engine!$B$12:$B$72,$A1119+1)-(F1119/INDEX(Surface_Engine!$B$12:$B$72,$A1119+1))))+2*Assumptions!$B$28*(MAX(IF(D1119&lt;=0,0,MAX(0,(B1119/D1119)*H1119/INDEX(Surface_Engine!$B$12:$B$72,$A1119+1)-F1119/INDEX(Surface_Engine!$B$12:$B$72,$A1119+1))),IF(E1119&lt;=0,0,MAX(0,(B1119/E1119)*I1119/INDEX(Surface_Engine!$B$12:$B$72,$A1119+1)-F1119/INDEX(Surface_Engine!$B$12:$B$72,$A1119+1))),IF($A1119&lt;$Q$1077,MAX(0,-Assumptions!$B$22*(F1119/INDEX(Surface_Engine!$B$12:$B$72,$A1119+1))),0)))*(MAX(0,J1119/INDEX(Surface_Engine!$B$12:$B$72,$A1119+1)-(F1119/INDEX(Surface_Engine!$B$12:$B$72,$A1119+1)))))</f>
        <v>28.1378135391173</v>
      </c>
      <c r="L1119" s="48" t="n">
        <f aca="false">K1119*INDEX(Surface_Engine!$B$12:$B$72,$A1119+1)+L1120</f>
        <v>16.4709340488792</v>
      </c>
      <c r="M1119" s="48" t="n">
        <f aca="false">M1118+B1118*(IF($A1118&lt;$Q$1077,(Surface_Engine!G246*12)-(Surface_Engine!G246*12)*INDEX(Surface_Engine!$F$12:$F$72,$A1118+1)-INDEX(Surface_Engine!$D$12:$D$72,$A1118+1),-(1000*12*INDEX(Surface_Engine!$C$12:$C$72,$A1118+1)/(1+Assumptions!$B$10)^10+INDEX(Surface_Engine!$D$12:$D$72,$A1118+1))))*INDEX(Surface_Engine!$B$12:$B$72,$A1118+1)</f>
        <v>2819.6123272501</v>
      </c>
      <c r="N1119" s="12" t="n">
        <f aca="false">IF(B1119&lt;=0,0,MAX(0,(K1119+Assumptions!$B$29*L1119/INDEX(Surface_Engine!$B$12:$B$72,$A1119+1)-(M1119/INDEX(Surface_Engine!$B$12:$B$72,$A1119+1)-(F1119/INDEX(Surface_Engine!$B$12:$B$72,$A1119+1))))/B1119))</f>
        <v>0</v>
      </c>
    </row>
    <row r="1120" customFormat="false" ht="15" hidden="false" customHeight="true" outlineLevel="0" collapsed="false">
      <c r="A1120" s="1" t="n">
        <v>41</v>
      </c>
      <c r="B1120" s="32" t="n">
        <f aca="false">INDEX(Surface_Engine!$Q$12:$Q$72,$A1120+1)*IF($A1120&lt;$Q$1077,INDEX(Surface_Engine!$E$12:$E$72,$A1120+1),INDEX(Surface_Engine!$E$12:$E$72,$Q$1077+1))</f>
        <v>0.00151099009056042</v>
      </c>
      <c r="C1120" s="32" t="n">
        <f aca="false">INDEX(Panel_Reserving!$F$8:$F$68,$A1120+1)*IF($A1120&lt;$Q$1077,INDEX(Surface_Engine!$E$12:$E$72,$A1120+1),INDEX(Surface_Engine!$E$12:$E$72,$Q$1077+1))</f>
        <v>0.00636229455869202</v>
      </c>
      <c r="D1120" s="32" t="n">
        <f aca="false">INDEX(Surface_Engine!$Q$12:$Q$72,$A1120+1)*IF($A1120&lt;$Q$1077,INDEX(Surface_Engine!$Y$12:$Y$72,$A1120+1),INDEX(Surface_Engine!$Y$12:$Y$72,$Q$1077+1))</f>
        <v>0.0014006371296152</v>
      </c>
      <c r="E1120" s="32" t="n">
        <f aca="false">INDEX(Surface_Engine!$Q$12:$Q$72,$A1120+1)*IF($A1120&lt;$Q$1077,INDEX(Surface_Engine!$Z$12:$Z$72,$A1120+1),INDEX(Surface_Engine!$Z$12:$Z$72,$Q$1077+1))</f>
        <v>0.00162871362026119</v>
      </c>
      <c r="F1120" s="48" t="n">
        <f aca="false">B1120*(IF($A1120&lt;$Q$1077,INDEX(Surface_Engine!$D$12:$D$72,$A1120+1)+(Surface_Engine!G246*12)*INDEX(Surface_Engine!$F$12:$F$72,$A1120+1)-(Surface_Engine!G246*12),1000*12*INDEX(Surface_Engine!$C$12:$C$72,$A1120+1)/(1+Assumptions!$B$10)^10+INDEX(Surface_Engine!$D$12:$D$72,$A1120+1)))*INDEX(Surface_Engine!$B$12:$B$72,$A1120+1)+F1121</f>
        <v>19.2617179421027</v>
      </c>
      <c r="G1120" s="48" t="n">
        <f aca="false">C1120*(IF($A1120&lt;$Q$1077,INDEX(Surface_Engine!$D$12:$D$72,$A1120+1)+(Surface_Engine!G246*12)*INDEX(Surface_Engine!$F$12:$F$72,$A1120+1)-(Surface_Engine!G246*12),1000*12*INDEX(Surface_Engine!$C$12:$C$72,$A1120+1)/(1+Assumptions!$B$10)^10+INDEX(Surface_Engine!$D$12:$D$72,$A1120+1)))*INDEX(Surface_Engine!$B$12:$B$72,$A1120+1)+G1121</f>
        <v>99.058499781463</v>
      </c>
      <c r="H1120" s="48" t="n">
        <f aca="false">D1120*(IF($A1120&lt;$Q$1077,INDEX(Surface_Engine!$D$12:$D$72,$A1120+1)+(Surface_Engine!G246*12)*INDEX(Surface_Engine!$F$12:$F$72,$A1120+1)-(Surface_Engine!G246*12),1000*12*INDEX(Surface_Engine!$C$12:$C$72,$A1120+1)/(1+Assumptions!$B$10)^10+INDEX(Surface_Engine!$D$12:$D$72,$A1120+1)))*INDEX(Surface_Engine!$B$12:$B$72,$A1120+1)+H1121</f>
        <v>17.8549664213073</v>
      </c>
      <c r="I1120" s="48" t="n">
        <f aca="false">E1120*(IF($A1120&lt;$Q$1077,INDEX(Surface_Engine!$D$12:$D$72,$A1120+1)+(Surface_Engine!G246*12)*INDEX(Surface_Engine!$F$12:$F$72,$A1120+1)-(Surface_Engine!G246*12),1000*12*INDEX(Surface_Engine!$C$12:$C$72,$A1120+1)/(1+Assumptions!$B$10)^10+INDEX(Surface_Engine!$D$12:$D$72,$A1120+1)))*INDEX(Surface_Engine!$B$12:$B$72,$A1120+1)+I1121</f>
        <v>20.7624276015577</v>
      </c>
      <c r="J1120" s="48" t="n">
        <f aca="false">B1120*(IF($A1120&lt;$Q$1077,INDEX(Surface_Engine!$D$12:$D$72,$A1120+1)*(1+Assumptions!$B$24)+(Surface_Engine!G246*12)*INDEX(Surface_Engine!$F$12:$F$72,$A1120+1)-(Surface_Engine!G246*12),1000*12*INDEX(Surface_Engine!$C$12:$C$72,$A1120+1)/(1+Assumptions!$B$10)^10+INDEX(Surface_Engine!$D$12:$D$72,$A1120+1)*(1+Assumptions!$B$24)))*INDEX(Surface_Engine!$B$12:$B$72,$A1120+1)+J1121</f>
        <v>19.2812221298281</v>
      </c>
      <c r="K1120" s="12" t="n">
        <f aca="false">SQRT((IF(C1120&lt;=0,0,MAX(0,(B1120/C1120)*G1120/INDEX(Surface_Engine!$B$12:$B$72,$A1120+1)-F1120/INDEX(Surface_Engine!$B$12:$B$72,$A1120+1))))^2+(MAX(IF(D1120&lt;=0,0,MAX(0,(B1120/D1120)*H1120/INDEX(Surface_Engine!$B$12:$B$72,$A1120+1)-F1120/INDEX(Surface_Engine!$B$12:$B$72,$A1120+1))),IF(E1120&lt;=0,0,MAX(0,(B1120/E1120)*I1120/INDEX(Surface_Engine!$B$12:$B$72,$A1120+1)-F1120/INDEX(Surface_Engine!$B$12:$B$72,$A1120+1))),IF($A1120&lt;$Q$1077,MAX(0,-Assumptions!$B$22*(F1120/INDEX(Surface_Engine!$B$12:$B$72,$A1120+1))),0)))^2+(MAX(0,J1120/INDEX(Surface_Engine!$B$12:$B$72,$A1120+1)-(F1120/INDEX(Surface_Engine!$B$12:$B$72,$A1120+1))))^2+2*Assumptions!$B$26*(IF(C1120&lt;=0,0,MAX(0,(B1120/C1120)*G1120/INDEX(Surface_Engine!$B$12:$B$72,$A1120+1)-F1120/INDEX(Surface_Engine!$B$12:$B$72,$A1120+1))))*(MAX(IF(D1120&lt;=0,0,MAX(0,(B1120/D1120)*H1120/INDEX(Surface_Engine!$B$12:$B$72,$A1120+1)-F1120/INDEX(Surface_Engine!$B$12:$B$72,$A1120+1))),IF(E1120&lt;=0,0,MAX(0,(B1120/E1120)*I1120/INDEX(Surface_Engine!$B$12:$B$72,$A1120+1)-F1120/INDEX(Surface_Engine!$B$12:$B$72,$A1120+1))),IF($A1120&lt;$Q$1077,MAX(0,-Assumptions!$B$22*(F1120/INDEX(Surface_Engine!$B$12:$B$72,$A1120+1))),0)))+2*Assumptions!$B$27*(IF(C1120&lt;=0,0,MAX(0,(B1120/C1120)*G1120/INDEX(Surface_Engine!$B$12:$B$72,$A1120+1)-F1120/INDEX(Surface_Engine!$B$12:$B$72,$A1120+1))))*(MAX(0,J1120/INDEX(Surface_Engine!$B$12:$B$72,$A1120+1)-(F1120/INDEX(Surface_Engine!$B$12:$B$72,$A1120+1))))+2*Assumptions!$B$28*(MAX(IF(D1120&lt;=0,0,MAX(0,(B1120/D1120)*H1120/INDEX(Surface_Engine!$B$12:$B$72,$A1120+1)-F1120/INDEX(Surface_Engine!$B$12:$B$72,$A1120+1))),IF(E1120&lt;=0,0,MAX(0,(B1120/E1120)*I1120/INDEX(Surface_Engine!$B$12:$B$72,$A1120+1)-F1120/INDEX(Surface_Engine!$B$12:$B$72,$A1120+1))),IF($A1120&lt;$Q$1077,MAX(0,-Assumptions!$B$22*(F1120/INDEX(Surface_Engine!$B$12:$B$72,$A1120+1))),0)))*(MAX(0,J1120/INDEX(Surface_Engine!$B$12:$B$72,$A1120+1)-(F1120/INDEX(Surface_Engine!$B$12:$B$72,$A1120+1)))))</f>
        <v>15.5483688198062</v>
      </c>
      <c r="L1120" s="48" t="n">
        <f aca="false">K1120*INDEX(Surface_Engine!$B$12:$B$72,$A1120+1)+L1121</f>
        <v>8.49219749871484</v>
      </c>
      <c r="M1120" s="48" t="n">
        <f aca="false">M1119+B1119*(IF($A1119&lt;$Q$1077,(Surface_Engine!G246*12)-(Surface_Engine!G246*12)*INDEX(Surface_Engine!$F$12:$F$72,$A1119+1)-INDEX(Surface_Engine!$D$12:$D$72,$A1119+1),-(1000*12*INDEX(Surface_Engine!$C$12:$C$72,$A1119+1)/(1+Assumptions!$B$10)^10+INDEX(Surface_Engine!$D$12:$D$72,$A1119+1))))*INDEX(Surface_Engine!$B$12:$B$72,$A1119+1)</f>
        <v>2802.79568588134</v>
      </c>
      <c r="N1120" s="12" t="n">
        <f aca="false">IF(B1120&lt;=0,0,MAX(0,(K1120+Assumptions!$B$29*L1120/INDEX(Surface_Engine!$B$12:$B$72,$A1120+1)-(M1120/INDEX(Surface_Engine!$B$12:$B$72,$A1120+1)-(F1120/INDEX(Surface_Engine!$B$12:$B$72,$A1120+1))))/B1120))</f>
        <v>0</v>
      </c>
    </row>
    <row r="1121" customFormat="false" ht="15" hidden="false" customHeight="true" outlineLevel="0" collapsed="false">
      <c r="A1121" s="1" t="n">
        <v>42</v>
      </c>
      <c r="B1121" s="32" t="n">
        <f aca="false">INDEX(Surface_Engine!$Q$12:$Q$72,$A1121+1)*IF($A1121&lt;$Q$1077,INDEX(Surface_Engine!$E$12:$E$72,$A1121+1),INDEX(Surface_Engine!$E$12:$E$72,$Q$1077+1))</f>
        <v>0.000818596803583804</v>
      </c>
      <c r="C1121" s="32" t="n">
        <f aca="false">INDEX(Panel_Reserving!$F$8:$F$68,$A1121+1)*IF($A1121&lt;$Q$1077,INDEX(Surface_Engine!$E$12:$E$72,$A1121+1),INDEX(Surface_Engine!$E$12:$E$72,$Q$1077+1))</f>
        <v>0.00402993774458619</v>
      </c>
      <c r="D1121" s="32" t="n">
        <f aca="false">INDEX(Surface_Engine!$Q$12:$Q$72,$A1121+1)*IF($A1121&lt;$Q$1077,INDEX(Surface_Engine!$Y$12:$Y$72,$A1121+1),INDEX(Surface_Engine!$Y$12:$Y$72,$Q$1077+1))</f>
        <v>0.000758811778082902</v>
      </c>
      <c r="E1121" s="32" t="n">
        <f aca="false">INDEX(Surface_Engine!$Q$12:$Q$72,$A1121+1)*IF($A1121&lt;$Q$1077,INDEX(Surface_Engine!$Z$12:$Z$72,$A1121+1),INDEX(Surface_Engine!$Z$12:$Z$72,$Q$1077+1))</f>
        <v>0.000882374922131164</v>
      </c>
      <c r="F1121" s="48" t="n">
        <f aca="false">B1121*(IF($A1121&lt;$Q$1077,INDEX(Surface_Engine!$D$12:$D$72,$A1121+1)+(Surface_Engine!G246*12)*INDEX(Surface_Engine!$F$12:$F$72,$A1121+1)-(Surface_Engine!G246*12),1000*12*INDEX(Surface_Engine!$C$12:$C$72,$A1121+1)/(1+Assumptions!$B$10)^10+INDEX(Surface_Engine!$D$12:$D$72,$A1121+1)))*INDEX(Surface_Engine!$B$12:$B$72,$A1121+1)+F1122</f>
        <v>9.97074212913471</v>
      </c>
      <c r="G1121" s="48" t="n">
        <f aca="false">C1121*(IF($A1121&lt;$Q$1077,INDEX(Surface_Engine!$D$12:$D$72,$A1121+1)+(Surface_Engine!G246*12)*INDEX(Surface_Engine!$F$12:$F$72,$A1121+1)-(Surface_Engine!G246*12),1000*12*INDEX(Surface_Engine!$C$12:$C$72,$A1121+1)/(1+Assumptions!$B$10)^10+INDEX(Surface_Engine!$D$12:$D$72,$A1121+1)))*INDEX(Surface_Engine!$B$12:$B$72,$A1121+1)+G1122</f>
        <v>59.9371810983862</v>
      </c>
      <c r="H1121" s="48" t="n">
        <f aca="false">D1121*(IF($A1121&lt;$Q$1077,INDEX(Surface_Engine!$D$12:$D$72,$A1121+1)+(Surface_Engine!G246*12)*INDEX(Surface_Engine!$F$12:$F$72,$A1121+1)-(Surface_Engine!G246*12),1000*12*INDEX(Surface_Engine!$C$12:$C$72,$A1121+1)/(1+Assumptions!$B$10)^10+INDEX(Surface_Engine!$D$12:$D$72,$A1121+1)))*INDEX(Surface_Engine!$B$12:$B$72,$A1121+1)+H1122</f>
        <v>9.24254349722762</v>
      </c>
      <c r="I1121" s="48" t="n">
        <f aca="false">E1121*(IF($A1121&lt;$Q$1077,INDEX(Surface_Engine!$D$12:$D$72,$A1121+1)+(Surface_Engine!G246*12)*INDEX(Surface_Engine!$F$12:$F$72,$A1121+1)-(Surface_Engine!G246*12),1000*12*INDEX(Surface_Engine!$C$12:$C$72,$A1121+1)/(1+Assumptions!$B$10)^10+INDEX(Surface_Engine!$D$12:$D$72,$A1121+1)))*INDEX(Surface_Engine!$B$12:$B$72,$A1121+1)+I1122</f>
        <v>10.7475777712153</v>
      </c>
      <c r="J1121" s="48" t="n">
        <f aca="false">B1121*(IF($A1121&lt;$Q$1077,INDEX(Surface_Engine!$D$12:$D$72,$A1121+1)*(1+Assumptions!$B$24)+(Surface_Engine!G246*12)*INDEX(Surface_Engine!$F$12:$F$72,$A1121+1)-(Surface_Engine!G246*12),1000*12*INDEX(Surface_Engine!$C$12:$C$72,$A1121+1)/(1+Assumptions!$B$10)^10+INDEX(Surface_Engine!$D$12:$D$72,$A1121+1)*(1+Assumptions!$B$24)))*INDEX(Surface_Engine!$B$12:$B$72,$A1121+1)+J1122</f>
        <v>9.9808843144251</v>
      </c>
      <c r="K1121" s="12" t="n">
        <f aca="false">SQRT((IF(C1121&lt;=0,0,MAX(0,(B1121/C1121)*G1121/INDEX(Surface_Engine!$B$12:$B$72,$A1121+1)-F1121/INDEX(Surface_Engine!$B$12:$B$72,$A1121+1))))^2+(MAX(IF(D1121&lt;=0,0,MAX(0,(B1121/D1121)*H1121/INDEX(Surface_Engine!$B$12:$B$72,$A1121+1)-F1121/INDEX(Surface_Engine!$B$12:$B$72,$A1121+1))),IF(E1121&lt;=0,0,MAX(0,(B1121/E1121)*I1121/INDEX(Surface_Engine!$B$12:$B$72,$A1121+1)-F1121/INDEX(Surface_Engine!$B$12:$B$72,$A1121+1))),IF($A1121&lt;$Q$1077,MAX(0,-Assumptions!$B$22*(F1121/INDEX(Surface_Engine!$B$12:$B$72,$A1121+1))),0)))^2+(MAX(0,J1121/INDEX(Surface_Engine!$B$12:$B$72,$A1121+1)-(F1121/INDEX(Surface_Engine!$B$12:$B$72,$A1121+1))))^2+2*Assumptions!$B$26*(IF(C1121&lt;=0,0,MAX(0,(B1121/C1121)*G1121/INDEX(Surface_Engine!$B$12:$B$72,$A1121+1)-F1121/INDEX(Surface_Engine!$B$12:$B$72,$A1121+1))))*(MAX(IF(D1121&lt;=0,0,MAX(0,(B1121/D1121)*H1121/INDEX(Surface_Engine!$B$12:$B$72,$A1121+1)-F1121/INDEX(Surface_Engine!$B$12:$B$72,$A1121+1))),IF(E1121&lt;=0,0,MAX(0,(B1121/E1121)*I1121/INDEX(Surface_Engine!$B$12:$B$72,$A1121+1)-F1121/INDEX(Surface_Engine!$B$12:$B$72,$A1121+1))),IF($A1121&lt;$Q$1077,MAX(0,-Assumptions!$B$22*(F1121/INDEX(Surface_Engine!$B$12:$B$72,$A1121+1))),0)))+2*Assumptions!$B$27*(IF(C1121&lt;=0,0,MAX(0,(B1121/C1121)*G1121/INDEX(Surface_Engine!$B$12:$B$72,$A1121+1)-F1121/INDEX(Surface_Engine!$B$12:$B$72,$A1121+1))))*(MAX(0,J1121/INDEX(Surface_Engine!$B$12:$B$72,$A1121+1)-(F1121/INDEX(Surface_Engine!$B$12:$B$72,$A1121+1))))+2*Assumptions!$B$28*(MAX(IF(D1121&lt;=0,0,MAX(0,(B1121/D1121)*H1121/INDEX(Surface_Engine!$B$12:$B$72,$A1121+1)-F1121/INDEX(Surface_Engine!$B$12:$B$72,$A1121+1))),IF(E1121&lt;=0,0,MAX(0,(B1121/E1121)*I1121/INDEX(Surface_Engine!$B$12:$B$72,$A1121+1)-F1121/INDEX(Surface_Engine!$B$12:$B$72,$A1121+1))),IF($A1121&lt;$Q$1077,MAX(0,-Assumptions!$B$22*(F1121/INDEX(Surface_Engine!$B$12:$B$72,$A1121+1))),0)))*(MAX(0,J1121/INDEX(Surface_Engine!$B$12:$B$72,$A1121+1)-(F1121/INDEX(Surface_Engine!$B$12:$B$72,$A1121+1)))))</f>
        <v>8.2987944803634</v>
      </c>
      <c r="L1121" s="48" t="n">
        <f aca="false">K1121*INDEX(Surface_Engine!$B$12:$B$72,$A1121+1)+L1122</f>
        <v>4.22345818269099</v>
      </c>
      <c r="M1121" s="48" t="n">
        <f aca="false">M1120+B1120*(IF($A1120&lt;$Q$1077,(Surface_Engine!G246*12)-(Surface_Engine!G246*12)*INDEX(Surface_Engine!$F$12:$F$72,$A1120+1)-INDEX(Surface_Engine!$D$12:$D$72,$A1120+1),-(1000*12*INDEX(Surface_Engine!$C$12:$C$72,$A1120+1)/(1+Assumptions!$B$10)^10+INDEX(Surface_Engine!$D$12:$D$72,$A1120+1))))*INDEX(Surface_Engine!$B$12:$B$72,$A1120+1)</f>
        <v>2793.50471006837</v>
      </c>
      <c r="N1121" s="12" t="n">
        <f aca="false">IF(B1121&lt;=0,0,MAX(0,(K1121+Assumptions!$B$29*L1121/INDEX(Surface_Engine!$B$12:$B$72,$A1121+1)-(M1121/INDEX(Surface_Engine!$B$12:$B$72,$A1121+1)-(F1121/INDEX(Surface_Engine!$B$12:$B$72,$A1121+1))))/B1121))</f>
        <v>0</v>
      </c>
    </row>
    <row r="1122" customFormat="false" ht="15" hidden="false" customHeight="true" outlineLevel="0" collapsed="false">
      <c r="A1122" s="1" t="n">
        <v>43</v>
      </c>
      <c r="B1122" s="32" t="n">
        <f aca="false">INDEX(Surface_Engine!$Q$12:$Q$72,$A1122+1)*IF($A1122&lt;$Q$1077,INDEX(Surface_Engine!$E$12:$E$72,$A1122+1),INDEX(Surface_Engine!$E$12:$E$72,$Q$1077+1))</f>
        <v>0.000429097330438914</v>
      </c>
      <c r="C1122" s="32" t="n">
        <f aca="false">INDEX(Panel_Reserving!$F$8:$F$68,$A1122+1)*IF($A1122&lt;$Q$1077,INDEX(Surface_Engine!$E$12:$E$72,$A1122+1),INDEX(Surface_Engine!$E$12:$E$72,$Q$1077+1))</f>
        <v>0.00249593847026596</v>
      </c>
      <c r="D1122" s="32" t="n">
        <f aca="false">INDEX(Surface_Engine!$Q$12:$Q$72,$A1122+1)*IF($A1122&lt;$Q$1077,INDEX(Surface_Engine!$Y$12:$Y$72,$A1122+1),INDEX(Surface_Engine!$Y$12:$Y$72,$Q$1077+1))</f>
        <v>0.000397758831766126</v>
      </c>
      <c r="E1122" s="32" t="n">
        <f aca="false">INDEX(Surface_Engine!$Q$12:$Q$72,$A1122+1)*IF($A1122&lt;$Q$1077,INDEX(Surface_Engine!$Z$12:$Z$72,$A1122+1),INDEX(Surface_Engine!$Z$12:$Z$72,$Q$1077+1))</f>
        <v>0.000462528954272866</v>
      </c>
      <c r="F1122" s="48" t="n">
        <f aca="false">B1122*(IF($A1122&lt;$Q$1077,INDEX(Surface_Engine!$D$12:$D$72,$A1122+1)+(Surface_Engine!G246*12)*INDEX(Surface_Engine!$F$12:$F$72,$A1122+1)-(Surface_Engine!G246*12),1000*12*INDEX(Surface_Engine!$C$12:$C$72,$A1122+1)/(1+Assumptions!$B$10)^10+INDEX(Surface_Engine!$D$12:$D$72,$A1122+1)))*INDEX(Surface_Engine!$B$12:$B$72,$A1122+1)+F1123</f>
        <v>4.99769795383414</v>
      </c>
      <c r="G1122" s="48" t="n">
        <f aca="false">C1122*(IF($A1122&lt;$Q$1077,INDEX(Surface_Engine!$D$12:$D$72,$A1122+1)+(Surface_Engine!G246*12)*INDEX(Surface_Engine!$F$12:$F$72,$A1122+1)-(Surface_Engine!G246*12),1000*12*INDEX(Surface_Engine!$C$12:$C$72,$A1122+1)/(1+Assumptions!$B$10)^10+INDEX(Surface_Engine!$D$12:$D$72,$A1122+1)))*INDEX(Surface_Engine!$B$12:$B$72,$A1122+1)+G1123</f>
        <v>35.4549716152819</v>
      </c>
      <c r="H1122" s="48" t="n">
        <f aca="false">D1122*(IF($A1122&lt;$Q$1077,INDEX(Surface_Engine!$D$12:$D$72,$A1122+1)+(Surface_Engine!G246*12)*INDEX(Surface_Engine!$F$12:$F$72,$A1122+1)-(Surface_Engine!G246*12),1000*12*INDEX(Surface_Engine!$C$12:$C$72,$A1122+1)/(1+Assumptions!$B$10)^10+INDEX(Surface_Engine!$D$12:$D$72,$A1122+1)))*INDEX(Surface_Engine!$B$12:$B$72,$A1122+1)+H1123</f>
        <v>4.63269836147354</v>
      </c>
      <c r="I1122" s="48" t="n">
        <f aca="false">E1122*(IF($A1122&lt;$Q$1077,INDEX(Surface_Engine!$D$12:$D$72,$A1122+1)+(Surface_Engine!G246*12)*INDEX(Surface_Engine!$F$12:$F$72,$A1122+1)-(Surface_Engine!G246*12),1000*12*INDEX(Surface_Engine!$C$12:$C$72,$A1122+1)/(1+Assumptions!$B$10)^10+INDEX(Surface_Engine!$D$12:$D$72,$A1122+1)))*INDEX(Surface_Engine!$B$12:$B$72,$A1122+1)+I1123</f>
        <v>5.3870761815136</v>
      </c>
      <c r="J1122" s="48" t="n">
        <f aca="false">B1122*(IF($A1122&lt;$Q$1077,INDEX(Surface_Engine!$D$12:$D$72,$A1122+1)*(1+Assumptions!$B$24)+(Surface_Engine!G246*12)*INDEX(Surface_Engine!$F$12:$F$72,$A1122+1)-(Surface_Engine!G246*12),1000*12*INDEX(Surface_Engine!$C$12:$C$72,$A1122+1)/(1+Assumptions!$B$10)^10+INDEX(Surface_Engine!$D$12:$D$72,$A1122+1)*(1+Assumptions!$B$24)))*INDEX(Surface_Engine!$B$12:$B$72,$A1122+1)+J1123</f>
        <v>5.00280476226431</v>
      </c>
      <c r="K1122" s="12" t="n">
        <f aca="false">SQRT((IF(C1122&lt;=0,0,MAX(0,(B1122/C1122)*G1122/INDEX(Surface_Engine!$B$12:$B$72,$A1122+1)-F1122/INDEX(Surface_Engine!$B$12:$B$72,$A1122+1))))^2+(MAX(IF(D1122&lt;=0,0,MAX(0,(B1122/D1122)*H1122/INDEX(Surface_Engine!$B$12:$B$72,$A1122+1)-F1122/INDEX(Surface_Engine!$B$12:$B$72,$A1122+1))),IF(E1122&lt;=0,0,MAX(0,(B1122/E1122)*I1122/INDEX(Surface_Engine!$B$12:$B$72,$A1122+1)-F1122/INDEX(Surface_Engine!$B$12:$B$72,$A1122+1))),IF($A1122&lt;$Q$1077,MAX(0,-Assumptions!$B$22*(F1122/INDEX(Surface_Engine!$B$12:$B$72,$A1122+1))),0)))^2+(MAX(0,J1122/INDEX(Surface_Engine!$B$12:$B$72,$A1122+1)-(F1122/INDEX(Surface_Engine!$B$12:$B$72,$A1122+1))))^2+2*Assumptions!$B$26*(IF(C1122&lt;=0,0,MAX(0,(B1122/C1122)*G1122/INDEX(Surface_Engine!$B$12:$B$72,$A1122+1)-F1122/INDEX(Surface_Engine!$B$12:$B$72,$A1122+1))))*(MAX(IF(D1122&lt;=0,0,MAX(0,(B1122/D1122)*H1122/INDEX(Surface_Engine!$B$12:$B$72,$A1122+1)-F1122/INDEX(Surface_Engine!$B$12:$B$72,$A1122+1))),IF(E1122&lt;=0,0,MAX(0,(B1122/E1122)*I1122/INDEX(Surface_Engine!$B$12:$B$72,$A1122+1)-F1122/INDEX(Surface_Engine!$B$12:$B$72,$A1122+1))),IF($A1122&lt;$Q$1077,MAX(0,-Assumptions!$B$22*(F1122/INDEX(Surface_Engine!$B$12:$B$72,$A1122+1))),0)))+2*Assumptions!$B$27*(IF(C1122&lt;=0,0,MAX(0,(B1122/C1122)*G1122/INDEX(Surface_Engine!$B$12:$B$72,$A1122+1)-F1122/INDEX(Surface_Engine!$B$12:$B$72,$A1122+1))))*(MAX(0,J1122/INDEX(Surface_Engine!$B$12:$B$72,$A1122+1)-(F1122/INDEX(Surface_Engine!$B$12:$B$72,$A1122+1))))+2*Assumptions!$B$28*(MAX(IF(D1122&lt;=0,0,MAX(0,(B1122/D1122)*H1122/INDEX(Surface_Engine!$B$12:$B$72,$A1122+1)-F1122/INDEX(Surface_Engine!$B$12:$B$72,$A1122+1))),IF(E1122&lt;=0,0,MAX(0,(B1122/E1122)*I1122/INDEX(Surface_Engine!$B$12:$B$72,$A1122+1)-F1122/INDEX(Surface_Engine!$B$12:$B$72,$A1122+1))),IF($A1122&lt;$Q$1077,MAX(0,-Assumptions!$B$22*(F1122/INDEX(Surface_Engine!$B$12:$B$72,$A1122+1))),0)))*(MAX(0,J1122/INDEX(Surface_Engine!$B$12:$B$72,$A1122+1)-(F1122/INDEX(Surface_Engine!$B$12:$B$72,$A1122+1)))))</f>
        <v>4.26863491739728</v>
      </c>
      <c r="L1122" s="48" t="n">
        <f aca="false">K1122*INDEX(Surface_Engine!$B$12:$B$72,$A1122+1)+L1123</f>
        <v>2.01666951108145</v>
      </c>
      <c r="M1122" s="48" t="n">
        <f aca="false">M1121+B1121*(IF($A1121&lt;$Q$1077,(Surface_Engine!G246*12)-(Surface_Engine!G246*12)*INDEX(Surface_Engine!$F$12:$F$72,$A1121+1)-INDEX(Surface_Engine!$D$12:$D$72,$A1121+1),-(1000*12*INDEX(Surface_Engine!$C$12:$C$72,$A1121+1)/(1+Assumptions!$B$10)^10+INDEX(Surface_Engine!$D$12:$D$72,$A1121+1))))*INDEX(Surface_Engine!$B$12:$B$72,$A1121+1)</f>
        <v>2788.53166589307</v>
      </c>
      <c r="N1122" s="12" t="n">
        <f aca="false">IF(B1122&lt;=0,0,MAX(0,(K1122+Assumptions!$B$29*L1122/INDEX(Surface_Engine!$B$12:$B$72,$A1122+1)-(M1122/INDEX(Surface_Engine!$B$12:$B$72,$A1122+1)-(F1122/INDEX(Surface_Engine!$B$12:$B$72,$A1122+1))))/B1122))</f>
        <v>0</v>
      </c>
    </row>
    <row r="1123" customFormat="false" ht="15" hidden="false" customHeight="true" outlineLevel="0" collapsed="false">
      <c r="A1123" s="1" t="n">
        <v>44</v>
      </c>
      <c r="B1123" s="32" t="n">
        <f aca="false">INDEX(Surface_Engine!$Q$12:$Q$72,$A1123+1)*IF($A1123&lt;$Q$1077,INDEX(Surface_Engine!$E$12:$E$72,$A1123+1),INDEX(Surface_Engine!$E$12:$E$72,$Q$1077+1))</f>
        <v>0.000217439487416208</v>
      </c>
      <c r="C1123" s="32" t="n">
        <f aca="false">INDEX(Panel_Reserving!$F$8:$F$68,$A1123+1)*IF($A1123&lt;$Q$1077,INDEX(Surface_Engine!$E$12:$E$72,$A1123+1),INDEX(Surface_Engine!$E$12:$E$72,$Q$1077+1))</f>
        <v>0.00151101516180628</v>
      </c>
      <c r="D1123" s="32" t="n">
        <f aca="false">INDEX(Surface_Engine!$Q$12:$Q$72,$A1123+1)*IF($A1123&lt;$Q$1077,INDEX(Surface_Engine!$Y$12:$Y$72,$A1123+1),INDEX(Surface_Engine!$Y$12:$Y$72,$Q$1077+1))</f>
        <v>0.000201559111090318</v>
      </c>
      <c r="E1123" s="32" t="n">
        <f aca="false">INDEX(Surface_Engine!$Q$12:$Q$72,$A1123+1)*IF($A1123&lt;$Q$1077,INDEX(Surface_Engine!$Z$12:$Z$72,$A1123+1),INDEX(Surface_Engine!$Z$12:$Z$72,$Q$1077+1))</f>
        <v>0.000234380527675093</v>
      </c>
      <c r="F1123" s="48" t="n">
        <f aca="false">B1123*(IF($A1123&lt;$Q$1077,INDEX(Surface_Engine!$D$12:$D$72,$A1123+1)+(Surface_Engine!G246*12)*INDEX(Surface_Engine!$F$12:$F$72,$A1123+1)-(Surface_Engine!G246*12),1000*12*INDEX(Surface_Engine!$C$12:$C$72,$A1123+1)/(1+Assumptions!$B$10)^10+INDEX(Surface_Engine!$D$12:$D$72,$A1123+1)))*INDEX(Surface_Engine!$B$12:$B$72,$A1123+1)+F1124</f>
        <v>2.42332545354136</v>
      </c>
      <c r="G1123" s="48" t="n">
        <f aca="false">C1123*(IF($A1123&lt;$Q$1077,INDEX(Surface_Engine!$D$12:$D$72,$A1123+1)+(Surface_Engine!G246*12)*INDEX(Surface_Engine!$F$12:$F$72,$A1123+1)-(Surface_Engine!G246*12),1000*12*INDEX(Surface_Engine!$C$12:$C$72,$A1123+1)/(1+Assumptions!$B$10)^10+INDEX(Surface_Engine!$D$12:$D$72,$A1123+1)))*INDEX(Surface_Engine!$B$12:$B$72,$A1123+1)+G1124</f>
        <v>20.4805709269742</v>
      </c>
      <c r="H1123" s="48" t="n">
        <f aca="false">D1123*(IF($A1123&lt;$Q$1077,INDEX(Surface_Engine!$D$12:$D$72,$A1123+1)+(Surface_Engine!G246*12)*INDEX(Surface_Engine!$F$12:$F$72,$A1123+1)-(Surface_Engine!G246*12),1000*12*INDEX(Surface_Engine!$C$12:$C$72,$A1123+1)/(1+Assumptions!$B$10)^10+INDEX(Surface_Engine!$D$12:$D$72,$A1123+1)))*INDEX(Surface_Engine!$B$12:$B$72,$A1123+1)+H1124</f>
        <v>2.2463414079127</v>
      </c>
      <c r="I1123" s="48" t="n">
        <f aca="false">E1123*(IF($A1123&lt;$Q$1077,INDEX(Surface_Engine!$D$12:$D$72,$A1123+1)+(Surface_Engine!G246*12)*INDEX(Surface_Engine!$F$12:$F$72,$A1123+1)-(Surface_Engine!G246*12),1000*12*INDEX(Surface_Engine!$C$12:$C$72,$A1123+1)/(1+Assumptions!$B$10)^10+INDEX(Surface_Engine!$D$12:$D$72,$A1123+1)))*INDEX(Surface_Engine!$B$12:$B$72,$A1123+1)+I1124</f>
        <v>2.61213041512703</v>
      </c>
      <c r="J1123" s="48" t="n">
        <f aca="false">B1123*(IF($A1123&lt;$Q$1077,INDEX(Surface_Engine!$D$12:$D$72,$A1123+1)*(1+Assumptions!$B$24)+(Surface_Engine!G246*12)*INDEX(Surface_Engine!$F$12:$F$72,$A1123+1)-(Surface_Engine!G246*12),1000*12*INDEX(Surface_Engine!$C$12:$C$72,$A1123+1)/(1+Assumptions!$B$10)^10+INDEX(Surface_Engine!$D$12:$D$72,$A1123+1)*(1+Assumptions!$B$24)))*INDEX(Surface_Engine!$B$12:$B$72,$A1123+1)+J1124</f>
        <v>2.42581297436089</v>
      </c>
      <c r="K1123" s="12" t="n">
        <f aca="false">SQRT((IF(C1123&lt;=0,0,MAX(0,(B1123/C1123)*G1123/INDEX(Surface_Engine!$B$12:$B$72,$A1123+1)-F1123/INDEX(Surface_Engine!$B$12:$B$72,$A1123+1))))^2+(MAX(IF(D1123&lt;=0,0,MAX(0,(B1123/D1123)*H1123/INDEX(Surface_Engine!$B$12:$B$72,$A1123+1)-F1123/INDEX(Surface_Engine!$B$12:$B$72,$A1123+1))),IF(E1123&lt;=0,0,MAX(0,(B1123/E1123)*I1123/INDEX(Surface_Engine!$B$12:$B$72,$A1123+1)-F1123/INDEX(Surface_Engine!$B$12:$B$72,$A1123+1))),IF($A1123&lt;$Q$1077,MAX(0,-Assumptions!$B$22*(F1123/INDEX(Surface_Engine!$B$12:$B$72,$A1123+1))),0)))^2+(MAX(0,J1123/INDEX(Surface_Engine!$B$12:$B$72,$A1123+1)-(F1123/INDEX(Surface_Engine!$B$12:$B$72,$A1123+1))))^2+2*Assumptions!$B$26*(IF(C1123&lt;=0,0,MAX(0,(B1123/C1123)*G1123/INDEX(Surface_Engine!$B$12:$B$72,$A1123+1)-F1123/INDEX(Surface_Engine!$B$12:$B$72,$A1123+1))))*(MAX(IF(D1123&lt;=0,0,MAX(0,(B1123/D1123)*H1123/INDEX(Surface_Engine!$B$12:$B$72,$A1123+1)-F1123/INDEX(Surface_Engine!$B$12:$B$72,$A1123+1))),IF(E1123&lt;=0,0,MAX(0,(B1123/E1123)*I1123/INDEX(Surface_Engine!$B$12:$B$72,$A1123+1)-F1123/INDEX(Surface_Engine!$B$12:$B$72,$A1123+1))),IF($A1123&lt;$Q$1077,MAX(0,-Assumptions!$B$22*(F1123/INDEX(Surface_Engine!$B$12:$B$72,$A1123+1))),0)))+2*Assumptions!$B$27*(IF(C1123&lt;=0,0,MAX(0,(B1123/C1123)*G1123/INDEX(Surface_Engine!$B$12:$B$72,$A1123+1)-F1123/INDEX(Surface_Engine!$B$12:$B$72,$A1123+1))))*(MAX(0,J1123/INDEX(Surface_Engine!$B$12:$B$72,$A1123+1)-(F1123/INDEX(Surface_Engine!$B$12:$B$72,$A1123+1))))+2*Assumptions!$B$28*(MAX(IF(D1123&lt;=0,0,MAX(0,(B1123/D1123)*H1123/INDEX(Surface_Engine!$B$12:$B$72,$A1123+1)-F1123/INDEX(Surface_Engine!$B$12:$B$72,$A1123+1))),IF(E1123&lt;=0,0,MAX(0,(B1123/E1123)*I1123/INDEX(Surface_Engine!$B$12:$B$72,$A1123+1)-F1123/INDEX(Surface_Engine!$B$12:$B$72,$A1123+1))),IF($A1123&lt;$Q$1077,MAX(0,-Assumptions!$B$22*(F1123/INDEX(Surface_Engine!$B$12:$B$72,$A1123+1))),0)))*(MAX(0,J1123/INDEX(Surface_Engine!$B$12:$B$72,$A1123+1)-(F1123/INDEX(Surface_Engine!$B$12:$B$72,$A1123+1)))))</f>
        <v>2.10359139193935</v>
      </c>
      <c r="L1123" s="48" t="n">
        <f aca="false">K1123*INDEX(Surface_Engine!$B$12:$B$72,$A1123+1)+L1124</f>
        <v>0.917723582365208</v>
      </c>
      <c r="M1123" s="48" t="n">
        <f aca="false">M1122+B1122*(IF($A1122&lt;$Q$1077,(Surface_Engine!G246*12)-(Surface_Engine!G246*12)*INDEX(Surface_Engine!$F$12:$F$72,$A1122+1)-INDEX(Surface_Engine!$D$12:$D$72,$A1122+1),-(1000*12*INDEX(Surface_Engine!$C$12:$C$72,$A1122+1)/(1+Assumptions!$B$10)^10+INDEX(Surface_Engine!$D$12:$D$72,$A1122+1))))*INDEX(Surface_Engine!$B$12:$B$72,$A1122+1)</f>
        <v>2785.95729339278</v>
      </c>
      <c r="N1123" s="12" t="n">
        <f aca="false">IF(B1123&lt;=0,0,MAX(0,(K1123+Assumptions!$B$29*L1123/INDEX(Surface_Engine!$B$12:$B$72,$A1123+1)-(M1123/INDEX(Surface_Engine!$B$12:$B$72,$A1123+1)-(F1123/INDEX(Surface_Engine!$B$12:$B$72,$A1123+1))))/B1123))</f>
        <v>0</v>
      </c>
    </row>
    <row r="1124" customFormat="false" ht="15" hidden="false" customHeight="true" outlineLevel="0" collapsed="false">
      <c r="A1124" s="1" t="n">
        <v>45</v>
      </c>
      <c r="B1124" s="32" t="n">
        <f aca="false">INDEX(Surface_Engine!$Q$12:$Q$72,$A1124+1)*IF($A1124&lt;$Q$1077,INDEX(Surface_Engine!$E$12:$E$72,$A1124+1),INDEX(Surface_Engine!$E$12:$E$72,$Q$1077+1))</f>
        <v>0.00010642909802879</v>
      </c>
      <c r="C1124" s="32" t="n">
        <f aca="false">INDEX(Panel_Reserving!$F$8:$F$68,$A1124+1)*IF($A1124&lt;$Q$1077,INDEX(Surface_Engine!$E$12:$E$72,$A1124+1),INDEX(Surface_Engine!$E$12:$E$72,$Q$1077+1))</f>
        <v>0.000893874702267451</v>
      </c>
      <c r="D1124" s="32" t="n">
        <f aca="false">INDEX(Surface_Engine!$Q$12:$Q$72,$A1124+1)*IF($A1124&lt;$Q$1077,INDEX(Surface_Engine!$Y$12:$Y$72,$A1124+1),INDEX(Surface_Engine!$Y$12:$Y$72,$Q$1077+1))</f>
        <v>9.86562038373724E-005</v>
      </c>
      <c r="E1124" s="32" t="n">
        <f aca="false">INDEX(Surface_Engine!$Q$12:$Q$72,$A1124+1)*IF($A1124&lt;$Q$1077,INDEX(Surface_Engine!$Z$12:$Z$72,$A1124+1),INDEX(Surface_Engine!$Z$12:$Z$72,$Q$1077+1))</f>
        <v>0.000114721150479094</v>
      </c>
      <c r="F1124" s="48" t="n">
        <f aca="false">B1124*(IF($A1124&lt;$Q$1077,INDEX(Surface_Engine!$D$12:$D$72,$A1124+1)+(Surface_Engine!G246*12)*INDEX(Surface_Engine!$F$12:$F$72,$A1124+1)-(Surface_Engine!G246*12),1000*12*INDEX(Surface_Engine!$C$12:$C$72,$A1124+1)/(1+Assumptions!$B$10)^10+INDEX(Surface_Engine!$D$12:$D$72,$A1124+1)))*INDEX(Surface_Engine!$B$12:$B$72,$A1124+1)+F1125</f>
        <v>1.13452487233929</v>
      </c>
      <c r="G1124" s="48" t="n">
        <f aca="false">C1124*(IF($A1124&lt;$Q$1077,INDEX(Surface_Engine!$D$12:$D$72,$A1124+1)+(Surface_Engine!G246*12)*INDEX(Surface_Engine!$F$12:$F$72,$A1124+1)-(Surface_Engine!G246*12),1000*12*INDEX(Surface_Engine!$C$12:$C$72,$A1124+1)/(1+Assumptions!$B$10)^10+INDEX(Surface_Engine!$D$12:$D$72,$A1124+1)))*INDEX(Surface_Engine!$B$12:$B$72,$A1124+1)+G1125</f>
        <v>11.5245287568898</v>
      </c>
      <c r="H1124" s="48" t="n">
        <f aca="false">D1124*(IF($A1124&lt;$Q$1077,INDEX(Surface_Engine!$D$12:$D$72,$A1124+1)+(Surface_Engine!G246*12)*INDEX(Surface_Engine!$F$12:$F$72,$A1124+1)-(Surface_Engine!G246*12),1000*12*INDEX(Surface_Engine!$C$12:$C$72,$A1124+1)/(1+Assumptions!$B$10)^10+INDEX(Surface_Engine!$D$12:$D$72,$A1124+1)))*INDEX(Surface_Engine!$B$12:$B$72,$A1124+1)+H1125</f>
        <v>1.05166650039444</v>
      </c>
      <c r="I1124" s="48" t="n">
        <f aca="false">E1124*(IF($A1124&lt;$Q$1077,INDEX(Surface_Engine!$D$12:$D$72,$A1124+1)+(Surface_Engine!G246*12)*INDEX(Surface_Engine!$F$12:$F$72,$A1124+1)-(Surface_Engine!G246*12),1000*12*INDEX(Surface_Engine!$C$12:$C$72,$A1124+1)/(1+Assumptions!$B$10)^10+INDEX(Surface_Engine!$D$12:$D$72,$A1124+1)))*INDEX(Surface_Engine!$B$12:$B$72,$A1124+1)+I1125</f>
        <v>1.22291742589704</v>
      </c>
      <c r="J1124" s="48" t="n">
        <f aca="false">B1124*(IF($A1124&lt;$Q$1077,INDEX(Surface_Engine!$D$12:$D$72,$A1124+1)*(1+Assumptions!$B$24)+(Surface_Engine!G246*12)*INDEX(Surface_Engine!$F$12:$F$72,$A1124+1)-(Surface_Engine!G246*12),1000*12*INDEX(Surface_Engine!$C$12:$C$72,$A1124+1)/(1+Assumptions!$B$10)^10+INDEX(Surface_Engine!$D$12:$D$72,$A1124+1)*(1+Assumptions!$B$24)))*INDEX(Surface_Engine!$B$12:$B$72,$A1124+1)+J1125</f>
        <v>1.13569474470067</v>
      </c>
      <c r="K1124" s="12" t="n">
        <f aca="false">SQRT((IF(C1124&lt;=0,0,MAX(0,(B1124/C1124)*G1124/INDEX(Surface_Engine!$B$12:$B$72,$A1124+1)-F1124/INDEX(Surface_Engine!$B$12:$B$72,$A1124+1))))^2+(MAX(IF(D1124&lt;=0,0,MAX(0,(B1124/D1124)*H1124/INDEX(Surface_Engine!$B$12:$B$72,$A1124+1)-F1124/INDEX(Surface_Engine!$B$12:$B$72,$A1124+1))),IF(E1124&lt;=0,0,MAX(0,(B1124/E1124)*I1124/INDEX(Surface_Engine!$B$12:$B$72,$A1124+1)-F1124/INDEX(Surface_Engine!$B$12:$B$72,$A1124+1))),IF($A1124&lt;$Q$1077,MAX(0,-Assumptions!$B$22*(F1124/INDEX(Surface_Engine!$B$12:$B$72,$A1124+1))),0)))^2+(MAX(0,J1124/INDEX(Surface_Engine!$B$12:$B$72,$A1124+1)-(F1124/INDEX(Surface_Engine!$B$12:$B$72,$A1124+1))))^2+2*Assumptions!$B$26*(IF(C1124&lt;=0,0,MAX(0,(B1124/C1124)*G1124/INDEX(Surface_Engine!$B$12:$B$72,$A1124+1)-F1124/INDEX(Surface_Engine!$B$12:$B$72,$A1124+1))))*(MAX(IF(D1124&lt;=0,0,MAX(0,(B1124/D1124)*H1124/INDEX(Surface_Engine!$B$12:$B$72,$A1124+1)-F1124/INDEX(Surface_Engine!$B$12:$B$72,$A1124+1))),IF(E1124&lt;=0,0,MAX(0,(B1124/E1124)*I1124/INDEX(Surface_Engine!$B$12:$B$72,$A1124+1)-F1124/INDEX(Surface_Engine!$B$12:$B$72,$A1124+1))),IF($A1124&lt;$Q$1077,MAX(0,-Assumptions!$B$22*(F1124/INDEX(Surface_Engine!$B$12:$B$72,$A1124+1))),0)))+2*Assumptions!$B$27*(IF(C1124&lt;=0,0,MAX(0,(B1124/C1124)*G1124/INDEX(Surface_Engine!$B$12:$B$72,$A1124+1)-F1124/INDEX(Surface_Engine!$B$12:$B$72,$A1124+1))))*(MAX(0,J1124/INDEX(Surface_Engine!$B$12:$B$72,$A1124+1)-(F1124/INDEX(Surface_Engine!$B$12:$B$72,$A1124+1))))+2*Assumptions!$B$28*(MAX(IF(D1124&lt;=0,0,MAX(0,(B1124/D1124)*H1124/INDEX(Surface_Engine!$B$12:$B$72,$A1124+1)-F1124/INDEX(Surface_Engine!$B$12:$B$72,$A1124+1))),IF(E1124&lt;=0,0,MAX(0,(B1124/E1124)*I1124/INDEX(Surface_Engine!$B$12:$B$72,$A1124+1)-F1124/INDEX(Surface_Engine!$B$12:$B$72,$A1124+1))),IF($A1124&lt;$Q$1077,MAX(0,-Assumptions!$B$22*(F1124/INDEX(Surface_Engine!$B$12:$B$72,$A1124+1))),0)))*(MAX(0,J1124/INDEX(Surface_Engine!$B$12:$B$72,$A1124+1)-(F1124/INDEX(Surface_Engine!$B$12:$B$72,$A1124+1)))))</f>
        <v>0.985718321906478</v>
      </c>
      <c r="L1124" s="48" t="n">
        <f aca="false">K1124*INDEX(Surface_Engine!$B$12:$B$72,$A1124+1)+L1125</f>
        <v>0.393207754664196</v>
      </c>
      <c r="M1124" s="48" t="n">
        <f aca="false">M1123+B1123*(IF($A1123&lt;$Q$1077,(Surface_Engine!G246*12)-(Surface_Engine!G246*12)*INDEX(Surface_Engine!$F$12:$F$72,$A1123+1)-INDEX(Surface_Engine!$D$12:$D$72,$A1123+1),-(1000*12*INDEX(Surface_Engine!$C$12:$C$72,$A1123+1)/(1+Assumptions!$B$10)^10+INDEX(Surface_Engine!$D$12:$D$72,$A1123+1))))*INDEX(Surface_Engine!$B$12:$B$72,$A1123+1)</f>
        <v>2784.66849281158</v>
      </c>
      <c r="N1124" s="12" t="n">
        <f aca="false">IF(B1124&lt;=0,0,MAX(0,(K1124+Assumptions!$B$29*L1124/INDEX(Surface_Engine!$B$12:$B$72,$A1124+1)-(M1124/INDEX(Surface_Engine!$B$12:$B$72,$A1124+1)-(F1124/INDEX(Surface_Engine!$B$12:$B$72,$A1124+1))))/B1124))</f>
        <v>0</v>
      </c>
    </row>
    <row r="1125" customFormat="false" ht="15" hidden="false" customHeight="true" outlineLevel="0" collapsed="false">
      <c r="A1125" s="1" t="n">
        <v>46</v>
      </c>
      <c r="B1125" s="32" t="n">
        <f aca="false">INDEX(Surface_Engine!$Q$12:$Q$72,$A1125+1)*IF($A1125&lt;$Q$1077,INDEX(Surface_Engine!$E$12:$E$72,$A1125+1),INDEX(Surface_Engine!$E$12:$E$72,$Q$1077+1))</f>
        <v>5.0279282179838E-005</v>
      </c>
      <c r="C1125" s="32" t="n">
        <f aca="false">INDEX(Panel_Reserving!$F$8:$F$68,$A1125+1)*IF($A1125&lt;$Q$1077,INDEX(Surface_Engine!$E$12:$E$72,$A1125+1),INDEX(Surface_Engine!$E$12:$E$72,$Q$1077+1))</f>
        <v>0.00051660269035374</v>
      </c>
      <c r="D1125" s="32" t="n">
        <f aca="false">INDEX(Surface_Engine!$Q$12:$Q$72,$A1125+1)*IF($A1125&lt;$Q$1077,INDEX(Surface_Engine!$Y$12:$Y$72,$A1125+1),INDEX(Surface_Engine!$Y$12:$Y$72,$Q$1077+1))</f>
        <v>4.66072080230264E-005</v>
      </c>
      <c r="E1125" s="32" t="n">
        <f aca="false">INDEX(Surface_Engine!$Q$12:$Q$72,$A1125+1)*IF($A1125&lt;$Q$1077,INDEX(Surface_Engine!$Z$12:$Z$72,$A1125+1),INDEX(Surface_Engine!$Z$12:$Z$72,$Q$1077+1))</f>
        <v>5.41966173139393E-005</v>
      </c>
      <c r="F1125" s="48" t="n">
        <f aca="false">B1125*(IF($A1125&lt;$Q$1077,INDEX(Surface_Engine!$D$12:$D$72,$A1125+1)+(Surface_Engine!G246*12)*INDEX(Surface_Engine!$F$12:$F$72,$A1125+1)-(Surface_Engine!G246*12),1000*12*INDEX(Surface_Engine!$C$12:$C$72,$A1125+1)/(1+Assumptions!$B$10)^10+INDEX(Surface_Engine!$D$12:$D$72,$A1125+1)))*INDEX(Surface_Engine!$B$12:$B$72,$A1125+1)+F1126</f>
        <v>0.5115912734559</v>
      </c>
      <c r="G1125" s="48" t="n">
        <f aca="false">C1125*(IF($A1125&lt;$Q$1077,INDEX(Surface_Engine!$D$12:$D$72,$A1125+1)+(Surface_Engine!G246*12)*INDEX(Surface_Engine!$F$12:$F$72,$A1125+1)-(Surface_Engine!G246*12),1000*12*INDEX(Surface_Engine!$C$12:$C$72,$A1125+1)/(1+Assumptions!$B$10)^10+INDEX(Surface_Engine!$D$12:$D$72,$A1125+1)))*INDEX(Surface_Engine!$B$12:$B$72,$A1125+1)+G1126</f>
        <v>6.29264578928581</v>
      </c>
      <c r="H1125" s="48" t="n">
        <f aca="false">D1125*(IF($A1125&lt;$Q$1077,INDEX(Surface_Engine!$D$12:$D$72,$A1125+1)+(Surface_Engine!G246*12)*INDEX(Surface_Engine!$F$12:$F$72,$A1125+1)-(Surface_Engine!G246*12),1000*12*INDEX(Surface_Engine!$C$12:$C$72,$A1125+1)/(1+Assumptions!$B$10)^10+INDEX(Surface_Engine!$D$12:$D$72,$A1125+1)))*INDEX(Surface_Engine!$B$12:$B$72,$A1125+1)+H1126</f>
        <v>0.47422794978337</v>
      </c>
      <c r="I1125" s="48" t="n">
        <f aca="false">E1125*(IF($A1125&lt;$Q$1077,INDEX(Surface_Engine!$D$12:$D$72,$A1125+1)+(Surface_Engine!G246*12)*INDEX(Surface_Engine!$F$12:$F$72,$A1125+1)-(Surface_Engine!G246*12),1000*12*INDEX(Surface_Engine!$C$12:$C$72,$A1125+1)/(1+Assumptions!$B$10)^10+INDEX(Surface_Engine!$D$12:$D$72,$A1125+1)))*INDEX(Surface_Engine!$B$12:$B$72,$A1125+1)+I1126</f>
        <v>0.551450125510317</v>
      </c>
      <c r="J1125" s="48" t="n">
        <f aca="false">B1125*(IF($A1125&lt;$Q$1077,INDEX(Surface_Engine!$D$12:$D$72,$A1125+1)*(1+Assumptions!$B$24)+(Surface_Engine!G246*12)*INDEX(Surface_Engine!$F$12:$F$72,$A1125+1)-(Surface_Engine!G246*12),1000*12*INDEX(Surface_Engine!$C$12:$C$72,$A1125+1)/(1+Assumptions!$B$10)^10+INDEX(Surface_Engine!$D$12:$D$72,$A1125+1)*(1+Assumptions!$B$24)))*INDEX(Surface_Engine!$B$12:$B$72,$A1125+1)+J1126</f>
        <v>0.512121178906637</v>
      </c>
      <c r="K1125" s="12" t="n">
        <f aca="false">SQRT((IF(C1125&lt;=0,0,MAX(0,(B1125/C1125)*G1125/INDEX(Surface_Engine!$B$12:$B$72,$A1125+1)-F1125/INDEX(Surface_Engine!$B$12:$B$72,$A1125+1))))^2+(MAX(IF(D1125&lt;=0,0,MAX(0,(B1125/D1125)*H1125/INDEX(Surface_Engine!$B$12:$B$72,$A1125+1)-F1125/INDEX(Surface_Engine!$B$12:$B$72,$A1125+1))),IF(E1125&lt;=0,0,MAX(0,(B1125/E1125)*I1125/INDEX(Surface_Engine!$B$12:$B$72,$A1125+1)-F1125/INDEX(Surface_Engine!$B$12:$B$72,$A1125+1))),IF($A1125&lt;$Q$1077,MAX(0,-Assumptions!$B$22*(F1125/INDEX(Surface_Engine!$B$12:$B$72,$A1125+1))),0)))^2+(MAX(0,J1125/INDEX(Surface_Engine!$B$12:$B$72,$A1125+1)-(F1125/INDEX(Surface_Engine!$B$12:$B$72,$A1125+1))))^2+2*Assumptions!$B$26*(IF(C1125&lt;=0,0,MAX(0,(B1125/C1125)*G1125/INDEX(Surface_Engine!$B$12:$B$72,$A1125+1)-F1125/INDEX(Surface_Engine!$B$12:$B$72,$A1125+1))))*(MAX(IF(D1125&lt;=0,0,MAX(0,(B1125/D1125)*H1125/INDEX(Surface_Engine!$B$12:$B$72,$A1125+1)-F1125/INDEX(Surface_Engine!$B$12:$B$72,$A1125+1))),IF(E1125&lt;=0,0,MAX(0,(B1125/E1125)*I1125/INDEX(Surface_Engine!$B$12:$B$72,$A1125+1)-F1125/INDEX(Surface_Engine!$B$12:$B$72,$A1125+1))),IF($A1125&lt;$Q$1077,MAX(0,-Assumptions!$B$22*(F1125/INDEX(Surface_Engine!$B$12:$B$72,$A1125+1))),0)))+2*Assumptions!$B$27*(IF(C1125&lt;=0,0,MAX(0,(B1125/C1125)*G1125/INDEX(Surface_Engine!$B$12:$B$72,$A1125+1)-F1125/INDEX(Surface_Engine!$B$12:$B$72,$A1125+1))))*(MAX(0,J1125/INDEX(Surface_Engine!$B$12:$B$72,$A1125+1)-(F1125/INDEX(Surface_Engine!$B$12:$B$72,$A1125+1))))+2*Assumptions!$B$28*(MAX(IF(D1125&lt;=0,0,MAX(0,(B1125/D1125)*H1125/INDEX(Surface_Engine!$B$12:$B$72,$A1125+1)-F1125/INDEX(Surface_Engine!$B$12:$B$72,$A1125+1))),IF(E1125&lt;=0,0,MAX(0,(B1125/E1125)*I1125/INDEX(Surface_Engine!$B$12:$B$72,$A1125+1)-F1125/INDEX(Surface_Engine!$B$12:$B$72,$A1125+1))),IF($A1125&lt;$Q$1077,MAX(0,-Assumptions!$B$22*(F1125/INDEX(Surface_Engine!$B$12:$B$72,$A1125+1))),0)))*(MAX(0,J1125/INDEX(Surface_Engine!$B$12:$B$72,$A1125+1)-(F1125/INDEX(Surface_Engine!$B$12:$B$72,$A1125+1)))))</f>
        <v>0.431977310224391</v>
      </c>
      <c r="L1125" s="48" t="n">
        <f aca="false">K1125*INDEX(Surface_Engine!$B$12:$B$72,$A1125+1)+L1126</f>
        <v>0.155270650376943</v>
      </c>
      <c r="M1125" s="48" t="n">
        <f aca="false">M1124+B1124*(IF($A1124&lt;$Q$1077,(Surface_Engine!G246*12)-(Surface_Engine!G246*12)*INDEX(Surface_Engine!$F$12:$F$72,$A1124+1)-INDEX(Surface_Engine!$D$12:$D$72,$A1124+1),-(1000*12*INDEX(Surface_Engine!$C$12:$C$72,$A1124+1)/(1+Assumptions!$B$10)^10+INDEX(Surface_Engine!$D$12:$D$72,$A1124+1))))*INDEX(Surface_Engine!$B$12:$B$72,$A1124+1)</f>
        <v>2784.04555921269</v>
      </c>
      <c r="N1125" s="12" t="n">
        <f aca="false">IF(B1125&lt;=0,0,MAX(0,(K1125+Assumptions!$B$29*L1125/INDEX(Surface_Engine!$B$12:$B$72,$A1125+1)-(M1125/INDEX(Surface_Engine!$B$12:$B$72,$A1125+1)-(F1125/INDEX(Surface_Engine!$B$12:$B$72,$A1125+1))))/B1125))</f>
        <v>0</v>
      </c>
    </row>
    <row r="1126" customFormat="false" ht="15" hidden="false" customHeight="true" outlineLevel="0" collapsed="false">
      <c r="A1126" s="1" t="n">
        <v>47</v>
      </c>
      <c r="B1126" s="32" t="n">
        <f aca="false">INDEX(Surface_Engine!$Q$12:$Q$72,$A1126+1)*IF($A1126&lt;$Q$1077,INDEX(Surface_Engine!$E$12:$E$72,$A1126+1),INDEX(Surface_Engine!$E$12:$E$72,$Q$1077+1))</f>
        <v>2.29096410501044E-005</v>
      </c>
      <c r="C1126" s="32" t="n">
        <f aca="false">INDEX(Panel_Reserving!$F$8:$F$68,$A1126+1)*IF($A1126&lt;$Q$1077,INDEX(Surface_Engine!$E$12:$E$72,$A1126+1),INDEX(Surface_Engine!$E$12:$E$72,$Q$1077+1))</f>
        <v>0.000291631614735535</v>
      </c>
      <c r="D1126" s="32" t="n">
        <f aca="false">INDEX(Surface_Engine!$Q$12:$Q$72,$A1126+1)*IF($A1126&lt;$Q$1077,INDEX(Surface_Engine!$Y$12:$Y$72,$A1126+1),INDEX(Surface_Engine!$Y$12:$Y$72,$Q$1077+1))</f>
        <v>2.12364687772581E-005</v>
      </c>
      <c r="E1126" s="32" t="n">
        <f aca="false">INDEX(Surface_Engine!$Q$12:$Q$72,$A1126+1)*IF($A1126&lt;$Q$1077,INDEX(Surface_Engine!$Z$12:$Z$72,$A1126+1),INDEX(Surface_Engine!$Z$12:$Z$72,$Q$1077+1))</f>
        <v>2.46945659317729E-005</v>
      </c>
      <c r="F1126" s="48" t="n">
        <f aca="false">B1126*(IF($A1126&lt;$Q$1077,INDEX(Surface_Engine!$D$12:$D$72,$A1126+1)+(Surface_Engine!G246*12)*INDEX(Surface_Engine!$F$12:$F$72,$A1126+1)-(Surface_Engine!G246*12),1000*12*INDEX(Surface_Engine!$C$12:$C$72,$A1126+1)/(1+Assumptions!$B$10)^10+INDEX(Surface_Engine!$D$12:$D$72,$A1126+1)))*INDEX(Surface_Engine!$B$12:$B$72,$A1126+1)+F1127</f>
        <v>0.220866961003342</v>
      </c>
      <c r="G1126" s="48" t="n">
        <f aca="false">C1126*(IF($A1126&lt;$Q$1077,INDEX(Surface_Engine!$D$12:$D$72,$A1126+1)+(Surface_Engine!G246*12)*INDEX(Surface_Engine!$F$12:$F$72,$A1126+1)-(Surface_Engine!G246*12),1000*12*INDEX(Surface_Engine!$C$12:$C$72,$A1126+1)/(1+Assumptions!$B$10)^10+INDEX(Surface_Engine!$D$12:$D$72,$A1126+1)))*INDEX(Surface_Engine!$B$12:$B$72,$A1126+1)+G1127</f>
        <v>3.30555139467931</v>
      </c>
      <c r="H1126" s="48" t="n">
        <f aca="false">D1126*(IF($A1126&lt;$Q$1077,INDEX(Surface_Engine!$D$12:$D$72,$A1126+1)+(Surface_Engine!G246*12)*INDEX(Surface_Engine!$F$12:$F$72,$A1126+1)-(Surface_Engine!G246*12),1000*12*INDEX(Surface_Engine!$C$12:$C$72,$A1126+1)/(1+Assumptions!$B$10)^10+INDEX(Surface_Engine!$D$12:$D$72,$A1126+1)))*INDEX(Surface_Engine!$B$12:$B$72,$A1126+1)+H1127</f>
        <v>0.204736264135138</v>
      </c>
      <c r="I1126" s="48" t="n">
        <f aca="false">E1126*(IF($A1126&lt;$Q$1077,INDEX(Surface_Engine!$D$12:$D$72,$A1126+1)+(Surface_Engine!G246*12)*INDEX(Surface_Engine!$F$12:$F$72,$A1126+1)-(Surface_Engine!G246*12),1000*12*INDEX(Surface_Engine!$C$12:$C$72,$A1126+1)/(1+Assumptions!$B$10)^10+INDEX(Surface_Engine!$D$12:$D$72,$A1126+1)))*INDEX(Surface_Engine!$B$12:$B$72,$A1126+1)+I1127</f>
        <v>0.238075040927911</v>
      </c>
      <c r="J1126" s="48" t="n">
        <f aca="false">B1126*(IF($A1126&lt;$Q$1077,INDEX(Surface_Engine!$D$12:$D$72,$A1126+1)*(1+Assumptions!$B$24)+(Surface_Engine!G246*12)*INDEX(Surface_Engine!$F$12:$F$72,$A1126+1)-(Surface_Engine!G246*12),1000*12*INDEX(Surface_Engine!$C$12:$C$72,$A1126+1)/(1+Assumptions!$B$10)^10+INDEX(Surface_Engine!$D$12:$D$72,$A1126+1)*(1+Assumptions!$B$24)))*INDEX(Surface_Engine!$B$12:$B$72,$A1126+1)+J1127</f>
        <v>0.221096743689124</v>
      </c>
      <c r="K1126" s="12" t="n">
        <f aca="false">SQRT((IF(C1126&lt;=0,0,MAX(0,(B1126/C1126)*G1126/INDEX(Surface_Engine!$B$12:$B$72,$A1126+1)-F1126/INDEX(Surface_Engine!$B$12:$B$72,$A1126+1))))^2+(MAX(IF(D1126&lt;=0,0,MAX(0,(B1126/D1126)*H1126/INDEX(Surface_Engine!$B$12:$B$72,$A1126+1)-F1126/INDEX(Surface_Engine!$B$12:$B$72,$A1126+1))),IF(E1126&lt;=0,0,MAX(0,(B1126/E1126)*I1126/INDEX(Surface_Engine!$B$12:$B$72,$A1126+1)-F1126/INDEX(Surface_Engine!$B$12:$B$72,$A1126+1))),IF($A1126&lt;$Q$1077,MAX(0,-Assumptions!$B$22*(F1126/INDEX(Surface_Engine!$B$12:$B$72,$A1126+1))),0)))^2+(MAX(0,J1126/INDEX(Surface_Engine!$B$12:$B$72,$A1126+1)-(F1126/INDEX(Surface_Engine!$B$12:$B$72,$A1126+1))))^2+2*Assumptions!$B$26*(IF(C1126&lt;=0,0,MAX(0,(B1126/C1126)*G1126/INDEX(Surface_Engine!$B$12:$B$72,$A1126+1)-F1126/INDEX(Surface_Engine!$B$12:$B$72,$A1126+1))))*(MAX(IF(D1126&lt;=0,0,MAX(0,(B1126/D1126)*H1126/INDEX(Surface_Engine!$B$12:$B$72,$A1126+1)-F1126/INDEX(Surface_Engine!$B$12:$B$72,$A1126+1))),IF(E1126&lt;=0,0,MAX(0,(B1126/E1126)*I1126/INDEX(Surface_Engine!$B$12:$B$72,$A1126+1)-F1126/INDEX(Surface_Engine!$B$12:$B$72,$A1126+1))),IF($A1126&lt;$Q$1077,MAX(0,-Assumptions!$B$22*(F1126/INDEX(Surface_Engine!$B$12:$B$72,$A1126+1))),0)))+2*Assumptions!$B$27*(IF(C1126&lt;=0,0,MAX(0,(B1126/C1126)*G1126/INDEX(Surface_Engine!$B$12:$B$72,$A1126+1)-F1126/INDEX(Surface_Engine!$B$12:$B$72,$A1126+1))))*(MAX(0,J1126/INDEX(Surface_Engine!$B$12:$B$72,$A1126+1)-(F1126/INDEX(Surface_Engine!$B$12:$B$72,$A1126+1))))+2*Assumptions!$B$28*(MAX(IF(D1126&lt;=0,0,MAX(0,(B1126/D1126)*H1126/INDEX(Surface_Engine!$B$12:$B$72,$A1126+1)-F1126/INDEX(Surface_Engine!$B$12:$B$72,$A1126+1))),IF(E1126&lt;=0,0,MAX(0,(B1126/E1126)*I1126/INDEX(Surface_Engine!$B$12:$B$72,$A1126+1)-F1126/INDEX(Surface_Engine!$B$12:$B$72,$A1126+1))),IF($A1126&lt;$Q$1077,MAX(0,-Assumptions!$B$22*(F1126/INDEX(Surface_Engine!$B$12:$B$72,$A1126+1))),0)))*(MAX(0,J1126/INDEX(Surface_Engine!$B$12:$B$72,$A1126+1)-(F1126/INDEX(Surface_Engine!$B$12:$B$72,$A1126+1)))))</f>
        <v>0.171662543442197</v>
      </c>
      <c r="L1126" s="48" t="n">
        <f aca="false">K1126*INDEX(Surface_Engine!$B$12:$B$72,$A1126+1)+L1127</f>
        <v>0.0542851211992968</v>
      </c>
      <c r="M1126" s="48" t="n">
        <f aca="false">M1125+B1125*(IF($A1125&lt;$Q$1077,(Surface_Engine!G246*12)-(Surface_Engine!G246*12)*INDEX(Surface_Engine!$F$12:$F$72,$A1125+1)-INDEX(Surface_Engine!$D$12:$D$72,$A1125+1),-(1000*12*INDEX(Surface_Engine!$C$12:$C$72,$A1125+1)/(1+Assumptions!$B$10)^10+INDEX(Surface_Engine!$D$12:$D$72,$A1125+1))))*INDEX(Surface_Engine!$B$12:$B$72,$A1125+1)</f>
        <v>2783.75483490024</v>
      </c>
      <c r="N1126" s="12" t="n">
        <f aca="false">IF(B1126&lt;=0,0,MAX(0,(K1126+Assumptions!$B$29*L1126/INDEX(Surface_Engine!$B$12:$B$72,$A1126+1)-(M1126/INDEX(Surface_Engine!$B$12:$B$72,$A1126+1)-(F1126/INDEX(Surface_Engine!$B$12:$B$72,$A1126+1))))/B1126))</f>
        <v>0</v>
      </c>
    </row>
    <row r="1127" customFormat="false" ht="15" hidden="false" customHeight="true" outlineLevel="0" collapsed="false">
      <c r="A1127" s="1" t="n">
        <v>48</v>
      </c>
      <c r="B1127" s="32" t="n">
        <f aca="false">INDEX(Surface_Engine!$Q$12:$Q$72,$A1127+1)*IF($A1127&lt;$Q$1077,INDEX(Surface_Engine!$E$12:$E$72,$A1127+1),INDEX(Surface_Engine!$E$12:$E$72,$Q$1077+1))</f>
        <v>1.00616621779831E-005</v>
      </c>
      <c r="C1127" s="32" t="n">
        <f aca="false">INDEX(Panel_Reserving!$F$8:$F$68,$A1127+1)*IF($A1127&lt;$Q$1077,INDEX(Surface_Engine!$E$12:$E$72,$A1127+1),INDEX(Surface_Engine!$E$12:$E$72,$Q$1077+1))</f>
        <v>0.000160791439060318</v>
      </c>
      <c r="D1127" s="32" t="n">
        <f aca="false">INDEX(Surface_Engine!$Q$12:$Q$72,$A1127+1)*IF($A1127&lt;$Q$1077,INDEX(Surface_Engine!$Y$12:$Y$72,$A1127+1),INDEX(Surface_Engine!$Y$12:$Y$72,$Q$1077+1))</f>
        <v>9.32682333270704E-006</v>
      </c>
      <c r="E1127" s="32" t="n">
        <f aca="false">INDEX(Surface_Engine!$Q$12:$Q$72,$A1127+1)*IF($A1127&lt;$Q$1077,INDEX(Surface_Engine!$Z$12:$Z$72,$A1127+1),INDEX(Surface_Engine!$Z$12:$Z$72,$Q$1077+1))</f>
        <v>1.08455815389694E-005</v>
      </c>
      <c r="F1127" s="48" t="n">
        <f aca="false">B1127*(IF($A1127&lt;$Q$1077,INDEX(Surface_Engine!$D$12:$D$72,$A1127+1)+(Surface_Engine!G246*12)*INDEX(Surface_Engine!$F$12:$F$72,$A1127+1)-(Surface_Engine!G246*12),1000*12*INDEX(Surface_Engine!$C$12:$C$72,$A1127+1)/(1+Assumptions!$B$10)^10+INDEX(Surface_Engine!$D$12:$D$72,$A1127+1)))*INDEX(Surface_Engine!$B$12:$B$72,$A1127+1)+F1128</f>
        <v>0.0900050767566819</v>
      </c>
      <c r="G1127" s="48" t="n">
        <f aca="false">C1127*(IF($A1127&lt;$Q$1077,INDEX(Surface_Engine!$D$12:$D$72,$A1127+1)+(Surface_Engine!G246*12)*INDEX(Surface_Engine!$F$12:$F$72,$A1127+1)-(Surface_Engine!G246*12),1000*12*INDEX(Surface_Engine!$C$12:$C$72,$A1127+1)/(1+Assumptions!$B$10)^10+INDEX(Surface_Engine!$D$12:$D$72,$A1127+1)))*INDEX(Surface_Engine!$B$12:$B$72,$A1127+1)+G1128</f>
        <v>1.63972596656706</v>
      </c>
      <c r="H1127" s="48" t="n">
        <f aca="false">D1127*(IF($A1127&lt;$Q$1077,INDEX(Surface_Engine!$D$12:$D$72,$A1127+1)+(Surface_Engine!G246*12)*INDEX(Surface_Engine!$F$12:$F$72,$A1127+1)-(Surface_Engine!G246*12),1000*12*INDEX(Surface_Engine!$C$12:$C$72,$A1127+1)/(1+Assumptions!$B$10)^10+INDEX(Surface_Engine!$D$12:$D$72,$A1127+1)))*INDEX(Surface_Engine!$B$12:$B$72,$A1127+1)+H1128</f>
        <v>0.0834316870420493</v>
      </c>
      <c r="I1127" s="48" t="n">
        <f aca="false">E1127*(IF($A1127&lt;$Q$1077,INDEX(Surface_Engine!$D$12:$D$72,$A1127+1)+(Surface_Engine!G246*12)*INDEX(Surface_Engine!$F$12:$F$72,$A1127+1)-(Surface_Engine!G246*12),1000*12*INDEX(Surface_Engine!$C$12:$C$72,$A1127+1)/(1+Assumptions!$B$10)^10+INDEX(Surface_Engine!$D$12:$D$72,$A1127+1)))*INDEX(Surface_Engine!$B$12:$B$72,$A1127+1)+I1128</f>
        <v>0.0970175087990753</v>
      </c>
      <c r="J1127" s="48" t="n">
        <f aca="false">B1127*(IF($A1127&lt;$Q$1077,INDEX(Surface_Engine!$D$12:$D$72,$A1127+1)*(1+Assumptions!$B$24)+(Surface_Engine!G246*12)*INDEX(Surface_Engine!$F$12:$F$72,$A1127+1)-(Surface_Engine!G246*12),1000*12*INDEX(Surface_Engine!$C$12:$C$72,$A1127+1)/(1+Assumptions!$B$10)^10+INDEX(Surface_Engine!$D$12:$D$72,$A1127+1)*(1+Assumptions!$B$24)))*INDEX(Surface_Engine!$B$12:$B$72,$A1127+1)+J1128</f>
        <v>0.0900991117446318</v>
      </c>
      <c r="K1127" s="12" t="n">
        <f aca="false">SQRT((IF(C1127&lt;=0,0,MAX(0,(B1127/C1127)*G1127/INDEX(Surface_Engine!$B$12:$B$72,$A1127+1)-F1127/INDEX(Surface_Engine!$B$12:$B$72,$A1127+1))))^2+(MAX(IF(D1127&lt;=0,0,MAX(0,(B1127/D1127)*H1127/INDEX(Surface_Engine!$B$12:$B$72,$A1127+1)-F1127/INDEX(Surface_Engine!$B$12:$B$72,$A1127+1))),IF(E1127&lt;=0,0,MAX(0,(B1127/E1127)*I1127/INDEX(Surface_Engine!$B$12:$B$72,$A1127+1)-F1127/INDEX(Surface_Engine!$B$12:$B$72,$A1127+1))),IF($A1127&lt;$Q$1077,MAX(0,-Assumptions!$B$22*(F1127/INDEX(Surface_Engine!$B$12:$B$72,$A1127+1))),0)))^2+(MAX(0,J1127/INDEX(Surface_Engine!$B$12:$B$72,$A1127+1)-(F1127/INDEX(Surface_Engine!$B$12:$B$72,$A1127+1))))^2+2*Assumptions!$B$26*(IF(C1127&lt;=0,0,MAX(0,(B1127/C1127)*G1127/INDEX(Surface_Engine!$B$12:$B$72,$A1127+1)-F1127/INDEX(Surface_Engine!$B$12:$B$72,$A1127+1))))*(MAX(IF(D1127&lt;=0,0,MAX(0,(B1127/D1127)*H1127/INDEX(Surface_Engine!$B$12:$B$72,$A1127+1)-F1127/INDEX(Surface_Engine!$B$12:$B$72,$A1127+1))),IF(E1127&lt;=0,0,MAX(0,(B1127/E1127)*I1127/INDEX(Surface_Engine!$B$12:$B$72,$A1127+1)-F1127/INDEX(Surface_Engine!$B$12:$B$72,$A1127+1))),IF($A1127&lt;$Q$1077,MAX(0,-Assumptions!$B$22*(F1127/INDEX(Surface_Engine!$B$12:$B$72,$A1127+1))),0)))+2*Assumptions!$B$27*(IF(C1127&lt;=0,0,MAX(0,(B1127/C1127)*G1127/INDEX(Surface_Engine!$B$12:$B$72,$A1127+1)-F1127/INDEX(Surface_Engine!$B$12:$B$72,$A1127+1))))*(MAX(0,J1127/INDEX(Surface_Engine!$B$12:$B$72,$A1127+1)-(F1127/INDEX(Surface_Engine!$B$12:$B$72,$A1127+1))))+2*Assumptions!$B$28*(MAX(IF(D1127&lt;=0,0,MAX(0,(B1127/D1127)*H1127/INDEX(Surface_Engine!$B$12:$B$72,$A1127+1)-F1127/INDEX(Surface_Engine!$B$12:$B$72,$A1127+1))),IF(E1127&lt;=0,0,MAX(0,(B1127/E1127)*I1127/INDEX(Surface_Engine!$B$12:$B$72,$A1127+1)-F1127/INDEX(Surface_Engine!$B$12:$B$72,$A1127+1))),IF($A1127&lt;$Q$1077,MAX(0,-Assumptions!$B$22*(F1127/INDEX(Surface_Engine!$B$12:$B$72,$A1127+1))),0)))*(MAX(0,J1127/INDEX(Surface_Engine!$B$12:$B$72,$A1127+1)-(F1127/INDEX(Surface_Engine!$B$12:$B$72,$A1127+1)))))</f>
        <v>0.0576126298073021</v>
      </c>
      <c r="L1127" s="48" t="n">
        <f aca="false">K1127*INDEX(Surface_Engine!$B$12:$B$72,$A1127+1)+L1128</f>
        <v>0.0154205209043701</v>
      </c>
      <c r="M1127" s="48" t="n">
        <f aca="false">M1126+B1126*(IF($A1126&lt;$Q$1077,(Surface_Engine!G246*12)-(Surface_Engine!G246*12)*INDEX(Surface_Engine!$F$12:$F$72,$A1126+1)-INDEX(Surface_Engine!$D$12:$D$72,$A1126+1),-(1000*12*INDEX(Surface_Engine!$C$12:$C$72,$A1126+1)/(1+Assumptions!$B$10)^10+INDEX(Surface_Engine!$D$12:$D$72,$A1126+1))))*INDEX(Surface_Engine!$B$12:$B$72,$A1126+1)</f>
        <v>2783.62397301599</v>
      </c>
      <c r="N1127" s="12" t="n">
        <f aca="false">IF(B1127&lt;=0,0,MAX(0,(K1127+Assumptions!$B$29*L1127/INDEX(Surface_Engine!$B$12:$B$72,$A1127+1)-(M1127/INDEX(Surface_Engine!$B$12:$B$72,$A1127+1)-(F1127/INDEX(Surface_Engine!$B$12:$B$72,$A1127+1))))/B1127))</f>
        <v>0</v>
      </c>
    </row>
    <row r="1128" customFormat="false" ht="15" hidden="false" customHeight="true" outlineLevel="0" collapsed="false">
      <c r="A1128" s="1" t="n">
        <v>49</v>
      </c>
      <c r="B1128" s="32" t="n">
        <f aca="false">INDEX(Surface_Engine!$Q$12:$Q$72,$A1128+1)*IF($A1128&lt;$Q$1077,INDEX(Surface_Engine!$E$12:$E$72,$A1128+1),INDEX(Surface_Engine!$E$12:$E$72,$Q$1077+1))</f>
        <v>4.25690819577567E-006</v>
      </c>
      <c r="C1128" s="32" t="n">
        <f aca="false">INDEX(Panel_Reserving!$F$8:$F$68,$A1128+1)*IF($A1128&lt;$Q$1077,INDEX(Surface_Engine!$E$12:$E$72,$A1128+1),INDEX(Surface_Engine!$E$12:$E$72,$Q$1077+1))</f>
        <v>8.65806591967199E-005</v>
      </c>
      <c r="D1128" s="32" t="n">
        <f aca="false">INDEX(Surface_Engine!$Q$12:$Q$72,$A1128+1)*IF($A1128&lt;$Q$1077,INDEX(Surface_Engine!$Y$12:$Y$72,$A1128+1),INDEX(Surface_Engine!$Y$12:$Y$72,$Q$1077+1))</f>
        <v>3.94601110464942E-006</v>
      </c>
      <c r="E1128" s="32" t="n">
        <f aca="false">INDEX(Surface_Engine!$Q$12:$Q$72,$A1128+1)*IF($A1128&lt;$Q$1077,INDEX(Surface_Engine!$Z$12:$Z$72,$A1128+1),INDEX(Surface_Engine!$Z$12:$Z$72,$Q$1077+1))</f>
        <v>4.58857036983596E-006</v>
      </c>
      <c r="F1128" s="48" t="n">
        <f aca="false">B1128*(IF($A1128&lt;$Q$1077,INDEX(Surface_Engine!$D$12:$D$72,$A1128+1)+(Surface_Engine!G246*12)*INDEX(Surface_Engine!$F$12:$F$72,$A1128+1)-(Surface_Engine!G246*12),1000*12*INDEX(Surface_Engine!$C$12:$C$72,$A1128+1)/(1+Assumptions!$B$10)^10+INDEX(Surface_Engine!$D$12:$D$72,$A1128+1)))*INDEX(Surface_Engine!$B$12:$B$72,$A1128+1)+F1129</f>
        <v>0.0332562434263549</v>
      </c>
      <c r="G1128" s="48" t="n">
        <f aca="false">C1128*(IF($A1128&lt;$Q$1077,INDEX(Surface_Engine!$D$12:$D$72,$A1128+1)+(Surface_Engine!G246*12)*INDEX(Surface_Engine!$F$12:$F$72,$A1128+1)-(Surface_Engine!G246*12),1000*12*INDEX(Surface_Engine!$C$12:$C$72,$A1128+1)/(1+Assumptions!$B$10)^10+INDEX(Surface_Engine!$D$12:$D$72,$A1128+1)))*INDEX(Surface_Engine!$B$12:$B$72,$A1128+1)+G1129</f>
        <v>0.73284533245631</v>
      </c>
      <c r="H1128" s="48" t="n">
        <f aca="false">D1128*(IF($A1128&lt;$Q$1077,INDEX(Surface_Engine!$D$12:$D$72,$A1128+1)+(Surface_Engine!G246*12)*INDEX(Surface_Engine!$F$12:$F$72,$A1128+1)-(Surface_Engine!G246*12),1000*12*INDEX(Surface_Engine!$C$12:$C$72,$A1128+1)/(1+Assumptions!$B$10)^10+INDEX(Surface_Engine!$D$12:$D$72,$A1128+1)))*INDEX(Surface_Engine!$B$12:$B$72,$A1128+1)+H1129</f>
        <v>0.0308274221157849</v>
      </c>
      <c r="I1128" s="48" t="n">
        <f aca="false">E1128*(IF($A1128&lt;$Q$1077,INDEX(Surface_Engine!$D$12:$D$72,$A1128+1)+(Surface_Engine!G246*12)*INDEX(Surface_Engine!$F$12:$F$72,$A1128+1)-(Surface_Engine!G246*12),1000*12*INDEX(Surface_Engine!$C$12:$C$72,$A1128+1)/(1+Assumptions!$B$10)^10+INDEX(Surface_Engine!$D$12:$D$72,$A1128+1)))*INDEX(Surface_Engine!$B$12:$B$72,$A1128+1)+I1129</f>
        <v>0.0358472877920306</v>
      </c>
      <c r="J1128" s="48" t="n">
        <f aca="false">B1128*(IF($A1128&lt;$Q$1077,INDEX(Surface_Engine!$D$12:$D$72,$A1128+1)*(1+Assumptions!$B$24)+(Surface_Engine!G246*12)*INDEX(Surface_Engine!$F$12:$F$72,$A1128+1)-(Surface_Engine!G246*12),1000*12*INDEX(Surface_Engine!$C$12:$C$72,$A1128+1)/(1+Assumptions!$B$10)^10+INDEX(Surface_Engine!$D$12:$D$72,$A1128+1)*(1+Assumptions!$B$24)))*INDEX(Surface_Engine!$B$12:$B$72,$A1128+1)+J1129</f>
        <v>0.0332911252676794</v>
      </c>
      <c r="K1128" s="12" t="n">
        <f aca="false">SQRT((IF(C1128&lt;=0,0,MAX(0,(B1128/C1128)*G1128/INDEX(Surface_Engine!$B$12:$B$72,$A1128+1)-F1128/INDEX(Surface_Engine!$B$12:$B$72,$A1128+1))))^2+(MAX(IF(D1128&lt;=0,0,MAX(0,(B1128/D1128)*H1128/INDEX(Surface_Engine!$B$12:$B$72,$A1128+1)-F1128/INDEX(Surface_Engine!$B$12:$B$72,$A1128+1))),IF(E1128&lt;=0,0,MAX(0,(B1128/E1128)*I1128/INDEX(Surface_Engine!$B$12:$B$72,$A1128+1)-F1128/INDEX(Surface_Engine!$B$12:$B$72,$A1128+1))),IF($A1128&lt;$Q$1077,MAX(0,-Assumptions!$B$22*(F1128/INDEX(Surface_Engine!$B$12:$B$72,$A1128+1))),0)))^2+(MAX(0,J1128/INDEX(Surface_Engine!$B$12:$B$72,$A1128+1)-(F1128/INDEX(Surface_Engine!$B$12:$B$72,$A1128+1))))^2+2*Assumptions!$B$26*(IF(C1128&lt;=0,0,MAX(0,(B1128/C1128)*G1128/INDEX(Surface_Engine!$B$12:$B$72,$A1128+1)-F1128/INDEX(Surface_Engine!$B$12:$B$72,$A1128+1))))*(MAX(IF(D1128&lt;=0,0,MAX(0,(B1128/D1128)*H1128/INDEX(Surface_Engine!$B$12:$B$72,$A1128+1)-F1128/INDEX(Surface_Engine!$B$12:$B$72,$A1128+1))),IF(E1128&lt;=0,0,MAX(0,(B1128/E1128)*I1128/INDEX(Surface_Engine!$B$12:$B$72,$A1128+1)-F1128/INDEX(Surface_Engine!$B$12:$B$72,$A1128+1))),IF($A1128&lt;$Q$1077,MAX(0,-Assumptions!$B$22*(F1128/INDEX(Surface_Engine!$B$12:$B$72,$A1128+1))),0)))+2*Assumptions!$B$27*(IF(C1128&lt;=0,0,MAX(0,(B1128/C1128)*G1128/INDEX(Surface_Engine!$B$12:$B$72,$A1128+1)-F1128/INDEX(Surface_Engine!$B$12:$B$72,$A1128+1))))*(MAX(0,J1128/INDEX(Surface_Engine!$B$12:$B$72,$A1128+1)-(F1128/INDEX(Surface_Engine!$B$12:$B$72,$A1128+1))))+2*Assumptions!$B$28*(MAX(IF(D1128&lt;=0,0,MAX(0,(B1128/D1128)*H1128/INDEX(Surface_Engine!$B$12:$B$72,$A1128+1)-F1128/INDEX(Surface_Engine!$B$12:$B$72,$A1128+1))),IF(E1128&lt;=0,0,MAX(0,(B1128/E1128)*I1128/INDEX(Surface_Engine!$B$12:$B$72,$A1128+1)-F1128/INDEX(Surface_Engine!$B$12:$B$72,$A1128+1))),IF($A1128&lt;$Q$1077,MAX(0,-Assumptions!$B$22*(F1128/INDEX(Surface_Engine!$B$12:$B$72,$A1128+1))),0)))*(MAX(0,J1128/INDEX(Surface_Engine!$B$12:$B$72,$A1128+1)-(F1128/INDEX(Surface_Engine!$B$12:$B$72,$A1128+1)))))</f>
        <v>0.0131199806584204</v>
      </c>
      <c r="L1128" s="48" t="n">
        <f aca="false">K1128*INDEX(Surface_Engine!$B$12:$B$72,$A1128+1)+L1129</f>
        <v>0.00279450219848913</v>
      </c>
      <c r="M1128" s="48" t="n">
        <f aca="false">M1127+B1127*(IF($A1127&lt;$Q$1077,(Surface_Engine!G246*12)-(Surface_Engine!G246*12)*INDEX(Surface_Engine!$F$12:$F$72,$A1127+1)-INDEX(Surface_Engine!$D$12:$D$72,$A1127+1),-(1000*12*INDEX(Surface_Engine!$C$12:$C$72,$A1127+1)/(1+Assumptions!$B$10)^10+INDEX(Surface_Engine!$D$12:$D$72,$A1127+1))))*INDEX(Surface_Engine!$B$12:$B$72,$A1127+1)</f>
        <v>2783.56722418266</v>
      </c>
      <c r="N1128" s="12" t="n">
        <f aca="false">IF(B1128&lt;=0,0,MAX(0,(K1128+Assumptions!$B$29*L1128/INDEX(Surface_Engine!$B$12:$B$72,$A1128+1)-(M1128/INDEX(Surface_Engine!$B$12:$B$72,$A1128+1)-(F1128/INDEX(Surface_Engine!$B$12:$B$72,$A1128+1))))/B1128))</f>
        <v>0</v>
      </c>
    </row>
    <row r="1129" customFormat="false" ht="15" hidden="false" customHeight="true" outlineLevel="0" collapsed="false">
      <c r="A1129" s="1" t="n">
        <v>50</v>
      </c>
      <c r="B1129" s="32" t="n">
        <f aca="false">INDEX(Surface_Engine!$Q$12:$Q$72,$A1129+1)*IF($A1129&lt;$Q$1077,INDEX(Surface_Engine!$E$12:$E$72,$A1129+1),INDEX(Surface_Engine!$E$12:$E$72,$Q$1077+1))</f>
        <v>1.7340958636023E-006</v>
      </c>
      <c r="C1129" s="32" t="n">
        <f aca="false">INDEX(Panel_Reserving!$F$8:$F$68,$A1129+1)*IF($A1129&lt;$Q$1077,INDEX(Surface_Engine!$E$12:$E$72,$A1129+1),INDEX(Surface_Engine!$E$12:$E$72,$Q$1077+1))</f>
        <v>4.55317580311387E-005</v>
      </c>
      <c r="D1129" s="32" t="n">
        <f aca="false">INDEX(Surface_Engine!$Q$12:$Q$72,$A1129+1)*IF($A1129&lt;$Q$1077,INDEX(Surface_Engine!$Y$12:$Y$72,$A1129+1),INDEX(Surface_Engine!$Y$12:$Y$72,$Q$1077+1))</f>
        <v>1.60744869741182E-006</v>
      </c>
      <c r="E1129" s="32" t="n">
        <f aca="false">INDEX(Surface_Engine!$Q$12:$Q$72,$A1129+1)*IF($A1129&lt;$Q$1077,INDEX(Surface_Engine!$Z$12:$Z$72,$A1129+1),INDEX(Surface_Engine!$Z$12:$Z$72,$Q$1077+1))</f>
        <v>1.8692019024692E-006</v>
      </c>
      <c r="F1129" s="48" t="n">
        <f aca="false">B1129*(IF($A1129&lt;$Q$1077,INDEX(Surface_Engine!$D$12:$D$72,$A1129+1)+(Surface_Engine!G246*12)*INDEX(Surface_Engine!$F$12:$F$72,$A1129+1)-(Surface_Engine!G246*12),1000*12*INDEX(Surface_Engine!$C$12:$C$72,$A1129+1)/(1+Assumptions!$B$10)^10+INDEX(Surface_Engine!$D$12:$D$72,$A1129+1)))*INDEX(Surface_Engine!$B$12:$B$72,$A1129+1)+F1130</f>
        <v>0.0095390512843365</v>
      </c>
      <c r="G1129" s="48" t="n">
        <f aca="false">C1129*(IF($A1129&lt;$Q$1077,INDEX(Surface_Engine!$D$12:$D$72,$A1129+1)+(Surface_Engine!G246*12)*INDEX(Surface_Engine!$F$12:$F$72,$A1129+1)-(Surface_Engine!G246*12),1000*12*INDEX(Surface_Engine!$C$12:$C$72,$A1129+1)/(1+Assumptions!$B$10)^10+INDEX(Surface_Engine!$D$12:$D$72,$A1129+1)))*INDEX(Surface_Engine!$B$12:$B$72,$A1129+1)+G1130</f>
        <v>0.250464685396795</v>
      </c>
      <c r="H1129" s="48" t="n">
        <f aca="false">D1129*(IF($A1129&lt;$Q$1077,INDEX(Surface_Engine!$D$12:$D$72,$A1129+1)+(Surface_Engine!G246*12)*INDEX(Surface_Engine!$F$12:$F$72,$A1129+1)-(Surface_Engine!G246*12),1000*12*INDEX(Surface_Engine!$C$12:$C$72,$A1129+1)/(1+Assumptions!$B$10)^10+INDEX(Surface_Engine!$D$12:$D$72,$A1129+1)))*INDEX(Surface_Engine!$B$12:$B$72,$A1129+1)+H1130</f>
        <v>0.00884238056464674</v>
      </c>
      <c r="I1129" s="48" t="n">
        <f aca="false">E1129*(IF($A1129&lt;$Q$1077,INDEX(Surface_Engine!$D$12:$D$72,$A1129+1)+(Surface_Engine!G246*12)*INDEX(Surface_Engine!$F$12:$F$72,$A1129+1)-(Surface_Engine!G246*12),1000*12*INDEX(Surface_Engine!$C$12:$C$72,$A1129+1)/(1+Assumptions!$B$10)^10+INDEX(Surface_Engine!$D$12:$D$72,$A1129+1)))*INDEX(Surface_Engine!$B$12:$B$72,$A1129+1)+I1130</f>
        <v>0.0102822532379457</v>
      </c>
      <c r="J1129" s="48" t="n">
        <f aca="false">B1129*(IF($A1129&lt;$Q$1077,INDEX(Surface_Engine!$D$12:$D$72,$A1129+1)*(1+Assumptions!$B$24)+(Surface_Engine!G246*12)*INDEX(Surface_Engine!$F$12:$F$72,$A1129+1)-(Surface_Engine!G246*12),1000*12*INDEX(Surface_Engine!$C$12:$C$72,$A1129+1)/(1+Assumptions!$B$10)^10+INDEX(Surface_Engine!$D$12:$D$72,$A1129+1)*(1+Assumptions!$B$24)))*INDEX(Surface_Engine!$B$12:$B$72,$A1129+1)+J1130</f>
        <v>0.009549091175312</v>
      </c>
      <c r="K1129" s="12" t="n">
        <f aca="false">SQRT((IF(C1129&lt;=0,0,MAX(0,(B1129/C1129)*G1129/INDEX(Surface_Engine!$B$12:$B$72,$A1129+1)-F1129/INDEX(Surface_Engine!$B$12:$B$72,$A1129+1))))^2+(MAX(IF(D1129&lt;=0,0,MAX(0,(B1129/D1129)*H1129/INDEX(Surface_Engine!$B$12:$B$72,$A1129+1)-F1129/INDEX(Surface_Engine!$B$12:$B$72,$A1129+1))),IF(E1129&lt;=0,0,MAX(0,(B1129/E1129)*I1129/INDEX(Surface_Engine!$B$12:$B$72,$A1129+1)-F1129/INDEX(Surface_Engine!$B$12:$B$72,$A1129+1))),IF($A1129&lt;$Q$1077,MAX(0,-Assumptions!$B$22*(F1129/INDEX(Surface_Engine!$B$12:$B$72,$A1129+1))),0)))^2+(MAX(0,J1129/INDEX(Surface_Engine!$B$12:$B$72,$A1129+1)-(F1129/INDEX(Surface_Engine!$B$12:$B$72,$A1129+1))))^2+2*Assumptions!$B$26*(IF(C1129&lt;=0,0,MAX(0,(B1129/C1129)*G1129/INDEX(Surface_Engine!$B$12:$B$72,$A1129+1)-F1129/INDEX(Surface_Engine!$B$12:$B$72,$A1129+1))))*(MAX(IF(D1129&lt;=0,0,MAX(0,(B1129/D1129)*H1129/INDEX(Surface_Engine!$B$12:$B$72,$A1129+1)-F1129/INDEX(Surface_Engine!$B$12:$B$72,$A1129+1))),IF(E1129&lt;=0,0,MAX(0,(B1129/E1129)*I1129/INDEX(Surface_Engine!$B$12:$B$72,$A1129+1)-F1129/INDEX(Surface_Engine!$B$12:$B$72,$A1129+1))),IF($A1129&lt;$Q$1077,MAX(0,-Assumptions!$B$22*(F1129/INDEX(Surface_Engine!$B$12:$B$72,$A1129+1))),0)))+2*Assumptions!$B$27*(IF(C1129&lt;=0,0,MAX(0,(B1129/C1129)*G1129/INDEX(Surface_Engine!$B$12:$B$72,$A1129+1)-F1129/INDEX(Surface_Engine!$B$12:$B$72,$A1129+1))))*(MAX(0,J1129/INDEX(Surface_Engine!$B$12:$B$72,$A1129+1)-(F1129/INDEX(Surface_Engine!$B$12:$B$72,$A1129+1))))+2*Assumptions!$B$28*(MAX(IF(D1129&lt;=0,0,MAX(0,(B1129/D1129)*H1129/INDEX(Surface_Engine!$B$12:$B$72,$A1129+1)-F1129/INDEX(Surface_Engine!$B$12:$B$72,$A1129+1))),IF(E1129&lt;=0,0,MAX(0,(B1129/E1129)*I1129/INDEX(Surface_Engine!$B$12:$B$72,$A1129+1)-F1129/INDEX(Surface_Engine!$B$12:$B$72,$A1129+1))),IF($A1129&lt;$Q$1077,MAX(0,-Assumptions!$B$22*(F1129/INDEX(Surface_Engine!$B$12:$B$72,$A1129+1))),0)))*(MAX(0,J1129/INDEX(Surface_Engine!$B$12:$B$72,$A1129+1)-(F1129/INDEX(Surface_Engine!$B$12:$B$72,$A1129+1)))))</f>
        <v>4.88742633114325E-005</v>
      </c>
      <c r="L1129" s="48" t="n">
        <f aca="false">K1129*INDEX(Surface_Engine!$B$12:$B$72,$A1129+1)+L1130</f>
        <v>1.00398909754966E-005</v>
      </c>
      <c r="M1129" s="48" t="n">
        <f aca="false">M1128+B1128*(IF($A1128&lt;$Q$1077,(Surface_Engine!G246*12)-(Surface_Engine!G246*12)*INDEX(Surface_Engine!$F$12:$F$72,$A1128+1)-INDEX(Surface_Engine!$D$12:$D$72,$A1128+1),-(1000*12*INDEX(Surface_Engine!$C$12:$C$72,$A1128+1)/(1+Assumptions!$B$10)^10+INDEX(Surface_Engine!$D$12:$D$72,$A1128+1))))*INDEX(Surface_Engine!$B$12:$B$72,$A1128+1)</f>
        <v>2783.54350699052</v>
      </c>
      <c r="N1129" s="12" t="n">
        <f aca="false">IF(B1129&lt;=0,0,MAX(0,(K1129+Assumptions!$B$29*L1129/INDEX(Surface_Engine!$B$12:$B$72,$A1129+1)-(M1129/INDEX(Surface_Engine!$B$12:$B$72,$A1129+1)-(F1129/INDEX(Surface_Engine!$B$12:$B$72,$A1129+1))))/B1129))</f>
        <v>0</v>
      </c>
    </row>
    <row r="1130" customFormat="false" ht="15" hidden="false" customHeight="true" outlineLevel="0" collapsed="false">
      <c r="A1130" s="1" t="n">
        <v>51</v>
      </c>
      <c r="B1130" s="32" t="n">
        <f aca="false">INDEX(Surface_Engine!$Q$12:$Q$72,$A1130+1)*IF($A1130&lt;$Q$1077,INDEX(Surface_Engine!$E$12:$E$72,$A1130+1),INDEX(Surface_Engine!$E$12:$E$72,$Q$1077+1))</f>
        <v>0</v>
      </c>
      <c r="C1130" s="32" t="n">
        <f aca="false">INDEX(Panel_Reserving!$F$8:$F$68,$A1130+1)*IF($A1130&lt;$Q$1077,INDEX(Surface_Engine!$E$12:$E$72,$A1130+1),INDEX(Surface_Engine!$E$12:$E$72,$Q$1077+1))</f>
        <v>0</v>
      </c>
      <c r="D1130" s="32" t="n">
        <f aca="false">INDEX(Surface_Engine!$Q$12:$Q$72,$A1130+1)*IF($A1130&lt;$Q$1077,INDEX(Surface_Engine!$Y$12:$Y$72,$A1130+1),INDEX(Surface_Engine!$Y$12:$Y$72,$Q$1077+1))</f>
        <v>0</v>
      </c>
      <c r="E1130" s="32" t="n">
        <f aca="false">INDEX(Surface_Engine!$Q$12:$Q$72,$A1130+1)*IF($A1130&lt;$Q$1077,INDEX(Surface_Engine!$Z$12:$Z$72,$A1130+1),INDEX(Surface_Engine!$Z$12:$Z$72,$Q$1077+1))</f>
        <v>0</v>
      </c>
      <c r="F1130" s="48" t="n">
        <f aca="false">B1130*(IF($A1130&lt;$Q$1077,INDEX(Surface_Engine!$D$12:$D$72,$A1130+1)+(Surface_Engine!G246*12)*INDEX(Surface_Engine!$F$12:$F$72,$A1130+1)-(Surface_Engine!G246*12),1000*12*INDEX(Surface_Engine!$C$12:$C$72,$A1130+1)/(1+Assumptions!$B$10)^10+INDEX(Surface_Engine!$D$12:$D$72,$A1130+1)))*INDEX(Surface_Engine!$B$12:$B$72,$A1130+1)+F1131</f>
        <v>0</v>
      </c>
      <c r="G1130" s="48" t="n">
        <f aca="false">C1130*(IF($A1130&lt;$Q$1077,INDEX(Surface_Engine!$D$12:$D$72,$A1130+1)+(Surface_Engine!G246*12)*INDEX(Surface_Engine!$F$12:$F$72,$A1130+1)-(Surface_Engine!G246*12),1000*12*INDEX(Surface_Engine!$C$12:$C$72,$A1130+1)/(1+Assumptions!$B$10)^10+INDEX(Surface_Engine!$D$12:$D$72,$A1130+1)))*INDEX(Surface_Engine!$B$12:$B$72,$A1130+1)+G1131</f>
        <v>0</v>
      </c>
      <c r="H1130" s="48" t="n">
        <f aca="false">D1130*(IF($A1130&lt;$Q$1077,INDEX(Surface_Engine!$D$12:$D$72,$A1130+1)+(Surface_Engine!G246*12)*INDEX(Surface_Engine!$F$12:$F$72,$A1130+1)-(Surface_Engine!G246*12),1000*12*INDEX(Surface_Engine!$C$12:$C$72,$A1130+1)/(1+Assumptions!$B$10)^10+INDEX(Surface_Engine!$D$12:$D$72,$A1130+1)))*INDEX(Surface_Engine!$B$12:$B$72,$A1130+1)+H1131</f>
        <v>0</v>
      </c>
      <c r="I1130" s="48" t="n">
        <f aca="false">E1130*(IF($A1130&lt;$Q$1077,INDEX(Surface_Engine!$D$12:$D$72,$A1130+1)+(Surface_Engine!G246*12)*INDEX(Surface_Engine!$F$12:$F$72,$A1130+1)-(Surface_Engine!G246*12),1000*12*INDEX(Surface_Engine!$C$12:$C$72,$A1130+1)/(1+Assumptions!$B$10)^10+INDEX(Surface_Engine!$D$12:$D$72,$A1130+1)))*INDEX(Surface_Engine!$B$12:$B$72,$A1130+1)+I1131</f>
        <v>0</v>
      </c>
      <c r="J1130" s="48" t="n">
        <f aca="false">B1130*(IF($A1130&lt;$Q$1077,INDEX(Surface_Engine!$D$12:$D$72,$A1130+1)*(1+Assumptions!$B$24)+(Surface_Engine!G246*12)*INDEX(Surface_Engine!$F$12:$F$72,$A1130+1)-(Surface_Engine!G246*12),1000*12*INDEX(Surface_Engine!$C$12:$C$72,$A1130+1)/(1+Assumptions!$B$10)^10+INDEX(Surface_Engine!$D$12:$D$72,$A1130+1)*(1+Assumptions!$B$24)))*INDEX(Surface_Engine!$B$12:$B$72,$A1130+1)+J1131</f>
        <v>0</v>
      </c>
      <c r="K1130" s="12" t="n">
        <f aca="false">SQRT((IF(C1130&lt;=0,0,MAX(0,(B1130/C1130)*G1130/INDEX(Surface_Engine!$B$12:$B$72,$A1130+1)-F1130/INDEX(Surface_Engine!$B$12:$B$72,$A1130+1))))^2+(MAX(IF(D1130&lt;=0,0,MAX(0,(B1130/D1130)*H1130/INDEX(Surface_Engine!$B$12:$B$72,$A1130+1)-F1130/INDEX(Surface_Engine!$B$12:$B$72,$A1130+1))),IF(E1130&lt;=0,0,MAX(0,(B1130/E1130)*I1130/INDEX(Surface_Engine!$B$12:$B$72,$A1130+1)-F1130/INDEX(Surface_Engine!$B$12:$B$72,$A1130+1))),IF($A1130&lt;$Q$1077,MAX(0,-Assumptions!$B$22*(F1130/INDEX(Surface_Engine!$B$12:$B$72,$A1130+1))),0)))^2+(MAX(0,J1130/INDEX(Surface_Engine!$B$12:$B$72,$A1130+1)-(F1130/INDEX(Surface_Engine!$B$12:$B$72,$A1130+1))))^2+2*Assumptions!$B$26*(IF(C1130&lt;=0,0,MAX(0,(B1130/C1130)*G1130/INDEX(Surface_Engine!$B$12:$B$72,$A1130+1)-F1130/INDEX(Surface_Engine!$B$12:$B$72,$A1130+1))))*(MAX(IF(D1130&lt;=0,0,MAX(0,(B1130/D1130)*H1130/INDEX(Surface_Engine!$B$12:$B$72,$A1130+1)-F1130/INDEX(Surface_Engine!$B$12:$B$72,$A1130+1))),IF(E1130&lt;=0,0,MAX(0,(B1130/E1130)*I1130/INDEX(Surface_Engine!$B$12:$B$72,$A1130+1)-F1130/INDEX(Surface_Engine!$B$12:$B$72,$A1130+1))),IF($A1130&lt;$Q$1077,MAX(0,-Assumptions!$B$22*(F1130/INDEX(Surface_Engine!$B$12:$B$72,$A1130+1))),0)))+2*Assumptions!$B$27*(IF(C1130&lt;=0,0,MAX(0,(B1130/C1130)*G1130/INDEX(Surface_Engine!$B$12:$B$72,$A1130+1)-F1130/INDEX(Surface_Engine!$B$12:$B$72,$A1130+1))))*(MAX(0,J1130/INDEX(Surface_Engine!$B$12:$B$72,$A1130+1)-(F1130/INDEX(Surface_Engine!$B$12:$B$72,$A1130+1))))+2*Assumptions!$B$28*(MAX(IF(D1130&lt;=0,0,MAX(0,(B1130/D1130)*H1130/INDEX(Surface_Engine!$B$12:$B$72,$A1130+1)-F1130/INDEX(Surface_Engine!$B$12:$B$72,$A1130+1))),IF(E1130&lt;=0,0,MAX(0,(B1130/E1130)*I1130/INDEX(Surface_Engine!$B$12:$B$72,$A1130+1)-F1130/INDEX(Surface_Engine!$B$12:$B$72,$A1130+1))),IF($A1130&lt;$Q$1077,MAX(0,-Assumptions!$B$22*(F1130/INDEX(Surface_Engine!$B$12:$B$72,$A1130+1))),0)))*(MAX(0,J1130/INDEX(Surface_Engine!$B$12:$B$72,$A1130+1)-(F1130/INDEX(Surface_Engine!$B$12:$B$72,$A1130+1)))))</f>
        <v>0</v>
      </c>
      <c r="L1130" s="48" t="n">
        <f aca="false">K1130*INDEX(Surface_Engine!$B$12:$B$72,$A1130+1)+L1131</f>
        <v>0</v>
      </c>
      <c r="M1130" s="48" t="n">
        <f aca="false">M1129+B1129*(IF($A1129&lt;$Q$1077,(Surface_Engine!G246*12)-(Surface_Engine!G246*12)*INDEX(Surface_Engine!$F$12:$F$72,$A1129+1)-INDEX(Surface_Engine!$D$12:$D$72,$A1129+1),-(1000*12*INDEX(Surface_Engine!$C$12:$C$72,$A1129+1)/(1+Assumptions!$B$10)^10+INDEX(Surface_Engine!$D$12:$D$72,$A1129+1))))*INDEX(Surface_Engine!$B$12:$B$72,$A1129+1)</f>
        <v>2783.53396793924</v>
      </c>
      <c r="N1130" s="12" t="n">
        <f aca="false">IF(B1130&lt;=0,0,MAX(0,(K1130+Assumptions!$B$29*L1130/INDEX(Surface_Engine!$B$12:$B$72,$A1130+1)-(M1130/INDEX(Surface_Engine!$B$12:$B$72,$A1130+1)-(F1130/INDEX(Surface_Engine!$B$12:$B$72,$A1130+1))))/B1130))</f>
        <v>0</v>
      </c>
    </row>
    <row r="1131" customFormat="false" ht="15" hidden="false" customHeight="true" outlineLevel="0" collapsed="false">
      <c r="A1131" s="1" t="n">
        <v>52</v>
      </c>
      <c r="B1131" s="32" t="n">
        <f aca="false">INDEX(Surface_Engine!$Q$12:$Q$72,$A1131+1)*IF($A1131&lt;$Q$1077,INDEX(Surface_Engine!$E$12:$E$72,$A1131+1),INDEX(Surface_Engine!$E$12:$E$72,$Q$1077+1))</f>
        <v>0</v>
      </c>
      <c r="C1131" s="32" t="n">
        <f aca="false">INDEX(Panel_Reserving!$F$8:$F$68,$A1131+1)*IF($A1131&lt;$Q$1077,INDEX(Surface_Engine!$E$12:$E$72,$A1131+1),INDEX(Surface_Engine!$E$12:$E$72,$Q$1077+1))</f>
        <v>0</v>
      </c>
      <c r="D1131" s="32" t="n">
        <f aca="false">INDEX(Surface_Engine!$Q$12:$Q$72,$A1131+1)*IF($A1131&lt;$Q$1077,INDEX(Surface_Engine!$Y$12:$Y$72,$A1131+1),INDEX(Surface_Engine!$Y$12:$Y$72,$Q$1077+1))</f>
        <v>0</v>
      </c>
      <c r="E1131" s="32" t="n">
        <f aca="false">INDEX(Surface_Engine!$Q$12:$Q$72,$A1131+1)*IF($A1131&lt;$Q$1077,INDEX(Surface_Engine!$Z$12:$Z$72,$A1131+1),INDEX(Surface_Engine!$Z$12:$Z$72,$Q$1077+1))</f>
        <v>0</v>
      </c>
      <c r="F1131" s="48" t="n">
        <f aca="false">B1131*(IF($A1131&lt;$Q$1077,INDEX(Surface_Engine!$D$12:$D$72,$A1131+1)+(Surface_Engine!G246*12)*INDEX(Surface_Engine!$F$12:$F$72,$A1131+1)-(Surface_Engine!G246*12),1000*12*INDEX(Surface_Engine!$C$12:$C$72,$A1131+1)/(1+Assumptions!$B$10)^10+INDEX(Surface_Engine!$D$12:$D$72,$A1131+1)))*INDEX(Surface_Engine!$B$12:$B$72,$A1131+1)+F1132</f>
        <v>0</v>
      </c>
      <c r="G1131" s="48" t="n">
        <f aca="false">C1131*(IF($A1131&lt;$Q$1077,INDEX(Surface_Engine!$D$12:$D$72,$A1131+1)+(Surface_Engine!G246*12)*INDEX(Surface_Engine!$F$12:$F$72,$A1131+1)-(Surface_Engine!G246*12),1000*12*INDEX(Surface_Engine!$C$12:$C$72,$A1131+1)/(1+Assumptions!$B$10)^10+INDEX(Surface_Engine!$D$12:$D$72,$A1131+1)))*INDEX(Surface_Engine!$B$12:$B$72,$A1131+1)+G1132</f>
        <v>0</v>
      </c>
      <c r="H1131" s="48" t="n">
        <f aca="false">D1131*(IF($A1131&lt;$Q$1077,INDEX(Surface_Engine!$D$12:$D$72,$A1131+1)+(Surface_Engine!G246*12)*INDEX(Surface_Engine!$F$12:$F$72,$A1131+1)-(Surface_Engine!G246*12),1000*12*INDEX(Surface_Engine!$C$12:$C$72,$A1131+1)/(1+Assumptions!$B$10)^10+INDEX(Surface_Engine!$D$12:$D$72,$A1131+1)))*INDEX(Surface_Engine!$B$12:$B$72,$A1131+1)+H1132</f>
        <v>0</v>
      </c>
      <c r="I1131" s="48" t="n">
        <f aca="false">E1131*(IF($A1131&lt;$Q$1077,INDEX(Surface_Engine!$D$12:$D$72,$A1131+1)+(Surface_Engine!G246*12)*INDEX(Surface_Engine!$F$12:$F$72,$A1131+1)-(Surface_Engine!G246*12),1000*12*INDEX(Surface_Engine!$C$12:$C$72,$A1131+1)/(1+Assumptions!$B$10)^10+INDEX(Surface_Engine!$D$12:$D$72,$A1131+1)))*INDEX(Surface_Engine!$B$12:$B$72,$A1131+1)+I1132</f>
        <v>0</v>
      </c>
      <c r="J1131" s="48" t="n">
        <f aca="false">B1131*(IF($A1131&lt;$Q$1077,INDEX(Surface_Engine!$D$12:$D$72,$A1131+1)*(1+Assumptions!$B$24)+(Surface_Engine!G246*12)*INDEX(Surface_Engine!$F$12:$F$72,$A1131+1)-(Surface_Engine!G246*12),1000*12*INDEX(Surface_Engine!$C$12:$C$72,$A1131+1)/(1+Assumptions!$B$10)^10+INDEX(Surface_Engine!$D$12:$D$72,$A1131+1)*(1+Assumptions!$B$24)))*INDEX(Surface_Engine!$B$12:$B$72,$A1131+1)+J1132</f>
        <v>0</v>
      </c>
      <c r="K1131" s="12" t="n">
        <f aca="false">SQRT((IF(C1131&lt;=0,0,MAX(0,(B1131/C1131)*G1131/INDEX(Surface_Engine!$B$12:$B$72,$A1131+1)-F1131/INDEX(Surface_Engine!$B$12:$B$72,$A1131+1))))^2+(MAX(IF(D1131&lt;=0,0,MAX(0,(B1131/D1131)*H1131/INDEX(Surface_Engine!$B$12:$B$72,$A1131+1)-F1131/INDEX(Surface_Engine!$B$12:$B$72,$A1131+1))),IF(E1131&lt;=0,0,MAX(0,(B1131/E1131)*I1131/INDEX(Surface_Engine!$B$12:$B$72,$A1131+1)-F1131/INDEX(Surface_Engine!$B$12:$B$72,$A1131+1))),IF($A1131&lt;$Q$1077,MAX(0,-Assumptions!$B$22*(F1131/INDEX(Surface_Engine!$B$12:$B$72,$A1131+1))),0)))^2+(MAX(0,J1131/INDEX(Surface_Engine!$B$12:$B$72,$A1131+1)-(F1131/INDEX(Surface_Engine!$B$12:$B$72,$A1131+1))))^2+2*Assumptions!$B$26*(IF(C1131&lt;=0,0,MAX(0,(B1131/C1131)*G1131/INDEX(Surface_Engine!$B$12:$B$72,$A1131+1)-F1131/INDEX(Surface_Engine!$B$12:$B$72,$A1131+1))))*(MAX(IF(D1131&lt;=0,0,MAX(0,(B1131/D1131)*H1131/INDEX(Surface_Engine!$B$12:$B$72,$A1131+1)-F1131/INDEX(Surface_Engine!$B$12:$B$72,$A1131+1))),IF(E1131&lt;=0,0,MAX(0,(B1131/E1131)*I1131/INDEX(Surface_Engine!$B$12:$B$72,$A1131+1)-F1131/INDEX(Surface_Engine!$B$12:$B$72,$A1131+1))),IF($A1131&lt;$Q$1077,MAX(0,-Assumptions!$B$22*(F1131/INDEX(Surface_Engine!$B$12:$B$72,$A1131+1))),0)))+2*Assumptions!$B$27*(IF(C1131&lt;=0,0,MAX(0,(B1131/C1131)*G1131/INDEX(Surface_Engine!$B$12:$B$72,$A1131+1)-F1131/INDEX(Surface_Engine!$B$12:$B$72,$A1131+1))))*(MAX(0,J1131/INDEX(Surface_Engine!$B$12:$B$72,$A1131+1)-(F1131/INDEX(Surface_Engine!$B$12:$B$72,$A1131+1))))+2*Assumptions!$B$28*(MAX(IF(D1131&lt;=0,0,MAX(0,(B1131/D1131)*H1131/INDEX(Surface_Engine!$B$12:$B$72,$A1131+1)-F1131/INDEX(Surface_Engine!$B$12:$B$72,$A1131+1))),IF(E1131&lt;=0,0,MAX(0,(B1131/E1131)*I1131/INDEX(Surface_Engine!$B$12:$B$72,$A1131+1)-F1131/INDEX(Surface_Engine!$B$12:$B$72,$A1131+1))),IF($A1131&lt;$Q$1077,MAX(0,-Assumptions!$B$22*(F1131/INDEX(Surface_Engine!$B$12:$B$72,$A1131+1))),0)))*(MAX(0,J1131/INDEX(Surface_Engine!$B$12:$B$72,$A1131+1)-(F1131/INDEX(Surface_Engine!$B$12:$B$72,$A1131+1)))))</f>
        <v>0</v>
      </c>
      <c r="L1131" s="48" t="n">
        <f aca="false">K1131*INDEX(Surface_Engine!$B$12:$B$72,$A1131+1)+L1132</f>
        <v>0</v>
      </c>
      <c r="M1131" s="48" t="n">
        <f aca="false">M1130+B1130*(IF($A1130&lt;$Q$1077,(Surface_Engine!G246*12)-(Surface_Engine!G246*12)*INDEX(Surface_Engine!$F$12:$F$72,$A1130+1)-INDEX(Surface_Engine!$D$12:$D$72,$A1130+1),-(1000*12*INDEX(Surface_Engine!$C$12:$C$72,$A1130+1)/(1+Assumptions!$B$10)^10+INDEX(Surface_Engine!$D$12:$D$72,$A1130+1))))*INDEX(Surface_Engine!$B$12:$B$72,$A1130+1)</f>
        <v>2783.53396793924</v>
      </c>
      <c r="N1131" s="12" t="n">
        <f aca="false">IF(B1131&lt;=0,0,MAX(0,(K1131+Assumptions!$B$29*L1131/INDEX(Surface_Engine!$B$12:$B$72,$A1131+1)-(M1131/INDEX(Surface_Engine!$B$12:$B$72,$A1131+1)-(F1131/INDEX(Surface_Engine!$B$12:$B$72,$A1131+1))))/B1131))</f>
        <v>0</v>
      </c>
    </row>
    <row r="1132" customFormat="false" ht="15" hidden="false" customHeight="true" outlineLevel="0" collapsed="false">
      <c r="A1132" s="1" t="n">
        <v>53</v>
      </c>
      <c r="B1132" s="32" t="n">
        <f aca="false">INDEX(Surface_Engine!$Q$12:$Q$72,$A1132+1)*IF($A1132&lt;$Q$1077,INDEX(Surface_Engine!$E$12:$E$72,$A1132+1),INDEX(Surface_Engine!$E$12:$E$72,$Q$1077+1))</f>
        <v>0</v>
      </c>
      <c r="C1132" s="32" t="n">
        <f aca="false">INDEX(Panel_Reserving!$F$8:$F$68,$A1132+1)*IF($A1132&lt;$Q$1077,INDEX(Surface_Engine!$E$12:$E$72,$A1132+1),INDEX(Surface_Engine!$E$12:$E$72,$Q$1077+1))</f>
        <v>0</v>
      </c>
      <c r="D1132" s="32" t="n">
        <f aca="false">INDEX(Surface_Engine!$Q$12:$Q$72,$A1132+1)*IF($A1132&lt;$Q$1077,INDEX(Surface_Engine!$Y$12:$Y$72,$A1132+1),INDEX(Surface_Engine!$Y$12:$Y$72,$Q$1077+1))</f>
        <v>0</v>
      </c>
      <c r="E1132" s="32" t="n">
        <f aca="false">INDEX(Surface_Engine!$Q$12:$Q$72,$A1132+1)*IF($A1132&lt;$Q$1077,INDEX(Surface_Engine!$Z$12:$Z$72,$A1132+1),INDEX(Surface_Engine!$Z$12:$Z$72,$Q$1077+1))</f>
        <v>0</v>
      </c>
      <c r="F1132" s="48" t="n">
        <f aca="false">B1132*(IF($A1132&lt;$Q$1077,INDEX(Surface_Engine!$D$12:$D$72,$A1132+1)+(Surface_Engine!G246*12)*INDEX(Surface_Engine!$F$12:$F$72,$A1132+1)-(Surface_Engine!G246*12),1000*12*INDEX(Surface_Engine!$C$12:$C$72,$A1132+1)/(1+Assumptions!$B$10)^10+INDEX(Surface_Engine!$D$12:$D$72,$A1132+1)))*INDEX(Surface_Engine!$B$12:$B$72,$A1132+1)+F1133</f>
        <v>0</v>
      </c>
      <c r="G1132" s="48" t="n">
        <f aca="false">C1132*(IF($A1132&lt;$Q$1077,INDEX(Surface_Engine!$D$12:$D$72,$A1132+1)+(Surface_Engine!G246*12)*INDEX(Surface_Engine!$F$12:$F$72,$A1132+1)-(Surface_Engine!G246*12),1000*12*INDEX(Surface_Engine!$C$12:$C$72,$A1132+1)/(1+Assumptions!$B$10)^10+INDEX(Surface_Engine!$D$12:$D$72,$A1132+1)))*INDEX(Surface_Engine!$B$12:$B$72,$A1132+1)+G1133</f>
        <v>0</v>
      </c>
      <c r="H1132" s="48" t="n">
        <f aca="false">D1132*(IF($A1132&lt;$Q$1077,INDEX(Surface_Engine!$D$12:$D$72,$A1132+1)+(Surface_Engine!G246*12)*INDEX(Surface_Engine!$F$12:$F$72,$A1132+1)-(Surface_Engine!G246*12),1000*12*INDEX(Surface_Engine!$C$12:$C$72,$A1132+1)/(1+Assumptions!$B$10)^10+INDEX(Surface_Engine!$D$12:$D$72,$A1132+1)))*INDEX(Surface_Engine!$B$12:$B$72,$A1132+1)+H1133</f>
        <v>0</v>
      </c>
      <c r="I1132" s="48" t="n">
        <f aca="false">E1132*(IF($A1132&lt;$Q$1077,INDEX(Surface_Engine!$D$12:$D$72,$A1132+1)+(Surface_Engine!G246*12)*INDEX(Surface_Engine!$F$12:$F$72,$A1132+1)-(Surface_Engine!G246*12),1000*12*INDEX(Surface_Engine!$C$12:$C$72,$A1132+1)/(1+Assumptions!$B$10)^10+INDEX(Surface_Engine!$D$12:$D$72,$A1132+1)))*INDEX(Surface_Engine!$B$12:$B$72,$A1132+1)+I1133</f>
        <v>0</v>
      </c>
      <c r="J1132" s="48" t="n">
        <f aca="false">B1132*(IF($A1132&lt;$Q$1077,INDEX(Surface_Engine!$D$12:$D$72,$A1132+1)*(1+Assumptions!$B$24)+(Surface_Engine!G246*12)*INDEX(Surface_Engine!$F$12:$F$72,$A1132+1)-(Surface_Engine!G246*12),1000*12*INDEX(Surface_Engine!$C$12:$C$72,$A1132+1)/(1+Assumptions!$B$10)^10+INDEX(Surface_Engine!$D$12:$D$72,$A1132+1)*(1+Assumptions!$B$24)))*INDEX(Surface_Engine!$B$12:$B$72,$A1132+1)+J1133</f>
        <v>0</v>
      </c>
      <c r="K1132" s="12" t="n">
        <f aca="false">SQRT((IF(C1132&lt;=0,0,MAX(0,(B1132/C1132)*G1132/INDEX(Surface_Engine!$B$12:$B$72,$A1132+1)-F1132/INDEX(Surface_Engine!$B$12:$B$72,$A1132+1))))^2+(MAX(IF(D1132&lt;=0,0,MAX(0,(B1132/D1132)*H1132/INDEX(Surface_Engine!$B$12:$B$72,$A1132+1)-F1132/INDEX(Surface_Engine!$B$12:$B$72,$A1132+1))),IF(E1132&lt;=0,0,MAX(0,(B1132/E1132)*I1132/INDEX(Surface_Engine!$B$12:$B$72,$A1132+1)-F1132/INDEX(Surface_Engine!$B$12:$B$72,$A1132+1))),IF($A1132&lt;$Q$1077,MAX(0,-Assumptions!$B$22*(F1132/INDEX(Surface_Engine!$B$12:$B$72,$A1132+1))),0)))^2+(MAX(0,J1132/INDEX(Surface_Engine!$B$12:$B$72,$A1132+1)-(F1132/INDEX(Surface_Engine!$B$12:$B$72,$A1132+1))))^2+2*Assumptions!$B$26*(IF(C1132&lt;=0,0,MAX(0,(B1132/C1132)*G1132/INDEX(Surface_Engine!$B$12:$B$72,$A1132+1)-F1132/INDEX(Surface_Engine!$B$12:$B$72,$A1132+1))))*(MAX(IF(D1132&lt;=0,0,MAX(0,(B1132/D1132)*H1132/INDEX(Surface_Engine!$B$12:$B$72,$A1132+1)-F1132/INDEX(Surface_Engine!$B$12:$B$72,$A1132+1))),IF(E1132&lt;=0,0,MAX(0,(B1132/E1132)*I1132/INDEX(Surface_Engine!$B$12:$B$72,$A1132+1)-F1132/INDEX(Surface_Engine!$B$12:$B$72,$A1132+1))),IF($A1132&lt;$Q$1077,MAX(0,-Assumptions!$B$22*(F1132/INDEX(Surface_Engine!$B$12:$B$72,$A1132+1))),0)))+2*Assumptions!$B$27*(IF(C1132&lt;=0,0,MAX(0,(B1132/C1132)*G1132/INDEX(Surface_Engine!$B$12:$B$72,$A1132+1)-F1132/INDEX(Surface_Engine!$B$12:$B$72,$A1132+1))))*(MAX(0,J1132/INDEX(Surface_Engine!$B$12:$B$72,$A1132+1)-(F1132/INDEX(Surface_Engine!$B$12:$B$72,$A1132+1))))+2*Assumptions!$B$28*(MAX(IF(D1132&lt;=0,0,MAX(0,(B1132/D1132)*H1132/INDEX(Surface_Engine!$B$12:$B$72,$A1132+1)-F1132/INDEX(Surface_Engine!$B$12:$B$72,$A1132+1))),IF(E1132&lt;=0,0,MAX(0,(B1132/E1132)*I1132/INDEX(Surface_Engine!$B$12:$B$72,$A1132+1)-F1132/INDEX(Surface_Engine!$B$12:$B$72,$A1132+1))),IF($A1132&lt;$Q$1077,MAX(0,-Assumptions!$B$22*(F1132/INDEX(Surface_Engine!$B$12:$B$72,$A1132+1))),0)))*(MAX(0,J1132/INDEX(Surface_Engine!$B$12:$B$72,$A1132+1)-(F1132/INDEX(Surface_Engine!$B$12:$B$72,$A1132+1)))))</f>
        <v>0</v>
      </c>
      <c r="L1132" s="48" t="n">
        <f aca="false">K1132*INDEX(Surface_Engine!$B$12:$B$72,$A1132+1)+L1133</f>
        <v>0</v>
      </c>
      <c r="M1132" s="48" t="n">
        <f aca="false">M1131+B1131*(IF($A1131&lt;$Q$1077,(Surface_Engine!G246*12)-(Surface_Engine!G246*12)*INDEX(Surface_Engine!$F$12:$F$72,$A1131+1)-INDEX(Surface_Engine!$D$12:$D$72,$A1131+1),-(1000*12*INDEX(Surface_Engine!$C$12:$C$72,$A1131+1)/(1+Assumptions!$B$10)^10+INDEX(Surface_Engine!$D$12:$D$72,$A1131+1))))*INDEX(Surface_Engine!$B$12:$B$72,$A1131+1)</f>
        <v>2783.53396793924</v>
      </c>
      <c r="N1132" s="12" t="n">
        <f aca="false">IF(B1132&lt;=0,0,MAX(0,(K1132+Assumptions!$B$29*L1132/INDEX(Surface_Engine!$B$12:$B$72,$A1132+1)-(M1132/INDEX(Surface_Engine!$B$12:$B$72,$A1132+1)-(F1132/INDEX(Surface_Engine!$B$12:$B$72,$A1132+1))))/B1132))</f>
        <v>0</v>
      </c>
    </row>
    <row r="1133" customFormat="false" ht="15" hidden="false" customHeight="true" outlineLevel="0" collapsed="false">
      <c r="A1133" s="1" t="n">
        <v>54</v>
      </c>
      <c r="B1133" s="32" t="n">
        <f aca="false">INDEX(Surface_Engine!$Q$12:$Q$72,$A1133+1)*IF($A1133&lt;$Q$1077,INDEX(Surface_Engine!$E$12:$E$72,$A1133+1),INDEX(Surface_Engine!$E$12:$E$72,$Q$1077+1))</f>
        <v>0</v>
      </c>
      <c r="C1133" s="32" t="n">
        <f aca="false">INDEX(Panel_Reserving!$F$8:$F$68,$A1133+1)*IF($A1133&lt;$Q$1077,INDEX(Surface_Engine!$E$12:$E$72,$A1133+1),INDEX(Surface_Engine!$E$12:$E$72,$Q$1077+1))</f>
        <v>0</v>
      </c>
      <c r="D1133" s="32" t="n">
        <f aca="false">INDEX(Surface_Engine!$Q$12:$Q$72,$A1133+1)*IF($A1133&lt;$Q$1077,INDEX(Surface_Engine!$Y$12:$Y$72,$A1133+1),INDEX(Surface_Engine!$Y$12:$Y$72,$Q$1077+1))</f>
        <v>0</v>
      </c>
      <c r="E1133" s="32" t="n">
        <f aca="false">INDEX(Surface_Engine!$Q$12:$Q$72,$A1133+1)*IF($A1133&lt;$Q$1077,INDEX(Surface_Engine!$Z$12:$Z$72,$A1133+1),INDEX(Surface_Engine!$Z$12:$Z$72,$Q$1077+1))</f>
        <v>0</v>
      </c>
      <c r="F1133" s="48" t="n">
        <f aca="false">B1133*(IF($A1133&lt;$Q$1077,INDEX(Surface_Engine!$D$12:$D$72,$A1133+1)+(Surface_Engine!G246*12)*INDEX(Surface_Engine!$F$12:$F$72,$A1133+1)-(Surface_Engine!G246*12),1000*12*INDEX(Surface_Engine!$C$12:$C$72,$A1133+1)/(1+Assumptions!$B$10)^10+INDEX(Surface_Engine!$D$12:$D$72,$A1133+1)))*INDEX(Surface_Engine!$B$12:$B$72,$A1133+1)+F1134</f>
        <v>0</v>
      </c>
      <c r="G1133" s="48" t="n">
        <f aca="false">C1133*(IF($A1133&lt;$Q$1077,INDEX(Surface_Engine!$D$12:$D$72,$A1133+1)+(Surface_Engine!G246*12)*INDEX(Surface_Engine!$F$12:$F$72,$A1133+1)-(Surface_Engine!G246*12),1000*12*INDEX(Surface_Engine!$C$12:$C$72,$A1133+1)/(1+Assumptions!$B$10)^10+INDEX(Surface_Engine!$D$12:$D$72,$A1133+1)))*INDEX(Surface_Engine!$B$12:$B$72,$A1133+1)+G1134</f>
        <v>0</v>
      </c>
      <c r="H1133" s="48" t="n">
        <f aca="false">D1133*(IF($A1133&lt;$Q$1077,INDEX(Surface_Engine!$D$12:$D$72,$A1133+1)+(Surface_Engine!G246*12)*INDEX(Surface_Engine!$F$12:$F$72,$A1133+1)-(Surface_Engine!G246*12),1000*12*INDEX(Surface_Engine!$C$12:$C$72,$A1133+1)/(1+Assumptions!$B$10)^10+INDEX(Surface_Engine!$D$12:$D$72,$A1133+1)))*INDEX(Surface_Engine!$B$12:$B$72,$A1133+1)+H1134</f>
        <v>0</v>
      </c>
      <c r="I1133" s="48" t="n">
        <f aca="false">E1133*(IF($A1133&lt;$Q$1077,INDEX(Surface_Engine!$D$12:$D$72,$A1133+1)+(Surface_Engine!G246*12)*INDEX(Surface_Engine!$F$12:$F$72,$A1133+1)-(Surface_Engine!G246*12),1000*12*INDEX(Surface_Engine!$C$12:$C$72,$A1133+1)/(1+Assumptions!$B$10)^10+INDEX(Surface_Engine!$D$12:$D$72,$A1133+1)))*INDEX(Surface_Engine!$B$12:$B$72,$A1133+1)+I1134</f>
        <v>0</v>
      </c>
      <c r="J1133" s="48" t="n">
        <f aca="false">B1133*(IF($A1133&lt;$Q$1077,INDEX(Surface_Engine!$D$12:$D$72,$A1133+1)*(1+Assumptions!$B$24)+(Surface_Engine!G246*12)*INDEX(Surface_Engine!$F$12:$F$72,$A1133+1)-(Surface_Engine!G246*12),1000*12*INDEX(Surface_Engine!$C$12:$C$72,$A1133+1)/(1+Assumptions!$B$10)^10+INDEX(Surface_Engine!$D$12:$D$72,$A1133+1)*(1+Assumptions!$B$24)))*INDEX(Surface_Engine!$B$12:$B$72,$A1133+1)+J1134</f>
        <v>0</v>
      </c>
      <c r="K1133" s="12" t="n">
        <f aca="false">SQRT((IF(C1133&lt;=0,0,MAX(0,(B1133/C1133)*G1133/INDEX(Surface_Engine!$B$12:$B$72,$A1133+1)-F1133/INDEX(Surface_Engine!$B$12:$B$72,$A1133+1))))^2+(MAX(IF(D1133&lt;=0,0,MAX(0,(B1133/D1133)*H1133/INDEX(Surface_Engine!$B$12:$B$72,$A1133+1)-F1133/INDEX(Surface_Engine!$B$12:$B$72,$A1133+1))),IF(E1133&lt;=0,0,MAX(0,(B1133/E1133)*I1133/INDEX(Surface_Engine!$B$12:$B$72,$A1133+1)-F1133/INDEX(Surface_Engine!$B$12:$B$72,$A1133+1))),IF($A1133&lt;$Q$1077,MAX(0,-Assumptions!$B$22*(F1133/INDEX(Surface_Engine!$B$12:$B$72,$A1133+1))),0)))^2+(MAX(0,J1133/INDEX(Surface_Engine!$B$12:$B$72,$A1133+1)-(F1133/INDEX(Surface_Engine!$B$12:$B$72,$A1133+1))))^2+2*Assumptions!$B$26*(IF(C1133&lt;=0,0,MAX(0,(B1133/C1133)*G1133/INDEX(Surface_Engine!$B$12:$B$72,$A1133+1)-F1133/INDEX(Surface_Engine!$B$12:$B$72,$A1133+1))))*(MAX(IF(D1133&lt;=0,0,MAX(0,(B1133/D1133)*H1133/INDEX(Surface_Engine!$B$12:$B$72,$A1133+1)-F1133/INDEX(Surface_Engine!$B$12:$B$72,$A1133+1))),IF(E1133&lt;=0,0,MAX(0,(B1133/E1133)*I1133/INDEX(Surface_Engine!$B$12:$B$72,$A1133+1)-F1133/INDEX(Surface_Engine!$B$12:$B$72,$A1133+1))),IF($A1133&lt;$Q$1077,MAX(0,-Assumptions!$B$22*(F1133/INDEX(Surface_Engine!$B$12:$B$72,$A1133+1))),0)))+2*Assumptions!$B$27*(IF(C1133&lt;=0,0,MAX(0,(B1133/C1133)*G1133/INDEX(Surface_Engine!$B$12:$B$72,$A1133+1)-F1133/INDEX(Surface_Engine!$B$12:$B$72,$A1133+1))))*(MAX(0,J1133/INDEX(Surface_Engine!$B$12:$B$72,$A1133+1)-(F1133/INDEX(Surface_Engine!$B$12:$B$72,$A1133+1))))+2*Assumptions!$B$28*(MAX(IF(D1133&lt;=0,0,MAX(0,(B1133/D1133)*H1133/INDEX(Surface_Engine!$B$12:$B$72,$A1133+1)-F1133/INDEX(Surface_Engine!$B$12:$B$72,$A1133+1))),IF(E1133&lt;=0,0,MAX(0,(B1133/E1133)*I1133/INDEX(Surface_Engine!$B$12:$B$72,$A1133+1)-F1133/INDEX(Surface_Engine!$B$12:$B$72,$A1133+1))),IF($A1133&lt;$Q$1077,MAX(0,-Assumptions!$B$22*(F1133/INDEX(Surface_Engine!$B$12:$B$72,$A1133+1))),0)))*(MAX(0,J1133/INDEX(Surface_Engine!$B$12:$B$72,$A1133+1)-(F1133/INDEX(Surface_Engine!$B$12:$B$72,$A1133+1)))))</f>
        <v>0</v>
      </c>
      <c r="L1133" s="48" t="n">
        <f aca="false">K1133*INDEX(Surface_Engine!$B$12:$B$72,$A1133+1)+L1134</f>
        <v>0</v>
      </c>
      <c r="M1133" s="48" t="n">
        <f aca="false">M1132+B1132*(IF($A1132&lt;$Q$1077,(Surface_Engine!G246*12)-(Surface_Engine!G246*12)*INDEX(Surface_Engine!$F$12:$F$72,$A1132+1)-INDEX(Surface_Engine!$D$12:$D$72,$A1132+1),-(1000*12*INDEX(Surface_Engine!$C$12:$C$72,$A1132+1)/(1+Assumptions!$B$10)^10+INDEX(Surface_Engine!$D$12:$D$72,$A1132+1))))*INDEX(Surface_Engine!$B$12:$B$72,$A1132+1)</f>
        <v>2783.53396793924</v>
      </c>
      <c r="N1133" s="12" t="n">
        <f aca="false">IF(B1133&lt;=0,0,MAX(0,(K1133+Assumptions!$B$29*L1133/INDEX(Surface_Engine!$B$12:$B$72,$A1133+1)-(M1133/INDEX(Surface_Engine!$B$12:$B$72,$A1133+1)-(F1133/INDEX(Surface_Engine!$B$12:$B$72,$A1133+1))))/B1133))</f>
        <v>0</v>
      </c>
    </row>
    <row r="1134" customFormat="false" ht="15" hidden="false" customHeight="true" outlineLevel="0" collapsed="false">
      <c r="A1134" s="1" t="n">
        <v>55</v>
      </c>
      <c r="B1134" s="32" t="n">
        <f aca="false">INDEX(Surface_Engine!$Q$12:$Q$72,$A1134+1)*IF($A1134&lt;$Q$1077,INDEX(Surface_Engine!$E$12:$E$72,$A1134+1),INDEX(Surface_Engine!$E$12:$E$72,$Q$1077+1))</f>
        <v>0</v>
      </c>
      <c r="C1134" s="32" t="n">
        <f aca="false">INDEX(Panel_Reserving!$F$8:$F$68,$A1134+1)*IF($A1134&lt;$Q$1077,INDEX(Surface_Engine!$E$12:$E$72,$A1134+1),INDEX(Surface_Engine!$E$12:$E$72,$Q$1077+1))</f>
        <v>0</v>
      </c>
      <c r="D1134" s="32" t="n">
        <f aca="false">INDEX(Surface_Engine!$Q$12:$Q$72,$A1134+1)*IF($A1134&lt;$Q$1077,INDEX(Surface_Engine!$Y$12:$Y$72,$A1134+1),INDEX(Surface_Engine!$Y$12:$Y$72,$Q$1077+1))</f>
        <v>0</v>
      </c>
      <c r="E1134" s="32" t="n">
        <f aca="false">INDEX(Surface_Engine!$Q$12:$Q$72,$A1134+1)*IF($A1134&lt;$Q$1077,INDEX(Surface_Engine!$Z$12:$Z$72,$A1134+1),INDEX(Surface_Engine!$Z$12:$Z$72,$Q$1077+1))</f>
        <v>0</v>
      </c>
      <c r="F1134" s="48" t="n">
        <f aca="false">B1134*(IF($A1134&lt;$Q$1077,INDEX(Surface_Engine!$D$12:$D$72,$A1134+1)+(Surface_Engine!G246*12)*INDEX(Surface_Engine!$F$12:$F$72,$A1134+1)-(Surface_Engine!G246*12),1000*12*INDEX(Surface_Engine!$C$12:$C$72,$A1134+1)/(1+Assumptions!$B$10)^10+INDEX(Surface_Engine!$D$12:$D$72,$A1134+1)))*INDEX(Surface_Engine!$B$12:$B$72,$A1134+1)+F1135</f>
        <v>0</v>
      </c>
      <c r="G1134" s="48" t="n">
        <f aca="false">C1134*(IF($A1134&lt;$Q$1077,INDEX(Surface_Engine!$D$12:$D$72,$A1134+1)+(Surface_Engine!G246*12)*INDEX(Surface_Engine!$F$12:$F$72,$A1134+1)-(Surface_Engine!G246*12),1000*12*INDEX(Surface_Engine!$C$12:$C$72,$A1134+1)/(1+Assumptions!$B$10)^10+INDEX(Surface_Engine!$D$12:$D$72,$A1134+1)))*INDEX(Surface_Engine!$B$12:$B$72,$A1134+1)+G1135</f>
        <v>0</v>
      </c>
      <c r="H1134" s="48" t="n">
        <f aca="false">D1134*(IF($A1134&lt;$Q$1077,INDEX(Surface_Engine!$D$12:$D$72,$A1134+1)+(Surface_Engine!G246*12)*INDEX(Surface_Engine!$F$12:$F$72,$A1134+1)-(Surface_Engine!G246*12),1000*12*INDEX(Surface_Engine!$C$12:$C$72,$A1134+1)/(1+Assumptions!$B$10)^10+INDEX(Surface_Engine!$D$12:$D$72,$A1134+1)))*INDEX(Surface_Engine!$B$12:$B$72,$A1134+1)+H1135</f>
        <v>0</v>
      </c>
      <c r="I1134" s="48" t="n">
        <f aca="false">E1134*(IF($A1134&lt;$Q$1077,INDEX(Surface_Engine!$D$12:$D$72,$A1134+1)+(Surface_Engine!G246*12)*INDEX(Surface_Engine!$F$12:$F$72,$A1134+1)-(Surface_Engine!G246*12),1000*12*INDEX(Surface_Engine!$C$12:$C$72,$A1134+1)/(1+Assumptions!$B$10)^10+INDEX(Surface_Engine!$D$12:$D$72,$A1134+1)))*INDEX(Surface_Engine!$B$12:$B$72,$A1134+1)+I1135</f>
        <v>0</v>
      </c>
      <c r="J1134" s="48" t="n">
        <f aca="false">B1134*(IF($A1134&lt;$Q$1077,INDEX(Surface_Engine!$D$12:$D$72,$A1134+1)*(1+Assumptions!$B$24)+(Surface_Engine!G246*12)*INDEX(Surface_Engine!$F$12:$F$72,$A1134+1)-(Surface_Engine!G246*12),1000*12*INDEX(Surface_Engine!$C$12:$C$72,$A1134+1)/(1+Assumptions!$B$10)^10+INDEX(Surface_Engine!$D$12:$D$72,$A1134+1)*(1+Assumptions!$B$24)))*INDEX(Surface_Engine!$B$12:$B$72,$A1134+1)+J1135</f>
        <v>0</v>
      </c>
      <c r="K1134" s="12" t="n">
        <f aca="false">SQRT((IF(C1134&lt;=0,0,MAX(0,(B1134/C1134)*G1134/INDEX(Surface_Engine!$B$12:$B$72,$A1134+1)-F1134/INDEX(Surface_Engine!$B$12:$B$72,$A1134+1))))^2+(MAX(IF(D1134&lt;=0,0,MAX(0,(B1134/D1134)*H1134/INDEX(Surface_Engine!$B$12:$B$72,$A1134+1)-F1134/INDEX(Surface_Engine!$B$12:$B$72,$A1134+1))),IF(E1134&lt;=0,0,MAX(0,(B1134/E1134)*I1134/INDEX(Surface_Engine!$B$12:$B$72,$A1134+1)-F1134/INDEX(Surface_Engine!$B$12:$B$72,$A1134+1))),IF($A1134&lt;$Q$1077,MAX(0,-Assumptions!$B$22*(F1134/INDEX(Surface_Engine!$B$12:$B$72,$A1134+1))),0)))^2+(MAX(0,J1134/INDEX(Surface_Engine!$B$12:$B$72,$A1134+1)-(F1134/INDEX(Surface_Engine!$B$12:$B$72,$A1134+1))))^2+2*Assumptions!$B$26*(IF(C1134&lt;=0,0,MAX(0,(B1134/C1134)*G1134/INDEX(Surface_Engine!$B$12:$B$72,$A1134+1)-F1134/INDEX(Surface_Engine!$B$12:$B$72,$A1134+1))))*(MAX(IF(D1134&lt;=0,0,MAX(0,(B1134/D1134)*H1134/INDEX(Surface_Engine!$B$12:$B$72,$A1134+1)-F1134/INDEX(Surface_Engine!$B$12:$B$72,$A1134+1))),IF(E1134&lt;=0,0,MAX(0,(B1134/E1134)*I1134/INDEX(Surface_Engine!$B$12:$B$72,$A1134+1)-F1134/INDEX(Surface_Engine!$B$12:$B$72,$A1134+1))),IF($A1134&lt;$Q$1077,MAX(0,-Assumptions!$B$22*(F1134/INDEX(Surface_Engine!$B$12:$B$72,$A1134+1))),0)))+2*Assumptions!$B$27*(IF(C1134&lt;=0,0,MAX(0,(B1134/C1134)*G1134/INDEX(Surface_Engine!$B$12:$B$72,$A1134+1)-F1134/INDEX(Surface_Engine!$B$12:$B$72,$A1134+1))))*(MAX(0,J1134/INDEX(Surface_Engine!$B$12:$B$72,$A1134+1)-(F1134/INDEX(Surface_Engine!$B$12:$B$72,$A1134+1))))+2*Assumptions!$B$28*(MAX(IF(D1134&lt;=0,0,MAX(0,(B1134/D1134)*H1134/INDEX(Surface_Engine!$B$12:$B$72,$A1134+1)-F1134/INDEX(Surface_Engine!$B$12:$B$72,$A1134+1))),IF(E1134&lt;=0,0,MAX(0,(B1134/E1134)*I1134/INDEX(Surface_Engine!$B$12:$B$72,$A1134+1)-F1134/INDEX(Surface_Engine!$B$12:$B$72,$A1134+1))),IF($A1134&lt;$Q$1077,MAX(0,-Assumptions!$B$22*(F1134/INDEX(Surface_Engine!$B$12:$B$72,$A1134+1))),0)))*(MAX(0,J1134/INDEX(Surface_Engine!$B$12:$B$72,$A1134+1)-(F1134/INDEX(Surface_Engine!$B$12:$B$72,$A1134+1)))))</f>
        <v>0</v>
      </c>
      <c r="L1134" s="48" t="n">
        <f aca="false">K1134*INDEX(Surface_Engine!$B$12:$B$72,$A1134+1)+L1135</f>
        <v>0</v>
      </c>
      <c r="M1134" s="48" t="n">
        <f aca="false">M1133+B1133*(IF($A1133&lt;$Q$1077,(Surface_Engine!G246*12)-(Surface_Engine!G246*12)*INDEX(Surface_Engine!$F$12:$F$72,$A1133+1)-INDEX(Surface_Engine!$D$12:$D$72,$A1133+1),-(1000*12*INDEX(Surface_Engine!$C$12:$C$72,$A1133+1)/(1+Assumptions!$B$10)^10+INDEX(Surface_Engine!$D$12:$D$72,$A1133+1))))*INDEX(Surface_Engine!$B$12:$B$72,$A1133+1)</f>
        <v>2783.53396793924</v>
      </c>
      <c r="N1134" s="12" t="n">
        <f aca="false">IF(B1134&lt;=0,0,MAX(0,(K1134+Assumptions!$B$29*L1134/INDEX(Surface_Engine!$B$12:$B$72,$A1134+1)-(M1134/INDEX(Surface_Engine!$B$12:$B$72,$A1134+1)-(F1134/INDEX(Surface_Engine!$B$12:$B$72,$A1134+1))))/B1134))</f>
        <v>0</v>
      </c>
    </row>
    <row r="1135" customFormat="false" ht="15" hidden="false" customHeight="true" outlineLevel="0" collapsed="false">
      <c r="A1135" s="1" t="n">
        <v>56</v>
      </c>
      <c r="B1135" s="32" t="n">
        <f aca="false">INDEX(Surface_Engine!$Q$12:$Q$72,$A1135+1)*IF($A1135&lt;$Q$1077,INDEX(Surface_Engine!$E$12:$E$72,$A1135+1),INDEX(Surface_Engine!$E$12:$E$72,$Q$1077+1))</f>
        <v>0</v>
      </c>
      <c r="C1135" s="32" t="n">
        <f aca="false">INDEX(Panel_Reserving!$F$8:$F$68,$A1135+1)*IF($A1135&lt;$Q$1077,INDEX(Surface_Engine!$E$12:$E$72,$A1135+1),INDEX(Surface_Engine!$E$12:$E$72,$Q$1077+1))</f>
        <v>0</v>
      </c>
      <c r="D1135" s="32" t="n">
        <f aca="false">INDEX(Surface_Engine!$Q$12:$Q$72,$A1135+1)*IF($A1135&lt;$Q$1077,INDEX(Surface_Engine!$Y$12:$Y$72,$A1135+1),INDEX(Surface_Engine!$Y$12:$Y$72,$Q$1077+1))</f>
        <v>0</v>
      </c>
      <c r="E1135" s="32" t="n">
        <f aca="false">INDEX(Surface_Engine!$Q$12:$Q$72,$A1135+1)*IF($A1135&lt;$Q$1077,INDEX(Surface_Engine!$Z$12:$Z$72,$A1135+1),INDEX(Surface_Engine!$Z$12:$Z$72,$Q$1077+1))</f>
        <v>0</v>
      </c>
      <c r="F1135" s="48" t="n">
        <f aca="false">B1135*(IF($A1135&lt;$Q$1077,INDEX(Surface_Engine!$D$12:$D$72,$A1135+1)+(Surface_Engine!G246*12)*INDEX(Surface_Engine!$F$12:$F$72,$A1135+1)-(Surface_Engine!G246*12),1000*12*INDEX(Surface_Engine!$C$12:$C$72,$A1135+1)/(1+Assumptions!$B$10)^10+INDEX(Surface_Engine!$D$12:$D$72,$A1135+1)))*INDEX(Surface_Engine!$B$12:$B$72,$A1135+1)+F1136</f>
        <v>0</v>
      </c>
      <c r="G1135" s="48" t="n">
        <f aca="false">C1135*(IF($A1135&lt;$Q$1077,INDEX(Surface_Engine!$D$12:$D$72,$A1135+1)+(Surface_Engine!G246*12)*INDEX(Surface_Engine!$F$12:$F$72,$A1135+1)-(Surface_Engine!G246*12),1000*12*INDEX(Surface_Engine!$C$12:$C$72,$A1135+1)/(1+Assumptions!$B$10)^10+INDEX(Surface_Engine!$D$12:$D$72,$A1135+1)))*INDEX(Surface_Engine!$B$12:$B$72,$A1135+1)+G1136</f>
        <v>0</v>
      </c>
      <c r="H1135" s="48" t="n">
        <f aca="false">D1135*(IF($A1135&lt;$Q$1077,INDEX(Surface_Engine!$D$12:$D$72,$A1135+1)+(Surface_Engine!G246*12)*INDEX(Surface_Engine!$F$12:$F$72,$A1135+1)-(Surface_Engine!G246*12),1000*12*INDEX(Surface_Engine!$C$12:$C$72,$A1135+1)/(1+Assumptions!$B$10)^10+INDEX(Surface_Engine!$D$12:$D$72,$A1135+1)))*INDEX(Surface_Engine!$B$12:$B$72,$A1135+1)+H1136</f>
        <v>0</v>
      </c>
      <c r="I1135" s="48" t="n">
        <f aca="false">E1135*(IF($A1135&lt;$Q$1077,INDEX(Surface_Engine!$D$12:$D$72,$A1135+1)+(Surface_Engine!G246*12)*INDEX(Surface_Engine!$F$12:$F$72,$A1135+1)-(Surface_Engine!G246*12),1000*12*INDEX(Surface_Engine!$C$12:$C$72,$A1135+1)/(1+Assumptions!$B$10)^10+INDEX(Surface_Engine!$D$12:$D$72,$A1135+1)))*INDEX(Surface_Engine!$B$12:$B$72,$A1135+1)+I1136</f>
        <v>0</v>
      </c>
      <c r="J1135" s="48" t="n">
        <f aca="false">B1135*(IF($A1135&lt;$Q$1077,INDEX(Surface_Engine!$D$12:$D$72,$A1135+1)*(1+Assumptions!$B$24)+(Surface_Engine!G246*12)*INDEX(Surface_Engine!$F$12:$F$72,$A1135+1)-(Surface_Engine!G246*12),1000*12*INDEX(Surface_Engine!$C$12:$C$72,$A1135+1)/(1+Assumptions!$B$10)^10+INDEX(Surface_Engine!$D$12:$D$72,$A1135+1)*(1+Assumptions!$B$24)))*INDEX(Surface_Engine!$B$12:$B$72,$A1135+1)+J1136</f>
        <v>0</v>
      </c>
      <c r="K1135" s="12" t="n">
        <f aca="false">SQRT((IF(C1135&lt;=0,0,MAX(0,(B1135/C1135)*G1135/INDEX(Surface_Engine!$B$12:$B$72,$A1135+1)-F1135/INDEX(Surface_Engine!$B$12:$B$72,$A1135+1))))^2+(MAX(IF(D1135&lt;=0,0,MAX(0,(B1135/D1135)*H1135/INDEX(Surface_Engine!$B$12:$B$72,$A1135+1)-F1135/INDEX(Surface_Engine!$B$12:$B$72,$A1135+1))),IF(E1135&lt;=0,0,MAX(0,(B1135/E1135)*I1135/INDEX(Surface_Engine!$B$12:$B$72,$A1135+1)-F1135/INDEX(Surface_Engine!$B$12:$B$72,$A1135+1))),IF($A1135&lt;$Q$1077,MAX(0,-Assumptions!$B$22*(F1135/INDEX(Surface_Engine!$B$12:$B$72,$A1135+1))),0)))^2+(MAX(0,J1135/INDEX(Surface_Engine!$B$12:$B$72,$A1135+1)-(F1135/INDEX(Surface_Engine!$B$12:$B$72,$A1135+1))))^2+2*Assumptions!$B$26*(IF(C1135&lt;=0,0,MAX(0,(B1135/C1135)*G1135/INDEX(Surface_Engine!$B$12:$B$72,$A1135+1)-F1135/INDEX(Surface_Engine!$B$12:$B$72,$A1135+1))))*(MAX(IF(D1135&lt;=0,0,MAX(0,(B1135/D1135)*H1135/INDEX(Surface_Engine!$B$12:$B$72,$A1135+1)-F1135/INDEX(Surface_Engine!$B$12:$B$72,$A1135+1))),IF(E1135&lt;=0,0,MAX(0,(B1135/E1135)*I1135/INDEX(Surface_Engine!$B$12:$B$72,$A1135+1)-F1135/INDEX(Surface_Engine!$B$12:$B$72,$A1135+1))),IF($A1135&lt;$Q$1077,MAX(0,-Assumptions!$B$22*(F1135/INDEX(Surface_Engine!$B$12:$B$72,$A1135+1))),0)))+2*Assumptions!$B$27*(IF(C1135&lt;=0,0,MAX(0,(B1135/C1135)*G1135/INDEX(Surface_Engine!$B$12:$B$72,$A1135+1)-F1135/INDEX(Surface_Engine!$B$12:$B$72,$A1135+1))))*(MAX(0,J1135/INDEX(Surface_Engine!$B$12:$B$72,$A1135+1)-(F1135/INDEX(Surface_Engine!$B$12:$B$72,$A1135+1))))+2*Assumptions!$B$28*(MAX(IF(D1135&lt;=0,0,MAX(0,(B1135/D1135)*H1135/INDEX(Surface_Engine!$B$12:$B$72,$A1135+1)-F1135/INDEX(Surface_Engine!$B$12:$B$72,$A1135+1))),IF(E1135&lt;=0,0,MAX(0,(B1135/E1135)*I1135/INDEX(Surface_Engine!$B$12:$B$72,$A1135+1)-F1135/INDEX(Surface_Engine!$B$12:$B$72,$A1135+1))),IF($A1135&lt;$Q$1077,MAX(0,-Assumptions!$B$22*(F1135/INDEX(Surface_Engine!$B$12:$B$72,$A1135+1))),0)))*(MAX(0,J1135/INDEX(Surface_Engine!$B$12:$B$72,$A1135+1)-(F1135/INDEX(Surface_Engine!$B$12:$B$72,$A1135+1)))))</f>
        <v>0</v>
      </c>
      <c r="L1135" s="48" t="n">
        <f aca="false">K1135*INDEX(Surface_Engine!$B$12:$B$72,$A1135+1)+L1136</f>
        <v>0</v>
      </c>
      <c r="M1135" s="48" t="n">
        <f aca="false">M1134+B1134*(IF($A1134&lt;$Q$1077,(Surface_Engine!G246*12)-(Surface_Engine!G246*12)*INDEX(Surface_Engine!$F$12:$F$72,$A1134+1)-INDEX(Surface_Engine!$D$12:$D$72,$A1134+1),-(1000*12*INDEX(Surface_Engine!$C$12:$C$72,$A1134+1)/(1+Assumptions!$B$10)^10+INDEX(Surface_Engine!$D$12:$D$72,$A1134+1))))*INDEX(Surface_Engine!$B$12:$B$72,$A1134+1)</f>
        <v>2783.53396793924</v>
      </c>
      <c r="N1135" s="12" t="n">
        <f aca="false">IF(B1135&lt;=0,0,MAX(0,(K1135+Assumptions!$B$29*L1135/INDEX(Surface_Engine!$B$12:$B$72,$A1135+1)-(M1135/INDEX(Surface_Engine!$B$12:$B$72,$A1135+1)-(F1135/INDEX(Surface_Engine!$B$12:$B$72,$A1135+1))))/B1135))</f>
        <v>0</v>
      </c>
    </row>
    <row r="1136" customFormat="false" ht="15" hidden="false" customHeight="true" outlineLevel="0" collapsed="false">
      <c r="A1136" s="1" t="n">
        <v>57</v>
      </c>
      <c r="B1136" s="32" t="n">
        <f aca="false">INDEX(Surface_Engine!$Q$12:$Q$72,$A1136+1)*IF($A1136&lt;$Q$1077,INDEX(Surface_Engine!$E$12:$E$72,$A1136+1),INDEX(Surface_Engine!$E$12:$E$72,$Q$1077+1))</f>
        <v>0</v>
      </c>
      <c r="C1136" s="32" t="n">
        <f aca="false">INDEX(Panel_Reserving!$F$8:$F$68,$A1136+1)*IF($A1136&lt;$Q$1077,INDEX(Surface_Engine!$E$12:$E$72,$A1136+1),INDEX(Surface_Engine!$E$12:$E$72,$Q$1077+1))</f>
        <v>0</v>
      </c>
      <c r="D1136" s="32" t="n">
        <f aca="false">INDEX(Surface_Engine!$Q$12:$Q$72,$A1136+1)*IF($A1136&lt;$Q$1077,INDEX(Surface_Engine!$Y$12:$Y$72,$A1136+1),INDEX(Surface_Engine!$Y$12:$Y$72,$Q$1077+1))</f>
        <v>0</v>
      </c>
      <c r="E1136" s="32" t="n">
        <f aca="false">INDEX(Surface_Engine!$Q$12:$Q$72,$A1136+1)*IF($A1136&lt;$Q$1077,INDEX(Surface_Engine!$Z$12:$Z$72,$A1136+1),INDEX(Surface_Engine!$Z$12:$Z$72,$Q$1077+1))</f>
        <v>0</v>
      </c>
      <c r="F1136" s="48" t="n">
        <f aca="false">B1136*(IF($A1136&lt;$Q$1077,INDEX(Surface_Engine!$D$12:$D$72,$A1136+1)+(Surface_Engine!G246*12)*INDEX(Surface_Engine!$F$12:$F$72,$A1136+1)-(Surface_Engine!G246*12),1000*12*INDEX(Surface_Engine!$C$12:$C$72,$A1136+1)/(1+Assumptions!$B$10)^10+INDEX(Surface_Engine!$D$12:$D$72,$A1136+1)))*INDEX(Surface_Engine!$B$12:$B$72,$A1136+1)+F1137</f>
        <v>0</v>
      </c>
      <c r="G1136" s="48" t="n">
        <f aca="false">C1136*(IF($A1136&lt;$Q$1077,INDEX(Surface_Engine!$D$12:$D$72,$A1136+1)+(Surface_Engine!G246*12)*INDEX(Surface_Engine!$F$12:$F$72,$A1136+1)-(Surface_Engine!G246*12),1000*12*INDEX(Surface_Engine!$C$12:$C$72,$A1136+1)/(1+Assumptions!$B$10)^10+INDEX(Surface_Engine!$D$12:$D$72,$A1136+1)))*INDEX(Surface_Engine!$B$12:$B$72,$A1136+1)+G1137</f>
        <v>0</v>
      </c>
      <c r="H1136" s="48" t="n">
        <f aca="false">D1136*(IF($A1136&lt;$Q$1077,INDEX(Surface_Engine!$D$12:$D$72,$A1136+1)+(Surface_Engine!G246*12)*INDEX(Surface_Engine!$F$12:$F$72,$A1136+1)-(Surface_Engine!G246*12),1000*12*INDEX(Surface_Engine!$C$12:$C$72,$A1136+1)/(1+Assumptions!$B$10)^10+INDEX(Surface_Engine!$D$12:$D$72,$A1136+1)))*INDEX(Surface_Engine!$B$12:$B$72,$A1136+1)+H1137</f>
        <v>0</v>
      </c>
      <c r="I1136" s="48" t="n">
        <f aca="false">E1136*(IF($A1136&lt;$Q$1077,INDEX(Surface_Engine!$D$12:$D$72,$A1136+1)+(Surface_Engine!G246*12)*INDEX(Surface_Engine!$F$12:$F$72,$A1136+1)-(Surface_Engine!G246*12),1000*12*INDEX(Surface_Engine!$C$12:$C$72,$A1136+1)/(1+Assumptions!$B$10)^10+INDEX(Surface_Engine!$D$12:$D$72,$A1136+1)))*INDEX(Surface_Engine!$B$12:$B$72,$A1136+1)+I1137</f>
        <v>0</v>
      </c>
      <c r="J1136" s="48" t="n">
        <f aca="false">B1136*(IF($A1136&lt;$Q$1077,INDEX(Surface_Engine!$D$12:$D$72,$A1136+1)*(1+Assumptions!$B$24)+(Surface_Engine!G246*12)*INDEX(Surface_Engine!$F$12:$F$72,$A1136+1)-(Surface_Engine!G246*12),1000*12*INDEX(Surface_Engine!$C$12:$C$72,$A1136+1)/(1+Assumptions!$B$10)^10+INDEX(Surface_Engine!$D$12:$D$72,$A1136+1)*(1+Assumptions!$B$24)))*INDEX(Surface_Engine!$B$12:$B$72,$A1136+1)+J1137</f>
        <v>0</v>
      </c>
      <c r="K1136" s="12" t="n">
        <f aca="false">SQRT((IF(C1136&lt;=0,0,MAX(0,(B1136/C1136)*G1136/INDEX(Surface_Engine!$B$12:$B$72,$A1136+1)-F1136/INDEX(Surface_Engine!$B$12:$B$72,$A1136+1))))^2+(MAX(IF(D1136&lt;=0,0,MAX(0,(B1136/D1136)*H1136/INDEX(Surface_Engine!$B$12:$B$72,$A1136+1)-F1136/INDEX(Surface_Engine!$B$12:$B$72,$A1136+1))),IF(E1136&lt;=0,0,MAX(0,(B1136/E1136)*I1136/INDEX(Surface_Engine!$B$12:$B$72,$A1136+1)-F1136/INDEX(Surface_Engine!$B$12:$B$72,$A1136+1))),IF($A1136&lt;$Q$1077,MAX(0,-Assumptions!$B$22*(F1136/INDEX(Surface_Engine!$B$12:$B$72,$A1136+1))),0)))^2+(MAX(0,J1136/INDEX(Surface_Engine!$B$12:$B$72,$A1136+1)-(F1136/INDEX(Surface_Engine!$B$12:$B$72,$A1136+1))))^2+2*Assumptions!$B$26*(IF(C1136&lt;=0,0,MAX(0,(B1136/C1136)*G1136/INDEX(Surface_Engine!$B$12:$B$72,$A1136+1)-F1136/INDEX(Surface_Engine!$B$12:$B$72,$A1136+1))))*(MAX(IF(D1136&lt;=0,0,MAX(0,(B1136/D1136)*H1136/INDEX(Surface_Engine!$B$12:$B$72,$A1136+1)-F1136/INDEX(Surface_Engine!$B$12:$B$72,$A1136+1))),IF(E1136&lt;=0,0,MAX(0,(B1136/E1136)*I1136/INDEX(Surface_Engine!$B$12:$B$72,$A1136+1)-F1136/INDEX(Surface_Engine!$B$12:$B$72,$A1136+1))),IF($A1136&lt;$Q$1077,MAX(0,-Assumptions!$B$22*(F1136/INDEX(Surface_Engine!$B$12:$B$72,$A1136+1))),0)))+2*Assumptions!$B$27*(IF(C1136&lt;=0,0,MAX(0,(B1136/C1136)*G1136/INDEX(Surface_Engine!$B$12:$B$72,$A1136+1)-F1136/INDEX(Surface_Engine!$B$12:$B$72,$A1136+1))))*(MAX(0,J1136/INDEX(Surface_Engine!$B$12:$B$72,$A1136+1)-(F1136/INDEX(Surface_Engine!$B$12:$B$72,$A1136+1))))+2*Assumptions!$B$28*(MAX(IF(D1136&lt;=0,0,MAX(0,(B1136/D1136)*H1136/INDEX(Surface_Engine!$B$12:$B$72,$A1136+1)-F1136/INDEX(Surface_Engine!$B$12:$B$72,$A1136+1))),IF(E1136&lt;=0,0,MAX(0,(B1136/E1136)*I1136/INDEX(Surface_Engine!$B$12:$B$72,$A1136+1)-F1136/INDEX(Surface_Engine!$B$12:$B$72,$A1136+1))),IF($A1136&lt;$Q$1077,MAX(0,-Assumptions!$B$22*(F1136/INDEX(Surface_Engine!$B$12:$B$72,$A1136+1))),0)))*(MAX(0,J1136/INDEX(Surface_Engine!$B$12:$B$72,$A1136+1)-(F1136/INDEX(Surface_Engine!$B$12:$B$72,$A1136+1)))))</f>
        <v>0</v>
      </c>
      <c r="L1136" s="48" t="n">
        <f aca="false">K1136*INDEX(Surface_Engine!$B$12:$B$72,$A1136+1)+L1137</f>
        <v>0</v>
      </c>
      <c r="M1136" s="48" t="n">
        <f aca="false">M1135+B1135*(IF($A1135&lt;$Q$1077,(Surface_Engine!G246*12)-(Surface_Engine!G246*12)*INDEX(Surface_Engine!$F$12:$F$72,$A1135+1)-INDEX(Surface_Engine!$D$12:$D$72,$A1135+1),-(1000*12*INDEX(Surface_Engine!$C$12:$C$72,$A1135+1)/(1+Assumptions!$B$10)^10+INDEX(Surface_Engine!$D$12:$D$72,$A1135+1))))*INDEX(Surface_Engine!$B$12:$B$72,$A1135+1)</f>
        <v>2783.53396793924</v>
      </c>
      <c r="N1136" s="12" t="n">
        <f aca="false">IF(B1136&lt;=0,0,MAX(0,(K1136+Assumptions!$B$29*L1136/INDEX(Surface_Engine!$B$12:$B$72,$A1136+1)-(M1136/INDEX(Surface_Engine!$B$12:$B$72,$A1136+1)-(F1136/INDEX(Surface_Engine!$B$12:$B$72,$A1136+1))))/B1136))</f>
        <v>0</v>
      </c>
    </row>
    <row r="1137" customFormat="false" ht="15" hidden="false" customHeight="true" outlineLevel="0" collapsed="false">
      <c r="A1137" s="1" t="n">
        <v>58</v>
      </c>
      <c r="B1137" s="32" t="n">
        <f aca="false">INDEX(Surface_Engine!$Q$12:$Q$72,$A1137+1)*IF($A1137&lt;$Q$1077,INDEX(Surface_Engine!$E$12:$E$72,$A1137+1),INDEX(Surface_Engine!$E$12:$E$72,$Q$1077+1))</f>
        <v>0</v>
      </c>
      <c r="C1137" s="32" t="n">
        <f aca="false">INDEX(Panel_Reserving!$F$8:$F$68,$A1137+1)*IF($A1137&lt;$Q$1077,INDEX(Surface_Engine!$E$12:$E$72,$A1137+1),INDEX(Surface_Engine!$E$12:$E$72,$Q$1077+1))</f>
        <v>0</v>
      </c>
      <c r="D1137" s="32" t="n">
        <f aca="false">INDEX(Surface_Engine!$Q$12:$Q$72,$A1137+1)*IF($A1137&lt;$Q$1077,INDEX(Surface_Engine!$Y$12:$Y$72,$A1137+1),INDEX(Surface_Engine!$Y$12:$Y$72,$Q$1077+1))</f>
        <v>0</v>
      </c>
      <c r="E1137" s="32" t="n">
        <f aca="false">INDEX(Surface_Engine!$Q$12:$Q$72,$A1137+1)*IF($A1137&lt;$Q$1077,INDEX(Surface_Engine!$Z$12:$Z$72,$A1137+1),INDEX(Surface_Engine!$Z$12:$Z$72,$Q$1077+1))</f>
        <v>0</v>
      </c>
      <c r="F1137" s="48" t="n">
        <f aca="false">B1137*(IF($A1137&lt;$Q$1077,INDEX(Surface_Engine!$D$12:$D$72,$A1137+1)+(Surface_Engine!G246*12)*INDEX(Surface_Engine!$F$12:$F$72,$A1137+1)-(Surface_Engine!G246*12),1000*12*INDEX(Surface_Engine!$C$12:$C$72,$A1137+1)/(1+Assumptions!$B$10)^10+INDEX(Surface_Engine!$D$12:$D$72,$A1137+1)))*INDEX(Surface_Engine!$B$12:$B$72,$A1137+1)+F1138</f>
        <v>0</v>
      </c>
      <c r="G1137" s="48" t="n">
        <f aca="false">C1137*(IF($A1137&lt;$Q$1077,INDEX(Surface_Engine!$D$12:$D$72,$A1137+1)+(Surface_Engine!G246*12)*INDEX(Surface_Engine!$F$12:$F$72,$A1137+1)-(Surface_Engine!G246*12),1000*12*INDEX(Surface_Engine!$C$12:$C$72,$A1137+1)/(1+Assumptions!$B$10)^10+INDEX(Surface_Engine!$D$12:$D$72,$A1137+1)))*INDEX(Surface_Engine!$B$12:$B$72,$A1137+1)+G1138</f>
        <v>0</v>
      </c>
      <c r="H1137" s="48" t="n">
        <f aca="false">D1137*(IF($A1137&lt;$Q$1077,INDEX(Surface_Engine!$D$12:$D$72,$A1137+1)+(Surface_Engine!G246*12)*INDEX(Surface_Engine!$F$12:$F$72,$A1137+1)-(Surface_Engine!G246*12),1000*12*INDEX(Surface_Engine!$C$12:$C$72,$A1137+1)/(1+Assumptions!$B$10)^10+INDEX(Surface_Engine!$D$12:$D$72,$A1137+1)))*INDEX(Surface_Engine!$B$12:$B$72,$A1137+1)+H1138</f>
        <v>0</v>
      </c>
      <c r="I1137" s="48" t="n">
        <f aca="false">E1137*(IF($A1137&lt;$Q$1077,INDEX(Surface_Engine!$D$12:$D$72,$A1137+1)+(Surface_Engine!G246*12)*INDEX(Surface_Engine!$F$12:$F$72,$A1137+1)-(Surface_Engine!G246*12),1000*12*INDEX(Surface_Engine!$C$12:$C$72,$A1137+1)/(1+Assumptions!$B$10)^10+INDEX(Surface_Engine!$D$12:$D$72,$A1137+1)))*INDEX(Surface_Engine!$B$12:$B$72,$A1137+1)+I1138</f>
        <v>0</v>
      </c>
      <c r="J1137" s="48" t="n">
        <f aca="false">B1137*(IF($A1137&lt;$Q$1077,INDEX(Surface_Engine!$D$12:$D$72,$A1137+1)*(1+Assumptions!$B$24)+(Surface_Engine!G246*12)*INDEX(Surface_Engine!$F$12:$F$72,$A1137+1)-(Surface_Engine!G246*12),1000*12*INDEX(Surface_Engine!$C$12:$C$72,$A1137+1)/(1+Assumptions!$B$10)^10+INDEX(Surface_Engine!$D$12:$D$72,$A1137+1)*(1+Assumptions!$B$24)))*INDEX(Surface_Engine!$B$12:$B$72,$A1137+1)+J1138</f>
        <v>0</v>
      </c>
      <c r="K1137" s="12" t="n">
        <f aca="false">SQRT((IF(C1137&lt;=0,0,MAX(0,(B1137/C1137)*G1137/INDEX(Surface_Engine!$B$12:$B$72,$A1137+1)-F1137/INDEX(Surface_Engine!$B$12:$B$72,$A1137+1))))^2+(MAX(IF(D1137&lt;=0,0,MAX(0,(B1137/D1137)*H1137/INDEX(Surface_Engine!$B$12:$B$72,$A1137+1)-F1137/INDEX(Surface_Engine!$B$12:$B$72,$A1137+1))),IF(E1137&lt;=0,0,MAX(0,(B1137/E1137)*I1137/INDEX(Surface_Engine!$B$12:$B$72,$A1137+1)-F1137/INDEX(Surface_Engine!$B$12:$B$72,$A1137+1))),IF($A1137&lt;$Q$1077,MAX(0,-Assumptions!$B$22*(F1137/INDEX(Surface_Engine!$B$12:$B$72,$A1137+1))),0)))^2+(MAX(0,J1137/INDEX(Surface_Engine!$B$12:$B$72,$A1137+1)-(F1137/INDEX(Surface_Engine!$B$12:$B$72,$A1137+1))))^2+2*Assumptions!$B$26*(IF(C1137&lt;=0,0,MAX(0,(B1137/C1137)*G1137/INDEX(Surface_Engine!$B$12:$B$72,$A1137+1)-F1137/INDEX(Surface_Engine!$B$12:$B$72,$A1137+1))))*(MAX(IF(D1137&lt;=0,0,MAX(0,(B1137/D1137)*H1137/INDEX(Surface_Engine!$B$12:$B$72,$A1137+1)-F1137/INDEX(Surface_Engine!$B$12:$B$72,$A1137+1))),IF(E1137&lt;=0,0,MAX(0,(B1137/E1137)*I1137/INDEX(Surface_Engine!$B$12:$B$72,$A1137+1)-F1137/INDEX(Surface_Engine!$B$12:$B$72,$A1137+1))),IF($A1137&lt;$Q$1077,MAX(0,-Assumptions!$B$22*(F1137/INDEX(Surface_Engine!$B$12:$B$72,$A1137+1))),0)))+2*Assumptions!$B$27*(IF(C1137&lt;=0,0,MAX(0,(B1137/C1137)*G1137/INDEX(Surface_Engine!$B$12:$B$72,$A1137+1)-F1137/INDEX(Surface_Engine!$B$12:$B$72,$A1137+1))))*(MAX(0,J1137/INDEX(Surface_Engine!$B$12:$B$72,$A1137+1)-(F1137/INDEX(Surface_Engine!$B$12:$B$72,$A1137+1))))+2*Assumptions!$B$28*(MAX(IF(D1137&lt;=0,0,MAX(0,(B1137/D1137)*H1137/INDEX(Surface_Engine!$B$12:$B$72,$A1137+1)-F1137/INDEX(Surface_Engine!$B$12:$B$72,$A1137+1))),IF(E1137&lt;=0,0,MAX(0,(B1137/E1137)*I1137/INDEX(Surface_Engine!$B$12:$B$72,$A1137+1)-F1137/INDEX(Surface_Engine!$B$12:$B$72,$A1137+1))),IF($A1137&lt;$Q$1077,MAX(0,-Assumptions!$B$22*(F1137/INDEX(Surface_Engine!$B$12:$B$72,$A1137+1))),0)))*(MAX(0,J1137/INDEX(Surface_Engine!$B$12:$B$72,$A1137+1)-(F1137/INDEX(Surface_Engine!$B$12:$B$72,$A1137+1)))))</f>
        <v>0</v>
      </c>
      <c r="L1137" s="48" t="n">
        <f aca="false">K1137*INDEX(Surface_Engine!$B$12:$B$72,$A1137+1)+L1138</f>
        <v>0</v>
      </c>
      <c r="M1137" s="48" t="n">
        <f aca="false">M1136+B1136*(IF($A1136&lt;$Q$1077,(Surface_Engine!G246*12)-(Surface_Engine!G246*12)*INDEX(Surface_Engine!$F$12:$F$72,$A1136+1)-INDEX(Surface_Engine!$D$12:$D$72,$A1136+1),-(1000*12*INDEX(Surface_Engine!$C$12:$C$72,$A1136+1)/(1+Assumptions!$B$10)^10+INDEX(Surface_Engine!$D$12:$D$72,$A1136+1))))*INDEX(Surface_Engine!$B$12:$B$72,$A1136+1)</f>
        <v>2783.53396793924</v>
      </c>
      <c r="N1137" s="12" t="n">
        <f aca="false">IF(B1137&lt;=0,0,MAX(0,(K1137+Assumptions!$B$29*L1137/INDEX(Surface_Engine!$B$12:$B$72,$A1137+1)-(M1137/INDEX(Surface_Engine!$B$12:$B$72,$A1137+1)-(F1137/INDEX(Surface_Engine!$B$12:$B$72,$A1137+1))))/B1137))</f>
        <v>0</v>
      </c>
    </row>
    <row r="1138" customFormat="false" ht="15" hidden="false" customHeight="true" outlineLevel="0" collapsed="false">
      <c r="A1138" s="1" t="n">
        <v>59</v>
      </c>
      <c r="B1138" s="32" t="n">
        <f aca="false">INDEX(Surface_Engine!$Q$12:$Q$72,$A1138+1)*IF($A1138&lt;$Q$1077,INDEX(Surface_Engine!$E$12:$E$72,$A1138+1),INDEX(Surface_Engine!$E$12:$E$72,$Q$1077+1))</f>
        <v>0</v>
      </c>
      <c r="C1138" s="32" t="n">
        <f aca="false">INDEX(Panel_Reserving!$F$8:$F$68,$A1138+1)*IF($A1138&lt;$Q$1077,INDEX(Surface_Engine!$E$12:$E$72,$A1138+1),INDEX(Surface_Engine!$E$12:$E$72,$Q$1077+1))</f>
        <v>0</v>
      </c>
      <c r="D1138" s="32" t="n">
        <f aca="false">INDEX(Surface_Engine!$Q$12:$Q$72,$A1138+1)*IF($A1138&lt;$Q$1077,INDEX(Surface_Engine!$Y$12:$Y$72,$A1138+1),INDEX(Surface_Engine!$Y$12:$Y$72,$Q$1077+1))</f>
        <v>0</v>
      </c>
      <c r="E1138" s="32" t="n">
        <f aca="false">INDEX(Surface_Engine!$Q$12:$Q$72,$A1138+1)*IF($A1138&lt;$Q$1077,INDEX(Surface_Engine!$Z$12:$Z$72,$A1138+1),INDEX(Surface_Engine!$Z$12:$Z$72,$Q$1077+1))</f>
        <v>0</v>
      </c>
      <c r="F1138" s="48" t="n">
        <f aca="false">B1138*(IF($A1138&lt;$Q$1077,INDEX(Surface_Engine!$D$12:$D$72,$A1138+1)+(Surface_Engine!G246*12)*INDEX(Surface_Engine!$F$12:$F$72,$A1138+1)-(Surface_Engine!G246*12),1000*12*INDEX(Surface_Engine!$C$12:$C$72,$A1138+1)/(1+Assumptions!$B$10)^10+INDEX(Surface_Engine!$D$12:$D$72,$A1138+1)))*INDEX(Surface_Engine!$B$12:$B$72,$A1138+1)+F1139</f>
        <v>0</v>
      </c>
      <c r="G1138" s="48" t="n">
        <f aca="false">C1138*(IF($A1138&lt;$Q$1077,INDEX(Surface_Engine!$D$12:$D$72,$A1138+1)+(Surface_Engine!G246*12)*INDEX(Surface_Engine!$F$12:$F$72,$A1138+1)-(Surface_Engine!G246*12),1000*12*INDEX(Surface_Engine!$C$12:$C$72,$A1138+1)/(1+Assumptions!$B$10)^10+INDEX(Surface_Engine!$D$12:$D$72,$A1138+1)))*INDEX(Surface_Engine!$B$12:$B$72,$A1138+1)+G1139</f>
        <v>0</v>
      </c>
      <c r="H1138" s="48" t="n">
        <f aca="false">D1138*(IF($A1138&lt;$Q$1077,INDEX(Surface_Engine!$D$12:$D$72,$A1138+1)+(Surface_Engine!G246*12)*INDEX(Surface_Engine!$F$12:$F$72,$A1138+1)-(Surface_Engine!G246*12),1000*12*INDEX(Surface_Engine!$C$12:$C$72,$A1138+1)/(1+Assumptions!$B$10)^10+INDEX(Surface_Engine!$D$12:$D$72,$A1138+1)))*INDEX(Surface_Engine!$B$12:$B$72,$A1138+1)+H1139</f>
        <v>0</v>
      </c>
      <c r="I1138" s="48" t="n">
        <f aca="false">E1138*(IF($A1138&lt;$Q$1077,INDEX(Surface_Engine!$D$12:$D$72,$A1138+1)+(Surface_Engine!G246*12)*INDEX(Surface_Engine!$F$12:$F$72,$A1138+1)-(Surface_Engine!G246*12),1000*12*INDEX(Surface_Engine!$C$12:$C$72,$A1138+1)/(1+Assumptions!$B$10)^10+INDEX(Surface_Engine!$D$12:$D$72,$A1138+1)))*INDEX(Surface_Engine!$B$12:$B$72,$A1138+1)+I1139</f>
        <v>0</v>
      </c>
      <c r="J1138" s="48" t="n">
        <f aca="false">B1138*(IF($A1138&lt;$Q$1077,INDEX(Surface_Engine!$D$12:$D$72,$A1138+1)*(1+Assumptions!$B$24)+(Surface_Engine!G246*12)*INDEX(Surface_Engine!$F$12:$F$72,$A1138+1)-(Surface_Engine!G246*12),1000*12*INDEX(Surface_Engine!$C$12:$C$72,$A1138+1)/(1+Assumptions!$B$10)^10+INDEX(Surface_Engine!$D$12:$D$72,$A1138+1)*(1+Assumptions!$B$24)))*INDEX(Surface_Engine!$B$12:$B$72,$A1138+1)+J1139</f>
        <v>0</v>
      </c>
      <c r="K1138" s="12" t="n">
        <f aca="false">SQRT((IF(C1138&lt;=0,0,MAX(0,(B1138/C1138)*G1138/INDEX(Surface_Engine!$B$12:$B$72,$A1138+1)-F1138/INDEX(Surface_Engine!$B$12:$B$72,$A1138+1))))^2+(MAX(IF(D1138&lt;=0,0,MAX(0,(B1138/D1138)*H1138/INDEX(Surface_Engine!$B$12:$B$72,$A1138+1)-F1138/INDEX(Surface_Engine!$B$12:$B$72,$A1138+1))),IF(E1138&lt;=0,0,MAX(0,(B1138/E1138)*I1138/INDEX(Surface_Engine!$B$12:$B$72,$A1138+1)-F1138/INDEX(Surface_Engine!$B$12:$B$72,$A1138+1))),IF($A1138&lt;$Q$1077,MAX(0,-Assumptions!$B$22*(F1138/INDEX(Surface_Engine!$B$12:$B$72,$A1138+1))),0)))^2+(MAX(0,J1138/INDEX(Surface_Engine!$B$12:$B$72,$A1138+1)-(F1138/INDEX(Surface_Engine!$B$12:$B$72,$A1138+1))))^2+2*Assumptions!$B$26*(IF(C1138&lt;=0,0,MAX(0,(B1138/C1138)*G1138/INDEX(Surface_Engine!$B$12:$B$72,$A1138+1)-F1138/INDEX(Surface_Engine!$B$12:$B$72,$A1138+1))))*(MAX(IF(D1138&lt;=0,0,MAX(0,(B1138/D1138)*H1138/INDEX(Surface_Engine!$B$12:$B$72,$A1138+1)-F1138/INDEX(Surface_Engine!$B$12:$B$72,$A1138+1))),IF(E1138&lt;=0,0,MAX(0,(B1138/E1138)*I1138/INDEX(Surface_Engine!$B$12:$B$72,$A1138+1)-F1138/INDEX(Surface_Engine!$B$12:$B$72,$A1138+1))),IF($A1138&lt;$Q$1077,MAX(0,-Assumptions!$B$22*(F1138/INDEX(Surface_Engine!$B$12:$B$72,$A1138+1))),0)))+2*Assumptions!$B$27*(IF(C1138&lt;=0,0,MAX(0,(B1138/C1138)*G1138/INDEX(Surface_Engine!$B$12:$B$72,$A1138+1)-F1138/INDEX(Surface_Engine!$B$12:$B$72,$A1138+1))))*(MAX(0,J1138/INDEX(Surface_Engine!$B$12:$B$72,$A1138+1)-(F1138/INDEX(Surface_Engine!$B$12:$B$72,$A1138+1))))+2*Assumptions!$B$28*(MAX(IF(D1138&lt;=0,0,MAX(0,(B1138/D1138)*H1138/INDEX(Surface_Engine!$B$12:$B$72,$A1138+1)-F1138/INDEX(Surface_Engine!$B$12:$B$72,$A1138+1))),IF(E1138&lt;=0,0,MAX(0,(B1138/E1138)*I1138/INDEX(Surface_Engine!$B$12:$B$72,$A1138+1)-F1138/INDEX(Surface_Engine!$B$12:$B$72,$A1138+1))),IF($A1138&lt;$Q$1077,MAX(0,-Assumptions!$B$22*(F1138/INDEX(Surface_Engine!$B$12:$B$72,$A1138+1))),0)))*(MAX(0,J1138/INDEX(Surface_Engine!$B$12:$B$72,$A1138+1)-(F1138/INDEX(Surface_Engine!$B$12:$B$72,$A1138+1)))))</f>
        <v>0</v>
      </c>
      <c r="L1138" s="48" t="n">
        <f aca="false">K1138*INDEX(Surface_Engine!$B$12:$B$72,$A1138+1)+L1139</f>
        <v>0</v>
      </c>
      <c r="M1138" s="48" t="n">
        <f aca="false">M1137+B1137*(IF($A1137&lt;$Q$1077,(Surface_Engine!G246*12)-(Surface_Engine!G246*12)*INDEX(Surface_Engine!$F$12:$F$72,$A1137+1)-INDEX(Surface_Engine!$D$12:$D$72,$A1137+1),-(1000*12*INDEX(Surface_Engine!$C$12:$C$72,$A1137+1)/(1+Assumptions!$B$10)^10+INDEX(Surface_Engine!$D$12:$D$72,$A1137+1))))*INDEX(Surface_Engine!$B$12:$B$72,$A1137+1)</f>
        <v>2783.53396793924</v>
      </c>
      <c r="N1138" s="12" t="n">
        <f aca="false">IF(B1138&lt;=0,0,MAX(0,(K1138+Assumptions!$B$29*L1138/INDEX(Surface_Engine!$B$12:$B$72,$A1138+1)-(M1138/INDEX(Surface_Engine!$B$12:$B$72,$A1138+1)-(F1138/INDEX(Surface_Engine!$B$12:$B$72,$A1138+1))))/B1138))</f>
        <v>0</v>
      </c>
    </row>
    <row r="1139" customFormat="false" ht="15" hidden="false" customHeight="true" outlineLevel="0" collapsed="false">
      <c r="A1139" s="1" t="n">
        <v>60</v>
      </c>
      <c r="B1139" s="32" t="n">
        <f aca="false">INDEX(Surface_Engine!$Q$12:$Q$72,$A1139+1)*IF($A1139&lt;$Q$1077,INDEX(Surface_Engine!$E$12:$E$72,$A1139+1),INDEX(Surface_Engine!$E$12:$E$72,$Q$1077+1))</f>
        <v>0</v>
      </c>
      <c r="C1139" s="32" t="n">
        <f aca="false">INDEX(Panel_Reserving!$F$8:$F$68,$A1139+1)*IF($A1139&lt;$Q$1077,INDEX(Surface_Engine!$E$12:$E$72,$A1139+1),INDEX(Surface_Engine!$E$12:$E$72,$Q$1077+1))</f>
        <v>0</v>
      </c>
      <c r="D1139" s="32" t="n">
        <f aca="false">INDEX(Surface_Engine!$Q$12:$Q$72,$A1139+1)*IF($A1139&lt;$Q$1077,INDEX(Surface_Engine!$Y$12:$Y$72,$A1139+1),INDEX(Surface_Engine!$Y$12:$Y$72,$Q$1077+1))</f>
        <v>0</v>
      </c>
      <c r="E1139" s="32" t="n">
        <f aca="false">INDEX(Surface_Engine!$Q$12:$Q$72,$A1139+1)*IF($A1139&lt;$Q$1077,INDEX(Surface_Engine!$Z$12:$Z$72,$A1139+1),INDEX(Surface_Engine!$Z$12:$Z$72,$Q$1077+1))</f>
        <v>0</v>
      </c>
      <c r="F1139" s="48" t="n">
        <f aca="false">B1139*(IF($A1139&lt;$Q$1077,INDEX(Surface_Engine!$D$12:$D$72,$A1139+1)+(Surface_Engine!G246*12)*INDEX(Surface_Engine!$F$12:$F$72,$A1139+1)-(Surface_Engine!G246*12),1000*12*INDEX(Surface_Engine!$C$12:$C$72,$A1139+1)/(1+Assumptions!$B$10)^10+INDEX(Surface_Engine!$D$12:$D$72,$A1139+1)))*INDEX(Surface_Engine!$B$12:$B$72,$A1139+1)</f>
        <v>0</v>
      </c>
      <c r="G1139" s="48" t="n">
        <f aca="false">C1139*(IF($A1139&lt;$Q$1077,INDEX(Surface_Engine!$D$12:$D$72,$A1139+1)+(Surface_Engine!G246*12)*INDEX(Surface_Engine!$F$12:$F$72,$A1139+1)-(Surface_Engine!G246*12),1000*12*INDEX(Surface_Engine!$C$12:$C$72,$A1139+1)/(1+Assumptions!$B$10)^10+INDEX(Surface_Engine!$D$12:$D$72,$A1139+1)))*INDEX(Surface_Engine!$B$12:$B$72,$A1139+1)</f>
        <v>0</v>
      </c>
      <c r="H1139" s="48" t="n">
        <f aca="false">D1139*(IF($A1139&lt;$Q$1077,INDEX(Surface_Engine!$D$12:$D$72,$A1139+1)+(Surface_Engine!G246*12)*INDEX(Surface_Engine!$F$12:$F$72,$A1139+1)-(Surface_Engine!G246*12),1000*12*INDEX(Surface_Engine!$C$12:$C$72,$A1139+1)/(1+Assumptions!$B$10)^10+INDEX(Surface_Engine!$D$12:$D$72,$A1139+1)))*INDEX(Surface_Engine!$B$12:$B$72,$A1139+1)</f>
        <v>0</v>
      </c>
      <c r="I1139" s="48" t="n">
        <f aca="false">E1139*(IF($A1139&lt;$Q$1077,INDEX(Surface_Engine!$D$12:$D$72,$A1139+1)+(Surface_Engine!G246*12)*INDEX(Surface_Engine!$F$12:$F$72,$A1139+1)-(Surface_Engine!G246*12),1000*12*INDEX(Surface_Engine!$C$12:$C$72,$A1139+1)/(1+Assumptions!$B$10)^10+INDEX(Surface_Engine!$D$12:$D$72,$A1139+1)))*INDEX(Surface_Engine!$B$12:$B$72,$A1139+1)</f>
        <v>0</v>
      </c>
      <c r="J1139" s="48" t="n">
        <f aca="false">B1139*(IF($A1139&lt;$Q$1077,INDEX(Surface_Engine!$D$12:$D$72,$A1139+1)*(1+Assumptions!$B$24)+(Surface_Engine!G246*12)*INDEX(Surface_Engine!$F$12:$F$72,$A1139+1)-(Surface_Engine!G246*12),1000*12*INDEX(Surface_Engine!$C$12:$C$72,$A1139+1)/(1+Assumptions!$B$10)^10+INDEX(Surface_Engine!$D$12:$D$72,$A1139+1)*(1+Assumptions!$B$24)))*INDEX(Surface_Engine!$B$12:$B$72,$A1139+1)</f>
        <v>0</v>
      </c>
      <c r="K1139" s="12" t="n">
        <f aca="false">SQRT((IF(C1139&lt;=0,0,MAX(0,(B1139/C1139)*G1139/INDEX(Surface_Engine!$B$12:$B$72,$A1139+1)-F1139/INDEX(Surface_Engine!$B$12:$B$72,$A1139+1))))^2+(MAX(IF(D1139&lt;=0,0,MAX(0,(B1139/D1139)*H1139/INDEX(Surface_Engine!$B$12:$B$72,$A1139+1)-F1139/INDEX(Surface_Engine!$B$12:$B$72,$A1139+1))),IF(E1139&lt;=0,0,MAX(0,(B1139/E1139)*I1139/INDEX(Surface_Engine!$B$12:$B$72,$A1139+1)-F1139/INDEX(Surface_Engine!$B$12:$B$72,$A1139+1))),IF($A1139&lt;$Q$1077,MAX(0,-Assumptions!$B$22*(F1139/INDEX(Surface_Engine!$B$12:$B$72,$A1139+1))),0)))^2+(MAX(0,J1139/INDEX(Surface_Engine!$B$12:$B$72,$A1139+1)-(F1139/INDEX(Surface_Engine!$B$12:$B$72,$A1139+1))))^2+2*Assumptions!$B$26*(IF(C1139&lt;=0,0,MAX(0,(B1139/C1139)*G1139/INDEX(Surface_Engine!$B$12:$B$72,$A1139+1)-F1139/INDEX(Surface_Engine!$B$12:$B$72,$A1139+1))))*(MAX(IF(D1139&lt;=0,0,MAX(0,(B1139/D1139)*H1139/INDEX(Surface_Engine!$B$12:$B$72,$A1139+1)-F1139/INDEX(Surface_Engine!$B$12:$B$72,$A1139+1))),IF(E1139&lt;=0,0,MAX(0,(B1139/E1139)*I1139/INDEX(Surface_Engine!$B$12:$B$72,$A1139+1)-F1139/INDEX(Surface_Engine!$B$12:$B$72,$A1139+1))),IF($A1139&lt;$Q$1077,MAX(0,-Assumptions!$B$22*(F1139/INDEX(Surface_Engine!$B$12:$B$72,$A1139+1))),0)))+2*Assumptions!$B$27*(IF(C1139&lt;=0,0,MAX(0,(B1139/C1139)*G1139/INDEX(Surface_Engine!$B$12:$B$72,$A1139+1)-F1139/INDEX(Surface_Engine!$B$12:$B$72,$A1139+1))))*(MAX(0,J1139/INDEX(Surface_Engine!$B$12:$B$72,$A1139+1)-(F1139/INDEX(Surface_Engine!$B$12:$B$72,$A1139+1))))+2*Assumptions!$B$28*(MAX(IF(D1139&lt;=0,0,MAX(0,(B1139/D1139)*H1139/INDEX(Surface_Engine!$B$12:$B$72,$A1139+1)-F1139/INDEX(Surface_Engine!$B$12:$B$72,$A1139+1))),IF(E1139&lt;=0,0,MAX(0,(B1139/E1139)*I1139/INDEX(Surface_Engine!$B$12:$B$72,$A1139+1)-F1139/INDEX(Surface_Engine!$B$12:$B$72,$A1139+1))),IF($A1139&lt;$Q$1077,MAX(0,-Assumptions!$B$22*(F1139/INDEX(Surface_Engine!$B$12:$B$72,$A1139+1))),0)))*(MAX(0,J1139/INDEX(Surface_Engine!$B$12:$B$72,$A1139+1)-(F1139/INDEX(Surface_Engine!$B$12:$B$72,$A1139+1)))))</f>
        <v>0</v>
      </c>
      <c r="L1139" s="48" t="n">
        <f aca="false">K1139*INDEX(Surface_Engine!$B$12:$B$72,$A1139+1)</f>
        <v>0</v>
      </c>
      <c r="M1139" s="48" t="n">
        <f aca="false">M1138+B1138*(IF($A1138&lt;$Q$1077,(Surface_Engine!G246*12)-(Surface_Engine!G246*12)*INDEX(Surface_Engine!$F$12:$F$72,$A1138+1)-INDEX(Surface_Engine!$D$12:$D$72,$A1138+1),-(1000*12*INDEX(Surface_Engine!$C$12:$C$72,$A1138+1)/(1+Assumptions!$B$10)^10+INDEX(Surface_Engine!$D$12:$D$72,$A1138+1))))*INDEX(Surface_Engine!$B$12:$B$72,$A1138+1)</f>
        <v>2783.53396793924</v>
      </c>
      <c r="N1139" s="12" t="n">
        <f aca="false">IF(B1139&lt;=0,0,MAX(0,(K1139+Assumptions!$B$29*L1139/INDEX(Surface_Engine!$B$12:$B$72,$A1139+1)-(M1139/INDEX(Surface_Engine!$B$12:$B$72,$A1139+1)-(F1139/INDEX(Surface_Engine!$B$12:$B$72,$A1139+1))))/B1139))</f>
        <v>0</v>
      </c>
    </row>
    <row r="1140" customFormat="false" ht="15" hidden="false" customHeight="true" outlineLevel="0" collapsed="false">
      <c r="A1140" s="4" t="str">
        <f aca="false">"entry "&amp;O1140&amp;" / vesting "&amp;P1140&amp;"   deferral "&amp;Q1140</f>
        <v>entry 70 / vesting 85   deferral 15</v>
      </c>
      <c r="C1140" s="49" t="n">
        <f aca="false">MAX(N1079:N1139)</f>
        <v>19912.7370799276</v>
      </c>
      <c r="E1140" s="7" t="s">
        <v>1634</v>
      </c>
      <c r="G1140" s="21" t="n">
        <f aca="false">INDEX(A1079:A1139,MATCH(C1140,N1079:N1139,0))</f>
        <v>4</v>
      </c>
      <c r="J1140" s="7" t="s">
        <v>1624</v>
      </c>
      <c r="K1140" s="50" t="n">
        <f aca="false">Surface_Engine!L246</f>
        <v>379.252197146983</v>
      </c>
      <c r="O1140" s="1" t="n">
        <f aca="false">A1718</f>
        <v>70</v>
      </c>
      <c r="P1140" s="76" t="n">
        <f aca="false">D$1713</f>
        <v>85</v>
      </c>
      <c r="Q1140" s="1" t="n">
        <f aca="false">P1140-O1140</f>
        <v>15</v>
      </c>
    </row>
    <row r="1141" customFormat="false" ht="15" hidden="false" customHeight="true" outlineLevel="0" collapsed="false">
      <c r="A1141" s="8" t="s">
        <v>802</v>
      </c>
      <c r="B1141" s="8" t="s">
        <v>1584</v>
      </c>
      <c r="C1141" s="8" t="s">
        <v>1585</v>
      </c>
      <c r="D1141" s="8" t="s">
        <v>1587</v>
      </c>
      <c r="E1141" s="8" t="s">
        <v>1588</v>
      </c>
      <c r="F1141" s="8" t="s">
        <v>1625</v>
      </c>
      <c r="G1141" s="8" t="s">
        <v>1626</v>
      </c>
      <c r="H1141" s="8" t="s">
        <v>1627</v>
      </c>
      <c r="I1141" s="8" t="s">
        <v>1628</v>
      </c>
      <c r="J1141" s="8" t="s">
        <v>1629</v>
      </c>
      <c r="K1141" s="8" t="s">
        <v>812</v>
      </c>
      <c r="L1141" s="8" t="s">
        <v>1630</v>
      </c>
      <c r="M1141" s="8" t="s">
        <v>341</v>
      </c>
      <c r="N1141" s="8" t="s">
        <v>1631</v>
      </c>
      <c r="O1141" s="1" t="s">
        <v>1544</v>
      </c>
      <c r="P1141" s="1" t="s">
        <v>1632</v>
      </c>
      <c r="Q1141" s="1" t="s">
        <v>1633</v>
      </c>
    </row>
    <row r="1142" customFormat="false" ht="15" hidden="false" customHeight="true" outlineLevel="0" collapsed="false">
      <c r="A1142" s="1" t="n">
        <v>0</v>
      </c>
      <c r="B1142" s="32" t="n">
        <f aca="false">INDEX(Surface_Engine!$Q$12:$Q$72,$A1142+1)*IF($A1142&lt;$Q$1140,INDEX(Surface_Engine!$E$12:$E$72,$A1142+1),INDEX(Surface_Engine!$E$12:$E$72,$Q$1140+1))</f>
        <v>1</v>
      </c>
      <c r="C1142" s="32" t="n">
        <f aca="false">INDEX(Panel_Reserving!$F$8:$F$68,$A1142+1)*IF($A1142&lt;$Q$1140,INDEX(Surface_Engine!$E$12:$E$72,$A1142+1),INDEX(Surface_Engine!$E$12:$E$72,$Q$1140+1))</f>
        <v>1</v>
      </c>
      <c r="D1142" s="32" t="n">
        <f aca="false">INDEX(Surface_Engine!$Q$12:$Q$72,$A1142+1)*IF($A1142&lt;$Q$1140,INDEX(Surface_Engine!$Y$12:$Y$72,$A1142+1),INDEX(Surface_Engine!$Y$12:$Y$72,$Q$1140+1))</f>
        <v>1</v>
      </c>
      <c r="E1142" s="32" t="n">
        <f aca="false">INDEX(Surface_Engine!$Q$12:$Q$72,$A1142+1)*IF($A1142&lt;$Q$1140,INDEX(Surface_Engine!$Z$12:$Z$72,$A1142+1),INDEX(Surface_Engine!$Z$12:$Z$72,$Q$1140+1))</f>
        <v>1</v>
      </c>
      <c r="F1142" s="48" t="n">
        <f aca="false">B1142*(IF($A1142&lt;$Q$1140,INDEX(Surface_Engine!$D$12:$D$72,$A1142+1)+(Surface_Engine!L246*12)*INDEX(Surface_Engine!$F$12:$F$72,$A1142+1)-(Surface_Engine!L246*12),1000*12*INDEX(Surface_Engine!$C$12:$C$72,$A1142+1)/(1+Assumptions!$B$10)^15+INDEX(Surface_Engine!$D$12:$D$72,$A1142+1)))*INDEX(Surface_Engine!$B$12:$B$72,$A1142+1)+F1143</f>
        <v>-1384.00415656181</v>
      </c>
      <c r="G1142" s="48" t="n">
        <f aca="false">C1142*(IF($A1142&lt;$Q$1140,INDEX(Surface_Engine!$D$12:$D$72,$A1142+1)+(Surface_Engine!L246*12)*INDEX(Surface_Engine!$F$12:$F$72,$A1142+1)-(Surface_Engine!L246*12),1000*12*INDEX(Surface_Engine!$C$12:$C$72,$A1142+1)/(1+Assumptions!$B$10)^15+INDEX(Surface_Engine!$D$12:$D$72,$A1142+1)))*INDEX(Surface_Engine!$B$12:$B$72,$A1142+1)+G1143</f>
        <v>5966.07161186512</v>
      </c>
      <c r="H1142" s="48" t="n">
        <f aca="false">D1142*(IF($A1142&lt;$Q$1140,INDEX(Surface_Engine!$D$12:$D$72,$A1142+1)+(Surface_Engine!L246*12)*INDEX(Surface_Engine!$F$12:$F$72,$A1142+1)-(Surface_Engine!L246*12),1000*12*INDEX(Surface_Engine!$C$12:$C$72,$A1142+1)/(1+Assumptions!$B$10)^15+INDEX(Surface_Engine!$D$12:$D$72,$A1142+1)))*INDEX(Surface_Engine!$B$12:$B$72,$A1142+1)+H1143</f>
        <v>-2741.95016343074</v>
      </c>
      <c r="I1142" s="48" t="n">
        <f aca="false">E1142*(IF($A1142&lt;$Q$1140,INDEX(Surface_Engine!$D$12:$D$72,$A1142+1)+(Surface_Engine!L246*12)*INDEX(Surface_Engine!$F$12:$F$72,$A1142+1)-(Surface_Engine!L246*12),1000*12*INDEX(Surface_Engine!$C$12:$C$72,$A1142+1)/(1+Assumptions!$B$10)^15+INDEX(Surface_Engine!$D$12:$D$72,$A1142+1)))*INDEX(Surface_Engine!$B$12:$B$72,$A1142+1)+I1143</f>
        <v>184.758944540216</v>
      </c>
      <c r="J1142" s="48" t="n">
        <f aca="false">B1142*(IF($A1142&lt;$Q$1140,INDEX(Surface_Engine!$D$12:$D$72,$A1142+1)*(1+Assumptions!$B$24)+(Surface_Engine!L246*12)*INDEX(Surface_Engine!$F$12:$F$72,$A1142+1)-(Surface_Engine!L246*12),1000*12*INDEX(Surface_Engine!$C$12:$C$72,$A1142+1)/(1+Assumptions!$B$10)^15+INDEX(Surface_Engine!$D$12:$D$72,$A1142+1)*(1+Assumptions!$B$24)))*INDEX(Surface_Engine!$B$12:$B$72,$A1142+1)+J1143</f>
        <v>-1250.02048902233</v>
      </c>
      <c r="K1142" s="12" t="n">
        <f aca="false">SQRT((IF(C1142&lt;=0,0,MAX(0,(B1142/C1142)*G1142/INDEX(Surface_Engine!$B$12:$B$72,$A1142+1)-F1142/INDEX(Surface_Engine!$B$12:$B$72,$A1142+1))))^2+(MAX(IF(D1142&lt;=0,0,MAX(0,(B1142/D1142)*H1142/INDEX(Surface_Engine!$B$12:$B$72,$A1142+1)-F1142/INDEX(Surface_Engine!$B$12:$B$72,$A1142+1))),IF(E1142&lt;=0,0,MAX(0,(B1142/E1142)*I1142/INDEX(Surface_Engine!$B$12:$B$72,$A1142+1)-F1142/INDEX(Surface_Engine!$B$12:$B$72,$A1142+1))),IF($A1142&lt;$Q$1140,MAX(0,-Assumptions!$B$22*(F1142/INDEX(Surface_Engine!$B$12:$B$72,$A1142+1))),0)))^2+(MAX(0,J1142/INDEX(Surface_Engine!$B$12:$B$72,$A1142+1)-(F1142/INDEX(Surface_Engine!$B$12:$B$72,$A1142+1))))^2+2*Assumptions!$B$26*(IF(C1142&lt;=0,0,MAX(0,(B1142/C1142)*G1142/INDEX(Surface_Engine!$B$12:$B$72,$A1142+1)-F1142/INDEX(Surface_Engine!$B$12:$B$72,$A1142+1))))*(MAX(IF(D1142&lt;=0,0,MAX(0,(B1142/D1142)*H1142/INDEX(Surface_Engine!$B$12:$B$72,$A1142+1)-F1142/INDEX(Surface_Engine!$B$12:$B$72,$A1142+1))),IF(E1142&lt;=0,0,MAX(0,(B1142/E1142)*I1142/INDEX(Surface_Engine!$B$12:$B$72,$A1142+1)-F1142/INDEX(Surface_Engine!$B$12:$B$72,$A1142+1))),IF($A1142&lt;$Q$1140,MAX(0,-Assumptions!$B$22*(F1142/INDEX(Surface_Engine!$B$12:$B$72,$A1142+1))),0)))+2*Assumptions!$B$27*(IF(C1142&lt;=0,0,MAX(0,(B1142/C1142)*G1142/INDEX(Surface_Engine!$B$12:$B$72,$A1142+1)-F1142/INDEX(Surface_Engine!$B$12:$B$72,$A1142+1))))*(MAX(0,J1142/INDEX(Surface_Engine!$B$12:$B$72,$A1142+1)-(F1142/INDEX(Surface_Engine!$B$12:$B$72,$A1142+1))))+2*Assumptions!$B$28*(MAX(IF(D1142&lt;=0,0,MAX(0,(B1142/D1142)*H1142/INDEX(Surface_Engine!$B$12:$B$72,$A1142+1)-F1142/INDEX(Surface_Engine!$B$12:$B$72,$A1142+1))),IF(E1142&lt;=0,0,MAX(0,(B1142/E1142)*I1142/INDEX(Surface_Engine!$B$12:$B$72,$A1142+1)-F1142/INDEX(Surface_Engine!$B$12:$B$72,$A1142+1))),IF($A1142&lt;$Q$1140,MAX(0,-Assumptions!$B$22*(F1142/INDEX(Surface_Engine!$B$12:$B$72,$A1142+1))),0)))*(MAX(0,J1142/INDEX(Surface_Engine!$B$12:$B$72,$A1142+1)-(F1142/INDEX(Surface_Engine!$B$12:$B$72,$A1142+1)))))</f>
        <v>7935.39101796056</v>
      </c>
      <c r="L1142" s="48" t="n">
        <f aca="false">K1142*INDEX(Surface_Engine!$B$12:$B$72,$A1142+1)+L1143</f>
        <v>144757.221658146</v>
      </c>
      <c r="M1142" s="48" t="n">
        <v>0</v>
      </c>
      <c r="N1142" s="12" t="n">
        <f aca="false">IF(B1142&lt;=0,0,MAX(0,(K1142+Assumptions!$B$29*L1142/INDEX(Surface_Engine!$B$12:$B$72,$A1142+1)-(M1142/INDEX(Surface_Engine!$B$12:$B$72,$A1142+1)-(F1142/INDEX(Surface_Engine!$B$12:$B$72,$A1142+1))))/B1142))</f>
        <v>15236.8201608875</v>
      </c>
    </row>
    <row r="1143" customFormat="false" ht="15" hidden="false" customHeight="true" outlineLevel="0" collapsed="false">
      <c r="A1143" s="1" t="n">
        <v>1</v>
      </c>
      <c r="B1143" s="32" t="n">
        <f aca="false">INDEX(Surface_Engine!$Q$12:$Q$72,$A1143+1)*IF($A1143&lt;$Q$1140,INDEX(Surface_Engine!$E$12:$E$72,$A1143+1),INDEX(Surface_Engine!$E$12:$E$72,$Q$1140+1))</f>
        <v>0.95043139219025</v>
      </c>
      <c r="C1143" s="32" t="n">
        <f aca="false">INDEX(Panel_Reserving!$F$8:$F$68,$A1143+1)*IF($A1143&lt;$Q$1140,INDEX(Surface_Engine!$E$12:$E$72,$A1143+1),INDEX(Surface_Engine!$E$12:$E$72,$Q$1140+1))</f>
        <v>0.9522251137522</v>
      </c>
      <c r="D1143" s="32" t="n">
        <f aca="false">INDEX(Surface_Engine!$Q$12:$Q$72,$A1143+1)*IF($A1143&lt;$Q$1140,INDEX(Surface_Engine!$Y$12:$Y$72,$A1143+1),INDEX(Surface_Engine!$Y$12:$Y$72,$Q$1140+1))</f>
        <v>0.930321159480783</v>
      </c>
      <c r="E1143" s="32" t="n">
        <f aca="false">INDEX(Surface_Engine!$Q$12:$Q$72,$A1143+1)*IF($A1143&lt;$Q$1140,INDEX(Surface_Engine!$Z$12:$Z$72,$A1143+1),INDEX(Surface_Engine!$Z$12:$Z$72,$Q$1140+1))</f>
        <v>0.970541624899716</v>
      </c>
      <c r="F1143" s="48" t="n">
        <f aca="false">B1143*(IF($A1143&lt;$Q$1140,INDEX(Surface_Engine!$D$12:$D$72,$A1143+1)+(Surface_Engine!L246*12)*INDEX(Surface_Engine!$F$12:$F$72,$A1143+1)-(Surface_Engine!L246*12),1000*12*INDEX(Surface_Engine!$C$12:$C$72,$A1143+1)/(1+Assumptions!$B$10)^15+INDEX(Surface_Engine!$D$12:$D$72,$A1143+1)))*INDEX(Surface_Engine!$B$12:$B$72,$A1143+1)+F1144</f>
        <v>-1466.00415656181</v>
      </c>
      <c r="G1143" s="48" t="n">
        <f aca="false">C1143*(IF($A1143&lt;$Q$1140,INDEX(Surface_Engine!$D$12:$D$72,$A1143+1)+(Surface_Engine!L246*12)*INDEX(Surface_Engine!$F$12:$F$72,$A1143+1)-(Surface_Engine!L246*12),1000*12*INDEX(Surface_Engine!$C$12:$C$72,$A1143+1)/(1+Assumptions!$B$10)^15+INDEX(Surface_Engine!$D$12:$D$72,$A1143+1)))*INDEX(Surface_Engine!$B$12:$B$72,$A1143+1)+G1144</f>
        <v>5884.07161186512</v>
      </c>
      <c r="H1143" s="48" t="n">
        <f aca="false">D1143*(IF($A1143&lt;$Q$1140,INDEX(Surface_Engine!$D$12:$D$72,$A1143+1)+(Surface_Engine!L246*12)*INDEX(Surface_Engine!$F$12:$F$72,$A1143+1)-(Surface_Engine!L246*12),1000*12*INDEX(Surface_Engine!$C$12:$C$72,$A1143+1)/(1+Assumptions!$B$10)^15+INDEX(Surface_Engine!$D$12:$D$72,$A1143+1)))*INDEX(Surface_Engine!$B$12:$B$72,$A1143+1)+H1144</f>
        <v>-2823.95016343074</v>
      </c>
      <c r="I1143" s="48" t="n">
        <f aca="false">E1143*(IF($A1143&lt;$Q$1140,INDEX(Surface_Engine!$D$12:$D$72,$A1143+1)+(Surface_Engine!L246*12)*INDEX(Surface_Engine!$F$12:$F$72,$A1143+1)-(Surface_Engine!L246*12),1000*12*INDEX(Surface_Engine!$C$12:$C$72,$A1143+1)/(1+Assumptions!$B$10)^15+INDEX(Surface_Engine!$D$12:$D$72,$A1143+1)))*INDEX(Surface_Engine!$B$12:$B$72,$A1143+1)+I1144</f>
        <v>102.758944540216</v>
      </c>
      <c r="J1143" s="48" t="n">
        <f aca="false">B1143*(IF($A1143&lt;$Q$1140,INDEX(Surface_Engine!$D$12:$D$72,$A1143+1)*(1+Assumptions!$B$24)+(Surface_Engine!L246*12)*INDEX(Surface_Engine!$F$12:$F$72,$A1143+1)-(Surface_Engine!L246*12),1000*12*INDEX(Surface_Engine!$C$12:$C$72,$A1143+1)/(1+Assumptions!$B$10)^15+INDEX(Surface_Engine!$D$12:$D$72,$A1143+1)*(1+Assumptions!$B$24)))*INDEX(Surface_Engine!$B$12:$B$72,$A1143+1)+J1144</f>
        <v>-1340.22048902233</v>
      </c>
      <c r="K1143" s="12" t="n">
        <f aca="false">SQRT((IF(C1143&lt;=0,0,MAX(0,(B1143/C1143)*G1143/INDEX(Surface_Engine!$B$12:$B$72,$A1143+1)-F1143/INDEX(Surface_Engine!$B$12:$B$72,$A1143+1))))^2+(MAX(IF(D1143&lt;=0,0,MAX(0,(B1143/D1143)*H1143/INDEX(Surface_Engine!$B$12:$B$72,$A1143+1)-F1143/INDEX(Surface_Engine!$B$12:$B$72,$A1143+1))),IF(E1143&lt;=0,0,MAX(0,(B1143/E1143)*I1143/INDEX(Surface_Engine!$B$12:$B$72,$A1143+1)-F1143/INDEX(Surface_Engine!$B$12:$B$72,$A1143+1))),IF($A1143&lt;$Q$1140,MAX(0,-Assumptions!$B$22*(F1143/INDEX(Surface_Engine!$B$12:$B$72,$A1143+1))),0)))^2+(MAX(0,J1143/INDEX(Surface_Engine!$B$12:$B$72,$A1143+1)-(F1143/INDEX(Surface_Engine!$B$12:$B$72,$A1143+1))))^2+2*Assumptions!$B$26*(IF(C1143&lt;=0,0,MAX(0,(B1143/C1143)*G1143/INDEX(Surface_Engine!$B$12:$B$72,$A1143+1)-F1143/INDEX(Surface_Engine!$B$12:$B$72,$A1143+1))))*(MAX(IF(D1143&lt;=0,0,MAX(0,(B1143/D1143)*H1143/INDEX(Surface_Engine!$B$12:$B$72,$A1143+1)-F1143/INDEX(Surface_Engine!$B$12:$B$72,$A1143+1))),IF(E1143&lt;=0,0,MAX(0,(B1143/E1143)*I1143/INDEX(Surface_Engine!$B$12:$B$72,$A1143+1)-F1143/INDEX(Surface_Engine!$B$12:$B$72,$A1143+1))),IF($A1143&lt;$Q$1140,MAX(0,-Assumptions!$B$22*(F1143/INDEX(Surface_Engine!$B$12:$B$72,$A1143+1))),0)))+2*Assumptions!$B$27*(IF(C1143&lt;=0,0,MAX(0,(B1143/C1143)*G1143/INDEX(Surface_Engine!$B$12:$B$72,$A1143+1)-F1143/INDEX(Surface_Engine!$B$12:$B$72,$A1143+1))))*(MAX(0,J1143/INDEX(Surface_Engine!$B$12:$B$72,$A1143+1)-(F1143/INDEX(Surface_Engine!$B$12:$B$72,$A1143+1))))+2*Assumptions!$B$28*(MAX(IF(D1143&lt;=0,0,MAX(0,(B1143/D1143)*H1143/INDEX(Surface_Engine!$B$12:$B$72,$A1143+1)-F1143/INDEX(Surface_Engine!$B$12:$B$72,$A1143+1))),IF(E1143&lt;=0,0,MAX(0,(B1143/E1143)*I1143/INDEX(Surface_Engine!$B$12:$B$72,$A1143+1)-F1143/INDEX(Surface_Engine!$B$12:$B$72,$A1143+1))),IF($A1143&lt;$Q$1140,MAX(0,-Assumptions!$B$22*(F1143/INDEX(Surface_Engine!$B$12:$B$72,$A1143+1))),0)))*(MAX(0,J1143/INDEX(Surface_Engine!$B$12:$B$72,$A1143+1)-(F1143/INDEX(Surface_Engine!$B$12:$B$72,$A1143+1)))))</f>
        <v>8126.37657102543</v>
      </c>
      <c r="L1143" s="48" t="n">
        <f aca="false">K1143*INDEX(Surface_Engine!$B$12:$B$72,$A1143+1)+L1144</f>
        <v>136821.830640185</v>
      </c>
      <c r="M1143" s="48" t="n">
        <f aca="false">M1142+B1142*(IF($A1142&lt;$Q$1140,(Surface_Engine!L246*12)-(Surface_Engine!L246*12)*INDEX(Surface_Engine!$F$12:$F$72,$A1142+1)-INDEX(Surface_Engine!$D$12:$D$72,$A1142+1),-(1000*12*INDEX(Surface_Engine!$C$12:$C$72,$A1142+1)/(1+Assumptions!$B$10)^15+INDEX(Surface_Engine!$D$12:$D$72,$A1142+1))))*INDEX(Surface_Engine!$B$12:$B$72,$A1142+1)</f>
        <v>-82</v>
      </c>
      <c r="N1143" s="12" t="n">
        <f aca="false">IF(B1143&lt;=0,0,MAX(0,(K1143+Assumptions!$B$29*L1143/INDEX(Surface_Engine!$B$12:$B$72,$A1143+1)-(M1143/INDEX(Surface_Engine!$B$12:$B$72,$A1143+1)-(F1143/INDEX(Surface_Engine!$B$12:$B$72,$A1143+1))))/B1143))</f>
        <v>15917.895087105</v>
      </c>
    </row>
    <row r="1144" customFormat="false" ht="15" hidden="false" customHeight="true" outlineLevel="0" collapsed="false">
      <c r="A1144" s="1" t="n">
        <v>2</v>
      </c>
      <c r="B1144" s="32" t="n">
        <f aca="false">INDEX(Surface_Engine!$Q$12:$Q$72,$A1144+1)*IF($A1144&lt;$Q$1140,INDEX(Surface_Engine!$E$12:$E$72,$A1144+1),INDEX(Surface_Engine!$E$12:$E$72,$Q$1140+1))</f>
        <v>0.920253133366788</v>
      </c>
      <c r="C1144" s="32" t="n">
        <f aca="false">INDEX(Panel_Reserving!$F$8:$F$68,$A1144+1)*IF($A1144&lt;$Q$1140,INDEX(Surface_Engine!$E$12:$E$72,$A1144+1),INDEX(Surface_Engine!$E$12:$E$72,$Q$1140+1))</f>
        <v>0.923904286058646</v>
      </c>
      <c r="D1144" s="32" t="n">
        <f aca="false">INDEX(Surface_Engine!$Q$12:$Q$72,$A1144+1)*IF($A1144&lt;$Q$1140,INDEX(Surface_Engine!$Y$12:$Y$72,$A1144+1),INDEX(Surface_Engine!$Y$12:$Y$72,$Q$1140+1))</f>
        <v>0.890791176704882</v>
      </c>
      <c r="E1144" s="32" t="n">
        <f aca="false">INDEX(Surface_Engine!$Q$12:$Q$72,$A1144+1)*IF($A1144&lt;$Q$1140,INDEX(Surface_Engine!$Z$12:$Z$72,$A1144+1),INDEX(Surface_Engine!$Z$12:$Z$72,$Q$1140+1))</f>
        <v>0.950146998088989</v>
      </c>
      <c r="F1144" s="48" t="n">
        <f aca="false">B1144*(IF($A1144&lt;$Q$1140,INDEX(Surface_Engine!$D$12:$D$72,$A1144+1)+(Surface_Engine!L246*12)*INDEX(Surface_Engine!$F$12:$F$72,$A1144+1)-(Surface_Engine!L246*12),1000*12*INDEX(Surface_Engine!$C$12:$C$72,$A1144+1)/(1+Assumptions!$B$10)^15+INDEX(Surface_Engine!$D$12:$D$72,$A1144+1)))*INDEX(Surface_Engine!$B$12:$B$72,$A1144+1)+F1145</f>
        <v>2461.32502777136</v>
      </c>
      <c r="G1144" s="48" t="n">
        <f aca="false">C1144*(IF($A1144&lt;$Q$1140,INDEX(Surface_Engine!$D$12:$D$72,$A1144+1)+(Surface_Engine!L246*12)*INDEX(Surface_Engine!$F$12:$F$72,$A1144+1)-(Surface_Engine!L246*12),1000*12*INDEX(Surface_Engine!$C$12:$C$72,$A1144+1)/(1+Assumptions!$B$10)^15+INDEX(Surface_Engine!$D$12:$D$72,$A1144+1)))*INDEX(Surface_Engine!$B$12:$B$72,$A1144+1)+G1145</f>
        <v>9818.81273050169</v>
      </c>
      <c r="H1144" s="48" t="n">
        <f aca="false">D1144*(IF($A1144&lt;$Q$1140,INDEX(Surface_Engine!$D$12:$D$72,$A1144+1)+(Surface_Engine!L246*12)*INDEX(Surface_Engine!$F$12:$F$72,$A1144+1)-(Surface_Engine!L246*12),1000*12*INDEX(Surface_Engine!$C$12:$C$72,$A1144+1)/(1+Assumptions!$B$10)^15+INDEX(Surface_Engine!$D$12:$D$72,$A1144+1)))*INDEX(Surface_Engine!$B$12:$B$72,$A1144+1)+H1145</f>
        <v>1020.28043590975</v>
      </c>
      <c r="I1144" s="48" t="n">
        <f aca="false">E1144*(IF($A1144&lt;$Q$1140,INDEX(Surface_Engine!$D$12:$D$72,$A1144+1)+(Surface_Engine!L246*12)*INDEX(Surface_Engine!$F$12:$F$72,$A1144+1)-(Surface_Engine!L246*12),1000*12*INDEX(Surface_Engine!$C$12:$C$72,$A1144+1)/(1+Assumptions!$B$10)^15+INDEX(Surface_Engine!$D$12:$D$72,$A1144+1)))*INDEX(Surface_Engine!$B$12:$B$72,$A1144+1)+I1145</f>
        <v>4113.18671386604</v>
      </c>
      <c r="J1144" s="48" t="n">
        <f aca="false">B1144*(IF($A1144&lt;$Q$1140,INDEX(Surface_Engine!$D$12:$D$72,$A1144+1)*(1+Assumptions!$B$24)+(Surface_Engine!L246*12)*INDEX(Surface_Engine!$F$12:$F$72,$A1144+1)-(Surface_Engine!L246*12),1000*12*INDEX(Surface_Engine!$C$12:$C$72,$A1144+1)/(1+Assumptions!$B$10)^15+INDEX(Surface_Engine!$D$12:$D$72,$A1144+1)*(1+Assumptions!$B$24)))*INDEX(Surface_Engine!$B$12:$B$72,$A1144+1)+J1145</f>
        <v>2579.32245037793</v>
      </c>
      <c r="K1144" s="12" t="n">
        <f aca="false">SQRT((IF(C1144&lt;=0,0,MAX(0,(B1144/C1144)*G1144/INDEX(Surface_Engine!$B$12:$B$72,$A1144+1)-F1144/INDEX(Surface_Engine!$B$12:$B$72,$A1144+1))))^2+(MAX(IF(D1144&lt;=0,0,MAX(0,(B1144/D1144)*H1144/INDEX(Surface_Engine!$B$12:$B$72,$A1144+1)-F1144/INDEX(Surface_Engine!$B$12:$B$72,$A1144+1))),IF(E1144&lt;=0,0,MAX(0,(B1144/E1144)*I1144/INDEX(Surface_Engine!$B$12:$B$72,$A1144+1)-F1144/INDEX(Surface_Engine!$B$12:$B$72,$A1144+1))),IF($A1144&lt;$Q$1140,MAX(0,-Assumptions!$B$22*(F1144/INDEX(Surface_Engine!$B$12:$B$72,$A1144+1))),0)))^2+(MAX(0,J1144/INDEX(Surface_Engine!$B$12:$B$72,$A1144+1)-(F1144/INDEX(Surface_Engine!$B$12:$B$72,$A1144+1))))^2+2*Assumptions!$B$26*(IF(C1144&lt;=0,0,MAX(0,(B1144/C1144)*G1144/INDEX(Surface_Engine!$B$12:$B$72,$A1144+1)-F1144/INDEX(Surface_Engine!$B$12:$B$72,$A1144+1))))*(MAX(IF(D1144&lt;=0,0,MAX(0,(B1144/D1144)*H1144/INDEX(Surface_Engine!$B$12:$B$72,$A1144+1)-F1144/INDEX(Surface_Engine!$B$12:$B$72,$A1144+1))),IF(E1144&lt;=0,0,MAX(0,(B1144/E1144)*I1144/INDEX(Surface_Engine!$B$12:$B$72,$A1144+1)-F1144/INDEX(Surface_Engine!$B$12:$B$72,$A1144+1))),IF($A1144&lt;$Q$1140,MAX(0,-Assumptions!$B$22*(F1144/INDEX(Surface_Engine!$B$12:$B$72,$A1144+1))),0)))+2*Assumptions!$B$27*(IF(C1144&lt;=0,0,MAX(0,(B1144/C1144)*G1144/INDEX(Surface_Engine!$B$12:$B$72,$A1144+1)-F1144/INDEX(Surface_Engine!$B$12:$B$72,$A1144+1))))*(MAX(0,J1144/INDEX(Surface_Engine!$B$12:$B$72,$A1144+1)-(F1144/INDEX(Surface_Engine!$B$12:$B$72,$A1144+1))))+2*Assumptions!$B$28*(MAX(IF(D1144&lt;=0,0,MAX(0,(B1144/D1144)*H1144/INDEX(Surface_Engine!$B$12:$B$72,$A1144+1)-F1144/INDEX(Surface_Engine!$B$12:$B$72,$A1144+1))),IF(E1144&lt;=0,0,MAX(0,(B1144/E1144)*I1144/INDEX(Surface_Engine!$B$12:$B$72,$A1144+1)-F1144/INDEX(Surface_Engine!$B$12:$B$72,$A1144+1))),IF($A1144&lt;$Q$1140,MAX(0,-Assumptions!$B$22*(F1144/INDEX(Surface_Engine!$B$12:$B$72,$A1144+1))),0)))*(MAX(0,J1144/INDEX(Surface_Engine!$B$12:$B$72,$A1144+1)-(F1144/INDEX(Surface_Engine!$B$12:$B$72,$A1144+1)))))</f>
        <v>8298.16471273322</v>
      </c>
      <c r="L1144" s="48" t="n">
        <f aca="false">K1144*INDEX(Surface_Engine!$B$12:$B$72,$A1144+1)+L1145</f>
        <v>128901.076837868</v>
      </c>
      <c r="M1144" s="48" t="n">
        <f aca="false">M1143+B1143*(IF($A1143&lt;$Q$1140,(Surface_Engine!L246*12)-(Surface_Engine!L246*12)*INDEX(Surface_Engine!$F$12:$F$72,$A1143+1)-INDEX(Surface_Engine!$D$12:$D$72,$A1143+1),-(1000*12*INDEX(Surface_Engine!$C$12:$C$72,$A1143+1)/(1+Assumptions!$B$10)^15+INDEX(Surface_Engine!$D$12:$D$72,$A1143+1))))*INDEX(Surface_Engine!$B$12:$B$72,$A1143+1)</f>
        <v>3845.32918433316</v>
      </c>
      <c r="N1144" s="12" t="n">
        <f aca="false">IF(B1144&lt;=0,0,MAX(0,(K1144+Assumptions!$B$29*L1144/INDEX(Surface_Engine!$B$12:$B$72,$A1144+1)-(M1144/INDEX(Surface_Engine!$B$12:$B$72,$A1144+1)-(F1144/INDEX(Surface_Engine!$B$12:$B$72,$A1144+1))))/B1144))</f>
        <v>16284.7685284082</v>
      </c>
    </row>
    <row r="1145" customFormat="false" ht="15" hidden="false" customHeight="true" outlineLevel="0" collapsed="false">
      <c r="A1145" s="1" t="n">
        <v>3</v>
      </c>
      <c r="B1145" s="32" t="n">
        <f aca="false">INDEX(Surface_Engine!$Q$12:$Q$72,$A1145+1)*IF($A1145&lt;$Q$1140,INDEX(Surface_Engine!$E$12:$E$72,$A1145+1),INDEX(Surface_Engine!$E$12:$E$72,$Q$1140+1))</f>
        <v>0.897723075465755</v>
      </c>
      <c r="C1145" s="32" t="n">
        <f aca="false">INDEX(Panel_Reserving!$F$8:$F$68,$A1145+1)*IF($A1145&lt;$Q$1140,INDEX(Surface_Engine!$E$12:$E$72,$A1145+1),INDEX(Surface_Engine!$E$12:$E$72,$Q$1140+1))</f>
        <v>0.903351142985455</v>
      </c>
      <c r="D1145" s="32" t="n">
        <f aca="false">INDEX(Surface_Engine!$Q$12:$Q$72,$A1145+1)*IF($A1145&lt;$Q$1140,INDEX(Surface_Engine!$Y$12:$Y$72,$A1145+1),INDEX(Surface_Engine!$Y$12:$Y$72,$Q$1140+1))</f>
        <v>0.863125793674216</v>
      </c>
      <c r="E1145" s="32" t="n">
        <f aca="false">INDEX(Surface_Engine!$Q$12:$Q$72,$A1145+1)*IF($A1145&lt;$Q$1140,INDEX(Surface_Engine!$Z$12:$Z$72,$A1145+1),INDEX(Surface_Engine!$Z$12:$Z$72,$Q$1140+1))</f>
        <v>0.93313193396596</v>
      </c>
      <c r="F1145" s="48" t="n">
        <f aca="false">B1145*(IF($A1145&lt;$Q$1140,INDEX(Surface_Engine!$D$12:$D$72,$A1145+1)+(Surface_Engine!L246*12)*INDEX(Surface_Engine!$F$12:$F$72,$A1145+1)-(Surface_Engine!L246*12),1000*12*INDEX(Surface_Engine!$C$12:$C$72,$A1145+1)/(1+Assumptions!$B$10)^15+INDEX(Surface_Engine!$D$12:$D$72,$A1145+1)))*INDEX(Surface_Engine!$B$12:$B$72,$A1145+1)+F1146</f>
        <v>6163.73198230958</v>
      </c>
      <c r="G1145" s="48" t="n">
        <f aca="false">C1145*(IF($A1145&lt;$Q$1140,INDEX(Surface_Engine!$D$12:$D$72,$A1145+1)+(Surface_Engine!L246*12)*INDEX(Surface_Engine!$F$12:$F$72,$A1145+1)-(Surface_Engine!L246*12),1000*12*INDEX(Surface_Engine!$C$12:$C$72,$A1145+1)/(1+Assumptions!$B$10)^15+INDEX(Surface_Engine!$D$12:$D$72,$A1145+1)))*INDEX(Surface_Engine!$B$12:$B$72,$A1145+1)+G1146</f>
        <v>13535.9091792978</v>
      </c>
      <c r="H1145" s="48" t="n">
        <f aca="false">D1145*(IF($A1145&lt;$Q$1140,INDEX(Surface_Engine!$D$12:$D$72,$A1145+1)+(Surface_Engine!L246*12)*INDEX(Surface_Engine!$F$12:$F$72,$A1145+1)-(Surface_Engine!L246*12),1000*12*INDEX(Surface_Engine!$C$12:$C$72,$A1145+1)/(1+Assumptions!$B$10)^15+INDEX(Surface_Engine!$D$12:$D$72,$A1145+1)))*INDEX(Surface_Engine!$B$12:$B$72,$A1145+1)+H1146</f>
        <v>4604.15462018697</v>
      </c>
      <c r="I1145" s="48" t="n">
        <f aca="false">E1145*(IF($A1145&lt;$Q$1140,INDEX(Surface_Engine!$D$12:$D$72,$A1145+1)+(Surface_Engine!L246*12)*INDEX(Surface_Engine!$F$12:$F$72,$A1145+1)-(Surface_Engine!L246*12),1000*12*INDEX(Surface_Engine!$C$12:$C$72,$A1145+1)/(1+Assumptions!$B$10)^15+INDEX(Surface_Engine!$D$12:$D$72,$A1145+1)))*INDEX(Surface_Engine!$B$12:$B$72,$A1145+1)+I1146</f>
        <v>7935.86411208163</v>
      </c>
      <c r="J1145" s="48" t="n">
        <f aca="false">B1145*(IF($A1145&lt;$Q$1140,INDEX(Surface_Engine!$D$12:$D$72,$A1145+1)*(1+Assumptions!$B$24)+(Surface_Engine!L246*12)*INDEX(Surface_Engine!$F$12:$F$72,$A1145+1)-(Surface_Engine!L246*12),1000*12*INDEX(Surface_Engine!$C$12:$C$72,$A1145+1)/(1+Assumptions!$B$10)^15+INDEX(Surface_Engine!$D$12:$D$72,$A1145+1)*(1+Assumptions!$B$24)))*INDEX(Surface_Engine!$B$12:$B$72,$A1145+1)+J1146</f>
        <v>6274.20184737307</v>
      </c>
      <c r="K1145" s="12" t="n">
        <f aca="false">SQRT((IF(C1145&lt;=0,0,MAX(0,(B1145/C1145)*G1145/INDEX(Surface_Engine!$B$12:$B$72,$A1145+1)-F1145/INDEX(Surface_Engine!$B$12:$B$72,$A1145+1))))^2+(MAX(IF(D1145&lt;=0,0,MAX(0,(B1145/D1145)*H1145/INDEX(Surface_Engine!$B$12:$B$72,$A1145+1)-F1145/INDEX(Surface_Engine!$B$12:$B$72,$A1145+1))),IF(E1145&lt;=0,0,MAX(0,(B1145/E1145)*I1145/INDEX(Surface_Engine!$B$12:$B$72,$A1145+1)-F1145/INDEX(Surface_Engine!$B$12:$B$72,$A1145+1))),IF($A1145&lt;$Q$1140,MAX(0,-Assumptions!$B$22*(F1145/INDEX(Surface_Engine!$B$12:$B$72,$A1145+1))),0)))^2+(MAX(0,J1145/INDEX(Surface_Engine!$B$12:$B$72,$A1145+1)-(F1145/INDEX(Surface_Engine!$B$12:$B$72,$A1145+1))))^2+2*Assumptions!$B$26*(IF(C1145&lt;=0,0,MAX(0,(B1145/C1145)*G1145/INDEX(Surface_Engine!$B$12:$B$72,$A1145+1)-F1145/INDEX(Surface_Engine!$B$12:$B$72,$A1145+1))))*(MAX(IF(D1145&lt;=0,0,MAX(0,(B1145/D1145)*H1145/INDEX(Surface_Engine!$B$12:$B$72,$A1145+1)-F1145/INDEX(Surface_Engine!$B$12:$B$72,$A1145+1))),IF(E1145&lt;=0,0,MAX(0,(B1145/E1145)*I1145/INDEX(Surface_Engine!$B$12:$B$72,$A1145+1)-F1145/INDEX(Surface_Engine!$B$12:$B$72,$A1145+1))),IF($A1145&lt;$Q$1140,MAX(0,-Assumptions!$B$22*(F1145/INDEX(Surface_Engine!$B$12:$B$72,$A1145+1))),0)))+2*Assumptions!$B$27*(IF(C1145&lt;=0,0,MAX(0,(B1145/C1145)*G1145/INDEX(Surface_Engine!$B$12:$B$72,$A1145+1)-F1145/INDEX(Surface_Engine!$B$12:$B$72,$A1145+1))))*(MAX(0,J1145/INDEX(Surface_Engine!$B$12:$B$72,$A1145+1)-(F1145/INDEX(Surface_Engine!$B$12:$B$72,$A1145+1))))+2*Assumptions!$B$28*(MAX(IF(D1145&lt;=0,0,MAX(0,(B1145/D1145)*H1145/INDEX(Surface_Engine!$B$12:$B$72,$A1145+1)-F1145/INDEX(Surface_Engine!$B$12:$B$72,$A1145+1))),IF(E1145&lt;=0,0,MAX(0,(B1145/E1145)*I1145/INDEX(Surface_Engine!$B$12:$B$72,$A1145+1)-F1145/INDEX(Surface_Engine!$B$12:$B$72,$A1145+1))),IF($A1145&lt;$Q$1140,MAX(0,-Assumptions!$B$22*(F1145/INDEX(Surface_Engine!$B$12:$B$72,$A1145+1))),0)))*(MAX(0,J1145/INDEX(Surface_Engine!$B$12:$B$72,$A1145+1)-(F1145/INDEX(Surface_Engine!$B$12:$B$72,$A1145+1)))))</f>
        <v>8456.13823597157</v>
      </c>
      <c r="L1145" s="48" t="n">
        <f aca="false">K1145*INDEX(Surface_Engine!$B$12:$B$72,$A1145+1)+L1146</f>
        <v>121022.14674605</v>
      </c>
      <c r="M1145" s="48" t="n">
        <f aca="false">M1144+B1144*(IF($A1144&lt;$Q$1140,(Surface_Engine!L246*12)-(Surface_Engine!L246*12)*INDEX(Surface_Engine!$F$12:$F$72,$A1144+1)-INDEX(Surface_Engine!$D$12:$D$72,$A1144+1),-(1000*12*INDEX(Surface_Engine!$C$12:$C$72,$A1144+1)/(1+Assumptions!$B$10)^15+INDEX(Surface_Engine!$D$12:$D$72,$A1144+1))))*INDEX(Surface_Engine!$B$12:$B$72,$A1144+1)</f>
        <v>7547.73613887139</v>
      </c>
      <c r="N1145" s="12" t="n">
        <f aca="false">IF(B1145&lt;=0,0,MAX(0,(K1145+Assumptions!$B$29*L1145/INDEX(Surface_Engine!$B$12:$B$72,$A1145+1)-(M1145/INDEX(Surface_Engine!$B$12:$B$72,$A1145+1)-(F1145/INDEX(Surface_Engine!$B$12:$B$72,$A1145+1))))/B1145))</f>
        <v>16495.4792286872</v>
      </c>
    </row>
    <row r="1146" customFormat="false" ht="15" hidden="false" customHeight="true" outlineLevel="0" collapsed="false">
      <c r="A1146" s="1" t="n">
        <v>4</v>
      </c>
      <c r="B1146" s="32" t="n">
        <f aca="false">INDEX(Surface_Engine!$Q$12:$Q$72,$A1146+1)*IF($A1146&lt;$Q$1140,INDEX(Surface_Engine!$E$12:$E$72,$A1146+1),INDEX(Surface_Engine!$E$12:$E$72,$Q$1140+1))</f>
        <v>0.874673469850504</v>
      </c>
      <c r="C1146" s="32" t="n">
        <f aca="false">INDEX(Panel_Reserving!$F$8:$F$68,$A1146+1)*IF($A1146&lt;$Q$1140,INDEX(Surface_Engine!$E$12:$E$72,$A1146+1),INDEX(Surface_Engine!$E$12:$E$72,$Q$1140+1))</f>
        <v>0.882392941109076</v>
      </c>
      <c r="D1146" s="32" t="n">
        <f aca="false">INDEX(Surface_Engine!$Q$12:$Q$72,$A1146+1)*IF($A1146&lt;$Q$1140,INDEX(Surface_Engine!$Y$12:$Y$72,$A1146+1),INDEX(Surface_Engine!$Y$12:$Y$72,$Q$1140+1))</f>
        <v>0.835296699495277</v>
      </c>
      <c r="E1146" s="32" t="n">
        <f aca="false">INDEX(Surface_Engine!$Q$12:$Q$72,$A1146+1)*IF($A1146&lt;$Q$1140,INDEX(Surface_Engine!$Z$12:$Z$72,$A1146+1),INDEX(Surface_Engine!$Z$12:$Z$72,$Q$1140+1))</f>
        <v>0.91530068098386</v>
      </c>
      <c r="F1146" s="48" t="n">
        <f aca="false">B1146*(IF($A1146&lt;$Q$1140,INDEX(Surface_Engine!$D$12:$D$72,$A1146+1)+(Surface_Engine!L246*12)*INDEX(Surface_Engine!$F$12:$F$72,$A1146+1)-(Surface_Engine!L246*12),1000*12*INDEX(Surface_Engine!$C$12:$C$72,$A1146+1)/(1+Assumptions!$B$10)^15+INDEX(Surface_Engine!$D$12:$D$72,$A1146+1)))*INDEX(Surface_Engine!$B$12:$B$72,$A1146+1)+F1147</f>
        <v>9681.49373899859</v>
      </c>
      <c r="G1146" s="48" t="n">
        <f aca="false">C1146*(IF($A1146&lt;$Q$1140,INDEX(Surface_Engine!$D$12:$D$72,$A1146+1)+(Surface_Engine!L246*12)*INDEX(Surface_Engine!$F$12:$F$72,$A1146+1)-(Surface_Engine!L246*12),1000*12*INDEX(Surface_Engine!$C$12:$C$72,$A1146+1)/(1+Assumptions!$B$10)^15+INDEX(Surface_Engine!$D$12:$D$72,$A1146+1)))*INDEX(Surface_Engine!$B$12:$B$72,$A1146+1)+G1147</f>
        <v>17075.724731</v>
      </c>
      <c r="H1146" s="48" t="n">
        <f aca="false">D1146*(IF($A1146&lt;$Q$1140,INDEX(Surface_Engine!$D$12:$D$72,$A1146+1)+(Surface_Engine!L246*12)*INDEX(Surface_Engine!$F$12:$F$72,$A1146+1)-(Surface_Engine!L246*12),1000*12*INDEX(Surface_Engine!$C$12:$C$72,$A1146+1)/(1+Assumptions!$B$10)^15+INDEX(Surface_Engine!$D$12:$D$72,$A1146+1)))*INDEX(Surface_Engine!$B$12:$B$72,$A1146+1)+H1147</f>
        <v>7986.34562226601</v>
      </c>
      <c r="I1146" s="48" t="n">
        <f aca="false">E1146*(IF($A1146&lt;$Q$1140,INDEX(Surface_Engine!$D$12:$D$72,$A1146+1)+(Surface_Engine!L246*12)*INDEX(Surface_Engine!$F$12:$F$72,$A1146+1)-(Surface_Engine!L246*12),1000*12*INDEX(Surface_Engine!$C$12:$C$72,$A1146+1)/(1+Assumptions!$B$10)^15+INDEX(Surface_Engine!$D$12:$D$72,$A1146+1)))*INDEX(Surface_Engine!$B$12:$B$72,$A1146+1)+I1147</f>
        <v>11592.3768173473</v>
      </c>
      <c r="J1146" s="48" t="n">
        <f aca="false">B1146*(IF($A1146&lt;$Q$1140,INDEX(Surface_Engine!$D$12:$D$72,$A1146+1)*(1+Assumptions!$B$24)+(Surface_Engine!L246*12)*INDEX(Surface_Engine!$F$12:$F$72,$A1146+1)-(Surface_Engine!L246*12),1000*12*INDEX(Surface_Engine!$C$12:$C$72,$A1146+1)/(1+Assumptions!$B$10)^15+INDEX(Surface_Engine!$D$12:$D$72,$A1146+1)*(1+Assumptions!$B$24)))*INDEX(Surface_Engine!$B$12:$B$72,$A1146+1)+J1147</f>
        <v>9784.62892657181</v>
      </c>
      <c r="K1146" s="12" t="n">
        <f aca="false">SQRT((IF(C1146&lt;=0,0,MAX(0,(B1146/C1146)*G1146/INDEX(Surface_Engine!$B$12:$B$72,$A1146+1)-F1146/INDEX(Surface_Engine!$B$12:$B$72,$A1146+1))))^2+(MAX(IF(D1146&lt;=0,0,MAX(0,(B1146/D1146)*H1146/INDEX(Surface_Engine!$B$12:$B$72,$A1146+1)-F1146/INDEX(Surface_Engine!$B$12:$B$72,$A1146+1))),IF(E1146&lt;=0,0,MAX(0,(B1146/E1146)*I1146/INDEX(Surface_Engine!$B$12:$B$72,$A1146+1)-F1146/INDEX(Surface_Engine!$B$12:$B$72,$A1146+1))),IF($A1146&lt;$Q$1140,MAX(0,-Assumptions!$B$22*(F1146/INDEX(Surface_Engine!$B$12:$B$72,$A1146+1))),0)))^2+(MAX(0,J1146/INDEX(Surface_Engine!$B$12:$B$72,$A1146+1)-(F1146/INDEX(Surface_Engine!$B$12:$B$72,$A1146+1))))^2+2*Assumptions!$B$26*(IF(C1146&lt;=0,0,MAX(0,(B1146/C1146)*G1146/INDEX(Surface_Engine!$B$12:$B$72,$A1146+1)-F1146/INDEX(Surface_Engine!$B$12:$B$72,$A1146+1))))*(MAX(IF(D1146&lt;=0,0,MAX(0,(B1146/D1146)*H1146/INDEX(Surface_Engine!$B$12:$B$72,$A1146+1)-F1146/INDEX(Surface_Engine!$B$12:$B$72,$A1146+1))),IF(E1146&lt;=0,0,MAX(0,(B1146/E1146)*I1146/INDEX(Surface_Engine!$B$12:$B$72,$A1146+1)-F1146/INDEX(Surface_Engine!$B$12:$B$72,$A1146+1))),IF($A1146&lt;$Q$1140,MAX(0,-Assumptions!$B$22*(F1146/INDEX(Surface_Engine!$B$12:$B$72,$A1146+1))),0)))+2*Assumptions!$B$27*(IF(C1146&lt;=0,0,MAX(0,(B1146/C1146)*G1146/INDEX(Surface_Engine!$B$12:$B$72,$A1146+1)-F1146/INDEX(Surface_Engine!$B$12:$B$72,$A1146+1))))*(MAX(0,J1146/INDEX(Surface_Engine!$B$12:$B$72,$A1146+1)-(F1146/INDEX(Surface_Engine!$B$12:$B$72,$A1146+1))))+2*Assumptions!$B$28*(MAX(IF(D1146&lt;=0,0,MAX(0,(B1146/D1146)*H1146/INDEX(Surface_Engine!$B$12:$B$72,$A1146+1)-F1146/INDEX(Surface_Engine!$B$12:$B$72,$A1146+1))),IF(E1146&lt;=0,0,MAX(0,(B1146/E1146)*I1146/INDEX(Surface_Engine!$B$12:$B$72,$A1146+1)-F1146/INDEX(Surface_Engine!$B$12:$B$72,$A1146+1))),IF($A1146&lt;$Q$1140,MAX(0,-Assumptions!$B$22*(F1146/INDEX(Surface_Engine!$B$12:$B$72,$A1146+1))),0)))*(MAX(0,J1146/INDEX(Surface_Engine!$B$12:$B$72,$A1146+1)-(F1146/INDEX(Surface_Engine!$B$12:$B$72,$A1146+1)))))</f>
        <v>8597.27973959437</v>
      </c>
      <c r="L1146" s="48" t="n">
        <f aca="false">K1146*INDEX(Surface_Engine!$B$12:$B$72,$A1146+1)+L1147</f>
        <v>113198.211287426</v>
      </c>
      <c r="M1146" s="48" t="n">
        <f aca="false">M1145+B1145*(IF($A1145&lt;$Q$1140,(Surface_Engine!L246*12)-(Surface_Engine!L246*12)*INDEX(Surface_Engine!$F$12:$F$72,$A1145+1)-INDEX(Surface_Engine!$D$12:$D$72,$A1145+1),-(1000*12*INDEX(Surface_Engine!$C$12:$C$72,$A1145+1)/(1+Assumptions!$B$10)^15+INDEX(Surface_Engine!$D$12:$D$72,$A1145+1))))*INDEX(Surface_Engine!$B$12:$B$72,$A1145+1)</f>
        <v>11065.4978955604</v>
      </c>
      <c r="N1146" s="12" t="n">
        <f aca="false">IF(B1146&lt;=0,0,MAX(0,(K1146+Assumptions!$B$29*L1146/INDEX(Surface_Engine!$B$12:$B$72,$A1146+1)-(M1146/INDEX(Surface_Engine!$B$12:$B$72,$A1146+1)-(F1146/INDEX(Surface_Engine!$B$12:$B$72,$A1146+1))))/B1146))</f>
        <v>16690.0236074378</v>
      </c>
    </row>
    <row r="1147" customFormat="false" ht="15" hidden="false" customHeight="true" outlineLevel="0" collapsed="false">
      <c r="A1147" s="1" t="n">
        <v>5</v>
      </c>
      <c r="B1147" s="32" t="n">
        <f aca="false">INDEX(Surface_Engine!$Q$12:$Q$72,$A1147+1)*IF($A1147&lt;$Q$1140,INDEX(Surface_Engine!$E$12:$E$72,$A1147+1),INDEX(Surface_Engine!$E$12:$E$72,$Q$1140+1))</f>
        <v>0.851022429075038</v>
      </c>
      <c r="C1147" s="32" t="n">
        <f aca="false">INDEX(Panel_Reserving!$F$8:$F$68,$A1147+1)*IF($A1147&lt;$Q$1140,INDEX(Surface_Engine!$E$12:$E$72,$A1147+1),INDEX(Surface_Engine!$E$12:$E$72,$Q$1140+1))</f>
        <v>0.86095795657988</v>
      </c>
      <c r="D1147" s="32" t="n">
        <f aca="false">INDEX(Surface_Engine!$Q$12:$Q$72,$A1147+1)*IF($A1147&lt;$Q$1140,INDEX(Surface_Engine!$Y$12:$Y$72,$A1147+1),INDEX(Surface_Engine!$Y$12:$Y$72,$Q$1140+1))</f>
        <v>0.807233027515658</v>
      </c>
      <c r="E1147" s="32" t="n">
        <f aca="false">INDEX(Surface_Engine!$Q$12:$Q$72,$A1147+1)*IF($A1147&lt;$Q$1140,INDEX(Surface_Engine!$Z$12:$Z$72,$A1147+1),INDEX(Surface_Engine!$Z$12:$Z$72,$Q$1140+1))</f>
        <v>0.896553077658606</v>
      </c>
      <c r="F1147" s="48" t="n">
        <f aca="false">B1147*(IF($A1147&lt;$Q$1140,INDEX(Surface_Engine!$D$12:$D$72,$A1147+1)+(Surface_Engine!L246*12)*INDEX(Surface_Engine!$F$12:$F$72,$A1147+1)-(Surface_Engine!L246*12),1000*12*INDEX(Surface_Engine!$C$12:$C$72,$A1147+1)/(1+Assumptions!$B$10)^15+INDEX(Surface_Engine!$D$12:$D$72,$A1147+1)))*INDEX(Surface_Engine!$B$12:$B$72,$A1147+1)+F1148</f>
        <v>13017.9965220103</v>
      </c>
      <c r="G1147" s="48" t="n">
        <f aca="false">C1147*(IF($A1147&lt;$Q$1140,INDEX(Surface_Engine!$D$12:$D$72,$A1147+1)+(Surface_Engine!L246*12)*INDEX(Surface_Engine!$F$12:$F$72,$A1147+1)-(Surface_Engine!L246*12),1000*12*INDEX(Surface_Engine!$C$12:$C$72,$A1147+1)/(1+Assumptions!$B$10)^15+INDEX(Surface_Engine!$D$12:$D$72,$A1147+1)))*INDEX(Surface_Engine!$B$12:$B$72,$A1147+1)+G1148</f>
        <v>20441.6739740055</v>
      </c>
      <c r="H1147" s="48" t="n">
        <f aca="false">D1147*(IF($A1147&lt;$Q$1140,INDEX(Surface_Engine!$D$12:$D$72,$A1147+1)+(Surface_Engine!L246*12)*INDEX(Surface_Engine!$F$12:$F$72,$A1147+1)-(Surface_Engine!L246*12),1000*12*INDEX(Surface_Engine!$C$12:$C$72,$A1147+1)/(1+Assumptions!$B$10)^15+INDEX(Surface_Engine!$D$12:$D$72,$A1147+1)))*INDEX(Surface_Engine!$B$12:$B$72,$A1147+1)+H1148</f>
        <v>11172.6429761606</v>
      </c>
      <c r="I1147" s="48" t="n">
        <f aca="false">E1147*(IF($A1147&lt;$Q$1140,INDEX(Surface_Engine!$D$12:$D$72,$A1147+1)+(Surface_Engine!L246*12)*INDEX(Surface_Engine!$F$12:$F$72,$A1147+1)-(Surface_Engine!L246*12),1000*12*INDEX(Surface_Engine!$C$12:$C$72,$A1147+1)/(1+Assumptions!$B$10)^15+INDEX(Surface_Engine!$D$12:$D$72,$A1147+1)))*INDEX(Surface_Engine!$B$12:$B$72,$A1147+1)+I1148</f>
        <v>15083.8549227906</v>
      </c>
      <c r="J1147" s="48" t="n">
        <f aca="false">B1147*(IF($A1147&lt;$Q$1140,INDEX(Surface_Engine!$D$12:$D$72,$A1147+1)*(1+Assumptions!$B$24)+(Surface_Engine!L246*12)*INDEX(Surface_Engine!$F$12:$F$72,$A1147+1)-(Surface_Engine!L246*12),1000*12*INDEX(Surface_Engine!$C$12:$C$72,$A1147+1)/(1+Assumptions!$B$10)^15+INDEX(Surface_Engine!$D$12:$D$72,$A1147+1)*(1+Assumptions!$B$24)))*INDEX(Surface_Engine!$B$12:$B$72,$A1147+1)+J1148</f>
        <v>13113.9973269875</v>
      </c>
      <c r="K1147" s="12" t="n">
        <f aca="false">SQRT((IF(C1147&lt;=0,0,MAX(0,(B1147/C1147)*G1147/INDEX(Surface_Engine!$B$12:$B$72,$A1147+1)-F1147/INDEX(Surface_Engine!$B$12:$B$72,$A1147+1))))^2+(MAX(IF(D1147&lt;=0,0,MAX(0,(B1147/D1147)*H1147/INDEX(Surface_Engine!$B$12:$B$72,$A1147+1)-F1147/INDEX(Surface_Engine!$B$12:$B$72,$A1147+1))),IF(E1147&lt;=0,0,MAX(0,(B1147/E1147)*I1147/INDEX(Surface_Engine!$B$12:$B$72,$A1147+1)-F1147/INDEX(Surface_Engine!$B$12:$B$72,$A1147+1))),IF($A1147&lt;$Q$1140,MAX(0,-Assumptions!$B$22*(F1147/INDEX(Surface_Engine!$B$12:$B$72,$A1147+1))),0)))^2+(MAX(0,J1147/INDEX(Surface_Engine!$B$12:$B$72,$A1147+1)-(F1147/INDEX(Surface_Engine!$B$12:$B$72,$A1147+1))))^2+2*Assumptions!$B$26*(IF(C1147&lt;=0,0,MAX(0,(B1147/C1147)*G1147/INDEX(Surface_Engine!$B$12:$B$72,$A1147+1)-F1147/INDEX(Surface_Engine!$B$12:$B$72,$A1147+1))))*(MAX(IF(D1147&lt;=0,0,MAX(0,(B1147/D1147)*H1147/INDEX(Surface_Engine!$B$12:$B$72,$A1147+1)-F1147/INDEX(Surface_Engine!$B$12:$B$72,$A1147+1))),IF(E1147&lt;=0,0,MAX(0,(B1147/E1147)*I1147/INDEX(Surface_Engine!$B$12:$B$72,$A1147+1)-F1147/INDEX(Surface_Engine!$B$12:$B$72,$A1147+1))),IF($A1147&lt;$Q$1140,MAX(0,-Assumptions!$B$22*(F1147/INDEX(Surface_Engine!$B$12:$B$72,$A1147+1))),0)))+2*Assumptions!$B$27*(IF(C1147&lt;=0,0,MAX(0,(B1147/C1147)*G1147/INDEX(Surface_Engine!$B$12:$B$72,$A1147+1)-F1147/INDEX(Surface_Engine!$B$12:$B$72,$A1147+1))))*(MAX(0,J1147/INDEX(Surface_Engine!$B$12:$B$72,$A1147+1)-(F1147/INDEX(Surface_Engine!$B$12:$B$72,$A1147+1))))+2*Assumptions!$B$28*(MAX(IF(D1147&lt;=0,0,MAX(0,(B1147/D1147)*H1147/INDEX(Surface_Engine!$B$12:$B$72,$A1147+1)-F1147/INDEX(Surface_Engine!$B$12:$B$72,$A1147+1))),IF(E1147&lt;=0,0,MAX(0,(B1147/E1147)*I1147/INDEX(Surface_Engine!$B$12:$B$72,$A1147+1)-F1147/INDEX(Surface_Engine!$B$12:$B$72,$A1147+1))),IF($A1147&lt;$Q$1140,MAX(0,-Assumptions!$B$22*(F1147/INDEX(Surface_Engine!$B$12:$B$72,$A1147+1))),0)))*(MAX(0,J1147/INDEX(Surface_Engine!$B$12:$B$72,$A1147+1)-(F1147/INDEX(Surface_Engine!$B$12:$B$72,$A1147+1)))))</f>
        <v>8725.49991908281</v>
      </c>
      <c r="L1147" s="48" t="n">
        <f aca="false">K1147*INDEX(Surface_Engine!$B$12:$B$72,$A1147+1)+L1148</f>
        <v>105450.70056798</v>
      </c>
      <c r="M1147" s="48" t="n">
        <f aca="false">M1146+B1146*(IF($A1146&lt;$Q$1140,(Surface_Engine!L246*12)-(Surface_Engine!L246*12)*INDEX(Surface_Engine!$F$12:$F$72,$A1146+1)-INDEX(Surface_Engine!$D$12:$D$72,$A1146+1),-(1000*12*INDEX(Surface_Engine!$C$12:$C$72,$A1146+1)/(1+Assumptions!$B$10)^15+INDEX(Surface_Engine!$D$12:$D$72,$A1146+1))))*INDEX(Surface_Engine!$B$12:$B$72,$A1146+1)</f>
        <v>14402.0006785721</v>
      </c>
      <c r="N1147" s="12" t="n">
        <f aca="false">IF(B1147&lt;=0,0,MAX(0,(K1147+Assumptions!$B$29*L1147/INDEX(Surface_Engine!$B$12:$B$72,$A1147+1)-(M1147/INDEX(Surface_Engine!$B$12:$B$72,$A1147+1)-(F1147/INDEX(Surface_Engine!$B$12:$B$72,$A1147+1))))/B1147))</f>
        <v>16878.933104787</v>
      </c>
    </row>
    <row r="1148" customFormat="false" ht="15" hidden="false" customHeight="true" outlineLevel="0" collapsed="false">
      <c r="A1148" s="1" t="n">
        <v>6</v>
      </c>
      <c r="B1148" s="32" t="n">
        <f aca="false">INDEX(Surface_Engine!$Q$12:$Q$72,$A1148+1)*IF($A1148&lt;$Q$1140,INDEX(Surface_Engine!$E$12:$E$72,$A1148+1),INDEX(Surface_Engine!$E$12:$E$72,$Q$1140+1))</f>
        <v>0.829741661399003</v>
      </c>
      <c r="C1148" s="32" t="n">
        <f aca="false">INDEX(Panel_Reserving!$F$8:$F$68,$A1148+1)*IF($A1148&lt;$Q$1140,INDEX(Surface_Engine!$E$12:$E$72,$A1148+1),INDEX(Surface_Engine!$E$12:$E$72,$Q$1140+1))</f>
        <v>0.842167639775855</v>
      </c>
      <c r="D1148" s="32" t="n">
        <f aca="false">INDEX(Surface_Engine!$Q$12:$Q$72,$A1148+1)*IF($A1148&lt;$Q$1140,INDEX(Surface_Engine!$Y$12:$Y$72,$A1148+1),INDEX(Surface_Engine!$Y$12:$Y$72,$Q$1140+1))</f>
        <v>0.783433310793403</v>
      </c>
      <c r="E1148" s="32" t="n">
        <f aca="false">INDEX(Surface_Engine!$Q$12:$Q$72,$A1148+1)*IF($A1148&lt;$Q$1140,INDEX(Surface_Engine!$Z$12:$Z$72,$A1148+1),INDEX(Surface_Engine!$Z$12:$Z$72,$Q$1140+1))</f>
        <v>0.878147599716199</v>
      </c>
      <c r="F1148" s="48" t="n">
        <f aca="false">B1148*(IF($A1148&lt;$Q$1140,INDEX(Surface_Engine!$D$12:$D$72,$A1148+1)+(Surface_Engine!L246*12)*INDEX(Surface_Engine!$F$12:$F$72,$A1148+1)-(Surface_Engine!L246*12),1000*12*INDEX(Surface_Engine!$C$12:$C$72,$A1148+1)/(1+Assumptions!$B$10)^15+INDEX(Surface_Engine!$D$12:$D$72,$A1148+1)))*INDEX(Surface_Engine!$B$12:$B$72,$A1148+1)+F1149</f>
        <v>16174.1385106571</v>
      </c>
      <c r="G1148" s="48" t="n">
        <f aca="false">C1148*(IF($A1148&lt;$Q$1140,INDEX(Surface_Engine!$D$12:$D$72,$A1148+1)+(Surface_Engine!L246*12)*INDEX(Surface_Engine!$F$12:$F$72,$A1148+1)-(Surface_Engine!L246*12),1000*12*INDEX(Surface_Engine!$C$12:$C$72,$A1148+1)/(1+Assumptions!$B$10)^15+INDEX(Surface_Engine!$D$12:$D$72,$A1148+1)))*INDEX(Surface_Engine!$B$12:$B$72,$A1148+1)+G1149</f>
        <v>23634.6633293796</v>
      </c>
      <c r="H1148" s="48" t="n">
        <f aca="false">D1148*(IF($A1148&lt;$Q$1140,INDEX(Surface_Engine!$D$12:$D$72,$A1148+1)+(Surface_Engine!L246*12)*INDEX(Surface_Engine!$F$12:$F$72,$A1148+1)-(Surface_Engine!L246*12),1000*12*INDEX(Surface_Engine!$C$12:$C$72,$A1148+1)/(1+Assumptions!$B$10)^15+INDEX(Surface_Engine!$D$12:$D$72,$A1148+1)))*INDEX(Surface_Engine!$B$12:$B$72,$A1148+1)+H1149</f>
        <v>14166.3855212704</v>
      </c>
      <c r="I1148" s="48" t="n">
        <f aca="false">E1148*(IF($A1148&lt;$Q$1140,INDEX(Surface_Engine!$D$12:$D$72,$A1148+1)+(Surface_Engine!L246*12)*INDEX(Surface_Engine!$F$12:$F$72,$A1148+1)-(Surface_Engine!L246*12),1000*12*INDEX(Surface_Engine!$C$12:$C$72,$A1148+1)/(1+Assumptions!$B$10)^15+INDEX(Surface_Engine!$D$12:$D$72,$A1148+1)))*INDEX(Surface_Engine!$B$12:$B$72,$A1148+1)+I1149</f>
        <v>18408.8540259568</v>
      </c>
      <c r="J1148" s="48" t="n">
        <f aca="false">B1148*(IF($A1148&lt;$Q$1140,INDEX(Surface_Engine!$D$12:$D$72,$A1148+1)*(1+Assumptions!$B$24)+(Surface_Engine!L246*12)*INDEX(Surface_Engine!$F$12:$F$72,$A1148+1)-(Surface_Engine!L246*12),1000*12*INDEX(Surface_Engine!$C$12:$C$72,$A1148+1)/(1+Assumptions!$B$10)^15+INDEX(Surface_Engine!$D$12:$D$72,$A1148+1)*(1+Assumptions!$B$24)))*INDEX(Surface_Engine!$B$12:$B$72,$A1148+1)+J1149</f>
        <v>16263.2181773645</v>
      </c>
      <c r="K1148" s="12" t="n">
        <f aca="false">SQRT((IF(C1148&lt;=0,0,MAX(0,(B1148/C1148)*G1148/INDEX(Surface_Engine!$B$12:$B$72,$A1148+1)-F1148/INDEX(Surface_Engine!$B$12:$B$72,$A1148+1))))^2+(MAX(IF(D1148&lt;=0,0,MAX(0,(B1148/D1148)*H1148/INDEX(Surface_Engine!$B$12:$B$72,$A1148+1)-F1148/INDEX(Surface_Engine!$B$12:$B$72,$A1148+1))),IF(E1148&lt;=0,0,MAX(0,(B1148/E1148)*I1148/INDEX(Surface_Engine!$B$12:$B$72,$A1148+1)-F1148/INDEX(Surface_Engine!$B$12:$B$72,$A1148+1))),IF($A1148&lt;$Q$1140,MAX(0,-Assumptions!$B$22*(F1148/INDEX(Surface_Engine!$B$12:$B$72,$A1148+1))),0)))^2+(MAX(0,J1148/INDEX(Surface_Engine!$B$12:$B$72,$A1148+1)-(F1148/INDEX(Surface_Engine!$B$12:$B$72,$A1148+1))))^2+2*Assumptions!$B$26*(IF(C1148&lt;=0,0,MAX(0,(B1148/C1148)*G1148/INDEX(Surface_Engine!$B$12:$B$72,$A1148+1)-F1148/INDEX(Surface_Engine!$B$12:$B$72,$A1148+1))))*(MAX(IF(D1148&lt;=0,0,MAX(0,(B1148/D1148)*H1148/INDEX(Surface_Engine!$B$12:$B$72,$A1148+1)-F1148/INDEX(Surface_Engine!$B$12:$B$72,$A1148+1))),IF(E1148&lt;=0,0,MAX(0,(B1148/E1148)*I1148/INDEX(Surface_Engine!$B$12:$B$72,$A1148+1)-F1148/INDEX(Surface_Engine!$B$12:$B$72,$A1148+1))),IF($A1148&lt;$Q$1140,MAX(0,-Assumptions!$B$22*(F1148/INDEX(Surface_Engine!$B$12:$B$72,$A1148+1))),0)))+2*Assumptions!$B$27*(IF(C1148&lt;=0,0,MAX(0,(B1148/C1148)*G1148/INDEX(Surface_Engine!$B$12:$B$72,$A1148+1)-F1148/INDEX(Surface_Engine!$B$12:$B$72,$A1148+1))))*(MAX(0,J1148/INDEX(Surface_Engine!$B$12:$B$72,$A1148+1)-(F1148/INDEX(Surface_Engine!$B$12:$B$72,$A1148+1))))+2*Assumptions!$B$28*(MAX(IF(D1148&lt;=0,0,MAX(0,(B1148/D1148)*H1148/INDEX(Surface_Engine!$B$12:$B$72,$A1148+1)-F1148/INDEX(Surface_Engine!$B$12:$B$72,$A1148+1))),IF(E1148&lt;=0,0,MAX(0,(B1148/E1148)*I1148/INDEX(Surface_Engine!$B$12:$B$72,$A1148+1)-F1148/INDEX(Surface_Engine!$B$12:$B$72,$A1148+1))),IF($A1148&lt;$Q$1140,MAX(0,-Assumptions!$B$22*(F1148/INDEX(Surface_Engine!$B$12:$B$72,$A1148+1))),0)))*(MAX(0,J1148/INDEX(Surface_Engine!$B$12:$B$72,$A1148+1)-(F1148/INDEX(Surface_Engine!$B$12:$B$72,$A1148+1)))))</f>
        <v>8848.96228983006</v>
      </c>
      <c r="L1148" s="48" t="n">
        <f aca="false">K1148*INDEX(Surface_Engine!$B$12:$B$72,$A1148+1)+L1149</f>
        <v>97801.8943394463</v>
      </c>
      <c r="M1148" s="48" t="n">
        <f aca="false">M1147+B1147*(IF($A1147&lt;$Q$1140,(Surface_Engine!L246*12)-(Surface_Engine!L246*12)*INDEX(Surface_Engine!$F$12:$F$72,$A1147+1)-INDEX(Surface_Engine!$D$12:$D$72,$A1147+1),-(1000*12*INDEX(Surface_Engine!$C$12:$C$72,$A1147+1)/(1+Assumptions!$B$10)^15+INDEX(Surface_Engine!$D$12:$D$72,$A1147+1))))*INDEX(Surface_Engine!$B$12:$B$72,$A1147+1)</f>
        <v>17558.1426672189</v>
      </c>
      <c r="N1148" s="12" t="n">
        <f aca="false">IF(B1148&lt;=0,0,MAX(0,(K1148+Assumptions!$B$29*L1148/INDEX(Surface_Engine!$B$12:$B$72,$A1148+1)-(M1148/INDEX(Surface_Engine!$B$12:$B$72,$A1148+1)-(F1148/INDEX(Surface_Engine!$B$12:$B$72,$A1148+1))))/B1148))</f>
        <v>17007.9168514896</v>
      </c>
    </row>
    <row r="1149" customFormat="false" ht="15" hidden="false" customHeight="true" outlineLevel="0" collapsed="false">
      <c r="A1149" s="1" t="n">
        <v>7</v>
      </c>
      <c r="B1149" s="32" t="n">
        <f aca="false">INDEX(Surface_Engine!$Q$12:$Q$72,$A1149+1)*IF($A1149&lt;$Q$1140,INDEX(Surface_Engine!$E$12:$E$72,$A1149+1),INDEX(Surface_Engine!$E$12:$E$72,$Q$1140+1))</f>
        <v>0.807458726912084</v>
      </c>
      <c r="C1149" s="32" t="n">
        <f aca="false">INDEX(Panel_Reserving!$F$8:$F$68,$A1149+1)*IF($A1149&lt;$Q$1140,INDEX(Surface_Engine!$E$12:$E$72,$A1149+1),INDEX(Surface_Engine!$E$12:$E$72,$Q$1140+1))</f>
        <v>0.822541584700754</v>
      </c>
      <c r="D1149" s="32" t="n">
        <f aca="false">INDEX(Surface_Engine!$Q$12:$Q$72,$A1149+1)*IF($A1149&lt;$Q$1140,INDEX(Surface_Engine!$Y$12:$Y$72,$A1149+1),INDEX(Surface_Engine!$Y$12:$Y$72,$Q$1140+1))</f>
        <v>0.758893249943268</v>
      </c>
      <c r="E1149" s="32" t="n">
        <f aca="false">INDEX(Surface_Engine!$Q$12:$Q$72,$A1149+1)*IF($A1149&lt;$Q$1140,INDEX(Surface_Engine!$Z$12:$Z$72,$A1149+1),INDEX(Surface_Engine!$Z$12:$Z$72,$Q$1140+1))</f>
        <v>0.858488688425243</v>
      </c>
      <c r="F1149" s="48" t="n">
        <f aca="false">B1149*(IF($A1149&lt;$Q$1140,INDEX(Surface_Engine!$D$12:$D$72,$A1149+1)+(Surface_Engine!L246*12)*INDEX(Surface_Engine!$F$12:$F$72,$A1149+1)-(Surface_Engine!L246*12),1000*12*INDEX(Surface_Engine!$C$12:$C$72,$A1149+1)/(1+Assumptions!$B$10)^15+INDEX(Surface_Engine!$D$12:$D$72,$A1149+1)))*INDEX(Surface_Engine!$B$12:$B$72,$A1149+1)+F1150</f>
        <v>19163.249443471</v>
      </c>
      <c r="G1149" s="48" t="n">
        <f aca="false">C1149*(IF($A1149&lt;$Q$1140,INDEX(Surface_Engine!$D$12:$D$72,$A1149+1)+(Surface_Engine!L246*12)*INDEX(Surface_Engine!$F$12:$F$72,$A1149+1)-(Surface_Engine!L246*12),1000*12*INDEX(Surface_Engine!$C$12:$C$72,$A1149+1)/(1+Assumptions!$B$10)^15+INDEX(Surface_Engine!$D$12:$D$72,$A1149+1)))*INDEX(Surface_Engine!$B$12:$B$72,$A1149+1)+G1150</f>
        <v>26668.5383490716</v>
      </c>
      <c r="H1149" s="48" t="n">
        <f aca="false">D1149*(IF($A1149&lt;$Q$1140,INDEX(Surface_Engine!$D$12:$D$72,$A1149+1)+(Surface_Engine!L246*12)*INDEX(Surface_Engine!$F$12:$F$72,$A1149+1)-(Surface_Engine!L246*12),1000*12*INDEX(Surface_Engine!$C$12:$C$72,$A1149+1)/(1+Assumptions!$B$10)^15+INDEX(Surface_Engine!$D$12:$D$72,$A1149+1)))*INDEX(Surface_Engine!$B$12:$B$72,$A1149+1)+H1150</f>
        <v>16988.6724852331</v>
      </c>
      <c r="I1149" s="48" t="n">
        <f aca="false">E1149*(IF($A1149&lt;$Q$1140,INDEX(Surface_Engine!$D$12:$D$72,$A1149+1)+(Surface_Engine!L246*12)*INDEX(Surface_Engine!$F$12:$F$72,$A1149+1)-(Surface_Engine!L246*12),1000*12*INDEX(Surface_Engine!$C$12:$C$72,$A1149+1)/(1+Assumptions!$B$10)^15+INDEX(Surface_Engine!$D$12:$D$72,$A1149+1)))*INDEX(Surface_Engine!$B$12:$B$72,$A1149+1)+I1150</f>
        <v>21572.3454029117</v>
      </c>
      <c r="J1149" s="48" t="n">
        <f aca="false">B1149*(IF($A1149&lt;$Q$1140,INDEX(Surface_Engine!$D$12:$D$72,$A1149+1)*(1+Assumptions!$B$24)+(Surface_Engine!L246*12)*INDEX(Surface_Engine!$F$12:$F$72,$A1149+1)-(Surface_Engine!L246*12),1000*12*INDEX(Surface_Engine!$C$12:$C$72,$A1149+1)/(1+Assumptions!$B$10)^15+INDEX(Surface_Engine!$D$12:$D$72,$A1149+1)*(1+Assumptions!$B$24)))*INDEX(Surface_Engine!$B$12:$B$72,$A1149+1)+J1150</f>
        <v>19245.6066993739</v>
      </c>
      <c r="K1149" s="12" t="n">
        <f aca="false">SQRT((IF(C1149&lt;=0,0,MAX(0,(B1149/C1149)*G1149/INDEX(Surface_Engine!$B$12:$B$72,$A1149+1)-F1149/INDEX(Surface_Engine!$B$12:$B$72,$A1149+1))))^2+(MAX(IF(D1149&lt;=0,0,MAX(0,(B1149/D1149)*H1149/INDEX(Surface_Engine!$B$12:$B$72,$A1149+1)-F1149/INDEX(Surface_Engine!$B$12:$B$72,$A1149+1))),IF(E1149&lt;=0,0,MAX(0,(B1149/E1149)*I1149/INDEX(Surface_Engine!$B$12:$B$72,$A1149+1)-F1149/INDEX(Surface_Engine!$B$12:$B$72,$A1149+1))),IF($A1149&lt;$Q$1140,MAX(0,-Assumptions!$B$22*(F1149/INDEX(Surface_Engine!$B$12:$B$72,$A1149+1))),0)))^2+(MAX(0,J1149/INDEX(Surface_Engine!$B$12:$B$72,$A1149+1)-(F1149/INDEX(Surface_Engine!$B$12:$B$72,$A1149+1))))^2+2*Assumptions!$B$26*(IF(C1149&lt;=0,0,MAX(0,(B1149/C1149)*G1149/INDEX(Surface_Engine!$B$12:$B$72,$A1149+1)-F1149/INDEX(Surface_Engine!$B$12:$B$72,$A1149+1))))*(MAX(IF(D1149&lt;=0,0,MAX(0,(B1149/D1149)*H1149/INDEX(Surface_Engine!$B$12:$B$72,$A1149+1)-F1149/INDEX(Surface_Engine!$B$12:$B$72,$A1149+1))),IF(E1149&lt;=0,0,MAX(0,(B1149/E1149)*I1149/INDEX(Surface_Engine!$B$12:$B$72,$A1149+1)-F1149/INDEX(Surface_Engine!$B$12:$B$72,$A1149+1))),IF($A1149&lt;$Q$1140,MAX(0,-Assumptions!$B$22*(F1149/INDEX(Surface_Engine!$B$12:$B$72,$A1149+1))),0)))+2*Assumptions!$B$27*(IF(C1149&lt;=0,0,MAX(0,(B1149/C1149)*G1149/INDEX(Surface_Engine!$B$12:$B$72,$A1149+1)-F1149/INDEX(Surface_Engine!$B$12:$B$72,$A1149+1))))*(MAX(0,J1149/INDEX(Surface_Engine!$B$12:$B$72,$A1149+1)-(F1149/INDEX(Surface_Engine!$B$12:$B$72,$A1149+1))))+2*Assumptions!$B$28*(MAX(IF(D1149&lt;=0,0,MAX(0,(B1149/D1149)*H1149/INDEX(Surface_Engine!$B$12:$B$72,$A1149+1)-F1149/INDEX(Surface_Engine!$B$12:$B$72,$A1149+1))),IF(E1149&lt;=0,0,MAX(0,(B1149/E1149)*I1149/INDEX(Surface_Engine!$B$12:$B$72,$A1149+1)-F1149/INDEX(Surface_Engine!$B$12:$B$72,$A1149+1))),IF($A1149&lt;$Q$1140,MAX(0,-Assumptions!$B$22*(F1149/INDEX(Surface_Engine!$B$12:$B$72,$A1149+1))),0)))*(MAX(0,J1149/INDEX(Surface_Engine!$B$12:$B$72,$A1149+1)-(F1149/INDEX(Surface_Engine!$B$12:$B$72,$A1149+1)))))</f>
        <v>8954.02701442886</v>
      </c>
      <c r="L1149" s="48" t="n">
        <f aca="false">K1149*INDEX(Surface_Engine!$B$12:$B$72,$A1149+1)+L1150</f>
        <v>90262.8299670494</v>
      </c>
      <c r="M1149" s="48" t="n">
        <f aca="false">M1148+B1148*(IF($A1148&lt;$Q$1140,(Surface_Engine!L246*12)-(Surface_Engine!L246*12)*INDEX(Surface_Engine!$F$12:$F$72,$A1148+1)-INDEX(Surface_Engine!$D$12:$D$72,$A1148+1),-(1000*12*INDEX(Surface_Engine!$C$12:$C$72,$A1148+1)/(1+Assumptions!$B$10)^15+INDEX(Surface_Engine!$D$12:$D$72,$A1148+1))))*INDEX(Surface_Engine!$B$12:$B$72,$A1148+1)</f>
        <v>20547.2536000328</v>
      </c>
      <c r="N1149" s="12" t="n">
        <f aca="false">IF(B1149&lt;=0,0,MAX(0,(K1149+Assumptions!$B$29*L1149/INDEX(Surface_Engine!$B$12:$B$72,$A1149+1)-(M1149/INDEX(Surface_Engine!$B$12:$B$72,$A1149+1)-(F1149/INDEX(Surface_Engine!$B$12:$B$72,$A1149+1))))/B1149))</f>
        <v>17126.5146950005</v>
      </c>
    </row>
    <row r="1150" customFormat="false" ht="15" hidden="false" customHeight="true" outlineLevel="0" collapsed="false">
      <c r="A1150" s="1" t="n">
        <v>8</v>
      </c>
      <c r="B1150" s="32" t="n">
        <f aca="false">INDEX(Surface_Engine!$Q$12:$Q$72,$A1150+1)*IF($A1150&lt;$Q$1140,INDEX(Surface_Engine!$E$12:$E$72,$A1150+1),INDEX(Surface_Engine!$E$12:$E$72,$Q$1140+1))</f>
        <v>0.784077453516757</v>
      </c>
      <c r="C1150" s="32" t="n">
        <f aca="false">INDEX(Panel_Reserving!$F$8:$F$68,$A1150+1)*IF($A1150&lt;$Q$1140,INDEX(Surface_Engine!$E$12:$E$72,$A1150+1),INDEX(Surface_Engine!$E$12:$E$72,$Q$1140+1))</f>
        <v>0.8019901414669</v>
      </c>
      <c r="D1150" s="32" t="n">
        <f aca="false">INDEX(Surface_Engine!$Q$12:$Q$72,$A1150+1)*IF($A1150&lt;$Q$1140,INDEX(Surface_Engine!$Y$12:$Y$72,$A1150+1),INDEX(Surface_Engine!$Y$12:$Y$72,$Q$1140+1))</f>
        <v>0.733534498049274</v>
      </c>
      <c r="E1150" s="32" t="n">
        <f aca="false">INDEX(Surface_Engine!$Q$12:$Q$72,$A1150+1)*IF($A1150&lt;$Q$1140,INDEX(Surface_Engine!$Z$12:$Z$72,$A1150+1),INDEX(Surface_Engine!$Z$12:$Z$72,$Q$1140+1))</f>
        <v>0.837457608792288</v>
      </c>
      <c r="F1150" s="48" t="n">
        <f aca="false">B1150*(IF($A1150&lt;$Q$1140,INDEX(Surface_Engine!$D$12:$D$72,$A1150+1)+(Surface_Engine!L246*12)*INDEX(Surface_Engine!$F$12:$F$72,$A1150+1)-(Surface_Engine!L246*12),1000*12*INDEX(Surface_Engine!$C$12:$C$72,$A1150+1)/(1+Assumptions!$B$10)^15+INDEX(Surface_Engine!$D$12:$D$72,$A1150+1)))*INDEX(Surface_Engine!$B$12:$B$72,$A1150+1)+F1151</f>
        <v>21985.3812987012</v>
      </c>
      <c r="G1150" s="48" t="n">
        <f aca="false">C1150*(IF($A1150&lt;$Q$1140,INDEX(Surface_Engine!$D$12:$D$72,$A1150+1)+(Surface_Engine!L246*12)*INDEX(Surface_Engine!$F$12:$F$72,$A1150+1)-(Surface_Engine!L246*12),1000*12*INDEX(Surface_Engine!$C$12:$C$72,$A1150+1)/(1+Assumptions!$B$10)^15+INDEX(Surface_Engine!$D$12:$D$72,$A1150+1)))*INDEX(Surface_Engine!$B$12:$B$72,$A1150+1)+G1151</f>
        <v>29543.3859803713</v>
      </c>
      <c r="H1150" s="48" t="n">
        <f aca="false">D1150*(IF($A1150&lt;$Q$1140,INDEX(Surface_Engine!$D$12:$D$72,$A1150+1)+(Surface_Engine!L246*12)*INDEX(Surface_Engine!$F$12:$F$72,$A1150+1)-(Surface_Engine!L246*12),1000*12*INDEX(Surface_Engine!$C$12:$C$72,$A1150+1)/(1+Assumptions!$B$10)^15+INDEX(Surface_Engine!$D$12:$D$72,$A1150+1)))*INDEX(Surface_Engine!$B$12:$B$72,$A1150+1)+H1151</f>
        <v>19641.0641728856</v>
      </c>
      <c r="I1150" s="48" t="n">
        <f aca="false">E1150*(IF($A1150&lt;$Q$1140,INDEX(Surface_Engine!$D$12:$D$72,$A1150+1)+(Surface_Engine!L246*12)*INDEX(Surface_Engine!$F$12:$F$72,$A1150+1)-(Surface_Engine!L246*12),1000*12*INDEX(Surface_Engine!$C$12:$C$72,$A1150+1)/(1+Assumptions!$B$10)^15+INDEX(Surface_Engine!$D$12:$D$72,$A1150+1)))*INDEX(Surface_Engine!$B$12:$B$72,$A1150+1)+I1151</f>
        <v>24572.8309933331</v>
      </c>
      <c r="J1150" s="48" t="n">
        <f aca="false">B1150*(IF($A1150&lt;$Q$1140,INDEX(Surface_Engine!$D$12:$D$72,$A1150+1)*(1+Assumptions!$B$24)+(Surface_Engine!L246*12)*INDEX(Surface_Engine!$F$12:$F$72,$A1150+1)-(Surface_Engine!L246*12),1000*12*INDEX(Surface_Engine!$C$12:$C$72,$A1150+1)/(1+Assumptions!$B$10)^15+INDEX(Surface_Engine!$D$12:$D$72,$A1150+1)*(1+Assumptions!$B$24)))*INDEX(Surface_Engine!$B$12:$B$72,$A1150+1)+J1151</f>
        <v>22061.2293424156</v>
      </c>
      <c r="K1150" s="12" t="n">
        <f aca="false">SQRT((IF(C1150&lt;=0,0,MAX(0,(B1150/C1150)*G1150/INDEX(Surface_Engine!$B$12:$B$72,$A1150+1)-F1150/INDEX(Surface_Engine!$B$12:$B$72,$A1150+1))))^2+(MAX(IF(D1150&lt;=0,0,MAX(0,(B1150/D1150)*H1150/INDEX(Surface_Engine!$B$12:$B$72,$A1150+1)-F1150/INDEX(Surface_Engine!$B$12:$B$72,$A1150+1))),IF(E1150&lt;=0,0,MAX(0,(B1150/E1150)*I1150/INDEX(Surface_Engine!$B$12:$B$72,$A1150+1)-F1150/INDEX(Surface_Engine!$B$12:$B$72,$A1150+1))),IF($A1150&lt;$Q$1140,MAX(0,-Assumptions!$B$22*(F1150/INDEX(Surface_Engine!$B$12:$B$72,$A1150+1))),0)))^2+(MAX(0,J1150/INDEX(Surface_Engine!$B$12:$B$72,$A1150+1)-(F1150/INDEX(Surface_Engine!$B$12:$B$72,$A1150+1))))^2+2*Assumptions!$B$26*(IF(C1150&lt;=0,0,MAX(0,(B1150/C1150)*G1150/INDEX(Surface_Engine!$B$12:$B$72,$A1150+1)-F1150/INDEX(Surface_Engine!$B$12:$B$72,$A1150+1))))*(MAX(IF(D1150&lt;=0,0,MAX(0,(B1150/D1150)*H1150/INDEX(Surface_Engine!$B$12:$B$72,$A1150+1)-F1150/INDEX(Surface_Engine!$B$12:$B$72,$A1150+1))),IF(E1150&lt;=0,0,MAX(0,(B1150/E1150)*I1150/INDEX(Surface_Engine!$B$12:$B$72,$A1150+1)-F1150/INDEX(Surface_Engine!$B$12:$B$72,$A1150+1))),IF($A1150&lt;$Q$1140,MAX(0,-Assumptions!$B$22*(F1150/INDEX(Surface_Engine!$B$12:$B$72,$A1150+1))),0)))+2*Assumptions!$B$27*(IF(C1150&lt;=0,0,MAX(0,(B1150/C1150)*G1150/INDEX(Surface_Engine!$B$12:$B$72,$A1150+1)-F1150/INDEX(Surface_Engine!$B$12:$B$72,$A1150+1))))*(MAX(0,J1150/INDEX(Surface_Engine!$B$12:$B$72,$A1150+1)-(F1150/INDEX(Surface_Engine!$B$12:$B$72,$A1150+1))))+2*Assumptions!$B$28*(MAX(IF(D1150&lt;=0,0,MAX(0,(B1150/D1150)*H1150/INDEX(Surface_Engine!$B$12:$B$72,$A1150+1)-F1150/INDEX(Surface_Engine!$B$12:$B$72,$A1150+1))),IF(E1150&lt;=0,0,MAX(0,(B1150/E1150)*I1150/INDEX(Surface_Engine!$B$12:$B$72,$A1150+1)-F1150/INDEX(Surface_Engine!$B$12:$B$72,$A1150+1))),IF($A1150&lt;$Q$1140,MAX(0,-Assumptions!$B$22*(F1150/INDEX(Surface_Engine!$B$12:$B$72,$A1150+1))),0)))*(MAX(0,J1150/INDEX(Surface_Engine!$B$12:$B$72,$A1150+1)-(F1150/INDEX(Surface_Engine!$B$12:$B$72,$A1150+1)))))</f>
        <v>9035.08555185569</v>
      </c>
      <c r="L1150" s="48" t="n">
        <f aca="false">K1150*INDEX(Surface_Engine!$B$12:$B$72,$A1150+1)+L1151</f>
        <v>82857.4800177318</v>
      </c>
      <c r="M1150" s="48" t="n">
        <f aca="false">M1149+B1149*(IF($A1149&lt;$Q$1140,(Surface_Engine!L246*12)-(Surface_Engine!L246*12)*INDEX(Surface_Engine!$F$12:$F$72,$A1149+1)-INDEX(Surface_Engine!$D$12:$D$72,$A1149+1),-(1000*12*INDEX(Surface_Engine!$C$12:$C$72,$A1149+1)/(1+Assumptions!$B$10)^15+INDEX(Surface_Engine!$D$12:$D$72,$A1149+1))))*INDEX(Surface_Engine!$B$12:$B$72,$A1149+1)</f>
        <v>23369.385455263</v>
      </c>
      <c r="N1150" s="12" t="n">
        <f aca="false">IF(B1150&lt;=0,0,MAX(0,(K1150+Assumptions!$B$29*L1150/INDEX(Surface_Engine!$B$12:$B$72,$A1150+1)-(M1150/INDEX(Surface_Engine!$B$12:$B$72,$A1150+1)-(F1150/INDEX(Surface_Engine!$B$12:$B$72,$A1150+1))))/B1150))</f>
        <v>17228.8348802628</v>
      </c>
    </row>
    <row r="1151" customFormat="false" ht="15" hidden="false" customHeight="true" outlineLevel="0" collapsed="false">
      <c r="A1151" s="1" t="n">
        <v>9</v>
      </c>
      <c r="B1151" s="32" t="n">
        <f aca="false">INDEX(Surface_Engine!$Q$12:$Q$72,$A1151+1)*IF($A1151&lt;$Q$1140,INDEX(Surface_Engine!$E$12:$E$72,$A1151+1),INDEX(Surface_Engine!$E$12:$E$72,$Q$1140+1))</f>
        <v>0.759508090581017</v>
      </c>
      <c r="C1151" s="32" t="n">
        <f aca="false">INDEX(Panel_Reserving!$F$8:$F$68,$A1151+1)*IF($A1151&lt;$Q$1140,INDEX(Surface_Engine!$E$12:$E$72,$A1151+1),INDEX(Surface_Engine!$E$12:$E$72,$Q$1140+1))</f>
        <v>0.780425988390759</v>
      </c>
      <c r="D1151" s="32" t="n">
        <f aca="false">INDEX(Surface_Engine!$Q$12:$Q$72,$A1151+1)*IF($A1151&lt;$Q$1140,INDEX(Surface_Engine!$Y$12:$Y$72,$A1151+1),INDEX(Surface_Engine!$Y$12:$Y$72,$Q$1140+1))</f>
        <v>0.707286229662576</v>
      </c>
      <c r="E1151" s="32" t="n">
        <f aca="false">INDEX(Surface_Engine!$Q$12:$Q$72,$A1151+1)*IF($A1151&lt;$Q$1140,INDEX(Surface_Engine!$Z$12:$Z$72,$A1151+1),INDEX(Surface_Engine!$Z$12:$Z$72,$Q$1140+1))</f>
        <v>0.814940486176861</v>
      </c>
      <c r="F1151" s="48" t="n">
        <f aca="false">B1151*(IF($A1151&lt;$Q$1140,INDEX(Surface_Engine!$D$12:$D$72,$A1151+1)+(Surface_Engine!L246*12)*INDEX(Surface_Engine!$F$12:$F$72,$A1151+1)-(Surface_Engine!L246*12),1000*12*INDEX(Surface_Engine!$C$12:$C$72,$A1151+1)/(1+Assumptions!$B$10)^15+INDEX(Surface_Engine!$D$12:$D$72,$A1151+1)))*INDEX(Surface_Engine!$B$12:$B$72,$A1151+1)+F1152</f>
        <v>24640.9707185532</v>
      </c>
      <c r="G1151" s="48" t="n">
        <f aca="false">C1151*(IF($A1151&lt;$Q$1140,INDEX(Surface_Engine!$D$12:$D$72,$A1151+1)+(Surface_Engine!L246*12)*INDEX(Surface_Engine!$F$12:$F$72,$A1151+1)-(Surface_Engine!L246*12),1000*12*INDEX(Surface_Engine!$C$12:$C$72,$A1151+1)/(1+Assumptions!$B$10)^15+INDEX(Surface_Engine!$D$12:$D$72,$A1151+1)))*INDEX(Surface_Engine!$B$12:$B$72,$A1151+1)+G1152</f>
        <v>32259.6438257572</v>
      </c>
      <c r="H1151" s="48" t="n">
        <f aca="false">D1151*(IF($A1151&lt;$Q$1140,INDEX(Surface_Engine!$D$12:$D$72,$A1151+1)+(Surface_Engine!L246*12)*INDEX(Surface_Engine!$F$12:$F$72,$A1151+1)-(Surface_Engine!L246*12),1000*12*INDEX(Surface_Engine!$C$12:$C$72,$A1151+1)/(1+Assumptions!$B$10)^15+INDEX(Surface_Engine!$D$12:$D$72,$A1151+1)))*INDEX(Surface_Engine!$B$12:$B$72,$A1151+1)+H1152</f>
        <v>22125.4698185001</v>
      </c>
      <c r="I1151" s="48" t="n">
        <f aca="false">E1151*(IF($A1151&lt;$Q$1140,INDEX(Surface_Engine!$D$12:$D$72,$A1151+1)+(Surface_Engine!L246*12)*INDEX(Surface_Engine!$F$12:$F$72,$A1151+1)-(Surface_Engine!L246*12),1000*12*INDEX(Surface_Engine!$C$12:$C$72,$A1151+1)/(1+Assumptions!$B$10)^15+INDEX(Surface_Engine!$D$12:$D$72,$A1151+1)))*INDEX(Surface_Engine!$B$12:$B$72,$A1151+1)+I1152</f>
        <v>27409.2134903791</v>
      </c>
      <c r="J1151" s="48" t="n">
        <f aca="false">B1151*(IF($A1151&lt;$Q$1140,INDEX(Surface_Engine!$D$12:$D$72,$A1151+1)*(1+Assumptions!$B$24)+(Surface_Engine!L246*12)*INDEX(Surface_Engine!$F$12:$F$72,$A1151+1)-(Surface_Engine!L246*12),1000*12*INDEX(Surface_Engine!$C$12:$C$72,$A1151+1)/(1+Assumptions!$B$10)^15+INDEX(Surface_Engine!$D$12:$D$72,$A1151+1)*(1+Assumptions!$B$24)))*INDEX(Surface_Engine!$B$12:$B$72,$A1151+1)+J1152</f>
        <v>24710.5369287988</v>
      </c>
      <c r="K1151" s="12" t="n">
        <f aca="false">SQRT((IF(C1151&lt;=0,0,MAX(0,(B1151/C1151)*G1151/INDEX(Surface_Engine!$B$12:$B$72,$A1151+1)-F1151/INDEX(Surface_Engine!$B$12:$B$72,$A1151+1))))^2+(MAX(IF(D1151&lt;=0,0,MAX(0,(B1151/D1151)*H1151/INDEX(Surface_Engine!$B$12:$B$72,$A1151+1)-F1151/INDEX(Surface_Engine!$B$12:$B$72,$A1151+1))),IF(E1151&lt;=0,0,MAX(0,(B1151/E1151)*I1151/INDEX(Surface_Engine!$B$12:$B$72,$A1151+1)-F1151/INDEX(Surface_Engine!$B$12:$B$72,$A1151+1))),IF($A1151&lt;$Q$1140,MAX(0,-Assumptions!$B$22*(F1151/INDEX(Surface_Engine!$B$12:$B$72,$A1151+1))),0)))^2+(MAX(0,J1151/INDEX(Surface_Engine!$B$12:$B$72,$A1151+1)-(F1151/INDEX(Surface_Engine!$B$12:$B$72,$A1151+1))))^2+2*Assumptions!$B$26*(IF(C1151&lt;=0,0,MAX(0,(B1151/C1151)*G1151/INDEX(Surface_Engine!$B$12:$B$72,$A1151+1)-F1151/INDEX(Surface_Engine!$B$12:$B$72,$A1151+1))))*(MAX(IF(D1151&lt;=0,0,MAX(0,(B1151/D1151)*H1151/INDEX(Surface_Engine!$B$12:$B$72,$A1151+1)-F1151/INDEX(Surface_Engine!$B$12:$B$72,$A1151+1))),IF(E1151&lt;=0,0,MAX(0,(B1151/E1151)*I1151/INDEX(Surface_Engine!$B$12:$B$72,$A1151+1)-F1151/INDEX(Surface_Engine!$B$12:$B$72,$A1151+1))),IF($A1151&lt;$Q$1140,MAX(0,-Assumptions!$B$22*(F1151/INDEX(Surface_Engine!$B$12:$B$72,$A1151+1))),0)))+2*Assumptions!$B$27*(IF(C1151&lt;=0,0,MAX(0,(B1151/C1151)*G1151/INDEX(Surface_Engine!$B$12:$B$72,$A1151+1)-F1151/INDEX(Surface_Engine!$B$12:$B$72,$A1151+1))))*(MAX(0,J1151/INDEX(Surface_Engine!$B$12:$B$72,$A1151+1)-(F1151/INDEX(Surface_Engine!$B$12:$B$72,$A1151+1))))+2*Assumptions!$B$28*(MAX(IF(D1151&lt;=0,0,MAX(0,(B1151/D1151)*H1151/INDEX(Surface_Engine!$B$12:$B$72,$A1151+1)-F1151/INDEX(Surface_Engine!$B$12:$B$72,$A1151+1))),IF(E1151&lt;=0,0,MAX(0,(B1151/E1151)*I1151/INDEX(Surface_Engine!$B$12:$B$72,$A1151+1)-F1151/INDEX(Surface_Engine!$B$12:$B$72,$A1151+1))),IF($A1151&lt;$Q$1140,MAX(0,-Assumptions!$B$22*(F1151/INDEX(Surface_Engine!$B$12:$B$72,$A1151+1))),0)))*(MAX(0,J1151/INDEX(Surface_Engine!$B$12:$B$72,$A1151+1)-(F1151/INDEX(Surface_Engine!$B$12:$B$72,$A1151+1)))))</f>
        <v>9084.26504530578</v>
      </c>
      <c r="L1151" s="48" t="n">
        <f aca="false">K1151*INDEX(Surface_Engine!$B$12:$B$72,$A1151+1)+L1152</f>
        <v>75612.2038009102</v>
      </c>
      <c r="M1151" s="48" t="n">
        <f aca="false">M1150+B1150*(IF($A1150&lt;$Q$1140,(Surface_Engine!L246*12)-(Surface_Engine!L246*12)*INDEX(Surface_Engine!$F$12:$F$72,$A1150+1)-INDEX(Surface_Engine!$D$12:$D$72,$A1150+1),-(1000*12*INDEX(Surface_Engine!$C$12:$C$72,$A1150+1)/(1+Assumptions!$B$10)^15+INDEX(Surface_Engine!$D$12:$D$72,$A1150+1))))*INDEX(Surface_Engine!$B$12:$B$72,$A1150+1)</f>
        <v>26024.974875115</v>
      </c>
      <c r="N1151" s="12" t="n">
        <f aca="false">IF(B1151&lt;=0,0,MAX(0,(K1151+Assumptions!$B$29*L1151/INDEX(Surface_Engine!$B$12:$B$72,$A1151+1)-(M1151/INDEX(Surface_Engine!$B$12:$B$72,$A1151+1)-(F1151/INDEX(Surface_Engine!$B$12:$B$72,$A1151+1))))/B1151))</f>
        <v>17304.8733936482</v>
      </c>
    </row>
    <row r="1152" customFormat="false" ht="15" hidden="false" customHeight="true" outlineLevel="0" collapsed="false">
      <c r="A1152" s="1" t="n">
        <v>10</v>
      </c>
      <c r="B1152" s="32" t="n">
        <f aca="false">INDEX(Surface_Engine!$Q$12:$Q$72,$A1152+1)*IF($A1152&lt;$Q$1140,INDEX(Surface_Engine!$E$12:$E$72,$A1152+1),INDEX(Surface_Engine!$E$12:$E$72,$Q$1140+1))</f>
        <v>0.733666200861903</v>
      </c>
      <c r="C1152" s="32" t="n">
        <f aca="false">INDEX(Panel_Reserving!$F$8:$F$68,$A1152+1)*IF($A1152&lt;$Q$1140,INDEX(Surface_Engine!$E$12:$E$72,$A1152+1),INDEX(Surface_Engine!$E$12:$E$72,$Q$1140+1))</f>
        <v>0.757762724357947</v>
      </c>
      <c r="D1152" s="32" t="n">
        <f aca="false">INDEX(Surface_Engine!$Q$12:$Q$72,$A1152+1)*IF($A1152&lt;$Q$1140,INDEX(Surface_Engine!$Y$12:$Y$72,$A1152+1),INDEX(Surface_Engine!$Y$12:$Y$72,$Q$1140+1))</f>
        <v>0.680083958254003</v>
      </c>
      <c r="E1152" s="32" t="n">
        <f aca="false">INDEX(Surface_Engine!$Q$12:$Q$72,$A1152+1)*IF($A1152&lt;$Q$1140,INDEX(Surface_Engine!$Z$12:$Z$72,$A1152+1),INDEX(Surface_Engine!$Z$12:$Z$72,$Q$1140+1))</f>
        <v>0.790827247335463</v>
      </c>
      <c r="F1152" s="48" t="n">
        <f aca="false">B1152*(IF($A1152&lt;$Q$1140,INDEX(Surface_Engine!$D$12:$D$72,$A1152+1)+(Surface_Engine!L246*12)*INDEX(Surface_Engine!$F$12:$F$72,$A1152+1)-(Surface_Engine!L246*12),1000*12*INDEX(Surface_Engine!$C$12:$C$72,$A1152+1)/(1+Assumptions!$B$10)^15+INDEX(Surface_Engine!$D$12:$D$72,$A1152+1)))*INDEX(Surface_Engine!$B$12:$B$72,$A1152+1)+F1153</f>
        <v>27131.1472158978</v>
      </c>
      <c r="G1152" s="48" t="n">
        <f aca="false">C1152*(IF($A1152&lt;$Q$1140,INDEX(Surface_Engine!$D$12:$D$72,$A1152+1)+(Surface_Engine!L246*12)*INDEX(Surface_Engine!$F$12:$F$72,$A1152+1)-(Surface_Engine!L246*12),1000*12*INDEX(Surface_Engine!$C$12:$C$72,$A1152+1)/(1+Assumptions!$B$10)^15+INDEX(Surface_Engine!$D$12:$D$72,$A1152+1)))*INDEX(Surface_Engine!$B$12:$B$72,$A1152+1)+G1153</f>
        <v>34818.4032100331</v>
      </c>
      <c r="H1152" s="48" t="n">
        <f aca="false">D1152*(IF($A1152&lt;$Q$1140,INDEX(Surface_Engine!$D$12:$D$72,$A1152+1)+(Surface_Engine!L246*12)*INDEX(Surface_Engine!$F$12:$F$72,$A1152+1)-(Surface_Engine!L246*12),1000*12*INDEX(Surface_Engine!$C$12:$C$72,$A1152+1)/(1+Assumptions!$B$10)^15+INDEX(Surface_Engine!$D$12:$D$72,$A1152+1)))*INDEX(Surface_Engine!$B$12:$B$72,$A1152+1)+H1153</f>
        <v>24444.428059819</v>
      </c>
      <c r="I1152" s="48" t="n">
        <f aca="false">E1152*(IF($A1152&lt;$Q$1140,INDEX(Surface_Engine!$D$12:$D$72,$A1152+1)+(Surface_Engine!L246*12)*INDEX(Surface_Engine!$F$12:$F$72,$A1152+1)-(Surface_Engine!L246*12),1000*12*INDEX(Surface_Engine!$C$12:$C$72,$A1152+1)/(1+Assumptions!$B$10)^15+INDEX(Surface_Engine!$D$12:$D$72,$A1152+1)))*INDEX(Surface_Engine!$B$12:$B$72,$A1152+1)+I1153</f>
        <v>30081.1345279282</v>
      </c>
      <c r="J1152" s="48" t="n">
        <f aca="false">B1152*(IF($A1152&lt;$Q$1140,INDEX(Surface_Engine!$D$12:$D$72,$A1152+1)*(1+Assumptions!$B$24)+(Surface_Engine!L246*12)*INDEX(Surface_Engine!$F$12:$F$72,$A1152+1)-(Surface_Engine!L246*12),1000*12*INDEX(Surface_Engine!$C$12:$C$72,$A1152+1)/(1+Assumptions!$B$10)^15+INDEX(Surface_Engine!$D$12:$D$72,$A1152+1)*(1+Assumptions!$B$24)))*INDEX(Surface_Engine!$B$12:$B$72,$A1152+1)+J1153</f>
        <v>27194.6720428116</v>
      </c>
      <c r="K1152" s="12" t="n">
        <f aca="false">SQRT((IF(C1152&lt;=0,0,MAX(0,(B1152/C1152)*G1152/INDEX(Surface_Engine!$B$12:$B$72,$A1152+1)-F1152/INDEX(Surface_Engine!$B$12:$B$72,$A1152+1))))^2+(MAX(IF(D1152&lt;=0,0,MAX(0,(B1152/D1152)*H1152/INDEX(Surface_Engine!$B$12:$B$72,$A1152+1)-F1152/INDEX(Surface_Engine!$B$12:$B$72,$A1152+1))),IF(E1152&lt;=0,0,MAX(0,(B1152/E1152)*I1152/INDEX(Surface_Engine!$B$12:$B$72,$A1152+1)-F1152/INDEX(Surface_Engine!$B$12:$B$72,$A1152+1))),IF($A1152&lt;$Q$1140,MAX(0,-Assumptions!$B$22*(F1152/INDEX(Surface_Engine!$B$12:$B$72,$A1152+1))),0)))^2+(MAX(0,J1152/INDEX(Surface_Engine!$B$12:$B$72,$A1152+1)-(F1152/INDEX(Surface_Engine!$B$12:$B$72,$A1152+1))))^2+2*Assumptions!$B$26*(IF(C1152&lt;=0,0,MAX(0,(B1152/C1152)*G1152/INDEX(Surface_Engine!$B$12:$B$72,$A1152+1)-F1152/INDEX(Surface_Engine!$B$12:$B$72,$A1152+1))))*(MAX(IF(D1152&lt;=0,0,MAX(0,(B1152/D1152)*H1152/INDEX(Surface_Engine!$B$12:$B$72,$A1152+1)-F1152/INDEX(Surface_Engine!$B$12:$B$72,$A1152+1))),IF(E1152&lt;=0,0,MAX(0,(B1152/E1152)*I1152/INDEX(Surface_Engine!$B$12:$B$72,$A1152+1)-F1152/INDEX(Surface_Engine!$B$12:$B$72,$A1152+1))),IF($A1152&lt;$Q$1140,MAX(0,-Assumptions!$B$22*(F1152/INDEX(Surface_Engine!$B$12:$B$72,$A1152+1))),0)))+2*Assumptions!$B$27*(IF(C1152&lt;=0,0,MAX(0,(B1152/C1152)*G1152/INDEX(Surface_Engine!$B$12:$B$72,$A1152+1)-F1152/INDEX(Surface_Engine!$B$12:$B$72,$A1152+1))))*(MAX(0,J1152/INDEX(Surface_Engine!$B$12:$B$72,$A1152+1)-(F1152/INDEX(Surface_Engine!$B$12:$B$72,$A1152+1))))+2*Assumptions!$B$28*(MAX(IF(D1152&lt;=0,0,MAX(0,(B1152/D1152)*H1152/INDEX(Surface_Engine!$B$12:$B$72,$A1152+1)-F1152/INDEX(Surface_Engine!$B$12:$B$72,$A1152+1))),IF(E1152&lt;=0,0,MAX(0,(B1152/E1152)*I1152/INDEX(Surface_Engine!$B$12:$B$72,$A1152+1)-F1152/INDEX(Surface_Engine!$B$12:$B$72,$A1152+1))),IF($A1152&lt;$Q$1140,MAX(0,-Assumptions!$B$22*(F1152/INDEX(Surface_Engine!$B$12:$B$72,$A1152+1))),0)))*(MAX(0,J1152/INDEX(Surface_Engine!$B$12:$B$72,$A1152+1)-(F1152/INDEX(Surface_Engine!$B$12:$B$72,$A1152+1)))))</f>
        <v>9106.21262830477</v>
      </c>
      <c r="L1152" s="48" t="n">
        <f aca="false">K1152*INDEX(Surface_Engine!$B$12:$B$72,$A1152+1)+L1153</f>
        <v>68556.0970193064</v>
      </c>
      <c r="M1152" s="48" t="n">
        <f aca="false">M1151+B1151*(IF($A1151&lt;$Q$1140,(Surface_Engine!L246*12)-(Surface_Engine!L246*12)*INDEX(Surface_Engine!$F$12:$F$72,$A1151+1)-INDEX(Surface_Engine!$D$12:$D$72,$A1151+1),-(1000*12*INDEX(Surface_Engine!$C$12:$C$72,$A1151+1)/(1+Assumptions!$B$10)^15+INDEX(Surface_Engine!$D$12:$D$72,$A1151+1))))*INDEX(Surface_Engine!$B$12:$B$72,$A1151+1)</f>
        <v>28515.1513724596</v>
      </c>
      <c r="N1152" s="12" t="n">
        <f aca="false">IF(B1152&lt;=0,0,MAX(0,(K1152+Assumptions!$B$29*L1152/INDEX(Surface_Engine!$B$12:$B$72,$A1152+1)-(M1152/INDEX(Surface_Engine!$B$12:$B$72,$A1152+1)-(F1152/INDEX(Surface_Engine!$B$12:$B$72,$A1152+1))))/B1152))</f>
        <v>17368.4909493315</v>
      </c>
    </row>
    <row r="1153" customFormat="false" ht="15" hidden="false" customHeight="true" outlineLevel="0" collapsed="false">
      <c r="A1153" s="1" t="n">
        <v>11</v>
      </c>
      <c r="B1153" s="32" t="n">
        <f aca="false">INDEX(Surface_Engine!$Q$12:$Q$72,$A1153+1)*IF($A1153&lt;$Q$1140,INDEX(Surface_Engine!$E$12:$E$72,$A1153+1),INDEX(Surface_Engine!$E$12:$E$72,$Q$1140+1))</f>
        <v>0.705777557434794</v>
      </c>
      <c r="C1153" s="32" t="n">
        <f aca="false">INDEX(Panel_Reserving!$F$8:$F$68,$A1153+1)*IF($A1153&lt;$Q$1140,INDEX(Surface_Engine!$E$12:$E$72,$A1153+1),INDEX(Surface_Engine!$E$12:$E$72,$Q$1140+1))</f>
        <v>0.73333990205408</v>
      </c>
      <c r="D1153" s="32" t="n">
        <f aca="false">INDEX(Surface_Engine!$Q$12:$Q$72,$A1153+1)*IF($A1153&lt;$Q$1140,INDEX(Surface_Engine!$Y$12:$Y$72,$A1153+1),INDEX(Surface_Engine!$Y$12:$Y$72,$Q$1140+1))</f>
        <v>0.651228027886055</v>
      </c>
      <c r="E1153" s="32" t="n">
        <f aca="false">INDEX(Surface_Engine!$Q$12:$Q$72,$A1153+1)*IF($A1153&lt;$Q$1140,INDEX(Surface_Engine!$Z$12:$Z$72,$A1153+1),INDEX(Surface_Engine!$Z$12:$Z$72,$Q$1140+1))</f>
        <v>0.764259030380042</v>
      </c>
      <c r="F1153" s="48" t="n">
        <f aca="false">B1153*(IF($A1153&lt;$Q$1140,INDEX(Surface_Engine!$D$12:$D$72,$A1153+1)+(Surface_Engine!L246*12)*INDEX(Surface_Engine!$F$12:$F$72,$A1153+1)-(Surface_Engine!L246*12),1000*12*INDEX(Surface_Engine!$C$12:$C$72,$A1153+1)/(1+Assumptions!$B$10)^15+INDEX(Surface_Engine!$D$12:$D$72,$A1153+1)))*INDEX(Surface_Engine!$B$12:$B$72,$A1153+1)+F1154</f>
        <v>29454.0948398784</v>
      </c>
      <c r="G1153" s="48" t="n">
        <f aca="false">C1153*(IF($A1153&lt;$Q$1140,INDEX(Surface_Engine!$D$12:$D$72,$A1153+1)+(Surface_Engine!L246*12)*INDEX(Surface_Engine!$F$12:$F$72,$A1153+1)-(Surface_Engine!L246*12),1000*12*INDEX(Surface_Engine!$C$12:$C$72,$A1153+1)/(1+Assumptions!$B$10)^15+INDEX(Surface_Engine!$D$12:$D$72,$A1153+1)))*INDEX(Surface_Engine!$B$12:$B$72,$A1153+1)+G1154</f>
        <v>37217.6456966304</v>
      </c>
      <c r="H1153" s="48" t="n">
        <f aca="false">D1153*(IF($A1153&lt;$Q$1140,INDEX(Surface_Engine!$D$12:$D$72,$A1153+1)+(Surface_Engine!L246*12)*INDEX(Surface_Engine!$F$12:$F$72,$A1153+1)-(Surface_Engine!L246*12),1000*12*INDEX(Surface_Engine!$C$12:$C$72,$A1153+1)/(1+Assumptions!$B$10)^15+INDEX(Surface_Engine!$D$12:$D$72,$A1153+1)))*INDEX(Surface_Engine!$B$12:$B$72,$A1153+1)+H1154</f>
        <v>26597.7225867817</v>
      </c>
      <c r="I1153" s="48" t="n">
        <f aca="false">E1153*(IF($A1153&lt;$Q$1140,INDEX(Surface_Engine!$D$12:$D$72,$A1153+1)+(Surface_Engine!L246*12)*INDEX(Surface_Engine!$F$12:$F$72,$A1153+1)-(Surface_Engine!L246*12),1000*12*INDEX(Surface_Engine!$C$12:$C$72,$A1153+1)/(1+Assumptions!$B$10)^15+INDEX(Surface_Engine!$D$12:$D$72,$A1153+1)))*INDEX(Surface_Engine!$B$12:$B$72,$A1153+1)+I1154</f>
        <v>32585.0665245486</v>
      </c>
      <c r="J1153" s="48" t="n">
        <f aca="false">B1153*(IF($A1153&lt;$Q$1140,INDEX(Surface_Engine!$D$12:$D$72,$A1153+1)*(1+Assumptions!$B$24)+(Surface_Engine!L246*12)*INDEX(Surface_Engine!$F$12:$F$72,$A1153+1)-(Surface_Engine!L246*12),1000*12*INDEX(Surface_Engine!$C$12:$C$72,$A1153+1)/(1+Assumptions!$B$10)^15+INDEX(Surface_Engine!$D$12:$D$72,$A1153+1)*(1+Assumptions!$B$24)))*INDEX(Surface_Engine!$B$12:$B$72,$A1153+1)+J1154</f>
        <v>29511.839597628</v>
      </c>
      <c r="K1153" s="12" t="n">
        <f aca="false">SQRT((IF(C1153&lt;=0,0,MAX(0,(B1153/C1153)*G1153/INDEX(Surface_Engine!$B$12:$B$72,$A1153+1)-F1153/INDEX(Surface_Engine!$B$12:$B$72,$A1153+1))))^2+(MAX(IF(D1153&lt;=0,0,MAX(0,(B1153/D1153)*H1153/INDEX(Surface_Engine!$B$12:$B$72,$A1153+1)-F1153/INDEX(Surface_Engine!$B$12:$B$72,$A1153+1))),IF(E1153&lt;=0,0,MAX(0,(B1153/E1153)*I1153/INDEX(Surface_Engine!$B$12:$B$72,$A1153+1)-F1153/INDEX(Surface_Engine!$B$12:$B$72,$A1153+1))),IF($A1153&lt;$Q$1140,MAX(0,-Assumptions!$B$22*(F1153/INDEX(Surface_Engine!$B$12:$B$72,$A1153+1))),0)))^2+(MAX(0,J1153/INDEX(Surface_Engine!$B$12:$B$72,$A1153+1)-(F1153/INDEX(Surface_Engine!$B$12:$B$72,$A1153+1))))^2+2*Assumptions!$B$26*(IF(C1153&lt;=0,0,MAX(0,(B1153/C1153)*G1153/INDEX(Surface_Engine!$B$12:$B$72,$A1153+1)-F1153/INDEX(Surface_Engine!$B$12:$B$72,$A1153+1))))*(MAX(IF(D1153&lt;=0,0,MAX(0,(B1153/D1153)*H1153/INDEX(Surface_Engine!$B$12:$B$72,$A1153+1)-F1153/INDEX(Surface_Engine!$B$12:$B$72,$A1153+1))),IF(E1153&lt;=0,0,MAX(0,(B1153/E1153)*I1153/INDEX(Surface_Engine!$B$12:$B$72,$A1153+1)-F1153/INDEX(Surface_Engine!$B$12:$B$72,$A1153+1))),IF($A1153&lt;$Q$1140,MAX(0,-Assumptions!$B$22*(F1153/INDEX(Surface_Engine!$B$12:$B$72,$A1153+1))),0)))+2*Assumptions!$B$27*(IF(C1153&lt;=0,0,MAX(0,(B1153/C1153)*G1153/INDEX(Surface_Engine!$B$12:$B$72,$A1153+1)-F1153/INDEX(Surface_Engine!$B$12:$B$72,$A1153+1))))*(MAX(0,J1153/INDEX(Surface_Engine!$B$12:$B$72,$A1153+1)-(F1153/INDEX(Surface_Engine!$B$12:$B$72,$A1153+1))))+2*Assumptions!$B$28*(MAX(IF(D1153&lt;=0,0,MAX(0,(B1153/D1153)*H1153/INDEX(Surface_Engine!$B$12:$B$72,$A1153+1)-F1153/INDEX(Surface_Engine!$B$12:$B$72,$A1153+1))),IF(E1153&lt;=0,0,MAX(0,(B1153/E1153)*I1153/INDEX(Surface_Engine!$B$12:$B$72,$A1153+1)-F1153/INDEX(Surface_Engine!$B$12:$B$72,$A1153+1))),IF($A1153&lt;$Q$1140,MAX(0,-Assumptions!$B$22*(F1153/INDEX(Surface_Engine!$B$12:$B$72,$A1153+1))),0)))*(MAX(0,J1153/INDEX(Surface_Engine!$B$12:$B$72,$A1153+1)-(F1153/INDEX(Surface_Engine!$B$12:$B$72,$A1153+1)))))</f>
        <v>9037.724022918</v>
      </c>
      <c r="L1153" s="48" t="n">
        <f aca="false">K1153*INDEX(Surface_Engine!$B$12:$B$72,$A1153+1)+L1154</f>
        <v>61721.3915576984</v>
      </c>
      <c r="M1153" s="48" t="n">
        <f aca="false">M1152+B1152*(IF($A1152&lt;$Q$1140,(Surface_Engine!L246*12)-(Surface_Engine!L246*12)*INDEX(Surface_Engine!$F$12:$F$72,$A1152+1)-INDEX(Surface_Engine!$D$12:$D$72,$A1152+1),-(1000*12*INDEX(Surface_Engine!$C$12:$C$72,$A1152+1)/(1+Assumptions!$B$10)^15+INDEX(Surface_Engine!$D$12:$D$72,$A1152+1))))*INDEX(Surface_Engine!$B$12:$B$72,$A1152+1)</f>
        <v>30838.0989964402</v>
      </c>
      <c r="N1153" s="12" t="n">
        <f aca="false">IF(B1153&lt;=0,0,MAX(0,(K1153+Assumptions!$B$29*L1153/INDEX(Surface_Engine!$B$12:$B$72,$A1153+1)-(M1153/INDEX(Surface_Engine!$B$12:$B$72,$A1153+1)-(F1153/INDEX(Surface_Engine!$B$12:$B$72,$A1153+1))))/B1153))</f>
        <v>17325.5411011605</v>
      </c>
    </row>
    <row r="1154" customFormat="false" ht="15" hidden="false" customHeight="true" outlineLevel="0" collapsed="false">
      <c r="A1154" s="1" t="n">
        <v>12</v>
      </c>
      <c r="B1154" s="32" t="n">
        <f aca="false">INDEX(Surface_Engine!$Q$12:$Q$72,$A1154+1)*IF($A1154&lt;$Q$1140,INDEX(Surface_Engine!$E$12:$E$72,$A1154+1),INDEX(Surface_Engine!$E$12:$E$72,$Q$1140+1))</f>
        <v>0.676453688498242</v>
      </c>
      <c r="C1154" s="32" t="n">
        <f aca="false">INDEX(Panel_Reserving!$F$8:$F$68,$A1154+1)*IF($A1154&lt;$Q$1140,INDEX(Surface_Engine!$E$12:$E$72,$A1154+1),INDEX(Surface_Engine!$E$12:$E$72,$Q$1140+1))</f>
        <v>0.707629993081366</v>
      </c>
      <c r="D1154" s="32" t="n">
        <f aca="false">INDEX(Surface_Engine!$Q$12:$Q$72,$A1154+1)*IF($A1154&lt;$Q$1140,INDEX(Surface_Engine!$Y$12:$Y$72,$A1154+1),INDEX(Surface_Engine!$Y$12:$Y$72,$Q$1140+1))</f>
        <v>0.621304542685258</v>
      </c>
      <c r="E1154" s="32" t="n">
        <f aca="false">INDEX(Surface_Engine!$Q$12:$Q$72,$A1154+1)*IF($A1154&lt;$Q$1140,INDEX(Surface_Engine!$Z$12:$Z$72,$A1154+1),INDEX(Surface_Engine!$Z$12:$Z$72,$Q$1140+1))</f>
        <v>0.73586886200945</v>
      </c>
      <c r="F1154" s="48" t="n">
        <f aca="false">B1154*(IF($A1154&lt;$Q$1140,INDEX(Surface_Engine!$D$12:$D$72,$A1154+1)+(Surface_Engine!L246*12)*INDEX(Surface_Engine!$F$12:$F$72,$A1154+1)-(Surface_Engine!L246*12),1000*12*INDEX(Surface_Engine!$C$12:$C$72,$A1154+1)/(1+Assumptions!$B$10)^15+INDEX(Surface_Engine!$D$12:$D$72,$A1154+1)))*INDEX(Surface_Engine!$B$12:$B$72,$A1154+1)+F1155</f>
        <v>31617.2331070504</v>
      </c>
      <c r="G1154" s="48" t="n">
        <f aca="false">C1154*(IF($A1154&lt;$Q$1140,INDEX(Surface_Engine!$D$12:$D$72,$A1154+1)+(Surface_Engine!L246*12)*INDEX(Surface_Engine!$F$12:$F$72,$A1154+1)-(Surface_Engine!L246*12),1000*12*INDEX(Surface_Engine!$C$12:$C$72,$A1154+1)/(1+Assumptions!$B$10)^15+INDEX(Surface_Engine!$D$12:$D$72,$A1154+1)))*INDEX(Surface_Engine!$B$12:$B$72,$A1154+1)+G1155</f>
        <v>39465.2598184834</v>
      </c>
      <c r="H1154" s="48" t="n">
        <f aca="false">D1154*(IF($A1154&lt;$Q$1140,INDEX(Surface_Engine!$D$12:$D$72,$A1154+1)+(Surface_Engine!L246*12)*INDEX(Surface_Engine!$F$12:$F$72,$A1154+1)-(Surface_Engine!L246*12),1000*12*INDEX(Surface_Engine!$C$12:$C$72,$A1154+1)/(1+Assumptions!$B$10)^15+INDEX(Surface_Engine!$D$12:$D$72,$A1154+1)))*INDEX(Surface_Engine!$B$12:$B$72,$A1154+1)+H1155</f>
        <v>28593.6719520397</v>
      </c>
      <c r="I1154" s="48" t="n">
        <f aca="false">E1154*(IF($A1154&lt;$Q$1140,INDEX(Surface_Engine!$D$12:$D$72,$A1154+1)+(Surface_Engine!L246*12)*INDEX(Surface_Engine!$F$12:$F$72,$A1154+1)-(Surface_Engine!L246*12),1000*12*INDEX(Surface_Engine!$C$12:$C$72,$A1154+1)/(1+Assumptions!$B$10)^15+INDEX(Surface_Engine!$D$12:$D$72,$A1154+1)))*INDEX(Surface_Engine!$B$12:$B$72,$A1154+1)+I1155</f>
        <v>34927.4447104681</v>
      </c>
      <c r="J1154" s="48" t="n">
        <f aca="false">B1154*(IF($A1154&lt;$Q$1140,INDEX(Surface_Engine!$D$12:$D$72,$A1154+1)*(1+Assumptions!$B$24)+(Surface_Engine!L246*12)*INDEX(Surface_Engine!$F$12:$F$72,$A1154+1)-(Surface_Engine!L246*12),1000*12*INDEX(Surface_Engine!$C$12:$C$72,$A1154+1)/(1+Assumptions!$B$10)^15+INDEX(Surface_Engine!$D$12:$D$72,$A1154+1)*(1+Assumptions!$B$24)))*INDEX(Surface_Engine!$B$12:$B$72,$A1154+1)+J1155</f>
        <v>31669.4574462664</v>
      </c>
      <c r="K1154" s="12" t="n">
        <f aca="false">SQRT((IF(C1154&lt;=0,0,MAX(0,(B1154/C1154)*G1154/INDEX(Surface_Engine!$B$12:$B$72,$A1154+1)-F1154/INDEX(Surface_Engine!$B$12:$B$72,$A1154+1))))^2+(MAX(IF(D1154&lt;=0,0,MAX(0,(B1154/D1154)*H1154/INDEX(Surface_Engine!$B$12:$B$72,$A1154+1)-F1154/INDEX(Surface_Engine!$B$12:$B$72,$A1154+1))),IF(E1154&lt;=0,0,MAX(0,(B1154/E1154)*I1154/INDEX(Surface_Engine!$B$12:$B$72,$A1154+1)-F1154/INDEX(Surface_Engine!$B$12:$B$72,$A1154+1))),IF($A1154&lt;$Q$1140,MAX(0,-Assumptions!$B$22*(F1154/INDEX(Surface_Engine!$B$12:$B$72,$A1154+1))),0)))^2+(MAX(0,J1154/INDEX(Surface_Engine!$B$12:$B$72,$A1154+1)-(F1154/INDEX(Surface_Engine!$B$12:$B$72,$A1154+1))))^2+2*Assumptions!$B$26*(IF(C1154&lt;=0,0,MAX(0,(B1154/C1154)*G1154/INDEX(Surface_Engine!$B$12:$B$72,$A1154+1)-F1154/INDEX(Surface_Engine!$B$12:$B$72,$A1154+1))))*(MAX(IF(D1154&lt;=0,0,MAX(0,(B1154/D1154)*H1154/INDEX(Surface_Engine!$B$12:$B$72,$A1154+1)-F1154/INDEX(Surface_Engine!$B$12:$B$72,$A1154+1))),IF(E1154&lt;=0,0,MAX(0,(B1154/E1154)*I1154/INDEX(Surface_Engine!$B$12:$B$72,$A1154+1)-F1154/INDEX(Surface_Engine!$B$12:$B$72,$A1154+1))),IF($A1154&lt;$Q$1140,MAX(0,-Assumptions!$B$22*(F1154/INDEX(Surface_Engine!$B$12:$B$72,$A1154+1))),0)))+2*Assumptions!$B$27*(IF(C1154&lt;=0,0,MAX(0,(B1154/C1154)*G1154/INDEX(Surface_Engine!$B$12:$B$72,$A1154+1)-F1154/INDEX(Surface_Engine!$B$12:$B$72,$A1154+1))))*(MAX(0,J1154/INDEX(Surface_Engine!$B$12:$B$72,$A1154+1)-(F1154/INDEX(Surface_Engine!$B$12:$B$72,$A1154+1))))+2*Assumptions!$B$28*(MAX(IF(D1154&lt;=0,0,MAX(0,(B1154/D1154)*H1154/INDEX(Surface_Engine!$B$12:$B$72,$A1154+1)-F1154/INDEX(Surface_Engine!$B$12:$B$72,$A1154+1))),IF(E1154&lt;=0,0,MAX(0,(B1154/E1154)*I1154/INDEX(Surface_Engine!$B$12:$B$72,$A1154+1)-F1154/INDEX(Surface_Engine!$B$12:$B$72,$A1154+1))),IF($A1154&lt;$Q$1140,MAX(0,-Assumptions!$B$22*(F1154/INDEX(Surface_Engine!$B$12:$B$72,$A1154+1))),0)))*(MAX(0,J1154/INDEX(Surface_Engine!$B$12:$B$72,$A1154+1)-(F1154/INDEX(Surface_Engine!$B$12:$B$72,$A1154+1)))))</f>
        <v>8923.89035704126</v>
      </c>
      <c r="L1154" s="48" t="n">
        <f aca="false">K1154*INDEX(Surface_Engine!$B$12:$B$72,$A1154+1)+L1155</f>
        <v>55151.0663715366</v>
      </c>
      <c r="M1154" s="48" t="n">
        <f aca="false">M1153+B1153*(IF($A1153&lt;$Q$1140,(Surface_Engine!L246*12)-(Surface_Engine!L246*12)*INDEX(Surface_Engine!$F$12:$F$72,$A1153+1)-INDEX(Surface_Engine!$D$12:$D$72,$A1153+1),-(1000*12*INDEX(Surface_Engine!$C$12:$C$72,$A1153+1)/(1+Assumptions!$B$10)^15+INDEX(Surface_Engine!$D$12:$D$72,$A1153+1))))*INDEX(Surface_Engine!$B$12:$B$72,$A1153+1)</f>
        <v>33001.2372636122</v>
      </c>
      <c r="N1154" s="12" t="n">
        <f aca="false">IF(B1154&lt;=0,0,MAX(0,(K1154+Assumptions!$B$29*L1154/INDEX(Surface_Engine!$B$12:$B$72,$A1154+1)-(M1154/INDEX(Surface_Engine!$B$12:$B$72,$A1154+1)-(F1154/INDEX(Surface_Engine!$B$12:$B$72,$A1154+1))))/B1154))</f>
        <v>17245.8344282646</v>
      </c>
    </row>
    <row r="1155" customFormat="false" ht="15" hidden="false" customHeight="true" outlineLevel="0" collapsed="false">
      <c r="A1155" s="1" t="n">
        <v>13</v>
      </c>
      <c r="B1155" s="32" t="n">
        <f aca="false">INDEX(Surface_Engine!$Q$12:$Q$72,$A1155+1)*IF($A1155&lt;$Q$1140,INDEX(Surface_Engine!$E$12:$E$72,$A1155+1),INDEX(Surface_Engine!$E$12:$E$72,$Q$1140+1))</f>
        <v>0.64566000083194</v>
      </c>
      <c r="C1155" s="32" t="n">
        <f aca="false">INDEX(Panel_Reserving!$F$8:$F$68,$A1155+1)*IF($A1155&lt;$Q$1140,INDEX(Surface_Engine!$E$12:$E$72,$A1155+1),INDEX(Surface_Engine!$E$12:$E$72,$Q$1140+1))</f>
        <v>0.680571784166491</v>
      </c>
      <c r="D1155" s="32" t="n">
        <f aca="false">INDEX(Surface_Engine!$Q$12:$Q$72,$A1155+1)*IF($A1155&lt;$Q$1140,INDEX(Surface_Engine!$Y$12:$Y$72,$A1155+1),INDEX(Surface_Engine!$Y$12:$Y$72,$Q$1140+1))</f>
        <v>0.59029834094533</v>
      </c>
      <c r="E1155" s="32" t="n">
        <f aca="false">INDEX(Surface_Engine!$Q$12:$Q$72,$A1155+1)*IF($A1155&lt;$Q$1140,INDEX(Surface_Engine!$Z$12:$Z$72,$A1155+1),INDEX(Surface_Engine!$Z$12:$Z$72,$Q$1140+1))</f>
        <v>0.705595596836965</v>
      </c>
      <c r="F1155" s="48" t="n">
        <f aca="false">B1155*(IF($A1155&lt;$Q$1140,INDEX(Surface_Engine!$D$12:$D$72,$A1155+1)+(Surface_Engine!L246*12)*INDEX(Surface_Engine!$F$12:$F$72,$A1155+1)-(Surface_Engine!L246*12),1000*12*INDEX(Surface_Engine!$C$12:$C$72,$A1155+1)/(1+Assumptions!$B$10)^15+INDEX(Surface_Engine!$D$12:$D$72,$A1155+1)))*INDEX(Surface_Engine!$B$12:$B$72,$A1155+1)+F1156</f>
        <v>33618.0513646653</v>
      </c>
      <c r="G1155" s="48" t="n">
        <f aca="false">C1155*(IF($A1155&lt;$Q$1140,INDEX(Surface_Engine!$D$12:$D$72,$A1155+1)+(Surface_Engine!L246*12)*INDEX(Surface_Engine!$F$12:$F$72,$A1155+1)-(Surface_Engine!L246*12),1000*12*INDEX(Surface_Engine!$C$12:$C$72,$A1155+1)/(1+Assumptions!$B$10)^15+INDEX(Surface_Engine!$D$12:$D$72,$A1155+1)))*INDEX(Surface_Engine!$B$12:$B$72,$A1155+1)+G1156</f>
        <v>41558.2915128428</v>
      </c>
      <c r="H1155" s="48" t="n">
        <f aca="false">D1155*(IF($A1155&lt;$Q$1140,INDEX(Surface_Engine!$D$12:$D$72,$A1155+1)+(Surface_Engine!L246*12)*INDEX(Surface_Engine!$F$12:$F$72,$A1155+1)-(Surface_Engine!L246*12),1000*12*INDEX(Surface_Engine!$C$12:$C$72,$A1155+1)/(1+Assumptions!$B$10)^15+INDEX(Surface_Engine!$D$12:$D$72,$A1155+1)))*INDEX(Surface_Engine!$B$12:$B$72,$A1155+1)+H1156</f>
        <v>30431.3697777453</v>
      </c>
      <c r="I1155" s="48" t="n">
        <f aca="false">E1155*(IF($A1155&lt;$Q$1140,INDEX(Surface_Engine!$D$12:$D$72,$A1155+1)+(Surface_Engine!L246*12)*INDEX(Surface_Engine!$F$12:$F$72,$A1155+1)-(Surface_Engine!L246*12),1000*12*INDEX(Surface_Engine!$C$12:$C$72,$A1155+1)/(1+Assumptions!$B$10)^15+INDEX(Surface_Engine!$D$12:$D$72,$A1155+1)))*INDEX(Surface_Engine!$B$12:$B$72,$A1155+1)+I1156</f>
        <v>37104.0014790291</v>
      </c>
      <c r="J1155" s="48" t="n">
        <f aca="false">B1155*(IF($A1155&lt;$Q$1140,INDEX(Surface_Engine!$D$12:$D$72,$A1155+1)*(1+Assumptions!$B$24)+(Surface_Engine!L246*12)*INDEX(Surface_Engine!$F$12:$F$72,$A1155+1)-(Surface_Engine!L246*12),1000*12*INDEX(Surface_Engine!$C$12:$C$72,$A1155+1)/(1+Assumptions!$B$10)^15+INDEX(Surface_Engine!$D$12:$D$72,$A1155+1)*(1+Assumptions!$B$24)))*INDEX(Surface_Engine!$B$12:$B$72,$A1155+1)+J1156</f>
        <v>33665.0385370961</v>
      </c>
      <c r="K1155" s="12" t="n">
        <f aca="false">SQRT((IF(C1155&lt;=0,0,MAX(0,(B1155/C1155)*G1155/INDEX(Surface_Engine!$B$12:$B$72,$A1155+1)-F1155/INDEX(Surface_Engine!$B$12:$B$72,$A1155+1))))^2+(MAX(IF(D1155&lt;=0,0,MAX(0,(B1155/D1155)*H1155/INDEX(Surface_Engine!$B$12:$B$72,$A1155+1)-F1155/INDEX(Surface_Engine!$B$12:$B$72,$A1155+1))),IF(E1155&lt;=0,0,MAX(0,(B1155/E1155)*I1155/INDEX(Surface_Engine!$B$12:$B$72,$A1155+1)-F1155/INDEX(Surface_Engine!$B$12:$B$72,$A1155+1))),IF($A1155&lt;$Q$1140,MAX(0,-Assumptions!$B$22*(F1155/INDEX(Surface_Engine!$B$12:$B$72,$A1155+1))),0)))^2+(MAX(0,J1155/INDEX(Surface_Engine!$B$12:$B$72,$A1155+1)-(F1155/INDEX(Surface_Engine!$B$12:$B$72,$A1155+1))))^2+2*Assumptions!$B$26*(IF(C1155&lt;=0,0,MAX(0,(B1155/C1155)*G1155/INDEX(Surface_Engine!$B$12:$B$72,$A1155+1)-F1155/INDEX(Surface_Engine!$B$12:$B$72,$A1155+1))))*(MAX(IF(D1155&lt;=0,0,MAX(0,(B1155/D1155)*H1155/INDEX(Surface_Engine!$B$12:$B$72,$A1155+1)-F1155/INDEX(Surface_Engine!$B$12:$B$72,$A1155+1))),IF(E1155&lt;=0,0,MAX(0,(B1155/E1155)*I1155/INDEX(Surface_Engine!$B$12:$B$72,$A1155+1)-F1155/INDEX(Surface_Engine!$B$12:$B$72,$A1155+1))),IF($A1155&lt;$Q$1140,MAX(0,-Assumptions!$B$22*(F1155/INDEX(Surface_Engine!$B$12:$B$72,$A1155+1))),0)))+2*Assumptions!$B$27*(IF(C1155&lt;=0,0,MAX(0,(B1155/C1155)*G1155/INDEX(Surface_Engine!$B$12:$B$72,$A1155+1)-F1155/INDEX(Surface_Engine!$B$12:$B$72,$A1155+1))))*(MAX(0,J1155/INDEX(Surface_Engine!$B$12:$B$72,$A1155+1)-(F1155/INDEX(Surface_Engine!$B$12:$B$72,$A1155+1))))+2*Assumptions!$B$28*(MAX(IF(D1155&lt;=0,0,MAX(0,(B1155/D1155)*H1155/INDEX(Surface_Engine!$B$12:$B$72,$A1155+1)-F1155/INDEX(Surface_Engine!$B$12:$B$72,$A1155+1))),IF(E1155&lt;=0,0,MAX(0,(B1155/E1155)*I1155/INDEX(Surface_Engine!$B$12:$B$72,$A1155+1)-F1155/INDEX(Surface_Engine!$B$12:$B$72,$A1155+1))),IF($A1155&lt;$Q$1140,MAX(0,-Assumptions!$B$22*(F1155/INDEX(Surface_Engine!$B$12:$B$72,$A1155+1))),0)))*(MAX(0,J1155/INDEX(Surface_Engine!$B$12:$B$72,$A1155+1)-(F1155/INDEX(Surface_Engine!$B$12:$B$72,$A1155+1)))))</f>
        <v>8720.99482789326</v>
      </c>
      <c r="L1155" s="48" t="n">
        <f aca="false">K1155*INDEX(Surface_Engine!$B$12:$B$72,$A1155+1)+L1156</f>
        <v>48886.1926101477</v>
      </c>
      <c r="M1155" s="48" t="n">
        <f aca="false">M1154+B1154*(IF($A1154&lt;$Q$1140,(Surface_Engine!L246*12)-(Surface_Engine!L246*12)*INDEX(Surface_Engine!$F$12:$F$72,$A1154+1)-INDEX(Surface_Engine!$D$12:$D$72,$A1154+1),-(1000*12*INDEX(Surface_Engine!$C$12:$C$72,$A1154+1)/(1+Assumptions!$B$10)^15+INDEX(Surface_Engine!$D$12:$D$72,$A1154+1))))*INDEX(Surface_Engine!$B$12:$B$72,$A1154+1)</f>
        <v>35002.0555212271</v>
      </c>
      <c r="N1155" s="12" t="n">
        <f aca="false">IF(B1155&lt;=0,0,MAX(0,(K1155+Assumptions!$B$29*L1155/INDEX(Surface_Engine!$B$12:$B$72,$A1155+1)-(M1155/INDEX(Surface_Engine!$B$12:$B$72,$A1155+1)-(F1155/INDEX(Surface_Engine!$B$12:$B$72,$A1155+1))))/B1155))</f>
        <v>17045.3382729798</v>
      </c>
    </row>
    <row r="1156" customFormat="false" ht="15" hidden="false" customHeight="true" outlineLevel="0" collapsed="false">
      <c r="A1156" s="1" t="n">
        <v>14</v>
      </c>
      <c r="B1156" s="32" t="n">
        <f aca="false">INDEX(Surface_Engine!$Q$12:$Q$72,$A1156+1)*IF($A1156&lt;$Q$1140,INDEX(Surface_Engine!$E$12:$E$72,$A1156+1),INDEX(Surface_Engine!$E$12:$E$72,$Q$1140+1))</f>
        <v>0.613392139024745</v>
      </c>
      <c r="C1156" s="32" t="n">
        <f aca="false">INDEX(Panel_Reserving!$F$8:$F$68,$A1156+1)*IF($A1156&lt;$Q$1140,INDEX(Surface_Engine!$E$12:$E$72,$A1156+1),INDEX(Surface_Engine!$E$12:$E$72,$Q$1140+1))</f>
        <v>0.652123037577401</v>
      </c>
      <c r="D1156" s="32" t="n">
        <f aca="false">INDEX(Surface_Engine!$Q$12:$Q$72,$A1156+1)*IF($A1156&lt;$Q$1140,INDEX(Surface_Engine!$Y$12:$Y$72,$A1156+1),INDEX(Surface_Engine!$Y$12:$Y$72,$Q$1140+1))</f>
        <v>0.558222203512055</v>
      </c>
      <c r="E1156" s="32" t="n">
        <f aca="false">INDEX(Surface_Engine!$Q$12:$Q$72,$A1156+1)*IF($A1156&lt;$Q$1140,INDEX(Surface_Engine!$Z$12:$Z$72,$A1156+1),INDEX(Surface_Engine!$Z$12:$Z$72,$Q$1140+1))</f>
        <v>0.673410382730487</v>
      </c>
      <c r="F1156" s="48" t="n">
        <f aca="false">B1156*(IF($A1156&lt;$Q$1140,INDEX(Surface_Engine!$D$12:$D$72,$A1156+1)+(Surface_Engine!L246*12)*INDEX(Surface_Engine!$F$12:$F$72,$A1156+1)-(Surface_Engine!L246*12),1000*12*INDEX(Surface_Engine!$C$12:$C$72,$A1156+1)/(1+Assumptions!$B$10)^15+INDEX(Surface_Engine!$D$12:$D$72,$A1156+1)))*INDEX(Surface_Engine!$B$12:$B$72,$A1156+1)+F1157</f>
        <v>35461.5320059985</v>
      </c>
      <c r="G1156" s="48" t="n">
        <f aca="false">C1156*(IF($A1156&lt;$Q$1140,INDEX(Surface_Engine!$D$12:$D$72,$A1156+1)+(Surface_Engine!L246*12)*INDEX(Surface_Engine!$F$12:$F$72,$A1156+1)-(Surface_Engine!L246*12),1000*12*INDEX(Surface_Engine!$C$12:$C$72,$A1156+1)/(1+Assumptions!$B$10)^15+INDEX(Surface_Engine!$D$12:$D$72,$A1156+1)))*INDEX(Surface_Engine!$B$12:$B$72,$A1156+1)+G1157</f>
        <v>43501.4518565716</v>
      </c>
      <c r="H1156" s="48" t="n">
        <f aca="false">D1156*(IF($A1156&lt;$Q$1140,INDEX(Surface_Engine!$D$12:$D$72,$A1156+1)+(Surface_Engine!L246*12)*INDEX(Surface_Engine!$F$12:$F$72,$A1156+1)-(Surface_Engine!L246*12),1000*12*INDEX(Surface_Engine!$C$12:$C$72,$A1156+1)/(1+Assumptions!$B$10)^15+INDEX(Surface_Engine!$D$12:$D$72,$A1156+1)))*INDEX(Surface_Engine!$B$12:$B$72,$A1156+1)+H1157</f>
        <v>32116.7824759791</v>
      </c>
      <c r="I1156" s="48" t="n">
        <f aca="false">E1156*(IF($A1156&lt;$Q$1140,INDEX(Surface_Engine!$D$12:$D$72,$A1156+1)+(Surface_Engine!L246*12)*INDEX(Surface_Engine!$F$12:$F$72,$A1156+1)-(Surface_Engine!L246*12),1000*12*INDEX(Surface_Engine!$C$12:$C$72,$A1156+1)/(1+Assumptions!$B$10)^15+INDEX(Surface_Engine!$D$12:$D$72,$A1156+1)))*INDEX(Surface_Engine!$B$12:$B$72,$A1156+1)+I1157</f>
        <v>39118.60951066</v>
      </c>
      <c r="J1156" s="48" t="n">
        <f aca="false">B1156*(IF($A1156&lt;$Q$1140,INDEX(Surface_Engine!$D$12:$D$72,$A1156+1)*(1+Assumptions!$B$24)+(Surface_Engine!L246*12)*INDEX(Surface_Engine!$F$12:$F$72,$A1156+1)-(Surface_Engine!L246*12),1000*12*INDEX(Surface_Engine!$C$12:$C$72,$A1156+1)/(1+Assumptions!$B$10)^15+INDEX(Surface_Engine!$D$12:$D$72,$A1156+1)*(1+Assumptions!$B$24)))*INDEX(Surface_Engine!$B$12:$B$72,$A1156+1)+J1157</f>
        <v>35503.5699728281</v>
      </c>
      <c r="K1156" s="12" t="n">
        <f aca="false">SQRT((IF(C1156&lt;=0,0,MAX(0,(B1156/C1156)*G1156/INDEX(Surface_Engine!$B$12:$B$72,$A1156+1)-F1156/INDEX(Surface_Engine!$B$12:$B$72,$A1156+1))))^2+(MAX(IF(D1156&lt;=0,0,MAX(0,(B1156/D1156)*H1156/INDEX(Surface_Engine!$B$12:$B$72,$A1156+1)-F1156/INDEX(Surface_Engine!$B$12:$B$72,$A1156+1))),IF(E1156&lt;=0,0,MAX(0,(B1156/E1156)*I1156/INDEX(Surface_Engine!$B$12:$B$72,$A1156+1)-F1156/INDEX(Surface_Engine!$B$12:$B$72,$A1156+1))),IF($A1156&lt;$Q$1140,MAX(0,-Assumptions!$B$22*(F1156/INDEX(Surface_Engine!$B$12:$B$72,$A1156+1))),0)))^2+(MAX(0,J1156/INDEX(Surface_Engine!$B$12:$B$72,$A1156+1)-(F1156/INDEX(Surface_Engine!$B$12:$B$72,$A1156+1))))^2+2*Assumptions!$B$26*(IF(C1156&lt;=0,0,MAX(0,(B1156/C1156)*G1156/INDEX(Surface_Engine!$B$12:$B$72,$A1156+1)-F1156/INDEX(Surface_Engine!$B$12:$B$72,$A1156+1))))*(MAX(IF(D1156&lt;=0,0,MAX(0,(B1156/D1156)*H1156/INDEX(Surface_Engine!$B$12:$B$72,$A1156+1)-F1156/INDEX(Surface_Engine!$B$12:$B$72,$A1156+1))),IF(E1156&lt;=0,0,MAX(0,(B1156/E1156)*I1156/INDEX(Surface_Engine!$B$12:$B$72,$A1156+1)-F1156/INDEX(Surface_Engine!$B$12:$B$72,$A1156+1))),IF($A1156&lt;$Q$1140,MAX(0,-Assumptions!$B$22*(F1156/INDEX(Surface_Engine!$B$12:$B$72,$A1156+1))),0)))+2*Assumptions!$B$27*(IF(C1156&lt;=0,0,MAX(0,(B1156/C1156)*G1156/INDEX(Surface_Engine!$B$12:$B$72,$A1156+1)-F1156/INDEX(Surface_Engine!$B$12:$B$72,$A1156+1))))*(MAX(0,J1156/INDEX(Surface_Engine!$B$12:$B$72,$A1156+1)-(F1156/INDEX(Surface_Engine!$B$12:$B$72,$A1156+1))))+2*Assumptions!$B$28*(MAX(IF(D1156&lt;=0,0,MAX(0,(B1156/D1156)*H1156/INDEX(Surface_Engine!$B$12:$B$72,$A1156+1)-F1156/INDEX(Surface_Engine!$B$12:$B$72,$A1156+1))),IF(E1156&lt;=0,0,MAX(0,(B1156/E1156)*I1156/INDEX(Surface_Engine!$B$12:$B$72,$A1156+1)-F1156/INDEX(Surface_Engine!$B$12:$B$72,$A1156+1))),IF($A1156&lt;$Q$1140,MAX(0,-Assumptions!$B$22*(F1156/INDEX(Surface_Engine!$B$12:$B$72,$A1156+1))),0)))*(MAX(0,J1156/INDEX(Surface_Engine!$B$12:$B$72,$A1156+1)-(F1156/INDEX(Surface_Engine!$B$12:$B$72,$A1156+1)))))</f>
        <v>8410.0430176189</v>
      </c>
      <c r="L1156" s="48" t="n">
        <f aca="false">K1156*INDEX(Surface_Engine!$B$12:$B$72,$A1156+1)+L1157</f>
        <v>42972.2985576738</v>
      </c>
      <c r="M1156" s="48" t="n">
        <f aca="false">M1155+B1155*(IF($A1155&lt;$Q$1140,(Surface_Engine!L246*12)-(Surface_Engine!L246*12)*INDEX(Surface_Engine!$F$12:$F$72,$A1155+1)-INDEX(Surface_Engine!$D$12:$D$72,$A1155+1),-(1000*12*INDEX(Surface_Engine!$C$12:$C$72,$A1155+1)/(1+Assumptions!$B$10)^15+INDEX(Surface_Engine!$D$12:$D$72,$A1155+1))))*INDEX(Surface_Engine!$B$12:$B$72,$A1155+1)</f>
        <v>36845.5361625603</v>
      </c>
      <c r="N1156" s="12" t="n">
        <f aca="false">IF(B1156&lt;=0,0,MAX(0,(K1156+Assumptions!$B$29*L1156/INDEX(Surface_Engine!$B$12:$B$72,$A1156+1)-(M1156/INDEX(Surface_Engine!$B$12:$B$72,$A1156+1)-(F1156/INDEX(Surface_Engine!$B$12:$B$72,$A1156+1))))/B1156))</f>
        <v>16681.1906411801</v>
      </c>
    </row>
    <row r="1157" customFormat="false" ht="15" hidden="false" customHeight="true" outlineLevel="0" collapsed="false">
      <c r="A1157" s="1" t="n">
        <v>15</v>
      </c>
      <c r="B1157" s="32" t="n">
        <f aca="false">INDEX(Surface_Engine!$Q$12:$Q$72,$A1157+1)*IF($A1157&lt;$Q$1140,INDEX(Surface_Engine!$E$12:$E$72,$A1157+1),INDEX(Surface_Engine!$E$12:$E$72,$Q$1140+1))</f>
        <v>0.57968407582039</v>
      </c>
      <c r="C1157" s="32" t="n">
        <f aca="false">INDEX(Panel_Reserving!$F$8:$F$68,$A1157+1)*IF($A1157&lt;$Q$1140,INDEX(Surface_Engine!$E$12:$E$72,$A1157+1),INDEX(Surface_Engine!$E$12:$E$72,$Q$1140+1))</f>
        <v>0.622267003414616</v>
      </c>
      <c r="D1157" s="32" t="n">
        <f aca="false">INDEX(Surface_Engine!$Q$12:$Q$72,$A1157+1)*IF($A1157&lt;$Q$1140,INDEX(Surface_Engine!$Y$12:$Y$72,$A1157+1),INDEX(Surface_Engine!$Y$12:$Y$72,$Q$1140+1))</f>
        <v>0.525123545418465</v>
      </c>
      <c r="E1157" s="32" t="n">
        <f aca="false">INDEX(Surface_Engine!$Q$12:$Q$72,$A1157+1)*IF($A1157&lt;$Q$1140,INDEX(Surface_Engine!$Z$12:$Z$72,$A1157+1),INDEX(Surface_Engine!$Z$12:$Z$72,$Q$1140+1))</f>
        <v>0.639326336161291</v>
      </c>
      <c r="F1157" s="48" t="n">
        <f aca="false">B1157*(IF($A1157&lt;$Q$1140,INDEX(Surface_Engine!$D$12:$D$72,$A1157+1)+(Surface_Engine!L246*12)*INDEX(Surface_Engine!$F$12:$F$72,$A1157+1)-(Surface_Engine!L246*12),1000*12*INDEX(Surface_Engine!$C$12:$C$72,$A1157+1)/(1+Assumptions!$B$10)^15+INDEX(Surface_Engine!$D$12:$D$72,$A1157+1)))*INDEX(Surface_Engine!$B$12:$B$72,$A1157+1)+F1158</f>
        <v>37153.2769560997</v>
      </c>
      <c r="G1157" s="48" t="n">
        <f aca="false">C1157*(IF($A1157&lt;$Q$1140,INDEX(Surface_Engine!$D$12:$D$72,$A1157+1)+(Surface_Engine!L246*12)*INDEX(Surface_Engine!$F$12:$F$72,$A1157+1)-(Surface_Engine!L246*12),1000*12*INDEX(Surface_Engine!$C$12:$C$72,$A1157+1)/(1+Assumptions!$B$10)^15+INDEX(Surface_Engine!$D$12:$D$72,$A1157+1)))*INDEX(Surface_Engine!$B$12:$B$72,$A1157+1)+G1158</f>
        <v>45300.0172203538</v>
      </c>
      <c r="H1157" s="48" t="n">
        <f aca="false">D1157*(IF($A1157&lt;$Q$1140,INDEX(Surface_Engine!$D$12:$D$72,$A1157+1)+(Surface_Engine!L246*12)*INDEX(Surface_Engine!$F$12:$F$72,$A1157+1)-(Surface_Engine!L246*12),1000*12*INDEX(Surface_Engine!$C$12:$C$72,$A1157+1)/(1+Assumptions!$B$10)^15+INDEX(Surface_Engine!$D$12:$D$72,$A1157+1)))*INDEX(Surface_Engine!$B$12:$B$72,$A1157+1)+H1158</f>
        <v>33656.3678957195</v>
      </c>
      <c r="I1157" s="48" t="n">
        <f aca="false">E1157*(IF($A1157&lt;$Q$1140,INDEX(Surface_Engine!$D$12:$D$72,$A1157+1)+(Surface_Engine!L246*12)*INDEX(Surface_Engine!$F$12:$F$72,$A1157+1)-(Surface_Engine!L246*12),1000*12*INDEX(Surface_Engine!$C$12:$C$72,$A1157+1)/(1+Assumptions!$B$10)^15+INDEX(Surface_Engine!$D$12:$D$72,$A1157+1)))*INDEX(Surface_Engine!$B$12:$B$72,$A1157+1)+I1158</f>
        <v>40975.8856996593</v>
      </c>
      <c r="J1157" s="48" t="n">
        <f aca="false">B1157*(IF($A1157&lt;$Q$1140,INDEX(Surface_Engine!$D$12:$D$72,$A1157+1)*(1+Assumptions!$B$24)+(Surface_Engine!L246*12)*INDEX(Surface_Engine!$F$12:$F$72,$A1157+1)-(Surface_Engine!L246*12),1000*12*INDEX(Surface_Engine!$C$12:$C$72,$A1157+1)/(1+Assumptions!$B$10)^15+INDEX(Surface_Engine!$D$12:$D$72,$A1157+1)*(1+Assumptions!$B$24)))*INDEX(Surface_Engine!$B$12:$B$72,$A1157+1)+J1158</f>
        <v>37190.6564105405</v>
      </c>
      <c r="K1157" s="12" t="n">
        <f aca="false">SQRT((IF(C1157&lt;=0,0,MAX(0,(B1157/C1157)*G1157/INDEX(Surface_Engine!$B$12:$B$72,$A1157+1)-F1157/INDEX(Surface_Engine!$B$12:$B$72,$A1157+1))))^2+(MAX(IF(D1157&lt;=0,0,MAX(0,(B1157/D1157)*H1157/INDEX(Surface_Engine!$B$12:$B$72,$A1157+1)-F1157/INDEX(Surface_Engine!$B$12:$B$72,$A1157+1))),IF(E1157&lt;=0,0,MAX(0,(B1157/E1157)*I1157/INDEX(Surface_Engine!$B$12:$B$72,$A1157+1)-F1157/INDEX(Surface_Engine!$B$12:$B$72,$A1157+1))),IF($A1157&lt;$Q$1140,MAX(0,-Assumptions!$B$22*(F1157/INDEX(Surface_Engine!$B$12:$B$72,$A1157+1))),0)))^2+(MAX(0,J1157/INDEX(Surface_Engine!$B$12:$B$72,$A1157+1)-(F1157/INDEX(Surface_Engine!$B$12:$B$72,$A1157+1))))^2+2*Assumptions!$B$26*(IF(C1157&lt;=0,0,MAX(0,(B1157/C1157)*G1157/INDEX(Surface_Engine!$B$12:$B$72,$A1157+1)-F1157/INDEX(Surface_Engine!$B$12:$B$72,$A1157+1))))*(MAX(IF(D1157&lt;=0,0,MAX(0,(B1157/D1157)*H1157/INDEX(Surface_Engine!$B$12:$B$72,$A1157+1)-F1157/INDEX(Surface_Engine!$B$12:$B$72,$A1157+1))),IF(E1157&lt;=0,0,MAX(0,(B1157/E1157)*I1157/INDEX(Surface_Engine!$B$12:$B$72,$A1157+1)-F1157/INDEX(Surface_Engine!$B$12:$B$72,$A1157+1))),IF($A1157&lt;$Q$1140,MAX(0,-Assumptions!$B$22*(F1157/INDEX(Surface_Engine!$B$12:$B$72,$A1157+1))),0)))+2*Assumptions!$B$27*(IF(C1157&lt;=0,0,MAX(0,(B1157/C1157)*G1157/INDEX(Surface_Engine!$B$12:$B$72,$A1157+1)-F1157/INDEX(Surface_Engine!$B$12:$B$72,$A1157+1))))*(MAX(0,J1157/INDEX(Surface_Engine!$B$12:$B$72,$A1157+1)-(F1157/INDEX(Surface_Engine!$B$12:$B$72,$A1157+1))))+2*Assumptions!$B$28*(MAX(IF(D1157&lt;=0,0,MAX(0,(B1157/D1157)*H1157/INDEX(Surface_Engine!$B$12:$B$72,$A1157+1)-F1157/INDEX(Surface_Engine!$B$12:$B$72,$A1157+1))),IF(E1157&lt;=0,0,MAX(0,(B1157/E1157)*I1157/INDEX(Surface_Engine!$B$12:$B$72,$A1157+1)-F1157/INDEX(Surface_Engine!$B$12:$B$72,$A1157+1))),IF($A1157&lt;$Q$1140,MAX(0,-Assumptions!$B$22*(F1157/INDEX(Surface_Engine!$B$12:$B$72,$A1157+1))),0)))*(MAX(0,J1157/INDEX(Surface_Engine!$B$12:$B$72,$A1157+1)-(F1157/INDEX(Surface_Engine!$B$12:$B$72,$A1157+1)))))</f>
        <v>8001.11616580409</v>
      </c>
      <c r="L1157" s="48" t="n">
        <f aca="false">K1157*INDEX(Surface_Engine!$B$12:$B$72,$A1157+1)+L1158</f>
        <v>37459.6627951241</v>
      </c>
      <c r="M1157" s="48" t="n">
        <f aca="false">M1156+B1156*(IF($A1156&lt;$Q$1140,(Surface_Engine!L246*12)-(Surface_Engine!L246*12)*INDEX(Surface_Engine!$F$12:$F$72,$A1156+1)-INDEX(Surface_Engine!$D$12:$D$72,$A1156+1),-(1000*12*INDEX(Surface_Engine!$C$12:$C$72,$A1156+1)/(1+Assumptions!$B$10)^15+INDEX(Surface_Engine!$D$12:$D$72,$A1156+1))))*INDEX(Surface_Engine!$B$12:$B$72,$A1156+1)</f>
        <v>38537.2811126615</v>
      </c>
      <c r="N1157" s="12" t="n">
        <f aca="false">IF(B1157&lt;=0,0,MAX(0,(K1157+Assumptions!$B$29*L1157/INDEX(Surface_Engine!$B$12:$B$72,$A1157+1)-(M1157/INDEX(Surface_Engine!$B$12:$B$72,$A1157+1)-(F1157/INDEX(Surface_Engine!$B$12:$B$72,$A1157+1))))/B1157))</f>
        <v>16159.9351181952</v>
      </c>
    </row>
    <row r="1158" customFormat="false" ht="15" hidden="false" customHeight="true" outlineLevel="0" collapsed="false">
      <c r="A1158" s="1" t="n">
        <v>16</v>
      </c>
      <c r="B1158" s="32" t="n">
        <f aca="false">INDEX(Surface_Engine!$Q$12:$Q$72,$A1158+1)*IF($A1158&lt;$Q$1140,INDEX(Surface_Engine!$E$12:$E$72,$A1158+1),INDEX(Surface_Engine!$E$12:$E$72,$Q$1140+1))</f>
        <v>0.548627051007106</v>
      </c>
      <c r="C1158" s="32" t="n">
        <f aca="false">INDEX(Panel_Reserving!$F$8:$F$68,$A1158+1)*IF($A1158&lt;$Q$1140,INDEX(Surface_Engine!$E$12:$E$72,$A1158+1),INDEX(Surface_Engine!$E$12:$E$72,$Q$1140+1))</f>
        <v>0.595596252815597</v>
      </c>
      <c r="D1158" s="32" t="n">
        <f aca="false">INDEX(Surface_Engine!$Q$12:$Q$72,$A1158+1)*IF($A1158&lt;$Q$1140,INDEX(Surface_Engine!$Y$12:$Y$72,$A1158+1),INDEX(Surface_Engine!$Y$12:$Y$72,$Q$1140+1))</f>
        <v>0.496989643418449</v>
      </c>
      <c r="E1158" s="32" t="n">
        <f aca="false">INDEX(Surface_Engine!$Q$12:$Q$72,$A1158+1)*IF($A1158&lt;$Q$1140,INDEX(Surface_Engine!$Z$12:$Z$72,$A1158+1),INDEX(Surface_Engine!$Z$12:$Z$72,$Q$1140+1))</f>
        <v>0.605073930904434</v>
      </c>
      <c r="F1158" s="48" t="n">
        <f aca="false">B1158*(IF($A1158&lt;$Q$1140,INDEX(Surface_Engine!$D$12:$D$72,$A1158+1)+(Surface_Engine!L246*12)*INDEX(Surface_Engine!$F$12:$F$72,$A1158+1)-(Surface_Engine!L246*12),1000*12*INDEX(Surface_Engine!$C$12:$C$72,$A1158+1)/(1+Assumptions!$B$10)^15+INDEX(Surface_Engine!$D$12:$D$72,$A1158+1)))*INDEX(Surface_Engine!$B$12:$B$72,$A1158+1)+F1159</f>
        <v>32713.8459701445</v>
      </c>
      <c r="G1158" s="48" t="n">
        <f aca="false">C1158*(IF($A1158&lt;$Q$1140,INDEX(Surface_Engine!$D$12:$D$72,$A1158+1)+(Surface_Engine!L246*12)*INDEX(Surface_Engine!$F$12:$F$72,$A1158+1)-(Surface_Engine!L246*12),1000*12*INDEX(Surface_Engine!$C$12:$C$72,$A1158+1)/(1+Assumptions!$B$10)^15+INDEX(Surface_Engine!$D$12:$D$72,$A1158+1)))*INDEX(Surface_Engine!$B$12:$B$72,$A1158+1)+G1159</f>
        <v>40534.4707240374</v>
      </c>
      <c r="H1158" s="48" t="n">
        <f aca="false">D1158*(IF($A1158&lt;$Q$1140,INDEX(Surface_Engine!$D$12:$D$72,$A1158+1)+(Surface_Engine!L246*12)*INDEX(Surface_Engine!$F$12:$F$72,$A1158+1)-(Surface_Engine!L246*12),1000*12*INDEX(Surface_Engine!$C$12:$C$72,$A1158+1)/(1+Assumptions!$B$10)^15+INDEX(Surface_Engine!$D$12:$D$72,$A1158+1)))*INDEX(Surface_Engine!$B$12:$B$72,$A1158+1)+H1159</f>
        <v>29634.781248396</v>
      </c>
      <c r="I1158" s="48" t="n">
        <f aca="false">E1158*(IF($A1158&lt;$Q$1140,INDEX(Surface_Engine!$D$12:$D$72,$A1158+1)+(Surface_Engine!L246*12)*INDEX(Surface_Engine!$F$12:$F$72,$A1158+1)-(Surface_Engine!L246*12),1000*12*INDEX(Surface_Engine!$C$12:$C$72,$A1158+1)/(1+Assumptions!$B$10)^15+INDEX(Surface_Engine!$D$12:$D$72,$A1158+1)))*INDEX(Surface_Engine!$B$12:$B$72,$A1158+1)+I1159</f>
        <v>36079.6926433384</v>
      </c>
      <c r="J1158" s="48" t="n">
        <f aca="false">B1158*(IF($A1158&lt;$Q$1140,INDEX(Surface_Engine!$D$12:$D$72,$A1158+1)*(1+Assumptions!$B$24)+(Surface_Engine!L246*12)*INDEX(Surface_Engine!$F$12:$F$72,$A1158+1)-(Surface_Engine!L246*12),1000*12*INDEX(Surface_Engine!$C$12:$C$72,$A1158+1)/(1+Assumptions!$B$10)^15+INDEX(Surface_Engine!$D$12:$D$72,$A1158+1)*(1+Assumptions!$B$24)))*INDEX(Surface_Engine!$B$12:$B$72,$A1158+1)+J1159</f>
        <v>32746.8749068712</v>
      </c>
      <c r="K1158" s="12" t="n">
        <f aca="false">SQRT((IF(C1158&lt;=0,0,MAX(0,(B1158/C1158)*G1158/INDEX(Surface_Engine!$B$12:$B$72,$A1158+1)-F1158/INDEX(Surface_Engine!$B$12:$B$72,$A1158+1))))^2+(MAX(IF(D1158&lt;=0,0,MAX(0,(B1158/D1158)*H1158/INDEX(Surface_Engine!$B$12:$B$72,$A1158+1)-F1158/INDEX(Surface_Engine!$B$12:$B$72,$A1158+1))),IF(E1158&lt;=0,0,MAX(0,(B1158/E1158)*I1158/INDEX(Surface_Engine!$B$12:$B$72,$A1158+1)-F1158/INDEX(Surface_Engine!$B$12:$B$72,$A1158+1))),IF($A1158&lt;$Q$1140,MAX(0,-Assumptions!$B$22*(F1158/INDEX(Surface_Engine!$B$12:$B$72,$A1158+1))),0)))^2+(MAX(0,J1158/INDEX(Surface_Engine!$B$12:$B$72,$A1158+1)-(F1158/INDEX(Surface_Engine!$B$12:$B$72,$A1158+1))))^2+2*Assumptions!$B$26*(IF(C1158&lt;=0,0,MAX(0,(B1158/C1158)*G1158/INDEX(Surface_Engine!$B$12:$B$72,$A1158+1)-F1158/INDEX(Surface_Engine!$B$12:$B$72,$A1158+1))))*(MAX(IF(D1158&lt;=0,0,MAX(0,(B1158/D1158)*H1158/INDEX(Surface_Engine!$B$12:$B$72,$A1158+1)-F1158/INDEX(Surface_Engine!$B$12:$B$72,$A1158+1))),IF(E1158&lt;=0,0,MAX(0,(B1158/E1158)*I1158/INDEX(Surface_Engine!$B$12:$B$72,$A1158+1)-F1158/INDEX(Surface_Engine!$B$12:$B$72,$A1158+1))),IF($A1158&lt;$Q$1140,MAX(0,-Assumptions!$B$22*(F1158/INDEX(Surface_Engine!$B$12:$B$72,$A1158+1))),0)))+2*Assumptions!$B$27*(IF(C1158&lt;=0,0,MAX(0,(B1158/C1158)*G1158/INDEX(Surface_Engine!$B$12:$B$72,$A1158+1)-F1158/INDEX(Surface_Engine!$B$12:$B$72,$A1158+1))))*(MAX(0,J1158/INDEX(Surface_Engine!$B$12:$B$72,$A1158+1)-(F1158/INDEX(Surface_Engine!$B$12:$B$72,$A1158+1))))+2*Assumptions!$B$28*(MAX(IF(D1158&lt;=0,0,MAX(0,(B1158/D1158)*H1158/INDEX(Surface_Engine!$B$12:$B$72,$A1158+1)-F1158/INDEX(Surface_Engine!$B$12:$B$72,$A1158+1))),IF(E1158&lt;=0,0,MAX(0,(B1158/E1158)*I1158/INDEX(Surface_Engine!$B$12:$B$72,$A1158+1)-F1158/INDEX(Surface_Engine!$B$12:$B$72,$A1158+1))),IF($A1158&lt;$Q$1140,MAX(0,-Assumptions!$B$22*(F1158/INDEX(Surface_Engine!$B$12:$B$72,$A1158+1))),0)))*(MAX(0,J1158/INDEX(Surface_Engine!$B$12:$B$72,$A1158+1)-(F1158/INDEX(Surface_Engine!$B$12:$B$72,$A1158+1)))))</f>
        <v>7595.80434860005</v>
      </c>
      <c r="L1158" s="48" t="n">
        <f aca="false">K1158*INDEX(Surface_Engine!$B$12:$B$72,$A1158+1)+L1159</f>
        <v>32403.415418367</v>
      </c>
      <c r="M1158" s="48" t="n">
        <f aca="false">M1157+B1157*(IF($A1157&lt;$Q$1140,(Surface_Engine!L246*12)-(Surface_Engine!L246*12)*INDEX(Surface_Engine!$F$12:$F$72,$A1157+1)-INDEX(Surface_Engine!$D$12:$D$72,$A1157+1),-(1000*12*INDEX(Surface_Engine!$C$12:$C$72,$A1157+1)/(1+Assumptions!$B$10)^15+INDEX(Surface_Engine!$D$12:$D$72,$A1157+1))))*INDEX(Surface_Engine!$B$12:$B$72,$A1157+1)</f>
        <v>34097.8501267063</v>
      </c>
      <c r="N1158" s="12" t="n">
        <f aca="false">IF(B1158&lt;=0,0,MAX(0,(K1158+Assumptions!$B$29*L1158/INDEX(Surface_Engine!$B$12:$B$72,$A1158+1)-(M1158/INDEX(Surface_Engine!$B$12:$B$72,$A1158+1)-(F1158/INDEX(Surface_Engine!$B$12:$B$72,$A1158+1))))/B1158))</f>
        <v>15519.4140039224</v>
      </c>
    </row>
    <row r="1159" customFormat="false" ht="15" hidden="false" customHeight="true" outlineLevel="0" collapsed="false">
      <c r="A1159" s="1" t="n">
        <v>17</v>
      </c>
      <c r="B1159" s="32" t="n">
        <f aca="false">INDEX(Surface_Engine!$Q$12:$Q$72,$A1159+1)*IF($A1159&lt;$Q$1140,INDEX(Surface_Engine!$E$12:$E$72,$A1159+1),INDEX(Surface_Engine!$E$12:$E$72,$Q$1140+1))</f>
        <v>0.515389251483431</v>
      </c>
      <c r="C1159" s="32" t="n">
        <f aca="false">INDEX(Panel_Reserving!$F$8:$F$68,$A1159+1)*IF($A1159&lt;$Q$1140,INDEX(Surface_Engine!$E$12:$E$72,$A1159+1),INDEX(Surface_Engine!$E$12:$E$72,$Q$1140+1))</f>
        <v>0.56672956268532</v>
      </c>
      <c r="D1159" s="32" t="n">
        <f aca="false">INDEX(Surface_Engine!$Q$12:$Q$72,$A1159+1)*IF($A1159&lt;$Q$1140,INDEX(Surface_Engine!$Y$12:$Y$72,$A1159+1),INDEX(Surface_Engine!$Y$12:$Y$72,$Q$1140+1))</f>
        <v>0.466880223726215</v>
      </c>
      <c r="E1159" s="32" t="n">
        <f aca="false">INDEX(Surface_Engine!$Q$12:$Q$72,$A1159+1)*IF($A1159&lt;$Q$1140,INDEX(Surface_Engine!$Z$12:$Z$72,$A1159+1),INDEX(Surface_Engine!$Z$12:$Z$72,$Q$1140+1))</f>
        <v>0.568416376422777</v>
      </c>
      <c r="F1159" s="48" t="n">
        <f aca="false">B1159*(IF($A1159&lt;$Q$1140,INDEX(Surface_Engine!$D$12:$D$72,$A1159+1)+(Surface_Engine!L246*12)*INDEX(Surface_Engine!$F$12:$F$72,$A1159+1)-(Surface_Engine!L246*12),1000*12*INDEX(Surface_Engine!$C$12:$C$72,$A1159+1)/(1+Assumptions!$B$10)^15+INDEX(Surface_Engine!$D$12:$D$72,$A1159+1)))*INDEX(Surface_Engine!$B$12:$B$72,$A1159+1)+F1160</f>
        <v>28577.7577728416</v>
      </c>
      <c r="G1159" s="48" t="n">
        <f aca="false">C1159*(IF($A1159&lt;$Q$1140,INDEX(Surface_Engine!$D$12:$D$72,$A1159+1)+(Surface_Engine!L246*12)*INDEX(Surface_Engine!$F$12:$F$72,$A1159+1)-(Surface_Engine!L246*12),1000*12*INDEX(Surface_Engine!$C$12:$C$72,$A1159+1)/(1+Assumptions!$B$10)^15+INDEX(Surface_Engine!$D$12:$D$72,$A1159+1)))*INDEX(Surface_Engine!$B$12:$B$72,$A1159+1)+G1160</f>
        <v>36044.2826680413</v>
      </c>
      <c r="H1159" s="48" t="n">
        <f aca="false">D1159*(IF($A1159&lt;$Q$1140,INDEX(Surface_Engine!$D$12:$D$72,$A1159+1)+(Surface_Engine!L246*12)*INDEX(Surface_Engine!$F$12:$F$72,$A1159+1)-(Surface_Engine!L246*12),1000*12*INDEX(Surface_Engine!$C$12:$C$72,$A1159+1)/(1+Assumptions!$B$10)^15+INDEX(Surface_Engine!$D$12:$D$72,$A1159+1)))*INDEX(Surface_Engine!$B$12:$B$72,$A1159+1)+H1160</f>
        <v>25887.9864183718</v>
      </c>
      <c r="I1159" s="48" t="n">
        <f aca="false">E1159*(IF($A1159&lt;$Q$1140,INDEX(Surface_Engine!$D$12:$D$72,$A1159+1)+(Surface_Engine!L246*12)*INDEX(Surface_Engine!$F$12:$F$72,$A1159+1)-(Surface_Engine!L246*12),1000*12*INDEX(Surface_Engine!$C$12:$C$72,$A1159+1)/(1+Assumptions!$B$10)^15+INDEX(Surface_Engine!$D$12:$D$72,$A1159+1)))*INDEX(Surface_Engine!$B$12:$B$72,$A1159+1)+I1160</f>
        <v>31518.0525646812</v>
      </c>
      <c r="J1159" s="48" t="n">
        <f aca="false">B1159*(IF($A1159&lt;$Q$1140,INDEX(Surface_Engine!$D$12:$D$72,$A1159+1)*(1+Assumptions!$B$24)+(Surface_Engine!L246*12)*INDEX(Surface_Engine!$F$12:$F$72,$A1159+1)-(Surface_Engine!L246*12),1000*12*INDEX(Surface_Engine!$C$12:$C$72,$A1159+1)/(1+Assumptions!$B$10)^15+INDEX(Surface_Engine!$D$12:$D$72,$A1159+1)*(1+Assumptions!$B$24)))*INDEX(Surface_Engine!$B$12:$B$72,$A1159+1)+J1160</f>
        <v>28606.7137860501</v>
      </c>
      <c r="K1159" s="12" t="n">
        <f aca="false">SQRT((IF(C1159&lt;=0,0,MAX(0,(B1159/C1159)*G1159/INDEX(Surface_Engine!$B$12:$B$72,$A1159+1)-F1159/INDEX(Surface_Engine!$B$12:$B$72,$A1159+1))))^2+(MAX(IF(D1159&lt;=0,0,MAX(0,(B1159/D1159)*H1159/INDEX(Surface_Engine!$B$12:$B$72,$A1159+1)-F1159/INDEX(Surface_Engine!$B$12:$B$72,$A1159+1))),IF(E1159&lt;=0,0,MAX(0,(B1159/E1159)*I1159/INDEX(Surface_Engine!$B$12:$B$72,$A1159+1)-F1159/INDEX(Surface_Engine!$B$12:$B$72,$A1159+1))),IF($A1159&lt;$Q$1140,MAX(0,-Assumptions!$B$22*(F1159/INDEX(Surface_Engine!$B$12:$B$72,$A1159+1))),0)))^2+(MAX(0,J1159/INDEX(Surface_Engine!$B$12:$B$72,$A1159+1)-(F1159/INDEX(Surface_Engine!$B$12:$B$72,$A1159+1))))^2+2*Assumptions!$B$26*(IF(C1159&lt;=0,0,MAX(0,(B1159/C1159)*G1159/INDEX(Surface_Engine!$B$12:$B$72,$A1159+1)-F1159/INDEX(Surface_Engine!$B$12:$B$72,$A1159+1))))*(MAX(IF(D1159&lt;=0,0,MAX(0,(B1159/D1159)*H1159/INDEX(Surface_Engine!$B$12:$B$72,$A1159+1)-F1159/INDEX(Surface_Engine!$B$12:$B$72,$A1159+1))),IF(E1159&lt;=0,0,MAX(0,(B1159/E1159)*I1159/INDEX(Surface_Engine!$B$12:$B$72,$A1159+1)-F1159/INDEX(Surface_Engine!$B$12:$B$72,$A1159+1))),IF($A1159&lt;$Q$1140,MAX(0,-Assumptions!$B$22*(F1159/INDEX(Surface_Engine!$B$12:$B$72,$A1159+1))),0)))+2*Assumptions!$B$27*(IF(C1159&lt;=0,0,MAX(0,(B1159/C1159)*G1159/INDEX(Surface_Engine!$B$12:$B$72,$A1159+1)-F1159/INDEX(Surface_Engine!$B$12:$B$72,$A1159+1))))*(MAX(0,J1159/INDEX(Surface_Engine!$B$12:$B$72,$A1159+1)-(F1159/INDEX(Surface_Engine!$B$12:$B$72,$A1159+1))))+2*Assumptions!$B$28*(MAX(IF(D1159&lt;=0,0,MAX(0,(B1159/D1159)*H1159/INDEX(Surface_Engine!$B$12:$B$72,$A1159+1)-F1159/INDEX(Surface_Engine!$B$12:$B$72,$A1159+1))),IF(E1159&lt;=0,0,MAX(0,(B1159/E1159)*I1159/INDEX(Surface_Engine!$B$12:$B$72,$A1159+1)-F1159/INDEX(Surface_Engine!$B$12:$B$72,$A1159+1))),IF($A1159&lt;$Q$1140,MAX(0,-Assumptions!$B$22*(F1159/INDEX(Surface_Engine!$B$12:$B$72,$A1159+1))),0)))*(MAX(0,J1159/INDEX(Surface_Engine!$B$12:$B$72,$A1159+1)-(F1159/INDEX(Surface_Engine!$B$12:$B$72,$A1159+1)))))</f>
        <v>7137.44528368276</v>
      </c>
      <c r="L1159" s="48" t="n">
        <f aca="false">K1159*INDEX(Surface_Engine!$B$12:$B$72,$A1159+1)+L1160</f>
        <v>27771.0041584898</v>
      </c>
      <c r="M1159" s="48" t="n">
        <f aca="false">M1158+B1158*(IF($A1158&lt;$Q$1140,(Surface_Engine!L246*12)-(Surface_Engine!L246*12)*INDEX(Surface_Engine!$F$12:$F$72,$A1158+1)-INDEX(Surface_Engine!$D$12:$D$72,$A1158+1),-(1000*12*INDEX(Surface_Engine!$C$12:$C$72,$A1158+1)/(1+Assumptions!$B$10)^15+INDEX(Surface_Engine!$D$12:$D$72,$A1158+1))))*INDEX(Surface_Engine!$B$12:$B$72,$A1158+1)</f>
        <v>29961.7619294034</v>
      </c>
      <c r="N1159" s="12" t="n">
        <f aca="false">IF(B1159&lt;=0,0,MAX(0,(K1159+Assumptions!$B$29*L1159/INDEX(Surface_Engine!$B$12:$B$72,$A1159+1)-(M1159/INDEX(Surface_Engine!$B$12:$B$72,$A1159+1)-(F1159/INDEX(Surface_Engine!$B$12:$B$72,$A1159+1))))/B1159))</f>
        <v>14777.4330711598</v>
      </c>
    </row>
    <row r="1160" customFormat="false" ht="15" hidden="false" customHeight="true" outlineLevel="0" collapsed="false">
      <c r="A1160" s="1" t="n">
        <v>18</v>
      </c>
      <c r="B1160" s="32" t="n">
        <f aca="false">INDEX(Surface_Engine!$Q$12:$Q$72,$A1160+1)*IF($A1160&lt;$Q$1140,INDEX(Surface_Engine!$E$12:$E$72,$A1160+1),INDEX(Surface_Engine!$E$12:$E$72,$Q$1140+1))</f>
        <v>0.480086148770657</v>
      </c>
      <c r="C1160" s="32" t="n">
        <f aca="false">INDEX(Panel_Reserving!$F$8:$F$68,$A1160+1)*IF($A1160&lt;$Q$1140,INDEX(Surface_Engine!$E$12:$E$72,$A1160+1),INDEX(Surface_Engine!$E$12:$E$72,$Q$1140+1))</f>
        <v>0.535673716015241</v>
      </c>
      <c r="D1160" s="32" t="n">
        <f aca="false">INDEX(Surface_Engine!$Q$12:$Q$72,$A1160+1)*IF($A1160&lt;$Q$1140,INDEX(Surface_Engine!$Y$12:$Y$72,$A1160+1),INDEX(Surface_Engine!$Y$12:$Y$72,$Q$1140+1))</f>
        <v>0.43489988955097</v>
      </c>
      <c r="E1160" s="32" t="n">
        <f aca="false">INDEX(Surface_Engine!$Q$12:$Q$72,$A1160+1)*IF($A1160&lt;$Q$1140,INDEX(Surface_Engine!$Z$12:$Z$72,$A1160+1),INDEX(Surface_Engine!$Z$12:$Z$72,$Q$1140+1))</f>
        <v>0.529481024816746</v>
      </c>
      <c r="F1160" s="48" t="n">
        <f aca="false">B1160*(IF($A1160&lt;$Q$1140,INDEX(Surface_Engine!$D$12:$D$72,$A1160+1)+(Surface_Engine!L246*12)*INDEX(Surface_Engine!$F$12:$F$72,$A1160+1)-(Surface_Engine!L246*12),1000*12*INDEX(Surface_Engine!$C$12:$C$72,$A1160+1)/(1+Assumptions!$B$10)^15+INDEX(Surface_Engine!$D$12:$D$72,$A1160+1)))*INDEX(Surface_Engine!$B$12:$B$72,$A1160+1)+F1161</f>
        <v>24745.7239163212</v>
      </c>
      <c r="G1160" s="48" t="n">
        <f aca="false">C1160*(IF($A1160&lt;$Q$1140,INDEX(Surface_Engine!$D$12:$D$72,$A1160+1)+(Surface_Engine!L246*12)*INDEX(Surface_Engine!$F$12:$F$72,$A1160+1)-(Surface_Engine!L246*12),1000*12*INDEX(Surface_Engine!$C$12:$C$72,$A1160+1)/(1+Assumptions!$B$10)^15+INDEX(Surface_Engine!$D$12:$D$72,$A1160+1)))*INDEX(Surface_Engine!$B$12:$B$72,$A1160+1)+G1161</f>
        <v>31830.52216479</v>
      </c>
      <c r="H1160" s="48" t="n">
        <f aca="false">D1160*(IF($A1160&lt;$Q$1140,INDEX(Surface_Engine!$D$12:$D$72,$A1160+1)+(Surface_Engine!L246*12)*INDEX(Surface_Engine!$F$12:$F$72,$A1160+1)-(Surface_Engine!L246*12),1000*12*INDEX(Surface_Engine!$C$12:$C$72,$A1160+1)/(1+Assumptions!$B$10)^15+INDEX(Surface_Engine!$D$12:$D$72,$A1160+1)))*INDEX(Surface_Engine!$B$12:$B$72,$A1160+1)+H1161</f>
        <v>22416.6279856743</v>
      </c>
      <c r="I1160" s="48" t="n">
        <f aca="false">E1160*(IF($A1160&lt;$Q$1140,INDEX(Surface_Engine!$D$12:$D$72,$A1160+1)+(Surface_Engine!L246*12)*INDEX(Surface_Engine!$F$12:$F$72,$A1160+1)-(Surface_Engine!L246*12),1000*12*INDEX(Surface_Engine!$C$12:$C$72,$A1160+1)/(1+Assumptions!$B$10)^15+INDEX(Surface_Engine!$D$12:$D$72,$A1160+1)))*INDEX(Surface_Engine!$B$12:$B$72,$A1160+1)+I1161</f>
        <v>27291.7502256563</v>
      </c>
      <c r="J1160" s="48" t="n">
        <f aca="false">B1160*(IF($A1160&lt;$Q$1140,INDEX(Surface_Engine!$D$12:$D$72,$A1160+1)*(1+Assumptions!$B$24)+(Surface_Engine!L246*12)*INDEX(Surface_Engine!$F$12:$F$72,$A1160+1)-(Surface_Engine!L246*12),1000*12*INDEX(Surface_Engine!$C$12:$C$72,$A1160+1)/(1+Assumptions!$B$10)^15+INDEX(Surface_Engine!$D$12:$D$72,$A1160+1)*(1+Assumptions!$B$24)))*INDEX(Surface_Engine!$B$12:$B$72,$A1160+1)+J1161</f>
        <v>24770.8881023811</v>
      </c>
      <c r="K1160" s="12" t="n">
        <f aca="false">SQRT((IF(C1160&lt;=0,0,MAX(0,(B1160/C1160)*G1160/INDEX(Surface_Engine!$B$12:$B$72,$A1160+1)-F1160/INDEX(Surface_Engine!$B$12:$B$72,$A1160+1))))^2+(MAX(IF(D1160&lt;=0,0,MAX(0,(B1160/D1160)*H1160/INDEX(Surface_Engine!$B$12:$B$72,$A1160+1)-F1160/INDEX(Surface_Engine!$B$12:$B$72,$A1160+1))),IF(E1160&lt;=0,0,MAX(0,(B1160/E1160)*I1160/INDEX(Surface_Engine!$B$12:$B$72,$A1160+1)-F1160/INDEX(Surface_Engine!$B$12:$B$72,$A1160+1))),IF($A1160&lt;$Q$1140,MAX(0,-Assumptions!$B$22*(F1160/INDEX(Surface_Engine!$B$12:$B$72,$A1160+1))),0)))^2+(MAX(0,J1160/INDEX(Surface_Engine!$B$12:$B$72,$A1160+1)-(F1160/INDEX(Surface_Engine!$B$12:$B$72,$A1160+1))))^2+2*Assumptions!$B$26*(IF(C1160&lt;=0,0,MAX(0,(B1160/C1160)*G1160/INDEX(Surface_Engine!$B$12:$B$72,$A1160+1)-F1160/INDEX(Surface_Engine!$B$12:$B$72,$A1160+1))))*(MAX(IF(D1160&lt;=0,0,MAX(0,(B1160/D1160)*H1160/INDEX(Surface_Engine!$B$12:$B$72,$A1160+1)-F1160/INDEX(Surface_Engine!$B$12:$B$72,$A1160+1))),IF(E1160&lt;=0,0,MAX(0,(B1160/E1160)*I1160/INDEX(Surface_Engine!$B$12:$B$72,$A1160+1)-F1160/INDEX(Surface_Engine!$B$12:$B$72,$A1160+1))),IF($A1160&lt;$Q$1140,MAX(0,-Assumptions!$B$22*(F1160/INDEX(Surface_Engine!$B$12:$B$72,$A1160+1))),0)))+2*Assumptions!$B$27*(IF(C1160&lt;=0,0,MAX(0,(B1160/C1160)*G1160/INDEX(Surface_Engine!$B$12:$B$72,$A1160+1)-F1160/INDEX(Surface_Engine!$B$12:$B$72,$A1160+1))))*(MAX(0,J1160/INDEX(Surface_Engine!$B$12:$B$72,$A1160+1)-(F1160/INDEX(Surface_Engine!$B$12:$B$72,$A1160+1))))+2*Assumptions!$B$28*(MAX(IF(D1160&lt;=0,0,MAX(0,(B1160/D1160)*H1160/INDEX(Surface_Engine!$B$12:$B$72,$A1160+1)-F1160/INDEX(Surface_Engine!$B$12:$B$72,$A1160+1))),IF(E1160&lt;=0,0,MAX(0,(B1160/E1160)*I1160/INDEX(Surface_Engine!$B$12:$B$72,$A1160+1)-F1160/INDEX(Surface_Engine!$B$12:$B$72,$A1160+1))),IF($A1160&lt;$Q$1140,MAX(0,-Assumptions!$B$22*(F1160/INDEX(Surface_Engine!$B$12:$B$72,$A1160+1))),0)))*(MAX(0,J1160/INDEX(Surface_Engine!$B$12:$B$72,$A1160+1)-(F1160/INDEX(Surface_Engine!$B$12:$B$72,$A1160+1)))))</f>
        <v>6637.44843359984</v>
      </c>
      <c r="L1160" s="48" t="n">
        <f aca="false">K1160*INDEX(Surface_Engine!$B$12:$B$72,$A1160+1)+L1161</f>
        <v>23562.4162553716</v>
      </c>
      <c r="M1160" s="48" t="n">
        <f aca="false">M1159+B1159*(IF($A1159&lt;$Q$1140,(Surface_Engine!L246*12)-(Surface_Engine!L246*12)*INDEX(Surface_Engine!$F$12:$F$72,$A1159+1)-INDEX(Surface_Engine!$D$12:$D$72,$A1159+1),-(1000*12*INDEX(Surface_Engine!$C$12:$C$72,$A1159+1)/(1+Assumptions!$B$10)^15+INDEX(Surface_Engine!$D$12:$D$72,$A1159+1))))*INDEX(Surface_Engine!$B$12:$B$72,$A1159+1)</f>
        <v>26129.728072883</v>
      </c>
      <c r="N1160" s="12" t="n">
        <f aca="false">IF(B1160&lt;=0,0,MAX(0,(K1160+Assumptions!$B$29*L1160/INDEX(Surface_Engine!$B$12:$B$72,$A1160+1)-(M1160/INDEX(Surface_Engine!$B$12:$B$72,$A1160+1)-(F1160/INDEX(Surface_Engine!$B$12:$B$72,$A1160+1))))/B1160))</f>
        <v>13934.0829109073</v>
      </c>
    </row>
    <row r="1161" customFormat="false" ht="15" hidden="false" customHeight="true" outlineLevel="0" collapsed="false">
      <c r="A1161" s="1" t="n">
        <v>19</v>
      </c>
      <c r="B1161" s="32" t="n">
        <f aca="false">INDEX(Surface_Engine!$Q$12:$Q$72,$A1161+1)*IF($A1161&lt;$Q$1140,INDEX(Surface_Engine!$E$12:$E$72,$A1161+1),INDEX(Surface_Engine!$E$12:$E$72,$Q$1140+1))</f>
        <v>0.4429251380167</v>
      </c>
      <c r="C1161" s="32" t="n">
        <f aca="false">INDEX(Panel_Reserving!$F$8:$F$68,$A1161+1)*IF($A1161&lt;$Q$1140,INDEX(Surface_Engine!$E$12:$E$72,$A1161+1),INDEX(Surface_Engine!$E$12:$E$72,$Q$1140+1))</f>
        <v>0.502502708232696</v>
      </c>
      <c r="D1161" s="32" t="n">
        <f aca="false">INDEX(Surface_Engine!$Q$12:$Q$72,$A1161+1)*IF($A1161&lt;$Q$1140,INDEX(Surface_Engine!$Y$12:$Y$72,$A1161+1),INDEX(Surface_Engine!$Y$12:$Y$72,$Q$1140+1))</f>
        <v>0.401236515771323</v>
      </c>
      <c r="E1161" s="32" t="n">
        <f aca="false">INDEX(Surface_Engine!$Q$12:$Q$72,$A1161+1)*IF($A1161&lt;$Q$1140,INDEX(Surface_Engine!$Z$12:$Z$72,$A1161+1),INDEX(Surface_Engine!$Z$12:$Z$72,$Q$1140+1))</f>
        <v>0.488496609607904</v>
      </c>
      <c r="F1161" s="48" t="n">
        <f aca="false">B1161*(IF($A1161&lt;$Q$1140,INDEX(Surface_Engine!$D$12:$D$72,$A1161+1)+(Surface_Engine!L246*12)*INDEX(Surface_Engine!$F$12:$F$72,$A1161+1)-(Surface_Engine!L246*12),1000*12*INDEX(Surface_Engine!$C$12:$C$72,$A1161+1)/(1+Assumptions!$B$10)^15+INDEX(Surface_Engine!$D$12:$D$72,$A1161+1)))*INDEX(Surface_Engine!$B$12:$B$72,$A1161+1)+F1162</f>
        <v>21221.5454153595</v>
      </c>
      <c r="G1161" s="48" t="n">
        <f aca="false">C1161*(IF($A1161&lt;$Q$1140,INDEX(Surface_Engine!$D$12:$D$72,$A1161+1)+(Surface_Engine!L246*12)*INDEX(Surface_Engine!$F$12:$F$72,$A1161+1)-(Surface_Engine!L246*12),1000*12*INDEX(Surface_Engine!$C$12:$C$72,$A1161+1)/(1+Assumptions!$B$10)^15+INDEX(Surface_Engine!$D$12:$D$72,$A1161+1)))*INDEX(Surface_Engine!$B$12:$B$72,$A1161+1)+G1162</f>
        <v>27898.2908385057</v>
      </c>
      <c r="H1161" s="48" t="n">
        <f aca="false">D1161*(IF($A1161&lt;$Q$1140,INDEX(Surface_Engine!$D$12:$D$72,$A1161+1)+(Surface_Engine!L246*12)*INDEX(Surface_Engine!$F$12:$F$72,$A1161+1)-(Surface_Engine!L246*12),1000*12*INDEX(Surface_Engine!$C$12:$C$72,$A1161+1)/(1+Assumptions!$B$10)^15+INDEX(Surface_Engine!$D$12:$D$72,$A1161+1)))*INDEX(Surface_Engine!$B$12:$B$72,$A1161+1)+H1162</f>
        <v>19224.1492092072</v>
      </c>
      <c r="I1161" s="48" t="n">
        <f aca="false">E1161*(IF($A1161&lt;$Q$1140,INDEX(Surface_Engine!$D$12:$D$72,$A1161+1)+(Surface_Engine!L246*12)*INDEX(Surface_Engine!$F$12:$F$72,$A1161+1)-(Surface_Engine!L246*12),1000*12*INDEX(Surface_Engine!$C$12:$C$72,$A1161+1)/(1+Assumptions!$B$10)^15+INDEX(Surface_Engine!$D$12:$D$72,$A1161+1)))*INDEX(Surface_Engine!$B$12:$B$72,$A1161+1)+I1162</f>
        <v>23404.9777180459</v>
      </c>
      <c r="J1161" s="48" t="n">
        <f aca="false">B1161*(IF($A1161&lt;$Q$1140,INDEX(Surface_Engine!$D$12:$D$72,$A1161+1)*(1+Assumptions!$B$24)+(Surface_Engine!L246*12)*INDEX(Surface_Engine!$F$12:$F$72,$A1161+1)-(Surface_Engine!L246*12),1000*12*INDEX(Surface_Engine!$C$12:$C$72,$A1161+1)/(1+Assumptions!$B$10)^15+INDEX(Surface_Engine!$D$12:$D$72,$A1161+1)*(1+Assumptions!$B$24)))*INDEX(Surface_Engine!$B$12:$B$72,$A1161+1)+J1162</f>
        <v>21243.2054753685</v>
      </c>
      <c r="K1161" s="12" t="n">
        <f aca="false">SQRT((IF(C1161&lt;=0,0,MAX(0,(B1161/C1161)*G1161/INDEX(Surface_Engine!$B$12:$B$72,$A1161+1)-F1161/INDEX(Surface_Engine!$B$12:$B$72,$A1161+1))))^2+(MAX(IF(D1161&lt;=0,0,MAX(0,(B1161/D1161)*H1161/INDEX(Surface_Engine!$B$12:$B$72,$A1161+1)-F1161/INDEX(Surface_Engine!$B$12:$B$72,$A1161+1))),IF(E1161&lt;=0,0,MAX(0,(B1161/E1161)*I1161/INDEX(Surface_Engine!$B$12:$B$72,$A1161+1)-F1161/INDEX(Surface_Engine!$B$12:$B$72,$A1161+1))),IF($A1161&lt;$Q$1140,MAX(0,-Assumptions!$B$22*(F1161/INDEX(Surface_Engine!$B$12:$B$72,$A1161+1))),0)))^2+(MAX(0,J1161/INDEX(Surface_Engine!$B$12:$B$72,$A1161+1)-(F1161/INDEX(Surface_Engine!$B$12:$B$72,$A1161+1))))^2+2*Assumptions!$B$26*(IF(C1161&lt;=0,0,MAX(0,(B1161/C1161)*G1161/INDEX(Surface_Engine!$B$12:$B$72,$A1161+1)-F1161/INDEX(Surface_Engine!$B$12:$B$72,$A1161+1))))*(MAX(IF(D1161&lt;=0,0,MAX(0,(B1161/D1161)*H1161/INDEX(Surface_Engine!$B$12:$B$72,$A1161+1)-F1161/INDEX(Surface_Engine!$B$12:$B$72,$A1161+1))),IF(E1161&lt;=0,0,MAX(0,(B1161/E1161)*I1161/INDEX(Surface_Engine!$B$12:$B$72,$A1161+1)-F1161/INDEX(Surface_Engine!$B$12:$B$72,$A1161+1))),IF($A1161&lt;$Q$1140,MAX(0,-Assumptions!$B$22*(F1161/INDEX(Surface_Engine!$B$12:$B$72,$A1161+1))),0)))+2*Assumptions!$B$27*(IF(C1161&lt;=0,0,MAX(0,(B1161/C1161)*G1161/INDEX(Surface_Engine!$B$12:$B$72,$A1161+1)-F1161/INDEX(Surface_Engine!$B$12:$B$72,$A1161+1))))*(MAX(0,J1161/INDEX(Surface_Engine!$B$12:$B$72,$A1161+1)-(F1161/INDEX(Surface_Engine!$B$12:$B$72,$A1161+1))))+2*Assumptions!$B$28*(MAX(IF(D1161&lt;=0,0,MAX(0,(B1161/D1161)*H1161/INDEX(Surface_Engine!$B$12:$B$72,$A1161+1)-F1161/INDEX(Surface_Engine!$B$12:$B$72,$A1161+1))),IF(E1161&lt;=0,0,MAX(0,(B1161/E1161)*I1161/INDEX(Surface_Engine!$B$12:$B$72,$A1161+1)-F1161/INDEX(Surface_Engine!$B$12:$B$72,$A1161+1))),IF($A1161&lt;$Q$1140,MAX(0,-Assumptions!$B$22*(F1161/INDEX(Surface_Engine!$B$12:$B$72,$A1161+1))),0)))*(MAX(0,J1161/INDEX(Surface_Engine!$B$12:$B$72,$A1161+1)-(F1161/INDEX(Surface_Engine!$B$12:$B$72,$A1161+1)))))</f>
        <v>6103.40233122345</v>
      </c>
      <c r="L1161" s="48" t="n">
        <f aca="false">K1161*INDEX(Surface_Engine!$B$12:$B$72,$A1161+1)+L1162</f>
        <v>19774.3438213725</v>
      </c>
      <c r="M1161" s="48" t="n">
        <f aca="false">M1160+B1160*(IF($A1160&lt;$Q$1140,(Surface_Engine!L246*12)-(Surface_Engine!L246*12)*INDEX(Surface_Engine!$F$12:$F$72,$A1160+1)-INDEX(Surface_Engine!$D$12:$D$72,$A1160+1),-(1000*12*INDEX(Surface_Engine!$C$12:$C$72,$A1160+1)/(1+Assumptions!$B$10)^15+INDEX(Surface_Engine!$D$12:$D$72,$A1160+1))))*INDEX(Surface_Engine!$B$12:$B$72,$A1160+1)</f>
        <v>22605.5495719213</v>
      </c>
      <c r="N1161" s="12" t="n">
        <f aca="false">IF(B1161&lt;=0,0,MAX(0,(K1161+Assumptions!$B$29*L1161/INDEX(Surface_Engine!$B$12:$B$72,$A1161+1)-(M1161/INDEX(Surface_Engine!$B$12:$B$72,$A1161+1)-(F1161/INDEX(Surface_Engine!$B$12:$B$72,$A1161+1))))/B1161))</f>
        <v>12973.1057778439</v>
      </c>
    </row>
    <row r="1162" customFormat="false" ht="15" hidden="false" customHeight="true" outlineLevel="0" collapsed="false">
      <c r="A1162" s="1" t="n">
        <v>20</v>
      </c>
      <c r="B1162" s="32" t="n">
        <f aca="false">INDEX(Surface_Engine!$Q$12:$Q$72,$A1162+1)*IF($A1162&lt;$Q$1140,INDEX(Surface_Engine!$E$12:$E$72,$A1162+1),INDEX(Surface_Engine!$E$12:$E$72,$Q$1140+1))</f>
        <v>0.404218182333006</v>
      </c>
      <c r="C1162" s="32" t="n">
        <f aca="false">INDEX(Panel_Reserving!$F$8:$F$68,$A1162+1)*IF($A1162&lt;$Q$1140,INDEX(Surface_Engine!$E$12:$E$72,$A1162+1),INDEX(Surface_Engine!$E$12:$E$72,$Q$1140+1))</f>
        <v>0.467371985879763</v>
      </c>
      <c r="D1162" s="32" t="n">
        <f aca="false">INDEX(Surface_Engine!$Q$12:$Q$72,$A1162+1)*IF($A1162&lt;$Q$1140,INDEX(Surface_Engine!$Y$12:$Y$72,$A1162+1),INDEX(Surface_Engine!$Y$12:$Y$72,$Q$1140+1))</f>
        <v>0.366172703172691</v>
      </c>
      <c r="E1162" s="32" t="n">
        <f aca="false">INDEX(Surface_Engine!$Q$12:$Q$72,$A1162+1)*IF($A1162&lt;$Q$1140,INDEX(Surface_Engine!$Z$12:$Z$72,$A1162+1),INDEX(Surface_Engine!$Z$12:$Z$72,$Q$1140+1))</f>
        <v>0.445807191020388</v>
      </c>
      <c r="F1162" s="48" t="n">
        <f aca="false">B1162*(IF($A1162&lt;$Q$1140,INDEX(Surface_Engine!$D$12:$D$72,$A1162+1)+(Surface_Engine!L246*12)*INDEX(Surface_Engine!$F$12:$F$72,$A1162+1)-(Surface_Engine!L246*12),1000*12*INDEX(Surface_Engine!$C$12:$C$72,$A1162+1)/(1+Assumptions!$B$10)^15+INDEX(Surface_Engine!$D$12:$D$72,$A1162+1)))*INDEX(Surface_Engine!$B$12:$B$72,$A1162+1)+F1163</f>
        <v>18008.4911733586</v>
      </c>
      <c r="G1162" s="48" t="n">
        <f aca="false">C1162*(IF($A1162&lt;$Q$1140,INDEX(Surface_Engine!$D$12:$D$72,$A1162+1)+(Surface_Engine!L246*12)*INDEX(Surface_Engine!$F$12:$F$72,$A1162+1)-(Surface_Engine!L246*12),1000*12*INDEX(Surface_Engine!$C$12:$C$72,$A1162+1)/(1+Assumptions!$B$10)^15+INDEX(Surface_Engine!$D$12:$D$72,$A1162+1)))*INDEX(Surface_Engine!$B$12:$B$72,$A1162+1)+G1163</f>
        <v>24253.050774838</v>
      </c>
      <c r="H1162" s="48" t="n">
        <f aca="false">D1162*(IF($A1162&lt;$Q$1140,INDEX(Surface_Engine!$D$12:$D$72,$A1162+1)+(Surface_Engine!L246*12)*INDEX(Surface_Engine!$F$12:$F$72,$A1162+1)-(Surface_Engine!L246*12),1000*12*INDEX(Surface_Engine!$C$12:$C$72,$A1162+1)/(1+Assumptions!$B$10)^15+INDEX(Surface_Engine!$D$12:$D$72,$A1162+1)))*INDEX(Surface_Engine!$B$12:$B$72,$A1162+1)+H1163</f>
        <v>16313.5113194333</v>
      </c>
      <c r="I1162" s="48" t="n">
        <f aca="false">E1162*(IF($A1162&lt;$Q$1140,INDEX(Surface_Engine!$D$12:$D$72,$A1162+1)+(Surface_Engine!L246*12)*INDEX(Surface_Engine!$F$12:$F$72,$A1162+1)-(Surface_Engine!L246*12),1000*12*INDEX(Surface_Engine!$C$12:$C$72,$A1162+1)/(1+Assumptions!$B$10)^15+INDEX(Surface_Engine!$D$12:$D$72,$A1162+1)))*INDEX(Surface_Engine!$B$12:$B$72,$A1162+1)+I1163</f>
        <v>19861.3402746354</v>
      </c>
      <c r="J1162" s="48" t="n">
        <f aca="false">B1162*(IF($A1162&lt;$Q$1140,INDEX(Surface_Engine!$D$12:$D$72,$A1162+1)*(1+Assumptions!$B$24)+(Surface_Engine!L246*12)*INDEX(Surface_Engine!$F$12:$F$72,$A1162+1)-(Surface_Engine!L246*12),1000*12*INDEX(Surface_Engine!$C$12:$C$72,$A1162+1)/(1+Assumptions!$B$10)^15+INDEX(Surface_Engine!$D$12:$D$72,$A1162+1)*(1+Assumptions!$B$24)))*INDEX(Surface_Engine!$B$12:$B$72,$A1162+1)+J1163</f>
        <v>18026.9409571134</v>
      </c>
      <c r="K1162" s="12" t="n">
        <f aca="false">SQRT((IF(C1162&lt;=0,0,MAX(0,(B1162/C1162)*G1162/INDEX(Surface_Engine!$B$12:$B$72,$A1162+1)-F1162/INDEX(Surface_Engine!$B$12:$B$72,$A1162+1))))^2+(MAX(IF(D1162&lt;=0,0,MAX(0,(B1162/D1162)*H1162/INDEX(Surface_Engine!$B$12:$B$72,$A1162+1)-F1162/INDEX(Surface_Engine!$B$12:$B$72,$A1162+1))),IF(E1162&lt;=0,0,MAX(0,(B1162/E1162)*I1162/INDEX(Surface_Engine!$B$12:$B$72,$A1162+1)-F1162/INDEX(Surface_Engine!$B$12:$B$72,$A1162+1))),IF($A1162&lt;$Q$1140,MAX(0,-Assumptions!$B$22*(F1162/INDEX(Surface_Engine!$B$12:$B$72,$A1162+1))),0)))^2+(MAX(0,J1162/INDEX(Surface_Engine!$B$12:$B$72,$A1162+1)-(F1162/INDEX(Surface_Engine!$B$12:$B$72,$A1162+1))))^2+2*Assumptions!$B$26*(IF(C1162&lt;=0,0,MAX(0,(B1162/C1162)*G1162/INDEX(Surface_Engine!$B$12:$B$72,$A1162+1)-F1162/INDEX(Surface_Engine!$B$12:$B$72,$A1162+1))))*(MAX(IF(D1162&lt;=0,0,MAX(0,(B1162/D1162)*H1162/INDEX(Surface_Engine!$B$12:$B$72,$A1162+1)-F1162/INDEX(Surface_Engine!$B$12:$B$72,$A1162+1))),IF(E1162&lt;=0,0,MAX(0,(B1162/E1162)*I1162/INDEX(Surface_Engine!$B$12:$B$72,$A1162+1)-F1162/INDEX(Surface_Engine!$B$12:$B$72,$A1162+1))),IF($A1162&lt;$Q$1140,MAX(0,-Assumptions!$B$22*(F1162/INDEX(Surface_Engine!$B$12:$B$72,$A1162+1))),0)))+2*Assumptions!$B$27*(IF(C1162&lt;=0,0,MAX(0,(B1162/C1162)*G1162/INDEX(Surface_Engine!$B$12:$B$72,$A1162+1)-F1162/INDEX(Surface_Engine!$B$12:$B$72,$A1162+1))))*(MAX(0,J1162/INDEX(Surface_Engine!$B$12:$B$72,$A1162+1)-(F1162/INDEX(Surface_Engine!$B$12:$B$72,$A1162+1))))+2*Assumptions!$B$28*(MAX(IF(D1162&lt;=0,0,MAX(0,(B1162/D1162)*H1162/INDEX(Surface_Engine!$B$12:$B$72,$A1162+1)-F1162/INDEX(Surface_Engine!$B$12:$B$72,$A1162+1))),IF(E1162&lt;=0,0,MAX(0,(B1162/E1162)*I1162/INDEX(Surface_Engine!$B$12:$B$72,$A1162+1)-F1162/INDEX(Surface_Engine!$B$12:$B$72,$A1162+1))),IF($A1162&lt;$Q$1140,MAX(0,-Assumptions!$B$22*(F1162/INDEX(Surface_Engine!$B$12:$B$72,$A1162+1))),0)))*(MAX(0,J1162/INDEX(Surface_Engine!$B$12:$B$72,$A1162+1)-(F1162/INDEX(Surface_Engine!$B$12:$B$72,$A1162+1)))))</f>
        <v>5546.72576753281</v>
      </c>
      <c r="L1162" s="48" t="n">
        <f aca="false">K1162*INDEX(Surface_Engine!$B$12:$B$72,$A1162+1)+L1163</f>
        <v>16399.7867174629</v>
      </c>
      <c r="M1162" s="48" t="n">
        <f aca="false">M1161+B1161*(IF($A1161&lt;$Q$1140,(Surface_Engine!L246*12)-(Surface_Engine!L246*12)*INDEX(Surface_Engine!$F$12:$F$72,$A1161+1)-INDEX(Surface_Engine!$D$12:$D$72,$A1161+1),-(1000*12*INDEX(Surface_Engine!$C$12:$C$72,$A1161+1)/(1+Assumptions!$B$10)^15+INDEX(Surface_Engine!$D$12:$D$72,$A1161+1))))*INDEX(Surface_Engine!$B$12:$B$72,$A1161+1)</f>
        <v>19392.4953299204</v>
      </c>
      <c r="N1162" s="12" t="n">
        <f aca="false">IF(B1162&lt;=0,0,MAX(0,(K1162+Assumptions!$B$29*L1162/INDEX(Surface_Engine!$B$12:$B$72,$A1162+1)-(M1162/INDEX(Surface_Engine!$B$12:$B$72,$A1162+1)-(F1162/INDEX(Surface_Engine!$B$12:$B$72,$A1162+1))))/B1162))</f>
        <v>11875.1932529437</v>
      </c>
    </row>
    <row r="1163" customFormat="false" ht="15" hidden="false" customHeight="true" outlineLevel="0" collapsed="false">
      <c r="A1163" s="1" t="n">
        <v>21</v>
      </c>
      <c r="B1163" s="32" t="n">
        <f aca="false">INDEX(Surface_Engine!$Q$12:$Q$72,$A1163+1)*IF($A1163&lt;$Q$1140,INDEX(Surface_Engine!$E$12:$E$72,$A1163+1),INDEX(Surface_Engine!$E$12:$E$72,$Q$1140+1))</f>
        <v>0.363118636452923</v>
      </c>
      <c r="C1163" s="32" t="n">
        <f aca="false">INDEX(Panel_Reserving!$F$8:$F$68,$A1163+1)*IF($A1163&lt;$Q$1140,INDEX(Surface_Engine!$E$12:$E$72,$A1163+1),INDEX(Surface_Engine!$E$12:$E$72,$Q$1140+1))</f>
        <v>0.429355336028211</v>
      </c>
      <c r="D1163" s="32" t="n">
        <f aca="false">INDEX(Surface_Engine!$Q$12:$Q$72,$A1163+1)*IF($A1163&lt;$Q$1140,INDEX(Surface_Engine!$Y$12:$Y$72,$A1163+1),INDEX(Surface_Engine!$Y$12:$Y$72,$Q$1140+1))</f>
        <v>0.328941493712445</v>
      </c>
      <c r="E1163" s="32" t="n">
        <f aca="false">INDEX(Surface_Engine!$Q$12:$Q$72,$A1163+1)*IF($A1163&lt;$Q$1140,INDEX(Surface_Engine!$Z$12:$Z$72,$A1163+1),INDEX(Surface_Engine!$Z$12:$Z$72,$Q$1140+1))</f>
        <v>0.400479014550783</v>
      </c>
      <c r="F1163" s="48" t="n">
        <f aca="false">B1163*(IF($A1163&lt;$Q$1140,INDEX(Surface_Engine!$D$12:$D$72,$A1163+1)+(Surface_Engine!L246*12)*INDEX(Surface_Engine!$F$12:$F$72,$A1163+1)-(Surface_Engine!L246*12),1000*12*INDEX(Surface_Engine!$C$12:$C$72,$A1163+1)/(1+Assumptions!$B$10)^15+INDEX(Surface_Engine!$D$12:$D$72,$A1163+1)))*INDEX(Surface_Engine!$B$12:$B$72,$A1163+1)+F1164</f>
        <v>15109.8409551237</v>
      </c>
      <c r="G1163" s="48" t="n">
        <f aca="false">C1163*(IF($A1163&lt;$Q$1140,INDEX(Surface_Engine!$D$12:$D$72,$A1163+1)+(Surface_Engine!L246*12)*INDEX(Surface_Engine!$F$12:$F$72,$A1163+1)-(Surface_Engine!L246*12),1000*12*INDEX(Surface_Engine!$C$12:$C$72,$A1163+1)/(1+Assumptions!$B$10)^15+INDEX(Surface_Engine!$D$12:$D$72,$A1163+1)))*INDEX(Surface_Engine!$B$12:$B$72,$A1163+1)+G1164</f>
        <v>20901.5243762774</v>
      </c>
      <c r="H1163" s="48" t="n">
        <f aca="false">D1163*(IF($A1163&lt;$Q$1140,INDEX(Surface_Engine!$D$12:$D$72,$A1163+1)+(Surface_Engine!L246*12)*INDEX(Surface_Engine!$F$12:$F$72,$A1163+1)-(Surface_Engine!L246*12),1000*12*INDEX(Surface_Engine!$C$12:$C$72,$A1163+1)/(1+Assumptions!$B$10)^15+INDEX(Surface_Engine!$D$12:$D$72,$A1163+1)))*INDEX(Surface_Engine!$B$12:$B$72,$A1163+1)+H1164</f>
        <v>13687.685385931</v>
      </c>
      <c r="I1163" s="48" t="n">
        <f aca="false">E1163*(IF($A1163&lt;$Q$1140,INDEX(Surface_Engine!$D$12:$D$72,$A1163+1)+(Surface_Engine!L246*12)*INDEX(Surface_Engine!$F$12:$F$72,$A1163+1)-(Surface_Engine!L246*12),1000*12*INDEX(Surface_Engine!$C$12:$C$72,$A1163+1)/(1+Assumptions!$B$10)^15+INDEX(Surface_Engine!$D$12:$D$72,$A1163+1)))*INDEX(Surface_Engine!$B$12:$B$72,$A1163+1)+I1164</f>
        <v>16664.4551071162</v>
      </c>
      <c r="J1163" s="48" t="n">
        <f aca="false">B1163*(IF($A1163&lt;$Q$1140,INDEX(Surface_Engine!$D$12:$D$72,$A1163+1)*(1+Assumptions!$B$24)+(Surface_Engine!L246*12)*INDEX(Surface_Engine!$F$12:$F$72,$A1163+1)-(Surface_Engine!L246*12),1000*12*INDEX(Surface_Engine!$C$12:$C$72,$A1163+1)/(1+Assumptions!$B$10)^15+INDEX(Surface_Engine!$D$12:$D$72,$A1163+1)*(1+Assumptions!$B$24)))*INDEX(Surface_Engine!$B$12:$B$72,$A1163+1)+J1164</f>
        <v>15125.3805405651</v>
      </c>
      <c r="K1163" s="12" t="n">
        <f aca="false">SQRT((IF(C1163&lt;=0,0,MAX(0,(B1163/C1163)*G1163/INDEX(Surface_Engine!$B$12:$B$72,$A1163+1)-F1163/INDEX(Surface_Engine!$B$12:$B$72,$A1163+1))))^2+(MAX(IF(D1163&lt;=0,0,MAX(0,(B1163/D1163)*H1163/INDEX(Surface_Engine!$B$12:$B$72,$A1163+1)-F1163/INDEX(Surface_Engine!$B$12:$B$72,$A1163+1))),IF(E1163&lt;=0,0,MAX(0,(B1163/E1163)*I1163/INDEX(Surface_Engine!$B$12:$B$72,$A1163+1)-F1163/INDEX(Surface_Engine!$B$12:$B$72,$A1163+1))),IF($A1163&lt;$Q$1140,MAX(0,-Assumptions!$B$22*(F1163/INDEX(Surface_Engine!$B$12:$B$72,$A1163+1))),0)))^2+(MAX(0,J1163/INDEX(Surface_Engine!$B$12:$B$72,$A1163+1)-(F1163/INDEX(Surface_Engine!$B$12:$B$72,$A1163+1))))^2+2*Assumptions!$B$26*(IF(C1163&lt;=0,0,MAX(0,(B1163/C1163)*G1163/INDEX(Surface_Engine!$B$12:$B$72,$A1163+1)-F1163/INDEX(Surface_Engine!$B$12:$B$72,$A1163+1))))*(MAX(IF(D1163&lt;=0,0,MAX(0,(B1163/D1163)*H1163/INDEX(Surface_Engine!$B$12:$B$72,$A1163+1)-F1163/INDEX(Surface_Engine!$B$12:$B$72,$A1163+1))),IF(E1163&lt;=0,0,MAX(0,(B1163/E1163)*I1163/INDEX(Surface_Engine!$B$12:$B$72,$A1163+1)-F1163/INDEX(Surface_Engine!$B$12:$B$72,$A1163+1))),IF($A1163&lt;$Q$1140,MAX(0,-Assumptions!$B$22*(F1163/INDEX(Surface_Engine!$B$12:$B$72,$A1163+1))),0)))+2*Assumptions!$B$27*(IF(C1163&lt;=0,0,MAX(0,(B1163/C1163)*G1163/INDEX(Surface_Engine!$B$12:$B$72,$A1163+1)-F1163/INDEX(Surface_Engine!$B$12:$B$72,$A1163+1))))*(MAX(0,J1163/INDEX(Surface_Engine!$B$12:$B$72,$A1163+1)-(F1163/INDEX(Surface_Engine!$B$12:$B$72,$A1163+1))))+2*Assumptions!$B$28*(MAX(IF(D1163&lt;=0,0,MAX(0,(B1163/D1163)*H1163/INDEX(Surface_Engine!$B$12:$B$72,$A1163+1)-F1163/INDEX(Surface_Engine!$B$12:$B$72,$A1163+1))),IF(E1163&lt;=0,0,MAX(0,(B1163/E1163)*I1163/INDEX(Surface_Engine!$B$12:$B$72,$A1163+1)-F1163/INDEX(Surface_Engine!$B$12:$B$72,$A1163+1))),IF($A1163&lt;$Q$1140,MAX(0,-Assumptions!$B$22*(F1163/INDEX(Surface_Engine!$B$12:$B$72,$A1163+1))),0)))*(MAX(0,J1163/INDEX(Surface_Engine!$B$12:$B$72,$A1163+1)-(F1163/INDEX(Surface_Engine!$B$12:$B$72,$A1163+1)))))</f>
        <v>4951.60914114741</v>
      </c>
      <c r="L1163" s="48" t="n">
        <f aca="false">K1163*INDEX(Surface_Engine!$B$12:$B$72,$A1163+1)+L1164</f>
        <v>13427.7629762139</v>
      </c>
      <c r="M1163" s="48" t="n">
        <f aca="false">M1162+B1162*(IF($A1162&lt;$Q$1140,(Surface_Engine!L246*12)-(Surface_Engine!L246*12)*INDEX(Surface_Engine!$F$12:$F$72,$A1162+1)-INDEX(Surface_Engine!$D$12:$D$72,$A1162+1),-(1000*12*INDEX(Surface_Engine!$C$12:$C$72,$A1162+1)/(1+Assumptions!$B$10)^15+INDEX(Surface_Engine!$D$12:$D$72,$A1162+1))))*INDEX(Surface_Engine!$B$12:$B$72,$A1162+1)</f>
        <v>16493.8451116855</v>
      </c>
      <c r="N1163" s="12" t="n">
        <f aca="false">IF(B1163&lt;=0,0,MAX(0,(K1163+Assumptions!$B$29*L1163/INDEX(Surface_Engine!$B$12:$B$72,$A1163+1)-(M1163/INDEX(Surface_Engine!$B$12:$B$72,$A1163+1)-(F1163/INDEX(Surface_Engine!$B$12:$B$72,$A1163+1))))/B1163))</f>
        <v>10569.0450967805</v>
      </c>
    </row>
    <row r="1164" customFormat="false" ht="15" hidden="false" customHeight="true" outlineLevel="0" collapsed="false">
      <c r="A1164" s="1" t="n">
        <v>22</v>
      </c>
      <c r="B1164" s="32" t="n">
        <f aca="false">INDEX(Surface_Engine!$Q$12:$Q$72,$A1164+1)*IF($A1164&lt;$Q$1140,INDEX(Surface_Engine!$E$12:$E$72,$A1164+1),INDEX(Surface_Engine!$E$12:$E$72,$Q$1140+1))</f>
        <v>0.321633487431478</v>
      </c>
      <c r="C1164" s="32" t="n">
        <f aca="false">INDEX(Panel_Reserving!$F$8:$F$68,$A1164+1)*IF($A1164&lt;$Q$1140,INDEX(Surface_Engine!$E$12:$E$72,$A1164+1),INDEX(Surface_Engine!$E$12:$E$72,$Q$1140+1))</f>
        <v>0.390113351045505</v>
      </c>
      <c r="D1164" s="32" t="n">
        <f aca="false">INDEX(Surface_Engine!$Q$12:$Q$72,$A1164+1)*IF($A1164&lt;$Q$1140,INDEX(Surface_Engine!$Y$12:$Y$72,$A1164+1),INDEX(Surface_Engine!$Y$12:$Y$72,$Q$1140+1))</f>
        <v>0.291360974520981</v>
      </c>
      <c r="E1164" s="32" t="n">
        <f aca="false">INDEX(Surface_Engine!$Q$12:$Q$72,$A1164+1)*IF($A1164&lt;$Q$1140,INDEX(Surface_Engine!$Z$12:$Z$72,$A1164+1),INDEX(Surface_Engine!$Z$12:$Z$72,$Q$1140+1))</f>
        <v>0.354725561186638</v>
      </c>
      <c r="F1164" s="48" t="n">
        <f aca="false">B1164*(IF($A1164&lt;$Q$1140,INDEX(Surface_Engine!$D$12:$D$72,$A1164+1)+(Surface_Engine!L246*12)*INDEX(Surface_Engine!$F$12:$F$72,$A1164+1)-(Surface_Engine!L246*12),1000*12*INDEX(Surface_Engine!$C$12:$C$72,$A1164+1)/(1+Assumptions!$B$10)^15+INDEX(Surface_Engine!$D$12:$D$72,$A1164+1)))*INDEX(Surface_Engine!$B$12:$B$72,$A1164+1)+F1165</f>
        <v>12535.8179146619</v>
      </c>
      <c r="G1164" s="48" t="n">
        <f aca="false">C1164*(IF($A1164&lt;$Q$1140,INDEX(Surface_Engine!$D$12:$D$72,$A1164+1)+(Surface_Engine!L246*12)*INDEX(Surface_Engine!$F$12:$F$72,$A1164+1)-(Surface_Engine!L246*12),1000*12*INDEX(Surface_Engine!$C$12:$C$72,$A1164+1)/(1+Assumptions!$B$10)^15+INDEX(Surface_Engine!$D$12:$D$72,$A1164+1)))*INDEX(Surface_Engine!$B$12:$B$72,$A1164+1)+G1165</f>
        <v>17857.9721689946</v>
      </c>
      <c r="H1164" s="48" t="n">
        <f aca="false">D1164*(IF($A1164&lt;$Q$1140,INDEX(Surface_Engine!$D$12:$D$72,$A1164+1)+(Surface_Engine!L246*12)*INDEX(Surface_Engine!$F$12:$F$72,$A1164+1)-(Surface_Engine!L246*12),1000*12*INDEX(Surface_Engine!$C$12:$C$72,$A1164+1)/(1+Assumptions!$B$10)^15+INDEX(Surface_Engine!$D$12:$D$72,$A1164+1)))*INDEX(Surface_Engine!$B$12:$B$72,$A1164+1)+H1165</f>
        <v>11355.9323477211</v>
      </c>
      <c r="I1164" s="48" t="n">
        <f aca="false">E1164*(IF($A1164&lt;$Q$1140,INDEX(Surface_Engine!$D$12:$D$72,$A1164+1)+(Surface_Engine!L246*12)*INDEX(Surface_Engine!$F$12:$F$72,$A1164+1)-(Surface_Engine!L246*12),1000*12*INDEX(Surface_Engine!$C$12:$C$72,$A1164+1)/(1+Assumptions!$B$10)^15+INDEX(Surface_Engine!$D$12:$D$72,$A1164+1)))*INDEX(Surface_Engine!$B$12:$B$72,$A1164+1)+I1165</f>
        <v>13825.5972045178</v>
      </c>
      <c r="J1164" s="48" t="n">
        <f aca="false">B1164*(IF($A1164&lt;$Q$1140,INDEX(Surface_Engine!$D$12:$D$72,$A1164+1)*(1+Assumptions!$B$24)+(Surface_Engine!L246*12)*INDEX(Surface_Engine!$F$12:$F$72,$A1164+1)-(Surface_Engine!L246*12),1000*12*INDEX(Surface_Engine!$C$12:$C$72,$A1164+1)/(1+Assumptions!$B$10)^15+INDEX(Surface_Engine!$D$12:$D$72,$A1164+1)*(1+Assumptions!$B$24)))*INDEX(Surface_Engine!$B$12:$B$72,$A1164+1)+J1165</f>
        <v>12548.7606820416</v>
      </c>
      <c r="K1164" s="12" t="n">
        <f aca="false">SQRT((IF(C1164&lt;=0,0,MAX(0,(B1164/C1164)*G1164/INDEX(Surface_Engine!$B$12:$B$72,$A1164+1)-F1164/INDEX(Surface_Engine!$B$12:$B$72,$A1164+1))))^2+(MAX(IF(D1164&lt;=0,0,MAX(0,(B1164/D1164)*H1164/INDEX(Surface_Engine!$B$12:$B$72,$A1164+1)-F1164/INDEX(Surface_Engine!$B$12:$B$72,$A1164+1))),IF(E1164&lt;=0,0,MAX(0,(B1164/E1164)*I1164/INDEX(Surface_Engine!$B$12:$B$72,$A1164+1)-F1164/INDEX(Surface_Engine!$B$12:$B$72,$A1164+1))),IF($A1164&lt;$Q$1140,MAX(0,-Assumptions!$B$22*(F1164/INDEX(Surface_Engine!$B$12:$B$72,$A1164+1))),0)))^2+(MAX(0,J1164/INDEX(Surface_Engine!$B$12:$B$72,$A1164+1)-(F1164/INDEX(Surface_Engine!$B$12:$B$72,$A1164+1))))^2+2*Assumptions!$B$26*(IF(C1164&lt;=0,0,MAX(0,(B1164/C1164)*G1164/INDEX(Surface_Engine!$B$12:$B$72,$A1164+1)-F1164/INDEX(Surface_Engine!$B$12:$B$72,$A1164+1))))*(MAX(IF(D1164&lt;=0,0,MAX(0,(B1164/D1164)*H1164/INDEX(Surface_Engine!$B$12:$B$72,$A1164+1)-F1164/INDEX(Surface_Engine!$B$12:$B$72,$A1164+1))),IF(E1164&lt;=0,0,MAX(0,(B1164/E1164)*I1164/INDEX(Surface_Engine!$B$12:$B$72,$A1164+1)-F1164/INDEX(Surface_Engine!$B$12:$B$72,$A1164+1))),IF($A1164&lt;$Q$1140,MAX(0,-Assumptions!$B$22*(F1164/INDEX(Surface_Engine!$B$12:$B$72,$A1164+1))),0)))+2*Assumptions!$B$27*(IF(C1164&lt;=0,0,MAX(0,(B1164/C1164)*G1164/INDEX(Surface_Engine!$B$12:$B$72,$A1164+1)-F1164/INDEX(Surface_Engine!$B$12:$B$72,$A1164+1))))*(MAX(0,J1164/INDEX(Surface_Engine!$B$12:$B$72,$A1164+1)-(F1164/INDEX(Surface_Engine!$B$12:$B$72,$A1164+1))))+2*Assumptions!$B$28*(MAX(IF(D1164&lt;=0,0,MAX(0,(B1164/D1164)*H1164/INDEX(Surface_Engine!$B$12:$B$72,$A1164+1)-F1164/INDEX(Surface_Engine!$B$12:$B$72,$A1164+1))),IF(E1164&lt;=0,0,MAX(0,(B1164/E1164)*I1164/INDEX(Surface_Engine!$B$12:$B$72,$A1164+1)-F1164/INDEX(Surface_Engine!$B$12:$B$72,$A1164+1))),IF($A1164&lt;$Q$1140,MAX(0,-Assumptions!$B$22*(F1164/INDEX(Surface_Engine!$B$12:$B$72,$A1164+1))),0)))*(MAX(0,J1164/INDEX(Surface_Engine!$B$12:$B$72,$A1164+1)-(F1164/INDEX(Surface_Engine!$B$12:$B$72,$A1164+1)))))</f>
        <v>4353.55788974282</v>
      </c>
      <c r="L1164" s="48" t="n">
        <f aca="false">K1164*INDEX(Surface_Engine!$B$12:$B$72,$A1164+1)+L1165</f>
        <v>10856.6313250925</v>
      </c>
      <c r="M1164" s="48" t="n">
        <f aca="false">M1163+B1163*(IF($A1163&lt;$Q$1140,(Surface_Engine!L246*12)-(Surface_Engine!L246*12)*INDEX(Surface_Engine!$F$12:$F$72,$A1163+1)-INDEX(Surface_Engine!$D$12:$D$72,$A1163+1),-(1000*12*INDEX(Surface_Engine!$C$12:$C$72,$A1163+1)/(1+Assumptions!$B$10)^15+INDEX(Surface_Engine!$D$12:$D$72,$A1163+1))))*INDEX(Surface_Engine!$B$12:$B$72,$A1163+1)</f>
        <v>13919.8220712237</v>
      </c>
      <c r="N1164" s="12" t="n">
        <f aca="false">IF(B1164&lt;=0,0,MAX(0,(K1164+Assumptions!$B$29*L1164/INDEX(Surface_Engine!$B$12:$B$72,$A1164+1)-(M1164/INDEX(Surface_Engine!$B$12:$B$72,$A1164+1)-(F1164/INDEX(Surface_Engine!$B$12:$B$72,$A1164+1))))/B1164))</f>
        <v>9009.11741699445</v>
      </c>
    </row>
    <row r="1165" customFormat="false" ht="15" hidden="false" customHeight="true" outlineLevel="0" collapsed="false">
      <c r="A1165" s="1" t="n">
        <v>23</v>
      </c>
      <c r="B1165" s="32" t="n">
        <f aca="false">INDEX(Surface_Engine!$Q$12:$Q$72,$A1165+1)*IF($A1165&lt;$Q$1140,INDEX(Surface_Engine!$E$12:$E$72,$A1165+1),INDEX(Surface_Engine!$E$12:$E$72,$Q$1140+1))</f>
        <v>0.280796726129489</v>
      </c>
      <c r="C1165" s="32" t="n">
        <f aca="false">INDEX(Panel_Reserving!$F$8:$F$68,$A1165+1)*IF($A1165&lt;$Q$1140,INDEX(Surface_Engine!$E$12:$E$72,$A1165+1),INDEX(Surface_Engine!$E$12:$E$72,$Q$1140+1))</f>
        <v>0.350488208963225</v>
      </c>
      <c r="D1165" s="32" t="n">
        <f aca="false">INDEX(Surface_Engine!$Q$12:$Q$72,$A1165+1)*IF($A1165&lt;$Q$1140,INDEX(Surface_Engine!$Y$12:$Y$72,$A1165+1),INDEX(Surface_Engine!$Y$12:$Y$72,$Q$1140+1))</f>
        <v>0.254367816052794</v>
      </c>
      <c r="E1165" s="32" t="n">
        <f aca="false">INDEX(Surface_Engine!$Q$12:$Q$72,$A1165+1)*IF($A1165&lt;$Q$1140,INDEX(Surface_Engine!$Z$12:$Z$72,$A1165+1),INDEX(Surface_Engine!$Z$12:$Z$72,$Q$1140+1))</f>
        <v>0.309687206550201</v>
      </c>
      <c r="F1165" s="48" t="n">
        <f aca="false">B1165*(IF($A1165&lt;$Q$1140,INDEX(Surface_Engine!$D$12:$D$72,$A1165+1)+(Surface_Engine!L246*12)*INDEX(Surface_Engine!$F$12:$F$72,$A1165+1)-(Surface_Engine!L246*12),1000*12*INDEX(Surface_Engine!$C$12:$C$72,$A1165+1)/(1+Assumptions!$B$10)^15+INDEX(Surface_Engine!$D$12:$D$72,$A1165+1)))*INDEX(Surface_Engine!$B$12:$B$72,$A1165+1)+F1166</f>
        <v>10282.0937545311</v>
      </c>
      <c r="G1165" s="48" t="n">
        <f aca="false">C1165*(IF($A1165&lt;$Q$1140,INDEX(Surface_Engine!$D$12:$D$72,$A1165+1)+(Surface_Engine!L246*12)*INDEX(Surface_Engine!$F$12:$F$72,$A1165+1)-(Surface_Engine!L246*12),1000*12*INDEX(Surface_Engine!$C$12:$C$72,$A1165+1)/(1+Assumptions!$B$10)^15+INDEX(Surface_Engine!$D$12:$D$72,$A1165+1)))*INDEX(Surface_Engine!$B$12:$B$72,$A1165+1)+G1166</f>
        <v>15124.4014470462</v>
      </c>
      <c r="H1165" s="48" t="n">
        <f aca="false">D1165*(IF($A1165&lt;$Q$1140,INDEX(Surface_Engine!$D$12:$D$72,$A1165+1)+(Surface_Engine!L246*12)*INDEX(Surface_Engine!$F$12:$F$72,$A1165+1)-(Surface_Engine!L246*12),1000*12*INDEX(Surface_Engine!$C$12:$C$72,$A1165+1)/(1+Assumptions!$B$10)^15+INDEX(Surface_Engine!$D$12:$D$72,$A1165+1)))*INDEX(Surface_Engine!$B$12:$B$72,$A1165+1)+H1166</f>
        <v>9314.33129168337</v>
      </c>
      <c r="I1165" s="48" t="n">
        <f aca="false">E1165*(IF($A1165&lt;$Q$1140,INDEX(Surface_Engine!$D$12:$D$72,$A1165+1)+(Surface_Engine!L246*12)*INDEX(Surface_Engine!$F$12:$F$72,$A1165+1)-(Surface_Engine!L246*12),1000*12*INDEX(Surface_Engine!$C$12:$C$72,$A1165+1)/(1+Assumptions!$B$10)^15+INDEX(Surface_Engine!$D$12:$D$72,$A1165+1)))*INDEX(Surface_Engine!$B$12:$B$72,$A1165+1)+I1166</f>
        <v>11339.9929415829</v>
      </c>
      <c r="J1165" s="48" t="n">
        <f aca="false">B1165*(IF($A1165&lt;$Q$1140,INDEX(Surface_Engine!$D$12:$D$72,$A1165+1)*(1+Assumptions!$B$24)+(Surface_Engine!L246*12)*INDEX(Surface_Engine!$F$12:$F$72,$A1165+1)-(Surface_Engine!L246*12),1000*12*INDEX(Surface_Engine!$C$12:$C$72,$A1165+1)/(1+Assumptions!$B$10)^15+INDEX(Surface_Engine!$D$12:$D$72,$A1165+1)*(1+Assumptions!$B$24)))*INDEX(Surface_Engine!$B$12:$B$72,$A1165+1)+J1166</f>
        <v>10292.751806715</v>
      </c>
      <c r="K1165" s="12" t="n">
        <f aca="false">SQRT((IF(C1165&lt;=0,0,MAX(0,(B1165/C1165)*G1165/INDEX(Surface_Engine!$B$12:$B$72,$A1165+1)-F1165/INDEX(Surface_Engine!$B$12:$B$72,$A1165+1))))^2+(MAX(IF(D1165&lt;=0,0,MAX(0,(B1165/D1165)*H1165/INDEX(Surface_Engine!$B$12:$B$72,$A1165+1)-F1165/INDEX(Surface_Engine!$B$12:$B$72,$A1165+1))),IF(E1165&lt;=0,0,MAX(0,(B1165/E1165)*I1165/INDEX(Surface_Engine!$B$12:$B$72,$A1165+1)-F1165/INDEX(Surface_Engine!$B$12:$B$72,$A1165+1))),IF($A1165&lt;$Q$1140,MAX(0,-Assumptions!$B$22*(F1165/INDEX(Surface_Engine!$B$12:$B$72,$A1165+1))),0)))^2+(MAX(0,J1165/INDEX(Surface_Engine!$B$12:$B$72,$A1165+1)-(F1165/INDEX(Surface_Engine!$B$12:$B$72,$A1165+1))))^2+2*Assumptions!$B$26*(IF(C1165&lt;=0,0,MAX(0,(B1165/C1165)*G1165/INDEX(Surface_Engine!$B$12:$B$72,$A1165+1)-F1165/INDEX(Surface_Engine!$B$12:$B$72,$A1165+1))))*(MAX(IF(D1165&lt;=0,0,MAX(0,(B1165/D1165)*H1165/INDEX(Surface_Engine!$B$12:$B$72,$A1165+1)-F1165/INDEX(Surface_Engine!$B$12:$B$72,$A1165+1))),IF(E1165&lt;=0,0,MAX(0,(B1165/E1165)*I1165/INDEX(Surface_Engine!$B$12:$B$72,$A1165+1)-F1165/INDEX(Surface_Engine!$B$12:$B$72,$A1165+1))),IF($A1165&lt;$Q$1140,MAX(0,-Assumptions!$B$22*(F1165/INDEX(Surface_Engine!$B$12:$B$72,$A1165+1))),0)))+2*Assumptions!$B$27*(IF(C1165&lt;=0,0,MAX(0,(B1165/C1165)*G1165/INDEX(Surface_Engine!$B$12:$B$72,$A1165+1)-F1165/INDEX(Surface_Engine!$B$12:$B$72,$A1165+1))))*(MAX(0,J1165/INDEX(Surface_Engine!$B$12:$B$72,$A1165+1)-(F1165/INDEX(Surface_Engine!$B$12:$B$72,$A1165+1))))+2*Assumptions!$B$28*(MAX(IF(D1165&lt;=0,0,MAX(0,(B1165/D1165)*H1165/INDEX(Surface_Engine!$B$12:$B$72,$A1165+1)-F1165/INDEX(Surface_Engine!$B$12:$B$72,$A1165+1))),IF(E1165&lt;=0,0,MAX(0,(B1165/E1165)*I1165/INDEX(Surface_Engine!$B$12:$B$72,$A1165+1)-F1165/INDEX(Surface_Engine!$B$12:$B$72,$A1165+1))),IF($A1165&lt;$Q$1140,MAX(0,-Assumptions!$B$22*(F1165/INDEX(Surface_Engine!$B$12:$B$72,$A1165+1))),0)))*(MAX(0,J1165/INDEX(Surface_Engine!$B$12:$B$72,$A1165+1)-(F1165/INDEX(Surface_Engine!$B$12:$B$72,$A1165+1)))))</f>
        <v>3768.64104661483</v>
      </c>
      <c r="L1165" s="48" t="n">
        <f aca="false">K1165*INDEX(Surface_Engine!$B$12:$B$72,$A1165+1)+L1166</f>
        <v>8665.9649454091</v>
      </c>
      <c r="M1165" s="48" t="n">
        <f aca="false">M1164+B1164*(IF($A1164&lt;$Q$1140,(Surface_Engine!L246*12)-(Surface_Engine!L246*12)*INDEX(Surface_Engine!$F$12:$F$72,$A1164+1)-INDEX(Surface_Engine!$D$12:$D$72,$A1164+1),-(1000*12*INDEX(Surface_Engine!$C$12:$C$72,$A1164+1)/(1+Assumptions!$B$10)^15+INDEX(Surface_Engine!$D$12:$D$72,$A1164+1))))*INDEX(Surface_Engine!$B$12:$B$72,$A1164+1)</f>
        <v>11666.0979110929</v>
      </c>
      <c r="N1165" s="12" t="n">
        <f aca="false">IF(B1165&lt;=0,0,MAX(0,(K1165+Assumptions!$B$29*L1165/INDEX(Surface_Engine!$B$12:$B$72,$A1165+1)-(M1165/INDEX(Surface_Engine!$B$12:$B$72,$A1165+1)-(F1165/INDEX(Surface_Engine!$B$12:$B$72,$A1165+1))))/B1165))</f>
        <v>7110.68875463257</v>
      </c>
    </row>
    <row r="1166" customFormat="false" ht="15" hidden="false" customHeight="true" outlineLevel="0" collapsed="false">
      <c r="A1166" s="1" t="n">
        <v>24</v>
      </c>
      <c r="B1166" s="32" t="n">
        <f aca="false">INDEX(Surface_Engine!$Q$12:$Q$72,$A1166+1)*IF($A1166&lt;$Q$1140,INDEX(Surface_Engine!$E$12:$E$72,$A1166+1),INDEX(Surface_Engine!$E$12:$E$72,$Q$1140+1))</f>
        <v>0.241790600413825</v>
      </c>
      <c r="C1166" s="32" t="n">
        <f aca="false">INDEX(Panel_Reserving!$F$8:$F$68,$A1166+1)*IF($A1166&lt;$Q$1140,INDEX(Surface_Engine!$E$12:$E$72,$A1166+1),INDEX(Surface_Engine!$E$12:$E$72,$Q$1140+1))</f>
        <v>0.311538503732337</v>
      </c>
      <c r="D1166" s="32" t="n">
        <f aca="false">INDEX(Surface_Engine!$Q$12:$Q$72,$A1166+1)*IF($A1166&lt;$Q$1140,INDEX(Surface_Engine!$Y$12:$Y$72,$A1166+1),INDEX(Surface_Engine!$Y$12:$Y$72,$Q$1140+1))</f>
        <v>0.219032991648899</v>
      </c>
      <c r="E1166" s="32" t="n">
        <f aca="false">INDEX(Surface_Engine!$Q$12:$Q$72,$A1166+1)*IF($A1166&lt;$Q$1140,INDEX(Surface_Engine!$Z$12:$Z$72,$A1166+1),INDEX(Surface_Engine!$Z$12:$Z$72,$Q$1140+1))</f>
        <v>0.266667837066316</v>
      </c>
      <c r="F1166" s="48" t="n">
        <f aca="false">B1166*(IF($A1166&lt;$Q$1140,INDEX(Surface_Engine!$D$12:$D$72,$A1166+1)+(Surface_Engine!L246*12)*INDEX(Surface_Engine!$F$12:$F$72,$A1166+1)-(Surface_Engine!L246*12),1000*12*INDEX(Surface_Engine!$C$12:$C$72,$A1166+1)/(1+Assumptions!$B$10)^15+INDEX(Surface_Engine!$D$12:$D$72,$A1166+1)))*INDEX(Surface_Engine!$B$12:$B$72,$A1166+1)+F1167</f>
        <v>8337.18676844392</v>
      </c>
      <c r="G1166" s="48" t="n">
        <f aca="false">C1166*(IF($A1166&lt;$Q$1140,INDEX(Surface_Engine!$D$12:$D$72,$A1166+1)+(Surface_Engine!L246*12)*INDEX(Surface_Engine!$F$12:$F$72,$A1166+1)-(Surface_Engine!L246*12),1000*12*INDEX(Surface_Engine!$C$12:$C$72,$A1166+1)/(1+Assumptions!$B$10)^15+INDEX(Surface_Engine!$D$12:$D$72,$A1166+1)))*INDEX(Surface_Engine!$B$12:$B$72,$A1166+1)+G1167</f>
        <v>12696.7842324516</v>
      </c>
      <c r="H1166" s="48" t="n">
        <f aca="false">D1166*(IF($A1166&lt;$Q$1140,INDEX(Surface_Engine!$D$12:$D$72,$A1166+1)+(Surface_Engine!L246*12)*INDEX(Surface_Engine!$F$12:$F$72,$A1166+1)-(Surface_Engine!L246*12),1000*12*INDEX(Surface_Engine!$C$12:$C$72,$A1166+1)/(1+Assumptions!$B$10)^15+INDEX(Surface_Engine!$D$12:$D$72,$A1166+1)))*INDEX(Surface_Engine!$B$12:$B$72,$A1166+1)+H1167</f>
        <v>7552.48118290157</v>
      </c>
      <c r="I1166" s="48" t="n">
        <f aca="false">E1166*(IF($A1166&lt;$Q$1140,INDEX(Surface_Engine!$D$12:$D$72,$A1166+1)+(Surface_Engine!L246*12)*INDEX(Surface_Engine!$F$12:$F$72,$A1166+1)-(Surface_Engine!L246*12),1000*12*INDEX(Surface_Engine!$C$12:$C$72,$A1166+1)/(1+Assumptions!$B$10)^15+INDEX(Surface_Engine!$D$12:$D$72,$A1166+1)))*INDEX(Surface_Engine!$B$12:$B$72,$A1166+1)+I1167</f>
        <v>9194.97928767178</v>
      </c>
      <c r="J1166" s="48" t="n">
        <f aca="false">B1166*(IF($A1166&lt;$Q$1140,INDEX(Surface_Engine!$D$12:$D$72,$A1166+1)*(1+Assumptions!$B$24)+(Surface_Engine!L246*12)*INDEX(Surface_Engine!$F$12:$F$72,$A1166+1)-(Surface_Engine!L246*12),1000*12*INDEX(Surface_Engine!$C$12:$C$72,$A1166+1)/(1+Assumptions!$B$10)^15+INDEX(Surface_Engine!$D$12:$D$72,$A1166+1)*(1+Assumptions!$B$24)))*INDEX(Surface_Engine!$B$12:$B$72,$A1166+1)+J1167</f>
        <v>8345.86360265718</v>
      </c>
      <c r="K1166" s="12" t="n">
        <f aca="false">SQRT((IF(C1166&lt;=0,0,MAX(0,(B1166/C1166)*G1166/INDEX(Surface_Engine!$B$12:$B$72,$A1166+1)-F1166/INDEX(Surface_Engine!$B$12:$B$72,$A1166+1))))^2+(MAX(IF(D1166&lt;=0,0,MAX(0,(B1166/D1166)*H1166/INDEX(Surface_Engine!$B$12:$B$72,$A1166+1)-F1166/INDEX(Surface_Engine!$B$12:$B$72,$A1166+1))),IF(E1166&lt;=0,0,MAX(0,(B1166/E1166)*I1166/INDEX(Surface_Engine!$B$12:$B$72,$A1166+1)-F1166/INDEX(Surface_Engine!$B$12:$B$72,$A1166+1))),IF($A1166&lt;$Q$1140,MAX(0,-Assumptions!$B$22*(F1166/INDEX(Surface_Engine!$B$12:$B$72,$A1166+1))),0)))^2+(MAX(0,J1166/INDEX(Surface_Engine!$B$12:$B$72,$A1166+1)-(F1166/INDEX(Surface_Engine!$B$12:$B$72,$A1166+1))))^2+2*Assumptions!$B$26*(IF(C1166&lt;=0,0,MAX(0,(B1166/C1166)*G1166/INDEX(Surface_Engine!$B$12:$B$72,$A1166+1)-F1166/INDEX(Surface_Engine!$B$12:$B$72,$A1166+1))))*(MAX(IF(D1166&lt;=0,0,MAX(0,(B1166/D1166)*H1166/INDEX(Surface_Engine!$B$12:$B$72,$A1166+1)-F1166/INDEX(Surface_Engine!$B$12:$B$72,$A1166+1))),IF(E1166&lt;=0,0,MAX(0,(B1166/E1166)*I1166/INDEX(Surface_Engine!$B$12:$B$72,$A1166+1)-F1166/INDEX(Surface_Engine!$B$12:$B$72,$A1166+1))),IF($A1166&lt;$Q$1140,MAX(0,-Assumptions!$B$22*(F1166/INDEX(Surface_Engine!$B$12:$B$72,$A1166+1))),0)))+2*Assumptions!$B$27*(IF(C1166&lt;=0,0,MAX(0,(B1166/C1166)*G1166/INDEX(Surface_Engine!$B$12:$B$72,$A1166+1)-F1166/INDEX(Surface_Engine!$B$12:$B$72,$A1166+1))))*(MAX(0,J1166/INDEX(Surface_Engine!$B$12:$B$72,$A1166+1)-(F1166/INDEX(Surface_Engine!$B$12:$B$72,$A1166+1))))+2*Assumptions!$B$28*(MAX(IF(D1166&lt;=0,0,MAX(0,(B1166/D1166)*H1166/INDEX(Surface_Engine!$B$12:$B$72,$A1166+1)-F1166/INDEX(Surface_Engine!$B$12:$B$72,$A1166+1))),IF(E1166&lt;=0,0,MAX(0,(B1166/E1166)*I1166/INDEX(Surface_Engine!$B$12:$B$72,$A1166+1)-F1166/INDEX(Surface_Engine!$B$12:$B$72,$A1166+1))),IF($A1166&lt;$Q$1140,MAX(0,-Assumptions!$B$22*(F1166/INDEX(Surface_Engine!$B$12:$B$72,$A1166+1))),0)))*(MAX(0,J1166/INDEX(Surface_Engine!$B$12:$B$72,$A1166+1)-(F1166/INDEX(Surface_Engine!$B$12:$B$72,$A1166+1)))))</f>
        <v>3215.9059555998</v>
      </c>
      <c r="L1166" s="48" t="n">
        <f aca="false">K1166*INDEX(Surface_Engine!$B$12:$B$72,$A1166+1)+L1167</f>
        <v>6828.31732630266</v>
      </c>
      <c r="M1166" s="48" t="n">
        <f aca="false">M1165+B1165*(IF($A1165&lt;$Q$1140,(Surface_Engine!L246*12)-(Surface_Engine!L246*12)*INDEX(Surface_Engine!$F$12:$F$72,$A1165+1)-INDEX(Surface_Engine!$D$12:$D$72,$A1165+1),-(1000*12*INDEX(Surface_Engine!$C$12:$C$72,$A1165+1)/(1+Assumptions!$B$10)^15+INDEX(Surface_Engine!$D$12:$D$72,$A1165+1))))*INDEX(Surface_Engine!$B$12:$B$72,$A1165+1)</f>
        <v>9721.19092500572</v>
      </c>
      <c r="N1166" s="12" t="n">
        <f aca="false">IF(B1166&lt;=0,0,MAX(0,(K1166+Assumptions!$B$29*L1166/INDEX(Surface_Engine!$B$12:$B$72,$A1166+1)-(M1166/INDEX(Surface_Engine!$B$12:$B$72,$A1166+1)-(F1166/INDEX(Surface_Engine!$B$12:$B$72,$A1166+1))))/B1166))</f>
        <v>4770.51419101354</v>
      </c>
    </row>
    <row r="1167" customFormat="false" ht="15" hidden="false" customHeight="true" outlineLevel="0" collapsed="false">
      <c r="A1167" s="1" t="n">
        <v>25</v>
      </c>
      <c r="B1167" s="32" t="n">
        <f aca="false">INDEX(Surface_Engine!$Q$12:$Q$72,$A1167+1)*IF($A1167&lt;$Q$1140,INDEX(Surface_Engine!$E$12:$E$72,$A1167+1),INDEX(Surface_Engine!$E$12:$E$72,$Q$1140+1))</f>
        <v>0.20552163151385</v>
      </c>
      <c r="C1167" s="32" t="n">
        <f aca="false">INDEX(Panel_Reserving!$F$8:$F$68,$A1167+1)*IF($A1167&lt;$Q$1140,INDEX(Surface_Engine!$E$12:$E$72,$A1167+1),INDEX(Surface_Engine!$E$12:$E$72,$Q$1140+1))</f>
        <v>0.274153492789233</v>
      </c>
      <c r="D1167" s="32" t="n">
        <f aca="false">INDEX(Surface_Engine!$Q$12:$Q$72,$A1167+1)*IF($A1167&lt;$Q$1140,INDEX(Surface_Engine!$Y$12:$Y$72,$A1167+1),INDEX(Surface_Engine!$Y$12:$Y$72,$Q$1140+1))</f>
        <v>0.18617769972032</v>
      </c>
      <c r="E1167" s="32" t="n">
        <f aca="false">INDEX(Surface_Engine!$Q$12:$Q$72,$A1167+1)*IF($A1167&lt;$Q$1140,INDEX(Surface_Engine!$Z$12:$Z$72,$A1167+1),INDEX(Surface_Engine!$Z$12:$Z$72,$Q$1140+1))</f>
        <v>0.226667243690772</v>
      </c>
      <c r="F1167" s="48" t="n">
        <f aca="false">B1167*(IF($A1167&lt;$Q$1140,INDEX(Surface_Engine!$D$12:$D$72,$A1167+1)+(Surface_Engine!L246*12)*INDEX(Surface_Engine!$F$12:$F$72,$A1167+1)-(Surface_Engine!L246*12),1000*12*INDEX(Surface_Engine!$C$12:$C$72,$A1167+1)/(1+Assumptions!$B$10)^15+INDEX(Surface_Engine!$D$12:$D$72,$A1167+1)))*INDEX(Surface_Engine!$B$12:$B$72,$A1167+1)+F1168</f>
        <v>6682.16325652788</v>
      </c>
      <c r="G1167" s="48" t="n">
        <f aca="false">C1167*(IF($A1167&lt;$Q$1140,INDEX(Surface_Engine!$D$12:$D$72,$A1167+1)+(Surface_Engine!L246*12)*INDEX(Surface_Engine!$F$12:$F$72,$A1167+1)-(Surface_Engine!L246*12),1000*12*INDEX(Surface_Engine!$C$12:$C$72,$A1167+1)/(1+Assumptions!$B$10)^15+INDEX(Surface_Engine!$D$12:$D$72,$A1167+1)))*INDEX(Surface_Engine!$B$12:$B$72,$A1167+1)+G1168</f>
        <v>10564.3458843036</v>
      </c>
      <c r="H1167" s="48" t="n">
        <f aca="false">D1167*(IF($A1167&lt;$Q$1140,INDEX(Surface_Engine!$D$12:$D$72,$A1167+1)+(Surface_Engine!L246*12)*INDEX(Surface_Engine!$F$12:$F$72,$A1167+1)-(Surface_Engine!L246*12),1000*12*INDEX(Surface_Engine!$C$12:$C$72,$A1167+1)/(1+Assumptions!$B$10)^15+INDEX(Surface_Engine!$D$12:$D$72,$A1167+1)))*INDEX(Surface_Engine!$B$12:$B$72,$A1167+1)+H1168</f>
        <v>6053.23038306151</v>
      </c>
      <c r="I1167" s="48" t="n">
        <f aca="false">E1167*(IF($A1167&lt;$Q$1140,INDEX(Surface_Engine!$D$12:$D$72,$A1167+1)+(Surface_Engine!L246*12)*INDEX(Surface_Engine!$F$12:$F$72,$A1167+1)-(Surface_Engine!L246*12),1000*12*INDEX(Surface_Engine!$C$12:$C$72,$A1167+1)/(1+Assumptions!$B$10)^15+INDEX(Surface_Engine!$D$12:$D$72,$A1167+1)))*INDEX(Surface_Engine!$B$12:$B$72,$A1167+1)+I1168</f>
        <v>7369.67450137658</v>
      </c>
      <c r="J1167" s="48" t="n">
        <f aca="false">B1167*(IF($A1167&lt;$Q$1140,INDEX(Surface_Engine!$D$12:$D$72,$A1167+1)*(1+Assumptions!$B$24)+(Surface_Engine!L246*12)*INDEX(Surface_Engine!$F$12:$F$72,$A1167+1)-(Surface_Engine!L246*12),1000*12*INDEX(Surface_Engine!$C$12:$C$72,$A1167+1)/(1+Assumptions!$B$10)^15+INDEX(Surface_Engine!$D$12:$D$72,$A1167+1)*(1+Assumptions!$B$24)))*INDEX(Surface_Engine!$B$12:$B$72,$A1167+1)+J1168</f>
        <v>6689.14598857417</v>
      </c>
      <c r="K1167" s="12" t="n">
        <f aca="false">SQRT((IF(C1167&lt;=0,0,MAX(0,(B1167/C1167)*G1167/INDEX(Surface_Engine!$B$12:$B$72,$A1167+1)-F1167/INDEX(Surface_Engine!$B$12:$B$72,$A1167+1))))^2+(MAX(IF(D1167&lt;=0,0,MAX(0,(B1167/D1167)*H1167/INDEX(Surface_Engine!$B$12:$B$72,$A1167+1)-F1167/INDEX(Surface_Engine!$B$12:$B$72,$A1167+1))),IF(E1167&lt;=0,0,MAX(0,(B1167/E1167)*I1167/INDEX(Surface_Engine!$B$12:$B$72,$A1167+1)-F1167/INDEX(Surface_Engine!$B$12:$B$72,$A1167+1))),IF($A1167&lt;$Q$1140,MAX(0,-Assumptions!$B$22*(F1167/INDEX(Surface_Engine!$B$12:$B$72,$A1167+1))),0)))^2+(MAX(0,J1167/INDEX(Surface_Engine!$B$12:$B$72,$A1167+1)-(F1167/INDEX(Surface_Engine!$B$12:$B$72,$A1167+1))))^2+2*Assumptions!$B$26*(IF(C1167&lt;=0,0,MAX(0,(B1167/C1167)*G1167/INDEX(Surface_Engine!$B$12:$B$72,$A1167+1)-F1167/INDEX(Surface_Engine!$B$12:$B$72,$A1167+1))))*(MAX(IF(D1167&lt;=0,0,MAX(0,(B1167/D1167)*H1167/INDEX(Surface_Engine!$B$12:$B$72,$A1167+1)-F1167/INDEX(Surface_Engine!$B$12:$B$72,$A1167+1))),IF(E1167&lt;=0,0,MAX(0,(B1167/E1167)*I1167/INDEX(Surface_Engine!$B$12:$B$72,$A1167+1)-F1167/INDEX(Surface_Engine!$B$12:$B$72,$A1167+1))),IF($A1167&lt;$Q$1140,MAX(0,-Assumptions!$B$22*(F1167/INDEX(Surface_Engine!$B$12:$B$72,$A1167+1))),0)))+2*Assumptions!$B$27*(IF(C1167&lt;=0,0,MAX(0,(B1167/C1167)*G1167/INDEX(Surface_Engine!$B$12:$B$72,$A1167+1)-F1167/INDEX(Surface_Engine!$B$12:$B$72,$A1167+1))))*(MAX(0,J1167/INDEX(Surface_Engine!$B$12:$B$72,$A1167+1)-(F1167/INDEX(Surface_Engine!$B$12:$B$72,$A1167+1))))+2*Assumptions!$B$28*(MAX(IF(D1167&lt;=0,0,MAX(0,(B1167/D1167)*H1167/INDEX(Surface_Engine!$B$12:$B$72,$A1167+1)-F1167/INDEX(Surface_Engine!$B$12:$B$72,$A1167+1))),IF(E1167&lt;=0,0,MAX(0,(B1167/E1167)*I1167/INDEX(Surface_Engine!$B$12:$B$72,$A1167+1)-F1167/INDEX(Surface_Engine!$B$12:$B$72,$A1167+1))),IF($A1167&lt;$Q$1140,MAX(0,-Assumptions!$B$22*(F1167/INDEX(Surface_Engine!$B$12:$B$72,$A1167+1))),0)))*(MAX(0,J1167/INDEX(Surface_Engine!$B$12:$B$72,$A1167+1)-(F1167/INDEX(Surface_Engine!$B$12:$B$72,$A1167+1)))))</f>
        <v>2707.22025484376</v>
      </c>
      <c r="L1167" s="48" t="n">
        <f aca="false">K1167*INDEX(Surface_Engine!$B$12:$B$72,$A1167+1)+L1168</f>
        <v>5309.11050247332</v>
      </c>
      <c r="M1167" s="48" t="n">
        <f aca="false">M1166+B1166*(IF($A1166&lt;$Q$1140,(Surface_Engine!L246*12)-(Surface_Engine!L246*12)*INDEX(Surface_Engine!$F$12:$F$72,$A1166+1)-INDEX(Surface_Engine!$D$12:$D$72,$A1166+1),-(1000*12*INDEX(Surface_Engine!$C$12:$C$72,$A1166+1)/(1+Assumptions!$B$10)^15+INDEX(Surface_Engine!$D$12:$D$72,$A1166+1))))*INDEX(Surface_Engine!$B$12:$B$72,$A1166+1)</f>
        <v>8066.16741308969</v>
      </c>
      <c r="N1167" s="12" t="n">
        <f aca="false">IF(B1167&lt;=0,0,MAX(0,(K1167+Assumptions!$B$29*L1167/INDEX(Surface_Engine!$B$12:$B$72,$A1167+1)-(M1167/INDEX(Surface_Engine!$B$12:$B$72,$A1167+1)-(F1167/INDEX(Surface_Engine!$B$12:$B$72,$A1167+1))))/B1167))</f>
        <v>1847.37384422815</v>
      </c>
    </row>
    <row r="1168" customFormat="false" ht="15" hidden="false" customHeight="true" outlineLevel="0" collapsed="false">
      <c r="A1168" s="1" t="n">
        <v>26</v>
      </c>
      <c r="B1168" s="32" t="n">
        <f aca="false">INDEX(Surface_Engine!$Q$12:$Q$72,$A1168+1)*IF($A1168&lt;$Q$1140,INDEX(Surface_Engine!$E$12:$E$72,$A1168+1),INDEX(Surface_Engine!$E$12:$E$72,$Q$1140+1))</f>
        <v>0.171547108636184</v>
      </c>
      <c r="C1168" s="32" t="n">
        <f aca="false">INDEX(Panel_Reserving!$F$8:$F$68,$A1168+1)*IF($A1168&lt;$Q$1140,INDEX(Surface_Engine!$E$12:$E$72,$A1168+1),INDEX(Surface_Engine!$E$12:$E$72,$Q$1140+1))</f>
        <v>0.237897517029788</v>
      </c>
      <c r="D1168" s="32" t="n">
        <f aca="false">INDEX(Surface_Engine!$Q$12:$Q$72,$A1168+1)*IF($A1168&lt;$Q$1140,INDEX(Surface_Engine!$Y$12:$Y$72,$A1168+1),INDEX(Surface_Engine!$Y$12:$Y$72,$Q$1140+1))</f>
        <v>0.155400897921562</v>
      </c>
      <c r="E1168" s="32" t="n">
        <f aca="false">INDEX(Surface_Engine!$Q$12:$Q$72,$A1168+1)*IF($A1168&lt;$Q$1140,INDEX(Surface_Engine!$Z$12:$Z$72,$A1168+1),INDEX(Surface_Engine!$Z$12:$Z$72,$Q$1140+1))</f>
        <v>0.189197166211991</v>
      </c>
      <c r="F1168" s="48" t="n">
        <f aca="false">B1168*(IF($A1168&lt;$Q$1140,INDEX(Surface_Engine!$D$12:$D$72,$A1168+1)+(Surface_Engine!L246*12)*INDEX(Surface_Engine!$F$12:$F$72,$A1168+1)-(Surface_Engine!L246*12),1000*12*INDEX(Surface_Engine!$C$12:$C$72,$A1168+1)/(1+Assumptions!$B$10)^15+INDEX(Surface_Engine!$D$12:$D$72,$A1168+1)))*INDEX(Surface_Engine!$B$12:$B$72,$A1168+1)+F1169</f>
        <v>5291.67042360245</v>
      </c>
      <c r="G1168" s="48" t="n">
        <f aca="false">C1168*(IF($A1168&lt;$Q$1140,INDEX(Surface_Engine!$D$12:$D$72,$A1168+1)+(Surface_Engine!L246*12)*INDEX(Surface_Engine!$F$12:$F$72,$A1168+1)-(Surface_Engine!L246*12),1000*12*INDEX(Surface_Engine!$C$12:$C$72,$A1168+1)/(1+Assumptions!$B$10)^15+INDEX(Surface_Engine!$D$12:$D$72,$A1168+1)))*INDEX(Surface_Engine!$B$12:$B$72,$A1168+1)+G1169</f>
        <v>8709.51209363658</v>
      </c>
      <c r="H1168" s="48" t="n">
        <f aca="false">D1168*(IF($A1168&lt;$Q$1140,INDEX(Surface_Engine!$D$12:$D$72,$A1168+1)+(Surface_Engine!L246*12)*INDEX(Surface_Engine!$F$12:$F$72,$A1168+1)-(Surface_Engine!L246*12),1000*12*INDEX(Surface_Engine!$C$12:$C$72,$A1168+1)/(1+Assumptions!$B$10)^15+INDEX(Surface_Engine!$D$12:$D$72,$A1168+1)))*INDEX(Surface_Engine!$B$12:$B$72,$A1168+1)+H1169</f>
        <v>4793.61233115731</v>
      </c>
      <c r="I1168" s="48" t="n">
        <f aca="false">E1168*(IF($A1168&lt;$Q$1140,INDEX(Surface_Engine!$D$12:$D$72,$A1168+1)+(Surface_Engine!L246*12)*INDEX(Surface_Engine!$F$12:$F$72,$A1168+1)-(Surface_Engine!L246*12),1000*12*INDEX(Surface_Engine!$C$12:$C$72,$A1168+1)/(1+Assumptions!$B$10)^15+INDEX(Surface_Engine!$D$12:$D$72,$A1168+1)))*INDEX(Surface_Engine!$B$12:$B$72,$A1168+1)+I1169</f>
        <v>5836.11730114706</v>
      </c>
      <c r="J1168" s="48" t="n">
        <f aca="false">B1168*(IF($A1168&lt;$Q$1140,INDEX(Surface_Engine!$D$12:$D$72,$A1168+1)*(1+Assumptions!$B$24)+(Surface_Engine!L246*12)*INDEX(Surface_Engine!$F$12:$F$72,$A1168+1)-(Surface_Engine!L246*12),1000*12*INDEX(Surface_Engine!$C$12:$C$72,$A1168+1)/(1+Assumptions!$B$10)^15+INDEX(Surface_Engine!$D$12:$D$72,$A1168+1)*(1+Assumptions!$B$24)))*INDEX(Surface_Engine!$B$12:$B$72,$A1168+1)+J1169</f>
        <v>5297.22292497721</v>
      </c>
      <c r="K1168" s="12" t="n">
        <f aca="false">SQRT((IF(C1168&lt;=0,0,MAX(0,(B1168/C1168)*G1168/INDEX(Surface_Engine!$B$12:$B$72,$A1168+1)-F1168/INDEX(Surface_Engine!$B$12:$B$72,$A1168+1))))^2+(MAX(IF(D1168&lt;=0,0,MAX(0,(B1168/D1168)*H1168/INDEX(Surface_Engine!$B$12:$B$72,$A1168+1)-F1168/INDEX(Surface_Engine!$B$12:$B$72,$A1168+1))),IF(E1168&lt;=0,0,MAX(0,(B1168/E1168)*I1168/INDEX(Surface_Engine!$B$12:$B$72,$A1168+1)-F1168/INDEX(Surface_Engine!$B$12:$B$72,$A1168+1))),IF($A1168&lt;$Q$1140,MAX(0,-Assumptions!$B$22*(F1168/INDEX(Surface_Engine!$B$12:$B$72,$A1168+1))),0)))^2+(MAX(0,J1168/INDEX(Surface_Engine!$B$12:$B$72,$A1168+1)-(F1168/INDEX(Surface_Engine!$B$12:$B$72,$A1168+1))))^2+2*Assumptions!$B$26*(IF(C1168&lt;=0,0,MAX(0,(B1168/C1168)*G1168/INDEX(Surface_Engine!$B$12:$B$72,$A1168+1)-F1168/INDEX(Surface_Engine!$B$12:$B$72,$A1168+1))))*(MAX(IF(D1168&lt;=0,0,MAX(0,(B1168/D1168)*H1168/INDEX(Surface_Engine!$B$12:$B$72,$A1168+1)-F1168/INDEX(Surface_Engine!$B$12:$B$72,$A1168+1))),IF(E1168&lt;=0,0,MAX(0,(B1168/E1168)*I1168/INDEX(Surface_Engine!$B$12:$B$72,$A1168+1)-F1168/INDEX(Surface_Engine!$B$12:$B$72,$A1168+1))),IF($A1168&lt;$Q$1140,MAX(0,-Assumptions!$B$22*(F1168/INDEX(Surface_Engine!$B$12:$B$72,$A1168+1))),0)))+2*Assumptions!$B$27*(IF(C1168&lt;=0,0,MAX(0,(B1168/C1168)*G1168/INDEX(Surface_Engine!$B$12:$B$72,$A1168+1)-F1168/INDEX(Surface_Engine!$B$12:$B$72,$A1168+1))))*(MAX(0,J1168/INDEX(Surface_Engine!$B$12:$B$72,$A1168+1)-(F1168/INDEX(Surface_Engine!$B$12:$B$72,$A1168+1))))+2*Assumptions!$B$28*(MAX(IF(D1168&lt;=0,0,MAX(0,(B1168/D1168)*H1168/INDEX(Surface_Engine!$B$12:$B$72,$A1168+1)-F1168/INDEX(Surface_Engine!$B$12:$B$72,$A1168+1))),IF(E1168&lt;=0,0,MAX(0,(B1168/E1168)*I1168/INDEX(Surface_Engine!$B$12:$B$72,$A1168+1)-F1168/INDEX(Surface_Engine!$B$12:$B$72,$A1168+1))),IF($A1168&lt;$Q$1140,MAX(0,-Assumptions!$B$22*(F1168/INDEX(Surface_Engine!$B$12:$B$72,$A1168+1))),0)))*(MAX(0,J1168/INDEX(Surface_Engine!$B$12:$B$72,$A1168+1)-(F1168/INDEX(Surface_Engine!$B$12:$B$72,$A1168+1)))))</f>
        <v>2232.79381053899</v>
      </c>
      <c r="L1168" s="48" t="n">
        <f aca="false">K1168*INDEX(Surface_Engine!$B$12:$B$72,$A1168+1)+L1169</f>
        <v>4069.85272855713</v>
      </c>
      <c r="M1168" s="48" t="n">
        <f aca="false">M1167+B1167*(IF($A1167&lt;$Q$1140,(Surface_Engine!L246*12)-(Surface_Engine!L246*12)*INDEX(Surface_Engine!$F$12:$F$72,$A1167+1)-INDEX(Surface_Engine!$D$12:$D$72,$A1167+1),-(1000*12*INDEX(Surface_Engine!$C$12:$C$72,$A1167+1)/(1+Assumptions!$B$10)^15+INDEX(Surface_Engine!$D$12:$D$72,$A1167+1))))*INDEX(Surface_Engine!$B$12:$B$72,$A1167+1)</f>
        <v>6675.67458016426</v>
      </c>
      <c r="N1168" s="12" t="n">
        <f aca="false">IF(B1168&lt;=0,0,MAX(0,(K1168+Assumptions!$B$29*L1168/INDEX(Surface_Engine!$B$12:$B$72,$A1168+1)-(M1168/INDEX(Surface_Engine!$B$12:$B$72,$A1168+1)-(F1168/INDEX(Surface_Engine!$B$12:$B$72,$A1168+1))))/B1168))</f>
        <v>0</v>
      </c>
    </row>
    <row r="1169" customFormat="false" ht="15" hidden="false" customHeight="true" outlineLevel="0" collapsed="false">
      <c r="A1169" s="1" t="n">
        <v>27</v>
      </c>
      <c r="B1169" s="32" t="n">
        <f aca="false">INDEX(Surface_Engine!$Q$12:$Q$72,$A1169+1)*IF($A1169&lt;$Q$1140,INDEX(Surface_Engine!$E$12:$E$72,$A1169+1),INDEX(Surface_Engine!$E$12:$E$72,$Q$1140+1))</f>
        <v>0.141453428241798</v>
      </c>
      <c r="C1169" s="32" t="n">
        <f aca="false">INDEX(Panel_Reserving!$F$8:$F$68,$A1169+1)*IF($A1169&lt;$Q$1140,INDEX(Surface_Engine!$E$12:$E$72,$A1169+1),INDEX(Surface_Engine!$E$12:$E$72,$Q$1140+1))</f>
        <v>0.20451094746984</v>
      </c>
      <c r="D1169" s="32" t="n">
        <f aca="false">INDEX(Surface_Engine!$Q$12:$Q$72,$A1169+1)*IF($A1169&lt;$Q$1140,INDEX(Surface_Engine!$Y$12:$Y$72,$A1169+1),INDEX(Surface_Engine!$Y$12:$Y$72,$Q$1140+1))</f>
        <v>0.128139669258302</v>
      </c>
      <c r="E1169" s="32" t="n">
        <f aca="false">INDEX(Surface_Engine!$Q$12:$Q$72,$A1169+1)*IF($A1169&lt;$Q$1140,INDEX(Surface_Engine!$Z$12:$Z$72,$A1169+1),INDEX(Surface_Engine!$Z$12:$Z$72,$Q$1140+1))</f>
        <v>0.156007221497841</v>
      </c>
      <c r="F1169" s="48" t="n">
        <f aca="false">B1169*(IF($A1169&lt;$Q$1140,INDEX(Surface_Engine!$D$12:$D$72,$A1169+1)+(Surface_Engine!L246*12)*INDEX(Surface_Engine!$F$12:$F$72,$A1169+1)-(Surface_Engine!L246*12),1000*12*INDEX(Surface_Engine!$C$12:$C$72,$A1169+1)/(1+Assumptions!$B$10)^15+INDEX(Surface_Engine!$D$12:$D$72,$A1169+1)))*INDEX(Surface_Engine!$B$12:$B$72,$A1169+1)+F1170</f>
        <v>4144.77629886969</v>
      </c>
      <c r="G1169" s="48" t="n">
        <f aca="false">C1169*(IF($A1169&lt;$Q$1140,INDEX(Surface_Engine!$D$12:$D$72,$A1169+1)+(Surface_Engine!L246*12)*INDEX(Surface_Engine!$F$12:$F$72,$A1169+1)-(Surface_Engine!L246*12),1000*12*INDEX(Surface_Engine!$C$12:$C$72,$A1169+1)/(1+Assumptions!$B$10)^15+INDEX(Surface_Engine!$D$12:$D$72,$A1169+1)))*INDEX(Surface_Engine!$B$12:$B$72,$A1169+1)+G1170</f>
        <v>7119.02615225811</v>
      </c>
      <c r="H1169" s="48" t="n">
        <f aca="false">D1169*(IF($A1169&lt;$Q$1140,INDEX(Surface_Engine!$D$12:$D$72,$A1169+1)+(Surface_Engine!L246*12)*INDEX(Surface_Engine!$F$12:$F$72,$A1169+1)-(Surface_Engine!L246*12),1000*12*INDEX(Surface_Engine!$C$12:$C$72,$A1169+1)/(1+Assumptions!$B$10)^15+INDEX(Surface_Engine!$D$12:$D$72,$A1169+1)))*INDEX(Surface_Engine!$B$12:$B$72,$A1169+1)+H1170</f>
        <v>3754.66519750191</v>
      </c>
      <c r="I1169" s="48" t="n">
        <f aca="false">E1169*(IF($A1169&lt;$Q$1140,INDEX(Surface_Engine!$D$12:$D$72,$A1169+1)+(Surface_Engine!L246*12)*INDEX(Surface_Engine!$F$12:$F$72,$A1169+1)-(Surface_Engine!L246*12),1000*12*INDEX(Surface_Engine!$C$12:$C$72,$A1169+1)/(1+Assumptions!$B$10)^15+INDEX(Surface_Engine!$D$12:$D$72,$A1169+1)))*INDEX(Surface_Engine!$B$12:$B$72,$A1169+1)+I1170</f>
        <v>4571.22207749856</v>
      </c>
      <c r="J1169" s="48" t="n">
        <f aca="false">B1169*(IF($A1169&lt;$Q$1140,INDEX(Surface_Engine!$D$12:$D$72,$A1169+1)*(1+Assumptions!$B$24)+(Surface_Engine!L246*12)*INDEX(Surface_Engine!$F$12:$F$72,$A1169+1)-(Surface_Engine!L246*12),1000*12*INDEX(Surface_Engine!$C$12:$C$72,$A1169+1)/(1+Assumptions!$B$10)^15+INDEX(Surface_Engine!$D$12:$D$72,$A1169+1)*(1+Assumptions!$B$24)))*INDEX(Surface_Engine!$B$12:$B$72,$A1169+1)+J1170</f>
        <v>4149.14340697397</v>
      </c>
      <c r="K1169" s="12" t="n">
        <f aca="false">SQRT((IF(C1169&lt;=0,0,MAX(0,(B1169/C1169)*G1169/INDEX(Surface_Engine!$B$12:$B$72,$A1169+1)-F1169/INDEX(Surface_Engine!$B$12:$B$72,$A1169+1))))^2+(MAX(IF(D1169&lt;=0,0,MAX(0,(B1169/D1169)*H1169/INDEX(Surface_Engine!$B$12:$B$72,$A1169+1)-F1169/INDEX(Surface_Engine!$B$12:$B$72,$A1169+1))),IF(E1169&lt;=0,0,MAX(0,(B1169/E1169)*I1169/INDEX(Surface_Engine!$B$12:$B$72,$A1169+1)-F1169/INDEX(Surface_Engine!$B$12:$B$72,$A1169+1))),IF($A1169&lt;$Q$1140,MAX(0,-Assumptions!$B$22*(F1169/INDEX(Surface_Engine!$B$12:$B$72,$A1169+1))),0)))^2+(MAX(0,J1169/INDEX(Surface_Engine!$B$12:$B$72,$A1169+1)-(F1169/INDEX(Surface_Engine!$B$12:$B$72,$A1169+1))))^2+2*Assumptions!$B$26*(IF(C1169&lt;=0,0,MAX(0,(B1169/C1169)*G1169/INDEX(Surface_Engine!$B$12:$B$72,$A1169+1)-F1169/INDEX(Surface_Engine!$B$12:$B$72,$A1169+1))))*(MAX(IF(D1169&lt;=0,0,MAX(0,(B1169/D1169)*H1169/INDEX(Surface_Engine!$B$12:$B$72,$A1169+1)-F1169/INDEX(Surface_Engine!$B$12:$B$72,$A1169+1))),IF(E1169&lt;=0,0,MAX(0,(B1169/E1169)*I1169/INDEX(Surface_Engine!$B$12:$B$72,$A1169+1)-F1169/INDEX(Surface_Engine!$B$12:$B$72,$A1169+1))),IF($A1169&lt;$Q$1140,MAX(0,-Assumptions!$B$22*(F1169/INDEX(Surface_Engine!$B$12:$B$72,$A1169+1))),0)))+2*Assumptions!$B$27*(IF(C1169&lt;=0,0,MAX(0,(B1169/C1169)*G1169/INDEX(Surface_Engine!$B$12:$B$72,$A1169+1)-F1169/INDEX(Surface_Engine!$B$12:$B$72,$A1169+1))))*(MAX(0,J1169/INDEX(Surface_Engine!$B$12:$B$72,$A1169+1)-(F1169/INDEX(Surface_Engine!$B$12:$B$72,$A1169+1))))+2*Assumptions!$B$28*(MAX(IF(D1169&lt;=0,0,MAX(0,(B1169/D1169)*H1169/INDEX(Surface_Engine!$B$12:$B$72,$A1169+1)-F1169/INDEX(Surface_Engine!$B$12:$B$72,$A1169+1))),IF(E1169&lt;=0,0,MAX(0,(B1169/E1169)*I1169/INDEX(Surface_Engine!$B$12:$B$72,$A1169+1)-F1169/INDEX(Surface_Engine!$B$12:$B$72,$A1169+1))),IF($A1169&lt;$Q$1140,MAX(0,-Assumptions!$B$22*(F1169/INDEX(Surface_Engine!$B$12:$B$72,$A1169+1))),0)))*(MAX(0,J1169/INDEX(Surface_Engine!$B$12:$B$72,$A1169+1)-(F1169/INDEX(Surface_Engine!$B$12:$B$72,$A1169+1)))))</f>
        <v>1816.03844132336</v>
      </c>
      <c r="L1169" s="48" t="n">
        <f aca="false">K1169*INDEX(Surface_Engine!$B$12:$B$72,$A1169+1)+L1170</f>
        <v>3079.72021518263</v>
      </c>
      <c r="M1169" s="48" t="n">
        <f aca="false">M1168+B1168*(IF($A1168&lt;$Q$1140,(Surface_Engine!L246*12)-(Surface_Engine!L246*12)*INDEX(Surface_Engine!$F$12:$F$72,$A1168+1)-INDEX(Surface_Engine!$D$12:$D$72,$A1168+1),-(1000*12*INDEX(Surface_Engine!$C$12:$C$72,$A1168+1)/(1+Assumptions!$B$10)^15+INDEX(Surface_Engine!$D$12:$D$72,$A1168+1))))*INDEX(Surface_Engine!$B$12:$B$72,$A1168+1)</f>
        <v>5528.7804554315</v>
      </c>
      <c r="N1169" s="12" t="n">
        <f aca="false">IF(B1169&lt;=0,0,MAX(0,(K1169+Assumptions!$B$29*L1169/INDEX(Surface_Engine!$B$12:$B$72,$A1169+1)-(M1169/INDEX(Surface_Engine!$B$12:$B$72,$A1169+1)-(F1169/INDEX(Surface_Engine!$B$12:$B$72,$A1169+1))))/B1169))</f>
        <v>0</v>
      </c>
    </row>
    <row r="1170" customFormat="false" ht="15" hidden="false" customHeight="true" outlineLevel="0" collapsed="false">
      <c r="A1170" s="1" t="n">
        <v>28</v>
      </c>
      <c r="B1170" s="32" t="n">
        <f aca="false">INDEX(Surface_Engine!$Q$12:$Q$72,$A1170+1)*IF($A1170&lt;$Q$1140,INDEX(Surface_Engine!$E$12:$E$72,$A1170+1),INDEX(Surface_Engine!$E$12:$E$72,$Q$1140+1))</f>
        <v>0.11525627353092</v>
      </c>
      <c r="C1170" s="32" t="n">
        <f aca="false">INDEX(Panel_Reserving!$F$8:$F$68,$A1170+1)*IF($A1170&lt;$Q$1140,INDEX(Surface_Engine!$E$12:$E$72,$A1170+1),INDEX(Surface_Engine!$E$12:$E$72,$Q$1140+1))</f>
        <v>0.174210628855985</v>
      </c>
      <c r="D1170" s="32" t="n">
        <f aca="false">INDEX(Surface_Engine!$Q$12:$Q$72,$A1170+1)*IF($A1170&lt;$Q$1140,INDEX(Surface_Engine!$Y$12:$Y$72,$A1170+1),INDEX(Surface_Engine!$Y$12:$Y$72,$Q$1140+1))</f>
        <v>0.104408220809967</v>
      </c>
      <c r="E1170" s="32" t="n">
        <f aca="false">INDEX(Surface_Engine!$Q$12:$Q$72,$A1170+1)*IF($A1170&lt;$Q$1140,INDEX(Surface_Engine!$Z$12:$Z$72,$A1170+1),INDEX(Surface_Engine!$Z$12:$Z$72,$Q$1140+1))</f>
        <v>0.127114706354221</v>
      </c>
      <c r="F1170" s="48" t="n">
        <f aca="false">B1170*(IF($A1170&lt;$Q$1140,INDEX(Surface_Engine!$D$12:$D$72,$A1170+1)+(Surface_Engine!L246*12)*INDEX(Surface_Engine!$F$12:$F$72,$A1170+1)-(Surface_Engine!L246*12),1000*12*INDEX(Surface_Engine!$C$12:$C$72,$A1170+1)/(1+Assumptions!$B$10)^15+INDEX(Surface_Engine!$D$12:$D$72,$A1170+1)))*INDEX(Surface_Engine!$B$12:$B$72,$A1170+1)+F1171</f>
        <v>3210.06168411292</v>
      </c>
      <c r="G1170" s="48" t="n">
        <f aca="false">C1170*(IF($A1170&lt;$Q$1140,INDEX(Surface_Engine!$D$12:$D$72,$A1170+1)+(Surface_Engine!L246*12)*INDEX(Surface_Engine!$F$12:$F$72,$A1170+1)-(Surface_Engine!L246*12),1000*12*INDEX(Surface_Engine!$C$12:$C$72,$A1170+1)/(1+Assumptions!$B$10)^15+INDEX(Surface_Engine!$D$12:$D$72,$A1170+1)))*INDEX(Surface_Engine!$B$12:$B$72,$A1170+1)+G1171</f>
        <v>5767.63174737279</v>
      </c>
      <c r="H1170" s="48" t="n">
        <f aca="false">D1170*(IF($A1170&lt;$Q$1140,INDEX(Surface_Engine!$D$12:$D$72,$A1170+1)+(Surface_Engine!L246*12)*INDEX(Surface_Engine!$F$12:$F$72,$A1170+1)-(Surface_Engine!L246*12),1000*12*INDEX(Surface_Engine!$C$12:$C$72,$A1170+1)/(1+Assumptions!$B$10)^15+INDEX(Surface_Engine!$D$12:$D$72,$A1170+1)))*INDEX(Surface_Engine!$B$12:$B$72,$A1170+1)+H1171</f>
        <v>2907.92699486821</v>
      </c>
      <c r="I1170" s="48" t="n">
        <f aca="false">E1170*(IF($A1170&lt;$Q$1140,INDEX(Surface_Engine!$D$12:$D$72,$A1170+1)+(Surface_Engine!L246*12)*INDEX(Surface_Engine!$F$12:$F$72,$A1170+1)-(Surface_Engine!L246*12),1000*12*INDEX(Surface_Engine!$C$12:$C$72,$A1170+1)/(1+Assumptions!$B$10)^15+INDEX(Surface_Engine!$D$12:$D$72,$A1170+1)))*INDEX(Surface_Engine!$B$12:$B$72,$A1170+1)+I1171</f>
        <v>3540.33698864541</v>
      </c>
      <c r="J1170" s="48" t="n">
        <f aca="false">B1170*(IF($A1170&lt;$Q$1140,INDEX(Surface_Engine!$D$12:$D$72,$A1170+1)*(1+Assumptions!$B$24)+(Surface_Engine!L246*12)*INDEX(Surface_Engine!$F$12:$F$72,$A1170+1)-(Surface_Engine!L246*12),1000*12*INDEX(Surface_Engine!$C$12:$C$72,$A1170+1)/(1+Assumptions!$B$10)^15+INDEX(Surface_Engine!$D$12:$D$72,$A1170+1)*(1+Assumptions!$B$24)))*INDEX(Surface_Engine!$B$12:$B$72,$A1170+1)+J1171</f>
        <v>3213.45801437916</v>
      </c>
      <c r="K1170" s="12" t="n">
        <f aca="false">SQRT((IF(C1170&lt;=0,0,MAX(0,(B1170/C1170)*G1170/INDEX(Surface_Engine!$B$12:$B$72,$A1170+1)-F1170/INDEX(Surface_Engine!$B$12:$B$72,$A1170+1))))^2+(MAX(IF(D1170&lt;=0,0,MAX(0,(B1170/D1170)*H1170/INDEX(Surface_Engine!$B$12:$B$72,$A1170+1)-F1170/INDEX(Surface_Engine!$B$12:$B$72,$A1170+1))),IF(E1170&lt;=0,0,MAX(0,(B1170/E1170)*I1170/INDEX(Surface_Engine!$B$12:$B$72,$A1170+1)-F1170/INDEX(Surface_Engine!$B$12:$B$72,$A1170+1))),IF($A1170&lt;$Q$1140,MAX(0,-Assumptions!$B$22*(F1170/INDEX(Surface_Engine!$B$12:$B$72,$A1170+1))),0)))^2+(MAX(0,J1170/INDEX(Surface_Engine!$B$12:$B$72,$A1170+1)-(F1170/INDEX(Surface_Engine!$B$12:$B$72,$A1170+1))))^2+2*Assumptions!$B$26*(IF(C1170&lt;=0,0,MAX(0,(B1170/C1170)*G1170/INDEX(Surface_Engine!$B$12:$B$72,$A1170+1)-F1170/INDEX(Surface_Engine!$B$12:$B$72,$A1170+1))))*(MAX(IF(D1170&lt;=0,0,MAX(0,(B1170/D1170)*H1170/INDEX(Surface_Engine!$B$12:$B$72,$A1170+1)-F1170/INDEX(Surface_Engine!$B$12:$B$72,$A1170+1))),IF(E1170&lt;=0,0,MAX(0,(B1170/E1170)*I1170/INDEX(Surface_Engine!$B$12:$B$72,$A1170+1)-F1170/INDEX(Surface_Engine!$B$12:$B$72,$A1170+1))),IF($A1170&lt;$Q$1140,MAX(0,-Assumptions!$B$22*(F1170/INDEX(Surface_Engine!$B$12:$B$72,$A1170+1))),0)))+2*Assumptions!$B$27*(IF(C1170&lt;=0,0,MAX(0,(B1170/C1170)*G1170/INDEX(Surface_Engine!$B$12:$B$72,$A1170+1)-F1170/INDEX(Surface_Engine!$B$12:$B$72,$A1170+1))))*(MAX(0,J1170/INDEX(Surface_Engine!$B$12:$B$72,$A1170+1)-(F1170/INDEX(Surface_Engine!$B$12:$B$72,$A1170+1))))+2*Assumptions!$B$28*(MAX(IF(D1170&lt;=0,0,MAX(0,(B1170/D1170)*H1170/INDEX(Surface_Engine!$B$12:$B$72,$A1170+1)-F1170/INDEX(Surface_Engine!$B$12:$B$72,$A1170+1))),IF(E1170&lt;=0,0,MAX(0,(B1170/E1170)*I1170/INDEX(Surface_Engine!$B$12:$B$72,$A1170+1)-F1170/INDEX(Surface_Engine!$B$12:$B$72,$A1170+1))),IF($A1170&lt;$Q$1140,MAX(0,-Assumptions!$B$22*(F1170/INDEX(Surface_Engine!$B$12:$B$72,$A1170+1))),0)))*(MAX(0,J1170/INDEX(Surface_Engine!$B$12:$B$72,$A1170+1)-(F1170/INDEX(Surface_Engine!$B$12:$B$72,$A1170+1)))))</f>
        <v>1457.42439005707</v>
      </c>
      <c r="L1170" s="48" t="n">
        <f aca="false">K1170*INDEX(Surface_Engine!$B$12:$B$72,$A1170+1)+L1171</f>
        <v>2299.39939424651</v>
      </c>
      <c r="M1170" s="48" t="n">
        <f aca="false">M1169+B1169*(IF($A1169&lt;$Q$1140,(Surface_Engine!L246*12)-(Surface_Engine!L246*12)*INDEX(Surface_Engine!$F$12:$F$72,$A1169+1)-INDEX(Surface_Engine!$D$12:$D$72,$A1169+1),-(1000*12*INDEX(Surface_Engine!$C$12:$C$72,$A1169+1)/(1+Assumptions!$B$10)^15+INDEX(Surface_Engine!$D$12:$D$72,$A1169+1))))*INDEX(Surface_Engine!$B$12:$B$72,$A1169+1)</f>
        <v>4594.06584067473</v>
      </c>
      <c r="N1170" s="12" t="n">
        <f aca="false">IF(B1170&lt;=0,0,MAX(0,(K1170+Assumptions!$B$29*L1170/INDEX(Surface_Engine!$B$12:$B$72,$A1170+1)-(M1170/INDEX(Surface_Engine!$B$12:$B$72,$A1170+1)-(F1170/INDEX(Surface_Engine!$B$12:$B$72,$A1170+1))))/B1170))</f>
        <v>0</v>
      </c>
    </row>
    <row r="1171" customFormat="false" ht="15" hidden="false" customHeight="true" outlineLevel="0" collapsed="false">
      <c r="A1171" s="1" t="n">
        <v>29</v>
      </c>
      <c r="B1171" s="32" t="n">
        <f aca="false">INDEX(Surface_Engine!$Q$12:$Q$72,$A1171+1)*IF($A1171&lt;$Q$1140,INDEX(Surface_Engine!$E$12:$E$72,$A1171+1),INDEX(Surface_Engine!$E$12:$E$72,$Q$1140+1))</f>
        <v>0.0927948232787212</v>
      </c>
      <c r="C1171" s="32" t="n">
        <f aca="false">INDEX(Panel_Reserving!$F$8:$F$68,$A1171+1)*IF($A1171&lt;$Q$1140,INDEX(Surface_Engine!$E$12:$E$72,$A1171+1),INDEX(Surface_Engine!$E$12:$E$72,$Q$1140+1))</f>
        <v>0.147050122942851</v>
      </c>
      <c r="D1171" s="32" t="n">
        <f aca="false">INDEX(Surface_Engine!$Q$12:$Q$72,$A1171+1)*IF($A1171&lt;$Q$1140,INDEX(Surface_Engine!$Y$12:$Y$72,$A1171+1),INDEX(Surface_Engine!$Y$12:$Y$72,$Q$1140+1))</f>
        <v>0.0840608680299511</v>
      </c>
      <c r="E1171" s="32" t="n">
        <f aca="false">INDEX(Surface_Engine!$Q$12:$Q$72,$A1171+1)*IF($A1171&lt;$Q$1140,INDEX(Surface_Engine!$Z$12:$Z$72,$A1171+1),INDEX(Surface_Engine!$Z$12:$Z$72,$Q$1140+1))</f>
        <v>0.102342253058373</v>
      </c>
      <c r="F1171" s="48" t="n">
        <f aca="false">B1171*(IF($A1171&lt;$Q$1140,INDEX(Surface_Engine!$D$12:$D$72,$A1171+1)+(Surface_Engine!L246*12)*INDEX(Surface_Engine!$F$12:$F$72,$A1171+1)-(Surface_Engine!L246*12),1000*12*INDEX(Surface_Engine!$C$12:$C$72,$A1171+1)/(1+Assumptions!$B$10)^15+INDEX(Surface_Engine!$D$12:$D$72,$A1171+1)))*INDEX(Surface_Engine!$B$12:$B$72,$A1171+1)+F1172</f>
        <v>2457.52167519093</v>
      </c>
      <c r="G1171" s="48" t="n">
        <f aca="false">C1171*(IF($A1171&lt;$Q$1140,INDEX(Surface_Engine!$D$12:$D$72,$A1171+1)+(Surface_Engine!L246*12)*INDEX(Surface_Engine!$F$12:$F$72,$A1171+1)-(Surface_Engine!L246*12),1000*12*INDEX(Surface_Engine!$C$12:$C$72,$A1171+1)/(1+Assumptions!$B$10)^15+INDEX(Surface_Engine!$D$12:$D$72,$A1171+1)))*INDEX(Surface_Engine!$B$12:$B$72,$A1171+1)+G1172</f>
        <v>4630.16248711237</v>
      </c>
      <c r="H1171" s="48" t="n">
        <f aca="false">D1171*(IF($A1171&lt;$Q$1140,INDEX(Surface_Engine!$D$12:$D$72,$A1171+1)+(Surface_Engine!L246*12)*INDEX(Surface_Engine!$F$12:$F$72,$A1171+1)-(Surface_Engine!L246*12),1000*12*INDEX(Surface_Engine!$C$12:$C$72,$A1171+1)/(1+Assumptions!$B$10)^15+INDEX(Surface_Engine!$D$12:$D$72,$A1171+1)))*INDEX(Surface_Engine!$B$12:$B$72,$A1171+1)+H1172</f>
        <v>2226.21691512333</v>
      </c>
      <c r="I1171" s="48" t="n">
        <f aca="false">E1171*(IF($A1171&lt;$Q$1140,INDEX(Surface_Engine!$D$12:$D$72,$A1171+1)+(Surface_Engine!L246*12)*INDEX(Surface_Engine!$F$12:$F$72,$A1171+1)-(Surface_Engine!L246*12),1000*12*INDEX(Surface_Engine!$C$12:$C$72,$A1171+1)/(1+Assumptions!$B$10)^15+INDEX(Surface_Engine!$D$12:$D$72,$A1171+1)))*INDEX(Surface_Engine!$B$12:$B$72,$A1171+1)+I1172</f>
        <v>2710.37000009569</v>
      </c>
      <c r="J1171" s="48" t="n">
        <f aca="false">B1171*(IF($A1171&lt;$Q$1140,INDEX(Surface_Engine!$D$12:$D$72,$A1171+1)*(1+Assumptions!$B$24)+(Surface_Engine!L246*12)*INDEX(Surface_Engine!$F$12:$F$72,$A1171+1)-(Surface_Engine!L246*12),1000*12*INDEX(Surface_Engine!$C$12:$C$72,$A1171+1)/(1+Assumptions!$B$10)^15+INDEX(Surface_Engine!$D$12:$D$72,$A1171+1)*(1+Assumptions!$B$24)))*INDEX(Surface_Engine!$B$12:$B$72,$A1171+1)+J1172</f>
        <v>2460.13263963393</v>
      </c>
      <c r="K1171" s="12" t="n">
        <f aca="false">SQRT((IF(C1171&lt;=0,0,MAX(0,(B1171/C1171)*G1171/INDEX(Surface_Engine!$B$12:$B$72,$A1171+1)-F1171/INDEX(Surface_Engine!$B$12:$B$72,$A1171+1))))^2+(MAX(IF(D1171&lt;=0,0,MAX(0,(B1171/D1171)*H1171/INDEX(Surface_Engine!$B$12:$B$72,$A1171+1)-F1171/INDEX(Surface_Engine!$B$12:$B$72,$A1171+1))),IF(E1171&lt;=0,0,MAX(0,(B1171/E1171)*I1171/INDEX(Surface_Engine!$B$12:$B$72,$A1171+1)-F1171/INDEX(Surface_Engine!$B$12:$B$72,$A1171+1))),IF($A1171&lt;$Q$1140,MAX(0,-Assumptions!$B$22*(F1171/INDEX(Surface_Engine!$B$12:$B$72,$A1171+1))),0)))^2+(MAX(0,J1171/INDEX(Surface_Engine!$B$12:$B$72,$A1171+1)-(F1171/INDEX(Surface_Engine!$B$12:$B$72,$A1171+1))))^2+2*Assumptions!$B$26*(IF(C1171&lt;=0,0,MAX(0,(B1171/C1171)*G1171/INDEX(Surface_Engine!$B$12:$B$72,$A1171+1)-F1171/INDEX(Surface_Engine!$B$12:$B$72,$A1171+1))))*(MAX(IF(D1171&lt;=0,0,MAX(0,(B1171/D1171)*H1171/INDEX(Surface_Engine!$B$12:$B$72,$A1171+1)-F1171/INDEX(Surface_Engine!$B$12:$B$72,$A1171+1))),IF(E1171&lt;=0,0,MAX(0,(B1171/E1171)*I1171/INDEX(Surface_Engine!$B$12:$B$72,$A1171+1)-F1171/INDEX(Surface_Engine!$B$12:$B$72,$A1171+1))),IF($A1171&lt;$Q$1140,MAX(0,-Assumptions!$B$22*(F1171/INDEX(Surface_Engine!$B$12:$B$72,$A1171+1))),0)))+2*Assumptions!$B$27*(IF(C1171&lt;=0,0,MAX(0,(B1171/C1171)*G1171/INDEX(Surface_Engine!$B$12:$B$72,$A1171+1)-F1171/INDEX(Surface_Engine!$B$12:$B$72,$A1171+1))))*(MAX(0,J1171/INDEX(Surface_Engine!$B$12:$B$72,$A1171+1)-(F1171/INDEX(Surface_Engine!$B$12:$B$72,$A1171+1))))+2*Assumptions!$B$28*(MAX(IF(D1171&lt;=0,0,MAX(0,(B1171/D1171)*H1171/INDEX(Surface_Engine!$B$12:$B$72,$A1171+1)-F1171/INDEX(Surface_Engine!$B$12:$B$72,$A1171+1))),IF(E1171&lt;=0,0,MAX(0,(B1171/E1171)*I1171/INDEX(Surface_Engine!$B$12:$B$72,$A1171+1)-F1171/INDEX(Surface_Engine!$B$12:$B$72,$A1171+1))),IF($A1171&lt;$Q$1140,MAX(0,-Assumptions!$B$22*(F1171/INDEX(Surface_Engine!$B$12:$B$72,$A1171+1))),0)))*(MAX(0,J1171/INDEX(Surface_Engine!$B$12:$B$72,$A1171+1)-(F1171/INDEX(Surface_Engine!$B$12:$B$72,$A1171+1)))))</f>
        <v>1153.28086406047</v>
      </c>
      <c r="L1171" s="48" t="n">
        <f aca="false">K1171*INDEX(Surface_Engine!$B$12:$B$72,$A1171+1)+L1172</f>
        <v>1692.78686784702</v>
      </c>
      <c r="M1171" s="48" t="n">
        <f aca="false">M1170+B1170*(IF($A1170&lt;$Q$1140,(Surface_Engine!L246*12)-(Surface_Engine!L246*12)*INDEX(Surface_Engine!$F$12:$F$72,$A1170+1)-INDEX(Surface_Engine!$D$12:$D$72,$A1170+1),-(1000*12*INDEX(Surface_Engine!$C$12:$C$72,$A1170+1)/(1+Assumptions!$B$10)^15+INDEX(Surface_Engine!$D$12:$D$72,$A1170+1))))*INDEX(Surface_Engine!$B$12:$B$72,$A1170+1)</f>
        <v>3841.52583175274</v>
      </c>
      <c r="N1171" s="12" t="n">
        <f aca="false">IF(B1171&lt;=0,0,MAX(0,(K1171+Assumptions!$B$29*L1171/INDEX(Surface_Engine!$B$12:$B$72,$A1171+1)-(M1171/INDEX(Surface_Engine!$B$12:$B$72,$A1171+1)-(F1171/INDEX(Surface_Engine!$B$12:$B$72,$A1171+1))))/B1171))</f>
        <v>0</v>
      </c>
    </row>
    <row r="1172" customFormat="false" ht="15" hidden="false" customHeight="true" outlineLevel="0" collapsed="false">
      <c r="A1172" s="1" t="n">
        <v>30</v>
      </c>
      <c r="B1172" s="32" t="n">
        <f aca="false">INDEX(Surface_Engine!$Q$12:$Q$72,$A1172+1)*IF($A1172&lt;$Q$1140,INDEX(Surface_Engine!$E$12:$E$72,$A1172+1),INDEX(Surface_Engine!$E$12:$E$72,$Q$1140+1))</f>
        <v>0.0737962120151955</v>
      </c>
      <c r="C1172" s="32" t="n">
        <f aca="false">INDEX(Panel_Reserving!$F$8:$F$68,$A1172+1)*IF($A1172&lt;$Q$1140,INDEX(Surface_Engine!$E$12:$E$72,$A1172+1),INDEX(Surface_Engine!$E$12:$E$72,$Q$1140+1))</f>
        <v>0.122964743837997</v>
      </c>
      <c r="D1172" s="32" t="n">
        <f aca="false">INDEX(Surface_Engine!$Q$12:$Q$72,$A1172+1)*IF($A1172&lt;$Q$1140,INDEX(Surface_Engine!$Y$12:$Y$72,$A1172+1),INDEX(Surface_Engine!$Y$12:$Y$72,$Q$1140+1))</f>
        <v>0.0668504278593969</v>
      </c>
      <c r="E1172" s="32" t="n">
        <f aca="false">INDEX(Surface_Engine!$Q$12:$Q$72,$A1172+1)*IF($A1172&lt;$Q$1140,INDEX(Surface_Engine!$Z$12:$Z$72,$A1172+1),INDEX(Surface_Engine!$Z$12:$Z$72,$Q$1140+1))</f>
        <v>0.0813889216871899</v>
      </c>
      <c r="F1172" s="48" t="n">
        <f aca="false">B1172*(IF($A1172&lt;$Q$1140,INDEX(Surface_Engine!$D$12:$D$72,$A1172+1)+(Surface_Engine!L246*12)*INDEX(Surface_Engine!$F$12:$F$72,$A1172+1)-(Surface_Engine!L246*12),1000*12*INDEX(Surface_Engine!$C$12:$C$72,$A1172+1)/(1+Assumptions!$B$10)^15+INDEX(Surface_Engine!$D$12:$D$72,$A1172+1)))*INDEX(Surface_Engine!$B$12:$B$72,$A1172+1)+F1173</f>
        <v>1858.8737117008</v>
      </c>
      <c r="G1172" s="48" t="n">
        <f aca="false">C1172*(IF($A1172&lt;$Q$1140,INDEX(Surface_Engine!$D$12:$D$72,$A1172+1)+(Surface_Engine!L246*12)*INDEX(Surface_Engine!$F$12:$F$72,$A1172+1)-(Surface_Engine!L246*12),1000*12*INDEX(Surface_Engine!$C$12:$C$72,$A1172+1)/(1+Assumptions!$B$10)^15+INDEX(Surface_Engine!$D$12:$D$72,$A1172+1)))*INDEX(Surface_Engine!$B$12:$B$72,$A1172+1)+G1173</f>
        <v>3681.4968878871</v>
      </c>
      <c r="H1172" s="48" t="n">
        <f aca="false">D1172*(IF($A1172&lt;$Q$1140,INDEX(Surface_Engine!$D$12:$D$72,$A1172+1)+(Surface_Engine!L246*12)*INDEX(Surface_Engine!$F$12:$F$72,$A1172+1)-(Surface_Engine!L246*12),1000*12*INDEX(Surface_Engine!$C$12:$C$72,$A1172+1)/(1+Assumptions!$B$10)^15+INDEX(Surface_Engine!$D$12:$D$72,$A1172+1)))*INDEX(Surface_Engine!$B$12:$B$72,$A1172+1)+H1173</f>
        <v>1683.9143849036</v>
      </c>
      <c r="I1172" s="48" t="n">
        <f aca="false">E1172*(IF($A1172&lt;$Q$1140,INDEX(Surface_Engine!$D$12:$D$72,$A1172+1)+(Surface_Engine!L246*12)*INDEX(Surface_Engine!$F$12:$F$72,$A1172+1)-(Surface_Engine!L246*12),1000*12*INDEX(Surface_Engine!$C$12:$C$72,$A1172+1)/(1+Assumptions!$B$10)^15+INDEX(Surface_Engine!$D$12:$D$72,$A1172+1)))*INDEX(Surface_Engine!$B$12:$B$72,$A1172+1)+I1173</f>
        <v>2050.12862878165</v>
      </c>
      <c r="J1172" s="48" t="n">
        <f aca="false">B1172*(IF($A1172&lt;$Q$1140,INDEX(Surface_Engine!$D$12:$D$72,$A1172+1)*(1+Assumptions!$B$24)+(Surface_Engine!L246*12)*INDEX(Surface_Engine!$F$12:$F$72,$A1172+1)-(Surface_Engine!L246*12),1000*12*INDEX(Surface_Engine!$C$12:$C$72,$A1172+1)/(1+Assumptions!$B$10)^15+INDEX(Surface_Engine!$D$12:$D$72,$A1172+1)*(1+Assumptions!$B$24)))*INDEX(Surface_Engine!$B$12:$B$72,$A1172+1)+J1173</f>
        <v>1860.85688470343</v>
      </c>
      <c r="K1172" s="12" t="n">
        <f aca="false">SQRT((IF(C1172&lt;=0,0,MAX(0,(B1172/C1172)*G1172/INDEX(Surface_Engine!$B$12:$B$72,$A1172+1)-F1172/INDEX(Surface_Engine!$B$12:$B$72,$A1172+1))))^2+(MAX(IF(D1172&lt;=0,0,MAX(0,(B1172/D1172)*H1172/INDEX(Surface_Engine!$B$12:$B$72,$A1172+1)-F1172/INDEX(Surface_Engine!$B$12:$B$72,$A1172+1))),IF(E1172&lt;=0,0,MAX(0,(B1172/E1172)*I1172/INDEX(Surface_Engine!$B$12:$B$72,$A1172+1)-F1172/INDEX(Surface_Engine!$B$12:$B$72,$A1172+1))),IF($A1172&lt;$Q$1140,MAX(0,-Assumptions!$B$22*(F1172/INDEX(Surface_Engine!$B$12:$B$72,$A1172+1))),0)))^2+(MAX(0,J1172/INDEX(Surface_Engine!$B$12:$B$72,$A1172+1)-(F1172/INDEX(Surface_Engine!$B$12:$B$72,$A1172+1))))^2+2*Assumptions!$B$26*(IF(C1172&lt;=0,0,MAX(0,(B1172/C1172)*G1172/INDEX(Surface_Engine!$B$12:$B$72,$A1172+1)-F1172/INDEX(Surface_Engine!$B$12:$B$72,$A1172+1))))*(MAX(IF(D1172&lt;=0,0,MAX(0,(B1172/D1172)*H1172/INDEX(Surface_Engine!$B$12:$B$72,$A1172+1)-F1172/INDEX(Surface_Engine!$B$12:$B$72,$A1172+1))),IF(E1172&lt;=0,0,MAX(0,(B1172/E1172)*I1172/INDEX(Surface_Engine!$B$12:$B$72,$A1172+1)-F1172/INDEX(Surface_Engine!$B$12:$B$72,$A1172+1))),IF($A1172&lt;$Q$1140,MAX(0,-Assumptions!$B$22*(F1172/INDEX(Surface_Engine!$B$12:$B$72,$A1172+1))),0)))+2*Assumptions!$B$27*(IF(C1172&lt;=0,0,MAX(0,(B1172/C1172)*G1172/INDEX(Surface_Engine!$B$12:$B$72,$A1172+1)-F1172/INDEX(Surface_Engine!$B$12:$B$72,$A1172+1))))*(MAX(0,J1172/INDEX(Surface_Engine!$B$12:$B$72,$A1172+1)-(F1172/INDEX(Surface_Engine!$B$12:$B$72,$A1172+1))))+2*Assumptions!$B$28*(MAX(IF(D1172&lt;=0,0,MAX(0,(B1172/D1172)*H1172/INDEX(Surface_Engine!$B$12:$B$72,$A1172+1)-F1172/INDEX(Surface_Engine!$B$12:$B$72,$A1172+1))),IF(E1172&lt;=0,0,MAX(0,(B1172/E1172)*I1172/INDEX(Surface_Engine!$B$12:$B$72,$A1172+1)-F1172/INDEX(Surface_Engine!$B$12:$B$72,$A1172+1))),IF($A1172&lt;$Q$1140,MAX(0,-Assumptions!$B$22*(F1172/INDEX(Surface_Engine!$B$12:$B$72,$A1172+1))),0)))*(MAX(0,J1172/INDEX(Surface_Engine!$B$12:$B$72,$A1172+1)-(F1172/INDEX(Surface_Engine!$B$12:$B$72,$A1172+1)))))</f>
        <v>898.946936833661</v>
      </c>
      <c r="L1172" s="48" t="n">
        <f aca="false">K1172*INDEX(Surface_Engine!$B$12:$B$72,$A1172+1)+L1173</f>
        <v>1227.82131602459</v>
      </c>
      <c r="M1172" s="48" t="n">
        <f aca="false">M1171+B1171*(IF($A1171&lt;$Q$1140,(Surface_Engine!L246*12)-(Surface_Engine!L246*12)*INDEX(Surface_Engine!$F$12:$F$72,$A1171+1)-INDEX(Surface_Engine!$D$12:$D$72,$A1171+1),-(1000*12*INDEX(Surface_Engine!$C$12:$C$72,$A1171+1)/(1+Assumptions!$B$10)^15+INDEX(Surface_Engine!$D$12:$D$72,$A1171+1))))*INDEX(Surface_Engine!$B$12:$B$72,$A1171+1)</f>
        <v>3242.87786826261</v>
      </c>
      <c r="N1172" s="12" t="n">
        <f aca="false">IF(B1172&lt;=0,0,MAX(0,(K1172+Assumptions!$B$29*L1172/INDEX(Surface_Engine!$B$12:$B$72,$A1172+1)-(M1172/INDEX(Surface_Engine!$B$12:$B$72,$A1172+1)-(F1172/INDEX(Surface_Engine!$B$12:$B$72,$A1172+1))))/B1172))</f>
        <v>0</v>
      </c>
    </row>
    <row r="1173" customFormat="false" ht="15" hidden="false" customHeight="true" outlineLevel="0" collapsed="false">
      <c r="A1173" s="1" t="n">
        <v>31</v>
      </c>
      <c r="B1173" s="32" t="n">
        <f aca="false">INDEX(Surface_Engine!$Q$12:$Q$72,$A1173+1)*IF($A1173&lt;$Q$1140,INDEX(Surface_Engine!$E$12:$E$72,$A1173+1),INDEX(Surface_Engine!$E$12:$E$72,$Q$1140+1))</f>
        <v>0.0579261051845057</v>
      </c>
      <c r="C1173" s="32" t="n">
        <f aca="false">INDEX(Panel_Reserving!$F$8:$F$68,$A1173+1)*IF($A1173&lt;$Q$1140,INDEX(Surface_Engine!$E$12:$E$72,$A1173+1),INDEX(Surface_Engine!$E$12:$E$72,$Q$1140+1))</f>
        <v>0.101809580798294</v>
      </c>
      <c r="D1173" s="32" t="n">
        <f aca="false">INDEX(Surface_Engine!$Q$12:$Q$72,$A1173+1)*IF($A1173&lt;$Q$1140,INDEX(Surface_Engine!$Y$12:$Y$72,$A1173+1),INDEX(Surface_Engine!$Y$12:$Y$72,$Q$1140+1))</f>
        <v>0.0524740336945109</v>
      </c>
      <c r="E1173" s="32" t="n">
        <f aca="false">INDEX(Surface_Engine!$Q$12:$Q$72,$A1173+1)*IF($A1173&lt;$Q$1140,INDEX(Surface_Engine!$Z$12:$Z$72,$A1173+1),INDEX(Surface_Engine!$Z$12:$Z$72,$Q$1140+1))</f>
        <v>0.0638859788295758</v>
      </c>
      <c r="F1173" s="48" t="n">
        <f aca="false">B1173*(IF($A1173&lt;$Q$1140,INDEX(Surface_Engine!$D$12:$D$72,$A1173+1)+(Surface_Engine!L246*12)*INDEX(Surface_Engine!$F$12:$F$72,$A1173+1)-(Surface_Engine!L246*12),1000*12*INDEX(Surface_Engine!$C$12:$C$72,$A1173+1)/(1+Assumptions!$B$10)^15+INDEX(Surface_Engine!$D$12:$D$72,$A1173+1)))*INDEX(Surface_Engine!$B$12:$B$72,$A1173+1)+F1174</f>
        <v>1388.49479582658</v>
      </c>
      <c r="G1173" s="48" t="n">
        <f aca="false">C1173*(IF($A1173&lt;$Q$1140,INDEX(Surface_Engine!$D$12:$D$72,$A1173+1)+(Surface_Engine!L246*12)*INDEX(Surface_Engine!$F$12:$F$72,$A1173+1)-(Surface_Engine!L246*12),1000*12*INDEX(Surface_Engine!$C$12:$C$72,$A1173+1)/(1+Assumptions!$B$10)^15+INDEX(Surface_Engine!$D$12:$D$72,$A1173+1)))*INDEX(Surface_Engine!$B$12:$B$72,$A1173+1)+G1174</f>
        <v>2897.71651057779</v>
      </c>
      <c r="H1173" s="48" t="n">
        <f aca="false">D1173*(IF($A1173&lt;$Q$1140,INDEX(Surface_Engine!$D$12:$D$72,$A1173+1)+(Surface_Engine!L246*12)*INDEX(Surface_Engine!$F$12:$F$72,$A1173+1)-(Surface_Engine!L246*12),1000*12*INDEX(Surface_Engine!$C$12:$C$72,$A1173+1)/(1+Assumptions!$B$10)^15+INDEX(Surface_Engine!$D$12:$D$72,$A1173+1)))*INDEX(Surface_Engine!$B$12:$B$72,$A1173+1)+H1174</f>
        <v>1257.80807234984</v>
      </c>
      <c r="I1173" s="48" t="n">
        <f aca="false">E1173*(IF($A1173&lt;$Q$1140,INDEX(Surface_Engine!$D$12:$D$72,$A1173+1)+(Surface_Engine!L246*12)*INDEX(Surface_Engine!$F$12:$F$72,$A1173+1)-(Surface_Engine!L246*12),1000*12*INDEX(Surface_Engine!$C$12:$C$72,$A1173+1)/(1+Assumptions!$B$10)^15+INDEX(Surface_Engine!$D$12:$D$72,$A1173+1)))*INDEX(Surface_Engine!$B$12:$B$72,$A1173+1)+I1174</f>
        <v>1531.35359003699</v>
      </c>
      <c r="J1173" s="48" t="n">
        <f aca="false">B1173*(IF($A1173&lt;$Q$1140,INDEX(Surface_Engine!$D$12:$D$72,$A1173+1)*(1+Assumptions!$B$24)+(Surface_Engine!L246*12)*INDEX(Surface_Engine!$F$12:$F$72,$A1173+1)-(Surface_Engine!L246*12),1000*12*INDEX(Surface_Engine!$C$12:$C$72,$A1173+1)/(1+Assumptions!$B$10)^15+INDEX(Surface_Engine!$D$12:$D$72,$A1173+1)*(1+Assumptions!$B$24)))*INDEX(Surface_Engine!$B$12:$B$72,$A1173+1)+J1174</f>
        <v>1389.9822983021</v>
      </c>
      <c r="K1173" s="12" t="n">
        <f aca="false">SQRT((IF(C1173&lt;=0,0,MAX(0,(B1173/C1173)*G1173/INDEX(Surface_Engine!$B$12:$B$72,$A1173+1)-F1173/INDEX(Surface_Engine!$B$12:$B$72,$A1173+1))))^2+(MAX(IF(D1173&lt;=0,0,MAX(0,(B1173/D1173)*H1173/INDEX(Surface_Engine!$B$12:$B$72,$A1173+1)-F1173/INDEX(Surface_Engine!$B$12:$B$72,$A1173+1))),IF(E1173&lt;=0,0,MAX(0,(B1173/E1173)*I1173/INDEX(Surface_Engine!$B$12:$B$72,$A1173+1)-F1173/INDEX(Surface_Engine!$B$12:$B$72,$A1173+1))),IF($A1173&lt;$Q$1140,MAX(0,-Assumptions!$B$22*(F1173/INDEX(Surface_Engine!$B$12:$B$72,$A1173+1))),0)))^2+(MAX(0,J1173/INDEX(Surface_Engine!$B$12:$B$72,$A1173+1)-(F1173/INDEX(Surface_Engine!$B$12:$B$72,$A1173+1))))^2+2*Assumptions!$B$26*(IF(C1173&lt;=0,0,MAX(0,(B1173/C1173)*G1173/INDEX(Surface_Engine!$B$12:$B$72,$A1173+1)-F1173/INDEX(Surface_Engine!$B$12:$B$72,$A1173+1))))*(MAX(IF(D1173&lt;=0,0,MAX(0,(B1173/D1173)*H1173/INDEX(Surface_Engine!$B$12:$B$72,$A1173+1)-F1173/INDEX(Surface_Engine!$B$12:$B$72,$A1173+1))),IF(E1173&lt;=0,0,MAX(0,(B1173/E1173)*I1173/INDEX(Surface_Engine!$B$12:$B$72,$A1173+1)-F1173/INDEX(Surface_Engine!$B$12:$B$72,$A1173+1))),IF($A1173&lt;$Q$1140,MAX(0,-Assumptions!$B$22*(F1173/INDEX(Surface_Engine!$B$12:$B$72,$A1173+1))),0)))+2*Assumptions!$B$27*(IF(C1173&lt;=0,0,MAX(0,(B1173/C1173)*G1173/INDEX(Surface_Engine!$B$12:$B$72,$A1173+1)-F1173/INDEX(Surface_Engine!$B$12:$B$72,$A1173+1))))*(MAX(0,J1173/INDEX(Surface_Engine!$B$12:$B$72,$A1173+1)-(F1173/INDEX(Surface_Engine!$B$12:$B$72,$A1173+1))))+2*Assumptions!$B$28*(MAX(IF(D1173&lt;=0,0,MAX(0,(B1173/D1173)*H1173/INDEX(Surface_Engine!$B$12:$B$72,$A1173+1)-F1173/INDEX(Surface_Engine!$B$12:$B$72,$A1173+1))),IF(E1173&lt;=0,0,MAX(0,(B1173/E1173)*I1173/INDEX(Surface_Engine!$B$12:$B$72,$A1173+1)-F1173/INDEX(Surface_Engine!$B$12:$B$72,$A1173+1))),IF($A1173&lt;$Q$1140,MAX(0,-Assumptions!$B$22*(F1173/INDEX(Surface_Engine!$B$12:$B$72,$A1173+1))),0)))*(MAX(0,J1173/INDEX(Surface_Engine!$B$12:$B$72,$A1173+1)-(F1173/INDEX(Surface_Engine!$B$12:$B$72,$A1173+1)))))</f>
        <v>688.741210495651</v>
      </c>
      <c r="L1173" s="48" t="n">
        <f aca="false">K1173*INDEX(Surface_Engine!$B$12:$B$72,$A1173+1)+L1174</f>
        <v>876.775930121121</v>
      </c>
      <c r="M1173" s="48" t="n">
        <f aca="false">M1172+B1172*(IF($A1172&lt;$Q$1140,(Surface_Engine!L246*12)-(Surface_Engine!L246*12)*INDEX(Surface_Engine!$F$12:$F$72,$A1172+1)-INDEX(Surface_Engine!$D$12:$D$72,$A1172+1),-(1000*12*INDEX(Surface_Engine!$C$12:$C$72,$A1172+1)/(1+Assumptions!$B$10)^15+INDEX(Surface_Engine!$D$12:$D$72,$A1172+1))))*INDEX(Surface_Engine!$B$12:$B$72,$A1172+1)</f>
        <v>2772.49895238839</v>
      </c>
      <c r="N1173" s="12" t="n">
        <f aca="false">IF(B1173&lt;=0,0,MAX(0,(K1173+Assumptions!$B$29*L1173/INDEX(Surface_Engine!$B$12:$B$72,$A1173+1)-(M1173/INDEX(Surface_Engine!$B$12:$B$72,$A1173+1)-(F1173/INDEX(Surface_Engine!$B$12:$B$72,$A1173+1))))/B1173))</f>
        <v>0</v>
      </c>
    </row>
    <row r="1174" customFormat="false" ht="15" hidden="false" customHeight="true" outlineLevel="0" collapsed="false">
      <c r="A1174" s="1" t="n">
        <v>32</v>
      </c>
      <c r="B1174" s="32" t="n">
        <f aca="false">INDEX(Surface_Engine!$Q$12:$Q$72,$A1174+1)*IF($A1174&lt;$Q$1140,INDEX(Surface_Engine!$E$12:$E$72,$A1174+1),INDEX(Surface_Engine!$E$12:$E$72,$Q$1140+1))</f>
        <v>0.0448252331954282</v>
      </c>
      <c r="C1174" s="32" t="n">
        <f aca="false">INDEX(Panel_Reserving!$F$8:$F$68,$A1174+1)*IF($A1174&lt;$Q$1140,INDEX(Surface_Engine!$E$12:$E$72,$A1174+1),INDEX(Surface_Engine!$E$12:$E$72,$Q$1140+1))</f>
        <v>0.083388949463918</v>
      </c>
      <c r="D1174" s="32" t="n">
        <f aca="false">INDEX(Surface_Engine!$Q$12:$Q$72,$A1174+1)*IF($A1174&lt;$Q$1140,INDEX(Surface_Engine!$Y$12:$Y$72,$A1174+1),INDEX(Surface_Engine!$Y$12:$Y$72,$Q$1140+1))</f>
        <v>0.040606230810256</v>
      </c>
      <c r="E1174" s="32" t="n">
        <f aca="false">INDEX(Surface_Engine!$Q$12:$Q$72,$A1174+1)*IF($A1174&lt;$Q$1140,INDEX(Surface_Engine!$Z$12:$Z$72,$A1174+1),INDEX(Surface_Engine!$Z$12:$Z$72,$Q$1140+1))</f>
        <v>0.0494371905349492</v>
      </c>
      <c r="F1174" s="48" t="n">
        <f aca="false">B1174*(IF($A1174&lt;$Q$1140,INDEX(Surface_Engine!$D$12:$D$72,$A1174+1)+(Surface_Engine!L246*12)*INDEX(Surface_Engine!$F$12:$F$72,$A1174+1)-(Surface_Engine!L246*12),1000*12*INDEX(Surface_Engine!$C$12:$C$72,$A1174+1)/(1+Assumptions!$B$10)^15+INDEX(Surface_Engine!$D$12:$D$72,$A1174+1)))*INDEX(Surface_Engine!$B$12:$B$72,$A1174+1)+F1175</f>
        <v>1023.5998278145</v>
      </c>
      <c r="G1174" s="48" t="n">
        <f aca="false">C1174*(IF($A1174&lt;$Q$1140,INDEX(Surface_Engine!$D$12:$D$72,$A1174+1)+(Surface_Engine!L246*12)*INDEX(Surface_Engine!$F$12:$F$72,$A1174+1)-(Surface_Engine!L246*12),1000*12*INDEX(Surface_Engine!$C$12:$C$72,$A1174+1)/(1+Assumptions!$B$10)^15+INDEX(Surface_Engine!$D$12:$D$72,$A1174+1)))*INDEX(Surface_Engine!$B$12:$B$72,$A1174+1)+G1175</f>
        <v>2256.38556643114</v>
      </c>
      <c r="H1174" s="48" t="n">
        <f aca="false">D1174*(IF($A1174&lt;$Q$1140,INDEX(Surface_Engine!$D$12:$D$72,$A1174+1)+(Surface_Engine!L246*12)*INDEX(Surface_Engine!$F$12:$F$72,$A1174+1)-(Surface_Engine!L246*12),1000*12*INDEX(Surface_Engine!$C$12:$C$72,$A1174+1)/(1+Assumptions!$B$10)^15+INDEX(Surface_Engine!$D$12:$D$72,$A1174+1)))*INDEX(Surface_Engine!$B$12:$B$72,$A1174+1)+H1175</f>
        <v>927.257437442918</v>
      </c>
      <c r="I1174" s="48" t="n">
        <f aca="false">E1174*(IF($A1174&lt;$Q$1140,INDEX(Surface_Engine!$D$12:$D$72,$A1174+1)+(Surface_Engine!L246*12)*INDEX(Surface_Engine!$F$12:$F$72,$A1174+1)-(Surface_Engine!L246*12),1000*12*INDEX(Surface_Engine!$C$12:$C$72,$A1174+1)/(1+Assumptions!$B$10)^15+INDEX(Surface_Engine!$D$12:$D$72,$A1174+1)))*INDEX(Surface_Engine!$B$12:$B$72,$A1174+1)+I1175</f>
        <v>1128.91548156782</v>
      </c>
      <c r="J1174" s="48" t="n">
        <f aca="false">B1174*(IF($A1174&lt;$Q$1140,INDEX(Surface_Engine!$D$12:$D$72,$A1174+1)*(1+Assumptions!$B$24)+(Surface_Engine!L246*12)*INDEX(Surface_Engine!$F$12:$F$72,$A1174+1)-(Surface_Engine!L246*12),1000*12*INDEX(Surface_Engine!$C$12:$C$72,$A1174+1)/(1+Assumptions!$B$10)^15+INDEX(Surface_Engine!$D$12:$D$72,$A1174+1)*(1+Assumptions!$B$24)))*INDEX(Surface_Engine!$B$12:$B$72,$A1174+1)+J1175</f>
        <v>1024.70095051577</v>
      </c>
      <c r="K1174" s="12" t="n">
        <f aca="false">SQRT((IF(C1174&lt;=0,0,MAX(0,(B1174/C1174)*G1174/INDEX(Surface_Engine!$B$12:$B$72,$A1174+1)-F1174/INDEX(Surface_Engine!$B$12:$B$72,$A1174+1))))^2+(MAX(IF(D1174&lt;=0,0,MAX(0,(B1174/D1174)*H1174/INDEX(Surface_Engine!$B$12:$B$72,$A1174+1)-F1174/INDEX(Surface_Engine!$B$12:$B$72,$A1174+1))),IF(E1174&lt;=0,0,MAX(0,(B1174/E1174)*I1174/INDEX(Surface_Engine!$B$12:$B$72,$A1174+1)-F1174/INDEX(Surface_Engine!$B$12:$B$72,$A1174+1))),IF($A1174&lt;$Q$1140,MAX(0,-Assumptions!$B$22*(F1174/INDEX(Surface_Engine!$B$12:$B$72,$A1174+1))),0)))^2+(MAX(0,J1174/INDEX(Surface_Engine!$B$12:$B$72,$A1174+1)-(F1174/INDEX(Surface_Engine!$B$12:$B$72,$A1174+1))))^2+2*Assumptions!$B$26*(IF(C1174&lt;=0,0,MAX(0,(B1174/C1174)*G1174/INDEX(Surface_Engine!$B$12:$B$72,$A1174+1)-F1174/INDEX(Surface_Engine!$B$12:$B$72,$A1174+1))))*(MAX(IF(D1174&lt;=0,0,MAX(0,(B1174/D1174)*H1174/INDEX(Surface_Engine!$B$12:$B$72,$A1174+1)-F1174/INDEX(Surface_Engine!$B$12:$B$72,$A1174+1))),IF(E1174&lt;=0,0,MAX(0,(B1174/E1174)*I1174/INDEX(Surface_Engine!$B$12:$B$72,$A1174+1)-F1174/INDEX(Surface_Engine!$B$12:$B$72,$A1174+1))),IF($A1174&lt;$Q$1140,MAX(0,-Assumptions!$B$22*(F1174/INDEX(Surface_Engine!$B$12:$B$72,$A1174+1))),0)))+2*Assumptions!$B$27*(IF(C1174&lt;=0,0,MAX(0,(B1174/C1174)*G1174/INDEX(Surface_Engine!$B$12:$B$72,$A1174+1)-F1174/INDEX(Surface_Engine!$B$12:$B$72,$A1174+1))))*(MAX(0,J1174/INDEX(Surface_Engine!$B$12:$B$72,$A1174+1)-(F1174/INDEX(Surface_Engine!$B$12:$B$72,$A1174+1))))+2*Assumptions!$B$28*(MAX(IF(D1174&lt;=0,0,MAX(0,(B1174/D1174)*H1174/INDEX(Surface_Engine!$B$12:$B$72,$A1174+1)-F1174/INDEX(Surface_Engine!$B$12:$B$72,$A1174+1))),IF(E1174&lt;=0,0,MAX(0,(B1174/E1174)*I1174/INDEX(Surface_Engine!$B$12:$B$72,$A1174+1)-F1174/INDEX(Surface_Engine!$B$12:$B$72,$A1174+1))),IF($A1174&lt;$Q$1140,MAX(0,-Assumptions!$B$22*(F1174/INDEX(Surface_Engine!$B$12:$B$72,$A1174+1))),0)))*(MAX(0,J1174/INDEX(Surface_Engine!$B$12:$B$72,$A1174+1)-(F1174/INDEX(Surface_Engine!$B$12:$B$72,$A1174+1)))))</f>
        <v>517.37293174955</v>
      </c>
      <c r="L1174" s="48" t="n">
        <f aca="false">K1174*INDEX(Surface_Engine!$B$12:$B$72,$A1174+1)+L1175</f>
        <v>616.195110417957</v>
      </c>
      <c r="M1174" s="48" t="n">
        <f aca="false">M1173+B1173*(IF($A1173&lt;$Q$1140,(Surface_Engine!L246*12)-(Surface_Engine!L246*12)*INDEX(Surface_Engine!$F$12:$F$72,$A1173+1)-INDEX(Surface_Engine!$D$12:$D$72,$A1173+1),-(1000*12*INDEX(Surface_Engine!$C$12:$C$72,$A1173+1)/(1+Assumptions!$B$10)^15+INDEX(Surface_Engine!$D$12:$D$72,$A1173+1))))*INDEX(Surface_Engine!$B$12:$B$72,$A1173+1)</f>
        <v>2407.60398437631</v>
      </c>
      <c r="N1174" s="12" t="n">
        <f aca="false">IF(B1174&lt;=0,0,MAX(0,(K1174+Assumptions!$B$29*L1174/INDEX(Surface_Engine!$B$12:$B$72,$A1174+1)-(M1174/INDEX(Surface_Engine!$B$12:$B$72,$A1174+1)-(F1174/INDEX(Surface_Engine!$B$12:$B$72,$A1174+1))))/B1174))</f>
        <v>0</v>
      </c>
    </row>
    <row r="1175" customFormat="false" ht="15" hidden="false" customHeight="true" outlineLevel="0" collapsed="false">
      <c r="A1175" s="1" t="n">
        <v>33</v>
      </c>
      <c r="B1175" s="32" t="n">
        <f aca="false">INDEX(Surface_Engine!$Q$12:$Q$72,$A1175+1)*IF($A1175&lt;$Q$1140,INDEX(Surface_Engine!$E$12:$E$72,$A1175+1),INDEX(Surface_Engine!$E$12:$E$72,$Q$1140+1))</f>
        <v>0.0341342558595101</v>
      </c>
      <c r="C1175" s="32" t="n">
        <f aca="false">INDEX(Panel_Reserving!$F$8:$F$68,$A1175+1)*IF($A1175&lt;$Q$1140,INDEX(Surface_Engine!$E$12:$E$72,$A1175+1),INDEX(Surface_Engine!$E$12:$E$72,$Q$1140+1))</f>
        <v>0.0674781009487885</v>
      </c>
      <c r="D1175" s="32" t="n">
        <f aca="false">INDEX(Surface_Engine!$Q$12:$Q$72,$A1175+1)*IF($A1175&lt;$Q$1140,INDEX(Surface_Engine!$Y$12:$Y$72,$A1175+1),INDEX(Surface_Engine!$Y$12:$Y$72,$Q$1140+1))</f>
        <v>0.0309215005290584</v>
      </c>
      <c r="E1175" s="32" t="n">
        <f aca="false">INDEX(Surface_Engine!$Q$12:$Q$72,$A1175+1)*IF($A1175&lt;$Q$1140,INDEX(Surface_Engine!$Z$12:$Z$72,$A1175+1),INDEX(Surface_Engine!$Z$12:$Z$72,$Q$1140+1))</f>
        <v>0.0376462449919261</v>
      </c>
      <c r="F1175" s="48" t="n">
        <f aca="false">B1175*(IF($A1175&lt;$Q$1140,INDEX(Surface_Engine!$D$12:$D$72,$A1175+1)+(Surface_Engine!L246*12)*INDEX(Surface_Engine!$F$12:$F$72,$A1175+1)-(Surface_Engine!L246*12),1000*12*INDEX(Surface_Engine!$C$12:$C$72,$A1175+1)/(1+Assumptions!$B$10)^15+INDEX(Surface_Engine!$D$12:$D$72,$A1175+1)))*INDEX(Surface_Engine!$B$12:$B$72,$A1175+1)+F1176</f>
        <v>744.632795697942</v>
      </c>
      <c r="G1175" s="48" t="n">
        <f aca="false">C1175*(IF($A1175&lt;$Q$1140,INDEX(Surface_Engine!$D$12:$D$72,$A1175+1)+(Surface_Engine!L246*12)*INDEX(Surface_Engine!$F$12:$F$72,$A1175+1)-(Surface_Engine!L246*12),1000*12*INDEX(Surface_Engine!$C$12:$C$72,$A1175+1)/(1+Assumptions!$B$10)^15+INDEX(Surface_Engine!$D$12:$D$72,$A1175+1)))*INDEX(Surface_Engine!$B$12:$B$72,$A1175+1)+G1176</f>
        <v>1737.41966073588</v>
      </c>
      <c r="H1175" s="48" t="n">
        <f aca="false">D1175*(IF($A1175&lt;$Q$1140,INDEX(Surface_Engine!$D$12:$D$72,$A1175+1)+(Surface_Engine!L246*12)*INDEX(Surface_Engine!$F$12:$F$72,$A1175+1)-(Surface_Engine!L246*12),1000*12*INDEX(Surface_Engine!$C$12:$C$72,$A1175+1)/(1+Assumptions!$B$10)^15+INDEX(Surface_Engine!$D$12:$D$72,$A1175+1)))*INDEX(Surface_Engine!$B$12:$B$72,$A1175+1)+H1176</f>
        <v>674.547102502989</v>
      </c>
      <c r="I1175" s="48" t="n">
        <f aca="false">E1175*(IF($A1175&lt;$Q$1140,INDEX(Surface_Engine!$D$12:$D$72,$A1175+1)+(Surface_Engine!L246*12)*INDEX(Surface_Engine!$F$12:$F$72,$A1175+1)-(Surface_Engine!L246*12),1000*12*INDEX(Surface_Engine!$C$12:$C$72,$A1175+1)/(1+Assumptions!$B$10)^15+INDEX(Surface_Engine!$D$12:$D$72,$A1175+1)))*INDEX(Surface_Engine!$B$12:$B$72,$A1175+1)+I1176</f>
        <v>821.24622172062</v>
      </c>
      <c r="J1175" s="48" t="n">
        <f aca="false">B1175*(IF($A1175&lt;$Q$1140,INDEX(Surface_Engine!$D$12:$D$72,$A1175+1)*(1+Assumptions!$B$24)+(Surface_Engine!L246*12)*INDEX(Surface_Engine!$F$12:$F$72,$A1175+1)-(Surface_Engine!L246*12),1000*12*INDEX(Surface_Engine!$C$12:$C$72,$A1175+1)/(1+Assumptions!$B$10)^15+INDEX(Surface_Engine!$D$12:$D$72,$A1175+1)*(1+Assumptions!$B$24)))*INDEX(Surface_Engine!$B$12:$B$72,$A1175+1)+J1176</f>
        <v>745.437093353142</v>
      </c>
      <c r="K1175" s="12" t="n">
        <f aca="false">SQRT((IF(C1175&lt;=0,0,MAX(0,(B1175/C1175)*G1175/INDEX(Surface_Engine!$B$12:$B$72,$A1175+1)-F1175/INDEX(Surface_Engine!$B$12:$B$72,$A1175+1))))^2+(MAX(IF(D1175&lt;=0,0,MAX(0,(B1175/D1175)*H1175/INDEX(Surface_Engine!$B$12:$B$72,$A1175+1)-F1175/INDEX(Surface_Engine!$B$12:$B$72,$A1175+1))),IF(E1175&lt;=0,0,MAX(0,(B1175/E1175)*I1175/INDEX(Surface_Engine!$B$12:$B$72,$A1175+1)-F1175/INDEX(Surface_Engine!$B$12:$B$72,$A1175+1))),IF($A1175&lt;$Q$1140,MAX(0,-Assumptions!$B$22*(F1175/INDEX(Surface_Engine!$B$12:$B$72,$A1175+1))),0)))^2+(MAX(0,J1175/INDEX(Surface_Engine!$B$12:$B$72,$A1175+1)-(F1175/INDEX(Surface_Engine!$B$12:$B$72,$A1175+1))))^2+2*Assumptions!$B$26*(IF(C1175&lt;=0,0,MAX(0,(B1175/C1175)*G1175/INDEX(Surface_Engine!$B$12:$B$72,$A1175+1)-F1175/INDEX(Surface_Engine!$B$12:$B$72,$A1175+1))))*(MAX(IF(D1175&lt;=0,0,MAX(0,(B1175/D1175)*H1175/INDEX(Surface_Engine!$B$12:$B$72,$A1175+1)-F1175/INDEX(Surface_Engine!$B$12:$B$72,$A1175+1))),IF(E1175&lt;=0,0,MAX(0,(B1175/E1175)*I1175/INDEX(Surface_Engine!$B$12:$B$72,$A1175+1)-F1175/INDEX(Surface_Engine!$B$12:$B$72,$A1175+1))),IF($A1175&lt;$Q$1140,MAX(0,-Assumptions!$B$22*(F1175/INDEX(Surface_Engine!$B$12:$B$72,$A1175+1))),0)))+2*Assumptions!$B$27*(IF(C1175&lt;=0,0,MAX(0,(B1175/C1175)*G1175/INDEX(Surface_Engine!$B$12:$B$72,$A1175+1)-F1175/INDEX(Surface_Engine!$B$12:$B$72,$A1175+1))))*(MAX(0,J1175/INDEX(Surface_Engine!$B$12:$B$72,$A1175+1)-(F1175/INDEX(Surface_Engine!$B$12:$B$72,$A1175+1))))+2*Assumptions!$B$28*(MAX(IF(D1175&lt;=0,0,MAX(0,(B1175/D1175)*H1175/INDEX(Surface_Engine!$B$12:$B$72,$A1175+1)-F1175/INDEX(Surface_Engine!$B$12:$B$72,$A1175+1))),IF(E1175&lt;=0,0,MAX(0,(B1175/E1175)*I1175/INDEX(Surface_Engine!$B$12:$B$72,$A1175+1)-F1175/INDEX(Surface_Engine!$B$12:$B$72,$A1175+1))),IF($A1175&lt;$Q$1140,MAX(0,-Assumptions!$B$22*(F1175/INDEX(Surface_Engine!$B$12:$B$72,$A1175+1))),0)))*(MAX(0,J1175/INDEX(Surface_Engine!$B$12:$B$72,$A1175+1)-(F1175/INDEX(Surface_Engine!$B$12:$B$72,$A1175+1)))))</f>
        <v>378.86348667631</v>
      </c>
      <c r="L1175" s="48" t="n">
        <f aca="false">K1175*INDEX(Surface_Engine!$B$12:$B$72,$A1175+1)+L1176</f>
        <v>426.610035442144</v>
      </c>
      <c r="M1175" s="48" t="n">
        <f aca="false">M1174+B1174*(IF($A1174&lt;$Q$1140,(Surface_Engine!L246*12)-(Surface_Engine!L246*12)*INDEX(Surface_Engine!$F$12:$F$72,$A1174+1)-INDEX(Surface_Engine!$D$12:$D$72,$A1174+1),-(1000*12*INDEX(Surface_Engine!$C$12:$C$72,$A1174+1)/(1+Assumptions!$B$10)^15+INDEX(Surface_Engine!$D$12:$D$72,$A1174+1))))*INDEX(Surface_Engine!$B$12:$B$72,$A1174+1)</f>
        <v>2128.63695225975</v>
      </c>
      <c r="N1175" s="12" t="n">
        <f aca="false">IF(B1175&lt;=0,0,MAX(0,(K1175+Assumptions!$B$29*L1175/INDEX(Surface_Engine!$B$12:$B$72,$A1175+1)-(M1175/INDEX(Surface_Engine!$B$12:$B$72,$A1175+1)-(F1175/INDEX(Surface_Engine!$B$12:$B$72,$A1175+1))))/B1175))</f>
        <v>0</v>
      </c>
    </row>
    <row r="1176" customFormat="false" ht="15" hidden="false" customHeight="true" outlineLevel="0" collapsed="false">
      <c r="A1176" s="1" t="n">
        <v>34</v>
      </c>
      <c r="B1176" s="32" t="n">
        <f aca="false">INDEX(Surface_Engine!$Q$12:$Q$72,$A1176+1)*IF($A1176&lt;$Q$1140,INDEX(Surface_Engine!$E$12:$E$72,$A1176+1),INDEX(Surface_Engine!$E$12:$E$72,$Q$1140+1))</f>
        <v>0.025510021798577</v>
      </c>
      <c r="C1176" s="32" t="n">
        <f aca="false">INDEX(Panel_Reserving!$F$8:$F$68,$A1176+1)*IF($A1176&lt;$Q$1140,INDEX(Surface_Engine!$E$12:$E$72,$A1176+1),INDEX(Surface_Engine!$E$12:$E$72,$Q$1140+1))</f>
        <v>0.0538390882463631</v>
      </c>
      <c r="D1176" s="32" t="n">
        <f aca="false">INDEX(Surface_Engine!$Q$12:$Q$72,$A1176+1)*IF($A1176&lt;$Q$1140,INDEX(Surface_Engine!$Y$12:$Y$72,$A1176+1),INDEX(Surface_Engine!$Y$12:$Y$72,$Q$1140+1))</f>
        <v>0.0231089892742227</v>
      </c>
      <c r="E1176" s="32" t="n">
        <f aca="false">INDEX(Surface_Engine!$Q$12:$Q$72,$A1176+1)*IF($A1176&lt;$Q$1140,INDEX(Surface_Engine!$Z$12:$Z$72,$A1176+1),INDEX(Surface_Engine!$Z$12:$Z$72,$Q$1140+1))</f>
        <v>0.0281346848260365</v>
      </c>
      <c r="F1176" s="48" t="n">
        <f aca="false">B1176*(IF($A1176&lt;$Q$1140,INDEX(Surface_Engine!$D$12:$D$72,$A1176+1)+(Surface_Engine!L246*12)*INDEX(Surface_Engine!$F$12:$F$72,$A1176+1)-(Surface_Engine!L246*12),1000*12*INDEX(Surface_Engine!$C$12:$C$72,$A1176+1)/(1+Assumptions!$B$10)^15+INDEX(Surface_Engine!$D$12:$D$72,$A1176+1)))*INDEX(Surface_Engine!$B$12:$B$72,$A1176+1)+F1177</f>
        <v>534.767406074836</v>
      </c>
      <c r="G1176" s="48" t="n">
        <f aca="false">C1176*(IF($A1176&lt;$Q$1140,INDEX(Surface_Engine!$D$12:$D$72,$A1176+1)+(Surface_Engine!L246*12)*INDEX(Surface_Engine!$F$12:$F$72,$A1176+1)-(Surface_Engine!L246*12),1000*12*INDEX(Surface_Engine!$C$12:$C$72,$A1176+1)/(1+Assumptions!$B$10)^15+INDEX(Surface_Engine!$D$12:$D$72,$A1176+1)))*INDEX(Surface_Engine!$B$12:$B$72,$A1176+1)+G1177</f>
        <v>1322.54851179594</v>
      </c>
      <c r="H1176" s="48" t="n">
        <f aca="false">D1176*(IF($A1176&lt;$Q$1140,INDEX(Surface_Engine!$D$12:$D$72,$A1176+1)+(Surface_Engine!L246*12)*INDEX(Surface_Engine!$F$12:$F$72,$A1176+1)-(Surface_Engine!L246*12),1000*12*INDEX(Surface_Engine!$C$12:$C$72,$A1176+1)/(1+Assumptions!$B$10)^15+INDEX(Surface_Engine!$D$12:$D$72,$A1176+1)))*INDEX(Surface_Engine!$B$12:$B$72,$A1176+1)+H1177</f>
        <v>484.434484171104</v>
      </c>
      <c r="I1176" s="48" t="n">
        <f aca="false">E1176*(IF($A1176&lt;$Q$1140,INDEX(Surface_Engine!$D$12:$D$72,$A1176+1)+(Surface_Engine!L246*12)*INDEX(Surface_Engine!$F$12:$F$72,$A1176+1)-(Surface_Engine!L246*12),1000*12*INDEX(Surface_Engine!$C$12:$C$72,$A1176+1)/(1+Assumptions!$B$10)^15+INDEX(Surface_Engine!$D$12:$D$72,$A1176+1)))*INDEX(Surface_Engine!$B$12:$B$72,$A1176+1)+I1177</f>
        <v>589.788301395801</v>
      </c>
      <c r="J1176" s="48" t="n">
        <f aca="false">B1176*(IF($A1176&lt;$Q$1140,INDEX(Surface_Engine!$D$12:$D$72,$A1176+1)*(1+Assumptions!$B$24)+(Surface_Engine!L246*12)*INDEX(Surface_Engine!$F$12:$F$72,$A1176+1)-(Surface_Engine!L246*12),1000*12*INDEX(Surface_Engine!$C$12:$C$72,$A1176+1)/(1+Assumptions!$B$10)^15+INDEX(Surface_Engine!$D$12:$D$72,$A1176+1)*(1+Assumptions!$B$24)))*INDEX(Surface_Engine!$B$12:$B$72,$A1176+1)+J1177</f>
        <v>535.347320949116</v>
      </c>
      <c r="K1176" s="12" t="n">
        <f aca="false">SQRT((IF(C1176&lt;=0,0,MAX(0,(B1176/C1176)*G1176/INDEX(Surface_Engine!$B$12:$B$72,$A1176+1)-F1176/INDEX(Surface_Engine!$B$12:$B$72,$A1176+1))))^2+(MAX(IF(D1176&lt;=0,0,MAX(0,(B1176/D1176)*H1176/INDEX(Surface_Engine!$B$12:$B$72,$A1176+1)-F1176/INDEX(Surface_Engine!$B$12:$B$72,$A1176+1))),IF(E1176&lt;=0,0,MAX(0,(B1176/E1176)*I1176/INDEX(Surface_Engine!$B$12:$B$72,$A1176+1)-F1176/INDEX(Surface_Engine!$B$12:$B$72,$A1176+1))),IF($A1176&lt;$Q$1140,MAX(0,-Assumptions!$B$22*(F1176/INDEX(Surface_Engine!$B$12:$B$72,$A1176+1))),0)))^2+(MAX(0,J1176/INDEX(Surface_Engine!$B$12:$B$72,$A1176+1)-(F1176/INDEX(Surface_Engine!$B$12:$B$72,$A1176+1))))^2+2*Assumptions!$B$26*(IF(C1176&lt;=0,0,MAX(0,(B1176/C1176)*G1176/INDEX(Surface_Engine!$B$12:$B$72,$A1176+1)-F1176/INDEX(Surface_Engine!$B$12:$B$72,$A1176+1))))*(MAX(IF(D1176&lt;=0,0,MAX(0,(B1176/D1176)*H1176/INDEX(Surface_Engine!$B$12:$B$72,$A1176+1)-F1176/INDEX(Surface_Engine!$B$12:$B$72,$A1176+1))),IF(E1176&lt;=0,0,MAX(0,(B1176/E1176)*I1176/INDEX(Surface_Engine!$B$12:$B$72,$A1176+1)-F1176/INDEX(Surface_Engine!$B$12:$B$72,$A1176+1))),IF($A1176&lt;$Q$1140,MAX(0,-Assumptions!$B$22*(F1176/INDEX(Surface_Engine!$B$12:$B$72,$A1176+1))),0)))+2*Assumptions!$B$27*(IF(C1176&lt;=0,0,MAX(0,(B1176/C1176)*G1176/INDEX(Surface_Engine!$B$12:$B$72,$A1176+1)-F1176/INDEX(Surface_Engine!$B$12:$B$72,$A1176+1))))*(MAX(0,J1176/INDEX(Surface_Engine!$B$12:$B$72,$A1176+1)-(F1176/INDEX(Surface_Engine!$B$12:$B$72,$A1176+1))))+2*Assumptions!$B$28*(MAX(IF(D1176&lt;=0,0,MAX(0,(B1176/D1176)*H1176/INDEX(Surface_Engine!$B$12:$B$72,$A1176+1)-F1176/INDEX(Surface_Engine!$B$12:$B$72,$A1176+1))),IF(E1176&lt;=0,0,MAX(0,(B1176/E1176)*I1176/INDEX(Surface_Engine!$B$12:$B$72,$A1176+1)-F1176/INDEX(Surface_Engine!$B$12:$B$72,$A1176+1))),IF($A1176&lt;$Q$1140,MAX(0,-Assumptions!$B$22*(F1176/INDEX(Surface_Engine!$B$12:$B$72,$A1176+1))),0)))*(MAX(0,J1176/INDEX(Surface_Engine!$B$12:$B$72,$A1176+1)-(F1176/INDEX(Surface_Engine!$B$12:$B$72,$A1176+1)))))</f>
        <v>267.760140977048</v>
      </c>
      <c r="L1176" s="48" t="n">
        <f aca="false">K1176*INDEX(Surface_Engine!$B$12:$B$72,$A1176+1)+L1177</f>
        <v>292.153960801319</v>
      </c>
      <c r="M1176" s="48" t="n">
        <f aca="false">M1175+B1175*(IF($A1175&lt;$Q$1140,(Surface_Engine!L246*12)-(Surface_Engine!L246*12)*INDEX(Surface_Engine!$F$12:$F$72,$A1175+1)-INDEX(Surface_Engine!$D$12:$D$72,$A1175+1),-(1000*12*INDEX(Surface_Engine!$C$12:$C$72,$A1175+1)/(1+Assumptions!$B$10)^15+INDEX(Surface_Engine!$D$12:$D$72,$A1175+1))))*INDEX(Surface_Engine!$B$12:$B$72,$A1175+1)</f>
        <v>1918.77156263664</v>
      </c>
      <c r="N1176" s="12" t="n">
        <f aca="false">IF(B1176&lt;=0,0,MAX(0,(K1176+Assumptions!$B$29*L1176/INDEX(Surface_Engine!$B$12:$B$72,$A1176+1)-(M1176/INDEX(Surface_Engine!$B$12:$B$72,$A1176+1)-(F1176/INDEX(Surface_Engine!$B$12:$B$72,$A1176+1))))/B1176))</f>
        <v>0</v>
      </c>
    </row>
    <row r="1177" customFormat="false" ht="15" hidden="false" customHeight="true" outlineLevel="0" collapsed="false">
      <c r="A1177" s="1" t="n">
        <v>35</v>
      </c>
      <c r="B1177" s="32" t="n">
        <f aca="false">INDEX(Surface_Engine!$Q$12:$Q$72,$A1177+1)*IF($A1177&lt;$Q$1140,INDEX(Surface_Engine!$E$12:$E$72,$A1177+1),INDEX(Surface_Engine!$E$12:$E$72,$Q$1140+1))</f>
        <v>0.0193319389470601</v>
      </c>
      <c r="C1177" s="32" t="n">
        <f aca="false">INDEX(Panel_Reserving!$F$8:$F$68,$A1177+1)*IF($A1177&lt;$Q$1140,INDEX(Surface_Engine!$E$12:$E$72,$A1177+1),INDEX(Surface_Engine!$E$12:$E$72,$Q$1140+1))</f>
        <v>0.0434079768827587</v>
      </c>
      <c r="D1177" s="32" t="n">
        <f aca="false">INDEX(Surface_Engine!$Q$12:$Q$72,$A1177+1)*IF($A1177&lt;$Q$1140,INDEX(Surface_Engine!$Y$12:$Y$72,$A1177+1),INDEX(Surface_Engine!$Y$12:$Y$72,$Q$1140+1))</f>
        <v>0.0175123946700218</v>
      </c>
      <c r="E1177" s="32" t="n">
        <f aca="false">INDEX(Surface_Engine!$Q$12:$Q$72,$A1177+1)*IF($A1177&lt;$Q$1140,INDEX(Surface_Engine!$Z$12:$Z$72,$A1177+1),INDEX(Surface_Engine!$Z$12:$Z$72,$Q$1140+1))</f>
        <v>0.0213209543153763</v>
      </c>
      <c r="F1177" s="48" t="n">
        <f aca="false">B1177*(IF($A1177&lt;$Q$1140,INDEX(Surface_Engine!$D$12:$D$72,$A1177+1)+(Surface_Engine!L246*12)*INDEX(Surface_Engine!$F$12:$F$72,$A1177+1)-(Surface_Engine!L246*12),1000*12*INDEX(Surface_Engine!$C$12:$C$72,$A1177+1)/(1+Assumptions!$B$10)^15+INDEX(Surface_Engine!$D$12:$D$72,$A1177+1)))*INDEX(Surface_Engine!$B$12:$B$72,$A1177+1)+F1178</f>
        <v>379.827049745816</v>
      </c>
      <c r="G1177" s="48" t="n">
        <f aca="false">C1177*(IF($A1177&lt;$Q$1140,INDEX(Surface_Engine!$D$12:$D$72,$A1177+1)+(Surface_Engine!L246*12)*INDEX(Surface_Engine!$F$12:$F$72,$A1177+1)-(Surface_Engine!L246*12),1000*12*INDEX(Surface_Engine!$C$12:$C$72,$A1177+1)/(1+Assumptions!$B$10)^15+INDEX(Surface_Engine!$D$12:$D$72,$A1177+1)))*INDEX(Surface_Engine!$B$12:$B$72,$A1177+1)+G1178</f>
        <v>995.545752520116</v>
      </c>
      <c r="H1177" s="48" t="n">
        <f aca="false">D1177*(IF($A1177&lt;$Q$1140,INDEX(Surface_Engine!$D$12:$D$72,$A1177+1)+(Surface_Engine!L246*12)*INDEX(Surface_Engine!$F$12:$F$72,$A1177+1)-(Surface_Engine!L246*12),1000*12*INDEX(Surface_Engine!$C$12:$C$72,$A1177+1)/(1+Assumptions!$B$10)^15+INDEX(Surface_Engine!$D$12:$D$72,$A1177+1)))*INDEX(Surface_Engine!$B$12:$B$72,$A1177+1)+H1178</f>
        <v>344.077291973358</v>
      </c>
      <c r="I1177" s="48" t="n">
        <f aca="false">E1177*(IF($A1177&lt;$Q$1140,INDEX(Surface_Engine!$D$12:$D$72,$A1177+1)+(Surface_Engine!L246*12)*INDEX(Surface_Engine!$F$12:$F$72,$A1177+1)-(Surface_Engine!L246*12),1000*12*INDEX(Surface_Engine!$C$12:$C$72,$A1177+1)/(1+Assumptions!$B$10)^15+INDEX(Surface_Engine!$D$12:$D$72,$A1177+1)))*INDEX(Surface_Engine!$B$12:$B$72,$A1177+1)+I1178</f>
        <v>418.906515148408</v>
      </c>
      <c r="J1177" s="48" t="n">
        <f aca="false">B1177*(IF($A1177&lt;$Q$1140,INDEX(Surface_Engine!$D$12:$D$72,$A1177+1)*(1+Assumptions!$B$24)+(Surface_Engine!L246*12)*INDEX(Surface_Engine!$F$12:$F$72,$A1177+1)-(Surface_Engine!L246*12),1000*12*INDEX(Surface_Engine!$C$12:$C$72,$A1177+1)/(1+Assumptions!$B$10)^15+INDEX(Surface_Engine!$D$12:$D$72,$A1177+1)*(1+Assumptions!$B$24)))*INDEX(Surface_Engine!$B$12:$B$72,$A1177+1)+J1178</f>
        <v>380.240502973091</v>
      </c>
      <c r="K1177" s="12" t="n">
        <f aca="false">SQRT((IF(C1177&lt;=0,0,MAX(0,(B1177/C1177)*G1177/INDEX(Surface_Engine!$B$12:$B$72,$A1177+1)-F1177/INDEX(Surface_Engine!$B$12:$B$72,$A1177+1))))^2+(MAX(IF(D1177&lt;=0,0,MAX(0,(B1177/D1177)*H1177/INDEX(Surface_Engine!$B$12:$B$72,$A1177+1)-F1177/INDEX(Surface_Engine!$B$12:$B$72,$A1177+1))),IF(E1177&lt;=0,0,MAX(0,(B1177/E1177)*I1177/INDEX(Surface_Engine!$B$12:$B$72,$A1177+1)-F1177/INDEX(Surface_Engine!$B$12:$B$72,$A1177+1))),IF($A1177&lt;$Q$1140,MAX(0,-Assumptions!$B$22*(F1177/INDEX(Surface_Engine!$B$12:$B$72,$A1177+1))),0)))^2+(MAX(0,J1177/INDEX(Surface_Engine!$B$12:$B$72,$A1177+1)-(F1177/INDEX(Surface_Engine!$B$12:$B$72,$A1177+1))))^2+2*Assumptions!$B$26*(IF(C1177&lt;=0,0,MAX(0,(B1177/C1177)*G1177/INDEX(Surface_Engine!$B$12:$B$72,$A1177+1)-F1177/INDEX(Surface_Engine!$B$12:$B$72,$A1177+1))))*(MAX(IF(D1177&lt;=0,0,MAX(0,(B1177/D1177)*H1177/INDEX(Surface_Engine!$B$12:$B$72,$A1177+1)-F1177/INDEX(Surface_Engine!$B$12:$B$72,$A1177+1))),IF(E1177&lt;=0,0,MAX(0,(B1177/E1177)*I1177/INDEX(Surface_Engine!$B$12:$B$72,$A1177+1)-F1177/INDEX(Surface_Engine!$B$12:$B$72,$A1177+1))),IF($A1177&lt;$Q$1140,MAX(0,-Assumptions!$B$22*(F1177/INDEX(Surface_Engine!$B$12:$B$72,$A1177+1))),0)))+2*Assumptions!$B$27*(IF(C1177&lt;=0,0,MAX(0,(B1177/C1177)*G1177/INDEX(Surface_Engine!$B$12:$B$72,$A1177+1)-F1177/INDEX(Surface_Engine!$B$12:$B$72,$A1177+1))))*(MAX(0,J1177/INDEX(Surface_Engine!$B$12:$B$72,$A1177+1)-(F1177/INDEX(Surface_Engine!$B$12:$B$72,$A1177+1))))+2*Assumptions!$B$28*(MAX(IF(D1177&lt;=0,0,MAX(0,(B1177/D1177)*H1177/INDEX(Surface_Engine!$B$12:$B$72,$A1177+1)-F1177/INDEX(Surface_Engine!$B$12:$B$72,$A1177+1))),IF(E1177&lt;=0,0,MAX(0,(B1177/E1177)*I1177/INDEX(Surface_Engine!$B$12:$B$72,$A1177+1)-F1177/INDEX(Surface_Engine!$B$12:$B$72,$A1177+1))),IF($A1177&lt;$Q$1140,MAX(0,-Assumptions!$B$22*(F1177/INDEX(Surface_Engine!$B$12:$B$72,$A1177+1))),0)))*(MAX(0,J1177/INDEX(Surface_Engine!$B$12:$B$72,$A1177+1)-(F1177/INDEX(Surface_Engine!$B$12:$B$72,$A1177+1)))))</f>
        <v>191.225448127219</v>
      </c>
      <c r="L1177" s="48" t="n">
        <f aca="false">K1177*INDEX(Surface_Engine!$B$12:$B$72,$A1177+1)+L1178</f>
        <v>200.12510766115</v>
      </c>
      <c r="M1177" s="48" t="n">
        <f aca="false">M1176+B1176*(IF($A1176&lt;$Q$1140,(Surface_Engine!L246*12)-(Surface_Engine!L246*12)*INDEX(Surface_Engine!$F$12:$F$72,$A1176+1)-INDEX(Surface_Engine!$D$12:$D$72,$A1176+1),-(1000*12*INDEX(Surface_Engine!$C$12:$C$72,$A1176+1)/(1+Assumptions!$B$10)^15+INDEX(Surface_Engine!$D$12:$D$72,$A1176+1))))*INDEX(Surface_Engine!$B$12:$B$72,$A1176+1)</f>
        <v>1763.83120630762</v>
      </c>
      <c r="N1177" s="12" t="n">
        <f aca="false">IF(B1177&lt;=0,0,MAX(0,(K1177+Assumptions!$B$29*L1177/INDEX(Surface_Engine!$B$12:$B$72,$A1177+1)-(M1177/INDEX(Surface_Engine!$B$12:$B$72,$A1177+1)-(F1177/INDEX(Surface_Engine!$B$12:$B$72,$A1177+1))))/B1177))</f>
        <v>0</v>
      </c>
    </row>
    <row r="1178" customFormat="false" ht="15" hidden="false" customHeight="true" outlineLevel="0" collapsed="false">
      <c r="A1178" s="1" t="n">
        <v>36</v>
      </c>
      <c r="B1178" s="32" t="n">
        <f aca="false">INDEX(Surface_Engine!$Q$12:$Q$72,$A1178+1)*IF($A1178&lt;$Q$1140,INDEX(Surface_Engine!$E$12:$E$72,$A1178+1),INDEX(Surface_Engine!$E$12:$E$72,$Q$1140+1))</f>
        <v>0.0169373111534912</v>
      </c>
      <c r="C1178" s="32" t="n">
        <f aca="false">INDEX(Panel_Reserving!$F$8:$F$68,$A1178+1)*IF($A1178&lt;$Q$1140,INDEX(Surface_Engine!$E$12:$E$72,$A1178+1),INDEX(Surface_Engine!$E$12:$E$72,$Q$1140+1))</f>
        <v>0.0391064550047639</v>
      </c>
      <c r="D1178" s="32" t="n">
        <f aca="false">INDEX(Surface_Engine!$Q$12:$Q$72,$A1178+1)*IF($A1178&lt;$Q$1140,INDEX(Surface_Engine!$Y$12:$Y$72,$A1178+1),INDEX(Surface_Engine!$Y$12:$Y$72,$Q$1140+1))</f>
        <v>0.0153431519922117</v>
      </c>
      <c r="E1178" s="32" t="n">
        <f aca="false">INDEX(Surface_Engine!$Q$12:$Q$72,$A1178+1)*IF($A1178&lt;$Q$1140,INDEX(Surface_Engine!$Z$12:$Z$72,$A1178+1),INDEX(Surface_Engine!$Z$12:$Z$72,$Q$1140+1))</f>
        <v>0.0186799491927744</v>
      </c>
      <c r="F1178" s="48" t="n">
        <f aca="false">B1178*(IF($A1178&lt;$Q$1140,INDEX(Surface_Engine!$D$12:$D$72,$A1178+1)+(Surface_Engine!L246*12)*INDEX(Surface_Engine!$F$12:$F$72,$A1178+1)-(Surface_Engine!L246*12),1000*12*INDEX(Surface_Engine!$C$12:$C$72,$A1178+1)/(1+Assumptions!$B$10)^15+INDEX(Surface_Engine!$D$12:$D$72,$A1178+1)))*INDEX(Surface_Engine!$B$12:$B$72,$A1178+1)+F1179</f>
        <v>263.838329902001</v>
      </c>
      <c r="G1178" s="48" t="n">
        <f aca="false">C1178*(IF($A1178&lt;$Q$1140,INDEX(Surface_Engine!$D$12:$D$72,$A1178+1)+(Surface_Engine!L246*12)*INDEX(Surface_Engine!$F$12:$F$72,$A1178+1)-(Surface_Engine!L246*12),1000*12*INDEX(Surface_Engine!$C$12:$C$72,$A1178+1)/(1+Assumptions!$B$10)^15+INDEX(Surface_Engine!$D$12:$D$72,$A1178+1)))*INDEX(Surface_Engine!$B$12:$B$72,$A1178+1)+G1179</f>
        <v>735.10443396284</v>
      </c>
      <c r="H1178" s="48" t="n">
        <f aca="false">D1178*(IF($A1178&lt;$Q$1140,INDEX(Surface_Engine!$D$12:$D$72,$A1178+1)+(Surface_Engine!L246*12)*INDEX(Surface_Engine!$F$12:$F$72,$A1178+1)-(Surface_Engine!L246*12),1000*12*INDEX(Surface_Engine!$C$12:$C$72,$A1178+1)/(1+Assumptions!$B$10)^15+INDEX(Surface_Engine!$D$12:$D$72,$A1178+1)))*INDEX(Surface_Engine!$B$12:$B$72,$A1178+1)+H1179</f>
        <v>239.005563537946</v>
      </c>
      <c r="I1178" s="48" t="n">
        <f aca="false">E1178*(IF($A1178&lt;$Q$1140,INDEX(Surface_Engine!$D$12:$D$72,$A1178+1)+(Surface_Engine!L246*12)*INDEX(Surface_Engine!$F$12:$F$72,$A1178+1)-(Surface_Engine!L246*12),1000*12*INDEX(Surface_Engine!$C$12:$C$72,$A1178+1)/(1+Assumptions!$B$10)^15+INDEX(Surface_Engine!$D$12:$D$72,$A1178+1)))*INDEX(Surface_Engine!$B$12:$B$72,$A1178+1)+I1179</f>
        <v>290.984002892334</v>
      </c>
      <c r="J1178" s="48" t="n">
        <f aca="false">B1178*(IF($A1178&lt;$Q$1140,INDEX(Surface_Engine!$D$12:$D$72,$A1178+1)*(1+Assumptions!$B$24)+(Surface_Engine!L246*12)*INDEX(Surface_Engine!$F$12:$F$72,$A1178+1)-(Surface_Engine!L246*12),1000*12*INDEX(Surface_Engine!$C$12:$C$72,$A1178+1)/(1+Assumptions!$B$10)^15+INDEX(Surface_Engine!$D$12:$D$72,$A1178+1)*(1+Assumptions!$B$24)))*INDEX(Surface_Engine!$B$12:$B$72,$A1178+1)+J1179</f>
        <v>264.126565287435</v>
      </c>
      <c r="K1178" s="12" t="n">
        <f aca="false">SQRT((IF(C1178&lt;=0,0,MAX(0,(B1178/C1178)*G1178/INDEX(Surface_Engine!$B$12:$B$72,$A1178+1)-F1178/INDEX(Surface_Engine!$B$12:$B$72,$A1178+1))))^2+(MAX(IF(D1178&lt;=0,0,MAX(0,(B1178/D1178)*H1178/INDEX(Surface_Engine!$B$12:$B$72,$A1178+1)-F1178/INDEX(Surface_Engine!$B$12:$B$72,$A1178+1))),IF(E1178&lt;=0,0,MAX(0,(B1178/E1178)*I1178/INDEX(Surface_Engine!$B$12:$B$72,$A1178+1)-F1178/INDEX(Surface_Engine!$B$12:$B$72,$A1178+1))),IF($A1178&lt;$Q$1140,MAX(0,-Assumptions!$B$22*(F1178/INDEX(Surface_Engine!$B$12:$B$72,$A1178+1))),0)))^2+(MAX(0,J1178/INDEX(Surface_Engine!$B$12:$B$72,$A1178+1)-(F1178/INDEX(Surface_Engine!$B$12:$B$72,$A1178+1))))^2+2*Assumptions!$B$26*(IF(C1178&lt;=0,0,MAX(0,(B1178/C1178)*G1178/INDEX(Surface_Engine!$B$12:$B$72,$A1178+1)-F1178/INDEX(Surface_Engine!$B$12:$B$72,$A1178+1))))*(MAX(IF(D1178&lt;=0,0,MAX(0,(B1178/D1178)*H1178/INDEX(Surface_Engine!$B$12:$B$72,$A1178+1)-F1178/INDEX(Surface_Engine!$B$12:$B$72,$A1178+1))),IF(E1178&lt;=0,0,MAX(0,(B1178/E1178)*I1178/INDEX(Surface_Engine!$B$12:$B$72,$A1178+1)-F1178/INDEX(Surface_Engine!$B$12:$B$72,$A1178+1))),IF($A1178&lt;$Q$1140,MAX(0,-Assumptions!$B$22*(F1178/INDEX(Surface_Engine!$B$12:$B$72,$A1178+1))),0)))+2*Assumptions!$B$27*(IF(C1178&lt;=0,0,MAX(0,(B1178/C1178)*G1178/INDEX(Surface_Engine!$B$12:$B$72,$A1178+1)-F1178/INDEX(Surface_Engine!$B$12:$B$72,$A1178+1))))*(MAX(0,J1178/INDEX(Surface_Engine!$B$12:$B$72,$A1178+1)-(F1178/INDEX(Surface_Engine!$B$12:$B$72,$A1178+1))))+2*Assumptions!$B$28*(MAX(IF(D1178&lt;=0,0,MAX(0,(B1178/D1178)*H1178/INDEX(Surface_Engine!$B$12:$B$72,$A1178+1)-F1178/INDEX(Surface_Engine!$B$12:$B$72,$A1178+1))),IF(E1178&lt;=0,0,MAX(0,(B1178/E1178)*I1178/INDEX(Surface_Engine!$B$12:$B$72,$A1178+1)-F1178/INDEX(Surface_Engine!$B$12:$B$72,$A1178+1))),IF($A1178&lt;$Q$1140,MAX(0,-Assumptions!$B$22*(F1178/INDEX(Surface_Engine!$B$12:$B$72,$A1178+1))),0)))*(MAX(0,J1178/INDEX(Surface_Engine!$B$12:$B$72,$A1178+1)-(F1178/INDEX(Surface_Engine!$B$12:$B$72,$A1178+1)))))</f>
        <v>169.380494488231</v>
      </c>
      <c r="L1178" s="48" t="n">
        <f aca="false">K1178*INDEX(Surface_Engine!$B$12:$B$72,$A1178+1)+L1179</f>
        <v>136.47672892662</v>
      </c>
      <c r="M1178" s="48" t="n">
        <f aca="false">M1177+B1177*(IF($A1177&lt;$Q$1140,(Surface_Engine!L246*12)-(Surface_Engine!L246*12)*INDEX(Surface_Engine!$F$12:$F$72,$A1177+1)-INDEX(Surface_Engine!$D$12:$D$72,$A1177+1),-(1000*12*INDEX(Surface_Engine!$C$12:$C$72,$A1177+1)/(1+Assumptions!$B$10)^15+INDEX(Surface_Engine!$D$12:$D$72,$A1177+1))))*INDEX(Surface_Engine!$B$12:$B$72,$A1177+1)</f>
        <v>1647.84248646381</v>
      </c>
      <c r="N1178" s="12" t="n">
        <f aca="false">IF(B1178&lt;=0,0,MAX(0,(K1178+Assumptions!$B$29*L1178/INDEX(Surface_Engine!$B$12:$B$72,$A1178+1)-(M1178/INDEX(Surface_Engine!$B$12:$B$72,$A1178+1)-(F1178/INDEX(Surface_Engine!$B$12:$B$72,$A1178+1))))/B1178))</f>
        <v>0</v>
      </c>
    </row>
    <row r="1179" customFormat="false" ht="15" hidden="false" customHeight="true" outlineLevel="0" collapsed="false">
      <c r="A1179" s="1" t="n">
        <v>37</v>
      </c>
      <c r="B1179" s="32" t="n">
        <f aca="false">INDEX(Surface_Engine!$Q$12:$Q$72,$A1179+1)*IF($A1179&lt;$Q$1140,INDEX(Surface_Engine!$E$12:$E$72,$A1179+1),INDEX(Surface_Engine!$E$12:$E$72,$Q$1140+1))</f>
        <v>0.0112110019012353</v>
      </c>
      <c r="C1179" s="32" t="n">
        <f aca="false">INDEX(Panel_Reserving!$F$8:$F$68,$A1179+1)*IF($A1179&lt;$Q$1140,INDEX(Surface_Engine!$E$12:$E$72,$A1179+1),INDEX(Surface_Engine!$E$12:$E$72,$Q$1140+1))</f>
        <v>0.0285293024408259</v>
      </c>
      <c r="D1179" s="32" t="n">
        <f aca="false">INDEX(Surface_Engine!$Q$12:$Q$72,$A1179+1)*IF($A1179&lt;$Q$1140,INDEX(Surface_Engine!$Y$12:$Y$72,$A1179+1),INDEX(Surface_Engine!$Y$12:$Y$72,$Q$1140+1))</f>
        <v>0.0101558095377006</v>
      </c>
      <c r="E1179" s="32" t="n">
        <f aca="false">INDEX(Surface_Engine!$Q$12:$Q$72,$A1179+1)*IF($A1179&lt;$Q$1140,INDEX(Surface_Engine!$Z$12:$Z$72,$A1179+1),INDEX(Surface_Engine!$Z$12:$Z$72,$Q$1140+1))</f>
        <v>0.0123644741492517</v>
      </c>
      <c r="F1179" s="48" t="n">
        <f aca="false">B1179*(IF($A1179&lt;$Q$1140,INDEX(Surface_Engine!$D$12:$D$72,$A1179+1)+(Surface_Engine!L246*12)*INDEX(Surface_Engine!$F$12:$F$72,$A1179+1)-(Surface_Engine!L246*12),1000*12*INDEX(Surface_Engine!$C$12:$C$72,$A1179+1)/(1+Assumptions!$B$10)^15+INDEX(Surface_Engine!$D$12:$D$72,$A1179+1)))*INDEX(Surface_Engine!$B$12:$B$72,$A1179+1)+F1180</f>
        <v>163.421567628324</v>
      </c>
      <c r="G1179" s="48" t="n">
        <f aca="false">C1179*(IF($A1179&lt;$Q$1140,INDEX(Surface_Engine!$D$12:$D$72,$A1179+1)+(Surface_Engine!L246*12)*INDEX(Surface_Engine!$F$12:$F$72,$A1179+1)-(Surface_Engine!L246*12),1000*12*INDEX(Surface_Engine!$C$12:$C$72,$A1179+1)/(1+Assumptions!$B$10)^15+INDEX(Surface_Engine!$D$12:$D$72,$A1179+1)))*INDEX(Surface_Engine!$B$12:$B$72,$A1179+1)+G1180</f>
        <v>503.252780533765</v>
      </c>
      <c r="H1179" s="48" t="n">
        <f aca="false">D1179*(IF($A1179&lt;$Q$1140,INDEX(Surface_Engine!$D$12:$D$72,$A1179+1)+(Surface_Engine!L246*12)*INDEX(Surface_Engine!$F$12:$F$72,$A1179+1)-(Surface_Engine!L246*12),1000*12*INDEX(Surface_Engine!$C$12:$C$72,$A1179+1)/(1+Assumptions!$B$10)^15+INDEX(Surface_Engine!$D$12:$D$72,$A1179+1)))*INDEX(Surface_Engine!$B$12:$B$72,$A1179+1)+H1180</f>
        <v>148.040142157395</v>
      </c>
      <c r="I1179" s="48" t="n">
        <f aca="false">E1179*(IF($A1179&lt;$Q$1140,INDEX(Surface_Engine!$D$12:$D$72,$A1179+1)+(Surface_Engine!L246*12)*INDEX(Surface_Engine!$F$12:$F$72,$A1179+1)-(Surface_Engine!L246*12),1000*12*INDEX(Surface_Engine!$C$12:$C$72,$A1179+1)/(1+Assumptions!$B$10)^15+INDEX(Surface_Engine!$D$12:$D$72,$A1179+1)))*INDEX(Surface_Engine!$B$12:$B$72,$A1179+1)+I1180</f>
        <v>180.235608393568</v>
      </c>
      <c r="J1179" s="48" t="n">
        <f aca="false">B1179*(IF($A1179&lt;$Q$1140,INDEX(Surface_Engine!$D$12:$D$72,$A1179+1)*(1+Assumptions!$B$24)+(Surface_Engine!L246*12)*INDEX(Surface_Engine!$F$12:$F$72,$A1179+1)-(Surface_Engine!L246*12),1000*12*INDEX(Surface_Engine!$C$12:$C$72,$A1179+1)/(1+Assumptions!$B$10)^15+INDEX(Surface_Engine!$D$12:$D$72,$A1179+1)*(1+Assumptions!$B$24)))*INDEX(Surface_Engine!$B$12:$B$72,$A1179+1)+J1180</f>
        <v>163.600870535315</v>
      </c>
      <c r="K1179" s="12" t="n">
        <f aca="false">SQRT((IF(C1179&lt;=0,0,MAX(0,(B1179/C1179)*G1179/INDEX(Surface_Engine!$B$12:$B$72,$A1179+1)-F1179/INDEX(Surface_Engine!$B$12:$B$72,$A1179+1))))^2+(MAX(IF(D1179&lt;=0,0,MAX(0,(B1179/D1179)*H1179/INDEX(Surface_Engine!$B$12:$B$72,$A1179+1)-F1179/INDEX(Surface_Engine!$B$12:$B$72,$A1179+1))),IF(E1179&lt;=0,0,MAX(0,(B1179/E1179)*I1179/INDEX(Surface_Engine!$B$12:$B$72,$A1179+1)-F1179/INDEX(Surface_Engine!$B$12:$B$72,$A1179+1))),IF($A1179&lt;$Q$1140,MAX(0,-Assumptions!$B$22*(F1179/INDEX(Surface_Engine!$B$12:$B$72,$A1179+1))),0)))^2+(MAX(0,J1179/INDEX(Surface_Engine!$B$12:$B$72,$A1179+1)-(F1179/INDEX(Surface_Engine!$B$12:$B$72,$A1179+1))))^2+2*Assumptions!$B$26*(IF(C1179&lt;=0,0,MAX(0,(B1179/C1179)*G1179/INDEX(Surface_Engine!$B$12:$B$72,$A1179+1)-F1179/INDEX(Surface_Engine!$B$12:$B$72,$A1179+1))))*(MAX(IF(D1179&lt;=0,0,MAX(0,(B1179/D1179)*H1179/INDEX(Surface_Engine!$B$12:$B$72,$A1179+1)-F1179/INDEX(Surface_Engine!$B$12:$B$72,$A1179+1))),IF(E1179&lt;=0,0,MAX(0,(B1179/E1179)*I1179/INDEX(Surface_Engine!$B$12:$B$72,$A1179+1)-F1179/INDEX(Surface_Engine!$B$12:$B$72,$A1179+1))),IF($A1179&lt;$Q$1140,MAX(0,-Assumptions!$B$22*(F1179/INDEX(Surface_Engine!$B$12:$B$72,$A1179+1))),0)))+2*Assumptions!$B$27*(IF(C1179&lt;=0,0,MAX(0,(B1179/C1179)*G1179/INDEX(Surface_Engine!$B$12:$B$72,$A1179+1)-F1179/INDEX(Surface_Engine!$B$12:$B$72,$A1179+1))))*(MAX(0,J1179/INDEX(Surface_Engine!$B$12:$B$72,$A1179+1)-(F1179/INDEX(Surface_Engine!$B$12:$B$72,$A1179+1))))+2*Assumptions!$B$28*(MAX(IF(D1179&lt;=0,0,MAX(0,(B1179/D1179)*H1179/INDEX(Surface_Engine!$B$12:$B$72,$A1179+1)-F1179/INDEX(Surface_Engine!$B$12:$B$72,$A1179+1))),IF(E1179&lt;=0,0,MAX(0,(B1179/E1179)*I1179/INDEX(Surface_Engine!$B$12:$B$72,$A1179+1)-F1179/INDEX(Surface_Engine!$B$12:$B$72,$A1179+1))),IF($A1179&lt;$Q$1140,MAX(0,-Assumptions!$B$22*(F1179/INDEX(Surface_Engine!$B$12:$B$72,$A1179+1))),0)))*(MAX(0,J1179/INDEX(Surface_Engine!$B$12:$B$72,$A1179+1)-(F1179/INDEX(Surface_Engine!$B$12:$B$72,$A1179+1)))))</f>
        <v>110.12458726482</v>
      </c>
      <c r="L1179" s="48" t="n">
        <f aca="false">K1179*INDEX(Surface_Engine!$B$12:$B$72,$A1179+1)+L1180</f>
        <v>81.8628140853194</v>
      </c>
      <c r="M1179" s="48" t="n">
        <f aca="false">M1178+B1178*(IF($A1178&lt;$Q$1140,(Surface_Engine!L246*12)-(Surface_Engine!L246*12)*INDEX(Surface_Engine!$F$12:$F$72,$A1178+1)-INDEX(Surface_Engine!$D$12:$D$72,$A1178+1),-(1000*12*INDEX(Surface_Engine!$C$12:$C$72,$A1178+1)/(1+Assumptions!$B$10)^15+INDEX(Surface_Engine!$D$12:$D$72,$A1178+1))))*INDEX(Surface_Engine!$B$12:$B$72,$A1178+1)</f>
        <v>1547.42572419013</v>
      </c>
      <c r="N1179" s="12" t="n">
        <f aca="false">IF(B1179&lt;=0,0,MAX(0,(K1179+Assumptions!$B$29*L1179/INDEX(Surface_Engine!$B$12:$B$72,$A1179+1)-(M1179/INDEX(Surface_Engine!$B$12:$B$72,$A1179+1)-(F1179/INDEX(Surface_Engine!$B$12:$B$72,$A1179+1))))/B1179))</f>
        <v>0</v>
      </c>
    </row>
    <row r="1180" customFormat="false" ht="15" hidden="false" customHeight="true" outlineLevel="0" collapsed="false">
      <c r="A1180" s="1" t="n">
        <v>38</v>
      </c>
      <c r="B1180" s="32" t="n">
        <f aca="false">INDEX(Surface_Engine!$Q$12:$Q$72,$A1180+1)*IF($A1180&lt;$Q$1140,INDEX(Surface_Engine!$E$12:$E$72,$A1180+1),INDEX(Surface_Engine!$E$12:$E$72,$Q$1140+1))</f>
        <v>0.00715856129896712</v>
      </c>
      <c r="C1180" s="32" t="n">
        <f aca="false">INDEX(Panel_Reserving!$F$8:$F$68,$A1180+1)*IF($A1180&lt;$Q$1140,INDEX(Surface_Engine!$E$12:$E$72,$A1180+1),INDEX(Surface_Engine!$E$12:$E$72,$Q$1140+1))</f>
        <v>0.0202793133972701</v>
      </c>
      <c r="D1180" s="32" t="n">
        <f aca="false">INDEX(Surface_Engine!$Q$12:$Q$72,$A1180+1)*IF($A1180&lt;$Q$1140,INDEX(Surface_Engine!$Y$12:$Y$72,$A1180+1),INDEX(Surface_Engine!$Y$12:$Y$72,$Q$1140+1))</f>
        <v>0.00648478929508106</v>
      </c>
      <c r="E1180" s="32" t="n">
        <f aca="false">INDEX(Surface_Engine!$Q$12:$Q$72,$A1180+1)*IF($A1180&lt;$Q$1140,INDEX(Surface_Engine!$Z$12:$Z$72,$A1180+1),INDEX(Surface_Engine!$Z$12:$Z$72,$Q$1140+1))</f>
        <v>0.00789508795972635</v>
      </c>
      <c r="F1180" s="48" t="n">
        <f aca="false">B1180*(IF($A1180&lt;$Q$1140,INDEX(Surface_Engine!$D$12:$D$72,$A1180+1)+(Surface_Engine!L246*12)*INDEX(Surface_Engine!$F$12:$F$72,$A1180+1)-(Surface_Engine!L246*12),1000*12*INDEX(Surface_Engine!$C$12:$C$72,$A1180+1)/(1+Assumptions!$B$10)^15+INDEX(Surface_Engine!$D$12:$D$72,$A1180+1)))*INDEX(Surface_Engine!$B$12:$B$72,$A1180+1)+F1181</f>
        <v>97.7672086534811</v>
      </c>
      <c r="G1180" s="48" t="n">
        <f aca="false">C1180*(IF($A1180&lt;$Q$1140,INDEX(Surface_Engine!$D$12:$D$72,$A1180+1)+(Surface_Engine!L246*12)*INDEX(Surface_Engine!$F$12:$F$72,$A1180+1)-(Surface_Engine!L246*12),1000*12*INDEX(Surface_Engine!$C$12:$C$72,$A1180+1)/(1+Assumptions!$B$10)^15+INDEX(Surface_Engine!$D$12:$D$72,$A1180+1)))*INDEX(Surface_Engine!$B$12:$B$72,$A1180+1)+G1181</f>
        <v>336.178233561701</v>
      </c>
      <c r="H1180" s="48" t="n">
        <f aca="false">D1180*(IF($A1180&lt;$Q$1140,INDEX(Surface_Engine!$D$12:$D$72,$A1180+1)+(Surface_Engine!L246*12)*INDEX(Surface_Engine!$F$12:$F$72,$A1180+1)-(Surface_Engine!L246*12),1000*12*INDEX(Surface_Engine!$C$12:$C$72,$A1180+1)/(1+Assumptions!$B$10)^15+INDEX(Surface_Engine!$D$12:$D$72,$A1180+1)))*INDEX(Surface_Engine!$B$12:$B$72,$A1180+1)+H1181</f>
        <v>88.5652467874415</v>
      </c>
      <c r="I1180" s="48" t="n">
        <f aca="false">E1180*(IF($A1180&lt;$Q$1140,INDEX(Surface_Engine!$D$12:$D$72,$A1180+1)+(Surface_Engine!L246*12)*INDEX(Surface_Engine!$F$12:$F$72,$A1180+1)-(Surface_Engine!L246*12),1000*12*INDEX(Surface_Engine!$C$12:$C$72,$A1180+1)/(1+Assumptions!$B$10)^15+INDEX(Surface_Engine!$D$12:$D$72,$A1180+1)))*INDEX(Surface_Engine!$B$12:$B$72,$A1180+1)+I1181</f>
        <v>107.826234861958</v>
      </c>
      <c r="J1180" s="48" t="n">
        <f aca="false">B1180*(IF($A1180&lt;$Q$1140,INDEX(Surface_Engine!$D$12:$D$72,$A1180+1)*(1+Assumptions!$B$24)+(Surface_Engine!L246*12)*INDEX(Surface_Engine!$F$12:$F$72,$A1180+1)-(Surface_Engine!L246*12),1000*12*INDEX(Surface_Engine!$C$12:$C$72,$A1180+1)/(1+Assumptions!$B$10)^15+INDEX(Surface_Engine!$D$12:$D$72,$A1180+1)*(1+Assumptions!$B$24)))*INDEX(Surface_Engine!$B$12:$B$72,$A1180+1)+J1181</f>
        <v>97.8749441446573</v>
      </c>
      <c r="K1180" s="12" t="n">
        <f aca="false">SQRT((IF(C1180&lt;=0,0,MAX(0,(B1180/C1180)*G1180/INDEX(Surface_Engine!$B$12:$B$72,$A1180+1)-F1180/INDEX(Surface_Engine!$B$12:$B$72,$A1180+1))))^2+(MAX(IF(D1180&lt;=0,0,MAX(0,(B1180/D1180)*H1180/INDEX(Surface_Engine!$B$12:$B$72,$A1180+1)-F1180/INDEX(Surface_Engine!$B$12:$B$72,$A1180+1))),IF(E1180&lt;=0,0,MAX(0,(B1180/E1180)*I1180/INDEX(Surface_Engine!$B$12:$B$72,$A1180+1)-F1180/INDEX(Surface_Engine!$B$12:$B$72,$A1180+1))),IF($A1180&lt;$Q$1140,MAX(0,-Assumptions!$B$22*(F1180/INDEX(Surface_Engine!$B$12:$B$72,$A1180+1))),0)))^2+(MAX(0,J1180/INDEX(Surface_Engine!$B$12:$B$72,$A1180+1)-(F1180/INDEX(Surface_Engine!$B$12:$B$72,$A1180+1))))^2+2*Assumptions!$B$26*(IF(C1180&lt;=0,0,MAX(0,(B1180/C1180)*G1180/INDEX(Surface_Engine!$B$12:$B$72,$A1180+1)-F1180/INDEX(Surface_Engine!$B$12:$B$72,$A1180+1))))*(MAX(IF(D1180&lt;=0,0,MAX(0,(B1180/D1180)*H1180/INDEX(Surface_Engine!$B$12:$B$72,$A1180+1)-F1180/INDEX(Surface_Engine!$B$12:$B$72,$A1180+1))),IF(E1180&lt;=0,0,MAX(0,(B1180/E1180)*I1180/INDEX(Surface_Engine!$B$12:$B$72,$A1180+1)-F1180/INDEX(Surface_Engine!$B$12:$B$72,$A1180+1))),IF($A1180&lt;$Q$1140,MAX(0,-Assumptions!$B$22*(F1180/INDEX(Surface_Engine!$B$12:$B$72,$A1180+1))),0)))+2*Assumptions!$B$27*(IF(C1180&lt;=0,0,MAX(0,(B1180/C1180)*G1180/INDEX(Surface_Engine!$B$12:$B$72,$A1180+1)-F1180/INDEX(Surface_Engine!$B$12:$B$72,$A1180+1))))*(MAX(0,J1180/INDEX(Surface_Engine!$B$12:$B$72,$A1180+1)-(F1180/INDEX(Surface_Engine!$B$12:$B$72,$A1180+1))))+2*Assumptions!$B$28*(MAX(IF(D1180&lt;=0,0,MAX(0,(B1180/D1180)*H1180/INDEX(Surface_Engine!$B$12:$B$72,$A1180+1)-F1180/INDEX(Surface_Engine!$B$12:$B$72,$A1180+1))),IF(E1180&lt;=0,0,MAX(0,(B1180/E1180)*I1180/INDEX(Surface_Engine!$B$12:$B$72,$A1180+1)-F1180/INDEX(Surface_Engine!$B$12:$B$72,$A1180+1))),IF($A1180&lt;$Q$1140,MAX(0,-Assumptions!$B$22*(F1180/INDEX(Surface_Engine!$B$12:$B$72,$A1180+1))),0)))*(MAX(0,J1180/INDEX(Surface_Engine!$B$12:$B$72,$A1180+1)-(F1180/INDEX(Surface_Engine!$B$12:$B$72,$A1180+1)))))</f>
        <v>69.2283697399937</v>
      </c>
      <c r="L1180" s="48" t="n">
        <f aca="false">K1180*INDEX(Surface_Engine!$B$12:$B$72,$A1180+1)+L1181</f>
        <v>47.4786610213691</v>
      </c>
      <c r="M1180" s="48" t="n">
        <f aca="false">M1179+B1179*(IF($A1179&lt;$Q$1140,(Surface_Engine!L246*12)-(Surface_Engine!L246*12)*INDEX(Surface_Engine!$F$12:$F$72,$A1179+1)-INDEX(Surface_Engine!$D$12:$D$72,$A1179+1),-(1000*12*INDEX(Surface_Engine!$C$12:$C$72,$A1179+1)/(1+Assumptions!$B$10)^15+INDEX(Surface_Engine!$D$12:$D$72,$A1179+1))))*INDEX(Surface_Engine!$B$12:$B$72,$A1179+1)</f>
        <v>1481.77136521529</v>
      </c>
      <c r="N1180" s="12" t="n">
        <f aca="false">IF(B1180&lt;=0,0,MAX(0,(K1180+Assumptions!$B$29*L1180/INDEX(Surface_Engine!$B$12:$B$72,$A1180+1)-(M1180/INDEX(Surface_Engine!$B$12:$B$72,$A1180+1)-(F1180/INDEX(Surface_Engine!$B$12:$B$72,$A1180+1))))/B1180))</f>
        <v>0</v>
      </c>
    </row>
    <row r="1181" customFormat="false" ht="15" hidden="false" customHeight="true" outlineLevel="0" collapsed="false">
      <c r="A1181" s="1" t="n">
        <v>39</v>
      </c>
      <c r="B1181" s="32" t="n">
        <f aca="false">INDEX(Surface_Engine!$Q$12:$Q$72,$A1181+1)*IF($A1181&lt;$Q$1140,INDEX(Surface_Engine!$E$12:$E$72,$A1181+1),INDEX(Surface_Engine!$E$12:$E$72,$Q$1140+1))</f>
        <v>0.00439321461676858</v>
      </c>
      <c r="C1181" s="32" t="n">
        <f aca="false">INDEX(Panel_Reserving!$F$8:$F$68,$A1181+1)*IF($A1181&lt;$Q$1140,INDEX(Surface_Engine!$E$12:$E$72,$A1181+1),INDEX(Surface_Engine!$E$12:$E$72,$Q$1140+1))</f>
        <v>0.0140122069574891</v>
      </c>
      <c r="D1181" s="32" t="n">
        <f aca="false">INDEX(Surface_Engine!$Q$12:$Q$72,$A1181+1)*IF($A1181&lt;$Q$1140,INDEX(Surface_Engine!$Y$12:$Y$72,$A1181+1),INDEX(Surface_Engine!$Y$12:$Y$72,$Q$1140+1))</f>
        <v>0.00397972021583794</v>
      </c>
      <c r="E1181" s="32" t="n">
        <f aca="false">INDEX(Surface_Engine!$Q$12:$Q$72,$A1181+1)*IF($A1181&lt;$Q$1140,INDEX(Surface_Engine!$Z$12:$Z$72,$A1181+1),INDEX(Surface_Engine!$Z$12:$Z$72,$Q$1140+1))</f>
        <v>0.00484522159925459</v>
      </c>
      <c r="F1181" s="48" t="n">
        <f aca="false">B1181*(IF($A1181&lt;$Q$1140,INDEX(Surface_Engine!$D$12:$D$72,$A1181+1)+(Surface_Engine!L246*12)*INDEX(Surface_Engine!$F$12:$F$72,$A1181+1)-(Surface_Engine!L246*12),1000*12*INDEX(Surface_Engine!$C$12:$C$72,$A1181+1)/(1+Assumptions!$B$10)^15+INDEX(Surface_Engine!$D$12:$D$72,$A1181+1)))*INDEX(Surface_Engine!$B$12:$B$72,$A1181+1)+F1182</f>
        <v>56.3590839660756</v>
      </c>
      <c r="G1181" s="48" t="n">
        <f aca="false">C1181*(IF($A1181&lt;$Q$1140,INDEX(Surface_Engine!$D$12:$D$72,$A1181+1)+(Surface_Engine!L246*12)*INDEX(Surface_Engine!$F$12:$F$72,$A1181+1)-(Surface_Engine!L246*12),1000*12*INDEX(Surface_Engine!$C$12:$C$72,$A1181+1)/(1+Assumptions!$B$10)^15+INDEX(Surface_Engine!$D$12:$D$72,$A1181+1)))*INDEX(Surface_Engine!$B$12:$B$72,$A1181+1)+G1182</f>
        <v>218.874168867822</v>
      </c>
      <c r="H1181" s="48" t="n">
        <f aca="false">D1181*(IF($A1181&lt;$Q$1140,INDEX(Surface_Engine!$D$12:$D$72,$A1181+1)+(Surface_Engine!L246*12)*INDEX(Surface_Engine!$F$12:$F$72,$A1181+1)-(Surface_Engine!L246*12),1000*12*INDEX(Surface_Engine!$C$12:$C$72,$A1181+1)/(1+Assumptions!$B$10)^15+INDEX(Surface_Engine!$D$12:$D$72,$A1181+1)))*INDEX(Surface_Engine!$B$12:$B$72,$A1181+1)+H1182</f>
        <v>51.0545023113115</v>
      </c>
      <c r="I1181" s="48" t="n">
        <f aca="false">E1181*(IF($A1181&lt;$Q$1140,INDEX(Surface_Engine!$D$12:$D$72,$A1181+1)+(Surface_Engine!L246*12)*INDEX(Surface_Engine!$F$12:$F$72,$A1181+1)-(Surface_Engine!L246*12),1000*12*INDEX(Surface_Engine!$C$12:$C$72,$A1181+1)/(1+Assumptions!$B$10)^15+INDEX(Surface_Engine!$D$12:$D$72,$A1181+1)))*INDEX(Surface_Engine!$B$12:$B$72,$A1181+1)+I1182</f>
        <v>62.1577306750131</v>
      </c>
      <c r="J1181" s="48" t="n">
        <f aca="false">B1181*(IF($A1181&lt;$Q$1140,INDEX(Surface_Engine!$D$12:$D$72,$A1181+1)*(1+Assumptions!$B$24)+(Surface_Engine!L246*12)*INDEX(Surface_Engine!$F$12:$F$72,$A1181+1)-(Surface_Engine!L246*12),1000*12*INDEX(Surface_Engine!$C$12:$C$72,$A1181+1)/(1+Assumptions!$B$10)^15+INDEX(Surface_Engine!$D$12:$D$72,$A1181+1)*(1+Assumptions!$B$24)))*INDEX(Surface_Engine!$B$12:$B$72,$A1181+1)+J1182</f>
        <v>56.4214631361997</v>
      </c>
      <c r="K1181" s="12" t="n">
        <f aca="false">SQRT((IF(C1181&lt;=0,0,MAX(0,(B1181/C1181)*G1181/INDEX(Surface_Engine!$B$12:$B$72,$A1181+1)-F1181/INDEX(Surface_Engine!$B$12:$B$72,$A1181+1))))^2+(MAX(IF(D1181&lt;=0,0,MAX(0,(B1181/D1181)*H1181/INDEX(Surface_Engine!$B$12:$B$72,$A1181+1)-F1181/INDEX(Surface_Engine!$B$12:$B$72,$A1181+1))),IF(E1181&lt;=0,0,MAX(0,(B1181/E1181)*I1181/INDEX(Surface_Engine!$B$12:$B$72,$A1181+1)-F1181/INDEX(Surface_Engine!$B$12:$B$72,$A1181+1))),IF($A1181&lt;$Q$1140,MAX(0,-Assumptions!$B$22*(F1181/INDEX(Surface_Engine!$B$12:$B$72,$A1181+1))),0)))^2+(MAX(0,J1181/INDEX(Surface_Engine!$B$12:$B$72,$A1181+1)-(F1181/INDEX(Surface_Engine!$B$12:$B$72,$A1181+1))))^2+2*Assumptions!$B$26*(IF(C1181&lt;=0,0,MAX(0,(B1181/C1181)*G1181/INDEX(Surface_Engine!$B$12:$B$72,$A1181+1)-F1181/INDEX(Surface_Engine!$B$12:$B$72,$A1181+1))))*(MAX(IF(D1181&lt;=0,0,MAX(0,(B1181/D1181)*H1181/INDEX(Surface_Engine!$B$12:$B$72,$A1181+1)-F1181/INDEX(Surface_Engine!$B$12:$B$72,$A1181+1))),IF(E1181&lt;=0,0,MAX(0,(B1181/E1181)*I1181/INDEX(Surface_Engine!$B$12:$B$72,$A1181+1)-F1181/INDEX(Surface_Engine!$B$12:$B$72,$A1181+1))),IF($A1181&lt;$Q$1140,MAX(0,-Assumptions!$B$22*(F1181/INDEX(Surface_Engine!$B$12:$B$72,$A1181+1))),0)))+2*Assumptions!$B$27*(IF(C1181&lt;=0,0,MAX(0,(B1181/C1181)*G1181/INDEX(Surface_Engine!$B$12:$B$72,$A1181+1)-F1181/INDEX(Surface_Engine!$B$12:$B$72,$A1181+1))))*(MAX(0,J1181/INDEX(Surface_Engine!$B$12:$B$72,$A1181+1)-(F1181/INDEX(Surface_Engine!$B$12:$B$72,$A1181+1))))+2*Assumptions!$B$28*(MAX(IF(D1181&lt;=0,0,MAX(0,(B1181/D1181)*H1181/INDEX(Surface_Engine!$B$12:$B$72,$A1181+1)-F1181/INDEX(Surface_Engine!$B$12:$B$72,$A1181+1))),IF(E1181&lt;=0,0,MAX(0,(B1181/E1181)*I1181/INDEX(Surface_Engine!$B$12:$B$72,$A1181+1)-F1181/INDEX(Surface_Engine!$B$12:$B$72,$A1181+1))),IF($A1181&lt;$Q$1140,MAX(0,-Assumptions!$B$22*(F1181/INDEX(Surface_Engine!$B$12:$B$72,$A1181+1))),0)))*(MAX(0,J1181/INDEX(Surface_Engine!$B$12:$B$72,$A1181+1)-(F1181/INDEX(Surface_Engine!$B$12:$B$72,$A1181+1)))))</f>
        <v>41.9309040829256</v>
      </c>
      <c r="L1181" s="48" t="n">
        <f aca="false">K1181*INDEX(Surface_Engine!$B$12:$B$72,$A1181+1)+L1182</f>
        <v>26.5483616682899</v>
      </c>
      <c r="M1181" s="48" t="n">
        <f aca="false">M1180+B1180*(IF($A1180&lt;$Q$1140,(Surface_Engine!L246*12)-(Surface_Engine!L246*12)*INDEX(Surface_Engine!$F$12:$F$72,$A1180+1)-INDEX(Surface_Engine!$D$12:$D$72,$A1180+1),-(1000*12*INDEX(Surface_Engine!$C$12:$C$72,$A1180+1)/(1+Assumptions!$B$10)^15+INDEX(Surface_Engine!$D$12:$D$72,$A1180+1))))*INDEX(Surface_Engine!$B$12:$B$72,$A1180+1)</f>
        <v>1440.36324052788</v>
      </c>
      <c r="N1181" s="12" t="n">
        <f aca="false">IF(B1181&lt;=0,0,MAX(0,(K1181+Assumptions!$B$29*L1181/INDEX(Surface_Engine!$B$12:$B$72,$A1181+1)-(M1181/INDEX(Surface_Engine!$B$12:$B$72,$A1181+1)-(F1181/INDEX(Surface_Engine!$B$12:$B$72,$A1181+1))))/B1181))</f>
        <v>0</v>
      </c>
    </row>
    <row r="1182" customFormat="false" ht="15" hidden="false" customHeight="true" outlineLevel="0" collapsed="false">
      <c r="A1182" s="1" t="n">
        <v>40</v>
      </c>
      <c r="B1182" s="32" t="n">
        <f aca="false">INDEX(Surface_Engine!$Q$12:$Q$72,$A1182+1)*IF($A1182&lt;$Q$1140,INDEX(Surface_Engine!$E$12:$E$72,$A1182+1),INDEX(Surface_Engine!$E$12:$E$72,$Q$1140+1))</f>
        <v>0.00258036553626674</v>
      </c>
      <c r="C1182" s="32" t="n">
        <f aca="false">INDEX(Panel_Reserving!$F$8:$F$68,$A1182+1)*IF($A1182&lt;$Q$1140,INDEX(Surface_Engine!$E$12:$E$72,$A1182+1),INDEX(Surface_Engine!$E$12:$E$72,$Q$1140+1))</f>
        <v>0.00938652508859464</v>
      </c>
      <c r="D1182" s="32" t="n">
        <f aca="false">INDEX(Surface_Engine!$Q$12:$Q$72,$A1182+1)*IF($A1182&lt;$Q$1140,INDEX(Surface_Engine!$Y$12:$Y$72,$A1182+1),INDEX(Surface_Engine!$Y$12:$Y$72,$Q$1140+1))</f>
        <v>0.00233749857103172</v>
      </c>
      <c r="E1182" s="32" t="n">
        <f aca="false">INDEX(Surface_Engine!$Q$12:$Q$72,$A1182+1)*IF($A1182&lt;$Q$1140,INDEX(Surface_Engine!$Z$12:$Z$72,$A1182+1),INDEX(Surface_Engine!$Z$12:$Z$72,$Q$1140+1))</f>
        <v>0.00284585296210452</v>
      </c>
      <c r="F1182" s="48" t="n">
        <f aca="false">B1182*(IF($A1182&lt;$Q$1140,INDEX(Surface_Engine!$D$12:$D$72,$A1182+1)+(Surface_Engine!L246*12)*INDEX(Surface_Engine!$F$12:$F$72,$A1182+1)-(Surface_Engine!L246*12),1000*12*INDEX(Surface_Engine!$C$12:$C$72,$A1182+1)/(1+Assumptions!$B$10)^15+INDEX(Surface_Engine!$D$12:$D$72,$A1182+1)))*INDEX(Surface_Engine!$B$12:$B$72,$A1182+1)+F1183</f>
        <v>31.2500318512324</v>
      </c>
      <c r="G1182" s="48" t="n">
        <f aca="false">C1182*(IF($A1182&lt;$Q$1140,INDEX(Surface_Engine!$D$12:$D$72,$A1182+1)+(Surface_Engine!L246*12)*INDEX(Surface_Engine!$F$12:$F$72,$A1182+1)-(Surface_Engine!L246*12),1000*12*INDEX(Surface_Engine!$C$12:$C$72,$A1182+1)/(1+Assumptions!$B$10)^15+INDEX(Surface_Engine!$D$12:$D$72,$A1182+1)))*INDEX(Surface_Engine!$B$12:$B$72,$A1182+1)+G1183</f>
        <v>138.788567450437</v>
      </c>
      <c r="H1182" s="48" t="n">
        <f aca="false">D1182*(IF($A1182&lt;$Q$1140,INDEX(Surface_Engine!$D$12:$D$72,$A1182+1)+(Surface_Engine!L246*12)*INDEX(Surface_Engine!$F$12:$F$72,$A1182+1)-(Surface_Engine!L246*12),1000*12*INDEX(Surface_Engine!$C$12:$C$72,$A1182+1)/(1+Assumptions!$B$10)^15+INDEX(Surface_Engine!$D$12:$D$72,$A1182+1)))*INDEX(Surface_Engine!$B$12:$B$72,$A1182+1)+H1183</f>
        <v>28.3087429940782</v>
      </c>
      <c r="I1182" s="48" t="n">
        <f aca="false">E1182*(IF($A1182&lt;$Q$1140,INDEX(Surface_Engine!$D$12:$D$72,$A1182+1)+(Surface_Engine!L246*12)*INDEX(Surface_Engine!$F$12:$F$72,$A1182+1)-(Surface_Engine!L246*12),1000*12*INDEX(Surface_Engine!$C$12:$C$72,$A1182+1)/(1+Assumptions!$B$10)^15+INDEX(Surface_Engine!$D$12:$D$72,$A1182+1)))*INDEX(Surface_Engine!$B$12:$B$72,$A1182+1)+I1183</f>
        <v>34.4652703114142</v>
      </c>
      <c r="J1182" s="48" t="n">
        <f aca="false">B1182*(IF($A1182&lt;$Q$1140,INDEX(Surface_Engine!$D$12:$D$72,$A1182+1)*(1+Assumptions!$B$24)+(Surface_Engine!L246*12)*INDEX(Surface_Engine!$F$12:$F$72,$A1182+1)-(Surface_Engine!L246*12),1000*12*INDEX(Surface_Engine!$C$12:$C$72,$A1182+1)/(1+Assumptions!$B$10)^15+INDEX(Surface_Engine!$D$12:$D$72,$A1182+1)*(1+Assumptions!$B$24)))*INDEX(Surface_Engine!$B$12:$B$72,$A1182+1)+J1183</f>
        <v>31.2847745270485</v>
      </c>
      <c r="K1182" s="12" t="n">
        <f aca="false">SQRT((IF(C1182&lt;=0,0,MAX(0,(B1182/C1182)*G1182/INDEX(Surface_Engine!$B$12:$B$72,$A1182+1)-F1182/INDEX(Surface_Engine!$B$12:$B$72,$A1182+1))))^2+(MAX(IF(D1182&lt;=0,0,MAX(0,(B1182/D1182)*H1182/INDEX(Surface_Engine!$B$12:$B$72,$A1182+1)-F1182/INDEX(Surface_Engine!$B$12:$B$72,$A1182+1))),IF(E1182&lt;=0,0,MAX(0,(B1182/E1182)*I1182/INDEX(Surface_Engine!$B$12:$B$72,$A1182+1)-F1182/INDEX(Surface_Engine!$B$12:$B$72,$A1182+1))),IF($A1182&lt;$Q$1140,MAX(0,-Assumptions!$B$22*(F1182/INDEX(Surface_Engine!$B$12:$B$72,$A1182+1))),0)))^2+(MAX(0,J1182/INDEX(Surface_Engine!$B$12:$B$72,$A1182+1)-(F1182/INDEX(Surface_Engine!$B$12:$B$72,$A1182+1))))^2+2*Assumptions!$B$26*(IF(C1182&lt;=0,0,MAX(0,(B1182/C1182)*G1182/INDEX(Surface_Engine!$B$12:$B$72,$A1182+1)-F1182/INDEX(Surface_Engine!$B$12:$B$72,$A1182+1))))*(MAX(IF(D1182&lt;=0,0,MAX(0,(B1182/D1182)*H1182/INDEX(Surface_Engine!$B$12:$B$72,$A1182+1)-F1182/INDEX(Surface_Engine!$B$12:$B$72,$A1182+1))),IF(E1182&lt;=0,0,MAX(0,(B1182/E1182)*I1182/INDEX(Surface_Engine!$B$12:$B$72,$A1182+1)-F1182/INDEX(Surface_Engine!$B$12:$B$72,$A1182+1))),IF($A1182&lt;$Q$1140,MAX(0,-Assumptions!$B$22*(F1182/INDEX(Surface_Engine!$B$12:$B$72,$A1182+1))),0)))+2*Assumptions!$B$27*(IF(C1182&lt;=0,0,MAX(0,(B1182/C1182)*G1182/INDEX(Surface_Engine!$B$12:$B$72,$A1182+1)-F1182/INDEX(Surface_Engine!$B$12:$B$72,$A1182+1))))*(MAX(0,J1182/INDEX(Surface_Engine!$B$12:$B$72,$A1182+1)-(F1182/INDEX(Surface_Engine!$B$12:$B$72,$A1182+1))))+2*Assumptions!$B$28*(MAX(IF(D1182&lt;=0,0,MAX(0,(B1182/D1182)*H1182/INDEX(Surface_Engine!$B$12:$B$72,$A1182+1)-F1182/INDEX(Surface_Engine!$B$12:$B$72,$A1182+1))),IF(E1182&lt;=0,0,MAX(0,(B1182/E1182)*I1182/INDEX(Surface_Engine!$B$12:$B$72,$A1182+1)-F1182/INDEX(Surface_Engine!$B$12:$B$72,$A1182+1))),IF($A1182&lt;$Q$1140,MAX(0,-Assumptions!$B$22*(F1182/INDEX(Surface_Engine!$B$12:$B$72,$A1182+1))),0)))*(MAX(0,J1182/INDEX(Surface_Engine!$B$12:$B$72,$A1182+1)-(F1182/INDEX(Surface_Engine!$B$12:$B$72,$A1182+1)))))</f>
        <v>24.3753581273002</v>
      </c>
      <c r="L1182" s="48" t="n">
        <f aca="false">K1182*INDEX(Surface_Engine!$B$12:$B$72,$A1182+1)+L1183</f>
        <v>14.2685938386077</v>
      </c>
      <c r="M1182" s="48" t="n">
        <f aca="false">M1181+B1181*(IF($A1181&lt;$Q$1140,(Surface_Engine!L246*12)-(Surface_Engine!L246*12)*INDEX(Surface_Engine!$F$12:$F$72,$A1181+1)-INDEX(Surface_Engine!$D$12:$D$72,$A1181+1),-(1000*12*INDEX(Surface_Engine!$C$12:$C$72,$A1181+1)/(1+Assumptions!$B$10)^15+INDEX(Surface_Engine!$D$12:$D$72,$A1181+1))))*INDEX(Surface_Engine!$B$12:$B$72,$A1181+1)</f>
        <v>1415.25418841304</v>
      </c>
      <c r="N1182" s="12" t="n">
        <f aca="false">IF(B1182&lt;=0,0,MAX(0,(K1182+Assumptions!$B$29*L1182/INDEX(Surface_Engine!$B$12:$B$72,$A1182+1)-(M1182/INDEX(Surface_Engine!$B$12:$B$72,$A1182+1)-(F1182/INDEX(Surface_Engine!$B$12:$B$72,$A1182+1))))/B1182))</f>
        <v>0</v>
      </c>
    </row>
    <row r="1183" customFormat="false" ht="15" hidden="false" customHeight="true" outlineLevel="0" collapsed="false">
      <c r="A1183" s="1" t="n">
        <v>41</v>
      </c>
      <c r="B1183" s="32" t="n">
        <f aca="false">INDEX(Surface_Engine!$Q$12:$Q$72,$A1183+1)*IF($A1183&lt;$Q$1140,INDEX(Surface_Engine!$E$12:$E$72,$A1183+1),INDEX(Surface_Engine!$E$12:$E$72,$Q$1140+1))</f>
        <v>0.00144347995766453</v>
      </c>
      <c r="C1183" s="32" t="n">
        <f aca="false">INDEX(Panel_Reserving!$F$8:$F$68,$A1183+1)*IF($A1183&lt;$Q$1140,INDEX(Surface_Engine!$E$12:$E$72,$A1183+1),INDEX(Surface_Engine!$E$12:$E$72,$Q$1140+1))</f>
        <v>0.00607803104573888</v>
      </c>
      <c r="D1183" s="32" t="n">
        <f aca="false">INDEX(Surface_Engine!$Q$12:$Q$72,$A1183+1)*IF($A1183&lt;$Q$1140,INDEX(Surface_Engine!$Y$12:$Y$72,$A1183+1),INDEX(Surface_Engine!$Y$12:$Y$72,$Q$1140+1))</f>
        <v>0.0013076179676603</v>
      </c>
      <c r="E1183" s="32" t="n">
        <f aca="false">INDEX(Surface_Engine!$Q$12:$Q$72,$A1183+1)*IF($A1183&lt;$Q$1140,INDEX(Surface_Engine!$Z$12:$Z$72,$A1183+1),INDEX(Surface_Engine!$Z$12:$Z$72,$Q$1140+1))</f>
        <v>0.00159199603913539</v>
      </c>
      <c r="F1183" s="48" t="n">
        <f aca="false">B1183*(IF($A1183&lt;$Q$1140,INDEX(Surface_Engine!$D$12:$D$72,$A1183+1)+(Surface_Engine!L246*12)*INDEX(Surface_Engine!$F$12:$F$72,$A1183+1)-(Surface_Engine!L246*12),1000*12*INDEX(Surface_Engine!$C$12:$C$72,$A1183+1)/(1+Assumptions!$B$10)^15+INDEX(Surface_Engine!$D$12:$D$72,$A1183+1)))*INDEX(Surface_Engine!$B$12:$B$72,$A1183+1)+F1184</f>
        <v>16.6840225622367</v>
      </c>
      <c r="G1183" s="48" t="n">
        <f aca="false">C1183*(IF($A1183&lt;$Q$1140,INDEX(Surface_Engine!$D$12:$D$72,$A1183+1)+(Surface_Engine!L246*12)*INDEX(Surface_Engine!$F$12:$F$72,$A1183+1)-(Surface_Engine!L246*12),1000*12*INDEX(Surface_Engine!$C$12:$C$72,$A1183+1)/(1+Assumptions!$B$10)^15+INDEX(Surface_Engine!$D$12:$D$72,$A1183+1)))*INDEX(Surface_Engine!$B$12:$B$72,$A1183+1)+G1184</f>
        <v>85.8021941206824</v>
      </c>
      <c r="H1183" s="48" t="n">
        <f aca="false">D1183*(IF($A1183&lt;$Q$1140,INDEX(Surface_Engine!$D$12:$D$72,$A1183+1)+(Surface_Engine!L246*12)*INDEX(Surface_Engine!$F$12:$F$72,$A1183+1)-(Surface_Engine!L246*12),1000*12*INDEX(Surface_Engine!$C$12:$C$72,$A1183+1)/(1+Assumptions!$B$10)^15+INDEX(Surface_Engine!$D$12:$D$72,$A1183+1)))*INDEX(Surface_Engine!$B$12:$B$72,$A1183+1)+H1184</f>
        <v>15.113703213814</v>
      </c>
      <c r="I1183" s="48" t="n">
        <f aca="false">E1183*(IF($A1183&lt;$Q$1140,INDEX(Surface_Engine!$D$12:$D$72,$A1183+1)+(Surface_Engine!L246*12)*INDEX(Surface_Engine!$F$12:$F$72,$A1183+1)-(Surface_Engine!L246*12),1000*12*INDEX(Surface_Engine!$C$12:$C$72,$A1183+1)/(1+Assumptions!$B$10)^15+INDEX(Surface_Engine!$D$12:$D$72,$A1183+1)))*INDEX(Surface_Engine!$B$12:$B$72,$A1183+1)+I1184</f>
        <v>18.4006003650376</v>
      </c>
      <c r="J1183" s="48" t="n">
        <f aca="false">B1183*(IF($A1183&lt;$Q$1140,INDEX(Surface_Engine!$D$12:$D$72,$A1183+1)*(1+Assumptions!$B$24)+(Surface_Engine!L246*12)*INDEX(Surface_Engine!$F$12:$F$72,$A1183+1)-(Surface_Engine!L246*12),1000*12*INDEX(Surface_Engine!$C$12:$C$72,$A1183+1)/(1+Assumptions!$B$10)^15+INDEX(Surface_Engine!$D$12:$D$72,$A1183+1)*(1+Assumptions!$B$24)))*INDEX(Surface_Engine!$B$12:$B$72,$A1183+1)+J1184</f>
        <v>16.7026553145281</v>
      </c>
      <c r="K1183" s="12" t="n">
        <f aca="false">SQRT((IF(C1183&lt;=0,0,MAX(0,(B1183/C1183)*G1183/INDEX(Surface_Engine!$B$12:$B$72,$A1183+1)-F1183/INDEX(Surface_Engine!$B$12:$B$72,$A1183+1))))^2+(MAX(IF(D1183&lt;=0,0,MAX(0,(B1183/D1183)*H1183/INDEX(Surface_Engine!$B$12:$B$72,$A1183+1)-F1183/INDEX(Surface_Engine!$B$12:$B$72,$A1183+1))),IF(E1183&lt;=0,0,MAX(0,(B1183/E1183)*I1183/INDEX(Surface_Engine!$B$12:$B$72,$A1183+1)-F1183/INDEX(Surface_Engine!$B$12:$B$72,$A1183+1))),IF($A1183&lt;$Q$1140,MAX(0,-Assumptions!$B$22*(F1183/INDEX(Surface_Engine!$B$12:$B$72,$A1183+1))),0)))^2+(MAX(0,J1183/INDEX(Surface_Engine!$B$12:$B$72,$A1183+1)-(F1183/INDEX(Surface_Engine!$B$12:$B$72,$A1183+1))))^2+2*Assumptions!$B$26*(IF(C1183&lt;=0,0,MAX(0,(B1183/C1183)*G1183/INDEX(Surface_Engine!$B$12:$B$72,$A1183+1)-F1183/INDEX(Surface_Engine!$B$12:$B$72,$A1183+1))))*(MAX(IF(D1183&lt;=0,0,MAX(0,(B1183/D1183)*H1183/INDEX(Surface_Engine!$B$12:$B$72,$A1183+1)-F1183/INDEX(Surface_Engine!$B$12:$B$72,$A1183+1))),IF(E1183&lt;=0,0,MAX(0,(B1183/E1183)*I1183/INDEX(Surface_Engine!$B$12:$B$72,$A1183+1)-F1183/INDEX(Surface_Engine!$B$12:$B$72,$A1183+1))),IF($A1183&lt;$Q$1140,MAX(0,-Assumptions!$B$22*(F1183/INDEX(Surface_Engine!$B$12:$B$72,$A1183+1))),0)))+2*Assumptions!$B$27*(IF(C1183&lt;=0,0,MAX(0,(B1183/C1183)*G1183/INDEX(Surface_Engine!$B$12:$B$72,$A1183+1)-F1183/INDEX(Surface_Engine!$B$12:$B$72,$A1183+1))))*(MAX(0,J1183/INDEX(Surface_Engine!$B$12:$B$72,$A1183+1)-(F1183/INDEX(Surface_Engine!$B$12:$B$72,$A1183+1))))+2*Assumptions!$B$28*(MAX(IF(D1183&lt;=0,0,MAX(0,(B1183/D1183)*H1183/INDEX(Surface_Engine!$B$12:$B$72,$A1183+1)-F1183/INDEX(Surface_Engine!$B$12:$B$72,$A1183+1))),IF(E1183&lt;=0,0,MAX(0,(B1183/E1183)*I1183/INDEX(Surface_Engine!$B$12:$B$72,$A1183+1)-F1183/INDEX(Surface_Engine!$B$12:$B$72,$A1183+1))),IF($A1183&lt;$Q$1140,MAX(0,-Assumptions!$B$22*(F1183/INDEX(Surface_Engine!$B$12:$B$72,$A1183+1))),0)))*(MAX(0,J1183/INDEX(Surface_Engine!$B$12:$B$72,$A1183+1)-(F1183/INDEX(Surface_Engine!$B$12:$B$72,$A1183+1)))))</f>
        <v>13.4693768115014</v>
      </c>
      <c r="L1183" s="48" t="n">
        <f aca="false">K1183*INDEX(Surface_Engine!$B$12:$B$72,$A1183+1)+L1184</f>
        <v>7.35673622240515</v>
      </c>
      <c r="M1183" s="48" t="n">
        <f aca="false">M1182+B1182*(IF($A1182&lt;$Q$1140,(Surface_Engine!L246*12)-(Surface_Engine!L246*12)*INDEX(Surface_Engine!$F$12:$F$72,$A1182+1)-INDEX(Surface_Engine!$D$12:$D$72,$A1182+1),-(1000*12*INDEX(Surface_Engine!$C$12:$C$72,$A1182+1)/(1+Assumptions!$B$10)^15+INDEX(Surface_Engine!$D$12:$D$72,$A1182+1))))*INDEX(Surface_Engine!$B$12:$B$72,$A1182+1)</f>
        <v>1400.68817912404</v>
      </c>
      <c r="N1183" s="12" t="n">
        <f aca="false">IF(B1183&lt;=0,0,MAX(0,(K1183+Assumptions!$B$29*L1183/INDEX(Surface_Engine!$B$12:$B$72,$A1183+1)-(M1183/INDEX(Surface_Engine!$B$12:$B$72,$A1183+1)-(F1183/INDEX(Surface_Engine!$B$12:$B$72,$A1183+1))))/B1183))</f>
        <v>0</v>
      </c>
    </row>
    <row r="1184" customFormat="false" ht="15" hidden="false" customHeight="true" outlineLevel="0" collapsed="false">
      <c r="A1184" s="1" t="n">
        <v>42</v>
      </c>
      <c r="B1184" s="32" t="n">
        <f aca="false">INDEX(Surface_Engine!$Q$12:$Q$72,$A1184+1)*IF($A1184&lt;$Q$1140,INDEX(Surface_Engine!$E$12:$E$72,$A1184+1),INDEX(Surface_Engine!$E$12:$E$72,$Q$1140+1))</f>
        <v>0.000782022388342209</v>
      </c>
      <c r="C1184" s="32" t="n">
        <f aca="false">INDEX(Panel_Reserving!$F$8:$F$68,$A1184+1)*IF($A1184&lt;$Q$1140,INDEX(Surface_Engine!$E$12:$E$72,$A1184+1),INDEX(Surface_Engine!$E$12:$E$72,$Q$1140+1))</f>
        <v>0.00384988253813658</v>
      </c>
      <c r="D1184" s="32" t="n">
        <f aca="false">INDEX(Surface_Engine!$Q$12:$Q$72,$A1184+1)*IF($A1184&lt;$Q$1140,INDEX(Surface_Engine!$Y$12:$Y$72,$A1184+1),INDEX(Surface_Engine!$Y$12:$Y$72,$Q$1140+1))</f>
        <v>0.000708417543783133</v>
      </c>
      <c r="E1184" s="32" t="n">
        <f aca="false">INDEX(Surface_Engine!$Q$12:$Q$72,$A1184+1)*IF($A1184&lt;$Q$1140,INDEX(Surface_Engine!$Z$12:$Z$72,$A1184+1),INDEX(Surface_Engine!$Z$12:$Z$72,$Q$1140+1))</f>
        <v>0.000862482737044923</v>
      </c>
      <c r="F1184" s="48" t="n">
        <f aca="false">B1184*(IF($A1184&lt;$Q$1140,INDEX(Surface_Engine!$D$12:$D$72,$A1184+1)+(Surface_Engine!L246*12)*INDEX(Surface_Engine!$F$12:$F$72,$A1184+1)-(Surface_Engine!L246*12),1000*12*INDEX(Surface_Engine!$C$12:$C$72,$A1184+1)/(1+Assumptions!$B$10)^15+INDEX(Surface_Engine!$D$12:$D$72,$A1184+1)))*INDEX(Surface_Engine!$B$12:$B$72,$A1184+1)+F1185</f>
        <v>8.63645100967587</v>
      </c>
      <c r="G1184" s="48" t="n">
        <f aca="false">C1184*(IF($A1184&lt;$Q$1140,INDEX(Surface_Engine!$D$12:$D$72,$A1184+1)+(Surface_Engine!L246*12)*INDEX(Surface_Engine!$F$12:$F$72,$A1184+1)-(Surface_Engine!L246*12),1000*12*INDEX(Surface_Engine!$C$12:$C$72,$A1184+1)/(1+Assumptions!$B$10)^15+INDEX(Surface_Engine!$D$12:$D$72,$A1184+1)))*INDEX(Surface_Engine!$B$12:$B$72,$A1184+1)+G1185</f>
        <v>51.9164519047607</v>
      </c>
      <c r="H1184" s="48" t="n">
        <f aca="false">D1184*(IF($A1184&lt;$Q$1140,INDEX(Surface_Engine!$D$12:$D$72,$A1184+1)+(Surface_Engine!L246*12)*INDEX(Surface_Engine!$F$12:$F$72,$A1184+1)-(Surface_Engine!L246*12),1000*12*INDEX(Surface_Engine!$C$12:$C$72,$A1184+1)/(1+Assumptions!$B$10)^15+INDEX(Surface_Engine!$D$12:$D$72,$A1184+1)))*INDEX(Surface_Engine!$B$12:$B$72,$A1184+1)+H1185</f>
        <v>7.82357833034397</v>
      </c>
      <c r="I1184" s="48" t="n">
        <f aca="false">E1184*(IF($A1184&lt;$Q$1140,INDEX(Surface_Engine!$D$12:$D$72,$A1184+1)+(Surface_Engine!L246*12)*INDEX(Surface_Engine!$F$12:$F$72,$A1184+1)-(Surface_Engine!L246*12),1000*12*INDEX(Surface_Engine!$C$12:$C$72,$A1184+1)/(1+Assumptions!$B$10)^15+INDEX(Surface_Engine!$D$12:$D$72,$A1184+1)))*INDEX(Surface_Engine!$B$12:$B$72,$A1184+1)+I1185</f>
        <v>9.5250340862621</v>
      </c>
      <c r="J1184" s="48" t="n">
        <f aca="false">B1184*(IF($A1184&lt;$Q$1140,INDEX(Surface_Engine!$D$12:$D$72,$A1184+1)*(1+Assumptions!$B$24)+(Surface_Engine!L246*12)*INDEX(Surface_Engine!$F$12:$F$72,$A1184+1)-(Surface_Engine!L246*12),1000*12*INDEX(Surface_Engine!$C$12:$C$72,$A1184+1)/(1+Assumptions!$B$10)^15+INDEX(Surface_Engine!$D$12:$D$72,$A1184+1)*(1+Assumptions!$B$24)))*INDEX(Surface_Engine!$B$12:$B$72,$A1184+1)+J1185</f>
        <v>8.64614004819774</v>
      </c>
      <c r="K1184" s="12" t="n">
        <f aca="false">SQRT((IF(C1184&lt;=0,0,MAX(0,(B1184/C1184)*G1184/INDEX(Surface_Engine!$B$12:$B$72,$A1184+1)-F1184/INDEX(Surface_Engine!$B$12:$B$72,$A1184+1))))^2+(MAX(IF(D1184&lt;=0,0,MAX(0,(B1184/D1184)*H1184/INDEX(Surface_Engine!$B$12:$B$72,$A1184+1)-F1184/INDEX(Surface_Engine!$B$12:$B$72,$A1184+1))),IF(E1184&lt;=0,0,MAX(0,(B1184/E1184)*I1184/INDEX(Surface_Engine!$B$12:$B$72,$A1184+1)-F1184/INDEX(Surface_Engine!$B$12:$B$72,$A1184+1))),IF($A1184&lt;$Q$1140,MAX(0,-Assumptions!$B$22*(F1184/INDEX(Surface_Engine!$B$12:$B$72,$A1184+1))),0)))^2+(MAX(0,J1184/INDEX(Surface_Engine!$B$12:$B$72,$A1184+1)-(F1184/INDEX(Surface_Engine!$B$12:$B$72,$A1184+1))))^2+2*Assumptions!$B$26*(IF(C1184&lt;=0,0,MAX(0,(B1184/C1184)*G1184/INDEX(Surface_Engine!$B$12:$B$72,$A1184+1)-F1184/INDEX(Surface_Engine!$B$12:$B$72,$A1184+1))))*(MAX(IF(D1184&lt;=0,0,MAX(0,(B1184/D1184)*H1184/INDEX(Surface_Engine!$B$12:$B$72,$A1184+1)-F1184/INDEX(Surface_Engine!$B$12:$B$72,$A1184+1))),IF(E1184&lt;=0,0,MAX(0,(B1184/E1184)*I1184/INDEX(Surface_Engine!$B$12:$B$72,$A1184+1)-F1184/INDEX(Surface_Engine!$B$12:$B$72,$A1184+1))),IF($A1184&lt;$Q$1140,MAX(0,-Assumptions!$B$22*(F1184/INDEX(Surface_Engine!$B$12:$B$72,$A1184+1))),0)))+2*Assumptions!$B$27*(IF(C1184&lt;=0,0,MAX(0,(B1184/C1184)*G1184/INDEX(Surface_Engine!$B$12:$B$72,$A1184+1)-F1184/INDEX(Surface_Engine!$B$12:$B$72,$A1184+1))))*(MAX(0,J1184/INDEX(Surface_Engine!$B$12:$B$72,$A1184+1)-(F1184/INDEX(Surface_Engine!$B$12:$B$72,$A1184+1))))+2*Assumptions!$B$28*(MAX(IF(D1184&lt;=0,0,MAX(0,(B1184/D1184)*H1184/INDEX(Surface_Engine!$B$12:$B$72,$A1184+1)-F1184/INDEX(Surface_Engine!$B$12:$B$72,$A1184+1))),IF(E1184&lt;=0,0,MAX(0,(B1184/E1184)*I1184/INDEX(Surface_Engine!$B$12:$B$72,$A1184+1)-F1184/INDEX(Surface_Engine!$B$12:$B$72,$A1184+1))),IF($A1184&lt;$Q$1140,MAX(0,-Assumptions!$B$22*(F1184/INDEX(Surface_Engine!$B$12:$B$72,$A1184+1))),0)))*(MAX(0,J1184/INDEX(Surface_Engine!$B$12:$B$72,$A1184+1)-(F1184/INDEX(Surface_Engine!$B$12:$B$72,$A1184+1)))))</f>
        <v>7.18918843630677</v>
      </c>
      <c r="L1184" s="48" t="n">
        <f aca="false">K1184*INDEX(Surface_Engine!$B$12:$B$72,$A1184+1)+L1185</f>
        <v>3.65877542510572</v>
      </c>
      <c r="M1184" s="48" t="n">
        <f aca="false">M1183+B1183*(IF($A1183&lt;$Q$1140,(Surface_Engine!L246*12)-(Surface_Engine!L246*12)*INDEX(Surface_Engine!$F$12:$F$72,$A1183+1)-INDEX(Surface_Engine!$D$12:$D$72,$A1183+1),-(1000*12*INDEX(Surface_Engine!$C$12:$C$72,$A1183+1)/(1+Assumptions!$B$10)^15+INDEX(Surface_Engine!$D$12:$D$72,$A1183+1))))*INDEX(Surface_Engine!$B$12:$B$72,$A1183+1)</f>
        <v>1392.64060757148</v>
      </c>
      <c r="N1184" s="12" t="n">
        <f aca="false">IF(B1184&lt;=0,0,MAX(0,(K1184+Assumptions!$B$29*L1184/INDEX(Surface_Engine!$B$12:$B$72,$A1184+1)-(M1184/INDEX(Surface_Engine!$B$12:$B$72,$A1184+1)-(F1184/INDEX(Surface_Engine!$B$12:$B$72,$A1184+1))))/B1184))</f>
        <v>0</v>
      </c>
    </row>
    <row r="1185" customFormat="false" ht="15" hidden="false" customHeight="true" outlineLevel="0" collapsed="false">
      <c r="A1185" s="1" t="n">
        <v>43</v>
      </c>
      <c r="B1185" s="32" t="n">
        <f aca="false">INDEX(Surface_Engine!$Q$12:$Q$72,$A1185+1)*IF($A1185&lt;$Q$1140,INDEX(Surface_Engine!$E$12:$E$72,$A1185+1),INDEX(Surface_Engine!$E$12:$E$72,$Q$1140+1))</f>
        <v>0.000409925518536126</v>
      </c>
      <c r="C1185" s="32" t="n">
        <f aca="false">INDEX(Panel_Reserving!$F$8:$F$68,$A1185+1)*IF($A1185&lt;$Q$1140,INDEX(Surface_Engine!$E$12:$E$72,$A1185+1),INDEX(Surface_Engine!$E$12:$E$72,$Q$1140+1))</f>
        <v>0.00238442143327128</v>
      </c>
      <c r="D1185" s="32" t="n">
        <f aca="false">INDEX(Surface_Engine!$Q$12:$Q$72,$A1185+1)*IF($A1185&lt;$Q$1140,INDEX(Surface_Engine!$Y$12:$Y$72,$A1185+1),INDEX(Surface_Engine!$Y$12:$Y$72,$Q$1140+1))</f>
        <v>0.000371342858343222</v>
      </c>
      <c r="E1185" s="32" t="n">
        <f aca="false">INDEX(Surface_Engine!$Q$12:$Q$72,$A1185+1)*IF($A1185&lt;$Q$1140,INDEX(Surface_Engine!$Z$12:$Z$72,$A1185+1),INDEX(Surface_Engine!$Z$12:$Z$72,$Q$1140+1))</f>
        <v>0.000452101740924691</v>
      </c>
      <c r="F1185" s="48" t="n">
        <f aca="false">B1185*(IF($A1185&lt;$Q$1140,INDEX(Surface_Engine!$D$12:$D$72,$A1185+1)+(Surface_Engine!L246*12)*INDEX(Surface_Engine!$F$12:$F$72,$A1185+1)-(Surface_Engine!L246*12),1000*12*INDEX(Surface_Engine!$C$12:$C$72,$A1185+1)/(1+Assumptions!$B$10)^15+INDEX(Surface_Engine!$D$12:$D$72,$A1185+1)))*INDEX(Surface_Engine!$B$12:$B$72,$A1185+1)+F1186</f>
        <v>4.32892367438685</v>
      </c>
      <c r="G1185" s="48" t="n">
        <f aca="false">C1185*(IF($A1185&lt;$Q$1140,INDEX(Surface_Engine!$D$12:$D$72,$A1185+1)+(Surface_Engine!L246*12)*INDEX(Surface_Engine!$F$12:$F$72,$A1185+1)-(Surface_Engine!L246*12),1000*12*INDEX(Surface_Engine!$C$12:$C$72,$A1185+1)/(1+Assumptions!$B$10)^15+INDEX(Surface_Engine!$D$12:$D$72,$A1185+1)))*INDEX(Surface_Engine!$B$12:$B$72,$A1185+1)+G1186</f>
        <v>30.7105701833561</v>
      </c>
      <c r="H1185" s="48" t="n">
        <f aca="false">D1185*(IF($A1185&lt;$Q$1140,INDEX(Surface_Engine!$D$12:$D$72,$A1185+1)+(Surface_Engine!L246*12)*INDEX(Surface_Engine!$F$12:$F$72,$A1185+1)-(Surface_Engine!L246*12),1000*12*INDEX(Surface_Engine!$C$12:$C$72,$A1185+1)/(1+Assumptions!$B$10)^15+INDEX(Surface_Engine!$D$12:$D$72,$A1185+1)))*INDEX(Surface_Engine!$B$12:$B$72,$A1185+1)+H1186</f>
        <v>3.92148041072683</v>
      </c>
      <c r="I1185" s="48" t="n">
        <f aca="false">E1185*(IF($A1185&lt;$Q$1140,INDEX(Surface_Engine!$D$12:$D$72,$A1185+1)+(Surface_Engine!L246*12)*INDEX(Surface_Engine!$F$12:$F$72,$A1185+1)-(Surface_Engine!L246*12),1000*12*INDEX(Surface_Engine!$C$12:$C$72,$A1185+1)/(1+Assumptions!$B$10)^15+INDEX(Surface_Engine!$D$12:$D$72,$A1185+1)))*INDEX(Surface_Engine!$B$12:$B$72,$A1185+1)+I1186</f>
        <v>4.77431592087607</v>
      </c>
      <c r="J1185" s="48" t="n">
        <f aca="false">B1185*(IF($A1185&lt;$Q$1140,INDEX(Surface_Engine!$D$12:$D$72,$A1185+1)*(1+Assumptions!$B$24)+(Surface_Engine!L246*12)*INDEX(Surface_Engine!$F$12:$F$72,$A1185+1)-(Surface_Engine!L246*12),1000*12*INDEX(Surface_Engine!$C$12:$C$72,$A1185+1)/(1+Assumptions!$B$10)^15+INDEX(Surface_Engine!$D$12:$D$72,$A1185+1)*(1+Assumptions!$B$24)))*INDEX(Surface_Engine!$B$12:$B$72,$A1185+1)+J1186</f>
        <v>4.33380231367286</v>
      </c>
      <c r="K1185" s="12" t="n">
        <f aca="false">SQRT((IF(C1185&lt;=0,0,MAX(0,(B1185/C1185)*G1185/INDEX(Surface_Engine!$B$12:$B$72,$A1185+1)-F1185/INDEX(Surface_Engine!$B$12:$B$72,$A1185+1))))^2+(MAX(IF(D1185&lt;=0,0,MAX(0,(B1185/D1185)*H1185/INDEX(Surface_Engine!$B$12:$B$72,$A1185+1)-F1185/INDEX(Surface_Engine!$B$12:$B$72,$A1185+1))),IF(E1185&lt;=0,0,MAX(0,(B1185/E1185)*I1185/INDEX(Surface_Engine!$B$12:$B$72,$A1185+1)-F1185/INDEX(Surface_Engine!$B$12:$B$72,$A1185+1))),IF($A1185&lt;$Q$1140,MAX(0,-Assumptions!$B$22*(F1185/INDEX(Surface_Engine!$B$12:$B$72,$A1185+1))),0)))^2+(MAX(0,J1185/INDEX(Surface_Engine!$B$12:$B$72,$A1185+1)-(F1185/INDEX(Surface_Engine!$B$12:$B$72,$A1185+1))))^2+2*Assumptions!$B$26*(IF(C1185&lt;=0,0,MAX(0,(B1185/C1185)*G1185/INDEX(Surface_Engine!$B$12:$B$72,$A1185+1)-F1185/INDEX(Surface_Engine!$B$12:$B$72,$A1185+1))))*(MAX(IF(D1185&lt;=0,0,MAX(0,(B1185/D1185)*H1185/INDEX(Surface_Engine!$B$12:$B$72,$A1185+1)-F1185/INDEX(Surface_Engine!$B$12:$B$72,$A1185+1))),IF(E1185&lt;=0,0,MAX(0,(B1185/E1185)*I1185/INDEX(Surface_Engine!$B$12:$B$72,$A1185+1)-F1185/INDEX(Surface_Engine!$B$12:$B$72,$A1185+1))),IF($A1185&lt;$Q$1140,MAX(0,-Assumptions!$B$22*(F1185/INDEX(Surface_Engine!$B$12:$B$72,$A1185+1))),0)))+2*Assumptions!$B$27*(IF(C1185&lt;=0,0,MAX(0,(B1185/C1185)*G1185/INDEX(Surface_Engine!$B$12:$B$72,$A1185+1)-F1185/INDEX(Surface_Engine!$B$12:$B$72,$A1185+1))))*(MAX(0,J1185/INDEX(Surface_Engine!$B$12:$B$72,$A1185+1)-(F1185/INDEX(Surface_Engine!$B$12:$B$72,$A1185+1))))+2*Assumptions!$B$28*(MAX(IF(D1185&lt;=0,0,MAX(0,(B1185/D1185)*H1185/INDEX(Surface_Engine!$B$12:$B$72,$A1185+1)-F1185/INDEX(Surface_Engine!$B$12:$B$72,$A1185+1))),IF(E1185&lt;=0,0,MAX(0,(B1185/E1185)*I1185/INDEX(Surface_Engine!$B$12:$B$72,$A1185+1)-F1185/INDEX(Surface_Engine!$B$12:$B$72,$A1185+1))),IF($A1185&lt;$Q$1140,MAX(0,-Assumptions!$B$22*(F1185/INDEX(Surface_Engine!$B$12:$B$72,$A1185+1))),0)))*(MAX(0,J1185/INDEX(Surface_Engine!$B$12:$B$72,$A1185+1)-(F1185/INDEX(Surface_Engine!$B$12:$B$72,$A1185+1)))))</f>
        <v>3.69790986039971</v>
      </c>
      <c r="L1185" s="48" t="n">
        <f aca="false">K1185*INDEX(Surface_Engine!$B$12:$B$72,$A1185+1)+L1186</f>
        <v>1.74704961518864</v>
      </c>
      <c r="M1185" s="48" t="n">
        <f aca="false">M1184+B1184*(IF($A1184&lt;$Q$1140,(Surface_Engine!L246*12)-(Surface_Engine!L246*12)*INDEX(Surface_Engine!$F$12:$F$72,$A1184+1)-INDEX(Surface_Engine!$D$12:$D$72,$A1184+1),-(1000*12*INDEX(Surface_Engine!$C$12:$C$72,$A1184+1)/(1+Assumptions!$B$10)^15+INDEX(Surface_Engine!$D$12:$D$72,$A1184+1))))*INDEX(Surface_Engine!$B$12:$B$72,$A1184+1)</f>
        <v>1388.33308023619</v>
      </c>
      <c r="N1185" s="12" t="n">
        <f aca="false">IF(B1185&lt;=0,0,MAX(0,(K1185+Assumptions!$B$29*L1185/INDEX(Surface_Engine!$B$12:$B$72,$A1185+1)-(M1185/INDEX(Surface_Engine!$B$12:$B$72,$A1185+1)-(F1185/INDEX(Surface_Engine!$B$12:$B$72,$A1185+1))))/B1185))</f>
        <v>0</v>
      </c>
    </row>
    <row r="1186" customFormat="false" ht="15" hidden="false" customHeight="true" outlineLevel="0" collapsed="false">
      <c r="A1186" s="1" t="n">
        <v>44</v>
      </c>
      <c r="B1186" s="32" t="n">
        <f aca="false">INDEX(Surface_Engine!$Q$12:$Q$72,$A1186+1)*IF($A1186&lt;$Q$1140,INDEX(Surface_Engine!$E$12:$E$72,$A1186+1),INDEX(Surface_Engine!$E$12:$E$72,$Q$1140+1))</f>
        <v>0.000207724421259263</v>
      </c>
      <c r="C1186" s="32" t="n">
        <f aca="false">INDEX(Panel_Reserving!$F$8:$F$68,$A1186+1)*IF($A1186&lt;$Q$1140,INDEX(Surface_Engine!$E$12:$E$72,$A1186+1),INDEX(Surface_Engine!$E$12:$E$72,$Q$1140+1))</f>
        <v>0.00144350390874214</v>
      </c>
      <c r="D1186" s="32" t="n">
        <f aca="false">INDEX(Surface_Engine!$Q$12:$Q$72,$A1186+1)*IF($A1186&lt;$Q$1140,INDEX(Surface_Engine!$Y$12:$Y$72,$A1186+1),INDEX(Surface_Engine!$Y$12:$Y$72,$Q$1140+1))</f>
        <v>0.000188173160367201</v>
      </c>
      <c r="E1186" s="32" t="n">
        <f aca="false">INDEX(Surface_Engine!$Q$12:$Q$72,$A1186+1)*IF($A1186&lt;$Q$1140,INDEX(Surface_Engine!$Z$12:$Z$72,$A1186+1),INDEX(Surface_Engine!$Z$12:$Z$72,$Q$1140+1))</f>
        <v>0.000229096673023079</v>
      </c>
      <c r="F1186" s="48" t="n">
        <f aca="false">B1186*(IF($A1186&lt;$Q$1140,INDEX(Surface_Engine!$D$12:$D$72,$A1186+1)+(Surface_Engine!L246*12)*INDEX(Surface_Engine!$F$12:$F$72,$A1186+1)-(Surface_Engine!L246*12),1000*12*INDEX(Surface_Engine!$C$12:$C$72,$A1186+1)/(1+Assumptions!$B$10)^15+INDEX(Surface_Engine!$D$12:$D$72,$A1186+1)))*INDEX(Surface_Engine!$B$12:$B$72,$A1186+1)+F1187</f>
        <v>2.09905477137291</v>
      </c>
      <c r="G1186" s="48" t="n">
        <f aca="false">C1186*(IF($A1186&lt;$Q$1140,INDEX(Surface_Engine!$D$12:$D$72,$A1186+1)+(Surface_Engine!L246*12)*INDEX(Surface_Engine!$F$12:$F$72,$A1186+1)-(Surface_Engine!L246*12),1000*12*INDEX(Surface_Engine!$C$12:$C$72,$A1186+1)/(1+Assumptions!$B$10)^15+INDEX(Surface_Engine!$D$12:$D$72,$A1186+1)))*INDEX(Surface_Engine!$B$12:$B$72,$A1186+1)+G1187</f>
        <v>17.7400500149149</v>
      </c>
      <c r="H1186" s="48" t="n">
        <f aca="false">D1186*(IF($A1186&lt;$Q$1140,INDEX(Surface_Engine!$D$12:$D$72,$A1186+1)+(Surface_Engine!L246*12)*INDEX(Surface_Engine!$F$12:$F$72,$A1186+1)-(Surface_Engine!L246*12),1000*12*INDEX(Surface_Engine!$C$12:$C$72,$A1186+1)/(1+Assumptions!$B$10)^15+INDEX(Surface_Engine!$D$12:$D$72,$A1186+1)))*INDEX(Surface_Engine!$B$12:$B$72,$A1186+1)+H1187</f>
        <v>1.90148932763234</v>
      </c>
      <c r="I1186" s="48" t="n">
        <f aca="false">E1186*(IF($A1186&lt;$Q$1140,INDEX(Surface_Engine!$D$12:$D$72,$A1186+1)+(Surface_Engine!L246*12)*INDEX(Surface_Engine!$F$12:$F$72,$A1186+1)-(Surface_Engine!L246*12),1000*12*INDEX(Surface_Engine!$C$12:$C$72,$A1186+1)/(1+Assumptions!$B$10)^15+INDEX(Surface_Engine!$D$12:$D$72,$A1186+1)))*INDEX(Surface_Engine!$B$12:$B$72,$A1186+1)+I1187</f>
        <v>2.31502132344156</v>
      </c>
      <c r="J1186" s="48" t="n">
        <f aca="false">B1186*(IF($A1186&lt;$Q$1140,INDEX(Surface_Engine!$D$12:$D$72,$A1186+1)*(1+Assumptions!$B$24)+(Surface_Engine!L246*12)*INDEX(Surface_Engine!$F$12:$F$72,$A1186+1)-(Surface_Engine!L246*12),1000*12*INDEX(Surface_Engine!$C$12:$C$72,$A1186+1)/(1+Assumptions!$B$10)^15+INDEX(Surface_Engine!$D$12:$D$72,$A1186+1)*(1+Assumptions!$B$24)))*INDEX(Surface_Engine!$B$12:$B$72,$A1186+1)+J1187</f>
        <v>2.10143115125103</v>
      </c>
      <c r="K1186" s="12" t="n">
        <f aca="false">SQRT((IF(C1186&lt;=0,0,MAX(0,(B1186/C1186)*G1186/INDEX(Surface_Engine!$B$12:$B$72,$A1186+1)-F1186/INDEX(Surface_Engine!$B$12:$B$72,$A1186+1))))^2+(MAX(IF(D1186&lt;=0,0,MAX(0,(B1186/D1186)*H1186/INDEX(Surface_Engine!$B$12:$B$72,$A1186+1)-F1186/INDEX(Surface_Engine!$B$12:$B$72,$A1186+1))),IF(E1186&lt;=0,0,MAX(0,(B1186/E1186)*I1186/INDEX(Surface_Engine!$B$12:$B$72,$A1186+1)-F1186/INDEX(Surface_Engine!$B$12:$B$72,$A1186+1))),IF($A1186&lt;$Q$1140,MAX(0,-Assumptions!$B$22*(F1186/INDEX(Surface_Engine!$B$12:$B$72,$A1186+1))),0)))^2+(MAX(0,J1186/INDEX(Surface_Engine!$B$12:$B$72,$A1186+1)-(F1186/INDEX(Surface_Engine!$B$12:$B$72,$A1186+1))))^2+2*Assumptions!$B$26*(IF(C1186&lt;=0,0,MAX(0,(B1186/C1186)*G1186/INDEX(Surface_Engine!$B$12:$B$72,$A1186+1)-F1186/INDEX(Surface_Engine!$B$12:$B$72,$A1186+1))))*(MAX(IF(D1186&lt;=0,0,MAX(0,(B1186/D1186)*H1186/INDEX(Surface_Engine!$B$12:$B$72,$A1186+1)-F1186/INDEX(Surface_Engine!$B$12:$B$72,$A1186+1))),IF(E1186&lt;=0,0,MAX(0,(B1186/E1186)*I1186/INDEX(Surface_Engine!$B$12:$B$72,$A1186+1)-F1186/INDEX(Surface_Engine!$B$12:$B$72,$A1186+1))),IF($A1186&lt;$Q$1140,MAX(0,-Assumptions!$B$22*(F1186/INDEX(Surface_Engine!$B$12:$B$72,$A1186+1))),0)))+2*Assumptions!$B$27*(IF(C1186&lt;=0,0,MAX(0,(B1186/C1186)*G1186/INDEX(Surface_Engine!$B$12:$B$72,$A1186+1)-F1186/INDEX(Surface_Engine!$B$12:$B$72,$A1186+1))))*(MAX(0,J1186/INDEX(Surface_Engine!$B$12:$B$72,$A1186+1)-(F1186/INDEX(Surface_Engine!$B$12:$B$72,$A1186+1))))+2*Assumptions!$B$28*(MAX(IF(D1186&lt;=0,0,MAX(0,(B1186/D1186)*H1186/INDEX(Surface_Engine!$B$12:$B$72,$A1186+1)-F1186/INDEX(Surface_Engine!$B$12:$B$72,$A1186+1))),IF(E1186&lt;=0,0,MAX(0,(B1186/E1186)*I1186/INDEX(Surface_Engine!$B$12:$B$72,$A1186+1)-F1186/INDEX(Surface_Engine!$B$12:$B$72,$A1186+1))),IF($A1186&lt;$Q$1140,MAX(0,-Assumptions!$B$22*(F1186/INDEX(Surface_Engine!$B$12:$B$72,$A1186+1))),0)))*(MAX(0,J1186/INDEX(Surface_Engine!$B$12:$B$72,$A1186+1)-(F1186/INDEX(Surface_Engine!$B$12:$B$72,$A1186+1)))))</f>
        <v>1.82234928060175</v>
      </c>
      <c r="L1186" s="48" t="n">
        <f aca="false">K1186*INDEX(Surface_Engine!$B$12:$B$72,$A1186+1)+L1187</f>
        <v>0.795034963084418</v>
      </c>
      <c r="M1186" s="48" t="n">
        <f aca="false">M1185+B1185*(IF($A1185&lt;$Q$1140,(Surface_Engine!L246*12)-(Surface_Engine!L246*12)*INDEX(Surface_Engine!$F$12:$F$72,$A1185+1)-INDEX(Surface_Engine!$D$12:$D$72,$A1185+1),-(1000*12*INDEX(Surface_Engine!$C$12:$C$72,$A1185+1)/(1+Assumptions!$B$10)^15+INDEX(Surface_Engine!$D$12:$D$72,$A1185+1))))*INDEX(Surface_Engine!$B$12:$B$72,$A1185+1)</f>
        <v>1386.10321133318</v>
      </c>
      <c r="N1186" s="12" t="n">
        <f aca="false">IF(B1186&lt;=0,0,MAX(0,(K1186+Assumptions!$B$29*L1186/INDEX(Surface_Engine!$B$12:$B$72,$A1186+1)-(M1186/INDEX(Surface_Engine!$B$12:$B$72,$A1186+1)-(F1186/INDEX(Surface_Engine!$B$12:$B$72,$A1186+1))))/B1186))</f>
        <v>0</v>
      </c>
    </row>
    <row r="1187" customFormat="false" ht="15" hidden="false" customHeight="true" outlineLevel="0" collapsed="false">
      <c r="A1187" s="1" t="n">
        <v>45</v>
      </c>
      <c r="B1187" s="32" t="n">
        <f aca="false">INDEX(Surface_Engine!$Q$12:$Q$72,$A1187+1)*IF($A1187&lt;$Q$1140,INDEX(Surface_Engine!$E$12:$E$72,$A1187+1),INDEX(Surface_Engine!$E$12:$E$72,$Q$1140+1))</f>
        <v>0.000101673909628283</v>
      </c>
      <c r="C1187" s="32" t="n">
        <f aca="false">INDEX(Panel_Reserving!$F$8:$F$68,$A1187+1)*IF($A1187&lt;$Q$1140,INDEX(Surface_Engine!$E$12:$E$72,$A1187+1),INDEX(Surface_Engine!$E$12:$E$72,$Q$1140+1))</f>
        <v>0.000853936915567628</v>
      </c>
      <c r="D1187" s="32" t="n">
        <f aca="false">INDEX(Surface_Engine!$Q$12:$Q$72,$A1187+1)*IF($A1187&lt;$Q$1140,INDEX(Surface_Engine!$Y$12:$Y$72,$A1187+1),INDEX(Surface_Engine!$Y$12:$Y$72,$Q$1140+1))</f>
        <v>9.21042445835677E-005</v>
      </c>
      <c r="E1187" s="32" t="n">
        <f aca="false">INDEX(Surface_Engine!$Q$12:$Q$72,$A1187+1)*IF($A1187&lt;$Q$1140,INDEX(Surface_Engine!$Z$12:$Z$72,$A1187+1),INDEX(Surface_Engine!$Z$12:$Z$72,$Q$1140+1))</f>
        <v>0.000112134886634328</v>
      </c>
      <c r="F1187" s="48" t="n">
        <f aca="false">B1187*(IF($A1187&lt;$Q$1140,INDEX(Surface_Engine!$D$12:$D$72,$A1187+1)+(Surface_Engine!L246*12)*INDEX(Surface_Engine!$F$12:$F$72,$A1187+1)-(Surface_Engine!L246*12),1000*12*INDEX(Surface_Engine!$C$12:$C$72,$A1187+1)/(1+Assumptions!$B$10)^15+INDEX(Surface_Engine!$D$12:$D$72,$A1187+1)))*INDEX(Surface_Engine!$B$12:$B$72,$A1187+1)+F1188</f>
        <v>0.982716289676337</v>
      </c>
      <c r="G1187" s="48" t="n">
        <f aca="false">C1187*(IF($A1187&lt;$Q$1140,INDEX(Surface_Engine!$D$12:$D$72,$A1187+1)+(Surface_Engine!L246*12)*INDEX(Surface_Engine!$F$12:$F$72,$A1187+1)-(Surface_Engine!L246*12),1000*12*INDEX(Surface_Engine!$C$12:$C$72,$A1187+1)/(1+Assumptions!$B$10)^15+INDEX(Surface_Engine!$D$12:$D$72,$A1187+1)))*INDEX(Surface_Engine!$B$12:$B$72,$A1187+1)+G1188</f>
        <v>9.98246931236954</v>
      </c>
      <c r="H1187" s="48" t="n">
        <f aca="false">D1187*(IF($A1187&lt;$Q$1140,INDEX(Surface_Engine!$D$12:$D$72,$A1187+1)+(Surface_Engine!L246*12)*INDEX(Surface_Engine!$F$12:$F$72,$A1187+1)-(Surface_Engine!L246*12),1000*12*INDEX(Surface_Engine!$C$12:$C$72,$A1187+1)/(1+Assumptions!$B$10)^15+INDEX(Surface_Engine!$D$12:$D$72,$A1187+1)))*INDEX(Surface_Engine!$B$12:$B$72,$A1187+1)+H1188</f>
        <v>0.890221904828053</v>
      </c>
      <c r="I1187" s="48" t="n">
        <f aca="false">E1187*(IF($A1187&lt;$Q$1140,INDEX(Surface_Engine!$D$12:$D$72,$A1187+1)+(Surface_Engine!L246*12)*INDEX(Surface_Engine!$F$12:$F$72,$A1187+1)-(Surface_Engine!L246*12),1000*12*INDEX(Surface_Engine!$C$12:$C$72,$A1187+1)/(1+Assumptions!$B$10)^15+INDEX(Surface_Engine!$D$12:$D$72,$A1187+1)))*INDEX(Surface_Engine!$B$12:$B$72,$A1187+1)+I1188</f>
        <v>1.08382553734227</v>
      </c>
      <c r="J1187" s="48" t="n">
        <f aca="false">B1187*(IF($A1187&lt;$Q$1140,INDEX(Surface_Engine!$D$12:$D$72,$A1187+1)*(1+Assumptions!$B$24)+(Surface_Engine!L246*12)*INDEX(Surface_Engine!$F$12:$F$72,$A1187+1)-(Surface_Engine!L246*12),1000*12*INDEX(Surface_Engine!$C$12:$C$72,$A1187+1)/(1+Assumptions!$B$10)^15+INDEX(Surface_Engine!$D$12:$D$72,$A1187+1)*(1+Assumptions!$B$24)))*INDEX(Surface_Engine!$B$12:$B$72,$A1187+1)+J1188</f>
        <v>0.983833892840802</v>
      </c>
      <c r="K1187" s="12" t="n">
        <f aca="false">SQRT((IF(C1187&lt;=0,0,MAX(0,(B1187/C1187)*G1187/INDEX(Surface_Engine!$B$12:$B$72,$A1187+1)-F1187/INDEX(Surface_Engine!$B$12:$B$72,$A1187+1))))^2+(MAX(IF(D1187&lt;=0,0,MAX(0,(B1187/D1187)*H1187/INDEX(Surface_Engine!$B$12:$B$72,$A1187+1)-F1187/INDEX(Surface_Engine!$B$12:$B$72,$A1187+1))),IF(E1187&lt;=0,0,MAX(0,(B1187/E1187)*I1187/INDEX(Surface_Engine!$B$12:$B$72,$A1187+1)-F1187/INDEX(Surface_Engine!$B$12:$B$72,$A1187+1))),IF($A1187&lt;$Q$1140,MAX(0,-Assumptions!$B$22*(F1187/INDEX(Surface_Engine!$B$12:$B$72,$A1187+1))),0)))^2+(MAX(0,J1187/INDEX(Surface_Engine!$B$12:$B$72,$A1187+1)-(F1187/INDEX(Surface_Engine!$B$12:$B$72,$A1187+1))))^2+2*Assumptions!$B$26*(IF(C1187&lt;=0,0,MAX(0,(B1187/C1187)*G1187/INDEX(Surface_Engine!$B$12:$B$72,$A1187+1)-F1187/INDEX(Surface_Engine!$B$12:$B$72,$A1187+1))))*(MAX(IF(D1187&lt;=0,0,MAX(0,(B1187/D1187)*H1187/INDEX(Surface_Engine!$B$12:$B$72,$A1187+1)-F1187/INDEX(Surface_Engine!$B$12:$B$72,$A1187+1))),IF(E1187&lt;=0,0,MAX(0,(B1187/E1187)*I1187/INDEX(Surface_Engine!$B$12:$B$72,$A1187+1)-F1187/INDEX(Surface_Engine!$B$12:$B$72,$A1187+1))),IF($A1187&lt;$Q$1140,MAX(0,-Assumptions!$B$22*(F1187/INDEX(Surface_Engine!$B$12:$B$72,$A1187+1))),0)))+2*Assumptions!$B$27*(IF(C1187&lt;=0,0,MAX(0,(B1187/C1187)*G1187/INDEX(Surface_Engine!$B$12:$B$72,$A1187+1)-F1187/INDEX(Surface_Engine!$B$12:$B$72,$A1187+1))))*(MAX(0,J1187/INDEX(Surface_Engine!$B$12:$B$72,$A1187+1)-(F1187/INDEX(Surface_Engine!$B$12:$B$72,$A1187+1))))+2*Assumptions!$B$28*(MAX(IF(D1187&lt;=0,0,MAX(0,(B1187/D1187)*H1187/INDEX(Surface_Engine!$B$12:$B$72,$A1187+1)-F1187/INDEX(Surface_Engine!$B$12:$B$72,$A1187+1))),IF(E1187&lt;=0,0,MAX(0,(B1187/E1187)*I1187/INDEX(Surface_Engine!$B$12:$B$72,$A1187+1)-F1187/INDEX(Surface_Engine!$B$12:$B$72,$A1187+1))),IF($A1187&lt;$Q$1140,MAX(0,-Assumptions!$B$22*(F1187/INDEX(Surface_Engine!$B$12:$B$72,$A1187+1))),0)))*(MAX(0,J1187/INDEX(Surface_Engine!$B$12:$B$72,$A1187+1)-(F1187/INDEX(Surface_Engine!$B$12:$B$72,$A1187+1)))))</f>
        <v>0.853938983288828</v>
      </c>
      <c r="L1187" s="48" t="n">
        <f aca="false">K1187*INDEX(Surface_Engine!$B$12:$B$72,$A1187+1)+L1188</f>
        <v>0.34064489239966</v>
      </c>
      <c r="M1187" s="48" t="n">
        <f aca="false">M1186+B1186*(IF($A1186&lt;$Q$1140,(Surface_Engine!L246*12)-(Surface_Engine!L246*12)*INDEX(Surface_Engine!$F$12:$F$72,$A1186+1)-INDEX(Surface_Engine!$D$12:$D$72,$A1186+1),-(1000*12*INDEX(Surface_Engine!$C$12:$C$72,$A1186+1)/(1+Assumptions!$B$10)^15+INDEX(Surface_Engine!$D$12:$D$72,$A1186+1))))*INDEX(Surface_Engine!$B$12:$B$72,$A1186+1)</f>
        <v>1384.98687285148</v>
      </c>
      <c r="N1187" s="12" t="n">
        <f aca="false">IF(B1187&lt;=0,0,MAX(0,(K1187+Assumptions!$B$29*L1187/INDEX(Surface_Engine!$B$12:$B$72,$A1187+1)-(M1187/INDEX(Surface_Engine!$B$12:$B$72,$A1187+1)-(F1187/INDEX(Surface_Engine!$B$12:$B$72,$A1187+1))))/B1187))</f>
        <v>0</v>
      </c>
    </row>
    <row r="1188" customFormat="false" ht="15" hidden="false" customHeight="true" outlineLevel="0" collapsed="false">
      <c r="A1188" s="1" t="n">
        <v>46</v>
      </c>
      <c r="B1188" s="32" t="n">
        <f aca="false">INDEX(Surface_Engine!$Q$12:$Q$72,$A1188+1)*IF($A1188&lt;$Q$1140,INDEX(Surface_Engine!$E$12:$E$72,$A1188+1),INDEX(Surface_Engine!$E$12:$E$72,$Q$1140+1))</f>
        <v>4.80328339449513E-005</v>
      </c>
      <c r="C1188" s="32" t="n">
        <f aca="false">INDEX(Panel_Reserving!$F$8:$F$68,$A1188+1)*IF($A1188&lt;$Q$1140,INDEX(Surface_Engine!$E$12:$E$72,$A1188+1),INDEX(Surface_Engine!$E$12:$E$72,$Q$1140+1))</f>
        <v>0.000493521191343234</v>
      </c>
      <c r="D1188" s="32" t="n">
        <f aca="false">INDEX(Surface_Engine!$Q$12:$Q$72,$A1188+1)*IF($A1188&lt;$Q$1140,INDEX(Surface_Engine!$Y$12:$Y$72,$A1188+1),INDEX(Surface_Engine!$Y$12:$Y$72,$Q$1140+1))</f>
        <v>4.35119284965219E-005</v>
      </c>
      <c r="E1188" s="32" t="n">
        <f aca="false">INDEX(Surface_Engine!$Q$12:$Q$72,$A1188+1)*IF($A1188&lt;$Q$1140,INDEX(Surface_Engine!$Z$12:$Z$72,$A1188+1),INDEX(Surface_Engine!$Z$12:$Z$72,$Q$1140+1))</f>
        <v>5.29748133895336E-005</v>
      </c>
      <c r="F1188" s="48" t="n">
        <f aca="false">B1188*(IF($A1188&lt;$Q$1140,INDEX(Surface_Engine!$D$12:$D$72,$A1188+1)+(Surface_Engine!L246*12)*INDEX(Surface_Engine!$F$12:$F$72,$A1188+1)-(Surface_Engine!L246*12),1000*12*INDEX(Surface_Engine!$C$12:$C$72,$A1188+1)/(1+Assumptions!$B$10)^15+INDEX(Surface_Engine!$D$12:$D$72,$A1188+1)))*INDEX(Surface_Engine!$B$12:$B$72,$A1188+1)+F1189</f>
        <v>0.443138371721251</v>
      </c>
      <c r="G1188" s="48" t="n">
        <f aca="false">C1188*(IF($A1188&lt;$Q$1140,INDEX(Surface_Engine!$D$12:$D$72,$A1188+1)+(Surface_Engine!L246*12)*INDEX(Surface_Engine!$F$12:$F$72,$A1188+1)-(Surface_Engine!L246*12),1000*12*INDEX(Surface_Engine!$C$12:$C$72,$A1188+1)/(1+Assumptions!$B$10)^15+INDEX(Surface_Engine!$D$12:$D$72,$A1188+1)))*INDEX(Surface_Engine!$B$12:$B$72,$A1188+1)+G1189</f>
        <v>5.45067246643813</v>
      </c>
      <c r="H1188" s="48" t="n">
        <f aca="false">D1188*(IF($A1188&lt;$Q$1140,INDEX(Surface_Engine!$D$12:$D$72,$A1188+1)+(Surface_Engine!L246*12)*INDEX(Surface_Engine!$F$12:$F$72,$A1188+1)-(Surface_Engine!L246*12),1000*12*INDEX(Surface_Engine!$C$12:$C$72,$A1188+1)/(1+Assumptions!$B$10)^15+INDEX(Surface_Engine!$D$12:$D$72,$A1188+1)))*INDEX(Surface_Engine!$B$12:$B$72,$A1188+1)+H1189</f>
        <v>0.401429679674916</v>
      </c>
      <c r="I1188" s="48" t="n">
        <f aca="false">E1188*(IF($A1188&lt;$Q$1140,INDEX(Surface_Engine!$D$12:$D$72,$A1188+1)+(Surface_Engine!L246*12)*INDEX(Surface_Engine!$F$12:$F$72,$A1188+1)-(Surface_Engine!L246*12),1000*12*INDEX(Surface_Engine!$C$12:$C$72,$A1188+1)/(1+Assumptions!$B$10)^15+INDEX(Surface_Engine!$D$12:$D$72,$A1188+1)))*INDEX(Surface_Engine!$B$12:$B$72,$A1188+1)+I1189</f>
        <v>0.488731782400745</v>
      </c>
      <c r="J1188" s="48" t="n">
        <f aca="false">B1188*(IF($A1188&lt;$Q$1140,INDEX(Surface_Engine!$D$12:$D$72,$A1188+1)*(1+Assumptions!$B$24)+(Surface_Engine!L246*12)*INDEX(Surface_Engine!$F$12:$F$72,$A1188+1)-(Surface_Engine!L246*12),1000*12*INDEX(Surface_Engine!$C$12:$C$72,$A1188+1)/(1+Assumptions!$B$10)^15+INDEX(Surface_Engine!$D$12:$D$72,$A1188+1)*(1+Assumptions!$B$24)))*INDEX(Surface_Engine!$B$12:$B$72,$A1188+1)+J1189</f>
        <v>0.443644601313605</v>
      </c>
      <c r="K1188" s="12" t="n">
        <f aca="false">SQRT((IF(C1188&lt;=0,0,MAX(0,(B1188/C1188)*G1188/INDEX(Surface_Engine!$B$12:$B$72,$A1188+1)-F1188/INDEX(Surface_Engine!$B$12:$B$72,$A1188+1))))^2+(MAX(IF(D1188&lt;=0,0,MAX(0,(B1188/D1188)*H1188/INDEX(Surface_Engine!$B$12:$B$72,$A1188+1)-F1188/INDEX(Surface_Engine!$B$12:$B$72,$A1188+1))),IF(E1188&lt;=0,0,MAX(0,(B1188/E1188)*I1188/INDEX(Surface_Engine!$B$12:$B$72,$A1188+1)-F1188/INDEX(Surface_Engine!$B$12:$B$72,$A1188+1))),IF($A1188&lt;$Q$1140,MAX(0,-Assumptions!$B$22*(F1188/INDEX(Surface_Engine!$B$12:$B$72,$A1188+1))),0)))^2+(MAX(0,J1188/INDEX(Surface_Engine!$B$12:$B$72,$A1188+1)-(F1188/INDEX(Surface_Engine!$B$12:$B$72,$A1188+1))))^2+2*Assumptions!$B$26*(IF(C1188&lt;=0,0,MAX(0,(B1188/C1188)*G1188/INDEX(Surface_Engine!$B$12:$B$72,$A1188+1)-F1188/INDEX(Surface_Engine!$B$12:$B$72,$A1188+1))))*(MAX(IF(D1188&lt;=0,0,MAX(0,(B1188/D1188)*H1188/INDEX(Surface_Engine!$B$12:$B$72,$A1188+1)-F1188/INDEX(Surface_Engine!$B$12:$B$72,$A1188+1))),IF(E1188&lt;=0,0,MAX(0,(B1188/E1188)*I1188/INDEX(Surface_Engine!$B$12:$B$72,$A1188+1)-F1188/INDEX(Surface_Engine!$B$12:$B$72,$A1188+1))),IF($A1188&lt;$Q$1140,MAX(0,-Assumptions!$B$22*(F1188/INDEX(Surface_Engine!$B$12:$B$72,$A1188+1))),0)))+2*Assumptions!$B$27*(IF(C1188&lt;=0,0,MAX(0,(B1188/C1188)*G1188/INDEX(Surface_Engine!$B$12:$B$72,$A1188+1)-F1188/INDEX(Surface_Engine!$B$12:$B$72,$A1188+1))))*(MAX(0,J1188/INDEX(Surface_Engine!$B$12:$B$72,$A1188+1)-(F1188/INDEX(Surface_Engine!$B$12:$B$72,$A1188+1))))+2*Assumptions!$B$28*(MAX(IF(D1188&lt;=0,0,MAX(0,(B1188/D1188)*H1188/INDEX(Surface_Engine!$B$12:$B$72,$A1188+1)-F1188/INDEX(Surface_Engine!$B$12:$B$72,$A1188+1))),IF(E1188&lt;=0,0,MAX(0,(B1188/E1188)*I1188/INDEX(Surface_Engine!$B$12:$B$72,$A1188+1)-F1188/INDEX(Surface_Engine!$B$12:$B$72,$A1188+1))),IF($A1188&lt;$Q$1140,MAX(0,-Assumptions!$B$22*(F1188/INDEX(Surface_Engine!$B$12:$B$72,$A1188+1))),0)))*(MAX(0,J1188/INDEX(Surface_Engine!$B$12:$B$72,$A1188+1)-(F1188/INDEX(Surface_Engine!$B$12:$B$72,$A1188+1)))))</f>
        <v>0.374231593776776</v>
      </c>
      <c r="L1188" s="48" t="n">
        <f aca="false">K1188*INDEX(Surface_Engine!$B$12:$B$72,$A1188+1)+L1189</f>
        <v>0.134517275202926</v>
      </c>
      <c r="M1188" s="48" t="n">
        <f aca="false">M1187+B1187*(IF($A1187&lt;$Q$1140,(Surface_Engine!L246*12)-(Surface_Engine!L246*12)*INDEX(Surface_Engine!$F$12:$F$72,$A1187+1)-INDEX(Surface_Engine!$D$12:$D$72,$A1187+1),-(1000*12*INDEX(Surface_Engine!$C$12:$C$72,$A1187+1)/(1+Assumptions!$B$10)^15+INDEX(Surface_Engine!$D$12:$D$72,$A1187+1))))*INDEX(Surface_Engine!$B$12:$B$72,$A1187+1)</f>
        <v>1384.44729493353</v>
      </c>
      <c r="N1188" s="12" t="n">
        <f aca="false">IF(B1188&lt;=0,0,MAX(0,(K1188+Assumptions!$B$29*L1188/INDEX(Surface_Engine!$B$12:$B$72,$A1188+1)-(M1188/INDEX(Surface_Engine!$B$12:$B$72,$A1188+1)-(F1188/INDEX(Surface_Engine!$B$12:$B$72,$A1188+1))))/B1188))</f>
        <v>0</v>
      </c>
    </row>
    <row r="1189" customFormat="false" ht="15" hidden="false" customHeight="true" outlineLevel="0" collapsed="false">
      <c r="A1189" s="1" t="n">
        <v>47</v>
      </c>
      <c r="B1189" s="32" t="n">
        <f aca="false">INDEX(Surface_Engine!$Q$12:$Q$72,$A1189+1)*IF($A1189&lt;$Q$1140,INDEX(Surface_Engine!$E$12:$E$72,$A1189+1),INDEX(Surface_Engine!$E$12:$E$72,$Q$1140+1))</f>
        <v>2.18860519997513E-005</v>
      </c>
      <c r="C1189" s="32" t="n">
        <f aca="false">INDEX(Panel_Reserving!$F$8:$F$68,$A1189+1)*IF($A1189&lt;$Q$1140,INDEX(Surface_Engine!$E$12:$E$72,$A1189+1),INDEX(Surface_Engine!$E$12:$E$72,$Q$1140+1))</f>
        <v>0.00027860168873507</v>
      </c>
      <c r="D1189" s="32" t="n">
        <f aca="false">INDEX(Surface_Engine!$Q$12:$Q$72,$A1189+1)*IF($A1189&lt;$Q$1140,INDEX(Surface_Engine!$Y$12:$Y$72,$A1189+1),INDEX(Surface_Engine!$Y$12:$Y$72,$Q$1140+1))</f>
        <v>1.98261116713568E-005</v>
      </c>
      <c r="E1189" s="32" t="n">
        <f aca="false">INDEX(Surface_Engine!$Q$12:$Q$72,$A1189+1)*IF($A1189&lt;$Q$1140,INDEX(Surface_Engine!$Z$12:$Z$72,$A1189+1),INDEX(Surface_Engine!$Z$12:$Z$72,$Q$1140+1))</f>
        <v>2.41378537408226E-005</v>
      </c>
      <c r="F1189" s="48" t="n">
        <f aca="false">B1189*(IF($A1189&lt;$Q$1140,INDEX(Surface_Engine!$D$12:$D$72,$A1189+1)+(Surface_Engine!L246*12)*INDEX(Surface_Engine!$F$12:$F$72,$A1189+1)-(Surface_Engine!L246*12),1000*12*INDEX(Surface_Engine!$C$12:$C$72,$A1189+1)/(1+Assumptions!$B$10)^15+INDEX(Surface_Engine!$D$12:$D$72,$A1189+1)))*INDEX(Surface_Engine!$B$12:$B$72,$A1189+1)+F1190</f>
        <v>0.191315011473795</v>
      </c>
      <c r="G1189" s="48" t="n">
        <f aca="false">C1189*(IF($A1189&lt;$Q$1140,INDEX(Surface_Engine!$D$12:$D$72,$A1189+1)+(Surface_Engine!L246*12)*INDEX(Surface_Engine!$F$12:$F$72,$A1189+1)-(Surface_Engine!L246*12),1000*12*INDEX(Surface_Engine!$C$12:$C$72,$A1189+1)/(1+Assumptions!$B$10)^15+INDEX(Surface_Engine!$D$12:$D$72,$A1189+1)))*INDEX(Surface_Engine!$B$12:$B$72,$A1189+1)+G1190</f>
        <v>2.86327225391239</v>
      </c>
      <c r="H1189" s="48" t="n">
        <f aca="false">D1189*(IF($A1189&lt;$Q$1140,INDEX(Surface_Engine!$D$12:$D$72,$A1189+1)+(Surface_Engine!L246*12)*INDEX(Surface_Engine!$F$12:$F$72,$A1189+1)-(Surface_Engine!L246*12),1000*12*INDEX(Surface_Engine!$C$12:$C$72,$A1189+1)/(1+Assumptions!$B$10)^15+INDEX(Surface_Engine!$D$12:$D$72,$A1189+1)))*INDEX(Surface_Engine!$B$12:$B$72,$A1189+1)+H1190</f>
        <v>0.173308223060489</v>
      </c>
      <c r="I1189" s="48" t="n">
        <f aca="false">E1189*(IF($A1189&lt;$Q$1140,INDEX(Surface_Engine!$D$12:$D$72,$A1189+1)+(Surface_Engine!L246*12)*INDEX(Surface_Engine!$F$12:$F$72,$A1189+1)-(Surface_Engine!L246*12),1000*12*INDEX(Surface_Engine!$C$12:$C$72,$A1189+1)/(1+Assumptions!$B$10)^15+INDEX(Surface_Engine!$D$12:$D$72,$A1189+1)))*INDEX(Surface_Engine!$B$12:$B$72,$A1189+1)+I1190</f>
        <v>0.210998939663981</v>
      </c>
      <c r="J1189" s="48" t="n">
        <f aca="false">B1189*(IF($A1189&lt;$Q$1140,INDEX(Surface_Engine!$D$12:$D$72,$A1189+1)*(1+Assumptions!$B$24)+(Surface_Engine!L246*12)*INDEX(Surface_Engine!$F$12:$F$72,$A1189+1)-(Surface_Engine!L246*12),1000*12*INDEX(Surface_Engine!$C$12:$C$72,$A1189+1)/(1+Assumptions!$B$10)^15+INDEX(Surface_Engine!$D$12:$D$72,$A1189+1)*(1+Assumptions!$B$24)))*INDEX(Surface_Engine!$B$12:$B$72,$A1189+1)+J1190</f>
        <v>0.191534527606705</v>
      </c>
      <c r="K1189" s="12" t="n">
        <f aca="false">SQRT((IF(C1189&lt;=0,0,MAX(0,(B1189/C1189)*G1189/INDEX(Surface_Engine!$B$12:$B$72,$A1189+1)-F1189/INDEX(Surface_Engine!$B$12:$B$72,$A1189+1))))^2+(MAX(IF(D1189&lt;=0,0,MAX(0,(B1189/D1189)*H1189/INDEX(Surface_Engine!$B$12:$B$72,$A1189+1)-F1189/INDEX(Surface_Engine!$B$12:$B$72,$A1189+1))),IF(E1189&lt;=0,0,MAX(0,(B1189/E1189)*I1189/INDEX(Surface_Engine!$B$12:$B$72,$A1189+1)-F1189/INDEX(Surface_Engine!$B$12:$B$72,$A1189+1))),IF($A1189&lt;$Q$1140,MAX(0,-Assumptions!$B$22*(F1189/INDEX(Surface_Engine!$B$12:$B$72,$A1189+1))),0)))^2+(MAX(0,J1189/INDEX(Surface_Engine!$B$12:$B$72,$A1189+1)-(F1189/INDEX(Surface_Engine!$B$12:$B$72,$A1189+1))))^2+2*Assumptions!$B$26*(IF(C1189&lt;=0,0,MAX(0,(B1189/C1189)*G1189/INDEX(Surface_Engine!$B$12:$B$72,$A1189+1)-F1189/INDEX(Surface_Engine!$B$12:$B$72,$A1189+1))))*(MAX(IF(D1189&lt;=0,0,MAX(0,(B1189/D1189)*H1189/INDEX(Surface_Engine!$B$12:$B$72,$A1189+1)-F1189/INDEX(Surface_Engine!$B$12:$B$72,$A1189+1))),IF(E1189&lt;=0,0,MAX(0,(B1189/E1189)*I1189/INDEX(Surface_Engine!$B$12:$B$72,$A1189+1)-F1189/INDEX(Surface_Engine!$B$12:$B$72,$A1189+1))),IF($A1189&lt;$Q$1140,MAX(0,-Assumptions!$B$22*(F1189/INDEX(Surface_Engine!$B$12:$B$72,$A1189+1))),0)))+2*Assumptions!$B$27*(IF(C1189&lt;=0,0,MAX(0,(B1189/C1189)*G1189/INDEX(Surface_Engine!$B$12:$B$72,$A1189+1)-F1189/INDEX(Surface_Engine!$B$12:$B$72,$A1189+1))))*(MAX(0,J1189/INDEX(Surface_Engine!$B$12:$B$72,$A1189+1)-(F1189/INDEX(Surface_Engine!$B$12:$B$72,$A1189+1))))+2*Assumptions!$B$28*(MAX(IF(D1189&lt;=0,0,MAX(0,(B1189/D1189)*H1189/INDEX(Surface_Engine!$B$12:$B$72,$A1189+1)-F1189/INDEX(Surface_Engine!$B$12:$B$72,$A1189+1))),IF(E1189&lt;=0,0,MAX(0,(B1189/E1189)*I1189/INDEX(Surface_Engine!$B$12:$B$72,$A1189+1)-F1189/INDEX(Surface_Engine!$B$12:$B$72,$A1189+1))),IF($A1189&lt;$Q$1140,MAX(0,-Assumptions!$B$22*(F1189/INDEX(Surface_Engine!$B$12:$B$72,$A1189+1))),0)))*(MAX(0,J1189/INDEX(Surface_Engine!$B$12:$B$72,$A1189+1)-(F1189/INDEX(Surface_Engine!$B$12:$B$72,$A1189+1)))))</f>
        <v>0.148718276105242</v>
      </c>
      <c r="L1189" s="48" t="n">
        <f aca="false">K1189*INDEX(Surface_Engine!$B$12:$B$72,$A1189+1)+L1190</f>
        <v>0.0470312553633412</v>
      </c>
      <c r="M1189" s="48" t="n">
        <f aca="false">M1188+B1188*(IF($A1188&lt;$Q$1140,(Surface_Engine!L246*12)-(Surface_Engine!L246*12)*INDEX(Surface_Engine!$F$12:$F$72,$A1188+1)-INDEX(Surface_Engine!$D$12:$D$72,$A1188+1),-(1000*12*INDEX(Surface_Engine!$C$12:$C$72,$A1188+1)/(1+Assumptions!$B$10)^15+INDEX(Surface_Engine!$D$12:$D$72,$A1188+1))))*INDEX(Surface_Engine!$B$12:$B$72,$A1188+1)</f>
        <v>1384.19547157328</v>
      </c>
      <c r="N1189" s="12" t="n">
        <f aca="false">IF(B1189&lt;=0,0,MAX(0,(K1189+Assumptions!$B$29*L1189/INDEX(Surface_Engine!$B$12:$B$72,$A1189+1)-(M1189/INDEX(Surface_Engine!$B$12:$B$72,$A1189+1)-(F1189/INDEX(Surface_Engine!$B$12:$B$72,$A1189+1))))/B1189))</f>
        <v>0</v>
      </c>
    </row>
    <row r="1190" customFormat="false" ht="15" hidden="false" customHeight="true" outlineLevel="0" collapsed="false">
      <c r="A1190" s="1" t="n">
        <v>48</v>
      </c>
      <c r="B1190" s="32" t="n">
        <f aca="false">INDEX(Surface_Engine!$Q$12:$Q$72,$A1190+1)*IF($A1190&lt;$Q$1140,INDEX(Surface_Engine!$E$12:$E$72,$A1190+1),INDEX(Surface_Engine!$E$12:$E$72,$Q$1140+1))</f>
        <v>9.61211313392731E-006</v>
      </c>
      <c r="C1190" s="32" t="n">
        <f aca="false">INDEX(Panel_Reserving!$F$8:$F$68,$A1190+1)*IF($A1190&lt;$Q$1140,INDEX(Surface_Engine!$E$12:$E$72,$A1190+1),INDEX(Surface_Engine!$E$12:$E$72,$Q$1140+1))</f>
        <v>0.000153607373799204</v>
      </c>
      <c r="D1190" s="32" t="n">
        <f aca="false">INDEX(Surface_Engine!$Q$12:$Q$72,$A1190+1)*IF($A1190&lt;$Q$1140,INDEX(Surface_Engine!$Y$12:$Y$72,$A1190+1),INDEX(Surface_Engine!$Y$12:$Y$72,$Q$1140+1))</f>
        <v>8.70741001589155E-006</v>
      </c>
      <c r="E1190" s="32" t="n">
        <f aca="false">INDEX(Surface_Engine!$Q$12:$Q$72,$A1190+1)*IF($A1190&lt;$Q$1140,INDEX(Surface_Engine!$Z$12:$Z$72,$A1190+1),INDEX(Surface_Engine!$Z$12:$Z$72,$Q$1140+1))</f>
        <v>1.06010796725519E-005</v>
      </c>
      <c r="F1190" s="48" t="n">
        <f aca="false">B1190*(IF($A1190&lt;$Q$1140,INDEX(Surface_Engine!$D$12:$D$72,$A1190+1)+(Surface_Engine!L246*12)*INDEX(Surface_Engine!$F$12:$F$72,$A1190+1)-(Surface_Engine!L246*12),1000*12*INDEX(Surface_Engine!$C$12:$C$72,$A1190+1)/(1+Assumptions!$B$10)^15+INDEX(Surface_Engine!$D$12:$D$72,$A1190+1)))*INDEX(Surface_Engine!$B$12:$B$72,$A1190+1)+F1191</f>
        <v>0.0779627750422871</v>
      </c>
      <c r="G1190" s="48" t="n">
        <f aca="false">C1190*(IF($A1190&lt;$Q$1140,INDEX(Surface_Engine!$D$12:$D$72,$A1190+1)+(Surface_Engine!L246*12)*INDEX(Surface_Engine!$F$12:$F$72,$A1190+1)-(Surface_Engine!L246*12),1000*12*INDEX(Surface_Engine!$C$12:$C$72,$A1190+1)/(1+Assumptions!$B$10)^15+INDEX(Surface_Engine!$D$12:$D$72,$A1190+1)))*INDEX(Surface_Engine!$B$12:$B$72,$A1190+1)+G1191</f>
        <v>1.420338439624</v>
      </c>
      <c r="H1190" s="48" t="n">
        <f aca="false">D1190*(IF($A1190&lt;$Q$1140,INDEX(Surface_Engine!$D$12:$D$72,$A1190+1)+(Surface_Engine!L246*12)*INDEX(Surface_Engine!$F$12:$F$72,$A1190+1)-(Surface_Engine!L246*12),1000*12*INDEX(Surface_Engine!$C$12:$C$72,$A1190+1)/(1+Assumptions!$B$10)^15+INDEX(Surface_Engine!$D$12:$D$72,$A1190+1)))*INDEX(Surface_Engine!$B$12:$B$72,$A1190+1)+H1191</f>
        <v>0.0706248291932603</v>
      </c>
      <c r="I1190" s="48" t="n">
        <f aca="false">E1190*(IF($A1190&lt;$Q$1140,INDEX(Surface_Engine!$D$12:$D$72,$A1190+1)+(Surface_Engine!L246*12)*INDEX(Surface_Engine!$F$12:$F$72,$A1190+1)-(Surface_Engine!L246*12),1000*12*INDEX(Surface_Engine!$C$12:$C$72,$A1190+1)/(1+Assumptions!$B$10)^15+INDEX(Surface_Engine!$D$12:$D$72,$A1190+1)))*INDEX(Surface_Engine!$B$12:$B$72,$A1190+1)+I1191</f>
        <v>0.0859841720754737</v>
      </c>
      <c r="J1190" s="48" t="n">
        <f aca="false">B1190*(IF($A1190&lt;$Q$1140,INDEX(Surface_Engine!$D$12:$D$72,$A1190+1)*(1+Assumptions!$B$24)+(Surface_Engine!L246*12)*INDEX(Surface_Engine!$F$12:$F$72,$A1190+1)-(Surface_Engine!L246*12),1000*12*INDEX(Surface_Engine!$C$12:$C$72,$A1190+1)/(1+Assumptions!$B$10)^15+INDEX(Surface_Engine!$D$12:$D$72,$A1190+1)*(1+Assumptions!$B$24)))*INDEX(Surface_Engine!$B$12:$B$72,$A1190+1)+J1191</f>
        <v>0.0780526086032568</v>
      </c>
      <c r="K1190" s="12" t="n">
        <f aca="false">SQRT((IF(C1190&lt;=0,0,MAX(0,(B1190/C1190)*G1190/INDEX(Surface_Engine!$B$12:$B$72,$A1190+1)-F1190/INDEX(Surface_Engine!$B$12:$B$72,$A1190+1))))^2+(MAX(IF(D1190&lt;=0,0,MAX(0,(B1190/D1190)*H1190/INDEX(Surface_Engine!$B$12:$B$72,$A1190+1)-F1190/INDEX(Surface_Engine!$B$12:$B$72,$A1190+1))),IF(E1190&lt;=0,0,MAX(0,(B1190/E1190)*I1190/INDEX(Surface_Engine!$B$12:$B$72,$A1190+1)-F1190/INDEX(Surface_Engine!$B$12:$B$72,$A1190+1))),IF($A1190&lt;$Q$1140,MAX(0,-Assumptions!$B$22*(F1190/INDEX(Surface_Engine!$B$12:$B$72,$A1190+1))),0)))^2+(MAX(0,J1190/INDEX(Surface_Engine!$B$12:$B$72,$A1190+1)-(F1190/INDEX(Surface_Engine!$B$12:$B$72,$A1190+1))))^2+2*Assumptions!$B$26*(IF(C1190&lt;=0,0,MAX(0,(B1190/C1190)*G1190/INDEX(Surface_Engine!$B$12:$B$72,$A1190+1)-F1190/INDEX(Surface_Engine!$B$12:$B$72,$A1190+1))))*(MAX(IF(D1190&lt;=0,0,MAX(0,(B1190/D1190)*H1190/INDEX(Surface_Engine!$B$12:$B$72,$A1190+1)-F1190/INDEX(Surface_Engine!$B$12:$B$72,$A1190+1))),IF(E1190&lt;=0,0,MAX(0,(B1190/E1190)*I1190/INDEX(Surface_Engine!$B$12:$B$72,$A1190+1)-F1190/INDEX(Surface_Engine!$B$12:$B$72,$A1190+1))),IF($A1190&lt;$Q$1140,MAX(0,-Assumptions!$B$22*(F1190/INDEX(Surface_Engine!$B$12:$B$72,$A1190+1))),0)))+2*Assumptions!$B$27*(IF(C1190&lt;=0,0,MAX(0,(B1190/C1190)*G1190/INDEX(Surface_Engine!$B$12:$B$72,$A1190+1)-F1190/INDEX(Surface_Engine!$B$12:$B$72,$A1190+1))))*(MAX(0,J1190/INDEX(Surface_Engine!$B$12:$B$72,$A1190+1)-(F1190/INDEX(Surface_Engine!$B$12:$B$72,$A1190+1))))+2*Assumptions!$B$28*(MAX(IF(D1190&lt;=0,0,MAX(0,(B1190/D1190)*H1190/INDEX(Surface_Engine!$B$12:$B$72,$A1190+1)-F1190/INDEX(Surface_Engine!$B$12:$B$72,$A1190+1))),IF(E1190&lt;=0,0,MAX(0,(B1190/E1190)*I1190/INDEX(Surface_Engine!$B$12:$B$72,$A1190+1)-F1190/INDEX(Surface_Engine!$B$12:$B$72,$A1190+1))),IF($A1190&lt;$Q$1140,MAX(0,-Assumptions!$B$22*(F1190/INDEX(Surface_Engine!$B$12:$B$72,$A1190+1))),0)))*(MAX(0,J1190/INDEX(Surface_Engine!$B$12:$B$72,$A1190+1)-(F1190/INDEX(Surface_Engine!$B$12:$B$72,$A1190+1)))))</f>
        <v>0.0499144068627988</v>
      </c>
      <c r="L1190" s="48" t="n">
        <f aca="false">K1190*INDEX(Surface_Engine!$B$12:$B$72,$A1190+1)+L1191</f>
        <v>0.01336126398676</v>
      </c>
      <c r="M1190" s="48" t="n">
        <f aca="false">M1189+B1189*(IF($A1189&lt;$Q$1140,(Surface_Engine!L246*12)-(Surface_Engine!L246*12)*INDEX(Surface_Engine!$F$12:$F$72,$A1189+1)-INDEX(Surface_Engine!$D$12:$D$72,$A1189+1),-(1000*12*INDEX(Surface_Engine!$C$12:$C$72,$A1189+1)/(1+Assumptions!$B$10)^15+INDEX(Surface_Engine!$D$12:$D$72,$A1189+1))))*INDEX(Surface_Engine!$B$12:$B$72,$A1189+1)</f>
        <v>1384.08211933685</v>
      </c>
      <c r="N1190" s="12" t="n">
        <f aca="false">IF(B1190&lt;=0,0,MAX(0,(K1190+Assumptions!$B$29*L1190/INDEX(Surface_Engine!$B$12:$B$72,$A1190+1)-(M1190/INDEX(Surface_Engine!$B$12:$B$72,$A1190+1)-(F1190/INDEX(Surface_Engine!$B$12:$B$72,$A1190+1))))/B1190))</f>
        <v>0</v>
      </c>
    </row>
    <row r="1191" customFormat="false" ht="15" hidden="false" customHeight="true" outlineLevel="0" collapsed="false">
      <c r="A1191" s="1" t="n">
        <v>49</v>
      </c>
      <c r="B1191" s="32" t="n">
        <f aca="false">INDEX(Surface_Engine!$Q$12:$Q$72,$A1191+1)*IF($A1191&lt;$Q$1140,INDEX(Surface_Engine!$E$12:$E$72,$A1191+1),INDEX(Surface_Engine!$E$12:$E$72,$Q$1140+1))</f>
        <v>4.06671208541215E-006</v>
      </c>
      <c r="C1191" s="32" t="n">
        <f aca="false">INDEX(Panel_Reserving!$F$8:$F$68,$A1191+1)*IF($A1191&lt;$Q$1140,INDEX(Surface_Engine!$E$12:$E$72,$A1191+1),INDEX(Surface_Engine!$E$12:$E$72,$Q$1140+1))</f>
        <v>8.27122871636404E-005</v>
      </c>
      <c r="D1191" s="32" t="n">
        <f aca="false">INDEX(Surface_Engine!$Q$12:$Q$72,$A1191+1)*IF($A1191&lt;$Q$1140,INDEX(Surface_Engine!$Y$12:$Y$72,$A1191+1),INDEX(Surface_Engine!$Y$12:$Y$72,$Q$1140+1))</f>
        <v>3.68394847739344E-006</v>
      </c>
      <c r="E1191" s="32" t="n">
        <f aca="false">INDEX(Surface_Engine!$Q$12:$Q$72,$A1191+1)*IF($A1191&lt;$Q$1140,INDEX(Surface_Engine!$Z$12:$Z$72,$A1191+1),INDEX(Surface_Engine!$Z$12:$Z$72,$Q$1140+1))</f>
        <v>4.48512603026026E-006</v>
      </c>
      <c r="F1191" s="48" t="n">
        <f aca="false">B1191*(IF($A1191&lt;$Q$1140,INDEX(Surface_Engine!$D$12:$D$72,$A1191+1)+(Surface_Engine!L246*12)*INDEX(Surface_Engine!$F$12:$F$72,$A1191+1)-(Surface_Engine!L246*12),1000*12*INDEX(Surface_Engine!$C$12:$C$72,$A1191+1)/(1+Assumptions!$B$10)^15+INDEX(Surface_Engine!$D$12:$D$72,$A1191+1)))*INDEX(Surface_Engine!$B$12:$B$72,$A1191+1)+F1192</f>
        <v>0.02880682055495</v>
      </c>
      <c r="G1191" s="48" t="n">
        <f aca="false">C1191*(IF($A1191&lt;$Q$1140,INDEX(Surface_Engine!$D$12:$D$72,$A1191+1)+(Surface_Engine!L246*12)*INDEX(Surface_Engine!$F$12:$F$72,$A1191+1)-(Surface_Engine!L246*12),1000*12*INDEX(Surface_Engine!$C$12:$C$72,$A1191+1)/(1+Assumptions!$B$10)^15+INDEX(Surface_Engine!$D$12:$D$72,$A1191+1)))*INDEX(Surface_Engine!$B$12:$B$72,$A1191+1)+G1192</f>
        <v>0.634796595683185</v>
      </c>
      <c r="H1191" s="48" t="n">
        <f aca="false">D1191*(IF($A1191&lt;$Q$1140,INDEX(Surface_Engine!$D$12:$D$72,$A1191+1)+(Surface_Engine!L246*12)*INDEX(Surface_Engine!$F$12:$F$72,$A1191+1)-(Surface_Engine!L246*12),1000*12*INDEX(Surface_Engine!$C$12:$C$72,$A1191+1)/(1+Assumptions!$B$10)^15+INDEX(Surface_Engine!$D$12:$D$72,$A1191+1)))*INDEX(Surface_Engine!$B$12:$B$72,$A1191+1)+H1192</f>
        <v>0.0260954895485793</v>
      </c>
      <c r="I1191" s="48" t="n">
        <f aca="false">E1191*(IF($A1191&lt;$Q$1140,INDEX(Surface_Engine!$D$12:$D$72,$A1191+1)+(Surface_Engine!L246*12)*INDEX(Surface_Engine!$F$12:$F$72,$A1191+1)-(Surface_Engine!L246*12),1000*12*INDEX(Surface_Engine!$C$12:$C$72,$A1191+1)/(1+Assumptions!$B$10)^15+INDEX(Surface_Engine!$D$12:$D$72,$A1191+1)))*INDEX(Surface_Engine!$B$12:$B$72,$A1191+1)+I1192</f>
        <v>0.031770683049707</v>
      </c>
      <c r="J1191" s="48" t="n">
        <f aca="false">B1191*(IF($A1191&lt;$Q$1140,INDEX(Surface_Engine!$D$12:$D$72,$A1191+1)*(1+Assumptions!$B$24)+(Surface_Engine!L246*12)*INDEX(Surface_Engine!$F$12:$F$72,$A1191+1)-(Surface_Engine!L246*12),1000*12*INDEX(Surface_Engine!$C$12:$C$72,$A1191+1)/(1+Assumptions!$B$10)^15+INDEX(Surface_Engine!$D$12:$D$72,$A1191+1)*(1+Assumptions!$B$24)))*INDEX(Surface_Engine!$B$12:$B$72,$A1191+1)+J1192</f>
        <v>0.0288401438964814</v>
      </c>
      <c r="K1191" s="12" t="n">
        <f aca="false">SQRT((IF(C1191&lt;=0,0,MAX(0,(B1191/C1191)*G1191/INDEX(Surface_Engine!$B$12:$B$72,$A1191+1)-F1191/INDEX(Surface_Engine!$B$12:$B$72,$A1191+1))))^2+(MAX(IF(D1191&lt;=0,0,MAX(0,(B1191/D1191)*H1191/INDEX(Surface_Engine!$B$12:$B$72,$A1191+1)-F1191/INDEX(Surface_Engine!$B$12:$B$72,$A1191+1))),IF(E1191&lt;=0,0,MAX(0,(B1191/E1191)*I1191/INDEX(Surface_Engine!$B$12:$B$72,$A1191+1)-F1191/INDEX(Surface_Engine!$B$12:$B$72,$A1191+1))),IF($A1191&lt;$Q$1140,MAX(0,-Assumptions!$B$22*(F1191/INDEX(Surface_Engine!$B$12:$B$72,$A1191+1))),0)))^2+(MAX(0,J1191/INDEX(Surface_Engine!$B$12:$B$72,$A1191+1)-(F1191/INDEX(Surface_Engine!$B$12:$B$72,$A1191+1))))^2+2*Assumptions!$B$26*(IF(C1191&lt;=0,0,MAX(0,(B1191/C1191)*G1191/INDEX(Surface_Engine!$B$12:$B$72,$A1191+1)-F1191/INDEX(Surface_Engine!$B$12:$B$72,$A1191+1))))*(MAX(IF(D1191&lt;=0,0,MAX(0,(B1191/D1191)*H1191/INDEX(Surface_Engine!$B$12:$B$72,$A1191+1)-F1191/INDEX(Surface_Engine!$B$12:$B$72,$A1191+1))),IF(E1191&lt;=0,0,MAX(0,(B1191/E1191)*I1191/INDEX(Surface_Engine!$B$12:$B$72,$A1191+1)-F1191/INDEX(Surface_Engine!$B$12:$B$72,$A1191+1))),IF($A1191&lt;$Q$1140,MAX(0,-Assumptions!$B$22*(F1191/INDEX(Surface_Engine!$B$12:$B$72,$A1191+1))),0)))+2*Assumptions!$B$27*(IF(C1191&lt;=0,0,MAX(0,(B1191/C1191)*G1191/INDEX(Surface_Engine!$B$12:$B$72,$A1191+1)-F1191/INDEX(Surface_Engine!$B$12:$B$72,$A1191+1))))*(MAX(0,J1191/INDEX(Surface_Engine!$B$12:$B$72,$A1191+1)-(F1191/INDEX(Surface_Engine!$B$12:$B$72,$A1191+1))))+2*Assumptions!$B$28*(MAX(IF(D1191&lt;=0,0,MAX(0,(B1191/D1191)*H1191/INDEX(Surface_Engine!$B$12:$B$72,$A1191+1)-F1191/INDEX(Surface_Engine!$B$12:$B$72,$A1191+1))),IF(E1191&lt;=0,0,MAX(0,(B1191/E1191)*I1191/INDEX(Surface_Engine!$B$12:$B$72,$A1191+1)-F1191/INDEX(Surface_Engine!$B$12:$B$72,$A1191+1))),IF($A1191&lt;$Q$1140,MAX(0,-Assumptions!$B$22*(F1191/INDEX(Surface_Engine!$B$12:$B$72,$A1191+1))),0)))*(MAX(0,J1191/INDEX(Surface_Engine!$B$12:$B$72,$A1191+1)-(F1191/INDEX(Surface_Engine!$B$12:$B$72,$A1191+1)))))</f>
        <v>0.0113685156052627</v>
      </c>
      <c r="L1191" s="48" t="n">
        <f aca="false">K1191*INDEX(Surface_Engine!$B$12:$B$72,$A1191+1)+L1192</f>
        <v>0.00242233901752055</v>
      </c>
      <c r="M1191" s="48" t="n">
        <f aca="false">M1190+B1190*(IF($A1190&lt;$Q$1140,(Surface_Engine!L246*12)-(Surface_Engine!L246*12)*INDEX(Surface_Engine!$F$12:$F$72,$A1190+1)-INDEX(Surface_Engine!$D$12:$D$72,$A1190+1),-(1000*12*INDEX(Surface_Engine!$C$12:$C$72,$A1190+1)/(1+Assumptions!$B$10)^15+INDEX(Surface_Engine!$D$12:$D$72,$A1190+1))))*INDEX(Surface_Engine!$B$12:$B$72,$A1190+1)</f>
        <v>1384.03296338236</v>
      </c>
      <c r="N1191" s="12" t="n">
        <f aca="false">IF(B1191&lt;=0,0,MAX(0,(K1191+Assumptions!$B$29*L1191/INDEX(Surface_Engine!$B$12:$B$72,$A1191+1)-(M1191/INDEX(Surface_Engine!$B$12:$B$72,$A1191+1)-(F1191/INDEX(Surface_Engine!$B$12:$B$72,$A1191+1))))/B1191))</f>
        <v>0</v>
      </c>
    </row>
    <row r="1192" customFormat="false" ht="15" hidden="false" customHeight="true" outlineLevel="0" collapsed="false">
      <c r="A1192" s="1" t="n">
        <v>50</v>
      </c>
      <c r="B1192" s="32" t="n">
        <f aca="false">INDEX(Surface_Engine!$Q$12:$Q$72,$A1192+1)*IF($A1192&lt;$Q$1140,INDEX(Surface_Engine!$E$12:$E$72,$A1192+1),INDEX(Surface_Engine!$E$12:$E$72,$Q$1140+1))</f>
        <v>1.65661749829907E-006</v>
      </c>
      <c r="C1192" s="32" t="n">
        <f aca="false">INDEX(Panel_Reserving!$F$8:$F$68,$A1192+1)*IF($A1192&lt;$Q$1140,INDEX(Surface_Engine!$E$12:$E$72,$A1192+1),INDEX(Surface_Engine!$E$12:$E$72,$Q$1140+1))</f>
        <v>4.34974263337511E-005</v>
      </c>
      <c r="D1192" s="32" t="n">
        <f aca="false">INDEX(Surface_Engine!$Q$12:$Q$72,$A1192+1)*IF($A1192&lt;$Q$1140,INDEX(Surface_Engine!$Y$12:$Y$72,$A1192+1),INDEX(Surface_Engine!$Y$12:$Y$72,$Q$1140+1))</f>
        <v>1.50069475839563E-006</v>
      </c>
      <c r="E1192" s="32" t="n">
        <f aca="false">INDEX(Surface_Engine!$Q$12:$Q$72,$A1192+1)*IF($A1192&lt;$Q$1140,INDEX(Surface_Engine!$Z$12:$Z$72,$A1192+1),INDEX(Surface_Engine!$Z$12:$Z$72,$Q$1140+1))</f>
        <v>1.82706277399344E-006</v>
      </c>
      <c r="F1192" s="48" t="n">
        <f aca="false">B1192*(IF($A1192&lt;$Q$1140,INDEX(Surface_Engine!$D$12:$D$72,$A1192+1)+(Surface_Engine!L246*12)*INDEX(Surface_Engine!$F$12:$F$72,$A1192+1)-(Surface_Engine!L246*12),1000*12*INDEX(Surface_Engine!$C$12:$C$72,$A1192+1)/(1+Assumptions!$B$10)^15+INDEX(Surface_Engine!$D$12:$D$72,$A1192+1)))*INDEX(Surface_Engine!$B$12:$B$72,$A1192+1)+F1193</f>
        <v>0.00826283264151359</v>
      </c>
      <c r="G1192" s="48" t="n">
        <f aca="false">C1192*(IF($A1192&lt;$Q$1140,INDEX(Surface_Engine!$D$12:$D$72,$A1192+1)+(Surface_Engine!L246*12)*INDEX(Surface_Engine!$F$12:$F$72,$A1192+1)-(Surface_Engine!L246*12),1000*12*INDEX(Surface_Engine!$C$12:$C$72,$A1192+1)/(1+Assumptions!$B$10)^15+INDEX(Surface_Engine!$D$12:$D$72,$A1192+1)))*INDEX(Surface_Engine!$B$12:$B$72,$A1192+1)+G1193</f>
        <v>0.216955304710579</v>
      </c>
      <c r="H1192" s="48" t="n">
        <f aca="false">D1192*(IF($A1192&lt;$Q$1140,INDEX(Surface_Engine!$D$12:$D$72,$A1192+1)+(Surface_Engine!L246*12)*INDEX(Surface_Engine!$F$12:$F$72,$A1192+1)-(Surface_Engine!L246*12),1000*12*INDEX(Surface_Engine!$C$12:$C$72,$A1192+1)/(1+Assumptions!$B$10)^15+INDEX(Surface_Engine!$D$12:$D$72,$A1192+1)))*INDEX(Surface_Engine!$B$12:$B$72,$A1192+1)+H1193</f>
        <v>0.00748512535171906</v>
      </c>
      <c r="I1192" s="48" t="n">
        <f aca="false">E1192*(IF($A1192&lt;$Q$1140,INDEX(Surface_Engine!$D$12:$D$72,$A1192+1)+(Surface_Engine!L246*12)*INDEX(Surface_Engine!$F$12:$F$72,$A1192+1)-(Surface_Engine!L246*12),1000*12*INDEX(Surface_Engine!$C$12:$C$72,$A1192+1)/(1+Assumptions!$B$10)^15+INDEX(Surface_Engine!$D$12:$D$72,$A1192+1)))*INDEX(Surface_Engine!$B$12:$B$72,$A1192+1)+I1193</f>
        <v>0.0091129750485842</v>
      </c>
      <c r="J1192" s="48" t="n">
        <f aca="false">B1192*(IF($A1192&lt;$Q$1140,INDEX(Surface_Engine!$D$12:$D$72,$A1192+1)*(1+Assumptions!$B$24)+(Surface_Engine!L246*12)*INDEX(Surface_Engine!$F$12:$F$72,$A1192+1)-(Surface_Engine!L246*12),1000*12*INDEX(Surface_Engine!$C$12:$C$72,$A1192+1)/(1+Assumptions!$B$10)^15+INDEX(Surface_Engine!$D$12:$D$72,$A1192+1)*(1+Assumptions!$B$24)))*INDEX(Surface_Engine!$B$12:$B$72,$A1192+1)+J1193</f>
        <v>0.00827242395616932</v>
      </c>
      <c r="K1192" s="12" t="n">
        <f aca="false">SQRT((IF(C1192&lt;=0,0,MAX(0,(B1192/C1192)*G1192/INDEX(Surface_Engine!$B$12:$B$72,$A1192+1)-F1192/INDEX(Surface_Engine!$B$12:$B$72,$A1192+1))))^2+(MAX(IF(D1192&lt;=0,0,MAX(0,(B1192/D1192)*H1192/INDEX(Surface_Engine!$B$12:$B$72,$A1192+1)-F1192/INDEX(Surface_Engine!$B$12:$B$72,$A1192+1))),IF(E1192&lt;=0,0,MAX(0,(B1192/E1192)*I1192/INDEX(Surface_Engine!$B$12:$B$72,$A1192+1)-F1192/INDEX(Surface_Engine!$B$12:$B$72,$A1192+1))),IF($A1192&lt;$Q$1140,MAX(0,-Assumptions!$B$22*(F1192/INDEX(Surface_Engine!$B$12:$B$72,$A1192+1))),0)))^2+(MAX(0,J1192/INDEX(Surface_Engine!$B$12:$B$72,$A1192+1)-(F1192/INDEX(Surface_Engine!$B$12:$B$72,$A1192+1))))^2+2*Assumptions!$B$26*(IF(C1192&lt;=0,0,MAX(0,(B1192/C1192)*G1192/INDEX(Surface_Engine!$B$12:$B$72,$A1192+1)-F1192/INDEX(Surface_Engine!$B$12:$B$72,$A1192+1))))*(MAX(IF(D1192&lt;=0,0,MAX(0,(B1192/D1192)*H1192/INDEX(Surface_Engine!$B$12:$B$72,$A1192+1)-F1192/INDEX(Surface_Engine!$B$12:$B$72,$A1192+1))),IF(E1192&lt;=0,0,MAX(0,(B1192/E1192)*I1192/INDEX(Surface_Engine!$B$12:$B$72,$A1192+1)-F1192/INDEX(Surface_Engine!$B$12:$B$72,$A1192+1))),IF($A1192&lt;$Q$1140,MAX(0,-Assumptions!$B$22*(F1192/INDEX(Surface_Engine!$B$12:$B$72,$A1192+1))),0)))+2*Assumptions!$B$27*(IF(C1192&lt;=0,0,MAX(0,(B1192/C1192)*G1192/INDEX(Surface_Engine!$B$12:$B$72,$A1192+1)-F1192/INDEX(Surface_Engine!$B$12:$B$72,$A1192+1))))*(MAX(0,J1192/INDEX(Surface_Engine!$B$12:$B$72,$A1192+1)-(F1192/INDEX(Surface_Engine!$B$12:$B$72,$A1192+1))))+2*Assumptions!$B$28*(MAX(IF(D1192&lt;=0,0,MAX(0,(B1192/D1192)*H1192/INDEX(Surface_Engine!$B$12:$B$72,$A1192+1)-F1192/INDEX(Surface_Engine!$B$12:$B$72,$A1192+1))),IF(E1192&lt;=0,0,MAX(0,(B1192/E1192)*I1192/INDEX(Surface_Engine!$B$12:$B$72,$A1192+1)-F1192/INDEX(Surface_Engine!$B$12:$B$72,$A1192+1))),IF($A1192&lt;$Q$1140,MAX(0,-Assumptions!$B$22*(F1192/INDEX(Surface_Engine!$B$12:$B$72,$A1192+1))),0)))*(MAX(0,J1192/INDEX(Surface_Engine!$B$12:$B$72,$A1192+1)-(F1192/INDEX(Surface_Engine!$B$12:$B$72,$A1192+1)))))</f>
        <v>4.66905904786472E-005</v>
      </c>
      <c r="L1192" s="48" t="n">
        <f aca="false">K1192*INDEX(Surface_Engine!$B$12:$B$72,$A1192+1)+L1193</f>
        <v>9.59131465573467E-006</v>
      </c>
      <c r="M1192" s="48" t="n">
        <f aca="false">M1191+B1191*(IF($A1191&lt;$Q$1140,(Surface_Engine!L246*12)-(Surface_Engine!L246*12)*INDEX(Surface_Engine!$F$12:$F$72,$A1191+1)-INDEX(Surface_Engine!$D$12:$D$72,$A1191+1),-(1000*12*INDEX(Surface_Engine!$C$12:$C$72,$A1191+1)/(1+Assumptions!$B$10)^15+INDEX(Surface_Engine!$D$12:$D$72,$A1191+1))))*INDEX(Surface_Engine!$B$12:$B$72,$A1191+1)</f>
        <v>1384.01241939445</v>
      </c>
      <c r="N1192" s="12" t="n">
        <f aca="false">IF(B1192&lt;=0,0,MAX(0,(K1192+Assumptions!$B$29*L1192/INDEX(Surface_Engine!$B$12:$B$72,$A1192+1)-(M1192/INDEX(Surface_Engine!$B$12:$B$72,$A1192+1)-(F1192/INDEX(Surface_Engine!$B$12:$B$72,$A1192+1))))/B1192))</f>
        <v>0</v>
      </c>
    </row>
    <row r="1193" customFormat="false" ht="15" hidden="false" customHeight="true" outlineLevel="0" collapsed="false">
      <c r="A1193" s="1" t="n">
        <v>51</v>
      </c>
      <c r="B1193" s="32" t="n">
        <f aca="false">INDEX(Surface_Engine!$Q$12:$Q$72,$A1193+1)*IF($A1193&lt;$Q$1140,INDEX(Surface_Engine!$E$12:$E$72,$A1193+1),INDEX(Surface_Engine!$E$12:$E$72,$Q$1140+1))</f>
        <v>0</v>
      </c>
      <c r="C1193" s="32" t="n">
        <f aca="false">INDEX(Panel_Reserving!$F$8:$F$68,$A1193+1)*IF($A1193&lt;$Q$1140,INDEX(Surface_Engine!$E$12:$E$72,$A1193+1),INDEX(Surface_Engine!$E$12:$E$72,$Q$1140+1))</f>
        <v>0</v>
      </c>
      <c r="D1193" s="32" t="n">
        <f aca="false">INDEX(Surface_Engine!$Q$12:$Q$72,$A1193+1)*IF($A1193&lt;$Q$1140,INDEX(Surface_Engine!$Y$12:$Y$72,$A1193+1),INDEX(Surface_Engine!$Y$12:$Y$72,$Q$1140+1))</f>
        <v>0</v>
      </c>
      <c r="E1193" s="32" t="n">
        <f aca="false">INDEX(Surface_Engine!$Q$12:$Q$72,$A1193+1)*IF($A1193&lt;$Q$1140,INDEX(Surface_Engine!$Z$12:$Z$72,$A1193+1),INDEX(Surface_Engine!$Z$12:$Z$72,$Q$1140+1))</f>
        <v>0</v>
      </c>
      <c r="F1193" s="48" t="n">
        <f aca="false">B1193*(IF($A1193&lt;$Q$1140,INDEX(Surface_Engine!$D$12:$D$72,$A1193+1)+(Surface_Engine!L246*12)*INDEX(Surface_Engine!$F$12:$F$72,$A1193+1)-(Surface_Engine!L246*12),1000*12*INDEX(Surface_Engine!$C$12:$C$72,$A1193+1)/(1+Assumptions!$B$10)^15+INDEX(Surface_Engine!$D$12:$D$72,$A1193+1)))*INDEX(Surface_Engine!$B$12:$B$72,$A1193+1)+F1194</f>
        <v>0</v>
      </c>
      <c r="G1193" s="48" t="n">
        <f aca="false">C1193*(IF($A1193&lt;$Q$1140,INDEX(Surface_Engine!$D$12:$D$72,$A1193+1)+(Surface_Engine!L246*12)*INDEX(Surface_Engine!$F$12:$F$72,$A1193+1)-(Surface_Engine!L246*12),1000*12*INDEX(Surface_Engine!$C$12:$C$72,$A1193+1)/(1+Assumptions!$B$10)^15+INDEX(Surface_Engine!$D$12:$D$72,$A1193+1)))*INDEX(Surface_Engine!$B$12:$B$72,$A1193+1)+G1194</f>
        <v>0</v>
      </c>
      <c r="H1193" s="48" t="n">
        <f aca="false">D1193*(IF($A1193&lt;$Q$1140,INDEX(Surface_Engine!$D$12:$D$72,$A1193+1)+(Surface_Engine!L246*12)*INDEX(Surface_Engine!$F$12:$F$72,$A1193+1)-(Surface_Engine!L246*12),1000*12*INDEX(Surface_Engine!$C$12:$C$72,$A1193+1)/(1+Assumptions!$B$10)^15+INDEX(Surface_Engine!$D$12:$D$72,$A1193+1)))*INDEX(Surface_Engine!$B$12:$B$72,$A1193+1)+H1194</f>
        <v>0</v>
      </c>
      <c r="I1193" s="48" t="n">
        <f aca="false">E1193*(IF($A1193&lt;$Q$1140,INDEX(Surface_Engine!$D$12:$D$72,$A1193+1)+(Surface_Engine!L246*12)*INDEX(Surface_Engine!$F$12:$F$72,$A1193+1)-(Surface_Engine!L246*12),1000*12*INDEX(Surface_Engine!$C$12:$C$72,$A1193+1)/(1+Assumptions!$B$10)^15+INDEX(Surface_Engine!$D$12:$D$72,$A1193+1)))*INDEX(Surface_Engine!$B$12:$B$72,$A1193+1)+I1194</f>
        <v>0</v>
      </c>
      <c r="J1193" s="48" t="n">
        <f aca="false">B1193*(IF($A1193&lt;$Q$1140,INDEX(Surface_Engine!$D$12:$D$72,$A1193+1)*(1+Assumptions!$B$24)+(Surface_Engine!L246*12)*INDEX(Surface_Engine!$F$12:$F$72,$A1193+1)-(Surface_Engine!L246*12),1000*12*INDEX(Surface_Engine!$C$12:$C$72,$A1193+1)/(1+Assumptions!$B$10)^15+INDEX(Surface_Engine!$D$12:$D$72,$A1193+1)*(1+Assumptions!$B$24)))*INDEX(Surface_Engine!$B$12:$B$72,$A1193+1)+J1194</f>
        <v>0</v>
      </c>
      <c r="K1193" s="12" t="n">
        <f aca="false">SQRT((IF(C1193&lt;=0,0,MAX(0,(B1193/C1193)*G1193/INDEX(Surface_Engine!$B$12:$B$72,$A1193+1)-F1193/INDEX(Surface_Engine!$B$12:$B$72,$A1193+1))))^2+(MAX(IF(D1193&lt;=0,0,MAX(0,(B1193/D1193)*H1193/INDEX(Surface_Engine!$B$12:$B$72,$A1193+1)-F1193/INDEX(Surface_Engine!$B$12:$B$72,$A1193+1))),IF(E1193&lt;=0,0,MAX(0,(B1193/E1193)*I1193/INDEX(Surface_Engine!$B$12:$B$72,$A1193+1)-F1193/INDEX(Surface_Engine!$B$12:$B$72,$A1193+1))),IF($A1193&lt;$Q$1140,MAX(0,-Assumptions!$B$22*(F1193/INDEX(Surface_Engine!$B$12:$B$72,$A1193+1))),0)))^2+(MAX(0,J1193/INDEX(Surface_Engine!$B$12:$B$72,$A1193+1)-(F1193/INDEX(Surface_Engine!$B$12:$B$72,$A1193+1))))^2+2*Assumptions!$B$26*(IF(C1193&lt;=0,0,MAX(0,(B1193/C1193)*G1193/INDEX(Surface_Engine!$B$12:$B$72,$A1193+1)-F1193/INDEX(Surface_Engine!$B$12:$B$72,$A1193+1))))*(MAX(IF(D1193&lt;=0,0,MAX(0,(B1193/D1193)*H1193/INDEX(Surface_Engine!$B$12:$B$72,$A1193+1)-F1193/INDEX(Surface_Engine!$B$12:$B$72,$A1193+1))),IF(E1193&lt;=0,0,MAX(0,(B1193/E1193)*I1193/INDEX(Surface_Engine!$B$12:$B$72,$A1193+1)-F1193/INDEX(Surface_Engine!$B$12:$B$72,$A1193+1))),IF($A1193&lt;$Q$1140,MAX(0,-Assumptions!$B$22*(F1193/INDEX(Surface_Engine!$B$12:$B$72,$A1193+1))),0)))+2*Assumptions!$B$27*(IF(C1193&lt;=0,0,MAX(0,(B1193/C1193)*G1193/INDEX(Surface_Engine!$B$12:$B$72,$A1193+1)-F1193/INDEX(Surface_Engine!$B$12:$B$72,$A1193+1))))*(MAX(0,J1193/INDEX(Surface_Engine!$B$12:$B$72,$A1193+1)-(F1193/INDEX(Surface_Engine!$B$12:$B$72,$A1193+1))))+2*Assumptions!$B$28*(MAX(IF(D1193&lt;=0,0,MAX(0,(B1193/D1193)*H1193/INDEX(Surface_Engine!$B$12:$B$72,$A1193+1)-F1193/INDEX(Surface_Engine!$B$12:$B$72,$A1193+1))),IF(E1193&lt;=0,0,MAX(0,(B1193/E1193)*I1193/INDEX(Surface_Engine!$B$12:$B$72,$A1193+1)-F1193/INDEX(Surface_Engine!$B$12:$B$72,$A1193+1))),IF($A1193&lt;$Q$1140,MAX(0,-Assumptions!$B$22*(F1193/INDEX(Surface_Engine!$B$12:$B$72,$A1193+1))),0)))*(MAX(0,J1193/INDEX(Surface_Engine!$B$12:$B$72,$A1193+1)-(F1193/INDEX(Surface_Engine!$B$12:$B$72,$A1193+1)))))</f>
        <v>0</v>
      </c>
      <c r="L1193" s="48" t="n">
        <f aca="false">K1193*INDEX(Surface_Engine!$B$12:$B$72,$A1193+1)+L1194</f>
        <v>0</v>
      </c>
      <c r="M1193" s="48" t="n">
        <f aca="false">M1192+B1192*(IF($A1192&lt;$Q$1140,(Surface_Engine!L246*12)-(Surface_Engine!L246*12)*INDEX(Surface_Engine!$F$12:$F$72,$A1192+1)-INDEX(Surface_Engine!$D$12:$D$72,$A1192+1),-(1000*12*INDEX(Surface_Engine!$C$12:$C$72,$A1192+1)/(1+Assumptions!$B$10)^15+INDEX(Surface_Engine!$D$12:$D$72,$A1192+1))))*INDEX(Surface_Engine!$B$12:$B$72,$A1192+1)</f>
        <v>1384.00415656181</v>
      </c>
      <c r="N1193" s="12" t="n">
        <f aca="false">IF(B1193&lt;=0,0,MAX(0,(K1193+Assumptions!$B$29*L1193/INDEX(Surface_Engine!$B$12:$B$72,$A1193+1)-(M1193/INDEX(Surface_Engine!$B$12:$B$72,$A1193+1)-(F1193/INDEX(Surface_Engine!$B$12:$B$72,$A1193+1))))/B1193))</f>
        <v>0</v>
      </c>
    </row>
    <row r="1194" customFormat="false" ht="15" hidden="false" customHeight="true" outlineLevel="0" collapsed="false">
      <c r="A1194" s="1" t="n">
        <v>52</v>
      </c>
      <c r="B1194" s="32" t="n">
        <f aca="false">INDEX(Surface_Engine!$Q$12:$Q$72,$A1194+1)*IF($A1194&lt;$Q$1140,INDEX(Surface_Engine!$E$12:$E$72,$A1194+1),INDEX(Surface_Engine!$E$12:$E$72,$Q$1140+1))</f>
        <v>0</v>
      </c>
      <c r="C1194" s="32" t="n">
        <f aca="false">INDEX(Panel_Reserving!$F$8:$F$68,$A1194+1)*IF($A1194&lt;$Q$1140,INDEX(Surface_Engine!$E$12:$E$72,$A1194+1),INDEX(Surface_Engine!$E$12:$E$72,$Q$1140+1))</f>
        <v>0</v>
      </c>
      <c r="D1194" s="32" t="n">
        <f aca="false">INDEX(Surface_Engine!$Q$12:$Q$72,$A1194+1)*IF($A1194&lt;$Q$1140,INDEX(Surface_Engine!$Y$12:$Y$72,$A1194+1),INDEX(Surface_Engine!$Y$12:$Y$72,$Q$1140+1))</f>
        <v>0</v>
      </c>
      <c r="E1194" s="32" t="n">
        <f aca="false">INDEX(Surface_Engine!$Q$12:$Q$72,$A1194+1)*IF($A1194&lt;$Q$1140,INDEX(Surface_Engine!$Z$12:$Z$72,$A1194+1),INDEX(Surface_Engine!$Z$12:$Z$72,$Q$1140+1))</f>
        <v>0</v>
      </c>
      <c r="F1194" s="48" t="n">
        <f aca="false">B1194*(IF($A1194&lt;$Q$1140,INDEX(Surface_Engine!$D$12:$D$72,$A1194+1)+(Surface_Engine!L246*12)*INDEX(Surface_Engine!$F$12:$F$72,$A1194+1)-(Surface_Engine!L246*12),1000*12*INDEX(Surface_Engine!$C$12:$C$72,$A1194+1)/(1+Assumptions!$B$10)^15+INDEX(Surface_Engine!$D$12:$D$72,$A1194+1)))*INDEX(Surface_Engine!$B$12:$B$72,$A1194+1)+F1195</f>
        <v>0</v>
      </c>
      <c r="G1194" s="48" t="n">
        <f aca="false">C1194*(IF($A1194&lt;$Q$1140,INDEX(Surface_Engine!$D$12:$D$72,$A1194+1)+(Surface_Engine!L246*12)*INDEX(Surface_Engine!$F$12:$F$72,$A1194+1)-(Surface_Engine!L246*12),1000*12*INDEX(Surface_Engine!$C$12:$C$72,$A1194+1)/(1+Assumptions!$B$10)^15+INDEX(Surface_Engine!$D$12:$D$72,$A1194+1)))*INDEX(Surface_Engine!$B$12:$B$72,$A1194+1)+G1195</f>
        <v>0</v>
      </c>
      <c r="H1194" s="48" t="n">
        <f aca="false">D1194*(IF($A1194&lt;$Q$1140,INDEX(Surface_Engine!$D$12:$D$72,$A1194+1)+(Surface_Engine!L246*12)*INDEX(Surface_Engine!$F$12:$F$72,$A1194+1)-(Surface_Engine!L246*12),1000*12*INDEX(Surface_Engine!$C$12:$C$72,$A1194+1)/(1+Assumptions!$B$10)^15+INDEX(Surface_Engine!$D$12:$D$72,$A1194+1)))*INDEX(Surface_Engine!$B$12:$B$72,$A1194+1)+H1195</f>
        <v>0</v>
      </c>
      <c r="I1194" s="48" t="n">
        <f aca="false">E1194*(IF($A1194&lt;$Q$1140,INDEX(Surface_Engine!$D$12:$D$72,$A1194+1)+(Surface_Engine!L246*12)*INDEX(Surface_Engine!$F$12:$F$72,$A1194+1)-(Surface_Engine!L246*12),1000*12*INDEX(Surface_Engine!$C$12:$C$72,$A1194+1)/(1+Assumptions!$B$10)^15+INDEX(Surface_Engine!$D$12:$D$72,$A1194+1)))*INDEX(Surface_Engine!$B$12:$B$72,$A1194+1)+I1195</f>
        <v>0</v>
      </c>
      <c r="J1194" s="48" t="n">
        <f aca="false">B1194*(IF($A1194&lt;$Q$1140,INDEX(Surface_Engine!$D$12:$D$72,$A1194+1)*(1+Assumptions!$B$24)+(Surface_Engine!L246*12)*INDEX(Surface_Engine!$F$12:$F$72,$A1194+1)-(Surface_Engine!L246*12),1000*12*INDEX(Surface_Engine!$C$12:$C$72,$A1194+1)/(1+Assumptions!$B$10)^15+INDEX(Surface_Engine!$D$12:$D$72,$A1194+1)*(1+Assumptions!$B$24)))*INDEX(Surface_Engine!$B$12:$B$72,$A1194+1)+J1195</f>
        <v>0</v>
      </c>
      <c r="K1194" s="12" t="n">
        <f aca="false">SQRT((IF(C1194&lt;=0,0,MAX(0,(B1194/C1194)*G1194/INDEX(Surface_Engine!$B$12:$B$72,$A1194+1)-F1194/INDEX(Surface_Engine!$B$12:$B$72,$A1194+1))))^2+(MAX(IF(D1194&lt;=0,0,MAX(0,(B1194/D1194)*H1194/INDEX(Surface_Engine!$B$12:$B$72,$A1194+1)-F1194/INDEX(Surface_Engine!$B$12:$B$72,$A1194+1))),IF(E1194&lt;=0,0,MAX(0,(B1194/E1194)*I1194/INDEX(Surface_Engine!$B$12:$B$72,$A1194+1)-F1194/INDEX(Surface_Engine!$B$12:$B$72,$A1194+1))),IF($A1194&lt;$Q$1140,MAX(0,-Assumptions!$B$22*(F1194/INDEX(Surface_Engine!$B$12:$B$72,$A1194+1))),0)))^2+(MAX(0,J1194/INDEX(Surface_Engine!$B$12:$B$72,$A1194+1)-(F1194/INDEX(Surface_Engine!$B$12:$B$72,$A1194+1))))^2+2*Assumptions!$B$26*(IF(C1194&lt;=0,0,MAX(0,(B1194/C1194)*G1194/INDEX(Surface_Engine!$B$12:$B$72,$A1194+1)-F1194/INDEX(Surface_Engine!$B$12:$B$72,$A1194+1))))*(MAX(IF(D1194&lt;=0,0,MAX(0,(B1194/D1194)*H1194/INDEX(Surface_Engine!$B$12:$B$72,$A1194+1)-F1194/INDEX(Surface_Engine!$B$12:$B$72,$A1194+1))),IF(E1194&lt;=0,0,MAX(0,(B1194/E1194)*I1194/INDEX(Surface_Engine!$B$12:$B$72,$A1194+1)-F1194/INDEX(Surface_Engine!$B$12:$B$72,$A1194+1))),IF($A1194&lt;$Q$1140,MAX(0,-Assumptions!$B$22*(F1194/INDEX(Surface_Engine!$B$12:$B$72,$A1194+1))),0)))+2*Assumptions!$B$27*(IF(C1194&lt;=0,0,MAX(0,(B1194/C1194)*G1194/INDEX(Surface_Engine!$B$12:$B$72,$A1194+1)-F1194/INDEX(Surface_Engine!$B$12:$B$72,$A1194+1))))*(MAX(0,J1194/INDEX(Surface_Engine!$B$12:$B$72,$A1194+1)-(F1194/INDEX(Surface_Engine!$B$12:$B$72,$A1194+1))))+2*Assumptions!$B$28*(MAX(IF(D1194&lt;=0,0,MAX(0,(B1194/D1194)*H1194/INDEX(Surface_Engine!$B$12:$B$72,$A1194+1)-F1194/INDEX(Surface_Engine!$B$12:$B$72,$A1194+1))),IF(E1194&lt;=0,0,MAX(0,(B1194/E1194)*I1194/INDEX(Surface_Engine!$B$12:$B$72,$A1194+1)-F1194/INDEX(Surface_Engine!$B$12:$B$72,$A1194+1))),IF($A1194&lt;$Q$1140,MAX(0,-Assumptions!$B$22*(F1194/INDEX(Surface_Engine!$B$12:$B$72,$A1194+1))),0)))*(MAX(0,J1194/INDEX(Surface_Engine!$B$12:$B$72,$A1194+1)-(F1194/INDEX(Surface_Engine!$B$12:$B$72,$A1194+1)))))</f>
        <v>0</v>
      </c>
      <c r="L1194" s="48" t="n">
        <f aca="false">K1194*INDEX(Surface_Engine!$B$12:$B$72,$A1194+1)+L1195</f>
        <v>0</v>
      </c>
      <c r="M1194" s="48" t="n">
        <f aca="false">M1193+B1193*(IF($A1193&lt;$Q$1140,(Surface_Engine!L246*12)-(Surface_Engine!L246*12)*INDEX(Surface_Engine!$F$12:$F$72,$A1193+1)-INDEX(Surface_Engine!$D$12:$D$72,$A1193+1),-(1000*12*INDEX(Surface_Engine!$C$12:$C$72,$A1193+1)/(1+Assumptions!$B$10)^15+INDEX(Surface_Engine!$D$12:$D$72,$A1193+1))))*INDEX(Surface_Engine!$B$12:$B$72,$A1193+1)</f>
        <v>1384.00415656181</v>
      </c>
      <c r="N1194" s="12" t="n">
        <f aca="false">IF(B1194&lt;=0,0,MAX(0,(K1194+Assumptions!$B$29*L1194/INDEX(Surface_Engine!$B$12:$B$72,$A1194+1)-(M1194/INDEX(Surface_Engine!$B$12:$B$72,$A1194+1)-(F1194/INDEX(Surface_Engine!$B$12:$B$72,$A1194+1))))/B1194))</f>
        <v>0</v>
      </c>
    </row>
    <row r="1195" customFormat="false" ht="15" hidden="false" customHeight="true" outlineLevel="0" collapsed="false">
      <c r="A1195" s="1" t="n">
        <v>53</v>
      </c>
      <c r="B1195" s="32" t="n">
        <f aca="false">INDEX(Surface_Engine!$Q$12:$Q$72,$A1195+1)*IF($A1195&lt;$Q$1140,INDEX(Surface_Engine!$E$12:$E$72,$A1195+1),INDEX(Surface_Engine!$E$12:$E$72,$Q$1140+1))</f>
        <v>0</v>
      </c>
      <c r="C1195" s="32" t="n">
        <f aca="false">INDEX(Panel_Reserving!$F$8:$F$68,$A1195+1)*IF($A1195&lt;$Q$1140,INDEX(Surface_Engine!$E$12:$E$72,$A1195+1),INDEX(Surface_Engine!$E$12:$E$72,$Q$1140+1))</f>
        <v>0</v>
      </c>
      <c r="D1195" s="32" t="n">
        <f aca="false">INDEX(Surface_Engine!$Q$12:$Q$72,$A1195+1)*IF($A1195&lt;$Q$1140,INDEX(Surface_Engine!$Y$12:$Y$72,$A1195+1),INDEX(Surface_Engine!$Y$12:$Y$72,$Q$1140+1))</f>
        <v>0</v>
      </c>
      <c r="E1195" s="32" t="n">
        <f aca="false">INDEX(Surface_Engine!$Q$12:$Q$72,$A1195+1)*IF($A1195&lt;$Q$1140,INDEX(Surface_Engine!$Z$12:$Z$72,$A1195+1),INDEX(Surface_Engine!$Z$12:$Z$72,$Q$1140+1))</f>
        <v>0</v>
      </c>
      <c r="F1195" s="48" t="n">
        <f aca="false">B1195*(IF($A1195&lt;$Q$1140,INDEX(Surface_Engine!$D$12:$D$72,$A1195+1)+(Surface_Engine!L246*12)*INDEX(Surface_Engine!$F$12:$F$72,$A1195+1)-(Surface_Engine!L246*12),1000*12*INDEX(Surface_Engine!$C$12:$C$72,$A1195+1)/(1+Assumptions!$B$10)^15+INDEX(Surface_Engine!$D$12:$D$72,$A1195+1)))*INDEX(Surface_Engine!$B$12:$B$72,$A1195+1)+F1196</f>
        <v>0</v>
      </c>
      <c r="G1195" s="48" t="n">
        <f aca="false">C1195*(IF($A1195&lt;$Q$1140,INDEX(Surface_Engine!$D$12:$D$72,$A1195+1)+(Surface_Engine!L246*12)*INDEX(Surface_Engine!$F$12:$F$72,$A1195+1)-(Surface_Engine!L246*12),1000*12*INDEX(Surface_Engine!$C$12:$C$72,$A1195+1)/(1+Assumptions!$B$10)^15+INDEX(Surface_Engine!$D$12:$D$72,$A1195+1)))*INDEX(Surface_Engine!$B$12:$B$72,$A1195+1)+G1196</f>
        <v>0</v>
      </c>
      <c r="H1195" s="48" t="n">
        <f aca="false">D1195*(IF($A1195&lt;$Q$1140,INDEX(Surface_Engine!$D$12:$D$72,$A1195+1)+(Surface_Engine!L246*12)*INDEX(Surface_Engine!$F$12:$F$72,$A1195+1)-(Surface_Engine!L246*12),1000*12*INDEX(Surface_Engine!$C$12:$C$72,$A1195+1)/(1+Assumptions!$B$10)^15+INDEX(Surface_Engine!$D$12:$D$72,$A1195+1)))*INDEX(Surface_Engine!$B$12:$B$72,$A1195+1)+H1196</f>
        <v>0</v>
      </c>
      <c r="I1195" s="48" t="n">
        <f aca="false">E1195*(IF($A1195&lt;$Q$1140,INDEX(Surface_Engine!$D$12:$D$72,$A1195+1)+(Surface_Engine!L246*12)*INDEX(Surface_Engine!$F$12:$F$72,$A1195+1)-(Surface_Engine!L246*12),1000*12*INDEX(Surface_Engine!$C$12:$C$72,$A1195+1)/(1+Assumptions!$B$10)^15+INDEX(Surface_Engine!$D$12:$D$72,$A1195+1)))*INDEX(Surface_Engine!$B$12:$B$72,$A1195+1)+I1196</f>
        <v>0</v>
      </c>
      <c r="J1195" s="48" t="n">
        <f aca="false">B1195*(IF($A1195&lt;$Q$1140,INDEX(Surface_Engine!$D$12:$D$72,$A1195+1)*(1+Assumptions!$B$24)+(Surface_Engine!L246*12)*INDEX(Surface_Engine!$F$12:$F$72,$A1195+1)-(Surface_Engine!L246*12),1000*12*INDEX(Surface_Engine!$C$12:$C$72,$A1195+1)/(1+Assumptions!$B$10)^15+INDEX(Surface_Engine!$D$12:$D$72,$A1195+1)*(1+Assumptions!$B$24)))*INDEX(Surface_Engine!$B$12:$B$72,$A1195+1)+J1196</f>
        <v>0</v>
      </c>
      <c r="K1195" s="12" t="n">
        <f aca="false">SQRT((IF(C1195&lt;=0,0,MAX(0,(B1195/C1195)*G1195/INDEX(Surface_Engine!$B$12:$B$72,$A1195+1)-F1195/INDEX(Surface_Engine!$B$12:$B$72,$A1195+1))))^2+(MAX(IF(D1195&lt;=0,0,MAX(0,(B1195/D1195)*H1195/INDEX(Surface_Engine!$B$12:$B$72,$A1195+1)-F1195/INDEX(Surface_Engine!$B$12:$B$72,$A1195+1))),IF(E1195&lt;=0,0,MAX(0,(B1195/E1195)*I1195/INDEX(Surface_Engine!$B$12:$B$72,$A1195+1)-F1195/INDEX(Surface_Engine!$B$12:$B$72,$A1195+1))),IF($A1195&lt;$Q$1140,MAX(0,-Assumptions!$B$22*(F1195/INDEX(Surface_Engine!$B$12:$B$72,$A1195+1))),0)))^2+(MAX(0,J1195/INDEX(Surface_Engine!$B$12:$B$72,$A1195+1)-(F1195/INDEX(Surface_Engine!$B$12:$B$72,$A1195+1))))^2+2*Assumptions!$B$26*(IF(C1195&lt;=0,0,MAX(0,(B1195/C1195)*G1195/INDEX(Surface_Engine!$B$12:$B$72,$A1195+1)-F1195/INDEX(Surface_Engine!$B$12:$B$72,$A1195+1))))*(MAX(IF(D1195&lt;=0,0,MAX(0,(B1195/D1195)*H1195/INDEX(Surface_Engine!$B$12:$B$72,$A1195+1)-F1195/INDEX(Surface_Engine!$B$12:$B$72,$A1195+1))),IF(E1195&lt;=0,0,MAX(0,(B1195/E1195)*I1195/INDEX(Surface_Engine!$B$12:$B$72,$A1195+1)-F1195/INDEX(Surface_Engine!$B$12:$B$72,$A1195+1))),IF($A1195&lt;$Q$1140,MAX(0,-Assumptions!$B$22*(F1195/INDEX(Surface_Engine!$B$12:$B$72,$A1195+1))),0)))+2*Assumptions!$B$27*(IF(C1195&lt;=0,0,MAX(0,(B1195/C1195)*G1195/INDEX(Surface_Engine!$B$12:$B$72,$A1195+1)-F1195/INDEX(Surface_Engine!$B$12:$B$72,$A1195+1))))*(MAX(0,J1195/INDEX(Surface_Engine!$B$12:$B$72,$A1195+1)-(F1195/INDEX(Surface_Engine!$B$12:$B$72,$A1195+1))))+2*Assumptions!$B$28*(MAX(IF(D1195&lt;=0,0,MAX(0,(B1195/D1195)*H1195/INDEX(Surface_Engine!$B$12:$B$72,$A1195+1)-F1195/INDEX(Surface_Engine!$B$12:$B$72,$A1195+1))),IF(E1195&lt;=0,0,MAX(0,(B1195/E1195)*I1195/INDEX(Surface_Engine!$B$12:$B$72,$A1195+1)-F1195/INDEX(Surface_Engine!$B$12:$B$72,$A1195+1))),IF($A1195&lt;$Q$1140,MAX(0,-Assumptions!$B$22*(F1195/INDEX(Surface_Engine!$B$12:$B$72,$A1195+1))),0)))*(MAX(0,J1195/INDEX(Surface_Engine!$B$12:$B$72,$A1195+1)-(F1195/INDEX(Surface_Engine!$B$12:$B$72,$A1195+1)))))</f>
        <v>0</v>
      </c>
      <c r="L1195" s="48" t="n">
        <f aca="false">K1195*INDEX(Surface_Engine!$B$12:$B$72,$A1195+1)+L1196</f>
        <v>0</v>
      </c>
      <c r="M1195" s="48" t="n">
        <f aca="false">M1194+B1194*(IF($A1194&lt;$Q$1140,(Surface_Engine!L246*12)-(Surface_Engine!L246*12)*INDEX(Surface_Engine!$F$12:$F$72,$A1194+1)-INDEX(Surface_Engine!$D$12:$D$72,$A1194+1),-(1000*12*INDEX(Surface_Engine!$C$12:$C$72,$A1194+1)/(1+Assumptions!$B$10)^15+INDEX(Surface_Engine!$D$12:$D$72,$A1194+1))))*INDEX(Surface_Engine!$B$12:$B$72,$A1194+1)</f>
        <v>1384.00415656181</v>
      </c>
      <c r="N1195" s="12" t="n">
        <f aca="false">IF(B1195&lt;=0,0,MAX(0,(K1195+Assumptions!$B$29*L1195/INDEX(Surface_Engine!$B$12:$B$72,$A1195+1)-(M1195/INDEX(Surface_Engine!$B$12:$B$72,$A1195+1)-(F1195/INDEX(Surface_Engine!$B$12:$B$72,$A1195+1))))/B1195))</f>
        <v>0</v>
      </c>
    </row>
    <row r="1196" customFormat="false" ht="15" hidden="false" customHeight="true" outlineLevel="0" collapsed="false">
      <c r="A1196" s="1" t="n">
        <v>54</v>
      </c>
      <c r="B1196" s="32" t="n">
        <f aca="false">INDEX(Surface_Engine!$Q$12:$Q$72,$A1196+1)*IF($A1196&lt;$Q$1140,INDEX(Surface_Engine!$E$12:$E$72,$A1196+1),INDEX(Surface_Engine!$E$12:$E$72,$Q$1140+1))</f>
        <v>0</v>
      </c>
      <c r="C1196" s="32" t="n">
        <f aca="false">INDEX(Panel_Reserving!$F$8:$F$68,$A1196+1)*IF($A1196&lt;$Q$1140,INDEX(Surface_Engine!$E$12:$E$72,$A1196+1),INDEX(Surface_Engine!$E$12:$E$72,$Q$1140+1))</f>
        <v>0</v>
      </c>
      <c r="D1196" s="32" t="n">
        <f aca="false">INDEX(Surface_Engine!$Q$12:$Q$72,$A1196+1)*IF($A1196&lt;$Q$1140,INDEX(Surface_Engine!$Y$12:$Y$72,$A1196+1),INDEX(Surface_Engine!$Y$12:$Y$72,$Q$1140+1))</f>
        <v>0</v>
      </c>
      <c r="E1196" s="32" t="n">
        <f aca="false">INDEX(Surface_Engine!$Q$12:$Q$72,$A1196+1)*IF($A1196&lt;$Q$1140,INDEX(Surface_Engine!$Z$12:$Z$72,$A1196+1),INDEX(Surface_Engine!$Z$12:$Z$72,$Q$1140+1))</f>
        <v>0</v>
      </c>
      <c r="F1196" s="48" t="n">
        <f aca="false">B1196*(IF($A1196&lt;$Q$1140,INDEX(Surface_Engine!$D$12:$D$72,$A1196+1)+(Surface_Engine!L246*12)*INDEX(Surface_Engine!$F$12:$F$72,$A1196+1)-(Surface_Engine!L246*12),1000*12*INDEX(Surface_Engine!$C$12:$C$72,$A1196+1)/(1+Assumptions!$B$10)^15+INDEX(Surface_Engine!$D$12:$D$72,$A1196+1)))*INDEX(Surface_Engine!$B$12:$B$72,$A1196+1)+F1197</f>
        <v>0</v>
      </c>
      <c r="G1196" s="48" t="n">
        <f aca="false">C1196*(IF($A1196&lt;$Q$1140,INDEX(Surface_Engine!$D$12:$D$72,$A1196+1)+(Surface_Engine!L246*12)*INDEX(Surface_Engine!$F$12:$F$72,$A1196+1)-(Surface_Engine!L246*12),1000*12*INDEX(Surface_Engine!$C$12:$C$72,$A1196+1)/(1+Assumptions!$B$10)^15+INDEX(Surface_Engine!$D$12:$D$72,$A1196+1)))*INDEX(Surface_Engine!$B$12:$B$72,$A1196+1)+G1197</f>
        <v>0</v>
      </c>
      <c r="H1196" s="48" t="n">
        <f aca="false">D1196*(IF($A1196&lt;$Q$1140,INDEX(Surface_Engine!$D$12:$D$72,$A1196+1)+(Surface_Engine!L246*12)*INDEX(Surface_Engine!$F$12:$F$72,$A1196+1)-(Surface_Engine!L246*12),1000*12*INDEX(Surface_Engine!$C$12:$C$72,$A1196+1)/(1+Assumptions!$B$10)^15+INDEX(Surface_Engine!$D$12:$D$72,$A1196+1)))*INDEX(Surface_Engine!$B$12:$B$72,$A1196+1)+H1197</f>
        <v>0</v>
      </c>
      <c r="I1196" s="48" t="n">
        <f aca="false">E1196*(IF($A1196&lt;$Q$1140,INDEX(Surface_Engine!$D$12:$D$72,$A1196+1)+(Surface_Engine!L246*12)*INDEX(Surface_Engine!$F$12:$F$72,$A1196+1)-(Surface_Engine!L246*12),1000*12*INDEX(Surface_Engine!$C$12:$C$72,$A1196+1)/(1+Assumptions!$B$10)^15+INDEX(Surface_Engine!$D$12:$D$72,$A1196+1)))*INDEX(Surface_Engine!$B$12:$B$72,$A1196+1)+I1197</f>
        <v>0</v>
      </c>
      <c r="J1196" s="48" t="n">
        <f aca="false">B1196*(IF($A1196&lt;$Q$1140,INDEX(Surface_Engine!$D$12:$D$72,$A1196+1)*(1+Assumptions!$B$24)+(Surface_Engine!L246*12)*INDEX(Surface_Engine!$F$12:$F$72,$A1196+1)-(Surface_Engine!L246*12),1000*12*INDEX(Surface_Engine!$C$12:$C$72,$A1196+1)/(1+Assumptions!$B$10)^15+INDEX(Surface_Engine!$D$12:$D$72,$A1196+1)*(1+Assumptions!$B$24)))*INDEX(Surface_Engine!$B$12:$B$72,$A1196+1)+J1197</f>
        <v>0</v>
      </c>
      <c r="K1196" s="12" t="n">
        <f aca="false">SQRT((IF(C1196&lt;=0,0,MAX(0,(B1196/C1196)*G1196/INDEX(Surface_Engine!$B$12:$B$72,$A1196+1)-F1196/INDEX(Surface_Engine!$B$12:$B$72,$A1196+1))))^2+(MAX(IF(D1196&lt;=0,0,MAX(0,(B1196/D1196)*H1196/INDEX(Surface_Engine!$B$12:$B$72,$A1196+1)-F1196/INDEX(Surface_Engine!$B$12:$B$72,$A1196+1))),IF(E1196&lt;=0,0,MAX(0,(B1196/E1196)*I1196/INDEX(Surface_Engine!$B$12:$B$72,$A1196+1)-F1196/INDEX(Surface_Engine!$B$12:$B$72,$A1196+1))),IF($A1196&lt;$Q$1140,MAX(0,-Assumptions!$B$22*(F1196/INDEX(Surface_Engine!$B$12:$B$72,$A1196+1))),0)))^2+(MAX(0,J1196/INDEX(Surface_Engine!$B$12:$B$72,$A1196+1)-(F1196/INDEX(Surface_Engine!$B$12:$B$72,$A1196+1))))^2+2*Assumptions!$B$26*(IF(C1196&lt;=0,0,MAX(0,(B1196/C1196)*G1196/INDEX(Surface_Engine!$B$12:$B$72,$A1196+1)-F1196/INDEX(Surface_Engine!$B$12:$B$72,$A1196+1))))*(MAX(IF(D1196&lt;=0,0,MAX(0,(B1196/D1196)*H1196/INDEX(Surface_Engine!$B$12:$B$72,$A1196+1)-F1196/INDEX(Surface_Engine!$B$12:$B$72,$A1196+1))),IF(E1196&lt;=0,0,MAX(0,(B1196/E1196)*I1196/INDEX(Surface_Engine!$B$12:$B$72,$A1196+1)-F1196/INDEX(Surface_Engine!$B$12:$B$72,$A1196+1))),IF($A1196&lt;$Q$1140,MAX(0,-Assumptions!$B$22*(F1196/INDEX(Surface_Engine!$B$12:$B$72,$A1196+1))),0)))+2*Assumptions!$B$27*(IF(C1196&lt;=0,0,MAX(0,(B1196/C1196)*G1196/INDEX(Surface_Engine!$B$12:$B$72,$A1196+1)-F1196/INDEX(Surface_Engine!$B$12:$B$72,$A1196+1))))*(MAX(0,J1196/INDEX(Surface_Engine!$B$12:$B$72,$A1196+1)-(F1196/INDEX(Surface_Engine!$B$12:$B$72,$A1196+1))))+2*Assumptions!$B$28*(MAX(IF(D1196&lt;=0,0,MAX(0,(B1196/D1196)*H1196/INDEX(Surface_Engine!$B$12:$B$72,$A1196+1)-F1196/INDEX(Surface_Engine!$B$12:$B$72,$A1196+1))),IF(E1196&lt;=0,0,MAX(0,(B1196/E1196)*I1196/INDEX(Surface_Engine!$B$12:$B$72,$A1196+1)-F1196/INDEX(Surface_Engine!$B$12:$B$72,$A1196+1))),IF($A1196&lt;$Q$1140,MAX(0,-Assumptions!$B$22*(F1196/INDEX(Surface_Engine!$B$12:$B$72,$A1196+1))),0)))*(MAX(0,J1196/INDEX(Surface_Engine!$B$12:$B$72,$A1196+1)-(F1196/INDEX(Surface_Engine!$B$12:$B$72,$A1196+1)))))</f>
        <v>0</v>
      </c>
      <c r="L1196" s="48" t="n">
        <f aca="false">K1196*INDEX(Surface_Engine!$B$12:$B$72,$A1196+1)+L1197</f>
        <v>0</v>
      </c>
      <c r="M1196" s="48" t="n">
        <f aca="false">M1195+B1195*(IF($A1195&lt;$Q$1140,(Surface_Engine!L246*12)-(Surface_Engine!L246*12)*INDEX(Surface_Engine!$F$12:$F$72,$A1195+1)-INDEX(Surface_Engine!$D$12:$D$72,$A1195+1),-(1000*12*INDEX(Surface_Engine!$C$12:$C$72,$A1195+1)/(1+Assumptions!$B$10)^15+INDEX(Surface_Engine!$D$12:$D$72,$A1195+1))))*INDEX(Surface_Engine!$B$12:$B$72,$A1195+1)</f>
        <v>1384.00415656181</v>
      </c>
      <c r="N1196" s="12" t="n">
        <f aca="false">IF(B1196&lt;=0,0,MAX(0,(K1196+Assumptions!$B$29*L1196/INDEX(Surface_Engine!$B$12:$B$72,$A1196+1)-(M1196/INDEX(Surface_Engine!$B$12:$B$72,$A1196+1)-(F1196/INDEX(Surface_Engine!$B$12:$B$72,$A1196+1))))/B1196))</f>
        <v>0</v>
      </c>
    </row>
    <row r="1197" customFormat="false" ht="15" hidden="false" customHeight="true" outlineLevel="0" collapsed="false">
      <c r="A1197" s="1" t="n">
        <v>55</v>
      </c>
      <c r="B1197" s="32" t="n">
        <f aca="false">INDEX(Surface_Engine!$Q$12:$Q$72,$A1197+1)*IF($A1197&lt;$Q$1140,INDEX(Surface_Engine!$E$12:$E$72,$A1197+1),INDEX(Surface_Engine!$E$12:$E$72,$Q$1140+1))</f>
        <v>0</v>
      </c>
      <c r="C1197" s="32" t="n">
        <f aca="false">INDEX(Panel_Reserving!$F$8:$F$68,$A1197+1)*IF($A1197&lt;$Q$1140,INDEX(Surface_Engine!$E$12:$E$72,$A1197+1),INDEX(Surface_Engine!$E$12:$E$72,$Q$1140+1))</f>
        <v>0</v>
      </c>
      <c r="D1197" s="32" t="n">
        <f aca="false">INDEX(Surface_Engine!$Q$12:$Q$72,$A1197+1)*IF($A1197&lt;$Q$1140,INDEX(Surface_Engine!$Y$12:$Y$72,$A1197+1),INDEX(Surface_Engine!$Y$12:$Y$72,$Q$1140+1))</f>
        <v>0</v>
      </c>
      <c r="E1197" s="32" t="n">
        <f aca="false">INDEX(Surface_Engine!$Q$12:$Q$72,$A1197+1)*IF($A1197&lt;$Q$1140,INDEX(Surface_Engine!$Z$12:$Z$72,$A1197+1),INDEX(Surface_Engine!$Z$12:$Z$72,$Q$1140+1))</f>
        <v>0</v>
      </c>
      <c r="F1197" s="48" t="n">
        <f aca="false">B1197*(IF($A1197&lt;$Q$1140,INDEX(Surface_Engine!$D$12:$D$72,$A1197+1)+(Surface_Engine!L246*12)*INDEX(Surface_Engine!$F$12:$F$72,$A1197+1)-(Surface_Engine!L246*12),1000*12*INDEX(Surface_Engine!$C$12:$C$72,$A1197+1)/(1+Assumptions!$B$10)^15+INDEX(Surface_Engine!$D$12:$D$72,$A1197+1)))*INDEX(Surface_Engine!$B$12:$B$72,$A1197+1)+F1198</f>
        <v>0</v>
      </c>
      <c r="G1197" s="48" t="n">
        <f aca="false">C1197*(IF($A1197&lt;$Q$1140,INDEX(Surface_Engine!$D$12:$D$72,$A1197+1)+(Surface_Engine!L246*12)*INDEX(Surface_Engine!$F$12:$F$72,$A1197+1)-(Surface_Engine!L246*12),1000*12*INDEX(Surface_Engine!$C$12:$C$72,$A1197+1)/(1+Assumptions!$B$10)^15+INDEX(Surface_Engine!$D$12:$D$72,$A1197+1)))*INDEX(Surface_Engine!$B$12:$B$72,$A1197+1)+G1198</f>
        <v>0</v>
      </c>
      <c r="H1197" s="48" t="n">
        <f aca="false">D1197*(IF($A1197&lt;$Q$1140,INDEX(Surface_Engine!$D$12:$D$72,$A1197+1)+(Surface_Engine!L246*12)*INDEX(Surface_Engine!$F$12:$F$72,$A1197+1)-(Surface_Engine!L246*12),1000*12*INDEX(Surface_Engine!$C$12:$C$72,$A1197+1)/(1+Assumptions!$B$10)^15+INDEX(Surface_Engine!$D$12:$D$72,$A1197+1)))*INDEX(Surface_Engine!$B$12:$B$72,$A1197+1)+H1198</f>
        <v>0</v>
      </c>
      <c r="I1197" s="48" t="n">
        <f aca="false">E1197*(IF($A1197&lt;$Q$1140,INDEX(Surface_Engine!$D$12:$D$72,$A1197+1)+(Surface_Engine!L246*12)*INDEX(Surface_Engine!$F$12:$F$72,$A1197+1)-(Surface_Engine!L246*12),1000*12*INDEX(Surface_Engine!$C$12:$C$72,$A1197+1)/(1+Assumptions!$B$10)^15+INDEX(Surface_Engine!$D$12:$D$72,$A1197+1)))*INDEX(Surface_Engine!$B$12:$B$72,$A1197+1)+I1198</f>
        <v>0</v>
      </c>
      <c r="J1197" s="48" t="n">
        <f aca="false">B1197*(IF($A1197&lt;$Q$1140,INDEX(Surface_Engine!$D$12:$D$72,$A1197+1)*(1+Assumptions!$B$24)+(Surface_Engine!L246*12)*INDEX(Surface_Engine!$F$12:$F$72,$A1197+1)-(Surface_Engine!L246*12),1000*12*INDEX(Surface_Engine!$C$12:$C$72,$A1197+1)/(1+Assumptions!$B$10)^15+INDEX(Surface_Engine!$D$12:$D$72,$A1197+1)*(1+Assumptions!$B$24)))*INDEX(Surface_Engine!$B$12:$B$72,$A1197+1)+J1198</f>
        <v>0</v>
      </c>
      <c r="K1197" s="12" t="n">
        <f aca="false">SQRT((IF(C1197&lt;=0,0,MAX(0,(B1197/C1197)*G1197/INDEX(Surface_Engine!$B$12:$B$72,$A1197+1)-F1197/INDEX(Surface_Engine!$B$12:$B$72,$A1197+1))))^2+(MAX(IF(D1197&lt;=0,0,MAX(0,(B1197/D1197)*H1197/INDEX(Surface_Engine!$B$12:$B$72,$A1197+1)-F1197/INDEX(Surface_Engine!$B$12:$B$72,$A1197+1))),IF(E1197&lt;=0,0,MAX(0,(B1197/E1197)*I1197/INDEX(Surface_Engine!$B$12:$B$72,$A1197+1)-F1197/INDEX(Surface_Engine!$B$12:$B$72,$A1197+1))),IF($A1197&lt;$Q$1140,MAX(0,-Assumptions!$B$22*(F1197/INDEX(Surface_Engine!$B$12:$B$72,$A1197+1))),0)))^2+(MAX(0,J1197/INDEX(Surface_Engine!$B$12:$B$72,$A1197+1)-(F1197/INDEX(Surface_Engine!$B$12:$B$72,$A1197+1))))^2+2*Assumptions!$B$26*(IF(C1197&lt;=0,0,MAX(0,(B1197/C1197)*G1197/INDEX(Surface_Engine!$B$12:$B$72,$A1197+1)-F1197/INDEX(Surface_Engine!$B$12:$B$72,$A1197+1))))*(MAX(IF(D1197&lt;=0,0,MAX(0,(B1197/D1197)*H1197/INDEX(Surface_Engine!$B$12:$B$72,$A1197+1)-F1197/INDEX(Surface_Engine!$B$12:$B$72,$A1197+1))),IF(E1197&lt;=0,0,MAX(0,(B1197/E1197)*I1197/INDEX(Surface_Engine!$B$12:$B$72,$A1197+1)-F1197/INDEX(Surface_Engine!$B$12:$B$72,$A1197+1))),IF($A1197&lt;$Q$1140,MAX(0,-Assumptions!$B$22*(F1197/INDEX(Surface_Engine!$B$12:$B$72,$A1197+1))),0)))+2*Assumptions!$B$27*(IF(C1197&lt;=0,0,MAX(0,(B1197/C1197)*G1197/INDEX(Surface_Engine!$B$12:$B$72,$A1197+1)-F1197/INDEX(Surface_Engine!$B$12:$B$72,$A1197+1))))*(MAX(0,J1197/INDEX(Surface_Engine!$B$12:$B$72,$A1197+1)-(F1197/INDEX(Surface_Engine!$B$12:$B$72,$A1197+1))))+2*Assumptions!$B$28*(MAX(IF(D1197&lt;=0,0,MAX(0,(B1197/D1197)*H1197/INDEX(Surface_Engine!$B$12:$B$72,$A1197+1)-F1197/INDEX(Surface_Engine!$B$12:$B$72,$A1197+1))),IF(E1197&lt;=0,0,MAX(0,(B1197/E1197)*I1197/INDEX(Surface_Engine!$B$12:$B$72,$A1197+1)-F1197/INDEX(Surface_Engine!$B$12:$B$72,$A1197+1))),IF($A1197&lt;$Q$1140,MAX(0,-Assumptions!$B$22*(F1197/INDEX(Surface_Engine!$B$12:$B$72,$A1197+1))),0)))*(MAX(0,J1197/INDEX(Surface_Engine!$B$12:$B$72,$A1197+1)-(F1197/INDEX(Surface_Engine!$B$12:$B$72,$A1197+1)))))</f>
        <v>0</v>
      </c>
      <c r="L1197" s="48" t="n">
        <f aca="false">K1197*INDEX(Surface_Engine!$B$12:$B$72,$A1197+1)+L1198</f>
        <v>0</v>
      </c>
      <c r="M1197" s="48" t="n">
        <f aca="false">M1196+B1196*(IF($A1196&lt;$Q$1140,(Surface_Engine!L246*12)-(Surface_Engine!L246*12)*INDEX(Surface_Engine!$F$12:$F$72,$A1196+1)-INDEX(Surface_Engine!$D$12:$D$72,$A1196+1),-(1000*12*INDEX(Surface_Engine!$C$12:$C$72,$A1196+1)/(1+Assumptions!$B$10)^15+INDEX(Surface_Engine!$D$12:$D$72,$A1196+1))))*INDEX(Surface_Engine!$B$12:$B$72,$A1196+1)</f>
        <v>1384.00415656181</v>
      </c>
      <c r="N1197" s="12" t="n">
        <f aca="false">IF(B1197&lt;=0,0,MAX(0,(K1197+Assumptions!$B$29*L1197/INDEX(Surface_Engine!$B$12:$B$72,$A1197+1)-(M1197/INDEX(Surface_Engine!$B$12:$B$72,$A1197+1)-(F1197/INDEX(Surface_Engine!$B$12:$B$72,$A1197+1))))/B1197))</f>
        <v>0</v>
      </c>
    </row>
    <row r="1198" customFormat="false" ht="15" hidden="false" customHeight="true" outlineLevel="0" collapsed="false">
      <c r="A1198" s="1" t="n">
        <v>56</v>
      </c>
      <c r="B1198" s="32" t="n">
        <f aca="false">INDEX(Surface_Engine!$Q$12:$Q$72,$A1198+1)*IF($A1198&lt;$Q$1140,INDEX(Surface_Engine!$E$12:$E$72,$A1198+1),INDEX(Surface_Engine!$E$12:$E$72,$Q$1140+1))</f>
        <v>0</v>
      </c>
      <c r="C1198" s="32" t="n">
        <f aca="false">INDEX(Panel_Reserving!$F$8:$F$68,$A1198+1)*IF($A1198&lt;$Q$1140,INDEX(Surface_Engine!$E$12:$E$72,$A1198+1),INDEX(Surface_Engine!$E$12:$E$72,$Q$1140+1))</f>
        <v>0</v>
      </c>
      <c r="D1198" s="32" t="n">
        <f aca="false">INDEX(Surface_Engine!$Q$12:$Q$72,$A1198+1)*IF($A1198&lt;$Q$1140,INDEX(Surface_Engine!$Y$12:$Y$72,$A1198+1),INDEX(Surface_Engine!$Y$12:$Y$72,$Q$1140+1))</f>
        <v>0</v>
      </c>
      <c r="E1198" s="32" t="n">
        <f aca="false">INDEX(Surface_Engine!$Q$12:$Q$72,$A1198+1)*IF($A1198&lt;$Q$1140,INDEX(Surface_Engine!$Z$12:$Z$72,$A1198+1),INDEX(Surface_Engine!$Z$12:$Z$72,$Q$1140+1))</f>
        <v>0</v>
      </c>
      <c r="F1198" s="48" t="n">
        <f aca="false">B1198*(IF($A1198&lt;$Q$1140,INDEX(Surface_Engine!$D$12:$D$72,$A1198+1)+(Surface_Engine!L246*12)*INDEX(Surface_Engine!$F$12:$F$72,$A1198+1)-(Surface_Engine!L246*12),1000*12*INDEX(Surface_Engine!$C$12:$C$72,$A1198+1)/(1+Assumptions!$B$10)^15+INDEX(Surface_Engine!$D$12:$D$72,$A1198+1)))*INDEX(Surface_Engine!$B$12:$B$72,$A1198+1)+F1199</f>
        <v>0</v>
      </c>
      <c r="G1198" s="48" t="n">
        <f aca="false">C1198*(IF($A1198&lt;$Q$1140,INDEX(Surface_Engine!$D$12:$D$72,$A1198+1)+(Surface_Engine!L246*12)*INDEX(Surface_Engine!$F$12:$F$72,$A1198+1)-(Surface_Engine!L246*12),1000*12*INDEX(Surface_Engine!$C$12:$C$72,$A1198+1)/(1+Assumptions!$B$10)^15+INDEX(Surface_Engine!$D$12:$D$72,$A1198+1)))*INDEX(Surface_Engine!$B$12:$B$72,$A1198+1)+G1199</f>
        <v>0</v>
      </c>
      <c r="H1198" s="48" t="n">
        <f aca="false">D1198*(IF($A1198&lt;$Q$1140,INDEX(Surface_Engine!$D$12:$D$72,$A1198+1)+(Surface_Engine!L246*12)*INDEX(Surface_Engine!$F$12:$F$72,$A1198+1)-(Surface_Engine!L246*12),1000*12*INDEX(Surface_Engine!$C$12:$C$72,$A1198+1)/(1+Assumptions!$B$10)^15+INDEX(Surface_Engine!$D$12:$D$72,$A1198+1)))*INDEX(Surface_Engine!$B$12:$B$72,$A1198+1)+H1199</f>
        <v>0</v>
      </c>
      <c r="I1198" s="48" t="n">
        <f aca="false">E1198*(IF($A1198&lt;$Q$1140,INDEX(Surface_Engine!$D$12:$D$72,$A1198+1)+(Surface_Engine!L246*12)*INDEX(Surface_Engine!$F$12:$F$72,$A1198+1)-(Surface_Engine!L246*12),1000*12*INDEX(Surface_Engine!$C$12:$C$72,$A1198+1)/(1+Assumptions!$B$10)^15+INDEX(Surface_Engine!$D$12:$D$72,$A1198+1)))*INDEX(Surface_Engine!$B$12:$B$72,$A1198+1)+I1199</f>
        <v>0</v>
      </c>
      <c r="J1198" s="48" t="n">
        <f aca="false">B1198*(IF($A1198&lt;$Q$1140,INDEX(Surface_Engine!$D$12:$D$72,$A1198+1)*(1+Assumptions!$B$24)+(Surface_Engine!L246*12)*INDEX(Surface_Engine!$F$12:$F$72,$A1198+1)-(Surface_Engine!L246*12),1000*12*INDEX(Surface_Engine!$C$12:$C$72,$A1198+1)/(1+Assumptions!$B$10)^15+INDEX(Surface_Engine!$D$12:$D$72,$A1198+1)*(1+Assumptions!$B$24)))*INDEX(Surface_Engine!$B$12:$B$72,$A1198+1)+J1199</f>
        <v>0</v>
      </c>
      <c r="K1198" s="12" t="n">
        <f aca="false">SQRT((IF(C1198&lt;=0,0,MAX(0,(B1198/C1198)*G1198/INDEX(Surface_Engine!$B$12:$B$72,$A1198+1)-F1198/INDEX(Surface_Engine!$B$12:$B$72,$A1198+1))))^2+(MAX(IF(D1198&lt;=0,0,MAX(0,(B1198/D1198)*H1198/INDEX(Surface_Engine!$B$12:$B$72,$A1198+1)-F1198/INDEX(Surface_Engine!$B$12:$B$72,$A1198+1))),IF(E1198&lt;=0,0,MAX(0,(B1198/E1198)*I1198/INDEX(Surface_Engine!$B$12:$B$72,$A1198+1)-F1198/INDEX(Surface_Engine!$B$12:$B$72,$A1198+1))),IF($A1198&lt;$Q$1140,MAX(0,-Assumptions!$B$22*(F1198/INDEX(Surface_Engine!$B$12:$B$72,$A1198+1))),0)))^2+(MAX(0,J1198/INDEX(Surface_Engine!$B$12:$B$72,$A1198+1)-(F1198/INDEX(Surface_Engine!$B$12:$B$72,$A1198+1))))^2+2*Assumptions!$B$26*(IF(C1198&lt;=0,0,MAX(0,(B1198/C1198)*G1198/INDEX(Surface_Engine!$B$12:$B$72,$A1198+1)-F1198/INDEX(Surface_Engine!$B$12:$B$72,$A1198+1))))*(MAX(IF(D1198&lt;=0,0,MAX(0,(B1198/D1198)*H1198/INDEX(Surface_Engine!$B$12:$B$72,$A1198+1)-F1198/INDEX(Surface_Engine!$B$12:$B$72,$A1198+1))),IF(E1198&lt;=0,0,MAX(0,(B1198/E1198)*I1198/INDEX(Surface_Engine!$B$12:$B$72,$A1198+1)-F1198/INDEX(Surface_Engine!$B$12:$B$72,$A1198+1))),IF($A1198&lt;$Q$1140,MAX(0,-Assumptions!$B$22*(F1198/INDEX(Surface_Engine!$B$12:$B$72,$A1198+1))),0)))+2*Assumptions!$B$27*(IF(C1198&lt;=0,0,MAX(0,(B1198/C1198)*G1198/INDEX(Surface_Engine!$B$12:$B$72,$A1198+1)-F1198/INDEX(Surface_Engine!$B$12:$B$72,$A1198+1))))*(MAX(0,J1198/INDEX(Surface_Engine!$B$12:$B$72,$A1198+1)-(F1198/INDEX(Surface_Engine!$B$12:$B$72,$A1198+1))))+2*Assumptions!$B$28*(MAX(IF(D1198&lt;=0,0,MAX(0,(B1198/D1198)*H1198/INDEX(Surface_Engine!$B$12:$B$72,$A1198+1)-F1198/INDEX(Surface_Engine!$B$12:$B$72,$A1198+1))),IF(E1198&lt;=0,0,MAX(0,(B1198/E1198)*I1198/INDEX(Surface_Engine!$B$12:$B$72,$A1198+1)-F1198/INDEX(Surface_Engine!$B$12:$B$72,$A1198+1))),IF($A1198&lt;$Q$1140,MAX(0,-Assumptions!$B$22*(F1198/INDEX(Surface_Engine!$B$12:$B$72,$A1198+1))),0)))*(MAX(0,J1198/INDEX(Surface_Engine!$B$12:$B$72,$A1198+1)-(F1198/INDEX(Surface_Engine!$B$12:$B$72,$A1198+1)))))</f>
        <v>0</v>
      </c>
      <c r="L1198" s="48" t="n">
        <f aca="false">K1198*INDEX(Surface_Engine!$B$12:$B$72,$A1198+1)+L1199</f>
        <v>0</v>
      </c>
      <c r="M1198" s="48" t="n">
        <f aca="false">M1197+B1197*(IF($A1197&lt;$Q$1140,(Surface_Engine!L246*12)-(Surface_Engine!L246*12)*INDEX(Surface_Engine!$F$12:$F$72,$A1197+1)-INDEX(Surface_Engine!$D$12:$D$72,$A1197+1),-(1000*12*INDEX(Surface_Engine!$C$12:$C$72,$A1197+1)/(1+Assumptions!$B$10)^15+INDEX(Surface_Engine!$D$12:$D$72,$A1197+1))))*INDEX(Surface_Engine!$B$12:$B$72,$A1197+1)</f>
        <v>1384.00415656181</v>
      </c>
      <c r="N1198" s="12" t="n">
        <f aca="false">IF(B1198&lt;=0,0,MAX(0,(K1198+Assumptions!$B$29*L1198/INDEX(Surface_Engine!$B$12:$B$72,$A1198+1)-(M1198/INDEX(Surface_Engine!$B$12:$B$72,$A1198+1)-(F1198/INDEX(Surface_Engine!$B$12:$B$72,$A1198+1))))/B1198))</f>
        <v>0</v>
      </c>
    </row>
    <row r="1199" customFormat="false" ht="15" hidden="false" customHeight="true" outlineLevel="0" collapsed="false">
      <c r="A1199" s="1" t="n">
        <v>57</v>
      </c>
      <c r="B1199" s="32" t="n">
        <f aca="false">INDEX(Surface_Engine!$Q$12:$Q$72,$A1199+1)*IF($A1199&lt;$Q$1140,INDEX(Surface_Engine!$E$12:$E$72,$A1199+1),INDEX(Surface_Engine!$E$12:$E$72,$Q$1140+1))</f>
        <v>0</v>
      </c>
      <c r="C1199" s="32" t="n">
        <f aca="false">INDEX(Panel_Reserving!$F$8:$F$68,$A1199+1)*IF($A1199&lt;$Q$1140,INDEX(Surface_Engine!$E$12:$E$72,$A1199+1),INDEX(Surface_Engine!$E$12:$E$72,$Q$1140+1))</f>
        <v>0</v>
      </c>
      <c r="D1199" s="32" t="n">
        <f aca="false">INDEX(Surface_Engine!$Q$12:$Q$72,$A1199+1)*IF($A1199&lt;$Q$1140,INDEX(Surface_Engine!$Y$12:$Y$72,$A1199+1),INDEX(Surface_Engine!$Y$12:$Y$72,$Q$1140+1))</f>
        <v>0</v>
      </c>
      <c r="E1199" s="32" t="n">
        <f aca="false">INDEX(Surface_Engine!$Q$12:$Q$72,$A1199+1)*IF($A1199&lt;$Q$1140,INDEX(Surface_Engine!$Z$12:$Z$72,$A1199+1),INDEX(Surface_Engine!$Z$12:$Z$72,$Q$1140+1))</f>
        <v>0</v>
      </c>
      <c r="F1199" s="48" t="n">
        <f aca="false">B1199*(IF($A1199&lt;$Q$1140,INDEX(Surface_Engine!$D$12:$D$72,$A1199+1)+(Surface_Engine!L246*12)*INDEX(Surface_Engine!$F$12:$F$72,$A1199+1)-(Surface_Engine!L246*12),1000*12*INDEX(Surface_Engine!$C$12:$C$72,$A1199+1)/(1+Assumptions!$B$10)^15+INDEX(Surface_Engine!$D$12:$D$72,$A1199+1)))*INDEX(Surface_Engine!$B$12:$B$72,$A1199+1)+F1200</f>
        <v>0</v>
      </c>
      <c r="G1199" s="48" t="n">
        <f aca="false">C1199*(IF($A1199&lt;$Q$1140,INDEX(Surface_Engine!$D$12:$D$72,$A1199+1)+(Surface_Engine!L246*12)*INDEX(Surface_Engine!$F$12:$F$72,$A1199+1)-(Surface_Engine!L246*12),1000*12*INDEX(Surface_Engine!$C$12:$C$72,$A1199+1)/(1+Assumptions!$B$10)^15+INDEX(Surface_Engine!$D$12:$D$72,$A1199+1)))*INDEX(Surface_Engine!$B$12:$B$72,$A1199+1)+G1200</f>
        <v>0</v>
      </c>
      <c r="H1199" s="48" t="n">
        <f aca="false">D1199*(IF($A1199&lt;$Q$1140,INDEX(Surface_Engine!$D$12:$D$72,$A1199+1)+(Surface_Engine!L246*12)*INDEX(Surface_Engine!$F$12:$F$72,$A1199+1)-(Surface_Engine!L246*12),1000*12*INDEX(Surface_Engine!$C$12:$C$72,$A1199+1)/(1+Assumptions!$B$10)^15+INDEX(Surface_Engine!$D$12:$D$72,$A1199+1)))*INDEX(Surface_Engine!$B$12:$B$72,$A1199+1)+H1200</f>
        <v>0</v>
      </c>
      <c r="I1199" s="48" t="n">
        <f aca="false">E1199*(IF($A1199&lt;$Q$1140,INDEX(Surface_Engine!$D$12:$D$72,$A1199+1)+(Surface_Engine!L246*12)*INDEX(Surface_Engine!$F$12:$F$72,$A1199+1)-(Surface_Engine!L246*12),1000*12*INDEX(Surface_Engine!$C$12:$C$72,$A1199+1)/(1+Assumptions!$B$10)^15+INDEX(Surface_Engine!$D$12:$D$72,$A1199+1)))*INDEX(Surface_Engine!$B$12:$B$72,$A1199+1)+I1200</f>
        <v>0</v>
      </c>
      <c r="J1199" s="48" t="n">
        <f aca="false">B1199*(IF($A1199&lt;$Q$1140,INDEX(Surface_Engine!$D$12:$D$72,$A1199+1)*(1+Assumptions!$B$24)+(Surface_Engine!L246*12)*INDEX(Surface_Engine!$F$12:$F$72,$A1199+1)-(Surface_Engine!L246*12),1000*12*INDEX(Surface_Engine!$C$12:$C$72,$A1199+1)/(1+Assumptions!$B$10)^15+INDEX(Surface_Engine!$D$12:$D$72,$A1199+1)*(1+Assumptions!$B$24)))*INDEX(Surface_Engine!$B$12:$B$72,$A1199+1)+J1200</f>
        <v>0</v>
      </c>
      <c r="K1199" s="12" t="n">
        <f aca="false">SQRT((IF(C1199&lt;=0,0,MAX(0,(B1199/C1199)*G1199/INDEX(Surface_Engine!$B$12:$B$72,$A1199+1)-F1199/INDEX(Surface_Engine!$B$12:$B$72,$A1199+1))))^2+(MAX(IF(D1199&lt;=0,0,MAX(0,(B1199/D1199)*H1199/INDEX(Surface_Engine!$B$12:$B$72,$A1199+1)-F1199/INDEX(Surface_Engine!$B$12:$B$72,$A1199+1))),IF(E1199&lt;=0,0,MAX(0,(B1199/E1199)*I1199/INDEX(Surface_Engine!$B$12:$B$72,$A1199+1)-F1199/INDEX(Surface_Engine!$B$12:$B$72,$A1199+1))),IF($A1199&lt;$Q$1140,MAX(0,-Assumptions!$B$22*(F1199/INDEX(Surface_Engine!$B$12:$B$72,$A1199+1))),0)))^2+(MAX(0,J1199/INDEX(Surface_Engine!$B$12:$B$72,$A1199+1)-(F1199/INDEX(Surface_Engine!$B$12:$B$72,$A1199+1))))^2+2*Assumptions!$B$26*(IF(C1199&lt;=0,0,MAX(0,(B1199/C1199)*G1199/INDEX(Surface_Engine!$B$12:$B$72,$A1199+1)-F1199/INDEX(Surface_Engine!$B$12:$B$72,$A1199+1))))*(MAX(IF(D1199&lt;=0,0,MAX(0,(B1199/D1199)*H1199/INDEX(Surface_Engine!$B$12:$B$72,$A1199+1)-F1199/INDEX(Surface_Engine!$B$12:$B$72,$A1199+1))),IF(E1199&lt;=0,0,MAX(0,(B1199/E1199)*I1199/INDEX(Surface_Engine!$B$12:$B$72,$A1199+1)-F1199/INDEX(Surface_Engine!$B$12:$B$72,$A1199+1))),IF($A1199&lt;$Q$1140,MAX(0,-Assumptions!$B$22*(F1199/INDEX(Surface_Engine!$B$12:$B$72,$A1199+1))),0)))+2*Assumptions!$B$27*(IF(C1199&lt;=0,0,MAX(0,(B1199/C1199)*G1199/INDEX(Surface_Engine!$B$12:$B$72,$A1199+1)-F1199/INDEX(Surface_Engine!$B$12:$B$72,$A1199+1))))*(MAX(0,J1199/INDEX(Surface_Engine!$B$12:$B$72,$A1199+1)-(F1199/INDEX(Surface_Engine!$B$12:$B$72,$A1199+1))))+2*Assumptions!$B$28*(MAX(IF(D1199&lt;=0,0,MAX(0,(B1199/D1199)*H1199/INDEX(Surface_Engine!$B$12:$B$72,$A1199+1)-F1199/INDEX(Surface_Engine!$B$12:$B$72,$A1199+1))),IF(E1199&lt;=0,0,MAX(0,(B1199/E1199)*I1199/INDEX(Surface_Engine!$B$12:$B$72,$A1199+1)-F1199/INDEX(Surface_Engine!$B$12:$B$72,$A1199+1))),IF($A1199&lt;$Q$1140,MAX(0,-Assumptions!$B$22*(F1199/INDEX(Surface_Engine!$B$12:$B$72,$A1199+1))),0)))*(MAX(0,J1199/INDEX(Surface_Engine!$B$12:$B$72,$A1199+1)-(F1199/INDEX(Surface_Engine!$B$12:$B$72,$A1199+1)))))</f>
        <v>0</v>
      </c>
      <c r="L1199" s="48" t="n">
        <f aca="false">K1199*INDEX(Surface_Engine!$B$12:$B$72,$A1199+1)+L1200</f>
        <v>0</v>
      </c>
      <c r="M1199" s="48" t="n">
        <f aca="false">M1198+B1198*(IF($A1198&lt;$Q$1140,(Surface_Engine!L246*12)-(Surface_Engine!L246*12)*INDEX(Surface_Engine!$F$12:$F$72,$A1198+1)-INDEX(Surface_Engine!$D$12:$D$72,$A1198+1),-(1000*12*INDEX(Surface_Engine!$C$12:$C$72,$A1198+1)/(1+Assumptions!$B$10)^15+INDEX(Surface_Engine!$D$12:$D$72,$A1198+1))))*INDEX(Surface_Engine!$B$12:$B$72,$A1198+1)</f>
        <v>1384.00415656181</v>
      </c>
      <c r="N1199" s="12" t="n">
        <f aca="false">IF(B1199&lt;=0,0,MAX(0,(K1199+Assumptions!$B$29*L1199/INDEX(Surface_Engine!$B$12:$B$72,$A1199+1)-(M1199/INDEX(Surface_Engine!$B$12:$B$72,$A1199+1)-(F1199/INDEX(Surface_Engine!$B$12:$B$72,$A1199+1))))/B1199))</f>
        <v>0</v>
      </c>
    </row>
    <row r="1200" customFormat="false" ht="15" hidden="false" customHeight="true" outlineLevel="0" collapsed="false">
      <c r="A1200" s="1" t="n">
        <v>58</v>
      </c>
      <c r="B1200" s="32" t="n">
        <f aca="false">INDEX(Surface_Engine!$Q$12:$Q$72,$A1200+1)*IF($A1200&lt;$Q$1140,INDEX(Surface_Engine!$E$12:$E$72,$A1200+1),INDEX(Surface_Engine!$E$12:$E$72,$Q$1140+1))</f>
        <v>0</v>
      </c>
      <c r="C1200" s="32" t="n">
        <f aca="false">INDEX(Panel_Reserving!$F$8:$F$68,$A1200+1)*IF($A1200&lt;$Q$1140,INDEX(Surface_Engine!$E$12:$E$72,$A1200+1),INDEX(Surface_Engine!$E$12:$E$72,$Q$1140+1))</f>
        <v>0</v>
      </c>
      <c r="D1200" s="32" t="n">
        <f aca="false">INDEX(Surface_Engine!$Q$12:$Q$72,$A1200+1)*IF($A1200&lt;$Q$1140,INDEX(Surface_Engine!$Y$12:$Y$72,$A1200+1),INDEX(Surface_Engine!$Y$12:$Y$72,$Q$1140+1))</f>
        <v>0</v>
      </c>
      <c r="E1200" s="32" t="n">
        <f aca="false">INDEX(Surface_Engine!$Q$12:$Q$72,$A1200+1)*IF($A1200&lt;$Q$1140,INDEX(Surface_Engine!$Z$12:$Z$72,$A1200+1),INDEX(Surface_Engine!$Z$12:$Z$72,$Q$1140+1))</f>
        <v>0</v>
      </c>
      <c r="F1200" s="48" t="n">
        <f aca="false">B1200*(IF($A1200&lt;$Q$1140,INDEX(Surface_Engine!$D$12:$D$72,$A1200+1)+(Surface_Engine!L246*12)*INDEX(Surface_Engine!$F$12:$F$72,$A1200+1)-(Surface_Engine!L246*12),1000*12*INDEX(Surface_Engine!$C$12:$C$72,$A1200+1)/(1+Assumptions!$B$10)^15+INDEX(Surface_Engine!$D$12:$D$72,$A1200+1)))*INDEX(Surface_Engine!$B$12:$B$72,$A1200+1)+F1201</f>
        <v>0</v>
      </c>
      <c r="G1200" s="48" t="n">
        <f aca="false">C1200*(IF($A1200&lt;$Q$1140,INDEX(Surface_Engine!$D$12:$D$72,$A1200+1)+(Surface_Engine!L246*12)*INDEX(Surface_Engine!$F$12:$F$72,$A1200+1)-(Surface_Engine!L246*12),1000*12*INDEX(Surface_Engine!$C$12:$C$72,$A1200+1)/(1+Assumptions!$B$10)^15+INDEX(Surface_Engine!$D$12:$D$72,$A1200+1)))*INDEX(Surface_Engine!$B$12:$B$72,$A1200+1)+G1201</f>
        <v>0</v>
      </c>
      <c r="H1200" s="48" t="n">
        <f aca="false">D1200*(IF($A1200&lt;$Q$1140,INDEX(Surface_Engine!$D$12:$D$72,$A1200+1)+(Surface_Engine!L246*12)*INDEX(Surface_Engine!$F$12:$F$72,$A1200+1)-(Surface_Engine!L246*12),1000*12*INDEX(Surface_Engine!$C$12:$C$72,$A1200+1)/(1+Assumptions!$B$10)^15+INDEX(Surface_Engine!$D$12:$D$72,$A1200+1)))*INDEX(Surface_Engine!$B$12:$B$72,$A1200+1)+H1201</f>
        <v>0</v>
      </c>
      <c r="I1200" s="48" t="n">
        <f aca="false">E1200*(IF($A1200&lt;$Q$1140,INDEX(Surface_Engine!$D$12:$D$72,$A1200+1)+(Surface_Engine!L246*12)*INDEX(Surface_Engine!$F$12:$F$72,$A1200+1)-(Surface_Engine!L246*12),1000*12*INDEX(Surface_Engine!$C$12:$C$72,$A1200+1)/(1+Assumptions!$B$10)^15+INDEX(Surface_Engine!$D$12:$D$72,$A1200+1)))*INDEX(Surface_Engine!$B$12:$B$72,$A1200+1)+I1201</f>
        <v>0</v>
      </c>
      <c r="J1200" s="48" t="n">
        <f aca="false">B1200*(IF($A1200&lt;$Q$1140,INDEX(Surface_Engine!$D$12:$D$72,$A1200+1)*(1+Assumptions!$B$24)+(Surface_Engine!L246*12)*INDEX(Surface_Engine!$F$12:$F$72,$A1200+1)-(Surface_Engine!L246*12),1000*12*INDEX(Surface_Engine!$C$12:$C$72,$A1200+1)/(1+Assumptions!$B$10)^15+INDEX(Surface_Engine!$D$12:$D$72,$A1200+1)*(1+Assumptions!$B$24)))*INDEX(Surface_Engine!$B$12:$B$72,$A1200+1)+J1201</f>
        <v>0</v>
      </c>
      <c r="K1200" s="12" t="n">
        <f aca="false">SQRT((IF(C1200&lt;=0,0,MAX(0,(B1200/C1200)*G1200/INDEX(Surface_Engine!$B$12:$B$72,$A1200+1)-F1200/INDEX(Surface_Engine!$B$12:$B$72,$A1200+1))))^2+(MAX(IF(D1200&lt;=0,0,MAX(0,(B1200/D1200)*H1200/INDEX(Surface_Engine!$B$12:$B$72,$A1200+1)-F1200/INDEX(Surface_Engine!$B$12:$B$72,$A1200+1))),IF(E1200&lt;=0,0,MAX(0,(B1200/E1200)*I1200/INDEX(Surface_Engine!$B$12:$B$72,$A1200+1)-F1200/INDEX(Surface_Engine!$B$12:$B$72,$A1200+1))),IF($A1200&lt;$Q$1140,MAX(0,-Assumptions!$B$22*(F1200/INDEX(Surface_Engine!$B$12:$B$72,$A1200+1))),0)))^2+(MAX(0,J1200/INDEX(Surface_Engine!$B$12:$B$72,$A1200+1)-(F1200/INDEX(Surface_Engine!$B$12:$B$72,$A1200+1))))^2+2*Assumptions!$B$26*(IF(C1200&lt;=0,0,MAX(0,(B1200/C1200)*G1200/INDEX(Surface_Engine!$B$12:$B$72,$A1200+1)-F1200/INDEX(Surface_Engine!$B$12:$B$72,$A1200+1))))*(MAX(IF(D1200&lt;=0,0,MAX(0,(B1200/D1200)*H1200/INDEX(Surface_Engine!$B$12:$B$72,$A1200+1)-F1200/INDEX(Surface_Engine!$B$12:$B$72,$A1200+1))),IF(E1200&lt;=0,0,MAX(0,(B1200/E1200)*I1200/INDEX(Surface_Engine!$B$12:$B$72,$A1200+1)-F1200/INDEX(Surface_Engine!$B$12:$B$72,$A1200+1))),IF($A1200&lt;$Q$1140,MAX(0,-Assumptions!$B$22*(F1200/INDEX(Surface_Engine!$B$12:$B$72,$A1200+1))),0)))+2*Assumptions!$B$27*(IF(C1200&lt;=0,0,MAX(0,(B1200/C1200)*G1200/INDEX(Surface_Engine!$B$12:$B$72,$A1200+1)-F1200/INDEX(Surface_Engine!$B$12:$B$72,$A1200+1))))*(MAX(0,J1200/INDEX(Surface_Engine!$B$12:$B$72,$A1200+1)-(F1200/INDEX(Surface_Engine!$B$12:$B$72,$A1200+1))))+2*Assumptions!$B$28*(MAX(IF(D1200&lt;=0,0,MAX(0,(B1200/D1200)*H1200/INDEX(Surface_Engine!$B$12:$B$72,$A1200+1)-F1200/INDEX(Surface_Engine!$B$12:$B$72,$A1200+1))),IF(E1200&lt;=0,0,MAX(0,(B1200/E1200)*I1200/INDEX(Surface_Engine!$B$12:$B$72,$A1200+1)-F1200/INDEX(Surface_Engine!$B$12:$B$72,$A1200+1))),IF($A1200&lt;$Q$1140,MAX(0,-Assumptions!$B$22*(F1200/INDEX(Surface_Engine!$B$12:$B$72,$A1200+1))),0)))*(MAX(0,J1200/INDEX(Surface_Engine!$B$12:$B$72,$A1200+1)-(F1200/INDEX(Surface_Engine!$B$12:$B$72,$A1200+1)))))</f>
        <v>0</v>
      </c>
      <c r="L1200" s="48" t="n">
        <f aca="false">K1200*INDEX(Surface_Engine!$B$12:$B$72,$A1200+1)+L1201</f>
        <v>0</v>
      </c>
      <c r="M1200" s="48" t="n">
        <f aca="false">M1199+B1199*(IF($A1199&lt;$Q$1140,(Surface_Engine!L246*12)-(Surface_Engine!L246*12)*INDEX(Surface_Engine!$F$12:$F$72,$A1199+1)-INDEX(Surface_Engine!$D$12:$D$72,$A1199+1),-(1000*12*INDEX(Surface_Engine!$C$12:$C$72,$A1199+1)/(1+Assumptions!$B$10)^15+INDEX(Surface_Engine!$D$12:$D$72,$A1199+1))))*INDEX(Surface_Engine!$B$12:$B$72,$A1199+1)</f>
        <v>1384.00415656181</v>
      </c>
      <c r="N1200" s="12" t="n">
        <f aca="false">IF(B1200&lt;=0,0,MAX(0,(K1200+Assumptions!$B$29*L1200/INDEX(Surface_Engine!$B$12:$B$72,$A1200+1)-(M1200/INDEX(Surface_Engine!$B$12:$B$72,$A1200+1)-(F1200/INDEX(Surface_Engine!$B$12:$B$72,$A1200+1))))/B1200))</f>
        <v>0</v>
      </c>
    </row>
    <row r="1201" customFormat="false" ht="15" hidden="false" customHeight="true" outlineLevel="0" collapsed="false">
      <c r="A1201" s="1" t="n">
        <v>59</v>
      </c>
      <c r="B1201" s="32" t="n">
        <f aca="false">INDEX(Surface_Engine!$Q$12:$Q$72,$A1201+1)*IF($A1201&lt;$Q$1140,INDEX(Surface_Engine!$E$12:$E$72,$A1201+1),INDEX(Surface_Engine!$E$12:$E$72,$Q$1140+1))</f>
        <v>0</v>
      </c>
      <c r="C1201" s="32" t="n">
        <f aca="false">INDEX(Panel_Reserving!$F$8:$F$68,$A1201+1)*IF($A1201&lt;$Q$1140,INDEX(Surface_Engine!$E$12:$E$72,$A1201+1),INDEX(Surface_Engine!$E$12:$E$72,$Q$1140+1))</f>
        <v>0</v>
      </c>
      <c r="D1201" s="32" t="n">
        <f aca="false">INDEX(Surface_Engine!$Q$12:$Q$72,$A1201+1)*IF($A1201&lt;$Q$1140,INDEX(Surface_Engine!$Y$12:$Y$72,$A1201+1),INDEX(Surface_Engine!$Y$12:$Y$72,$Q$1140+1))</f>
        <v>0</v>
      </c>
      <c r="E1201" s="32" t="n">
        <f aca="false">INDEX(Surface_Engine!$Q$12:$Q$72,$A1201+1)*IF($A1201&lt;$Q$1140,INDEX(Surface_Engine!$Z$12:$Z$72,$A1201+1),INDEX(Surface_Engine!$Z$12:$Z$72,$Q$1140+1))</f>
        <v>0</v>
      </c>
      <c r="F1201" s="48" t="n">
        <f aca="false">B1201*(IF($A1201&lt;$Q$1140,INDEX(Surface_Engine!$D$12:$D$72,$A1201+1)+(Surface_Engine!L246*12)*INDEX(Surface_Engine!$F$12:$F$72,$A1201+1)-(Surface_Engine!L246*12),1000*12*INDEX(Surface_Engine!$C$12:$C$72,$A1201+1)/(1+Assumptions!$B$10)^15+INDEX(Surface_Engine!$D$12:$D$72,$A1201+1)))*INDEX(Surface_Engine!$B$12:$B$72,$A1201+1)+F1202</f>
        <v>0</v>
      </c>
      <c r="G1201" s="48" t="n">
        <f aca="false">C1201*(IF($A1201&lt;$Q$1140,INDEX(Surface_Engine!$D$12:$D$72,$A1201+1)+(Surface_Engine!L246*12)*INDEX(Surface_Engine!$F$12:$F$72,$A1201+1)-(Surface_Engine!L246*12),1000*12*INDEX(Surface_Engine!$C$12:$C$72,$A1201+1)/(1+Assumptions!$B$10)^15+INDEX(Surface_Engine!$D$12:$D$72,$A1201+1)))*INDEX(Surface_Engine!$B$12:$B$72,$A1201+1)+G1202</f>
        <v>0</v>
      </c>
      <c r="H1201" s="48" t="n">
        <f aca="false">D1201*(IF($A1201&lt;$Q$1140,INDEX(Surface_Engine!$D$12:$D$72,$A1201+1)+(Surface_Engine!L246*12)*INDEX(Surface_Engine!$F$12:$F$72,$A1201+1)-(Surface_Engine!L246*12),1000*12*INDEX(Surface_Engine!$C$12:$C$72,$A1201+1)/(1+Assumptions!$B$10)^15+INDEX(Surface_Engine!$D$12:$D$72,$A1201+1)))*INDEX(Surface_Engine!$B$12:$B$72,$A1201+1)+H1202</f>
        <v>0</v>
      </c>
      <c r="I1201" s="48" t="n">
        <f aca="false">E1201*(IF($A1201&lt;$Q$1140,INDEX(Surface_Engine!$D$12:$D$72,$A1201+1)+(Surface_Engine!L246*12)*INDEX(Surface_Engine!$F$12:$F$72,$A1201+1)-(Surface_Engine!L246*12),1000*12*INDEX(Surface_Engine!$C$12:$C$72,$A1201+1)/(1+Assumptions!$B$10)^15+INDEX(Surface_Engine!$D$12:$D$72,$A1201+1)))*INDEX(Surface_Engine!$B$12:$B$72,$A1201+1)+I1202</f>
        <v>0</v>
      </c>
      <c r="J1201" s="48" t="n">
        <f aca="false">B1201*(IF($A1201&lt;$Q$1140,INDEX(Surface_Engine!$D$12:$D$72,$A1201+1)*(1+Assumptions!$B$24)+(Surface_Engine!L246*12)*INDEX(Surface_Engine!$F$12:$F$72,$A1201+1)-(Surface_Engine!L246*12),1000*12*INDEX(Surface_Engine!$C$12:$C$72,$A1201+1)/(1+Assumptions!$B$10)^15+INDEX(Surface_Engine!$D$12:$D$72,$A1201+1)*(1+Assumptions!$B$24)))*INDEX(Surface_Engine!$B$12:$B$72,$A1201+1)+J1202</f>
        <v>0</v>
      </c>
      <c r="K1201" s="12" t="n">
        <f aca="false">SQRT((IF(C1201&lt;=0,0,MAX(0,(B1201/C1201)*G1201/INDEX(Surface_Engine!$B$12:$B$72,$A1201+1)-F1201/INDEX(Surface_Engine!$B$12:$B$72,$A1201+1))))^2+(MAX(IF(D1201&lt;=0,0,MAX(0,(B1201/D1201)*H1201/INDEX(Surface_Engine!$B$12:$B$72,$A1201+1)-F1201/INDEX(Surface_Engine!$B$12:$B$72,$A1201+1))),IF(E1201&lt;=0,0,MAX(0,(B1201/E1201)*I1201/INDEX(Surface_Engine!$B$12:$B$72,$A1201+1)-F1201/INDEX(Surface_Engine!$B$12:$B$72,$A1201+1))),IF($A1201&lt;$Q$1140,MAX(0,-Assumptions!$B$22*(F1201/INDEX(Surface_Engine!$B$12:$B$72,$A1201+1))),0)))^2+(MAX(0,J1201/INDEX(Surface_Engine!$B$12:$B$72,$A1201+1)-(F1201/INDEX(Surface_Engine!$B$12:$B$72,$A1201+1))))^2+2*Assumptions!$B$26*(IF(C1201&lt;=0,0,MAX(0,(B1201/C1201)*G1201/INDEX(Surface_Engine!$B$12:$B$72,$A1201+1)-F1201/INDEX(Surface_Engine!$B$12:$B$72,$A1201+1))))*(MAX(IF(D1201&lt;=0,0,MAX(0,(B1201/D1201)*H1201/INDEX(Surface_Engine!$B$12:$B$72,$A1201+1)-F1201/INDEX(Surface_Engine!$B$12:$B$72,$A1201+1))),IF(E1201&lt;=0,0,MAX(0,(B1201/E1201)*I1201/INDEX(Surface_Engine!$B$12:$B$72,$A1201+1)-F1201/INDEX(Surface_Engine!$B$12:$B$72,$A1201+1))),IF($A1201&lt;$Q$1140,MAX(0,-Assumptions!$B$22*(F1201/INDEX(Surface_Engine!$B$12:$B$72,$A1201+1))),0)))+2*Assumptions!$B$27*(IF(C1201&lt;=0,0,MAX(0,(B1201/C1201)*G1201/INDEX(Surface_Engine!$B$12:$B$72,$A1201+1)-F1201/INDEX(Surface_Engine!$B$12:$B$72,$A1201+1))))*(MAX(0,J1201/INDEX(Surface_Engine!$B$12:$B$72,$A1201+1)-(F1201/INDEX(Surface_Engine!$B$12:$B$72,$A1201+1))))+2*Assumptions!$B$28*(MAX(IF(D1201&lt;=0,0,MAX(0,(B1201/D1201)*H1201/INDEX(Surface_Engine!$B$12:$B$72,$A1201+1)-F1201/INDEX(Surface_Engine!$B$12:$B$72,$A1201+1))),IF(E1201&lt;=0,0,MAX(0,(B1201/E1201)*I1201/INDEX(Surface_Engine!$B$12:$B$72,$A1201+1)-F1201/INDEX(Surface_Engine!$B$12:$B$72,$A1201+1))),IF($A1201&lt;$Q$1140,MAX(0,-Assumptions!$B$22*(F1201/INDEX(Surface_Engine!$B$12:$B$72,$A1201+1))),0)))*(MAX(0,J1201/INDEX(Surface_Engine!$B$12:$B$72,$A1201+1)-(F1201/INDEX(Surface_Engine!$B$12:$B$72,$A1201+1)))))</f>
        <v>0</v>
      </c>
      <c r="L1201" s="48" t="n">
        <f aca="false">K1201*INDEX(Surface_Engine!$B$12:$B$72,$A1201+1)+L1202</f>
        <v>0</v>
      </c>
      <c r="M1201" s="48" t="n">
        <f aca="false">M1200+B1200*(IF($A1200&lt;$Q$1140,(Surface_Engine!L246*12)-(Surface_Engine!L246*12)*INDEX(Surface_Engine!$F$12:$F$72,$A1200+1)-INDEX(Surface_Engine!$D$12:$D$72,$A1200+1),-(1000*12*INDEX(Surface_Engine!$C$12:$C$72,$A1200+1)/(1+Assumptions!$B$10)^15+INDEX(Surface_Engine!$D$12:$D$72,$A1200+1))))*INDEX(Surface_Engine!$B$12:$B$72,$A1200+1)</f>
        <v>1384.00415656181</v>
      </c>
      <c r="N1201" s="12" t="n">
        <f aca="false">IF(B1201&lt;=0,0,MAX(0,(K1201+Assumptions!$B$29*L1201/INDEX(Surface_Engine!$B$12:$B$72,$A1201+1)-(M1201/INDEX(Surface_Engine!$B$12:$B$72,$A1201+1)-(F1201/INDEX(Surface_Engine!$B$12:$B$72,$A1201+1))))/B1201))</f>
        <v>0</v>
      </c>
    </row>
    <row r="1202" customFormat="false" ht="15" hidden="false" customHeight="true" outlineLevel="0" collapsed="false">
      <c r="A1202" s="1" t="n">
        <v>60</v>
      </c>
      <c r="B1202" s="32" t="n">
        <f aca="false">INDEX(Surface_Engine!$Q$12:$Q$72,$A1202+1)*IF($A1202&lt;$Q$1140,INDEX(Surface_Engine!$E$12:$E$72,$A1202+1),INDEX(Surface_Engine!$E$12:$E$72,$Q$1140+1))</f>
        <v>0</v>
      </c>
      <c r="C1202" s="32" t="n">
        <f aca="false">INDEX(Panel_Reserving!$F$8:$F$68,$A1202+1)*IF($A1202&lt;$Q$1140,INDEX(Surface_Engine!$E$12:$E$72,$A1202+1),INDEX(Surface_Engine!$E$12:$E$72,$Q$1140+1))</f>
        <v>0</v>
      </c>
      <c r="D1202" s="32" t="n">
        <f aca="false">INDEX(Surface_Engine!$Q$12:$Q$72,$A1202+1)*IF($A1202&lt;$Q$1140,INDEX(Surface_Engine!$Y$12:$Y$72,$A1202+1),INDEX(Surface_Engine!$Y$12:$Y$72,$Q$1140+1))</f>
        <v>0</v>
      </c>
      <c r="E1202" s="32" t="n">
        <f aca="false">INDEX(Surface_Engine!$Q$12:$Q$72,$A1202+1)*IF($A1202&lt;$Q$1140,INDEX(Surface_Engine!$Z$12:$Z$72,$A1202+1),INDEX(Surface_Engine!$Z$12:$Z$72,$Q$1140+1))</f>
        <v>0</v>
      </c>
      <c r="F1202" s="48" t="n">
        <f aca="false">B1202*(IF($A1202&lt;$Q$1140,INDEX(Surface_Engine!$D$12:$D$72,$A1202+1)+(Surface_Engine!L246*12)*INDEX(Surface_Engine!$F$12:$F$72,$A1202+1)-(Surface_Engine!L246*12),1000*12*INDEX(Surface_Engine!$C$12:$C$72,$A1202+1)/(1+Assumptions!$B$10)^15+INDEX(Surface_Engine!$D$12:$D$72,$A1202+1)))*INDEX(Surface_Engine!$B$12:$B$72,$A1202+1)</f>
        <v>0</v>
      </c>
      <c r="G1202" s="48" t="n">
        <f aca="false">C1202*(IF($A1202&lt;$Q$1140,INDEX(Surface_Engine!$D$12:$D$72,$A1202+1)+(Surface_Engine!L246*12)*INDEX(Surface_Engine!$F$12:$F$72,$A1202+1)-(Surface_Engine!L246*12),1000*12*INDEX(Surface_Engine!$C$12:$C$72,$A1202+1)/(1+Assumptions!$B$10)^15+INDEX(Surface_Engine!$D$12:$D$72,$A1202+1)))*INDEX(Surface_Engine!$B$12:$B$72,$A1202+1)</f>
        <v>0</v>
      </c>
      <c r="H1202" s="48" t="n">
        <f aca="false">D1202*(IF($A1202&lt;$Q$1140,INDEX(Surface_Engine!$D$12:$D$72,$A1202+1)+(Surface_Engine!L246*12)*INDEX(Surface_Engine!$F$12:$F$72,$A1202+1)-(Surface_Engine!L246*12),1000*12*INDEX(Surface_Engine!$C$12:$C$72,$A1202+1)/(1+Assumptions!$B$10)^15+INDEX(Surface_Engine!$D$12:$D$72,$A1202+1)))*INDEX(Surface_Engine!$B$12:$B$72,$A1202+1)</f>
        <v>0</v>
      </c>
      <c r="I1202" s="48" t="n">
        <f aca="false">E1202*(IF($A1202&lt;$Q$1140,INDEX(Surface_Engine!$D$12:$D$72,$A1202+1)+(Surface_Engine!L246*12)*INDEX(Surface_Engine!$F$12:$F$72,$A1202+1)-(Surface_Engine!L246*12),1000*12*INDEX(Surface_Engine!$C$12:$C$72,$A1202+1)/(1+Assumptions!$B$10)^15+INDEX(Surface_Engine!$D$12:$D$72,$A1202+1)))*INDEX(Surface_Engine!$B$12:$B$72,$A1202+1)</f>
        <v>0</v>
      </c>
      <c r="J1202" s="48" t="n">
        <f aca="false">B1202*(IF($A1202&lt;$Q$1140,INDEX(Surface_Engine!$D$12:$D$72,$A1202+1)*(1+Assumptions!$B$24)+(Surface_Engine!L246*12)*INDEX(Surface_Engine!$F$12:$F$72,$A1202+1)-(Surface_Engine!L246*12),1000*12*INDEX(Surface_Engine!$C$12:$C$72,$A1202+1)/(1+Assumptions!$B$10)^15+INDEX(Surface_Engine!$D$12:$D$72,$A1202+1)*(1+Assumptions!$B$24)))*INDEX(Surface_Engine!$B$12:$B$72,$A1202+1)</f>
        <v>0</v>
      </c>
      <c r="K1202" s="12" t="n">
        <f aca="false">SQRT((IF(C1202&lt;=0,0,MAX(0,(B1202/C1202)*G1202/INDEX(Surface_Engine!$B$12:$B$72,$A1202+1)-F1202/INDEX(Surface_Engine!$B$12:$B$72,$A1202+1))))^2+(MAX(IF(D1202&lt;=0,0,MAX(0,(B1202/D1202)*H1202/INDEX(Surface_Engine!$B$12:$B$72,$A1202+1)-F1202/INDEX(Surface_Engine!$B$12:$B$72,$A1202+1))),IF(E1202&lt;=0,0,MAX(0,(B1202/E1202)*I1202/INDEX(Surface_Engine!$B$12:$B$72,$A1202+1)-F1202/INDEX(Surface_Engine!$B$12:$B$72,$A1202+1))),IF($A1202&lt;$Q$1140,MAX(0,-Assumptions!$B$22*(F1202/INDEX(Surface_Engine!$B$12:$B$72,$A1202+1))),0)))^2+(MAX(0,J1202/INDEX(Surface_Engine!$B$12:$B$72,$A1202+1)-(F1202/INDEX(Surface_Engine!$B$12:$B$72,$A1202+1))))^2+2*Assumptions!$B$26*(IF(C1202&lt;=0,0,MAX(0,(B1202/C1202)*G1202/INDEX(Surface_Engine!$B$12:$B$72,$A1202+1)-F1202/INDEX(Surface_Engine!$B$12:$B$72,$A1202+1))))*(MAX(IF(D1202&lt;=0,0,MAX(0,(B1202/D1202)*H1202/INDEX(Surface_Engine!$B$12:$B$72,$A1202+1)-F1202/INDEX(Surface_Engine!$B$12:$B$72,$A1202+1))),IF(E1202&lt;=0,0,MAX(0,(B1202/E1202)*I1202/INDEX(Surface_Engine!$B$12:$B$72,$A1202+1)-F1202/INDEX(Surface_Engine!$B$12:$B$72,$A1202+1))),IF($A1202&lt;$Q$1140,MAX(0,-Assumptions!$B$22*(F1202/INDEX(Surface_Engine!$B$12:$B$72,$A1202+1))),0)))+2*Assumptions!$B$27*(IF(C1202&lt;=0,0,MAX(0,(B1202/C1202)*G1202/INDEX(Surface_Engine!$B$12:$B$72,$A1202+1)-F1202/INDEX(Surface_Engine!$B$12:$B$72,$A1202+1))))*(MAX(0,J1202/INDEX(Surface_Engine!$B$12:$B$72,$A1202+1)-(F1202/INDEX(Surface_Engine!$B$12:$B$72,$A1202+1))))+2*Assumptions!$B$28*(MAX(IF(D1202&lt;=0,0,MAX(0,(B1202/D1202)*H1202/INDEX(Surface_Engine!$B$12:$B$72,$A1202+1)-F1202/INDEX(Surface_Engine!$B$12:$B$72,$A1202+1))),IF(E1202&lt;=0,0,MAX(0,(B1202/E1202)*I1202/INDEX(Surface_Engine!$B$12:$B$72,$A1202+1)-F1202/INDEX(Surface_Engine!$B$12:$B$72,$A1202+1))),IF($A1202&lt;$Q$1140,MAX(0,-Assumptions!$B$22*(F1202/INDEX(Surface_Engine!$B$12:$B$72,$A1202+1))),0)))*(MAX(0,J1202/INDEX(Surface_Engine!$B$12:$B$72,$A1202+1)-(F1202/INDEX(Surface_Engine!$B$12:$B$72,$A1202+1)))))</f>
        <v>0</v>
      </c>
      <c r="L1202" s="48" t="n">
        <f aca="false">K1202*INDEX(Surface_Engine!$B$12:$B$72,$A1202+1)</f>
        <v>0</v>
      </c>
      <c r="M1202" s="48" t="n">
        <f aca="false">M1201+B1201*(IF($A1201&lt;$Q$1140,(Surface_Engine!L246*12)-(Surface_Engine!L246*12)*INDEX(Surface_Engine!$F$12:$F$72,$A1201+1)-INDEX(Surface_Engine!$D$12:$D$72,$A1201+1),-(1000*12*INDEX(Surface_Engine!$C$12:$C$72,$A1201+1)/(1+Assumptions!$B$10)^15+INDEX(Surface_Engine!$D$12:$D$72,$A1201+1))))*INDEX(Surface_Engine!$B$12:$B$72,$A1201+1)</f>
        <v>1384.00415656181</v>
      </c>
      <c r="N1202" s="12" t="n">
        <f aca="false">IF(B1202&lt;=0,0,MAX(0,(K1202+Assumptions!$B$29*L1202/INDEX(Surface_Engine!$B$12:$B$72,$A1202+1)-(M1202/INDEX(Surface_Engine!$B$12:$B$72,$A1202+1)-(F1202/INDEX(Surface_Engine!$B$12:$B$72,$A1202+1))))/B1202))</f>
        <v>0</v>
      </c>
    </row>
    <row r="1203" customFormat="false" ht="15" hidden="false" customHeight="true" outlineLevel="0" collapsed="false">
      <c r="A1203" s="4" t="str">
        <f aca="false">"entry "&amp;O1203&amp;" / vesting "&amp;P1203&amp;"   deferral "&amp;Q1203</f>
        <v>entry 70 / vesting 90   deferral 20</v>
      </c>
      <c r="C1203" s="49" t="n">
        <f aca="false">MAX(N1142:N1202)</f>
        <v>17368.4909493315</v>
      </c>
      <c r="E1203" s="7" t="s">
        <v>1634</v>
      </c>
      <c r="G1203" s="21" t="n">
        <f aca="false">INDEX(A1142:A1202,MATCH(C1203,N1142:N1202,0))</f>
        <v>10</v>
      </c>
      <c r="J1203" s="7" t="s">
        <v>1624</v>
      </c>
      <c r="K1203" s="50" t="n">
        <f aca="false">Surface_Engine!Q246</f>
        <v>143.096417968334</v>
      </c>
      <c r="O1203" s="1" t="n">
        <f aca="false">A1718</f>
        <v>70</v>
      </c>
      <c r="P1203" s="76" t="n">
        <f aca="false">E$1713</f>
        <v>90</v>
      </c>
      <c r="Q1203" s="1" t="n">
        <f aca="false">P1203-O1203</f>
        <v>20</v>
      </c>
    </row>
    <row r="1204" customFormat="false" ht="15" hidden="false" customHeight="true" outlineLevel="0" collapsed="false">
      <c r="A1204" s="8" t="s">
        <v>802</v>
      </c>
      <c r="B1204" s="8" t="s">
        <v>1584</v>
      </c>
      <c r="C1204" s="8" t="s">
        <v>1585</v>
      </c>
      <c r="D1204" s="8" t="s">
        <v>1587</v>
      </c>
      <c r="E1204" s="8" t="s">
        <v>1588</v>
      </c>
      <c r="F1204" s="8" t="s">
        <v>1625</v>
      </c>
      <c r="G1204" s="8" t="s">
        <v>1626</v>
      </c>
      <c r="H1204" s="8" t="s">
        <v>1627</v>
      </c>
      <c r="I1204" s="8" t="s">
        <v>1628</v>
      </c>
      <c r="J1204" s="8" t="s">
        <v>1629</v>
      </c>
      <c r="K1204" s="8" t="s">
        <v>812</v>
      </c>
      <c r="L1204" s="8" t="s">
        <v>1630</v>
      </c>
      <c r="M1204" s="8" t="s">
        <v>341</v>
      </c>
      <c r="N1204" s="8" t="s">
        <v>1631</v>
      </c>
      <c r="O1204" s="1" t="s">
        <v>1544</v>
      </c>
      <c r="P1204" s="1" t="s">
        <v>1632</v>
      </c>
      <c r="Q1204" s="1" t="s">
        <v>1633</v>
      </c>
    </row>
    <row r="1205" customFormat="false" ht="15" hidden="false" customHeight="true" outlineLevel="0" collapsed="false">
      <c r="A1205" s="1" t="n">
        <v>0</v>
      </c>
      <c r="B1205" s="32" t="n">
        <f aca="false">INDEX(Surface_Engine!$Q$12:$Q$72,$A1205+1)*IF($A1205&lt;$Q$1203,INDEX(Surface_Engine!$E$12:$E$72,$A1205+1),INDEX(Surface_Engine!$E$12:$E$72,$Q$1203+1))</f>
        <v>1</v>
      </c>
      <c r="C1205" s="32" t="n">
        <f aca="false">INDEX(Panel_Reserving!$F$8:$F$68,$A1205+1)*IF($A1205&lt;$Q$1203,INDEX(Surface_Engine!$E$12:$E$72,$A1205+1),INDEX(Surface_Engine!$E$12:$E$72,$Q$1203+1))</f>
        <v>1</v>
      </c>
      <c r="D1205" s="32" t="n">
        <f aca="false">INDEX(Surface_Engine!$Q$12:$Q$72,$A1205+1)*IF($A1205&lt;$Q$1203,INDEX(Surface_Engine!$Y$12:$Y$72,$A1205+1),INDEX(Surface_Engine!$Y$12:$Y$72,$Q$1203+1))</f>
        <v>1</v>
      </c>
      <c r="E1205" s="32" t="n">
        <f aca="false">INDEX(Surface_Engine!$Q$12:$Q$72,$A1205+1)*IF($A1205&lt;$Q$1203,INDEX(Surface_Engine!$Z$12:$Z$72,$A1205+1),INDEX(Surface_Engine!$Z$12:$Z$72,$Q$1203+1))</f>
        <v>1</v>
      </c>
      <c r="F1205" s="48" t="n">
        <f aca="false">B1205*(IF($A1205&lt;$Q$1203,INDEX(Surface_Engine!$D$12:$D$72,$A1205+1)+(Surface_Engine!Q246*12)*INDEX(Surface_Engine!$F$12:$F$72,$A1205+1)-(Surface_Engine!Q246*12),1000*12*INDEX(Surface_Engine!$C$12:$C$72,$A1205+1)/(1+Assumptions!$B$10)^20+INDEX(Surface_Engine!$D$12:$D$72,$A1205+1)))*INDEX(Surface_Engine!$B$12:$B$72,$A1205+1)+F1206</f>
        <v>-599.418966059591</v>
      </c>
      <c r="G1205" s="48" t="n">
        <f aca="false">C1205*(IF($A1205&lt;$Q$1203,INDEX(Surface_Engine!$D$12:$D$72,$A1205+1)+(Surface_Engine!Q246*12)*INDEX(Surface_Engine!$F$12:$F$72,$A1205+1)-(Surface_Engine!Q246*12),1000*12*INDEX(Surface_Engine!$C$12:$C$72,$A1205+1)/(1+Assumptions!$B$10)^20+INDEX(Surface_Engine!$D$12:$D$72,$A1205+1)))*INDEX(Surface_Engine!$B$12:$B$72,$A1205+1)+G1206</f>
        <v>4298.94090138231</v>
      </c>
      <c r="H1205" s="48" t="n">
        <f aca="false">D1205*(IF($A1205&lt;$Q$1203,INDEX(Surface_Engine!$D$12:$D$72,$A1205+1)+(Surface_Engine!Q246*12)*INDEX(Surface_Engine!$F$12:$F$72,$A1205+1)-(Surface_Engine!Q246*12),1000*12*INDEX(Surface_Engine!$C$12:$C$72,$A1205+1)/(1+Assumptions!$B$10)^20+INDEX(Surface_Engine!$D$12:$D$72,$A1205+1)))*INDEX(Surface_Engine!$B$12:$B$72,$A1205+1)+H1206</f>
        <v>-1384.29668282042</v>
      </c>
      <c r="I1205" s="48" t="n">
        <f aca="false">E1205*(IF($A1205&lt;$Q$1203,INDEX(Surface_Engine!$D$12:$D$72,$A1205+1)+(Surface_Engine!Q246*12)*INDEX(Surface_Engine!$F$12:$F$72,$A1205+1)-(Surface_Engine!Q246*12),1000*12*INDEX(Surface_Engine!$C$12:$C$72,$A1205+1)/(1+Assumptions!$B$10)^20+INDEX(Surface_Engine!$D$12:$D$72,$A1205+1)))*INDEX(Surface_Engine!$B$12:$B$72,$A1205+1)+I1206</f>
        <v>334.186616181864</v>
      </c>
      <c r="J1205" s="48" t="n">
        <f aca="false">B1205*(IF($A1205&lt;$Q$1203,INDEX(Surface_Engine!$D$12:$D$72,$A1205+1)*(1+Assumptions!$B$24)+(Surface_Engine!Q246*12)*INDEX(Surface_Engine!$F$12:$F$72,$A1205+1)-(Surface_Engine!Q246*12),1000*12*INDEX(Surface_Engine!$C$12:$C$72,$A1205+1)/(1+Assumptions!$B$10)^20+INDEX(Surface_Engine!$D$12:$D$72,$A1205+1)*(1+Assumptions!$B$24)))*INDEX(Surface_Engine!$B$12:$B$72,$A1205+1)+J1206</f>
        <v>-466.575448076943</v>
      </c>
      <c r="K1205" s="12" t="n">
        <f aca="false">SQRT((IF(C1205&lt;=0,0,MAX(0,(B1205/C1205)*G1205/INDEX(Surface_Engine!$B$12:$B$72,$A1205+1)-F1205/INDEX(Surface_Engine!$B$12:$B$72,$A1205+1))))^2+(MAX(IF(D1205&lt;=0,0,MAX(0,(B1205/D1205)*H1205/INDEX(Surface_Engine!$B$12:$B$72,$A1205+1)-F1205/INDEX(Surface_Engine!$B$12:$B$72,$A1205+1))),IF(E1205&lt;=0,0,MAX(0,(B1205/E1205)*I1205/INDEX(Surface_Engine!$B$12:$B$72,$A1205+1)-F1205/INDEX(Surface_Engine!$B$12:$B$72,$A1205+1))),IF($A1205&lt;$Q$1203,MAX(0,-Assumptions!$B$22*(F1205/INDEX(Surface_Engine!$B$12:$B$72,$A1205+1))),0)))^2+(MAX(0,J1205/INDEX(Surface_Engine!$B$12:$B$72,$A1205+1)-(F1205/INDEX(Surface_Engine!$B$12:$B$72,$A1205+1))))^2+2*Assumptions!$B$26*(IF(C1205&lt;=0,0,MAX(0,(B1205/C1205)*G1205/INDEX(Surface_Engine!$B$12:$B$72,$A1205+1)-F1205/INDEX(Surface_Engine!$B$12:$B$72,$A1205+1))))*(MAX(IF(D1205&lt;=0,0,MAX(0,(B1205/D1205)*H1205/INDEX(Surface_Engine!$B$12:$B$72,$A1205+1)-F1205/INDEX(Surface_Engine!$B$12:$B$72,$A1205+1))),IF(E1205&lt;=0,0,MAX(0,(B1205/E1205)*I1205/INDEX(Surface_Engine!$B$12:$B$72,$A1205+1)-F1205/INDEX(Surface_Engine!$B$12:$B$72,$A1205+1))),IF($A1205&lt;$Q$1203,MAX(0,-Assumptions!$B$22*(F1205/INDEX(Surface_Engine!$B$12:$B$72,$A1205+1))),0)))+2*Assumptions!$B$27*(IF(C1205&lt;=0,0,MAX(0,(B1205/C1205)*G1205/INDEX(Surface_Engine!$B$12:$B$72,$A1205+1)-F1205/INDEX(Surface_Engine!$B$12:$B$72,$A1205+1))))*(MAX(0,J1205/INDEX(Surface_Engine!$B$12:$B$72,$A1205+1)-(F1205/INDEX(Surface_Engine!$B$12:$B$72,$A1205+1))))+2*Assumptions!$B$28*(MAX(IF(D1205&lt;=0,0,MAX(0,(B1205/D1205)*H1205/INDEX(Surface_Engine!$B$12:$B$72,$A1205+1)-F1205/INDEX(Surface_Engine!$B$12:$B$72,$A1205+1))),IF(E1205&lt;=0,0,MAX(0,(B1205/E1205)*I1205/INDEX(Surface_Engine!$B$12:$B$72,$A1205+1)-F1205/INDEX(Surface_Engine!$B$12:$B$72,$A1205+1))),IF($A1205&lt;$Q$1203,MAX(0,-Assumptions!$B$22*(F1205/INDEX(Surface_Engine!$B$12:$B$72,$A1205+1))),0)))*(MAX(0,J1205/INDEX(Surface_Engine!$B$12:$B$72,$A1205+1)-(F1205/INDEX(Surface_Engine!$B$12:$B$72,$A1205+1)))))</f>
        <v>5255.39202733579</v>
      </c>
      <c r="L1205" s="48" t="n">
        <f aca="false">K1205*INDEX(Surface_Engine!$B$12:$B$72,$A1205+1)+L1206</f>
        <v>105434.438368973</v>
      </c>
      <c r="M1205" s="48" t="n">
        <v>0</v>
      </c>
      <c r="N1205" s="12" t="n">
        <f aca="false">IF(B1205&lt;=0,0,MAX(0,(K1205+Assumptions!$B$29*L1205/INDEX(Surface_Engine!$B$12:$B$72,$A1205+1)-(M1205/INDEX(Surface_Engine!$B$12:$B$72,$A1205+1)-(F1205/INDEX(Surface_Engine!$B$12:$B$72,$A1205+1))))/B1205))</f>
        <v>10982.0393634146</v>
      </c>
    </row>
    <row r="1206" customFormat="false" ht="15" hidden="false" customHeight="true" outlineLevel="0" collapsed="false">
      <c r="A1206" s="1" t="n">
        <v>1</v>
      </c>
      <c r="B1206" s="32" t="n">
        <f aca="false">INDEX(Surface_Engine!$Q$12:$Q$72,$A1206+1)*IF($A1206&lt;$Q$1203,INDEX(Surface_Engine!$E$12:$E$72,$A1206+1),INDEX(Surface_Engine!$E$12:$E$72,$Q$1203+1))</f>
        <v>0.95043139219025</v>
      </c>
      <c r="C1206" s="32" t="n">
        <f aca="false">INDEX(Panel_Reserving!$F$8:$F$68,$A1206+1)*IF($A1206&lt;$Q$1203,INDEX(Surface_Engine!$E$12:$E$72,$A1206+1),INDEX(Surface_Engine!$E$12:$E$72,$Q$1203+1))</f>
        <v>0.9522251137522</v>
      </c>
      <c r="D1206" s="32" t="n">
        <f aca="false">INDEX(Surface_Engine!$Q$12:$Q$72,$A1206+1)*IF($A1206&lt;$Q$1203,INDEX(Surface_Engine!$Y$12:$Y$72,$A1206+1),INDEX(Surface_Engine!$Y$12:$Y$72,$Q$1203+1))</f>
        <v>0.930321159480783</v>
      </c>
      <c r="E1206" s="32" t="n">
        <f aca="false">INDEX(Surface_Engine!$Q$12:$Q$72,$A1206+1)*IF($A1206&lt;$Q$1203,INDEX(Surface_Engine!$Z$12:$Z$72,$A1206+1),INDEX(Surface_Engine!$Z$12:$Z$72,$Q$1203+1))</f>
        <v>0.970541624899716</v>
      </c>
      <c r="F1206" s="48" t="n">
        <f aca="false">B1206*(IF($A1206&lt;$Q$1203,INDEX(Surface_Engine!$D$12:$D$72,$A1206+1)+(Surface_Engine!Q246*12)*INDEX(Surface_Engine!$F$12:$F$72,$A1206+1)-(Surface_Engine!Q246*12),1000*12*INDEX(Surface_Engine!$C$12:$C$72,$A1206+1)/(1+Assumptions!$B$10)^20+INDEX(Surface_Engine!$D$12:$D$72,$A1206+1)))*INDEX(Surface_Engine!$B$12:$B$72,$A1206+1)+F1207</f>
        <v>-681.418966059591</v>
      </c>
      <c r="G1206" s="48" t="n">
        <f aca="false">C1206*(IF($A1206&lt;$Q$1203,INDEX(Surface_Engine!$D$12:$D$72,$A1206+1)+(Surface_Engine!Q246*12)*INDEX(Surface_Engine!$F$12:$F$72,$A1206+1)-(Surface_Engine!Q246*12),1000*12*INDEX(Surface_Engine!$C$12:$C$72,$A1206+1)/(1+Assumptions!$B$10)^20+INDEX(Surface_Engine!$D$12:$D$72,$A1206+1)))*INDEX(Surface_Engine!$B$12:$B$72,$A1206+1)+G1207</f>
        <v>4216.94090138231</v>
      </c>
      <c r="H1206" s="48" t="n">
        <f aca="false">D1206*(IF($A1206&lt;$Q$1203,INDEX(Surface_Engine!$D$12:$D$72,$A1206+1)+(Surface_Engine!Q246*12)*INDEX(Surface_Engine!$F$12:$F$72,$A1206+1)-(Surface_Engine!Q246*12),1000*12*INDEX(Surface_Engine!$C$12:$C$72,$A1206+1)/(1+Assumptions!$B$10)^20+INDEX(Surface_Engine!$D$12:$D$72,$A1206+1)))*INDEX(Surface_Engine!$B$12:$B$72,$A1206+1)+H1207</f>
        <v>-1466.29668282042</v>
      </c>
      <c r="I1206" s="48" t="n">
        <f aca="false">E1206*(IF($A1206&lt;$Q$1203,INDEX(Surface_Engine!$D$12:$D$72,$A1206+1)+(Surface_Engine!Q246*12)*INDEX(Surface_Engine!$F$12:$F$72,$A1206+1)-(Surface_Engine!Q246*12),1000*12*INDEX(Surface_Engine!$C$12:$C$72,$A1206+1)/(1+Assumptions!$B$10)^20+INDEX(Surface_Engine!$D$12:$D$72,$A1206+1)))*INDEX(Surface_Engine!$B$12:$B$72,$A1206+1)+I1207</f>
        <v>252.186616181864</v>
      </c>
      <c r="J1206" s="48" t="n">
        <f aca="false">B1206*(IF($A1206&lt;$Q$1203,INDEX(Surface_Engine!$D$12:$D$72,$A1206+1)*(1+Assumptions!$B$24)+(Surface_Engine!Q246*12)*INDEX(Surface_Engine!$F$12:$F$72,$A1206+1)-(Surface_Engine!Q246*12),1000*12*INDEX(Surface_Engine!$C$12:$C$72,$A1206+1)/(1+Assumptions!$B$10)^20+INDEX(Surface_Engine!$D$12:$D$72,$A1206+1)*(1+Assumptions!$B$24)))*INDEX(Surface_Engine!$B$12:$B$72,$A1206+1)+J1207</f>
        <v>-556.775448076943</v>
      </c>
      <c r="K1206" s="12" t="n">
        <f aca="false">SQRT((IF(C1206&lt;=0,0,MAX(0,(B1206/C1206)*G1206/INDEX(Surface_Engine!$B$12:$B$72,$A1206+1)-F1206/INDEX(Surface_Engine!$B$12:$B$72,$A1206+1))))^2+(MAX(IF(D1206&lt;=0,0,MAX(0,(B1206/D1206)*H1206/INDEX(Surface_Engine!$B$12:$B$72,$A1206+1)-F1206/INDEX(Surface_Engine!$B$12:$B$72,$A1206+1))),IF(E1206&lt;=0,0,MAX(0,(B1206/E1206)*I1206/INDEX(Surface_Engine!$B$12:$B$72,$A1206+1)-F1206/INDEX(Surface_Engine!$B$12:$B$72,$A1206+1))),IF($A1206&lt;$Q$1203,MAX(0,-Assumptions!$B$22*(F1206/INDEX(Surface_Engine!$B$12:$B$72,$A1206+1))),0)))^2+(MAX(0,J1206/INDEX(Surface_Engine!$B$12:$B$72,$A1206+1)-(F1206/INDEX(Surface_Engine!$B$12:$B$72,$A1206+1))))^2+2*Assumptions!$B$26*(IF(C1206&lt;=0,0,MAX(0,(B1206/C1206)*G1206/INDEX(Surface_Engine!$B$12:$B$72,$A1206+1)-F1206/INDEX(Surface_Engine!$B$12:$B$72,$A1206+1))))*(MAX(IF(D1206&lt;=0,0,MAX(0,(B1206/D1206)*H1206/INDEX(Surface_Engine!$B$12:$B$72,$A1206+1)-F1206/INDEX(Surface_Engine!$B$12:$B$72,$A1206+1))),IF(E1206&lt;=0,0,MAX(0,(B1206/E1206)*I1206/INDEX(Surface_Engine!$B$12:$B$72,$A1206+1)-F1206/INDEX(Surface_Engine!$B$12:$B$72,$A1206+1))),IF($A1206&lt;$Q$1203,MAX(0,-Assumptions!$B$22*(F1206/INDEX(Surface_Engine!$B$12:$B$72,$A1206+1))),0)))+2*Assumptions!$B$27*(IF(C1206&lt;=0,0,MAX(0,(B1206/C1206)*G1206/INDEX(Surface_Engine!$B$12:$B$72,$A1206+1)-F1206/INDEX(Surface_Engine!$B$12:$B$72,$A1206+1))))*(MAX(0,J1206/INDEX(Surface_Engine!$B$12:$B$72,$A1206+1)-(F1206/INDEX(Surface_Engine!$B$12:$B$72,$A1206+1))))+2*Assumptions!$B$28*(MAX(IF(D1206&lt;=0,0,MAX(0,(B1206/D1206)*H1206/INDEX(Surface_Engine!$B$12:$B$72,$A1206+1)-F1206/INDEX(Surface_Engine!$B$12:$B$72,$A1206+1))),IF(E1206&lt;=0,0,MAX(0,(B1206/E1206)*I1206/INDEX(Surface_Engine!$B$12:$B$72,$A1206+1)-F1206/INDEX(Surface_Engine!$B$12:$B$72,$A1206+1))),IF($A1206&lt;$Q$1203,MAX(0,-Assumptions!$B$22*(F1206/INDEX(Surface_Engine!$B$12:$B$72,$A1206+1))),0)))*(MAX(0,J1206/INDEX(Surface_Engine!$B$12:$B$72,$A1206+1)-(F1206/INDEX(Surface_Engine!$B$12:$B$72,$A1206+1)))))</f>
        <v>5378.63150721501</v>
      </c>
      <c r="L1206" s="48" t="n">
        <f aca="false">K1206*INDEX(Surface_Engine!$B$12:$B$72,$A1206+1)+L1207</f>
        <v>100179.046341637</v>
      </c>
      <c r="M1206" s="48" t="n">
        <f aca="false">M1205+B1205*(IF($A1205&lt;$Q$1203,(Surface_Engine!Q246*12)-(Surface_Engine!Q246*12)*INDEX(Surface_Engine!$F$12:$F$72,$A1205+1)-INDEX(Surface_Engine!$D$12:$D$72,$A1205+1),-(1000*12*INDEX(Surface_Engine!$C$12:$C$72,$A1205+1)/(1+Assumptions!$B$10)^20+INDEX(Surface_Engine!$D$12:$D$72,$A1205+1))))*INDEX(Surface_Engine!$B$12:$B$72,$A1205+1)</f>
        <v>-82</v>
      </c>
      <c r="N1206" s="12" t="n">
        <f aca="false">IF(B1206&lt;=0,0,MAX(0,(K1206+Assumptions!$B$29*L1206/INDEX(Surface_Engine!$B$12:$B$72,$A1206+1)-(M1206/INDEX(Surface_Engine!$B$12:$B$72,$A1206+1)-(F1206/INDEX(Surface_Engine!$B$12:$B$72,$A1206+1))))/B1206))</f>
        <v>11500.4969087642</v>
      </c>
    </row>
    <row r="1207" customFormat="false" ht="15" hidden="false" customHeight="true" outlineLevel="0" collapsed="false">
      <c r="A1207" s="1" t="n">
        <v>2</v>
      </c>
      <c r="B1207" s="32" t="n">
        <f aca="false">INDEX(Surface_Engine!$Q$12:$Q$72,$A1207+1)*IF($A1207&lt;$Q$1203,INDEX(Surface_Engine!$E$12:$E$72,$A1207+1),INDEX(Surface_Engine!$E$12:$E$72,$Q$1203+1))</f>
        <v>0.920253133366788</v>
      </c>
      <c r="C1207" s="32" t="n">
        <f aca="false">INDEX(Panel_Reserving!$F$8:$F$68,$A1207+1)*IF($A1207&lt;$Q$1203,INDEX(Surface_Engine!$E$12:$E$72,$A1207+1),INDEX(Surface_Engine!$E$12:$E$72,$Q$1203+1))</f>
        <v>0.923904286058646</v>
      </c>
      <c r="D1207" s="32" t="n">
        <f aca="false">INDEX(Surface_Engine!$Q$12:$Q$72,$A1207+1)*IF($A1207&lt;$Q$1203,INDEX(Surface_Engine!$Y$12:$Y$72,$A1207+1),INDEX(Surface_Engine!$Y$12:$Y$72,$Q$1203+1))</f>
        <v>0.890791176704882</v>
      </c>
      <c r="E1207" s="32" t="n">
        <f aca="false">INDEX(Surface_Engine!$Q$12:$Q$72,$A1207+1)*IF($A1207&lt;$Q$1203,INDEX(Surface_Engine!$Z$12:$Z$72,$A1207+1),INDEX(Surface_Engine!$Z$12:$Z$72,$Q$1203+1))</f>
        <v>0.950146998088989</v>
      </c>
      <c r="F1207" s="48" t="n">
        <f aca="false">B1207*(IF($A1207&lt;$Q$1203,INDEX(Surface_Engine!$D$12:$D$72,$A1207+1)+(Surface_Engine!Q246*12)*INDEX(Surface_Engine!$F$12:$F$72,$A1207+1)-(Surface_Engine!Q246*12),1000*12*INDEX(Surface_Engine!$C$12:$C$72,$A1207+1)/(1+Assumptions!$B$10)^20+INDEX(Surface_Engine!$D$12:$D$72,$A1207+1)))*INDEX(Surface_Engine!$B$12:$B$72,$A1207+1)+F1208</f>
        <v>751.925587142422</v>
      </c>
      <c r="G1207" s="48" t="n">
        <f aca="false">C1207*(IF($A1207&lt;$Q$1203,INDEX(Surface_Engine!$D$12:$D$72,$A1207+1)+(Surface_Engine!Q246*12)*INDEX(Surface_Engine!$F$12:$F$72,$A1207+1)-(Surface_Engine!Q246*12),1000*12*INDEX(Surface_Engine!$C$12:$C$72,$A1207+1)/(1+Assumptions!$B$10)^20+INDEX(Surface_Engine!$D$12:$D$72,$A1207+1)))*INDEX(Surface_Engine!$B$12:$B$72,$A1207+1)+G1208</f>
        <v>5652.99056412921</v>
      </c>
      <c r="H1207" s="48" t="n">
        <f aca="false">D1207*(IF($A1207&lt;$Q$1203,INDEX(Surface_Engine!$D$12:$D$72,$A1207+1)+(Surface_Engine!Q246*12)*INDEX(Surface_Engine!$F$12:$F$72,$A1207+1)-(Surface_Engine!Q246*12),1000*12*INDEX(Surface_Engine!$C$12:$C$72,$A1207+1)/(1+Assumptions!$B$10)^20+INDEX(Surface_Engine!$D$12:$D$72,$A1207+1)))*INDEX(Surface_Engine!$B$12:$B$72,$A1207+1)+H1208</f>
        <v>-63.2803497872665</v>
      </c>
      <c r="I1207" s="48" t="n">
        <f aca="false">E1207*(IF($A1207&lt;$Q$1203,INDEX(Surface_Engine!$D$12:$D$72,$A1207+1)+(Surface_Engine!Q246*12)*INDEX(Surface_Engine!$F$12:$F$72,$A1207+1)-(Surface_Engine!Q246*12),1000*12*INDEX(Surface_Engine!$C$12:$C$72,$A1207+1)/(1+Assumptions!$B$10)^20+INDEX(Surface_Engine!$D$12:$D$72,$A1207+1)))*INDEX(Surface_Engine!$B$12:$B$72,$A1207+1)+I1208</f>
        <v>1715.85938955273</v>
      </c>
      <c r="J1207" s="48" t="n">
        <f aca="false">B1207*(IF($A1207&lt;$Q$1203,INDEX(Surface_Engine!$D$12:$D$72,$A1207+1)*(1+Assumptions!$B$24)+(Surface_Engine!Q246*12)*INDEX(Surface_Engine!$F$12:$F$72,$A1207+1)-(Surface_Engine!Q246*12),1000*12*INDEX(Surface_Engine!$C$12:$C$72,$A1207+1)/(1+Assumptions!$B$10)^20+INDEX(Surface_Engine!$D$12:$D$72,$A1207+1)*(1+Assumptions!$B$24)))*INDEX(Surface_Engine!$B$12:$B$72,$A1207+1)+J1208</f>
        <v>868.782860192168</v>
      </c>
      <c r="K1207" s="12" t="n">
        <f aca="false">SQRT((IF(C1207&lt;=0,0,MAX(0,(B1207/C1207)*G1207/INDEX(Surface_Engine!$B$12:$B$72,$A1207+1)-F1207/INDEX(Surface_Engine!$B$12:$B$72,$A1207+1))))^2+(MAX(IF(D1207&lt;=0,0,MAX(0,(B1207/D1207)*H1207/INDEX(Surface_Engine!$B$12:$B$72,$A1207+1)-F1207/INDEX(Surface_Engine!$B$12:$B$72,$A1207+1))),IF(E1207&lt;=0,0,MAX(0,(B1207/E1207)*I1207/INDEX(Surface_Engine!$B$12:$B$72,$A1207+1)-F1207/INDEX(Surface_Engine!$B$12:$B$72,$A1207+1))),IF($A1207&lt;$Q$1203,MAX(0,-Assumptions!$B$22*(F1207/INDEX(Surface_Engine!$B$12:$B$72,$A1207+1))),0)))^2+(MAX(0,J1207/INDEX(Surface_Engine!$B$12:$B$72,$A1207+1)-(F1207/INDEX(Surface_Engine!$B$12:$B$72,$A1207+1))))^2+2*Assumptions!$B$26*(IF(C1207&lt;=0,0,MAX(0,(B1207/C1207)*G1207/INDEX(Surface_Engine!$B$12:$B$72,$A1207+1)-F1207/INDEX(Surface_Engine!$B$12:$B$72,$A1207+1))))*(MAX(IF(D1207&lt;=0,0,MAX(0,(B1207/D1207)*H1207/INDEX(Surface_Engine!$B$12:$B$72,$A1207+1)-F1207/INDEX(Surface_Engine!$B$12:$B$72,$A1207+1))),IF(E1207&lt;=0,0,MAX(0,(B1207/E1207)*I1207/INDEX(Surface_Engine!$B$12:$B$72,$A1207+1)-F1207/INDEX(Surface_Engine!$B$12:$B$72,$A1207+1))),IF($A1207&lt;$Q$1203,MAX(0,-Assumptions!$B$22*(F1207/INDEX(Surface_Engine!$B$12:$B$72,$A1207+1))),0)))+2*Assumptions!$B$27*(IF(C1207&lt;=0,0,MAX(0,(B1207/C1207)*G1207/INDEX(Surface_Engine!$B$12:$B$72,$A1207+1)-F1207/INDEX(Surface_Engine!$B$12:$B$72,$A1207+1))))*(MAX(0,J1207/INDEX(Surface_Engine!$B$12:$B$72,$A1207+1)-(F1207/INDEX(Surface_Engine!$B$12:$B$72,$A1207+1))))+2*Assumptions!$B$28*(MAX(IF(D1207&lt;=0,0,MAX(0,(B1207/D1207)*H1207/INDEX(Surface_Engine!$B$12:$B$72,$A1207+1)-F1207/INDEX(Surface_Engine!$B$12:$B$72,$A1207+1))),IF(E1207&lt;=0,0,MAX(0,(B1207/E1207)*I1207/INDEX(Surface_Engine!$B$12:$B$72,$A1207+1)-F1207/INDEX(Surface_Engine!$B$12:$B$72,$A1207+1))),IF($A1207&lt;$Q$1203,MAX(0,-Assumptions!$B$22*(F1207/INDEX(Surface_Engine!$B$12:$B$72,$A1207+1))),0)))*(MAX(0,J1207/INDEX(Surface_Engine!$B$12:$B$72,$A1207+1)-(F1207/INDEX(Surface_Engine!$B$12:$B$72,$A1207+1)))))</f>
        <v>5498.39030295702</v>
      </c>
      <c r="L1207" s="48" t="n">
        <f aca="false">K1207*INDEX(Surface_Engine!$B$12:$B$72,$A1207+1)+L1208</f>
        <v>94936.5110505778</v>
      </c>
      <c r="M1207" s="48" t="n">
        <f aca="false">M1206+B1206*(IF($A1206&lt;$Q$1203,(Surface_Engine!Q246*12)-(Surface_Engine!Q246*12)*INDEX(Surface_Engine!$F$12:$F$72,$A1206+1)-INDEX(Surface_Engine!$D$12:$D$72,$A1206+1),-(1000*12*INDEX(Surface_Engine!$C$12:$C$72,$A1206+1)/(1+Assumptions!$B$10)^20+INDEX(Surface_Engine!$D$12:$D$72,$A1206+1))))*INDEX(Surface_Engine!$B$12:$B$72,$A1206+1)</f>
        <v>1351.34455320201</v>
      </c>
      <c r="N1207" s="12" t="n">
        <f aca="false">IF(B1207&lt;=0,0,MAX(0,(K1207+Assumptions!$B$29*L1207/INDEX(Surface_Engine!$B$12:$B$72,$A1207+1)-(M1207/INDEX(Surface_Engine!$B$12:$B$72,$A1207+1)-(F1207/INDEX(Surface_Engine!$B$12:$B$72,$A1207+1))))/B1207))</f>
        <v>11808.0109983048</v>
      </c>
    </row>
    <row r="1208" customFormat="false" ht="15" hidden="false" customHeight="true" outlineLevel="0" collapsed="false">
      <c r="A1208" s="1" t="n">
        <v>3</v>
      </c>
      <c r="B1208" s="32" t="n">
        <f aca="false">INDEX(Surface_Engine!$Q$12:$Q$72,$A1208+1)*IF($A1208&lt;$Q$1203,INDEX(Surface_Engine!$E$12:$E$72,$A1208+1),INDEX(Surface_Engine!$E$12:$E$72,$Q$1203+1))</f>
        <v>0.897723075465755</v>
      </c>
      <c r="C1208" s="32" t="n">
        <f aca="false">INDEX(Panel_Reserving!$F$8:$F$68,$A1208+1)*IF($A1208&lt;$Q$1203,INDEX(Surface_Engine!$E$12:$E$72,$A1208+1),INDEX(Surface_Engine!$E$12:$E$72,$Q$1203+1))</f>
        <v>0.903351142985455</v>
      </c>
      <c r="D1208" s="32" t="n">
        <f aca="false">INDEX(Surface_Engine!$Q$12:$Q$72,$A1208+1)*IF($A1208&lt;$Q$1203,INDEX(Surface_Engine!$Y$12:$Y$72,$A1208+1),INDEX(Surface_Engine!$Y$12:$Y$72,$Q$1203+1))</f>
        <v>0.863125793674216</v>
      </c>
      <c r="E1208" s="32" t="n">
        <f aca="false">INDEX(Surface_Engine!$Q$12:$Q$72,$A1208+1)*IF($A1208&lt;$Q$1203,INDEX(Surface_Engine!$Z$12:$Z$72,$A1208+1),INDEX(Surface_Engine!$Z$12:$Z$72,$Q$1203+1))</f>
        <v>0.93313193396596</v>
      </c>
      <c r="F1208" s="48" t="n">
        <f aca="false">B1208*(IF($A1208&lt;$Q$1203,INDEX(Surface_Engine!$D$12:$D$72,$A1208+1)+(Surface_Engine!Q246*12)*INDEX(Surface_Engine!$F$12:$F$72,$A1208+1)-(Surface_Engine!Q246*12),1000*12*INDEX(Surface_Engine!$C$12:$C$72,$A1208+1)/(1+Assumptions!$B$10)^20+INDEX(Surface_Engine!$D$12:$D$72,$A1208+1)))*INDEX(Surface_Engine!$B$12:$B$72,$A1208+1)+F1209</f>
        <v>2102.01509153629</v>
      </c>
      <c r="G1208" s="48" t="n">
        <f aca="false">C1208*(IF($A1208&lt;$Q$1203,INDEX(Surface_Engine!$D$12:$D$72,$A1208+1)+(Surface_Engine!Q246*12)*INDEX(Surface_Engine!$F$12:$F$72,$A1208+1)-(Surface_Engine!Q246*12),1000*12*INDEX(Surface_Engine!$C$12:$C$72,$A1208+1)/(1+Assumptions!$B$10)^20+INDEX(Surface_Engine!$D$12:$D$72,$A1208+1)))*INDEX(Surface_Engine!$B$12:$B$72,$A1208+1)+G1209</f>
        <v>7008.436619617</v>
      </c>
      <c r="H1208" s="48" t="n">
        <f aca="false">D1208*(IF($A1208&lt;$Q$1203,INDEX(Surface_Engine!$D$12:$D$72,$A1208+1)+(Surface_Engine!Q246*12)*INDEX(Surface_Engine!$F$12:$F$72,$A1208+1)-(Surface_Engine!Q246*12),1000*12*INDEX(Surface_Engine!$C$12:$C$72,$A1208+1)/(1+Assumptions!$B$10)^20+INDEX(Surface_Engine!$D$12:$D$72,$A1208+1)))*INDEX(Surface_Engine!$B$12:$B$72,$A1208+1)+H1209</f>
        <v>1243.58596195892</v>
      </c>
      <c r="I1208" s="48" t="n">
        <f aca="false">E1208*(IF($A1208&lt;$Q$1203,INDEX(Surface_Engine!$D$12:$D$72,$A1208+1)+(Surface_Engine!Q246*12)*INDEX(Surface_Engine!$F$12:$F$72,$A1208+1)-(Surface_Engine!Q246*12),1000*12*INDEX(Surface_Engine!$C$12:$C$72,$A1208+1)/(1+Assumptions!$B$10)^20+INDEX(Surface_Engine!$D$12:$D$72,$A1208+1)))*INDEX(Surface_Engine!$B$12:$B$72,$A1208+1)+I1209</f>
        <v>3109.80573240099</v>
      </c>
      <c r="J1208" s="48" t="n">
        <f aca="false">B1208*(IF($A1208&lt;$Q$1203,INDEX(Surface_Engine!$D$12:$D$72,$A1208+1)*(1+Assumptions!$B$24)+(Surface_Engine!Q246*12)*INDEX(Surface_Engine!$F$12:$F$72,$A1208+1)-(Surface_Engine!Q246*12),1000*12*INDEX(Surface_Engine!$C$12:$C$72,$A1208+1)/(1+Assumptions!$B$10)^20+INDEX(Surface_Engine!$D$12:$D$72,$A1208+1)*(1+Assumptions!$B$24)))*INDEX(Surface_Engine!$B$12:$B$72,$A1208+1)+J1209</f>
        <v>2211.34480704294</v>
      </c>
      <c r="K1208" s="12" t="n">
        <f aca="false">SQRT((IF(C1208&lt;=0,0,MAX(0,(B1208/C1208)*G1208/INDEX(Surface_Engine!$B$12:$B$72,$A1208+1)-F1208/INDEX(Surface_Engine!$B$12:$B$72,$A1208+1))))^2+(MAX(IF(D1208&lt;=0,0,MAX(0,(B1208/D1208)*H1208/INDEX(Surface_Engine!$B$12:$B$72,$A1208+1)-F1208/INDEX(Surface_Engine!$B$12:$B$72,$A1208+1))),IF(E1208&lt;=0,0,MAX(0,(B1208/E1208)*I1208/INDEX(Surface_Engine!$B$12:$B$72,$A1208+1)-F1208/INDEX(Surface_Engine!$B$12:$B$72,$A1208+1))),IF($A1208&lt;$Q$1203,MAX(0,-Assumptions!$B$22*(F1208/INDEX(Surface_Engine!$B$12:$B$72,$A1208+1))),0)))^2+(MAX(0,J1208/INDEX(Surface_Engine!$B$12:$B$72,$A1208+1)-(F1208/INDEX(Surface_Engine!$B$12:$B$72,$A1208+1))))^2+2*Assumptions!$B$26*(IF(C1208&lt;=0,0,MAX(0,(B1208/C1208)*G1208/INDEX(Surface_Engine!$B$12:$B$72,$A1208+1)-F1208/INDEX(Surface_Engine!$B$12:$B$72,$A1208+1))))*(MAX(IF(D1208&lt;=0,0,MAX(0,(B1208/D1208)*H1208/INDEX(Surface_Engine!$B$12:$B$72,$A1208+1)-F1208/INDEX(Surface_Engine!$B$12:$B$72,$A1208+1))),IF(E1208&lt;=0,0,MAX(0,(B1208/E1208)*I1208/INDEX(Surface_Engine!$B$12:$B$72,$A1208+1)-F1208/INDEX(Surface_Engine!$B$12:$B$72,$A1208+1))),IF($A1208&lt;$Q$1203,MAX(0,-Assumptions!$B$22*(F1208/INDEX(Surface_Engine!$B$12:$B$72,$A1208+1))),0)))+2*Assumptions!$B$27*(IF(C1208&lt;=0,0,MAX(0,(B1208/C1208)*G1208/INDEX(Surface_Engine!$B$12:$B$72,$A1208+1)-F1208/INDEX(Surface_Engine!$B$12:$B$72,$A1208+1))))*(MAX(0,J1208/INDEX(Surface_Engine!$B$12:$B$72,$A1208+1)-(F1208/INDEX(Surface_Engine!$B$12:$B$72,$A1208+1))))+2*Assumptions!$B$28*(MAX(IF(D1208&lt;=0,0,MAX(0,(B1208/D1208)*H1208/INDEX(Surface_Engine!$B$12:$B$72,$A1208+1)-F1208/INDEX(Surface_Engine!$B$12:$B$72,$A1208+1))),IF(E1208&lt;=0,0,MAX(0,(B1208/E1208)*I1208/INDEX(Surface_Engine!$B$12:$B$72,$A1208+1)-F1208/INDEX(Surface_Engine!$B$12:$B$72,$A1208+1))),IF($A1208&lt;$Q$1203,MAX(0,-Assumptions!$B$22*(F1208/INDEX(Surface_Engine!$B$12:$B$72,$A1208+1))),0)))*(MAX(0,J1208/INDEX(Surface_Engine!$B$12:$B$72,$A1208+1)-(F1208/INDEX(Surface_Engine!$B$12:$B$72,$A1208+1)))))</f>
        <v>5613.58524996799</v>
      </c>
      <c r="L1208" s="48" t="n">
        <f aca="false">K1208*INDEX(Surface_Engine!$B$12:$B$72,$A1208+1)+L1209</f>
        <v>89715.9069393994</v>
      </c>
      <c r="M1208" s="48" t="n">
        <f aca="false">M1207+B1207*(IF($A1207&lt;$Q$1203,(Surface_Engine!Q246*12)-(Surface_Engine!Q246*12)*INDEX(Surface_Engine!$F$12:$F$72,$A1207+1)-INDEX(Surface_Engine!$D$12:$D$72,$A1207+1),-(1000*12*INDEX(Surface_Engine!$C$12:$C$72,$A1207+1)/(1+Assumptions!$B$10)^20+INDEX(Surface_Engine!$D$12:$D$72,$A1207+1))))*INDEX(Surface_Engine!$B$12:$B$72,$A1207+1)</f>
        <v>2701.43405759588</v>
      </c>
      <c r="N1208" s="12" t="n">
        <f aca="false">IF(B1208&lt;=0,0,MAX(0,(K1208+Assumptions!$B$29*L1208/INDEX(Surface_Engine!$B$12:$B$72,$A1208+1)-(M1208/INDEX(Surface_Engine!$B$12:$B$72,$A1208+1)-(F1208/INDEX(Surface_Engine!$B$12:$B$72,$A1208+1))))/B1208))</f>
        <v>12012.2209876359</v>
      </c>
    </row>
    <row r="1209" customFormat="false" ht="15" hidden="false" customHeight="true" outlineLevel="0" collapsed="false">
      <c r="A1209" s="1" t="n">
        <v>4</v>
      </c>
      <c r="B1209" s="32" t="n">
        <f aca="false">INDEX(Surface_Engine!$Q$12:$Q$72,$A1209+1)*IF($A1209&lt;$Q$1203,INDEX(Surface_Engine!$E$12:$E$72,$A1209+1),INDEX(Surface_Engine!$E$12:$E$72,$Q$1203+1))</f>
        <v>0.874673469850504</v>
      </c>
      <c r="C1209" s="32" t="n">
        <f aca="false">INDEX(Panel_Reserving!$F$8:$F$68,$A1209+1)*IF($A1209&lt;$Q$1203,INDEX(Surface_Engine!$E$12:$E$72,$A1209+1),INDEX(Surface_Engine!$E$12:$E$72,$Q$1203+1))</f>
        <v>0.882392941109076</v>
      </c>
      <c r="D1209" s="32" t="n">
        <f aca="false">INDEX(Surface_Engine!$Q$12:$Q$72,$A1209+1)*IF($A1209&lt;$Q$1203,INDEX(Surface_Engine!$Y$12:$Y$72,$A1209+1),INDEX(Surface_Engine!$Y$12:$Y$72,$Q$1203+1))</f>
        <v>0.835296699495277</v>
      </c>
      <c r="E1209" s="32" t="n">
        <f aca="false">INDEX(Surface_Engine!$Q$12:$Q$72,$A1209+1)*IF($A1209&lt;$Q$1203,INDEX(Surface_Engine!$Z$12:$Z$72,$A1209+1),INDEX(Surface_Engine!$Z$12:$Z$72,$Q$1203+1))</f>
        <v>0.91530068098386</v>
      </c>
      <c r="F1209" s="48" t="n">
        <f aca="false">B1209*(IF($A1209&lt;$Q$1203,INDEX(Surface_Engine!$D$12:$D$72,$A1209+1)+(Surface_Engine!Q246*12)*INDEX(Surface_Engine!$F$12:$F$72,$A1209+1)-(Surface_Engine!Q246*12),1000*12*INDEX(Surface_Engine!$C$12:$C$72,$A1209+1)/(1+Assumptions!$B$10)^20+INDEX(Surface_Engine!$D$12:$D$72,$A1209+1)))*INDEX(Surface_Engine!$B$12:$B$72,$A1209+1)+F1210</f>
        <v>3383.63678160771</v>
      </c>
      <c r="G1209" s="48" t="n">
        <f aca="false">C1209*(IF($A1209&lt;$Q$1203,INDEX(Surface_Engine!$D$12:$D$72,$A1209+1)+(Surface_Engine!Q246*12)*INDEX(Surface_Engine!$F$12:$F$72,$A1209+1)-(Surface_Engine!Q246*12),1000*12*INDEX(Surface_Engine!$C$12:$C$72,$A1209+1)/(1+Assumptions!$B$10)^20+INDEX(Surface_Engine!$D$12:$D$72,$A1209+1)))*INDEX(Surface_Engine!$B$12:$B$72,$A1209+1)+G1210</f>
        <v>8298.09314092265</v>
      </c>
      <c r="H1209" s="48" t="n">
        <f aca="false">D1209*(IF($A1209&lt;$Q$1203,INDEX(Surface_Engine!$D$12:$D$72,$A1209+1)+(Surface_Engine!Q246*12)*INDEX(Surface_Engine!$F$12:$F$72,$A1209+1)-(Surface_Engine!Q246*12),1000*12*INDEX(Surface_Engine!$C$12:$C$72,$A1209+1)/(1+Assumptions!$B$10)^20+INDEX(Surface_Engine!$D$12:$D$72,$A1209+1)))*INDEX(Surface_Engine!$B$12:$B$72,$A1209+1)+H1210</f>
        <v>2475.81533053015</v>
      </c>
      <c r="I1209" s="48" t="n">
        <f aca="false">E1209*(IF($A1209&lt;$Q$1203,INDEX(Surface_Engine!$D$12:$D$72,$A1209+1)+(Surface_Engine!Q246*12)*INDEX(Surface_Engine!$F$12:$F$72,$A1209+1)-(Surface_Engine!Q246*12),1000*12*INDEX(Surface_Engine!$C$12:$C$72,$A1209+1)/(1+Assumptions!$B$10)^20+INDEX(Surface_Engine!$D$12:$D$72,$A1209+1)))*INDEX(Surface_Engine!$B$12:$B$72,$A1209+1)+I1210</f>
        <v>4441.97838001686</v>
      </c>
      <c r="J1209" s="48" t="n">
        <f aca="false">B1209*(IF($A1209&lt;$Q$1203,INDEX(Surface_Engine!$D$12:$D$72,$A1209+1)*(1+Assumptions!$B$24)+(Surface_Engine!Q246*12)*INDEX(Surface_Engine!$F$12:$F$72,$A1209+1)-(Surface_Engine!Q246*12),1000*12*INDEX(Surface_Engine!$C$12:$C$72,$A1209+1)/(1+Assumptions!$B$10)^20+INDEX(Surface_Engine!$D$12:$D$72,$A1209+1)*(1+Assumptions!$B$24)))*INDEX(Surface_Engine!$B$12:$B$72,$A1209+1)+J1210</f>
        <v>3485.6318196241</v>
      </c>
      <c r="K1209" s="12" t="n">
        <f aca="false">SQRT((IF(C1209&lt;=0,0,MAX(0,(B1209/C1209)*G1209/INDEX(Surface_Engine!$B$12:$B$72,$A1209+1)-F1209/INDEX(Surface_Engine!$B$12:$B$72,$A1209+1))))^2+(MAX(IF(D1209&lt;=0,0,MAX(0,(B1209/D1209)*H1209/INDEX(Surface_Engine!$B$12:$B$72,$A1209+1)-F1209/INDEX(Surface_Engine!$B$12:$B$72,$A1209+1))),IF(E1209&lt;=0,0,MAX(0,(B1209/E1209)*I1209/INDEX(Surface_Engine!$B$12:$B$72,$A1209+1)-F1209/INDEX(Surface_Engine!$B$12:$B$72,$A1209+1))),IF($A1209&lt;$Q$1203,MAX(0,-Assumptions!$B$22*(F1209/INDEX(Surface_Engine!$B$12:$B$72,$A1209+1))),0)))^2+(MAX(0,J1209/INDEX(Surface_Engine!$B$12:$B$72,$A1209+1)-(F1209/INDEX(Surface_Engine!$B$12:$B$72,$A1209+1))))^2+2*Assumptions!$B$26*(IF(C1209&lt;=0,0,MAX(0,(B1209/C1209)*G1209/INDEX(Surface_Engine!$B$12:$B$72,$A1209+1)-F1209/INDEX(Surface_Engine!$B$12:$B$72,$A1209+1))))*(MAX(IF(D1209&lt;=0,0,MAX(0,(B1209/D1209)*H1209/INDEX(Surface_Engine!$B$12:$B$72,$A1209+1)-F1209/INDEX(Surface_Engine!$B$12:$B$72,$A1209+1))),IF(E1209&lt;=0,0,MAX(0,(B1209/E1209)*I1209/INDEX(Surface_Engine!$B$12:$B$72,$A1209+1)-F1209/INDEX(Surface_Engine!$B$12:$B$72,$A1209+1))),IF($A1209&lt;$Q$1203,MAX(0,-Assumptions!$B$22*(F1209/INDEX(Surface_Engine!$B$12:$B$72,$A1209+1))),0)))+2*Assumptions!$B$27*(IF(C1209&lt;=0,0,MAX(0,(B1209/C1209)*G1209/INDEX(Surface_Engine!$B$12:$B$72,$A1209+1)-F1209/INDEX(Surface_Engine!$B$12:$B$72,$A1209+1))))*(MAX(0,J1209/INDEX(Surface_Engine!$B$12:$B$72,$A1209+1)-(F1209/INDEX(Surface_Engine!$B$12:$B$72,$A1209+1))))+2*Assumptions!$B$28*(MAX(IF(D1209&lt;=0,0,MAX(0,(B1209/D1209)*H1209/INDEX(Surface_Engine!$B$12:$B$72,$A1209+1)-F1209/INDEX(Surface_Engine!$B$12:$B$72,$A1209+1))),IF(E1209&lt;=0,0,MAX(0,(B1209/E1209)*I1209/INDEX(Surface_Engine!$B$12:$B$72,$A1209+1)-F1209/INDEX(Surface_Engine!$B$12:$B$72,$A1209+1))),IF($A1209&lt;$Q$1203,MAX(0,-Assumptions!$B$22*(F1209/INDEX(Surface_Engine!$B$12:$B$72,$A1209+1))),0)))*(MAX(0,J1209/INDEX(Surface_Engine!$B$12:$B$72,$A1209+1)-(F1209/INDEX(Surface_Engine!$B$12:$B$72,$A1209+1)))))</f>
        <v>5724.85178121832</v>
      </c>
      <c r="L1209" s="48" t="n">
        <f aca="false">K1209*INDEX(Surface_Engine!$B$12:$B$72,$A1209+1)+L1210</f>
        <v>84522.0078495761</v>
      </c>
      <c r="M1209" s="48" t="n">
        <f aca="false">M1208+B1208*(IF($A1208&lt;$Q$1203,(Surface_Engine!Q246*12)-(Surface_Engine!Q246*12)*INDEX(Surface_Engine!$F$12:$F$72,$A1208+1)-INDEX(Surface_Engine!$D$12:$D$72,$A1208+1),-(1000*12*INDEX(Surface_Engine!$C$12:$C$72,$A1208+1)/(1+Assumptions!$B$10)^20+INDEX(Surface_Engine!$D$12:$D$72,$A1208+1))))*INDEX(Surface_Engine!$B$12:$B$72,$A1208+1)</f>
        <v>3983.05574766731</v>
      </c>
      <c r="N1209" s="12" t="n">
        <f aca="false">IF(B1209&lt;=0,0,MAX(0,(K1209+Assumptions!$B$29*L1209/INDEX(Surface_Engine!$B$12:$B$72,$A1209+1)-(M1209/INDEX(Surface_Engine!$B$12:$B$72,$A1209+1)-(F1209/INDEX(Surface_Engine!$B$12:$B$72,$A1209+1))))/B1209))</f>
        <v>12218.5530209105</v>
      </c>
    </row>
    <row r="1210" customFormat="false" ht="15" hidden="false" customHeight="true" outlineLevel="0" collapsed="false">
      <c r="A1210" s="1" t="n">
        <v>5</v>
      </c>
      <c r="B1210" s="32" t="n">
        <f aca="false">INDEX(Surface_Engine!$Q$12:$Q$72,$A1210+1)*IF($A1210&lt;$Q$1203,INDEX(Surface_Engine!$E$12:$E$72,$A1210+1),INDEX(Surface_Engine!$E$12:$E$72,$Q$1203+1))</f>
        <v>0.851022429075038</v>
      </c>
      <c r="C1210" s="32" t="n">
        <f aca="false">INDEX(Panel_Reserving!$F$8:$F$68,$A1210+1)*IF($A1210&lt;$Q$1203,INDEX(Surface_Engine!$E$12:$E$72,$A1210+1),INDEX(Surface_Engine!$E$12:$E$72,$Q$1203+1))</f>
        <v>0.86095795657988</v>
      </c>
      <c r="D1210" s="32" t="n">
        <f aca="false">INDEX(Surface_Engine!$Q$12:$Q$72,$A1210+1)*IF($A1210&lt;$Q$1203,INDEX(Surface_Engine!$Y$12:$Y$72,$A1210+1),INDEX(Surface_Engine!$Y$12:$Y$72,$Q$1203+1))</f>
        <v>0.807233027515658</v>
      </c>
      <c r="E1210" s="32" t="n">
        <f aca="false">INDEX(Surface_Engine!$Q$12:$Q$72,$A1210+1)*IF($A1210&lt;$Q$1203,INDEX(Surface_Engine!$Z$12:$Z$72,$A1210+1),INDEX(Surface_Engine!$Z$12:$Z$72,$Q$1203+1))</f>
        <v>0.896553077658606</v>
      </c>
      <c r="F1210" s="48" t="n">
        <f aca="false">B1210*(IF($A1210&lt;$Q$1203,INDEX(Surface_Engine!$D$12:$D$72,$A1210+1)+(Surface_Engine!Q246*12)*INDEX(Surface_Engine!$F$12:$F$72,$A1210+1)-(Surface_Engine!Q246*12),1000*12*INDEX(Surface_Engine!$C$12:$C$72,$A1210+1)/(1+Assumptions!$B$10)^20+INDEX(Surface_Engine!$D$12:$D$72,$A1210+1)))*INDEX(Surface_Engine!$B$12:$B$72,$A1210+1)+F1211</f>
        <v>4598.11449181195</v>
      </c>
      <c r="G1210" s="48" t="n">
        <f aca="false">C1210*(IF($A1210&lt;$Q$1203,INDEX(Surface_Engine!$D$12:$D$72,$A1210+1)+(Surface_Engine!Q246*12)*INDEX(Surface_Engine!$F$12:$F$72,$A1210+1)-(Surface_Engine!Q246*12),1000*12*INDEX(Surface_Engine!$C$12:$C$72,$A1210+1)/(1+Assumptions!$B$10)^20+INDEX(Surface_Engine!$D$12:$D$72,$A1210+1)))*INDEX(Surface_Engine!$B$12:$B$72,$A1210+1)+G1211</f>
        <v>9523.28928046223</v>
      </c>
      <c r="H1210" s="48" t="n">
        <f aca="false">D1210*(IF($A1210&lt;$Q$1203,INDEX(Surface_Engine!$D$12:$D$72,$A1210+1)+(Surface_Engine!Q246*12)*INDEX(Surface_Engine!$F$12:$F$72,$A1210+1)-(Surface_Engine!Q246*12),1000*12*INDEX(Surface_Engine!$C$12:$C$72,$A1210+1)/(1+Assumptions!$B$10)^20+INDEX(Surface_Engine!$D$12:$D$72,$A1210+1)))*INDEX(Surface_Engine!$B$12:$B$72,$A1210+1)+H1211</f>
        <v>3635.61868333741</v>
      </c>
      <c r="I1210" s="48" t="n">
        <f aca="false">E1210*(IF($A1210&lt;$Q$1203,INDEX(Surface_Engine!$D$12:$D$72,$A1210+1)+(Surface_Engine!Q246*12)*INDEX(Surface_Engine!$F$12:$F$72,$A1210+1)-(Surface_Engine!Q246*12),1000*12*INDEX(Surface_Engine!$C$12:$C$72,$A1210+1)/(1+Assumptions!$B$10)^20+INDEX(Surface_Engine!$D$12:$D$72,$A1210+1)))*INDEX(Surface_Engine!$B$12:$B$72,$A1210+1)+I1211</f>
        <v>5712.86667548516</v>
      </c>
      <c r="J1210" s="48" t="n">
        <f aca="false">B1210*(IF($A1210&lt;$Q$1203,INDEX(Surface_Engine!$D$12:$D$72,$A1210+1)*(1+Assumptions!$B$24)+(Surface_Engine!Q246*12)*INDEX(Surface_Engine!$F$12:$F$72,$A1210+1)-(Surface_Engine!Q246*12),1000*12*INDEX(Surface_Engine!$C$12:$C$72,$A1210+1)/(1+Assumptions!$B$10)^20+INDEX(Surface_Engine!$D$12:$D$72,$A1210+1)*(1+Assumptions!$B$24)))*INDEX(Surface_Engine!$B$12:$B$72,$A1210+1)+J1211</f>
        <v>4692.97514723226</v>
      </c>
      <c r="K1210" s="12" t="n">
        <f aca="false">SQRT((IF(C1210&lt;=0,0,MAX(0,(B1210/C1210)*G1210/INDEX(Surface_Engine!$B$12:$B$72,$A1210+1)-F1210/INDEX(Surface_Engine!$B$12:$B$72,$A1210+1))))^2+(MAX(IF(D1210&lt;=0,0,MAX(0,(B1210/D1210)*H1210/INDEX(Surface_Engine!$B$12:$B$72,$A1210+1)-F1210/INDEX(Surface_Engine!$B$12:$B$72,$A1210+1))),IF(E1210&lt;=0,0,MAX(0,(B1210/E1210)*I1210/INDEX(Surface_Engine!$B$12:$B$72,$A1210+1)-F1210/INDEX(Surface_Engine!$B$12:$B$72,$A1210+1))),IF($A1210&lt;$Q$1203,MAX(0,-Assumptions!$B$22*(F1210/INDEX(Surface_Engine!$B$12:$B$72,$A1210+1))),0)))^2+(MAX(0,J1210/INDEX(Surface_Engine!$B$12:$B$72,$A1210+1)-(F1210/INDEX(Surface_Engine!$B$12:$B$72,$A1210+1))))^2+2*Assumptions!$B$26*(IF(C1210&lt;=0,0,MAX(0,(B1210/C1210)*G1210/INDEX(Surface_Engine!$B$12:$B$72,$A1210+1)-F1210/INDEX(Surface_Engine!$B$12:$B$72,$A1210+1))))*(MAX(IF(D1210&lt;=0,0,MAX(0,(B1210/D1210)*H1210/INDEX(Surface_Engine!$B$12:$B$72,$A1210+1)-F1210/INDEX(Surface_Engine!$B$12:$B$72,$A1210+1))),IF(E1210&lt;=0,0,MAX(0,(B1210/E1210)*I1210/INDEX(Surface_Engine!$B$12:$B$72,$A1210+1)-F1210/INDEX(Surface_Engine!$B$12:$B$72,$A1210+1))),IF($A1210&lt;$Q$1203,MAX(0,-Assumptions!$B$22*(F1210/INDEX(Surface_Engine!$B$12:$B$72,$A1210+1))),0)))+2*Assumptions!$B$27*(IF(C1210&lt;=0,0,MAX(0,(B1210/C1210)*G1210/INDEX(Surface_Engine!$B$12:$B$72,$A1210+1)-F1210/INDEX(Surface_Engine!$B$12:$B$72,$A1210+1))))*(MAX(0,J1210/INDEX(Surface_Engine!$B$12:$B$72,$A1210+1)-(F1210/INDEX(Surface_Engine!$B$12:$B$72,$A1210+1))))+2*Assumptions!$B$28*(MAX(IF(D1210&lt;=0,0,MAX(0,(B1210/D1210)*H1210/INDEX(Surface_Engine!$B$12:$B$72,$A1210+1)-F1210/INDEX(Surface_Engine!$B$12:$B$72,$A1210+1))),IF(E1210&lt;=0,0,MAX(0,(B1210/E1210)*I1210/INDEX(Surface_Engine!$B$12:$B$72,$A1210+1)-F1210/INDEX(Surface_Engine!$B$12:$B$72,$A1210+1))),IF($A1210&lt;$Q$1203,MAX(0,-Assumptions!$B$22*(F1210/INDEX(Surface_Engine!$B$12:$B$72,$A1210+1))),0)))*(MAX(0,J1210/INDEX(Surface_Engine!$B$12:$B$72,$A1210+1)-(F1210/INDEX(Surface_Engine!$B$12:$B$72,$A1210+1)))))</f>
        <v>5835.54185822876</v>
      </c>
      <c r="L1210" s="48" t="n">
        <f aca="false">K1210*INDEX(Surface_Engine!$B$12:$B$72,$A1210+1)+L1211</f>
        <v>79363.009668098</v>
      </c>
      <c r="M1210" s="48" t="n">
        <f aca="false">M1209+B1209*(IF($A1209&lt;$Q$1203,(Surface_Engine!Q246*12)-(Surface_Engine!Q246*12)*INDEX(Surface_Engine!$F$12:$F$72,$A1209+1)-INDEX(Surface_Engine!$D$12:$D$72,$A1209+1),-(1000*12*INDEX(Surface_Engine!$C$12:$C$72,$A1209+1)/(1+Assumptions!$B$10)^20+INDEX(Surface_Engine!$D$12:$D$72,$A1209+1))))*INDEX(Surface_Engine!$B$12:$B$72,$A1209+1)</f>
        <v>5197.53345787154</v>
      </c>
      <c r="N1210" s="12" t="n">
        <f aca="false">IF(B1210&lt;=0,0,MAX(0,(K1210+Assumptions!$B$29*L1210/INDEX(Surface_Engine!$B$12:$B$72,$A1210+1)-(M1210/INDEX(Surface_Engine!$B$12:$B$72,$A1210+1)-(F1210/INDEX(Surface_Engine!$B$12:$B$72,$A1210+1))))/B1210))</f>
        <v>12436.5975597134</v>
      </c>
    </row>
    <row r="1211" customFormat="false" ht="15" hidden="false" customHeight="true" outlineLevel="0" collapsed="false">
      <c r="A1211" s="1" t="n">
        <v>6</v>
      </c>
      <c r="B1211" s="32" t="n">
        <f aca="false">INDEX(Surface_Engine!$Q$12:$Q$72,$A1211+1)*IF($A1211&lt;$Q$1203,INDEX(Surface_Engine!$E$12:$E$72,$A1211+1),INDEX(Surface_Engine!$E$12:$E$72,$Q$1203+1))</f>
        <v>0.829741661399003</v>
      </c>
      <c r="C1211" s="32" t="n">
        <f aca="false">INDEX(Panel_Reserving!$F$8:$F$68,$A1211+1)*IF($A1211&lt;$Q$1203,INDEX(Surface_Engine!$E$12:$E$72,$A1211+1),INDEX(Surface_Engine!$E$12:$E$72,$Q$1203+1))</f>
        <v>0.842167639775855</v>
      </c>
      <c r="D1211" s="32" t="n">
        <f aca="false">INDEX(Surface_Engine!$Q$12:$Q$72,$A1211+1)*IF($A1211&lt;$Q$1203,INDEX(Surface_Engine!$Y$12:$Y$72,$A1211+1),INDEX(Surface_Engine!$Y$12:$Y$72,$Q$1203+1))</f>
        <v>0.783433310793403</v>
      </c>
      <c r="E1211" s="32" t="n">
        <f aca="false">INDEX(Surface_Engine!$Q$12:$Q$72,$A1211+1)*IF($A1211&lt;$Q$1203,INDEX(Surface_Engine!$Z$12:$Z$72,$A1211+1),INDEX(Surface_Engine!$Z$12:$Z$72,$Q$1203+1))</f>
        <v>0.878147599716199</v>
      </c>
      <c r="F1211" s="48" t="n">
        <f aca="false">B1211*(IF($A1211&lt;$Q$1203,INDEX(Surface_Engine!$D$12:$D$72,$A1211+1)+(Surface_Engine!Q246*12)*INDEX(Surface_Engine!$F$12:$F$72,$A1211+1)-(Surface_Engine!Q246*12),1000*12*INDEX(Surface_Engine!$C$12:$C$72,$A1211+1)/(1+Assumptions!$B$10)^20+INDEX(Surface_Engine!$D$12:$D$72,$A1211+1)))*INDEX(Surface_Engine!$B$12:$B$72,$A1211+1)+F1212</f>
        <v>5745.86775056818</v>
      </c>
      <c r="G1211" s="48" t="n">
        <f aca="false">C1211*(IF($A1211&lt;$Q$1203,INDEX(Surface_Engine!$D$12:$D$72,$A1211+1)+(Surface_Engine!Q246*12)*INDEX(Surface_Engine!$F$12:$F$72,$A1211+1)-(Surface_Engine!Q246*12),1000*12*INDEX(Surface_Engine!$C$12:$C$72,$A1211+1)/(1+Assumptions!$B$10)^20+INDEX(Surface_Engine!$D$12:$D$72,$A1211+1)))*INDEX(Surface_Engine!$B$12:$B$72,$A1211+1)+G1212</f>
        <v>10684.4423435968</v>
      </c>
      <c r="H1211" s="48" t="n">
        <f aca="false">D1211*(IF($A1211&lt;$Q$1203,INDEX(Surface_Engine!$D$12:$D$72,$A1211+1)+(Surface_Engine!Q246*12)*INDEX(Surface_Engine!$F$12:$F$72,$A1211+1)-(Surface_Engine!Q246*12),1000*12*INDEX(Surface_Engine!$C$12:$C$72,$A1211+1)/(1+Assumptions!$B$10)^20+INDEX(Surface_Engine!$D$12:$D$72,$A1211+1)))*INDEX(Surface_Engine!$B$12:$B$72,$A1211+1)+H1212</f>
        <v>4724.3142408843</v>
      </c>
      <c r="I1211" s="48" t="n">
        <f aca="false">E1211*(IF($A1211&lt;$Q$1203,INDEX(Surface_Engine!$D$12:$D$72,$A1211+1)+(Surface_Engine!Q246*12)*INDEX(Surface_Engine!$F$12:$F$72,$A1211+1)-(Surface_Engine!Q246*12),1000*12*INDEX(Surface_Engine!$C$12:$C$72,$A1211+1)/(1+Assumptions!$B$10)^20+INDEX(Surface_Engine!$D$12:$D$72,$A1211+1)))*INDEX(Surface_Engine!$B$12:$B$72,$A1211+1)+I1212</f>
        <v>6922.02601297644</v>
      </c>
      <c r="J1211" s="48" t="n">
        <f aca="false">B1211*(IF($A1211&lt;$Q$1203,INDEX(Surface_Engine!$D$12:$D$72,$A1211+1)*(1+Assumptions!$B$24)+(Surface_Engine!Q246*12)*INDEX(Surface_Engine!$F$12:$F$72,$A1211+1)-(Surface_Engine!Q246*12),1000*12*INDEX(Surface_Engine!$C$12:$C$72,$A1211+1)/(1+Assumptions!$B$10)^20+INDEX(Surface_Engine!$D$12:$D$72,$A1211+1)*(1+Assumptions!$B$24)))*INDEX(Surface_Engine!$B$12:$B$72,$A1211+1)+J1212</f>
        <v>5833.80726771877</v>
      </c>
      <c r="K1211" s="12" t="n">
        <f aca="false">SQRT((IF(C1211&lt;=0,0,MAX(0,(B1211/C1211)*G1211/INDEX(Surface_Engine!$B$12:$B$72,$A1211+1)-F1211/INDEX(Surface_Engine!$B$12:$B$72,$A1211+1))))^2+(MAX(IF(D1211&lt;=0,0,MAX(0,(B1211/D1211)*H1211/INDEX(Surface_Engine!$B$12:$B$72,$A1211+1)-F1211/INDEX(Surface_Engine!$B$12:$B$72,$A1211+1))),IF(E1211&lt;=0,0,MAX(0,(B1211/E1211)*I1211/INDEX(Surface_Engine!$B$12:$B$72,$A1211+1)-F1211/INDEX(Surface_Engine!$B$12:$B$72,$A1211+1))),IF($A1211&lt;$Q$1203,MAX(0,-Assumptions!$B$22*(F1211/INDEX(Surface_Engine!$B$12:$B$72,$A1211+1))),0)))^2+(MAX(0,J1211/INDEX(Surface_Engine!$B$12:$B$72,$A1211+1)-(F1211/INDEX(Surface_Engine!$B$12:$B$72,$A1211+1))))^2+2*Assumptions!$B$26*(IF(C1211&lt;=0,0,MAX(0,(B1211/C1211)*G1211/INDEX(Surface_Engine!$B$12:$B$72,$A1211+1)-F1211/INDEX(Surface_Engine!$B$12:$B$72,$A1211+1))))*(MAX(IF(D1211&lt;=0,0,MAX(0,(B1211/D1211)*H1211/INDEX(Surface_Engine!$B$12:$B$72,$A1211+1)-F1211/INDEX(Surface_Engine!$B$12:$B$72,$A1211+1))),IF(E1211&lt;=0,0,MAX(0,(B1211/E1211)*I1211/INDEX(Surface_Engine!$B$12:$B$72,$A1211+1)-F1211/INDEX(Surface_Engine!$B$12:$B$72,$A1211+1))),IF($A1211&lt;$Q$1203,MAX(0,-Assumptions!$B$22*(F1211/INDEX(Surface_Engine!$B$12:$B$72,$A1211+1))),0)))+2*Assumptions!$B$27*(IF(C1211&lt;=0,0,MAX(0,(B1211/C1211)*G1211/INDEX(Surface_Engine!$B$12:$B$72,$A1211+1)-F1211/INDEX(Surface_Engine!$B$12:$B$72,$A1211+1))))*(MAX(0,J1211/INDEX(Surface_Engine!$B$12:$B$72,$A1211+1)-(F1211/INDEX(Surface_Engine!$B$12:$B$72,$A1211+1))))+2*Assumptions!$B$28*(MAX(IF(D1211&lt;=0,0,MAX(0,(B1211/D1211)*H1211/INDEX(Surface_Engine!$B$12:$B$72,$A1211+1)-F1211/INDEX(Surface_Engine!$B$12:$B$72,$A1211+1))),IF(E1211&lt;=0,0,MAX(0,(B1211/E1211)*I1211/INDEX(Surface_Engine!$B$12:$B$72,$A1211+1)-F1211/INDEX(Surface_Engine!$B$12:$B$72,$A1211+1))),IF($A1211&lt;$Q$1203,MAX(0,-Assumptions!$B$22*(F1211/INDEX(Surface_Engine!$B$12:$B$72,$A1211+1))),0)))*(MAX(0,J1211/INDEX(Surface_Engine!$B$12:$B$72,$A1211+1)-(F1211/INDEX(Surface_Engine!$B$12:$B$72,$A1211+1)))))</f>
        <v>5947.54963809443</v>
      </c>
      <c r="L1211" s="48" t="n">
        <f aca="false">K1211*INDEX(Surface_Engine!$B$12:$B$72,$A1211+1)+L1212</f>
        <v>74247.551605406</v>
      </c>
      <c r="M1211" s="48" t="n">
        <f aca="false">M1210+B1210*(IF($A1210&lt;$Q$1203,(Surface_Engine!Q246*12)-(Surface_Engine!Q246*12)*INDEX(Surface_Engine!$F$12:$F$72,$A1210+1)-INDEX(Surface_Engine!$D$12:$D$72,$A1210+1),-(1000*12*INDEX(Surface_Engine!$C$12:$C$72,$A1210+1)/(1+Assumptions!$B$10)^20+INDEX(Surface_Engine!$D$12:$D$72,$A1210+1))))*INDEX(Surface_Engine!$B$12:$B$72,$A1210+1)</f>
        <v>6345.28671662777</v>
      </c>
      <c r="N1211" s="12" t="n">
        <f aca="false">IF(B1211&lt;=0,0,MAX(0,(K1211+Assumptions!$B$29*L1211/INDEX(Surface_Engine!$B$12:$B$72,$A1211+1)-(M1211/INDEX(Surface_Engine!$B$12:$B$72,$A1211+1)-(F1211/INDEX(Surface_Engine!$B$12:$B$72,$A1211+1))))/B1211))</f>
        <v>12621.8297955366</v>
      </c>
    </row>
    <row r="1212" customFormat="false" ht="15" hidden="false" customHeight="true" outlineLevel="0" collapsed="false">
      <c r="A1212" s="1" t="n">
        <v>7</v>
      </c>
      <c r="B1212" s="32" t="n">
        <f aca="false">INDEX(Surface_Engine!$Q$12:$Q$72,$A1212+1)*IF($A1212&lt;$Q$1203,INDEX(Surface_Engine!$E$12:$E$72,$A1212+1),INDEX(Surface_Engine!$E$12:$E$72,$Q$1203+1))</f>
        <v>0.807458726912084</v>
      </c>
      <c r="C1212" s="32" t="n">
        <f aca="false">INDEX(Panel_Reserving!$F$8:$F$68,$A1212+1)*IF($A1212&lt;$Q$1203,INDEX(Surface_Engine!$E$12:$E$72,$A1212+1),INDEX(Surface_Engine!$E$12:$E$72,$Q$1203+1))</f>
        <v>0.822541584700754</v>
      </c>
      <c r="D1212" s="32" t="n">
        <f aca="false">INDEX(Surface_Engine!$Q$12:$Q$72,$A1212+1)*IF($A1212&lt;$Q$1203,INDEX(Surface_Engine!$Y$12:$Y$72,$A1212+1),INDEX(Surface_Engine!$Y$12:$Y$72,$Q$1203+1))</f>
        <v>0.758893249943268</v>
      </c>
      <c r="E1212" s="32" t="n">
        <f aca="false">INDEX(Surface_Engine!$Q$12:$Q$72,$A1212+1)*IF($A1212&lt;$Q$1203,INDEX(Surface_Engine!$Z$12:$Z$72,$A1212+1),INDEX(Surface_Engine!$Z$12:$Z$72,$Q$1203+1))</f>
        <v>0.858488688425243</v>
      </c>
      <c r="F1212" s="48" t="n">
        <f aca="false">B1212*(IF($A1212&lt;$Q$1203,INDEX(Surface_Engine!$D$12:$D$72,$A1212+1)+(Surface_Engine!Q246*12)*INDEX(Surface_Engine!$F$12:$F$72,$A1212+1)-(Surface_Engine!Q246*12),1000*12*INDEX(Surface_Engine!$C$12:$C$72,$A1212+1)/(1+Assumptions!$B$10)^20+INDEX(Surface_Engine!$D$12:$D$72,$A1212+1)))*INDEX(Surface_Engine!$B$12:$B$72,$A1212+1)+F1213</f>
        <v>6831.83563388972</v>
      </c>
      <c r="G1212" s="48" t="n">
        <f aca="false">C1212*(IF($A1212&lt;$Q$1203,INDEX(Surface_Engine!$D$12:$D$72,$A1212+1)+(Surface_Engine!Q246*12)*INDEX(Surface_Engine!$F$12:$F$72,$A1212+1)-(Surface_Engine!Q246*12),1000*12*INDEX(Surface_Engine!$C$12:$C$72,$A1212+1)/(1+Assumptions!$B$10)^20+INDEX(Surface_Engine!$D$12:$D$72,$A1212+1)))*INDEX(Surface_Engine!$B$12:$B$72,$A1212+1)+G1213</f>
        <v>11786.6733773227</v>
      </c>
      <c r="H1212" s="48" t="n">
        <f aca="false">D1212*(IF($A1212&lt;$Q$1203,INDEX(Surface_Engine!$D$12:$D$72,$A1212+1)+(Surface_Engine!Q246*12)*INDEX(Surface_Engine!$F$12:$F$72,$A1212+1)-(Surface_Engine!Q246*12),1000*12*INDEX(Surface_Engine!$C$12:$C$72,$A1212+1)/(1+Assumptions!$B$10)^20+INDEX(Surface_Engine!$D$12:$D$72,$A1212+1)))*INDEX(Surface_Engine!$B$12:$B$72,$A1212+1)+H1213</f>
        <v>5749.67364348609</v>
      </c>
      <c r="I1212" s="48" t="n">
        <f aca="false">E1212*(IF($A1212&lt;$Q$1203,INDEX(Surface_Engine!$D$12:$D$72,$A1212+1)+(Surface_Engine!Q246*12)*INDEX(Surface_Engine!$F$12:$F$72,$A1212+1)-(Surface_Engine!Q246*12),1000*12*INDEX(Surface_Engine!$C$12:$C$72,$A1212+1)/(1+Assumptions!$B$10)^20+INDEX(Surface_Engine!$D$12:$D$72,$A1212+1)))*INDEX(Surface_Engine!$B$12:$B$72,$A1212+1)+I1213</f>
        <v>8071.34770486279</v>
      </c>
      <c r="J1212" s="48" t="n">
        <f aca="false">B1212*(IF($A1212&lt;$Q$1203,INDEX(Surface_Engine!$D$12:$D$72,$A1212+1)*(1+Assumptions!$B$24)+(Surface_Engine!Q246*12)*INDEX(Surface_Engine!$F$12:$F$72,$A1212+1)-(Surface_Engine!Q246*12),1000*12*INDEX(Surface_Engine!$C$12:$C$72,$A1212+1)/(1+Assumptions!$B$10)^20+INDEX(Surface_Engine!$D$12:$D$72,$A1212+1)*(1+Assumptions!$B$24)))*INDEX(Surface_Engine!$B$12:$B$72,$A1212+1)+J1213</f>
        <v>6913.05274023583</v>
      </c>
      <c r="K1212" s="12" t="n">
        <f aca="false">SQRT((IF(C1212&lt;=0,0,MAX(0,(B1212/C1212)*G1212/INDEX(Surface_Engine!$B$12:$B$72,$A1212+1)-F1212/INDEX(Surface_Engine!$B$12:$B$72,$A1212+1))))^2+(MAX(IF(D1212&lt;=0,0,MAX(0,(B1212/D1212)*H1212/INDEX(Surface_Engine!$B$12:$B$72,$A1212+1)-F1212/INDEX(Surface_Engine!$B$12:$B$72,$A1212+1))),IF(E1212&lt;=0,0,MAX(0,(B1212/E1212)*I1212/INDEX(Surface_Engine!$B$12:$B$72,$A1212+1)-F1212/INDEX(Surface_Engine!$B$12:$B$72,$A1212+1))),IF($A1212&lt;$Q$1203,MAX(0,-Assumptions!$B$22*(F1212/INDEX(Surface_Engine!$B$12:$B$72,$A1212+1))),0)))^2+(MAX(0,J1212/INDEX(Surface_Engine!$B$12:$B$72,$A1212+1)-(F1212/INDEX(Surface_Engine!$B$12:$B$72,$A1212+1))))^2+2*Assumptions!$B$26*(IF(C1212&lt;=0,0,MAX(0,(B1212/C1212)*G1212/INDEX(Surface_Engine!$B$12:$B$72,$A1212+1)-F1212/INDEX(Surface_Engine!$B$12:$B$72,$A1212+1))))*(MAX(IF(D1212&lt;=0,0,MAX(0,(B1212/D1212)*H1212/INDEX(Surface_Engine!$B$12:$B$72,$A1212+1)-F1212/INDEX(Surface_Engine!$B$12:$B$72,$A1212+1))),IF(E1212&lt;=0,0,MAX(0,(B1212/E1212)*I1212/INDEX(Surface_Engine!$B$12:$B$72,$A1212+1)-F1212/INDEX(Surface_Engine!$B$12:$B$72,$A1212+1))),IF($A1212&lt;$Q$1203,MAX(0,-Assumptions!$B$22*(F1212/INDEX(Surface_Engine!$B$12:$B$72,$A1212+1))),0)))+2*Assumptions!$B$27*(IF(C1212&lt;=0,0,MAX(0,(B1212/C1212)*G1212/INDEX(Surface_Engine!$B$12:$B$72,$A1212+1)-F1212/INDEX(Surface_Engine!$B$12:$B$72,$A1212+1))))*(MAX(0,J1212/INDEX(Surface_Engine!$B$12:$B$72,$A1212+1)-(F1212/INDEX(Surface_Engine!$B$12:$B$72,$A1212+1))))+2*Assumptions!$B$28*(MAX(IF(D1212&lt;=0,0,MAX(0,(B1212/D1212)*H1212/INDEX(Surface_Engine!$B$12:$B$72,$A1212+1)-F1212/INDEX(Surface_Engine!$B$12:$B$72,$A1212+1))),IF(E1212&lt;=0,0,MAX(0,(B1212/E1212)*I1212/INDEX(Surface_Engine!$B$12:$B$72,$A1212+1)-F1212/INDEX(Surface_Engine!$B$12:$B$72,$A1212+1))),IF($A1212&lt;$Q$1203,MAX(0,-Assumptions!$B$22*(F1212/INDEX(Surface_Engine!$B$12:$B$72,$A1212+1))),0)))*(MAX(0,J1212/INDEX(Surface_Engine!$B$12:$B$72,$A1212+1)-(F1212/INDEX(Surface_Engine!$B$12:$B$72,$A1212+1)))))</f>
        <v>6056.92580540535</v>
      </c>
      <c r="L1212" s="48" t="n">
        <f aca="false">K1212*INDEX(Surface_Engine!$B$12:$B$72,$A1212+1)+L1213</f>
        <v>69180.4083505237</v>
      </c>
      <c r="M1212" s="48" t="n">
        <f aca="false">M1211+B1211*(IF($A1211&lt;$Q$1203,(Surface_Engine!Q246*12)-(Surface_Engine!Q246*12)*INDEX(Surface_Engine!$F$12:$F$72,$A1211+1)-INDEX(Surface_Engine!$D$12:$D$72,$A1211+1),-(1000*12*INDEX(Surface_Engine!$C$12:$C$72,$A1211+1)/(1+Assumptions!$B$10)^20+INDEX(Surface_Engine!$D$12:$D$72,$A1211+1))))*INDEX(Surface_Engine!$B$12:$B$72,$A1211+1)</f>
        <v>7431.25459994931</v>
      </c>
      <c r="N1212" s="12" t="n">
        <f aca="false">IF(B1212&lt;=0,0,MAX(0,(K1212+Assumptions!$B$29*L1212/INDEX(Surface_Engine!$B$12:$B$72,$A1212+1)-(M1212/INDEX(Surface_Engine!$B$12:$B$72,$A1212+1)-(F1212/INDEX(Surface_Engine!$B$12:$B$72,$A1212+1))))/B1212))</f>
        <v>12819.2743814927</v>
      </c>
    </row>
    <row r="1213" customFormat="false" ht="15" hidden="false" customHeight="true" outlineLevel="0" collapsed="false">
      <c r="A1213" s="1" t="n">
        <v>8</v>
      </c>
      <c r="B1213" s="32" t="n">
        <f aca="false">INDEX(Surface_Engine!$Q$12:$Q$72,$A1213+1)*IF($A1213&lt;$Q$1203,INDEX(Surface_Engine!$E$12:$E$72,$A1213+1),INDEX(Surface_Engine!$E$12:$E$72,$Q$1203+1))</f>
        <v>0.784077453516757</v>
      </c>
      <c r="C1213" s="32" t="n">
        <f aca="false">INDEX(Panel_Reserving!$F$8:$F$68,$A1213+1)*IF($A1213&lt;$Q$1203,INDEX(Surface_Engine!$E$12:$E$72,$A1213+1),INDEX(Surface_Engine!$E$12:$E$72,$Q$1203+1))</f>
        <v>0.8019901414669</v>
      </c>
      <c r="D1213" s="32" t="n">
        <f aca="false">INDEX(Surface_Engine!$Q$12:$Q$72,$A1213+1)*IF($A1213&lt;$Q$1203,INDEX(Surface_Engine!$Y$12:$Y$72,$A1213+1),INDEX(Surface_Engine!$Y$12:$Y$72,$Q$1203+1))</f>
        <v>0.733534498049274</v>
      </c>
      <c r="E1213" s="32" t="n">
        <f aca="false">INDEX(Surface_Engine!$Q$12:$Q$72,$A1213+1)*IF($A1213&lt;$Q$1203,INDEX(Surface_Engine!$Z$12:$Z$72,$A1213+1),INDEX(Surface_Engine!$Z$12:$Z$72,$Q$1203+1))</f>
        <v>0.837457608792288</v>
      </c>
      <c r="F1213" s="48" t="n">
        <f aca="false">B1213*(IF($A1213&lt;$Q$1203,INDEX(Surface_Engine!$D$12:$D$72,$A1213+1)+(Surface_Engine!Q246*12)*INDEX(Surface_Engine!$F$12:$F$72,$A1213+1)-(Surface_Engine!Q246*12),1000*12*INDEX(Surface_Engine!$C$12:$C$72,$A1213+1)/(1+Assumptions!$B$10)^20+INDEX(Surface_Engine!$D$12:$D$72,$A1213+1)))*INDEX(Surface_Engine!$B$12:$B$72,$A1213+1)+F1214</f>
        <v>7856.12786390945</v>
      </c>
      <c r="G1213" s="48" t="n">
        <f aca="false">C1213*(IF($A1213&lt;$Q$1203,INDEX(Surface_Engine!$D$12:$D$72,$A1213+1)+(Surface_Engine!Q246*12)*INDEX(Surface_Engine!$F$12:$F$72,$A1213+1)-(Surface_Engine!Q246*12),1000*12*INDEX(Surface_Engine!$C$12:$C$72,$A1213+1)/(1+Assumptions!$B$10)^20+INDEX(Surface_Engine!$D$12:$D$72,$A1213+1)))*INDEX(Surface_Engine!$B$12:$B$72,$A1213+1)+G1214</f>
        <v>12830.0987884259</v>
      </c>
      <c r="H1213" s="48" t="n">
        <f aca="false">D1213*(IF($A1213&lt;$Q$1203,INDEX(Surface_Engine!$D$12:$D$72,$A1213+1)+(Surface_Engine!Q246*12)*INDEX(Surface_Engine!$F$12:$F$72,$A1213+1)-(Surface_Engine!Q246*12),1000*12*INDEX(Surface_Engine!$C$12:$C$72,$A1213+1)/(1+Assumptions!$B$10)^20+INDEX(Surface_Engine!$D$12:$D$72,$A1213+1)))*INDEX(Surface_Engine!$B$12:$B$72,$A1213+1)+H1214</f>
        <v>6712.35871137061</v>
      </c>
      <c r="I1213" s="48" t="n">
        <f aca="false">E1213*(IF($A1213&lt;$Q$1203,INDEX(Surface_Engine!$D$12:$D$72,$A1213+1)+(Surface_Engine!Q246*12)*INDEX(Surface_Engine!$F$12:$F$72,$A1213+1)-(Surface_Engine!Q246*12),1000*12*INDEX(Surface_Engine!$C$12:$C$72,$A1213+1)/(1+Assumptions!$B$10)^20+INDEX(Surface_Engine!$D$12:$D$72,$A1213+1)))*INDEX(Surface_Engine!$B$12:$B$72,$A1213+1)+I1214</f>
        <v>9160.37338977503</v>
      </c>
      <c r="J1213" s="48" t="n">
        <f aca="false">B1213*(IF($A1213&lt;$Q$1203,INDEX(Surface_Engine!$D$12:$D$72,$A1213+1)*(1+Assumptions!$B$24)+(Surface_Engine!Q246*12)*INDEX(Surface_Engine!$F$12:$F$72,$A1213+1)-(Surface_Engine!Q246*12),1000*12*INDEX(Surface_Engine!$C$12:$C$72,$A1213+1)/(1+Assumptions!$B$10)^20+INDEX(Surface_Engine!$D$12:$D$72,$A1213+1)*(1+Assumptions!$B$24)))*INDEX(Surface_Engine!$B$12:$B$72,$A1213+1)+J1214</f>
        <v>7930.83575806703</v>
      </c>
      <c r="K1213" s="12" t="n">
        <f aca="false">SQRT((IF(C1213&lt;=0,0,MAX(0,(B1213/C1213)*G1213/INDEX(Surface_Engine!$B$12:$B$72,$A1213+1)-F1213/INDEX(Surface_Engine!$B$12:$B$72,$A1213+1))))^2+(MAX(IF(D1213&lt;=0,0,MAX(0,(B1213/D1213)*H1213/INDEX(Surface_Engine!$B$12:$B$72,$A1213+1)-F1213/INDEX(Surface_Engine!$B$12:$B$72,$A1213+1))),IF(E1213&lt;=0,0,MAX(0,(B1213/E1213)*I1213/INDEX(Surface_Engine!$B$12:$B$72,$A1213+1)-F1213/INDEX(Surface_Engine!$B$12:$B$72,$A1213+1))),IF($A1213&lt;$Q$1203,MAX(0,-Assumptions!$B$22*(F1213/INDEX(Surface_Engine!$B$12:$B$72,$A1213+1))),0)))^2+(MAX(0,J1213/INDEX(Surface_Engine!$B$12:$B$72,$A1213+1)-(F1213/INDEX(Surface_Engine!$B$12:$B$72,$A1213+1))))^2+2*Assumptions!$B$26*(IF(C1213&lt;=0,0,MAX(0,(B1213/C1213)*G1213/INDEX(Surface_Engine!$B$12:$B$72,$A1213+1)-F1213/INDEX(Surface_Engine!$B$12:$B$72,$A1213+1))))*(MAX(IF(D1213&lt;=0,0,MAX(0,(B1213/D1213)*H1213/INDEX(Surface_Engine!$B$12:$B$72,$A1213+1)-F1213/INDEX(Surface_Engine!$B$12:$B$72,$A1213+1))),IF(E1213&lt;=0,0,MAX(0,(B1213/E1213)*I1213/INDEX(Surface_Engine!$B$12:$B$72,$A1213+1)-F1213/INDEX(Surface_Engine!$B$12:$B$72,$A1213+1))),IF($A1213&lt;$Q$1203,MAX(0,-Assumptions!$B$22*(F1213/INDEX(Surface_Engine!$B$12:$B$72,$A1213+1))),0)))+2*Assumptions!$B$27*(IF(C1213&lt;=0,0,MAX(0,(B1213/C1213)*G1213/INDEX(Surface_Engine!$B$12:$B$72,$A1213+1)-F1213/INDEX(Surface_Engine!$B$12:$B$72,$A1213+1))))*(MAX(0,J1213/INDEX(Surface_Engine!$B$12:$B$72,$A1213+1)-(F1213/INDEX(Surface_Engine!$B$12:$B$72,$A1213+1))))+2*Assumptions!$B$28*(MAX(IF(D1213&lt;=0,0,MAX(0,(B1213/D1213)*H1213/INDEX(Surface_Engine!$B$12:$B$72,$A1213+1)-F1213/INDEX(Surface_Engine!$B$12:$B$72,$A1213+1))),IF(E1213&lt;=0,0,MAX(0,(B1213/E1213)*I1213/INDEX(Surface_Engine!$B$12:$B$72,$A1213+1)-F1213/INDEX(Surface_Engine!$B$12:$B$72,$A1213+1))),IF($A1213&lt;$Q$1203,MAX(0,-Assumptions!$B$22*(F1213/INDEX(Surface_Engine!$B$12:$B$72,$A1213+1))),0)))*(MAX(0,J1213/INDEX(Surface_Engine!$B$12:$B$72,$A1213+1)-(F1213/INDEX(Surface_Engine!$B$12:$B$72,$A1213+1)))))</f>
        <v>6161.5823316379</v>
      </c>
      <c r="L1213" s="48" t="n">
        <f aca="false">K1213*INDEX(Surface_Engine!$B$12:$B$72,$A1213+1)+L1214</f>
        <v>64171.0806889252</v>
      </c>
      <c r="M1213" s="48" t="n">
        <f aca="false">M1212+B1212*(IF($A1212&lt;$Q$1203,(Surface_Engine!Q246*12)-(Surface_Engine!Q246*12)*INDEX(Surface_Engine!$F$12:$F$72,$A1212+1)-INDEX(Surface_Engine!$D$12:$D$72,$A1212+1),-(1000*12*INDEX(Surface_Engine!$C$12:$C$72,$A1212+1)/(1+Assumptions!$B$10)^20+INDEX(Surface_Engine!$D$12:$D$72,$A1212+1))))*INDEX(Surface_Engine!$B$12:$B$72,$A1212+1)</f>
        <v>8455.54682996904</v>
      </c>
      <c r="N1213" s="12" t="n">
        <f aca="false">IF(B1213&lt;=0,0,MAX(0,(K1213+Assumptions!$B$29*L1213/INDEX(Surface_Engine!$B$12:$B$72,$A1213+1)-(M1213/INDEX(Surface_Engine!$B$12:$B$72,$A1213+1)-(F1213/INDEX(Surface_Engine!$B$12:$B$72,$A1213+1))))/B1213))</f>
        <v>13028.6727978114</v>
      </c>
    </row>
    <row r="1214" customFormat="false" ht="15" hidden="false" customHeight="true" outlineLevel="0" collapsed="false">
      <c r="A1214" s="1" t="n">
        <v>9</v>
      </c>
      <c r="B1214" s="32" t="n">
        <f aca="false">INDEX(Surface_Engine!$Q$12:$Q$72,$A1214+1)*IF($A1214&lt;$Q$1203,INDEX(Surface_Engine!$E$12:$E$72,$A1214+1),INDEX(Surface_Engine!$E$12:$E$72,$Q$1203+1))</f>
        <v>0.759508090581017</v>
      </c>
      <c r="C1214" s="32" t="n">
        <f aca="false">INDEX(Panel_Reserving!$F$8:$F$68,$A1214+1)*IF($A1214&lt;$Q$1203,INDEX(Surface_Engine!$E$12:$E$72,$A1214+1),INDEX(Surface_Engine!$E$12:$E$72,$Q$1203+1))</f>
        <v>0.780425988390759</v>
      </c>
      <c r="D1214" s="32" t="n">
        <f aca="false">INDEX(Surface_Engine!$Q$12:$Q$72,$A1214+1)*IF($A1214&lt;$Q$1203,INDEX(Surface_Engine!$Y$12:$Y$72,$A1214+1),INDEX(Surface_Engine!$Y$12:$Y$72,$Q$1203+1))</f>
        <v>0.707286229662576</v>
      </c>
      <c r="E1214" s="32" t="n">
        <f aca="false">INDEX(Surface_Engine!$Q$12:$Q$72,$A1214+1)*IF($A1214&lt;$Q$1203,INDEX(Surface_Engine!$Z$12:$Z$72,$A1214+1),INDEX(Surface_Engine!$Z$12:$Z$72,$Q$1203+1))</f>
        <v>0.814940486176861</v>
      </c>
      <c r="F1214" s="48" t="n">
        <f aca="false">B1214*(IF($A1214&lt;$Q$1203,INDEX(Surface_Engine!$D$12:$D$72,$A1214+1)+(Surface_Engine!Q246*12)*INDEX(Surface_Engine!$F$12:$F$72,$A1214+1)-(Surface_Engine!Q246*12),1000*12*INDEX(Surface_Engine!$C$12:$C$72,$A1214+1)/(1+Assumptions!$B$10)^20+INDEX(Surface_Engine!$D$12:$D$72,$A1214+1)))*INDEX(Surface_Engine!$B$12:$B$72,$A1214+1)+F1215</f>
        <v>8818.99748878564</v>
      </c>
      <c r="G1214" s="48" t="n">
        <f aca="false">C1214*(IF($A1214&lt;$Q$1203,INDEX(Surface_Engine!$D$12:$D$72,$A1214+1)+(Surface_Engine!Q246*12)*INDEX(Surface_Engine!$F$12:$F$72,$A1214+1)-(Surface_Engine!Q246*12),1000*12*INDEX(Surface_Engine!$C$12:$C$72,$A1214+1)/(1+Assumptions!$B$10)^20+INDEX(Surface_Engine!$D$12:$D$72,$A1214+1)))*INDEX(Surface_Engine!$B$12:$B$72,$A1214+1)+G1215</f>
        <v>13814.9657084031</v>
      </c>
      <c r="H1214" s="48" t="n">
        <f aca="false">D1214*(IF($A1214&lt;$Q$1203,INDEX(Surface_Engine!$D$12:$D$72,$A1214+1)+(Surface_Engine!Q246*12)*INDEX(Surface_Engine!$F$12:$F$72,$A1214+1)-(Surface_Engine!Q246*12),1000*12*INDEX(Surface_Engine!$C$12:$C$72,$A1214+1)/(1+Assumptions!$B$10)^20+INDEX(Surface_Engine!$D$12:$D$72,$A1214+1)))*INDEX(Surface_Engine!$B$12:$B$72,$A1214+1)+H1215</f>
        <v>7613.16013577397</v>
      </c>
      <c r="I1214" s="48" t="n">
        <f aca="false">E1214*(IF($A1214&lt;$Q$1203,INDEX(Surface_Engine!$D$12:$D$72,$A1214+1)+(Surface_Engine!Q246*12)*INDEX(Surface_Engine!$F$12:$F$72,$A1214+1)-(Surface_Engine!Q246*12),1000*12*INDEX(Surface_Engine!$C$12:$C$72,$A1214+1)/(1+Assumptions!$B$10)^20+INDEX(Surface_Engine!$D$12:$D$72,$A1214+1)))*INDEX(Surface_Engine!$B$12:$B$72,$A1214+1)+I1215</f>
        <v>10188.7953779483</v>
      </c>
      <c r="J1214" s="48" t="n">
        <f aca="false">B1214*(IF($A1214&lt;$Q$1203,INDEX(Surface_Engine!$D$12:$D$72,$A1214+1)*(1+Assumptions!$B$24)+(Surface_Engine!Q246*12)*INDEX(Surface_Engine!$F$12:$F$72,$A1214+1)-(Surface_Engine!Q246*12),1000*12*INDEX(Surface_Engine!$C$12:$C$72,$A1214+1)/(1+Assumptions!$B$10)^20+INDEX(Surface_Engine!$D$12:$D$72,$A1214+1)*(1+Assumptions!$B$24)))*INDEX(Surface_Engine!$B$12:$B$72,$A1214+1)+J1215</f>
        <v>8887.42354947439</v>
      </c>
      <c r="K1214" s="12" t="n">
        <f aca="false">SQRT((IF(C1214&lt;=0,0,MAX(0,(B1214/C1214)*G1214/INDEX(Surface_Engine!$B$12:$B$72,$A1214+1)-F1214/INDEX(Surface_Engine!$B$12:$B$72,$A1214+1))))^2+(MAX(IF(D1214&lt;=0,0,MAX(0,(B1214/D1214)*H1214/INDEX(Surface_Engine!$B$12:$B$72,$A1214+1)-F1214/INDEX(Surface_Engine!$B$12:$B$72,$A1214+1))),IF(E1214&lt;=0,0,MAX(0,(B1214/E1214)*I1214/INDEX(Surface_Engine!$B$12:$B$72,$A1214+1)-F1214/INDEX(Surface_Engine!$B$12:$B$72,$A1214+1))),IF($A1214&lt;$Q$1203,MAX(0,-Assumptions!$B$22*(F1214/INDEX(Surface_Engine!$B$12:$B$72,$A1214+1))),0)))^2+(MAX(0,J1214/INDEX(Surface_Engine!$B$12:$B$72,$A1214+1)-(F1214/INDEX(Surface_Engine!$B$12:$B$72,$A1214+1))))^2+2*Assumptions!$B$26*(IF(C1214&lt;=0,0,MAX(0,(B1214/C1214)*G1214/INDEX(Surface_Engine!$B$12:$B$72,$A1214+1)-F1214/INDEX(Surface_Engine!$B$12:$B$72,$A1214+1))))*(MAX(IF(D1214&lt;=0,0,MAX(0,(B1214/D1214)*H1214/INDEX(Surface_Engine!$B$12:$B$72,$A1214+1)-F1214/INDEX(Surface_Engine!$B$12:$B$72,$A1214+1))),IF(E1214&lt;=0,0,MAX(0,(B1214/E1214)*I1214/INDEX(Surface_Engine!$B$12:$B$72,$A1214+1)-F1214/INDEX(Surface_Engine!$B$12:$B$72,$A1214+1))),IF($A1214&lt;$Q$1203,MAX(0,-Assumptions!$B$22*(F1214/INDEX(Surface_Engine!$B$12:$B$72,$A1214+1))),0)))+2*Assumptions!$B$27*(IF(C1214&lt;=0,0,MAX(0,(B1214/C1214)*G1214/INDEX(Surface_Engine!$B$12:$B$72,$A1214+1)-F1214/INDEX(Surface_Engine!$B$12:$B$72,$A1214+1))))*(MAX(0,J1214/INDEX(Surface_Engine!$B$12:$B$72,$A1214+1)-(F1214/INDEX(Surface_Engine!$B$12:$B$72,$A1214+1))))+2*Assumptions!$B$28*(MAX(IF(D1214&lt;=0,0,MAX(0,(B1214/D1214)*H1214/INDEX(Surface_Engine!$B$12:$B$72,$A1214+1)-F1214/INDEX(Surface_Engine!$B$12:$B$72,$A1214+1))),IF(E1214&lt;=0,0,MAX(0,(B1214/E1214)*I1214/INDEX(Surface_Engine!$B$12:$B$72,$A1214+1)-F1214/INDEX(Surface_Engine!$B$12:$B$72,$A1214+1))),IF($A1214&lt;$Q$1203,MAX(0,-Assumptions!$B$22*(F1214/INDEX(Surface_Engine!$B$12:$B$72,$A1214+1))),0)))*(MAX(0,J1214/INDEX(Surface_Engine!$B$12:$B$72,$A1214+1)-(F1214/INDEX(Surface_Engine!$B$12:$B$72,$A1214+1)))))</f>
        <v>6258.22451347649</v>
      </c>
      <c r="L1214" s="48" t="n">
        <f aca="false">K1214*INDEX(Surface_Engine!$B$12:$B$72,$A1214+1)+L1215</f>
        <v>59230.0797798375</v>
      </c>
      <c r="M1214" s="48" t="n">
        <f aca="false">M1213+B1213*(IF($A1213&lt;$Q$1203,(Surface_Engine!Q246*12)-(Surface_Engine!Q246*12)*INDEX(Surface_Engine!$F$12:$F$72,$A1213+1)-INDEX(Surface_Engine!$D$12:$D$72,$A1213+1),-(1000*12*INDEX(Surface_Engine!$C$12:$C$72,$A1213+1)/(1+Assumptions!$B$10)^20+INDEX(Surface_Engine!$D$12:$D$72,$A1213+1))))*INDEX(Surface_Engine!$B$12:$B$72,$A1213+1)</f>
        <v>9418.41645484523</v>
      </c>
      <c r="N1214" s="12" t="n">
        <f aca="false">IF(B1214&lt;=0,0,MAX(0,(K1214+Assumptions!$B$29*L1214/INDEX(Surface_Engine!$B$12:$B$72,$A1214+1)-(M1214/INDEX(Surface_Engine!$B$12:$B$72,$A1214+1)-(F1214/INDEX(Surface_Engine!$B$12:$B$72,$A1214+1))))/B1214))</f>
        <v>13247.783103167</v>
      </c>
    </row>
    <row r="1215" customFormat="false" ht="15" hidden="false" customHeight="true" outlineLevel="0" collapsed="false">
      <c r="A1215" s="1" t="n">
        <v>10</v>
      </c>
      <c r="B1215" s="32" t="n">
        <f aca="false">INDEX(Surface_Engine!$Q$12:$Q$72,$A1215+1)*IF($A1215&lt;$Q$1203,INDEX(Surface_Engine!$E$12:$E$72,$A1215+1),INDEX(Surface_Engine!$E$12:$E$72,$Q$1203+1))</f>
        <v>0.733666200861903</v>
      </c>
      <c r="C1215" s="32" t="n">
        <f aca="false">INDEX(Panel_Reserving!$F$8:$F$68,$A1215+1)*IF($A1215&lt;$Q$1203,INDEX(Surface_Engine!$E$12:$E$72,$A1215+1),INDEX(Surface_Engine!$E$12:$E$72,$Q$1203+1))</f>
        <v>0.757762724357947</v>
      </c>
      <c r="D1215" s="32" t="n">
        <f aca="false">INDEX(Surface_Engine!$Q$12:$Q$72,$A1215+1)*IF($A1215&lt;$Q$1203,INDEX(Surface_Engine!$Y$12:$Y$72,$A1215+1),INDEX(Surface_Engine!$Y$12:$Y$72,$Q$1203+1))</f>
        <v>0.680083958254003</v>
      </c>
      <c r="E1215" s="32" t="n">
        <f aca="false">INDEX(Surface_Engine!$Q$12:$Q$72,$A1215+1)*IF($A1215&lt;$Q$1203,INDEX(Surface_Engine!$Z$12:$Z$72,$A1215+1),INDEX(Surface_Engine!$Z$12:$Z$72,$Q$1203+1))</f>
        <v>0.790827247335463</v>
      </c>
      <c r="F1215" s="48" t="n">
        <f aca="false">B1215*(IF($A1215&lt;$Q$1203,INDEX(Surface_Engine!$D$12:$D$72,$A1215+1)+(Surface_Engine!Q246*12)*INDEX(Surface_Engine!$F$12:$F$72,$A1215+1)-(Surface_Engine!Q246*12),1000*12*INDEX(Surface_Engine!$C$12:$C$72,$A1215+1)/(1+Assumptions!$B$10)^20+INDEX(Surface_Engine!$D$12:$D$72,$A1215+1)))*INDEX(Surface_Engine!$B$12:$B$72,$A1215+1)+F1216</f>
        <v>9720.9520814606</v>
      </c>
      <c r="G1215" s="48" t="n">
        <f aca="false">C1215*(IF($A1215&lt;$Q$1203,INDEX(Surface_Engine!$D$12:$D$72,$A1215+1)+(Surface_Engine!Q246*12)*INDEX(Surface_Engine!$F$12:$F$72,$A1215+1)-(Surface_Engine!Q246*12),1000*12*INDEX(Surface_Engine!$C$12:$C$72,$A1215+1)/(1+Assumptions!$B$10)^20+INDEX(Surface_Engine!$D$12:$D$72,$A1215+1)))*INDEX(Surface_Engine!$B$12:$B$72,$A1215+1)+G1216</f>
        <v>14741.7613715453</v>
      </c>
      <c r="H1215" s="48" t="n">
        <f aca="false">D1215*(IF($A1215&lt;$Q$1203,INDEX(Surface_Engine!$D$12:$D$72,$A1215+1)+(Surface_Engine!Q246*12)*INDEX(Surface_Engine!$F$12:$F$72,$A1215+1)-(Surface_Engine!Q246*12),1000*12*INDEX(Surface_Engine!$C$12:$C$72,$A1215+1)/(1+Assumptions!$B$10)^20+INDEX(Surface_Engine!$D$12:$D$72,$A1215+1)))*INDEX(Surface_Engine!$B$12:$B$72,$A1215+1)+H1216</f>
        <v>8453.0986052798</v>
      </c>
      <c r="I1215" s="48" t="n">
        <f aca="false">E1215*(IF($A1215&lt;$Q$1203,INDEX(Surface_Engine!$D$12:$D$72,$A1215+1)+(Surface_Engine!Q246*12)*INDEX(Surface_Engine!$F$12:$F$72,$A1215+1)-(Surface_Engine!Q246*12),1000*12*INDEX(Surface_Engine!$C$12:$C$72,$A1215+1)/(1+Assumptions!$B$10)^20+INDEX(Surface_Engine!$D$12:$D$72,$A1215+1)))*INDEX(Surface_Engine!$B$12:$B$72,$A1215+1)+I1216</f>
        <v>11156.5787674599</v>
      </c>
      <c r="J1215" s="48" t="n">
        <f aca="false">B1215*(IF($A1215&lt;$Q$1203,INDEX(Surface_Engine!$D$12:$D$72,$A1215+1)*(1+Assumptions!$B$24)+(Surface_Engine!Q246*12)*INDEX(Surface_Engine!$F$12:$F$72,$A1215+1)-(Surface_Engine!Q246*12),1000*12*INDEX(Surface_Engine!$C$12:$C$72,$A1215+1)/(1+Assumptions!$B$10)^20+INDEX(Surface_Engine!$D$12:$D$72,$A1215+1)*(1+Assumptions!$B$24)))*INDEX(Surface_Engine!$B$12:$B$72,$A1215+1)+J1216</f>
        <v>9783.33675881764</v>
      </c>
      <c r="K1215" s="12" t="n">
        <f aca="false">SQRT((IF(C1215&lt;=0,0,MAX(0,(B1215/C1215)*G1215/INDEX(Surface_Engine!$B$12:$B$72,$A1215+1)-F1215/INDEX(Surface_Engine!$B$12:$B$72,$A1215+1))))^2+(MAX(IF(D1215&lt;=0,0,MAX(0,(B1215/D1215)*H1215/INDEX(Surface_Engine!$B$12:$B$72,$A1215+1)-F1215/INDEX(Surface_Engine!$B$12:$B$72,$A1215+1))),IF(E1215&lt;=0,0,MAX(0,(B1215/E1215)*I1215/INDEX(Surface_Engine!$B$12:$B$72,$A1215+1)-F1215/INDEX(Surface_Engine!$B$12:$B$72,$A1215+1))),IF($A1215&lt;$Q$1203,MAX(0,-Assumptions!$B$22*(F1215/INDEX(Surface_Engine!$B$12:$B$72,$A1215+1))),0)))^2+(MAX(0,J1215/INDEX(Surface_Engine!$B$12:$B$72,$A1215+1)-(F1215/INDEX(Surface_Engine!$B$12:$B$72,$A1215+1))))^2+2*Assumptions!$B$26*(IF(C1215&lt;=0,0,MAX(0,(B1215/C1215)*G1215/INDEX(Surface_Engine!$B$12:$B$72,$A1215+1)-F1215/INDEX(Surface_Engine!$B$12:$B$72,$A1215+1))))*(MAX(IF(D1215&lt;=0,0,MAX(0,(B1215/D1215)*H1215/INDEX(Surface_Engine!$B$12:$B$72,$A1215+1)-F1215/INDEX(Surface_Engine!$B$12:$B$72,$A1215+1))),IF(E1215&lt;=0,0,MAX(0,(B1215/E1215)*I1215/INDEX(Surface_Engine!$B$12:$B$72,$A1215+1)-F1215/INDEX(Surface_Engine!$B$12:$B$72,$A1215+1))),IF($A1215&lt;$Q$1203,MAX(0,-Assumptions!$B$22*(F1215/INDEX(Surface_Engine!$B$12:$B$72,$A1215+1))),0)))+2*Assumptions!$B$27*(IF(C1215&lt;=0,0,MAX(0,(B1215/C1215)*G1215/INDEX(Surface_Engine!$B$12:$B$72,$A1215+1)-F1215/INDEX(Surface_Engine!$B$12:$B$72,$A1215+1))))*(MAX(0,J1215/INDEX(Surface_Engine!$B$12:$B$72,$A1215+1)-(F1215/INDEX(Surface_Engine!$B$12:$B$72,$A1215+1))))+2*Assumptions!$B$28*(MAX(IF(D1215&lt;=0,0,MAX(0,(B1215/D1215)*H1215/INDEX(Surface_Engine!$B$12:$B$72,$A1215+1)-F1215/INDEX(Surface_Engine!$B$12:$B$72,$A1215+1))),IF(E1215&lt;=0,0,MAX(0,(B1215/E1215)*I1215/INDEX(Surface_Engine!$B$12:$B$72,$A1215+1)-F1215/INDEX(Surface_Engine!$B$12:$B$72,$A1215+1))),IF($A1215&lt;$Q$1203,MAX(0,-Assumptions!$B$22*(F1215/INDEX(Surface_Engine!$B$12:$B$72,$A1215+1))),0)))*(MAX(0,J1215/INDEX(Surface_Engine!$B$12:$B$72,$A1215+1)-(F1215/INDEX(Surface_Engine!$B$12:$B$72,$A1215+1)))))</f>
        <v>6352.68558730155</v>
      </c>
      <c r="L1215" s="48" t="n">
        <f aca="false">K1215*INDEX(Surface_Engine!$B$12:$B$72,$A1215+1)+L1216</f>
        <v>54369.0700877921</v>
      </c>
      <c r="M1215" s="48" t="n">
        <f aca="false">M1214+B1214*(IF($A1214&lt;$Q$1203,(Surface_Engine!Q246*12)-(Surface_Engine!Q246*12)*INDEX(Surface_Engine!$F$12:$F$72,$A1214+1)-INDEX(Surface_Engine!$D$12:$D$72,$A1214+1),-(1000*12*INDEX(Surface_Engine!$C$12:$C$72,$A1214+1)/(1+Assumptions!$B$10)^20+INDEX(Surface_Engine!$D$12:$D$72,$A1214+1))))*INDEX(Surface_Engine!$B$12:$B$72,$A1214+1)</f>
        <v>10320.3710475202</v>
      </c>
      <c r="N1215" s="12" t="n">
        <f aca="false">IF(B1215&lt;=0,0,MAX(0,(K1215+Assumptions!$B$29*L1215/INDEX(Surface_Engine!$B$12:$B$72,$A1215+1)-(M1215/INDEX(Surface_Engine!$B$12:$B$72,$A1215+1)-(F1215/INDEX(Surface_Engine!$B$12:$B$72,$A1215+1))))/B1215))</f>
        <v>13494.3721622095</v>
      </c>
    </row>
    <row r="1216" customFormat="false" ht="15" hidden="false" customHeight="true" outlineLevel="0" collapsed="false">
      <c r="A1216" s="1" t="n">
        <v>11</v>
      </c>
      <c r="B1216" s="32" t="n">
        <f aca="false">INDEX(Surface_Engine!$Q$12:$Q$72,$A1216+1)*IF($A1216&lt;$Q$1203,INDEX(Surface_Engine!$E$12:$E$72,$A1216+1),INDEX(Surface_Engine!$E$12:$E$72,$Q$1203+1))</f>
        <v>0.705777557434794</v>
      </c>
      <c r="C1216" s="32" t="n">
        <f aca="false">INDEX(Panel_Reserving!$F$8:$F$68,$A1216+1)*IF($A1216&lt;$Q$1203,INDEX(Surface_Engine!$E$12:$E$72,$A1216+1),INDEX(Surface_Engine!$E$12:$E$72,$Q$1203+1))</f>
        <v>0.73333990205408</v>
      </c>
      <c r="D1216" s="32" t="n">
        <f aca="false">INDEX(Surface_Engine!$Q$12:$Q$72,$A1216+1)*IF($A1216&lt;$Q$1203,INDEX(Surface_Engine!$Y$12:$Y$72,$A1216+1),INDEX(Surface_Engine!$Y$12:$Y$72,$Q$1203+1))</f>
        <v>0.651228027886055</v>
      </c>
      <c r="E1216" s="32" t="n">
        <f aca="false">INDEX(Surface_Engine!$Q$12:$Q$72,$A1216+1)*IF($A1216&lt;$Q$1203,INDEX(Surface_Engine!$Z$12:$Z$72,$A1216+1),INDEX(Surface_Engine!$Z$12:$Z$72,$Q$1203+1))</f>
        <v>0.764259030380042</v>
      </c>
      <c r="F1216" s="48" t="n">
        <f aca="false">B1216*(IF($A1216&lt;$Q$1203,INDEX(Surface_Engine!$D$12:$D$72,$A1216+1)+(Surface_Engine!Q246*12)*INDEX(Surface_Engine!$F$12:$F$72,$A1216+1)-(Surface_Engine!Q246*12),1000*12*INDEX(Surface_Engine!$C$12:$C$72,$A1216+1)/(1+Assumptions!$B$10)^20+INDEX(Surface_Engine!$D$12:$D$72,$A1216+1)))*INDEX(Surface_Engine!$B$12:$B$72,$A1216+1)+F1217</f>
        <v>10561.436379629</v>
      </c>
      <c r="G1216" s="48" t="n">
        <f aca="false">C1216*(IF($A1216&lt;$Q$1203,INDEX(Surface_Engine!$D$12:$D$72,$A1216+1)+(Surface_Engine!Q246*12)*INDEX(Surface_Engine!$F$12:$F$72,$A1216+1)-(Surface_Engine!Q246*12),1000*12*INDEX(Surface_Engine!$C$12:$C$72,$A1216+1)/(1+Assumptions!$B$10)^20+INDEX(Surface_Engine!$D$12:$D$72,$A1216+1)))*INDEX(Surface_Engine!$B$12:$B$72,$A1216+1)+G1217</f>
        <v>15609.8505254575</v>
      </c>
      <c r="H1216" s="48" t="n">
        <f aca="false">D1216*(IF($A1216&lt;$Q$1203,INDEX(Surface_Engine!$D$12:$D$72,$A1216+1)+(Surface_Engine!Q246*12)*INDEX(Surface_Engine!$F$12:$F$72,$A1216+1)-(Surface_Engine!Q246*12),1000*12*INDEX(Surface_Engine!$C$12:$C$72,$A1216+1)/(1+Assumptions!$B$10)^20+INDEX(Surface_Engine!$D$12:$D$72,$A1216+1)))*INDEX(Surface_Engine!$B$12:$B$72,$A1216+1)+H1217</f>
        <v>9232.19935665309</v>
      </c>
      <c r="I1216" s="48" t="n">
        <f aca="false">E1216*(IF($A1216&lt;$Q$1203,INDEX(Surface_Engine!$D$12:$D$72,$A1216+1)+(Surface_Engine!Q246*12)*INDEX(Surface_Engine!$F$12:$F$72,$A1216+1)-(Surface_Engine!Q246*12),1000*12*INDEX(Surface_Engine!$C$12:$C$72,$A1216+1)/(1+Assumptions!$B$10)^20+INDEX(Surface_Engine!$D$12:$D$72,$A1216+1)))*INDEX(Surface_Engine!$B$12:$B$72,$A1216+1)+I1217</f>
        <v>12062.5464720759</v>
      </c>
      <c r="J1216" s="48" t="n">
        <f aca="false">B1216*(IF($A1216&lt;$Q$1203,INDEX(Surface_Engine!$D$12:$D$72,$A1216+1)*(1+Assumptions!$B$24)+(Surface_Engine!Q246*12)*INDEX(Surface_Engine!$F$12:$F$72,$A1216+1)-(Surface_Engine!Q246*12),1000*12*INDEX(Surface_Engine!$C$12:$C$72,$A1216+1)/(1+Assumptions!$B$10)^20+INDEX(Surface_Engine!$D$12:$D$72,$A1216+1)*(1+Assumptions!$B$24)))*INDEX(Surface_Engine!$B$12:$B$72,$A1216+1)+J1217</f>
        <v>10618.0409878218</v>
      </c>
      <c r="K1216" s="12" t="n">
        <f aca="false">SQRT((IF(C1216&lt;=0,0,MAX(0,(B1216/C1216)*G1216/INDEX(Surface_Engine!$B$12:$B$72,$A1216+1)-F1216/INDEX(Surface_Engine!$B$12:$B$72,$A1216+1))))^2+(MAX(IF(D1216&lt;=0,0,MAX(0,(B1216/D1216)*H1216/INDEX(Surface_Engine!$B$12:$B$72,$A1216+1)-F1216/INDEX(Surface_Engine!$B$12:$B$72,$A1216+1))),IF(E1216&lt;=0,0,MAX(0,(B1216/E1216)*I1216/INDEX(Surface_Engine!$B$12:$B$72,$A1216+1)-F1216/INDEX(Surface_Engine!$B$12:$B$72,$A1216+1))),IF($A1216&lt;$Q$1203,MAX(0,-Assumptions!$B$22*(F1216/INDEX(Surface_Engine!$B$12:$B$72,$A1216+1))),0)))^2+(MAX(0,J1216/INDEX(Surface_Engine!$B$12:$B$72,$A1216+1)-(F1216/INDEX(Surface_Engine!$B$12:$B$72,$A1216+1))))^2+2*Assumptions!$B$26*(IF(C1216&lt;=0,0,MAX(0,(B1216/C1216)*G1216/INDEX(Surface_Engine!$B$12:$B$72,$A1216+1)-F1216/INDEX(Surface_Engine!$B$12:$B$72,$A1216+1))))*(MAX(IF(D1216&lt;=0,0,MAX(0,(B1216/D1216)*H1216/INDEX(Surface_Engine!$B$12:$B$72,$A1216+1)-F1216/INDEX(Surface_Engine!$B$12:$B$72,$A1216+1))),IF(E1216&lt;=0,0,MAX(0,(B1216/E1216)*I1216/INDEX(Surface_Engine!$B$12:$B$72,$A1216+1)-F1216/INDEX(Surface_Engine!$B$12:$B$72,$A1216+1))),IF($A1216&lt;$Q$1203,MAX(0,-Assumptions!$B$22*(F1216/INDEX(Surface_Engine!$B$12:$B$72,$A1216+1))),0)))+2*Assumptions!$B$27*(IF(C1216&lt;=0,0,MAX(0,(B1216/C1216)*G1216/INDEX(Surface_Engine!$B$12:$B$72,$A1216+1)-F1216/INDEX(Surface_Engine!$B$12:$B$72,$A1216+1))))*(MAX(0,J1216/INDEX(Surface_Engine!$B$12:$B$72,$A1216+1)-(F1216/INDEX(Surface_Engine!$B$12:$B$72,$A1216+1))))+2*Assumptions!$B$28*(MAX(IF(D1216&lt;=0,0,MAX(0,(B1216/D1216)*H1216/INDEX(Surface_Engine!$B$12:$B$72,$A1216+1)-F1216/INDEX(Surface_Engine!$B$12:$B$72,$A1216+1))),IF(E1216&lt;=0,0,MAX(0,(B1216/E1216)*I1216/INDEX(Surface_Engine!$B$12:$B$72,$A1216+1)-F1216/INDEX(Surface_Engine!$B$12:$B$72,$A1216+1))),IF($A1216&lt;$Q$1203,MAX(0,-Assumptions!$B$22*(F1216/INDEX(Surface_Engine!$B$12:$B$72,$A1216+1))),0)))*(MAX(0,J1216/INDEX(Surface_Engine!$B$12:$B$72,$A1216+1)-(F1216/INDEX(Surface_Engine!$B$12:$B$72,$A1216+1)))))</f>
        <v>6406.6593153923</v>
      </c>
      <c r="L1216" s="48" t="n">
        <f aca="false">K1216*INDEX(Surface_Engine!$B$12:$B$72,$A1216+1)+L1217</f>
        <v>49601.0357082247</v>
      </c>
      <c r="M1216" s="48" t="n">
        <f aca="false">M1215+B1215*(IF($A1215&lt;$Q$1203,(Surface_Engine!Q246*12)-(Surface_Engine!Q246*12)*INDEX(Surface_Engine!$F$12:$F$72,$A1215+1)-INDEX(Surface_Engine!$D$12:$D$72,$A1215+1),-(1000*12*INDEX(Surface_Engine!$C$12:$C$72,$A1215+1)/(1+Assumptions!$B$10)^20+INDEX(Surface_Engine!$D$12:$D$72,$A1215+1))))*INDEX(Surface_Engine!$B$12:$B$72,$A1215+1)</f>
        <v>11160.8553456886</v>
      </c>
      <c r="N1216" s="12" t="n">
        <f aca="false">IF(B1216&lt;=0,0,MAX(0,(K1216+Assumptions!$B$29*L1216/INDEX(Surface_Engine!$B$12:$B$72,$A1216+1)-(M1216/INDEX(Surface_Engine!$B$12:$B$72,$A1216+1)-(F1216/INDEX(Surface_Engine!$B$12:$B$72,$A1216+1))))/B1216))</f>
        <v>13709.4461872822</v>
      </c>
    </row>
    <row r="1217" customFormat="false" ht="15" hidden="false" customHeight="true" outlineLevel="0" collapsed="false">
      <c r="A1217" s="1" t="n">
        <v>12</v>
      </c>
      <c r="B1217" s="32" t="n">
        <f aca="false">INDEX(Surface_Engine!$Q$12:$Q$72,$A1217+1)*IF($A1217&lt;$Q$1203,INDEX(Surface_Engine!$E$12:$E$72,$A1217+1),INDEX(Surface_Engine!$E$12:$E$72,$Q$1203+1))</f>
        <v>0.676453688498242</v>
      </c>
      <c r="C1217" s="32" t="n">
        <f aca="false">INDEX(Panel_Reserving!$F$8:$F$68,$A1217+1)*IF($A1217&lt;$Q$1203,INDEX(Surface_Engine!$E$12:$E$72,$A1217+1),INDEX(Surface_Engine!$E$12:$E$72,$Q$1203+1))</f>
        <v>0.707629993081366</v>
      </c>
      <c r="D1217" s="32" t="n">
        <f aca="false">INDEX(Surface_Engine!$Q$12:$Q$72,$A1217+1)*IF($A1217&lt;$Q$1203,INDEX(Surface_Engine!$Y$12:$Y$72,$A1217+1),INDEX(Surface_Engine!$Y$12:$Y$72,$Q$1203+1))</f>
        <v>0.621304542685258</v>
      </c>
      <c r="E1217" s="32" t="n">
        <f aca="false">INDEX(Surface_Engine!$Q$12:$Q$72,$A1217+1)*IF($A1217&lt;$Q$1203,INDEX(Surface_Engine!$Z$12:$Z$72,$A1217+1),INDEX(Surface_Engine!$Z$12:$Z$72,$Q$1203+1))</f>
        <v>0.73586886200945</v>
      </c>
      <c r="F1217" s="48" t="n">
        <f aca="false">B1217*(IF($A1217&lt;$Q$1203,INDEX(Surface_Engine!$D$12:$D$72,$A1217+1)+(Surface_Engine!Q246*12)*INDEX(Surface_Engine!$F$12:$F$72,$A1217+1)-(Surface_Engine!Q246*12),1000*12*INDEX(Surface_Engine!$C$12:$C$72,$A1217+1)/(1+Assumptions!$B$10)^20+INDEX(Surface_Engine!$D$12:$D$72,$A1217+1)))*INDEX(Surface_Engine!$B$12:$B$72,$A1217+1)+F1218</f>
        <v>11343.2394975304</v>
      </c>
      <c r="G1217" s="48" t="n">
        <f aca="false">C1217*(IF($A1217&lt;$Q$1203,INDEX(Surface_Engine!$D$12:$D$72,$A1217+1)+(Surface_Engine!Q246*12)*INDEX(Surface_Engine!$F$12:$F$72,$A1217+1)-(Surface_Engine!Q246*12),1000*12*INDEX(Surface_Engine!$C$12:$C$72,$A1217+1)/(1+Assumptions!$B$10)^20+INDEX(Surface_Engine!$D$12:$D$72,$A1217+1)))*INDEX(Surface_Engine!$B$12:$B$72,$A1217+1)+G1218</f>
        <v>16422.184972576</v>
      </c>
      <c r="H1217" s="48" t="n">
        <f aca="false">D1217*(IF($A1217&lt;$Q$1203,INDEX(Surface_Engine!$D$12:$D$72,$A1217+1)+(Surface_Engine!Q246*12)*INDEX(Surface_Engine!$F$12:$F$72,$A1217+1)-(Surface_Engine!Q246*12),1000*12*INDEX(Surface_Engine!$C$12:$C$72,$A1217+1)/(1+Assumptions!$B$10)^20+INDEX(Surface_Engine!$D$12:$D$72,$A1217+1)))*INDEX(Surface_Engine!$B$12:$B$72,$A1217+1)+H1218</f>
        <v>9953.57693136178</v>
      </c>
      <c r="I1217" s="48" t="n">
        <f aca="false">E1217*(IF($A1217&lt;$Q$1203,INDEX(Surface_Engine!$D$12:$D$72,$A1217+1)+(Surface_Engine!Q246*12)*INDEX(Surface_Engine!$F$12:$F$72,$A1217+1)-(Surface_Engine!Q246*12),1000*12*INDEX(Surface_Engine!$C$12:$C$72,$A1217+1)/(1+Assumptions!$B$10)^20+INDEX(Surface_Engine!$D$12:$D$72,$A1217+1)))*INDEX(Surface_Engine!$B$12:$B$72,$A1217+1)+I1218</f>
        <v>12909.1306210635</v>
      </c>
      <c r="J1217" s="48" t="n">
        <f aca="false">B1217*(IF($A1217&lt;$Q$1203,INDEX(Surface_Engine!$D$12:$D$72,$A1217+1)*(1+Assumptions!$B$24)+(Surface_Engine!Q246*12)*INDEX(Surface_Engine!$F$12:$F$72,$A1217+1)-(Surface_Engine!Q246*12),1000*12*INDEX(Surface_Engine!$C$12:$C$72,$A1217+1)/(1+Assumptions!$B$10)^20+INDEX(Surface_Engine!$D$12:$D$72,$A1217+1)*(1+Assumptions!$B$24)))*INDEX(Surface_Engine!$B$12:$B$72,$A1217+1)+J1218</f>
        <v>11394.3236871896</v>
      </c>
      <c r="K1217" s="12" t="n">
        <f aca="false">SQRT((IF(C1217&lt;=0,0,MAX(0,(B1217/C1217)*G1217/INDEX(Surface_Engine!$B$12:$B$72,$A1217+1)-F1217/INDEX(Surface_Engine!$B$12:$B$72,$A1217+1))))^2+(MAX(IF(D1217&lt;=0,0,MAX(0,(B1217/D1217)*H1217/INDEX(Surface_Engine!$B$12:$B$72,$A1217+1)-F1217/INDEX(Surface_Engine!$B$12:$B$72,$A1217+1))),IF(E1217&lt;=0,0,MAX(0,(B1217/E1217)*I1217/INDEX(Surface_Engine!$B$12:$B$72,$A1217+1)-F1217/INDEX(Surface_Engine!$B$12:$B$72,$A1217+1))),IF($A1217&lt;$Q$1203,MAX(0,-Assumptions!$B$22*(F1217/INDEX(Surface_Engine!$B$12:$B$72,$A1217+1))),0)))^2+(MAX(0,J1217/INDEX(Surface_Engine!$B$12:$B$72,$A1217+1)-(F1217/INDEX(Surface_Engine!$B$12:$B$72,$A1217+1))))^2+2*Assumptions!$B$26*(IF(C1217&lt;=0,0,MAX(0,(B1217/C1217)*G1217/INDEX(Surface_Engine!$B$12:$B$72,$A1217+1)-F1217/INDEX(Surface_Engine!$B$12:$B$72,$A1217+1))))*(MAX(IF(D1217&lt;=0,0,MAX(0,(B1217/D1217)*H1217/INDEX(Surface_Engine!$B$12:$B$72,$A1217+1)-F1217/INDEX(Surface_Engine!$B$12:$B$72,$A1217+1))),IF(E1217&lt;=0,0,MAX(0,(B1217/E1217)*I1217/INDEX(Surface_Engine!$B$12:$B$72,$A1217+1)-F1217/INDEX(Surface_Engine!$B$12:$B$72,$A1217+1))),IF($A1217&lt;$Q$1203,MAX(0,-Assumptions!$B$22*(F1217/INDEX(Surface_Engine!$B$12:$B$72,$A1217+1))),0)))+2*Assumptions!$B$27*(IF(C1217&lt;=0,0,MAX(0,(B1217/C1217)*G1217/INDEX(Surface_Engine!$B$12:$B$72,$A1217+1)-F1217/INDEX(Surface_Engine!$B$12:$B$72,$A1217+1))))*(MAX(0,J1217/INDEX(Surface_Engine!$B$12:$B$72,$A1217+1)-(F1217/INDEX(Surface_Engine!$B$12:$B$72,$A1217+1))))+2*Assumptions!$B$28*(MAX(IF(D1217&lt;=0,0,MAX(0,(B1217/D1217)*H1217/INDEX(Surface_Engine!$B$12:$B$72,$A1217+1)-F1217/INDEX(Surface_Engine!$B$12:$B$72,$A1217+1))),IF(E1217&lt;=0,0,MAX(0,(B1217/E1217)*I1217/INDEX(Surface_Engine!$B$12:$B$72,$A1217+1)-F1217/INDEX(Surface_Engine!$B$12:$B$72,$A1217+1))),IF($A1217&lt;$Q$1203,MAX(0,-Assumptions!$B$22*(F1217/INDEX(Surface_Engine!$B$12:$B$72,$A1217+1))),0)))*(MAX(0,J1217/INDEX(Surface_Engine!$B$12:$B$72,$A1217+1)-(F1217/INDEX(Surface_Engine!$B$12:$B$72,$A1217+1)))))</f>
        <v>6453.28047851258</v>
      </c>
      <c r="L1217" s="48" t="n">
        <f aca="false">K1217*INDEX(Surface_Engine!$B$12:$B$72,$A1217+1)+L1218</f>
        <v>44943.4654004417</v>
      </c>
      <c r="M1217" s="48" t="n">
        <f aca="false">M1216+B1216*(IF($A1216&lt;$Q$1203,(Surface_Engine!Q246*12)-(Surface_Engine!Q246*12)*INDEX(Surface_Engine!$F$12:$F$72,$A1216+1)-INDEX(Surface_Engine!$D$12:$D$72,$A1216+1),-(1000*12*INDEX(Surface_Engine!$C$12:$C$72,$A1216+1)/(1+Assumptions!$B$10)^20+INDEX(Surface_Engine!$D$12:$D$72,$A1216+1))))*INDEX(Surface_Engine!$B$12:$B$72,$A1216+1)</f>
        <v>11942.65846359</v>
      </c>
      <c r="N1217" s="12" t="n">
        <f aca="false">IF(B1217&lt;=0,0,MAX(0,(K1217+Assumptions!$B$29*L1217/INDEX(Surface_Engine!$B$12:$B$72,$A1217+1)-(M1217/INDEX(Surface_Engine!$B$12:$B$72,$A1217+1)-(F1217/INDEX(Surface_Engine!$B$12:$B$72,$A1217+1))))/B1217))</f>
        <v>13955.995713883</v>
      </c>
    </row>
    <row r="1218" customFormat="false" ht="15" hidden="false" customHeight="true" outlineLevel="0" collapsed="false">
      <c r="A1218" s="1" t="n">
        <v>13</v>
      </c>
      <c r="B1218" s="32" t="n">
        <f aca="false">INDEX(Surface_Engine!$Q$12:$Q$72,$A1218+1)*IF($A1218&lt;$Q$1203,INDEX(Surface_Engine!$E$12:$E$72,$A1218+1),INDEX(Surface_Engine!$E$12:$E$72,$Q$1203+1))</f>
        <v>0.64566000083194</v>
      </c>
      <c r="C1218" s="32" t="n">
        <f aca="false">INDEX(Panel_Reserving!$F$8:$F$68,$A1218+1)*IF($A1218&lt;$Q$1203,INDEX(Surface_Engine!$E$12:$E$72,$A1218+1),INDEX(Surface_Engine!$E$12:$E$72,$Q$1203+1))</f>
        <v>0.680571784166491</v>
      </c>
      <c r="D1218" s="32" t="n">
        <f aca="false">INDEX(Surface_Engine!$Q$12:$Q$72,$A1218+1)*IF($A1218&lt;$Q$1203,INDEX(Surface_Engine!$Y$12:$Y$72,$A1218+1),INDEX(Surface_Engine!$Y$12:$Y$72,$Q$1203+1))</f>
        <v>0.59029834094533</v>
      </c>
      <c r="E1218" s="32" t="n">
        <f aca="false">INDEX(Surface_Engine!$Q$12:$Q$72,$A1218+1)*IF($A1218&lt;$Q$1203,INDEX(Surface_Engine!$Z$12:$Z$72,$A1218+1),INDEX(Surface_Engine!$Z$12:$Z$72,$Q$1203+1))</f>
        <v>0.705595596836965</v>
      </c>
      <c r="F1218" s="48" t="n">
        <f aca="false">B1218*(IF($A1218&lt;$Q$1203,INDEX(Surface_Engine!$D$12:$D$72,$A1218+1)+(Surface_Engine!Q246*12)*INDEX(Surface_Engine!$F$12:$F$72,$A1218+1)-(Surface_Engine!Q246*12),1000*12*INDEX(Surface_Engine!$C$12:$C$72,$A1218+1)/(1+Assumptions!$B$10)^20+INDEX(Surface_Engine!$D$12:$D$72,$A1218+1)))*INDEX(Surface_Engine!$B$12:$B$72,$A1218+1)+F1219</f>
        <v>12065.56109699</v>
      </c>
      <c r="G1218" s="48" t="n">
        <f aca="false">C1218*(IF($A1218&lt;$Q$1203,INDEX(Surface_Engine!$D$12:$D$72,$A1218+1)+(Surface_Engine!Q246*12)*INDEX(Surface_Engine!$F$12:$F$72,$A1218+1)-(Surface_Engine!Q246*12),1000*12*INDEX(Surface_Engine!$C$12:$C$72,$A1218+1)/(1+Assumptions!$B$10)^20+INDEX(Surface_Engine!$D$12:$D$72,$A1218+1)))*INDEX(Surface_Engine!$B$12:$B$72,$A1218+1)+G1219</f>
        <v>17177.7968305922</v>
      </c>
      <c r="H1218" s="48" t="n">
        <f aca="false">D1218*(IF($A1218&lt;$Q$1203,INDEX(Surface_Engine!$D$12:$D$72,$A1218+1)+(Surface_Engine!Q246*12)*INDEX(Surface_Engine!$F$12:$F$72,$A1218+1)-(Surface_Engine!Q246*12),1000*12*INDEX(Surface_Engine!$C$12:$C$72,$A1218+1)/(1+Assumptions!$B$10)^20+INDEX(Surface_Engine!$D$12:$D$72,$A1218+1)))*INDEX(Surface_Engine!$B$12:$B$72,$A1218+1)+H1219</f>
        <v>10617.0099182085</v>
      </c>
      <c r="I1218" s="48" t="n">
        <f aca="false">E1218*(IF($A1218&lt;$Q$1203,INDEX(Surface_Engine!$D$12:$D$72,$A1218+1)+(Surface_Engine!Q246*12)*INDEX(Surface_Engine!$F$12:$F$72,$A1218+1)-(Surface_Engine!Q246*12),1000*12*INDEX(Surface_Engine!$C$12:$C$72,$A1218+1)/(1+Assumptions!$B$10)^20+INDEX(Surface_Engine!$D$12:$D$72,$A1218+1)))*INDEX(Surface_Engine!$B$12:$B$72,$A1218+1)+I1219</f>
        <v>13694.8961249506</v>
      </c>
      <c r="J1218" s="48" t="n">
        <f aca="false">B1218*(IF($A1218&lt;$Q$1203,INDEX(Surface_Engine!$D$12:$D$72,$A1218+1)*(1+Assumptions!$B$24)+(Surface_Engine!Q246*12)*INDEX(Surface_Engine!$F$12:$F$72,$A1218+1)-(Surface_Engine!Q246*12),1000*12*INDEX(Surface_Engine!$C$12:$C$72,$A1218+1)/(1+Assumptions!$B$10)^20+INDEX(Surface_Engine!$D$12:$D$72,$A1218+1)*(1+Assumptions!$B$24)))*INDEX(Surface_Engine!$B$12:$B$72,$A1218+1)+J1219</f>
        <v>12111.4081198639</v>
      </c>
      <c r="K1218" s="12" t="n">
        <f aca="false">SQRT((IF(C1218&lt;=0,0,MAX(0,(B1218/C1218)*G1218/INDEX(Surface_Engine!$B$12:$B$72,$A1218+1)-F1218/INDEX(Surface_Engine!$B$12:$B$72,$A1218+1))))^2+(MAX(IF(D1218&lt;=0,0,MAX(0,(B1218/D1218)*H1218/INDEX(Surface_Engine!$B$12:$B$72,$A1218+1)-F1218/INDEX(Surface_Engine!$B$12:$B$72,$A1218+1))),IF(E1218&lt;=0,0,MAX(0,(B1218/E1218)*I1218/INDEX(Surface_Engine!$B$12:$B$72,$A1218+1)-F1218/INDEX(Surface_Engine!$B$12:$B$72,$A1218+1))),IF($A1218&lt;$Q$1203,MAX(0,-Assumptions!$B$22*(F1218/INDEX(Surface_Engine!$B$12:$B$72,$A1218+1))),0)))^2+(MAX(0,J1218/INDEX(Surface_Engine!$B$12:$B$72,$A1218+1)-(F1218/INDEX(Surface_Engine!$B$12:$B$72,$A1218+1))))^2+2*Assumptions!$B$26*(IF(C1218&lt;=0,0,MAX(0,(B1218/C1218)*G1218/INDEX(Surface_Engine!$B$12:$B$72,$A1218+1)-F1218/INDEX(Surface_Engine!$B$12:$B$72,$A1218+1))))*(MAX(IF(D1218&lt;=0,0,MAX(0,(B1218/D1218)*H1218/INDEX(Surface_Engine!$B$12:$B$72,$A1218+1)-F1218/INDEX(Surface_Engine!$B$12:$B$72,$A1218+1))),IF(E1218&lt;=0,0,MAX(0,(B1218/E1218)*I1218/INDEX(Surface_Engine!$B$12:$B$72,$A1218+1)-F1218/INDEX(Surface_Engine!$B$12:$B$72,$A1218+1))),IF($A1218&lt;$Q$1203,MAX(0,-Assumptions!$B$22*(F1218/INDEX(Surface_Engine!$B$12:$B$72,$A1218+1))),0)))+2*Assumptions!$B$27*(IF(C1218&lt;=0,0,MAX(0,(B1218/C1218)*G1218/INDEX(Surface_Engine!$B$12:$B$72,$A1218+1)-F1218/INDEX(Surface_Engine!$B$12:$B$72,$A1218+1))))*(MAX(0,J1218/INDEX(Surface_Engine!$B$12:$B$72,$A1218+1)-(F1218/INDEX(Surface_Engine!$B$12:$B$72,$A1218+1))))+2*Assumptions!$B$28*(MAX(IF(D1218&lt;=0,0,MAX(0,(B1218/D1218)*H1218/INDEX(Surface_Engine!$B$12:$B$72,$A1218+1)-F1218/INDEX(Surface_Engine!$B$12:$B$72,$A1218+1))),IF(E1218&lt;=0,0,MAX(0,(B1218/E1218)*I1218/INDEX(Surface_Engine!$B$12:$B$72,$A1218+1)-F1218/INDEX(Surface_Engine!$B$12:$B$72,$A1218+1))),IF($A1218&lt;$Q$1203,MAX(0,-Assumptions!$B$22*(F1218/INDEX(Surface_Engine!$B$12:$B$72,$A1218+1))),0)))*(MAX(0,J1218/INDEX(Surface_Engine!$B$12:$B$72,$A1218+1)-(F1218/INDEX(Surface_Engine!$B$12:$B$72,$A1218+1)))))</f>
        <v>6465.91904701371</v>
      </c>
      <c r="L1218" s="48" t="n">
        <f aca="false">K1218*INDEX(Surface_Engine!$B$12:$B$72,$A1218+1)+L1219</f>
        <v>40413.0435858328</v>
      </c>
      <c r="M1218" s="48" t="n">
        <f aca="false">M1217+B1217*(IF($A1217&lt;$Q$1203,(Surface_Engine!Q246*12)-(Surface_Engine!Q246*12)*INDEX(Surface_Engine!$F$12:$F$72,$A1217+1)-INDEX(Surface_Engine!$D$12:$D$72,$A1217+1),-(1000*12*INDEX(Surface_Engine!$C$12:$C$72,$A1217+1)/(1+Assumptions!$B$10)^20+INDEX(Surface_Engine!$D$12:$D$72,$A1217+1))))*INDEX(Surface_Engine!$B$12:$B$72,$A1217+1)</f>
        <v>12664.9800630496</v>
      </c>
      <c r="N1218" s="12" t="n">
        <f aca="false">IF(B1218&lt;=0,0,MAX(0,(K1218+Assumptions!$B$29*L1218/INDEX(Surface_Engine!$B$12:$B$72,$A1218+1)-(M1218/INDEX(Surface_Engine!$B$12:$B$72,$A1218+1)-(F1218/INDEX(Surface_Engine!$B$12:$B$72,$A1218+1))))/B1218))</f>
        <v>14183.4919983975</v>
      </c>
    </row>
    <row r="1219" customFormat="false" ht="15" hidden="false" customHeight="true" outlineLevel="0" collapsed="false">
      <c r="A1219" s="1" t="n">
        <v>14</v>
      </c>
      <c r="B1219" s="32" t="n">
        <f aca="false">INDEX(Surface_Engine!$Q$12:$Q$72,$A1219+1)*IF($A1219&lt;$Q$1203,INDEX(Surface_Engine!$E$12:$E$72,$A1219+1),INDEX(Surface_Engine!$E$12:$E$72,$Q$1203+1))</f>
        <v>0.613392139024745</v>
      </c>
      <c r="C1219" s="32" t="n">
        <f aca="false">INDEX(Panel_Reserving!$F$8:$F$68,$A1219+1)*IF($A1219&lt;$Q$1203,INDEX(Surface_Engine!$E$12:$E$72,$A1219+1),INDEX(Surface_Engine!$E$12:$E$72,$Q$1203+1))</f>
        <v>0.652123037577401</v>
      </c>
      <c r="D1219" s="32" t="n">
        <f aca="false">INDEX(Surface_Engine!$Q$12:$Q$72,$A1219+1)*IF($A1219&lt;$Q$1203,INDEX(Surface_Engine!$Y$12:$Y$72,$A1219+1),INDEX(Surface_Engine!$Y$12:$Y$72,$Q$1203+1))</f>
        <v>0.558222203512055</v>
      </c>
      <c r="E1219" s="32" t="n">
        <f aca="false">INDEX(Surface_Engine!$Q$12:$Q$72,$A1219+1)*IF($A1219&lt;$Q$1203,INDEX(Surface_Engine!$Z$12:$Z$72,$A1219+1),INDEX(Surface_Engine!$Z$12:$Z$72,$Q$1203+1))</f>
        <v>0.673410382730487</v>
      </c>
      <c r="F1219" s="48" t="n">
        <f aca="false">B1219*(IF($A1219&lt;$Q$1203,INDEX(Surface_Engine!$D$12:$D$72,$A1219+1)+(Surface_Engine!Q246*12)*INDEX(Surface_Engine!$F$12:$F$72,$A1219+1)-(Surface_Engine!Q246*12),1000*12*INDEX(Surface_Engine!$C$12:$C$72,$A1219+1)/(1+Assumptions!$B$10)^20+INDEX(Surface_Engine!$D$12:$D$72,$A1219+1)))*INDEX(Surface_Engine!$B$12:$B$72,$A1219+1)+F1220</f>
        <v>12730.3104200388</v>
      </c>
      <c r="G1219" s="48" t="n">
        <f aca="false">C1219*(IF($A1219&lt;$Q$1203,INDEX(Surface_Engine!$D$12:$D$72,$A1219+1)+(Surface_Engine!Q246*12)*INDEX(Surface_Engine!$F$12:$F$72,$A1219+1)-(Surface_Engine!Q246*12),1000*12*INDEX(Surface_Engine!$C$12:$C$72,$A1219+1)/(1+Assumptions!$B$10)^20+INDEX(Surface_Engine!$D$12:$D$72,$A1219+1)))*INDEX(Surface_Engine!$B$12:$B$72,$A1219+1)+G1220</f>
        <v>17878.4901246291</v>
      </c>
      <c r="H1219" s="48" t="n">
        <f aca="false">D1219*(IF($A1219&lt;$Q$1203,INDEX(Surface_Engine!$D$12:$D$72,$A1219+1)+(Surface_Engine!Q246*12)*INDEX(Surface_Engine!$F$12:$F$72,$A1219+1)-(Surface_Engine!Q246*12),1000*12*INDEX(Surface_Engine!$C$12:$C$72,$A1219+1)/(1+Assumptions!$B$10)^20+INDEX(Surface_Engine!$D$12:$D$72,$A1219+1)))*INDEX(Surface_Engine!$B$12:$B$72,$A1219+1)+H1220</f>
        <v>11224.7607809453</v>
      </c>
      <c r="I1219" s="48" t="n">
        <f aca="false">E1219*(IF($A1219&lt;$Q$1203,INDEX(Surface_Engine!$D$12:$D$72,$A1219+1)+(Surface_Engine!Q246*12)*INDEX(Surface_Engine!$F$12:$F$72,$A1219+1)-(Surface_Engine!Q246*12),1000*12*INDEX(Surface_Engine!$C$12:$C$72,$A1219+1)/(1+Assumptions!$B$10)^20+INDEX(Surface_Engine!$D$12:$D$72,$A1219+1)))*INDEX(Surface_Engine!$B$12:$B$72,$A1219+1)+I1220</f>
        <v>14421.3530755736</v>
      </c>
      <c r="J1219" s="48" t="n">
        <f aca="false">B1219*(IF($A1219&lt;$Q$1203,INDEX(Surface_Engine!$D$12:$D$72,$A1219+1)*(1+Assumptions!$B$24)+(Surface_Engine!Q246*12)*INDEX(Surface_Engine!$F$12:$F$72,$A1219+1)-(Surface_Engine!Q246*12),1000*12*INDEX(Surface_Engine!$C$12:$C$72,$A1219+1)/(1+Assumptions!$B$10)^20+INDEX(Surface_Engine!$D$12:$D$72,$A1219+1)*(1+Assumptions!$B$24)))*INDEX(Surface_Engine!$B$12:$B$72,$A1219+1)+J1220</f>
        <v>12771.2082373116</v>
      </c>
      <c r="K1219" s="12" t="n">
        <f aca="false">SQRT((IF(C1219&lt;=0,0,MAX(0,(B1219/C1219)*G1219/INDEX(Surface_Engine!$B$12:$B$72,$A1219+1)-F1219/INDEX(Surface_Engine!$B$12:$B$72,$A1219+1))))^2+(MAX(IF(D1219&lt;=0,0,MAX(0,(B1219/D1219)*H1219/INDEX(Surface_Engine!$B$12:$B$72,$A1219+1)-F1219/INDEX(Surface_Engine!$B$12:$B$72,$A1219+1))),IF(E1219&lt;=0,0,MAX(0,(B1219/E1219)*I1219/INDEX(Surface_Engine!$B$12:$B$72,$A1219+1)-F1219/INDEX(Surface_Engine!$B$12:$B$72,$A1219+1))),IF($A1219&lt;$Q$1203,MAX(0,-Assumptions!$B$22*(F1219/INDEX(Surface_Engine!$B$12:$B$72,$A1219+1))),0)))^2+(MAX(0,J1219/INDEX(Surface_Engine!$B$12:$B$72,$A1219+1)-(F1219/INDEX(Surface_Engine!$B$12:$B$72,$A1219+1))))^2+2*Assumptions!$B$26*(IF(C1219&lt;=0,0,MAX(0,(B1219/C1219)*G1219/INDEX(Surface_Engine!$B$12:$B$72,$A1219+1)-F1219/INDEX(Surface_Engine!$B$12:$B$72,$A1219+1))))*(MAX(IF(D1219&lt;=0,0,MAX(0,(B1219/D1219)*H1219/INDEX(Surface_Engine!$B$12:$B$72,$A1219+1)-F1219/INDEX(Surface_Engine!$B$12:$B$72,$A1219+1))),IF(E1219&lt;=0,0,MAX(0,(B1219/E1219)*I1219/INDEX(Surface_Engine!$B$12:$B$72,$A1219+1)-F1219/INDEX(Surface_Engine!$B$12:$B$72,$A1219+1))),IF($A1219&lt;$Q$1203,MAX(0,-Assumptions!$B$22*(F1219/INDEX(Surface_Engine!$B$12:$B$72,$A1219+1))),0)))+2*Assumptions!$B$27*(IF(C1219&lt;=0,0,MAX(0,(B1219/C1219)*G1219/INDEX(Surface_Engine!$B$12:$B$72,$A1219+1)-F1219/INDEX(Surface_Engine!$B$12:$B$72,$A1219+1))))*(MAX(0,J1219/INDEX(Surface_Engine!$B$12:$B$72,$A1219+1)-(F1219/INDEX(Surface_Engine!$B$12:$B$72,$A1219+1))))+2*Assumptions!$B$28*(MAX(IF(D1219&lt;=0,0,MAX(0,(B1219/D1219)*H1219/INDEX(Surface_Engine!$B$12:$B$72,$A1219+1)-F1219/INDEX(Surface_Engine!$B$12:$B$72,$A1219+1))),IF(E1219&lt;=0,0,MAX(0,(B1219/E1219)*I1219/INDEX(Surface_Engine!$B$12:$B$72,$A1219+1)-F1219/INDEX(Surface_Engine!$B$12:$B$72,$A1219+1))),IF($A1219&lt;$Q$1203,MAX(0,-Assumptions!$B$22*(F1219/INDEX(Surface_Engine!$B$12:$B$72,$A1219+1))),0)))*(MAX(0,J1219/INDEX(Surface_Engine!$B$12:$B$72,$A1219+1)-(F1219/INDEX(Surface_Engine!$B$12:$B$72,$A1219+1)))))</f>
        <v>6435.32831275783</v>
      </c>
      <c r="L1219" s="48" t="n">
        <f aca="false">K1219*INDEX(Surface_Engine!$B$12:$B$72,$A1219+1)+L1220</f>
        <v>36028.3648937175</v>
      </c>
      <c r="M1219" s="48" t="n">
        <f aca="false">M1218+B1218*(IF($A1218&lt;$Q$1203,(Surface_Engine!Q246*12)-(Surface_Engine!Q246*12)*INDEX(Surface_Engine!$F$12:$F$72,$A1218+1)-INDEX(Surface_Engine!$D$12:$D$72,$A1218+1),-(1000*12*INDEX(Surface_Engine!$C$12:$C$72,$A1218+1)/(1+Assumptions!$B$10)^20+INDEX(Surface_Engine!$D$12:$D$72,$A1218+1))))*INDEX(Surface_Engine!$B$12:$B$72,$A1218+1)</f>
        <v>13329.7293860984</v>
      </c>
      <c r="N1219" s="12" t="n">
        <f aca="false">IF(B1219&lt;=0,0,MAX(0,(K1219+Assumptions!$B$29*L1219/INDEX(Surface_Engine!$B$12:$B$72,$A1219+1)-(M1219/INDEX(Surface_Engine!$B$12:$B$72,$A1219+1)-(F1219/INDEX(Surface_Engine!$B$12:$B$72,$A1219+1))))/B1219))</f>
        <v>14376.9978803908</v>
      </c>
    </row>
    <row r="1220" customFormat="false" ht="15" hidden="false" customHeight="true" outlineLevel="0" collapsed="false">
      <c r="A1220" s="1" t="n">
        <v>15</v>
      </c>
      <c r="B1220" s="32" t="n">
        <f aca="false">INDEX(Surface_Engine!$Q$12:$Q$72,$A1220+1)*IF($A1220&lt;$Q$1203,INDEX(Surface_Engine!$E$12:$E$72,$A1220+1),INDEX(Surface_Engine!$E$12:$E$72,$Q$1203+1))</f>
        <v>0.57968407582039</v>
      </c>
      <c r="C1220" s="32" t="n">
        <f aca="false">INDEX(Panel_Reserving!$F$8:$F$68,$A1220+1)*IF($A1220&lt;$Q$1203,INDEX(Surface_Engine!$E$12:$E$72,$A1220+1),INDEX(Surface_Engine!$E$12:$E$72,$Q$1203+1))</f>
        <v>0.622267003414616</v>
      </c>
      <c r="D1220" s="32" t="n">
        <f aca="false">INDEX(Surface_Engine!$Q$12:$Q$72,$A1220+1)*IF($A1220&lt;$Q$1203,INDEX(Surface_Engine!$Y$12:$Y$72,$A1220+1),INDEX(Surface_Engine!$Y$12:$Y$72,$Q$1203+1))</f>
        <v>0.525123545418465</v>
      </c>
      <c r="E1220" s="32" t="n">
        <f aca="false">INDEX(Surface_Engine!$Q$12:$Q$72,$A1220+1)*IF($A1220&lt;$Q$1203,INDEX(Surface_Engine!$Z$12:$Z$72,$A1220+1),INDEX(Surface_Engine!$Z$12:$Z$72,$Q$1203+1))</f>
        <v>0.639326336161291</v>
      </c>
      <c r="F1220" s="48" t="n">
        <f aca="false">B1220*(IF($A1220&lt;$Q$1203,INDEX(Surface_Engine!$D$12:$D$72,$A1220+1)+(Surface_Engine!Q246*12)*INDEX(Surface_Engine!$F$12:$F$72,$A1220+1)-(Surface_Engine!Q246*12),1000*12*INDEX(Surface_Engine!$C$12:$C$72,$A1220+1)/(1+Assumptions!$B$10)^20+INDEX(Surface_Engine!$D$12:$D$72,$A1220+1)))*INDEX(Surface_Engine!$B$12:$B$72,$A1220+1)+F1221</f>
        <v>13339.6181524235</v>
      </c>
      <c r="G1220" s="48" t="n">
        <f aca="false">C1220*(IF($A1220&lt;$Q$1203,INDEX(Surface_Engine!$D$12:$D$72,$A1220+1)+(Surface_Engine!Q246*12)*INDEX(Surface_Engine!$F$12:$F$72,$A1220+1)-(Surface_Engine!Q246*12),1000*12*INDEX(Surface_Engine!$C$12:$C$72,$A1220+1)/(1+Assumptions!$B$10)^20+INDEX(Surface_Engine!$D$12:$D$72,$A1220+1)))*INDEX(Surface_Engine!$B$12:$B$72,$A1220+1)+G1221</f>
        <v>18526.2708573491</v>
      </c>
      <c r="H1220" s="48" t="n">
        <f aca="false">D1220*(IF($A1220&lt;$Q$1203,INDEX(Surface_Engine!$D$12:$D$72,$A1220+1)+(Surface_Engine!Q246*12)*INDEX(Surface_Engine!$F$12:$F$72,$A1220+1)-(Surface_Engine!Q246*12),1000*12*INDEX(Surface_Engine!$C$12:$C$72,$A1220+1)/(1+Assumptions!$B$10)^20+INDEX(Surface_Engine!$D$12:$D$72,$A1220+1)))*INDEX(Surface_Engine!$B$12:$B$72,$A1220+1)+H1221</f>
        <v>11779.2659389826</v>
      </c>
      <c r="I1220" s="48" t="n">
        <f aca="false">E1220*(IF($A1220&lt;$Q$1203,INDEX(Surface_Engine!$D$12:$D$72,$A1220+1)+(Surface_Engine!Q246*12)*INDEX(Surface_Engine!$F$12:$F$72,$A1220+1)-(Surface_Engine!Q246*12),1000*12*INDEX(Surface_Engine!$C$12:$C$72,$A1220+1)/(1+Assumptions!$B$10)^20+INDEX(Surface_Engine!$D$12:$D$72,$A1220+1)))*INDEX(Surface_Engine!$B$12:$B$72,$A1220+1)+I1221</f>
        <v>15090.279406971</v>
      </c>
      <c r="J1220" s="48" t="n">
        <f aca="false">B1220*(IF($A1220&lt;$Q$1203,INDEX(Surface_Engine!$D$12:$D$72,$A1220+1)*(1+Assumptions!$B$24)+(Surface_Engine!Q246*12)*INDEX(Surface_Engine!$F$12:$F$72,$A1220+1)-(Surface_Engine!Q246*12),1000*12*INDEX(Surface_Engine!$C$12:$C$72,$A1220+1)/(1+Assumptions!$B$10)^20+INDEX(Surface_Engine!$D$12:$D$72,$A1220+1)*(1+Assumptions!$B$24)))*INDEX(Surface_Engine!$B$12:$B$72,$A1220+1)+J1221</f>
        <v>13375.8574573075</v>
      </c>
      <c r="K1220" s="12" t="n">
        <f aca="false">SQRT((IF(C1220&lt;=0,0,MAX(0,(B1220/C1220)*G1220/INDEX(Surface_Engine!$B$12:$B$72,$A1220+1)-F1220/INDEX(Surface_Engine!$B$12:$B$72,$A1220+1))))^2+(MAX(IF(D1220&lt;=0,0,MAX(0,(B1220/D1220)*H1220/INDEX(Surface_Engine!$B$12:$B$72,$A1220+1)-F1220/INDEX(Surface_Engine!$B$12:$B$72,$A1220+1))),IF(E1220&lt;=0,0,MAX(0,(B1220/E1220)*I1220/INDEX(Surface_Engine!$B$12:$B$72,$A1220+1)-F1220/INDEX(Surface_Engine!$B$12:$B$72,$A1220+1))),IF($A1220&lt;$Q$1203,MAX(0,-Assumptions!$B$22*(F1220/INDEX(Surface_Engine!$B$12:$B$72,$A1220+1))),0)))^2+(MAX(0,J1220/INDEX(Surface_Engine!$B$12:$B$72,$A1220+1)-(F1220/INDEX(Surface_Engine!$B$12:$B$72,$A1220+1))))^2+2*Assumptions!$B$26*(IF(C1220&lt;=0,0,MAX(0,(B1220/C1220)*G1220/INDEX(Surface_Engine!$B$12:$B$72,$A1220+1)-F1220/INDEX(Surface_Engine!$B$12:$B$72,$A1220+1))))*(MAX(IF(D1220&lt;=0,0,MAX(0,(B1220/D1220)*H1220/INDEX(Surface_Engine!$B$12:$B$72,$A1220+1)-F1220/INDEX(Surface_Engine!$B$12:$B$72,$A1220+1))),IF(E1220&lt;=0,0,MAX(0,(B1220/E1220)*I1220/INDEX(Surface_Engine!$B$12:$B$72,$A1220+1)-F1220/INDEX(Surface_Engine!$B$12:$B$72,$A1220+1))),IF($A1220&lt;$Q$1203,MAX(0,-Assumptions!$B$22*(F1220/INDEX(Surface_Engine!$B$12:$B$72,$A1220+1))),0)))+2*Assumptions!$B$27*(IF(C1220&lt;=0,0,MAX(0,(B1220/C1220)*G1220/INDEX(Surface_Engine!$B$12:$B$72,$A1220+1)-F1220/INDEX(Surface_Engine!$B$12:$B$72,$A1220+1))))*(MAX(0,J1220/INDEX(Surface_Engine!$B$12:$B$72,$A1220+1)-(F1220/INDEX(Surface_Engine!$B$12:$B$72,$A1220+1))))+2*Assumptions!$B$28*(MAX(IF(D1220&lt;=0,0,MAX(0,(B1220/D1220)*H1220/INDEX(Surface_Engine!$B$12:$B$72,$A1220+1)-F1220/INDEX(Surface_Engine!$B$12:$B$72,$A1220+1))),IF(E1220&lt;=0,0,MAX(0,(B1220/E1220)*I1220/INDEX(Surface_Engine!$B$12:$B$72,$A1220+1)-F1220/INDEX(Surface_Engine!$B$12:$B$72,$A1220+1))),IF($A1220&lt;$Q$1203,MAX(0,-Assumptions!$B$22*(F1220/INDEX(Surface_Engine!$B$12:$B$72,$A1220+1))),0)))*(MAX(0,J1220/INDEX(Surface_Engine!$B$12:$B$72,$A1220+1)-(F1220/INDEX(Surface_Engine!$B$12:$B$72,$A1220+1)))))</f>
        <v>6375.35692993274</v>
      </c>
      <c r="L1220" s="48" t="n">
        <f aca="false">K1220*INDEX(Surface_Engine!$B$12:$B$72,$A1220+1)+L1221</f>
        <v>31810.1200017072</v>
      </c>
      <c r="M1220" s="48" t="n">
        <f aca="false">M1219+B1219*(IF($A1219&lt;$Q$1203,(Surface_Engine!Q246*12)-(Surface_Engine!Q246*12)*INDEX(Surface_Engine!$F$12:$F$72,$A1219+1)-INDEX(Surface_Engine!$D$12:$D$72,$A1219+1),-(1000*12*INDEX(Surface_Engine!$C$12:$C$72,$A1219+1)/(1+Assumptions!$B$10)^20+INDEX(Surface_Engine!$D$12:$D$72,$A1219+1))))*INDEX(Surface_Engine!$B$12:$B$72,$A1219+1)</f>
        <v>13939.0371184831</v>
      </c>
      <c r="N1220" s="12" t="n">
        <f aca="false">IF(B1220&lt;=0,0,MAX(0,(K1220+Assumptions!$B$29*L1220/INDEX(Surface_Engine!$B$12:$B$72,$A1220+1)-(M1220/INDEX(Surface_Engine!$B$12:$B$72,$A1220+1)-(F1220/INDEX(Surface_Engine!$B$12:$B$72,$A1220+1))))/B1220))</f>
        <v>14571.807830494</v>
      </c>
    </row>
    <row r="1221" customFormat="false" ht="15" hidden="false" customHeight="true" outlineLevel="0" collapsed="false">
      <c r="A1221" s="1" t="n">
        <v>16</v>
      </c>
      <c r="B1221" s="32" t="n">
        <f aca="false">INDEX(Surface_Engine!$Q$12:$Q$72,$A1221+1)*IF($A1221&lt;$Q$1203,INDEX(Surface_Engine!$E$12:$E$72,$A1221+1),INDEX(Surface_Engine!$E$12:$E$72,$Q$1203+1))</f>
        <v>0.543634544842942</v>
      </c>
      <c r="C1221" s="32" t="n">
        <f aca="false">INDEX(Panel_Reserving!$F$8:$F$68,$A1221+1)*IF($A1221&lt;$Q$1203,INDEX(Surface_Engine!$E$12:$E$72,$A1221+1),INDEX(Surface_Engine!$E$12:$E$72,$Q$1203+1))</f>
        <v>0.590176326914975</v>
      </c>
      <c r="D1221" s="32" t="n">
        <f aca="false">INDEX(Surface_Engine!$Q$12:$Q$72,$A1221+1)*IF($A1221&lt;$Q$1203,INDEX(Surface_Engine!$Y$12:$Y$72,$A1221+1),INDEX(Surface_Engine!$Y$12:$Y$72,$Q$1203+1))</f>
        <v>0.490205734785787</v>
      </c>
      <c r="E1221" s="32" t="n">
        <f aca="false">INDEX(Surface_Engine!$Q$12:$Q$72,$A1221+1)*IF($A1221&lt;$Q$1203,INDEX(Surface_Engine!$Z$12:$Z$72,$A1221+1),INDEX(Surface_Engine!$Z$12:$Z$72,$Q$1203+1))</f>
        <v>0.602320844518818</v>
      </c>
      <c r="F1221" s="48" t="n">
        <f aca="false">B1221*(IF($A1221&lt;$Q$1203,INDEX(Surface_Engine!$D$12:$D$72,$A1221+1)+(Surface_Engine!Q246*12)*INDEX(Surface_Engine!$F$12:$F$72,$A1221+1)-(Surface_Engine!Q246*12),1000*12*INDEX(Surface_Engine!$C$12:$C$72,$A1221+1)/(1+Assumptions!$B$10)^20+INDEX(Surface_Engine!$D$12:$D$72,$A1221+1)))*INDEX(Surface_Engine!$B$12:$B$72,$A1221+1)+F1222</f>
        <v>13893.7021503333</v>
      </c>
      <c r="G1221" s="48" t="n">
        <f aca="false">C1221*(IF($A1221&lt;$Q$1203,INDEX(Surface_Engine!$D$12:$D$72,$A1221+1)+(Surface_Engine!Q246*12)*INDEX(Surface_Engine!$F$12:$F$72,$A1221+1)-(Surface_Engine!Q246*12),1000*12*INDEX(Surface_Engine!$C$12:$C$72,$A1221+1)/(1+Assumptions!$B$10)^20+INDEX(Surface_Engine!$D$12:$D$72,$A1221+1)))*INDEX(Surface_Engine!$B$12:$B$72,$A1221+1)+G1222</f>
        <v>19121.0572304805</v>
      </c>
      <c r="H1221" s="48" t="n">
        <f aca="false">D1221*(IF($A1221&lt;$Q$1203,INDEX(Surface_Engine!$D$12:$D$72,$A1221+1)+(Surface_Engine!Q246*12)*INDEX(Surface_Engine!$F$12:$F$72,$A1221+1)-(Surface_Engine!Q246*12),1000*12*INDEX(Surface_Engine!$C$12:$C$72,$A1221+1)/(1+Assumptions!$B$10)^20+INDEX(Surface_Engine!$D$12:$D$72,$A1221+1)))*INDEX(Surface_Engine!$B$12:$B$72,$A1221+1)+H1222</f>
        <v>12281.1989151994</v>
      </c>
      <c r="I1221" s="48" t="n">
        <f aca="false">E1221*(IF($A1221&lt;$Q$1203,INDEX(Surface_Engine!$D$12:$D$72,$A1221+1)+(Surface_Engine!Q246*12)*INDEX(Surface_Engine!$F$12:$F$72,$A1221+1)-(Surface_Engine!Q246*12),1000*12*INDEX(Surface_Engine!$C$12:$C$72,$A1221+1)/(1+Assumptions!$B$10)^20+INDEX(Surface_Engine!$D$12:$D$72,$A1221+1)))*INDEX(Surface_Engine!$B$12:$B$72,$A1221+1)+I1222</f>
        <v>15701.3717365436</v>
      </c>
      <c r="J1221" s="48" t="n">
        <f aca="false">B1221*(IF($A1221&lt;$Q$1203,INDEX(Surface_Engine!$D$12:$D$72,$A1221+1)*(1+Assumptions!$B$24)+(Surface_Engine!Q246*12)*INDEX(Surface_Engine!$F$12:$F$72,$A1221+1)-(Surface_Engine!Q246*12),1000*12*INDEX(Surface_Engine!$C$12:$C$72,$A1221+1)/(1+Assumptions!$B$10)^20+INDEX(Surface_Engine!$D$12:$D$72,$A1221+1)*(1+Assumptions!$B$24)))*INDEX(Surface_Engine!$B$12:$B$72,$A1221+1)+J1222</f>
        <v>13925.5909375031</v>
      </c>
      <c r="K1221" s="12" t="n">
        <f aca="false">SQRT((IF(C1221&lt;=0,0,MAX(0,(B1221/C1221)*G1221/INDEX(Surface_Engine!$B$12:$B$72,$A1221+1)-F1221/INDEX(Surface_Engine!$B$12:$B$72,$A1221+1))))^2+(MAX(IF(D1221&lt;=0,0,MAX(0,(B1221/D1221)*H1221/INDEX(Surface_Engine!$B$12:$B$72,$A1221+1)-F1221/INDEX(Surface_Engine!$B$12:$B$72,$A1221+1))),IF(E1221&lt;=0,0,MAX(0,(B1221/E1221)*I1221/INDEX(Surface_Engine!$B$12:$B$72,$A1221+1)-F1221/INDEX(Surface_Engine!$B$12:$B$72,$A1221+1))),IF($A1221&lt;$Q$1203,MAX(0,-Assumptions!$B$22*(F1221/INDEX(Surface_Engine!$B$12:$B$72,$A1221+1))),0)))^2+(MAX(0,J1221/INDEX(Surface_Engine!$B$12:$B$72,$A1221+1)-(F1221/INDEX(Surface_Engine!$B$12:$B$72,$A1221+1))))^2+2*Assumptions!$B$26*(IF(C1221&lt;=0,0,MAX(0,(B1221/C1221)*G1221/INDEX(Surface_Engine!$B$12:$B$72,$A1221+1)-F1221/INDEX(Surface_Engine!$B$12:$B$72,$A1221+1))))*(MAX(IF(D1221&lt;=0,0,MAX(0,(B1221/D1221)*H1221/INDEX(Surface_Engine!$B$12:$B$72,$A1221+1)-F1221/INDEX(Surface_Engine!$B$12:$B$72,$A1221+1))),IF(E1221&lt;=0,0,MAX(0,(B1221/E1221)*I1221/INDEX(Surface_Engine!$B$12:$B$72,$A1221+1)-F1221/INDEX(Surface_Engine!$B$12:$B$72,$A1221+1))),IF($A1221&lt;$Q$1203,MAX(0,-Assumptions!$B$22*(F1221/INDEX(Surface_Engine!$B$12:$B$72,$A1221+1))),0)))+2*Assumptions!$B$27*(IF(C1221&lt;=0,0,MAX(0,(B1221/C1221)*G1221/INDEX(Surface_Engine!$B$12:$B$72,$A1221+1)-F1221/INDEX(Surface_Engine!$B$12:$B$72,$A1221+1))))*(MAX(0,J1221/INDEX(Surface_Engine!$B$12:$B$72,$A1221+1)-(F1221/INDEX(Surface_Engine!$B$12:$B$72,$A1221+1))))+2*Assumptions!$B$28*(MAX(IF(D1221&lt;=0,0,MAX(0,(B1221/D1221)*H1221/INDEX(Surface_Engine!$B$12:$B$72,$A1221+1)-F1221/INDEX(Surface_Engine!$B$12:$B$72,$A1221+1))),IF(E1221&lt;=0,0,MAX(0,(B1221/E1221)*I1221/INDEX(Surface_Engine!$B$12:$B$72,$A1221+1)-F1221/INDEX(Surface_Engine!$B$12:$B$72,$A1221+1))),IF($A1221&lt;$Q$1203,MAX(0,-Assumptions!$B$22*(F1221/INDEX(Surface_Engine!$B$12:$B$72,$A1221+1))),0)))*(MAX(0,J1221/INDEX(Surface_Engine!$B$12:$B$72,$A1221+1)-(F1221/INDEX(Surface_Engine!$B$12:$B$72,$A1221+1)))))</f>
        <v>6243.26103163994</v>
      </c>
      <c r="L1221" s="48" t="n">
        <f aca="false">K1221*INDEX(Surface_Engine!$B$12:$B$72,$A1221+1)+L1222</f>
        <v>27781.2593921547</v>
      </c>
      <c r="M1221" s="48" t="n">
        <f aca="false">M1220+B1220*(IF($A1220&lt;$Q$1203,(Surface_Engine!Q246*12)-(Surface_Engine!Q246*12)*INDEX(Surface_Engine!$F$12:$F$72,$A1220+1)-INDEX(Surface_Engine!$D$12:$D$72,$A1220+1),-(1000*12*INDEX(Surface_Engine!$C$12:$C$72,$A1220+1)/(1+Assumptions!$B$10)^20+INDEX(Surface_Engine!$D$12:$D$72,$A1220+1))))*INDEX(Surface_Engine!$B$12:$B$72,$A1220+1)</f>
        <v>14493.1211163929</v>
      </c>
      <c r="N1221" s="12" t="n">
        <f aca="false">IF(B1221&lt;=0,0,MAX(0,(K1221+Assumptions!$B$29*L1221/INDEX(Surface_Engine!$B$12:$B$72,$A1221+1)-(M1221/INDEX(Surface_Engine!$B$12:$B$72,$A1221+1)-(F1221/INDEX(Surface_Engine!$B$12:$B$72,$A1221+1))))/B1221))</f>
        <v>14703.9565766856</v>
      </c>
    </row>
    <row r="1222" customFormat="false" ht="15" hidden="false" customHeight="true" outlineLevel="0" collapsed="false">
      <c r="A1222" s="1" t="n">
        <v>17</v>
      </c>
      <c r="B1222" s="32" t="n">
        <f aca="false">INDEX(Surface_Engine!$Q$12:$Q$72,$A1222+1)*IF($A1222&lt;$Q$1203,INDEX(Surface_Engine!$E$12:$E$72,$A1222+1),INDEX(Surface_Engine!$E$12:$E$72,$Q$1203+1))</f>
        <v>0.506051846490348</v>
      </c>
      <c r="C1222" s="32" t="n">
        <f aca="false">INDEX(Panel_Reserving!$F$8:$F$68,$A1222+1)*IF($A1222&lt;$Q$1203,INDEX(Surface_Engine!$E$12:$E$72,$A1222+1),INDEX(Surface_Engine!$E$12:$E$72,$Q$1203+1))</f>
        <v>0.556462015519533</v>
      </c>
      <c r="D1222" s="32" t="n">
        <f aca="false">INDEX(Surface_Engine!$Q$12:$Q$72,$A1222+1)*IF($A1222&lt;$Q$1203,INDEX(Surface_Engine!$Y$12:$Y$72,$A1222+1),INDEX(Surface_Engine!$Y$12:$Y$72,$Q$1203+1))</f>
        <v>0.454221383908975</v>
      </c>
      <c r="E1222" s="32" t="n">
        <f aca="false">INDEX(Surface_Engine!$Q$12:$Q$72,$A1222+1)*IF($A1222&lt;$Q$1203,INDEX(Surface_Engine!$Z$12:$Z$72,$A1222+1),INDEX(Surface_Engine!$Z$12:$Z$72,$Q$1203+1))</f>
        <v>0.563255555037362</v>
      </c>
      <c r="F1222" s="48" t="n">
        <f aca="false">B1222*(IF($A1222&lt;$Q$1203,INDEX(Surface_Engine!$D$12:$D$72,$A1222+1)+(Surface_Engine!Q246*12)*INDEX(Surface_Engine!$F$12:$F$72,$A1222+1)-(Surface_Engine!Q246*12),1000*12*INDEX(Surface_Engine!$C$12:$C$72,$A1222+1)/(1+Assumptions!$B$10)^20+INDEX(Surface_Engine!$D$12:$D$72,$A1222+1)))*INDEX(Surface_Engine!$B$12:$B$72,$A1222+1)+F1223</f>
        <v>14394.1900199959</v>
      </c>
      <c r="G1222" s="48" t="n">
        <f aca="false">C1222*(IF($A1222&lt;$Q$1203,INDEX(Surface_Engine!$D$12:$D$72,$A1222+1)+(Surface_Engine!Q246*12)*INDEX(Surface_Engine!$F$12:$F$72,$A1222+1)-(Surface_Engine!Q246*12),1000*12*INDEX(Surface_Engine!$C$12:$C$72,$A1222+1)/(1+Assumptions!$B$10)^20+INDEX(Surface_Engine!$D$12:$D$72,$A1222+1)))*INDEX(Surface_Engine!$B$12:$B$72,$A1222+1)+G1223</f>
        <v>19664.3929978357</v>
      </c>
      <c r="H1222" s="48" t="n">
        <f aca="false">D1222*(IF($A1222&lt;$Q$1203,INDEX(Surface_Engine!$D$12:$D$72,$A1222+1)+(Surface_Engine!Q246*12)*INDEX(Surface_Engine!$F$12:$F$72,$A1222+1)-(Surface_Engine!Q246*12),1000*12*INDEX(Surface_Engine!$C$12:$C$72,$A1222+1)/(1+Assumptions!$B$10)^20+INDEX(Surface_Engine!$D$12:$D$72,$A1222+1)))*INDEX(Surface_Engine!$B$12:$B$72,$A1222+1)+H1223</f>
        <v>12732.4984623432</v>
      </c>
      <c r="I1222" s="48" t="n">
        <f aca="false">E1222*(IF($A1222&lt;$Q$1203,INDEX(Surface_Engine!$D$12:$D$72,$A1222+1)+(Surface_Engine!Q246*12)*INDEX(Surface_Engine!$F$12:$F$72,$A1222+1)-(Surface_Engine!Q246*12),1000*12*INDEX(Surface_Engine!$C$12:$C$72,$A1222+1)/(1+Assumptions!$B$10)^20+INDEX(Surface_Engine!$D$12:$D$72,$A1222+1)))*INDEX(Surface_Engine!$B$12:$B$72,$A1222+1)+I1223</f>
        <v>16255.8881468533</v>
      </c>
      <c r="J1222" s="48" t="n">
        <f aca="false">B1222*(IF($A1222&lt;$Q$1203,INDEX(Surface_Engine!$D$12:$D$72,$A1222+1)*(1+Assumptions!$B$24)+(Surface_Engine!Q246*12)*INDEX(Surface_Engine!$F$12:$F$72,$A1222+1)-(Surface_Engine!Q246*12),1000*12*INDEX(Surface_Engine!$C$12:$C$72,$A1222+1)/(1+Assumptions!$B$10)^20+INDEX(Surface_Engine!$D$12:$D$72,$A1222+1)*(1+Assumptions!$B$24)))*INDEX(Surface_Engine!$B$12:$B$72,$A1222+1)+J1223</f>
        <v>14422.0429472516</v>
      </c>
      <c r="K1222" s="12" t="n">
        <f aca="false">SQRT((IF(C1222&lt;=0,0,MAX(0,(B1222/C1222)*G1222/INDEX(Surface_Engine!$B$12:$B$72,$A1222+1)-F1222/INDEX(Surface_Engine!$B$12:$B$72,$A1222+1))))^2+(MAX(IF(D1222&lt;=0,0,MAX(0,(B1222/D1222)*H1222/INDEX(Surface_Engine!$B$12:$B$72,$A1222+1)-F1222/INDEX(Surface_Engine!$B$12:$B$72,$A1222+1))),IF(E1222&lt;=0,0,MAX(0,(B1222/E1222)*I1222/INDEX(Surface_Engine!$B$12:$B$72,$A1222+1)-F1222/INDEX(Surface_Engine!$B$12:$B$72,$A1222+1))),IF($A1222&lt;$Q$1203,MAX(0,-Assumptions!$B$22*(F1222/INDEX(Surface_Engine!$B$12:$B$72,$A1222+1))),0)))^2+(MAX(0,J1222/INDEX(Surface_Engine!$B$12:$B$72,$A1222+1)-(F1222/INDEX(Surface_Engine!$B$12:$B$72,$A1222+1))))^2+2*Assumptions!$B$26*(IF(C1222&lt;=0,0,MAX(0,(B1222/C1222)*G1222/INDEX(Surface_Engine!$B$12:$B$72,$A1222+1)-F1222/INDEX(Surface_Engine!$B$12:$B$72,$A1222+1))))*(MAX(IF(D1222&lt;=0,0,MAX(0,(B1222/D1222)*H1222/INDEX(Surface_Engine!$B$12:$B$72,$A1222+1)-F1222/INDEX(Surface_Engine!$B$12:$B$72,$A1222+1))),IF(E1222&lt;=0,0,MAX(0,(B1222/E1222)*I1222/INDEX(Surface_Engine!$B$12:$B$72,$A1222+1)-F1222/INDEX(Surface_Engine!$B$12:$B$72,$A1222+1))),IF($A1222&lt;$Q$1203,MAX(0,-Assumptions!$B$22*(F1222/INDEX(Surface_Engine!$B$12:$B$72,$A1222+1))),0)))+2*Assumptions!$B$27*(IF(C1222&lt;=0,0,MAX(0,(B1222/C1222)*G1222/INDEX(Surface_Engine!$B$12:$B$72,$A1222+1)-F1222/INDEX(Surface_Engine!$B$12:$B$72,$A1222+1))))*(MAX(0,J1222/INDEX(Surface_Engine!$B$12:$B$72,$A1222+1)-(F1222/INDEX(Surface_Engine!$B$12:$B$72,$A1222+1))))+2*Assumptions!$B$28*(MAX(IF(D1222&lt;=0,0,MAX(0,(B1222/D1222)*H1222/INDEX(Surface_Engine!$B$12:$B$72,$A1222+1)-F1222/INDEX(Surface_Engine!$B$12:$B$72,$A1222+1))),IF(E1222&lt;=0,0,MAX(0,(B1222/E1222)*I1222/INDEX(Surface_Engine!$B$12:$B$72,$A1222+1)-F1222/INDEX(Surface_Engine!$B$12:$B$72,$A1222+1))),IF($A1222&lt;$Q$1203,MAX(0,-Assumptions!$B$22*(F1222/INDEX(Surface_Engine!$B$12:$B$72,$A1222+1))),0)))*(MAX(0,J1222/INDEX(Surface_Engine!$B$12:$B$72,$A1222+1)-(F1222/INDEX(Surface_Engine!$B$12:$B$72,$A1222+1)))))</f>
        <v>6029.24485017987</v>
      </c>
      <c r="L1222" s="48" t="n">
        <f aca="false">K1222*INDEX(Surface_Engine!$B$12:$B$72,$A1222+1)+L1223</f>
        <v>23973.7162572855</v>
      </c>
      <c r="M1222" s="48" t="n">
        <f aca="false">M1221+B1221*(IF($A1221&lt;$Q$1203,(Surface_Engine!Q246*12)-(Surface_Engine!Q246*12)*INDEX(Surface_Engine!$F$12:$F$72,$A1221+1)-INDEX(Surface_Engine!$D$12:$D$72,$A1221+1),-(1000*12*INDEX(Surface_Engine!$C$12:$C$72,$A1221+1)/(1+Assumptions!$B$10)^20+INDEX(Surface_Engine!$D$12:$D$72,$A1221+1))))*INDEX(Surface_Engine!$B$12:$B$72,$A1221+1)</f>
        <v>14993.6089860555</v>
      </c>
      <c r="N1222" s="12" t="n">
        <f aca="false">IF(B1222&lt;=0,0,MAX(0,(K1222+Assumptions!$B$29*L1222/INDEX(Surface_Engine!$B$12:$B$72,$A1222+1)-(M1222/INDEX(Surface_Engine!$B$12:$B$72,$A1222+1)-(F1222/INDEX(Surface_Engine!$B$12:$B$72,$A1222+1))))/B1222))</f>
        <v>14726.0245130291</v>
      </c>
    </row>
    <row r="1223" customFormat="false" ht="15" hidden="false" customHeight="true" outlineLevel="0" collapsed="false">
      <c r="A1223" s="1" t="n">
        <v>18</v>
      </c>
      <c r="B1223" s="32" t="n">
        <f aca="false">INDEX(Surface_Engine!$Q$12:$Q$72,$A1223+1)*IF($A1223&lt;$Q$1203,INDEX(Surface_Engine!$E$12:$E$72,$A1223+1),INDEX(Surface_Engine!$E$12:$E$72,$Q$1203+1))</f>
        <v>0.467098702932158</v>
      </c>
      <c r="C1223" s="32" t="n">
        <f aca="false">INDEX(Panel_Reserving!$F$8:$F$68,$A1223+1)*IF($A1223&lt;$Q$1203,INDEX(Surface_Engine!$E$12:$E$72,$A1223+1),INDEX(Surface_Engine!$E$12:$E$72,$Q$1203+1))</f>
        <v>0.521182497321117</v>
      </c>
      <c r="D1223" s="32" t="n">
        <f aca="false">INDEX(Surface_Engine!$Q$12:$Q$72,$A1223+1)*IF($A1223&lt;$Q$1203,INDEX(Surface_Engine!$Y$12:$Y$72,$A1223+1),INDEX(Surface_Engine!$Y$12:$Y$72,$Q$1203+1))</f>
        <v>0.417332727896057</v>
      </c>
      <c r="E1223" s="32" t="n">
        <f aca="false">INDEX(Surface_Engine!$Q$12:$Q$72,$A1223+1)*IF($A1223&lt;$Q$1203,INDEX(Surface_Engine!$Z$12:$Z$72,$A1223+1),INDEX(Surface_Engine!$Z$12:$Z$72,$Q$1203+1))</f>
        <v>0.522286443695553</v>
      </c>
      <c r="F1223" s="48" t="n">
        <f aca="false">B1223*(IF($A1223&lt;$Q$1203,INDEX(Surface_Engine!$D$12:$D$72,$A1223+1)+(Surface_Engine!Q246*12)*INDEX(Surface_Engine!$F$12:$F$72,$A1223+1)-(Surface_Engine!Q246*12),1000*12*INDEX(Surface_Engine!$C$12:$C$72,$A1223+1)/(1+Assumptions!$B$10)^20+INDEX(Surface_Engine!$D$12:$D$72,$A1223+1)))*INDEX(Surface_Engine!$B$12:$B$72,$A1223+1)+F1224</f>
        <v>14843.726965637</v>
      </c>
      <c r="G1223" s="48" t="n">
        <f aca="false">C1223*(IF($A1223&lt;$Q$1203,INDEX(Surface_Engine!$D$12:$D$72,$A1223+1)+(Surface_Engine!Q246*12)*INDEX(Surface_Engine!$F$12:$F$72,$A1223+1)-(Surface_Engine!Q246*12),1000*12*INDEX(Surface_Engine!$C$12:$C$72,$A1223+1)/(1+Assumptions!$B$10)^20+INDEX(Surface_Engine!$D$12:$D$72,$A1223+1)))*INDEX(Surface_Engine!$B$12:$B$72,$A1223+1)+G1224</f>
        <v>20158.7104013919</v>
      </c>
      <c r="H1223" s="48" t="n">
        <f aca="false">D1223*(IF($A1223&lt;$Q$1203,INDEX(Surface_Engine!$D$12:$D$72,$A1223+1)+(Surface_Engine!Q246*12)*INDEX(Surface_Engine!$F$12:$F$72,$A1223+1)-(Surface_Engine!Q246*12),1000*12*INDEX(Surface_Engine!$C$12:$C$72,$A1223+1)/(1+Assumptions!$B$10)^20+INDEX(Surface_Engine!$D$12:$D$72,$A1223+1)))*INDEX(Surface_Engine!$B$12:$B$72,$A1223+1)+H1224</f>
        <v>13135.9932721802</v>
      </c>
      <c r="I1223" s="48" t="n">
        <f aca="false">E1223*(IF($A1223&lt;$Q$1203,INDEX(Surface_Engine!$D$12:$D$72,$A1223+1)+(Surface_Engine!Q246*12)*INDEX(Surface_Engine!$F$12:$F$72,$A1223+1)-(Surface_Engine!Q246*12),1000*12*INDEX(Surface_Engine!$C$12:$C$72,$A1223+1)/(1+Assumptions!$B$10)^20+INDEX(Surface_Engine!$D$12:$D$72,$A1223+1)))*INDEX(Surface_Engine!$B$12:$B$72,$A1223+1)+I1224</f>
        <v>16756.2404004473</v>
      </c>
      <c r="J1223" s="48" t="n">
        <f aca="false">B1223*(IF($A1223&lt;$Q$1203,INDEX(Surface_Engine!$D$12:$D$72,$A1223+1)*(1+Assumptions!$B$24)+(Surface_Engine!Q246*12)*INDEX(Surface_Engine!$F$12:$F$72,$A1223+1)-(Surface_Engine!Q246*12),1000*12*INDEX(Surface_Engine!$C$12:$C$72,$A1223+1)/(1+Assumptions!$B$10)^20+INDEX(Surface_Engine!$D$12:$D$72,$A1223+1)*(1+Assumptions!$B$24)))*INDEX(Surface_Engine!$B$12:$B$72,$A1223+1)+J1224</f>
        <v>14867.8567629969</v>
      </c>
      <c r="K1223" s="12" t="n">
        <f aca="false">SQRT((IF(C1223&lt;=0,0,MAX(0,(B1223/C1223)*G1223/INDEX(Surface_Engine!$B$12:$B$72,$A1223+1)-F1223/INDEX(Surface_Engine!$B$12:$B$72,$A1223+1))))^2+(MAX(IF(D1223&lt;=0,0,MAX(0,(B1223/D1223)*H1223/INDEX(Surface_Engine!$B$12:$B$72,$A1223+1)-F1223/INDEX(Surface_Engine!$B$12:$B$72,$A1223+1))),IF(E1223&lt;=0,0,MAX(0,(B1223/E1223)*I1223/INDEX(Surface_Engine!$B$12:$B$72,$A1223+1)-F1223/INDEX(Surface_Engine!$B$12:$B$72,$A1223+1))),IF($A1223&lt;$Q$1203,MAX(0,-Assumptions!$B$22*(F1223/INDEX(Surface_Engine!$B$12:$B$72,$A1223+1))),0)))^2+(MAX(0,J1223/INDEX(Surface_Engine!$B$12:$B$72,$A1223+1)-(F1223/INDEX(Surface_Engine!$B$12:$B$72,$A1223+1))))^2+2*Assumptions!$B$26*(IF(C1223&lt;=0,0,MAX(0,(B1223/C1223)*G1223/INDEX(Surface_Engine!$B$12:$B$72,$A1223+1)-F1223/INDEX(Surface_Engine!$B$12:$B$72,$A1223+1))))*(MAX(IF(D1223&lt;=0,0,MAX(0,(B1223/D1223)*H1223/INDEX(Surface_Engine!$B$12:$B$72,$A1223+1)-F1223/INDEX(Surface_Engine!$B$12:$B$72,$A1223+1))),IF(E1223&lt;=0,0,MAX(0,(B1223/E1223)*I1223/INDEX(Surface_Engine!$B$12:$B$72,$A1223+1)-F1223/INDEX(Surface_Engine!$B$12:$B$72,$A1223+1))),IF($A1223&lt;$Q$1203,MAX(0,-Assumptions!$B$22*(F1223/INDEX(Surface_Engine!$B$12:$B$72,$A1223+1))),0)))+2*Assumptions!$B$27*(IF(C1223&lt;=0,0,MAX(0,(B1223/C1223)*G1223/INDEX(Surface_Engine!$B$12:$B$72,$A1223+1)-F1223/INDEX(Surface_Engine!$B$12:$B$72,$A1223+1))))*(MAX(0,J1223/INDEX(Surface_Engine!$B$12:$B$72,$A1223+1)-(F1223/INDEX(Surface_Engine!$B$12:$B$72,$A1223+1))))+2*Assumptions!$B$28*(MAX(IF(D1223&lt;=0,0,MAX(0,(B1223/D1223)*H1223/INDEX(Surface_Engine!$B$12:$B$72,$A1223+1)-F1223/INDEX(Surface_Engine!$B$12:$B$72,$A1223+1))),IF(E1223&lt;=0,0,MAX(0,(B1223/E1223)*I1223/INDEX(Surface_Engine!$B$12:$B$72,$A1223+1)-F1223/INDEX(Surface_Engine!$B$12:$B$72,$A1223+1))),IF($A1223&lt;$Q$1203,MAX(0,-Assumptions!$B$22*(F1223/INDEX(Surface_Engine!$B$12:$B$72,$A1223+1))),0)))*(MAX(0,J1223/INDEX(Surface_Engine!$B$12:$B$72,$A1223+1)-(F1223/INDEX(Surface_Engine!$B$12:$B$72,$A1223+1)))))</f>
        <v>5726.25406250975</v>
      </c>
      <c r="L1223" s="48" t="n">
        <f aca="false">K1223*INDEX(Surface_Engine!$B$12:$B$72,$A1223+1)+L1224</f>
        <v>20418.577698197</v>
      </c>
      <c r="M1223" s="48" t="n">
        <f aca="false">M1222+B1222*(IF($A1222&lt;$Q$1203,(Surface_Engine!Q246*12)-(Surface_Engine!Q246*12)*INDEX(Surface_Engine!$F$12:$F$72,$A1222+1)-INDEX(Surface_Engine!$D$12:$D$72,$A1222+1),-(1000*12*INDEX(Surface_Engine!$C$12:$C$72,$A1222+1)/(1+Assumptions!$B$10)^20+INDEX(Surface_Engine!$D$12:$D$72,$A1222+1))))*INDEX(Surface_Engine!$B$12:$B$72,$A1222+1)</f>
        <v>15443.1459316966</v>
      </c>
      <c r="N1223" s="12" t="n">
        <f aca="false">IF(B1223&lt;=0,0,MAX(0,(K1223+Assumptions!$B$29*L1223/INDEX(Surface_Engine!$B$12:$B$72,$A1223+1)-(M1223/INDEX(Surface_Engine!$B$12:$B$72,$A1223+1)-(F1223/INDEX(Surface_Engine!$B$12:$B$72,$A1223+1))))/B1223))</f>
        <v>14606.3262897853</v>
      </c>
    </row>
    <row r="1224" customFormat="false" ht="15" hidden="false" customHeight="true" outlineLevel="0" collapsed="false">
      <c r="A1224" s="1" t="n">
        <v>19</v>
      </c>
      <c r="B1224" s="32" t="n">
        <f aca="false">INDEX(Surface_Engine!$Q$12:$Q$72,$A1224+1)*IF($A1224&lt;$Q$1203,INDEX(Surface_Engine!$E$12:$E$72,$A1224+1),INDEX(Surface_Engine!$E$12:$E$72,$Q$1203+1))</f>
        <v>0.427021402712168</v>
      </c>
      <c r="C1224" s="32" t="n">
        <f aca="false">INDEX(Panel_Reserving!$F$8:$F$68,$A1224+1)*IF($A1224&lt;$Q$1203,INDEX(Surface_Engine!$E$12:$E$72,$A1224+1),INDEX(Surface_Engine!$E$12:$E$72,$Q$1203+1))</f>
        <v>0.484459771908676</v>
      </c>
      <c r="D1224" s="32" t="n">
        <f aca="false">INDEX(Surface_Engine!$Q$12:$Q$72,$A1224+1)*IF($A1224&lt;$Q$1203,INDEX(Surface_Engine!$Y$12:$Y$72,$A1224+1),INDEX(Surface_Engine!$Y$12:$Y$72,$Q$1203+1))</f>
        <v>0.379773490421091</v>
      </c>
      <c r="E1224" s="32" t="n">
        <f aca="false">INDEX(Surface_Engine!$Q$12:$Q$72,$A1224+1)*IF($A1224&lt;$Q$1203,INDEX(Surface_Engine!$Z$12:$Z$72,$A1224+1),INDEX(Surface_Engine!$Z$12:$Z$72,$Q$1203+1))</f>
        <v>0.479666466070329</v>
      </c>
      <c r="F1224" s="48" t="n">
        <f aca="false">B1224*(IF($A1224&lt;$Q$1203,INDEX(Surface_Engine!$D$12:$D$72,$A1224+1)+(Surface_Engine!Q246*12)*INDEX(Surface_Engine!$F$12:$F$72,$A1224+1)-(Surface_Engine!Q246*12),1000*12*INDEX(Surface_Engine!$C$12:$C$72,$A1224+1)/(1+Assumptions!$B$10)^20+INDEX(Surface_Engine!$D$12:$D$72,$A1224+1)))*INDEX(Surface_Engine!$B$12:$B$72,$A1224+1)+F1225</f>
        <v>15244.5035940773</v>
      </c>
      <c r="G1224" s="48" t="n">
        <f aca="false">C1224*(IF($A1224&lt;$Q$1203,INDEX(Surface_Engine!$D$12:$D$72,$A1224+1)+(Surface_Engine!Q246*12)*INDEX(Surface_Engine!$F$12:$F$72,$A1224+1)-(Surface_Engine!Q246*12),1000*12*INDEX(Surface_Engine!$C$12:$C$72,$A1224+1)/(1+Assumptions!$B$10)^20+INDEX(Surface_Engine!$D$12:$D$72,$A1224+1)))*INDEX(Surface_Engine!$B$12:$B$72,$A1224+1)+G1225</f>
        <v>20605.891613344</v>
      </c>
      <c r="H1224" s="48" t="n">
        <f aca="false">D1224*(IF($A1224&lt;$Q$1203,INDEX(Surface_Engine!$D$12:$D$72,$A1224+1)+(Surface_Engine!Q246*12)*INDEX(Surface_Engine!$F$12:$F$72,$A1224+1)-(Surface_Engine!Q246*12),1000*12*INDEX(Surface_Engine!$C$12:$C$72,$A1224+1)/(1+Assumptions!$B$10)^20+INDEX(Surface_Engine!$D$12:$D$72,$A1224+1)))*INDEX(Surface_Engine!$B$12:$B$72,$A1224+1)+H1225</f>
        <v>13494.0700610345</v>
      </c>
      <c r="I1224" s="48" t="n">
        <f aca="false">E1224*(IF($A1224&lt;$Q$1203,INDEX(Surface_Engine!$D$12:$D$72,$A1224+1)+(Surface_Engine!Q246*12)*INDEX(Surface_Engine!$F$12:$F$72,$A1224+1)-(Surface_Engine!Q246*12),1000*12*INDEX(Surface_Engine!$C$12:$C$72,$A1224+1)/(1+Assumptions!$B$10)^20+INDEX(Surface_Engine!$D$12:$D$72,$A1224+1)))*INDEX(Surface_Engine!$B$12:$B$72,$A1224+1)+I1225</f>
        <v>17204.3688124305</v>
      </c>
      <c r="J1224" s="48" t="n">
        <f aca="false">B1224*(IF($A1224&lt;$Q$1203,INDEX(Surface_Engine!$D$12:$D$72,$A1224+1)*(1+Assumptions!$B$24)+(Surface_Engine!Q246*12)*INDEX(Surface_Engine!$F$12:$F$72,$A1224+1)-(Surface_Engine!Q246*12),1000*12*INDEX(Surface_Engine!$C$12:$C$72,$A1224+1)/(1+Assumptions!$B$10)^20+INDEX(Surface_Engine!$D$12:$D$72,$A1224+1)*(1+Assumptions!$B$24)))*INDEX(Surface_Engine!$B$12:$B$72,$A1224+1)+J1225</f>
        <v>15265.2240601382</v>
      </c>
      <c r="K1224" s="12" t="n">
        <f aca="false">SQRT((IF(C1224&lt;=0,0,MAX(0,(B1224/C1224)*G1224/INDEX(Surface_Engine!$B$12:$B$72,$A1224+1)-F1224/INDEX(Surface_Engine!$B$12:$B$72,$A1224+1))))^2+(MAX(IF(D1224&lt;=0,0,MAX(0,(B1224/D1224)*H1224/INDEX(Surface_Engine!$B$12:$B$72,$A1224+1)-F1224/INDEX(Surface_Engine!$B$12:$B$72,$A1224+1))),IF(E1224&lt;=0,0,MAX(0,(B1224/E1224)*I1224/INDEX(Surface_Engine!$B$12:$B$72,$A1224+1)-F1224/INDEX(Surface_Engine!$B$12:$B$72,$A1224+1))),IF($A1224&lt;$Q$1203,MAX(0,-Assumptions!$B$22*(F1224/INDEX(Surface_Engine!$B$12:$B$72,$A1224+1))),0)))^2+(MAX(0,J1224/INDEX(Surface_Engine!$B$12:$B$72,$A1224+1)-(F1224/INDEX(Surface_Engine!$B$12:$B$72,$A1224+1))))^2+2*Assumptions!$B$26*(IF(C1224&lt;=0,0,MAX(0,(B1224/C1224)*G1224/INDEX(Surface_Engine!$B$12:$B$72,$A1224+1)-F1224/INDEX(Surface_Engine!$B$12:$B$72,$A1224+1))))*(MAX(IF(D1224&lt;=0,0,MAX(0,(B1224/D1224)*H1224/INDEX(Surface_Engine!$B$12:$B$72,$A1224+1)-F1224/INDEX(Surface_Engine!$B$12:$B$72,$A1224+1))),IF(E1224&lt;=0,0,MAX(0,(B1224/E1224)*I1224/INDEX(Surface_Engine!$B$12:$B$72,$A1224+1)-F1224/INDEX(Surface_Engine!$B$12:$B$72,$A1224+1))),IF($A1224&lt;$Q$1203,MAX(0,-Assumptions!$B$22*(F1224/INDEX(Surface_Engine!$B$12:$B$72,$A1224+1))),0)))+2*Assumptions!$B$27*(IF(C1224&lt;=0,0,MAX(0,(B1224/C1224)*G1224/INDEX(Surface_Engine!$B$12:$B$72,$A1224+1)-F1224/INDEX(Surface_Engine!$B$12:$B$72,$A1224+1))))*(MAX(0,J1224/INDEX(Surface_Engine!$B$12:$B$72,$A1224+1)-(F1224/INDEX(Surface_Engine!$B$12:$B$72,$A1224+1))))+2*Assumptions!$B$28*(MAX(IF(D1224&lt;=0,0,MAX(0,(B1224/D1224)*H1224/INDEX(Surface_Engine!$B$12:$B$72,$A1224+1)-F1224/INDEX(Surface_Engine!$B$12:$B$72,$A1224+1))),IF(E1224&lt;=0,0,MAX(0,(B1224/E1224)*I1224/INDEX(Surface_Engine!$B$12:$B$72,$A1224+1)-F1224/INDEX(Surface_Engine!$B$12:$B$72,$A1224+1))),IF($A1224&lt;$Q$1203,MAX(0,-Assumptions!$B$22*(F1224/INDEX(Surface_Engine!$B$12:$B$72,$A1224+1))),0)))*(MAX(0,J1224/INDEX(Surface_Engine!$B$12:$B$72,$A1224+1)-(F1224/INDEX(Surface_Engine!$B$12:$B$72,$A1224+1)))))</f>
        <v>5321.98237740329</v>
      </c>
      <c r="L1224" s="48" t="n">
        <f aca="false">K1224*INDEX(Surface_Engine!$B$12:$B$72,$A1224+1)+L1225</f>
        <v>17150.5349583901</v>
      </c>
      <c r="M1224" s="48" t="n">
        <f aca="false">M1223+B1223*(IF($A1223&lt;$Q$1203,(Surface_Engine!Q246*12)-(Surface_Engine!Q246*12)*INDEX(Surface_Engine!$F$12:$F$72,$A1223+1)-INDEX(Surface_Engine!$D$12:$D$72,$A1223+1),-(1000*12*INDEX(Surface_Engine!$C$12:$C$72,$A1223+1)/(1+Assumptions!$B$10)^20+INDEX(Surface_Engine!$D$12:$D$72,$A1223+1))))*INDEX(Surface_Engine!$B$12:$B$72,$A1223+1)</f>
        <v>15843.9225601369</v>
      </c>
      <c r="N1224" s="12" t="n">
        <f aca="false">IF(B1224&lt;=0,0,MAX(0,(K1224+Assumptions!$B$29*L1224/INDEX(Surface_Engine!$B$12:$B$72,$A1224+1)-(M1224/INDEX(Surface_Engine!$B$12:$B$72,$A1224+1)-(F1224/INDEX(Surface_Engine!$B$12:$B$72,$A1224+1))))/B1224))</f>
        <v>14282.6644150298</v>
      </c>
    </row>
    <row r="1225" customFormat="false" ht="15" hidden="false" customHeight="true" outlineLevel="0" collapsed="false">
      <c r="A1225" s="1" t="n">
        <v>20</v>
      </c>
      <c r="B1225" s="32" t="n">
        <f aca="false">INDEX(Surface_Engine!$Q$12:$Q$72,$A1225+1)*IF($A1225&lt;$Q$1203,INDEX(Surface_Engine!$E$12:$E$72,$A1225+1),INDEX(Surface_Engine!$E$12:$E$72,$Q$1203+1))</f>
        <v>0.386157955877044</v>
      </c>
      <c r="C1225" s="32" t="n">
        <f aca="false">INDEX(Panel_Reserving!$F$8:$F$68,$A1225+1)*IF($A1225&lt;$Q$1203,INDEX(Surface_Engine!$E$12:$E$72,$A1225+1),INDEX(Surface_Engine!$E$12:$E$72,$Q$1203+1))</f>
        <v>0.446490085279835</v>
      </c>
      <c r="D1225" s="32" t="n">
        <f aca="false">INDEX(Surface_Engine!$Q$12:$Q$72,$A1225+1)*IF($A1225&lt;$Q$1203,INDEX(Surface_Engine!$Y$12:$Y$72,$A1225+1),INDEX(Surface_Engine!$Y$12:$Y$72,$Q$1203+1))</f>
        <v>0.341854428824757</v>
      </c>
      <c r="E1225" s="32" t="n">
        <f aca="false">INDEX(Surface_Engine!$Q$12:$Q$72,$A1225+1)*IF($A1225&lt;$Q$1203,INDEX(Surface_Engine!$Z$12:$Z$72,$A1225+1),INDEX(Surface_Engine!$Z$12:$Z$72,$Q$1203+1))</f>
        <v>0.435756951678662</v>
      </c>
      <c r="F1225" s="48" t="n">
        <f aca="false">B1225*(IF($A1225&lt;$Q$1203,INDEX(Surface_Engine!$D$12:$D$72,$A1225+1)+(Surface_Engine!Q246*12)*INDEX(Surface_Engine!$F$12:$F$72,$A1225+1)-(Surface_Engine!Q246*12),1000*12*INDEX(Surface_Engine!$C$12:$C$72,$A1225+1)/(1+Assumptions!$B$10)^20+INDEX(Surface_Engine!$D$12:$D$72,$A1225+1)))*INDEX(Surface_Engine!$B$12:$B$72,$A1225+1)+F1226</f>
        <v>15598.7018657534</v>
      </c>
      <c r="G1225" s="48" t="n">
        <f aca="false">C1225*(IF($A1225&lt;$Q$1203,INDEX(Surface_Engine!$D$12:$D$72,$A1225+1)+(Surface_Engine!Q246*12)*INDEX(Surface_Engine!$F$12:$F$72,$A1225+1)-(Surface_Engine!Q246*12),1000*12*INDEX(Surface_Engine!$C$12:$C$72,$A1225+1)/(1+Assumptions!$B$10)^20+INDEX(Surface_Engine!$D$12:$D$72,$A1225+1)))*INDEX(Surface_Engine!$B$12:$B$72,$A1225+1)+G1226</f>
        <v>21007.7328625573</v>
      </c>
      <c r="H1225" s="48" t="n">
        <f aca="false">D1225*(IF($A1225&lt;$Q$1203,INDEX(Surface_Engine!$D$12:$D$72,$A1225+1)+(Surface_Engine!Q246*12)*INDEX(Surface_Engine!$F$12:$F$72,$A1225+1)-(Surface_Engine!Q246*12),1000*12*INDEX(Surface_Engine!$C$12:$C$72,$A1225+1)/(1+Assumptions!$B$10)^20+INDEX(Surface_Engine!$D$12:$D$72,$A1225+1)))*INDEX(Surface_Engine!$B$12:$B$72,$A1225+1)+H1226</f>
        <v>13809.0779577845</v>
      </c>
      <c r="I1225" s="48" t="n">
        <f aca="false">E1225*(IF($A1225&lt;$Q$1203,INDEX(Surface_Engine!$D$12:$D$72,$A1225+1)+(Surface_Engine!Q246*12)*INDEX(Surface_Engine!$F$12:$F$72,$A1225+1)-(Surface_Engine!Q246*12),1000*12*INDEX(Surface_Engine!$C$12:$C$72,$A1225+1)/(1+Assumptions!$B$10)^20+INDEX(Surface_Engine!$D$12:$D$72,$A1225+1)))*INDEX(Surface_Engine!$B$12:$B$72,$A1225+1)+I1226</f>
        <v>17602.234193847</v>
      </c>
      <c r="J1225" s="48" t="n">
        <f aca="false">B1225*(IF($A1225&lt;$Q$1203,INDEX(Surface_Engine!$D$12:$D$72,$A1225+1)*(1+Assumptions!$B$24)+(Surface_Engine!Q246*12)*INDEX(Surface_Engine!$F$12:$F$72,$A1225+1)-(Surface_Engine!Q246*12),1000*12*INDEX(Surface_Engine!$C$12:$C$72,$A1225+1)/(1+Assumptions!$B$10)^20+INDEX(Surface_Engine!$D$12:$D$72,$A1225+1)*(1+Assumptions!$B$24)))*INDEX(Surface_Engine!$B$12:$B$72,$A1225+1)+J1226</f>
        <v>15616.3273242126</v>
      </c>
      <c r="K1225" s="12" t="n">
        <f aca="false">SQRT((IF(C1225&lt;=0,0,MAX(0,(B1225/C1225)*G1225/INDEX(Surface_Engine!$B$12:$B$72,$A1225+1)-F1225/INDEX(Surface_Engine!$B$12:$B$72,$A1225+1))))^2+(MAX(IF(D1225&lt;=0,0,MAX(0,(B1225/D1225)*H1225/INDEX(Surface_Engine!$B$12:$B$72,$A1225+1)-F1225/INDEX(Surface_Engine!$B$12:$B$72,$A1225+1))),IF(E1225&lt;=0,0,MAX(0,(B1225/E1225)*I1225/INDEX(Surface_Engine!$B$12:$B$72,$A1225+1)-F1225/INDEX(Surface_Engine!$B$12:$B$72,$A1225+1))),IF($A1225&lt;$Q$1203,MAX(0,-Assumptions!$B$22*(F1225/INDEX(Surface_Engine!$B$12:$B$72,$A1225+1))),0)))^2+(MAX(0,J1225/INDEX(Surface_Engine!$B$12:$B$72,$A1225+1)-(F1225/INDEX(Surface_Engine!$B$12:$B$72,$A1225+1))))^2+2*Assumptions!$B$26*(IF(C1225&lt;=0,0,MAX(0,(B1225/C1225)*G1225/INDEX(Surface_Engine!$B$12:$B$72,$A1225+1)-F1225/INDEX(Surface_Engine!$B$12:$B$72,$A1225+1))))*(MAX(IF(D1225&lt;=0,0,MAX(0,(B1225/D1225)*H1225/INDEX(Surface_Engine!$B$12:$B$72,$A1225+1)-F1225/INDEX(Surface_Engine!$B$12:$B$72,$A1225+1))),IF(E1225&lt;=0,0,MAX(0,(B1225/E1225)*I1225/INDEX(Surface_Engine!$B$12:$B$72,$A1225+1)-F1225/INDEX(Surface_Engine!$B$12:$B$72,$A1225+1))),IF($A1225&lt;$Q$1203,MAX(0,-Assumptions!$B$22*(F1225/INDEX(Surface_Engine!$B$12:$B$72,$A1225+1))),0)))+2*Assumptions!$B$27*(IF(C1225&lt;=0,0,MAX(0,(B1225/C1225)*G1225/INDEX(Surface_Engine!$B$12:$B$72,$A1225+1)-F1225/INDEX(Surface_Engine!$B$12:$B$72,$A1225+1))))*(MAX(0,J1225/INDEX(Surface_Engine!$B$12:$B$72,$A1225+1)-(F1225/INDEX(Surface_Engine!$B$12:$B$72,$A1225+1))))+2*Assumptions!$B$28*(MAX(IF(D1225&lt;=0,0,MAX(0,(B1225/D1225)*H1225/INDEX(Surface_Engine!$B$12:$B$72,$A1225+1)-F1225/INDEX(Surface_Engine!$B$12:$B$72,$A1225+1))),IF(E1225&lt;=0,0,MAX(0,(B1225/E1225)*I1225/INDEX(Surface_Engine!$B$12:$B$72,$A1225+1)-F1225/INDEX(Surface_Engine!$B$12:$B$72,$A1225+1))),IF($A1225&lt;$Q$1203,MAX(0,-Assumptions!$B$22*(F1225/INDEX(Surface_Engine!$B$12:$B$72,$A1225+1))),0)))*(MAX(0,J1225/INDEX(Surface_Engine!$B$12:$B$72,$A1225+1)-(F1225/INDEX(Surface_Engine!$B$12:$B$72,$A1225+1)))))</f>
        <v>4805.41310409738</v>
      </c>
      <c r="L1225" s="48" t="n">
        <f aca="false">K1225*INDEX(Surface_Engine!$B$12:$B$72,$A1225+1)+L1226</f>
        <v>14208.0231487602</v>
      </c>
      <c r="M1225" s="48" t="n">
        <f aca="false">M1224+B1224*(IF($A1224&lt;$Q$1203,(Surface_Engine!Q246*12)-(Surface_Engine!Q246*12)*INDEX(Surface_Engine!$F$12:$F$72,$A1224+1)-INDEX(Surface_Engine!$D$12:$D$72,$A1224+1),-(1000*12*INDEX(Surface_Engine!$C$12:$C$72,$A1224+1)/(1+Assumptions!$B$10)^20+INDEX(Surface_Engine!$D$12:$D$72,$A1224+1))))*INDEX(Surface_Engine!$B$12:$B$72,$A1224+1)</f>
        <v>16198.120831813</v>
      </c>
      <c r="N1225" s="12" t="n">
        <f aca="false">IF(B1225&lt;=0,0,MAX(0,(K1225+Assumptions!$B$29*L1225/INDEX(Surface_Engine!$B$12:$B$72,$A1225+1)-(M1225/INDEX(Surface_Engine!$B$12:$B$72,$A1225+1)-(F1225/INDEX(Surface_Engine!$B$12:$B$72,$A1225+1))))/B1225))</f>
        <v>13667.2225632409</v>
      </c>
    </row>
    <row r="1226" customFormat="false" ht="15" hidden="false" customHeight="true" outlineLevel="0" collapsed="false">
      <c r="A1226" s="1" t="n">
        <v>21</v>
      </c>
      <c r="B1226" s="32" t="n">
        <f aca="false">INDEX(Surface_Engine!$Q$12:$Q$72,$A1226+1)*IF($A1226&lt;$Q$1203,INDEX(Surface_Engine!$E$12:$E$72,$A1226+1),INDEX(Surface_Engine!$E$12:$E$72,$Q$1203+1))</f>
        <v>0.346894713108185</v>
      </c>
      <c r="C1226" s="32" t="n">
        <f aca="false">INDEX(Panel_Reserving!$F$8:$F$68,$A1226+1)*IF($A1226&lt;$Q$1203,INDEX(Surface_Engine!$E$12:$E$72,$A1226+1),INDEX(Surface_Engine!$E$12:$E$72,$Q$1203+1))</f>
        <v>0.410171996590112</v>
      </c>
      <c r="D1226" s="32" t="n">
        <f aca="false">INDEX(Surface_Engine!$Q$12:$Q$72,$A1226+1)*IF($A1226&lt;$Q$1203,INDEX(Surface_Engine!$Y$12:$Y$72,$A1226+1),INDEX(Surface_Engine!$Y$12:$Y$72,$Q$1203+1))</f>
        <v>0.307095819747103</v>
      </c>
      <c r="E1226" s="32" t="n">
        <f aca="false">INDEX(Surface_Engine!$Q$12:$Q$72,$A1226+1)*IF($A1226&lt;$Q$1203,INDEX(Surface_Engine!$Z$12:$Z$72,$A1226+1),INDEX(Surface_Engine!$Z$12:$Z$72,$Q$1203+1))</f>
        <v>0.391450649758458</v>
      </c>
      <c r="F1226" s="48" t="n">
        <f aca="false">B1226*(IF($A1226&lt;$Q$1203,INDEX(Surface_Engine!$D$12:$D$72,$A1226+1)+(Surface_Engine!Q246*12)*INDEX(Surface_Engine!$F$12:$F$72,$A1226+1)-(Surface_Engine!Q246*12),1000*12*INDEX(Surface_Engine!$C$12:$C$72,$A1226+1)/(1+Assumptions!$B$10)^20+INDEX(Surface_Engine!$D$12:$D$72,$A1226+1)))*INDEX(Surface_Engine!$B$12:$B$72,$A1226+1)+F1227</f>
        <v>13087.9853682884</v>
      </c>
      <c r="G1226" s="48" t="n">
        <f aca="false">C1226*(IF($A1226&lt;$Q$1203,INDEX(Surface_Engine!$D$12:$D$72,$A1226+1)+(Surface_Engine!Q246*12)*INDEX(Surface_Engine!$F$12:$F$72,$A1226+1)-(Surface_Engine!Q246*12),1000*12*INDEX(Surface_Engine!$C$12:$C$72,$A1226+1)/(1+Assumptions!$B$10)^20+INDEX(Surface_Engine!$D$12:$D$72,$A1226+1)))*INDEX(Surface_Engine!$B$12:$B$72,$A1226+1)+G1227</f>
        <v>18104.7497542056</v>
      </c>
      <c r="H1226" s="48" t="n">
        <f aca="false">D1226*(IF($A1226&lt;$Q$1203,INDEX(Surface_Engine!$D$12:$D$72,$A1226+1)+(Surface_Engine!Q246*12)*INDEX(Surface_Engine!$F$12:$F$72,$A1226+1)-(Surface_Engine!Q246*12),1000*12*INDEX(Surface_Engine!$C$12:$C$72,$A1226+1)/(1+Assumptions!$B$10)^20+INDEX(Surface_Engine!$D$12:$D$72,$A1226+1)))*INDEX(Surface_Engine!$B$12:$B$72,$A1226+1)+H1227</f>
        <v>11586.4135244377</v>
      </c>
      <c r="I1226" s="48" t="n">
        <f aca="false">E1226*(IF($A1226&lt;$Q$1203,INDEX(Surface_Engine!$D$12:$D$72,$A1226+1)+(Surface_Engine!Q246*12)*INDEX(Surface_Engine!$F$12:$F$72,$A1226+1)-(Surface_Engine!Q246*12),1000*12*INDEX(Surface_Engine!$C$12:$C$72,$A1226+1)/(1+Assumptions!$B$10)^20+INDEX(Surface_Engine!$D$12:$D$72,$A1226+1)))*INDEX(Surface_Engine!$B$12:$B$72,$A1226+1)+I1227</f>
        <v>14769.0356262302</v>
      </c>
      <c r="J1226" s="48" t="n">
        <f aca="false">B1226*(IF($A1226&lt;$Q$1203,INDEX(Surface_Engine!$D$12:$D$72,$A1226+1)*(1+Assumptions!$B$24)+(Surface_Engine!Q246*12)*INDEX(Surface_Engine!$F$12:$F$72,$A1226+1)-(Surface_Engine!Q246*12),1000*12*INDEX(Surface_Engine!$C$12:$C$72,$A1226+1)/(1+Assumptions!$B$10)^20+INDEX(Surface_Engine!$D$12:$D$72,$A1226+1)*(1+Assumptions!$B$24)))*INDEX(Surface_Engine!$B$12:$B$72,$A1226+1)+J1227</f>
        <v>13102.8306543529</v>
      </c>
      <c r="K1226" s="12" t="n">
        <f aca="false">SQRT((IF(C1226&lt;=0,0,MAX(0,(B1226/C1226)*G1226/INDEX(Surface_Engine!$B$12:$B$72,$A1226+1)-F1226/INDEX(Surface_Engine!$B$12:$B$72,$A1226+1))))^2+(MAX(IF(D1226&lt;=0,0,MAX(0,(B1226/D1226)*H1226/INDEX(Surface_Engine!$B$12:$B$72,$A1226+1)-F1226/INDEX(Surface_Engine!$B$12:$B$72,$A1226+1))),IF(E1226&lt;=0,0,MAX(0,(B1226/E1226)*I1226/INDEX(Surface_Engine!$B$12:$B$72,$A1226+1)-F1226/INDEX(Surface_Engine!$B$12:$B$72,$A1226+1))),IF($A1226&lt;$Q$1203,MAX(0,-Assumptions!$B$22*(F1226/INDEX(Surface_Engine!$B$12:$B$72,$A1226+1))),0)))^2+(MAX(0,J1226/INDEX(Surface_Engine!$B$12:$B$72,$A1226+1)-(F1226/INDEX(Surface_Engine!$B$12:$B$72,$A1226+1))))^2+2*Assumptions!$B$26*(IF(C1226&lt;=0,0,MAX(0,(B1226/C1226)*G1226/INDEX(Surface_Engine!$B$12:$B$72,$A1226+1)-F1226/INDEX(Surface_Engine!$B$12:$B$72,$A1226+1))))*(MAX(IF(D1226&lt;=0,0,MAX(0,(B1226/D1226)*H1226/INDEX(Surface_Engine!$B$12:$B$72,$A1226+1)-F1226/INDEX(Surface_Engine!$B$12:$B$72,$A1226+1))),IF(E1226&lt;=0,0,MAX(0,(B1226/E1226)*I1226/INDEX(Surface_Engine!$B$12:$B$72,$A1226+1)-F1226/INDEX(Surface_Engine!$B$12:$B$72,$A1226+1))),IF($A1226&lt;$Q$1203,MAX(0,-Assumptions!$B$22*(F1226/INDEX(Surface_Engine!$B$12:$B$72,$A1226+1))),0)))+2*Assumptions!$B$27*(IF(C1226&lt;=0,0,MAX(0,(B1226/C1226)*G1226/INDEX(Surface_Engine!$B$12:$B$72,$A1226+1)-F1226/INDEX(Surface_Engine!$B$12:$B$72,$A1226+1))))*(MAX(0,J1226/INDEX(Surface_Engine!$B$12:$B$72,$A1226+1)-(F1226/INDEX(Surface_Engine!$B$12:$B$72,$A1226+1))))+2*Assumptions!$B$28*(MAX(IF(D1226&lt;=0,0,MAX(0,(B1226/D1226)*H1226/INDEX(Surface_Engine!$B$12:$B$72,$A1226+1)-F1226/INDEX(Surface_Engine!$B$12:$B$72,$A1226+1))),IF(E1226&lt;=0,0,MAX(0,(B1226/E1226)*I1226/INDEX(Surface_Engine!$B$12:$B$72,$A1226+1)-F1226/INDEX(Surface_Engine!$B$12:$B$72,$A1226+1))),IF($A1226&lt;$Q$1203,MAX(0,-Assumptions!$B$22*(F1226/INDEX(Surface_Engine!$B$12:$B$72,$A1226+1))),0)))*(MAX(0,J1226/INDEX(Surface_Engine!$B$12:$B$72,$A1226+1)-(F1226/INDEX(Surface_Engine!$B$12:$B$72,$A1226+1)))))</f>
        <v>4289.82705371982</v>
      </c>
      <c r="L1226" s="48" t="n">
        <f aca="false">K1226*INDEX(Surface_Engine!$B$12:$B$72,$A1226+1)+L1227</f>
        <v>11633.2065036894</v>
      </c>
      <c r="M1226" s="48" t="n">
        <f aca="false">M1225+B1225*(IF($A1225&lt;$Q$1203,(Surface_Engine!Q246*12)-(Surface_Engine!Q246*12)*INDEX(Surface_Engine!$F$12:$F$72,$A1225+1)-INDEX(Surface_Engine!$D$12:$D$72,$A1225+1),-(1000*12*INDEX(Surface_Engine!$C$12:$C$72,$A1225+1)/(1+Assumptions!$B$10)^20+INDEX(Surface_Engine!$D$12:$D$72,$A1225+1))))*INDEX(Surface_Engine!$B$12:$B$72,$A1225+1)</f>
        <v>13687.404334348</v>
      </c>
      <c r="N1226" s="12" t="n">
        <f aca="false">IF(B1226&lt;=0,0,MAX(0,(K1226+Assumptions!$B$29*L1226/INDEX(Surface_Engine!$B$12:$B$72,$A1226+1)-(M1226/INDEX(Surface_Engine!$B$12:$B$72,$A1226+1)-(F1226/INDEX(Surface_Engine!$B$12:$B$72,$A1226+1))))/B1226))</f>
        <v>12913.6142215251</v>
      </c>
    </row>
    <row r="1227" customFormat="false" ht="15" hidden="false" customHeight="true" outlineLevel="0" collapsed="false">
      <c r="A1227" s="1" t="n">
        <v>22</v>
      </c>
      <c r="B1227" s="32" t="n">
        <f aca="false">INDEX(Surface_Engine!$Q$12:$Q$72,$A1227+1)*IF($A1227&lt;$Q$1203,INDEX(Surface_Engine!$E$12:$E$72,$A1227+1),INDEX(Surface_Engine!$E$12:$E$72,$Q$1203+1))</f>
        <v>0.307263095715531</v>
      </c>
      <c r="C1227" s="32" t="n">
        <f aca="false">INDEX(Panel_Reserving!$F$8:$F$68,$A1227+1)*IF($A1227&lt;$Q$1203,INDEX(Surface_Engine!$E$12:$E$72,$A1227+1),INDEX(Surface_Engine!$E$12:$E$72,$Q$1203+1))</f>
        <v>0.372683320009514</v>
      </c>
      <c r="D1227" s="32" t="n">
        <f aca="false">INDEX(Surface_Engine!$Q$12:$Q$72,$A1227+1)*IF($A1227&lt;$Q$1203,INDEX(Surface_Engine!$Y$12:$Y$72,$A1227+1),INDEX(Surface_Engine!$Y$12:$Y$72,$Q$1203+1))</f>
        <v>0.272011099308297</v>
      </c>
      <c r="E1227" s="32" t="n">
        <f aca="false">INDEX(Surface_Engine!$Q$12:$Q$72,$A1227+1)*IF($A1227&lt;$Q$1203,INDEX(Surface_Engine!$Z$12:$Z$72,$A1227+1),INDEX(Surface_Engine!$Z$12:$Z$72,$Q$1203+1))</f>
        <v>0.346728658349801</v>
      </c>
      <c r="F1227" s="48" t="n">
        <f aca="false">B1227*(IF($A1227&lt;$Q$1203,INDEX(Surface_Engine!$D$12:$D$72,$A1227+1)+(Surface_Engine!Q246*12)*INDEX(Surface_Engine!$F$12:$F$72,$A1227+1)-(Surface_Engine!Q246*12),1000*12*INDEX(Surface_Engine!$C$12:$C$72,$A1227+1)/(1+Assumptions!$B$10)^20+INDEX(Surface_Engine!$D$12:$D$72,$A1227+1)))*INDEX(Surface_Engine!$B$12:$B$72,$A1227+1)+F1228</f>
        <v>10858.4390755097</v>
      </c>
      <c r="G1227" s="48" t="n">
        <f aca="false">C1227*(IF($A1227&lt;$Q$1203,INDEX(Surface_Engine!$D$12:$D$72,$A1227+1)+(Surface_Engine!Q246*12)*INDEX(Surface_Engine!$F$12:$F$72,$A1227+1)-(Surface_Engine!Q246*12),1000*12*INDEX(Surface_Engine!$C$12:$C$72,$A1227+1)/(1+Assumptions!$B$10)^20+INDEX(Surface_Engine!$D$12:$D$72,$A1227+1)))*INDEX(Surface_Engine!$B$12:$B$72,$A1227+1)+G1228</f>
        <v>15468.5105154891</v>
      </c>
      <c r="H1227" s="48" t="n">
        <f aca="false">D1227*(IF($A1227&lt;$Q$1203,INDEX(Surface_Engine!$D$12:$D$72,$A1227+1)+(Surface_Engine!Q246*12)*INDEX(Surface_Engine!$F$12:$F$72,$A1227+1)-(Surface_Engine!Q246*12),1000*12*INDEX(Surface_Engine!$C$12:$C$72,$A1227+1)/(1+Assumptions!$B$10)^20+INDEX(Surface_Engine!$D$12:$D$72,$A1227+1)))*INDEX(Surface_Engine!$B$12:$B$72,$A1227+1)+H1228</f>
        <v>9612.66091140364</v>
      </c>
      <c r="I1227" s="48" t="n">
        <f aca="false">E1227*(IF($A1227&lt;$Q$1203,INDEX(Surface_Engine!$D$12:$D$72,$A1227+1)+(Surface_Engine!Q246*12)*INDEX(Surface_Engine!$F$12:$F$72,$A1227+1)-(Surface_Engine!Q246*12),1000*12*INDEX(Surface_Engine!$C$12:$C$72,$A1227+1)/(1+Assumptions!$B$10)^20+INDEX(Surface_Engine!$D$12:$D$72,$A1227+1)))*INDEX(Surface_Engine!$B$12:$B$72,$A1227+1)+I1228</f>
        <v>12253.1213963624</v>
      </c>
      <c r="J1227" s="48" t="n">
        <f aca="false">B1227*(IF($A1227&lt;$Q$1203,INDEX(Surface_Engine!$D$12:$D$72,$A1227+1)*(1+Assumptions!$B$24)+(Surface_Engine!Q246*12)*INDEX(Surface_Engine!$F$12:$F$72,$A1227+1)-(Surface_Engine!Q246*12),1000*12*INDEX(Surface_Engine!$C$12:$C$72,$A1227+1)/(1+Assumptions!$B$10)^20+INDEX(Surface_Engine!$D$12:$D$72,$A1227+1)*(1+Assumptions!$B$24)))*INDEX(Surface_Engine!$B$12:$B$72,$A1227+1)+J1228</f>
        <v>10870.8035677893</v>
      </c>
      <c r="K1227" s="12" t="n">
        <f aca="false">SQRT((IF(C1227&lt;=0,0,MAX(0,(B1227/C1227)*G1227/INDEX(Surface_Engine!$B$12:$B$72,$A1227+1)-F1227/INDEX(Surface_Engine!$B$12:$B$72,$A1227+1))))^2+(MAX(IF(D1227&lt;=0,0,MAX(0,(B1227/D1227)*H1227/INDEX(Surface_Engine!$B$12:$B$72,$A1227+1)-F1227/INDEX(Surface_Engine!$B$12:$B$72,$A1227+1))),IF(E1227&lt;=0,0,MAX(0,(B1227/E1227)*I1227/INDEX(Surface_Engine!$B$12:$B$72,$A1227+1)-F1227/INDEX(Surface_Engine!$B$12:$B$72,$A1227+1))),IF($A1227&lt;$Q$1203,MAX(0,-Assumptions!$B$22*(F1227/INDEX(Surface_Engine!$B$12:$B$72,$A1227+1))),0)))^2+(MAX(0,J1227/INDEX(Surface_Engine!$B$12:$B$72,$A1227+1)-(F1227/INDEX(Surface_Engine!$B$12:$B$72,$A1227+1))))^2+2*Assumptions!$B$26*(IF(C1227&lt;=0,0,MAX(0,(B1227/C1227)*G1227/INDEX(Surface_Engine!$B$12:$B$72,$A1227+1)-F1227/INDEX(Surface_Engine!$B$12:$B$72,$A1227+1))))*(MAX(IF(D1227&lt;=0,0,MAX(0,(B1227/D1227)*H1227/INDEX(Surface_Engine!$B$12:$B$72,$A1227+1)-F1227/INDEX(Surface_Engine!$B$12:$B$72,$A1227+1))),IF(E1227&lt;=0,0,MAX(0,(B1227/E1227)*I1227/INDEX(Surface_Engine!$B$12:$B$72,$A1227+1)-F1227/INDEX(Surface_Engine!$B$12:$B$72,$A1227+1))),IF($A1227&lt;$Q$1203,MAX(0,-Assumptions!$B$22*(F1227/INDEX(Surface_Engine!$B$12:$B$72,$A1227+1))),0)))+2*Assumptions!$B$27*(IF(C1227&lt;=0,0,MAX(0,(B1227/C1227)*G1227/INDEX(Surface_Engine!$B$12:$B$72,$A1227+1)-F1227/INDEX(Surface_Engine!$B$12:$B$72,$A1227+1))))*(MAX(0,J1227/INDEX(Surface_Engine!$B$12:$B$72,$A1227+1)-(F1227/INDEX(Surface_Engine!$B$12:$B$72,$A1227+1))))+2*Assumptions!$B$28*(MAX(IF(D1227&lt;=0,0,MAX(0,(B1227/D1227)*H1227/INDEX(Surface_Engine!$B$12:$B$72,$A1227+1)-F1227/INDEX(Surface_Engine!$B$12:$B$72,$A1227+1))),IF(E1227&lt;=0,0,MAX(0,(B1227/E1227)*I1227/INDEX(Surface_Engine!$B$12:$B$72,$A1227+1)-F1227/INDEX(Surface_Engine!$B$12:$B$72,$A1227+1))),IF($A1227&lt;$Q$1203,MAX(0,-Assumptions!$B$22*(F1227/INDEX(Surface_Engine!$B$12:$B$72,$A1227+1))),0)))*(MAX(0,J1227/INDEX(Surface_Engine!$B$12:$B$72,$A1227+1)-(F1227/INDEX(Surface_Engine!$B$12:$B$72,$A1227+1)))))</f>
        <v>3771.70350435278</v>
      </c>
      <c r="L1227" s="48" t="n">
        <f aca="false">K1227*INDEX(Surface_Engine!$B$12:$B$72,$A1227+1)+L1228</f>
        <v>9405.70635146609</v>
      </c>
      <c r="M1227" s="48" t="n">
        <f aca="false">M1226+B1226*(IF($A1226&lt;$Q$1203,(Surface_Engine!Q246*12)-(Surface_Engine!Q246*12)*INDEX(Surface_Engine!$F$12:$F$72,$A1226+1)-INDEX(Surface_Engine!$D$12:$D$72,$A1226+1),-(1000*12*INDEX(Surface_Engine!$C$12:$C$72,$A1226+1)/(1+Assumptions!$B$10)^20+INDEX(Surface_Engine!$D$12:$D$72,$A1226+1))))*INDEX(Surface_Engine!$B$12:$B$72,$A1226+1)</f>
        <v>11457.8580415693</v>
      </c>
      <c r="N1227" s="12" t="n">
        <f aca="false">IF(B1227&lt;=0,0,MAX(0,(K1227+Assumptions!$B$29*L1227/INDEX(Surface_Engine!$B$12:$B$72,$A1227+1)-(M1227/INDEX(Surface_Engine!$B$12:$B$72,$A1227+1)-(F1227/INDEX(Surface_Engine!$B$12:$B$72,$A1227+1))))/B1227))</f>
        <v>12048.2905777279</v>
      </c>
    </row>
    <row r="1228" customFormat="false" ht="15" hidden="false" customHeight="true" outlineLevel="0" collapsed="false">
      <c r="A1228" s="1" t="n">
        <v>23</v>
      </c>
      <c r="B1228" s="32" t="n">
        <f aca="false">INDEX(Surface_Engine!$Q$12:$Q$72,$A1228+1)*IF($A1228&lt;$Q$1203,INDEX(Surface_Engine!$E$12:$E$72,$A1228+1),INDEX(Surface_Engine!$E$12:$E$72,$Q$1203+1))</f>
        <v>0.268250896467098</v>
      </c>
      <c r="C1228" s="32" t="n">
        <f aca="false">INDEX(Panel_Reserving!$F$8:$F$68,$A1228+1)*IF($A1228&lt;$Q$1203,INDEX(Surface_Engine!$E$12:$E$72,$A1228+1),INDEX(Surface_Engine!$E$12:$E$72,$Q$1203+1))</f>
        <v>0.334828605559226</v>
      </c>
      <c r="D1228" s="32" t="n">
        <f aca="false">INDEX(Surface_Engine!$Q$12:$Q$72,$A1228+1)*IF($A1228&lt;$Q$1203,INDEX(Surface_Engine!$Y$12:$Y$72,$A1228+1),INDEX(Surface_Engine!$Y$12:$Y$72,$Q$1203+1))</f>
        <v>0.237474731771906</v>
      </c>
      <c r="E1228" s="32" t="n">
        <f aca="false">INDEX(Surface_Engine!$Q$12:$Q$72,$A1228+1)*IF($A1228&lt;$Q$1203,INDEX(Surface_Engine!$Z$12:$Z$72,$A1228+1),INDEX(Surface_Engine!$Z$12:$Z$72,$Q$1203+1))</f>
        <v>0.302705644544044</v>
      </c>
      <c r="F1228" s="48" t="n">
        <f aca="false">B1228*(IF($A1228&lt;$Q$1203,INDEX(Surface_Engine!$D$12:$D$72,$A1228+1)+(Surface_Engine!Q246*12)*INDEX(Surface_Engine!$F$12:$F$72,$A1228+1)-(Surface_Engine!Q246*12),1000*12*INDEX(Surface_Engine!$C$12:$C$72,$A1228+1)/(1+Assumptions!$B$10)^20+INDEX(Surface_Engine!$D$12:$D$72,$A1228+1)))*INDEX(Surface_Engine!$B$12:$B$72,$A1228+1)+F1229</f>
        <v>8906.31672011293</v>
      </c>
      <c r="G1228" s="48" t="n">
        <f aca="false">C1228*(IF($A1228&lt;$Q$1203,INDEX(Surface_Engine!$D$12:$D$72,$A1228+1)+(Surface_Engine!Q246*12)*INDEX(Surface_Engine!$F$12:$F$72,$A1228+1)-(Surface_Engine!Q246*12),1000*12*INDEX(Surface_Engine!$C$12:$C$72,$A1228+1)/(1+Assumptions!$B$10)^20+INDEX(Surface_Engine!$D$12:$D$72,$A1228+1)))*INDEX(Surface_Engine!$B$12:$B$72,$A1228+1)+G1229</f>
        <v>13100.756461655</v>
      </c>
      <c r="H1228" s="48" t="n">
        <f aca="false">D1228*(IF($A1228&lt;$Q$1203,INDEX(Surface_Engine!$D$12:$D$72,$A1228+1)+(Surface_Engine!Q246*12)*INDEX(Surface_Engine!$F$12:$F$72,$A1228+1)-(Surface_Engine!Q246*12),1000*12*INDEX(Surface_Engine!$C$12:$C$72,$A1228+1)/(1+Assumptions!$B$10)^20+INDEX(Surface_Engine!$D$12:$D$72,$A1228+1)))*INDEX(Surface_Engine!$B$12:$B$72,$A1228+1)+H1229</f>
        <v>7884.50365698547</v>
      </c>
      <c r="I1228" s="48" t="n">
        <f aca="false">E1228*(IF($A1228&lt;$Q$1203,INDEX(Surface_Engine!$D$12:$D$72,$A1228+1)+(Surface_Engine!Q246*12)*INDEX(Surface_Engine!$F$12:$F$72,$A1228+1)-(Surface_Engine!Q246*12),1000*12*INDEX(Surface_Engine!$C$12:$C$72,$A1228+1)/(1+Assumptions!$B$10)^20+INDEX(Surface_Engine!$D$12:$D$72,$A1228+1)))*INDEX(Surface_Engine!$B$12:$B$72,$A1228+1)+I1229</f>
        <v>10050.2640579464</v>
      </c>
      <c r="J1228" s="48" t="n">
        <f aca="false">B1228*(IF($A1228&lt;$Q$1203,INDEX(Surface_Engine!$D$12:$D$72,$A1228+1)*(1+Assumptions!$B$24)+(Surface_Engine!Q246*12)*INDEX(Surface_Engine!$F$12:$F$72,$A1228+1)-(Surface_Engine!Q246*12),1000*12*INDEX(Surface_Engine!$C$12:$C$72,$A1228+1)/(1+Assumptions!$B$10)^20+INDEX(Surface_Engine!$D$12:$D$72,$A1228+1)*(1+Assumptions!$B$24)))*INDEX(Surface_Engine!$B$12:$B$72,$A1228+1)+J1229</f>
        <v>8916.49857690429</v>
      </c>
      <c r="K1228" s="12" t="n">
        <f aca="false">SQRT((IF(C1228&lt;=0,0,MAX(0,(B1228/C1228)*G1228/INDEX(Surface_Engine!$B$12:$B$72,$A1228+1)-F1228/INDEX(Surface_Engine!$B$12:$B$72,$A1228+1))))^2+(MAX(IF(D1228&lt;=0,0,MAX(0,(B1228/D1228)*H1228/INDEX(Surface_Engine!$B$12:$B$72,$A1228+1)-F1228/INDEX(Surface_Engine!$B$12:$B$72,$A1228+1))),IF(E1228&lt;=0,0,MAX(0,(B1228/E1228)*I1228/INDEX(Surface_Engine!$B$12:$B$72,$A1228+1)-F1228/INDEX(Surface_Engine!$B$12:$B$72,$A1228+1))),IF($A1228&lt;$Q$1203,MAX(0,-Assumptions!$B$22*(F1228/INDEX(Surface_Engine!$B$12:$B$72,$A1228+1))),0)))^2+(MAX(0,J1228/INDEX(Surface_Engine!$B$12:$B$72,$A1228+1)-(F1228/INDEX(Surface_Engine!$B$12:$B$72,$A1228+1))))^2+2*Assumptions!$B$26*(IF(C1228&lt;=0,0,MAX(0,(B1228/C1228)*G1228/INDEX(Surface_Engine!$B$12:$B$72,$A1228+1)-F1228/INDEX(Surface_Engine!$B$12:$B$72,$A1228+1))))*(MAX(IF(D1228&lt;=0,0,MAX(0,(B1228/D1228)*H1228/INDEX(Surface_Engine!$B$12:$B$72,$A1228+1)-F1228/INDEX(Surface_Engine!$B$12:$B$72,$A1228+1))),IF(E1228&lt;=0,0,MAX(0,(B1228/E1228)*I1228/INDEX(Surface_Engine!$B$12:$B$72,$A1228+1)-F1228/INDEX(Surface_Engine!$B$12:$B$72,$A1228+1))),IF($A1228&lt;$Q$1203,MAX(0,-Assumptions!$B$22*(F1228/INDEX(Surface_Engine!$B$12:$B$72,$A1228+1))),0)))+2*Assumptions!$B$27*(IF(C1228&lt;=0,0,MAX(0,(B1228/C1228)*G1228/INDEX(Surface_Engine!$B$12:$B$72,$A1228+1)-F1228/INDEX(Surface_Engine!$B$12:$B$72,$A1228+1))))*(MAX(0,J1228/INDEX(Surface_Engine!$B$12:$B$72,$A1228+1)-(F1228/INDEX(Surface_Engine!$B$12:$B$72,$A1228+1))))+2*Assumptions!$B$28*(MAX(IF(D1228&lt;=0,0,MAX(0,(B1228/D1228)*H1228/INDEX(Surface_Engine!$B$12:$B$72,$A1228+1)-F1228/INDEX(Surface_Engine!$B$12:$B$72,$A1228+1))),IF(E1228&lt;=0,0,MAX(0,(B1228/E1228)*I1228/INDEX(Surface_Engine!$B$12:$B$72,$A1228+1)-F1228/INDEX(Surface_Engine!$B$12:$B$72,$A1228+1))),IF($A1228&lt;$Q$1203,MAX(0,-Assumptions!$B$22*(F1228/INDEX(Surface_Engine!$B$12:$B$72,$A1228+1))),0)))*(MAX(0,J1228/INDEX(Surface_Engine!$B$12:$B$72,$A1228+1)-(F1228/INDEX(Surface_Engine!$B$12:$B$72,$A1228+1)))))</f>
        <v>3264.96232163444</v>
      </c>
      <c r="L1228" s="48" t="n">
        <f aca="false">K1228*INDEX(Surface_Engine!$B$12:$B$72,$A1228+1)+L1229</f>
        <v>7507.82322452147</v>
      </c>
      <c r="M1228" s="48" t="n">
        <f aca="false">M1227+B1227*(IF($A1227&lt;$Q$1203,(Surface_Engine!Q246*12)-(Surface_Engine!Q246*12)*INDEX(Surface_Engine!$F$12:$F$72,$A1227+1)-INDEX(Surface_Engine!$D$12:$D$72,$A1227+1),-(1000*12*INDEX(Surface_Engine!$C$12:$C$72,$A1227+1)/(1+Assumptions!$B$10)^20+INDEX(Surface_Engine!$D$12:$D$72,$A1227+1))))*INDEX(Surface_Engine!$B$12:$B$72,$A1227+1)</f>
        <v>9505.73568617252</v>
      </c>
      <c r="N1228" s="12" t="n">
        <f aca="false">IF(B1228&lt;=0,0,MAX(0,(K1228+Assumptions!$B$29*L1228/INDEX(Surface_Engine!$B$12:$B$72,$A1228+1)-(M1228/INDEX(Surface_Engine!$B$12:$B$72,$A1228+1)-(F1228/INDEX(Surface_Engine!$B$12:$B$72,$A1228+1))))/B1228))</f>
        <v>11032.5710722849</v>
      </c>
    </row>
    <row r="1229" customFormat="false" ht="15" hidden="false" customHeight="true" outlineLevel="0" collapsed="false">
      <c r="A1229" s="1" t="n">
        <v>24</v>
      </c>
      <c r="B1229" s="32" t="n">
        <f aca="false">INDEX(Surface_Engine!$Q$12:$Q$72,$A1229+1)*IF($A1229&lt;$Q$1203,INDEX(Surface_Engine!$E$12:$E$72,$A1229+1),INDEX(Surface_Engine!$E$12:$E$72,$Q$1203+1))</f>
        <v>0.230987541102655</v>
      </c>
      <c r="C1229" s="32" t="n">
        <f aca="false">INDEX(Panel_Reserving!$F$8:$F$68,$A1229+1)*IF($A1229&lt;$Q$1203,INDEX(Surface_Engine!$E$12:$E$72,$A1229+1),INDEX(Surface_Engine!$E$12:$E$72,$Q$1203+1))</f>
        <v>0.297619149846068</v>
      </c>
      <c r="D1229" s="32" t="n">
        <f aca="false">INDEX(Surface_Engine!$Q$12:$Q$72,$A1229+1)*IF($A1229&lt;$Q$1203,INDEX(Surface_Engine!$Y$12:$Y$72,$A1229+1),INDEX(Surface_Engine!$Y$12:$Y$72,$Q$1203+1))</f>
        <v>0.204486564960029</v>
      </c>
      <c r="E1229" s="32" t="n">
        <f aca="false">INDEX(Surface_Engine!$Q$12:$Q$72,$A1229+1)*IF($A1229&lt;$Q$1203,INDEX(Surface_Engine!$Z$12:$Z$72,$A1229+1),INDEX(Surface_Engine!$Z$12:$Z$72,$Q$1203+1))</f>
        <v>0.26065610006153</v>
      </c>
      <c r="F1229" s="48" t="n">
        <f aca="false">B1229*(IF($A1229&lt;$Q$1203,INDEX(Surface_Engine!$D$12:$D$72,$A1229+1)+(Surface_Engine!Q246*12)*INDEX(Surface_Engine!$F$12:$F$72,$A1229+1)-(Surface_Engine!Q246*12),1000*12*INDEX(Surface_Engine!$C$12:$C$72,$A1229+1)/(1+Assumptions!$B$10)^20+INDEX(Surface_Engine!$D$12:$D$72,$A1229+1)))*INDEX(Surface_Engine!$B$12:$B$72,$A1229+1)+F1230</f>
        <v>7221.67585302609</v>
      </c>
      <c r="G1229" s="48" t="n">
        <f aca="false">C1229*(IF($A1229&lt;$Q$1203,INDEX(Surface_Engine!$D$12:$D$72,$A1229+1)+(Surface_Engine!Q246*12)*INDEX(Surface_Engine!$F$12:$F$72,$A1229+1)-(Surface_Engine!Q246*12),1000*12*INDEX(Surface_Engine!$C$12:$C$72,$A1229+1)/(1+Assumptions!$B$10)^20+INDEX(Surface_Engine!$D$12:$D$72,$A1229+1)))*INDEX(Surface_Engine!$B$12:$B$72,$A1229+1)+G1230</f>
        <v>10998.0013177819</v>
      </c>
      <c r="H1229" s="48" t="n">
        <f aca="false">D1229*(IF($A1229&lt;$Q$1203,INDEX(Surface_Engine!$D$12:$D$72,$A1229+1)+(Surface_Engine!Q246*12)*INDEX(Surface_Engine!$F$12:$F$72,$A1229+1)-(Surface_Engine!Q246*12),1000*12*INDEX(Surface_Engine!$C$12:$C$72,$A1229+1)/(1+Assumptions!$B$10)^20+INDEX(Surface_Engine!$D$12:$D$72,$A1229+1)))*INDEX(Surface_Engine!$B$12:$B$72,$A1229+1)+H1230</f>
        <v>6393.13999963229</v>
      </c>
      <c r="I1229" s="48" t="n">
        <f aca="false">E1229*(IF($A1229&lt;$Q$1203,INDEX(Surface_Engine!$D$12:$D$72,$A1229+1)+(Surface_Engine!Q246*12)*INDEX(Surface_Engine!$F$12:$F$72,$A1229+1)-(Surface_Engine!Q246*12),1000*12*INDEX(Surface_Engine!$C$12:$C$72,$A1229+1)/(1+Assumptions!$B$10)^20+INDEX(Surface_Engine!$D$12:$D$72,$A1229+1)))*INDEX(Surface_Engine!$B$12:$B$72,$A1229+1)+I1230</f>
        <v>8149.24413140423</v>
      </c>
      <c r="J1229" s="48" t="n">
        <f aca="false">B1229*(IF($A1229&lt;$Q$1203,INDEX(Surface_Engine!$D$12:$D$72,$A1229+1)*(1+Assumptions!$B$24)+(Surface_Engine!Q246*12)*INDEX(Surface_Engine!$F$12:$F$72,$A1229+1)-(Surface_Engine!Q246*12),1000*12*INDEX(Surface_Engine!$C$12:$C$72,$A1229+1)/(1+Assumptions!$B$10)^20+INDEX(Surface_Engine!$D$12:$D$72,$A1229+1)*(1+Assumptions!$B$24)))*INDEX(Surface_Engine!$B$12:$B$72,$A1229+1)+J1230</f>
        <v>7229.96501147992</v>
      </c>
      <c r="K1229" s="12" t="n">
        <f aca="false">SQRT((IF(C1229&lt;=0,0,MAX(0,(B1229/C1229)*G1229/INDEX(Surface_Engine!$B$12:$B$72,$A1229+1)-F1229/INDEX(Surface_Engine!$B$12:$B$72,$A1229+1))))^2+(MAX(IF(D1229&lt;=0,0,MAX(0,(B1229/D1229)*H1229/INDEX(Surface_Engine!$B$12:$B$72,$A1229+1)-F1229/INDEX(Surface_Engine!$B$12:$B$72,$A1229+1))),IF(E1229&lt;=0,0,MAX(0,(B1229/E1229)*I1229/INDEX(Surface_Engine!$B$12:$B$72,$A1229+1)-F1229/INDEX(Surface_Engine!$B$12:$B$72,$A1229+1))),IF($A1229&lt;$Q$1203,MAX(0,-Assumptions!$B$22*(F1229/INDEX(Surface_Engine!$B$12:$B$72,$A1229+1))),0)))^2+(MAX(0,J1229/INDEX(Surface_Engine!$B$12:$B$72,$A1229+1)-(F1229/INDEX(Surface_Engine!$B$12:$B$72,$A1229+1))))^2+2*Assumptions!$B$26*(IF(C1229&lt;=0,0,MAX(0,(B1229/C1229)*G1229/INDEX(Surface_Engine!$B$12:$B$72,$A1229+1)-F1229/INDEX(Surface_Engine!$B$12:$B$72,$A1229+1))))*(MAX(IF(D1229&lt;=0,0,MAX(0,(B1229/D1229)*H1229/INDEX(Surface_Engine!$B$12:$B$72,$A1229+1)-F1229/INDEX(Surface_Engine!$B$12:$B$72,$A1229+1))),IF(E1229&lt;=0,0,MAX(0,(B1229/E1229)*I1229/INDEX(Surface_Engine!$B$12:$B$72,$A1229+1)-F1229/INDEX(Surface_Engine!$B$12:$B$72,$A1229+1))),IF($A1229&lt;$Q$1203,MAX(0,-Assumptions!$B$22*(F1229/INDEX(Surface_Engine!$B$12:$B$72,$A1229+1))),0)))+2*Assumptions!$B$27*(IF(C1229&lt;=0,0,MAX(0,(B1229/C1229)*G1229/INDEX(Surface_Engine!$B$12:$B$72,$A1229+1)-F1229/INDEX(Surface_Engine!$B$12:$B$72,$A1229+1))))*(MAX(0,J1229/INDEX(Surface_Engine!$B$12:$B$72,$A1229+1)-(F1229/INDEX(Surface_Engine!$B$12:$B$72,$A1229+1))))+2*Assumptions!$B$28*(MAX(IF(D1229&lt;=0,0,MAX(0,(B1229/D1229)*H1229/INDEX(Surface_Engine!$B$12:$B$72,$A1229+1)-F1229/INDEX(Surface_Engine!$B$12:$B$72,$A1229+1))),IF(E1229&lt;=0,0,MAX(0,(B1229/E1229)*I1229/INDEX(Surface_Engine!$B$12:$B$72,$A1229+1)-F1229/INDEX(Surface_Engine!$B$12:$B$72,$A1229+1))),IF($A1229&lt;$Q$1203,MAX(0,-Assumptions!$B$22*(F1229/INDEX(Surface_Engine!$B$12:$B$72,$A1229+1))),0)))*(MAX(0,J1229/INDEX(Surface_Engine!$B$12:$B$72,$A1229+1)-(F1229/INDEX(Surface_Engine!$B$12:$B$72,$A1229+1)))))</f>
        <v>2786.10319345499</v>
      </c>
      <c r="L1229" s="48" t="n">
        <f aca="false">K1229*INDEX(Surface_Engine!$B$12:$B$72,$A1229+1)+L1230</f>
        <v>5915.77713612759</v>
      </c>
      <c r="M1229" s="48" t="n">
        <f aca="false">M1228+B1228*(IF($A1228&lt;$Q$1203,(Surface_Engine!Q246*12)-(Surface_Engine!Q246*12)*INDEX(Surface_Engine!$F$12:$F$72,$A1228+1)-INDEX(Surface_Engine!$D$12:$D$72,$A1228+1),-(1000*12*INDEX(Surface_Engine!$C$12:$C$72,$A1228+1)/(1+Assumptions!$B$10)^20+INDEX(Surface_Engine!$D$12:$D$72,$A1228+1))))*INDEX(Surface_Engine!$B$12:$B$72,$A1228+1)</f>
        <v>7821.09481908568</v>
      </c>
      <c r="N1229" s="12" t="n">
        <f aca="false">IF(B1229&lt;=0,0,MAX(0,(K1229+Assumptions!$B$29*L1229/INDEX(Surface_Engine!$B$12:$B$72,$A1229+1)-(M1229/INDEX(Surface_Engine!$B$12:$B$72,$A1229+1)-(F1229/INDEX(Surface_Engine!$B$12:$B$72,$A1229+1))))/B1229))</f>
        <v>9821.29278723592</v>
      </c>
    </row>
    <row r="1230" customFormat="false" ht="15" hidden="false" customHeight="true" outlineLevel="0" collapsed="false">
      <c r="A1230" s="1" t="n">
        <v>25</v>
      </c>
      <c r="B1230" s="32" t="n">
        <f aca="false">INDEX(Surface_Engine!$Q$12:$Q$72,$A1230+1)*IF($A1230&lt;$Q$1203,INDEX(Surface_Engine!$E$12:$E$72,$A1230+1),INDEX(Surface_Engine!$E$12:$E$72,$Q$1203+1))</f>
        <v>0.196339048025606</v>
      </c>
      <c r="C1230" s="32" t="n">
        <f aca="false">INDEX(Panel_Reserving!$F$8:$F$68,$A1230+1)*IF($A1230&lt;$Q$1203,INDEX(Surface_Engine!$E$12:$E$72,$A1230+1),INDEX(Surface_Engine!$E$12:$E$72,$Q$1203+1))</f>
        <v>0.261904478816409</v>
      </c>
      <c r="D1230" s="32" t="n">
        <f aca="false">INDEX(Surface_Engine!$Q$12:$Q$72,$A1230+1)*IF($A1230&lt;$Q$1203,INDEX(Surface_Engine!$Y$12:$Y$72,$A1230+1),INDEX(Surface_Engine!$Y$12:$Y$72,$Q$1203+1))</f>
        <v>0.173813259826146</v>
      </c>
      <c r="E1230" s="32" t="n">
        <f aca="false">INDEX(Surface_Engine!$Q$12:$Q$72,$A1230+1)*IF($A1230&lt;$Q$1203,INDEX(Surface_Engine!$Z$12:$Z$72,$A1230+1),INDEX(Surface_Engine!$Z$12:$Z$72,$Q$1203+1))</f>
        <v>0.221557276655904</v>
      </c>
      <c r="F1230" s="48" t="n">
        <f aca="false">B1230*(IF($A1230&lt;$Q$1203,INDEX(Surface_Engine!$D$12:$D$72,$A1230+1)+(Surface_Engine!Q246*12)*INDEX(Surface_Engine!$F$12:$F$72,$A1230+1)-(Surface_Engine!Q246*12),1000*12*INDEX(Surface_Engine!$C$12:$C$72,$A1230+1)/(1+Assumptions!$B$10)^20+INDEX(Surface_Engine!$D$12:$D$72,$A1230+1)))*INDEX(Surface_Engine!$B$12:$B$72,$A1230+1)+F1231</f>
        <v>5788.11908596308</v>
      </c>
      <c r="G1230" s="48" t="n">
        <f aca="false">C1230*(IF($A1230&lt;$Q$1203,INDEX(Surface_Engine!$D$12:$D$72,$A1230+1)+(Surface_Engine!Q246*12)*INDEX(Surface_Engine!$F$12:$F$72,$A1230+1)-(Surface_Engine!Q246*12),1000*12*INDEX(Surface_Engine!$C$12:$C$72,$A1230+1)/(1+Assumptions!$B$10)^20+INDEX(Surface_Engine!$D$12:$D$72,$A1230+1)))*INDEX(Surface_Engine!$B$12:$B$72,$A1230+1)+G1231</f>
        <v>9150.91491549076</v>
      </c>
      <c r="H1230" s="48" t="n">
        <f aca="false">D1230*(IF($A1230&lt;$Q$1203,INDEX(Surface_Engine!$D$12:$D$72,$A1230+1)+(Surface_Engine!Q246*12)*INDEX(Surface_Engine!$F$12:$F$72,$A1230+1)-(Surface_Engine!Q246*12),1000*12*INDEX(Surface_Engine!$C$12:$C$72,$A1230+1)/(1+Assumptions!$B$10)^20+INDEX(Surface_Engine!$D$12:$D$72,$A1230+1)))*INDEX(Surface_Engine!$B$12:$B$72,$A1230+1)+H1231</f>
        <v>5124.0538074829</v>
      </c>
      <c r="I1230" s="48" t="n">
        <f aca="false">E1230*(IF($A1230&lt;$Q$1203,INDEX(Surface_Engine!$D$12:$D$72,$A1230+1)+(Surface_Engine!Q246*12)*INDEX(Surface_Engine!$F$12:$F$72,$A1230+1)-(Surface_Engine!Q246*12),1000*12*INDEX(Surface_Engine!$C$12:$C$72,$A1230+1)/(1+Assumptions!$B$10)^20+INDEX(Surface_Engine!$D$12:$D$72,$A1230+1)))*INDEX(Surface_Engine!$B$12:$B$72,$A1230+1)+I1231</f>
        <v>6531.55811104265</v>
      </c>
      <c r="J1230" s="48" t="n">
        <f aca="false">B1230*(IF($A1230&lt;$Q$1203,INDEX(Surface_Engine!$D$12:$D$72,$A1230+1)*(1+Assumptions!$B$24)+(Surface_Engine!Q246*12)*INDEX(Surface_Engine!$F$12:$F$72,$A1230+1)-(Surface_Engine!Q246*12),1000*12*INDEX(Surface_Engine!$C$12:$C$72,$A1230+1)/(1+Assumptions!$B$10)^20+INDEX(Surface_Engine!$D$12:$D$72,$A1230+1)*(1+Assumptions!$B$24)))*INDEX(Surface_Engine!$B$12:$B$72,$A1230+1)+J1231</f>
        <v>5794.78983372081</v>
      </c>
      <c r="K1230" s="12" t="n">
        <f aca="false">SQRT((IF(C1230&lt;=0,0,MAX(0,(B1230/C1230)*G1230/INDEX(Surface_Engine!$B$12:$B$72,$A1230+1)-F1230/INDEX(Surface_Engine!$B$12:$B$72,$A1230+1))))^2+(MAX(IF(D1230&lt;=0,0,MAX(0,(B1230/D1230)*H1230/INDEX(Surface_Engine!$B$12:$B$72,$A1230+1)-F1230/INDEX(Surface_Engine!$B$12:$B$72,$A1230+1))),IF(E1230&lt;=0,0,MAX(0,(B1230/E1230)*I1230/INDEX(Surface_Engine!$B$12:$B$72,$A1230+1)-F1230/INDEX(Surface_Engine!$B$12:$B$72,$A1230+1))),IF($A1230&lt;$Q$1203,MAX(0,-Assumptions!$B$22*(F1230/INDEX(Surface_Engine!$B$12:$B$72,$A1230+1))),0)))^2+(MAX(0,J1230/INDEX(Surface_Engine!$B$12:$B$72,$A1230+1)-(F1230/INDEX(Surface_Engine!$B$12:$B$72,$A1230+1))))^2+2*Assumptions!$B$26*(IF(C1230&lt;=0,0,MAX(0,(B1230/C1230)*G1230/INDEX(Surface_Engine!$B$12:$B$72,$A1230+1)-F1230/INDEX(Surface_Engine!$B$12:$B$72,$A1230+1))))*(MAX(IF(D1230&lt;=0,0,MAX(0,(B1230/D1230)*H1230/INDEX(Surface_Engine!$B$12:$B$72,$A1230+1)-F1230/INDEX(Surface_Engine!$B$12:$B$72,$A1230+1))),IF(E1230&lt;=0,0,MAX(0,(B1230/E1230)*I1230/INDEX(Surface_Engine!$B$12:$B$72,$A1230+1)-F1230/INDEX(Surface_Engine!$B$12:$B$72,$A1230+1))),IF($A1230&lt;$Q$1203,MAX(0,-Assumptions!$B$22*(F1230/INDEX(Surface_Engine!$B$12:$B$72,$A1230+1))),0)))+2*Assumptions!$B$27*(IF(C1230&lt;=0,0,MAX(0,(B1230/C1230)*G1230/INDEX(Surface_Engine!$B$12:$B$72,$A1230+1)-F1230/INDEX(Surface_Engine!$B$12:$B$72,$A1230+1))))*(MAX(0,J1230/INDEX(Surface_Engine!$B$12:$B$72,$A1230+1)-(F1230/INDEX(Surface_Engine!$B$12:$B$72,$A1230+1))))+2*Assumptions!$B$28*(MAX(IF(D1230&lt;=0,0,MAX(0,(B1230/D1230)*H1230/INDEX(Surface_Engine!$B$12:$B$72,$A1230+1)-F1230/INDEX(Surface_Engine!$B$12:$B$72,$A1230+1))),IF(E1230&lt;=0,0,MAX(0,(B1230/E1230)*I1230/INDEX(Surface_Engine!$B$12:$B$72,$A1230+1)-F1230/INDEX(Surface_Engine!$B$12:$B$72,$A1230+1))),IF($A1230&lt;$Q$1203,MAX(0,-Assumptions!$B$22*(F1230/INDEX(Surface_Engine!$B$12:$B$72,$A1230+1))),0)))*(MAX(0,J1230/INDEX(Surface_Engine!$B$12:$B$72,$A1230+1)-(F1230/INDEX(Surface_Engine!$B$12:$B$72,$A1230+1)))))</f>
        <v>2345.40621771981</v>
      </c>
      <c r="L1230" s="48" t="n">
        <f aca="false">K1230*INDEX(Surface_Engine!$B$12:$B$72,$A1230+1)+L1231</f>
        <v>4599.6108545797</v>
      </c>
      <c r="M1230" s="48" t="n">
        <f aca="false">M1229+B1229*(IF($A1229&lt;$Q$1203,(Surface_Engine!Q246*12)-(Surface_Engine!Q246*12)*INDEX(Surface_Engine!$F$12:$F$72,$A1229+1)-INDEX(Surface_Engine!$D$12:$D$72,$A1229+1),-(1000*12*INDEX(Surface_Engine!$C$12:$C$72,$A1229+1)/(1+Assumptions!$B$10)^20+INDEX(Surface_Engine!$D$12:$D$72,$A1229+1))))*INDEX(Surface_Engine!$B$12:$B$72,$A1229+1)</f>
        <v>6387.53805202267</v>
      </c>
      <c r="N1230" s="12" t="n">
        <f aca="false">IF(B1230&lt;=0,0,MAX(0,(K1230+Assumptions!$B$29*L1230/INDEX(Surface_Engine!$B$12:$B$72,$A1230+1)-(M1230/INDEX(Surface_Engine!$B$12:$B$72,$A1230+1)-(F1230/INDEX(Surface_Engine!$B$12:$B$72,$A1230+1))))/B1230))</f>
        <v>8346.94070127076</v>
      </c>
    </row>
    <row r="1231" customFormat="false" ht="15" hidden="false" customHeight="true" outlineLevel="0" collapsed="false">
      <c r="A1231" s="1" t="n">
        <v>26</v>
      </c>
      <c r="B1231" s="32" t="n">
        <f aca="false">INDEX(Surface_Engine!$Q$12:$Q$72,$A1231+1)*IF($A1231&lt;$Q$1203,INDEX(Surface_Engine!$E$12:$E$72,$A1231+1),INDEX(Surface_Engine!$E$12:$E$72,$Q$1203+1))</f>
        <v>0.163882486495851</v>
      </c>
      <c r="C1231" s="32" t="n">
        <f aca="false">INDEX(Panel_Reserving!$F$8:$F$68,$A1231+1)*IF($A1231&lt;$Q$1203,INDEX(Surface_Engine!$E$12:$E$72,$A1231+1),INDEX(Surface_Engine!$E$12:$E$72,$Q$1203+1))</f>
        <v>0.227268398354148</v>
      </c>
      <c r="D1231" s="32" t="n">
        <f aca="false">INDEX(Surface_Engine!$Q$12:$Q$72,$A1231+1)*IF($A1231&lt;$Q$1203,INDEX(Surface_Engine!$Y$12:$Y$72,$A1231+1),INDEX(Surface_Engine!$Y$12:$Y$72,$Q$1203+1))</f>
        <v>0.145080408063011</v>
      </c>
      <c r="E1231" s="32" t="n">
        <f aca="false">INDEX(Surface_Engine!$Q$12:$Q$72,$A1231+1)*IF($A1231&lt;$Q$1203,INDEX(Surface_Engine!$Z$12:$Z$72,$A1231+1),INDEX(Surface_Engine!$Z$12:$Z$72,$Q$1203+1))</f>
        <v>0.184931921412205</v>
      </c>
      <c r="F1231" s="48" t="n">
        <f aca="false">B1231*(IF($A1231&lt;$Q$1203,INDEX(Surface_Engine!$D$12:$D$72,$A1231+1)+(Surface_Engine!Q246*12)*INDEX(Surface_Engine!$F$12:$F$72,$A1231+1)-(Surface_Engine!Q246*12),1000*12*INDEX(Surface_Engine!$C$12:$C$72,$A1231+1)/(1+Assumptions!$B$10)^20+INDEX(Surface_Engine!$D$12:$D$72,$A1231+1)))*INDEX(Surface_Engine!$B$12:$B$72,$A1231+1)+F1232</f>
        <v>4583.68864252229</v>
      </c>
      <c r="G1231" s="48" t="n">
        <f aca="false">C1231*(IF($A1231&lt;$Q$1203,INDEX(Surface_Engine!$D$12:$D$72,$A1231+1)+(Surface_Engine!Q246*12)*INDEX(Surface_Engine!$F$12:$F$72,$A1231+1)-(Surface_Engine!Q246*12),1000*12*INDEX(Surface_Engine!$C$12:$C$72,$A1231+1)/(1+Assumptions!$B$10)^20+INDEX(Surface_Engine!$D$12:$D$72,$A1231+1)))*INDEX(Surface_Engine!$B$12:$B$72,$A1231+1)+G1232</f>
        <v>7544.27715936372</v>
      </c>
      <c r="H1231" s="48" t="n">
        <f aca="false">D1231*(IF($A1231&lt;$Q$1203,INDEX(Surface_Engine!$D$12:$D$72,$A1231+1)+(Surface_Engine!Q246*12)*INDEX(Surface_Engine!$F$12:$F$72,$A1231+1)-(Surface_Engine!Q246*12),1000*12*INDEX(Surface_Engine!$C$12:$C$72,$A1231+1)/(1+Assumptions!$B$10)^20+INDEX(Surface_Engine!$D$12:$D$72,$A1231+1)))*INDEX(Surface_Engine!$B$12:$B$72,$A1231+1)+H1232</f>
        <v>4057.80649848611</v>
      </c>
      <c r="I1231" s="48" t="n">
        <f aca="false">E1231*(IF($A1231&lt;$Q$1203,INDEX(Surface_Engine!$D$12:$D$72,$A1231+1)+(Surface_Engine!Q246*12)*INDEX(Surface_Engine!$F$12:$F$72,$A1231+1)-(Surface_Engine!Q246*12),1000*12*INDEX(Surface_Engine!$C$12:$C$72,$A1231+1)/(1+Assumptions!$B$10)^20+INDEX(Surface_Engine!$D$12:$D$72,$A1231+1)))*INDEX(Surface_Engine!$B$12:$B$72,$A1231+1)+I1232</f>
        <v>5172.42791430561</v>
      </c>
      <c r="J1231" s="48" t="n">
        <f aca="false">B1231*(IF($A1231&lt;$Q$1203,INDEX(Surface_Engine!$D$12:$D$72,$A1231+1)*(1+Assumptions!$B$24)+(Surface_Engine!Q246*12)*INDEX(Surface_Engine!$F$12:$F$72,$A1231+1)-(Surface_Engine!Q246*12),1000*12*INDEX(Surface_Engine!$C$12:$C$72,$A1231+1)/(1+Assumptions!$B$10)^20+INDEX(Surface_Engine!$D$12:$D$72,$A1231+1)*(1+Assumptions!$B$24)))*INDEX(Surface_Engine!$B$12:$B$72,$A1231+1)+J1232</f>
        <v>4588.99306145888</v>
      </c>
      <c r="K1231" s="12" t="n">
        <f aca="false">SQRT((IF(C1231&lt;=0,0,MAX(0,(B1231/C1231)*G1231/INDEX(Surface_Engine!$B$12:$B$72,$A1231+1)-F1231/INDEX(Surface_Engine!$B$12:$B$72,$A1231+1))))^2+(MAX(IF(D1231&lt;=0,0,MAX(0,(B1231/D1231)*H1231/INDEX(Surface_Engine!$B$12:$B$72,$A1231+1)-F1231/INDEX(Surface_Engine!$B$12:$B$72,$A1231+1))),IF(E1231&lt;=0,0,MAX(0,(B1231/E1231)*I1231/INDEX(Surface_Engine!$B$12:$B$72,$A1231+1)-F1231/INDEX(Surface_Engine!$B$12:$B$72,$A1231+1))),IF($A1231&lt;$Q$1203,MAX(0,-Assumptions!$B$22*(F1231/INDEX(Surface_Engine!$B$12:$B$72,$A1231+1))),0)))^2+(MAX(0,J1231/INDEX(Surface_Engine!$B$12:$B$72,$A1231+1)-(F1231/INDEX(Surface_Engine!$B$12:$B$72,$A1231+1))))^2+2*Assumptions!$B$26*(IF(C1231&lt;=0,0,MAX(0,(B1231/C1231)*G1231/INDEX(Surface_Engine!$B$12:$B$72,$A1231+1)-F1231/INDEX(Surface_Engine!$B$12:$B$72,$A1231+1))))*(MAX(IF(D1231&lt;=0,0,MAX(0,(B1231/D1231)*H1231/INDEX(Surface_Engine!$B$12:$B$72,$A1231+1)-F1231/INDEX(Surface_Engine!$B$12:$B$72,$A1231+1))),IF(E1231&lt;=0,0,MAX(0,(B1231/E1231)*I1231/INDEX(Surface_Engine!$B$12:$B$72,$A1231+1)-F1231/INDEX(Surface_Engine!$B$12:$B$72,$A1231+1))),IF($A1231&lt;$Q$1203,MAX(0,-Assumptions!$B$22*(F1231/INDEX(Surface_Engine!$B$12:$B$72,$A1231+1))),0)))+2*Assumptions!$B$27*(IF(C1231&lt;=0,0,MAX(0,(B1231/C1231)*G1231/INDEX(Surface_Engine!$B$12:$B$72,$A1231+1)-F1231/INDEX(Surface_Engine!$B$12:$B$72,$A1231+1))))*(MAX(0,J1231/INDEX(Surface_Engine!$B$12:$B$72,$A1231+1)-(F1231/INDEX(Surface_Engine!$B$12:$B$72,$A1231+1))))+2*Assumptions!$B$28*(MAX(IF(D1231&lt;=0,0,MAX(0,(B1231/D1231)*H1231/INDEX(Surface_Engine!$B$12:$B$72,$A1231+1)-F1231/INDEX(Surface_Engine!$B$12:$B$72,$A1231+1))),IF(E1231&lt;=0,0,MAX(0,(B1231/E1231)*I1231/INDEX(Surface_Engine!$B$12:$B$72,$A1231+1)-F1231/INDEX(Surface_Engine!$B$12:$B$72,$A1231+1))),IF($A1231&lt;$Q$1203,MAX(0,-Assumptions!$B$22*(F1231/INDEX(Surface_Engine!$B$12:$B$72,$A1231+1))),0)))*(MAX(0,J1231/INDEX(Surface_Engine!$B$12:$B$72,$A1231+1)-(F1231/INDEX(Surface_Engine!$B$12:$B$72,$A1231+1)))))</f>
        <v>1934.39154666403</v>
      </c>
      <c r="L1231" s="48" t="n">
        <f aca="false">K1231*INDEX(Surface_Engine!$B$12:$B$72,$A1231+1)+L1232</f>
        <v>3525.97715850335</v>
      </c>
      <c r="M1231" s="48" t="n">
        <f aca="false">M1230+B1230*(IF($A1230&lt;$Q$1203,(Surface_Engine!Q246*12)-(Surface_Engine!Q246*12)*INDEX(Surface_Engine!$F$12:$F$72,$A1230+1)-INDEX(Surface_Engine!$D$12:$D$72,$A1230+1),-(1000*12*INDEX(Surface_Engine!$C$12:$C$72,$A1230+1)/(1+Assumptions!$B$10)^20+INDEX(Surface_Engine!$D$12:$D$72,$A1230+1))))*INDEX(Surface_Engine!$B$12:$B$72,$A1230+1)</f>
        <v>5183.10760858188</v>
      </c>
      <c r="N1231" s="12" t="n">
        <f aca="false">IF(B1231&lt;=0,0,MAX(0,(K1231+Assumptions!$B$29*L1231/INDEX(Surface_Engine!$B$12:$B$72,$A1231+1)-(M1231/INDEX(Surface_Engine!$B$12:$B$72,$A1231+1)-(F1231/INDEX(Surface_Engine!$B$12:$B$72,$A1231+1))))/B1231))</f>
        <v>6466.51686545813</v>
      </c>
    </row>
    <row r="1232" customFormat="false" ht="15" hidden="false" customHeight="true" outlineLevel="0" collapsed="false">
      <c r="A1232" s="1" t="n">
        <v>27</v>
      </c>
      <c r="B1232" s="32" t="n">
        <f aca="false">INDEX(Surface_Engine!$Q$12:$Q$72,$A1232+1)*IF($A1232&lt;$Q$1203,INDEX(Surface_Engine!$E$12:$E$72,$A1232+1),INDEX(Surface_Engine!$E$12:$E$72,$Q$1203+1))</f>
        <v>0.135133373729964</v>
      </c>
      <c r="C1232" s="32" t="n">
        <f aca="false">INDEX(Panel_Reserving!$F$8:$F$68,$A1232+1)*IF($A1232&lt;$Q$1203,INDEX(Surface_Engine!$E$12:$E$72,$A1232+1),INDEX(Surface_Engine!$E$12:$E$72,$Q$1203+1))</f>
        <v>0.195373520739773</v>
      </c>
      <c r="D1232" s="32" t="n">
        <f aca="false">INDEX(Surface_Engine!$Q$12:$Q$72,$A1232+1)*IF($A1232&lt;$Q$1203,INDEX(Surface_Engine!$Y$12:$Y$72,$A1232+1),INDEX(Surface_Engine!$Y$12:$Y$72,$Q$1203+1))</f>
        <v>0.119629653069555</v>
      </c>
      <c r="E1232" s="32" t="n">
        <f aca="false">INDEX(Surface_Engine!$Q$12:$Q$72,$A1232+1)*IF($A1232&lt;$Q$1203,INDEX(Surface_Engine!$Z$12:$Z$72,$A1232+1),INDEX(Surface_Engine!$Z$12:$Z$72,$Q$1203+1))</f>
        <v>0.152490207984663</v>
      </c>
      <c r="F1232" s="48" t="n">
        <f aca="false">B1232*(IF($A1232&lt;$Q$1203,INDEX(Surface_Engine!$D$12:$D$72,$A1232+1)+(Surface_Engine!Q246*12)*INDEX(Surface_Engine!$F$12:$F$72,$A1232+1)-(Surface_Engine!Q246*12),1000*12*INDEX(Surface_Engine!$C$12:$C$72,$A1232+1)/(1+Assumptions!$B$10)^20+INDEX(Surface_Engine!$D$12:$D$72,$A1232+1)))*INDEX(Surface_Engine!$B$12:$B$72,$A1232+1)+F1233</f>
        <v>3590.25571499806</v>
      </c>
      <c r="G1232" s="48" t="n">
        <f aca="false">C1232*(IF($A1232&lt;$Q$1203,INDEX(Surface_Engine!$D$12:$D$72,$A1232+1)+(Surface_Engine!Q246*12)*INDEX(Surface_Engine!$F$12:$F$72,$A1232+1)-(Surface_Engine!Q246*12),1000*12*INDEX(Surface_Engine!$C$12:$C$72,$A1232+1)/(1+Assumptions!$B$10)^20+INDEX(Surface_Engine!$D$12:$D$72,$A1232+1)))*INDEX(Surface_Engine!$B$12:$B$72,$A1232+1)+G1233</f>
        <v>6166.60761615466</v>
      </c>
      <c r="H1232" s="48" t="n">
        <f aca="false">D1232*(IF($A1232&lt;$Q$1203,INDEX(Surface_Engine!$D$12:$D$72,$A1232+1)+(Surface_Engine!Q246*12)*INDEX(Surface_Engine!$F$12:$F$72,$A1232+1)-(Surface_Engine!Q246*12),1000*12*INDEX(Surface_Engine!$C$12:$C$72,$A1232+1)/(1+Assumptions!$B$10)^20+INDEX(Surface_Engine!$D$12:$D$72,$A1232+1)))*INDEX(Surface_Engine!$B$12:$B$72,$A1232+1)+H1233</f>
        <v>3178.34916542876</v>
      </c>
      <c r="I1232" s="48" t="n">
        <f aca="false">E1232*(IF($A1232&lt;$Q$1203,INDEX(Surface_Engine!$D$12:$D$72,$A1232+1)+(Surface_Engine!Q246*12)*INDEX(Surface_Engine!$F$12:$F$72,$A1232+1)-(Surface_Engine!Q246*12),1000*12*INDEX(Surface_Engine!$C$12:$C$72,$A1232+1)/(1+Assumptions!$B$10)^20+INDEX(Surface_Engine!$D$12:$D$72,$A1232+1)))*INDEX(Surface_Engine!$B$12:$B$72,$A1232+1)+I1233</f>
        <v>4051.39622867849</v>
      </c>
      <c r="J1232" s="48" t="n">
        <f aca="false">B1232*(IF($A1232&lt;$Q$1203,INDEX(Surface_Engine!$D$12:$D$72,$A1232+1)*(1+Assumptions!$B$24)+(Surface_Engine!Q246*12)*INDEX(Surface_Engine!$F$12:$F$72,$A1232+1)-(Surface_Engine!Q246*12),1000*12*INDEX(Surface_Engine!$C$12:$C$72,$A1232+1)/(1+Assumptions!$B$10)^20+INDEX(Surface_Engine!$D$12:$D$72,$A1232+1)*(1+Assumptions!$B$24)))*INDEX(Surface_Engine!$B$12:$B$72,$A1232+1)+J1233</f>
        <v>3594.42770332602</v>
      </c>
      <c r="K1232" s="12" t="n">
        <f aca="false">SQRT((IF(C1232&lt;=0,0,MAX(0,(B1232/C1232)*G1232/INDEX(Surface_Engine!$B$12:$B$72,$A1232+1)-F1232/INDEX(Surface_Engine!$B$12:$B$72,$A1232+1))))^2+(MAX(IF(D1232&lt;=0,0,MAX(0,(B1232/D1232)*H1232/INDEX(Surface_Engine!$B$12:$B$72,$A1232+1)-F1232/INDEX(Surface_Engine!$B$12:$B$72,$A1232+1))),IF(E1232&lt;=0,0,MAX(0,(B1232/E1232)*I1232/INDEX(Surface_Engine!$B$12:$B$72,$A1232+1)-F1232/INDEX(Surface_Engine!$B$12:$B$72,$A1232+1))),IF($A1232&lt;$Q$1203,MAX(0,-Assumptions!$B$22*(F1232/INDEX(Surface_Engine!$B$12:$B$72,$A1232+1))),0)))^2+(MAX(0,J1232/INDEX(Surface_Engine!$B$12:$B$72,$A1232+1)-(F1232/INDEX(Surface_Engine!$B$12:$B$72,$A1232+1))))^2+2*Assumptions!$B$26*(IF(C1232&lt;=0,0,MAX(0,(B1232/C1232)*G1232/INDEX(Surface_Engine!$B$12:$B$72,$A1232+1)-F1232/INDEX(Surface_Engine!$B$12:$B$72,$A1232+1))))*(MAX(IF(D1232&lt;=0,0,MAX(0,(B1232/D1232)*H1232/INDEX(Surface_Engine!$B$12:$B$72,$A1232+1)-F1232/INDEX(Surface_Engine!$B$12:$B$72,$A1232+1))),IF(E1232&lt;=0,0,MAX(0,(B1232/E1232)*I1232/INDEX(Surface_Engine!$B$12:$B$72,$A1232+1)-F1232/INDEX(Surface_Engine!$B$12:$B$72,$A1232+1))),IF($A1232&lt;$Q$1203,MAX(0,-Assumptions!$B$22*(F1232/INDEX(Surface_Engine!$B$12:$B$72,$A1232+1))),0)))+2*Assumptions!$B$27*(IF(C1232&lt;=0,0,MAX(0,(B1232/C1232)*G1232/INDEX(Surface_Engine!$B$12:$B$72,$A1232+1)-F1232/INDEX(Surface_Engine!$B$12:$B$72,$A1232+1))))*(MAX(0,J1232/INDEX(Surface_Engine!$B$12:$B$72,$A1232+1)-(F1232/INDEX(Surface_Engine!$B$12:$B$72,$A1232+1))))+2*Assumptions!$B$28*(MAX(IF(D1232&lt;=0,0,MAX(0,(B1232/D1232)*H1232/INDEX(Surface_Engine!$B$12:$B$72,$A1232+1)-F1232/INDEX(Surface_Engine!$B$12:$B$72,$A1232+1))),IF(E1232&lt;=0,0,MAX(0,(B1232/E1232)*I1232/INDEX(Surface_Engine!$B$12:$B$72,$A1232+1)-F1232/INDEX(Surface_Engine!$B$12:$B$72,$A1232+1))),IF($A1232&lt;$Q$1203,MAX(0,-Assumptions!$B$22*(F1232/INDEX(Surface_Engine!$B$12:$B$72,$A1232+1))),0)))*(MAX(0,J1232/INDEX(Surface_Engine!$B$12:$B$72,$A1232+1)-(F1232/INDEX(Surface_Engine!$B$12:$B$72,$A1232+1)))))</f>
        <v>1573.33894385689</v>
      </c>
      <c r="L1232" s="48" t="n">
        <f aca="false">K1232*INDEX(Surface_Engine!$B$12:$B$72,$A1232+1)+L1233</f>
        <v>2668.17114215359</v>
      </c>
      <c r="M1232" s="48" t="n">
        <f aca="false">M1231+B1231*(IF($A1231&lt;$Q$1203,(Surface_Engine!Q246*12)-(Surface_Engine!Q246*12)*INDEX(Surface_Engine!$F$12:$F$72,$A1231+1)-INDEX(Surface_Engine!$D$12:$D$72,$A1231+1),-(1000*12*INDEX(Surface_Engine!$C$12:$C$72,$A1231+1)/(1+Assumptions!$B$10)^20+INDEX(Surface_Engine!$D$12:$D$72,$A1231+1))))*INDEX(Surface_Engine!$B$12:$B$72,$A1231+1)</f>
        <v>4189.67468105765</v>
      </c>
      <c r="N1232" s="12" t="n">
        <f aca="false">IF(B1232&lt;=0,0,MAX(0,(K1232+Assumptions!$B$29*L1232/INDEX(Surface_Engine!$B$12:$B$72,$A1232+1)-(M1232/INDEX(Surface_Engine!$B$12:$B$72,$A1232+1)-(F1232/INDEX(Surface_Engine!$B$12:$B$72,$A1232+1))))/B1232))</f>
        <v>4076.64289333105</v>
      </c>
    </row>
    <row r="1233" customFormat="false" ht="15" hidden="false" customHeight="true" outlineLevel="0" collapsed="false">
      <c r="A1233" s="1" t="n">
        <v>28</v>
      </c>
      <c r="B1233" s="32" t="n">
        <f aca="false">INDEX(Surface_Engine!$Q$12:$Q$72,$A1233+1)*IF($A1233&lt;$Q$1203,INDEX(Surface_Engine!$E$12:$E$72,$A1233+1),INDEX(Surface_Engine!$E$12:$E$72,$Q$1203+1))</f>
        <v>0.110106692212176</v>
      </c>
      <c r="C1233" s="32" t="n">
        <f aca="false">INDEX(Panel_Reserving!$F$8:$F$68,$A1233+1)*IF($A1233&lt;$Q$1203,INDEX(Surface_Engine!$E$12:$E$72,$A1233+1),INDEX(Surface_Engine!$E$12:$E$72,$Q$1203+1))</f>
        <v>0.166427002226388</v>
      </c>
      <c r="D1233" s="32" t="n">
        <f aca="false">INDEX(Surface_Engine!$Q$12:$Q$72,$A1233+1)*IF($A1233&lt;$Q$1203,INDEX(Surface_Engine!$Y$12:$Y$72,$A1233+1),INDEX(Surface_Engine!$Y$12:$Y$72,$Q$1203+1))</f>
        <v>0.0974742584041485</v>
      </c>
      <c r="E1233" s="32" t="n">
        <f aca="false">INDEX(Surface_Engine!$Q$12:$Q$72,$A1233+1)*IF($A1233&lt;$Q$1203,INDEX(Surface_Engine!$Z$12:$Z$72,$A1233+1),INDEX(Surface_Engine!$Z$12:$Z$72,$Q$1203+1))</f>
        <v>0.124249043241455</v>
      </c>
      <c r="F1233" s="48" t="n">
        <f aca="false">B1233*(IF($A1233&lt;$Q$1203,INDEX(Surface_Engine!$D$12:$D$72,$A1233+1)+(Surface_Engine!Q246*12)*INDEX(Surface_Engine!$F$12:$F$72,$A1233+1)-(Surface_Engine!Q246*12),1000*12*INDEX(Surface_Engine!$C$12:$C$72,$A1233+1)/(1+Assumptions!$B$10)^20+INDEX(Surface_Engine!$D$12:$D$72,$A1233+1)))*INDEX(Surface_Engine!$B$12:$B$72,$A1233+1)+F1234</f>
        <v>2780.60720719013</v>
      </c>
      <c r="G1233" s="48" t="n">
        <f aca="false">C1233*(IF($A1233&lt;$Q$1203,INDEX(Surface_Engine!$D$12:$D$72,$A1233+1)+(Surface_Engine!Q246*12)*INDEX(Surface_Engine!$F$12:$F$72,$A1233+1)-(Surface_Engine!Q246*12),1000*12*INDEX(Surface_Engine!$C$12:$C$72,$A1233+1)/(1+Assumptions!$B$10)^20+INDEX(Surface_Engine!$D$12:$D$72,$A1233+1)))*INDEX(Surface_Engine!$B$12:$B$72,$A1233+1)+G1234</f>
        <v>4996.03164986349</v>
      </c>
      <c r="H1233" s="48" t="n">
        <f aca="false">D1233*(IF($A1233&lt;$Q$1203,INDEX(Surface_Engine!$D$12:$D$72,$A1233+1)+(Surface_Engine!Q246*12)*INDEX(Surface_Engine!$F$12:$F$72,$A1233+1)-(Surface_Engine!Q246*12),1000*12*INDEX(Surface_Engine!$C$12:$C$72,$A1233+1)/(1+Assumptions!$B$10)^20+INDEX(Surface_Engine!$D$12:$D$72,$A1233+1)))*INDEX(Surface_Engine!$B$12:$B$72,$A1233+1)+H1234</f>
        <v>2461.59084419499</v>
      </c>
      <c r="I1233" s="48" t="n">
        <f aca="false">E1233*(IF($A1233&lt;$Q$1203,INDEX(Surface_Engine!$D$12:$D$72,$A1233+1)+(Surface_Engine!Q246*12)*INDEX(Surface_Engine!$F$12:$F$72,$A1233+1)-(Surface_Engine!Q246*12),1000*12*INDEX(Surface_Engine!$C$12:$C$72,$A1233+1)/(1+Assumptions!$B$10)^20+INDEX(Surface_Engine!$D$12:$D$72,$A1233+1)))*INDEX(Surface_Engine!$B$12:$B$72,$A1233+1)+I1234</f>
        <v>3137.75464671948</v>
      </c>
      <c r="J1233" s="48" t="n">
        <f aca="false">B1233*(IF($A1233&lt;$Q$1203,INDEX(Surface_Engine!$D$12:$D$72,$A1233+1)*(1+Assumptions!$B$24)+(Surface_Engine!Q246*12)*INDEX(Surface_Engine!$F$12:$F$72,$A1233+1)-(Surface_Engine!Q246*12),1000*12*INDEX(Surface_Engine!$C$12:$C$72,$A1233+1)/(1+Assumptions!$B$10)^20+INDEX(Surface_Engine!$D$12:$D$72,$A1233+1)*(1+Assumptions!$B$24)))*INDEX(Surface_Engine!$B$12:$B$72,$A1233+1)+J1234</f>
        <v>2783.85179145284</v>
      </c>
      <c r="K1233" s="12" t="n">
        <f aca="false">SQRT((IF(C1233&lt;=0,0,MAX(0,(B1233/C1233)*G1233/INDEX(Surface_Engine!$B$12:$B$72,$A1233+1)-F1233/INDEX(Surface_Engine!$B$12:$B$72,$A1233+1))))^2+(MAX(IF(D1233&lt;=0,0,MAX(0,(B1233/D1233)*H1233/INDEX(Surface_Engine!$B$12:$B$72,$A1233+1)-F1233/INDEX(Surface_Engine!$B$12:$B$72,$A1233+1))),IF(E1233&lt;=0,0,MAX(0,(B1233/E1233)*I1233/INDEX(Surface_Engine!$B$12:$B$72,$A1233+1)-F1233/INDEX(Surface_Engine!$B$12:$B$72,$A1233+1))),IF($A1233&lt;$Q$1203,MAX(0,-Assumptions!$B$22*(F1233/INDEX(Surface_Engine!$B$12:$B$72,$A1233+1))),0)))^2+(MAX(0,J1233/INDEX(Surface_Engine!$B$12:$B$72,$A1233+1)-(F1233/INDEX(Surface_Engine!$B$12:$B$72,$A1233+1))))^2+2*Assumptions!$B$26*(IF(C1233&lt;=0,0,MAX(0,(B1233/C1233)*G1233/INDEX(Surface_Engine!$B$12:$B$72,$A1233+1)-F1233/INDEX(Surface_Engine!$B$12:$B$72,$A1233+1))))*(MAX(IF(D1233&lt;=0,0,MAX(0,(B1233/D1233)*H1233/INDEX(Surface_Engine!$B$12:$B$72,$A1233+1)-F1233/INDEX(Surface_Engine!$B$12:$B$72,$A1233+1))),IF(E1233&lt;=0,0,MAX(0,(B1233/E1233)*I1233/INDEX(Surface_Engine!$B$12:$B$72,$A1233+1)-F1233/INDEX(Surface_Engine!$B$12:$B$72,$A1233+1))),IF($A1233&lt;$Q$1203,MAX(0,-Assumptions!$B$22*(F1233/INDEX(Surface_Engine!$B$12:$B$72,$A1233+1))),0)))+2*Assumptions!$B$27*(IF(C1233&lt;=0,0,MAX(0,(B1233/C1233)*G1233/INDEX(Surface_Engine!$B$12:$B$72,$A1233+1)-F1233/INDEX(Surface_Engine!$B$12:$B$72,$A1233+1))))*(MAX(0,J1233/INDEX(Surface_Engine!$B$12:$B$72,$A1233+1)-(F1233/INDEX(Surface_Engine!$B$12:$B$72,$A1233+1))))+2*Assumptions!$B$28*(MAX(IF(D1233&lt;=0,0,MAX(0,(B1233/D1233)*H1233/INDEX(Surface_Engine!$B$12:$B$72,$A1233+1)-F1233/INDEX(Surface_Engine!$B$12:$B$72,$A1233+1))),IF(E1233&lt;=0,0,MAX(0,(B1233/E1233)*I1233/INDEX(Surface_Engine!$B$12:$B$72,$A1233+1)-F1233/INDEX(Surface_Engine!$B$12:$B$72,$A1233+1))),IF($A1233&lt;$Q$1203,MAX(0,-Assumptions!$B$22*(F1233/INDEX(Surface_Engine!$B$12:$B$72,$A1233+1))),0)))*(MAX(0,J1233/INDEX(Surface_Engine!$B$12:$B$72,$A1233+1)-(F1233/INDEX(Surface_Engine!$B$12:$B$72,$A1233+1)))))</f>
        <v>1262.6557288835</v>
      </c>
      <c r="L1233" s="48" t="n">
        <f aca="false">K1233*INDEX(Surface_Engine!$B$12:$B$72,$A1233+1)+L1234</f>
        <v>1992.13416609348</v>
      </c>
      <c r="M1233" s="48" t="n">
        <f aca="false">M1232+B1232*(IF($A1232&lt;$Q$1203,(Surface_Engine!Q246*12)-(Surface_Engine!Q246*12)*INDEX(Surface_Engine!$F$12:$F$72,$A1232+1)-INDEX(Surface_Engine!$D$12:$D$72,$A1232+1),-(1000*12*INDEX(Surface_Engine!$C$12:$C$72,$A1232+1)/(1+Assumptions!$B$10)^20+INDEX(Surface_Engine!$D$12:$D$72,$A1232+1))))*INDEX(Surface_Engine!$B$12:$B$72,$A1232+1)</f>
        <v>3380.02617324972</v>
      </c>
      <c r="N1233" s="12" t="n">
        <f aca="false">IF(B1233&lt;=0,0,MAX(0,(K1233+Assumptions!$B$29*L1233/INDEX(Surface_Engine!$B$12:$B$72,$A1233+1)-(M1233/INDEX(Surface_Engine!$B$12:$B$72,$A1233+1)-(F1233/INDEX(Surface_Engine!$B$12:$B$72,$A1233+1))))/B1233))</f>
        <v>996.196514969347</v>
      </c>
    </row>
    <row r="1234" customFormat="false" ht="15" hidden="false" customHeight="true" outlineLevel="0" collapsed="false">
      <c r="A1234" s="1" t="n">
        <v>29</v>
      </c>
      <c r="B1234" s="32" t="n">
        <f aca="false">INDEX(Surface_Engine!$Q$12:$Q$72,$A1234+1)*IF($A1234&lt;$Q$1203,INDEX(Surface_Engine!$E$12:$E$72,$A1234+1),INDEX(Surface_Engine!$E$12:$E$72,$Q$1203+1))</f>
        <v>0.0886488061137288</v>
      </c>
      <c r="C1234" s="32" t="n">
        <f aca="false">INDEX(Panel_Reserving!$F$8:$F$68,$A1234+1)*IF($A1234&lt;$Q$1203,INDEX(Surface_Engine!$E$12:$E$72,$A1234+1),INDEX(Surface_Engine!$E$12:$E$72,$Q$1203+1))</f>
        <v>0.14048001146148</v>
      </c>
      <c r="D1234" s="32" t="n">
        <f aca="false">INDEX(Surface_Engine!$Q$12:$Q$72,$A1234+1)*IF($A1234&lt;$Q$1203,INDEX(Surface_Engine!$Y$12:$Y$72,$A1234+1),INDEX(Surface_Engine!$Y$12:$Y$72,$Q$1203+1))</f>
        <v>0.0784782147273814</v>
      </c>
      <c r="E1234" s="32" t="n">
        <f aca="false">INDEX(Surface_Engine!$Q$12:$Q$72,$A1234+1)*IF($A1234&lt;$Q$1203,INDEX(Surface_Engine!$Z$12:$Z$72,$A1234+1),INDEX(Surface_Engine!$Z$12:$Z$72,$Q$1203+1))</f>
        <v>0.100035058022658</v>
      </c>
      <c r="F1234" s="48" t="n">
        <f aca="false">B1234*(IF($A1234&lt;$Q$1203,INDEX(Surface_Engine!$D$12:$D$72,$A1234+1)+(Surface_Engine!Q246*12)*INDEX(Surface_Engine!$F$12:$F$72,$A1234+1)-(Surface_Engine!Q246*12),1000*12*INDEX(Surface_Engine!$C$12:$C$72,$A1234+1)/(1+Assumptions!$B$10)^20+INDEX(Surface_Engine!$D$12:$D$72,$A1234+1)))*INDEX(Surface_Engine!$B$12:$B$72,$A1234+1)+F1235</f>
        <v>2128.75467693569</v>
      </c>
      <c r="G1234" s="48" t="n">
        <f aca="false">C1234*(IF($A1234&lt;$Q$1203,INDEX(Surface_Engine!$D$12:$D$72,$A1234+1)+(Surface_Engine!Q246*12)*INDEX(Surface_Engine!$F$12:$F$72,$A1234+1)-(Surface_Engine!Q246*12),1000*12*INDEX(Surface_Engine!$C$12:$C$72,$A1234+1)/(1+Assumptions!$B$10)^20+INDEX(Surface_Engine!$D$12:$D$72,$A1234+1)))*INDEX(Surface_Engine!$B$12:$B$72,$A1234+1)+G1235</f>
        <v>4010.75218751364</v>
      </c>
      <c r="H1234" s="48" t="n">
        <f aca="false">D1234*(IF($A1234&lt;$Q$1203,INDEX(Surface_Engine!$D$12:$D$72,$A1234+1)+(Surface_Engine!Q246*12)*INDEX(Surface_Engine!$F$12:$F$72,$A1234+1)-(Surface_Engine!Q246*12),1000*12*INDEX(Surface_Engine!$C$12:$C$72,$A1234+1)/(1+Assumptions!$B$10)^20+INDEX(Surface_Engine!$D$12:$D$72,$A1234+1)))*INDEX(Surface_Engine!$B$12:$B$72,$A1234+1)+H1235</f>
        <v>1884.52472133862</v>
      </c>
      <c r="I1234" s="48" t="n">
        <f aca="false">E1234*(IF($A1234&lt;$Q$1203,INDEX(Surface_Engine!$D$12:$D$72,$A1234+1)+(Surface_Engine!Q246*12)*INDEX(Surface_Engine!$F$12:$F$72,$A1234+1)-(Surface_Engine!Q246*12),1000*12*INDEX(Surface_Engine!$C$12:$C$72,$A1234+1)/(1+Assumptions!$B$10)^20+INDEX(Surface_Engine!$D$12:$D$72,$A1234+1)))*INDEX(Surface_Engine!$B$12:$B$72,$A1234+1)+I1235</f>
        <v>2402.17671234139</v>
      </c>
      <c r="J1234" s="48" t="n">
        <f aca="false">B1234*(IF($A1234&lt;$Q$1203,INDEX(Surface_Engine!$D$12:$D$72,$A1234+1)*(1+Assumptions!$B$24)+(Surface_Engine!Q246*12)*INDEX(Surface_Engine!$F$12:$F$72,$A1234+1)-(Surface_Engine!Q246*12),1000*12*INDEX(Surface_Engine!$C$12:$C$72,$A1234+1)/(1+Assumptions!$B$10)^20+INDEX(Surface_Engine!$D$12:$D$72,$A1234+1)*(1+Assumptions!$B$24)))*INDEX(Surface_Engine!$B$12:$B$72,$A1234+1)+J1235</f>
        <v>2131.24898505007</v>
      </c>
      <c r="K1234" s="12" t="n">
        <f aca="false">SQRT((IF(C1234&lt;=0,0,MAX(0,(B1234/C1234)*G1234/INDEX(Surface_Engine!$B$12:$B$72,$A1234+1)-F1234/INDEX(Surface_Engine!$B$12:$B$72,$A1234+1))))^2+(MAX(IF(D1234&lt;=0,0,MAX(0,(B1234/D1234)*H1234/INDEX(Surface_Engine!$B$12:$B$72,$A1234+1)-F1234/INDEX(Surface_Engine!$B$12:$B$72,$A1234+1))),IF(E1234&lt;=0,0,MAX(0,(B1234/E1234)*I1234/INDEX(Surface_Engine!$B$12:$B$72,$A1234+1)-F1234/INDEX(Surface_Engine!$B$12:$B$72,$A1234+1))),IF($A1234&lt;$Q$1203,MAX(0,-Assumptions!$B$22*(F1234/INDEX(Surface_Engine!$B$12:$B$72,$A1234+1))),0)))^2+(MAX(0,J1234/INDEX(Surface_Engine!$B$12:$B$72,$A1234+1)-(F1234/INDEX(Surface_Engine!$B$12:$B$72,$A1234+1))))^2+2*Assumptions!$B$26*(IF(C1234&lt;=0,0,MAX(0,(B1234/C1234)*G1234/INDEX(Surface_Engine!$B$12:$B$72,$A1234+1)-F1234/INDEX(Surface_Engine!$B$12:$B$72,$A1234+1))))*(MAX(IF(D1234&lt;=0,0,MAX(0,(B1234/D1234)*H1234/INDEX(Surface_Engine!$B$12:$B$72,$A1234+1)-F1234/INDEX(Surface_Engine!$B$12:$B$72,$A1234+1))),IF(E1234&lt;=0,0,MAX(0,(B1234/E1234)*I1234/INDEX(Surface_Engine!$B$12:$B$72,$A1234+1)-F1234/INDEX(Surface_Engine!$B$12:$B$72,$A1234+1))),IF($A1234&lt;$Q$1203,MAX(0,-Assumptions!$B$22*(F1234/INDEX(Surface_Engine!$B$12:$B$72,$A1234+1))),0)))+2*Assumptions!$B$27*(IF(C1234&lt;=0,0,MAX(0,(B1234/C1234)*G1234/INDEX(Surface_Engine!$B$12:$B$72,$A1234+1)-F1234/INDEX(Surface_Engine!$B$12:$B$72,$A1234+1))))*(MAX(0,J1234/INDEX(Surface_Engine!$B$12:$B$72,$A1234+1)-(F1234/INDEX(Surface_Engine!$B$12:$B$72,$A1234+1))))+2*Assumptions!$B$28*(MAX(IF(D1234&lt;=0,0,MAX(0,(B1234/D1234)*H1234/INDEX(Surface_Engine!$B$12:$B$72,$A1234+1)-F1234/INDEX(Surface_Engine!$B$12:$B$72,$A1234+1))),IF(E1234&lt;=0,0,MAX(0,(B1234/E1234)*I1234/INDEX(Surface_Engine!$B$12:$B$72,$A1234+1)-F1234/INDEX(Surface_Engine!$B$12:$B$72,$A1234+1))),IF($A1234&lt;$Q$1203,MAX(0,-Assumptions!$B$22*(F1234/INDEX(Surface_Engine!$B$12:$B$72,$A1234+1))),0)))*(MAX(0,J1234/INDEX(Surface_Engine!$B$12:$B$72,$A1234+1)-(F1234/INDEX(Surface_Engine!$B$12:$B$72,$A1234+1)))))</f>
        <v>999.161868098903</v>
      </c>
      <c r="L1234" s="48" t="n">
        <f aca="false">K1234*INDEX(Surface_Engine!$B$12:$B$72,$A1234+1)+L1235</f>
        <v>1466.58869910646</v>
      </c>
      <c r="M1234" s="48" t="n">
        <f aca="false">M1233+B1233*(IF($A1233&lt;$Q$1203,(Surface_Engine!Q246*12)-(Surface_Engine!Q246*12)*INDEX(Surface_Engine!$F$12:$F$72,$A1233+1)-INDEX(Surface_Engine!$D$12:$D$72,$A1233+1),-(1000*12*INDEX(Surface_Engine!$C$12:$C$72,$A1233+1)/(1+Assumptions!$B$10)^20+INDEX(Surface_Engine!$D$12:$D$72,$A1233+1))))*INDEX(Surface_Engine!$B$12:$B$72,$A1233+1)</f>
        <v>2728.17364299528</v>
      </c>
      <c r="N1234" s="12" t="n">
        <f aca="false">IF(B1234&lt;=0,0,MAX(0,(K1234+Assumptions!$B$29*L1234/INDEX(Surface_Engine!$B$12:$B$72,$A1234+1)-(M1234/INDEX(Surface_Engine!$B$12:$B$72,$A1234+1)-(F1234/INDEX(Surface_Engine!$B$12:$B$72,$A1234+1))))/B1234))</f>
        <v>0</v>
      </c>
    </row>
    <row r="1235" customFormat="false" ht="15" hidden="false" customHeight="true" outlineLevel="0" collapsed="false">
      <c r="A1235" s="1" t="n">
        <v>30</v>
      </c>
      <c r="B1235" s="32" t="n">
        <f aca="false">INDEX(Surface_Engine!$Q$12:$Q$72,$A1235+1)*IF($A1235&lt;$Q$1203,INDEX(Surface_Engine!$E$12:$E$72,$A1235+1),INDEX(Surface_Engine!$E$12:$E$72,$Q$1203+1))</f>
        <v>0.0704990414305021</v>
      </c>
      <c r="C1235" s="32" t="n">
        <f aca="false">INDEX(Panel_Reserving!$F$8:$F$68,$A1235+1)*IF($A1235&lt;$Q$1203,INDEX(Surface_Engine!$E$12:$E$72,$A1235+1),INDEX(Surface_Engine!$E$12:$E$72,$Q$1203+1))</f>
        <v>0.117470752679568</v>
      </c>
      <c r="D1235" s="32" t="n">
        <f aca="false">INDEX(Surface_Engine!$Q$12:$Q$72,$A1235+1)*IF($A1235&lt;$Q$1203,INDEX(Surface_Engine!$Y$12:$Y$72,$A1235+1),INDEX(Surface_Engine!$Y$12:$Y$72,$Q$1203+1))</f>
        <v>0.0624107549103324</v>
      </c>
      <c r="E1235" s="32" t="n">
        <f aca="false">INDEX(Surface_Engine!$Q$12:$Q$72,$A1235+1)*IF($A1235&lt;$Q$1203,INDEX(Surface_Engine!$Z$12:$Z$72,$A1235+1),INDEX(Surface_Engine!$Z$12:$Z$72,$Q$1203+1))</f>
        <v>0.0795540967691598</v>
      </c>
      <c r="F1235" s="48" t="n">
        <f aca="false">B1235*(IF($A1235&lt;$Q$1203,INDEX(Surface_Engine!$D$12:$D$72,$A1235+1)+(Surface_Engine!Q246*12)*INDEX(Surface_Engine!$F$12:$F$72,$A1235+1)-(Surface_Engine!Q246*12),1000*12*INDEX(Surface_Engine!$C$12:$C$72,$A1235+1)/(1+Assumptions!$B$10)^20+INDEX(Surface_Engine!$D$12:$D$72,$A1235+1)))*INDEX(Surface_Engine!$B$12:$B$72,$A1235+1)+F1236</f>
        <v>1610.20119288725</v>
      </c>
      <c r="G1235" s="48" t="n">
        <f aca="false">C1235*(IF($A1235&lt;$Q$1203,INDEX(Surface_Engine!$D$12:$D$72,$A1235+1)+(Surface_Engine!Q246*12)*INDEX(Surface_Engine!$F$12:$F$72,$A1235+1)-(Surface_Engine!Q246*12),1000*12*INDEX(Surface_Engine!$C$12:$C$72,$A1235+1)/(1+Assumptions!$B$10)^20+INDEX(Surface_Engine!$D$12:$D$72,$A1235+1)))*INDEX(Surface_Engine!$B$12:$B$72,$A1235+1)+G1236</f>
        <v>3189.01072729522</v>
      </c>
      <c r="H1235" s="48" t="n">
        <f aca="false">D1235*(IF($A1235&lt;$Q$1203,INDEX(Surface_Engine!$D$12:$D$72,$A1235+1)+(Surface_Engine!Q246*12)*INDEX(Surface_Engine!$F$12:$F$72,$A1235+1)-(Surface_Engine!Q246*12),1000*12*INDEX(Surface_Engine!$C$12:$C$72,$A1235+1)/(1+Assumptions!$B$10)^20+INDEX(Surface_Engine!$D$12:$D$72,$A1235+1)))*INDEX(Surface_Engine!$B$12:$B$72,$A1235+1)+H1236</f>
        <v>1425.46437464228</v>
      </c>
      <c r="I1235" s="48" t="n">
        <f aca="false">E1235*(IF($A1235&lt;$Q$1203,INDEX(Surface_Engine!$D$12:$D$72,$A1235+1)+(Surface_Engine!Q246*12)*INDEX(Surface_Engine!$F$12:$F$72,$A1235+1)-(Surface_Engine!Q246*12),1000*12*INDEX(Surface_Engine!$C$12:$C$72,$A1235+1)/(1+Assumptions!$B$10)^20+INDEX(Surface_Engine!$D$12:$D$72,$A1235+1)))*INDEX(Surface_Engine!$B$12:$B$72,$A1235+1)+I1236</f>
        <v>1817.0190532739</v>
      </c>
      <c r="J1235" s="48" t="n">
        <f aca="false">B1235*(IF($A1235&lt;$Q$1203,INDEX(Surface_Engine!$D$12:$D$72,$A1235+1)*(1+Assumptions!$B$24)+(Surface_Engine!Q246*12)*INDEX(Surface_Engine!$F$12:$F$72,$A1235+1)-(Surface_Engine!Q246*12),1000*12*INDEX(Surface_Engine!$C$12:$C$72,$A1235+1)/(1+Assumptions!$B$10)^20+INDEX(Surface_Engine!$D$12:$D$72,$A1235+1)*(1+Assumptions!$B$24)))*INDEX(Surface_Engine!$B$12:$B$72,$A1235+1)+J1236</f>
        <v>1612.09575890708</v>
      </c>
      <c r="K1235" s="12" t="n">
        <f aca="false">SQRT((IF(C1235&lt;=0,0,MAX(0,(B1235/C1235)*G1235/INDEX(Surface_Engine!$B$12:$B$72,$A1235+1)-F1235/INDEX(Surface_Engine!$B$12:$B$72,$A1235+1))))^2+(MAX(IF(D1235&lt;=0,0,MAX(0,(B1235/D1235)*H1235/INDEX(Surface_Engine!$B$12:$B$72,$A1235+1)-F1235/INDEX(Surface_Engine!$B$12:$B$72,$A1235+1))),IF(E1235&lt;=0,0,MAX(0,(B1235/E1235)*I1235/INDEX(Surface_Engine!$B$12:$B$72,$A1235+1)-F1235/INDEX(Surface_Engine!$B$12:$B$72,$A1235+1))),IF($A1235&lt;$Q$1203,MAX(0,-Assumptions!$B$22*(F1235/INDEX(Surface_Engine!$B$12:$B$72,$A1235+1))),0)))^2+(MAX(0,J1235/INDEX(Surface_Engine!$B$12:$B$72,$A1235+1)-(F1235/INDEX(Surface_Engine!$B$12:$B$72,$A1235+1))))^2+2*Assumptions!$B$26*(IF(C1235&lt;=0,0,MAX(0,(B1235/C1235)*G1235/INDEX(Surface_Engine!$B$12:$B$72,$A1235+1)-F1235/INDEX(Surface_Engine!$B$12:$B$72,$A1235+1))))*(MAX(IF(D1235&lt;=0,0,MAX(0,(B1235/D1235)*H1235/INDEX(Surface_Engine!$B$12:$B$72,$A1235+1)-F1235/INDEX(Surface_Engine!$B$12:$B$72,$A1235+1))),IF(E1235&lt;=0,0,MAX(0,(B1235/E1235)*I1235/INDEX(Surface_Engine!$B$12:$B$72,$A1235+1)-F1235/INDEX(Surface_Engine!$B$12:$B$72,$A1235+1))),IF($A1235&lt;$Q$1203,MAX(0,-Assumptions!$B$22*(F1235/INDEX(Surface_Engine!$B$12:$B$72,$A1235+1))),0)))+2*Assumptions!$B$27*(IF(C1235&lt;=0,0,MAX(0,(B1235/C1235)*G1235/INDEX(Surface_Engine!$B$12:$B$72,$A1235+1)-F1235/INDEX(Surface_Engine!$B$12:$B$72,$A1235+1))))*(MAX(0,J1235/INDEX(Surface_Engine!$B$12:$B$72,$A1235+1)-(F1235/INDEX(Surface_Engine!$B$12:$B$72,$A1235+1))))+2*Assumptions!$B$28*(MAX(IF(D1235&lt;=0,0,MAX(0,(B1235/D1235)*H1235/INDEX(Surface_Engine!$B$12:$B$72,$A1235+1)-F1235/INDEX(Surface_Engine!$B$12:$B$72,$A1235+1))),IF(E1235&lt;=0,0,MAX(0,(B1235/E1235)*I1235/INDEX(Surface_Engine!$B$12:$B$72,$A1235+1)-F1235/INDEX(Surface_Engine!$B$12:$B$72,$A1235+1))),IF($A1235&lt;$Q$1203,MAX(0,-Assumptions!$B$22*(F1235/INDEX(Surface_Engine!$B$12:$B$72,$A1235+1))),0)))*(MAX(0,J1235/INDEX(Surface_Engine!$B$12:$B$72,$A1235+1)-(F1235/INDEX(Surface_Engine!$B$12:$B$72,$A1235+1)))))</f>
        <v>778.819619747526</v>
      </c>
      <c r="L1235" s="48" t="n">
        <f aca="false">K1235*INDEX(Surface_Engine!$B$12:$B$72,$A1235+1)+L1236</f>
        <v>1063.75894285362</v>
      </c>
      <c r="M1235" s="48" t="n">
        <f aca="false">M1234+B1234*(IF($A1234&lt;$Q$1203,(Surface_Engine!Q246*12)-(Surface_Engine!Q246*12)*INDEX(Surface_Engine!$F$12:$F$72,$A1234+1)-INDEX(Surface_Engine!$D$12:$D$72,$A1234+1),-(1000*12*INDEX(Surface_Engine!$C$12:$C$72,$A1234+1)/(1+Assumptions!$B$10)^20+INDEX(Surface_Engine!$D$12:$D$72,$A1234+1))))*INDEX(Surface_Engine!$B$12:$B$72,$A1234+1)</f>
        <v>2209.62015894684</v>
      </c>
      <c r="N1235" s="12" t="n">
        <f aca="false">IF(B1235&lt;=0,0,MAX(0,(K1235+Assumptions!$B$29*L1235/INDEX(Surface_Engine!$B$12:$B$72,$A1235+1)-(M1235/INDEX(Surface_Engine!$B$12:$B$72,$A1235+1)-(F1235/INDEX(Surface_Engine!$B$12:$B$72,$A1235+1))))/B1235))</f>
        <v>0</v>
      </c>
    </row>
    <row r="1236" customFormat="false" ht="15" hidden="false" customHeight="true" outlineLevel="0" collapsed="false">
      <c r="A1236" s="1" t="n">
        <v>31</v>
      </c>
      <c r="B1236" s="32" t="n">
        <f aca="false">INDEX(Surface_Engine!$Q$12:$Q$72,$A1236+1)*IF($A1236&lt;$Q$1203,INDEX(Surface_Engine!$E$12:$E$72,$A1236+1),INDEX(Surface_Engine!$E$12:$E$72,$Q$1203+1))</f>
        <v>0.0553380014745093</v>
      </c>
      <c r="C1236" s="32" t="n">
        <f aca="false">INDEX(Panel_Reserving!$F$8:$F$68,$A1236+1)*IF($A1236&lt;$Q$1203,INDEX(Surface_Engine!$E$12:$E$72,$A1236+1),INDEX(Surface_Engine!$E$12:$E$72,$Q$1203+1))</f>
        <v>0.0972607896627956</v>
      </c>
      <c r="D1236" s="32" t="n">
        <f aca="false">INDEX(Surface_Engine!$Q$12:$Q$72,$A1236+1)*IF($A1236&lt;$Q$1203,INDEX(Surface_Engine!$Y$12:$Y$72,$A1236+1),INDEX(Surface_Engine!$Y$12:$Y$72,$Q$1203+1))</f>
        <v>0.048989126336673</v>
      </c>
      <c r="E1236" s="32" t="n">
        <f aca="false">INDEX(Surface_Engine!$Q$12:$Q$72,$A1236+1)*IF($A1236&lt;$Q$1203,INDEX(Surface_Engine!$Z$12:$Z$72,$A1236+1),INDEX(Surface_Engine!$Z$12:$Z$72,$Q$1203+1))</f>
        <v>0.0624457387644749</v>
      </c>
      <c r="F1236" s="48" t="n">
        <f aca="false">B1236*(IF($A1236&lt;$Q$1203,INDEX(Surface_Engine!$D$12:$D$72,$A1236+1)+(Surface_Engine!Q246*12)*INDEX(Surface_Engine!$F$12:$F$72,$A1236+1)-(Surface_Engine!Q246*12),1000*12*INDEX(Surface_Engine!$C$12:$C$72,$A1236+1)/(1+Assumptions!$B$10)^20+INDEX(Surface_Engine!$D$12:$D$72,$A1236+1)))*INDEX(Surface_Engine!$B$12:$B$72,$A1236+1)+F1237</f>
        <v>1202.7531927083</v>
      </c>
      <c r="G1236" s="48" t="n">
        <f aca="false">C1236*(IF($A1236&lt;$Q$1203,INDEX(Surface_Engine!$D$12:$D$72,$A1236+1)+(Surface_Engine!Q246*12)*INDEX(Surface_Engine!$F$12:$F$72,$A1236+1)-(Surface_Engine!Q246*12),1000*12*INDEX(Surface_Engine!$C$12:$C$72,$A1236+1)/(1+Assumptions!$B$10)^20+INDEX(Surface_Engine!$D$12:$D$72,$A1236+1)))*INDEX(Surface_Engine!$B$12:$B$72,$A1236+1)+G1237</f>
        <v>2510.09052799024</v>
      </c>
      <c r="H1236" s="48" t="n">
        <f aca="false">D1236*(IF($A1236&lt;$Q$1203,INDEX(Surface_Engine!$D$12:$D$72,$A1236+1)+(Surface_Engine!Q246*12)*INDEX(Surface_Engine!$F$12:$F$72,$A1236+1)-(Surface_Engine!Q246*12),1000*12*INDEX(Surface_Engine!$C$12:$C$72,$A1236+1)/(1+Assumptions!$B$10)^20+INDEX(Surface_Engine!$D$12:$D$72,$A1236+1)))*INDEX(Surface_Engine!$B$12:$B$72,$A1236+1)+H1237</f>
        <v>1064.76248761107</v>
      </c>
      <c r="I1236" s="48" t="n">
        <f aca="false">E1236*(IF($A1236&lt;$Q$1203,INDEX(Surface_Engine!$D$12:$D$72,$A1236+1)+(Surface_Engine!Q246*12)*INDEX(Surface_Engine!$F$12:$F$72,$A1236+1)-(Surface_Engine!Q246*12),1000*12*INDEX(Surface_Engine!$C$12:$C$72,$A1236+1)/(1+Assumptions!$B$10)^20+INDEX(Surface_Engine!$D$12:$D$72,$A1236+1)))*INDEX(Surface_Engine!$B$12:$B$72,$A1236+1)+I1237</f>
        <v>1357.23751615058</v>
      </c>
      <c r="J1236" s="48" t="n">
        <f aca="false">B1236*(IF($A1236&lt;$Q$1203,INDEX(Surface_Engine!$D$12:$D$72,$A1236+1)*(1+Assumptions!$B$24)+(Surface_Engine!Q246*12)*INDEX(Surface_Engine!$F$12:$F$72,$A1236+1)-(Surface_Engine!Q246*12),1000*12*INDEX(Surface_Engine!$C$12:$C$72,$A1236+1)/(1+Assumptions!$B$10)^20+INDEX(Surface_Engine!$D$12:$D$72,$A1236+1)*(1+Assumptions!$B$24)))*INDEX(Surface_Engine!$B$12:$B$72,$A1236+1)+J1237</f>
        <v>1204.1742344635</v>
      </c>
      <c r="K1236" s="12" t="n">
        <f aca="false">SQRT((IF(C1236&lt;=0,0,MAX(0,(B1236/C1236)*G1236/INDEX(Surface_Engine!$B$12:$B$72,$A1236+1)-F1236/INDEX(Surface_Engine!$B$12:$B$72,$A1236+1))))^2+(MAX(IF(D1236&lt;=0,0,MAX(0,(B1236/D1236)*H1236/INDEX(Surface_Engine!$B$12:$B$72,$A1236+1)-F1236/INDEX(Surface_Engine!$B$12:$B$72,$A1236+1))),IF(E1236&lt;=0,0,MAX(0,(B1236/E1236)*I1236/INDEX(Surface_Engine!$B$12:$B$72,$A1236+1)-F1236/INDEX(Surface_Engine!$B$12:$B$72,$A1236+1))),IF($A1236&lt;$Q$1203,MAX(0,-Assumptions!$B$22*(F1236/INDEX(Surface_Engine!$B$12:$B$72,$A1236+1))),0)))^2+(MAX(0,J1236/INDEX(Surface_Engine!$B$12:$B$72,$A1236+1)-(F1236/INDEX(Surface_Engine!$B$12:$B$72,$A1236+1))))^2+2*Assumptions!$B$26*(IF(C1236&lt;=0,0,MAX(0,(B1236/C1236)*G1236/INDEX(Surface_Engine!$B$12:$B$72,$A1236+1)-F1236/INDEX(Surface_Engine!$B$12:$B$72,$A1236+1))))*(MAX(IF(D1236&lt;=0,0,MAX(0,(B1236/D1236)*H1236/INDEX(Surface_Engine!$B$12:$B$72,$A1236+1)-F1236/INDEX(Surface_Engine!$B$12:$B$72,$A1236+1))),IF(E1236&lt;=0,0,MAX(0,(B1236/E1236)*I1236/INDEX(Surface_Engine!$B$12:$B$72,$A1236+1)-F1236/INDEX(Surface_Engine!$B$12:$B$72,$A1236+1))),IF($A1236&lt;$Q$1203,MAX(0,-Assumptions!$B$22*(F1236/INDEX(Surface_Engine!$B$12:$B$72,$A1236+1))),0)))+2*Assumptions!$B$27*(IF(C1236&lt;=0,0,MAX(0,(B1236/C1236)*G1236/INDEX(Surface_Engine!$B$12:$B$72,$A1236+1)-F1236/INDEX(Surface_Engine!$B$12:$B$72,$A1236+1))))*(MAX(0,J1236/INDEX(Surface_Engine!$B$12:$B$72,$A1236+1)-(F1236/INDEX(Surface_Engine!$B$12:$B$72,$A1236+1))))+2*Assumptions!$B$28*(MAX(IF(D1236&lt;=0,0,MAX(0,(B1236/D1236)*H1236/INDEX(Surface_Engine!$B$12:$B$72,$A1236+1)-F1236/INDEX(Surface_Engine!$B$12:$B$72,$A1236+1))),IF(E1236&lt;=0,0,MAX(0,(B1236/E1236)*I1236/INDEX(Surface_Engine!$B$12:$B$72,$A1236+1)-F1236/INDEX(Surface_Engine!$B$12:$B$72,$A1236+1))),IF($A1236&lt;$Q$1203,MAX(0,-Assumptions!$B$22*(F1236/INDEX(Surface_Engine!$B$12:$B$72,$A1236+1))),0)))*(MAX(0,J1236/INDEX(Surface_Engine!$B$12:$B$72,$A1236+1)-(F1236/INDEX(Surface_Engine!$B$12:$B$72,$A1236+1)))))</f>
        <v>596.707189466681</v>
      </c>
      <c r="L1236" s="48" t="n">
        <f aca="false">K1236*INDEX(Surface_Engine!$B$12:$B$72,$A1236+1)+L1237</f>
        <v>759.624157182677</v>
      </c>
      <c r="M1236" s="48" t="n">
        <f aca="false">M1235+B1235*(IF($A1235&lt;$Q$1203,(Surface_Engine!Q246*12)-(Surface_Engine!Q246*12)*INDEX(Surface_Engine!$F$12:$F$72,$A1235+1)-INDEX(Surface_Engine!$D$12:$D$72,$A1235+1),-(1000*12*INDEX(Surface_Engine!$C$12:$C$72,$A1235+1)/(1+Assumptions!$B$10)^20+INDEX(Surface_Engine!$D$12:$D$72,$A1235+1))))*INDEX(Surface_Engine!$B$12:$B$72,$A1235+1)</f>
        <v>1802.17215876789</v>
      </c>
      <c r="N1236" s="12" t="n">
        <f aca="false">IF(B1236&lt;=0,0,MAX(0,(K1236+Assumptions!$B$29*L1236/INDEX(Surface_Engine!$B$12:$B$72,$A1236+1)-(M1236/INDEX(Surface_Engine!$B$12:$B$72,$A1236+1)-(F1236/INDEX(Surface_Engine!$B$12:$B$72,$A1236+1))))/B1236))</f>
        <v>0</v>
      </c>
    </row>
    <row r="1237" customFormat="false" ht="15" hidden="false" customHeight="true" outlineLevel="0" collapsed="false">
      <c r="A1237" s="1" t="n">
        <v>32</v>
      </c>
      <c r="B1237" s="32" t="n">
        <f aca="false">INDEX(Surface_Engine!$Q$12:$Q$72,$A1237+1)*IF($A1237&lt;$Q$1203,INDEX(Surface_Engine!$E$12:$E$72,$A1237+1),INDEX(Surface_Engine!$E$12:$E$72,$Q$1203+1))</f>
        <v>0.0428224686048343</v>
      </c>
      <c r="C1237" s="32" t="n">
        <f aca="false">INDEX(Panel_Reserving!$F$8:$F$68,$A1237+1)*IF($A1237&lt;$Q$1203,INDEX(Surface_Engine!$E$12:$E$72,$A1237+1),INDEX(Surface_Engine!$E$12:$E$72,$Q$1203+1))</f>
        <v>0.0796631811114137</v>
      </c>
      <c r="D1237" s="32" t="n">
        <f aca="false">INDEX(Surface_Engine!$Q$12:$Q$72,$A1237+1)*IF($A1237&lt;$Q$1203,INDEX(Surface_Engine!$Y$12:$Y$72,$A1237+1),INDEX(Surface_Engine!$Y$12:$Y$72,$Q$1203+1))</f>
        <v>0.0379094883919287</v>
      </c>
      <c r="E1237" s="32" t="n">
        <f aca="false">INDEX(Surface_Engine!$Q$12:$Q$72,$A1237+1)*IF($A1237&lt;$Q$1203,INDEX(Surface_Engine!$Z$12:$Z$72,$A1237+1),INDEX(Surface_Engine!$Z$12:$Z$72,$Q$1203+1))</f>
        <v>0.0483226827224541</v>
      </c>
      <c r="F1237" s="48" t="n">
        <f aca="false">B1237*(IF($A1237&lt;$Q$1203,INDEX(Surface_Engine!$D$12:$D$72,$A1237+1)+(Surface_Engine!Q246*12)*INDEX(Surface_Engine!$F$12:$F$72,$A1237+1)-(Surface_Engine!Q246*12),1000*12*INDEX(Surface_Engine!$C$12:$C$72,$A1237+1)/(1+Assumptions!$B$10)^20+INDEX(Surface_Engine!$D$12:$D$72,$A1237+1)))*INDEX(Surface_Engine!$B$12:$B$72,$A1237+1)+F1238</f>
        <v>886.675005584261</v>
      </c>
      <c r="G1237" s="48" t="n">
        <f aca="false">C1237*(IF($A1237&lt;$Q$1203,INDEX(Surface_Engine!$D$12:$D$72,$A1237+1)+(Surface_Engine!Q246*12)*INDEX(Surface_Engine!$F$12:$F$72,$A1237+1)-(Surface_Engine!Q246*12),1000*12*INDEX(Surface_Engine!$C$12:$C$72,$A1237+1)/(1+Assumptions!$B$10)^20+INDEX(Surface_Engine!$D$12:$D$72,$A1237+1)))*INDEX(Surface_Engine!$B$12:$B$72,$A1237+1)+G1238</f>
        <v>1954.55882724696</v>
      </c>
      <c r="H1237" s="48" t="n">
        <f aca="false">D1237*(IF($A1237&lt;$Q$1203,INDEX(Surface_Engine!$D$12:$D$72,$A1237+1)+(Surface_Engine!Q246*12)*INDEX(Surface_Engine!$F$12:$F$72,$A1237+1)-(Surface_Engine!Q246*12),1000*12*INDEX(Surface_Engine!$C$12:$C$72,$A1237+1)/(1+Assumptions!$B$10)^20+INDEX(Surface_Engine!$D$12:$D$72,$A1237+1)))*INDEX(Surface_Engine!$B$12:$B$72,$A1237+1)+H1238</f>
        <v>784.947643766038</v>
      </c>
      <c r="I1237" s="48" t="n">
        <f aca="false">E1237*(IF($A1237&lt;$Q$1203,INDEX(Surface_Engine!$D$12:$D$72,$A1237+1)+(Surface_Engine!Q246*12)*INDEX(Surface_Engine!$F$12:$F$72,$A1237+1)-(Surface_Engine!Q246*12),1000*12*INDEX(Surface_Engine!$C$12:$C$72,$A1237+1)/(1+Assumptions!$B$10)^20+INDEX(Surface_Engine!$D$12:$D$72,$A1237+1)))*INDEX(Surface_Engine!$B$12:$B$72,$A1237+1)+I1238</f>
        <v>1000.56153623851</v>
      </c>
      <c r="J1237" s="48" t="n">
        <f aca="false">B1237*(IF($A1237&lt;$Q$1203,INDEX(Surface_Engine!$D$12:$D$72,$A1237+1)*(1+Assumptions!$B$24)+(Surface_Engine!Q246*12)*INDEX(Surface_Engine!$F$12:$F$72,$A1237+1)-(Surface_Engine!Q246*12),1000*12*INDEX(Surface_Engine!$C$12:$C$72,$A1237+1)/(1+Assumptions!$B$10)^20+INDEX(Surface_Engine!$D$12:$D$72,$A1237+1)*(1+Assumptions!$B$24)))*INDEX(Surface_Engine!$B$12:$B$72,$A1237+1)+J1238</f>
        <v>887.726930782275</v>
      </c>
      <c r="K1237" s="12" t="n">
        <f aca="false">SQRT((IF(C1237&lt;=0,0,MAX(0,(B1237/C1237)*G1237/INDEX(Surface_Engine!$B$12:$B$72,$A1237+1)-F1237/INDEX(Surface_Engine!$B$12:$B$72,$A1237+1))))^2+(MAX(IF(D1237&lt;=0,0,MAX(0,(B1237/D1237)*H1237/INDEX(Surface_Engine!$B$12:$B$72,$A1237+1)-F1237/INDEX(Surface_Engine!$B$12:$B$72,$A1237+1))),IF(E1237&lt;=0,0,MAX(0,(B1237/E1237)*I1237/INDEX(Surface_Engine!$B$12:$B$72,$A1237+1)-F1237/INDEX(Surface_Engine!$B$12:$B$72,$A1237+1))),IF($A1237&lt;$Q$1203,MAX(0,-Assumptions!$B$22*(F1237/INDEX(Surface_Engine!$B$12:$B$72,$A1237+1))),0)))^2+(MAX(0,J1237/INDEX(Surface_Engine!$B$12:$B$72,$A1237+1)-(F1237/INDEX(Surface_Engine!$B$12:$B$72,$A1237+1))))^2+2*Assumptions!$B$26*(IF(C1237&lt;=0,0,MAX(0,(B1237/C1237)*G1237/INDEX(Surface_Engine!$B$12:$B$72,$A1237+1)-F1237/INDEX(Surface_Engine!$B$12:$B$72,$A1237+1))))*(MAX(IF(D1237&lt;=0,0,MAX(0,(B1237/D1237)*H1237/INDEX(Surface_Engine!$B$12:$B$72,$A1237+1)-F1237/INDEX(Surface_Engine!$B$12:$B$72,$A1237+1))),IF(E1237&lt;=0,0,MAX(0,(B1237/E1237)*I1237/INDEX(Surface_Engine!$B$12:$B$72,$A1237+1)-F1237/INDEX(Surface_Engine!$B$12:$B$72,$A1237+1))),IF($A1237&lt;$Q$1203,MAX(0,-Assumptions!$B$22*(F1237/INDEX(Surface_Engine!$B$12:$B$72,$A1237+1))),0)))+2*Assumptions!$B$27*(IF(C1237&lt;=0,0,MAX(0,(B1237/C1237)*G1237/INDEX(Surface_Engine!$B$12:$B$72,$A1237+1)-F1237/INDEX(Surface_Engine!$B$12:$B$72,$A1237+1))))*(MAX(0,J1237/INDEX(Surface_Engine!$B$12:$B$72,$A1237+1)-(F1237/INDEX(Surface_Engine!$B$12:$B$72,$A1237+1))))+2*Assumptions!$B$28*(MAX(IF(D1237&lt;=0,0,MAX(0,(B1237/D1237)*H1237/INDEX(Surface_Engine!$B$12:$B$72,$A1237+1)-F1237/INDEX(Surface_Engine!$B$12:$B$72,$A1237+1))),IF(E1237&lt;=0,0,MAX(0,(B1237/E1237)*I1237/INDEX(Surface_Engine!$B$12:$B$72,$A1237+1)-F1237/INDEX(Surface_Engine!$B$12:$B$72,$A1237+1))),IF($A1237&lt;$Q$1203,MAX(0,-Assumptions!$B$22*(F1237/INDEX(Surface_Engine!$B$12:$B$72,$A1237+1))),0)))*(MAX(0,J1237/INDEX(Surface_Engine!$B$12:$B$72,$A1237+1)-(F1237/INDEX(Surface_Engine!$B$12:$B$72,$A1237+1)))))</f>
        <v>448.241217847349</v>
      </c>
      <c r="L1237" s="48" t="n">
        <f aca="false">K1237*INDEX(Surface_Engine!$B$12:$B$72,$A1237+1)+L1238</f>
        <v>533.863819069468</v>
      </c>
      <c r="M1237" s="48" t="n">
        <f aca="false">M1236+B1236*(IF($A1236&lt;$Q$1203,(Surface_Engine!Q246*12)-(Surface_Engine!Q246*12)*INDEX(Surface_Engine!$F$12:$F$72,$A1236+1)-INDEX(Surface_Engine!$D$12:$D$72,$A1236+1),-(1000*12*INDEX(Surface_Engine!$C$12:$C$72,$A1236+1)/(1+Assumptions!$B$10)^20+INDEX(Surface_Engine!$D$12:$D$72,$A1236+1))))*INDEX(Surface_Engine!$B$12:$B$72,$A1236+1)</f>
        <v>1486.09397164385</v>
      </c>
      <c r="N1237" s="12" t="n">
        <f aca="false">IF(B1237&lt;=0,0,MAX(0,(K1237+Assumptions!$B$29*L1237/INDEX(Surface_Engine!$B$12:$B$72,$A1237+1)-(M1237/INDEX(Surface_Engine!$B$12:$B$72,$A1237+1)-(F1237/INDEX(Surface_Engine!$B$12:$B$72,$A1237+1))))/B1237))</f>
        <v>0</v>
      </c>
    </row>
    <row r="1238" customFormat="false" ht="15" hidden="false" customHeight="true" outlineLevel="0" collapsed="false">
      <c r="A1238" s="1" t="n">
        <v>33</v>
      </c>
      <c r="B1238" s="32" t="n">
        <f aca="false">INDEX(Surface_Engine!$Q$12:$Q$72,$A1238+1)*IF($A1238&lt;$Q$1203,INDEX(Surface_Engine!$E$12:$E$72,$A1238+1),INDEX(Surface_Engine!$E$12:$E$72,$Q$1203+1))</f>
        <v>0.0326091577375739</v>
      </c>
      <c r="C1238" s="32" t="n">
        <f aca="false">INDEX(Panel_Reserving!$F$8:$F$68,$A1238+1)*IF($A1238&lt;$Q$1203,INDEX(Surface_Engine!$E$12:$E$72,$A1238+1),INDEX(Surface_Engine!$E$12:$E$72,$Q$1203+1))</f>
        <v>0.0644632197850574</v>
      </c>
      <c r="D1238" s="32" t="n">
        <f aca="false">INDEX(Surface_Engine!$Q$12:$Q$72,$A1238+1)*IF($A1238&lt;$Q$1203,INDEX(Surface_Engine!$Y$12:$Y$72,$A1238+1),INDEX(Surface_Engine!$Y$12:$Y$72,$Q$1203+1))</f>
        <v>0.028867940756306</v>
      </c>
      <c r="E1238" s="32" t="n">
        <f aca="false">INDEX(Surface_Engine!$Q$12:$Q$72,$A1238+1)*IF($A1238&lt;$Q$1203,INDEX(Surface_Engine!$Z$12:$Z$72,$A1238+1),INDEX(Surface_Engine!$Z$12:$Z$72,$Q$1203+1))</f>
        <v>0.0367975512514324</v>
      </c>
      <c r="F1238" s="48" t="n">
        <f aca="false">B1238*(IF($A1238&lt;$Q$1203,INDEX(Surface_Engine!$D$12:$D$72,$A1238+1)+(Surface_Engine!Q246*12)*INDEX(Surface_Engine!$F$12:$F$72,$A1238+1)-(Surface_Engine!Q246*12),1000*12*INDEX(Surface_Engine!$C$12:$C$72,$A1238+1)/(1+Assumptions!$B$10)^20+INDEX(Surface_Engine!$D$12:$D$72,$A1238+1)))*INDEX(Surface_Engine!$B$12:$B$72,$A1238+1)+F1239</f>
        <v>645.027758348163</v>
      </c>
      <c r="G1238" s="48" t="n">
        <f aca="false">C1238*(IF($A1238&lt;$Q$1203,INDEX(Surface_Engine!$D$12:$D$72,$A1238+1)+(Surface_Engine!Q246*12)*INDEX(Surface_Engine!$F$12:$F$72,$A1238+1)-(Surface_Engine!Q246*12),1000*12*INDEX(Surface_Engine!$C$12:$C$72,$A1238+1)/(1+Assumptions!$B$10)^20+INDEX(Surface_Engine!$D$12:$D$72,$A1238+1)))*INDEX(Surface_Engine!$B$12:$B$72,$A1238+1)+G1239</f>
        <v>1505.01939038529</v>
      </c>
      <c r="H1238" s="48" t="n">
        <f aca="false">D1238*(IF($A1238&lt;$Q$1203,INDEX(Surface_Engine!$D$12:$D$72,$A1238+1)+(Surface_Engine!Q246*12)*INDEX(Surface_Engine!$F$12:$F$72,$A1238+1)-(Surface_Engine!Q246*12),1000*12*INDEX(Surface_Engine!$C$12:$C$72,$A1238+1)/(1+Assumptions!$B$10)^20+INDEX(Surface_Engine!$D$12:$D$72,$A1238+1)))*INDEX(Surface_Engine!$B$12:$B$72,$A1238+1)+H1239</f>
        <v>571.024350399336</v>
      </c>
      <c r="I1238" s="48" t="n">
        <f aca="false">E1238*(IF($A1238&lt;$Q$1203,INDEX(Surface_Engine!$D$12:$D$72,$A1238+1)+(Surface_Engine!Q246*12)*INDEX(Surface_Engine!$F$12:$F$72,$A1238+1)-(Surface_Engine!Q246*12),1000*12*INDEX(Surface_Engine!$C$12:$C$72,$A1238+1)/(1+Assumptions!$B$10)^20+INDEX(Surface_Engine!$D$12:$D$72,$A1238+1)))*INDEX(Surface_Engine!$B$12:$B$72,$A1238+1)+I1239</f>
        <v>727.876573428447</v>
      </c>
      <c r="J1238" s="48" t="n">
        <f aca="false">B1238*(IF($A1238&lt;$Q$1203,INDEX(Surface_Engine!$D$12:$D$72,$A1238+1)*(1+Assumptions!$B$24)+(Surface_Engine!Q246*12)*INDEX(Surface_Engine!$F$12:$F$72,$A1238+1)-(Surface_Engine!Q246*12),1000*12*INDEX(Surface_Engine!$C$12:$C$72,$A1238+1)/(1+Assumptions!$B$10)^20+INDEX(Surface_Engine!$D$12:$D$72,$A1238+1)*(1+Assumptions!$B$24)))*INDEX(Surface_Engine!$B$12:$B$72,$A1238+1)+J1239</f>
        <v>645.796120465512</v>
      </c>
      <c r="K1238" s="12" t="n">
        <f aca="false">SQRT((IF(C1238&lt;=0,0,MAX(0,(B1238/C1238)*G1238/INDEX(Surface_Engine!$B$12:$B$72,$A1238+1)-F1238/INDEX(Surface_Engine!$B$12:$B$72,$A1238+1))))^2+(MAX(IF(D1238&lt;=0,0,MAX(0,(B1238/D1238)*H1238/INDEX(Surface_Engine!$B$12:$B$72,$A1238+1)-F1238/INDEX(Surface_Engine!$B$12:$B$72,$A1238+1))),IF(E1238&lt;=0,0,MAX(0,(B1238/E1238)*I1238/INDEX(Surface_Engine!$B$12:$B$72,$A1238+1)-F1238/INDEX(Surface_Engine!$B$12:$B$72,$A1238+1))),IF($A1238&lt;$Q$1203,MAX(0,-Assumptions!$B$22*(F1238/INDEX(Surface_Engine!$B$12:$B$72,$A1238+1))),0)))^2+(MAX(0,J1238/INDEX(Surface_Engine!$B$12:$B$72,$A1238+1)-(F1238/INDEX(Surface_Engine!$B$12:$B$72,$A1238+1))))^2+2*Assumptions!$B$26*(IF(C1238&lt;=0,0,MAX(0,(B1238/C1238)*G1238/INDEX(Surface_Engine!$B$12:$B$72,$A1238+1)-F1238/INDEX(Surface_Engine!$B$12:$B$72,$A1238+1))))*(MAX(IF(D1238&lt;=0,0,MAX(0,(B1238/D1238)*H1238/INDEX(Surface_Engine!$B$12:$B$72,$A1238+1)-F1238/INDEX(Surface_Engine!$B$12:$B$72,$A1238+1))),IF(E1238&lt;=0,0,MAX(0,(B1238/E1238)*I1238/INDEX(Surface_Engine!$B$12:$B$72,$A1238+1)-F1238/INDEX(Surface_Engine!$B$12:$B$72,$A1238+1))),IF($A1238&lt;$Q$1203,MAX(0,-Assumptions!$B$22*(F1238/INDEX(Surface_Engine!$B$12:$B$72,$A1238+1))),0)))+2*Assumptions!$B$27*(IF(C1238&lt;=0,0,MAX(0,(B1238/C1238)*G1238/INDEX(Surface_Engine!$B$12:$B$72,$A1238+1)-F1238/INDEX(Surface_Engine!$B$12:$B$72,$A1238+1))))*(MAX(0,J1238/INDEX(Surface_Engine!$B$12:$B$72,$A1238+1)-(F1238/INDEX(Surface_Engine!$B$12:$B$72,$A1238+1))))+2*Assumptions!$B$28*(MAX(IF(D1238&lt;=0,0,MAX(0,(B1238/D1238)*H1238/INDEX(Surface_Engine!$B$12:$B$72,$A1238+1)-F1238/INDEX(Surface_Engine!$B$12:$B$72,$A1238+1))),IF(E1238&lt;=0,0,MAX(0,(B1238/E1238)*I1238/INDEX(Surface_Engine!$B$12:$B$72,$A1238+1)-F1238/INDEX(Surface_Engine!$B$12:$B$72,$A1238+1))),IF($A1238&lt;$Q$1203,MAX(0,-Assumptions!$B$22*(F1238/INDEX(Surface_Engine!$B$12:$B$72,$A1238+1))),0)))*(MAX(0,J1238/INDEX(Surface_Engine!$B$12:$B$72,$A1238+1)-(F1238/INDEX(Surface_Engine!$B$12:$B$72,$A1238+1)))))</f>
        <v>328.242392623554</v>
      </c>
      <c r="L1238" s="48" t="n">
        <f aca="false">K1238*INDEX(Surface_Engine!$B$12:$B$72,$A1238+1)+L1239</f>
        <v>369.611227412863</v>
      </c>
      <c r="M1238" s="48" t="n">
        <f aca="false">M1237+B1237*(IF($A1237&lt;$Q$1203,(Surface_Engine!Q246*12)-(Surface_Engine!Q246*12)*INDEX(Surface_Engine!$F$12:$F$72,$A1237+1)-INDEX(Surface_Engine!$D$12:$D$72,$A1237+1),-(1000*12*INDEX(Surface_Engine!$C$12:$C$72,$A1237+1)/(1+Assumptions!$B$10)^20+INDEX(Surface_Engine!$D$12:$D$72,$A1237+1))))*INDEX(Surface_Engine!$B$12:$B$72,$A1237+1)</f>
        <v>1244.44672440775</v>
      </c>
      <c r="N1238" s="12" t="n">
        <f aca="false">IF(B1238&lt;=0,0,MAX(0,(K1238+Assumptions!$B$29*L1238/INDEX(Surface_Engine!$B$12:$B$72,$A1238+1)-(M1238/INDEX(Surface_Engine!$B$12:$B$72,$A1238+1)-(F1238/INDEX(Surface_Engine!$B$12:$B$72,$A1238+1))))/B1238))</f>
        <v>0</v>
      </c>
    </row>
    <row r="1239" customFormat="false" ht="15" hidden="false" customHeight="true" outlineLevel="0" collapsed="false">
      <c r="A1239" s="1" t="n">
        <v>34</v>
      </c>
      <c r="B1239" s="32" t="n">
        <f aca="false">INDEX(Surface_Engine!$Q$12:$Q$72,$A1239+1)*IF($A1239&lt;$Q$1203,INDEX(Surface_Engine!$E$12:$E$72,$A1239+1),INDEX(Surface_Engine!$E$12:$E$72,$Q$1203+1))</f>
        <v>0.0243702492927493</v>
      </c>
      <c r="C1239" s="32" t="n">
        <f aca="false">INDEX(Panel_Reserving!$F$8:$F$68,$A1239+1)*IF($A1239&lt;$Q$1203,INDEX(Surface_Engine!$E$12:$E$72,$A1239+1),INDEX(Surface_Engine!$E$12:$E$72,$Q$1203+1))</f>
        <v>0.0514335900070216</v>
      </c>
      <c r="D1239" s="32" t="n">
        <f aca="false">INDEX(Surface_Engine!$Q$12:$Q$72,$A1239+1)*IF($A1239&lt;$Q$1203,INDEX(Surface_Engine!$Y$12:$Y$72,$A1239+1),INDEX(Surface_Engine!$Y$12:$Y$72,$Q$1203+1))</f>
        <v>0.0215742742716983</v>
      </c>
      <c r="E1239" s="32" t="n">
        <f aca="false">INDEX(Surface_Engine!$Q$12:$Q$72,$A1239+1)*IF($A1239&lt;$Q$1203,INDEX(Surface_Engine!$Z$12:$Z$72,$A1239+1),INDEX(Surface_Engine!$Z$12:$Z$72,$Q$1203+1))</f>
        <v>0.0275004188877539</v>
      </c>
      <c r="F1239" s="48" t="n">
        <f aca="false">B1239*(IF($A1239&lt;$Q$1203,INDEX(Surface_Engine!$D$12:$D$72,$A1239+1)+(Surface_Engine!Q246*12)*INDEX(Surface_Engine!$F$12:$F$72,$A1239+1)-(Surface_Engine!Q246*12),1000*12*INDEX(Surface_Engine!$C$12:$C$72,$A1239+1)/(1+Assumptions!$B$10)^20+INDEX(Surface_Engine!$D$12:$D$72,$A1239+1)))*INDEX(Surface_Engine!$B$12:$B$72,$A1239+1)+F1240</f>
        <v>463.236865833235</v>
      </c>
      <c r="G1239" s="48" t="n">
        <f aca="false">C1239*(IF($A1239&lt;$Q$1203,INDEX(Surface_Engine!$D$12:$D$72,$A1239+1)+(Surface_Engine!Q246*12)*INDEX(Surface_Engine!$F$12:$F$72,$A1239+1)-(Surface_Engine!Q246*12),1000*12*INDEX(Surface_Engine!$C$12:$C$72,$A1239+1)/(1+Assumptions!$B$10)^20+INDEX(Surface_Engine!$D$12:$D$72,$A1239+1)))*INDEX(Surface_Engine!$B$12:$B$72,$A1239+1)+G1240</f>
        <v>1145.64714429969</v>
      </c>
      <c r="H1239" s="48" t="n">
        <f aca="false">D1239*(IF($A1239&lt;$Q$1203,INDEX(Surface_Engine!$D$12:$D$72,$A1239+1)+(Surface_Engine!Q246*12)*INDEX(Surface_Engine!$F$12:$F$72,$A1239+1)-(Surface_Engine!Q246*12),1000*12*INDEX(Surface_Engine!$C$12:$C$72,$A1239+1)/(1+Assumptions!$B$10)^20+INDEX(Surface_Engine!$D$12:$D$72,$A1239+1)))*INDEX(Surface_Engine!$B$12:$B$72,$A1239+1)+H1240</f>
        <v>410.090150338412</v>
      </c>
      <c r="I1239" s="48" t="n">
        <f aca="false">E1239*(IF($A1239&lt;$Q$1203,INDEX(Surface_Engine!$D$12:$D$72,$A1239+1)+(Surface_Engine!Q246*12)*INDEX(Surface_Engine!$F$12:$F$72,$A1239+1)-(Surface_Engine!Q246*12),1000*12*INDEX(Surface_Engine!$C$12:$C$72,$A1239+1)/(1+Assumptions!$B$10)^20+INDEX(Surface_Engine!$D$12:$D$72,$A1239+1)))*INDEX(Surface_Engine!$B$12:$B$72,$A1239+1)+I1240</f>
        <v>522.736050076206</v>
      </c>
      <c r="J1239" s="48" t="n">
        <f aca="false">B1239*(IF($A1239&lt;$Q$1203,INDEX(Surface_Engine!$D$12:$D$72,$A1239+1)*(1+Assumptions!$B$24)+(Surface_Engine!Q246*12)*INDEX(Surface_Engine!$F$12:$F$72,$A1239+1)-(Surface_Engine!Q246*12),1000*12*INDEX(Surface_Engine!$C$12:$C$72,$A1239+1)/(1+Assumptions!$B$10)^20+INDEX(Surface_Engine!$D$12:$D$72,$A1239+1)*(1+Assumptions!$B$24)))*INDEX(Surface_Engine!$B$12:$B$72,$A1239+1)+J1240</f>
        <v>463.79087045802</v>
      </c>
      <c r="K1239" s="12" t="n">
        <f aca="false">SQRT((IF(C1239&lt;=0,0,MAX(0,(B1239/C1239)*G1239/INDEX(Surface_Engine!$B$12:$B$72,$A1239+1)-F1239/INDEX(Surface_Engine!$B$12:$B$72,$A1239+1))))^2+(MAX(IF(D1239&lt;=0,0,MAX(0,(B1239/D1239)*H1239/INDEX(Surface_Engine!$B$12:$B$72,$A1239+1)-F1239/INDEX(Surface_Engine!$B$12:$B$72,$A1239+1))),IF(E1239&lt;=0,0,MAX(0,(B1239/E1239)*I1239/INDEX(Surface_Engine!$B$12:$B$72,$A1239+1)-F1239/INDEX(Surface_Engine!$B$12:$B$72,$A1239+1))),IF($A1239&lt;$Q$1203,MAX(0,-Assumptions!$B$22*(F1239/INDEX(Surface_Engine!$B$12:$B$72,$A1239+1))),0)))^2+(MAX(0,J1239/INDEX(Surface_Engine!$B$12:$B$72,$A1239+1)-(F1239/INDEX(Surface_Engine!$B$12:$B$72,$A1239+1))))^2+2*Assumptions!$B$26*(IF(C1239&lt;=0,0,MAX(0,(B1239/C1239)*G1239/INDEX(Surface_Engine!$B$12:$B$72,$A1239+1)-F1239/INDEX(Surface_Engine!$B$12:$B$72,$A1239+1))))*(MAX(IF(D1239&lt;=0,0,MAX(0,(B1239/D1239)*H1239/INDEX(Surface_Engine!$B$12:$B$72,$A1239+1)-F1239/INDEX(Surface_Engine!$B$12:$B$72,$A1239+1))),IF(E1239&lt;=0,0,MAX(0,(B1239/E1239)*I1239/INDEX(Surface_Engine!$B$12:$B$72,$A1239+1)-F1239/INDEX(Surface_Engine!$B$12:$B$72,$A1239+1))),IF($A1239&lt;$Q$1203,MAX(0,-Assumptions!$B$22*(F1239/INDEX(Surface_Engine!$B$12:$B$72,$A1239+1))),0)))+2*Assumptions!$B$27*(IF(C1239&lt;=0,0,MAX(0,(B1239/C1239)*G1239/INDEX(Surface_Engine!$B$12:$B$72,$A1239+1)-F1239/INDEX(Surface_Engine!$B$12:$B$72,$A1239+1))))*(MAX(0,J1239/INDEX(Surface_Engine!$B$12:$B$72,$A1239+1)-(F1239/INDEX(Surface_Engine!$B$12:$B$72,$A1239+1))))+2*Assumptions!$B$28*(MAX(IF(D1239&lt;=0,0,MAX(0,(B1239/D1239)*H1239/INDEX(Surface_Engine!$B$12:$B$72,$A1239+1)-F1239/INDEX(Surface_Engine!$B$12:$B$72,$A1239+1))),IF(E1239&lt;=0,0,MAX(0,(B1239/E1239)*I1239/INDEX(Surface_Engine!$B$12:$B$72,$A1239+1)-F1239/INDEX(Surface_Engine!$B$12:$B$72,$A1239+1))),IF($A1239&lt;$Q$1203,MAX(0,-Assumptions!$B$22*(F1239/INDEX(Surface_Engine!$B$12:$B$72,$A1239+1))),0)))*(MAX(0,J1239/INDEX(Surface_Engine!$B$12:$B$72,$A1239+1)-(F1239/INDEX(Surface_Engine!$B$12:$B$72,$A1239+1)))))</f>
        <v>231.98695612284</v>
      </c>
      <c r="L1239" s="48" t="n">
        <f aca="false">K1239*INDEX(Surface_Engine!$B$12:$B$72,$A1239+1)+L1240</f>
        <v>253.120234759928</v>
      </c>
      <c r="M1239" s="48" t="n">
        <f aca="false">M1238+B1238*(IF($A1238&lt;$Q$1203,(Surface_Engine!Q246*12)-(Surface_Engine!Q246*12)*INDEX(Surface_Engine!$F$12:$F$72,$A1238+1)-INDEX(Surface_Engine!$D$12:$D$72,$A1238+1),-(1000*12*INDEX(Surface_Engine!$C$12:$C$72,$A1238+1)/(1+Assumptions!$B$10)^20+INDEX(Surface_Engine!$D$12:$D$72,$A1238+1))))*INDEX(Surface_Engine!$B$12:$B$72,$A1238+1)</f>
        <v>1062.65583189282</v>
      </c>
      <c r="N1239" s="12" t="n">
        <f aca="false">IF(B1239&lt;=0,0,MAX(0,(K1239+Assumptions!$B$29*L1239/INDEX(Surface_Engine!$B$12:$B$72,$A1239+1)-(M1239/INDEX(Surface_Engine!$B$12:$B$72,$A1239+1)-(F1239/INDEX(Surface_Engine!$B$12:$B$72,$A1239+1))))/B1239))</f>
        <v>0</v>
      </c>
    </row>
    <row r="1240" customFormat="false" ht="15" hidden="false" customHeight="true" outlineLevel="0" collapsed="false">
      <c r="A1240" s="1" t="n">
        <v>35</v>
      </c>
      <c r="B1240" s="32" t="n">
        <f aca="false">INDEX(Surface_Engine!$Q$12:$Q$72,$A1240+1)*IF($A1240&lt;$Q$1203,INDEX(Surface_Engine!$E$12:$E$72,$A1240+1),INDEX(Surface_Engine!$E$12:$E$72,$Q$1203+1))</f>
        <v>0.0184681994853624</v>
      </c>
      <c r="C1240" s="32" t="n">
        <f aca="false">INDEX(Panel_Reserving!$F$8:$F$68,$A1240+1)*IF($A1240&lt;$Q$1203,INDEX(Surface_Engine!$E$12:$E$72,$A1240+1),INDEX(Surface_Engine!$E$12:$E$72,$Q$1203+1))</f>
        <v>0.0414685344559657</v>
      </c>
      <c r="D1240" s="32" t="n">
        <f aca="false">INDEX(Surface_Engine!$Q$12:$Q$72,$A1240+1)*IF($A1240&lt;$Q$1203,INDEX(Surface_Engine!$Y$12:$Y$72,$A1240+1),INDEX(Surface_Engine!$Y$12:$Y$72,$Q$1203+1))</f>
        <v>0.0163493609037553</v>
      </c>
      <c r="E1240" s="32" t="n">
        <f aca="false">INDEX(Surface_Engine!$Q$12:$Q$72,$A1240+1)*IF($A1240&lt;$Q$1203,INDEX(Surface_Engine!$Z$12:$Z$72,$A1240+1),INDEX(Surface_Engine!$Z$12:$Z$72,$Q$1203+1))</f>
        <v>0.0208402965373511</v>
      </c>
      <c r="F1240" s="48" t="n">
        <f aca="false">B1240*(IF($A1240&lt;$Q$1203,INDEX(Surface_Engine!$D$12:$D$72,$A1240+1)+(Surface_Engine!Q246*12)*INDEX(Surface_Engine!$F$12:$F$72,$A1240+1)-(Surface_Engine!Q246*12),1000*12*INDEX(Surface_Engine!$C$12:$C$72,$A1240+1)/(1+Assumptions!$B$10)^20+INDEX(Surface_Engine!$D$12:$D$72,$A1240+1)))*INDEX(Surface_Engine!$B$12:$B$72,$A1240+1)+F1241</f>
        <v>329.022751051577</v>
      </c>
      <c r="G1240" s="48" t="n">
        <f aca="false">C1240*(IF($A1240&lt;$Q$1203,INDEX(Surface_Engine!$D$12:$D$72,$A1240+1)+(Surface_Engine!Q246*12)*INDEX(Surface_Engine!$F$12:$F$72,$A1240+1)-(Surface_Engine!Q246*12),1000*12*INDEX(Surface_Engine!$C$12:$C$72,$A1240+1)/(1+Assumptions!$B$10)^20+INDEX(Surface_Engine!$D$12:$D$72,$A1240+1)))*INDEX(Surface_Engine!$B$12:$B$72,$A1240+1)+G1241</f>
        <v>862.387269937673</v>
      </c>
      <c r="H1240" s="48" t="n">
        <f aca="false">D1240*(IF($A1240&lt;$Q$1203,INDEX(Surface_Engine!$D$12:$D$72,$A1240+1)+(Surface_Engine!Q246*12)*INDEX(Surface_Engine!$F$12:$F$72,$A1240+1)-(Surface_Engine!Q246*12),1000*12*INDEX(Surface_Engine!$C$12:$C$72,$A1240+1)/(1+Assumptions!$B$10)^20+INDEX(Surface_Engine!$D$12:$D$72,$A1240+1)))*INDEX(Surface_Engine!$B$12:$B$72,$A1240+1)+H1241</f>
        <v>291.274290531258</v>
      </c>
      <c r="I1240" s="48" t="n">
        <f aca="false">E1240*(IF($A1240&lt;$Q$1203,INDEX(Surface_Engine!$D$12:$D$72,$A1240+1)+(Surface_Engine!Q246*12)*INDEX(Surface_Engine!$F$12:$F$72,$A1240+1)-(Surface_Engine!Q246*12),1000*12*INDEX(Surface_Engine!$C$12:$C$72,$A1240+1)/(1+Assumptions!$B$10)^20+INDEX(Surface_Engine!$D$12:$D$72,$A1240+1)))*INDEX(Surface_Engine!$B$12:$B$72,$A1240+1)+I1241</f>
        <v>371.283172725345</v>
      </c>
      <c r="J1240" s="48" t="n">
        <f aca="false">B1240*(IF($A1240&lt;$Q$1203,INDEX(Surface_Engine!$D$12:$D$72,$A1240+1)*(1+Assumptions!$B$24)+(Surface_Engine!Q246*12)*INDEX(Surface_Engine!$F$12:$F$72,$A1240+1)-(Surface_Engine!Q246*12),1000*12*INDEX(Surface_Engine!$C$12:$C$72,$A1240+1)/(1+Assumptions!$B$10)^20+INDEX(Surface_Engine!$D$12:$D$72,$A1240+1)*(1+Assumptions!$B$24)))*INDEX(Surface_Engine!$B$12:$B$72,$A1240+1)+J1241</f>
        <v>329.417731436115</v>
      </c>
      <c r="K1240" s="12" t="n">
        <f aca="false">SQRT((IF(C1240&lt;=0,0,MAX(0,(B1240/C1240)*G1240/INDEX(Surface_Engine!$B$12:$B$72,$A1240+1)-F1240/INDEX(Surface_Engine!$B$12:$B$72,$A1240+1))))^2+(MAX(IF(D1240&lt;=0,0,MAX(0,(B1240/D1240)*H1240/INDEX(Surface_Engine!$B$12:$B$72,$A1240+1)-F1240/INDEX(Surface_Engine!$B$12:$B$72,$A1240+1))),IF(E1240&lt;=0,0,MAX(0,(B1240/E1240)*I1240/INDEX(Surface_Engine!$B$12:$B$72,$A1240+1)-F1240/INDEX(Surface_Engine!$B$12:$B$72,$A1240+1))),IF($A1240&lt;$Q$1203,MAX(0,-Assumptions!$B$22*(F1240/INDEX(Surface_Engine!$B$12:$B$72,$A1240+1))),0)))^2+(MAX(0,J1240/INDEX(Surface_Engine!$B$12:$B$72,$A1240+1)-(F1240/INDEX(Surface_Engine!$B$12:$B$72,$A1240+1))))^2+2*Assumptions!$B$26*(IF(C1240&lt;=0,0,MAX(0,(B1240/C1240)*G1240/INDEX(Surface_Engine!$B$12:$B$72,$A1240+1)-F1240/INDEX(Surface_Engine!$B$12:$B$72,$A1240+1))))*(MAX(IF(D1240&lt;=0,0,MAX(0,(B1240/D1240)*H1240/INDEX(Surface_Engine!$B$12:$B$72,$A1240+1)-F1240/INDEX(Surface_Engine!$B$12:$B$72,$A1240+1))),IF(E1240&lt;=0,0,MAX(0,(B1240/E1240)*I1240/INDEX(Surface_Engine!$B$12:$B$72,$A1240+1)-F1240/INDEX(Surface_Engine!$B$12:$B$72,$A1240+1))),IF($A1240&lt;$Q$1203,MAX(0,-Assumptions!$B$22*(F1240/INDEX(Surface_Engine!$B$12:$B$72,$A1240+1))),0)))+2*Assumptions!$B$27*(IF(C1240&lt;=0,0,MAX(0,(B1240/C1240)*G1240/INDEX(Surface_Engine!$B$12:$B$72,$A1240+1)-F1240/INDEX(Surface_Engine!$B$12:$B$72,$A1240+1))))*(MAX(0,J1240/INDEX(Surface_Engine!$B$12:$B$72,$A1240+1)-(F1240/INDEX(Surface_Engine!$B$12:$B$72,$A1240+1))))+2*Assumptions!$B$28*(MAX(IF(D1240&lt;=0,0,MAX(0,(B1240/D1240)*H1240/INDEX(Surface_Engine!$B$12:$B$72,$A1240+1)-F1240/INDEX(Surface_Engine!$B$12:$B$72,$A1240+1))),IF(E1240&lt;=0,0,MAX(0,(B1240/E1240)*I1240/INDEX(Surface_Engine!$B$12:$B$72,$A1240+1)-F1240/INDEX(Surface_Engine!$B$12:$B$72,$A1240+1))),IF($A1240&lt;$Q$1203,MAX(0,-Assumptions!$B$22*(F1240/INDEX(Surface_Engine!$B$12:$B$72,$A1240+1))),0)))*(MAX(0,J1240/INDEX(Surface_Engine!$B$12:$B$72,$A1240+1)-(F1240/INDEX(Surface_Engine!$B$12:$B$72,$A1240+1)))))</f>
        <v>165.679044897285</v>
      </c>
      <c r="L1240" s="48" t="n">
        <f aca="false">K1240*INDEX(Surface_Engine!$B$12:$B$72,$A1240+1)+L1241</f>
        <v>173.386584196554</v>
      </c>
      <c r="M1240" s="48" t="n">
        <f aca="false">M1239+B1239*(IF($A1239&lt;$Q$1203,(Surface_Engine!Q246*12)-(Surface_Engine!Q246*12)*INDEX(Surface_Engine!$F$12:$F$72,$A1239+1)-INDEX(Surface_Engine!$D$12:$D$72,$A1239+1),-(1000*12*INDEX(Surface_Engine!$C$12:$C$72,$A1239+1)/(1+Assumptions!$B$10)^20+INDEX(Surface_Engine!$D$12:$D$72,$A1239+1))))*INDEX(Surface_Engine!$B$12:$B$72,$A1239+1)</f>
        <v>928.441717111167</v>
      </c>
      <c r="N1240" s="12" t="n">
        <f aca="false">IF(B1240&lt;=0,0,MAX(0,(K1240+Assumptions!$B$29*L1240/INDEX(Surface_Engine!$B$12:$B$72,$A1240+1)-(M1240/INDEX(Surface_Engine!$B$12:$B$72,$A1240+1)-(F1240/INDEX(Surface_Engine!$B$12:$B$72,$A1240+1))))/B1240))</f>
        <v>0</v>
      </c>
    </row>
    <row r="1241" customFormat="false" ht="15" hidden="false" customHeight="true" outlineLevel="0" collapsed="false">
      <c r="A1241" s="1" t="n">
        <v>36</v>
      </c>
      <c r="B1241" s="32" t="n">
        <f aca="false">INDEX(Surface_Engine!$Q$12:$Q$72,$A1241+1)*IF($A1241&lt;$Q$1203,INDEX(Surface_Engine!$E$12:$E$72,$A1241+1),INDEX(Surface_Engine!$E$12:$E$72,$Q$1203+1))</f>
        <v>0.0161805622283893</v>
      </c>
      <c r="C1241" s="32" t="n">
        <f aca="false">INDEX(Panel_Reserving!$F$8:$F$68,$A1241+1)*IF($A1241&lt;$Q$1203,INDEX(Surface_Engine!$E$12:$E$72,$A1241+1),INDEX(Surface_Engine!$E$12:$E$72,$Q$1203+1))</f>
        <v>0.037359202000954</v>
      </c>
      <c r="D1241" s="32" t="n">
        <f aca="false">INDEX(Surface_Engine!$Q$12:$Q$72,$A1241+1)*IF($A1241&lt;$Q$1203,INDEX(Surface_Engine!$Y$12:$Y$72,$A1241+1),INDEX(Surface_Engine!$Y$12:$Y$72,$Q$1203+1))</f>
        <v>0.0143241820464025</v>
      </c>
      <c r="E1241" s="32" t="n">
        <f aca="false">INDEX(Surface_Engine!$Q$12:$Q$72,$A1241+1)*IF($A1241&lt;$Q$1203,INDEX(Surface_Engine!$Z$12:$Z$72,$A1241+1),INDEX(Surface_Engine!$Z$12:$Z$72,$Q$1203+1))</f>
        <v>0.0182588300092796</v>
      </c>
      <c r="F1241" s="48" t="n">
        <f aca="false">B1241*(IF($A1241&lt;$Q$1203,INDEX(Surface_Engine!$D$12:$D$72,$A1241+1)+(Surface_Engine!Q246*12)*INDEX(Surface_Engine!$F$12:$F$72,$A1241+1)-(Surface_Engine!Q246*12),1000*12*INDEX(Surface_Engine!$C$12:$C$72,$A1241+1)/(1+Assumptions!$B$10)^20+INDEX(Surface_Engine!$D$12:$D$72,$A1241+1)))*INDEX(Surface_Engine!$B$12:$B$72,$A1241+1)+F1242</f>
        <v>228.549200826818</v>
      </c>
      <c r="G1241" s="48" t="n">
        <f aca="false">C1241*(IF($A1241&lt;$Q$1203,INDEX(Surface_Engine!$D$12:$D$72,$A1241+1)+(Surface_Engine!Q246*12)*INDEX(Surface_Engine!$F$12:$F$72,$A1241+1)-(Surface_Engine!Q246*12),1000*12*INDEX(Surface_Engine!$C$12:$C$72,$A1241+1)/(1+Assumptions!$B$10)^20+INDEX(Surface_Engine!$D$12:$D$72,$A1241+1)))*INDEX(Surface_Engine!$B$12:$B$72,$A1241+1)+G1242</f>
        <v>636.783746285519</v>
      </c>
      <c r="H1241" s="48" t="n">
        <f aca="false">D1241*(IF($A1241&lt;$Q$1203,INDEX(Surface_Engine!$D$12:$D$72,$A1241+1)+(Surface_Engine!Q246*12)*INDEX(Surface_Engine!$F$12:$F$72,$A1241+1)-(Surface_Engine!Q246*12),1000*12*INDEX(Surface_Engine!$C$12:$C$72,$A1241+1)/(1+Assumptions!$B$10)^20+INDEX(Surface_Engine!$D$12:$D$72,$A1241+1)))*INDEX(Surface_Engine!$B$12:$B$72,$A1241+1)+H1242</f>
        <v>202.32797309473</v>
      </c>
      <c r="I1241" s="48" t="n">
        <f aca="false">E1241*(IF($A1241&lt;$Q$1203,INDEX(Surface_Engine!$D$12:$D$72,$A1241+1)+(Surface_Engine!Q246*12)*INDEX(Surface_Engine!$F$12:$F$72,$A1241+1)-(Surface_Engine!Q246*12),1000*12*INDEX(Surface_Engine!$C$12:$C$72,$A1241+1)/(1+Assumptions!$B$10)^20+INDEX(Surface_Engine!$D$12:$D$72,$A1241+1)))*INDEX(Surface_Engine!$B$12:$B$72,$A1241+1)+I1242</f>
        <v>257.904573880123</v>
      </c>
      <c r="J1241" s="48" t="n">
        <f aca="false">B1241*(IF($A1241&lt;$Q$1203,INDEX(Surface_Engine!$D$12:$D$72,$A1241+1)*(1+Assumptions!$B$24)+(Surface_Engine!Q246*12)*INDEX(Surface_Engine!$F$12:$F$72,$A1241+1)-(Surface_Engine!Q246*12),1000*12*INDEX(Surface_Engine!$C$12:$C$72,$A1241+1)/(1+Assumptions!$B$10)^20+INDEX(Surface_Engine!$D$12:$D$72,$A1241+1)*(1+Assumptions!$B$24)))*INDEX(Surface_Engine!$B$12:$B$72,$A1241+1)+J1242</f>
        <v>228.824558027744</v>
      </c>
      <c r="K1241" s="12" t="n">
        <f aca="false">SQRT((IF(C1241&lt;=0,0,MAX(0,(B1241/C1241)*G1241/INDEX(Surface_Engine!$B$12:$B$72,$A1241+1)-F1241/INDEX(Surface_Engine!$B$12:$B$72,$A1241+1))))^2+(MAX(IF(D1241&lt;=0,0,MAX(0,(B1241/D1241)*H1241/INDEX(Surface_Engine!$B$12:$B$72,$A1241+1)-F1241/INDEX(Surface_Engine!$B$12:$B$72,$A1241+1))),IF(E1241&lt;=0,0,MAX(0,(B1241/E1241)*I1241/INDEX(Surface_Engine!$B$12:$B$72,$A1241+1)-F1241/INDEX(Surface_Engine!$B$12:$B$72,$A1241+1))),IF($A1241&lt;$Q$1203,MAX(0,-Assumptions!$B$22*(F1241/INDEX(Surface_Engine!$B$12:$B$72,$A1241+1))),0)))^2+(MAX(0,J1241/INDEX(Surface_Engine!$B$12:$B$72,$A1241+1)-(F1241/INDEX(Surface_Engine!$B$12:$B$72,$A1241+1))))^2+2*Assumptions!$B$26*(IF(C1241&lt;=0,0,MAX(0,(B1241/C1241)*G1241/INDEX(Surface_Engine!$B$12:$B$72,$A1241+1)-F1241/INDEX(Surface_Engine!$B$12:$B$72,$A1241+1))))*(MAX(IF(D1241&lt;=0,0,MAX(0,(B1241/D1241)*H1241/INDEX(Surface_Engine!$B$12:$B$72,$A1241+1)-F1241/INDEX(Surface_Engine!$B$12:$B$72,$A1241+1))),IF(E1241&lt;=0,0,MAX(0,(B1241/E1241)*I1241/INDEX(Surface_Engine!$B$12:$B$72,$A1241+1)-F1241/INDEX(Surface_Engine!$B$12:$B$72,$A1241+1))),IF($A1241&lt;$Q$1203,MAX(0,-Assumptions!$B$22*(F1241/INDEX(Surface_Engine!$B$12:$B$72,$A1241+1))),0)))+2*Assumptions!$B$27*(IF(C1241&lt;=0,0,MAX(0,(B1241/C1241)*G1241/INDEX(Surface_Engine!$B$12:$B$72,$A1241+1)-F1241/INDEX(Surface_Engine!$B$12:$B$72,$A1241+1))))*(MAX(0,J1241/INDEX(Surface_Engine!$B$12:$B$72,$A1241+1)-(F1241/INDEX(Surface_Engine!$B$12:$B$72,$A1241+1))))+2*Assumptions!$B$28*(MAX(IF(D1241&lt;=0,0,MAX(0,(B1241/D1241)*H1241/INDEX(Surface_Engine!$B$12:$B$72,$A1241+1)-F1241/INDEX(Surface_Engine!$B$12:$B$72,$A1241+1))),IF(E1241&lt;=0,0,MAX(0,(B1241/E1241)*I1241/INDEX(Surface_Engine!$B$12:$B$72,$A1241+1)-F1241/INDEX(Surface_Engine!$B$12:$B$72,$A1241+1))),IF($A1241&lt;$Q$1203,MAX(0,-Assumptions!$B$22*(F1241/INDEX(Surface_Engine!$B$12:$B$72,$A1241+1))),0)))*(MAX(0,J1241/INDEX(Surface_Engine!$B$12:$B$72,$A1241+1)-(F1241/INDEX(Surface_Engine!$B$12:$B$72,$A1241+1)))))</f>
        <v>146.747875950436</v>
      </c>
      <c r="L1241" s="48" t="n">
        <f aca="false">K1241*INDEX(Surface_Engine!$B$12:$B$72,$A1241+1)+L1242</f>
        <v>118.241190624343</v>
      </c>
      <c r="M1241" s="48" t="n">
        <f aca="false">M1240+B1240*(IF($A1240&lt;$Q$1203,(Surface_Engine!Q246*12)-(Surface_Engine!Q246*12)*INDEX(Surface_Engine!$F$12:$F$72,$A1240+1)-INDEX(Surface_Engine!$D$12:$D$72,$A1240+1),-(1000*12*INDEX(Surface_Engine!$C$12:$C$72,$A1240+1)/(1+Assumptions!$B$10)^20+INDEX(Surface_Engine!$D$12:$D$72,$A1240+1))))*INDEX(Surface_Engine!$B$12:$B$72,$A1240+1)</f>
        <v>827.968166886408</v>
      </c>
      <c r="N1241" s="12" t="n">
        <f aca="false">IF(B1241&lt;=0,0,MAX(0,(K1241+Assumptions!$B$29*L1241/INDEX(Surface_Engine!$B$12:$B$72,$A1241+1)-(M1241/INDEX(Surface_Engine!$B$12:$B$72,$A1241+1)-(F1241/INDEX(Surface_Engine!$B$12:$B$72,$A1241+1))))/B1241))</f>
        <v>0</v>
      </c>
    </row>
    <row r="1242" customFormat="false" ht="15" hidden="false" customHeight="true" outlineLevel="0" collapsed="false">
      <c r="A1242" s="1" t="n">
        <v>37</v>
      </c>
      <c r="B1242" s="32" t="n">
        <f aca="false">INDEX(Surface_Engine!$Q$12:$Q$72,$A1242+1)*IF($A1242&lt;$Q$1203,INDEX(Surface_Engine!$E$12:$E$72,$A1242+1),INDEX(Surface_Engine!$E$12:$E$72,$Q$1203+1))</f>
        <v>0.0107101010462418</v>
      </c>
      <c r="C1242" s="32" t="n">
        <f aca="false">INDEX(Panel_Reserving!$F$8:$F$68,$A1242+1)*IF($A1242&lt;$Q$1203,INDEX(Surface_Engine!$E$12:$E$72,$A1242+1),INDEX(Surface_Engine!$E$12:$E$72,$Q$1203+1))</f>
        <v>0.0272546302829874</v>
      </c>
      <c r="D1242" s="32" t="n">
        <f aca="false">INDEX(Surface_Engine!$Q$12:$Q$72,$A1242+1)*IF($A1242&lt;$Q$1203,INDEX(Surface_Engine!$Y$12:$Y$72,$A1242+1),INDEX(Surface_Engine!$Y$12:$Y$72,$Q$1203+1))</f>
        <v>0.00948134156009519</v>
      </c>
      <c r="E1242" s="32" t="n">
        <f aca="false">INDEX(Surface_Engine!$Q$12:$Q$72,$A1242+1)*IF($A1242&lt;$Q$1203,INDEX(Surface_Engine!$Z$12:$Z$72,$A1242+1),INDEX(Surface_Engine!$Z$12:$Z$72,$Q$1203+1))</f>
        <v>0.0120857304972031</v>
      </c>
      <c r="F1242" s="48" t="n">
        <f aca="false">B1242*(IF($A1242&lt;$Q$1203,INDEX(Surface_Engine!$D$12:$D$72,$A1242+1)+(Surface_Engine!Q246*12)*INDEX(Surface_Engine!$F$12:$F$72,$A1242+1)-(Surface_Engine!Q246*12),1000*12*INDEX(Surface_Engine!$C$12:$C$72,$A1242+1)/(1+Assumptions!$B$10)^20+INDEX(Surface_Engine!$D$12:$D$72,$A1242+1)))*INDEX(Surface_Engine!$B$12:$B$72,$A1242+1)+F1243</f>
        <v>141.564160144819</v>
      </c>
      <c r="G1242" s="48" t="n">
        <f aca="false">C1242*(IF($A1242&lt;$Q$1203,INDEX(Surface_Engine!$D$12:$D$72,$A1242+1)+(Surface_Engine!Q246*12)*INDEX(Surface_Engine!$F$12:$F$72,$A1242+1)-(Surface_Engine!Q246*12),1000*12*INDEX(Surface_Engine!$C$12:$C$72,$A1242+1)/(1+Assumptions!$B$10)^20+INDEX(Surface_Engine!$D$12:$D$72,$A1242+1)))*INDEX(Surface_Engine!$B$12:$B$72,$A1242+1)+G1243</f>
        <v>435.944513381838</v>
      </c>
      <c r="H1242" s="48" t="n">
        <f aca="false">D1242*(IF($A1242&lt;$Q$1203,INDEX(Surface_Engine!$D$12:$D$72,$A1242+1)+(Surface_Engine!Q246*12)*INDEX(Surface_Engine!$F$12:$F$72,$A1242+1)-(Surface_Engine!Q246*12),1000*12*INDEX(Surface_Engine!$C$12:$C$72,$A1242+1)/(1+Assumptions!$B$10)^20+INDEX(Surface_Engine!$D$12:$D$72,$A1242+1)))*INDEX(Surface_Engine!$B$12:$B$72,$A1242+1)+H1243</f>
        <v>125.322641607759</v>
      </c>
      <c r="I1242" s="48" t="n">
        <f aca="false">E1242*(IF($A1242&lt;$Q$1203,INDEX(Surface_Engine!$D$12:$D$72,$A1242+1)+(Surface_Engine!Q246*12)*INDEX(Surface_Engine!$F$12:$F$72,$A1242+1)-(Surface_Engine!Q246*12),1000*12*INDEX(Surface_Engine!$C$12:$C$72,$A1242+1)/(1+Assumptions!$B$10)^20+INDEX(Surface_Engine!$D$12:$D$72,$A1242+1)))*INDEX(Surface_Engine!$B$12:$B$72,$A1242+1)+I1243</f>
        <v>159.746979060813</v>
      </c>
      <c r="J1242" s="48" t="n">
        <f aca="false">B1242*(IF($A1242&lt;$Q$1203,INDEX(Surface_Engine!$D$12:$D$72,$A1242+1)*(1+Assumptions!$B$24)+(Surface_Engine!Q246*12)*INDEX(Surface_Engine!$F$12:$F$72,$A1242+1)-(Surface_Engine!Q246*12),1000*12*INDEX(Surface_Engine!$C$12:$C$72,$A1242+1)/(1+Assumptions!$B$10)^20+INDEX(Surface_Engine!$D$12:$D$72,$A1242+1)*(1+Assumptions!$B$24)))*INDEX(Surface_Engine!$B$12:$B$72,$A1242+1)+J1243</f>
        <v>141.735451905241</v>
      </c>
      <c r="K1242" s="12" t="n">
        <f aca="false">SQRT((IF(C1242&lt;=0,0,MAX(0,(B1242/C1242)*G1242/INDEX(Surface_Engine!$B$12:$B$72,$A1242+1)-F1242/INDEX(Surface_Engine!$B$12:$B$72,$A1242+1))))^2+(MAX(IF(D1242&lt;=0,0,MAX(0,(B1242/D1242)*H1242/INDEX(Surface_Engine!$B$12:$B$72,$A1242+1)-F1242/INDEX(Surface_Engine!$B$12:$B$72,$A1242+1))),IF(E1242&lt;=0,0,MAX(0,(B1242/E1242)*I1242/INDEX(Surface_Engine!$B$12:$B$72,$A1242+1)-F1242/INDEX(Surface_Engine!$B$12:$B$72,$A1242+1))),IF($A1242&lt;$Q$1203,MAX(0,-Assumptions!$B$22*(F1242/INDEX(Surface_Engine!$B$12:$B$72,$A1242+1))),0)))^2+(MAX(0,J1242/INDEX(Surface_Engine!$B$12:$B$72,$A1242+1)-(F1242/INDEX(Surface_Engine!$B$12:$B$72,$A1242+1))))^2+2*Assumptions!$B$26*(IF(C1242&lt;=0,0,MAX(0,(B1242/C1242)*G1242/INDEX(Surface_Engine!$B$12:$B$72,$A1242+1)-F1242/INDEX(Surface_Engine!$B$12:$B$72,$A1242+1))))*(MAX(IF(D1242&lt;=0,0,MAX(0,(B1242/D1242)*H1242/INDEX(Surface_Engine!$B$12:$B$72,$A1242+1)-F1242/INDEX(Surface_Engine!$B$12:$B$72,$A1242+1))),IF(E1242&lt;=0,0,MAX(0,(B1242/E1242)*I1242/INDEX(Surface_Engine!$B$12:$B$72,$A1242+1)-F1242/INDEX(Surface_Engine!$B$12:$B$72,$A1242+1))),IF($A1242&lt;$Q$1203,MAX(0,-Assumptions!$B$22*(F1242/INDEX(Surface_Engine!$B$12:$B$72,$A1242+1))),0)))+2*Assumptions!$B$27*(IF(C1242&lt;=0,0,MAX(0,(B1242/C1242)*G1242/INDEX(Surface_Engine!$B$12:$B$72,$A1242+1)-F1242/INDEX(Surface_Engine!$B$12:$B$72,$A1242+1))))*(MAX(0,J1242/INDEX(Surface_Engine!$B$12:$B$72,$A1242+1)-(F1242/INDEX(Surface_Engine!$B$12:$B$72,$A1242+1))))+2*Assumptions!$B$28*(MAX(IF(D1242&lt;=0,0,MAX(0,(B1242/D1242)*H1242/INDEX(Surface_Engine!$B$12:$B$72,$A1242+1)-F1242/INDEX(Surface_Engine!$B$12:$B$72,$A1242+1))),IF(E1242&lt;=0,0,MAX(0,(B1242/E1242)*I1242/INDEX(Surface_Engine!$B$12:$B$72,$A1242+1)-F1242/INDEX(Surface_Engine!$B$12:$B$72,$A1242+1))),IF($A1242&lt;$Q$1203,MAX(0,-Assumptions!$B$22*(F1242/INDEX(Surface_Engine!$B$12:$B$72,$A1242+1))),0)))*(MAX(0,J1242/INDEX(Surface_Engine!$B$12:$B$72,$A1242+1)-(F1242/INDEX(Surface_Engine!$B$12:$B$72,$A1242+1)))))</f>
        <v>95.4100020211709</v>
      </c>
      <c r="L1242" s="48" t="n">
        <f aca="false">K1242*INDEX(Surface_Engine!$B$12:$B$72,$A1242+1)+L1243</f>
        <v>70.9247860730763</v>
      </c>
      <c r="M1242" s="48" t="n">
        <f aca="false">M1241+B1241*(IF($A1241&lt;$Q$1203,(Surface_Engine!Q246*12)-(Surface_Engine!Q246*12)*INDEX(Surface_Engine!$F$12:$F$72,$A1241+1)-INDEX(Surface_Engine!$D$12:$D$72,$A1241+1),-(1000*12*INDEX(Surface_Engine!$C$12:$C$72,$A1241+1)/(1+Assumptions!$B$10)^20+INDEX(Surface_Engine!$D$12:$D$72,$A1241+1))))*INDEX(Surface_Engine!$B$12:$B$72,$A1241+1)</f>
        <v>740.983126204409</v>
      </c>
      <c r="N1242" s="12" t="n">
        <f aca="false">IF(B1242&lt;=0,0,MAX(0,(K1242+Assumptions!$B$29*L1242/INDEX(Surface_Engine!$B$12:$B$72,$A1242+1)-(M1242/INDEX(Surface_Engine!$B$12:$B$72,$A1242+1)-(F1242/INDEX(Surface_Engine!$B$12:$B$72,$A1242+1))))/B1242))</f>
        <v>0</v>
      </c>
    </row>
    <row r="1243" customFormat="false" ht="15" hidden="false" customHeight="true" outlineLevel="0" collapsed="false">
      <c r="A1243" s="1" t="n">
        <v>38</v>
      </c>
      <c r="B1243" s="32" t="n">
        <f aca="false">INDEX(Surface_Engine!$Q$12:$Q$72,$A1243+1)*IF($A1243&lt;$Q$1203,INDEX(Surface_Engine!$E$12:$E$72,$A1243+1),INDEX(Surface_Engine!$E$12:$E$72,$Q$1203+1))</f>
        <v>0.00683872106463614</v>
      </c>
      <c r="C1243" s="32" t="n">
        <f aca="false">INDEX(Panel_Reserving!$F$8:$F$68,$A1243+1)*IF($A1243&lt;$Q$1203,INDEX(Surface_Engine!$E$12:$E$72,$A1243+1),INDEX(Surface_Engine!$E$12:$E$72,$Q$1203+1))</f>
        <v>0.0193732458121549</v>
      </c>
      <c r="D1243" s="32" t="n">
        <f aca="false">INDEX(Surface_Engine!$Q$12:$Q$72,$A1243+1)*IF($A1243&lt;$Q$1203,INDEX(Surface_Engine!$Y$12:$Y$72,$A1243+1),INDEX(Surface_Engine!$Y$12:$Y$72,$Q$1203+1))</f>
        <v>0.00605412124200131</v>
      </c>
      <c r="E1243" s="32" t="n">
        <f aca="false">INDEX(Surface_Engine!$Q$12:$Q$72,$A1243+1)*IF($A1243&lt;$Q$1203,INDEX(Surface_Engine!$Z$12:$Z$72,$A1243+1),INDEX(Surface_Engine!$Z$12:$Z$72,$Q$1203+1))</f>
        <v>0.0077171017692443</v>
      </c>
      <c r="F1243" s="48" t="n">
        <f aca="false">B1243*(IF($A1243&lt;$Q$1203,INDEX(Surface_Engine!$D$12:$D$72,$A1243+1)+(Surface_Engine!Q246*12)*INDEX(Surface_Engine!$F$12:$F$72,$A1243+1)-(Surface_Engine!Q246*12),1000*12*INDEX(Surface_Engine!$C$12:$C$72,$A1243+1)/(1+Assumptions!$B$10)^20+INDEX(Surface_Engine!$D$12:$D$72,$A1243+1)))*INDEX(Surface_Engine!$B$12:$B$72,$A1243+1)+F1244</f>
        <v>84.6914012004047</v>
      </c>
      <c r="G1243" s="48" t="n">
        <f aca="false">C1243*(IF($A1243&lt;$Q$1203,INDEX(Surface_Engine!$D$12:$D$72,$A1243+1)+(Surface_Engine!Q246*12)*INDEX(Surface_Engine!$F$12:$F$72,$A1243+1)-(Surface_Engine!Q246*12),1000*12*INDEX(Surface_Engine!$C$12:$C$72,$A1243+1)/(1+Assumptions!$B$10)^20+INDEX(Surface_Engine!$D$12:$D$72,$A1243+1)))*INDEX(Surface_Engine!$B$12:$B$72,$A1243+1)+G1244</f>
        <v>291.217025610152</v>
      </c>
      <c r="H1243" s="48" t="n">
        <f aca="false">D1243*(IF($A1243&lt;$Q$1203,INDEX(Surface_Engine!$D$12:$D$72,$A1243+1)+(Surface_Engine!Q246*12)*INDEX(Surface_Engine!$F$12:$F$72,$A1243+1)-(Surface_Engine!Q246*12),1000*12*INDEX(Surface_Engine!$C$12:$C$72,$A1243+1)/(1+Assumptions!$B$10)^20+INDEX(Surface_Engine!$D$12:$D$72,$A1243+1)))*INDEX(Surface_Engine!$B$12:$B$72,$A1243+1)+H1244</f>
        <v>74.9748390343957</v>
      </c>
      <c r="I1243" s="48" t="n">
        <f aca="false">E1243*(IF($A1243&lt;$Q$1203,INDEX(Surface_Engine!$D$12:$D$72,$A1243+1)+(Surface_Engine!Q246*12)*INDEX(Surface_Engine!$F$12:$F$72,$A1243+1)-(Surface_Engine!Q246*12),1000*12*INDEX(Surface_Engine!$C$12:$C$72,$A1243+1)/(1+Assumptions!$B$10)^20+INDEX(Surface_Engine!$D$12:$D$72,$A1243+1)))*INDEX(Surface_Engine!$B$12:$B$72,$A1243+1)+I1244</f>
        <v>95.5693551273971</v>
      </c>
      <c r="J1243" s="48" t="n">
        <f aca="false">B1243*(IF($A1243&lt;$Q$1203,INDEX(Surface_Engine!$D$12:$D$72,$A1243+1)*(1+Assumptions!$B$24)+(Surface_Engine!Q246*12)*INDEX(Surface_Engine!$F$12:$F$72,$A1243+1)-(Surface_Engine!Q246*12),1000*12*INDEX(Surface_Engine!$C$12:$C$72,$A1243+1)/(1+Assumptions!$B$10)^20+INDEX(Surface_Engine!$D$12:$D$72,$A1243+1)*(1+Assumptions!$B$24)))*INDEX(Surface_Engine!$B$12:$B$72,$A1243+1)+J1244</f>
        <v>84.7943231343165</v>
      </c>
      <c r="K1243" s="12" t="n">
        <f aca="false">SQRT((IF(C1243&lt;=0,0,MAX(0,(B1243/C1243)*G1243/INDEX(Surface_Engine!$B$12:$B$72,$A1243+1)-F1243/INDEX(Surface_Engine!$B$12:$B$72,$A1243+1))))^2+(MAX(IF(D1243&lt;=0,0,MAX(0,(B1243/D1243)*H1243/INDEX(Surface_Engine!$B$12:$B$72,$A1243+1)-F1243/INDEX(Surface_Engine!$B$12:$B$72,$A1243+1))),IF(E1243&lt;=0,0,MAX(0,(B1243/E1243)*I1243/INDEX(Surface_Engine!$B$12:$B$72,$A1243+1)-F1243/INDEX(Surface_Engine!$B$12:$B$72,$A1243+1))),IF($A1243&lt;$Q$1203,MAX(0,-Assumptions!$B$22*(F1243/INDEX(Surface_Engine!$B$12:$B$72,$A1243+1))),0)))^2+(MAX(0,J1243/INDEX(Surface_Engine!$B$12:$B$72,$A1243+1)-(F1243/INDEX(Surface_Engine!$B$12:$B$72,$A1243+1))))^2+2*Assumptions!$B$26*(IF(C1243&lt;=0,0,MAX(0,(B1243/C1243)*G1243/INDEX(Surface_Engine!$B$12:$B$72,$A1243+1)-F1243/INDEX(Surface_Engine!$B$12:$B$72,$A1243+1))))*(MAX(IF(D1243&lt;=0,0,MAX(0,(B1243/D1243)*H1243/INDEX(Surface_Engine!$B$12:$B$72,$A1243+1)-F1243/INDEX(Surface_Engine!$B$12:$B$72,$A1243+1))),IF(E1243&lt;=0,0,MAX(0,(B1243/E1243)*I1243/INDEX(Surface_Engine!$B$12:$B$72,$A1243+1)-F1243/INDEX(Surface_Engine!$B$12:$B$72,$A1243+1))),IF($A1243&lt;$Q$1203,MAX(0,-Assumptions!$B$22*(F1243/INDEX(Surface_Engine!$B$12:$B$72,$A1243+1))),0)))+2*Assumptions!$B$27*(IF(C1243&lt;=0,0,MAX(0,(B1243/C1243)*G1243/INDEX(Surface_Engine!$B$12:$B$72,$A1243+1)-F1243/INDEX(Surface_Engine!$B$12:$B$72,$A1243+1))))*(MAX(0,J1243/INDEX(Surface_Engine!$B$12:$B$72,$A1243+1)-(F1243/INDEX(Surface_Engine!$B$12:$B$72,$A1243+1))))+2*Assumptions!$B$28*(MAX(IF(D1243&lt;=0,0,MAX(0,(B1243/D1243)*H1243/INDEX(Surface_Engine!$B$12:$B$72,$A1243+1)-F1243/INDEX(Surface_Engine!$B$12:$B$72,$A1243+1))),IF(E1243&lt;=0,0,MAX(0,(B1243/E1243)*I1243/INDEX(Surface_Engine!$B$12:$B$72,$A1243+1)-F1243/INDEX(Surface_Engine!$B$12:$B$72,$A1243+1))),IF($A1243&lt;$Q$1203,MAX(0,-Assumptions!$B$22*(F1243/INDEX(Surface_Engine!$B$12:$B$72,$A1243+1))),0)))*(MAX(0,J1243/INDEX(Surface_Engine!$B$12:$B$72,$A1243+1)-(F1243/INDEX(Surface_Engine!$B$12:$B$72,$A1243+1)))))</f>
        <v>59.9784013729154</v>
      </c>
      <c r="L1243" s="48" t="n">
        <f aca="false">K1243*INDEX(Surface_Engine!$B$12:$B$72,$A1243+1)+L1244</f>
        <v>41.134961704075</v>
      </c>
      <c r="M1243" s="48" t="n">
        <f aca="false">M1242+B1242*(IF($A1242&lt;$Q$1203,(Surface_Engine!Q246*12)-(Surface_Engine!Q246*12)*INDEX(Surface_Engine!$F$12:$F$72,$A1242+1)-INDEX(Surface_Engine!$D$12:$D$72,$A1242+1),-(1000*12*INDEX(Surface_Engine!$C$12:$C$72,$A1242+1)/(1+Assumptions!$B$10)^20+INDEX(Surface_Engine!$D$12:$D$72,$A1242+1))))*INDEX(Surface_Engine!$B$12:$B$72,$A1242+1)</f>
        <v>684.110367259995</v>
      </c>
      <c r="N1243" s="12" t="n">
        <f aca="false">IF(B1243&lt;=0,0,MAX(0,(K1243+Assumptions!$B$29*L1243/INDEX(Surface_Engine!$B$12:$B$72,$A1243+1)-(M1243/INDEX(Surface_Engine!$B$12:$B$72,$A1243+1)-(F1243/INDEX(Surface_Engine!$B$12:$B$72,$A1243+1))))/B1243))</f>
        <v>0</v>
      </c>
    </row>
    <row r="1244" customFormat="false" ht="15" hidden="false" customHeight="true" outlineLevel="0" collapsed="false">
      <c r="A1244" s="1" t="n">
        <v>39</v>
      </c>
      <c r="B1244" s="32" t="n">
        <f aca="false">INDEX(Surface_Engine!$Q$12:$Q$72,$A1244+1)*IF($A1244&lt;$Q$1203,INDEX(Surface_Engine!$E$12:$E$72,$A1244+1),INDEX(Surface_Engine!$E$12:$E$72,$Q$1203+1))</f>
        <v>0.00419692841709655</v>
      </c>
      <c r="C1244" s="32" t="n">
        <f aca="false">INDEX(Panel_Reserving!$F$8:$F$68,$A1244+1)*IF($A1244&lt;$Q$1203,INDEX(Surface_Engine!$E$12:$E$72,$A1244+1),INDEX(Surface_Engine!$E$12:$E$72,$Q$1203+1))</f>
        <v>0.0133861499371456</v>
      </c>
      <c r="D1244" s="32" t="n">
        <f aca="false">INDEX(Surface_Engine!$Q$12:$Q$72,$A1244+1)*IF($A1244&lt;$Q$1203,INDEX(Surface_Engine!$Y$12:$Y$72,$A1244+1),INDEX(Surface_Engine!$Y$12:$Y$72,$Q$1203+1))</f>
        <v>0.00371541889791276</v>
      </c>
      <c r="E1244" s="32" t="n">
        <f aca="false">INDEX(Surface_Engine!$Q$12:$Q$72,$A1244+1)*IF($A1244&lt;$Q$1203,INDEX(Surface_Engine!$Z$12:$Z$72,$A1244+1),INDEX(Surface_Engine!$Z$12:$Z$72,$Q$1203+1))</f>
        <v>0.00473599133622373</v>
      </c>
      <c r="F1244" s="48" t="n">
        <f aca="false">B1244*(IF($A1244&lt;$Q$1203,INDEX(Surface_Engine!$D$12:$D$72,$A1244+1)+(Surface_Engine!Q246*12)*INDEX(Surface_Engine!$F$12:$F$72,$A1244+1)-(Surface_Engine!Q246*12),1000*12*INDEX(Surface_Engine!$C$12:$C$72,$A1244+1)/(1+Assumptions!$B$10)^20+INDEX(Surface_Engine!$D$12:$D$72,$A1244+1)))*INDEX(Surface_Engine!$B$12:$B$72,$A1244+1)+F1245</f>
        <v>48.8216239361428</v>
      </c>
      <c r="G1244" s="48" t="n">
        <f aca="false">C1244*(IF($A1244&lt;$Q$1203,INDEX(Surface_Engine!$D$12:$D$72,$A1244+1)+(Surface_Engine!Q246*12)*INDEX(Surface_Engine!$F$12:$F$72,$A1244+1)-(Surface_Engine!Q246*12),1000*12*INDEX(Surface_Engine!$C$12:$C$72,$A1244+1)/(1+Assumptions!$B$10)^20+INDEX(Surface_Engine!$D$12:$D$72,$A1244+1)))*INDEX(Surface_Engine!$B$12:$B$72,$A1244+1)+G1245</f>
        <v>189.602410011736</v>
      </c>
      <c r="H1244" s="48" t="n">
        <f aca="false">D1244*(IF($A1244&lt;$Q$1203,INDEX(Surface_Engine!$D$12:$D$72,$A1244+1)+(Surface_Engine!Q246*12)*INDEX(Surface_Engine!$F$12:$F$72,$A1244+1)-(Surface_Engine!Q246*12),1000*12*INDEX(Surface_Engine!$C$12:$C$72,$A1244+1)/(1+Assumptions!$B$10)^20+INDEX(Surface_Engine!$D$12:$D$72,$A1244+1)))*INDEX(Surface_Engine!$B$12:$B$72,$A1244+1)+H1245</f>
        <v>43.2203664613901</v>
      </c>
      <c r="I1244" s="48" t="n">
        <f aca="false">E1244*(IF($A1244&lt;$Q$1203,INDEX(Surface_Engine!$D$12:$D$72,$A1244+1)+(Surface_Engine!Q246*12)*INDEX(Surface_Engine!$F$12:$F$72,$A1244+1)-(Surface_Engine!Q246*12),1000*12*INDEX(Surface_Engine!$C$12:$C$72,$A1244+1)/(1+Assumptions!$B$10)^20+INDEX(Surface_Engine!$D$12:$D$72,$A1244+1)))*INDEX(Surface_Engine!$B$12:$B$72,$A1244+1)+I1245</f>
        <v>55.0923830485304</v>
      </c>
      <c r="J1244" s="48" t="n">
        <f aca="false">B1244*(IF($A1244&lt;$Q$1203,INDEX(Surface_Engine!$D$12:$D$72,$A1244+1)*(1+Assumptions!$B$24)+(Surface_Engine!Q246*12)*INDEX(Surface_Engine!$F$12:$F$72,$A1244+1)-(Surface_Engine!Q246*12),1000*12*INDEX(Surface_Engine!$C$12:$C$72,$A1244+1)/(1+Assumptions!$B$10)^20+INDEX(Surface_Engine!$D$12:$D$72,$A1244+1)*(1+Assumptions!$B$24)))*INDEX(Surface_Engine!$B$12:$B$72,$A1244+1)+J1245</f>
        <v>48.8812160422807</v>
      </c>
      <c r="K1244" s="12" t="n">
        <f aca="false">SQRT((IF(C1244&lt;=0,0,MAX(0,(B1244/C1244)*G1244/INDEX(Surface_Engine!$B$12:$B$72,$A1244+1)-F1244/INDEX(Surface_Engine!$B$12:$B$72,$A1244+1))))^2+(MAX(IF(D1244&lt;=0,0,MAX(0,(B1244/D1244)*H1244/INDEX(Surface_Engine!$B$12:$B$72,$A1244+1)-F1244/INDEX(Surface_Engine!$B$12:$B$72,$A1244+1))),IF(E1244&lt;=0,0,MAX(0,(B1244/E1244)*I1244/INDEX(Surface_Engine!$B$12:$B$72,$A1244+1)-F1244/INDEX(Surface_Engine!$B$12:$B$72,$A1244+1))),IF($A1244&lt;$Q$1203,MAX(0,-Assumptions!$B$22*(F1244/INDEX(Surface_Engine!$B$12:$B$72,$A1244+1))),0)))^2+(MAX(0,J1244/INDEX(Surface_Engine!$B$12:$B$72,$A1244+1)-(F1244/INDEX(Surface_Engine!$B$12:$B$72,$A1244+1))))^2+2*Assumptions!$B$26*(IF(C1244&lt;=0,0,MAX(0,(B1244/C1244)*G1244/INDEX(Surface_Engine!$B$12:$B$72,$A1244+1)-F1244/INDEX(Surface_Engine!$B$12:$B$72,$A1244+1))))*(MAX(IF(D1244&lt;=0,0,MAX(0,(B1244/D1244)*H1244/INDEX(Surface_Engine!$B$12:$B$72,$A1244+1)-F1244/INDEX(Surface_Engine!$B$12:$B$72,$A1244+1))),IF(E1244&lt;=0,0,MAX(0,(B1244/E1244)*I1244/INDEX(Surface_Engine!$B$12:$B$72,$A1244+1)-F1244/INDEX(Surface_Engine!$B$12:$B$72,$A1244+1))),IF($A1244&lt;$Q$1203,MAX(0,-Assumptions!$B$22*(F1244/INDEX(Surface_Engine!$B$12:$B$72,$A1244+1))),0)))+2*Assumptions!$B$27*(IF(C1244&lt;=0,0,MAX(0,(B1244/C1244)*G1244/INDEX(Surface_Engine!$B$12:$B$72,$A1244+1)-F1244/INDEX(Surface_Engine!$B$12:$B$72,$A1244+1))))*(MAX(0,J1244/INDEX(Surface_Engine!$B$12:$B$72,$A1244+1)-(F1244/INDEX(Surface_Engine!$B$12:$B$72,$A1244+1))))+2*Assumptions!$B$28*(MAX(IF(D1244&lt;=0,0,MAX(0,(B1244/D1244)*H1244/INDEX(Surface_Engine!$B$12:$B$72,$A1244+1)-F1244/INDEX(Surface_Engine!$B$12:$B$72,$A1244+1))),IF(E1244&lt;=0,0,MAX(0,(B1244/E1244)*I1244/INDEX(Surface_Engine!$B$12:$B$72,$A1244+1)-F1244/INDEX(Surface_Engine!$B$12:$B$72,$A1244+1))),IF($A1244&lt;$Q$1203,MAX(0,-Assumptions!$B$22*(F1244/INDEX(Surface_Engine!$B$12:$B$72,$A1244+1))),0)))*(MAX(0,J1244/INDEX(Surface_Engine!$B$12:$B$72,$A1244+1)-(F1244/INDEX(Surface_Engine!$B$12:$B$72,$A1244+1)))))</f>
        <v>36.3283950591173</v>
      </c>
      <c r="L1244" s="48" t="n">
        <f aca="false">K1244*INDEX(Surface_Engine!$B$12:$B$72,$A1244+1)+L1245</f>
        <v>23.001270268481</v>
      </c>
      <c r="M1244" s="48" t="n">
        <f aca="false">M1243+B1243*(IF($A1243&lt;$Q$1203,(Surface_Engine!Q246*12)-(Surface_Engine!Q246*12)*INDEX(Surface_Engine!$F$12:$F$72,$A1243+1)-INDEX(Surface_Engine!$D$12:$D$72,$A1243+1),-(1000*12*INDEX(Surface_Engine!$C$12:$C$72,$A1243+1)/(1+Assumptions!$B$10)^20+INDEX(Surface_Engine!$D$12:$D$72,$A1243+1))))*INDEX(Surface_Engine!$B$12:$B$72,$A1243+1)</f>
        <v>648.240589995733</v>
      </c>
      <c r="N1244" s="12" t="n">
        <f aca="false">IF(B1244&lt;=0,0,MAX(0,(K1244+Assumptions!$B$29*L1244/INDEX(Surface_Engine!$B$12:$B$72,$A1244+1)-(M1244/INDEX(Surface_Engine!$B$12:$B$72,$A1244+1)-(F1244/INDEX(Surface_Engine!$B$12:$B$72,$A1244+1))))/B1244))</f>
        <v>0</v>
      </c>
    </row>
    <row r="1245" customFormat="false" ht="15" hidden="false" customHeight="true" outlineLevel="0" collapsed="false">
      <c r="A1245" s="1" t="n">
        <v>40</v>
      </c>
      <c r="B1245" s="32" t="n">
        <f aca="false">INDEX(Surface_Engine!$Q$12:$Q$72,$A1245+1)*IF($A1245&lt;$Q$1203,INDEX(Surface_Engine!$E$12:$E$72,$A1245+1),INDEX(Surface_Engine!$E$12:$E$72,$Q$1203+1))</f>
        <v>0.00246507634849402</v>
      </c>
      <c r="C1245" s="32" t="n">
        <f aca="false">INDEX(Panel_Reserving!$F$8:$F$68,$A1245+1)*IF($A1245&lt;$Q$1203,INDEX(Surface_Engine!$E$12:$E$72,$A1245+1),INDEX(Surface_Engine!$E$12:$E$72,$Q$1203+1))</f>
        <v>0.00896714076561302</v>
      </c>
      <c r="D1245" s="32" t="n">
        <f aca="false">INDEX(Surface_Engine!$Q$12:$Q$72,$A1245+1)*IF($A1245&lt;$Q$1203,INDEX(Surface_Engine!$Y$12:$Y$72,$A1245+1),INDEX(Surface_Engine!$Y$12:$Y$72,$Q$1203+1))</f>
        <v>0.00218226053431918</v>
      </c>
      <c r="E1245" s="32" t="n">
        <f aca="false">INDEX(Surface_Engine!$Q$12:$Q$72,$A1245+1)*IF($A1245&lt;$Q$1203,INDEX(Surface_Engine!$Z$12:$Z$72,$A1245+1),INDEX(Surface_Engine!$Z$12:$Z$72,$Q$1203+1))</f>
        <v>0.00278169629532881</v>
      </c>
      <c r="F1245" s="48" t="n">
        <f aca="false">B1245*(IF($A1245&lt;$Q$1203,INDEX(Surface_Engine!$D$12:$D$72,$A1245+1)+(Surface_Engine!Q246*12)*INDEX(Surface_Engine!$F$12:$F$72,$A1245+1)-(Surface_Engine!Q246*12),1000*12*INDEX(Surface_Engine!$C$12:$C$72,$A1245+1)/(1+Assumptions!$B$10)^20+INDEX(Surface_Engine!$D$12:$D$72,$A1245+1)))*INDEX(Surface_Engine!$B$12:$B$72,$A1245+1)+F1246</f>
        <v>27.0707939795867</v>
      </c>
      <c r="G1245" s="48" t="n">
        <f aca="false">C1245*(IF($A1245&lt;$Q$1203,INDEX(Surface_Engine!$D$12:$D$72,$A1245+1)+(Surface_Engine!Q246*12)*INDEX(Surface_Engine!$F$12:$F$72,$A1245+1)-(Surface_Engine!Q246*12),1000*12*INDEX(Surface_Engine!$C$12:$C$72,$A1245+1)/(1+Assumptions!$B$10)^20+INDEX(Surface_Engine!$D$12:$D$72,$A1245+1)))*INDEX(Surface_Engine!$B$12:$B$72,$A1245+1)+G1246</f>
        <v>120.227895576428</v>
      </c>
      <c r="H1245" s="48" t="n">
        <f aca="false">D1245*(IF($A1245&lt;$Q$1203,INDEX(Surface_Engine!$D$12:$D$72,$A1245+1)+(Surface_Engine!Q246*12)*INDEX(Surface_Engine!$F$12:$F$72,$A1245+1)-(Surface_Engine!Q246*12),1000*12*INDEX(Surface_Engine!$C$12:$C$72,$A1245+1)/(1+Assumptions!$B$10)^20+INDEX(Surface_Engine!$D$12:$D$72,$A1245+1)))*INDEX(Surface_Engine!$B$12:$B$72,$A1245+1)+H1246</f>
        <v>23.9649880907048</v>
      </c>
      <c r="I1245" s="48" t="n">
        <f aca="false">E1245*(IF($A1245&lt;$Q$1203,INDEX(Surface_Engine!$D$12:$D$72,$A1245+1)+(Surface_Engine!Q246*12)*INDEX(Surface_Engine!$F$12:$F$72,$A1245+1)-(Surface_Engine!Q246*12),1000*12*INDEX(Surface_Engine!$C$12:$C$72,$A1245+1)/(1+Assumptions!$B$10)^20+INDEX(Surface_Engine!$D$12:$D$72,$A1245+1)))*INDEX(Surface_Engine!$B$12:$B$72,$A1245+1)+I1246</f>
        <v>30.5478276040538</v>
      </c>
      <c r="J1245" s="48" t="n">
        <f aca="false">B1245*(IF($A1245&lt;$Q$1203,INDEX(Surface_Engine!$D$12:$D$72,$A1245+1)*(1+Assumptions!$B$24)+(Surface_Engine!Q246*12)*INDEX(Surface_Engine!$F$12:$F$72,$A1245+1)-(Surface_Engine!Q246*12),1000*12*INDEX(Surface_Engine!$C$12:$C$72,$A1245+1)/(1+Assumptions!$B$10)^20+INDEX(Surface_Engine!$D$12:$D$72,$A1245+1)*(1+Assumptions!$B$24)))*INDEX(Surface_Engine!$B$12:$B$72,$A1245+1)+J1246</f>
        <v>27.1039843734413</v>
      </c>
      <c r="K1245" s="12" t="n">
        <f aca="false">SQRT((IF(C1245&lt;=0,0,MAX(0,(B1245/C1245)*G1245/INDEX(Surface_Engine!$B$12:$B$72,$A1245+1)-F1245/INDEX(Surface_Engine!$B$12:$B$72,$A1245+1))))^2+(MAX(IF(D1245&lt;=0,0,MAX(0,(B1245/D1245)*H1245/INDEX(Surface_Engine!$B$12:$B$72,$A1245+1)-F1245/INDEX(Surface_Engine!$B$12:$B$72,$A1245+1))),IF(E1245&lt;=0,0,MAX(0,(B1245/E1245)*I1245/INDEX(Surface_Engine!$B$12:$B$72,$A1245+1)-F1245/INDEX(Surface_Engine!$B$12:$B$72,$A1245+1))),IF($A1245&lt;$Q$1203,MAX(0,-Assumptions!$B$22*(F1245/INDEX(Surface_Engine!$B$12:$B$72,$A1245+1))),0)))^2+(MAX(0,J1245/INDEX(Surface_Engine!$B$12:$B$72,$A1245+1)-(F1245/INDEX(Surface_Engine!$B$12:$B$72,$A1245+1))))^2+2*Assumptions!$B$26*(IF(C1245&lt;=0,0,MAX(0,(B1245/C1245)*G1245/INDEX(Surface_Engine!$B$12:$B$72,$A1245+1)-F1245/INDEX(Surface_Engine!$B$12:$B$72,$A1245+1))))*(MAX(IF(D1245&lt;=0,0,MAX(0,(B1245/D1245)*H1245/INDEX(Surface_Engine!$B$12:$B$72,$A1245+1)-F1245/INDEX(Surface_Engine!$B$12:$B$72,$A1245+1))),IF(E1245&lt;=0,0,MAX(0,(B1245/E1245)*I1245/INDEX(Surface_Engine!$B$12:$B$72,$A1245+1)-F1245/INDEX(Surface_Engine!$B$12:$B$72,$A1245+1))),IF($A1245&lt;$Q$1203,MAX(0,-Assumptions!$B$22*(F1245/INDEX(Surface_Engine!$B$12:$B$72,$A1245+1))),0)))+2*Assumptions!$B$27*(IF(C1245&lt;=0,0,MAX(0,(B1245/C1245)*G1245/INDEX(Surface_Engine!$B$12:$B$72,$A1245+1)-F1245/INDEX(Surface_Engine!$B$12:$B$72,$A1245+1))))*(MAX(0,J1245/INDEX(Surface_Engine!$B$12:$B$72,$A1245+1)-(F1245/INDEX(Surface_Engine!$B$12:$B$72,$A1245+1))))+2*Assumptions!$B$28*(MAX(IF(D1245&lt;=0,0,MAX(0,(B1245/D1245)*H1245/INDEX(Surface_Engine!$B$12:$B$72,$A1245+1)-F1245/INDEX(Surface_Engine!$B$12:$B$72,$A1245+1))),IF(E1245&lt;=0,0,MAX(0,(B1245/E1245)*I1245/INDEX(Surface_Engine!$B$12:$B$72,$A1245+1)-F1245/INDEX(Surface_Engine!$B$12:$B$72,$A1245+1))),IF($A1245&lt;$Q$1203,MAX(0,-Assumptions!$B$22*(F1245/INDEX(Surface_Engine!$B$12:$B$72,$A1245+1))),0)))*(MAX(0,J1245/INDEX(Surface_Engine!$B$12:$B$72,$A1245+1)-(F1245/INDEX(Surface_Engine!$B$12:$B$72,$A1245+1)))))</f>
        <v>21.1185644527284</v>
      </c>
      <c r="L1245" s="48" t="n">
        <f aca="false">K1245*INDEX(Surface_Engine!$B$12:$B$72,$A1245+1)+L1246</f>
        <v>12.3622376335375</v>
      </c>
      <c r="M1245" s="48" t="n">
        <f aca="false">M1244+B1244*(IF($A1244&lt;$Q$1203,(Surface_Engine!Q246*12)-(Surface_Engine!Q246*12)*INDEX(Surface_Engine!$F$12:$F$72,$A1244+1)-INDEX(Surface_Engine!$D$12:$D$72,$A1244+1),-(1000*12*INDEX(Surface_Engine!$C$12:$C$72,$A1244+1)/(1+Assumptions!$B$10)^20+INDEX(Surface_Engine!$D$12:$D$72,$A1244+1))))*INDEX(Surface_Engine!$B$12:$B$72,$A1244+1)</f>
        <v>626.489760039176</v>
      </c>
      <c r="N1245" s="12" t="n">
        <f aca="false">IF(B1245&lt;=0,0,MAX(0,(K1245+Assumptions!$B$29*L1245/INDEX(Surface_Engine!$B$12:$B$72,$A1245+1)-(M1245/INDEX(Surface_Engine!$B$12:$B$72,$A1245+1)-(F1245/INDEX(Surface_Engine!$B$12:$B$72,$A1245+1))))/B1245))</f>
        <v>0</v>
      </c>
    </row>
    <row r="1246" customFormat="false" ht="15" hidden="false" customHeight="true" outlineLevel="0" collapsed="false">
      <c r="A1246" s="1" t="n">
        <v>41</v>
      </c>
      <c r="B1246" s="32" t="n">
        <f aca="false">INDEX(Surface_Engine!$Q$12:$Q$72,$A1246+1)*IF($A1246&lt;$Q$1203,INDEX(Surface_Engine!$E$12:$E$72,$A1246+1),INDEX(Surface_Engine!$E$12:$E$72,$Q$1203+1))</f>
        <v>0.0013789861371006</v>
      </c>
      <c r="C1246" s="32" t="n">
        <f aca="false">INDEX(Panel_Reserving!$F$8:$F$68,$A1246+1)*IF($A1246&lt;$Q$1203,INDEX(Surface_Engine!$E$12:$E$72,$A1246+1),INDEX(Surface_Engine!$E$12:$E$72,$Q$1203+1))</f>
        <v>0.00580646825640849</v>
      </c>
      <c r="D1246" s="32" t="n">
        <f aca="false">INDEX(Surface_Engine!$Q$12:$Q$72,$A1246+1)*IF($A1246&lt;$Q$1203,INDEX(Surface_Engine!$Y$12:$Y$72,$A1246+1),INDEX(Surface_Engine!$Y$12:$Y$72,$Q$1203+1))</f>
        <v>0.00122077639753688</v>
      </c>
      <c r="E1246" s="32" t="n">
        <f aca="false">INDEX(Surface_Engine!$Q$12:$Q$72,$A1246+1)*IF($A1246&lt;$Q$1203,INDEX(Surface_Engine!$Z$12:$Z$72,$A1246+1),INDEX(Surface_Engine!$Z$12:$Z$72,$Q$1203+1))</f>
        <v>0.001556106216031</v>
      </c>
      <c r="F1246" s="48" t="n">
        <f aca="false">B1246*(IF($A1246&lt;$Q$1203,INDEX(Surface_Engine!$D$12:$D$72,$A1246+1)+(Surface_Engine!Q246*12)*INDEX(Surface_Engine!$F$12:$F$72,$A1246+1)-(Surface_Engine!Q246*12),1000*12*INDEX(Surface_Engine!$C$12:$C$72,$A1246+1)/(1+Assumptions!$B$10)^20+INDEX(Surface_Engine!$D$12:$D$72,$A1246+1)))*INDEX(Surface_Engine!$B$12:$B$72,$A1246+1)+F1247</f>
        <v>14.4528525619438</v>
      </c>
      <c r="G1246" s="48" t="n">
        <f aca="false">C1246*(IF($A1246&lt;$Q$1203,INDEX(Surface_Engine!$D$12:$D$72,$A1246+1)+(Surface_Engine!Q246*12)*INDEX(Surface_Engine!$F$12:$F$72,$A1246+1)-(Surface_Engine!Q246*12),1000*12*INDEX(Surface_Engine!$C$12:$C$72,$A1246+1)/(1+Assumptions!$B$10)^20+INDEX(Surface_Engine!$D$12:$D$72,$A1246+1)))*INDEX(Surface_Engine!$B$12:$B$72,$A1246+1)+G1247</f>
        <v>74.3279554251274</v>
      </c>
      <c r="H1246" s="48" t="n">
        <f aca="false">D1246*(IF($A1246&lt;$Q$1203,INDEX(Surface_Engine!$D$12:$D$72,$A1246+1)+(Surface_Engine!Q246*12)*INDEX(Surface_Engine!$F$12:$F$72,$A1246+1)-(Surface_Engine!Q246*12),1000*12*INDEX(Surface_Engine!$C$12:$C$72,$A1246+1)/(1+Assumptions!$B$10)^20+INDEX(Surface_Engine!$D$12:$D$72,$A1246+1)))*INDEX(Surface_Engine!$B$12:$B$72,$A1246+1)+H1247</f>
        <v>12.7946908311917</v>
      </c>
      <c r="I1246" s="48" t="n">
        <f aca="false">E1246*(IF($A1246&lt;$Q$1203,INDEX(Surface_Engine!$D$12:$D$72,$A1246+1)+(Surface_Engine!Q246*12)*INDEX(Surface_Engine!$F$12:$F$72,$A1246+1)-(Surface_Engine!Q246*12),1000*12*INDEX(Surface_Engine!$C$12:$C$72,$A1246+1)/(1+Assumptions!$B$10)^20+INDEX(Surface_Engine!$D$12:$D$72,$A1246+1)))*INDEX(Surface_Engine!$B$12:$B$72,$A1246+1)+I1247</f>
        <v>16.3092094299854</v>
      </c>
      <c r="J1246" s="48" t="n">
        <f aca="false">B1246*(IF($A1246&lt;$Q$1203,INDEX(Surface_Engine!$D$12:$D$72,$A1246+1)*(1+Assumptions!$B$24)+(Surface_Engine!Q246*12)*INDEX(Surface_Engine!$F$12:$F$72,$A1246+1)-(Surface_Engine!Q246*12),1000*12*INDEX(Surface_Engine!$C$12:$C$72,$A1246+1)/(1+Assumptions!$B$10)^20+INDEX(Surface_Engine!$D$12:$D$72,$A1246+1)*(1+Assumptions!$B$24)))*INDEX(Surface_Engine!$B$12:$B$72,$A1246+1)+J1247</f>
        <v>14.4706528140148</v>
      </c>
      <c r="K1246" s="12" t="n">
        <f aca="false">SQRT((IF(C1246&lt;=0,0,MAX(0,(B1246/C1246)*G1246/INDEX(Surface_Engine!$B$12:$B$72,$A1246+1)-F1246/INDEX(Surface_Engine!$B$12:$B$72,$A1246+1))))^2+(MAX(IF(D1246&lt;=0,0,MAX(0,(B1246/D1246)*H1246/INDEX(Surface_Engine!$B$12:$B$72,$A1246+1)-F1246/INDEX(Surface_Engine!$B$12:$B$72,$A1246+1))),IF(E1246&lt;=0,0,MAX(0,(B1246/E1246)*I1246/INDEX(Surface_Engine!$B$12:$B$72,$A1246+1)-F1246/INDEX(Surface_Engine!$B$12:$B$72,$A1246+1))),IF($A1246&lt;$Q$1203,MAX(0,-Assumptions!$B$22*(F1246/INDEX(Surface_Engine!$B$12:$B$72,$A1246+1))),0)))^2+(MAX(0,J1246/INDEX(Surface_Engine!$B$12:$B$72,$A1246+1)-(F1246/INDEX(Surface_Engine!$B$12:$B$72,$A1246+1))))^2+2*Assumptions!$B$26*(IF(C1246&lt;=0,0,MAX(0,(B1246/C1246)*G1246/INDEX(Surface_Engine!$B$12:$B$72,$A1246+1)-F1246/INDEX(Surface_Engine!$B$12:$B$72,$A1246+1))))*(MAX(IF(D1246&lt;=0,0,MAX(0,(B1246/D1246)*H1246/INDEX(Surface_Engine!$B$12:$B$72,$A1246+1)-F1246/INDEX(Surface_Engine!$B$12:$B$72,$A1246+1))),IF(E1246&lt;=0,0,MAX(0,(B1246/E1246)*I1246/INDEX(Surface_Engine!$B$12:$B$72,$A1246+1)-F1246/INDEX(Surface_Engine!$B$12:$B$72,$A1246+1))),IF($A1246&lt;$Q$1203,MAX(0,-Assumptions!$B$22*(F1246/INDEX(Surface_Engine!$B$12:$B$72,$A1246+1))),0)))+2*Assumptions!$B$27*(IF(C1246&lt;=0,0,MAX(0,(B1246/C1246)*G1246/INDEX(Surface_Engine!$B$12:$B$72,$A1246+1)-F1246/INDEX(Surface_Engine!$B$12:$B$72,$A1246+1))))*(MAX(0,J1246/INDEX(Surface_Engine!$B$12:$B$72,$A1246+1)-(F1246/INDEX(Surface_Engine!$B$12:$B$72,$A1246+1))))+2*Assumptions!$B$28*(MAX(IF(D1246&lt;=0,0,MAX(0,(B1246/D1246)*H1246/INDEX(Surface_Engine!$B$12:$B$72,$A1246+1)-F1246/INDEX(Surface_Engine!$B$12:$B$72,$A1246+1))),IF(E1246&lt;=0,0,MAX(0,(B1246/E1246)*I1246/INDEX(Surface_Engine!$B$12:$B$72,$A1246+1)-F1246/INDEX(Surface_Engine!$B$12:$B$72,$A1246+1))),IF($A1246&lt;$Q$1203,MAX(0,-Assumptions!$B$22*(F1246/INDEX(Surface_Engine!$B$12:$B$72,$A1246+1))),0)))*(MAX(0,J1246/INDEX(Surface_Engine!$B$12:$B$72,$A1246+1)-(F1246/INDEX(Surface_Engine!$B$12:$B$72,$A1246+1)))))</f>
        <v>11.6697917544465</v>
      </c>
      <c r="L1246" s="48" t="n">
        <f aca="false">K1246*INDEX(Surface_Engine!$B$12:$B$72,$A1246+1)+L1247</f>
        <v>6.37387390187308</v>
      </c>
      <c r="M1246" s="48" t="n">
        <f aca="false">M1245+B1245*(IF($A1245&lt;$Q$1203,(Surface_Engine!Q246*12)-(Surface_Engine!Q246*12)*INDEX(Surface_Engine!$F$12:$F$72,$A1245+1)-INDEX(Surface_Engine!$D$12:$D$72,$A1245+1),-(1000*12*INDEX(Surface_Engine!$C$12:$C$72,$A1245+1)/(1+Assumptions!$B$10)^20+INDEX(Surface_Engine!$D$12:$D$72,$A1245+1))))*INDEX(Surface_Engine!$B$12:$B$72,$A1245+1)</f>
        <v>613.871818621534</v>
      </c>
      <c r="N1246" s="12" t="n">
        <f aca="false">IF(B1246&lt;=0,0,MAX(0,(K1246+Assumptions!$B$29*L1246/INDEX(Surface_Engine!$B$12:$B$72,$A1246+1)-(M1246/INDEX(Surface_Engine!$B$12:$B$72,$A1246+1)-(F1246/INDEX(Surface_Engine!$B$12:$B$72,$A1246+1))))/B1246))</f>
        <v>0</v>
      </c>
    </row>
    <row r="1247" customFormat="false" ht="15" hidden="false" customHeight="true" outlineLevel="0" collapsed="false">
      <c r="A1247" s="1" t="n">
        <v>42</v>
      </c>
      <c r="B1247" s="32" t="n">
        <f aca="false">INDEX(Surface_Engine!$Q$12:$Q$72,$A1247+1)*IF($A1247&lt;$Q$1203,INDEX(Surface_Engine!$E$12:$E$72,$A1247+1),INDEX(Surface_Engine!$E$12:$E$72,$Q$1203+1))</f>
        <v>0.000747082096083269</v>
      </c>
      <c r="C1247" s="32" t="n">
        <f aca="false">INDEX(Panel_Reserving!$F$8:$F$68,$A1247+1)*IF($A1247&lt;$Q$1203,INDEX(Surface_Engine!$E$12:$E$72,$A1247+1),INDEX(Surface_Engine!$E$12:$E$72,$Q$1203+1))</f>
        <v>0.00367787209054539</v>
      </c>
      <c r="D1247" s="32" t="n">
        <f aca="false">INDEX(Surface_Engine!$Q$12:$Q$72,$A1247+1)*IF($A1247&lt;$Q$1203,INDEX(Surface_Engine!$Y$12:$Y$72,$A1247+1),INDEX(Surface_Engine!$Y$12:$Y$72,$Q$1203+1))</f>
        <v>0.000661370093131183</v>
      </c>
      <c r="E1247" s="32" t="n">
        <f aca="false">INDEX(Surface_Engine!$Q$12:$Q$72,$A1247+1)*IF($A1247&lt;$Q$1203,INDEX(Surface_Engine!$Z$12:$Z$72,$A1247+1),INDEX(Surface_Engine!$Z$12:$Z$72,$Q$1203+1))</f>
        <v>0.000843038999684905</v>
      </c>
      <c r="F1247" s="48" t="n">
        <f aca="false">B1247*(IF($A1247&lt;$Q$1203,INDEX(Surface_Engine!$D$12:$D$72,$A1247+1)+(Surface_Engine!Q246*12)*INDEX(Surface_Engine!$F$12:$F$72,$A1247+1)-(Surface_Engine!Q246*12),1000*12*INDEX(Surface_Engine!$C$12:$C$72,$A1247+1)/(1+Assumptions!$B$10)^20+INDEX(Surface_Engine!$D$12:$D$72,$A1247+1)))*INDEX(Surface_Engine!$B$12:$B$72,$A1247+1)+F1248</f>
        <v>7.48152978163147</v>
      </c>
      <c r="G1247" s="48" t="n">
        <f aca="false">C1247*(IF($A1247&lt;$Q$1203,INDEX(Surface_Engine!$D$12:$D$72,$A1247+1)+(Surface_Engine!Q246*12)*INDEX(Surface_Engine!$F$12:$F$72,$A1247+1)-(Surface_Engine!Q246*12),1000*12*INDEX(Surface_Engine!$C$12:$C$72,$A1247+1)/(1+Assumptions!$B$10)^20+INDEX(Surface_Engine!$D$12:$D$72,$A1247+1)))*INDEX(Surface_Engine!$B$12:$B$72,$A1247+1)+G1248</f>
        <v>44.9739515377715</v>
      </c>
      <c r="H1247" s="48" t="n">
        <f aca="false">D1247*(IF($A1247&lt;$Q$1203,INDEX(Surface_Engine!$D$12:$D$72,$A1247+1)+(Surface_Engine!Q246*12)*INDEX(Surface_Engine!$F$12:$F$72,$A1247+1)-(Surface_Engine!Q246*12),1000*12*INDEX(Surface_Engine!$C$12:$C$72,$A1247+1)/(1+Assumptions!$B$10)^20+INDEX(Surface_Engine!$D$12:$D$72,$A1247+1)))*INDEX(Surface_Engine!$B$12:$B$72,$A1247+1)+H1248</f>
        <v>6.62318113950601</v>
      </c>
      <c r="I1247" s="48" t="n">
        <f aca="false">E1247*(IF($A1247&lt;$Q$1203,INDEX(Surface_Engine!$D$12:$D$72,$A1247+1)+(Surface_Engine!Q246*12)*INDEX(Surface_Engine!$F$12:$F$72,$A1247+1)-(Surface_Engine!Q246*12),1000*12*INDEX(Surface_Engine!$C$12:$C$72,$A1247+1)/(1+Assumptions!$B$10)^20+INDEX(Surface_Engine!$D$12:$D$72,$A1247+1)))*INDEX(Surface_Engine!$B$12:$B$72,$A1247+1)+I1248</f>
        <v>8.44247428266093</v>
      </c>
      <c r="J1247" s="48" t="n">
        <f aca="false">B1247*(IF($A1247&lt;$Q$1203,INDEX(Surface_Engine!$D$12:$D$72,$A1247+1)*(1+Assumptions!$B$24)+(Surface_Engine!Q246*12)*INDEX(Surface_Engine!$F$12:$F$72,$A1247+1)-(Surface_Engine!Q246*12),1000*12*INDEX(Surface_Engine!$C$12:$C$72,$A1247+1)/(1+Assumptions!$B$10)^20+INDEX(Surface_Engine!$D$12:$D$72,$A1247+1)*(1+Assumptions!$B$24)))*INDEX(Surface_Engine!$B$12:$B$72,$A1247+1)+J1248</f>
        <v>7.49078591971122</v>
      </c>
      <c r="K1247" s="12" t="n">
        <f aca="false">SQRT((IF(C1247&lt;=0,0,MAX(0,(B1247/C1247)*G1247/INDEX(Surface_Engine!$B$12:$B$72,$A1247+1)-F1247/INDEX(Surface_Engine!$B$12:$B$72,$A1247+1))))^2+(MAX(IF(D1247&lt;=0,0,MAX(0,(B1247/D1247)*H1247/INDEX(Surface_Engine!$B$12:$B$72,$A1247+1)-F1247/INDEX(Surface_Engine!$B$12:$B$72,$A1247+1))),IF(E1247&lt;=0,0,MAX(0,(B1247/E1247)*I1247/INDEX(Surface_Engine!$B$12:$B$72,$A1247+1)-F1247/INDEX(Surface_Engine!$B$12:$B$72,$A1247+1))),IF($A1247&lt;$Q$1203,MAX(0,-Assumptions!$B$22*(F1247/INDEX(Surface_Engine!$B$12:$B$72,$A1247+1))),0)))^2+(MAX(0,J1247/INDEX(Surface_Engine!$B$12:$B$72,$A1247+1)-(F1247/INDEX(Surface_Engine!$B$12:$B$72,$A1247+1))))^2+2*Assumptions!$B$26*(IF(C1247&lt;=0,0,MAX(0,(B1247/C1247)*G1247/INDEX(Surface_Engine!$B$12:$B$72,$A1247+1)-F1247/INDEX(Surface_Engine!$B$12:$B$72,$A1247+1))))*(MAX(IF(D1247&lt;=0,0,MAX(0,(B1247/D1247)*H1247/INDEX(Surface_Engine!$B$12:$B$72,$A1247+1)-F1247/INDEX(Surface_Engine!$B$12:$B$72,$A1247+1))),IF(E1247&lt;=0,0,MAX(0,(B1247/E1247)*I1247/INDEX(Surface_Engine!$B$12:$B$72,$A1247+1)-F1247/INDEX(Surface_Engine!$B$12:$B$72,$A1247+1))),IF($A1247&lt;$Q$1203,MAX(0,-Assumptions!$B$22*(F1247/INDEX(Surface_Engine!$B$12:$B$72,$A1247+1))),0)))+2*Assumptions!$B$27*(IF(C1247&lt;=0,0,MAX(0,(B1247/C1247)*G1247/INDEX(Surface_Engine!$B$12:$B$72,$A1247+1)-F1247/INDEX(Surface_Engine!$B$12:$B$72,$A1247+1))))*(MAX(0,J1247/INDEX(Surface_Engine!$B$12:$B$72,$A1247+1)-(F1247/INDEX(Surface_Engine!$B$12:$B$72,$A1247+1))))+2*Assumptions!$B$28*(MAX(IF(D1247&lt;=0,0,MAX(0,(B1247/D1247)*H1247/INDEX(Surface_Engine!$B$12:$B$72,$A1247+1)-F1247/INDEX(Surface_Engine!$B$12:$B$72,$A1247+1))),IF(E1247&lt;=0,0,MAX(0,(B1247/E1247)*I1247/INDEX(Surface_Engine!$B$12:$B$72,$A1247+1)-F1247/INDEX(Surface_Engine!$B$12:$B$72,$A1247+1))),IF($A1247&lt;$Q$1203,MAX(0,-Assumptions!$B$22*(F1247/INDEX(Surface_Engine!$B$12:$B$72,$A1247+1))),0)))*(MAX(0,J1247/INDEX(Surface_Engine!$B$12:$B$72,$A1247+1)-(F1247/INDEX(Surface_Engine!$B$12:$B$72,$A1247+1)))))</f>
        <v>6.22870672043081</v>
      </c>
      <c r="L1247" s="48" t="n">
        <f aca="false">K1247*INDEX(Surface_Engine!$B$12:$B$72,$A1247+1)+L1248</f>
        <v>3.16998161906591</v>
      </c>
      <c r="M1247" s="48" t="n">
        <f aca="false">M1246+B1246*(IF($A1246&lt;$Q$1203,(Surface_Engine!Q246*12)-(Surface_Engine!Q246*12)*INDEX(Surface_Engine!$F$12:$F$72,$A1246+1)-INDEX(Surface_Engine!$D$12:$D$72,$A1246+1),-(1000*12*INDEX(Surface_Engine!$C$12:$C$72,$A1246+1)/(1+Assumptions!$B$10)^20+INDEX(Surface_Engine!$D$12:$D$72,$A1246+1))))*INDEX(Surface_Engine!$B$12:$B$72,$A1246+1)</f>
        <v>606.900495841221</v>
      </c>
      <c r="N1247" s="12" t="n">
        <f aca="false">IF(B1247&lt;=0,0,MAX(0,(K1247+Assumptions!$B$29*L1247/INDEX(Surface_Engine!$B$12:$B$72,$A1247+1)-(M1247/INDEX(Surface_Engine!$B$12:$B$72,$A1247+1)-(F1247/INDEX(Surface_Engine!$B$12:$B$72,$A1247+1))))/B1247))</f>
        <v>0</v>
      </c>
    </row>
    <row r="1248" customFormat="false" ht="15" hidden="false" customHeight="true" outlineLevel="0" collapsed="false">
      <c r="A1248" s="1" t="n">
        <v>43</v>
      </c>
      <c r="B1248" s="32" t="n">
        <f aca="false">INDEX(Surface_Engine!$Q$12:$Q$72,$A1248+1)*IF($A1248&lt;$Q$1203,INDEX(Surface_Engine!$E$12:$E$72,$A1248+1),INDEX(Surface_Engine!$E$12:$E$72,$Q$1203+1))</f>
        <v>0.000391610291714535</v>
      </c>
      <c r="C1248" s="32" t="n">
        <f aca="false">INDEX(Panel_Reserving!$F$8:$F$68,$A1248+1)*IF($A1248&lt;$Q$1203,INDEX(Surface_Engine!$E$12:$E$72,$A1248+1),INDEX(Surface_Engine!$E$12:$E$72,$Q$1203+1))</f>
        <v>0.0022778869107449</v>
      </c>
      <c r="D1248" s="32" t="n">
        <f aca="false">INDEX(Surface_Engine!$Q$12:$Q$72,$A1248+1)*IF($A1248&lt;$Q$1203,INDEX(Surface_Engine!$Y$12:$Y$72,$A1248+1),INDEX(Surface_Engine!$Y$12:$Y$72,$Q$1203+1))</f>
        <v>0.000346681223469588</v>
      </c>
      <c r="E1248" s="32" t="n">
        <f aca="false">INDEX(Surface_Engine!$Q$12:$Q$72,$A1248+1)*IF($A1248&lt;$Q$1203,INDEX(Surface_Engine!$Z$12:$Z$72,$A1248+1),INDEX(Surface_Engine!$Z$12:$Z$72,$Q$1203+1))</f>
        <v>0.000441909597786075</v>
      </c>
      <c r="F1248" s="48" t="n">
        <f aca="false">B1248*(IF($A1248&lt;$Q$1203,INDEX(Surface_Engine!$D$12:$D$72,$A1248+1)+(Surface_Engine!Q246*12)*INDEX(Surface_Engine!$F$12:$F$72,$A1248+1)-(Surface_Engine!Q246*12),1000*12*INDEX(Surface_Engine!$C$12:$C$72,$A1248+1)/(1+Assumptions!$B$10)^20+INDEX(Surface_Engine!$D$12:$D$72,$A1248+1)))*INDEX(Surface_Engine!$B$12:$B$72,$A1248+1)+F1249</f>
        <v>3.75005235186959</v>
      </c>
      <c r="G1248" s="48" t="n">
        <f aca="false">C1248*(IF($A1248&lt;$Q$1203,INDEX(Surface_Engine!$D$12:$D$72,$A1248+1)+(Surface_Engine!Q246*12)*INDEX(Surface_Engine!$F$12:$F$72,$A1248+1)-(Surface_Engine!Q246*12),1000*12*INDEX(Surface_Engine!$C$12:$C$72,$A1248+1)/(1+Assumptions!$B$10)^20+INDEX(Surface_Engine!$D$12:$D$72,$A1248+1)))*INDEX(Surface_Engine!$B$12:$B$72,$A1248+1)+G1249</f>
        <v>26.6039534246169</v>
      </c>
      <c r="H1248" s="48" t="n">
        <f aca="false">D1248*(IF($A1248&lt;$Q$1203,INDEX(Surface_Engine!$D$12:$D$72,$A1248+1)+(Surface_Engine!Q246*12)*INDEX(Surface_Engine!$F$12:$F$72,$A1248+1)-(Surface_Engine!Q246*12),1000*12*INDEX(Surface_Engine!$C$12:$C$72,$A1248+1)/(1+Assumptions!$B$10)^20+INDEX(Surface_Engine!$D$12:$D$72,$A1248+1)))*INDEX(Surface_Engine!$B$12:$B$72,$A1248+1)+H1249</f>
        <v>3.31981248942468</v>
      </c>
      <c r="I1248" s="48" t="n">
        <f aca="false">E1248*(IF($A1248&lt;$Q$1203,INDEX(Surface_Engine!$D$12:$D$72,$A1248+1)+(Surface_Engine!Q246*12)*INDEX(Surface_Engine!$F$12:$F$72,$A1248+1)-(Surface_Engine!Q246*12),1000*12*INDEX(Surface_Engine!$C$12:$C$72,$A1248+1)/(1+Assumptions!$B$10)^20+INDEX(Surface_Engine!$D$12:$D$72,$A1248+1)))*INDEX(Surface_Engine!$B$12:$B$72,$A1248+1)+I1249</f>
        <v>4.23171750475706</v>
      </c>
      <c r="J1248" s="48" t="n">
        <f aca="false">B1248*(IF($A1248&lt;$Q$1203,INDEX(Surface_Engine!$D$12:$D$72,$A1248+1)*(1+Assumptions!$B$24)+(Surface_Engine!Q246*12)*INDEX(Surface_Engine!$F$12:$F$72,$A1248+1)-(Surface_Engine!Q246*12),1000*12*INDEX(Surface_Engine!$C$12:$C$72,$A1248+1)/(1+Assumptions!$B$10)^20+INDEX(Surface_Engine!$D$12:$D$72,$A1248+1)*(1+Assumptions!$B$24)))*INDEX(Surface_Engine!$B$12:$B$72,$A1248+1)+J1249</f>
        <v>3.75471301647225</v>
      </c>
      <c r="K1248" s="12" t="n">
        <f aca="false">SQRT((IF(C1248&lt;=0,0,MAX(0,(B1248/C1248)*G1248/INDEX(Surface_Engine!$B$12:$B$72,$A1248+1)-F1248/INDEX(Surface_Engine!$B$12:$B$72,$A1248+1))))^2+(MAX(IF(D1248&lt;=0,0,MAX(0,(B1248/D1248)*H1248/INDEX(Surface_Engine!$B$12:$B$72,$A1248+1)-F1248/INDEX(Surface_Engine!$B$12:$B$72,$A1248+1))),IF(E1248&lt;=0,0,MAX(0,(B1248/E1248)*I1248/INDEX(Surface_Engine!$B$12:$B$72,$A1248+1)-F1248/INDEX(Surface_Engine!$B$12:$B$72,$A1248+1))),IF($A1248&lt;$Q$1203,MAX(0,-Assumptions!$B$22*(F1248/INDEX(Surface_Engine!$B$12:$B$72,$A1248+1))),0)))^2+(MAX(0,J1248/INDEX(Surface_Engine!$B$12:$B$72,$A1248+1)-(F1248/INDEX(Surface_Engine!$B$12:$B$72,$A1248+1))))^2+2*Assumptions!$B$26*(IF(C1248&lt;=0,0,MAX(0,(B1248/C1248)*G1248/INDEX(Surface_Engine!$B$12:$B$72,$A1248+1)-F1248/INDEX(Surface_Engine!$B$12:$B$72,$A1248+1))))*(MAX(IF(D1248&lt;=0,0,MAX(0,(B1248/D1248)*H1248/INDEX(Surface_Engine!$B$12:$B$72,$A1248+1)-F1248/INDEX(Surface_Engine!$B$12:$B$72,$A1248+1))),IF(E1248&lt;=0,0,MAX(0,(B1248/E1248)*I1248/INDEX(Surface_Engine!$B$12:$B$72,$A1248+1)-F1248/INDEX(Surface_Engine!$B$12:$B$72,$A1248+1))),IF($A1248&lt;$Q$1203,MAX(0,-Assumptions!$B$22*(F1248/INDEX(Surface_Engine!$B$12:$B$72,$A1248+1))),0)))+2*Assumptions!$B$27*(IF(C1248&lt;=0,0,MAX(0,(B1248/C1248)*G1248/INDEX(Surface_Engine!$B$12:$B$72,$A1248+1)-F1248/INDEX(Surface_Engine!$B$12:$B$72,$A1248+1))))*(MAX(0,J1248/INDEX(Surface_Engine!$B$12:$B$72,$A1248+1)-(F1248/INDEX(Surface_Engine!$B$12:$B$72,$A1248+1))))+2*Assumptions!$B$28*(MAX(IF(D1248&lt;=0,0,MAX(0,(B1248/D1248)*H1248/INDEX(Surface_Engine!$B$12:$B$72,$A1248+1)-F1248/INDEX(Surface_Engine!$B$12:$B$72,$A1248+1))),IF(E1248&lt;=0,0,MAX(0,(B1248/E1248)*I1248/INDEX(Surface_Engine!$B$12:$B$72,$A1248+1)-F1248/INDEX(Surface_Engine!$B$12:$B$72,$A1248+1))),IF($A1248&lt;$Q$1203,MAX(0,-Assumptions!$B$22*(F1248/INDEX(Surface_Engine!$B$12:$B$72,$A1248+1))),0)))*(MAX(0,J1248/INDEX(Surface_Engine!$B$12:$B$72,$A1248+1)-(F1248/INDEX(Surface_Engine!$B$12:$B$72,$A1248+1)))))</f>
        <v>3.20388587037232</v>
      </c>
      <c r="L1248" s="48" t="n">
        <f aca="false">K1248*INDEX(Surface_Engine!$B$12:$B$72,$A1248+1)+L1249</f>
        <v>1.5136640102916</v>
      </c>
      <c r="M1248" s="48" t="n">
        <f aca="false">M1247+B1247*(IF($A1247&lt;$Q$1203,(Surface_Engine!Q246*12)-(Surface_Engine!Q246*12)*INDEX(Surface_Engine!$F$12:$F$72,$A1247+1)-INDEX(Surface_Engine!$D$12:$D$72,$A1247+1),-(1000*12*INDEX(Surface_Engine!$C$12:$C$72,$A1247+1)/(1+Assumptions!$B$10)^20+INDEX(Surface_Engine!$D$12:$D$72,$A1247+1))))*INDEX(Surface_Engine!$B$12:$B$72,$A1247+1)</f>
        <v>603.169018411459</v>
      </c>
      <c r="N1248" s="12" t="n">
        <f aca="false">IF(B1248&lt;=0,0,MAX(0,(K1248+Assumptions!$B$29*L1248/INDEX(Surface_Engine!$B$12:$B$72,$A1248+1)-(M1248/INDEX(Surface_Engine!$B$12:$B$72,$A1248+1)-(F1248/INDEX(Surface_Engine!$B$12:$B$72,$A1248+1))))/B1248))</f>
        <v>0</v>
      </c>
    </row>
    <row r="1249" customFormat="false" ht="15" hidden="false" customHeight="true" outlineLevel="0" collapsed="false">
      <c r="A1249" s="1" t="n">
        <v>44</v>
      </c>
      <c r="B1249" s="32" t="n">
        <f aca="false">INDEX(Surface_Engine!$Q$12:$Q$72,$A1249+1)*IF($A1249&lt;$Q$1203,INDEX(Surface_Engine!$E$12:$E$72,$A1249+1),INDEX(Surface_Engine!$E$12:$E$72,$Q$1203+1))</f>
        <v>0.000198443418443597</v>
      </c>
      <c r="C1249" s="32" t="n">
        <f aca="false">INDEX(Panel_Reserving!$F$8:$F$68,$A1249+1)*IF($A1249&lt;$Q$1203,INDEX(Surface_Engine!$E$12:$E$72,$A1249+1),INDEX(Surface_Engine!$E$12:$E$72,$Q$1203+1))</f>
        <v>0.00137900901805839</v>
      </c>
      <c r="D1249" s="32" t="n">
        <f aca="false">INDEX(Surface_Engine!$Q$12:$Q$72,$A1249+1)*IF($A1249&lt;$Q$1203,INDEX(Surface_Engine!$Y$12:$Y$72,$A1249+1),INDEX(Surface_Engine!$Y$12:$Y$72,$Q$1203+1))</f>
        <v>0.000175676197870875</v>
      </c>
      <c r="E1249" s="32" t="n">
        <f aca="false">INDEX(Surface_Engine!$Q$12:$Q$72,$A1249+1)*IF($A1249&lt;$Q$1203,INDEX(Surface_Engine!$Z$12:$Z$72,$A1249+1),INDEX(Surface_Engine!$Z$12:$Z$72,$Q$1203+1))</f>
        <v>0.000223931937140275</v>
      </c>
      <c r="F1249" s="48" t="n">
        <f aca="false">B1249*(IF($A1249&lt;$Q$1203,INDEX(Surface_Engine!$D$12:$D$72,$A1249+1)+(Surface_Engine!Q246*12)*INDEX(Surface_Engine!$F$12:$F$72,$A1249+1)-(Surface_Engine!Q246*12),1000*12*INDEX(Surface_Engine!$C$12:$C$72,$A1249+1)/(1+Assumptions!$B$10)^20+INDEX(Surface_Engine!$D$12:$D$72,$A1249+1)))*INDEX(Surface_Engine!$B$12:$B$72,$A1249+1)+F1250</f>
        <v>1.81837516051041</v>
      </c>
      <c r="G1249" s="48" t="n">
        <f aca="false">C1249*(IF($A1249&lt;$Q$1203,INDEX(Surface_Engine!$D$12:$D$72,$A1249+1)+(Surface_Engine!Q246*12)*INDEX(Surface_Engine!$F$12:$F$72,$A1249+1)-(Surface_Engine!Q246*12),1000*12*INDEX(Surface_Engine!$C$12:$C$72,$A1249+1)/(1+Assumptions!$B$10)^20+INDEX(Surface_Engine!$D$12:$D$72,$A1249+1)))*INDEX(Surface_Engine!$B$12:$B$72,$A1249+1)+G1250</f>
        <v>15.3679305644489</v>
      </c>
      <c r="H1249" s="48" t="n">
        <f aca="false">D1249*(IF($A1249&lt;$Q$1203,INDEX(Surface_Engine!$D$12:$D$72,$A1249+1)+(Surface_Engine!Q246*12)*INDEX(Surface_Engine!$F$12:$F$72,$A1249+1)-(Surface_Engine!Q246*12),1000*12*INDEX(Surface_Engine!$C$12:$C$72,$A1249+1)/(1+Assumptions!$B$10)^20+INDEX(Surface_Engine!$D$12:$D$72,$A1249+1)))*INDEX(Surface_Engine!$B$12:$B$72,$A1249+1)+H1250</f>
        <v>1.60975474524042</v>
      </c>
      <c r="I1249" s="48" t="n">
        <f aca="false">E1249*(IF($A1249&lt;$Q$1203,INDEX(Surface_Engine!$D$12:$D$72,$A1249+1)+(Surface_Engine!Q246*12)*INDEX(Surface_Engine!$F$12:$F$72,$A1249+1)-(Surface_Engine!Q246*12),1000*12*INDEX(Surface_Engine!$C$12:$C$72,$A1249+1)/(1+Assumptions!$B$10)^20+INDEX(Surface_Engine!$D$12:$D$72,$A1249+1)))*INDEX(Surface_Engine!$B$12:$B$72,$A1249+1)+I1250</f>
        <v>2.05193135320126</v>
      </c>
      <c r="J1249" s="48" t="n">
        <f aca="false">B1249*(IF($A1249&lt;$Q$1203,INDEX(Surface_Engine!$D$12:$D$72,$A1249+1)*(1+Assumptions!$B$24)+(Surface_Engine!Q246*12)*INDEX(Surface_Engine!$F$12:$F$72,$A1249+1)-(Surface_Engine!Q246*12),1000*12*INDEX(Surface_Engine!$C$12:$C$72,$A1249+1)/(1+Assumptions!$B$10)^20+INDEX(Surface_Engine!$D$12:$D$72,$A1249+1)*(1+Assumptions!$B$24)))*INDEX(Surface_Engine!$B$12:$B$72,$A1249+1)+J1250</f>
        <v>1.82064536515788</v>
      </c>
      <c r="K1249" s="12" t="n">
        <f aca="false">SQRT((IF(C1249&lt;=0,0,MAX(0,(B1249/C1249)*G1249/INDEX(Surface_Engine!$B$12:$B$72,$A1249+1)-F1249/INDEX(Surface_Engine!$B$12:$B$72,$A1249+1))))^2+(MAX(IF(D1249&lt;=0,0,MAX(0,(B1249/D1249)*H1249/INDEX(Surface_Engine!$B$12:$B$72,$A1249+1)-F1249/INDEX(Surface_Engine!$B$12:$B$72,$A1249+1))),IF(E1249&lt;=0,0,MAX(0,(B1249/E1249)*I1249/INDEX(Surface_Engine!$B$12:$B$72,$A1249+1)-F1249/INDEX(Surface_Engine!$B$12:$B$72,$A1249+1))),IF($A1249&lt;$Q$1203,MAX(0,-Assumptions!$B$22*(F1249/INDEX(Surface_Engine!$B$12:$B$72,$A1249+1))),0)))^2+(MAX(0,J1249/INDEX(Surface_Engine!$B$12:$B$72,$A1249+1)-(F1249/INDEX(Surface_Engine!$B$12:$B$72,$A1249+1))))^2+2*Assumptions!$B$26*(IF(C1249&lt;=0,0,MAX(0,(B1249/C1249)*G1249/INDEX(Surface_Engine!$B$12:$B$72,$A1249+1)-F1249/INDEX(Surface_Engine!$B$12:$B$72,$A1249+1))))*(MAX(IF(D1249&lt;=0,0,MAX(0,(B1249/D1249)*H1249/INDEX(Surface_Engine!$B$12:$B$72,$A1249+1)-F1249/INDEX(Surface_Engine!$B$12:$B$72,$A1249+1))),IF(E1249&lt;=0,0,MAX(0,(B1249/E1249)*I1249/INDEX(Surface_Engine!$B$12:$B$72,$A1249+1)-F1249/INDEX(Surface_Engine!$B$12:$B$72,$A1249+1))),IF($A1249&lt;$Q$1203,MAX(0,-Assumptions!$B$22*(F1249/INDEX(Surface_Engine!$B$12:$B$72,$A1249+1))),0)))+2*Assumptions!$B$27*(IF(C1249&lt;=0,0,MAX(0,(B1249/C1249)*G1249/INDEX(Surface_Engine!$B$12:$B$72,$A1249+1)-F1249/INDEX(Surface_Engine!$B$12:$B$72,$A1249+1))))*(MAX(0,J1249/INDEX(Surface_Engine!$B$12:$B$72,$A1249+1)-(F1249/INDEX(Surface_Engine!$B$12:$B$72,$A1249+1))))+2*Assumptions!$B$28*(MAX(IF(D1249&lt;=0,0,MAX(0,(B1249/D1249)*H1249/INDEX(Surface_Engine!$B$12:$B$72,$A1249+1)-F1249/INDEX(Surface_Engine!$B$12:$B$72,$A1249+1))),IF(E1249&lt;=0,0,MAX(0,(B1249/E1249)*I1249/INDEX(Surface_Engine!$B$12:$B$72,$A1249+1)-F1249/INDEX(Surface_Engine!$B$12:$B$72,$A1249+1))),IF($A1249&lt;$Q$1203,MAX(0,-Assumptions!$B$22*(F1249/INDEX(Surface_Engine!$B$12:$B$72,$A1249+1))),0)))*(MAX(0,J1249/INDEX(Surface_Engine!$B$12:$B$72,$A1249+1)-(F1249/INDEX(Surface_Engine!$B$12:$B$72,$A1249+1)))))</f>
        <v>1.57890341355908</v>
      </c>
      <c r="L1249" s="48" t="n">
        <f aca="false">K1249*INDEX(Surface_Engine!$B$12:$B$72,$A1249+1)+L1250</f>
        <v>0.688834199016959</v>
      </c>
      <c r="M1249" s="48" t="n">
        <f aca="false">M1248+B1248*(IF($A1248&lt;$Q$1203,(Surface_Engine!Q246*12)-(Surface_Engine!Q246*12)*INDEX(Surface_Engine!$F$12:$F$72,$A1248+1)-INDEX(Surface_Engine!$D$12:$D$72,$A1248+1),-(1000*12*INDEX(Surface_Engine!$C$12:$C$72,$A1248+1)/(1+Assumptions!$B$10)^20+INDEX(Surface_Engine!$D$12:$D$72,$A1248+1))))*INDEX(Surface_Engine!$B$12:$B$72,$A1248+1)</f>
        <v>601.2373412201</v>
      </c>
      <c r="N1249" s="12" t="n">
        <f aca="false">IF(B1249&lt;=0,0,MAX(0,(K1249+Assumptions!$B$29*L1249/INDEX(Surface_Engine!$B$12:$B$72,$A1249+1)-(M1249/INDEX(Surface_Engine!$B$12:$B$72,$A1249+1)-(F1249/INDEX(Surface_Engine!$B$12:$B$72,$A1249+1))))/B1249))</f>
        <v>0</v>
      </c>
    </row>
    <row r="1250" customFormat="false" ht="15" hidden="false" customHeight="true" outlineLevel="0" collapsed="false">
      <c r="A1250" s="1" t="n">
        <v>45</v>
      </c>
      <c r="B1250" s="32" t="n">
        <f aca="false">INDEX(Surface_Engine!$Q$12:$Q$72,$A1250+1)*IF($A1250&lt;$Q$1203,INDEX(Surface_Engine!$E$12:$E$72,$A1250+1),INDEX(Surface_Engine!$E$12:$E$72,$Q$1203+1))</f>
        <v>9.71311801994592E-005</v>
      </c>
      <c r="C1250" s="32" t="n">
        <f aca="false">INDEX(Panel_Reserving!$F$8:$F$68,$A1250+1)*IF($A1250&lt;$Q$1203,INDEX(Surface_Engine!$E$12:$E$72,$A1250+1),INDEX(Surface_Engine!$E$12:$E$72,$Q$1203+1))</f>
        <v>0.000815783525274185</v>
      </c>
      <c r="D1250" s="32" t="n">
        <f aca="false">INDEX(Surface_Engine!$Q$12:$Q$72,$A1250+1)*IF($A1250&lt;$Q$1203,INDEX(Surface_Engine!$Y$12:$Y$72,$A1250+1),INDEX(Surface_Engine!$Y$12:$Y$72,$Q$1203+1))</f>
        <v>8.59874142764867E-005</v>
      </c>
      <c r="E1250" s="32" t="n">
        <f aca="false">INDEX(Surface_Engine!$Q$12:$Q$72,$A1250+1)*IF($A1250&lt;$Q$1203,INDEX(Surface_Engine!$Z$12:$Z$72,$A1250+1),INDEX(Surface_Engine!$Z$12:$Z$72,$Q$1203+1))</f>
        <v>0.000109606927301387</v>
      </c>
      <c r="F1250" s="48" t="n">
        <f aca="false">B1250*(IF($A1250&lt;$Q$1203,INDEX(Surface_Engine!$D$12:$D$72,$A1250+1)+(Surface_Engine!Q246*12)*INDEX(Surface_Engine!$F$12:$F$72,$A1250+1)-(Surface_Engine!Q246*12),1000*12*INDEX(Surface_Engine!$C$12:$C$72,$A1250+1)/(1+Assumptions!$B$10)^20+INDEX(Surface_Engine!$D$12:$D$72,$A1250+1)))*INDEX(Surface_Engine!$B$12:$B$72,$A1250+1)+F1251</f>
        <v>0.851314822346176</v>
      </c>
      <c r="G1250" s="48" t="n">
        <f aca="false">C1250*(IF($A1250&lt;$Q$1203,INDEX(Surface_Engine!$D$12:$D$72,$A1250+1)+(Surface_Engine!Q246*12)*INDEX(Surface_Engine!$F$12:$F$72,$A1250+1)-(Surface_Engine!Q246*12),1000*12*INDEX(Surface_Engine!$C$12:$C$72,$A1250+1)/(1+Assumptions!$B$10)^20+INDEX(Surface_Engine!$D$12:$D$72,$A1250+1)))*INDEX(Surface_Engine!$B$12:$B$72,$A1250+1)+G1251</f>
        <v>8.64770301649367</v>
      </c>
      <c r="H1250" s="48" t="n">
        <f aca="false">D1250*(IF($A1250&lt;$Q$1203,INDEX(Surface_Engine!$D$12:$D$72,$A1250+1)+(Surface_Engine!Q246*12)*INDEX(Surface_Engine!$F$12:$F$72,$A1250+1)-(Surface_Engine!Q246*12),1000*12*INDEX(Surface_Engine!$C$12:$C$72,$A1250+1)/(1+Assumptions!$B$10)^20+INDEX(Surface_Engine!$D$12:$D$72,$A1250+1)))*INDEX(Surface_Engine!$B$12:$B$72,$A1250+1)+H1251</f>
        <v>0.753644299991753</v>
      </c>
      <c r="I1250" s="48" t="n">
        <f aca="false">E1250*(IF($A1250&lt;$Q$1203,INDEX(Surface_Engine!$D$12:$D$72,$A1250+1)+(Surface_Engine!Q246*12)*INDEX(Surface_Engine!$F$12:$F$72,$A1250+1)-(Surface_Engine!Q246*12),1000*12*INDEX(Surface_Engine!$C$12:$C$72,$A1250+1)/(1+Assumptions!$B$10)^20+INDEX(Surface_Engine!$D$12:$D$72,$A1250+1)))*INDEX(Surface_Engine!$B$12:$B$72,$A1250+1)+I1251</f>
        <v>0.960659611587934</v>
      </c>
      <c r="J1250" s="48" t="n">
        <f aca="false">B1250*(IF($A1250&lt;$Q$1203,INDEX(Surface_Engine!$D$12:$D$72,$A1250+1)*(1+Assumptions!$B$24)+(Surface_Engine!Q246*12)*INDEX(Surface_Engine!$F$12:$F$72,$A1250+1)-(Surface_Engine!Q246*12),1000*12*INDEX(Surface_Engine!$C$12:$C$72,$A1250+1)/(1+Assumptions!$B$10)^20+INDEX(Surface_Engine!$D$12:$D$72,$A1250+1)*(1+Assumptions!$B$24)))*INDEX(Surface_Engine!$B$12:$B$72,$A1250+1)+J1251</f>
        <v>0.852382491670156</v>
      </c>
      <c r="K1250" s="12" t="n">
        <f aca="false">SQRT((IF(C1250&lt;=0,0,MAX(0,(B1250/C1250)*G1250/INDEX(Surface_Engine!$B$12:$B$72,$A1250+1)-F1250/INDEX(Surface_Engine!$B$12:$B$72,$A1250+1))))^2+(MAX(IF(D1250&lt;=0,0,MAX(0,(B1250/D1250)*H1250/INDEX(Surface_Engine!$B$12:$B$72,$A1250+1)-F1250/INDEX(Surface_Engine!$B$12:$B$72,$A1250+1))),IF(E1250&lt;=0,0,MAX(0,(B1250/E1250)*I1250/INDEX(Surface_Engine!$B$12:$B$72,$A1250+1)-F1250/INDEX(Surface_Engine!$B$12:$B$72,$A1250+1))),IF($A1250&lt;$Q$1203,MAX(0,-Assumptions!$B$22*(F1250/INDEX(Surface_Engine!$B$12:$B$72,$A1250+1))),0)))^2+(MAX(0,J1250/INDEX(Surface_Engine!$B$12:$B$72,$A1250+1)-(F1250/INDEX(Surface_Engine!$B$12:$B$72,$A1250+1))))^2+2*Assumptions!$B$26*(IF(C1250&lt;=0,0,MAX(0,(B1250/C1250)*G1250/INDEX(Surface_Engine!$B$12:$B$72,$A1250+1)-F1250/INDEX(Surface_Engine!$B$12:$B$72,$A1250+1))))*(MAX(IF(D1250&lt;=0,0,MAX(0,(B1250/D1250)*H1250/INDEX(Surface_Engine!$B$12:$B$72,$A1250+1)-F1250/INDEX(Surface_Engine!$B$12:$B$72,$A1250+1))),IF(E1250&lt;=0,0,MAX(0,(B1250/E1250)*I1250/INDEX(Surface_Engine!$B$12:$B$72,$A1250+1)-F1250/INDEX(Surface_Engine!$B$12:$B$72,$A1250+1))),IF($A1250&lt;$Q$1203,MAX(0,-Assumptions!$B$22*(F1250/INDEX(Surface_Engine!$B$12:$B$72,$A1250+1))),0)))+2*Assumptions!$B$27*(IF(C1250&lt;=0,0,MAX(0,(B1250/C1250)*G1250/INDEX(Surface_Engine!$B$12:$B$72,$A1250+1)-F1250/INDEX(Surface_Engine!$B$12:$B$72,$A1250+1))))*(MAX(0,J1250/INDEX(Surface_Engine!$B$12:$B$72,$A1250+1)-(F1250/INDEX(Surface_Engine!$B$12:$B$72,$A1250+1))))+2*Assumptions!$B$28*(MAX(IF(D1250&lt;=0,0,MAX(0,(B1250/D1250)*H1250/INDEX(Surface_Engine!$B$12:$B$72,$A1250+1)-F1250/INDEX(Surface_Engine!$B$12:$B$72,$A1250+1))),IF(E1250&lt;=0,0,MAX(0,(B1250/E1250)*I1250/INDEX(Surface_Engine!$B$12:$B$72,$A1250+1)-F1250/INDEX(Surface_Engine!$B$12:$B$72,$A1250+1))),IF($A1250&lt;$Q$1203,MAX(0,-Assumptions!$B$22*(F1250/INDEX(Surface_Engine!$B$12:$B$72,$A1250+1))),0)))*(MAX(0,J1250/INDEX(Surface_Engine!$B$12:$B$72,$A1250+1)-(F1250/INDEX(Surface_Engine!$B$12:$B$72,$A1250+1)))))</f>
        <v>0.739869204681201</v>
      </c>
      <c r="L1250" s="48" t="n">
        <f aca="false">K1250*INDEX(Surface_Engine!$B$12:$B$72,$A1250+1)+L1251</f>
        <v>0.295145655701807</v>
      </c>
      <c r="M1250" s="48" t="n">
        <f aca="false">M1249+B1249*(IF($A1249&lt;$Q$1203,(Surface_Engine!Q246*12)-(Surface_Engine!Q246*12)*INDEX(Surface_Engine!$F$12:$F$72,$A1249+1)-INDEX(Surface_Engine!$D$12:$D$72,$A1249+1),-(1000*12*INDEX(Surface_Engine!$C$12:$C$72,$A1249+1)/(1+Assumptions!$B$10)^20+INDEX(Surface_Engine!$D$12:$D$72,$A1249+1))))*INDEX(Surface_Engine!$B$12:$B$72,$A1249+1)</f>
        <v>600.270280881936</v>
      </c>
      <c r="N1250" s="12" t="n">
        <f aca="false">IF(B1250&lt;=0,0,MAX(0,(K1250+Assumptions!$B$29*L1250/INDEX(Surface_Engine!$B$12:$B$72,$A1250+1)-(M1250/INDEX(Surface_Engine!$B$12:$B$72,$A1250+1)-(F1250/INDEX(Surface_Engine!$B$12:$B$72,$A1250+1))))/B1250))</f>
        <v>0</v>
      </c>
    </row>
    <row r="1251" customFormat="false" ht="15" hidden="false" customHeight="true" outlineLevel="0" collapsed="false">
      <c r="A1251" s="1" t="n">
        <v>46</v>
      </c>
      <c r="B1251" s="32" t="n">
        <f aca="false">INDEX(Surface_Engine!$Q$12:$Q$72,$A1251+1)*IF($A1251&lt;$Q$1203,INDEX(Surface_Engine!$E$12:$E$72,$A1251+1),INDEX(Surface_Engine!$E$12:$E$72,$Q$1203+1))</f>
        <v>4.58867556726662E-005</v>
      </c>
      <c r="C1251" s="32" t="n">
        <f aca="false">INDEX(Panel_Reserving!$F$8:$F$68,$A1251+1)*IF($A1251&lt;$Q$1203,INDEX(Surface_Engine!$E$12:$E$72,$A1251+1),INDEX(Surface_Engine!$E$12:$E$72,$Q$1203+1))</f>
        <v>0.000471470959893892</v>
      </c>
      <c r="D1251" s="32" t="n">
        <f aca="false">INDEX(Surface_Engine!$Q$12:$Q$72,$A1251+1)*IF($A1251&lt;$Q$1203,INDEX(Surface_Engine!$Y$12:$Y$72,$A1251+1),INDEX(Surface_Engine!$Y$12:$Y$72,$Q$1203+1))</f>
        <v>4.06222127820026E-005</v>
      </c>
      <c r="E1251" s="32" t="n">
        <f aca="false">INDEX(Surface_Engine!$Q$12:$Q$72,$A1251+1)*IF($A1251&lt;$Q$1203,INDEX(Surface_Engine!$Z$12:$Z$72,$A1251+1),INDEX(Surface_Engine!$Z$12:$Z$72,$Q$1203+1))</f>
        <v>5.17805537087298E-005</v>
      </c>
      <c r="F1251" s="48" t="n">
        <f aca="false">B1251*(IF($A1251&lt;$Q$1203,INDEX(Surface_Engine!$D$12:$D$72,$A1251+1)+(Surface_Engine!Q246*12)*INDEX(Surface_Engine!$F$12:$F$72,$A1251+1)-(Surface_Engine!Q246*12),1000*12*INDEX(Surface_Engine!$C$12:$C$72,$A1251+1)/(1+Assumptions!$B$10)^20+INDEX(Surface_Engine!$D$12:$D$72,$A1251+1)))*INDEX(Surface_Engine!$B$12:$B$72,$A1251+1)+F1252</f>
        <v>0.383887266278298</v>
      </c>
      <c r="G1251" s="48" t="n">
        <f aca="false">C1251*(IF($A1251&lt;$Q$1203,INDEX(Surface_Engine!$D$12:$D$72,$A1251+1)+(Surface_Engine!Q246*12)*INDEX(Surface_Engine!$F$12:$F$72,$A1251+1)-(Surface_Engine!Q246*12),1000*12*INDEX(Surface_Engine!$C$12:$C$72,$A1251+1)/(1+Assumptions!$B$10)^20+INDEX(Surface_Engine!$D$12:$D$72,$A1251+1)))*INDEX(Surface_Engine!$B$12:$B$72,$A1251+1)+G1252</f>
        <v>4.72188126989995</v>
      </c>
      <c r="H1251" s="48" t="n">
        <f aca="false">D1251*(IF($A1251&lt;$Q$1203,INDEX(Surface_Engine!$D$12:$D$72,$A1251+1)+(Surface_Engine!Q246*12)*INDEX(Surface_Engine!$F$12:$F$72,$A1251+1)-(Surface_Engine!Q246*12),1000*12*INDEX(Surface_Engine!$C$12:$C$72,$A1251+1)/(1+Assumptions!$B$10)^20+INDEX(Surface_Engine!$D$12:$D$72,$A1251+1)))*INDEX(Surface_Engine!$B$12:$B$72,$A1251+1)+H1252</f>
        <v>0.339844253237271</v>
      </c>
      <c r="I1251" s="48" t="n">
        <f aca="false">E1251*(IF($A1251&lt;$Q$1203,INDEX(Surface_Engine!$D$12:$D$72,$A1251+1)+(Surface_Engine!Q246*12)*INDEX(Surface_Engine!$F$12:$F$72,$A1251+1)-(Surface_Engine!Q246*12),1000*12*INDEX(Surface_Engine!$C$12:$C$72,$A1251+1)/(1+Assumptions!$B$10)^20+INDEX(Surface_Engine!$D$12:$D$72,$A1251+1)))*INDEX(Surface_Engine!$B$12:$B$72,$A1251+1)+I1252</f>
        <v>0.433194609604133</v>
      </c>
      <c r="J1251" s="48" t="n">
        <f aca="false">B1251*(IF($A1251&lt;$Q$1203,INDEX(Surface_Engine!$D$12:$D$72,$A1251+1)*(1+Assumptions!$B$24)+(Surface_Engine!Q246*12)*INDEX(Surface_Engine!$F$12:$F$72,$A1251+1)-(Surface_Engine!Q246*12),1000*12*INDEX(Surface_Engine!$C$12:$C$72,$A1251+1)/(1+Assumptions!$B$10)^20+INDEX(Surface_Engine!$D$12:$D$72,$A1251+1)*(1+Assumptions!$B$24)))*INDEX(Surface_Engine!$B$12:$B$72,$A1251+1)+J1252</f>
        <v>0.384370877835452</v>
      </c>
      <c r="K1251" s="12" t="n">
        <f aca="false">SQRT((IF(C1251&lt;=0,0,MAX(0,(B1251/C1251)*G1251/INDEX(Surface_Engine!$B$12:$B$72,$A1251+1)-F1251/INDEX(Surface_Engine!$B$12:$B$72,$A1251+1))))^2+(MAX(IF(D1251&lt;=0,0,MAX(0,(B1251/D1251)*H1251/INDEX(Surface_Engine!$B$12:$B$72,$A1251+1)-F1251/INDEX(Surface_Engine!$B$12:$B$72,$A1251+1))),IF(E1251&lt;=0,0,MAX(0,(B1251/E1251)*I1251/INDEX(Surface_Engine!$B$12:$B$72,$A1251+1)-F1251/INDEX(Surface_Engine!$B$12:$B$72,$A1251+1))),IF($A1251&lt;$Q$1203,MAX(0,-Assumptions!$B$22*(F1251/INDEX(Surface_Engine!$B$12:$B$72,$A1251+1))),0)))^2+(MAX(0,J1251/INDEX(Surface_Engine!$B$12:$B$72,$A1251+1)-(F1251/INDEX(Surface_Engine!$B$12:$B$72,$A1251+1))))^2+2*Assumptions!$B$26*(IF(C1251&lt;=0,0,MAX(0,(B1251/C1251)*G1251/INDEX(Surface_Engine!$B$12:$B$72,$A1251+1)-F1251/INDEX(Surface_Engine!$B$12:$B$72,$A1251+1))))*(MAX(IF(D1251&lt;=0,0,MAX(0,(B1251/D1251)*H1251/INDEX(Surface_Engine!$B$12:$B$72,$A1251+1)-F1251/INDEX(Surface_Engine!$B$12:$B$72,$A1251+1))),IF(E1251&lt;=0,0,MAX(0,(B1251/E1251)*I1251/INDEX(Surface_Engine!$B$12:$B$72,$A1251+1)-F1251/INDEX(Surface_Engine!$B$12:$B$72,$A1251+1))),IF($A1251&lt;$Q$1203,MAX(0,-Assumptions!$B$22*(F1251/INDEX(Surface_Engine!$B$12:$B$72,$A1251+1))),0)))+2*Assumptions!$B$27*(IF(C1251&lt;=0,0,MAX(0,(B1251/C1251)*G1251/INDEX(Surface_Engine!$B$12:$B$72,$A1251+1)-F1251/INDEX(Surface_Engine!$B$12:$B$72,$A1251+1))))*(MAX(0,J1251/INDEX(Surface_Engine!$B$12:$B$72,$A1251+1)-(F1251/INDEX(Surface_Engine!$B$12:$B$72,$A1251+1))))+2*Assumptions!$B$28*(MAX(IF(D1251&lt;=0,0,MAX(0,(B1251/D1251)*H1251/INDEX(Surface_Engine!$B$12:$B$72,$A1251+1)-F1251/INDEX(Surface_Engine!$B$12:$B$72,$A1251+1))),IF(E1251&lt;=0,0,MAX(0,(B1251/E1251)*I1251/INDEX(Surface_Engine!$B$12:$B$72,$A1251+1)-F1251/INDEX(Surface_Engine!$B$12:$B$72,$A1251+1))),IF($A1251&lt;$Q$1203,MAX(0,-Assumptions!$B$22*(F1251/INDEX(Surface_Engine!$B$12:$B$72,$A1251+1))),0)))*(MAX(0,J1251/INDEX(Surface_Engine!$B$12:$B$72,$A1251+1)-(F1251/INDEX(Surface_Engine!$B$12:$B$72,$A1251+1)))))</f>
        <v>0.324246006863923</v>
      </c>
      <c r="L1251" s="48" t="n">
        <f aca="false">K1251*INDEX(Surface_Engine!$B$12:$B$72,$A1251+1)+L1252</f>
        <v>0.116552712666443</v>
      </c>
      <c r="M1251" s="48" t="n">
        <f aca="false">M1250+B1250*(IF($A1250&lt;$Q$1203,(Surface_Engine!Q246*12)-(Surface_Engine!Q246*12)*INDEX(Surface_Engine!$F$12:$F$72,$A1250+1)-INDEX(Surface_Engine!$D$12:$D$72,$A1250+1),-(1000*12*INDEX(Surface_Engine!$C$12:$C$72,$A1250+1)/(1+Assumptions!$B$10)^20+INDEX(Surface_Engine!$D$12:$D$72,$A1250+1))))*INDEX(Surface_Engine!$B$12:$B$72,$A1250+1)</f>
        <v>599.802853325868</v>
      </c>
      <c r="N1251" s="12" t="n">
        <f aca="false">IF(B1251&lt;=0,0,MAX(0,(K1251+Assumptions!$B$29*L1251/INDEX(Surface_Engine!$B$12:$B$72,$A1251+1)-(M1251/INDEX(Surface_Engine!$B$12:$B$72,$A1251+1)-(F1251/INDEX(Surface_Engine!$B$12:$B$72,$A1251+1))))/B1251))</f>
        <v>0</v>
      </c>
    </row>
    <row r="1252" customFormat="false" ht="15" hidden="false" customHeight="true" outlineLevel="0" collapsed="false">
      <c r="A1252" s="1" t="n">
        <v>47</v>
      </c>
      <c r="B1252" s="32" t="n">
        <f aca="false">INDEX(Surface_Engine!$Q$12:$Q$72,$A1252+1)*IF($A1252&lt;$Q$1203,INDEX(Surface_Engine!$E$12:$E$72,$A1252+1),INDEX(Surface_Engine!$E$12:$E$72,$Q$1203+1))</f>
        <v>2.09081962955345E-005</v>
      </c>
      <c r="C1252" s="32" t="n">
        <f aca="false">INDEX(Panel_Reserving!$F$8:$F$68,$A1252+1)*IF($A1252&lt;$Q$1203,INDEX(Surface_Engine!$E$12:$E$72,$A1252+1),INDEX(Surface_Engine!$E$12:$E$72,$Q$1203+1))</f>
        <v>0.000266153932029698</v>
      </c>
      <c r="D1252" s="32" t="n">
        <f aca="false">INDEX(Surface_Engine!$Q$12:$Q$72,$A1252+1)*IF($A1252&lt;$Q$1203,INDEX(Surface_Engine!$Y$12:$Y$72,$A1252+1),INDEX(Surface_Engine!$Y$12:$Y$72,$Q$1203+1))</f>
        <v>1.85094192508148E-005</v>
      </c>
      <c r="E1252" s="32" t="n">
        <f aca="false">INDEX(Surface_Engine!$Q$12:$Q$72,$A1252+1)*IF($A1252&lt;$Q$1203,INDEX(Surface_Engine!$Z$12:$Z$72,$A1252+1),INDEX(Surface_Engine!$Z$12:$Z$72,$Q$1203+1))</f>
        <v>2.35936920220859E-005</v>
      </c>
      <c r="F1252" s="48" t="n">
        <f aca="false">B1252*(IF($A1252&lt;$Q$1203,INDEX(Surface_Engine!$D$12:$D$72,$A1252+1)+(Surface_Engine!Q246*12)*INDEX(Surface_Engine!$F$12:$F$72,$A1252+1)-(Surface_Engine!Q246*12),1000*12*INDEX(Surface_Engine!$C$12:$C$72,$A1252+1)/(1+Assumptions!$B$10)^20+INDEX(Surface_Engine!$D$12:$D$72,$A1252+1)))*INDEX(Surface_Engine!$B$12:$B$72,$A1252+1)+F1253</f>
        <v>0.165735548341688</v>
      </c>
      <c r="G1252" s="48" t="n">
        <f aca="false">C1252*(IF($A1252&lt;$Q$1203,INDEX(Surface_Engine!$D$12:$D$72,$A1252+1)+(Surface_Engine!Q246*12)*INDEX(Surface_Engine!$F$12:$F$72,$A1252+1)-(Surface_Engine!Q246*12),1000*12*INDEX(Surface_Engine!$C$12:$C$72,$A1252+1)/(1+Assumptions!$B$10)^20+INDEX(Surface_Engine!$D$12:$D$72,$A1252+1)))*INDEX(Surface_Engine!$B$12:$B$72,$A1252+1)+G1253</f>
        <v>2.48044584152116</v>
      </c>
      <c r="H1252" s="48" t="n">
        <f aca="false">D1252*(IF($A1252&lt;$Q$1203,INDEX(Surface_Engine!$D$12:$D$72,$A1252+1)+(Surface_Engine!Q246*12)*INDEX(Surface_Engine!$F$12:$F$72,$A1252+1)-(Surface_Engine!Q246*12),1000*12*INDEX(Surface_Engine!$C$12:$C$72,$A1252+1)/(1+Assumptions!$B$10)^20+INDEX(Surface_Engine!$D$12:$D$72,$A1252+1)))*INDEX(Surface_Engine!$B$12:$B$72,$A1252+1)+H1253</f>
        <v>0.146720869923876</v>
      </c>
      <c r="I1252" s="48" t="n">
        <f aca="false">E1252*(IF($A1252&lt;$Q$1203,INDEX(Surface_Engine!$D$12:$D$72,$A1252+1)+(Surface_Engine!Q246*12)*INDEX(Surface_Engine!$F$12:$F$72,$A1252+1)-(Surface_Engine!Q246*12),1000*12*INDEX(Surface_Engine!$C$12:$C$72,$A1252+1)/(1+Assumptions!$B$10)^20+INDEX(Surface_Engine!$D$12:$D$72,$A1252+1)))*INDEX(Surface_Engine!$B$12:$B$72,$A1252+1)+I1253</f>
        <v>0.18702299468656</v>
      </c>
      <c r="J1252" s="48" t="n">
        <f aca="false">B1252*(IF($A1252&lt;$Q$1203,INDEX(Surface_Engine!$D$12:$D$72,$A1252+1)*(1+Assumptions!$B$24)+(Surface_Engine!Q246*12)*INDEX(Surface_Engine!$F$12:$F$72,$A1252+1)-(Surface_Engine!Q246*12),1000*12*INDEX(Surface_Engine!$C$12:$C$72,$A1252+1)/(1+Assumptions!$B$10)^20+INDEX(Surface_Engine!$D$12:$D$72,$A1252+1)*(1+Assumptions!$B$24)))*INDEX(Surface_Engine!$B$12:$B$72,$A1252+1)+J1253</f>
        <v>0.165945256625163</v>
      </c>
      <c r="K1252" s="12" t="n">
        <f aca="false">SQRT((IF(C1252&lt;=0,0,MAX(0,(B1252/C1252)*G1252/INDEX(Surface_Engine!$B$12:$B$72,$A1252+1)-F1252/INDEX(Surface_Engine!$B$12:$B$72,$A1252+1))))^2+(MAX(IF(D1252&lt;=0,0,MAX(0,(B1252/D1252)*H1252/INDEX(Surface_Engine!$B$12:$B$72,$A1252+1)-F1252/INDEX(Surface_Engine!$B$12:$B$72,$A1252+1))),IF(E1252&lt;=0,0,MAX(0,(B1252/E1252)*I1252/INDEX(Surface_Engine!$B$12:$B$72,$A1252+1)-F1252/INDEX(Surface_Engine!$B$12:$B$72,$A1252+1))),IF($A1252&lt;$Q$1203,MAX(0,-Assumptions!$B$22*(F1252/INDEX(Surface_Engine!$B$12:$B$72,$A1252+1))),0)))^2+(MAX(0,J1252/INDEX(Surface_Engine!$B$12:$B$72,$A1252+1)-(F1252/INDEX(Surface_Engine!$B$12:$B$72,$A1252+1))))^2+2*Assumptions!$B$26*(IF(C1252&lt;=0,0,MAX(0,(B1252/C1252)*G1252/INDEX(Surface_Engine!$B$12:$B$72,$A1252+1)-F1252/INDEX(Surface_Engine!$B$12:$B$72,$A1252+1))))*(MAX(IF(D1252&lt;=0,0,MAX(0,(B1252/D1252)*H1252/INDEX(Surface_Engine!$B$12:$B$72,$A1252+1)-F1252/INDEX(Surface_Engine!$B$12:$B$72,$A1252+1))),IF(E1252&lt;=0,0,MAX(0,(B1252/E1252)*I1252/INDEX(Surface_Engine!$B$12:$B$72,$A1252+1)-F1252/INDEX(Surface_Engine!$B$12:$B$72,$A1252+1))),IF($A1252&lt;$Q$1203,MAX(0,-Assumptions!$B$22*(F1252/INDEX(Surface_Engine!$B$12:$B$72,$A1252+1))),0)))+2*Assumptions!$B$27*(IF(C1252&lt;=0,0,MAX(0,(B1252/C1252)*G1252/INDEX(Surface_Engine!$B$12:$B$72,$A1252+1)-F1252/INDEX(Surface_Engine!$B$12:$B$72,$A1252+1))))*(MAX(0,J1252/INDEX(Surface_Engine!$B$12:$B$72,$A1252+1)-(F1252/INDEX(Surface_Engine!$B$12:$B$72,$A1252+1))))+2*Assumptions!$B$28*(MAX(IF(D1252&lt;=0,0,MAX(0,(B1252/D1252)*H1252/INDEX(Surface_Engine!$B$12:$B$72,$A1252+1)-F1252/INDEX(Surface_Engine!$B$12:$B$72,$A1252+1))),IF(E1252&lt;=0,0,MAX(0,(B1252/E1252)*I1252/INDEX(Surface_Engine!$B$12:$B$72,$A1252+1)-F1252/INDEX(Surface_Engine!$B$12:$B$72,$A1252+1))),IF($A1252&lt;$Q$1203,MAX(0,-Assumptions!$B$22*(F1252/INDEX(Surface_Engine!$B$12:$B$72,$A1252+1))),0)))*(MAX(0,J1252/INDEX(Surface_Engine!$B$12:$B$72,$A1252+1)-(F1252/INDEX(Surface_Engine!$B$12:$B$72,$A1252+1)))))</f>
        <v>0.12885723050705</v>
      </c>
      <c r="L1252" s="48" t="n">
        <f aca="false">K1252*INDEX(Surface_Engine!$B$12:$B$72,$A1252+1)+L1253</f>
        <v>0.0407520772814899</v>
      </c>
      <c r="M1252" s="48" t="n">
        <f aca="false">M1251+B1251*(IF($A1251&lt;$Q$1203,(Surface_Engine!Q246*12)-(Surface_Engine!Q246*12)*INDEX(Surface_Engine!$F$12:$F$72,$A1251+1)-INDEX(Surface_Engine!$D$12:$D$72,$A1251+1),-(1000*12*INDEX(Surface_Engine!$C$12:$C$72,$A1251+1)/(1+Assumptions!$B$10)^20+INDEX(Surface_Engine!$D$12:$D$72,$A1251+1))))*INDEX(Surface_Engine!$B$12:$B$72,$A1251+1)</f>
        <v>599.584701607932</v>
      </c>
      <c r="N1252" s="12" t="n">
        <f aca="false">IF(B1252&lt;=0,0,MAX(0,(K1252+Assumptions!$B$29*L1252/INDEX(Surface_Engine!$B$12:$B$72,$A1252+1)-(M1252/INDEX(Surface_Engine!$B$12:$B$72,$A1252+1)-(F1252/INDEX(Surface_Engine!$B$12:$B$72,$A1252+1))))/B1252))</f>
        <v>0</v>
      </c>
    </row>
    <row r="1253" customFormat="false" ht="15" hidden="false" customHeight="true" outlineLevel="0" collapsed="false">
      <c r="A1253" s="1" t="n">
        <v>48</v>
      </c>
      <c r="B1253" s="32" t="n">
        <f aca="false">INDEX(Surface_Engine!$Q$12:$Q$72,$A1253+1)*IF($A1253&lt;$Q$1203,INDEX(Surface_Engine!$E$12:$E$72,$A1253+1),INDEX(Surface_Engine!$E$12:$E$72,$Q$1203+1))</f>
        <v>9.18264967209808E-006</v>
      </c>
      <c r="C1253" s="32" t="n">
        <f aca="false">INDEX(Panel_Reserving!$F$8:$F$68,$A1253+1)*IF($A1253&lt;$Q$1203,INDEX(Surface_Engine!$E$12:$E$72,$A1253+1),INDEX(Surface_Engine!$E$12:$E$72,$Q$1203+1))</f>
        <v>0.000146744288274184</v>
      </c>
      <c r="D1253" s="32" t="n">
        <f aca="false">INDEX(Surface_Engine!$Q$12:$Q$72,$A1253+1)*IF($A1253&lt;$Q$1203,INDEX(Surface_Engine!$Y$12:$Y$72,$A1253+1),INDEX(Surface_Engine!$Y$12:$Y$72,$Q$1203+1))</f>
        <v>8.12913319789908E-006</v>
      </c>
      <c r="E1253" s="32" t="n">
        <f aca="false">INDEX(Surface_Engine!$Q$12:$Q$72,$A1253+1)*IF($A1253&lt;$Q$1203,INDEX(Surface_Engine!$Z$12:$Z$72,$A1253+1),INDEX(Surface_Engine!$Z$12:$Z$72,$Q$1203+1))</f>
        <v>1.03620898353849E-005</v>
      </c>
      <c r="F1253" s="48" t="n">
        <f aca="false">B1253*(IF($A1253&lt;$Q$1203,INDEX(Surface_Engine!$D$12:$D$72,$A1253+1)+(Surface_Engine!Q246*12)*INDEX(Surface_Engine!$F$12:$F$72,$A1253+1)-(Surface_Engine!Q246*12),1000*12*INDEX(Surface_Engine!$C$12:$C$72,$A1253+1)/(1+Assumptions!$B$10)^20+INDEX(Surface_Engine!$D$12:$D$72,$A1253+1)))*INDEX(Surface_Engine!$B$12:$B$72,$A1253+1)+F1254</f>
        <v>0.0675392296375738</v>
      </c>
      <c r="G1253" s="48" t="n">
        <f aca="false">C1253*(IF($A1253&lt;$Q$1203,INDEX(Surface_Engine!$D$12:$D$72,$A1253+1)+(Surface_Engine!Q246*12)*INDEX(Surface_Engine!$F$12:$F$72,$A1253+1)-(Surface_Engine!Q246*12),1000*12*INDEX(Surface_Engine!$C$12:$C$72,$A1253+1)/(1+Assumptions!$B$10)^20+INDEX(Surface_Engine!$D$12:$D$72,$A1253+1)))*INDEX(Surface_Engine!$B$12:$B$72,$A1253+1)+G1254</f>
        <v>1.23044149085782</v>
      </c>
      <c r="H1253" s="48" t="n">
        <f aca="false">D1253*(IF($A1253&lt;$Q$1203,INDEX(Surface_Engine!$D$12:$D$72,$A1253+1)+(Surface_Engine!Q246*12)*INDEX(Surface_Engine!$F$12:$F$72,$A1253+1)-(Surface_Engine!Q246*12),1000*12*INDEX(Surface_Engine!$C$12:$C$72,$A1253+1)/(1+Assumptions!$B$10)^20+INDEX(Surface_Engine!$D$12:$D$72,$A1253+1)))*INDEX(Surface_Engine!$B$12:$B$72,$A1253+1)+H1254</f>
        <v>0.0597905194483898</v>
      </c>
      <c r="I1253" s="48" t="n">
        <f aca="false">E1253*(IF($A1253&lt;$Q$1203,INDEX(Surface_Engine!$D$12:$D$72,$A1253+1)+(Surface_Engine!Q246*12)*INDEX(Surface_Engine!$F$12:$F$72,$A1253+1)-(Surface_Engine!Q246*12),1000*12*INDEX(Surface_Engine!$C$12:$C$72,$A1253+1)/(1+Assumptions!$B$10)^20+INDEX(Surface_Engine!$D$12:$D$72,$A1253+1)))*INDEX(Surface_Engine!$B$12:$B$72,$A1253+1)+I1254</f>
        <v>0.0762141200969204</v>
      </c>
      <c r="J1253" s="48" t="n">
        <f aca="false">B1253*(IF($A1253&lt;$Q$1203,INDEX(Surface_Engine!$D$12:$D$72,$A1253+1)*(1+Assumptions!$B$24)+(Surface_Engine!Q246*12)*INDEX(Surface_Engine!$F$12:$F$72,$A1253+1)-(Surface_Engine!Q246*12),1000*12*INDEX(Surface_Engine!$C$12:$C$72,$A1253+1)/(1+Assumptions!$B$10)^20+INDEX(Surface_Engine!$D$12:$D$72,$A1253+1)*(1+Assumptions!$B$24)))*INDEX(Surface_Engine!$B$12:$B$72,$A1253+1)+J1254</f>
        <v>0.0676250494888061</v>
      </c>
      <c r="K1253" s="12" t="n">
        <f aca="false">SQRT((IF(C1253&lt;=0,0,MAX(0,(B1253/C1253)*G1253/INDEX(Surface_Engine!$B$12:$B$72,$A1253+1)-F1253/INDEX(Surface_Engine!$B$12:$B$72,$A1253+1))))^2+(MAX(IF(D1253&lt;=0,0,MAX(0,(B1253/D1253)*H1253/INDEX(Surface_Engine!$B$12:$B$72,$A1253+1)-F1253/INDEX(Surface_Engine!$B$12:$B$72,$A1253+1))),IF(E1253&lt;=0,0,MAX(0,(B1253/E1253)*I1253/INDEX(Surface_Engine!$B$12:$B$72,$A1253+1)-F1253/INDEX(Surface_Engine!$B$12:$B$72,$A1253+1))),IF($A1253&lt;$Q$1203,MAX(0,-Assumptions!$B$22*(F1253/INDEX(Surface_Engine!$B$12:$B$72,$A1253+1))),0)))^2+(MAX(0,J1253/INDEX(Surface_Engine!$B$12:$B$72,$A1253+1)-(F1253/INDEX(Surface_Engine!$B$12:$B$72,$A1253+1))))^2+2*Assumptions!$B$26*(IF(C1253&lt;=0,0,MAX(0,(B1253/C1253)*G1253/INDEX(Surface_Engine!$B$12:$B$72,$A1253+1)-F1253/INDEX(Surface_Engine!$B$12:$B$72,$A1253+1))))*(MAX(IF(D1253&lt;=0,0,MAX(0,(B1253/D1253)*H1253/INDEX(Surface_Engine!$B$12:$B$72,$A1253+1)-F1253/INDEX(Surface_Engine!$B$12:$B$72,$A1253+1))),IF(E1253&lt;=0,0,MAX(0,(B1253/E1253)*I1253/INDEX(Surface_Engine!$B$12:$B$72,$A1253+1)-F1253/INDEX(Surface_Engine!$B$12:$B$72,$A1253+1))),IF($A1253&lt;$Q$1203,MAX(0,-Assumptions!$B$22*(F1253/INDEX(Surface_Engine!$B$12:$B$72,$A1253+1))),0)))+2*Assumptions!$B$27*(IF(C1253&lt;=0,0,MAX(0,(B1253/C1253)*G1253/INDEX(Surface_Engine!$B$12:$B$72,$A1253+1)-F1253/INDEX(Surface_Engine!$B$12:$B$72,$A1253+1))))*(MAX(0,J1253/INDEX(Surface_Engine!$B$12:$B$72,$A1253+1)-(F1253/INDEX(Surface_Engine!$B$12:$B$72,$A1253+1))))+2*Assumptions!$B$28*(MAX(IF(D1253&lt;=0,0,MAX(0,(B1253/D1253)*H1253/INDEX(Surface_Engine!$B$12:$B$72,$A1253+1)-F1253/INDEX(Surface_Engine!$B$12:$B$72,$A1253+1))),IF(E1253&lt;=0,0,MAX(0,(B1253/E1253)*I1253/INDEX(Surface_Engine!$B$12:$B$72,$A1253+1)-F1253/INDEX(Surface_Engine!$B$12:$B$72,$A1253+1))),IF($A1253&lt;$Q$1203,MAX(0,-Assumptions!$B$22*(F1253/INDEX(Surface_Engine!$B$12:$B$72,$A1253+1))),0)))*(MAX(0,J1253/INDEX(Surface_Engine!$B$12:$B$72,$A1253+1)-(F1253/INDEX(Surface_Engine!$B$12:$B$72,$A1253+1)))))</f>
        <v>0.0432505710448268</v>
      </c>
      <c r="L1253" s="48" t="n">
        <f aca="false">K1253*INDEX(Surface_Engine!$B$12:$B$72,$A1253+1)+L1254</f>
        <v>0.0115786498211538</v>
      </c>
      <c r="M1253" s="48" t="n">
        <f aca="false">M1252+B1252*(IF($A1252&lt;$Q$1203,(Surface_Engine!Q246*12)-(Surface_Engine!Q246*12)*INDEX(Surface_Engine!$F$12:$F$72,$A1252+1)-INDEX(Surface_Engine!$D$12:$D$72,$A1252+1),-(1000*12*INDEX(Surface_Engine!$C$12:$C$72,$A1252+1)/(1+Assumptions!$B$10)^20+INDEX(Surface_Engine!$D$12:$D$72,$A1252+1))))*INDEX(Surface_Engine!$B$12:$B$72,$A1252+1)</f>
        <v>599.486505289227</v>
      </c>
      <c r="N1253" s="12" t="n">
        <f aca="false">IF(B1253&lt;=0,0,MAX(0,(K1253+Assumptions!$B$29*L1253/INDEX(Surface_Engine!$B$12:$B$72,$A1253+1)-(M1253/INDEX(Surface_Engine!$B$12:$B$72,$A1253+1)-(F1253/INDEX(Surface_Engine!$B$12:$B$72,$A1253+1))))/B1253))</f>
        <v>0</v>
      </c>
    </row>
    <row r="1254" customFormat="false" ht="15" hidden="false" customHeight="true" outlineLevel="0" collapsed="false">
      <c r="A1254" s="1" t="n">
        <v>49</v>
      </c>
      <c r="B1254" s="32" t="n">
        <f aca="false">INDEX(Surface_Engine!$Q$12:$Q$72,$A1254+1)*IF($A1254&lt;$Q$1203,INDEX(Surface_Engine!$E$12:$E$72,$A1254+1),INDEX(Surface_Engine!$E$12:$E$72,$Q$1203+1))</f>
        <v>3.88501382342443E-006</v>
      </c>
      <c r="C1254" s="32" t="n">
        <f aca="false">INDEX(Panel_Reserving!$F$8:$F$68,$A1254+1)*IF($A1254&lt;$Q$1203,INDEX(Surface_Engine!$E$12:$E$72,$A1254+1),INDEX(Surface_Engine!$E$12:$E$72,$Q$1203+1))</f>
        <v>7.90167516777199E-005</v>
      </c>
      <c r="D1254" s="32" t="n">
        <f aca="false">INDEX(Surface_Engine!$Q$12:$Q$72,$A1254+1)*IF($A1254&lt;$Q$1203,INDEX(Surface_Engine!$Y$12:$Y$72,$A1254+1),INDEX(Surface_Engine!$Y$12:$Y$72,$Q$1203+1))</f>
        <v>3.43928996248863E-006</v>
      </c>
      <c r="E1254" s="32" t="n">
        <f aca="false">INDEX(Surface_Engine!$Q$12:$Q$72,$A1254+1)*IF($A1254&lt;$Q$1203,INDEX(Surface_Engine!$Z$12:$Z$72,$A1254+1),INDEX(Surface_Engine!$Z$12:$Z$72,$Q$1203+1))</f>
        <v>4.38401373106485E-006</v>
      </c>
      <c r="F1254" s="48" t="n">
        <f aca="false">B1254*(IF($A1254&lt;$Q$1203,INDEX(Surface_Engine!$D$12:$D$72,$A1254+1)+(Surface_Engine!Q246*12)*INDEX(Surface_Engine!$F$12:$F$72,$A1254+1)-(Surface_Engine!Q246*12),1000*12*INDEX(Surface_Engine!$C$12:$C$72,$A1254+1)/(1+Assumptions!$B$10)^20+INDEX(Surface_Engine!$D$12:$D$72,$A1254+1)))*INDEX(Surface_Engine!$B$12:$B$72,$A1254+1)+F1255</f>
        <v>0.0249554946982569</v>
      </c>
      <c r="G1254" s="48" t="n">
        <f aca="false">C1254*(IF($A1254&lt;$Q$1203,INDEX(Surface_Engine!$D$12:$D$72,$A1254+1)+(Surface_Engine!Q246*12)*INDEX(Surface_Engine!$F$12:$F$72,$A1254+1)-(Surface_Engine!Q246*12),1000*12*INDEX(Surface_Engine!$C$12:$C$72,$A1254+1)/(1+Assumptions!$B$10)^20+INDEX(Surface_Engine!$D$12:$D$72,$A1254+1)))*INDEX(Surface_Engine!$B$12:$B$72,$A1254+1)+G1255</f>
        <v>0.549927685053569</v>
      </c>
      <c r="H1254" s="48" t="n">
        <f aca="false">D1254*(IF($A1254&lt;$Q$1203,INDEX(Surface_Engine!$D$12:$D$72,$A1254+1)+(Surface_Engine!Q246*12)*INDEX(Surface_Engine!$F$12:$F$72,$A1254+1)-(Surface_Engine!Q246*12),1000*12*INDEX(Surface_Engine!$C$12:$C$72,$A1254+1)/(1+Assumptions!$B$10)^20+INDEX(Surface_Engine!$D$12:$D$72,$A1254+1)))*INDEX(Surface_Engine!$B$12:$B$72,$A1254+1)+H1255</f>
        <v>0.0220923750405086</v>
      </c>
      <c r="I1254" s="48" t="n">
        <f aca="false">E1254*(IF($A1254&lt;$Q$1203,INDEX(Surface_Engine!$D$12:$D$72,$A1254+1)+(Surface_Engine!Q246*12)*INDEX(Surface_Engine!$F$12:$F$72,$A1254+1)-(Surface_Engine!Q246*12),1000*12*INDEX(Surface_Engine!$C$12:$C$72,$A1254+1)/(1+Assumptions!$B$10)^20+INDEX(Surface_Engine!$D$12:$D$72,$A1254+1)))*INDEX(Surface_Engine!$B$12:$B$72,$A1254+1)+I1255</f>
        <v>0.028160834528573</v>
      </c>
      <c r="J1254" s="48" t="n">
        <f aca="false">B1254*(IF($A1254&lt;$Q$1203,INDEX(Surface_Engine!$D$12:$D$72,$A1254+1)*(1+Assumptions!$B$24)+(Surface_Engine!Q246*12)*INDEX(Surface_Engine!$F$12:$F$72,$A1254+1)-(Surface_Engine!Q246*12),1000*12*INDEX(Surface_Engine!$C$12:$C$72,$A1254+1)/(1+Assumptions!$B$10)^20+INDEX(Surface_Engine!$D$12:$D$72,$A1254+1)*(1+Assumptions!$B$24)))*INDEX(Surface_Engine!$B$12:$B$72,$A1254+1)+J1255</f>
        <v>0.0249873291728332</v>
      </c>
      <c r="K1254" s="12" t="n">
        <f aca="false">SQRT((IF(C1254&lt;=0,0,MAX(0,(B1254/C1254)*G1254/INDEX(Surface_Engine!$B$12:$B$72,$A1254+1)-F1254/INDEX(Surface_Engine!$B$12:$B$72,$A1254+1))))^2+(MAX(IF(D1254&lt;=0,0,MAX(0,(B1254/D1254)*H1254/INDEX(Surface_Engine!$B$12:$B$72,$A1254+1)-F1254/INDEX(Surface_Engine!$B$12:$B$72,$A1254+1))),IF(E1254&lt;=0,0,MAX(0,(B1254/E1254)*I1254/INDEX(Surface_Engine!$B$12:$B$72,$A1254+1)-F1254/INDEX(Surface_Engine!$B$12:$B$72,$A1254+1))),IF($A1254&lt;$Q$1203,MAX(0,-Assumptions!$B$22*(F1254/INDEX(Surface_Engine!$B$12:$B$72,$A1254+1))),0)))^2+(MAX(0,J1254/INDEX(Surface_Engine!$B$12:$B$72,$A1254+1)-(F1254/INDEX(Surface_Engine!$B$12:$B$72,$A1254+1))))^2+2*Assumptions!$B$26*(IF(C1254&lt;=0,0,MAX(0,(B1254/C1254)*G1254/INDEX(Surface_Engine!$B$12:$B$72,$A1254+1)-F1254/INDEX(Surface_Engine!$B$12:$B$72,$A1254+1))))*(MAX(IF(D1254&lt;=0,0,MAX(0,(B1254/D1254)*H1254/INDEX(Surface_Engine!$B$12:$B$72,$A1254+1)-F1254/INDEX(Surface_Engine!$B$12:$B$72,$A1254+1))),IF(E1254&lt;=0,0,MAX(0,(B1254/E1254)*I1254/INDEX(Surface_Engine!$B$12:$B$72,$A1254+1)-F1254/INDEX(Surface_Engine!$B$12:$B$72,$A1254+1))),IF($A1254&lt;$Q$1203,MAX(0,-Assumptions!$B$22*(F1254/INDEX(Surface_Engine!$B$12:$B$72,$A1254+1))),0)))+2*Assumptions!$B$27*(IF(C1254&lt;=0,0,MAX(0,(B1254/C1254)*G1254/INDEX(Surface_Engine!$B$12:$B$72,$A1254+1)-F1254/INDEX(Surface_Engine!$B$12:$B$72,$A1254+1))))*(MAX(0,J1254/INDEX(Surface_Engine!$B$12:$B$72,$A1254+1)-(F1254/INDEX(Surface_Engine!$B$12:$B$72,$A1254+1))))+2*Assumptions!$B$28*(MAX(IF(D1254&lt;=0,0,MAX(0,(B1254/D1254)*H1254/INDEX(Surface_Engine!$B$12:$B$72,$A1254+1)-F1254/INDEX(Surface_Engine!$B$12:$B$72,$A1254+1))),IF(E1254&lt;=0,0,MAX(0,(B1254/E1254)*I1254/INDEX(Surface_Engine!$B$12:$B$72,$A1254+1)-F1254/INDEX(Surface_Engine!$B$12:$B$72,$A1254+1))),IF($A1254&lt;$Q$1203,MAX(0,-Assumptions!$B$22*(F1254/INDEX(Surface_Engine!$B$12:$B$72,$A1254+1))),0)))*(MAX(0,J1254/INDEX(Surface_Engine!$B$12:$B$72,$A1254+1)-(F1254/INDEX(Surface_Engine!$B$12:$B$72,$A1254+1)))))</f>
        <v>0.00985232750085046</v>
      </c>
      <c r="L1254" s="48" t="n">
        <f aca="false">K1254*INDEX(Surface_Engine!$B$12:$B$72,$A1254+1)+L1255</f>
        <v>0.00210012886353559</v>
      </c>
      <c r="M1254" s="48" t="n">
        <f aca="false">M1253+B1253*(IF($A1253&lt;$Q$1203,(Surface_Engine!Q246*12)-(Surface_Engine!Q246*12)*INDEX(Surface_Engine!$F$12:$F$72,$A1253+1)-INDEX(Surface_Engine!$D$12:$D$72,$A1253+1),-(1000*12*INDEX(Surface_Engine!$C$12:$C$72,$A1253+1)/(1+Assumptions!$B$10)^20+INDEX(Surface_Engine!$D$12:$D$72,$A1253+1))))*INDEX(Surface_Engine!$B$12:$B$72,$A1253+1)</f>
        <v>599.443921554288</v>
      </c>
      <c r="N1254" s="12" t="n">
        <f aca="false">IF(B1254&lt;=0,0,MAX(0,(K1254+Assumptions!$B$29*L1254/INDEX(Surface_Engine!$B$12:$B$72,$A1254+1)-(M1254/INDEX(Surface_Engine!$B$12:$B$72,$A1254+1)-(F1254/INDEX(Surface_Engine!$B$12:$B$72,$A1254+1))))/B1254))</f>
        <v>0</v>
      </c>
    </row>
    <row r="1255" customFormat="false" ht="15" hidden="false" customHeight="true" outlineLevel="0" collapsed="false">
      <c r="A1255" s="1" t="n">
        <v>50</v>
      </c>
      <c r="B1255" s="32" t="n">
        <f aca="false">INDEX(Surface_Engine!$Q$12:$Q$72,$A1255+1)*IF($A1255&lt;$Q$1203,INDEX(Surface_Engine!$E$12:$E$72,$A1255+1),INDEX(Surface_Engine!$E$12:$E$72,$Q$1203+1))</f>
        <v>1.58260081998561E-006</v>
      </c>
      <c r="C1255" s="32" t="n">
        <f aca="false">INDEX(Panel_Reserving!$F$8:$F$68,$A1255+1)*IF($A1255&lt;$Q$1203,INDEX(Surface_Engine!$E$12:$E$72,$A1255+1),INDEX(Surface_Engine!$E$12:$E$72,$Q$1203+1))</f>
        <v>4.15539873590246E-005</v>
      </c>
      <c r="D1255" s="32" t="n">
        <f aca="false">INDEX(Surface_Engine!$Q$12:$Q$72,$A1255+1)*IF($A1255&lt;$Q$1203,INDEX(Surface_Engine!$Y$12:$Y$72,$A1255+1),INDEX(Surface_Engine!$Y$12:$Y$72,$Q$1203+1))</f>
        <v>1.40103056570467E-006</v>
      </c>
      <c r="E1255" s="32" t="n">
        <f aca="false">INDEX(Surface_Engine!$Q$12:$Q$72,$A1255+1)*IF($A1255&lt;$Q$1203,INDEX(Surface_Engine!$Z$12:$Z$72,$A1255+1),INDEX(Surface_Engine!$Z$12:$Z$72,$Q$1203+1))</f>
        <v>1.78587362644075E-006</v>
      </c>
      <c r="F1255" s="48" t="n">
        <f aca="false">B1255*(IF($A1255&lt;$Q$1203,INDEX(Surface_Engine!$D$12:$D$72,$A1255+1)+(Surface_Engine!Q246*12)*INDEX(Surface_Engine!$F$12:$F$72,$A1255+1)-(Surface_Engine!Q246*12),1000*12*INDEX(Surface_Engine!$C$12:$C$72,$A1255+1)/(1+Assumptions!$B$10)^20+INDEX(Surface_Engine!$D$12:$D$72,$A1255+1)))*INDEX(Surface_Engine!$B$12:$B$72,$A1255+1)+F1256</f>
        <v>0.00715816351222676</v>
      </c>
      <c r="G1255" s="48" t="n">
        <f aca="false">C1255*(IF($A1255&lt;$Q$1203,INDEX(Surface_Engine!$D$12:$D$72,$A1255+1)+(Surface_Engine!Q246*12)*INDEX(Surface_Engine!$F$12:$F$72,$A1255+1)-(Surface_Engine!Q246*12),1000*12*INDEX(Surface_Engine!$C$12:$C$72,$A1255+1)/(1+Assumptions!$B$10)^20+INDEX(Surface_Engine!$D$12:$D$72,$A1255+1)))*INDEX(Surface_Engine!$B$12:$B$72,$A1255+1)+G1256</f>
        <v>0.187950260321239</v>
      </c>
      <c r="H1255" s="48" t="n">
        <f aca="false">D1255*(IF($A1255&lt;$Q$1203,INDEX(Surface_Engine!$D$12:$D$72,$A1255+1)+(Surface_Engine!Q246*12)*INDEX(Surface_Engine!$F$12:$F$72,$A1255+1)-(Surface_Engine!Q246*12),1000*12*INDEX(Surface_Engine!$C$12:$C$72,$A1255+1)/(1+Assumptions!$B$10)^20+INDEX(Surface_Engine!$D$12:$D$72,$A1255+1)))*INDEX(Surface_Engine!$B$12:$B$72,$A1255+1)+H1256</f>
        <v>0.00633691436797862</v>
      </c>
      <c r="I1255" s="48" t="n">
        <f aca="false">E1255*(IF($A1255&lt;$Q$1203,INDEX(Surface_Engine!$D$12:$D$72,$A1255+1)+(Surface_Engine!Q246*12)*INDEX(Surface_Engine!$F$12:$F$72,$A1255+1)-(Surface_Engine!Q246*12),1000*12*INDEX(Surface_Engine!$C$12:$C$72,$A1255+1)/(1+Assumptions!$B$10)^20+INDEX(Surface_Engine!$D$12:$D$72,$A1255+1)))*INDEX(Surface_Engine!$B$12:$B$72,$A1255+1)+I1256</f>
        <v>0.00807757412279898</v>
      </c>
      <c r="J1255" s="48" t="n">
        <f aca="false">B1255*(IF($A1255&lt;$Q$1203,INDEX(Surface_Engine!$D$12:$D$72,$A1255+1)*(1+Assumptions!$B$24)+(Surface_Engine!Q246*12)*INDEX(Surface_Engine!$F$12:$F$72,$A1255+1)-(Surface_Engine!Q246*12),1000*12*INDEX(Surface_Engine!$C$12:$C$72,$A1255+1)/(1+Assumptions!$B$10)^20+INDEX(Surface_Engine!$D$12:$D$72,$A1255+1)*(1+Assumptions!$B$24)))*INDEX(Surface_Engine!$B$12:$B$72,$A1255+1)+J1256</f>
        <v>0.00716732629268423</v>
      </c>
      <c r="K1255" s="12" t="n">
        <f aca="false">SQRT((IF(C1255&lt;=0,0,MAX(0,(B1255/C1255)*G1255/INDEX(Surface_Engine!$B$12:$B$72,$A1255+1)-F1255/INDEX(Surface_Engine!$B$12:$B$72,$A1255+1))))^2+(MAX(IF(D1255&lt;=0,0,MAX(0,(B1255/D1255)*H1255/INDEX(Surface_Engine!$B$12:$B$72,$A1255+1)-F1255/INDEX(Surface_Engine!$B$12:$B$72,$A1255+1))),IF(E1255&lt;=0,0,MAX(0,(B1255/E1255)*I1255/INDEX(Surface_Engine!$B$12:$B$72,$A1255+1)-F1255/INDEX(Surface_Engine!$B$12:$B$72,$A1255+1))),IF($A1255&lt;$Q$1203,MAX(0,-Assumptions!$B$22*(F1255/INDEX(Surface_Engine!$B$12:$B$72,$A1255+1))),0)))^2+(MAX(0,J1255/INDEX(Surface_Engine!$B$12:$B$72,$A1255+1)-(F1255/INDEX(Surface_Engine!$B$12:$B$72,$A1255+1))))^2+2*Assumptions!$B$26*(IF(C1255&lt;=0,0,MAX(0,(B1255/C1255)*G1255/INDEX(Surface_Engine!$B$12:$B$72,$A1255+1)-F1255/INDEX(Surface_Engine!$B$12:$B$72,$A1255+1))))*(MAX(IF(D1255&lt;=0,0,MAX(0,(B1255/D1255)*H1255/INDEX(Surface_Engine!$B$12:$B$72,$A1255+1)-F1255/INDEX(Surface_Engine!$B$12:$B$72,$A1255+1))),IF(E1255&lt;=0,0,MAX(0,(B1255/E1255)*I1255/INDEX(Surface_Engine!$B$12:$B$72,$A1255+1)-F1255/INDEX(Surface_Engine!$B$12:$B$72,$A1255+1))),IF($A1255&lt;$Q$1203,MAX(0,-Assumptions!$B$22*(F1255/INDEX(Surface_Engine!$B$12:$B$72,$A1255+1))),0)))+2*Assumptions!$B$27*(IF(C1255&lt;=0,0,MAX(0,(B1255/C1255)*G1255/INDEX(Surface_Engine!$B$12:$B$72,$A1255+1)-F1255/INDEX(Surface_Engine!$B$12:$B$72,$A1255+1))))*(MAX(0,J1255/INDEX(Surface_Engine!$B$12:$B$72,$A1255+1)-(F1255/INDEX(Surface_Engine!$B$12:$B$72,$A1255+1))))+2*Assumptions!$B$28*(MAX(IF(D1255&lt;=0,0,MAX(0,(B1255/D1255)*H1255/INDEX(Surface_Engine!$B$12:$B$72,$A1255+1)-F1255/INDEX(Surface_Engine!$B$12:$B$72,$A1255+1))),IF(E1255&lt;=0,0,MAX(0,(B1255/E1255)*I1255/INDEX(Surface_Engine!$B$12:$B$72,$A1255+1)-F1255/INDEX(Surface_Engine!$B$12:$B$72,$A1255+1))),IF($A1255&lt;$Q$1203,MAX(0,-Assumptions!$B$22*(F1255/INDEX(Surface_Engine!$B$12:$B$72,$A1255+1))),0)))*(MAX(0,J1255/INDEX(Surface_Engine!$B$12:$B$72,$A1255+1)-(F1255/INDEX(Surface_Engine!$B$12:$B$72,$A1255+1)))))</f>
        <v>4.46044828410902E-005</v>
      </c>
      <c r="L1255" s="48" t="n">
        <f aca="false">K1255*INDEX(Surface_Engine!$B$12:$B$72,$A1255+1)+L1256</f>
        <v>9.16278045746424E-006</v>
      </c>
      <c r="M1255" s="48" t="n">
        <f aca="false">M1254+B1254*(IF($A1254&lt;$Q$1203,(Surface_Engine!Q246*12)-(Surface_Engine!Q246*12)*INDEX(Surface_Engine!$F$12:$F$72,$A1254+1)-INDEX(Surface_Engine!$D$12:$D$72,$A1254+1),-(1000*12*INDEX(Surface_Engine!$C$12:$C$72,$A1254+1)/(1+Assumptions!$B$10)^20+INDEX(Surface_Engine!$D$12:$D$72,$A1254+1))))*INDEX(Surface_Engine!$B$12:$B$72,$A1254+1)</f>
        <v>599.426124223102</v>
      </c>
      <c r="N1255" s="12" t="n">
        <f aca="false">IF(B1255&lt;=0,0,MAX(0,(K1255+Assumptions!$B$29*L1255/INDEX(Surface_Engine!$B$12:$B$72,$A1255+1)-(M1255/INDEX(Surface_Engine!$B$12:$B$72,$A1255+1)-(F1255/INDEX(Surface_Engine!$B$12:$B$72,$A1255+1))))/B1255))</f>
        <v>0</v>
      </c>
    </row>
    <row r="1256" customFormat="false" ht="15" hidden="false" customHeight="true" outlineLevel="0" collapsed="false">
      <c r="A1256" s="1" t="n">
        <v>51</v>
      </c>
      <c r="B1256" s="32" t="n">
        <f aca="false">INDEX(Surface_Engine!$Q$12:$Q$72,$A1256+1)*IF($A1256&lt;$Q$1203,INDEX(Surface_Engine!$E$12:$E$72,$A1256+1),INDEX(Surface_Engine!$E$12:$E$72,$Q$1203+1))</f>
        <v>0</v>
      </c>
      <c r="C1256" s="32" t="n">
        <f aca="false">INDEX(Panel_Reserving!$F$8:$F$68,$A1256+1)*IF($A1256&lt;$Q$1203,INDEX(Surface_Engine!$E$12:$E$72,$A1256+1),INDEX(Surface_Engine!$E$12:$E$72,$Q$1203+1))</f>
        <v>0</v>
      </c>
      <c r="D1256" s="32" t="n">
        <f aca="false">INDEX(Surface_Engine!$Q$12:$Q$72,$A1256+1)*IF($A1256&lt;$Q$1203,INDEX(Surface_Engine!$Y$12:$Y$72,$A1256+1),INDEX(Surface_Engine!$Y$12:$Y$72,$Q$1203+1))</f>
        <v>0</v>
      </c>
      <c r="E1256" s="32" t="n">
        <f aca="false">INDEX(Surface_Engine!$Q$12:$Q$72,$A1256+1)*IF($A1256&lt;$Q$1203,INDEX(Surface_Engine!$Z$12:$Z$72,$A1256+1),INDEX(Surface_Engine!$Z$12:$Z$72,$Q$1203+1))</f>
        <v>0</v>
      </c>
      <c r="F1256" s="48" t="n">
        <f aca="false">B1256*(IF($A1256&lt;$Q$1203,INDEX(Surface_Engine!$D$12:$D$72,$A1256+1)+(Surface_Engine!Q246*12)*INDEX(Surface_Engine!$F$12:$F$72,$A1256+1)-(Surface_Engine!Q246*12),1000*12*INDEX(Surface_Engine!$C$12:$C$72,$A1256+1)/(1+Assumptions!$B$10)^20+INDEX(Surface_Engine!$D$12:$D$72,$A1256+1)))*INDEX(Surface_Engine!$B$12:$B$72,$A1256+1)+F1257</f>
        <v>0</v>
      </c>
      <c r="G1256" s="48" t="n">
        <f aca="false">C1256*(IF($A1256&lt;$Q$1203,INDEX(Surface_Engine!$D$12:$D$72,$A1256+1)+(Surface_Engine!Q246*12)*INDEX(Surface_Engine!$F$12:$F$72,$A1256+1)-(Surface_Engine!Q246*12),1000*12*INDEX(Surface_Engine!$C$12:$C$72,$A1256+1)/(1+Assumptions!$B$10)^20+INDEX(Surface_Engine!$D$12:$D$72,$A1256+1)))*INDEX(Surface_Engine!$B$12:$B$72,$A1256+1)+G1257</f>
        <v>0</v>
      </c>
      <c r="H1256" s="48" t="n">
        <f aca="false">D1256*(IF($A1256&lt;$Q$1203,INDEX(Surface_Engine!$D$12:$D$72,$A1256+1)+(Surface_Engine!Q246*12)*INDEX(Surface_Engine!$F$12:$F$72,$A1256+1)-(Surface_Engine!Q246*12),1000*12*INDEX(Surface_Engine!$C$12:$C$72,$A1256+1)/(1+Assumptions!$B$10)^20+INDEX(Surface_Engine!$D$12:$D$72,$A1256+1)))*INDEX(Surface_Engine!$B$12:$B$72,$A1256+1)+H1257</f>
        <v>0</v>
      </c>
      <c r="I1256" s="48" t="n">
        <f aca="false">E1256*(IF($A1256&lt;$Q$1203,INDEX(Surface_Engine!$D$12:$D$72,$A1256+1)+(Surface_Engine!Q246*12)*INDEX(Surface_Engine!$F$12:$F$72,$A1256+1)-(Surface_Engine!Q246*12),1000*12*INDEX(Surface_Engine!$C$12:$C$72,$A1256+1)/(1+Assumptions!$B$10)^20+INDEX(Surface_Engine!$D$12:$D$72,$A1256+1)))*INDEX(Surface_Engine!$B$12:$B$72,$A1256+1)+I1257</f>
        <v>0</v>
      </c>
      <c r="J1256" s="48" t="n">
        <f aca="false">B1256*(IF($A1256&lt;$Q$1203,INDEX(Surface_Engine!$D$12:$D$72,$A1256+1)*(1+Assumptions!$B$24)+(Surface_Engine!Q246*12)*INDEX(Surface_Engine!$F$12:$F$72,$A1256+1)-(Surface_Engine!Q246*12),1000*12*INDEX(Surface_Engine!$C$12:$C$72,$A1256+1)/(1+Assumptions!$B$10)^20+INDEX(Surface_Engine!$D$12:$D$72,$A1256+1)*(1+Assumptions!$B$24)))*INDEX(Surface_Engine!$B$12:$B$72,$A1256+1)+J1257</f>
        <v>0</v>
      </c>
      <c r="K1256" s="12" t="n">
        <f aca="false">SQRT((IF(C1256&lt;=0,0,MAX(0,(B1256/C1256)*G1256/INDEX(Surface_Engine!$B$12:$B$72,$A1256+1)-F1256/INDEX(Surface_Engine!$B$12:$B$72,$A1256+1))))^2+(MAX(IF(D1256&lt;=0,0,MAX(0,(B1256/D1256)*H1256/INDEX(Surface_Engine!$B$12:$B$72,$A1256+1)-F1256/INDEX(Surface_Engine!$B$12:$B$72,$A1256+1))),IF(E1256&lt;=0,0,MAX(0,(B1256/E1256)*I1256/INDEX(Surface_Engine!$B$12:$B$72,$A1256+1)-F1256/INDEX(Surface_Engine!$B$12:$B$72,$A1256+1))),IF($A1256&lt;$Q$1203,MAX(0,-Assumptions!$B$22*(F1256/INDEX(Surface_Engine!$B$12:$B$72,$A1256+1))),0)))^2+(MAX(0,J1256/INDEX(Surface_Engine!$B$12:$B$72,$A1256+1)-(F1256/INDEX(Surface_Engine!$B$12:$B$72,$A1256+1))))^2+2*Assumptions!$B$26*(IF(C1256&lt;=0,0,MAX(0,(B1256/C1256)*G1256/INDEX(Surface_Engine!$B$12:$B$72,$A1256+1)-F1256/INDEX(Surface_Engine!$B$12:$B$72,$A1256+1))))*(MAX(IF(D1256&lt;=0,0,MAX(0,(B1256/D1256)*H1256/INDEX(Surface_Engine!$B$12:$B$72,$A1256+1)-F1256/INDEX(Surface_Engine!$B$12:$B$72,$A1256+1))),IF(E1256&lt;=0,0,MAX(0,(B1256/E1256)*I1256/INDEX(Surface_Engine!$B$12:$B$72,$A1256+1)-F1256/INDEX(Surface_Engine!$B$12:$B$72,$A1256+1))),IF($A1256&lt;$Q$1203,MAX(0,-Assumptions!$B$22*(F1256/INDEX(Surface_Engine!$B$12:$B$72,$A1256+1))),0)))+2*Assumptions!$B$27*(IF(C1256&lt;=0,0,MAX(0,(B1256/C1256)*G1256/INDEX(Surface_Engine!$B$12:$B$72,$A1256+1)-F1256/INDEX(Surface_Engine!$B$12:$B$72,$A1256+1))))*(MAX(0,J1256/INDEX(Surface_Engine!$B$12:$B$72,$A1256+1)-(F1256/INDEX(Surface_Engine!$B$12:$B$72,$A1256+1))))+2*Assumptions!$B$28*(MAX(IF(D1256&lt;=0,0,MAX(0,(B1256/D1256)*H1256/INDEX(Surface_Engine!$B$12:$B$72,$A1256+1)-F1256/INDEX(Surface_Engine!$B$12:$B$72,$A1256+1))),IF(E1256&lt;=0,0,MAX(0,(B1256/E1256)*I1256/INDEX(Surface_Engine!$B$12:$B$72,$A1256+1)-F1256/INDEX(Surface_Engine!$B$12:$B$72,$A1256+1))),IF($A1256&lt;$Q$1203,MAX(0,-Assumptions!$B$22*(F1256/INDEX(Surface_Engine!$B$12:$B$72,$A1256+1))),0)))*(MAX(0,J1256/INDEX(Surface_Engine!$B$12:$B$72,$A1256+1)-(F1256/INDEX(Surface_Engine!$B$12:$B$72,$A1256+1)))))</f>
        <v>0</v>
      </c>
      <c r="L1256" s="48" t="n">
        <f aca="false">K1256*INDEX(Surface_Engine!$B$12:$B$72,$A1256+1)+L1257</f>
        <v>0</v>
      </c>
      <c r="M1256" s="48" t="n">
        <f aca="false">M1255+B1255*(IF($A1255&lt;$Q$1203,(Surface_Engine!Q246*12)-(Surface_Engine!Q246*12)*INDEX(Surface_Engine!$F$12:$F$72,$A1255+1)-INDEX(Surface_Engine!$D$12:$D$72,$A1255+1),-(1000*12*INDEX(Surface_Engine!$C$12:$C$72,$A1255+1)/(1+Assumptions!$B$10)^20+INDEX(Surface_Engine!$D$12:$D$72,$A1255+1))))*INDEX(Surface_Engine!$B$12:$B$72,$A1255+1)</f>
        <v>599.41896605959</v>
      </c>
      <c r="N1256" s="12" t="n">
        <f aca="false">IF(B1256&lt;=0,0,MAX(0,(K1256+Assumptions!$B$29*L1256/INDEX(Surface_Engine!$B$12:$B$72,$A1256+1)-(M1256/INDEX(Surface_Engine!$B$12:$B$72,$A1256+1)-(F1256/INDEX(Surface_Engine!$B$12:$B$72,$A1256+1))))/B1256))</f>
        <v>0</v>
      </c>
    </row>
    <row r="1257" customFormat="false" ht="15" hidden="false" customHeight="true" outlineLevel="0" collapsed="false">
      <c r="A1257" s="1" t="n">
        <v>52</v>
      </c>
      <c r="B1257" s="32" t="n">
        <f aca="false">INDEX(Surface_Engine!$Q$12:$Q$72,$A1257+1)*IF($A1257&lt;$Q$1203,INDEX(Surface_Engine!$E$12:$E$72,$A1257+1),INDEX(Surface_Engine!$E$12:$E$72,$Q$1203+1))</f>
        <v>0</v>
      </c>
      <c r="C1257" s="32" t="n">
        <f aca="false">INDEX(Panel_Reserving!$F$8:$F$68,$A1257+1)*IF($A1257&lt;$Q$1203,INDEX(Surface_Engine!$E$12:$E$72,$A1257+1),INDEX(Surface_Engine!$E$12:$E$72,$Q$1203+1))</f>
        <v>0</v>
      </c>
      <c r="D1257" s="32" t="n">
        <f aca="false">INDEX(Surface_Engine!$Q$12:$Q$72,$A1257+1)*IF($A1257&lt;$Q$1203,INDEX(Surface_Engine!$Y$12:$Y$72,$A1257+1),INDEX(Surface_Engine!$Y$12:$Y$72,$Q$1203+1))</f>
        <v>0</v>
      </c>
      <c r="E1257" s="32" t="n">
        <f aca="false">INDEX(Surface_Engine!$Q$12:$Q$72,$A1257+1)*IF($A1257&lt;$Q$1203,INDEX(Surface_Engine!$Z$12:$Z$72,$A1257+1),INDEX(Surface_Engine!$Z$12:$Z$72,$Q$1203+1))</f>
        <v>0</v>
      </c>
      <c r="F1257" s="48" t="n">
        <f aca="false">B1257*(IF($A1257&lt;$Q$1203,INDEX(Surface_Engine!$D$12:$D$72,$A1257+1)+(Surface_Engine!Q246*12)*INDEX(Surface_Engine!$F$12:$F$72,$A1257+1)-(Surface_Engine!Q246*12),1000*12*INDEX(Surface_Engine!$C$12:$C$72,$A1257+1)/(1+Assumptions!$B$10)^20+INDEX(Surface_Engine!$D$12:$D$72,$A1257+1)))*INDEX(Surface_Engine!$B$12:$B$72,$A1257+1)+F1258</f>
        <v>0</v>
      </c>
      <c r="G1257" s="48" t="n">
        <f aca="false">C1257*(IF($A1257&lt;$Q$1203,INDEX(Surface_Engine!$D$12:$D$72,$A1257+1)+(Surface_Engine!Q246*12)*INDEX(Surface_Engine!$F$12:$F$72,$A1257+1)-(Surface_Engine!Q246*12),1000*12*INDEX(Surface_Engine!$C$12:$C$72,$A1257+1)/(1+Assumptions!$B$10)^20+INDEX(Surface_Engine!$D$12:$D$72,$A1257+1)))*INDEX(Surface_Engine!$B$12:$B$72,$A1257+1)+G1258</f>
        <v>0</v>
      </c>
      <c r="H1257" s="48" t="n">
        <f aca="false">D1257*(IF($A1257&lt;$Q$1203,INDEX(Surface_Engine!$D$12:$D$72,$A1257+1)+(Surface_Engine!Q246*12)*INDEX(Surface_Engine!$F$12:$F$72,$A1257+1)-(Surface_Engine!Q246*12),1000*12*INDEX(Surface_Engine!$C$12:$C$72,$A1257+1)/(1+Assumptions!$B$10)^20+INDEX(Surface_Engine!$D$12:$D$72,$A1257+1)))*INDEX(Surface_Engine!$B$12:$B$72,$A1257+1)+H1258</f>
        <v>0</v>
      </c>
      <c r="I1257" s="48" t="n">
        <f aca="false">E1257*(IF($A1257&lt;$Q$1203,INDEX(Surface_Engine!$D$12:$D$72,$A1257+1)+(Surface_Engine!Q246*12)*INDEX(Surface_Engine!$F$12:$F$72,$A1257+1)-(Surface_Engine!Q246*12),1000*12*INDEX(Surface_Engine!$C$12:$C$72,$A1257+1)/(1+Assumptions!$B$10)^20+INDEX(Surface_Engine!$D$12:$D$72,$A1257+1)))*INDEX(Surface_Engine!$B$12:$B$72,$A1257+1)+I1258</f>
        <v>0</v>
      </c>
      <c r="J1257" s="48" t="n">
        <f aca="false">B1257*(IF($A1257&lt;$Q$1203,INDEX(Surface_Engine!$D$12:$D$72,$A1257+1)*(1+Assumptions!$B$24)+(Surface_Engine!Q246*12)*INDEX(Surface_Engine!$F$12:$F$72,$A1257+1)-(Surface_Engine!Q246*12),1000*12*INDEX(Surface_Engine!$C$12:$C$72,$A1257+1)/(1+Assumptions!$B$10)^20+INDEX(Surface_Engine!$D$12:$D$72,$A1257+1)*(1+Assumptions!$B$24)))*INDEX(Surface_Engine!$B$12:$B$72,$A1257+1)+J1258</f>
        <v>0</v>
      </c>
      <c r="K1257" s="12" t="n">
        <f aca="false">SQRT((IF(C1257&lt;=0,0,MAX(0,(B1257/C1257)*G1257/INDEX(Surface_Engine!$B$12:$B$72,$A1257+1)-F1257/INDEX(Surface_Engine!$B$12:$B$72,$A1257+1))))^2+(MAX(IF(D1257&lt;=0,0,MAX(0,(B1257/D1257)*H1257/INDEX(Surface_Engine!$B$12:$B$72,$A1257+1)-F1257/INDEX(Surface_Engine!$B$12:$B$72,$A1257+1))),IF(E1257&lt;=0,0,MAX(0,(B1257/E1257)*I1257/INDEX(Surface_Engine!$B$12:$B$72,$A1257+1)-F1257/INDEX(Surface_Engine!$B$12:$B$72,$A1257+1))),IF($A1257&lt;$Q$1203,MAX(0,-Assumptions!$B$22*(F1257/INDEX(Surface_Engine!$B$12:$B$72,$A1257+1))),0)))^2+(MAX(0,J1257/INDEX(Surface_Engine!$B$12:$B$72,$A1257+1)-(F1257/INDEX(Surface_Engine!$B$12:$B$72,$A1257+1))))^2+2*Assumptions!$B$26*(IF(C1257&lt;=0,0,MAX(0,(B1257/C1257)*G1257/INDEX(Surface_Engine!$B$12:$B$72,$A1257+1)-F1257/INDEX(Surface_Engine!$B$12:$B$72,$A1257+1))))*(MAX(IF(D1257&lt;=0,0,MAX(0,(B1257/D1257)*H1257/INDEX(Surface_Engine!$B$12:$B$72,$A1257+1)-F1257/INDEX(Surface_Engine!$B$12:$B$72,$A1257+1))),IF(E1257&lt;=0,0,MAX(0,(B1257/E1257)*I1257/INDEX(Surface_Engine!$B$12:$B$72,$A1257+1)-F1257/INDEX(Surface_Engine!$B$12:$B$72,$A1257+1))),IF($A1257&lt;$Q$1203,MAX(0,-Assumptions!$B$22*(F1257/INDEX(Surface_Engine!$B$12:$B$72,$A1257+1))),0)))+2*Assumptions!$B$27*(IF(C1257&lt;=0,0,MAX(0,(B1257/C1257)*G1257/INDEX(Surface_Engine!$B$12:$B$72,$A1257+1)-F1257/INDEX(Surface_Engine!$B$12:$B$72,$A1257+1))))*(MAX(0,J1257/INDEX(Surface_Engine!$B$12:$B$72,$A1257+1)-(F1257/INDEX(Surface_Engine!$B$12:$B$72,$A1257+1))))+2*Assumptions!$B$28*(MAX(IF(D1257&lt;=0,0,MAX(0,(B1257/D1257)*H1257/INDEX(Surface_Engine!$B$12:$B$72,$A1257+1)-F1257/INDEX(Surface_Engine!$B$12:$B$72,$A1257+1))),IF(E1257&lt;=0,0,MAX(0,(B1257/E1257)*I1257/INDEX(Surface_Engine!$B$12:$B$72,$A1257+1)-F1257/INDEX(Surface_Engine!$B$12:$B$72,$A1257+1))),IF($A1257&lt;$Q$1203,MAX(0,-Assumptions!$B$22*(F1257/INDEX(Surface_Engine!$B$12:$B$72,$A1257+1))),0)))*(MAX(0,J1257/INDEX(Surface_Engine!$B$12:$B$72,$A1257+1)-(F1257/INDEX(Surface_Engine!$B$12:$B$72,$A1257+1)))))</f>
        <v>0</v>
      </c>
      <c r="L1257" s="48" t="n">
        <f aca="false">K1257*INDEX(Surface_Engine!$B$12:$B$72,$A1257+1)+L1258</f>
        <v>0</v>
      </c>
      <c r="M1257" s="48" t="n">
        <f aca="false">M1256+B1256*(IF($A1256&lt;$Q$1203,(Surface_Engine!Q246*12)-(Surface_Engine!Q246*12)*INDEX(Surface_Engine!$F$12:$F$72,$A1256+1)-INDEX(Surface_Engine!$D$12:$D$72,$A1256+1),-(1000*12*INDEX(Surface_Engine!$C$12:$C$72,$A1256+1)/(1+Assumptions!$B$10)^20+INDEX(Surface_Engine!$D$12:$D$72,$A1256+1))))*INDEX(Surface_Engine!$B$12:$B$72,$A1256+1)</f>
        <v>599.41896605959</v>
      </c>
      <c r="N1257" s="12" t="n">
        <f aca="false">IF(B1257&lt;=0,0,MAX(0,(K1257+Assumptions!$B$29*L1257/INDEX(Surface_Engine!$B$12:$B$72,$A1257+1)-(M1257/INDEX(Surface_Engine!$B$12:$B$72,$A1257+1)-(F1257/INDEX(Surface_Engine!$B$12:$B$72,$A1257+1))))/B1257))</f>
        <v>0</v>
      </c>
    </row>
    <row r="1258" customFormat="false" ht="15" hidden="false" customHeight="true" outlineLevel="0" collapsed="false">
      <c r="A1258" s="1" t="n">
        <v>53</v>
      </c>
      <c r="B1258" s="32" t="n">
        <f aca="false">INDEX(Surface_Engine!$Q$12:$Q$72,$A1258+1)*IF($A1258&lt;$Q$1203,INDEX(Surface_Engine!$E$12:$E$72,$A1258+1),INDEX(Surface_Engine!$E$12:$E$72,$Q$1203+1))</f>
        <v>0</v>
      </c>
      <c r="C1258" s="32" t="n">
        <f aca="false">INDEX(Panel_Reserving!$F$8:$F$68,$A1258+1)*IF($A1258&lt;$Q$1203,INDEX(Surface_Engine!$E$12:$E$72,$A1258+1),INDEX(Surface_Engine!$E$12:$E$72,$Q$1203+1))</f>
        <v>0</v>
      </c>
      <c r="D1258" s="32" t="n">
        <f aca="false">INDEX(Surface_Engine!$Q$12:$Q$72,$A1258+1)*IF($A1258&lt;$Q$1203,INDEX(Surface_Engine!$Y$12:$Y$72,$A1258+1),INDEX(Surface_Engine!$Y$12:$Y$72,$Q$1203+1))</f>
        <v>0</v>
      </c>
      <c r="E1258" s="32" t="n">
        <f aca="false">INDEX(Surface_Engine!$Q$12:$Q$72,$A1258+1)*IF($A1258&lt;$Q$1203,INDEX(Surface_Engine!$Z$12:$Z$72,$A1258+1),INDEX(Surface_Engine!$Z$12:$Z$72,$Q$1203+1))</f>
        <v>0</v>
      </c>
      <c r="F1258" s="48" t="n">
        <f aca="false">B1258*(IF($A1258&lt;$Q$1203,INDEX(Surface_Engine!$D$12:$D$72,$A1258+1)+(Surface_Engine!Q246*12)*INDEX(Surface_Engine!$F$12:$F$72,$A1258+1)-(Surface_Engine!Q246*12),1000*12*INDEX(Surface_Engine!$C$12:$C$72,$A1258+1)/(1+Assumptions!$B$10)^20+INDEX(Surface_Engine!$D$12:$D$72,$A1258+1)))*INDEX(Surface_Engine!$B$12:$B$72,$A1258+1)+F1259</f>
        <v>0</v>
      </c>
      <c r="G1258" s="48" t="n">
        <f aca="false">C1258*(IF($A1258&lt;$Q$1203,INDEX(Surface_Engine!$D$12:$D$72,$A1258+1)+(Surface_Engine!Q246*12)*INDEX(Surface_Engine!$F$12:$F$72,$A1258+1)-(Surface_Engine!Q246*12),1000*12*INDEX(Surface_Engine!$C$12:$C$72,$A1258+1)/(1+Assumptions!$B$10)^20+INDEX(Surface_Engine!$D$12:$D$72,$A1258+1)))*INDEX(Surface_Engine!$B$12:$B$72,$A1258+1)+G1259</f>
        <v>0</v>
      </c>
      <c r="H1258" s="48" t="n">
        <f aca="false">D1258*(IF($A1258&lt;$Q$1203,INDEX(Surface_Engine!$D$12:$D$72,$A1258+1)+(Surface_Engine!Q246*12)*INDEX(Surface_Engine!$F$12:$F$72,$A1258+1)-(Surface_Engine!Q246*12),1000*12*INDEX(Surface_Engine!$C$12:$C$72,$A1258+1)/(1+Assumptions!$B$10)^20+INDEX(Surface_Engine!$D$12:$D$72,$A1258+1)))*INDEX(Surface_Engine!$B$12:$B$72,$A1258+1)+H1259</f>
        <v>0</v>
      </c>
      <c r="I1258" s="48" t="n">
        <f aca="false">E1258*(IF($A1258&lt;$Q$1203,INDEX(Surface_Engine!$D$12:$D$72,$A1258+1)+(Surface_Engine!Q246*12)*INDEX(Surface_Engine!$F$12:$F$72,$A1258+1)-(Surface_Engine!Q246*12),1000*12*INDEX(Surface_Engine!$C$12:$C$72,$A1258+1)/(1+Assumptions!$B$10)^20+INDEX(Surface_Engine!$D$12:$D$72,$A1258+1)))*INDEX(Surface_Engine!$B$12:$B$72,$A1258+1)+I1259</f>
        <v>0</v>
      </c>
      <c r="J1258" s="48" t="n">
        <f aca="false">B1258*(IF($A1258&lt;$Q$1203,INDEX(Surface_Engine!$D$12:$D$72,$A1258+1)*(1+Assumptions!$B$24)+(Surface_Engine!Q246*12)*INDEX(Surface_Engine!$F$12:$F$72,$A1258+1)-(Surface_Engine!Q246*12),1000*12*INDEX(Surface_Engine!$C$12:$C$72,$A1258+1)/(1+Assumptions!$B$10)^20+INDEX(Surface_Engine!$D$12:$D$72,$A1258+1)*(1+Assumptions!$B$24)))*INDEX(Surface_Engine!$B$12:$B$72,$A1258+1)+J1259</f>
        <v>0</v>
      </c>
      <c r="K1258" s="12" t="n">
        <f aca="false">SQRT((IF(C1258&lt;=0,0,MAX(0,(B1258/C1258)*G1258/INDEX(Surface_Engine!$B$12:$B$72,$A1258+1)-F1258/INDEX(Surface_Engine!$B$12:$B$72,$A1258+1))))^2+(MAX(IF(D1258&lt;=0,0,MAX(0,(B1258/D1258)*H1258/INDEX(Surface_Engine!$B$12:$B$72,$A1258+1)-F1258/INDEX(Surface_Engine!$B$12:$B$72,$A1258+1))),IF(E1258&lt;=0,0,MAX(0,(B1258/E1258)*I1258/INDEX(Surface_Engine!$B$12:$B$72,$A1258+1)-F1258/INDEX(Surface_Engine!$B$12:$B$72,$A1258+1))),IF($A1258&lt;$Q$1203,MAX(0,-Assumptions!$B$22*(F1258/INDEX(Surface_Engine!$B$12:$B$72,$A1258+1))),0)))^2+(MAX(0,J1258/INDEX(Surface_Engine!$B$12:$B$72,$A1258+1)-(F1258/INDEX(Surface_Engine!$B$12:$B$72,$A1258+1))))^2+2*Assumptions!$B$26*(IF(C1258&lt;=0,0,MAX(0,(B1258/C1258)*G1258/INDEX(Surface_Engine!$B$12:$B$72,$A1258+1)-F1258/INDEX(Surface_Engine!$B$12:$B$72,$A1258+1))))*(MAX(IF(D1258&lt;=0,0,MAX(0,(B1258/D1258)*H1258/INDEX(Surface_Engine!$B$12:$B$72,$A1258+1)-F1258/INDEX(Surface_Engine!$B$12:$B$72,$A1258+1))),IF(E1258&lt;=0,0,MAX(0,(B1258/E1258)*I1258/INDEX(Surface_Engine!$B$12:$B$72,$A1258+1)-F1258/INDEX(Surface_Engine!$B$12:$B$72,$A1258+1))),IF($A1258&lt;$Q$1203,MAX(0,-Assumptions!$B$22*(F1258/INDEX(Surface_Engine!$B$12:$B$72,$A1258+1))),0)))+2*Assumptions!$B$27*(IF(C1258&lt;=0,0,MAX(0,(B1258/C1258)*G1258/INDEX(Surface_Engine!$B$12:$B$72,$A1258+1)-F1258/INDEX(Surface_Engine!$B$12:$B$72,$A1258+1))))*(MAX(0,J1258/INDEX(Surface_Engine!$B$12:$B$72,$A1258+1)-(F1258/INDEX(Surface_Engine!$B$12:$B$72,$A1258+1))))+2*Assumptions!$B$28*(MAX(IF(D1258&lt;=0,0,MAX(0,(B1258/D1258)*H1258/INDEX(Surface_Engine!$B$12:$B$72,$A1258+1)-F1258/INDEX(Surface_Engine!$B$12:$B$72,$A1258+1))),IF(E1258&lt;=0,0,MAX(0,(B1258/E1258)*I1258/INDEX(Surface_Engine!$B$12:$B$72,$A1258+1)-F1258/INDEX(Surface_Engine!$B$12:$B$72,$A1258+1))),IF($A1258&lt;$Q$1203,MAX(0,-Assumptions!$B$22*(F1258/INDEX(Surface_Engine!$B$12:$B$72,$A1258+1))),0)))*(MAX(0,J1258/INDEX(Surface_Engine!$B$12:$B$72,$A1258+1)-(F1258/INDEX(Surface_Engine!$B$12:$B$72,$A1258+1)))))</f>
        <v>0</v>
      </c>
      <c r="L1258" s="48" t="n">
        <f aca="false">K1258*INDEX(Surface_Engine!$B$12:$B$72,$A1258+1)+L1259</f>
        <v>0</v>
      </c>
      <c r="M1258" s="48" t="n">
        <f aca="false">M1257+B1257*(IF($A1257&lt;$Q$1203,(Surface_Engine!Q246*12)-(Surface_Engine!Q246*12)*INDEX(Surface_Engine!$F$12:$F$72,$A1257+1)-INDEX(Surface_Engine!$D$12:$D$72,$A1257+1),-(1000*12*INDEX(Surface_Engine!$C$12:$C$72,$A1257+1)/(1+Assumptions!$B$10)^20+INDEX(Surface_Engine!$D$12:$D$72,$A1257+1))))*INDEX(Surface_Engine!$B$12:$B$72,$A1257+1)</f>
        <v>599.41896605959</v>
      </c>
      <c r="N1258" s="12" t="n">
        <f aca="false">IF(B1258&lt;=0,0,MAX(0,(K1258+Assumptions!$B$29*L1258/INDEX(Surface_Engine!$B$12:$B$72,$A1258+1)-(M1258/INDEX(Surface_Engine!$B$12:$B$72,$A1258+1)-(F1258/INDEX(Surface_Engine!$B$12:$B$72,$A1258+1))))/B1258))</f>
        <v>0</v>
      </c>
    </row>
    <row r="1259" customFormat="false" ht="15" hidden="false" customHeight="true" outlineLevel="0" collapsed="false">
      <c r="A1259" s="1" t="n">
        <v>54</v>
      </c>
      <c r="B1259" s="32" t="n">
        <f aca="false">INDEX(Surface_Engine!$Q$12:$Q$72,$A1259+1)*IF($A1259&lt;$Q$1203,INDEX(Surface_Engine!$E$12:$E$72,$A1259+1),INDEX(Surface_Engine!$E$12:$E$72,$Q$1203+1))</f>
        <v>0</v>
      </c>
      <c r="C1259" s="32" t="n">
        <f aca="false">INDEX(Panel_Reserving!$F$8:$F$68,$A1259+1)*IF($A1259&lt;$Q$1203,INDEX(Surface_Engine!$E$12:$E$72,$A1259+1),INDEX(Surface_Engine!$E$12:$E$72,$Q$1203+1))</f>
        <v>0</v>
      </c>
      <c r="D1259" s="32" t="n">
        <f aca="false">INDEX(Surface_Engine!$Q$12:$Q$72,$A1259+1)*IF($A1259&lt;$Q$1203,INDEX(Surface_Engine!$Y$12:$Y$72,$A1259+1),INDEX(Surface_Engine!$Y$12:$Y$72,$Q$1203+1))</f>
        <v>0</v>
      </c>
      <c r="E1259" s="32" t="n">
        <f aca="false">INDEX(Surface_Engine!$Q$12:$Q$72,$A1259+1)*IF($A1259&lt;$Q$1203,INDEX(Surface_Engine!$Z$12:$Z$72,$A1259+1),INDEX(Surface_Engine!$Z$12:$Z$72,$Q$1203+1))</f>
        <v>0</v>
      </c>
      <c r="F1259" s="48" t="n">
        <f aca="false">B1259*(IF($A1259&lt;$Q$1203,INDEX(Surface_Engine!$D$12:$D$72,$A1259+1)+(Surface_Engine!Q246*12)*INDEX(Surface_Engine!$F$12:$F$72,$A1259+1)-(Surface_Engine!Q246*12),1000*12*INDEX(Surface_Engine!$C$12:$C$72,$A1259+1)/(1+Assumptions!$B$10)^20+INDEX(Surface_Engine!$D$12:$D$72,$A1259+1)))*INDEX(Surface_Engine!$B$12:$B$72,$A1259+1)+F1260</f>
        <v>0</v>
      </c>
      <c r="G1259" s="48" t="n">
        <f aca="false">C1259*(IF($A1259&lt;$Q$1203,INDEX(Surface_Engine!$D$12:$D$72,$A1259+1)+(Surface_Engine!Q246*12)*INDEX(Surface_Engine!$F$12:$F$72,$A1259+1)-(Surface_Engine!Q246*12),1000*12*INDEX(Surface_Engine!$C$12:$C$72,$A1259+1)/(1+Assumptions!$B$10)^20+INDEX(Surface_Engine!$D$12:$D$72,$A1259+1)))*INDEX(Surface_Engine!$B$12:$B$72,$A1259+1)+G1260</f>
        <v>0</v>
      </c>
      <c r="H1259" s="48" t="n">
        <f aca="false">D1259*(IF($A1259&lt;$Q$1203,INDEX(Surface_Engine!$D$12:$D$72,$A1259+1)+(Surface_Engine!Q246*12)*INDEX(Surface_Engine!$F$12:$F$72,$A1259+1)-(Surface_Engine!Q246*12),1000*12*INDEX(Surface_Engine!$C$12:$C$72,$A1259+1)/(1+Assumptions!$B$10)^20+INDEX(Surface_Engine!$D$12:$D$72,$A1259+1)))*INDEX(Surface_Engine!$B$12:$B$72,$A1259+1)+H1260</f>
        <v>0</v>
      </c>
      <c r="I1259" s="48" t="n">
        <f aca="false">E1259*(IF($A1259&lt;$Q$1203,INDEX(Surface_Engine!$D$12:$D$72,$A1259+1)+(Surface_Engine!Q246*12)*INDEX(Surface_Engine!$F$12:$F$72,$A1259+1)-(Surface_Engine!Q246*12),1000*12*INDEX(Surface_Engine!$C$12:$C$72,$A1259+1)/(1+Assumptions!$B$10)^20+INDEX(Surface_Engine!$D$12:$D$72,$A1259+1)))*INDEX(Surface_Engine!$B$12:$B$72,$A1259+1)+I1260</f>
        <v>0</v>
      </c>
      <c r="J1259" s="48" t="n">
        <f aca="false">B1259*(IF($A1259&lt;$Q$1203,INDEX(Surface_Engine!$D$12:$D$72,$A1259+1)*(1+Assumptions!$B$24)+(Surface_Engine!Q246*12)*INDEX(Surface_Engine!$F$12:$F$72,$A1259+1)-(Surface_Engine!Q246*12),1000*12*INDEX(Surface_Engine!$C$12:$C$72,$A1259+1)/(1+Assumptions!$B$10)^20+INDEX(Surface_Engine!$D$12:$D$72,$A1259+1)*(1+Assumptions!$B$24)))*INDEX(Surface_Engine!$B$12:$B$72,$A1259+1)+J1260</f>
        <v>0</v>
      </c>
      <c r="K1259" s="12" t="n">
        <f aca="false">SQRT((IF(C1259&lt;=0,0,MAX(0,(B1259/C1259)*G1259/INDEX(Surface_Engine!$B$12:$B$72,$A1259+1)-F1259/INDEX(Surface_Engine!$B$12:$B$72,$A1259+1))))^2+(MAX(IF(D1259&lt;=0,0,MAX(0,(B1259/D1259)*H1259/INDEX(Surface_Engine!$B$12:$B$72,$A1259+1)-F1259/INDEX(Surface_Engine!$B$12:$B$72,$A1259+1))),IF(E1259&lt;=0,0,MAX(0,(B1259/E1259)*I1259/INDEX(Surface_Engine!$B$12:$B$72,$A1259+1)-F1259/INDEX(Surface_Engine!$B$12:$B$72,$A1259+1))),IF($A1259&lt;$Q$1203,MAX(0,-Assumptions!$B$22*(F1259/INDEX(Surface_Engine!$B$12:$B$72,$A1259+1))),0)))^2+(MAX(0,J1259/INDEX(Surface_Engine!$B$12:$B$72,$A1259+1)-(F1259/INDEX(Surface_Engine!$B$12:$B$72,$A1259+1))))^2+2*Assumptions!$B$26*(IF(C1259&lt;=0,0,MAX(0,(B1259/C1259)*G1259/INDEX(Surface_Engine!$B$12:$B$72,$A1259+1)-F1259/INDEX(Surface_Engine!$B$12:$B$72,$A1259+1))))*(MAX(IF(D1259&lt;=0,0,MAX(0,(B1259/D1259)*H1259/INDEX(Surface_Engine!$B$12:$B$72,$A1259+1)-F1259/INDEX(Surface_Engine!$B$12:$B$72,$A1259+1))),IF(E1259&lt;=0,0,MAX(0,(B1259/E1259)*I1259/INDEX(Surface_Engine!$B$12:$B$72,$A1259+1)-F1259/INDEX(Surface_Engine!$B$12:$B$72,$A1259+1))),IF($A1259&lt;$Q$1203,MAX(0,-Assumptions!$B$22*(F1259/INDEX(Surface_Engine!$B$12:$B$72,$A1259+1))),0)))+2*Assumptions!$B$27*(IF(C1259&lt;=0,0,MAX(0,(B1259/C1259)*G1259/INDEX(Surface_Engine!$B$12:$B$72,$A1259+1)-F1259/INDEX(Surface_Engine!$B$12:$B$72,$A1259+1))))*(MAX(0,J1259/INDEX(Surface_Engine!$B$12:$B$72,$A1259+1)-(F1259/INDEX(Surface_Engine!$B$12:$B$72,$A1259+1))))+2*Assumptions!$B$28*(MAX(IF(D1259&lt;=0,0,MAX(0,(B1259/D1259)*H1259/INDEX(Surface_Engine!$B$12:$B$72,$A1259+1)-F1259/INDEX(Surface_Engine!$B$12:$B$72,$A1259+1))),IF(E1259&lt;=0,0,MAX(0,(B1259/E1259)*I1259/INDEX(Surface_Engine!$B$12:$B$72,$A1259+1)-F1259/INDEX(Surface_Engine!$B$12:$B$72,$A1259+1))),IF($A1259&lt;$Q$1203,MAX(0,-Assumptions!$B$22*(F1259/INDEX(Surface_Engine!$B$12:$B$72,$A1259+1))),0)))*(MAX(0,J1259/INDEX(Surface_Engine!$B$12:$B$72,$A1259+1)-(F1259/INDEX(Surface_Engine!$B$12:$B$72,$A1259+1)))))</f>
        <v>0</v>
      </c>
      <c r="L1259" s="48" t="n">
        <f aca="false">K1259*INDEX(Surface_Engine!$B$12:$B$72,$A1259+1)+L1260</f>
        <v>0</v>
      </c>
      <c r="M1259" s="48" t="n">
        <f aca="false">M1258+B1258*(IF($A1258&lt;$Q$1203,(Surface_Engine!Q246*12)-(Surface_Engine!Q246*12)*INDEX(Surface_Engine!$F$12:$F$72,$A1258+1)-INDEX(Surface_Engine!$D$12:$D$72,$A1258+1),-(1000*12*INDEX(Surface_Engine!$C$12:$C$72,$A1258+1)/(1+Assumptions!$B$10)^20+INDEX(Surface_Engine!$D$12:$D$72,$A1258+1))))*INDEX(Surface_Engine!$B$12:$B$72,$A1258+1)</f>
        <v>599.41896605959</v>
      </c>
      <c r="N1259" s="12" t="n">
        <f aca="false">IF(B1259&lt;=0,0,MAX(0,(K1259+Assumptions!$B$29*L1259/INDEX(Surface_Engine!$B$12:$B$72,$A1259+1)-(M1259/INDEX(Surface_Engine!$B$12:$B$72,$A1259+1)-(F1259/INDEX(Surface_Engine!$B$12:$B$72,$A1259+1))))/B1259))</f>
        <v>0</v>
      </c>
    </row>
    <row r="1260" customFormat="false" ht="15" hidden="false" customHeight="true" outlineLevel="0" collapsed="false">
      <c r="A1260" s="1" t="n">
        <v>55</v>
      </c>
      <c r="B1260" s="32" t="n">
        <f aca="false">INDEX(Surface_Engine!$Q$12:$Q$72,$A1260+1)*IF($A1260&lt;$Q$1203,INDEX(Surface_Engine!$E$12:$E$72,$A1260+1),INDEX(Surface_Engine!$E$12:$E$72,$Q$1203+1))</f>
        <v>0</v>
      </c>
      <c r="C1260" s="32" t="n">
        <f aca="false">INDEX(Panel_Reserving!$F$8:$F$68,$A1260+1)*IF($A1260&lt;$Q$1203,INDEX(Surface_Engine!$E$12:$E$72,$A1260+1),INDEX(Surface_Engine!$E$12:$E$72,$Q$1203+1))</f>
        <v>0</v>
      </c>
      <c r="D1260" s="32" t="n">
        <f aca="false">INDEX(Surface_Engine!$Q$12:$Q$72,$A1260+1)*IF($A1260&lt;$Q$1203,INDEX(Surface_Engine!$Y$12:$Y$72,$A1260+1),INDEX(Surface_Engine!$Y$12:$Y$72,$Q$1203+1))</f>
        <v>0</v>
      </c>
      <c r="E1260" s="32" t="n">
        <f aca="false">INDEX(Surface_Engine!$Q$12:$Q$72,$A1260+1)*IF($A1260&lt;$Q$1203,INDEX(Surface_Engine!$Z$12:$Z$72,$A1260+1),INDEX(Surface_Engine!$Z$12:$Z$72,$Q$1203+1))</f>
        <v>0</v>
      </c>
      <c r="F1260" s="48" t="n">
        <f aca="false">B1260*(IF($A1260&lt;$Q$1203,INDEX(Surface_Engine!$D$12:$D$72,$A1260+1)+(Surface_Engine!Q246*12)*INDEX(Surface_Engine!$F$12:$F$72,$A1260+1)-(Surface_Engine!Q246*12),1000*12*INDEX(Surface_Engine!$C$12:$C$72,$A1260+1)/(1+Assumptions!$B$10)^20+INDEX(Surface_Engine!$D$12:$D$72,$A1260+1)))*INDEX(Surface_Engine!$B$12:$B$72,$A1260+1)+F1261</f>
        <v>0</v>
      </c>
      <c r="G1260" s="48" t="n">
        <f aca="false">C1260*(IF($A1260&lt;$Q$1203,INDEX(Surface_Engine!$D$12:$D$72,$A1260+1)+(Surface_Engine!Q246*12)*INDEX(Surface_Engine!$F$12:$F$72,$A1260+1)-(Surface_Engine!Q246*12),1000*12*INDEX(Surface_Engine!$C$12:$C$72,$A1260+1)/(1+Assumptions!$B$10)^20+INDEX(Surface_Engine!$D$12:$D$72,$A1260+1)))*INDEX(Surface_Engine!$B$12:$B$72,$A1260+1)+G1261</f>
        <v>0</v>
      </c>
      <c r="H1260" s="48" t="n">
        <f aca="false">D1260*(IF($A1260&lt;$Q$1203,INDEX(Surface_Engine!$D$12:$D$72,$A1260+1)+(Surface_Engine!Q246*12)*INDEX(Surface_Engine!$F$12:$F$72,$A1260+1)-(Surface_Engine!Q246*12),1000*12*INDEX(Surface_Engine!$C$12:$C$72,$A1260+1)/(1+Assumptions!$B$10)^20+INDEX(Surface_Engine!$D$12:$D$72,$A1260+1)))*INDEX(Surface_Engine!$B$12:$B$72,$A1260+1)+H1261</f>
        <v>0</v>
      </c>
      <c r="I1260" s="48" t="n">
        <f aca="false">E1260*(IF($A1260&lt;$Q$1203,INDEX(Surface_Engine!$D$12:$D$72,$A1260+1)+(Surface_Engine!Q246*12)*INDEX(Surface_Engine!$F$12:$F$72,$A1260+1)-(Surface_Engine!Q246*12),1000*12*INDEX(Surface_Engine!$C$12:$C$72,$A1260+1)/(1+Assumptions!$B$10)^20+INDEX(Surface_Engine!$D$12:$D$72,$A1260+1)))*INDEX(Surface_Engine!$B$12:$B$72,$A1260+1)+I1261</f>
        <v>0</v>
      </c>
      <c r="J1260" s="48" t="n">
        <f aca="false">B1260*(IF($A1260&lt;$Q$1203,INDEX(Surface_Engine!$D$12:$D$72,$A1260+1)*(1+Assumptions!$B$24)+(Surface_Engine!Q246*12)*INDEX(Surface_Engine!$F$12:$F$72,$A1260+1)-(Surface_Engine!Q246*12),1000*12*INDEX(Surface_Engine!$C$12:$C$72,$A1260+1)/(1+Assumptions!$B$10)^20+INDEX(Surface_Engine!$D$12:$D$72,$A1260+1)*(1+Assumptions!$B$24)))*INDEX(Surface_Engine!$B$12:$B$72,$A1260+1)+J1261</f>
        <v>0</v>
      </c>
      <c r="K1260" s="12" t="n">
        <f aca="false">SQRT((IF(C1260&lt;=0,0,MAX(0,(B1260/C1260)*G1260/INDEX(Surface_Engine!$B$12:$B$72,$A1260+1)-F1260/INDEX(Surface_Engine!$B$12:$B$72,$A1260+1))))^2+(MAX(IF(D1260&lt;=0,0,MAX(0,(B1260/D1260)*H1260/INDEX(Surface_Engine!$B$12:$B$72,$A1260+1)-F1260/INDEX(Surface_Engine!$B$12:$B$72,$A1260+1))),IF(E1260&lt;=0,0,MAX(0,(B1260/E1260)*I1260/INDEX(Surface_Engine!$B$12:$B$72,$A1260+1)-F1260/INDEX(Surface_Engine!$B$12:$B$72,$A1260+1))),IF($A1260&lt;$Q$1203,MAX(0,-Assumptions!$B$22*(F1260/INDEX(Surface_Engine!$B$12:$B$72,$A1260+1))),0)))^2+(MAX(0,J1260/INDEX(Surface_Engine!$B$12:$B$72,$A1260+1)-(F1260/INDEX(Surface_Engine!$B$12:$B$72,$A1260+1))))^2+2*Assumptions!$B$26*(IF(C1260&lt;=0,0,MAX(0,(B1260/C1260)*G1260/INDEX(Surface_Engine!$B$12:$B$72,$A1260+1)-F1260/INDEX(Surface_Engine!$B$12:$B$72,$A1260+1))))*(MAX(IF(D1260&lt;=0,0,MAX(0,(B1260/D1260)*H1260/INDEX(Surface_Engine!$B$12:$B$72,$A1260+1)-F1260/INDEX(Surface_Engine!$B$12:$B$72,$A1260+1))),IF(E1260&lt;=0,0,MAX(0,(B1260/E1260)*I1260/INDEX(Surface_Engine!$B$12:$B$72,$A1260+1)-F1260/INDEX(Surface_Engine!$B$12:$B$72,$A1260+1))),IF($A1260&lt;$Q$1203,MAX(0,-Assumptions!$B$22*(F1260/INDEX(Surface_Engine!$B$12:$B$72,$A1260+1))),0)))+2*Assumptions!$B$27*(IF(C1260&lt;=0,0,MAX(0,(B1260/C1260)*G1260/INDEX(Surface_Engine!$B$12:$B$72,$A1260+1)-F1260/INDEX(Surface_Engine!$B$12:$B$72,$A1260+1))))*(MAX(0,J1260/INDEX(Surface_Engine!$B$12:$B$72,$A1260+1)-(F1260/INDEX(Surface_Engine!$B$12:$B$72,$A1260+1))))+2*Assumptions!$B$28*(MAX(IF(D1260&lt;=0,0,MAX(0,(B1260/D1260)*H1260/INDEX(Surface_Engine!$B$12:$B$72,$A1260+1)-F1260/INDEX(Surface_Engine!$B$12:$B$72,$A1260+1))),IF(E1260&lt;=0,0,MAX(0,(B1260/E1260)*I1260/INDEX(Surface_Engine!$B$12:$B$72,$A1260+1)-F1260/INDEX(Surface_Engine!$B$12:$B$72,$A1260+1))),IF($A1260&lt;$Q$1203,MAX(0,-Assumptions!$B$22*(F1260/INDEX(Surface_Engine!$B$12:$B$72,$A1260+1))),0)))*(MAX(0,J1260/INDEX(Surface_Engine!$B$12:$B$72,$A1260+1)-(F1260/INDEX(Surface_Engine!$B$12:$B$72,$A1260+1)))))</f>
        <v>0</v>
      </c>
      <c r="L1260" s="48" t="n">
        <f aca="false">K1260*INDEX(Surface_Engine!$B$12:$B$72,$A1260+1)+L1261</f>
        <v>0</v>
      </c>
      <c r="M1260" s="48" t="n">
        <f aca="false">M1259+B1259*(IF($A1259&lt;$Q$1203,(Surface_Engine!Q246*12)-(Surface_Engine!Q246*12)*INDEX(Surface_Engine!$F$12:$F$72,$A1259+1)-INDEX(Surface_Engine!$D$12:$D$72,$A1259+1),-(1000*12*INDEX(Surface_Engine!$C$12:$C$72,$A1259+1)/(1+Assumptions!$B$10)^20+INDEX(Surface_Engine!$D$12:$D$72,$A1259+1))))*INDEX(Surface_Engine!$B$12:$B$72,$A1259+1)</f>
        <v>599.41896605959</v>
      </c>
      <c r="N1260" s="12" t="n">
        <f aca="false">IF(B1260&lt;=0,0,MAX(0,(K1260+Assumptions!$B$29*L1260/INDEX(Surface_Engine!$B$12:$B$72,$A1260+1)-(M1260/INDEX(Surface_Engine!$B$12:$B$72,$A1260+1)-(F1260/INDEX(Surface_Engine!$B$12:$B$72,$A1260+1))))/B1260))</f>
        <v>0</v>
      </c>
    </row>
    <row r="1261" customFormat="false" ht="15" hidden="false" customHeight="true" outlineLevel="0" collapsed="false">
      <c r="A1261" s="1" t="n">
        <v>56</v>
      </c>
      <c r="B1261" s="32" t="n">
        <f aca="false">INDEX(Surface_Engine!$Q$12:$Q$72,$A1261+1)*IF($A1261&lt;$Q$1203,INDEX(Surface_Engine!$E$12:$E$72,$A1261+1),INDEX(Surface_Engine!$E$12:$E$72,$Q$1203+1))</f>
        <v>0</v>
      </c>
      <c r="C1261" s="32" t="n">
        <f aca="false">INDEX(Panel_Reserving!$F$8:$F$68,$A1261+1)*IF($A1261&lt;$Q$1203,INDEX(Surface_Engine!$E$12:$E$72,$A1261+1),INDEX(Surface_Engine!$E$12:$E$72,$Q$1203+1))</f>
        <v>0</v>
      </c>
      <c r="D1261" s="32" t="n">
        <f aca="false">INDEX(Surface_Engine!$Q$12:$Q$72,$A1261+1)*IF($A1261&lt;$Q$1203,INDEX(Surface_Engine!$Y$12:$Y$72,$A1261+1),INDEX(Surface_Engine!$Y$12:$Y$72,$Q$1203+1))</f>
        <v>0</v>
      </c>
      <c r="E1261" s="32" t="n">
        <f aca="false">INDEX(Surface_Engine!$Q$12:$Q$72,$A1261+1)*IF($A1261&lt;$Q$1203,INDEX(Surface_Engine!$Z$12:$Z$72,$A1261+1),INDEX(Surface_Engine!$Z$12:$Z$72,$Q$1203+1))</f>
        <v>0</v>
      </c>
      <c r="F1261" s="48" t="n">
        <f aca="false">B1261*(IF($A1261&lt;$Q$1203,INDEX(Surface_Engine!$D$12:$D$72,$A1261+1)+(Surface_Engine!Q246*12)*INDEX(Surface_Engine!$F$12:$F$72,$A1261+1)-(Surface_Engine!Q246*12),1000*12*INDEX(Surface_Engine!$C$12:$C$72,$A1261+1)/(1+Assumptions!$B$10)^20+INDEX(Surface_Engine!$D$12:$D$72,$A1261+1)))*INDEX(Surface_Engine!$B$12:$B$72,$A1261+1)+F1262</f>
        <v>0</v>
      </c>
      <c r="G1261" s="48" t="n">
        <f aca="false">C1261*(IF($A1261&lt;$Q$1203,INDEX(Surface_Engine!$D$12:$D$72,$A1261+1)+(Surface_Engine!Q246*12)*INDEX(Surface_Engine!$F$12:$F$72,$A1261+1)-(Surface_Engine!Q246*12),1000*12*INDEX(Surface_Engine!$C$12:$C$72,$A1261+1)/(1+Assumptions!$B$10)^20+INDEX(Surface_Engine!$D$12:$D$72,$A1261+1)))*INDEX(Surface_Engine!$B$12:$B$72,$A1261+1)+G1262</f>
        <v>0</v>
      </c>
      <c r="H1261" s="48" t="n">
        <f aca="false">D1261*(IF($A1261&lt;$Q$1203,INDEX(Surface_Engine!$D$12:$D$72,$A1261+1)+(Surface_Engine!Q246*12)*INDEX(Surface_Engine!$F$12:$F$72,$A1261+1)-(Surface_Engine!Q246*12),1000*12*INDEX(Surface_Engine!$C$12:$C$72,$A1261+1)/(1+Assumptions!$B$10)^20+INDEX(Surface_Engine!$D$12:$D$72,$A1261+1)))*INDEX(Surface_Engine!$B$12:$B$72,$A1261+1)+H1262</f>
        <v>0</v>
      </c>
      <c r="I1261" s="48" t="n">
        <f aca="false">E1261*(IF($A1261&lt;$Q$1203,INDEX(Surface_Engine!$D$12:$D$72,$A1261+1)+(Surface_Engine!Q246*12)*INDEX(Surface_Engine!$F$12:$F$72,$A1261+1)-(Surface_Engine!Q246*12),1000*12*INDEX(Surface_Engine!$C$12:$C$72,$A1261+1)/(1+Assumptions!$B$10)^20+INDEX(Surface_Engine!$D$12:$D$72,$A1261+1)))*INDEX(Surface_Engine!$B$12:$B$72,$A1261+1)+I1262</f>
        <v>0</v>
      </c>
      <c r="J1261" s="48" t="n">
        <f aca="false">B1261*(IF($A1261&lt;$Q$1203,INDEX(Surface_Engine!$D$12:$D$72,$A1261+1)*(1+Assumptions!$B$24)+(Surface_Engine!Q246*12)*INDEX(Surface_Engine!$F$12:$F$72,$A1261+1)-(Surface_Engine!Q246*12),1000*12*INDEX(Surface_Engine!$C$12:$C$72,$A1261+1)/(1+Assumptions!$B$10)^20+INDEX(Surface_Engine!$D$12:$D$72,$A1261+1)*(1+Assumptions!$B$24)))*INDEX(Surface_Engine!$B$12:$B$72,$A1261+1)+J1262</f>
        <v>0</v>
      </c>
      <c r="K1261" s="12" t="n">
        <f aca="false">SQRT((IF(C1261&lt;=0,0,MAX(0,(B1261/C1261)*G1261/INDEX(Surface_Engine!$B$12:$B$72,$A1261+1)-F1261/INDEX(Surface_Engine!$B$12:$B$72,$A1261+1))))^2+(MAX(IF(D1261&lt;=0,0,MAX(0,(B1261/D1261)*H1261/INDEX(Surface_Engine!$B$12:$B$72,$A1261+1)-F1261/INDEX(Surface_Engine!$B$12:$B$72,$A1261+1))),IF(E1261&lt;=0,0,MAX(0,(B1261/E1261)*I1261/INDEX(Surface_Engine!$B$12:$B$72,$A1261+1)-F1261/INDEX(Surface_Engine!$B$12:$B$72,$A1261+1))),IF($A1261&lt;$Q$1203,MAX(0,-Assumptions!$B$22*(F1261/INDEX(Surface_Engine!$B$12:$B$72,$A1261+1))),0)))^2+(MAX(0,J1261/INDEX(Surface_Engine!$B$12:$B$72,$A1261+1)-(F1261/INDEX(Surface_Engine!$B$12:$B$72,$A1261+1))))^2+2*Assumptions!$B$26*(IF(C1261&lt;=0,0,MAX(0,(B1261/C1261)*G1261/INDEX(Surface_Engine!$B$12:$B$72,$A1261+1)-F1261/INDEX(Surface_Engine!$B$12:$B$72,$A1261+1))))*(MAX(IF(D1261&lt;=0,0,MAX(0,(B1261/D1261)*H1261/INDEX(Surface_Engine!$B$12:$B$72,$A1261+1)-F1261/INDEX(Surface_Engine!$B$12:$B$72,$A1261+1))),IF(E1261&lt;=0,0,MAX(0,(B1261/E1261)*I1261/INDEX(Surface_Engine!$B$12:$B$72,$A1261+1)-F1261/INDEX(Surface_Engine!$B$12:$B$72,$A1261+1))),IF($A1261&lt;$Q$1203,MAX(0,-Assumptions!$B$22*(F1261/INDEX(Surface_Engine!$B$12:$B$72,$A1261+1))),0)))+2*Assumptions!$B$27*(IF(C1261&lt;=0,0,MAX(0,(B1261/C1261)*G1261/INDEX(Surface_Engine!$B$12:$B$72,$A1261+1)-F1261/INDEX(Surface_Engine!$B$12:$B$72,$A1261+1))))*(MAX(0,J1261/INDEX(Surface_Engine!$B$12:$B$72,$A1261+1)-(F1261/INDEX(Surface_Engine!$B$12:$B$72,$A1261+1))))+2*Assumptions!$B$28*(MAX(IF(D1261&lt;=0,0,MAX(0,(B1261/D1261)*H1261/INDEX(Surface_Engine!$B$12:$B$72,$A1261+1)-F1261/INDEX(Surface_Engine!$B$12:$B$72,$A1261+1))),IF(E1261&lt;=0,0,MAX(0,(B1261/E1261)*I1261/INDEX(Surface_Engine!$B$12:$B$72,$A1261+1)-F1261/INDEX(Surface_Engine!$B$12:$B$72,$A1261+1))),IF($A1261&lt;$Q$1203,MAX(0,-Assumptions!$B$22*(F1261/INDEX(Surface_Engine!$B$12:$B$72,$A1261+1))),0)))*(MAX(0,J1261/INDEX(Surface_Engine!$B$12:$B$72,$A1261+1)-(F1261/INDEX(Surface_Engine!$B$12:$B$72,$A1261+1)))))</f>
        <v>0</v>
      </c>
      <c r="L1261" s="48" t="n">
        <f aca="false">K1261*INDEX(Surface_Engine!$B$12:$B$72,$A1261+1)+L1262</f>
        <v>0</v>
      </c>
      <c r="M1261" s="48" t="n">
        <f aca="false">M1260+B1260*(IF($A1260&lt;$Q$1203,(Surface_Engine!Q246*12)-(Surface_Engine!Q246*12)*INDEX(Surface_Engine!$F$12:$F$72,$A1260+1)-INDEX(Surface_Engine!$D$12:$D$72,$A1260+1),-(1000*12*INDEX(Surface_Engine!$C$12:$C$72,$A1260+1)/(1+Assumptions!$B$10)^20+INDEX(Surface_Engine!$D$12:$D$72,$A1260+1))))*INDEX(Surface_Engine!$B$12:$B$72,$A1260+1)</f>
        <v>599.41896605959</v>
      </c>
      <c r="N1261" s="12" t="n">
        <f aca="false">IF(B1261&lt;=0,0,MAX(0,(K1261+Assumptions!$B$29*L1261/INDEX(Surface_Engine!$B$12:$B$72,$A1261+1)-(M1261/INDEX(Surface_Engine!$B$12:$B$72,$A1261+1)-(F1261/INDEX(Surface_Engine!$B$12:$B$72,$A1261+1))))/B1261))</f>
        <v>0</v>
      </c>
    </row>
    <row r="1262" customFormat="false" ht="15" hidden="false" customHeight="true" outlineLevel="0" collapsed="false">
      <c r="A1262" s="1" t="n">
        <v>57</v>
      </c>
      <c r="B1262" s="32" t="n">
        <f aca="false">INDEX(Surface_Engine!$Q$12:$Q$72,$A1262+1)*IF($A1262&lt;$Q$1203,INDEX(Surface_Engine!$E$12:$E$72,$A1262+1),INDEX(Surface_Engine!$E$12:$E$72,$Q$1203+1))</f>
        <v>0</v>
      </c>
      <c r="C1262" s="32" t="n">
        <f aca="false">INDEX(Panel_Reserving!$F$8:$F$68,$A1262+1)*IF($A1262&lt;$Q$1203,INDEX(Surface_Engine!$E$12:$E$72,$A1262+1),INDEX(Surface_Engine!$E$12:$E$72,$Q$1203+1))</f>
        <v>0</v>
      </c>
      <c r="D1262" s="32" t="n">
        <f aca="false">INDEX(Surface_Engine!$Q$12:$Q$72,$A1262+1)*IF($A1262&lt;$Q$1203,INDEX(Surface_Engine!$Y$12:$Y$72,$A1262+1),INDEX(Surface_Engine!$Y$12:$Y$72,$Q$1203+1))</f>
        <v>0</v>
      </c>
      <c r="E1262" s="32" t="n">
        <f aca="false">INDEX(Surface_Engine!$Q$12:$Q$72,$A1262+1)*IF($A1262&lt;$Q$1203,INDEX(Surface_Engine!$Z$12:$Z$72,$A1262+1),INDEX(Surface_Engine!$Z$12:$Z$72,$Q$1203+1))</f>
        <v>0</v>
      </c>
      <c r="F1262" s="48" t="n">
        <f aca="false">B1262*(IF($A1262&lt;$Q$1203,INDEX(Surface_Engine!$D$12:$D$72,$A1262+1)+(Surface_Engine!Q246*12)*INDEX(Surface_Engine!$F$12:$F$72,$A1262+1)-(Surface_Engine!Q246*12),1000*12*INDEX(Surface_Engine!$C$12:$C$72,$A1262+1)/(1+Assumptions!$B$10)^20+INDEX(Surface_Engine!$D$12:$D$72,$A1262+1)))*INDEX(Surface_Engine!$B$12:$B$72,$A1262+1)+F1263</f>
        <v>0</v>
      </c>
      <c r="G1262" s="48" t="n">
        <f aca="false">C1262*(IF($A1262&lt;$Q$1203,INDEX(Surface_Engine!$D$12:$D$72,$A1262+1)+(Surface_Engine!Q246*12)*INDEX(Surface_Engine!$F$12:$F$72,$A1262+1)-(Surface_Engine!Q246*12),1000*12*INDEX(Surface_Engine!$C$12:$C$72,$A1262+1)/(1+Assumptions!$B$10)^20+INDEX(Surface_Engine!$D$12:$D$72,$A1262+1)))*INDEX(Surface_Engine!$B$12:$B$72,$A1262+1)+G1263</f>
        <v>0</v>
      </c>
      <c r="H1262" s="48" t="n">
        <f aca="false">D1262*(IF($A1262&lt;$Q$1203,INDEX(Surface_Engine!$D$12:$D$72,$A1262+1)+(Surface_Engine!Q246*12)*INDEX(Surface_Engine!$F$12:$F$72,$A1262+1)-(Surface_Engine!Q246*12),1000*12*INDEX(Surface_Engine!$C$12:$C$72,$A1262+1)/(1+Assumptions!$B$10)^20+INDEX(Surface_Engine!$D$12:$D$72,$A1262+1)))*INDEX(Surface_Engine!$B$12:$B$72,$A1262+1)+H1263</f>
        <v>0</v>
      </c>
      <c r="I1262" s="48" t="n">
        <f aca="false">E1262*(IF($A1262&lt;$Q$1203,INDEX(Surface_Engine!$D$12:$D$72,$A1262+1)+(Surface_Engine!Q246*12)*INDEX(Surface_Engine!$F$12:$F$72,$A1262+1)-(Surface_Engine!Q246*12),1000*12*INDEX(Surface_Engine!$C$12:$C$72,$A1262+1)/(1+Assumptions!$B$10)^20+INDEX(Surface_Engine!$D$12:$D$72,$A1262+1)))*INDEX(Surface_Engine!$B$12:$B$72,$A1262+1)+I1263</f>
        <v>0</v>
      </c>
      <c r="J1262" s="48" t="n">
        <f aca="false">B1262*(IF($A1262&lt;$Q$1203,INDEX(Surface_Engine!$D$12:$D$72,$A1262+1)*(1+Assumptions!$B$24)+(Surface_Engine!Q246*12)*INDEX(Surface_Engine!$F$12:$F$72,$A1262+1)-(Surface_Engine!Q246*12),1000*12*INDEX(Surface_Engine!$C$12:$C$72,$A1262+1)/(1+Assumptions!$B$10)^20+INDEX(Surface_Engine!$D$12:$D$72,$A1262+1)*(1+Assumptions!$B$24)))*INDEX(Surface_Engine!$B$12:$B$72,$A1262+1)+J1263</f>
        <v>0</v>
      </c>
      <c r="K1262" s="12" t="n">
        <f aca="false">SQRT((IF(C1262&lt;=0,0,MAX(0,(B1262/C1262)*G1262/INDEX(Surface_Engine!$B$12:$B$72,$A1262+1)-F1262/INDEX(Surface_Engine!$B$12:$B$72,$A1262+1))))^2+(MAX(IF(D1262&lt;=0,0,MAX(0,(B1262/D1262)*H1262/INDEX(Surface_Engine!$B$12:$B$72,$A1262+1)-F1262/INDEX(Surface_Engine!$B$12:$B$72,$A1262+1))),IF(E1262&lt;=0,0,MAX(0,(B1262/E1262)*I1262/INDEX(Surface_Engine!$B$12:$B$72,$A1262+1)-F1262/INDEX(Surface_Engine!$B$12:$B$72,$A1262+1))),IF($A1262&lt;$Q$1203,MAX(0,-Assumptions!$B$22*(F1262/INDEX(Surface_Engine!$B$12:$B$72,$A1262+1))),0)))^2+(MAX(0,J1262/INDEX(Surface_Engine!$B$12:$B$72,$A1262+1)-(F1262/INDEX(Surface_Engine!$B$12:$B$72,$A1262+1))))^2+2*Assumptions!$B$26*(IF(C1262&lt;=0,0,MAX(0,(B1262/C1262)*G1262/INDEX(Surface_Engine!$B$12:$B$72,$A1262+1)-F1262/INDEX(Surface_Engine!$B$12:$B$72,$A1262+1))))*(MAX(IF(D1262&lt;=0,0,MAX(0,(B1262/D1262)*H1262/INDEX(Surface_Engine!$B$12:$B$72,$A1262+1)-F1262/INDEX(Surface_Engine!$B$12:$B$72,$A1262+1))),IF(E1262&lt;=0,0,MAX(0,(B1262/E1262)*I1262/INDEX(Surface_Engine!$B$12:$B$72,$A1262+1)-F1262/INDEX(Surface_Engine!$B$12:$B$72,$A1262+1))),IF($A1262&lt;$Q$1203,MAX(0,-Assumptions!$B$22*(F1262/INDEX(Surface_Engine!$B$12:$B$72,$A1262+1))),0)))+2*Assumptions!$B$27*(IF(C1262&lt;=0,0,MAX(0,(B1262/C1262)*G1262/INDEX(Surface_Engine!$B$12:$B$72,$A1262+1)-F1262/INDEX(Surface_Engine!$B$12:$B$72,$A1262+1))))*(MAX(0,J1262/INDEX(Surface_Engine!$B$12:$B$72,$A1262+1)-(F1262/INDEX(Surface_Engine!$B$12:$B$72,$A1262+1))))+2*Assumptions!$B$28*(MAX(IF(D1262&lt;=0,0,MAX(0,(B1262/D1262)*H1262/INDEX(Surface_Engine!$B$12:$B$72,$A1262+1)-F1262/INDEX(Surface_Engine!$B$12:$B$72,$A1262+1))),IF(E1262&lt;=0,0,MAX(0,(B1262/E1262)*I1262/INDEX(Surface_Engine!$B$12:$B$72,$A1262+1)-F1262/INDEX(Surface_Engine!$B$12:$B$72,$A1262+1))),IF($A1262&lt;$Q$1203,MAX(0,-Assumptions!$B$22*(F1262/INDEX(Surface_Engine!$B$12:$B$72,$A1262+1))),0)))*(MAX(0,J1262/INDEX(Surface_Engine!$B$12:$B$72,$A1262+1)-(F1262/INDEX(Surface_Engine!$B$12:$B$72,$A1262+1)))))</f>
        <v>0</v>
      </c>
      <c r="L1262" s="48" t="n">
        <f aca="false">K1262*INDEX(Surface_Engine!$B$12:$B$72,$A1262+1)+L1263</f>
        <v>0</v>
      </c>
      <c r="M1262" s="48" t="n">
        <f aca="false">M1261+B1261*(IF($A1261&lt;$Q$1203,(Surface_Engine!Q246*12)-(Surface_Engine!Q246*12)*INDEX(Surface_Engine!$F$12:$F$72,$A1261+1)-INDEX(Surface_Engine!$D$12:$D$72,$A1261+1),-(1000*12*INDEX(Surface_Engine!$C$12:$C$72,$A1261+1)/(1+Assumptions!$B$10)^20+INDEX(Surface_Engine!$D$12:$D$72,$A1261+1))))*INDEX(Surface_Engine!$B$12:$B$72,$A1261+1)</f>
        <v>599.41896605959</v>
      </c>
      <c r="N1262" s="12" t="n">
        <f aca="false">IF(B1262&lt;=0,0,MAX(0,(K1262+Assumptions!$B$29*L1262/INDEX(Surface_Engine!$B$12:$B$72,$A1262+1)-(M1262/INDEX(Surface_Engine!$B$12:$B$72,$A1262+1)-(F1262/INDEX(Surface_Engine!$B$12:$B$72,$A1262+1))))/B1262))</f>
        <v>0</v>
      </c>
    </row>
    <row r="1263" customFormat="false" ht="15" hidden="false" customHeight="true" outlineLevel="0" collapsed="false">
      <c r="A1263" s="1" t="n">
        <v>58</v>
      </c>
      <c r="B1263" s="32" t="n">
        <f aca="false">INDEX(Surface_Engine!$Q$12:$Q$72,$A1263+1)*IF($A1263&lt;$Q$1203,INDEX(Surface_Engine!$E$12:$E$72,$A1263+1),INDEX(Surface_Engine!$E$12:$E$72,$Q$1203+1))</f>
        <v>0</v>
      </c>
      <c r="C1263" s="32" t="n">
        <f aca="false">INDEX(Panel_Reserving!$F$8:$F$68,$A1263+1)*IF($A1263&lt;$Q$1203,INDEX(Surface_Engine!$E$12:$E$72,$A1263+1),INDEX(Surface_Engine!$E$12:$E$72,$Q$1203+1))</f>
        <v>0</v>
      </c>
      <c r="D1263" s="32" t="n">
        <f aca="false">INDEX(Surface_Engine!$Q$12:$Q$72,$A1263+1)*IF($A1263&lt;$Q$1203,INDEX(Surface_Engine!$Y$12:$Y$72,$A1263+1),INDEX(Surface_Engine!$Y$12:$Y$72,$Q$1203+1))</f>
        <v>0</v>
      </c>
      <c r="E1263" s="32" t="n">
        <f aca="false">INDEX(Surface_Engine!$Q$12:$Q$72,$A1263+1)*IF($A1263&lt;$Q$1203,INDEX(Surface_Engine!$Z$12:$Z$72,$A1263+1),INDEX(Surface_Engine!$Z$12:$Z$72,$Q$1203+1))</f>
        <v>0</v>
      </c>
      <c r="F1263" s="48" t="n">
        <f aca="false">B1263*(IF($A1263&lt;$Q$1203,INDEX(Surface_Engine!$D$12:$D$72,$A1263+1)+(Surface_Engine!Q246*12)*INDEX(Surface_Engine!$F$12:$F$72,$A1263+1)-(Surface_Engine!Q246*12),1000*12*INDEX(Surface_Engine!$C$12:$C$72,$A1263+1)/(1+Assumptions!$B$10)^20+INDEX(Surface_Engine!$D$12:$D$72,$A1263+1)))*INDEX(Surface_Engine!$B$12:$B$72,$A1263+1)+F1264</f>
        <v>0</v>
      </c>
      <c r="G1263" s="48" t="n">
        <f aca="false">C1263*(IF($A1263&lt;$Q$1203,INDEX(Surface_Engine!$D$12:$D$72,$A1263+1)+(Surface_Engine!Q246*12)*INDEX(Surface_Engine!$F$12:$F$72,$A1263+1)-(Surface_Engine!Q246*12),1000*12*INDEX(Surface_Engine!$C$12:$C$72,$A1263+1)/(1+Assumptions!$B$10)^20+INDEX(Surface_Engine!$D$12:$D$72,$A1263+1)))*INDEX(Surface_Engine!$B$12:$B$72,$A1263+1)+G1264</f>
        <v>0</v>
      </c>
      <c r="H1263" s="48" t="n">
        <f aca="false">D1263*(IF($A1263&lt;$Q$1203,INDEX(Surface_Engine!$D$12:$D$72,$A1263+1)+(Surface_Engine!Q246*12)*INDEX(Surface_Engine!$F$12:$F$72,$A1263+1)-(Surface_Engine!Q246*12),1000*12*INDEX(Surface_Engine!$C$12:$C$72,$A1263+1)/(1+Assumptions!$B$10)^20+INDEX(Surface_Engine!$D$12:$D$72,$A1263+1)))*INDEX(Surface_Engine!$B$12:$B$72,$A1263+1)+H1264</f>
        <v>0</v>
      </c>
      <c r="I1263" s="48" t="n">
        <f aca="false">E1263*(IF($A1263&lt;$Q$1203,INDEX(Surface_Engine!$D$12:$D$72,$A1263+1)+(Surface_Engine!Q246*12)*INDEX(Surface_Engine!$F$12:$F$72,$A1263+1)-(Surface_Engine!Q246*12),1000*12*INDEX(Surface_Engine!$C$12:$C$72,$A1263+1)/(1+Assumptions!$B$10)^20+INDEX(Surface_Engine!$D$12:$D$72,$A1263+1)))*INDEX(Surface_Engine!$B$12:$B$72,$A1263+1)+I1264</f>
        <v>0</v>
      </c>
      <c r="J1263" s="48" t="n">
        <f aca="false">B1263*(IF($A1263&lt;$Q$1203,INDEX(Surface_Engine!$D$12:$D$72,$A1263+1)*(1+Assumptions!$B$24)+(Surface_Engine!Q246*12)*INDEX(Surface_Engine!$F$12:$F$72,$A1263+1)-(Surface_Engine!Q246*12),1000*12*INDEX(Surface_Engine!$C$12:$C$72,$A1263+1)/(1+Assumptions!$B$10)^20+INDEX(Surface_Engine!$D$12:$D$72,$A1263+1)*(1+Assumptions!$B$24)))*INDEX(Surface_Engine!$B$12:$B$72,$A1263+1)+J1264</f>
        <v>0</v>
      </c>
      <c r="K1263" s="12" t="n">
        <f aca="false">SQRT((IF(C1263&lt;=0,0,MAX(0,(B1263/C1263)*G1263/INDEX(Surface_Engine!$B$12:$B$72,$A1263+1)-F1263/INDEX(Surface_Engine!$B$12:$B$72,$A1263+1))))^2+(MAX(IF(D1263&lt;=0,0,MAX(0,(B1263/D1263)*H1263/INDEX(Surface_Engine!$B$12:$B$72,$A1263+1)-F1263/INDEX(Surface_Engine!$B$12:$B$72,$A1263+1))),IF(E1263&lt;=0,0,MAX(0,(B1263/E1263)*I1263/INDEX(Surface_Engine!$B$12:$B$72,$A1263+1)-F1263/INDEX(Surface_Engine!$B$12:$B$72,$A1263+1))),IF($A1263&lt;$Q$1203,MAX(0,-Assumptions!$B$22*(F1263/INDEX(Surface_Engine!$B$12:$B$72,$A1263+1))),0)))^2+(MAX(0,J1263/INDEX(Surface_Engine!$B$12:$B$72,$A1263+1)-(F1263/INDEX(Surface_Engine!$B$12:$B$72,$A1263+1))))^2+2*Assumptions!$B$26*(IF(C1263&lt;=0,0,MAX(0,(B1263/C1263)*G1263/INDEX(Surface_Engine!$B$12:$B$72,$A1263+1)-F1263/INDEX(Surface_Engine!$B$12:$B$72,$A1263+1))))*(MAX(IF(D1263&lt;=0,0,MAX(0,(B1263/D1263)*H1263/INDEX(Surface_Engine!$B$12:$B$72,$A1263+1)-F1263/INDEX(Surface_Engine!$B$12:$B$72,$A1263+1))),IF(E1263&lt;=0,0,MAX(0,(B1263/E1263)*I1263/INDEX(Surface_Engine!$B$12:$B$72,$A1263+1)-F1263/INDEX(Surface_Engine!$B$12:$B$72,$A1263+1))),IF($A1263&lt;$Q$1203,MAX(0,-Assumptions!$B$22*(F1263/INDEX(Surface_Engine!$B$12:$B$72,$A1263+1))),0)))+2*Assumptions!$B$27*(IF(C1263&lt;=0,0,MAX(0,(B1263/C1263)*G1263/INDEX(Surface_Engine!$B$12:$B$72,$A1263+1)-F1263/INDEX(Surface_Engine!$B$12:$B$72,$A1263+1))))*(MAX(0,J1263/INDEX(Surface_Engine!$B$12:$B$72,$A1263+1)-(F1263/INDEX(Surface_Engine!$B$12:$B$72,$A1263+1))))+2*Assumptions!$B$28*(MAX(IF(D1263&lt;=0,0,MAX(0,(B1263/D1263)*H1263/INDEX(Surface_Engine!$B$12:$B$72,$A1263+1)-F1263/INDEX(Surface_Engine!$B$12:$B$72,$A1263+1))),IF(E1263&lt;=0,0,MAX(0,(B1263/E1263)*I1263/INDEX(Surface_Engine!$B$12:$B$72,$A1263+1)-F1263/INDEX(Surface_Engine!$B$12:$B$72,$A1263+1))),IF($A1263&lt;$Q$1203,MAX(0,-Assumptions!$B$22*(F1263/INDEX(Surface_Engine!$B$12:$B$72,$A1263+1))),0)))*(MAX(0,J1263/INDEX(Surface_Engine!$B$12:$B$72,$A1263+1)-(F1263/INDEX(Surface_Engine!$B$12:$B$72,$A1263+1)))))</f>
        <v>0</v>
      </c>
      <c r="L1263" s="48" t="n">
        <f aca="false">K1263*INDEX(Surface_Engine!$B$12:$B$72,$A1263+1)+L1264</f>
        <v>0</v>
      </c>
      <c r="M1263" s="48" t="n">
        <f aca="false">M1262+B1262*(IF($A1262&lt;$Q$1203,(Surface_Engine!Q246*12)-(Surface_Engine!Q246*12)*INDEX(Surface_Engine!$F$12:$F$72,$A1262+1)-INDEX(Surface_Engine!$D$12:$D$72,$A1262+1),-(1000*12*INDEX(Surface_Engine!$C$12:$C$72,$A1262+1)/(1+Assumptions!$B$10)^20+INDEX(Surface_Engine!$D$12:$D$72,$A1262+1))))*INDEX(Surface_Engine!$B$12:$B$72,$A1262+1)</f>
        <v>599.41896605959</v>
      </c>
      <c r="N1263" s="12" t="n">
        <f aca="false">IF(B1263&lt;=0,0,MAX(0,(K1263+Assumptions!$B$29*L1263/INDEX(Surface_Engine!$B$12:$B$72,$A1263+1)-(M1263/INDEX(Surface_Engine!$B$12:$B$72,$A1263+1)-(F1263/INDEX(Surface_Engine!$B$12:$B$72,$A1263+1))))/B1263))</f>
        <v>0</v>
      </c>
    </row>
    <row r="1264" customFormat="false" ht="15" hidden="false" customHeight="true" outlineLevel="0" collapsed="false">
      <c r="A1264" s="1" t="n">
        <v>59</v>
      </c>
      <c r="B1264" s="32" t="n">
        <f aca="false">INDEX(Surface_Engine!$Q$12:$Q$72,$A1264+1)*IF($A1264&lt;$Q$1203,INDEX(Surface_Engine!$E$12:$E$72,$A1264+1),INDEX(Surface_Engine!$E$12:$E$72,$Q$1203+1))</f>
        <v>0</v>
      </c>
      <c r="C1264" s="32" t="n">
        <f aca="false">INDEX(Panel_Reserving!$F$8:$F$68,$A1264+1)*IF($A1264&lt;$Q$1203,INDEX(Surface_Engine!$E$12:$E$72,$A1264+1),INDEX(Surface_Engine!$E$12:$E$72,$Q$1203+1))</f>
        <v>0</v>
      </c>
      <c r="D1264" s="32" t="n">
        <f aca="false">INDEX(Surface_Engine!$Q$12:$Q$72,$A1264+1)*IF($A1264&lt;$Q$1203,INDEX(Surface_Engine!$Y$12:$Y$72,$A1264+1),INDEX(Surface_Engine!$Y$12:$Y$72,$Q$1203+1))</f>
        <v>0</v>
      </c>
      <c r="E1264" s="32" t="n">
        <f aca="false">INDEX(Surface_Engine!$Q$12:$Q$72,$A1264+1)*IF($A1264&lt;$Q$1203,INDEX(Surface_Engine!$Z$12:$Z$72,$A1264+1),INDEX(Surface_Engine!$Z$12:$Z$72,$Q$1203+1))</f>
        <v>0</v>
      </c>
      <c r="F1264" s="48" t="n">
        <f aca="false">B1264*(IF($A1264&lt;$Q$1203,INDEX(Surface_Engine!$D$12:$D$72,$A1264+1)+(Surface_Engine!Q246*12)*INDEX(Surface_Engine!$F$12:$F$72,$A1264+1)-(Surface_Engine!Q246*12),1000*12*INDEX(Surface_Engine!$C$12:$C$72,$A1264+1)/(1+Assumptions!$B$10)^20+INDEX(Surface_Engine!$D$12:$D$72,$A1264+1)))*INDEX(Surface_Engine!$B$12:$B$72,$A1264+1)+F1265</f>
        <v>0</v>
      </c>
      <c r="G1264" s="48" t="n">
        <f aca="false">C1264*(IF($A1264&lt;$Q$1203,INDEX(Surface_Engine!$D$12:$D$72,$A1264+1)+(Surface_Engine!Q246*12)*INDEX(Surface_Engine!$F$12:$F$72,$A1264+1)-(Surface_Engine!Q246*12),1000*12*INDEX(Surface_Engine!$C$12:$C$72,$A1264+1)/(1+Assumptions!$B$10)^20+INDEX(Surface_Engine!$D$12:$D$72,$A1264+1)))*INDEX(Surface_Engine!$B$12:$B$72,$A1264+1)+G1265</f>
        <v>0</v>
      </c>
      <c r="H1264" s="48" t="n">
        <f aca="false">D1264*(IF($A1264&lt;$Q$1203,INDEX(Surface_Engine!$D$12:$D$72,$A1264+1)+(Surface_Engine!Q246*12)*INDEX(Surface_Engine!$F$12:$F$72,$A1264+1)-(Surface_Engine!Q246*12),1000*12*INDEX(Surface_Engine!$C$12:$C$72,$A1264+1)/(1+Assumptions!$B$10)^20+INDEX(Surface_Engine!$D$12:$D$72,$A1264+1)))*INDEX(Surface_Engine!$B$12:$B$72,$A1264+1)+H1265</f>
        <v>0</v>
      </c>
      <c r="I1264" s="48" t="n">
        <f aca="false">E1264*(IF($A1264&lt;$Q$1203,INDEX(Surface_Engine!$D$12:$D$72,$A1264+1)+(Surface_Engine!Q246*12)*INDEX(Surface_Engine!$F$12:$F$72,$A1264+1)-(Surface_Engine!Q246*12),1000*12*INDEX(Surface_Engine!$C$12:$C$72,$A1264+1)/(1+Assumptions!$B$10)^20+INDEX(Surface_Engine!$D$12:$D$72,$A1264+1)))*INDEX(Surface_Engine!$B$12:$B$72,$A1264+1)+I1265</f>
        <v>0</v>
      </c>
      <c r="J1264" s="48" t="n">
        <f aca="false">B1264*(IF($A1264&lt;$Q$1203,INDEX(Surface_Engine!$D$12:$D$72,$A1264+1)*(1+Assumptions!$B$24)+(Surface_Engine!Q246*12)*INDEX(Surface_Engine!$F$12:$F$72,$A1264+1)-(Surface_Engine!Q246*12),1000*12*INDEX(Surface_Engine!$C$12:$C$72,$A1264+1)/(1+Assumptions!$B$10)^20+INDEX(Surface_Engine!$D$12:$D$72,$A1264+1)*(1+Assumptions!$B$24)))*INDEX(Surface_Engine!$B$12:$B$72,$A1264+1)+J1265</f>
        <v>0</v>
      </c>
      <c r="K1264" s="12" t="n">
        <f aca="false">SQRT((IF(C1264&lt;=0,0,MAX(0,(B1264/C1264)*G1264/INDEX(Surface_Engine!$B$12:$B$72,$A1264+1)-F1264/INDEX(Surface_Engine!$B$12:$B$72,$A1264+1))))^2+(MAX(IF(D1264&lt;=0,0,MAX(0,(B1264/D1264)*H1264/INDEX(Surface_Engine!$B$12:$B$72,$A1264+1)-F1264/INDEX(Surface_Engine!$B$12:$B$72,$A1264+1))),IF(E1264&lt;=0,0,MAX(0,(B1264/E1264)*I1264/INDEX(Surface_Engine!$B$12:$B$72,$A1264+1)-F1264/INDEX(Surface_Engine!$B$12:$B$72,$A1264+1))),IF($A1264&lt;$Q$1203,MAX(0,-Assumptions!$B$22*(F1264/INDEX(Surface_Engine!$B$12:$B$72,$A1264+1))),0)))^2+(MAX(0,J1264/INDEX(Surface_Engine!$B$12:$B$72,$A1264+1)-(F1264/INDEX(Surface_Engine!$B$12:$B$72,$A1264+1))))^2+2*Assumptions!$B$26*(IF(C1264&lt;=0,0,MAX(0,(B1264/C1264)*G1264/INDEX(Surface_Engine!$B$12:$B$72,$A1264+1)-F1264/INDEX(Surface_Engine!$B$12:$B$72,$A1264+1))))*(MAX(IF(D1264&lt;=0,0,MAX(0,(B1264/D1264)*H1264/INDEX(Surface_Engine!$B$12:$B$72,$A1264+1)-F1264/INDEX(Surface_Engine!$B$12:$B$72,$A1264+1))),IF(E1264&lt;=0,0,MAX(0,(B1264/E1264)*I1264/INDEX(Surface_Engine!$B$12:$B$72,$A1264+1)-F1264/INDEX(Surface_Engine!$B$12:$B$72,$A1264+1))),IF($A1264&lt;$Q$1203,MAX(0,-Assumptions!$B$22*(F1264/INDEX(Surface_Engine!$B$12:$B$72,$A1264+1))),0)))+2*Assumptions!$B$27*(IF(C1264&lt;=0,0,MAX(0,(B1264/C1264)*G1264/INDEX(Surface_Engine!$B$12:$B$72,$A1264+1)-F1264/INDEX(Surface_Engine!$B$12:$B$72,$A1264+1))))*(MAX(0,J1264/INDEX(Surface_Engine!$B$12:$B$72,$A1264+1)-(F1264/INDEX(Surface_Engine!$B$12:$B$72,$A1264+1))))+2*Assumptions!$B$28*(MAX(IF(D1264&lt;=0,0,MAX(0,(B1264/D1264)*H1264/INDEX(Surface_Engine!$B$12:$B$72,$A1264+1)-F1264/INDEX(Surface_Engine!$B$12:$B$72,$A1264+1))),IF(E1264&lt;=0,0,MAX(0,(B1264/E1264)*I1264/INDEX(Surface_Engine!$B$12:$B$72,$A1264+1)-F1264/INDEX(Surface_Engine!$B$12:$B$72,$A1264+1))),IF($A1264&lt;$Q$1203,MAX(0,-Assumptions!$B$22*(F1264/INDEX(Surface_Engine!$B$12:$B$72,$A1264+1))),0)))*(MAX(0,J1264/INDEX(Surface_Engine!$B$12:$B$72,$A1264+1)-(F1264/INDEX(Surface_Engine!$B$12:$B$72,$A1264+1)))))</f>
        <v>0</v>
      </c>
      <c r="L1264" s="48" t="n">
        <f aca="false">K1264*INDEX(Surface_Engine!$B$12:$B$72,$A1264+1)+L1265</f>
        <v>0</v>
      </c>
      <c r="M1264" s="48" t="n">
        <f aca="false">M1263+B1263*(IF($A1263&lt;$Q$1203,(Surface_Engine!Q246*12)-(Surface_Engine!Q246*12)*INDEX(Surface_Engine!$F$12:$F$72,$A1263+1)-INDEX(Surface_Engine!$D$12:$D$72,$A1263+1),-(1000*12*INDEX(Surface_Engine!$C$12:$C$72,$A1263+1)/(1+Assumptions!$B$10)^20+INDEX(Surface_Engine!$D$12:$D$72,$A1263+1))))*INDEX(Surface_Engine!$B$12:$B$72,$A1263+1)</f>
        <v>599.41896605959</v>
      </c>
      <c r="N1264" s="12" t="n">
        <f aca="false">IF(B1264&lt;=0,0,MAX(0,(K1264+Assumptions!$B$29*L1264/INDEX(Surface_Engine!$B$12:$B$72,$A1264+1)-(M1264/INDEX(Surface_Engine!$B$12:$B$72,$A1264+1)-(F1264/INDEX(Surface_Engine!$B$12:$B$72,$A1264+1))))/B1264))</f>
        <v>0</v>
      </c>
    </row>
    <row r="1265" customFormat="false" ht="15" hidden="false" customHeight="true" outlineLevel="0" collapsed="false">
      <c r="A1265" s="1" t="n">
        <v>60</v>
      </c>
      <c r="B1265" s="32" t="n">
        <f aca="false">INDEX(Surface_Engine!$Q$12:$Q$72,$A1265+1)*IF($A1265&lt;$Q$1203,INDEX(Surface_Engine!$E$12:$E$72,$A1265+1),INDEX(Surface_Engine!$E$12:$E$72,$Q$1203+1))</f>
        <v>0</v>
      </c>
      <c r="C1265" s="32" t="n">
        <f aca="false">INDEX(Panel_Reserving!$F$8:$F$68,$A1265+1)*IF($A1265&lt;$Q$1203,INDEX(Surface_Engine!$E$12:$E$72,$A1265+1),INDEX(Surface_Engine!$E$12:$E$72,$Q$1203+1))</f>
        <v>0</v>
      </c>
      <c r="D1265" s="32" t="n">
        <f aca="false">INDEX(Surface_Engine!$Q$12:$Q$72,$A1265+1)*IF($A1265&lt;$Q$1203,INDEX(Surface_Engine!$Y$12:$Y$72,$A1265+1),INDEX(Surface_Engine!$Y$12:$Y$72,$Q$1203+1))</f>
        <v>0</v>
      </c>
      <c r="E1265" s="32" t="n">
        <f aca="false">INDEX(Surface_Engine!$Q$12:$Q$72,$A1265+1)*IF($A1265&lt;$Q$1203,INDEX(Surface_Engine!$Z$12:$Z$72,$A1265+1),INDEX(Surface_Engine!$Z$12:$Z$72,$Q$1203+1))</f>
        <v>0</v>
      </c>
      <c r="F1265" s="48" t="n">
        <f aca="false">B1265*(IF($A1265&lt;$Q$1203,INDEX(Surface_Engine!$D$12:$D$72,$A1265+1)+(Surface_Engine!Q246*12)*INDEX(Surface_Engine!$F$12:$F$72,$A1265+1)-(Surface_Engine!Q246*12),1000*12*INDEX(Surface_Engine!$C$12:$C$72,$A1265+1)/(1+Assumptions!$B$10)^20+INDEX(Surface_Engine!$D$12:$D$72,$A1265+1)))*INDEX(Surface_Engine!$B$12:$B$72,$A1265+1)</f>
        <v>0</v>
      </c>
      <c r="G1265" s="48" t="n">
        <f aca="false">C1265*(IF($A1265&lt;$Q$1203,INDEX(Surface_Engine!$D$12:$D$72,$A1265+1)+(Surface_Engine!Q246*12)*INDEX(Surface_Engine!$F$12:$F$72,$A1265+1)-(Surface_Engine!Q246*12),1000*12*INDEX(Surface_Engine!$C$12:$C$72,$A1265+1)/(1+Assumptions!$B$10)^20+INDEX(Surface_Engine!$D$12:$D$72,$A1265+1)))*INDEX(Surface_Engine!$B$12:$B$72,$A1265+1)</f>
        <v>0</v>
      </c>
      <c r="H1265" s="48" t="n">
        <f aca="false">D1265*(IF($A1265&lt;$Q$1203,INDEX(Surface_Engine!$D$12:$D$72,$A1265+1)+(Surface_Engine!Q246*12)*INDEX(Surface_Engine!$F$12:$F$72,$A1265+1)-(Surface_Engine!Q246*12),1000*12*INDEX(Surface_Engine!$C$12:$C$72,$A1265+1)/(1+Assumptions!$B$10)^20+INDEX(Surface_Engine!$D$12:$D$72,$A1265+1)))*INDEX(Surface_Engine!$B$12:$B$72,$A1265+1)</f>
        <v>0</v>
      </c>
      <c r="I1265" s="48" t="n">
        <f aca="false">E1265*(IF($A1265&lt;$Q$1203,INDEX(Surface_Engine!$D$12:$D$72,$A1265+1)+(Surface_Engine!Q246*12)*INDEX(Surface_Engine!$F$12:$F$72,$A1265+1)-(Surface_Engine!Q246*12),1000*12*INDEX(Surface_Engine!$C$12:$C$72,$A1265+1)/(1+Assumptions!$B$10)^20+INDEX(Surface_Engine!$D$12:$D$72,$A1265+1)))*INDEX(Surface_Engine!$B$12:$B$72,$A1265+1)</f>
        <v>0</v>
      </c>
      <c r="J1265" s="48" t="n">
        <f aca="false">B1265*(IF($A1265&lt;$Q$1203,INDEX(Surface_Engine!$D$12:$D$72,$A1265+1)*(1+Assumptions!$B$24)+(Surface_Engine!Q246*12)*INDEX(Surface_Engine!$F$12:$F$72,$A1265+1)-(Surface_Engine!Q246*12),1000*12*INDEX(Surface_Engine!$C$12:$C$72,$A1265+1)/(1+Assumptions!$B$10)^20+INDEX(Surface_Engine!$D$12:$D$72,$A1265+1)*(1+Assumptions!$B$24)))*INDEX(Surface_Engine!$B$12:$B$72,$A1265+1)</f>
        <v>0</v>
      </c>
      <c r="K1265" s="12" t="n">
        <f aca="false">SQRT((IF(C1265&lt;=0,0,MAX(0,(B1265/C1265)*G1265/INDEX(Surface_Engine!$B$12:$B$72,$A1265+1)-F1265/INDEX(Surface_Engine!$B$12:$B$72,$A1265+1))))^2+(MAX(IF(D1265&lt;=0,0,MAX(0,(B1265/D1265)*H1265/INDEX(Surface_Engine!$B$12:$B$72,$A1265+1)-F1265/INDEX(Surface_Engine!$B$12:$B$72,$A1265+1))),IF(E1265&lt;=0,0,MAX(0,(B1265/E1265)*I1265/INDEX(Surface_Engine!$B$12:$B$72,$A1265+1)-F1265/INDEX(Surface_Engine!$B$12:$B$72,$A1265+1))),IF($A1265&lt;$Q$1203,MAX(0,-Assumptions!$B$22*(F1265/INDEX(Surface_Engine!$B$12:$B$72,$A1265+1))),0)))^2+(MAX(0,J1265/INDEX(Surface_Engine!$B$12:$B$72,$A1265+1)-(F1265/INDEX(Surface_Engine!$B$12:$B$72,$A1265+1))))^2+2*Assumptions!$B$26*(IF(C1265&lt;=0,0,MAX(0,(B1265/C1265)*G1265/INDEX(Surface_Engine!$B$12:$B$72,$A1265+1)-F1265/INDEX(Surface_Engine!$B$12:$B$72,$A1265+1))))*(MAX(IF(D1265&lt;=0,0,MAX(0,(B1265/D1265)*H1265/INDEX(Surface_Engine!$B$12:$B$72,$A1265+1)-F1265/INDEX(Surface_Engine!$B$12:$B$72,$A1265+1))),IF(E1265&lt;=0,0,MAX(0,(B1265/E1265)*I1265/INDEX(Surface_Engine!$B$12:$B$72,$A1265+1)-F1265/INDEX(Surface_Engine!$B$12:$B$72,$A1265+1))),IF($A1265&lt;$Q$1203,MAX(0,-Assumptions!$B$22*(F1265/INDEX(Surface_Engine!$B$12:$B$72,$A1265+1))),0)))+2*Assumptions!$B$27*(IF(C1265&lt;=0,0,MAX(0,(B1265/C1265)*G1265/INDEX(Surface_Engine!$B$12:$B$72,$A1265+1)-F1265/INDEX(Surface_Engine!$B$12:$B$72,$A1265+1))))*(MAX(0,J1265/INDEX(Surface_Engine!$B$12:$B$72,$A1265+1)-(F1265/INDEX(Surface_Engine!$B$12:$B$72,$A1265+1))))+2*Assumptions!$B$28*(MAX(IF(D1265&lt;=0,0,MAX(0,(B1265/D1265)*H1265/INDEX(Surface_Engine!$B$12:$B$72,$A1265+1)-F1265/INDEX(Surface_Engine!$B$12:$B$72,$A1265+1))),IF(E1265&lt;=0,0,MAX(0,(B1265/E1265)*I1265/INDEX(Surface_Engine!$B$12:$B$72,$A1265+1)-F1265/INDEX(Surface_Engine!$B$12:$B$72,$A1265+1))),IF($A1265&lt;$Q$1203,MAX(0,-Assumptions!$B$22*(F1265/INDEX(Surface_Engine!$B$12:$B$72,$A1265+1))),0)))*(MAX(0,J1265/INDEX(Surface_Engine!$B$12:$B$72,$A1265+1)-(F1265/INDEX(Surface_Engine!$B$12:$B$72,$A1265+1)))))</f>
        <v>0</v>
      </c>
      <c r="L1265" s="48" t="n">
        <f aca="false">K1265*INDEX(Surface_Engine!$B$12:$B$72,$A1265+1)</f>
        <v>0</v>
      </c>
      <c r="M1265" s="48" t="n">
        <f aca="false">M1264+B1264*(IF($A1264&lt;$Q$1203,(Surface_Engine!Q246*12)-(Surface_Engine!Q246*12)*INDEX(Surface_Engine!$F$12:$F$72,$A1264+1)-INDEX(Surface_Engine!$D$12:$D$72,$A1264+1),-(1000*12*INDEX(Surface_Engine!$C$12:$C$72,$A1264+1)/(1+Assumptions!$B$10)^20+INDEX(Surface_Engine!$D$12:$D$72,$A1264+1))))*INDEX(Surface_Engine!$B$12:$B$72,$A1264+1)</f>
        <v>599.41896605959</v>
      </c>
      <c r="N1265" s="12" t="n">
        <f aca="false">IF(B1265&lt;=0,0,MAX(0,(K1265+Assumptions!$B$29*L1265/INDEX(Surface_Engine!$B$12:$B$72,$A1265+1)-(M1265/INDEX(Surface_Engine!$B$12:$B$72,$A1265+1)-(F1265/INDEX(Surface_Engine!$B$12:$B$72,$A1265+1))))/B1265))</f>
        <v>0</v>
      </c>
    </row>
    <row r="1266" customFormat="false" ht="15" hidden="false" customHeight="true" outlineLevel="0" collapsed="false">
      <c r="A1266" s="4" t="str">
        <f aca="false">"entry "&amp;O1266&amp;" / vesting "&amp;P1266&amp;"   deferral "&amp;Q1266</f>
        <v>entry 72 / vesting 75   deferral 3</v>
      </c>
      <c r="C1266" s="49" t="n">
        <f aca="false">MAX(N1205:N1265)</f>
        <v>14726.0245130291</v>
      </c>
      <c r="E1266" s="7" t="s">
        <v>1634</v>
      </c>
      <c r="G1266" s="21" t="n">
        <f aca="false">INDEX(A1205:A1265,MATCH(C1266,N1205:N1265,0))</f>
        <v>17</v>
      </c>
      <c r="J1266" s="7" t="s">
        <v>1624</v>
      </c>
      <c r="K1266" s="50" t="n">
        <f aca="false">Surface_Engine!B248</f>
        <v>7236.69789821026</v>
      </c>
      <c r="O1266" s="1" t="n">
        <f aca="false">A1719</f>
        <v>72</v>
      </c>
      <c r="P1266" s="76" t="n">
        <f aca="false">B$1713</f>
        <v>75</v>
      </c>
      <c r="Q1266" s="1" t="n">
        <f aca="false">P1266-O1266</f>
        <v>3</v>
      </c>
    </row>
    <row r="1267" customFormat="false" ht="15" hidden="false" customHeight="true" outlineLevel="0" collapsed="false">
      <c r="A1267" s="8" t="s">
        <v>802</v>
      </c>
      <c r="B1267" s="8" t="s">
        <v>1584</v>
      </c>
      <c r="C1267" s="8" t="s">
        <v>1585</v>
      </c>
      <c r="D1267" s="8" t="s">
        <v>1587</v>
      </c>
      <c r="E1267" s="8" t="s">
        <v>1588</v>
      </c>
      <c r="F1267" s="8" t="s">
        <v>1625</v>
      </c>
      <c r="G1267" s="8" t="s">
        <v>1626</v>
      </c>
      <c r="H1267" s="8" t="s">
        <v>1627</v>
      </c>
      <c r="I1267" s="8" t="s">
        <v>1628</v>
      </c>
      <c r="J1267" s="8" t="s">
        <v>1629</v>
      </c>
      <c r="K1267" s="8" t="s">
        <v>812</v>
      </c>
      <c r="L1267" s="8" t="s">
        <v>1630</v>
      </c>
      <c r="M1267" s="8" t="s">
        <v>341</v>
      </c>
      <c r="N1267" s="8" t="s">
        <v>1631</v>
      </c>
      <c r="O1267" s="1" t="s">
        <v>1544</v>
      </c>
      <c r="P1267" s="1" t="s">
        <v>1632</v>
      </c>
      <c r="Q1267" s="1" t="s">
        <v>1633</v>
      </c>
    </row>
    <row r="1268" customFormat="false" ht="15" hidden="false" customHeight="true" outlineLevel="0" collapsed="false">
      <c r="A1268" s="1" t="n">
        <v>0</v>
      </c>
      <c r="B1268" s="32" t="n">
        <f aca="false">INDEX(Surface_Engine!$S$12:$S$72,$A1268+1)*IF($A1268&lt;$Q$1266,INDEX(Surface_Engine!$E$12:$E$72,$A1268+1),INDEX(Surface_Engine!$E$12:$E$72,$Q$1266+1))</f>
        <v>1</v>
      </c>
      <c r="C1268" s="32" t="n">
        <f aca="false">INDEX(Panel_Reserving!$G$8:$G$68,$A1268+1)*IF($A1268&lt;$Q$1266,INDEX(Surface_Engine!$E$12:$E$72,$A1268+1),INDEX(Surface_Engine!$E$12:$E$72,$Q$1266+1))</f>
        <v>1</v>
      </c>
      <c r="D1268" s="32" t="n">
        <f aca="false">INDEX(Surface_Engine!$S$12:$S$72,$A1268+1)*IF($A1268&lt;$Q$1266,INDEX(Surface_Engine!$Y$12:$Y$72,$A1268+1),INDEX(Surface_Engine!$Y$12:$Y$72,$Q$1266+1))</f>
        <v>1</v>
      </c>
      <c r="E1268" s="32" t="n">
        <f aca="false">INDEX(Surface_Engine!$S$12:$S$72,$A1268+1)*IF($A1268&lt;$Q$1266,INDEX(Surface_Engine!$Z$12:$Z$72,$A1268+1),INDEX(Surface_Engine!$Z$12:$Z$72,$Q$1266+1))</f>
        <v>1</v>
      </c>
      <c r="F1268" s="48" t="n">
        <f aca="false">B1268*(IF($A1268&lt;$Q$1266,INDEX(Surface_Engine!$D$12:$D$72,$A1268+1)+(Surface_Engine!B248*12)*INDEX(Surface_Engine!$F$12:$F$72,$A1268+1)-(Surface_Engine!B248*12),1000*12*INDEX(Surface_Engine!$C$12:$C$72,$A1268+1)/(1+Assumptions!$B$10)^3+INDEX(Surface_Engine!$D$12:$D$72,$A1268+1)))*INDEX(Surface_Engine!$B$12:$B$72,$A1268+1)+F1269</f>
        <v>-7277.14244627333</v>
      </c>
      <c r="G1268" s="48" t="n">
        <f aca="false">C1268*(IF($A1268&lt;$Q$1266,INDEX(Surface_Engine!$D$12:$D$72,$A1268+1)+(Surface_Engine!B248*12)*INDEX(Surface_Engine!$F$12:$F$72,$A1268+1)-(Surface_Engine!B248*12),1000*12*INDEX(Surface_Engine!$C$12:$C$72,$A1268+1)/(1+Assumptions!$B$10)^3+INDEX(Surface_Engine!$D$12:$D$72,$A1268+1)))*INDEX(Surface_Engine!$B$12:$B$72,$A1268+1)+G1269</f>
        <v>6412.92103349564</v>
      </c>
      <c r="H1268" s="48" t="n">
        <f aca="false">D1268*(IF($A1268&lt;$Q$1266,INDEX(Surface_Engine!$D$12:$D$72,$A1268+1)+(Surface_Engine!B248*12)*INDEX(Surface_Engine!$F$12:$F$72,$A1268+1)-(Surface_Engine!B248*12),1000*12*INDEX(Surface_Engine!$C$12:$C$72,$A1268+1)/(1+Assumptions!$B$10)^3+INDEX(Surface_Engine!$D$12:$D$72,$A1268+1)))*INDEX(Surface_Engine!$B$12:$B$72,$A1268+1)+H1269</f>
        <v>-8784.48825824297</v>
      </c>
      <c r="I1268" s="48" t="n">
        <f aca="false">E1268*(IF($A1268&lt;$Q$1266,INDEX(Surface_Engine!$D$12:$D$72,$A1268+1)+(Surface_Engine!B248*12)*INDEX(Surface_Engine!$F$12:$F$72,$A1268+1)-(Surface_Engine!B248*12),1000*12*INDEX(Surface_Engine!$C$12:$C$72,$A1268+1)/(1+Assumptions!$B$10)^3+INDEX(Surface_Engine!$D$12:$D$72,$A1268+1)))*INDEX(Surface_Engine!$B$12:$B$72,$A1268+1)+I1269</f>
        <v>-5676.45973717005</v>
      </c>
      <c r="J1268" s="48" t="n">
        <f aca="false">B1268*(IF($A1268&lt;$Q$1266,INDEX(Surface_Engine!$D$12:$D$72,$A1268+1)*(1+Assumptions!$B$24)+(Surface_Engine!B248*12)*INDEX(Surface_Engine!$F$12:$F$72,$A1268+1)-(Surface_Engine!B248*12),1000*12*INDEX(Surface_Engine!$C$12:$C$72,$A1268+1)/(1+Assumptions!$B$10)^3+INDEX(Surface_Engine!$D$12:$D$72,$A1268+1)*(1+Assumptions!$B$24)))*INDEX(Surface_Engine!$B$12:$B$72,$A1268+1)+J1269</f>
        <v>-7146.74148748261</v>
      </c>
      <c r="K1268" s="12" t="n">
        <f aca="false">SQRT((IF(C1268&lt;=0,0,MAX(0,(B1268/C1268)*G1268/INDEX(Surface_Engine!$B$12:$B$72,$A1268+1)-F1268/INDEX(Surface_Engine!$B$12:$B$72,$A1268+1))))^2+(MAX(IF(D1268&lt;=0,0,MAX(0,(B1268/D1268)*H1268/INDEX(Surface_Engine!$B$12:$B$72,$A1268+1)-F1268/INDEX(Surface_Engine!$B$12:$B$72,$A1268+1))),IF(E1268&lt;=0,0,MAX(0,(B1268/E1268)*I1268/INDEX(Surface_Engine!$B$12:$B$72,$A1268+1)-F1268/INDEX(Surface_Engine!$B$12:$B$72,$A1268+1))),IF($A1268&lt;$Q$1266,MAX(0,-Assumptions!$B$22*(F1268/INDEX(Surface_Engine!$B$12:$B$72,$A1268+1))),0)))^2+(MAX(0,J1268/INDEX(Surface_Engine!$B$12:$B$72,$A1268+1)-(F1268/INDEX(Surface_Engine!$B$12:$B$72,$A1268+1))))^2+2*Assumptions!$B$26*(IF(C1268&lt;=0,0,MAX(0,(B1268/C1268)*G1268/INDEX(Surface_Engine!$B$12:$B$72,$A1268+1)-F1268/INDEX(Surface_Engine!$B$12:$B$72,$A1268+1))))*(MAX(IF(D1268&lt;=0,0,MAX(0,(B1268/D1268)*H1268/INDEX(Surface_Engine!$B$12:$B$72,$A1268+1)-F1268/INDEX(Surface_Engine!$B$12:$B$72,$A1268+1))),IF(E1268&lt;=0,0,MAX(0,(B1268/E1268)*I1268/INDEX(Surface_Engine!$B$12:$B$72,$A1268+1)-F1268/INDEX(Surface_Engine!$B$12:$B$72,$A1268+1))),IF($A1268&lt;$Q$1266,MAX(0,-Assumptions!$B$22*(F1268/INDEX(Surface_Engine!$B$12:$B$72,$A1268+1))),0)))+2*Assumptions!$B$27*(IF(C1268&lt;=0,0,MAX(0,(B1268/C1268)*G1268/INDEX(Surface_Engine!$B$12:$B$72,$A1268+1)-F1268/INDEX(Surface_Engine!$B$12:$B$72,$A1268+1))))*(MAX(0,J1268/INDEX(Surface_Engine!$B$12:$B$72,$A1268+1)-(F1268/INDEX(Surface_Engine!$B$12:$B$72,$A1268+1))))+2*Assumptions!$B$28*(MAX(IF(D1268&lt;=0,0,MAX(0,(B1268/D1268)*H1268/INDEX(Surface_Engine!$B$12:$B$72,$A1268+1)-F1268/INDEX(Surface_Engine!$B$12:$B$72,$A1268+1))),IF(E1268&lt;=0,0,MAX(0,(B1268/E1268)*I1268/INDEX(Surface_Engine!$B$12:$B$72,$A1268+1)-F1268/INDEX(Surface_Engine!$B$12:$B$72,$A1268+1))),IF($A1268&lt;$Q$1266,MAX(0,-Assumptions!$B$22*(F1268/INDEX(Surface_Engine!$B$12:$B$72,$A1268+1))),0)))*(MAX(0,J1268/INDEX(Surface_Engine!$B$12:$B$72,$A1268+1)-(F1268/INDEX(Surface_Engine!$B$12:$B$72,$A1268+1)))))</f>
        <v>14734.4839234494</v>
      </c>
      <c r="L1268" s="48" t="n">
        <f aca="false">K1268*INDEX(Surface_Engine!$B$12:$B$72,$A1268+1)+L1269</f>
        <v>203866.066807436</v>
      </c>
      <c r="M1268" s="48" t="n">
        <v>0</v>
      </c>
      <c r="N1268" s="12" t="n">
        <f aca="false">IF(B1268&lt;=0,0,MAX(0,(K1268+Assumptions!$B$29*L1268/INDEX(Surface_Engine!$B$12:$B$72,$A1268+1)-(M1268/INDEX(Surface_Engine!$B$12:$B$72,$A1268+1)-(F1268/INDEX(Surface_Engine!$B$12:$B$72,$A1268+1))))/B1268))</f>
        <v>19689.3054856223</v>
      </c>
    </row>
    <row r="1269" customFormat="false" ht="15" hidden="false" customHeight="true" outlineLevel="0" collapsed="false">
      <c r="A1269" s="1" t="n">
        <v>1</v>
      </c>
      <c r="B1269" s="32" t="n">
        <f aca="false">INDEX(Surface_Engine!$S$12:$S$72,$A1269+1)*IF($A1269&lt;$Q$1266,INDEX(Surface_Engine!$E$12:$E$72,$A1269+1),INDEX(Surface_Engine!$E$12:$E$72,$Q$1266+1))</f>
        <v>0.948091429174549</v>
      </c>
      <c r="C1269" s="32" t="n">
        <f aca="false">INDEX(Panel_Reserving!$G$8:$G$68,$A1269+1)*IF($A1269&lt;$Q$1266,INDEX(Surface_Engine!$E$12:$E$72,$A1269+1),INDEX(Surface_Engine!$E$12:$E$72,$Q$1266+1))</f>
        <v>0.950353143339639</v>
      </c>
      <c r="D1269" s="32" t="n">
        <f aca="false">INDEX(Surface_Engine!$S$12:$S$72,$A1269+1)*IF($A1269&lt;$Q$1266,INDEX(Surface_Engine!$Y$12:$Y$72,$A1269+1),INDEX(Surface_Engine!$Y$12:$Y$72,$Q$1266+1))</f>
        <v>0.928030707877651</v>
      </c>
      <c r="E1269" s="32" t="n">
        <f aca="false">INDEX(Surface_Engine!$S$12:$S$72,$A1269+1)*IF($A1269&lt;$Q$1266,INDEX(Surface_Engine!$Z$12:$Z$72,$A1269+1),INDEX(Surface_Engine!$Z$12:$Z$72,$Q$1266+1))</f>
        <v>0.968152150471446</v>
      </c>
      <c r="F1269" s="48" t="n">
        <f aca="false">B1269*(IF($A1269&lt;$Q$1266,INDEX(Surface_Engine!$D$12:$D$72,$A1269+1)+(Surface_Engine!B248*12)*INDEX(Surface_Engine!$F$12:$F$72,$A1269+1)-(Surface_Engine!B248*12),1000*12*INDEX(Surface_Engine!$C$12:$C$72,$A1269+1)/(1+Assumptions!$B$10)^3+INDEX(Surface_Engine!$D$12:$D$72,$A1269+1)))*INDEX(Surface_Engine!$B$12:$B$72,$A1269+1)+F1270</f>
        <v>-7359.14244627333</v>
      </c>
      <c r="G1269" s="48" t="n">
        <f aca="false">C1269*(IF($A1269&lt;$Q$1266,INDEX(Surface_Engine!$D$12:$D$72,$A1269+1)+(Surface_Engine!B248*12)*INDEX(Surface_Engine!$F$12:$F$72,$A1269+1)-(Surface_Engine!B248*12),1000*12*INDEX(Surface_Engine!$C$12:$C$72,$A1269+1)/(1+Assumptions!$B$10)^3+INDEX(Surface_Engine!$D$12:$D$72,$A1269+1)))*INDEX(Surface_Engine!$B$12:$B$72,$A1269+1)+G1270</f>
        <v>6330.92103349564</v>
      </c>
      <c r="H1269" s="48" t="n">
        <f aca="false">D1269*(IF($A1269&lt;$Q$1266,INDEX(Surface_Engine!$D$12:$D$72,$A1269+1)+(Surface_Engine!B248*12)*INDEX(Surface_Engine!$F$12:$F$72,$A1269+1)-(Surface_Engine!B248*12),1000*12*INDEX(Surface_Engine!$C$12:$C$72,$A1269+1)/(1+Assumptions!$B$10)^3+INDEX(Surface_Engine!$D$12:$D$72,$A1269+1)))*INDEX(Surface_Engine!$B$12:$B$72,$A1269+1)+H1270</f>
        <v>-8866.48825824297</v>
      </c>
      <c r="I1269" s="48" t="n">
        <f aca="false">E1269*(IF($A1269&lt;$Q$1266,INDEX(Surface_Engine!$D$12:$D$72,$A1269+1)+(Surface_Engine!B248*12)*INDEX(Surface_Engine!$F$12:$F$72,$A1269+1)-(Surface_Engine!B248*12),1000*12*INDEX(Surface_Engine!$C$12:$C$72,$A1269+1)/(1+Assumptions!$B$10)^3+INDEX(Surface_Engine!$D$12:$D$72,$A1269+1)))*INDEX(Surface_Engine!$B$12:$B$72,$A1269+1)+I1270</f>
        <v>-5758.45973717005</v>
      </c>
      <c r="J1269" s="48" t="n">
        <f aca="false">B1269*(IF($A1269&lt;$Q$1266,INDEX(Surface_Engine!$D$12:$D$72,$A1269+1)*(1+Assumptions!$B$24)+(Surface_Engine!B248*12)*INDEX(Surface_Engine!$F$12:$F$72,$A1269+1)-(Surface_Engine!B248*12),1000*12*INDEX(Surface_Engine!$C$12:$C$72,$A1269+1)/(1+Assumptions!$B$10)^3+INDEX(Surface_Engine!$D$12:$D$72,$A1269+1)*(1+Assumptions!$B$24)))*INDEX(Surface_Engine!$B$12:$B$72,$A1269+1)+J1270</f>
        <v>-7236.9414874826</v>
      </c>
      <c r="K1269" s="12" t="n">
        <f aca="false">SQRT((IF(C1269&lt;=0,0,MAX(0,(B1269/C1269)*G1269/INDEX(Surface_Engine!$B$12:$B$72,$A1269+1)-F1269/INDEX(Surface_Engine!$B$12:$B$72,$A1269+1))))^2+(MAX(IF(D1269&lt;=0,0,MAX(0,(B1269/D1269)*H1269/INDEX(Surface_Engine!$B$12:$B$72,$A1269+1)-F1269/INDEX(Surface_Engine!$B$12:$B$72,$A1269+1))),IF(E1269&lt;=0,0,MAX(0,(B1269/E1269)*I1269/INDEX(Surface_Engine!$B$12:$B$72,$A1269+1)-F1269/INDEX(Surface_Engine!$B$12:$B$72,$A1269+1))),IF($A1269&lt;$Q$1266,MAX(0,-Assumptions!$B$22*(F1269/INDEX(Surface_Engine!$B$12:$B$72,$A1269+1))),0)))^2+(MAX(0,J1269/INDEX(Surface_Engine!$B$12:$B$72,$A1269+1)-(F1269/INDEX(Surface_Engine!$B$12:$B$72,$A1269+1))))^2+2*Assumptions!$B$26*(IF(C1269&lt;=0,0,MAX(0,(B1269/C1269)*G1269/INDEX(Surface_Engine!$B$12:$B$72,$A1269+1)-F1269/INDEX(Surface_Engine!$B$12:$B$72,$A1269+1))))*(MAX(IF(D1269&lt;=0,0,MAX(0,(B1269/D1269)*H1269/INDEX(Surface_Engine!$B$12:$B$72,$A1269+1)-F1269/INDEX(Surface_Engine!$B$12:$B$72,$A1269+1))),IF(E1269&lt;=0,0,MAX(0,(B1269/E1269)*I1269/INDEX(Surface_Engine!$B$12:$B$72,$A1269+1)-F1269/INDEX(Surface_Engine!$B$12:$B$72,$A1269+1))),IF($A1269&lt;$Q$1266,MAX(0,-Assumptions!$B$22*(F1269/INDEX(Surface_Engine!$B$12:$B$72,$A1269+1))),0)))+2*Assumptions!$B$27*(IF(C1269&lt;=0,0,MAX(0,(B1269/C1269)*G1269/INDEX(Surface_Engine!$B$12:$B$72,$A1269+1)-F1269/INDEX(Surface_Engine!$B$12:$B$72,$A1269+1))))*(MAX(0,J1269/INDEX(Surface_Engine!$B$12:$B$72,$A1269+1)-(F1269/INDEX(Surface_Engine!$B$12:$B$72,$A1269+1))))+2*Assumptions!$B$28*(MAX(IF(D1269&lt;=0,0,MAX(0,(B1269/D1269)*H1269/INDEX(Surface_Engine!$B$12:$B$72,$A1269+1)-F1269/INDEX(Surface_Engine!$B$12:$B$72,$A1269+1))),IF(E1269&lt;=0,0,MAX(0,(B1269/E1269)*I1269/INDEX(Surface_Engine!$B$12:$B$72,$A1269+1)-F1269/INDEX(Surface_Engine!$B$12:$B$72,$A1269+1))),IF($A1269&lt;$Q$1266,MAX(0,-Assumptions!$B$22*(F1269/INDEX(Surface_Engine!$B$12:$B$72,$A1269+1))),0)))*(MAX(0,J1269/INDEX(Surface_Engine!$B$12:$B$72,$A1269+1)-(F1269/INDEX(Surface_Engine!$B$12:$B$72,$A1269+1)))))</f>
        <v>15113.6166562376</v>
      </c>
      <c r="L1269" s="48" t="n">
        <f aca="false">K1269*INDEX(Surface_Engine!$B$12:$B$72,$A1269+1)+L1270</f>
        <v>189131.582883987</v>
      </c>
      <c r="M1269" s="48" t="n">
        <f aca="false">M1268+B1268*(IF($A1268&lt;$Q$1266,(Surface_Engine!B248*12)-(Surface_Engine!B248*12)*INDEX(Surface_Engine!$F$12:$F$72,$A1268+1)-INDEX(Surface_Engine!$D$12:$D$72,$A1268+1),-(1000*12*INDEX(Surface_Engine!$C$12:$C$72,$A1268+1)/(1+Assumptions!$B$10)^3+INDEX(Surface_Engine!$D$12:$D$72,$A1268+1))))*INDEX(Surface_Engine!$B$12:$B$72,$A1268+1)</f>
        <v>-82</v>
      </c>
      <c r="N1269" s="12" t="n">
        <f aca="false">IF(B1269&lt;=0,0,MAX(0,(K1269+Assumptions!$B$29*L1269/INDEX(Surface_Engine!$B$12:$B$72,$A1269+1)-(M1269/INDEX(Surface_Engine!$B$12:$B$72,$A1269+1)-(F1269/INDEX(Surface_Engine!$B$12:$B$72,$A1269+1))))/B1269))</f>
        <v>20346.1874298274</v>
      </c>
    </row>
    <row r="1270" customFormat="false" ht="15" hidden="false" customHeight="true" outlineLevel="0" collapsed="false">
      <c r="A1270" s="1" t="n">
        <v>2</v>
      </c>
      <c r="B1270" s="32" t="n">
        <f aca="false">INDEX(Surface_Engine!$S$12:$S$72,$A1270+1)*IF($A1270&lt;$Q$1266,INDEX(Surface_Engine!$E$12:$E$72,$A1270+1),INDEX(Surface_Engine!$E$12:$E$72,$Q$1266+1))</f>
        <v>0.915450309934018</v>
      </c>
      <c r="C1270" s="32" t="n">
        <f aca="false">INDEX(Panel_Reserving!$G$8:$G$68,$A1270+1)*IF($A1270&lt;$Q$1266,INDEX(Surface_Engine!$E$12:$E$72,$A1270+1),INDEX(Surface_Engine!$E$12:$E$72,$Q$1266+1))</f>
        <v>0.920053421834699</v>
      </c>
      <c r="D1270" s="32" t="n">
        <f aca="false">INDEX(Surface_Engine!$S$12:$S$72,$A1270+1)*IF($A1270&lt;$Q$1266,INDEX(Surface_Engine!$Y$12:$Y$72,$A1270+1),INDEX(Surface_Engine!$Y$12:$Y$72,$Q$1266+1))</f>
        <v>0.886142115938819</v>
      </c>
      <c r="E1270" s="32" t="n">
        <f aca="false">INDEX(Surface_Engine!$S$12:$S$72,$A1270+1)*IF($A1270&lt;$Q$1266,INDEX(Surface_Engine!$Z$12:$Z$72,$A1270+1),INDEX(Surface_Engine!$Z$12:$Z$72,$Q$1266+1))</f>
        <v>0.945188157850868</v>
      </c>
      <c r="F1270" s="48" t="n">
        <f aca="false">B1270*(IF($A1270&lt;$Q$1266,INDEX(Surface_Engine!$D$12:$D$72,$A1270+1)+(Surface_Engine!B248*12)*INDEX(Surface_Engine!$F$12:$F$72,$A1270+1)-(Surface_Engine!B248*12),1000*12*INDEX(Surface_Engine!$C$12:$C$72,$A1270+1)/(1+Assumptions!$B$10)^3+INDEX(Surface_Engine!$D$12:$D$72,$A1270+1)))*INDEX(Surface_Engine!$B$12:$B$72,$A1270+1)+F1271</f>
        <v>68800.0618087758</v>
      </c>
      <c r="G1270" s="48" t="n">
        <f aca="false">C1270*(IF($A1270&lt;$Q$1266,INDEX(Surface_Engine!$D$12:$D$72,$A1270+1)+(Surface_Engine!B248*12)*INDEX(Surface_Engine!$F$12:$F$72,$A1270+1)-(Surface_Engine!B248*12),1000*12*INDEX(Surface_Engine!$C$12:$C$72,$A1270+1)/(1+Assumptions!$B$10)^3+INDEX(Surface_Engine!$D$12:$D$72,$A1270+1)))*INDEX(Surface_Engine!$B$12:$B$72,$A1270+1)+G1271</f>
        <v>82671.8064489952</v>
      </c>
      <c r="H1270" s="48" t="n">
        <f aca="false">D1270*(IF($A1270&lt;$Q$1266,INDEX(Surface_Engine!$D$12:$D$72,$A1270+1)+(Surface_Engine!B248*12)*INDEX(Surface_Engine!$F$12:$F$72,$A1270+1)-(Surface_Engine!B248*12),1000*12*INDEX(Surface_Engine!$C$12:$C$72,$A1270+1)/(1+Assumptions!$B$10)^3+INDEX(Surface_Engine!$D$12:$D$72,$A1270+1)))*INDEX(Surface_Engine!$B$12:$B$72,$A1270+1)+H1271</f>
        <v>65681.2589962042</v>
      </c>
      <c r="I1270" s="48" t="n">
        <f aca="false">E1270*(IF($A1270&lt;$Q$1266,INDEX(Surface_Engine!$D$12:$D$72,$A1270+1)+(Surface_Engine!B248*12)*INDEX(Surface_Engine!$F$12:$F$72,$A1270+1)-(Surface_Engine!B248*12),1000*12*INDEX(Surface_Engine!$C$12:$C$72,$A1270+1)/(1+Assumptions!$B$10)^3+INDEX(Surface_Engine!$D$12:$D$72,$A1270+1)))*INDEX(Surface_Engine!$B$12:$B$72,$A1270+1)+I1271</f>
        <v>72012.2015184809</v>
      </c>
      <c r="J1270" s="48" t="n">
        <f aca="false">B1270*(IF($A1270&lt;$Q$1266,INDEX(Surface_Engine!$D$12:$D$72,$A1270+1)*(1+Assumptions!$B$24)+(Surface_Engine!B248*12)*INDEX(Surface_Engine!$F$12:$F$72,$A1270+1)-(Surface_Engine!B248*12),1000*12*INDEX(Surface_Engine!$C$12:$C$72,$A1270+1)/(1+Assumptions!$B$10)^3+INDEX(Surface_Engine!$D$12:$D$72,$A1270+1)*(1+Assumptions!$B$24)))*INDEX(Surface_Engine!$B$12:$B$72,$A1270+1)+J1271</f>
        <v>68914.4956923762</v>
      </c>
      <c r="K1270" s="12" t="n">
        <f aca="false">SQRT((IF(C1270&lt;=0,0,MAX(0,(B1270/C1270)*G1270/INDEX(Surface_Engine!$B$12:$B$72,$A1270+1)-F1270/INDEX(Surface_Engine!$B$12:$B$72,$A1270+1))))^2+(MAX(IF(D1270&lt;=0,0,MAX(0,(B1270/D1270)*H1270/INDEX(Surface_Engine!$B$12:$B$72,$A1270+1)-F1270/INDEX(Surface_Engine!$B$12:$B$72,$A1270+1))),IF(E1270&lt;=0,0,MAX(0,(B1270/E1270)*I1270/INDEX(Surface_Engine!$B$12:$B$72,$A1270+1)-F1270/INDEX(Surface_Engine!$B$12:$B$72,$A1270+1))),IF($A1270&lt;$Q$1266,MAX(0,-Assumptions!$B$22*(F1270/INDEX(Surface_Engine!$B$12:$B$72,$A1270+1))),0)))^2+(MAX(0,J1270/INDEX(Surface_Engine!$B$12:$B$72,$A1270+1)-(F1270/INDEX(Surface_Engine!$B$12:$B$72,$A1270+1))))^2+2*Assumptions!$B$26*(IF(C1270&lt;=0,0,MAX(0,(B1270/C1270)*G1270/INDEX(Surface_Engine!$B$12:$B$72,$A1270+1)-F1270/INDEX(Surface_Engine!$B$12:$B$72,$A1270+1))))*(MAX(IF(D1270&lt;=0,0,MAX(0,(B1270/D1270)*H1270/INDEX(Surface_Engine!$B$12:$B$72,$A1270+1)-F1270/INDEX(Surface_Engine!$B$12:$B$72,$A1270+1))),IF(E1270&lt;=0,0,MAX(0,(B1270/E1270)*I1270/INDEX(Surface_Engine!$B$12:$B$72,$A1270+1)-F1270/INDEX(Surface_Engine!$B$12:$B$72,$A1270+1))),IF($A1270&lt;$Q$1266,MAX(0,-Assumptions!$B$22*(F1270/INDEX(Surface_Engine!$B$12:$B$72,$A1270+1))),0)))+2*Assumptions!$B$27*(IF(C1270&lt;=0,0,MAX(0,(B1270/C1270)*G1270/INDEX(Surface_Engine!$B$12:$B$72,$A1270+1)-F1270/INDEX(Surface_Engine!$B$12:$B$72,$A1270+1))))*(MAX(0,J1270/INDEX(Surface_Engine!$B$12:$B$72,$A1270+1)-(F1270/INDEX(Surface_Engine!$B$12:$B$72,$A1270+1))))+2*Assumptions!$B$28*(MAX(IF(D1270&lt;=0,0,MAX(0,(B1270/D1270)*H1270/INDEX(Surface_Engine!$B$12:$B$72,$A1270+1)-F1270/INDEX(Surface_Engine!$B$12:$B$72,$A1270+1))),IF(E1270&lt;=0,0,MAX(0,(B1270/E1270)*I1270/INDEX(Surface_Engine!$B$12:$B$72,$A1270+1)-F1270/INDEX(Surface_Engine!$B$12:$B$72,$A1270+1))),IF($A1270&lt;$Q$1266,MAX(0,-Assumptions!$B$22*(F1270/INDEX(Surface_Engine!$B$12:$B$72,$A1270+1))),0)))*(MAX(0,J1270/INDEX(Surface_Engine!$B$12:$B$72,$A1270+1)-(F1270/INDEX(Surface_Engine!$B$12:$B$72,$A1270+1)))))</f>
        <v>14489.8571059279</v>
      </c>
      <c r="L1270" s="48" t="n">
        <f aca="false">K1270*INDEX(Surface_Engine!$B$12:$B$72,$A1270+1)+L1271</f>
        <v>174400.38804575</v>
      </c>
      <c r="M1270" s="48" t="n">
        <f aca="false">M1269+B1269*(IF($A1269&lt;$Q$1266,(Surface_Engine!B248*12)-(Surface_Engine!B248*12)*INDEX(Surface_Engine!$F$12:$F$72,$A1269+1)-INDEX(Surface_Engine!$D$12:$D$72,$A1269+1),-(1000*12*INDEX(Surface_Engine!$C$12:$C$72,$A1269+1)/(1+Assumptions!$B$10)^3+INDEX(Surface_Engine!$D$12:$D$72,$A1269+1))))*INDEX(Surface_Engine!$B$12:$B$72,$A1269+1)</f>
        <v>76077.2042550491</v>
      </c>
      <c r="N1270" s="12" t="n">
        <f aca="false">IF(B1270&lt;=0,0,MAX(0,(K1270+Assumptions!$B$29*L1270/INDEX(Surface_Engine!$B$12:$B$72,$A1270+1)-(M1270/INDEX(Surface_Engine!$B$12:$B$72,$A1270+1)-(F1270/INDEX(Surface_Engine!$B$12:$B$72,$A1270+1))))/B1270))</f>
        <v>19494.5704466744</v>
      </c>
    </row>
    <row r="1271" customFormat="false" ht="15" hidden="false" customHeight="true" outlineLevel="0" collapsed="false">
      <c r="A1271" s="1" t="n">
        <v>3</v>
      </c>
      <c r="B1271" s="32" t="n">
        <f aca="false">INDEX(Surface_Engine!$S$12:$S$72,$A1271+1)*IF($A1271&lt;$Q$1266,INDEX(Surface_Engine!$E$12:$E$72,$A1271+1),INDEX(Surface_Engine!$E$12:$E$72,$Q$1266+1))</f>
        <v>0.890257968372373</v>
      </c>
      <c r="C1271" s="32" t="n">
        <f aca="false">INDEX(Panel_Reserving!$G$8:$G$68,$A1271+1)*IF($A1271&lt;$Q$1266,INDEX(Surface_Engine!$E$12:$E$72,$A1271+1),INDEX(Surface_Engine!$E$12:$E$72,$Q$1266+1))</f>
        <v>0.897350867794799</v>
      </c>
      <c r="D1271" s="32" t="n">
        <f aca="false">INDEX(Surface_Engine!$S$12:$S$72,$A1271+1)*IF($A1271&lt;$Q$1266,INDEX(Surface_Engine!$Y$12:$Y$72,$A1271+1),INDEX(Surface_Engine!$Y$12:$Y$72,$Q$1266+1))</f>
        <v>0.855948383779193</v>
      </c>
      <c r="E1271" s="32" t="n">
        <f aca="false">INDEX(Surface_Engine!$S$12:$S$72,$A1271+1)*IF($A1271&lt;$Q$1266,INDEX(Surface_Engine!$Z$12:$Z$72,$A1271+1),INDEX(Surface_Engine!$Z$12:$Z$72,$Q$1266+1))</f>
        <v>0.925372380925957</v>
      </c>
      <c r="F1271" s="48" t="n">
        <f aca="false">B1271*(IF($A1271&lt;$Q$1266,INDEX(Surface_Engine!$D$12:$D$72,$A1271+1)+(Surface_Engine!B248*12)*INDEX(Surface_Engine!$F$12:$F$72,$A1271+1)-(Surface_Engine!B248*12),1000*12*INDEX(Surface_Engine!$C$12:$C$72,$A1271+1)/(1+Assumptions!$B$10)^3+INDEX(Surface_Engine!$D$12:$D$72,$A1271+1)))*INDEX(Surface_Engine!$B$12:$B$72,$A1271+1)+F1272</f>
        <v>140432.792183839</v>
      </c>
      <c r="G1271" s="48" t="n">
        <f aca="false">C1271*(IF($A1271&lt;$Q$1266,INDEX(Surface_Engine!$D$12:$D$72,$A1271+1)+(Surface_Engine!B248*12)*INDEX(Surface_Engine!$F$12:$F$72,$A1271+1)-(Surface_Engine!B248*12),1000*12*INDEX(Surface_Engine!$C$12:$C$72,$A1271+1)/(1+Assumptions!$B$10)^3+INDEX(Surface_Engine!$D$12:$D$72,$A1271+1)))*INDEX(Surface_Engine!$B$12:$B$72,$A1271+1)+G1272</f>
        <v>154664.724012909</v>
      </c>
      <c r="H1271" s="48" t="n">
        <f aca="false">D1271*(IF($A1271&lt;$Q$1266,INDEX(Surface_Engine!$D$12:$D$72,$A1271+1)+(Surface_Engine!B248*12)*INDEX(Surface_Engine!$F$12:$F$72,$A1271+1)-(Surface_Engine!B248*12),1000*12*INDEX(Surface_Engine!$C$12:$C$72,$A1271+1)/(1+Assumptions!$B$10)^3+INDEX(Surface_Engine!$D$12:$D$72,$A1271+1)))*INDEX(Surface_Engine!$B$12:$B$72,$A1271+1)+H1272</f>
        <v>135020.663414133</v>
      </c>
      <c r="I1271" s="48" t="n">
        <f aca="false">E1271*(IF($A1271&lt;$Q$1266,INDEX(Surface_Engine!$D$12:$D$72,$A1271+1)+(Surface_Engine!B248*12)*INDEX(Surface_Engine!$F$12:$F$72,$A1271+1)-(Surface_Engine!B248*12),1000*12*INDEX(Surface_Engine!$C$12:$C$72,$A1271+1)/(1+Assumptions!$B$10)^3+INDEX(Surface_Engine!$D$12:$D$72,$A1271+1)))*INDEX(Surface_Engine!$B$12:$B$72,$A1271+1)+I1272</f>
        <v>145971.877680384</v>
      </c>
      <c r="J1271" s="48" t="n">
        <f aca="false">B1271*(IF($A1271&lt;$Q$1266,INDEX(Surface_Engine!$D$12:$D$72,$A1271+1)*(1+Assumptions!$B$24)+(Surface_Engine!B248*12)*INDEX(Surface_Engine!$F$12:$F$72,$A1271+1)-(Surface_Engine!B248*12),1000*12*INDEX(Surface_Engine!$C$12:$C$72,$A1271+1)/(1+Assumptions!$B$10)^3+INDEX(Surface_Engine!$D$12:$D$72,$A1271+1)*(1+Assumptions!$B$24)))*INDEX(Surface_Engine!$B$12:$B$72,$A1271+1)+J1272</f>
        <v>140539.737796402</v>
      </c>
      <c r="K1271" s="12" t="n">
        <f aca="false">SQRT((IF(C1271&lt;=0,0,MAX(0,(B1271/C1271)*G1271/INDEX(Surface_Engine!$B$12:$B$72,$A1271+1)-F1271/INDEX(Surface_Engine!$B$12:$B$72,$A1271+1))))^2+(MAX(IF(D1271&lt;=0,0,MAX(0,(B1271/D1271)*H1271/INDEX(Surface_Engine!$B$12:$B$72,$A1271+1)-F1271/INDEX(Surface_Engine!$B$12:$B$72,$A1271+1))),IF(E1271&lt;=0,0,MAX(0,(B1271/E1271)*I1271/INDEX(Surface_Engine!$B$12:$B$72,$A1271+1)-F1271/INDEX(Surface_Engine!$B$12:$B$72,$A1271+1))),IF($A1271&lt;$Q$1266,MAX(0,-Assumptions!$B$22*(F1271/INDEX(Surface_Engine!$B$12:$B$72,$A1271+1))),0)))^2+(MAX(0,J1271/INDEX(Surface_Engine!$B$12:$B$72,$A1271+1)-(F1271/INDEX(Surface_Engine!$B$12:$B$72,$A1271+1))))^2+2*Assumptions!$B$26*(IF(C1271&lt;=0,0,MAX(0,(B1271/C1271)*G1271/INDEX(Surface_Engine!$B$12:$B$72,$A1271+1)-F1271/INDEX(Surface_Engine!$B$12:$B$72,$A1271+1))))*(MAX(IF(D1271&lt;=0,0,MAX(0,(B1271/D1271)*H1271/INDEX(Surface_Engine!$B$12:$B$72,$A1271+1)-F1271/INDEX(Surface_Engine!$B$12:$B$72,$A1271+1))),IF(E1271&lt;=0,0,MAX(0,(B1271/E1271)*I1271/INDEX(Surface_Engine!$B$12:$B$72,$A1271+1)-F1271/INDEX(Surface_Engine!$B$12:$B$72,$A1271+1))),IF($A1271&lt;$Q$1266,MAX(0,-Assumptions!$B$22*(F1271/INDEX(Surface_Engine!$B$12:$B$72,$A1271+1))),0)))+2*Assumptions!$B$27*(IF(C1271&lt;=0,0,MAX(0,(B1271/C1271)*G1271/INDEX(Surface_Engine!$B$12:$B$72,$A1271+1)-F1271/INDEX(Surface_Engine!$B$12:$B$72,$A1271+1))))*(MAX(0,J1271/INDEX(Surface_Engine!$B$12:$B$72,$A1271+1)-(F1271/INDEX(Surface_Engine!$B$12:$B$72,$A1271+1))))+2*Assumptions!$B$28*(MAX(IF(D1271&lt;=0,0,MAX(0,(B1271/D1271)*H1271/INDEX(Surface_Engine!$B$12:$B$72,$A1271+1)-F1271/INDEX(Surface_Engine!$B$12:$B$72,$A1271+1))),IF(E1271&lt;=0,0,MAX(0,(B1271/E1271)*I1271/INDEX(Surface_Engine!$B$12:$B$72,$A1271+1)-F1271/INDEX(Surface_Engine!$B$12:$B$72,$A1271+1))),IF($A1271&lt;$Q$1266,MAX(0,-Assumptions!$B$22*(F1271/INDEX(Surface_Engine!$B$12:$B$72,$A1271+1))),0)))*(MAX(0,J1271/INDEX(Surface_Engine!$B$12:$B$72,$A1271+1)-(F1271/INDEX(Surface_Engine!$B$12:$B$72,$A1271+1)))))</f>
        <v>14089.9711655132</v>
      </c>
      <c r="L1271" s="48" t="n">
        <f aca="false">K1271*INDEX(Surface_Engine!$B$12:$B$72,$A1271+1)+L1272</f>
        <v>160642.578321527</v>
      </c>
      <c r="M1271" s="48" t="n">
        <f aca="false">M1270+B1270*(IF($A1270&lt;$Q$1266,(Surface_Engine!B248*12)-(Surface_Engine!B248*12)*INDEX(Surface_Engine!$F$12:$F$72,$A1270+1)-INDEX(Surface_Engine!$D$12:$D$72,$A1270+1),-(1000*12*INDEX(Surface_Engine!$C$12:$C$72,$A1270+1)/(1+Assumptions!$B$10)^3+INDEX(Surface_Engine!$D$12:$D$72,$A1270+1))))*INDEX(Surface_Engine!$B$12:$B$72,$A1270+1)</f>
        <v>147709.934630112</v>
      </c>
      <c r="N1271" s="12" t="n">
        <f aca="false">IF(B1271&lt;=0,0,MAX(0,(K1271+Assumptions!$B$29*L1271/INDEX(Surface_Engine!$B$12:$B$72,$A1271+1)-(M1271/INDEX(Surface_Engine!$B$12:$B$72,$A1271+1)-(F1271/INDEX(Surface_Engine!$B$12:$B$72,$A1271+1))))/B1271))</f>
        <v>18693.6762262985</v>
      </c>
    </row>
    <row r="1272" customFormat="false" ht="15" hidden="false" customHeight="true" outlineLevel="0" collapsed="false">
      <c r="A1272" s="1" t="n">
        <v>4</v>
      </c>
      <c r="B1272" s="32" t="n">
        <f aca="false">INDEX(Surface_Engine!$S$12:$S$72,$A1272+1)*IF($A1272&lt;$Q$1266,INDEX(Surface_Engine!$E$12:$E$72,$A1272+1),INDEX(Surface_Engine!$E$12:$E$72,$Q$1266+1))</f>
        <v>0.87549749230786</v>
      </c>
      <c r="C1272" s="32" t="n">
        <f aca="false">INDEX(Panel_Reserving!$G$8:$G$68,$A1272+1)*IF($A1272&lt;$Q$1266,INDEX(Surface_Engine!$E$12:$E$72,$A1272+1),INDEX(Surface_Engine!$E$12:$E$72,$Q$1266+1))</f>
        <v>0.885448406731949</v>
      </c>
      <c r="D1272" s="32" t="n">
        <f aca="false">INDEX(Surface_Engine!$S$12:$S$72,$A1272+1)*IF($A1272&lt;$Q$1266,INDEX(Surface_Engine!$Y$12:$Y$72,$A1272+1),INDEX(Surface_Engine!$Y$12:$Y$72,$Q$1266+1))</f>
        <v>0.841756760586727</v>
      </c>
      <c r="E1272" s="32" t="n">
        <f aca="false">INDEX(Surface_Engine!$S$12:$S$72,$A1272+1)*IF($A1272&lt;$Q$1266,INDEX(Surface_Engine!$Z$12:$Z$72,$A1272+1),INDEX(Surface_Engine!$Z$12:$Z$72,$Q$1266+1))</f>
        <v>0.910029707942765</v>
      </c>
      <c r="F1272" s="48" t="n">
        <f aca="false">B1272*(IF($A1272&lt;$Q$1266,INDEX(Surface_Engine!$D$12:$D$72,$A1272+1)+(Surface_Engine!B248*12)*INDEX(Surface_Engine!$F$12:$F$72,$A1272+1)-(Surface_Engine!B248*12),1000*12*INDEX(Surface_Engine!$C$12:$C$72,$A1272+1)/(1+Assumptions!$B$10)^3+INDEX(Surface_Engine!$D$12:$D$72,$A1272+1)))*INDEX(Surface_Engine!$B$12:$B$72,$A1272+1)+F1273</f>
        <v>130475.655585339</v>
      </c>
      <c r="G1272" s="48" t="n">
        <f aca="false">C1272*(IF($A1272&lt;$Q$1266,INDEX(Surface_Engine!$D$12:$D$72,$A1272+1)+(Surface_Engine!B248*12)*INDEX(Surface_Engine!$F$12:$F$72,$A1272+1)-(Surface_Engine!B248*12),1000*12*INDEX(Surface_Engine!$C$12:$C$72,$A1272+1)/(1+Assumptions!$B$10)^3+INDEX(Surface_Engine!$D$12:$D$72,$A1272+1)))*INDEX(Surface_Engine!$B$12:$B$72,$A1272+1)+G1273</f>
        <v>144628.256511528</v>
      </c>
      <c r="H1272" s="48" t="n">
        <f aca="false">D1272*(IF($A1272&lt;$Q$1266,INDEX(Surface_Engine!$D$12:$D$72,$A1272+1)+(Surface_Engine!B248*12)*INDEX(Surface_Engine!$F$12:$F$72,$A1272+1)-(Surface_Engine!B248*12),1000*12*INDEX(Surface_Engine!$C$12:$C$72,$A1272+1)/(1+Assumptions!$B$10)^3+INDEX(Surface_Engine!$D$12:$D$72,$A1272+1)))*INDEX(Surface_Engine!$B$12:$B$72,$A1272+1)+H1273</f>
        <v>125447.264150843</v>
      </c>
      <c r="I1272" s="48" t="n">
        <f aca="false">E1272*(IF($A1272&lt;$Q$1266,INDEX(Surface_Engine!$D$12:$D$72,$A1272+1)+(Surface_Engine!B248*12)*INDEX(Surface_Engine!$F$12:$F$72,$A1272+1)-(Surface_Engine!B248*12),1000*12*INDEX(Surface_Engine!$C$12:$C$72,$A1272+1)/(1+Assumptions!$B$10)^3+INDEX(Surface_Engine!$D$12:$D$72,$A1272+1)))*INDEX(Surface_Engine!$B$12:$B$72,$A1272+1)+I1273</f>
        <v>135622.002106449</v>
      </c>
      <c r="J1272" s="48" t="n">
        <f aca="false">B1272*(IF($A1272&lt;$Q$1266,INDEX(Surface_Engine!$D$12:$D$72,$A1272+1)*(1+Assumptions!$B$24)+(Surface_Engine!B248*12)*INDEX(Surface_Engine!$F$12:$F$72,$A1272+1)-(Surface_Engine!B248*12),1000*12*INDEX(Surface_Engine!$C$12:$C$72,$A1272+1)/(1+Assumptions!$B$10)^3+INDEX(Surface_Engine!$D$12:$D$72,$A1272+1)*(1+Assumptions!$B$24)))*INDEX(Surface_Engine!$B$12:$B$72,$A1272+1)+J1273</f>
        <v>130575.327512665</v>
      </c>
      <c r="K1272" s="12" t="n">
        <f aca="false">SQRT((IF(C1272&lt;=0,0,MAX(0,(B1272/C1272)*G1272/INDEX(Surface_Engine!$B$12:$B$72,$A1272+1)-F1272/INDEX(Surface_Engine!$B$12:$B$72,$A1272+1))))^2+(MAX(IF(D1272&lt;=0,0,MAX(0,(B1272/D1272)*H1272/INDEX(Surface_Engine!$B$12:$B$72,$A1272+1)-F1272/INDEX(Surface_Engine!$B$12:$B$72,$A1272+1))),IF(E1272&lt;=0,0,MAX(0,(B1272/E1272)*I1272/INDEX(Surface_Engine!$B$12:$B$72,$A1272+1)-F1272/INDEX(Surface_Engine!$B$12:$B$72,$A1272+1))),IF($A1272&lt;$Q$1266,MAX(0,-Assumptions!$B$22*(F1272/INDEX(Surface_Engine!$B$12:$B$72,$A1272+1))),0)))^2+(MAX(0,J1272/INDEX(Surface_Engine!$B$12:$B$72,$A1272+1)-(F1272/INDEX(Surface_Engine!$B$12:$B$72,$A1272+1))))^2+2*Assumptions!$B$26*(IF(C1272&lt;=0,0,MAX(0,(B1272/C1272)*G1272/INDEX(Surface_Engine!$B$12:$B$72,$A1272+1)-F1272/INDEX(Surface_Engine!$B$12:$B$72,$A1272+1))))*(MAX(IF(D1272&lt;=0,0,MAX(0,(B1272/D1272)*H1272/INDEX(Surface_Engine!$B$12:$B$72,$A1272+1)-F1272/INDEX(Surface_Engine!$B$12:$B$72,$A1272+1))),IF(E1272&lt;=0,0,MAX(0,(B1272/E1272)*I1272/INDEX(Surface_Engine!$B$12:$B$72,$A1272+1)-F1272/INDEX(Surface_Engine!$B$12:$B$72,$A1272+1))),IF($A1272&lt;$Q$1266,MAX(0,-Assumptions!$B$22*(F1272/INDEX(Surface_Engine!$B$12:$B$72,$A1272+1))),0)))+2*Assumptions!$B$27*(IF(C1272&lt;=0,0,MAX(0,(B1272/C1272)*G1272/INDEX(Surface_Engine!$B$12:$B$72,$A1272+1)-F1272/INDEX(Surface_Engine!$B$12:$B$72,$A1272+1))))*(MAX(0,J1272/INDEX(Surface_Engine!$B$12:$B$72,$A1272+1)-(F1272/INDEX(Surface_Engine!$B$12:$B$72,$A1272+1))))+2*Assumptions!$B$28*(MAX(IF(D1272&lt;=0,0,MAX(0,(B1272/D1272)*H1272/INDEX(Surface_Engine!$B$12:$B$72,$A1272+1)-F1272/INDEX(Surface_Engine!$B$12:$B$72,$A1272+1))),IF(E1272&lt;=0,0,MAX(0,(B1272/E1272)*I1272/INDEX(Surface_Engine!$B$12:$B$72,$A1272+1)-F1272/INDEX(Surface_Engine!$B$12:$B$72,$A1272+1))),IF($A1272&lt;$Q$1266,MAX(0,-Assumptions!$B$22*(F1272/INDEX(Surface_Engine!$B$12:$B$72,$A1272+1))),0)))*(MAX(0,J1272/INDEX(Surface_Engine!$B$12:$B$72,$A1272+1)-(F1272/INDEX(Surface_Engine!$B$12:$B$72,$A1272+1)))))</f>
        <v>13929.3133315462</v>
      </c>
      <c r="L1272" s="48" t="n">
        <f aca="false">K1272*INDEX(Surface_Engine!$B$12:$B$72,$A1272+1)+L1273</f>
        <v>147606.009862428</v>
      </c>
      <c r="M1272" s="48" t="n">
        <f aca="false">M1271+B1271*(IF($A1271&lt;$Q$1266,(Surface_Engine!B248*12)-(Surface_Engine!B248*12)*INDEX(Surface_Engine!$F$12:$F$72,$A1271+1)-INDEX(Surface_Engine!$D$12:$D$72,$A1271+1),-(1000*12*INDEX(Surface_Engine!$C$12:$C$72,$A1271+1)/(1+Assumptions!$B$10)^3+INDEX(Surface_Engine!$D$12:$D$72,$A1271+1))))*INDEX(Surface_Engine!$B$12:$B$72,$A1271+1)</f>
        <v>137752.798031613</v>
      </c>
      <c r="N1272" s="12" t="n">
        <f aca="false">IF(B1272&lt;=0,0,MAX(0,(K1272+Assumptions!$B$29*L1272/INDEX(Surface_Engine!$B$12:$B$72,$A1272+1)-(M1272/INDEX(Surface_Engine!$B$12:$B$72,$A1272+1)-(F1272/INDEX(Surface_Engine!$B$12:$B$72,$A1272+1))))/B1272))</f>
        <v>17911.8098617469</v>
      </c>
    </row>
    <row r="1273" customFormat="false" ht="15" hidden="false" customHeight="true" outlineLevel="0" collapsed="false">
      <c r="A1273" s="1" t="n">
        <v>5</v>
      </c>
      <c r="B1273" s="32" t="n">
        <f aca="false">INDEX(Surface_Engine!$S$12:$S$72,$A1273+1)*IF($A1273&lt;$Q$1266,INDEX(Surface_Engine!$E$12:$E$72,$A1273+1),INDEX(Surface_Engine!$E$12:$E$72,$Q$1266+1))</f>
        <v>0.859316200310051</v>
      </c>
      <c r="C1273" s="32" t="n">
        <f aca="false">INDEX(Panel_Reserving!$G$8:$G$68,$A1273+1)*IF($A1273&lt;$Q$1266,INDEX(Surface_Engine!$E$12:$E$72,$A1273+1),INDEX(Surface_Engine!$E$12:$E$72,$Q$1266+1))</f>
        <v>0.872356239735051</v>
      </c>
      <c r="D1273" s="32" t="n">
        <f aca="false">INDEX(Surface_Engine!$S$12:$S$72,$A1273+1)*IF($A1273&lt;$Q$1266,INDEX(Surface_Engine!$Y$12:$Y$72,$A1273+1),INDEX(Surface_Engine!$Y$12:$Y$72,$Q$1266+1))</f>
        <v>0.826199078178889</v>
      </c>
      <c r="E1273" s="32" t="n">
        <f aca="false">INDEX(Surface_Engine!$S$12:$S$72,$A1273+1)*IF($A1273&lt;$Q$1266,INDEX(Surface_Engine!$Z$12:$Z$72,$A1273+1),INDEX(Surface_Engine!$Z$12:$Z$72,$Q$1266+1))</f>
        <v>0.893210177835276</v>
      </c>
      <c r="F1273" s="48" t="n">
        <f aca="false">B1273*(IF($A1273&lt;$Q$1266,INDEX(Surface_Engine!$D$12:$D$72,$A1273+1)+(Surface_Engine!B248*12)*INDEX(Surface_Engine!$F$12:$F$72,$A1273+1)-(Surface_Engine!B248*12),1000*12*INDEX(Surface_Engine!$C$12:$C$72,$A1273+1)/(1+Assumptions!$B$10)^3+INDEX(Surface_Engine!$D$12:$D$72,$A1273+1)))*INDEX(Surface_Engine!$B$12:$B$72,$A1273+1)+F1274</f>
        <v>120747.35082217</v>
      </c>
      <c r="G1273" s="48" t="n">
        <f aca="false">C1273*(IF($A1273&lt;$Q$1266,INDEX(Surface_Engine!$D$12:$D$72,$A1273+1)+(Surface_Engine!B248*12)*INDEX(Surface_Engine!$F$12:$F$72,$A1273+1)-(Surface_Engine!B248*12),1000*12*INDEX(Surface_Engine!$C$12:$C$72,$A1273+1)/(1+Assumptions!$B$10)^3+INDEX(Surface_Engine!$D$12:$D$72,$A1273+1)))*INDEX(Surface_Engine!$B$12:$B$72,$A1273+1)+G1274</f>
        <v>134789.37972612</v>
      </c>
      <c r="H1273" s="48" t="n">
        <f aca="false">D1273*(IF($A1273&lt;$Q$1266,INDEX(Surface_Engine!$D$12:$D$72,$A1273+1)+(Surface_Engine!B248*12)*INDEX(Surface_Engine!$F$12:$F$72,$A1273+1)-(Surface_Engine!B248*12),1000*12*INDEX(Surface_Engine!$C$12:$C$72,$A1273+1)/(1+Assumptions!$B$10)^3+INDEX(Surface_Engine!$D$12:$D$72,$A1273+1)))*INDEX(Surface_Engine!$B$12:$B$72,$A1273+1)+H1274</f>
        <v>116093.877790067</v>
      </c>
      <c r="I1273" s="48" t="n">
        <f aca="false">E1273*(IF($A1273&lt;$Q$1266,INDEX(Surface_Engine!$D$12:$D$72,$A1273+1)+(Surface_Engine!B248*12)*INDEX(Surface_Engine!$F$12:$F$72,$A1273+1)-(Surface_Engine!B248*12),1000*12*INDEX(Surface_Engine!$C$12:$C$72,$A1273+1)/(1+Assumptions!$B$10)^3+INDEX(Surface_Engine!$D$12:$D$72,$A1273+1)))*INDEX(Surface_Engine!$B$12:$B$72,$A1273+1)+I1274</f>
        <v>125509.984173573</v>
      </c>
      <c r="J1273" s="48" t="n">
        <f aca="false">B1273*(IF($A1273&lt;$Q$1266,INDEX(Surface_Engine!$D$12:$D$72,$A1273+1)*(1+Assumptions!$B$24)+(Surface_Engine!B248*12)*INDEX(Surface_Engine!$F$12:$F$72,$A1273+1)-(Surface_Engine!B248*12),1000*12*INDEX(Surface_Engine!$C$12:$C$72,$A1273+1)/(1+Assumptions!$B$10)^3+INDEX(Surface_Engine!$D$12:$D$72,$A1273+1)*(1+Assumptions!$B$24)))*INDEX(Surface_Engine!$B$12:$B$72,$A1273+1)+J1274</f>
        <v>120839.881645658</v>
      </c>
      <c r="K1273" s="12" t="n">
        <f aca="false">SQRT((IF(C1273&lt;=0,0,MAX(0,(B1273/C1273)*G1273/INDEX(Surface_Engine!$B$12:$B$72,$A1273+1)-F1273/INDEX(Surface_Engine!$B$12:$B$72,$A1273+1))))^2+(MAX(IF(D1273&lt;=0,0,MAX(0,(B1273/D1273)*H1273/INDEX(Surface_Engine!$B$12:$B$72,$A1273+1)-F1273/INDEX(Surface_Engine!$B$12:$B$72,$A1273+1))),IF(E1273&lt;=0,0,MAX(0,(B1273/E1273)*I1273/INDEX(Surface_Engine!$B$12:$B$72,$A1273+1)-F1273/INDEX(Surface_Engine!$B$12:$B$72,$A1273+1))),IF($A1273&lt;$Q$1266,MAX(0,-Assumptions!$B$22*(F1273/INDEX(Surface_Engine!$B$12:$B$72,$A1273+1))),0)))^2+(MAX(0,J1273/INDEX(Surface_Engine!$B$12:$B$72,$A1273+1)-(F1273/INDEX(Surface_Engine!$B$12:$B$72,$A1273+1))))^2+2*Assumptions!$B$26*(IF(C1273&lt;=0,0,MAX(0,(B1273/C1273)*G1273/INDEX(Surface_Engine!$B$12:$B$72,$A1273+1)-F1273/INDEX(Surface_Engine!$B$12:$B$72,$A1273+1))))*(MAX(IF(D1273&lt;=0,0,MAX(0,(B1273/D1273)*H1273/INDEX(Surface_Engine!$B$12:$B$72,$A1273+1)-F1273/INDEX(Surface_Engine!$B$12:$B$72,$A1273+1))),IF(E1273&lt;=0,0,MAX(0,(B1273/E1273)*I1273/INDEX(Surface_Engine!$B$12:$B$72,$A1273+1)-F1273/INDEX(Surface_Engine!$B$12:$B$72,$A1273+1))),IF($A1273&lt;$Q$1266,MAX(0,-Assumptions!$B$22*(F1273/INDEX(Surface_Engine!$B$12:$B$72,$A1273+1))),0)))+2*Assumptions!$B$27*(IF(C1273&lt;=0,0,MAX(0,(B1273/C1273)*G1273/INDEX(Surface_Engine!$B$12:$B$72,$A1273+1)-F1273/INDEX(Surface_Engine!$B$12:$B$72,$A1273+1))))*(MAX(0,J1273/INDEX(Surface_Engine!$B$12:$B$72,$A1273+1)-(F1273/INDEX(Surface_Engine!$B$12:$B$72,$A1273+1))))+2*Assumptions!$B$28*(MAX(IF(D1273&lt;=0,0,MAX(0,(B1273/D1273)*H1273/INDEX(Surface_Engine!$B$12:$B$72,$A1273+1)-F1273/INDEX(Surface_Engine!$B$12:$B$72,$A1273+1))),IF(E1273&lt;=0,0,MAX(0,(B1273/E1273)*I1273/INDEX(Surface_Engine!$B$12:$B$72,$A1273+1)-F1273/INDEX(Surface_Engine!$B$12:$B$72,$A1273+1))),IF($A1273&lt;$Q$1266,MAX(0,-Assumptions!$B$22*(F1273/INDEX(Surface_Engine!$B$12:$B$72,$A1273+1))),0)))*(MAX(0,J1273/INDEX(Surface_Engine!$B$12:$B$72,$A1273+1)-(F1273/INDEX(Surface_Engine!$B$12:$B$72,$A1273+1)))))</f>
        <v>13746.9792436172</v>
      </c>
      <c r="L1273" s="48" t="n">
        <f aca="false">K1273*INDEX(Surface_Engine!$B$12:$B$72,$A1273+1)+L1274</f>
        <v>135053.492366265</v>
      </c>
      <c r="M1273" s="48" t="n">
        <f aca="false">M1272+B1272*(IF($A1272&lt;$Q$1266,(Surface_Engine!B248*12)-(Surface_Engine!B248*12)*INDEX(Surface_Engine!$F$12:$F$72,$A1272+1)-INDEX(Surface_Engine!$D$12:$D$72,$A1272+1),-(1000*12*INDEX(Surface_Engine!$C$12:$C$72,$A1272+1)/(1+Assumptions!$B$10)^3+INDEX(Surface_Engine!$D$12:$D$72,$A1272+1))))*INDEX(Surface_Engine!$B$12:$B$72,$A1272+1)</f>
        <v>128024.493268444</v>
      </c>
      <c r="N1273" s="12" t="n">
        <f aca="false">IF(B1273&lt;=0,0,MAX(0,(K1273+Assumptions!$B$29*L1273/INDEX(Surface_Engine!$B$12:$B$72,$A1273+1)-(M1273/INDEX(Surface_Engine!$B$12:$B$72,$A1273+1)-(F1273/INDEX(Surface_Engine!$B$12:$B$72,$A1273+1))))/B1273))</f>
        <v>17094.2066410183</v>
      </c>
    </row>
    <row r="1274" customFormat="false" ht="15" hidden="false" customHeight="true" outlineLevel="0" collapsed="false">
      <c r="A1274" s="1" t="n">
        <v>6</v>
      </c>
      <c r="B1274" s="32" t="n">
        <f aca="false">INDEX(Surface_Engine!$S$12:$S$72,$A1274+1)*IF($A1274&lt;$Q$1266,INDEX(Surface_Engine!$E$12:$E$72,$A1274+1),INDEX(Surface_Engine!$E$12:$E$72,$Q$1266+1))</f>
        <v>0.841566037252303</v>
      </c>
      <c r="C1274" s="32" t="n">
        <f aca="false">INDEX(Panel_Reserving!$G$8:$G$68,$A1274+1)*IF($A1274&lt;$Q$1266,INDEX(Surface_Engine!$E$12:$E$72,$A1274+1),INDEX(Surface_Engine!$E$12:$E$72,$Q$1266+1))</f>
        <v>0.857940623696015</v>
      </c>
      <c r="D1274" s="32" t="n">
        <f aca="false">INDEX(Surface_Engine!$S$12:$S$72,$A1274+1)*IF($A1274&lt;$Q$1266,INDEX(Surface_Engine!$Y$12:$Y$72,$A1274+1),INDEX(Surface_Engine!$Y$12:$Y$72,$Q$1266+1))</f>
        <v>0.809132987314379</v>
      </c>
      <c r="E1274" s="32" t="n">
        <f aca="false">INDEX(Surface_Engine!$S$12:$S$72,$A1274+1)*IF($A1274&lt;$Q$1266,INDEX(Surface_Engine!$Z$12:$Z$72,$A1274+1),INDEX(Surface_Engine!$Z$12:$Z$72,$Q$1266+1))</f>
        <v>0.874759895743892</v>
      </c>
      <c r="F1274" s="48" t="n">
        <f aca="false">B1274*(IF($A1274&lt;$Q$1266,INDEX(Surface_Engine!$D$12:$D$72,$A1274+1)+(Surface_Engine!B248*12)*INDEX(Surface_Engine!$F$12:$F$72,$A1274+1)-(Surface_Engine!B248*12),1000*12*INDEX(Surface_Engine!$C$12:$C$72,$A1274+1)/(1+Assumptions!$B$10)^3+INDEX(Surface_Engine!$D$12:$D$72,$A1274+1)))*INDEX(Surface_Engine!$B$12:$B$72,$A1274+1)+F1275</f>
        <v>111272.916894019</v>
      </c>
      <c r="G1274" s="48" t="n">
        <f aca="false">C1274*(IF($A1274&lt;$Q$1266,INDEX(Surface_Engine!$D$12:$D$72,$A1274+1)+(Surface_Engine!B248*12)*INDEX(Surface_Engine!$F$12:$F$72,$A1274+1)-(Surface_Engine!B248*12),1000*12*INDEX(Surface_Engine!$C$12:$C$72,$A1274+1)/(1+Assumptions!$B$10)^3+INDEX(Surface_Engine!$D$12:$D$72,$A1274+1)))*INDEX(Surface_Engine!$B$12:$B$72,$A1274+1)+G1275</f>
        <v>125171.172188314</v>
      </c>
      <c r="H1274" s="48" t="n">
        <f aca="false">D1274*(IF($A1274&lt;$Q$1266,INDEX(Surface_Engine!$D$12:$D$72,$A1274+1)+(Surface_Engine!B248*12)*INDEX(Surface_Engine!$F$12:$F$72,$A1274+1)-(Surface_Engine!B248*12),1000*12*INDEX(Surface_Engine!$C$12:$C$72,$A1274+1)/(1+Assumptions!$B$10)^3+INDEX(Surface_Engine!$D$12:$D$72,$A1274+1)))*INDEX(Surface_Engine!$B$12:$B$72,$A1274+1)+H1275</f>
        <v>106984.578355376</v>
      </c>
      <c r="I1274" s="48" t="n">
        <f aca="false">E1274*(IF($A1274&lt;$Q$1266,INDEX(Surface_Engine!$D$12:$D$72,$A1274+1)+(Surface_Engine!B248*12)*INDEX(Surface_Engine!$F$12:$F$72,$A1274+1)-(Surface_Engine!B248*12),1000*12*INDEX(Surface_Engine!$C$12:$C$72,$A1274+1)/(1+Assumptions!$B$10)^3+INDEX(Surface_Engine!$D$12:$D$72,$A1274+1)))*INDEX(Surface_Engine!$B$12:$B$72,$A1274+1)+I1275</f>
        <v>115661.850493794</v>
      </c>
      <c r="J1274" s="48" t="n">
        <f aca="false">B1274*(IF($A1274&lt;$Q$1266,INDEX(Surface_Engine!$D$12:$D$72,$A1274+1)*(1+Assumptions!$B$24)+(Surface_Engine!B248*12)*INDEX(Surface_Engine!$F$12:$F$72,$A1274+1)-(Surface_Engine!B248*12),1000*12*INDEX(Surface_Engine!$C$12:$C$72,$A1274+1)/(1+Assumptions!$B$10)^3+INDEX(Surface_Engine!$D$12:$D$72,$A1274+1)*(1+Assumptions!$B$24)))*INDEX(Surface_Engine!$B$12:$B$72,$A1274+1)+J1275</f>
        <v>111358.459128209</v>
      </c>
      <c r="K1274" s="12" t="n">
        <f aca="false">SQRT((IF(C1274&lt;=0,0,MAX(0,(B1274/C1274)*G1274/INDEX(Surface_Engine!$B$12:$B$72,$A1274+1)-F1274/INDEX(Surface_Engine!$B$12:$B$72,$A1274+1))))^2+(MAX(IF(D1274&lt;=0,0,MAX(0,(B1274/D1274)*H1274/INDEX(Surface_Engine!$B$12:$B$72,$A1274+1)-F1274/INDEX(Surface_Engine!$B$12:$B$72,$A1274+1))),IF(E1274&lt;=0,0,MAX(0,(B1274/E1274)*I1274/INDEX(Surface_Engine!$B$12:$B$72,$A1274+1)-F1274/INDEX(Surface_Engine!$B$12:$B$72,$A1274+1))),IF($A1274&lt;$Q$1266,MAX(0,-Assumptions!$B$22*(F1274/INDEX(Surface_Engine!$B$12:$B$72,$A1274+1))),0)))^2+(MAX(0,J1274/INDEX(Surface_Engine!$B$12:$B$72,$A1274+1)-(F1274/INDEX(Surface_Engine!$B$12:$B$72,$A1274+1))))^2+2*Assumptions!$B$26*(IF(C1274&lt;=0,0,MAX(0,(B1274/C1274)*G1274/INDEX(Surface_Engine!$B$12:$B$72,$A1274+1)-F1274/INDEX(Surface_Engine!$B$12:$B$72,$A1274+1))))*(MAX(IF(D1274&lt;=0,0,MAX(0,(B1274/D1274)*H1274/INDEX(Surface_Engine!$B$12:$B$72,$A1274+1)-F1274/INDEX(Surface_Engine!$B$12:$B$72,$A1274+1))),IF(E1274&lt;=0,0,MAX(0,(B1274/E1274)*I1274/INDEX(Surface_Engine!$B$12:$B$72,$A1274+1)-F1274/INDEX(Surface_Engine!$B$12:$B$72,$A1274+1))),IF($A1274&lt;$Q$1266,MAX(0,-Assumptions!$B$22*(F1274/INDEX(Surface_Engine!$B$12:$B$72,$A1274+1))),0)))+2*Assumptions!$B$27*(IF(C1274&lt;=0,0,MAX(0,(B1274/C1274)*G1274/INDEX(Surface_Engine!$B$12:$B$72,$A1274+1)-F1274/INDEX(Surface_Engine!$B$12:$B$72,$A1274+1))))*(MAX(0,J1274/INDEX(Surface_Engine!$B$12:$B$72,$A1274+1)-(F1274/INDEX(Surface_Engine!$B$12:$B$72,$A1274+1))))+2*Assumptions!$B$28*(MAX(IF(D1274&lt;=0,0,MAX(0,(B1274/D1274)*H1274/INDEX(Surface_Engine!$B$12:$B$72,$A1274+1)-F1274/INDEX(Surface_Engine!$B$12:$B$72,$A1274+1))),IF(E1274&lt;=0,0,MAX(0,(B1274/E1274)*I1274/INDEX(Surface_Engine!$B$12:$B$72,$A1274+1)-F1274/INDEX(Surface_Engine!$B$12:$B$72,$A1274+1))),IF($A1274&lt;$Q$1266,MAX(0,-Assumptions!$B$22*(F1274/INDEX(Surface_Engine!$B$12:$B$72,$A1274+1))),0)))*(MAX(0,J1274/INDEX(Surface_Engine!$B$12:$B$72,$A1274+1)-(F1274/INDEX(Surface_Engine!$B$12:$B$72,$A1274+1)))))</f>
        <v>13534.408404181</v>
      </c>
      <c r="L1274" s="48" t="n">
        <f aca="false">K1274*INDEX(Surface_Engine!$B$12:$B$72,$A1274+1)+L1275</f>
        <v>123002.838370825</v>
      </c>
      <c r="M1274" s="48" t="n">
        <f aca="false">M1273+B1273*(IF($A1273&lt;$Q$1266,(Surface_Engine!B248*12)-(Surface_Engine!B248*12)*INDEX(Surface_Engine!$F$12:$F$72,$A1273+1)-INDEX(Surface_Engine!$D$12:$D$72,$A1273+1),-(1000*12*INDEX(Surface_Engine!$C$12:$C$72,$A1273+1)/(1+Assumptions!$B$10)^3+INDEX(Surface_Engine!$D$12:$D$72,$A1273+1))))*INDEX(Surface_Engine!$B$12:$B$72,$A1273+1)</f>
        <v>118550.059340292</v>
      </c>
      <c r="N1274" s="12" t="n">
        <f aca="false">IF(B1274&lt;=0,0,MAX(0,(K1274+Assumptions!$B$29*L1274/INDEX(Surface_Engine!$B$12:$B$72,$A1274+1)-(M1274/INDEX(Surface_Engine!$B$12:$B$72,$A1274+1)-(F1274/INDEX(Surface_Engine!$B$12:$B$72,$A1274+1))))/B1274))</f>
        <v>16226.1029405681</v>
      </c>
    </row>
    <row r="1275" customFormat="false" ht="15" hidden="false" customHeight="true" outlineLevel="0" collapsed="false">
      <c r="A1275" s="1" t="n">
        <v>7</v>
      </c>
      <c r="B1275" s="32" t="n">
        <f aca="false">INDEX(Surface_Engine!$S$12:$S$72,$A1275+1)*IF($A1275&lt;$Q$1266,INDEX(Surface_Engine!$E$12:$E$72,$A1275+1),INDEX(Surface_Engine!$E$12:$E$72,$Q$1266+1))</f>
        <v>0.822102112511388</v>
      </c>
      <c r="C1275" s="32" t="n">
        <f aca="false">INDEX(Panel_Reserving!$G$8:$G$68,$A1275+1)*IF($A1275&lt;$Q$1266,INDEX(Surface_Engine!$E$12:$E$72,$A1275+1),INDEX(Surface_Engine!$E$12:$E$72,$Q$1266+1))</f>
        <v>0.842066511868676</v>
      </c>
      <c r="D1275" s="32" t="n">
        <f aca="false">INDEX(Surface_Engine!$S$12:$S$72,$A1275+1)*IF($A1275&lt;$Q$1266,INDEX(Surface_Engine!$Y$12:$Y$72,$A1275+1),INDEX(Surface_Engine!$Y$12:$Y$72,$Q$1266+1))</f>
        <v>0.790419181298754</v>
      </c>
      <c r="E1275" s="32" t="n">
        <f aca="false">INDEX(Surface_Engine!$S$12:$S$72,$A1275+1)*IF($A1275&lt;$Q$1266,INDEX(Surface_Engine!$Z$12:$Z$72,$A1275+1),INDEX(Surface_Engine!$Z$12:$Z$72,$Q$1266+1))</f>
        <v>0.854528256129823</v>
      </c>
      <c r="F1275" s="48" t="n">
        <f aca="false">B1275*(IF($A1275&lt;$Q$1266,INDEX(Surface_Engine!$D$12:$D$72,$A1275+1)+(Surface_Engine!B248*12)*INDEX(Surface_Engine!$F$12:$F$72,$A1275+1)-(Surface_Engine!B248*12),1000*12*INDEX(Surface_Engine!$C$12:$C$72,$A1275+1)/(1+Assumptions!$B$10)^3+INDEX(Surface_Engine!$D$12:$D$72,$A1275+1)))*INDEX(Surface_Engine!$B$12:$B$72,$A1275+1)+F1276</f>
        <v>102074.224111972</v>
      </c>
      <c r="G1275" s="48" t="n">
        <f aca="false">C1275*(IF($A1275&lt;$Q$1266,INDEX(Surface_Engine!$D$12:$D$72,$A1275+1)+(Surface_Engine!B248*12)*INDEX(Surface_Engine!$F$12:$F$72,$A1275+1)-(Surface_Engine!B248*12),1000*12*INDEX(Surface_Engine!$C$12:$C$72,$A1275+1)/(1+Assumptions!$B$10)^3+INDEX(Surface_Engine!$D$12:$D$72,$A1275+1)))*INDEX(Surface_Engine!$B$12:$B$72,$A1275+1)+G1276</f>
        <v>115793.4978606</v>
      </c>
      <c r="H1275" s="48" t="n">
        <f aca="false">D1275*(IF($A1275&lt;$Q$1266,INDEX(Surface_Engine!$D$12:$D$72,$A1275+1)+(Surface_Engine!B248*12)*INDEX(Surface_Engine!$F$12:$F$72,$A1275+1)-(Surface_Engine!B248*12),1000*12*INDEX(Surface_Engine!$C$12:$C$72,$A1275+1)/(1+Assumptions!$B$10)^3+INDEX(Surface_Engine!$D$12:$D$72,$A1275+1)))*INDEX(Surface_Engine!$B$12:$B$72,$A1275+1)+H1276</f>
        <v>98140.3932995886</v>
      </c>
      <c r="I1275" s="48" t="n">
        <f aca="false">E1275*(IF($A1275&lt;$Q$1266,INDEX(Surface_Engine!$D$12:$D$72,$A1275+1)+(Surface_Engine!B248*12)*INDEX(Surface_Engine!$F$12:$F$72,$A1275+1)-(Surface_Engine!B248*12),1000*12*INDEX(Surface_Engine!$C$12:$C$72,$A1275+1)/(1+Assumptions!$B$10)^3+INDEX(Surface_Engine!$D$12:$D$72,$A1275+1)))*INDEX(Surface_Engine!$B$12:$B$72,$A1275+1)+I1276</f>
        <v>106100.334008082</v>
      </c>
      <c r="J1275" s="48" t="n">
        <f aca="false">B1275*(IF($A1275&lt;$Q$1266,INDEX(Surface_Engine!$D$12:$D$72,$A1275+1)*(1+Assumptions!$B$24)+(Surface_Engine!B248*12)*INDEX(Surface_Engine!$F$12:$F$72,$A1275+1)-(Surface_Engine!B248*12),1000*12*INDEX(Surface_Engine!$C$12:$C$72,$A1275+1)/(1+Assumptions!$B$10)^3+INDEX(Surface_Engine!$D$12:$D$72,$A1275+1)*(1+Assumptions!$B$24)))*INDEX(Surface_Engine!$B$12:$B$72,$A1275+1)+J1276</f>
        <v>102152.94813649</v>
      </c>
      <c r="K1275" s="12" t="n">
        <f aca="false">SQRT((IF(C1275&lt;=0,0,MAX(0,(B1275/C1275)*G1275/INDEX(Surface_Engine!$B$12:$B$72,$A1275+1)-F1275/INDEX(Surface_Engine!$B$12:$B$72,$A1275+1))))^2+(MAX(IF(D1275&lt;=0,0,MAX(0,(B1275/D1275)*H1275/INDEX(Surface_Engine!$B$12:$B$72,$A1275+1)-F1275/INDEX(Surface_Engine!$B$12:$B$72,$A1275+1))),IF(E1275&lt;=0,0,MAX(0,(B1275/E1275)*I1275/INDEX(Surface_Engine!$B$12:$B$72,$A1275+1)-F1275/INDEX(Surface_Engine!$B$12:$B$72,$A1275+1))),IF($A1275&lt;$Q$1266,MAX(0,-Assumptions!$B$22*(F1275/INDEX(Surface_Engine!$B$12:$B$72,$A1275+1))),0)))^2+(MAX(0,J1275/INDEX(Surface_Engine!$B$12:$B$72,$A1275+1)-(F1275/INDEX(Surface_Engine!$B$12:$B$72,$A1275+1))))^2+2*Assumptions!$B$26*(IF(C1275&lt;=0,0,MAX(0,(B1275/C1275)*G1275/INDEX(Surface_Engine!$B$12:$B$72,$A1275+1)-F1275/INDEX(Surface_Engine!$B$12:$B$72,$A1275+1))))*(MAX(IF(D1275&lt;=0,0,MAX(0,(B1275/D1275)*H1275/INDEX(Surface_Engine!$B$12:$B$72,$A1275+1)-F1275/INDEX(Surface_Engine!$B$12:$B$72,$A1275+1))),IF(E1275&lt;=0,0,MAX(0,(B1275/E1275)*I1275/INDEX(Surface_Engine!$B$12:$B$72,$A1275+1)-F1275/INDEX(Surface_Engine!$B$12:$B$72,$A1275+1))),IF($A1275&lt;$Q$1266,MAX(0,-Assumptions!$B$22*(F1275/INDEX(Surface_Engine!$B$12:$B$72,$A1275+1))),0)))+2*Assumptions!$B$27*(IF(C1275&lt;=0,0,MAX(0,(B1275/C1275)*G1275/INDEX(Surface_Engine!$B$12:$B$72,$A1275+1)-F1275/INDEX(Surface_Engine!$B$12:$B$72,$A1275+1))))*(MAX(0,J1275/INDEX(Surface_Engine!$B$12:$B$72,$A1275+1)-(F1275/INDEX(Surface_Engine!$B$12:$B$72,$A1275+1))))+2*Assumptions!$B$28*(MAX(IF(D1275&lt;=0,0,MAX(0,(B1275/D1275)*H1275/INDEX(Surface_Engine!$B$12:$B$72,$A1275+1)-F1275/INDEX(Surface_Engine!$B$12:$B$72,$A1275+1))),IF(E1275&lt;=0,0,MAX(0,(B1275/E1275)*I1275/INDEX(Surface_Engine!$B$12:$B$72,$A1275+1)-F1275/INDEX(Surface_Engine!$B$12:$B$72,$A1275+1))),IF($A1275&lt;$Q$1266,MAX(0,-Assumptions!$B$22*(F1275/INDEX(Surface_Engine!$B$12:$B$72,$A1275+1))),0)))*(MAX(0,J1275/INDEX(Surface_Engine!$B$12:$B$72,$A1275+1)-(F1275/INDEX(Surface_Engine!$B$12:$B$72,$A1275+1)))))</f>
        <v>13293.0394649926</v>
      </c>
      <c r="L1275" s="48" t="n">
        <f aca="false">K1275*INDEX(Surface_Engine!$B$12:$B$72,$A1275+1)+L1276</f>
        <v>111471.90707522</v>
      </c>
      <c r="M1275" s="48" t="n">
        <f aca="false">M1274+B1274*(IF($A1274&lt;$Q$1266,(Surface_Engine!B248*12)-(Surface_Engine!B248*12)*INDEX(Surface_Engine!$F$12:$F$72,$A1274+1)-INDEX(Surface_Engine!$D$12:$D$72,$A1274+1),-(1000*12*INDEX(Surface_Engine!$C$12:$C$72,$A1274+1)/(1+Assumptions!$B$10)^3+INDEX(Surface_Engine!$D$12:$D$72,$A1274+1))))*INDEX(Surface_Engine!$B$12:$B$72,$A1274+1)</f>
        <v>109351.366558245</v>
      </c>
      <c r="N1275" s="12" t="n">
        <f aca="false">IF(B1275&lt;=0,0,MAX(0,(K1275+Assumptions!$B$29*L1275/INDEX(Surface_Engine!$B$12:$B$72,$A1275+1)-(M1275/INDEX(Surface_Engine!$B$12:$B$72,$A1275+1)-(F1275/INDEX(Surface_Engine!$B$12:$B$72,$A1275+1))))/B1275))</f>
        <v>15303.5370513271</v>
      </c>
    </row>
    <row r="1276" customFormat="false" ht="15" hidden="false" customHeight="true" outlineLevel="0" collapsed="false">
      <c r="A1276" s="1" t="n">
        <v>8</v>
      </c>
      <c r="B1276" s="32" t="n">
        <f aca="false">INDEX(Surface_Engine!$S$12:$S$72,$A1276+1)*IF($A1276&lt;$Q$1266,INDEX(Surface_Engine!$E$12:$E$72,$A1276+1),INDEX(Surface_Engine!$E$12:$E$72,$Q$1266+1))</f>
        <v>0.800788842684747</v>
      </c>
      <c r="C1276" s="32" t="n">
        <f aca="false">INDEX(Panel_Reserving!$G$8:$G$68,$A1276+1)*IF($A1276&lt;$Q$1266,INDEX(Surface_Engine!$E$12:$E$72,$A1276+1),INDEX(Surface_Engine!$E$12:$E$72,$Q$1266+1))</f>
        <v>0.824601829069494</v>
      </c>
      <c r="D1276" s="32" t="n">
        <f aca="false">INDEX(Surface_Engine!$S$12:$S$72,$A1276+1)*IF($A1276&lt;$Q$1266,INDEX(Surface_Engine!$Y$12:$Y$72,$A1276+1),INDEX(Surface_Engine!$Y$12:$Y$72,$Q$1266+1))</f>
        <v>0.769927301967961</v>
      </c>
      <c r="E1276" s="32" t="n">
        <f aca="false">INDEX(Surface_Engine!$S$12:$S$72,$A1276+1)*IF($A1276&lt;$Q$1266,INDEX(Surface_Engine!$Z$12:$Z$72,$A1276+1),INDEX(Surface_Engine!$Z$12:$Z$72,$Q$1266+1))</f>
        <v>0.832374327779308</v>
      </c>
      <c r="F1276" s="48" t="n">
        <f aca="false">B1276*(IF($A1276&lt;$Q$1266,INDEX(Surface_Engine!$D$12:$D$72,$A1276+1)+(Surface_Engine!B248*12)*INDEX(Surface_Engine!$F$12:$F$72,$A1276+1)-(Surface_Engine!B248*12),1000*12*INDEX(Surface_Engine!$C$12:$C$72,$A1276+1)/(1+Assumptions!$B$10)^3+INDEX(Surface_Engine!$D$12:$D$72,$A1276+1)))*INDEX(Surface_Engine!$B$12:$B$72,$A1276+1)+F1277</f>
        <v>93176.443193592</v>
      </c>
      <c r="G1276" s="48" t="n">
        <f aca="false">C1276*(IF($A1276&lt;$Q$1266,INDEX(Surface_Engine!$D$12:$D$72,$A1276+1)+(Surface_Engine!B248*12)*INDEX(Surface_Engine!$F$12:$F$72,$A1276+1)-(Surface_Engine!B248*12),1000*12*INDEX(Surface_Engine!$C$12:$C$72,$A1276+1)/(1+Assumptions!$B$10)^3+INDEX(Surface_Engine!$D$12:$D$72,$A1276+1)))*INDEX(Surface_Engine!$B$12:$B$72,$A1276+1)+G1277</f>
        <v>106679.638125556</v>
      </c>
      <c r="H1276" s="48" t="n">
        <f aca="false">D1276*(IF($A1276&lt;$Q$1266,INDEX(Surface_Engine!$D$12:$D$72,$A1276+1)+(Surface_Engine!B248*12)*INDEX(Surface_Engine!$F$12:$F$72,$A1276+1)-(Surface_Engine!B248*12),1000*12*INDEX(Surface_Engine!$C$12:$C$72,$A1276+1)/(1+Assumptions!$B$10)^3+INDEX(Surface_Engine!$D$12:$D$72,$A1276+1)))*INDEX(Surface_Engine!$B$12:$B$72,$A1276+1)+H1277</f>
        <v>89585.5232878855</v>
      </c>
      <c r="I1276" s="48" t="n">
        <f aca="false">E1276*(IF($A1276&lt;$Q$1266,INDEX(Surface_Engine!$D$12:$D$72,$A1276+1)+(Surface_Engine!B248*12)*INDEX(Surface_Engine!$F$12:$F$72,$A1276+1)-(Surface_Engine!B248*12),1000*12*INDEX(Surface_Engine!$C$12:$C$72,$A1276+1)/(1+Assumptions!$B$10)^3+INDEX(Surface_Engine!$D$12:$D$72,$A1276+1)))*INDEX(Surface_Engine!$B$12:$B$72,$A1276+1)+I1277</f>
        <v>96851.5982416925</v>
      </c>
      <c r="J1276" s="48" t="n">
        <f aca="false">B1276*(IF($A1276&lt;$Q$1266,INDEX(Surface_Engine!$D$12:$D$72,$A1276+1)*(1+Assumptions!$B$24)+(Surface_Engine!B248*12)*INDEX(Surface_Engine!$F$12:$F$72,$A1276+1)-(Surface_Engine!B248*12),1000*12*INDEX(Surface_Engine!$C$12:$C$72,$A1276+1)/(1+Assumptions!$B$10)^3+INDEX(Surface_Engine!$D$12:$D$72,$A1276+1)*(1+Assumptions!$B$24)))*INDEX(Surface_Engine!$B$12:$B$72,$A1276+1)+J1277</f>
        <v>93248.5399603783</v>
      </c>
      <c r="K1276" s="12" t="n">
        <f aca="false">SQRT((IF(C1276&lt;=0,0,MAX(0,(B1276/C1276)*G1276/INDEX(Surface_Engine!$B$12:$B$72,$A1276+1)-F1276/INDEX(Surface_Engine!$B$12:$B$72,$A1276+1))))^2+(MAX(IF(D1276&lt;=0,0,MAX(0,(B1276/D1276)*H1276/INDEX(Surface_Engine!$B$12:$B$72,$A1276+1)-F1276/INDEX(Surface_Engine!$B$12:$B$72,$A1276+1))),IF(E1276&lt;=0,0,MAX(0,(B1276/E1276)*I1276/INDEX(Surface_Engine!$B$12:$B$72,$A1276+1)-F1276/INDEX(Surface_Engine!$B$12:$B$72,$A1276+1))),IF($A1276&lt;$Q$1266,MAX(0,-Assumptions!$B$22*(F1276/INDEX(Surface_Engine!$B$12:$B$72,$A1276+1))),0)))^2+(MAX(0,J1276/INDEX(Surface_Engine!$B$12:$B$72,$A1276+1)-(F1276/INDEX(Surface_Engine!$B$12:$B$72,$A1276+1))))^2+2*Assumptions!$B$26*(IF(C1276&lt;=0,0,MAX(0,(B1276/C1276)*G1276/INDEX(Surface_Engine!$B$12:$B$72,$A1276+1)-F1276/INDEX(Surface_Engine!$B$12:$B$72,$A1276+1))))*(MAX(IF(D1276&lt;=0,0,MAX(0,(B1276/D1276)*H1276/INDEX(Surface_Engine!$B$12:$B$72,$A1276+1)-F1276/INDEX(Surface_Engine!$B$12:$B$72,$A1276+1))),IF(E1276&lt;=0,0,MAX(0,(B1276/E1276)*I1276/INDEX(Surface_Engine!$B$12:$B$72,$A1276+1)-F1276/INDEX(Surface_Engine!$B$12:$B$72,$A1276+1))),IF($A1276&lt;$Q$1266,MAX(0,-Assumptions!$B$22*(F1276/INDEX(Surface_Engine!$B$12:$B$72,$A1276+1))),0)))+2*Assumptions!$B$27*(IF(C1276&lt;=0,0,MAX(0,(B1276/C1276)*G1276/INDEX(Surface_Engine!$B$12:$B$72,$A1276+1)-F1276/INDEX(Surface_Engine!$B$12:$B$72,$A1276+1))))*(MAX(0,J1276/INDEX(Surface_Engine!$B$12:$B$72,$A1276+1)-(F1276/INDEX(Surface_Engine!$B$12:$B$72,$A1276+1))))+2*Assumptions!$B$28*(MAX(IF(D1276&lt;=0,0,MAX(0,(B1276/D1276)*H1276/INDEX(Surface_Engine!$B$12:$B$72,$A1276+1)-F1276/INDEX(Surface_Engine!$B$12:$B$72,$A1276+1))),IF(E1276&lt;=0,0,MAX(0,(B1276/E1276)*I1276/INDEX(Surface_Engine!$B$12:$B$72,$A1276+1)-F1276/INDEX(Surface_Engine!$B$12:$B$72,$A1276+1))),IF($A1276&lt;$Q$1266,MAX(0,-Assumptions!$B$22*(F1276/INDEX(Surface_Engine!$B$12:$B$72,$A1276+1))),0)))*(MAX(0,J1276/INDEX(Surface_Engine!$B$12:$B$72,$A1276+1)-(F1276/INDEX(Surface_Engine!$B$12:$B$72,$A1276+1)))))</f>
        <v>13019.9291990527</v>
      </c>
      <c r="L1276" s="48" t="n">
        <f aca="false">K1276*INDEX(Surface_Engine!$B$12:$B$72,$A1276+1)+L1277</f>
        <v>100478.014721564</v>
      </c>
      <c r="M1276" s="48" t="n">
        <f aca="false">M1275+B1275*(IF($A1275&lt;$Q$1266,(Surface_Engine!B248*12)-(Surface_Engine!B248*12)*INDEX(Surface_Engine!$F$12:$F$72,$A1275+1)-INDEX(Surface_Engine!$D$12:$D$72,$A1275+1),-(1000*12*INDEX(Surface_Engine!$C$12:$C$72,$A1275+1)/(1+Assumptions!$B$10)^3+INDEX(Surface_Engine!$D$12:$D$72,$A1275+1))))*INDEX(Surface_Engine!$B$12:$B$72,$A1275+1)</f>
        <v>100453.585639865</v>
      </c>
      <c r="N1276" s="12" t="n">
        <f aca="false">IF(B1276&lt;=0,0,MAX(0,(K1276+Assumptions!$B$29*L1276/INDEX(Surface_Engine!$B$12:$B$72,$A1276+1)-(M1276/INDEX(Surface_Engine!$B$12:$B$72,$A1276+1)-(F1276/INDEX(Surface_Engine!$B$12:$B$72,$A1276+1))))/B1276))</f>
        <v>14314.7082691451</v>
      </c>
    </row>
    <row r="1277" customFormat="false" ht="15" hidden="false" customHeight="true" outlineLevel="0" collapsed="false">
      <c r="A1277" s="1" t="n">
        <v>9</v>
      </c>
      <c r="B1277" s="32" t="n">
        <f aca="false">INDEX(Surface_Engine!$S$12:$S$72,$A1277+1)*IF($A1277&lt;$Q$1266,INDEX(Surface_Engine!$E$12:$E$72,$A1277+1),INDEX(Surface_Engine!$E$12:$E$72,$Q$1266+1))</f>
        <v>0.776706175515662</v>
      </c>
      <c r="C1277" s="32" t="n">
        <f aca="false">INDEX(Panel_Reserving!$G$8:$G$68,$A1277+1)*IF($A1277&lt;$Q$1266,INDEX(Surface_Engine!$E$12:$E$72,$A1277+1),INDEX(Surface_Engine!$E$12:$E$72,$Q$1266+1))</f>
        <v>0.804762780033875</v>
      </c>
      <c r="D1277" s="32" t="n">
        <f aca="false">INDEX(Surface_Engine!$S$12:$S$72,$A1277+1)*IF($A1277&lt;$Q$1266,INDEX(Surface_Engine!$Y$12:$Y$72,$A1277+1),INDEX(Surface_Engine!$Y$12:$Y$72,$Q$1266+1))</f>
        <v>0.746772754889706</v>
      </c>
      <c r="E1277" s="32" t="n">
        <f aca="false">INDEX(Surface_Engine!$S$12:$S$72,$A1277+1)*IF($A1277&lt;$Q$1266,INDEX(Surface_Engine!$Z$12:$Z$72,$A1277+1),INDEX(Surface_Engine!$Z$12:$Z$72,$Q$1266+1))</f>
        <v>0.80734176884805</v>
      </c>
      <c r="F1277" s="48" t="n">
        <f aca="false">B1277*(IF($A1277&lt;$Q$1266,INDEX(Surface_Engine!$D$12:$D$72,$A1277+1)+(Surface_Engine!B248*12)*INDEX(Surface_Engine!$F$12:$F$72,$A1277+1)-(Surface_Engine!B248*12),1000*12*INDEX(Surface_Engine!$C$12:$C$72,$A1277+1)/(1+Assumptions!$B$10)^3+INDEX(Surface_Engine!$D$12:$D$72,$A1277+1)))*INDEX(Surface_Engine!$B$12:$B$72,$A1277+1)+F1278</f>
        <v>84604.3777642619</v>
      </c>
      <c r="G1277" s="48" t="n">
        <f aca="false">C1277*(IF($A1277&lt;$Q$1266,INDEX(Surface_Engine!$D$12:$D$72,$A1277+1)+(Surface_Engine!B248*12)*INDEX(Surface_Engine!$F$12:$F$72,$A1277+1)-(Surface_Engine!B248*12),1000*12*INDEX(Surface_Engine!$C$12:$C$72,$A1277+1)/(1+Assumptions!$B$10)^3+INDEX(Surface_Engine!$D$12:$D$72,$A1277+1)))*INDEX(Surface_Engine!$B$12:$B$72,$A1277+1)+G1278</f>
        <v>97852.6659511804</v>
      </c>
      <c r="H1277" s="48" t="n">
        <f aca="false">D1277*(IF($A1277&lt;$Q$1266,INDEX(Surface_Engine!$D$12:$D$72,$A1277+1)+(Surface_Engine!B248*12)*INDEX(Surface_Engine!$F$12:$F$72,$A1277+1)-(Surface_Engine!B248*12),1000*12*INDEX(Surface_Engine!$C$12:$C$72,$A1277+1)/(1+Assumptions!$B$10)^3+INDEX(Surface_Engine!$D$12:$D$72,$A1277+1)))*INDEX(Surface_Engine!$B$12:$B$72,$A1277+1)+H1278</f>
        <v>81343.8160406042</v>
      </c>
      <c r="I1277" s="48" t="n">
        <f aca="false">E1277*(IF($A1277&lt;$Q$1266,INDEX(Surface_Engine!$D$12:$D$72,$A1277+1)+(Surface_Engine!B248*12)*INDEX(Surface_Engine!$F$12:$F$72,$A1277+1)-(Surface_Engine!B248*12),1000*12*INDEX(Surface_Engine!$C$12:$C$72,$A1277+1)/(1+Assumptions!$B$10)^3+INDEX(Surface_Engine!$D$12:$D$72,$A1277+1)))*INDEX(Surface_Engine!$B$12:$B$72,$A1277+1)+I1278</f>
        <v>87941.4251484994</v>
      </c>
      <c r="J1277" s="48" t="n">
        <f aca="false">B1277*(IF($A1277&lt;$Q$1266,INDEX(Surface_Engine!$D$12:$D$72,$A1277+1)*(1+Assumptions!$B$24)+(Surface_Engine!B248*12)*INDEX(Surface_Engine!$F$12:$F$72,$A1277+1)-(Surface_Engine!B248*12),1000*12*INDEX(Surface_Engine!$C$12:$C$72,$A1277+1)/(1+Assumptions!$B$10)^3+INDEX(Surface_Engine!$D$12:$D$72,$A1277+1)*(1+Assumptions!$B$24)))*INDEX(Surface_Engine!$B$12:$B$72,$A1277+1)+J1278</f>
        <v>84670.0588100874</v>
      </c>
      <c r="K1277" s="12" t="n">
        <f aca="false">SQRT((IF(C1277&lt;=0,0,MAX(0,(B1277/C1277)*G1277/INDEX(Surface_Engine!$B$12:$B$72,$A1277+1)-F1277/INDEX(Surface_Engine!$B$12:$B$72,$A1277+1))))^2+(MAX(IF(D1277&lt;=0,0,MAX(0,(B1277/D1277)*H1277/INDEX(Surface_Engine!$B$12:$B$72,$A1277+1)-F1277/INDEX(Surface_Engine!$B$12:$B$72,$A1277+1))),IF(E1277&lt;=0,0,MAX(0,(B1277/E1277)*I1277/INDEX(Surface_Engine!$B$12:$B$72,$A1277+1)-F1277/INDEX(Surface_Engine!$B$12:$B$72,$A1277+1))),IF($A1277&lt;$Q$1266,MAX(0,-Assumptions!$B$22*(F1277/INDEX(Surface_Engine!$B$12:$B$72,$A1277+1))),0)))^2+(MAX(0,J1277/INDEX(Surface_Engine!$B$12:$B$72,$A1277+1)-(F1277/INDEX(Surface_Engine!$B$12:$B$72,$A1277+1))))^2+2*Assumptions!$B$26*(IF(C1277&lt;=0,0,MAX(0,(B1277/C1277)*G1277/INDEX(Surface_Engine!$B$12:$B$72,$A1277+1)-F1277/INDEX(Surface_Engine!$B$12:$B$72,$A1277+1))))*(MAX(IF(D1277&lt;=0,0,MAX(0,(B1277/D1277)*H1277/INDEX(Surface_Engine!$B$12:$B$72,$A1277+1)-F1277/INDEX(Surface_Engine!$B$12:$B$72,$A1277+1))),IF(E1277&lt;=0,0,MAX(0,(B1277/E1277)*I1277/INDEX(Surface_Engine!$B$12:$B$72,$A1277+1)-F1277/INDEX(Surface_Engine!$B$12:$B$72,$A1277+1))),IF($A1277&lt;$Q$1266,MAX(0,-Assumptions!$B$22*(F1277/INDEX(Surface_Engine!$B$12:$B$72,$A1277+1))),0)))+2*Assumptions!$B$27*(IF(C1277&lt;=0,0,MAX(0,(B1277/C1277)*G1277/INDEX(Surface_Engine!$B$12:$B$72,$A1277+1)-F1277/INDEX(Surface_Engine!$B$12:$B$72,$A1277+1))))*(MAX(0,J1277/INDEX(Surface_Engine!$B$12:$B$72,$A1277+1)-(F1277/INDEX(Surface_Engine!$B$12:$B$72,$A1277+1))))+2*Assumptions!$B$28*(MAX(IF(D1277&lt;=0,0,MAX(0,(B1277/D1277)*H1277/INDEX(Surface_Engine!$B$12:$B$72,$A1277+1)-F1277/INDEX(Surface_Engine!$B$12:$B$72,$A1277+1))),IF(E1277&lt;=0,0,MAX(0,(B1277/E1277)*I1277/INDEX(Surface_Engine!$B$12:$B$72,$A1277+1)-F1277/INDEX(Surface_Engine!$B$12:$B$72,$A1277+1))),IF($A1277&lt;$Q$1266,MAX(0,-Assumptions!$B$22*(F1277/INDEX(Surface_Engine!$B$12:$B$72,$A1277+1))),0)))*(MAX(0,J1277/INDEX(Surface_Engine!$B$12:$B$72,$A1277+1)-(F1277/INDEX(Surface_Engine!$B$12:$B$72,$A1277+1)))))</f>
        <v>12685.665852321</v>
      </c>
      <c r="L1277" s="48" t="n">
        <f aca="false">K1277*INDEX(Surface_Engine!$B$12:$B$72,$A1277+1)+L1278</f>
        <v>90037.2742516273</v>
      </c>
      <c r="M1277" s="48" t="n">
        <f aca="false">M1276+B1276*(IF($A1276&lt;$Q$1266,(Surface_Engine!B248*12)-(Surface_Engine!B248*12)*INDEX(Surface_Engine!$F$12:$F$72,$A1276+1)-INDEX(Surface_Engine!$D$12:$D$72,$A1276+1),-(1000*12*INDEX(Surface_Engine!$C$12:$C$72,$A1276+1)/(1+Assumptions!$B$10)^3+INDEX(Surface_Engine!$D$12:$D$72,$A1276+1))))*INDEX(Surface_Engine!$B$12:$B$72,$A1276+1)</f>
        <v>91881.5202105353</v>
      </c>
      <c r="N1277" s="12" t="n">
        <f aca="false">IF(B1277&lt;=0,0,MAX(0,(K1277+Assumptions!$B$29*L1277/INDEX(Surface_Engine!$B$12:$B$72,$A1277+1)-(M1277/INDEX(Surface_Engine!$B$12:$B$72,$A1277+1)-(F1277/INDEX(Surface_Engine!$B$12:$B$72,$A1277+1))))/B1277))</f>
        <v>13224.8850921006</v>
      </c>
    </row>
    <row r="1278" customFormat="false" ht="15" hidden="false" customHeight="true" outlineLevel="0" collapsed="false">
      <c r="A1278" s="1" t="n">
        <v>10</v>
      </c>
      <c r="B1278" s="32" t="n">
        <f aca="false">INDEX(Surface_Engine!$S$12:$S$72,$A1278+1)*IF($A1278&lt;$Q$1266,INDEX(Surface_Engine!$E$12:$E$72,$A1278+1),INDEX(Surface_Engine!$E$12:$E$72,$Q$1266+1))</f>
        <v>0.750491370568001</v>
      </c>
      <c r="C1278" s="32" t="n">
        <f aca="false">INDEX(Panel_Reserving!$G$8:$G$68,$A1278+1)*IF($A1278&lt;$Q$1266,INDEX(Surface_Engine!$E$12:$E$72,$A1278+1),INDEX(Surface_Engine!$E$12:$E$72,$Q$1266+1))</f>
        <v>0.783033379678618</v>
      </c>
      <c r="D1278" s="32" t="n">
        <f aca="false">INDEX(Surface_Engine!$S$12:$S$72,$A1278+1)*IF($A1278&lt;$Q$1266,INDEX(Surface_Engine!$Y$12:$Y$72,$A1278+1),INDEX(Surface_Engine!$Y$12:$Y$72,$Q$1266+1))</f>
        <v>0.721568240329661</v>
      </c>
      <c r="E1278" s="32" t="n">
        <f aca="false">INDEX(Surface_Engine!$S$12:$S$72,$A1278+1)*IF($A1278&lt;$Q$1266,INDEX(Surface_Engine!$Z$12:$Z$72,$A1278+1),INDEX(Surface_Engine!$Z$12:$Z$72,$Q$1266+1))</f>
        <v>0.780092974305635</v>
      </c>
      <c r="F1278" s="48" t="n">
        <f aca="false">B1278*(IF($A1278&lt;$Q$1266,INDEX(Surface_Engine!$D$12:$D$72,$A1278+1)+(Surface_Engine!B248*12)*INDEX(Surface_Engine!$F$12:$F$72,$A1278+1)-(Surface_Engine!B248*12),1000*12*INDEX(Surface_Engine!$C$12:$C$72,$A1278+1)/(1+Assumptions!$B$10)^3+INDEX(Surface_Engine!$D$12:$D$72,$A1278+1)))*INDEX(Surface_Engine!$B$12:$B$72,$A1278+1)+F1279</f>
        <v>76389.6533805007</v>
      </c>
      <c r="G1278" s="48" t="n">
        <f aca="false">C1278*(IF($A1278&lt;$Q$1266,INDEX(Surface_Engine!$D$12:$D$72,$A1278+1)+(Surface_Engine!B248*12)*INDEX(Surface_Engine!$F$12:$F$72,$A1278+1)-(Surface_Engine!B248*12),1000*12*INDEX(Surface_Engine!$C$12:$C$72,$A1278+1)/(1+Assumptions!$B$10)^3+INDEX(Surface_Engine!$D$12:$D$72,$A1278+1)))*INDEX(Surface_Engine!$B$12:$B$72,$A1278+1)+G1279</f>
        <v>89341.2048083631</v>
      </c>
      <c r="H1278" s="48" t="n">
        <f aca="false">D1278*(IF($A1278&lt;$Q$1266,INDEX(Surface_Engine!$D$12:$D$72,$A1278+1)+(Surface_Engine!B248*12)*INDEX(Surface_Engine!$F$12:$F$72,$A1278+1)-(Surface_Engine!B248*12),1000*12*INDEX(Surface_Engine!$C$12:$C$72,$A1278+1)/(1+Assumptions!$B$10)^3+INDEX(Surface_Engine!$D$12:$D$72,$A1278+1)))*INDEX(Surface_Engine!$B$12:$B$72,$A1278+1)+H1279</f>
        <v>73445.6782993299</v>
      </c>
      <c r="I1278" s="48" t="n">
        <f aca="false">E1278*(IF($A1278&lt;$Q$1266,INDEX(Surface_Engine!$D$12:$D$72,$A1278+1)+(Surface_Engine!B248*12)*INDEX(Surface_Engine!$F$12:$F$72,$A1278+1)-(Surface_Engine!B248*12),1000*12*INDEX(Surface_Engine!$C$12:$C$72,$A1278+1)/(1+Assumptions!$B$10)^3+INDEX(Surface_Engine!$D$12:$D$72,$A1278+1)))*INDEX(Surface_Engine!$B$12:$B$72,$A1278+1)+I1279</f>
        <v>79402.6876906932</v>
      </c>
      <c r="J1278" s="48" t="n">
        <f aca="false">B1278*(IF($A1278&lt;$Q$1266,INDEX(Surface_Engine!$D$12:$D$72,$A1278+1)*(1+Assumptions!$B$24)+(Surface_Engine!B248*12)*INDEX(Surface_Engine!$F$12:$F$72,$A1278+1)-(Surface_Engine!B248*12),1000*12*INDEX(Surface_Engine!$C$12:$C$72,$A1278+1)/(1+Assumptions!$B$10)^3+INDEX(Surface_Engine!$D$12:$D$72,$A1278+1)*(1+Assumptions!$B$24)))*INDEX(Surface_Engine!$B$12:$B$72,$A1278+1)+J1279</f>
        <v>76449.1562436306</v>
      </c>
      <c r="K1278" s="12" t="n">
        <f aca="false">SQRT((IF(C1278&lt;=0,0,MAX(0,(B1278/C1278)*G1278/INDEX(Surface_Engine!$B$12:$B$72,$A1278+1)-F1278/INDEX(Surface_Engine!$B$12:$B$72,$A1278+1))))^2+(MAX(IF(D1278&lt;=0,0,MAX(0,(B1278/D1278)*H1278/INDEX(Surface_Engine!$B$12:$B$72,$A1278+1)-F1278/INDEX(Surface_Engine!$B$12:$B$72,$A1278+1))),IF(E1278&lt;=0,0,MAX(0,(B1278/E1278)*I1278/INDEX(Surface_Engine!$B$12:$B$72,$A1278+1)-F1278/INDEX(Surface_Engine!$B$12:$B$72,$A1278+1))),IF($A1278&lt;$Q$1266,MAX(0,-Assumptions!$B$22*(F1278/INDEX(Surface_Engine!$B$12:$B$72,$A1278+1))),0)))^2+(MAX(0,J1278/INDEX(Surface_Engine!$B$12:$B$72,$A1278+1)-(F1278/INDEX(Surface_Engine!$B$12:$B$72,$A1278+1))))^2+2*Assumptions!$B$26*(IF(C1278&lt;=0,0,MAX(0,(B1278/C1278)*G1278/INDEX(Surface_Engine!$B$12:$B$72,$A1278+1)-F1278/INDEX(Surface_Engine!$B$12:$B$72,$A1278+1))))*(MAX(IF(D1278&lt;=0,0,MAX(0,(B1278/D1278)*H1278/INDEX(Surface_Engine!$B$12:$B$72,$A1278+1)-F1278/INDEX(Surface_Engine!$B$12:$B$72,$A1278+1))),IF(E1278&lt;=0,0,MAX(0,(B1278/E1278)*I1278/INDEX(Surface_Engine!$B$12:$B$72,$A1278+1)-F1278/INDEX(Surface_Engine!$B$12:$B$72,$A1278+1))),IF($A1278&lt;$Q$1266,MAX(0,-Assumptions!$B$22*(F1278/INDEX(Surface_Engine!$B$12:$B$72,$A1278+1))),0)))+2*Assumptions!$B$27*(IF(C1278&lt;=0,0,MAX(0,(B1278/C1278)*G1278/INDEX(Surface_Engine!$B$12:$B$72,$A1278+1)-F1278/INDEX(Surface_Engine!$B$12:$B$72,$A1278+1))))*(MAX(0,J1278/INDEX(Surface_Engine!$B$12:$B$72,$A1278+1)-(F1278/INDEX(Surface_Engine!$B$12:$B$72,$A1278+1))))+2*Assumptions!$B$28*(MAX(IF(D1278&lt;=0,0,MAX(0,(B1278/D1278)*H1278/INDEX(Surface_Engine!$B$12:$B$72,$A1278+1)-F1278/INDEX(Surface_Engine!$B$12:$B$72,$A1278+1))),IF(E1278&lt;=0,0,MAX(0,(B1278/E1278)*I1278/INDEX(Surface_Engine!$B$12:$B$72,$A1278+1)-F1278/INDEX(Surface_Engine!$B$12:$B$72,$A1278+1))),IF($A1278&lt;$Q$1266,MAX(0,-Assumptions!$B$22*(F1278/INDEX(Surface_Engine!$B$12:$B$72,$A1278+1))),0)))*(MAX(0,J1278/INDEX(Surface_Engine!$B$12:$B$72,$A1278+1)-(F1278/INDEX(Surface_Engine!$B$12:$B$72,$A1278+1)))))</f>
        <v>12329.1360521001</v>
      </c>
      <c r="L1278" s="48" t="n">
        <f aca="false">K1278*INDEX(Surface_Engine!$B$12:$B$72,$A1278+1)+L1279</f>
        <v>80183.8174883885</v>
      </c>
      <c r="M1278" s="48" t="n">
        <f aca="false">M1277+B1277*(IF($A1277&lt;$Q$1266,(Surface_Engine!B248*12)-(Surface_Engine!B248*12)*INDEX(Surface_Engine!$F$12:$F$72,$A1277+1)-INDEX(Surface_Engine!$D$12:$D$72,$A1277+1),-(1000*12*INDEX(Surface_Engine!$C$12:$C$72,$A1277+1)/(1+Assumptions!$B$10)^3+INDEX(Surface_Engine!$D$12:$D$72,$A1277+1))))*INDEX(Surface_Engine!$B$12:$B$72,$A1277+1)</f>
        <v>83666.795826774</v>
      </c>
      <c r="N1278" s="12" t="n">
        <f aca="false">IF(B1278&lt;=0,0,MAX(0,(K1278+Assumptions!$B$29*L1278/INDEX(Surface_Engine!$B$12:$B$72,$A1278+1)-(M1278/INDEX(Surface_Engine!$B$12:$B$72,$A1278+1)-(F1278/INDEX(Surface_Engine!$B$12:$B$72,$A1278+1))))/B1278))</f>
        <v>12049.9886046203</v>
      </c>
    </row>
    <row r="1279" customFormat="false" ht="15" hidden="false" customHeight="true" outlineLevel="0" collapsed="false">
      <c r="A1279" s="1" t="n">
        <v>11</v>
      </c>
      <c r="B1279" s="32" t="n">
        <f aca="false">INDEX(Surface_Engine!$S$12:$S$72,$A1279+1)*IF($A1279&lt;$Q$1266,INDEX(Surface_Engine!$E$12:$E$72,$A1279+1),INDEX(Surface_Engine!$E$12:$E$72,$Q$1266+1))</f>
        <v>0.722059196175077</v>
      </c>
      <c r="C1279" s="32" t="n">
        <f aca="false">INDEX(Panel_Reserving!$G$8:$G$68,$A1279+1)*IF($A1279&lt;$Q$1266,INDEX(Surface_Engine!$E$12:$E$72,$A1279+1),INDEX(Surface_Engine!$E$12:$E$72,$Q$1266+1))</f>
        <v>0.759301363583985</v>
      </c>
      <c r="D1279" s="32" t="n">
        <f aca="false">INDEX(Surface_Engine!$S$12:$S$72,$A1279+1)*IF($A1279&lt;$Q$1266,INDEX(Surface_Engine!$Y$12:$Y$72,$A1279+1),INDEX(Surface_Engine!$Y$12:$Y$72,$Q$1266+1))</f>
        <v>0.694231811357904</v>
      </c>
      <c r="E1279" s="32" t="n">
        <f aca="false">INDEX(Surface_Engine!$S$12:$S$72,$A1279+1)*IF($A1279&lt;$Q$1266,INDEX(Surface_Engine!$Z$12:$Z$72,$A1279+1),INDEX(Surface_Engine!$Z$12:$Z$72,$Q$1266+1))</f>
        <v>0.750539350695857</v>
      </c>
      <c r="F1279" s="48" t="n">
        <f aca="false">B1279*(IF($A1279&lt;$Q$1266,INDEX(Surface_Engine!$D$12:$D$72,$A1279+1)+(Surface_Engine!B248*12)*INDEX(Surface_Engine!$F$12:$F$72,$A1279+1)-(Surface_Engine!B248*12),1000*12*INDEX(Surface_Engine!$C$12:$C$72,$A1279+1)/(1+Assumptions!$B$10)^3+INDEX(Surface_Engine!$D$12:$D$72,$A1279+1)))*INDEX(Surface_Engine!$B$12:$B$72,$A1279+1)+F1280</f>
        <v>68566.086611891</v>
      </c>
      <c r="G1279" s="48" t="n">
        <f aca="false">C1279*(IF($A1279&lt;$Q$1266,INDEX(Surface_Engine!$D$12:$D$72,$A1279+1)+(Surface_Engine!B248*12)*INDEX(Surface_Engine!$F$12:$F$72,$A1279+1)-(Surface_Engine!B248*12),1000*12*INDEX(Surface_Engine!$C$12:$C$72,$A1279+1)/(1+Assumptions!$B$10)^3+INDEX(Surface_Engine!$D$12:$D$72,$A1279+1)))*INDEX(Surface_Engine!$B$12:$B$72,$A1279+1)+G1280</f>
        <v>81178.4008532299</v>
      </c>
      <c r="H1279" s="48" t="n">
        <f aca="false">D1279*(IF($A1279&lt;$Q$1266,INDEX(Surface_Engine!$D$12:$D$72,$A1279+1)+(Surface_Engine!B248*12)*INDEX(Surface_Engine!$F$12:$F$72,$A1279+1)-(Surface_Engine!B248*12),1000*12*INDEX(Surface_Engine!$C$12:$C$72,$A1279+1)/(1+Assumptions!$B$10)^3+INDEX(Surface_Engine!$D$12:$D$72,$A1279+1)))*INDEX(Surface_Engine!$B$12:$B$72,$A1279+1)+H1280</f>
        <v>65923.6233794249</v>
      </c>
      <c r="I1279" s="48" t="n">
        <f aca="false">E1279*(IF($A1279&lt;$Q$1266,INDEX(Surface_Engine!$D$12:$D$72,$A1279+1)+(Surface_Engine!B248*12)*INDEX(Surface_Engine!$F$12:$F$72,$A1279+1)-(Surface_Engine!B248*12),1000*12*INDEX(Surface_Engine!$C$12:$C$72,$A1279+1)/(1+Assumptions!$B$10)^3+INDEX(Surface_Engine!$D$12:$D$72,$A1279+1)))*INDEX(Surface_Engine!$B$12:$B$72,$A1279+1)+I1280</f>
        <v>71270.5362635763</v>
      </c>
      <c r="J1279" s="48" t="n">
        <f aca="false">B1279*(IF($A1279&lt;$Q$1266,INDEX(Surface_Engine!$D$12:$D$72,$A1279+1)*(1+Assumptions!$B$24)+(Surface_Engine!B248*12)*INDEX(Surface_Engine!$F$12:$F$72,$A1279+1)-(Surface_Engine!B248*12),1000*12*INDEX(Surface_Engine!$C$12:$C$72,$A1279+1)/(1+Assumptions!$B$10)^3+INDEX(Surface_Engine!$D$12:$D$72,$A1279+1)*(1+Assumptions!$B$24)))*INDEX(Surface_Engine!$B$12:$B$72,$A1279+1)+J1280</f>
        <v>68619.6768515091</v>
      </c>
      <c r="K1279" s="12" t="n">
        <f aca="false">SQRT((IF(C1279&lt;=0,0,MAX(0,(B1279/C1279)*G1279/INDEX(Surface_Engine!$B$12:$B$72,$A1279+1)-F1279/INDEX(Surface_Engine!$B$12:$B$72,$A1279+1))))^2+(MAX(IF(D1279&lt;=0,0,MAX(0,(B1279/D1279)*H1279/INDEX(Surface_Engine!$B$12:$B$72,$A1279+1)-F1279/INDEX(Surface_Engine!$B$12:$B$72,$A1279+1))),IF(E1279&lt;=0,0,MAX(0,(B1279/E1279)*I1279/INDEX(Surface_Engine!$B$12:$B$72,$A1279+1)-F1279/INDEX(Surface_Engine!$B$12:$B$72,$A1279+1))),IF($A1279&lt;$Q$1266,MAX(0,-Assumptions!$B$22*(F1279/INDEX(Surface_Engine!$B$12:$B$72,$A1279+1))),0)))^2+(MAX(0,J1279/INDEX(Surface_Engine!$B$12:$B$72,$A1279+1)-(F1279/INDEX(Surface_Engine!$B$12:$B$72,$A1279+1))))^2+2*Assumptions!$B$26*(IF(C1279&lt;=0,0,MAX(0,(B1279/C1279)*G1279/INDEX(Surface_Engine!$B$12:$B$72,$A1279+1)-F1279/INDEX(Surface_Engine!$B$12:$B$72,$A1279+1))))*(MAX(IF(D1279&lt;=0,0,MAX(0,(B1279/D1279)*H1279/INDEX(Surface_Engine!$B$12:$B$72,$A1279+1)-F1279/INDEX(Surface_Engine!$B$12:$B$72,$A1279+1))),IF(E1279&lt;=0,0,MAX(0,(B1279/E1279)*I1279/INDEX(Surface_Engine!$B$12:$B$72,$A1279+1)-F1279/INDEX(Surface_Engine!$B$12:$B$72,$A1279+1))),IF($A1279&lt;$Q$1266,MAX(0,-Assumptions!$B$22*(F1279/INDEX(Surface_Engine!$B$12:$B$72,$A1279+1))),0)))+2*Assumptions!$B$27*(IF(C1279&lt;=0,0,MAX(0,(B1279/C1279)*G1279/INDEX(Surface_Engine!$B$12:$B$72,$A1279+1)-F1279/INDEX(Surface_Engine!$B$12:$B$72,$A1279+1))))*(MAX(0,J1279/INDEX(Surface_Engine!$B$12:$B$72,$A1279+1)-(F1279/INDEX(Surface_Engine!$B$12:$B$72,$A1279+1))))+2*Assumptions!$B$28*(MAX(IF(D1279&lt;=0,0,MAX(0,(B1279/D1279)*H1279/INDEX(Surface_Engine!$B$12:$B$72,$A1279+1)-F1279/INDEX(Surface_Engine!$B$12:$B$72,$A1279+1))),IF(E1279&lt;=0,0,MAX(0,(B1279/E1279)*I1279/INDEX(Surface_Engine!$B$12:$B$72,$A1279+1)-F1279/INDEX(Surface_Engine!$B$12:$B$72,$A1279+1))),IF($A1279&lt;$Q$1266,MAX(0,-Assumptions!$B$22*(F1279/INDEX(Surface_Engine!$B$12:$B$72,$A1279+1))),0)))*(MAX(0,J1279/INDEX(Surface_Engine!$B$12:$B$72,$A1279+1)-(F1279/INDEX(Surface_Engine!$B$12:$B$72,$A1279+1)))))</f>
        <v>11890.462223495</v>
      </c>
      <c r="L1279" s="48" t="n">
        <f aca="false">K1279*INDEX(Surface_Engine!$B$12:$B$72,$A1279+1)+L1280</f>
        <v>70930.1335528439</v>
      </c>
      <c r="M1279" s="48" t="n">
        <f aca="false">M1278+B1278*(IF($A1278&lt;$Q$1266,(Surface_Engine!B248*12)-(Surface_Engine!B248*12)*INDEX(Surface_Engine!$F$12:$F$72,$A1278+1)-INDEX(Surface_Engine!$D$12:$D$72,$A1278+1),-(1000*12*INDEX(Surface_Engine!$C$12:$C$72,$A1278+1)/(1+Assumptions!$B$10)^3+INDEX(Surface_Engine!$D$12:$D$72,$A1278+1))))*INDEX(Surface_Engine!$B$12:$B$72,$A1278+1)</f>
        <v>75843.2290581643</v>
      </c>
      <c r="N1279" s="12" t="n">
        <f aca="false">IF(B1279&lt;=0,0,MAX(0,(K1279+Assumptions!$B$29*L1279/INDEX(Surface_Engine!$B$12:$B$72,$A1279+1)-(M1279/INDEX(Surface_Engine!$B$12:$B$72,$A1279+1)-(F1279/INDEX(Surface_Engine!$B$12:$B$72,$A1279+1))))/B1279))</f>
        <v>10711.7333226698</v>
      </c>
    </row>
    <row r="1280" customFormat="false" ht="15" hidden="false" customHeight="true" outlineLevel="0" collapsed="false">
      <c r="A1280" s="1" t="n">
        <v>12</v>
      </c>
      <c r="B1280" s="32" t="n">
        <f aca="false">INDEX(Surface_Engine!$S$12:$S$72,$A1280+1)*IF($A1280&lt;$Q$1266,INDEX(Surface_Engine!$E$12:$E$72,$A1280+1),INDEX(Surface_Engine!$E$12:$E$72,$Q$1266+1))</f>
        <v>0.691358742791409</v>
      </c>
      <c r="C1280" s="32" t="n">
        <f aca="false">INDEX(Panel_Reserving!$G$8:$G$68,$A1280+1)*IF($A1280&lt;$Q$1266,INDEX(Surface_Engine!$E$12:$E$72,$A1280+1),INDEX(Surface_Engine!$E$12:$E$72,$Q$1266+1))</f>
        <v>0.733474233353834</v>
      </c>
      <c r="D1280" s="32" t="n">
        <f aca="false">INDEX(Surface_Engine!$S$12:$S$72,$A1280+1)*IF($A1280&lt;$Q$1266,INDEX(Surface_Engine!$Y$12:$Y$72,$A1280+1),INDEX(Surface_Engine!$Y$12:$Y$72,$Q$1266+1))</f>
        <v>0.664714520428083</v>
      </c>
      <c r="E1280" s="32" t="n">
        <f aca="false">INDEX(Surface_Engine!$S$12:$S$72,$A1280+1)*IF($A1280&lt;$Q$1266,INDEX(Surface_Engine!$Z$12:$Z$72,$A1280+1),INDEX(Surface_Engine!$Z$12:$Z$72,$Q$1266+1))</f>
        <v>0.718627980449893</v>
      </c>
      <c r="F1280" s="48" t="n">
        <f aca="false">B1280*(IF($A1280&lt;$Q$1266,INDEX(Surface_Engine!$D$12:$D$72,$A1280+1)+(Surface_Engine!B248*12)*INDEX(Surface_Engine!$F$12:$F$72,$A1280+1)-(Surface_Engine!B248*12),1000*12*INDEX(Surface_Engine!$C$12:$C$72,$A1280+1)/(1+Assumptions!$B$10)^3+INDEX(Surface_Engine!$D$12:$D$72,$A1280+1)))*INDEX(Surface_Engine!$B$12:$B$72,$A1280+1)+F1281</f>
        <v>61129.1526208369</v>
      </c>
      <c r="G1280" s="48" t="n">
        <f aca="false">C1280*(IF($A1280&lt;$Q$1266,INDEX(Surface_Engine!$D$12:$D$72,$A1280+1)+(Surface_Engine!B248*12)*INDEX(Surface_Engine!$F$12:$F$72,$A1280+1)-(Surface_Engine!B248*12),1000*12*INDEX(Surface_Engine!$C$12:$C$72,$A1280+1)/(1+Assumptions!$B$10)^3+INDEX(Surface_Engine!$D$12:$D$72,$A1280+1)))*INDEX(Surface_Engine!$B$12:$B$72,$A1280+1)+G1281</f>
        <v>73357.8867593658</v>
      </c>
      <c r="H1280" s="48" t="n">
        <f aca="false">D1280*(IF($A1280&lt;$Q$1266,INDEX(Surface_Engine!$D$12:$D$72,$A1280+1)+(Surface_Engine!B248*12)*INDEX(Surface_Engine!$F$12:$F$72,$A1280+1)-(Surface_Engine!B248*12),1000*12*INDEX(Surface_Engine!$C$12:$C$72,$A1280+1)/(1+Assumptions!$B$10)^3+INDEX(Surface_Engine!$D$12:$D$72,$A1280+1)))*INDEX(Surface_Engine!$B$12:$B$72,$A1280+1)+H1281</f>
        <v>58773.3008256674</v>
      </c>
      <c r="I1280" s="48" t="n">
        <f aca="false">E1280*(IF($A1280&lt;$Q$1266,INDEX(Surface_Engine!$D$12:$D$72,$A1280+1)+(Surface_Engine!B248*12)*INDEX(Surface_Engine!$F$12:$F$72,$A1280+1)-(Surface_Engine!B248*12),1000*12*INDEX(Surface_Engine!$C$12:$C$72,$A1280+1)/(1+Assumptions!$B$10)^3+INDEX(Surface_Engine!$D$12:$D$72,$A1280+1)))*INDEX(Surface_Engine!$B$12:$B$72,$A1280+1)+I1281</f>
        <v>63540.2675565488</v>
      </c>
      <c r="J1280" s="48" t="n">
        <f aca="false">B1280*(IF($A1280&lt;$Q$1266,INDEX(Surface_Engine!$D$12:$D$72,$A1280+1)*(1+Assumptions!$B$24)+(Surface_Engine!B248*12)*INDEX(Surface_Engine!$F$12:$F$72,$A1280+1)-(Surface_Engine!B248*12),1000*12*INDEX(Surface_Engine!$C$12:$C$72,$A1280+1)/(1+Assumptions!$B$10)^3+INDEX(Surface_Engine!$D$12:$D$72,$A1280+1)*(1+Assumptions!$B$24)))*INDEX(Surface_Engine!$B$12:$B$72,$A1280+1)+J1281</f>
        <v>61177.0950909461</v>
      </c>
      <c r="K1280" s="12" t="n">
        <f aca="false">SQRT((IF(C1280&lt;=0,0,MAX(0,(B1280/C1280)*G1280/INDEX(Surface_Engine!$B$12:$B$72,$A1280+1)-F1280/INDEX(Surface_Engine!$B$12:$B$72,$A1280+1))))^2+(MAX(IF(D1280&lt;=0,0,MAX(0,(B1280/D1280)*H1280/INDEX(Surface_Engine!$B$12:$B$72,$A1280+1)-F1280/INDEX(Surface_Engine!$B$12:$B$72,$A1280+1))),IF(E1280&lt;=0,0,MAX(0,(B1280/E1280)*I1280/INDEX(Surface_Engine!$B$12:$B$72,$A1280+1)-F1280/INDEX(Surface_Engine!$B$12:$B$72,$A1280+1))),IF($A1280&lt;$Q$1266,MAX(0,-Assumptions!$B$22*(F1280/INDEX(Surface_Engine!$B$12:$B$72,$A1280+1))),0)))^2+(MAX(0,J1280/INDEX(Surface_Engine!$B$12:$B$72,$A1280+1)-(F1280/INDEX(Surface_Engine!$B$12:$B$72,$A1280+1))))^2+2*Assumptions!$B$26*(IF(C1280&lt;=0,0,MAX(0,(B1280/C1280)*G1280/INDEX(Surface_Engine!$B$12:$B$72,$A1280+1)-F1280/INDEX(Surface_Engine!$B$12:$B$72,$A1280+1))))*(MAX(IF(D1280&lt;=0,0,MAX(0,(B1280/D1280)*H1280/INDEX(Surface_Engine!$B$12:$B$72,$A1280+1)-F1280/INDEX(Surface_Engine!$B$12:$B$72,$A1280+1))),IF(E1280&lt;=0,0,MAX(0,(B1280/E1280)*I1280/INDEX(Surface_Engine!$B$12:$B$72,$A1280+1)-F1280/INDEX(Surface_Engine!$B$12:$B$72,$A1280+1))),IF($A1280&lt;$Q$1266,MAX(0,-Assumptions!$B$22*(F1280/INDEX(Surface_Engine!$B$12:$B$72,$A1280+1))),0)))+2*Assumptions!$B$27*(IF(C1280&lt;=0,0,MAX(0,(B1280/C1280)*G1280/INDEX(Surface_Engine!$B$12:$B$72,$A1280+1)-F1280/INDEX(Surface_Engine!$B$12:$B$72,$A1280+1))))*(MAX(0,J1280/INDEX(Surface_Engine!$B$12:$B$72,$A1280+1)-(F1280/INDEX(Surface_Engine!$B$12:$B$72,$A1280+1))))+2*Assumptions!$B$28*(MAX(IF(D1280&lt;=0,0,MAX(0,(B1280/D1280)*H1280/INDEX(Surface_Engine!$B$12:$B$72,$A1280+1)-F1280/INDEX(Surface_Engine!$B$12:$B$72,$A1280+1))),IF(E1280&lt;=0,0,MAX(0,(B1280/E1280)*I1280/INDEX(Surface_Engine!$B$12:$B$72,$A1280+1)-F1280/INDEX(Surface_Engine!$B$12:$B$72,$A1280+1))),IF($A1280&lt;$Q$1266,MAX(0,-Assumptions!$B$22*(F1280/INDEX(Surface_Engine!$B$12:$B$72,$A1280+1))),0)))*(MAX(0,J1280/INDEX(Surface_Engine!$B$12:$B$72,$A1280+1)-(F1280/INDEX(Surface_Engine!$B$12:$B$72,$A1280+1)))))</f>
        <v>11436.3477669001</v>
      </c>
      <c r="L1280" s="48" t="n">
        <f aca="false">K1280*INDEX(Surface_Engine!$B$12:$B$72,$A1280+1)+L1281</f>
        <v>62285.8993159911</v>
      </c>
      <c r="M1280" s="48" t="n">
        <f aca="false">M1279+B1279*(IF($A1279&lt;$Q$1266,(Surface_Engine!B248*12)-(Surface_Engine!B248*12)*INDEX(Surface_Engine!$F$12:$F$72,$A1279+1)-INDEX(Surface_Engine!$D$12:$D$72,$A1279+1),-(1000*12*INDEX(Surface_Engine!$C$12:$C$72,$A1279+1)/(1+Assumptions!$B$10)^3+INDEX(Surface_Engine!$D$12:$D$72,$A1279+1))))*INDEX(Surface_Engine!$B$12:$B$72,$A1279+1)</f>
        <v>68406.2950671102</v>
      </c>
      <c r="N1280" s="12" t="n">
        <f aca="false">IF(B1280&lt;=0,0,MAX(0,(K1280+Assumptions!$B$29*L1280/INDEX(Surface_Engine!$B$12:$B$72,$A1280+1)-(M1280/INDEX(Surface_Engine!$B$12:$B$72,$A1280+1)-(F1280/INDEX(Surface_Engine!$B$12:$B$72,$A1280+1))))/B1280))</f>
        <v>9248.27069091212</v>
      </c>
    </row>
    <row r="1281" customFormat="false" ht="15" hidden="false" customHeight="true" outlineLevel="0" collapsed="false">
      <c r="A1281" s="1" t="n">
        <v>13</v>
      </c>
      <c r="B1281" s="32" t="n">
        <f aca="false">INDEX(Surface_Engine!$S$12:$S$72,$A1281+1)*IF($A1281&lt;$Q$1266,INDEX(Surface_Engine!$E$12:$E$72,$A1281+1),INDEX(Surface_Engine!$E$12:$E$72,$Q$1266+1))</f>
        <v>0.658384567429308</v>
      </c>
      <c r="C1281" s="32" t="n">
        <f aca="false">INDEX(Panel_Reserving!$G$8:$G$68,$A1281+1)*IF($A1281&lt;$Q$1266,INDEX(Surface_Engine!$E$12:$E$72,$A1281+1),INDEX(Surface_Engine!$E$12:$E$72,$Q$1266+1))</f>
        <v>0.705487943172224</v>
      </c>
      <c r="D1281" s="32" t="n">
        <f aca="false">INDEX(Surface_Engine!$S$12:$S$72,$A1281+1)*IF($A1281&lt;$Q$1266,INDEX(Surface_Engine!$Y$12:$Y$72,$A1281+1),INDEX(Surface_Engine!$Y$12:$Y$72,$Q$1266+1))</f>
        <v>0.633011134319399</v>
      </c>
      <c r="E1281" s="32" t="n">
        <f aca="false">INDEX(Surface_Engine!$S$12:$S$72,$A1281+1)*IF($A1281&lt;$Q$1266,INDEX(Surface_Engine!$Z$12:$Z$72,$A1281+1),INDEX(Surface_Engine!$Z$12:$Z$72,$Q$1266+1))</f>
        <v>0.684353205892487</v>
      </c>
      <c r="F1281" s="48" t="n">
        <f aca="false">B1281*(IF($A1281&lt;$Q$1266,INDEX(Surface_Engine!$D$12:$D$72,$A1281+1)+(Surface_Engine!B248*12)*INDEX(Surface_Engine!$F$12:$F$72,$A1281+1)-(Surface_Engine!B248*12),1000*12*INDEX(Surface_Engine!$C$12:$C$72,$A1281+1)/(1+Assumptions!$B$10)^3+INDEX(Surface_Engine!$D$12:$D$72,$A1281+1)))*INDEX(Surface_Engine!$B$12:$B$72,$A1281+1)+F1282</f>
        <v>54115.0642930747</v>
      </c>
      <c r="G1281" s="48" t="n">
        <f aca="false">C1281*(IF($A1281&lt;$Q$1266,INDEX(Surface_Engine!$D$12:$D$72,$A1281+1)+(Surface_Engine!B248*12)*INDEX(Surface_Engine!$F$12:$F$72,$A1281+1)-(Surface_Engine!B248*12),1000*12*INDEX(Surface_Engine!$C$12:$C$72,$A1281+1)/(1+Assumptions!$B$10)^3+INDEX(Surface_Engine!$D$12:$D$72,$A1281+1)))*INDEX(Surface_Engine!$B$12:$B$72,$A1281+1)+G1282</f>
        <v>65916.5213141129</v>
      </c>
      <c r="H1281" s="48" t="n">
        <f aca="false">D1281*(IF($A1281&lt;$Q$1266,INDEX(Surface_Engine!$D$12:$D$72,$A1281+1)+(Surface_Engine!B248*12)*INDEX(Surface_Engine!$F$12:$F$72,$A1281+1)-(Surface_Engine!B248*12),1000*12*INDEX(Surface_Engine!$C$12:$C$72,$A1281+1)/(1+Assumptions!$B$10)^3+INDEX(Surface_Engine!$D$12:$D$72,$A1281+1)))*INDEX(Surface_Engine!$B$12:$B$72,$A1281+1)+H1282</f>
        <v>52029.5279181259</v>
      </c>
      <c r="I1281" s="48" t="n">
        <f aca="false">E1281*(IF($A1281&lt;$Q$1266,INDEX(Surface_Engine!$D$12:$D$72,$A1281+1)+(Surface_Engine!B248*12)*INDEX(Surface_Engine!$F$12:$F$72,$A1281+1)-(Surface_Engine!B248*12),1000*12*INDEX(Surface_Engine!$C$12:$C$72,$A1281+1)/(1+Assumptions!$B$10)^3+INDEX(Surface_Engine!$D$12:$D$72,$A1281+1)))*INDEX(Surface_Engine!$B$12:$B$72,$A1281+1)+I1282</f>
        <v>56249.5227988771</v>
      </c>
      <c r="J1281" s="48" t="n">
        <f aca="false">B1281*(IF($A1281&lt;$Q$1266,INDEX(Surface_Engine!$D$12:$D$72,$A1281+1)*(1+Assumptions!$B$24)+(Surface_Engine!B248*12)*INDEX(Surface_Engine!$F$12:$F$72,$A1281+1)-(Surface_Engine!B248*12),1000*12*INDEX(Surface_Engine!$C$12:$C$72,$A1281+1)/(1+Assumptions!$B$10)^3+INDEX(Surface_Engine!$D$12:$D$72,$A1281+1)*(1+Assumptions!$B$24)))*INDEX(Surface_Engine!$B$12:$B$72,$A1281+1)+J1282</f>
        <v>54157.6542000949</v>
      </c>
      <c r="K1281" s="12" t="n">
        <f aca="false">SQRT((IF(C1281&lt;=0,0,MAX(0,(B1281/C1281)*G1281/INDEX(Surface_Engine!$B$12:$B$72,$A1281+1)-F1281/INDEX(Surface_Engine!$B$12:$B$72,$A1281+1))))^2+(MAX(IF(D1281&lt;=0,0,MAX(0,(B1281/D1281)*H1281/INDEX(Surface_Engine!$B$12:$B$72,$A1281+1)-F1281/INDEX(Surface_Engine!$B$12:$B$72,$A1281+1))),IF(E1281&lt;=0,0,MAX(0,(B1281/E1281)*I1281/INDEX(Surface_Engine!$B$12:$B$72,$A1281+1)-F1281/INDEX(Surface_Engine!$B$12:$B$72,$A1281+1))),IF($A1281&lt;$Q$1266,MAX(0,-Assumptions!$B$22*(F1281/INDEX(Surface_Engine!$B$12:$B$72,$A1281+1))),0)))^2+(MAX(0,J1281/INDEX(Surface_Engine!$B$12:$B$72,$A1281+1)-(F1281/INDEX(Surface_Engine!$B$12:$B$72,$A1281+1))))^2+2*Assumptions!$B$26*(IF(C1281&lt;=0,0,MAX(0,(B1281/C1281)*G1281/INDEX(Surface_Engine!$B$12:$B$72,$A1281+1)-F1281/INDEX(Surface_Engine!$B$12:$B$72,$A1281+1))))*(MAX(IF(D1281&lt;=0,0,MAX(0,(B1281/D1281)*H1281/INDEX(Surface_Engine!$B$12:$B$72,$A1281+1)-F1281/INDEX(Surface_Engine!$B$12:$B$72,$A1281+1))),IF(E1281&lt;=0,0,MAX(0,(B1281/E1281)*I1281/INDEX(Surface_Engine!$B$12:$B$72,$A1281+1)-F1281/INDEX(Surface_Engine!$B$12:$B$72,$A1281+1))),IF($A1281&lt;$Q$1266,MAX(0,-Assumptions!$B$22*(F1281/INDEX(Surface_Engine!$B$12:$B$72,$A1281+1))),0)))+2*Assumptions!$B$27*(IF(C1281&lt;=0,0,MAX(0,(B1281/C1281)*G1281/INDEX(Surface_Engine!$B$12:$B$72,$A1281+1)-F1281/INDEX(Surface_Engine!$B$12:$B$72,$A1281+1))))*(MAX(0,J1281/INDEX(Surface_Engine!$B$12:$B$72,$A1281+1)-(F1281/INDEX(Surface_Engine!$B$12:$B$72,$A1281+1))))+2*Assumptions!$B$28*(MAX(IF(D1281&lt;=0,0,MAX(0,(B1281/D1281)*H1281/INDEX(Surface_Engine!$B$12:$B$72,$A1281+1)-F1281/INDEX(Surface_Engine!$B$12:$B$72,$A1281+1))),IF(E1281&lt;=0,0,MAX(0,(B1281/E1281)*I1281/INDEX(Surface_Engine!$B$12:$B$72,$A1281+1)-F1281/INDEX(Surface_Engine!$B$12:$B$72,$A1281+1))),IF($A1281&lt;$Q$1266,MAX(0,-Assumptions!$B$22*(F1281/INDEX(Surface_Engine!$B$12:$B$72,$A1281+1))),0)))*(MAX(0,J1281/INDEX(Surface_Engine!$B$12:$B$72,$A1281+1)-(F1281/INDEX(Surface_Engine!$B$12:$B$72,$A1281+1)))))</f>
        <v>10928.9634447634</v>
      </c>
      <c r="L1281" s="48" t="n">
        <f aca="false">K1281*INDEX(Surface_Engine!$B$12:$B$72,$A1281+1)+L1282</f>
        <v>54257.1952212081</v>
      </c>
      <c r="M1281" s="48" t="n">
        <f aca="false">M1280+B1280*(IF($A1280&lt;$Q$1266,(Surface_Engine!B248*12)-(Surface_Engine!B248*12)*INDEX(Surface_Engine!$F$12:$F$72,$A1280+1)-INDEX(Surface_Engine!$D$12:$D$72,$A1280+1),-(1000*12*INDEX(Surface_Engine!$C$12:$C$72,$A1280+1)/(1+Assumptions!$B$10)^3+INDEX(Surface_Engine!$D$12:$D$72,$A1280+1))))*INDEX(Surface_Engine!$B$12:$B$72,$A1280+1)</f>
        <v>61392.206739348</v>
      </c>
      <c r="N1281" s="12" t="n">
        <f aca="false">IF(B1281&lt;=0,0,MAX(0,(K1281+Assumptions!$B$29*L1281/INDEX(Surface_Engine!$B$12:$B$72,$A1281+1)-(M1281/INDEX(Surface_Engine!$B$12:$B$72,$A1281+1)-(F1281/INDEX(Surface_Engine!$B$12:$B$72,$A1281+1))))/B1281))</f>
        <v>7591.76278020314</v>
      </c>
    </row>
    <row r="1282" customFormat="false" ht="15" hidden="false" customHeight="true" outlineLevel="0" collapsed="false">
      <c r="A1282" s="1" t="n">
        <v>14</v>
      </c>
      <c r="B1282" s="32" t="n">
        <f aca="false">INDEX(Surface_Engine!$S$12:$S$72,$A1282+1)*IF($A1282&lt;$Q$1266,INDEX(Surface_Engine!$E$12:$E$72,$A1282+1),INDEX(Surface_Engine!$E$12:$E$72,$Q$1266+1))</f>
        <v>0.622028603805929</v>
      </c>
      <c r="C1282" s="32" t="n">
        <f aca="false">INDEX(Panel_Reserving!$G$8:$G$68,$A1282+1)*IF($A1282&lt;$Q$1266,INDEX(Surface_Engine!$E$12:$E$72,$A1282+1),INDEX(Surface_Engine!$E$12:$E$72,$Q$1266+1))</f>
        <v>0.674322335389103</v>
      </c>
      <c r="D1282" s="32" t="n">
        <f aca="false">INDEX(Surface_Engine!$S$12:$S$72,$A1282+1)*IF($A1282&lt;$Q$1266,INDEX(Surface_Engine!$Y$12:$Y$72,$A1282+1),INDEX(Surface_Engine!$Y$12:$Y$72,$Q$1266+1))</f>
        <v>0.598056290431778</v>
      </c>
      <c r="E1282" s="32" t="n">
        <f aca="false">INDEX(Surface_Engine!$S$12:$S$72,$A1282+1)*IF($A1282&lt;$Q$1266,INDEX(Surface_Engine!$Z$12:$Z$72,$A1282+1),INDEX(Surface_Engine!$Z$12:$Z$72,$Q$1266+1))</f>
        <v>0.646563255322843</v>
      </c>
      <c r="F1282" s="48" t="n">
        <f aca="false">B1282*(IF($A1282&lt;$Q$1266,INDEX(Surface_Engine!$D$12:$D$72,$A1282+1)+(Surface_Engine!B248*12)*INDEX(Surface_Engine!$F$12:$F$72,$A1282+1)-(Surface_Engine!B248*12),1000*12*INDEX(Surface_Engine!$C$12:$C$72,$A1282+1)/(1+Assumptions!$B$10)^3+INDEX(Surface_Engine!$D$12:$D$72,$A1282+1)))*INDEX(Surface_Engine!$B$12:$B$72,$A1282+1)+F1283</f>
        <v>47533.7407198037</v>
      </c>
      <c r="G1282" s="48" t="n">
        <f aca="false">C1282*(IF($A1282&lt;$Q$1266,INDEX(Surface_Engine!$D$12:$D$72,$A1282+1)+(Surface_Engine!B248*12)*INDEX(Surface_Engine!$F$12:$F$72,$A1282+1)-(Surface_Engine!B248*12),1000*12*INDEX(Surface_Engine!$C$12:$C$72,$A1282+1)/(1+Assumptions!$B$10)^3+INDEX(Surface_Engine!$D$12:$D$72,$A1282+1)))*INDEX(Surface_Engine!$B$12:$B$72,$A1282+1)+G1283</f>
        <v>58864.3444242645</v>
      </c>
      <c r="H1282" s="48" t="n">
        <f aca="false">D1282*(IF($A1282&lt;$Q$1266,INDEX(Surface_Engine!$D$12:$D$72,$A1282+1)+(Surface_Engine!B248*12)*INDEX(Surface_Engine!$F$12:$F$72,$A1282+1)-(Surface_Engine!B248*12),1000*12*INDEX(Surface_Engine!$C$12:$C$72,$A1282+1)/(1+Assumptions!$B$10)^3+INDEX(Surface_Engine!$D$12:$D$72,$A1282+1)))*INDEX(Surface_Engine!$B$12:$B$72,$A1282+1)+H1283</f>
        <v>45701.8414768932</v>
      </c>
      <c r="I1282" s="48" t="n">
        <f aca="false">E1282*(IF($A1282&lt;$Q$1266,INDEX(Surface_Engine!$D$12:$D$72,$A1282+1)+(Surface_Engine!B248*12)*INDEX(Surface_Engine!$F$12:$F$72,$A1282+1)-(Surface_Engine!B248*12),1000*12*INDEX(Surface_Engine!$C$12:$C$72,$A1282+1)/(1+Assumptions!$B$10)^3+INDEX(Surface_Engine!$D$12:$D$72,$A1282+1)))*INDEX(Surface_Engine!$B$12:$B$72,$A1282+1)+I1283</f>
        <v>49408.6123201129</v>
      </c>
      <c r="J1282" s="48" t="n">
        <f aca="false">B1282*(IF($A1282&lt;$Q$1266,INDEX(Surface_Engine!$D$12:$D$72,$A1282+1)*(1+Assumptions!$B$24)+(Surface_Engine!B248*12)*INDEX(Surface_Engine!$F$12:$F$72,$A1282+1)-(Surface_Engine!B248*12),1000*12*INDEX(Surface_Engine!$C$12:$C$72,$A1282+1)/(1+Assumptions!$B$10)^3+INDEX(Surface_Engine!$D$12:$D$72,$A1282+1)*(1+Assumptions!$B$24)))*INDEX(Surface_Engine!$B$12:$B$72,$A1282+1)+J1283</f>
        <v>47571.2838830507</v>
      </c>
      <c r="K1282" s="12" t="n">
        <f aca="false">SQRT((IF(C1282&lt;=0,0,MAX(0,(B1282/C1282)*G1282/INDEX(Surface_Engine!$B$12:$B$72,$A1282+1)-F1282/INDEX(Surface_Engine!$B$12:$B$72,$A1282+1))))^2+(MAX(IF(D1282&lt;=0,0,MAX(0,(B1282/D1282)*H1282/INDEX(Surface_Engine!$B$12:$B$72,$A1282+1)-F1282/INDEX(Surface_Engine!$B$12:$B$72,$A1282+1))),IF(E1282&lt;=0,0,MAX(0,(B1282/E1282)*I1282/INDEX(Surface_Engine!$B$12:$B$72,$A1282+1)-F1282/INDEX(Surface_Engine!$B$12:$B$72,$A1282+1))),IF($A1282&lt;$Q$1266,MAX(0,-Assumptions!$B$22*(F1282/INDEX(Surface_Engine!$B$12:$B$72,$A1282+1))),0)))^2+(MAX(0,J1282/INDEX(Surface_Engine!$B$12:$B$72,$A1282+1)-(F1282/INDEX(Surface_Engine!$B$12:$B$72,$A1282+1))))^2+2*Assumptions!$B$26*(IF(C1282&lt;=0,0,MAX(0,(B1282/C1282)*G1282/INDEX(Surface_Engine!$B$12:$B$72,$A1282+1)-F1282/INDEX(Surface_Engine!$B$12:$B$72,$A1282+1))))*(MAX(IF(D1282&lt;=0,0,MAX(0,(B1282/D1282)*H1282/INDEX(Surface_Engine!$B$12:$B$72,$A1282+1)-F1282/INDEX(Surface_Engine!$B$12:$B$72,$A1282+1))),IF(E1282&lt;=0,0,MAX(0,(B1282/E1282)*I1282/INDEX(Surface_Engine!$B$12:$B$72,$A1282+1)-F1282/INDEX(Surface_Engine!$B$12:$B$72,$A1282+1))),IF($A1282&lt;$Q$1266,MAX(0,-Assumptions!$B$22*(F1282/INDEX(Surface_Engine!$B$12:$B$72,$A1282+1))),0)))+2*Assumptions!$B$27*(IF(C1282&lt;=0,0,MAX(0,(B1282/C1282)*G1282/INDEX(Surface_Engine!$B$12:$B$72,$A1282+1)-F1282/INDEX(Surface_Engine!$B$12:$B$72,$A1282+1))))*(MAX(0,J1282/INDEX(Surface_Engine!$B$12:$B$72,$A1282+1)-(F1282/INDEX(Surface_Engine!$B$12:$B$72,$A1282+1))))+2*Assumptions!$B$28*(MAX(IF(D1282&lt;=0,0,MAX(0,(B1282/D1282)*H1282/INDEX(Surface_Engine!$B$12:$B$72,$A1282+1)-F1282/INDEX(Surface_Engine!$B$12:$B$72,$A1282+1))),IF(E1282&lt;=0,0,MAX(0,(B1282/E1282)*I1282/INDEX(Surface_Engine!$B$12:$B$72,$A1282+1)-F1282/INDEX(Surface_Engine!$B$12:$B$72,$A1282+1))),IF($A1282&lt;$Q$1266,MAX(0,-Assumptions!$B$22*(F1282/INDEX(Surface_Engine!$B$12:$B$72,$A1282+1))),0)))*(MAX(0,J1282/INDEX(Surface_Engine!$B$12:$B$72,$A1282+1)-(F1282/INDEX(Surface_Engine!$B$12:$B$72,$A1282+1)))))</f>
        <v>10336.1331744751</v>
      </c>
      <c r="L1282" s="48" t="n">
        <f aca="false">K1282*INDEX(Surface_Engine!$B$12:$B$72,$A1282+1)+L1283</f>
        <v>46846.0301888693</v>
      </c>
      <c r="M1282" s="48" t="n">
        <f aca="false">M1281+B1281*(IF($A1281&lt;$Q$1266,(Surface_Engine!B248*12)-(Surface_Engine!B248*12)*INDEX(Surface_Engine!$F$12:$F$72,$A1281+1)-INDEX(Surface_Engine!$D$12:$D$72,$A1281+1),-(1000*12*INDEX(Surface_Engine!$C$12:$C$72,$A1281+1)/(1+Assumptions!$B$10)^3+INDEX(Surface_Engine!$D$12:$D$72,$A1281+1))))*INDEX(Surface_Engine!$B$12:$B$72,$A1281+1)</f>
        <v>54810.883166077</v>
      </c>
      <c r="N1282" s="12" t="n">
        <f aca="false">IF(B1282&lt;=0,0,MAX(0,(K1282+Assumptions!$B$29*L1282/INDEX(Surface_Engine!$B$12:$B$72,$A1282+1)-(M1282/INDEX(Surface_Engine!$B$12:$B$72,$A1282+1)-(F1282/INDEX(Surface_Engine!$B$12:$B$72,$A1282+1))))/B1282))</f>
        <v>5662.52176466451</v>
      </c>
    </row>
    <row r="1283" customFormat="false" ht="15" hidden="false" customHeight="true" outlineLevel="0" collapsed="false">
      <c r="A1283" s="1" t="n">
        <v>15</v>
      </c>
      <c r="B1283" s="32" t="n">
        <f aca="false">INDEX(Surface_Engine!$S$12:$S$72,$A1283+1)*IF($A1283&lt;$Q$1266,INDEX(Surface_Engine!$E$12:$E$72,$A1283+1),INDEX(Surface_Engine!$E$12:$E$72,$Q$1266+1))</f>
        <v>0.583234652798314</v>
      </c>
      <c r="C1283" s="32" t="n">
        <f aca="false">INDEX(Panel_Reserving!$G$8:$G$68,$A1283+1)*IF($A1283&lt;$Q$1266,INDEX(Surface_Engine!$E$12:$E$72,$A1283+1),INDEX(Surface_Engine!$E$12:$E$72,$Q$1266+1))</f>
        <v>0.640678059248275</v>
      </c>
      <c r="D1283" s="32" t="n">
        <f aca="false">INDEX(Surface_Engine!$S$12:$S$72,$A1283+1)*IF($A1283&lt;$Q$1266,INDEX(Surface_Engine!$Y$12:$Y$72,$A1283+1),INDEX(Surface_Engine!$Y$12:$Y$72,$Q$1266+1))</f>
        <v>0.560757416571558</v>
      </c>
      <c r="E1283" s="32" t="n">
        <f aca="false">INDEX(Surface_Engine!$S$12:$S$72,$A1283+1)*IF($A1283&lt;$Q$1266,INDEX(Surface_Engine!$Z$12:$Z$72,$A1283+1),INDEX(Surface_Engine!$Z$12:$Z$72,$Q$1266+1))</f>
        <v>0.606239155921549</v>
      </c>
      <c r="F1283" s="48" t="n">
        <f aca="false">B1283*(IF($A1283&lt;$Q$1266,INDEX(Surface_Engine!$D$12:$D$72,$A1283+1)+(Surface_Engine!B248*12)*INDEX(Surface_Engine!$F$12:$F$72,$A1283+1)-(Surface_Engine!B248*12),1000*12*INDEX(Surface_Engine!$C$12:$C$72,$A1283+1)/(1+Assumptions!$B$10)^3+INDEX(Surface_Engine!$D$12:$D$72,$A1283+1)))*INDEX(Surface_Engine!$B$12:$B$72,$A1283+1)+F1284</f>
        <v>41402.984835496</v>
      </c>
      <c r="G1283" s="48" t="n">
        <f aca="false">C1283*(IF($A1283&lt;$Q$1266,INDEX(Surface_Engine!$D$12:$D$72,$A1283+1)+(Surface_Engine!B248*12)*INDEX(Surface_Engine!$F$12:$F$72,$A1283+1)-(Surface_Engine!B248*12),1000*12*INDEX(Surface_Engine!$C$12:$C$72,$A1283+1)/(1+Assumptions!$B$10)^3+INDEX(Surface_Engine!$D$12:$D$72,$A1283+1)))*INDEX(Surface_Engine!$B$12:$B$72,$A1283+1)+G1284</f>
        <v>52218.1779934733</v>
      </c>
      <c r="H1283" s="48" t="n">
        <f aca="false">D1283*(IF($A1283&lt;$Q$1266,INDEX(Surface_Engine!$D$12:$D$72,$A1283+1)+(Surface_Engine!B248*12)*INDEX(Surface_Engine!$F$12:$F$72,$A1283+1)-(Surface_Engine!B248*12),1000*12*INDEX(Surface_Engine!$C$12:$C$72,$A1283+1)/(1+Assumptions!$B$10)^3+INDEX(Surface_Engine!$D$12:$D$72,$A1283+1)))*INDEX(Surface_Engine!$B$12:$B$72,$A1283+1)+H1284</f>
        <v>39807.3583304947</v>
      </c>
      <c r="I1283" s="48" t="n">
        <f aca="false">E1283*(IF($A1283&lt;$Q$1266,INDEX(Surface_Engine!$D$12:$D$72,$A1283+1)+(Surface_Engine!B248*12)*INDEX(Surface_Engine!$F$12:$F$72,$A1283+1)-(Surface_Engine!B248*12),1000*12*INDEX(Surface_Engine!$C$12:$C$72,$A1283+1)/(1+Assumptions!$B$10)^3+INDEX(Surface_Engine!$D$12:$D$72,$A1283+1)))*INDEX(Surface_Engine!$B$12:$B$72,$A1283+1)+I1284</f>
        <v>43036.0412552228</v>
      </c>
      <c r="J1283" s="48" t="n">
        <f aca="false">B1283*(IF($A1283&lt;$Q$1266,INDEX(Surface_Engine!$D$12:$D$72,$A1283+1)*(1+Assumptions!$B$24)+(Surface_Engine!B248*12)*INDEX(Surface_Engine!$F$12:$F$72,$A1283+1)-(Surface_Engine!B248*12),1000*12*INDEX(Surface_Engine!$C$12:$C$72,$A1283+1)/(1+Assumptions!$B$10)^3+INDEX(Surface_Engine!$D$12:$D$72,$A1283+1)*(1+Assumptions!$B$24)))*INDEX(Surface_Engine!$B$12:$B$72,$A1283+1)+J1284</f>
        <v>41435.8038952329</v>
      </c>
      <c r="K1283" s="12" t="n">
        <f aca="false">SQRT((IF(C1283&lt;=0,0,MAX(0,(B1283/C1283)*G1283/INDEX(Surface_Engine!$B$12:$B$72,$A1283+1)-F1283/INDEX(Surface_Engine!$B$12:$B$72,$A1283+1))))^2+(MAX(IF(D1283&lt;=0,0,MAX(0,(B1283/D1283)*H1283/INDEX(Surface_Engine!$B$12:$B$72,$A1283+1)-F1283/INDEX(Surface_Engine!$B$12:$B$72,$A1283+1))),IF(E1283&lt;=0,0,MAX(0,(B1283/E1283)*I1283/INDEX(Surface_Engine!$B$12:$B$72,$A1283+1)-F1283/INDEX(Surface_Engine!$B$12:$B$72,$A1283+1))),IF($A1283&lt;$Q$1266,MAX(0,-Assumptions!$B$22*(F1283/INDEX(Surface_Engine!$B$12:$B$72,$A1283+1))),0)))^2+(MAX(0,J1283/INDEX(Surface_Engine!$B$12:$B$72,$A1283+1)-(F1283/INDEX(Surface_Engine!$B$12:$B$72,$A1283+1))))^2+2*Assumptions!$B$26*(IF(C1283&lt;=0,0,MAX(0,(B1283/C1283)*G1283/INDEX(Surface_Engine!$B$12:$B$72,$A1283+1)-F1283/INDEX(Surface_Engine!$B$12:$B$72,$A1283+1))))*(MAX(IF(D1283&lt;=0,0,MAX(0,(B1283/D1283)*H1283/INDEX(Surface_Engine!$B$12:$B$72,$A1283+1)-F1283/INDEX(Surface_Engine!$B$12:$B$72,$A1283+1))),IF(E1283&lt;=0,0,MAX(0,(B1283/E1283)*I1283/INDEX(Surface_Engine!$B$12:$B$72,$A1283+1)-F1283/INDEX(Surface_Engine!$B$12:$B$72,$A1283+1))),IF($A1283&lt;$Q$1266,MAX(0,-Assumptions!$B$22*(F1283/INDEX(Surface_Engine!$B$12:$B$72,$A1283+1))),0)))+2*Assumptions!$B$27*(IF(C1283&lt;=0,0,MAX(0,(B1283/C1283)*G1283/INDEX(Surface_Engine!$B$12:$B$72,$A1283+1)-F1283/INDEX(Surface_Engine!$B$12:$B$72,$A1283+1))))*(MAX(0,J1283/INDEX(Surface_Engine!$B$12:$B$72,$A1283+1)-(F1283/INDEX(Surface_Engine!$B$12:$B$72,$A1283+1))))+2*Assumptions!$B$28*(MAX(IF(D1283&lt;=0,0,MAX(0,(B1283/D1283)*H1283/INDEX(Surface_Engine!$B$12:$B$72,$A1283+1)-F1283/INDEX(Surface_Engine!$B$12:$B$72,$A1283+1))),IF(E1283&lt;=0,0,MAX(0,(B1283/E1283)*I1283/INDEX(Surface_Engine!$B$12:$B$72,$A1283+1)-F1283/INDEX(Surface_Engine!$B$12:$B$72,$A1283+1))),IF($A1283&lt;$Q$1266,MAX(0,-Assumptions!$B$22*(F1283/INDEX(Surface_Engine!$B$12:$B$72,$A1283+1))),0)))*(MAX(0,J1283/INDEX(Surface_Engine!$B$12:$B$72,$A1283+1)-(F1283/INDEX(Surface_Engine!$B$12:$B$72,$A1283+1)))))</f>
        <v>9718.57183639941</v>
      </c>
      <c r="L1283" s="48" t="n">
        <f aca="false">K1283*INDEX(Surface_Engine!$B$12:$B$72,$A1283+1)+L1284</f>
        <v>40070.8760945659</v>
      </c>
      <c r="M1283" s="48" t="n">
        <f aca="false">M1282+B1282*(IF($A1282&lt;$Q$1266,(Surface_Engine!B248*12)-(Surface_Engine!B248*12)*INDEX(Surface_Engine!$F$12:$F$72,$A1282+1)-INDEX(Surface_Engine!$D$12:$D$72,$A1282+1),-(1000*12*INDEX(Surface_Engine!$C$12:$C$72,$A1282+1)/(1+Assumptions!$B$10)^3+INDEX(Surface_Engine!$D$12:$D$72,$A1282+1))))*INDEX(Surface_Engine!$B$12:$B$72,$A1282+1)</f>
        <v>48680.1272817693</v>
      </c>
      <c r="N1283" s="12" t="n">
        <f aca="false">IF(B1283&lt;=0,0,MAX(0,(K1283+Assumptions!$B$29*L1283/INDEX(Surface_Engine!$B$12:$B$72,$A1283+1)-(M1283/INDEX(Surface_Engine!$B$12:$B$72,$A1283+1)-(F1283/INDEX(Surface_Engine!$B$12:$B$72,$A1283+1))))/B1283))</f>
        <v>3442.19014313182</v>
      </c>
    </row>
    <row r="1284" customFormat="false" ht="15" hidden="false" customHeight="true" outlineLevel="0" collapsed="false">
      <c r="A1284" s="1" t="n">
        <v>16</v>
      </c>
      <c r="B1284" s="32" t="n">
        <f aca="false">INDEX(Surface_Engine!$S$12:$S$72,$A1284+1)*IF($A1284&lt;$Q$1266,INDEX(Surface_Engine!$E$12:$E$72,$A1284+1),INDEX(Surface_Engine!$E$12:$E$72,$Q$1266+1))</f>
        <v>0.542158397687389</v>
      </c>
      <c r="C1284" s="32" t="n">
        <f aca="false">INDEX(Panel_Reserving!$G$8:$G$68,$A1284+1)*IF($A1284&lt;$Q$1266,INDEX(Surface_Engine!$E$12:$E$72,$A1284+1),INDEX(Surface_Engine!$E$12:$E$72,$Q$1266+1))</f>
        <v>0.604580539624721</v>
      </c>
      <c r="D1284" s="32" t="n">
        <f aca="false">INDEX(Surface_Engine!$S$12:$S$72,$A1284+1)*IF($A1284&lt;$Q$1266,INDEX(Surface_Engine!$Y$12:$Y$72,$A1284+1),INDEX(Surface_Engine!$Y$12:$Y$72,$Q$1266+1))</f>
        <v>0.52126419615346</v>
      </c>
      <c r="E1284" s="32" t="n">
        <f aca="false">INDEX(Surface_Engine!$S$12:$S$72,$A1284+1)*IF($A1284&lt;$Q$1266,INDEX(Surface_Engine!$Z$12:$Z$72,$A1284+1),INDEX(Surface_Engine!$Z$12:$Z$72,$Q$1266+1))</f>
        <v>0.563542731579498</v>
      </c>
      <c r="F1284" s="48" t="n">
        <f aca="false">B1284*(IF($A1284&lt;$Q$1266,INDEX(Surface_Engine!$D$12:$D$72,$A1284+1)+(Surface_Engine!B248*12)*INDEX(Surface_Engine!$F$12:$F$72,$A1284+1)-(Surface_Engine!B248*12),1000*12*INDEX(Surface_Engine!$C$12:$C$72,$A1284+1)/(1+Assumptions!$B$10)^3+INDEX(Surface_Engine!$D$12:$D$72,$A1284+1)))*INDEX(Surface_Engine!$B$12:$B$72,$A1284+1)+F1285</f>
        <v>35749.9687680457</v>
      </c>
      <c r="G1284" s="48" t="n">
        <f aca="false">C1284*(IF($A1284&lt;$Q$1266,INDEX(Surface_Engine!$D$12:$D$72,$A1284+1)+(Surface_Engine!B248*12)*INDEX(Surface_Engine!$F$12:$F$72,$A1284+1)-(Surface_Engine!B248*12),1000*12*INDEX(Surface_Engine!$C$12:$C$72,$A1284+1)/(1+Assumptions!$B$10)^3+INDEX(Surface_Engine!$D$12:$D$72,$A1284+1)))*INDEX(Surface_Engine!$B$12:$B$72,$A1284+1)+G1285</f>
        <v>46008.390310906</v>
      </c>
      <c r="H1284" s="48" t="n">
        <f aca="false">D1284*(IF($A1284&lt;$Q$1266,INDEX(Surface_Engine!$D$12:$D$72,$A1284+1)+(Surface_Engine!B248*12)*INDEX(Surface_Engine!$F$12:$F$72,$A1284+1)-(Surface_Engine!B248*12),1000*12*INDEX(Surface_Engine!$C$12:$C$72,$A1284+1)/(1+Assumptions!$B$10)^3+INDEX(Surface_Engine!$D$12:$D$72,$A1284+1)))*INDEX(Surface_Engine!$B$12:$B$72,$A1284+1)+H1285</f>
        <v>34372.20342224</v>
      </c>
      <c r="I1284" s="48" t="n">
        <f aca="false">E1284*(IF($A1284&lt;$Q$1266,INDEX(Surface_Engine!$D$12:$D$72,$A1284+1)+(Surface_Engine!B248*12)*INDEX(Surface_Engine!$F$12:$F$72,$A1284+1)-(Surface_Engine!B248*12),1000*12*INDEX(Surface_Engine!$C$12:$C$72,$A1284+1)/(1+Assumptions!$B$10)^3+INDEX(Surface_Engine!$D$12:$D$72,$A1284+1)))*INDEX(Surface_Engine!$B$12:$B$72,$A1284+1)+I1285</f>
        <v>37160.0534813496</v>
      </c>
      <c r="J1284" s="48" t="n">
        <f aca="false">B1284*(IF($A1284&lt;$Q$1266,INDEX(Surface_Engine!$D$12:$D$72,$A1284+1)*(1+Assumptions!$B$24)+(Surface_Engine!B248*12)*INDEX(Surface_Engine!$F$12:$F$72,$A1284+1)-(Surface_Engine!B248*12),1000*12*INDEX(Surface_Engine!$C$12:$C$72,$A1284+1)/(1+Assumptions!$B$10)^3+INDEX(Surface_Engine!$D$12:$D$72,$A1284+1)*(1+Assumptions!$B$24)))*INDEX(Surface_Engine!$B$12:$B$72,$A1284+1)+J1285</f>
        <v>35778.4106630573</v>
      </c>
      <c r="K1284" s="12" t="n">
        <f aca="false">SQRT((IF(C1284&lt;=0,0,MAX(0,(B1284/C1284)*G1284/INDEX(Surface_Engine!$B$12:$B$72,$A1284+1)-F1284/INDEX(Surface_Engine!$B$12:$B$72,$A1284+1))))^2+(MAX(IF(D1284&lt;=0,0,MAX(0,(B1284/D1284)*H1284/INDEX(Surface_Engine!$B$12:$B$72,$A1284+1)-F1284/INDEX(Surface_Engine!$B$12:$B$72,$A1284+1))),IF(E1284&lt;=0,0,MAX(0,(B1284/E1284)*I1284/INDEX(Surface_Engine!$B$12:$B$72,$A1284+1)-F1284/INDEX(Surface_Engine!$B$12:$B$72,$A1284+1))),IF($A1284&lt;$Q$1266,MAX(0,-Assumptions!$B$22*(F1284/INDEX(Surface_Engine!$B$12:$B$72,$A1284+1))),0)))^2+(MAX(0,J1284/INDEX(Surface_Engine!$B$12:$B$72,$A1284+1)-(F1284/INDEX(Surface_Engine!$B$12:$B$72,$A1284+1))))^2+2*Assumptions!$B$26*(IF(C1284&lt;=0,0,MAX(0,(B1284/C1284)*G1284/INDEX(Surface_Engine!$B$12:$B$72,$A1284+1)-F1284/INDEX(Surface_Engine!$B$12:$B$72,$A1284+1))))*(MAX(IF(D1284&lt;=0,0,MAX(0,(B1284/D1284)*H1284/INDEX(Surface_Engine!$B$12:$B$72,$A1284+1)-F1284/INDEX(Surface_Engine!$B$12:$B$72,$A1284+1))),IF(E1284&lt;=0,0,MAX(0,(B1284/E1284)*I1284/INDEX(Surface_Engine!$B$12:$B$72,$A1284+1)-F1284/INDEX(Surface_Engine!$B$12:$B$72,$A1284+1))),IF($A1284&lt;$Q$1266,MAX(0,-Assumptions!$B$22*(F1284/INDEX(Surface_Engine!$B$12:$B$72,$A1284+1))),0)))+2*Assumptions!$B$27*(IF(C1284&lt;=0,0,MAX(0,(B1284/C1284)*G1284/INDEX(Surface_Engine!$B$12:$B$72,$A1284+1)-F1284/INDEX(Surface_Engine!$B$12:$B$72,$A1284+1))))*(MAX(0,J1284/INDEX(Surface_Engine!$B$12:$B$72,$A1284+1)-(F1284/INDEX(Surface_Engine!$B$12:$B$72,$A1284+1))))+2*Assumptions!$B$28*(MAX(IF(D1284&lt;=0,0,MAX(0,(B1284/D1284)*H1284/INDEX(Surface_Engine!$B$12:$B$72,$A1284+1)-F1284/INDEX(Surface_Engine!$B$12:$B$72,$A1284+1))),IF(E1284&lt;=0,0,MAX(0,(B1284/E1284)*I1284/INDEX(Surface_Engine!$B$12:$B$72,$A1284+1)-F1284/INDEX(Surface_Engine!$B$12:$B$72,$A1284+1))),IF($A1284&lt;$Q$1266,MAX(0,-Assumptions!$B$22*(F1284/INDEX(Surface_Engine!$B$12:$B$72,$A1284+1))),0)))*(MAX(0,J1284/INDEX(Surface_Engine!$B$12:$B$72,$A1284+1)-(F1284/INDEX(Surface_Engine!$B$12:$B$72,$A1284+1)))))</f>
        <v>9043.47678698345</v>
      </c>
      <c r="L1284" s="48" t="n">
        <f aca="false">K1284*INDEX(Surface_Engine!$B$12:$B$72,$A1284+1)+L1285</f>
        <v>33929.2950532061</v>
      </c>
      <c r="M1284" s="48" t="n">
        <f aca="false">M1283+B1283*(IF($A1283&lt;$Q$1266,(Surface_Engine!B248*12)-(Surface_Engine!B248*12)*INDEX(Surface_Engine!$F$12:$F$72,$A1283+1)-INDEX(Surface_Engine!$D$12:$D$72,$A1283+1),-(1000*12*INDEX(Surface_Engine!$C$12:$C$72,$A1283+1)/(1+Assumptions!$B$10)^3+INDEX(Surface_Engine!$D$12:$D$72,$A1283+1))))*INDEX(Surface_Engine!$B$12:$B$72,$A1283+1)</f>
        <v>43027.111214319</v>
      </c>
      <c r="N1284" s="12" t="n">
        <f aca="false">IF(B1284&lt;=0,0,MAX(0,(K1284+Assumptions!$B$29*L1284/INDEX(Surface_Engine!$B$12:$B$72,$A1284+1)-(M1284/INDEX(Surface_Engine!$B$12:$B$72,$A1284+1)-(F1284/INDEX(Surface_Engine!$B$12:$B$72,$A1284+1))))/B1284))</f>
        <v>828.417328482827</v>
      </c>
    </row>
    <row r="1285" customFormat="false" ht="15" hidden="false" customHeight="true" outlineLevel="0" collapsed="false">
      <c r="A1285" s="1" t="n">
        <v>17</v>
      </c>
      <c r="B1285" s="32" t="n">
        <f aca="false">INDEX(Surface_Engine!$S$12:$S$72,$A1285+1)*IF($A1285&lt;$Q$1266,INDEX(Surface_Engine!$E$12:$E$72,$A1285+1),INDEX(Surface_Engine!$E$12:$E$72,$Q$1266+1))</f>
        <v>0.499062468455267</v>
      </c>
      <c r="C1285" s="32" t="n">
        <f aca="false">INDEX(Panel_Reserving!$G$8:$G$68,$A1285+1)*IF($A1285&lt;$Q$1266,INDEX(Surface_Engine!$E$12:$E$72,$A1285+1),INDEX(Surface_Engine!$E$12:$E$72,$Q$1266+1))</f>
        <v>0.566134269660925</v>
      </c>
      <c r="D1285" s="32" t="n">
        <f aca="false">INDEX(Surface_Engine!$S$12:$S$72,$A1285+1)*IF($A1285&lt;$Q$1266,INDEX(Surface_Engine!$Y$12:$Y$72,$A1285+1),INDEX(Surface_Engine!$Y$12:$Y$72,$Q$1266+1))</f>
        <v>0.479829137682556</v>
      </c>
      <c r="E1285" s="32" t="n">
        <f aca="false">INDEX(Surface_Engine!$S$12:$S$72,$A1285+1)*IF($A1285&lt;$Q$1266,INDEX(Surface_Engine!$Z$12:$Z$72,$A1285+1),INDEX(Surface_Engine!$Z$12:$Z$72,$Q$1266+1))</f>
        <v>0.518746971183602</v>
      </c>
      <c r="F1285" s="48" t="n">
        <f aca="false">B1285*(IF($A1285&lt;$Q$1266,INDEX(Surface_Engine!$D$12:$D$72,$A1285+1)+(Surface_Engine!B248*12)*INDEX(Surface_Engine!$F$12:$F$72,$A1285+1)-(Surface_Engine!B248*12),1000*12*INDEX(Surface_Engine!$C$12:$C$72,$A1285+1)/(1+Assumptions!$B$10)^3+INDEX(Surface_Engine!$D$12:$D$72,$A1285+1)))*INDEX(Surface_Engine!$B$12:$B$72,$A1285+1)+F1286</f>
        <v>30577.0537234678</v>
      </c>
      <c r="G1285" s="48" t="n">
        <f aca="false">C1285*(IF($A1285&lt;$Q$1266,INDEX(Surface_Engine!$D$12:$D$72,$A1285+1)+(Surface_Engine!B248*12)*INDEX(Surface_Engine!$F$12:$F$72,$A1285+1)-(Surface_Engine!B248*12),1000*12*INDEX(Surface_Engine!$C$12:$C$72,$A1285+1)/(1+Assumptions!$B$10)^3+INDEX(Surface_Engine!$D$12:$D$72,$A1285+1)))*INDEX(Surface_Engine!$B$12:$B$72,$A1285+1)+G1286</f>
        <v>40239.8846815105</v>
      </c>
      <c r="H1285" s="48" t="n">
        <f aca="false">D1285*(IF($A1285&lt;$Q$1266,INDEX(Surface_Engine!$D$12:$D$72,$A1285+1)+(Surface_Engine!B248*12)*INDEX(Surface_Engine!$F$12:$F$72,$A1285+1)-(Surface_Engine!B248*12),1000*12*INDEX(Surface_Engine!$C$12:$C$72,$A1285+1)/(1+Assumptions!$B$10)^3+INDEX(Surface_Engine!$D$12:$D$72,$A1285+1)))*INDEX(Surface_Engine!$B$12:$B$72,$A1285+1)+H1286</f>
        <v>29398.6469598041</v>
      </c>
      <c r="I1285" s="48" t="n">
        <f aca="false">E1285*(IF($A1285&lt;$Q$1266,INDEX(Surface_Engine!$D$12:$D$72,$A1285+1)+(Surface_Engine!B248*12)*INDEX(Surface_Engine!$F$12:$F$72,$A1285+1)-(Surface_Engine!B248*12),1000*12*INDEX(Surface_Engine!$C$12:$C$72,$A1285+1)/(1+Assumptions!$B$10)^3+INDEX(Surface_Engine!$D$12:$D$72,$A1285+1)))*INDEX(Surface_Engine!$B$12:$B$72,$A1285+1)+I1286</f>
        <v>31783.1033374712</v>
      </c>
      <c r="J1285" s="48" t="n">
        <f aca="false">B1285*(IF($A1285&lt;$Q$1266,INDEX(Surface_Engine!$D$12:$D$72,$A1285+1)*(1+Assumptions!$B$24)+(Surface_Engine!B248*12)*INDEX(Surface_Engine!$F$12:$F$72,$A1285+1)-(Surface_Engine!B248*12),1000*12*INDEX(Surface_Engine!$C$12:$C$72,$A1285+1)/(1+Assumptions!$B$10)^3+INDEX(Surface_Engine!$D$12:$D$72,$A1285+1)*(1+Assumptions!$B$24)))*INDEX(Surface_Engine!$B$12:$B$72,$A1285+1)+J1286</f>
        <v>30601.4707172565</v>
      </c>
      <c r="K1285" s="12" t="n">
        <f aca="false">SQRT((IF(C1285&lt;=0,0,MAX(0,(B1285/C1285)*G1285/INDEX(Surface_Engine!$B$12:$B$72,$A1285+1)-F1285/INDEX(Surface_Engine!$B$12:$B$72,$A1285+1))))^2+(MAX(IF(D1285&lt;=0,0,MAX(0,(B1285/D1285)*H1285/INDEX(Surface_Engine!$B$12:$B$72,$A1285+1)-F1285/INDEX(Surface_Engine!$B$12:$B$72,$A1285+1))),IF(E1285&lt;=0,0,MAX(0,(B1285/E1285)*I1285/INDEX(Surface_Engine!$B$12:$B$72,$A1285+1)-F1285/INDEX(Surface_Engine!$B$12:$B$72,$A1285+1))),IF($A1285&lt;$Q$1266,MAX(0,-Assumptions!$B$22*(F1285/INDEX(Surface_Engine!$B$12:$B$72,$A1285+1))),0)))^2+(MAX(0,J1285/INDEX(Surface_Engine!$B$12:$B$72,$A1285+1)-(F1285/INDEX(Surface_Engine!$B$12:$B$72,$A1285+1))))^2+2*Assumptions!$B$26*(IF(C1285&lt;=0,0,MAX(0,(B1285/C1285)*G1285/INDEX(Surface_Engine!$B$12:$B$72,$A1285+1)-F1285/INDEX(Surface_Engine!$B$12:$B$72,$A1285+1))))*(MAX(IF(D1285&lt;=0,0,MAX(0,(B1285/D1285)*H1285/INDEX(Surface_Engine!$B$12:$B$72,$A1285+1)-F1285/INDEX(Surface_Engine!$B$12:$B$72,$A1285+1))),IF(E1285&lt;=0,0,MAX(0,(B1285/E1285)*I1285/INDEX(Surface_Engine!$B$12:$B$72,$A1285+1)-F1285/INDEX(Surface_Engine!$B$12:$B$72,$A1285+1))),IF($A1285&lt;$Q$1266,MAX(0,-Assumptions!$B$22*(F1285/INDEX(Surface_Engine!$B$12:$B$72,$A1285+1))),0)))+2*Assumptions!$B$27*(IF(C1285&lt;=0,0,MAX(0,(B1285/C1285)*G1285/INDEX(Surface_Engine!$B$12:$B$72,$A1285+1)-F1285/INDEX(Surface_Engine!$B$12:$B$72,$A1285+1))))*(MAX(0,J1285/INDEX(Surface_Engine!$B$12:$B$72,$A1285+1)-(F1285/INDEX(Surface_Engine!$B$12:$B$72,$A1285+1))))+2*Assumptions!$B$28*(MAX(IF(D1285&lt;=0,0,MAX(0,(B1285/D1285)*H1285/INDEX(Surface_Engine!$B$12:$B$72,$A1285+1)-F1285/INDEX(Surface_Engine!$B$12:$B$72,$A1285+1))),IF(E1285&lt;=0,0,MAX(0,(B1285/E1285)*I1285/INDEX(Surface_Engine!$B$12:$B$72,$A1285+1)-F1285/INDEX(Surface_Engine!$B$12:$B$72,$A1285+1))),IF($A1285&lt;$Q$1266,MAX(0,-Assumptions!$B$22*(F1285/INDEX(Surface_Engine!$B$12:$B$72,$A1285+1))),0)))*(MAX(0,J1285/INDEX(Surface_Engine!$B$12:$B$72,$A1285+1)-(F1285/INDEX(Surface_Engine!$B$12:$B$72,$A1285+1)))))</f>
        <v>8312.80874322762</v>
      </c>
      <c r="L1285" s="48" t="n">
        <f aca="false">K1285*INDEX(Surface_Engine!$B$12:$B$72,$A1285+1)+L1286</f>
        <v>28413.9997962685</v>
      </c>
      <c r="M1285" s="48" t="n">
        <f aca="false">M1284+B1284*(IF($A1284&lt;$Q$1266,(Surface_Engine!B248*12)-(Surface_Engine!B248*12)*INDEX(Surface_Engine!$F$12:$F$72,$A1284+1)-INDEX(Surface_Engine!$D$12:$D$72,$A1284+1),-(1000*12*INDEX(Surface_Engine!$C$12:$C$72,$A1284+1)/(1+Assumptions!$B$10)^3+INDEX(Surface_Engine!$D$12:$D$72,$A1284+1))))*INDEX(Surface_Engine!$B$12:$B$72,$A1284+1)</f>
        <v>37854.1961697411</v>
      </c>
      <c r="N1285" s="12" t="n">
        <f aca="false">IF(B1285&lt;=0,0,MAX(0,(K1285+Assumptions!$B$29*L1285/INDEX(Surface_Engine!$B$12:$B$72,$A1285+1)-(M1285/INDEX(Surface_Engine!$B$12:$B$72,$A1285+1)-(F1285/INDEX(Surface_Engine!$B$12:$B$72,$A1285+1))))/B1285))</f>
        <v>0</v>
      </c>
    </row>
    <row r="1286" customFormat="false" ht="15" hidden="false" customHeight="true" outlineLevel="0" collapsed="false">
      <c r="A1286" s="1" t="n">
        <v>18</v>
      </c>
      <c r="B1286" s="32" t="n">
        <f aca="false">INDEX(Surface_Engine!$S$12:$S$72,$A1286+1)*IF($A1286&lt;$Q$1266,INDEX(Surface_Engine!$E$12:$E$72,$A1286+1),INDEX(Surface_Engine!$E$12:$E$72,$Q$1266+1))</f>
        <v>0.454329537904792</v>
      </c>
      <c r="C1286" s="32" t="n">
        <f aca="false">INDEX(Panel_Reserving!$G$8:$G$68,$A1286+1)*IF($A1286&lt;$Q$1266,INDEX(Surface_Engine!$E$12:$E$72,$A1286+1),INDEX(Surface_Engine!$E$12:$E$72,$Q$1266+1))</f>
        <v>0.525538397893011</v>
      </c>
      <c r="D1286" s="32" t="n">
        <f aca="false">INDEX(Surface_Engine!$S$12:$S$72,$A1286+1)*IF($A1286&lt;$Q$1266,INDEX(Surface_Engine!$Y$12:$Y$72,$A1286+1),INDEX(Surface_Engine!$Y$12:$Y$72,$Q$1266+1))</f>
        <v>0.436820166163449</v>
      </c>
      <c r="E1286" s="32" t="n">
        <f aca="false">INDEX(Surface_Engine!$S$12:$S$72,$A1286+1)*IF($A1286&lt;$Q$1266,INDEX(Surface_Engine!$Z$12:$Z$72,$A1286+1),INDEX(Surface_Engine!$Z$12:$Z$72,$Q$1266+1))</f>
        <v>0.472249641286102</v>
      </c>
      <c r="F1286" s="48" t="n">
        <f aca="false">B1286*(IF($A1286&lt;$Q$1266,INDEX(Surface_Engine!$D$12:$D$72,$A1286+1)+(Surface_Engine!B248*12)*INDEX(Surface_Engine!$F$12:$F$72,$A1286+1)-(Surface_Engine!B248*12),1000*12*INDEX(Surface_Engine!$C$12:$C$72,$A1286+1)/(1+Assumptions!$B$10)^3+INDEX(Surface_Engine!$D$12:$D$72,$A1286+1)))*INDEX(Surface_Engine!$B$12:$B$72,$A1286+1)+F1287</f>
        <v>25880.9132982997</v>
      </c>
      <c r="G1286" s="48" t="n">
        <f aca="false">C1286*(IF($A1286&lt;$Q$1266,INDEX(Surface_Engine!$D$12:$D$72,$A1286+1)+(Surface_Engine!B248*12)*INDEX(Surface_Engine!$F$12:$F$72,$A1286+1)-(Surface_Engine!B248*12),1000*12*INDEX(Surface_Engine!$C$12:$C$72,$A1286+1)/(1+Assumptions!$B$10)^3+INDEX(Surface_Engine!$D$12:$D$72,$A1286+1)))*INDEX(Surface_Engine!$B$12:$B$72,$A1286+1)+G1287</f>
        <v>34912.6036337953</v>
      </c>
      <c r="H1286" s="48" t="n">
        <f aca="false">D1286*(IF($A1286&lt;$Q$1266,INDEX(Surface_Engine!$D$12:$D$72,$A1286+1)+(Surface_Engine!B248*12)*INDEX(Surface_Engine!$F$12:$F$72,$A1286+1)-(Surface_Engine!B248*12),1000*12*INDEX(Surface_Engine!$C$12:$C$72,$A1286+1)/(1+Assumptions!$B$10)^3+INDEX(Surface_Engine!$D$12:$D$72,$A1286+1)))*INDEX(Surface_Engine!$B$12:$B$72,$A1286+1)+H1287</f>
        <v>24883.4907357359</v>
      </c>
      <c r="I1286" s="48" t="n">
        <f aca="false">E1286*(IF($A1286&lt;$Q$1266,INDEX(Surface_Engine!$D$12:$D$72,$A1286+1)+(Surface_Engine!B248*12)*INDEX(Surface_Engine!$F$12:$F$72,$A1286+1)-(Surface_Engine!B248*12),1000*12*INDEX(Surface_Engine!$C$12:$C$72,$A1286+1)/(1+Assumptions!$B$10)^3+INDEX(Surface_Engine!$D$12:$D$72,$A1286+1)))*INDEX(Surface_Engine!$B$12:$B$72,$A1286+1)+I1287</f>
        <v>26901.7332169145</v>
      </c>
      <c r="J1286" s="48" t="n">
        <f aca="false">B1286*(IF($A1286&lt;$Q$1266,INDEX(Surface_Engine!$D$12:$D$72,$A1286+1)*(1+Assumptions!$B$24)+(Surface_Engine!B248*12)*INDEX(Surface_Engine!$F$12:$F$72,$A1286+1)-(Surface_Engine!B248*12),1000*12*INDEX(Surface_Engine!$C$12:$C$72,$A1286+1)/(1+Assumptions!$B$10)^3+INDEX(Surface_Engine!$D$12:$D$72,$A1286+1)*(1+Assumptions!$B$24)))*INDEX(Surface_Engine!$B$12:$B$72,$A1286+1)+J1287</f>
        <v>25901.6585845172</v>
      </c>
      <c r="K1286" s="12" t="n">
        <f aca="false">SQRT((IF(C1286&lt;=0,0,MAX(0,(B1286/C1286)*G1286/INDEX(Surface_Engine!$B$12:$B$72,$A1286+1)-F1286/INDEX(Surface_Engine!$B$12:$B$72,$A1286+1))))^2+(MAX(IF(D1286&lt;=0,0,MAX(0,(B1286/D1286)*H1286/INDEX(Surface_Engine!$B$12:$B$72,$A1286+1)-F1286/INDEX(Surface_Engine!$B$12:$B$72,$A1286+1))),IF(E1286&lt;=0,0,MAX(0,(B1286/E1286)*I1286/INDEX(Surface_Engine!$B$12:$B$72,$A1286+1)-F1286/INDEX(Surface_Engine!$B$12:$B$72,$A1286+1))),IF($A1286&lt;$Q$1266,MAX(0,-Assumptions!$B$22*(F1286/INDEX(Surface_Engine!$B$12:$B$72,$A1286+1))),0)))^2+(MAX(0,J1286/INDEX(Surface_Engine!$B$12:$B$72,$A1286+1)-(F1286/INDEX(Surface_Engine!$B$12:$B$72,$A1286+1))))^2+2*Assumptions!$B$26*(IF(C1286&lt;=0,0,MAX(0,(B1286/C1286)*G1286/INDEX(Surface_Engine!$B$12:$B$72,$A1286+1)-F1286/INDEX(Surface_Engine!$B$12:$B$72,$A1286+1))))*(MAX(IF(D1286&lt;=0,0,MAX(0,(B1286/D1286)*H1286/INDEX(Surface_Engine!$B$12:$B$72,$A1286+1)-F1286/INDEX(Surface_Engine!$B$12:$B$72,$A1286+1))),IF(E1286&lt;=0,0,MAX(0,(B1286/E1286)*I1286/INDEX(Surface_Engine!$B$12:$B$72,$A1286+1)-F1286/INDEX(Surface_Engine!$B$12:$B$72,$A1286+1))),IF($A1286&lt;$Q$1266,MAX(0,-Assumptions!$B$22*(F1286/INDEX(Surface_Engine!$B$12:$B$72,$A1286+1))),0)))+2*Assumptions!$B$27*(IF(C1286&lt;=0,0,MAX(0,(B1286/C1286)*G1286/INDEX(Surface_Engine!$B$12:$B$72,$A1286+1)-F1286/INDEX(Surface_Engine!$B$12:$B$72,$A1286+1))))*(MAX(0,J1286/INDEX(Surface_Engine!$B$12:$B$72,$A1286+1)-(F1286/INDEX(Surface_Engine!$B$12:$B$72,$A1286+1))))+2*Assumptions!$B$28*(MAX(IF(D1286&lt;=0,0,MAX(0,(B1286/D1286)*H1286/INDEX(Surface_Engine!$B$12:$B$72,$A1286+1)-F1286/INDEX(Surface_Engine!$B$12:$B$72,$A1286+1))),IF(E1286&lt;=0,0,MAX(0,(B1286/E1286)*I1286/INDEX(Surface_Engine!$B$12:$B$72,$A1286+1)-F1286/INDEX(Surface_Engine!$B$12:$B$72,$A1286+1))),IF($A1286&lt;$Q$1266,MAX(0,-Assumptions!$B$22*(F1286/INDEX(Surface_Engine!$B$12:$B$72,$A1286+1))),0)))*(MAX(0,J1286/INDEX(Surface_Engine!$B$12:$B$72,$A1286+1)-(F1286/INDEX(Surface_Engine!$B$12:$B$72,$A1286+1)))))</f>
        <v>7545.61045938742</v>
      </c>
      <c r="L1286" s="48" t="n">
        <f aca="false">K1286*INDEX(Surface_Engine!$B$12:$B$72,$A1286+1)+L1287</f>
        <v>23512.3599339407</v>
      </c>
      <c r="M1286" s="48" t="n">
        <f aca="false">M1285+B1285*(IF($A1285&lt;$Q$1266,(Surface_Engine!B248*12)-(Surface_Engine!B248*12)*INDEX(Surface_Engine!$F$12:$F$72,$A1285+1)-INDEX(Surface_Engine!$D$12:$D$72,$A1285+1),-(1000*12*INDEX(Surface_Engine!$C$12:$C$72,$A1285+1)/(1+Assumptions!$B$10)^3+INDEX(Surface_Engine!$D$12:$D$72,$A1285+1))))*INDEX(Surface_Engine!$B$12:$B$72,$A1285+1)</f>
        <v>33158.055744573</v>
      </c>
      <c r="N1286" s="12" t="n">
        <f aca="false">IF(B1286&lt;=0,0,MAX(0,(K1286+Assumptions!$B$29*L1286/INDEX(Surface_Engine!$B$12:$B$72,$A1286+1)-(M1286/INDEX(Surface_Engine!$B$12:$B$72,$A1286+1)-(F1286/INDEX(Surface_Engine!$B$12:$B$72,$A1286+1))))/B1286))</f>
        <v>0</v>
      </c>
    </row>
    <row r="1287" customFormat="false" ht="15" hidden="false" customHeight="true" outlineLevel="0" collapsed="false">
      <c r="A1287" s="1" t="n">
        <v>19</v>
      </c>
      <c r="B1287" s="32" t="n">
        <f aca="false">INDEX(Surface_Engine!$S$12:$S$72,$A1287+1)*IF($A1287&lt;$Q$1266,INDEX(Surface_Engine!$E$12:$E$72,$A1287+1),INDEX(Surface_Engine!$E$12:$E$72,$Q$1266+1))</f>
        <v>0.40700588478557</v>
      </c>
      <c r="C1287" s="32" t="n">
        <f aca="false">INDEX(Panel_Reserving!$G$8:$G$68,$A1287+1)*IF($A1287&lt;$Q$1266,INDEX(Surface_Engine!$E$12:$E$72,$A1287+1),INDEX(Surface_Engine!$E$12:$E$72,$Q$1266+1))</f>
        <v>0.481745697189616</v>
      </c>
      <c r="D1287" s="32" t="n">
        <f aca="false">INDEX(Surface_Engine!$S$12:$S$72,$A1287+1)*IF($A1287&lt;$Q$1266,INDEX(Surface_Engine!$Y$12:$Y$72,$A1287+1),INDEX(Surface_Engine!$Y$12:$Y$72,$Q$1266+1))</f>
        <v>0.391320315736968</v>
      </c>
      <c r="E1287" s="32" t="n">
        <f aca="false">INDEX(Surface_Engine!$S$12:$S$72,$A1287+1)*IF($A1287&lt;$Q$1266,INDEX(Surface_Engine!$Z$12:$Z$72,$A1287+1),INDEX(Surface_Engine!$Z$12:$Z$72,$Q$1266+1))</f>
        <v>0.423059403044133</v>
      </c>
      <c r="F1287" s="48" t="n">
        <f aca="false">B1287*(IF($A1287&lt;$Q$1266,INDEX(Surface_Engine!$D$12:$D$72,$A1287+1)+(Surface_Engine!B248*12)*INDEX(Surface_Engine!$F$12:$F$72,$A1287+1)-(Surface_Engine!B248*12),1000*12*INDEX(Surface_Engine!$C$12:$C$72,$A1287+1)/(1+Assumptions!$B$10)^3+INDEX(Surface_Engine!$D$12:$D$72,$A1287+1)))*INDEX(Surface_Engine!$B$12:$B$72,$A1287+1)+F1288</f>
        <v>21660.087211852</v>
      </c>
      <c r="G1287" s="48" t="n">
        <f aca="false">C1287*(IF($A1287&lt;$Q$1266,INDEX(Surface_Engine!$D$12:$D$72,$A1287+1)+(Surface_Engine!B248*12)*INDEX(Surface_Engine!$F$12:$F$72,$A1287+1)-(Surface_Engine!B248*12),1000*12*INDEX(Surface_Engine!$C$12:$C$72,$A1287+1)/(1+Assumptions!$B$10)^3+INDEX(Surface_Engine!$D$12:$D$72,$A1287+1)))*INDEX(Surface_Engine!$B$12:$B$72,$A1287+1)+G1288</f>
        <v>30030.2308312557</v>
      </c>
      <c r="H1287" s="48" t="n">
        <f aca="false">D1287*(IF($A1287&lt;$Q$1266,INDEX(Surface_Engine!$D$12:$D$72,$A1287+1)+(Surface_Engine!B248*12)*INDEX(Surface_Engine!$F$12:$F$72,$A1287+1)-(Surface_Engine!B248*12),1000*12*INDEX(Surface_Engine!$C$12:$C$72,$A1287+1)/(1+Assumptions!$B$10)^3+INDEX(Surface_Engine!$D$12:$D$72,$A1287+1)))*INDEX(Surface_Engine!$B$12:$B$72,$A1287+1)+H1288</f>
        <v>20825.3307469934</v>
      </c>
      <c r="I1287" s="48" t="n">
        <f aca="false">E1287*(IF($A1287&lt;$Q$1266,INDEX(Surface_Engine!$D$12:$D$72,$A1287+1)+(Surface_Engine!B248*12)*INDEX(Surface_Engine!$F$12:$F$72,$A1287+1)-(Surface_Engine!B248*12),1000*12*INDEX(Surface_Engine!$C$12:$C$72,$A1287+1)/(1+Assumptions!$B$10)^3+INDEX(Surface_Engine!$D$12:$D$72,$A1287+1)))*INDEX(Surface_Engine!$B$12:$B$72,$A1287+1)+I1288</f>
        <v>22514.4252411921</v>
      </c>
      <c r="J1287" s="48" t="n">
        <f aca="false">B1287*(IF($A1287&lt;$Q$1266,INDEX(Surface_Engine!$D$12:$D$72,$A1287+1)*(1+Assumptions!$B$24)+(Surface_Engine!B248*12)*INDEX(Surface_Engine!$F$12:$F$72,$A1287+1)-(Surface_Engine!B248*12),1000*12*INDEX(Surface_Engine!$C$12:$C$72,$A1287+1)/(1+Assumptions!$B$10)^3+INDEX(Surface_Engine!$D$12:$D$72,$A1287+1)*(1+Assumptions!$B$24)))*INDEX(Surface_Engine!$B$12:$B$72,$A1287+1)+J1288</f>
        <v>21677.516368301</v>
      </c>
      <c r="K1287" s="12" t="n">
        <f aca="false">SQRT((IF(C1287&lt;=0,0,MAX(0,(B1287/C1287)*G1287/INDEX(Surface_Engine!$B$12:$B$72,$A1287+1)-F1287/INDEX(Surface_Engine!$B$12:$B$72,$A1287+1))))^2+(MAX(IF(D1287&lt;=0,0,MAX(0,(B1287/D1287)*H1287/INDEX(Surface_Engine!$B$12:$B$72,$A1287+1)-F1287/INDEX(Surface_Engine!$B$12:$B$72,$A1287+1))),IF(E1287&lt;=0,0,MAX(0,(B1287/E1287)*I1287/INDEX(Surface_Engine!$B$12:$B$72,$A1287+1)-F1287/INDEX(Surface_Engine!$B$12:$B$72,$A1287+1))),IF($A1287&lt;$Q$1266,MAX(0,-Assumptions!$B$22*(F1287/INDEX(Surface_Engine!$B$12:$B$72,$A1287+1))),0)))^2+(MAX(0,J1287/INDEX(Surface_Engine!$B$12:$B$72,$A1287+1)-(F1287/INDEX(Surface_Engine!$B$12:$B$72,$A1287+1))))^2+2*Assumptions!$B$26*(IF(C1287&lt;=0,0,MAX(0,(B1287/C1287)*G1287/INDEX(Surface_Engine!$B$12:$B$72,$A1287+1)-F1287/INDEX(Surface_Engine!$B$12:$B$72,$A1287+1))))*(MAX(IF(D1287&lt;=0,0,MAX(0,(B1287/D1287)*H1287/INDEX(Surface_Engine!$B$12:$B$72,$A1287+1)-F1287/INDEX(Surface_Engine!$B$12:$B$72,$A1287+1))),IF(E1287&lt;=0,0,MAX(0,(B1287/E1287)*I1287/INDEX(Surface_Engine!$B$12:$B$72,$A1287+1)-F1287/INDEX(Surface_Engine!$B$12:$B$72,$A1287+1))),IF($A1287&lt;$Q$1266,MAX(0,-Assumptions!$B$22*(F1287/INDEX(Surface_Engine!$B$12:$B$72,$A1287+1))),0)))+2*Assumptions!$B$27*(IF(C1287&lt;=0,0,MAX(0,(B1287/C1287)*G1287/INDEX(Surface_Engine!$B$12:$B$72,$A1287+1)-F1287/INDEX(Surface_Engine!$B$12:$B$72,$A1287+1))))*(MAX(0,J1287/INDEX(Surface_Engine!$B$12:$B$72,$A1287+1)-(F1287/INDEX(Surface_Engine!$B$12:$B$72,$A1287+1))))+2*Assumptions!$B$28*(MAX(IF(D1287&lt;=0,0,MAX(0,(B1287/D1287)*H1287/INDEX(Surface_Engine!$B$12:$B$72,$A1287+1)-F1287/INDEX(Surface_Engine!$B$12:$B$72,$A1287+1))),IF(E1287&lt;=0,0,MAX(0,(B1287/E1287)*I1287/INDEX(Surface_Engine!$B$12:$B$72,$A1287+1)-F1287/INDEX(Surface_Engine!$B$12:$B$72,$A1287+1))),IF($A1287&lt;$Q$1266,MAX(0,-Assumptions!$B$22*(F1287/INDEX(Surface_Engine!$B$12:$B$72,$A1287+1))),0)))*(MAX(0,J1287/INDEX(Surface_Engine!$B$12:$B$72,$A1287+1)-(F1287/INDEX(Surface_Engine!$B$12:$B$72,$A1287+1)))))</f>
        <v>6720.1183202178</v>
      </c>
      <c r="L1287" s="48" t="n">
        <f aca="false">K1287*INDEX(Surface_Engine!$B$12:$B$72,$A1287+1)+L1288</f>
        <v>19205.9884020418</v>
      </c>
      <c r="M1287" s="48" t="n">
        <f aca="false">M1286+B1286*(IF($A1286&lt;$Q$1266,(Surface_Engine!B248*12)-(Surface_Engine!B248*12)*INDEX(Surface_Engine!$F$12:$F$72,$A1286+1)-INDEX(Surface_Engine!$D$12:$D$72,$A1286+1),-(1000*12*INDEX(Surface_Engine!$C$12:$C$72,$A1286+1)/(1+Assumptions!$B$10)^3+INDEX(Surface_Engine!$D$12:$D$72,$A1286+1))))*INDEX(Surface_Engine!$B$12:$B$72,$A1286+1)</f>
        <v>28937.2296581253</v>
      </c>
      <c r="N1287" s="12" t="n">
        <f aca="false">IF(B1287&lt;=0,0,MAX(0,(K1287+Assumptions!$B$29*L1287/INDEX(Surface_Engine!$B$12:$B$72,$A1287+1)-(M1287/INDEX(Surface_Engine!$B$12:$B$72,$A1287+1)-(F1287/INDEX(Surface_Engine!$B$12:$B$72,$A1287+1))))/B1287))</f>
        <v>0</v>
      </c>
    </row>
    <row r="1288" customFormat="false" ht="15" hidden="false" customHeight="true" outlineLevel="0" collapsed="false">
      <c r="A1288" s="1" t="n">
        <v>20</v>
      </c>
      <c r="B1288" s="32" t="n">
        <f aca="false">INDEX(Surface_Engine!$S$12:$S$72,$A1288+1)*IF($A1288&lt;$Q$1266,INDEX(Surface_Engine!$E$12:$E$72,$A1288+1),INDEX(Surface_Engine!$E$12:$E$72,$Q$1266+1))</f>
        <v>0.359428168530494</v>
      </c>
      <c r="C1288" s="32" t="n">
        <f aca="false">INDEX(Panel_Reserving!$G$8:$G$68,$A1288+1)*IF($A1288&lt;$Q$1266,INDEX(Surface_Engine!$E$12:$E$72,$A1288+1),INDEX(Surface_Engine!$E$12:$E$72,$Q$1266+1))</f>
        <v>0.436694043747176</v>
      </c>
      <c r="D1288" s="32" t="n">
        <f aca="false">INDEX(Surface_Engine!$S$12:$S$72,$A1288+1)*IF($A1288&lt;$Q$1266,INDEX(Surface_Engine!$Y$12:$Y$72,$A1288+1),INDEX(Surface_Engine!$Y$12:$Y$72,$Q$1266+1))</f>
        <v>0.345576193494634</v>
      </c>
      <c r="E1288" s="32" t="n">
        <f aca="false">INDEX(Surface_Engine!$S$12:$S$72,$A1288+1)*IF($A1288&lt;$Q$1266,INDEX(Surface_Engine!$Z$12:$Z$72,$A1288+1),INDEX(Surface_Engine!$Z$12:$Z$72,$Q$1266+1))</f>
        <v>0.373605080663315</v>
      </c>
      <c r="F1288" s="48" t="n">
        <f aca="false">B1288*(IF($A1288&lt;$Q$1266,INDEX(Surface_Engine!$D$12:$D$72,$A1288+1)+(Surface_Engine!B248*12)*INDEX(Surface_Engine!$F$12:$F$72,$A1288+1)-(Surface_Engine!B248*12),1000*12*INDEX(Surface_Engine!$C$12:$C$72,$A1288+1)/(1+Assumptions!$B$10)^3+INDEX(Surface_Engine!$D$12:$D$72,$A1288+1)))*INDEX(Surface_Engine!$B$12:$B$72,$A1288+1)+F1289</f>
        <v>17923.5291208927</v>
      </c>
      <c r="G1288" s="48" t="n">
        <f aca="false">C1288*(IF($A1288&lt;$Q$1266,INDEX(Surface_Engine!$D$12:$D$72,$A1288+1)+(Surface_Engine!B248*12)*INDEX(Surface_Engine!$F$12:$F$72,$A1288+1)-(Surface_Engine!B248*12),1000*12*INDEX(Surface_Engine!$C$12:$C$72,$A1288+1)/(1+Assumptions!$B$10)^3+INDEX(Surface_Engine!$D$12:$D$72,$A1288+1)))*INDEX(Surface_Engine!$B$12:$B$72,$A1288+1)+G1289</f>
        <v>25607.5164433126</v>
      </c>
      <c r="H1288" s="48" t="n">
        <f aca="false">D1288*(IF($A1288&lt;$Q$1266,INDEX(Surface_Engine!$D$12:$D$72,$A1288+1)+(Surface_Engine!B248*12)*INDEX(Surface_Engine!$F$12:$F$72,$A1288+1)-(Surface_Engine!B248*12),1000*12*INDEX(Surface_Engine!$C$12:$C$72,$A1288+1)/(1+Assumptions!$B$10)^3+INDEX(Surface_Engine!$D$12:$D$72,$A1288+1)))*INDEX(Surface_Engine!$B$12:$B$72,$A1288+1)+H1289</f>
        <v>17232.7755860427</v>
      </c>
      <c r="I1288" s="48" t="n">
        <f aca="false">E1288*(IF($A1288&lt;$Q$1266,INDEX(Surface_Engine!$D$12:$D$72,$A1288+1)+(Surface_Engine!B248*12)*INDEX(Surface_Engine!$F$12:$F$72,$A1288+1)-(Surface_Engine!B248*12),1000*12*INDEX(Surface_Engine!$C$12:$C$72,$A1288+1)/(1+Assumptions!$B$10)^3+INDEX(Surface_Engine!$D$12:$D$72,$A1288+1)))*INDEX(Surface_Engine!$B$12:$B$72,$A1288+1)+I1289</f>
        <v>18630.4862258293</v>
      </c>
      <c r="J1288" s="48" t="n">
        <f aca="false">B1288*(IF($A1288&lt;$Q$1266,INDEX(Surface_Engine!$D$12:$D$72,$A1288+1)*(1+Assumptions!$B$24)+(Surface_Engine!B248*12)*INDEX(Surface_Engine!$F$12:$F$72,$A1288+1)-(Surface_Engine!B248*12),1000*12*INDEX(Surface_Engine!$C$12:$C$72,$A1288+1)/(1+Assumptions!$B$10)^3+INDEX(Surface_Engine!$D$12:$D$72,$A1288+1)*(1+Assumptions!$B$24)))*INDEX(Surface_Engine!$B$12:$B$72,$A1288+1)+J1289</f>
        <v>17938.0083401738</v>
      </c>
      <c r="K1288" s="12" t="n">
        <f aca="false">SQRT((IF(C1288&lt;=0,0,MAX(0,(B1288/C1288)*G1288/INDEX(Surface_Engine!$B$12:$B$72,$A1288+1)-F1288/INDEX(Surface_Engine!$B$12:$B$72,$A1288+1))))^2+(MAX(IF(D1288&lt;=0,0,MAX(0,(B1288/D1288)*H1288/INDEX(Surface_Engine!$B$12:$B$72,$A1288+1)-F1288/INDEX(Surface_Engine!$B$12:$B$72,$A1288+1))),IF(E1288&lt;=0,0,MAX(0,(B1288/E1288)*I1288/INDEX(Surface_Engine!$B$12:$B$72,$A1288+1)-F1288/INDEX(Surface_Engine!$B$12:$B$72,$A1288+1))),IF($A1288&lt;$Q$1266,MAX(0,-Assumptions!$B$22*(F1288/INDEX(Surface_Engine!$B$12:$B$72,$A1288+1))),0)))^2+(MAX(0,J1288/INDEX(Surface_Engine!$B$12:$B$72,$A1288+1)-(F1288/INDEX(Surface_Engine!$B$12:$B$72,$A1288+1))))^2+2*Assumptions!$B$26*(IF(C1288&lt;=0,0,MAX(0,(B1288/C1288)*G1288/INDEX(Surface_Engine!$B$12:$B$72,$A1288+1)-F1288/INDEX(Surface_Engine!$B$12:$B$72,$A1288+1))))*(MAX(IF(D1288&lt;=0,0,MAX(0,(B1288/D1288)*H1288/INDEX(Surface_Engine!$B$12:$B$72,$A1288+1)-F1288/INDEX(Surface_Engine!$B$12:$B$72,$A1288+1))),IF(E1288&lt;=0,0,MAX(0,(B1288/E1288)*I1288/INDEX(Surface_Engine!$B$12:$B$72,$A1288+1)-F1288/INDEX(Surface_Engine!$B$12:$B$72,$A1288+1))),IF($A1288&lt;$Q$1266,MAX(0,-Assumptions!$B$22*(F1288/INDEX(Surface_Engine!$B$12:$B$72,$A1288+1))),0)))+2*Assumptions!$B$27*(IF(C1288&lt;=0,0,MAX(0,(B1288/C1288)*G1288/INDEX(Surface_Engine!$B$12:$B$72,$A1288+1)-F1288/INDEX(Surface_Engine!$B$12:$B$72,$A1288+1))))*(MAX(0,J1288/INDEX(Surface_Engine!$B$12:$B$72,$A1288+1)-(F1288/INDEX(Surface_Engine!$B$12:$B$72,$A1288+1))))+2*Assumptions!$B$28*(MAX(IF(D1288&lt;=0,0,MAX(0,(B1288/D1288)*H1288/INDEX(Surface_Engine!$B$12:$B$72,$A1288+1)-F1288/INDEX(Surface_Engine!$B$12:$B$72,$A1288+1))),IF(E1288&lt;=0,0,MAX(0,(B1288/E1288)*I1288/INDEX(Surface_Engine!$B$12:$B$72,$A1288+1)-F1288/INDEX(Surface_Engine!$B$12:$B$72,$A1288+1))),IF($A1288&lt;$Q$1266,MAX(0,-Assumptions!$B$22*(F1288/INDEX(Surface_Engine!$B$12:$B$72,$A1288+1))),0)))*(MAX(0,J1288/INDEX(Surface_Engine!$B$12:$B$72,$A1288+1)-(F1288/INDEX(Surface_Engine!$B$12:$B$72,$A1288+1)))))</f>
        <v>5891.58849046154</v>
      </c>
      <c r="L1288" s="48" t="n">
        <f aca="false">K1288*INDEX(Surface_Engine!$B$12:$B$72,$A1288+1)+L1289</f>
        <v>15490.4504469914</v>
      </c>
      <c r="M1288" s="48" t="n">
        <f aca="false">M1287+B1287*(IF($A1287&lt;$Q$1266,(Surface_Engine!B248*12)-(Surface_Engine!B248*12)*INDEX(Surface_Engine!$F$12:$F$72,$A1287+1)-INDEX(Surface_Engine!$D$12:$D$72,$A1287+1),-(1000*12*INDEX(Surface_Engine!$C$12:$C$72,$A1287+1)/(1+Assumptions!$B$10)^3+INDEX(Surface_Engine!$D$12:$D$72,$A1287+1))))*INDEX(Surface_Engine!$B$12:$B$72,$A1287+1)</f>
        <v>25200.6715671661</v>
      </c>
      <c r="N1288" s="12" t="n">
        <f aca="false">IF(B1288&lt;=0,0,MAX(0,(K1288+Assumptions!$B$29*L1288/INDEX(Surface_Engine!$B$12:$B$72,$A1288+1)-(M1288/INDEX(Surface_Engine!$B$12:$B$72,$A1288+1)-(F1288/INDEX(Surface_Engine!$B$12:$B$72,$A1288+1))))/B1288))</f>
        <v>0</v>
      </c>
    </row>
    <row r="1289" customFormat="false" ht="15" hidden="false" customHeight="true" outlineLevel="0" collapsed="false">
      <c r="A1289" s="1" t="n">
        <v>21</v>
      </c>
      <c r="B1289" s="32" t="n">
        <f aca="false">INDEX(Surface_Engine!$S$12:$S$72,$A1289+1)*IF($A1289&lt;$Q$1266,INDEX(Surface_Engine!$E$12:$E$72,$A1289+1),INDEX(Surface_Engine!$E$12:$E$72,$Q$1266+1))</f>
        <v>0.312790811962843</v>
      </c>
      <c r="C1289" s="32" t="n">
        <f aca="false">INDEX(Panel_Reserving!$G$8:$G$68,$A1289+1)*IF($A1289&lt;$Q$1266,INDEX(Surface_Engine!$E$12:$E$72,$A1289+1),INDEX(Surface_Engine!$E$12:$E$72,$Q$1266+1))</f>
        <v>0.391363693791639</v>
      </c>
      <c r="D1289" s="32" t="n">
        <f aca="false">INDEX(Surface_Engine!$S$12:$S$72,$A1289+1)*IF($A1289&lt;$Q$1266,INDEX(Surface_Engine!$Y$12:$Y$72,$A1289+1),INDEX(Surface_Engine!$Y$12:$Y$72,$Q$1266+1))</f>
        <v>0.300736190488767</v>
      </c>
      <c r="E1289" s="32" t="n">
        <f aca="false">INDEX(Surface_Engine!$S$12:$S$72,$A1289+1)*IF($A1289&lt;$Q$1266,INDEX(Surface_Engine!$Z$12:$Z$72,$A1289+1),INDEX(Surface_Engine!$Z$12:$Z$72,$Q$1266+1))</f>
        <v>0.325128208542752</v>
      </c>
      <c r="F1289" s="48" t="n">
        <f aca="false">B1289*(IF($A1289&lt;$Q$1266,INDEX(Surface_Engine!$D$12:$D$72,$A1289+1)+(Surface_Engine!B248*12)*INDEX(Surface_Engine!$F$12:$F$72,$A1289+1)-(Surface_Engine!B248*12),1000*12*INDEX(Surface_Engine!$C$12:$C$72,$A1289+1)/(1+Assumptions!$B$10)^3+INDEX(Surface_Engine!$D$12:$D$72,$A1289+1)))*INDEX(Surface_Engine!$B$12:$B$72,$A1289+1)+F1290</f>
        <v>14661.6269207966</v>
      </c>
      <c r="G1289" s="48" t="n">
        <f aca="false">C1289*(IF($A1289&lt;$Q$1266,INDEX(Surface_Engine!$D$12:$D$72,$A1289+1)+(Surface_Engine!B248*12)*INDEX(Surface_Engine!$F$12:$F$72,$A1289+1)-(Surface_Engine!B248*12),1000*12*INDEX(Surface_Engine!$C$12:$C$72,$A1289+1)/(1+Assumptions!$B$10)^3+INDEX(Surface_Engine!$D$12:$D$72,$A1289+1)))*INDEX(Surface_Engine!$B$12:$B$72,$A1289+1)+G1290</f>
        <v>21644.406740777</v>
      </c>
      <c r="H1289" s="48" t="n">
        <f aca="false">D1289*(IF($A1289&lt;$Q$1266,INDEX(Surface_Engine!$D$12:$D$72,$A1289+1)+(Surface_Engine!B248*12)*INDEX(Surface_Engine!$F$12:$F$72,$A1289+1)-(Surface_Engine!B248*12),1000*12*INDEX(Surface_Engine!$C$12:$C$72,$A1289+1)/(1+Assumptions!$B$10)^3+INDEX(Surface_Engine!$D$12:$D$72,$A1289+1)))*INDEX(Surface_Engine!$B$12:$B$72,$A1289+1)+H1290</f>
        <v>14096.5835884326</v>
      </c>
      <c r="I1289" s="48" t="n">
        <f aca="false">E1289*(IF($A1289&lt;$Q$1266,INDEX(Surface_Engine!$D$12:$D$72,$A1289+1)+(Surface_Engine!B248*12)*INDEX(Surface_Engine!$F$12:$F$72,$A1289+1)-(Surface_Engine!B248*12),1000*12*INDEX(Surface_Engine!$C$12:$C$72,$A1289+1)/(1+Assumptions!$B$10)^3+INDEX(Surface_Engine!$D$12:$D$72,$A1289+1)))*INDEX(Surface_Engine!$B$12:$B$72,$A1289+1)+I1290</f>
        <v>15239.9249363087</v>
      </c>
      <c r="J1289" s="48" t="n">
        <f aca="false">B1289*(IF($A1289&lt;$Q$1266,INDEX(Surface_Engine!$D$12:$D$72,$A1289+1)*(1+Assumptions!$B$24)+(Surface_Engine!B248*12)*INDEX(Surface_Engine!$F$12:$F$72,$A1289+1)-(Surface_Engine!B248*12),1000*12*INDEX(Surface_Engine!$C$12:$C$72,$A1289+1)/(1+Assumptions!$B$10)^3+INDEX(Surface_Engine!$D$12:$D$72,$A1289+1)*(1+Assumptions!$B$24)))*INDEX(Surface_Engine!$B$12:$B$72,$A1289+1)+J1290</f>
        <v>14673.5184107385</v>
      </c>
      <c r="K1289" s="12" t="n">
        <f aca="false">SQRT((IF(C1289&lt;=0,0,MAX(0,(B1289/C1289)*G1289/INDEX(Surface_Engine!$B$12:$B$72,$A1289+1)-F1289/INDEX(Surface_Engine!$B$12:$B$72,$A1289+1))))^2+(MAX(IF(D1289&lt;=0,0,MAX(0,(B1289/D1289)*H1289/INDEX(Surface_Engine!$B$12:$B$72,$A1289+1)-F1289/INDEX(Surface_Engine!$B$12:$B$72,$A1289+1))),IF(E1289&lt;=0,0,MAX(0,(B1289/E1289)*I1289/INDEX(Surface_Engine!$B$12:$B$72,$A1289+1)-F1289/INDEX(Surface_Engine!$B$12:$B$72,$A1289+1))),IF($A1289&lt;$Q$1266,MAX(0,-Assumptions!$B$22*(F1289/INDEX(Surface_Engine!$B$12:$B$72,$A1289+1))),0)))^2+(MAX(0,J1289/INDEX(Surface_Engine!$B$12:$B$72,$A1289+1)-(F1289/INDEX(Surface_Engine!$B$12:$B$72,$A1289+1))))^2+2*Assumptions!$B$26*(IF(C1289&lt;=0,0,MAX(0,(B1289/C1289)*G1289/INDEX(Surface_Engine!$B$12:$B$72,$A1289+1)-F1289/INDEX(Surface_Engine!$B$12:$B$72,$A1289+1))))*(MAX(IF(D1289&lt;=0,0,MAX(0,(B1289/D1289)*H1289/INDEX(Surface_Engine!$B$12:$B$72,$A1289+1)-F1289/INDEX(Surface_Engine!$B$12:$B$72,$A1289+1))),IF(E1289&lt;=0,0,MAX(0,(B1289/E1289)*I1289/INDEX(Surface_Engine!$B$12:$B$72,$A1289+1)-F1289/INDEX(Surface_Engine!$B$12:$B$72,$A1289+1))),IF($A1289&lt;$Q$1266,MAX(0,-Assumptions!$B$22*(F1289/INDEX(Surface_Engine!$B$12:$B$72,$A1289+1))),0)))+2*Assumptions!$B$27*(IF(C1289&lt;=0,0,MAX(0,(B1289/C1289)*G1289/INDEX(Surface_Engine!$B$12:$B$72,$A1289+1)-F1289/INDEX(Surface_Engine!$B$12:$B$72,$A1289+1))))*(MAX(0,J1289/INDEX(Surface_Engine!$B$12:$B$72,$A1289+1)-(F1289/INDEX(Surface_Engine!$B$12:$B$72,$A1289+1))))+2*Assumptions!$B$28*(MAX(IF(D1289&lt;=0,0,MAX(0,(B1289/D1289)*H1289/INDEX(Surface_Engine!$B$12:$B$72,$A1289+1)-F1289/INDEX(Surface_Engine!$B$12:$B$72,$A1289+1))),IF(E1289&lt;=0,0,MAX(0,(B1289/E1289)*I1289/INDEX(Surface_Engine!$B$12:$B$72,$A1289+1)-F1289/INDEX(Surface_Engine!$B$12:$B$72,$A1289+1))),IF($A1289&lt;$Q$1266,MAX(0,-Assumptions!$B$22*(F1289/INDEX(Surface_Engine!$B$12:$B$72,$A1289+1))),0)))*(MAX(0,J1289/INDEX(Surface_Engine!$B$12:$B$72,$A1289+1)-(F1289/INDEX(Surface_Engine!$B$12:$B$72,$A1289+1)))))</f>
        <v>5084.81111610164</v>
      </c>
      <c r="L1289" s="48" t="n">
        <f aca="false">K1289*INDEX(Surface_Engine!$B$12:$B$72,$A1289+1)+L1290</f>
        <v>12333.6437828124</v>
      </c>
      <c r="M1289" s="48" t="n">
        <f aca="false">M1288+B1288*(IF($A1288&lt;$Q$1266,(Surface_Engine!B248*12)-(Surface_Engine!B248*12)*INDEX(Surface_Engine!$F$12:$F$72,$A1288+1)-INDEX(Surface_Engine!$D$12:$D$72,$A1288+1),-(1000*12*INDEX(Surface_Engine!$C$12:$C$72,$A1288+1)/(1+Assumptions!$B$10)^3+INDEX(Surface_Engine!$D$12:$D$72,$A1288+1))))*INDEX(Surface_Engine!$B$12:$B$72,$A1288+1)</f>
        <v>21938.7693670699</v>
      </c>
      <c r="N1289" s="12" t="n">
        <f aca="false">IF(B1289&lt;=0,0,MAX(0,(K1289+Assumptions!$B$29*L1289/INDEX(Surface_Engine!$B$12:$B$72,$A1289+1)-(M1289/INDEX(Surface_Engine!$B$12:$B$72,$A1289+1)-(F1289/INDEX(Surface_Engine!$B$12:$B$72,$A1289+1))))/B1289))</f>
        <v>0</v>
      </c>
    </row>
    <row r="1290" customFormat="false" ht="15" hidden="false" customHeight="true" outlineLevel="0" collapsed="false">
      <c r="A1290" s="1" t="n">
        <v>22</v>
      </c>
      <c r="B1290" s="32" t="n">
        <f aca="false">INDEX(Surface_Engine!$S$12:$S$72,$A1290+1)*IF($A1290&lt;$Q$1266,INDEX(Surface_Engine!$E$12:$E$72,$A1290+1),INDEX(Surface_Engine!$E$12:$E$72,$Q$1266+1))</f>
        <v>0.268440174678932</v>
      </c>
      <c r="C1290" s="32" t="n">
        <f aca="false">INDEX(Panel_Reserving!$G$8:$G$68,$A1290+1)*IF($A1290&lt;$Q$1266,INDEX(Surface_Engine!$E$12:$E$72,$A1290+1),INDEX(Surface_Engine!$E$12:$E$72,$Q$1266+1))</f>
        <v>0.346970499194845</v>
      </c>
      <c r="D1290" s="32" t="n">
        <f aca="false">INDEX(Surface_Engine!$S$12:$S$72,$A1290+1)*IF($A1290&lt;$Q$1266,INDEX(Surface_Engine!$Y$12:$Y$72,$A1290+1),INDEX(Surface_Engine!$Y$12:$Y$72,$Q$1266+1))</f>
        <v>0.258094779064902</v>
      </c>
      <c r="E1290" s="32" t="n">
        <f aca="false">INDEX(Surface_Engine!$S$12:$S$72,$A1290+1)*IF($A1290&lt;$Q$1266,INDEX(Surface_Engine!$Z$12:$Z$72,$A1290+1),INDEX(Surface_Engine!$Z$12:$Z$72,$Q$1266+1))</f>
        <v>0.279028250691176</v>
      </c>
      <c r="F1290" s="48" t="n">
        <f aca="false">B1290*(IF($A1290&lt;$Q$1266,INDEX(Surface_Engine!$D$12:$D$72,$A1290+1)+(Surface_Engine!B248*12)*INDEX(Surface_Engine!$F$12:$F$72,$A1290+1)-(Surface_Engine!B248*12),1000*12*INDEX(Surface_Engine!$C$12:$C$72,$A1290+1)/(1+Assumptions!$B$10)^3+INDEX(Surface_Engine!$D$12:$D$72,$A1290+1)))*INDEX(Surface_Engine!$B$12:$B$72,$A1290+1)+F1291</f>
        <v>11855.5972913765</v>
      </c>
      <c r="G1290" s="48" t="n">
        <f aca="false">C1290*(IF($A1290&lt;$Q$1266,INDEX(Surface_Engine!$D$12:$D$72,$A1290+1)+(Surface_Engine!B248*12)*INDEX(Surface_Engine!$F$12:$F$72,$A1290+1)-(Surface_Engine!B248*12),1000*12*INDEX(Surface_Engine!$C$12:$C$72,$A1290+1)/(1+Assumptions!$B$10)^3+INDEX(Surface_Engine!$D$12:$D$72,$A1290+1)))*INDEX(Surface_Engine!$B$12:$B$72,$A1290+1)+G1291</f>
        <v>18133.5039947299</v>
      </c>
      <c r="H1290" s="48" t="n">
        <f aca="false">D1290*(IF($A1290&lt;$Q$1266,INDEX(Surface_Engine!$D$12:$D$72,$A1290+1)+(Surface_Engine!B248*12)*INDEX(Surface_Engine!$F$12:$F$72,$A1290+1)-(Surface_Engine!B248*12),1000*12*INDEX(Surface_Engine!$C$12:$C$72,$A1290+1)/(1+Assumptions!$B$10)^3+INDEX(Surface_Engine!$D$12:$D$72,$A1290+1)))*INDEX(Surface_Engine!$B$12:$B$72,$A1290+1)+H1291</f>
        <v>11398.6953229338</v>
      </c>
      <c r="I1290" s="48" t="n">
        <f aca="false">E1290*(IF($A1290&lt;$Q$1266,INDEX(Surface_Engine!$D$12:$D$72,$A1290+1)+(Surface_Engine!B248*12)*INDEX(Surface_Engine!$F$12:$F$72,$A1290+1)-(Surface_Engine!B248*12),1000*12*INDEX(Surface_Engine!$C$12:$C$72,$A1290+1)/(1+Assumptions!$B$10)^3+INDEX(Surface_Engine!$D$12:$D$72,$A1290+1)))*INDEX(Surface_Engine!$B$12:$B$72,$A1290+1)+I1291</f>
        <v>12323.2171826308</v>
      </c>
      <c r="J1290" s="48" t="n">
        <f aca="false">B1290*(IF($A1290&lt;$Q$1266,INDEX(Surface_Engine!$D$12:$D$72,$A1290+1)*(1+Assumptions!$B$24)+(Surface_Engine!B248*12)*INDEX(Surface_Engine!$F$12:$F$72,$A1290+1)-(Surface_Engine!B248*12),1000*12*INDEX(Surface_Engine!$C$12:$C$72,$A1290+1)/(1+Assumptions!$B$10)^3+INDEX(Surface_Engine!$D$12:$D$72,$A1290+1)*(1+Assumptions!$B$24)))*INDEX(Surface_Engine!$B$12:$B$72,$A1290+1)+J1291</f>
        <v>11865.2518792469</v>
      </c>
      <c r="K1290" s="12" t="n">
        <f aca="false">SQRT((IF(C1290&lt;=0,0,MAX(0,(B1290/C1290)*G1290/INDEX(Surface_Engine!$B$12:$B$72,$A1290+1)-F1290/INDEX(Surface_Engine!$B$12:$B$72,$A1290+1))))^2+(MAX(IF(D1290&lt;=0,0,MAX(0,(B1290/D1290)*H1290/INDEX(Surface_Engine!$B$12:$B$72,$A1290+1)-F1290/INDEX(Surface_Engine!$B$12:$B$72,$A1290+1))),IF(E1290&lt;=0,0,MAX(0,(B1290/E1290)*I1290/INDEX(Surface_Engine!$B$12:$B$72,$A1290+1)-F1290/INDEX(Surface_Engine!$B$12:$B$72,$A1290+1))),IF($A1290&lt;$Q$1266,MAX(0,-Assumptions!$B$22*(F1290/INDEX(Surface_Engine!$B$12:$B$72,$A1290+1))),0)))^2+(MAX(0,J1290/INDEX(Surface_Engine!$B$12:$B$72,$A1290+1)-(F1290/INDEX(Surface_Engine!$B$12:$B$72,$A1290+1))))^2+2*Assumptions!$B$26*(IF(C1290&lt;=0,0,MAX(0,(B1290/C1290)*G1290/INDEX(Surface_Engine!$B$12:$B$72,$A1290+1)-F1290/INDEX(Surface_Engine!$B$12:$B$72,$A1290+1))))*(MAX(IF(D1290&lt;=0,0,MAX(0,(B1290/D1290)*H1290/INDEX(Surface_Engine!$B$12:$B$72,$A1290+1)-F1290/INDEX(Surface_Engine!$B$12:$B$72,$A1290+1))),IF(E1290&lt;=0,0,MAX(0,(B1290/E1290)*I1290/INDEX(Surface_Engine!$B$12:$B$72,$A1290+1)-F1290/INDEX(Surface_Engine!$B$12:$B$72,$A1290+1))),IF($A1290&lt;$Q$1266,MAX(0,-Assumptions!$B$22*(F1290/INDEX(Surface_Engine!$B$12:$B$72,$A1290+1))),0)))+2*Assumptions!$B$27*(IF(C1290&lt;=0,0,MAX(0,(B1290/C1290)*G1290/INDEX(Surface_Engine!$B$12:$B$72,$A1290+1)-F1290/INDEX(Surface_Engine!$B$12:$B$72,$A1290+1))))*(MAX(0,J1290/INDEX(Surface_Engine!$B$12:$B$72,$A1290+1)-(F1290/INDEX(Surface_Engine!$B$12:$B$72,$A1290+1))))+2*Assumptions!$B$28*(MAX(IF(D1290&lt;=0,0,MAX(0,(B1290/D1290)*H1290/INDEX(Surface_Engine!$B$12:$B$72,$A1290+1)-F1290/INDEX(Surface_Engine!$B$12:$B$72,$A1290+1))),IF(E1290&lt;=0,0,MAX(0,(B1290/E1290)*I1290/INDEX(Surface_Engine!$B$12:$B$72,$A1290+1)-F1290/INDEX(Surface_Engine!$B$12:$B$72,$A1290+1))),IF($A1290&lt;$Q$1266,MAX(0,-Assumptions!$B$22*(F1290/INDEX(Surface_Engine!$B$12:$B$72,$A1290+1))),0)))*(MAX(0,J1290/INDEX(Surface_Engine!$B$12:$B$72,$A1290+1)-(F1290/INDEX(Surface_Engine!$B$12:$B$72,$A1290+1)))))</f>
        <v>4324.72663968848</v>
      </c>
      <c r="L1290" s="48" t="n">
        <f aca="false">K1290*INDEX(Surface_Engine!$B$12:$B$72,$A1290+1)+L1291</f>
        <v>9693.34677472632</v>
      </c>
      <c r="M1290" s="48" t="n">
        <f aca="false">M1289+B1289*(IF($A1289&lt;$Q$1266,(Surface_Engine!B248*12)-(Surface_Engine!B248*12)*INDEX(Surface_Engine!$F$12:$F$72,$A1289+1)-INDEX(Surface_Engine!$D$12:$D$72,$A1289+1),-(1000*12*INDEX(Surface_Engine!$C$12:$C$72,$A1289+1)/(1+Assumptions!$B$10)^3+INDEX(Surface_Engine!$D$12:$D$72,$A1289+1))))*INDEX(Surface_Engine!$B$12:$B$72,$A1289+1)</f>
        <v>19132.7397376498</v>
      </c>
      <c r="N1290" s="12" t="n">
        <f aca="false">IF(B1290&lt;=0,0,MAX(0,(K1290+Assumptions!$B$29*L1290/INDEX(Surface_Engine!$B$12:$B$72,$A1290+1)-(M1290/INDEX(Surface_Engine!$B$12:$B$72,$A1290+1)-(F1290/INDEX(Surface_Engine!$B$12:$B$72,$A1290+1))))/B1290))</f>
        <v>0</v>
      </c>
    </row>
    <row r="1291" customFormat="false" ht="15" hidden="false" customHeight="true" outlineLevel="0" collapsed="false">
      <c r="A1291" s="1" t="n">
        <v>23</v>
      </c>
      <c r="B1291" s="32" t="n">
        <f aca="false">INDEX(Surface_Engine!$S$12:$S$72,$A1291+1)*IF($A1291&lt;$Q$1266,INDEX(Surface_Engine!$E$12:$E$72,$A1291+1),INDEX(Surface_Engine!$E$12:$E$72,$Q$1266+1))</f>
        <v>0.227389335008303</v>
      </c>
      <c r="C1291" s="32" t="n">
        <f aca="false">INDEX(Panel_Reserving!$G$8:$G$68,$A1291+1)*IF($A1291&lt;$Q$1266,INDEX(Surface_Engine!$E$12:$E$72,$A1291+1),INDEX(Surface_Engine!$E$12:$E$72,$Q$1266+1))</f>
        <v>0.304522515095828</v>
      </c>
      <c r="D1291" s="32" t="n">
        <f aca="false">INDEX(Surface_Engine!$S$12:$S$72,$A1291+1)*IF($A1291&lt;$Q$1266,INDEX(Surface_Engine!$Y$12:$Y$72,$A1291+1),INDEX(Surface_Engine!$Y$12:$Y$72,$Q$1266+1))</f>
        <v>0.218625994603366</v>
      </c>
      <c r="E1291" s="32" t="n">
        <f aca="false">INDEX(Surface_Engine!$S$12:$S$72,$A1291+1)*IF($A1291&lt;$Q$1266,INDEX(Surface_Engine!$Z$12:$Z$72,$A1291+1),INDEX(Surface_Engine!$Z$12:$Z$72,$Q$1266+1))</f>
        <v>0.236358244249705</v>
      </c>
      <c r="F1291" s="48" t="n">
        <f aca="false">B1291*(IF($A1291&lt;$Q$1266,INDEX(Surface_Engine!$D$12:$D$72,$A1291+1)+(Surface_Engine!B248*12)*INDEX(Surface_Engine!$F$12:$F$72,$A1291+1)-(Surface_Engine!B248*12),1000*12*INDEX(Surface_Engine!$C$12:$C$72,$A1291+1)/(1+Assumptions!$B$10)^3+INDEX(Surface_Engine!$D$12:$D$72,$A1291+1)))*INDEX(Surface_Engine!$B$12:$B$72,$A1291+1)+F1292</f>
        <v>9475.15925491594</v>
      </c>
      <c r="G1291" s="48" t="n">
        <f aca="false">C1291*(IF($A1291&lt;$Q$1266,INDEX(Surface_Engine!$D$12:$D$72,$A1291+1)+(Surface_Engine!B248*12)*INDEX(Surface_Engine!$F$12:$F$72,$A1291+1)-(Surface_Engine!B248*12),1000*12*INDEX(Surface_Engine!$C$12:$C$72,$A1291+1)/(1+Assumptions!$B$10)^3+INDEX(Surface_Engine!$D$12:$D$72,$A1291+1)))*INDEX(Surface_Engine!$B$12:$B$72,$A1291+1)+G1292</f>
        <v>15056.6852033513</v>
      </c>
      <c r="H1291" s="48" t="n">
        <f aca="false">D1291*(IF($A1291&lt;$Q$1266,INDEX(Surface_Engine!$D$12:$D$72,$A1291+1)+(Surface_Engine!B248*12)*INDEX(Surface_Engine!$F$12:$F$72,$A1291+1)-(Surface_Engine!B248*12),1000*12*INDEX(Surface_Engine!$C$12:$C$72,$A1291+1)/(1+Assumptions!$B$10)^3+INDEX(Surface_Engine!$D$12:$D$72,$A1291+1)))*INDEX(Surface_Engine!$B$12:$B$72,$A1291+1)+H1292</f>
        <v>9109.99680814252</v>
      </c>
      <c r="I1291" s="48" t="n">
        <f aca="false">E1291*(IF($A1291&lt;$Q$1266,INDEX(Surface_Engine!$D$12:$D$72,$A1291+1)+(Surface_Engine!B248*12)*INDEX(Surface_Engine!$F$12:$F$72,$A1291+1)-(Surface_Engine!B248*12),1000*12*INDEX(Surface_Engine!$C$12:$C$72,$A1291+1)/(1+Assumptions!$B$10)^3+INDEX(Surface_Engine!$D$12:$D$72,$A1291+1)))*INDEX(Surface_Engine!$B$12:$B$72,$A1291+1)+I1292</f>
        <v>9848.88761558013</v>
      </c>
      <c r="J1291" s="48" t="n">
        <f aca="false">B1291*(IF($A1291&lt;$Q$1266,INDEX(Surface_Engine!$D$12:$D$72,$A1291+1)*(1+Assumptions!$B$24)+(Surface_Engine!B248*12)*INDEX(Surface_Engine!$F$12:$F$72,$A1291+1)-(Surface_Engine!B248*12),1000*12*INDEX(Surface_Engine!$C$12:$C$72,$A1291+1)/(1+Assumptions!$B$10)^3+INDEX(Surface_Engine!$D$12:$D$72,$A1291+1)*(1+Assumptions!$B$24)))*INDEX(Surface_Engine!$B$12:$B$72,$A1291+1)+J1292</f>
        <v>9482.90698491801</v>
      </c>
      <c r="K1291" s="12" t="n">
        <f aca="false">SQRT((IF(C1291&lt;=0,0,MAX(0,(B1291/C1291)*G1291/INDEX(Surface_Engine!$B$12:$B$72,$A1291+1)-F1291/INDEX(Surface_Engine!$B$12:$B$72,$A1291+1))))^2+(MAX(IF(D1291&lt;=0,0,MAX(0,(B1291/D1291)*H1291/INDEX(Surface_Engine!$B$12:$B$72,$A1291+1)-F1291/INDEX(Surface_Engine!$B$12:$B$72,$A1291+1))),IF(E1291&lt;=0,0,MAX(0,(B1291/E1291)*I1291/INDEX(Surface_Engine!$B$12:$B$72,$A1291+1)-F1291/INDEX(Surface_Engine!$B$12:$B$72,$A1291+1))),IF($A1291&lt;$Q$1266,MAX(0,-Assumptions!$B$22*(F1291/INDEX(Surface_Engine!$B$12:$B$72,$A1291+1))),0)))^2+(MAX(0,J1291/INDEX(Surface_Engine!$B$12:$B$72,$A1291+1)-(F1291/INDEX(Surface_Engine!$B$12:$B$72,$A1291+1))))^2+2*Assumptions!$B$26*(IF(C1291&lt;=0,0,MAX(0,(B1291/C1291)*G1291/INDEX(Surface_Engine!$B$12:$B$72,$A1291+1)-F1291/INDEX(Surface_Engine!$B$12:$B$72,$A1291+1))))*(MAX(IF(D1291&lt;=0,0,MAX(0,(B1291/D1291)*H1291/INDEX(Surface_Engine!$B$12:$B$72,$A1291+1)-F1291/INDEX(Surface_Engine!$B$12:$B$72,$A1291+1))),IF(E1291&lt;=0,0,MAX(0,(B1291/E1291)*I1291/INDEX(Surface_Engine!$B$12:$B$72,$A1291+1)-F1291/INDEX(Surface_Engine!$B$12:$B$72,$A1291+1))),IF($A1291&lt;$Q$1266,MAX(0,-Assumptions!$B$22*(F1291/INDEX(Surface_Engine!$B$12:$B$72,$A1291+1))),0)))+2*Assumptions!$B$27*(IF(C1291&lt;=0,0,MAX(0,(B1291/C1291)*G1291/INDEX(Surface_Engine!$B$12:$B$72,$A1291+1)-F1291/INDEX(Surface_Engine!$B$12:$B$72,$A1291+1))))*(MAX(0,J1291/INDEX(Surface_Engine!$B$12:$B$72,$A1291+1)-(F1291/INDEX(Surface_Engine!$B$12:$B$72,$A1291+1))))+2*Assumptions!$B$28*(MAX(IF(D1291&lt;=0,0,MAX(0,(B1291/D1291)*H1291/INDEX(Surface_Engine!$B$12:$B$72,$A1291+1)-F1291/INDEX(Surface_Engine!$B$12:$B$72,$A1291+1))),IF(E1291&lt;=0,0,MAX(0,(B1291/E1291)*I1291/INDEX(Surface_Engine!$B$12:$B$72,$A1291+1)-F1291/INDEX(Surface_Engine!$B$12:$B$72,$A1291+1))),IF($A1291&lt;$Q$1266,MAX(0,-Assumptions!$B$22*(F1291/INDEX(Surface_Engine!$B$12:$B$72,$A1291+1))),0)))*(MAX(0,J1291/INDEX(Surface_Engine!$B$12:$B$72,$A1291+1)-(F1291/INDEX(Surface_Engine!$B$12:$B$72,$A1291+1)))))</f>
        <v>3629.37172890876</v>
      </c>
      <c r="L1291" s="48" t="n">
        <f aca="false">K1291*INDEX(Surface_Engine!$B$12:$B$72,$A1291+1)+L1292</f>
        <v>7517.18798901044</v>
      </c>
      <c r="M1291" s="48" t="n">
        <f aca="false">M1290+B1290*(IF($A1290&lt;$Q$1266,(Surface_Engine!B248*12)-(Surface_Engine!B248*12)*INDEX(Surface_Engine!$F$12:$F$72,$A1290+1)-INDEX(Surface_Engine!$D$12:$D$72,$A1290+1),-(1000*12*INDEX(Surface_Engine!$C$12:$C$72,$A1290+1)/(1+Assumptions!$B$10)^3+INDEX(Surface_Engine!$D$12:$D$72,$A1290+1))))*INDEX(Surface_Engine!$B$12:$B$72,$A1290+1)</f>
        <v>16752.3017011893</v>
      </c>
      <c r="N1291" s="12" t="n">
        <f aca="false">IF(B1291&lt;=0,0,MAX(0,(K1291+Assumptions!$B$29*L1291/INDEX(Surface_Engine!$B$12:$B$72,$A1291+1)-(M1291/INDEX(Surface_Engine!$B$12:$B$72,$A1291+1)-(F1291/INDEX(Surface_Engine!$B$12:$B$72,$A1291+1))))/B1291))</f>
        <v>0</v>
      </c>
    </row>
    <row r="1292" customFormat="false" ht="15" hidden="false" customHeight="true" outlineLevel="0" collapsed="false">
      <c r="A1292" s="1" t="n">
        <v>24</v>
      </c>
      <c r="B1292" s="32" t="n">
        <f aca="false">INDEX(Surface_Engine!$S$12:$S$72,$A1292+1)*IF($A1292&lt;$Q$1266,INDEX(Surface_Engine!$E$12:$E$72,$A1292+1),INDEX(Surface_Engine!$E$12:$E$72,$Q$1266+1))</f>
        <v>0.189114034408951</v>
      </c>
      <c r="C1292" s="32" t="n">
        <f aca="false">INDEX(Panel_Reserving!$G$8:$G$68,$A1292+1)*IF($A1292&lt;$Q$1266,INDEX(Surface_Engine!$E$12:$E$72,$A1292+1),INDEX(Surface_Engine!$E$12:$E$72,$Q$1266+1))</f>
        <v>0.26351552308668</v>
      </c>
      <c r="D1292" s="32" t="n">
        <f aca="false">INDEX(Surface_Engine!$S$12:$S$72,$A1292+1)*IF($A1292&lt;$Q$1266,INDEX(Surface_Engine!$Y$12:$Y$72,$A1292+1),INDEX(Surface_Engine!$Y$12:$Y$72,$Q$1266+1))</f>
        <v>0.181825782922503</v>
      </c>
      <c r="E1292" s="32" t="n">
        <f aca="false">INDEX(Surface_Engine!$S$12:$S$72,$A1292+1)*IF($A1292&lt;$Q$1266,INDEX(Surface_Engine!$Z$12:$Z$72,$A1292+1),INDEX(Surface_Engine!$Z$12:$Z$72,$Q$1266+1))</f>
        <v>0.196573252365797</v>
      </c>
      <c r="F1292" s="48" t="n">
        <f aca="false">B1292*(IF($A1292&lt;$Q$1266,INDEX(Surface_Engine!$D$12:$D$72,$A1292+1)+(Surface_Engine!B248*12)*INDEX(Surface_Engine!$F$12:$F$72,$A1292+1)-(Surface_Engine!B248*12),1000*12*INDEX(Surface_Engine!$C$12:$C$72,$A1292+1)/(1+Assumptions!$B$10)^3+INDEX(Surface_Engine!$D$12:$D$72,$A1292+1)))*INDEX(Surface_Engine!$B$12:$B$72,$A1292+1)+F1293</f>
        <v>7481.99895704767</v>
      </c>
      <c r="G1292" s="48" t="n">
        <f aca="false">C1292*(IF($A1292&lt;$Q$1266,INDEX(Surface_Engine!$D$12:$D$72,$A1292+1)+(Surface_Engine!B248*12)*INDEX(Surface_Engine!$F$12:$F$72,$A1292+1)-(Surface_Engine!B248*12),1000*12*INDEX(Surface_Engine!$C$12:$C$72,$A1292+1)/(1+Assumptions!$B$10)^3+INDEX(Surface_Engine!$D$12:$D$72,$A1292+1)))*INDEX(Surface_Engine!$B$12:$B$72,$A1292+1)+G1293</f>
        <v>12387.4211111113</v>
      </c>
      <c r="H1292" s="48" t="n">
        <f aca="false">D1292*(IF($A1292&lt;$Q$1266,INDEX(Surface_Engine!$D$12:$D$72,$A1292+1)+(Surface_Engine!B248*12)*INDEX(Surface_Engine!$F$12:$F$72,$A1292+1)-(Surface_Engine!B248*12),1000*12*INDEX(Surface_Engine!$C$12:$C$72,$A1292+1)/(1+Assumptions!$B$10)^3+INDEX(Surface_Engine!$D$12:$D$72,$A1292+1)))*INDEX(Surface_Engine!$B$12:$B$72,$A1292+1)+H1293</f>
        <v>7193.65076443084</v>
      </c>
      <c r="I1292" s="48" t="n">
        <f aca="false">E1292*(IF($A1292&lt;$Q$1266,INDEX(Surface_Engine!$D$12:$D$72,$A1292+1)+(Surface_Engine!B248*12)*INDEX(Surface_Engine!$F$12:$F$72,$A1292+1)-(Surface_Engine!B248*12),1000*12*INDEX(Surface_Engine!$C$12:$C$72,$A1292+1)/(1+Assumptions!$B$10)^3+INDEX(Surface_Engine!$D$12:$D$72,$A1292+1)))*INDEX(Surface_Engine!$B$12:$B$72,$A1292+1)+I1293</f>
        <v>7777.11116883006</v>
      </c>
      <c r="J1292" s="48" t="n">
        <f aca="false">B1292*(IF($A1292&lt;$Q$1266,INDEX(Surface_Engine!$D$12:$D$72,$A1292+1)*(1+Assumptions!$B$24)+(Surface_Engine!B248*12)*INDEX(Surface_Engine!$F$12:$F$72,$A1292+1)-(Surface_Engine!B248*12),1000*12*INDEX(Surface_Engine!$C$12:$C$72,$A1292+1)/(1+Assumptions!$B$10)^3+INDEX(Surface_Engine!$D$12:$D$72,$A1292+1)*(1+Assumptions!$B$24)))*INDEX(Surface_Engine!$B$12:$B$72,$A1292+1)+J1293</f>
        <v>7488.14229570563</v>
      </c>
      <c r="K1292" s="12" t="n">
        <f aca="false">SQRT((IF(C1292&lt;=0,0,MAX(0,(B1292/C1292)*G1292/INDEX(Surface_Engine!$B$12:$B$72,$A1292+1)-F1292/INDEX(Surface_Engine!$B$12:$B$72,$A1292+1))))^2+(MAX(IF(D1292&lt;=0,0,MAX(0,(B1292/D1292)*H1292/INDEX(Surface_Engine!$B$12:$B$72,$A1292+1)-F1292/INDEX(Surface_Engine!$B$12:$B$72,$A1292+1))),IF(E1292&lt;=0,0,MAX(0,(B1292/E1292)*I1292/INDEX(Surface_Engine!$B$12:$B$72,$A1292+1)-F1292/INDEX(Surface_Engine!$B$12:$B$72,$A1292+1))),IF($A1292&lt;$Q$1266,MAX(0,-Assumptions!$B$22*(F1292/INDEX(Surface_Engine!$B$12:$B$72,$A1292+1))),0)))^2+(MAX(0,J1292/INDEX(Surface_Engine!$B$12:$B$72,$A1292+1)-(F1292/INDEX(Surface_Engine!$B$12:$B$72,$A1292+1))))^2+2*Assumptions!$B$26*(IF(C1292&lt;=0,0,MAX(0,(B1292/C1292)*G1292/INDEX(Surface_Engine!$B$12:$B$72,$A1292+1)-F1292/INDEX(Surface_Engine!$B$12:$B$72,$A1292+1))))*(MAX(IF(D1292&lt;=0,0,MAX(0,(B1292/D1292)*H1292/INDEX(Surface_Engine!$B$12:$B$72,$A1292+1)-F1292/INDEX(Surface_Engine!$B$12:$B$72,$A1292+1))),IF(E1292&lt;=0,0,MAX(0,(B1292/E1292)*I1292/INDEX(Surface_Engine!$B$12:$B$72,$A1292+1)-F1292/INDEX(Surface_Engine!$B$12:$B$72,$A1292+1))),IF($A1292&lt;$Q$1266,MAX(0,-Assumptions!$B$22*(F1292/INDEX(Surface_Engine!$B$12:$B$72,$A1292+1))),0)))+2*Assumptions!$B$27*(IF(C1292&lt;=0,0,MAX(0,(B1292/C1292)*G1292/INDEX(Surface_Engine!$B$12:$B$72,$A1292+1)-F1292/INDEX(Surface_Engine!$B$12:$B$72,$A1292+1))))*(MAX(0,J1292/INDEX(Surface_Engine!$B$12:$B$72,$A1292+1)-(F1292/INDEX(Surface_Engine!$B$12:$B$72,$A1292+1))))+2*Assumptions!$B$28*(MAX(IF(D1292&lt;=0,0,MAX(0,(B1292/D1292)*H1292/INDEX(Surface_Engine!$B$12:$B$72,$A1292+1)-F1292/INDEX(Surface_Engine!$B$12:$B$72,$A1292+1))),IF(E1292&lt;=0,0,MAX(0,(B1292/E1292)*I1292/INDEX(Surface_Engine!$B$12:$B$72,$A1292+1)-F1292/INDEX(Surface_Engine!$B$12:$B$72,$A1292+1))),IF($A1292&lt;$Q$1266,MAX(0,-Assumptions!$B$22*(F1292/INDEX(Surface_Engine!$B$12:$B$72,$A1292+1))),0)))*(MAX(0,J1292/INDEX(Surface_Engine!$B$12:$B$72,$A1292+1)-(F1292/INDEX(Surface_Engine!$B$12:$B$72,$A1292+1)))))</f>
        <v>2983.63651620638</v>
      </c>
      <c r="L1292" s="48" t="n">
        <f aca="false">K1292*INDEX(Surface_Engine!$B$12:$B$72,$A1292+1)+L1293</f>
        <v>5747.45024164066</v>
      </c>
      <c r="M1292" s="48" t="n">
        <f aca="false">M1291+B1291*(IF($A1291&lt;$Q$1266,(Surface_Engine!B248*12)-(Surface_Engine!B248*12)*INDEX(Surface_Engine!$F$12:$F$72,$A1291+1)-INDEX(Surface_Engine!$D$12:$D$72,$A1291+1),-(1000*12*INDEX(Surface_Engine!$C$12:$C$72,$A1291+1)/(1+Assumptions!$B$10)^3+INDEX(Surface_Engine!$D$12:$D$72,$A1291+1))))*INDEX(Surface_Engine!$B$12:$B$72,$A1291+1)</f>
        <v>14759.141403321</v>
      </c>
      <c r="N1292" s="12" t="n">
        <f aca="false">IF(B1292&lt;=0,0,MAX(0,(K1292+Assumptions!$B$29*L1292/INDEX(Surface_Engine!$B$12:$B$72,$A1292+1)-(M1292/INDEX(Surface_Engine!$B$12:$B$72,$A1292+1)-(F1292/INDEX(Surface_Engine!$B$12:$B$72,$A1292+1))))/B1292))</f>
        <v>0</v>
      </c>
    </row>
    <row r="1293" customFormat="false" ht="15" hidden="false" customHeight="true" outlineLevel="0" collapsed="false">
      <c r="A1293" s="1" t="n">
        <v>25</v>
      </c>
      <c r="B1293" s="32" t="n">
        <f aca="false">INDEX(Surface_Engine!$S$12:$S$72,$A1293+1)*IF($A1293&lt;$Q$1266,INDEX(Surface_Engine!$E$12:$E$72,$A1293+1),INDEX(Surface_Engine!$E$12:$E$72,$Q$1266+1))</f>
        <v>0.155374224988017</v>
      </c>
      <c r="C1293" s="32" t="n">
        <f aca="false">INDEX(Panel_Reserving!$G$8:$G$68,$A1293+1)*IF($A1293&lt;$Q$1266,INDEX(Surface_Engine!$E$12:$E$72,$A1293+1),INDEX(Surface_Engine!$E$12:$E$72,$Q$1266+1))</f>
        <v>0.225904507886503</v>
      </c>
      <c r="D1293" s="32" t="n">
        <f aca="false">INDEX(Surface_Engine!$S$12:$S$72,$A1293+1)*IF($A1293&lt;$Q$1266,INDEX(Surface_Engine!$Y$12:$Y$72,$A1293+1),INDEX(Surface_Engine!$Y$12:$Y$72,$Q$1266+1))</f>
        <v>0.149386269468144</v>
      </c>
      <c r="E1293" s="32" t="n">
        <f aca="false">INDEX(Surface_Engine!$S$12:$S$72,$A1293+1)*IF($A1293&lt;$Q$1266,INDEX(Surface_Engine!$Z$12:$Z$72,$A1293+1),INDEX(Surface_Engine!$Z$12:$Z$72,$Q$1266+1))</f>
        <v>0.16150264487332</v>
      </c>
      <c r="F1293" s="48" t="n">
        <f aca="false">B1293*(IF($A1293&lt;$Q$1266,INDEX(Surface_Engine!$D$12:$D$72,$A1293+1)+(Surface_Engine!B248*12)*INDEX(Surface_Engine!$F$12:$F$72,$A1293+1)-(Surface_Engine!B248*12),1000*12*INDEX(Surface_Engine!$C$12:$C$72,$A1293+1)/(1+Assumptions!$B$10)^3+INDEX(Surface_Engine!$D$12:$D$72,$A1293+1)))*INDEX(Surface_Engine!$B$12:$B$72,$A1293+1)+F1294</f>
        <v>5843.86541099241</v>
      </c>
      <c r="G1293" s="48" t="n">
        <f aca="false">C1293*(IF($A1293&lt;$Q$1266,INDEX(Surface_Engine!$D$12:$D$72,$A1293+1)+(Surface_Engine!B248*12)*INDEX(Surface_Engine!$F$12:$F$72,$A1293+1)-(Surface_Engine!B248*12),1000*12*INDEX(Surface_Engine!$C$12:$C$72,$A1293+1)/(1+Assumptions!$B$10)^3+INDEX(Surface_Engine!$D$12:$D$72,$A1293+1)))*INDEX(Surface_Engine!$B$12:$B$72,$A1293+1)+G1294</f>
        <v>10104.8109408839</v>
      </c>
      <c r="H1293" s="48" t="n">
        <f aca="false">D1293*(IF($A1293&lt;$Q$1266,INDEX(Surface_Engine!$D$12:$D$72,$A1293+1)+(Surface_Engine!B248*12)*INDEX(Surface_Engine!$F$12:$F$72,$A1293+1)-(Surface_Engine!B248*12),1000*12*INDEX(Surface_Engine!$C$12:$C$72,$A1293+1)/(1+Assumptions!$B$10)^3+INDEX(Surface_Engine!$D$12:$D$72,$A1293+1)))*INDEX(Surface_Engine!$B$12:$B$72,$A1293+1)+H1294</f>
        <v>5618.64912336269</v>
      </c>
      <c r="I1293" s="48" t="n">
        <f aca="false">E1293*(IF($A1293&lt;$Q$1266,INDEX(Surface_Engine!$D$12:$D$72,$A1293+1)+(Surface_Engine!B248*12)*INDEX(Surface_Engine!$F$12:$F$72,$A1293+1)-(Surface_Engine!B248*12),1000*12*INDEX(Surface_Engine!$C$12:$C$72,$A1293+1)/(1+Assumptions!$B$10)^3+INDEX(Surface_Engine!$D$12:$D$72,$A1293+1)))*INDEX(Surface_Engine!$B$12:$B$72,$A1293+1)+I1294</f>
        <v>6074.36478110687</v>
      </c>
      <c r="J1293" s="48" t="n">
        <f aca="false">B1293*(IF($A1293&lt;$Q$1266,INDEX(Surface_Engine!$D$12:$D$72,$A1293+1)*(1+Assumptions!$B$24)+(Surface_Engine!B248*12)*INDEX(Surface_Engine!$F$12:$F$72,$A1293+1)-(Surface_Engine!B248*12),1000*12*INDEX(Surface_Engine!$C$12:$C$72,$A1293+1)/(1+Assumptions!$B$10)^3+INDEX(Surface_Engine!$D$12:$D$72,$A1293+1)*(1+Assumptions!$B$24)))*INDEX(Surface_Engine!$B$12:$B$72,$A1293+1)+J1294</f>
        <v>5848.68372504251</v>
      </c>
      <c r="K1293" s="12" t="n">
        <f aca="false">SQRT((IF(C1293&lt;=0,0,MAX(0,(B1293/C1293)*G1293/INDEX(Surface_Engine!$B$12:$B$72,$A1293+1)-F1293/INDEX(Surface_Engine!$B$12:$B$72,$A1293+1))))^2+(MAX(IF(D1293&lt;=0,0,MAX(0,(B1293/D1293)*H1293/INDEX(Surface_Engine!$B$12:$B$72,$A1293+1)-F1293/INDEX(Surface_Engine!$B$12:$B$72,$A1293+1))),IF(E1293&lt;=0,0,MAX(0,(B1293/E1293)*I1293/INDEX(Surface_Engine!$B$12:$B$72,$A1293+1)-F1293/INDEX(Surface_Engine!$B$12:$B$72,$A1293+1))),IF($A1293&lt;$Q$1266,MAX(0,-Assumptions!$B$22*(F1293/INDEX(Surface_Engine!$B$12:$B$72,$A1293+1))),0)))^2+(MAX(0,J1293/INDEX(Surface_Engine!$B$12:$B$72,$A1293+1)-(F1293/INDEX(Surface_Engine!$B$12:$B$72,$A1293+1))))^2+2*Assumptions!$B$26*(IF(C1293&lt;=0,0,MAX(0,(B1293/C1293)*G1293/INDEX(Surface_Engine!$B$12:$B$72,$A1293+1)-F1293/INDEX(Surface_Engine!$B$12:$B$72,$A1293+1))))*(MAX(IF(D1293&lt;=0,0,MAX(0,(B1293/D1293)*H1293/INDEX(Surface_Engine!$B$12:$B$72,$A1293+1)-F1293/INDEX(Surface_Engine!$B$12:$B$72,$A1293+1))),IF(E1293&lt;=0,0,MAX(0,(B1293/E1293)*I1293/INDEX(Surface_Engine!$B$12:$B$72,$A1293+1)-F1293/INDEX(Surface_Engine!$B$12:$B$72,$A1293+1))),IF($A1293&lt;$Q$1266,MAX(0,-Assumptions!$B$22*(F1293/INDEX(Surface_Engine!$B$12:$B$72,$A1293+1))),0)))+2*Assumptions!$B$27*(IF(C1293&lt;=0,0,MAX(0,(B1293/C1293)*G1293/INDEX(Surface_Engine!$B$12:$B$72,$A1293+1)-F1293/INDEX(Surface_Engine!$B$12:$B$72,$A1293+1))))*(MAX(0,J1293/INDEX(Surface_Engine!$B$12:$B$72,$A1293+1)-(F1293/INDEX(Surface_Engine!$B$12:$B$72,$A1293+1))))+2*Assumptions!$B$28*(MAX(IF(D1293&lt;=0,0,MAX(0,(B1293/D1293)*H1293/INDEX(Surface_Engine!$B$12:$B$72,$A1293+1)-F1293/INDEX(Surface_Engine!$B$12:$B$72,$A1293+1))),IF(E1293&lt;=0,0,MAX(0,(B1293/E1293)*I1293/INDEX(Surface_Engine!$B$12:$B$72,$A1293+1)-F1293/INDEX(Surface_Engine!$B$12:$B$72,$A1293+1))),IF($A1293&lt;$Q$1266,MAX(0,-Assumptions!$B$22*(F1293/INDEX(Surface_Engine!$B$12:$B$72,$A1293+1))),0)))*(MAX(0,J1293/INDEX(Surface_Engine!$B$12:$B$72,$A1293+1)-(F1293/INDEX(Surface_Engine!$B$12:$B$72,$A1293+1)))))</f>
        <v>2418.97037536631</v>
      </c>
      <c r="L1293" s="48" t="n">
        <f aca="false">K1293*INDEX(Surface_Engine!$B$12:$B$72,$A1293+1)+L1294</f>
        <v>4337.96842910373</v>
      </c>
      <c r="M1293" s="48" t="n">
        <f aca="false">M1292+B1292*(IF($A1292&lt;$Q$1266,(Surface_Engine!B248*12)-(Surface_Engine!B248*12)*INDEX(Surface_Engine!$F$12:$F$72,$A1292+1)-INDEX(Surface_Engine!$D$12:$D$72,$A1292+1),-(1000*12*INDEX(Surface_Engine!$C$12:$C$72,$A1292+1)/(1+Assumptions!$B$10)^3+INDEX(Surface_Engine!$D$12:$D$72,$A1292+1))))*INDEX(Surface_Engine!$B$12:$B$72,$A1292+1)</f>
        <v>13121.0078572657</v>
      </c>
      <c r="N1293" s="12" t="n">
        <f aca="false">IF(B1293&lt;=0,0,MAX(0,(K1293+Assumptions!$B$29*L1293/INDEX(Surface_Engine!$B$12:$B$72,$A1293+1)-(M1293/INDEX(Surface_Engine!$B$12:$B$72,$A1293+1)-(F1293/INDEX(Surface_Engine!$B$12:$B$72,$A1293+1))))/B1293))</f>
        <v>0</v>
      </c>
    </row>
    <row r="1294" customFormat="false" ht="15" hidden="false" customHeight="true" outlineLevel="0" collapsed="false">
      <c r="A1294" s="1" t="n">
        <v>26</v>
      </c>
      <c r="B1294" s="32" t="n">
        <f aca="false">INDEX(Surface_Engine!$S$12:$S$72,$A1294+1)*IF($A1294&lt;$Q$1266,INDEX(Surface_Engine!$E$12:$E$72,$A1294+1),INDEX(Surface_Engine!$E$12:$E$72,$Q$1266+1))</f>
        <v>0.126144739048899</v>
      </c>
      <c r="C1294" s="32" t="n">
        <f aca="false">INDEX(Panel_Reserving!$G$8:$G$68,$A1294+1)*IF($A1294&lt;$Q$1266,INDEX(Surface_Engine!$E$12:$E$72,$A1294+1),INDEX(Surface_Engine!$E$12:$E$72,$Q$1266+1))</f>
        <v>0.191906216922291</v>
      </c>
      <c r="D1294" s="32" t="n">
        <f aca="false">INDEX(Surface_Engine!$S$12:$S$72,$A1294+1)*IF($A1294&lt;$Q$1266,INDEX(Surface_Engine!$Y$12:$Y$72,$A1294+1),INDEX(Surface_Engine!$Y$12:$Y$72,$Q$1266+1))</f>
        <v>0.121283256479643</v>
      </c>
      <c r="E1294" s="32" t="n">
        <f aca="false">INDEX(Surface_Engine!$S$12:$S$72,$A1294+1)*IF($A1294&lt;$Q$1266,INDEX(Surface_Engine!$Z$12:$Z$72,$A1294+1),INDEX(Surface_Engine!$Z$12:$Z$72,$Q$1266+1))</f>
        <v>0.131120261387132</v>
      </c>
      <c r="F1294" s="48" t="n">
        <f aca="false">B1294*(IF($A1294&lt;$Q$1266,INDEX(Surface_Engine!$D$12:$D$72,$A1294+1)+(Surface_Engine!B248*12)*INDEX(Surface_Engine!$F$12:$F$72,$A1294+1)-(Surface_Engine!B248*12),1000*12*INDEX(Surface_Engine!$C$12:$C$72,$A1294+1)/(1+Assumptions!$B$10)^3+INDEX(Surface_Engine!$D$12:$D$72,$A1294+1)))*INDEX(Surface_Engine!$B$12:$B$72,$A1294+1)+F1295</f>
        <v>4513.57515574756</v>
      </c>
      <c r="G1294" s="48" t="n">
        <f aca="false">C1294*(IF($A1294&lt;$Q$1266,INDEX(Surface_Engine!$D$12:$D$72,$A1294+1)+(Surface_Engine!B248*12)*INDEX(Surface_Engine!$F$12:$F$72,$A1294+1)-(Surface_Engine!B248*12),1000*12*INDEX(Surface_Engine!$C$12:$C$72,$A1294+1)/(1+Assumptions!$B$10)^3+INDEX(Surface_Engine!$D$12:$D$72,$A1294+1)))*INDEX(Surface_Engine!$B$12:$B$72,$A1294+1)+G1295</f>
        <v>8170.65123401829</v>
      </c>
      <c r="H1294" s="48" t="n">
        <f aca="false">D1294*(IF($A1294&lt;$Q$1266,INDEX(Surface_Engine!$D$12:$D$72,$A1294+1)+(Surface_Engine!B248*12)*INDEX(Surface_Engine!$F$12:$F$72,$A1294+1)-(Surface_Engine!B248*12),1000*12*INDEX(Surface_Engine!$C$12:$C$72,$A1294+1)/(1+Assumptions!$B$10)^3+INDEX(Surface_Engine!$D$12:$D$72,$A1294+1)))*INDEX(Surface_Engine!$B$12:$B$72,$A1294+1)+H1295</f>
        <v>4339.62682377484</v>
      </c>
      <c r="I1294" s="48" t="n">
        <f aca="false">E1294*(IF($A1294&lt;$Q$1266,INDEX(Surface_Engine!$D$12:$D$72,$A1294+1)+(Surface_Engine!B248*12)*INDEX(Surface_Engine!$F$12:$F$72,$A1294+1)-(Surface_Engine!B248*12),1000*12*INDEX(Surface_Engine!$C$12:$C$72,$A1294+1)/(1+Assumptions!$B$10)^3+INDEX(Surface_Engine!$D$12:$D$72,$A1294+1)))*INDEX(Surface_Engine!$B$12:$B$72,$A1294+1)+I1295</f>
        <v>4691.60393587777</v>
      </c>
      <c r="J1294" s="48" t="n">
        <f aca="false">B1294*(IF($A1294&lt;$Q$1266,INDEX(Surface_Engine!$D$12:$D$72,$A1294+1)*(1+Assumptions!$B$24)+(Surface_Engine!B248*12)*INDEX(Surface_Engine!$F$12:$F$72,$A1294+1)-(Surface_Engine!B248*12),1000*12*INDEX(Surface_Engine!$C$12:$C$72,$A1294+1)/(1+Assumptions!$B$10)^3+INDEX(Surface_Engine!$D$12:$D$72,$A1294+1)*(1+Assumptions!$B$24)))*INDEX(Surface_Engine!$B$12:$B$72,$A1294+1)+J1295</f>
        <v>4517.31221630379</v>
      </c>
      <c r="K1294" s="12" t="n">
        <f aca="false">SQRT((IF(C1294&lt;=0,0,MAX(0,(B1294/C1294)*G1294/INDEX(Surface_Engine!$B$12:$B$72,$A1294+1)-F1294/INDEX(Surface_Engine!$B$12:$B$72,$A1294+1))))^2+(MAX(IF(D1294&lt;=0,0,MAX(0,(B1294/D1294)*H1294/INDEX(Surface_Engine!$B$12:$B$72,$A1294+1)-F1294/INDEX(Surface_Engine!$B$12:$B$72,$A1294+1))),IF(E1294&lt;=0,0,MAX(0,(B1294/E1294)*I1294/INDEX(Surface_Engine!$B$12:$B$72,$A1294+1)-F1294/INDEX(Surface_Engine!$B$12:$B$72,$A1294+1))),IF($A1294&lt;$Q$1266,MAX(0,-Assumptions!$B$22*(F1294/INDEX(Surface_Engine!$B$12:$B$72,$A1294+1))),0)))^2+(MAX(0,J1294/INDEX(Surface_Engine!$B$12:$B$72,$A1294+1)-(F1294/INDEX(Surface_Engine!$B$12:$B$72,$A1294+1))))^2+2*Assumptions!$B$26*(IF(C1294&lt;=0,0,MAX(0,(B1294/C1294)*G1294/INDEX(Surface_Engine!$B$12:$B$72,$A1294+1)-F1294/INDEX(Surface_Engine!$B$12:$B$72,$A1294+1))))*(MAX(IF(D1294&lt;=0,0,MAX(0,(B1294/D1294)*H1294/INDEX(Surface_Engine!$B$12:$B$72,$A1294+1)-F1294/INDEX(Surface_Engine!$B$12:$B$72,$A1294+1))),IF(E1294&lt;=0,0,MAX(0,(B1294/E1294)*I1294/INDEX(Surface_Engine!$B$12:$B$72,$A1294+1)-F1294/INDEX(Surface_Engine!$B$12:$B$72,$A1294+1))),IF($A1294&lt;$Q$1266,MAX(0,-Assumptions!$B$22*(F1294/INDEX(Surface_Engine!$B$12:$B$72,$A1294+1))),0)))+2*Assumptions!$B$27*(IF(C1294&lt;=0,0,MAX(0,(B1294/C1294)*G1294/INDEX(Surface_Engine!$B$12:$B$72,$A1294+1)-F1294/INDEX(Surface_Engine!$B$12:$B$72,$A1294+1))))*(MAX(0,J1294/INDEX(Surface_Engine!$B$12:$B$72,$A1294+1)-(F1294/INDEX(Surface_Engine!$B$12:$B$72,$A1294+1))))+2*Assumptions!$B$28*(MAX(IF(D1294&lt;=0,0,MAX(0,(B1294/D1294)*H1294/INDEX(Surface_Engine!$B$12:$B$72,$A1294+1)-F1294/INDEX(Surface_Engine!$B$12:$B$72,$A1294+1))),IF(E1294&lt;=0,0,MAX(0,(B1294/E1294)*I1294/INDEX(Surface_Engine!$B$12:$B$72,$A1294+1)-F1294/INDEX(Surface_Engine!$B$12:$B$72,$A1294+1))),IF($A1294&lt;$Q$1266,MAX(0,-Assumptions!$B$22*(F1294/INDEX(Surface_Engine!$B$12:$B$72,$A1294+1))),0)))*(MAX(0,J1294/INDEX(Surface_Engine!$B$12:$B$72,$A1294+1)-(F1294/INDEX(Surface_Engine!$B$12:$B$72,$A1294+1)))))</f>
        <v>1935.14339202327</v>
      </c>
      <c r="L1294" s="48" t="n">
        <f aca="false">K1294*INDEX(Surface_Engine!$B$12:$B$72,$A1294+1)+L1295</f>
        <v>3230.65998710233</v>
      </c>
      <c r="M1294" s="48" t="n">
        <f aca="false">M1293+B1293*(IF($A1293&lt;$Q$1266,(Surface_Engine!B248*12)-(Surface_Engine!B248*12)*INDEX(Surface_Engine!$F$12:$F$72,$A1293+1)-INDEX(Surface_Engine!$D$12:$D$72,$A1293+1),-(1000*12*INDEX(Surface_Engine!$C$12:$C$72,$A1293+1)/(1+Assumptions!$B$10)^3+INDEX(Surface_Engine!$D$12:$D$72,$A1293+1))))*INDEX(Surface_Engine!$B$12:$B$72,$A1293+1)</f>
        <v>11790.7176020209</v>
      </c>
      <c r="N1294" s="12" t="n">
        <f aca="false">IF(B1294&lt;=0,0,MAX(0,(K1294+Assumptions!$B$29*L1294/INDEX(Surface_Engine!$B$12:$B$72,$A1294+1)-(M1294/INDEX(Surface_Engine!$B$12:$B$72,$A1294+1)-(F1294/INDEX(Surface_Engine!$B$12:$B$72,$A1294+1))))/B1294))</f>
        <v>0</v>
      </c>
    </row>
    <row r="1295" customFormat="false" ht="15" hidden="false" customHeight="true" outlineLevel="0" collapsed="false">
      <c r="A1295" s="1" t="n">
        <v>27</v>
      </c>
      <c r="B1295" s="32" t="n">
        <f aca="false">INDEX(Surface_Engine!$S$12:$S$72,$A1295+1)*IF($A1295&lt;$Q$1266,INDEX(Surface_Engine!$E$12:$E$72,$A1295+1),INDEX(Surface_Engine!$E$12:$E$72,$Q$1266+1))</f>
        <v>0.101203454022591</v>
      </c>
      <c r="C1295" s="32" t="n">
        <f aca="false">INDEX(Panel_Reserving!$G$8:$G$68,$A1295+1)*IF($A1295&lt;$Q$1266,INDEX(Surface_Engine!$E$12:$E$72,$A1295+1),INDEX(Surface_Engine!$E$12:$E$72,$Q$1266+1))</f>
        <v>0.161551323388609</v>
      </c>
      <c r="D1295" s="32" t="n">
        <f aca="false">INDEX(Surface_Engine!$S$12:$S$72,$A1295+1)*IF($A1295&lt;$Q$1266,INDEX(Surface_Engine!$Y$12:$Y$72,$A1295+1),INDEX(Surface_Engine!$Y$12:$Y$72,$Q$1266+1))</f>
        <v>0.0973031817529046</v>
      </c>
      <c r="E1295" s="32" t="n">
        <f aca="false">INDEX(Surface_Engine!$S$12:$S$72,$A1295+1)*IF($A1295&lt;$Q$1266,INDEX(Surface_Engine!$Z$12:$Z$72,$A1295+1),INDEX(Surface_Engine!$Z$12:$Z$72,$Q$1266+1))</f>
        <v>0.105195218165847</v>
      </c>
      <c r="F1295" s="48" t="n">
        <f aca="false">B1295*(IF($A1295&lt;$Q$1266,INDEX(Surface_Engine!$D$12:$D$72,$A1295+1)+(Surface_Engine!B248*12)*INDEX(Surface_Engine!$F$12:$F$72,$A1295+1)-(Surface_Engine!B248*12),1000*12*INDEX(Surface_Engine!$C$12:$C$72,$A1295+1)/(1+Assumptions!$B$10)^3+INDEX(Surface_Engine!$D$12:$D$72,$A1295+1)))*INDEX(Surface_Engine!$B$12:$B$72,$A1295+1)+F1296</f>
        <v>3446.33859890902</v>
      </c>
      <c r="G1295" s="48" t="n">
        <f aca="false">C1295*(IF($A1295&lt;$Q$1266,INDEX(Surface_Engine!$D$12:$D$72,$A1295+1)+(Surface_Engine!B248*12)*INDEX(Surface_Engine!$F$12:$F$72,$A1295+1)-(Surface_Engine!B248*12),1000*12*INDEX(Surface_Engine!$C$12:$C$72,$A1295+1)/(1+Assumptions!$B$10)^3+INDEX(Surface_Engine!$D$12:$D$72,$A1295+1)))*INDEX(Surface_Engine!$B$12:$B$72,$A1295+1)+G1296</f>
        <v>6547.04543223638</v>
      </c>
      <c r="H1295" s="48" t="n">
        <f aca="false">D1295*(IF($A1295&lt;$Q$1266,INDEX(Surface_Engine!$D$12:$D$72,$A1295+1)+(Surface_Engine!B248*12)*INDEX(Surface_Engine!$F$12:$F$72,$A1295+1)-(Surface_Engine!B248*12),1000*12*INDEX(Surface_Engine!$C$12:$C$72,$A1295+1)/(1+Assumptions!$B$10)^3+INDEX(Surface_Engine!$D$12:$D$72,$A1295+1)))*INDEX(Surface_Engine!$B$12:$B$72,$A1295+1)+H1296</f>
        <v>3313.52041598145</v>
      </c>
      <c r="I1295" s="48" t="n">
        <f aca="false">E1295*(IF($A1295&lt;$Q$1266,INDEX(Surface_Engine!$D$12:$D$72,$A1295+1)+(Surface_Engine!B248*12)*INDEX(Surface_Engine!$F$12:$F$72,$A1295+1)-(Surface_Engine!B248*12),1000*12*INDEX(Surface_Engine!$C$12:$C$72,$A1295+1)/(1+Assumptions!$B$10)^3+INDEX(Surface_Engine!$D$12:$D$72,$A1295+1)))*INDEX(Surface_Engine!$B$12:$B$72,$A1295+1)+I1296</f>
        <v>3582.2724064802</v>
      </c>
      <c r="J1295" s="48" t="n">
        <f aca="false">B1295*(IF($A1295&lt;$Q$1266,INDEX(Surface_Engine!$D$12:$D$72,$A1295+1)*(1+Assumptions!$B$24)+(Surface_Engine!B248*12)*INDEX(Surface_Engine!$F$12:$F$72,$A1295+1)-(Surface_Engine!B248*12),1000*12*INDEX(Surface_Engine!$C$12:$C$72,$A1295+1)/(1+Assumptions!$B$10)^3+INDEX(Surface_Engine!$D$12:$D$72,$A1295+1)*(1+Assumptions!$B$24)))*INDEX(Surface_Engine!$B$12:$B$72,$A1295+1)+J1296</f>
        <v>3449.20399729638</v>
      </c>
      <c r="K1295" s="12" t="n">
        <f aca="false">SQRT((IF(C1295&lt;=0,0,MAX(0,(B1295/C1295)*G1295/INDEX(Surface_Engine!$B$12:$B$72,$A1295+1)-F1295/INDEX(Surface_Engine!$B$12:$B$72,$A1295+1))))^2+(MAX(IF(D1295&lt;=0,0,MAX(0,(B1295/D1295)*H1295/INDEX(Surface_Engine!$B$12:$B$72,$A1295+1)-F1295/INDEX(Surface_Engine!$B$12:$B$72,$A1295+1))),IF(E1295&lt;=0,0,MAX(0,(B1295/E1295)*I1295/INDEX(Surface_Engine!$B$12:$B$72,$A1295+1)-F1295/INDEX(Surface_Engine!$B$12:$B$72,$A1295+1))),IF($A1295&lt;$Q$1266,MAX(0,-Assumptions!$B$22*(F1295/INDEX(Surface_Engine!$B$12:$B$72,$A1295+1))),0)))^2+(MAX(0,J1295/INDEX(Surface_Engine!$B$12:$B$72,$A1295+1)-(F1295/INDEX(Surface_Engine!$B$12:$B$72,$A1295+1))))^2+2*Assumptions!$B$26*(IF(C1295&lt;=0,0,MAX(0,(B1295/C1295)*G1295/INDEX(Surface_Engine!$B$12:$B$72,$A1295+1)-F1295/INDEX(Surface_Engine!$B$12:$B$72,$A1295+1))))*(MAX(IF(D1295&lt;=0,0,MAX(0,(B1295/D1295)*H1295/INDEX(Surface_Engine!$B$12:$B$72,$A1295+1)-F1295/INDEX(Surface_Engine!$B$12:$B$72,$A1295+1))),IF(E1295&lt;=0,0,MAX(0,(B1295/E1295)*I1295/INDEX(Surface_Engine!$B$12:$B$72,$A1295+1)-F1295/INDEX(Surface_Engine!$B$12:$B$72,$A1295+1))),IF($A1295&lt;$Q$1266,MAX(0,-Assumptions!$B$22*(F1295/INDEX(Surface_Engine!$B$12:$B$72,$A1295+1))),0)))+2*Assumptions!$B$27*(IF(C1295&lt;=0,0,MAX(0,(B1295/C1295)*G1295/INDEX(Surface_Engine!$B$12:$B$72,$A1295+1)-F1295/INDEX(Surface_Engine!$B$12:$B$72,$A1295+1))))*(MAX(0,J1295/INDEX(Surface_Engine!$B$12:$B$72,$A1295+1)-(F1295/INDEX(Surface_Engine!$B$12:$B$72,$A1295+1))))+2*Assumptions!$B$28*(MAX(IF(D1295&lt;=0,0,MAX(0,(B1295/D1295)*H1295/INDEX(Surface_Engine!$B$12:$B$72,$A1295+1)-F1295/INDEX(Surface_Engine!$B$12:$B$72,$A1295+1))),IF(E1295&lt;=0,0,MAX(0,(B1295/E1295)*I1295/INDEX(Surface_Engine!$B$12:$B$72,$A1295+1)-F1295/INDEX(Surface_Engine!$B$12:$B$72,$A1295+1))),IF($A1295&lt;$Q$1266,MAX(0,-Assumptions!$B$22*(F1295/INDEX(Surface_Engine!$B$12:$B$72,$A1295+1))),0)))*(MAX(0,J1295/INDEX(Surface_Engine!$B$12:$B$72,$A1295+1)-(F1295/INDEX(Surface_Engine!$B$12:$B$72,$A1295+1)))))</f>
        <v>1526.16034352657</v>
      </c>
      <c r="L1295" s="48" t="n">
        <f aca="false">K1295*INDEX(Surface_Engine!$B$12:$B$72,$A1295+1)+L1296</f>
        <v>2372.52056489499</v>
      </c>
      <c r="M1295" s="48" t="n">
        <f aca="false">M1294+B1294*(IF($A1294&lt;$Q$1266,(Surface_Engine!B248*12)-(Surface_Engine!B248*12)*INDEX(Surface_Engine!$F$12:$F$72,$A1294+1)-INDEX(Surface_Engine!$D$12:$D$72,$A1294+1),-(1000*12*INDEX(Surface_Engine!$C$12:$C$72,$A1294+1)/(1+Assumptions!$B$10)^3+INDEX(Surface_Engine!$D$12:$D$72,$A1294+1))))*INDEX(Surface_Engine!$B$12:$B$72,$A1294+1)</f>
        <v>10723.4810451823</v>
      </c>
      <c r="N1295" s="12" t="n">
        <f aca="false">IF(B1295&lt;=0,0,MAX(0,(K1295+Assumptions!$B$29*L1295/INDEX(Surface_Engine!$B$12:$B$72,$A1295+1)-(M1295/INDEX(Surface_Engine!$B$12:$B$72,$A1295+1)-(F1295/INDEX(Surface_Engine!$B$12:$B$72,$A1295+1))))/B1295))</f>
        <v>0</v>
      </c>
    </row>
    <row r="1296" customFormat="false" ht="15" hidden="false" customHeight="true" outlineLevel="0" collapsed="false">
      <c r="A1296" s="1" t="n">
        <v>28</v>
      </c>
      <c r="B1296" s="32" t="n">
        <f aca="false">INDEX(Surface_Engine!$S$12:$S$72,$A1296+1)*IF($A1296&lt;$Q$1266,INDEX(Surface_Engine!$E$12:$E$72,$A1296+1),INDEX(Surface_Engine!$E$12:$E$72,$Q$1266+1))</f>
        <v>0.0802070398376218</v>
      </c>
      <c r="C1296" s="32" t="n">
        <f aca="false">INDEX(Panel_Reserving!$G$8:$G$68,$A1296+1)*IF($A1296&lt;$Q$1266,INDEX(Surface_Engine!$E$12:$E$72,$A1296+1),INDEX(Surface_Engine!$E$12:$E$72,$Q$1266+1))</f>
        <v>0.134738021168786</v>
      </c>
      <c r="D1296" s="32" t="n">
        <f aca="false">INDEX(Surface_Engine!$S$12:$S$72,$A1296+1)*IF($A1296&lt;$Q$1266,INDEX(Surface_Engine!$Y$12:$Y$72,$A1296+1),INDEX(Surface_Engine!$Y$12:$Y$72,$Q$1266+1))</f>
        <v>0.0771159467881447</v>
      </c>
      <c r="E1296" s="32" t="n">
        <f aca="false">INDEX(Surface_Engine!$S$12:$S$72,$A1296+1)*IF($A1296&lt;$Q$1266,INDEX(Surface_Engine!$Z$12:$Z$72,$A1296+1),INDEX(Surface_Engine!$Z$12:$Z$72,$Q$1266+1))</f>
        <v>0.0833706431825144</v>
      </c>
      <c r="F1296" s="48" t="n">
        <f aca="false">B1296*(IF($A1296&lt;$Q$1266,INDEX(Surface_Engine!$D$12:$D$72,$A1296+1)+(Surface_Engine!B248*12)*INDEX(Surface_Engine!$F$12:$F$72,$A1296+1)-(Surface_Engine!B248*12),1000*12*INDEX(Surface_Engine!$C$12:$C$72,$A1296+1)/(1+Assumptions!$B$10)^3+INDEX(Surface_Engine!$D$12:$D$72,$A1296+1)))*INDEX(Surface_Engine!$B$12:$B$72,$A1296+1)+F1297</f>
        <v>2600.07063617739</v>
      </c>
      <c r="G1296" s="48" t="n">
        <f aca="false">C1296*(IF($A1296&lt;$Q$1266,INDEX(Surface_Engine!$D$12:$D$72,$A1296+1)+(Surface_Engine!B248*12)*INDEX(Surface_Engine!$F$12:$F$72,$A1296+1)-(Surface_Engine!B248*12),1000*12*INDEX(Surface_Engine!$C$12:$C$72,$A1296+1)/(1+Assumptions!$B$10)^3+INDEX(Surface_Engine!$D$12:$D$72,$A1296+1)))*INDEX(Surface_Engine!$B$12:$B$72,$A1296+1)+G1297</f>
        <v>5196.14579505443</v>
      </c>
      <c r="H1296" s="48" t="n">
        <f aca="false">D1296*(IF($A1296&lt;$Q$1266,INDEX(Surface_Engine!$D$12:$D$72,$A1296+1)+(Surface_Engine!B248*12)*INDEX(Surface_Engine!$F$12:$F$72,$A1296+1)-(Surface_Engine!B248*12),1000*12*INDEX(Surface_Engine!$C$12:$C$72,$A1296+1)/(1+Assumptions!$B$10)^3+INDEX(Surface_Engine!$D$12:$D$72,$A1296+1)))*INDEX(Surface_Engine!$B$12:$B$72,$A1296+1)+H1297</f>
        <v>2499.8667103386</v>
      </c>
      <c r="I1296" s="48" t="n">
        <f aca="false">E1296*(IF($A1296&lt;$Q$1266,INDEX(Surface_Engine!$D$12:$D$72,$A1296+1)+(Surface_Engine!B248*12)*INDEX(Surface_Engine!$F$12:$F$72,$A1296+1)-(Surface_Engine!B248*12),1000*12*INDEX(Surface_Engine!$C$12:$C$72,$A1296+1)/(1+Assumptions!$B$10)^3+INDEX(Surface_Engine!$D$12:$D$72,$A1296+1)))*INDEX(Surface_Engine!$B$12:$B$72,$A1296+1)+I1297</f>
        <v>2702.6251273819</v>
      </c>
      <c r="J1296" s="48" t="n">
        <f aca="false">B1296*(IF($A1296&lt;$Q$1266,INDEX(Surface_Engine!$D$12:$D$72,$A1296+1)*(1+Assumptions!$B$24)+(Surface_Engine!B248*12)*INDEX(Surface_Engine!$F$12:$F$72,$A1296+1)-(Surface_Engine!B248*12),1000*12*INDEX(Surface_Engine!$C$12:$C$72,$A1296+1)/(1+Assumptions!$B$10)^3+INDEX(Surface_Engine!$D$12:$D$72,$A1296+1)*(1+Assumptions!$B$24)))*INDEX(Surface_Engine!$B$12:$B$72,$A1296+1)+J1297</f>
        <v>2602.24148745112</v>
      </c>
      <c r="K1296" s="12" t="n">
        <f aca="false">SQRT((IF(C1296&lt;=0,0,MAX(0,(B1296/C1296)*G1296/INDEX(Surface_Engine!$B$12:$B$72,$A1296+1)-F1296/INDEX(Surface_Engine!$B$12:$B$72,$A1296+1))))^2+(MAX(IF(D1296&lt;=0,0,MAX(0,(B1296/D1296)*H1296/INDEX(Surface_Engine!$B$12:$B$72,$A1296+1)-F1296/INDEX(Surface_Engine!$B$12:$B$72,$A1296+1))),IF(E1296&lt;=0,0,MAX(0,(B1296/E1296)*I1296/INDEX(Surface_Engine!$B$12:$B$72,$A1296+1)-F1296/INDEX(Surface_Engine!$B$12:$B$72,$A1296+1))),IF($A1296&lt;$Q$1266,MAX(0,-Assumptions!$B$22*(F1296/INDEX(Surface_Engine!$B$12:$B$72,$A1296+1))),0)))^2+(MAX(0,J1296/INDEX(Surface_Engine!$B$12:$B$72,$A1296+1)-(F1296/INDEX(Surface_Engine!$B$12:$B$72,$A1296+1))))^2+2*Assumptions!$B$26*(IF(C1296&lt;=0,0,MAX(0,(B1296/C1296)*G1296/INDEX(Surface_Engine!$B$12:$B$72,$A1296+1)-F1296/INDEX(Surface_Engine!$B$12:$B$72,$A1296+1))))*(MAX(IF(D1296&lt;=0,0,MAX(0,(B1296/D1296)*H1296/INDEX(Surface_Engine!$B$12:$B$72,$A1296+1)-F1296/INDEX(Surface_Engine!$B$12:$B$72,$A1296+1))),IF(E1296&lt;=0,0,MAX(0,(B1296/E1296)*I1296/INDEX(Surface_Engine!$B$12:$B$72,$A1296+1)-F1296/INDEX(Surface_Engine!$B$12:$B$72,$A1296+1))),IF($A1296&lt;$Q$1266,MAX(0,-Assumptions!$B$22*(F1296/INDEX(Surface_Engine!$B$12:$B$72,$A1296+1))),0)))+2*Assumptions!$B$27*(IF(C1296&lt;=0,0,MAX(0,(B1296/C1296)*G1296/INDEX(Surface_Engine!$B$12:$B$72,$A1296+1)-F1296/INDEX(Surface_Engine!$B$12:$B$72,$A1296+1))))*(MAX(0,J1296/INDEX(Surface_Engine!$B$12:$B$72,$A1296+1)-(F1296/INDEX(Surface_Engine!$B$12:$B$72,$A1296+1))))+2*Assumptions!$B$28*(MAX(IF(D1296&lt;=0,0,MAX(0,(B1296/D1296)*H1296/INDEX(Surface_Engine!$B$12:$B$72,$A1296+1)-F1296/INDEX(Surface_Engine!$B$12:$B$72,$A1296+1))),IF(E1296&lt;=0,0,MAX(0,(B1296/E1296)*I1296/INDEX(Surface_Engine!$B$12:$B$72,$A1296+1)-F1296/INDEX(Surface_Engine!$B$12:$B$72,$A1296+1))),IF($A1296&lt;$Q$1266,MAX(0,-Assumptions!$B$22*(F1296/INDEX(Surface_Engine!$B$12:$B$72,$A1296+1))),0)))*(MAX(0,J1296/INDEX(Surface_Engine!$B$12:$B$72,$A1296+1)-(F1296/INDEX(Surface_Engine!$B$12:$B$72,$A1296+1)))))</f>
        <v>1186.0142407</v>
      </c>
      <c r="L1296" s="48" t="n">
        <f aca="false">K1296*INDEX(Surface_Engine!$B$12:$B$72,$A1296+1)+L1297</f>
        <v>1716.75543072031</v>
      </c>
      <c r="M1296" s="48" t="n">
        <f aca="false">M1295+B1295*(IF($A1295&lt;$Q$1266,(Surface_Engine!B248*12)-(Surface_Engine!B248*12)*INDEX(Surface_Engine!$F$12:$F$72,$A1295+1)-INDEX(Surface_Engine!$D$12:$D$72,$A1295+1),-(1000*12*INDEX(Surface_Engine!$C$12:$C$72,$A1295+1)/(1+Assumptions!$B$10)^3+INDEX(Surface_Engine!$D$12:$D$72,$A1295+1))))*INDEX(Surface_Engine!$B$12:$B$72,$A1295+1)</f>
        <v>9877.2130824507</v>
      </c>
      <c r="N1296" s="12" t="n">
        <f aca="false">IF(B1296&lt;=0,0,MAX(0,(K1296+Assumptions!$B$29*L1296/INDEX(Surface_Engine!$B$12:$B$72,$A1296+1)-(M1296/INDEX(Surface_Engine!$B$12:$B$72,$A1296+1)-(F1296/INDEX(Surface_Engine!$B$12:$B$72,$A1296+1))))/B1296))</f>
        <v>0</v>
      </c>
    </row>
    <row r="1297" customFormat="false" ht="15" hidden="false" customHeight="true" outlineLevel="0" collapsed="false">
      <c r="A1297" s="1" t="n">
        <v>29</v>
      </c>
      <c r="B1297" s="32" t="n">
        <f aca="false">INDEX(Surface_Engine!$S$12:$S$72,$A1297+1)*IF($A1297&lt;$Q$1266,INDEX(Surface_Engine!$E$12:$E$72,$A1297+1),INDEX(Surface_Engine!$E$12:$E$72,$Q$1266+1))</f>
        <v>0.0627494011895438</v>
      </c>
      <c r="C1297" s="32" t="n">
        <f aca="false">INDEX(Panel_Reserving!$G$8:$G$68,$A1297+1)*IF($A1297&lt;$Q$1266,INDEX(Surface_Engine!$E$12:$E$72,$A1297+1),INDEX(Surface_Engine!$E$12:$E$72,$Q$1266+1))</f>
        <v>0.111276662260802</v>
      </c>
      <c r="D1297" s="32" t="n">
        <f aca="false">INDEX(Surface_Engine!$S$12:$S$72,$A1297+1)*IF($A1297&lt;$Q$1266,INDEX(Surface_Engine!$Y$12:$Y$72,$A1297+1),INDEX(Surface_Engine!$Y$12:$Y$72,$Q$1266+1))</f>
        <v>0.0603311067571781</v>
      </c>
      <c r="E1297" s="32" t="n">
        <f aca="false">INDEX(Surface_Engine!$S$12:$S$72,$A1297+1)*IF($A1297&lt;$Q$1266,INDEX(Surface_Engine!$Z$12:$Z$72,$A1297+1),INDEX(Surface_Engine!$Z$12:$Z$72,$Q$1266+1))</f>
        <v>0.0652244235304147</v>
      </c>
      <c r="F1297" s="48" t="n">
        <f aca="false">B1297*(IF($A1297&lt;$Q$1266,INDEX(Surface_Engine!$D$12:$D$72,$A1297+1)+(Surface_Engine!B248*12)*INDEX(Surface_Engine!$F$12:$F$72,$A1297+1)-(Surface_Engine!B248*12),1000*12*INDEX(Surface_Engine!$C$12:$C$72,$A1297+1)/(1+Assumptions!$B$10)^3+INDEX(Surface_Engine!$D$12:$D$72,$A1297+1)))*INDEX(Surface_Engine!$B$12:$B$72,$A1297+1)+F1298</f>
        <v>1937.36619647</v>
      </c>
      <c r="G1297" s="48" t="n">
        <f aca="false">C1297*(IF($A1297&lt;$Q$1266,INDEX(Surface_Engine!$D$12:$D$72,$A1297+1)+(Surface_Engine!B248*12)*INDEX(Surface_Engine!$F$12:$F$72,$A1297+1)-(Surface_Engine!B248*12),1000*12*INDEX(Surface_Engine!$C$12:$C$72,$A1297+1)/(1+Assumptions!$B$10)^3+INDEX(Surface_Engine!$D$12:$D$72,$A1297+1)))*INDEX(Surface_Engine!$B$12:$B$72,$A1297+1)+G1298</f>
        <v>4082.88335566368</v>
      </c>
      <c r="H1297" s="48" t="n">
        <f aca="false">D1297*(IF($A1297&lt;$Q$1266,INDEX(Surface_Engine!$D$12:$D$72,$A1297+1)+(Surface_Engine!B248*12)*INDEX(Surface_Engine!$F$12:$F$72,$A1297+1)-(Surface_Engine!B248*12),1000*12*INDEX(Surface_Engine!$C$12:$C$72,$A1297+1)/(1+Assumptions!$B$10)^3+INDEX(Surface_Engine!$D$12:$D$72,$A1297+1)))*INDEX(Surface_Engine!$B$12:$B$72,$A1297+1)+H1298</f>
        <v>1862.70218697253</v>
      </c>
      <c r="I1297" s="48" t="n">
        <f aca="false">E1297*(IF($A1297&lt;$Q$1266,INDEX(Surface_Engine!$D$12:$D$72,$A1297+1)+(Surface_Engine!B248*12)*INDEX(Surface_Engine!$F$12:$F$72,$A1297+1)-(Surface_Engine!B248*12),1000*12*INDEX(Surface_Engine!$C$12:$C$72,$A1297+1)/(1+Assumptions!$B$10)^3+INDEX(Surface_Engine!$D$12:$D$72,$A1297+1)))*INDEX(Surface_Engine!$B$12:$B$72,$A1297+1)+I1298</f>
        <v>2013.78166064674</v>
      </c>
      <c r="J1297" s="48" t="n">
        <f aca="false">B1297*(IF($A1297&lt;$Q$1266,INDEX(Surface_Engine!$D$12:$D$72,$A1297+1)*(1+Assumptions!$B$24)+(Surface_Engine!B248*12)*INDEX(Surface_Engine!$F$12:$F$72,$A1297+1)-(Surface_Engine!B248*12),1000*12*INDEX(Surface_Engine!$C$12:$C$72,$A1297+1)/(1+Assumptions!$B$10)^3+INDEX(Surface_Engine!$D$12:$D$72,$A1297+1)*(1+Assumptions!$B$24)))*INDEX(Surface_Engine!$B$12:$B$72,$A1297+1)+J1298</f>
        <v>1938.99051031074</v>
      </c>
      <c r="K1297" s="12" t="n">
        <f aca="false">SQRT((IF(C1297&lt;=0,0,MAX(0,(B1297/C1297)*G1297/INDEX(Surface_Engine!$B$12:$B$72,$A1297+1)-F1297/INDEX(Surface_Engine!$B$12:$B$72,$A1297+1))))^2+(MAX(IF(D1297&lt;=0,0,MAX(0,(B1297/D1297)*H1297/INDEX(Surface_Engine!$B$12:$B$72,$A1297+1)-F1297/INDEX(Surface_Engine!$B$12:$B$72,$A1297+1))),IF(E1297&lt;=0,0,MAX(0,(B1297/E1297)*I1297/INDEX(Surface_Engine!$B$12:$B$72,$A1297+1)-F1297/INDEX(Surface_Engine!$B$12:$B$72,$A1297+1))),IF($A1297&lt;$Q$1266,MAX(0,-Assumptions!$B$22*(F1297/INDEX(Surface_Engine!$B$12:$B$72,$A1297+1))),0)))^2+(MAX(0,J1297/INDEX(Surface_Engine!$B$12:$B$72,$A1297+1)-(F1297/INDEX(Surface_Engine!$B$12:$B$72,$A1297+1))))^2+2*Assumptions!$B$26*(IF(C1297&lt;=0,0,MAX(0,(B1297/C1297)*G1297/INDEX(Surface_Engine!$B$12:$B$72,$A1297+1)-F1297/INDEX(Surface_Engine!$B$12:$B$72,$A1297+1))))*(MAX(IF(D1297&lt;=0,0,MAX(0,(B1297/D1297)*H1297/INDEX(Surface_Engine!$B$12:$B$72,$A1297+1)-F1297/INDEX(Surface_Engine!$B$12:$B$72,$A1297+1))),IF(E1297&lt;=0,0,MAX(0,(B1297/E1297)*I1297/INDEX(Surface_Engine!$B$12:$B$72,$A1297+1)-F1297/INDEX(Surface_Engine!$B$12:$B$72,$A1297+1))),IF($A1297&lt;$Q$1266,MAX(0,-Assumptions!$B$22*(F1297/INDEX(Surface_Engine!$B$12:$B$72,$A1297+1))),0)))+2*Assumptions!$B$27*(IF(C1297&lt;=0,0,MAX(0,(B1297/C1297)*G1297/INDEX(Surface_Engine!$B$12:$B$72,$A1297+1)-F1297/INDEX(Surface_Engine!$B$12:$B$72,$A1297+1))))*(MAX(0,J1297/INDEX(Surface_Engine!$B$12:$B$72,$A1297+1)-(F1297/INDEX(Surface_Engine!$B$12:$B$72,$A1297+1))))+2*Assumptions!$B$28*(MAX(IF(D1297&lt;=0,0,MAX(0,(B1297/D1297)*H1297/INDEX(Surface_Engine!$B$12:$B$72,$A1297+1)-F1297/INDEX(Surface_Engine!$B$12:$B$72,$A1297+1))),IF(E1297&lt;=0,0,MAX(0,(B1297/E1297)*I1297/INDEX(Surface_Engine!$B$12:$B$72,$A1297+1)-F1297/INDEX(Surface_Engine!$B$12:$B$72,$A1297+1))),IF($A1297&lt;$Q$1266,MAX(0,-Assumptions!$B$22*(F1297/INDEX(Surface_Engine!$B$12:$B$72,$A1297+1))),0)))*(MAX(0,J1297/INDEX(Surface_Engine!$B$12:$B$72,$A1297+1)-(F1297/INDEX(Surface_Engine!$B$12:$B$72,$A1297+1)))))</f>
        <v>906.320748214685</v>
      </c>
      <c r="L1297" s="48" t="n">
        <f aca="false">K1297*INDEX(Surface_Engine!$B$12:$B$72,$A1297+1)+L1298</f>
        <v>1223.10985994142</v>
      </c>
      <c r="M1297" s="48" t="n">
        <f aca="false">M1296+B1296*(IF($A1296&lt;$Q$1266,(Surface_Engine!B248*12)-(Surface_Engine!B248*12)*INDEX(Surface_Engine!$F$12:$F$72,$A1296+1)-INDEX(Surface_Engine!$D$12:$D$72,$A1296+1),-(1000*12*INDEX(Surface_Engine!$C$12:$C$72,$A1296+1)/(1+Assumptions!$B$10)^3+INDEX(Surface_Engine!$D$12:$D$72,$A1296+1))))*INDEX(Surface_Engine!$B$12:$B$72,$A1296+1)</f>
        <v>9214.50864274332</v>
      </c>
      <c r="N1297" s="12" t="n">
        <f aca="false">IF(B1297&lt;=0,0,MAX(0,(K1297+Assumptions!$B$29*L1297/INDEX(Surface_Engine!$B$12:$B$72,$A1297+1)-(M1297/INDEX(Surface_Engine!$B$12:$B$72,$A1297+1)-(F1297/INDEX(Surface_Engine!$B$12:$B$72,$A1297+1))))/B1297))</f>
        <v>0</v>
      </c>
    </row>
    <row r="1298" customFormat="false" ht="15" hidden="false" customHeight="true" outlineLevel="0" collapsed="false">
      <c r="A1298" s="1" t="n">
        <v>30</v>
      </c>
      <c r="B1298" s="32" t="n">
        <f aca="false">INDEX(Surface_Engine!$S$12:$S$72,$A1298+1)*IF($A1298&lt;$Q$1266,INDEX(Surface_Engine!$E$12:$E$72,$A1298+1),INDEX(Surface_Engine!$E$12:$E$72,$Q$1266+1))</f>
        <v>0.0484031460408103</v>
      </c>
      <c r="C1298" s="32" t="n">
        <f aca="false">INDEX(Panel_Reserving!$G$8:$G$68,$A1298+1)*IF($A1298&lt;$Q$1266,INDEX(Surface_Engine!$E$12:$E$72,$A1298+1),INDEX(Surface_Engine!$E$12:$E$72,$Q$1266+1))</f>
        <v>0.090923914873515</v>
      </c>
      <c r="D1298" s="32" t="n">
        <f aca="false">INDEX(Surface_Engine!$S$12:$S$72,$A1298+1)*IF($A1298&lt;$Q$1266,INDEX(Surface_Engine!$Y$12:$Y$72,$A1298+1),INDEX(Surface_Engine!$Y$12:$Y$72,$Q$1266+1))</f>
        <v>0.0465377408519083</v>
      </c>
      <c r="E1298" s="32" t="n">
        <f aca="false">INDEX(Surface_Engine!$S$12:$S$72,$A1298+1)*IF($A1298&lt;$Q$1266,INDEX(Surface_Engine!$Z$12:$Z$72,$A1298+1),INDEX(Surface_Engine!$Z$12:$Z$72,$Q$1266+1))</f>
        <v>0.0503123095634641</v>
      </c>
      <c r="F1298" s="48" t="n">
        <f aca="false">B1298*(IF($A1298&lt;$Q$1266,INDEX(Surface_Engine!$D$12:$D$72,$A1298+1)+(Surface_Engine!B248*12)*INDEX(Surface_Engine!$F$12:$F$72,$A1298+1)-(Surface_Engine!B248*12),1000*12*INDEX(Surface_Engine!$C$12:$C$72,$A1298+1)/(1+Assumptions!$B$10)^3+INDEX(Surface_Engine!$D$12:$D$72,$A1298+1)))*INDEX(Surface_Engine!$B$12:$B$72,$A1298+1)+F1299</f>
        <v>1425.10075625199</v>
      </c>
      <c r="G1298" s="48" t="n">
        <f aca="false">C1298*(IF($A1298&lt;$Q$1266,INDEX(Surface_Engine!$D$12:$D$72,$A1298+1)+(Surface_Engine!B248*12)*INDEX(Surface_Engine!$F$12:$F$72,$A1298+1)-(Surface_Engine!B248*12),1000*12*INDEX(Surface_Engine!$C$12:$C$72,$A1298+1)/(1+Assumptions!$B$10)^3+INDEX(Surface_Engine!$D$12:$D$72,$A1298+1)))*INDEX(Surface_Engine!$B$12:$B$72,$A1298+1)+G1299</f>
        <v>3174.45734205385</v>
      </c>
      <c r="H1298" s="48" t="n">
        <f aca="false">D1298*(IF($A1298&lt;$Q$1266,INDEX(Surface_Engine!$D$12:$D$72,$A1298+1)+(Surface_Engine!B248*12)*INDEX(Surface_Engine!$F$12:$F$72,$A1298+1)-(Surface_Engine!B248*12),1000*12*INDEX(Surface_Engine!$C$12:$C$72,$A1298+1)/(1+Assumptions!$B$10)^3+INDEX(Surface_Engine!$D$12:$D$72,$A1298+1)))*INDEX(Surface_Engine!$B$12:$B$72,$A1298+1)+H1299</f>
        <v>1370.17890585864</v>
      </c>
      <c r="I1298" s="48" t="n">
        <f aca="false">E1298*(IF($A1298&lt;$Q$1266,INDEX(Surface_Engine!$D$12:$D$72,$A1298+1)+(Surface_Engine!B248*12)*INDEX(Surface_Engine!$F$12:$F$72,$A1298+1)-(Surface_Engine!B248*12),1000*12*INDEX(Surface_Engine!$C$12:$C$72,$A1298+1)/(1+Assumptions!$B$10)^3+INDEX(Surface_Engine!$D$12:$D$72,$A1298+1)))*INDEX(Surface_Engine!$B$12:$B$72,$A1298+1)+I1299</f>
        <v>1481.31095336704</v>
      </c>
      <c r="J1298" s="48" t="n">
        <f aca="false">B1298*(IF($A1298&lt;$Q$1266,INDEX(Surface_Engine!$D$12:$D$72,$A1298+1)*(1+Assumptions!$B$24)+(Surface_Engine!B248*12)*INDEX(Surface_Engine!$F$12:$F$72,$A1298+1)-(Surface_Engine!B248*12),1000*12*INDEX(Surface_Engine!$C$12:$C$72,$A1298+1)/(1+Assumptions!$B$10)^3+INDEX(Surface_Engine!$D$12:$D$72,$A1298+1)*(1+Assumptions!$B$24)))*INDEX(Surface_Engine!$B$12:$B$72,$A1298+1)+J1299</f>
        <v>1426.30054709066</v>
      </c>
      <c r="K1298" s="12" t="n">
        <f aca="false">SQRT((IF(C1298&lt;=0,0,MAX(0,(B1298/C1298)*G1298/INDEX(Surface_Engine!$B$12:$B$72,$A1298+1)-F1298/INDEX(Surface_Engine!$B$12:$B$72,$A1298+1))))^2+(MAX(IF(D1298&lt;=0,0,MAX(0,(B1298/D1298)*H1298/INDEX(Surface_Engine!$B$12:$B$72,$A1298+1)-F1298/INDEX(Surface_Engine!$B$12:$B$72,$A1298+1))),IF(E1298&lt;=0,0,MAX(0,(B1298/E1298)*I1298/INDEX(Surface_Engine!$B$12:$B$72,$A1298+1)-F1298/INDEX(Surface_Engine!$B$12:$B$72,$A1298+1))),IF($A1298&lt;$Q$1266,MAX(0,-Assumptions!$B$22*(F1298/INDEX(Surface_Engine!$B$12:$B$72,$A1298+1))),0)))^2+(MAX(0,J1298/INDEX(Surface_Engine!$B$12:$B$72,$A1298+1)-(F1298/INDEX(Surface_Engine!$B$12:$B$72,$A1298+1))))^2+2*Assumptions!$B$26*(IF(C1298&lt;=0,0,MAX(0,(B1298/C1298)*G1298/INDEX(Surface_Engine!$B$12:$B$72,$A1298+1)-F1298/INDEX(Surface_Engine!$B$12:$B$72,$A1298+1))))*(MAX(IF(D1298&lt;=0,0,MAX(0,(B1298/D1298)*H1298/INDEX(Surface_Engine!$B$12:$B$72,$A1298+1)-F1298/INDEX(Surface_Engine!$B$12:$B$72,$A1298+1))),IF(E1298&lt;=0,0,MAX(0,(B1298/E1298)*I1298/INDEX(Surface_Engine!$B$12:$B$72,$A1298+1)-F1298/INDEX(Surface_Engine!$B$12:$B$72,$A1298+1))),IF($A1298&lt;$Q$1266,MAX(0,-Assumptions!$B$22*(F1298/INDEX(Surface_Engine!$B$12:$B$72,$A1298+1))),0)))+2*Assumptions!$B$27*(IF(C1298&lt;=0,0,MAX(0,(B1298/C1298)*G1298/INDEX(Surface_Engine!$B$12:$B$72,$A1298+1)-F1298/INDEX(Surface_Engine!$B$12:$B$72,$A1298+1))))*(MAX(0,J1298/INDEX(Surface_Engine!$B$12:$B$72,$A1298+1)-(F1298/INDEX(Surface_Engine!$B$12:$B$72,$A1298+1))))+2*Assumptions!$B$28*(MAX(IF(D1298&lt;=0,0,MAX(0,(B1298/D1298)*H1298/INDEX(Surface_Engine!$B$12:$B$72,$A1298+1)-F1298/INDEX(Surface_Engine!$B$12:$B$72,$A1298+1))),IF(E1298&lt;=0,0,MAX(0,(B1298/E1298)*I1298/INDEX(Surface_Engine!$B$12:$B$72,$A1298+1)-F1298/INDEX(Surface_Engine!$B$12:$B$72,$A1298+1))),IF($A1298&lt;$Q$1266,MAX(0,-Assumptions!$B$22*(F1298/INDEX(Surface_Engine!$B$12:$B$72,$A1298+1))),0)))*(MAX(0,J1298/INDEX(Surface_Engine!$B$12:$B$72,$A1298+1)-(F1298/INDEX(Surface_Engine!$B$12:$B$72,$A1298+1)))))</f>
        <v>678.904298921194</v>
      </c>
      <c r="L1298" s="48" t="n">
        <f aca="false">K1298*INDEX(Surface_Engine!$B$12:$B$72,$A1298+1)+L1299</f>
        <v>857.710641109269</v>
      </c>
      <c r="M1298" s="48" t="n">
        <f aca="false">M1297+B1297*(IF($A1297&lt;$Q$1266,(Surface_Engine!B248*12)-(Surface_Engine!B248*12)*INDEX(Surface_Engine!$F$12:$F$72,$A1297+1)-INDEX(Surface_Engine!$D$12:$D$72,$A1297+1),-(1000*12*INDEX(Surface_Engine!$C$12:$C$72,$A1297+1)/(1+Assumptions!$B$10)^3+INDEX(Surface_Engine!$D$12:$D$72,$A1297+1))))*INDEX(Surface_Engine!$B$12:$B$72,$A1297+1)</f>
        <v>8702.2432025253</v>
      </c>
      <c r="N1298" s="12" t="n">
        <f aca="false">IF(B1298&lt;=0,0,MAX(0,(K1298+Assumptions!$B$29*L1298/INDEX(Surface_Engine!$B$12:$B$72,$A1298+1)-(M1298/INDEX(Surface_Engine!$B$12:$B$72,$A1298+1)-(F1298/INDEX(Surface_Engine!$B$12:$B$72,$A1298+1))))/B1298))</f>
        <v>0</v>
      </c>
    </row>
    <row r="1299" customFormat="false" ht="15" hidden="false" customHeight="true" outlineLevel="0" collapsed="false">
      <c r="A1299" s="1" t="n">
        <v>31</v>
      </c>
      <c r="B1299" s="32" t="n">
        <f aca="false">INDEX(Surface_Engine!$S$12:$S$72,$A1299+1)*IF($A1299&lt;$Q$1266,INDEX(Surface_Engine!$E$12:$E$72,$A1299+1),INDEX(Surface_Engine!$E$12:$E$72,$Q$1266+1))</f>
        <v>0.0367471952076647</v>
      </c>
      <c r="C1299" s="32" t="n">
        <f aca="false">INDEX(Panel_Reserving!$G$8:$G$68,$A1299+1)*IF($A1299&lt;$Q$1266,INDEX(Surface_Engine!$E$12:$E$72,$A1299+1),INDEX(Surface_Engine!$E$12:$E$72,$Q$1266+1))</f>
        <v>0.0734076206982685</v>
      </c>
      <c r="D1299" s="32" t="n">
        <f aca="false">INDEX(Surface_Engine!$S$12:$S$72,$A1299+1)*IF($A1299&lt;$Q$1266,INDEX(Surface_Engine!$Y$12:$Y$72,$A1299+1),INDEX(Surface_Engine!$Y$12:$Y$72,$Q$1266+1))</f>
        <v>0.0353309978274328</v>
      </c>
      <c r="E1299" s="32" t="n">
        <f aca="false">INDEX(Surface_Engine!$S$12:$S$72,$A1299+1)*IF($A1299&lt;$Q$1266,INDEX(Surface_Engine!$Z$12:$Z$72,$A1299+1),INDEX(Surface_Engine!$Z$12:$Z$72,$Q$1266+1))</f>
        <v>0.0381966134870294</v>
      </c>
      <c r="F1299" s="48" t="n">
        <f aca="false">B1299*(IF($A1299&lt;$Q$1266,INDEX(Surface_Engine!$D$12:$D$72,$A1299+1)+(Surface_Engine!B248*12)*INDEX(Surface_Engine!$F$12:$F$72,$A1299+1)-(Surface_Engine!B248*12),1000*12*INDEX(Surface_Engine!$C$12:$C$72,$A1299+1)/(1+Assumptions!$B$10)^3+INDEX(Surface_Engine!$D$12:$D$72,$A1299+1)))*INDEX(Surface_Engine!$B$12:$B$72,$A1299+1)+F1300</f>
        <v>1034.69123942006</v>
      </c>
      <c r="G1299" s="48" t="n">
        <f aca="false">C1299*(IF($A1299&lt;$Q$1266,INDEX(Surface_Engine!$D$12:$D$72,$A1299+1)+(Surface_Engine!B248*12)*INDEX(Surface_Engine!$F$12:$F$72,$A1299+1)-(Surface_Engine!B248*12),1000*12*INDEX(Surface_Engine!$C$12:$C$72,$A1299+1)/(1+Assumptions!$B$10)^3+INDEX(Surface_Engine!$D$12:$D$72,$A1299+1)))*INDEX(Surface_Engine!$B$12:$B$72,$A1299+1)+G1300</f>
        <v>2441.08431617021</v>
      </c>
      <c r="H1299" s="48" t="n">
        <f aca="false">D1299*(IF($A1299&lt;$Q$1266,INDEX(Surface_Engine!$D$12:$D$72,$A1299+1)+(Surface_Engine!B248*12)*INDEX(Surface_Engine!$F$12:$F$72,$A1299+1)-(Surface_Engine!B248*12),1000*12*INDEX(Surface_Engine!$C$12:$C$72,$A1299+1)/(1+Assumptions!$B$10)^3+INDEX(Surface_Engine!$D$12:$D$72,$A1299+1)))*INDEX(Surface_Engine!$B$12:$B$72,$A1299+1)+H1300</f>
        <v>994.815351904432</v>
      </c>
      <c r="I1299" s="48" t="n">
        <f aca="false">E1299*(IF($A1299&lt;$Q$1266,INDEX(Surface_Engine!$D$12:$D$72,$A1299+1)+(Surface_Engine!B248*12)*INDEX(Surface_Engine!$F$12:$F$72,$A1299+1)-(Surface_Engine!B248*12),1000*12*INDEX(Surface_Engine!$C$12:$C$72,$A1299+1)/(1+Assumptions!$B$10)^3+INDEX(Surface_Engine!$D$12:$D$72,$A1299+1)))*INDEX(Surface_Engine!$B$12:$B$72,$A1299+1)+I1300</f>
        <v>1075.502528212</v>
      </c>
      <c r="J1299" s="48" t="n">
        <f aca="false">B1299*(IF($A1299&lt;$Q$1266,INDEX(Surface_Engine!$D$12:$D$72,$A1299+1)*(1+Assumptions!$B$24)+(Surface_Engine!B248*12)*INDEX(Surface_Engine!$F$12:$F$72,$A1299+1)-(Surface_Engine!B248*12),1000*12*INDEX(Surface_Engine!$C$12:$C$72,$A1299+1)/(1+Assumptions!$B$10)^3+INDEX(Surface_Engine!$D$12:$D$72,$A1299+1)*(1+Assumptions!$B$24)))*INDEX(Surface_Engine!$B$12:$B$72,$A1299+1)+J1300</f>
        <v>1035.56591854558</v>
      </c>
      <c r="K1299" s="12" t="n">
        <f aca="false">SQRT((IF(C1299&lt;=0,0,MAX(0,(B1299/C1299)*G1299/INDEX(Surface_Engine!$B$12:$B$72,$A1299+1)-F1299/INDEX(Surface_Engine!$B$12:$B$72,$A1299+1))))^2+(MAX(IF(D1299&lt;=0,0,MAX(0,(B1299/D1299)*H1299/INDEX(Surface_Engine!$B$12:$B$72,$A1299+1)-F1299/INDEX(Surface_Engine!$B$12:$B$72,$A1299+1))),IF(E1299&lt;=0,0,MAX(0,(B1299/E1299)*I1299/INDEX(Surface_Engine!$B$12:$B$72,$A1299+1)-F1299/INDEX(Surface_Engine!$B$12:$B$72,$A1299+1))),IF($A1299&lt;$Q$1266,MAX(0,-Assumptions!$B$22*(F1299/INDEX(Surface_Engine!$B$12:$B$72,$A1299+1))),0)))^2+(MAX(0,J1299/INDEX(Surface_Engine!$B$12:$B$72,$A1299+1)-(F1299/INDEX(Surface_Engine!$B$12:$B$72,$A1299+1))))^2+2*Assumptions!$B$26*(IF(C1299&lt;=0,0,MAX(0,(B1299/C1299)*G1299/INDEX(Surface_Engine!$B$12:$B$72,$A1299+1)-F1299/INDEX(Surface_Engine!$B$12:$B$72,$A1299+1))))*(MAX(IF(D1299&lt;=0,0,MAX(0,(B1299/D1299)*H1299/INDEX(Surface_Engine!$B$12:$B$72,$A1299+1)-F1299/INDEX(Surface_Engine!$B$12:$B$72,$A1299+1))),IF(E1299&lt;=0,0,MAX(0,(B1299/E1299)*I1299/INDEX(Surface_Engine!$B$12:$B$72,$A1299+1)-F1299/INDEX(Surface_Engine!$B$12:$B$72,$A1299+1))),IF($A1299&lt;$Q$1266,MAX(0,-Assumptions!$B$22*(F1299/INDEX(Surface_Engine!$B$12:$B$72,$A1299+1))),0)))+2*Assumptions!$B$27*(IF(C1299&lt;=0,0,MAX(0,(B1299/C1299)*G1299/INDEX(Surface_Engine!$B$12:$B$72,$A1299+1)-F1299/INDEX(Surface_Engine!$B$12:$B$72,$A1299+1))))*(MAX(0,J1299/INDEX(Surface_Engine!$B$12:$B$72,$A1299+1)-(F1299/INDEX(Surface_Engine!$B$12:$B$72,$A1299+1))))+2*Assumptions!$B$28*(MAX(IF(D1299&lt;=0,0,MAX(0,(B1299/D1299)*H1299/INDEX(Surface_Engine!$B$12:$B$72,$A1299+1)-F1299/INDEX(Surface_Engine!$B$12:$B$72,$A1299+1))),IF(E1299&lt;=0,0,MAX(0,(B1299/E1299)*I1299/INDEX(Surface_Engine!$B$12:$B$72,$A1299+1)-F1299/INDEX(Surface_Engine!$B$12:$B$72,$A1299+1))),IF($A1299&lt;$Q$1266,MAX(0,-Assumptions!$B$22*(F1299/INDEX(Surface_Engine!$B$12:$B$72,$A1299+1))),0)))*(MAX(0,J1299/INDEX(Surface_Engine!$B$12:$B$72,$A1299+1)-(F1299/INDEX(Surface_Engine!$B$12:$B$72,$A1299+1)))))</f>
        <v>495.618850886819</v>
      </c>
      <c r="L1299" s="48" t="n">
        <f aca="false">K1299*INDEX(Surface_Engine!$B$12:$B$72,$A1299+1)+L1300</f>
        <v>592.593522577487</v>
      </c>
      <c r="M1299" s="48" t="n">
        <f aca="false">M1298+B1298*(IF($A1298&lt;$Q$1266,(Surface_Engine!B248*12)-(Surface_Engine!B248*12)*INDEX(Surface_Engine!$F$12:$F$72,$A1298+1)-INDEX(Surface_Engine!$D$12:$D$72,$A1298+1),-(1000*12*INDEX(Surface_Engine!$C$12:$C$72,$A1298+1)/(1+Assumptions!$B$10)^3+INDEX(Surface_Engine!$D$12:$D$72,$A1298+1))))*INDEX(Surface_Engine!$B$12:$B$72,$A1298+1)</f>
        <v>8311.83368569337</v>
      </c>
      <c r="N1299" s="12" t="n">
        <f aca="false">IF(B1299&lt;=0,0,MAX(0,(K1299+Assumptions!$B$29*L1299/INDEX(Surface_Engine!$B$12:$B$72,$A1299+1)-(M1299/INDEX(Surface_Engine!$B$12:$B$72,$A1299+1)-(F1299/INDEX(Surface_Engine!$B$12:$B$72,$A1299+1))))/B1299))</f>
        <v>0</v>
      </c>
    </row>
    <row r="1300" customFormat="false" ht="15" hidden="false" customHeight="true" outlineLevel="0" collapsed="false">
      <c r="A1300" s="1" t="n">
        <v>32</v>
      </c>
      <c r="B1300" s="32" t="n">
        <f aca="false">INDEX(Surface_Engine!$S$12:$S$72,$A1300+1)*IF($A1300&lt;$Q$1266,INDEX(Surface_Engine!$E$12:$E$72,$A1300+1),INDEX(Surface_Engine!$E$12:$E$72,$Q$1266+1))</f>
        <v>0.0273843024771046</v>
      </c>
      <c r="C1300" s="32" t="n">
        <f aca="false">INDEX(Panel_Reserving!$G$8:$G$68,$A1300+1)*IF($A1300&lt;$Q$1266,INDEX(Surface_Engine!$E$12:$E$72,$A1300+1),INDEX(Surface_Engine!$E$12:$E$72,$Q$1266+1))</f>
        <v>0.0584446789157583</v>
      </c>
      <c r="D1300" s="32" t="n">
        <f aca="false">INDEX(Surface_Engine!$S$12:$S$72,$A1300+1)*IF($A1300&lt;$Q$1266,INDEX(Surface_Engine!$Y$12:$Y$72,$A1300+1),INDEX(Surface_Engine!$Y$12:$Y$72,$Q$1266+1))</f>
        <v>0.0263289409125446</v>
      </c>
      <c r="E1300" s="32" t="n">
        <f aca="false">INDEX(Surface_Engine!$S$12:$S$72,$A1300+1)*IF($A1300&lt;$Q$1266,INDEX(Surface_Engine!$Z$12:$Z$72,$A1300+1),INDEX(Surface_Engine!$Z$12:$Z$72,$Q$1266+1))</f>
        <v>0.0284644205202278</v>
      </c>
      <c r="F1300" s="48" t="n">
        <f aca="false">B1300*(IF($A1300&lt;$Q$1266,INDEX(Surface_Engine!$D$12:$D$72,$A1300+1)+(Surface_Engine!B248*12)*INDEX(Surface_Engine!$F$12:$F$72,$A1300+1)-(Surface_Engine!B248*12),1000*12*INDEX(Surface_Engine!$C$12:$C$72,$A1300+1)/(1+Assumptions!$B$10)^3+INDEX(Surface_Engine!$D$12:$D$72,$A1300+1)))*INDEX(Surface_Engine!$B$12:$B$72,$A1300+1)+F1301</f>
        <v>741.773235690296</v>
      </c>
      <c r="G1300" s="48" t="n">
        <f aca="false">C1300*(IF($A1300&lt;$Q$1266,INDEX(Surface_Engine!$D$12:$D$72,$A1300+1)+(Surface_Engine!B248*12)*INDEX(Surface_Engine!$F$12:$F$72,$A1300+1)-(Surface_Engine!B248*12),1000*12*INDEX(Surface_Engine!$C$12:$C$72,$A1300+1)/(1+Assumptions!$B$10)^3+INDEX(Surface_Engine!$D$12:$D$72,$A1300+1)))*INDEX(Surface_Engine!$B$12:$B$72,$A1300+1)+G1301</f>
        <v>1855.93996455441</v>
      </c>
      <c r="H1300" s="48" t="n">
        <f aca="false">D1300*(IF($A1300&lt;$Q$1266,INDEX(Surface_Engine!$D$12:$D$72,$A1300+1)+(Surface_Engine!B248*12)*INDEX(Surface_Engine!$F$12:$F$72,$A1300+1)-(Surface_Engine!B248*12),1000*12*INDEX(Surface_Engine!$C$12:$C$72,$A1300+1)/(1+Assumptions!$B$10)^3+INDEX(Surface_Engine!$D$12:$D$72,$A1300+1)))*INDEX(Surface_Engine!$B$12:$B$72,$A1300+1)+H1301</f>
        <v>713.186092993441</v>
      </c>
      <c r="I1300" s="48" t="n">
        <f aca="false">E1300*(IF($A1300&lt;$Q$1266,INDEX(Surface_Engine!$D$12:$D$72,$A1300+1)+(Surface_Engine!B248*12)*INDEX(Surface_Engine!$F$12:$F$72,$A1300+1)-(Surface_Engine!B248*12),1000*12*INDEX(Surface_Engine!$C$12:$C$72,$A1300+1)/(1+Assumptions!$B$10)^3+INDEX(Surface_Engine!$D$12:$D$72,$A1300+1)))*INDEX(Surface_Engine!$B$12:$B$72,$A1300+1)+I1301</f>
        <v>771.030970352146</v>
      </c>
      <c r="J1300" s="48" t="n">
        <f aca="false">B1300*(IF($A1300&lt;$Q$1266,INDEX(Surface_Engine!$D$12:$D$72,$A1300+1)*(1+Assumptions!$B$24)+(Surface_Engine!B248*12)*INDEX(Surface_Engine!$F$12:$F$72,$A1300+1)-(Surface_Engine!B248*12),1000*12*INDEX(Surface_Engine!$C$12:$C$72,$A1300+1)/(1+Assumptions!$B$10)^3+INDEX(Surface_Engine!$D$12:$D$72,$A1300+1)*(1+Assumptions!$B$24)))*INDEX(Surface_Engine!$B$12:$B$72,$A1300+1)+J1301</f>
        <v>742.402802997175</v>
      </c>
      <c r="K1300" s="12" t="n">
        <f aca="false">SQRT((IF(C1300&lt;=0,0,MAX(0,(B1300/C1300)*G1300/INDEX(Surface_Engine!$B$12:$B$72,$A1300+1)-F1300/INDEX(Surface_Engine!$B$12:$B$72,$A1300+1))))^2+(MAX(IF(D1300&lt;=0,0,MAX(0,(B1300/D1300)*H1300/INDEX(Surface_Engine!$B$12:$B$72,$A1300+1)-F1300/INDEX(Surface_Engine!$B$12:$B$72,$A1300+1))),IF(E1300&lt;=0,0,MAX(0,(B1300/E1300)*I1300/INDEX(Surface_Engine!$B$12:$B$72,$A1300+1)-F1300/INDEX(Surface_Engine!$B$12:$B$72,$A1300+1))),IF($A1300&lt;$Q$1266,MAX(0,-Assumptions!$B$22*(F1300/INDEX(Surface_Engine!$B$12:$B$72,$A1300+1))),0)))^2+(MAX(0,J1300/INDEX(Surface_Engine!$B$12:$B$72,$A1300+1)-(F1300/INDEX(Surface_Engine!$B$12:$B$72,$A1300+1))))^2+2*Assumptions!$B$26*(IF(C1300&lt;=0,0,MAX(0,(B1300/C1300)*G1300/INDEX(Surface_Engine!$B$12:$B$72,$A1300+1)-F1300/INDEX(Surface_Engine!$B$12:$B$72,$A1300+1))))*(MAX(IF(D1300&lt;=0,0,MAX(0,(B1300/D1300)*H1300/INDEX(Surface_Engine!$B$12:$B$72,$A1300+1)-F1300/INDEX(Surface_Engine!$B$12:$B$72,$A1300+1))),IF(E1300&lt;=0,0,MAX(0,(B1300/E1300)*I1300/INDEX(Surface_Engine!$B$12:$B$72,$A1300+1)-F1300/INDEX(Surface_Engine!$B$12:$B$72,$A1300+1))),IF($A1300&lt;$Q$1266,MAX(0,-Assumptions!$B$22*(F1300/INDEX(Surface_Engine!$B$12:$B$72,$A1300+1))),0)))+2*Assumptions!$B$27*(IF(C1300&lt;=0,0,MAX(0,(B1300/C1300)*G1300/INDEX(Surface_Engine!$B$12:$B$72,$A1300+1)-F1300/INDEX(Surface_Engine!$B$12:$B$72,$A1300+1))))*(MAX(0,J1300/INDEX(Surface_Engine!$B$12:$B$72,$A1300+1)-(F1300/INDEX(Surface_Engine!$B$12:$B$72,$A1300+1))))+2*Assumptions!$B$28*(MAX(IF(D1300&lt;=0,0,MAX(0,(B1300/D1300)*H1300/INDEX(Surface_Engine!$B$12:$B$72,$A1300+1)-F1300/INDEX(Surface_Engine!$B$12:$B$72,$A1300+1))),IF(E1300&lt;=0,0,MAX(0,(B1300/E1300)*I1300/INDEX(Surface_Engine!$B$12:$B$72,$A1300+1)-F1300/INDEX(Surface_Engine!$B$12:$B$72,$A1300+1))),IF($A1300&lt;$Q$1266,MAX(0,-Assumptions!$B$22*(F1300/INDEX(Surface_Engine!$B$12:$B$72,$A1300+1))),0)))*(MAX(0,J1300/INDEX(Surface_Engine!$B$12:$B$72,$A1300+1)-(F1300/INDEX(Surface_Engine!$B$12:$B$72,$A1300+1)))))</f>
        <v>349.275529170839</v>
      </c>
      <c r="L1300" s="48" t="n">
        <f aca="false">K1300*INDEX(Surface_Engine!$B$12:$B$72,$A1300+1)+L1301</f>
        <v>405.079309029141</v>
      </c>
      <c r="M1300" s="48" t="n">
        <f aca="false">M1299+B1299*(IF($A1299&lt;$Q$1266,(Surface_Engine!B248*12)-(Surface_Engine!B248*12)*INDEX(Surface_Engine!$F$12:$F$72,$A1299+1)-INDEX(Surface_Engine!$D$12:$D$72,$A1299+1),-(1000*12*INDEX(Surface_Engine!$C$12:$C$72,$A1299+1)/(1+Assumptions!$B$10)^3+INDEX(Surface_Engine!$D$12:$D$72,$A1299+1))))*INDEX(Surface_Engine!$B$12:$B$72,$A1299+1)</f>
        <v>8018.91568196361</v>
      </c>
      <c r="N1300" s="12" t="n">
        <f aca="false">IF(B1300&lt;=0,0,MAX(0,(K1300+Assumptions!$B$29*L1300/INDEX(Surface_Engine!$B$12:$B$72,$A1300+1)-(M1300/INDEX(Surface_Engine!$B$12:$B$72,$A1300+1)-(F1300/INDEX(Surface_Engine!$B$12:$B$72,$A1300+1))))/B1300))</f>
        <v>0</v>
      </c>
    </row>
    <row r="1301" customFormat="false" ht="15" hidden="false" customHeight="true" outlineLevel="0" collapsed="false">
      <c r="A1301" s="1" t="n">
        <v>33</v>
      </c>
      <c r="B1301" s="32" t="n">
        <f aca="false">INDEX(Surface_Engine!$S$12:$S$72,$A1301+1)*IF($A1301&lt;$Q$1266,INDEX(Surface_Engine!$E$12:$E$72,$A1301+1),INDEX(Surface_Engine!$E$12:$E$72,$Q$1266+1))</f>
        <v>0.0207042919958862</v>
      </c>
      <c r="C1301" s="32" t="n">
        <f aca="false">INDEX(Panel_Reserving!$G$8:$G$68,$A1301+1)*IF($A1301&lt;$Q$1266,INDEX(Surface_Engine!$E$12:$E$72,$A1301+1),INDEX(Surface_Engine!$E$12:$E$72,$Q$1266+1))</f>
        <v>0.0470392814460181</v>
      </c>
      <c r="D1301" s="32" t="n">
        <f aca="false">INDEX(Surface_Engine!$S$12:$S$72,$A1301+1)*IF($A1301&lt;$Q$1266,INDEX(Surface_Engine!$Y$12:$Y$72,$A1301+1),INDEX(Surface_Engine!$Y$12:$Y$72,$Q$1266+1))</f>
        <v>0.0199063708506551</v>
      </c>
      <c r="E1301" s="32" t="n">
        <f aca="false">INDEX(Surface_Engine!$S$12:$S$72,$A1301+1)*IF($A1301&lt;$Q$1266,INDEX(Surface_Engine!$Z$12:$Z$72,$A1301+1),INDEX(Surface_Engine!$Z$12:$Z$72,$Q$1266+1))</f>
        <v>0.0215209306294079</v>
      </c>
      <c r="F1301" s="48" t="n">
        <f aca="false">B1301*(IF($A1301&lt;$Q$1266,INDEX(Surface_Engine!$D$12:$D$72,$A1301+1)+(Surface_Engine!B248*12)*INDEX(Surface_Engine!$F$12:$F$72,$A1301+1)-(Surface_Engine!B248*12),1000*12*INDEX(Surface_Engine!$C$12:$C$72,$A1301+1)/(1+Assumptions!$B$10)^3+INDEX(Surface_Engine!$D$12:$D$72,$A1301+1)))*INDEX(Surface_Engine!$B$12:$B$72,$A1301+1)+F1302</f>
        <v>526.120186385756</v>
      </c>
      <c r="G1301" s="48" t="n">
        <f aca="false">C1301*(IF($A1301&lt;$Q$1266,INDEX(Surface_Engine!$D$12:$D$72,$A1301+1)+(Surface_Engine!B248*12)*INDEX(Surface_Engine!$F$12:$F$72,$A1301+1)-(Surface_Engine!B248*12),1000*12*INDEX(Surface_Engine!$C$12:$C$72,$A1301+1)/(1+Assumptions!$B$10)^3+INDEX(Surface_Engine!$D$12:$D$72,$A1301+1)))*INDEX(Surface_Engine!$B$12:$B$72,$A1301+1)+G1302</f>
        <v>1395.68455967982</v>
      </c>
      <c r="H1301" s="48" t="n">
        <f aca="false">D1301*(IF($A1301&lt;$Q$1266,INDEX(Surface_Engine!$D$12:$D$72,$A1301+1)+(Surface_Engine!B248*12)*INDEX(Surface_Engine!$F$12:$F$72,$A1301+1)-(Surface_Engine!B248*12),1000*12*INDEX(Surface_Engine!$C$12:$C$72,$A1301+1)/(1+Assumptions!$B$10)^3+INDEX(Surface_Engine!$D$12:$D$72,$A1301+1)))*INDEX(Surface_Engine!$B$12:$B$72,$A1301+1)+H1302</f>
        <v>505.844080265657</v>
      </c>
      <c r="I1301" s="48" t="n">
        <f aca="false">E1301*(IF($A1301&lt;$Q$1266,INDEX(Surface_Engine!$D$12:$D$72,$A1301+1)+(Surface_Engine!B248*12)*INDEX(Surface_Engine!$F$12:$F$72,$A1301+1)-(Surface_Engine!B248*12),1000*12*INDEX(Surface_Engine!$C$12:$C$72,$A1301+1)/(1+Assumptions!$B$10)^3+INDEX(Surface_Engine!$D$12:$D$72,$A1301+1)))*INDEX(Surface_Engine!$B$12:$B$72,$A1301+1)+I1302</f>
        <v>546.871925694863</v>
      </c>
      <c r="J1301" s="48" t="n">
        <f aca="false">B1301*(IF($A1301&lt;$Q$1266,INDEX(Surface_Engine!$D$12:$D$72,$A1301+1)*(1+Assumptions!$B$24)+(Surface_Engine!B248*12)*INDEX(Surface_Engine!$F$12:$F$72,$A1301+1)-(Surface_Engine!B248*12),1000*12*INDEX(Surface_Engine!$C$12:$C$72,$A1301+1)/(1+Assumptions!$B$10)^3+INDEX(Surface_Engine!$D$12:$D$72,$A1301+1)*(1+Assumptions!$B$24)))*INDEX(Surface_Engine!$B$12:$B$72,$A1301+1)+J1302</f>
        <v>526.568419513985</v>
      </c>
      <c r="K1301" s="12" t="n">
        <f aca="false">SQRT((IF(C1301&lt;=0,0,MAX(0,(B1301/C1301)*G1301/INDEX(Surface_Engine!$B$12:$B$72,$A1301+1)-F1301/INDEX(Surface_Engine!$B$12:$B$72,$A1301+1))))^2+(MAX(IF(D1301&lt;=0,0,MAX(0,(B1301/D1301)*H1301/INDEX(Surface_Engine!$B$12:$B$72,$A1301+1)-F1301/INDEX(Surface_Engine!$B$12:$B$72,$A1301+1))),IF(E1301&lt;=0,0,MAX(0,(B1301/E1301)*I1301/INDEX(Surface_Engine!$B$12:$B$72,$A1301+1)-F1301/INDEX(Surface_Engine!$B$12:$B$72,$A1301+1))),IF($A1301&lt;$Q$1266,MAX(0,-Assumptions!$B$22*(F1301/INDEX(Surface_Engine!$B$12:$B$72,$A1301+1))),0)))^2+(MAX(0,J1301/INDEX(Surface_Engine!$B$12:$B$72,$A1301+1)-(F1301/INDEX(Surface_Engine!$B$12:$B$72,$A1301+1))))^2+2*Assumptions!$B$26*(IF(C1301&lt;=0,0,MAX(0,(B1301/C1301)*G1301/INDEX(Surface_Engine!$B$12:$B$72,$A1301+1)-F1301/INDEX(Surface_Engine!$B$12:$B$72,$A1301+1))))*(MAX(IF(D1301&lt;=0,0,MAX(0,(B1301/D1301)*H1301/INDEX(Surface_Engine!$B$12:$B$72,$A1301+1)-F1301/INDEX(Surface_Engine!$B$12:$B$72,$A1301+1))),IF(E1301&lt;=0,0,MAX(0,(B1301/E1301)*I1301/INDEX(Surface_Engine!$B$12:$B$72,$A1301+1)-F1301/INDEX(Surface_Engine!$B$12:$B$72,$A1301+1))),IF($A1301&lt;$Q$1266,MAX(0,-Assumptions!$B$22*(F1301/INDEX(Surface_Engine!$B$12:$B$72,$A1301+1))),0)))+2*Assumptions!$B$27*(IF(C1301&lt;=0,0,MAX(0,(B1301/C1301)*G1301/INDEX(Surface_Engine!$B$12:$B$72,$A1301+1)-F1301/INDEX(Surface_Engine!$B$12:$B$72,$A1301+1))))*(MAX(0,J1301/INDEX(Surface_Engine!$B$12:$B$72,$A1301+1)-(F1301/INDEX(Surface_Engine!$B$12:$B$72,$A1301+1))))+2*Assumptions!$B$28*(MAX(IF(D1301&lt;=0,0,MAX(0,(B1301/D1301)*H1301/INDEX(Surface_Engine!$B$12:$B$72,$A1301+1)-F1301/INDEX(Surface_Engine!$B$12:$B$72,$A1301+1))),IF(E1301&lt;=0,0,MAX(0,(B1301/E1301)*I1301/INDEX(Surface_Engine!$B$12:$B$72,$A1301+1)-F1301/INDEX(Surface_Engine!$B$12:$B$72,$A1301+1))),IF($A1301&lt;$Q$1266,MAX(0,-Assumptions!$B$22*(F1301/INDEX(Surface_Engine!$B$12:$B$72,$A1301+1))),0)))*(MAX(0,J1301/INDEX(Surface_Engine!$B$12:$B$72,$A1301+1)-(F1301/INDEX(Surface_Engine!$B$12:$B$72,$A1301+1)))))</f>
        <v>248.813111853352</v>
      </c>
      <c r="L1301" s="48" t="n">
        <f aca="false">K1301*INDEX(Surface_Engine!$B$12:$B$72,$A1301+1)+L1302</f>
        <v>277.091501160745</v>
      </c>
      <c r="M1301" s="48" t="n">
        <f aca="false">M1300+B1300*(IF($A1300&lt;$Q$1266,(Surface_Engine!B248*12)-(Surface_Engine!B248*12)*INDEX(Surface_Engine!$F$12:$F$72,$A1300+1)-INDEX(Surface_Engine!$D$12:$D$72,$A1300+1),-(1000*12*INDEX(Surface_Engine!$C$12:$C$72,$A1300+1)/(1+Assumptions!$B$10)^3+INDEX(Surface_Engine!$D$12:$D$72,$A1300+1))))*INDEX(Surface_Engine!$B$12:$B$72,$A1300+1)</f>
        <v>7803.26263265907</v>
      </c>
      <c r="N1301" s="12" t="n">
        <f aca="false">IF(B1301&lt;=0,0,MAX(0,(K1301+Assumptions!$B$29*L1301/INDEX(Surface_Engine!$B$12:$B$72,$A1301+1)-(M1301/INDEX(Surface_Engine!$B$12:$B$72,$A1301+1)-(F1301/INDEX(Surface_Engine!$B$12:$B$72,$A1301+1))))/B1301))</f>
        <v>0</v>
      </c>
    </row>
    <row r="1302" customFormat="false" ht="15" hidden="false" customHeight="true" outlineLevel="0" collapsed="false">
      <c r="A1302" s="1" t="n">
        <v>34</v>
      </c>
      <c r="B1302" s="32" t="n">
        <f aca="false">INDEX(Surface_Engine!$S$12:$S$72,$A1302+1)*IF($A1302&lt;$Q$1266,INDEX(Surface_Engine!$E$12:$E$72,$A1302+1),INDEX(Surface_Engine!$E$12:$E$72,$Q$1266+1))</f>
        <v>0.0181242149718419</v>
      </c>
      <c r="C1302" s="32" t="n">
        <f aca="false">INDEX(Panel_Reserving!$G$8:$G$68,$A1302+1)*IF($A1302&lt;$Q$1266,INDEX(Surface_Engine!$E$12:$E$72,$A1302+1),INDEX(Surface_Engine!$E$12:$E$72,$Q$1266+1))</f>
        <v>0.042349820176421</v>
      </c>
      <c r="D1302" s="32" t="n">
        <f aca="false">INDEX(Surface_Engine!$S$12:$S$72,$A1302+1)*IF($A1302&lt;$Q$1266,INDEX(Surface_Engine!$Y$12:$Y$72,$A1302+1),INDEX(Surface_Engine!$Y$12:$Y$72,$Q$1266+1))</f>
        <v>0.0174257272201419</v>
      </c>
      <c r="E1302" s="32" t="n">
        <f aca="false">INDEX(Surface_Engine!$S$12:$S$72,$A1302+1)*IF($A1302&lt;$Q$1266,INDEX(Surface_Engine!$Z$12:$Z$72,$A1302+1),INDEX(Surface_Engine!$Z$12:$Z$72,$Q$1266+1))</f>
        <v>0.0188390877214727</v>
      </c>
      <c r="F1302" s="48" t="n">
        <f aca="false">B1302*(IF($A1302&lt;$Q$1266,INDEX(Surface_Engine!$D$12:$D$72,$A1302+1)+(Surface_Engine!B248*12)*INDEX(Surface_Engine!$F$12:$F$72,$A1302+1)-(Surface_Engine!B248*12),1000*12*INDEX(Surface_Engine!$C$12:$C$72,$A1302+1)/(1+Assumptions!$B$10)^3+INDEX(Surface_Engine!$D$12:$D$72,$A1302+1)))*INDEX(Surface_Engine!$B$12:$B$72,$A1302+1)+F1303</f>
        <v>365.044640598286</v>
      </c>
      <c r="G1302" s="48" t="n">
        <f aca="false">C1302*(IF($A1302&lt;$Q$1266,INDEX(Surface_Engine!$D$12:$D$72,$A1302+1)+(Surface_Engine!B248*12)*INDEX(Surface_Engine!$F$12:$F$72,$A1302+1)-(Surface_Engine!B248*12),1000*12*INDEX(Surface_Engine!$C$12:$C$72,$A1302+1)/(1+Assumptions!$B$10)^3+INDEX(Surface_Engine!$D$12:$D$72,$A1302+1)))*INDEX(Surface_Engine!$B$12:$B$72,$A1302+1)+G1303</f>
        <v>1029.72768784507</v>
      </c>
      <c r="H1302" s="48" t="n">
        <f aca="false">D1302*(IF($A1302&lt;$Q$1266,INDEX(Surface_Engine!$D$12:$D$72,$A1302+1)+(Surface_Engine!B248*12)*INDEX(Surface_Engine!$F$12:$F$72,$A1302+1)-(Surface_Engine!B248*12),1000*12*INDEX(Surface_Engine!$C$12:$C$72,$A1302+1)/(1+Assumptions!$B$10)^3+INDEX(Surface_Engine!$D$12:$D$72,$A1302+1)))*INDEX(Surface_Engine!$B$12:$B$72,$A1302+1)+H1303</f>
        <v>350.976212769674</v>
      </c>
      <c r="I1302" s="48" t="n">
        <f aca="false">E1302*(IF($A1302&lt;$Q$1266,INDEX(Surface_Engine!$D$12:$D$72,$A1302+1)+(Surface_Engine!B248*12)*INDEX(Surface_Engine!$F$12:$F$72,$A1302+1)-(Surface_Engine!B248*12),1000*12*INDEX(Surface_Engine!$C$12:$C$72,$A1302+1)/(1+Assumptions!$B$10)^3+INDEX(Surface_Engine!$D$12:$D$72,$A1302+1)))*INDEX(Surface_Engine!$B$12:$B$72,$A1302+1)+I1303</f>
        <v>379.443083033886</v>
      </c>
      <c r="J1302" s="48" t="n">
        <f aca="false">B1302*(IF($A1302&lt;$Q$1266,INDEX(Surface_Engine!$D$12:$D$72,$A1302+1)*(1+Assumptions!$B$24)+(Surface_Engine!B248*12)*INDEX(Surface_Engine!$F$12:$F$72,$A1302+1)-(Surface_Engine!B248*12),1000*12*INDEX(Surface_Engine!$C$12:$C$72,$A1302+1)/(1+Assumptions!$B$10)^3+INDEX(Surface_Engine!$D$12:$D$72,$A1302+1)*(1+Assumptions!$B$24)))*INDEX(Surface_Engine!$B$12:$B$72,$A1302+1)+J1303</f>
        <v>365.35677330487</v>
      </c>
      <c r="K1302" s="12" t="n">
        <f aca="false">SQRT((IF(C1302&lt;=0,0,MAX(0,(B1302/C1302)*G1302/INDEX(Surface_Engine!$B$12:$B$72,$A1302+1)-F1302/INDEX(Surface_Engine!$B$12:$B$72,$A1302+1))))^2+(MAX(IF(D1302&lt;=0,0,MAX(0,(B1302/D1302)*H1302/INDEX(Surface_Engine!$B$12:$B$72,$A1302+1)-F1302/INDEX(Surface_Engine!$B$12:$B$72,$A1302+1))),IF(E1302&lt;=0,0,MAX(0,(B1302/E1302)*I1302/INDEX(Surface_Engine!$B$12:$B$72,$A1302+1)-F1302/INDEX(Surface_Engine!$B$12:$B$72,$A1302+1))),IF($A1302&lt;$Q$1266,MAX(0,-Assumptions!$B$22*(F1302/INDEX(Surface_Engine!$B$12:$B$72,$A1302+1))),0)))^2+(MAX(0,J1302/INDEX(Surface_Engine!$B$12:$B$72,$A1302+1)-(F1302/INDEX(Surface_Engine!$B$12:$B$72,$A1302+1))))^2+2*Assumptions!$B$26*(IF(C1302&lt;=0,0,MAX(0,(B1302/C1302)*G1302/INDEX(Surface_Engine!$B$12:$B$72,$A1302+1)-F1302/INDEX(Surface_Engine!$B$12:$B$72,$A1302+1))))*(MAX(IF(D1302&lt;=0,0,MAX(0,(B1302/D1302)*H1302/INDEX(Surface_Engine!$B$12:$B$72,$A1302+1)-F1302/INDEX(Surface_Engine!$B$12:$B$72,$A1302+1))),IF(E1302&lt;=0,0,MAX(0,(B1302/E1302)*I1302/INDEX(Surface_Engine!$B$12:$B$72,$A1302+1)-F1302/INDEX(Surface_Engine!$B$12:$B$72,$A1302+1))),IF($A1302&lt;$Q$1266,MAX(0,-Assumptions!$B$22*(F1302/INDEX(Surface_Engine!$B$12:$B$72,$A1302+1))),0)))+2*Assumptions!$B$27*(IF(C1302&lt;=0,0,MAX(0,(B1302/C1302)*G1302/INDEX(Surface_Engine!$B$12:$B$72,$A1302+1)-F1302/INDEX(Surface_Engine!$B$12:$B$72,$A1302+1))))*(MAX(0,J1302/INDEX(Surface_Engine!$B$12:$B$72,$A1302+1)-(F1302/INDEX(Surface_Engine!$B$12:$B$72,$A1302+1))))+2*Assumptions!$B$28*(MAX(IF(D1302&lt;=0,0,MAX(0,(B1302/D1302)*H1302/INDEX(Surface_Engine!$B$12:$B$72,$A1302+1)-F1302/INDEX(Surface_Engine!$B$12:$B$72,$A1302+1))),IF(E1302&lt;=0,0,MAX(0,(B1302/E1302)*I1302/INDEX(Surface_Engine!$B$12:$B$72,$A1302+1)-F1302/INDEX(Surface_Engine!$B$12:$B$72,$A1302+1))),IF($A1302&lt;$Q$1266,MAX(0,-Assumptions!$B$22*(F1302/INDEX(Surface_Engine!$B$12:$B$72,$A1302+1))),0)))*(MAX(0,J1302/INDEX(Surface_Engine!$B$12:$B$72,$A1302+1)-(F1302/INDEX(Surface_Engine!$B$12:$B$72,$A1302+1)))))</f>
        <v>220.311407271665</v>
      </c>
      <c r="L1302" s="48" t="n">
        <f aca="false">K1302*INDEX(Surface_Engine!$B$12:$B$72,$A1302+1)+L1303</f>
        <v>188.789420027356</v>
      </c>
      <c r="M1302" s="48" t="n">
        <f aca="false">M1301+B1301*(IF($A1301&lt;$Q$1266,(Surface_Engine!B248*12)-(Surface_Engine!B248*12)*INDEX(Surface_Engine!$F$12:$F$72,$A1301+1)-INDEX(Surface_Engine!$D$12:$D$72,$A1301+1),-(1000*12*INDEX(Surface_Engine!$C$12:$C$72,$A1301+1)/(1+Assumptions!$B$10)^3+INDEX(Surface_Engine!$D$12:$D$72,$A1301+1))))*INDEX(Surface_Engine!$B$12:$B$72,$A1301+1)</f>
        <v>7642.1870868716</v>
      </c>
      <c r="N1302" s="12" t="n">
        <f aca="false">IF(B1302&lt;=0,0,MAX(0,(K1302+Assumptions!$B$29*L1302/INDEX(Surface_Engine!$B$12:$B$72,$A1302+1)-(M1302/INDEX(Surface_Engine!$B$12:$B$72,$A1302+1)-(F1302/INDEX(Surface_Engine!$B$12:$B$72,$A1302+1))))/B1302))</f>
        <v>0</v>
      </c>
    </row>
    <row r="1303" customFormat="false" ht="15" hidden="false" customHeight="true" outlineLevel="0" collapsed="false">
      <c r="A1303" s="1" t="n">
        <v>35</v>
      </c>
      <c r="B1303" s="32" t="n">
        <f aca="false">INDEX(Surface_Engine!$S$12:$S$72,$A1303+1)*IF($A1303&lt;$Q$1266,INDEX(Surface_Engine!$E$12:$E$72,$A1303+1),INDEX(Surface_Engine!$E$12:$E$72,$Q$1266+1))</f>
        <v>0.0119671086033019</v>
      </c>
      <c r="C1303" s="32" t="n">
        <f aca="false">INDEX(Panel_Reserving!$G$8:$G$68,$A1303+1)*IF($A1303&lt;$Q$1266,INDEX(Surface_Engine!$E$12:$E$72,$A1303+1),INDEX(Surface_Engine!$E$12:$E$72,$Q$1266+1))</f>
        <v>0.0308402525435111</v>
      </c>
      <c r="D1303" s="32" t="n">
        <f aca="false">INDEX(Surface_Engine!$S$12:$S$72,$A1303+1)*IF($A1303&lt;$Q$1266,INDEX(Surface_Engine!$Y$12:$Y$72,$A1303+1),INDEX(Surface_Engine!$Y$12:$Y$72,$Q$1266+1))</f>
        <v>0.0115059091088324</v>
      </c>
      <c r="E1303" s="32" t="n">
        <f aca="false">INDEX(Surface_Engine!$S$12:$S$72,$A1303+1)*IF($A1303&lt;$Q$1266,INDEX(Surface_Engine!$Z$12:$Z$72,$A1303+1),INDEX(Surface_Engine!$Z$12:$Z$72,$Q$1266+1))</f>
        <v>0.0124391268311625</v>
      </c>
      <c r="F1303" s="48" t="n">
        <f aca="false">B1303*(IF($A1303&lt;$Q$1266,INDEX(Surface_Engine!$D$12:$D$72,$A1303+1)+(Surface_Engine!B248*12)*INDEX(Surface_Engine!$F$12:$F$72,$A1303+1)-(Surface_Engine!B248*12),1000*12*INDEX(Surface_Engine!$C$12:$C$72,$A1303+1)/(1+Assumptions!$B$10)^3+INDEX(Surface_Engine!$D$12:$D$72,$A1303+1)))*INDEX(Surface_Engine!$B$12:$B$72,$A1303+1)+F1304</f>
        <v>225.752376603959</v>
      </c>
      <c r="G1303" s="48" t="n">
        <f aca="false">C1303*(IF($A1303&lt;$Q$1266,INDEX(Surface_Engine!$D$12:$D$72,$A1303+1)+(Surface_Engine!B248*12)*INDEX(Surface_Engine!$F$12:$F$72,$A1303+1)-(Surface_Engine!B248*12),1000*12*INDEX(Surface_Engine!$C$12:$C$72,$A1303+1)/(1+Assumptions!$B$10)^3+INDEX(Surface_Engine!$D$12:$D$72,$A1303+1)))*INDEX(Surface_Engine!$B$12:$B$72,$A1303+1)+G1304</f>
        <v>704.251393214317</v>
      </c>
      <c r="H1303" s="48" t="n">
        <f aca="false">D1303*(IF($A1303&lt;$Q$1266,INDEX(Surface_Engine!$D$12:$D$72,$A1303+1)+(Surface_Engine!B248*12)*INDEX(Surface_Engine!$F$12:$F$72,$A1303+1)-(Surface_Engine!B248*12),1000*12*INDEX(Surface_Engine!$C$12:$C$72,$A1303+1)/(1+Assumptions!$B$10)^3+INDEX(Surface_Engine!$D$12:$D$72,$A1303+1)))*INDEX(Surface_Engine!$B$12:$B$72,$A1303+1)+H1304</f>
        <v>217.052122815312</v>
      </c>
      <c r="I1303" s="48" t="n">
        <f aca="false">E1303*(IF($A1303&lt;$Q$1266,INDEX(Surface_Engine!$D$12:$D$72,$A1303+1)+(Surface_Engine!B248*12)*INDEX(Surface_Engine!$F$12:$F$72,$A1303+1)-(Surface_Engine!B248*12),1000*12*INDEX(Surface_Engine!$C$12:$C$72,$A1303+1)/(1+Assumptions!$B$10)^3+INDEX(Surface_Engine!$D$12:$D$72,$A1303+1)))*INDEX(Surface_Engine!$B$12:$B$72,$A1303+1)+I1304</f>
        <v>234.656719354765</v>
      </c>
      <c r="J1303" s="48" t="n">
        <f aca="false">B1303*(IF($A1303&lt;$Q$1266,INDEX(Surface_Engine!$D$12:$D$72,$A1303+1)*(1+Assumptions!$B$24)+(Surface_Engine!B248*12)*INDEX(Surface_Engine!$F$12:$F$72,$A1303+1)-(Surface_Engine!B248*12),1000*12*INDEX(Surface_Engine!$C$12:$C$72,$A1303+1)/(1+Assumptions!$B$10)^3+INDEX(Surface_Engine!$D$12:$D$72,$A1303+1)*(1+Assumptions!$B$24)))*INDEX(Surface_Engine!$B$12:$B$72,$A1303+1)+J1304</f>
        <v>225.946242587813</v>
      </c>
      <c r="K1303" s="12" t="n">
        <f aca="false">SQRT((IF(C1303&lt;=0,0,MAX(0,(B1303/C1303)*G1303/INDEX(Surface_Engine!$B$12:$B$72,$A1303+1)-F1303/INDEX(Surface_Engine!$B$12:$B$72,$A1303+1))))^2+(MAX(IF(D1303&lt;=0,0,MAX(0,(B1303/D1303)*H1303/INDEX(Surface_Engine!$B$12:$B$72,$A1303+1)-F1303/INDEX(Surface_Engine!$B$12:$B$72,$A1303+1))),IF(E1303&lt;=0,0,MAX(0,(B1303/E1303)*I1303/INDEX(Surface_Engine!$B$12:$B$72,$A1303+1)-F1303/INDEX(Surface_Engine!$B$12:$B$72,$A1303+1))),IF($A1303&lt;$Q$1266,MAX(0,-Assumptions!$B$22*(F1303/INDEX(Surface_Engine!$B$12:$B$72,$A1303+1))),0)))^2+(MAX(0,J1303/INDEX(Surface_Engine!$B$12:$B$72,$A1303+1)-(F1303/INDEX(Surface_Engine!$B$12:$B$72,$A1303+1))))^2+2*Assumptions!$B$26*(IF(C1303&lt;=0,0,MAX(0,(B1303/C1303)*G1303/INDEX(Surface_Engine!$B$12:$B$72,$A1303+1)-F1303/INDEX(Surface_Engine!$B$12:$B$72,$A1303+1))))*(MAX(IF(D1303&lt;=0,0,MAX(0,(B1303/D1303)*H1303/INDEX(Surface_Engine!$B$12:$B$72,$A1303+1)-F1303/INDEX(Surface_Engine!$B$12:$B$72,$A1303+1))),IF(E1303&lt;=0,0,MAX(0,(B1303/E1303)*I1303/INDEX(Surface_Engine!$B$12:$B$72,$A1303+1)-F1303/INDEX(Surface_Engine!$B$12:$B$72,$A1303+1))),IF($A1303&lt;$Q$1266,MAX(0,-Assumptions!$B$22*(F1303/INDEX(Surface_Engine!$B$12:$B$72,$A1303+1))),0)))+2*Assumptions!$B$27*(IF(C1303&lt;=0,0,MAX(0,(B1303/C1303)*G1303/INDEX(Surface_Engine!$B$12:$B$72,$A1303+1)-F1303/INDEX(Surface_Engine!$B$12:$B$72,$A1303+1))))*(MAX(0,J1303/INDEX(Surface_Engine!$B$12:$B$72,$A1303+1)-(F1303/INDEX(Surface_Engine!$B$12:$B$72,$A1303+1))))+2*Assumptions!$B$28*(MAX(IF(D1303&lt;=0,0,MAX(0,(B1303/D1303)*H1303/INDEX(Surface_Engine!$B$12:$B$72,$A1303+1)-F1303/INDEX(Surface_Engine!$B$12:$B$72,$A1303+1))),IF(E1303&lt;=0,0,MAX(0,(B1303/E1303)*I1303/INDEX(Surface_Engine!$B$12:$B$72,$A1303+1)-F1303/INDEX(Surface_Engine!$B$12:$B$72,$A1303+1))),IF($A1303&lt;$Q$1266,MAX(0,-Assumptions!$B$22*(F1303/INDEX(Surface_Engine!$B$12:$B$72,$A1303+1))),0)))*(MAX(0,J1303/INDEX(Surface_Engine!$B$12:$B$72,$A1303+1)-(F1303/INDEX(Surface_Engine!$B$12:$B$72,$A1303+1)))))</f>
        <v>142.922222199342</v>
      </c>
      <c r="L1303" s="48" t="n">
        <f aca="false">K1303*INDEX(Surface_Engine!$B$12:$B$72,$A1303+1)+L1304</f>
        <v>113.068642203871</v>
      </c>
      <c r="M1303" s="48" t="n">
        <f aca="false">M1302+B1302*(IF($A1302&lt;$Q$1266,(Surface_Engine!B248*12)-(Surface_Engine!B248*12)*INDEX(Surface_Engine!$F$12:$F$72,$A1302+1)-INDEX(Surface_Engine!$D$12:$D$72,$A1302+1),-(1000*12*INDEX(Surface_Engine!$C$12:$C$72,$A1302+1)/(1+Assumptions!$B$10)^3+INDEX(Surface_Engine!$D$12:$D$72,$A1302+1))))*INDEX(Surface_Engine!$B$12:$B$72,$A1302+1)</f>
        <v>7502.89482287727</v>
      </c>
      <c r="N1303" s="12" t="n">
        <f aca="false">IF(B1303&lt;=0,0,MAX(0,(K1303+Assumptions!$B$29*L1303/INDEX(Surface_Engine!$B$12:$B$72,$A1303+1)-(M1303/INDEX(Surface_Engine!$B$12:$B$72,$A1303+1)-(F1303/INDEX(Surface_Engine!$B$12:$B$72,$A1303+1))))/B1303))</f>
        <v>0</v>
      </c>
    </row>
    <row r="1304" customFormat="false" ht="15" hidden="false" customHeight="true" outlineLevel="0" collapsed="false">
      <c r="A1304" s="1" t="n">
        <v>36</v>
      </c>
      <c r="B1304" s="32" t="n">
        <f aca="false">INDEX(Surface_Engine!$S$12:$S$72,$A1304+1)*IF($A1304&lt;$Q$1266,INDEX(Surface_Engine!$E$12:$E$72,$A1304+1),INDEX(Surface_Engine!$E$12:$E$72,$Q$1266+1))</f>
        <v>0.00762574327949172</v>
      </c>
      <c r="C1304" s="32" t="n">
        <f aca="false">INDEX(Panel_Reserving!$G$8:$G$68,$A1304+1)*IF($A1304&lt;$Q$1266,INDEX(Surface_Engine!$E$12:$E$72,$A1304+1),INDEX(Surface_Engine!$E$12:$E$72,$Q$1266+1))</f>
        <v>0.0218897996039928</v>
      </c>
      <c r="D1304" s="32" t="n">
        <f aca="false">INDEX(Surface_Engine!$S$12:$S$72,$A1304+1)*IF($A1304&lt;$Q$1266,INDEX(Surface_Engine!$Y$12:$Y$72,$A1304+1),INDEX(Surface_Engine!$Y$12:$Y$72,$Q$1266+1))</f>
        <v>0.00733185533529063</v>
      </c>
      <c r="E1304" s="32" t="n">
        <f aca="false">INDEX(Surface_Engine!$S$12:$S$72,$A1304+1)*IF($A1304&lt;$Q$1266,INDEX(Surface_Engine!$Z$12:$Z$72,$A1304+1),INDEX(Surface_Engine!$Z$12:$Z$72,$Q$1266+1))</f>
        <v>0.00792652519333783</v>
      </c>
      <c r="F1304" s="48" t="n">
        <f aca="false">B1304*(IF($A1304&lt;$Q$1266,INDEX(Surface_Engine!$D$12:$D$72,$A1304+1)+(Surface_Engine!B248*12)*INDEX(Surface_Engine!$F$12:$F$72,$A1304+1)-(Surface_Engine!B248*12),1000*12*INDEX(Surface_Engine!$C$12:$C$72,$A1304+1)/(1+Assumptions!$B$10)^3+INDEX(Surface_Engine!$D$12:$D$72,$A1304+1)))*INDEX(Surface_Engine!$B$12:$B$72,$A1304+1)+F1305</f>
        <v>134.899465354712</v>
      </c>
      <c r="G1304" s="48" t="n">
        <f aca="false">C1304*(IF($A1304&lt;$Q$1266,INDEX(Surface_Engine!$D$12:$D$72,$A1304+1)+(Surface_Engine!B248*12)*INDEX(Surface_Engine!$F$12:$F$72,$A1304+1)-(Surface_Engine!B248*12),1000*12*INDEX(Surface_Engine!$C$12:$C$72,$A1304+1)/(1+Assumptions!$B$10)^3+INDEX(Surface_Engine!$D$12:$D$72,$A1304+1)))*INDEX(Surface_Engine!$B$12:$B$72,$A1304+1)+G1305</f>
        <v>470.115745237754</v>
      </c>
      <c r="H1304" s="48" t="n">
        <f aca="false">D1304*(IF($A1304&lt;$Q$1266,INDEX(Surface_Engine!$D$12:$D$72,$A1304+1)+(Surface_Engine!B248*12)*INDEX(Surface_Engine!$F$12:$F$72,$A1304+1)-(Surface_Engine!B248*12),1000*12*INDEX(Surface_Engine!$C$12:$C$72,$A1304+1)/(1+Assumptions!$B$10)^3+INDEX(Surface_Engine!$D$12:$D$72,$A1304+1)))*INDEX(Surface_Engine!$B$12:$B$72,$A1304+1)+H1305</f>
        <v>129.700585049687</v>
      </c>
      <c r="I1304" s="48" t="n">
        <f aca="false">E1304*(IF($A1304&lt;$Q$1266,INDEX(Surface_Engine!$D$12:$D$72,$A1304+1)+(Surface_Engine!B248*12)*INDEX(Surface_Engine!$F$12:$F$72,$A1304+1)-(Surface_Engine!B248*12),1000*12*INDEX(Surface_Engine!$C$12:$C$72,$A1304+1)/(1+Assumptions!$B$10)^3+INDEX(Surface_Engine!$D$12:$D$72,$A1304+1)))*INDEX(Surface_Engine!$B$12:$B$72,$A1304+1)+I1305</f>
        <v>140.220300043093</v>
      </c>
      <c r="J1304" s="48" t="n">
        <f aca="false">B1304*(IF($A1304&lt;$Q$1266,INDEX(Surface_Engine!$D$12:$D$72,$A1304+1)*(1+Assumptions!$B$24)+(Surface_Engine!B248*12)*INDEX(Surface_Engine!$F$12:$F$72,$A1304+1)-(Surface_Engine!B248*12),1000*12*INDEX(Surface_Engine!$C$12:$C$72,$A1304+1)/(1+Assumptions!$B$10)^3+INDEX(Surface_Engine!$D$12:$D$72,$A1304+1)*(1+Assumptions!$B$24)))*INDEX(Surface_Engine!$B$12:$B$72,$A1304+1)+J1305</f>
        <v>135.01581735942</v>
      </c>
      <c r="K1304" s="12" t="n">
        <f aca="false">SQRT((IF(C1304&lt;=0,0,MAX(0,(B1304/C1304)*G1304/INDEX(Surface_Engine!$B$12:$B$72,$A1304+1)-F1304/INDEX(Surface_Engine!$B$12:$B$72,$A1304+1))))^2+(MAX(IF(D1304&lt;=0,0,MAX(0,(B1304/D1304)*H1304/INDEX(Surface_Engine!$B$12:$B$72,$A1304+1)-F1304/INDEX(Surface_Engine!$B$12:$B$72,$A1304+1))),IF(E1304&lt;=0,0,MAX(0,(B1304/E1304)*I1304/INDEX(Surface_Engine!$B$12:$B$72,$A1304+1)-F1304/INDEX(Surface_Engine!$B$12:$B$72,$A1304+1))),IF($A1304&lt;$Q$1266,MAX(0,-Assumptions!$B$22*(F1304/INDEX(Surface_Engine!$B$12:$B$72,$A1304+1))),0)))^2+(MAX(0,J1304/INDEX(Surface_Engine!$B$12:$B$72,$A1304+1)-(F1304/INDEX(Surface_Engine!$B$12:$B$72,$A1304+1))))^2+2*Assumptions!$B$26*(IF(C1304&lt;=0,0,MAX(0,(B1304/C1304)*G1304/INDEX(Surface_Engine!$B$12:$B$72,$A1304+1)-F1304/INDEX(Surface_Engine!$B$12:$B$72,$A1304+1))))*(MAX(IF(D1304&lt;=0,0,MAX(0,(B1304/D1304)*H1304/INDEX(Surface_Engine!$B$12:$B$72,$A1304+1)-F1304/INDEX(Surface_Engine!$B$12:$B$72,$A1304+1))),IF(E1304&lt;=0,0,MAX(0,(B1304/E1304)*I1304/INDEX(Surface_Engine!$B$12:$B$72,$A1304+1)-F1304/INDEX(Surface_Engine!$B$12:$B$72,$A1304+1))),IF($A1304&lt;$Q$1266,MAX(0,-Assumptions!$B$22*(F1304/INDEX(Surface_Engine!$B$12:$B$72,$A1304+1))),0)))+2*Assumptions!$B$27*(IF(C1304&lt;=0,0,MAX(0,(B1304/C1304)*G1304/INDEX(Surface_Engine!$B$12:$B$72,$A1304+1)-F1304/INDEX(Surface_Engine!$B$12:$B$72,$A1304+1))))*(MAX(0,J1304/INDEX(Surface_Engine!$B$12:$B$72,$A1304+1)-(F1304/INDEX(Surface_Engine!$B$12:$B$72,$A1304+1))))+2*Assumptions!$B$28*(MAX(IF(D1304&lt;=0,0,MAX(0,(B1304/D1304)*H1304/INDEX(Surface_Engine!$B$12:$B$72,$A1304+1)-F1304/INDEX(Surface_Engine!$B$12:$B$72,$A1304+1))),IF(E1304&lt;=0,0,MAX(0,(B1304/E1304)*I1304/INDEX(Surface_Engine!$B$12:$B$72,$A1304+1)-F1304/INDEX(Surface_Engine!$B$12:$B$72,$A1304+1))),IF($A1304&lt;$Q$1266,MAX(0,-Assumptions!$B$22*(F1304/INDEX(Surface_Engine!$B$12:$B$72,$A1304+1))),0)))*(MAX(0,J1304/INDEX(Surface_Engine!$B$12:$B$72,$A1304+1)-(F1304/INDEX(Surface_Engine!$B$12:$B$72,$A1304+1)))))</f>
        <v>89.6431274755652</v>
      </c>
      <c r="L1304" s="48" t="n">
        <f aca="false">K1304*INDEX(Surface_Engine!$B$12:$B$72,$A1304+1)+L1305</f>
        <v>65.4977366721318</v>
      </c>
      <c r="M1304" s="48" t="n">
        <f aca="false">M1303+B1303*(IF($A1303&lt;$Q$1266,(Surface_Engine!B248*12)-(Surface_Engine!B248*12)*INDEX(Surface_Engine!$F$12:$F$72,$A1303+1)-INDEX(Surface_Engine!$D$12:$D$72,$A1303+1),-(1000*12*INDEX(Surface_Engine!$C$12:$C$72,$A1303+1)/(1+Assumptions!$B$10)^3+INDEX(Surface_Engine!$D$12:$D$72,$A1303+1))))*INDEX(Surface_Engine!$B$12:$B$72,$A1303+1)</f>
        <v>7412.04191162802</v>
      </c>
      <c r="N1304" s="12" t="n">
        <f aca="false">IF(B1304&lt;=0,0,MAX(0,(K1304+Assumptions!$B$29*L1304/INDEX(Surface_Engine!$B$12:$B$72,$A1304+1)-(M1304/INDEX(Surface_Engine!$B$12:$B$72,$A1304+1)-(F1304/INDEX(Surface_Engine!$B$12:$B$72,$A1304+1))))/B1304))</f>
        <v>0</v>
      </c>
    </row>
    <row r="1305" customFormat="false" ht="15" hidden="false" customHeight="true" outlineLevel="0" collapsed="false">
      <c r="A1305" s="1" t="n">
        <v>37</v>
      </c>
      <c r="B1305" s="32" t="n">
        <f aca="false">INDEX(Surface_Engine!$S$12:$S$72,$A1305+1)*IF($A1305&lt;$Q$1266,INDEX(Surface_Engine!$E$12:$E$72,$A1305+1),INDEX(Surface_Engine!$E$12:$E$72,$Q$1266+1))</f>
        <v>0.00467284184900837</v>
      </c>
      <c r="C1305" s="32" t="n">
        <f aca="false">INDEX(Panel_Reserving!$G$8:$G$68,$A1305+1)*IF($A1305&lt;$Q$1266,INDEX(Surface_Engine!$E$12:$E$72,$A1305+1),INDEX(Surface_Engine!$E$12:$E$72,$Q$1266+1))</f>
        <v>0.01510872469029</v>
      </c>
      <c r="D1305" s="32" t="n">
        <f aca="false">INDEX(Surface_Engine!$S$12:$S$72,$A1305+1)*IF($A1305&lt;$Q$1266,INDEX(Surface_Engine!$Y$12:$Y$72,$A1305+1),INDEX(Surface_Engine!$Y$12:$Y$72,$Q$1266+1))</f>
        <v>0.00449275554997505</v>
      </c>
      <c r="E1305" s="32" t="n">
        <f aca="false">INDEX(Surface_Engine!$S$12:$S$72,$A1305+1)*IF($A1305&lt;$Q$1266,INDEX(Surface_Engine!$Z$12:$Z$72,$A1305+1),INDEX(Surface_Engine!$Z$12:$Z$72,$Q$1266+1))</f>
        <v>0.0048571525795079</v>
      </c>
      <c r="F1305" s="48" t="n">
        <f aca="false">B1305*(IF($A1305&lt;$Q$1266,INDEX(Surface_Engine!$D$12:$D$72,$A1305+1)+(Surface_Engine!B248*12)*INDEX(Surface_Engine!$F$12:$F$72,$A1305+1)-(Surface_Engine!B248*12),1000*12*INDEX(Surface_Engine!$C$12:$C$72,$A1305+1)/(1+Assumptions!$B$10)^3+INDEX(Surface_Engine!$D$12:$D$72,$A1305+1)))*INDEX(Surface_Engine!$B$12:$B$72,$A1305+1)+F1306</f>
        <v>77.6925691765209</v>
      </c>
      <c r="G1305" s="48" t="n">
        <f aca="false">C1305*(IF($A1305&lt;$Q$1266,INDEX(Surface_Engine!$D$12:$D$72,$A1305+1)+(Surface_Engine!B248*12)*INDEX(Surface_Engine!$F$12:$F$72,$A1305+1)-(Surface_Engine!B248*12),1000*12*INDEX(Surface_Engine!$C$12:$C$72,$A1305+1)/(1+Assumptions!$B$10)^3+INDEX(Surface_Engine!$D$12:$D$72,$A1305+1)))*INDEX(Surface_Engine!$B$12:$B$72,$A1305+1)+G1306</f>
        <v>305.902573169039</v>
      </c>
      <c r="H1305" s="48" t="n">
        <f aca="false">D1305*(IF($A1305&lt;$Q$1266,INDEX(Surface_Engine!$D$12:$D$72,$A1305+1)+(Surface_Engine!B248*12)*INDEX(Surface_Engine!$F$12:$F$72,$A1305+1)-(Surface_Engine!B248*12),1000*12*INDEX(Surface_Engine!$C$12:$C$72,$A1305+1)/(1+Assumptions!$B$10)^3+INDEX(Surface_Engine!$D$12:$D$72,$A1305+1)))*INDEX(Surface_Engine!$B$12:$B$72,$A1305+1)+H1306</f>
        <v>74.6983811219093</v>
      </c>
      <c r="I1305" s="48" t="n">
        <f aca="false">E1305*(IF($A1305&lt;$Q$1266,INDEX(Surface_Engine!$D$12:$D$72,$A1305+1)+(Surface_Engine!B248*12)*INDEX(Surface_Engine!$F$12:$F$72,$A1305+1)-(Surface_Engine!B248*12),1000*12*INDEX(Surface_Engine!$C$12:$C$72,$A1305+1)/(1+Assumptions!$B$10)^3+INDEX(Surface_Engine!$D$12:$D$72,$A1305+1)))*INDEX(Surface_Engine!$B$12:$B$72,$A1305+1)+I1306</f>
        <v>80.7569943469016</v>
      </c>
      <c r="J1305" s="48" t="n">
        <f aca="false">B1305*(IF($A1305&lt;$Q$1266,INDEX(Surface_Engine!$D$12:$D$72,$A1305+1)*(1+Assumptions!$B$24)+(Surface_Engine!B248*12)*INDEX(Surface_Engine!$F$12:$F$72,$A1305+1)-(Surface_Engine!B248*12),1000*12*INDEX(Surface_Engine!$C$12:$C$72,$A1305+1)/(1+Assumptions!$B$10)^3+INDEX(Surface_Engine!$D$12:$D$72,$A1305+1)*(1+Assumptions!$B$24)))*INDEX(Surface_Engine!$B$12:$B$72,$A1305+1)+J1306</f>
        <v>77.7598761404978</v>
      </c>
      <c r="K1305" s="12" t="n">
        <f aca="false">SQRT((IF(C1305&lt;=0,0,MAX(0,(B1305/C1305)*G1305/INDEX(Surface_Engine!$B$12:$B$72,$A1305+1)-F1305/INDEX(Surface_Engine!$B$12:$B$72,$A1305+1))))^2+(MAX(IF(D1305&lt;=0,0,MAX(0,(B1305/D1305)*H1305/INDEX(Surface_Engine!$B$12:$B$72,$A1305+1)-F1305/INDEX(Surface_Engine!$B$12:$B$72,$A1305+1))),IF(E1305&lt;=0,0,MAX(0,(B1305/E1305)*I1305/INDEX(Surface_Engine!$B$12:$B$72,$A1305+1)-F1305/INDEX(Surface_Engine!$B$12:$B$72,$A1305+1))),IF($A1305&lt;$Q$1266,MAX(0,-Assumptions!$B$22*(F1305/INDEX(Surface_Engine!$B$12:$B$72,$A1305+1))),0)))^2+(MAX(0,J1305/INDEX(Surface_Engine!$B$12:$B$72,$A1305+1)-(F1305/INDEX(Surface_Engine!$B$12:$B$72,$A1305+1))))^2+2*Assumptions!$B$26*(IF(C1305&lt;=0,0,MAX(0,(B1305/C1305)*G1305/INDEX(Surface_Engine!$B$12:$B$72,$A1305+1)-F1305/INDEX(Surface_Engine!$B$12:$B$72,$A1305+1))))*(MAX(IF(D1305&lt;=0,0,MAX(0,(B1305/D1305)*H1305/INDEX(Surface_Engine!$B$12:$B$72,$A1305+1)-F1305/INDEX(Surface_Engine!$B$12:$B$72,$A1305+1))),IF(E1305&lt;=0,0,MAX(0,(B1305/E1305)*I1305/INDEX(Surface_Engine!$B$12:$B$72,$A1305+1)-F1305/INDEX(Surface_Engine!$B$12:$B$72,$A1305+1))),IF($A1305&lt;$Q$1266,MAX(0,-Assumptions!$B$22*(F1305/INDEX(Surface_Engine!$B$12:$B$72,$A1305+1))),0)))+2*Assumptions!$B$27*(IF(C1305&lt;=0,0,MAX(0,(B1305/C1305)*G1305/INDEX(Surface_Engine!$B$12:$B$72,$A1305+1)-F1305/INDEX(Surface_Engine!$B$12:$B$72,$A1305+1))))*(MAX(0,J1305/INDEX(Surface_Engine!$B$12:$B$72,$A1305+1)-(F1305/INDEX(Surface_Engine!$B$12:$B$72,$A1305+1))))+2*Assumptions!$B$28*(MAX(IF(D1305&lt;=0,0,MAX(0,(B1305/D1305)*H1305/INDEX(Surface_Engine!$B$12:$B$72,$A1305+1)-F1305/INDEX(Surface_Engine!$B$12:$B$72,$A1305+1))),IF(E1305&lt;=0,0,MAX(0,(B1305/E1305)*I1305/INDEX(Surface_Engine!$B$12:$B$72,$A1305+1)-F1305/INDEX(Surface_Engine!$B$12:$B$72,$A1305+1))),IF($A1305&lt;$Q$1266,MAX(0,-Assumptions!$B$22*(F1305/INDEX(Surface_Engine!$B$12:$B$72,$A1305+1))),0)))*(MAX(0,J1305/INDEX(Surface_Engine!$B$12:$B$72,$A1305+1)-(F1305/INDEX(Surface_Engine!$B$12:$B$72,$A1305+1)))))</f>
        <v>54.2365154106799</v>
      </c>
      <c r="L1305" s="48" t="n">
        <f aca="false">K1305*INDEX(Surface_Engine!$B$12:$B$72,$A1305+1)+L1306</f>
        <v>36.5938056448286</v>
      </c>
      <c r="M1305" s="48" t="n">
        <f aca="false">M1304+B1304*(IF($A1304&lt;$Q$1266,(Surface_Engine!B248*12)-(Surface_Engine!B248*12)*INDEX(Surface_Engine!$F$12:$F$72,$A1304+1)-INDEX(Surface_Engine!$D$12:$D$72,$A1304+1),-(1000*12*INDEX(Surface_Engine!$C$12:$C$72,$A1304+1)/(1+Assumptions!$B$10)^3+INDEX(Surface_Engine!$D$12:$D$72,$A1304+1))))*INDEX(Surface_Engine!$B$12:$B$72,$A1304+1)</f>
        <v>7354.83501544983</v>
      </c>
      <c r="N1305" s="12" t="n">
        <f aca="false">IF(B1305&lt;=0,0,MAX(0,(K1305+Assumptions!$B$29*L1305/INDEX(Surface_Engine!$B$12:$B$72,$A1305+1)-(M1305/INDEX(Surface_Engine!$B$12:$B$72,$A1305+1)-(F1305/INDEX(Surface_Engine!$B$12:$B$72,$A1305+1))))/B1305))</f>
        <v>0</v>
      </c>
    </row>
    <row r="1306" customFormat="false" ht="15" hidden="false" customHeight="true" outlineLevel="0" collapsed="false">
      <c r="A1306" s="1" t="n">
        <v>38</v>
      </c>
      <c r="B1306" s="32" t="n">
        <f aca="false">INDEX(Surface_Engine!$S$12:$S$72,$A1306+1)*IF($A1306&lt;$Q$1266,INDEX(Surface_Engine!$E$12:$E$72,$A1306+1),INDEX(Surface_Engine!$E$12:$E$72,$Q$1266+1))</f>
        <v>0.00274228931884832</v>
      </c>
      <c r="C1306" s="32" t="n">
        <f aca="false">INDEX(Panel_Reserving!$G$8:$G$68,$A1306+1)*IF($A1306&lt;$Q$1266,INDEX(Surface_Engine!$E$12:$E$72,$A1306+1),INDEX(Surface_Engine!$E$12:$E$72,$Q$1266+1))</f>
        <v>0.010115071984578</v>
      </c>
      <c r="D1306" s="32" t="n">
        <f aca="false">INDEX(Surface_Engine!$S$12:$S$72,$A1306+1)*IF($A1306&lt;$Q$1266,INDEX(Surface_Engine!$Y$12:$Y$72,$A1306+1),INDEX(Surface_Engine!$Y$12:$Y$72,$Q$1266+1))</f>
        <v>0.00263660443794125</v>
      </c>
      <c r="E1306" s="32" t="n">
        <f aca="false">INDEX(Surface_Engine!$S$12:$S$72,$A1306+1)*IF($A1306&lt;$Q$1266,INDEX(Surface_Engine!$Z$12:$Z$72,$A1306+1),INDEX(Surface_Engine!$Z$12:$Z$72,$Q$1266+1))</f>
        <v>0.00285045333636268</v>
      </c>
      <c r="F1306" s="48" t="n">
        <f aca="false">B1306*(IF($A1306&lt;$Q$1266,INDEX(Surface_Engine!$D$12:$D$72,$A1306+1)+(Surface_Engine!B248*12)*INDEX(Surface_Engine!$F$12:$F$72,$A1306+1)-(Surface_Engine!B248*12),1000*12*INDEX(Surface_Engine!$C$12:$C$72,$A1306+1)/(1+Assumptions!$B$10)^3+INDEX(Surface_Engine!$D$12:$D$72,$A1306+1)))*INDEX(Surface_Engine!$B$12:$B$72,$A1306+1)+F1307</f>
        <v>43.0667676278874</v>
      </c>
      <c r="G1306" s="48" t="n">
        <f aca="false">C1306*(IF($A1306&lt;$Q$1266,INDEX(Surface_Engine!$D$12:$D$72,$A1306+1)+(Surface_Engine!B248*12)*INDEX(Surface_Engine!$F$12:$F$72,$A1306+1)-(Surface_Engine!B248*12),1000*12*INDEX(Surface_Engine!$C$12:$C$72,$A1306+1)/(1+Assumptions!$B$10)^3+INDEX(Surface_Engine!$D$12:$D$72,$A1306+1)))*INDEX(Surface_Engine!$B$12:$B$72,$A1306+1)+G1307</f>
        <v>193.946782735015</v>
      </c>
      <c r="H1306" s="48" t="n">
        <f aca="false">D1306*(IF($A1306&lt;$Q$1266,INDEX(Surface_Engine!$D$12:$D$72,$A1306+1)+(Surface_Engine!B248*12)*INDEX(Surface_Engine!$F$12:$F$72,$A1306+1)-(Surface_Engine!B248*12),1000*12*INDEX(Surface_Engine!$C$12:$C$72,$A1306+1)/(1+Assumptions!$B$10)^3+INDEX(Surface_Engine!$D$12:$D$72,$A1306+1)))*INDEX(Surface_Engine!$B$12:$B$72,$A1306+1)+H1307</f>
        <v>41.4070207235319</v>
      </c>
      <c r="I1306" s="48" t="n">
        <f aca="false">E1306*(IF($A1306&lt;$Q$1266,INDEX(Surface_Engine!$D$12:$D$72,$A1306+1)+(Surface_Engine!B248*12)*INDEX(Surface_Engine!$F$12:$F$72,$A1306+1)-(Surface_Engine!B248*12),1000*12*INDEX(Surface_Engine!$C$12:$C$72,$A1306+1)/(1+Assumptions!$B$10)^3+INDEX(Surface_Engine!$D$12:$D$72,$A1306+1)))*INDEX(Surface_Engine!$B$12:$B$72,$A1306+1)+I1307</f>
        <v>44.7654485715692</v>
      </c>
      <c r="J1306" s="48" t="n">
        <f aca="false">B1306*(IF($A1306&lt;$Q$1266,INDEX(Surface_Engine!$D$12:$D$72,$A1306+1)*(1+Assumptions!$B$24)+(Surface_Engine!B248*12)*INDEX(Surface_Engine!$F$12:$F$72,$A1306+1)-(Surface_Engine!B248*12),1000*12*INDEX(Surface_Engine!$C$12:$C$72,$A1306+1)/(1+Assumptions!$B$10)^3+INDEX(Surface_Engine!$D$12:$D$72,$A1306+1)*(1+Assumptions!$B$24)))*INDEX(Surface_Engine!$B$12:$B$72,$A1306+1)+J1307</f>
        <v>43.1042446784818</v>
      </c>
      <c r="K1306" s="12" t="n">
        <f aca="false">SQRT((IF(C1306&lt;=0,0,MAX(0,(B1306/C1306)*G1306/INDEX(Surface_Engine!$B$12:$B$72,$A1306+1)-F1306/INDEX(Surface_Engine!$B$12:$B$72,$A1306+1))))^2+(MAX(IF(D1306&lt;=0,0,MAX(0,(B1306/D1306)*H1306/INDEX(Surface_Engine!$B$12:$B$72,$A1306+1)-F1306/INDEX(Surface_Engine!$B$12:$B$72,$A1306+1))),IF(E1306&lt;=0,0,MAX(0,(B1306/E1306)*I1306/INDEX(Surface_Engine!$B$12:$B$72,$A1306+1)-F1306/INDEX(Surface_Engine!$B$12:$B$72,$A1306+1))),IF($A1306&lt;$Q$1266,MAX(0,-Assumptions!$B$22*(F1306/INDEX(Surface_Engine!$B$12:$B$72,$A1306+1))),0)))^2+(MAX(0,J1306/INDEX(Surface_Engine!$B$12:$B$72,$A1306+1)-(F1306/INDEX(Surface_Engine!$B$12:$B$72,$A1306+1))))^2+2*Assumptions!$B$26*(IF(C1306&lt;=0,0,MAX(0,(B1306/C1306)*G1306/INDEX(Surface_Engine!$B$12:$B$72,$A1306+1)-F1306/INDEX(Surface_Engine!$B$12:$B$72,$A1306+1))))*(MAX(IF(D1306&lt;=0,0,MAX(0,(B1306/D1306)*H1306/INDEX(Surface_Engine!$B$12:$B$72,$A1306+1)-F1306/INDEX(Surface_Engine!$B$12:$B$72,$A1306+1))),IF(E1306&lt;=0,0,MAX(0,(B1306/E1306)*I1306/INDEX(Surface_Engine!$B$12:$B$72,$A1306+1)-F1306/INDEX(Surface_Engine!$B$12:$B$72,$A1306+1))),IF($A1306&lt;$Q$1266,MAX(0,-Assumptions!$B$22*(F1306/INDEX(Surface_Engine!$B$12:$B$72,$A1306+1))),0)))+2*Assumptions!$B$27*(IF(C1306&lt;=0,0,MAX(0,(B1306/C1306)*G1306/INDEX(Surface_Engine!$B$12:$B$72,$A1306+1)-F1306/INDEX(Surface_Engine!$B$12:$B$72,$A1306+1))))*(MAX(0,J1306/INDEX(Surface_Engine!$B$12:$B$72,$A1306+1)-(F1306/INDEX(Surface_Engine!$B$12:$B$72,$A1306+1))))+2*Assumptions!$B$28*(MAX(IF(D1306&lt;=0,0,MAX(0,(B1306/D1306)*H1306/INDEX(Surface_Engine!$B$12:$B$72,$A1306+1)-F1306/INDEX(Surface_Engine!$B$12:$B$72,$A1306+1))),IF(E1306&lt;=0,0,MAX(0,(B1306/E1306)*I1306/INDEX(Surface_Engine!$B$12:$B$72,$A1306+1)-F1306/INDEX(Surface_Engine!$B$12:$B$72,$A1306+1))),IF($A1306&lt;$Q$1266,MAX(0,-Assumptions!$B$22*(F1306/INDEX(Surface_Engine!$B$12:$B$72,$A1306+1))),0)))*(MAX(0,J1306/INDEX(Surface_Engine!$B$12:$B$72,$A1306+1)-(F1306/INDEX(Surface_Engine!$B$12:$B$72,$A1306+1)))))</f>
        <v>31.4993923668423</v>
      </c>
      <c r="L1306" s="48" t="n">
        <f aca="false">K1306*INDEX(Surface_Engine!$B$12:$B$72,$A1306+1)+L1307</f>
        <v>19.6595614959575</v>
      </c>
      <c r="M1306" s="48" t="n">
        <f aca="false">M1305+B1305*(IF($A1305&lt;$Q$1266,(Surface_Engine!B248*12)-(Surface_Engine!B248*12)*INDEX(Surface_Engine!$F$12:$F$72,$A1305+1)-INDEX(Surface_Engine!$D$12:$D$72,$A1305+1),-(1000*12*INDEX(Surface_Engine!$C$12:$C$72,$A1305+1)/(1+Assumptions!$B$10)^3+INDEX(Surface_Engine!$D$12:$D$72,$A1305+1))))*INDEX(Surface_Engine!$B$12:$B$72,$A1305+1)</f>
        <v>7320.2092139012</v>
      </c>
      <c r="N1306" s="12" t="n">
        <f aca="false">IF(B1306&lt;=0,0,MAX(0,(K1306+Assumptions!$B$29*L1306/INDEX(Surface_Engine!$B$12:$B$72,$A1306+1)-(M1306/INDEX(Surface_Engine!$B$12:$B$72,$A1306+1)-(F1306/INDEX(Surface_Engine!$B$12:$B$72,$A1306+1))))/B1306))</f>
        <v>0</v>
      </c>
    </row>
    <row r="1307" customFormat="false" ht="15" hidden="false" customHeight="true" outlineLevel="0" collapsed="false">
      <c r="A1307" s="1" t="n">
        <v>39</v>
      </c>
      <c r="B1307" s="32" t="n">
        <f aca="false">INDEX(Surface_Engine!$S$12:$S$72,$A1307+1)*IF($A1307&lt;$Q$1266,INDEX(Surface_Engine!$E$12:$E$72,$A1307+1),INDEX(Surface_Engine!$E$12:$E$72,$Q$1266+1))</f>
        <v>0.00153406159485533</v>
      </c>
      <c r="C1307" s="32" t="n">
        <f aca="false">INDEX(Panel_Reserving!$G$8:$G$68,$A1307+1)*IF($A1307&lt;$Q$1266,INDEX(Surface_Engine!$E$12:$E$72,$A1307+1),INDEX(Surface_Engine!$E$12:$E$72,$Q$1266+1))</f>
        <v>0.00654978503459723</v>
      </c>
      <c r="D1307" s="32" t="n">
        <f aca="false">INDEX(Surface_Engine!$S$12:$S$72,$A1307+1)*IF($A1307&lt;$Q$1266,INDEX(Surface_Engine!$Y$12:$Y$72,$A1307+1),INDEX(Surface_Engine!$Y$12:$Y$72,$Q$1266+1))</f>
        <v>0.00147494051093393</v>
      </c>
      <c r="E1307" s="32" t="n">
        <f aca="false">INDEX(Surface_Engine!$S$12:$S$72,$A1307+1)*IF($A1307&lt;$Q$1266,INDEX(Surface_Engine!$Z$12:$Z$72,$A1307+1),INDEX(Surface_Engine!$Z$12:$Z$72,$Q$1266+1))</f>
        <v>0.00159456953035052</v>
      </c>
      <c r="F1307" s="48" t="n">
        <f aca="false">B1307*(IF($A1307&lt;$Q$1266,INDEX(Surface_Engine!$D$12:$D$72,$A1307+1)+(Surface_Engine!B248*12)*INDEX(Surface_Engine!$F$12:$F$72,$A1307+1)-(Surface_Engine!B248*12),1000*12*INDEX(Surface_Engine!$C$12:$C$72,$A1307+1)/(1+Assumptions!$B$10)^3+INDEX(Surface_Engine!$D$12:$D$72,$A1307+1)))*INDEX(Surface_Engine!$B$12:$B$72,$A1307+1)+F1308</f>
        <v>22.9958220074228</v>
      </c>
      <c r="G1307" s="48" t="n">
        <f aca="false">C1307*(IF($A1307&lt;$Q$1266,INDEX(Surface_Engine!$D$12:$D$72,$A1307+1)+(Surface_Engine!B248*12)*INDEX(Surface_Engine!$F$12:$F$72,$A1307+1)-(Surface_Engine!B248*12),1000*12*INDEX(Surface_Engine!$C$12:$C$72,$A1307+1)/(1+Assumptions!$B$10)^3+INDEX(Surface_Engine!$D$12:$D$72,$A1307+1)))*INDEX(Surface_Engine!$B$12:$B$72,$A1307+1)+G1308</f>
        <v>119.914091014941</v>
      </c>
      <c r="H1307" s="48" t="n">
        <f aca="false">D1307*(IF($A1307&lt;$Q$1266,INDEX(Surface_Engine!$D$12:$D$72,$A1307+1)+(Surface_Engine!B248*12)*INDEX(Surface_Engine!$F$12:$F$72,$A1307+1)-(Surface_Engine!B248*12),1000*12*INDEX(Surface_Engine!$C$12:$C$72,$A1307+1)/(1+Assumptions!$B$10)^3+INDEX(Surface_Engine!$D$12:$D$72,$A1307+1)))*INDEX(Surface_Engine!$B$12:$B$72,$A1307+1)+H1308</f>
        <v>22.1095877601789</v>
      </c>
      <c r="I1307" s="48" t="n">
        <f aca="false">E1307*(IF($A1307&lt;$Q$1266,INDEX(Surface_Engine!$D$12:$D$72,$A1307+1)+(Surface_Engine!B248*12)*INDEX(Surface_Engine!$F$12:$F$72,$A1307+1)-(Surface_Engine!B248*12),1000*12*INDEX(Surface_Engine!$C$12:$C$72,$A1307+1)/(1+Assumptions!$B$10)^3+INDEX(Surface_Engine!$D$12:$D$72,$A1307+1)))*INDEX(Surface_Engine!$B$12:$B$72,$A1307+1)+I1308</f>
        <v>23.9028453755526</v>
      </c>
      <c r="J1307" s="48" t="n">
        <f aca="false">B1307*(IF($A1307&lt;$Q$1266,INDEX(Surface_Engine!$D$12:$D$72,$A1307+1)*(1+Assumptions!$B$24)+(Surface_Engine!B248*12)*INDEX(Surface_Engine!$F$12:$F$72,$A1307+1)-(Surface_Engine!B248*12),1000*12*INDEX(Surface_Engine!$C$12:$C$72,$A1307+1)/(1+Assumptions!$B$10)^3+INDEX(Surface_Engine!$D$12:$D$72,$A1307+1)*(1+Assumptions!$B$24)))*INDEX(Surface_Engine!$B$12:$B$72,$A1307+1)+J1308</f>
        <v>23.0159240367568</v>
      </c>
      <c r="K1307" s="12" t="n">
        <f aca="false">SQRT((IF(C1307&lt;=0,0,MAX(0,(B1307/C1307)*G1307/INDEX(Surface_Engine!$B$12:$B$72,$A1307+1)-F1307/INDEX(Surface_Engine!$B$12:$B$72,$A1307+1))))^2+(MAX(IF(D1307&lt;=0,0,MAX(0,(B1307/D1307)*H1307/INDEX(Surface_Engine!$B$12:$B$72,$A1307+1)-F1307/INDEX(Surface_Engine!$B$12:$B$72,$A1307+1))),IF(E1307&lt;=0,0,MAX(0,(B1307/E1307)*I1307/INDEX(Surface_Engine!$B$12:$B$72,$A1307+1)-F1307/INDEX(Surface_Engine!$B$12:$B$72,$A1307+1))),IF($A1307&lt;$Q$1266,MAX(0,-Assumptions!$B$22*(F1307/INDEX(Surface_Engine!$B$12:$B$72,$A1307+1))),0)))^2+(MAX(0,J1307/INDEX(Surface_Engine!$B$12:$B$72,$A1307+1)-(F1307/INDEX(Surface_Engine!$B$12:$B$72,$A1307+1))))^2+2*Assumptions!$B$26*(IF(C1307&lt;=0,0,MAX(0,(B1307/C1307)*G1307/INDEX(Surface_Engine!$B$12:$B$72,$A1307+1)-F1307/INDEX(Surface_Engine!$B$12:$B$72,$A1307+1))))*(MAX(IF(D1307&lt;=0,0,MAX(0,(B1307/D1307)*H1307/INDEX(Surface_Engine!$B$12:$B$72,$A1307+1)-F1307/INDEX(Surface_Engine!$B$12:$B$72,$A1307+1))),IF(E1307&lt;=0,0,MAX(0,(B1307/E1307)*I1307/INDEX(Surface_Engine!$B$12:$B$72,$A1307+1)-F1307/INDEX(Surface_Engine!$B$12:$B$72,$A1307+1))),IF($A1307&lt;$Q$1266,MAX(0,-Assumptions!$B$22*(F1307/INDEX(Surface_Engine!$B$12:$B$72,$A1307+1))),0)))+2*Assumptions!$B$27*(IF(C1307&lt;=0,0,MAX(0,(B1307/C1307)*G1307/INDEX(Surface_Engine!$B$12:$B$72,$A1307+1)-F1307/INDEX(Surface_Engine!$B$12:$B$72,$A1307+1))))*(MAX(0,J1307/INDEX(Surface_Engine!$B$12:$B$72,$A1307+1)-(F1307/INDEX(Surface_Engine!$B$12:$B$72,$A1307+1))))+2*Assumptions!$B$28*(MAX(IF(D1307&lt;=0,0,MAX(0,(B1307/D1307)*H1307/INDEX(Surface_Engine!$B$12:$B$72,$A1307+1)-F1307/INDEX(Surface_Engine!$B$12:$B$72,$A1307+1))),IF(E1307&lt;=0,0,MAX(0,(B1307/E1307)*I1307/INDEX(Surface_Engine!$B$12:$B$72,$A1307+1)-F1307/INDEX(Surface_Engine!$B$12:$B$72,$A1307+1))),IF($A1307&lt;$Q$1266,MAX(0,-Assumptions!$B$22*(F1307/INDEX(Surface_Engine!$B$12:$B$72,$A1307+1))),0)))*(MAX(0,J1307/INDEX(Surface_Engine!$B$12:$B$72,$A1307+1)-(F1307/INDEX(Surface_Engine!$B$12:$B$72,$A1307+1)))))</f>
        <v>17.3975126418962</v>
      </c>
      <c r="L1307" s="48" t="n">
        <f aca="false">K1307*INDEX(Surface_Engine!$B$12:$B$72,$A1307+1)+L1308</f>
        <v>10.136128918327</v>
      </c>
      <c r="M1307" s="48" t="n">
        <f aca="false">M1306+B1306*(IF($A1306&lt;$Q$1266,(Surface_Engine!B248*12)-(Surface_Engine!B248*12)*INDEX(Surface_Engine!$F$12:$F$72,$A1306+1)-INDEX(Surface_Engine!$D$12:$D$72,$A1306+1),-(1000*12*INDEX(Surface_Engine!$C$12:$C$72,$A1306+1)/(1+Assumptions!$B$10)^3+INDEX(Surface_Engine!$D$12:$D$72,$A1306+1))))*INDEX(Surface_Engine!$B$12:$B$72,$A1306+1)</f>
        <v>7300.13826828073</v>
      </c>
      <c r="N1307" s="12" t="n">
        <f aca="false">IF(B1307&lt;=0,0,MAX(0,(K1307+Assumptions!$B$29*L1307/INDEX(Surface_Engine!$B$12:$B$72,$A1307+1)-(M1307/INDEX(Surface_Engine!$B$12:$B$72,$A1307+1)-(F1307/INDEX(Surface_Engine!$B$12:$B$72,$A1307+1))))/B1307))</f>
        <v>0</v>
      </c>
    </row>
    <row r="1308" customFormat="false" ht="15" hidden="false" customHeight="true" outlineLevel="0" collapsed="false">
      <c r="A1308" s="1" t="n">
        <v>40</v>
      </c>
      <c r="B1308" s="32" t="n">
        <f aca="false">INDEX(Surface_Engine!$S$12:$S$72,$A1308+1)*IF($A1308&lt;$Q$1266,INDEX(Surface_Engine!$E$12:$E$72,$A1308+1),INDEX(Surface_Engine!$E$12:$E$72,$Q$1266+1))</f>
        <v>0.000831096064689265</v>
      </c>
      <c r="C1308" s="32" t="n">
        <f aca="false">INDEX(Panel_Reserving!$G$8:$G$68,$A1308+1)*IF($A1308&lt;$Q$1266,INDEX(Surface_Engine!$E$12:$E$72,$A1308+1),INDEX(Surface_Engine!$E$12:$E$72,$Q$1266+1))</f>
        <v>0.00414869599110098</v>
      </c>
      <c r="D1308" s="32" t="n">
        <f aca="false">INDEX(Surface_Engine!$S$12:$S$72,$A1308+1)*IF($A1308&lt;$Q$1266,INDEX(Surface_Engine!$Y$12:$Y$72,$A1308+1),INDEX(Surface_Engine!$Y$12:$Y$72,$Q$1266+1))</f>
        <v>0.000799066516233049</v>
      </c>
      <c r="E1308" s="32" t="n">
        <f aca="false">INDEX(Surface_Engine!$S$12:$S$72,$A1308+1)*IF($A1308&lt;$Q$1266,INDEX(Surface_Engine!$Z$12:$Z$72,$A1308+1),INDEX(Surface_Engine!$Z$12:$Z$72,$Q$1266+1))</f>
        <v>0.000863876956435187</v>
      </c>
      <c r="F1308" s="48" t="n">
        <f aca="false">B1308*(IF($A1308&lt;$Q$1266,INDEX(Surface_Engine!$D$12:$D$72,$A1308+1)+(Surface_Engine!B248*12)*INDEX(Surface_Engine!$F$12:$F$72,$A1308+1)-(Surface_Engine!B248*12),1000*12*INDEX(Surface_Engine!$C$12:$C$72,$A1308+1)/(1+Assumptions!$B$10)^3+INDEX(Surface_Engine!$D$12:$D$72,$A1308+1)))*INDEX(Surface_Engine!$B$12:$B$72,$A1308+1)+F1309</f>
        <v>11.9020163254527</v>
      </c>
      <c r="G1308" s="48" t="n">
        <f aca="false">C1308*(IF($A1308&lt;$Q$1266,INDEX(Surface_Engine!$D$12:$D$72,$A1308+1)+(Surface_Engine!B248*12)*INDEX(Surface_Engine!$F$12:$F$72,$A1308+1)-(Surface_Engine!B248*12),1000*12*INDEX(Surface_Engine!$C$12:$C$72,$A1308+1)/(1+Assumptions!$B$10)^3+INDEX(Surface_Engine!$D$12:$D$72,$A1308+1)))*INDEX(Surface_Engine!$B$12:$B$72,$A1308+1)+G1309</f>
        <v>72.5482990049073</v>
      </c>
      <c r="H1308" s="48" t="n">
        <f aca="false">D1308*(IF($A1308&lt;$Q$1266,INDEX(Surface_Engine!$D$12:$D$72,$A1308+1)+(Surface_Engine!B248*12)*INDEX(Surface_Engine!$F$12:$F$72,$A1308+1)-(Surface_Engine!B248*12),1000*12*INDEX(Surface_Engine!$C$12:$C$72,$A1308+1)/(1+Assumptions!$B$10)^3+INDEX(Surface_Engine!$D$12:$D$72,$A1308+1)))*INDEX(Surface_Engine!$B$12:$B$72,$A1308+1)+H1309</f>
        <v>11.4433254173622</v>
      </c>
      <c r="I1308" s="48" t="n">
        <f aca="false">E1308*(IF($A1308&lt;$Q$1266,INDEX(Surface_Engine!$D$12:$D$72,$A1308+1)+(Surface_Engine!B248*12)*INDEX(Surface_Engine!$F$12:$F$72,$A1308+1)-(Surface_Engine!B248*12),1000*12*INDEX(Surface_Engine!$C$12:$C$72,$A1308+1)/(1+Assumptions!$B$10)^3+INDEX(Surface_Engine!$D$12:$D$72,$A1308+1)))*INDEX(Surface_Engine!$B$12:$B$72,$A1308+1)+I1309</f>
        <v>12.3714671209738</v>
      </c>
      <c r="J1308" s="48" t="n">
        <f aca="false">B1308*(IF($A1308&lt;$Q$1266,INDEX(Surface_Engine!$D$12:$D$72,$A1308+1)*(1+Assumptions!$B$24)+(Surface_Engine!B248*12)*INDEX(Surface_Engine!$F$12:$F$72,$A1308+1)-(Surface_Engine!B248*12),1000*12*INDEX(Surface_Engine!$C$12:$C$72,$A1308+1)/(1+Assumptions!$B$10)^3+INDEX(Surface_Engine!$D$12:$D$72,$A1308+1)*(1+Assumptions!$B$24)))*INDEX(Surface_Engine!$B$12:$B$72,$A1308+1)+J1309</f>
        <v>11.9124679989009</v>
      </c>
      <c r="K1308" s="12" t="n">
        <f aca="false">SQRT((IF(C1308&lt;=0,0,MAX(0,(B1308/C1308)*G1308/INDEX(Surface_Engine!$B$12:$B$72,$A1308+1)-F1308/INDEX(Surface_Engine!$B$12:$B$72,$A1308+1))))^2+(MAX(IF(D1308&lt;=0,0,MAX(0,(B1308/D1308)*H1308/INDEX(Surface_Engine!$B$12:$B$72,$A1308+1)-F1308/INDEX(Surface_Engine!$B$12:$B$72,$A1308+1))),IF(E1308&lt;=0,0,MAX(0,(B1308/E1308)*I1308/INDEX(Surface_Engine!$B$12:$B$72,$A1308+1)-F1308/INDEX(Surface_Engine!$B$12:$B$72,$A1308+1))),IF($A1308&lt;$Q$1266,MAX(0,-Assumptions!$B$22*(F1308/INDEX(Surface_Engine!$B$12:$B$72,$A1308+1))),0)))^2+(MAX(0,J1308/INDEX(Surface_Engine!$B$12:$B$72,$A1308+1)-(F1308/INDEX(Surface_Engine!$B$12:$B$72,$A1308+1))))^2+2*Assumptions!$B$26*(IF(C1308&lt;=0,0,MAX(0,(B1308/C1308)*G1308/INDEX(Surface_Engine!$B$12:$B$72,$A1308+1)-F1308/INDEX(Surface_Engine!$B$12:$B$72,$A1308+1))))*(MAX(IF(D1308&lt;=0,0,MAX(0,(B1308/D1308)*H1308/INDEX(Surface_Engine!$B$12:$B$72,$A1308+1)-F1308/INDEX(Surface_Engine!$B$12:$B$72,$A1308+1))),IF(E1308&lt;=0,0,MAX(0,(B1308/E1308)*I1308/INDEX(Surface_Engine!$B$12:$B$72,$A1308+1)-F1308/INDEX(Surface_Engine!$B$12:$B$72,$A1308+1))),IF($A1308&lt;$Q$1266,MAX(0,-Assumptions!$B$22*(F1308/INDEX(Surface_Engine!$B$12:$B$72,$A1308+1))),0)))+2*Assumptions!$B$27*(IF(C1308&lt;=0,0,MAX(0,(B1308/C1308)*G1308/INDEX(Surface_Engine!$B$12:$B$72,$A1308+1)-F1308/INDEX(Surface_Engine!$B$12:$B$72,$A1308+1))))*(MAX(0,J1308/INDEX(Surface_Engine!$B$12:$B$72,$A1308+1)-(F1308/INDEX(Surface_Engine!$B$12:$B$72,$A1308+1))))+2*Assumptions!$B$28*(MAX(IF(D1308&lt;=0,0,MAX(0,(B1308/D1308)*H1308/INDEX(Surface_Engine!$B$12:$B$72,$A1308+1)-F1308/INDEX(Surface_Engine!$B$12:$B$72,$A1308+1))),IF(E1308&lt;=0,0,MAX(0,(B1308/E1308)*I1308/INDEX(Surface_Engine!$B$12:$B$72,$A1308+1)-F1308/INDEX(Surface_Engine!$B$12:$B$72,$A1308+1))),IF($A1308&lt;$Q$1266,MAX(0,-Assumptions!$B$22*(F1308/INDEX(Surface_Engine!$B$12:$B$72,$A1308+1))),0)))*(MAX(0,J1308/INDEX(Surface_Engine!$B$12:$B$72,$A1308+1)-(F1308/INDEX(Surface_Engine!$B$12:$B$72,$A1308+1)))))</f>
        <v>9.28907670545728</v>
      </c>
      <c r="L1308" s="48" t="n">
        <f aca="false">K1308*INDEX(Surface_Engine!$B$12:$B$72,$A1308+1)+L1309</f>
        <v>5.04114180252477</v>
      </c>
      <c r="M1308" s="48" t="n">
        <f aca="false">M1307+B1307*(IF($A1307&lt;$Q$1266,(Surface_Engine!B248*12)-(Surface_Engine!B248*12)*INDEX(Surface_Engine!$F$12:$F$72,$A1307+1)-INDEX(Surface_Engine!$D$12:$D$72,$A1307+1),-(1000*12*INDEX(Surface_Engine!$C$12:$C$72,$A1307+1)/(1+Assumptions!$B$10)^3+INDEX(Surface_Engine!$D$12:$D$72,$A1307+1))))*INDEX(Surface_Engine!$B$12:$B$72,$A1307+1)</f>
        <v>7289.04446259876</v>
      </c>
      <c r="N1308" s="12" t="n">
        <f aca="false">IF(B1308&lt;=0,0,MAX(0,(K1308+Assumptions!$B$29*L1308/INDEX(Surface_Engine!$B$12:$B$72,$A1308+1)-(M1308/INDEX(Surface_Engine!$B$12:$B$72,$A1308+1)-(F1308/INDEX(Surface_Engine!$B$12:$B$72,$A1308+1))))/B1308))</f>
        <v>0</v>
      </c>
    </row>
    <row r="1309" customFormat="false" ht="15" hidden="false" customHeight="true" outlineLevel="0" collapsed="false">
      <c r="A1309" s="1" t="n">
        <v>41</v>
      </c>
      <c r="B1309" s="32" t="n">
        <f aca="false">INDEX(Surface_Engine!$S$12:$S$72,$A1309+1)*IF($A1309&lt;$Q$1266,INDEX(Surface_Engine!$E$12:$E$72,$A1309+1),INDEX(Surface_Engine!$E$12:$E$72,$Q$1266+1))</f>
        <v>0.000435649273409289</v>
      </c>
      <c r="C1309" s="32" t="n">
        <f aca="false">INDEX(Panel_Reserving!$G$8:$G$68,$A1309+1)*IF($A1309&lt;$Q$1266,INDEX(Surface_Engine!$E$12:$E$72,$A1309+1),INDEX(Surface_Engine!$E$12:$E$72,$Q$1266+1))</f>
        <v>0.00256949128793312</v>
      </c>
      <c r="D1309" s="32" t="n">
        <f aca="false">INDEX(Surface_Engine!$S$12:$S$72,$A1309+1)*IF($A1309&lt;$Q$1266,INDEX(Surface_Engine!$Y$12:$Y$72,$A1309+1),INDEX(Surface_Engine!$Y$12:$Y$72,$Q$1266+1))</f>
        <v>0.000418859818970235</v>
      </c>
      <c r="E1309" s="32" t="n">
        <f aca="false">INDEX(Surface_Engine!$S$12:$S$72,$A1309+1)*IF($A1309&lt;$Q$1266,INDEX(Surface_Engine!$Z$12:$Z$72,$A1309+1),INDEX(Surface_Engine!$Z$12:$Z$72,$Q$1266+1))</f>
        <v>0.000452832571799902</v>
      </c>
      <c r="F1309" s="48" t="n">
        <f aca="false">B1309*(IF($A1309&lt;$Q$1266,INDEX(Surface_Engine!$D$12:$D$72,$A1309+1)+(Surface_Engine!B248*12)*INDEX(Surface_Engine!$F$12:$F$72,$A1309+1)-(Surface_Engine!B248*12),1000*12*INDEX(Surface_Engine!$C$12:$C$72,$A1309+1)/(1+Assumptions!$B$10)^3+INDEX(Surface_Engine!$D$12:$D$72,$A1309+1)))*INDEX(Surface_Engine!$B$12:$B$72,$A1309+1)+F1310</f>
        <v>5.9659940517964</v>
      </c>
      <c r="G1309" s="48" t="n">
        <f aca="false">C1309*(IF($A1309&lt;$Q$1266,INDEX(Surface_Engine!$D$12:$D$72,$A1309+1)+(Surface_Engine!B248*12)*INDEX(Surface_Engine!$F$12:$F$72,$A1309+1)-(Surface_Engine!B248*12),1000*12*INDEX(Surface_Engine!$C$12:$C$72,$A1309+1)/(1+Assumptions!$B$10)^3+INDEX(Surface_Engine!$D$12:$D$72,$A1309+1)))*INDEX(Surface_Engine!$B$12:$B$72,$A1309+1)+G1310</f>
        <v>42.9166440661832</v>
      </c>
      <c r="H1309" s="48" t="n">
        <f aca="false">D1309*(IF($A1309&lt;$Q$1266,INDEX(Surface_Engine!$D$12:$D$72,$A1309+1)+(Surface_Engine!B248*12)*INDEX(Surface_Engine!$F$12:$F$72,$A1309+1)-(Surface_Engine!B248*12),1000*12*INDEX(Surface_Engine!$C$12:$C$72,$A1309+1)/(1+Assumptions!$B$10)^3+INDEX(Surface_Engine!$D$12:$D$72,$A1309+1)))*INDEX(Surface_Engine!$B$12:$B$72,$A1309+1)+H1310</f>
        <v>5.73607105770431</v>
      </c>
      <c r="I1309" s="48" t="n">
        <f aca="false">E1309*(IF($A1309&lt;$Q$1266,INDEX(Surface_Engine!$D$12:$D$72,$A1309+1)+(Surface_Engine!B248*12)*INDEX(Surface_Engine!$F$12:$F$72,$A1309+1)-(Surface_Engine!B248*12),1000*12*INDEX(Surface_Engine!$C$12:$C$72,$A1309+1)/(1+Assumptions!$B$10)^3+INDEX(Surface_Engine!$D$12:$D$72,$A1309+1)))*INDEX(Surface_Engine!$B$12:$B$72,$A1309+1)+I1310</f>
        <v>6.2013105374326</v>
      </c>
      <c r="J1309" s="48" t="n">
        <f aca="false">B1309*(IF($A1309&lt;$Q$1266,INDEX(Surface_Engine!$D$12:$D$72,$A1309+1)*(1+Assumptions!$B$24)+(Surface_Engine!B248*12)*INDEX(Surface_Engine!$F$12:$F$72,$A1309+1)-(Surface_Engine!B248*12),1000*12*INDEX(Surface_Engine!$C$12:$C$72,$A1309+1)/(1+Assumptions!$B$10)^3+INDEX(Surface_Engine!$D$12:$D$72,$A1309+1)*(1+Assumptions!$B$24)))*INDEX(Surface_Engine!$B$12:$B$72,$A1309+1)+J1310</f>
        <v>5.97125696657625</v>
      </c>
      <c r="K1309" s="12" t="n">
        <f aca="false">SQRT((IF(C1309&lt;=0,0,MAX(0,(B1309/C1309)*G1309/INDEX(Surface_Engine!$B$12:$B$72,$A1309+1)-F1309/INDEX(Surface_Engine!$B$12:$B$72,$A1309+1))))^2+(MAX(IF(D1309&lt;=0,0,MAX(0,(B1309/D1309)*H1309/INDEX(Surface_Engine!$B$12:$B$72,$A1309+1)-F1309/INDEX(Surface_Engine!$B$12:$B$72,$A1309+1))),IF(E1309&lt;=0,0,MAX(0,(B1309/E1309)*I1309/INDEX(Surface_Engine!$B$12:$B$72,$A1309+1)-F1309/INDEX(Surface_Engine!$B$12:$B$72,$A1309+1))),IF($A1309&lt;$Q$1266,MAX(0,-Assumptions!$B$22*(F1309/INDEX(Surface_Engine!$B$12:$B$72,$A1309+1))),0)))^2+(MAX(0,J1309/INDEX(Surface_Engine!$B$12:$B$72,$A1309+1)-(F1309/INDEX(Surface_Engine!$B$12:$B$72,$A1309+1))))^2+2*Assumptions!$B$26*(IF(C1309&lt;=0,0,MAX(0,(B1309/C1309)*G1309/INDEX(Surface_Engine!$B$12:$B$72,$A1309+1)-F1309/INDEX(Surface_Engine!$B$12:$B$72,$A1309+1))))*(MAX(IF(D1309&lt;=0,0,MAX(0,(B1309/D1309)*H1309/INDEX(Surface_Engine!$B$12:$B$72,$A1309+1)-F1309/INDEX(Surface_Engine!$B$12:$B$72,$A1309+1))),IF(E1309&lt;=0,0,MAX(0,(B1309/E1309)*I1309/INDEX(Surface_Engine!$B$12:$B$72,$A1309+1)-F1309/INDEX(Surface_Engine!$B$12:$B$72,$A1309+1))),IF($A1309&lt;$Q$1266,MAX(0,-Assumptions!$B$22*(F1309/INDEX(Surface_Engine!$B$12:$B$72,$A1309+1))),0)))+2*Assumptions!$B$27*(IF(C1309&lt;=0,0,MAX(0,(B1309/C1309)*G1309/INDEX(Surface_Engine!$B$12:$B$72,$A1309+1)-F1309/INDEX(Surface_Engine!$B$12:$B$72,$A1309+1))))*(MAX(0,J1309/INDEX(Surface_Engine!$B$12:$B$72,$A1309+1)-(F1309/INDEX(Surface_Engine!$B$12:$B$72,$A1309+1))))+2*Assumptions!$B$28*(MAX(IF(D1309&lt;=0,0,MAX(0,(B1309/D1309)*H1309/INDEX(Surface_Engine!$B$12:$B$72,$A1309+1)-F1309/INDEX(Surface_Engine!$B$12:$B$72,$A1309+1))),IF(E1309&lt;=0,0,MAX(0,(B1309/E1309)*I1309/INDEX(Surface_Engine!$B$12:$B$72,$A1309+1)-F1309/INDEX(Surface_Engine!$B$12:$B$72,$A1309+1))),IF($A1309&lt;$Q$1266,MAX(0,-Assumptions!$B$22*(F1309/INDEX(Surface_Engine!$B$12:$B$72,$A1309+1))),0)))*(MAX(0,J1309/INDEX(Surface_Engine!$B$12:$B$72,$A1309+1)-(F1309/INDEX(Surface_Engine!$B$12:$B$72,$A1309+1)))))</f>
        <v>4.77776529951304</v>
      </c>
      <c r="L1309" s="48" t="n">
        <f aca="false">K1309*INDEX(Surface_Engine!$B$12:$B$72,$A1309+1)+L1310</f>
        <v>2.40713842752631</v>
      </c>
      <c r="M1309" s="48" t="n">
        <f aca="false">M1308+B1308*(IF($A1308&lt;$Q$1266,(Surface_Engine!B248*12)-(Surface_Engine!B248*12)*INDEX(Surface_Engine!$F$12:$F$72,$A1308+1)-INDEX(Surface_Engine!$D$12:$D$72,$A1308+1),-(1000*12*INDEX(Surface_Engine!$C$12:$C$72,$A1308+1)/(1+Assumptions!$B$10)^3+INDEX(Surface_Engine!$D$12:$D$72,$A1308+1))))*INDEX(Surface_Engine!$B$12:$B$72,$A1308+1)</f>
        <v>7283.10844032511</v>
      </c>
      <c r="N1309" s="12" t="n">
        <f aca="false">IF(B1309&lt;=0,0,MAX(0,(K1309+Assumptions!$B$29*L1309/INDEX(Surface_Engine!$B$12:$B$72,$A1309+1)-(M1309/INDEX(Surface_Engine!$B$12:$B$72,$A1309+1)-(F1309/INDEX(Surface_Engine!$B$12:$B$72,$A1309+1))))/B1309))</f>
        <v>0</v>
      </c>
    </row>
    <row r="1310" customFormat="false" ht="15" hidden="false" customHeight="true" outlineLevel="0" collapsed="false">
      <c r="A1310" s="1" t="n">
        <v>42</v>
      </c>
      <c r="B1310" s="32" t="n">
        <f aca="false">INDEX(Surface_Engine!$S$12:$S$72,$A1310+1)*IF($A1310&lt;$Q$1266,INDEX(Surface_Engine!$E$12:$E$72,$A1310+1),INDEX(Surface_Engine!$E$12:$E$72,$Q$1266+1))</f>
        <v>0.000220759599241656</v>
      </c>
      <c r="C1310" s="32" t="n">
        <f aca="false">INDEX(Panel_Reserving!$G$8:$G$68,$A1310+1)*IF($A1310&lt;$Q$1266,INDEX(Surface_Engine!$E$12:$E$72,$A1310+1),INDEX(Surface_Engine!$E$12:$E$72,$Q$1266+1))</f>
        <v>0.00155554327177881</v>
      </c>
      <c r="D1310" s="32" t="n">
        <f aca="false">INDEX(Surface_Engine!$S$12:$S$72,$A1310+1)*IF($A1310&lt;$Q$1266,INDEX(Surface_Engine!$Y$12:$Y$72,$A1310+1),INDEX(Surface_Engine!$Y$12:$Y$72,$Q$1266+1))</f>
        <v>0.000212251761722621</v>
      </c>
      <c r="E1310" s="32" t="n">
        <f aca="false">INDEX(Surface_Engine!$S$12:$S$72,$A1310+1)*IF($A1310&lt;$Q$1266,INDEX(Surface_Engine!$Z$12:$Z$72,$A1310+1),INDEX(Surface_Engine!$Z$12:$Z$72,$Q$1266+1))</f>
        <v>0.000229467012057189</v>
      </c>
      <c r="F1310" s="48" t="n">
        <f aca="false">B1310*(IF($A1310&lt;$Q$1266,INDEX(Surface_Engine!$D$12:$D$72,$A1310+1)+(Surface_Engine!B248*12)*INDEX(Surface_Engine!$F$12:$F$72,$A1310+1)-(Surface_Engine!B248*12),1000*12*INDEX(Surface_Engine!$C$12:$C$72,$A1310+1)/(1+Assumptions!$B$10)^3+INDEX(Surface_Engine!$D$12:$D$72,$A1310+1)))*INDEX(Surface_Engine!$B$12:$B$72,$A1310+1)+F1311</f>
        <v>2.89293367818095</v>
      </c>
      <c r="G1310" s="48" t="n">
        <f aca="false">C1310*(IF($A1310&lt;$Q$1266,INDEX(Surface_Engine!$D$12:$D$72,$A1310+1)+(Surface_Engine!B248*12)*INDEX(Surface_Engine!$F$12:$F$72,$A1310+1)-(Surface_Engine!B248*12),1000*12*INDEX(Surface_Engine!$C$12:$C$72,$A1310+1)/(1+Assumptions!$B$10)^3+INDEX(Surface_Engine!$D$12:$D$72,$A1310+1)))*INDEX(Surface_Engine!$B$12:$B$72,$A1310+1)+G1311</f>
        <v>24.7915091485841</v>
      </c>
      <c r="H1310" s="48" t="n">
        <f aca="false">D1310*(IF($A1310&lt;$Q$1266,INDEX(Surface_Engine!$D$12:$D$72,$A1310+1)+(Surface_Engine!B248*12)*INDEX(Surface_Engine!$F$12:$F$72,$A1310+1)-(Surface_Engine!B248*12),1000*12*INDEX(Surface_Engine!$C$12:$C$72,$A1310+1)/(1+Assumptions!$B$10)^3+INDEX(Surface_Engine!$D$12:$D$72,$A1310+1)))*INDEX(Surface_Engine!$B$12:$B$72,$A1310+1)+H1311</f>
        <v>2.78144312568922</v>
      </c>
      <c r="I1310" s="48" t="n">
        <f aca="false">E1310*(IF($A1310&lt;$Q$1266,INDEX(Surface_Engine!$D$12:$D$72,$A1310+1)+(Surface_Engine!B248*12)*INDEX(Surface_Engine!$F$12:$F$72,$A1310+1)-(Surface_Engine!B248*12),1000*12*INDEX(Surface_Engine!$C$12:$C$72,$A1310+1)/(1+Assumptions!$B$10)^3+INDEX(Surface_Engine!$D$12:$D$72,$A1310+1)))*INDEX(Surface_Engine!$B$12:$B$72,$A1310+1)+I1311</f>
        <v>3.0070395556622</v>
      </c>
      <c r="J1310" s="48" t="n">
        <f aca="false">B1310*(IF($A1310&lt;$Q$1266,INDEX(Surface_Engine!$D$12:$D$72,$A1310+1)*(1+Assumptions!$B$24)+(Surface_Engine!B248*12)*INDEX(Surface_Engine!$F$12:$F$72,$A1310+1)-(Surface_Engine!B248*12),1000*12*INDEX(Surface_Engine!$C$12:$C$72,$A1310+1)/(1+Assumptions!$B$10)^3+INDEX(Surface_Engine!$D$12:$D$72,$A1310+1)*(1+Assumptions!$B$24)))*INDEX(Surface_Engine!$B$12:$B$72,$A1310+1)+J1311</f>
        <v>2.89549733663614</v>
      </c>
      <c r="K1310" s="12" t="n">
        <f aca="false">SQRT((IF(C1310&lt;=0,0,MAX(0,(B1310/C1310)*G1310/INDEX(Surface_Engine!$B$12:$B$72,$A1310+1)-F1310/INDEX(Surface_Engine!$B$12:$B$72,$A1310+1))))^2+(MAX(IF(D1310&lt;=0,0,MAX(0,(B1310/D1310)*H1310/INDEX(Surface_Engine!$B$12:$B$72,$A1310+1)-F1310/INDEX(Surface_Engine!$B$12:$B$72,$A1310+1))),IF(E1310&lt;=0,0,MAX(0,(B1310/E1310)*I1310/INDEX(Surface_Engine!$B$12:$B$72,$A1310+1)-F1310/INDEX(Surface_Engine!$B$12:$B$72,$A1310+1))),IF($A1310&lt;$Q$1266,MAX(0,-Assumptions!$B$22*(F1310/INDEX(Surface_Engine!$B$12:$B$72,$A1310+1))),0)))^2+(MAX(0,J1310/INDEX(Surface_Engine!$B$12:$B$72,$A1310+1)-(F1310/INDEX(Surface_Engine!$B$12:$B$72,$A1310+1))))^2+2*Assumptions!$B$26*(IF(C1310&lt;=0,0,MAX(0,(B1310/C1310)*G1310/INDEX(Surface_Engine!$B$12:$B$72,$A1310+1)-F1310/INDEX(Surface_Engine!$B$12:$B$72,$A1310+1))))*(MAX(IF(D1310&lt;=0,0,MAX(0,(B1310/D1310)*H1310/INDEX(Surface_Engine!$B$12:$B$72,$A1310+1)-F1310/INDEX(Surface_Engine!$B$12:$B$72,$A1310+1))),IF(E1310&lt;=0,0,MAX(0,(B1310/E1310)*I1310/INDEX(Surface_Engine!$B$12:$B$72,$A1310+1)-F1310/INDEX(Surface_Engine!$B$12:$B$72,$A1310+1))),IF($A1310&lt;$Q$1266,MAX(0,-Assumptions!$B$22*(F1310/INDEX(Surface_Engine!$B$12:$B$72,$A1310+1))),0)))+2*Assumptions!$B$27*(IF(C1310&lt;=0,0,MAX(0,(B1310/C1310)*G1310/INDEX(Surface_Engine!$B$12:$B$72,$A1310+1)-F1310/INDEX(Surface_Engine!$B$12:$B$72,$A1310+1))))*(MAX(0,J1310/INDEX(Surface_Engine!$B$12:$B$72,$A1310+1)-(F1310/INDEX(Surface_Engine!$B$12:$B$72,$A1310+1))))+2*Assumptions!$B$28*(MAX(IF(D1310&lt;=0,0,MAX(0,(B1310/D1310)*H1310/INDEX(Surface_Engine!$B$12:$B$72,$A1310+1)-F1310/INDEX(Surface_Engine!$B$12:$B$72,$A1310+1))),IF(E1310&lt;=0,0,MAX(0,(B1310/E1310)*I1310/INDEX(Surface_Engine!$B$12:$B$72,$A1310+1)-F1310/INDEX(Surface_Engine!$B$12:$B$72,$A1310+1))),IF($A1310&lt;$Q$1266,MAX(0,-Assumptions!$B$22*(F1310/INDEX(Surface_Engine!$B$12:$B$72,$A1310+1))),0)))*(MAX(0,J1310/INDEX(Surface_Engine!$B$12:$B$72,$A1310+1)-(F1310/INDEX(Surface_Engine!$B$12:$B$72,$A1310+1)))))</f>
        <v>2.35439715001804</v>
      </c>
      <c r="L1310" s="48" t="n">
        <f aca="false">K1310*INDEX(Surface_Engine!$B$12:$B$72,$A1310+1)+L1311</f>
        <v>1.09542304354431</v>
      </c>
      <c r="M1310" s="48" t="n">
        <f aca="false">M1309+B1309*(IF($A1309&lt;$Q$1266,(Surface_Engine!B248*12)-(Surface_Engine!B248*12)*INDEX(Surface_Engine!$F$12:$F$72,$A1309+1)-INDEX(Surface_Engine!$D$12:$D$72,$A1309+1),-(1000*12*INDEX(Surface_Engine!$C$12:$C$72,$A1309+1)/(1+Assumptions!$B$10)^3+INDEX(Surface_Engine!$D$12:$D$72,$A1309+1))))*INDEX(Surface_Engine!$B$12:$B$72,$A1309+1)</f>
        <v>7280.03537995149</v>
      </c>
      <c r="N1310" s="12" t="n">
        <f aca="false">IF(B1310&lt;=0,0,MAX(0,(K1310+Assumptions!$B$29*L1310/INDEX(Surface_Engine!$B$12:$B$72,$A1310+1)-(M1310/INDEX(Surface_Engine!$B$12:$B$72,$A1310+1)-(F1310/INDEX(Surface_Engine!$B$12:$B$72,$A1310+1))))/B1310))</f>
        <v>0</v>
      </c>
    </row>
    <row r="1311" customFormat="false" ht="15" hidden="false" customHeight="true" outlineLevel="0" collapsed="false">
      <c r="A1311" s="1" t="n">
        <v>43</v>
      </c>
      <c r="B1311" s="32" t="n">
        <f aca="false">INDEX(Surface_Engine!$S$12:$S$72,$A1311+1)*IF($A1311&lt;$Q$1266,INDEX(Surface_Engine!$E$12:$E$72,$A1311+1),INDEX(Surface_Engine!$E$12:$E$72,$Q$1266+1))</f>
        <v>0.000108054177774589</v>
      </c>
      <c r="C1311" s="32" t="n">
        <f aca="false">INDEX(Panel_Reserving!$G$8:$G$68,$A1311+1)*IF($A1311&lt;$Q$1266,INDEX(Surface_Engine!$E$12:$E$72,$A1311+1),INDEX(Surface_Engine!$E$12:$E$72,$Q$1266+1))</f>
        <v>0.000920216298334987</v>
      </c>
      <c r="D1311" s="32" t="n">
        <f aca="false">INDEX(Surface_Engine!$S$12:$S$72,$A1311+1)*IF($A1311&lt;$Q$1266,INDEX(Surface_Engine!$Y$12:$Y$72,$A1311+1),INDEX(Surface_Engine!$Y$12:$Y$72,$Q$1266+1))</f>
        <v>0.000103889885979727</v>
      </c>
      <c r="E1311" s="32" t="n">
        <f aca="false">INDEX(Surface_Engine!$S$12:$S$72,$A1311+1)*IF($A1311&lt;$Q$1266,INDEX(Surface_Engine!$Z$12:$Z$72,$A1311+1),INDEX(Surface_Engine!$Z$12:$Z$72,$Q$1266+1))</f>
        <v>0.000112316154764756</v>
      </c>
      <c r="F1311" s="48" t="n">
        <f aca="false">B1311*(IF($A1311&lt;$Q$1266,INDEX(Surface_Engine!$D$12:$D$72,$A1311+1)+(Surface_Engine!B248*12)*INDEX(Surface_Engine!$F$12:$F$72,$A1311+1)-(Surface_Engine!B248*12),1000*12*INDEX(Surface_Engine!$C$12:$C$72,$A1311+1)/(1+Assumptions!$B$10)^3+INDEX(Surface_Engine!$D$12:$D$72,$A1311+1)))*INDEX(Surface_Engine!$B$12:$B$72,$A1311+1)+F1312</f>
        <v>1.35441241603976</v>
      </c>
      <c r="G1311" s="48" t="n">
        <f aca="false">C1311*(IF($A1311&lt;$Q$1266,INDEX(Surface_Engine!$D$12:$D$72,$A1311+1)+(Surface_Engine!B248*12)*INDEX(Surface_Engine!$F$12:$F$72,$A1311+1)-(Surface_Engine!B248*12),1000*12*INDEX(Surface_Engine!$C$12:$C$72,$A1311+1)/(1+Assumptions!$B$10)^3+INDEX(Surface_Engine!$D$12:$D$72,$A1311+1)))*INDEX(Surface_Engine!$B$12:$B$72,$A1311+1)+G1312</f>
        <v>13.9505925767407</v>
      </c>
      <c r="H1311" s="48" t="n">
        <f aca="false">D1311*(IF($A1311&lt;$Q$1266,INDEX(Surface_Engine!$D$12:$D$72,$A1311+1)+(Surface_Engine!B248*12)*INDEX(Surface_Engine!$F$12:$F$72,$A1311+1)-(Surface_Engine!B248*12),1000*12*INDEX(Surface_Engine!$C$12:$C$72,$A1311+1)/(1+Assumptions!$B$10)^3+INDEX(Surface_Engine!$D$12:$D$72,$A1311+1)))*INDEX(Surface_Engine!$B$12:$B$72,$A1311+1)+H1312</f>
        <v>1.30221481825007</v>
      </c>
      <c r="I1311" s="48" t="n">
        <f aca="false">E1311*(IF($A1311&lt;$Q$1266,INDEX(Surface_Engine!$D$12:$D$72,$A1311+1)+(Surface_Engine!B248*12)*INDEX(Surface_Engine!$F$12:$F$72,$A1311+1)-(Surface_Engine!B248*12),1000*12*INDEX(Surface_Engine!$C$12:$C$72,$A1311+1)/(1+Assumptions!$B$10)^3+INDEX(Surface_Engine!$D$12:$D$72,$A1311+1)))*INDEX(Surface_Engine!$B$12:$B$72,$A1311+1)+I1312</f>
        <v>1.40783445553183</v>
      </c>
      <c r="J1311" s="48" t="n">
        <f aca="false">B1311*(IF($A1311&lt;$Q$1266,INDEX(Surface_Engine!$D$12:$D$72,$A1311+1)*(1+Assumptions!$B$24)+(Surface_Engine!B248*12)*INDEX(Surface_Engine!$F$12:$F$72,$A1311+1)-(Surface_Engine!B248*12),1000*12*INDEX(Surface_Engine!$C$12:$C$72,$A1311+1)/(1+Assumptions!$B$10)^3+INDEX(Surface_Engine!$D$12:$D$72,$A1311+1)*(1+Assumptions!$B$24)))*INDEX(Surface_Engine!$B$12:$B$72,$A1311+1)+J1312</f>
        <v>1.35561813152128</v>
      </c>
      <c r="K1311" s="12" t="n">
        <f aca="false">SQRT((IF(C1311&lt;=0,0,MAX(0,(B1311/C1311)*G1311/INDEX(Surface_Engine!$B$12:$B$72,$A1311+1)-F1311/INDEX(Surface_Engine!$B$12:$B$72,$A1311+1))))^2+(MAX(IF(D1311&lt;=0,0,MAX(0,(B1311/D1311)*H1311/INDEX(Surface_Engine!$B$12:$B$72,$A1311+1)-F1311/INDEX(Surface_Engine!$B$12:$B$72,$A1311+1))),IF(E1311&lt;=0,0,MAX(0,(B1311/E1311)*I1311/INDEX(Surface_Engine!$B$12:$B$72,$A1311+1)-F1311/INDEX(Surface_Engine!$B$12:$B$72,$A1311+1))),IF($A1311&lt;$Q$1266,MAX(0,-Assumptions!$B$22*(F1311/INDEX(Surface_Engine!$B$12:$B$72,$A1311+1))),0)))^2+(MAX(0,J1311/INDEX(Surface_Engine!$B$12:$B$72,$A1311+1)-(F1311/INDEX(Surface_Engine!$B$12:$B$72,$A1311+1))))^2+2*Assumptions!$B$26*(IF(C1311&lt;=0,0,MAX(0,(B1311/C1311)*G1311/INDEX(Surface_Engine!$B$12:$B$72,$A1311+1)-F1311/INDEX(Surface_Engine!$B$12:$B$72,$A1311+1))))*(MAX(IF(D1311&lt;=0,0,MAX(0,(B1311/D1311)*H1311/INDEX(Surface_Engine!$B$12:$B$72,$A1311+1)-F1311/INDEX(Surface_Engine!$B$12:$B$72,$A1311+1))),IF(E1311&lt;=0,0,MAX(0,(B1311/E1311)*I1311/INDEX(Surface_Engine!$B$12:$B$72,$A1311+1)-F1311/INDEX(Surface_Engine!$B$12:$B$72,$A1311+1))),IF($A1311&lt;$Q$1266,MAX(0,-Assumptions!$B$22*(F1311/INDEX(Surface_Engine!$B$12:$B$72,$A1311+1))),0)))+2*Assumptions!$B$27*(IF(C1311&lt;=0,0,MAX(0,(B1311/C1311)*G1311/INDEX(Surface_Engine!$B$12:$B$72,$A1311+1)-F1311/INDEX(Surface_Engine!$B$12:$B$72,$A1311+1))))*(MAX(0,J1311/INDEX(Surface_Engine!$B$12:$B$72,$A1311+1)-(F1311/INDEX(Surface_Engine!$B$12:$B$72,$A1311+1))))+2*Assumptions!$B$28*(MAX(IF(D1311&lt;=0,0,MAX(0,(B1311/D1311)*H1311/INDEX(Surface_Engine!$B$12:$B$72,$A1311+1)-F1311/INDEX(Surface_Engine!$B$12:$B$72,$A1311+1))),IF(E1311&lt;=0,0,MAX(0,(B1311/E1311)*I1311/INDEX(Surface_Engine!$B$12:$B$72,$A1311+1)-F1311/INDEX(Surface_Engine!$B$12:$B$72,$A1311+1))),IF($A1311&lt;$Q$1266,MAX(0,-Assumptions!$B$22*(F1311/INDEX(Surface_Engine!$B$12:$B$72,$A1311+1))),0)))*(MAX(0,J1311/INDEX(Surface_Engine!$B$12:$B$72,$A1311+1)-(F1311/INDEX(Surface_Engine!$B$12:$B$72,$A1311+1)))))</f>
        <v>1.10316459875281</v>
      </c>
      <c r="L1311" s="48" t="n">
        <f aca="false">K1311*INDEX(Surface_Engine!$B$12:$B$72,$A1311+1)+L1312</f>
        <v>0.469349344355407</v>
      </c>
      <c r="M1311" s="48" t="n">
        <f aca="false">M1310+B1310*(IF($A1310&lt;$Q$1266,(Surface_Engine!B248*12)-(Surface_Engine!B248*12)*INDEX(Surface_Engine!$F$12:$F$72,$A1310+1)-INDEX(Surface_Engine!$D$12:$D$72,$A1310+1),-(1000*12*INDEX(Surface_Engine!$C$12:$C$72,$A1310+1)/(1+Assumptions!$B$10)^3+INDEX(Surface_Engine!$D$12:$D$72,$A1310+1))))*INDEX(Surface_Engine!$B$12:$B$72,$A1310+1)</f>
        <v>7278.49685868935</v>
      </c>
      <c r="N1311" s="12" t="n">
        <f aca="false">IF(B1311&lt;=0,0,MAX(0,(K1311+Assumptions!$B$29*L1311/INDEX(Surface_Engine!$B$12:$B$72,$A1311+1)-(M1311/INDEX(Surface_Engine!$B$12:$B$72,$A1311+1)-(F1311/INDEX(Surface_Engine!$B$12:$B$72,$A1311+1))))/B1311))</f>
        <v>0</v>
      </c>
    </row>
    <row r="1312" customFormat="false" ht="15" hidden="false" customHeight="true" outlineLevel="0" collapsed="false">
      <c r="A1312" s="1" t="n">
        <v>44</v>
      </c>
      <c r="B1312" s="32" t="n">
        <f aca="false">INDEX(Surface_Engine!$S$12:$S$72,$A1312+1)*IF($A1312&lt;$Q$1266,INDEX(Surface_Engine!$E$12:$E$72,$A1312+1),INDEX(Surface_Engine!$E$12:$E$72,$Q$1266+1))</f>
        <v>5.10470030815195E-005</v>
      </c>
      <c r="C1312" s="32" t="n">
        <f aca="false">INDEX(Panel_Reserving!$G$8:$G$68,$A1312+1)*IF($A1312&lt;$Q$1266,INDEX(Surface_Engine!$E$12:$E$72,$A1312+1),INDEX(Surface_Engine!$E$12:$E$72,$Q$1266+1))</f>
        <v>0.000531826456461206</v>
      </c>
      <c r="D1312" s="32" t="n">
        <f aca="false">INDEX(Surface_Engine!$S$12:$S$72,$A1312+1)*IF($A1312&lt;$Q$1266,INDEX(Surface_Engine!$Y$12:$Y$72,$A1312+1),INDEX(Surface_Engine!$Y$12:$Y$72,$Q$1266+1))</f>
        <v>4.9079706485842E-005</v>
      </c>
      <c r="E1312" s="32" t="n">
        <f aca="false">INDEX(Surface_Engine!$S$12:$S$72,$A1312+1)*IF($A1312&lt;$Q$1266,INDEX(Surface_Engine!$Z$12:$Z$72,$A1312+1),INDEX(Surface_Engine!$Z$12:$Z$72,$Q$1266+1))</f>
        <v>5.30604481609336E-005</v>
      </c>
      <c r="F1312" s="48" t="n">
        <f aca="false">B1312*(IF($A1312&lt;$Q$1266,INDEX(Surface_Engine!$D$12:$D$72,$A1312+1)+(Surface_Engine!B248*12)*INDEX(Surface_Engine!$F$12:$F$72,$A1312+1)-(Surface_Engine!B248*12),1000*12*INDEX(Surface_Engine!$C$12:$C$72,$A1312+1)/(1+Assumptions!$B$10)^3+INDEX(Surface_Engine!$D$12:$D$72,$A1312+1)))*INDEX(Surface_Engine!$B$12:$B$72,$A1312+1)+F1313</f>
        <v>0.610732581409669</v>
      </c>
      <c r="G1312" s="48" t="n">
        <f aca="false">C1312*(IF($A1312&lt;$Q$1266,INDEX(Surface_Engine!$D$12:$D$72,$A1312+1)+(Surface_Engine!B248*12)*INDEX(Surface_Engine!$F$12:$F$72,$A1312+1)-(Surface_Engine!B248*12),1000*12*INDEX(Surface_Engine!$C$12:$C$72,$A1312+1)/(1+Assumptions!$B$10)^3+INDEX(Surface_Engine!$D$12:$D$72,$A1312+1)))*INDEX(Surface_Engine!$B$12:$B$72,$A1312+1)+G1313</f>
        <v>7.61722982609087</v>
      </c>
      <c r="H1312" s="48" t="n">
        <f aca="false">D1312*(IF($A1312&lt;$Q$1266,INDEX(Surface_Engine!$D$12:$D$72,$A1312+1)+(Surface_Engine!B248*12)*INDEX(Surface_Engine!$F$12:$F$72,$A1312+1)-(Surface_Engine!B248*12),1000*12*INDEX(Surface_Engine!$C$12:$C$72,$A1312+1)/(1+Assumptions!$B$10)^3+INDEX(Surface_Engine!$D$12:$D$72,$A1312+1)))*INDEX(Surface_Engine!$B$12:$B$72,$A1312+1)+H1313</f>
        <v>0.587195604589349</v>
      </c>
      <c r="I1312" s="48" t="n">
        <f aca="false">E1312*(IF($A1312&lt;$Q$1266,INDEX(Surface_Engine!$D$12:$D$72,$A1312+1)+(Surface_Engine!B248*12)*INDEX(Surface_Engine!$F$12:$F$72,$A1312+1)-(Surface_Engine!B248*12),1000*12*INDEX(Surface_Engine!$C$12:$C$72,$A1312+1)/(1+Assumptions!$B$10)^3+INDEX(Surface_Engine!$D$12:$D$72,$A1312+1)))*INDEX(Surface_Engine!$B$12:$B$72,$A1312+1)+I1313</f>
        <v>0.634821684327493</v>
      </c>
      <c r="J1312" s="48" t="n">
        <f aca="false">B1312*(IF($A1312&lt;$Q$1266,INDEX(Surface_Engine!$D$12:$D$72,$A1312+1)*(1+Assumptions!$B$24)+(Surface_Engine!B248*12)*INDEX(Surface_Engine!$F$12:$F$72,$A1312+1)-(Surface_Engine!B248*12),1000*12*INDEX(Surface_Engine!$C$12:$C$72,$A1312+1)/(1+Assumptions!$B$10)^3+INDEX(Surface_Engine!$D$12:$D$72,$A1312+1)*(1+Assumptions!$B$24)))*INDEX(Surface_Engine!$B$12:$B$72,$A1312+1)+J1313</f>
        <v>0.61127871467278</v>
      </c>
      <c r="K1312" s="12" t="n">
        <f aca="false">SQRT((IF(C1312&lt;=0,0,MAX(0,(B1312/C1312)*G1312/INDEX(Surface_Engine!$B$12:$B$72,$A1312+1)-F1312/INDEX(Surface_Engine!$B$12:$B$72,$A1312+1))))^2+(MAX(IF(D1312&lt;=0,0,MAX(0,(B1312/D1312)*H1312/INDEX(Surface_Engine!$B$12:$B$72,$A1312+1)-F1312/INDEX(Surface_Engine!$B$12:$B$72,$A1312+1))),IF(E1312&lt;=0,0,MAX(0,(B1312/E1312)*I1312/INDEX(Surface_Engine!$B$12:$B$72,$A1312+1)-F1312/INDEX(Surface_Engine!$B$12:$B$72,$A1312+1))),IF($A1312&lt;$Q$1266,MAX(0,-Assumptions!$B$22*(F1312/INDEX(Surface_Engine!$B$12:$B$72,$A1312+1))),0)))^2+(MAX(0,J1312/INDEX(Surface_Engine!$B$12:$B$72,$A1312+1)-(F1312/INDEX(Surface_Engine!$B$12:$B$72,$A1312+1))))^2+2*Assumptions!$B$26*(IF(C1312&lt;=0,0,MAX(0,(B1312/C1312)*G1312/INDEX(Surface_Engine!$B$12:$B$72,$A1312+1)-F1312/INDEX(Surface_Engine!$B$12:$B$72,$A1312+1))))*(MAX(IF(D1312&lt;=0,0,MAX(0,(B1312/D1312)*H1312/INDEX(Surface_Engine!$B$12:$B$72,$A1312+1)-F1312/INDEX(Surface_Engine!$B$12:$B$72,$A1312+1))),IF(E1312&lt;=0,0,MAX(0,(B1312/E1312)*I1312/INDEX(Surface_Engine!$B$12:$B$72,$A1312+1)-F1312/INDEX(Surface_Engine!$B$12:$B$72,$A1312+1))),IF($A1312&lt;$Q$1266,MAX(0,-Assumptions!$B$22*(F1312/INDEX(Surface_Engine!$B$12:$B$72,$A1312+1))),0)))+2*Assumptions!$B$27*(IF(C1312&lt;=0,0,MAX(0,(B1312/C1312)*G1312/INDEX(Surface_Engine!$B$12:$B$72,$A1312+1)-F1312/INDEX(Surface_Engine!$B$12:$B$72,$A1312+1))))*(MAX(0,J1312/INDEX(Surface_Engine!$B$12:$B$72,$A1312+1)-(F1312/INDEX(Surface_Engine!$B$12:$B$72,$A1312+1))))+2*Assumptions!$B$28*(MAX(IF(D1312&lt;=0,0,MAX(0,(B1312/D1312)*H1312/INDEX(Surface_Engine!$B$12:$B$72,$A1312+1)-F1312/INDEX(Surface_Engine!$B$12:$B$72,$A1312+1))),IF(E1312&lt;=0,0,MAX(0,(B1312/E1312)*I1312/INDEX(Surface_Engine!$B$12:$B$72,$A1312+1)-F1312/INDEX(Surface_Engine!$B$12:$B$72,$A1312+1))),IF($A1312&lt;$Q$1266,MAX(0,-Assumptions!$B$22*(F1312/INDEX(Surface_Engine!$B$12:$B$72,$A1312+1))),0)))*(MAX(0,J1312/INDEX(Surface_Engine!$B$12:$B$72,$A1312+1)-(F1312/INDEX(Surface_Engine!$B$12:$B$72,$A1312+1)))))</f>
        <v>0.483429496078458</v>
      </c>
      <c r="L1312" s="48" t="n">
        <f aca="false">K1312*INDEX(Surface_Engine!$B$12:$B$72,$A1312+1)+L1313</f>
        <v>0.185343270291224</v>
      </c>
      <c r="M1312" s="48" t="n">
        <f aca="false">M1311+B1311*(IF($A1311&lt;$Q$1266,(Surface_Engine!B248*12)-(Surface_Engine!B248*12)*INDEX(Surface_Engine!$F$12:$F$72,$A1311+1)-INDEX(Surface_Engine!$D$12:$D$72,$A1311+1),-(1000*12*INDEX(Surface_Engine!$C$12:$C$72,$A1311+1)/(1+Assumptions!$B$10)^3+INDEX(Surface_Engine!$D$12:$D$72,$A1311+1))))*INDEX(Surface_Engine!$B$12:$B$72,$A1311+1)</f>
        <v>7277.75317885472</v>
      </c>
      <c r="N1312" s="12" t="n">
        <f aca="false">IF(B1312&lt;=0,0,MAX(0,(K1312+Assumptions!$B$29*L1312/INDEX(Surface_Engine!$B$12:$B$72,$A1312+1)-(M1312/INDEX(Surface_Engine!$B$12:$B$72,$A1312+1)-(F1312/INDEX(Surface_Engine!$B$12:$B$72,$A1312+1))))/B1312))</f>
        <v>0</v>
      </c>
    </row>
    <row r="1313" customFormat="false" ht="15" hidden="false" customHeight="true" outlineLevel="0" collapsed="false">
      <c r="A1313" s="1" t="n">
        <v>45</v>
      </c>
      <c r="B1313" s="32" t="n">
        <f aca="false">INDEX(Surface_Engine!$S$12:$S$72,$A1313+1)*IF($A1313&lt;$Q$1266,INDEX(Surface_Engine!$E$12:$E$72,$A1313+1),INDEX(Surface_Engine!$E$12:$E$72,$Q$1266+1))</f>
        <v>2.32594513401812E-005</v>
      </c>
      <c r="C1313" s="32" t="n">
        <f aca="false">INDEX(Panel_Reserving!$G$8:$G$68,$A1313+1)*IF($A1313&lt;$Q$1266,INDEX(Surface_Engine!$E$12:$E$72,$A1313+1),INDEX(Surface_Engine!$E$12:$E$72,$Q$1266+1))</f>
        <v>0.000300225707594859</v>
      </c>
      <c r="D1313" s="32" t="n">
        <f aca="false">INDEX(Surface_Engine!$S$12:$S$72,$A1313+1)*IF($A1313&lt;$Q$1266,INDEX(Surface_Engine!$Y$12:$Y$72,$A1313+1),INDEX(Surface_Engine!$Y$12:$Y$72,$Q$1266+1))</f>
        <v>2.23630571019967E-005</v>
      </c>
      <c r="E1313" s="32" t="n">
        <f aca="false">INDEX(Surface_Engine!$S$12:$S$72,$A1313+1)*IF($A1313&lt;$Q$1266,INDEX(Surface_Engine!$Z$12:$Z$72,$A1313+1),INDEX(Surface_Engine!$Z$12:$Z$72,$Q$1266+1))</f>
        <v>2.41768730304609E-005</v>
      </c>
      <c r="F1313" s="48" t="n">
        <f aca="false">B1313*(IF($A1313&lt;$Q$1266,INDEX(Surface_Engine!$D$12:$D$72,$A1313+1)+(Surface_Engine!B248*12)*INDEX(Surface_Engine!$F$12:$F$72,$A1313+1)-(Surface_Engine!B248*12),1000*12*INDEX(Surface_Engine!$C$12:$C$72,$A1313+1)/(1+Assumptions!$B$10)^3+INDEX(Surface_Engine!$D$12:$D$72,$A1313+1)))*INDEX(Surface_Engine!$B$12:$B$72,$A1313+1)+F1314</f>
        <v>0.263641346438614</v>
      </c>
      <c r="G1313" s="48" t="n">
        <f aca="false">C1313*(IF($A1313&lt;$Q$1266,INDEX(Surface_Engine!$D$12:$D$72,$A1313+1)+(Surface_Engine!B248*12)*INDEX(Surface_Engine!$F$12:$F$72,$A1313+1)-(Surface_Engine!B248*12),1000*12*INDEX(Surface_Engine!$C$12:$C$72,$A1313+1)/(1+Assumptions!$B$10)^3+INDEX(Surface_Engine!$D$12:$D$72,$A1313+1)))*INDEX(Surface_Engine!$B$12:$B$72,$A1313+1)+G1314</f>
        <v>4.00110565777064</v>
      </c>
      <c r="H1313" s="48" t="n">
        <f aca="false">D1313*(IF($A1313&lt;$Q$1266,INDEX(Surface_Engine!$D$12:$D$72,$A1313+1)+(Surface_Engine!B248*12)*INDEX(Surface_Engine!$F$12:$F$72,$A1313+1)-(Surface_Engine!B248*12),1000*12*INDEX(Surface_Engine!$C$12:$C$72,$A1313+1)/(1+Assumptions!$B$10)^3+INDEX(Surface_Engine!$D$12:$D$72,$A1313+1)))*INDEX(Surface_Engine!$B$12:$B$72,$A1313+1)+H1314</f>
        <v>0.253480892503635</v>
      </c>
      <c r="I1313" s="48" t="n">
        <f aca="false">E1313*(IF($A1313&lt;$Q$1266,INDEX(Surface_Engine!$D$12:$D$72,$A1313+1)+(Surface_Engine!B248*12)*INDEX(Surface_Engine!$F$12:$F$72,$A1313+1)-(Surface_Engine!B248*12),1000*12*INDEX(Surface_Engine!$C$12:$C$72,$A1313+1)/(1+Assumptions!$B$10)^3+INDEX(Surface_Engine!$D$12:$D$72,$A1313+1)))*INDEX(Surface_Engine!$B$12:$B$72,$A1313+1)+I1314</f>
        <v>0.274040142443724</v>
      </c>
      <c r="J1313" s="48" t="n">
        <f aca="false">B1313*(IF($A1313&lt;$Q$1266,INDEX(Surface_Engine!$D$12:$D$72,$A1313+1)*(1+Assumptions!$B$24)+(Surface_Engine!B248*12)*INDEX(Surface_Engine!$F$12:$F$72,$A1313+1)-(Surface_Engine!B248*12),1000*12*INDEX(Surface_Engine!$C$12:$C$72,$A1313+1)/(1+Assumptions!$B$10)^3+INDEX(Surface_Engine!$D$12:$D$72,$A1313+1)*(1+Assumptions!$B$24)))*INDEX(Surface_Engine!$B$12:$B$72,$A1313+1)+J1314</f>
        <v>0.263878143041203</v>
      </c>
      <c r="K1313" s="12" t="n">
        <f aca="false">SQRT((IF(C1313&lt;=0,0,MAX(0,(B1313/C1313)*G1313/INDEX(Surface_Engine!$B$12:$B$72,$A1313+1)-F1313/INDEX(Surface_Engine!$B$12:$B$72,$A1313+1))))^2+(MAX(IF(D1313&lt;=0,0,MAX(0,(B1313/D1313)*H1313/INDEX(Surface_Engine!$B$12:$B$72,$A1313+1)-F1313/INDEX(Surface_Engine!$B$12:$B$72,$A1313+1))),IF(E1313&lt;=0,0,MAX(0,(B1313/E1313)*I1313/INDEX(Surface_Engine!$B$12:$B$72,$A1313+1)-F1313/INDEX(Surface_Engine!$B$12:$B$72,$A1313+1))),IF($A1313&lt;$Q$1266,MAX(0,-Assumptions!$B$22*(F1313/INDEX(Surface_Engine!$B$12:$B$72,$A1313+1))),0)))^2+(MAX(0,J1313/INDEX(Surface_Engine!$B$12:$B$72,$A1313+1)-(F1313/INDEX(Surface_Engine!$B$12:$B$72,$A1313+1))))^2+2*Assumptions!$B$26*(IF(C1313&lt;=0,0,MAX(0,(B1313/C1313)*G1313/INDEX(Surface_Engine!$B$12:$B$72,$A1313+1)-F1313/INDEX(Surface_Engine!$B$12:$B$72,$A1313+1))))*(MAX(IF(D1313&lt;=0,0,MAX(0,(B1313/D1313)*H1313/INDEX(Surface_Engine!$B$12:$B$72,$A1313+1)-F1313/INDEX(Surface_Engine!$B$12:$B$72,$A1313+1))),IF(E1313&lt;=0,0,MAX(0,(B1313/E1313)*I1313/INDEX(Surface_Engine!$B$12:$B$72,$A1313+1)-F1313/INDEX(Surface_Engine!$B$12:$B$72,$A1313+1))),IF($A1313&lt;$Q$1266,MAX(0,-Assumptions!$B$22*(F1313/INDEX(Surface_Engine!$B$12:$B$72,$A1313+1))),0)))+2*Assumptions!$B$27*(IF(C1313&lt;=0,0,MAX(0,(B1313/C1313)*G1313/INDEX(Surface_Engine!$B$12:$B$72,$A1313+1)-F1313/INDEX(Surface_Engine!$B$12:$B$72,$A1313+1))))*(MAX(0,J1313/INDEX(Surface_Engine!$B$12:$B$72,$A1313+1)-(F1313/INDEX(Surface_Engine!$B$12:$B$72,$A1313+1))))+2*Assumptions!$B$28*(MAX(IF(D1313&lt;=0,0,MAX(0,(B1313/D1313)*H1313/INDEX(Surface_Engine!$B$12:$B$72,$A1313+1)-F1313/INDEX(Surface_Engine!$B$12:$B$72,$A1313+1))),IF(E1313&lt;=0,0,MAX(0,(B1313/E1313)*I1313/INDEX(Surface_Engine!$B$12:$B$72,$A1313+1)-F1313/INDEX(Surface_Engine!$B$12:$B$72,$A1313+1))),IF($A1313&lt;$Q$1266,MAX(0,-Assumptions!$B$22*(F1313/INDEX(Surface_Engine!$B$12:$B$72,$A1313+1))),0)))*(MAX(0,J1313/INDEX(Surface_Engine!$B$12:$B$72,$A1313+1)-(F1313/INDEX(Surface_Engine!$B$12:$B$72,$A1313+1)))))</f>
        <v>0.19221180013974</v>
      </c>
      <c r="L1313" s="48" t="n">
        <f aca="false">K1313*INDEX(Surface_Engine!$B$12:$B$72,$A1313+1)+L1314</f>
        <v>0.0648035004279774</v>
      </c>
      <c r="M1313" s="48" t="n">
        <f aca="false">M1312+B1312*(IF($A1312&lt;$Q$1266,(Surface_Engine!B248*12)-(Surface_Engine!B248*12)*INDEX(Surface_Engine!$F$12:$F$72,$A1312+1)-INDEX(Surface_Engine!$D$12:$D$72,$A1312+1),-(1000*12*INDEX(Surface_Engine!$C$12:$C$72,$A1312+1)/(1+Assumptions!$B$10)^3+INDEX(Surface_Engine!$D$12:$D$72,$A1312+1))))*INDEX(Surface_Engine!$B$12:$B$72,$A1312+1)</f>
        <v>7277.40608761975</v>
      </c>
      <c r="N1313" s="12" t="n">
        <f aca="false">IF(B1313&lt;=0,0,MAX(0,(K1313+Assumptions!$B$29*L1313/INDEX(Surface_Engine!$B$12:$B$72,$A1313+1)-(M1313/INDEX(Surface_Engine!$B$12:$B$72,$A1313+1)-(F1313/INDEX(Surface_Engine!$B$12:$B$72,$A1313+1))))/B1313))</f>
        <v>0</v>
      </c>
    </row>
    <row r="1314" customFormat="false" ht="15" hidden="false" customHeight="true" outlineLevel="0" collapsed="false">
      <c r="A1314" s="1" t="n">
        <v>46</v>
      </c>
      <c r="B1314" s="32" t="n">
        <f aca="false">INDEX(Surface_Engine!$S$12:$S$72,$A1314+1)*IF($A1314&lt;$Q$1266,INDEX(Surface_Engine!$E$12:$E$72,$A1314+1),INDEX(Surface_Engine!$E$12:$E$72,$Q$1266+1))</f>
        <v>1.02152950069496E-005</v>
      </c>
      <c r="C1314" s="32" t="n">
        <f aca="false">INDEX(Panel_Reserving!$G$8:$G$68,$A1314+1)*IF($A1314&lt;$Q$1266,INDEX(Surface_Engine!$E$12:$E$72,$A1314+1),INDEX(Surface_Engine!$E$12:$E$72,$Q$1266+1))</f>
        <v>0.000165529802421649</v>
      </c>
      <c r="D1314" s="32" t="n">
        <f aca="false">INDEX(Surface_Engine!$S$12:$S$72,$A1314+1)*IF($A1314&lt;$Q$1266,INDEX(Surface_Engine!$Y$12:$Y$72,$A1314+1),INDEX(Surface_Engine!$Y$12:$Y$72,$Q$1266+1))</f>
        <v>9.8216085243383E-006</v>
      </c>
      <c r="E1314" s="32" t="n">
        <f aca="false">INDEX(Surface_Engine!$S$12:$S$72,$A1314+1)*IF($A1314&lt;$Q$1266,INDEX(Surface_Engine!$Z$12:$Z$72,$A1314+1),INDEX(Surface_Engine!$Z$12:$Z$72,$Q$1266+1))</f>
        <v>1.06182165150676E-005</v>
      </c>
      <c r="F1314" s="48" t="n">
        <f aca="false">B1314*(IF($A1314&lt;$Q$1266,INDEX(Surface_Engine!$D$12:$D$72,$A1314+1)+(Surface_Engine!B248*12)*INDEX(Surface_Engine!$F$12:$F$72,$A1314+1)-(Surface_Engine!B248*12),1000*12*INDEX(Surface_Engine!$C$12:$C$72,$A1314+1)/(1+Assumptions!$B$10)^3+INDEX(Surface_Engine!$D$12:$D$72,$A1314+1)))*INDEX(Surface_Engine!$B$12:$B$72,$A1314+1)+F1315</f>
        <v>0.107468999425066</v>
      </c>
      <c r="G1314" s="48" t="n">
        <f aca="false">C1314*(IF($A1314&lt;$Q$1266,INDEX(Surface_Engine!$D$12:$D$72,$A1314+1)+(Surface_Engine!B248*12)*INDEX(Surface_Engine!$F$12:$F$72,$A1314+1)-(Surface_Engine!B248*12),1000*12*INDEX(Surface_Engine!$C$12:$C$72,$A1314+1)/(1+Assumptions!$B$10)^3+INDEX(Surface_Engine!$D$12:$D$72,$A1314+1)))*INDEX(Surface_Engine!$B$12:$B$72,$A1314+1)+G1315</f>
        <v>1.9852819522521</v>
      </c>
      <c r="H1314" s="48" t="n">
        <f aca="false">D1314*(IF($A1314&lt;$Q$1266,INDEX(Surface_Engine!$D$12:$D$72,$A1314+1)+(Surface_Engine!B248*12)*INDEX(Surface_Engine!$F$12:$F$72,$A1314+1)-(Surface_Engine!B248*12),1000*12*INDEX(Surface_Engine!$C$12:$C$72,$A1314+1)/(1+Assumptions!$B$10)^3+INDEX(Surface_Engine!$D$12:$D$72,$A1314+1)))*INDEX(Surface_Engine!$B$12:$B$72,$A1314+1)+H1315</f>
        <v>0.103327259774412</v>
      </c>
      <c r="I1314" s="48" t="n">
        <f aca="false">E1314*(IF($A1314&lt;$Q$1266,INDEX(Surface_Engine!$D$12:$D$72,$A1314+1)+(Surface_Engine!B248*12)*INDEX(Surface_Engine!$F$12:$F$72,$A1314+1)-(Surface_Engine!B248*12),1000*12*INDEX(Surface_Engine!$C$12:$C$72,$A1314+1)/(1+Assumptions!$B$10)^3+INDEX(Surface_Engine!$D$12:$D$72,$A1314+1)))*INDEX(Surface_Engine!$B$12:$B$72,$A1314+1)+I1315</f>
        <v>0.11170789524695</v>
      </c>
      <c r="J1314" s="48" t="n">
        <f aca="false">B1314*(IF($A1314&lt;$Q$1266,INDEX(Surface_Engine!$D$12:$D$72,$A1314+1)*(1+Assumptions!$B$24)+(Surface_Engine!B248*12)*INDEX(Surface_Engine!$F$12:$F$72,$A1314+1)-(Surface_Engine!B248*12),1000*12*INDEX(Surface_Engine!$C$12:$C$72,$A1314+1)/(1+Assumptions!$B$10)^3+INDEX(Surface_Engine!$D$12:$D$72,$A1314+1)*(1+Assumptions!$B$24)))*INDEX(Surface_Engine!$B$12:$B$72,$A1314+1)+J1315</f>
        <v>0.107565935035753</v>
      </c>
      <c r="K1314" s="12" t="n">
        <f aca="false">SQRT((IF(C1314&lt;=0,0,MAX(0,(B1314/C1314)*G1314/INDEX(Surface_Engine!$B$12:$B$72,$A1314+1)-F1314/INDEX(Surface_Engine!$B$12:$B$72,$A1314+1))))^2+(MAX(IF(D1314&lt;=0,0,MAX(0,(B1314/D1314)*H1314/INDEX(Surface_Engine!$B$12:$B$72,$A1314+1)-F1314/INDEX(Surface_Engine!$B$12:$B$72,$A1314+1))),IF(E1314&lt;=0,0,MAX(0,(B1314/E1314)*I1314/INDEX(Surface_Engine!$B$12:$B$72,$A1314+1)-F1314/INDEX(Surface_Engine!$B$12:$B$72,$A1314+1))),IF($A1314&lt;$Q$1266,MAX(0,-Assumptions!$B$22*(F1314/INDEX(Surface_Engine!$B$12:$B$72,$A1314+1))),0)))^2+(MAX(0,J1314/INDEX(Surface_Engine!$B$12:$B$72,$A1314+1)-(F1314/INDEX(Surface_Engine!$B$12:$B$72,$A1314+1))))^2+2*Assumptions!$B$26*(IF(C1314&lt;=0,0,MAX(0,(B1314/C1314)*G1314/INDEX(Surface_Engine!$B$12:$B$72,$A1314+1)-F1314/INDEX(Surface_Engine!$B$12:$B$72,$A1314+1))))*(MAX(IF(D1314&lt;=0,0,MAX(0,(B1314/D1314)*H1314/INDEX(Surface_Engine!$B$12:$B$72,$A1314+1)-F1314/INDEX(Surface_Engine!$B$12:$B$72,$A1314+1))),IF(E1314&lt;=0,0,MAX(0,(B1314/E1314)*I1314/INDEX(Surface_Engine!$B$12:$B$72,$A1314+1)-F1314/INDEX(Surface_Engine!$B$12:$B$72,$A1314+1))),IF($A1314&lt;$Q$1266,MAX(0,-Assumptions!$B$22*(F1314/INDEX(Surface_Engine!$B$12:$B$72,$A1314+1))),0)))+2*Assumptions!$B$27*(IF(C1314&lt;=0,0,MAX(0,(B1314/C1314)*G1314/INDEX(Surface_Engine!$B$12:$B$72,$A1314+1)-F1314/INDEX(Surface_Engine!$B$12:$B$72,$A1314+1))))*(MAX(0,J1314/INDEX(Surface_Engine!$B$12:$B$72,$A1314+1)-(F1314/INDEX(Surface_Engine!$B$12:$B$72,$A1314+1))))+2*Assumptions!$B$28*(MAX(IF(D1314&lt;=0,0,MAX(0,(B1314/D1314)*H1314/INDEX(Surface_Engine!$B$12:$B$72,$A1314+1)-F1314/INDEX(Surface_Engine!$B$12:$B$72,$A1314+1))),IF(E1314&lt;=0,0,MAX(0,(B1314/E1314)*I1314/INDEX(Surface_Engine!$B$12:$B$72,$A1314+1)-F1314/INDEX(Surface_Engine!$B$12:$B$72,$A1314+1))),IF($A1314&lt;$Q$1266,MAX(0,-Assumptions!$B$22*(F1314/INDEX(Surface_Engine!$B$12:$B$72,$A1314+1))),0)))*(MAX(0,J1314/INDEX(Surface_Engine!$B$12:$B$72,$A1314+1)-(F1314/INDEX(Surface_Engine!$B$12:$B$72,$A1314+1)))))</f>
        <v>0.0644751528001313</v>
      </c>
      <c r="L1314" s="48" t="n">
        <f aca="false">K1314*INDEX(Surface_Engine!$B$12:$B$72,$A1314+1)+L1315</f>
        <v>0.0184065550545412</v>
      </c>
      <c r="M1314" s="48" t="n">
        <f aca="false">M1313+B1313*(IF($A1313&lt;$Q$1266,(Surface_Engine!B248*12)-(Surface_Engine!B248*12)*INDEX(Surface_Engine!$F$12:$F$72,$A1313+1)-INDEX(Surface_Engine!$D$12:$D$72,$A1313+1),-(1000*12*INDEX(Surface_Engine!$C$12:$C$72,$A1313+1)/(1+Assumptions!$B$10)^3+INDEX(Surface_Engine!$D$12:$D$72,$A1313+1))))*INDEX(Surface_Engine!$B$12:$B$72,$A1313+1)</f>
        <v>7277.24991527274</v>
      </c>
      <c r="N1314" s="12" t="n">
        <f aca="false">IF(B1314&lt;=0,0,MAX(0,(K1314+Assumptions!$B$29*L1314/INDEX(Surface_Engine!$B$12:$B$72,$A1314+1)-(M1314/INDEX(Surface_Engine!$B$12:$B$72,$A1314+1)-(F1314/INDEX(Surface_Engine!$B$12:$B$72,$A1314+1))))/B1314))</f>
        <v>0</v>
      </c>
    </row>
    <row r="1315" customFormat="false" ht="15" hidden="false" customHeight="true" outlineLevel="0" collapsed="false">
      <c r="A1315" s="1" t="n">
        <v>47</v>
      </c>
      <c r="B1315" s="32" t="n">
        <f aca="false">INDEX(Surface_Engine!$S$12:$S$72,$A1315+1)*IF($A1315&lt;$Q$1266,INDEX(Surface_Engine!$E$12:$E$72,$A1315+1),INDEX(Surface_Engine!$E$12:$E$72,$Q$1266+1))</f>
        <v>4.32190748090363E-006</v>
      </c>
      <c r="C1315" s="32" t="n">
        <f aca="false">INDEX(Panel_Reserving!$G$8:$G$68,$A1315+1)*IF($A1315&lt;$Q$1266,INDEX(Surface_Engine!$E$12:$E$72,$A1315+1),INDEX(Surface_Engine!$E$12:$E$72,$Q$1266+1))</f>
        <v>8.91321048814851E-005</v>
      </c>
      <c r="D1315" s="32" t="n">
        <f aca="false">INDEX(Surface_Engine!$S$12:$S$72,$A1315+1)*IF($A1315&lt;$Q$1266,INDEX(Surface_Engine!$Y$12:$Y$72,$A1315+1),INDEX(Surface_Engine!$Y$12:$Y$72,$Q$1266+1))</f>
        <v>4.15534581497318E-006</v>
      </c>
      <c r="E1315" s="32" t="n">
        <f aca="false">INDEX(Surface_Engine!$S$12:$S$72,$A1315+1)*IF($A1315&lt;$Q$1266,INDEX(Surface_Engine!$Z$12:$Z$72,$A1315+1),INDEX(Surface_Engine!$Z$12:$Z$72,$Q$1266+1))</f>
        <v>4.49237631993051E-006</v>
      </c>
      <c r="F1315" s="48" t="n">
        <f aca="false">B1315*(IF($A1315&lt;$Q$1266,INDEX(Surface_Engine!$D$12:$D$72,$A1315+1)+(Surface_Engine!B248*12)*INDEX(Surface_Engine!$F$12:$F$72,$A1315+1)-(Surface_Engine!B248*12),1000*12*INDEX(Surface_Engine!$C$12:$C$72,$A1315+1)/(1+Assumptions!$B$10)^3+INDEX(Surface_Engine!$D$12:$D$72,$A1315+1)))*INDEX(Surface_Engine!$B$12:$B$72,$A1315+1)+F1316</f>
        <v>0.039710514337854</v>
      </c>
      <c r="G1315" s="48" t="n">
        <f aca="false">C1315*(IF($A1315&lt;$Q$1266,INDEX(Surface_Engine!$D$12:$D$72,$A1315+1)+(Surface_Engine!B248*12)*INDEX(Surface_Engine!$F$12:$F$72,$A1315+1)-(Surface_Engine!B248*12),1000*12*INDEX(Surface_Engine!$C$12:$C$72,$A1315+1)/(1+Assumptions!$B$10)^3+INDEX(Surface_Engine!$D$12:$D$72,$A1315+1)))*INDEX(Surface_Engine!$B$12:$B$72,$A1315+1)+G1316</f>
        <v>0.887315751447714</v>
      </c>
      <c r="H1315" s="48" t="n">
        <f aca="false">D1315*(IF($A1315&lt;$Q$1266,INDEX(Surface_Engine!$D$12:$D$72,$A1315+1)+(Surface_Engine!B248*12)*INDEX(Surface_Engine!$F$12:$F$72,$A1315+1)-(Surface_Engine!B248*12),1000*12*INDEX(Surface_Engine!$C$12:$C$72,$A1315+1)/(1+Assumptions!$B$10)^3+INDEX(Surface_Engine!$D$12:$D$72,$A1315+1)))*INDEX(Surface_Engine!$B$12:$B$72,$A1315+1)+H1316</f>
        <v>0.0381801138255124</v>
      </c>
      <c r="I1315" s="48" t="n">
        <f aca="false">E1315*(IF($A1315&lt;$Q$1266,INDEX(Surface_Engine!$D$12:$D$72,$A1315+1)+(Surface_Engine!B248*12)*INDEX(Surface_Engine!$F$12:$F$72,$A1315+1)-(Surface_Engine!B248*12),1000*12*INDEX(Surface_Engine!$C$12:$C$72,$A1315+1)/(1+Assumptions!$B$10)^3+INDEX(Surface_Engine!$D$12:$D$72,$A1315+1)))*INDEX(Surface_Engine!$B$12:$B$72,$A1315+1)+I1316</f>
        <v>0.0412768147055146</v>
      </c>
      <c r="J1315" s="48" t="n">
        <f aca="false">B1315*(IF($A1315&lt;$Q$1266,INDEX(Surface_Engine!$D$12:$D$72,$A1315+1)*(1+Assumptions!$B$24)+(Surface_Engine!B248*12)*INDEX(Surface_Engine!$F$12:$F$72,$A1315+1)-(Surface_Engine!B248*12),1000*12*INDEX(Surface_Engine!$C$12:$C$72,$A1315+1)/(1+Assumptions!$B$10)^3+INDEX(Surface_Engine!$D$12:$D$72,$A1315+1)*(1+Assumptions!$B$24)))*INDEX(Surface_Engine!$B$12:$B$72,$A1315+1)+J1316</f>
        <v>0.0397464736885504</v>
      </c>
      <c r="K1315" s="12" t="n">
        <f aca="false">SQRT((IF(C1315&lt;=0,0,MAX(0,(B1315/C1315)*G1315/INDEX(Surface_Engine!$B$12:$B$72,$A1315+1)-F1315/INDEX(Surface_Engine!$B$12:$B$72,$A1315+1))))^2+(MAX(IF(D1315&lt;=0,0,MAX(0,(B1315/D1315)*H1315/INDEX(Surface_Engine!$B$12:$B$72,$A1315+1)-F1315/INDEX(Surface_Engine!$B$12:$B$72,$A1315+1))),IF(E1315&lt;=0,0,MAX(0,(B1315/E1315)*I1315/INDEX(Surface_Engine!$B$12:$B$72,$A1315+1)-F1315/INDEX(Surface_Engine!$B$12:$B$72,$A1315+1))),IF($A1315&lt;$Q$1266,MAX(0,-Assumptions!$B$22*(F1315/INDEX(Surface_Engine!$B$12:$B$72,$A1315+1))),0)))^2+(MAX(0,J1315/INDEX(Surface_Engine!$B$12:$B$72,$A1315+1)-(F1315/INDEX(Surface_Engine!$B$12:$B$72,$A1315+1))))^2+2*Assumptions!$B$26*(IF(C1315&lt;=0,0,MAX(0,(B1315/C1315)*G1315/INDEX(Surface_Engine!$B$12:$B$72,$A1315+1)-F1315/INDEX(Surface_Engine!$B$12:$B$72,$A1315+1))))*(MAX(IF(D1315&lt;=0,0,MAX(0,(B1315/D1315)*H1315/INDEX(Surface_Engine!$B$12:$B$72,$A1315+1)-F1315/INDEX(Surface_Engine!$B$12:$B$72,$A1315+1))),IF(E1315&lt;=0,0,MAX(0,(B1315/E1315)*I1315/INDEX(Surface_Engine!$B$12:$B$72,$A1315+1)-F1315/INDEX(Surface_Engine!$B$12:$B$72,$A1315+1))),IF($A1315&lt;$Q$1266,MAX(0,-Assumptions!$B$22*(F1315/INDEX(Surface_Engine!$B$12:$B$72,$A1315+1))),0)))+2*Assumptions!$B$27*(IF(C1315&lt;=0,0,MAX(0,(B1315/C1315)*G1315/INDEX(Surface_Engine!$B$12:$B$72,$A1315+1)-F1315/INDEX(Surface_Engine!$B$12:$B$72,$A1315+1))))*(MAX(0,J1315/INDEX(Surface_Engine!$B$12:$B$72,$A1315+1)-(F1315/INDEX(Surface_Engine!$B$12:$B$72,$A1315+1))))+2*Assumptions!$B$28*(MAX(IF(D1315&lt;=0,0,MAX(0,(B1315/D1315)*H1315/INDEX(Surface_Engine!$B$12:$B$72,$A1315+1)-F1315/INDEX(Surface_Engine!$B$12:$B$72,$A1315+1))),IF(E1315&lt;=0,0,MAX(0,(B1315/E1315)*I1315/INDEX(Surface_Engine!$B$12:$B$72,$A1315+1)-F1315/INDEX(Surface_Engine!$B$12:$B$72,$A1315+1))),IF($A1315&lt;$Q$1266,MAX(0,-Assumptions!$B$22*(F1315/INDEX(Surface_Engine!$B$12:$B$72,$A1315+1))),0)))*(MAX(0,J1315/INDEX(Surface_Engine!$B$12:$B$72,$A1315+1)-(F1315/INDEX(Surface_Engine!$B$12:$B$72,$A1315+1)))))</f>
        <v>0.0146797859701383</v>
      </c>
      <c r="L1315" s="48" t="n">
        <f aca="false">K1315*INDEX(Surface_Engine!$B$12:$B$72,$A1315+1)+L1316</f>
        <v>0.00333387121161286</v>
      </c>
      <c r="M1315" s="48" t="n">
        <f aca="false">M1314+B1314*(IF($A1314&lt;$Q$1266,(Surface_Engine!B248*12)-(Surface_Engine!B248*12)*INDEX(Surface_Engine!$F$12:$F$72,$A1314+1)-INDEX(Surface_Engine!$D$12:$D$72,$A1314+1),-(1000*12*INDEX(Surface_Engine!$C$12:$C$72,$A1314+1)/(1+Assumptions!$B$10)^3+INDEX(Surface_Engine!$D$12:$D$72,$A1314+1))))*INDEX(Surface_Engine!$B$12:$B$72,$A1314+1)</f>
        <v>7277.18215678765</v>
      </c>
      <c r="N1315" s="12" t="n">
        <f aca="false">IF(B1315&lt;=0,0,MAX(0,(K1315+Assumptions!$B$29*L1315/INDEX(Surface_Engine!$B$12:$B$72,$A1315+1)-(M1315/INDEX(Surface_Engine!$B$12:$B$72,$A1315+1)-(F1315/INDEX(Surface_Engine!$B$12:$B$72,$A1315+1))))/B1315))</f>
        <v>0</v>
      </c>
    </row>
    <row r="1316" customFormat="false" ht="15" hidden="false" customHeight="true" outlineLevel="0" collapsed="false">
      <c r="A1316" s="1" t="n">
        <v>48</v>
      </c>
      <c r="B1316" s="32" t="n">
        <f aca="false">INDEX(Surface_Engine!$S$12:$S$72,$A1316+1)*IF($A1316&lt;$Q$1266,INDEX(Surface_Engine!$E$12:$E$72,$A1316+1),INDEX(Surface_Engine!$E$12:$E$72,$Q$1266+1))</f>
        <v>1.76057399897514E-006</v>
      </c>
      <c r="C1316" s="32" t="n">
        <f aca="false">INDEX(Panel_Reserving!$G$8:$G$68,$A1316+1)*IF($A1316&lt;$Q$1266,INDEX(Surface_Engine!$E$12:$E$72,$A1316+1),INDEX(Surface_Engine!$E$12:$E$72,$Q$1266+1))</f>
        <v>4.68735335341915E-005</v>
      </c>
      <c r="D1316" s="32" t="n">
        <f aca="false">INDEX(Surface_Engine!$S$12:$S$72,$A1316+1)*IF($A1316&lt;$Q$1266,INDEX(Surface_Engine!$Y$12:$Y$72,$A1316+1),INDEX(Surface_Engine!$Y$12:$Y$72,$Q$1266+1))</f>
        <v>1.69272337062207E-006</v>
      </c>
      <c r="E1316" s="32" t="n">
        <f aca="false">INDEX(Surface_Engine!$S$12:$S$72,$A1316+1)*IF($A1316&lt;$Q$1266,INDEX(Surface_Engine!$Z$12:$Z$72,$A1316+1),INDEX(Surface_Engine!$Z$12:$Z$72,$Q$1266+1))</f>
        <v>1.83001625495871E-006</v>
      </c>
      <c r="F1316" s="48" t="n">
        <f aca="false">B1316*(IF($A1316&lt;$Q$1266,INDEX(Surface_Engine!$D$12:$D$72,$A1316+1)+(Surface_Engine!B248*12)*INDEX(Surface_Engine!$F$12:$F$72,$A1316+1)-(Surface_Engine!B248*12),1000*12*INDEX(Surface_Engine!$C$12:$C$72,$A1316+1)/(1+Assumptions!$B$10)^3+INDEX(Surface_Engine!$D$12:$D$72,$A1316+1)))*INDEX(Surface_Engine!$B$12:$B$72,$A1316+1)+F1317</f>
        <v>0.0113908551485592</v>
      </c>
      <c r="G1316" s="48" t="n">
        <f aca="false">C1316*(IF($A1316&lt;$Q$1266,INDEX(Surface_Engine!$D$12:$D$72,$A1316+1)+(Surface_Engine!B248*12)*INDEX(Surface_Engine!$F$12:$F$72,$A1316+1)-(Surface_Engine!B248*12),1000*12*INDEX(Surface_Engine!$C$12:$C$72,$A1316+1)/(1+Assumptions!$B$10)^3+INDEX(Surface_Engine!$D$12:$D$72,$A1316+1)))*INDEX(Surface_Engine!$B$12:$B$72,$A1316+1)+G1317</f>
        <v>0.3032702011389</v>
      </c>
      <c r="H1316" s="48" t="n">
        <f aca="false">D1316*(IF($A1316&lt;$Q$1266,INDEX(Surface_Engine!$D$12:$D$72,$A1316+1)+(Surface_Engine!B248*12)*INDEX(Surface_Engine!$F$12:$F$72,$A1316+1)-(Surface_Engine!B248*12),1000*12*INDEX(Surface_Engine!$C$12:$C$72,$A1316+1)/(1+Assumptions!$B$10)^3+INDEX(Surface_Engine!$D$12:$D$72,$A1316+1)))*INDEX(Surface_Engine!$B$12:$B$72,$A1316+1)+H1317</f>
        <v>0.010951863842452</v>
      </c>
      <c r="I1316" s="48" t="n">
        <f aca="false">E1316*(IF($A1316&lt;$Q$1266,INDEX(Surface_Engine!$D$12:$D$72,$A1316+1)+(Surface_Engine!B248*12)*INDEX(Surface_Engine!$F$12:$F$72,$A1316+1)-(Surface_Engine!B248*12),1000*12*INDEX(Surface_Engine!$C$12:$C$72,$A1316+1)/(1+Assumptions!$B$10)^3+INDEX(Surface_Engine!$D$12:$D$72,$A1316+1)))*INDEX(Surface_Engine!$B$12:$B$72,$A1316+1)+I1317</f>
        <v>0.0118401442324366</v>
      </c>
      <c r="J1316" s="48" t="n">
        <f aca="false">B1316*(IF($A1316&lt;$Q$1266,INDEX(Surface_Engine!$D$12:$D$72,$A1316+1)*(1+Assumptions!$B$24)+(Surface_Engine!B248*12)*INDEX(Surface_Engine!$F$12:$F$72,$A1316+1)-(Surface_Engine!B248*12),1000*12*INDEX(Surface_Engine!$C$12:$C$72,$A1316+1)/(1+Assumptions!$B$10)^3+INDEX(Surface_Engine!$D$12:$D$72,$A1316+1)*(1+Assumptions!$B$24)))*INDEX(Surface_Engine!$B$12:$B$72,$A1316+1)+J1317</f>
        <v>0.0114012056741547</v>
      </c>
      <c r="K1316" s="12" t="n">
        <f aca="false">SQRT((IF(C1316&lt;=0,0,MAX(0,(B1316/C1316)*G1316/INDEX(Surface_Engine!$B$12:$B$72,$A1316+1)-F1316/INDEX(Surface_Engine!$B$12:$B$72,$A1316+1))))^2+(MAX(IF(D1316&lt;=0,0,MAX(0,(B1316/D1316)*H1316/INDEX(Surface_Engine!$B$12:$B$72,$A1316+1)-F1316/INDEX(Surface_Engine!$B$12:$B$72,$A1316+1))),IF(E1316&lt;=0,0,MAX(0,(B1316/E1316)*I1316/INDEX(Surface_Engine!$B$12:$B$72,$A1316+1)-F1316/INDEX(Surface_Engine!$B$12:$B$72,$A1316+1))),IF($A1316&lt;$Q$1266,MAX(0,-Assumptions!$B$22*(F1316/INDEX(Surface_Engine!$B$12:$B$72,$A1316+1))),0)))^2+(MAX(0,J1316/INDEX(Surface_Engine!$B$12:$B$72,$A1316+1)-(F1316/INDEX(Surface_Engine!$B$12:$B$72,$A1316+1))))^2+2*Assumptions!$B$26*(IF(C1316&lt;=0,0,MAX(0,(B1316/C1316)*G1316/INDEX(Surface_Engine!$B$12:$B$72,$A1316+1)-F1316/INDEX(Surface_Engine!$B$12:$B$72,$A1316+1))))*(MAX(IF(D1316&lt;=0,0,MAX(0,(B1316/D1316)*H1316/INDEX(Surface_Engine!$B$12:$B$72,$A1316+1)-F1316/INDEX(Surface_Engine!$B$12:$B$72,$A1316+1))),IF(E1316&lt;=0,0,MAX(0,(B1316/E1316)*I1316/INDEX(Surface_Engine!$B$12:$B$72,$A1316+1)-F1316/INDEX(Surface_Engine!$B$12:$B$72,$A1316+1))),IF($A1316&lt;$Q$1266,MAX(0,-Assumptions!$B$22*(F1316/INDEX(Surface_Engine!$B$12:$B$72,$A1316+1))),0)))+2*Assumptions!$B$27*(IF(C1316&lt;=0,0,MAX(0,(B1316/C1316)*G1316/INDEX(Surface_Engine!$B$12:$B$72,$A1316+1)-F1316/INDEX(Surface_Engine!$B$12:$B$72,$A1316+1))))*(MAX(0,J1316/INDEX(Surface_Engine!$B$12:$B$72,$A1316+1)-(F1316/INDEX(Surface_Engine!$B$12:$B$72,$A1316+1))))+2*Assumptions!$B$28*(MAX(IF(D1316&lt;=0,0,MAX(0,(B1316/D1316)*H1316/INDEX(Surface_Engine!$B$12:$B$72,$A1316+1)-F1316/INDEX(Surface_Engine!$B$12:$B$72,$A1316+1))),IF(E1316&lt;=0,0,MAX(0,(B1316/E1316)*I1316/INDEX(Surface_Engine!$B$12:$B$72,$A1316+1)-F1316/INDEX(Surface_Engine!$B$12:$B$72,$A1316+1))),IF($A1316&lt;$Q$1266,MAX(0,-Assumptions!$B$22*(F1316/INDEX(Surface_Engine!$B$12:$B$72,$A1316+1))),0)))*(MAX(0,J1316/INDEX(Surface_Engine!$B$12:$B$72,$A1316+1)-(F1316/INDEX(Surface_Engine!$B$12:$B$72,$A1316+1)))))</f>
        <v>4.72295355595023E-005</v>
      </c>
      <c r="L1316" s="48" t="n">
        <f aca="false">K1316*INDEX(Surface_Engine!$B$12:$B$72,$A1316+1)+L1317</f>
        <v>1.03505255954965E-005</v>
      </c>
      <c r="M1316" s="48" t="n">
        <f aca="false">M1315+B1315*(IF($A1315&lt;$Q$1266,(Surface_Engine!B248*12)-(Surface_Engine!B248*12)*INDEX(Surface_Engine!$F$12:$F$72,$A1315+1)-INDEX(Surface_Engine!$D$12:$D$72,$A1315+1),-(1000*12*INDEX(Surface_Engine!$C$12:$C$72,$A1315+1)/(1+Assumptions!$B$10)^3+INDEX(Surface_Engine!$D$12:$D$72,$A1315+1))))*INDEX(Surface_Engine!$B$12:$B$72,$A1315+1)</f>
        <v>7277.15383712846</v>
      </c>
      <c r="N1316" s="12" t="n">
        <f aca="false">IF(B1316&lt;=0,0,MAX(0,(K1316+Assumptions!$B$29*L1316/INDEX(Surface_Engine!$B$12:$B$72,$A1316+1)-(M1316/INDEX(Surface_Engine!$B$12:$B$72,$A1316+1)-(F1316/INDEX(Surface_Engine!$B$12:$B$72,$A1316+1))))/B1316))</f>
        <v>0</v>
      </c>
    </row>
    <row r="1317" customFormat="false" ht="15" hidden="false" customHeight="true" outlineLevel="0" collapsed="false">
      <c r="A1317" s="1" t="n">
        <v>49</v>
      </c>
      <c r="B1317" s="32" t="n">
        <f aca="false">INDEX(Surface_Engine!$S$12:$S$72,$A1317+1)*IF($A1317&lt;$Q$1266,INDEX(Surface_Engine!$E$12:$E$72,$A1317+1),INDEX(Surface_Engine!$E$12:$E$72,$Q$1266+1))</f>
        <v>0</v>
      </c>
      <c r="C1317" s="32" t="n">
        <f aca="false">INDEX(Panel_Reserving!$G$8:$G$68,$A1317+1)*IF($A1317&lt;$Q$1266,INDEX(Surface_Engine!$E$12:$E$72,$A1317+1),INDEX(Surface_Engine!$E$12:$E$72,$Q$1266+1))</f>
        <v>0</v>
      </c>
      <c r="D1317" s="32" t="n">
        <f aca="false">INDEX(Surface_Engine!$S$12:$S$72,$A1317+1)*IF($A1317&lt;$Q$1266,INDEX(Surface_Engine!$Y$12:$Y$72,$A1317+1),INDEX(Surface_Engine!$Y$12:$Y$72,$Q$1266+1))</f>
        <v>0</v>
      </c>
      <c r="E1317" s="32" t="n">
        <f aca="false">INDEX(Surface_Engine!$S$12:$S$72,$A1317+1)*IF($A1317&lt;$Q$1266,INDEX(Surface_Engine!$Z$12:$Z$72,$A1317+1),INDEX(Surface_Engine!$Z$12:$Z$72,$Q$1266+1))</f>
        <v>0</v>
      </c>
      <c r="F1317" s="48" t="n">
        <f aca="false">B1317*(IF($A1317&lt;$Q$1266,INDEX(Surface_Engine!$D$12:$D$72,$A1317+1)+(Surface_Engine!B248*12)*INDEX(Surface_Engine!$F$12:$F$72,$A1317+1)-(Surface_Engine!B248*12),1000*12*INDEX(Surface_Engine!$C$12:$C$72,$A1317+1)/(1+Assumptions!$B$10)^3+INDEX(Surface_Engine!$D$12:$D$72,$A1317+1)))*INDEX(Surface_Engine!$B$12:$B$72,$A1317+1)+F1318</f>
        <v>0</v>
      </c>
      <c r="G1317" s="48" t="n">
        <f aca="false">C1317*(IF($A1317&lt;$Q$1266,INDEX(Surface_Engine!$D$12:$D$72,$A1317+1)+(Surface_Engine!B248*12)*INDEX(Surface_Engine!$F$12:$F$72,$A1317+1)-(Surface_Engine!B248*12),1000*12*INDEX(Surface_Engine!$C$12:$C$72,$A1317+1)/(1+Assumptions!$B$10)^3+INDEX(Surface_Engine!$D$12:$D$72,$A1317+1)))*INDEX(Surface_Engine!$B$12:$B$72,$A1317+1)+G1318</f>
        <v>0</v>
      </c>
      <c r="H1317" s="48" t="n">
        <f aca="false">D1317*(IF($A1317&lt;$Q$1266,INDEX(Surface_Engine!$D$12:$D$72,$A1317+1)+(Surface_Engine!B248*12)*INDEX(Surface_Engine!$F$12:$F$72,$A1317+1)-(Surface_Engine!B248*12),1000*12*INDEX(Surface_Engine!$C$12:$C$72,$A1317+1)/(1+Assumptions!$B$10)^3+INDEX(Surface_Engine!$D$12:$D$72,$A1317+1)))*INDEX(Surface_Engine!$B$12:$B$72,$A1317+1)+H1318</f>
        <v>0</v>
      </c>
      <c r="I1317" s="48" t="n">
        <f aca="false">E1317*(IF($A1317&lt;$Q$1266,INDEX(Surface_Engine!$D$12:$D$72,$A1317+1)+(Surface_Engine!B248*12)*INDEX(Surface_Engine!$F$12:$F$72,$A1317+1)-(Surface_Engine!B248*12),1000*12*INDEX(Surface_Engine!$C$12:$C$72,$A1317+1)/(1+Assumptions!$B$10)^3+INDEX(Surface_Engine!$D$12:$D$72,$A1317+1)))*INDEX(Surface_Engine!$B$12:$B$72,$A1317+1)+I1318</f>
        <v>0</v>
      </c>
      <c r="J1317" s="48" t="n">
        <f aca="false">B1317*(IF($A1317&lt;$Q$1266,INDEX(Surface_Engine!$D$12:$D$72,$A1317+1)*(1+Assumptions!$B$24)+(Surface_Engine!B248*12)*INDEX(Surface_Engine!$F$12:$F$72,$A1317+1)-(Surface_Engine!B248*12),1000*12*INDEX(Surface_Engine!$C$12:$C$72,$A1317+1)/(1+Assumptions!$B$10)^3+INDEX(Surface_Engine!$D$12:$D$72,$A1317+1)*(1+Assumptions!$B$24)))*INDEX(Surface_Engine!$B$12:$B$72,$A1317+1)+J1318</f>
        <v>0</v>
      </c>
      <c r="K1317" s="12" t="n">
        <f aca="false">SQRT((IF(C1317&lt;=0,0,MAX(0,(B1317/C1317)*G1317/INDEX(Surface_Engine!$B$12:$B$72,$A1317+1)-F1317/INDEX(Surface_Engine!$B$12:$B$72,$A1317+1))))^2+(MAX(IF(D1317&lt;=0,0,MAX(0,(B1317/D1317)*H1317/INDEX(Surface_Engine!$B$12:$B$72,$A1317+1)-F1317/INDEX(Surface_Engine!$B$12:$B$72,$A1317+1))),IF(E1317&lt;=0,0,MAX(0,(B1317/E1317)*I1317/INDEX(Surface_Engine!$B$12:$B$72,$A1317+1)-F1317/INDEX(Surface_Engine!$B$12:$B$72,$A1317+1))),IF($A1317&lt;$Q$1266,MAX(0,-Assumptions!$B$22*(F1317/INDEX(Surface_Engine!$B$12:$B$72,$A1317+1))),0)))^2+(MAX(0,J1317/INDEX(Surface_Engine!$B$12:$B$72,$A1317+1)-(F1317/INDEX(Surface_Engine!$B$12:$B$72,$A1317+1))))^2+2*Assumptions!$B$26*(IF(C1317&lt;=0,0,MAX(0,(B1317/C1317)*G1317/INDEX(Surface_Engine!$B$12:$B$72,$A1317+1)-F1317/INDEX(Surface_Engine!$B$12:$B$72,$A1317+1))))*(MAX(IF(D1317&lt;=0,0,MAX(0,(B1317/D1317)*H1317/INDEX(Surface_Engine!$B$12:$B$72,$A1317+1)-F1317/INDEX(Surface_Engine!$B$12:$B$72,$A1317+1))),IF(E1317&lt;=0,0,MAX(0,(B1317/E1317)*I1317/INDEX(Surface_Engine!$B$12:$B$72,$A1317+1)-F1317/INDEX(Surface_Engine!$B$12:$B$72,$A1317+1))),IF($A1317&lt;$Q$1266,MAX(0,-Assumptions!$B$22*(F1317/INDEX(Surface_Engine!$B$12:$B$72,$A1317+1))),0)))+2*Assumptions!$B$27*(IF(C1317&lt;=0,0,MAX(0,(B1317/C1317)*G1317/INDEX(Surface_Engine!$B$12:$B$72,$A1317+1)-F1317/INDEX(Surface_Engine!$B$12:$B$72,$A1317+1))))*(MAX(0,J1317/INDEX(Surface_Engine!$B$12:$B$72,$A1317+1)-(F1317/INDEX(Surface_Engine!$B$12:$B$72,$A1317+1))))+2*Assumptions!$B$28*(MAX(IF(D1317&lt;=0,0,MAX(0,(B1317/D1317)*H1317/INDEX(Surface_Engine!$B$12:$B$72,$A1317+1)-F1317/INDEX(Surface_Engine!$B$12:$B$72,$A1317+1))),IF(E1317&lt;=0,0,MAX(0,(B1317/E1317)*I1317/INDEX(Surface_Engine!$B$12:$B$72,$A1317+1)-F1317/INDEX(Surface_Engine!$B$12:$B$72,$A1317+1))),IF($A1317&lt;$Q$1266,MAX(0,-Assumptions!$B$22*(F1317/INDEX(Surface_Engine!$B$12:$B$72,$A1317+1))),0)))*(MAX(0,J1317/INDEX(Surface_Engine!$B$12:$B$72,$A1317+1)-(F1317/INDEX(Surface_Engine!$B$12:$B$72,$A1317+1)))))</f>
        <v>0</v>
      </c>
      <c r="L1317" s="48" t="n">
        <f aca="false">K1317*INDEX(Surface_Engine!$B$12:$B$72,$A1317+1)+L1318</f>
        <v>0</v>
      </c>
      <c r="M1317" s="48" t="n">
        <f aca="false">M1316+B1316*(IF($A1316&lt;$Q$1266,(Surface_Engine!B248*12)-(Surface_Engine!B248*12)*INDEX(Surface_Engine!$F$12:$F$72,$A1316+1)-INDEX(Surface_Engine!$D$12:$D$72,$A1316+1),-(1000*12*INDEX(Surface_Engine!$C$12:$C$72,$A1316+1)/(1+Assumptions!$B$10)^3+INDEX(Surface_Engine!$D$12:$D$72,$A1316+1))))*INDEX(Surface_Engine!$B$12:$B$72,$A1316+1)</f>
        <v>7277.14244627331</v>
      </c>
      <c r="N1317" s="12" t="n">
        <f aca="false">IF(B1317&lt;=0,0,MAX(0,(K1317+Assumptions!$B$29*L1317/INDEX(Surface_Engine!$B$12:$B$72,$A1317+1)-(M1317/INDEX(Surface_Engine!$B$12:$B$72,$A1317+1)-(F1317/INDEX(Surface_Engine!$B$12:$B$72,$A1317+1))))/B1317))</f>
        <v>0</v>
      </c>
    </row>
    <row r="1318" customFormat="false" ht="15" hidden="false" customHeight="true" outlineLevel="0" collapsed="false">
      <c r="A1318" s="1" t="n">
        <v>50</v>
      </c>
      <c r="B1318" s="32" t="n">
        <f aca="false">INDEX(Surface_Engine!$S$12:$S$72,$A1318+1)*IF($A1318&lt;$Q$1266,INDEX(Surface_Engine!$E$12:$E$72,$A1318+1),INDEX(Surface_Engine!$E$12:$E$72,$Q$1266+1))</f>
        <v>0</v>
      </c>
      <c r="C1318" s="32" t="n">
        <f aca="false">INDEX(Panel_Reserving!$G$8:$G$68,$A1318+1)*IF($A1318&lt;$Q$1266,INDEX(Surface_Engine!$E$12:$E$72,$A1318+1),INDEX(Surface_Engine!$E$12:$E$72,$Q$1266+1))</f>
        <v>0</v>
      </c>
      <c r="D1318" s="32" t="n">
        <f aca="false">INDEX(Surface_Engine!$S$12:$S$72,$A1318+1)*IF($A1318&lt;$Q$1266,INDEX(Surface_Engine!$Y$12:$Y$72,$A1318+1),INDEX(Surface_Engine!$Y$12:$Y$72,$Q$1266+1))</f>
        <v>0</v>
      </c>
      <c r="E1318" s="32" t="n">
        <f aca="false">INDEX(Surface_Engine!$S$12:$S$72,$A1318+1)*IF($A1318&lt;$Q$1266,INDEX(Surface_Engine!$Z$12:$Z$72,$A1318+1),INDEX(Surface_Engine!$Z$12:$Z$72,$Q$1266+1))</f>
        <v>0</v>
      </c>
      <c r="F1318" s="48" t="n">
        <f aca="false">B1318*(IF($A1318&lt;$Q$1266,INDEX(Surface_Engine!$D$12:$D$72,$A1318+1)+(Surface_Engine!B248*12)*INDEX(Surface_Engine!$F$12:$F$72,$A1318+1)-(Surface_Engine!B248*12),1000*12*INDEX(Surface_Engine!$C$12:$C$72,$A1318+1)/(1+Assumptions!$B$10)^3+INDEX(Surface_Engine!$D$12:$D$72,$A1318+1)))*INDEX(Surface_Engine!$B$12:$B$72,$A1318+1)+F1319</f>
        <v>0</v>
      </c>
      <c r="G1318" s="48" t="n">
        <f aca="false">C1318*(IF($A1318&lt;$Q$1266,INDEX(Surface_Engine!$D$12:$D$72,$A1318+1)+(Surface_Engine!B248*12)*INDEX(Surface_Engine!$F$12:$F$72,$A1318+1)-(Surface_Engine!B248*12),1000*12*INDEX(Surface_Engine!$C$12:$C$72,$A1318+1)/(1+Assumptions!$B$10)^3+INDEX(Surface_Engine!$D$12:$D$72,$A1318+1)))*INDEX(Surface_Engine!$B$12:$B$72,$A1318+1)+G1319</f>
        <v>0</v>
      </c>
      <c r="H1318" s="48" t="n">
        <f aca="false">D1318*(IF($A1318&lt;$Q$1266,INDEX(Surface_Engine!$D$12:$D$72,$A1318+1)+(Surface_Engine!B248*12)*INDEX(Surface_Engine!$F$12:$F$72,$A1318+1)-(Surface_Engine!B248*12),1000*12*INDEX(Surface_Engine!$C$12:$C$72,$A1318+1)/(1+Assumptions!$B$10)^3+INDEX(Surface_Engine!$D$12:$D$72,$A1318+1)))*INDEX(Surface_Engine!$B$12:$B$72,$A1318+1)+H1319</f>
        <v>0</v>
      </c>
      <c r="I1318" s="48" t="n">
        <f aca="false">E1318*(IF($A1318&lt;$Q$1266,INDEX(Surface_Engine!$D$12:$D$72,$A1318+1)+(Surface_Engine!B248*12)*INDEX(Surface_Engine!$F$12:$F$72,$A1318+1)-(Surface_Engine!B248*12),1000*12*INDEX(Surface_Engine!$C$12:$C$72,$A1318+1)/(1+Assumptions!$B$10)^3+INDEX(Surface_Engine!$D$12:$D$72,$A1318+1)))*INDEX(Surface_Engine!$B$12:$B$72,$A1318+1)+I1319</f>
        <v>0</v>
      </c>
      <c r="J1318" s="48" t="n">
        <f aca="false">B1318*(IF($A1318&lt;$Q$1266,INDEX(Surface_Engine!$D$12:$D$72,$A1318+1)*(1+Assumptions!$B$24)+(Surface_Engine!B248*12)*INDEX(Surface_Engine!$F$12:$F$72,$A1318+1)-(Surface_Engine!B248*12),1000*12*INDEX(Surface_Engine!$C$12:$C$72,$A1318+1)/(1+Assumptions!$B$10)^3+INDEX(Surface_Engine!$D$12:$D$72,$A1318+1)*(1+Assumptions!$B$24)))*INDEX(Surface_Engine!$B$12:$B$72,$A1318+1)+J1319</f>
        <v>0</v>
      </c>
      <c r="K1318" s="12" t="n">
        <f aca="false">SQRT((IF(C1318&lt;=0,0,MAX(0,(B1318/C1318)*G1318/INDEX(Surface_Engine!$B$12:$B$72,$A1318+1)-F1318/INDEX(Surface_Engine!$B$12:$B$72,$A1318+1))))^2+(MAX(IF(D1318&lt;=0,0,MAX(0,(B1318/D1318)*H1318/INDEX(Surface_Engine!$B$12:$B$72,$A1318+1)-F1318/INDEX(Surface_Engine!$B$12:$B$72,$A1318+1))),IF(E1318&lt;=0,0,MAX(0,(B1318/E1318)*I1318/INDEX(Surface_Engine!$B$12:$B$72,$A1318+1)-F1318/INDEX(Surface_Engine!$B$12:$B$72,$A1318+1))),IF($A1318&lt;$Q$1266,MAX(0,-Assumptions!$B$22*(F1318/INDEX(Surface_Engine!$B$12:$B$72,$A1318+1))),0)))^2+(MAX(0,J1318/INDEX(Surface_Engine!$B$12:$B$72,$A1318+1)-(F1318/INDEX(Surface_Engine!$B$12:$B$72,$A1318+1))))^2+2*Assumptions!$B$26*(IF(C1318&lt;=0,0,MAX(0,(B1318/C1318)*G1318/INDEX(Surface_Engine!$B$12:$B$72,$A1318+1)-F1318/INDEX(Surface_Engine!$B$12:$B$72,$A1318+1))))*(MAX(IF(D1318&lt;=0,0,MAX(0,(B1318/D1318)*H1318/INDEX(Surface_Engine!$B$12:$B$72,$A1318+1)-F1318/INDEX(Surface_Engine!$B$12:$B$72,$A1318+1))),IF(E1318&lt;=0,0,MAX(0,(B1318/E1318)*I1318/INDEX(Surface_Engine!$B$12:$B$72,$A1318+1)-F1318/INDEX(Surface_Engine!$B$12:$B$72,$A1318+1))),IF($A1318&lt;$Q$1266,MAX(0,-Assumptions!$B$22*(F1318/INDEX(Surface_Engine!$B$12:$B$72,$A1318+1))),0)))+2*Assumptions!$B$27*(IF(C1318&lt;=0,0,MAX(0,(B1318/C1318)*G1318/INDEX(Surface_Engine!$B$12:$B$72,$A1318+1)-F1318/INDEX(Surface_Engine!$B$12:$B$72,$A1318+1))))*(MAX(0,J1318/INDEX(Surface_Engine!$B$12:$B$72,$A1318+1)-(F1318/INDEX(Surface_Engine!$B$12:$B$72,$A1318+1))))+2*Assumptions!$B$28*(MAX(IF(D1318&lt;=0,0,MAX(0,(B1318/D1318)*H1318/INDEX(Surface_Engine!$B$12:$B$72,$A1318+1)-F1318/INDEX(Surface_Engine!$B$12:$B$72,$A1318+1))),IF(E1318&lt;=0,0,MAX(0,(B1318/E1318)*I1318/INDEX(Surface_Engine!$B$12:$B$72,$A1318+1)-F1318/INDEX(Surface_Engine!$B$12:$B$72,$A1318+1))),IF($A1318&lt;$Q$1266,MAX(0,-Assumptions!$B$22*(F1318/INDEX(Surface_Engine!$B$12:$B$72,$A1318+1))),0)))*(MAX(0,J1318/INDEX(Surface_Engine!$B$12:$B$72,$A1318+1)-(F1318/INDEX(Surface_Engine!$B$12:$B$72,$A1318+1)))))</f>
        <v>0</v>
      </c>
      <c r="L1318" s="48" t="n">
        <f aca="false">K1318*INDEX(Surface_Engine!$B$12:$B$72,$A1318+1)+L1319</f>
        <v>0</v>
      </c>
      <c r="M1318" s="48" t="n">
        <f aca="false">M1317+B1317*(IF($A1317&lt;$Q$1266,(Surface_Engine!B248*12)-(Surface_Engine!B248*12)*INDEX(Surface_Engine!$F$12:$F$72,$A1317+1)-INDEX(Surface_Engine!$D$12:$D$72,$A1317+1),-(1000*12*INDEX(Surface_Engine!$C$12:$C$72,$A1317+1)/(1+Assumptions!$B$10)^3+INDEX(Surface_Engine!$D$12:$D$72,$A1317+1))))*INDEX(Surface_Engine!$B$12:$B$72,$A1317+1)</f>
        <v>7277.14244627331</v>
      </c>
      <c r="N1318" s="12" t="n">
        <f aca="false">IF(B1318&lt;=0,0,MAX(0,(K1318+Assumptions!$B$29*L1318/INDEX(Surface_Engine!$B$12:$B$72,$A1318+1)-(M1318/INDEX(Surface_Engine!$B$12:$B$72,$A1318+1)-(F1318/INDEX(Surface_Engine!$B$12:$B$72,$A1318+1))))/B1318))</f>
        <v>0</v>
      </c>
    </row>
    <row r="1319" customFormat="false" ht="15" hidden="false" customHeight="true" outlineLevel="0" collapsed="false">
      <c r="A1319" s="1" t="n">
        <v>51</v>
      </c>
      <c r="B1319" s="32" t="n">
        <f aca="false">INDEX(Surface_Engine!$S$12:$S$72,$A1319+1)*IF($A1319&lt;$Q$1266,INDEX(Surface_Engine!$E$12:$E$72,$A1319+1),INDEX(Surface_Engine!$E$12:$E$72,$Q$1266+1))</f>
        <v>0</v>
      </c>
      <c r="C1319" s="32" t="n">
        <f aca="false">INDEX(Panel_Reserving!$G$8:$G$68,$A1319+1)*IF($A1319&lt;$Q$1266,INDEX(Surface_Engine!$E$12:$E$72,$A1319+1),INDEX(Surface_Engine!$E$12:$E$72,$Q$1266+1))</f>
        <v>0</v>
      </c>
      <c r="D1319" s="32" t="n">
        <f aca="false">INDEX(Surface_Engine!$S$12:$S$72,$A1319+1)*IF($A1319&lt;$Q$1266,INDEX(Surface_Engine!$Y$12:$Y$72,$A1319+1),INDEX(Surface_Engine!$Y$12:$Y$72,$Q$1266+1))</f>
        <v>0</v>
      </c>
      <c r="E1319" s="32" t="n">
        <f aca="false">INDEX(Surface_Engine!$S$12:$S$72,$A1319+1)*IF($A1319&lt;$Q$1266,INDEX(Surface_Engine!$Z$12:$Z$72,$A1319+1),INDEX(Surface_Engine!$Z$12:$Z$72,$Q$1266+1))</f>
        <v>0</v>
      </c>
      <c r="F1319" s="48" t="n">
        <f aca="false">B1319*(IF($A1319&lt;$Q$1266,INDEX(Surface_Engine!$D$12:$D$72,$A1319+1)+(Surface_Engine!B248*12)*INDEX(Surface_Engine!$F$12:$F$72,$A1319+1)-(Surface_Engine!B248*12),1000*12*INDEX(Surface_Engine!$C$12:$C$72,$A1319+1)/(1+Assumptions!$B$10)^3+INDEX(Surface_Engine!$D$12:$D$72,$A1319+1)))*INDEX(Surface_Engine!$B$12:$B$72,$A1319+1)+F1320</f>
        <v>0</v>
      </c>
      <c r="G1319" s="48" t="n">
        <f aca="false">C1319*(IF($A1319&lt;$Q$1266,INDEX(Surface_Engine!$D$12:$D$72,$A1319+1)+(Surface_Engine!B248*12)*INDEX(Surface_Engine!$F$12:$F$72,$A1319+1)-(Surface_Engine!B248*12),1000*12*INDEX(Surface_Engine!$C$12:$C$72,$A1319+1)/(1+Assumptions!$B$10)^3+INDEX(Surface_Engine!$D$12:$D$72,$A1319+1)))*INDEX(Surface_Engine!$B$12:$B$72,$A1319+1)+G1320</f>
        <v>0</v>
      </c>
      <c r="H1319" s="48" t="n">
        <f aca="false">D1319*(IF($A1319&lt;$Q$1266,INDEX(Surface_Engine!$D$12:$D$72,$A1319+1)+(Surface_Engine!B248*12)*INDEX(Surface_Engine!$F$12:$F$72,$A1319+1)-(Surface_Engine!B248*12),1000*12*INDEX(Surface_Engine!$C$12:$C$72,$A1319+1)/(1+Assumptions!$B$10)^3+INDEX(Surface_Engine!$D$12:$D$72,$A1319+1)))*INDEX(Surface_Engine!$B$12:$B$72,$A1319+1)+H1320</f>
        <v>0</v>
      </c>
      <c r="I1319" s="48" t="n">
        <f aca="false">E1319*(IF($A1319&lt;$Q$1266,INDEX(Surface_Engine!$D$12:$D$72,$A1319+1)+(Surface_Engine!B248*12)*INDEX(Surface_Engine!$F$12:$F$72,$A1319+1)-(Surface_Engine!B248*12),1000*12*INDEX(Surface_Engine!$C$12:$C$72,$A1319+1)/(1+Assumptions!$B$10)^3+INDEX(Surface_Engine!$D$12:$D$72,$A1319+1)))*INDEX(Surface_Engine!$B$12:$B$72,$A1319+1)+I1320</f>
        <v>0</v>
      </c>
      <c r="J1319" s="48" t="n">
        <f aca="false">B1319*(IF($A1319&lt;$Q$1266,INDEX(Surface_Engine!$D$12:$D$72,$A1319+1)*(1+Assumptions!$B$24)+(Surface_Engine!B248*12)*INDEX(Surface_Engine!$F$12:$F$72,$A1319+1)-(Surface_Engine!B248*12),1000*12*INDEX(Surface_Engine!$C$12:$C$72,$A1319+1)/(1+Assumptions!$B$10)^3+INDEX(Surface_Engine!$D$12:$D$72,$A1319+1)*(1+Assumptions!$B$24)))*INDEX(Surface_Engine!$B$12:$B$72,$A1319+1)+J1320</f>
        <v>0</v>
      </c>
      <c r="K1319" s="12" t="n">
        <f aca="false">SQRT((IF(C1319&lt;=0,0,MAX(0,(B1319/C1319)*G1319/INDEX(Surface_Engine!$B$12:$B$72,$A1319+1)-F1319/INDEX(Surface_Engine!$B$12:$B$72,$A1319+1))))^2+(MAX(IF(D1319&lt;=0,0,MAX(0,(B1319/D1319)*H1319/INDEX(Surface_Engine!$B$12:$B$72,$A1319+1)-F1319/INDEX(Surface_Engine!$B$12:$B$72,$A1319+1))),IF(E1319&lt;=0,0,MAX(0,(B1319/E1319)*I1319/INDEX(Surface_Engine!$B$12:$B$72,$A1319+1)-F1319/INDEX(Surface_Engine!$B$12:$B$72,$A1319+1))),IF($A1319&lt;$Q$1266,MAX(0,-Assumptions!$B$22*(F1319/INDEX(Surface_Engine!$B$12:$B$72,$A1319+1))),0)))^2+(MAX(0,J1319/INDEX(Surface_Engine!$B$12:$B$72,$A1319+1)-(F1319/INDEX(Surface_Engine!$B$12:$B$72,$A1319+1))))^2+2*Assumptions!$B$26*(IF(C1319&lt;=0,0,MAX(0,(B1319/C1319)*G1319/INDEX(Surface_Engine!$B$12:$B$72,$A1319+1)-F1319/INDEX(Surface_Engine!$B$12:$B$72,$A1319+1))))*(MAX(IF(D1319&lt;=0,0,MAX(0,(B1319/D1319)*H1319/INDEX(Surface_Engine!$B$12:$B$72,$A1319+1)-F1319/INDEX(Surface_Engine!$B$12:$B$72,$A1319+1))),IF(E1319&lt;=0,0,MAX(0,(B1319/E1319)*I1319/INDEX(Surface_Engine!$B$12:$B$72,$A1319+1)-F1319/INDEX(Surface_Engine!$B$12:$B$72,$A1319+1))),IF($A1319&lt;$Q$1266,MAX(0,-Assumptions!$B$22*(F1319/INDEX(Surface_Engine!$B$12:$B$72,$A1319+1))),0)))+2*Assumptions!$B$27*(IF(C1319&lt;=0,0,MAX(0,(B1319/C1319)*G1319/INDEX(Surface_Engine!$B$12:$B$72,$A1319+1)-F1319/INDEX(Surface_Engine!$B$12:$B$72,$A1319+1))))*(MAX(0,J1319/INDEX(Surface_Engine!$B$12:$B$72,$A1319+1)-(F1319/INDEX(Surface_Engine!$B$12:$B$72,$A1319+1))))+2*Assumptions!$B$28*(MAX(IF(D1319&lt;=0,0,MAX(0,(B1319/D1319)*H1319/INDEX(Surface_Engine!$B$12:$B$72,$A1319+1)-F1319/INDEX(Surface_Engine!$B$12:$B$72,$A1319+1))),IF(E1319&lt;=0,0,MAX(0,(B1319/E1319)*I1319/INDEX(Surface_Engine!$B$12:$B$72,$A1319+1)-F1319/INDEX(Surface_Engine!$B$12:$B$72,$A1319+1))),IF($A1319&lt;$Q$1266,MAX(0,-Assumptions!$B$22*(F1319/INDEX(Surface_Engine!$B$12:$B$72,$A1319+1))),0)))*(MAX(0,J1319/INDEX(Surface_Engine!$B$12:$B$72,$A1319+1)-(F1319/INDEX(Surface_Engine!$B$12:$B$72,$A1319+1)))))</f>
        <v>0</v>
      </c>
      <c r="L1319" s="48" t="n">
        <f aca="false">K1319*INDEX(Surface_Engine!$B$12:$B$72,$A1319+1)+L1320</f>
        <v>0</v>
      </c>
      <c r="M1319" s="48" t="n">
        <f aca="false">M1318+B1318*(IF($A1318&lt;$Q$1266,(Surface_Engine!B248*12)-(Surface_Engine!B248*12)*INDEX(Surface_Engine!$F$12:$F$72,$A1318+1)-INDEX(Surface_Engine!$D$12:$D$72,$A1318+1),-(1000*12*INDEX(Surface_Engine!$C$12:$C$72,$A1318+1)/(1+Assumptions!$B$10)^3+INDEX(Surface_Engine!$D$12:$D$72,$A1318+1))))*INDEX(Surface_Engine!$B$12:$B$72,$A1318+1)</f>
        <v>7277.14244627331</v>
      </c>
      <c r="N1319" s="12" t="n">
        <f aca="false">IF(B1319&lt;=0,0,MAX(0,(K1319+Assumptions!$B$29*L1319/INDEX(Surface_Engine!$B$12:$B$72,$A1319+1)-(M1319/INDEX(Surface_Engine!$B$12:$B$72,$A1319+1)-(F1319/INDEX(Surface_Engine!$B$12:$B$72,$A1319+1))))/B1319))</f>
        <v>0</v>
      </c>
    </row>
    <row r="1320" customFormat="false" ht="15" hidden="false" customHeight="true" outlineLevel="0" collapsed="false">
      <c r="A1320" s="1" t="n">
        <v>52</v>
      </c>
      <c r="B1320" s="32" t="n">
        <f aca="false">INDEX(Surface_Engine!$S$12:$S$72,$A1320+1)*IF($A1320&lt;$Q$1266,INDEX(Surface_Engine!$E$12:$E$72,$A1320+1),INDEX(Surface_Engine!$E$12:$E$72,$Q$1266+1))</f>
        <v>0</v>
      </c>
      <c r="C1320" s="32" t="n">
        <f aca="false">INDEX(Panel_Reserving!$G$8:$G$68,$A1320+1)*IF($A1320&lt;$Q$1266,INDEX(Surface_Engine!$E$12:$E$72,$A1320+1),INDEX(Surface_Engine!$E$12:$E$72,$Q$1266+1))</f>
        <v>0</v>
      </c>
      <c r="D1320" s="32" t="n">
        <f aca="false">INDEX(Surface_Engine!$S$12:$S$72,$A1320+1)*IF($A1320&lt;$Q$1266,INDEX(Surface_Engine!$Y$12:$Y$72,$A1320+1),INDEX(Surface_Engine!$Y$12:$Y$72,$Q$1266+1))</f>
        <v>0</v>
      </c>
      <c r="E1320" s="32" t="n">
        <f aca="false">INDEX(Surface_Engine!$S$12:$S$72,$A1320+1)*IF($A1320&lt;$Q$1266,INDEX(Surface_Engine!$Z$12:$Z$72,$A1320+1),INDEX(Surface_Engine!$Z$12:$Z$72,$Q$1266+1))</f>
        <v>0</v>
      </c>
      <c r="F1320" s="48" t="n">
        <f aca="false">B1320*(IF($A1320&lt;$Q$1266,INDEX(Surface_Engine!$D$12:$D$72,$A1320+1)+(Surface_Engine!B248*12)*INDEX(Surface_Engine!$F$12:$F$72,$A1320+1)-(Surface_Engine!B248*12),1000*12*INDEX(Surface_Engine!$C$12:$C$72,$A1320+1)/(1+Assumptions!$B$10)^3+INDEX(Surface_Engine!$D$12:$D$72,$A1320+1)))*INDEX(Surface_Engine!$B$12:$B$72,$A1320+1)+F1321</f>
        <v>0</v>
      </c>
      <c r="G1320" s="48" t="n">
        <f aca="false">C1320*(IF($A1320&lt;$Q$1266,INDEX(Surface_Engine!$D$12:$D$72,$A1320+1)+(Surface_Engine!B248*12)*INDEX(Surface_Engine!$F$12:$F$72,$A1320+1)-(Surface_Engine!B248*12),1000*12*INDEX(Surface_Engine!$C$12:$C$72,$A1320+1)/(1+Assumptions!$B$10)^3+INDEX(Surface_Engine!$D$12:$D$72,$A1320+1)))*INDEX(Surface_Engine!$B$12:$B$72,$A1320+1)+G1321</f>
        <v>0</v>
      </c>
      <c r="H1320" s="48" t="n">
        <f aca="false">D1320*(IF($A1320&lt;$Q$1266,INDEX(Surface_Engine!$D$12:$D$72,$A1320+1)+(Surface_Engine!B248*12)*INDEX(Surface_Engine!$F$12:$F$72,$A1320+1)-(Surface_Engine!B248*12),1000*12*INDEX(Surface_Engine!$C$12:$C$72,$A1320+1)/(1+Assumptions!$B$10)^3+INDEX(Surface_Engine!$D$12:$D$72,$A1320+1)))*INDEX(Surface_Engine!$B$12:$B$72,$A1320+1)+H1321</f>
        <v>0</v>
      </c>
      <c r="I1320" s="48" t="n">
        <f aca="false">E1320*(IF($A1320&lt;$Q$1266,INDEX(Surface_Engine!$D$12:$D$72,$A1320+1)+(Surface_Engine!B248*12)*INDEX(Surface_Engine!$F$12:$F$72,$A1320+1)-(Surface_Engine!B248*12),1000*12*INDEX(Surface_Engine!$C$12:$C$72,$A1320+1)/(1+Assumptions!$B$10)^3+INDEX(Surface_Engine!$D$12:$D$72,$A1320+1)))*INDEX(Surface_Engine!$B$12:$B$72,$A1320+1)+I1321</f>
        <v>0</v>
      </c>
      <c r="J1320" s="48" t="n">
        <f aca="false">B1320*(IF($A1320&lt;$Q$1266,INDEX(Surface_Engine!$D$12:$D$72,$A1320+1)*(1+Assumptions!$B$24)+(Surface_Engine!B248*12)*INDEX(Surface_Engine!$F$12:$F$72,$A1320+1)-(Surface_Engine!B248*12),1000*12*INDEX(Surface_Engine!$C$12:$C$72,$A1320+1)/(1+Assumptions!$B$10)^3+INDEX(Surface_Engine!$D$12:$D$72,$A1320+1)*(1+Assumptions!$B$24)))*INDEX(Surface_Engine!$B$12:$B$72,$A1320+1)+J1321</f>
        <v>0</v>
      </c>
      <c r="K1320" s="12" t="n">
        <f aca="false">SQRT((IF(C1320&lt;=0,0,MAX(0,(B1320/C1320)*G1320/INDEX(Surface_Engine!$B$12:$B$72,$A1320+1)-F1320/INDEX(Surface_Engine!$B$12:$B$72,$A1320+1))))^2+(MAX(IF(D1320&lt;=0,0,MAX(0,(B1320/D1320)*H1320/INDEX(Surface_Engine!$B$12:$B$72,$A1320+1)-F1320/INDEX(Surface_Engine!$B$12:$B$72,$A1320+1))),IF(E1320&lt;=0,0,MAX(0,(B1320/E1320)*I1320/INDEX(Surface_Engine!$B$12:$B$72,$A1320+1)-F1320/INDEX(Surface_Engine!$B$12:$B$72,$A1320+1))),IF($A1320&lt;$Q$1266,MAX(0,-Assumptions!$B$22*(F1320/INDEX(Surface_Engine!$B$12:$B$72,$A1320+1))),0)))^2+(MAX(0,J1320/INDEX(Surface_Engine!$B$12:$B$72,$A1320+1)-(F1320/INDEX(Surface_Engine!$B$12:$B$72,$A1320+1))))^2+2*Assumptions!$B$26*(IF(C1320&lt;=0,0,MAX(0,(B1320/C1320)*G1320/INDEX(Surface_Engine!$B$12:$B$72,$A1320+1)-F1320/INDEX(Surface_Engine!$B$12:$B$72,$A1320+1))))*(MAX(IF(D1320&lt;=0,0,MAX(0,(B1320/D1320)*H1320/INDEX(Surface_Engine!$B$12:$B$72,$A1320+1)-F1320/INDEX(Surface_Engine!$B$12:$B$72,$A1320+1))),IF(E1320&lt;=0,0,MAX(0,(B1320/E1320)*I1320/INDEX(Surface_Engine!$B$12:$B$72,$A1320+1)-F1320/INDEX(Surface_Engine!$B$12:$B$72,$A1320+1))),IF($A1320&lt;$Q$1266,MAX(0,-Assumptions!$B$22*(F1320/INDEX(Surface_Engine!$B$12:$B$72,$A1320+1))),0)))+2*Assumptions!$B$27*(IF(C1320&lt;=0,0,MAX(0,(B1320/C1320)*G1320/INDEX(Surface_Engine!$B$12:$B$72,$A1320+1)-F1320/INDEX(Surface_Engine!$B$12:$B$72,$A1320+1))))*(MAX(0,J1320/INDEX(Surface_Engine!$B$12:$B$72,$A1320+1)-(F1320/INDEX(Surface_Engine!$B$12:$B$72,$A1320+1))))+2*Assumptions!$B$28*(MAX(IF(D1320&lt;=0,0,MAX(0,(B1320/D1320)*H1320/INDEX(Surface_Engine!$B$12:$B$72,$A1320+1)-F1320/INDEX(Surface_Engine!$B$12:$B$72,$A1320+1))),IF(E1320&lt;=0,0,MAX(0,(B1320/E1320)*I1320/INDEX(Surface_Engine!$B$12:$B$72,$A1320+1)-F1320/INDEX(Surface_Engine!$B$12:$B$72,$A1320+1))),IF($A1320&lt;$Q$1266,MAX(0,-Assumptions!$B$22*(F1320/INDEX(Surface_Engine!$B$12:$B$72,$A1320+1))),0)))*(MAX(0,J1320/INDEX(Surface_Engine!$B$12:$B$72,$A1320+1)-(F1320/INDEX(Surface_Engine!$B$12:$B$72,$A1320+1)))))</f>
        <v>0</v>
      </c>
      <c r="L1320" s="48" t="n">
        <f aca="false">K1320*INDEX(Surface_Engine!$B$12:$B$72,$A1320+1)+L1321</f>
        <v>0</v>
      </c>
      <c r="M1320" s="48" t="n">
        <f aca="false">M1319+B1319*(IF($A1319&lt;$Q$1266,(Surface_Engine!B248*12)-(Surface_Engine!B248*12)*INDEX(Surface_Engine!$F$12:$F$72,$A1319+1)-INDEX(Surface_Engine!$D$12:$D$72,$A1319+1),-(1000*12*INDEX(Surface_Engine!$C$12:$C$72,$A1319+1)/(1+Assumptions!$B$10)^3+INDEX(Surface_Engine!$D$12:$D$72,$A1319+1))))*INDEX(Surface_Engine!$B$12:$B$72,$A1319+1)</f>
        <v>7277.14244627331</v>
      </c>
      <c r="N1320" s="12" t="n">
        <f aca="false">IF(B1320&lt;=0,0,MAX(0,(K1320+Assumptions!$B$29*L1320/INDEX(Surface_Engine!$B$12:$B$72,$A1320+1)-(M1320/INDEX(Surface_Engine!$B$12:$B$72,$A1320+1)-(F1320/INDEX(Surface_Engine!$B$12:$B$72,$A1320+1))))/B1320))</f>
        <v>0</v>
      </c>
    </row>
    <row r="1321" customFormat="false" ht="15" hidden="false" customHeight="true" outlineLevel="0" collapsed="false">
      <c r="A1321" s="1" t="n">
        <v>53</v>
      </c>
      <c r="B1321" s="32" t="n">
        <f aca="false">INDEX(Surface_Engine!$S$12:$S$72,$A1321+1)*IF($A1321&lt;$Q$1266,INDEX(Surface_Engine!$E$12:$E$72,$A1321+1),INDEX(Surface_Engine!$E$12:$E$72,$Q$1266+1))</f>
        <v>0</v>
      </c>
      <c r="C1321" s="32" t="n">
        <f aca="false">INDEX(Panel_Reserving!$G$8:$G$68,$A1321+1)*IF($A1321&lt;$Q$1266,INDEX(Surface_Engine!$E$12:$E$72,$A1321+1),INDEX(Surface_Engine!$E$12:$E$72,$Q$1266+1))</f>
        <v>0</v>
      </c>
      <c r="D1321" s="32" t="n">
        <f aca="false">INDEX(Surface_Engine!$S$12:$S$72,$A1321+1)*IF($A1321&lt;$Q$1266,INDEX(Surface_Engine!$Y$12:$Y$72,$A1321+1),INDEX(Surface_Engine!$Y$12:$Y$72,$Q$1266+1))</f>
        <v>0</v>
      </c>
      <c r="E1321" s="32" t="n">
        <f aca="false">INDEX(Surface_Engine!$S$12:$S$72,$A1321+1)*IF($A1321&lt;$Q$1266,INDEX(Surface_Engine!$Z$12:$Z$72,$A1321+1),INDEX(Surface_Engine!$Z$12:$Z$72,$Q$1266+1))</f>
        <v>0</v>
      </c>
      <c r="F1321" s="48" t="n">
        <f aca="false">B1321*(IF($A1321&lt;$Q$1266,INDEX(Surface_Engine!$D$12:$D$72,$A1321+1)+(Surface_Engine!B248*12)*INDEX(Surface_Engine!$F$12:$F$72,$A1321+1)-(Surface_Engine!B248*12),1000*12*INDEX(Surface_Engine!$C$12:$C$72,$A1321+1)/(1+Assumptions!$B$10)^3+INDEX(Surface_Engine!$D$12:$D$72,$A1321+1)))*INDEX(Surface_Engine!$B$12:$B$72,$A1321+1)+F1322</f>
        <v>0</v>
      </c>
      <c r="G1321" s="48" t="n">
        <f aca="false">C1321*(IF($A1321&lt;$Q$1266,INDEX(Surface_Engine!$D$12:$D$72,$A1321+1)+(Surface_Engine!B248*12)*INDEX(Surface_Engine!$F$12:$F$72,$A1321+1)-(Surface_Engine!B248*12),1000*12*INDEX(Surface_Engine!$C$12:$C$72,$A1321+1)/(1+Assumptions!$B$10)^3+INDEX(Surface_Engine!$D$12:$D$72,$A1321+1)))*INDEX(Surface_Engine!$B$12:$B$72,$A1321+1)+G1322</f>
        <v>0</v>
      </c>
      <c r="H1321" s="48" t="n">
        <f aca="false">D1321*(IF($A1321&lt;$Q$1266,INDEX(Surface_Engine!$D$12:$D$72,$A1321+1)+(Surface_Engine!B248*12)*INDEX(Surface_Engine!$F$12:$F$72,$A1321+1)-(Surface_Engine!B248*12),1000*12*INDEX(Surface_Engine!$C$12:$C$72,$A1321+1)/(1+Assumptions!$B$10)^3+INDEX(Surface_Engine!$D$12:$D$72,$A1321+1)))*INDEX(Surface_Engine!$B$12:$B$72,$A1321+1)+H1322</f>
        <v>0</v>
      </c>
      <c r="I1321" s="48" t="n">
        <f aca="false">E1321*(IF($A1321&lt;$Q$1266,INDEX(Surface_Engine!$D$12:$D$72,$A1321+1)+(Surface_Engine!B248*12)*INDEX(Surface_Engine!$F$12:$F$72,$A1321+1)-(Surface_Engine!B248*12),1000*12*INDEX(Surface_Engine!$C$12:$C$72,$A1321+1)/(1+Assumptions!$B$10)^3+INDEX(Surface_Engine!$D$12:$D$72,$A1321+1)))*INDEX(Surface_Engine!$B$12:$B$72,$A1321+1)+I1322</f>
        <v>0</v>
      </c>
      <c r="J1321" s="48" t="n">
        <f aca="false">B1321*(IF($A1321&lt;$Q$1266,INDEX(Surface_Engine!$D$12:$D$72,$A1321+1)*(1+Assumptions!$B$24)+(Surface_Engine!B248*12)*INDEX(Surface_Engine!$F$12:$F$72,$A1321+1)-(Surface_Engine!B248*12),1000*12*INDEX(Surface_Engine!$C$12:$C$72,$A1321+1)/(1+Assumptions!$B$10)^3+INDEX(Surface_Engine!$D$12:$D$72,$A1321+1)*(1+Assumptions!$B$24)))*INDEX(Surface_Engine!$B$12:$B$72,$A1321+1)+J1322</f>
        <v>0</v>
      </c>
      <c r="K1321" s="12" t="n">
        <f aca="false">SQRT((IF(C1321&lt;=0,0,MAX(0,(B1321/C1321)*G1321/INDEX(Surface_Engine!$B$12:$B$72,$A1321+1)-F1321/INDEX(Surface_Engine!$B$12:$B$72,$A1321+1))))^2+(MAX(IF(D1321&lt;=0,0,MAX(0,(B1321/D1321)*H1321/INDEX(Surface_Engine!$B$12:$B$72,$A1321+1)-F1321/INDEX(Surface_Engine!$B$12:$B$72,$A1321+1))),IF(E1321&lt;=0,0,MAX(0,(B1321/E1321)*I1321/INDEX(Surface_Engine!$B$12:$B$72,$A1321+1)-F1321/INDEX(Surface_Engine!$B$12:$B$72,$A1321+1))),IF($A1321&lt;$Q$1266,MAX(0,-Assumptions!$B$22*(F1321/INDEX(Surface_Engine!$B$12:$B$72,$A1321+1))),0)))^2+(MAX(0,J1321/INDEX(Surface_Engine!$B$12:$B$72,$A1321+1)-(F1321/INDEX(Surface_Engine!$B$12:$B$72,$A1321+1))))^2+2*Assumptions!$B$26*(IF(C1321&lt;=0,0,MAX(0,(B1321/C1321)*G1321/INDEX(Surface_Engine!$B$12:$B$72,$A1321+1)-F1321/INDEX(Surface_Engine!$B$12:$B$72,$A1321+1))))*(MAX(IF(D1321&lt;=0,0,MAX(0,(B1321/D1321)*H1321/INDEX(Surface_Engine!$B$12:$B$72,$A1321+1)-F1321/INDEX(Surface_Engine!$B$12:$B$72,$A1321+1))),IF(E1321&lt;=0,0,MAX(0,(B1321/E1321)*I1321/INDEX(Surface_Engine!$B$12:$B$72,$A1321+1)-F1321/INDEX(Surface_Engine!$B$12:$B$72,$A1321+1))),IF($A1321&lt;$Q$1266,MAX(0,-Assumptions!$B$22*(F1321/INDEX(Surface_Engine!$B$12:$B$72,$A1321+1))),0)))+2*Assumptions!$B$27*(IF(C1321&lt;=0,0,MAX(0,(B1321/C1321)*G1321/INDEX(Surface_Engine!$B$12:$B$72,$A1321+1)-F1321/INDEX(Surface_Engine!$B$12:$B$72,$A1321+1))))*(MAX(0,J1321/INDEX(Surface_Engine!$B$12:$B$72,$A1321+1)-(F1321/INDEX(Surface_Engine!$B$12:$B$72,$A1321+1))))+2*Assumptions!$B$28*(MAX(IF(D1321&lt;=0,0,MAX(0,(B1321/D1321)*H1321/INDEX(Surface_Engine!$B$12:$B$72,$A1321+1)-F1321/INDEX(Surface_Engine!$B$12:$B$72,$A1321+1))),IF(E1321&lt;=0,0,MAX(0,(B1321/E1321)*I1321/INDEX(Surface_Engine!$B$12:$B$72,$A1321+1)-F1321/INDEX(Surface_Engine!$B$12:$B$72,$A1321+1))),IF($A1321&lt;$Q$1266,MAX(0,-Assumptions!$B$22*(F1321/INDEX(Surface_Engine!$B$12:$B$72,$A1321+1))),0)))*(MAX(0,J1321/INDEX(Surface_Engine!$B$12:$B$72,$A1321+1)-(F1321/INDEX(Surface_Engine!$B$12:$B$72,$A1321+1)))))</f>
        <v>0</v>
      </c>
      <c r="L1321" s="48" t="n">
        <f aca="false">K1321*INDEX(Surface_Engine!$B$12:$B$72,$A1321+1)+L1322</f>
        <v>0</v>
      </c>
      <c r="M1321" s="48" t="n">
        <f aca="false">M1320+B1320*(IF($A1320&lt;$Q$1266,(Surface_Engine!B248*12)-(Surface_Engine!B248*12)*INDEX(Surface_Engine!$F$12:$F$72,$A1320+1)-INDEX(Surface_Engine!$D$12:$D$72,$A1320+1),-(1000*12*INDEX(Surface_Engine!$C$12:$C$72,$A1320+1)/(1+Assumptions!$B$10)^3+INDEX(Surface_Engine!$D$12:$D$72,$A1320+1))))*INDEX(Surface_Engine!$B$12:$B$72,$A1320+1)</f>
        <v>7277.14244627331</v>
      </c>
      <c r="N1321" s="12" t="n">
        <f aca="false">IF(B1321&lt;=0,0,MAX(0,(K1321+Assumptions!$B$29*L1321/INDEX(Surface_Engine!$B$12:$B$72,$A1321+1)-(M1321/INDEX(Surface_Engine!$B$12:$B$72,$A1321+1)-(F1321/INDEX(Surface_Engine!$B$12:$B$72,$A1321+1))))/B1321))</f>
        <v>0</v>
      </c>
    </row>
    <row r="1322" customFormat="false" ht="15" hidden="false" customHeight="true" outlineLevel="0" collapsed="false">
      <c r="A1322" s="1" t="n">
        <v>54</v>
      </c>
      <c r="B1322" s="32" t="n">
        <f aca="false">INDEX(Surface_Engine!$S$12:$S$72,$A1322+1)*IF($A1322&lt;$Q$1266,INDEX(Surface_Engine!$E$12:$E$72,$A1322+1),INDEX(Surface_Engine!$E$12:$E$72,$Q$1266+1))</f>
        <v>0</v>
      </c>
      <c r="C1322" s="32" t="n">
        <f aca="false">INDEX(Panel_Reserving!$G$8:$G$68,$A1322+1)*IF($A1322&lt;$Q$1266,INDEX(Surface_Engine!$E$12:$E$72,$A1322+1),INDEX(Surface_Engine!$E$12:$E$72,$Q$1266+1))</f>
        <v>0</v>
      </c>
      <c r="D1322" s="32" t="n">
        <f aca="false">INDEX(Surface_Engine!$S$12:$S$72,$A1322+1)*IF($A1322&lt;$Q$1266,INDEX(Surface_Engine!$Y$12:$Y$72,$A1322+1),INDEX(Surface_Engine!$Y$12:$Y$72,$Q$1266+1))</f>
        <v>0</v>
      </c>
      <c r="E1322" s="32" t="n">
        <f aca="false">INDEX(Surface_Engine!$S$12:$S$72,$A1322+1)*IF($A1322&lt;$Q$1266,INDEX(Surface_Engine!$Z$12:$Z$72,$A1322+1),INDEX(Surface_Engine!$Z$12:$Z$72,$Q$1266+1))</f>
        <v>0</v>
      </c>
      <c r="F1322" s="48" t="n">
        <f aca="false">B1322*(IF($A1322&lt;$Q$1266,INDEX(Surface_Engine!$D$12:$D$72,$A1322+1)+(Surface_Engine!B248*12)*INDEX(Surface_Engine!$F$12:$F$72,$A1322+1)-(Surface_Engine!B248*12),1000*12*INDEX(Surface_Engine!$C$12:$C$72,$A1322+1)/(1+Assumptions!$B$10)^3+INDEX(Surface_Engine!$D$12:$D$72,$A1322+1)))*INDEX(Surface_Engine!$B$12:$B$72,$A1322+1)+F1323</f>
        <v>0</v>
      </c>
      <c r="G1322" s="48" t="n">
        <f aca="false">C1322*(IF($A1322&lt;$Q$1266,INDEX(Surface_Engine!$D$12:$D$72,$A1322+1)+(Surface_Engine!B248*12)*INDEX(Surface_Engine!$F$12:$F$72,$A1322+1)-(Surface_Engine!B248*12),1000*12*INDEX(Surface_Engine!$C$12:$C$72,$A1322+1)/(1+Assumptions!$B$10)^3+INDEX(Surface_Engine!$D$12:$D$72,$A1322+1)))*INDEX(Surface_Engine!$B$12:$B$72,$A1322+1)+G1323</f>
        <v>0</v>
      </c>
      <c r="H1322" s="48" t="n">
        <f aca="false">D1322*(IF($A1322&lt;$Q$1266,INDEX(Surface_Engine!$D$12:$D$72,$A1322+1)+(Surface_Engine!B248*12)*INDEX(Surface_Engine!$F$12:$F$72,$A1322+1)-(Surface_Engine!B248*12),1000*12*INDEX(Surface_Engine!$C$12:$C$72,$A1322+1)/(1+Assumptions!$B$10)^3+INDEX(Surface_Engine!$D$12:$D$72,$A1322+1)))*INDEX(Surface_Engine!$B$12:$B$72,$A1322+1)+H1323</f>
        <v>0</v>
      </c>
      <c r="I1322" s="48" t="n">
        <f aca="false">E1322*(IF($A1322&lt;$Q$1266,INDEX(Surface_Engine!$D$12:$D$72,$A1322+1)+(Surface_Engine!B248*12)*INDEX(Surface_Engine!$F$12:$F$72,$A1322+1)-(Surface_Engine!B248*12),1000*12*INDEX(Surface_Engine!$C$12:$C$72,$A1322+1)/(1+Assumptions!$B$10)^3+INDEX(Surface_Engine!$D$12:$D$72,$A1322+1)))*INDEX(Surface_Engine!$B$12:$B$72,$A1322+1)+I1323</f>
        <v>0</v>
      </c>
      <c r="J1322" s="48" t="n">
        <f aca="false">B1322*(IF($A1322&lt;$Q$1266,INDEX(Surface_Engine!$D$12:$D$72,$A1322+1)*(1+Assumptions!$B$24)+(Surface_Engine!B248*12)*INDEX(Surface_Engine!$F$12:$F$72,$A1322+1)-(Surface_Engine!B248*12),1000*12*INDEX(Surface_Engine!$C$12:$C$72,$A1322+1)/(1+Assumptions!$B$10)^3+INDEX(Surface_Engine!$D$12:$D$72,$A1322+1)*(1+Assumptions!$B$24)))*INDEX(Surface_Engine!$B$12:$B$72,$A1322+1)+J1323</f>
        <v>0</v>
      </c>
      <c r="K1322" s="12" t="n">
        <f aca="false">SQRT((IF(C1322&lt;=0,0,MAX(0,(B1322/C1322)*G1322/INDEX(Surface_Engine!$B$12:$B$72,$A1322+1)-F1322/INDEX(Surface_Engine!$B$12:$B$72,$A1322+1))))^2+(MAX(IF(D1322&lt;=0,0,MAX(0,(B1322/D1322)*H1322/INDEX(Surface_Engine!$B$12:$B$72,$A1322+1)-F1322/INDEX(Surface_Engine!$B$12:$B$72,$A1322+1))),IF(E1322&lt;=0,0,MAX(0,(B1322/E1322)*I1322/INDEX(Surface_Engine!$B$12:$B$72,$A1322+1)-F1322/INDEX(Surface_Engine!$B$12:$B$72,$A1322+1))),IF($A1322&lt;$Q$1266,MAX(0,-Assumptions!$B$22*(F1322/INDEX(Surface_Engine!$B$12:$B$72,$A1322+1))),0)))^2+(MAX(0,J1322/INDEX(Surface_Engine!$B$12:$B$72,$A1322+1)-(F1322/INDEX(Surface_Engine!$B$12:$B$72,$A1322+1))))^2+2*Assumptions!$B$26*(IF(C1322&lt;=0,0,MAX(0,(B1322/C1322)*G1322/INDEX(Surface_Engine!$B$12:$B$72,$A1322+1)-F1322/INDEX(Surface_Engine!$B$12:$B$72,$A1322+1))))*(MAX(IF(D1322&lt;=0,0,MAX(0,(B1322/D1322)*H1322/INDEX(Surface_Engine!$B$12:$B$72,$A1322+1)-F1322/INDEX(Surface_Engine!$B$12:$B$72,$A1322+1))),IF(E1322&lt;=0,0,MAX(0,(B1322/E1322)*I1322/INDEX(Surface_Engine!$B$12:$B$72,$A1322+1)-F1322/INDEX(Surface_Engine!$B$12:$B$72,$A1322+1))),IF($A1322&lt;$Q$1266,MAX(0,-Assumptions!$B$22*(F1322/INDEX(Surface_Engine!$B$12:$B$72,$A1322+1))),0)))+2*Assumptions!$B$27*(IF(C1322&lt;=0,0,MAX(0,(B1322/C1322)*G1322/INDEX(Surface_Engine!$B$12:$B$72,$A1322+1)-F1322/INDEX(Surface_Engine!$B$12:$B$72,$A1322+1))))*(MAX(0,J1322/INDEX(Surface_Engine!$B$12:$B$72,$A1322+1)-(F1322/INDEX(Surface_Engine!$B$12:$B$72,$A1322+1))))+2*Assumptions!$B$28*(MAX(IF(D1322&lt;=0,0,MAX(0,(B1322/D1322)*H1322/INDEX(Surface_Engine!$B$12:$B$72,$A1322+1)-F1322/INDEX(Surface_Engine!$B$12:$B$72,$A1322+1))),IF(E1322&lt;=0,0,MAX(0,(B1322/E1322)*I1322/INDEX(Surface_Engine!$B$12:$B$72,$A1322+1)-F1322/INDEX(Surface_Engine!$B$12:$B$72,$A1322+1))),IF($A1322&lt;$Q$1266,MAX(0,-Assumptions!$B$22*(F1322/INDEX(Surface_Engine!$B$12:$B$72,$A1322+1))),0)))*(MAX(0,J1322/INDEX(Surface_Engine!$B$12:$B$72,$A1322+1)-(F1322/INDEX(Surface_Engine!$B$12:$B$72,$A1322+1)))))</f>
        <v>0</v>
      </c>
      <c r="L1322" s="48" t="n">
        <f aca="false">K1322*INDEX(Surface_Engine!$B$12:$B$72,$A1322+1)+L1323</f>
        <v>0</v>
      </c>
      <c r="M1322" s="48" t="n">
        <f aca="false">M1321+B1321*(IF($A1321&lt;$Q$1266,(Surface_Engine!B248*12)-(Surface_Engine!B248*12)*INDEX(Surface_Engine!$F$12:$F$72,$A1321+1)-INDEX(Surface_Engine!$D$12:$D$72,$A1321+1),-(1000*12*INDEX(Surface_Engine!$C$12:$C$72,$A1321+1)/(1+Assumptions!$B$10)^3+INDEX(Surface_Engine!$D$12:$D$72,$A1321+1))))*INDEX(Surface_Engine!$B$12:$B$72,$A1321+1)</f>
        <v>7277.14244627331</v>
      </c>
      <c r="N1322" s="12" t="n">
        <f aca="false">IF(B1322&lt;=0,0,MAX(0,(K1322+Assumptions!$B$29*L1322/INDEX(Surface_Engine!$B$12:$B$72,$A1322+1)-(M1322/INDEX(Surface_Engine!$B$12:$B$72,$A1322+1)-(F1322/INDEX(Surface_Engine!$B$12:$B$72,$A1322+1))))/B1322))</f>
        <v>0</v>
      </c>
    </row>
    <row r="1323" customFormat="false" ht="15" hidden="false" customHeight="true" outlineLevel="0" collapsed="false">
      <c r="A1323" s="1" t="n">
        <v>55</v>
      </c>
      <c r="B1323" s="32" t="n">
        <f aca="false">INDEX(Surface_Engine!$S$12:$S$72,$A1323+1)*IF($A1323&lt;$Q$1266,INDEX(Surface_Engine!$E$12:$E$72,$A1323+1),INDEX(Surface_Engine!$E$12:$E$72,$Q$1266+1))</f>
        <v>0</v>
      </c>
      <c r="C1323" s="32" t="n">
        <f aca="false">INDEX(Panel_Reserving!$G$8:$G$68,$A1323+1)*IF($A1323&lt;$Q$1266,INDEX(Surface_Engine!$E$12:$E$72,$A1323+1),INDEX(Surface_Engine!$E$12:$E$72,$Q$1266+1))</f>
        <v>0</v>
      </c>
      <c r="D1323" s="32" t="n">
        <f aca="false">INDEX(Surface_Engine!$S$12:$S$72,$A1323+1)*IF($A1323&lt;$Q$1266,INDEX(Surface_Engine!$Y$12:$Y$72,$A1323+1),INDEX(Surface_Engine!$Y$12:$Y$72,$Q$1266+1))</f>
        <v>0</v>
      </c>
      <c r="E1323" s="32" t="n">
        <f aca="false">INDEX(Surface_Engine!$S$12:$S$72,$A1323+1)*IF($A1323&lt;$Q$1266,INDEX(Surface_Engine!$Z$12:$Z$72,$A1323+1),INDEX(Surface_Engine!$Z$12:$Z$72,$Q$1266+1))</f>
        <v>0</v>
      </c>
      <c r="F1323" s="48" t="n">
        <f aca="false">B1323*(IF($A1323&lt;$Q$1266,INDEX(Surface_Engine!$D$12:$D$72,$A1323+1)+(Surface_Engine!B248*12)*INDEX(Surface_Engine!$F$12:$F$72,$A1323+1)-(Surface_Engine!B248*12),1000*12*INDEX(Surface_Engine!$C$12:$C$72,$A1323+1)/(1+Assumptions!$B$10)^3+INDEX(Surface_Engine!$D$12:$D$72,$A1323+1)))*INDEX(Surface_Engine!$B$12:$B$72,$A1323+1)+F1324</f>
        <v>0</v>
      </c>
      <c r="G1323" s="48" t="n">
        <f aca="false">C1323*(IF($A1323&lt;$Q$1266,INDEX(Surface_Engine!$D$12:$D$72,$A1323+1)+(Surface_Engine!B248*12)*INDEX(Surface_Engine!$F$12:$F$72,$A1323+1)-(Surface_Engine!B248*12),1000*12*INDEX(Surface_Engine!$C$12:$C$72,$A1323+1)/(1+Assumptions!$B$10)^3+INDEX(Surface_Engine!$D$12:$D$72,$A1323+1)))*INDEX(Surface_Engine!$B$12:$B$72,$A1323+1)+G1324</f>
        <v>0</v>
      </c>
      <c r="H1323" s="48" t="n">
        <f aca="false">D1323*(IF($A1323&lt;$Q$1266,INDEX(Surface_Engine!$D$12:$D$72,$A1323+1)+(Surface_Engine!B248*12)*INDEX(Surface_Engine!$F$12:$F$72,$A1323+1)-(Surface_Engine!B248*12),1000*12*INDEX(Surface_Engine!$C$12:$C$72,$A1323+1)/(1+Assumptions!$B$10)^3+INDEX(Surface_Engine!$D$12:$D$72,$A1323+1)))*INDEX(Surface_Engine!$B$12:$B$72,$A1323+1)+H1324</f>
        <v>0</v>
      </c>
      <c r="I1323" s="48" t="n">
        <f aca="false">E1323*(IF($A1323&lt;$Q$1266,INDEX(Surface_Engine!$D$12:$D$72,$A1323+1)+(Surface_Engine!B248*12)*INDEX(Surface_Engine!$F$12:$F$72,$A1323+1)-(Surface_Engine!B248*12),1000*12*INDEX(Surface_Engine!$C$12:$C$72,$A1323+1)/(1+Assumptions!$B$10)^3+INDEX(Surface_Engine!$D$12:$D$72,$A1323+1)))*INDEX(Surface_Engine!$B$12:$B$72,$A1323+1)+I1324</f>
        <v>0</v>
      </c>
      <c r="J1323" s="48" t="n">
        <f aca="false">B1323*(IF($A1323&lt;$Q$1266,INDEX(Surface_Engine!$D$12:$D$72,$A1323+1)*(1+Assumptions!$B$24)+(Surface_Engine!B248*12)*INDEX(Surface_Engine!$F$12:$F$72,$A1323+1)-(Surface_Engine!B248*12),1000*12*INDEX(Surface_Engine!$C$12:$C$72,$A1323+1)/(1+Assumptions!$B$10)^3+INDEX(Surface_Engine!$D$12:$D$72,$A1323+1)*(1+Assumptions!$B$24)))*INDEX(Surface_Engine!$B$12:$B$72,$A1323+1)+J1324</f>
        <v>0</v>
      </c>
      <c r="K1323" s="12" t="n">
        <f aca="false">SQRT((IF(C1323&lt;=0,0,MAX(0,(B1323/C1323)*G1323/INDEX(Surface_Engine!$B$12:$B$72,$A1323+1)-F1323/INDEX(Surface_Engine!$B$12:$B$72,$A1323+1))))^2+(MAX(IF(D1323&lt;=0,0,MAX(0,(B1323/D1323)*H1323/INDEX(Surface_Engine!$B$12:$B$72,$A1323+1)-F1323/INDEX(Surface_Engine!$B$12:$B$72,$A1323+1))),IF(E1323&lt;=0,0,MAX(0,(B1323/E1323)*I1323/INDEX(Surface_Engine!$B$12:$B$72,$A1323+1)-F1323/INDEX(Surface_Engine!$B$12:$B$72,$A1323+1))),IF($A1323&lt;$Q$1266,MAX(0,-Assumptions!$B$22*(F1323/INDEX(Surface_Engine!$B$12:$B$72,$A1323+1))),0)))^2+(MAX(0,J1323/INDEX(Surface_Engine!$B$12:$B$72,$A1323+1)-(F1323/INDEX(Surface_Engine!$B$12:$B$72,$A1323+1))))^2+2*Assumptions!$B$26*(IF(C1323&lt;=0,0,MAX(0,(B1323/C1323)*G1323/INDEX(Surface_Engine!$B$12:$B$72,$A1323+1)-F1323/INDEX(Surface_Engine!$B$12:$B$72,$A1323+1))))*(MAX(IF(D1323&lt;=0,0,MAX(0,(B1323/D1323)*H1323/INDEX(Surface_Engine!$B$12:$B$72,$A1323+1)-F1323/INDEX(Surface_Engine!$B$12:$B$72,$A1323+1))),IF(E1323&lt;=0,0,MAX(0,(B1323/E1323)*I1323/INDEX(Surface_Engine!$B$12:$B$72,$A1323+1)-F1323/INDEX(Surface_Engine!$B$12:$B$72,$A1323+1))),IF($A1323&lt;$Q$1266,MAX(0,-Assumptions!$B$22*(F1323/INDEX(Surface_Engine!$B$12:$B$72,$A1323+1))),0)))+2*Assumptions!$B$27*(IF(C1323&lt;=0,0,MAX(0,(B1323/C1323)*G1323/INDEX(Surface_Engine!$B$12:$B$72,$A1323+1)-F1323/INDEX(Surface_Engine!$B$12:$B$72,$A1323+1))))*(MAX(0,J1323/INDEX(Surface_Engine!$B$12:$B$72,$A1323+1)-(F1323/INDEX(Surface_Engine!$B$12:$B$72,$A1323+1))))+2*Assumptions!$B$28*(MAX(IF(D1323&lt;=0,0,MAX(0,(B1323/D1323)*H1323/INDEX(Surface_Engine!$B$12:$B$72,$A1323+1)-F1323/INDEX(Surface_Engine!$B$12:$B$72,$A1323+1))),IF(E1323&lt;=0,0,MAX(0,(B1323/E1323)*I1323/INDEX(Surface_Engine!$B$12:$B$72,$A1323+1)-F1323/INDEX(Surface_Engine!$B$12:$B$72,$A1323+1))),IF($A1323&lt;$Q$1266,MAX(0,-Assumptions!$B$22*(F1323/INDEX(Surface_Engine!$B$12:$B$72,$A1323+1))),0)))*(MAX(0,J1323/INDEX(Surface_Engine!$B$12:$B$72,$A1323+1)-(F1323/INDEX(Surface_Engine!$B$12:$B$72,$A1323+1)))))</f>
        <v>0</v>
      </c>
      <c r="L1323" s="48" t="n">
        <f aca="false">K1323*INDEX(Surface_Engine!$B$12:$B$72,$A1323+1)+L1324</f>
        <v>0</v>
      </c>
      <c r="M1323" s="48" t="n">
        <f aca="false">M1322+B1322*(IF($A1322&lt;$Q$1266,(Surface_Engine!B248*12)-(Surface_Engine!B248*12)*INDEX(Surface_Engine!$F$12:$F$72,$A1322+1)-INDEX(Surface_Engine!$D$12:$D$72,$A1322+1),-(1000*12*INDEX(Surface_Engine!$C$12:$C$72,$A1322+1)/(1+Assumptions!$B$10)^3+INDEX(Surface_Engine!$D$12:$D$72,$A1322+1))))*INDEX(Surface_Engine!$B$12:$B$72,$A1322+1)</f>
        <v>7277.14244627331</v>
      </c>
      <c r="N1323" s="12" t="n">
        <f aca="false">IF(B1323&lt;=0,0,MAX(0,(K1323+Assumptions!$B$29*L1323/INDEX(Surface_Engine!$B$12:$B$72,$A1323+1)-(M1323/INDEX(Surface_Engine!$B$12:$B$72,$A1323+1)-(F1323/INDEX(Surface_Engine!$B$12:$B$72,$A1323+1))))/B1323))</f>
        <v>0</v>
      </c>
    </row>
    <row r="1324" customFormat="false" ht="15" hidden="false" customHeight="true" outlineLevel="0" collapsed="false">
      <c r="A1324" s="1" t="n">
        <v>56</v>
      </c>
      <c r="B1324" s="32" t="n">
        <f aca="false">INDEX(Surface_Engine!$S$12:$S$72,$A1324+1)*IF($A1324&lt;$Q$1266,INDEX(Surface_Engine!$E$12:$E$72,$A1324+1),INDEX(Surface_Engine!$E$12:$E$72,$Q$1266+1))</f>
        <v>0</v>
      </c>
      <c r="C1324" s="32" t="n">
        <f aca="false">INDEX(Panel_Reserving!$G$8:$G$68,$A1324+1)*IF($A1324&lt;$Q$1266,INDEX(Surface_Engine!$E$12:$E$72,$A1324+1),INDEX(Surface_Engine!$E$12:$E$72,$Q$1266+1))</f>
        <v>0</v>
      </c>
      <c r="D1324" s="32" t="n">
        <f aca="false">INDEX(Surface_Engine!$S$12:$S$72,$A1324+1)*IF($A1324&lt;$Q$1266,INDEX(Surface_Engine!$Y$12:$Y$72,$A1324+1),INDEX(Surface_Engine!$Y$12:$Y$72,$Q$1266+1))</f>
        <v>0</v>
      </c>
      <c r="E1324" s="32" t="n">
        <f aca="false">INDEX(Surface_Engine!$S$12:$S$72,$A1324+1)*IF($A1324&lt;$Q$1266,INDEX(Surface_Engine!$Z$12:$Z$72,$A1324+1),INDEX(Surface_Engine!$Z$12:$Z$72,$Q$1266+1))</f>
        <v>0</v>
      </c>
      <c r="F1324" s="48" t="n">
        <f aca="false">B1324*(IF($A1324&lt;$Q$1266,INDEX(Surface_Engine!$D$12:$D$72,$A1324+1)+(Surface_Engine!B248*12)*INDEX(Surface_Engine!$F$12:$F$72,$A1324+1)-(Surface_Engine!B248*12),1000*12*INDEX(Surface_Engine!$C$12:$C$72,$A1324+1)/(1+Assumptions!$B$10)^3+INDEX(Surface_Engine!$D$12:$D$72,$A1324+1)))*INDEX(Surface_Engine!$B$12:$B$72,$A1324+1)+F1325</f>
        <v>0</v>
      </c>
      <c r="G1324" s="48" t="n">
        <f aca="false">C1324*(IF($A1324&lt;$Q$1266,INDEX(Surface_Engine!$D$12:$D$72,$A1324+1)+(Surface_Engine!B248*12)*INDEX(Surface_Engine!$F$12:$F$72,$A1324+1)-(Surface_Engine!B248*12),1000*12*INDEX(Surface_Engine!$C$12:$C$72,$A1324+1)/(1+Assumptions!$B$10)^3+INDEX(Surface_Engine!$D$12:$D$72,$A1324+1)))*INDEX(Surface_Engine!$B$12:$B$72,$A1324+1)+G1325</f>
        <v>0</v>
      </c>
      <c r="H1324" s="48" t="n">
        <f aca="false">D1324*(IF($A1324&lt;$Q$1266,INDEX(Surface_Engine!$D$12:$D$72,$A1324+1)+(Surface_Engine!B248*12)*INDEX(Surface_Engine!$F$12:$F$72,$A1324+1)-(Surface_Engine!B248*12),1000*12*INDEX(Surface_Engine!$C$12:$C$72,$A1324+1)/(1+Assumptions!$B$10)^3+INDEX(Surface_Engine!$D$12:$D$72,$A1324+1)))*INDEX(Surface_Engine!$B$12:$B$72,$A1324+1)+H1325</f>
        <v>0</v>
      </c>
      <c r="I1324" s="48" t="n">
        <f aca="false">E1324*(IF($A1324&lt;$Q$1266,INDEX(Surface_Engine!$D$12:$D$72,$A1324+1)+(Surface_Engine!B248*12)*INDEX(Surface_Engine!$F$12:$F$72,$A1324+1)-(Surface_Engine!B248*12),1000*12*INDEX(Surface_Engine!$C$12:$C$72,$A1324+1)/(1+Assumptions!$B$10)^3+INDEX(Surface_Engine!$D$12:$D$72,$A1324+1)))*INDEX(Surface_Engine!$B$12:$B$72,$A1324+1)+I1325</f>
        <v>0</v>
      </c>
      <c r="J1324" s="48" t="n">
        <f aca="false">B1324*(IF($A1324&lt;$Q$1266,INDEX(Surface_Engine!$D$12:$D$72,$A1324+1)*(1+Assumptions!$B$24)+(Surface_Engine!B248*12)*INDEX(Surface_Engine!$F$12:$F$72,$A1324+1)-(Surface_Engine!B248*12),1000*12*INDEX(Surface_Engine!$C$12:$C$72,$A1324+1)/(1+Assumptions!$B$10)^3+INDEX(Surface_Engine!$D$12:$D$72,$A1324+1)*(1+Assumptions!$B$24)))*INDEX(Surface_Engine!$B$12:$B$72,$A1324+1)+J1325</f>
        <v>0</v>
      </c>
      <c r="K1324" s="12" t="n">
        <f aca="false">SQRT((IF(C1324&lt;=0,0,MAX(0,(B1324/C1324)*G1324/INDEX(Surface_Engine!$B$12:$B$72,$A1324+1)-F1324/INDEX(Surface_Engine!$B$12:$B$72,$A1324+1))))^2+(MAX(IF(D1324&lt;=0,0,MAX(0,(B1324/D1324)*H1324/INDEX(Surface_Engine!$B$12:$B$72,$A1324+1)-F1324/INDEX(Surface_Engine!$B$12:$B$72,$A1324+1))),IF(E1324&lt;=0,0,MAX(0,(B1324/E1324)*I1324/INDEX(Surface_Engine!$B$12:$B$72,$A1324+1)-F1324/INDEX(Surface_Engine!$B$12:$B$72,$A1324+1))),IF($A1324&lt;$Q$1266,MAX(0,-Assumptions!$B$22*(F1324/INDEX(Surface_Engine!$B$12:$B$72,$A1324+1))),0)))^2+(MAX(0,J1324/INDEX(Surface_Engine!$B$12:$B$72,$A1324+1)-(F1324/INDEX(Surface_Engine!$B$12:$B$72,$A1324+1))))^2+2*Assumptions!$B$26*(IF(C1324&lt;=0,0,MAX(0,(B1324/C1324)*G1324/INDEX(Surface_Engine!$B$12:$B$72,$A1324+1)-F1324/INDEX(Surface_Engine!$B$12:$B$72,$A1324+1))))*(MAX(IF(D1324&lt;=0,0,MAX(0,(B1324/D1324)*H1324/INDEX(Surface_Engine!$B$12:$B$72,$A1324+1)-F1324/INDEX(Surface_Engine!$B$12:$B$72,$A1324+1))),IF(E1324&lt;=0,0,MAX(0,(B1324/E1324)*I1324/INDEX(Surface_Engine!$B$12:$B$72,$A1324+1)-F1324/INDEX(Surface_Engine!$B$12:$B$72,$A1324+1))),IF($A1324&lt;$Q$1266,MAX(0,-Assumptions!$B$22*(F1324/INDEX(Surface_Engine!$B$12:$B$72,$A1324+1))),0)))+2*Assumptions!$B$27*(IF(C1324&lt;=0,0,MAX(0,(B1324/C1324)*G1324/INDEX(Surface_Engine!$B$12:$B$72,$A1324+1)-F1324/INDEX(Surface_Engine!$B$12:$B$72,$A1324+1))))*(MAX(0,J1324/INDEX(Surface_Engine!$B$12:$B$72,$A1324+1)-(F1324/INDEX(Surface_Engine!$B$12:$B$72,$A1324+1))))+2*Assumptions!$B$28*(MAX(IF(D1324&lt;=0,0,MAX(0,(B1324/D1324)*H1324/INDEX(Surface_Engine!$B$12:$B$72,$A1324+1)-F1324/INDEX(Surface_Engine!$B$12:$B$72,$A1324+1))),IF(E1324&lt;=0,0,MAX(0,(B1324/E1324)*I1324/INDEX(Surface_Engine!$B$12:$B$72,$A1324+1)-F1324/INDEX(Surface_Engine!$B$12:$B$72,$A1324+1))),IF($A1324&lt;$Q$1266,MAX(0,-Assumptions!$B$22*(F1324/INDEX(Surface_Engine!$B$12:$B$72,$A1324+1))),0)))*(MAX(0,J1324/INDEX(Surface_Engine!$B$12:$B$72,$A1324+1)-(F1324/INDEX(Surface_Engine!$B$12:$B$72,$A1324+1)))))</f>
        <v>0</v>
      </c>
      <c r="L1324" s="48" t="n">
        <f aca="false">K1324*INDEX(Surface_Engine!$B$12:$B$72,$A1324+1)+L1325</f>
        <v>0</v>
      </c>
      <c r="M1324" s="48" t="n">
        <f aca="false">M1323+B1323*(IF($A1323&lt;$Q$1266,(Surface_Engine!B248*12)-(Surface_Engine!B248*12)*INDEX(Surface_Engine!$F$12:$F$72,$A1323+1)-INDEX(Surface_Engine!$D$12:$D$72,$A1323+1),-(1000*12*INDEX(Surface_Engine!$C$12:$C$72,$A1323+1)/(1+Assumptions!$B$10)^3+INDEX(Surface_Engine!$D$12:$D$72,$A1323+1))))*INDEX(Surface_Engine!$B$12:$B$72,$A1323+1)</f>
        <v>7277.14244627331</v>
      </c>
      <c r="N1324" s="12" t="n">
        <f aca="false">IF(B1324&lt;=0,0,MAX(0,(K1324+Assumptions!$B$29*L1324/INDEX(Surface_Engine!$B$12:$B$72,$A1324+1)-(M1324/INDEX(Surface_Engine!$B$12:$B$72,$A1324+1)-(F1324/INDEX(Surface_Engine!$B$12:$B$72,$A1324+1))))/B1324))</f>
        <v>0</v>
      </c>
    </row>
    <row r="1325" customFormat="false" ht="15" hidden="false" customHeight="true" outlineLevel="0" collapsed="false">
      <c r="A1325" s="1" t="n">
        <v>57</v>
      </c>
      <c r="B1325" s="32" t="n">
        <f aca="false">INDEX(Surface_Engine!$S$12:$S$72,$A1325+1)*IF($A1325&lt;$Q$1266,INDEX(Surface_Engine!$E$12:$E$72,$A1325+1),INDEX(Surface_Engine!$E$12:$E$72,$Q$1266+1))</f>
        <v>0</v>
      </c>
      <c r="C1325" s="32" t="n">
        <f aca="false">INDEX(Panel_Reserving!$G$8:$G$68,$A1325+1)*IF($A1325&lt;$Q$1266,INDEX(Surface_Engine!$E$12:$E$72,$A1325+1),INDEX(Surface_Engine!$E$12:$E$72,$Q$1266+1))</f>
        <v>0</v>
      </c>
      <c r="D1325" s="32" t="n">
        <f aca="false">INDEX(Surface_Engine!$S$12:$S$72,$A1325+1)*IF($A1325&lt;$Q$1266,INDEX(Surface_Engine!$Y$12:$Y$72,$A1325+1),INDEX(Surface_Engine!$Y$12:$Y$72,$Q$1266+1))</f>
        <v>0</v>
      </c>
      <c r="E1325" s="32" t="n">
        <f aca="false">INDEX(Surface_Engine!$S$12:$S$72,$A1325+1)*IF($A1325&lt;$Q$1266,INDEX(Surface_Engine!$Z$12:$Z$72,$A1325+1),INDEX(Surface_Engine!$Z$12:$Z$72,$Q$1266+1))</f>
        <v>0</v>
      </c>
      <c r="F1325" s="48" t="n">
        <f aca="false">B1325*(IF($A1325&lt;$Q$1266,INDEX(Surface_Engine!$D$12:$D$72,$A1325+1)+(Surface_Engine!B248*12)*INDEX(Surface_Engine!$F$12:$F$72,$A1325+1)-(Surface_Engine!B248*12),1000*12*INDEX(Surface_Engine!$C$12:$C$72,$A1325+1)/(1+Assumptions!$B$10)^3+INDEX(Surface_Engine!$D$12:$D$72,$A1325+1)))*INDEX(Surface_Engine!$B$12:$B$72,$A1325+1)+F1326</f>
        <v>0</v>
      </c>
      <c r="G1325" s="48" t="n">
        <f aca="false">C1325*(IF($A1325&lt;$Q$1266,INDEX(Surface_Engine!$D$12:$D$72,$A1325+1)+(Surface_Engine!B248*12)*INDEX(Surface_Engine!$F$12:$F$72,$A1325+1)-(Surface_Engine!B248*12),1000*12*INDEX(Surface_Engine!$C$12:$C$72,$A1325+1)/(1+Assumptions!$B$10)^3+INDEX(Surface_Engine!$D$12:$D$72,$A1325+1)))*INDEX(Surface_Engine!$B$12:$B$72,$A1325+1)+G1326</f>
        <v>0</v>
      </c>
      <c r="H1325" s="48" t="n">
        <f aca="false">D1325*(IF($A1325&lt;$Q$1266,INDEX(Surface_Engine!$D$12:$D$72,$A1325+1)+(Surface_Engine!B248*12)*INDEX(Surface_Engine!$F$12:$F$72,$A1325+1)-(Surface_Engine!B248*12),1000*12*INDEX(Surface_Engine!$C$12:$C$72,$A1325+1)/(1+Assumptions!$B$10)^3+INDEX(Surface_Engine!$D$12:$D$72,$A1325+1)))*INDEX(Surface_Engine!$B$12:$B$72,$A1325+1)+H1326</f>
        <v>0</v>
      </c>
      <c r="I1325" s="48" t="n">
        <f aca="false">E1325*(IF($A1325&lt;$Q$1266,INDEX(Surface_Engine!$D$12:$D$72,$A1325+1)+(Surface_Engine!B248*12)*INDEX(Surface_Engine!$F$12:$F$72,$A1325+1)-(Surface_Engine!B248*12),1000*12*INDEX(Surface_Engine!$C$12:$C$72,$A1325+1)/(1+Assumptions!$B$10)^3+INDEX(Surface_Engine!$D$12:$D$72,$A1325+1)))*INDEX(Surface_Engine!$B$12:$B$72,$A1325+1)+I1326</f>
        <v>0</v>
      </c>
      <c r="J1325" s="48" t="n">
        <f aca="false">B1325*(IF($A1325&lt;$Q$1266,INDEX(Surface_Engine!$D$12:$D$72,$A1325+1)*(1+Assumptions!$B$24)+(Surface_Engine!B248*12)*INDEX(Surface_Engine!$F$12:$F$72,$A1325+1)-(Surface_Engine!B248*12),1000*12*INDEX(Surface_Engine!$C$12:$C$72,$A1325+1)/(1+Assumptions!$B$10)^3+INDEX(Surface_Engine!$D$12:$D$72,$A1325+1)*(1+Assumptions!$B$24)))*INDEX(Surface_Engine!$B$12:$B$72,$A1325+1)+J1326</f>
        <v>0</v>
      </c>
      <c r="K1325" s="12" t="n">
        <f aca="false">SQRT((IF(C1325&lt;=0,0,MAX(0,(B1325/C1325)*G1325/INDEX(Surface_Engine!$B$12:$B$72,$A1325+1)-F1325/INDEX(Surface_Engine!$B$12:$B$72,$A1325+1))))^2+(MAX(IF(D1325&lt;=0,0,MAX(0,(B1325/D1325)*H1325/INDEX(Surface_Engine!$B$12:$B$72,$A1325+1)-F1325/INDEX(Surface_Engine!$B$12:$B$72,$A1325+1))),IF(E1325&lt;=0,0,MAX(0,(B1325/E1325)*I1325/INDEX(Surface_Engine!$B$12:$B$72,$A1325+1)-F1325/INDEX(Surface_Engine!$B$12:$B$72,$A1325+1))),IF($A1325&lt;$Q$1266,MAX(0,-Assumptions!$B$22*(F1325/INDEX(Surface_Engine!$B$12:$B$72,$A1325+1))),0)))^2+(MAX(0,J1325/INDEX(Surface_Engine!$B$12:$B$72,$A1325+1)-(F1325/INDEX(Surface_Engine!$B$12:$B$72,$A1325+1))))^2+2*Assumptions!$B$26*(IF(C1325&lt;=0,0,MAX(0,(B1325/C1325)*G1325/INDEX(Surface_Engine!$B$12:$B$72,$A1325+1)-F1325/INDEX(Surface_Engine!$B$12:$B$72,$A1325+1))))*(MAX(IF(D1325&lt;=0,0,MAX(0,(B1325/D1325)*H1325/INDEX(Surface_Engine!$B$12:$B$72,$A1325+1)-F1325/INDEX(Surface_Engine!$B$12:$B$72,$A1325+1))),IF(E1325&lt;=0,0,MAX(0,(B1325/E1325)*I1325/INDEX(Surface_Engine!$B$12:$B$72,$A1325+1)-F1325/INDEX(Surface_Engine!$B$12:$B$72,$A1325+1))),IF($A1325&lt;$Q$1266,MAX(0,-Assumptions!$B$22*(F1325/INDEX(Surface_Engine!$B$12:$B$72,$A1325+1))),0)))+2*Assumptions!$B$27*(IF(C1325&lt;=0,0,MAX(0,(B1325/C1325)*G1325/INDEX(Surface_Engine!$B$12:$B$72,$A1325+1)-F1325/INDEX(Surface_Engine!$B$12:$B$72,$A1325+1))))*(MAX(0,J1325/INDEX(Surface_Engine!$B$12:$B$72,$A1325+1)-(F1325/INDEX(Surface_Engine!$B$12:$B$72,$A1325+1))))+2*Assumptions!$B$28*(MAX(IF(D1325&lt;=0,0,MAX(0,(B1325/D1325)*H1325/INDEX(Surface_Engine!$B$12:$B$72,$A1325+1)-F1325/INDEX(Surface_Engine!$B$12:$B$72,$A1325+1))),IF(E1325&lt;=0,0,MAX(0,(B1325/E1325)*I1325/INDEX(Surface_Engine!$B$12:$B$72,$A1325+1)-F1325/INDEX(Surface_Engine!$B$12:$B$72,$A1325+1))),IF($A1325&lt;$Q$1266,MAX(0,-Assumptions!$B$22*(F1325/INDEX(Surface_Engine!$B$12:$B$72,$A1325+1))),0)))*(MAX(0,J1325/INDEX(Surface_Engine!$B$12:$B$72,$A1325+1)-(F1325/INDEX(Surface_Engine!$B$12:$B$72,$A1325+1)))))</f>
        <v>0</v>
      </c>
      <c r="L1325" s="48" t="n">
        <f aca="false">K1325*INDEX(Surface_Engine!$B$12:$B$72,$A1325+1)+L1326</f>
        <v>0</v>
      </c>
      <c r="M1325" s="48" t="n">
        <f aca="false">M1324+B1324*(IF($A1324&lt;$Q$1266,(Surface_Engine!B248*12)-(Surface_Engine!B248*12)*INDEX(Surface_Engine!$F$12:$F$72,$A1324+1)-INDEX(Surface_Engine!$D$12:$D$72,$A1324+1),-(1000*12*INDEX(Surface_Engine!$C$12:$C$72,$A1324+1)/(1+Assumptions!$B$10)^3+INDEX(Surface_Engine!$D$12:$D$72,$A1324+1))))*INDEX(Surface_Engine!$B$12:$B$72,$A1324+1)</f>
        <v>7277.14244627331</v>
      </c>
      <c r="N1325" s="12" t="n">
        <f aca="false">IF(B1325&lt;=0,0,MAX(0,(K1325+Assumptions!$B$29*L1325/INDEX(Surface_Engine!$B$12:$B$72,$A1325+1)-(M1325/INDEX(Surface_Engine!$B$12:$B$72,$A1325+1)-(F1325/INDEX(Surface_Engine!$B$12:$B$72,$A1325+1))))/B1325))</f>
        <v>0</v>
      </c>
    </row>
    <row r="1326" customFormat="false" ht="15" hidden="false" customHeight="true" outlineLevel="0" collapsed="false">
      <c r="A1326" s="1" t="n">
        <v>58</v>
      </c>
      <c r="B1326" s="32" t="n">
        <f aca="false">INDEX(Surface_Engine!$S$12:$S$72,$A1326+1)*IF($A1326&lt;$Q$1266,INDEX(Surface_Engine!$E$12:$E$72,$A1326+1),INDEX(Surface_Engine!$E$12:$E$72,$Q$1266+1))</f>
        <v>0</v>
      </c>
      <c r="C1326" s="32" t="n">
        <f aca="false">INDEX(Panel_Reserving!$G$8:$G$68,$A1326+1)*IF($A1326&lt;$Q$1266,INDEX(Surface_Engine!$E$12:$E$72,$A1326+1),INDEX(Surface_Engine!$E$12:$E$72,$Q$1266+1))</f>
        <v>0</v>
      </c>
      <c r="D1326" s="32" t="n">
        <f aca="false">INDEX(Surface_Engine!$S$12:$S$72,$A1326+1)*IF($A1326&lt;$Q$1266,INDEX(Surface_Engine!$Y$12:$Y$72,$A1326+1),INDEX(Surface_Engine!$Y$12:$Y$72,$Q$1266+1))</f>
        <v>0</v>
      </c>
      <c r="E1326" s="32" t="n">
        <f aca="false">INDEX(Surface_Engine!$S$12:$S$72,$A1326+1)*IF($A1326&lt;$Q$1266,INDEX(Surface_Engine!$Z$12:$Z$72,$A1326+1),INDEX(Surface_Engine!$Z$12:$Z$72,$Q$1266+1))</f>
        <v>0</v>
      </c>
      <c r="F1326" s="48" t="n">
        <f aca="false">B1326*(IF($A1326&lt;$Q$1266,INDEX(Surface_Engine!$D$12:$D$72,$A1326+1)+(Surface_Engine!B248*12)*INDEX(Surface_Engine!$F$12:$F$72,$A1326+1)-(Surface_Engine!B248*12),1000*12*INDEX(Surface_Engine!$C$12:$C$72,$A1326+1)/(1+Assumptions!$B$10)^3+INDEX(Surface_Engine!$D$12:$D$72,$A1326+1)))*INDEX(Surface_Engine!$B$12:$B$72,$A1326+1)+F1327</f>
        <v>0</v>
      </c>
      <c r="G1326" s="48" t="n">
        <f aca="false">C1326*(IF($A1326&lt;$Q$1266,INDEX(Surface_Engine!$D$12:$D$72,$A1326+1)+(Surface_Engine!B248*12)*INDEX(Surface_Engine!$F$12:$F$72,$A1326+1)-(Surface_Engine!B248*12),1000*12*INDEX(Surface_Engine!$C$12:$C$72,$A1326+1)/(1+Assumptions!$B$10)^3+INDEX(Surface_Engine!$D$12:$D$72,$A1326+1)))*INDEX(Surface_Engine!$B$12:$B$72,$A1326+1)+G1327</f>
        <v>0</v>
      </c>
      <c r="H1326" s="48" t="n">
        <f aca="false">D1326*(IF($A1326&lt;$Q$1266,INDEX(Surface_Engine!$D$12:$D$72,$A1326+1)+(Surface_Engine!B248*12)*INDEX(Surface_Engine!$F$12:$F$72,$A1326+1)-(Surface_Engine!B248*12),1000*12*INDEX(Surface_Engine!$C$12:$C$72,$A1326+1)/(1+Assumptions!$B$10)^3+INDEX(Surface_Engine!$D$12:$D$72,$A1326+1)))*INDEX(Surface_Engine!$B$12:$B$72,$A1326+1)+H1327</f>
        <v>0</v>
      </c>
      <c r="I1326" s="48" t="n">
        <f aca="false">E1326*(IF($A1326&lt;$Q$1266,INDEX(Surface_Engine!$D$12:$D$72,$A1326+1)+(Surface_Engine!B248*12)*INDEX(Surface_Engine!$F$12:$F$72,$A1326+1)-(Surface_Engine!B248*12),1000*12*INDEX(Surface_Engine!$C$12:$C$72,$A1326+1)/(1+Assumptions!$B$10)^3+INDEX(Surface_Engine!$D$12:$D$72,$A1326+1)))*INDEX(Surface_Engine!$B$12:$B$72,$A1326+1)+I1327</f>
        <v>0</v>
      </c>
      <c r="J1326" s="48" t="n">
        <f aca="false">B1326*(IF($A1326&lt;$Q$1266,INDEX(Surface_Engine!$D$12:$D$72,$A1326+1)*(1+Assumptions!$B$24)+(Surface_Engine!B248*12)*INDEX(Surface_Engine!$F$12:$F$72,$A1326+1)-(Surface_Engine!B248*12),1000*12*INDEX(Surface_Engine!$C$12:$C$72,$A1326+1)/(1+Assumptions!$B$10)^3+INDEX(Surface_Engine!$D$12:$D$72,$A1326+1)*(1+Assumptions!$B$24)))*INDEX(Surface_Engine!$B$12:$B$72,$A1326+1)+J1327</f>
        <v>0</v>
      </c>
      <c r="K1326" s="12" t="n">
        <f aca="false">SQRT((IF(C1326&lt;=0,0,MAX(0,(B1326/C1326)*G1326/INDEX(Surface_Engine!$B$12:$B$72,$A1326+1)-F1326/INDEX(Surface_Engine!$B$12:$B$72,$A1326+1))))^2+(MAX(IF(D1326&lt;=0,0,MAX(0,(B1326/D1326)*H1326/INDEX(Surface_Engine!$B$12:$B$72,$A1326+1)-F1326/INDEX(Surface_Engine!$B$12:$B$72,$A1326+1))),IF(E1326&lt;=0,0,MAX(0,(B1326/E1326)*I1326/INDEX(Surface_Engine!$B$12:$B$72,$A1326+1)-F1326/INDEX(Surface_Engine!$B$12:$B$72,$A1326+1))),IF($A1326&lt;$Q$1266,MAX(0,-Assumptions!$B$22*(F1326/INDEX(Surface_Engine!$B$12:$B$72,$A1326+1))),0)))^2+(MAX(0,J1326/INDEX(Surface_Engine!$B$12:$B$72,$A1326+1)-(F1326/INDEX(Surface_Engine!$B$12:$B$72,$A1326+1))))^2+2*Assumptions!$B$26*(IF(C1326&lt;=0,0,MAX(0,(B1326/C1326)*G1326/INDEX(Surface_Engine!$B$12:$B$72,$A1326+1)-F1326/INDEX(Surface_Engine!$B$12:$B$72,$A1326+1))))*(MAX(IF(D1326&lt;=0,0,MAX(0,(B1326/D1326)*H1326/INDEX(Surface_Engine!$B$12:$B$72,$A1326+1)-F1326/INDEX(Surface_Engine!$B$12:$B$72,$A1326+1))),IF(E1326&lt;=0,0,MAX(0,(B1326/E1326)*I1326/INDEX(Surface_Engine!$B$12:$B$72,$A1326+1)-F1326/INDEX(Surface_Engine!$B$12:$B$72,$A1326+1))),IF($A1326&lt;$Q$1266,MAX(0,-Assumptions!$B$22*(F1326/INDEX(Surface_Engine!$B$12:$B$72,$A1326+1))),0)))+2*Assumptions!$B$27*(IF(C1326&lt;=0,0,MAX(0,(B1326/C1326)*G1326/INDEX(Surface_Engine!$B$12:$B$72,$A1326+1)-F1326/INDEX(Surface_Engine!$B$12:$B$72,$A1326+1))))*(MAX(0,J1326/INDEX(Surface_Engine!$B$12:$B$72,$A1326+1)-(F1326/INDEX(Surface_Engine!$B$12:$B$72,$A1326+1))))+2*Assumptions!$B$28*(MAX(IF(D1326&lt;=0,0,MAX(0,(B1326/D1326)*H1326/INDEX(Surface_Engine!$B$12:$B$72,$A1326+1)-F1326/INDEX(Surface_Engine!$B$12:$B$72,$A1326+1))),IF(E1326&lt;=0,0,MAX(0,(B1326/E1326)*I1326/INDEX(Surface_Engine!$B$12:$B$72,$A1326+1)-F1326/INDEX(Surface_Engine!$B$12:$B$72,$A1326+1))),IF($A1326&lt;$Q$1266,MAX(0,-Assumptions!$B$22*(F1326/INDEX(Surface_Engine!$B$12:$B$72,$A1326+1))),0)))*(MAX(0,J1326/INDEX(Surface_Engine!$B$12:$B$72,$A1326+1)-(F1326/INDEX(Surface_Engine!$B$12:$B$72,$A1326+1)))))</f>
        <v>0</v>
      </c>
      <c r="L1326" s="48" t="n">
        <f aca="false">K1326*INDEX(Surface_Engine!$B$12:$B$72,$A1326+1)+L1327</f>
        <v>0</v>
      </c>
      <c r="M1326" s="48" t="n">
        <f aca="false">M1325+B1325*(IF($A1325&lt;$Q$1266,(Surface_Engine!B248*12)-(Surface_Engine!B248*12)*INDEX(Surface_Engine!$F$12:$F$72,$A1325+1)-INDEX(Surface_Engine!$D$12:$D$72,$A1325+1),-(1000*12*INDEX(Surface_Engine!$C$12:$C$72,$A1325+1)/(1+Assumptions!$B$10)^3+INDEX(Surface_Engine!$D$12:$D$72,$A1325+1))))*INDEX(Surface_Engine!$B$12:$B$72,$A1325+1)</f>
        <v>7277.14244627331</v>
      </c>
      <c r="N1326" s="12" t="n">
        <f aca="false">IF(B1326&lt;=0,0,MAX(0,(K1326+Assumptions!$B$29*L1326/INDEX(Surface_Engine!$B$12:$B$72,$A1326+1)-(M1326/INDEX(Surface_Engine!$B$12:$B$72,$A1326+1)-(F1326/INDEX(Surface_Engine!$B$12:$B$72,$A1326+1))))/B1326))</f>
        <v>0</v>
      </c>
    </row>
    <row r="1327" customFormat="false" ht="15" hidden="false" customHeight="true" outlineLevel="0" collapsed="false">
      <c r="A1327" s="1" t="n">
        <v>59</v>
      </c>
      <c r="B1327" s="32" t="n">
        <f aca="false">INDEX(Surface_Engine!$S$12:$S$72,$A1327+1)*IF($A1327&lt;$Q$1266,INDEX(Surface_Engine!$E$12:$E$72,$A1327+1),INDEX(Surface_Engine!$E$12:$E$72,$Q$1266+1))</f>
        <v>0</v>
      </c>
      <c r="C1327" s="32" t="n">
        <f aca="false">INDEX(Panel_Reserving!$G$8:$G$68,$A1327+1)*IF($A1327&lt;$Q$1266,INDEX(Surface_Engine!$E$12:$E$72,$A1327+1),INDEX(Surface_Engine!$E$12:$E$72,$Q$1266+1))</f>
        <v>0</v>
      </c>
      <c r="D1327" s="32" t="n">
        <f aca="false">INDEX(Surface_Engine!$S$12:$S$72,$A1327+1)*IF($A1327&lt;$Q$1266,INDEX(Surface_Engine!$Y$12:$Y$72,$A1327+1),INDEX(Surface_Engine!$Y$12:$Y$72,$Q$1266+1))</f>
        <v>0</v>
      </c>
      <c r="E1327" s="32" t="n">
        <f aca="false">INDEX(Surface_Engine!$S$12:$S$72,$A1327+1)*IF($A1327&lt;$Q$1266,INDEX(Surface_Engine!$Z$12:$Z$72,$A1327+1),INDEX(Surface_Engine!$Z$12:$Z$72,$Q$1266+1))</f>
        <v>0</v>
      </c>
      <c r="F1327" s="48" t="n">
        <f aca="false">B1327*(IF($A1327&lt;$Q$1266,INDEX(Surface_Engine!$D$12:$D$72,$A1327+1)+(Surface_Engine!B248*12)*INDEX(Surface_Engine!$F$12:$F$72,$A1327+1)-(Surface_Engine!B248*12),1000*12*INDEX(Surface_Engine!$C$12:$C$72,$A1327+1)/(1+Assumptions!$B$10)^3+INDEX(Surface_Engine!$D$12:$D$72,$A1327+1)))*INDEX(Surface_Engine!$B$12:$B$72,$A1327+1)+F1328</f>
        <v>0</v>
      </c>
      <c r="G1327" s="48" t="n">
        <f aca="false">C1327*(IF($A1327&lt;$Q$1266,INDEX(Surface_Engine!$D$12:$D$72,$A1327+1)+(Surface_Engine!B248*12)*INDEX(Surface_Engine!$F$12:$F$72,$A1327+1)-(Surface_Engine!B248*12),1000*12*INDEX(Surface_Engine!$C$12:$C$72,$A1327+1)/(1+Assumptions!$B$10)^3+INDEX(Surface_Engine!$D$12:$D$72,$A1327+1)))*INDEX(Surface_Engine!$B$12:$B$72,$A1327+1)+G1328</f>
        <v>0</v>
      </c>
      <c r="H1327" s="48" t="n">
        <f aca="false">D1327*(IF($A1327&lt;$Q$1266,INDEX(Surface_Engine!$D$12:$D$72,$A1327+1)+(Surface_Engine!B248*12)*INDEX(Surface_Engine!$F$12:$F$72,$A1327+1)-(Surface_Engine!B248*12),1000*12*INDEX(Surface_Engine!$C$12:$C$72,$A1327+1)/(1+Assumptions!$B$10)^3+INDEX(Surface_Engine!$D$12:$D$72,$A1327+1)))*INDEX(Surface_Engine!$B$12:$B$72,$A1327+1)+H1328</f>
        <v>0</v>
      </c>
      <c r="I1327" s="48" t="n">
        <f aca="false">E1327*(IF($A1327&lt;$Q$1266,INDEX(Surface_Engine!$D$12:$D$72,$A1327+1)+(Surface_Engine!B248*12)*INDEX(Surface_Engine!$F$12:$F$72,$A1327+1)-(Surface_Engine!B248*12),1000*12*INDEX(Surface_Engine!$C$12:$C$72,$A1327+1)/(1+Assumptions!$B$10)^3+INDEX(Surface_Engine!$D$12:$D$72,$A1327+1)))*INDEX(Surface_Engine!$B$12:$B$72,$A1327+1)+I1328</f>
        <v>0</v>
      </c>
      <c r="J1327" s="48" t="n">
        <f aca="false">B1327*(IF($A1327&lt;$Q$1266,INDEX(Surface_Engine!$D$12:$D$72,$A1327+1)*(1+Assumptions!$B$24)+(Surface_Engine!B248*12)*INDEX(Surface_Engine!$F$12:$F$72,$A1327+1)-(Surface_Engine!B248*12),1000*12*INDEX(Surface_Engine!$C$12:$C$72,$A1327+1)/(1+Assumptions!$B$10)^3+INDEX(Surface_Engine!$D$12:$D$72,$A1327+1)*(1+Assumptions!$B$24)))*INDEX(Surface_Engine!$B$12:$B$72,$A1327+1)+J1328</f>
        <v>0</v>
      </c>
      <c r="K1327" s="12" t="n">
        <f aca="false">SQRT((IF(C1327&lt;=0,0,MAX(0,(B1327/C1327)*G1327/INDEX(Surface_Engine!$B$12:$B$72,$A1327+1)-F1327/INDEX(Surface_Engine!$B$12:$B$72,$A1327+1))))^2+(MAX(IF(D1327&lt;=0,0,MAX(0,(B1327/D1327)*H1327/INDEX(Surface_Engine!$B$12:$B$72,$A1327+1)-F1327/INDEX(Surface_Engine!$B$12:$B$72,$A1327+1))),IF(E1327&lt;=0,0,MAX(0,(B1327/E1327)*I1327/INDEX(Surface_Engine!$B$12:$B$72,$A1327+1)-F1327/INDEX(Surface_Engine!$B$12:$B$72,$A1327+1))),IF($A1327&lt;$Q$1266,MAX(0,-Assumptions!$B$22*(F1327/INDEX(Surface_Engine!$B$12:$B$72,$A1327+1))),0)))^2+(MAX(0,J1327/INDEX(Surface_Engine!$B$12:$B$72,$A1327+1)-(F1327/INDEX(Surface_Engine!$B$12:$B$72,$A1327+1))))^2+2*Assumptions!$B$26*(IF(C1327&lt;=0,0,MAX(0,(B1327/C1327)*G1327/INDEX(Surface_Engine!$B$12:$B$72,$A1327+1)-F1327/INDEX(Surface_Engine!$B$12:$B$72,$A1327+1))))*(MAX(IF(D1327&lt;=0,0,MAX(0,(B1327/D1327)*H1327/INDEX(Surface_Engine!$B$12:$B$72,$A1327+1)-F1327/INDEX(Surface_Engine!$B$12:$B$72,$A1327+1))),IF(E1327&lt;=0,0,MAX(0,(B1327/E1327)*I1327/INDEX(Surface_Engine!$B$12:$B$72,$A1327+1)-F1327/INDEX(Surface_Engine!$B$12:$B$72,$A1327+1))),IF($A1327&lt;$Q$1266,MAX(0,-Assumptions!$B$22*(F1327/INDEX(Surface_Engine!$B$12:$B$72,$A1327+1))),0)))+2*Assumptions!$B$27*(IF(C1327&lt;=0,0,MAX(0,(B1327/C1327)*G1327/INDEX(Surface_Engine!$B$12:$B$72,$A1327+1)-F1327/INDEX(Surface_Engine!$B$12:$B$72,$A1327+1))))*(MAX(0,J1327/INDEX(Surface_Engine!$B$12:$B$72,$A1327+1)-(F1327/INDEX(Surface_Engine!$B$12:$B$72,$A1327+1))))+2*Assumptions!$B$28*(MAX(IF(D1327&lt;=0,0,MAX(0,(B1327/D1327)*H1327/INDEX(Surface_Engine!$B$12:$B$72,$A1327+1)-F1327/INDEX(Surface_Engine!$B$12:$B$72,$A1327+1))),IF(E1327&lt;=0,0,MAX(0,(B1327/E1327)*I1327/INDEX(Surface_Engine!$B$12:$B$72,$A1327+1)-F1327/INDEX(Surface_Engine!$B$12:$B$72,$A1327+1))),IF($A1327&lt;$Q$1266,MAX(0,-Assumptions!$B$22*(F1327/INDEX(Surface_Engine!$B$12:$B$72,$A1327+1))),0)))*(MAX(0,J1327/INDEX(Surface_Engine!$B$12:$B$72,$A1327+1)-(F1327/INDEX(Surface_Engine!$B$12:$B$72,$A1327+1)))))</f>
        <v>0</v>
      </c>
      <c r="L1327" s="48" t="n">
        <f aca="false">K1327*INDEX(Surface_Engine!$B$12:$B$72,$A1327+1)+L1328</f>
        <v>0</v>
      </c>
      <c r="M1327" s="48" t="n">
        <f aca="false">M1326+B1326*(IF($A1326&lt;$Q$1266,(Surface_Engine!B248*12)-(Surface_Engine!B248*12)*INDEX(Surface_Engine!$F$12:$F$72,$A1326+1)-INDEX(Surface_Engine!$D$12:$D$72,$A1326+1),-(1000*12*INDEX(Surface_Engine!$C$12:$C$72,$A1326+1)/(1+Assumptions!$B$10)^3+INDEX(Surface_Engine!$D$12:$D$72,$A1326+1))))*INDEX(Surface_Engine!$B$12:$B$72,$A1326+1)</f>
        <v>7277.14244627331</v>
      </c>
      <c r="N1327" s="12" t="n">
        <f aca="false">IF(B1327&lt;=0,0,MAX(0,(K1327+Assumptions!$B$29*L1327/INDEX(Surface_Engine!$B$12:$B$72,$A1327+1)-(M1327/INDEX(Surface_Engine!$B$12:$B$72,$A1327+1)-(F1327/INDEX(Surface_Engine!$B$12:$B$72,$A1327+1))))/B1327))</f>
        <v>0</v>
      </c>
    </row>
    <row r="1328" customFormat="false" ht="15" hidden="false" customHeight="true" outlineLevel="0" collapsed="false">
      <c r="A1328" s="1" t="n">
        <v>60</v>
      </c>
      <c r="B1328" s="32" t="n">
        <f aca="false">INDEX(Surface_Engine!$S$12:$S$72,$A1328+1)*IF($A1328&lt;$Q$1266,INDEX(Surface_Engine!$E$12:$E$72,$A1328+1),INDEX(Surface_Engine!$E$12:$E$72,$Q$1266+1))</f>
        <v>0</v>
      </c>
      <c r="C1328" s="32" t="n">
        <f aca="false">INDEX(Panel_Reserving!$G$8:$G$68,$A1328+1)*IF($A1328&lt;$Q$1266,INDEX(Surface_Engine!$E$12:$E$72,$A1328+1),INDEX(Surface_Engine!$E$12:$E$72,$Q$1266+1))</f>
        <v>0</v>
      </c>
      <c r="D1328" s="32" t="n">
        <f aca="false">INDEX(Surface_Engine!$S$12:$S$72,$A1328+1)*IF($A1328&lt;$Q$1266,INDEX(Surface_Engine!$Y$12:$Y$72,$A1328+1),INDEX(Surface_Engine!$Y$12:$Y$72,$Q$1266+1))</f>
        <v>0</v>
      </c>
      <c r="E1328" s="32" t="n">
        <f aca="false">INDEX(Surface_Engine!$S$12:$S$72,$A1328+1)*IF($A1328&lt;$Q$1266,INDEX(Surface_Engine!$Z$12:$Z$72,$A1328+1),INDEX(Surface_Engine!$Z$12:$Z$72,$Q$1266+1))</f>
        <v>0</v>
      </c>
      <c r="F1328" s="48" t="n">
        <f aca="false">B1328*(IF($A1328&lt;$Q$1266,INDEX(Surface_Engine!$D$12:$D$72,$A1328+1)+(Surface_Engine!B248*12)*INDEX(Surface_Engine!$F$12:$F$72,$A1328+1)-(Surface_Engine!B248*12),1000*12*INDEX(Surface_Engine!$C$12:$C$72,$A1328+1)/(1+Assumptions!$B$10)^3+INDEX(Surface_Engine!$D$12:$D$72,$A1328+1)))*INDEX(Surface_Engine!$B$12:$B$72,$A1328+1)</f>
        <v>0</v>
      </c>
      <c r="G1328" s="48" t="n">
        <f aca="false">C1328*(IF($A1328&lt;$Q$1266,INDEX(Surface_Engine!$D$12:$D$72,$A1328+1)+(Surface_Engine!B248*12)*INDEX(Surface_Engine!$F$12:$F$72,$A1328+1)-(Surface_Engine!B248*12),1000*12*INDEX(Surface_Engine!$C$12:$C$72,$A1328+1)/(1+Assumptions!$B$10)^3+INDEX(Surface_Engine!$D$12:$D$72,$A1328+1)))*INDEX(Surface_Engine!$B$12:$B$72,$A1328+1)</f>
        <v>0</v>
      </c>
      <c r="H1328" s="48" t="n">
        <f aca="false">D1328*(IF($A1328&lt;$Q$1266,INDEX(Surface_Engine!$D$12:$D$72,$A1328+1)+(Surface_Engine!B248*12)*INDEX(Surface_Engine!$F$12:$F$72,$A1328+1)-(Surface_Engine!B248*12),1000*12*INDEX(Surface_Engine!$C$12:$C$72,$A1328+1)/(1+Assumptions!$B$10)^3+INDEX(Surface_Engine!$D$12:$D$72,$A1328+1)))*INDEX(Surface_Engine!$B$12:$B$72,$A1328+1)</f>
        <v>0</v>
      </c>
      <c r="I1328" s="48" t="n">
        <f aca="false">E1328*(IF($A1328&lt;$Q$1266,INDEX(Surface_Engine!$D$12:$D$72,$A1328+1)+(Surface_Engine!B248*12)*INDEX(Surface_Engine!$F$12:$F$72,$A1328+1)-(Surface_Engine!B248*12),1000*12*INDEX(Surface_Engine!$C$12:$C$72,$A1328+1)/(1+Assumptions!$B$10)^3+INDEX(Surface_Engine!$D$12:$D$72,$A1328+1)))*INDEX(Surface_Engine!$B$12:$B$72,$A1328+1)</f>
        <v>0</v>
      </c>
      <c r="J1328" s="48" t="n">
        <f aca="false">B1328*(IF($A1328&lt;$Q$1266,INDEX(Surface_Engine!$D$12:$D$72,$A1328+1)*(1+Assumptions!$B$24)+(Surface_Engine!B248*12)*INDEX(Surface_Engine!$F$12:$F$72,$A1328+1)-(Surface_Engine!B248*12),1000*12*INDEX(Surface_Engine!$C$12:$C$72,$A1328+1)/(1+Assumptions!$B$10)^3+INDEX(Surface_Engine!$D$12:$D$72,$A1328+1)*(1+Assumptions!$B$24)))*INDEX(Surface_Engine!$B$12:$B$72,$A1328+1)</f>
        <v>0</v>
      </c>
      <c r="K1328" s="12" t="n">
        <f aca="false">SQRT((IF(C1328&lt;=0,0,MAX(0,(B1328/C1328)*G1328/INDEX(Surface_Engine!$B$12:$B$72,$A1328+1)-F1328/INDEX(Surface_Engine!$B$12:$B$72,$A1328+1))))^2+(MAX(IF(D1328&lt;=0,0,MAX(0,(B1328/D1328)*H1328/INDEX(Surface_Engine!$B$12:$B$72,$A1328+1)-F1328/INDEX(Surface_Engine!$B$12:$B$72,$A1328+1))),IF(E1328&lt;=0,0,MAX(0,(B1328/E1328)*I1328/INDEX(Surface_Engine!$B$12:$B$72,$A1328+1)-F1328/INDEX(Surface_Engine!$B$12:$B$72,$A1328+1))),IF($A1328&lt;$Q$1266,MAX(0,-Assumptions!$B$22*(F1328/INDEX(Surface_Engine!$B$12:$B$72,$A1328+1))),0)))^2+(MAX(0,J1328/INDEX(Surface_Engine!$B$12:$B$72,$A1328+1)-(F1328/INDEX(Surface_Engine!$B$12:$B$72,$A1328+1))))^2+2*Assumptions!$B$26*(IF(C1328&lt;=0,0,MAX(0,(B1328/C1328)*G1328/INDEX(Surface_Engine!$B$12:$B$72,$A1328+1)-F1328/INDEX(Surface_Engine!$B$12:$B$72,$A1328+1))))*(MAX(IF(D1328&lt;=0,0,MAX(0,(B1328/D1328)*H1328/INDEX(Surface_Engine!$B$12:$B$72,$A1328+1)-F1328/INDEX(Surface_Engine!$B$12:$B$72,$A1328+1))),IF(E1328&lt;=0,0,MAX(0,(B1328/E1328)*I1328/INDEX(Surface_Engine!$B$12:$B$72,$A1328+1)-F1328/INDEX(Surface_Engine!$B$12:$B$72,$A1328+1))),IF($A1328&lt;$Q$1266,MAX(0,-Assumptions!$B$22*(F1328/INDEX(Surface_Engine!$B$12:$B$72,$A1328+1))),0)))+2*Assumptions!$B$27*(IF(C1328&lt;=0,0,MAX(0,(B1328/C1328)*G1328/INDEX(Surface_Engine!$B$12:$B$72,$A1328+1)-F1328/INDEX(Surface_Engine!$B$12:$B$72,$A1328+1))))*(MAX(0,J1328/INDEX(Surface_Engine!$B$12:$B$72,$A1328+1)-(F1328/INDEX(Surface_Engine!$B$12:$B$72,$A1328+1))))+2*Assumptions!$B$28*(MAX(IF(D1328&lt;=0,0,MAX(0,(B1328/D1328)*H1328/INDEX(Surface_Engine!$B$12:$B$72,$A1328+1)-F1328/INDEX(Surface_Engine!$B$12:$B$72,$A1328+1))),IF(E1328&lt;=0,0,MAX(0,(B1328/E1328)*I1328/INDEX(Surface_Engine!$B$12:$B$72,$A1328+1)-F1328/INDEX(Surface_Engine!$B$12:$B$72,$A1328+1))),IF($A1328&lt;$Q$1266,MAX(0,-Assumptions!$B$22*(F1328/INDEX(Surface_Engine!$B$12:$B$72,$A1328+1))),0)))*(MAX(0,J1328/INDEX(Surface_Engine!$B$12:$B$72,$A1328+1)-(F1328/INDEX(Surface_Engine!$B$12:$B$72,$A1328+1)))))</f>
        <v>0</v>
      </c>
      <c r="L1328" s="48" t="n">
        <f aca="false">K1328*INDEX(Surface_Engine!$B$12:$B$72,$A1328+1)</f>
        <v>0</v>
      </c>
      <c r="M1328" s="48" t="n">
        <f aca="false">M1327+B1327*(IF($A1327&lt;$Q$1266,(Surface_Engine!B248*12)-(Surface_Engine!B248*12)*INDEX(Surface_Engine!$F$12:$F$72,$A1327+1)-INDEX(Surface_Engine!$D$12:$D$72,$A1327+1),-(1000*12*INDEX(Surface_Engine!$C$12:$C$72,$A1327+1)/(1+Assumptions!$B$10)^3+INDEX(Surface_Engine!$D$12:$D$72,$A1327+1))))*INDEX(Surface_Engine!$B$12:$B$72,$A1327+1)</f>
        <v>7277.14244627331</v>
      </c>
      <c r="N1328" s="12" t="n">
        <f aca="false">IF(B1328&lt;=0,0,MAX(0,(K1328+Assumptions!$B$29*L1328/INDEX(Surface_Engine!$B$12:$B$72,$A1328+1)-(M1328/INDEX(Surface_Engine!$B$12:$B$72,$A1328+1)-(F1328/INDEX(Surface_Engine!$B$12:$B$72,$A1328+1))))/B1328))</f>
        <v>0</v>
      </c>
    </row>
    <row r="1329" customFormat="false" ht="15" hidden="false" customHeight="true" outlineLevel="0" collapsed="false">
      <c r="A1329" s="4" t="str">
        <f aca="false">"entry "&amp;O1329&amp;" / vesting "&amp;P1329&amp;"   deferral "&amp;Q1329</f>
        <v>entry 72 / vesting 80   deferral 8</v>
      </c>
      <c r="C1329" s="49" t="n">
        <f aca="false">MAX(N1268:N1328)</f>
        <v>20346.1874298274</v>
      </c>
      <c r="E1329" s="7" t="s">
        <v>1634</v>
      </c>
      <c r="G1329" s="21" t="n">
        <f aca="false">INDEX(A1268:A1328,MATCH(C1329,N1268:N1328,0))</f>
        <v>1</v>
      </c>
      <c r="J1329" s="7" t="s">
        <v>1624</v>
      </c>
      <c r="K1329" s="50" t="n">
        <f aca="false">Surface_Engine!G248</f>
        <v>1342.22466496192</v>
      </c>
      <c r="O1329" s="1" t="n">
        <f aca="false">A1719</f>
        <v>72</v>
      </c>
      <c r="P1329" s="76" t="n">
        <f aca="false">C$1713</f>
        <v>80</v>
      </c>
      <c r="Q1329" s="1" t="n">
        <f aca="false">P1329-O1329</f>
        <v>8</v>
      </c>
    </row>
    <row r="1330" customFormat="false" ht="15" hidden="false" customHeight="true" outlineLevel="0" collapsed="false">
      <c r="A1330" s="8" t="s">
        <v>802</v>
      </c>
      <c r="B1330" s="8" t="s">
        <v>1584</v>
      </c>
      <c r="C1330" s="8" t="s">
        <v>1585</v>
      </c>
      <c r="D1330" s="8" t="s">
        <v>1587</v>
      </c>
      <c r="E1330" s="8" t="s">
        <v>1588</v>
      </c>
      <c r="F1330" s="8" t="s">
        <v>1625</v>
      </c>
      <c r="G1330" s="8" t="s">
        <v>1626</v>
      </c>
      <c r="H1330" s="8" t="s">
        <v>1627</v>
      </c>
      <c r="I1330" s="8" t="s">
        <v>1628</v>
      </c>
      <c r="J1330" s="8" t="s">
        <v>1629</v>
      </c>
      <c r="K1330" s="8" t="s">
        <v>812</v>
      </c>
      <c r="L1330" s="8" t="s">
        <v>1630</v>
      </c>
      <c r="M1330" s="8" t="s">
        <v>341</v>
      </c>
      <c r="N1330" s="8" t="s">
        <v>1631</v>
      </c>
      <c r="O1330" s="1" t="s">
        <v>1544</v>
      </c>
      <c r="P1330" s="1" t="s">
        <v>1632</v>
      </c>
      <c r="Q1330" s="1" t="s">
        <v>1633</v>
      </c>
    </row>
    <row r="1331" customFormat="false" ht="15" hidden="false" customHeight="true" outlineLevel="0" collapsed="false">
      <c r="A1331" s="1" t="n">
        <v>0</v>
      </c>
      <c r="B1331" s="32" t="n">
        <f aca="false">INDEX(Surface_Engine!$S$12:$S$72,$A1331+1)*IF($A1331&lt;$Q$1329,INDEX(Surface_Engine!$E$12:$E$72,$A1331+1),INDEX(Surface_Engine!$E$12:$E$72,$Q$1329+1))</f>
        <v>1</v>
      </c>
      <c r="C1331" s="32" t="n">
        <f aca="false">INDEX(Panel_Reserving!$G$8:$G$68,$A1331+1)*IF($A1331&lt;$Q$1329,INDEX(Surface_Engine!$E$12:$E$72,$A1331+1),INDEX(Surface_Engine!$E$12:$E$72,$Q$1329+1))</f>
        <v>1</v>
      </c>
      <c r="D1331" s="32" t="n">
        <f aca="false">INDEX(Surface_Engine!$S$12:$S$72,$A1331+1)*IF($A1331&lt;$Q$1329,INDEX(Surface_Engine!$Y$12:$Y$72,$A1331+1),INDEX(Surface_Engine!$Y$12:$Y$72,$Q$1329+1))</f>
        <v>1</v>
      </c>
      <c r="E1331" s="32" t="n">
        <f aca="false">INDEX(Surface_Engine!$S$12:$S$72,$A1331+1)*IF($A1331&lt;$Q$1329,INDEX(Surface_Engine!$Z$12:$Z$72,$A1331+1),INDEX(Surface_Engine!$Z$12:$Z$72,$Q$1329+1))</f>
        <v>1</v>
      </c>
      <c r="F1331" s="48" t="n">
        <f aca="false">B1331*(IF($A1331&lt;$Q$1329,INDEX(Surface_Engine!$D$12:$D$72,$A1331+1)+(Surface_Engine!G248*12)*INDEX(Surface_Engine!$F$12:$F$72,$A1331+1)-(Surface_Engine!G248*12),1000*12*INDEX(Surface_Engine!$C$12:$C$72,$A1331+1)/(1+Assumptions!$B$10)^8+INDEX(Surface_Engine!$D$12:$D$72,$A1331+1)))*INDEX(Surface_Engine!$B$12:$B$72,$A1331+1)+F1332</f>
        <v>-3126.54847093965</v>
      </c>
      <c r="G1331" s="48" t="n">
        <f aca="false">C1331*(IF($A1331&lt;$Q$1329,INDEX(Surface_Engine!$D$12:$D$72,$A1331+1)+(Surface_Engine!G248*12)*INDEX(Surface_Engine!$F$12:$F$72,$A1331+1)-(Surface_Engine!G248*12),1000*12*INDEX(Surface_Engine!$C$12:$C$72,$A1331+1)/(1+Assumptions!$B$10)^8+INDEX(Surface_Engine!$D$12:$D$72,$A1331+1)))*INDEX(Surface_Engine!$B$12:$B$72,$A1331+1)+G1332</f>
        <v>7519.70336400021</v>
      </c>
      <c r="H1331" s="48" t="n">
        <f aca="false">D1331*(IF($A1331&lt;$Q$1329,INDEX(Surface_Engine!$D$12:$D$72,$A1331+1)+(Surface_Engine!G248*12)*INDEX(Surface_Engine!$F$12:$F$72,$A1331+1)-(Surface_Engine!G248*12),1000*12*INDEX(Surface_Engine!$C$12:$C$72,$A1331+1)/(1+Assumptions!$B$10)^8+INDEX(Surface_Engine!$D$12:$D$72,$A1331+1)))*INDEX(Surface_Engine!$B$12:$B$72,$A1331+1)+H1332</f>
        <v>-4791.53977593558</v>
      </c>
      <c r="I1331" s="48" t="n">
        <f aca="false">E1331*(IF($A1331&lt;$Q$1329,INDEX(Surface_Engine!$D$12:$D$72,$A1331+1)+(Surface_Engine!G248*12)*INDEX(Surface_Engine!$F$12:$F$72,$A1331+1)-(Surface_Engine!G248*12),1000*12*INDEX(Surface_Engine!$C$12:$C$72,$A1331+1)/(1+Assumptions!$B$10)^8+INDEX(Surface_Engine!$D$12:$D$72,$A1331+1)))*INDEX(Surface_Engine!$B$12:$B$72,$A1331+1)+I1332</f>
        <v>-1286.09443153842</v>
      </c>
      <c r="J1331" s="48" t="n">
        <f aca="false">B1331*(IF($A1331&lt;$Q$1329,INDEX(Surface_Engine!$D$12:$D$72,$A1331+1)*(1+Assumptions!$B$24)+(Surface_Engine!G248*12)*INDEX(Surface_Engine!$F$12:$F$72,$A1331+1)-(Surface_Engine!G248*12),1000*12*INDEX(Surface_Engine!$C$12:$C$72,$A1331+1)/(1+Assumptions!$B$10)^8+INDEX(Surface_Engine!$D$12:$D$72,$A1331+1)*(1+Assumptions!$B$24)))*INDEX(Surface_Engine!$B$12:$B$72,$A1331+1)+J1332</f>
        <v>-3000.76359178568</v>
      </c>
      <c r="K1331" s="12" t="n">
        <f aca="false">SQRT((IF(C1331&lt;=0,0,MAX(0,(B1331/C1331)*G1331/INDEX(Surface_Engine!$B$12:$B$72,$A1331+1)-F1331/INDEX(Surface_Engine!$B$12:$B$72,$A1331+1))))^2+(MAX(IF(D1331&lt;=0,0,MAX(0,(B1331/D1331)*H1331/INDEX(Surface_Engine!$B$12:$B$72,$A1331+1)-F1331/INDEX(Surface_Engine!$B$12:$B$72,$A1331+1))),IF(E1331&lt;=0,0,MAX(0,(B1331/E1331)*I1331/INDEX(Surface_Engine!$B$12:$B$72,$A1331+1)-F1331/INDEX(Surface_Engine!$B$12:$B$72,$A1331+1))),IF($A1331&lt;$Q$1329,MAX(0,-Assumptions!$B$22*(F1331/INDEX(Surface_Engine!$B$12:$B$72,$A1331+1))),0)))^2+(MAX(0,J1331/INDEX(Surface_Engine!$B$12:$B$72,$A1331+1)-(F1331/INDEX(Surface_Engine!$B$12:$B$72,$A1331+1))))^2+2*Assumptions!$B$26*(IF(C1331&lt;=0,0,MAX(0,(B1331/C1331)*G1331/INDEX(Surface_Engine!$B$12:$B$72,$A1331+1)-F1331/INDEX(Surface_Engine!$B$12:$B$72,$A1331+1))))*(MAX(IF(D1331&lt;=0,0,MAX(0,(B1331/D1331)*H1331/INDEX(Surface_Engine!$B$12:$B$72,$A1331+1)-F1331/INDEX(Surface_Engine!$B$12:$B$72,$A1331+1))),IF(E1331&lt;=0,0,MAX(0,(B1331/E1331)*I1331/INDEX(Surface_Engine!$B$12:$B$72,$A1331+1)-F1331/INDEX(Surface_Engine!$B$12:$B$72,$A1331+1))),IF($A1331&lt;$Q$1329,MAX(0,-Assumptions!$B$22*(F1331/INDEX(Surface_Engine!$B$12:$B$72,$A1331+1))),0)))+2*Assumptions!$B$27*(IF(C1331&lt;=0,0,MAX(0,(B1331/C1331)*G1331/INDEX(Surface_Engine!$B$12:$B$72,$A1331+1)-F1331/INDEX(Surface_Engine!$B$12:$B$72,$A1331+1))))*(MAX(0,J1331/INDEX(Surface_Engine!$B$12:$B$72,$A1331+1)-(F1331/INDEX(Surface_Engine!$B$12:$B$72,$A1331+1))))+2*Assumptions!$B$28*(MAX(IF(D1331&lt;=0,0,MAX(0,(B1331/D1331)*H1331/INDEX(Surface_Engine!$B$12:$B$72,$A1331+1)-F1331/INDEX(Surface_Engine!$B$12:$B$72,$A1331+1))),IF(E1331&lt;=0,0,MAX(0,(B1331/E1331)*I1331/INDEX(Surface_Engine!$B$12:$B$72,$A1331+1)-F1331/INDEX(Surface_Engine!$B$12:$B$72,$A1331+1))),IF($A1331&lt;$Q$1329,MAX(0,-Assumptions!$B$22*(F1331/INDEX(Surface_Engine!$B$12:$B$72,$A1331+1))),0)))*(MAX(0,J1331/INDEX(Surface_Engine!$B$12:$B$72,$A1331+1)-(F1331/INDEX(Surface_Engine!$B$12:$B$72,$A1331+1)))))</f>
        <v>11289.1013670782</v>
      </c>
      <c r="L1331" s="48" t="n">
        <f aca="false">K1331*INDEX(Surface_Engine!$B$12:$B$72,$A1331+1)+L1332</f>
        <v>171725.886761234</v>
      </c>
      <c r="M1331" s="48" t="n">
        <v>0</v>
      </c>
      <c r="N1331" s="12" t="n">
        <f aca="false">IF(B1331&lt;=0,0,MAX(0,(K1331+Assumptions!$B$29*L1331/INDEX(Surface_Engine!$B$12:$B$72,$A1331+1)-(M1331/INDEX(Surface_Engine!$B$12:$B$72,$A1331+1)-(F1331/INDEX(Surface_Engine!$B$12:$B$72,$A1331+1))))/B1331))</f>
        <v>18466.1061018125</v>
      </c>
    </row>
    <row r="1332" customFormat="false" ht="15" hidden="false" customHeight="true" outlineLevel="0" collapsed="false">
      <c r="A1332" s="1" t="n">
        <v>1</v>
      </c>
      <c r="B1332" s="32" t="n">
        <f aca="false">INDEX(Surface_Engine!$S$12:$S$72,$A1332+1)*IF($A1332&lt;$Q$1329,INDEX(Surface_Engine!$E$12:$E$72,$A1332+1),INDEX(Surface_Engine!$E$12:$E$72,$Q$1329+1))</f>
        <v>0.948091429174549</v>
      </c>
      <c r="C1332" s="32" t="n">
        <f aca="false">INDEX(Panel_Reserving!$G$8:$G$68,$A1332+1)*IF($A1332&lt;$Q$1329,INDEX(Surface_Engine!$E$12:$E$72,$A1332+1),INDEX(Surface_Engine!$E$12:$E$72,$Q$1329+1))</f>
        <v>0.950353143339639</v>
      </c>
      <c r="D1332" s="32" t="n">
        <f aca="false">INDEX(Surface_Engine!$S$12:$S$72,$A1332+1)*IF($A1332&lt;$Q$1329,INDEX(Surface_Engine!$Y$12:$Y$72,$A1332+1),INDEX(Surface_Engine!$Y$12:$Y$72,$Q$1329+1))</f>
        <v>0.928030707877651</v>
      </c>
      <c r="E1332" s="32" t="n">
        <f aca="false">INDEX(Surface_Engine!$S$12:$S$72,$A1332+1)*IF($A1332&lt;$Q$1329,INDEX(Surface_Engine!$Z$12:$Z$72,$A1332+1),INDEX(Surface_Engine!$Z$12:$Z$72,$Q$1329+1))</f>
        <v>0.968152150471446</v>
      </c>
      <c r="F1332" s="48" t="n">
        <f aca="false">B1332*(IF($A1332&lt;$Q$1329,INDEX(Surface_Engine!$D$12:$D$72,$A1332+1)+(Surface_Engine!G248*12)*INDEX(Surface_Engine!$F$12:$F$72,$A1332+1)-(Surface_Engine!G248*12),1000*12*INDEX(Surface_Engine!$C$12:$C$72,$A1332+1)/(1+Assumptions!$B$10)^8+INDEX(Surface_Engine!$D$12:$D$72,$A1332+1)))*INDEX(Surface_Engine!$B$12:$B$72,$A1332+1)+F1333</f>
        <v>-3208.54847093965</v>
      </c>
      <c r="G1332" s="48" t="n">
        <f aca="false">C1332*(IF($A1332&lt;$Q$1329,INDEX(Surface_Engine!$D$12:$D$72,$A1332+1)+(Surface_Engine!G248*12)*INDEX(Surface_Engine!$F$12:$F$72,$A1332+1)-(Surface_Engine!G248*12),1000*12*INDEX(Surface_Engine!$C$12:$C$72,$A1332+1)/(1+Assumptions!$B$10)^8+INDEX(Surface_Engine!$D$12:$D$72,$A1332+1)))*INDEX(Surface_Engine!$B$12:$B$72,$A1332+1)+G1333</f>
        <v>7437.70336400021</v>
      </c>
      <c r="H1332" s="48" t="n">
        <f aca="false">D1332*(IF($A1332&lt;$Q$1329,INDEX(Surface_Engine!$D$12:$D$72,$A1332+1)+(Surface_Engine!G248*12)*INDEX(Surface_Engine!$F$12:$F$72,$A1332+1)-(Surface_Engine!G248*12),1000*12*INDEX(Surface_Engine!$C$12:$C$72,$A1332+1)/(1+Assumptions!$B$10)^8+INDEX(Surface_Engine!$D$12:$D$72,$A1332+1)))*INDEX(Surface_Engine!$B$12:$B$72,$A1332+1)+H1333</f>
        <v>-4873.53977593558</v>
      </c>
      <c r="I1332" s="48" t="n">
        <f aca="false">E1332*(IF($A1332&lt;$Q$1329,INDEX(Surface_Engine!$D$12:$D$72,$A1332+1)+(Surface_Engine!G248*12)*INDEX(Surface_Engine!$F$12:$F$72,$A1332+1)-(Surface_Engine!G248*12),1000*12*INDEX(Surface_Engine!$C$12:$C$72,$A1332+1)/(1+Assumptions!$B$10)^8+INDEX(Surface_Engine!$D$12:$D$72,$A1332+1)))*INDEX(Surface_Engine!$B$12:$B$72,$A1332+1)+I1333</f>
        <v>-1368.09443153842</v>
      </c>
      <c r="J1332" s="48" t="n">
        <f aca="false">B1332*(IF($A1332&lt;$Q$1329,INDEX(Surface_Engine!$D$12:$D$72,$A1332+1)*(1+Assumptions!$B$24)+(Surface_Engine!G248*12)*INDEX(Surface_Engine!$F$12:$F$72,$A1332+1)-(Surface_Engine!G248*12),1000*12*INDEX(Surface_Engine!$C$12:$C$72,$A1332+1)/(1+Assumptions!$B$10)^8+INDEX(Surface_Engine!$D$12:$D$72,$A1332+1)*(1+Assumptions!$B$24)))*INDEX(Surface_Engine!$B$12:$B$72,$A1332+1)+J1333</f>
        <v>-3090.96359178568</v>
      </c>
      <c r="K1332" s="12" t="n">
        <f aca="false">SQRT((IF(C1332&lt;=0,0,MAX(0,(B1332/C1332)*G1332/INDEX(Surface_Engine!$B$12:$B$72,$A1332+1)-F1332/INDEX(Surface_Engine!$B$12:$B$72,$A1332+1))))^2+(MAX(IF(D1332&lt;=0,0,MAX(0,(B1332/D1332)*H1332/INDEX(Surface_Engine!$B$12:$B$72,$A1332+1)-F1332/INDEX(Surface_Engine!$B$12:$B$72,$A1332+1))),IF(E1332&lt;=0,0,MAX(0,(B1332/E1332)*I1332/INDEX(Surface_Engine!$B$12:$B$72,$A1332+1)-F1332/INDEX(Surface_Engine!$B$12:$B$72,$A1332+1))),IF($A1332&lt;$Q$1329,MAX(0,-Assumptions!$B$22*(F1332/INDEX(Surface_Engine!$B$12:$B$72,$A1332+1))),0)))^2+(MAX(0,J1332/INDEX(Surface_Engine!$B$12:$B$72,$A1332+1)-(F1332/INDEX(Surface_Engine!$B$12:$B$72,$A1332+1))))^2+2*Assumptions!$B$26*(IF(C1332&lt;=0,0,MAX(0,(B1332/C1332)*G1332/INDEX(Surface_Engine!$B$12:$B$72,$A1332+1)-F1332/INDEX(Surface_Engine!$B$12:$B$72,$A1332+1))))*(MAX(IF(D1332&lt;=0,0,MAX(0,(B1332/D1332)*H1332/INDEX(Surface_Engine!$B$12:$B$72,$A1332+1)-F1332/INDEX(Surface_Engine!$B$12:$B$72,$A1332+1))),IF(E1332&lt;=0,0,MAX(0,(B1332/E1332)*I1332/INDEX(Surface_Engine!$B$12:$B$72,$A1332+1)-F1332/INDEX(Surface_Engine!$B$12:$B$72,$A1332+1))),IF($A1332&lt;$Q$1329,MAX(0,-Assumptions!$B$22*(F1332/INDEX(Surface_Engine!$B$12:$B$72,$A1332+1))),0)))+2*Assumptions!$B$27*(IF(C1332&lt;=0,0,MAX(0,(B1332/C1332)*G1332/INDEX(Surface_Engine!$B$12:$B$72,$A1332+1)-F1332/INDEX(Surface_Engine!$B$12:$B$72,$A1332+1))))*(MAX(0,J1332/INDEX(Surface_Engine!$B$12:$B$72,$A1332+1)-(F1332/INDEX(Surface_Engine!$B$12:$B$72,$A1332+1))))+2*Assumptions!$B$28*(MAX(IF(D1332&lt;=0,0,MAX(0,(B1332/D1332)*H1332/INDEX(Surface_Engine!$B$12:$B$72,$A1332+1)-F1332/INDEX(Surface_Engine!$B$12:$B$72,$A1332+1))),IF(E1332&lt;=0,0,MAX(0,(B1332/E1332)*I1332/INDEX(Surface_Engine!$B$12:$B$72,$A1332+1)-F1332/INDEX(Surface_Engine!$B$12:$B$72,$A1332+1))),IF($A1332&lt;$Q$1329,MAX(0,-Assumptions!$B$22*(F1332/INDEX(Surface_Engine!$B$12:$B$72,$A1332+1))),0)))*(MAX(0,J1332/INDEX(Surface_Engine!$B$12:$B$72,$A1332+1)-(F1332/INDEX(Surface_Engine!$B$12:$B$72,$A1332+1)))))</f>
        <v>11573.278729651</v>
      </c>
      <c r="L1332" s="48" t="n">
        <f aca="false">K1332*INDEX(Surface_Engine!$B$12:$B$72,$A1332+1)+L1333</f>
        <v>160436.785394156</v>
      </c>
      <c r="M1332" s="48" t="n">
        <f aca="false">M1331+B1331*(IF($A1331&lt;$Q$1329,(Surface_Engine!G248*12)-(Surface_Engine!G248*12)*INDEX(Surface_Engine!$F$12:$F$72,$A1331+1)-INDEX(Surface_Engine!$D$12:$D$72,$A1331+1),-(1000*12*INDEX(Surface_Engine!$C$12:$C$72,$A1331+1)/(1+Assumptions!$B$10)^8+INDEX(Surface_Engine!$D$12:$D$72,$A1331+1))))*INDEX(Surface_Engine!$B$12:$B$72,$A1331+1)</f>
        <v>-82</v>
      </c>
      <c r="N1332" s="12" t="n">
        <f aca="false">IF(B1332&lt;=0,0,MAX(0,(K1332+Assumptions!$B$29*L1332/INDEX(Surface_Engine!$B$12:$B$72,$A1332+1)-(M1332/INDEX(Surface_Engine!$B$12:$B$72,$A1332+1)-(F1332/INDEX(Surface_Engine!$B$12:$B$72,$A1332+1))))/B1332))</f>
        <v>19240.4107448445</v>
      </c>
    </row>
    <row r="1333" customFormat="false" ht="15" hidden="false" customHeight="true" outlineLevel="0" collapsed="false">
      <c r="A1333" s="1" t="n">
        <v>2</v>
      </c>
      <c r="B1333" s="32" t="n">
        <f aca="false">INDEX(Surface_Engine!$S$12:$S$72,$A1333+1)*IF($A1333&lt;$Q$1329,INDEX(Surface_Engine!$E$12:$E$72,$A1333+1),INDEX(Surface_Engine!$E$12:$E$72,$Q$1329+1))</f>
        <v>0.915450309934018</v>
      </c>
      <c r="C1333" s="32" t="n">
        <f aca="false">INDEX(Panel_Reserving!$G$8:$G$68,$A1333+1)*IF($A1333&lt;$Q$1329,INDEX(Surface_Engine!$E$12:$E$72,$A1333+1),INDEX(Surface_Engine!$E$12:$E$72,$Q$1329+1))</f>
        <v>0.920053421834699</v>
      </c>
      <c r="D1333" s="32" t="n">
        <f aca="false">INDEX(Surface_Engine!$S$12:$S$72,$A1333+1)*IF($A1333&lt;$Q$1329,INDEX(Surface_Engine!$Y$12:$Y$72,$A1333+1),INDEX(Surface_Engine!$Y$12:$Y$72,$Q$1329+1))</f>
        <v>0.886142115938819</v>
      </c>
      <c r="E1333" s="32" t="n">
        <f aca="false">INDEX(Surface_Engine!$S$12:$S$72,$A1333+1)*IF($A1333&lt;$Q$1329,INDEX(Surface_Engine!$Z$12:$Z$72,$A1333+1),INDEX(Surface_Engine!$Z$12:$Z$72,$Q$1329+1))</f>
        <v>0.945188157850868</v>
      </c>
      <c r="F1333" s="48" t="n">
        <f aca="false">B1333*(IF($A1333&lt;$Q$1329,INDEX(Surface_Engine!$D$12:$D$72,$A1333+1)+(Surface_Engine!G248*12)*INDEX(Surface_Engine!$F$12:$F$72,$A1333+1)-(Surface_Engine!G248*12),1000*12*INDEX(Surface_Engine!$C$12:$C$72,$A1333+1)/(1+Assumptions!$B$10)^8+INDEX(Surface_Engine!$D$12:$D$72,$A1333+1)))*INDEX(Surface_Engine!$B$12:$B$72,$A1333+1)+F1334</f>
        <v>10853.7953878624</v>
      </c>
      <c r="G1333" s="48" t="n">
        <f aca="false">C1333*(IF($A1333&lt;$Q$1329,INDEX(Surface_Engine!$D$12:$D$72,$A1333+1)+(Surface_Engine!G248*12)*INDEX(Surface_Engine!$F$12:$F$72,$A1333+1)-(Surface_Engine!G248*12),1000*12*INDEX(Surface_Engine!$C$12:$C$72,$A1333+1)/(1+Assumptions!$B$10)^8+INDEX(Surface_Engine!$D$12:$D$72,$A1333+1)))*INDEX(Surface_Engine!$B$12:$B$72,$A1333+1)+G1334</f>
        <v>21533.5935679343</v>
      </c>
      <c r="H1333" s="48" t="n">
        <f aca="false">D1333*(IF($A1333&lt;$Q$1329,INDEX(Surface_Engine!$D$12:$D$72,$A1333+1)+(Surface_Engine!G248*12)*INDEX(Surface_Engine!$F$12:$F$72,$A1333+1)-(Surface_Engine!G248*12),1000*12*INDEX(Surface_Engine!$C$12:$C$72,$A1333+1)/(1+Assumptions!$B$10)^8+INDEX(Surface_Engine!$D$12:$D$72,$A1333+1)))*INDEX(Surface_Engine!$B$12:$B$72,$A1333+1)+H1334</f>
        <v>8891.25813713612</v>
      </c>
      <c r="I1333" s="48" t="n">
        <f aca="false">E1333*(IF($A1333&lt;$Q$1329,INDEX(Surface_Engine!$D$12:$D$72,$A1333+1)+(Surface_Engine!G248*12)*INDEX(Surface_Engine!$F$12:$F$72,$A1333+1)-(Surface_Engine!G248*12),1000*12*INDEX(Surface_Engine!$C$12:$C$72,$A1333+1)/(1+Assumptions!$B$10)^8+INDEX(Surface_Engine!$D$12:$D$72,$A1333+1)))*INDEX(Surface_Engine!$B$12:$B$72,$A1333+1)+I1334</f>
        <v>12991.7953729939</v>
      </c>
      <c r="J1333" s="48" t="n">
        <f aca="false">B1333*(IF($A1333&lt;$Q$1329,INDEX(Surface_Engine!$D$12:$D$72,$A1333+1)*(1+Assumptions!$B$24)+(Surface_Engine!G248*12)*INDEX(Surface_Engine!$F$12:$F$72,$A1333+1)-(Surface_Engine!G248*12),1000*12*INDEX(Surface_Engine!$C$12:$C$72,$A1333+1)/(1+Assumptions!$B$10)^8+INDEX(Surface_Engine!$D$12:$D$72,$A1333+1)*(1+Assumptions!$B$24)))*INDEX(Surface_Engine!$B$12:$B$72,$A1333+1)+J1334</f>
        <v>10963.6131918261</v>
      </c>
      <c r="K1333" s="12" t="n">
        <f aca="false">SQRT((IF(C1333&lt;=0,0,MAX(0,(B1333/C1333)*G1333/INDEX(Surface_Engine!$B$12:$B$72,$A1333+1)-F1333/INDEX(Surface_Engine!$B$12:$B$72,$A1333+1))))^2+(MAX(IF(D1333&lt;=0,0,MAX(0,(B1333/D1333)*H1333/INDEX(Surface_Engine!$B$12:$B$72,$A1333+1)-F1333/INDEX(Surface_Engine!$B$12:$B$72,$A1333+1))),IF(E1333&lt;=0,0,MAX(0,(B1333/E1333)*I1333/INDEX(Surface_Engine!$B$12:$B$72,$A1333+1)-F1333/INDEX(Surface_Engine!$B$12:$B$72,$A1333+1))),IF($A1333&lt;$Q$1329,MAX(0,-Assumptions!$B$22*(F1333/INDEX(Surface_Engine!$B$12:$B$72,$A1333+1))),0)))^2+(MAX(0,J1333/INDEX(Surface_Engine!$B$12:$B$72,$A1333+1)-(F1333/INDEX(Surface_Engine!$B$12:$B$72,$A1333+1))))^2+2*Assumptions!$B$26*(IF(C1333&lt;=0,0,MAX(0,(B1333/C1333)*G1333/INDEX(Surface_Engine!$B$12:$B$72,$A1333+1)-F1333/INDEX(Surface_Engine!$B$12:$B$72,$A1333+1))))*(MAX(IF(D1333&lt;=0,0,MAX(0,(B1333/D1333)*H1333/INDEX(Surface_Engine!$B$12:$B$72,$A1333+1)-F1333/INDEX(Surface_Engine!$B$12:$B$72,$A1333+1))),IF(E1333&lt;=0,0,MAX(0,(B1333/E1333)*I1333/INDEX(Surface_Engine!$B$12:$B$72,$A1333+1)-F1333/INDEX(Surface_Engine!$B$12:$B$72,$A1333+1))),IF($A1333&lt;$Q$1329,MAX(0,-Assumptions!$B$22*(F1333/INDEX(Surface_Engine!$B$12:$B$72,$A1333+1))),0)))+2*Assumptions!$B$27*(IF(C1333&lt;=0,0,MAX(0,(B1333/C1333)*G1333/INDEX(Surface_Engine!$B$12:$B$72,$A1333+1)-F1333/INDEX(Surface_Engine!$B$12:$B$72,$A1333+1))))*(MAX(0,J1333/INDEX(Surface_Engine!$B$12:$B$72,$A1333+1)-(F1333/INDEX(Surface_Engine!$B$12:$B$72,$A1333+1))))+2*Assumptions!$B$28*(MAX(IF(D1333&lt;=0,0,MAX(0,(B1333/D1333)*H1333/INDEX(Surface_Engine!$B$12:$B$72,$A1333+1)-F1333/INDEX(Surface_Engine!$B$12:$B$72,$A1333+1))),IF(E1333&lt;=0,0,MAX(0,(B1333/E1333)*I1333/INDEX(Surface_Engine!$B$12:$B$72,$A1333+1)-F1333/INDEX(Surface_Engine!$B$12:$B$72,$A1333+1))),IF($A1333&lt;$Q$1329,MAX(0,-Assumptions!$B$22*(F1333/INDEX(Surface_Engine!$B$12:$B$72,$A1333+1))),0)))*(MAX(0,J1333/INDEX(Surface_Engine!$B$12:$B$72,$A1333+1)-(F1333/INDEX(Surface_Engine!$B$12:$B$72,$A1333+1)))))</f>
        <v>11760.260397917</v>
      </c>
      <c r="L1333" s="48" t="n">
        <f aca="false">K1333*INDEX(Surface_Engine!$B$12:$B$72,$A1333+1)+L1334</f>
        <v>149156.346849133</v>
      </c>
      <c r="M1333" s="48" t="n">
        <f aca="false">M1332+B1332*(IF($A1332&lt;$Q$1329,(Surface_Engine!G248*12)-(Surface_Engine!G248*12)*INDEX(Surface_Engine!$F$12:$F$72,$A1332+1)-INDEX(Surface_Engine!$D$12:$D$72,$A1332+1),-(1000*12*INDEX(Surface_Engine!$C$12:$C$72,$A1332+1)/(1+Assumptions!$B$10)^8+INDEX(Surface_Engine!$D$12:$D$72,$A1332+1))))*INDEX(Surface_Engine!$B$12:$B$72,$A1332+1)</f>
        <v>13980.343858802</v>
      </c>
      <c r="N1333" s="12" t="n">
        <f aca="false">IF(B1333&lt;=0,0,MAX(0,(K1333+Assumptions!$B$29*L1333/INDEX(Surface_Engine!$B$12:$B$72,$A1333+1)-(M1333/INDEX(Surface_Engine!$B$12:$B$72,$A1333+1)-(F1333/INDEX(Surface_Engine!$B$12:$B$72,$A1333+1))))/B1333))</f>
        <v>19545.4882162755</v>
      </c>
    </row>
    <row r="1334" customFormat="false" ht="15" hidden="false" customHeight="true" outlineLevel="0" collapsed="false">
      <c r="A1334" s="1" t="n">
        <v>3</v>
      </c>
      <c r="B1334" s="32" t="n">
        <f aca="false">INDEX(Surface_Engine!$S$12:$S$72,$A1334+1)*IF($A1334&lt;$Q$1329,INDEX(Surface_Engine!$E$12:$E$72,$A1334+1),INDEX(Surface_Engine!$E$12:$E$72,$Q$1329+1))</f>
        <v>0.890257968372373</v>
      </c>
      <c r="C1334" s="32" t="n">
        <f aca="false">INDEX(Panel_Reserving!$G$8:$G$68,$A1334+1)*IF($A1334&lt;$Q$1329,INDEX(Surface_Engine!$E$12:$E$72,$A1334+1),INDEX(Surface_Engine!$E$12:$E$72,$Q$1329+1))</f>
        <v>0.897350867794799</v>
      </c>
      <c r="D1334" s="32" t="n">
        <f aca="false">INDEX(Surface_Engine!$S$12:$S$72,$A1334+1)*IF($A1334&lt;$Q$1329,INDEX(Surface_Engine!$Y$12:$Y$72,$A1334+1),INDEX(Surface_Engine!$Y$12:$Y$72,$Q$1329+1))</f>
        <v>0.855948383779193</v>
      </c>
      <c r="E1334" s="32" t="n">
        <f aca="false">INDEX(Surface_Engine!$S$12:$S$72,$A1334+1)*IF($A1334&lt;$Q$1329,INDEX(Surface_Engine!$Z$12:$Z$72,$A1334+1),INDEX(Surface_Engine!$Z$12:$Z$72,$Q$1329+1))</f>
        <v>0.925372380925957</v>
      </c>
      <c r="F1334" s="48" t="n">
        <f aca="false">B1334*(IF($A1334&lt;$Q$1329,INDEX(Surface_Engine!$D$12:$D$72,$A1334+1)+(Surface_Engine!G248*12)*INDEX(Surface_Engine!$F$12:$F$72,$A1334+1)-(Surface_Engine!G248*12),1000*12*INDEX(Surface_Engine!$C$12:$C$72,$A1334+1)/(1+Assumptions!$B$10)^8+INDEX(Surface_Engine!$D$12:$D$72,$A1334+1)))*INDEX(Surface_Engine!$B$12:$B$72,$A1334+1)+F1335</f>
        <v>24078.8636085077</v>
      </c>
      <c r="G1334" s="48" t="n">
        <f aca="false">C1334*(IF($A1334&lt;$Q$1329,INDEX(Surface_Engine!$D$12:$D$72,$A1334+1)+(Surface_Engine!G248*12)*INDEX(Surface_Engine!$F$12:$F$72,$A1334+1)-(Surface_Engine!G248*12),1000*12*INDEX(Surface_Engine!$C$12:$C$72,$A1334+1)/(1+Assumptions!$B$10)^8+INDEX(Surface_Engine!$D$12:$D$72,$A1334+1)))*INDEX(Surface_Engine!$B$12:$B$72,$A1334+1)+G1335</f>
        <v>34825.1607216764</v>
      </c>
      <c r="H1334" s="48" t="n">
        <f aca="false">D1334*(IF($A1334&lt;$Q$1329,INDEX(Surface_Engine!$D$12:$D$72,$A1334+1)+(Surface_Engine!G248*12)*INDEX(Surface_Engine!$F$12:$F$72,$A1334+1)-(Surface_Engine!G248*12),1000*12*INDEX(Surface_Engine!$C$12:$C$72,$A1334+1)/(1+Assumptions!$B$10)^8+INDEX(Surface_Engine!$D$12:$D$72,$A1334+1)))*INDEX(Surface_Engine!$B$12:$B$72,$A1334+1)+H1335</f>
        <v>21692.9250428172</v>
      </c>
      <c r="I1334" s="48" t="n">
        <f aca="false">E1334*(IF($A1334&lt;$Q$1329,INDEX(Surface_Engine!$D$12:$D$72,$A1334+1)+(Surface_Engine!G248*12)*INDEX(Surface_Engine!$F$12:$F$72,$A1334+1)-(Surface_Engine!G248*12),1000*12*INDEX(Surface_Engine!$C$12:$C$72,$A1334+1)/(1+Assumptions!$B$10)^8+INDEX(Surface_Engine!$D$12:$D$72,$A1334+1)))*INDEX(Surface_Engine!$B$12:$B$72,$A1334+1)+I1335</f>
        <v>26646.4719111719</v>
      </c>
      <c r="J1334" s="48" t="n">
        <f aca="false">B1334*(IF($A1334&lt;$Q$1329,INDEX(Surface_Engine!$D$12:$D$72,$A1334+1)*(1+Assumptions!$B$24)+(Surface_Engine!G248*12)*INDEX(Surface_Engine!$F$12:$F$72,$A1334+1)-(Surface_Engine!G248*12),1000*12*INDEX(Surface_Engine!$C$12:$C$72,$A1334+1)/(1+Assumptions!$B$10)^8+INDEX(Surface_Engine!$D$12:$D$72,$A1334+1)*(1+Assumptions!$B$24)))*INDEX(Surface_Engine!$B$12:$B$72,$A1334+1)+J1335</f>
        <v>24181.1931414337</v>
      </c>
      <c r="K1334" s="12" t="n">
        <f aca="false">SQRT((IF(C1334&lt;=0,0,MAX(0,(B1334/C1334)*G1334/INDEX(Surface_Engine!$B$12:$B$72,$A1334+1)-F1334/INDEX(Surface_Engine!$B$12:$B$72,$A1334+1))))^2+(MAX(IF(D1334&lt;=0,0,MAX(0,(B1334/D1334)*H1334/INDEX(Surface_Engine!$B$12:$B$72,$A1334+1)-F1334/INDEX(Surface_Engine!$B$12:$B$72,$A1334+1))),IF(E1334&lt;=0,0,MAX(0,(B1334/E1334)*I1334/INDEX(Surface_Engine!$B$12:$B$72,$A1334+1)-F1334/INDEX(Surface_Engine!$B$12:$B$72,$A1334+1))),IF($A1334&lt;$Q$1329,MAX(0,-Assumptions!$B$22*(F1334/INDEX(Surface_Engine!$B$12:$B$72,$A1334+1))),0)))^2+(MAX(0,J1334/INDEX(Surface_Engine!$B$12:$B$72,$A1334+1)-(F1334/INDEX(Surface_Engine!$B$12:$B$72,$A1334+1))))^2+2*Assumptions!$B$26*(IF(C1334&lt;=0,0,MAX(0,(B1334/C1334)*G1334/INDEX(Surface_Engine!$B$12:$B$72,$A1334+1)-F1334/INDEX(Surface_Engine!$B$12:$B$72,$A1334+1))))*(MAX(IF(D1334&lt;=0,0,MAX(0,(B1334/D1334)*H1334/INDEX(Surface_Engine!$B$12:$B$72,$A1334+1)-F1334/INDEX(Surface_Engine!$B$12:$B$72,$A1334+1))),IF(E1334&lt;=0,0,MAX(0,(B1334/E1334)*I1334/INDEX(Surface_Engine!$B$12:$B$72,$A1334+1)-F1334/INDEX(Surface_Engine!$B$12:$B$72,$A1334+1))),IF($A1334&lt;$Q$1329,MAX(0,-Assumptions!$B$22*(F1334/INDEX(Surface_Engine!$B$12:$B$72,$A1334+1))),0)))+2*Assumptions!$B$27*(IF(C1334&lt;=0,0,MAX(0,(B1334/C1334)*G1334/INDEX(Surface_Engine!$B$12:$B$72,$A1334+1)-F1334/INDEX(Surface_Engine!$B$12:$B$72,$A1334+1))))*(MAX(0,J1334/INDEX(Surface_Engine!$B$12:$B$72,$A1334+1)-(F1334/INDEX(Surface_Engine!$B$12:$B$72,$A1334+1))))+2*Assumptions!$B$28*(MAX(IF(D1334&lt;=0,0,MAX(0,(B1334/D1334)*H1334/INDEX(Surface_Engine!$B$12:$B$72,$A1334+1)-F1334/INDEX(Surface_Engine!$B$12:$B$72,$A1334+1))),IF(E1334&lt;=0,0,MAX(0,(B1334/E1334)*I1334/INDEX(Surface_Engine!$B$12:$B$72,$A1334+1)-F1334/INDEX(Surface_Engine!$B$12:$B$72,$A1334+1))),IF($A1334&lt;$Q$1329,MAX(0,-Assumptions!$B$22*(F1334/INDEX(Surface_Engine!$B$12:$B$72,$A1334+1))),0)))*(MAX(0,J1334/INDEX(Surface_Engine!$B$12:$B$72,$A1334+1)-(F1334/INDEX(Surface_Engine!$B$12:$B$72,$A1334+1)))))</f>
        <v>11884.8858794038</v>
      </c>
      <c r="L1334" s="48" t="n">
        <f aca="false">K1334*INDEX(Surface_Engine!$B$12:$B$72,$A1334+1)+L1335</f>
        <v>137990.230877178</v>
      </c>
      <c r="M1334" s="48" t="n">
        <f aca="false">M1333+B1333*(IF($A1333&lt;$Q$1329,(Surface_Engine!G248*12)-(Surface_Engine!G248*12)*INDEX(Surface_Engine!$F$12:$F$72,$A1333+1)-INDEX(Surface_Engine!$D$12:$D$72,$A1333+1),-(1000*12*INDEX(Surface_Engine!$C$12:$C$72,$A1333+1)/(1+Assumptions!$B$10)^8+INDEX(Surface_Engine!$D$12:$D$72,$A1333+1))))*INDEX(Surface_Engine!$B$12:$B$72,$A1333+1)</f>
        <v>27205.4120794473</v>
      </c>
      <c r="N1334" s="12" t="n">
        <f aca="false">IF(B1334&lt;=0,0,MAX(0,(K1334+Assumptions!$B$29*L1334/INDEX(Surface_Engine!$B$12:$B$72,$A1334+1)-(M1334/INDEX(Surface_Engine!$B$12:$B$72,$A1334+1)-(F1334/INDEX(Surface_Engine!$B$12:$B$72,$A1334+1))))/B1334))</f>
        <v>19605.6899985158</v>
      </c>
    </row>
    <row r="1335" customFormat="false" ht="15" hidden="false" customHeight="true" outlineLevel="0" collapsed="false">
      <c r="A1335" s="1" t="n">
        <v>4</v>
      </c>
      <c r="B1335" s="32" t="n">
        <f aca="false">INDEX(Surface_Engine!$S$12:$S$72,$A1335+1)*IF($A1335&lt;$Q$1329,INDEX(Surface_Engine!$E$12:$E$72,$A1335+1),INDEX(Surface_Engine!$E$12:$E$72,$Q$1329+1))</f>
        <v>0.863853375660166</v>
      </c>
      <c r="C1335" s="32" t="n">
        <f aca="false">INDEX(Panel_Reserving!$G$8:$G$68,$A1335+1)*IF($A1335&lt;$Q$1329,INDEX(Surface_Engine!$E$12:$E$72,$A1335+1),INDEX(Surface_Engine!$E$12:$E$72,$Q$1329+1))</f>
        <v>0.873671942922414</v>
      </c>
      <c r="D1335" s="32" t="n">
        <f aca="false">INDEX(Surface_Engine!$S$12:$S$72,$A1335+1)*IF($A1335&lt;$Q$1329,INDEX(Surface_Engine!$Y$12:$Y$72,$A1335+1),INDEX(Surface_Engine!$Y$12:$Y$72,$Q$1329+1))</f>
        <v>0.824963713213021</v>
      </c>
      <c r="E1335" s="32" t="n">
        <f aca="false">INDEX(Surface_Engine!$S$12:$S$72,$A1335+1)*IF($A1335&lt;$Q$1329,INDEX(Surface_Engine!$Z$12:$Z$72,$A1335+1),INDEX(Surface_Engine!$Z$12:$Z$72,$Q$1329+1))</f>
        <v>0.903978010384945</v>
      </c>
      <c r="F1335" s="48" t="n">
        <f aca="false">B1335*(IF($A1335&lt;$Q$1329,INDEX(Surface_Engine!$D$12:$D$72,$A1335+1)+(Surface_Engine!G248*12)*INDEX(Surface_Engine!$F$12:$F$72,$A1335+1)-(Surface_Engine!G248*12),1000*12*INDEX(Surface_Engine!$C$12:$C$72,$A1335+1)/(1+Assumptions!$B$10)^8+INDEX(Surface_Engine!$D$12:$D$72,$A1335+1)))*INDEX(Surface_Engine!$B$12:$B$72,$A1335+1)+F1336</f>
        <v>36609.8576368507</v>
      </c>
      <c r="G1335" s="48" t="n">
        <f aca="false">C1335*(IF($A1335&lt;$Q$1329,INDEX(Surface_Engine!$D$12:$D$72,$A1335+1)+(Surface_Engine!G248*12)*INDEX(Surface_Engine!$F$12:$F$72,$A1335+1)-(Surface_Engine!G248*12),1000*12*INDEX(Surface_Engine!$C$12:$C$72,$A1335+1)/(1+Assumptions!$B$10)^8+INDEX(Surface_Engine!$D$12:$D$72,$A1335+1)))*INDEX(Surface_Engine!$B$12:$B$72,$A1335+1)+G1336</f>
        <v>47455.9921942925</v>
      </c>
      <c r="H1335" s="48" t="n">
        <f aca="false">D1335*(IF($A1335&lt;$Q$1329,INDEX(Surface_Engine!$D$12:$D$72,$A1335+1)+(Surface_Engine!G248*12)*INDEX(Surface_Engine!$F$12:$F$72,$A1335+1)-(Surface_Engine!G248*12),1000*12*INDEX(Surface_Engine!$C$12:$C$72,$A1335+1)/(1+Assumptions!$B$10)^8+INDEX(Surface_Engine!$D$12:$D$72,$A1335+1)))*INDEX(Surface_Engine!$B$12:$B$72,$A1335+1)+H1336</f>
        <v>33740.9880388909</v>
      </c>
      <c r="I1335" s="48" t="n">
        <f aca="false">E1335*(IF($A1335&lt;$Q$1329,INDEX(Surface_Engine!$D$12:$D$72,$A1335+1)+(Surface_Engine!G248*12)*INDEX(Surface_Engine!$F$12:$F$72,$A1335+1)-(Surface_Engine!G248*12),1000*12*INDEX(Surface_Engine!$C$12:$C$72,$A1335+1)/(1+Assumptions!$B$10)^8+INDEX(Surface_Engine!$D$12:$D$72,$A1335+1)))*INDEX(Surface_Engine!$B$12:$B$72,$A1335+1)+I1336</f>
        <v>39671.7254796145</v>
      </c>
      <c r="J1335" s="48" t="n">
        <f aca="false">B1335*(IF($A1335&lt;$Q$1329,INDEX(Surface_Engine!$D$12:$D$72,$A1335+1)*(1+Assumptions!$B$24)+(Surface_Engine!G248*12)*INDEX(Surface_Engine!$F$12:$F$72,$A1335+1)-(Surface_Engine!G248*12),1000*12*INDEX(Surface_Engine!$C$12:$C$72,$A1335+1)/(1+Assumptions!$B$10)^8+INDEX(Surface_Engine!$D$12:$D$72,$A1335+1)*(1+Assumptions!$B$24)))*INDEX(Surface_Engine!$B$12:$B$72,$A1335+1)+J1336</f>
        <v>36704.9134845395</v>
      </c>
      <c r="K1335" s="12" t="n">
        <f aca="false">SQRT((IF(C1335&lt;=0,0,MAX(0,(B1335/C1335)*G1335/INDEX(Surface_Engine!$B$12:$B$72,$A1335+1)-F1335/INDEX(Surface_Engine!$B$12:$B$72,$A1335+1))))^2+(MAX(IF(D1335&lt;=0,0,MAX(0,(B1335/D1335)*H1335/INDEX(Surface_Engine!$B$12:$B$72,$A1335+1)-F1335/INDEX(Surface_Engine!$B$12:$B$72,$A1335+1))),IF(E1335&lt;=0,0,MAX(0,(B1335/E1335)*I1335/INDEX(Surface_Engine!$B$12:$B$72,$A1335+1)-F1335/INDEX(Surface_Engine!$B$12:$B$72,$A1335+1))),IF($A1335&lt;$Q$1329,MAX(0,-Assumptions!$B$22*(F1335/INDEX(Surface_Engine!$B$12:$B$72,$A1335+1))),0)))^2+(MAX(0,J1335/INDEX(Surface_Engine!$B$12:$B$72,$A1335+1)-(F1335/INDEX(Surface_Engine!$B$12:$B$72,$A1335+1))))^2+2*Assumptions!$B$26*(IF(C1335&lt;=0,0,MAX(0,(B1335/C1335)*G1335/INDEX(Surface_Engine!$B$12:$B$72,$A1335+1)-F1335/INDEX(Surface_Engine!$B$12:$B$72,$A1335+1))))*(MAX(IF(D1335&lt;=0,0,MAX(0,(B1335/D1335)*H1335/INDEX(Surface_Engine!$B$12:$B$72,$A1335+1)-F1335/INDEX(Surface_Engine!$B$12:$B$72,$A1335+1))),IF(E1335&lt;=0,0,MAX(0,(B1335/E1335)*I1335/INDEX(Surface_Engine!$B$12:$B$72,$A1335+1)-F1335/INDEX(Surface_Engine!$B$12:$B$72,$A1335+1))),IF($A1335&lt;$Q$1329,MAX(0,-Assumptions!$B$22*(F1335/INDEX(Surface_Engine!$B$12:$B$72,$A1335+1))),0)))+2*Assumptions!$B$27*(IF(C1335&lt;=0,0,MAX(0,(B1335/C1335)*G1335/INDEX(Surface_Engine!$B$12:$B$72,$A1335+1)-F1335/INDEX(Surface_Engine!$B$12:$B$72,$A1335+1))))*(MAX(0,J1335/INDEX(Surface_Engine!$B$12:$B$72,$A1335+1)-(F1335/INDEX(Surface_Engine!$B$12:$B$72,$A1335+1))))+2*Assumptions!$B$28*(MAX(IF(D1335&lt;=0,0,MAX(0,(B1335/D1335)*H1335/INDEX(Surface_Engine!$B$12:$B$72,$A1335+1)-F1335/INDEX(Surface_Engine!$B$12:$B$72,$A1335+1))),IF(E1335&lt;=0,0,MAX(0,(B1335/E1335)*I1335/INDEX(Surface_Engine!$B$12:$B$72,$A1335+1)-F1335/INDEX(Surface_Engine!$B$12:$B$72,$A1335+1))),IF($A1335&lt;$Q$1329,MAX(0,-Assumptions!$B$22*(F1335/INDEX(Surface_Engine!$B$12:$B$72,$A1335+1))),0)))*(MAX(0,J1335/INDEX(Surface_Engine!$B$12:$B$72,$A1335+1)-(F1335/INDEX(Surface_Engine!$B$12:$B$72,$A1335+1)))))</f>
        <v>11919.5519648459</v>
      </c>
      <c r="L1335" s="48" t="n">
        <f aca="false">K1335*INDEX(Surface_Engine!$B$12:$B$72,$A1335+1)+L1336</f>
        <v>126993.889821871</v>
      </c>
      <c r="M1335" s="48" t="n">
        <f aca="false">M1334+B1334*(IF($A1334&lt;$Q$1329,(Surface_Engine!G248*12)-(Surface_Engine!G248*12)*INDEX(Surface_Engine!$F$12:$F$72,$A1334+1)-INDEX(Surface_Engine!$D$12:$D$72,$A1334+1),-(1000*12*INDEX(Surface_Engine!$C$12:$C$72,$A1334+1)/(1+Assumptions!$B$10)^8+INDEX(Surface_Engine!$D$12:$D$72,$A1334+1))))*INDEX(Surface_Engine!$B$12:$B$72,$A1334+1)</f>
        <v>39736.4061077903</v>
      </c>
      <c r="N1335" s="12" t="n">
        <f aca="false">IF(B1335&lt;=0,0,MAX(0,(K1335+Assumptions!$B$29*L1335/INDEX(Surface_Engine!$B$12:$B$72,$A1335+1)-(M1335/INDEX(Surface_Engine!$B$12:$B$72,$A1335+1)-(F1335/INDEX(Surface_Engine!$B$12:$B$72,$A1335+1))))/B1335))</f>
        <v>19569.815547205</v>
      </c>
    </row>
    <row r="1336" customFormat="false" ht="15" hidden="false" customHeight="true" outlineLevel="0" collapsed="false">
      <c r="A1336" s="1" t="n">
        <v>5</v>
      </c>
      <c r="B1336" s="32" t="n">
        <f aca="false">INDEX(Surface_Engine!$S$12:$S$72,$A1336+1)*IF($A1336&lt;$Q$1329,INDEX(Surface_Engine!$E$12:$E$72,$A1336+1),INDEX(Surface_Engine!$E$12:$E$72,$Q$1329+1))</f>
        <v>0.836610393824476</v>
      </c>
      <c r="C1336" s="32" t="n">
        <f aca="false">INDEX(Panel_Reserving!$G$8:$G$68,$A1336+1)*IF($A1336&lt;$Q$1329,INDEX(Surface_Engine!$E$12:$E$72,$A1336+1),INDEX(Surface_Engine!$E$12:$E$72,$Q$1329+1))</f>
        <v>0.849305874853345</v>
      </c>
      <c r="D1336" s="32" t="n">
        <f aca="false">INDEX(Surface_Engine!$S$12:$S$72,$A1336+1)*IF($A1336&lt;$Q$1329,INDEX(Surface_Engine!$Y$12:$Y$72,$A1336+1),INDEX(Surface_Engine!$Y$12:$Y$72,$Q$1329+1))</f>
        <v>0.793562564258164</v>
      </c>
      <c r="E1336" s="32" t="n">
        <f aca="false">INDEX(Surface_Engine!$S$12:$S$72,$A1336+1)*IF($A1336&lt;$Q$1329,INDEX(Surface_Engine!$Z$12:$Z$72,$A1336+1),INDEX(Surface_Engine!$Z$12:$Z$72,$Q$1329+1))</f>
        <v>0.881369982457156</v>
      </c>
      <c r="F1336" s="48" t="n">
        <f aca="false">B1336*(IF($A1336&lt;$Q$1329,INDEX(Surface_Engine!$D$12:$D$72,$A1336+1)+(Surface_Engine!G248*12)*INDEX(Surface_Engine!$F$12:$F$72,$A1336+1)-(Surface_Engine!G248*12),1000*12*INDEX(Surface_Engine!$C$12:$C$72,$A1336+1)/(1+Assumptions!$B$10)^8+INDEX(Surface_Engine!$D$12:$D$72,$A1336+1)))*INDEX(Surface_Engine!$B$12:$B$72,$A1336+1)+F1337</f>
        <v>48451.0272995881</v>
      </c>
      <c r="G1336" s="48" t="n">
        <f aca="false">C1336*(IF($A1336&lt;$Q$1329,INDEX(Surface_Engine!$D$12:$D$72,$A1336+1)+(Surface_Engine!G248*12)*INDEX(Surface_Engine!$F$12:$F$72,$A1336+1)-(Surface_Engine!G248*12),1000*12*INDEX(Surface_Engine!$C$12:$C$72,$A1336+1)/(1+Assumptions!$B$10)^8+INDEX(Surface_Engine!$D$12:$D$72,$A1336+1)))*INDEX(Surface_Engine!$B$12:$B$72,$A1336+1)+G1337</f>
        <v>59431.7487256735</v>
      </c>
      <c r="H1336" s="48" t="n">
        <f aca="false">D1336*(IF($A1336&lt;$Q$1329,INDEX(Surface_Engine!$D$12:$D$72,$A1336+1)+(Surface_Engine!G248*12)*INDEX(Surface_Engine!$F$12:$F$72,$A1336+1)-(Surface_Engine!G248*12),1000*12*INDEX(Surface_Engine!$C$12:$C$72,$A1336+1)/(1+Assumptions!$B$10)^8+INDEX(Surface_Engine!$D$12:$D$72,$A1336+1)))*INDEX(Surface_Engine!$B$12:$B$72,$A1336+1)+H1337</f>
        <v>45049.0821773111</v>
      </c>
      <c r="I1336" s="48" t="n">
        <f aca="false">E1336*(IF($A1336&lt;$Q$1329,INDEX(Surface_Engine!$D$12:$D$72,$A1336+1)+(Surface_Engine!G248*12)*INDEX(Surface_Engine!$F$12:$F$72,$A1336+1)-(Surface_Engine!G248*12),1000*12*INDEX(Surface_Engine!$C$12:$C$72,$A1336+1)/(1+Assumptions!$B$10)^8+INDEX(Surface_Engine!$D$12:$D$72,$A1336+1)))*INDEX(Surface_Engine!$B$12:$B$72,$A1336+1)+I1337</f>
        <v>52062.8989055118</v>
      </c>
      <c r="J1336" s="48" t="n">
        <f aca="false">B1336*(IF($A1336&lt;$Q$1329,INDEX(Surface_Engine!$D$12:$D$72,$A1336+1)*(1+Assumptions!$B$24)+(Surface_Engine!G248*12)*INDEX(Surface_Engine!$F$12:$F$72,$A1336+1)-(Surface_Engine!G248*12),1000*12*INDEX(Surface_Engine!$C$12:$C$72,$A1336+1)/(1+Assumptions!$B$10)^8+INDEX(Surface_Engine!$D$12:$D$72,$A1336+1)*(1+Assumptions!$B$24)))*INDEX(Surface_Engine!$B$12:$B$72,$A1336+1)+J1337</f>
        <v>48539.0370201205</v>
      </c>
      <c r="K1336" s="12" t="n">
        <f aca="false">SQRT((IF(C1336&lt;=0,0,MAX(0,(B1336/C1336)*G1336/INDEX(Surface_Engine!$B$12:$B$72,$A1336+1)-F1336/INDEX(Surface_Engine!$B$12:$B$72,$A1336+1))))^2+(MAX(IF(D1336&lt;=0,0,MAX(0,(B1336/D1336)*H1336/INDEX(Surface_Engine!$B$12:$B$72,$A1336+1)-F1336/INDEX(Surface_Engine!$B$12:$B$72,$A1336+1))),IF(E1336&lt;=0,0,MAX(0,(B1336/E1336)*I1336/INDEX(Surface_Engine!$B$12:$B$72,$A1336+1)-F1336/INDEX(Surface_Engine!$B$12:$B$72,$A1336+1))),IF($A1336&lt;$Q$1329,MAX(0,-Assumptions!$B$22*(F1336/INDEX(Surface_Engine!$B$12:$B$72,$A1336+1))),0)))^2+(MAX(0,J1336/INDEX(Surface_Engine!$B$12:$B$72,$A1336+1)-(F1336/INDEX(Surface_Engine!$B$12:$B$72,$A1336+1))))^2+2*Assumptions!$B$26*(IF(C1336&lt;=0,0,MAX(0,(B1336/C1336)*G1336/INDEX(Surface_Engine!$B$12:$B$72,$A1336+1)-F1336/INDEX(Surface_Engine!$B$12:$B$72,$A1336+1))))*(MAX(IF(D1336&lt;=0,0,MAX(0,(B1336/D1336)*H1336/INDEX(Surface_Engine!$B$12:$B$72,$A1336+1)-F1336/INDEX(Surface_Engine!$B$12:$B$72,$A1336+1))),IF(E1336&lt;=0,0,MAX(0,(B1336/E1336)*I1336/INDEX(Surface_Engine!$B$12:$B$72,$A1336+1)-F1336/INDEX(Surface_Engine!$B$12:$B$72,$A1336+1))),IF($A1336&lt;$Q$1329,MAX(0,-Assumptions!$B$22*(F1336/INDEX(Surface_Engine!$B$12:$B$72,$A1336+1))),0)))+2*Assumptions!$B$27*(IF(C1336&lt;=0,0,MAX(0,(B1336/C1336)*G1336/INDEX(Surface_Engine!$B$12:$B$72,$A1336+1)-F1336/INDEX(Surface_Engine!$B$12:$B$72,$A1336+1))))*(MAX(0,J1336/INDEX(Surface_Engine!$B$12:$B$72,$A1336+1)-(F1336/INDEX(Surface_Engine!$B$12:$B$72,$A1336+1))))+2*Assumptions!$B$28*(MAX(IF(D1336&lt;=0,0,MAX(0,(B1336/D1336)*H1336/INDEX(Surface_Engine!$B$12:$B$72,$A1336+1)-F1336/INDEX(Surface_Engine!$B$12:$B$72,$A1336+1))),IF(E1336&lt;=0,0,MAX(0,(B1336/E1336)*I1336/INDEX(Surface_Engine!$B$12:$B$72,$A1336+1)-F1336/INDEX(Surface_Engine!$B$12:$B$72,$A1336+1))),IF($A1336&lt;$Q$1329,MAX(0,-Assumptions!$B$22*(F1336/INDEX(Surface_Engine!$B$12:$B$72,$A1336+1))),0)))*(MAX(0,J1336/INDEX(Surface_Engine!$B$12:$B$72,$A1336+1)-(F1336/INDEX(Surface_Engine!$B$12:$B$72,$A1336+1)))))</f>
        <v>11866.8885143366</v>
      </c>
      <c r="L1336" s="48" t="n">
        <f aca="false">K1336*INDEX(Surface_Engine!$B$12:$B$72,$A1336+1)+L1337</f>
        <v>116252.485631737</v>
      </c>
      <c r="M1336" s="48" t="n">
        <f aca="false">M1335+B1335*(IF($A1335&lt;$Q$1329,(Surface_Engine!G248*12)-(Surface_Engine!G248*12)*INDEX(Surface_Engine!$F$12:$F$72,$A1335+1)-INDEX(Surface_Engine!$D$12:$D$72,$A1335+1),-(1000*12*INDEX(Surface_Engine!$C$12:$C$72,$A1335+1)/(1+Assumptions!$B$10)^8+INDEX(Surface_Engine!$D$12:$D$72,$A1335+1))))*INDEX(Surface_Engine!$B$12:$B$72,$A1335+1)</f>
        <v>51577.5757705277</v>
      </c>
      <c r="N1336" s="12" t="n">
        <f aca="false">IF(B1336&lt;=0,0,MAX(0,(K1336+Assumptions!$B$29*L1336/INDEX(Surface_Engine!$B$12:$B$72,$A1336+1)-(M1336/INDEX(Surface_Engine!$B$12:$B$72,$A1336+1)-(F1336/INDEX(Surface_Engine!$B$12:$B$72,$A1336+1))))/B1336))</f>
        <v>19432.27378608</v>
      </c>
    </row>
    <row r="1337" customFormat="false" ht="15" hidden="false" customHeight="true" outlineLevel="0" collapsed="false">
      <c r="A1337" s="1" t="n">
        <v>6</v>
      </c>
      <c r="B1337" s="32" t="n">
        <f aca="false">INDEX(Surface_Engine!$S$12:$S$72,$A1337+1)*IF($A1337&lt;$Q$1329,INDEX(Surface_Engine!$E$12:$E$72,$A1337+1),INDEX(Surface_Engine!$E$12:$E$72,$Q$1329+1))</f>
        <v>0.811873349145694</v>
      </c>
      <c r="C1337" s="32" t="n">
        <f aca="false">INDEX(Panel_Reserving!$G$8:$G$68,$A1337+1)*IF($A1337&lt;$Q$1329,INDEX(Surface_Engine!$E$12:$E$72,$A1337+1),INDEX(Surface_Engine!$E$12:$E$72,$Q$1329+1))</f>
        <v>0.827670196628201</v>
      </c>
      <c r="D1337" s="32" t="n">
        <f aca="false">INDEX(Surface_Engine!$S$12:$S$72,$A1337+1)*IF($A1337&lt;$Q$1329,INDEX(Surface_Engine!$Y$12:$Y$72,$A1337+1),INDEX(Surface_Engine!$Y$12:$Y$72,$Q$1329+1))</f>
        <v>0.766562239135632</v>
      </c>
      <c r="E1337" s="32" t="n">
        <f aca="false">INDEX(Surface_Engine!$S$12:$S$72,$A1337+1)*IF($A1337&lt;$Q$1329,INDEX(Surface_Engine!$Z$12:$Z$72,$A1337+1),INDEX(Surface_Engine!$Z$12:$Z$72,$Q$1329+1))</f>
        <v>0.859236875756928</v>
      </c>
      <c r="F1337" s="48" t="n">
        <f aca="false">B1337*(IF($A1337&lt;$Q$1329,INDEX(Surface_Engine!$D$12:$D$72,$A1337+1)+(Surface_Engine!G248*12)*INDEX(Surface_Engine!$F$12:$F$72,$A1337+1)-(Surface_Engine!G248*12),1000*12*INDEX(Surface_Engine!$C$12:$C$72,$A1337+1)/(1+Assumptions!$B$10)^8+INDEX(Surface_Engine!$D$12:$D$72,$A1337+1)))*INDEX(Surface_Engine!$B$12:$B$72,$A1337+1)+F1338</f>
        <v>59604.6365455271</v>
      </c>
      <c r="G1337" s="48" t="n">
        <f aca="false">C1337*(IF($A1337&lt;$Q$1329,INDEX(Surface_Engine!$D$12:$D$72,$A1337+1)+(Surface_Engine!G248*12)*INDEX(Surface_Engine!$F$12:$F$72,$A1337+1)-(Surface_Engine!G248*12),1000*12*INDEX(Surface_Engine!$C$12:$C$72,$A1337+1)/(1+Assumptions!$B$10)^8+INDEX(Surface_Engine!$D$12:$D$72,$A1337+1)))*INDEX(Surface_Engine!$B$12:$B$72,$A1337+1)+G1338</f>
        <v>70754.6129027375</v>
      </c>
      <c r="H1337" s="48" t="n">
        <f aca="false">D1337*(IF($A1337&lt;$Q$1329,INDEX(Surface_Engine!$D$12:$D$72,$A1337+1)+(Surface_Engine!G248*12)*INDEX(Surface_Engine!$F$12:$F$72,$A1337+1)-(Surface_Engine!G248*12),1000*12*INDEX(Surface_Engine!$C$12:$C$72,$A1337+1)/(1+Assumptions!$B$10)^8+INDEX(Surface_Engine!$D$12:$D$72,$A1337+1)))*INDEX(Surface_Engine!$B$12:$B$72,$A1337+1)+H1338</f>
        <v>55628.7819028658</v>
      </c>
      <c r="I1337" s="48" t="n">
        <f aca="false">E1337*(IF($A1337&lt;$Q$1329,INDEX(Surface_Engine!$D$12:$D$72,$A1337+1)+(Surface_Engine!G248*12)*INDEX(Surface_Engine!$F$12:$F$72,$A1337+1)-(Surface_Engine!G248*12),1000*12*INDEX(Surface_Engine!$C$12:$C$72,$A1337+1)/(1+Assumptions!$B$10)^8+INDEX(Surface_Engine!$D$12:$D$72,$A1337+1)))*INDEX(Surface_Engine!$B$12:$B$72,$A1337+1)+I1338</f>
        <v>63813.2386789497</v>
      </c>
      <c r="J1337" s="48" t="n">
        <f aca="false">B1337*(IF($A1337&lt;$Q$1329,INDEX(Surface_Engine!$D$12:$D$72,$A1337+1)*(1+Assumptions!$B$24)+(Surface_Engine!G248*12)*INDEX(Surface_Engine!$F$12:$F$72,$A1337+1)-(Surface_Engine!G248*12),1000*12*INDEX(Surface_Engine!$C$12:$C$72,$A1337+1)/(1+Assumptions!$B$10)^8+INDEX(Surface_Engine!$D$12:$D$72,$A1337+1)*(1+Assumptions!$B$24)))*INDEX(Surface_Engine!$B$12:$B$72,$A1337+1)+J1338</f>
        <v>59685.8423370258</v>
      </c>
      <c r="K1337" s="12" t="n">
        <f aca="false">SQRT((IF(C1337&lt;=0,0,MAX(0,(B1337/C1337)*G1337/INDEX(Surface_Engine!$B$12:$B$72,$A1337+1)-F1337/INDEX(Surface_Engine!$B$12:$B$72,$A1337+1))))^2+(MAX(IF(D1337&lt;=0,0,MAX(0,(B1337/D1337)*H1337/INDEX(Surface_Engine!$B$12:$B$72,$A1337+1)-F1337/INDEX(Surface_Engine!$B$12:$B$72,$A1337+1))),IF(E1337&lt;=0,0,MAX(0,(B1337/E1337)*I1337/INDEX(Surface_Engine!$B$12:$B$72,$A1337+1)-F1337/INDEX(Surface_Engine!$B$12:$B$72,$A1337+1))),IF($A1337&lt;$Q$1329,MAX(0,-Assumptions!$B$22*(F1337/INDEX(Surface_Engine!$B$12:$B$72,$A1337+1))),0)))^2+(MAX(0,J1337/INDEX(Surface_Engine!$B$12:$B$72,$A1337+1)-(F1337/INDEX(Surface_Engine!$B$12:$B$72,$A1337+1))))^2+2*Assumptions!$B$26*(IF(C1337&lt;=0,0,MAX(0,(B1337/C1337)*G1337/INDEX(Surface_Engine!$B$12:$B$72,$A1337+1)-F1337/INDEX(Surface_Engine!$B$12:$B$72,$A1337+1))))*(MAX(IF(D1337&lt;=0,0,MAX(0,(B1337/D1337)*H1337/INDEX(Surface_Engine!$B$12:$B$72,$A1337+1)-F1337/INDEX(Surface_Engine!$B$12:$B$72,$A1337+1))),IF(E1337&lt;=0,0,MAX(0,(B1337/E1337)*I1337/INDEX(Surface_Engine!$B$12:$B$72,$A1337+1)-F1337/INDEX(Surface_Engine!$B$12:$B$72,$A1337+1))),IF($A1337&lt;$Q$1329,MAX(0,-Assumptions!$B$22*(F1337/INDEX(Surface_Engine!$B$12:$B$72,$A1337+1))),0)))+2*Assumptions!$B$27*(IF(C1337&lt;=0,0,MAX(0,(B1337/C1337)*G1337/INDEX(Surface_Engine!$B$12:$B$72,$A1337+1)-F1337/INDEX(Surface_Engine!$B$12:$B$72,$A1337+1))))*(MAX(0,J1337/INDEX(Surface_Engine!$B$12:$B$72,$A1337+1)-(F1337/INDEX(Surface_Engine!$B$12:$B$72,$A1337+1))))+2*Assumptions!$B$28*(MAX(IF(D1337&lt;=0,0,MAX(0,(B1337/D1337)*H1337/INDEX(Surface_Engine!$B$12:$B$72,$A1337+1)-F1337/INDEX(Surface_Engine!$B$12:$B$72,$A1337+1))),IF(E1337&lt;=0,0,MAX(0,(B1337/E1337)*I1337/INDEX(Surface_Engine!$B$12:$B$72,$A1337+1)-F1337/INDEX(Surface_Engine!$B$12:$B$72,$A1337+1))),IF($A1337&lt;$Q$1329,MAX(0,-Assumptions!$B$22*(F1337/INDEX(Surface_Engine!$B$12:$B$72,$A1337+1))),0)))*(MAX(0,J1337/INDEX(Surface_Engine!$B$12:$B$72,$A1337+1)-(F1337/INDEX(Surface_Engine!$B$12:$B$72,$A1337+1)))))</f>
        <v>11758.3220838488</v>
      </c>
      <c r="L1337" s="48" t="n">
        <f aca="false">K1337*INDEX(Surface_Engine!$B$12:$B$72,$A1337+1)+L1338</f>
        <v>105849.926280007</v>
      </c>
      <c r="M1337" s="48" t="n">
        <f aca="false">M1336+B1336*(IF($A1336&lt;$Q$1329,(Surface_Engine!G248*12)-(Surface_Engine!G248*12)*INDEX(Surface_Engine!$F$12:$F$72,$A1336+1)-INDEX(Surface_Engine!$D$12:$D$72,$A1336+1),-(1000*12*INDEX(Surface_Engine!$C$12:$C$72,$A1336+1)/(1+Assumptions!$B$10)^8+INDEX(Surface_Engine!$D$12:$D$72,$A1336+1))))*INDEX(Surface_Engine!$B$12:$B$72,$A1336+1)</f>
        <v>62731.1850164668</v>
      </c>
      <c r="N1337" s="12" t="n">
        <f aca="false">IF(B1337&lt;=0,0,MAX(0,(K1337+Assumptions!$B$29*L1337/INDEX(Surface_Engine!$B$12:$B$72,$A1337+1)-(M1337/INDEX(Surface_Engine!$B$12:$B$72,$A1337+1)-(F1337/INDEX(Surface_Engine!$B$12:$B$72,$A1337+1))))/B1337))</f>
        <v>19144.6248133311</v>
      </c>
    </row>
    <row r="1338" customFormat="false" ht="15" hidden="false" customHeight="true" outlineLevel="0" collapsed="false">
      <c r="A1338" s="1" t="n">
        <v>7</v>
      </c>
      <c r="B1338" s="32" t="n">
        <f aca="false">INDEX(Surface_Engine!$S$12:$S$72,$A1338+1)*IF($A1338&lt;$Q$1329,INDEX(Surface_Engine!$E$12:$E$72,$A1338+1),INDEX(Surface_Engine!$E$12:$E$72,$Q$1329+1))</f>
        <v>0.785878988350536</v>
      </c>
      <c r="C1338" s="32" t="n">
        <f aca="false">INDEX(Panel_Reserving!$G$8:$G$68,$A1338+1)*IF($A1338&lt;$Q$1329,INDEX(Surface_Engine!$E$12:$E$72,$A1338+1),INDEX(Surface_Engine!$E$12:$E$72,$Q$1329+1))</f>
        <v>0.804963724578742</v>
      </c>
      <c r="D1338" s="32" t="n">
        <f aca="false">INDEX(Surface_Engine!$S$12:$S$72,$A1338+1)*IF($A1338&lt;$Q$1329,INDEX(Surface_Engine!$Y$12:$Y$72,$A1338+1),INDEX(Surface_Engine!$Y$12:$Y$72,$Q$1329+1))</f>
        <v>0.73861144805783</v>
      </c>
      <c r="E1338" s="32" t="n">
        <f aca="false">INDEX(Surface_Engine!$S$12:$S$72,$A1338+1)*IF($A1338&lt;$Q$1329,INDEX(Surface_Engine!$Z$12:$Z$72,$A1338+1),INDEX(Surface_Engine!$Z$12:$Z$72,$Q$1329+1))</f>
        <v>0.835545148604811</v>
      </c>
      <c r="F1338" s="48" t="n">
        <f aca="false">B1338*(IF($A1338&lt;$Q$1329,INDEX(Surface_Engine!$D$12:$D$72,$A1338+1)+(Surface_Engine!G248*12)*INDEX(Surface_Engine!$F$12:$F$72,$A1338+1)-(Surface_Engine!G248*12),1000*12*INDEX(Surface_Engine!$C$12:$C$72,$A1338+1)/(1+Assumptions!$B$10)^8+INDEX(Surface_Engine!$D$12:$D$72,$A1338+1)))*INDEX(Surface_Engine!$B$12:$B$72,$A1338+1)+F1339</f>
        <v>70122.7048046119</v>
      </c>
      <c r="G1338" s="48" t="n">
        <f aca="false">C1338*(IF($A1338&lt;$Q$1329,INDEX(Surface_Engine!$D$12:$D$72,$A1338+1)+(Surface_Engine!G248*12)*INDEX(Surface_Engine!$F$12:$F$72,$A1338+1)-(Surface_Engine!G248*12),1000*12*INDEX(Surface_Engine!$C$12:$C$72,$A1338+1)/(1+Assumptions!$B$10)^8+INDEX(Surface_Engine!$D$12:$D$72,$A1338+1)))*INDEX(Surface_Engine!$B$12:$B$72,$A1338+1)+G1339</f>
        <v>81477.3341662277</v>
      </c>
      <c r="H1338" s="48" t="n">
        <f aca="false">D1338*(IF($A1338&lt;$Q$1329,INDEX(Surface_Engine!$D$12:$D$72,$A1338+1)+(Surface_Engine!G248*12)*INDEX(Surface_Engine!$F$12:$F$72,$A1338+1)-(Surface_Engine!G248*12),1000*12*INDEX(Surface_Engine!$C$12:$C$72,$A1338+1)/(1+Assumptions!$B$10)^8+INDEX(Surface_Engine!$D$12:$D$72,$A1338+1)))*INDEX(Surface_Engine!$B$12:$B$72,$A1338+1)+H1339</f>
        <v>65559.830833773</v>
      </c>
      <c r="I1338" s="48" t="n">
        <f aca="false">E1338*(IF($A1338&lt;$Q$1329,INDEX(Surface_Engine!$D$12:$D$72,$A1338+1)+(Surface_Engine!G248*12)*INDEX(Surface_Engine!$F$12:$F$72,$A1338+1)-(Surface_Engine!G248*12),1000*12*INDEX(Surface_Engine!$C$12:$C$72,$A1338+1)/(1+Assumptions!$B$10)^8+INDEX(Surface_Engine!$D$12:$D$72,$A1338+1)))*INDEX(Surface_Engine!$B$12:$B$72,$A1338+1)+I1339</f>
        <v>74944.9159528052</v>
      </c>
      <c r="J1338" s="48" t="n">
        <f aca="false">B1338*(IF($A1338&lt;$Q$1329,INDEX(Surface_Engine!$D$12:$D$72,$A1338+1)*(1+Assumptions!$B$24)+(Surface_Engine!G248*12)*INDEX(Surface_Engine!$F$12:$F$72,$A1338+1)-(Surface_Engine!G248*12),1000*12*INDEX(Surface_Engine!$C$12:$C$72,$A1338+1)/(1+Assumptions!$B$10)^8+INDEX(Surface_Engine!$D$12:$D$72,$A1338+1)*(1+Assumptions!$B$24)))*INDEX(Surface_Engine!$B$12:$B$72,$A1338+1)+J1339</f>
        <v>70197.3329510096</v>
      </c>
      <c r="K1338" s="12" t="n">
        <f aca="false">SQRT((IF(C1338&lt;=0,0,MAX(0,(B1338/C1338)*G1338/INDEX(Surface_Engine!$B$12:$B$72,$A1338+1)-F1338/INDEX(Surface_Engine!$B$12:$B$72,$A1338+1))))^2+(MAX(IF(D1338&lt;=0,0,MAX(0,(B1338/D1338)*H1338/INDEX(Surface_Engine!$B$12:$B$72,$A1338+1)-F1338/INDEX(Surface_Engine!$B$12:$B$72,$A1338+1))),IF(E1338&lt;=0,0,MAX(0,(B1338/E1338)*I1338/INDEX(Surface_Engine!$B$12:$B$72,$A1338+1)-F1338/INDEX(Surface_Engine!$B$12:$B$72,$A1338+1))),IF($A1338&lt;$Q$1329,MAX(0,-Assumptions!$B$22*(F1338/INDEX(Surface_Engine!$B$12:$B$72,$A1338+1))),0)))^2+(MAX(0,J1338/INDEX(Surface_Engine!$B$12:$B$72,$A1338+1)-(F1338/INDEX(Surface_Engine!$B$12:$B$72,$A1338+1))))^2+2*Assumptions!$B$26*(IF(C1338&lt;=0,0,MAX(0,(B1338/C1338)*G1338/INDEX(Surface_Engine!$B$12:$B$72,$A1338+1)-F1338/INDEX(Surface_Engine!$B$12:$B$72,$A1338+1))))*(MAX(IF(D1338&lt;=0,0,MAX(0,(B1338/D1338)*H1338/INDEX(Surface_Engine!$B$12:$B$72,$A1338+1)-F1338/INDEX(Surface_Engine!$B$12:$B$72,$A1338+1))),IF(E1338&lt;=0,0,MAX(0,(B1338/E1338)*I1338/INDEX(Surface_Engine!$B$12:$B$72,$A1338+1)-F1338/INDEX(Surface_Engine!$B$12:$B$72,$A1338+1))),IF($A1338&lt;$Q$1329,MAX(0,-Assumptions!$B$22*(F1338/INDEX(Surface_Engine!$B$12:$B$72,$A1338+1))),0)))+2*Assumptions!$B$27*(IF(C1338&lt;=0,0,MAX(0,(B1338/C1338)*G1338/INDEX(Surface_Engine!$B$12:$B$72,$A1338+1)-F1338/INDEX(Surface_Engine!$B$12:$B$72,$A1338+1))))*(MAX(0,J1338/INDEX(Surface_Engine!$B$12:$B$72,$A1338+1)-(F1338/INDEX(Surface_Engine!$B$12:$B$72,$A1338+1))))+2*Assumptions!$B$28*(MAX(IF(D1338&lt;=0,0,MAX(0,(B1338/D1338)*H1338/INDEX(Surface_Engine!$B$12:$B$72,$A1338+1)-F1338/INDEX(Surface_Engine!$B$12:$B$72,$A1338+1))),IF(E1338&lt;=0,0,MAX(0,(B1338/E1338)*I1338/INDEX(Surface_Engine!$B$12:$B$72,$A1338+1)-F1338/INDEX(Surface_Engine!$B$12:$B$72,$A1338+1))),IF($A1338&lt;$Q$1329,MAX(0,-Assumptions!$B$22*(F1338/INDEX(Surface_Engine!$B$12:$B$72,$A1338+1))),0)))*(MAX(0,J1338/INDEX(Surface_Engine!$B$12:$B$72,$A1338+1)-(F1338/INDEX(Surface_Engine!$B$12:$B$72,$A1338+1)))))</f>
        <v>11536.9821006464</v>
      </c>
      <c r="L1338" s="48" t="n">
        <f aca="false">K1338*INDEX(Surface_Engine!$B$12:$B$72,$A1338+1)+L1339</f>
        <v>95832.1700507378</v>
      </c>
      <c r="M1338" s="48" t="n">
        <f aca="false">M1337+B1337*(IF($A1337&lt;$Q$1329,(Surface_Engine!G248*12)-(Surface_Engine!G248*12)*INDEX(Surface_Engine!$F$12:$F$72,$A1337+1)-INDEX(Surface_Engine!$D$12:$D$72,$A1337+1),-(1000*12*INDEX(Surface_Engine!$C$12:$C$72,$A1337+1)/(1+Assumptions!$B$10)^8+INDEX(Surface_Engine!$D$12:$D$72,$A1337+1))))*INDEX(Surface_Engine!$B$12:$B$72,$A1337+1)</f>
        <v>73249.2532755515</v>
      </c>
      <c r="N1338" s="12" t="n">
        <f aca="false">IF(B1338&lt;=0,0,MAX(0,(K1338+Assumptions!$B$29*L1338/INDEX(Surface_Engine!$B$12:$B$72,$A1338+1)-(M1338/INDEX(Surface_Engine!$B$12:$B$72,$A1338+1)-(F1338/INDEX(Surface_Engine!$B$12:$B$72,$A1338+1))))/B1338))</f>
        <v>18716.6097286707</v>
      </c>
    </row>
    <row r="1339" customFormat="false" ht="15" hidden="false" customHeight="true" outlineLevel="0" collapsed="false">
      <c r="A1339" s="1" t="n">
        <v>8</v>
      </c>
      <c r="B1339" s="32" t="n">
        <f aca="false">INDEX(Surface_Engine!$S$12:$S$72,$A1339+1)*IF($A1339&lt;$Q$1329,INDEX(Surface_Engine!$E$12:$E$72,$A1339+1),INDEX(Surface_Engine!$E$12:$E$72,$Q$1329+1))</f>
        <v>0.758538721210434</v>
      </c>
      <c r="C1339" s="32" t="n">
        <f aca="false">INDEX(Panel_Reserving!$G$8:$G$68,$A1339+1)*IF($A1339&lt;$Q$1329,INDEX(Surface_Engine!$E$12:$E$72,$A1339+1),INDEX(Surface_Engine!$E$12:$E$72,$Q$1329+1))</f>
        <v>0.7810953195016</v>
      </c>
      <c r="D1339" s="32" t="n">
        <f aca="false">INDEX(Surface_Engine!$S$12:$S$72,$A1339+1)*IF($A1339&lt;$Q$1329,INDEX(Surface_Engine!$Y$12:$Y$72,$A1339+1),INDEX(Surface_Engine!$Y$12:$Y$72,$Q$1329+1))</f>
        <v>0.709642035513705</v>
      </c>
      <c r="E1339" s="32" t="n">
        <f aca="false">INDEX(Surface_Engine!$S$12:$S$72,$A1339+1)*IF($A1339&lt;$Q$1329,INDEX(Surface_Engine!$Z$12:$Z$72,$A1339+1),INDEX(Surface_Engine!$Z$12:$Z$72,$Q$1329+1))</f>
        <v>0.810180194306114</v>
      </c>
      <c r="F1339" s="48" t="n">
        <f aca="false">B1339*(IF($A1339&lt;$Q$1329,INDEX(Surface_Engine!$D$12:$D$72,$A1339+1)+(Surface_Engine!G248*12)*INDEX(Surface_Engine!$F$12:$F$72,$A1339+1)-(Surface_Engine!G248*12),1000*12*INDEX(Surface_Engine!$C$12:$C$72,$A1339+1)/(1+Assumptions!$B$10)^8+INDEX(Surface_Engine!$D$12:$D$72,$A1339+1)))*INDEX(Surface_Engine!$B$12:$B$72,$A1339+1)+F1340</f>
        <v>80004.5387650009</v>
      </c>
      <c r="G1339" s="48" t="n">
        <f aca="false">C1339*(IF($A1339&lt;$Q$1329,INDEX(Surface_Engine!$D$12:$D$72,$A1339+1)+(Surface_Engine!G248*12)*INDEX(Surface_Engine!$F$12:$F$72,$A1339+1)-(Surface_Engine!G248*12),1000*12*INDEX(Surface_Engine!$C$12:$C$72,$A1339+1)/(1+Assumptions!$B$10)^8+INDEX(Surface_Engine!$D$12:$D$72,$A1339+1)))*INDEX(Surface_Engine!$B$12:$B$72,$A1339+1)+G1340</f>
        <v>91599.1442519242</v>
      </c>
      <c r="H1339" s="48" t="n">
        <f aca="false">D1339*(IF($A1339&lt;$Q$1329,INDEX(Surface_Engine!$D$12:$D$72,$A1339+1)+(Surface_Engine!G248*12)*INDEX(Surface_Engine!$F$12:$F$72,$A1339+1)-(Surface_Engine!G248*12),1000*12*INDEX(Surface_Engine!$C$12:$C$72,$A1339+1)/(1+Assumptions!$B$10)^8+INDEX(Surface_Engine!$D$12:$D$72,$A1339+1)))*INDEX(Surface_Engine!$B$12:$B$72,$A1339+1)+H1340</f>
        <v>74847.3112208862</v>
      </c>
      <c r="I1339" s="48" t="n">
        <f aca="false">E1339*(IF($A1339&lt;$Q$1329,INDEX(Surface_Engine!$D$12:$D$72,$A1339+1)+(Surface_Engine!G248*12)*INDEX(Surface_Engine!$F$12:$F$72,$A1339+1)-(Surface_Engine!G248*12),1000*12*INDEX(Surface_Engine!$C$12:$C$72,$A1339+1)/(1+Assumptions!$B$10)^8+INDEX(Surface_Engine!$D$12:$D$72,$A1339+1)))*INDEX(Surface_Engine!$B$12:$B$72,$A1339+1)+I1340</f>
        <v>85451.2643185392</v>
      </c>
      <c r="J1339" s="48" t="n">
        <f aca="false">B1339*(IF($A1339&lt;$Q$1329,INDEX(Surface_Engine!$D$12:$D$72,$A1339+1)*(1+Assumptions!$B$24)+(Surface_Engine!G248*12)*INDEX(Surface_Engine!$F$12:$F$72,$A1339+1)-(Surface_Engine!G248*12),1000*12*INDEX(Surface_Engine!$C$12:$C$72,$A1339+1)/(1+Assumptions!$B$10)^8+INDEX(Surface_Engine!$D$12:$D$72,$A1339+1)*(1+Assumptions!$B$24)))*INDEX(Surface_Engine!$B$12:$B$72,$A1339+1)+J1340</f>
        <v>80072.8316611633</v>
      </c>
      <c r="K1339" s="12" t="n">
        <f aca="false">SQRT((IF(C1339&lt;=0,0,MAX(0,(B1339/C1339)*G1339/INDEX(Surface_Engine!$B$12:$B$72,$A1339+1)-F1339/INDEX(Surface_Engine!$B$12:$B$72,$A1339+1))))^2+(MAX(IF(D1339&lt;=0,0,MAX(0,(B1339/D1339)*H1339/INDEX(Surface_Engine!$B$12:$B$72,$A1339+1)-F1339/INDEX(Surface_Engine!$B$12:$B$72,$A1339+1))),IF(E1339&lt;=0,0,MAX(0,(B1339/E1339)*I1339/INDEX(Surface_Engine!$B$12:$B$72,$A1339+1)-F1339/INDEX(Surface_Engine!$B$12:$B$72,$A1339+1))),IF($A1339&lt;$Q$1329,MAX(0,-Assumptions!$B$22*(F1339/INDEX(Surface_Engine!$B$12:$B$72,$A1339+1))),0)))^2+(MAX(0,J1339/INDEX(Surface_Engine!$B$12:$B$72,$A1339+1)-(F1339/INDEX(Surface_Engine!$B$12:$B$72,$A1339+1))))^2+2*Assumptions!$B$26*(IF(C1339&lt;=0,0,MAX(0,(B1339/C1339)*G1339/INDEX(Surface_Engine!$B$12:$B$72,$A1339+1)-F1339/INDEX(Surface_Engine!$B$12:$B$72,$A1339+1))))*(MAX(IF(D1339&lt;=0,0,MAX(0,(B1339/D1339)*H1339/INDEX(Surface_Engine!$B$12:$B$72,$A1339+1)-F1339/INDEX(Surface_Engine!$B$12:$B$72,$A1339+1))),IF(E1339&lt;=0,0,MAX(0,(B1339/E1339)*I1339/INDEX(Surface_Engine!$B$12:$B$72,$A1339+1)-F1339/INDEX(Surface_Engine!$B$12:$B$72,$A1339+1))),IF($A1339&lt;$Q$1329,MAX(0,-Assumptions!$B$22*(F1339/INDEX(Surface_Engine!$B$12:$B$72,$A1339+1))),0)))+2*Assumptions!$B$27*(IF(C1339&lt;=0,0,MAX(0,(B1339/C1339)*G1339/INDEX(Surface_Engine!$B$12:$B$72,$A1339+1)-F1339/INDEX(Surface_Engine!$B$12:$B$72,$A1339+1))))*(MAX(0,J1339/INDEX(Surface_Engine!$B$12:$B$72,$A1339+1)-(F1339/INDEX(Surface_Engine!$B$12:$B$72,$A1339+1))))+2*Assumptions!$B$28*(MAX(IF(D1339&lt;=0,0,MAX(0,(B1339/D1339)*H1339/INDEX(Surface_Engine!$B$12:$B$72,$A1339+1)-F1339/INDEX(Surface_Engine!$B$12:$B$72,$A1339+1))),IF(E1339&lt;=0,0,MAX(0,(B1339/E1339)*I1339/INDEX(Surface_Engine!$B$12:$B$72,$A1339+1)-F1339/INDEX(Surface_Engine!$B$12:$B$72,$A1339+1))),IF($A1339&lt;$Q$1329,MAX(0,-Assumptions!$B$22*(F1339/INDEX(Surface_Engine!$B$12:$B$72,$A1339+1))),0)))*(MAX(0,J1339/INDEX(Surface_Engine!$B$12:$B$72,$A1339+1)-(F1339/INDEX(Surface_Engine!$B$12:$B$72,$A1339+1)))))</f>
        <v>11181.7640478499</v>
      </c>
      <c r="L1339" s="48" t="n">
        <f aca="false">K1339*INDEX(Surface_Engine!$B$12:$B$72,$A1339+1)+L1340</f>
        <v>86290.6096247277</v>
      </c>
      <c r="M1339" s="48" t="n">
        <f aca="false">M1338+B1338*(IF($A1338&lt;$Q$1329,(Surface_Engine!G248*12)-(Surface_Engine!G248*12)*INDEX(Surface_Engine!$F$12:$F$72,$A1338+1)-INDEX(Surface_Engine!$D$12:$D$72,$A1338+1),-(1000*12*INDEX(Surface_Engine!$C$12:$C$72,$A1338+1)/(1+Assumptions!$B$10)^8+INDEX(Surface_Engine!$D$12:$D$72,$A1338+1))))*INDEX(Surface_Engine!$B$12:$B$72,$A1338+1)</f>
        <v>83131.0872359405</v>
      </c>
      <c r="N1339" s="12" t="n">
        <f aca="false">IF(B1339&lt;=0,0,MAX(0,(K1339+Assumptions!$B$29*L1339/INDEX(Surface_Engine!$B$12:$B$72,$A1339+1)-(M1339/INDEX(Surface_Engine!$B$12:$B$72,$A1339+1)-(F1339/INDEX(Surface_Engine!$B$12:$B$72,$A1339+1))))/B1339))</f>
        <v>18112.8334471709</v>
      </c>
    </row>
    <row r="1340" customFormat="false" ht="15" hidden="false" customHeight="true" outlineLevel="0" collapsed="false">
      <c r="A1340" s="1" t="n">
        <v>9</v>
      </c>
      <c r="B1340" s="32" t="n">
        <f aca="false">INDEX(Surface_Engine!$S$12:$S$72,$A1340+1)*IF($A1340&lt;$Q$1329,INDEX(Surface_Engine!$E$12:$E$72,$A1340+1),INDEX(Surface_Engine!$E$12:$E$72,$Q$1329+1))</f>
        <v>0.735726670662215</v>
      </c>
      <c r="C1340" s="32" t="n">
        <f aca="false">INDEX(Panel_Reserving!$G$8:$G$68,$A1340+1)*IF($A1340&lt;$Q$1329,INDEX(Surface_Engine!$E$12:$E$72,$A1340+1),INDEX(Surface_Engine!$E$12:$E$72,$Q$1329+1))</f>
        <v>0.762302991133167</v>
      </c>
      <c r="D1340" s="32" t="n">
        <f aca="false">INDEX(Surface_Engine!$S$12:$S$72,$A1340+1)*IF($A1340&lt;$Q$1329,INDEX(Surface_Engine!$Y$12:$Y$72,$A1340+1),INDEX(Surface_Engine!$Y$12:$Y$72,$Q$1329+1))</f>
        <v>0.68830048822994</v>
      </c>
      <c r="E1340" s="32" t="n">
        <f aca="false">INDEX(Surface_Engine!$S$12:$S$72,$A1340+1)*IF($A1340&lt;$Q$1329,INDEX(Surface_Engine!$Z$12:$Z$72,$A1340+1),INDEX(Surface_Engine!$Z$12:$Z$72,$Q$1329+1))</f>
        <v>0.785815094636338</v>
      </c>
      <c r="F1340" s="48" t="n">
        <f aca="false">B1340*(IF($A1340&lt;$Q$1329,INDEX(Surface_Engine!$D$12:$D$72,$A1340+1)+(Surface_Engine!G248*12)*INDEX(Surface_Engine!$F$12:$F$72,$A1340+1)-(Surface_Engine!G248*12),1000*12*INDEX(Surface_Engine!$C$12:$C$72,$A1340+1)/(1+Assumptions!$B$10)^8+INDEX(Surface_Engine!$D$12:$D$72,$A1340+1)))*INDEX(Surface_Engine!$B$12:$B$72,$A1340+1)+F1341</f>
        <v>72644.4587041505</v>
      </c>
      <c r="G1340" s="48" t="n">
        <f aca="false">C1340*(IF($A1340&lt;$Q$1329,INDEX(Surface_Engine!$D$12:$D$72,$A1340+1)+(Surface_Engine!G248*12)*INDEX(Surface_Engine!$F$12:$F$72,$A1340+1)-(Surface_Engine!G248*12),1000*12*INDEX(Surface_Engine!$C$12:$C$72,$A1340+1)/(1+Assumptions!$B$10)^8+INDEX(Surface_Engine!$D$12:$D$72,$A1340+1)))*INDEX(Surface_Engine!$B$12:$B$72,$A1340+1)+G1341</f>
        <v>84020.1981468217</v>
      </c>
      <c r="H1340" s="48" t="n">
        <f aca="false">D1340*(IF($A1340&lt;$Q$1329,INDEX(Surface_Engine!$D$12:$D$72,$A1340+1)+(Surface_Engine!G248*12)*INDEX(Surface_Engine!$F$12:$F$72,$A1340+1)-(Surface_Engine!G248*12),1000*12*INDEX(Surface_Engine!$C$12:$C$72,$A1340+1)/(1+Assumptions!$B$10)^8+INDEX(Surface_Engine!$D$12:$D$72,$A1340+1)))*INDEX(Surface_Engine!$B$12:$B$72,$A1340+1)+H1341</f>
        <v>67961.6743379185</v>
      </c>
      <c r="I1340" s="48" t="n">
        <f aca="false">E1340*(IF($A1340&lt;$Q$1329,INDEX(Surface_Engine!$D$12:$D$72,$A1340+1)+(Surface_Engine!G248*12)*INDEX(Surface_Engine!$F$12:$F$72,$A1340+1)-(Surface_Engine!G248*12),1000*12*INDEX(Surface_Engine!$C$12:$C$72,$A1340+1)/(1+Assumptions!$B$10)^8+INDEX(Surface_Engine!$D$12:$D$72,$A1340+1)))*INDEX(Surface_Engine!$B$12:$B$72,$A1340+1)+I1341</f>
        <v>77590.1084842095</v>
      </c>
      <c r="J1340" s="48" t="n">
        <f aca="false">B1340*(IF($A1340&lt;$Q$1329,INDEX(Surface_Engine!$D$12:$D$72,$A1340+1)*(1+Assumptions!$B$24)+(Surface_Engine!G248*12)*INDEX(Surface_Engine!$F$12:$F$72,$A1340+1)-(Surface_Engine!G248*12),1000*12*INDEX(Surface_Engine!$C$12:$C$72,$A1340+1)/(1+Assumptions!$B$10)^8+INDEX(Surface_Engine!$D$12:$D$72,$A1340+1)*(1+Assumptions!$B$24)))*INDEX(Surface_Engine!$B$12:$B$72,$A1340+1)+J1341</f>
        <v>72706.674376813</v>
      </c>
      <c r="K1340" s="12" t="n">
        <f aca="false">SQRT((IF(C1340&lt;=0,0,MAX(0,(B1340/C1340)*G1340/INDEX(Surface_Engine!$B$12:$B$72,$A1340+1)-F1340/INDEX(Surface_Engine!$B$12:$B$72,$A1340+1))))^2+(MAX(IF(D1340&lt;=0,0,MAX(0,(B1340/D1340)*H1340/INDEX(Surface_Engine!$B$12:$B$72,$A1340+1)-F1340/INDEX(Surface_Engine!$B$12:$B$72,$A1340+1))),IF(E1340&lt;=0,0,MAX(0,(B1340/E1340)*I1340/INDEX(Surface_Engine!$B$12:$B$72,$A1340+1)-F1340/INDEX(Surface_Engine!$B$12:$B$72,$A1340+1))),IF($A1340&lt;$Q$1329,MAX(0,-Assumptions!$B$22*(F1340/INDEX(Surface_Engine!$B$12:$B$72,$A1340+1))),0)))^2+(MAX(0,J1340/INDEX(Surface_Engine!$B$12:$B$72,$A1340+1)-(F1340/INDEX(Surface_Engine!$B$12:$B$72,$A1340+1))))^2+2*Assumptions!$B$26*(IF(C1340&lt;=0,0,MAX(0,(B1340/C1340)*G1340/INDEX(Surface_Engine!$B$12:$B$72,$A1340+1)-F1340/INDEX(Surface_Engine!$B$12:$B$72,$A1340+1))))*(MAX(IF(D1340&lt;=0,0,MAX(0,(B1340/D1340)*H1340/INDEX(Surface_Engine!$B$12:$B$72,$A1340+1)-F1340/INDEX(Surface_Engine!$B$12:$B$72,$A1340+1))),IF(E1340&lt;=0,0,MAX(0,(B1340/E1340)*I1340/INDEX(Surface_Engine!$B$12:$B$72,$A1340+1)-F1340/INDEX(Surface_Engine!$B$12:$B$72,$A1340+1))),IF($A1340&lt;$Q$1329,MAX(0,-Assumptions!$B$22*(F1340/INDEX(Surface_Engine!$B$12:$B$72,$A1340+1))),0)))+2*Assumptions!$B$27*(IF(C1340&lt;=0,0,MAX(0,(B1340/C1340)*G1340/INDEX(Surface_Engine!$B$12:$B$72,$A1340+1)-F1340/INDEX(Surface_Engine!$B$12:$B$72,$A1340+1))))*(MAX(0,J1340/INDEX(Surface_Engine!$B$12:$B$72,$A1340+1)-(F1340/INDEX(Surface_Engine!$B$12:$B$72,$A1340+1))))+2*Assumptions!$B$28*(MAX(IF(D1340&lt;=0,0,MAX(0,(B1340/D1340)*H1340/INDEX(Surface_Engine!$B$12:$B$72,$A1340+1)-F1340/INDEX(Surface_Engine!$B$12:$B$72,$A1340+1))),IF(E1340&lt;=0,0,MAX(0,(B1340/E1340)*I1340/INDEX(Surface_Engine!$B$12:$B$72,$A1340+1)-F1340/INDEX(Surface_Engine!$B$12:$B$72,$A1340+1))),IF($A1340&lt;$Q$1329,MAX(0,-Assumptions!$B$22*(F1340/INDEX(Surface_Engine!$B$12:$B$72,$A1340+1))),0)))*(MAX(0,J1340/INDEX(Surface_Engine!$B$12:$B$72,$A1340+1)-(F1340/INDEX(Surface_Engine!$B$12:$B$72,$A1340+1)))))</f>
        <v>10894.6381415916</v>
      </c>
      <c r="L1340" s="48" t="n">
        <f aca="false">K1340*INDEX(Surface_Engine!$B$12:$B$72,$A1340+1)+L1341</f>
        <v>77323.902153833</v>
      </c>
      <c r="M1340" s="48" t="n">
        <f aca="false">M1339+B1339*(IF($A1339&lt;$Q$1329,(Surface_Engine!G248*12)-(Surface_Engine!G248*12)*INDEX(Surface_Engine!$F$12:$F$72,$A1339+1)-INDEX(Surface_Engine!$D$12:$D$72,$A1339+1),-(1000*12*INDEX(Surface_Engine!$C$12:$C$72,$A1339+1)/(1+Assumptions!$B$10)^8+INDEX(Surface_Engine!$D$12:$D$72,$A1339+1))))*INDEX(Surface_Engine!$B$12:$B$72,$A1339+1)</f>
        <v>75771.0071750901</v>
      </c>
      <c r="N1340" s="12" t="n">
        <f aca="false">IF(B1340&lt;=0,0,MAX(0,(K1340+Assumptions!$B$29*L1340/INDEX(Surface_Engine!$B$12:$B$72,$A1340+1)-(M1340/INDEX(Surface_Engine!$B$12:$B$72,$A1340+1)-(F1340/INDEX(Surface_Engine!$B$12:$B$72,$A1340+1))))/B1340))</f>
        <v>17455.3643964369</v>
      </c>
    </row>
    <row r="1341" customFormat="false" ht="15" hidden="false" customHeight="true" outlineLevel="0" collapsed="false">
      <c r="A1341" s="1" t="n">
        <v>10</v>
      </c>
      <c r="B1341" s="32" t="n">
        <f aca="false">INDEX(Surface_Engine!$S$12:$S$72,$A1341+1)*IF($A1341&lt;$Q$1329,INDEX(Surface_Engine!$E$12:$E$72,$A1341+1),INDEX(Surface_Engine!$E$12:$E$72,$Q$1329+1))</f>
        <v>0.710894975261574</v>
      </c>
      <c r="C1341" s="32" t="n">
        <f aca="false">INDEX(Panel_Reserving!$G$8:$G$68,$A1341+1)*IF($A1341&lt;$Q$1329,INDEX(Surface_Engine!$E$12:$E$72,$A1341+1),INDEX(Surface_Engine!$E$12:$E$72,$Q$1329+1))</f>
        <v>0.741720047566063</v>
      </c>
      <c r="D1341" s="32" t="n">
        <f aca="false">INDEX(Surface_Engine!$S$12:$S$72,$A1341+1)*IF($A1341&lt;$Q$1329,INDEX(Surface_Engine!$Y$12:$Y$72,$A1341+1),INDEX(Surface_Engine!$Y$12:$Y$72,$Q$1329+1))</f>
        <v>0.665069485808273</v>
      </c>
      <c r="E1341" s="32" t="n">
        <f aca="false">INDEX(Surface_Engine!$S$12:$S$72,$A1341+1)*IF($A1341&lt;$Q$1329,INDEX(Surface_Engine!$Z$12:$Z$72,$A1341+1),INDEX(Surface_Engine!$Z$12:$Z$72,$Q$1329+1))</f>
        <v>0.759292852274685</v>
      </c>
      <c r="F1341" s="48" t="n">
        <f aca="false">B1341*(IF($A1341&lt;$Q$1329,INDEX(Surface_Engine!$D$12:$D$72,$A1341+1)+(Surface_Engine!G248*12)*INDEX(Surface_Engine!$F$12:$F$72,$A1341+1)-(Surface_Engine!G248*12),1000*12*INDEX(Surface_Engine!$C$12:$C$72,$A1341+1)/(1+Assumptions!$B$10)^8+INDEX(Surface_Engine!$D$12:$D$72,$A1341+1)))*INDEX(Surface_Engine!$B$12:$B$72,$A1341+1)+F1342</f>
        <v>65591.169318933</v>
      </c>
      <c r="G1341" s="48" t="n">
        <f aca="false">C1341*(IF($A1341&lt;$Q$1329,INDEX(Surface_Engine!$D$12:$D$72,$A1341+1)+(Surface_Engine!G248*12)*INDEX(Surface_Engine!$F$12:$F$72,$A1341+1)-(Surface_Engine!G248*12),1000*12*INDEX(Surface_Engine!$C$12:$C$72,$A1341+1)/(1+Assumptions!$B$10)^8+INDEX(Surface_Engine!$D$12:$D$72,$A1341+1)))*INDEX(Surface_Engine!$B$12:$B$72,$A1341+1)+G1342</f>
        <v>76712.1259916562</v>
      </c>
      <c r="H1341" s="48" t="n">
        <f aca="false">D1341*(IF($A1341&lt;$Q$1329,INDEX(Surface_Engine!$D$12:$D$72,$A1341+1)+(Surface_Engine!G248*12)*INDEX(Surface_Engine!$F$12:$F$72,$A1341+1)-(Surface_Engine!G248*12),1000*12*INDEX(Surface_Engine!$C$12:$C$72,$A1341+1)/(1+Assumptions!$B$10)^8+INDEX(Surface_Engine!$D$12:$D$72,$A1341+1)))*INDEX(Surface_Engine!$B$12:$B$72,$A1341+1)+H1342</f>
        <v>61363.0518860471</v>
      </c>
      <c r="I1341" s="48" t="n">
        <f aca="false">E1341*(IF($A1341&lt;$Q$1329,INDEX(Surface_Engine!$D$12:$D$72,$A1341+1)+(Surface_Engine!G248*12)*INDEX(Surface_Engine!$F$12:$F$72,$A1341+1)-(Surface_Engine!G248*12),1000*12*INDEX(Surface_Engine!$C$12:$C$72,$A1341+1)/(1+Assumptions!$B$10)^8+INDEX(Surface_Engine!$D$12:$D$72,$A1341+1)))*INDEX(Surface_Engine!$B$12:$B$72,$A1341+1)+I1342</f>
        <v>70056.6296981906</v>
      </c>
      <c r="J1341" s="48" t="n">
        <f aca="false">B1341*(IF($A1341&lt;$Q$1329,INDEX(Surface_Engine!$D$12:$D$72,$A1341+1)*(1+Assumptions!$B$24)+(Surface_Engine!G248*12)*INDEX(Surface_Engine!$F$12:$F$72,$A1341+1)-(Surface_Engine!G248*12),1000*12*INDEX(Surface_Engine!$C$12:$C$72,$A1341+1)/(1+Assumptions!$B$10)^8+INDEX(Surface_Engine!$D$12:$D$72,$A1341+1)*(1+Assumptions!$B$24)))*INDEX(Surface_Engine!$B$12:$B$72,$A1341+1)+J1342</f>
        <v>65647.5327736929</v>
      </c>
      <c r="K1341" s="12" t="n">
        <f aca="false">SQRT((IF(C1341&lt;=0,0,MAX(0,(B1341/C1341)*G1341/INDEX(Surface_Engine!$B$12:$B$72,$A1341+1)-F1341/INDEX(Surface_Engine!$B$12:$B$72,$A1341+1))))^2+(MAX(IF(D1341&lt;=0,0,MAX(0,(B1341/D1341)*H1341/INDEX(Surface_Engine!$B$12:$B$72,$A1341+1)-F1341/INDEX(Surface_Engine!$B$12:$B$72,$A1341+1))),IF(E1341&lt;=0,0,MAX(0,(B1341/E1341)*I1341/INDEX(Surface_Engine!$B$12:$B$72,$A1341+1)-F1341/INDEX(Surface_Engine!$B$12:$B$72,$A1341+1))),IF($A1341&lt;$Q$1329,MAX(0,-Assumptions!$B$22*(F1341/INDEX(Surface_Engine!$B$12:$B$72,$A1341+1))),0)))^2+(MAX(0,J1341/INDEX(Surface_Engine!$B$12:$B$72,$A1341+1)-(F1341/INDEX(Surface_Engine!$B$12:$B$72,$A1341+1))))^2+2*Assumptions!$B$26*(IF(C1341&lt;=0,0,MAX(0,(B1341/C1341)*G1341/INDEX(Surface_Engine!$B$12:$B$72,$A1341+1)-F1341/INDEX(Surface_Engine!$B$12:$B$72,$A1341+1))))*(MAX(IF(D1341&lt;=0,0,MAX(0,(B1341/D1341)*H1341/INDEX(Surface_Engine!$B$12:$B$72,$A1341+1)-F1341/INDEX(Surface_Engine!$B$12:$B$72,$A1341+1))),IF(E1341&lt;=0,0,MAX(0,(B1341/E1341)*I1341/INDEX(Surface_Engine!$B$12:$B$72,$A1341+1)-F1341/INDEX(Surface_Engine!$B$12:$B$72,$A1341+1))),IF($A1341&lt;$Q$1329,MAX(0,-Assumptions!$B$22*(F1341/INDEX(Surface_Engine!$B$12:$B$72,$A1341+1))),0)))+2*Assumptions!$B$27*(IF(C1341&lt;=0,0,MAX(0,(B1341/C1341)*G1341/INDEX(Surface_Engine!$B$12:$B$72,$A1341+1)-F1341/INDEX(Surface_Engine!$B$12:$B$72,$A1341+1))))*(MAX(0,J1341/INDEX(Surface_Engine!$B$12:$B$72,$A1341+1)-(F1341/INDEX(Surface_Engine!$B$12:$B$72,$A1341+1))))+2*Assumptions!$B$28*(MAX(IF(D1341&lt;=0,0,MAX(0,(B1341/D1341)*H1341/INDEX(Surface_Engine!$B$12:$B$72,$A1341+1)-F1341/INDEX(Surface_Engine!$B$12:$B$72,$A1341+1))),IF(E1341&lt;=0,0,MAX(0,(B1341/E1341)*I1341/INDEX(Surface_Engine!$B$12:$B$72,$A1341+1)-F1341/INDEX(Surface_Engine!$B$12:$B$72,$A1341+1))),IF($A1341&lt;$Q$1329,MAX(0,-Assumptions!$B$22*(F1341/INDEX(Surface_Engine!$B$12:$B$72,$A1341+1))),0)))*(MAX(0,J1341/INDEX(Surface_Engine!$B$12:$B$72,$A1341+1)-(F1341/INDEX(Surface_Engine!$B$12:$B$72,$A1341+1)))))</f>
        <v>10588.3943039305</v>
      </c>
      <c r="L1341" s="48" t="n">
        <f aca="false">K1341*INDEX(Surface_Engine!$B$12:$B$72,$A1341+1)+L1342</f>
        <v>68861.6072196128</v>
      </c>
      <c r="M1341" s="48" t="n">
        <f aca="false">M1340+B1340*(IF($A1340&lt;$Q$1329,(Surface_Engine!G248*12)-(Surface_Engine!G248*12)*INDEX(Surface_Engine!$F$12:$F$72,$A1340+1)-INDEX(Surface_Engine!$D$12:$D$72,$A1340+1),-(1000*12*INDEX(Surface_Engine!$C$12:$C$72,$A1340+1)/(1+Assumptions!$B$10)^8+INDEX(Surface_Engine!$D$12:$D$72,$A1340+1))))*INDEX(Surface_Engine!$B$12:$B$72,$A1340+1)</f>
        <v>68717.7177898726</v>
      </c>
      <c r="N1341" s="12" t="n">
        <f aca="false">IF(B1341&lt;=0,0,MAX(0,(K1341+Assumptions!$B$29*L1341/INDEX(Surface_Engine!$B$12:$B$72,$A1341+1)-(M1341/INDEX(Surface_Engine!$B$12:$B$72,$A1341+1)-(F1341/INDEX(Surface_Engine!$B$12:$B$72,$A1341+1))))/B1341))</f>
        <v>16778.2901111642</v>
      </c>
    </row>
    <row r="1342" customFormat="false" ht="15" hidden="false" customHeight="true" outlineLevel="0" collapsed="false">
      <c r="A1342" s="1" t="n">
        <v>11</v>
      </c>
      <c r="B1342" s="32" t="n">
        <f aca="false">INDEX(Surface_Engine!$S$12:$S$72,$A1342+1)*IF($A1342&lt;$Q$1329,INDEX(Surface_Engine!$E$12:$E$72,$A1342+1),INDEX(Surface_Engine!$E$12:$E$72,$Q$1329+1))</f>
        <v>0.683962900218002</v>
      </c>
      <c r="C1342" s="32" t="n">
        <f aca="false">INDEX(Panel_Reserving!$G$8:$G$68,$A1342+1)*IF($A1342&lt;$Q$1329,INDEX(Surface_Engine!$E$12:$E$72,$A1342+1),INDEX(Surface_Engine!$E$12:$E$72,$Q$1329+1))</f>
        <v>0.719240147521733</v>
      </c>
      <c r="D1342" s="32" t="n">
        <f aca="false">INDEX(Surface_Engine!$S$12:$S$72,$A1342+1)*IF($A1342&lt;$Q$1329,INDEX(Surface_Engine!$Y$12:$Y$72,$A1342+1),INDEX(Surface_Engine!$Y$12:$Y$72,$Q$1329+1))</f>
        <v>0.639873497759001</v>
      </c>
      <c r="E1342" s="32" t="n">
        <f aca="false">INDEX(Surface_Engine!$S$12:$S$72,$A1342+1)*IF($A1342&lt;$Q$1329,INDEX(Surface_Engine!$Z$12:$Z$72,$A1342+1),INDEX(Surface_Engine!$Z$12:$Z$72,$Q$1329+1))</f>
        <v>0.730527235989402</v>
      </c>
      <c r="F1342" s="48" t="n">
        <f aca="false">B1342*(IF($A1342&lt;$Q$1329,INDEX(Surface_Engine!$D$12:$D$72,$A1342+1)+(Surface_Engine!G248*12)*INDEX(Surface_Engine!$F$12:$F$72,$A1342+1)-(Surface_Engine!G248*12),1000*12*INDEX(Surface_Engine!$C$12:$C$72,$A1342+1)/(1+Assumptions!$B$10)^8+INDEX(Surface_Engine!$D$12:$D$72,$A1342+1)))*INDEX(Surface_Engine!$B$12:$B$72,$A1342+1)+F1343</f>
        <v>58873.7083498284</v>
      </c>
      <c r="G1342" s="48" t="n">
        <f aca="false">C1342*(IF($A1342&lt;$Q$1329,INDEX(Surface_Engine!$D$12:$D$72,$A1342+1)+(Surface_Engine!G248*12)*INDEX(Surface_Engine!$F$12:$F$72,$A1342+1)-(Surface_Engine!G248*12),1000*12*INDEX(Surface_Engine!$C$12:$C$72,$A1342+1)/(1+Assumptions!$B$10)^8+INDEX(Surface_Engine!$D$12:$D$72,$A1342+1)))*INDEX(Surface_Engine!$B$12:$B$72,$A1342+1)+G1343</f>
        <v>69703.3896200225</v>
      </c>
      <c r="H1342" s="48" t="n">
        <f aca="false">D1342*(IF($A1342&lt;$Q$1329,INDEX(Surface_Engine!$D$12:$D$72,$A1342+1)+(Surface_Engine!G248*12)*INDEX(Surface_Engine!$F$12:$F$72,$A1342+1)-(Surface_Engine!G248*12),1000*12*INDEX(Surface_Engine!$C$12:$C$72,$A1342+1)/(1+Assumptions!$B$10)^8+INDEX(Surface_Engine!$D$12:$D$72,$A1342+1)))*INDEX(Surface_Engine!$B$12:$B$72,$A1342+1)+H1343</f>
        <v>55078.6097840113</v>
      </c>
      <c r="I1342" s="48" t="n">
        <f aca="false">E1342*(IF($A1342&lt;$Q$1329,INDEX(Surface_Engine!$D$12:$D$72,$A1342+1)+(Surface_Engine!G248*12)*INDEX(Surface_Engine!$F$12:$F$72,$A1342+1)-(Surface_Engine!G248*12),1000*12*INDEX(Surface_Engine!$C$12:$C$72,$A1342+1)/(1+Assumptions!$B$10)^8+INDEX(Surface_Engine!$D$12:$D$72,$A1342+1)))*INDEX(Surface_Engine!$B$12:$B$72,$A1342+1)+I1343</f>
        <v>62881.8425963425</v>
      </c>
      <c r="J1342" s="48" t="n">
        <f aca="false">B1342*(IF($A1342&lt;$Q$1329,INDEX(Surface_Engine!$D$12:$D$72,$A1342+1)*(1+Assumptions!$B$24)+(Surface_Engine!G248*12)*INDEX(Surface_Engine!$F$12:$F$72,$A1342+1)-(Surface_Engine!G248*12),1000*12*INDEX(Surface_Engine!$C$12:$C$72,$A1342+1)/(1+Assumptions!$B$10)^8+INDEX(Surface_Engine!$D$12:$D$72,$A1342+1)*(1+Assumptions!$B$24)))*INDEX(Surface_Engine!$B$12:$B$72,$A1342+1)+J1343</f>
        <v>58924.4711348005</v>
      </c>
      <c r="K1342" s="12" t="n">
        <f aca="false">SQRT((IF(C1342&lt;=0,0,MAX(0,(B1342/C1342)*G1342/INDEX(Surface_Engine!$B$12:$B$72,$A1342+1)-F1342/INDEX(Surface_Engine!$B$12:$B$72,$A1342+1))))^2+(MAX(IF(D1342&lt;=0,0,MAX(0,(B1342/D1342)*H1342/INDEX(Surface_Engine!$B$12:$B$72,$A1342+1)-F1342/INDEX(Surface_Engine!$B$12:$B$72,$A1342+1))),IF(E1342&lt;=0,0,MAX(0,(B1342/E1342)*I1342/INDEX(Surface_Engine!$B$12:$B$72,$A1342+1)-F1342/INDEX(Surface_Engine!$B$12:$B$72,$A1342+1))),IF($A1342&lt;$Q$1329,MAX(0,-Assumptions!$B$22*(F1342/INDEX(Surface_Engine!$B$12:$B$72,$A1342+1))),0)))^2+(MAX(0,J1342/INDEX(Surface_Engine!$B$12:$B$72,$A1342+1)-(F1342/INDEX(Surface_Engine!$B$12:$B$72,$A1342+1))))^2+2*Assumptions!$B$26*(IF(C1342&lt;=0,0,MAX(0,(B1342/C1342)*G1342/INDEX(Surface_Engine!$B$12:$B$72,$A1342+1)-F1342/INDEX(Surface_Engine!$B$12:$B$72,$A1342+1))))*(MAX(IF(D1342&lt;=0,0,MAX(0,(B1342/D1342)*H1342/INDEX(Surface_Engine!$B$12:$B$72,$A1342+1)-F1342/INDEX(Surface_Engine!$B$12:$B$72,$A1342+1))),IF(E1342&lt;=0,0,MAX(0,(B1342/E1342)*I1342/INDEX(Surface_Engine!$B$12:$B$72,$A1342+1)-F1342/INDEX(Surface_Engine!$B$12:$B$72,$A1342+1))),IF($A1342&lt;$Q$1329,MAX(0,-Assumptions!$B$22*(F1342/INDEX(Surface_Engine!$B$12:$B$72,$A1342+1))),0)))+2*Assumptions!$B$27*(IF(C1342&lt;=0,0,MAX(0,(B1342/C1342)*G1342/INDEX(Surface_Engine!$B$12:$B$72,$A1342+1)-F1342/INDEX(Surface_Engine!$B$12:$B$72,$A1342+1))))*(MAX(0,J1342/INDEX(Surface_Engine!$B$12:$B$72,$A1342+1)-(F1342/INDEX(Surface_Engine!$B$12:$B$72,$A1342+1))))+2*Assumptions!$B$28*(MAX(IF(D1342&lt;=0,0,MAX(0,(B1342/D1342)*H1342/INDEX(Surface_Engine!$B$12:$B$72,$A1342+1)-F1342/INDEX(Surface_Engine!$B$12:$B$72,$A1342+1))),IF(E1342&lt;=0,0,MAX(0,(B1342/E1342)*I1342/INDEX(Surface_Engine!$B$12:$B$72,$A1342+1)-F1342/INDEX(Surface_Engine!$B$12:$B$72,$A1342+1))),IF($A1342&lt;$Q$1329,MAX(0,-Assumptions!$B$22*(F1342/INDEX(Surface_Engine!$B$12:$B$72,$A1342+1))),0)))*(MAX(0,J1342/INDEX(Surface_Engine!$B$12:$B$72,$A1342+1)-(F1342/INDEX(Surface_Engine!$B$12:$B$72,$A1342+1)))))</f>
        <v>10211.6096617059</v>
      </c>
      <c r="L1342" s="48" t="n">
        <f aca="false">K1342*INDEX(Surface_Engine!$B$12:$B$72,$A1342+1)+L1343</f>
        <v>60914.444185687</v>
      </c>
      <c r="M1342" s="48" t="n">
        <f aca="false">M1341+B1341*(IF($A1341&lt;$Q$1329,(Surface_Engine!G248*12)-(Surface_Engine!G248*12)*INDEX(Surface_Engine!$F$12:$F$72,$A1341+1)-INDEX(Surface_Engine!$D$12:$D$72,$A1341+1),-(1000*12*INDEX(Surface_Engine!$C$12:$C$72,$A1341+1)/(1+Assumptions!$B$10)^8+INDEX(Surface_Engine!$D$12:$D$72,$A1341+1))))*INDEX(Surface_Engine!$B$12:$B$72,$A1341+1)</f>
        <v>62000.256820768</v>
      </c>
      <c r="N1342" s="12" t="n">
        <f aca="false">IF(B1342&lt;=0,0,MAX(0,(K1342+Assumptions!$B$29*L1342/INDEX(Surface_Engine!$B$12:$B$72,$A1342+1)-(M1342/INDEX(Surface_Engine!$B$12:$B$72,$A1342+1)-(F1342/INDEX(Surface_Engine!$B$12:$B$72,$A1342+1))))/B1342))</f>
        <v>15992.5790601838</v>
      </c>
    </row>
    <row r="1343" customFormat="false" ht="15" hidden="false" customHeight="true" outlineLevel="0" collapsed="false">
      <c r="A1343" s="1" t="n">
        <v>12</v>
      </c>
      <c r="B1343" s="32" t="n">
        <f aca="false">INDEX(Surface_Engine!$S$12:$S$72,$A1343+1)*IF($A1343&lt;$Q$1329,INDEX(Surface_Engine!$E$12:$E$72,$A1343+1),INDEX(Surface_Engine!$E$12:$E$72,$Q$1329+1))</f>
        <v>0.654882222005561</v>
      </c>
      <c r="C1343" s="32" t="n">
        <f aca="false">INDEX(Panel_Reserving!$G$8:$G$68,$A1343+1)*IF($A1343&lt;$Q$1329,INDEX(Surface_Engine!$E$12:$E$72,$A1343+1),INDEX(Surface_Engine!$E$12:$E$72,$Q$1329+1))</f>
        <v>0.694775672877414</v>
      </c>
      <c r="D1343" s="32" t="n">
        <f aca="false">INDEX(Surface_Engine!$S$12:$S$72,$A1343+1)*IF($A1343&lt;$Q$1329,INDEX(Surface_Engine!$Y$12:$Y$72,$A1343+1),INDEX(Surface_Engine!$Y$12:$Y$72,$Q$1329+1))</f>
        <v>0.612667409126025</v>
      </c>
      <c r="E1343" s="32" t="n">
        <f aca="false">INDEX(Surface_Engine!$S$12:$S$72,$A1343+1)*IF($A1343&lt;$Q$1329,INDEX(Surface_Engine!$Z$12:$Z$72,$A1343+1),INDEX(Surface_Engine!$Z$12:$Z$72,$Q$1329+1))</f>
        <v>0.69946673918693</v>
      </c>
      <c r="F1343" s="48" t="n">
        <f aca="false">B1343*(IF($A1343&lt;$Q$1329,INDEX(Surface_Engine!$D$12:$D$72,$A1343+1)+(Surface_Engine!G248*12)*INDEX(Surface_Engine!$F$12:$F$72,$A1343+1)-(Surface_Engine!G248*12),1000*12*INDEX(Surface_Engine!$C$12:$C$72,$A1343+1)/(1+Assumptions!$B$10)^8+INDEX(Surface_Engine!$D$12:$D$72,$A1343+1)))*INDEX(Surface_Engine!$B$12:$B$72,$A1343+1)+F1344</f>
        <v>52488.1931103986</v>
      </c>
      <c r="G1343" s="48" t="n">
        <f aca="false">C1343*(IF($A1343&lt;$Q$1329,INDEX(Surface_Engine!$D$12:$D$72,$A1343+1)+(Surface_Engine!G248*12)*INDEX(Surface_Engine!$F$12:$F$72,$A1343+1)-(Surface_Engine!G248*12),1000*12*INDEX(Surface_Engine!$C$12:$C$72,$A1343+1)/(1+Assumptions!$B$10)^8+INDEX(Surface_Engine!$D$12:$D$72,$A1343+1)))*INDEX(Surface_Engine!$B$12:$B$72,$A1343+1)+G1344</f>
        <v>62988.5240602884</v>
      </c>
      <c r="H1343" s="48" t="n">
        <f aca="false">D1343*(IF($A1343&lt;$Q$1329,INDEX(Surface_Engine!$D$12:$D$72,$A1343+1)+(Surface_Engine!G248*12)*INDEX(Surface_Engine!$F$12:$F$72,$A1343+1)-(Surface_Engine!G248*12),1000*12*INDEX(Surface_Engine!$C$12:$C$72,$A1343+1)/(1+Assumptions!$B$10)^8+INDEX(Surface_Engine!$D$12:$D$72,$A1343+1)))*INDEX(Surface_Engine!$B$12:$B$72,$A1343+1)+H1344</f>
        <v>49104.7156298912</v>
      </c>
      <c r="I1343" s="48" t="n">
        <f aca="false">E1343*(IF($A1343&lt;$Q$1329,INDEX(Surface_Engine!$D$12:$D$72,$A1343+1)+(Surface_Engine!G248*12)*INDEX(Surface_Engine!$F$12:$F$72,$A1343+1)-(Surface_Engine!G248*12),1000*12*INDEX(Surface_Engine!$C$12:$C$72,$A1343+1)/(1+Assumptions!$B$10)^8+INDEX(Surface_Engine!$D$12:$D$72,$A1343+1)))*INDEX(Surface_Engine!$B$12:$B$72,$A1343+1)+I1344</f>
        <v>56061.6001581313</v>
      </c>
      <c r="J1343" s="48" t="n">
        <f aca="false">B1343*(IF($A1343&lt;$Q$1329,INDEX(Surface_Engine!$D$12:$D$72,$A1343+1)*(1+Assumptions!$B$24)+(Surface_Engine!G248*12)*INDEX(Surface_Engine!$F$12:$F$72,$A1343+1)-(Surface_Engine!G248*12),1000*12*INDEX(Surface_Engine!$C$12:$C$72,$A1343+1)/(1+Assumptions!$B$10)^8+INDEX(Surface_Engine!$D$12:$D$72,$A1343+1)*(1+Assumptions!$B$24)))*INDEX(Surface_Engine!$B$12:$B$72,$A1343+1)+J1344</f>
        <v>52533.6061057225</v>
      </c>
      <c r="K1343" s="12" t="n">
        <f aca="false">SQRT((IF(C1343&lt;=0,0,MAX(0,(B1343/C1343)*G1343/INDEX(Surface_Engine!$B$12:$B$72,$A1343+1)-F1343/INDEX(Surface_Engine!$B$12:$B$72,$A1343+1))))^2+(MAX(IF(D1343&lt;=0,0,MAX(0,(B1343/D1343)*H1343/INDEX(Surface_Engine!$B$12:$B$72,$A1343+1)-F1343/INDEX(Surface_Engine!$B$12:$B$72,$A1343+1))),IF(E1343&lt;=0,0,MAX(0,(B1343/E1343)*I1343/INDEX(Surface_Engine!$B$12:$B$72,$A1343+1)-F1343/INDEX(Surface_Engine!$B$12:$B$72,$A1343+1))),IF($A1343&lt;$Q$1329,MAX(0,-Assumptions!$B$22*(F1343/INDEX(Surface_Engine!$B$12:$B$72,$A1343+1))),0)))^2+(MAX(0,J1343/INDEX(Surface_Engine!$B$12:$B$72,$A1343+1)-(F1343/INDEX(Surface_Engine!$B$12:$B$72,$A1343+1))))^2+2*Assumptions!$B$26*(IF(C1343&lt;=0,0,MAX(0,(B1343/C1343)*G1343/INDEX(Surface_Engine!$B$12:$B$72,$A1343+1)-F1343/INDEX(Surface_Engine!$B$12:$B$72,$A1343+1))))*(MAX(IF(D1343&lt;=0,0,MAX(0,(B1343/D1343)*H1343/INDEX(Surface_Engine!$B$12:$B$72,$A1343+1)-F1343/INDEX(Surface_Engine!$B$12:$B$72,$A1343+1))),IF(E1343&lt;=0,0,MAX(0,(B1343/E1343)*I1343/INDEX(Surface_Engine!$B$12:$B$72,$A1343+1)-F1343/INDEX(Surface_Engine!$B$12:$B$72,$A1343+1))),IF($A1343&lt;$Q$1329,MAX(0,-Assumptions!$B$22*(F1343/INDEX(Surface_Engine!$B$12:$B$72,$A1343+1))),0)))+2*Assumptions!$B$27*(IF(C1343&lt;=0,0,MAX(0,(B1343/C1343)*G1343/INDEX(Surface_Engine!$B$12:$B$72,$A1343+1)-F1343/INDEX(Surface_Engine!$B$12:$B$72,$A1343+1))))*(MAX(0,J1343/INDEX(Surface_Engine!$B$12:$B$72,$A1343+1)-(F1343/INDEX(Surface_Engine!$B$12:$B$72,$A1343+1))))+2*Assumptions!$B$28*(MAX(IF(D1343&lt;=0,0,MAX(0,(B1343/D1343)*H1343/INDEX(Surface_Engine!$B$12:$B$72,$A1343+1)-F1343/INDEX(Surface_Engine!$B$12:$B$72,$A1343+1))),IF(E1343&lt;=0,0,MAX(0,(B1343/E1343)*I1343/INDEX(Surface_Engine!$B$12:$B$72,$A1343+1)-F1343/INDEX(Surface_Engine!$B$12:$B$72,$A1343+1))),IF($A1343&lt;$Q$1329,MAX(0,-Assumptions!$B$22*(F1343/INDEX(Surface_Engine!$B$12:$B$72,$A1343+1))),0)))*(MAX(0,J1343/INDEX(Surface_Engine!$B$12:$B$72,$A1343+1)-(F1343/INDEX(Surface_Engine!$B$12:$B$72,$A1343+1)))))</f>
        <v>9821.56935762214</v>
      </c>
      <c r="L1343" s="48" t="n">
        <f aca="false">K1343*INDEX(Surface_Engine!$B$12:$B$72,$A1343+1)+L1344</f>
        <v>53490.7171520419</v>
      </c>
      <c r="M1343" s="48" t="n">
        <f aca="false">M1342+B1342*(IF($A1342&lt;$Q$1329,(Surface_Engine!G248*12)-(Surface_Engine!G248*12)*INDEX(Surface_Engine!$F$12:$F$72,$A1342+1)-INDEX(Surface_Engine!$D$12:$D$72,$A1342+1),-(1000*12*INDEX(Surface_Engine!$C$12:$C$72,$A1342+1)/(1+Assumptions!$B$10)^8+INDEX(Surface_Engine!$D$12:$D$72,$A1342+1))))*INDEX(Surface_Engine!$B$12:$B$72,$A1342+1)</f>
        <v>55614.7415813382</v>
      </c>
      <c r="N1343" s="12" t="n">
        <f aca="false">IF(B1343&lt;=0,0,MAX(0,(K1343+Assumptions!$B$29*L1343/INDEX(Surface_Engine!$B$12:$B$72,$A1343+1)-(M1343/INDEX(Surface_Engine!$B$12:$B$72,$A1343+1)-(F1343/INDEX(Surface_Engine!$B$12:$B$72,$A1343+1))))/B1343))</f>
        <v>15177.7628615103</v>
      </c>
    </row>
    <row r="1344" customFormat="false" ht="15" hidden="false" customHeight="true" outlineLevel="0" collapsed="false">
      <c r="A1344" s="1" t="n">
        <v>13</v>
      </c>
      <c r="B1344" s="32" t="n">
        <f aca="false">INDEX(Surface_Engine!$S$12:$S$72,$A1344+1)*IF($A1344&lt;$Q$1329,INDEX(Surface_Engine!$E$12:$E$72,$A1344+1),INDEX(Surface_Engine!$E$12:$E$72,$Q$1329+1))</f>
        <v>0.623647784812006</v>
      </c>
      <c r="C1344" s="32" t="n">
        <f aca="false">INDEX(Panel_Reserving!$G$8:$G$68,$A1344+1)*IF($A1344&lt;$Q$1329,INDEX(Surface_Engine!$E$12:$E$72,$A1344+1),INDEX(Surface_Engine!$E$12:$E$72,$Q$1329+1))</f>
        <v>0.668265956914575</v>
      </c>
      <c r="D1344" s="32" t="n">
        <f aca="false">INDEX(Surface_Engine!$S$12:$S$72,$A1344+1)*IF($A1344&lt;$Q$1329,INDEX(Surface_Engine!$Y$12:$Y$72,$A1344+1),INDEX(Surface_Engine!$Y$12:$Y$72,$Q$1329+1))</f>
        <v>0.583446396449455</v>
      </c>
      <c r="E1344" s="32" t="n">
        <f aca="false">INDEX(Surface_Engine!$S$12:$S$72,$A1344+1)*IF($A1344&lt;$Q$1329,INDEX(Surface_Engine!$Z$12:$Z$72,$A1344+1),INDEX(Surface_Engine!$Z$12:$Z$72,$Q$1329+1))</f>
        <v>0.666105855046255</v>
      </c>
      <c r="F1344" s="48" t="n">
        <f aca="false">B1344*(IF($A1344&lt;$Q$1329,INDEX(Surface_Engine!$D$12:$D$72,$A1344+1)+(Surface_Engine!G248*12)*INDEX(Surface_Engine!$F$12:$F$72,$A1344+1)-(Surface_Engine!G248*12),1000*12*INDEX(Surface_Engine!$C$12:$C$72,$A1344+1)/(1+Assumptions!$B$10)^8+INDEX(Surface_Engine!$D$12:$D$72,$A1344+1)))*INDEX(Surface_Engine!$B$12:$B$72,$A1344+1)+F1345</f>
        <v>46465.7193278355</v>
      </c>
      <c r="G1344" s="48" t="n">
        <f aca="false">C1344*(IF($A1344&lt;$Q$1329,INDEX(Surface_Engine!$D$12:$D$72,$A1344+1)+(Surface_Engine!G248*12)*INDEX(Surface_Engine!$F$12:$F$72,$A1344+1)-(Surface_Engine!G248*12),1000*12*INDEX(Surface_Engine!$C$12:$C$72,$A1344+1)/(1+Assumptions!$B$10)^8+INDEX(Surface_Engine!$D$12:$D$72,$A1344+1)))*INDEX(Surface_Engine!$B$12:$B$72,$A1344+1)+G1345</f>
        <v>56599.1793291813</v>
      </c>
      <c r="H1344" s="48" t="n">
        <f aca="false">D1344*(IF($A1344&lt;$Q$1329,INDEX(Surface_Engine!$D$12:$D$72,$A1344+1)+(Surface_Engine!G248*12)*INDEX(Surface_Engine!$F$12:$F$72,$A1344+1)-(Surface_Engine!G248*12),1000*12*INDEX(Surface_Engine!$C$12:$C$72,$A1344+1)/(1+Assumptions!$B$10)^8+INDEX(Surface_Engine!$D$12:$D$72,$A1344+1)))*INDEX(Surface_Engine!$B$12:$B$72,$A1344+1)+H1345</f>
        <v>43470.4606678424</v>
      </c>
      <c r="I1344" s="48" t="n">
        <f aca="false">E1344*(IF($A1344&lt;$Q$1329,INDEX(Surface_Engine!$D$12:$D$72,$A1344+1)+(Surface_Engine!G248*12)*INDEX(Surface_Engine!$F$12:$F$72,$A1344+1)-(Surface_Engine!G248*12),1000*12*INDEX(Surface_Engine!$C$12:$C$72,$A1344+1)/(1+Assumptions!$B$10)^8+INDEX(Surface_Engine!$D$12:$D$72,$A1344+1)))*INDEX(Surface_Engine!$B$12:$B$72,$A1344+1)+I1345</f>
        <v>49629.1151142902</v>
      </c>
      <c r="J1344" s="48" t="n">
        <f aca="false">B1344*(IF($A1344&lt;$Q$1329,INDEX(Surface_Engine!$D$12:$D$72,$A1344+1)*(1+Assumptions!$B$24)+(Surface_Engine!G248*12)*INDEX(Surface_Engine!$F$12:$F$72,$A1344+1)-(Surface_Engine!G248*12),1000*12*INDEX(Surface_Engine!$C$12:$C$72,$A1344+1)/(1+Assumptions!$B$10)^8+INDEX(Surface_Engine!$D$12:$D$72,$A1344+1)*(1+Assumptions!$B$24)))*INDEX(Surface_Engine!$B$12:$B$72,$A1344+1)+J1345</f>
        <v>46506.0621646553</v>
      </c>
      <c r="K1344" s="12" t="n">
        <f aca="false">SQRT((IF(C1344&lt;=0,0,MAX(0,(B1344/C1344)*G1344/INDEX(Surface_Engine!$B$12:$B$72,$A1344+1)-F1344/INDEX(Surface_Engine!$B$12:$B$72,$A1344+1))))^2+(MAX(IF(D1344&lt;=0,0,MAX(0,(B1344/D1344)*H1344/INDEX(Surface_Engine!$B$12:$B$72,$A1344+1)-F1344/INDEX(Surface_Engine!$B$12:$B$72,$A1344+1))),IF(E1344&lt;=0,0,MAX(0,(B1344/E1344)*I1344/INDEX(Surface_Engine!$B$12:$B$72,$A1344+1)-F1344/INDEX(Surface_Engine!$B$12:$B$72,$A1344+1))),IF($A1344&lt;$Q$1329,MAX(0,-Assumptions!$B$22*(F1344/INDEX(Surface_Engine!$B$12:$B$72,$A1344+1))),0)))^2+(MAX(0,J1344/INDEX(Surface_Engine!$B$12:$B$72,$A1344+1)-(F1344/INDEX(Surface_Engine!$B$12:$B$72,$A1344+1))))^2+2*Assumptions!$B$26*(IF(C1344&lt;=0,0,MAX(0,(B1344/C1344)*G1344/INDEX(Surface_Engine!$B$12:$B$72,$A1344+1)-F1344/INDEX(Surface_Engine!$B$12:$B$72,$A1344+1))))*(MAX(IF(D1344&lt;=0,0,MAX(0,(B1344/D1344)*H1344/INDEX(Surface_Engine!$B$12:$B$72,$A1344+1)-F1344/INDEX(Surface_Engine!$B$12:$B$72,$A1344+1))),IF(E1344&lt;=0,0,MAX(0,(B1344/E1344)*I1344/INDEX(Surface_Engine!$B$12:$B$72,$A1344+1)-F1344/INDEX(Surface_Engine!$B$12:$B$72,$A1344+1))),IF($A1344&lt;$Q$1329,MAX(0,-Assumptions!$B$22*(F1344/INDEX(Surface_Engine!$B$12:$B$72,$A1344+1))),0)))+2*Assumptions!$B$27*(IF(C1344&lt;=0,0,MAX(0,(B1344/C1344)*G1344/INDEX(Surface_Engine!$B$12:$B$72,$A1344+1)-F1344/INDEX(Surface_Engine!$B$12:$B$72,$A1344+1))))*(MAX(0,J1344/INDEX(Surface_Engine!$B$12:$B$72,$A1344+1)-(F1344/INDEX(Surface_Engine!$B$12:$B$72,$A1344+1))))+2*Assumptions!$B$28*(MAX(IF(D1344&lt;=0,0,MAX(0,(B1344/D1344)*H1344/INDEX(Surface_Engine!$B$12:$B$72,$A1344+1)-F1344/INDEX(Surface_Engine!$B$12:$B$72,$A1344+1))),IF(E1344&lt;=0,0,MAX(0,(B1344/E1344)*I1344/INDEX(Surface_Engine!$B$12:$B$72,$A1344+1)-F1344/INDEX(Surface_Engine!$B$12:$B$72,$A1344+1))),IF($A1344&lt;$Q$1329,MAX(0,-Assumptions!$B$22*(F1344/INDEX(Surface_Engine!$B$12:$B$72,$A1344+1))),0)))*(MAX(0,J1344/INDEX(Surface_Engine!$B$12:$B$72,$A1344+1)-(F1344/INDEX(Surface_Engine!$B$12:$B$72,$A1344+1)))))</f>
        <v>9385.78591428243</v>
      </c>
      <c r="L1344" s="48" t="n">
        <f aca="false">K1344*INDEX(Surface_Engine!$B$12:$B$72,$A1344+1)+L1345</f>
        <v>46595.6422797158</v>
      </c>
      <c r="M1344" s="48" t="n">
        <f aca="false">M1343+B1343*(IF($A1343&lt;$Q$1329,(Surface_Engine!G248*12)-(Surface_Engine!G248*12)*INDEX(Surface_Engine!$F$12:$F$72,$A1343+1)-INDEX(Surface_Engine!$D$12:$D$72,$A1343+1),-(1000*12*INDEX(Surface_Engine!$C$12:$C$72,$A1343+1)/(1+Assumptions!$B$10)^8+INDEX(Surface_Engine!$D$12:$D$72,$A1343+1))))*INDEX(Surface_Engine!$B$12:$B$72,$A1343+1)</f>
        <v>49592.2677987751</v>
      </c>
      <c r="N1344" s="12" t="n">
        <f aca="false">IF(B1344&lt;=0,0,MAX(0,(K1344+Assumptions!$B$29*L1344/INDEX(Surface_Engine!$B$12:$B$72,$A1344+1)-(M1344/INDEX(Surface_Engine!$B$12:$B$72,$A1344+1)-(F1344/INDEX(Surface_Engine!$B$12:$B$72,$A1344+1))))/B1344))</f>
        <v>14267.593491135</v>
      </c>
    </row>
    <row r="1345" customFormat="false" ht="15" hidden="false" customHeight="true" outlineLevel="0" collapsed="false">
      <c r="A1345" s="1" t="n">
        <v>14</v>
      </c>
      <c r="B1345" s="32" t="n">
        <f aca="false">INDEX(Surface_Engine!$S$12:$S$72,$A1345+1)*IF($A1345&lt;$Q$1329,INDEX(Surface_Engine!$E$12:$E$72,$A1345+1),INDEX(Surface_Engine!$E$12:$E$72,$Q$1329+1))</f>
        <v>0.589209984626386</v>
      </c>
      <c r="C1345" s="32" t="n">
        <f aca="false">INDEX(Panel_Reserving!$G$8:$G$68,$A1345+1)*IF($A1345&lt;$Q$1329,INDEX(Surface_Engine!$E$12:$E$72,$A1345+1),INDEX(Surface_Engine!$E$12:$E$72,$Q$1329+1))</f>
        <v>0.638744666140471</v>
      </c>
      <c r="D1345" s="32" t="n">
        <f aca="false">INDEX(Surface_Engine!$S$12:$S$72,$A1345+1)*IF($A1345&lt;$Q$1329,INDEX(Surface_Engine!$Y$12:$Y$72,$A1345+1),INDEX(Surface_Engine!$Y$12:$Y$72,$Q$1329+1))</f>
        <v>0.551228514963668</v>
      </c>
      <c r="E1345" s="32" t="n">
        <f aca="false">INDEX(Surface_Engine!$S$12:$S$72,$A1345+1)*IF($A1345&lt;$Q$1329,INDEX(Surface_Engine!$Z$12:$Z$72,$A1345+1),INDEX(Surface_Engine!$Z$12:$Z$72,$Q$1329+1))</f>
        <v>0.629323522298181</v>
      </c>
      <c r="F1345" s="48" t="n">
        <f aca="false">B1345*(IF($A1345&lt;$Q$1329,INDEX(Surface_Engine!$D$12:$D$72,$A1345+1)+(Surface_Engine!G248*12)*INDEX(Surface_Engine!$F$12:$F$72,$A1345+1)-(Surface_Engine!G248*12),1000*12*INDEX(Surface_Engine!$C$12:$C$72,$A1345+1)/(1+Assumptions!$B$10)^8+INDEX(Surface_Engine!$D$12:$D$72,$A1345+1)))*INDEX(Surface_Engine!$B$12:$B$72,$A1345+1)+F1346</f>
        <v>40814.8065026091</v>
      </c>
      <c r="G1345" s="48" t="n">
        <f aca="false">C1345*(IF($A1345&lt;$Q$1329,INDEX(Surface_Engine!$D$12:$D$72,$A1345+1)+(Surface_Engine!G248*12)*INDEX(Surface_Engine!$F$12:$F$72,$A1345+1)-(Surface_Engine!G248*12),1000*12*INDEX(Surface_Engine!$C$12:$C$72,$A1345+1)/(1+Assumptions!$B$10)^8+INDEX(Surface_Engine!$D$12:$D$72,$A1345+1)))*INDEX(Surface_Engine!$B$12:$B$72,$A1345+1)+G1346</f>
        <v>50543.9783671045</v>
      </c>
      <c r="H1345" s="48" t="n">
        <f aca="false">D1345*(IF($A1345&lt;$Q$1329,INDEX(Surface_Engine!$D$12:$D$72,$A1345+1)+(Surface_Engine!G248*12)*INDEX(Surface_Engine!$F$12:$F$72,$A1345+1)-(Surface_Engine!G248*12),1000*12*INDEX(Surface_Engine!$C$12:$C$72,$A1345+1)/(1+Assumptions!$B$10)^8+INDEX(Surface_Engine!$D$12:$D$72,$A1345+1)))*INDEX(Surface_Engine!$B$12:$B$72,$A1345+1)+H1346</f>
        <v>38183.8152169615</v>
      </c>
      <c r="I1345" s="48" t="n">
        <f aca="false">E1345*(IF($A1345&lt;$Q$1329,INDEX(Surface_Engine!$D$12:$D$72,$A1345+1)+(Surface_Engine!G248*12)*INDEX(Surface_Engine!$F$12:$F$72,$A1345+1)-(Surface_Engine!G248*12),1000*12*INDEX(Surface_Engine!$C$12:$C$72,$A1345+1)/(1+Assumptions!$B$10)^8+INDEX(Surface_Engine!$D$12:$D$72,$A1345+1)))*INDEX(Surface_Engine!$B$12:$B$72,$A1345+1)+I1346</f>
        <v>43593.4869746442</v>
      </c>
      <c r="J1345" s="48" t="n">
        <f aca="false">B1345*(IF($A1345&lt;$Q$1329,INDEX(Surface_Engine!$D$12:$D$72,$A1345+1)*(1+Assumptions!$B$24)+(Surface_Engine!G248*12)*INDEX(Surface_Engine!$F$12:$F$72,$A1345+1)-(Surface_Engine!G248*12),1000*12*INDEX(Surface_Engine!$C$12:$C$72,$A1345+1)/(1+Assumptions!$B$10)^8+INDEX(Surface_Engine!$D$12:$D$72,$A1345+1)*(1+Assumptions!$B$24)))*INDEX(Surface_Engine!$B$12:$B$72,$A1345+1)+J1346</f>
        <v>40850.3688650217</v>
      </c>
      <c r="K1345" s="12" t="n">
        <f aca="false">SQRT((IF(C1345&lt;=0,0,MAX(0,(B1345/C1345)*G1345/INDEX(Surface_Engine!$B$12:$B$72,$A1345+1)-F1345/INDEX(Surface_Engine!$B$12:$B$72,$A1345+1))))^2+(MAX(IF(D1345&lt;=0,0,MAX(0,(B1345/D1345)*H1345/INDEX(Surface_Engine!$B$12:$B$72,$A1345+1)-F1345/INDEX(Surface_Engine!$B$12:$B$72,$A1345+1))),IF(E1345&lt;=0,0,MAX(0,(B1345/E1345)*I1345/INDEX(Surface_Engine!$B$12:$B$72,$A1345+1)-F1345/INDEX(Surface_Engine!$B$12:$B$72,$A1345+1))),IF($A1345&lt;$Q$1329,MAX(0,-Assumptions!$B$22*(F1345/INDEX(Surface_Engine!$B$12:$B$72,$A1345+1))),0)))^2+(MAX(0,J1345/INDEX(Surface_Engine!$B$12:$B$72,$A1345+1)-(F1345/INDEX(Surface_Engine!$B$12:$B$72,$A1345+1))))^2+2*Assumptions!$B$26*(IF(C1345&lt;=0,0,MAX(0,(B1345/C1345)*G1345/INDEX(Surface_Engine!$B$12:$B$72,$A1345+1)-F1345/INDEX(Surface_Engine!$B$12:$B$72,$A1345+1))))*(MAX(IF(D1345&lt;=0,0,MAX(0,(B1345/D1345)*H1345/INDEX(Surface_Engine!$B$12:$B$72,$A1345+1)-F1345/INDEX(Surface_Engine!$B$12:$B$72,$A1345+1))),IF(E1345&lt;=0,0,MAX(0,(B1345/E1345)*I1345/INDEX(Surface_Engine!$B$12:$B$72,$A1345+1)-F1345/INDEX(Surface_Engine!$B$12:$B$72,$A1345+1))),IF($A1345&lt;$Q$1329,MAX(0,-Assumptions!$B$22*(F1345/INDEX(Surface_Engine!$B$12:$B$72,$A1345+1))),0)))+2*Assumptions!$B$27*(IF(C1345&lt;=0,0,MAX(0,(B1345/C1345)*G1345/INDEX(Surface_Engine!$B$12:$B$72,$A1345+1)-F1345/INDEX(Surface_Engine!$B$12:$B$72,$A1345+1))))*(MAX(0,J1345/INDEX(Surface_Engine!$B$12:$B$72,$A1345+1)-(F1345/INDEX(Surface_Engine!$B$12:$B$72,$A1345+1))))+2*Assumptions!$B$28*(MAX(IF(D1345&lt;=0,0,MAX(0,(B1345/D1345)*H1345/INDEX(Surface_Engine!$B$12:$B$72,$A1345+1)-F1345/INDEX(Surface_Engine!$B$12:$B$72,$A1345+1))),IF(E1345&lt;=0,0,MAX(0,(B1345/E1345)*I1345/INDEX(Surface_Engine!$B$12:$B$72,$A1345+1)-F1345/INDEX(Surface_Engine!$B$12:$B$72,$A1345+1))),IF($A1345&lt;$Q$1329,MAX(0,-Assumptions!$B$22*(F1345/INDEX(Surface_Engine!$B$12:$B$72,$A1345+1))),0)))*(MAX(0,J1345/INDEX(Surface_Engine!$B$12:$B$72,$A1345+1)-(F1345/INDEX(Surface_Engine!$B$12:$B$72,$A1345+1)))))</f>
        <v>8876.63135093489</v>
      </c>
      <c r="L1345" s="48" t="n">
        <f aca="false">K1345*INDEX(Surface_Engine!$B$12:$B$72,$A1345+1)+L1346</f>
        <v>40230.9391017325</v>
      </c>
      <c r="M1345" s="48" t="n">
        <f aca="false">M1344+B1344*(IF($A1344&lt;$Q$1329,(Surface_Engine!G248*12)-(Surface_Engine!G248*12)*INDEX(Surface_Engine!$F$12:$F$72,$A1344+1)-INDEX(Surface_Engine!$D$12:$D$72,$A1344+1),-(1000*12*INDEX(Surface_Engine!$C$12:$C$72,$A1344+1)/(1+Assumptions!$B$10)^8+INDEX(Surface_Engine!$D$12:$D$72,$A1344+1))))*INDEX(Surface_Engine!$B$12:$B$72,$A1344+1)</f>
        <v>43941.3549735487</v>
      </c>
      <c r="N1345" s="12" t="n">
        <f aca="false">IF(B1345&lt;=0,0,MAX(0,(K1345+Assumptions!$B$29*L1345/INDEX(Surface_Engine!$B$12:$B$72,$A1345+1)-(M1345/INDEX(Surface_Engine!$B$12:$B$72,$A1345+1)-(F1345/INDEX(Surface_Engine!$B$12:$B$72,$A1345+1))))/B1345))</f>
        <v>13219.9943268288</v>
      </c>
    </row>
    <row r="1346" customFormat="false" ht="15" hidden="false" customHeight="true" outlineLevel="0" collapsed="false">
      <c r="A1346" s="1" t="n">
        <v>15</v>
      </c>
      <c r="B1346" s="32" t="n">
        <f aca="false">INDEX(Surface_Engine!$S$12:$S$72,$A1346+1)*IF($A1346&lt;$Q$1329,INDEX(Surface_Engine!$E$12:$E$72,$A1346+1),INDEX(Surface_Engine!$E$12:$E$72,$Q$1329+1))</f>
        <v>0.552462826799662</v>
      </c>
      <c r="C1346" s="32" t="n">
        <f aca="false">INDEX(Panel_Reserving!$G$8:$G$68,$A1346+1)*IF($A1346&lt;$Q$1329,INDEX(Surface_Engine!$E$12:$E$72,$A1346+1),INDEX(Surface_Engine!$E$12:$E$72,$Q$1329+1))</f>
        <v>0.606875483105461</v>
      </c>
      <c r="D1346" s="32" t="n">
        <f aca="false">INDEX(Surface_Engine!$S$12:$S$72,$A1346+1)*IF($A1346&lt;$Q$1329,INDEX(Surface_Engine!$Y$12:$Y$72,$A1346+1),INDEX(Surface_Engine!$Y$12:$Y$72,$Q$1329+1))</f>
        <v>0.516850140926431</v>
      </c>
      <c r="E1346" s="32" t="n">
        <f aca="false">INDEX(Surface_Engine!$S$12:$S$72,$A1346+1)*IF($A1346&lt;$Q$1329,INDEX(Surface_Engine!$Z$12:$Z$72,$A1346+1),INDEX(Surface_Engine!$Z$12:$Z$72,$Q$1329+1))</f>
        <v>0.590074610362947</v>
      </c>
      <c r="F1346" s="48" t="n">
        <f aca="false">B1346*(IF($A1346&lt;$Q$1329,INDEX(Surface_Engine!$D$12:$D$72,$A1346+1)+(Surface_Engine!G248*12)*INDEX(Surface_Engine!$F$12:$F$72,$A1346+1)-(Surface_Engine!G248*12),1000*12*INDEX(Surface_Engine!$C$12:$C$72,$A1346+1)/(1+Assumptions!$B$10)^8+INDEX(Surface_Engine!$D$12:$D$72,$A1346+1)))*INDEX(Surface_Engine!$B$12:$B$72,$A1346+1)+F1347</f>
        <v>35550.7435738206</v>
      </c>
      <c r="G1346" s="48" t="n">
        <f aca="false">C1346*(IF($A1346&lt;$Q$1329,INDEX(Surface_Engine!$D$12:$D$72,$A1346+1)+(Surface_Engine!G248*12)*INDEX(Surface_Engine!$F$12:$F$72,$A1346+1)-(Surface_Engine!G248*12),1000*12*INDEX(Surface_Engine!$C$12:$C$72,$A1346+1)/(1+Assumptions!$B$10)^8+INDEX(Surface_Engine!$D$12:$D$72,$A1346+1)))*INDEX(Surface_Engine!$B$12:$B$72,$A1346+1)+G1347</f>
        <v>44837.3674716298</v>
      </c>
      <c r="H1346" s="48" t="n">
        <f aca="false">D1346*(IF($A1346&lt;$Q$1329,INDEX(Surface_Engine!$D$12:$D$72,$A1346+1)+(Surface_Engine!G248*12)*INDEX(Surface_Engine!$F$12:$F$72,$A1346+1)-(Surface_Engine!G248*12),1000*12*INDEX(Surface_Engine!$C$12:$C$72,$A1346+1)/(1+Assumptions!$B$10)^8+INDEX(Surface_Engine!$D$12:$D$72,$A1346+1)))*INDEX(Surface_Engine!$B$12:$B$72,$A1346+1)+H1347</f>
        <v>33259.0826655414</v>
      </c>
      <c r="I1346" s="48" t="n">
        <f aca="false">E1346*(IF($A1346&lt;$Q$1329,INDEX(Surface_Engine!$D$12:$D$72,$A1346+1)+(Surface_Engine!G248*12)*INDEX(Surface_Engine!$F$12:$F$72,$A1346+1)-(Surface_Engine!G248*12),1000*12*INDEX(Surface_Engine!$C$12:$C$72,$A1346+1)/(1+Assumptions!$B$10)^8+INDEX(Surface_Engine!$D$12:$D$72,$A1346+1)))*INDEX(Surface_Engine!$B$12:$B$72,$A1346+1)+I1347</f>
        <v>37971.0455524319</v>
      </c>
      <c r="J1346" s="48" t="n">
        <f aca="false">B1346*(IF($A1346&lt;$Q$1329,INDEX(Surface_Engine!$D$12:$D$72,$A1346+1)*(1+Assumptions!$B$24)+(Surface_Engine!G248*12)*INDEX(Surface_Engine!$F$12:$F$72,$A1346+1)-(Surface_Engine!G248*12),1000*12*INDEX(Surface_Engine!$C$12:$C$72,$A1346+1)/(1+Assumptions!$B$10)^8+INDEX(Surface_Engine!$D$12:$D$72,$A1346+1)*(1+Assumptions!$B$24)))*INDEX(Surface_Engine!$B$12:$B$72,$A1346+1)+J1347</f>
        <v>35581.8310793866</v>
      </c>
      <c r="K1346" s="12" t="n">
        <f aca="false">SQRT((IF(C1346&lt;=0,0,MAX(0,(B1346/C1346)*G1346/INDEX(Surface_Engine!$B$12:$B$72,$A1346+1)-F1346/INDEX(Surface_Engine!$B$12:$B$72,$A1346+1))))^2+(MAX(IF(D1346&lt;=0,0,MAX(0,(B1346/D1346)*H1346/INDEX(Surface_Engine!$B$12:$B$72,$A1346+1)-F1346/INDEX(Surface_Engine!$B$12:$B$72,$A1346+1))),IF(E1346&lt;=0,0,MAX(0,(B1346/E1346)*I1346/INDEX(Surface_Engine!$B$12:$B$72,$A1346+1)-F1346/INDEX(Surface_Engine!$B$12:$B$72,$A1346+1))),IF($A1346&lt;$Q$1329,MAX(0,-Assumptions!$B$22*(F1346/INDEX(Surface_Engine!$B$12:$B$72,$A1346+1))),0)))^2+(MAX(0,J1346/INDEX(Surface_Engine!$B$12:$B$72,$A1346+1)-(F1346/INDEX(Surface_Engine!$B$12:$B$72,$A1346+1))))^2+2*Assumptions!$B$26*(IF(C1346&lt;=0,0,MAX(0,(B1346/C1346)*G1346/INDEX(Surface_Engine!$B$12:$B$72,$A1346+1)-F1346/INDEX(Surface_Engine!$B$12:$B$72,$A1346+1))))*(MAX(IF(D1346&lt;=0,0,MAX(0,(B1346/D1346)*H1346/INDEX(Surface_Engine!$B$12:$B$72,$A1346+1)-F1346/INDEX(Surface_Engine!$B$12:$B$72,$A1346+1))),IF(E1346&lt;=0,0,MAX(0,(B1346/E1346)*I1346/INDEX(Surface_Engine!$B$12:$B$72,$A1346+1)-F1346/INDEX(Surface_Engine!$B$12:$B$72,$A1346+1))),IF($A1346&lt;$Q$1329,MAX(0,-Assumptions!$B$22*(F1346/INDEX(Surface_Engine!$B$12:$B$72,$A1346+1))),0)))+2*Assumptions!$B$27*(IF(C1346&lt;=0,0,MAX(0,(B1346/C1346)*G1346/INDEX(Surface_Engine!$B$12:$B$72,$A1346+1)-F1346/INDEX(Surface_Engine!$B$12:$B$72,$A1346+1))))*(MAX(0,J1346/INDEX(Surface_Engine!$B$12:$B$72,$A1346+1)-(F1346/INDEX(Surface_Engine!$B$12:$B$72,$A1346+1))))+2*Assumptions!$B$28*(MAX(IF(D1346&lt;=0,0,MAX(0,(B1346/D1346)*H1346/INDEX(Surface_Engine!$B$12:$B$72,$A1346+1)-F1346/INDEX(Surface_Engine!$B$12:$B$72,$A1346+1))),IF(E1346&lt;=0,0,MAX(0,(B1346/E1346)*I1346/INDEX(Surface_Engine!$B$12:$B$72,$A1346+1)-F1346/INDEX(Surface_Engine!$B$12:$B$72,$A1346+1))),IF($A1346&lt;$Q$1329,MAX(0,-Assumptions!$B$22*(F1346/INDEX(Surface_Engine!$B$12:$B$72,$A1346+1))),0)))*(MAX(0,J1346/INDEX(Surface_Engine!$B$12:$B$72,$A1346+1)-(F1346/INDEX(Surface_Engine!$B$12:$B$72,$A1346+1)))))</f>
        <v>8346.24411800807</v>
      </c>
      <c r="L1346" s="48" t="n">
        <f aca="false">K1346*INDEX(Surface_Engine!$B$12:$B$72,$A1346+1)+L1347</f>
        <v>34412.4628664007</v>
      </c>
      <c r="M1346" s="48" t="n">
        <f aca="false">M1345+B1345*(IF($A1345&lt;$Q$1329,(Surface_Engine!G248*12)-(Surface_Engine!G248*12)*INDEX(Surface_Engine!$F$12:$F$72,$A1345+1)-INDEX(Surface_Engine!$D$12:$D$72,$A1345+1),-(1000*12*INDEX(Surface_Engine!$C$12:$C$72,$A1345+1)/(1+Assumptions!$B$10)^8+INDEX(Surface_Engine!$D$12:$D$72,$A1345+1))))*INDEX(Surface_Engine!$B$12:$B$72,$A1345+1)</f>
        <v>38677.2920447603</v>
      </c>
      <c r="N1346" s="12" t="n">
        <f aca="false">IF(B1346&lt;=0,0,MAX(0,(K1346+Assumptions!$B$29*L1346/INDEX(Surface_Engine!$B$12:$B$72,$A1346+1)-(M1346/INDEX(Surface_Engine!$B$12:$B$72,$A1346+1)-(F1346/INDEX(Surface_Engine!$B$12:$B$72,$A1346+1))))/B1346))</f>
        <v>12066.0200149729</v>
      </c>
    </row>
    <row r="1347" customFormat="false" ht="15" hidden="false" customHeight="true" outlineLevel="0" collapsed="false">
      <c r="A1347" s="1" t="n">
        <v>16</v>
      </c>
      <c r="B1347" s="32" t="n">
        <f aca="false">INDEX(Surface_Engine!$S$12:$S$72,$A1347+1)*IF($A1347&lt;$Q$1329,INDEX(Surface_Engine!$E$12:$E$72,$A1347+1),INDEX(Surface_Engine!$E$12:$E$72,$Q$1329+1))</f>
        <v>0.513553780665235</v>
      </c>
      <c r="C1347" s="32" t="n">
        <f aca="false">INDEX(Panel_Reserving!$G$8:$G$68,$A1347+1)*IF($A1347&lt;$Q$1329,INDEX(Surface_Engine!$E$12:$E$72,$A1347+1),INDEX(Surface_Engine!$E$12:$E$72,$Q$1329+1))</f>
        <v>0.572682491252179</v>
      </c>
      <c r="D1347" s="32" t="n">
        <f aca="false">INDEX(Surface_Engine!$S$12:$S$72,$A1347+1)*IF($A1347&lt;$Q$1329,INDEX(Surface_Engine!$Y$12:$Y$72,$A1347+1),INDEX(Surface_Engine!$Y$12:$Y$72,$Q$1329+1))</f>
        <v>0.480449237549119</v>
      </c>
      <c r="E1347" s="32" t="n">
        <f aca="false">INDEX(Surface_Engine!$S$12:$S$72,$A1347+1)*IF($A1347&lt;$Q$1329,INDEX(Surface_Engine!$Z$12:$Z$72,$A1347+1),INDEX(Surface_Engine!$Z$12:$Z$72,$Q$1329+1))</f>
        <v>0.548516628316689</v>
      </c>
      <c r="F1347" s="48" t="n">
        <f aca="false">B1347*(IF($A1347&lt;$Q$1329,INDEX(Surface_Engine!$D$12:$D$72,$A1347+1)+(Surface_Engine!G248*12)*INDEX(Surface_Engine!$F$12:$F$72,$A1347+1)-(Surface_Engine!G248*12),1000*12*INDEX(Surface_Engine!$C$12:$C$72,$A1347+1)/(1+Assumptions!$B$10)^8+INDEX(Surface_Engine!$D$12:$D$72,$A1347+1)))*INDEX(Surface_Engine!$B$12:$B$72,$A1347+1)+F1348</f>
        <v>30696.8643999057</v>
      </c>
      <c r="G1347" s="48" t="n">
        <f aca="false">C1347*(IF($A1347&lt;$Q$1329,INDEX(Surface_Engine!$D$12:$D$72,$A1347+1)+(Surface_Engine!G248*12)*INDEX(Surface_Engine!$F$12:$F$72,$A1347+1)-(Surface_Engine!G248*12),1000*12*INDEX(Surface_Engine!$C$12:$C$72,$A1347+1)/(1+Assumptions!$B$10)^8+INDEX(Surface_Engine!$D$12:$D$72,$A1347+1)))*INDEX(Surface_Engine!$B$12:$B$72,$A1347+1)+G1348</f>
        <v>39505.4245322846</v>
      </c>
      <c r="H1347" s="48" t="n">
        <f aca="false">D1347*(IF($A1347&lt;$Q$1329,INDEX(Surface_Engine!$D$12:$D$72,$A1347+1)+(Surface_Engine!G248*12)*INDEX(Surface_Engine!$F$12:$F$72,$A1347+1)-(Surface_Engine!G248*12),1000*12*INDEX(Surface_Engine!$C$12:$C$72,$A1347+1)/(1+Assumptions!$B$10)^8+INDEX(Surface_Engine!$D$12:$D$72,$A1347+1)))*INDEX(Surface_Engine!$B$12:$B$72,$A1347+1)+H1348</f>
        <v>28718.0927321362</v>
      </c>
      <c r="I1347" s="48" t="n">
        <f aca="false">E1347*(IF($A1347&lt;$Q$1329,INDEX(Surface_Engine!$D$12:$D$72,$A1347+1)+(Surface_Engine!G248*12)*INDEX(Surface_Engine!$F$12:$F$72,$A1347+1)-(Surface_Engine!G248*12),1000*12*INDEX(Surface_Engine!$C$12:$C$72,$A1347+1)/(1+Assumptions!$B$10)^8+INDEX(Surface_Engine!$D$12:$D$72,$A1347+1)))*INDEX(Surface_Engine!$B$12:$B$72,$A1347+1)+I1348</f>
        <v>32786.7132799996</v>
      </c>
      <c r="J1347" s="48" t="n">
        <f aca="false">B1347*(IF($A1347&lt;$Q$1329,INDEX(Surface_Engine!$D$12:$D$72,$A1347+1)*(1+Assumptions!$B$24)+(Surface_Engine!G248*12)*INDEX(Surface_Engine!$F$12:$F$72,$A1347+1)-(Surface_Engine!G248*12),1000*12*INDEX(Surface_Engine!$C$12:$C$72,$A1347+1)/(1+Assumptions!$B$10)^8+INDEX(Surface_Engine!$D$12:$D$72,$A1347+1)*(1+Assumptions!$B$24)))*INDEX(Surface_Engine!$B$12:$B$72,$A1347+1)+J1348</f>
        <v>30723.805682702</v>
      </c>
      <c r="K1347" s="12" t="n">
        <f aca="false">SQRT((IF(C1347&lt;=0,0,MAX(0,(B1347/C1347)*G1347/INDEX(Surface_Engine!$B$12:$B$72,$A1347+1)-F1347/INDEX(Surface_Engine!$B$12:$B$72,$A1347+1))))^2+(MAX(IF(D1347&lt;=0,0,MAX(0,(B1347/D1347)*H1347/INDEX(Surface_Engine!$B$12:$B$72,$A1347+1)-F1347/INDEX(Surface_Engine!$B$12:$B$72,$A1347+1))),IF(E1347&lt;=0,0,MAX(0,(B1347/E1347)*I1347/INDEX(Surface_Engine!$B$12:$B$72,$A1347+1)-F1347/INDEX(Surface_Engine!$B$12:$B$72,$A1347+1))),IF($A1347&lt;$Q$1329,MAX(0,-Assumptions!$B$22*(F1347/INDEX(Surface_Engine!$B$12:$B$72,$A1347+1))),0)))^2+(MAX(0,J1347/INDEX(Surface_Engine!$B$12:$B$72,$A1347+1)-(F1347/INDEX(Surface_Engine!$B$12:$B$72,$A1347+1))))^2+2*Assumptions!$B$26*(IF(C1347&lt;=0,0,MAX(0,(B1347/C1347)*G1347/INDEX(Surface_Engine!$B$12:$B$72,$A1347+1)-F1347/INDEX(Surface_Engine!$B$12:$B$72,$A1347+1))))*(MAX(IF(D1347&lt;=0,0,MAX(0,(B1347/D1347)*H1347/INDEX(Surface_Engine!$B$12:$B$72,$A1347+1)-F1347/INDEX(Surface_Engine!$B$12:$B$72,$A1347+1))),IF(E1347&lt;=0,0,MAX(0,(B1347/E1347)*I1347/INDEX(Surface_Engine!$B$12:$B$72,$A1347+1)-F1347/INDEX(Surface_Engine!$B$12:$B$72,$A1347+1))),IF($A1347&lt;$Q$1329,MAX(0,-Assumptions!$B$22*(F1347/INDEX(Surface_Engine!$B$12:$B$72,$A1347+1))),0)))+2*Assumptions!$B$27*(IF(C1347&lt;=0,0,MAX(0,(B1347/C1347)*G1347/INDEX(Surface_Engine!$B$12:$B$72,$A1347+1)-F1347/INDEX(Surface_Engine!$B$12:$B$72,$A1347+1))))*(MAX(0,J1347/INDEX(Surface_Engine!$B$12:$B$72,$A1347+1)-(F1347/INDEX(Surface_Engine!$B$12:$B$72,$A1347+1))))+2*Assumptions!$B$28*(MAX(IF(D1347&lt;=0,0,MAX(0,(B1347/D1347)*H1347/INDEX(Surface_Engine!$B$12:$B$72,$A1347+1)-F1347/INDEX(Surface_Engine!$B$12:$B$72,$A1347+1))),IF(E1347&lt;=0,0,MAX(0,(B1347/E1347)*I1347/INDEX(Surface_Engine!$B$12:$B$72,$A1347+1)-F1347/INDEX(Surface_Engine!$B$12:$B$72,$A1347+1))),IF($A1347&lt;$Q$1329,MAX(0,-Assumptions!$B$22*(F1347/INDEX(Surface_Engine!$B$12:$B$72,$A1347+1))),0)))*(MAX(0,J1347/INDEX(Surface_Engine!$B$12:$B$72,$A1347+1)-(F1347/INDEX(Surface_Engine!$B$12:$B$72,$A1347+1)))))</f>
        <v>7766.45396349423</v>
      </c>
      <c r="L1347" s="48" t="n">
        <f aca="false">K1347*INDEX(Surface_Engine!$B$12:$B$72,$A1347+1)+L1348</f>
        <v>29138.1143813964</v>
      </c>
      <c r="M1347" s="48" t="n">
        <f aca="false">M1346+B1346*(IF($A1346&lt;$Q$1329,(Surface_Engine!G248*12)-(Surface_Engine!G248*12)*INDEX(Surface_Engine!$F$12:$F$72,$A1346+1)-INDEX(Surface_Engine!$D$12:$D$72,$A1346+1),-(1000*12*INDEX(Surface_Engine!$C$12:$C$72,$A1346+1)/(1+Assumptions!$B$10)^8+INDEX(Surface_Engine!$D$12:$D$72,$A1346+1))))*INDEX(Surface_Engine!$B$12:$B$72,$A1346+1)</f>
        <v>33823.4128708453</v>
      </c>
      <c r="N1347" s="12" t="n">
        <f aca="false">IF(B1347&lt;=0,0,MAX(0,(K1347+Assumptions!$B$29*L1347/INDEX(Surface_Engine!$B$12:$B$72,$A1347+1)-(M1347/INDEX(Surface_Engine!$B$12:$B$72,$A1347+1)-(F1347/INDEX(Surface_Engine!$B$12:$B$72,$A1347+1))))/B1347))</f>
        <v>10722.3563107513</v>
      </c>
    </row>
    <row r="1348" customFormat="false" ht="15" hidden="false" customHeight="true" outlineLevel="0" collapsed="false">
      <c r="A1348" s="1" t="n">
        <v>17</v>
      </c>
      <c r="B1348" s="32" t="n">
        <f aca="false">INDEX(Surface_Engine!$S$12:$S$72,$A1348+1)*IF($A1348&lt;$Q$1329,INDEX(Surface_Engine!$E$12:$E$72,$A1348+1),INDEX(Surface_Engine!$E$12:$E$72,$Q$1329+1))</f>
        <v>0.472731619682681</v>
      </c>
      <c r="C1348" s="32" t="n">
        <f aca="false">INDEX(Panel_Reserving!$G$8:$G$68,$A1348+1)*IF($A1348&lt;$Q$1329,INDEX(Surface_Engine!$E$12:$E$72,$A1348+1),INDEX(Surface_Engine!$E$12:$E$72,$Q$1329+1))</f>
        <v>0.536264670599388</v>
      </c>
      <c r="D1348" s="32" t="n">
        <f aca="false">INDEX(Surface_Engine!$S$12:$S$72,$A1348+1)*IF($A1348&lt;$Q$1329,INDEX(Surface_Engine!$Y$12:$Y$72,$A1348+1),INDEX(Surface_Engine!$Y$12:$Y$72,$Q$1329+1))</f>
        <v>0.442258541934397</v>
      </c>
      <c r="E1348" s="32" t="n">
        <f aca="false">INDEX(Surface_Engine!$S$12:$S$72,$A1348+1)*IF($A1348&lt;$Q$1329,INDEX(Surface_Engine!$Z$12:$Z$72,$A1348+1),INDEX(Surface_Engine!$Z$12:$Z$72,$Q$1329+1))</f>
        <v>0.504915286167583</v>
      </c>
      <c r="F1348" s="48" t="n">
        <f aca="false">B1348*(IF($A1348&lt;$Q$1329,INDEX(Surface_Engine!$D$12:$D$72,$A1348+1)+(Surface_Engine!G248*12)*INDEX(Surface_Engine!$F$12:$F$72,$A1348+1)-(Surface_Engine!G248*12),1000*12*INDEX(Surface_Engine!$C$12:$C$72,$A1348+1)/(1+Assumptions!$B$10)^8+INDEX(Surface_Engine!$D$12:$D$72,$A1348+1)))*INDEX(Surface_Engine!$B$12:$B$72,$A1348+1)+F1349</f>
        <v>26255.1995178572</v>
      </c>
      <c r="G1348" s="48" t="n">
        <f aca="false">C1348*(IF($A1348&lt;$Q$1329,INDEX(Surface_Engine!$D$12:$D$72,$A1348+1)+(Surface_Engine!G248*12)*INDEX(Surface_Engine!$F$12:$F$72,$A1348+1)-(Surface_Engine!G248*12),1000*12*INDEX(Surface_Engine!$C$12:$C$72,$A1348+1)/(1+Assumptions!$B$10)^8+INDEX(Surface_Engine!$D$12:$D$72,$A1348+1)))*INDEX(Surface_Engine!$B$12:$B$72,$A1348+1)+G1349</f>
        <v>34552.3625439883</v>
      </c>
      <c r="H1348" s="48" t="n">
        <f aca="false">D1348*(IF($A1348&lt;$Q$1329,INDEX(Surface_Engine!$D$12:$D$72,$A1348+1)+(Surface_Engine!G248*12)*INDEX(Surface_Engine!$F$12:$F$72,$A1348+1)-(Surface_Engine!G248*12),1000*12*INDEX(Surface_Engine!$C$12:$C$72,$A1348+1)/(1+Assumptions!$B$10)^8+INDEX(Surface_Engine!$D$12:$D$72,$A1348+1)))*INDEX(Surface_Engine!$B$12:$B$72,$A1348+1)+H1349</f>
        <v>24562.7450618988</v>
      </c>
      <c r="I1348" s="48" t="n">
        <f aca="false">E1348*(IF($A1348&lt;$Q$1329,INDEX(Surface_Engine!$D$12:$D$72,$A1348+1)+(Surface_Engine!G248*12)*INDEX(Surface_Engine!$F$12:$F$72,$A1348+1)-(Surface_Engine!G248*12),1000*12*INDEX(Surface_Engine!$C$12:$C$72,$A1348+1)/(1+Assumptions!$B$10)^8+INDEX(Surface_Engine!$D$12:$D$72,$A1348+1)))*INDEX(Surface_Engine!$B$12:$B$72,$A1348+1)+I1349</f>
        <v>28042.6589337187</v>
      </c>
      <c r="J1348" s="48" t="n">
        <f aca="false">B1348*(IF($A1348&lt;$Q$1329,INDEX(Surface_Engine!$D$12:$D$72,$A1348+1)*(1+Assumptions!$B$24)+(Surface_Engine!G248*12)*INDEX(Surface_Engine!$F$12:$F$72,$A1348+1)-(Surface_Engine!G248*12),1000*12*INDEX(Surface_Engine!$C$12:$C$72,$A1348+1)/(1+Assumptions!$B$10)^8+INDEX(Surface_Engine!$D$12:$D$72,$A1348+1)*(1+Assumptions!$B$24)))*INDEX(Surface_Engine!$B$12:$B$72,$A1348+1)+J1349</f>
        <v>26278.328255743</v>
      </c>
      <c r="K1348" s="12" t="n">
        <f aca="false">SQRT((IF(C1348&lt;=0,0,MAX(0,(B1348/C1348)*G1348/INDEX(Surface_Engine!$B$12:$B$72,$A1348+1)-F1348/INDEX(Surface_Engine!$B$12:$B$72,$A1348+1))))^2+(MAX(IF(D1348&lt;=0,0,MAX(0,(B1348/D1348)*H1348/INDEX(Surface_Engine!$B$12:$B$72,$A1348+1)-F1348/INDEX(Surface_Engine!$B$12:$B$72,$A1348+1))),IF(E1348&lt;=0,0,MAX(0,(B1348/E1348)*I1348/INDEX(Surface_Engine!$B$12:$B$72,$A1348+1)-F1348/INDEX(Surface_Engine!$B$12:$B$72,$A1348+1))),IF($A1348&lt;$Q$1329,MAX(0,-Assumptions!$B$22*(F1348/INDEX(Surface_Engine!$B$12:$B$72,$A1348+1))),0)))^2+(MAX(0,J1348/INDEX(Surface_Engine!$B$12:$B$72,$A1348+1)-(F1348/INDEX(Surface_Engine!$B$12:$B$72,$A1348+1))))^2+2*Assumptions!$B$26*(IF(C1348&lt;=0,0,MAX(0,(B1348/C1348)*G1348/INDEX(Surface_Engine!$B$12:$B$72,$A1348+1)-F1348/INDEX(Surface_Engine!$B$12:$B$72,$A1348+1))))*(MAX(IF(D1348&lt;=0,0,MAX(0,(B1348/D1348)*H1348/INDEX(Surface_Engine!$B$12:$B$72,$A1348+1)-F1348/INDEX(Surface_Engine!$B$12:$B$72,$A1348+1))),IF(E1348&lt;=0,0,MAX(0,(B1348/E1348)*I1348/INDEX(Surface_Engine!$B$12:$B$72,$A1348+1)-F1348/INDEX(Surface_Engine!$B$12:$B$72,$A1348+1))),IF($A1348&lt;$Q$1329,MAX(0,-Assumptions!$B$22*(F1348/INDEX(Surface_Engine!$B$12:$B$72,$A1348+1))),0)))+2*Assumptions!$B$27*(IF(C1348&lt;=0,0,MAX(0,(B1348/C1348)*G1348/INDEX(Surface_Engine!$B$12:$B$72,$A1348+1)-F1348/INDEX(Surface_Engine!$B$12:$B$72,$A1348+1))))*(MAX(0,J1348/INDEX(Surface_Engine!$B$12:$B$72,$A1348+1)-(F1348/INDEX(Surface_Engine!$B$12:$B$72,$A1348+1))))+2*Assumptions!$B$28*(MAX(IF(D1348&lt;=0,0,MAX(0,(B1348/D1348)*H1348/INDEX(Surface_Engine!$B$12:$B$72,$A1348+1)-F1348/INDEX(Surface_Engine!$B$12:$B$72,$A1348+1))),IF(E1348&lt;=0,0,MAX(0,(B1348/E1348)*I1348/INDEX(Surface_Engine!$B$12:$B$72,$A1348+1)-F1348/INDEX(Surface_Engine!$B$12:$B$72,$A1348+1))),IF($A1348&lt;$Q$1329,MAX(0,-Assumptions!$B$22*(F1348/INDEX(Surface_Engine!$B$12:$B$72,$A1348+1))),0)))*(MAX(0,J1348/INDEX(Surface_Engine!$B$12:$B$72,$A1348+1)-(F1348/INDEX(Surface_Engine!$B$12:$B$72,$A1348+1)))))</f>
        <v>7138.94464121754</v>
      </c>
      <c r="L1348" s="48" t="n">
        <f aca="false">K1348*INDEX(Surface_Engine!$B$12:$B$72,$A1348+1)+L1349</f>
        <v>24401.6299830799</v>
      </c>
      <c r="M1348" s="48" t="n">
        <f aca="false">M1347+B1347*(IF($A1347&lt;$Q$1329,(Surface_Engine!G248*12)-(Surface_Engine!G248*12)*INDEX(Surface_Engine!$F$12:$F$72,$A1347+1)-INDEX(Surface_Engine!$D$12:$D$72,$A1347+1),-(1000*12*INDEX(Surface_Engine!$C$12:$C$72,$A1347+1)/(1+Assumptions!$B$10)^8+INDEX(Surface_Engine!$D$12:$D$72,$A1347+1))))*INDEX(Surface_Engine!$B$12:$B$72,$A1347+1)</f>
        <v>29381.7479887969</v>
      </c>
      <c r="N1348" s="12" t="n">
        <f aca="false">IF(B1348&lt;=0,0,MAX(0,(K1348+Assumptions!$B$29*L1348/INDEX(Surface_Engine!$B$12:$B$72,$A1348+1)-(M1348/INDEX(Surface_Engine!$B$12:$B$72,$A1348+1)-(F1348/INDEX(Surface_Engine!$B$12:$B$72,$A1348+1))))/B1348))</f>
        <v>9137.43538019594</v>
      </c>
    </row>
    <row r="1349" customFormat="false" ht="15" hidden="false" customHeight="true" outlineLevel="0" collapsed="false">
      <c r="A1349" s="1" t="n">
        <v>18</v>
      </c>
      <c r="B1349" s="32" t="n">
        <f aca="false">INDEX(Surface_Engine!$S$12:$S$72,$A1349+1)*IF($A1349&lt;$Q$1329,INDEX(Surface_Engine!$E$12:$E$72,$A1349+1),INDEX(Surface_Engine!$E$12:$E$72,$Q$1329+1))</f>
        <v>0.430358826597813</v>
      </c>
      <c r="C1349" s="32" t="n">
        <f aca="false">INDEX(Panel_Reserving!$G$8:$G$68,$A1349+1)*IF($A1349&lt;$Q$1329,INDEX(Surface_Engine!$E$12:$E$72,$A1349+1),INDEX(Surface_Engine!$E$12:$E$72,$Q$1329+1))</f>
        <v>0.497810662481572</v>
      </c>
      <c r="D1349" s="32" t="n">
        <f aca="false">INDEX(Surface_Engine!$S$12:$S$72,$A1349+1)*IF($A1349&lt;$Q$1329,INDEX(Surface_Engine!$Y$12:$Y$72,$A1349+1),INDEX(Surface_Engine!$Y$12:$Y$72,$Q$1329+1))</f>
        <v>0.402617170578741</v>
      </c>
      <c r="E1349" s="32" t="n">
        <f aca="false">INDEX(Surface_Engine!$S$12:$S$72,$A1349+1)*IF($A1349&lt;$Q$1329,INDEX(Surface_Engine!$Z$12:$Z$72,$A1349+1),INDEX(Surface_Engine!$Z$12:$Z$72,$Q$1329+1))</f>
        <v>0.459657744561783</v>
      </c>
      <c r="F1349" s="48" t="n">
        <f aca="false">B1349*(IF($A1349&lt;$Q$1329,INDEX(Surface_Engine!$D$12:$D$72,$A1349+1)+(Surface_Engine!G248*12)*INDEX(Surface_Engine!$F$12:$F$72,$A1349+1)-(Surface_Engine!G248*12),1000*12*INDEX(Surface_Engine!$C$12:$C$72,$A1349+1)/(1+Assumptions!$B$10)^8+INDEX(Surface_Engine!$D$12:$D$72,$A1349+1)))*INDEX(Surface_Engine!$B$12:$B$72,$A1349+1)+F1350</f>
        <v>22222.8958907489</v>
      </c>
      <c r="G1349" s="48" t="n">
        <f aca="false">C1349*(IF($A1349&lt;$Q$1329,INDEX(Surface_Engine!$D$12:$D$72,$A1349+1)+(Surface_Engine!G248*12)*INDEX(Surface_Engine!$F$12:$F$72,$A1349+1)-(Surface_Engine!G248*12),1000*12*INDEX(Surface_Engine!$C$12:$C$72,$A1349+1)/(1+Assumptions!$B$10)^8+INDEX(Surface_Engine!$D$12:$D$72,$A1349+1)))*INDEX(Surface_Engine!$B$12:$B$72,$A1349+1)+G1350</f>
        <v>29978.1350408662</v>
      </c>
      <c r="H1349" s="48" t="n">
        <f aca="false">D1349*(IF($A1349&lt;$Q$1329,INDEX(Surface_Engine!$D$12:$D$72,$A1349+1)+(Surface_Engine!G248*12)*INDEX(Surface_Engine!$F$12:$F$72,$A1349+1)-(Surface_Engine!G248*12),1000*12*INDEX(Surface_Engine!$C$12:$C$72,$A1349+1)/(1+Assumptions!$B$10)^8+INDEX(Surface_Engine!$D$12:$D$72,$A1349+1)))*INDEX(Surface_Engine!$B$12:$B$72,$A1349+1)+H1350</f>
        <v>20790.3705294765</v>
      </c>
      <c r="I1349" s="48" t="n">
        <f aca="false">E1349*(IF($A1349&lt;$Q$1329,INDEX(Surface_Engine!$D$12:$D$72,$A1349+1)+(Surface_Engine!G248*12)*INDEX(Surface_Engine!$F$12:$F$72,$A1349+1)-(Surface_Engine!G248*12),1000*12*INDEX(Surface_Engine!$C$12:$C$72,$A1349+1)/(1+Assumptions!$B$10)^8+INDEX(Surface_Engine!$D$12:$D$72,$A1349+1)))*INDEX(Surface_Engine!$B$12:$B$72,$A1349+1)+I1350</f>
        <v>23735.8352413188</v>
      </c>
      <c r="J1349" s="48" t="n">
        <f aca="false">B1349*(IF($A1349&lt;$Q$1329,INDEX(Surface_Engine!$D$12:$D$72,$A1349+1)*(1+Assumptions!$B$24)+(Surface_Engine!G248*12)*INDEX(Surface_Engine!$F$12:$F$72,$A1349+1)-(Surface_Engine!G248*12),1000*12*INDEX(Surface_Engine!$C$12:$C$72,$A1349+1)/(1+Assumptions!$B$10)^8+INDEX(Surface_Engine!$D$12:$D$72,$A1349+1)*(1+Assumptions!$B$24)))*INDEX(Surface_Engine!$B$12:$B$72,$A1349+1)+J1350</f>
        <v>22242.5466426573</v>
      </c>
      <c r="K1349" s="12" t="n">
        <f aca="false">SQRT((IF(C1349&lt;=0,0,MAX(0,(B1349/C1349)*G1349/INDEX(Surface_Engine!$B$12:$B$72,$A1349+1)-F1349/INDEX(Surface_Engine!$B$12:$B$72,$A1349+1))))^2+(MAX(IF(D1349&lt;=0,0,MAX(0,(B1349/D1349)*H1349/INDEX(Surface_Engine!$B$12:$B$72,$A1349+1)-F1349/INDEX(Surface_Engine!$B$12:$B$72,$A1349+1))),IF(E1349&lt;=0,0,MAX(0,(B1349/E1349)*I1349/INDEX(Surface_Engine!$B$12:$B$72,$A1349+1)-F1349/INDEX(Surface_Engine!$B$12:$B$72,$A1349+1))),IF($A1349&lt;$Q$1329,MAX(0,-Assumptions!$B$22*(F1349/INDEX(Surface_Engine!$B$12:$B$72,$A1349+1))),0)))^2+(MAX(0,J1349/INDEX(Surface_Engine!$B$12:$B$72,$A1349+1)-(F1349/INDEX(Surface_Engine!$B$12:$B$72,$A1349+1))))^2+2*Assumptions!$B$26*(IF(C1349&lt;=0,0,MAX(0,(B1349/C1349)*G1349/INDEX(Surface_Engine!$B$12:$B$72,$A1349+1)-F1349/INDEX(Surface_Engine!$B$12:$B$72,$A1349+1))))*(MAX(IF(D1349&lt;=0,0,MAX(0,(B1349/D1349)*H1349/INDEX(Surface_Engine!$B$12:$B$72,$A1349+1)-F1349/INDEX(Surface_Engine!$B$12:$B$72,$A1349+1))),IF(E1349&lt;=0,0,MAX(0,(B1349/E1349)*I1349/INDEX(Surface_Engine!$B$12:$B$72,$A1349+1)-F1349/INDEX(Surface_Engine!$B$12:$B$72,$A1349+1))),IF($A1349&lt;$Q$1329,MAX(0,-Assumptions!$B$22*(F1349/INDEX(Surface_Engine!$B$12:$B$72,$A1349+1))),0)))+2*Assumptions!$B$27*(IF(C1349&lt;=0,0,MAX(0,(B1349/C1349)*G1349/INDEX(Surface_Engine!$B$12:$B$72,$A1349+1)-F1349/INDEX(Surface_Engine!$B$12:$B$72,$A1349+1))))*(MAX(0,J1349/INDEX(Surface_Engine!$B$12:$B$72,$A1349+1)-(F1349/INDEX(Surface_Engine!$B$12:$B$72,$A1349+1))))+2*Assumptions!$B$28*(MAX(IF(D1349&lt;=0,0,MAX(0,(B1349/D1349)*H1349/INDEX(Surface_Engine!$B$12:$B$72,$A1349+1)-F1349/INDEX(Surface_Engine!$B$12:$B$72,$A1349+1))),IF(E1349&lt;=0,0,MAX(0,(B1349/E1349)*I1349/INDEX(Surface_Engine!$B$12:$B$72,$A1349+1)-F1349/INDEX(Surface_Engine!$B$12:$B$72,$A1349+1))),IF($A1349&lt;$Q$1329,MAX(0,-Assumptions!$B$22*(F1349/INDEX(Surface_Engine!$B$12:$B$72,$A1349+1))),0)))*(MAX(0,J1349/INDEX(Surface_Engine!$B$12:$B$72,$A1349+1)-(F1349/INDEX(Surface_Engine!$B$12:$B$72,$A1349+1)))))</f>
        <v>6480.06947266076</v>
      </c>
      <c r="L1349" s="48" t="n">
        <f aca="false">K1349*INDEX(Surface_Engine!$B$12:$B$72,$A1349+1)+L1350</f>
        <v>20192.1579852006</v>
      </c>
      <c r="M1349" s="48" t="n">
        <f aca="false">M1348+B1348*(IF($A1348&lt;$Q$1329,(Surface_Engine!G248*12)-(Surface_Engine!G248*12)*INDEX(Surface_Engine!$F$12:$F$72,$A1348+1)-INDEX(Surface_Engine!$D$12:$D$72,$A1348+1),-(1000*12*INDEX(Surface_Engine!$C$12:$C$72,$A1348+1)/(1+Assumptions!$B$10)^8+INDEX(Surface_Engine!$D$12:$D$72,$A1348+1))))*INDEX(Surface_Engine!$B$12:$B$72,$A1348+1)</f>
        <v>25349.4443616885</v>
      </c>
      <c r="N1349" s="12" t="n">
        <f aca="false">IF(B1349&lt;=0,0,MAX(0,(K1349+Assumptions!$B$29*L1349/INDEX(Surface_Engine!$B$12:$B$72,$A1349+1)-(M1349/INDEX(Surface_Engine!$B$12:$B$72,$A1349+1)-(F1349/INDEX(Surface_Engine!$B$12:$B$72,$A1349+1))))/B1349))</f>
        <v>7260.40483345174</v>
      </c>
    </row>
    <row r="1350" customFormat="false" ht="15" hidden="false" customHeight="true" outlineLevel="0" collapsed="false">
      <c r="A1350" s="1" t="n">
        <v>19</v>
      </c>
      <c r="B1350" s="32" t="n">
        <f aca="false">INDEX(Surface_Engine!$S$12:$S$72,$A1350+1)*IF($A1350&lt;$Q$1329,INDEX(Surface_Engine!$E$12:$E$72,$A1350+1),INDEX(Surface_Engine!$E$12:$E$72,$Q$1329+1))</f>
        <v>0.385531999091436</v>
      </c>
      <c r="C1350" s="32" t="n">
        <f aca="false">INDEX(Panel_Reserving!$G$8:$G$68,$A1350+1)*IF($A1350&lt;$Q$1329,INDEX(Surface_Engine!$E$12:$E$72,$A1350+1),INDEX(Surface_Engine!$E$12:$E$72,$Q$1329+1))</f>
        <v>0.45632849212748</v>
      </c>
      <c r="D1350" s="32" t="n">
        <f aca="false">INDEX(Surface_Engine!$S$12:$S$72,$A1350+1)*IF($A1350&lt;$Q$1329,INDEX(Surface_Engine!$Y$12:$Y$72,$A1350+1),INDEX(Surface_Engine!$Y$12:$Y$72,$Q$1329+1))</f>
        <v>0.360679956000578</v>
      </c>
      <c r="E1350" s="32" t="n">
        <f aca="false">INDEX(Surface_Engine!$S$12:$S$72,$A1350+1)*IF($A1350&lt;$Q$1329,INDEX(Surface_Engine!$Z$12:$Z$72,$A1350+1),INDEX(Surface_Engine!$Z$12:$Z$72,$Q$1329+1))</f>
        <v>0.411779097363273</v>
      </c>
      <c r="F1350" s="48" t="n">
        <f aca="false">B1350*(IF($A1350&lt;$Q$1329,INDEX(Surface_Engine!$D$12:$D$72,$A1350+1)+(Surface_Engine!G248*12)*INDEX(Surface_Engine!$F$12:$F$72,$A1350+1)-(Surface_Engine!G248*12),1000*12*INDEX(Surface_Engine!$C$12:$C$72,$A1350+1)/(1+Assumptions!$B$10)^8+INDEX(Surface_Engine!$D$12:$D$72,$A1350+1)))*INDEX(Surface_Engine!$B$12:$B$72,$A1350+1)+F1351</f>
        <v>18598.702808633</v>
      </c>
      <c r="G1350" s="48" t="n">
        <f aca="false">C1350*(IF($A1350&lt;$Q$1329,INDEX(Surface_Engine!$D$12:$D$72,$A1350+1)+(Surface_Engine!G248*12)*INDEX(Surface_Engine!$F$12:$F$72,$A1350+1)-(Surface_Engine!G248*12),1000*12*INDEX(Surface_Engine!$C$12:$C$72,$A1350+1)/(1+Assumptions!$B$10)^8+INDEX(Surface_Engine!$D$12:$D$72,$A1350+1)))*INDEX(Surface_Engine!$B$12:$B$72,$A1350+1)+G1351</f>
        <v>25785.9078860707</v>
      </c>
      <c r="H1350" s="48" t="n">
        <f aca="false">D1350*(IF($A1350&lt;$Q$1329,INDEX(Surface_Engine!$D$12:$D$72,$A1350+1)+(Surface_Engine!G248*12)*INDEX(Surface_Engine!$F$12:$F$72,$A1350+1)-(Surface_Engine!G248*12),1000*12*INDEX(Surface_Engine!$C$12:$C$72,$A1350+1)/(1+Assumptions!$B$10)^8+INDEX(Surface_Engine!$D$12:$D$72,$A1350+1)))*INDEX(Surface_Engine!$B$12:$B$72,$A1350+1)+H1351</f>
        <v>17399.7990477948</v>
      </c>
      <c r="I1350" s="48" t="n">
        <f aca="false">E1350*(IF($A1350&lt;$Q$1329,INDEX(Surface_Engine!$D$12:$D$72,$A1350+1)+(Surface_Engine!G248*12)*INDEX(Surface_Engine!$F$12:$F$72,$A1350+1)-(Surface_Engine!G248*12),1000*12*INDEX(Surface_Engine!$C$12:$C$72,$A1350+1)/(1+Assumptions!$B$10)^8+INDEX(Surface_Engine!$D$12:$D$72,$A1350+1)))*INDEX(Surface_Engine!$B$12:$B$72,$A1350+1)+I1351</f>
        <v>19864.9063442599</v>
      </c>
      <c r="J1350" s="48" t="n">
        <f aca="false">B1350*(IF($A1350&lt;$Q$1329,INDEX(Surface_Engine!$D$12:$D$72,$A1350+1)*(1+Assumptions!$B$24)+(Surface_Engine!G248*12)*INDEX(Surface_Engine!$F$12:$F$72,$A1350+1)-(Surface_Engine!G248*12),1000*12*INDEX(Surface_Engine!$C$12:$C$72,$A1350+1)/(1+Assumptions!$B$10)^8+INDEX(Surface_Engine!$D$12:$D$72,$A1350+1)*(1+Assumptions!$B$24)))*INDEX(Surface_Engine!$B$12:$B$72,$A1350+1)+J1351</f>
        <v>18615.2123918587</v>
      </c>
      <c r="K1350" s="12" t="n">
        <f aca="false">SQRT((IF(C1350&lt;=0,0,MAX(0,(B1350/C1350)*G1350/INDEX(Surface_Engine!$B$12:$B$72,$A1350+1)-F1350/INDEX(Surface_Engine!$B$12:$B$72,$A1350+1))))^2+(MAX(IF(D1350&lt;=0,0,MAX(0,(B1350/D1350)*H1350/INDEX(Surface_Engine!$B$12:$B$72,$A1350+1)-F1350/INDEX(Surface_Engine!$B$12:$B$72,$A1350+1))),IF(E1350&lt;=0,0,MAX(0,(B1350/E1350)*I1350/INDEX(Surface_Engine!$B$12:$B$72,$A1350+1)-F1350/INDEX(Surface_Engine!$B$12:$B$72,$A1350+1))),IF($A1350&lt;$Q$1329,MAX(0,-Assumptions!$B$22*(F1350/INDEX(Surface_Engine!$B$12:$B$72,$A1350+1))),0)))^2+(MAX(0,J1350/INDEX(Surface_Engine!$B$12:$B$72,$A1350+1)-(F1350/INDEX(Surface_Engine!$B$12:$B$72,$A1350+1))))^2+2*Assumptions!$B$26*(IF(C1350&lt;=0,0,MAX(0,(B1350/C1350)*G1350/INDEX(Surface_Engine!$B$12:$B$72,$A1350+1)-F1350/INDEX(Surface_Engine!$B$12:$B$72,$A1350+1))))*(MAX(IF(D1350&lt;=0,0,MAX(0,(B1350/D1350)*H1350/INDEX(Surface_Engine!$B$12:$B$72,$A1350+1)-F1350/INDEX(Surface_Engine!$B$12:$B$72,$A1350+1))),IF(E1350&lt;=0,0,MAX(0,(B1350/E1350)*I1350/INDEX(Surface_Engine!$B$12:$B$72,$A1350+1)-F1350/INDEX(Surface_Engine!$B$12:$B$72,$A1350+1))),IF($A1350&lt;$Q$1329,MAX(0,-Assumptions!$B$22*(F1350/INDEX(Surface_Engine!$B$12:$B$72,$A1350+1))),0)))+2*Assumptions!$B$27*(IF(C1350&lt;=0,0,MAX(0,(B1350/C1350)*G1350/INDEX(Surface_Engine!$B$12:$B$72,$A1350+1)-F1350/INDEX(Surface_Engine!$B$12:$B$72,$A1350+1))))*(MAX(0,J1350/INDEX(Surface_Engine!$B$12:$B$72,$A1350+1)-(F1350/INDEX(Surface_Engine!$B$12:$B$72,$A1350+1))))+2*Assumptions!$B$28*(MAX(IF(D1350&lt;=0,0,MAX(0,(B1350/D1350)*H1350/INDEX(Surface_Engine!$B$12:$B$72,$A1350+1)-F1350/INDEX(Surface_Engine!$B$12:$B$72,$A1350+1))),IF(E1350&lt;=0,0,MAX(0,(B1350/E1350)*I1350/INDEX(Surface_Engine!$B$12:$B$72,$A1350+1)-F1350/INDEX(Surface_Engine!$B$12:$B$72,$A1350+1))),IF($A1350&lt;$Q$1329,MAX(0,-Assumptions!$B$22*(F1350/INDEX(Surface_Engine!$B$12:$B$72,$A1350+1))),0)))*(MAX(0,J1350/INDEX(Surface_Engine!$B$12:$B$72,$A1350+1)-(F1350/INDEX(Surface_Engine!$B$12:$B$72,$A1350+1)))))</f>
        <v>5771.14216840058</v>
      </c>
      <c r="L1350" s="48" t="n">
        <f aca="false">K1350*INDEX(Surface_Engine!$B$12:$B$72,$A1350+1)+L1351</f>
        <v>16493.9036356037</v>
      </c>
      <c r="M1350" s="48" t="n">
        <f aca="false">M1349+B1349*(IF($A1349&lt;$Q$1329,(Surface_Engine!G248*12)-(Surface_Engine!G248*12)*INDEX(Surface_Engine!$F$12:$F$72,$A1349+1)-INDEX(Surface_Engine!$D$12:$D$72,$A1349+1),-(1000*12*INDEX(Surface_Engine!$C$12:$C$72,$A1349+1)/(1+Assumptions!$B$10)^8+INDEX(Surface_Engine!$D$12:$D$72,$A1349+1))))*INDEX(Surface_Engine!$B$12:$B$72,$A1349+1)</f>
        <v>21725.2512795726</v>
      </c>
      <c r="N1350" s="12" t="n">
        <f aca="false">IF(B1350&lt;=0,0,MAX(0,(K1350+Assumptions!$B$29*L1350/INDEX(Surface_Engine!$B$12:$B$72,$A1350+1)-(M1350/INDEX(Surface_Engine!$B$12:$B$72,$A1350+1)-(F1350/INDEX(Surface_Engine!$B$12:$B$72,$A1350+1))))/B1350))</f>
        <v>4944.35251664426</v>
      </c>
    </row>
    <row r="1351" customFormat="false" ht="15" hidden="false" customHeight="true" outlineLevel="0" collapsed="false">
      <c r="A1351" s="1" t="n">
        <v>20</v>
      </c>
      <c r="B1351" s="32" t="n">
        <f aca="false">INDEX(Surface_Engine!$S$12:$S$72,$A1351+1)*IF($A1351&lt;$Q$1329,INDEX(Surface_Engine!$E$12:$E$72,$A1351+1),INDEX(Surface_Engine!$E$12:$E$72,$Q$1329+1))</f>
        <v>0.340464512979561</v>
      </c>
      <c r="C1351" s="32" t="n">
        <f aca="false">INDEX(Panel_Reserving!$G$8:$G$68,$A1351+1)*IF($A1351&lt;$Q$1329,INDEX(Surface_Engine!$E$12:$E$72,$A1351+1),INDEX(Surface_Engine!$E$12:$E$72,$Q$1329+1))</f>
        <v>0.413653792170281</v>
      </c>
      <c r="D1351" s="32" t="n">
        <f aca="false">INDEX(Surface_Engine!$S$12:$S$72,$A1351+1)*IF($A1351&lt;$Q$1329,INDEX(Surface_Engine!$Y$12:$Y$72,$A1351+1),INDEX(Surface_Engine!$Y$12:$Y$72,$Q$1329+1))</f>
        <v>0.318517596076643</v>
      </c>
      <c r="E1351" s="32" t="n">
        <f aca="false">INDEX(Surface_Engine!$S$12:$S$72,$A1351+1)*IF($A1351&lt;$Q$1329,INDEX(Surface_Engine!$Z$12:$Z$72,$A1351+1),INDEX(Surface_Engine!$Z$12:$Z$72,$Q$1329+1))</f>
        <v>0.363643407471607</v>
      </c>
      <c r="F1351" s="48" t="n">
        <f aca="false">B1351*(IF($A1351&lt;$Q$1329,INDEX(Surface_Engine!$D$12:$D$72,$A1351+1)+(Surface_Engine!G248*12)*INDEX(Surface_Engine!$F$12:$F$72,$A1351+1)-(Surface_Engine!G248*12),1000*12*INDEX(Surface_Engine!$C$12:$C$72,$A1351+1)/(1+Assumptions!$B$10)^8+INDEX(Surface_Engine!$D$12:$D$72,$A1351+1)))*INDEX(Surface_Engine!$B$12:$B$72,$A1351+1)+F1352</f>
        <v>15390.3114851121</v>
      </c>
      <c r="G1351" s="48" t="n">
        <f aca="false">C1351*(IF($A1351&lt;$Q$1329,INDEX(Surface_Engine!$D$12:$D$72,$A1351+1)+(Surface_Engine!G248*12)*INDEX(Surface_Engine!$F$12:$F$72,$A1351+1)-(Surface_Engine!G248*12),1000*12*INDEX(Surface_Engine!$C$12:$C$72,$A1351+1)/(1+Assumptions!$B$10)^8+INDEX(Surface_Engine!$D$12:$D$72,$A1351+1)))*INDEX(Surface_Engine!$B$12:$B$72,$A1351+1)+G1352</f>
        <v>21988.3492443302</v>
      </c>
      <c r="H1351" s="48" t="n">
        <f aca="false">D1351*(IF($A1351&lt;$Q$1329,INDEX(Surface_Engine!$D$12:$D$72,$A1351+1)+(Surface_Engine!G248*12)*INDEX(Surface_Engine!$F$12:$F$72,$A1351+1)-(Surface_Engine!G248*12),1000*12*INDEX(Surface_Engine!$C$12:$C$72,$A1351+1)/(1+Assumptions!$B$10)^8+INDEX(Surface_Engine!$D$12:$D$72,$A1351+1)))*INDEX(Surface_Engine!$B$12:$B$72,$A1351+1)+H1352</f>
        <v>14398.2260418516</v>
      </c>
      <c r="I1351" s="48" t="n">
        <f aca="false">E1351*(IF($A1351&lt;$Q$1329,INDEX(Surface_Engine!$D$12:$D$72,$A1351+1)+(Surface_Engine!G248*12)*INDEX(Surface_Engine!$F$12:$F$72,$A1351+1)-(Surface_Engine!G248*12),1000*12*INDEX(Surface_Engine!$C$12:$C$72,$A1351+1)/(1+Assumptions!$B$10)^8+INDEX(Surface_Engine!$D$12:$D$72,$A1351+1)))*INDEX(Surface_Engine!$B$12:$B$72,$A1351+1)+I1352</f>
        <v>16438.0870755583</v>
      </c>
      <c r="J1351" s="48" t="n">
        <f aca="false">B1351*(IF($A1351&lt;$Q$1329,INDEX(Surface_Engine!$D$12:$D$72,$A1351+1)*(1+Assumptions!$B$24)+(Surface_Engine!G248*12)*INDEX(Surface_Engine!$F$12:$F$72,$A1351+1)-(Surface_Engine!G248*12),1000*12*INDEX(Surface_Engine!$C$12:$C$72,$A1351+1)/(1+Assumptions!$B$10)^8+INDEX(Surface_Engine!$D$12:$D$72,$A1351+1)*(1+Assumptions!$B$24)))*INDEX(Surface_Engine!$B$12:$B$72,$A1351+1)+J1352</f>
        <v>15404.0267717047</v>
      </c>
      <c r="K1351" s="12" t="n">
        <f aca="false">SQRT((IF(C1351&lt;=0,0,MAX(0,(B1351/C1351)*G1351/INDEX(Surface_Engine!$B$12:$B$72,$A1351+1)-F1351/INDEX(Surface_Engine!$B$12:$B$72,$A1351+1))))^2+(MAX(IF(D1351&lt;=0,0,MAX(0,(B1351/D1351)*H1351/INDEX(Surface_Engine!$B$12:$B$72,$A1351+1)-F1351/INDEX(Surface_Engine!$B$12:$B$72,$A1351+1))),IF(E1351&lt;=0,0,MAX(0,(B1351/E1351)*I1351/INDEX(Surface_Engine!$B$12:$B$72,$A1351+1)-F1351/INDEX(Surface_Engine!$B$12:$B$72,$A1351+1))),IF($A1351&lt;$Q$1329,MAX(0,-Assumptions!$B$22*(F1351/INDEX(Surface_Engine!$B$12:$B$72,$A1351+1))),0)))^2+(MAX(0,J1351/INDEX(Surface_Engine!$B$12:$B$72,$A1351+1)-(F1351/INDEX(Surface_Engine!$B$12:$B$72,$A1351+1))))^2+2*Assumptions!$B$26*(IF(C1351&lt;=0,0,MAX(0,(B1351/C1351)*G1351/INDEX(Surface_Engine!$B$12:$B$72,$A1351+1)-F1351/INDEX(Surface_Engine!$B$12:$B$72,$A1351+1))))*(MAX(IF(D1351&lt;=0,0,MAX(0,(B1351/D1351)*H1351/INDEX(Surface_Engine!$B$12:$B$72,$A1351+1)-F1351/INDEX(Surface_Engine!$B$12:$B$72,$A1351+1))),IF(E1351&lt;=0,0,MAX(0,(B1351/E1351)*I1351/INDEX(Surface_Engine!$B$12:$B$72,$A1351+1)-F1351/INDEX(Surface_Engine!$B$12:$B$72,$A1351+1))),IF($A1351&lt;$Q$1329,MAX(0,-Assumptions!$B$22*(F1351/INDEX(Surface_Engine!$B$12:$B$72,$A1351+1))),0)))+2*Assumptions!$B$27*(IF(C1351&lt;=0,0,MAX(0,(B1351/C1351)*G1351/INDEX(Surface_Engine!$B$12:$B$72,$A1351+1)-F1351/INDEX(Surface_Engine!$B$12:$B$72,$A1351+1))))*(MAX(0,J1351/INDEX(Surface_Engine!$B$12:$B$72,$A1351+1)-(F1351/INDEX(Surface_Engine!$B$12:$B$72,$A1351+1))))+2*Assumptions!$B$28*(MAX(IF(D1351&lt;=0,0,MAX(0,(B1351/D1351)*H1351/INDEX(Surface_Engine!$B$12:$B$72,$A1351+1)-F1351/INDEX(Surface_Engine!$B$12:$B$72,$A1351+1))),IF(E1351&lt;=0,0,MAX(0,(B1351/E1351)*I1351/INDEX(Surface_Engine!$B$12:$B$72,$A1351+1)-F1351/INDEX(Surface_Engine!$B$12:$B$72,$A1351+1))),IF($A1351&lt;$Q$1329,MAX(0,-Assumptions!$B$22*(F1351/INDEX(Surface_Engine!$B$12:$B$72,$A1351+1))),0)))*(MAX(0,J1351/INDEX(Surface_Engine!$B$12:$B$72,$A1351+1)-(F1351/INDEX(Surface_Engine!$B$12:$B$72,$A1351+1)))))</f>
        <v>5059.6111777001</v>
      </c>
      <c r="L1351" s="48" t="n">
        <f aca="false">K1351*INDEX(Surface_Engine!$B$12:$B$72,$A1351+1)+L1352</f>
        <v>13303.0524111287</v>
      </c>
      <c r="M1351" s="48" t="n">
        <f aca="false">M1350+B1350*(IF($A1350&lt;$Q$1329,(Surface_Engine!G248*12)-(Surface_Engine!G248*12)*INDEX(Surface_Engine!$F$12:$F$72,$A1350+1)-INDEX(Surface_Engine!$D$12:$D$72,$A1350+1),-(1000*12*INDEX(Surface_Engine!$C$12:$C$72,$A1350+1)/(1+Assumptions!$B$10)^8+INDEX(Surface_Engine!$D$12:$D$72,$A1350+1))))*INDEX(Surface_Engine!$B$12:$B$72,$A1350+1)</f>
        <v>18516.8599560517</v>
      </c>
      <c r="N1351" s="12" t="n">
        <f aca="false">IF(B1351&lt;=0,0,MAX(0,(K1351+Assumptions!$B$29*L1351/INDEX(Surface_Engine!$B$12:$B$72,$A1351+1)-(M1351/INDEX(Surface_Engine!$B$12:$B$72,$A1351+1)-(F1351/INDEX(Surface_Engine!$B$12:$B$72,$A1351+1))))/B1351))</f>
        <v>2097.5851581618</v>
      </c>
    </row>
    <row r="1352" customFormat="false" ht="15" hidden="false" customHeight="true" outlineLevel="0" collapsed="false">
      <c r="A1352" s="1" t="n">
        <v>21</v>
      </c>
      <c r="B1352" s="32" t="n">
        <f aca="false">INDEX(Surface_Engine!$S$12:$S$72,$A1352+1)*IF($A1352&lt;$Q$1329,INDEX(Surface_Engine!$E$12:$E$72,$A1352+1),INDEX(Surface_Engine!$E$12:$E$72,$Q$1329+1))</f>
        <v>0.296287772588352</v>
      </c>
      <c r="C1352" s="32" t="n">
        <f aca="false">INDEX(Panel_Reserving!$G$8:$G$68,$A1352+1)*IF($A1352&lt;$Q$1329,INDEX(Surface_Engine!$E$12:$E$72,$A1352+1),INDEX(Surface_Engine!$E$12:$E$72,$Q$1329+1))</f>
        <v>0.370715099902773</v>
      </c>
      <c r="D1352" s="32" t="n">
        <f aca="false">INDEX(Surface_Engine!$S$12:$S$72,$A1352+1)*IF($A1352&lt;$Q$1329,INDEX(Surface_Engine!$Y$12:$Y$72,$A1352+1),INDEX(Surface_Engine!$Y$12:$Y$72,$Q$1329+1))</f>
        <v>0.277188562901445</v>
      </c>
      <c r="E1352" s="32" t="n">
        <f aca="false">INDEX(Surface_Engine!$S$12:$S$72,$A1352+1)*IF($A1352&lt;$Q$1329,INDEX(Surface_Engine!$Z$12:$Z$72,$A1352+1),INDEX(Surface_Engine!$Z$12:$Z$72,$Q$1329+1))</f>
        <v>0.316459105453581</v>
      </c>
      <c r="F1352" s="48" t="n">
        <f aca="false">B1352*(IF($A1352&lt;$Q$1329,INDEX(Surface_Engine!$D$12:$D$72,$A1352+1)+(Surface_Engine!G248*12)*INDEX(Surface_Engine!$F$12:$F$72,$A1352+1)-(Surface_Engine!G248*12),1000*12*INDEX(Surface_Engine!$C$12:$C$72,$A1352+1)/(1+Assumptions!$B$10)^8+INDEX(Surface_Engine!$D$12:$D$72,$A1352+1)))*INDEX(Surface_Engine!$B$12:$B$72,$A1352+1)+F1353</f>
        <v>12589.4717155855</v>
      </c>
      <c r="G1352" s="48" t="n">
        <f aca="false">C1352*(IF($A1352&lt;$Q$1329,INDEX(Surface_Engine!$D$12:$D$72,$A1352+1)+(Surface_Engine!G248*12)*INDEX(Surface_Engine!$F$12:$F$72,$A1352+1)-(Surface_Engine!G248*12),1000*12*INDEX(Surface_Engine!$C$12:$C$72,$A1352+1)/(1+Assumptions!$B$10)^8+INDEX(Surface_Engine!$D$12:$D$72,$A1352+1)))*INDEX(Surface_Engine!$B$12:$B$72,$A1352+1)+G1353</f>
        <v>18585.4160523016</v>
      </c>
      <c r="H1352" s="48" t="n">
        <f aca="false">D1352*(IF($A1352&lt;$Q$1329,INDEX(Surface_Engine!$D$12:$D$72,$A1352+1)+(Surface_Engine!G248*12)*INDEX(Surface_Engine!$F$12:$F$72,$A1352+1)-(Surface_Engine!G248*12),1000*12*INDEX(Surface_Engine!$C$12:$C$72,$A1352+1)/(1+Assumptions!$B$10)^8+INDEX(Surface_Engine!$D$12:$D$72,$A1352+1)))*INDEX(Surface_Engine!$B$12:$B$72,$A1352+1)+H1353</f>
        <v>11777.9331291537</v>
      </c>
      <c r="I1352" s="48" t="n">
        <f aca="false">E1352*(IF($A1352&lt;$Q$1329,INDEX(Surface_Engine!$D$12:$D$72,$A1352+1)+(Surface_Engine!G248*12)*INDEX(Surface_Engine!$F$12:$F$72,$A1352+1)-(Surface_Engine!G248*12),1000*12*INDEX(Surface_Engine!$C$12:$C$72,$A1352+1)/(1+Assumptions!$B$10)^8+INDEX(Surface_Engine!$D$12:$D$72,$A1352+1)))*INDEX(Surface_Engine!$B$12:$B$72,$A1352+1)+I1353</f>
        <v>13446.5655549768</v>
      </c>
      <c r="J1352" s="48" t="n">
        <f aca="false">B1352*(IF($A1352&lt;$Q$1329,INDEX(Surface_Engine!$D$12:$D$72,$A1352+1)*(1+Assumptions!$B$24)+(Surface_Engine!G248*12)*INDEX(Surface_Engine!$F$12:$F$72,$A1352+1)-(Surface_Engine!G248*12),1000*12*INDEX(Surface_Engine!$C$12:$C$72,$A1352+1)/(1+Assumptions!$B$10)^8+INDEX(Surface_Engine!$D$12:$D$72,$A1352+1)*(1+Assumptions!$B$24)))*INDEX(Surface_Engine!$B$12:$B$72,$A1352+1)+J1353</f>
        <v>12600.7358030614</v>
      </c>
      <c r="K1352" s="12" t="n">
        <f aca="false">SQRT((IF(C1352&lt;=0,0,MAX(0,(B1352/C1352)*G1352/INDEX(Surface_Engine!$B$12:$B$72,$A1352+1)-F1352/INDEX(Surface_Engine!$B$12:$B$72,$A1352+1))))^2+(MAX(IF(D1352&lt;=0,0,MAX(0,(B1352/D1352)*H1352/INDEX(Surface_Engine!$B$12:$B$72,$A1352+1)-F1352/INDEX(Surface_Engine!$B$12:$B$72,$A1352+1))),IF(E1352&lt;=0,0,MAX(0,(B1352/E1352)*I1352/INDEX(Surface_Engine!$B$12:$B$72,$A1352+1)-F1352/INDEX(Surface_Engine!$B$12:$B$72,$A1352+1))),IF($A1352&lt;$Q$1329,MAX(0,-Assumptions!$B$22*(F1352/INDEX(Surface_Engine!$B$12:$B$72,$A1352+1))),0)))^2+(MAX(0,J1352/INDEX(Surface_Engine!$B$12:$B$72,$A1352+1)-(F1352/INDEX(Surface_Engine!$B$12:$B$72,$A1352+1))))^2+2*Assumptions!$B$26*(IF(C1352&lt;=0,0,MAX(0,(B1352/C1352)*G1352/INDEX(Surface_Engine!$B$12:$B$72,$A1352+1)-F1352/INDEX(Surface_Engine!$B$12:$B$72,$A1352+1))))*(MAX(IF(D1352&lt;=0,0,MAX(0,(B1352/D1352)*H1352/INDEX(Surface_Engine!$B$12:$B$72,$A1352+1)-F1352/INDEX(Surface_Engine!$B$12:$B$72,$A1352+1))),IF(E1352&lt;=0,0,MAX(0,(B1352/E1352)*I1352/INDEX(Surface_Engine!$B$12:$B$72,$A1352+1)-F1352/INDEX(Surface_Engine!$B$12:$B$72,$A1352+1))),IF($A1352&lt;$Q$1329,MAX(0,-Assumptions!$B$22*(F1352/INDEX(Surface_Engine!$B$12:$B$72,$A1352+1))),0)))+2*Assumptions!$B$27*(IF(C1352&lt;=0,0,MAX(0,(B1352/C1352)*G1352/INDEX(Surface_Engine!$B$12:$B$72,$A1352+1)-F1352/INDEX(Surface_Engine!$B$12:$B$72,$A1352+1))))*(MAX(0,J1352/INDEX(Surface_Engine!$B$12:$B$72,$A1352+1)-(F1352/INDEX(Surface_Engine!$B$12:$B$72,$A1352+1))))+2*Assumptions!$B$28*(MAX(IF(D1352&lt;=0,0,MAX(0,(B1352/D1352)*H1352/INDEX(Surface_Engine!$B$12:$B$72,$A1352+1)-F1352/INDEX(Surface_Engine!$B$12:$B$72,$A1352+1))),IF(E1352&lt;=0,0,MAX(0,(B1352/E1352)*I1352/INDEX(Surface_Engine!$B$12:$B$72,$A1352+1)-F1352/INDEX(Surface_Engine!$B$12:$B$72,$A1352+1))),IF($A1352&lt;$Q$1329,MAX(0,-Assumptions!$B$22*(F1352/INDEX(Surface_Engine!$B$12:$B$72,$A1352+1))),0)))*(MAX(0,J1352/INDEX(Surface_Engine!$B$12:$B$72,$A1352+1)-(F1352/INDEX(Surface_Engine!$B$12:$B$72,$A1352+1)))))</f>
        <v>4366.7642509138</v>
      </c>
      <c r="L1352" s="48" t="n">
        <f aca="false">K1352*INDEX(Surface_Engine!$B$12:$B$72,$A1352+1)+L1353</f>
        <v>10592.032401877</v>
      </c>
      <c r="M1352" s="48" t="n">
        <f aca="false">M1351+B1351*(IF($A1351&lt;$Q$1329,(Surface_Engine!G248*12)-(Surface_Engine!G248*12)*INDEX(Surface_Engine!$F$12:$F$72,$A1351+1)-INDEX(Surface_Engine!$D$12:$D$72,$A1351+1),-(1000*12*INDEX(Surface_Engine!$C$12:$C$72,$A1351+1)/(1+Assumptions!$B$10)^8+INDEX(Surface_Engine!$D$12:$D$72,$A1351+1))))*INDEX(Surface_Engine!$B$12:$B$72,$A1351+1)</f>
        <v>15716.0201865251</v>
      </c>
      <c r="N1352" s="12" t="n">
        <f aca="false">IF(B1352&lt;=0,0,MAX(0,(K1352+Assumptions!$B$29*L1352/INDEX(Surface_Engine!$B$12:$B$72,$A1352+1)-(M1352/INDEX(Surface_Engine!$B$12:$B$72,$A1352+1)-(F1352/INDEX(Surface_Engine!$B$12:$B$72,$A1352+1))))/B1352))</f>
        <v>0</v>
      </c>
    </row>
    <row r="1353" customFormat="false" ht="15" hidden="false" customHeight="true" outlineLevel="0" collapsed="false">
      <c r="A1353" s="1" t="n">
        <v>22</v>
      </c>
      <c r="B1353" s="32" t="n">
        <f aca="false">INDEX(Surface_Engine!$S$12:$S$72,$A1353+1)*IF($A1353&lt;$Q$1329,INDEX(Surface_Engine!$E$12:$E$72,$A1353+1),INDEX(Surface_Engine!$E$12:$E$72,$Q$1329+1))</f>
        <v>0.254277102737587</v>
      </c>
      <c r="C1353" s="32" t="n">
        <f aca="false">INDEX(Panel_Reserving!$G$8:$G$68,$A1353+1)*IF($A1353&lt;$Q$1329,INDEX(Surface_Engine!$E$12:$E$72,$A1353+1),INDEX(Surface_Engine!$E$12:$E$72,$Q$1329+1))</f>
        <v>0.328664118089637</v>
      </c>
      <c r="D1353" s="32" t="n">
        <f aca="false">INDEX(Surface_Engine!$S$12:$S$72,$A1353+1)*IF($A1353&lt;$Q$1329,INDEX(Surface_Engine!$Y$12:$Y$72,$A1353+1),INDEX(Surface_Engine!$Y$12:$Y$72,$Q$1329+1))</f>
        <v>0.237885971705285</v>
      </c>
      <c r="E1353" s="32" t="n">
        <f aca="false">INDEX(Surface_Engine!$S$12:$S$72,$A1353+1)*IF($A1353&lt;$Q$1329,INDEX(Surface_Engine!$Z$12:$Z$72,$A1353+1),INDEX(Surface_Engine!$Z$12:$Z$72,$Q$1329+1))</f>
        <v>0.271588340506592</v>
      </c>
      <c r="F1353" s="48" t="n">
        <f aca="false">B1353*(IF($A1353&lt;$Q$1329,INDEX(Surface_Engine!$D$12:$D$72,$A1353+1)+(Surface_Engine!G248*12)*INDEX(Surface_Engine!$F$12:$F$72,$A1353+1)-(Surface_Engine!G248*12),1000*12*INDEX(Surface_Engine!$C$12:$C$72,$A1353+1)/(1+Assumptions!$B$10)^8+INDEX(Surface_Engine!$D$12:$D$72,$A1353+1)))*INDEX(Surface_Engine!$B$12:$B$72,$A1353+1)+F1354</f>
        <v>10180.058303043</v>
      </c>
      <c r="G1353" s="48" t="n">
        <f aca="false">C1353*(IF($A1353&lt;$Q$1329,INDEX(Surface_Engine!$D$12:$D$72,$A1353+1)+(Surface_Engine!G248*12)*INDEX(Surface_Engine!$F$12:$F$72,$A1353+1)-(Surface_Engine!G248*12),1000*12*INDEX(Surface_Engine!$C$12:$C$72,$A1353+1)/(1+Assumptions!$B$10)^8+INDEX(Surface_Engine!$D$12:$D$72,$A1353+1)))*INDEX(Surface_Engine!$B$12:$B$72,$A1353+1)+G1354</f>
        <v>15570.7593010804</v>
      </c>
      <c r="H1353" s="48" t="n">
        <f aca="false">D1353*(IF($A1353&lt;$Q$1329,INDEX(Surface_Engine!$D$12:$D$72,$A1353+1)+(Surface_Engine!G248*12)*INDEX(Surface_Engine!$F$12:$F$72,$A1353+1)-(Surface_Engine!G248*12),1000*12*INDEX(Surface_Engine!$C$12:$C$72,$A1353+1)/(1+Assumptions!$B$10)^8+INDEX(Surface_Engine!$D$12:$D$72,$A1353+1)))*INDEX(Surface_Engine!$B$12:$B$72,$A1353+1)+H1354</f>
        <v>9523.83457009509</v>
      </c>
      <c r="I1353" s="48" t="n">
        <f aca="false">E1353*(IF($A1353&lt;$Q$1329,INDEX(Surface_Engine!$D$12:$D$72,$A1353+1)+(Surface_Engine!G248*12)*INDEX(Surface_Engine!$F$12:$F$72,$A1353+1)-(Surface_Engine!G248*12),1000*12*INDEX(Surface_Engine!$C$12:$C$72,$A1353+1)/(1+Assumptions!$B$10)^8+INDEX(Surface_Engine!$D$12:$D$72,$A1353+1)))*INDEX(Surface_Engine!$B$12:$B$72,$A1353+1)+I1354</f>
        <v>10873.1187787563</v>
      </c>
      <c r="J1353" s="48" t="n">
        <f aca="false">B1353*(IF($A1353&lt;$Q$1329,INDEX(Surface_Engine!$D$12:$D$72,$A1353+1)*(1+Assumptions!$B$24)+(Surface_Engine!G248*12)*INDEX(Surface_Engine!$F$12:$F$72,$A1353+1)-(Surface_Engine!G248*12),1000*12*INDEX(Surface_Engine!$C$12:$C$72,$A1353+1)/(1+Assumptions!$B$10)^8+INDEX(Surface_Engine!$D$12:$D$72,$A1353+1)*(1+Assumptions!$B$24)))*INDEX(Surface_Engine!$B$12:$B$72,$A1353+1)+J1354</f>
        <v>10189.2035088035</v>
      </c>
      <c r="K1353" s="12" t="n">
        <f aca="false">SQRT((IF(C1353&lt;=0,0,MAX(0,(B1353/C1353)*G1353/INDEX(Surface_Engine!$B$12:$B$72,$A1353+1)-F1353/INDEX(Surface_Engine!$B$12:$B$72,$A1353+1))))^2+(MAX(IF(D1353&lt;=0,0,MAX(0,(B1353/D1353)*H1353/INDEX(Surface_Engine!$B$12:$B$72,$A1353+1)-F1353/INDEX(Surface_Engine!$B$12:$B$72,$A1353+1))),IF(E1353&lt;=0,0,MAX(0,(B1353/E1353)*I1353/INDEX(Surface_Engine!$B$12:$B$72,$A1353+1)-F1353/INDEX(Surface_Engine!$B$12:$B$72,$A1353+1))),IF($A1353&lt;$Q$1329,MAX(0,-Assumptions!$B$22*(F1353/INDEX(Surface_Engine!$B$12:$B$72,$A1353+1))),0)))^2+(MAX(0,J1353/INDEX(Surface_Engine!$B$12:$B$72,$A1353+1)-(F1353/INDEX(Surface_Engine!$B$12:$B$72,$A1353+1))))^2+2*Assumptions!$B$26*(IF(C1353&lt;=0,0,MAX(0,(B1353/C1353)*G1353/INDEX(Surface_Engine!$B$12:$B$72,$A1353+1)-F1353/INDEX(Surface_Engine!$B$12:$B$72,$A1353+1))))*(MAX(IF(D1353&lt;=0,0,MAX(0,(B1353/D1353)*H1353/INDEX(Surface_Engine!$B$12:$B$72,$A1353+1)-F1353/INDEX(Surface_Engine!$B$12:$B$72,$A1353+1))),IF(E1353&lt;=0,0,MAX(0,(B1353/E1353)*I1353/INDEX(Surface_Engine!$B$12:$B$72,$A1353+1)-F1353/INDEX(Surface_Engine!$B$12:$B$72,$A1353+1))),IF($A1353&lt;$Q$1329,MAX(0,-Assumptions!$B$22*(F1353/INDEX(Surface_Engine!$B$12:$B$72,$A1353+1))),0)))+2*Assumptions!$B$27*(IF(C1353&lt;=0,0,MAX(0,(B1353/C1353)*G1353/INDEX(Surface_Engine!$B$12:$B$72,$A1353+1)-F1353/INDEX(Surface_Engine!$B$12:$B$72,$A1353+1))))*(MAX(0,J1353/INDEX(Surface_Engine!$B$12:$B$72,$A1353+1)-(F1353/INDEX(Surface_Engine!$B$12:$B$72,$A1353+1))))+2*Assumptions!$B$28*(MAX(IF(D1353&lt;=0,0,MAX(0,(B1353/D1353)*H1353/INDEX(Surface_Engine!$B$12:$B$72,$A1353+1)-F1353/INDEX(Surface_Engine!$B$12:$B$72,$A1353+1))),IF(E1353&lt;=0,0,MAX(0,(B1353/E1353)*I1353/INDEX(Surface_Engine!$B$12:$B$72,$A1353+1)-F1353/INDEX(Surface_Engine!$B$12:$B$72,$A1353+1))),IF($A1353&lt;$Q$1329,MAX(0,-Assumptions!$B$22*(F1353/INDEX(Surface_Engine!$B$12:$B$72,$A1353+1))),0)))*(MAX(0,J1353/INDEX(Surface_Engine!$B$12:$B$72,$A1353+1)-(F1353/INDEX(Surface_Engine!$B$12:$B$72,$A1353+1)))))</f>
        <v>3714.01781557091</v>
      </c>
      <c r="L1353" s="48" t="n">
        <f aca="false">K1353*INDEX(Surface_Engine!$B$12:$B$72,$A1353+1)+L1354</f>
        <v>8324.58247631425</v>
      </c>
      <c r="M1353" s="48" t="n">
        <f aca="false">M1352+B1352*(IF($A1352&lt;$Q$1329,(Surface_Engine!G248*12)-(Surface_Engine!G248*12)*INDEX(Surface_Engine!$F$12:$F$72,$A1352+1)-INDEX(Surface_Engine!$D$12:$D$72,$A1352+1),-(1000*12*INDEX(Surface_Engine!$C$12:$C$72,$A1352+1)/(1+Assumptions!$B$10)^8+INDEX(Surface_Engine!$D$12:$D$72,$A1352+1))))*INDEX(Surface_Engine!$B$12:$B$72,$A1352+1)</f>
        <v>13306.6067739827</v>
      </c>
      <c r="N1353" s="12" t="n">
        <f aca="false">IF(B1353&lt;=0,0,MAX(0,(K1353+Assumptions!$B$29*L1353/INDEX(Surface_Engine!$B$12:$B$72,$A1353+1)-(M1353/INDEX(Surface_Engine!$B$12:$B$72,$A1353+1)-(F1353/INDEX(Surface_Engine!$B$12:$B$72,$A1353+1))))/B1353))</f>
        <v>0</v>
      </c>
    </row>
    <row r="1354" customFormat="false" ht="15" hidden="false" customHeight="true" outlineLevel="0" collapsed="false">
      <c r="A1354" s="1" t="n">
        <v>23</v>
      </c>
      <c r="B1354" s="32" t="n">
        <f aca="false">INDEX(Surface_Engine!$S$12:$S$72,$A1354+1)*IF($A1354&lt;$Q$1329,INDEX(Surface_Engine!$E$12:$E$72,$A1354+1),INDEX(Surface_Engine!$E$12:$E$72,$Q$1329+1))</f>
        <v>0.21539213110889</v>
      </c>
      <c r="C1354" s="32" t="n">
        <f aca="false">INDEX(Panel_Reserving!$G$8:$G$68,$A1354+1)*IF($A1354&lt;$Q$1329,INDEX(Surface_Engine!$E$12:$E$72,$A1354+1),INDEX(Surface_Engine!$E$12:$E$72,$Q$1329+1))</f>
        <v>0.288455716248673</v>
      </c>
      <c r="D1354" s="32" t="n">
        <f aca="false">INDEX(Surface_Engine!$S$12:$S$72,$A1354+1)*IF($A1354&lt;$Q$1329,INDEX(Surface_Engine!$Y$12:$Y$72,$A1354+1),INDEX(Surface_Engine!$Y$12:$Y$72,$Q$1329+1))</f>
        <v>0.201507590950447</v>
      </c>
      <c r="E1354" s="32" t="n">
        <f aca="false">INDEX(Surface_Engine!$S$12:$S$72,$A1354+1)*IF($A1354&lt;$Q$1329,INDEX(Surface_Engine!$Z$12:$Z$72,$A1354+1),INDEX(Surface_Engine!$Z$12:$Z$72,$Q$1329+1))</f>
        <v>0.230056071963394</v>
      </c>
      <c r="F1354" s="48" t="n">
        <f aca="false">B1354*(IF($A1354&lt;$Q$1329,INDEX(Surface_Engine!$D$12:$D$72,$A1354+1)+(Surface_Engine!G248*12)*INDEX(Surface_Engine!$F$12:$F$72,$A1354+1)-(Surface_Engine!G248*12),1000*12*INDEX(Surface_Engine!$C$12:$C$72,$A1354+1)/(1+Assumptions!$B$10)^8+INDEX(Surface_Engine!$D$12:$D$72,$A1354+1)))*INDEX(Surface_Engine!$B$12:$B$72,$A1354+1)+F1355</f>
        <v>8136.07330950119</v>
      </c>
      <c r="G1354" s="48" t="n">
        <f aca="false">C1354*(IF($A1354&lt;$Q$1329,INDEX(Surface_Engine!$D$12:$D$72,$A1354+1)+(Surface_Engine!G248*12)*INDEX(Surface_Engine!$F$12:$F$72,$A1354+1)-(Surface_Engine!G248*12),1000*12*INDEX(Surface_Engine!$C$12:$C$72,$A1354+1)/(1+Assumptions!$B$10)^8+INDEX(Surface_Engine!$D$12:$D$72,$A1354+1)))*INDEX(Surface_Engine!$B$12:$B$72,$A1354+1)+G1355</f>
        <v>12928.8205733761</v>
      </c>
      <c r="H1354" s="48" t="n">
        <f aca="false">D1354*(IF($A1354&lt;$Q$1329,INDEX(Surface_Engine!$D$12:$D$72,$A1354+1)+(Surface_Engine!G248*12)*INDEX(Surface_Engine!$F$12:$F$72,$A1354+1)-(Surface_Engine!G248*12),1000*12*INDEX(Surface_Engine!$C$12:$C$72,$A1354+1)/(1+Assumptions!$B$10)^8+INDEX(Surface_Engine!$D$12:$D$72,$A1354+1)))*INDEX(Surface_Engine!$B$12:$B$72,$A1354+1)+H1355</f>
        <v>7611.60829763549</v>
      </c>
      <c r="I1354" s="48" t="n">
        <f aca="false">E1354*(IF($A1354&lt;$Q$1329,INDEX(Surface_Engine!$D$12:$D$72,$A1354+1)+(Surface_Engine!G248*12)*INDEX(Surface_Engine!$F$12:$F$72,$A1354+1)-(Surface_Engine!G248*12),1000*12*INDEX(Surface_Engine!$C$12:$C$72,$A1354+1)/(1+Assumptions!$B$10)^8+INDEX(Surface_Engine!$D$12:$D$72,$A1354+1)))*INDEX(Surface_Engine!$B$12:$B$72,$A1354+1)+I1355</f>
        <v>8689.9788639159</v>
      </c>
      <c r="J1354" s="48" t="n">
        <f aca="false">B1354*(IF($A1354&lt;$Q$1329,INDEX(Surface_Engine!$D$12:$D$72,$A1354+1)*(1+Assumptions!$B$24)+(Surface_Engine!G248*12)*INDEX(Surface_Engine!$F$12:$F$72,$A1354+1)-(Surface_Engine!G248*12),1000*12*INDEX(Surface_Engine!$C$12:$C$72,$A1354+1)/(1+Assumptions!$B$10)^8+INDEX(Surface_Engine!$D$12:$D$72,$A1354+1)*(1+Assumptions!$B$24)))*INDEX(Surface_Engine!$B$12:$B$72,$A1354+1)+J1355</f>
        <v>8143.41226441014</v>
      </c>
      <c r="K1354" s="12" t="n">
        <f aca="false">SQRT((IF(C1354&lt;=0,0,MAX(0,(B1354/C1354)*G1354/INDEX(Surface_Engine!$B$12:$B$72,$A1354+1)-F1354/INDEX(Surface_Engine!$B$12:$B$72,$A1354+1))))^2+(MAX(IF(D1354&lt;=0,0,MAX(0,(B1354/D1354)*H1354/INDEX(Surface_Engine!$B$12:$B$72,$A1354+1)-F1354/INDEX(Surface_Engine!$B$12:$B$72,$A1354+1))),IF(E1354&lt;=0,0,MAX(0,(B1354/E1354)*I1354/INDEX(Surface_Engine!$B$12:$B$72,$A1354+1)-F1354/INDEX(Surface_Engine!$B$12:$B$72,$A1354+1))),IF($A1354&lt;$Q$1329,MAX(0,-Assumptions!$B$22*(F1354/INDEX(Surface_Engine!$B$12:$B$72,$A1354+1))),0)))^2+(MAX(0,J1354/INDEX(Surface_Engine!$B$12:$B$72,$A1354+1)-(F1354/INDEX(Surface_Engine!$B$12:$B$72,$A1354+1))))^2+2*Assumptions!$B$26*(IF(C1354&lt;=0,0,MAX(0,(B1354/C1354)*G1354/INDEX(Surface_Engine!$B$12:$B$72,$A1354+1)-F1354/INDEX(Surface_Engine!$B$12:$B$72,$A1354+1))))*(MAX(IF(D1354&lt;=0,0,MAX(0,(B1354/D1354)*H1354/INDEX(Surface_Engine!$B$12:$B$72,$A1354+1)-F1354/INDEX(Surface_Engine!$B$12:$B$72,$A1354+1))),IF(E1354&lt;=0,0,MAX(0,(B1354/E1354)*I1354/INDEX(Surface_Engine!$B$12:$B$72,$A1354+1)-F1354/INDEX(Surface_Engine!$B$12:$B$72,$A1354+1))),IF($A1354&lt;$Q$1329,MAX(0,-Assumptions!$B$22*(F1354/INDEX(Surface_Engine!$B$12:$B$72,$A1354+1))),0)))+2*Assumptions!$B$27*(IF(C1354&lt;=0,0,MAX(0,(B1354/C1354)*G1354/INDEX(Surface_Engine!$B$12:$B$72,$A1354+1)-F1354/INDEX(Surface_Engine!$B$12:$B$72,$A1354+1))))*(MAX(0,J1354/INDEX(Surface_Engine!$B$12:$B$72,$A1354+1)-(F1354/INDEX(Surface_Engine!$B$12:$B$72,$A1354+1))))+2*Assumptions!$B$28*(MAX(IF(D1354&lt;=0,0,MAX(0,(B1354/D1354)*H1354/INDEX(Surface_Engine!$B$12:$B$72,$A1354+1)-F1354/INDEX(Surface_Engine!$B$12:$B$72,$A1354+1))),IF(E1354&lt;=0,0,MAX(0,(B1354/E1354)*I1354/INDEX(Surface_Engine!$B$12:$B$72,$A1354+1)-F1354/INDEX(Surface_Engine!$B$12:$B$72,$A1354+1))),IF($A1354&lt;$Q$1329,MAX(0,-Assumptions!$B$22*(F1354/INDEX(Surface_Engine!$B$12:$B$72,$A1354+1))),0)))*(MAX(0,J1354/INDEX(Surface_Engine!$B$12:$B$72,$A1354+1)-(F1354/INDEX(Surface_Engine!$B$12:$B$72,$A1354+1)))))</f>
        <v>3116.86000690443</v>
      </c>
      <c r="L1354" s="48" t="n">
        <f aca="false">K1354*INDEX(Surface_Engine!$B$12:$B$72,$A1354+1)+L1355</f>
        <v>6455.72620561084</v>
      </c>
      <c r="M1354" s="48" t="n">
        <f aca="false">M1353+B1353*(IF($A1353&lt;$Q$1329,(Surface_Engine!G248*12)-(Surface_Engine!G248*12)*INDEX(Surface_Engine!$F$12:$F$72,$A1353+1)-INDEX(Surface_Engine!$D$12:$D$72,$A1353+1),-(1000*12*INDEX(Surface_Engine!$C$12:$C$72,$A1353+1)/(1+Assumptions!$B$10)^8+INDEX(Surface_Engine!$D$12:$D$72,$A1353+1))))*INDEX(Surface_Engine!$B$12:$B$72,$A1353+1)</f>
        <v>11262.6217804408</v>
      </c>
      <c r="N1354" s="12" t="n">
        <f aca="false">IF(B1354&lt;=0,0,MAX(0,(K1354+Assumptions!$B$29*L1354/INDEX(Surface_Engine!$B$12:$B$72,$A1354+1)-(M1354/INDEX(Surface_Engine!$B$12:$B$72,$A1354+1)-(F1354/INDEX(Surface_Engine!$B$12:$B$72,$A1354+1))))/B1354))</f>
        <v>0</v>
      </c>
    </row>
    <row r="1355" customFormat="false" ht="15" hidden="false" customHeight="true" outlineLevel="0" collapsed="false">
      <c r="A1355" s="1" t="n">
        <v>24</v>
      </c>
      <c r="B1355" s="32" t="n">
        <f aca="false">INDEX(Surface_Engine!$S$12:$S$72,$A1355+1)*IF($A1355&lt;$Q$1329,INDEX(Surface_Engine!$E$12:$E$72,$A1355+1),INDEX(Surface_Engine!$E$12:$E$72,$Q$1329+1))</f>
        <v>0.179136259369668</v>
      </c>
      <c r="C1355" s="32" t="n">
        <f aca="false">INDEX(Panel_Reserving!$G$8:$G$68,$A1355+1)*IF($A1355&lt;$Q$1329,INDEX(Surface_Engine!$E$12:$E$72,$A1355+1),INDEX(Surface_Engine!$E$12:$E$72,$Q$1329+1))</f>
        <v>0.249612278851343</v>
      </c>
      <c r="D1355" s="32" t="n">
        <f aca="false">INDEX(Surface_Engine!$S$12:$S$72,$A1355+1)*IF($A1355&lt;$Q$1329,INDEX(Surface_Engine!$Y$12:$Y$72,$A1355+1),INDEX(Surface_Engine!$Y$12:$Y$72,$Q$1329+1))</f>
        <v>0.167588833870665</v>
      </c>
      <c r="E1355" s="32" t="n">
        <f aca="false">INDEX(Surface_Engine!$S$12:$S$72,$A1355+1)*IF($A1355&lt;$Q$1329,INDEX(Surface_Engine!$Z$12:$Z$72,$A1355+1),INDEX(Surface_Engine!$Z$12:$Z$72,$Q$1329+1))</f>
        <v>0.191331892974157</v>
      </c>
      <c r="F1355" s="48" t="n">
        <f aca="false">B1355*(IF($A1355&lt;$Q$1329,INDEX(Surface_Engine!$D$12:$D$72,$A1355+1)+(Surface_Engine!G248*12)*INDEX(Surface_Engine!$F$12:$F$72,$A1355+1)-(Surface_Engine!G248*12),1000*12*INDEX(Surface_Engine!$C$12:$C$72,$A1355+1)/(1+Assumptions!$B$10)^8+INDEX(Surface_Engine!$D$12:$D$72,$A1355+1)))*INDEX(Surface_Engine!$B$12:$B$72,$A1355+1)+F1356</f>
        <v>6424.62097229603</v>
      </c>
      <c r="G1355" s="48" t="n">
        <f aca="false">C1355*(IF($A1355&lt;$Q$1329,INDEX(Surface_Engine!$D$12:$D$72,$A1355+1)+(Surface_Engine!G248*12)*INDEX(Surface_Engine!$F$12:$F$72,$A1355+1)-(Surface_Engine!G248*12),1000*12*INDEX(Surface_Engine!$C$12:$C$72,$A1355+1)/(1+Assumptions!$B$10)^8+INDEX(Surface_Engine!$D$12:$D$72,$A1355+1)))*INDEX(Surface_Engine!$B$12:$B$72,$A1355+1)+G1356</f>
        <v>10636.8231489001</v>
      </c>
      <c r="H1355" s="48" t="n">
        <f aca="false">D1355*(IF($A1355&lt;$Q$1329,INDEX(Surface_Engine!$D$12:$D$72,$A1355+1)+(Surface_Engine!G248*12)*INDEX(Surface_Engine!$F$12:$F$72,$A1355+1)-(Surface_Engine!G248*12),1000*12*INDEX(Surface_Engine!$C$12:$C$72,$A1355+1)/(1+Assumptions!$B$10)^8+INDEX(Surface_Engine!$D$12:$D$72,$A1355+1)))*INDEX(Surface_Engine!$B$12:$B$72,$A1355+1)+H1356</f>
        <v>6010.47906547065</v>
      </c>
      <c r="I1355" s="48" t="n">
        <f aca="false">E1355*(IF($A1355&lt;$Q$1329,INDEX(Surface_Engine!$D$12:$D$72,$A1355+1)+(Surface_Engine!G248*12)*INDEX(Surface_Engine!$F$12:$F$72,$A1355+1)-(Surface_Engine!G248*12),1000*12*INDEX(Surface_Engine!$C$12:$C$72,$A1355+1)/(1+Assumptions!$B$10)^8+INDEX(Surface_Engine!$D$12:$D$72,$A1355+1)))*INDEX(Surface_Engine!$B$12:$B$72,$A1355+1)+I1356</f>
        <v>6862.0104974627</v>
      </c>
      <c r="J1355" s="48" t="n">
        <f aca="false">B1355*(IF($A1355&lt;$Q$1329,INDEX(Surface_Engine!$D$12:$D$72,$A1355+1)*(1+Assumptions!$B$24)+(Surface_Engine!G248*12)*INDEX(Surface_Engine!$F$12:$F$72,$A1355+1)-(Surface_Engine!G248*12),1000*12*INDEX(Surface_Engine!$C$12:$C$72,$A1355+1)/(1+Assumptions!$B$10)^8+INDEX(Surface_Engine!$D$12:$D$72,$A1355+1)*(1+Assumptions!$B$24)))*INDEX(Surface_Engine!$B$12:$B$72,$A1355+1)+J1356</f>
        <v>6430.44018455421</v>
      </c>
      <c r="K1355" s="12" t="n">
        <f aca="false">SQRT((IF(C1355&lt;=0,0,MAX(0,(B1355/C1355)*G1355/INDEX(Surface_Engine!$B$12:$B$72,$A1355+1)-F1355/INDEX(Surface_Engine!$B$12:$B$72,$A1355+1))))^2+(MAX(IF(D1355&lt;=0,0,MAX(0,(B1355/D1355)*H1355/INDEX(Surface_Engine!$B$12:$B$72,$A1355+1)-F1355/INDEX(Surface_Engine!$B$12:$B$72,$A1355+1))),IF(E1355&lt;=0,0,MAX(0,(B1355/E1355)*I1355/INDEX(Surface_Engine!$B$12:$B$72,$A1355+1)-F1355/INDEX(Surface_Engine!$B$12:$B$72,$A1355+1))),IF($A1355&lt;$Q$1329,MAX(0,-Assumptions!$B$22*(F1355/INDEX(Surface_Engine!$B$12:$B$72,$A1355+1))),0)))^2+(MAX(0,J1355/INDEX(Surface_Engine!$B$12:$B$72,$A1355+1)-(F1355/INDEX(Surface_Engine!$B$12:$B$72,$A1355+1))))^2+2*Assumptions!$B$26*(IF(C1355&lt;=0,0,MAX(0,(B1355/C1355)*G1355/INDEX(Surface_Engine!$B$12:$B$72,$A1355+1)-F1355/INDEX(Surface_Engine!$B$12:$B$72,$A1355+1))))*(MAX(IF(D1355&lt;=0,0,MAX(0,(B1355/D1355)*H1355/INDEX(Surface_Engine!$B$12:$B$72,$A1355+1)-F1355/INDEX(Surface_Engine!$B$12:$B$72,$A1355+1))),IF(E1355&lt;=0,0,MAX(0,(B1355/E1355)*I1355/INDEX(Surface_Engine!$B$12:$B$72,$A1355+1)-F1355/INDEX(Surface_Engine!$B$12:$B$72,$A1355+1))),IF($A1355&lt;$Q$1329,MAX(0,-Assumptions!$B$22*(F1355/INDEX(Surface_Engine!$B$12:$B$72,$A1355+1))),0)))+2*Assumptions!$B$27*(IF(C1355&lt;=0,0,MAX(0,(B1355/C1355)*G1355/INDEX(Surface_Engine!$B$12:$B$72,$A1355+1)-F1355/INDEX(Surface_Engine!$B$12:$B$72,$A1355+1))))*(MAX(0,J1355/INDEX(Surface_Engine!$B$12:$B$72,$A1355+1)-(F1355/INDEX(Surface_Engine!$B$12:$B$72,$A1355+1))))+2*Assumptions!$B$28*(MAX(IF(D1355&lt;=0,0,MAX(0,(B1355/D1355)*H1355/INDEX(Surface_Engine!$B$12:$B$72,$A1355+1)-F1355/INDEX(Surface_Engine!$B$12:$B$72,$A1355+1))),IF(E1355&lt;=0,0,MAX(0,(B1355/E1355)*I1355/INDEX(Surface_Engine!$B$12:$B$72,$A1355+1)-F1355/INDEX(Surface_Engine!$B$12:$B$72,$A1355+1))),IF($A1355&lt;$Q$1329,MAX(0,-Assumptions!$B$22*(F1355/INDEX(Surface_Engine!$B$12:$B$72,$A1355+1))),0)))*(MAX(0,J1355/INDEX(Surface_Engine!$B$12:$B$72,$A1355+1)-(F1355/INDEX(Surface_Engine!$B$12:$B$72,$A1355+1)))))</f>
        <v>2562.31664452388</v>
      </c>
      <c r="L1355" s="48" t="n">
        <f aca="false">K1355*INDEX(Surface_Engine!$B$12:$B$72,$A1355+1)+L1356</f>
        <v>4935.89709481747</v>
      </c>
      <c r="M1355" s="48" t="n">
        <f aca="false">M1354+B1354*(IF($A1354&lt;$Q$1329,(Surface_Engine!G248*12)-(Surface_Engine!G248*12)*INDEX(Surface_Engine!$F$12:$F$72,$A1354+1)-INDEX(Surface_Engine!$D$12:$D$72,$A1354+1),-(1000*12*INDEX(Surface_Engine!$C$12:$C$72,$A1354+1)/(1+Assumptions!$B$10)^8+INDEX(Surface_Engine!$D$12:$D$72,$A1354+1))))*INDEX(Surface_Engine!$B$12:$B$72,$A1354+1)</f>
        <v>9551.16944323567</v>
      </c>
      <c r="N1355" s="12" t="n">
        <f aca="false">IF(B1355&lt;=0,0,MAX(0,(K1355+Assumptions!$B$29*L1355/INDEX(Surface_Engine!$B$12:$B$72,$A1355+1)-(M1355/INDEX(Surface_Engine!$B$12:$B$72,$A1355+1)-(F1355/INDEX(Surface_Engine!$B$12:$B$72,$A1355+1))))/B1355))</f>
        <v>0</v>
      </c>
    </row>
    <row r="1356" customFormat="false" ht="15" hidden="false" customHeight="true" outlineLevel="0" collapsed="false">
      <c r="A1356" s="1" t="n">
        <v>25</v>
      </c>
      <c r="B1356" s="32" t="n">
        <f aca="false">INDEX(Surface_Engine!$S$12:$S$72,$A1356+1)*IF($A1356&lt;$Q$1329,INDEX(Surface_Engine!$E$12:$E$72,$A1356+1),INDEX(Surface_Engine!$E$12:$E$72,$Q$1329+1))</f>
        <v>0.147176583450314</v>
      </c>
      <c r="C1356" s="32" t="n">
        <f aca="false">INDEX(Panel_Reserving!$G$8:$G$68,$A1356+1)*IF($A1356&lt;$Q$1329,INDEX(Surface_Engine!$E$12:$E$72,$A1356+1),INDEX(Surface_Engine!$E$12:$E$72,$Q$1329+1))</f>
        <v>0.213985644397096</v>
      </c>
      <c r="D1356" s="32" t="n">
        <f aca="false">INDEX(Surface_Engine!$S$12:$S$72,$A1356+1)*IF($A1356&lt;$Q$1329,INDEX(Surface_Engine!$Y$12:$Y$72,$A1356+1),INDEX(Surface_Engine!$Y$12:$Y$72,$Q$1329+1))</f>
        <v>0.137689332580109</v>
      </c>
      <c r="E1356" s="32" t="n">
        <f aca="false">INDEX(Surface_Engine!$S$12:$S$72,$A1356+1)*IF($A1356&lt;$Q$1329,INDEX(Surface_Engine!$Z$12:$Z$72,$A1356+1),INDEX(Surface_Engine!$Z$12:$Z$72,$Q$1329+1))</f>
        <v>0.157196395705166</v>
      </c>
      <c r="F1356" s="48" t="n">
        <f aca="false">B1356*(IF($A1356&lt;$Q$1329,INDEX(Surface_Engine!$D$12:$D$72,$A1356+1)+(Surface_Engine!G248*12)*INDEX(Surface_Engine!$F$12:$F$72,$A1356+1)-(Surface_Engine!G248*12),1000*12*INDEX(Surface_Engine!$C$12:$C$72,$A1356+1)/(1+Assumptions!$B$10)^8+INDEX(Surface_Engine!$D$12:$D$72,$A1356+1)))*INDEX(Surface_Engine!$B$12:$B$72,$A1356+1)+F1357</f>
        <v>5018.01112748695</v>
      </c>
      <c r="G1356" s="48" t="n">
        <f aca="false">C1356*(IF($A1356&lt;$Q$1329,INDEX(Surface_Engine!$D$12:$D$72,$A1356+1)+(Surface_Engine!G248*12)*INDEX(Surface_Engine!$F$12:$F$72,$A1356+1)-(Surface_Engine!G248*12),1000*12*INDEX(Surface_Engine!$C$12:$C$72,$A1356+1)/(1+Assumptions!$B$10)^8+INDEX(Surface_Engine!$D$12:$D$72,$A1356+1)))*INDEX(Surface_Engine!$B$12:$B$72,$A1356+1)+G1357</f>
        <v>8676.82303472453</v>
      </c>
      <c r="H1356" s="48" t="n">
        <f aca="false">D1356*(IF($A1356&lt;$Q$1329,INDEX(Surface_Engine!$D$12:$D$72,$A1356+1)+(Surface_Engine!G248*12)*INDEX(Surface_Engine!$F$12:$F$72,$A1356+1)-(Surface_Engine!G248*12),1000*12*INDEX(Surface_Engine!$C$12:$C$72,$A1356+1)/(1+Assumptions!$B$10)^8+INDEX(Surface_Engine!$D$12:$D$72,$A1356+1)))*INDEX(Surface_Engine!$B$12:$B$72,$A1356+1)+H1357</f>
        <v>4694.54166434356</v>
      </c>
      <c r="I1356" s="48" t="n">
        <f aca="false">E1356*(IF($A1356&lt;$Q$1329,INDEX(Surface_Engine!$D$12:$D$72,$A1356+1)+(Surface_Engine!G248*12)*INDEX(Surface_Engine!$F$12:$F$72,$A1356+1)-(Surface_Engine!G248*12),1000*12*INDEX(Surface_Engine!$C$12:$C$72,$A1356+1)/(1+Assumptions!$B$10)^8+INDEX(Surface_Engine!$D$12:$D$72,$A1356+1)))*INDEX(Surface_Engine!$B$12:$B$72,$A1356+1)+I1357</f>
        <v>5359.63836336546</v>
      </c>
      <c r="J1356" s="48" t="n">
        <f aca="false">B1356*(IF($A1356&lt;$Q$1329,INDEX(Surface_Engine!$D$12:$D$72,$A1356+1)*(1+Assumptions!$B$24)+(Surface_Engine!G248*12)*INDEX(Surface_Engine!$F$12:$F$72,$A1356+1)-(Surface_Engine!G248*12),1000*12*INDEX(Surface_Engine!$C$12:$C$72,$A1356+1)/(1+Assumptions!$B$10)^8+INDEX(Surface_Engine!$D$12:$D$72,$A1356+1)*(1+Assumptions!$B$24)))*INDEX(Surface_Engine!$B$12:$B$72,$A1356+1)+J1357</f>
        <v>5022.57522426645</v>
      </c>
      <c r="K1356" s="12" t="n">
        <f aca="false">SQRT((IF(C1356&lt;=0,0,MAX(0,(B1356/C1356)*G1356/INDEX(Surface_Engine!$B$12:$B$72,$A1356+1)-F1356/INDEX(Surface_Engine!$B$12:$B$72,$A1356+1))))^2+(MAX(IF(D1356&lt;=0,0,MAX(0,(B1356/D1356)*H1356/INDEX(Surface_Engine!$B$12:$B$72,$A1356+1)-F1356/INDEX(Surface_Engine!$B$12:$B$72,$A1356+1))),IF(E1356&lt;=0,0,MAX(0,(B1356/E1356)*I1356/INDEX(Surface_Engine!$B$12:$B$72,$A1356+1)-F1356/INDEX(Surface_Engine!$B$12:$B$72,$A1356+1))),IF($A1356&lt;$Q$1329,MAX(0,-Assumptions!$B$22*(F1356/INDEX(Surface_Engine!$B$12:$B$72,$A1356+1))),0)))^2+(MAX(0,J1356/INDEX(Surface_Engine!$B$12:$B$72,$A1356+1)-(F1356/INDEX(Surface_Engine!$B$12:$B$72,$A1356+1))))^2+2*Assumptions!$B$26*(IF(C1356&lt;=0,0,MAX(0,(B1356/C1356)*G1356/INDEX(Surface_Engine!$B$12:$B$72,$A1356+1)-F1356/INDEX(Surface_Engine!$B$12:$B$72,$A1356+1))))*(MAX(IF(D1356&lt;=0,0,MAX(0,(B1356/D1356)*H1356/INDEX(Surface_Engine!$B$12:$B$72,$A1356+1)-F1356/INDEX(Surface_Engine!$B$12:$B$72,$A1356+1))),IF(E1356&lt;=0,0,MAX(0,(B1356/E1356)*I1356/INDEX(Surface_Engine!$B$12:$B$72,$A1356+1)-F1356/INDEX(Surface_Engine!$B$12:$B$72,$A1356+1))),IF($A1356&lt;$Q$1329,MAX(0,-Assumptions!$B$22*(F1356/INDEX(Surface_Engine!$B$12:$B$72,$A1356+1))),0)))+2*Assumptions!$B$27*(IF(C1356&lt;=0,0,MAX(0,(B1356/C1356)*G1356/INDEX(Surface_Engine!$B$12:$B$72,$A1356+1)-F1356/INDEX(Surface_Engine!$B$12:$B$72,$A1356+1))))*(MAX(0,J1356/INDEX(Surface_Engine!$B$12:$B$72,$A1356+1)-(F1356/INDEX(Surface_Engine!$B$12:$B$72,$A1356+1))))+2*Assumptions!$B$28*(MAX(IF(D1356&lt;=0,0,MAX(0,(B1356/D1356)*H1356/INDEX(Surface_Engine!$B$12:$B$72,$A1356+1)-F1356/INDEX(Surface_Engine!$B$12:$B$72,$A1356+1))),IF(E1356&lt;=0,0,MAX(0,(B1356/E1356)*I1356/INDEX(Surface_Engine!$B$12:$B$72,$A1356+1)-F1356/INDEX(Surface_Engine!$B$12:$B$72,$A1356+1))),IF($A1356&lt;$Q$1329,MAX(0,-Assumptions!$B$22*(F1356/INDEX(Surface_Engine!$B$12:$B$72,$A1356+1))),0)))*(MAX(0,J1356/INDEX(Surface_Engine!$B$12:$B$72,$A1356+1)-(F1356/INDEX(Surface_Engine!$B$12:$B$72,$A1356+1)))))</f>
        <v>2077.39284643922</v>
      </c>
      <c r="L1356" s="48" t="n">
        <f aca="false">K1356*INDEX(Surface_Engine!$B$12:$B$72,$A1356+1)+L1357</f>
        <v>3725.44847321089</v>
      </c>
      <c r="M1356" s="48" t="n">
        <f aca="false">M1355+B1355*(IF($A1355&lt;$Q$1329,(Surface_Engine!G248*12)-(Surface_Engine!G248*12)*INDEX(Surface_Engine!$F$12:$F$72,$A1355+1)-INDEX(Surface_Engine!$D$12:$D$72,$A1355+1),-(1000*12*INDEX(Surface_Engine!$C$12:$C$72,$A1355+1)/(1+Assumptions!$B$10)^8+INDEX(Surface_Engine!$D$12:$D$72,$A1355+1))))*INDEX(Surface_Engine!$B$12:$B$72,$A1355+1)</f>
        <v>8144.5595984266</v>
      </c>
      <c r="N1356" s="12" t="n">
        <f aca="false">IF(B1356&lt;=0,0,MAX(0,(K1356+Assumptions!$B$29*L1356/INDEX(Surface_Engine!$B$12:$B$72,$A1356+1)-(M1356/INDEX(Surface_Engine!$B$12:$B$72,$A1356+1)-(F1356/INDEX(Surface_Engine!$B$12:$B$72,$A1356+1))))/B1356))</f>
        <v>0</v>
      </c>
    </row>
    <row r="1357" customFormat="false" ht="15" hidden="false" customHeight="true" outlineLevel="0" collapsed="false">
      <c r="A1357" s="1" t="n">
        <v>26</v>
      </c>
      <c r="B1357" s="32" t="n">
        <f aca="false">INDEX(Surface_Engine!$S$12:$S$72,$A1357+1)*IF($A1357&lt;$Q$1329,INDEX(Surface_Engine!$E$12:$E$72,$A1357+1),INDEX(Surface_Engine!$E$12:$E$72,$Q$1329+1))</f>
        <v>0.11948926351768</v>
      </c>
      <c r="C1357" s="32" t="n">
        <f aca="false">INDEX(Panel_Reserving!$G$8:$G$68,$A1357+1)*IF($A1357&lt;$Q$1329,INDEX(Surface_Engine!$E$12:$E$72,$A1357+1),INDEX(Surface_Engine!$E$12:$E$72,$Q$1329+1))</f>
        <v>0.181781124582768</v>
      </c>
      <c r="D1357" s="32" t="n">
        <f aca="false">INDEX(Surface_Engine!$S$12:$S$72,$A1357+1)*IF($A1357&lt;$Q$1329,INDEX(Surface_Engine!$Y$12:$Y$72,$A1357+1),INDEX(Surface_Engine!$Y$12:$Y$72,$Q$1329+1))</f>
        <v>0.111786784001493</v>
      </c>
      <c r="E1357" s="32" t="n">
        <f aca="false">INDEX(Surface_Engine!$S$12:$S$72,$A1357+1)*IF($A1357&lt;$Q$1329,INDEX(Surface_Engine!$Z$12:$Z$72,$A1357+1),INDEX(Surface_Engine!$Z$12:$Z$72,$Q$1329+1))</f>
        <v>0.127624117302499</v>
      </c>
      <c r="F1357" s="48" t="n">
        <f aca="false">B1357*(IF($A1357&lt;$Q$1329,INDEX(Surface_Engine!$D$12:$D$72,$A1357+1)+(Surface_Engine!G248*12)*INDEX(Surface_Engine!$F$12:$F$72,$A1357+1)-(Surface_Engine!G248*12),1000*12*INDEX(Surface_Engine!$C$12:$C$72,$A1357+1)/(1+Assumptions!$B$10)^8+INDEX(Surface_Engine!$D$12:$D$72,$A1357+1)))*INDEX(Surface_Engine!$B$12:$B$72,$A1357+1)+F1358</f>
        <v>3875.73122797879</v>
      </c>
      <c r="G1357" s="48" t="n">
        <f aca="false">C1357*(IF($A1357&lt;$Q$1329,INDEX(Surface_Engine!$D$12:$D$72,$A1357+1)+(Surface_Engine!G248*12)*INDEX(Surface_Engine!$F$12:$F$72,$A1357+1)-(Surface_Engine!G248*12),1000*12*INDEX(Surface_Engine!$C$12:$C$72,$A1357+1)/(1+Assumptions!$B$10)^8+INDEX(Surface_Engine!$D$12:$D$72,$A1357+1)))*INDEX(Surface_Engine!$B$12:$B$72,$A1357+1)+G1358</f>
        <v>7016.01875018546</v>
      </c>
      <c r="H1357" s="48" t="n">
        <f aca="false">D1357*(IF($A1357&lt;$Q$1329,INDEX(Surface_Engine!$D$12:$D$72,$A1357+1)+(Surface_Engine!G248*12)*INDEX(Surface_Engine!$F$12:$F$72,$A1357+1)-(Surface_Engine!G248*12),1000*12*INDEX(Surface_Engine!$C$12:$C$72,$A1357+1)/(1+Assumptions!$B$10)^8+INDEX(Surface_Engine!$D$12:$D$72,$A1357+1)))*INDEX(Surface_Engine!$B$12:$B$72,$A1357+1)+H1358</f>
        <v>3625.89505429333</v>
      </c>
      <c r="I1357" s="48" t="n">
        <f aca="false">E1357*(IF($A1357&lt;$Q$1329,INDEX(Surface_Engine!$D$12:$D$72,$A1357+1)+(Surface_Engine!G248*12)*INDEX(Surface_Engine!$F$12:$F$72,$A1357+1)-(Surface_Engine!G248*12),1000*12*INDEX(Surface_Engine!$C$12:$C$72,$A1357+1)/(1+Assumptions!$B$10)^8+INDEX(Surface_Engine!$D$12:$D$72,$A1357+1)))*INDEX(Surface_Engine!$B$12:$B$72,$A1357+1)+I1358</f>
        <v>4139.59181193997</v>
      </c>
      <c r="J1357" s="48" t="n">
        <f aca="false">B1357*(IF($A1357&lt;$Q$1329,INDEX(Surface_Engine!$D$12:$D$72,$A1357+1)*(1+Assumptions!$B$24)+(Surface_Engine!G248*12)*INDEX(Surface_Engine!$F$12:$F$72,$A1357+1)-(Surface_Engine!G248*12),1000*12*INDEX(Surface_Engine!$C$12:$C$72,$A1357+1)/(1+Assumptions!$B$10)^8+INDEX(Surface_Engine!$D$12:$D$72,$A1357+1)*(1+Assumptions!$B$24)))*INDEX(Surface_Engine!$B$12:$B$72,$A1357+1)+J1358</f>
        <v>3879.27111887674</v>
      </c>
      <c r="K1357" s="12" t="n">
        <f aca="false">SQRT((IF(C1357&lt;=0,0,MAX(0,(B1357/C1357)*G1357/INDEX(Surface_Engine!$B$12:$B$72,$A1357+1)-F1357/INDEX(Surface_Engine!$B$12:$B$72,$A1357+1))))^2+(MAX(IF(D1357&lt;=0,0,MAX(0,(B1357/D1357)*H1357/INDEX(Surface_Engine!$B$12:$B$72,$A1357+1)-F1357/INDEX(Surface_Engine!$B$12:$B$72,$A1357+1))),IF(E1357&lt;=0,0,MAX(0,(B1357/E1357)*I1357/INDEX(Surface_Engine!$B$12:$B$72,$A1357+1)-F1357/INDEX(Surface_Engine!$B$12:$B$72,$A1357+1))),IF($A1357&lt;$Q$1329,MAX(0,-Assumptions!$B$22*(F1357/INDEX(Surface_Engine!$B$12:$B$72,$A1357+1))),0)))^2+(MAX(0,J1357/INDEX(Surface_Engine!$B$12:$B$72,$A1357+1)-(F1357/INDEX(Surface_Engine!$B$12:$B$72,$A1357+1))))^2+2*Assumptions!$B$26*(IF(C1357&lt;=0,0,MAX(0,(B1357/C1357)*G1357/INDEX(Surface_Engine!$B$12:$B$72,$A1357+1)-F1357/INDEX(Surface_Engine!$B$12:$B$72,$A1357+1))))*(MAX(IF(D1357&lt;=0,0,MAX(0,(B1357/D1357)*H1357/INDEX(Surface_Engine!$B$12:$B$72,$A1357+1)-F1357/INDEX(Surface_Engine!$B$12:$B$72,$A1357+1))),IF(E1357&lt;=0,0,MAX(0,(B1357/E1357)*I1357/INDEX(Surface_Engine!$B$12:$B$72,$A1357+1)-F1357/INDEX(Surface_Engine!$B$12:$B$72,$A1357+1))),IF($A1357&lt;$Q$1329,MAX(0,-Assumptions!$B$22*(F1357/INDEX(Surface_Engine!$B$12:$B$72,$A1357+1))),0)))+2*Assumptions!$B$27*(IF(C1357&lt;=0,0,MAX(0,(B1357/C1357)*G1357/INDEX(Surface_Engine!$B$12:$B$72,$A1357+1)-F1357/INDEX(Surface_Engine!$B$12:$B$72,$A1357+1))))*(MAX(0,J1357/INDEX(Surface_Engine!$B$12:$B$72,$A1357+1)-(F1357/INDEX(Surface_Engine!$B$12:$B$72,$A1357+1))))+2*Assumptions!$B$28*(MAX(IF(D1357&lt;=0,0,MAX(0,(B1357/D1357)*H1357/INDEX(Surface_Engine!$B$12:$B$72,$A1357+1)-F1357/INDEX(Surface_Engine!$B$12:$B$72,$A1357+1))),IF(E1357&lt;=0,0,MAX(0,(B1357/E1357)*I1357/INDEX(Surface_Engine!$B$12:$B$72,$A1357+1)-F1357/INDEX(Surface_Engine!$B$12:$B$72,$A1357+1))),IF($A1357&lt;$Q$1329,MAX(0,-Assumptions!$B$22*(F1357/INDEX(Surface_Engine!$B$12:$B$72,$A1357+1))),0)))*(MAX(0,J1357/INDEX(Surface_Engine!$B$12:$B$72,$A1357+1)-(F1357/INDEX(Surface_Engine!$B$12:$B$72,$A1357+1)))))</f>
        <v>1661.89112417542</v>
      </c>
      <c r="L1357" s="48" t="n">
        <f aca="false">K1357*INDEX(Surface_Engine!$B$12:$B$72,$A1357+1)+L1358</f>
        <v>2774.50064034744</v>
      </c>
      <c r="M1357" s="48" t="n">
        <f aca="false">M1356+B1356*(IF($A1356&lt;$Q$1329,(Surface_Engine!G248*12)-(Surface_Engine!G248*12)*INDEX(Surface_Engine!$F$12:$F$72,$A1356+1)-INDEX(Surface_Engine!$D$12:$D$72,$A1356+1),-(1000*12*INDEX(Surface_Engine!$C$12:$C$72,$A1356+1)/(1+Assumptions!$B$10)^8+INDEX(Surface_Engine!$D$12:$D$72,$A1356+1))))*INDEX(Surface_Engine!$B$12:$B$72,$A1356+1)</f>
        <v>7002.27969891844</v>
      </c>
      <c r="N1357" s="12" t="n">
        <f aca="false">IF(B1357&lt;=0,0,MAX(0,(K1357+Assumptions!$B$29*L1357/INDEX(Surface_Engine!$B$12:$B$72,$A1357+1)-(M1357/INDEX(Surface_Engine!$B$12:$B$72,$A1357+1)-(F1357/INDEX(Surface_Engine!$B$12:$B$72,$A1357+1))))/B1357))</f>
        <v>0</v>
      </c>
    </row>
    <row r="1358" customFormat="false" ht="15" hidden="false" customHeight="true" outlineLevel="0" collapsed="false">
      <c r="A1358" s="1" t="n">
        <v>27</v>
      </c>
      <c r="B1358" s="32" t="n">
        <f aca="false">INDEX(Surface_Engine!$S$12:$S$72,$A1358+1)*IF($A1358&lt;$Q$1329,INDEX(Surface_Engine!$E$12:$E$72,$A1358+1),INDEX(Surface_Engine!$E$12:$E$72,$Q$1329+1))</f>
        <v>0.0958638963287811</v>
      </c>
      <c r="C1358" s="32" t="n">
        <f aca="false">INDEX(Panel_Reserving!$G$8:$G$68,$A1358+1)*IF($A1358&lt;$Q$1329,INDEX(Surface_Engine!$E$12:$E$72,$A1358+1),INDEX(Surface_Engine!$E$12:$E$72,$Q$1329+1))</f>
        <v>0.153027774265945</v>
      </c>
      <c r="D1358" s="32" t="n">
        <f aca="false">INDEX(Surface_Engine!$S$12:$S$72,$A1358+1)*IF($A1358&lt;$Q$1329,INDEX(Surface_Engine!$Y$12:$Y$72,$A1358+1),INDEX(Surface_Engine!$Y$12:$Y$72,$Q$1329+1))</f>
        <v>0.0896843478398493</v>
      </c>
      <c r="E1358" s="32" t="n">
        <f aca="false">INDEX(Surface_Engine!$S$12:$S$72,$A1358+1)*IF($A1358&lt;$Q$1329,INDEX(Surface_Engine!$Z$12:$Z$72,$A1358+1),INDEX(Surface_Engine!$Z$12:$Z$72,$Q$1329+1))</f>
        <v>0.102390330226856</v>
      </c>
      <c r="F1358" s="48" t="n">
        <f aca="false">B1358*(IF($A1358&lt;$Q$1329,INDEX(Surface_Engine!$D$12:$D$72,$A1358+1)+(Surface_Engine!G248*12)*INDEX(Surface_Engine!$F$12:$F$72,$A1358+1)-(Surface_Engine!G248*12),1000*12*INDEX(Surface_Engine!$C$12:$C$72,$A1358+1)/(1+Assumptions!$B$10)^8+INDEX(Surface_Engine!$D$12:$D$72,$A1358+1)))*INDEX(Surface_Engine!$B$12:$B$72,$A1358+1)+F1359</f>
        <v>2959.32379587568</v>
      </c>
      <c r="G1358" s="48" t="n">
        <f aca="false">C1358*(IF($A1358&lt;$Q$1329,INDEX(Surface_Engine!$D$12:$D$72,$A1358+1)+(Surface_Engine!G248*12)*INDEX(Surface_Engine!$F$12:$F$72,$A1358+1)-(Surface_Engine!G248*12),1000*12*INDEX(Surface_Engine!$C$12:$C$72,$A1358+1)/(1+Assumptions!$B$10)^8+INDEX(Surface_Engine!$D$12:$D$72,$A1358+1)))*INDEX(Surface_Engine!$B$12:$B$72,$A1358+1)+G1359</f>
        <v>5621.8719567452</v>
      </c>
      <c r="H1358" s="48" t="n">
        <f aca="false">D1358*(IF($A1358&lt;$Q$1329,INDEX(Surface_Engine!$D$12:$D$72,$A1358+1)+(Surface_Engine!G248*12)*INDEX(Surface_Engine!$F$12:$F$72,$A1358+1)-(Surface_Engine!G248*12),1000*12*INDEX(Surface_Engine!$C$12:$C$72,$A1358+1)/(1+Assumptions!$B$10)^8+INDEX(Surface_Engine!$D$12:$D$72,$A1358+1)))*INDEX(Surface_Engine!$B$12:$B$72,$A1358+1)+H1359</f>
        <v>2768.56079133073</v>
      </c>
      <c r="I1358" s="48" t="n">
        <f aca="false">E1358*(IF($A1358&lt;$Q$1329,INDEX(Surface_Engine!$D$12:$D$72,$A1358+1)+(Surface_Engine!G248*12)*INDEX(Surface_Engine!$F$12:$F$72,$A1358+1)-(Surface_Engine!G248*12),1000*12*INDEX(Surface_Engine!$C$12:$C$72,$A1358+1)/(1+Assumptions!$B$10)^8+INDEX(Surface_Engine!$D$12:$D$72,$A1358+1)))*INDEX(Surface_Engine!$B$12:$B$72,$A1358+1)+I1359</f>
        <v>3160.79517223766</v>
      </c>
      <c r="J1358" s="48" t="n">
        <f aca="false">B1358*(IF($A1358&lt;$Q$1329,INDEX(Surface_Engine!$D$12:$D$72,$A1358+1)*(1+Assumptions!$B$24)+(Surface_Engine!G248*12)*INDEX(Surface_Engine!$F$12:$F$72,$A1358+1)-(Surface_Engine!G248*12),1000*12*INDEX(Surface_Engine!$C$12:$C$72,$A1358+1)/(1+Assumptions!$B$10)^8+INDEX(Surface_Engine!$D$12:$D$72,$A1358+1)*(1+Assumptions!$B$24)))*INDEX(Surface_Engine!$B$12:$B$72,$A1358+1)+J1359</f>
        <v>2962.03801404737</v>
      </c>
      <c r="K1358" s="12" t="n">
        <f aca="false">SQRT((IF(C1358&lt;=0,0,MAX(0,(B1358/C1358)*G1358/INDEX(Surface_Engine!$B$12:$B$72,$A1358+1)-F1358/INDEX(Surface_Engine!$B$12:$B$72,$A1358+1))))^2+(MAX(IF(D1358&lt;=0,0,MAX(0,(B1358/D1358)*H1358/INDEX(Surface_Engine!$B$12:$B$72,$A1358+1)-F1358/INDEX(Surface_Engine!$B$12:$B$72,$A1358+1))),IF(E1358&lt;=0,0,MAX(0,(B1358/E1358)*I1358/INDEX(Surface_Engine!$B$12:$B$72,$A1358+1)-F1358/INDEX(Surface_Engine!$B$12:$B$72,$A1358+1))),IF($A1358&lt;$Q$1329,MAX(0,-Assumptions!$B$22*(F1358/INDEX(Surface_Engine!$B$12:$B$72,$A1358+1))),0)))^2+(MAX(0,J1358/INDEX(Surface_Engine!$B$12:$B$72,$A1358+1)-(F1358/INDEX(Surface_Engine!$B$12:$B$72,$A1358+1))))^2+2*Assumptions!$B$26*(IF(C1358&lt;=0,0,MAX(0,(B1358/C1358)*G1358/INDEX(Surface_Engine!$B$12:$B$72,$A1358+1)-F1358/INDEX(Surface_Engine!$B$12:$B$72,$A1358+1))))*(MAX(IF(D1358&lt;=0,0,MAX(0,(B1358/D1358)*H1358/INDEX(Surface_Engine!$B$12:$B$72,$A1358+1)-F1358/INDEX(Surface_Engine!$B$12:$B$72,$A1358+1))),IF(E1358&lt;=0,0,MAX(0,(B1358/E1358)*I1358/INDEX(Surface_Engine!$B$12:$B$72,$A1358+1)-F1358/INDEX(Surface_Engine!$B$12:$B$72,$A1358+1))),IF($A1358&lt;$Q$1329,MAX(0,-Assumptions!$B$22*(F1358/INDEX(Surface_Engine!$B$12:$B$72,$A1358+1))),0)))+2*Assumptions!$B$27*(IF(C1358&lt;=0,0,MAX(0,(B1358/C1358)*G1358/INDEX(Surface_Engine!$B$12:$B$72,$A1358+1)-F1358/INDEX(Surface_Engine!$B$12:$B$72,$A1358+1))))*(MAX(0,J1358/INDEX(Surface_Engine!$B$12:$B$72,$A1358+1)-(F1358/INDEX(Surface_Engine!$B$12:$B$72,$A1358+1))))+2*Assumptions!$B$28*(MAX(IF(D1358&lt;=0,0,MAX(0,(B1358/D1358)*H1358/INDEX(Surface_Engine!$B$12:$B$72,$A1358+1)-F1358/INDEX(Surface_Engine!$B$12:$B$72,$A1358+1))),IF(E1358&lt;=0,0,MAX(0,(B1358/E1358)*I1358/INDEX(Surface_Engine!$B$12:$B$72,$A1358+1)-F1358/INDEX(Surface_Engine!$B$12:$B$72,$A1358+1))),IF($A1358&lt;$Q$1329,MAX(0,-Assumptions!$B$22*(F1358/INDEX(Surface_Engine!$B$12:$B$72,$A1358+1))),0)))*(MAX(0,J1358/INDEX(Surface_Engine!$B$12:$B$72,$A1358+1)-(F1358/INDEX(Surface_Engine!$B$12:$B$72,$A1358+1)))))</f>
        <v>1310.66305255582</v>
      </c>
      <c r="L1358" s="48" t="n">
        <f aca="false">K1358*INDEX(Surface_Engine!$B$12:$B$72,$A1358+1)+L1359</f>
        <v>2037.53494832174</v>
      </c>
      <c r="M1358" s="48" t="n">
        <f aca="false">M1357+B1357*(IF($A1357&lt;$Q$1329,(Surface_Engine!G248*12)-(Surface_Engine!G248*12)*INDEX(Surface_Engine!$F$12:$F$72,$A1357+1)-INDEX(Surface_Engine!$D$12:$D$72,$A1357+1),-(1000*12*INDEX(Surface_Engine!$C$12:$C$72,$A1357+1)/(1+Assumptions!$B$10)^8+INDEX(Surface_Engine!$D$12:$D$72,$A1357+1))))*INDEX(Surface_Engine!$B$12:$B$72,$A1357+1)</f>
        <v>6085.87226681532</v>
      </c>
      <c r="N1358" s="12" t="n">
        <f aca="false">IF(B1358&lt;=0,0,MAX(0,(K1358+Assumptions!$B$29*L1358/INDEX(Surface_Engine!$B$12:$B$72,$A1358+1)-(M1358/INDEX(Surface_Engine!$B$12:$B$72,$A1358+1)-(F1358/INDEX(Surface_Engine!$B$12:$B$72,$A1358+1))))/B1358))</f>
        <v>0</v>
      </c>
    </row>
    <row r="1359" customFormat="false" ht="15" hidden="false" customHeight="true" outlineLevel="0" collapsed="false">
      <c r="A1359" s="1" t="n">
        <v>28</v>
      </c>
      <c r="B1359" s="32" t="n">
        <f aca="false">INDEX(Surface_Engine!$S$12:$S$72,$A1359+1)*IF($A1359&lt;$Q$1329,INDEX(Surface_Engine!$E$12:$E$72,$A1359+1),INDEX(Surface_Engine!$E$12:$E$72,$Q$1329+1))</f>
        <v>0.0759752661220024</v>
      </c>
      <c r="C1359" s="32" t="n">
        <f aca="false">INDEX(Panel_Reserving!$G$8:$G$68,$A1359+1)*IF($A1359&lt;$Q$1329,INDEX(Surface_Engine!$E$12:$E$72,$A1359+1),INDEX(Surface_Engine!$E$12:$E$72,$Q$1329+1))</f>
        <v>0.127629158684508</v>
      </c>
      <c r="D1359" s="32" t="n">
        <f aca="false">INDEX(Surface_Engine!$S$12:$S$72,$A1359+1)*IF($A1359&lt;$Q$1329,INDEX(Surface_Engine!$Y$12:$Y$72,$A1359+1),INDEX(Surface_Engine!$Y$12:$Y$72,$Q$1329+1))</f>
        <v>0.0710777722902244</v>
      </c>
      <c r="E1359" s="32" t="n">
        <f aca="false">INDEX(Surface_Engine!$S$12:$S$72,$A1359+1)*IF($A1359&lt;$Q$1329,INDEX(Surface_Engine!$Z$12:$Z$72,$A1359+1),INDEX(Surface_Engine!$Z$12:$Z$72,$Q$1329+1))</f>
        <v>0.0811476779602744</v>
      </c>
      <c r="F1359" s="48" t="n">
        <f aca="false">B1359*(IF($A1359&lt;$Q$1329,INDEX(Surface_Engine!$D$12:$D$72,$A1359+1)+(Surface_Engine!G248*12)*INDEX(Surface_Engine!$F$12:$F$72,$A1359+1)-(Surface_Engine!G248*12),1000*12*INDEX(Surface_Engine!$C$12:$C$72,$A1359+1)/(1+Assumptions!$B$10)^8+INDEX(Surface_Engine!$D$12:$D$72,$A1359+1)))*INDEX(Surface_Engine!$B$12:$B$72,$A1359+1)+F1360</f>
        <v>2232.6531734773</v>
      </c>
      <c r="G1359" s="48" t="n">
        <f aca="false">C1359*(IF($A1359&lt;$Q$1329,INDEX(Surface_Engine!$D$12:$D$72,$A1359+1)+(Surface_Engine!G248*12)*INDEX(Surface_Engine!$F$12:$F$72,$A1359+1)-(Surface_Engine!G248*12),1000*12*INDEX(Surface_Engine!$C$12:$C$72,$A1359+1)/(1+Assumptions!$B$10)^8+INDEX(Surface_Engine!$D$12:$D$72,$A1359+1)))*INDEX(Surface_Engine!$B$12:$B$72,$A1359+1)+G1360</f>
        <v>4461.88584905882</v>
      </c>
      <c r="H1359" s="48" t="n">
        <f aca="false">D1359*(IF($A1359&lt;$Q$1329,INDEX(Surface_Engine!$D$12:$D$72,$A1359+1)+(Surface_Engine!G248*12)*INDEX(Surface_Engine!$F$12:$F$72,$A1359+1)-(Surface_Engine!G248*12),1000*12*INDEX(Surface_Engine!$C$12:$C$72,$A1359+1)/(1+Assumptions!$B$10)^8+INDEX(Surface_Engine!$D$12:$D$72,$A1359+1)))*INDEX(Surface_Engine!$B$12:$B$72,$A1359+1)+H1360</f>
        <v>2088.73258321512</v>
      </c>
      <c r="I1359" s="48" t="n">
        <f aca="false">E1359*(IF($A1359&lt;$Q$1329,INDEX(Surface_Engine!$D$12:$D$72,$A1359+1)+(Surface_Engine!G248*12)*INDEX(Surface_Engine!$F$12:$F$72,$A1359+1)-(Surface_Engine!G248*12),1000*12*INDEX(Surface_Engine!$C$12:$C$72,$A1359+1)/(1+Assumptions!$B$10)^8+INDEX(Surface_Engine!$D$12:$D$72,$A1359+1)))*INDEX(Surface_Engine!$B$12:$B$72,$A1359+1)+I1360</f>
        <v>2384.65266350482</v>
      </c>
      <c r="J1359" s="48" t="n">
        <f aca="false">B1359*(IF($A1359&lt;$Q$1329,INDEX(Surface_Engine!$D$12:$D$72,$A1359+1)*(1+Assumptions!$B$24)+(Surface_Engine!G248*12)*INDEX(Surface_Engine!$F$12:$F$72,$A1359+1)-(Surface_Engine!G248*12),1000*12*INDEX(Surface_Engine!$C$12:$C$72,$A1359+1)/(1+Assumptions!$B$10)^8+INDEX(Surface_Engine!$D$12:$D$72,$A1359+1)*(1+Assumptions!$B$24)))*INDEX(Surface_Engine!$B$12:$B$72,$A1359+1)+J1360</f>
        <v>2234.7094892766</v>
      </c>
      <c r="K1359" s="12" t="n">
        <f aca="false">SQRT((IF(C1359&lt;=0,0,MAX(0,(B1359/C1359)*G1359/INDEX(Surface_Engine!$B$12:$B$72,$A1359+1)-F1359/INDEX(Surface_Engine!$B$12:$B$72,$A1359+1))))^2+(MAX(IF(D1359&lt;=0,0,MAX(0,(B1359/D1359)*H1359/INDEX(Surface_Engine!$B$12:$B$72,$A1359+1)-F1359/INDEX(Surface_Engine!$B$12:$B$72,$A1359+1))),IF(E1359&lt;=0,0,MAX(0,(B1359/E1359)*I1359/INDEX(Surface_Engine!$B$12:$B$72,$A1359+1)-F1359/INDEX(Surface_Engine!$B$12:$B$72,$A1359+1))),IF($A1359&lt;$Q$1329,MAX(0,-Assumptions!$B$22*(F1359/INDEX(Surface_Engine!$B$12:$B$72,$A1359+1))),0)))^2+(MAX(0,J1359/INDEX(Surface_Engine!$B$12:$B$72,$A1359+1)-(F1359/INDEX(Surface_Engine!$B$12:$B$72,$A1359+1))))^2+2*Assumptions!$B$26*(IF(C1359&lt;=0,0,MAX(0,(B1359/C1359)*G1359/INDEX(Surface_Engine!$B$12:$B$72,$A1359+1)-F1359/INDEX(Surface_Engine!$B$12:$B$72,$A1359+1))))*(MAX(IF(D1359&lt;=0,0,MAX(0,(B1359/D1359)*H1359/INDEX(Surface_Engine!$B$12:$B$72,$A1359+1)-F1359/INDEX(Surface_Engine!$B$12:$B$72,$A1359+1))),IF(E1359&lt;=0,0,MAX(0,(B1359/E1359)*I1359/INDEX(Surface_Engine!$B$12:$B$72,$A1359+1)-F1359/INDEX(Surface_Engine!$B$12:$B$72,$A1359+1))),IF($A1359&lt;$Q$1329,MAX(0,-Assumptions!$B$22*(F1359/INDEX(Surface_Engine!$B$12:$B$72,$A1359+1))),0)))+2*Assumptions!$B$27*(IF(C1359&lt;=0,0,MAX(0,(B1359/C1359)*G1359/INDEX(Surface_Engine!$B$12:$B$72,$A1359+1)-F1359/INDEX(Surface_Engine!$B$12:$B$72,$A1359+1))))*(MAX(0,J1359/INDEX(Surface_Engine!$B$12:$B$72,$A1359+1)-(F1359/INDEX(Surface_Engine!$B$12:$B$72,$A1359+1))))+2*Assumptions!$B$28*(MAX(IF(D1359&lt;=0,0,MAX(0,(B1359/D1359)*H1359/INDEX(Surface_Engine!$B$12:$B$72,$A1359+1)-F1359/INDEX(Surface_Engine!$B$12:$B$72,$A1359+1))),IF(E1359&lt;=0,0,MAX(0,(B1359/E1359)*I1359/INDEX(Surface_Engine!$B$12:$B$72,$A1359+1)-F1359/INDEX(Surface_Engine!$B$12:$B$72,$A1359+1))),IF($A1359&lt;$Q$1329,MAX(0,-Assumptions!$B$22*(F1359/INDEX(Surface_Engine!$B$12:$B$72,$A1359+1))),0)))*(MAX(0,J1359/INDEX(Surface_Engine!$B$12:$B$72,$A1359+1)-(F1359/INDEX(Surface_Engine!$B$12:$B$72,$A1359+1)))))</f>
        <v>1018.55019401963</v>
      </c>
      <c r="L1359" s="48" t="n">
        <f aca="false">K1359*INDEX(Surface_Engine!$B$12:$B$72,$A1359+1)+L1360</f>
        <v>1474.36533369854</v>
      </c>
      <c r="M1359" s="48" t="n">
        <f aca="false">M1358+B1358*(IF($A1358&lt;$Q$1329,(Surface_Engine!G248*12)-(Surface_Engine!G248*12)*INDEX(Surface_Engine!$F$12:$F$72,$A1358+1)-INDEX(Surface_Engine!$D$12:$D$72,$A1358+1),-(1000*12*INDEX(Surface_Engine!$C$12:$C$72,$A1358+1)/(1+Assumptions!$B$10)^8+INDEX(Surface_Engine!$D$12:$D$72,$A1358+1))))*INDEX(Surface_Engine!$B$12:$B$72,$A1358+1)</f>
        <v>5359.20164441694</v>
      </c>
      <c r="N1359" s="12" t="n">
        <f aca="false">IF(B1359&lt;=0,0,MAX(0,(K1359+Assumptions!$B$29*L1359/INDEX(Surface_Engine!$B$12:$B$72,$A1359+1)-(M1359/INDEX(Surface_Engine!$B$12:$B$72,$A1359+1)-(F1359/INDEX(Surface_Engine!$B$12:$B$72,$A1359+1))))/B1359))</f>
        <v>0</v>
      </c>
    </row>
    <row r="1360" customFormat="false" ht="15" hidden="false" customHeight="true" outlineLevel="0" collapsed="false">
      <c r="A1360" s="1" t="n">
        <v>29</v>
      </c>
      <c r="B1360" s="32" t="n">
        <f aca="false">INDEX(Surface_Engine!$S$12:$S$72,$A1360+1)*IF($A1360&lt;$Q$1329,INDEX(Surface_Engine!$E$12:$E$72,$A1360+1),INDEX(Surface_Engine!$E$12:$E$72,$Q$1329+1))</f>
        <v>0.059438703435801</v>
      </c>
      <c r="C1360" s="32" t="n">
        <f aca="false">INDEX(Panel_Reserving!$G$8:$G$68,$A1360+1)*IF($A1360&lt;$Q$1329,INDEX(Surface_Engine!$E$12:$E$72,$A1360+1),INDEX(Surface_Engine!$E$12:$E$72,$Q$1329+1))</f>
        <v>0.105405635783944</v>
      </c>
      <c r="D1360" s="32" t="n">
        <f aca="false">INDEX(Surface_Engine!$S$12:$S$72,$A1360+1)*IF($A1360&lt;$Q$1329,INDEX(Surface_Engine!$Y$12:$Y$72,$A1360+1),INDEX(Surface_Engine!$Y$12:$Y$72,$Q$1329+1))</f>
        <v>0.0556071843335413</v>
      </c>
      <c r="E1360" s="32" t="n">
        <f aca="false">INDEX(Surface_Engine!$S$12:$S$72,$A1360+1)*IF($A1360&lt;$Q$1329,INDEX(Surface_Engine!$Z$12:$Z$72,$A1360+1),INDEX(Surface_Engine!$Z$12:$Z$72,$Q$1329+1))</f>
        <v>0.0634853026646761</v>
      </c>
      <c r="F1360" s="48" t="n">
        <f aca="false">B1360*(IF($A1360&lt;$Q$1329,INDEX(Surface_Engine!$D$12:$D$72,$A1360+1)+(Surface_Engine!G248*12)*INDEX(Surface_Engine!$F$12:$F$72,$A1360+1)-(Surface_Engine!G248*12),1000*12*INDEX(Surface_Engine!$C$12:$C$72,$A1360+1)/(1+Assumptions!$B$10)^8+INDEX(Surface_Engine!$D$12:$D$72,$A1360+1)))*INDEX(Surface_Engine!$B$12:$B$72,$A1360+1)+F1361</f>
        <v>1663.60191901758</v>
      </c>
      <c r="G1360" s="48" t="n">
        <f aca="false">C1360*(IF($A1360&lt;$Q$1329,INDEX(Surface_Engine!$D$12:$D$72,$A1360+1)+(Surface_Engine!G248*12)*INDEX(Surface_Engine!$F$12:$F$72,$A1360+1)-(Surface_Engine!G248*12),1000*12*INDEX(Surface_Engine!$C$12:$C$72,$A1360+1)/(1+Assumptions!$B$10)^8+INDEX(Surface_Engine!$D$12:$D$72,$A1360+1)))*INDEX(Surface_Engine!$B$12:$B$72,$A1360+1)+G1361</f>
        <v>3505.94931125938</v>
      </c>
      <c r="H1360" s="48" t="n">
        <f aca="false">D1360*(IF($A1360&lt;$Q$1329,INDEX(Surface_Engine!$D$12:$D$72,$A1360+1)+(Surface_Engine!G248*12)*INDEX(Surface_Engine!$F$12:$F$72,$A1360+1)-(Surface_Engine!G248*12),1000*12*INDEX(Surface_Engine!$C$12:$C$72,$A1360+1)/(1+Assumptions!$B$10)^8+INDEX(Surface_Engine!$D$12:$D$72,$A1360+1)))*INDEX(Surface_Engine!$B$12:$B$72,$A1360+1)+H1361</f>
        <v>1556.36333266186</v>
      </c>
      <c r="I1360" s="48" t="n">
        <f aca="false">E1360*(IF($A1360&lt;$Q$1329,INDEX(Surface_Engine!$D$12:$D$72,$A1360+1)+(Surface_Engine!G248*12)*INDEX(Surface_Engine!$F$12:$F$72,$A1360+1)-(Surface_Engine!G248*12),1000*12*INDEX(Surface_Engine!$C$12:$C$72,$A1360+1)/(1+Assumptions!$B$10)^8+INDEX(Surface_Engine!$D$12:$D$72,$A1360+1)))*INDEX(Surface_Engine!$B$12:$B$72,$A1360+1)+I1361</f>
        <v>1776.86028189426</v>
      </c>
      <c r="J1360" s="48" t="n">
        <f aca="false">B1360*(IF($A1360&lt;$Q$1329,INDEX(Surface_Engine!$D$12:$D$72,$A1360+1)*(1+Assumptions!$B$24)+(Surface_Engine!G248*12)*INDEX(Surface_Engine!$F$12:$F$72,$A1360+1)-(Surface_Engine!G248*12),1000*12*INDEX(Surface_Engine!$C$12:$C$72,$A1360+1)/(1+Assumptions!$B$10)^8+INDEX(Surface_Engine!$D$12:$D$72,$A1360+1)*(1+Assumptions!$B$24)))*INDEX(Surface_Engine!$B$12:$B$72,$A1360+1)+J1361</f>
        <v>1665.14053304155</v>
      </c>
      <c r="K1360" s="12" t="n">
        <f aca="false">SQRT((IF(C1360&lt;=0,0,MAX(0,(B1360/C1360)*G1360/INDEX(Surface_Engine!$B$12:$B$72,$A1360+1)-F1360/INDEX(Surface_Engine!$B$12:$B$72,$A1360+1))))^2+(MAX(IF(D1360&lt;=0,0,MAX(0,(B1360/D1360)*H1360/INDEX(Surface_Engine!$B$12:$B$72,$A1360+1)-F1360/INDEX(Surface_Engine!$B$12:$B$72,$A1360+1))),IF(E1360&lt;=0,0,MAX(0,(B1360/E1360)*I1360/INDEX(Surface_Engine!$B$12:$B$72,$A1360+1)-F1360/INDEX(Surface_Engine!$B$12:$B$72,$A1360+1))),IF($A1360&lt;$Q$1329,MAX(0,-Assumptions!$B$22*(F1360/INDEX(Surface_Engine!$B$12:$B$72,$A1360+1))),0)))^2+(MAX(0,J1360/INDEX(Surface_Engine!$B$12:$B$72,$A1360+1)-(F1360/INDEX(Surface_Engine!$B$12:$B$72,$A1360+1))))^2+2*Assumptions!$B$26*(IF(C1360&lt;=0,0,MAX(0,(B1360/C1360)*G1360/INDEX(Surface_Engine!$B$12:$B$72,$A1360+1)-F1360/INDEX(Surface_Engine!$B$12:$B$72,$A1360+1))))*(MAX(IF(D1360&lt;=0,0,MAX(0,(B1360/D1360)*H1360/INDEX(Surface_Engine!$B$12:$B$72,$A1360+1)-F1360/INDEX(Surface_Engine!$B$12:$B$72,$A1360+1))),IF(E1360&lt;=0,0,MAX(0,(B1360/E1360)*I1360/INDEX(Surface_Engine!$B$12:$B$72,$A1360+1)-F1360/INDEX(Surface_Engine!$B$12:$B$72,$A1360+1))),IF($A1360&lt;$Q$1329,MAX(0,-Assumptions!$B$22*(F1360/INDEX(Surface_Engine!$B$12:$B$72,$A1360+1))),0)))+2*Assumptions!$B$27*(IF(C1360&lt;=0,0,MAX(0,(B1360/C1360)*G1360/INDEX(Surface_Engine!$B$12:$B$72,$A1360+1)-F1360/INDEX(Surface_Engine!$B$12:$B$72,$A1360+1))))*(MAX(0,J1360/INDEX(Surface_Engine!$B$12:$B$72,$A1360+1)-(F1360/INDEX(Surface_Engine!$B$12:$B$72,$A1360+1))))+2*Assumptions!$B$28*(MAX(IF(D1360&lt;=0,0,MAX(0,(B1360/D1360)*H1360/INDEX(Surface_Engine!$B$12:$B$72,$A1360+1)-F1360/INDEX(Surface_Engine!$B$12:$B$72,$A1360+1))),IF(E1360&lt;=0,0,MAX(0,(B1360/E1360)*I1360/INDEX(Surface_Engine!$B$12:$B$72,$A1360+1)-F1360/INDEX(Surface_Engine!$B$12:$B$72,$A1360+1))),IF($A1360&lt;$Q$1329,MAX(0,-Assumptions!$B$22*(F1360/INDEX(Surface_Engine!$B$12:$B$72,$A1360+1))),0)))*(MAX(0,J1360/INDEX(Surface_Engine!$B$12:$B$72,$A1360+1)-(F1360/INDEX(Surface_Engine!$B$12:$B$72,$A1360+1)))))</f>
        <v>778.35252151641</v>
      </c>
      <c r="L1360" s="48" t="n">
        <f aca="false">K1360*INDEX(Surface_Engine!$B$12:$B$72,$A1360+1)+L1361</f>
        <v>1050.42203298656</v>
      </c>
      <c r="M1360" s="48" t="n">
        <f aca="false">M1359+B1359*(IF($A1359&lt;$Q$1329,(Surface_Engine!G248*12)-(Surface_Engine!G248*12)*INDEX(Surface_Engine!$F$12:$F$72,$A1359+1)-INDEX(Surface_Engine!$D$12:$D$72,$A1359+1),-(1000*12*INDEX(Surface_Engine!$C$12:$C$72,$A1359+1)/(1+Assumptions!$B$10)^8+INDEX(Surface_Engine!$D$12:$D$72,$A1359+1))))*INDEX(Surface_Engine!$B$12:$B$72,$A1359+1)</f>
        <v>4790.15038995722</v>
      </c>
      <c r="N1360" s="12" t="n">
        <f aca="false">IF(B1360&lt;=0,0,MAX(0,(K1360+Assumptions!$B$29*L1360/INDEX(Surface_Engine!$B$12:$B$72,$A1360+1)-(M1360/INDEX(Surface_Engine!$B$12:$B$72,$A1360+1)-(F1360/INDEX(Surface_Engine!$B$12:$B$72,$A1360+1))))/B1360))</f>
        <v>0</v>
      </c>
    </row>
    <row r="1361" customFormat="false" ht="15" hidden="false" customHeight="true" outlineLevel="0" collapsed="false">
      <c r="A1361" s="1" t="n">
        <v>30</v>
      </c>
      <c r="B1361" s="32" t="n">
        <f aca="false">INDEX(Surface_Engine!$S$12:$S$72,$A1361+1)*IF($A1361&lt;$Q$1329,INDEX(Surface_Engine!$E$12:$E$72,$A1361+1),INDEX(Surface_Engine!$E$12:$E$72,$Q$1329+1))</f>
        <v>0.0458493657045273</v>
      </c>
      <c r="C1361" s="32" t="n">
        <f aca="false">INDEX(Panel_Reserving!$G$8:$G$68,$A1361+1)*IF($A1361&lt;$Q$1329,INDEX(Surface_Engine!$E$12:$E$72,$A1361+1),INDEX(Surface_Engine!$E$12:$E$72,$Q$1329+1))</f>
        <v>0.0861267121109904</v>
      </c>
      <c r="D1361" s="32" t="n">
        <f aca="false">INDEX(Surface_Engine!$S$12:$S$72,$A1361+1)*IF($A1361&lt;$Q$1329,INDEX(Surface_Engine!$Y$12:$Y$72,$A1361+1),INDEX(Surface_Engine!$Y$12:$Y$72,$Q$1329+1))</f>
        <v>0.0428938382389404</v>
      </c>
      <c r="E1361" s="32" t="n">
        <f aca="false">INDEX(Surface_Engine!$S$12:$S$72,$A1361+1)*IF($A1361&lt;$Q$1329,INDEX(Surface_Engine!$Z$12:$Z$72,$A1361+1),INDEX(Surface_Engine!$Z$12:$Z$72,$Q$1329+1))</f>
        <v>0.0489708000087723</v>
      </c>
      <c r="F1361" s="48" t="n">
        <f aca="false">B1361*(IF($A1361&lt;$Q$1329,INDEX(Surface_Engine!$D$12:$D$72,$A1361+1)+(Surface_Engine!G248*12)*INDEX(Surface_Engine!$F$12:$F$72,$A1361+1)-(Surface_Engine!G248*12),1000*12*INDEX(Surface_Engine!$C$12:$C$72,$A1361+1)/(1+Assumptions!$B$10)^8+INDEX(Surface_Engine!$D$12:$D$72,$A1361+1)))*INDEX(Surface_Engine!$B$12:$B$72,$A1361+1)+F1362</f>
        <v>1223.72783752203</v>
      </c>
      <c r="G1361" s="48" t="n">
        <f aca="false">C1361*(IF($A1361&lt;$Q$1329,INDEX(Surface_Engine!$D$12:$D$72,$A1361+1)+(Surface_Engine!G248*12)*INDEX(Surface_Engine!$F$12:$F$72,$A1361+1)-(Surface_Engine!G248*12),1000*12*INDEX(Surface_Engine!$C$12:$C$72,$A1361+1)/(1+Assumptions!$B$10)^8+INDEX(Surface_Engine!$D$12:$D$72,$A1361+1)))*INDEX(Surface_Engine!$B$12:$B$72,$A1361+1)+G1362</f>
        <v>2725.89852709322</v>
      </c>
      <c r="H1361" s="48" t="n">
        <f aca="false">D1361*(IF($A1361&lt;$Q$1329,INDEX(Surface_Engine!$D$12:$D$72,$A1361+1)+(Surface_Engine!G248*12)*INDEX(Surface_Engine!$F$12:$F$72,$A1361+1)-(Surface_Engine!G248*12),1000*12*INDEX(Surface_Engine!$C$12:$C$72,$A1361+1)/(1+Assumptions!$B$10)^8+INDEX(Surface_Engine!$D$12:$D$72,$A1361+1)))*INDEX(Surface_Engine!$B$12:$B$72,$A1361+1)+H1362</f>
        <v>1144.84427656924</v>
      </c>
      <c r="I1361" s="48" t="n">
        <f aca="false">E1361*(IF($A1361&lt;$Q$1329,INDEX(Surface_Engine!$D$12:$D$72,$A1361+1)+(Surface_Engine!G248*12)*INDEX(Surface_Engine!$F$12:$F$72,$A1361+1)-(Surface_Engine!G248*12),1000*12*INDEX(Surface_Engine!$C$12:$C$72,$A1361+1)/(1+Assumptions!$B$10)^8+INDEX(Surface_Engine!$D$12:$D$72,$A1361+1)))*INDEX(Surface_Engine!$B$12:$B$72,$A1361+1)+I1362</f>
        <v>1307.03948191242</v>
      </c>
      <c r="J1361" s="48" t="n">
        <f aca="false">B1361*(IF($A1361&lt;$Q$1329,INDEX(Surface_Engine!$D$12:$D$72,$A1361+1)*(1+Assumptions!$B$24)+(Surface_Engine!G248*12)*INDEX(Surface_Engine!$F$12:$F$72,$A1361+1)-(Surface_Engine!G248*12),1000*12*INDEX(Surface_Engine!$C$12:$C$72,$A1361+1)/(1+Assumptions!$B$10)^8+INDEX(Surface_Engine!$D$12:$D$72,$A1361+1)*(1+Assumptions!$B$24)))*INDEX(Surface_Engine!$B$12:$B$72,$A1361+1)+J1362</f>
        <v>1224.86432664372</v>
      </c>
      <c r="K1361" s="12" t="n">
        <f aca="false">SQRT((IF(C1361&lt;=0,0,MAX(0,(B1361/C1361)*G1361/INDEX(Surface_Engine!$B$12:$B$72,$A1361+1)-F1361/INDEX(Surface_Engine!$B$12:$B$72,$A1361+1))))^2+(MAX(IF(D1361&lt;=0,0,MAX(0,(B1361/D1361)*H1361/INDEX(Surface_Engine!$B$12:$B$72,$A1361+1)-F1361/INDEX(Surface_Engine!$B$12:$B$72,$A1361+1))),IF(E1361&lt;=0,0,MAX(0,(B1361/E1361)*I1361/INDEX(Surface_Engine!$B$12:$B$72,$A1361+1)-F1361/INDEX(Surface_Engine!$B$12:$B$72,$A1361+1))),IF($A1361&lt;$Q$1329,MAX(0,-Assumptions!$B$22*(F1361/INDEX(Surface_Engine!$B$12:$B$72,$A1361+1))),0)))^2+(MAX(0,J1361/INDEX(Surface_Engine!$B$12:$B$72,$A1361+1)-(F1361/INDEX(Surface_Engine!$B$12:$B$72,$A1361+1))))^2+2*Assumptions!$B$26*(IF(C1361&lt;=0,0,MAX(0,(B1361/C1361)*G1361/INDEX(Surface_Engine!$B$12:$B$72,$A1361+1)-F1361/INDEX(Surface_Engine!$B$12:$B$72,$A1361+1))))*(MAX(IF(D1361&lt;=0,0,MAX(0,(B1361/D1361)*H1361/INDEX(Surface_Engine!$B$12:$B$72,$A1361+1)-F1361/INDEX(Surface_Engine!$B$12:$B$72,$A1361+1))),IF(E1361&lt;=0,0,MAX(0,(B1361/E1361)*I1361/INDEX(Surface_Engine!$B$12:$B$72,$A1361+1)-F1361/INDEX(Surface_Engine!$B$12:$B$72,$A1361+1))),IF($A1361&lt;$Q$1329,MAX(0,-Assumptions!$B$22*(F1361/INDEX(Surface_Engine!$B$12:$B$72,$A1361+1))),0)))+2*Assumptions!$B$27*(IF(C1361&lt;=0,0,MAX(0,(B1361/C1361)*G1361/INDEX(Surface_Engine!$B$12:$B$72,$A1361+1)-F1361/INDEX(Surface_Engine!$B$12:$B$72,$A1361+1))))*(MAX(0,J1361/INDEX(Surface_Engine!$B$12:$B$72,$A1361+1)-(F1361/INDEX(Surface_Engine!$B$12:$B$72,$A1361+1))))+2*Assumptions!$B$28*(MAX(IF(D1361&lt;=0,0,MAX(0,(B1361/D1361)*H1361/INDEX(Surface_Engine!$B$12:$B$72,$A1361+1)-F1361/INDEX(Surface_Engine!$B$12:$B$72,$A1361+1))),IF(E1361&lt;=0,0,MAX(0,(B1361/E1361)*I1361/INDEX(Surface_Engine!$B$12:$B$72,$A1361+1)-F1361/INDEX(Surface_Engine!$B$12:$B$72,$A1361+1))),IF($A1361&lt;$Q$1329,MAX(0,-Assumptions!$B$22*(F1361/INDEX(Surface_Engine!$B$12:$B$72,$A1361+1))),0)))*(MAX(0,J1361/INDEX(Surface_Engine!$B$12:$B$72,$A1361+1)-(F1361/INDEX(Surface_Engine!$B$12:$B$72,$A1361+1)))))</f>
        <v>583.049275898349</v>
      </c>
      <c r="L1361" s="48" t="n">
        <f aca="false">K1361*INDEX(Surface_Engine!$B$12:$B$72,$A1361+1)+L1362</f>
        <v>736.615465170056</v>
      </c>
      <c r="M1361" s="48" t="n">
        <f aca="false">M1360+B1360*(IF($A1360&lt;$Q$1329,(Surface_Engine!G248*12)-(Surface_Engine!G248*12)*INDEX(Surface_Engine!$F$12:$F$72,$A1360+1)-INDEX(Surface_Engine!$D$12:$D$72,$A1360+1),-(1000*12*INDEX(Surface_Engine!$C$12:$C$72,$A1360+1)/(1+Assumptions!$B$10)^8+INDEX(Surface_Engine!$D$12:$D$72,$A1360+1))))*INDEX(Surface_Engine!$B$12:$B$72,$A1360+1)</f>
        <v>4350.27630846167</v>
      </c>
      <c r="N1361" s="12" t="n">
        <f aca="false">IF(B1361&lt;=0,0,MAX(0,(K1361+Assumptions!$B$29*L1361/INDEX(Surface_Engine!$B$12:$B$72,$A1361+1)-(M1361/INDEX(Surface_Engine!$B$12:$B$72,$A1361+1)-(F1361/INDEX(Surface_Engine!$B$12:$B$72,$A1361+1))))/B1361))</f>
        <v>0</v>
      </c>
    </row>
    <row r="1362" customFormat="false" ht="15" hidden="false" customHeight="true" outlineLevel="0" collapsed="false">
      <c r="A1362" s="1" t="n">
        <v>31</v>
      </c>
      <c r="B1362" s="32" t="n">
        <f aca="false">INDEX(Surface_Engine!$S$12:$S$72,$A1362+1)*IF($A1362&lt;$Q$1329,INDEX(Surface_Engine!$E$12:$E$72,$A1362+1),INDEX(Surface_Engine!$E$12:$E$72,$Q$1329+1))</f>
        <v>0.0348083901461969</v>
      </c>
      <c r="C1362" s="32" t="n">
        <f aca="false">INDEX(Panel_Reserving!$G$8:$G$68,$A1362+1)*IF($A1362&lt;$Q$1329,INDEX(Surface_Engine!$E$12:$E$72,$A1362+1),INDEX(Surface_Engine!$E$12:$E$72,$Q$1329+1))</f>
        <v>0.069534588600014</v>
      </c>
      <c r="D1362" s="32" t="n">
        <f aca="false">INDEX(Surface_Engine!$S$12:$S$72,$A1362+1)*IF($A1362&lt;$Q$1329,INDEX(Surface_Engine!$Y$12:$Y$72,$A1362+1),INDEX(Surface_Engine!$Y$12:$Y$72,$Q$1329+1))</f>
        <v>0.0325645825922836</v>
      </c>
      <c r="E1362" s="32" t="n">
        <f aca="false">INDEX(Surface_Engine!$S$12:$S$72,$A1362+1)*IF($A1362&lt;$Q$1329,INDEX(Surface_Engine!$Z$12:$Z$72,$A1362+1),INDEX(Surface_Engine!$Z$12:$Z$72,$Q$1329+1))</f>
        <v>0.0371781525498489</v>
      </c>
      <c r="F1362" s="48" t="n">
        <f aca="false">B1362*(IF($A1362&lt;$Q$1329,INDEX(Surface_Engine!$D$12:$D$72,$A1362+1)+(Surface_Engine!G248*12)*INDEX(Surface_Engine!$F$12:$F$72,$A1362+1)-(Surface_Engine!G248*12),1000*12*INDEX(Surface_Engine!$C$12:$C$72,$A1362+1)/(1+Assumptions!$B$10)^8+INDEX(Surface_Engine!$D$12:$D$72,$A1362+1)))*INDEX(Surface_Engine!$B$12:$B$72,$A1362+1)+F1363</f>
        <v>888.488070065385</v>
      </c>
      <c r="G1362" s="48" t="n">
        <f aca="false">C1362*(IF($A1362&lt;$Q$1329,INDEX(Surface_Engine!$D$12:$D$72,$A1362+1)+(Surface_Engine!G248*12)*INDEX(Surface_Engine!$F$12:$F$72,$A1362+1)-(Surface_Engine!G248*12),1000*12*INDEX(Surface_Engine!$C$12:$C$72,$A1362+1)/(1+Assumptions!$B$10)^8+INDEX(Surface_Engine!$D$12:$D$72,$A1362+1)))*INDEX(Surface_Engine!$B$12:$B$72,$A1362+1)+G1363</f>
        <v>2096.16028543544</v>
      </c>
      <c r="H1362" s="48" t="n">
        <f aca="false">D1362*(IF($A1362&lt;$Q$1329,INDEX(Surface_Engine!$D$12:$D$72,$A1362+1)+(Surface_Engine!G248*12)*INDEX(Surface_Engine!$F$12:$F$72,$A1362+1)-(Surface_Engine!G248*12),1000*12*INDEX(Surface_Engine!$C$12:$C$72,$A1362+1)/(1+Assumptions!$B$10)^8+INDEX(Surface_Engine!$D$12:$D$72,$A1362+1)))*INDEX(Surface_Engine!$B$12:$B$72,$A1362+1)+H1363</f>
        <v>831.214630104463</v>
      </c>
      <c r="I1362" s="48" t="n">
        <f aca="false">E1362*(IF($A1362&lt;$Q$1329,INDEX(Surface_Engine!$D$12:$D$72,$A1362+1)+(Surface_Engine!G248*12)*INDEX(Surface_Engine!$F$12:$F$72,$A1362+1)-(Surface_Engine!G248*12),1000*12*INDEX(Surface_Engine!$C$12:$C$72,$A1362+1)/(1+Assumptions!$B$10)^8+INDEX(Surface_Engine!$D$12:$D$72,$A1362+1)))*INDEX(Surface_Engine!$B$12:$B$72,$A1362+1)+I1363</f>
        <v>948.976521720031</v>
      </c>
      <c r="J1362" s="48" t="n">
        <f aca="false">B1362*(IF($A1362&lt;$Q$1329,INDEX(Surface_Engine!$D$12:$D$72,$A1362+1)*(1+Assumptions!$B$24)+(Surface_Engine!G248*12)*INDEX(Surface_Engine!$F$12:$F$72,$A1362+1)-(Surface_Engine!G248*12),1000*12*INDEX(Surface_Engine!$C$12:$C$72,$A1362+1)/(1+Assumptions!$B$10)^8+INDEX(Surface_Engine!$D$12:$D$72,$A1362+1)*(1+Assumptions!$B$24)))*INDEX(Surface_Engine!$B$12:$B$72,$A1362+1)+J1363</f>
        <v>889.316600571775</v>
      </c>
      <c r="K1362" s="12" t="n">
        <f aca="false">SQRT((IF(C1362&lt;=0,0,MAX(0,(B1362/C1362)*G1362/INDEX(Surface_Engine!$B$12:$B$72,$A1362+1)-F1362/INDEX(Surface_Engine!$B$12:$B$72,$A1362+1))))^2+(MAX(IF(D1362&lt;=0,0,MAX(0,(B1362/D1362)*H1362/INDEX(Surface_Engine!$B$12:$B$72,$A1362+1)-F1362/INDEX(Surface_Engine!$B$12:$B$72,$A1362+1))),IF(E1362&lt;=0,0,MAX(0,(B1362/E1362)*I1362/INDEX(Surface_Engine!$B$12:$B$72,$A1362+1)-F1362/INDEX(Surface_Engine!$B$12:$B$72,$A1362+1))),IF($A1362&lt;$Q$1329,MAX(0,-Assumptions!$B$22*(F1362/INDEX(Surface_Engine!$B$12:$B$72,$A1362+1))),0)))^2+(MAX(0,J1362/INDEX(Surface_Engine!$B$12:$B$72,$A1362+1)-(F1362/INDEX(Surface_Engine!$B$12:$B$72,$A1362+1))))^2+2*Assumptions!$B$26*(IF(C1362&lt;=0,0,MAX(0,(B1362/C1362)*G1362/INDEX(Surface_Engine!$B$12:$B$72,$A1362+1)-F1362/INDEX(Surface_Engine!$B$12:$B$72,$A1362+1))))*(MAX(IF(D1362&lt;=0,0,MAX(0,(B1362/D1362)*H1362/INDEX(Surface_Engine!$B$12:$B$72,$A1362+1)-F1362/INDEX(Surface_Engine!$B$12:$B$72,$A1362+1))),IF(E1362&lt;=0,0,MAX(0,(B1362/E1362)*I1362/INDEX(Surface_Engine!$B$12:$B$72,$A1362+1)-F1362/INDEX(Surface_Engine!$B$12:$B$72,$A1362+1))),IF($A1362&lt;$Q$1329,MAX(0,-Assumptions!$B$22*(F1362/INDEX(Surface_Engine!$B$12:$B$72,$A1362+1))),0)))+2*Assumptions!$B$27*(IF(C1362&lt;=0,0,MAX(0,(B1362/C1362)*G1362/INDEX(Surface_Engine!$B$12:$B$72,$A1362+1)-F1362/INDEX(Surface_Engine!$B$12:$B$72,$A1362+1))))*(MAX(0,J1362/INDEX(Surface_Engine!$B$12:$B$72,$A1362+1)-(F1362/INDEX(Surface_Engine!$B$12:$B$72,$A1362+1))))+2*Assumptions!$B$28*(MAX(IF(D1362&lt;=0,0,MAX(0,(B1362/D1362)*H1362/INDEX(Surface_Engine!$B$12:$B$72,$A1362+1)-F1362/INDEX(Surface_Engine!$B$12:$B$72,$A1362+1))),IF(E1362&lt;=0,0,MAX(0,(B1362/E1362)*I1362/INDEX(Surface_Engine!$B$12:$B$72,$A1362+1)-F1362/INDEX(Surface_Engine!$B$12:$B$72,$A1362+1))),IF($A1362&lt;$Q$1329,MAX(0,-Assumptions!$B$22*(F1362/INDEX(Surface_Engine!$B$12:$B$72,$A1362+1))),0)))*(MAX(0,J1362/INDEX(Surface_Engine!$B$12:$B$72,$A1362+1)-(F1362/INDEX(Surface_Engine!$B$12:$B$72,$A1362+1)))))</f>
        <v>425.64501471426</v>
      </c>
      <c r="L1362" s="48" t="n">
        <f aca="false">K1362*INDEX(Surface_Engine!$B$12:$B$72,$A1362+1)+L1363</f>
        <v>508.930437642848</v>
      </c>
      <c r="M1362" s="48" t="n">
        <f aca="false">M1361+B1361*(IF($A1361&lt;$Q$1329,(Surface_Engine!G248*12)-(Surface_Engine!G248*12)*INDEX(Surface_Engine!$F$12:$F$72,$A1361+1)-INDEX(Surface_Engine!$D$12:$D$72,$A1361+1),-(1000*12*INDEX(Surface_Engine!$C$12:$C$72,$A1361+1)/(1+Assumptions!$B$10)^8+INDEX(Surface_Engine!$D$12:$D$72,$A1361+1))))*INDEX(Surface_Engine!$B$12:$B$72,$A1361+1)</f>
        <v>4015.03654100503</v>
      </c>
      <c r="N1362" s="12" t="n">
        <f aca="false">IF(B1362&lt;=0,0,MAX(0,(K1362+Assumptions!$B$29*L1362/INDEX(Surface_Engine!$B$12:$B$72,$A1362+1)-(M1362/INDEX(Surface_Engine!$B$12:$B$72,$A1362+1)-(F1362/INDEX(Surface_Engine!$B$12:$B$72,$A1362+1))))/B1362))</f>
        <v>0</v>
      </c>
    </row>
    <row r="1363" customFormat="false" ht="15" hidden="false" customHeight="true" outlineLevel="0" collapsed="false">
      <c r="A1363" s="1" t="n">
        <v>32</v>
      </c>
      <c r="B1363" s="32" t="n">
        <f aca="false">INDEX(Surface_Engine!$S$12:$S$72,$A1363+1)*IF($A1363&lt;$Q$1329,INDEX(Surface_Engine!$E$12:$E$72,$A1363+1),INDEX(Surface_Engine!$E$12:$E$72,$Q$1329+1))</f>
        <v>0.0259394895070986</v>
      </c>
      <c r="C1363" s="32" t="n">
        <f aca="false">INDEX(Panel_Reserving!$G$8:$G$68,$A1363+1)*IF($A1363&lt;$Q$1329,INDEX(Surface_Engine!$E$12:$E$72,$A1363+1),INDEX(Surface_Engine!$E$12:$E$72,$Q$1329+1))</f>
        <v>0.0553611010084546</v>
      </c>
      <c r="D1363" s="32" t="n">
        <f aca="false">INDEX(Surface_Engine!$S$12:$S$72,$A1363+1)*IF($A1363&lt;$Q$1329,INDEX(Surface_Engine!$Y$12:$Y$72,$A1363+1),INDEX(Surface_Engine!$Y$12:$Y$72,$Q$1329+1))</f>
        <v>0.0242673862510668</v>
      </c>
      <c r="E1363" s="32" t="n">
        <f aca="false">INDEX(Surface_Engine!$S$12:$S$72,$A1363+1)*IF($A1363&lt;$Q$1329,INDEX(Surface_Engine!$Z$12:$Z$72,$A1363+1),INDEX(Surface_Engine!$Z$12:$Z$72,$Q$1329+1))</f>
        <v>0.0277054553201015</v>
      </c>
      <c r="F1363" s="48" t="n">
        <f aca="false">B1363*(IF($A1363&lt;$Q$1329,INDEX(Surface_Engine!$D$12:$D$72,$A1363+1)+(Surface_Engine!G248*12)*INDEX(Surface_Engine!$F$12:$F$72,$A1363+1)-(Surface_Engine!G248*12),1000*12*INDEX(Surface_Engine!$C$12:$C$72,$A1363+1)/(1+Assumptions!$B$10)^8+INDEX(Surface_Engine!$D$12:$D$72,$A1363+1)))*INDEX(Surface_Engine!$B$12:$B$72,$A1363+1)+F1364</f>
        <v>636.961986348936</v>
      </c>
      <c r="G1363" s="48" t="n">
        <f aca="false">C1363*(IF($A1363&lt;$Q$1329,INDEX(Surface_Engine!$D$12:$D$72,$A1363+1)+(Surface_Engine!G248*12)*INDEX(Surface_Engine!$F$12:$F$72,$A1363+1)-(Surface_Engine!G248*12),1000*12*INDEX(Surface_Engine!$C$12:$C$72,$A1363+1)/(1+Assumptions!$B$10)^8+INDEX(Surface_Engine!$D$12:$D$72,$A1363+1)))*INDEX(Surface_Engine!$B$12:$B$72,$A1363+1)+G1364</f>
        <v>1593.70203672189</v>
      </c>
      <c r="H1363" s="48" t="n">
        <f aca="false">D1363*(IF($A1363&lt;$Q$1329,INDEX(Surface_Engine!$D$12:$D$72,$A1363+1)+(Surface_Engine!G248*12)*INDEX(Surface_Engine!$F$12:$F$72,$A1363+1)-(Surface_Engine!G248*12),1000*12*INDEX(Surface_Engine!$C$12:$C$72,$A1363+1)/(1+Assumptions!$B$10)^8+INDEX(Surface_Engine!$D$12:$D$72,$A1363+1)))*INDEX(Surface_Engine!$B$12:$B$72,$A1363+1)+H1364</f>
        <v>595.90234209298</v>
      </c>
      <c r="I1363" s="48" t="n">
        <f aca="false">E1363*(IF($A1363&lt;$Q$1329,INDEX(Surface_Engine!$D$12:$D$72,$A1363+1)+(Surface_Engine!G248*12)*INDEX(Surface_Engine!$F$12:$F$72,$A1363+1)-(Surface_Engine!G248*12),1000*12*INDEX(Surface_Engine!$C$12:$C$72,$A1363+1)/(1+Assumptions!$B$10)^8+INDEX(Surface_Engine!$D$12:$D$72,$A1363+1)))*INDEX(Surface_Engine!$B$12:$B$72,$A1363+1)+I1364</f>
        <v>680.326490178773</v>
      </c>
      <c r="J1363" s="48" t="n">
        <f aca="false">B1363*(IF($A1363&lt;$Q$1329,INDEX(Surface_Engine!$D$12:$D$72,$A1363+1)*(1+Assumptions!$B$24)+(Surface_Engine!G248*12)*INDEX(Surface_Engine!$F$12:$F$72,$A1363+1)-(Surface_Engine!G248*12),1000*12*INDEX(Surface_Engine!$C$12:$C$72,$A1363+1)/(1+Assumptions!$B$10)^8+INDEX(Surface_Engine!$D$12:$D$72,$A1363+1)*(1+Assumptions!$B$24)))*INDEX(Surface_Engine!$B$12:$B$72,$A1363+1)+J1364</f>
        <v>637.558337289934</v>
      </c>
      <c r="K1363" s="12" t="n">
        <f aca="false">SQRT((IF(C1363&lt;=0,0,MAX(0,(B1363/C1363)*G1363/INDEX(Surface_Engine!$B$12:$B$72,$A1363+1)-F1363/INDEX(Surface_Engine!$B$12:$B$72,$A1363+1))))^2+(MAX(IF(D1363&lt;=0,0,MAX(0,(B1363/D1363)*H1363/INDEX(Surface_Engine!$B$12:$B$72,$A1363+1)-F1363/INDEX(Surface_Engine!$B$12:$B$72,$A1363+1))),IF(E1363&lt;=0,0,MAX(0,(B1363/E1363)*I1363/INDEX(Surface_Engine!$B$12:$B$72,$A1363+1)-F1363/INDEX(Surface_Engine!$B$12:$B$72,$A1363+1))),IF($A1363&lt;$Q$1329,MAX(0,-Assumptions!$B$22*(F1363/INDEX(Surface_Engine!$B$12:$B$72,$A1363+1))),0)))^2+(MAX(0,J1363/INDEX(Surface_Engine!$B$12:$B$72,$A1363+1)-(F1363/INDEX(Surface_Engine!$B$12:$B$72,$A1363+1))))^2+2*Assumptions!$B$26*(IF(C1363&lt;=0,0,MAX(0,(B1363/C1363)*G1363/INDEX(Surface_Engine!$B$12:$B$72,$A1363+1)-F1363/INDEX(Surface_Engine!$B$12:$B$72,$A1363+1))))*(MAX(IF(D1363&lt;=0,0,MAX(0,(B1363/D1363)*H1363/INDEX(Surface_Engine!$B$12:$B$72,$A1363+1)-F1363/INDEX(Surface_Engine!$B$12:$B$72,$A1363+1))),IF(E1363&lt;=0,0,MAX(0,(B1363/E1363)*I1363/INDEX(Surface_Engine!$B$12:$B$72,$A1363+1)-F1363/INDEX(Surface_Engine!$B$12:$B$72,$A1363+1))),IF($A1363&lt;$Q$1329,MAX(0,-Assumptions!$B$22*(F1363/INDEX(Surface_Engine!$B$12:$B$72,$A1363+1))),0)))+2*Assumptions!$B$27*(IF(C1363&lt;=0,0,MAX(0,(B1363/C1363)*G1363/INDEX(Surface_Engine!$B$12:$B$72,$A1363+1)-F1363/INDEX(Surface_Engine!$B$12:$B$72,$A1363+1))))*(MAX(0,J1363/INDEX(Surface_Engine!$B$12:$B$72,$A1363+1)-(F1363/INDEX(Surface_Engine!$B$12:$B$72,$A1363+1))))+2*Assumptions!$B$28*(MAX(IF(D1363&lt;=0,0,MAX(0,(B1363/D1363)*H1363/INDEX(Surface_Engine!$B$12:$B$72,$A1363+1)-F1363/INDEX(Surface_Engine!$B$12:$B$72,$A1363+1))),IF(E1363&lt;=0,0,MAX(0,(B1363/E1363)*I1363/INDEX(Surface_Engine!$B$12:$B$72,$A1363+1)-F1363/INDEX(Surface_Engine!$B$12:$B$72,$A1363+1))),IF($A1363&lt;$Q$1329,MAX(0,-Assumptions!$B$22*(F1363/INDEX(Surface_Engine!$B$12:$B$72,$A1363+1))),0)))*(MAX(0,J1363/INDEX(Surface_Engine!$B$12:$B$72,$A1363+1)-(F1363/INDEX(Surface_Engine!$B$12:$B$72,$A1363+1)))))</f>
        <v>299.966260987264</v>
      </c>
      <c r="L1363" s="48" t="n">
        <f aca="false">K1363*INDEX(Surface_Engine!$B$12:$B$72,$A1363+1)+L1364</f>
        <v>347.890376228507</v>
      </c>
      <c r="M1363" s="48" t="n">
        <f aca="false">M1362+B1362*(IF($A1362&lt;$Q$1329,(Surface_Engine!G248*12)-(Surface_Engine!G248*12)*INDEX(Surface_Engine!$F$12:$F$72,$A1362+1)-INDEX(Surface_Engine!$D$12:$D$72,$A1362+1),-(1000*12*INDEX(Surface_Engine!$C$12:$C$72,$A1362+1)/(1+Assumptions!$B$10)^8+INDEX(Surface_Engine!$D$12:$D$72,$A1362+1))))*INDEX(Surface_Engine!$B$12:$B$72,$A1362+1)</f>
        <v>3763.51045728858</v>
      </c>
      <c r="N1363" s="12" t="n">
        <f aca="false">IF(B1363&lt;=0,0,MAX(0,(K1363+Assumptions!$B$29*L1363/INDEX(Surface_Engine!$B$12:$B$72,$A1363+1)-(M1363/INDEX(Surface_Engine!$B$12:$B$72,$A1363+1)-(F1363/INDEX(Surface_Engine!$B$12:$B$72,$A1363+1))))/B1363))</f>
        <v>0</v>
      </c>
    </row>
    <row r="1364" customFormat="false" ht="15" hidden="false" customHeight="true" outlineLevel="0" collapsed="false">
      <c r="A1364" s="1" t="n">
        <v>33</v>
      </c>
      <c r="B1364" s="32" t="n">
        <f aca="false">INDEX(Surface_Engine!$S$12:$S$72,$A1364+1)*IF($A1364&lt;$Q$1329,INDEX(Surface_Engine!$E$12:$E$72,$A1364+1),INDEX(Surface_Engine!$E$12:$E$72,$Q$1329+1))</f>
        <v>0.0196119205675667</v>
      </c>
      <c r="C1364" s="32" t="n">
        <f aca="false">INDEX(Panel_Reserving!$G$8:$G$68,$A1364+1)*IF($A1364&lt;$Q$1329,INDEX(Surface_Engine!$E$12:$E$72,$A1364+1),INDEX(Surface_Engine!$E$12:$E$72,$Q$1329+1))</f>
        <v>0.044557459460967</v>
      </c>
      <c r="D1364" s="32" t="n">
        <f aca="false">INDEX(Surface_Engine!$S$12:$S$72,$A1364+1)*IF($A1364&lt;$Q$1329,INDEX(Surface_Engine!$Y$12:$Y$72,$A1364+1),INDEX(Surface_Engine!$Y$12:$Y$72,$Q$1329+1))</f>
        <v>0.0183477030805922</v>
      </c>
      <c r="E1364" s="32" t="n">
        <f aca="false">INDEX(Surface_Engine!$S$12:$S$72,$A1364+1)*IF($A1364&lt;$Q$1329,INDEX(Surface_Engine!$Z$12:$Z$72,$A1364+1),INDEX(Surface_Engine!$Z$12:$Z$72,$Q$1329+1))</f>
        <v>0.0209471041778753</v>
      </c>
      <c r="F1364" s="48" t="n">
        <f aca="false">B1364*(IF($A1364&lt;$Q$1329,INDEX(Surface_Engine!$D$12:$D$72,$A1364+1)+(Surface_Engine!G248*12)*INDEX(Surface_Engine!$F$12:$F$72,$A1364+1)-(Surface_Engine!G248*12),1000*12*INDEX(Surface_Engine!$C$12:$C$72,$A1364+1)/(1+Assumptions!$B$10)^8+INDEX(Surface_Engine!$D$12:$D$72,$A1364+1)))*INDEX(Surface_Engine!$B$12:$B$72,$A1364+1)+F1365</f>
        <v>451.781848312598</v>
      </c>
      <c r="G1364" s="48" t="n">
        <f aca="false">C1364*(IF($A1364&lt;$Q$1329,INDEX(Surface_Engine!$D$12:$D$72,$A1364+1)+(Surface_Engine!G248*12)*INDEX(Surface_Engine!$F$12:$F$72,$A1364+1)-(Surface_Engine!G248*12),1000*12*INDEX(Surface_Engine!$C$12:$C$72,$A1364+1)/(1+Assumptions!$B$10)^8+INDEX(Surface_Engine!$D$12:$D$72,$A1364+1)))*INDEX(Surface_Engine!$B$12:$B$72,$A1364+1)+G1365</f>
        <v>1198.48314377553</v>
      </c>
      <c r="H1364" s="48" t="n">
        <f aca="false">D1364*(IF($A1364&lt;$Q$1329,INDEX(Surface_Engine!$D$12:$D$72,$A1364+1)+(Surface_Engine!G248*12)*INDEX(Surface_Engine!$F$12:$F$72,$A1364+1)-(Surface_Engine!G248*12),1000*12*INDEX(Surface_Engine!$C$12:$C$72,$A1364+1)/(1+Assumptions!$B$10)^8+INDEX(Surface_Engine!$D$12:$D$72,$A1364+1)))*INDEX(Surface_Engine!$B$12:$B$72,$A1364+1)+H1365</f>
        <v>422.659228171101</v>
      </c>
      <c r="I1364" s="48" t="n">
        <f aca="false">E1364*(IF($A1364&lt;$Q$1329,INDEX(Surface_Engine!$D$12:$D$72,$A1364+1)+(Surface_Engine!G248*12)*INDEX(Surface_Engine!$F$12:$F$72,$A1364+1)-(Surface_Engine!G248*12),1000*12*INDEX(Surface_Engine!$C$12:$C$72,$A1364+1)/(1+Assumptions!$B$10)^8+INDEX(Surface_Engine!$D$12:$D$72,$A1364+1)))*INDEX(Surface_Engine!$B$12:$B$72,$A1364+1)+I1365</f>
        <v>482.53925002773</v>
      </c>
      <c r="J1364" s="48" t="n">
        <f aca="false">B1364*(IF($A1364&lt;$Q$1329,INDEX(Surface_Engine!$D$12:$D$72,$A1364+1)*(1+Assumptions!$B$24)+(Surface_Engine!G248*12)*INDEX(Surface_Engine!$F$12:$F$72,$A1364+1)-(Surface_Engine!G248*12),1000*12*INDEX(Surface_Engine!$C$12:$C$72,$A1364+1)/(1+Assumptions!$B$10)^8+INDEX(Surface_Engine!$D$12:$D$72,$A1364+1)*(1+Assumptions!$B$24)))*INDEX(Surface_Engine!$B$12:$B$72,$A1364+1)+J1365</f>
        <v>452.206432379916</v>
      </c>
      <c r="K1364" s="12" t="n">
        <f aca="false">SQRT((IF(C1364&lt;=0,0,MAX(0,(B1364/C1364)*G1364/INDEX(Surface_Engine!$B$12:$B$72,$A1364+1)-F1364/INDEX(Surface_Engine!$B$12:$B$72,$A1364+1))))^2+(MAX(IF(D1364&lt;=0,0,MAX(0,(B1364/D1364)*H1364/INDEX(Surface_Engine!$B$12:$B$72,$A1364+1)-F1364/INDEX(Surface_Engine!$B$12:$B$72,$A1364+1))),IF(E1364&lt;=0,0,MAX(0,(B1364/E1364)*I1364/INDEX(Surface_Engine!$B$12:$B$72,$A1364+1)-F1364/INDEX(Surface_Engine!$B$12:$B$72,$A1364+1))),IF($A1364&lt;$Q$1329,MAX(0,-Assumptions!$B$22*(F1364/INDEX(Surface_Engine!$B$12:$B$72,$A1364+1))),0)))^2+(MAX(0,J1364/INDEX(Surface_Engine!$B$12:$B$72,$A1364+1)-(F1364/INDEX(Surface_Engine!$B$12:$B$72,$A1364+1))))^2+2*Assumptions!$B$26*(IF(C1364&lt;=0,0,MAX(0,(B1364/C1364)*G1364/INDEX(Surface_Engine!$B$12:$B$72,$A1364+1)-F1364/INDEX(Surface_Engine!$B$12:$B$72,$A1364+1))))*(MAX(IF(D1364&lt;=0,0,MAX(0,(B1364/D1364)*H1364/INDEX(Surface_Engine!$B$12:$B$72,$A1364+1)-F1364/INDEX(Surface_Engine!$B$12:$B$72,$A1364+1))),IF(E1364&lt;=0,0,MAX(0,(B1364/E1364)*I1364/INDEX(Surface_Engine!$B$12:$B$72,$A1364+1)-F1364/INDEX(Surface_Engine!$B$12:$B$72,$A1364+1))),IF($A1364&lt;$Q$1329,MAX(0,-Assumptions!$B$22*(F1364/INDEX(Surface_Engine!$B$12:$B$72,$A1364+1))),0)))+2*Assumptions!$B$27*(IF(C1364&lt;=0,0,MAX(0,(B1364/C1364)*G1364/INDEX(Surface_Engine!$B$12:$B$72,$A1364+1)-F1364/INDEX(Surface_Engine!$B$12:$B$72,$A1364+1))))*(MAX(0,J1364/INDEX(Surface_Engine!$B$12:$B$72,$A1364+1)-(F1364/INDEX(Surface_Engine!$B$12:$B$72,$A1364+1))))+2*Assumptions!$B$28*(MAX(IF(D1364&lt;=0,0,MAX(0,(B1364/D1364)*H1364/INDEX(Surface_Engine!$B$12:$B$72,$A1364+1)-F1364/INDEX(Surface_Engine!$B$12:$B$72,$A1364+1))),IF(E1364&lt;=0,0,MAX(0,(B1364/E1364)*I1364/INDEX(Surface_Engine!$B$12:$B$72,$A1364+1)-F1364/INDEX(Surface_Engine!$B$12:$B$72,$A1364+1))),IF($A1364&lt;$Q$1329,MAX(0,-Assumptions!$B$22*(F1364/INDEX(Surface_Engine!$B$12:$B$72,$A1364+1))),0)))*(MAX(0,J1364/INDEX(Surface_Engine!$B$12:$B$72,$A1364+1)-(F1364/INDEX(Surface_Engine!$B$12:$B$72,$A1364+1)))))</f>
        <v>213.688376824741</v>
      </c>
      <c r="L1364" s="48" t="n">
        <f aca="false">K1364*INDEX(Surface_Engine!$B$12:$B$72,$A1364+1)+L1365</f>
        <v>237.971355364435</v>
      </c>
      <c r="M1364" s="48" t="n">
        <f aca="false">M1363+B1363*(IF($A1363&lt;$Q$1329,(Surface_Engine!G248*12)-(Surface_Engine!G248*12)*INDEX(Surface_Engine!$F$12:$F$72,$A1363+1)-INDEX(Surface_Engine!$D$12:$D$72,$A1363+1),-(1000*12*INDEX(Surface_Engine!$C$12:$C$72,$A1363+1)/(1+Assumptions!$B$10)^8+INDEX(Surface_Engine!$D$12:$D$72,$A1363+1))))*INDEX(Surface_Engine!$B$12:$B$72,$A1363+1)</f>
        <v>3578.33031925224</v>
      </c>
      <c r="N1364" s="12" t="n">
        <f aca="false">IF(B1364&lt;=0,0,MAX(0,(K1364+Assumptions!$B$29*L1364/INDEX(Surface_Engine!$B$12:$B$72,$A1364+1)-(M1364/INDEX(Surface_Engine!$B$12:$B$72,$A1364+1)-(F1364/INDEX(Surface_Engine!$B$12:$B$72,$A1364+1))))/B1364))</f>
        <v>0</v>
      </c>
    </row>
    <row r="1365" customFormat="false" ht="15" hidden="false" customHeight="true" outlineLevel="0" collapsed="false">
      <c r="A1365" s="1" t="n">
        <v>34</v>
      </c>
      <c r="B1365" s="32" t="n">
        <f aca="false">INDEX(Surface_Engine!$S$12:$S$72,$A1365+1)*IF($A1365&lt;$Q$1329,INDEX(Surface_Engine!$E$12:$E$72,$A1365+1),INDEX(Surface_Engine!$E$12:$E$72,$Q$1329+1))</f>
        <v>0.0171679700251471</v>
      </c>
      <c r="C1365" s="32" t="n">
        <f aca="false">INDEX(Panel_Reserving!$G$8:$G$68,$A1365+1)*IF($A1365&lt;$Q$1329,INDEX(Surface_Engine!$E$12:$E$72,$A1365+1),INDEX(Surface_Engine!$E$12:$E$72,$Q$1329+1))</f>
        <v>0.0401154171084783</v>
      </c>
      <c r="D1365" s="32" t="n">
        <f aca="false">INDEX(Surface_Engine!$S$12:$S$72,$A1365+1)*IF($A1365&lt;$Q$1329,INDEX(Surface_Engine!$Y$12:$Y$72,$A1365+1),INDEX(Surface_Engine!$Y$12:$Y$72,$Q$1329+1))</f>
        <v>0.0160612937133157</v>
      </c>
      <c r="E1365" s="32" t="n">
        <f aca="false">INDEX(Surface_Engine!$S$12:$S$72,$A1365+1)*IF($A1365&lt;$Q$1329,INDEX(Surface_Engine!$Z$12:$Z$72,$A1365+1),INDEX(Surface_Engine!$Z$12:$Z$72,$Q$1329+1))</f>
        <v>0.0183367689768292</v>
      </c>
      <c r="F1365" s="48" t="n">
        <f aca="false">B1365*(IF($A1365&lt;$Q$1329,INDEX(Surface_Engine!$D$12:$D$72,$A1365+1)+(Surface_Engine!G248*12)*INDEX(Surface_Engine!$F$12:$F$72,$A1365+1)-(Surface_Engine!G248*12),1000*12*INDEX(Surface_Engine!$C$12:$C$72,$A1365+1)/(1+Assumptions!$B$10)^8+INDEX(Surface_Engine!$D$12:$D$72,$A1365+1)))*INDEX(Surface_Engine!$B$12:$B$72,$A1365+1)+F1366</f>
        <v>313.466537346975</v>
      </c>
      <c r="G1365" s="48" t="n">
        <f aca="false">C1365*(IF($A1365&lt;$Q$1329,INDEX(Surface_Engine!$D$12:$D$72,$A1365+1)+(Surface_Engine!G248*12)*INDEX(Surface_Engine!$F$12:$F$72,$A1365+1)-(Surface_Engine!G248*12),1000*12*INDEX(Surface_Engine!$C$12:$C$72,$A1365+1)/(1+Assumptions!$B$10)^8+INDEX(Surface_Engine!$D$12:$D$72,$A1365+1)))*INDEX(Surface_Engine!$B$12:$B$72,$A1365+1)+G1366</f>
        <v>884.236569099216</v>
      </c>
      <c r="H1365" s="48" t="n">
        <f aca="false">D1365*(IF($A1365&lt;$Q$1329,INDEX(Surface_Engine!$D$12:$D$72,$A1365+1)+(Surface_Engine!G248*12)*INDEX(Surface_Engine!$F$12:$F$72,$A1365+1)-(Surface_Engine!G248*12),1000*12*INDEX(Surface_Engine!$C$12:$C$72,$A1365+1)/(1+Assumptions!$B$10)^8+INDEX(Surface_Engine!$D$12:$D$72,$A1365+1)))*INDEX(Surface_Engine!$B$12:$B$72,$A1365+1)+H1366</f>
        <v>293.259955501505</v>
      </c>
      <c r="I1365" s="48" t="n">
        <f aca="false">E1365*(IF($A1365&lt;$Q$1329,INDEX(Surface_Engine!$D$12:$D$72,$A1365+1)+(Surface_Engine!G248*12)*INDEX(Surface_Engine!$F$12:$F$72,$A1365+1)-(Surface_Engine!G248*12),1000*12*INDEX(Surface_Engine!$C$12:$C$72,$A1365+1)/(1+Assumptions!$B$10)^8+INDEX(Surface_Engine!$D$12:$D$72,$A1365+1)))*INDEX(Surface_Engine!$B$12:$B$72,$A1365+1)+I1366</f>
        <v>334.807404071575</v>
      </c>
      <c r="J1365" s="48" t="n">
        <f aca="false">B1365*(IF($A1365&lt;$Q$1329,INDEX(Surface_Engine!$D$12:$D$72,$A1365+1)*(1+Assumptions!$B$24)+(Surface_Engine!G248*12)*INDEX(Surface_Engine!$F$12:$F$72,$A1365+1)-(Surface_Engine!G248*12),1000*12*INDEX(Surface_Engine!$C$12:$C$72,$A1365+1)/(1+Assumptions!$B$10)^8+INDEX(Surface_Engine!$D$12:$D$72,$A1365+1)*(1+Assumptions!$B$24)))*INDEX(Surface_Engine!$B$12:$B$72,$A1365+1)+J1366</f>
        <v>313.762201736237</v>
      </c>
      <c r="K1365" s="12" t="n">
        <f aca="false">SQRT((IF(C1365&lt;=0,0,MAX(0,(B1365/C1365)*G1365/INDEX(Surface_Engine!$B$12:$B$72,$A1365+1)-F1365/INDEX(Surface_Engine!$B$12:$B$72,$A1365+1))))^2+(MAX(IF(D1365&lt;=0,0,MAX(0,(B1365/D1365)*H1365/INDEX(Surface_Engine!$B$12:$B$72,$A1365+1)-F1365/INDEX(Surface_Engine!$B$12:$B$72,$A1365+1))),IF(E1365&lt;=0,0,MAX(0,(B1365/E1365)*I1365/INDEX(Surface_Engine!$B$12:$B$72,$A1365+1)-F1365/INDEX(Surface_Engine!$B$12:$B$72,$A1365+1))),IF($A1365&lt;$Q$1329,MAX(0,-Assumptions!$B$22*(F1365/INDEX(Surface_Engine!$B$12:$B$72,$A1365+1))),0)))^2+(MAX(0,J1365/INDEX(Surface_Engine!$B$12:$B$72,$A1365+1)-(F1365/INDEX(Surface_Engine!$B$12:$B$72,$A1365+1))))^2+2*Assumptions!$B$26*(IF(C1365&lt;=0,0,MAX(0,(B1365/C1365)*G1365/INDEX(Surface_Engine!$B$12:$B$72,$A1365+1)-F1365/INDEX(Surface_Engine!$B$12:$B$72,$A1365+1))))*(MAX(IF(D1365&lt;=0,0,MAX(0,(B1365/D1365)*H1365/INDEX(Surface_Engine!$B$12:$B$72,$A1365+1)-F1365/INDEX(Surface_Engine!$B$12:$B$72,$A1365+1))),IF(E1365&lt;=0,0,MAX(0,(B1365/E1365)*I1365/INDEX(Surface_Engine!$B$12:$B$72,$A1365+1)-F1365/INDEX(Surface_Engine!$B$12:$B$72,$A1365+1))),IF($A1365&lt;$Q$1329,MAX(0,-Assumptions!$B$22*(F1365/INDEX(Surface_Engine!$B$12:$B$72,$A1365+1))),0)))+2*Assumptions!$B$27*(IF(C1365&lt;=0,0,MAX(0,(B1365/C1365)*G1365/INDEX(Surface_Engine!$B$12:$B$72,$A1365+1)-F1365/INDEX(Surface_Engine!$B$12:$B$72,$A1365+1))))*(MAX(0,J1365/INDEX(Surface_Engine!$B$12:$B$72,$A1365+1)-(F1365/INDEX(Surface_Engine!$B$12:$B$72,$A1365+1))))+2*Assumptions!$B$28*(MAX(IF(D1365&lt;=0,0,MAX(0,(B1365/D1365)*H1365/INDEX(Surface_Engine!$B$12:$B$72,$A1365+1)-F1365/INDEX(Surface_Engine!$B$12:$B$72,$A1365+1))),IF(E1365&lt;=0,0,MAX(0,(B1365/E1365)*I1365/INDEX(Surface_Engine!$B$12:$B$72,$A1365+1)-F1365/INDEX(Surface_Engine!$B$12:$B$72,$A1365+1))),IF($A1365&lt;$Q$1329,MAX(0,-Assumptions!$B$22*(F1365/INDEX(Surface_Engine!$B$12:$B$72,$A1365+1))),0)))*(MAX(0,J1365/INDEX(Surface_Engine!$B$12:$B$72,$A1365+1)-(F1365/INDEX(Surface_Engine!$B$12:$B$72,$A1365+1)))))</f>
        <v>189.205674206292</v>
      </c>
      <c r="L1365" s="48" t="n">
        <f aca="false">K1365*INDEX(Surface_Engine!$B$12:$B$72,$A1365+1)+L1366</f>
        <v>162.134803797322</v>
      </c>
      <c r="M1365" s="48" t="n">
        <f aca="false">M1364+B1364*(IF($A1364&lt;$Q$1329,(Surface_Engine!G248*12)-(Surface_Engine!G248*12)*INDEX(Surface_Engine!$F$12:$F$72,$A1364+1)-INDEX(Surface_Engine!$D$12:$D$72,$A1364+1),-(1000*12*INDEX(Surface_Engine!$C$12:$C$72,$A1364+1)/(1+Assumptions!$B$10)^8+INDEX(Surface_Engine!$D$12:$D$72,$A1364+1))))*INDEX(Surface_Engine!$B$12:$B$72,$A1364+1)</f>
        <v>3440.01500828662</v>
      </c>
      <c r="N1365" s="12" t="n">
        <f aca="false">IF(B1365&lt;=0,0,MAX(0,(K1365+Assumptions!$B$29*L1365/INDEX(Surface_Engine!$B$12:$B$72,$A1365+1)-(M1365/INDEX(Surface_Engine!$B$12:$B$72,$A1365+1)-(F1365/INDEX(Surface_Engine!$B$12:$B$72,$A1365+1))))/B1365))</f>
        <v>0</v>
      </c>
    </row>
    <row r="1366" customFormat="false" ht="15" hidden="false" customHeight="true" outlineLevel="0" collapsed="false">
      <c r="A1366" s="1" t="n">
        <v>35</v>
      </c>
      <c r="B1366" s="32" t="n">
        <f aca="false">INDEX(Surface_Engine!$S$12:$S$72,$A1366+1)*IF($A1366&lt;$Q$1329,INDEX(Surface_Engine!$E$12:$E$72,$A1366+1),INDEX(Surface_Engine!$E$12:$E$72,$Q$1329+1))</f>
        <v>0.0113357164494219</v>
      </c>
      <c r="C1366" s="32" t="n">
        <f aca="false">INDEX(Panel_Reserving!$G$8:$G$68,$A1366+1)*IF($A1366&lt;$Q$1329,INDEX(Surface_Engine!$E$12:$E$72,$A1366+1),INDEX(Surface_Engine!$E$12:$E$72,$Q$1329+1))</f>
        <v>0.0292131014809496</v>
      </c>
      <c r="D1366" s="32" t="n">
        <f aca="false">INDEX(Surface_Engine!$S$12:$S$72,$A1366+1)*IF($A1366&lt;$Q$1329,INDEX(Surface_Engine!$Y$12:$Y$72,$A1366+1),INDEX(Surface_Engine!$Y$12:$Y$72,$Q$1329+1))</f>
        <v>0.0106049970426523</v>
      </c>
      <c r="E1366" s="32" t="n">
        <f aca="false">INDEX(Surface_Engine!$S$12:$S$72,$A1366+1)*IF($A1366&lt;$Q$1329,INDEX(Surface_Engine!$Z$12:$Z$72,$A1366+1),INDEX(Surface_Engine!$Z$12:$Z$72,$Q$1329+1))</f>
        <v>0.0121074543708677</v>
      </c>
      <c r="F1366" s="48" t="n">
        <f aca="false">B1366*(IF($A1366&lt;$Q$1329,INDEX(Surface_Engine!$D$12:$D$72,$A1366+1)+(Surface_Engine!G248*12)*INDEX(Surface_Engine!$F$12:$F$72,$A1366+1)-(Surface_Engine!G248*12),1000*12*INDEX(Surface_Engine!$C$12:$C$72,$A1366+1)/(1+Assumptions!$B$10)^8+INDEX(Surface_Engine!$D$12:$D$72,$A1366+1)))*INDEX(Surface_Engine!$B$12:$B$72,$A1366+1)+F1367</f>
        <v>193.855984465762</v>
      </c>
      <c r="G1366" s="48" t="n">
        <f aca="false">C1366*(IF($A1366&lt;$Q$1329,INDEX(Surface_Engine!$D$12:$D$72,$A1366+1)+(Surface_Engine!G248*12)*INDEX(Surface_Engine!$F$12:$F$72,$A1366+1)-(Surface_Engine!G248*12),1000*12*INDEX(Surface_Engine!$C$12:$C$72,$A1366+1)/(1+Assumptions!$B$10)^8+INDEX(Surface_Engine!$D$12:$D$72,$A1366+1)))*INDEX(Surface_Engine!$B$12:$B$72,$A1366+1)+G1367</f>
        <v>604.749407112256</v>
      </c>
      <c r="H1366" s="48" t="n">
        <f aca="false">D1366*(IF($A1366&lt;$Q$1329,INDEX(Surface_Engine!$D$12:$D$72,$A1366+1)+(Surface_Engine!G248*12)*INDEX(Surface_Engine!$F$12:$F$72,$A1366+1)-(Surface_Engine!G248*12),1000*12*INDEX(Surface_Engine!$C$12:$C$72,$A1366+1)/(1+Assumptions!$B$10)^8+INDEX(Surface_Engine!$D$12:$D$72,$A1366+1)))*INDEX(Surface_Engine!$B$12:$B$72,$A1366+1)+H1367</f>
        <v>181.359700653478</v>
      </c>
      <c r="I1366" s="48" t="n">
        <f aca="false">E1366*(IF($A1366&lt;$Q$1329,INDEX(Surface_Engine!$D$12:$D$72,$A1366+1)+(Surface_Engine!G248*12)*INDEX(Surface_Engine!$F$12:$F$72,$A1366+1)-(Surface_Engine!G248*12),1000*12*INDEX(Surface_Engine!$C$12:$C$72,$A1366+1)/(1+Assumptions!$B$10)^8+INDEX(Surface_Engine!$D$12:$D$72,$A1366+1)))*INDEX(Surface_Engine!$B$12:$B$72,$A1366+1)+I1367</f>
        <v>207.053740000575</v>
      </c>
      <c r="J1366" s="48" t="n">
        <f aca="false">B1366*(IF($A1366&lt;$Q$1329,INDEX(Surface_Engine!$D$12:$D$72,$A1366+1)*(1+Assumptions!$B$24)+(Surface_Engine!G248*12)*INDEX(Surface_Engine!$F$12:$F$72,$A1366+1)-(Surface_Engine!G248*12),1000*12*INDEX(Surface_Engine!$C$12:$C$72,$A1366+1)/(1+Assumptions!$B$10)^8+INDEX(Surface_Engine!$D$12:$D$72,$A1366+1)*(1+Assumptions!$B$24)))*INDEX(Surface_Engine!$B$12:$B$72,$A1366+1)+J1367</f>
        <v>194.039621958744</v>
      </c>
      <c r="K1366" s="12" t="n">
        <f aca="false">SQRT((IF(C1366&lt;=0,0,MAX(0,(B1366/C1366)*G1366/INDEX(Surface_Engine!$B$12:$B$72,$A1366+1)-F1366/INDEX(Surface_Engine!$B$12:$B$72,$A1366+1))))^2+(MAX(IF(D1366&lt;=0,0,MAX(0,(B1366/D1366)*H1366/INDEX(Surface_Engine!$B$12:$B$72,$A1366+1)-F1366/INDEX(Surface_Engine!$B$12:$B$72,$A1366+1))),IF(E1366&lt;=0,0,MAX(0,(B1366/E1366)*I1366/INDEX(Surface_Engine!$B$12:$B$72,$A1366+1)-F1366/INDEX(Surface_Engine!$B$12:$B$72,$A1366+1))),IF($A1366&lt;$Q$1329,MAX(0,-Assumptions!$B$22*(F1366/INDEX(Surface_Engine!$B$12:$B$72,$A1366+1))),0)))^2+(MAX(0,J1366/INDEX(Surface_Engine!$B$12:$B$72,$A1366+1)-(F1366/INDEX(Surface_Engine!$B$12:$B$72,$A1366+1))))^2+2*Assumptions!$B$26*(IF(C1366&lt;=0,0,MAX(0,(B1366/C1366)*G1366/INDEX(Surface_Engine!$B$12:$B$72,$A1366+1)-F1366/INDEX(Surface_Engine!$B$12:$B$72,$A1366+1))))*(MAX(IF(D1366&lt;=0,0,MAX(0,(B1366/D1366)*H1366/INDEX(Surface_Engine!$B$12:$B$72,$A1366+1)-F1366/INDEX(Surface_Engine!$B$12:$B$72,$A1366+1))),IF(E1366&lt;=0,0,MAX(0,(B1366/E1366)*I1366/INDEX(Surface_Engine!$B$12:$B$72,$A1366+1)-F1366/INDEX(Surface_Engine!$B$12:$B$72,$A1366+1))),IF($A1366&lt;$Q$1329,MAX(0,-Assumptions!$B$22*(F1366/INDEX(Surface_Engine!$B$12:$B$72,$A1366+1))),0)))+2*Assumptions!$B$27*(IF(C1366&lt;=0,0,MAX(0,(B1366/C1366)*G1366/INDEX(Surface_Engine!$B$12:$B$72,$A1366+1)-F1366/INDEX(Surface_Engine!$B$12:$B$72,$A1366+1))))*(MAX(0,J1366/INDEX(Surface_Engine!$B$12:$B$72,$A1366+1)-(F1366/INDEX(Surface_Engine!$B$12:$B$72,$A1366+1))))+2*Assumptions!$B$28*(MAX(IF(D1366&lt;=0,0,MAX(0,(B1366/D1366)*H1366/INDEX(Surface_Engine!$B$12:$B$72,$A1366+1)-F1366/INDEX(Surface_Engine!$B$12:$B$72,$A1366+1))),IF(E1366&lt;=0,0,MAX(0,(B1366/E1366)*I1366/INDEX(Surface_Engine!$B$12:$B$72,$A1366+1)-F1366/INDEX(Surface_Engine!$B$12:$B$72,$A1366+1))),IF($A1366&lt;$Q$1329,MAX(0,-Assumptions!$B$22*(F1366/INDEX(Surface_Engine!$B$12:$B$72,$A1366+1))),0)))*(MAX(0,J1366/INDEX(Surface_Engine!$B$12:$B$72,$A1366+1)-(F1366/INDEX(Surface_Engine!$B$12:$B$72,$A1366+1)))))</f>
        <v>122.743329315847</v>
      </c>
      <c r="L1366" s="48" t="n">
        <f aca="false">K1366*INDEX(Surface_Engine!$B$12:$B$72,$A1366+1)+L1367</f>
        <v>97.1050307277374</v>
      </c>
      <c r="M1366" s="48" t="n">
        <f aca="false">M1365+B1365*(IF($A1365&lt;$Q$1329,(Surface_Engine!G248*12)-(Surface_Engine!G248*12)*INDEX(Surface_Engine!$F$12:$F$72,$A1365+1)-INDEX(Surface_Engine!$D$12:$D$72,$A1365+1),-(1000*12*INDEX(Surface_Engine!$C$12:$C$72,$A1365+1)/(1+Assumptions!$B$10)^8+INDEX(Surface_Engine!$D$12:$D$72,$A1365+1))))*INDEX(Surface_Engine!$B$12:$B$72,$A1365+1)</f>
        <v>3320.40445540541</v>
      </c>
      <c r="N1366" s="12" t="n">
        <f aca="false">IF(B1366&lt;=0,0,MAX(0,(K1366+Assumptions!$B$29*L1366/INDEX(Surface_Engine!$B$12:$B$72,$A1366+1)-(M1366/INDEX(Surface_Engine!$B$12:$B$72,$A1366+1)-(F1366/INDEX(Surface_Engine!$B$12:$B$72,$A1366+1))))/B1366))</f>
        <v>0</v>
      </c>
    </row>
    <row r="1367" customFormat="false" ht="15" hidden="false" customHeight="true" outlineLevel="0" collapsed="false">
      <c r="A1367" s="1" t="n">
        <v>36</v>
      </c>
      <c r="B1367" s="32" t="n">
        <f aca="false">INDEX(Surface_Engine!$S$12:$S$72,$A1367+1)*IF($A1367&lt;$Q$1329,INDEX(Surface_Engine!$E$12:$E$72,$A1367+1),INDEX(Surface_Engine!$E$12:$E$72,$Q$1329+1))</f>
        <v>0.00722340428234701</v>
      </c>
      <c r="C1367" s="32" t="n">
        <f aca="false">INDEX(Panel_Reserving!$G$8:$G$68,$A1367+1)*IF($A1367&lt;$Q$1329,INDEX(Surface_Engine!$E$12:$E$72,$A1367+1),INDEX(Surface_Engine!$E$12:$E$72,$Q$1329+1))</f>
        <v>0.0207348800508976</v>
      </c>
      <c r="D1367" s="32" t="n">
        <f aca="false">INDEX(Surface_Engine!$S$12:$S$72,$A1367+1)*IF($A1367&lt;$Q$1329,INDEX(Surface_Engine!$Y$12:$Y$72,$A1367+1),INDEX(Surface_Engine!$Y$12:$Y$72,$Q$1329+1))</f>
        <v>0.00675777145573177</v>
      </c>
      <c r="E1367" s="32" t="n">
        <f aca="false">INDEX(Surface_Engine!$S$12:$S$72,$A1367+1)*IF($A1367&lt;$Q$1329,INDEX(Surface_Engine!$Z$12:$Z$72,$A1367+1),INDEX(Surface_Engine!$Z$12:$Z$72,$Q$1329+1))</f>
        <v>0.00771517514054498</v>
      </c>
      <c r="F1367" s="48" t="n">
        <f aca="false">B1367*(IF($A1367&lt;$Q$1329,INDEX(Surface_Engine!$D$12:$D$72,$A1367+1)+(Surface_Engine!G248*12)*INDEX(Surface_Engine!$F$12:$F$72,$A1367+1)-(Surface_Engine!G248*12),1000*12*INDEX(Surface_Engine!$C$12:$C$72,$A1367+1)/(1+Assumptions!$B$10)^8+INDEX(Surface_Engine!$D$12:$D$72,$A1367+1)))*INDEX(Surface_Engine!$B$12:$B$72,$A1367+1)+F1368</f>
        <v>115.840068396295</v>
      </c>
      <c r="G1367" s="48" t="n">
        <f aca="false">C1367*(IF($A1367&lt;$Q$1329,INDEX(Surface_Engine!$D$12:$D$72,$A1367+1)+(Surface_Engine!G248*12)*INDEX(Surface_Engine!$F$12:$F$72,$A1367+1)-(Surface_Engine!G248*12),1000*12*INDEX(Surface_Engine!$C$12:$C$72,$A1367+1)/(1+Assumptions!$B$10)^8+INDEX(Surface_Engine!$D$12:$D$72,$A1367+1)))*INDEX(Surface_Engine!$B$12:$B$72,$A1367+1)+G1368</f>
        <v>403.695783070449</v>
      </c>
      <c r="H1367" s="48" t="n">
        <f aca="false">D1367*(IF($A1367&lt;$Q$1329,INDEX(Surface_Engine!$D$12:$D$72,$A1367+1)+(Surface_Engine!G248*12)*INDEX(Surface_Engine!$F$12:$F$72,$A1367+1)-(Surface_Engine!G248*12),1000*12*INDEX(Surface_Engine!$C$12:$C$72,$A1367+1)/(1+Assumptions!$B$10)^8+INDEX(Surface_Engine!$D$12:$D$72,$A1367+1)))*INDEX(Surface_Engine!$B$12:$B$72,$A1367+1)+H1368</f>
        <v>108.372822154175</v>
      </c>
      <c r="I1367" s="48" t="n">
        <f aca="false">E1367*(IF($A1367&lt;$Q$1329,INDEX(Surface_Engine!$D$12:$D$72,$A1367+1)+(Surface_Engine!G248*12)*INDEX(Surface_Engine!$F$12:$F$72,$A1367+1)-(Surface_Engine!G248*12),1000*12*INDEX(Surface_Engine!$C$12:$C$72,$A1367+1)/(1+Assumptions!$B$10)^8+INDEX(Surface_Engine!$D$12:$D$72,$A1367+1)))*INDEX(Surface_Engine!$B$12:$B$72,$A1367+1)+I1368</f>
        <v>123.726484222165</v>
      </c>
      <c r="J1367" s="48" t="n">
        <f aca="false">B1367*(IF($A1367&lt;$Q$1329,INDEX(Surface_Engine!$D$12:$D$72,$A1367+1)*(1+Assumptions!$B$24)+(Surface_Engine!G248*12)*INDEX(Surface_Engine!$F$12:$F$72,$A1367+1)-(Surface_Engine!G248*12),1000*12*INDEX(Surface_Engine!$C$12:$C$72,$A1367+1)/(1+Assumptions!$B$10)^8+INDEX(Surface_Engine!$D$12:$D$72,$A1367+1)*(1+Assumptions!$B$24)))*INDEX(Surface_Engine!$B$12:$B$72,$A1367+1)+J1368</f>
        <v>115.950281596276</v>
      </c>
      <c r="K1367" s="12" t="n">
        <f aca="false">SQRT((IF(C1367&lt;=0,0,MAX(0,(B1367/C1367)*G1367/INDEX(Surface_Engine!$B$12:$B$72,$A1367+1)-F1367/INDEX(Surface_Engine!$B$12:$B$72,$A1367+1))))^2+(MAX(IF(D1367&lt;=0,0,MAX(0,(B1367/D1367)*H1367/INDEX(Surface_Engine!$B$12:$B$72,$A1367+1)-F1367/INDEX(Surface_Engine!$B$12:$B$72,$A1367+1))),IF(E1367&lt;=0,0,MAX(0,(B1367/E1367)*I1367/INDEX(Surface_Engine!$B$12:$B$72,$A1367+1)-F1367/INDEX(Surface_Engine!$B$12:$B$72,$A1367+1))),IF($A1367&lt;$Q$1329,MAX(0,-Assumptions!$B$22*(F1367/INDEX(Surface_Engine!$B$12:$B$72,$A1367+1))),0)))^2+(MAX(0,J1367/INDEX(Surface_Engine!$B$12:$B$72,$A1367+1)-(F1367/INDEX(Surface_Engine!$B$12:$B$72,$A1367+1))))^2+2*Assumptions!$B$26*(IF(C1367&lt;=0,0,MAX(0,(B1367/C1367)*G1367/INDEX(Surface_Engine!$B$12:$B$72,$A1367+1)-F1367/INDEX(Surface_Engine!$B$12:$B$72,$A1367+1))))*(MAX(IF(D1367&lt;=0,0,MAX(0,(B1367/D1367)*H1367/INDEX(Surface_Engine!$B$12:$B$72,$A1367+1)-F1367/INDEX(Surface_Engine!$B$12:$B$72,$A1367+1))),IF(E1367&lt;=0,0,MAX(0,(B1367/E1367)*I1367/INDEX(Surface_Engine!$B$12:$B$72,$A1367+1)-F1367/INDEX(Surface_Engine!$B$12:$B$72,$A1367+1))),IF($A1367&lt;$Q$1329,MAX(0,-Assumptions!$B$22*(F1367/INDEX(Surface_Engine!$B$12:$B$72,$A1367+1))),0)))+2*Assumptions!$B$27*(IF(C1367&lt;=0,0,MAX(0,(B1367/C1367)*G1367/INDEX(Surface_Engine!$B$12:$B$72,$A1367+1)-F1367/INDEX(Surface_Engine!$B$12:$B$72,$A1367+1))))*(MAX(0,J1367/INDEX(Surface_Engine!$B$12:$B$72,$A1367+1)-(F1367/INDEX(Surface_Engine!$B$12:$B$72,$A1367+1))))+2*Assumptions!$B$28*(MAX(IF(D1367&lt;=0,0,MAX(0,(B1367/D1367)*H1367/INDEX(Surface_Engine!$B$12:$B$72,$A1367+1)-F1367/INDEX(Surface_Engine!$B$12:$B$72,$A1367+1))),IF(E1367&lt;=0,0,MAX(0,(B1367/E1367)*I1367/INDEX(Surface_Engine!$B$12:$B$72,$A1367+1)-F1367/INDEX(Surface_Engine!$B$12:$B$72,$A1367+1))),IF($A1367&lt;$Q$1329,MAX(0,-Assumptions!$B$22*(F1367/INDEX(Surface_Engine!$B$12:$B$72,$A1367+1))),0)))*(MAX(0,J1367/INDEX(Surface_Engine!$B$12:$B$72,$A1367+1)-(F1367/INDEX(Surface_Engine!$B$12:$B$72,$A1367+1)))))</f>
        <v>76.9867701221806</v>
      </c>
      <c r="L1367" s="48" t="n">
        <f aca="false">K1367*INDEX(Surface_Engine!$B$12:$B$72,$A1367+1)+L1368</f>
        <v>56.2505629362184</v>
      </c>
      <c r="M1367" s="48" t="n">
        <f aca="false">M1366+B1366*(IF($A1366&lt;$Q$1329,(Surface_Engine!G248*12)-(Surface_Engine!G248*12)*INDEX(Surface_Engine!$F$12:$F$72,$A1366+1)-INDEX(Surface_Engine!$D$12:$D$72,$A1366+1),-(1000*12*INDEX(Surface_Engine!$C$12:$C$72,$A1366+1)/(1+Assumptions!$B$10)^8+INDEX(Surface_Engine!$D$12:$D$72,$A1366+1))))*INDEX(Surface_Engine!$B$12:$B$72,$A1366+1)</f>
        <v>3242.38853933594</v>
      </c>
      <c r="N1367" s="12" t="n">
        <f aca="false">IF(B1367&lt;=0,0,MAX(0,(K1367+Assumptions!$B$29*L1367/INDEX(Surface_Engine!$B$12:$B$72,$A1367+1)-(M1367/INDEX(Surface_Engine!$B$12:$B$72,$A1367+1)-(F1367/INDEX(Surface_Engine!$B$12:$B$72,$A1367+1))))/B1367))</f>
        <v>0</v>
      </c>
    </row>
    <row r="1368" customFormat="false" ht="15" hidden="false" customHeight="true" outlineLevel="0" collapsed="false">
      <c r="A1368" s="1" t="n">
        <v>37</v>
      </c>
      <c r="B1368" s="32" t="n">
        <f aca="false">INDEX(Surface_Engine!$S$12:$S$72,$A1368+1)*IF($A1368&lt;$Q$1329,INDEX(Surface_Engine!$E$12:$E$72,$A1368+1),INDEX(Surface_Engine!$E$12:$E$72,$Q$1329+1))</f>
        <v>0.00442629978295141</v>
      </c>
      <c r="C1368" s="32" t="n">
        <f aca="false">INDEX(Panel_Reserving!$G$8:$G$68,$A1368+1)*IF($A1368&lt;$Q$1329,INDEX(Surface_Engine!$E$12:$E$72,$A1368+1),INDEX(Surface_Engine!$E$12:$E$72,$Q$1329+1))</f>
        <v>0.0143115789017116</v>
      </c>
      <c r="D1368" s="32" t="n">
        <f aca="false">INDEX(Surface_Engine!$S$12:$S$72,$A1368+1)*IF($A1368&lt;$Q$1329,INDEX(Surface_Engine!$Y$12:$Y$72,$A1368+1),INDEX(Surface_Engine!$Y$12:$Y$72,$Q$1329+1))</f>
        <v>0.00414097303135051</v>
      </c>
      <c r="E1368" s="32" t="n">
        <f aca="false">INDEX(Surface_Engine!$S$12:$S$72,$A1368+1)*IF($A1368&lt;$Q$1329,INDEX(Surface_Engine!$Z$12:$Z$72,$A1368+1),INDEX(Surface_Engine!$Z$12:$Z$72,$Q$1329+1))</f>
        <v>0.00472764318805794</v>
      </c>
      <c r="F1368" s="48" t="n">
        <f aca="false">B1368*(IF($A1368&lt;$Q$1329,INDEX(Surface_Engine!$D$12:$D$72,$A1368+1)+(Surface_Engine!G248*12)*INDEX(Surface_Engine!$F$12:$F$72,$A1368+1)-(Surface_Engine!G248*12),1000*12*INDEX(Surface_Engine!$C$12:$C$72,$A1368+1)/(1+Assumptions!$B$10)^8+INDEX(Surface_Engine!$D$12:$D$72,$A1368+1)))*INDEX(Surface_Engine!$B$12:$B$72,$A1368+1)+F1369</f>
        <v>66.7159666679524</v>
      </c>
      <c r="G1368" s="48" t="n">
        <f aca="false">C1368*(IF($A1368&lt;$Q$1329,INDEX(Surface_Engine!$D$12:$D$72,$A1368+1)+(Surface_Engine!G248*12)*INDEX(Surface_Engine!$F$12:$F$72,$A1368+1)-(Surface_Engine!G248*12),1000*12*INDEX(Surface_Engine!$C$12:$C$72,$A1368+1)/(1+Assumptions!$B$10)^8+INDEX(Surface_Engine!$D$12:$D$72,$A1368+1)))*INDEX(Surface_Engine!$B$12:$B$72,$A1368+1)+G1369</f>
        <v>262.68438219475</v>
      </c>
      <c r="H1368" s="48" t="n">
        <f aca="false">D1368*(IF($A1368&lt;$Q$1329,INDEX(Surface_Engine!$D$12:$D$72,$A1368+1)+(Surface_Engine!G248*12)*INDEX(Surface_Engine!$F$12:$F$72,$A1368+1)-(Surface_Engine!G248*12),1000*12*INDEX(Surface_Engine!$C$12:$C$72,$A1368+1)/(1+Assumptions!$B$10)^8+INDEX(Surface_Engine!$D$12:$D$72,$A1368+1)))*INDEX(Surface_Engine!$B$12:$B$72,$A1368+1)+H1369</f>
        <v>62.4153429003078</v>
      </c>
      <c r="I1368" s="48" t="n">
        <f aca="false">E1368*(IF($A1368&lt;$Q$1329,INDEX(Surface_Engine!$D$12:$D$72,$A1368+1)+(Surface_Engine!G248*12)*INDEX(Surface_Engine!$F$12:$F$72,$A1368+1)-(Surface_Engine!G248*12),1000*12*INDEX(Surface_Engine!$C$12:$C$72,$A1368+1)/(1+Assumptions!$B$10)^8+INDEX(Surface_Engine!$D$12:$D$72,$A1368+1)))*INDEX(Surface_Engine!$B$12:$B$72,$A1368+1)+I1369</f>
        <v>71.2580034834726</v>
      </c>
      <c r="J1368" s="48" t="n">
        <f aca="false">B1368*(IF($A1368&lt;$Q$1329,INDEX(Surface_Engine!$D$12:$D$72,$A1368+1)*(1+Assumptions!$B$24)+(Surface_Engine!G248*12)*INDEX(Surface_Engine!$F$12:$F$72,$A1368+1)-(Surface_Engine!G248*12),1000*12*INDEX(Surface_Engine!$C$12:$C$72,$A1368+1)/(1+Assumptions!$B$10)^8+INDEX(Surface_Engine!$D$12:$D$72,$A1368+1)*(1+Assumptions!$B$24)))*INDEX(Surface_Engine!$B$12:$B$72,$A1368+1)+J1369</f>
        <v>66.779722474305</v>
      </c>
      <c r="K1368" s="12" t="n">
        <f aca="false">SQRT((IF(C1368&lt;=0,0,MAX(0,(B1368/C1368)*G1368/INDEX(Surface_Engine!$B$12:$B$72,$A1368+1)-F1368/INDEX(Surface_Engine!$B$12:$B$72,$A1368+1))))^2+(MAX(IF(D1368&lt;=0,0,MAX(0,(B1368/D1368)*H1368/INDEX(Surface_Engine!$B$12:$B$72,$A1368+1)-F1368/INDEX(Surface_Engine!$B$12:$B$72,$A1368+1))),IF(E1368&lt;=0,0,MAX(0,(B1368/E1368)*I1368/INDEX(Surface_Engine!$B$12:$B$72,$A1368+1)-F1368/INDEX(Surface_Engine!$B$12:$B$72,$A1368+1))),IF($A1368&lt;$Q$1329,MAX(0,-Assumptions!$B$22*(F1368/INDEX(Surface_Engine!$B$12:$B$72,$A1368+1))),0)))^2+(MAX(0,J1368/INDEX(Surface_Engine!$B$12:$B$72,$A1368+1)-(F1368/INDEX(Surface_Engine!$B$12:$B$72,$A1368+1))))^2+2*Assumptions!$B$26*(IF(C1368&lt;=0,0,MAX(0,(B1368/C1368)*G1368/INDEX(Surface_Engine!$B$12:$B$72,$A1368+1)-F1368/INDEX(Surface_Engine!$B$12:$B$72,$A1368+1))))*(MAX(IF(D1368&lt;=0,0,MAX(0,(B1368/D1368)*H1368/INDEX(Surface_Engine!$B$12:$B$72,$A1368+1)-F1368/INDEX(Surface_Engine!$B$12:$B$72,$A1368+1))),IF(E1368&lt;=0,0,MAX(0,(B1368/E1368)*I1368/INDEX(Surface_Engine!$B$12:$B$72,$A1368+1)-F1368/INDEX(Surface_Engine!$B$12:$B$72,$A1368+1))),IF($A1368&lt;$Q$1329,MAX(0,-Assumptions!$B$22*(F1368/INDEX(Surface_Engine!$B$12:$B$72,$A1368+1))),0)))+2*Assumptions!$B$27*(IF(C1368&lt;=0,0,MAX(0,(B1368/C1368)*G1368/INDEX(Surface_Engine!$B$12:$B$72,$A1368+1)-F1368/INDEX(Surface_Engine!$B$12:$B$72,$A1368+1))))*(MAX(0,J1368/INDEX(Surface_Engine!$B$12:$B$72,$A1368+1)-(F1368/INDEX(Surface_Engine!$B$12:$B$72,$A1368+1))))+2*Assumptions!$B$28*(MAX(IF(D1368&lt;=0,0,MAX(0,(B1368/D1368)*H1368/INDEX(Surface_Engine!$B$12:$B$72,$A1368+1)-F1368/INDEX(Surface_Engine!$B$12:$B$72,$A1368+1))),IF(E1368&lt;=0,0,MAX(0,(B1368/E1368)*I1368/INDEX(Surface_Engine!$B$12:$B$72,$A1368+1)-F1368/INDEX(Surface_Engine!$B$12:$B$72,$A1368+1))),IF($A1368&lt;$Q$1329,MAX(0,-Assumptions!$B$22*(F1368/INDEX(Surface_Engine!$B$12:$B$72,$A1368+1))),0)))*(MAX(0,J1368/INDEX(Surface_Engine!$B$12:$B$72,$A1368+1)-(F1368/INDEX(Surface_Engine!$B$12:$B$72,$A1368+1)))))</f>
        <v>46.5791817209579</v>
      </c>
      <c r="L1368" s="48" t="n">
        <f aca="false">K1368*INDEX(Surface_Engine!$B$12:$B$72,$A1368+1)+L1369</f>
        <v>31.4274632040844</v>
      </c>
      <c r="M1368" s="48" t="n">
        <f aca="false">M1367+B1367*(IF($A1367&lt;$Q$1329,(Surface_Engine!G248*12)-(Surface_Engine!G248*12)*INDEX(Surface_Engine!$F$12:$F$72,$A1367+1)-INDEX(Surface_Engine!$D$12:$D$72,$A1367+1),-(1000*12*INDEX(Surface_Engine!$C$12:$C$72,$A1367+1)/(1+Assumptions!$B$10)^8+INDEX(Surface_Engine!$D$12:$D$72,$A1367+1))))*INDEX(Surface_Engine!$B$12:$B$72,$A1367+1)</f>
        <v>3193.2644376076</v>
      </c>
      <c r="N1368" s="12" t="n">
        <f aca="false">IF(B1368&lt;=0,0,MAX(0,(K1368+Assumptions!$B$29*L1368/INDEX(Surface_Engine!$B$12:$B$72,$A1368+1)-(M1368/INDEX(Surface_Engine!$B$12:$B$72,$A1368+1)-(F1368/INDEX(Surface_Engine!$B$12:$B$72,$A1368+1))))/B1368))</f>
        <v>0</v>
      </c>
    </row>
    <row r="1369" customFormat="false" ht="15" hidden="false" customHeight="true" outlineLevel="0" collapsed="false">
      <c r="A1369" s="1" t="n">
        <v>38</v>
      </c>
      <c r="B1369" s="32" t="n">
        <f aca="false">INDEX(Surface_Engine!$S$12:$S$72,$A1369+1)*IF($A1369&lt;$Q$1329,INDEX(Surface_Engine!$E$12:$E$72,$A1369+1),INDEX(Surface_Engine!$E$12:$E$72,$Q$1329+1))</f>
        <v>0.00259760441483466</v>
      </c>
      <c r="C1369" s="32" t="n">
        <f aca="false">INDEX(Panel_Reserving!$G$8:$G$68,$A1369+1)*IF($A1369&lt;$Q$1329,INDEX(Surface_Engine!$E$12:$E$72,$A1369+1),INDEX(Surface_Engine!$E$12:$E$72,$Q$1329+1))</f>
        <v>0.00958139444402054</v>
      </c>
      <c r="D1369" s="32" t="n">
        <f aca="false">INDEX(Surface_Engine!$S$12:$S$72,$A1369+1)*IF($A1369&lt;$Q$1329,INDEX(Surface_Engine!$Y$12:$Y$72,$A1369+1),INDEX(Surface_Engine!$Y$12:$Y$72,$Q$1329+1))</f>
        <v>0.00243015845184687</v>
      </c>
      <c r="E1369" s="32" t="n">
        <f aca="false">INDEX(Surface_Engine!$S$12:$S$72,$A1369+1)*IF($A1369&lt;$Q$1329,INDEX(Surface_Engine!$Z$12:$Z$72,$A1369+1),INDEX(Surface_Engine!$Z$12:$Z$72,$Q$1329+1))</f>
        <v>0.00277444986088894</v>
      </c>
      <c r="F1369" s="48" t="n">
        <f aca="false">B1369*(IF($A1369&lt;$Q$1329,INDEX(Surface_Engine!$D$12:$D$72,$A1369+1)+(Surface_Engine!G248*12)*INDEX(Surface_Engine!$F$12:$F$72,$A1369+1)-(Surface_Engine!G248*12),1000*12*INDEX(Surface_Engine!$C$12:$C$72,$A1369+1)/(1+Assumptions!$B$10)^8+INDEX(Surface_Engine!$D$12:$D$72,$A1369+1)))*INDEX(Surface_Engine!$B$12:$B$72,$A1369+1)+F1370</f>
        <v>36.9823352211593</v>
      </c>
      <c r="G1369" s="48" t="n">
        <f aca="false">C1369*(IF($A1369&lt;$Q$1329,INDEX(Surface_Engine!$D$12:$D$72,$A1369+1)+(Surface_Engine!G248*12)*INDEX(Surface_Engine!$F$12:$F$72,$A1369+1)-(Surface_Engine!G248*12),1000*12*INDEX(Surface_Engine!$C$12:$C$72,$A1369+1)/(1+Assumptions!$B$10)^8+INDEX(Surface_Engine!$D$12:$D$72,$A1369+1)))*INDEX(Surface_Engine!$B$12:$B$72,$A1369+1)+G1370</f>
        <v>166.546471670884</v>
      </c>
      <c r="H1369" s="48" t="n">
        <f aca="false">D1369*(IF($A1369&lt;$Q$1329,INDEX(Surface_Engine!$D$12:$D$72,$A1369+1)+(Surface_Engine!G248*12)*INDEX(Surface_Engine!$F$12:$F$72,$A1369+1)-(Surface_Engine!G248*12),1000*12*INDEX(Surface_Engine!$C$12:$C$72,$A1369+1)/(1+Assumptions!$B$10)^8+INDEX(Surface_Engine!$D$12:$D$72,$A1369+1)))*INDEX(Surface_Engine!$B$12:$B$72,$A1369+1)+H1370</f>
        <v>34.5983915000603</v>
      </c>
      <c r="I1369" s="48" t="n">
        <f aca="false">E1369*(IF($A1369&lt;$Q$1329,INDEX(Surface_Engine!$D$12:$D$72,$A1369+1)+(Surface_Engine!G248*12)*INDEX(Surface_Engine!$F$12:$F$72,$A1369+1)-(Surface_Engine!G248*12),1000*12*INDEX(Surface_Engine!$C$12:$C$72,$A1369+1)/(1+Assumptions!$B$10)^8+INDEX(Surface_Engine!$D$12:$D$72,$A1369+1)))*INDEX(Surface_Engine!$B$12:$B$72,$A1369+1)+I1370</f>
        <v>39.5001002553442</v>
      </c>
      <c r="J1369" s="48" t="n">
        <f aca="false">B1369*(IF($A1369&lt;$Q$1329,INDEX(Surface_Engine!$D$12:$D$72,$A1369+1)*(1+Assumptions!$B$24)+(Surface_Engine!G248*12)*INDEX(Surface_Engine!$F$12:$F$72,$A1369+1)-(Surface_Engine!G248*12),1000*12*INDEX(Surface_Engine!$C$12:$C$72,$A1369+1)/(1+Assumptions!$B$10)^8+INDEX(Surface_Engine!$D$12:$D$72,$A1369+1)*(1+Assumptions!$B$24)))*INDEX(Surface_Engine!$B$12:$B$72,$A1369+1)+J1370</f>
        <v>37.0178349590644</v>
      </c>
      <c r="K1369" s="12" t="n">
        <f aca="false">SQRT((IF(C1369&lt;=0,0,MAX(0,(B1369/C1369)*G1369/INDEX(Surface_Engine!$B$12:$B$72,$A1369+1)-F1369/INDEX(Surface_Engine!$B$12:$B$72,$A1369+1))))^2+(MAX(IF(D1369&lt;=0,0,MAX(0,(B1369/D1369)*H1369/INDEX(Surface_Engine!$B$12:$B$72,$A1369+1)-F1369/INDEX(Surface_Engine!$B$12:$B$72,$A1369+1))),IF(E1369&lt;=0,0,MAX(0,(B1369/E1369)*I1369/INDEX(Surface_Engine!$B$12:$B$72,$A1369+1)-F1369/INDEX(Surface_Engine!$B$12:$B$72,$A1369+1))),IF($A1369&lt;$Q$1329,MAX(0,-Assumptions!$B$22*(F1369/INDEX(Surface_Engine!$B$12:$B$72,$A1369+1))),0)))^2+(MAX(0,J1369/INDEX(Surface_Engine!$B$12:$B$72,$A1369+1)-(F1369/INDEX(Surface_Engine!$B$12:$B$72,$A1369+1))))^2+2*Assumptions!$B$26*(IF(C1369&lt;=0,0,MAX(0,(B1369/C1369)*G1369/INDEX(Surface_Engine!$B$12:$B$72,$A1369+1)-F1369/INDEX(Surface_Engine!$B$12:$B$72,$A1369+1))))*(MAX(IF(D1369&lt;=0,0,MAX(0,(B1369/D1369)*H1369/INDEX(Surface_Engine!$B$12:$B$72,$A1369+1)-F1369/INDEX(Surface_Engine!$B$12:$B$72,$A1369+1))),IF(E1369&lt;=0,0,MAX(0,(B1369/E1369)*I1369/INDEX(Surface_Engine!$B$12:$B$72,$A1369+1)-F1369/INDEX(Surface_Engine!$B$12:$B$72,$A1369+1))),IF($A1369&lt;$Q$1329,MAX(0,-Assumptions!$B$22*(F1369/INDEX(Surface_Engine!$B$12:$B$72,$A1369+1))),0)))+2*Assumptions!$B$27*(IF(C1369&lt;=0,0,MAX(0,(B1369/C1369)*G1369/INDEX(Surface_Engine!$B$12:$B$72,$A1369+1)-F1369/INDEX(Surface_Engine!$B$12:$B$72,$A1369+1))))*(MAX(0,J1369/INDEX(Surface_Engine!$B$12:$B$72,$A1369+1)-(F1369/INDEX(Surface_Engine!$B$12:$B$72,$A1369+1))))+2*Assumptions!$B$28*(MAX(IF(D1369&lt;=0,0,MAX(0,(B1369/D1369)*H1369/INDEX(Surface_Engine!$B$12:$B$72,$A1369+1)-F1369/INDEX(Surface_Engine!$B$12:$B$72,$A1369+1))),IF(E1369&lt;=0,0,MAX(0,(B1369/E1369)*I1369/INDEX(Surface_Engine!$B$12:$B$72,$A1369+1)-F1369/INDEX(Surface_Engine!$B$12:$B$72,$A1369+1))),IF($A1369&lt;$Q$1329,MAX(0,-Assumptions!$B$22*(F1369/INDEX(Surface_Engine!$B$12:$B$72,$A1369+1))),0)))*(MAX(0,J1369/INDEX(Surface_Engine!$B$12:$B$72,$A1369+1)-(F1369/INDEX(Surface_Engine!$B$12:$B$72,$A1369+1)))))</f>
        <v>27.0522496353323</v>
      </c>
      <c r="L1369" s="48" t="n">
        <f aca="false">K1369*INDEX(Surface_Engine!$B$12:$B$72,$A1369+1)+L1370</f>
        <v>16.8840650977597</v>
      </c>
      <c r="M1369" s="48" t="n">
        <f aca="false">M1368+B1368*(IF($A1368&lt;$Q$1329,(Surface_Engine!G248*12)-(Surface_Engine!G248*12)*INDEX(Surface_Engine!$F$12:$F$72,$A1368+1)-INDEX(Surface_Engine!$D$12:$D$72,$A1368+1),-(1000*12*INDEX(Surface_Engine!$C$12:$C$72,$A1368+1)/(1+Assumptions!$B$10)^8+INDEX(Surface_Engine!$D$12:$D$72,$A1368+1))))*INDEX(Surface_Engine!$B$12:$B$72,$A1368+1)</f>
        <v>3163.53080616081</v>
      </c>
      <c r="N1369" s="12" t="n">
        <f aca="false">IF(B1369&lt;=0,0,MAX(0,(K1369+Assumptions!$B$29*L1369/INDEX(Surface_Engine!$B$12:$B$72,$A1369+1)-(M1369/INDEX(Surface_Engine!$B$12:$B$72,$A1369+1)-(F1369/INDEX(Surface_Engine!$B$12:$B$72,$A1369+1))))/B1369))</f>
        <v>0</v>
      </c>
    </row>
    <row r="1370" customFormat="false" ht="15" hidden="false" customHeight="true" outlineLevel="0" collapsed="false">
      <c r="A1370" s="1" t="n">
        <v>39</v>
      </c>
      <c r="B1370" s="32" t="n">
        <f aca="false">INDEX(Surface_Engine!$S$12:$S$72,$A1370+1)*IF($A1370&lt;$Q$1329,INDEX(Surface_Engine!$E$12:$E$72,$A1370+1),INDEX(Surface_Engine!$E$12:$E$72,$Q$1329+1))</f>
        <v>0.00145312354317816</v>
      </c>
      <c r="C1370" s="32" t="n">
        <f aca="false">INDEX(Panel_Reserving!$G$8:$G$68,$A1370+1)*IF($A1370&lt;$Q$1329,INDEX(Surface_Engine!$E$12:$E$72,$A1370+1),INDEX(Surface_Engine!$E$12:$E$72,$Q$1329+1))</f>
        <v>0.00620421426913226</v>
      </c>
      <c r="D1370" s="32" t="n">
        <f aca="false">INDEX(Surface_Engine!$S$12:$S$72,$A1370+1)*IF($A1370&lt;$Q$1329,INDEX(Surface_Engine!$Y$12:$Y$72,$A1370+1),INDEX(Surface_Engine!$Y$12:$Y$72,$Q$1329+1))</f>
        <v>0.00135945274802625</v>
      </c>
      <c r="E1370" s="32" t="n">
        <f aca="false">INDEX(Surface_Engine!$S$12:$S$72,$A1370+1)*IF($A1370&lt;$Q$1329,INDEX(Surface_Engine!$Z$12:$Z$72,$A1370+1),INDEX(Surface_Engine!$Z$12:$Z$72,$Q$1329+1))</f>
        <v>0.00155205249467584</v>
      </c>
      <c r="F1370" s="48" t="n">
        <f aca="false">B1370*(IF($A1370&lt;$Q$1329,INDEX(Surface_Engine!$D$12:$D$72,$A1370+1)+(Surface_Engine!G248*12)*INDEX(Surface_Engine!$F$12:$F$72,$A1370+1)-(Surface_Engine!G248*12),1000*12*INDEX(Surface_Engine!$C$12:$C$72,$A1370+1)/(1+Assumptions!$B$10)^8+INDEX(Surface_Engine!$D$12:$D$72,$A1370+1)))*INDEX(Surface_Engine!$B$12:$B$72,$A1370+1)+F1371</f>
        <v>19.7470750625287</v>
      </c>
      <c r="G1370" s="48" t="n">
        <f aca="false">C1370*(IF($A1370&lt;$Q$1329,INDEX(Surface_Engine!$D$12:$D$72,$A1370+1)+(Surface_Engine!G248*12)*INDEX(Surface_Engine!$F$12:$F$72,$A1370+1)-(Surface_Engine!G248*12),1000*12*INDEX(Surface_Engine!$C$12:$C$72,$A1370+1)/(1+Assumptions!$B$10)^8+INDEX(Surface_Engine!$D$12:$D$72,$A1370+1)))*INDEX(Surface_Engine!$B$12:$B$72,$A1370+1)+G1371</f>
        <v>102.973348303035</v>
      </c>
      <c r="H1370" s="48" t="n">
        <f aca="false">D1370*(IF($A1370&lt;$Q$1329,INDEX(Surface_Engine!$D$12:$D$72,$A1370+1)+(Surface_Engine!G248*12)*INDEX(Surface_Engine!$F$12:$F$72,$A1370+1)-(Surface_Engine!G248*12),1000*12*INDEX(Surface_Engine!$C$12:$C$72,$A1370+1)/(1+Assumptions!$B$10)^8+INDEX(Surface_Engine!$D$12:$D$72,$A1370+1)))*INDEX(Surface_Engine!$B$12:$B$72,$A1370+1)+H1371</f>
        <v>18.4741452887904</v>
      </c>
      <c r="I1370" s="48" t="n">
        <f aca="false">E1370*(IF($A1370&lt;$Q$1329,INDEX(Surface_Engine!$D$12:$D$72,$A1370+1)+(Surface_Engine!G248*12)*INDEX(Surface_Engine!$F$12:$F$72,$A1370+1)-(Surface_Engine!G248*12),1000*12*INDEX(Surface_Engine!$C$12:$C$72,$A1370+1)/(1+Assumptions!$B$10)^8+INDEX(Surface_Engine!$D$12:$D$72,$A1370+1)))*INDEX(Surface_Engine!$B$12:$B$72,$A1370+1)+I1371</f>
        <v>21.0914600188203</v>
      </c>
      <c r="J1370" s="48" t="n">
        <f aca="false">B1370*(IF($A1370&lt;$Q$1329,INDEX(Surface_Engine!$D$12:$D$72,$A1370+1)*(1+Assumptions!$B$24)+(Surface_Engine!G248*12)*INDEX(Surface_Engine!$F$12:$F$72,$A1370+1)-(Surface_Engine!G248*12),1000*12*INDEX(Surface_Engine!$C$12:$C$72,$A1370+1)/(1+Assumptions!$B$10)^8+INDEX(Surface_Engine!$D$12:$D$72,$A1370+1)*(1+Assumptions!$B$24)))*INDEX(Surface_Engine!$B$12:$B$72,$A1370+1)+J1371</f>
        <v>19.7661164961901</v>
      </c>
      <c r="K1370" s="12" t="n">
        <f aca="false">SQRT((IF(C1370&lt;=0,0,MAX(0,(B1370/C1370)*G1370/INDEX(Surface_Engine!$B$12:$B$72,$A1370+1)-F1370/INDEX(Surface_Engine!$B$12:$B$72,$A1370+1))))^2+(MAX(IF(D1370&lt;=0,0,MAX(0,(B1370/D1370)*H1370/INDEX(Surface_Engine!$B$12:$B$72,$A1370+1)-F1370/INDEX(Surface_Engine!$B$12:$B$72,$A1370+1))),IF(E1370&lt;=0,0,MAX(0,(B1370/E1370)*I1370/INDEX(Surface_Engine!$B$12:$B$72,$A1370+1)-F1370/INDEX(Surface_Engine!$B$12:$B$72,$A1370+1))),IF($A1370&lt;$Q$1329,MAX(0,-Assumptions!$B$22*(F1370/INDEX(Surface_Engine!$B$12:$B$72,$A1370+1))),0)))^2+(MAX(0,J1370/INDEX(Surface_Engine!$B$12:$B$72,$A1370+1)-(F1370/INDEX(Surface_Engine!$B$12:$B$72,$A1370+1))))^2+2*Assumptions!$B$26*(IF(C1370&lt;=0,0,MAX(0,(B1370/C1370)*G1370/INDEX(Surface_Engine!$B$12:$B$72,$A1370+1)-F1370/INDEX(Surface_Engine!$B$12:$B$72,$A1370+1))))*(MAX(IF(D1370&lt;=0,0,MAX(0,(B1370/D1370)*H1370/INDEX(Surface_Engine!$B$12:$B$72,$A1370+1)-F1370/INDEX(Surface_Engine!$B$12:$B$72,$A1370+1))),IF(E1370&lt;=0,0,MAX(0,(B1370/E1370)*I1370/INDEX(Surface_Engine!$B$12:$B$72,$A1370+1)-F1370/INDEX(Surface_Engine!$B$12:$B$72,$A1370+1))),IF($A1370&lt;$Q$1329,MAX(0,-Assumptions!$B$22*(F1370/INDEX(Surface_Engine!$B$12:$B$72,$A1370+1))),0)))+2*Assumptions!$B$27*(IF(C1370&lt;=0,0,MAX(0,(B1370/C1370)*G1370/INDEX(Surface_Engine!$B$12:$B$72,$A1370+1)-F1370/INDEX(Surface_Engine!$B$12:$B$72,$A1370+1))))*(MAX(0,J1370/INDEX(Surface_Engine!$B$12:$B$72,$A1370+1)-(F1370/INDEX(Surface_Engine!$B$12:$B$72,$A1370+1))))+2*Assumptions!$B$28*(MAX(IF(D1370&lt;=0,0,MAX(0,(B1370/D1370)*H1370/INDEX(Surface_Engine!$B$12:$B$72,$A1370+1)-F1370/INDEX(Surface_Engine!$B$12:$B$72,$A1370+1))),IF(E1370&lt;=0,0,MAX(0,(B1370/E1370)*I1370/INDEX(Surface_Engine!$B$12:$B$72,$A1370+1)-F1370/INDEX(Surface_Engine!$B$12:$B$72,$A1370+1))),IF($A1370&lt;$Q$1329,MAX(0,-Assumptions!$B$22*(F1370/INDEX(Surface_Engine!$B$12:$B$72,$A1370+1))),0)))*(MAX(0,J1370/INDEX(Surface_Engine!$B$12:$B$72,$A1370+1)-(F1370/INDEX(Surface_Engine!$B$12:$B$72,$A1370+1)))))</f>
        <v>14.9413595854237</v>
      </c>
      <c r="L1370" s="48" t="n">
        <f aca="false">K1370*INDEX(Surface_Engine!$B$12:$B$72,$A1370+1)+L1371</f>
        <v>8.7051684233429</v>
      </c>
      <c r="M1370" s="48" t="n">
        <f aca="false">M1369+B1369*(IF($A1369&lt;$Q$1329,(Surface_Engine!G248*12)-(Surface_Engine!G248*12)*INDEX(Surface_Engine!$F$12:$F$72,$A1369+1)-INDEX(Surface_Engine!$D$12:$D$72,$A1369+1),-(1000*12*INDEX(Surface_Engine!$C$12:$C$72,$A1369+1)/(1+Assumptions!$B$10)^8+INDEX(Surface_Engine!$D$12:$D$72,$A1369+1))))*INDEX(Surface_Engine!$B$12:$B$72,$A1369+1)</f>
        <v>3146.29554600217</v>
      </c>
      <c r="N1370" s="12" t="n">
        <f aca="false">IF(B1370&lt;=0,0,MAX(0,(K1370+Assumptions!$B$29*L1370/INDEX(Surface_Engine!$B$12:$B$72,$A1370+1)-(M1370/INDEX(Surface_Engine!$B$12:$B$72,$A1370+1)-(F1370/INDEX(Surface_Engine!$B$12:$B$72,$A1370+1))))/B1370))</f>
        <v>0</v>
      </c>
    </row>
    <row r="1371" customFormat="false" ht="15" hidden="false" customHeight="true" outlineLevel="0" collapsed="false">
      <c r="A1371" s="1" t="n">
        <v>40</v>
      </c>
      <c r="B1371" s="32" t="n">
        <f aca="false">INDEX(Surface_Engine!$S$12:$S$72,$A1371+1)*IF($A1371&lt;$Q$1329,INDEX(Surface_Engine!$E$12:$E$72,$A1371+1),INDEX(Surface_Engine!$E$12:$E$72,$Q$1329+1))</f>
        <v>0.000787246915177864</v>
      </c>
      <c r="C1371" s="32" t="n">
        <f aca="false">INDEX(Panel_Reserving!$G$8:$G$68,$A1371+1)*IF($A1371&lt;$Q$1329,INDEX(Surface_Engine!$E$12:$E$72,$A1371+1),INDEX(Surface_Engine!$E$12:$E$72,$Q$1329+1))</f>
        <v>0.00392980818917263</v>
      </c>
      <c r="D1371" s="32" t="n">
        <f aca="false">INDEX(Surface_Engine!$S$12:$S$72,$A1371+1)*IF($A1371&lt;$Q$1329,INDEX(Surface_Engine!$Y$12:$Y$72,$A1371+1),INDEX(Surface_Engine!$Y$12:$Y$72,$Q$1329+1))</f>
        <v>0.000736499650864521</v>
      </c>
      <c r="E1371" s="32" t="n">
        <f aca="false">INDEX(Surface_Engine!$S$12:$S$72,$A1371+1)*IF($A1371&lt;$Q$1329,INDEX(Surface_Engine!$Z$12:$Z$72,$A1371+1),INDEX(Surface_Engine!$Z$12:$Z$72,$Q$1329+1))</f>
        <v>0.000840842848059103</v>
      </c>
      <c r="F1371" s="48" t="n">
        <f aca="false">B1371*(IF($A1371&lt;$Q$1329,INDEX(Surface_Engine!$D$12:$D$72,$A1371+1)+(Surface_Engine!G248*12)*INDEX(Surface_Engine!$F$12:$F$72,$A1371+1)-(Surface_Engine!G248*12),1000*12*INDEX(Surface_Engine!$C$12:$C$72,$A1371+1)/(1+Assumptions!$B$10)^8+INDEX(Surface_Engine!$D$12:$D$72,$A1371+1)))*INDEX(Surface_Engine!$B$12:$B$72,$A1371+1)+F1372</f>
        <v>10.220594990908</v>
      </c>
      <c r="G1371" s="48" t="n">
        <f aca="false">C1371*(IF($A1371&lt;$Q$1329,INDEX(Surface_Engine!$D$12:$D$72,$A1371+1)+(Surface_Engine!G248*12)*INDEX(Surface_Engine!$F$12:$F$72,$A1371+1)-(Surface_Engine!G248*12),1000*12*INDEX(Surface_Engine!$C$12:$C$72,$A1371+1)/(1+Assumptions!$B$10)^8+INDEX(Surface_Engine!$D$12:$D$72,$A1371+1)))*INDEX(Surface_Engine!$B$12:$B$72,$A1371+1)+G1372</f>
        <v>62.2993644064664</v>
      </c>
      <c r="H1371" s="48" t="n">
        <f aca="false">D1371*(IF($A1371&lt;$Q$1329,INDEX(Surface_Engine!$D$12:$D$72,$A1371+1)+(Surface_Engine!G248*12)*INDEX(Surface_Engine!$F$12:$F$72,$A1371+1)-(Surface_Engine!G248*12),1000*12*INDEX(Surface_Engine!$C$12:$C$72,$A1371+1)/(1+Assumptions!$B$10)^8+INDEX(Surface_Engine!$D$12:$D$72,$A1371+1)))*INDEX(Surface_Engine!$B$12:$B$72,$A1371+1)+H1372</f>
        <v>9.56175819467096</v>
      </c>
      <c r="I1371" s="48" t="n">
        <f aca="false">E1371*(IF($A1371&lt;$Q$1329,INDEX(Surface_Engine!$D$12:$D$72,$A1371+1)+(Surface_Engine!G248*12)*INDEX(Surface_Engine!$F$12:$F$72,$A1371+1)-(Surface_Engine!G248*12),1000*12*INDEX(Surface_Engine!$C$12:$C$72,$A1371+1)/(1+Assumptions!$B$10)^8+INDEX(Surface_Engine!$D$12:$D$72,$A1371+1)))*INDEX(Surface_Engine!$B$12:$B$72,$A1371+1)+I1372</f>
        <v>10.9164152127189</v>
      </c>
      <c r="J1371" s="48" t="n">
        <f aca="false">B1371*(IF($A1371&lt;$Q$1329,INDEX(Surface_Engine!$D$12:$D$72,$A1371+1)*(1+Assumptions!$B$24)+(Surface_Engine!G248*12)*INDEX(Surface_Engine!$F$12:$F$72,$A1371+1)-(Surface_Engine!G248*12),1000*12*INDEX(Surface_Engine!$C$12:$C$72,$A1371+1)/(1+Assumptions!$B$10)^8+INDEX(Surface_Engine!$D$12:$D$72,$A1371+1)*(1+Assumptions!$B$24)))*INDEX(Surface_Engine!$B$12:$B$72,$A1371+1)+J1372</f>
        <v>10.2304952275113</v>
      </c>
      <c r="K1371" s="12" t="n">
        <f aca="false">SQRT((IF(C1371&lt;=0,0,MAX(0,(B1371/C1371)*G1371/INDEX(Surface_Engine!$B$12:$B$72,$A1371+1)-F1371/INDEX(Surface_Engine!$B$12:$B$72,$A1371+1))))^2+(MAX(IF(D1371&lt;=0,0,MAX(0,(B1371/D1371)*H1371/INDEX(Surface_Engine!$B$12:$B$72,$A1371+1)-F1371/INDEX(Surface_Engine!$B$12:$B$72,$A1371+1))),IF(E1371&lt;=0,0,MAX(0,(B1371/E1371)*I1371/INDEX(Surface_Engine!$B$12:$B$72,$A1371+1)-F1371/INDEX(Surface_Engine!$B$12:$B$72,$A1371+1))),IF($A1371&lt;$Q$1329,MAX(0,-Assumptions!$B$22*(F1371/INDEX(Surface_Engine!$B$12:$B$72,$A1371+1))),0)))^2+(MAX(0,J1371/INDEX(Surface_Engine!$B$12:$B$72,$A1371+1)-(F1371/INDEX(Surface_Engine!$B$12:$B$72,$A1371+1))))^2+2*Assumptions!$B$26*(IF(C1371&lt;=0,0,MAX(0,(B1371/C1371)*G1371/INDEX(Surface_Engine!$B$12:$B$72,$A1371+1)-F1371/INDEX(Surface_Engine!$B$12:$B$72,$A1371+1))))*(MAX(IF(D1371&lt;=0,0,MAX(0,(B1371/D1371)*H1371/INDEX(Surface_Engine!$B$12:$B$72,$A1371+1)-F1371/INDEX(Surface_Engine!$B$12:$B$72,$A1371+1))),IF(E1371&lt;=0,0,MAX(0,(B1371/E1371)*I1371/INDEX(Surface_Engine!$B$12:$B$72,$A1371+1)-F1371/INDEX(Surface_Engine!$B$12:$B$72,$A1371+1))),IF($A1371&lt;$Q$1329,MAX(0,-Assumptions!$B$22*(F1371/INDEX(Surface_Engine!$B$12:$B$72,$A1371+1))),0)))+2*Assumptions!$B$27*(IF(C1371&lt;=0,0,MAX(0,(B1371/C1371)*G1371/INDEX(Surface_Engine!$B$12:$B$72,$A1371+1)-F1371/INDEX(Surface_Engine!$B$12:$B$72,$A1371+1))))*(MAX(0,J1371/INDEX(Surface_Engine!$B$12:$B$72,$A1371+1)-(F1371/INDEX(Surface_Engine!$B$12:$B$72,$A1371+1))))+2*Assumptions!$B$28*(MAX(IF(D1371&lt;=0,0,MAX(0,(B1371/D1371)*H1371/INDEX(Surface_Engine!$B$12:$B$72,$A1371+1)-F1371/INDEX(Surface_Engine!$B$12:$B$72,$A1371+1))),IF(E1371&lt;=0,0,MAX(0,(B1371/E1371)*I1371/INDEX(Surface_Engine!$B$12:$B$72,$A1371+1)-F1371/INDEX(Surface_Engine!$B$12:$B$72,$A1371+1))),IF($A1371&lt;$Q$1329,MAX(0,-Assumptions!$B$22*(F1371/INDEX(Surface_Engine!$B$12:$B$72,$A1371+1))),0)))*(MAX(0,J1371/INDEX(Surface_Engine!$B$12:$B$72,$A1371+1)-(F1371/INDEX(Surface_Engine!$B$12:$B$72,$A1371+1)))))</f>
        <v>7.9776943011229</v>
      </c>
      <c r="L1371" s="48" t="n">
        <f aca="false">K1371*INDEX(Surface_Engine!$B$12:$B$72,$A1371+1)+L1372</f>
        <v>4.32948345347095</v>
      </c>
      <c r="M1371" s="48" t="n">
        <f aca="false">M1370+B1370*(IF($A1370&lt;$Q$1329,(Surface_Engine!G248*12)-(Surface_Engine!G248*12)*INDEX(Surface_Engine!$F$12:$F$72,$A1370+1)-INDEX(Surface_Engine!$D$12:$D$72,$A1370+1),-(1000*12*INDEX(Surface_Engine!$C$12:$C$72,$A1370+1)/(1+Assumptions!$B$10)^8+INDEX(Surface_Engine!$D$12:$D$72,$A1370+1))))*INDEX(Surface_Engine!$B$12:$B$72,$A1370+1)</f>
        <v>3136.76906593055</v>
      </c>
      <c r="N1371" s="12" t="n">
        <f aca="false">IF(B1371&lt;=0,0,MAX(0,(K1371+Assumptions!$B$29*L1371/INDEX(Surface_Engine!$B$12:$B$72,$A1371+1)-(M1371/INDEX(Surface_Engine!$B$12:$B$72,$A1371+1)-(F1371/INDEX(Surface_Engine!$B$12:$B$72,$A1371+1))))/B1371))</f>
        <v>0</v>
      </c>
    </row>
    <row r="1372" customFormat="false" ht="15" hidden="false" customHeight="true" outlineLevel="0" collapsed="false">
      <c r="A1372" s="1" t="n">
        <v>41</v>
      </c>
      <c r="B1372" s="32" t="n">
        <f aca="false">INDEX(Surface_Engine!$S$12:$S$72,$A1372+1)*IF($A1372&lt;$Q$1329,INDEX(Surface_Engine!$E$12:$E$72,$A1372+1),INDEX(Surface_Engine!$E$12:$E$72,$Q$1329+1))</f>
        <v>0.000412664144570544</v>
      </c>
      <c r="C1372" s="32" t="n">
        <f aca="false">INDEX(Panel_Reserving!$G$8:$G$68,$A1372+1)*IF($A1372&lt;$Q$1329,INDEX(Surface_Engine!$E$12:$E$72,$A1372+1),INDEX(Surface_Engine!$E$12:$E$72,$Q$1329+1))</f>
        <v>0.00243392331638347</v>
      </c>
      <c r="D1372" s="32" t="n">
        <f aca="false">INDEX(Surface_Engine!$S$12:$S$72,$A1372+1)*IF($A1372&lt;$Q$1329,INDEX(Surface_Engine!$Y$12:$Y$72,$A1372+1),INDEX(Surface_Engine!$Y$12:$Y$72,$Q$1329+1))</f>
        <v>0.000386063117607574</v>
      </c>
      <c r="E1372" s="32" t="n">
        <f aca="false">INDEX(Surface_Engine!$S$12:$S$72,$A1372+1)*IF($A1372&lt;$Q$1329,INDEX(Surface_Engine!$Z$12:$Z$72,$A1372+1),INDEX(Surface_Engine!$Z$12:$Z$72,$Q$1329+1))</f>
        <v>0.000440758404920741</v>
      </c>
      <c r="F1372" s="48" t="n">
        <f aca="false">B1372*(IF($A1372&lt;$Q$1329,INDEX(Surface_Engine!$D$12:$D$72,$A1372+1)+(Surface_Engine!G248*12)*INDEX(Surface_Engine!$F$12:$F$72,$A1372+1)-(Surface_Engine!G248*12),1000*12*INDEX(Surface_Engine!$C$12:$C$72,$A1372+1)/(1+Assumptions!$B$10)^8+INDEX(Surface_Engine!$D$12:$D$72,$A1372+1)))*INDEX(Surface_Engine!$B$12:$B$72,$A1372+1)+F1373</f>
        <v>5.12318765636445</v>
      </c>
      <c r="G1372" s="48" t="n">
        <f aca="false">C1372*(IF($A1372&lt;$Q$1329,INDEX(Surface_Engine!$D$12:$D$72,$A1372+1)+(Surface_Engine!G248*12)*INDEX(Surface_Engine!$F$12:$F$72,$A1372+1)-(Surface_Engine!G248*12),1000*12*INDEX(Surface_Engine!$C$12:$C$72,$A1372+1)/(1+Assumptions!$B$10)^8+INDEX(Surface_Engine!$D$12:$D$72,$A1372+1)))*INDEX(Surface_Engine!$B$12:$B$72,$A1372+1)+G1373</f>
        <v>36.8539384535278</v>
      </c>
      <c r="H1372" s="48" t="n">
        <f aca="false">D1372*(IF($A1372&lt;$Q$1329,INDEX(Surface_Engine!$D$12:$D$72,$A1372+1)+(Surface_Engine!G248*12)*INDEX(Surface_Engine!$F$12:$F$72,$A1372+1)-(Surface_Engine!G248*12),1000*12*INDEX(Surface_Engine!$C$12:$C$72,$A1372+1)/(1+Assumptions!$B$10)^8+INDEX(Surface_Engine!$D$12:$D$72,$A1372+1)))*INDEX(Surface_Engine!$B$12:$B$72,$A1372+1)+H1373</f>
        <v>4.79293833672673</v>
      </c>
      <c r="I1372" s="48" t="n">
        <f aca="false">E1372*(IF($A1372&lt;$Q$1329,INDEX(Surface_Engine!$D$12:$D$72,$A1372+1)+(Surface_Engine!G248*12)*INDEX(Surface_Engine!$F$12:$F$72,$A1372+1)-(Surface_Engine!G248*12),1000*12*INDEX(Surface_Engine!$C$12:$C$72,$A1372+1)/(1+Assumptions!$B$10)^8+INDEX(Surface_Engine!$D$12:$D$72,$A1372+1)))*INDEX(Surface_Engine!$B$12:$B$72,$A1372+1)+I1373</f>
        <v>5.47197533209191</v>
      </c>
      <c r="J1372" s="48" t="n">
        <f aca="false">B1372*(IF($A1372&lt;$Q$1329,INDEX(Surface_Engine!$D$12:$D$72,$A1372+1)*(1+Assumptions!$B$24)+(Surface_Engine!G248*12)*INDEX(Surface_Engine!$F$12:$F$72,$A1372+1)-(Surface_Engine!G248*12),1000*12*INDEX(Surface_Engine!$C$12:$C$72,$A1372+1)/(1+Assumptions!$B$10)^8+INDEX(Surface_Engine!$D$12:$D$72,$A1372+1)*(1+Assumptions!$B$24)))*INDEX(Surface_Engine!$B$12:$B$72,$A1372+1)+J1373</f>
        <v>5.12817289646041</v>
      </c>
      <c r="K1372" s="12" t="n">
        <f aca="false">SQRT((IF(C1372&lt;=0,0,MAX(0,(B1372/C1372)*G1372/INDEX(Surface_Engine!$B$12:$B$72,$A1372+1)-F1372/INDEX(Surface_Engine!$B$12:$B$72,$A1372+1))))^2+(MAX(IF(D1372&lt;=0,0,MAX(0,(B1372/D1372)*H1372/INDEX(Surface_Engine!$B$12:$B$72,$A1372+1)-F1372/INDEX(Surface_Engine!$B$12:$B$72,$A1372+1))),IF(E1372&lt;=0,0,MAX(0,(B1372/E1372)*I1372/INDEX(Surface_Engine!$B$12:$B$72,$A1372+1)-F1372/INDEX(Surface_Engine!$B$12:$B$72,$A1372+1))),IF($A1372&lt;$Q$1329,MAX(0,-Assumptions!$B$22*(F1372/INDEX(Surface_Engine!$B$12:$B$72,$A1372+1))),0)))^2+(MAX(0,J1372/INDEX(Surface_Engine!$B$12:$B$72,$A1372+1)-(F1372/INDEX(Surface_Engine!$B$12:$B$72,$A1372+1))))^2+2*Assumptions!$B$26*(IF(C1372&lt;=0,0,MAX(0,(B1372/C1372)*G1372/INDEX(Surface_Engine!$B$12:$B$72,$A1372+1)-F1372/INDEX(Surface_Engine!$B$12:$B$72,$A1372+1))))*(MAX(IF(D1372&lt;=0,0,MAX(0,(B1372/D1372)*H1372/INDEX(Surface_Engine!$B$12:$B$72,$A1372+1)-F1372/INDEX(Surface_Engine!$B$12:$B$72,$A1372+1))),IF(E1372&lt;=0,0,MAX(0,(B1372/E1372)*I1372/INDEX(Surface_Engine!$B$12:$B$72,$A1372+1)-F1372/INDEX(Surface_Engine!$B$12:$B$72,$A1372+1))),IF($A1372&lt;$Q$1329,MAX(0,-Assumptions!$B$22*(F1372/INDEX(Surface_Engine!$B$12:$B$72,$A1372+1))),0)))+2*Assumptions!$B$27*(IF(C1372&lt;=0,0,MAX(0,(B1372/C1372)*G1372/INDEX(Surface_Engine!$B$12:$B$72,$A1372+1)-F1372/INDEX(Surface_Engine!$B$12:$B$72,$A1372+1))))*(MAX(0,J1372/INDEX(Surface_Engine!$B$12:$B$72,$A1372+1)-(F1372/INDEX(Surface_Engine!$B$12:$B$72,$A1372+1))))+2*Assumptions!$B$28*(MAX(IF(D1372&lt;=0,0,MAX(0,(B1372/D1372)*H1372/INDEX(Surface_Engine!$B$12:$B$72,$A1372+1)-F1372/INDEX(Surface_Engine!$B$12:$B$72,$A1372+1))),IF(E1372&lt;=0,0,MAX(0,(B1372/E1372)*I1372/INDEX(Surface_Engine!$B$12:$B$72,$A1372+1)-F1372/INDEX(Surface_Engine!$B$12:$B$72,$A1372+1))),IF($A1372&lt;$Q$1329,MAX(0,-Assumptions!$B$22*(F1372/INDEX(Surface_Engine!$B$12:$B$72,$A1372+1))),0)))*(MAX(0,J1372/INDEX(Surface_Engine!$B$12:$B$72,$A1372+1)-(F1372/INDEX(Surface_Engine!$B$12:$B$72,$A1372+1)))))</f>
        <v>4.10328583944688</v>
      </c>
      <c r="L1372" s="48" t="n">
        <f aca="false">K1372*INDEX(Surface_Engine!$B$12:$B$72,$A1372+1)+L1373</f>
        <v>2.06733465438541</v>
      </c>
      <c r="M1372" s="48" t="n">
        <f aca="false">M1371+B1371*(IF($A1371&lt;$Q$1329,(Surface_Engine!G248*12)-(Surface_Engine!G248*12)*INDEX(Surface_Engine!$F$12:$F$72,$A1371+1)-INDEX(Surface_Engine!$D$12:$D$72,$A1371+1),-(1000*12*INDEX(Surface_Engine!$C$12:$C$72,$A1371+1)/(1+Assumptions!$B$10)^8+INDEX(Surface_Engine!$D$12:$D$72,$A1371+1))))*INDEX(Surface_Engine!$B$12:$B$72,$A1371+1)</f>
        <v>3131.67165859601</v>
      </c>
      <c r="N1372" s="12" t="n">
        <f aca="false">IF(B1372&lt;=0,0,MAX(0,(K1372+Assumptions!$B$29*L1372/INDEX(Surface_Engine!$B$12:$B$72,$A1372+1)-(M1372/INDEX(Surface_Engine!$B$12:$B$72,$A1372+1)-(F1372/INDEX(Surface_Engine!$B$12:$B$72,$A1372+1))))/B1372))</f>
        <v>0</v>
      </c>
    </row>
    <row r="1373" customFormat="false" ht="15" hidden="false" customHeight="true" outlineLevel="0" collapsed="false">
      <c r="A1373" s="1" t="n">
        <v>42</v>
      </c>
      <c r="B1373" s="32" t="n">
        <f aca="false">INDEX(Surface_Engine!$S$12:$S$72,$A1373+1)*IF($A1373&lt;$Q$1329,INDEX(Surface_Engine!$E$12:$E$72,$A1373+1),INDEX(Surface_Engine!$E$12:$E$72,$Q$1329+1))</f>
        <v>0.000209112184358464</v>
      </c>
      <c r="C1373" s="32" t="n">
        <f aca="false">INDEX(Panel_Reserving!$G$8:$G$68,$A1373+1)*IF($A1373&lt;$Q$1329,INDEX(Surface_Engine!$E$12:$E$72,$A1373+1),INDEX(Surface_Engine!$E$12:$E$72,$Q$1329+1))</f>
        <v>0.00147347183335709</v>
      </c>
      <c r="D1373" s="32" t="n">
        <f aca="false">INDEX(Surface_Engine!$S$12:$S$72,$A1373+1)*IF($A1373&lt;$Q$1329,INDEX(Surface_Engine!$Y$12:$Y$72,$A1373+1),INDEX(Surface_Engine!$Y$12:$Y$72,$Q$1329+1))</f>
        <v>0.000195632460162426</v>
      </c>
      <c r="E1373" s="32" t="n">
        <f aca="false">INDEX(Surface_Engine!$S$12:$S$72,$A1373+1)*IF($A1373&lt;$Q$1329,INDEX(Surface_Engine!$Z$12:$Z$72,$A1373+1),INDEX(Surface_Engine!$Z$12:$Z$72,$Q$1329+1))</f>
        <v>0.000223348585138762</v>
      </c>
      <c r="F1373" s="48" t="n">
        <f aca="false">B1373*(IF($A1373&lt;$Q$1329,INDEX(Surface_Engine!$D$12:$D$72,$A1373+1)+(Surface_Engine!G248*12)*INDEX(Surface_Engine!$F$12:$F$72,$A1373+1)-(Surface_Engine!G248*12),1000*12*INDEX(Surface_Engine!$C$12:$C$72,$A1373+1)/(1+Assumptions!$B$10)^8+INDEX(Surface_Engine!$D$12:$D$72,$A1373+1)))*INDEX(Surface_Engine!$B$12:$B$72,$A1373+1)+F1374</f>
        <v>2.48426398841273</v>
      </c>
      <c r="G1373" s="48" t="n">
        <f aca="false">C1373*(IF($A1373&lt;$Q$1329,INDEX(Surface_Engine!$D$12:$D$72,$A1373+1)+(Surface_Engine!G248*12)*INDEX(Surface_Engine!$F$12:$F$72,$A1373+1)-(Surface_Engine!G248*12),1000*12*INDEX(Surface_Engine!$C$12:$C$72,$A1373+1)/(1+Assumptions!$B$10)^8+INDEX(Surface_Engine!$D$12:$D$72,$A1373+1)))*INDEX(Surface_Engine!$B$12:$B$72,$A1373+1)+G1374</f>
        <v>21.2893735886346</v>
      </c>
      <c r="H1373" s="48" t="n">
        <f aca="false">D1373*(IF($A1373&lt;$Q$1329,INDEX(Surface_Engine!$D$12:$D$72,$A1373+1)+(Surface_Engine!G248*12)*INDEX(Surface_Engine!$F$12:$F$72,$A1373+1)-(Surface_Engine!G248*12),1000*12*INDEX(Surface_Engine!$C$12:$C$72,$A1373+1)/(1+Assumptions!$B$10)^8+INDEX(Surface_Engine!$D$12:$D$72,$A1373+1)))*INDEX(Surface_Engine!$B$12:$B$72,$A1373+1)+H1374</f>
        <v>2.32412414052826</v>
      </c>
      <c r="I1373" s="48" t="n">
        <f aca="false">E1373*(IF($A1373&lt;$Q$1329,INDEX(Surface_Engine!$D$12:$D$72,$A1373+1)+(Surface_Engine!G248*12)*INDEX(Surface_Engine!$F$12:$F$72,$A1373+1)-(Surface_Engine!G248*12),1000*12*INDEX(Surface_Engine!$C$12:$C$72,$A1373+1)/(1+Assumptions!$B$10)^8+INDEX(Surface_Engine!$D$12:$D$72,$A1373+1)))*INDEX(Surface_Engine!$B$12:$B$72,$A1373+1)+I1374</f>
        <v>2.65339319478398</v>
      </c>
      <c r="J1373" s="48" t="n">
        <f aca="false">B1373*(IF($A1373&lt;$Q$1329,INDEX(Surface_Engine!$D$12:$D$72,$A1373+1)*(1+Assumptions!$B$24)+(Surface_Engine!G248*12)*INDEX(Surface_Engine!$F$12:$F$72,$A1373+1)-(Surface_Engine!G248*12),1000*12*INDEX(Surface_Engine!$C$12:$C$72,$A1373+1)/(1+Assumptions!$B$10)^8+INDEX(Surface_Engine!$D$12:$D$72,$A1373+1)*(1+Assumptions!$B$24)))*INDEX(Surface_Engine!$B$12:$B$72,$A1373+1)+J1374</f>
        <v>2.48669238664028</v>
      </c>
      <c r="K1373" s="12" t="n">
        <f aca="false">SQRT((IF(C1373&lt;=0,0,MAX(0,(B1373/C1373)*G1373/INDEX(Surface_Engine!$B$12:$B$72,$A1373+1)-F1373/INDEX(Surface_Engine!$B$12:$B$72,$A1373+1))))^2+(MAX(IF(D1373&lt;=0,0,MAX(0,(B1373/D1373)*H1373/INDEX(Surface_Engine!$B$12:$B$72,$A1373+1)-F1373/INDEX(Surface_Engine!$B$12:$B$72,$A1373+1))),IF(E1373&lt;=0,0,MAX(0,(B1373/E1373)*I1373/INDEX(Surface_Engine!$B$12:$B$72,$A1373+1)-F1373/INDEX(Surface_Engine!$B$12:$B$72,$A1373+1))),IF($A1373&lt;$Q$1329,MAX(0,-Assumptions!$B$22*(F1373/INDEX(Surface_Engine!$B$12:$B$72,$A1373+1))),0)))^2+(MAX(0,J1373/INDEX(Surface_Engine!$B$12:$B$72,$A1373+1)-(F1373/INDEX(Surface_Engine!$B$12:$B$72,$A1373+1))))^2+2*Assumptions!$B$26*(IF(C1373&lt;=0,0,MAX(0,(B1373/C1373)*G1373/INDEX(Surface_Engine!$B$12:$B$72,$A1373+1)-F1373/INDEX(Surface_Engine!$B$12:$B$72,$A1373+1))))*(MAX(IF(D1373&lt;=0,0,MAX(0,(B1373/D1373)*H1373/INDEX(Surface_Engine!$B$12:$B$72,$A1373+1)-F1373/INDEX(Surface_Engine!$B$12:$B$72,$A1373+1))),IF(E1373&lt;=0,0,MAX(0,(B1373/E1373)*I1373/INDEX(Surface_Engine!$B$12:$B$72,$A1373+1)-F1373/INDEX(Surface_Engine!$B$12:$B$72,$A1373+1))),IF($A1373&lt;$Q$1329,MAX(0,-Assumptions!$B$22*(F1373/INDEX(Surface_Engine!$B$12:$B$72,$A1373+1))),0)))+2*Assumptions!$B$27*(IF(C1373&lt;=0,0,MAX(0,(B1373/C1373)*G1373/INDEX(Surface_Engine!$B$12:$B$72,$A1373+1)-F1373/INDEX(Surface_Engine!$B$12:$B$72,$A1373+1))))*(MAX(0,J1373/INDEX(Surface_Engine!$B$12:$B$72,$A1373+1)-(F1373/INDEX(Surface_Engine!$B$12:$B$72,$A1373+1))))+2*Assumptions!$B$28*(MAX(IF(D1373&lt;=0,0,MAX(0,(B1373/D1373)*H1373/INDEX(Surface_Engine!$B$12:$B$72,$A1373+1)-F1373/INDEX(Surface_Engine!$B$12:$B$72,$A1373+1))),IF(E1373&lt;=0,0,MAX(0,(B1373/E1373)*I1373/INDEX(Surface_Engine!$B$12:$B$72,$A1373+1)-F1373/INDEX(Surface_Engine!$B$12:$B$72,$A1373+1))),IF($A1373&lt;$Q$1329,MAX(0,-Assumptions!$B$22*(F1373/INDEX(Surface_Engine!$B$12:$B$72,$A1373+1))),0)))*(MAX(0,J1373/INDEX(Surface_Engine!$B$12:$B$72,$A1373+1)-(F1373/INDEX(Surface_Engine!$B$12:$B$72,$A1373+1)))))</f>
        <v>2.02203752385719</v>
      </c>
      <c r="L1373" s="48" t="n">
        <f aca="false">K1373*INDEX(Surface_Engine!$B$12:$B$72,$A1373+1)+L1374</f>
        <v>0.940794771602437</v>
      </c>
      <c r="M1373" s="48" t="n">
        <f aca="false">M1372+B1372*(IF($A1372&lt;$Q$1329,(Surface_Engine!G248*12)-(Surface_Engine!G248*12)*INDEX(Surface_Engine!$F$12:$F$72,$A1372+1)-INDEX(Surface_Engine!$D$12:$D$72,$A1372+1),-(1000*12*INDEX(Surface_Engine!$C$12:$C$72,$A1372+1)/(1+Assumptions!$B$10)^8+INDEX(Surface_Engine!$D$12:$D$72,$A1372+1))))*INDEX(Surface_Engine!$B$12:$B$72,$A1372+1)</f>
        <v>3129.03273492806</v>
      </c>
      <c r="N1373" s="12" t="n">
        <f aca="false">IF(B1373&lt;=0,0,MAX(0,(K1373+Assumptions!$B$29*L1373/INDEX(Surface_Engine!$B$12:$B$72,$A1373+1)-(M1373/INDEX(Surface_Engine!$B$12:$B$72,$A1373+1)-(F1373/INDEX(Surface_Engine!$B$12:$B$72,$A1373+1))))/B1373))</f>
        <v>0</v>
      </c>
    </row>
    <row r="1374" customFormat="false" ht="15" hidden="false" customHeight="true" outlineLevel="0" collapsed="false">
      <c r="A1374" s="1" t="n">
        <v>43</v>
      </c>
      <c r="B1374" s="32" t="n">
        <f aca="false">INDEX(Surface_Engine!$S$12:$S$72,$A1374+1)*IF($A1374&lt;$Q$1329,INDEX(Surface_Engine!$E$12:$E$72,$A1374+1),INDEX(Surface_Engine!$E$12:$E$72,$Q$1329+1))</f>
        <v>0.000102353171599881</v>
      </c>
      <c r="C1374" s="32" t="n">
        <f aca="false">INDEX(Panel_Reserving!$G$8:$G$68,$A1374+1)*IF($A1374&lt;$Q$1329,INDEX(Surface_Engine!$E$12:$E$72,$A1374+1),INDEX(Surface_Engine!$E$12:$E$72,$Q$1329+1))</f>
        <v>0.000871665109413638</v>
      </c>
      <c r="D1374" s="32" t="n">
        <f aca="false">INDEX(Surface_Engine!$S$12:$S$72,$A1374+1)*IF($A1374&lt;$Q$1329,INDEX(Surface_Engine!$Y$12:$Y$72,$A1374+1),INDEX(Surface_Engine!$Y$12:$Y$72,$Q$1329+1))</f>
        <v>9.57553134789449E-005</v>
      </c>
      <c r="E1374" s="32" t="n">
        <f aca="false">INDEX(Surface_Engine!$S$12:$S$72,$A1374+1)*IF($A1374&lt;$Q$1329,INDEX(Surface_Engine!$Z$12:$Z$72,$A1374+1),INDEX(Surface_Engine!$Z$12:$Z$72,$Q$1329+1))</f>
        <v>0.000109321396701163</v>
      </c>
      <c r="F1374" s="48" t="n">
        <f aca="false">B1374*(IF($A1374&lt;$Q$1329,INDEX(Surface_Engine!$D$12:$D$72,$A1374+1)+(Surface_Engine!G248*12)*INDEX(Surface_Engine!$F$12:$F$72,$A1374+1)-(Surface_Engine!G248*12),1000*12*INDEX(Surface_Engine!$C$12:$C$72,$A1374+1)/(1+Assumptions!$B$10)^8+INDEX(Surface_Engine!$D$12:$D$72,$A1374+1)))*INDEX(Surface_Engine!$B$12:$B$72,$A1374+1)+F1375</f>
        <v>1.1630864987798</v>
      </c>
      <c r="G1374" s="48" t="n">
        <f aca="false">C1374*(IF($A1374&lt;$Q$1329,INDEX(Surface_Engine!$D$12:$D$72,$A1374+1)+(Surface_Engine!G248*12)*INDEX(Surface_Engine!$F$12:$F$72,$A1374+1)-(Surface_Engine!G248*12),1000*12*INDEX(Surface_Engine!$C$12:$C$72,$A1374+1)/(1+Assumptions!$B$10)^8+INDEX(Surface_Engine!$D$12:$D$72,$A1374+1)))*INDEX(Surface_Engine!$B$12:$B$72,$A1374+1)+G1375</f>
        <v>11.9799312727222</v>
      </c>
      <c r="H1374" s="48" t="n">
        <f aca="false">D1374*(IF($A1374&lt;$Q$1329,INDEX(Surface_Engine!$D$12:$D$72,$A1374+1)+(Surface_Engine!G248*12)*INDEX(Surface_Engine!$F$12:$F$72,$A1374+1)-(Surface_Engine!G248*12),1000*12*INDEX(Surface_Engine!$C$12:$C$72,$A1374+1)/(1+Assumptions!$B$10)^8+INDEX(Surface_Engine!$D$12:$D$72,$A1374+1)))*INDEX(Surface_Engine!$B$12:$B$72,$A1374+1)+H1375</f>
        <v>1.08811198083008</v>
      </c>
      <c r="I1374" s="48" t="n">
        <f aca="false">E1374*(IF($A1374&lt;$Q$1329,INDEX(Surface_Engine!$D$12:$D$72,$A1374+1)+(Surface_Engine!G248*12)*INDEX(Surface_Engine!$F$12:$F$72,$A1374+1)-(Surface_Engine!G248*12),1000*12*INDEX(Surface_Engine!$C$12:$C$72,$A1374+1)/(1+Assumptions!$B$10)^8+INDEX(Surface_Engine!$D$12:$D$72,$A1374+1)))*INDEX(Surface_Engine!$B$12:$B$72,$A1374+1)+I1375</f>
        <v>1.24226966828081</v>
      </c>
      <c r="J1374" s="48" t="n">
        <f aca="false">B1374*(IF($A1374&lt;$Q$1329,INDEX(Surface_Engine!$D$12:$D$72,$A1374+1)*(1+Assumptions!$B$24)+(Surface_Engine!G248*12)*INDEX(Surface_Engine!$F$12:$F$72,$A1374+1)-(Surface_Engine!G248*12),1000*12*INDEX(Surface_Engine!$C$12:$C$72,$A1374+1)/(1+Assumptions!$B$10)^8+INDEX(Surface_Engine!$D$12:$D$72,$A1374+1)*(1+Assumptions!$B$24)))*INDEX(Surface_Engine!$B$12:$B$72,$A1374+1)+J1375</f>
        <v>1.16422859995647</v>
      </c>
      <c r="K1374" s="12" t="n">
        <f aca="false">SQRT((IF(C1374&lt;=0,0,MAX(0,(B1374/C1374)*G1374/INDEX(Surface_Engine!$B$12:$B$72,$A1374+1)-F1374/INDEX(Surface_Engine!$B$12:$B$72,$A1374+1))))^2+(MAX(IF(D1374&lt;=0,0,MAX(0,(B1374/D1374)*H1374/INDEX(Surface_Engine!$B$12:$B$72,$A1374+1)-F1374/INDEX(Surface_Engine!$B$12:$B$72,$A1374+1))),IF(E1374&lt;=0,0,MAX(0,(B1374/E1374)*I1374/INDEX(Surface_Engine!$B$12:$B$72,$A1374+1)-F1374/INDEX(Surface_Engine!$B$12:$B$72,$A1374+1))),IF($A1374&lt;$Q$1329,MAX(0,-Assumptions!$B$22*(F1374/INDEX(Surface_Engine!$B$12:$B$72,$A1374+1))),0)))^2+(MAX(0,J1374/INDEX(Surface_Engine!$B$12:$B$72,$A1374+1)-(F1374/INDEX(Surface_Engine!$B$12:$B$72,$A1374+1))))^2+2*Assumptions!$B$26*(IF(C1374&lt;=0,0,MAX(0,(B1374/C1374)*G1374/INDEX(Surface_Engine!$B$12:$B$72,$A1374+1)-F1374/INDEX(Surface_Engine!$B$12:$B$72,$A1374+1))))*(MAX(IF(D1374&lt;=0,0,MAX(0,(B1374/D1374)*H1374/INDEX(Surface_Engine!$B$12:$B$72,$A1374+1)-F1374/INDEX(Surface_Engine!$B$12:$B$72,$A1374+1))),IF(E1374&lt;=0,0,MAX(0,(B1374/E1374)*I1374/INDEX(Surface_Engine!$B$12:$B$72,$A1374+1)-F1374/INDEX(Surface_Engine!$B$12:$B$72,$A1374+1))),IF($A1374&lt;$Q$1329,MAX(0,-Assumptions!$B$22*(F1374/INDEX(Surface_Engine!$B$12:$B$72,$A1374+1))),0)))+2*Assumptions!$B$27*(IF(C1374&lt;=0,0,MAX(0,(B1374/C1374)*G1374/INDEX(Surface_Engine!$B$12:$B$72,$A1374+1)-F1374/INDEX(Surface_Engine!$B$12:$B$72,$A1374+1))))*(MAX(0,J1374/INDEX(Surface_Engine!$B$12:$B$72,$A1374+1)-(F1374/INDEX(Surface_Engine!$B$12:$B$72,$A1374+1))))+2*Assumptions!$B$28*(MAX(IF(D1374&lt;=0,0,MAX(0,(B1374/D1374)*H1374/INDEX(Surface_Engine!$B$12:$B$72,$A1374+1)-F1374/INDEX(Surface_Engine!$B$12:$B$72,$A1374+1))),IF(E1374&lt;=0,0,MAX(0,(B1374/E1374)*I1374/INDEX(Surface_Engine!$B$12:$B$72,$A1374+1)-F1374/INDEX(Surface_Engine!$B$12:$B$72,$A1374+1))),IF($A1374&lt;$Q$1329,MAX(0,-Assumptions!$B$22*(F1374/INDEX(Surface_Engine!$B$12:$B$72,$A1374+1))),0)))*(MAX(0,J1374/INDEX(Surface_Engine!$B$12:$B$72,$A1374+1)-(F1374/INDEX(Surface_Engine!$B$12:$B$72,$A1374+1)))))</f>
        <v>0.947442937631897</v>
      </c>
      <c r="L1374" s="48" t="n">
        <f aca="false">K1374*INDEX(Surface_Engine!$B$12:$B$72,$A1374+1)+L1375</f>
        <v>0.403101072622914</v>
      </c>
      <c r="M1374" s="48" t="n">
        <f aca="false">M1373+B1373*(IF($A1373&lt;$Q$1329,(Surface_Engine!G248*12)-(Surface_Engine!G248*12)*INDEX(Surface_Engine!$F$12:$F$72,$A1373+1)-INDEX(Surface_Engine!$D$12:$D$72,$A1373+1),-(1000*12*INDEX(Surface_Engine!$C$12:$C$72,$A1373+1)/(1+Assumptions!$B$10)^8+INDEX(Surface_Engine!$D$12:$D$72,$A1373+1))))*INDEX(Surface_Engine!$B$12:$B$72,$A1373+1)</f>
        <v>3127.71155743843</v>
      </c>
      <c r="N1374" s="12" t="n">
        <f aca="false">IF(B1374&lt;=0,0,MAX(0,(K1374+Assumptions!$B$29*L1374/INDEX(Surface_Engine!$B$12:$B$72,$A1374+1)-(M1374/INDEX(Surface_Engine!$B$12:$B$72,$A1374+1)-(F1374/INDEX(Surface_Engine!$B$12:$B$72,$A1374+1))))/B1374))</f>
        <v>0</v>
      </c>
    </row>
    <row r="1375" customFormat="false" ht="15" hidden="false" customHeight="true" outlineLevel="0" collapsed="false">
      <c r="A1375" s="1" t="n">
        <v>44</v>
      </c>
      <c r="B1375" s="32" t="n">
        <f aca="false">INDEX(Surface_Engine!$S$12:$S$72,$A1375+1)*IF($A1375&lt;$Q$1329,INDEX(Surface_Engine!$E$12:$E$72,$A1375+1),INDEX(Surface_Engine!$E$12:$E$72,$Q$1329+1))</f>
        <v>4.83537311899394E-005</v>
      </c>
      <c r="C1375" s="32" t="n">
        <f aca="false">INDEX(Panel_Reserving!$G$8:$G$68,$A1375+1)*IF($A1375&lt;$Q$1329,INDEX(Surface_Engine!$E$12:$E$72,$A1375+1),INDEX(Surface_Engine!$E$12:$E$72,$Q$1329+1))</f>
        <v>0.000503766959136785</v>
      </c>
      <c r="D1375" s="32" t="n">
        <f aca="false">INDEX(Surface_Engine!$S$12:$S$72,$A1375+1)*IF($A1375&lt;$Q$1329,INDEX(Surface_Engine!$Y$12:$Y$72,$A1375+1),INDEX(Surface_Engine!$Y$12:$Y$72,$Q$1329+1))</f>
        <v>4.52367681000582E-005</v>
      </c>
      <c r="E1375" s="32" t="n">
        <f aca="false">INDEX(Surface_Engine!$S$12:$S$72,$A1375+1)*IF($A1375&lt;$Q$1329,INDEX(Surface_Engine!$Z$12:$Z$72,$A1375+1),INDEX(Surface_Engine!$Z$12:$Z$72,$Q$1329+1))</f>
        <v>5.16456632146307E-005</v>
      </c>
      <c r="F1375" s="48" t="n">
        <f aca="false">B1375*(IF($A1375&lt;$Q$1329,INDEX(Surface_Engine!$D$12:$D$72,$A1375+1)+(Surface_Engine!G248*12)*INDEX(Surface_Engine!$F$12:$F$72,$A1375+1)-(Surface_Engine!G248*12),1000*12*INDEX(Surface_Engine!$C$12:$C$72,$A1375+1)/(1+Assumptions!$B$10)^8+INDEX(Surface_Engine!$D$12:$D$72,$A1375+1)))*INDEX(Surface_Engine!$B$12:$B$72,$A1375+1)+F1376</f>
        <v>0.524461955568627</v>
      </c>
      <c r="G1375" s="48" t="n">
        <f aca="false">C1375*(IF($A1375&lt;$Q$1329,INDEX(Surface_Engine!$D$12:$D$72,$A1375+1)+(Surface_Engine!G248*12)*INDEX(Surface_Engine!$F$12:$F$72,$A1375+1)-(Surface_Engine!G248*12),1000*12*INDEX(Surface_Engine!$C$12:$C$72,$A1375+1)/(1+Assumptions!$B$10)^8+INDEX(Surface_Engine!$D$12:$D$72,$A1375+1)))*INDEX(Surface_Engine!$B$12:$B$72,$A1375+1)+G1376</f>
        <v>6.54124555706585</v>
      </c>
      <c r="H1375" s="48" t="n">
        <f aca="false">D1375*(IF($A1375&lt;$Q$1329,INDEX(Surface_Engine!$D$12:$D$72,$A1375+1)+(Surface_Engine!G248*12)*INDEX(Surface_Engine!$F$12:$F$72,$A1375+1)-(Surface_Engine!G248*12),1000*12*INDEX(Surface_Engine!$C$12:$C$72,$A1375+1)/(1+Assumptions!$B$10)^8+INDEX(Surface_Engine!$D$12:$D$72,$A1375+1)))*INDEX(Surface_Engine!$B$12:$B$72,$A1375+1)+H1376</f>
        <v>0.490654253095101</v>
      </c>
      <c r="I1375" s="48" t="n">
        <f aca="false">E1375*(IF($A1375&lt;$Q$1329,INDEX(Surface_Engine!$D$12:$D$72,$A1375+1)+(Surface_Engine!G248*12)*INDEX(Surface_Engine!$F$12:$F$72,$A1375+1)-(Surface_Engine!G248*12),1000*12*INDEX(Surface_Engine!$C$12:$C$72,$A1375+1)/(1+Assumptions!$B$10)^8+INDEX(Surface_Engine!$D$12:$D$72,$A1375+1)))*INDEX(Surface_Engine!$B$12:$B$72,$A1375+1)+I1376</f>
        <v>0.560167434024606</v>
      </c>
      <c r="J1375" s="48" t="n">
        <f aca="false">B1375*(IF($A1375&lt;$Q$1329,INDEX(Surface_Engine!$D$12:$D$72,$A1375+1)*(1+Assumptions!$B$24)+(Surface_Engine!G248*12)*INDEX(Surface_Engine!$F$12:$F$72,$A1375+1)-(Surface_Engine!G248*12),1000*12*INDEX(Surface_Engine!$C$12:$C$72,$A1375+1)/(1+Assumptions!$B$10)^8+INDEX(Surface_Engine!$D$12:$D$72,$A1375+1)*(1+Assumptions!$B$24)))*INDEX(Surface_Engine!$B$12:$B$72,$A1375+1)+J1376</f>
        <v>0.524979274498323</v>
      </c>
      <c r="K1375" s="12" t="n">
        <f aca="false">SQRT((IF(C1375&lt;=0,0,MAX(0,(B1375/C1375)*G1375/INDEX(Surface_Engine!$B$12:$B$72,$A1375+1)-F1375/INDEX(Surface_Engine!$B$12:$B$72,$A1375+1))))^2+(MAX(IF(D1375&lt;=0,0,MAX(0,(B1375/D1375)*H1375/INDEX(Surface_Engine!$B$12:$B$72,$A1375+1)-F1375/INDEX(Surface_Engine!$B$12:$B$72,$A1375+1))),IF(E1375&lt;=0,0,MAX(0,(B1375/E1375)*I1375/INDEX(Surface_Engine!$B$12:$B$72,$A1375+1)-F1375/INDEX(Surface_Engine!$B$12:$B$72,$A1375+1))),IF($A1375&lt;$Q$1329,MAX(0,-Assumptions!$B$22*(F1375/INDEX(Surface_Engine!$B$12:$B$72,$A1375+1))),0)))^2+(MAX(0,J1375/INDEX(Surface_Engine!$B$12:$B$72,$A1375+1)-(F1375/INDEX(Surface_Engine!$B$12:$B$72,$A1375+1))))^2+2*Assumptions!$B$26*(IF(C1375&lt;=0,0,MAX(0,(B1375/C1375)*G1375/INDEX(Surface_Engine!$B$12:$B$72,$A1375+1)-F1375/INDEX(Surface_Engine!$B$12:$B$72,$A1375+1))))*(MAX(IF(D1375&lt;=0,0,MAX(0,(B1375/D1375)*H1375/INDEX(Surface_Engine!$B$12:$B$72,$A1375+1)-F1375/INDEX(Surface_Engine!$B$12:$B$72,$A1375+1))),IF(E1375&lt;=0,0,MAX(0,(B1375/E1375)*I1375/INDEX(Surface_Engine!$B$12:$B$72,$A1375+1)-F1375/INDEX(Surface_Engine!$B$12:$B$72,$A1375+1))),IF($A1375&lt;$Q$1329,MAX(0,-Assumptions!$B$22*(F1375/INDEX(Surface_Engine!$B$12:$B$72,$A1375+1))),0)))+2*Assumptions!$B$27*(IF(C1375&lt;=0,0,MAX(0,(B1375/C1375)*G1375/INDEX(Surface_Engine!$B$12:$B$72,$A1375+1)-F1375/INDEX(Surface_Engine!$B$12:$B$72,$A1375+1))))*(MAX(0,J1375/INDEX(Surface_Engine!$B$12:$B$72,$A1375+1)-(F1375/INDEX(Surface_Engine!$B$12:$B$72,$A1375+1))))+2*Assumptions!$B$28*(MAX(IF(D1375&lt;=0,0,MAX(0,(B1375/D1375)*H1375/INDEX(Surface_Engine!$B$12:$B$72,$A1375+1)-F1375/INDEX(Surface_Engine!$B$12:$B$72,$A1375+1))),IF(E1375&lt;=0,0,MAX(0,(B1375/E1375)*I1375/INDEX(Surface_Engine!$B$12:$B$72,$A1375+1)-F1375/INDEX(Surface_Engine!$B$12:$B$72,$A1375+1))),IF($A1375&lt;$Q$1329,MAX(0,-Assumptions!$B$22*(F1375/INDEX(Surface_Engine!$B$12:$B$72,$A1375+1))),0)))*(MAX(0,J1375/INDEX(Surface_Engine!$B$12:$B$72,$A1375+1)-(F1375/INDEX(Surface_Engine!$B$12:$B$72,$A1375+1)))))</f>
        <v>0.415193581540058</v>
      </c>
      <c r="L1375" s="48" t="n">
        <f aca="false">K1375*INDEX(Surface_Engine!$B$12:$B$72,$A1375+1)+L1376</f>
        <v>0.15918502471775</v>
      </c>
      <c r="M1375" s="48" t="n">
        <f aca="false">M1374+B1374*(IF($A1374&lt;$Q$1329,(Surface_Engine!G248*12)-(Surface_Engine!G248*12)*INDEX(Surface_Engine!$F$12:$F$72,$A1374+1)-INDEX(Surface_Engine!$D$12:$D$72,$A1374+1),-(1000*12*INDEX(Surface_Engine!$C$12:$C$72,$A1374+1)/(1+Assumptions!$B$10)^8+INDEX(Surface_Engine!$D$12:$D$72,$A1374+1))))*INDEX(Surface_Engine!$B$12:$B$72,$A1374+1)</f>
        <v>3127.07293289521</v>
      </c>
      <c r="N1375" s="12" t="n">
        <f aca="false">IF(B1375&lt;=0,0,MAX(0,(K1375+Assumptions!$B$29*L1375/INDEX(Surface_Engine!$B$12:$B$72,$A1375+1)-(M1375/INDEX(Surface_Engine!$B$12:$B$72,$A1375+1)-(F1375/INDEX(Surface_Engine!$B$12:$B$72,$A1375+1))))/B1375))</f>
        <v>0</v>
      </c>
    </row>
    <row r="1376" customFormat="false" ht="15" hidden="false" customHeight="true" outlineLevel="0" collapsed="false">
      <c r="A1376" s="1" t="n">
        <v>45</v>
      </c>
      <c r="B1376" s="32" t="n">
        <f aca="false">INDEX(Surface_Engine!$S$12:$S$72,$A1376+1)*IF($A1376&lt;$Q$1329,INDEX(Surface_Engine!$E$12:$E$72,$A1376+1),INDEX(Surface_Engine!$E$12:$E$72,$Q$1329+1))</f>
        <v>2.20322681026453E-005</v>
      </c>
      <c r="C1376" s="32" t="n">
        <f aca="false">INDEX(Panel_Reserving!$G$8:$G$68,$A1376+1)*IF($A1376&lt;$Q$1329,INDEX(Surface_Engine!$E$12:$E$72,$A1376+1),INDEX(Surface_Engine!$E$12:$E$72,$Q$1329+1))</f>
        <v>0.000284385611005766</v>
      </c>
      <c r="D1376" s="32" t="n">
        <f aca="false">INDEX(Surface_Engine!$S$12:$S$72,$A1376+1)*IF($A1376&lt;$Q$1329,INDEX(Surface_Engine!$Y$12:$Y$72,$A1376+1),INDEX(Surface_Engine!$Y$12:$Y$72,$Q$1329+1))</f>
        <v>2.06120309302014E-005</v>
      </c>
      <c r="E1376" s="32" t="n">
        <f aca="false">INDEX(Surface_Engine!$S$12:$S$72,$A1376+1)*IF($A1376&lt;$Q$1329,INDEX(Surface_Engine!$Z$12:$Z$72,$A1376+1),INDEX(Surface_Engine!$Z$12:$Z$72,$Q$1329+1))</f>
        <v>2.35322294739567E-005</v>
      </c>
      <c r="F1376" s="48" t="n">
        <f aca="false">B1376*(IF($A1376&lt;$Q$1329,INDEX(Surface_Engine!$D$12:$D$72,$A1376+1)+(Surface_Engine!G248*12)*INDEX(Surface_Engine!$F$12:$F$72,$A1376+1)-(Surface_Engine!G248*12),1000*12*INDEX(Surface_Engine!$C$12:$C$72,$A1376+1)/(1+Assumptions!$B$10)^8+INDEX(Surface_Engine!$D$12:$D$72,$A1376+1)))*INDEX(Surface_Engine!$B$12:$B$72,$A1376+1)+F1377</f>
        <v>0.226400929526054</v>
      </c>
      <c r="G1376" s="48" t="n">
        <f aca="false">C1376*(IF($A1376&lt;$Q$1329,INDEX(Surface_Engine!$D$12:$D$72,$A1376+1)+(Surface_Engine!G248*12)*INDEX(Surface_Engine!$F$12:$F$72,$A1376+1)-(Surface_Engine!G248*12),1000*12*INDEX(Surface_Engine!$C$12:$C$72,$A1376+1)/(1+Assumptions!$B$10)^8+INDEX(Surface_Engine!$D$12:$D$72,$A1376+1)))*INDEX(Surface_Engine!$B$12:$B$72,$A1376+1)+G1377</f>
        <v>3.4359361418144</v>
      </c>
      <c r="H1376" s="48" t="n">
        <f aca="false">D1376*(IF($A1376&lt;$Q$1329,INDEX(Surface_Engine!$D$12:$D$72,$A1376+1)+(Surface_Engine!G248*12)*INDEX(Surface_Engine!$F$12:$F$72,$A1376+1)-(Surface_Engine!G248*12),1000*12*INDEX(Surface_Engine!$C$12:$C$72,$A1376+1)/(1+Assumptions!$B$10)^8+INDEX(Surface_Engine!$D$12:$D$72,$A1376+1)))*INDEX(Surface_Engine!$B$12:$B$72,$A1376+1)+H1377</f>
        <v>0.211806743648744</v>
      </c>
      <c r="I1376" s="48" t="n">
        <f aca="false">E1376*(IF($A1376&lt;$Q$1329,INDEX(Surface_Engine!$D$12:$D$72,$A1376+1)+(Surface_Engine!G248*12)*INDEX(Surface_Engine!$F$12:$F$72,$A1376+1)-(Surface_Engine!G248*12),1000*12*INDEX(Surface_Engine!$C$12:$C$72,$A1376+1)/(1+Assumptions!$B$10)^8+INDEX(Surface_Engine!$D$12:$D$72,$A1376+1)))*INDEX(Surface_Engine!$B$12:$B$72,$A1376+1)+I1377</f>
        <v>0.241814351654723</v>
      </c>
      <c r="J1376" s="48" t="n">
        <f aca="false">B1376*(IF($A1376&lt;$Q$1329,INDEX(Surface_Engine!$D$12:$D$72,$A1376+1)*(1+Assumptions!$B$24)+(Surface_Engine!G248*12)*INDEX(Surface_Engine!$F$12:$F$72,$A1376+1)-(Surface_Engine!G248*12),1000*12*INDEX(Surface_Engine!$C$12:$C$72,$A1376+1)/(1+Assumptions!$B$10)^8+INDEX(Surface_Engine!$D$12:$D$72,$A1376+1)*(1+Assumptions!$B$24)))*INDEX(Surface_Engine!$B$12:$B$72,$A1376+1)+J1377</f>
        <v>0.226625232591407</v>
      </c>
      <c r="K1376" s="12" t="n">
        <f aca="false">SQRT((IF(C1376&lt;=0,0,MAX(0,(B1376/C1376)*G1376/INDEX(Surface_Engine!$B$12:$B$72,$A1376+1)-F1376/INDEX(Surface_Engine!$B$12:$B$72,$A1376+1))))^2+(MAX(IF(D1376&lt;=0,0,MAX(0,(B1376/D1376)*H1376/INDEX(Surface_Engine!$B$12:$B$72,$A1376+1)-F1376/INDEX(Surface_Engine!$B$12:$B$72,$A1376+1))),IF(E1376&lt;=0,0,MAX(0,(B1376/E1376)*I1376/INDEX(Surface_Engine!$B$12:$B$72,$A1376+1)-F1376/INDEX(Surface_Engine!$B$12:$B$72,$A1376+1))),IF($A1376&lt;$Q$1329,MAX(0,-Assumptions!$B$22*(F1376/INDEX(Surface_Engine!$B$12:$B$72,$A1376+1))),0)))^2+(MAX(0,J1376/INDEX(Surface_Engine!$B$12:$B$72,$A1376+1)-(F1376/INDEX(Surface_Engine!$B$12:$B$72,$A1376+1))))^2+2*Assumptions!$B$26*(IF(C1376&lt;=0,0,MAX(0,(B1376/C1376)*G1376/INDEX(Surface_Engine!$B$12:$B$72,$A1376+1)-F1376/INDEX(Surface_Engine!$B$12:$B$72,$A1376+1))))*(MAX(IF(D1376&lt;=0,0,MAX(0,(B1376/D1376)*H1376/INDEX(Surface_Engine!$B$12:$B$72,$A1376+1)-F1376/INDEX(Surface_Engine!$B$12:$B$72,$A1376+1))),IF(E1376&lt;=0,0,MAX(0,(B1376/E1376)*I1376/INDEX(Surface_Engine!$B$12:$B$72,$A1376+1)-F1376/INDEX(Surface_Engine!$B$12:$B$72,$A1376+1))),IF($A1376&lt;$Q$1329,MAX(0,-Assumptions!$B$22*(F1376/INDEX(Surface_Engine!$B$12:$B$72,$A1376+1))),0)))+2*Assumptions!$B$27*(IF(C1376&lt;=0,0,MAX(0,(B1376/C1376)*G1376/INDEX(Surface_Engine!$B$12:$B$72,$A1376+1)-F1376/INDEX(Surface_Engine!$B$12:$B$72,$A1376+1))))*(MAX(0,J1376/INDEX(Surface_Engine!$B$12:$B$72,$A1376+1)-(F1376/INDEX(Surface_Engine!$B$12:$B$72,$A1376+1))))+2*Assumptions!$B$28*(MAX(IF(D1376&lt;=0,0,MAX(0,(B1376/D1376)*H1376/INDEX(Surface_Engine!$B$12:$B$72,$A1376+1)-F1376/INDEX(Surface_Engine!$B$12:$B$72,$A1376+1))),IF(E1376&lt;=0,0,MAX(0,(B1376/E1376)*I1376/INDEX(Surface_Engine!$B$12:$B$72,$A1376+1)-F1376/INDEX(Surface_Engine!$B$12:$B$72,$A1376+1))),IF($A1376&lt;$Q$1329,MAX(0,-Assumptions!$B$22*(F1376/INDEX(Surface_Engine!$B$12:$B$72,$A1376+1))),0)))*(MAX(0,J1376/INDEX(Surface_Engine!$B$12:$B$72,$A1376+1)-(F1376/INDEX(Surface_Engine!$B$12:$B$72,$A1376+1)))))</f>
        <v>0.165084200206931</v>
      </c>
      <c r="L1376" s="48" t="n">
        <f aca="false">K1376*INDEX(Surface_Engine!$B$12:$B$72,$A1376+1)+L1377</f>
        <v>0.0556594037667827</v>
      </c>
      <c r="M1376" s="48" t="n">
        <f aca="false">M1375+B1375*(IF($A1375&lt;$Q$1329,(Surface_Engine!G248*12)-(Surface_Engine!G248*12)*INDEX(Surface_Engine!$F$12:$F$72,$A1375+1)-INDEX(Surface_Engine!$D$12:$D$72,$A1375+1),-(1000*12*INDEX(Surface_Engine!$C$12:$C$72,$A1375+1)/(1+Assumptions!$B$10)^8+INDEX(Surface_Engine!$D$12:$D$72,$A1375+1))))*INDEX(Surface_Engine!$B$12:$B$72,$A1375+1)</f>
        <v>3126.77487186917</v>
      </c>
      <c r="N1376" s="12" t="n">
        <f aca="false">IF(B1376&lt;=0,0,MAX(0,(K1376+Assumptions!$B$29*L1376/INDEX(Surface_Engine!$B$12:$B$72,$A1376+1)-(M1376/INDEX(Surface_Engine!$B$12:$B$72,$A1376+1)-(F1376/INDEX(Surface_Engine!$B$12:$B$72,$A1376+1))))/B1376))</f>
        <v>0</v>
      </c>
    </row>
    <row r="1377" customFormat="false" ht="15" hidden="false" customHeight="true" outlineLevel="0" collapsed="false">
      <c r="A1377" s="1" t="n">
        <v>46</v>
      </c>
      <c r="B1377" s="32" t="n">
        <f aca="false">INDEX(Surface_Engine!$S$12:$S$72,$A1377+1)*IF($A1377&lt;$Q$1329,INDEX(Surface_Engine!$E$12:$E$72,$A1377+1),INDEX(Surface_Engine!$E$12:$E$72,$Q$1329+1))</f>
        <v>9.67632963688706E-006</v>
      </c>
      <c r="C1377" s="32" t="n">
        <f aca="false">INDEX(Panel_Reserving!$G$8:$G$68,$A1377+1)*IF($A1377&lt;$Q$1329,INDEX(Surface_Engine!$E$12:$E$72,$A1377+1),INDEX(Surface_Engine!$E$12:$E$72,$Q$1329+1))</f>
        <v>0.000156796346250498</v>
      </c>
      <c r="D1377" s="32" t="n">
        <f aca="false">INDEX(Surface_Engine!$S$12:$S$72,$A1377+1)*IF($A1377&lt;$Q$1329,INDEX(Surface_Engine!$Y$12:$Y$72,$A1377+1),INDEX(Surface_Engine!$Y$12:$Y$72,$Q$1329+1))</f>
        <v>9.05257710359805E-006</v>
      </c>
      <c r="E1377" s="32" t="n">
        <f aca="false">INDEX(Surface_Engine!$S$12:$S$72,$A1377+1)*IF($A1377&lt;$Q$1329,INDEX(Surface_Engine!$Z$12:$Z$72,$A1377+1),INDEX(Surface_Engine!$Z$12:$Z$72,$Q$1329+1))</f>
        <v>1.03350961607777E-005</v>
      </c>
      <c r="F1377" s="48" t="n">
        <f aca="false">B1377*(IF($A1377&lt;$Q$1329,INDEX(Surface_Engine!$D$12:$D$72,$A1377+1)+(Surface_Engine!G248*12)*INDEX(Surface_Engine!$F$12:$F$72,$A1377+1)-(Surface_Engine!G248*12),1000*12*INDEX(Surface_Engine!$C$12:$C$72,$A1377+1)/(1+Assumptions!$B$10)^8+INDEX(Surface_Engine!$D$12:$D$72,$A1377+1)))*INDEX(Surface_Engine!$B$12:$B$72,$A1377+1)+F1378</f>
        <v>0.0922889299427597</v>
      </c>
      <c r="G1377" s="48" t="n">
        <f aca="false">C1377*(IF($A1377&lt;$Q$1329,INDEX(Surface_Engine!$D$12:$D$72,$A1377+1)+(Surface_Engine!G248*12)*INDEX(Surface_Engine!$F$12:$F$72,$A1377+1)-(Surface_Engine!G248*12),1000*12*INDEX(Surface_Engine!$C$12:$C$72,$A1377+1)/(1+Assumptions!$B$10)^8+INDEX(Surface_Engine!$D$12:$D$72,$A1377+1)))*INDEX(Surface_Engine!$B$12:$B$72,$A1377+1)+G1378</f>
        <v>1.70486048646138</v>
      </c>
      <c r="H1377" s="48" t="n">
        <f aca="false">D1377*(IF($A1377&lt;$Q$1329,INDEX(Surface_Engine!$D$12:$D$72,$A1377+1)+(Surface_Engine!G248*12)*INDEX(Surface_Engine!$F$12:$F$72,$A1377+1)-(Surface_Engine!G248*12),1000*12*INDEX(Surface_Engine!$C$12:$C$72,$A1377+1)/(1+Assumptions!$B$10)^8+INDEX(Surface_Engine!$D$12:$D$72,$A1377+1)))*INDEX(Surface_Engine!$B$12:$B$72,$A1377+1)+H1378</f>
        <v>0.0863398298183817</v>
      </c>
      <c r="I1377" s="48" t="n">
        <f aca="false">E1377*(IF($A1377&lt;$Q$1329,INDEX(Surface_Engine!$D$12:$D$72,$A1377+1)+(Surface_Engine!G248*12)*INDEX(Surface_Engine!$F$12:$F$72,$A1377+1)-(Surface_Engine!G248*12),1000*12*INDEX(Surface_Engine!$C$12:$C$72,$A1377+1)/(1+Assumptions!$B$10)^8+INDEX(Surface_Engine!$D$12:$D$72,$A1377+1)))*INDEX(Surface_Engine!$B$12:$B$72,$A1377+1)+I1378</f>
        <v>0.0985719793895473</v>
      </c>
      <c r="J1377" s="48" t="n">
        <f aca="false">B1377*(IF($A1377&lt;$Q$1329,INDEX(Surface_Engine!$D$12:$D$72,$A1377+1)*(1+Assumptions!$B$24)+(Surface_Engine!G248*12)*INDEX(Surface_Engine!$F$12:$F$72,$A1377+1)-(Surface_Engine!G248*12),1000*12*INDEX(Surface_Engine!$C$12:$C$72,$A1377+1)/(1+Assumptions!$B$10)^8+INDEX(Surface_Engine!$D$12:$D$72,$A1377+1)*(1+Assumptions!$B$24)))*INDEX(Surface_Engine!$B$12:$B$72,$A1377+1)+J1378</f>
        <v>0.0923807511698429</v>
      </c>
      <c r="K1377" s="12" t="n">
        <f aca="false">SQRT((IF(C1377&lt;=0,0,MAX(0,(B1377/C1377)*G1377/INDEX(Surface_Engine!$B$12:$B$72,$A1377+1)-F1377/INDEX(Surface_Engine!$B$12:$B$72,$A1377+1))))^2+(MAX(IF(D1377&lt;=0,0,MAX(0,(B1377/D1377)*H1377/INDEX(Surface_Engine!$B$12:$B$72,$A1377+1)-F1377/INDEX(Surface_Engine!$B$12:$B$72,$A1377+1))),IF(E1377&lt;=0,0,MAX(0,(B1377/E1377)*I1377/INDEX(Surface_Engine!$B$12:$B$72,$A1377+1)-F1377/INDEX(Surface_Engine!$B$12:$B$72,$A1377+1))),IF($A1377&lt;$Q$1329,MAX(0,-Assumptions!$B$22*(F1377/INDEX(Surface_Engine!$B$12:$B$72,$A1377+1))),0)))^2+(MAX(0,J1377/INDEX(Surface_Engine!$B$12:$B$72,$A1377+1)-(F1377/INDEX(Surface_Engine!$B$12:$B$72,$A1377+1))))^2+2*Assumptions!$B$26*(IF(C1377&lt;=0,0,MAX(0,(B1377/C1377)*G1377/INDEX(Surface_Engine!$B$12:$B$72,$A1377+1)-F1377/INDEX(Surface_Engine!$B$12:$B$72,$A1377+1))))*(MAX(IF(D1377&lt;=0,0,MAX(0,(B1377/D1377)*H1377/INDEX(Surface_Engine!$B$12:$B$72,$A1377+1)-F1377/INDEX(Surface_Engine!$B$12:$B$72,$A1377+1))),IF(E1377&lt;=0,0,MAX(0,(B1377/E1377)*I1377/INDEX(Surface_Engine!$B$12:$B$72,$A1377+1)-F1377/INDEX(Surface_Engine!$B$12:$B$72,$A1377+1))),IF($A1377&lt;$Q$1329,MAX(0,-Assumptions!$B$22*(F1377/INDEX(Surface_Engine!$B$12:$B$72,$A1377+1))),0)))+2*Assumptions!$B$27*(IF(C1377&lt;=0,0,MAX(0,(B1377/C1377)*G1377/INDEX(Surface_Engine!$B$12:$B$72,$A1377+1)-F1377/INDEX(Surface_Engine!$B$12:$B$72,$A1377+1))))*(MAX(0,J1377/INDEX(Surface_Engine!$B$12:$B$72,$A1377+1)-(F1377/INDEX(Surface_Engine!$B$12:$B$72,$A1377+1))))+2*Assumptions!$B$28*(MAX(IF(D1377&lt;=0,0,MAX(0,(B1377/D1377)*H1377/INDEX(Surface_Engine!$B$12:$B$72,$A1377+1)-F1377/INDEX(Surface_Engine!$B$12:$B$72,$A1377+1))),IF(E1377&lt;=0,0,MAX(0,(B1377/E1377)*I1377/INDEX(Surface_Engine!$B$12:$B$72,$A1377+1)-F1377/INDEX(Surface_Engine!$B$12:$B$72,$A1377+1))),IF($A1377&lt;$Q$1329,MAX(0,-Assumptions!$B$22*(F1377/INDEX(Surface_Engine!$B$12:$B$72,$A1377+1))),0)))*(MAX(0,J1377/INDEX(Surface_Engine!$B$12:$B$72,$A1377+1)-(F1377/INDEX(Surface_Engine!$B$12:$B$72,$A1377+1)))))</f>
        <v>0.0553776536188063</v>
      </c>
      <c r="L1377" s="48" t="n">
        <f aca="false">K1377*INDEX(Surface_Engine!$B$12:$B$72,$A1377+1)+L1378</f>
        <v>0.0158106399892732</v>
      </c>
      <c r="M1377" s="48" t="n">
        <f aca="false">M1376+B1376*(IF($A1376&lt;$Q$1329,(Surface_Engine!G248*12)-(Surface_Engine!G248*12)*INDEX(Surface_Engine!$F$12:$F$72,$A1376+1)-INDEX(Surface_Engine!$D$12:$D$72,$A1376+1),-(1000*12*INDEX(Surface_Engine!$C$12:$C$72,$A1376+1)/(1+Assumptions!$B$10)^8+INDEX(Surface_Engine!$D$12:$D$72,$A1376+1))))*INDEX(Surface_Engine!$B$12:$B$72,$A1376+1)</f>
        <v>3126.64075986959</v>
      </c>
      <c r="N1377" s="12" t="n">
        <f aca="false">IF(B1377&lt;=0,0,MAX(0,(K1377+Assumptions!$B$29*L1377/INDEX(Surface_Engine!$B$12:$B$72,$A1377+1)-(M1377/INDEX(Surface_Engine!$B$12:$B$72,$A1377+1)-(F1377/INDEX(Surface_Engine!$B$12:$B$72,$A1377+1))))/B1377))</f>
        <v>0</v>
      </c>
    </row>
    <row r="1378" customFormat="false" ht="15" hidden="false" customHeight="true" outlineLevel="0" collapsed="false">
      <c r="A1378" s="1" t="n">
        <v>47</v>
      </c>
      <c r="B1378" s="32" t="n">
        <f aca="false">INDEX(Surface_Engine!$S$12:$S$72,$A1378+1)*IF($A1378&lt;$Q$1329,INDEX(Surface_Engine!$E$12:$E$72,$A1378+1),INDEX(Surface_Engine!$E$12:$E$72,$Q$1329+1))</f>
        <v>4.0938809321611E-006</v>
      </c>
      <c r="C1378" s="32" t="n">
        <f aca="false">INDEX(Panel_Reserving!$G$8:$G$68,$A1378+1)*IF($A1378&lt;$Q$1329,INDEX(Surface_Engine!$E$12:$E$72,$A1378+1),INDEX(Surface_Engine!$E$12:$E$72,$Q$1329+1))</f>
        <v>8.44294391376936E-005</v>
      </c>
      <c r="D1378" s="32" t="n">
        <f aca="false">INDEX(Surface_Engine!$S$12:$S$72,$A1378+1)*IF($A1378&lt;$Q$1329,INDEX(Surface_Engine!$Y$12:$Y$72,$A1378+1),INDEX(Surface_Engine!$Y$12:$Y$72,$Q$1329+1))</f>
        <v>3.8299824605046E-006</v>
      </c>
      <c r="E1378" s="32" t="n">
        <f aca="false">INDEX(Surface_Engine!$S$12:$S$72,$A1378+1)*IF($A1378&lt;$Q$1329,INDEX(Surface_Engine!$Z$12:$Z$72,$A1378+1),INDEX(Surface_Engine!$Z$12:$Z$72,$Q$1329+1))</f>
        <v>4.37259319312223E-006</v>
      </c>
      <c r="F1378" s="48" t="n">
        <f aca="false">B1378*(IF($A1378&lt;$Q$1329,INDEX(Surface_Engine!$D$12:$D$72,$A1378+1)+(Surface_Engine!G248*12)*INDEX(Surface_Engine!$F$12:$F$72,$A1378+1)-(Surface_Engine!G248*12),1000*12*INDEX(Surface_Engine!$C$12:$C$72,$A1378+1)/(1+Assumptions!$B$10)^8+INDEX(Surface_Engine!$D$12:$D$72,$A1378+1)))*INDEX(Surface_Engine!$B$12:$B$72,$A1378+1)+F1379</f>
        <v>0.0341015029990554</v>
      </c>
      <c r="G1378" s="48" t="n">
        <f aca="false">C1378*(IF($A1378&lt;$Q$1329,INDEX(Surface_Engine!$D$12:$D$72,$A1378+1)+(Surface_Engine!G248*12)*INDEX(Surface_Engine!$F$12:$F$72,$A1378+1)-(Surface_Engine!G248*12),1000*12*INDEX(Surface_Engine!$C$12:$C$72,$A1378+1)/(1+Assumptions!$B$10)^8+INDEX(Surface_Engine!$D$12:$D$72,$A1378+1)))*INDEX(Surface_Engine!$B$12:$B$72,$A1378+1)+G1379</f>
        <v>0.761984800652706</v>
      </c>
      <c r="H1378" s="48" t="n">
        <f aca="false">D1378*(IF($A1378&lt;$Q$1329,INDEX(Surface_Engine!$D$12:$D$72,$A1378+1)+(Surface_Engine!G248*12)*INDEX(Surface_Engine!$F$12:$F$72,$A1378+1)-(Surface_Engine!G248*12),1000*12*INDEX(Surface_Engine!$C$12:$C$72,$A1378+1)/(1+Assumptions!$B$10)^8+INDEX(Surface_Engine!$D$12:$D$72,$A1378+1)))*INDEX(Surface_Engine!$B$12:$B$72,$A1378+1)+H1379</f>
        <v>0.0319032625832332</v>
      </c>
      <c r="I1378" s="48" t="n">
        <f aca="false">E1378*(IF($A1378&lt;$Q$1329,INDEX(Surface_Engine!$D$12:$D$72,$A1378+1)+(Surface_Engine!G248*12)*INDEX(Surface_Engine!$F$12:$F$72,$A1378+1)-(Surface_Engine!G248*12),1000*12*INDEX(Surface_Engine!$C$12:$C$72,$A1378+1)/(1+Assumptions!$B$10)^8+INDEX(Surface_Engine!$D$12:$D$72,$A1378+1)))*INDEX(Surface_Engine!$B$12:$B$72,$A1378+1)+I1379</f>
        <v>0.036423140379462</v>
      </c>
      <c r="J1378" s="48" t="n">
        <f aca="false">B1378*(IF($A1378&lt;$Q$1329,INDEX(Surface_Engine!$D$12:$D$72,$A1378+1)*(1+Assumptions!$B$24)+(Surface_Engine!G248*12)*INDEX(Surface_Engine!$F$12:$F$72,$A1378+1)-(Surface_Engine!G248*12),1000*12*INDEX(Surface_Engine!$C$12:$C$72,$A1378+1)/(1+Assumptions!$B$10)^8+INDEX(Surface_Engine!$D$12:$D$72,$A1378+1)*(1+Assumptions!$B$24)))*INDEX(Surface_Engine!$B$12:$B$72,$A1378+1)+J1379</f>
        <v>0.0341355651118608</v>
      </c>
      <c r="K1378" s="12" t="n">
        <f aca="false">SQRT((IF(C1378&lt;=0,0,MAX(0,(B1378/C1378)*G1378/INDEX(Surface_Engine!$B$12:$B$72,$A1378+1)-F1378/INDEX(Surface_Engine!$B$12:$B$72,$A1378+1))))^2+(MAX(IF(D1378&lt;=0,0,MAX(0,(B1378/D1378)*H1378/INDEX(Surface_Engine!$B$12:$B$72,$A1378+1)-F1378/INDEX(Surface_Engine!$B$12:$B$72,$A1378+1))),IF(E1378&lt;=0,0,MAX(0,(B1378/E1378)*I1378/INDEX(Surface_Engine!$B$12:$B$72,$A1378+1)-F1378/INDEX(Surface_Engine!$B$12:$B$72,$A1378+1))),IF($A1378&lt;$Q$1329,MAX(0,-Assumptions!$B$22*(F1378/INDEX(Surface_Engine!$B$12:$B$72,$A1378+1))),0)))^2+(MAX(0,J1378/INDEX(Surface_Engine!$B$12:$B$72,$A1378+1)-(F1378/INDEX(Surface_Engine!$B$12:$B$72,$A1378+1))))^2+2*Assumptions!$B$26*(IF(C1378&lt;=0,0,MAX(0,(B1378/C1378)*G1378/INDEX(Surface_Engine!$B$12:$B$72,$A1378+1)-F1378/INDEX(Surface_Engine!$B$12:$B$72,$A1378+1))))*(MAX(IF(D1378&lt;=0,0,MAX(0,(B1378/D1378)*H1378/INDEX(Surface_Engine!$B$12:$B$72,$A1378+1)-F1378/INDEX(Surface_Engine!$B$12:$B$72,$A1378+1))),IF(E1378&lt;=0,0,MAX(0,(B1378/E1378)*I1378/INDEX(Surface_Engine!$B$12:$B$72,$A1378+1)-F1378/INDEX(Surface_Engine!$B$12:$B$72,$A1378+1))),IF($A1378&lt;$Q$1329,MAX(0,-Assumptions!$B$22*(F1378/INDEX(Surface_Engine!$B$12:$B$72,$A1378+1))),0)))+2*Assumptions!$B$27*(IF(C1378&lt;=0,0,MAX(0,(B1378/C1378)*G1378/INDEX(Surface_Engine!$B$12:$B$72,$A1378+1)-F1378/INDEX(Surface_Engine!$B$12:$B$72,$A1378+1))))*(MAX(0,J1378/INDEX(Surface_Engine!$B$12:$B$72,$A1378+1)-(F1378/INDEX(Surface_Engine!$B$12:$B$72,$A1378+1))))+2*Assumptions!$B$28*(MAX(IF(D1378&lt;=0,0,MAX(0,(B1378/D1378)*H1378/INDEX(Surface_Engine!$B$12:$B$72,$A1378+1)-F1378/INDEX(Surface_Engine!$B$12:$B$72,$A1378+1))),IF(E1378&lt;=0,0,MAX(0,(B1378/E1378)*I1378/INDEX(Surface_Engine!$B$12:$B$72,$A1378+1)-F1378/INDEX(Surface_Engine!$B$12:$B$72,$A1378+1))),IF($A1378&lt;$Q$1329,MAX(0,-Assumptions!$B$22*(F1378/INDEX(Surface_Engine!$B$12:$B$72,$A1378+1))),0)))*(MAX(0,J1378/INDEX(Surface_Engine!$B$12:$B$72,$A1378+1)-(F1378/INDEX(Surface_Engine!$B$12:$B$72,$A1378+1)))))</f>
        <v>0.0126100069425387</v>
      </c>
      <c r="L1378" s="48" t="n">
        <f aca="false">K1378*INDEX(Surface_Engine!$B$12:$B$72,$A1378+1)+L1379</f>
        <v>0.00286472472255097</v>
      </c>
      <c r="M1378" s="48" t="n">
        <f aca="false">M1377+B1377*(IF($A1377&lt;$Q$1329,(Surface_Engine!G248*12)-(Surface_Engine!G248*12)*INDEX(Surface_Engine!$F$12:$F$72,$A1377+1)-INDEX(Surface_Engine!$D$12:$D$72,$A1377+1),-(1000*12*INDEX(Surface_Engine!$C$12:$C$72,$A1377+1)/(1+Assumptions!$B$10)^8+INDEX(Surface_Engine!$D$12:$D$72,$A1377+1))))*INDEX(Surface_Engine!$B$12:$B$72,$A1377+1)</f>
        <v>3126.58257244264</v>
      </c>
      <c r="N1378" s="12" t="n">
        <f aca="false">IF(B1378&lt;=0,0,MAX(0,(K1378+Assumptions!$B$29*L1378/INDEX(Surface_Engine!$B$12:$B$72,$A1378+1)-(M1378/INDEX(Surface_Engine!$B$12:$B$72,$A1378+1)-(F1378/INDEX(Surface_Engine!$B$12:$B$72,$A1378+1))))/B1378))</f>
        <v>0</v>
      </c>
    </row>
    <row r="1379" customFormat="false" ht="15" hidden="false" customHeight="true" outlineLevel="0" collapsed="false">
      <c r="A1379" s="1" t="n">
        <v>48</v>
      </c>
      <c r="B1379" s="32" t="n">
        <f aca="false">INDEX(Surface_Engine!$S$12:$S$72,$A1379+1)*IF($A1379&lt;$Q$1329,INDEX(Surface_Engine!$E$12:$E$72,$A1379+1),INDEX(Surface_Engine!$E$12:$E$72,$Q$1329+1))</f>
        <v>1.66768501082211E-006</v>
      </c>
      <c r="C1379" s="32" t="n">
        <f aca="false">INDEX(Panel_Reserving!$G$8:$G$68,$A1379+1)*IF($A1379&lt;$Q$1329,INDEX(Surface_Engine!$E$12:$E$72,$A1379+1),INDEX(Surface_Engine!$E$12:$E$72,$Q$1329+1))</f>
        <v>4.44004565129005E-005</v>
      </c>
      <c r="D1379" s="32" t="n">
        <f aca="false">INDEX(Surface_Engine!$S$12:$S$72,$A1379+1)*IF($A1379&lt;$Q$1329,INDEX(Surface_Engine!$Y$12:$Y$72,$A1379+1),INDEX(Surface_Engine!$Y$12:$Y$72,$Q$1329+1))</f>
        <v>1.56018322148011E-006</v>
      </c>
      <c r="E1379" s="32" t="n">
        <f aca="false">INDEX(Surface_Engine!$S$12:$S$72,$A1379+1)*IF($A1379&lt;$Q$1329,INDEX(Surface_Engine!$Z$12:$Z$72,$A1379+1),INDEX(Surface_Engine!$Z$12:$Z$72,$Q$1329+1))</f>
        <v>1.78122135143372E-006</v>
      </c>
      <c r="F1379" s="48" t="n">
        <f aca="false">B1379*(IF($A1379&lt;$Q$1329,INDEX(Surface_Engine!$D$12:$D$72,$A1379+1)+(Surface_Engine!G248*12)*INDEX(Surface_Engine!$F$12:$F$72,$A1379+1)-(Surface_Engine!G248*12),1000*12*INDEX(Surface_Engine!$C$12:$C$72,$A1379+1)/(1+Assumptions!$B$10)^8+INDEX(Surface_Engine!$D$12:$D$72,$A1379+1)))*INDEX(Surface_Engine!$B$12:$B$72,$A1379+1)+F1380</f>
        <v>0.00978195706479799</v>
      </c>
      <c r="G1379" s="48" t="n">
        <f aca="false">C1379*(IF($A1379&lt;$Q$1329,INDEX(Surface_Engine!$D$12:$D$72,$A1379+1)+(Surface_Engine!G248*12)*INDEX(Surface_Engine!$F$12:$F$72,$A1379+1)-(Surface_Engine!G248*12),1000*12*INDEX(Surface_Engine!$C$12:$C$72,$A1379+1)/(1+Assumptions!$B$10)^8+INDEX(Surface_Engine!$D$12:$D$72,$A1379+1)))*INDEX(Surface_Engine!$B$12:$B$72,$A1379+1)+G1380</f>
        <v>0.260434888152239</v>
      </c>
      <c r="H1379" s="48" t="n">
        <f aca="false">D1379*(IF($A1379&lt;$Q$1329,INDEX(Surface_Engine!$D$12:$D$72,$A1379+1)+(Surface_Engine!G248*12)*INDEX(Surface_Engine!$F$12:$F$72,$A1379+1)-(Surface_Engine!G248*12),1000*12*INDEX(Surface_Engine!$C$12:$C$72,$A1379+1)/(1+Assumptions!$B$10)^8+INDEX(Surface_Engine!$D$12:$D$72,$A1379+1)))*INDEX(Surface_Engine!$B$12:$B$72,$A1379+1)+H1380</f>
        <v>0.00915139560930226</v>
      </c>
      <c r="I1379" s="48" t="n">
        <f aca="false">E1379*(IF($A1379&lt;$Q$1329,INDEX(Surface_Engine!$D$12:$D$72,$A1379+1)+(Surface_Engine!G248*12)*INDEX(Surface_Engine!$F$12:$F$72,$A1379+1)-(Surface_Engine!G248*12),1000*12*INDEX(Surface_Engine!$C$12:$C$72,$A1379+1)/(1+Assumptions!$B$10)^8+INDEX(Surface_Engine!$D$12:$D$72,$A1379+1)))*INDEX(Surface_Engine!$B$12:$B$72,$A1379+1)+I1380</f>
        <v>0.0104479147258371</v>
      </c>
      <c r="J1379" s="48" t="n">
        <f aca="false">B1379*(IF($A1379&lt;$Q$1329,INDEX(Surface_Engine!$D$12:$D$72,$A1379+1)*(1+Assumptions!$B$24)+(Surface_Engine!G248*12)*INDEX(Surface_Engine!$F$12:$F$72,$A1379+1)-(Surface_Engine!G248*12),1000*12*INDEX(Surface_Engine!$C$12:$C$72,$A1379+1)/(1+Assumptions!$B$10)^8+INDEX(Surface_Engine!$D$12:$D$72,$A1379+1)*(1+Assumptions!$B$24)))*INDEX(Surface_Engine!$B$12:$B$72,$A1379+1)+J1380</f>
        <v>0.00979176149017278</v>
      </c>
      <c r="K1379" s="12" t="n">
        <f aca="false">SQRT((IF(C1379&lt;=0,0,MAX(0,(B1379/C1379)*G1379/INDEX(Surface_Engine!$B$12:$B$72,$A1379+1)-F1379/INDEX(Surface_Engine!$B$12:$B$72,$A1379+1))))^2+(MAX(IF(D1379&lt;=0,0,MAX(0,(B1379/D1379)*H1379/INDEX(Surface_Engine!$B$12:$B$72,$A1379+1)-F1379/INDEX(Surface_Engine!$B$12:$B$72,$A1379+1))),IF(E1379&lt;=0,0,MAX(0,(B1379/E1379)*I1379/INDEX(Surface_Engine!$B$12:$B$72,$A1379+1)-F1379/INDEX(Surface_Engine!$B$12:$B$72,$A1379+1))),IF($A1379&lt;$Q$1329,MAX(0,-Assumptions!$B$22*(F1379/INDEX(Surface_Engine!$B$12:$B$72,$A1379+1))),0)))^2+(MAX(0,J1379/INDEX(Surface_Engine!$B$12:$B$72,$A1379+1)-(F1379/INDEX(Surface_Engine!$B$12:$B$72,$A1379+1))))^2+2*Assumptions!$B$26*(IF(C1379&lt;=0,0,MAX(0,(B1379/C1379)*G1379/INDEX(Surface_Engine!$B$12:$B$72,$A1379+1)-F1379/INDEX(Surface_Engine!$B$12:$B$72,$A1379+1))))*(MAX(IF(D1379&lt;=0,0,MAX(0,(B1379/D1379)*H1379/INDEX(Surface_Engine!$B$12:$B$72,$A1379+1)-F1379/INDEX(Surface_Engine!$B$12:$B$72,$A1379+1))),IF(E1379&lt;=0,0,MAX(0,(B1379/E1379)*I1379/INDEX(Surface_Engine!$B$12:$B$72,$A1379+1)-F1379/INDEX(Surface_Engine!$B$12:$B$72,$A1379+1))),IF($A1379&lt;$Q$1329,MAX(0,-Assumptions!$B$22*(F1379/INDEX(Surface_Engine!$B$12:$B$72,$A1379+1))),0)))+2*Assumptions!$B$27*(IF(C1379&lt;=0,0,MAX(0,(B1379/C1379)*G1379/INDEX(Surface_Engine!$B$12:$B$72,$A1379+1)-F1379/INDEX(Surface_Engine!$B$12:$B$72,$A1379+1))))*(MAX(0,J1379/INDEX(Surface_Engine!$B$12:$B$72,$A1379+1)-(F1379/INDEX(Surface_Engine!$B$12:$B$72,$A1379+1))))+2*Assumptions!$B$28*(MAX(IF(D1379&lt;=0,0,MAX(0,(B1379/D1379)*H1379/INDEX(Surface_Engine!$B$12:$B$72,$A1379+1)-F1379/INDEX(Surface_Engine!$B$12:$B$72,$A1379+1))),IF(E1379&lt;=0,0,MAX(0,(B1379/E1379)*I1379/INDEX(Surface_Engine!$B$12:$B$72,$A1379+1)-F1379/INDEX(Surface_Engine!$B$12:$B$72,$A1379+1))),IF($A1379&lt;$Q$1329,MAX(0,-Assumptions!$B$22*(F1379/INDEX(Surface_Engine!$B$12:$B$72,$A1379+1))),0)))*(MAX(0,J1379/INDEX(Surface_Engine!$B$12:$B$72,$A1379+1)-(F1379/INDEX(Surface_Engine!$B$12:$B$72,$A1379+1)))))</f>
        <v>4.47376756481238E-005</v>
      </c>
      <c r="L1379" s="48" t="n">
        <f aca="false">K1379*INDEX(Surface_Engine!$B$12:$B$72,$A1379+1)+L1380</f>
        <v>9.80442537478565E-006</v>
      </c>
      <c r="M1379" s="48" t="n">
        <f aca="false">M1378+B1378*(IF($A1378&lt;$Q$1329,(Surface_Engine!G248*12)-(Surface_Engine!G248*12)*INDEX(Surface_Engine!$F$12:$F$72,$A1378+1)-INDEX(Surface_Engine!$D$12:$D$72,$A1378+1),-(1000*12*INDEX(Surface_Engine!$C$12:$C$72,$A1378+1)/(1+Assumptions!$B$10)^8+INDEX(Surface_Engine!$D$12:$D$72,$A1378+1))))*INDEX(Surface_Engine!$B$12:$B$72,$A1378+1)</f>
        <v>3126.55825289671</v>
      </c>
      <c r="N1379" s="12" t="n">
        <f aca="false">IF(B1379&lt;=0,0,MAX(0,(K1379+Assumptions!$B$29*L1379/INDEX(Surface_Engine!$B$12:$B$72,$A1379+1)-(M1379/INDEX(Surface_Engine!$B$12:$B$72,$A1379+1)-(F1379/INDEX(Surface_Engine!$B$12:$B$72,$A1379+1))))/B1379))</f>
        <v>0</v>
      </c>
    </row>
    <row r="1380" customFormat="false" ht="15" hidden="false" customHeight="true" outlineLevel="0" collapsed="false">
      <c r="A1380" s="1" t="n">
        <v>49</v>
      </c>
      <c r="B1380" s="32" t="n">
        <f aca="false">INDEX(Surface_Engine!$S$12:$S$72,$A1380+1)*IF($A1380&lt;$Q$1329,INDEX(Surface_Engine!$E$12:$E$72,$A1380+1),INDEX(Surface_Engine!$E$12:$E$72,$Q$1329+1))</f>
        <v>0</v>
      </c>
      <c r="C1380" s="32" t="n">
        <f aca="false">INDEX(Panel_Reserving!$G$8:$G$68,$A1380+1)*IF($A1380&lt;$Q$1329,INDEX(Surface_Engine!$E$12:$E$72,$A1380+1),INDEX(Surface_Engine!$E$12:$E$72,$Q$1329+1))</f>
        <v>0</v>
      </c>
      <c r="D1380" s="32" t="n">
        <f aca="false">INDEX(Surface_Engine!$S$12:$S$72,$A1380+1)*IF($A1380&lt;$Q$1329,INDEX(Surface_Engine!$Y$12:$Y$72,$A1380+1),INDEX(Surface_Engine!$Y$12:$Y$72,$Q$1329+1))</f>
        <v>0</v>
      </c>
      <c r="E1380" s="32" t="n">
        <f aca="false">INDEX(Surface_Engine!$S$12:$S$72,$A1380+1)*IF($A1380&lt;$Q$1329,INDEX(Surface_Engine!$Z$12:$Z$72,$A1380+1),INDEX(Surface_Engine!$Z$12:$Z$72,$Q$1329+1))</f>
        <v>0</v>
      </c>
      <c r="F1380" s="48" t="n">
        <f aca="false">B1380*(IF($A1380&lt;$Q$1329,INDEX(Surface_Engine!$D$12:$D$72,$A1380+1)+(Surface_Engine!G248*12)*INDEX(Surface_Engine!$F$12:$F$72,$A1380+1)-(Surface_Engine!G248*12),1000*12*INDEX(Surface_Engine!$C$12:$C$72,$A1380+1)/(1+Assumptions!$B$10)^8+INDEX(Surface_Engine!$D$12:$D$72,$A1380+1)))*INDEX(Surface_Engine!$B$12:$B$72,$A1380+1)+F1381</f>
        <v>0</v>
      </c>
      <c r="G1380" s="48" t="n">
        <f aca="false">C1380*(IF($A1380&lt;$Q$1329,INDEX(Surface_Engine!$D$12:$D$72,$A1380+1)+(Surface_Engine!G248*12)*INDEX(Surface_Engine!$F$12:$F$72,$A1380+1)-(Surface_Engine!G248*12),1000*12*INDEX(Surface_Engine!$C$12:$C$72,$A1380+1)/(1+Assumptions!$B$10)^8+INDEX(Surface_Engine!$D$12:$D$72,$A1380+1)))*INDEX(Surface_Engine!$B$12:$B$72,$A1380+1)+G1381</f>
        <v>0</v>
      </c>
      <c r="H1380" s="48" t="n">
        <f aca="false">D1380*(IF($A1380&lt;$Q$1329,INDEX(Surface_Engine!$D$12:$D$72,$A1380+1)+(Surface_Engine!G248*12)*INDEX(Surface_Engine!$F$12:$F$72,$A1380+1)-(Surface_Engine!G248*12),1000*12*INDEX(Surface_Engine!$C$12:$C$72,$A1380+1)/(1+Assumptions!$B$10)^8+INDEX(Surface_Engine!$D$12:$D$72,$A1380+1)))*INDEX(Surface_Engine!$B$12:$B$72,$A1380+1)+H1381</f>
        <v>0</v>
      </c>
      <c r="I1380" s="48" t="n">
        <f aca="false">E1380*(IF($A1380&lt;$Q$1329,INDEX(Surface_Engine!$D$12:$D$72,$A1380+1)+(Surface_Engine!G248*12)*INDEX(Surface_Engine!$F$12:$F$72,$A1380+1)-(Surface_Engine!G248*12),1000*12*INDEX(Surface_Engine!$C$12:$C$72,$A1380+1)/(1+Assumptions!$B$10)^8+INDEX(Surface_Engine!$D$12:$D$72,$A1380+1)))*INDEX(Surface_Engine!$B$12:$B$72,$A1380+1)+I1381</f>
        <v>0</v>
      </c>
      <c r="J1380" s="48" t="n">
        <f aca="false">B1380*(IF($A1380&lt;$Q$1329,INDEX(Surface_Engine!$D$12:$D$72,$A1380+1)*(1+Assumptions!$B$24)+(Surface_Engine!G248*12)*INDEX(Surface_Engine!$F$12:$F$72,$A1380+1)-(Surface_Engine!G248*12),1000*12*INDEX(Surface_Engine!$C$12:$C$72,$A1380+1)/(1+Assumptions!$B$10)^8+INDEX(Surface_Engine!$D$12:$D$72,$A1380+1)*(1+Assumptions!$B$24)))*INDEX(Surface_Engine!$B$12:$B$72,$A1380+1)+J1381</f>
        <v>0</v>
      </c>
      <c r="K1380" s="12" t="n">
        <f aca="false">SQRT((IF(C1380&lt;=0,0,MAX(0,(B1380/C1380)*G1380/INDEX(Surface_Engine!$B$12:$B$72,$A1380+1)-F1380/INDEX(Surface_Engine!$B$12:$B$72,$A1380+1))))^2+(MAX(IF(D1380&lt;=0,0,MAX(0,(B1380/D1380)*H1380/INDEX(Surface_Engine!$B$12:$B$72,$A1380+1)-F1380/INDEX(Surface_Engine!$B$12:$B$72,$A1380+1))),IF(E1380&lt;=0,0,MAX(0,(B1380/E1380)*I1380/INDEX(Surface_Engine!$B$12:$B$72,$A1380+1)-F1380/INDEX(Surface_Engine!$B$12:$B$72,$A1380+1))),IF($A1380&lt;$Q$1329,MAX(0,-Assumptions!$B$22*(F1380/INDEX(Surface_Engine!$B$12:$B$72,$A1380+1))),0)))^2+(MAX(0,J1380/INDEX(Surface_Engine!$B$12:$B$72,$A1380+1)-(F1380/INDEX(Surface_Engine!$B$12:$B$72,$A1380+1))))^2+2*Assumptions!$B$26*(IF(C1380&lt;=0,0,MAX(0,(B1380/C1380)*G1380/INDEX(Surface_Engine!$B$12:$B$72,$A1380+1)-F1380/INDEX(Surface_Engine!$B$12:$B$72,$A1380+1))))*(MAX(IF(D1380&lt;=0,0,MAX(0,(B1380/D1380)*H1380/INDEX(Surface_Engine!$B$12:$B$72,$A1380+1)-F1380/INDEX(Surface_Engine!$B$12:$B$72,$A1380+1))),IF(E1380&lt;=0,0,MAX(0,(B1380/E1380)*I1380/INDEX(Surface_Engine!$B$12:$B$72,$A1380+1)-F1380/INDEX(Surface_Engine!$B$12:$B$72,$A1380+1))),IF($A1380&lt;$Q$1329,MAX(0,-Assumptions!$B$22*(F1380/INDEX(Surface_Engine!$B$12:$B$72,$A1380+1))),0)))+2*Assumptions!$B$27*(IF(C1380&lt;=0,0,MAX(0,(B1380/C1380)*G1380/INDEX(Surface_Engine!$B$12:$B$72,$A1380+1)-F1380/INDEX(Surface_Engine!$B$12:$B$72,$A1380+1))))*(MAX(0,J1380/INDEX(Surface_Engine!$B$12:$B$72,$A1380+1)-(F1380/INDEX(Surface_Engine!$B$12:$B$72,$A1380+1))))+2*Assumptions!$B$28*(MAX(IF(D1380&lt;=0,0,MAX(0,(B1380/D1380)*H1380/INDEX(Surface_Engine!$B$12:$B$72,$A1380+1)-F1380/INDEX(Surface_Engine!$B$12:$B$72,$A1380+1))),IF(E1380&lt;=0,0,MAX(0,(B1380/E1380)*I1380/INDEX(Surface_Engine!$B$12:$B$72,$A1380+1)-F1380/INDEX(Surface_Engine!$B$12:$B$72,$A1380+1))),IF($A1380&lt;$Q$1329,MAX(0,-Assumptions!$B$22*(F1380/INDEX(Surface_Engine!$B$12:$B$72,$A1380+1))),0)))*(MAX(0,J1380/INDEX(Surface_Engine!$B$12:$B$72,$A1380+1)-(F1380/INDEX(Surface_Engine!$B$12:$B$72,$A1380+1)))))</f>
        <v>0</v>
      </c>
      <c r="L1380" s="48" t="n">
        <f aca="false">K1380*INDEX(Surface_Engine!$B$12:$B$72,$A1380+1)+L1381</f>
        <v>0</v>
      </c>
      <c r="M1380" s="48" t="n">
        <f aca="false">M1379+B1379*(IF($A1379&lt;$Q$1329,(Surface_Engine!G248*12)-(Surface_Engine!G248*12)*INDEX(Surface_Engine!$F$12:$F$72,$A1379+1)-INDEX(Surface_Engine!$D$12:$D$72,$A1379+1),-(1000*12*INDEX(Surface_Engine!$C$12:$C$72,$A1379+1)/(1+Assumptions!$B$10)^8+INDEX(Surface_Engine!$D$12:$D$72,$A1379+1))))*INDEX(Surface_Engine!$B$12:$B$72,$A1379+1)</f>
        <v>3126.54847093965</v>
      </c>
      <c r="N1380" s="12" t="n">
        <f aca="false">IF(B1380&lt;=0,0,MAX(0,(K1380+Assumptions!$B$29*L1380/INDEX(Surface_Engine!$B$12:$B$72,$A1380+1)-(M1380/INDEX(Surface_Engine!$B$12:$B$72,$A1380+1)-(F1380/INDEX(Surface_Engine!$B$12:$B$72,$A1380+1))))/B1380))</f>
        <v>0</v>
      </c>
    </row>
    <row r="1381" customFormat="false" ht="15" hidden="false" customHeight="true" outlineLevel="0" collapsed="false">
      <c r="A1381" s="1" t="n">
        <v>50</v>
      </c>
      <c r="B1381" s="32" t="n">
        <f aca="false">INDEX(Surface_Engine!$S$12:$S$72,$A1381+1)*IF($A1381&lt;$Q$1329,INDEX(Surface_Engine!$E$12:$E$72,$A1381+1),INDEX(Surface_Engine!$E$12:$E$72,$Q$1329+1))</f>
        <v>0</v>
      </c>
      <c r="C1381" s="32" t="n">
        <f aca="false">INDEX(Panel_Reserving!$G$8:$G$68,$A1381+1)*IF($A1381&lt;$Q$1329,INDEX(Surface_Engine!$E$12:$E$72,$A1381+1),INDEX(Surface_Engine!$E$12:$E$72,$Q$1329+1))</f>
        <v>0</v>
      </c>
      <c r="D1381" s="32" t="n">
        <f aca="false">INDEX(Surface_Engine!$S$12:$S$72,$A1381+1)*IF($A1381&lt;$Q$1329,INDEX(Surface_Engine!$Y$12:$Y$72,$A1381+1),INDEX(Surface_Engine!$Y$12:$Y$72,$Q$1329+1))</f>
        <v>0</v>
      </c>
      <c r="E1381" s="32" t="n">
        <f aca="false">INDEX(Surface_Engine!$S$12:$S$72,$A1381+1)*IF($A1381&lt;$Q$1329,INDEX(Surface_Engine!$Z$12:$Z$72,$A1381+1),INDEX(Surface_Engine!$Z$12:$Z$72,$Q$1329+1))</f>
        <v>0</v>
      </c>
      <c r="F1381" s="48" t="n">
        <f aca="false">B1381*(IF($A1381&lt;$Q$1329,INDEX(Surface_Engine!$D$12:$D$72,$A1381+1)+(Surface_Engine!G248*12)*INDEX(Surface_Engine!$F$12:$F$72,$A1381+1)-(Surface_Engine!G248*12),1000*12*INDEX(Surface_Engine!$C$12:$C$72,$A1381+1)/(1+Assumptions!$B$10)^8+INDEX(Surface_Engine!$D$12:$D$72,$A1381+1)))*INDEX(Surface_Engine!$B$12:$B$72,$A1381+1)+F1382</f>
        <v>0</v>
      </c>
      <c r="G1381" s="48" t="n">
        <f aca="false">C1381*(IF($A1381&lt;$Q$1329,INDEX(Surface_Engine!$D$12:$D$72,$A1381+1)+(Surface_Engine!G248*12)*INDEX(Surface_Engine!$F$12:$F$72,$A1381+1)-(Surface_Engine!G248*12),1000*12*INDEX(Surface_Engine!$C$12:$C$72,$A1381+1)/(1+Assumptions!$B$10)^8+INDEX(Surface_Engine!$D$12:$D$72,$A1381+1)))*INDEX(Surface_Engine!$B$12:$B$72,$A1381+1)+G1382</f>
        <v>0</v>
      </c>
      <c r="H1381" s="48" t="n">
        <f aca="false">D1381*(IF($A1381&lt;$Q$1329,INDEX(Surface_Engine!$D$12:$D$72,$A1381+1)+(Surface_Engine!G248*12)*INDEX(Surface_Engine!$F$12:$F$72,$A1381+1)-(Surface_Engine!G248*12),1000*12*INDEX(Surface_Engine!$C$12:$C$72,$A1381+1)/(1+Assumptions!$B$10)^8+INDEX(Surface_Engine!$D$12:$D$72,$A1381+1)))*INDEX(Surface_Engine!$B$12:$B$72,$A1381+1)+H1382</f>
        <v>0</v>
      </c>
      <c r="I1381" s="48" t="n">
        <f aca="false">E1381*(IF($A1381&lt;$Q$1329,INDEX(Surface_Engine!$D$12:$D$72,$A1381+1)+(Surface_Engine!G248*12)*INDEX(Surface_Engine!$F$12:$F$72,$A1381+1)-(Surface_Engine!G248*12),1000*12*INDEX(Surface_Engine!$C$12:$C$72,$A1381+1)/(1+Assumptions!$B$10)^8+INDEX(Surface_Engine!$D$12:$D$72,$A1381+1)))*INDEX(Surface_Engine!$B$12:$B$72,$A1381+1)+I1382</f>
        <v>0</v>
      </c>
      <c r="J1381" s="48" t="n">
        <f aca="false">B1381*(IF($A1381&lt;$Q$1329,INDEX(Surface_Engine!$D$12:$D$72,$A1381+1)*(1+Assumptions!$B$24)+(Surface_Engine!G248*12)*INDEX(Surface_Engine!$F$12:$F$72,$A1381+1)-(Surface_Engine!G248*12),1000*12*INDEX(Surface_Engine!$C$12:$C$72,$A1381+1)/(1+Assumptions!$B$10)^8+INDEX(Surface_Engine!$D$12:$D$72,$A1381+1)*(1+Assumptions!$B$24)))*INDEX(Surface_Engine!$B$12:$B$72,$A1381+1)+J1382</f>
        <v>0</v>
      </c>
      <c r="K1381" s="12" t="n">
        <f aca="false">SQRT((IF(C1381&lt;=0,0,MAX(0,(B1381/C1381)*G1381/INDEX(Surface_Engine!$B$12:$B$72,$A1381+1)-F1381/INDEX(Surface_Engine!$B$12:$B$72,$A1381+1))))^2+(MAX(IF(D1381&lt;=0,0,MAX(0,(B1381/D1381)*H1381/INDEX(Surface_Engine!$B$12:$B$72,$A1381+1)-F1381/INDEX(Surface_Engine!$B$12:$B$72,$A1381+1))),IF(E1381&lt;=0,0,MAX(0,(B1381/E1381)*I1381/INDEX(Surface_Engine!$B$12:$B$72,$A1381+1)-F1381/INDEX(Surface_Engine!$B$12:$B$72,$A1381+1))),IF($A1381&lt;$Q$1329,MAX(0,-Assumptions!$B$22*(F1381/INDEX(Surface_Engine!$B$12:$B$72,$A1381+1))),0)))^2+(MAX(0,J1381/INDEX(Surface_Engine!$B$12:$B$72,$A1381+1)-(F1381/INDEX(Surface_Engine!$B$12:$B$72,$A1381+1))))^2+2*Assumptions!$B$26*(IF(C1381&lt;=0,0,MAX(0,(B1381/C1381)*G1381/INDEX(Surface_Engine!$B$12:$B$72,$A1381+1)-F1381/INDEX(Surface_Engine!$B$12:$B$72,$A1381+1))))*(MAX(IF(D1381&lt;=0,0,MAX(0,(B1381/D1381)*H1381/INDEX(Surface_Engine!$B$12:$B$72,$A1381+1)-F1381/INDEX(Surface_Engine!$B$12:$B$72,$A1381+1))),IF(E1381&lt;=0,0,MAX(0,(B1381/E1381)*I1381/INDEX(Surface_Engine!$B$12:$B$72,$A1381+1)-F1381/INDEX(Surface_Engine!$B$12:$B$72,$A1381+1))),IF($A1381&lt;$Q$1329,MAX(0,-Assumptions!$B$22*(F1381/INDEX(Surface_Engine!$B$12:$B$72,$A1381+1))),0)))+2*Assumptions!$B$27*(IF(C1381&lt;=0,0,MAX(0,(B1381/C1381)*G1381/INDEX(Surface_Engine!$B$12:$B$72,$A1381+1)-F1381/INDEX(Surface_Engine!$B$12:$B$72,$A1381+1))))*(MAX(0,J1381/INDEX(Surface_Engine!$B$12:$B$72,$A1381+1)-(F1381/INDEX(Surface_Engine!$B$12:$B$72,$A1381+1))))+2*Assumptions!$B$28*(MAX(IF(D1381&lt;=0,0,MAX(0,(B1381/D1381)*H1381/INDEX(Surface_Engine!$B$12:$B$72,$A1381+1)-F1381/INDEX(Surface_Engine!$B$12:$B$72,$A1381+1))),IF(E1381&lt;=0,0,MAX(0,(B1381/E1381)*I1381/INDEX(Surface_Engine!$B$12:$B$72,$A1381+1)-F1381/INDEX(Surface_Engine!$B$12:$B$72,$A1381+1))),IF($A1381&lt;$Q$1329,MAX(0,-Assumptions!$B$22*(F1381/INDEX(Surface_Engine!$B$12:$B$72,$A1381+1))),0)))*(MAX(0,J1381/INDEX(Surface_Engine!$B$12:$B$72,$A1381+1)-(F1381/INDEX(Surface_Engine!$B$12:$B$72,$A1381+1)))))</f>
        <v>0</v>
      </c>
      <c r="L1381" s="48" t="n">
        <f aca="false">K1381*INDEX(Surface_Engine!$B$12:$B$72,$A1381+1)+L1382</f>
        <v>0</v>
      </c>
      <c r="M1381" s="48" t="n">
        <f aca="false">M1380+B1380*(IF($A1380&lt;$Q$1329,(Surface_Engine!G248*12)-(Surface_Engine!G248*12)*INDEX(Surface_Engine!$F$12:$F$72,$A1380+1)-INDEX(Surface_Engine!$D$12:$D$72,$A1380+1),-(1000*12*INDEX(Surface_Engine!$C$12:$C$72,$A1380+1)/(1+Assumptions!$B$10)^8+INDEX(Surface_Engine!$D$12:$D$72,$A1380+1))))*INDEX(Surface_Engine!$B$12:$B$72,$A1380+1)</f>
        <v>3126.54847093965</v>
      </c>
      <c r="N1381" s="12" t="n">
        <f aca="false">IF(B1381&lt;=0,0,MAX(0,(K1381+Assumptions!$B$29*L1381/INDEX(Surface_Engine!$B$12:$B$72,$A1381+1)-(M1381/INDEX(Surface_Engine!$B$12:$B$72,$A1381+1)-(F1381/INDEX(Surface_Engine!$B$12:$B$72,$A1381+1))))/B1381))</f>
        <v>0</v>
      </c>
    </row>
    <row r="1382" customFormat="false" ht="15" hidden="false" customHeight="true" outlineLevel="0" collapsed="false">
      <c r="A1382" s="1" t="n">
        <v>51</v>
      </c>
      <c r="B1382" s="32" t="n">
        <f aca="false">INDEX(Surface_Engine!$S$12:$S$72,$A1382+1)*IF($A1382&lt;$Q$1329,INDEX(Surface_Engine!$E$12:$E$72,$A1382+1),INDEX(Surface_Engine!$E$12:$E$72,$Q$1329+1))</f>
        <v>0</v>
      </c>
      <c r="C1382" s="32" t="n">
        <f aca="false">INDEX(Panel_Reserving!$G$8:$G$68,$A1382+1)*IF($A1382&lt;$Q$1329,INDEX(Surface_Engine!$E$12:$E$72,$A1382+1),INDEX(Surface_Engine!$E$12:$E$72,$Q$1329+1))</f>
        <v>0</v>
      </c>
      <c r="D1382" s="32" t="n">
        <f aca="false">INDEX(Surface_Engine!$S$12:$S$72,$A1382+1)*IF($A1382&lt;$Q$1329,INDEX(Surface_Engine!$Y$12:$Y$72,$A1382+1),INDEX(Surface_Engine!$Y$12:$Y$72,$Q$1329+1))</f>
        <v>0</v>
      </c>
      <c r="E1382" s="32" t="n">
        <f aca="false">INDEX(Surface_Engine!$S$12:$S$72,$A1382+1)*IF($A1382&lt;$Q$1329,INDEX(Surface_Engine!$Z$12:$Z$72,$A1382+1),INDEX(Surface_Engine!$Z$12:$Z$72,$Q$1329+1))</f>
        <v>0</v>
      </c>
      <c r="F1382" s="48" t="n">
        <f aca="false">B1382*(IF($A1382&lt;$Q$1329,INDEX(Surface_Engine!$D$12:$D$72,$A1382+1)+(Surface_Engine!G248*12)*INDEX(Surface_Engine!$F$12:$F$72,$A1382+1)-(Surface_Engine!G248*12),1000*12*INDEX(Surface_Engine!$C$12:$C$72,$A1382+1)/(1+Assumptions!$B$10)^8+INDEX(Surface_Engine!$D$12:$D$72,$A1382+1)))*INDEX(Surface_Engine!$B$12:$B$72,$A1382+1)+F1383</f>
        <v>0</v>
      </c>
      <c r="G1382" s="48" t="n">
        <f aca="false">C1382*(IF($A1382&lt;$Q$1329,INDEX(Surface_Engine!$D$12:$D$72,$A1382+1)+(Surface_Engine!G248*12)*INDEX(Surface_Engine!$F$12:$F$72,$A1382+1)-(Surface_Engine!G248*12),1000*12*INDEX(Surface_Engine!$C$12:$C$72,$A1382+1)/(1+Assumptions!$B$10)^8+INDEX(Surface_Engine!$D$12:$D$72,$A1382+1)))*INDEX(Surface_Engine!$B$12:$B$72,$A1382+1)+G1383</f>
        <v>0</v>
      </c>
      <c r="H1382" s="48" t="n">
        <f aca="false">D1382*(IF($A1382&lt;$Q$1329,INDEX(Surface_Engine!$D$12:$D$72,$A1382+1)+(Surface_Engine!G248*12)*INDEX(Surface_Engine!$F$12:$F$72,$A1382+1)-(Surface_Engine!G248*12),1000*12*INDEX(Surface_Engine!$C$12:$C$72,$A1382+1)/(1+Assumptions!$B$10)^8+INDEX(Surface_Engine!$D$12:$D$72,$A1382+1)))*INDEX(Surface_Engine!$B$12:$B$72,$A1382+1)+H1383</f>
        <v>0</v>
      </c>
      <c r="I1382" s="48" t="n">
        <f aca="false">E1382*(IF($A1382&lt;$Q$1329,INDEX(Surface_Engine!$D$12:$D$72,$A1382+1)+(Surface_Engine!G248*12)*INDEX(Surface_Engine!$F$12:$F$72,$A1382+1)-(Surface_Engine!G248*12),1000*12*INDEX(Surface_Engine!$C$12:$C$72,$A1382+1)/(1+Assumptions!$B$10)^8+INDEX(Surface_Engine!$D$12:$D$72,$A1382+1)))*INDEX(Surface_Engine!$B$12:$B$72,$A1382+1)+I1383</f>
        <v>0</v>
      </c>
      <c r="J1382" s="48" t="n">
        <f aca="false">B1382*(IF($A1382&lt;$Q$1329,INDEX(Surface_Engine!$D$12:$D$72,$A1382+1)*(1+Assumptions!$B$24)+(Surface_Engine!G248*12)*INDEX(Surface_Engine!$F$12:$F$72,$A1382+1)-(Surface_Engine!G248*12),1000*12*INDEX(Surface_Engine!$C$12:$C$72,$A1382+1)/(1+Assumptions!$B$10)^8+INDEX(Surface_Engine!$D$12:$D$72,$A1382+1)*(1+Assumptions!$B$24)))*INDEX(Surface_Engine!$B$12:$B$72,$A1382+1)+J1383</f>
        <v>0</v>
      </c>
      <c r="K1382" s="12" t="n">
        <f aca="false">SQRT((IF(C1382&lt;=0,0,MAX(0,(B1382/C1382)*G1382/INDEX(Surface_Engine!$B$12:$B$72,$A1382+1)-F1382/INDEX(Surface_Engine!$B$12:$B$72,$A1382+1))))^2+(MAX(IF(D1382&lt;=0,0,MAX(0,(B1382/D1382)*H1382/INDEX(Surface_Engine!$B$12:$B$72,$A1382+1)-F1382/INDEX(Surface_Engine!$B$12:$B$72,$A1382+1))),IF(E1382&lt;=0,0,MAX(0,(B1382/E1382)*I1382/INDEX(Surface_Engine!$B$12:$B$72,$A1382+1)-F1382/INDEX(Surface_Engine!$B$12:$B$72,$A1382+1))),IF($A1382&lt;$Q$1329,MAX(0,-Assumptions!$B$22*(F1382/INDEX(Surface_Engine!$B$12:$B$72,$A1382+1))),0)))^2+(MAX(0,J1382/INDEX(Surface_Engine!$B$12:$B$72,$A1382+1)-(F1382/INDEX(Surface_Engine!$B$12:$B$72,$A1382+1))))^2+2*Assumptions!$B$26*(IF(C1382&lt;=0,0,MAX(0,(B1382/C1382)*G1382/INDEX(Surface_Engine!$B$12:$B$72,$A1382+1)-F1382/INDEX(Surface_Engine!$B$12:$B$72,$A1382+1))))*(MAX(IF(D1382&lt;=0,0,MAX(0,(B1382/D1382)*H1382/INDEX(Surface_Engine!$B$12:$B$72,$A1382+1)-F1382/INDEX(Surface_Engine!$B$12:$B$72,$A1382+1))),IF(E1382&lt;=0,0,MAX(0,(B1382/E1382)*I1382/INDEX(Surface_Engine!$B$12:$B$72,$A1382+1)-F1382/INDEX(Surface_Engine!$B$12:$B$72,$A1382+1))),IF($A1382&lt;$Q$1329,MAX(0,-Assumptions!$B$22*(F1382/INDEX(Surface_Engine!$B$12:$B$72,$A1382+1))),0)))+2*Assumptions!$B$27*(IF(C1382&lt;=0,0,MAX(0,(B1382/C1382)*G1382/INDEX(Surface_Engine!$B$12:$B$72,$A1382+1)-F1382/INDEX(Surface_Engine!$B$12:$B$72,$A1382+1))))*(MAX(0,J1382/INDEX(Surface_Engine!$B$12:$B$72,$A1382+1)-(F1382/INDEX(Surface_Engine!$B$12:$B$72,$A1382+1))))+2*Assumptions!$B$28*(MAX(IF(D1382&lt;=0,0,MAX(0,(B1382/D1382)*H1382/INDEX(Surface_Engine!$B$12:$B$72,$A1382+1)-F1382/INDEX(Surface_Engine!$B$12:$B$72,$A1382+1))),IF(E1382&lt;=0,0,MAX(0,(B1382/E1382)*I1382/INDEX(Surface_Engine!$B$12:$B$72,$A1382+1)-F1382/INDEX(Surface_Engine!$B$12:$B$72,$A1382+1))),IF($A1382&lt;$Q$1329,MAX(0,-Assumptions!$B$22*(F1382/INDEX(Surface_Engine!$B$12:$B$72,$A1382+1))),0)))*(MAX(0,J1382/INDEX(Surface_Engine!$B$12:$B$72,$A1382+1)-(F1382/INDEX(Surface_Engine!$B$12:$B$72,$A1382+1)))))</f>
        <v>0</v>
      </c>
      <c r="L1382" s="48" t="n">
        <f aca="false">K1382*INDEX(Surface_Engine!$B$12:$B$72,$A1382+1)+L1383</f>
        <v>0</v>
      </c>
      <c r="M1382" s="48" t="n">
        <f aca="false">M1381+B1381*(IF($A1381&lt;$Q$1329,(Surface_Engine!G248*12)-(Surface_Engine!G248*12)*INDEX(Surface_Engine!$F$12:$F$72,$A1381+1)-INDEX(Surface_Engine!$D$12:$D$72,$A1381+1),-(1000*12*INDEX(Surface_Engine!$C$12:$C$72,$A1381+1)/(1+Assumptions!$B$10)^8+INDEX(Surface_Engine!$D$12:$D$72,$A1381+1))))*INDEX(Surface_Engine!$B$12:$B$72,$A1381+1)</f>
        <v>3126.54847093965</v>
      </c>
      <c r="N1382" s="12" t="n">
        <f aca="false">IF(B1382&lt;=0,0,MAX(0,(K1382+Assumptions!$B$29*L1382/INDEX(Surface_Engine!$B$12:$B$72,$A1382+1)-(M1382/INDEX(Surface_Engine!$B$12:$B$72,$A1382+1)-(F1382/INDEX(Surface_Engine!$B$12:$B$72,$A1382+1))))/B1382))</f>
        <v>0</v>
      </c>
    </row>
    <row r="1383" customFormat="false" ht="15" hidden="false" customHeight="true" outlineLevel="0" collapsed="false">
      <c r="A1383" s="1" t="n">
        <v>52</v>
      </c>
      <c r="B1383" s="32" t="n">
        <f aca="false">INDEX(Surface_Engine!$S$12:$S$72,$A1383+1)*IF($A1383&lt;$Q$1329,INDEX(Surface_Engine!$E$12:$E$72,$A1383+1),INDEX(Surface_Engine!$E$12:$E$72,$Q$1329+1))</f>
        <v>0</v>
      </c>
      <c r="C1383" s="32" t="n">
        <f aca="false">INDEX(Panel_Reserving!$G$8:$G$68,$A1383+1)*IF($A1383&lt;$Q$1329,INDEX(Surface_Engine!$E$12:$E$72,$A1383+1),INDEX(Surface_Engine!$E$12:$E$72,$Q$1329+1))</f>
        <v>0</v>
      </c>
      <c r="D1383" s="32" t="n">
        <f aca="false">INDEX(Surface_Engine!$S$12:$S$72,$A1383+1)*IF($A1383&lt;$Q$1329,INDEX(Surface_Engine!$Y$12:$Y$72,$A1383+1),INDEX(Surface_Engine!$Y$12:$Y$72,$Q$1329+1))</f>
        <v>0</v>
      </c>
      <c r="E1383" s="32" t="n">
        <f aca="false">INDEX(Surface_Engine!$S$12:$S$72,$A1383+1)*IF($A1383&lt;$Q$1329,INDEX(Surface_Engine!$Z$12:$Z$72,$A1383+1),INDEX(Surface_Engine!$Z$12:$Z$72,$Q$1329+1))</f>
        <v>0</v>
      </c>
      <c r="F1383" s="48" t="n">
        <f aca="false">B1383*(IF($A1383&lt;$Q$1329,INDEX(Surface_Engine!$D$12:$D$72,$A1383+1)+(Surface_Engine!G248*12)*INDEX(Surface_Engine!$F$12:$F$72,$A1383+1)-(Surface_Engine!G248*12),1000*12*INDEX(Surface_Engine!$C$12:$C$72,$A1383+1)/(1+Assumptions!$B$10)^8+INDEX(Surface_Engine!$D$12:$D$72,$A1383+1)))*INDEX(Surface_Engine!$B$12:$B$72,$A1383+1)+F1384</f>
        <v>0</v>
      </c>
      <c r="G1383" s="48" t="n">
        <f aca="false">C1383*(IF($A1383&lt;$Q$1329,INDEX(Surface_Engine!$D$12:$D$72,$A1383+1)+(Surface_Engine!G248*12)*INDEX(Surface_Engine!$F$12:$F$72,$A1383+1)-(Surface_Engine!G248*12),1000*12*INDEX(Surface_Engine!$C$12:$C$72,$A1383+1)/(1+Assumptions!$B$10)^8+INDEX(Surface_Engine!$D$12:$D$72,$A1383+1)))*INDEX(Surface_Engine!$B$12:$B$72,$A1383+1)+G1384</f>
        <v>0</v>
      </c>
      <c r="H1383" s="48" t="n">
        <f aca="false">D1383*(IF($A1383&lt;$Q$1329,INDEX(Surface_Engine!$D$12:$D$72,$A1383+1)+(Surface_Engine!G248*12)*INDEX(Surface_Engine!$F$12:$F$72,$A1383+1)-(Surface_Engine!G248*12),1000*12*INDEX(Surface_Engine!$C$12:$C$72,$A1383+1)/(1+Assumptions!$B$10)^8+INDEX(Surface_Engine!$D$12:$D$72,$A1383+1)))*INDEX(Surface_Engine!$B$12:$B$72,$A1383+1)+H1384</f>
        <v>0</v>
      </c>
      <c r="I1383" s="48" t="n">
        <f aca="false">E1383*(IF($A1383&lt;$Q$1329,INDEX(Surface_Engine!$D$12:$D$72,$A1383+1)+(Surface_Engine!G248*12)*INDEX(Surface_Engine!$F$12:$F$72,$A1383+1)-(Surface_Engine!G248*12),1000*12*INDEX(Surface_Engine!$C$12:$C$72,$A1383+1)/(1+Assumptions!$B$10)^8+INDEX(Surface_Engine!$D$12:$D$72,$A1383+1)))*INDEX(Surface_Engine!$B$12:$B$72,$A1383+1)+I1384</f>
        <v>0</v>
      </c>
      <c r="J1383" s="48" t="n">
        <f aca="false">B1383*(IF($A1383&lt;$Q$1329,INDEX(Surface_Engine!$D$12:$D$72,$A1383+1)*(1+Assumptions!$B$24)+(Surface_Engine!G248*12)*INDEX(Surface_Engine!$F$12:$F$72,$A1383+1)-(Surface_Engine!G248*12),1000*12*INDEX(Surface_Engine!$C$12:$C$72,$A1383+1)/(1+Assumptions!$B$10)^8+INDEX(Surface_Engine!$D$12:$D$72,$A1383+1)*(1+Assumptions!$B$24)))*INDEX(Surface_Engine!$B$12:$B$72,$A1383+1)+J1384</f>
        <v>0</v>
      </c>
      <c r="K1383" s="12" t="n">
        <f aca="false">SQRT((IF(C1383&lt;=0,0,MAX(0,(B1383/C1383)*G1383/INDEX(Surface_Engine!$B$12:$B$72,$A1383+1)-F1383/INDEX(Surface_Engine!$B$12:$B$72,$A1383+1))))^2+(MAX(IF(D1383&lt;=0,0,MAX(0,(B1383/D1383)*H1383/INDEX(Surface_Engine!$B$12:$B$72,$A1383+1)-F1383/INDEX(Surface_Engine!$B$12:$B$72,$A1383+1))),IF(E1383&lt;=0,0,MAX(0,(B1383/E1383)*I1383/INDEX(Surface_Engine!$B$12:$B$72,$A1383+1)-F1383/INDEX(Surface_Engine!$B$12:$B$72,$A1383+1))),IF($A1383&lt;$Q$1329,MAX(0,-Assumptions!$B$22*(F1383/INDEX(Surface_Engine!$B$12:$B$72,$A1383+1))),0)))^2+(MAX(0,J1383/INDEX(Surface_Engine!$B$12:$B$72,$A1383+1)-(F1383/INDEX(Surface_Engine!$B$12:$B$72,$A1383+1))))^2+2*Assumptions!$B$26*(IF(C1383&lt;=0,0,MAX(0,(B1383/C1383)*G1383/INDEX(Surface_Engine!$B$12:$B$72,$A1383+1)-F1383/INDEX(Surface_Engine!$B$12:$B$72,$A1383+1))))*(MAX(IF(D1383&lt;=0,0,MAX(0,(B1383/D1383)*H1383/INDEX(Surface_Engine!$B$12:$B$72,$A1383+1)-F1383/INDEX(Surface_Engine!$B$12:$B$72,$A1383+1))),IF(E1383&lt;=0,0,MAX(0,(B1383/E1383)*I1383/INDEX(Surface_Engine!$B$12:$B$72,$A1383+1)-F1383/INDEX(Surface_Engine!$B$12:$B$72,$A1383+1))),IF($A1383&lt;$Q$1329,MAX(0,-Assumptions!$B$22*(F1383/INDEX(Surface_Engine!$B$12:$B$72,$A1383+1))),0)))+2*Assumptions!$B$27*(IF(C1383&lt;=0,0,MAX(0,(B1383/C1383)*G1383/INDEX(Surface_Engine!$B$12:$B$72,$A1383+1)-F1383/INDEX(Surface_Engine!$B$12:$B$72,$A1383+1))))*(MAX(0,J1383/INDEX(Surface_Engine!$B$12:$B$72,$A1383+1)-(F1383/INDEX(Surface_Engine!$B$12:$B$72,$A1383+1))))+2*Assumptions!$B$28*(MAX(IF(D1383&lt;=0,0,MAX(0,(B1383/D1383)*H1383/INDEX(Surface_Engine!$B$12:$B$72,$A1383+1)-F1383/INDEX(Surface_Engine!$B$12:$B$72,$A1383+1))),IF(E1383&lt;=0,0,MAX(0,(B1383/E1383)*I1383/INDEX(Surface_Engine!$B$12:$B$72,$A1383+1)-F1383/INDEX(Surface_Engine!$B$12:$B$72,$A1383+1))),IF($A1383&lt;$Q$1329,MAX(0,-Assumptions!$B$22*(F1383/INDEX(Surface_Engine!$B$12:$B$72,$A1383+1))),0)))*(MAX(0,J1383/INDEX(Surface_Engine!$B$12:$B$72,$A1383+1)-(F1383/INDEX(Surface_Engine!$B$12:$B$72,$A1383+1)))))</f>
        <v>0</v>
      </c>
      <c r="L1383" s="48" t="n">
        <f aca="false">K1383*INDEX(Surface_Engine!$B$12:$B$72,$A1383+1)+L1384</f>
        <v>0</v>
      </c>
      <c r="M1383" s="48" t="n">
        <f aca="false">M1382+B1382*(IF($A1382&lt;$Q$1329,(Surface_Engine!G248*12)-(Surface_Engine!G248*12)*INDEX(Surface_Engine!$F$12:$F$72,$A1382+1)-INDEX(Surface_Engine!$D$12:$D$72,$A1382+1),-(1000*12*INDEX(Surface_Engine!$C$12:$C$72,$A1382+1)/(1+Assumptions!$B$10)^8+INDEX(Surface_Engine!$D$12:$D$72,$A1382+1))))*INDEX(Surface_Engine!$B$12:$B$72,$A1382+1)</f>
        <v>3126.54847093965</v>
      </c>
      <c r="N1383" s="12" t="n">
        <f aca="false">IF(B1383&lt;=0,0,MAX(0,(K1383+Assumptions!$B$29*L1383/INDEX(Surface_Engine!$B$12:$B$72,$A1383+1)-(M1383/INDEX(Surface_Engine!$B$12:$B$72,$A1383+1)-(F1383/INDEX(Surface_Engine!$B$12:$B$72,$A1383+1))))/B1383))</f>
        <v>0</v>
      </c>
    </row>
    <row r="1384" customFormat="false" ht="15" hidden="false" customHeight="true" outlineLevel="0" collapsed="false">
      <c r="A1384" s="1" t="n">
        <v>53</v>
      </c>
      <c r="B1384" s="32" t="n">
        <f aca="false">INDEX(Surface_Engine!$S$12:$S$72,$A1384+1)*IF($A1384&lt;$Q$1329,INDEX(Surface_Engine!$E$12:$E$72,$A1384+1),INDEX(Surface_Engine!$E$12:$E$72,$Q$1329+1))</f>
        <v>0</v>
      </c>
      <c r="C1384" s="32" t="n">
        <f aca="false">INDEX(Panel_Reserving!$G$8:$G$68,$A1384+1)*IF($A1384&lt;$Q$1329,INDEX(Surface_Engine!$E$12:$E$72,$A1384+1),INDEX(Surface_Engine!$E$12:$E$72,$Q$1329+1))</f>
        <v>0</v>
      </c>
      <c r="D1384" s="32" t="n">
        <f aca="false">INDEX(Surface_Engine!$S$12:$S$72,$A1384+1)*IF($A1384&lt;$Q$1329,INDEX(Surface_Engine!$Y$12:$Y$72,$A1384+1),INDEX(Surface_Engine!$Y$12:$Y$72,$Q$1329+1))</f>
        <v>0</v>
      </c>
      <c r="E1384" s="32" t="n">
        <f aca="false">INDEX(Surface_Engine!$S$12:$S$72,$A1384+1)*IF($A1384&lt;$Q$1329,INDEX(Surface_Engine!$Z$12:$Z$72,$A1384+1),INDEX(Surface_Engine!$Z$12:$Z$72,$Q$1329+1))</f>
        <v>0</v>
      </c>
      <c r="F1384" s="48" t="n">
        <f aca="false">B1384*(IF($A1384&lt;$Q$1329,INDEX(Surface_Engine!$D$12:$D$72,$A1384+1)+(Surface_Engine!G248*12)*INDEX(Surface_Engine!$F$12:$F$72,$A1384+1)-(Surface_Engine!G248*12),1000*12*INDEX(Surface_Engine!$C$12:$C$72,$A1384+1)/(1+Assumptions!$B$10)^8+INDEX(Surface_Engine!$D$12:$D$72,$A1384+1)))*INDEX(Surface_Engine!$B$12:$B$72,$A1384+1)+F1385</f>
        <v>0</v>
      </c>
      <c r="G1384" s="48" t="n">
        <f aca="false">C1384*(IF($A1384&lt;$Q$1329,INDEX(Surface_Engine!$D$12:$D$72,$A1384+1)+(Surface_Engine!G248*12)*INDEX(Surface_Engine!$F$12:$F$72,$A1384+1)-(Surface_Engine!G248*12),1000*12*INDEX(Surface_Engine!$C$12:$C$72,$A1384+1)/(1+Assumptions!$B$10)^8+INDEX(Surface_Engine!$D$12:$D$72,$A1384+1)))*INDEX(Surface_Engine!$B$12:$B$72,$A1384+1)+G1385</f>
        <v>0</v>
      </c>
      <c r="H1384" s="48" t="n">
        <f aca="false">D1384*(IF($A1384&lt;$Q$1329,INDEX(Surface_Engine!$D$12:$D$72,$A1384+1)+(Surface_Engine!G248*12)*INDEX(Surface_Engine!$F$12:$F$72,$A1384+1)-(Surface_Engine!G248*12),1000*12*INDEX(Surface_Engine!$C$12:$C$72,$A1384+1)/(1+Assumptions!$B$10)^8+INDEX(Surface_Engine!$D$12:$D$72,$A1384+1)))*INDEX(Surface_Engine!$B$12:$B$72,$A1384+1)+H1385</f>
        <v>0</v>
      </c>
      <c r="I1384" s="48" t="n">
        <f aca="false">E1384*(IF($A1384&lt;$Q$1329,INDEX(Surface_Engine!$D$12:$D$72,$A1384+1)+(Surface_Engine!G248*12)*INDEX(Surface_Engine!$F$12:$F$72,$A1384+1)-(Surface_Engine!G248*12),1000*12*INDEX(Surface_Engine!$C$12:$C$72,$A1384+1)/(1+Assumptions!$B$10)^8+INDEX(Surface_Engine!$D$12:$D$72,$A1384+1)))*INDEX(Surface_Engine!$B$12:$B$72,$A1384+1)+I1385</f>
        <v>0</v>
      </c>
      <c r="J1384" s="48" t="n">
        <f aca="false">B1384*(IF($A1384&lt;$Q$1329,INDEX(Surface_Engine!$D$12:$D$72,$A1384+1)*(1+Assumptions!$B$24)+(Surface_Engine!G248*12)*INDEX(Surface_Engine!$F$12:$F$72,$A1384+1)-(Surface_Engine!G248*12),1000*12*INDEX(Surface_Engine!$C$12:$C$72,$A1384+1)/(1+Assumptions!$B$10)^8+INDEX(Surface_Engine!$D$12:$D$72,$A1384+1)*(1+Assumptions!$B$24)))*INDEX(Surface_Engine!$B$12:$B$72,$A1384+1)+J1385</f>
        <v>0</v>
      </c>
      <c r="K1384" s="12" t="n">
        <f aca="false">SQRT((IF(C1384&lt;=0,0,MAX(0,(B1384/C1384)*G1384/INDEX(Surface_Engine!$B$12:$B$72,$A1384+1)-F1384/INDEX(Surface_Engine!$B$12:$B$72,$A1384+1))))^2+(MAX(IF(D1384&lt;=0,0,MAX(0,(B1384/D1384)*H1384/INDEX(Surface_Engine!$B$12:$B$72,$A1384+1)-F1384/INDEX(Surface_Engine!$B$12:$B$72,$A1384+1))),IF(E1384&lt;=0,0,MAX(0,(B1384/E1384)*I1384/INDEX(Surface_Engine!$B$12:$B$72,$A1384+1)-F1384/INDEX(Surface_Engine!$B$12:$B$72,$A1384+1))),IF($A1384&lt;$Q$1329,MAX(0,-Assumptions!$B$22*(F1384/INDEX(Surface_Engine!$B$12:$B$72,$A1384+1))),0)))^2+(MAX(0,J1384/INDEX(Surface_Engine!$B$12:$B$72,$A1384+1)-(F1384/INDEX(Surface_Engine!$B$12:$B$72,$A1384+1))))^2+2*Assumptions!$B$26*(IF(C1384&lt;=0,0,MAX(0,(B1384/C1384)*G1384/INDEX(Surface_Engine!$B$12:$B$72,$A1384+1)-F1384/INDEX(Surface_Engine!$B$12:$B$72,$A1384+1))))*(MAX(IF(D1384&lt;=0,0,MAX(0,(B1384/D1384)*H1384/INDEX(Surface_Engine!$B$12:$B$72,$A1384+1)-F1384/INDEX(Surface_Engine!$B$12:$B$72,$A1384+1))),IF(E1384&lt;=0,0,MAX(0,(B1384/E1384)*I1384/INDEX(Surface_Engine!$B$12:$B$72,$A1384+1)-F1384/INDEX(Surface_Engine!$B$12:$B$72,$A1384+1))),IF($A1384&lt;$Q$1329,MAX(0,-Assumptions!$B$22*(F1384/INDEX(Surface_Engine!$B$12:$B$72,$A1384+1))),0)))+2*Assumptions!$B$27*(IF(C1384&lt;=0,0,MAX(0,(B1384/C1384)*G1384/INDEX(Surface_Engine!$B$12:$B$72,$A1384+1)-F1384/INDEX(Surface_Engine!$B$12:$B$72,$A1384+1))))*(MAX(0,J1384/INDEX(Surface_Engine!$B$12:$B$72,$A1384+1)-(F1384/INDEX(Surface_Engine!$B$12:$B$72,$A1384+1))))+2*Assumptions!$B$28*(MAX(IF(D1384&lt;=0,0,MAX(0,(B1384/D1384)*H1384/INDEX(Surface_Engine!$B$12:$B$72,$A1384+1)-F1384/INDEX(Surface_Engine!$B$12:$B$72,$A1384+1))),IF(E1384&lt;=0,0,MAX(0,(B1384/E1384)*I1384/INDEX(Surface_Engine!$B$12:$B$72,$A1384+1)-F1384/INDEX(Surface_Engine!$B$12:$B$72,$A1384+1))),IF($A1384&lt;$Q$1329,MAX(0,-Assumptions!$B$22*(F1384/INDEX(Surface_Engine!$B$12:$B$72,$A1384+1))),0)))*(MAX(0,J1384/INDEX(Surface_Engine!$B$12:$B$72,$A1384+1)-(F1384/INDEX(Surface_Engine!$B$12:$B$72,$A1384+1)))))</f>
        <v>0</v>
      </c>
      <c r="L1384" s="48" t="n">
        <f aca="false">K1384*INDEX(Surface_Engine!$B$12:$B$72,$A1384+1)+L1385</f>
        <v>0</v>
      </c>
      <c r="M1384" s="48" t="n">
        <f aca="false">M1383+B1383*(IF($A1383&lt;$Q$1329,(Surface_Engine!G248*12)-(Surface_Engine!G248*12)*INDEX(Surface_Engine!$F$12:$F$72,$A1383+1)-INDEX(Surface_Engine!$D$12:$D$72,$A1383+1),-(1000*12*INDEX(Surface_Engine!$C$12:$C$72,$A1383+1)/(1+Assumptions!$B$10)^8+INDEX(Surface_Engine!$D$12:$D$72,$A1383+1))))*INDEX(Surface_Engine!$B$12:$B$72,$A1383+1)</f>
        <v>3126.54847093965</v>
      </c>
      <c r="N1384" s="12" t="n">
        <f aca="false">IF(B1384&lt;=0,0,MAX(0,(K1384+Assumptions!$B$29*L1384/INDEX(Surface_Engine!$B$12:$B$72,$A1384+1)-(M1384/INDEX(Surface_Engine!$B$12:$B$72,$A1384+1)-(F1384/INDEX(Surface_Engine!$B$12:$B$72,$A1384+1))))/B1384))</f>
        <v>0</v>
      </c>
    </row>
    <row r="1385" customFormat="false" ht="15" hidden="false" customHeight="true" outlineLevel="0" collapsed="false">
      <c r="A1385" s="1" t="n">
        <v>54</v>
      </c>
      <c r="B1385" s="32" t="n">
        <f aca="false">INDEX(Surface_Engine!$S$12:$S$72,$A1385+1)*IF($A1385&lt;$Q$1329,INDEX(Surface_Engine!$E$12:$E$72,$A1385+1),INDEX(Surface_Engine!$E$12:$E$72,$Q$1329+1))</f>
        <v>0</v>
      </c>
      <c r="C1385" s="32" t="n">
        <f aca="false">INDEX(Panel_Reserving!$G$8:$G$68,$A1385+1)*IF($A1385&lt;$Q$1329,INDEX(Surface_Engine!$E$12:$E$72,$A1385+1),INDEX(Surface_Engine!$E$12:$E$72,$Q$1329+1))</f>
        <v>0</v>
      </c>
      <c r="D1385" s="32" t="n">
        <f aca="false">INDEX(Surface_Engine!$S$12:$S$72,$A1385+1)*IF($A1385&lt;$Q$1329,INDEX(Surface_Engine!$Y$12:$Y$72,$A1385+1),INDEX(Surface_Engine!$Y$12:$Y$72,$Q$1329+1))</f>
        <v>0</v>
      </c>
      <c r="E1385" s="32" t="n">
        <f aca="false">INDEX(Surface_Engine!$S$12:$S$72,$A1385+1)*IF($A1385&lt;$Q$1329,INDEX(Surface_Engine!$Z$12:$Z$72,$A1385+1),INDEX(Surface_Engine!$Z$12:$Z$72,$Q$1329+1))</f>
        <v>0</v>
      </c>
      <c r="F1385" s="48" t="n">
        <f aca="false">B1385*(IF($A1385&lt;$Q$1329,INDEX(Surface_Engine!$D$12:$D$72,$A1385+1)+(Surface_Engine!G248*12)*INDEX(Surface_Engine!$F$12:$F$72,$A1385+1)-(Surface_Engine!G248*12),1000*12*INDEX(Surface_Engine!$C$12:$C$72,$A1385+1)/(1+Assumptions!$B$10)^8+INDEX(Surface_Engine!$D$12:$D$72,$A1385+1)))*INDEX(Surface_Engine!$B$12:$B$72,$A1385+1)+F1386</f>
        <v>0</v>
      </c>
      <c r="G1385" s="48" t="n">
        <f aca="false">C1385*(IF($A1385&lt;$Q$1329,INDEX(Surface_Engine!$D$12:$D$72,$A1385+1)+(Surface_Engine!G248*12)*INDEX(Surface_Engine!$F$12:$F$72,$A1385+1)-(Surface_Engine!G248*12),1000*12*INDEX(Surface_Engine!$C$12:$C$72,$A1385+1)/(1+Assumptions!$B$10)^8+INDEX(Surface_Engine!$D$12:$D$72,$A1385+1)))*INDEX(Surface_Engine!$B$12:$B$72,$A1385+1)+G1386</f>
        <v>0</v>
      </c>
      <c r="H1385" s="48" t="n">
        <f aca="false">D1385*(IF($A1385&lt;$Q$1329,INDEX(Surface_Engine!$D$12:$D$72,$A1385+1)+(Surface_Engine!G248*12)*INDEX(Surface_Engine!$F$12:$F$72,$A1385+1)-(Surface_Engine!G248*12),1000*12*INDEX(Surface_Engine!$C$12:$C$72,$A1385+1)/(1+Assumptions!$B$10)^8+INDEX(Surface_Engine!$D$12:$D$72,$A1385+1)))*INDEX(Surface_Engine!$B$12:$B$72,$A1385+1)+H1386</f>
        <v>0</v>
      </c>
      <c r="I1385" s="48" t="n">
        <f aca="false">E1385*(IF($A1385&lt;$Q$1329,INDEX(Surface_Engine!$D$12:$D$72,$A1385+1)+(Surface_Engine!G248*12)*INDEX(Surface_Engine!$F$12:$F$72,$A1385+1)-(Surface_Engine!G248*12),1000*12*INDEX(Surface_Engine!$C$12:$C$72,$A1385+1)/(1+Assumptions!$B$10)^8+INDEX(Surface_Engine!$D$12:$D$72,$A1385+1)))*INDEX(Surface_Engine!$B$12:$B$72,$A1385+1)+I1386</f>
        <v>0</v>
      </c>
      <c r="J1385" s="48" t="n">
        <f aca="false">B1385*(IF($A1385&lt;$Q$1329,INDEX(Surface_Engine!$D$12:$D$72,$A1385+1)*(1+Assumptions!$B$24)+(Surface_Engine!G248*12)*INDEX(Surface_Engine!$F$12:$F$72,$A1385+1)-(Surface_Engine!G248*12),1000*12*INDEX(Surface_Engine!$C$12:$C$72,$A1385+1)/(1+Assumptions!$B$10)^8+INDEX(Surface_Engine!$D$12:$D$72,$A1385+1)*(1+Assumptions!$B$24)))*INDEX(Surface_Engine!$B$12:$B$72,$A1385+1)+J1386</f>
        <v>0</v>
      </c>
      <c r="K1385" s="12" t="n">
        <f aca="false">SQRT((IF(C1385&lt;=0,0,MAX(0,(B1385/C1385)*G1385/INDEX(Surface_Engine!$B$12:$B$72,$A1385+1)-F1385/INDEX(Surface_Engine!$B$12:$B$72,$A1385+1))))^2+(MAX(IF(D1385&lt;=0,0,MAX(0,(B1385/D1385)*H1385/INDEX(Surface_Engine!$B$12:$B$72,$A1385+1)-F1385/INDEX(Surface_Engine!$B$12:$B$72,$A1385+1))),IF(E1385&lt;=0,0,MAX(0,(B1385/E1385)*I1385/INDEX(Surface_Engine!$B$12:$B$72,$A1385+1)-F1385/INDEX(Surface_Engine!$B$12:$B$72,$A1385+1))),IF($A1385&lt;$Q$1329,MAX(0,-Assumptions!$B$22*(F1385/INDEX(Surface_Engine!$B$12:$B$72,$A1385+1))),0)))^2+(MAX(0,J1385/INDEX(Surface_Engine!$B$12:$B$72,$A1385+1)-(F1385/INDEX(Surface_Engine!$B$12:$B$72,$A1385+1))))^2+2*Assumptions!$B$26*(IF(C1385&lt;=0,0,MAX(0,(B1385/C1385)*G1385/INDEX(Surface_Engine!$B$12:$B$72,$A1385+1)-F1385/INDEX(Surface_Engine!$B$12:$B$72,$A1385+1))))*(MAX(IF(D1385&lt;=0,0,MAX(0,(B1385/D1385)*H1385/INDEX(Surface_Engine!$B$12:$B$72,$A1385+1)-F1385/INDEX(Surface_Engine!$B$12:$B$72,$A1385+1))),IF(E1385&lt;=0,0,MAX(0,(B1385/E1385)*I1385/INDEX(Surface_Engine!$B$12:$B$72,$A1385+1)-F1385/INDEX(Surface_Engine!$B$12:$B$72,$A1385+1))),IF($A1385&lt;$Q$1329,MAX(0,-Assumptions!$B$22*(F1385/INDEX(Surface_Engine!$B$12:$B$72,$A1385+1))),0)))+2*Assumptions!$B$27*(IF(C1385&lt;=0,0,MAX(0,(B1385/C1385)*G1385/INDEX(Surface_Engine!$B$12:$B$72,$A1385+1)-F1385/INDEX(Surface_Engine!$B$12:$B$72,$A1385+1))))*(MAX(0,J1385/INDEX(Surface_Engine!$B$12:$B$72,$A1385+1)-(F1385/INDEX(Surface_Engine!$B$12:$B$72,$A1385+1))))+2*Assumptions!$B$28*(MAX(IF(D1385&lt;=0,0,MAX(0,(B1385/D1385)*H1385/INDEX(Surface_Engine!$B$12:$B$72,$A1385+1)-F1385/INDEX(Surface_Engine!$B$12:$B$72,$A1385+1))),IF(E1385&lt;=0,0,MAX(0,(B1385/E1385)*I1385/INDEX(Surface_Engine!$B$12:$B$72,$A1385+1)-F1385/INDEX(Surface_Engine!$B$12:$B$72,$A1385+1))),IF($A1385&lt;$Q$1329,MAX(0,-Assumptions!$B$22*(F1385/INDEX(Surface_Engine!$B$12:$B$72,$A1385+1))),0)))*(MAX(0,J1385/INDEX(Surface_Engine!$B$12:$B$72,$A1385+1)-(F1385/INDEX(Surface_Engine!$B$12:$B$72,$A1385+1)))))</f>
        <v>0</v>
      </c>
      <c r="L1385" s="48" t="n">
        <f aca="false">K1385*INDEX(Surface_Engine!$B$12:$B$72,$A1385+1)+L1386</f>
        <v>0</v>
      </c>
      <c r="M1385" s="48" t="n">
        <f aca="false">M1384+B1384*(IF($A1384&lt;$Q$1329,(Surface_Engine!G248*12)-(Surface_Engine!G248*12)*INDEX(Surface_Engine!$F$12:$F$72,$A1384+1)-INDEX(Surface_Engine!$D$12:$D$72,$A1384+1),-(1000*12*INDEX(Surface_Engine!$C$12:$C$72,$A1384+1)/(1+Assumptions!$B$10)^8+INDEX(Surface_Engine!$D$12:$D$72,$A1384+1))))*INDEX(Surface_Engine!$B$12:$B$72,$A1384+1)</f>
        <v>3126.54847093965</v>
      </c>
      <c r="N1385" s="12" t="n">
        <f aca="false">IF(B1385&lt;=0,0,MAX(0,(K1385+Assumptions!$B$29*L1385/INDEX(Surface_Engine!$B$12:$B$72,$A1385+1)-(M1385/INDEX(Surface_Engine!$B$12:$B$72,$A1385+1)-(F1385/INDEX(Surface_Engine!$B$12:$B$72,$A1385+1))))/B1385))</f>
        <v>0</v>
      </c>
    </row>
    <row r="1386" customFormat="false" ht="15" hidden="false" customHeight="true" outlineLevel="0" collapsed="false">
      <c r="A1386" s="1" t="n">
        <v>55</v>
      </c>
      <c r="B1386" s="32" t="n">
        <f aca="false">INDEX(Surface_Engine!$S$12:$S$72,$A1386+1)*IF($A1386&lt;$Q$1329,INDEX(Surface_Engine!$E$12:$E$72,$A1386+1),INDEX(Surface_Engine!$E$12:$E$72,$Q$1329+1))</f>
        <v>0</v>
      </c>
      <c r="C1386" s="32" t="n">
        <f aca="false">INDEX(Panel_Reserving!$G$8:$G$68,$A1386+1)*IF($A1386&lt;$Q$1329,INDEX(Surface_Engine!$E$12:$E$72,$A1386+1),INDEX(Surface_Engine!$E$12:$E$72,$Q$1329+1))</f>
        <v>0</v>
      </c>
      <c r="D1386" s="32" t="n">
        <f aca="false">INDEX(Surface_Engine!$S$12:$S$72,$A1386+1)*IF($A1386&lt;$Q$1329,INDEX(Surface_Engine!$Y$12:$Y$72,$A1386+1),INDEX(Surface_Engine!$Y$12:$Y$72,$Q$1329+1))</f>
        <v>0</v>
      </c>
      <c r="E1386" s="32" t="n">
        <f aca="false">INDEX(Surface_Engine!$S$12:$S$72,$A1386+1)*IF($A1386&lt;$Q$1329,INDEX(Surface_Engine!$Z$12:$Z$72,$A1386+1),INDEX(Surface_Engine!$Z$12:$Z$72,$Q$1329+1))</f>
        <v>0</v>
      </c>
      <c r="F1386" s="48" t="n">
        <f aca="false">B1386*(IF($A1386&lt;$Q$1329,INDEX(Surface_Engine!$D$12:$D$72,$A1386+1)+(Surface_Engine!G248*12)*INDEX(Surface_Engine!$F$12:$F$72,$A1386+1)-(Surface_Engine!G248*12),1000*12*INDEX(Surface_Engine!$C$12:$C$72,$A1386+1)/(1+Assumptions!$B$10)^8+INDEX(Surface_Engine!$D$12:$D$72,$A1386+1)))*INDEX(Surface_Engine!$B$12:$B$72,$A1386+1)+F1387</f>
        <v>0</v>
      </c>
      <c r="G1386" s="48" t="n">
        <f aca="false">C1386*(IF($A1386&lt;$Q$1329,INDEX(Surface_Engine!$D$12:$D$72,$A1386+1)+(Surface_Engine!G248*12)*INDEX(Surface_Engine!$F$12:$F$72,$A1386+1)-(Surface_Engine!G248*12),1000*12*INDEX(Surface_Engine!$C$12:$C$72,$A1386+1)/(1+Assumptions!$B$10)^8+INDEX(Surface_Engine!$D$12:$D$72,$A1386+1)))*INDEX(Surface_Engine!$B$12:$B$72,$A1386+1)+G1387</f>
        <v>0</v>
      </c>
      <c r="H1386" s="48" t="n">
        <f aca="false">D1386*(IF($A1386&lt;$Q$1329,INDEX(Surface_Engine!$D$12:$D$72,$A1386+1)+(Surface_Engine!G248*12)*INDEX(Surface_Engine!$F$12:$F$72,$A1386+1)-(Surface_Engine!G248*12),1000*12*INDEX(Surface_Engine!$C$12:$C$72,$A1386+1)/(1+Assumptions!$B$10)^8+INDEX(Surface_Engine!$D$12:$D$72,$A1386+1)))*INDEX(Surface_Engine!$B$12:$B$72,$A1386+1)+H1387</f>
        <v>0</v>
      </c>
      <c r="I1386" s="48" t="n">
        <f aca="false">E1386*(IF($A1386&lt;$Q$1329,INDEX(Surface_Engine!$D$12:$D$72,$A1386+1)+(Surface_Engine!G248*12)*INDEX(Surface_Engine!$F$12:$F$72,$A1386+1)-(Surface_Engine!G248*12),1000*12*INDEX(Surface_Engine!$C$12:$C$72,$A1386+1)/(1+Assumptions!$B$10)^8+INDEX(Surface_Engine!$D$12:$D$72,$A1386+1)))*INDEX(Surface_Engine!$B$12:$B$72,$A1386+1)+I1387</f>
        <v>0</v>
      </c>
      <c r="J1386" s="48" t="n">
        <f aca="false">B1386*(IF($A1386&lt;$Q$1329,INDEX(Surface_Engine!$D$12:$D$72,$A1386+1)*(1+Assumptions!$B$24)+(Surface_Engine!G248*12)*INDEX(Surface_Engine!$F$12:$F$72,$A1386+1)-(Surface_Engine!G248*12),1000*12*INDEX(Surface_Engine!$C$12:$C$72,$A1386+1)/(1+Assumptions!$B$10)^8+INDEX(Surface_Engine!$D$12:$D$72,$A1386+1)*(1+Assumptions!$B$24)))*INDEX(Surface_Engine!$B$12:$B$72,$A1386+1)+J1387</f>
        <v>0</v>
      </c>
      <c r="K1386" s="12" t="n">
        <f aca="false">SQRT((IF(C1386&lt;=0,0,MAX(0,(B1386/C1386)*G1386/INDEX(Surface_Engine!$B$12:$B$72,$A1386+1)-F1386/INDEX(Surface_Engine!$B$12:$B$72,$A1386+1))))^2+(MAX(IF(D1386&lt;=0,0,MAX(0,(B1386/D1386)*H1386/INDEX(Surface_Engine!$B$12:$B$72,$A1386+1)-F1386/INDEX(Surface_Engine!$B$12:$B$72,$A1386+1))),IF(E1386&lt;=0,0,MAX(0,(B1386/E1386)*I1386/INDEX(Surface_Engine!$B$12:$B$72,$A1386+1)-F1386/INDEX(Surface_Engine!$B$12:$B$72,$A1386+1))),IF($A1386&lt;$Q$1329,MAX(0,-Assumptions!$B$22*(F1386/INDEX(Surface_Engine!$B$12:$B$72,$A1386+1))),0)))^2+(MAX(0,J1386/INDEX(Surface_Engine!$B$12:$B$72,$A1386+1)-(F1386/INDEX(Surface_Engine!$B$12:$B$72,$A1386+1))))^2+2*Assumptions!$B$26*(IF(C1386&lt;=0,0,MAX(0,(B1386/C1386)*G1386/INDEX(Surface_Engine!$B$12:$B$72,$A1386+1)-F1386/INDEX(Surface_Engine!$B$12:$B$72,$A1386+1))))*(MAX(IF(D1386&lt;=0,0,MAX(0,(B1386/D1386)*H1386/INDEX(Surface_Engine!$B$12:$B$72,$A1386+1)-F1386/INDEX(Surface_Engine!$B$12:$B$72,$A1386+1))),IF(E1386&lt;=0,0,MAX(0,(B1386/E1386)*I1386/INDEX(Surface_Engine!$B$12:$B$72,$A1386+1)-F1386/INDEX(Surface_Engine!$B$12:$B$72,$A1386+1))),IF($A1386&lt;$Q$1329,MAX(0,-Assumptions!$B$22*(F1386/INDEX(Surface_Engine!$B$12:$B$72,$A1386+1))),0)))+2*Assumptions!$B$27*(IF(C1386&lt;=0,0,MAX(0,(B1386/C1386)*G1386/INDEX(Surface_Engine!$B$12:$B$72,$A1386+1)-F1386/INDEX(Surface_Engine!$B$12:$B$72,$A1386+1))))*(MAX(0,J1386/INDEX(Surface_Engine!$B$12:$B$72,$A1386+1)-(F1386/INDEX(Surface_Engine!$B$12:$B$72,$A1386+1))))+2*Assumptions!$B$28*(MAX(IF(D1386&lt;=0,0,MAX(0,(B1386/D1386)*H1386/INDEX(Surface_Engine!$B$12:$B$72,$A1386+1)-F1386/INDEX(Surface_Engine!$B$12:$B$72,$A1386+1))),IF(E1386&lt;=0,0,MAX(0,(B1386/E1386)*I1386/INDEX(Surface_Engine!$B$12:$B$72,$A1386+1)-F1386/INDEX(Surface_Engine!$B$12:$B$72,$A1386+1))),IF($A1386&lt;$Q$1329,MAX(0,-Assumptions!$B$22*(F1386/INDEX(Surface_Engine!$B$12:$B$72,$A1386+1))),0)))*(MAX(0,J1386/INDEX(Surface_Engine!$B$12:$B$72,$A1386+1)-(F1386/INDEX(Surface_Engine!$B$12:$B$72,$A1386+1)))))</f>
        <v>0</v>
      </c>
      <c r="L1386" s="48" t="n">
        <f aca="false">K1386*INDEX(Surface_Engine!$B$12:$B$72,$A1386+1)+L1387</f>
        <v>0</v>
      </c>
      <c r="M1386" s="48" t="n">
        <f aca="false">M1385+B1385*(IF($A1385&lt;$Q$1329,(Surface_Engine!G248*12)-(Surface_Engine!G248*12)*INDEX(Surface_Engine!$F$12:$F$72,$A1385+1)-INDEX(Surface_Engine!$D$12:$D$72,$A1385+1),-(1000*12*INDEX(Surface_Engine!$C$12:$C$72,$A1385+1)/(1+Assumptions!$B$10)^8+INDEX(Surface_Engine!$D$12:$D$72,$A1385+1))))*INDEX(Surface_Engine!$B$12:$B$72,$A1385+1)</f>
        <v>3126.54847093965</v>
      </c>
      <c r="N1386" s="12" t="n">
        <f aca="false">IF(B1386&lt;=0,0,MAX(0,(K1386+Assumptions!$B$29*L1386/INDEX(Surface_Engine!$B$12:$B$72,$A1386+1)-(M1386/INDEX(Surface_Engine!$B$12:$B$72,$A1386+1)-(F1386/INDEX(Surface_Engine!$B$12:$B$72,$A1386+1))))/B1386))</f>
        <v>0</v>
      </c>
    </row>
    <row r="1387" customFormat="false" ht="15" hidden="false" customHeight="true" outlineLevel="0" collapsed="false">
      <c r="A1387" s="1" t="n">
        <v>56</v>
      </c>
      <c r="B1387" s="32" t="n">
        <f aca="false">INDEX(Surface_Engine!$S$12:$S$72,$A1387+1)*IF($A1387&lt;$Q$1329,INDEX(Surface_Engine!$E$12:$E$72,$A1387+1),INDEX(Surface_Engine!$E$12:$E$72,$Q$1329+1))</f>
        <v>0</v>
      </c>
      <c r="C1387" s="32" t="n">
        <f aca="false">INDEX(Panel_Reserving!$G$8:$G$68,$A1387+1)*IF($A1387&lt;$Q$1329,INDEX(Surface_Engine!$E$12:$E$72,$A1387+1),INDEX(Surface_Engine!$E$12:$E$72,$Q$1329+1))</f>
        <v>0</v>
      </c>
      <c r="D1387" s="32" t="n">
        <f aca="false">INDEX(Surface_Engine!$S$12:$S$72,$A1387+1)*IF($A1387&lt;$Q$1329,INDEX(Surface_Engine!$Y$12:$Y$72,$A1387+1),INDEX(Surface_Engine!$Y$12:$Y$72,$Q$1329+1))</f>
        <v>0</v>
      </c>
      <c r="E1387" s="32" t="n">
        <f aca="false">INDEX(Surface_Engine!$S$12:$S$72,$A1387+1)*IF($A1387&lt;$Q$1329,INDEX(Surface_Engine!$Z$12:$Z$72,$A1387+1),INDEX(Surface_Engine!$Z$12:$Z$72,$Q$1329+1))</f>
        <v>0</v>
      </c>
      <c r="F1387" s="48" t="n">
        <f aca="false">B1387*(IF($A1387&lt;$Q$1329,INDEX(Surface_Engine!$D$12:$D$72,$A1387+1)+(Surface_Engine!G248*12)*INDEX(Surface_Engine!$F$12:$F$72,$A1387+1)-(Surface_Engine!G248*12),1000*12*INDEX(Surface_Engine!$C$12:$C$72,$A1387+1)/(1+Assumptions!$B$10)^8+INDEX(Surface_Engine!$D$12:$D$72,$A1387+1)))*INDEX(Surface_Engine!$B$12:$B$72,$A1387+1)+F1388</f>
        <v>0</v>
      </c>
      <c r="G1387" s="48" t="n">
        <f aca="false">C1387*(IF($A1387&lt;$Q$1329,INDEX(Surface_Engine!$D$12:$D$72,$A1387+1)+(Surface_Engine!G248*12)*INDEX(Surface_Engine!$F$12:$F$72,$A1387+1)-(Surface_Engine!G248*12),1000*12*INDEX(Surface_Engine!$C$12:$C$72,$A1387+1)/(1+Assumptions!$B$10)^8+INDEX(Surface_Engine!$D$12:$D$72,$A1387+1)))*INDEX(Surface_Engine!$B$12:$B$72,$A1387+1)+G1388</f>
        <v>0</v>
      </c>
      <c r="H1387" s="48" t="n">
        <f aca="false">D1387*(IF($A1387&lt;$Q$1329,INDEX(Surface_Engine!$D$12:$D$72,$A1387+1)+(Surface_Engine!G248*12)*INDEX(Surface_Engine!$F$12:$F$72,$A1387+1)-(Surface_Engine!G248*12),1000*12*INDEX(Surface_Engine!$C$12:$C$72,$A1387+1)/(1+Assumptions!$B$10)^8+INDEX(Surface_Engine!$D$12:$D$72,$A1387+1)))*INDEX(Surface_Engine!$B$12:$B$72,$A1387+1)+H1388</f>
        <v>0</v>
      </c>
      <c r="I1387" s="48" t="n">
        <f aca="false">E1387*(IF($A1387&lt;$Q$1329,INDEX(Surface_Engine!$D$12:$D$72,$A1387+1)+(Surface_Engine!G248*12)*INDEX(Surface_Engine!$F$12:$F$72,$A1387+1)-(Surface_Engine!G248*12),1000*12*INDEX(Surface_Engine!$C$12:$C$72,$A1387+1)/(1+Assumptions!$B$10)^8+INDEX(Surface_Engine!$D$12:$D$72,$A1387+1)))*INDEX(Surface_Engine!$B$12:$B$72,$A1387+1)+I1388</f>
        <v>0</v>
      </c>
      <c r="J1387" s="48" t="n">
        <f aca="false">B1387*(IF($A1387&lt;$Q$1329,INDEX(Surface_Engine!$D$12:$D$72,$A1387+1)*(1+Assumptions!$B$24)+(Surface_Engine!G248*12)*INDEX(Surface_Engine!$F$12:$F$72,$A1387+1)-(Surface_Engine!G248*12),1000*12*INDEX(Surface_Engine!$C$12:$C$72,$A1387+1)/(1+Assumptions!$B$10)^8+INDEX(Surface_Engine!$D$12:$D$72,$A1387+1)*(1+Assumptions!$B$24)))*INDEX(Surface_Engine!$B$12:$B$72,$A1387+1)+J1388</f>
        <v>0</v>
      </c>
      <c r="K1387" s="12" t="n">
        <f aca="false">SQRT((IF(C1387&lt;=0,0,MAX(0,(B1387/C1387)*G1387/INDEX(Surface_Engine!$B$12:$B$72,$A1387+1)-F1387/INDEX(Surface_Engine!$B$12:$B$72,$A1387+1))))^2+(MAX(IF(D1387&lt;=0,0,MAX(0,(B1387/D1387)*H1387/INDEX(Surface_Engine!$B$12:$B$72,$A1387+1)-F1387/INDEX(Surface_Engine!$B$12:$B$72,$A1387+1))),IF(E1387&lt;=0,0,MAX(0,(B1387/E1387)*I1387/INDEX(Surface_Engine!$B$12:$B$72,$A1387+1)-F1387/INDEX(Surface_Engine!$B$12:$B$72,$A1387+1))),IF($A1387&lt;$Q$1329,MAX(0,-Assumptions!$B$22*(F1387/INDEX(Surface_Engine!$B$12:$B$72,$A1387+1))),0)))^2+(MAX(0,J1387/INDEX(Surface_Engine!$B$12:$B$72,$A1387+1)-(F1387/INDEX(Surface_Engine!$B$12:$B$72,$A1387+1))))^2+2*Assumptions!$B$26*(IF(C1387&lt;=0,0,MAX(0,(B1387/C1387)*G1387/INDEX(Surface_Engine!$B$12:$B$72,$A1387+1)-F1387/INDEX(Surface_Engine!$B$12:$B$72,$A1387+1))))*(MAX(IF(D1387&lt;=0,0,MAX(0,(B1387/D1387)*H1387/INDEX(Surface_Engine!$B$12:$B$72,$A1387+1)-F1387/INDEX(Surface_Engine!$B$12:$B$72,$A1387+1))),IF(E1387&lt;=0,0,MAX(0,(B1387/E1387)*I1387/INDEX(Surface_Engine!$B$12:$B$72,$A1387+1)-F1387/INDEX(Surface_Engine!$B$12:$B$72,$A1387+1))),IF($A1387&lt;$Q$1329,MAX(0,-Assumptions!$B$22*(F1387/INDEX(Surface_Engine!$B$12:$B$72,$A1387+1))),0)))+2*Assumptions!$B$27*(IF(C1387&lt;=0,0,MAX(0,(B1387/C1387)*G1387/INDEX(Surface_Engine!$B$12:$B$72,$A1387+1)-F1387/INDEX(Surface_Engine!$B$12:$B$72,$A1387+1))))*(MAX(0,J1387/INDEX(Surface_Engine!$B$12:$B$72,$A1387+1)-(F1387/INDEX(Surface_Engine!$B$12:$B$72,$A1387+1))))+2*Assumptions!$B$28*(MAX(IF(D1387&lt;=0,0,MAX(0,(B1387/D1387)*H1387/INDEX(Surface_Engine!$B$12:$B$72,$A1387+1)-F1387/INDEX(Surface_Engine!$B$12:$B$72,$A1387+1))),IF(E1387&lt;=0,0,MAX(0,(B1387/E1387)*I1387/INDEX(Surface_Engine!$B$12:$B$72,$A1387+1)-F1387/INDEX(Surface_Engine!$B$12:$B$72,$A1387+1))),IF($A1387&lt;$Q$1329,MAX(0,-Assumptions!$B$22*(F1387/INDEX(Surface_Engine!$B$12:$B$72,$A1387+1))),0)))*(MAX(0,J1387/INDEX(Surface_Engine!$B$12:$B$72,$A1387+1)-(F1387/INDEX(Surface_Engine!$B$12:$B$72,$A1387+1)))))</f>
        <v>0</v>
      </c>
      <c r="L1387" s="48" t="n">
        <f aca="false">K1387*INDEX(Surface_Engine!$B$12:$B$72,$A1387+1)+L1388</f>
        <v>0</v>
      </c>
      <c r="M1387" s="48" t="n">
        <f aca="false">M1386+B1386*(IF($A1386&lt;$Q$1329,(Surface_Engine!G248*12)-(Surface_Engine!G248*12)*INDEX(Surface_Engine!$F$12:$F$72,$A1386+1)-INDEX(Surface_Engine!$D$12:$D$72,$A1386+1),-(1000*12*INDEX(Surface_Engine!$C$12:$C$72,$A1386+1)/(1+Assumptions!$B$10)^8+INDEX(Surface_Engine!$D$12:$D$72,$A1386+1))))*INDEX(Surface_Engine!$B$12:$B$72,$A1386+1)</f>
        <v>3126.54847093965</v>
      </c>
      <c r="N1387" s="12" t="n">
        <f aca="false">IF(B1387&lt;=0,0,MAX(0,(K1387+Assumptions!$B$29*L1387/INDEX(Surface_Engine!$B$12:$B$72,$A1387+1)-(M1387/INDEX(Surface_Engine!$B$12:$B$72,$A1387+1)-(F1387/INDEX(Surface_Engine!$B$12:$B$72,$A1387+1))))/B1387))</f>
        <v>0</v>
      </c>
    </row>
    <row r="1388" customFormat="false" ht="15" hidden="false" customHeight="true" outlineLevel="0" collapsed="false">
      <c r="A1388" s="1" t="n">
        <v>57</v>
      </c>
      <c r="B1388" s="32" t="n">
        <f aca="false">INDEX(Surface_Engine!$S$12:$S$72,$A1388+1)*IF($A1388&lt;$Q$1329,INDEX(Surface_Engine!$E$12:$E$72,$A1388+1),INDEX(Surface_Engine!$E$12:$E$72,$Q$1329+1))</f>
        <v>0</v>
      </c>
      <c r="C1388" s="32" t="n">
        <f aca="false">INDEX(Panel_Reserving!$G$8:$G$68,$A1388+1)*IF($A1388&lt;$Q$1329,INDEX(Surface_Engine!$E$12:$E$72,$A1388+1),INDEX(Surface_Engine!$E$12:$E$72,$Q$1329+1))</f>
        <v>0</v>
      </c>
      <c r="D1388" s="32" t="n">
        <f aca="false">INDEX(Surface_Engine!$S$12:$S$72,$A1388+1)*IF($A1388&lt;$Q$1329,INDEX(Surface_Engine!$Y$12:$Y$72,$A1388+1),INDEX(Surface_Engine!$Y$12:$Y$72,$Q$1329+1))</f>
        <v>0</v>
      </c>
      <c r="E1388" s="32" t="n">
        <f aca="false">INDEX(Surface_Engine!$S$12:$S$72,$A1388+1)*IF($A1388&lt;$Q$1329,INDEX(Surface_Engine!$Z$12:$Z$72,$A1388+1),INDEX(Surface_Engine!$Z$12:$Z$72,$Q$1329+1))</f>
        <v>0</v>
      </c>
      <c r="F1388" s="48" t="n">
        <f aca="false">B1388*(IF($A1388&lt;$Q$1329,INDEX(Surface_Engine!$D$12:$D$72,$A1388+1)+(Surface_Engine!G248*12)*INDEX(Surface_Engine!$F$12:$F$72,$A1388+1)-(Surface_Engine!G248*12),1000*12*INDEX(Surface_Engine!$C$12:$C$72,$A1388+1)/(1+Assumptions!$B$10)^8+INDEX(Surface_Engine!$D$12:$D$72,$A1388+1)))*INDEX(Surface_Engine!$B$12:$B$72,$A1388+1)+F1389</f>
        <v>0</v>
      </c>
      <c r="G1388" s="48" t="n">
        <f aca="false">C1388*(IF($A1388&lt;$Q$1329,INDEX(Surface_Engine!$D$12:$D$72,$A1388+1)+(Surface_Engine!G248*12)*INDEX(Surface_Engine!$F$12:$F$72,$A1388+1)-(Surface_Engine!G248*12),1000*12*INDEX(Surface_Engine!$C$12:$C$72,$A1388+1)/(1+Assumptions!$B$10)^8+INDEX(Surface_Engine!$D$12:$D$72,$A1388+1)))*INDEX(Surface_Engine!$B$12:$B$72,$A1388+1)+G1389</f>
        <v>0</v>
      </c>
      <c r="H1388" s="48" t="n">
        <f aca="false">D1388*(IF($A1388&lt;$Q$1329,INDEX(Surface_Engine!$D$12:$D$72,$A1388+1)+(Surface_Engine!G248*12)*INDEX(Surface_Engine!$F$12:$F$72,$A1388+1)-(Surface_Engine!G248*12),1000*12*INDEX(Surface_Engine!$C$12:$C$72,$A1388+1)/(1+Assumptions!$B$10)^8+INDEX(Surface_Engine!$D$12:$D$72,$A1388+1)))*INDEX(Surface_Engine!$B$12:$B$72,$A1388+1)+H1389</f>
        <v>0</v>
      </c>
      <c r="I1388" s="48" t="n">
        <f aca="false">E1388*(IF($A1388&lt;$Q$1329,INDEX(Surface_Engine!$D$12:$D$72,$A1388+1)+(Surface_Engine!G248*12)*INDEX(Surface_Engine!$F$12:$F$72,$A1388+1)-(Surface_Engine!G248*12),1000*12*INDEX(Surface_Engine!$C$12:$C$72,$A1388+1)/(1+Assumptions!$B$10)^8+INDEX(Surface_Engine!$D$12:$D$72,$A1388+1)))*INDEX(Surface_Engine!$B$12:$B$72,$A1388+1)+I1389</f>
        <v>0</v>
      </c>
      <c r="J1388" s="48" t="n">
        <f aca="false">B1388*(IF($A1388&lt;$Q$1329,INDEX(Surface_Engine!$D$12:$D$72,$A1388+1)*(1+Assumptions!$B$24)+(Surface_Engine!G248*12)*INDEX(Surface_Engine!$F$12:$F$72,$A1388+1)-(Surface_Engine!G248*12),1000*12*INDEX(Surface_Engine!$C$12:$C$72,$A1388+1)/(1+Assumptions!$B$10)^8+INDEX(Surface_Engine!$D$12:$D$72,$A1388+1)*(1+Assumptions!$B$24)))*INDEX(Surface_Engine!$B$12:$B$72,$A1388+1)+J1389</f>
        <v>0</v>
      </c>
      <c r="K1388" s="12" t="n">
        <f aca="false">SQRT((IF(C1388&lt;=0,0,MAX(0,(B1388/C1388)*G1388/INDEX(Surface_Engine!$B$12:$B$72,$A1388+1)-F1388/INDEX(Surface_Engine!$B$12:$B$72,$A1388+1))))^2+(MAX(IF(D1388&lt;=0,0,MAX(0,(B1388/D1388)*H1388/INDEX(Surface_Engine!$B$12:$B$72,$A1388+1)-F1388/INDEX(Surface_Engine!$B$12:$B$72,$A1388+1))),IF(E1388&lt;=0,0,MAX(0,(B1388/E1388)*I1388/INDEX(Surface_Engine!$B$12:$B$72,$A1388+1)-F1388/INDEX(Surface_Engine!$B$12:$B$72,$A1388+1))),IF($A1388&lt;$Q$1329,MAX(0,-Assumptions!$B$22*(F1388/INDEX(Surface_Engine!$B$12:$B$72,$A1388+1))),0)))^2+(MAX(0,J1388/INDEX(Surface_Engine!$B$12:$B$72,$A1388+1)-(F1388/INDEX(Surface_Engine!$B$12:$B$72,$A1388+1))))^2+2*Assumptions!$B$26*(IF(C1388&lt;=0,0,MAX(0,(B1388/C1388)*G1388/INDEX(Surface_Engine!$B$12:$B$72,$A1388+1)-F1388/INDEX(Surface_Engine!$B$12:$B$72,$A1388+1))))*(MAX(IF(D1388&lt;=0,0,MAX(0,(B1388/D1388)*H1388/INDEX(Surface_Engine!$B$12:$B$72,$A1388+1)-F1388/INDEX(Surface_Engine!$B$12:$B$72,$A1388+1))),IF(E1388&lt;=0,0,MAX(0,(B1388/E1388)*I1388/INDEX(Surface_Engine!$B$12:$B$72,$A1388+1)-F1388/INDEX(Surface_Engine!$B$12:$B$72,$A1388+1))),IF($A1388&lt;$Q$1329,MAX(0,-Assumptions!$B$22*(F1388/INDEX(Surface_Engine!$B$12:$B$72,$A1388+1))),0)))+2*Assumptions!$B$27*(IF(C1388&lt;=0,0,MAX(0,(B1388/C1388)*G1388/INDEX(Surface_Engine!$B$12:$B$72,$A1388+1)-F1388/INDEX(Surface_Engine!$B$12:$B$72,$A1388+1))))*(MAX(0,J1388/INDEX(Surface_Engine!$B$12:$B$72,$A1388+1)-(F1388/INDEX(Surface_Engine!$B$12:$B$72,$A1388+1))))+2*Assumptions!$B$28*(MAX(IF(D1388&lt;=0,0,MAX(0,(B1388/D1388)*H1388/INDEX(Surface_Engine!$B$12:$B$72,$A1388+1)-F1388/INDEX(Surface_Engine!$B$12:$B$72,$A1388+1))),IF(E1388&lt;=0,0,MAX(0,(B1388/E1388)*I1388/INDEX(Surface_Engine!$B$12:$B$72,$A1388+1)-F1388/INDEX(Surface_Engine!$B$12:$B$72,$A1388+1))),IF($A1388&lt;$Q$1329,MAX(0,-Assumptions!$B$22*(F1388/INDEX(Surface_Engine!$B$12:$B$72,$A1388+1))),0)))*(MAX(0,J1388/INDEX(Surface_Engine!$B$12:$B$72,$A1388+1)-(F1388/INDEX(Surface_Engine!$B$12:$B$72,$A1388+1)))))</f>
        <v>0</v>
      </c>
      <c r="L1388" s="48" t="n">
        <f aca="false">K1388*INDEX(Surface_Engine!$B$12:$B$72,$A1388+1)+L1389</f>
        <v>0</v>
      </c>
      <c r="M1388" s="48" t="n">
        <f aca="false">M1387+B1387*(IF($A1387&lt;$Q$1329,(Surface_Engine!G248*12)-(Surface_Engine!G248*12)*INDEX(Surface_Engine!$F$12:$F$72,$A1387+1)-INDEX(Surface_Engine!$D$12:$D$72,$A1387+1),-(1000*12*INDEX(Surface_Engine!$C$12:$C$72,$A1387+1)/(1+Assumptions!$B$10)^8+INDEX(Surface_Engine!$D$12:$D$72,$A1387+1))))*INDEX(Surface_Engine!$B$12:$B$72,$A1387+1)</f>
        <v>3126.54847093965</v>
      </c>
      <c r="N1388" s="12" t="n">
        <f aca="false">IF(B1388&lt;=0,0,MAX(0,(K1388+Assumptions!$B$29*L1388/INDEX(Surface_Engine!$B$12:$B$72,$A1388+1)-(M1388/INDEX(Surface_Engine!$B$12:$B$72,$A1388+1)-(F1388/INDEX(Surface_Engine!$B$12:$B$72,$A1388+1))))/B1388))</f>
        <v>0</v>
      </c>
    </row>
    <row r="1389" customFormat="false" ht="15" hidden="false" customHeight="true" outlineLevel="0" collapsed="false">
      <c r="A1389" s="1" t="n">
        <v>58</v>
      </c>
      <c r="B1389" s="32" t="n">
        <f aca="false">INDEX(Surface_Engine!$S$12:$S$72,$A1389+1)*IF($A1389&lt;$Q$1329,INDEX(Surface_Engine!$E$12:$E$72,$A1389+1),INDEX(Surface_Engine!$E$12:$E$72,$Q$1329+1))</f>
        <v>0</v>
      </c>
      <c r="C1389" s="32" t="n">
        <f aca="false">INDEX(Panel_Reserving!$G$8:$G$68,$A1389+1)*IF($A1389&lt;$Q$1329,INDEX(Surface_Engine!$E$12:$E$72,$A1389+1),INDEX(Surface_Engine!$E$12:$E$72,$Q$1329+1))</f>
        <v>0</v>
      </c>
      <c r="D1389" s="32" t="n">
        <f aca="false">INDEX(Surface_Engine!$S$12:$S$72,$A1389+1)*IF($A1389&lt;$Q$1329,INDEX(Surface_Engine!$Y$12:$Y$72,$A1389+1),INDEX(Surface_Engine!$Y$12:$Y$72,$Q$1329+1))</f>
        <v>0</v>
      </c>
      <c r="E1389" s="32" t="n">
        <f aca="false">INDEX(Surface_Engine!$S$12:$S$72,$A1389+1)*IF($A1389&lt;$Q$1329,INDEX(Surface_Engine!$Z$12:$Z$72,$A1389+1),INDEX(Surface_Engine!$Z$12:$Z$72,$Q$1329+1))</f>
        <v>0</v>
      </c>
      <c r="F1389" s="48" t="n">
        <f aca="false">B1389*(IF($A1389&lt;$Q$1329,INDEX(Surface_Engine!$D$12:$D$72,$A1389+1)+(Surface_Engine!G248*12)*INDEX(Surface_Engine!$F$12:$F$72,$A1389+1)-(Surface_Engine!G248*12),1000*12*INDEX(Surface_Engine!$C$12:$C$72,$A1389+1)/(1+Assumptions!$B$10)^8+INDEX(Surface_Engine!$D$12:$D$72,$A1389+1)))*INDEX(Surface_Engine!$B$12:$B$72,$A1389+1)+F1390</f>
        <v>0</v>
      </c>
      <c r="G1389" s="48" t="n">
        <f aca="false">C1389*(IF($A1389&lt;$Q$1329,INDEX(Surface_Engine!$D$12:$D$72,$A1389+1)+(Surface_Engine!G248*12)*INDEX(Surface_Engine!$F$12:$F$72,$A1389+1)-(Surface_Engine!G248*12),1000*12*INDEX(Surface_Engine!$C$12:$C$72,$A1389+1)/(1+Assumptions!$B$10)^8+INDEX(Surface_Engine!$D$12:$D$72,$A1389+1)))*INDEX(Surface_Engine!$B$12:$B$72,$A1389+1)+G1390</f>
        <v>0</v>
      </c>
      <c r="H1389" s="48" t="n">
        <f aca="false">D1389*(IF($A1389&lt;$Q$1329,INDEX(Surface_Engine!$D$12:$D$72,$A1389+1)+(Surface_Engine!G248*12)*INDEX(Surface_Engine!$F$12:$F$72,$A1389+1)-(Surface_Engine!G248*12),1000*12*INDEX(Surface_Engine!$C$12:$C$72,$A1389+1)/(1+Assumptions!$B$10)^8+INDEX(Surface_Engine!$D$12:$D$72,$A1389+1)))*INDEX(Surface_Engine!$B$12:$B$72,$A1389+1)+H1390</f>
        <v>0</v>
      </c>
      <c r="I1389" s="48" t="n">
        <f aca="false">E1389*(IF($A1389&lt;$Q$1329,INDEX(Surface_Engine!$D$12:$D$72,$A1389+1)+(Surface_Engine!G248*12)*INDEX(Surface_Engine!$F$12:$F$72,$A1389+1)-(Surface_Engine!G248*12),1000*12*INDEX(Surface_Engine!$C$12:$C$72,$A1389+1)/(1+Assumptions!$B$10)^8+INDEX(Surface_Engine!$D$12:$D$72,$A1389+1)))*INDEX(Surface_Engine!$B$12:$B$72,$A1389+1)+I1390</f>
        <v>0</v>
      </c>
      <c r="J1389" s="48" t="n">
        <f aca="false">B1389*(IF($A1389&lt;$Q$1329,INDEX(Surface_Engine!$D$12:$D$72,$A1389+1)*(1+Assumptions!$B$24)+(Surface_Engine!G248*12)*INDEX(Surface_Engine!$F$12:$F$72,$A1389+1)-(Surface_Engine!G248*12),1000*12*INDEX(Surface_Engine!$C$12:$C$72,$A1389+1)/(1+Assumptions!$B$10)^8+INDEX(Surface_Engine!$D$12:$D$72,$A1389+1)*(1+Assumptions!$B$24)))*INDEX(Surface_Engine!$B$12:$B$72,$A1389+1)+J1390</f>
        <v>0</v>
      </c>
      <c r="K1389" s="12" t="n">
        <f aca="false">SQRT((IF(C1389&lt;=0,0,MAX(0,(B1389/C1389)*G1389/INDEX(Surface_Engine!$B$12:$B$72,$A1389+1)-F1389/INDEX(Surface_Engine!$B$12:$B$72,$A1389+1))))^2+(MAX(IF(D1389&lt;=0,0,MAX(0,(B1389/D1389)*H1389/INDEX(Surface_Engine!$B$12:$B$72,$A1389+1)-F1389/INDEX(Surface_Engine!$B$12:$B$72,$A1389+1))),IF(E1389&lt;=0,0,MAX(0,(B1389/E1389)*I1389/INDEX(Surface_Engine!$B$12:$B$72,$A1389+1)-F1389/INDEX(Surface_Engine!$B$12:$B$72,$A1389+1))),IF($A1389&lt;$Q$1329,MAX(0,-Assumptions!$B$22*(F1389/INDEX(Surface_Engine!$B$12:$B$72,$A1389+1))),0)))^2+(MAX(0,J1389/INDEX(Surface_Engine!$B$12:$B$72,$A1389+1)-(F1389/INDEX(Surface_Engine!$B$12:$B$72,$A1389+1))))^2+2*Assumptions!$B$26*(IF(C1389&lt;=0,0,MAX(0,(B1389/C1389)*G1389/INDEX(Surface_Engine!$B$12:$B$72,$A1389+1)-F1389/INDEX(Surface_Engine!$B$12:$B$72,$A1389+1))))*(MAX(IF(D1389&lt;=0,0,MAX(0,(B1389/D1389)*H1389/INDEX(Surface_Engine!$B$12:$B$72,$A1389+1)-F1389/INDEX(Surface_Engine!$B$12:$B$72,$A1389+1))),IF(E1389&lt;=0,0,MAX(0,(B1389/E1389)*I1389/INDEX(Surface_Engine!$B$12:$B$72,$A1389+1)-F1389/INDEX(Surface_Engine!$B$12:$B$72,$A1389+1))),IF($A1389&lt;$Q$1329,MAX(0,-Assumptions!$B$22*(F1389/INDEX(Surface_Engine!$B$12:$B$72,$A1389+1))),0)))+2*Assumptions!$B$27*(IF(C1389&lt;=0,0,MAX(0,(B1389/C1389)*G1389/INDEX(Surface_Engine!$B$12:$B$72,$A1389+1)-F1389/INDEX(Surface_Engine!$B$12:$B$72,$A1389+1))))*(MAX(0,J1389/INDEX(Surface_Engine!$B$12:$B$72,$A1389+1)-(F1389/INDEX(Surface_Engine!$B$12:$B$72,$A1389+1))))+2*Assumptions!$B$28*(MAX(IF(D1389&lt;=0,0,MAX(0,(B1389/D1389)*H1389/INDEX(Surface_Engine!$B$12:$B$72,$A1389+1)-F1389/INDEX(Surface_Engine!$B$12:$B$72,$A1389+1))),IF(E1389&lt;=0,0,MAX(0,(B1389/E1389)*I1389/INDEX(Surface_Engine!$B$12:$B$72,$A1389+1)-F1389/INDEX(Surface_Engine!$B$12:$B$72,$A1389+1))),IF($A1389&lt;$Q$1329,MAX(0,-Assumptions!$B$22*(F1389/INDEX(Surface_Engine!$B$12:$B$72,$A1389+1))),0)))*(MAX(0,J1389/INDEX(Surface_Engine!$B$12:$B$72,$A1389+1)-(F1389/INDEX(Surface_Engine!$B$12:$B$72,$A1389+1)))))</f>
        <v>0</v>
      </c>
      <c r="L1389" s="48" t="n">
        <f aca="false">K1389*INDEX(Surface_Engine!$B$12:$B$72,$A1389+1)+L1390</f>
        <v>0</v>
      </c>
      <c r="M1389" s="48" t="n">
        <f aca="false">M1388+B1388*(IF($A1388&lt;$Q$1329,(Surface_Engine!G248*12)-(Surface_Engine!G248*12)*INDEX(Surface_Engine!$F$12:$F$72,$A1388+1)-INDEX(Surface_Engine!$D$12:$D$72,$A1388+1),-(1000*12*INDEX(Surface_Engine!$C$12:$C$72,$A1388+1)/(1+Assumptions!$B$10)^8+INDEX(Surface_Engine!$D$12:$D$72,$A1388+1))))*INDEX(Surface_Engine!$B$12:$B$72,$A1388+1)</f>
        <v>3126.54847093965</v>
      </c>
      <c r="N1389" s="12" t="n">
        <f aca="false">IF(B1389&lt;=0,0,MAX(0,(K1389+Assumptions!$B$29*L1389/INDEX(Surface_Engine!$B$12:$B$72,$A1389+1)-(M1389/INDEX(Surface_Engine!$B$12:$B$72,$A1389+1)-(F1389/INDEX(Surface_Engine!$B$12:$B$72,$A1389+1))))/B1389))</f>
        <v>0</v>
      </c>
    </row>
    <row r="1390" customFormat="false" ht="15" hidden="false" customHeight="true" outlineLevel="0" collapsed="false">
      <c r="A1390" s="1" t="n">
        <v>59</v>
      </c>
      <c r="B1390" s="32" t="n">
        <f aca="false">INDEX(Surface_Engine!$S$12:$S$72,$A1390+1)*IF($A1390&lt;$Q$1329,INDEX(Surface_Engine!$E$12:$E$72,$A1390+1),INDEX(Surface_Engine!$E$12:$E$72,$Q$1329+1))</f>
        <v>0</v>
      </c>
      <c r="C1390" s="32" t="n">
        <f aca="false">INDEX(Panel_Reserving!$G$8:$G$68,$A1390+1)*IF($A1390&lt;$Q$1329,INDEX(Surface_Engine!$E$12:$E$72,$A1390+1),INDEX(Surface_Engine!$E$12:$E$72,$Q$1329+1))</f>
        <v>0</v>
      </c>
      <c r="D1390" s="32" t="n">
        <f aca="false">INDEX(Surface_Engine!$S$12:$S$72,$A1390+1)*IF($A1390&lt;$Q$1329,INDEX(Surface_Engine!$Y$12:$Y$72,$A1390+1),INDEX(Surface_Engine!$Y$12:$Y$72,$Q$1329+1))</f>
        <v>0</v>
      </c>
      <c r="E1390" s="32" t="n">
        <f aca="false">INDEX(Surface_Engine!$S$12:$S$72,$A1390+1)*IF($A1390&lt;$Q$1329,INDEX(Surface_Engine!$Z$12:$Z$72,$A1390+1),INDEX(Surface_Engine!$Z$12:$Z$72,$Q$1329+1))</f>
        <v>0</v>
      </c>
      <c r="F1390" s="48" t="n">
        <f aca="false">B1390*(IF($A1390&lt;$Q$1329,INDEX(Surface_Engine!$D$12:$D$72,$A1390+1)+(Surface_Engine!G248*12)*INDEX(Surface_Engine!$F$12:$F$72,$A1390+1)-(Surface_Engine!G248*12),1000*12*INDEX(Surface_Engine!$C$12:$C$72,$A1390+1)/(1+Assumptions!$B$10)^8+INDEX(Surface_Engine!$D$12:$D$72,$A1390+1)))*INDEX(Surface_Engine!$B$12:$B$72,$A1390+1)+F1391</f>
        <v>0</v>
      </c>
      <c r="G1390" s="48" t="n">
        <f aca="false">C1390*(IF($A1390&lt;$Q$1329,INDEX(Surface_Engine!$D$12:$D$72,$A1390+1)+(Surface_Engine!G248*12)*INDEX(Surface_Engine!$F$12:$F$72,$A1390+1)-(Surface_Engine!G248*12),1000*12*INDEX(Surface_Engine!$C$12:$C$72,$A1390+1)/(1+Assumptions!$B$10)^8+INDEX(Surface_Engine!$D$12:$D$72,$A1390+1)))*INDEX(Surface_Engine!$B$12:$B$72,$A1390+1)+G1391</f>
        <v>0</v>
      </c>
      <c r="H1390" s="48" t="n">
        <f aca="false">D1390*(IF($A1390&lt;$Q$1329,INDEX(Surface_Engine!$D$12:$D$72,$A1390+1)+(Surface_Engine!G248*12)*INDEX(Surface_Engine!$F$12:$F$72,$A1390+1)-(Surface_Engine!G248*12),1000*12*INDEX(Surface_Engine!$C$12:$C$72,$A1390+1)/(1+Assumptions!$B$10)^8+INDEX(Surface_Engine!$D$12:$D$72,$A1390+1)))*INDEX(Surface_Engine!$B$12:$B$72,$A1390+1)+H1391</f>
        <v>0</v>
      </c>
      <c r="I1390" s="48" t="n">
        <f aca="false">E1390*(IF($A1390&lt;$Q$1329,INDEX(Surface_Engine!$D$12:$D$72,$A1390+1)+(Surface_Engine!G248*12)*INDEX(Surface_Engine!$F$12:$F$72,$A1390+1)-(Surface_Engine!G248*12),1000*12*INDEX(Surface_Engine!$C$12:$C$72,$A1390+1)/(1+Assumptions!$B$10)^8+INDEX(Surface_Engine!$D$12:$D$72,$A1390+1)))*INDEX(Surface_Engine!$B$12:$B$72,$A1390+1)+I1391</f>
        <v>0</v>
      </c>
      <c r="J1390" s="48" t="n">
        <f aca="false">B1390*(IF($A1390&lt;$Q$1329,INDEX(Surface_Engine!$D$12:$D$72,$A1390+1)*(1+Assumptions!$B$24)+(Surface_Engine!G248*12)*INDEX(Surface_Engine!$F$12:$F$72,$A1390+1)-(Surface_Engine!G248*12),1000*12*INDEX(Surface_Engine!$C$12:$C$72,$A1390+1)/(1+Assumptions!$B$10)^8+INDEX(Surface_Engine!$D$12:$D$72,$A1390+1)*(1+Assumptions!$B$24)))*INDEX(Surface_Engine!$B$12:$B$72,$A1390+1)+J1391</f>
        <v>0</v>
      </c>
      <c r="K1390" s="12" t="n">
        <f aca="false">SQRT((IF(C1390&lt;=0,0,MAX(0,(B1390/C1390)*G1390/INDEX(Surface_Engine!$B$12:$B$72,$A1390+1)-F1390/INDEX(Surface_Engine!$B$12:$B$72,$A1390+1))))^2+(MAX(IF(D1390&lt;=0,0,MAX(0,(B1390/D1390)*H1390/INDEX(Surface_Engine!$B$12:$B$72,$A1390+1)-F1390/INDEX(Surface_Engine!$B$12:$B$72,$A1390+1))),IF(E1390&lt;=0,0,MAX(0,(B1390/E1390)*I1390/INDEX(Surface_Engine!$B$12:$B$72,$A1390+1)-F1390/INDEX(Surface_Engine!$B$12:$B$72,$A1390+1))),IF($A1390&lt;$Q$1329,MAX(0,-Assumptions!$B$22*(F1390/INDEX(Surface_Engine!$B$12:$B$72,$A1390+1))),0)))^2+(MAX(0,J1390/INDEX(Surface_Engine!$B$12:$B$72,$A1390+1)-(F1390/INDEX(Surface_Engine!$B$12:$B$72,$A1390+1))))^2+2*Assumptions!$B$26*(IF(C1390&lt;=0,0,MAX(0,(B1390/C1390)*G1390/INDEX(Surface_Engine!$B$12:$B$72,$A1390+1)-F1390/INDEX(Surface_Engine!$B$12:$B$72,$A1390+1))))*(MAX(IF(D1390&lt;=0,0,MAX(0,(B1390/D1390)*H1390/INDEX(Surface_Engine!$B$12:$B$72,$A1390+1)-F1390/INDEX(Surface_Engine!$B$12:$B$72,$A1390+1))),IF(E1390&lt;=0,0,MAX(0,(B1390/E1390)*I1390/INDEX(Surface_Engine!$B$12:$B$72,$A1390+1)-F1390/INDEX(Surface_Engine!$B$12:$B$72,$A1390+1))),IF($A1390&lt;$Q$1329,MAX(0,-Assumptions!$B$22*(F1390/INDEX(Surface_Engine!$B$12:$B$72,$A1390+1))),0)))+2*Assumptions!$B$27*(IF(C1390&lt;=0,0,MAX(0,(B1390/C1390)*G1390/INDEX(Surface_Engine!$B$12:$B$72,$A1390+1)-F1390/INDEX(Surface_Engine!$B$12:$B$72,$A1390+1))))*(MAX(0,J1390/INDEX(Surface_Engine!$B$12:$B$72,$A1390+1)-(F1390/INDEX(Surface_Engine!$B$12:$B$72,$A1390+1))))+2*Assumptions!$B$28*(MAX(IF(D1390&lt;=0,0,MAX(0,(B1390/D1390)*H1390/INDEX(Surface_Engine!$B$12:$B$72,$A1390+1)-F1390/INDEX(Surface_Engine!$B$12:$B$72,$A1390+1))),IF(E1390&lt;=0,0,MAX(0,(B1390/E1390)*I1390/INDEX(Surface_Engine!$B$12:$B$72,$A1390+1)-F1390/INDEX(Surface_Engine!$B$12:$B$72,$A1390+1))),IF($A1390&lt;$Q$1329,MAX(0,-Assumptions!$B$22*(F1390/INDEX(Surface_Engine!$B$12:$B$72,$A1390+1))),0)))*(MAX(0,J1390/INDEX(Surface_Engine!$B$12:$B$72,$A1390+1)-(F1390/INDEX(Surface_Engine!$B$12:$B$72,$A1390+1)))))</f>
        <v>0</v>
      </c>
      <c r="L1390" s="48" t="n">
        <f aca="false">K1390*INDEX(Surface_Engine!$B$12:$B$72,$A1390+1)+L1391</f>
        <v>0</v>
      </c>
      <c r="M1390" s="48" t="n">
        <f aca="false">M1389+B1389*(IF($A1389&lt;$Q$1329,(Surface_Engine!G248*12)-(Surface_Engine!G248*12)*INDEX(Surface_Engine!$F$12:$F$72,$A1389+1)-INDEX(Surface_Engine!$D$12:$D$72,$A1389+1),-(1000*12*INDEX(Surface_Engine!$C$12:$C$72,$A1389+1)/(1+Assumptions!$B$10)^8+INDEX(Surface_Engine!$D$12:$D$72,$A1389+1))))*INDEX(Surface_Engine!$B$12:$B$72,$A1389+1)</f>
        <v>3126.54847093965</v>
      </c>
      <c r="N1390" s="12" t="n">
        <f aca="false">IF(B1390&lt;=0,0,MAX(0,(K1390+Assumptions!$B$29*L1390/INDEX(Surface_Engine!$B$12:$B$72,$A1390+1)-(M1390/INDEX(Surface_Engine!$B$12:$B$72,$A1390+1)-(F1390/INDEX(Surface_Engine!$B$12:$B$72,$A1390+1))))/B1390))</f>
        <v>0</v>
      </c>
    </row>
    <row r="1391" customFormat="false" ht="15" hidden="false" customHeight="true" outlineLevel="0" collapsed="false">
      <c r="A1391" s="1" t="n">
        <v>60</v>
      </c>
      <c r="B1391" s="32" t="n">
        <f aca="false">INDEX(Surface_Engine!$S$12:$S$72,$A1391+1)*IF($A1391&lt;$Q$1329,INDEX(Surface_Engine!$E$12:$E$72,$A1391+1),INDEX(Surface_Engine!$E$12:$E$72,$Q$1329+1))</f>
        <v>0</v>
      </c>
      <c r="C1391" s="32" t="n">
        <f aca="false">INDEX(Panel_Reserving!$G$8:$G$68,$A1391+1)*IF($A1391&lt;$Q$1329,INDEX(Surface_Engine!$E$12:$E$72,$A1391+1),INDEX(Surface_Engine!$E$12:$E$72,$Q$1329+1))</f>
        <v>0</v>
      </c>
      <c r="D1391" s="32" t="n">
        <f aca="false">INDEX(Surface_Engine!$S$12:$S$72,$A1391+1)*IF($A1391&lt;$Q$1329,INDEX(Surface_Engine!$Y$12:$Y$72,$A1391+1),INDEX(Surface_Engine!$Y$12:$Y$72,$Q$1329+1))</f>
        <v>0</v>
      </c>
      <c r="E1391" s="32" t="n">
        <f aca="false">INDEX(Surface_Engine!$S$12:$S$72,$A1391+1)*IF($A1391&lt;$Q$1329,INDEX(Surface_Engine!$Z$12:$Z$72,$A1391+1),INDEX(Surface_Engine!$Z$12:$Z$72,$Q$1329+1))</f>
        <v>0</v>
      </c>
      <c r="F1391" s="48" t="n">
        <f aca="false">B1391*(IF($A1391&lt;$Q$1329,INDEX(Surface_Engine!$D$12:$D$72,$A1391+1)+(Surface_Engine!G248*12)*INDEX(Surface_Engine!$F$12:$F$72,$A1391+1)-(Surface_Engine!G248*12),1000*12*INDEX(Surface_Engine!$C$12:$C$72,$A1391+1)/(1+Assumptions!$B$10)^8+INDEX(Surface_Engine!$D$12:$D$72,$A1391+1)))*INDEX(Surface_Engine!$B$12:$B$72,$A1391+1)</f>
        <v>0</v>
      </c>
      <c r="G1391" s="48" t="n">
        <f aca="false">C1391*(IF($A1391&lt;$Q$1329,INDEX(Surface_Engine!$D$12:$D$72,$A1391+1)+(Surface_Engine!G248*12)*INDEX(Surface_Engine!$F$12:$F$72,$A1391+1)-(Surface_Engine!G248*12),1000*12*INDEX(Surface_Engine!$C$12:$C$72,$A1391+1)/(1+Assumptions!$B$10)^8+INDEX(Surface_Engine!$D$12:$D$72,$A1391+1)))*INDEX(Surface_Engine!$B$12:$B$72,$A1391+1)</f>
        <v>0</v>
      </c>
      <c r="H1391" s="48" t="n">
        <f aca="false">D1391*(IF($A1391&lt;$Q$1329,INDEX(Surface_Engine!$D$12:$D$72,$A1391+1)+(Surface_Engine!G248*12)*INDEX(Surface_Engine!$F$12:$F$72,$A1391+1)-(Surface_Engine!G248*12),1000*12*INDEX(Surface_Engine!$C$12:$C$72,$A1391+1)/(1+Assumptions!$B$10)^8+INDEX(Surface_Engine!$D$12:$D$72,$A1391+1)))*INDEX(Surface_Engine!$B$12:$B$72,$A1391+1)</f>
        <v>0</v>
      </c>
      <c r="I1391" s="48" t="n">
        <f aca="false">E1391*(IF($A1391&lt;$Q$1329,INDEX(Surface_Engine!$D$12:$D$72,$A1391+1)+(Surface_Engine!G248*12)*INDEX(Surface_Engine!$F$12:$F$72,$A1391+1)-(Surface_Engine!G248*12),1000*12*INDEX(Surface_Engine!$C$12:$C$72,$A1391+1)/(1+Assumptions!$B$10)^8+INDEX(Surface_Engine!$D$12:$D$72,$A1391+1)))*INDEX(Surface_Engine!$B$12:$B$72,$A1391+1)</f>
        <v>0</v>
      </c>
      <c r="J1391" s="48" t="n">
        <f aca="false">B1391*(IF($A1391&lt;$Q$1329,INDEX(Surface_Engine!$D$12:$D$72,$A1391+1)*(1+Assumptions!$B$24)+(Surface_Engine!G248*12)*INDEX(Surface_Engine!$F$12:$F$72,$A1391+1)-(Surface_Engine!G248*12),1000*12*INDEX(Surface_Engine!$C$12:$C$72,$A1391+1)/(1+Assumptions!$B$10)^8+INDEX(Surface_Engine!$D$12:$D$72,$A1391+1)*(1+Assumptions!$B$24)))*INDEX(Surface_Engine!$B$12:$B$72,$A1391+1)</f>
        <v>0</v>
      </c>
      <c r="K1391" s="12" t="n">
        <f aca="false">SQRT((IF(C1391&lt;=0,0,MAX(0,(B1391/C1391)*G1391/INDEX(Surface_Engine!$B$12:$B$72,$A1391+1)-F1391/INDEX(Surface_Engine!$B$12:$B$72,$A1391+1))))^2+(MAX(IF(D1391&lt;=0,0,MAX(0,(B1391/D1391)*H1391/INDEX(Surface_Engine!$B$12:$B$72,$A1391+1)-F1391/INDEX(Surface_Engine!$B$12:$B$72,$A1391+1))),IF(E1391&lt;=0,0,MAX(0,(B1391/E1391)*I1391/INDEX(Surface_Engine!$B$12:$B$72,$A1391+1)-F1391/INDEX(Surface_Engine!$B$12:$B$72,$A1391+1))),IF($A1391&lt;$Q$1329,MAX(0,-Assumptions!$B$22*(F1391/INDEX(Surface_Engine!$B$12:$B$72,$A1391+1))),0)))^2+(MAX(0,J1391/INDEX(Surface_Engine!$B$12:$B$72,$A1391+1)-(F1391/INDEX(Surface_Engine!$B$12:$B$72,$A1391+1))))^2+2*Assumptions!$B$26*(IF(C1391&lt;=0,0,MAX(0,(B1391/C1391)*G1391/INDEX(Surface_Engine!$B$12:$B$72,$A1391+1)-F1391/INDEX(Surface_Engine!$B$12:$B$72,$A1391+1))))*(MAX(IF(D1391&lt;=0,0,MAX(0,(B1391/D1391)*H1391/INDEX(Surface_Engine!$B$12:$B$72,$A1391+1)-F1391/INDEX(Surface_Engine!$B$12:$B$72,$A1391+1))),IF(E1391&lt;=0,0,MAX(0,(B1391/E1391)*I1391/INDEX(Surface_Engine!$B$12:$B$72,$A1391+1)-F1391/INDEX(Surface_Engine!$B$12:$B$72,$A1391+1))),IF($A1391&lt;$Q$1329,MAX(0,-Assumptions!$B$22*(F1391/INDEX(Surface_Engine!$B$12:$B$72,$A1391+1))),0)))+2*Assumptions!$B$27*(IF(C1391&lt;=0,0,MAX(0,(B1391/C1391)*G1391/INDEX(Surface_Engine!$B$12:$B$72,$A1391+1)-F1391/INDEX(Surface_Engine!$B$12:$B$72,$A1391+1))))*(MAX(0,J1391/INDEX(Surface_Engine!$B$12:$B$72,$A1391+1)-(F1391/INDEX(Surface_Engine!$B$12:$B$72,$A1391+1))))+2*Assumptions!$B$28*(MAX(IF(D1391&lt;=0,0,MAX(0,(B1391/D1391)*H1391/INDEX(Surface_Engine!$B$12:$B$72,$A1391+1)-F1391/INDEX(Surface_Engine!$B$12:$B$72,$A1391+1))),IF(E1391&lt;=0,0,MAX(0,(B1391/E1391)*I1391/INDEX(Surface_Engine!$B$12:$B$72,$A1391+1)-F1391/INDEX(Surface_Engine!$B$12:$B$72,$A1391+1))),IF($A1391&lt;$Q$1329,MAX(0,-Assumptions!$B$22*(F1391/INDEX(Surface_Engine!$B$12:$B$72,$A1391+1))),0)))*(MAX(0,J1391/INDEX(Surface_Engine!$B$12:$B$72,$A1391+1)-(F1391/INDEX(Surface_Engine!$B$12:$B$72,$A1391+1)))))</f>
        <v>0</v>
      </c>
      <c r="L1391" s="48" t="n">
        <f aca="false">K1391*INDEX(Surface_Engine!$B$12:$B$72,$A1391+1)</f>
        <v>0</v>
      </c>
      <c r="M1391" s="48" t="n">
        <f aca="false">M1390+B1390*(IF($A1390&lt;$Q$1329,(Surface_Engine!G248*12)-(Surface_Engine!G248*12)*INDEX(Surface_Engine!$F$12:$F$72,$A1390+1)-INDEX(Surface_Engine!$D$12:$D$72,$A1390+1),-(1000*12*INDEX(Surface_Engine!$C$12:$C$72,$A1390+1)/(1+Assumptions!$B$10)^8+INDEX(Surface_Engine!$D$12:$D$72,$A1390+1))))*INDEX(Surface_Engine!$B$12:$B$72,$A1390+1)</f>
        <v>3126.54847093965</v>
      </c>
      <c r="N1391" s="12" t="n">
        <f aca="false">IF(B1391&lt;=0,0,MAX(0,(K1391+Assumptions!$B$29*L1391/INDEX(Surface_Engine!$B$12:$B$72,$A1391+1)-(M1391/INDEX(Surface_Engine!$B$12:$B$72,$A1391+1)-(F1391/INDEX(Surface_Engine!$B$12:$B$72,$A1391+1))))/B1391))</f>
        <v>0</v>
      </c>
    </row>
    <row r="1392" customFormat="false" ht="15" hidden="false" customHeight="true" outlineLevel="0" collapsed="false">
      <c r="A1392" s="4" t="str">
        <f aca="false">"entry "&amp;O1392&amp;" / vesting "&amp;P1392&amp;"   deferral "&amp;Q1392</f>
        <v>entry 72 / vesting 85   deferral 13</v>
      </c>
      <c r="C1392" s="49" t="n">
        <f aca="false">MAX(N1331:N1391)</f>
        <v>19605.6899985158</v>
      </c>
      <c r="E1392" s="7" t="s">
        <v>1634</v>
      </c>
      <c r="G1392" s="21" t="n">
        <f aca="false">INDEX(A1331:A1391,MATCH(C1392,N1331:N1391,0))</f>
        <v>3</v>
      </c>
      <c r="J1392" s="7" t="s">
        <v>1624</v>
      </c>
      <c r="K1392" s="50" t="n">
        <f aca="false">Surface_Engine!L248</f>
        <v>461.596250210283</v>
      </c>
      <c r="O1392" s="1" t="n">
        <f aca="false">A1719</f>
        <v>72</v>
      </c>
      <c r="P1392" s="76" t="n">
        <f aca="false">D$1713</f>
        <v>85</v>
      </c>
      <c r="Q1392" s="1" t="n">
        <f aca="false">P1392-O1392</f>
        <v>13</v>
      </c>
    </row>
    <row r="1393" customFormat="false" ht="15" hidden="false" customHeight="true" outlineLevel="0" collapsed="false">
      <c r="A1393" s="8" t="s">
        <v>802</v>
      </c>
      <c r="B1393" s="8" t="s">
        <v>1584</v>
      </c>
      <c r="C1393" s="8" t="s">
        <v>1585</v>
      </c>
      <c r="D1393" s="8" t="s">
        <v>1587</v>
      </c>
      <c r="E1393" s="8" t="s">
        <v>1588</v>
      </c>
      <c r="F1393" s="8" t="s">
        <v>1625</v>
      </c>
      <c r="G1393" s="8" t="s">
        <v>1626</v>
      </c>
      <c r="H1393" s="8" t="s">
        <v>1627</v>
      </c>
      <c r="I1393" s="8" t="s">
        <v>1628</v>
      </c>
      <c r="J1393" s="8" t="s">
        <v>1629</v>
      </c>
      <c r="K1393" s="8" t="s">
        <v>812</v>
      </c>
      <c r="L1393" s="8" t="s">
        <v>1630</v>
      </c>
      <c r="M1393" s="8" t="s">
        <v>341</v>
      </c>
      <c r="N1393" s="8" t="s">
        <v>1631</v>
      </c>
      <c r="O1393" s="1" t="s">
        <v>1544</v>
      </c>
      <c r="P1393" s="1" t="s">
        <v>1632</v>
      </c>
      <c r="Q1393" s="1" t="s">
        <v>1633</v>
      </c>
    </row>
    <row r="1394" customFormat="false" ht="15" hidden="false" customHeight="true" outlineLevel="0" collapsed="false">
      <c r="A1394" s="1" t="n">
        <v>0</v>
      </c>
      <c r="B1394" s="32" t="n">
        <f aca="false">INDEX(Surface_Engine!$S$12:$S$72,$A1394+1)*IF($A1394&lt;$Q$1392,INDEX(Surface_Engine!$E$12:$E$72,$A1394+1),INDEX(Surface_Engine!$E$12:$E$72,$Q$1392+1))</f>
        <v>1</v>
      </c>
      <c r="C1394" s="32" t="n">
        <f aca="false">INDEX(Panel_Reserving!$G$8:$G$68,$A1394+1)*IF($A1394&lt;$Q$1392,INDEX(Surface_Engine!$E$12:$E$72,$A1394+1),INDEX(Surface_Engine!$E$12:$E$72,$Q$1392+1))</f>
        <v>1</v>
      </c>
      <c r="D1394" s="32" t="n">
        <f aca="false">INDEX(Surface_Engine!$S$12:$S$72,$A1394+1)*IF($A1394&lt;$Q$1392,INDEX(Surface_Engine!$Y$12:$Y$72,$A1394+1),INDEX(Surface_Engine!$Y$12:$Y$72,$Q$1392+1))</f>
        <v>1</v>
      </c>
      <c r="E1394" s="32" t="n">
        <f aca="false">INDEX(Surface_Engine!$S$12:$S$72,$A1394+1)*IF($A1394&lt;$Q$1392,INDEX(Surface_Engine!$Z$12:$Z$72,$A1394+1),INDEX(Surface_Engine!$Z$12:$Z$72,$Q$1392+1))</f>
        <v>1</v>
      </c>
      <c r="F1394" s="48" t="n">
        <f aca="false">B1394*(IF($A1394&lt;$Q$1392,INDEX(Surface_Engine!$D$12:$D$72,$A1394+1)+(Surface_Engine!L248*12)*INDEX(Surface_Engine!$F$12:$F$72,$A1394+1)-(Surface_Engine!L248*12),1000*12*INDEX(Surface_Engine!$C$12:$C$72,$A1394+1)/(1+Assumptions!$B$10)^13+INDEX(Surface_Engine!$D$12:$D$72,$A1394+1)))*INDEX(Surface_Engine!$B$12:$B$72,$A1394+1)+F1395</f>
        <v>-1511.51791239134</v>
      </c>
      <c r="G1394" s="48" t="n">
        <f aca="false">C1394*(IF($A1394&lt;$Q$1392,INDEX(Surface_Engine!$D$12:$D$72,$A1394+1)+(Surface_Engine!L248*12)*INDEX(Surface_Engine!$F$12:$F$72,$A1394+1)-(Surface_Engine!L248*12),1000*12*INDEX(Surface_Engine!$C$12:$C$72,$A1394+1)/(1+Assumptions!$B$10)^13+INDEX(Surface_Engine!$D$12:$D$72,$A1394+1)))*INDEX(Surface_Engine!$B$12:$B$72,$A1394+1)+G1395</f>
        <v>6358.54293246729</v>
      </c>
      <c r="H1394" s="48" t="n">
        <f aca="false">D1394*(IF($A1394&lt;$Q$1392,INDEX(Surface_Engine!$D$12:$D$72,$A1394+1)+(Surface_Engine!L248*12)*INDEX(Surface_Engine!$F$12:$F$72,$A1394+1)-(Surface_Engine!L248*12),1000*12*INDEX(Surface_Engine!$C$12:$C$72,$A1394+1)/(1+Assumptions!$B$10)^13+INDEX(Surface_Engine!$D$12:$D$72,$A1394+1)))*INDEX(Surface_Engine!$B$12:$B$72,$A1394+1)+H1395</f>
        <v>-2795.22456290246</v>
      </c>
      <c r="I1394" s="48" t="n">
        <f aca="false">E1394*(IF($A1394&lt;$Q$1392,INDEX(Surface_Engine!$D$12:$D$72,$A1394+1)+(Surface_Engine!L248*12)*INDEX(Surface_Engine!$F$12:$F$72,$A1394+1)-(Surface_Engine!L248*12),1000*12*INDEX(Surface_Engine!$C$12:$C$72,$A1394+1)/(1+Assumptions!$B$10)^13+INDEX(Surface_Engine!$D$12:$D$72,$A1394+1)))*INDEX(Surface_Engine!$B$12:$B$72,$A1394+1)+I1395</f>
        <v>-46.680381394166</v>
      </c>
      <c r="J1394" s="48" t="n">
        <f aca="false">B1394*(IF($A1394&lt;$Q$1392,INDEX(Surface_Engine!$D$12:$D$72,$A1394+1)*(1+Assumptions!$B$24)+(Surface_Engine!L248*12)*INDEX(Surface_Engine!$F$12:$F$72,$A1394+1)-(Surface_Engine!L248*12),1000*12*INDEX(Surface_Engine!$C$12:$C$72,$A1394+1)/(1+Assumptions!$B$10)^13+INDEX(Surface_Engine!$D$12:$D$72,$A1394+1)*(1+Assumptions!$B$24)))*INDEX(Surface_Engine!$B$12:$B$72,$A1394+1)+J1395</f>
        <v>-1388.01702472162</v>
      </c>
      <c r="K1394" s="12" t="n">
        <f aca="false">SQRT((IF(C1394&lt;=0,0,MAX(0,(B1394/C1394)*G1394/INDEX(Surface_Engine!$B$12:$B$72,$A1394+1)-F1394/INDEX(Surface_Engine!$B$12:$B$72,$A1394+1))))^2+(MAX(IF(D1394&lt;=0,0,MAX(0,(B1394/D1394)*H1394/INDEX(Surface_Engine!$B$12:$B$72,$A1394+1)-F1394/INDEX(Surface_Engine!$B$12:$B$72,$A1394+1))),IF(E1394&lt;=0,0,MAX(0,(B1394/E1394)*I1394/INDEX(Surface_Engine!$B$12:$B$72,$A1394+1)-F1394/INDEX(Surface_Engine!$B$12:$B$72,$A1394+1))),IF($A1394&lt;$Q$1392,MAX(0,-Assumptions!$B$22*(F1394/INDEX(Surface_Engine!$B$12:$B$72,$A1394+1))),0)))^2+(MAX(0,J1394/INDEX(Surface_Engine!$B$12:$B$72,$A1394+1)-(F1394/INDEX(Surface_Engine!$B$12:$B$72,$A1394+1))))^2+2*Assumptions!$B$26*(IF(C1394&lt;=0,0,MAX(0,(B1394/C1394)*G1394/INDEX(Surface_Engine!$B$12:$B$72,$A1394+1)-F1394/INDEX(Surface_Engine!$B$12:$B$72,$A1394+1))))*(MAX(IF(D1394&lt;=0,0,MAX(0,(B1394/D1394)*H1394/INDEX(Surface_Engine!$B$12:$B$72,$A1394+1)-F1394/INDEX(Surface_Engine!$B$12:$B$72,$A1394+1))),IF(E1394&lt;=0,0,MAX(0,(B1394/E1394)*I1394/INDEX(Surface_Engine!$B$12:$B$72,$A1394+1)-F1394/INDEX(Surface_Engine!$B$12:$B$72,$A1394+1))),IF($A1394&lt;$Q$1392,MAX(0,-Assumptions!$B$22*(F1394/INDEX(Surface_Engine!$B$12:$B$72,$A1394+1))),0)))+2*Assumptions!$B$27*(IF(C1394&lt;=0,0,MAX(0,(B1394/C1394)*G1394/INDEX(Surface_Engine!$B$12:$B$72,$A1394+1)-F1394/INDEX(Surface_Engine!$B$12:$B$72,$A1394+1))))*(MAX(0,J1394/INDEX(Surface_Engine!$B$12:$B$72,$A1394+1)-(F1394/INDEX(Surface_Engine!$B$12:$B$72,$A1394+1))))+2*Assumptions!$B$28*(MAX(IF(D1394&lt;=0,0,MAX(0,(B1394/D1394)*H1394/INDEX(Surface_Engine!$B$12:$B$72,$A1394+1)-F1394/INDEX(Surface_Engine!$B$12:$B$72,$A1394+1))),IF(E1394&lt;=0,0,MAX(0,(B1394/E1394)*I1394/INDEX(Surface_Engine!$B$12:$B$72,$A1394+1)-F1394/INDEX(Surface_Engine!$B$12:$B$72,$A1394+1))),IF($A1394&lt;$Q$1392,MAX(0,-Assumptions!$B$22*(F1394/INDEX(Surface_Engine!$B$12:$B$72,$A1394+1))),0)))*(MAX(0,J1394/INDEX(Surface_Engine!$B$12:$B$72,$A1394+1)-(F1394/INDEX(Surface_Engine!$B$12:$B$72,$A1394+1)))))</f>
        <v>8398.20980311801</v>
      </c>
      <c r="L1394" s="48" t="n">
        <f aca="false">K1394*INDEX(Surface_Engine!$B$12:$B$72,$A1394+1)+L1395</f>
        <v>139402.778084832</v>
      </c>
      <c r="M1394" s="48" t="n">
        <v>0</v>
      </c>
      <c r="N1394" s="12" t="n">
        <f aca="false">IF(B1394&lt;=0,0,MAX(0,(K1394+Assumptions!$B$29*L1394/INDEX(Surface_Engine!$B$12:$B$72,$A1394+1)-(M1394/INDEX(Surface_Engine!$B$12:$B$72,$A1394+1)-(F1394/INDEX(Surface_Engine!$B$12:$B$72,$A1394+1))))/B1394))</f>
        <v>15250.8585758166</v>
      </c>
    </row>
    <row r="1395" customFormat="false" ht="15" hidden="false" customHeight="true" outlineLevel="0" collapsed="false">
      <c r="A1395" s="1" t="n">
        <v>1</v>
      </c>
      <c r="B1395" s="32" t="n">
        <f aca="false">INDEX(Surface_Engine!$S$12:$S$72,$A1395+1)*IF($A1395&lt;$Q$1392,INDEX(Surface_Engine!$E$12:$E$72,$A1395+1),INDEX(Surface_Engine!$E$12:$E$72,$Q$1392+1))</f>
        <v>0.948091429174549</v>
      </c>
      <c r="C1395" s="32" t="n">
        <f aca="false">INDEX(Panel_Reserving!$G$8:$G$68,$A1395+1)*IF($A1395&lt;$Q$1392,INDEX(Surface_Engine!$E$12:$E$72,$A1395+1),INDEX(Surface_Engine!$E$12:$E$72,$Q$1392+1))</f>
        <v>0.950353143339639</v>
      </c>
      <c r="D1395" s="32" t="n">
        <f aca="false">INDEX(Surface_Engine!$S$12:$S$72,$A1395+1)*IF($A1395&lt;$Q$1392,INDEX(Surface_Engine!$Y$12:$Y$72,$A1395+1),INDEX(Surface_Engine!$Y$12:$Y$72,$Q$1392+1))</f>
        <v>0.928030707877651</v>
      </c>
      <c r="E1395" s="32" t="n">
        <f aca="false">INDEX(Surface_Engine!$S$12:$S$72,$A1395+1)*IF($A1395&lt;$Q$1392,INDEX(Surface_Engine!$Z$12:$Z$72,$A1395+1),INDEX(Surface_Engine!$Z$12:$Z$72,$Q$1392+1))</f>
        <v>0.968152150471446</v>
      </c>
      <c r="F1395" s="48" t="n">
        <f aca="false">B1395*(IF($A1395&lt;$Q$1392,INDEX(Surface_Engine!$D$12:$D$72,$A1395+1)+(Surface_Engine!L248*12)*INDEX(Surface_Engine!$F$12:$F$72,$A1395+1)-(Surface_Engine!L248*12),1000*12*INDEX(Surface_Engine!$C$12:$C$72,$A1395+1)/(1+Assumptions!$B$10)^13+INDEX(Surface_Engine!$D$12:$D$72,$A1395+1)))*INDEX(Surface_Engine!$B$12:$B$72,$A1395+1)+F1396</f>
        <v>-1593.51791239134</v>
      </c>
      <c r="G1395" s="48" t="n">
        <f aca="false">C1395*(IF($A1395&lt;$Q$1392,INDEX(Surface_Engine!$D$12:$D$72,$A1395+1)+(Surface_Engine!L248*12)*INDEX(Surface_Engine!$F$12:$F$72,$A1395+1)-(Surface_Engine!L248*12),1000*12*INDEX(Surface_Engine!$C$12:$C$72,$A1395+1)/(1+Assumptions!$B$10)^13+INDEX(Surface_Engine!$D$12:$D$72,$A1395+1)))*INDEX(Surface_Engine!$B$12:$B$72,$A1395+1)+G1396</f>
        <v>6276.54293246729</v>
      </c>
      <c r="H1395" s="48" t="n">
        <f aca="false">D1395*(IF($A1395&lt;$Q$1392,INDEX(Surface_Engine!$D$12:$D$72,$A1395+1)+(Surface_Engine!L248*12)*INDEX(Surface_Engine!$F$12:$F$72,$A1395+1)-(Surface_Engine!L248*12),1000*12*INDEX(Surface_Engine!$C$12:$C$72,$A1395+1)/(1+Assumptions!$B$10)^13+INDEX(Surface_Engine!$D$12:$D$72,$A1395+1)))*INDEX(Surface_Engine!$B$12:$B$72,$A1395+1)+H1396</f>
        <v>-2877.22456290246</v>
      </c>
      <c r="I1395" s="48" t="n">
        <f aca="false">E1395*(IF($A1395&lt;$Q$1392,INDEX(Surface_Engine!$D$12:$D$72,$A1395+1)+(Surface_Engine!L248*12)*INDEX(Surface_Engine!$F$12:$F$72,$A1395+1)-(Surface_Engine!L248*12),1000*12*INDEX(Surface_Engine!$C$12:$C$72,$A1395+1)/(1+Assumptions!$B$10)^13+INDEX(Surface_Engine!$D$12:$D$72,$A1395+1)))*INDEX(Surface_Engine!$B$12:$B$72,$A1395+1)+I1396</f>
        <v>-128.680381394166</v>
      </c>
      <c r="J1395" s="48" t="n">
        <f aca="false">B1395*(IF($A1395&lt;$Q$1392,INDEX(Surface_Engine!$D$12:$D$72,$A1395+1)*(1+Assumptions!$B$24)+(Surface_Engine!L248*12)*INDEX(Surface_Engine!$F$12:$F$72,$A1395+1)-(Surface_Engine!L248*12),1000*12*INDEX(Surface_Engine!$C$12:$C$72,$A1395+1)/(1+Assumptions!$B$10)^13+INDEX(Surface_Engine!$D$12:$D$72,$A1395+1)*(1+Assumptions!$B$24)))*INDEX(Surface_Engine!$B$12:$B$72,$A1395+1)+J1396</f>
        <v>-1478.21702472162</v>
      </c>
      <c r="K1395" s="12" t="n">
        <f aca="false">SQRT((IF(C1395&lt;=0,0,MAX(0,(B1395/C1395)*G1395/INDEX(Surface_Engine!$B$12:$B$72,$A1395+1)-F1395/INDEX(Surface_Engine!$B$12:$B$72,$A1395+1))))^2+(MAX(IF(D1395&lt;=0,0,MAX(0,(B1395/D1395)*H1395/INDEX(Surface_Engine!$B$12:$B$72,$A1395+1)-F1395/INDEX(Surface_Engine!$B$12:$B$72,$A1395+1))),IF(E1395&lt;=0,0,MAX(0,(B1395/E1395)*I1395/INDEX(Surface_Engine!$B$12:$B$72,$A1395+1)-F1395/INDEX(Surface_Engine!$B$12:$B$72,$A1395+1))),IF($A1395&lt;$Q$1392,MAX(0,-Assumptions!$B$22*(F1395/INDEX(Surface_Engine!$B$12:$B$72,$A1395+1))),0)))^2+(MAX(0,J1395/INDEX(Surface_Engine!$B$12:$B$72,$A1395+1)-(F1395/INDEX(Surface_Engine!$B$12:$B$72,$A1395+1))))^2+2*Assumptions!$B$26*(IF(C1395&lt;=0,0,MAX(0,(B1395/C1395)*G1395/INDEX(Surface_Engine!$B$12:$B$72,$A1395+1)-F1395/INDEX(Surface_Engine!$B$12:$B$72,$A1395+1))))*(MAX(IF(D1395&lt;=0,0,MAX(0,(B1395/D1395)*H1395/INDEX(Surface_Engine!$B$12:$B$72,$A1395+1)-F1395/INDEX(Surface_Engine!$B$12:$B$72,$A1395+1))),IF(E1395&lt;=0,0,MAX(0,(B1395/E1395)*I1395/INDEX(Surface_Engine!$B$12:$B$72,$A1395+1)-F1395/INDEX(Surface_Engine!$B$12:$B$72,$A1395+1))),IF($A1395&lt;$Q$1392,MAX(0,-Assumptions!$B$22*(F1395/INDEX(Surface_Engine!$B$12:$B$72,$A1395+1))),0)))+2*Assumptions!$B$27*(IF(C1395&lt;=0,0,MAX(0,(B1395/C1395)*G1395/INDEX(Surface_Engine!$B$12:$B$72,$A1395+1)-F1395/INDEX(Surface_Engine!$B$12:$B$72,$A1395+1))))*(MAX(0,J1395/INDEX(Surface_Engine!$B$12:$B$72,$A1395+1)-(F1395/INDEX(Surface_Engine!$B$12:$B$72,$A1395+1))))+2*Assumptions!$B$28*(MAX(IF(D1395&lt;=0,0,MAX(0,(B1395/D1395)*H1395/INDEX(Surface_Engine!$B$12:$B$72,$A1395+1)-F1395/INDEX(Surface_Engine!$B$12:$B$72,$A1395+1))),IF(E1395&lt;=0,0,MAX(0,(B1395/E1395)*I1395/INDEX(Surface_Engine!$B$12:$B$72,$A1395+1)-F1395/INDEX(Surface_Engine!$B$12:$B$72,$A1395+1))),IF($A1395&lt;$Q$1392,MAX(0,-Assumptions!$B$22*(F1395/INDEX(Surface_Engine!$B$12:$B$72,$A1395+1))),0)))*(MAX(0,J1395/INDEX(Surface_Engine!$B$12:$B$72,$A1395+1)-(F1395/INDEX(Surface_Engine!$B$12:$B$72,$A1395+1)))))</f>
        <v>8599.45419192085</v>
      </c>
      <c r="L1395" s="48" t="n">
        <f aca="false">K1395*INDEX(Surface_Engine!$B$12:$B$72,$A1395+1)+L1396</f>
        <v>131004.568281714</v>
      </c>
      <c r="M1395" s="48" t="n">
        <f aca="false">M1394+B1394*(IF($A1394&lt;$Q$1392,(Surface_Engine!L248*12)-(Surface_Engine!L248*12)*INDEX(Surface_Engine!$F$12:$F$72,$A1394+1)-INDEX(Surface_Engine!$D$12:$D$72,$A1394+1),-(1000*12*INDEX(Surface_Engine!$C$12:$C$72,$A1394+1)/(1+Assumptions!$B$10)^13+INDEX(Surface_Engine!$D$12:$D$72,$A1394+1))))*INDEX(Surface_Engine!$B$12:$B$72,$A1394+1)</f>
        <v>-82</v>
      </c>
      <c r="N1395" s="12" t="n">
        <f aca="false">IF(B1395&lt;=0,0,MAX(0,(K1395+Assumptions!$B$29*L1395/INDEX(Surface_Engine!$B$12:$B$72,$A1395+1)-(M1395/INDEX(Surface_Engine!$B$12:$B$72,$A1395+1)-(F1395/INDEX(Surface_Engine!$B$12:$B$72,$A1395+1))))/B1395))</f>
        <v>15940.4711633564</v>
      </c>
    </row>
    <row r="1396" customFormat="false" ht="15" hidden="false" customHeight="true" outlineLevel="0" collapsed="false">
      <c r="A1396" s="1" t="n">
        <v>2</v>
      </c>
      <c r="B1396" s="32" t="n">
        <f aca="false">INDEX(Surface_Engine!$S$12:$S$72,$A1396+1)*IF($A1396&lt;$Q$1392,INDEX(Surface_Engine!$E$12:$E$72,$A1396+1),INDEX(Surface_Engine!$E$12:$E$72,$Q$1392+1))</f>
        <v>0.915450309934018</v>
      </c>
      <c r="C1396" s="32" t="n">
        <f aca="false">INDEX(Panel_Reserving!$G$8:$G$68,$A1396+1)*IF($A1396&lt;$Q$1392,INDEX(Surface_Engine!$E$12:$E$72,$A1396+1),INDEX(Surface_Engine!$E$12:$E$72,$Q$1392+1))</f>
        <v>0.920053421834699</v>
      </c>
      <c r="D1396" s="32" t="n">
        <f aca="false">INDEX(Surface_Engine!$S$12:$S$72,$A1396+1)*IF($A1396&lt;$Q$1392,INDEX(Surface_Engine!$Y$12:$Y$72,$A1396+1),INDEX(Surface_Engine!$Y$12:$Y$72,$Q$1392+1))</f>
        <v>0.886142115938819</v>
      </c>
      <c r="E1396" s="32" t="n">
        <f aca="false">INDEX(Surface_Engine!$S$12:$S$72,$A1396+1)*IF($A1396&lt;$Q$1392,INDEX(Surface_Engine!$Z$12:$Z$72,$A1396+1),INDEX(Surface_Engine!$Z$12:$Z$72,$Q$1392+1))</f>
        <v>0.945188157850868</v>
      </c>
      <c r="F1396" s="48" t="n">
        <f aca="false">B1396*(IF($A1396&lt;$Q$1392,INDEX(Surface_Engine!$D$12:$D$72,$A1396+1)+(Surface_Engine!L248*12)*INDEX(Surface_Engine!$F$12:$F$72,$A1396+1)-(Surface_Engine!L248*12),1000*12*INDEX(Surface_Engine!$C$12:$C$72,$A1396+1)/(1+Assumptions!$B$10)^13+INDEX(Surface_Engine!$D$12:$D$72,$A1396+1)))*INDEX(Surface_Engine!$B$12:$B$72,$A1396+1)+F1397</f>
        <v>3191.61701392309</v>
      </c>
      <c r="G1396" s="48" t="n">
        <f aca="false">C1396*(IF($A1396&lt;$Q$1392,INDEX(Surface_Engine!$D$12:$D$72,$A1396+1)+(Surface_Engine!L248*12)*INDEX(Surface_Engine!$F$12:$F$72,$A1396+1)-(Surface_Engine!L248*12),1000*12*INDEX(Surface_Engine!$C$12:$C$72,$A1396+1)/(1+Assumptions!$B$10)^13+INDEX(Surface_Engine!$D$12:$D$72,$A1396+1)))*INDEX(Surface_Engine!$B$12:$B$72,$A1396+1)+G1397</f>
        <v>11073.0930104345</v>
      </c>
      <c r="H1396" s="48" t="n">
        <f aca="false">D1396*(IF($A1396&lt;$Q$1392,INDEX(Surface_Engine!$D$12:$D$72,$A1396+1)+(Surface_Engine!L248*12)*INDEX(Surface_Engine!$F$12:$F$72,$A1396+1)-(Surface_Engine!L248*12),1000*12*INDEX(Surface_Engine!$C$12:$C$72,$A1396+1)/(1+Assumptions!$B$10)^13+INDEX(Surface_Engine!$D$12:$D$72,$A1396+1)))*INDEX(Surface_Engine!$B$12:$B$72,$A1396+1)+H1397</f>
        <v>1806.66141719122</v>
      </c>
      <c r="I1396" s="48" t="n">
        <f aca="false">E1396*(IF($A1396&lt;$Q$1392,INDEX(Surface_Engine!$D$12:$D$72,$A1396+1)+(Surface_Engine!L248*12)*INDEX(Surface_Engine!$F$12:$F$72,$A1396+1)-(Surface_Engine!L248*12),1000*12*INDEX(Surface_Engine!$C$12:$C$72,$A1396+1)/(1+Assumptions!$B$10)^13+INDEX(Surface_Engine!$D$12:$D$72,$A1396+1)))*INDEX(Surface_Engine!$B$12:$B$72,$A1396+1)+I1397</f>
        <v>4757.703491141</v>
      </c>
      <c r="J1396" s="48" t="n">
        <f aca="false">B1396*(IF($A1396&lt;$Q$1392,INDEX(Surface_Engine!$D$12:$D$72,$A1396+1)*(1+Assumptions!$B$24)+(Surface_Engine!L248*12)*INDEX(Surface_Engine!$F$12:$F$72,$A1396+1)-(Surface_Engine!L248*12),1000*12*INDEX(Surface_Engine!$C$12:$C$72,$A1396+1)/(1+Assumptions!$B$10)^13+INDEX(Surface_Engine!$D$12:$D$72,$A1396+1)*(1+Assumptions!$B$24)))*INDEX(Surface_Engine!$B$12:$B$72,$A1396+1)+J1397</f>
        <v>3299.15082640253</v>
      </c>
      <c r="K1396" s="12" t="n">
        <f aca="false">SQRT((IF(C1396&lt;=0,0,MAX(0,(B1396/C1396)*G1396/INDEX(Surface_Engine!$B$12:$B$72,$A1396+1)-F1396/INDEX(Surface_Engine!$B$12:$B$72,$A1396+1))))^2+(MAX(IF(D1396&lt;=0,0,MAX(0,(B1396/D1396)*H1396/INDEX(Surface_Engine!$B$12:$B$72,$A1396+1)-F1396/INDEX(Surface_Engine!$B$12:$B$72,$A1396+1))),IF(E1396&lt;=0,0,MAX(0,(B1396/E1396)*I1396/INDEX(Surface_Engine!$B$12:$B$72,$A1396+1)-F1396/INDEX(Surface_Engine!$B$12:$B$72,$A1396+1))),IF($A1396&lt;$Q$1392,MAX(0,-Assumptions!$B$22*(F1396/INDEX(Surface_Engine!$B$12:$B$72,$A1396+1))),0)))^2+(MAX(0,J1396/INDEX(Surface_Engine!$B$12:$B$72,$A1396+1)-(F1396/INDEX(Surface_Engine!$B$12:$B$72,$A1396+1))))^2+2*Assumptions!$B$26*(IF(C1396&lt;=0,0,MAX(0,(B1396/C1396)*G1396/INDEX(Surface_Engine!$B$12:$B$72,$A1396+1)-F1396/INDEX(Surface_Engine!$B$12:$B$72,$A1396+1))))*(MAX(IF(D1396&lt;=0,0,MAX(0,(B1396/D1396)*H1396/INDEX(Surface_Engine!$B$12:$B$72,$A1396+1)-F1396/INDEX(Surface_Engine!$B$12:$B$72,$A1396+1))),IF(E1396&lt;=0,0,MAX(0,(B1396/E1396)*I1396/INDEX(Surface_Engine!$B$12:$B$72,$A1396+1)-F1396/INDEX(Surface_Engine!$B$12:$B$72,$A1396+1))),IF($A1396&lt;$Q$1392,MAX(0,-Assumptions!$B$22*(F1396/INDEX(Surface_Engine!$B$12:$B$72,$A1396+1))),0)))+2*Assumptions!$B$27*(IF(C1396&lt;=0,0,MAX(0,(B1396/C1396)*G1396/INDEX(Surface_Engine!$B$12:$B$72,$A1396+1)-F1396/INDEX(Surface_Engine!$B$12:$B$72,$A1396+1))))*(MAX(0,J1396/INDEX(Surface_Engine!$B$12:$B$72,$A1396+1)-(F1396/INDEX(Surface_Engine!$B$12:$B$72,$A1396+1))))+2*Assumptions!$B$28*(MAX(IF(D1396&lt;=0,0,MAX(0,(B1396/D1396)*H1396/INDEX(Surface_Engine!$B$12:$B$72,$A1396+1)-F1396/INDEX(Surface_Engine!$B$12:$B$72,$A1396+1))),IF(E1396&lt;=0,0,MAX(0,(B1396/E1396)*I1396/INDEX(Surface_Engine!$B$12:$B$72,$A1396+1)-F1396/INDEX(Surface_Engine!$B$12:$B$72,$A1396+1))),IF($A1396&lt;$Q$1392,MAX(0,-Assumptions!$B$22*(F1396/INDEX(Surface_Engine!$B$12:$B$72,$A1396+1))),0)))*(MAX(0,J1396/INDEX(Surface_Engine!$B$12:$B$72,$A1396+1)-(F1396/INDEX(Surface_Engine!$B$12:$B$72,$A1396+1)))))</f>
        <v>8772.71938053105</v>
      </c>
      <c r="L1396" s="48" t="n">
        <f aca="false">K1396*INDEX(Surface_Engine!$B$12:$B$72,$A1396+1)+L1397</f>
        <v>122622.707203387</v>
      </c>
      <c r="M1396" s="48" t="n">
        <f aca="false">M1395+B1395*(IF($A1395&lt;$Q$1392,(Surface_Engine!L248*12)-(Surface_Engine!L248*12)*INDEX(Surface_Engine!$F$12:$F$72,$A1395+1)-INDEX(Surface_Engine!$D$12:$D$72,$A1395+1),-(1000*12*INDEX(Surface_Engine!$C$12:$C$72,$A1395+1)/(1+Assumptions!$B$10)^13+INDEX(Surface_Engine!$D$12:$D$72,$A1395+1))))*INDEX(Surface_Engine!$B$12:$B$72,$A1395+1)</f>
        <v>4703.13492631442</v>
      </c>
      <c r="N1396" s="12" t="n">
        <f aca="false">IF(B1396&lt;=0,0,MAX(0,(K1396+Assumptions!$B$29*L1396/INDEX(Surface_Engine!$B$12:$B$72,$A1396+1)-(M1396/INDEX(Surface_Engine!$B$12:$B$72,$A1396+1)-(F1396/INDEX(Surface_Engine!$B$12:$B$72,$A1396+1))))/B1396))</f>
        <v>16308.4972656702</v>
      </c>
    </row>
    <row r="1397" customFormat="false" ht="15" hidden="false" customHeight="true" outlineLevel="0" collapsed="false">
      <c r="A1397" s="1" t="n">
        <v>3</v>
      </c>
      <c r="B1397" s="32" t="n">
        <f aca="false">INDEX(Surface_Engine!$S$12:$S$72,$A1397+1)*IF($A1397&lt;$Q$1392,INDEX(Surface_Engine!$E$12:$E$72,$A1397+1),INDEX(Surface_Engine!$E$12:$E$72,$Q$1392+1))</f>
        <v>0.890257968372373</v>
      </c>
      <c r="C1397" s="32" t="n">
        <f aca="false">INDEX(Panel_Reserving!$G$8:$G$68,$A1397+1)*IF($A1397&lt;$Q$1392,INDEX(Surface_Engine!$E$12:$E$72,$A1397+1),INDEX(Surface_Engine!$E$12:$E$72,$Q$1392+1))</f>
        <v>0.897350867794799</v>
      </c>
      <c r="D1397" s="32" t="n">
        <f aca="false">INDEX(Surface_Engine!$S$12:$S$72,$A1397+1)*IF($A1397&lt;$Q$1392,INDEX(Surface_Engine!$Y$12:$Y$72,$A1397+1),INDEX(Surface_Engine!$Y$12:$Y$72,$Q$1392+1))</f>
        <v>0.855948383779193</v>
      </c>
      <c r="E1397" s="32" t="n">
        <f aca="false">INDEX(Surface_Engine!$S$12:$S$72,$A1397+1)*IF($A1397&lt;$Q$1392,INDEX(Surface_Engine!$Z$12:$Z$72,$A1397+1),INDEX(Surface_Engine!$Z$12:$Z$72,$Q$1392+1))</f>
        <v>0.925372380925957</v>
      </c>
      <c r="F1397" s="48" t="n">
        <f aca="false">B1397*(IF($A1397&lt;$Q$1392,INDEX(Surface_Engine!$D$12:$D$72,$A1397+1)+(Surface_Engine!L248*12)*INDEX(Surface_Engine!$F$12:$F$72,$A1397+1)-(Surface_Engine!L248*12),1000*12*INDEX(Surface_Engine!$C$12:$C$72,$A1397+1)/(1+Assumptions!$B$10)^13+INDEX(Surface_Engine!$D$12:$D$72,$A1397+1)))*INDEX(Surface_Engine!$B$12:$B$72,$A1397+1)+F1398</f>
        <v>7690.6388353299</v>
      </c>
      <c r="G1397" s="48" t="n">
        <f aca="false">C1397*(IF($A1397&lt;$Q$1392,INDEX(Surface_Engine!$D$12:$D$72,$A1397+1)+(Surface_Engine!L248*12)*INDEX(Surface_Engine!$F$12:$F$72,$A1397+1)-(Surface_Engine!L248*12),1000*12*INDEX(Surface_Engine!$C$12:$C$72,$A1397+1)/(1+Assumptions!$B$10)^13+INDEX(Surface_Engine!$D$12:$D$72,$A1397+1)))*INDEX(Surface_Engine!$B$12:$B$72,$A1397+1)+G1398</f>
        <v>15594.7370328093</v>
      </c>
      <c r="H1397" s="48" t="n">
        <f aca="false">D1397*(IF($A1397&lt;$Q$1392,INDEX(Surface_Engine!$D$12:$D$72,$A1397+1)+(Surface_Engine!L248*12)*INDEX(Surface_Engine!$F$12:$F$72,$A1397+1)-(Surface_Engine!L248*12),1000*12*INDEX(Surface_Engine!$C$12:$C$72,$A1397+1)/(1+Assumptions!$B$10)^13+INDEX(Surface_Engine!$D$12:$D$72,$A1397+1)))*INDEX(Surface_Engine!$B$12:$B$72,$A1397+1)+H1398</f>
        <v>6161.64679784362</v>
      </c>
      <c r="I1397" s="48" t="n">
        <f aca="false">E1397*(IF($A1397&lt;$Q$1392,INDEX(Surface_Engine!$D$12:$D$72,$A1397+1)+(Surface_Engine!L248*12)*INDEX(Surface_Engine!$F$12:$F$72,$A1397+1)-(Surface_Engine!L248*12),1000*12*INDEX(Surface_Engine!$C$12:$C$72,$A1397+1)/(1+Assumptions!$B$10)^13+INDEX(Surface_Engine!$D$12:$D$72,$A1397+1)))*INDEX(Surface_Engine!$B$12:$B$72,$A1397+1)+I1398</f>
        <v>9402.87330687121</v>
      </c>
      <c r="J1397" s="48" t="n">
        <f aca="false">B1397*(IF($A1397&lt;$Q$1392,INDEX(Surface_Engine!$D$12:$D$72,$A1397+1)*(1+Assumptions!$B$24)+(Surface_Engine!L248*12)*INDEX(Surface_Engine!$F$12:$F$72,$A1397+1)-(Surface_Engine!L248*12),1000*12*INDEX(Surface_Engine!$C$12:$C$72,$A1397+1)/(1+Assumptions!$B$10)^13+INDEX(Surface_Engine!$D$12:$D$72,$A1397+1)*(1+Assumptions!$B$24)))*INDEX(Surface_Engine!$B$12:$B$72,$A1397+1)+J1398</f>
        <v>7790.68437677173</v>
      </c>
      <c r="K1397" s="12" t="n">
        <f aca="false">SQRT((IF(C1397&lt;=0,0,MAX(0,(B1397/C1397)*G1397/INDEX(Surface_Engine!$B$12:$B$72,$A1397+1)-F1397/INDEX(Surface_Engine!$B$12:$B$72,$A1397+1))))^2+(MAX(IF(D1397&lt;=0,0,MAX(0,(B1397/D1397)*H1397/INDEX(Surface_Engine!$B$12:$B$72,$A1397+1)-F1397/INDEX(Surface_Engine!$B$12:$B$72,$A1397+1))),IF(E1397&lt;=0,0,MAX(0,(B1397/E1397)*I1397/INDEX(Surface_Engine!$B$12:$B$72,$A1397+1)-F1397/INDEX(Surface_Engine!$B$12:$B$72,$A1397+1))),IF($A1397&lt;$Q$1392,MAX(0,-Assumptions!$B$22*(F1397/INDEX(Surface_Engine!$B$12:$B$72,$A1397+1))),0)))^2+(MAX(0,J1397/INDEX(Surface_Engine!$B$12:$B$72,$A1397+1)-(F1397/INDEX(Surface_Engine!$B$12:$B$72,$A1397+1))))^2+2*Assumptions!$B$26*(IF(C1397&lt;=0,0,MAX(0,(B1397/C1397)*G1397/INDEX(Surface_Engine!$B$12:$B$72,$A1397+1)-F1397/INDEX(Surface_Engine!$B$12:$B$72,$A1397+1))))*(MAX(IF(D1397&lt;=0,0,MAX(0,(B1397/D1397)*H1397/INDEX(Surface_Engine!$B$12:$B$72,$A1397+1)-F1397/INDEX(Surface_Engine!$B$12:$B$72,$A1397+1))),IF(E1397&lt;=0,0,MAX(0,(B1397/E1397)*I1397/INDEX(Surface_Engine!$B$12:$B$72,$A1397+1)-F1397/INDEX(Surface_Engine!$B$12:$B$72,$A1397+1))),IF($A1397&lt;$Q$1392,MAX(0,-Assumptions!$B$22*(F1397/INDEX(Surface_Engine!$B$12:$B$72,$A1397+1))),0)))+2*Assumptions!$B$27*(IF(C1397&lt;=0,0,MAX(0,(B1397/C1397)*G1397/INDEX(Surface_Engine!$B$12:$B$72,$A1397+1)-F1397/INDEX(Surface_Engine!$B$12:$B$72,$A1397+1))))*(MAX(0,J1397/INDEX(Surface_Engine!$B$12:$B$72,$A1397+1)-(F1397/INDEX(Surface_Engine!$B$12:$B$72,$A1397+1))))+2*Assumptions!$B$28*(MAX(IF(D1397&lt;=0,0,MAX(0,(B1397/D1397)*H1397/INDEX(Surface_Engine!$B$12:$B$72,$A1397+1)-F1397/INDEX(Surface_Engine!$B$12:$B$72,$A1397+1))),IF(E1397&lt;=0,0,MAX(0,(B1397/E1397)*I1397/INDEX(Surface_Engine!$B$12:$B$72,$A1397+1)-F1397/INDEX(Surface_Engine!$B$12:$B$72,$A1397+1))),IF($A1397&lt;$Q$1392,MAX(0,-Assumptions!$B$22*(F1397/INDEX(Surface_Engine!$B$12:$B$72,$A1397+1))),0)))*(MAX(0,J1397/INDEX(Surface_Engine!$B$12:$B$72,$A1397+1)-(F1397/INDEX(Surface_Engine!$B$12:$B$72,$A1397+1)))))</f>
        <v>8924.75438905039</v>
      </c>
      <c r="L1397" s="48" t="n">
        <f aca="false">K1397*INDEX(Surface_Engine!$B$12:$B$72,$A1397+1)+L1398</f>
        <v>114293.197594077</v>
      </c>
      <c r="M1397" s="48" t="n">
        <f aca="false">M1396+B1396*(IF($A1396&lt;$Q$1392,(Surface_Engine!L248*12)-(Surface_Engine!L248*12)*INDEX(Surface_Engine!$F$12:$F$72,$A1396+1)-INDEX(Surface_Engine!$D$12:$D$72,$A1396+1),-(1000*12*INDEX(Surface_Engine!$C$12:$C$72,$A1396+1)/(1+Assumptions!$B$10)^13+INDEX(Surface_Engine!$D$12:$D$72,$A1396+1))))*INDEX(Surface_Engine!$B$12:$B$72,$A1396+1)</f>
        <v>9202.15674772124</v>
      </c>
      <c r="N1397" s="12" t="n">
        <f aca="false">IF(B1397&lt;=0,0,MAX(0,(K1397+Assumptions!$B$29*L1397/INDEX(Surface_Engine!$B$12:$B$72,$A1397+1)-(M1397/INDEX(Surface_Engine!$B$12:$B$72,$A1397+1)-(F1397/INDEX(Surface_Engine!$B$12:$B$72,$A1397+1))))/B1397))</f>
        <v>16515.2251402969</v>
      </c>
    </row>
    <row r="1398" customFormat="false" ht="15" hidden="false" customHeight="true" outlineLevel="0" collapsed="false">
      <c r="A1398" s="1" t="n">
        <v>4</v>
      </c>
      <c r="B1398" s="32" t="n">
        <f aca="false">INDEX(Surface_Engine!$S$12:$S$72,$A1398+1)*IF($A1398&lt;$Q$1392,INDEX(Surface_Engine!$E$12:$E$72,$A1398+1),INDEX(Surface_Engine!$E$12:$E$72,$Q$1392+1))</f>
        <v>0.863853375660166</v>
      </c>
      <c r="C1398" s="32" t="n">
        <f aca="false">INDEX(Panel_Reserving!$G$8:$G$68,$A1398+1)*IF($A1398&lt;$Q$1392,INDEX(Surface_Engine!$E$12:$E$72,$A1398+1),INDEX(Surface_Engine!$E$12:$E$72,$Q$1392+1))</f>
        <v>0.873671942922414</v>
      </c>
      <c r="D1398" s="32" t="n">
        <f aca="false">INDEX(Surface_Engine!$S$12:$S$72,$A1398+1)*IF($A1398&lt;$Q$1392,INDEX(Surface_Engine!$Y$12:$Y$72,$A1398+1),INDEX(Surface_Engine!$Y$12:$Y$72,$Q$1392+1))</f>
        <v>0.824963713213021</v>
      </c>
      <c r="E1398" s="32" t="n">
        <f aca="false">INDEX(Surface_Engine!$S$12:$S$72,$A1398+1)*IF($A1398&lt;$Q$1392,INDEX(Surface_Engine!$Z$12:$Z$72,$A1398+1),INDEX(Surface_Engine!$Z$12:$Z$72,$Q$1392+1))</f>
        <v>0.903978010384945</v>
      </c>
      <c r="F1398" s="48" t="n">
        <f aca="false">B1398*(IF($A1398&lt;$Q$1392,INDEX(Surface_Engine!$D$12:$D$72,$A1398+1)+(Surface_Engine!L248*12)*INDEX(Surface_Engine!$F$12:$F$72,$A1398+1)-(Surface_Engine!L248*12),1000*12*INDEX(Surface_Engine!$C$12:$C$72,$A1398+1)/(1+Assumptions!$B$10)^13+INDEX(Surface_Engine!$D$12:$D$72,$A1398+1)))*INDEX(Surface_Engine!$B$12:$B$72,$A1398+1)+F1399</f>
        <v>11952.3737484296</v>
      </c>
      <c r="G1398" s="48" t="n">
        <f aca="false">C1398*(IF($A1398&lt;$Q$1392,INDEX(Surface_Engine!$D$12:$D$72,$A1398+1)+(Surface_Engine!L248*12)*INDEX(Surface_Engine!$F$12:$F$72,$A1398+1)-(Surface_Engine!L248*12),1000*12*INDEX(Surface_Engine!$C$12:$C$72,$A1398+1)/(1+Assumptions!$B$10)^13+INDEX(Surface_Engine!$D$12:$D$72,$A1398+1)))*INDEX(Surface_Engine!$B$12:$B$72,$A1398+1)+G1399</f>
        <v>19890.4262132984</v>
      </c>
      <c r="H1398" s="48" t="n">
        <f aca="false">D1398*(IF($A1398&lt;$Q$1392,INDEX(Surface_Engine!$D$12:$D$72,$A1398+1)+(Surface_Engine!L248*12)*INDEX(Surface_Engine!$F$12:$F$72,$A1398+1)-(Surface_Engine!L248*12),1000*12*INDEX(Surface_Engine!$C$12:$C$72,$A1398+1)/(1+Assumptions!$B$10)^13+INDEX(Surface_Engine!$D$12:$D$72,$A1398+1)))*INDEX(Surface_Engine!$B$12:$B$72,$A1398+1)+H1399</f>
        <v>10259.1390310581</v>
      </c>
      <c r="I1398" s="48" t="n">
        <f aca="false">E1398*(IF($A1398&lt;$Q$1392,INDEX(Surface_Engine!$D$12:$D$72,$A1398+1)+(Surface_Engine!L248*12)*INDEX(Surface_Engine!$F$12:$F$72,$A1398+1)-(Surface_Engine!L248*12),1000*12*INDEX(Surface_Engine!$C$12:$C$72,$A1398+1)/(1+Assumptions!$B$10)^13+INDEX(Surface_Engine!$D$12:$D$72,$A1398+1)))*INDEX(Surface_Engine!$B$12:$B$72,$A1398+1)+I1399</f>
        <v>13832.7036746021</v>
      </c>
      <c r="J1398" s="48" t="n">
        <f aca="false">B1398*(IF($A1398&lt;$Q$1392,INDEX(Surface_Engine!$D$12:$D$72,$A1398+1)*(1+Assumptions!$B$24)+(Surface_Engine!L248*12)*INDEX(Surface_Engine!$F$12:$F$72,$A1398+1)-(Surface_Engine!L248*12),1000*12*INDEX(Surface_Engine!$C$12:$C$72,$A1398+1)/(1+Assumptions!$B$10)^13+INDEX(Surface_Engine!$D$12:$D$72,$A1398+1)*(1+Assumptions!$B$24)))*INDEX(Surface_Engine!$B$12:$B$72,$A1398+1)+J1399</f>
        <v>12045.1456046342</v>
      </c>
      <c r="K1398" s="12" t="n">
        <f aca="false">SQRT((IF(C1398&lt;=0,0,MAX(0,(B1398/C1398)*G1398/INDEX(Surface_Engine!$B$12:$B$72,$A1398+1)-F1398/INDEX(Surface_Engine!$B$12:$B$72,$A1398+1))))^2+(MAX(IF(D1398&lt;=0,0,MAX(0,(B1398/D1398)*H1398/INDEX(Surface_Engine!$B$12:$B$72,$A1398+1)-F1398/INDEX(Surface_Engine!$B$12:$B$72,$A1398+1))),IF(E1398&lt;=0,0,MAX(0,(B1398/E1398)*I1398/INDEX(Surface_Engine!$B$12:$B$72,$A1398+1)-F1398/INDEX(Surface_Engine!$B$12:$B$72,$A1398+1))),IF($A1398&lt;$Q$1392,MAX(0,-Assumptions!$B$22*(F1398/INDEX(Surface_Engine!$B$12:$B$72,$A1398+1))),0)))^2+(MAX(0,J1398/INDEX(Surface_Engine!$B$12:$B$72,$A1398+1)-(F1398/INDEX(Surface_Engine!$B$12:$B$72,$A1398+1))))^2+2*Assumptions!$B$26*(IF(C1398&lt;=0,0,MAX(0,(B1398/C1398)*G1398/INDEX(Surface_Engine!$B$12:$B$72,$A1398+1)-F1398/INDEX(Surface_Engine!$B$12:$B$72,$A1398+1))))*(MAX(IF(D1398&lt;=0,0,MAX(0,(B1398/D1398)*H1398/INDEX(Surface_Engine!$B$12:$B$72,$A1398+1)-F1398/INDEX(Surface_Engine!$B$12:$B$72,$A1398+1))),IF(E1398&lt;=0,0,MAX(0,(B1398/E1398)*I1398/INDEX(Surface_Engine!$B$12:$B$72,$A1398+1)-F1398/INDEX(Surface_Engine!$B$12:$B$72,$A1398+1))),IF($A1398&lt;$Q$1392,MAX(0,-Assumptions!$B$22*(F1398/INDEX(Surface_Engine!$B$12:$B$72,$A1398+1))),0)))+2*Assumptions!$B$27*(IF(C1398&lt;=0,0,MAX(0,(B1398/C1398)*G1398/INDEX(Surface_Engine!$B$12:$B$72,$A1398+1)-F1398/INDEX(Surface_Engine!$B$12:$B$72,$A1398+1))))*(MAX(0,J1398/INDEX(Surface_Engine!$B$12:$B$72,$A1398+1)-(F1398/INDEX(Surface_Engine!$B$12:$B$72,$A1398+1))))+2*Assumptions!$B$28*(MAX(IF(D1398&lt;=0,0,MAX(0,(B1398/D1398)*H1398/INDEX(Surface_Engine!$B$12:$B$72,$A1398+1)-F1398/INDEX(Surface_Engine!$B$12:$B$72,$A1398+1))),IF(E1398&lt;=0,0,MAX(0,(B1398/E1398)*I1398/INDEX(Surface_Engine!$B$12:$B$72,$A1398+1)-F1398/INDEX(Surface_Engine!$B$12:$B$72,$A1398+1))),IF($A1398&lt;$Q$1392,MAX(0,-Assumptions!$B$22*(F1398/INDEX(Surface_Engine!$B$12:$B$72,$A1398+1))),0)))*(MAX(0,J1398/INDEX(Surface_Engine!$B$12:$B$72,$A1398+1)-(F1398/INDEX(Surface_Engine!$B$12:$B$72,$A1398+1)))))</f>
        <v>9048.23395574913</v>
      </c>
      <c r="L1398" s="48" t="n">
        <f aca="false">K1398*INDEX(Surface_Engine!$B$12:$B$72,$A1398+1)+L1399</f>
        <v>106035.680938665</v>
      </c>
      <c r="M1398" s="48" t="n">
        <f aca="false">M1397+B1397*(IF($A1397&lt;$Q$1392,(Surface_Engine!L248*12)-(Surface_Engine!L248*12)*INDEX(Surface_Engine!$F$12:$F$72,$A1397+1)-INDEX(Surface_Engine!$D$12:$D$72,$A1397+1),-(1000*12*INDEX(Surface_Engine!$C$12:$C$72,$A1397+1)/(1+Assumptions!$B$10)^13+INDEX(Surface_Engine!$D$12:$D$72,$A1397+1))))*INDEX(Surface_Engine!$B$12:$B$72,$A1397+1)</f>
        <v>13463.891660821</v>
      </c>
      <c r="N1398" s="12" t="n">
        <f aca="false">IF(B1398&lt;=0,0,MAX(0,(K1398+Assumptions!$B$29*L1398/INDEX(Surface_Engine!$B$12:$B$72,$A1398+1)-(M1398/INDEX(Surface_Engine!$B$12:$B$72,$A1398+1)-(F1398/INDEX(Surface_Engine!$B$12:$B$72,$A1398+1))))/B1398))</f>
        <v>16705.2504887156</v>
      </c>
    </row>
    <row r="1399" customFormat="false" ht="15" hidden="false" customHeight="true" outlineLevel="0" collapsed="false">
      <c r="A1399" s="1" t="n">
        <v>5</v>
      </c>
      <c r="B1399" s="32" t="n">
        <f aca="false">INDEX(Surface_Engine!$S$12:$S$72,$A1399+1)*IF($A1399&lt;$Q$1392,INDEX(Surface_Engine!$E$12:$E$72,$A1399+1),INDEX(Surface_Engine!$E$12:$E$72,$Q$1392+1))</f>
        <v>0.836610393824476</v>
      </c>
      <c r="C1399" s="32" t="n">
        <f aca="false">INDEX(Panel_Reserving!$G$8:$G$68,$A1399+1)*IF($A1399&lt;$Q$1392,INDEX(Surface_Engine!$E$12:$E$72,$A1399+1),INDEX(Surface_Engine!$E$12:$E$72,$Q$1392+1))</f>
        <v>0.849305874853345</v>
      </c>
      <c r="D1399" s="32" t="n">
        <f aca="false">INDEX(Surface_Engine!$S$12:$S$72,$A1399+1)*IF($A1399&lt;$Q$1392,INDEX(Surface_Engine!$Y$12:$Y$72,$A1399+1),INDEX(Surface_Engine!$Y$12:$Y$72,$Q$1392+1))</f>
        <v>0.793562564258164</v>
      </c>
      <c r="E1399" s="32" t="n">
        <f aca="false">INDEX(Surface_Engine!$S$12:$S$72,$A1399+1)*IF($A1399&lt;$Q$1392,INDEX(Surface_Engine!$Z$12:$Z$72,$A1399+1),INDEX(Surface_Engine!$Z$12:$Z$72,$Q$1392+1))</f>
        <v>0.881369982457156</v>
      </c>
      <c r="F1399" s="48" t="n">
        <f aca="false">B1399*(IF($A1399&lt;$Q$1392,INDEX(Surface_Engine!$D$12:$D$72,$A1399+1)+(Surface_Engine!L248*12)*INDEX(Surface_Engine!$F$12:$F$72,$A1399+1)-(Surface_Engine!L248*12),1000*12*INDEX(Surface_Engine!$C$12:$C$72,$A1399+1)/(1+Assumptions!$B$10)^13+INDEX(Surface_Engine!$D$12:$D$72,$A1399+1)))*INDEX(Surface_Engine!$B$12:$B$72,$A1399+1)+F1400</f>
        <v>15978.3683956805</v>
      </c>
      <c r="G1399" s="48" t="n">
        <f aca="false">C1399*(IF($A1399&lt;$Q$1392,INDEX(Surface_Engine!$D$12:$D$72,$A1399+1)+(Surface_Engine!L248*12)*INDEX(Surface_Engine!$F$12:$F$72,$A1399+1)-(Surface_Engine!L248*12),1000*12*INDEX(Surface_Engine!$C$12:$C$72,$A1399+1)/(1+Assumptions!$B$10)^13+INDEX(Surface_Engine!$D$12:$D$72,$A1399+1)))*INDEX(Surface_Engine!$B$12:$B$72,$A1399+1)+G1400</f>
        <v>23962.1803613573</v>
      </c>
      <c r="H1399" s="48" t="n">
        <f aca="false">D1399*(IF($A1399&lt;$Q$1392,INDEX(Surface_Engine!$D$12:$D$72,$A1399+1)+(Surface_Engine!L248*12)*INDEX(Surface_Engine!$F$12:$F$72,$A1399+1)-(Surface_Engine!L248*12),1000*12*INDEX(Surface_Engine!$C$12:$C$72,$A1399+1)/(1+Assumptions!$B$10)^13+INDEX(Surface_Engine!$D$12:$D$72,$A1399+1)))*INDEX(Surface_Engine!$B$12:$B$72,$A1399+1)+H1400</f>
        <v>14103.8881368119</v>
      </c>
      <c r="I1399" s="48" t="n">
        <f aca="false">E1399*(IF($A1399&lt;$Q$1392,INDEX(Surface_Engine!$D$12:$D$72,$A1399+1)+(Surface_Engine!L248*12)*INDEX(Surface_Engine!$F$12:$F$72,$A1399+1)-(Surface_Engine!L248*12),1000*12*INDEX(Surface_Engine!$C$12:$C$72,$A1399+1)/(1+Assumptions!$B$10)^13+INDEX(Surface_Engine!$D$12:$D$72,$A1399+1)))*INDEX(Surface_Engine!$B$12:$B$72,$A1399+1)+I1400</f>
        <v>18045.6994602133</v>
      </c>
      <c r="J1399" s="48" t="n">
        <f aca="false">B1399*(IF($A1399&lt;$Q$1392,INDEX(Surface_Engine!$D$12:$D$72,$A1399+1)*(1+Assumptions!$B$24)+(Surface_Engine!L248*12)*INDEX(Surface_Engine!$F$12:$F$72,$A1399+1)-(Surface_Engine!L248*12),1000*12*INDEX(Surface_Engine!$C$12:$C$72,$A1399+1)/(1+Assumptions!$B$10)^13+INDEX(Surface_Engine!$D$12:$D$72,$A1399+1)*(1+Assumptions!$B$24)))*INDEX(Surface_Engine!$B$12:$B$72,$A1399+1)+J1400</f>
        <v>16064.0941247287</v>
      </c>
      <c r="K1399" s="12" t="n">
        <f aca="false">SQRT((IF(C1399&lt;=0,0,MAX(0,(B1399/C1399)*G1399/INDEX(Surface_Engine!$B$12:$B$72,$A1399+1)-F1399/INDEX(Surface_Engine!$B$12:$B$72,$A1399+1))))^2+(MAX(IF(D1399&lt;=0,0,MAX(0,(B1399/D1399)*H1399/INDEX(Surface_Engine!$B$12:$B$72,$A1399+1)-F1399/INDEX(Surface_Engine!$B$12:$B$72,$A1399+1))),IF(E1399&lt;=0,0,MAX(0,(B1399/E1399)*I1399/INDEX(Surface_Engine!$B$12:$B$72,$A1399+1)-F1399/INDEX(Surface_Engine!$B$12:$B$72,$A1399+1))),IF($A1399&lt;$Q$1392,MAX(0,-Assumptions!$B$22*(F1399/INDEX(Surface_Engine!$B$12:$B$72,$A1399+1))),0)))^2+(MAX(0,J1399/INDEX(Surface_Engine!$B$12:$B$72,$A1399+1)-(F1399/INDEX(Surface_Engine!$B$12:$B$72,$A1399+1))))^2+2*Assumptions!$B$26*(IF(C1399&lt;=0,0,MAX(0,(B1399/C1399)*G1399/INDEX(Surface_Engine!$B$12:$B$72,$A1399+1)-F1399/INDEX(Surface_Engine!$B$12:$B$72,$A1399+1))))*(MAX(IF(D1399&lt;=0,0,MAX(0,(B1399/D1399)*H1399/INDEX(Surface_Engine!$B$12:$B$72,$A1399+1)-F1399/INDEX(Surface_Engine!$B$12:$B$72,$A1399+1))),IF(E1399&lt;=0,0,MAX(0,(B1399/E1399)*I1399/INDEX(Surface_Engine!$B$12:$B$72,$A1399+1)-F1399/INDEX(Surface_Engine!$B$12:$B$72,$A1399+1))),IF($A1399&lt;$Q$1392,MAX(0,-Assumptions!$B$22*(F1399/INDEX(Surface_Engine!$B$12:$B$72,$A1399+1))),0)))+2*Assumptions!$B$27*(IF(C1399&lt;=0,0,MAX(0,(B1399/C1399)*G1399/INDEX(Surface_Engine!$B$12:$B$72,$A1399+1)-F1399/INDEX(Surface_Engine!$B$12:$B$72,$A1399+1))))*(MAX(0,J1399/INDEX(Surface_Engine!$B$12:$B$72,$A1399+1)-(F1399/INDEX(Surface_Engine!$B$12:$B$72,$A1399+1))))+2*Assumptions!$B$28*(MAX(IF(D1399&lt;=0,0,MAX(0,(B1399/D1399)*H1399/INDEX(Surface_Engine!$B$12:$B$72,$A1399+1)-F1399/INDEX(Surface_Engine!$B$12:$B$72,$A1399+1))),IF(E1399&lt;=0,0,MAX(0,(B1399/E1399)*I1399/INDEX(Surface_Engine!$B$12:$B$72,$A1399+1)-F1399/INDEX(Surface_Engine!$B$12:$B$72,$A1399+1))),IF($A1399&lt;$Q$1392,MAX(0,-Assumptions!$B$22*(F1399/INDEX(Surface_Engine!$B$12:$B$72,$A1399+1))),0)))*(MAX(0,J1399/INDEX(Surface_Engine!$B$12:$B$72,$A1399+1)-(F1399/INDEX(Surface_Engine!$B$12:$B$72,$A1399+1)))))</f>
        <v>9147.18957845356</v>
      </c>
      <c r="L1399" s="48" t="n">
        <f aca="false">K1399*INDEX(Surface_Engine!$B$12:$B$72,$A1399+1)+L1400</f>
        <v>97881.7890463999</v>
      </c>
      <c r="M1399" s="48" t="n">
        <f aca="false">M1398+B1398*(IF($A1398&lt;$Q$1392,(Surface_Engine!L248*12)-(Surface_Engine!L248*12)*INDEX(Surface_Engine!$F$12:$F$72,$A1398+1)-INDEX(Surface_Engine!$D$12:$D$72,$A1398+1),-(1000*12*INDEX(Surface_Engine!$C$12:$C$72,$A1398+1)/(1+Assumptions!$B$10)^13+INDEX(Surface_Engine!$D$12:$D$72,$A1398+1))))*INDEX(Surface_Engine!$B$12:$B$72,$A1398+1)</f>
        <v>17489.8863080718</v>
      </c>
      <c r="N1399" s="12" t="n">
        <f aca="false">IF(B1399&lt;=0,0,MAX(0,(K1399+Assumptions!$B$29*L1399/INDEX(Surface_Engine!$B$12:$B$72,$A1399+1)-(M1399/INDEX(Surface_Engine!$B$12:$B$72,$A1399+1)-(F1399/INDEX(Surface_Engine!$B$12:$B$72,$A1399+1))))/B1399))</f>
        <v>16880.6358405636</v>
      </c>
    </row>
    <row r="1400" customFormat="false" ht="15" hidden="false" customHeight="true" outlineLevel="0" collapsed="false">
      <c r="A1400" s="1" t="n">
        <v>6</v>
      </c>
      <c r="B1400" s="32" t="n">
        <f aca="false">INDEX(Surface_Engine!$S$12:$S$72,$A1400+1)*IF($A1400&lt;$Q$1392,INDEX(Surface_Engine!$E$12:$E$72,$A1400+1),INDEX(Surface_Engine!$E$12:$E$72,$Q$1392+1))</f>
        <v>0.811873349145694</v>
      </c>
      <c r="C1400" s="32" t="n">
        <f aca="false">INDEX(Panel_Reserving!$G$8:$G$68,$A1400+1)*IF($A1400&lt;$Q$1392,INDEX(Surface_Engine!$E$12:$E$72,$A1400+1),INDEX(Surface_Engine!$E$12:$E$72,$Q$1392+1))</f>
        <v>0.827670196628201</v>
      </c>
      <c r="D1400" s="32" t="n">
        <f aca="false">INDEX(Surface_Engine!$S$12:$S$72,$A1400+1)*IF($A1400&lt;$Q$1392,INDEX(Surface_Engine!$Y$12:$Y$72,$A1400+1),INDEX(Surface_Engine!$Y$12:$Y$72,$Q$1392+1))</f>
        <v>0.766562239135632</v>
      </c>
      <c r="E1400" s="32" t="n">
        <f aca="false">INDEX(Surface_Engine!$S$12:$S$72,$A1400+1)*IF($A1400&lt;$Q$1392,INDEX(Surface_Engine!$Z$12:$Z$72,$A1400+1),INDEX(Surface_Engine!$Z$12:$Z$72,$Q$1392+1))</f>
        <v>0.859236875756928</v>
      </c>
      <c r="F1400" s="48" t="n">
        <f aca="false">B1400*(IF($A1400&lt;$Q$1392,INDEX(Surface_Engine!$D$12:$D$72,$A1400+1)+(Surface_Engine!L248*12)*INDEX(Surface_Engine!$F$12:$F$72,$A1400+1)-(Surface_Engine!L248*12),1000*12*INDEX(Surface_Engine!$C$12:$C$72,$A1400+1)/(1+Assumptions!$B$10)^13+INDEX(Surface_Engine!$D$12:$D$72,$A1400+1)))*INDEX(Surface_Engine!$B$12:$B$72,$A1400+1)+F1401</f>
        <v>19769.4974105761</v>
      </c>
      <c r="G1400" s="48" t="n">
        <f aca="false">C1400*(IF($A1400&lt;$Q$1392,INDEX(Surface_Engine!$D$12:$D$72,$A1400+1)+(Surface_Engine!L248*12)*INDEX(Surface_Engine!$F$12:$F$72,$A1400+1)-(Surface_Engine!L248*12),1000*12*INDEX(Surface_Engine!$C$12:$C$72,$A1400+1)/(1+Assumptions!$B$10)^13+INDEX(Surface_Engine!$D$12:$D$72,$A1400+1)))*INDEX(Surface_Engine!$B$12:$B$72,$A1400+1)+G1401</f>
        <v>27810.8393888392</v>
      </c>
      <c r="H1400" s="48" t="n">
        <f aca="false">D1400*(IF($A1400&lt;$Q$1392,INDEX(Surface_Engine!$D$12:$D$72,$A1400+1)+(Surface_Engine!L248*12)*INDEX(Surface_Engine!$F$12:$F$72,$A1400+1)-(Surface_Engine!L248*12),1000*12*INDEX(Surface_Engine!$C$12:$C$72,$A1400+1)/(1+Assumptions!$B$10)^13+INDEX(Surface_Engine!$D$12:$D$72,$A1400+1)))*INDEX(Surface_Engine!$B$12:$B$72,$A1400+1)+H1401</f>
        <v>17699.944419045</v>
      </c>
      <c r="I1400" s="48" t="n">
        <f aca="false">E1400*(IF($A1400&lt;$Q$1392,INDEX(Surface_Engine!$D$12:$D$72,$A1400+1)+(Surface_Engine!L248*12)*INDEX(Surface_Engine!$F$12:$F$72,$A1400+1)-(Surface_Engine!L248*12),1000*12*INDEX(Surface_Engine!$C$12:$C$72,$A1400+1)/(1+Assumptions!$B$10)^13+INDEX(Surface_Engine!$D$12:$D$72,$A1400+1)))*INDEX(Surface_Engine!$B$12:$B$72,$A1400+1)+I1401</f>
        <v>22039.6581033477</v>
      </c>
      <c r="J1400" s="48" t="n">
        <f aca="false">B1400*(IF($A1400&lt;$Q$1392,INDEX(Surface_Engine!$D$12:$D$72,$A1400+1)*(1+Assumptions!$B$24)+(Surface_Engine!L248*12)*INDEX(Surface_Engine!$F$12:$F$72,$A1400+1)-(Surface_Engine!L248*12),1000*12*INDEX(Surface_Engine!$C$12:$C$72,$A1400+1)/(1+Assumptions!$B$10)^13+INDEX(Surface_Engine!$D$12:$D$72,$A1400+1)*(1+Assumptions!$B$24)))*INDEX(Surface_Engine!$B$12:$B$72,$A1400+1)+J1401</f>
        <v>19848.4192105905</v>
      </c>
      <c r="K1400" s="12" t="n">
        <f aca="false">SQRT((IF(C1400&lt;=0,0,MAX(0,(B1400/C1400)*G1400/INDEX(Surface_Engine!$B$12:$B$72,$A1400+1)-F1400/INDEX(Surface_Engine!$B$12:$B$72,$A1400+1))))^2+(MAX(IF(D1400&lt;=0,0,MAX(0,(B1400/D1400)*H1400/INDEX(Surface_Engine!$B$12:$B$72,$A1400+1)-F1400/INDEX(Surface_Engine!$B$12:$B$72,$A1400+1))),IF(E1400&lt;=0,0,MAX(0,(B1400/E1400)*I1400/INDEX(Surface_Engine!$B$12:$B$72,$A1400+1)-F1400/INDEX(Surface_Engine!$B$12:$B$72,$A1400+1))),IF($A1400&lt;$Q$1392,MAX(0,-Assumptions!$B$22*(F1400/INDEX(Surface_Engine!$B$12:$B$72,$A1400+1))),0)))^2+(MAX(0,J1400/INDEX(Surface_Engine!$B$12:$B$72,$A1400+1)-(F1400/INDEX(Surface_Engine!$B$12:$B$72,$A1400+1))))^2+2*Assumptions!$B$26*(IF(C1400&lt;=0,0,MAX(0,(B1400/C1400)*G1400/INDEX(Surface_Engine!$B$12:$B$72,$A1400+1)-F1400/INDEX(Surface_Engine!$B$12:$B$72,$A1400+1))))*(MAX(IF(D1400&lt;=0,0,MAX(0,(B1400/D1400)*H1400/INDEX(Surface_Engine!$B$12:$B$72,$A1400+1)-F1400/INDEX(Surface_Engine!$B$12:$B$72,$A1400+1))),IF(E1400&lt;=0,0,MAX(0,(B1400/E1400)*I1400/INDEX(Surface_Engine!$B$12:$B$72,$A1400+1)-F1400/INDEX(Surface_Engine!$B$12:$B$72,$A1400+1))),IF($A1400&lt;$Q$1392,MAX(0,-Assumptions!$B$22*(F1400/INDEX(Surface_Engine!$B$12:$B$72,$A1400+1))),0)))+2*Assumptions!$B$27*(IF(C1400&lt;=0,0,MAX(0,(B1400/C1400)*G1400/INDEX(Surface_Engine!$B$12:$B$72,$A1400+1)-F1400/INDEX(Surface_Engine!$B$12:$B$72,$A1400+1))))*(MAX(0,J1400/INDEX(Surface_Engine!$B$12:$B$72,$A1400+1)-(F1400/INDEX(Surface_Engine!$B$12:$B$72,$A1400+1))))+2*Assumptions!$B$28*(MAX(IF(D1400&lt;=0,0,MAX(0,(B1400/D1400)*H1400/INDEX(Surface_Engine!$B$12:$B$72,$A1400+1)-F1400/INDEX(Surface_Engine!$B$12:$B$72,$A1400+1))),IF(E1400&lt;=0,0,MAX(0,(B1400/E1400)*I1400/INDEX(Surface_Engine!$B$12:$B$72,$A1400+1)-F1400/INDEX(Surface_Engine!$B$12:$B$72,$A1400+1))),IF($A1400&lt;$Q$1392,MAX(0,-Assumptions!$B$22*(F1400/INDEX(Surface_Engine!$B$12:$B$72,$A1400+1))),0)))*(MAX(0,J1400/INDEX(Surface_Engine!$B$12:$B$72,$A1400+1)-(F1400/INDEX(Surface_Engine!$B$12:$B$72,$A1400+1)))))</f>
        <v>9232.45469888397</v>
      </c>
      <c r="L1400" s="48" t="n">
        <f aca="false">K1400*INDEX(Surface_Engine!$B$12:$B$72,$A1400+1)+L1401</f>
        <v>89863.3280676494</v>
      </c>
      <c r="M1400" s="48" t="n">
        <f aca="false">M1399+B1399*(IF($A1399&lt;$Q$1392,(Surface_Engine!L248*12)-(Surface_Engine!L248*12)*INDEX(Surface_Engine!$F$12:$F$72,$A1399+1)-INDEX(Surface_Engine!$D$12:$D$72,$A1399+1),-(1000*12*INDEX(Surface_Engine!$C$12:$C$72,$A1399+1)/(1+Assumptions!$B$10)^13+INDEX(Surface_Engine!$D$12:$D$72,$A1399+1))))*INDEX(Surface_Engine!$B$12:$B$72,$A1399+1)</f>
        <v>21281.0153229674</v>
      </c>
      <c r="N1400" s="12" t="n">
        <f aca="false">IF(B1400&lt;=0,0,MAX(0,(K1400+Assumptions!$B$29*L1400/INDEX(Surface_Engine!$B$12:$B$72,$A1400+1)-(M1400/INDEX(Surface_Engine!$B$12:$B$72,$A1400+1)-(F1400/INDEX(Surface_Engine!$B$12:$B$72,$A1400+1))))/B1400))</f>
        <v>16981.6240069844</v>
      </c>
    </row>
    <row r="1401" customFormat="false" ht="15" hidden="false" customHeight="true" outlineLevel="0" collapsed="false">
      <c r="A1401" s="1" t="n">
        <v>7</v>
      </c>
      <c r="B1401" s="32" t="n">
        <f aca="false">INDEX(Surface_Engine!$S$12:$S$72,$A1401+1)*IF($A1401&lt;$Q$1392,INDEX(Surface_Engine!$E$12:$E$72,$A1401+1),INDEX(Surface_Engine!$E$12:$E$72,$Q$1392+1))</f>
        <v>0.785878988350536</v>
      </c>
      <c r="C1401" s="32" t="n">
        <f aca="false">INDEX(Panel_Reserving!$G$8:$G$68,$A1401+1)*IF($A1401&lt;$Q$1392,INDEX(Surface_Engine!$E$12:$E$72,$A1401+1),INDEX(Surface_Engine!$E$12:$E$72,$Q$1392+1))</f>
        <v>0.804963724578742</v>
      </c>
      <c r="D1401" s="32" t="n">
        <f aca="false">INDEX(Surface_Engine!$S$12:$S$72,$A1401+1)*IF($A1401&lt;$Q$1392,INDEX(Surface_Engine!$Y$12:$Y$72,$A1401+1),INDEX(Surface_Engine!$Y$12:$Y$72,$Q$1392+1))</f>
        <v>0.73861144805783</v>
      </c>
      <c r="E1401" s="32" t="n">
        <f aca="false">INDEX(Surface_Engine!$S$12:$S$72,$A1401+1)*IF($A1401&lt;$Q$1392,INDEX(Surface_Engine!$Z$12:$Z$72,$A1401+1),INDEX(Surface_Engine!$Z$12:$Z$72,$Q$1392+1))</f>
        <v>0.835545148604811</v>
      </c>
      <c r="F1401" s="48" t="n">
        <f aca="false">B1401*(IF($A1401&lt;$Q$1392,INDEX(Surface_Engine!$D$12:$D$72,$A1401+1)+(Surface_Engine!L248*12)*INDEX(Surface_Engine!$F$12:$F$72,$A1401+1)-(Surface_Engine!L248*12),1000*12*INDEX(Surface_Engine!$C$12:$C$72,$A1401+1)/(1+Assumptions!$B$10)^13+INDEX(Surface_Engine!$D$12:$D$72,$A1401+1)))*INDEX(Surface_Engine!$B$12:$B$72,$A1401+1)+F1402</f>
        <v>23343.5460637535</v>
      </c>
      <c r="G1401" s="48" t="n">
        <f aca="false">C1401*(IF($A1401&lt;$Q$1392,INDEX(Surface_Engine!$D$12:$D$72,$A1401+1)+(Surface_Engine!L248*12)*INDEX(Surface_Engine!$F$12:$F$72,$A1401+1)-(Surface_Engine!L248*12),1000*12*INDEX(Surface_Engine!$C$12:$C$72,$A1401+1)/(1+Assumptions!$B$10)^13+INDEX(Surface_Engine!$D$12:$D$72,$A1401+1)))*INDEX(Surface_Engine!$B$12:$B$72,$A1401+1)+G1402</f>
        <v>31454.429309172</v>
      </c>
      <c r="H1401" s="48" t="n">
        <f aca="false">D1401*(IF($A1401&lt;$Q$1392,INDEX(Surface_Engine!$D$12:$D$72,$A1401+1)+(Surface_Engine!L248*12)*INDEX(Surface_Engine!$F$12:$F$72,$A1401+1)-(Surface_Engine!L248*12),1000*12*INDEX(Surface_Engine!$C$12:$C$72,$A1401+1)/(1+Assumptions!$B$10)^13+INDEX(Surface_Engine!$D$12:$D$72,$A1401+1)))*INDEX(Surface_Engine!$B$12:$B$72,$A1401+1)+H1402</f>
        <v>21074.5233989343</v>
      </c>
      <c r="I1401" s="48" t="n">
        <f aca="false">E1401*(IF($A1401&lt;$Q$1392,INDEX(Surface_Engine!$D$12:$D$72,$A1401+1)+(Surface_Engine!L248*12)*INDEX(Surface_Engine!$F$12:$F$72,$A1401+1)-(Surface_Engine!L248*12),1000*12*INDEX(Surface_Engine!$C$12:$C$72,$A1401+1)/(1+Assumptions!$B$10)^13+INDEX(Surface_Engine!$D$12:$D$72,$A1401+1)))*INDEX(Surface_Engine!$B$12:$B$72,$A1401+1)+I1402</f>
        <v>25822.2116282182</v>
      </c>
      <c r="J1401" s="48" t="n">
        <f aca="false">B1401*(IF($A1401&lt;$Q$1392,INDEX(Surface_Engine!$D$12:$D$72,$A1401+1)*(1+Assumptions!$B$24)+(Surface_Engine!L248*12)*INDEX(Surface_Engine!$F$12:$F$72,$A1401+1)-(Surface_Engine!L248*12),1000*12*INDEX(Surface_Engine!$C$12:$C$72,$A1401+1)/(1+Assumptions!$B$10)^13+INDEX(Surface_Engine!$D$12:$D$72,$A1401+1)*(1+Assumptions!$B$24)))*INDEX(Surface_Engine!$B$12:$B$72,$A1401+1)+J1402</f>
        <v>23415.890218667</v>
      </c>
      <c r="K1401" s="12" t="n">
        <f aca="false">SQRT((IF(C1401&lt;=0,0,MAX(0,(B1401/C1401)*G1401/INDEX(Surface_Engine!$B$12:$B$72,$A1401+1)-F1401/INDEX(Surface_Engine!$B$12:$B$72,$A1401+1))))^2+(MAX(IF(D1401&lt;=0,0,MAX(0,(B1401/D1401)*H1401/INDEX(Surface_Engine!$B$12:$B$72,$A1401+1)-F1401/INDEX(Surface_Engine!$B$12:$B$72,$A1401+1))),IF(E1401&lt;=0,0,MAX(0,(B1401/E1401)*I1401/INDEX(Surface_Engine!$B$12:$B$72,$A1401+1)-F1401/INDEX(Surface_Engine!$B$12:$B$72,$A1401+1))),IF($A1401&lt;$Q$1392,MAX(0,-Assumptions!$B$22*(F1401/INDEX(Surface_Engine!$B$12:$B$72,$A1401+1))),0)))^2+(MAX(0,J1401/INDEX(Surface_Engine!$B$12:$B$72,$A1401+1)-(F1401/INDEX(Surface_Engine!$B$12:$B$72,$A1401+1))))^2+2*Assumptions!$B$26*(IF(C1401&lt;=0,0,MAX(0,(B1401/C1401)*G1401/INDEX(Surface_Engine!$B$12:$B$72,$A1401+1)-F1401/INDEX(Surface_Engine!$B$12:$B$72,$A1401+1))))*(MAX(IF(D1401&lt;=0,0,MAX(0,(B1401/D1401)*H1401/INDEX(Surface_Engine!$B$12:$B$72,$A1401+1)-F1401/INDEX(Surface_Engine!$B$12:$B$72,$A1401+1))),IF(E1401&lt;=0,0,MAX(0,(B1401/E1401)*I1401/INDEX(Surface_Engine!$B$12:$B$72,$A1401+1)-F1401/INDEX(Surface_Engine!$B$12:$B$72,$A1401+1))),IF($A1401&lt;$Q$1392,MAX(0,-Assumptions!$B$22*(F1401/INDEX(Surface_Engine!$B$12:$B$72,$A1401+1))),0)))+2*Assumptions!$B$27*(IF(C1401&lt;=0,0,MAX(0,(B1401/C1401)*G1401/INDEX(Surface_Engine!$B$12:$B$72,$A1401+1)-F1401/INDEX(Surface_Engine!$B$12:$B$72,$A1401+1))))*(MAX(0,J1401/INDEX(Surface_Engine!$B$12:$B$72,$A1401+1)-(F1401/INDEX(Surface_Engine!$B$12:$B$72,$A1401+1))))+2*Assumptions!$B$28*(MAX(IF(D1401&lt;=0,0,MAX(0,(B1401/D1401)*H1401/INDEX(Surface_Engine!$B$12:$B$72,$A1401+1)-F1401/INDEX(Surface_Engine!$B$12:$B$72,$A1401+1))),IF(E1401&lt;=0,0,MAX(0,(B1401/E1401)*I1401/INDEX(Surface_Engine!$B$12:$B$72,$A1401+1)-F1401/INDEX(Surface_Engine!$B$12:$B$72,$A1401+1))),IF($A1401&lt;$Q$1392,MAX(0,-Assumptions!$B$22*(F1401/INDEX(Surface_Engine!$B$12:$B$72,$A1401+1))),0)))*(MAX(0,J1401/INDEX(Surface_Engine!$B$12:$B$72,$A1401+1)-(F1401/INDEX(Surface_Engine!$B$12:$B$72,$A1401+1)))))</f>
        <v>9283.66161081429</v>
      </c>
      <c r="L1401" s="48" t="n">
        <f aca="false">K1401*INDEX(Surface_Engine!$B$12:$B$72,$A1401+1)+L1402</f>
        <v>81997.5390620708</v>
      </c>
      <c r="M1401" s="48" t="n">
        <f aca="false">M1400+B1400*(IF($A1400&lt;$Q$1392,(Surface_Engine!L248*12)-(Surface_Engine!L248*12)*INDEX(Surface_Engine!$F$12:$F$72,$A1400+1)-INDEX(Surface_Engine!$D$12:$D$72,$A1400+1),-(1000*12*INDEX(Surface_Engine!$C$12:$C$72,$A1400+1)/(1+Assumptions!$B$10)^13+INDEX(Surface_Engine!$D$12:$D$72,$A1400+1))))*INDEX(Surface_Engine!$B$12:$B$72,$A1400+1)</f>
        <v>24855.0639761449</v>
      </c>
      <c r="N1401" s="12" t="n">
        <f aca="false">IF(B1401&lt;=0,0,MAX(0,(K1401+Assumptions!$B$29*L1401/INDEX(Surface_Engine!$B$12:$B$72,$A1401+1)-(M1401/INDEX(Surface_Engine!$B$12:$B$72,$A1401+1)-(F1401/INDEX(Surface_Engine!$B$12:$B$72,$A1401+1))))/B1401))</f>
        <v>17057.0526574963</v>
      </c>
    </row>
    <row r="1402" customFormat="false" ht="15" hidden="false" customHeight="true" outlineLevel="0" collapsed="false">
      <c r="A1402" s="1" t="n">
        <v>8</v>
      </c>
      <c r="B1402" s="32" t="n">
        <f aca="false">INDEX(Surface_Engine!$S$12:$S$72,$A1402+1)*IF($A1402&lt;$Q$1392,INDEX(Surface_Engine!$E$12:$E$72,$A1402+1),INDEX(Surface_Engine!$E$12:$E$72,$Q$1392+1))</f>
        <v>0.758538721210434</v>
      </c>
      <c r="C1402" s="32" t="n">
        <f aca="false">INDEX(Panel_Reserving!$G$8:$G$68,$A1402+1)*IF($A1402&lt;$Q$1392,INDEX(Surface_Engine!$E$12:$E$72,$A1402+1),INDEX(Surface_Engine!$E$12:$E$72,$Q$1392+1))</f>
        <v>0.7810953195016</v>
      </c>
      <c r="D1402" s="32" t="n">
        <f aca="false">INDEX(Surface_Engine!$S$12:$S$72,$A1402+1)*IF($A1402&lt;$Q$1392,INDEX(Surface_Engine!$Y$12:$Y$72,$A1402+1),INDEX(Surface_Engine!$Y$12:$Y$72,$Q$1392+1))</f>
        <v>0.709642035513705</v>
      </c>
      <c r="E1402" s="32" t="n">
        <f aca="false">INDEX(Surface_Engine!$S$12:$S$72,$A1402+1)*IF($A1402&lt;$Q$1392,INDEX(Surface_Engine!$Z$12:$Z$72,$A1402+1),INDEX(Surface_Engine!$Z$12:$Z$72,$Q$1392+1))</f>
        <v>0.810180194306114</v>
      </c>
      <c r="F1402" s="48" t="n">
        <f aca="false">B1402*(IF($A1402&lt;$Q$1392,INDEX(Surface_Engine!$D$12:$D$72,$A1402+1)+(Surface_Engine!L248*12)*INDEX(Surface_Engine!$F$12:$F$72,$A1402+1)-(Surface_Engine!L248*12),1000*12*INDEX(Surface_Engine!$C$12:$C$72,$A1402+1)/(1+Assumptions!$B$10)^13+INDEX(Surface_Engine!$D$12:$D$72,$A1402+1)))*INDEX(Surface_Engine!$B$12:$B$72,$A1402+1)+F1403</f>
        <v>26700.3816257987</v>
      </c>
      <c r="G1402" s="48" t="n">
        <f aca="false">C1402*(IF($A1402&lt;$Q$1392,INDEX(Surface_Engine!$D$12:$D$72,$A1402+1)+(Surface_Engine!L248*12)*INDEX(Surface_Engine!$F$12:$F$72,$A1402+1)-(Surface_Engine!L248*12),1000*12*INDEX(Surface_Engine!$C$12:$C$72,$A1402+1)/(1+Assumptions!$B$10)^13+INDEX(Surface_Engine!$D$12:$D$72,$A1402+1)))*INDEX(Surface_Engine!$B$12:$B$72,$A1402+1)+G1403</f>
        <v>34892.7841918923</v>
      </c>
      <c r="H1402" s="48" t="n">
        <f aca="false">D1402*(IF($A1402&lt;$Q$1392,INDEX(Surface_Engine!$D$12:$D$72,$A1402+1)+(Surface_Engine!L248*12)*INDEX(Surface_Engine!$F$12:$F$72,$A1402+1)-(Surface_Engine!L248*12),1000*12*INDEX(Surface_Engine!$C$12:$C$72,$A1402+1)/(1+Assumptions!$B$10)^13+INDEX(Surface_Engine!$D$12:$D$72,$A1402+1)))*INDEX(Surface_Engine!$B$12:$B$72,$A1402+1)+H1403</f>
        <v>24229.458461619</v>
      </c>
      <c r="I1402" s="48" t="n">
        <f aca="false">E1402*(IF($A1402&lt;$Q$1392,INDEX(Surface_Engine!$D$12:$D$72,$A1402+1)+(Surface_Engine!L248*12)*INDEX(Surface_Engine!$F$12:$F$72,$A1402+1)-(Surface_Engine!L248*12),1000*12*INDEX(Surface_Engine!$C$12:$C$72,$A1402+1)/(1+Assumptions!$B$10)^13+INDEX(Surface_Engine!$D$12:$D$72,$A1402+1)))*INDEX(Surface_Engine!$B$12:$B$72,$A1402+1)+I1403</f>
        <v>29391.1932527529</v>
      </c>
      <c r="J1402" s="48" t="n">
        <f aca="false">B1402*(IF($A1402&lt;$Q$1392,INDEX(Surface_Engine!$D$12:$D$72,$A1402+1)*(1+Assumptions!$B$24)+(Surface_Engine!L248*12)*INDEX(Surface_Engine!$F$12:$F$72,$A1402+1)-(Surface_Engine!L248*12),1000*12*INDEX(Surface_Engine!$C$12:$C$72,$A1402+1)/(1+Assumptions!$B$10)^13+INDEX(Surface_Engine!$D$12:$D$72,$A1402+1)*(1+Assumptions!$B$24)))*INDEX(Surface_Engine!$B$12:$B$72,$A1402+1)+J1403</f>
        <v>26766.3905304769</v>
      </c>
      <c r="K1402" s="12" t="n">
        <f aca="false">SQRT((IF(C1402&lt;=0,0,MAX(0,(B1402/C1402)*G1402/INDEX(Surface_Engine!$B$12:$B$72,$A1402+1)-F1402/INDEX(Surface_Engine!$B$12:$B$72,$A1402+1))))^2+(MAX(IF(D1402&lt;=0,0,MAX(0,(B1402/D1402)*H1402/INDEX(Surface_Engine!$B$12:$B$72,$A1402+1)-F1402/INDEX(Surface_Engine!$B$12:$B$72,$A1402+1))),IF(E1402&lt;=0,0,MAX(0,(B1402/E1402)*I1402/INDEX(Surface_Engine!$B$12:$B$72,$A1402+1)-F1402/INDEX(Surface_Engine!$B$12:$B$72,$A1402+1))),IF($A1402&lt;$Q$1392,MAX(0,-Assumptions!$B$22*(F1402/INDEX(Surface_Engine!$B$12:$B$72,$A1402+1))),0)))^2+(MAX(0,J1402/INDEX(Surface_Engine!$B$12:$B$72,$A1402+1)-(F1402/INDEX(Surface_Engine!$B$12:$B$72,$A1402+1))))^2+2*Assumptions!$B$26*(IF(C1402&lt;=0,0,MAX(0,(B1402/C1402)*G1402/INDEX(Surface_Engine!$B$12:$B$72,$A1402+1)-F1402/INDEX(Surface_Engine!$B$12:$B$72,$A1402+1))))*(MAX(IF(D1402&lt;=0,0,MAX(0,(B1402/D1402)*H1402/INDEX(Surface_Engine!$B$12:$B$72,$A1402+1)-F1402/INDEX(Surface_Engine!$B$12:$B$72,$A1402+1))),IF(E1402&lt;=0,0,MAX(0,(B1402/E1402)*I1402/INDEX(Surface_Engine!$B$12:$B$72,$A1402+1)-F1402/INDEX(Surface_Engine!$B$12:$B$72,$A1402+1))),IF($A1402&lt;$Q$1392,MAX(0,-Assumptions!$B$22*(F1402/INDEX(Surface_Engine!$B$12:$B$72,$A1402+1))),0)))+2*Assumptions!$B$27*(IF(C1402&lt;=0,0,MAX(0,(B1402/C1402)*G1402/INDEX(Surface_Engine!$B$12:$B$72,$A1402+1)-F1402/INDEX(Surface_Engine!$B$12:$B$72,$A1402+1))))*(MAX(0,J1402/INDEX(Surface_Engine!$B$12:$B$72,$A1402+1)-(F1402/INDEX(Surface_Engine!$B$12:$B$72,$A1402+1))))+2*Assumptions!$B$28*(MAX(IF(D1402&lt;=0,0,MAX(0,(B1402/D1402)*H1402/INDEX(Surface_Engine!$B$12:$B$72,$A1402+1)-F1402/INDEX(Surface_Engine!$B$12:$B$72,$A1402+1))),IF(E1402&lt;=0,0,MAX(0,(B1402/E1402)*I1402/INDEX(Surface_Engine!$B$12:$B$72,$A1402+1)-F1402/INDEX(Surface_Engine!$B$12:$B$72,$A1402+1))),IF($A1402&lt;$Q$1392,MAX(0,-Assumptions!$B$22*(F1402/INDEX(Surface_Engine!$B$12:$B$72,$A1402+1))),0)))*(MAX(0,J1402/INDEX(Surface_Engine!$B$12:$B$72,$A1402+1)-(F1402/INDEX(Surface_Engine!$B$12:$B$72,$A1402+1)))))</f>
        <v>9291.91349299717</v>
      </c>
      <c r="L1402" s="48" t="n">
        <f aca="false">K1402*INDEX(Surface_Engine!$B$12:$B$72,$A1402+1)+L1403</f>
        <v>74319.5676947363</v>
      </c>
      <c r="M1402" s="48" t="n">
        <f aca="false">M1401+B1401*(IF($A1401&lt;$Q$1392,(Surface_Engine!L248*12)-(Surface_Engine!L248*12)*INDEX(Surface_Engine!$F$12:$F$72,$A1401+1)-INDEX(Surface_Engine!$D$12:$D$72,$A1401+1),-(1000*12*INDEX(Surface_Engine!$C$12:$C$72,$A1401+1)/(1+Assumptions!$B$10)^13+INDEX(Surface_Engine!$D$12:$D$72,$A1401+1))))*INDEX(Surface_Engine!$B$12:$B$72,$A1401+1)</f>
        <v>28211.8995381901</v>
      </c>
      <c r="N1402" s="12" t="n">
        <f aca="false">IF(B1402&lt;=0,0,MAX(0,(K1402+Assumptions!$B$29*L1402/INDEX(Surface_Engine!$B$12:$B$72,$A1402+1)-(M1402/INDEX(Surface_Engine!$B$12:$B$72,$A1402+1)-(F1402/INDEX(Surface_Engine!$B$12:$B$72,$A1402+1))))/B1402))</f>
        <v>17095.6766458505</v>
      </c>
    </row>
    <row r="1403" customFormat="false" ht="15" hidden="false" customHeight="true" outlineLevel="0" collapsed="false">
      <c r="A1403" s="1" t="n">
        <v>9</v>
      </c>
      <c r="B1403" s="32" t="n">
        <f aca="false">INDEX(Surface_Engine!$S$12:$S$72,$A1403+1)*IF($A1403&lt;$Q$1392,INDEX(Surface_Engine!$E$12:$E$72,$A1403+1),INDEX(Surface_Engine!$E$12:$E$72,$Q$1392+1))</f>
        <v>0.729031557959189</v>
      </c>
      <c r="C1403" s="32" t="n">
        <f aca="false">INDEX(Panel_Reserving!$G$8:$G$68,$A1403+1)*IF($A1403&lt;$Q$1392,INDEX(Surface_Engine!$E$12:$E$72,$A1403+1),INDEX(Surface_Engine!$E$12:$E$72,$Q$1392+1))</f>
        <v>0.755366033913855</v>
      </c>
      <c r="D1403" s="32" t="n">
        <f aca="false">INDEX(Surface_Engine!$S$12:$S$72,$A1403+1)*IF($A1403&lt;$Q$1392,INDEX(Surface_Engine!$Y$12:$Y$72,$A1403+1),INDEX(Surface_Engine!$Y$12:$Y$72,$Q$1392+1))</f>
        <v>0.678905186565601</v>
      </c>
      <c r="E1403" s="32" t="n">
        <f aca="false">INDEX(Surface_Engine!$S$12:$S$72,$A1403+1)*IF($A1403&lt;$Q$1392,INDEX(Surface_Engine!$Z$12:$Z$72,$A1403+1),INDEX(Surface_Engine!$Z$12:$Z$72,$Q$1392+1))</f>
        <v>0.782239635955743</v>
      </c>
      <c r="F1403" s="48" t="n">
        <f aca="false">B1403*(IF($A1403&lt;$Q$1392,INDEX(Surface_Engine!$D$12:$D$72,$A1403+1)+(Surface_Engine!L248*12)*INDEX(Surface_Engine!$F$12:$F$72,$A1403+1)-(Surface_Engine!L248*12),1000*12*INDEX(Surface_Engine!$C$12:$C$72,$A1403+1)/(1+Assumptions!$B$10)^13+INDEX(Surface_Engine!$D$12:$D$72,$A1403+1)))*INDEX(Surface_Engine!$B$12:$B$72,$A1403+1)+F1404</f>
        <v>29840.4758562651</v>
      </c>
      <c r="G1403" s="48" t="n">
        <f aca="false">C1403*(IF($A1403&lt;$Q$1392,INDEX(Surface_Engine!$D$12:$D$72,$A1403+1)+(Surface_Engine!L248*12)*INDEX(Surface_Engine!$F$12:$F$72,$A1403+1)-(Surface_Engine!L248*12),1000*12*INDEX(Surface_Engine!$C$12:$C$72,$A1403+1)/(1+Assumptions!$B$10)^13+INDEX(Surface_Engine!$D$12:$D$72,$A1403+1)))*INDEX(Surface_Engine!$B$12:$B$72,$A1403+1)+G1404</f>
        <v>38126.2551243944</v>
      </c>
      <c r="H1403" s="48" t="n">
        <f aca="false">D1403*(IF($A1403&lt;$Q$1392,INDEX(Surface_Engine!$D$12:$D$72,$A1403+1)+(Surface_Engine!L248*12)*INDEX(Surface_Engine!$F$12:$F$72,$A1403+1)-(Surface_Engine!L248*12),1000*12*INDEX(Surface_Engine!$C$12:$C$72,$A1403+1)/(1+Assumptions!$B$10)^13+INDEX(Surface_Engine!$D$12:$D$72,$A1403+1)))*INDEX(Surface_Engine!$B$12:$B$72,$A1403+1)+H1404</f>
        <v>27167.1369203496</v>
      </c>
      <c r="I1403" s="48" t="n">
        <f aca="false">E1403*(IF($A1403&lt;$Q$1392,INDEX(Surface_Engine!$D$12:$D$72,$A1403+1)+(Surface_Engine!L248*12)*INDEX(Surface_Engine!$F$12:$F$72,$A1403+1)-(Surface_Engine!L248*12),1000*12*INDEX(Surface_Engine!$C$12:$C$72,$A1403+1)/(1+Assumptions!$B$10)^13+INDEX(Surface_Engine!$D$12:$D$72,$A1403+1)))*INDEX(Surface_Engine!$B$12:$B$72,$A1403+1)+I1404</f>
        <v>32745.0657481729</v>
      </c>
      <c r="J1403" s="48" t="n">
        <f aca="false">B1403*(IF($A1403&lt;$Q$1392,INDEX(Surface_Engine!$D$12:$D$72,$A1403+1)*(1+Assumptions!$B$24)+(Surface_Engine!L248*12)*INDEX(Surface_Engine!$F$12:$F$72,$A1403+1)-(Surface_Engine!L248*12),1000*12*INDEX(Surface_Engine!$C$12:$C$72,$A1403+1)/(1+Assumptions!$B$10)^13+INDEX(Surface_Engine!$D$12:$D$72,$A1403+1)*(1+Assumptions!$B$24)))*INDEX(Surface_Engine!$B$12:$B$72,$A1403+1)+J1404</f>
        <v>29900.4075374433</v>
      </c>
      <c r="K1403" s="12" t="n">
        <f aca="false">SQRT((IF(C1403&lt;=0,0,MAX(0,(B1403/C1403)*G1403/INDEX(Surface_Engine!$B$12:$B$72,$A1403+1)-F1403/INDEX(Surface_Engine!$B$12:$B$72,$A1403+1))))^2+(MAX(IF(D1403&lt;=0,0,MAX(0,(B1403/D1403)*H1403/INDEX(Surface_Engine!$B$12:$B$72,$A1403+1)-F1403/INDEX(Surface_Engine!$B$12:$B$72,$A1403+1))),IF(E1403&lt;=0,0,MAX(0,(B1403/E1403)*I1403/INDEX(Surface_Engine!$B$12:$B$72,$A1403+1)-F1403/INDEX(Surface_Engine!$B$12:$B$72,$A1403+1))),IF($A1403&lt;$Q$1392,MAX(0,-Assumptions!$B$22*(F1403/INDEX(Surface_Engine!$B$12:$B$72,$A1403+1))),0)))^2+(MAX(0,J1403/INDEX(Surface_Engine!$B$12:$B$72,$A1403+1)-(F1403/INDEX(Surface_Engine!$B$12:$B$72,$A1403+1))))^2+2*Assumptions!$B$26*(IF(C1403&lt;=0,0,MAX(0,(B1403/C1403)*G1403/INDEX(Surface_Engine!$B$12:$B$72,$A1403+1)-F1403/INDEX(Surface_Engine!$B$12:$B$72,$A1403+1))))*(MAX(IF(D1403&lt;=0,0,MAX(0,(B1403/D1403)*H1403/INDEX(Surface_Engine!$B$12:$B$72,$A1403+1)-F1403/INDEX(Surface_Engine!$B$12:$B$72,$A1403+1))),IF(E1403&lt;=0,0,MAX(0,(B1403/E1403)*I1403/INDEX(Surface_Engine!$B$12:$B$72,$A1403+1)-F1403/INDEX(Surface_Engine!$B$12:$B$72,$A1403+1))),IF($A1403&lt;$Q$1392,MAX(0,-Assumptions!$B$22*(F1403/INDEX(Surface_Engine!$B$12:$B$72,$A1403+1))),0)))+2*Assumptions!$B$27*(IF(C1403&lt;=0,0,MAX(0,(B1403/C1403)*G1403/INDEX(Surface_Engine!$B$12:$B$72,$A1403+1)-F1403/INDEX(Surface_Engine!$B$12:$B$72,$A1403+1))))*(MAX(0,J1403/INDEX(Surface_Engine!$B$12:$B$72,$A1403+1)-(F1403/INDEX(Surface_Engine!$B$12:$B$72,$A1403+1))))+2*Assumptions!$B$28*(MAX(IF(D1403&lt;=0,0,MAX(0,(B1403/D1403)*H1403/INDEX(Surface_Engine!$B$12:$B$72,$A1403+1)-F1403/INDEX(Surface_Engine!$B$12:$B$72,$A1403+1))),IF(E1403&lt;=0,0,MAX(0,(B1403/E1403)*I1403/INDEX(Surface_Engine!$B$12:$B$72,$A1403+1)-F1403/INDEX(Surface_Engine!$B$12:$B$72,$A1403+1))),IF($A1403&lt;$Q$1392,MAX(0,-Assumptions!$B$22*(F1403/INDEX(Surface_Engine!$B$12:$B$72,$A1403+1))),0)))*(MAX(0,J1403/INDEX(Surface_Engine!$B$12:$B$72,$A1403+1)-(F1403/INDEX(Surface_Engine!$B$12:$B$72,$A1403+1)))))</f>
        <v>9235.57134336365</v>
      </c>
      <c r="L1403" s="48" t="n">
        <f aca="false">K1403*INDEX(Surface_Engine!$B$12:$B$72,$A1403+1)+L1404</f>
        <v>66868.3399832567</v>
      </c>
      <c r="M1403" s="48" t="n">
        <f aca="false">M1402+B1402*(IF($A1402&lt;$Q$1392,(Surface_Engine!L248*12)-(Surface_Engine!L248*12)*INDEX(Surface_Engine!$F$12:$F$72,$A1402+1)-INDEX(Surface_Engine!$D$12:$D$72,$A1402+1),-(1000*12*INDEX(Surface_Engine!$C$12:$C$72,$A1402+1)/(1+Assumptions!$B$10)^13+INDEX(Surface_Engine!$D$12:$D$72,$A1402+1))))*INDEX(Surface_Engine!$B$12:$B$72,$A1402+1)</f>
        <v>31351.9937686565</v>
      </c>
      <c r="N1403" s="12" t="n">
        <f aca="false">IF(B1403&lt;=0,0,MAX(0,(K1403+Assumptions!$B$29*L1403/INDEX(Surface_Engine!$B$12:$B$72,$A1403+1)-(M1403/INDEX(Surface_Engine!$B$12:$B$72,$A1403+1)-(F1403/INDEX(Surface_Engine!$B$12:$B$72,$A1403+1))))/B1403))</f>
        <v>17084.176582456</v>
      </c>
    </row>
    <row r="1404" customFormat="false" ht="15" hidden="false" customHeight="true" outlineLevel="0" collapsed="false">
      <c r="A1404" s="1" t="n">
        <v>10</v>
      </c>
      <c r="B1404" s="32" t="n">
        <f aca="false">INDEX(Surface_Engine!$S$12:$S$72,$A1404+1)*IF($A1404&lt;$Q$1392,INDEX(Surface_Engine!$E$12:$E$72,$A1404+1),INDEX(Surface_Engine!$E$12:$E$72,$Q$1392+1))</f>
        <v>0.698015555924715</v>
      </c>
      <c r="C1404" s="32" t="n">
        <f aca="false">INDEX(Panel_Reserving!$G$8:$G$68,$A1404+1)*IF($A1404&lt;$Q$1392,INDEX(Surface_Engine!$E$12:$E$72,$A1404+1),INDEX(Surface_Engine!$E$12:$E$72,$Q$1392+1))</f>
        <v>0.7282821645375</v>
      </c>
      <c r="D1404" s="32" t="n">
        <f aca="false">INDEX(Surface_Engine!$S$12:$S$72,$A1404+1)*IF($A1404&lt;$Q$1392,INDEX(Surface_Engine!$Y$12:$Y$72,$A1404+1),INDEX(Surface_Engine!$Y$12:$Y$72,$Q$1392+1))</f>
        <v>0.647037006254977</v>
      </c>
      <c r="E1404" s="32" t="n">
        <f aca="false">INDEX(Surface_Engine!$S$12:$S$72,$A1404+1)*IF($A1404&lt;$Q$1392,INDEX(Surface_Engine!$Z$12:$Z$72,$A1404+1),INDEX(Surface_Engine!$Z$12:$Z$72,$Q$1392+1))</f>
        <v>0.752399006579259</v>
      </c>
      <c r="F1404" s="48" t="n">
        <f aca="false">B1404*(IF($A1404&lt;$Q$1392,INDEX(Surface_Engine!$D$12:$D$72,$A1404+1)+(Surface_Engine!L248*12)*INDEX(Surface_Engine!$F$12:$F$72,$A1404+1)-(Surface_Engine!L248*12),1000*12*INDEX(Surface_Engine!$C$12:$C$72,$A1404+1)/(1+Assumptions!$B$10)^13+INDEX(Surface_Engine!$D$12:$D$72,$A1404+1)))*INDEX(Surface_Engine!$B$12:$B$72,$A1404+1)+F1405</f>
        <v>32762.2977802242</v>
      </c>
      <c r="G1404" s="48" t="n">
        <f aca="false">C1404*(IF($A1404&lt;$Q$1392,INDEX(Surface_Engine!$D$12:$D$72,$A1404+1)+(Surface_Engine!L248*12)*INDEX(Surface_Engine!$F$12:$F$72,$A1404+1)-(Surface_Engine!L248*12),1000*12*INDEX(Surface_Engine!$C$12:$C$72,$A1404+1)/(1+Assumptions!$B$10)^13+INDEX(Surface_Engine!$D$12:$D$72,$A1404+1)))*INDEX(Surface_Engine!$B$12:$B$72,$A1404+1)+G1405</f>
        <v>41153.6206950726</v>
      </c>
      <c r="H1404" s="48" t="n">
        <f aca="false">D1404*(IF($A1404&lt;$Q$1392,INDEX(Surface_Engine!$D$12:$D$72,$A1404+1)+(Surface_Engine!L248*12)*INDEX(Surface_Engine!$F$12:$F$72,$A1404+1)-(Surface_Engine!L248*12),1000*12*INDEX(Surface_Engine!$C$12:$C$72,$A1404+1)/(1+Assumptions!$B$10)^13+INDEX(Surface_Engine!$D$12:$D$72,$A1404+1)))*INDEX(Surface_Engine!$B$12:$B$72,$A1404+1)+H1405</f>
        <v>29888.0617373079</v>
      </c>
      <c r="I1404" s="48" t="n">
        <f aca="false">E1404*(IF($A1404&lt;$Q$1392,INDEX(Surface_Engine!$D$12:$D$72,$A1404+1)+(Surface_Engine!L248*12)*INDEX(Surface_Engine!$F$12:$F$72,$A1404+1)-(Surface_Engine!L248*12),1000*12*INDEX(Surface_Engine!$C$12:$C$72,$A1404+1)/(1+Assumptions!$B$10)^13+INDEX(Surface_Engine!$D$12:$D$72,$A1404+1)))*INDEX(Surface_Engine!$B$12:$B$72,$A1404+1)+I1405</f>
        <v>35880.13568194</v>
      </c>
      <c r="J1404" s="48" t="n">
        <f aca="false">B1404*(IF($A1404&lt;$Q$1392,INDEX(Surface_Engine!$D$12:$D$72,$A1404+1)*(1+Assumptions!$B$24)+(Surface_Engine!L248*12)*INDEX(Surface_Engine!$F$12:$F$72,$A1404+1)-(Surface_Engine!L248*12),1000*12*INDEX(Surface_Engine!$C$12:$C$72,$A1404+1)/(1+Assumptions!$B$10)^13+INDEX(Surface_Engine!$D$12:$D$72,$A1404+1)*(1+Assumptions!$B$24)))*INDEX(Surface_Engine!$B$12:$B$72,$A1404+1)+J1405</f>
        <v>32816.4304986828</v>
      </c>
      <c r="K1404" s="12" t="n">
        <f aca="false">SQRT((IF(C1404&lt;=0,0,MAX(0,(B1404/C1404)*G1404/INDEX(Surface_Engine!$B$12:$B$72,$A1404+1)-F1404/INDEX(Surface_Engine!$B$12:$B$72,$A1404+1))))^2+(MAX(IF(D1404&lt;=0,0,MAX(0,(B1404/D1404)*H1404/INDEX(Surface_Engine!$B$12:$B$72,$A1404+1)-F1404/INDEX(Surface_Engine!$B$12:$B$72,$A1404+1))),IF(E1404&lt;=0,0,MAX(0,(B1404/E1404)*I1404/INDEX(Surface_Engine!$B$12:$B$72,$A1404+1)-F1404/INDEX(Surface_Engine!$B$12:$B$72,$A1404+1))),IF($A1404&lt;$Q$1392,MAX(0,-Assumptions!$B$22*(F1404/INDEX(Surface_Engine!$B$12:$B$72,$A1404+1))),0)))^2+(MAX(0,J1404/INDEX(Surface_Engine!$B$12:$B$72,$A1404+1)-(F1404/INDEX(Surface_Engine!$B$12:$B$72,$A1404+1))))^2+2*Assumptions!$B$26*(IF(C1404&lt;=0,0,MAX(0,(B1404/C1404)*G1404/INDEX(Surface_Engine!$B$12:$B$72,$A1404+1)-F1404/INDEX(Surface_Engine!$B$12:$B$72,$A1404+1))))*(MAX(IF(D1404&lt;=0,0,MAX(0,(B1404/D1404)*H1404/INDEX(Surface_Engine!$B$12:$B$72,$A1404+1)-F1404/INDEX(Surface_Engine!$B$12:$B$72,$A1404+1))),IF(E1404&lt;=0,0,MAX(0,(B1404/E1404)*I1404/INDEX(Surface_Engine!$B$12:$B$72,$A1404+1)-F1404/INDEX(Surface_Engine!$B$12:$B$72,$A1404+1))),IF($A1404&lt;$Q$1392,MAX(0,-Assumptions!$B$22*(F1404/INDEX(Surface_Engine!$B$12:$B$72,$A1404+1))),0)))+2*Assumptions!$B$27*(IF(C1404&lt;=0,0,MAX(0,(B1404/C1404)*G1404/INDEX(Surface_Engine!$B$12:$B$72,$A1404+1)-F1404/INDEX(Surface_Engine!$B$12:$B$72,$A1404+1))))*(MAX(0,J1404/INDEX(Surface_Engine!$B$12:$B$72,$A1404+1)-(F1404/INDEX(Surface_Engine!$B$12:$B$72,$A1404+1))))+2*Assumptions!$B$28*(MAX(IF(D1404&lt;=0,0,MAX(0,(B1404/D1404)*H1404/INDEX(Surface_Engine!$B$12:$B$72,$A1404+1)-F1404/INDEX(Surface_Engine!$B$12:$B$72,$A1404+1))),IF(E1404&lt;=0,0,MAX(0,(B1404/E1404)*I1404/INDEX(Surface_Engine!$B$12:$B$72,$A1404+1)-F1404/INDEX(Surface_Engine!$B$12:$B$72,$A1404+1))),IF($A1404&lt;$Q$1392,MAX(0,-Assumptions!$B$22*(F1404/INDEX(Surface_Engine!$B$12:$B$72,$A1404+1))),0)))*(MAX(0,J1404/INDEX(Surface_Engine!$B$12:$B$72,$A1404+1)-(F1404/INDEX(Surface_Engine!$B$12:$B$72,$A1404+1)))))</f>
        <v>9121.97642670521</v>
      </c>
      <c r="L1404" s="48" t="n">
        <f aca="false">K1404*INDEX(Surface_Engine!$B$12:$B$72,$A1404+1)+L1405</f>
        <v>59694.7076351375</v>
      </c>
      <c r="M1404" s="48" t="n">
        <f aca="false">M1403+B1403*(IF($A1403&lt;$Q$1392,(Surface_Engine!L248*12)-(Surface_Engine!L248*12)*INDEX(Surface_Engine!$F$12:$F$72,$A1403+1)-INDEX(Surface_Engine!$D$12:$D$72,$A1403+1),-(1000*12*INDEX(Surface_Engine!$C$12:$C$72,$A1403+1)/(1+Assumptions!$B$10)^13+INDEX(Surface_Engine!$D$12:$D$72,$A1403+1))))*INDEX(Surface_Engine!$B$12:$B$72,$A1403+1)</f>
        <v>34273.8156926155</v>
      </c>
      <c r="N1404" s="12" t="n">
        <f aca="false">IF(B1404&lt;=0,0,MAX(0,(K1404+Assumptions!$B$29*L1404/INDEX(Surface_Engine!$B$12:$B$72,$A1404+1)-(M1404/INDEX(Surface_Engine!$B$12:$B$72,$A1404+1)-(F1404/INDEX(Surface_Engine!$B$12:$B$72,$A1404+1))))/B1404))</f>
        <v>17019.9043266625</v>
      </c>
    </row>
    <row r="1405" customFormat="false" ht="15" hidden="false" customHeight="true" outlineLevel="0" collapsed="false">
      <c r="A1405" s="1" t="n">
        <v>11</v>
      </c>
      <c r="B1405" s="32" t="n">
        <f aca="false">INDEX(Surface_Engine!$S$12:$S$72,$A1405+1)*IF($A1405&lt;$Q$1392,INDEX(Surface_Engine!$E$12:$E$72,$A1405+1),INDEX(Surface_Engine!$E$12:$E$72,$Q$1392+1))</f>
        <v>0.665460114530745</v>
      </c>
      <c r="C1405" s="32" t="n">
        <f aca="false">INDEX(Panel_Reserving!$G$8:$G$68,$A1405+1)*IF($A1405&lt;$Q$1392,INDEX(Surface_Engine!$E$12:$E$72,$A1405+1),INDEX(Surface_Engine!$E$12:$E$72,$Q$1392+1))</f>
        <v>0.699783030325721</v>
      </c>
      <c r="D1405" s="32" t="n">
        <f aca="false">INDEX(Surface_Engine!$S$12:$S$72,$A1405+1)*IF($A1405&lt;$Q$1392,INDEX(Surface_Engine!$Y$12:$Y$72,$A1405+1),INDEX(Surface_Engine!$Y$12:$Y$72,$Q$1392+1))</f>
        <v>0.614026719123502</v>
      </c>
      <c r="E1405" s="32" t="n">
        <f aca="false">INDEX(Surface_Engine!$S$12:$S$72,$A1405+1)*IF($A1405&lt;$Q$1392,INDEX(Surface_Engine!$Z$12:$Z$72,$A1405+1),INDEX(Surface_Engine!$Z$12:$Z$72,$Q$1392+1))</f>
        <v>0.720600841625439</v>
      </c>
      <c r="F1405" s="48" t="n">
        <f aca="false">B1405*(IF($A1405&lt;$Q$1392,INDEX(Surface_Engine!$D$12:$D$72,$A1405+1)+(Surface_Engine!L248*12)*INDEX(Surface_Engine!$F$12:$F$72,$A1405+1)-(Surface_Engine!L248*12),1000*12*INDEX(Surface_Engine!$C$12:$C$72,$A1405+1)/(1+Assumptions!$B$10)^13+INDEX(Surface_Engine!$D$12:$D$72,$A1405+1)))*INDEX(Surface_Engine!$B$12:$B$72,$A1405+1)+F1406</f>
        <v>35464.1627799449</v>
      </c>
      <c r="G1405" s="48" t="n">
        <f aca="false">C1405*(IF($A1405&lt;$Q$1392,INDEX(Surface_Engine!$D$12:$D$72,$A1405+1)+(Surface_Engine!L248*12)*INDEX(Surface_Engine!$F$12:$F$72,$A1405+1)-(Surface_Engine!L248*12),1000*12*INDEX(Surface_Engine!$C$12:$C$72,$A1405+1)/(1+Assumptions!$B$10)^13+INDEX(Surface_Engine!$D$12:$D$72,$A1405+1)))*INDEX(Surface_Engine!$B$12:$B$72,$A1405+1)+G1406</f>
        <v>43972.6410930892</v>
      </c>
      <c r="H1405" s="48" t="n">
        <f aca="false">D1405*(IF($A1405&lt;$Q$1392,INDEX(Surface_Engine!$D$12:$D$72,$A1405+1)+(Surface_Engine!L248*12)*INDEX(Surface_Engine!$F$12:$F$72,$A1405+1)-(Surface_Engine!L248*12),1000*12*INDEX(Surface_Engine!$C$12:$C$72,$A1405+1)/(1+Assumptions!$B$10)^13+INDEX(Surface_Engine!$D$12:$D$72,$A1405+1)))*INDEX(Surface_Engine!$B$12:$B$72,$A1405+1)+H1406</f>
        <v>32392.5999612568</v>
      </c>
      <c r="I1405" s="48" t="n">
        <f aca="false">E1405*(IF($A1405&lt;$Q$1392,INDEX(Surface_Engine!$D$12:$D$72,$A1405+1)+(Surface_Engine!L248*12)*INDEX(Surface_Engine!$F$12:$F$72,$A1405+1)-(Surface_Engine!L248*12),1000*12*INDEX(Surface_Engine!$C$12:$C$72,$A1405+1)/(1+Assumptions!$B$10)^13+INDEX(Surface_Engine!$D$12:$D$72,$A1405+1)))*INDEX(Surface_Engine!$B$12:$B$72,$A1405+1)+I1406</f>
        <v>38792.5070817551</v>
      </c>
      <c r="J1405" s="48" t="n">
        <f aca="false">B1405*(IF($A1405&lt;$Q$1392,INDEX(Surface_Engine!$D$12:$D$72,$A1405+1)*(1+Assumptions!$B$24)+(Surface_Engine!L248*12)*INDEX(Surface_Engine!$F$12:$F$72,$A1405+1)-(Surface_Engine!L248*12),1000*12*INDEX(Surface_Engine!$C$12:$C$72,$A1405+1)/(1+Assumptions!$B$10)^13+INDEX(Surface_Engine!$D$12:$D$72,$A1405+1)*(1+Assumptions!$B$24)))*INDEX(Surface_Engine!$B$12:$B$72,$A1405+1)+J1406</f>
        <v>35512.7962970143</v>
      </c>
      <c r="K1405" s="12" t="n">
        <f aca="false">SQRT((IF(C1405&lt;=0,0,MAX(0,(B1405/C1405)*G1405/INDEX(Surface_Engine!$B$12:$B$72,$A1405+1)-F1405/INDEX(Surface_Engine!$B$12:$B$72,$A1405+1))))^2+(MAX(IF(D1405&lt;=0,0,MAX(0,(B1405/D1405)*H1405/INDEX(Surface_Engine!$B$12:$B$72,$A1405+1)-F1405/INDEX(Surface_Engine!$B$12:$B$72,$A1405+1))),IF(E1405&lt;=0,0,MAX(0,(B1405/E1405)*I1405/INDEX(Surface_Engine!$B$12:$B$72,$A1405+1)-F1405/INDEX(Surface_Engine!$B$12:$B$72,$A1405+1))),IF($A1405&lt;$Q$1392,MAX(0,-Assumptions!$B$22*(F1405/INDEX(Surface_Engine!$B$12:$B$72,$A1405+1))),0)))^2+(MAX(0,J1405/INDEX(Surface_Engine!$B$12:$B$72,$A1405+1)-(F1405/INDEX(Surface_Engine!$B$12:$B$72,$A1405+1))))^2+2*Assumptions!$B$26*(IF(C1405&lt;=0,0,MAX(0,(B1405/C1405)*G1405/INDEX(Surface_Engine!$B$12:$B$72,$A1405+1)-F1405/INDEX(Surface_Engine!$B$12:$B$72,$A1405+1))))*(MAX(IF(D1405&lt;=0,0,MAX(0,(B1405/D1405)*H1405/INDEX(Surface_Engine!$B$12:$B$72,$A1405+1)-F1405/INDEX(Surface_Engine!$B$12:$B$72,$A1405+1))),IF(E1405&lt;=0,0,MAX(0,(B1405/E1405)*I1405/INDEX(Surface_Engine!$B$12:$B$72,$A1405+1)-F1405/INDEX(Surface_Engine!$B$12:$B$72,$A1405+1))),IF($A1405&lt;$Q$1392,MAX(0,-Assumptions!$B$22*(F1405/INDEX(Surface_Engine!$B$12:$B$72,$A1405+1))),0)))+2*Assumptions!$B$27*(IF(C1405&lt;=0,0,MAX(0,(B1405/C1405)*G1405/INDEX(Surface_Engine!$B$12:$B$72,$A1405+1)-F1405/INDEX(Surface_Engine!$B$12:$B$72,$A1405+1))))*(MAX(0,J1405/INDEX(Surface_Engine!$B$12:$B$72,$A1405+1)-(F1405/INDEX(Surface_Engine!$B$12:$B$72,$A1405+1))))+2*Assumptions!$B$28*(MAX(IF(D1405&lt;=0,0,MAX(0,(B1405/D1405)*H1405/INDEX(Surface_Engine!$B$12:$B$72,$A1405+1)-F1405/INDEX(Surface_Engine!$B$12:$B$72,$A1405+1))),IF(E1405&lt;=0,0,MAX(0,(B1405/E1405)*I1405/INDEX(Surface_Engine!$B$12:$B$72,$A1405+1)-F1405/INDEX(Surface_Engine!$B$12:$B$72,$A1405+1))),IF($A1405&lt;$Q$1392,MAX(0,-Assumptions!$B$22*(F1405/INDEX(Surface_Engine!$B$12:$B$72,$A1405+1))),0)))*(MAX(0,J1405/INDEX(Surface_Engine!$B$12:$B$72,$A1405+1)-(F1405/INDEX(Surface_Engine!$B$12:$B$72,$A1405+1)))))</f>
        <v>8892.30657490695</v>
      </c>
      <c r="L1405" s="48" t="n">
        <f aca="false">K1405*INDEX(Surface_Engine!$B$12:$B$72,$A1405+1)+L1406</f>
        <v>52848.1705895965</v>
      </c>
      <c r="M1405" s="48" t="n">
        <f aca="false">M1404+B1404*(IF($A1404&lt;$Q$1392,(Surface_Engine!L248*12)-(Surface_Engine!L248*12)*INDEX(Surface_Engine!$F$12:$F$72,$A1404+1)-INDEX(Surface_Engine!$D$12:$D$72,$A1404+1),-(1000*12*INDEX(Surface_Engine!$C$12:$C$72,$A1404+1)/(1+Assumptions!$B$10)^13+INDEX(Surface_Engine!$D$12:$D$72,$A1404+1))))*INDEX(Surface_Engine!$B$12:$B$72,$A1404+1)</f>
        <v>36975.6806923362</v>
      </c>
      <c r="N1405" s="12" t="n">
        <f aca="false">IF(B1405&lt;=0,0,MAX(0,(K1405+Assumptions!$B$29*L1405/INDEX(Surface_Engine!$B$12:$B$72,$A1405+1)-(M1405/INDEX(Surface_Engine!$B$12:$B$72,$A1405+1)-(F1405/INDEX(Surface_Engine!$B$12:$B$72,$A1405+1))))/B1405))</f>
        <v>16792.643182154</v>
      </c>
    </row>
    <row r="1406" customFormat="false" ht="15" hidden="false" customHeight="true" outlineLevel="0" collapsed="false">
      <c r="A1406" s="1" t="n">
        <v>12</v>
      </c>
      <c r="B1406" s="32" t="n">
        <f aca="false">INDEX(Surface_Engine!$S$12:$S$72,$A1406+1)*IF($A1406&lt;$Q$1392,INDEX(Surface_Engine!$E$12:$E$72,$A1406+1),INDEX(Surface_Engine!$E$12:$E$72,$Q$1392+1))</f>
        <v>0.631367924395233</v>
      </c>
      <c r="C1406" s="32" t="n">
        <f aca="false">INDEX(Panel_Reserving!$G$8:$G$68,$A1406+1)*IF($A1406&lt;$Q$1392,INDEX(Surface_Engine!$E$12:$E$72,$A1406+1),INDEX(Surface_Engine!$E$12:$E$72,$Q$1392+1))</f>
        <v>0.669828955138729</v>
      </c>
      <c r="D1406" s="32" t="n">
        <f aca="false">INDEX(Surface_Engine!$S$12:$S$72,$A1406+1)*IF($A1406&lt;$Q$1392,INDEX(Surface_Engine!$Y$12:$Y$72,$A1406+1),INDEX(Surface_Engine!$Y$12:$Y$72,$Q$1392+1))</f>
        <v>0.579894479403878</v>
      </c>
      <c r="E1406" s="32" t="n">
        <f aca="false">INDEX(Surface_Engine!$S$12:$S$72,$A1406+1)*IF($A1406&lt;$Q$1392,INDEX(Surface_Engine!$Z$12:$Z$72,$A1406+1),INDEX(Surface_Engine!$Z$12:$Z$72,$Q$1392+1))</f>
        <v>0.686823065545597</v>
      </c>
      <c r="F1406" s="48" t="n">
        <f aca="false">B1406*(IF($A1406&lt;$Q$1392,INDEX(Surface_Engine!$D$12:$D$72,$A1406+1)+(Surface_Engine!L248*12)*INDEX(Surface_Engine!$F$12:$F$72,$A1406+1)-(Surface_Engine!L248*12),1000*12*INDEX(Surface_Engine!$C$12:$C$72,$A1406+1)/(1+Assumptions!$B$10)^13+INDEX(Surface_Engine!$D$12:$D$72,$A1406+1)))*INDEX(Surface_Engine!$B$12:$B$72,$A1406+1)+F1407</f>
        <v>37957.8691052348</v>
      </c>
      <c r="G1406" s="48" t="n">
        <f aca="false">C1406*(IF($A1406&lt;$Q$1392,INDEX(Surface_Engine!$D$12:$D$72,$A1406+1)+(Surface_Engine!L248*12)*INDEX(Surface_Engine!$F$12:$F$72,$A1406+1)-(Surface_Engine!L248*12),1000*12*INDEX(Surface_Engine!$C$12:$C$72,$A1406+1)/(1+Assumptions!$B$10)^13+INDEX(Surface_Engine!$D$12:$D$72,$A1406+1)))*INDEX(Surface_Engine!$B$12:$B$72,$A1406+1)+G1407</f>
        <v>46594.9671062483</v>
      </c>
      <c r="H1406" s="48" t="n">
        <f aca="false">D1406*(IF($A1406&lt;$Q$1392,INDEX(Surface_Engine!$D$12:$D$72,$A1406+1)+(Surface_Engine!L248*12)*INDEX(Surface_Engine!$F$12:$F$72,$A1406+1)-(Surface_Engine!L248*12),1000*12*INDEX(Surface_Engine!$C$12:$C$72,$A1406+1)/(1+Assumptions!$B$10)^13+INDEX(Surface_Engine!$D$12:$D$72,$A1406+1)))*INDEX(Surface_Engine!$B$12:$B$72,$A1406+1)+H1407</f>
        <v>34693.5677877884</v>
      </c>
      <c r="I1406" s="48" t="n">
        <f aca="false">E1406*(IF($A1406&lt;$Q$1392,INDEX(Surface_Engine!$D$12:$D$72,$A1406+1)+(Surface_Engine!L248*12)*INDEX(Surface_Engine!$F$12:$F$72,$A1406+1)-(Surface_Engine!L248*12),1000*12*INDEX(Surface_Engine!$C$12:$C$72,$A1406+1)/(1+Assumptions!$B$10)^13+INDEX(Surface_Engine!$D$12:$D$72,$A1406+1)))*INDEX(Surface_Engine!$B$12:$B$72,$A1406+1)+I1407</f>
        <v>41492.8445438098</v>
      </c>
      <c r="J1406" s="48" t="n">
        <f aca="false">B1406*(IF($A1406&lt;$Q$1392,INDEX(Surface_Engine!$D$12:$D$72,$A1406+1)*(1+Assumptions!$B$24)+(Surface_Engine!L248*12)*INDEX(Surface_Engine!$F$12:$F$72,$A1406+1)-(Surface_Engine!L248*12),1000*12*INDEX(Surface_Engine!$C$12:$C$72,$A1406+1)/(1+Assumptions!$B$10)^13+INDEX(Surface_Engine!$D$12:$D$72,$A1406+1)*(1+Assumptions!$B$24)))*INDEX(Surface_Engine!$B$12:$B$72,$A1406+1)+J1407</f>
        <v>38001.2975568967</v>
      </c>
      <c r="K1406" s="12" t="n">
        <f aca="false">SQRT((IF(C1406&lt;=0,0,MAX(0,(B1406/C1406)*G1406/INDEX(Surface_Engine!$B$12:$B$72,$A1406+1)-F1406/INDEX(Surface_Engine!$B$12:$B$72,$A1406+1))))^2+(MAX(IF(D1406&lt;=0,0,MAX(0,(B1406/D1406)*H1406/INDEX(Surface_Engine!$B$12:$B$72,$A1406+1)-F1406/INDEX(Surface_Engine!$B$12:$B$72,$A1406+1))),IF(E1406&lt;=0,0,MAX(0,(B1406/E1406)*I1406/INDEX(Surface_Engine!$B$12:$B$72,$A1406+1)-F1406/INDEX(Surface_Engine!$B$12:$B$72,$A1406+1))),IF($A1406&lt;$Q$1392,MAX(0,-Assumptions!$B$22*(F1406/INDEX(Surface_Engine!$B$12:$B$72,$A1406+1))),0)))^2+(MAX(0,J1406/INDEX(Surface_Engine!$B$12:$B$72,$A1406+1)-(F1406/INDEX(Surface_Engine!$B$12:$B$72,$A1406+1))))^2+2*Assumptions!$B$26*(IF(C1406&lt;=0,0,MAX(0,(B1406/C1406)*G1406/INDEX(Surface_Engine!$B$12:$B$72,$A1406+1)-F1406/INDEX(Surface_Engine!$B$12:$B$72,$A1406+1))))*(MAX(IF(D1406&lt;=0,0,MAX(0,(B1406/D1406)*H1406/INDEX(Surface_Engine!$B$12:$B$72,$A1406+1)-F1406/INDEX(Surface_Engine!$B$12:$B$72,$A1406+1))),IF(E1406&lt;=0,0,MAX(0,(B1406/E1406)*I1406/INDEX(Surface_Engine!$B$12:$B$72,$A1406+1)-F1406/INDEX(Surface_Engine!$B$12:$B$72,$A1406+1))),IF($A1406&lt;$Q$1392,MAX(0,-Assumptions!$B$22*(F1406/INDEX(Surface_Engine!$B$12:$B$72,$A1406+1))),0)))+2*Assumptions!$B$27*(IF(C1406&lt;=0,0,MAX(0,(B1406/C1406)*G1406/INDEX(Surface_Engine!$B$12:$B$72,$A1406+1)-F1406/INDEX(Surface_Engine!$B$12:$B$72,$A1406+1))))*(MAX(0,J1406/INDEX(Surface_Engine!$B$12:$B$72,$A1406+1)-(F1406/INDEX(Surface_Engine!$B$12:$B$72,$A1406+1))))+2*Assumptions!$B$28*(MAX(IF(D1406&lt;=0,0,MAX(0,(B1406/D1406)*H1406/INDEX(Surface_Engine!$B$12:$B$72,$A1406+1)-F1406/INDEX(Surface_Engine!$B$12:$B$72,$A1406+1))),IF(E1406&lt;=0,0,MAX(0,(B1406/E1406)*I1406/INDEX(Surface_Engine!$B$12:$B$72,$A1406+1)-F1406/INDEX(Surface_Engine!$B$12:$B$72,$A1406+1))),IF($A1406&lt;$Q$1392,MAX(0,-Assumptions!$B$22*(F1406/INDEX(Surface_Engine!$B$12:$B$72,$A1406+1))),0)))*(MAX(0,J1406/INDEX(Surface_Engine!$B$12:$B$72,$A1406+1)-(F1406/INDEX(Surface_Engine!$B$12:$B$72,$A1406+1)))))</f>
        <v>8578.0664203625</v>
      </c>
      <c r="L1406" s="48" t="n">
        <f aca="false">K1406*INDEX(Surface_Engine!$B$12:$B$72,$A1406+1)+L1407</f>
        <v>46383.5622762615</v>
      </c>
      <c r="M1406" s="48" t="n">
        <f aca="false">M1405+B1405*(IF($A1405&lt;$Q$1392,(Surface_Engine!L248*12)-(Surface_Engine!L248*12)*INDEX(Surface_Engine!$F$12:$F$72,$A1405+1)-INDEX(Surface_Engine!$D$12:$D$72,$A1405+1),-(1000*12*INDEX(Surface_Engine!$C$12:$C$72,$A1405+1)/(1+Assumptions!$B$10)^13+INDEX(Surface_Engine!$D$12:$D$72,$A1405+1))))*INDEX(Surface_Engine!$B$12:$B$72,$A1405+1)</f>
        <v>39469.3870176261</v>
      </c>
      <c r="N1406" s="12" t="n">
        <f aca="false">IF(B1406&lt;=0,0,MAX(0,(K1406+Assumptions!$B$29*L1406/INDEX(Surface_Engine!$B$12:$B$72,$A1406+1)-(M1406/INDEX(Surface_Engine!$B$12:$B$72,$A1406+1)-(F1406/INDEX(Surface_Engine!$B$12:$B$72,$A1406+1))))/B1406))</f>
        <v>16455.1066165501</v>
      </c>
    </row>
    <row r="1407" customFormat="false" ht="15" hidden="false" customHeight="true" outlineLevel="0" collapsed="false">
      <c r="A1407" s="1" t="n">
        <v>13</v>
      </c>
      <c r="B1407" s="32" t="n">
        <f aca="false">INDEX(Surface_Engine!$S$12:$S$72,$A1407+1)*IF($A1407&lt;$Q$1392,INDEX(Surface_Engine!$E$12:$E$72,$A1407+1),INDEX(Surface_Engine!$E$12:$E$72,$Q$1392+1))</f>
        <v>0.595783575049208</v>
      </c>
      <c r="C1407" s="32" t="n">
        <f aca="false">INDEX(Panel_Reserving!$G$8:$G$68,$A1407+1)*IF($A1407&lt;$Q$1392,INDEX(Surface_Engine!$E$12:$E$72,$A1407+1),INDEX(Surface_Engine!$E$12:$E$72,$Q$1392+1))</f>
        <v>0.638408233926883</v>
      </c>
      <c r="D1407" s="32" t="n">
        <f aca="false">INDEX(Surface_Engine!$S$12:$S$72,$A1407+1)*IF($A1407&lt;$Q$1392,INDEX(Surface_Engine!$Y$12:$Y$72,$A1407+1),INDEX(Surface_Engine!$Y$12:$Y$72,$Q$1392+1))</f>
        <v>0.544698533997566</v>
      </c>
      <c r="E1407" s="32" t="n">
        <f aca="false">INDEX(Surface_Engine!$S$12:$S$72,$A1407+1)*IF($A1407&lt;$Q$1392,INDEX(Surface_Engine!$Z$12:$Z$72,$A1407+1),INDEX(Surface_Engine!$Z$12:$Z$72,$Q$1392+1))</f>
        <v>0.651089221387168</v>
      </c>
      <c r="F1407" s="48" t="n">
        <f aca="false">B1407*(IF($A1407&lt;$Q$1392,INDEX(Surface_Engine!$D$12:$D$72,$A1407+1)+(Surface_Engine!L248*12)*INDEX(Surface_Engine!$F$12:$F$72,$A1407+1)-(Surface_Engine!L248*12),1000*12*INDEX(Surface_Engine!$C$12:$C$72,$A1407+1)/(1+Assumptions!$B$10)^13+INDEX(Surface_Engine!$D$12:$D$72,$A1407+1)))*INDEX(Surface_Engine!$B$12:$B$72,$A1407+1)+F1408</f>
        <v>40241.4132810719</v>
      </c>
      <c r="G1407" s="48" t="n">
        <f aca="false">C1407*(IF($A1407&lt;$Q$1392,INDEX(Surface_Engine!$D$12:$D$72,$A1407+1)+(Surface_Engine!L248*12)*INDEX(Surface_Engine!$F$12:$F$72,$A1407+1)-(Surface_Engine!L248*12),1000*12*INDEX(Surface_Engine!$C$12:$C$72,$A1407+1)/(1+Assumptions!$B$10)^13+INDEX(Surface_Engine!$D$12:$D$72,$A1407+1)))*INDEX(Surface_Engine!$B$12:$B$72,$A1407+1)+G1408</f>
        <v>49017.6179097069</v>
      </c>
      <c r="H1407" s="48" t="n">
        <f aca="false">D1407*(IF($A1407&lt;$Q$1392,INDEX(Surface_Engine!$D$12:$D$72,$A1407+1)+(Surface_Engine!L248*12)*INDEX(Surface_Engine!$F$12:$F$72,$A1407+1)-(Surface_Engine!L248*12),1000*12*INDEX(Surface_Engine!$C$12:$C$72,$A1407+1)/(1+Assumptions!$B$10)^13+INDEX(Surface_Engine!$D$12:$D$72,$A1407+1)))*INDEX(Surface_Engine!$B$12:$B$72,$A1407+1)+H1408</f>
        <v>36790.9417750895</v>
      </c>
      <c r="I1407" s="48" t="n">
        <f aca="false">E1407*(IF($A1407&lt;$Q$1392,INDEX(Surface_Engine!$D$12:$D$72,$A1407+1)+(Surface_Engine!L248*12)*INDEX(Surface_Engine!$F$12:$F$72,$A1407+1)-(Surface_Engine!L248*12),1000*12*INDEX(Surface_Engine!$C$12:$C$72,$A1407+1)/(1+Assumptions!$B$10)^13+INDEX(Surface_Engine!$D$12:$D$72,$A1407+1)))*INDEX(Surface_Engine!$B$12:$B$72,$A1407+1)+I1408</f>
        <v>43976.959986734</v>
      </c>
      <c r="J1407" s="48" t="n">
        <f aca="false">B1407*(IF($A1407&lt;$Q$1392,INDEX(Surface_Engine!$D$12:$D$72,$A1407+1)*(1+Assumptions!$B$24)+(Surface_Engine!L248*12)*INDEX(Surface_Engine!$F$12:$F$72,$A1407+1)-(Surface_Engine!L248*12),1000*12*INDEX(Surface_Engine!$C$12:$C$72,$A1407+1)/(1+Assumptions!$B$10)^13+INDEX(Surface_Engine!$D$12:$D$72,$A1407+1)*(1+Assumptions!$B$24)))*INDEX(Surface_Engine!$B$12:$B$72,$A1407+1)+J1408</f>
        <v>40279.9536240885</v>
      </c>
      <c r="K1407" s="12" t="n">
        <f aca="false">SQRT((IF(C1407&lt;=0,0,MAX(0,(B1407/C1407)*G1407/INDEX(Surface_Engine!$B$12:$B$72,$A1407+1)-F1407/INDEX(Surface_Engine!$B$12:$B$72,$A1407+1))))^2+(MAX(IF(D1407&lt;=0,0,MAX(0,(B1407/D1407)*H1407/INDEX(Surface_Engine!$B$12:$B$72,$A1407+1)-F1407/INDEX(Surface_Engine!$B$12:$B$72,$A1407+1))),IF(E1407&lt;=0,0,MAX(0,(B1407/E1407)*I1407/INDEX(Surface_Engine!$B$12:$B$72,$A1407+1)-F1407/INDEX(Surface_Engine!$B$12:$B$72,$A1407+1))),IF($A1407&lt;$Q$1392,MAX(0,-Assumptions!$B$22*(F1407/INDEX(Surface_Engine!$B$12:$B$72,$A1407+1))),0)))^2+(MAX(0,J1407/INDEX(Surface_Engine!$B$12:$B$72,$A1407+1)-(F1407/INDEX(Surface_Engine!$B$12:$B$72,$A1407+1))))^2+2*Assumptions!$B$26*(IF(C1407&lt;=0,0,MAX(0,(B1407/C1407)*G1407/INDEX(Surface_Engine!$B$12:$B$72,$A1407+1)-F1407/INDEX(Surface_Engine!$B$12:$B$72,$A1407+1))))*(MAX(IF(D1407&lt;=0,0,MAX(0,(B1407/D1407)*H1407/INDEX(Surface_Engine!$B$12:$B$72,$A1407+1)-F1407/INDEX(Surface_Engine!$B$12:$B$72,$A1407+1))),IF(E1407&lt;=0,0,MAX(0,(B1407/E1407)*I1407/INDEX(Surface_Engine!$B$12:$B$72,$A1407+1)-F1407/INDEX(Surface_Engine!$B$12:$B$72,$A1407+1))),IF($A1407&lt;$Q$1392,MAX(0,-Assumptions!$B$22*(F1407/INDEX(Surface_Engine!$B$12:$B$72,$A1407+1))),0)))+2*Assumptions!$B$27*(IF(C1407&lt;=0,0,MAX(0,(B1407/C1407)*G1407/INDEX(Surface_Engine!$B$12:$B$72,$A1407+1)-F1407/INDEX(Surface_Engine!$B$12:$B$72,$A1407+1))))*(MAX(0,J1407/INDEX(Surface_Engine!$B$12:$B$72,$A1407+1)-(F1407/INDEX(Surface_Engine!$B$12:$B$72,$A1407+1))))+2*Assumptions!$B$28*(MAX(IF(D1407&lt;=0,0,MAX(0,(B1407/D1407)*H1407/INDEX(Surface_Engine!$B$12:$B$72,$A1407+1)-F1407/INDEX(Surface_Engine!$B$12:$B$72,$A1407+1))),IF(E1407&lt;=0,0,MAX(0,(B1407/E1407)*I1407/INDEX(Surface_Engine!$B$12:$B$72,$A1407+1)-F1407/INDEX(Surface_Engine!$B$12:$B$72,$A1407+1))),IF($A1407&lt;$Q$1392,MAX(0,-Assumptions!$B$22*(F1407/INDEX(Surface_Engine!$B$12:$B$72,$A1407+1))),0)))*(MAX(0,J1407/INDEX(Surface_Engine!$B$12:$B$72,$A1407+1)-(F1407/INDEX(Surface_Engine!$B$12:$B$72,$A1407+1)))))</f>
        <v>8130.11005411851</v>
      </c>
      <c r="L1407" s="48" t="n">
        <f aca="false">K1407*INDEX(Surface_Engine!$B$12:$B$72,$A1407+1)+L1408</f>
        <v>40361.468650024</v>
      </c>
      <c r="M1407" s="48" t="n">
        <f aca="false">M1406+B1406*(IF($A1406&lt;$Q$1392,(Surface_Engine!L248*12)-(Surface_Engine!L248*12)*INDEX(Surface_Engine!$F$12:$F$72,$A1406+1)-INDEX(Surface_Engine!$D$12:$D$72,$A1406+1),-(1000*12*INDEX(Surface_Engine!$C$12:$C$72,$A1406+1)/(1+Assumptions!$B$10)^13+INDEX(Surface_Engine!$D$12:$D$72,$A1406+1))))*INDEX(Surface_Engine!$B$12:$B$72,$A1406+1)</f>
        <v>41752.9311934632</v>
      </c>
      <c r="N1407" s="12" t="n">
        <f aca="false">IF(B1407&lt;=0,0,MAX(0,(K1407+Assumptions!$B$29*L1407/INDEX(Surface_Engine!$B$12:$B$72,$A1407+1)-(M1407/INDEX(Surface_Engine!$B$12:$B$72,$A1407+1)-(F1407/INDEX(Surface_Engine!$B$12:$B$72,$A1407+1))))/B1407))</f>
        <v>15898.8999823399</v>
      </c>
    </row>
    <row r="1408" customFormat="false" ht="15" hidden="false" customHeight="true" outlineLevel="0" collapsed="false">
      <c r="A1408" s="1" t="n">
        <v>14</v>
      </c>
      <c r="B1408" s="32" t="n">
        <f aca="false">INDEX(Surface_Engine!$S$12:$S$72,$A1408+1)*IF($A1408&lt;$Q$1392,INDEX(Surface_Engine!$E$12:$E$72,$A1408+1),INDEX(Surface_Engine!$E$12:$E$72,$Q$1392+1))</f>
        <v>0.562884435164338</v>
      </c>
      <c r="C1408" s="32" t="n">
        <f aca="false">INDEX(Panel_Reserving!$G$8:$G$68,$A1408+1)*IF($A1408&lt;$Q$1392,INDEX(Surface_Engine!$E$12:$E$72,$A1408+1),INDEX(Surface_Engine!$E$12:$E$72,$Q$1392+1))</f>
        <v>0.610205936755628</v>
      </c>
      <c r="D1408" s="32" t="n">
        <f aca="false">INDEX(Surface_Engine!$S$12:$S$72,$A1408+1)*IF($A1408&lt;$Q$1392,INDEX(Surface_Engine!$Y$12:$Y$72,$A1408+1),INDEX(Surface_Engine!$Y$12:$Y$72,$Q$1392+1))</f>
        <v>0.514620307581893</v>
      </c>
      <c r="E1408" s="32" t="n">
        <f aca="false">INDEX(Surface_Engine!$S$12:$S$72,$A1408+1)*IF($A1408&lt;$Q$1392,INDEX(Surface_Engine!$Z$12:$Z$72,$A1408+1),INDEX(Surface_Engine!$Z$12:$Z$72,$Q$1392+1))</f>
        <v>0.615136106415548</v>
      </c>
      <c r="F1408" s="48" t="n">
        <f aca="false">B1408*(IF($A1408&lt;$Q$1392,INDEX(Surface_Engine!$D$12:$D$72,$A1408+1)+(Surface_Engine!L248*12)*INDEX(Surface_Engine!$F$12:$F$72,$A1408+1)-(Surface_Engine!L248*12),1000*12*INDEX(Surface_Engine!$C$12:$C$72,$A1408+1)/(1+Assumptions!$B$10)^13+INDEX(Surface_Engine!$D$12:$D$72,$A1408+1)))*INDEX(Surface_Engine!$B$12:$B$72,$A1408+1)+F1409</f>
        <v>35347.5806394935</v>
      </c>
      <c r="G1408" s="48" t="n">
        <f aca="false">C1408*(IF($A1408&lt;$Q$1392,INDEX(Surface_Engine!$D$12:$D$72,$A1408+1)+(Surface_Engine!L248*12)*INDEX(Surface_Engine!$F$12:$F$72,$A1408+1)-(Surface_Engine!L248*12),1000*12*INDEX(Surface_Engine!$C$12:$C$72,$A1408+1)/(1+Assumptions!$B$10)^13+INDEX(Surface_Engine!$D$12:$D$72,$A1408+1)))*INDEX(Surface_Engine!$B$12:$B$72,$A1408+1)+G1409</f>
        <v>43773.6615727337</v>
      </c>
      <c r="H1408" s="48" t="n">
        <f aca="false">D1408*(IF($A1408&lt;$Q$1392,INDEX(Surface_Engine!$D$12:$D$72,$A1408+1)+(Surface_Engine!L248*12)*INDEX(Surface_Engine!$F$12:$F$72,$A1408+1)-(Surface_Engine!L248*12),1000*12*INDEX(Surface_Engine!$C$12:$C$72,$A1408+1)/(1+Assumptions!$B$10)^13+INDEX(Surface_Engine!$D$12:$D$72,$A1408+1)))*INDEX(Surface_Engine!$B$12:$B$72,$A1408+1)+H1409</f>
        <v>32316.7273503681</v>
      </c>
      <c r="I1408" s="48" t="n">
        <f aca="false">E1408*(IF($A1408&lt;$Q$1392,INDEX(Surface_Engine!$D$12:$D$72,$A1408+1)+(Surface_Engine!L248*12)*INDEX(Surface_Engine!$F$12:$F$72,$A1408+1)-(Surface_Engine!L248*12),1000*12*INDEX(Surface_Engine!$C$12:$C$72,$A1408+1)/(1+Assumptions!$B$10)^13+INDEX(Surface_Engine!$D$12:$D$72,$A1408+1)))*INDEX(Surface_Engine!$B$12:$B$72,$A1408+1)+I1409</f>
        <v>38628.8406064016</v>
      </c>
      <c r="J1408" s="48" t="n">
        <f aca="false">B1408*(IF($A1408&lt;$Q$1392,INDEX(Surface_Engine!$D$12:$D$72,$A1408+1)*(1+Assumptions!$B$24)+(Surface_Engine!L248*12)*INDEX(Surface_Engine!$F$12:$F$72,$A1408+1)-(Surface_Engine!L248*12),1000*12*INDEX(Surface_Engine!$C$12:$C$72,$A1408+1)/(1+Assumptions!$B$10)^13+INDEX(Surface_Engine!$D$12:$D$72,$A1408+1)*(1+Assumptions!$B$24)))*INDEX(Surface_Engine!$B$12:$B$72,$A1408+1)+J1409</f>
        <v>35381.5540968382</v>
      </c>
      <c r="K1408" s="12" t="n">
        <f aca="false">SQRT((IF(C1408&lt;=0,0,MAX(0,(B1408/C1408)*G1408/INDEX(Surface_Engine!$B$12:$B$72,$A1408+1)-F1408/INDEX(Surface_Engine!$B$12:$B$72,$A1408+1))))^2+(MAX(IF(D1408&lt;=0,0,MAX(0,(B1408/D1408)*H1408/INDEX(Surface_Engine!$B$12:$B$72,$A1408+1)-F1408/INDEX(Surface_Engine!$B$12:$B$72,$A1408+1))),IF(E1408&lt;=0,0,MAX(0,(B1408/E1408)*I1408/INDEX(Surface_Engine!$B$12:$B$72,$A1408+1)-F1408/INDEX(Surface_Engine!$B$12:$B$72,$A1408+1))),IF($A1408&lt;$Q$1392,MAX(0,-Assumptions!$B$22*(F1408/INDEX(Surface_Engine!$B$12:$B$72,$A1408+1))),0)))^2+(MAX(0,J1408/INDEX(Surface_Engine!$B$12:$B$72,$A1408+1)-(F1408/INDEX(Surface_Engine!$B$12:$B$72,$A1408+1))))^2+2*Assumptions!$B$26*(IF(C1408&lt;=0,0,MAX(0,(B1408/C1408)*G1408/INDEX(Surface_Engine!$B$12:$B$72,$A1408+1)-F1408/INDEX(Surface_Engine!$B$12:$B$72,$A1408+1))))*(MAX(IF(D1408&lt;=0,0,MAX(0,(B1408/D1408)*H1408/INDEX(Surface_Engine!$B$12:$B$72,$A1408+1)-F1408/INDEX(Surface_Engine!$B$12:$B$72,$A1408+1))),IF(E1408&lt;=0,0,MAX(0,(B1408/E1408)*I1408/INDEX(Surface_Engine!$B$12:$B$72,$A1408+1)-F1408/INDEX(Surface_Engine!$B$12:$B$72,$A1408+1))),IF($A1408&lt;$Q$1392,MAX(0,-Assumptions!$B$22*(F1408/INDEX(Surface_Engine!$B$12:$B$72,$A1408+1))),0)))+2*Assumptions!$B$27*(IF(C1408&lt;=0,0,MAX(0,(B1408/C1408)*G1408/INDEX(Surface_Engine!$B$12:$B$72,$A1408+1)-F1408/INDEX(Surface_Engine!$B$12:$B$72,$A1408+1))))*(MAX(0,J1408/INDEX(Surface_Engine!$B$12:$B$72,$A1408+1)-(F1408/INDEX(Surface_Engine!$B$12:$B$72,$A1408+1))))+2*Assumptions!$B$28*(MAX(IF(D1408&lt;=0,0,MAX(0,(B1408/D1408)*H1408/INDEX(Surface_Engine!$B$12:$B$72,$A1408+1)-F1408/INDEX(Surface_Engine!$B$12:$B$72,$A1408+1))),IF(E1408&lt;=0,0,MAX(0,(B1408/E1408)*I1408/INDEX(Surface_Engine!$B$12:$B$72,$A1408+1)-F1408/INDEX(Surface_Engine!$B$12:$B$72,$A1408+1))),IF($A1408&lt;$Q$1392,MAX(0,-Assumptions!$B$22*(F1408/INDEX(Surface_Engine!$B$12:$B$72,$A1408+1))),0)))*(MAX(0,J1408/INDEX(Surface_Engine!$B$12:$B$72,$A1408+1)-(F1408/INDEX(Surface_Engine!$B$12:$B$72,$A1408+1)))))</f>
        <v>7689.04156826015</v>
      </c>
      <c r="L1408" s="48" t="n">
        <f aca="false">K1408*INDEX(Surface_Engine!$B$12:$B$72,$A1408+1)+L1409</f>
        <v>34848.2662638434</v>
      </c>
      <c r="M1408" s="48" t="n">
        <f aca="false">M1407+B1407*(IF($A1407&lt;$Q$1392,(Surface_Engine!L248*12)-(Surface_Engine!L248*12)*INDEX(Surface_Engine!$F$12:$F$72,$A1407+1)-INDEX(Surface_Engine!$D$12:$D$72,$A1407+1),-(1000*12*INDEX(Surface_Engine!$C$12:$C$72,$A1407+1)/(1+Assumptions!$B$10)^13+INDEX(Surface_Engine!$D$12:$D$72,$A1407+1))))*INDEX(Surface_Engine!$B$12:$B$72,$A1407+1)</f>
        <v>36859.0985518848</v>
      </c>
      <c r="N1408" s="12" t="n">
        <f aca="false">IF(B1408&lt;=0,0,MAX(0,(K1408+Assumptions!$B$29*L1408/INDEX(Surface_Engine!$B$12:$B$72,$A1408+1)-(M1408/INDEX(Surface_Engine!$B$12:$B$72,$A1408+1)-(F1408/INDEX(Surface_Engine!$B$12:$B$72,$A1408+1))))/B1408))</f>
        <v>15230.3681220967</v>
      </c>
    </row>
    <row r="1409" customFormat="false" ht="15" hidden="false" customHeight="true" outlineLevel="0" collapsed="false">
      <c r="A1409" s="1" t="n">
        <v>15</v>
      </c>
      <c r="B1409" s="32" t="n">
        <f aca="false">INDEX(Surface_Engine!$S$12:$S$72,$A1409+1)*IF($A1409&lt;$Q$1392,INDEX(Surface_Engine!$E$12:$E$72,$A1409+1),INDEX(Surface_Engine!$E$12:$E$72,$Q$1392+1))</f>
        <v>0.527779118355584</v>
      </c>
      <c r="C1409" s="32" t="n">
        <f aca="false">INDEX(Panel_Reserving!$G$8:$G$68,$A1409+1)*IF($A1409&lt;$Q$1392,INDEX(Surface_Engine!$E$12:$E$72,$A1409+1),INDEX(Surface_Engine!$E$12:$E$72,$Q$1392+1))</f>
        <v>0.579760649744436</v>
      </c>
      <c r="D1409" s="32" t="n">
        <f aca="false">INDEX(Surface_Engine!$S$12:$S$72,$A1409+1)*IF($A1409&lt;$Q$1392,INDEX(Surface_Engine!$Y$12:$Y$72,$A1409+1),INDEX(Surface_Engine!$Y$12:$Y$72,$Q$1392+1))</f>
        <v>0.482525071321529</v>
      </c>
      <c r="E1409" s="32" t="n">
        <f aca="false">INDEX(Surface_Engine!$S$12:$S$72,$A1409+1)*IF($A1409&lt;$Q$1392,INDEX(Surface_Engine!$Z$12:$Z$72,$A1409+1),INDEX(Surface_Engine!$Z$12:$Z$72,$Q$1392+1))</f>
        <v>0.576772018607868</v>
      </c>
      <c r="F1409" s="48" t="n">
        <f aca="false">B1409*(IF($A1409&lt;$Q$1392,INDEX(Surface_Engine!$D$12:$D$72,$A1409+1)+(Surface_Engine!L248*12)*INDEX(Surface_Engine!$F$12:$F$72,$A1409+1)-(Surface_Engine!L248*12),1000*12*INDEX(Surface_Engine!$C$12:$C$72,$A1409+1)/(1+Assumptions!$B$10)^13+INDEX(Surface_Engine!$D$12:$D$72,$A1409+1)))*INDEX(Surface_Engine!$B$12:$B$72,$A1409+1)+F1410</f>
        <v>30788.7502465772</v>
      </c>
      <c r="G1409" s="48" t="n">
        <f aca="false">C1409*(IF($A1409&lt;$Q$1392,INDEX(Surface_Engine!$D$12:$D$72,$A1409+1)+(Surface_Engine!L248*12)*INDEX(Surface_Engine!$F$12:$F$72,$A1409+1)-(Surface_Engine!L248*12),1000*12*INDEX(Surface_Engine!$C$12:$C$72,$A1409+1)/(1+Assumptions!$B$10)^13+INDEX(Surface_Engine!$D$12:$D$72,$A1409+1)))*INDEX(Surface_Engine!$B$12:$B$72,$A1409+1)+G1410</f>
        <v>38831.5718707732</v>
      </c>
      <c r="H1409" s="48" t="n">
        <f aca="false">D1409*(IF($A1409&lt;$Q$1392,INDEX(Surface_Engine!$D$12:$D$72,$A1409+1)+(Surface_Engine!L248*12)*INDEX(Surface_Engine!$F$12:$F$72,$A1409+1)-(Surface_Engine!L248*12),1000*12*INDEX(Surface_Engine!$C$12:$C$72,$A1409+1)/(1+Assumptions!$B$10)^13+INDEX(Surface_Engine!$D$12:$D$72,$A1409+1)))*INDEX(Surface_Engine!$B$12:$B$72,$A1409+1)+H1410</f>
        <v>28148.7906435531</v>
      </c>
      <c r="I1409" s="48" t="n">
        <f aca="false">E1409*(IF($A1409&lt;$Q$1392,INDEX(Surface_Engine!$D$12:$D$72,$A1409+1)+(Surface_Engine!L248*12)*INDEX(Surface_Engine!$F$12:$F$72,$A1409+1)-(Surface_Engine!L248*12),1000*12*INDEX(Surface_Engine!$C$12:$C$72,$A1409+1)/(1+Assumptions!$B$10)^13+INDEX(Surface_Engine!$D$12:$D$72,$A1409+1)))*INDEX(Surface_Engine!$B$12:$B$72,$A1409+1)+I1410</f>
        <v>33646.8212032738</v>
      </c>
      <c r="J1409" s="48" t="n">
        <f aca="false">B1409*(IF($A1409&lt;$Q$1392,INDEX(Surface_Engine!$D$12:$D$72,$A1409+1)*(1+Assumptions!$B$24)+(Surface_Engine!L248*12)*INDEX(Surface_Engine!$F$12:$F$72,$A1409+1)-(Surface_Engine!L248*12),1000*12*INDEX(Surface_Engine!$C$12:$C$72,$A1409+1)/(1+Assumptions!$B$10)^13+INDEX(Surface_Engine!$D$12:$D$72,$A1409+1)*(1+Assumptions!$B$24)))*INDEX(Surface_Engine!$B$12:$B$72,$A1409+1)+J1410</f>
        <v>30818.4487810009</v>
      </c>
      <c r="K1409" s="12" t="n">
        <f aca="false">SQRT((IF(C1409&lt;=0,0,MAX(0,(B1409/C1409)*G1409/INDEX(Surface_Engine!$B$12:$B$72,$A1409+1)-F1409/INDEX(Surface_Engine!$B$12:$B$72,$A1409+1))))^2+(MAX(IF(D1409&lt;=0,0,MAX(0,(B1409/D1409)*H1409/INDEX(Surface_Engine!$B$12:$B$72,$A1409+1)-F1409/INDEX(Surface_Engine!$B$12:$B$72,$A1409+1))),IF(E1409&lt;=0,0,MAX(0,(B1409/E1409)*I1409/INDEX(Surface_Engine!$B$12:$B$72,$A1409+1)-F1409/INDEX(Surface_Engine!$B$12:$B$72,$A1409+1))),IF($A1409&lt;$Q$1392,MAX(0,-Assumptions!$B$22*(F1409/INDEX(Surface_Engine!$B$12:$B$72,$A1409+1))),0)))^2+(MAX(0,J1409/INDEX(Surface_Engine!$B$12:$B$72,$A1409+1)-(F1409/INDEX(Surface_Engine!$B$12:$B$72,$A1409+1))))^2+2*Assumptions!$B$26*(IF(C1409&lt;=0,0,MAX(0,(B1409/C1409)*G1409/INDEX(Surface_Engine!$B$12:$B$72,$A1409+1)-F1409/INDEX(Surface_Engine!$B$12:$B$72,$A1409+1))))*(MAX(IF(D1409&lt;=0,0,MAX(0,(B1409/D1409)*H1409/INDEX(Surface_Engine!$B$12:$B$72,$A1409+1)-F1409/INDEX(Surface_Engine!$B$12:$B$72,$A1409+1))),IF(E1409&lt;=0,0,MAX(0,(B1409/E1409)*I1409/INDEX(Surface_Engine!$B$12:$B$72,$A1409+1)-F1409/INDEX(Surface_Engine!$B$12:$B$72,$A1409+1))),IF($A1409&lt;$Q$1392,MAX(0,-Assumptions!$B$22*(F1409/INDEX(Surface_Engine!$B$12:$B$72,$A1409+1))),0)))+2*Assumptions!$B$27*(IF(C1409&lt;=0,0,MAX(0,(B1409/C1409)*G1409/INDEX(Surface_Engine!$B$12:$B$72,$A1409+1)-F1409/INDEX(Surface_Engine!$B$12:$B$72,$A1409+1))))*(MAX(0,J1409/INDEX(Surface_Engine!$B$12:$B$72,$A1409+1)-(F1409/INDEX(Surface_Engine!$B$12:$B$72,$A1409+1))))+2*Assumptions!$B$28*(MAX(IF(D1409&lt;=0,0,MAX(0,(B1409/D1409)*H1409/INDEX(Surface_Engine!$B$12:$B$72,$A1409+1)-F1409/INDEX(Surface_Engine!$B$12:$B$72,$A1409+1))),IF(E1409&lt;=0,0,MAX(0,(B1409/E1409)*I1409/INDEX(Surface_Engine!$B$12:$B$72,$A1409+1)-F1409/INDEX(Surface_Engine!$B$12:$B$72,$A1409+1))),IF($A1409&lt;$Q$1392,MAX(0,-Assumptions!$B$22*(F1409/INDEX(Surface_Engine!$B$12:$B$72,$A1409+1))),0)))*(MAX(0,J1409/INDEX(Surface_Engine!$B$12:$B$72,$A1409+1)-(F1409/INDEX(Surface_Engine!$B$12:$B$72,$A1409+1)))))</f>
        <v>7229.58712424123</v>
      </c>
      <c r="L1409" s="48" t="n">
        <f aca="false">K1409*INDEX(Surface_Engine!$B$12:$B$72,$A1409+1)+L1410</f>
        <v>29808.2343115547</v>
      </c>
      <c r="M1409" s="48" t="n">
        <f aca="false">M1408+B1408*(IF($A1408&lt;$Q$1392,(Surface_Engine!L248*12)-(Surface_Engine!L248*12)*INDEX(Surface_Engine!$F$12:$F$72,$A1408+1)-INDEX(Surface_Engine!$D$12:$D$72,$A1408+1),-(1000*12*INDEX(Surface_Engine!$C$12:$C$72,$A1408+1)/(1+Assumptions!$B$10)^13+INDEX(Surface_Engine!$D$12:$D$72,$A1408+1))))*INDEX(Surface_Engine!$B$12:$B$72,$A1408+1)</f>
        <v>32300.2681589685</v>
      </c>
      <c r="N1409" s="12" t="n">
        <f aca="false">IF(B1409&lt;=0,0,MAX(0,(K1409+Assumptions!$B$29*L1409/INDEX(Surface_Engine!$B$12:$B$72,$A1409+1)-(M1409/INDEX(Surface_Engine!$B$12:$B$72,$A1409+1)-(F1409/INDEX(Surface_Engine!$B$12:$B$72,$A1409+1))))/B1409))</f>
        <v>14528.5782527454</v>
      </c>
    </row>
    <row r="1410" customFormat="false" ht="15" hidden="false" customHeight="true" outlineLevel="0" collapsed="false">
      <c r="A1410" s="1" t="n">
        <v>16</v>
      </c>
      <c r="B1410" s="32" t="n">
        <f aca="false">INDEX(Surface_Engine!$S$12:$S$72,$A1410+1)*IF($A1410&lt;$Q$1392,INDEX(Surface_Engine!$E$12:$E$72,$A1410+1),INDEX(Surface_Engine!$E$12:$E$72,$Q$1392+1))</f>
        <v>0.490608505114793</v>
      </c>
      <c r="C1410" s="32" t="n">
        <f aca="false">INDEX(Panel_Reserving!$G$8:$G$68,$A1410+1)*IF($A1410&lt;$Q$1392,INDEX(Surface_Engine!$E$12:$E$72,$A1410+1),INDEX(Surface_Engine!$E$12:$E$72,$Q$1392+1))</f>
        <v>0.547095380302137</v>
      </c>
      <c r="D1410" s="32" t="n">
        <f aca="false">INDEX(Surface_Engine!$S$12:$S$72,$A1410+1)*IF($A1410&lt;$Q$1392,INDEX(Surface_Engine!$Y$12:$Y$72,$A1410+1),INDEX(Surface_Engine!$Y$12:$Y$72,$Q$1392+1))</f>
        <v>0.44854162601024</v>
      </c>
      <c r="E1410" s="32" t="n">
        <f aca="false">INDEX(Surface_Engine!$S$12:$S$72,$A1410+1)*IF($A1410&lt;$Q$1392,INDEX(Surface_Engine!$Z$12:$Z$72,$A1410+1),INDEX(Surface_Engine!$Z$12:$Z$72,$Q$1392+1))</f>
        <v>0.536150916169065</v>
      </c>
      <c r="F1410" s="48" t="n">
        <f aca="false">B1410*(IF($A1410&lt;$Q$1392,INDEX(Surface_Engine!$D$12:$D$72,$A1410+1)+(Surface_Engine!L248*12)*INDEX(Surface_Engine!$F$12:$F$72,$A1410+1)-(Surface_Engine!L248*12),1000*12*INDEX(Surface_Engine!$C$12:$C$72,$A1410+1)/(1+Assumptions!$B$10)^13+INDEX(Surface_Engine!$D$12:$D$72,$A1410+1)))*INDEX(Surface_Engine!$B$12:$B$72,$A1410+1)+F1411</f>
        <v>26585.1327617124</v>
      </c>
      <c r="G1410" s="48" t="n">
        <f aca="false">C1410*(IF($A1410&lt;$Q$1392,INDEX(Surface_Engine!$D$12:$D$72,$A1410+1)+(Surface_Engine!L248*12)*INDEX(Surface_Engine!$F$12:$F$72,$A1410+1)-(Surface_Engine!L248*12),1000*12*INDEX(Surface_Engine!$C$12:$C$72,$A1410+1)/(1+Assumptions!$B$10)^13+INDEX(Surface_Engine!$D$12:$D$72,$A1410+1)))*INDEX(Surface_Engine!$B$12:$B$72,$A1410+1)+G1411</f>
        <v>34213.9355916124</v>
      </c>
      <c r="H1410" s="48" t="n">
        <f aca="false">D1410*(IF($A1410&lt;$Q$1392,INDEX(Surface_Engine!$D$12:$D$72,$A1410+1)+(Surface_Engine!L248*12)*INDEX(Surface_Engine!$F$12:$F$72,$A1410+1)-(Surface_Engine!L248*12),1000*12*INDEX(Surface_Engine!$C$12:$C$72,$A1410+1)/(1+Assumptions!$B$10)^13+INDEX(Surface_Engine!$D$12:$D$72,$A1410+1)))*INDEX(Surface_Engine!$B$12:$B$72,$A1410+1)+H1411</f>
        <v>24305.6093653461</v>
      </c>
      <c r="I1410" s="48" t="n">
        <f aca="false">E1410*(IF($A1410&lt;$Q$1392,INDEX(Surface_Engine!$D$12:$D$72,$A1410+1)+(Surface_Engine!L248*12)*INDEX(Surface_Engine!$F$12:$F$72,$A1410+1)-(Surface_Engine!L248*12),1000*12*INDEX(Surface_Engine!$C$12:$C$72,$A1410+1)/(1+Assumptions!$B$10)^13+INDEX(Surface_Engine!$D$12:$D$72,$A1410+1)))*INDEX(Surface_Engine!$B$12:$B$72,$A1410+1)+I1411</f>
        <v>29052.9885602641</v>
      </c>
      <c r="J1410" s="48" t="n">
        <f aca="false">B1410*(IF($A1410&lt;$Q$1392,INDEX(Surface_Engine!$D$12:$D$72,$A1410+1)*(1+Assumptions!$B$24)+(Surface_Engine!L248*12)*INDEX(Surface_Engine!$F$12:$F$72,$A1410+1)-(Surface_Engine!L248*12),1000*12*INDEX(Surface_Engine!$C$12:$C$72,$A1410+1)/(1+Assumptions!$B$10)^13+INDEX(Surface_Engine!$D$12:$D$72,$A1410+1)*(1+Assumptions!$B$24)))*INDEX(Surface_Engine!$B$12:$B$72,$A1410+1)+J1411</f>
        <v>26610.8703241182</v>
      </c>
      <c r="K1410" s="12" t="n">
        <f aca="false">SQRT((IF(C1410&lt;=0,0,MAX(0,(B1410/C1410)*G1410/INDEX(Surface_Engine!$B$12:$B$72,$A1410+1)-F1410/INDEX(Surface_Engine!$B$12:$B$72,$A1410+1))))^2+(MAX(IF(D1410&lt;=0,0,MAX(0,(B1410/D1410)*H1410/INDEX(Surface_Engine!$B$12:$B$72,$A1410+1)-F1410/INDEX(Surface_Engine!$B$12:$B$72,$A1410+1))),IF(E1410&lt;=0,0,MAX(0,(B1410/E1410)*I1410/INDEX(Surface_Engine!$B$12:$B$72,$A1410+1)-F1410/INDEX(Surface_Engine!$B$12:$B$72,$A1410+1))),IF($A1410&lt;$Q$1392,MAX(0,-Assumptions!$B$22*(F1410/INDEX(Surface_Engine!$B$12:$B$72,$A1410+1))),0)))^2+(MAX(0,J1410/INDEX(Surface_Engine!$B$12:$B$72,$A1410+1)-(F1410/INDEX(Surface_Engine!$B$12:$B$72,$A1410+1))))^2+2*Assumptions!$B$26*(IF(C1410&lt;=0,0,MAX(0,(B1410/C1410)*G1410/INDEX(Surface_Engine!$B$12:$B$72,$A1410+1)-F1410/INDEX(Surface_Engine!$B$12:$B$72,$A1410+1))))*(MAX(IF(D1410&lt;=0,0,MAX(0,(B1410/D1410)*H1410/INDEX(Surface_Engine!$B$12:$B$72,$A1410+1)-F1410/INDEX(Surface_Engine!$B$12:$B$72,$A1410+1))),IF(E1410&lt;=0,0,MAX(0,(B1410/E1410)*I1410/INDEX(Surface_Engine!$B$12:$B$72,$A1410+1)-F1410/INDEX(Surface_Engine!$B$12:$B$72,$A1410+1))),IF($A1410&lt;$Q$1392,MAX(0,-Assumptions!$B$22*(F1410/INDEX(Surface_Engine!$B$12:$B$72,$A1410+1))),0)))+2*Assumptions!$B$27*(IF(C1410&lt;=0,0,MAX(0,(B1410/C1410)*G1410/INDEX(Surface_Engine!$B$12:$B$72,$A1410+1)-F1410/INDEX(Surface_Engine!$B$12:$B$72,$A1410+1))))*(MAX(0,J1410/INDEX(Surface_Engine!$B$12:$B$72,$A1410+1)-(F1410/INDEX(Surface_Engine!$B$12:$B$72,$A1410+1))))+2*Assumptions!$B$28*(MAX(IF(D1410&lt;=0,0,MAX(0,(B1410/D1410)*H1410/INDEX(Surface_Engine!$B$12:$B$72,$A1410+1)-F1410/INDEX(Surface_Engine!$B$12:$B$72,$A1410+1))),IF(E1410&lt;=0,0,MAX(0,(B1410/E1410)*I1410/INDEX(Surface_Engine!$B$12:$B$72,$A1410+1)-F1410/INDEX(Surface_Engine!$B$12:$B$72,$A1410+1))),IF($A1410&lt;$Q$1392,MAX(0,-Assumptions!$B$22*(F1410/INDEX(Surface_Engine!$B$12:$B$72,$A1410+1))),0)))*(MAX(0,J1410/INDEX(Surface_Engine!$B$12:$B$72,$A1410+1)-(F1410/INDEX(Surface_Engine!$B$12:$B$72,$A1410+1)))))</f>
        <v>6727.34583038866</v>
      </c>
      <c r="L1410" s="48" t="n">
        <f aca="false">K1410*INDEX(Surface_Engine!$B$12:$B$72,$A1410+1)+L1411</f>
        <v>25239.5491213294</v>
      </c>
      <c r="M1410" s="48" t="n">
        <f aca="false">M1409+B1409*(IF($A1409&lt;$Q$1392,(Surface_Engine!L248*12)-(Surface_Engine!L248*12)*INDEX(Surface_Engine!$F$12:$F$72,$A1409+1)-INDEX(Surface_Engine!$D$12:$D$72,$A1409+1),-(1000*12*INDEX(Surface_Engine!$C$12:$C$72,$A1409+1)/(1+Assumptions!$B$10)^13+INDEX(Surface_Engine!$D$12:$D$72,$A1409+1))))*INDEX(Surface_Engine!$B$12:$B$72,$A1409+1)</f>
        <v>28096.6506741038</v>
      </c>
      <c r="N1410" s="12" t="n">
        <f aca="false">IF(B1410&lt;=0,0,MAX(0,(K1410+Assumptions!$B$29*L1410/INDEX(Surface_Engine!$B$12:$B$72,$A1410+1)-(M1410/INDEX(Surface_Engine!$B$12:$B$72,$A1410+1)-(F1410/INDEX(Surface_Engine!$B$12:$B$72,$A1410+1))))/B1410))</f>
        <v>13721.7907666109</v>
      </c>
    </row>
    <row r="1411" customFormat="false" ht="15" hidden="false" customHeight="true" outlineLevel="0" collapsed="false">
      <c r="A1411" s="1" t="n">
        <v>17</v>
      </c>
      <c r="B1411" s="32" t="n">
        <f aca="false">INDEX(Surface_Engine!$S$12:$S$72,$A1411+1)*IF($A1411&lt;$Q$1392,INDEX(Surface_Engine!$E$12:$E$72,$A1411+1),INDEX(Surface_Engine!$E$12:$E$72,$Q$1392+1))</f>
        <v>0.451610253852261</v>
      </c>
      <c r="C1411" s="32" t="n">
        <f aca="false">INDEX(Panel_Reserving!$G$8:$G$68,$A1411+1)*IF($A1411&lt;$Q$1392,INDEX(Surface_Engine!$E$12:$E$72,$A1411+1),INDEX(Surface_Engine!$E$12:$E$72,$Q$1392+1))</f>
        <v>0.512304686079498</v>
      </c>
      <c r="D1411" s="32" t="n">
        <f aca="false">INDEX(Surface_Engine!$S$12:$S$72,$A1411+1)*IF($A1411&lt;$Q$1392,INDEX(Surface_Engine!$Y$12:$Y$72,$A1411+1),INDEX(Surface_Engine!$Y$12:$Y$72,$Q$1392+1))</f>
        <v>0.412887252206102</v>
      </c>
      <c r="E1411" s="32" t="n">
        <f aca="false">INDEX(Surface_Engine!$S$12:$S$72,$A1411+1)*IF($A1411&lt;$Q$1392,INDEX(Surface_Engine!$Z$12:$Z$72,$A1411+1),INDEX(Surface_Engine!$Z$12:$Z$72,$Q$1392+1))</f>
        <v>0.493532518963526</v>
      </c>
      <c r="F1411" s="48" t="n">
        <f aca="false">B1411*(IF($A1411&lt;$Q$1392,INDEX(Surface_Engine!$D$12:$D$72,$A1411+1)+(Surface_Engine!L248*12)*INDEX(Surface_Engine!$F$12:$F$72,$A1411+1)-(Surface_Engine!L248*12),1000*12*INDEX(Surface_Engine!$C$12:$C$72,$A1411+1)/(1+Assumptions!$B$10)^13+INDEX(Surface_Engine!$D$12:$D$72,$A1411+1)))*INDEX(Surface_Engine!$B$12:$B$72,$A1411+1)+F1412</f>
        <v>22738.4896763311</v>
      </c>
      <c r="G1411" s="48" t="n">
        <f aca="false">C1411*(IF($A1411&lt;$Q$1392,INDEX(Surface_Engine!$D$12:$D$72,$A1411+1)+(Surface_Engine!L248*12)*INDEX(Surface_Engine!$F$12:$F$72,$A1411+1)-(Surface_Engine!L248*12),1000*12*INDEX(Surface_Engine!$C$12:$C$72,$A1411+1)/(1+Assumptions!$B$10)^13+INDEX(Surface_Engine!$D$12:$D$72,$A1411+1)))*INDEX(Surface_Engine!$B$12:$B$72,$A1411+1)+G1412</f>
        <v>29924.404041011</v>
      </c>
      <c r="H1411" s="48" t="n">
        <f aca="false">D1411*(IF($A1411&lt;$Q$1392,INDEX(Surface_Engine!$D$12:$D$72,$A1411+1)+(Surface_Engine!L248*12)*INDEX(Surface_Engine!$F$12:$F$72,$A1411+1)-(Surface_Engine!L248*12),1000*12*INDEX(Surface_Engine!$C$12:$C$72,$A1411+1)/(1+Assumptions!$B$10)^13+INDEX(Surface_Engine!$D$12:$D$72,$A1411+1)))*INDEX(Surface_Engine!$B$12:$B$72,$A1411+1)+H1412</f>
        <v>20788.7939693426</v>
      </c>
      <c r="I1411" s="48" t="n">
        <f aca="false">E1411*(IF($A1411&lt;$Q$1392,INDEX(Surface_Engine!$D$12:$D$72,$A1411+1)+(Surface_Engine!L248*12)*INDEX(Surface_Engine!$F$12:$F$72,$A1411+1)-(Surface_Engine!L248*12),1000*12*INDEX(Surface_Engine!$C$12:$C$72,$A1411+1)/(1+Assumptions!$B$10)^13+INDEX(Surface_Engine!$D$12:$D$72,$A1411+1)))*INDEX(Surface_Engine!$B$12:$B$72,$A1411+1)+I1412</f>
        <v>24849.2676852661</v>
      </c>
      <c r="J1411" s="48" t="n">
        <f aca="false">B1411*(IF($A1411&lt;$Q$1392,INDEX(Surface_Engine!$D$12:$D$72,$A1411+1)*(1+Assumptions!$B$24)+(Surface_Engine!L248*12)*INDEX(Surface_Engine!$F$12:$F$72,$A1411+1)-(Surface_Engine!L248*12),1000*12*INDEX(Surface_Engine!$C$12:$C$72,$A1411+1)/(1+Assumptions!$B$10)^13+INDEX(Surface_Engine!$D$12:$D$72,$A1411+1)*(1+Assumptions!$B$24)))*INDEX(Surface_Engine!$B$12:$B$72,$A1411+1)+J1412</f>
        <v>22760.585036051</v>
      </c>
      <c r="K1411" s="12" t="n">
        <f aca="false">SQRT((IF(C1411&lt;=0,0,MAX(0,(B1411/C1411)*G1411/INDEX(Surface_Engine!$B$12:$B$72,$A1411+1)-F1411/INDEX(Surface_Engine!$B$12:$B$72,$A1411+1))))^2+(MAX(IF(D1411&lt;=0,0,MAX(0,(B1411/D1411)*H1411/INDEX(Surface_Engine!$B$12:$B$72,$A1411+1)-F1411/INDEX(Surface_Engine!$B$12:$B$72,$A1411+1))),IF(E1411&lt;=0,0,MAX(0,(B1411/E1411)*I1411/INDEX(Surface_Engine!$B$12:$B$72,$A1411+1)-F1411/INDEX(Surface_Engine!$B$12:$B$72,$A1411+1))),IF($A1411&lt;$Q$1392,MAX(0,-Assumptions!$B$22*(F1411/INDEX(Surface_Engine!$B$12:$B$72,$A1411+1))),0)))^2+(MAX(0,J1411/INDEX(Surface_Engine!$B$12:$B$72,$A1411+1)-(F1411/INDEX(Surface_Engine!$B$12:$B$72,$A1411+1))))^2+2*Assumptions!$B$26*(IF(C1411&lt;=0,0,MAX(0,(B1411/C1411)*G1411/INDEX(Surface_Engine!$B$12:$B$72,$A1411+1)-F1411/INDEX(Surface_Engine!$B$12:$B$72,$A1411+1))))*(MAX(IF(D1411&lt;=0,0,MAX(0,(B1411/D1411)*H1411/INDEX(Surface_Engine!$B$12:$B$72,$A1411+1)-F1411/INDEX(Surface_Engine!$B$12:$B$72,$A1411+1))),IF(E1411&lt;=0,0,MAX(0,(B1411/E1411)*I1411/INDEX(Surface_Engine!$B$12:$B$72,$A1411+1)-F1411/INDEX(Surface_Engine!$B$12:$B$72,$A1411+1))),IF($A1411&lt;$Q$1392,MAX(0,-Assumptions!$B$22*(F1411/INDEX(Surface_Engine!$B$12:$B$72,$A1411+1))),0)))+2*Assumptions!$B$27*(IF(C1411&lt;=0,0,MAX(0,(B1411/C1411)*G1411/INDEX(Surface_Engine!$B$12:$B$72,$A1411+1)-F1411/INDEX(Surface_Engine!$B$12:$B$72,$A1411+1))))*(MAX(0,J1411/INDEX(Surface_Engine!$B$12:$B$72,$A1411+1)-(F1411/INDEX(Surface_Engine!$B$12:$B$72,$A1411+1))))+2*Assumptions!$B$28*(MAX(IF(D1411&lt;=0,0,MAX(0,(B1411/D1411)*H1411/INDEX(Surface_Engine!$B$12:$B$72,$A1411+1)-F1411/INDEX(Surface_Engine!$B$12:$B$72,$A1411+1))),IF(E1411&lt;=0,0,MAX(0,(B1411/E1411)*I1411/INDEX(Surface_Engine!$B$12:$B$72,$A1411+1)-F1411/INDEX(Surface_Engine!$B$12:$B$72,$A1411+1))),IF($A1411&lt;$Q$1392,MAX(0,-Assumptions!$B$22*(F1411/INDEX(Surface_Engine!$B$12:$B$72,$A1411+1))),0)))*(MAX(0,J1411/INDEX(Surface_Engine!$B$12:$B$72,$A1411+1)-(F1411/INDEX(Surface_Engine!$B$12:$B$72,$A1411+1)))))</f>
        <v>6183.77607529789</v>
      </c>
      <c r="L1411" s="48" t="n">
        <f aca="false">K1411*INDEX(Surface_Engine!$B$12:$B$72,$A1411+1)+L1412</f>
        <v>21136.7798629922</v>
      </c>
      <c r="M1411" s="48" t="n">
        <f aca="false">M1410+B1410*(IF($A1410&lt;$Q$1392,(Surface_Engine!L248*12)-(Surface_Engine!L248*12)*INDEX(Surface_Engine!$F$12:$F$72,$A1410+1)-INDEX(Surface_Engine!$D$12:$D$72,$A1410+1),-(1000*12*INDEX(Surface_Engine!$C$12:$C$72,$A1410+1)/(1+Assumptions!$B$10)^13+INDEX(Surface_Engine!$D$12:$D$72,$A1410+1))))*INDEX(Surface_Engine!$B$12:$B$72,$A1410+1)</f>
        <v>24250.0075887224</v>
      </c>
      <c r="N1411" s="12" t="n">
        <f aca="false">IF(B1411&lt;=0,0,MAX(0,(K1411+Assumptions!$B$29*L1411/INDEX(Surface_Engine!$B$12:$B$72,$A1411+1)-(M1411/INDEX(Surface_Engine!$B$12:$B$72,$A1411+1)-(F1411/INDEX(Surface_Engine!$B$12:$B$72,$A1411+1))))/B1411))</f>
        <v>12779.0253965936</v>
      </c>
    </row>
    <row r="1412" customFormat="false" ht="15" hidden="false" customHeight="true" outlineLevel="0" collapsed="false">
      <c r="A1412" s="1" t="n">
        <v>18</v>
      </c>
      <c r="B1412" s="32" t="n">
        <f aca="false">INDEX(Surface_Engine!$S$12:$S$72,$A1412+1)*IF($A1412&lt;$Q$1392,INDEX(Surface_Engine!$E$12:$E$72,$A1412+1),INDEX(Surface_Engine!$E$12:$E$72,$Q$1392+1))</f>
        <v>0.411130651801669</v>
      </c>
      <c r="C1412" s="32" t="n">
        <f aca="false">INDEX(Panel_Reserving!$G$8:$G$68,$A1412+1)*IF($A1412&lt;$Q$1392,INDEX(Surface_Engine!$E$12:$E$72,$A1412+1),INDEX(Surface_Engine!$E$12:$E$72,$Q$1392+1))</f>
        <v>0.475568780029082</v>
      </c>
      <c r="D1412" s="32" t="n">
        <f aca="false">INDEX(Surface_Engine!$S$12:$S$72,$A1412+1)*IF($A1412&lt;$Q$1392,INDEX(Surface_Engine!$Y$12:$Y$72,$A1412+1),INDEX(Surface_Engine!$Y$12:$Y$72,$Q$1392+1))</f>
        <v>0.375878544988986</v>
      </c>
      <c r="E1412" s="32" t="n">
        <f aca="false">INDEX(Surface_Engine!$S$12:$S$72,$A1412+1)*IF($A1412&lt;$Q$1392,INDEX(Surface_Engine!$Z$12:$Z$72,$A1412+1),INDEX(Surface_Engine!$Z$12:$Z$72,$Q$1392+1))</f>
        <v>0.449295259520773</v>
      </c>
      <c r="F1412" s="48" t="n">
        <f aca="false">B1412*(IF($A1412&lt;$Q$1392,INDEX(Surface_Engine!$D$12:$D$72,$A1412+1)+(Surface_Engine!L248*12)*INDEX(Surface_Engine!$F$12:$F$72,$A1412+1)-(Surface_Engine!L248*12),1000*12*INDEX(Surface_Engine!$C$12:$C$72,$A1412+1)/(1+Assumptions!$B$10)^13+INDEX(Surface_Engine!$D$12:$D$72,$A1412+1)))*INDEX(Surface_Engine!$B$12:$B$72,$A1412+1)+F1413</f>
        <v>19246.3531557607</v>
      </c>
      <c r="G1412" s="48" t="n">
        <f aca="false">C1412*(IF($A1412&lt;$Q$1392,INDEX(Surface_Engine!$D$12:$D$72,$A1412+1)+(Surface_Engine!L248*12)*INDEX(Surface_Engine!$F$12:$F$72,$A1412+1)-(Surface_Engine!L248*12),1000*12*INDEX(Surface_Engine!$C$12:$C$72,$A1412+1)/(1+Assumptions!$B$10)^13+INDEX(Surface_Engine!$D$12:$D$72,$A1412+1)))*INDEX(Surface_Engine!$B$12:$B$72,$A1412+1)+G1413</f>
        <v>25962.9397282392</v>
      </c>
      <c r="H1412" s="48" t="n">
        <f aca="false">D1412*(IF($A1412&lt;$Q$1392,INDEX(Surface_Engine!$D$12:$D$72,$A1412+1)+(Surface_Engine!L248*12)*INDEX(Surface_Engine!$F$12:$F$72,$A1412+1)-(Surface_Engine!L248*12),1000*12*INDEX(Surface_Engine!$C$12:$C$72,$A1412+1)/(1+Assumptions!$B$10)^13+INDEX(Surface_Engine!$D$12:$D$72,$A1412+1)))*INDEX(Surface_Engine!$B$12:$B$72,$A1412+1)+H1413</f>
        <v>17596.0882236078</v>
      </c>
      <c r="I1412" s="48" t="n">
        <f aca="false">E1412*(IF($A1412&lt;$Q$1392,INDEX(Surface_Engine!$D$12:$D$72,$A1412+1)+(Surface_Engine!L248*12)*INDEX(Surface_Engine!$F$12:$F$72,$A1412+1)-(Surface_Engine!L248*12),1000*12*INDEX(Surface_Engine!$C$12:$C$72,$A1412+1)/(1+Assumptions!$B$10)^13+INDEX(Surface_Engine!$D$12:$D$72,$A1412+1)))*INDEX(Surface_Engine!$B$12:$B$72,$A1412+1)+I1413</f>
        <v>21032.9616584206</v>
      </c>
      <c r="J1412" s="48" t="n">
        <f aca="false">B1412*(IF($A1412&lt;$Q$1392,INDEX(Surface_Engine!$D$12:$D$72,$A1412+1)*(1+Assumptions!$B$24)+(Surface_Engine!L248*12)*INDEX(Surface_Engine!$F$12:$F$72,$A1412+1)-(Surface_Engine!L248*12),1000*12*INDEX(Surface_Engine!$C$12:$C$72,$A1412+1)/(1+Assumptions!$B$10)^13+INDEX(Surface_Engine!$D$12:$D$72,$A1412+1)*(1+Assumptions!$B$24)))*INDEX(Surface_Engine!$B$12:$B$72,$A1412+1)+J1413</f>
        <v>19265.1259238351</v>
      </c>
      <c r="K1412" s="12" t="n">
        <f aca="false">SQRT((IF(C1412&lt;=0,0,MAX(0,(B1412/C1412)*G1412/INDEX(Surface_Engine!$B$12:$B$72,$A1412+1)-F1412/INDEX(Surface_Engine!$B$12:$B$72,$A1412+1))))^2+(MAX(IF(D1412&lt;=0,0,MAX(0,(B1412/D1412)*H1412/INDEX(Surface_Engine!$B$12:$B$72,$A1412+1)-F1412/INDEX(Surface_Engine!$B$12:$B$72,$A1412+1))),IF(E1412&lt;=0,0,MAX(0,(B1412/E1412)*I1412/INDEX(Surface_Engine!$B$12:$B$72,$A1412+1)-F1412/INDEX(Surface_Engine!$B$12:$B$72,$A1412+1))),IF($A1412&lt;$Q$1392,MAX(0,-Assumptions!$B$22*(F1412/INDEX(Surface_Engine!$B$12:$B$72,$A1412+1))),0)))^2+(MAX(0,J1412/INDEX(Surface_Engine!$B$12:$B$72,$A1412+1)-(F1412/INDEX(Surface_Engine!$B$12:$B$72,$A1412+1))))^2+2*Assumptions!$B$26*(IF(C1412&lt;=0,0,MAX(0,(B1412/C1412)*G1412/INDEX(Surface_Engine!$B$12:$B$72,$A1412+1)-F1412/INDEX(Surface_Engine!$B$12:$B$72,$A1412+1))))*(MAX(IF(D1412&lt;=0,0,MAX(0,(B1412/D1412)*H1412/INDEX(Surface_Engine!$B$12:$B$72,$A1412+1)-F1412/INDEX(Surface_Engine!$B$12:$B$72,$A1412+1))),IF(E1412&lt;=0,0,MAX(0,(B1412/E1412)*I1412/INDEX(Surface_Engine!$B$12:$B$72,$A1412+1)-F1412/INDEX(Surface_Engine!$B$12:$B$72,$A1412+1))),IF($A1412&lt;$Q$1392,MAX(0,-Assumptions!$B$22*(F1412/INDEX(Surface_Engine!$B$12:$B$72,$A1412+1))),0)))+2*Assumptions!$B$27*(IF(C1412&lt;=0,0,MAX(0,(B1412/C1412)*G1412/INDEX(Surface_Engine!$B$12:$B$72,$A1412+1)-F1412/INDEX(Surface_Engine!$B$12:$B$72,$A1412+1))))*(MAX(0,J1412/INDEX(Surface_Engine!$B$12:$B$72,$A1412+1)-(F1412/INDEX(Surface_Engine!$B$12:$B$72,$A1412+1))))+2*Assumptions!$B$28*(MAX(IF(D1412&lt;=0,0,MAX(0,(B1412/D1412)*H1412/INDEX(Surface_Engine!$B$12:$B$72,$A1412+1)-F1412/INDEX(Surface_Engine!$B$12:$B$72,$A1412+1))),IF(E1412&lt;=0,0,MAX(0,(B1412/E1412)*I1412/INDEX(Surface_Engine!$B$12:$B$72,$A1412+1)-F1412/INDEX(Surface_Engine!$B$12:$B$72,$A1412+1))),IF($A1412&lt;$Q$1392,MAX(0,-Assumptions!$B$22*(F1412/INDEX(Surface_Engine!$B$12:$B$72,$A1412+1))),0)))*(MAX(0,J1412/INDEX(Surface_Engine!$B$12:$B$72,$A1412+1)-(F1412/INDEX(Surface_Engine!$B$12:$B$72,$A1412+1)))))</f>
        <v>5613.04279526511</v>
      </c>
      <c r="L1412" s="48" t="n">
        <f aca="false">K1412*INDEX(Surface_Engine!$B$12:$B$72,$A1412+1)+L1413</f>
        <v>17490.522112255</v>
      </c>
      <c r="M1412" s="48" t="n">
        <f aca="false">M1411+B1411*(IF($A1411&lt;$Q$1392,(Surface_Engine!L248*12)-(Surface_Engine!L248*12)*INDEX(Surface_Engine!$F$12:$F$72,$A1411+1)-INDEX(Surface_Engine!$D$12:$D$72,$A1411+1),-(1000*12*INDEX(Surface_Engine!$C$12:$C$72,$A1411+1)/(1+Assumptions!$B$10)^13+INDEX(Surface_Engine!$D$12:$D$72,$A1411+1))))*INDEX(Surface_Engine!$B$12:$B$72,$A1411+1)</f>
        <v>20757.8710681521</v>
      </c>
      <c r="N1412" s="12" t="n">
        <f aca="false">IF(B1412&lt;=0,0,MAX(0,(K1412+Assumptions!$B$29*L1412/INDEX(Surface_Engine!$B$12:$B$72,$A1412+1)-(M1412/INDEX(Surface_Engine!$B$12:$B$72,$A1412+1)-(F1412/INDEX(Surface_Engine!$B$12:$B$72,$A1412+1))))/B1412))</f>
        <v>11683.3326171235</v>
      </c>
    </row>
    <row r="1413" customFormat="false" ht="15" hidden="false" customHeight="true" outlineLevel="0" collapsed="false">
      <c r="A1413" s="1" t="n">
        <v>19</v>
      </c>
      <c r="B1413" s="32" t="n">
        <f aca="false">INDEX(Surface_Engine!$S$12:$S$72,$A1413+1)*IF($A1413&lt;$Q$1392,INDEX(Surface_Engine!$E$12:$E$72,$A1413+1),INDEX(Surface_Engine!$E$12:$E$72,$Q$1392+1))</f>
        <v>0.368306660118744</v>
      </c>
      <c r="C1413" s="32" t="n">
        <f aca="false">INDEX(Panel_Reserving!$G$8:$G$68,$A1413+1)*IF($A1413&lt;$Q$1392,INDEX(Surface_Engine!$E$12:$E$72,$A1413+1),INDEX(Surface_Engine!$E$12:$E$72,$Q$1392+1))</f>
        <v>0.435940008218707</v>
      </c>
      <c r="D1413" s="32" t="n">
        <f aca="false">INDEX(Surface_Engine!$S$12:$S$72,$A1413+1)*IF($A1413&lt;$Q$1392,INDEX(Surface_Engine!$Y$12:$Y$72,$A1413+1),INDEX(Surface_Engine!$Y$12:$Y$72,$Q$1392+1))</f>
        <v>0.336726466169616</v>
      </c>
      <c r="E1413" s="32" t="n">
        <f aca="false">INDEX(Surface_Engine!$S$12:$S$72,$A1413+1)*IF($A1413&lt;$Q$1392,INDEX(Surface_Engine!$Z$12:$Z$72,$A1413+1),INDEX(Surface_Engine!$Z$12:$Z$72,$Q$1392+1))</f>
        <v>0.402495984466534</v>
      </c>
      <c r="F1413" s="48" t="n">
        <f aca="false">B1413*(IF($A1413&lt;$Q$1392,INDEX(Surface_Engine!$D$12:$D$72,$A1413+1)+(Surface_Engine!L248*12)*INDEX(Surface_Engine!$F$12:$F$72,$A1413+1)-(Surface_Engine!L248*12),1000*12*INDEX(Surface_Engine!$C$12:$C$72,$A1413+1)/(1+Assumptions!$B$10)^13+INDEX(Surface_Engine!$D$12:$D$72,$A1413+1)))*INDEX(Surface_Engine!$B$12:$B$72,$A1413+1)+F1414</f>
        <v>16107.6430404049</v>
      </c>
      <c r="G1413" s="48" t="n">
        <f aca="false">C1413*(IF($A1413&lt;$Q$1392,INDEX(Surface_Engine!$D$12:$D$72,$A1413+1)+(Surface_Engine!L248*12)*INDEX(Surface_Engine!$F$12:$F$72,$A1413+1)-(Surface_Engine!L248*12),1000*12*INDEX(Surface_Engine!$C$12:$C$72,$A1413+1)/(1+Assumptions!$B$10)^13+INDEX(Surface_Engine!$D$12:$D$72,$A1413+1)))*INDEX(Surface_Engine!$B$12:$B$72,$A1413+1)+G1414</f>
        <v>22332.2871999407</v>
      </c>
      <c r="H1413" s="48" t="n">
        <f aca="false">D1413*(IF($A1413&lt;$Q$1392,INDEX(Surface_Engine!$D$12:$D$72,$A1413+1)+(Surface_Engine!L248*12)*INDEX(Surface_Engine!$F$12:$F$72,$A1413+1)-(Surface_Engine!L248*12),1000*12*INDEX(Surface_Engine!$C$12:$C$72,$A1413+1)/(1+Assumptions!$B$10)^13+INDEX(Surface_Engine!$D$12:$D$72,$A1413+1)))*INDEX(Surface_Engine!$B$12:$B$72,$A1413+1)+H1414</f>
        <v>14726.5045860654</v>
      </c>
      <c r="I1413" s="48" t="n">
        <f aca="false">E1413*(IF($A1413&lt;$Q$1392,INDEX(Surface_Engine!$D$12:$D$72,$A1413+1)+(Surface_Engine!L248*12)*INDEX(Surface_Engine!$F$12:$F$72,$A1413+1)-(Surface_Engine!L248*12),1000*12*INDEX(Surface_Engine!$C$12:$C$72,$A1413+1)/(1+Assumptions!$B$10)^13+INDEX(Surface_Engine!$D$12:$D$72,$A1413+1)))*INDEX(Surface_Engine!$B$12:$B$72,$A1413+1)+I1414</f>
        <v>17602.8900506253</v>
      </c>
      <c r="J1413" s="48" t="n">
        <f aca="false">B1413*(IF($A1413&lt;$Q$1392,INDEX(Surface_Engine!$D$12:$D$72,$A1413+1)*(1+Assumptions!$B$24)+(Surface_Engine!L248*12)*INDEX(Surface_Engine!$F$12:$F$72,$A1413+1)-(Surface_Engine!L248*12),1000*12*INDEX(Surface_Engine!$C$12:$C$72,$A1413+1)/(1+Assumptions!$B$10)^13+INDEX(Surface_Engine!$D$12:$D$72,$A1413+1)*(1+Assumptions!$B$24)))*INDEX(Surface_Engine!$B$12:$B$72,$A1413+1)+J1414</f>
        <v>16123.4149853333</v>
      </c>
      <c r="K1413" s="12" t="n">
        <f aca="false">SQRT((IF(C1413&lt;=0,0,MAX(0,(B1413/C1413)*G1413/INDEX(Surface_Engine!$B$12:$B$72,$A1413+1)-F1413/INDEX(Surface_Engine!$B$12:$B$72,$A1413+1))))^2+(MAX(IF(D1413&lt;=0,0,MAX(0,(B1413/D1413)*H1413/INDEX(Surface_Engine!$B$12:$B$72,$A1413+1)-F1413/INDEX(Surface_Engine!$B$12:$B$72,$A1413+1))),IF(E1413&lt;=0,0,MAX(0,(B1413/E1413)*I1413/INDEX(Surface_Engine!$B$12:$B$72,$A1413+1)-F1413/INDEX(Surface_Engine!$B$12:$B$72,$A1413+1))),IF($A1413&lt;$Q$1392,MAX(0,-Assumptions!$B$22*(F1413/INDEX(Surface_Engine!$B$12:$B$72,$A1413+1))),0)))^2+(MAX(0,J1413/INDEX(Surface_Engine!$B$12:$B$72,$A1413+1)-(F1413/INDEX(Surface_Engine!$B$12:$B$72,$A1413+1))))^2+2*Assumptions!$B$26*(IF(C1413&lt;=0,0,MAX(0,(B1413/C1413)*G1413/INDEX(Surface_Engine!$B$12:$B$72,$A1413+1)-F1413/INDEX(Surface_Engine!$B$12:$B$72,$A1413+1))))*(MAX(IF(D1413&lt;=0,0,MAX(0,(B1413/D1413)*H1413/INDEX(Surface_Engine!$B$12:$B$72,$A1413+1)-F1413/INDEX(Surface_Engine!$B$12:$B$72,$A1413+1))),IF(E1413&lt;=0,0,MAX(0,(B1413/E1413)*I1413/INDEX(Surface_Engine!$B$12:$B$72,$A1413+1)-F1413/INDEX(Surface_Engine!$B$12:$B$72,$A1413+1))),IF($A1413&lt;$Q$1392,MAX(0,-Assumptions!$B$22*(F1413/INDEX(Surface_Engine!$B$12:$B$72,$A1413+1))),0)))+2*Assumptions!$B$27*(IF(C1413&lt;=0,0,MAX(0,(B1413/C1413)*G1413/INDEX(Surface_Engine!$B$12:$B$72,$A1413+1)-F1413/INDEX(Surface_Engine!$B$12:$B$72,$A1413+1))))*(MAX(0,J1413/INDEX(Surface_Engine!$B$12:$B$72,$A1413+1)-(F1413/INDEX(Surface_Engine!$B$12:$B$72,$A1413+1))))+2*Assumptions!$B$28*(MAX(IF(D1413&lt;=0,0,MAX(0,(B1413/D1413)*H1413/INDEX(Surface_Engine!$B$12:$B$72,$A1413+1)-F1413/INDEX(Surface_Engine!$B$12:$B$72,$A1413+1))),IF(E1413&lt;=0,0,MAX(0,(B1413/E1413)*I1413/INDEX(Surface_Engine!$B$12:$B$72,$A1413+1)-F1413/INDEX(Surface_Engine!$B$12:$B$72,$A1413+1))),IF($A1413&lt;$Q$1392,MAX(0,-Assumptions!$B$22*(F1413/INDEX(Surface_Engine!$B$12:$B$72,$A1413+1))),0)))*(MAX(0,J1413/INDEX(Surface_Engine!$B$12:$B$72,$A1413+1)-(F1413/INDEX(Surface_Engine!$B$12:$B$72,$A1413+1)))))</f>
        <v>4998.96374869105</v>
      </c>
      <c r="L1413" s="48" t="n">
        <f aca="false">K1413*INDEX(Surface_Engine!$B$12:$B$72,$A1413+1)+L1414</f>
        <v>14287.0904176348</v>
      </c>
      <c r="M1413" s="48" t="n">
        <f aca="false">M1412+B1412*(IF($A1412&lt;$Q$1392,(Surface_Engine!L248*12)-(Surface_Engine!L248*12)*INDEX(Surface_Engine!$F$12:$F$72,$A1412+1)-INDEX(Surface_Engine!$D$12:$D$72,$A1412+1),-(1000*12*INDEX(Surface_Engine!$C$12:$C$72,$A1412+1)/(1+Assumptions!$B$10)^13+INDEX(Surface_Engine!$D$12:$D$72,$A1412+1))))*INDEX(Surface_Engine!$B$12:$B$72,$A1412+1)</f>
        <v>17619.1609527962</v>
      </c>
      <c r="N1413" s="12" t="n">
        <f aca="false">IF(B1413&lt;=0,0,MAX(0,(K1413+Assumptions!$B$29*L1413/INDEX(Surface_Engine!$B$12:$B$72,$A1413+1)-(M1413/INDEX(Surface_Engine!$B$12:$B$72,$A1413+1)-(F1413/INDEX(Surface_Engine!$B$12:$B$72,$A1413+1))))/B1413))</f>
        <v>10359.7794674944</v>
      </c>
    </row>
    <row r="1414" customFormat="false" ht="15" hidden="false" customHeight="true" outlineLevel="0" collapsed="false">
      <c r="A1414" s="1" t="n">
        <v>20</v>
      </c>
      <c r="B1414" s="32" t="n">
        <f aca="false">INDEX(Surface_Engine!$S$12:$S$72,$A1414+1)*IF($A1414&lt;$Q$1392,INDEX(Surface_Engine!$E$12:$E$72,$A1414+1),INDEX(Surface_Engine!$E$12:$E$72,$Q$1392+1))</f>
        <v>0.325252762312779</v>
      </c>
      <c r="C1414" s="32" t="n">
        <f aca="false">INDEX(Panel_Reserving!$G$8:$G$68,$A1414+1)*IF($A1414&lt;$Q$1392,INDEX(Surface_Engine!$E$12:$E$72,$A1414+1),INDEX(Surface_Engine!$E$12:$E$72,$Q$1392+1))</f>
        <v>0.395171988314144</v>
      </c>
      <c r="D1414" s="32" t="n">
        <f aca="false">INDEX(Surface_Engine!$S$12:$S$72,$A1414+1)*IF($A1414&lt;$Q$1392,INDEX(Surface_Engine!$Y$12:$Y$72,$A1414+1),INDEX(Surface_Engine!$Y$12:$Y$72,$Q$1392+1))</f>
        <v>0.297364194365037</v>
      </c>
      <c r="E1414" s="32" t="n">
        <f aca="false">INDEX(Surface_Engine!$S$12:$S$72,$A1414+1)*IF($A1414&lt;$Q$1392,INDEX(Surface_Engine!$Z$12:$Z$72,$A1414+1),INDEX(Surface_Engine!$Z$12:$Z$72,$Q$1392+1))</f>
        <v>0.355445461467719</v>
      </c>
      <c r="F1414" s="48" t="n">
        <f aca="false">B1414*(IF($A1414&lt;$Q$1392,INDEX(Surface_Engine!$D$12:$D$72,$A1414+1)+(Surface_Engine!L248*12)*INDEX(Surface_Engine!$F$12:$F$72,$A1414+1)-(Surface_Engine!L248*12),1000*12*INDEX(Surface_Engine!$C$12:$C$72,$A1414+1)/(1+Assumptions!$B$10)^13+INDEX(Surface_Engine!$D$12:$D$72,$A1414+1)))*INDEX(Surface_Engine!$B$12:$B$72,$A1414+1)+F1415</f>
        <v>13329.0233101618</v>
      </c>
      <c r="G1414" s="48" t="n">
        <f aca="false">C1414*(IF($A1414&lt;$Q$1392,INDEX(Surface_Engine!$D$12:$D$72,$A1414+1)+(Surface_Engine!L248*12)*INDEX(Surface_Engine!$F$12:$F$72,$A1414+1)-(Surface_Engine!L248*12),1000*12*INDEX(Surface_Engine!$C$12:$C$72,$A1414+1)/(1+Assumptions!$B$10)^13+INDEX(Surface_Engine!$D$12:$D$72,$A1414+1)))*INDEX(Surface_Engine!$B$12:$B$72,$A1414+1)+G1415</f>
        <v>19043.4205048657</v>
      </c>
      <c r="H1414" s="48" t="n">
        <f aca="false">D1414*(IF($A1414&lt;$Q$1392,INDEX(Surface_Engine!$D$12:$D$72,$A1414+1)+(Surface_Engine!L248*12)*INDEX(Surface_Engine!$F$12:$F$72,$A1414+1)-(Surface_Engine!L248*12),1000*12*INDEX(Surface_Engine!$C$12:$C$72,$A1414+1)/(1+Assumptions!$B$10)^13+INDEX(Surface_Engine!$D$12:$D$72,$A1414+1)))*INDEX(Surface_Engine!$B$12:$B$72,$A1414+1)+H1415</f>
        <v>12186.1356383731</v>
      </c>
      <c r="I1414" s="48" t="n">
        <f aca="false">E1414*(IF($A1414&lt;$Q$1392,INDEX(Surface_Engine!$D$12:$D$72,$A1414+1)+(Surface_Engine!L248*12)*INDEX(Surface_Engine!$F$12:$F$72,$A1414+1)-(Surface_Engine!L248*12),1000*12*INDEX(Surface_Engine!$C$12:$C$72,$A1414+1)/(1+Assumptions!$B$10)^13+INDEX(Surface_Engine!$D$12:$D$72,$A1414+1)))*INDEX(Surface_Engine!$B$12:$B$72,$A1414+1)+I1415</f>
        <v>14566.3354484854</v>
      </c>
      <c r="J1414" s="48" t="n">
        <f aca="false">B1414*(IF($A1414&lt;$Q$1392,INDEX(Surface_Engine!$D$12:$D$72,$A1414+1)*(1+Assumptions!$B$24)+(Surface_Engine!L248*12)*INDEX(Surface_Engine!$F$12:$F$72,$A1414+1)-(Surface_Engine!L248*12),1000*12*INDEX(Surface_Engine!$C$12:$C$72,$A1414+1)/(1+Assumptions!$B$10)^13+INDEX(Surface_Engine!$D$12:$D$72,$A1414+1)*(1+Assumptions!$B$24)))*INDEX(Surface_Engine!$B$12:$B$72,$A1414+1)+J1415</f>
        <v>13342.1258059582</v>
      </c>
      <c r="K1414" s="12" t="n">
        <f aca="false">SQRT((IF(C1414&lt;=0,0,MAX(0,(B1414/C1414)*G1414/INDEX(Surface_Engine!$B$12:$B$72,$A1414+1)-F1414/INDEX(Surface_Engine!$B$12:$B$72,$A1414+1))))^2+(MAX(IF(D1414&lt;=0,0,MAX(0,(B1414/D1414)*H1414/INDEX(Surface_Engine!$B$12:$B$72,$A1414+1)-F1414/INDEX(Surface_Engine!$B$12:$B$72,$A1414+1))),IF(E1414&lt;=0,0,MAX(0,(B1414/E1414)*I1414/INDEX(Surface_Engine!$B$12:$B$72,$A1414+1)-F1414/INDEX(Surface_Engine!$B$12:$B$72,$A1414+1))),IF($A1414&lt;$Q$1392,MAX(0,-Assumptions!$B$22*(F1414/INDEX(Surface_Engine!$B$12:$B$72,$A1414+1))),0)))^2+(MAX(0,J1414/INDEX(Surface_Engine!$B$12:$B$72,$A1414+1)-(F1414/INDEX(Surface_Engine!$B$12:$B$72,$A1414+1))))^2+2*Assumptions!$B$26*(IF(C1414&lt;=0,0,MAX(0,(B1414/C1414)*G1414/INDEX(Surface_Engine!$B$12:$B$72,$A1414+1)-F1414/INDEX(Surface_Engine!$B$12:$B$72,$A1414+1))))*(MAX(IF(D1414&lt;=0,0,MAX(0,(B1414/D1414)*H1414/INDEX(Surface_Engine!$B$12:$B$72,$A1414+1)-F1414/INDEX(Surface_Engine!$B$12:$B$72,$A1414+1))),IF(E1414&lt;=0,0,MAX(0,(B1414/E1414)*I1414/INDEX(Surface_Engine!$B$12:$B$72,$A1414+1)-F1414/INDEX(Surface_Engine!$B$12:$B$72,$A1414+1))),IF($A1414&lt;$Q$1392,MAX(0,-Assumptions!$B$22*(F1414/INDEX(Surface_Engine!$B$12:$B$72,$A1414+1))),0)))+2*Assumptions!$B$27*(IF(C1414&lt;=0,0,MAX(0,(B1414/C1414)*G1414/INDEX(Surface_Engine!$B$12:$B$72,$A1414+1)-F1414/INDEX(Surface_Engine!$B$12:$B$72,$A1414+1))))*(MAX(0,J1414/INDEX(Surface_Engine!$B$12:$B$72,$A1414+1)-(F1414/INDEX(Surface_Engine!$B$12:$B$72,$A1414+1))))+2*Assumptions!$B$28*(MAX(IF(D1414&lt;=0,0,MAX(0,(B1414/D1414)*H1414/INDEX(Surface_Engine!$B$12:$B$72,$A1414+1)-F1414/INDEX(Surface_Engine!$B$12:$B$72,$A1414+1))),IF(E1414&lt;=0,0,MAX(0,(B1414/E1414)*I1414/INDEX(Surface_Engine!$B$12:$B$72,$A1414+1)-F1414/INDEX(Surface_Engine!$B$12:$B$72,$A1414+1))),IF($A1414&lt;$Q$1392,MAX(0,-Assumptions!$B$22*(F1414/INDEX(Surface_Engine!$B$12:$B$72,$A1414+1))),0)))*(MAX(0,J1414/INDEX(Surface_Engine!$B$12:$B$72,$A1414+1)-(F1414/INDEX(Surface_Engine!$B$12:$B$72,$A1414+1)))))</f>
        <v>4382.63422686944</v>
      </c>
      <c r="L1414" s="48" t="n">
        <f aca="false">K1414*INDEX(Surface_Engine!$B$12:$B$72,$A1414+1)+L1415</f>
        <v>11523.1748644961</v>
      </c>
      <c r="M1414" s="48" t="n">
        <f aca="false">M1413+B1413*(IF($A1413&lt;$Q$1392,(Surface_Engine!L248*12)-(Surface_Engine!L248*12)*INDEX(Surface_Engine!$F$12:$F$72,$A1413+1)-INDEX(Surface_Engine!$D$12:$D$72,$A1413+1),-(1000*12*INDEX(Surface_Engine!$C$12:$C$72,$A1413+1)/(1+Assumptions!$B$10)^13+INDEX(Surface_Engine!$D$12:$D$72,$A1413+1))))*INDEX(Surface_Engine!$B$12:$B$72,$A1413+1)</f>
        <v>14840.5412225531</v>
      </c>
      <c r="N1414" s="12" t="n">
        <f aca="false">IF(B1414&lt;=0,0,MAX(0,(K1414+Assumptions!$B$29*L1414/INDEX(Surface_Engine!$B$12:$B$72,$A1414+1)-(M1414/INDEX(Surface_Engine!$B$12:$B$72,$A1414+1)-(F1414/INDEX(Surface_Engine!$B$12:$B$72,$A1414+1))))/B1414))</f>
        <v>8768.62645053391</v>
      </c>
    </row>
    <row r="1415" customFormat="false" ht="15" hidden="false" customHeight="true" outlineLevel="0" collapsed="false">
      <c r="A1415" s="1" t="n">
        <v>21</v>
      </c>
      <c r="B1415" s="32" t="n">
        <f aca="false">INDEX(Surface_Engine!$S$12:$S$72,$A1415+1)*IF($A1415&lt;$Q$1392,INDEX(Surface_Engine!$E$12:$E$72,$A1415+1),INDEX(Surface_Engine!$E$12:$E$72,$Q$1392+1))</f>
        <v>0.283049812241804</v>
      </c>
      <c r="C1415" s="32" t="n">
        <f aca="false">INDEX(Panel_Reserving!$G$8:$G$68,$A1415+1)*IF($A1415&lt;$Q$1392,INDEX(Surface_Engine!$E$12:$E$72,$A1415+1),INDEX(Surface_Engine!$E$12:$E$72,$Q$1392+1))</f>
        <v>0.354151771117693</v>
      </c>
      <c r="D1415" s="32" t="n">
        <f aca="false">INDEX(Surface_Engine!$S$12:$S$72,$A1415+1)*IF($A1415&lt;$Q$1392,INDEX(Surface_Engine!$Y$12:$Y$72,$A1415+1),INDEX(Surface_Engine!$Y$12:$Y$72,$Q$1392+1))</f>
        <v>0.258779906384064</v>
      </c>
      <c r="E1415" s="32" t="n">
        <f aca="false">INDEX(Surface_Engine!$S$12:$S$72,$A1415+1)*IF($A1415&lt;$Q$1392,INDEX(Surface_Engine!$Z$12:$Z$72,$A1415+1),INDEX(Surface_Engine!$Z$12:$Z$72,$Q$1392+1))</f>
        <v>0.309324878335357</v>
      </c>
      <c r="F1415" s="48" t="n">
        <f aca="false">B1415*(IF($A1415&lt;$Q$1392,INDEX(Surface_Engine!$D$12:$D$72,$A1415+1)+(Surface_Engine!L248*12)*INDEX(Surface_Engine!$F$12:$F$72,$A1415+1)-(Surface_Engine!L248*12),1000*12*INDEX(Surface_Engine!$C$12:$C$72,$A1415+1)/(1+Assumptions!$B$10)^13+INDEX(Surface_Engine!$D$12:$D$72,$A1415+1)))*INDEX(Surface_Engine!$B$12:$B$72,$A1415+1)+F1416</f>
        <v>10903.3519665359</v>
      </c>
      <c r="G1415" s="48" t="n">
        <f aca="false">C1415*(IF($A1415&lt;$Q$1392,INDEX(Surface_Engine!$D$12:$D$72,$A1415+1)+(Surface_Engine!L248*12)*INDEX(Surface_Engine!$F$12:$F$72,$A1415+1)-(Surface_Engine!L248*12),1000*12*INDEX(Surface_Engine!$C$12:$C$72,$A1415+1)/(1+Assumptions!$B$10)^13+INDEX(Surface_Engine!$D$12:$D$72,$A1415+1)))*INDEX(Surface_Engine!$B$12:$B$72,$A1415+1)+G1416</f>
        <v>16096.3052796444</v>
      </c>
      <c r="H1415" s="48" t="n">
        <f aca="false">D1415*(IF($A1415&lt;$Q$1392,INDEX(Surface_Engine!$D$12:$D$72,$A1415+1)+(Surface_Engine!L248*12)*INDEX(Surface_Engine!$F$12:$F$72,$A1415+1)-(Surface_Engine!L248*12),1000*12*INDEX(Surface_Engine!$C$12:$C$72,$A1415+1)/(1+Assumptions!$B$10)^13+INDEX(Surface_Engine!$D$12:$D$72,$A1415+1)))*INDEX(Surface_Engine!$B$12:$B$72,$A1415+1)+H1416</f>
        <v>9968.45176764238</v>
      </c>
      <c r="I1415" s="48" t="n">
        <f aca="false">E1415*(IF($A1415&lt;$Q$1392,INDEX(Surface_Engine!$D$12:$D$72,$A1415+1)+(Surface_Engine!L248*12)*INDEX(Surface_Engine!$F$12:$F$72,$A1415+1)-(Surface_Engine!L248*12),1000*12*INDEX(Surface_Engine!$C$12:$C$72,$A1415+1)/(1+Assumptions!$B$10)^13+INDEX(Surface_Engine!$D$12:$D$72,$A1415+1)))*INDEX(Surface_Engine!$B$12:$B$72,$A1415+1)+I1416</f>
        <v>11915.4928730886</v>
      </c>
      <c r="J1415" s="48" t="n">
        <f aca="false">B1415*(IF($A1415&lt;$Q$1392,INDEX(Surface_Engine!$D$12:$D$72,$A1415+1)*(1+Assumptions!$B$24)+(Surface_Engine!L248*12)*INDEX(Surface_Engine!$F$12:$F$72,$A1415+1)-(Surface_Engine!L248*12),1000*12*INDEX(Surface_Engine!$C$12:$C$72,$A1415+1)/(1+Assumptions!$B$10)^13+INDEX(Surface_Engine!$D$12:$D$72,$A1415+1)*(1+Assumptions!$B$24)))*INDEX(Surface_Engine!$B$12:$B$72,$A1415+1)+J1416</f>
        <v>10914.1127813251</v>
      </c>
      <c r="K1415" s="12" t="n">
        <f aca="false">SQRT((IF(C1415&lt;=0,0,MAX(0,(B1415/C1415)*G1415/INDEX(Surface_Engine!$B$12:$B$72,$A1415+1)-F1415/INDEX(Surface_Engine!$B$12:$B$72,$A1415+1))))^2+(MAX(IF(D1415&lt;=0,0,MAX(0,(B1415/D1415)*H1415/INDEX(Surface_Engine!$B$12:$B$72,$A1415+1)-F1415/INDEX(Surface_Engine!$B$12:$B$72,$A1415+1))),IF(E1415&lt;=0,0,MAX(0,(B1415/E1415)*I1415/INDEX(Surface_Engine!$B$12:$B$72,$A1415+1)-F1415/INDEX(Surface_Engine!$B$12:$B$72,$A1415+1))),IF($A1415&lt;$Q$1392,MAX(0,-Assumptions!$B$22*(F1415/INDEX(Surface_Engine!$B$12:$B$72,$A1415+1))),0)))^2+(MAX(0,J1415/INDEX(Surface_Engine!$B$12:$B$72,$A1415+1)-(F1415/INDEX(Surface_Engine!$B$12:$B$72,$A1415+1))))^2+2*Assumptions!$B$26*(IF(C1415&lt;=0,0,MAX(0,(B1415/C1415)*G1415/INDEX(Surface_Engine!$B$12:$B$72,$A1415+1)-F1415/INDEX(Surface_Engine!$B$12:$B$72,$A1415+1))))*(MAX(IF(D1415&lt;=0,0,MAX(0,(B1415/D1415)*H1415/INDEX(Surface_Engine!$B$12:$B$72,$A1415+1)-F1415/INDEX(Surface_Engine!$B$12:$B$72,$A1415+1))),IF(E1415&lt;=0,0,MAX(0,(B1415/E1415)*I1415/INDEX(Surface_Engine!$B$12:$B$72,$A1415+1)-F1415/INDEX(Surface_Engine!$B$12:$B$72,$A1415+1))),IF($A1415&lt;$Q$1392,MAX(0,-Assumptions!$B$22*(F1415/INDEX(Surface_Engine!$B$12:$B$72,$A1415+1))),0)))+2*Assumptions!$B$27*(IF(C1415&lt;=0,0,MAX(0,(B1415/C1415)*G1415/INDEX(Surface_Engine!$B$12:$B$72,$A1415+1)-F1415/INDEX(Surface_Engine!$B$12:$B$72,$A1415+1))))*(MAX(0,J1415/INDEX(Surface_Engine!$B$12:$B$72,$A1415+1)-(F1415/INDEX(Surface_Engine!$B$12:$B$72,$A1415+1))))+2*Assumptions!$B$28*(MAX(IF(D1415&lt;=0,0,MAX(0,(B1415/D1415)*H1415/INDEX(Surface_Engine!$B$12:$B$72,$A1415+1)-F1415/INDEX(Surface_Engine!$B$12:$B$72,$A1415+1))),IF(E1415&lt;=0,0,MAX(0,(B1415/E1415)*I1415/INDEX(Surface_Engine!$B$12:$B$72,$A1415+1)-F1415/INDEX(Surface_Engine!$B$12:$B$72,$A1415+1))),IF($A1415&lt;$Q$1392,MAX(0,-Assumptions!$B$22*(F1415/INDEX(Surface_Engine!$B$12:$B$72,$A1415+1))),0)))*(MAX(0,J1415/INDEX(Surface_Engine!$B$12:$B$72,$A1415+1)-(F1415/INDEX(Surface_Engine!$B$12:$B$72,$A1415+1)))))</f>
        <v>3782.49207589133</v>
      </c>
      <c r="L1415" s="48" t="n">
        <f aca="false">K1415*INDEX(Surface_Engine!$B$12:$B$72,$A1415+1)+L1416</f>
        <v>9174.88985503901</v>
      </c>
      <c r="M1415" s="48" t="n">
        <f aca="false">M1414+B1414*(IF($A1414&lt;$Q$1392,(Surface_Engine!L248*12)-(Surface_Engine!L248*12)*INDEX(Surface_Engine!$F$12:$F$72,$A1414+1)-INDEX(Surface_Engine!$D$12:$D$72,$A1414+1),-(1000*12*INDEX(Surface_Engine!$C$12:$C$72,$A1414+1)/(1+Assumptions!$B$10)^13+INDEX(Surface_Engine!$D$12:$D$72,$A1414+1))))*INDEX(Surface_Engine!$B$12:$B$72,$A1414+1)</f>
        <v>12414.8698789272</v>
      </c>
      <c r="N1415" s="12" t="n">
        <f aca="false">IF(B1415&lt;=0,0,MAX(0,(K1415+Assumptions!$B$29*L1415/INDEX(Surface_Engine!$B$12:$B$72,$A1415+1)-(M1415/INDEX(Surface_Engine!$B$12:$B$72,$A1415+1)-(F1415/INDEX(Surface_Engine!$B$12:$B$72,$A1415+1))))/B1415))</f>
        <v>6824.61069933726</v>
      </c>
    </row>
    <row r="1416" customFormat="false" ht="15" hidden="false" customHeight="true" outlineLevel="0" collapsed="false">
      <c r="A1416" s="1" t="n">
        <v>22</v>
      </c>
      <c r="B1416" s="32" t="n">
        <f aca="false">INDEX(Surface_Engine!$S$12:$S$72,$A1416+1)*IF($A1416&lt;$Q$1392,INDEX(Surface_Engine!$E$12:$E$72,$A1416+1),INDEX(Surface_Engine!$E$12:$E$72,$Q$1392+1))</f>
        <v>0.242916153975951</v>
      </c>
      <c r="C1416" s="32" t="n">
        <f aca="false">INDEX(Panel_Reserving!$G$8:$G$68,$A1416+1)*IF($A1416&lt;$Q$1392,INDEX(Surface_Engine!$E$12:$E$72,$A1416+1),INDEX(Surface_Engine!$E$12:$E$72,$Q$1392+1))</f>
        <v>0.313979602003822</v>
      </c>
      <c r="D1416" s="32" t="n">
        <f aca="false">INDEX(Surface_Engine!$S$12:$S$72,$A1416+1)*IF($A1416&lt;$Q$1392,INDEX(Surface_Engine!$Y$12:$Y$72,$A1416+1),INDEX(Surface_Engine!$Y$12:$Y$72,$Q$1392+1))</f>
        <v>0.222087480246664</v>
      </c>
      <c r="E1416" s="32" t="n">
        <f aca="false">INDEX(Surface_Engine!$S$12:$S$72,$A1416+1)*IF($A1416&lt;$Q$1392,INDEX(Surface_Engine!$Z$12:$Z$72,$A1416+1),INDEX(Surface_Engine!$Z$12:$Z$72,$Q$1392+1))</f>
        <v>0.265465676091364</v>
      </c>
      <c r="F1416" s="48" t="n">
        <f aca="false">B1416*(IF($A1416&lt;$Q$1392,INDEX(Surface_Engine!$D$12:$D$72,$A1416+1)+(Surface_Engine!L248*12)*INDEX(Surface_Engine!$F$12:$F$72,$A1416+1)-(Surface_Engine!L248*12),1000*12*INDEX(Surface_Engine!$C$12:$C$72,$A1416+1)/(1+Assumptions!$B$10)^13+INDEX(Surface_Engine!$D$12:$D$72,$A1416+1)))*INDEX(Surface_Engine!$B$12:$B$72,$A1416+1)+F1417</f>
        <v>8816.66676007909</v>
      </c>
      <c r="G1416" s="48" t="n">
        <f aca="false">C1416*(IF($A1416&lt;$Q$1392,INDEX(Surface_Engine!$D$12:$D$72,$A1416+1)+(Surface_Engine!L248*12)*INDEX(Surface_Engine!$F$12:$F$72,$A1416+1)-(Surface_Engine!L248*12),1000*12*INDEX(Surface_Engine!$C$12:$C$72,$A1416+1)/(1+Assumptions!$B$10)^13+INDEX(Surface_Engine!$D$12:$D$72,$A1416+1)))*INDEX(Surface_Engine!$B$12:$B$72,$A1416+1)+G1417</f>
        <v>13485.4458843361</v>
      </c>
      <c r="H1416" s="48" t="n">
        <f aca="false">D1416*(IF($A1416&lt;$Q$1392,INDEX(Surface_Engine!$D$12:$D$72,$A1416+1)+(Surface_Engine!L248*12)*INDEX(Surface_Engine!$F$12:$F$72,$A1416+1)-(Surface_Engine!L248*12),1000*12*INDEX(Surface_Engine!$C$12:$C$72,$A1416+1)/(1+Assumptions!$B$10)^13+INDEX(Surface_Engine!$D$12:$D$72,$A1416+1)))*INDEX(Surface_Engine!$B$12:$B$72,$A1416+1)+H1417</f>
        <v>8060.68790762401</v>
      </c>
      <c r="I1416" s="48" t="n">
        <f aca="false">E1416*(IF($A1416&lt;$Q$1392,INDEX(Surface_Engine!$D$12:$D$72,$A1416+1)+(Surface_Engine!L248*12)*INDEX(Surface_Engine!$F$12:$F$72,$A1416+1)-(Surface_Engine!L248*12),1000*12*INDEX(Surface_Engine!$C$12:$C$72,$A1416+1)/(1+Assumptions!$B$10)^13+INDEX(Surface_Engine!$D$12:$D$72,$A1416+1)))*INDEX(Surface_Engine!$B$12:$B$72,$A1416+1)+I1417</f>
        <v>9635.10398146827</v>
      </c>
      <c r="J1416" s="48" t="n">
        <f aca="false">B1416*(IF($A1416&lt;$Q$1392,INDEX(Surface_Engine!$D$12:$D$72,$A1416+1)*(1+Assumptions!$B$24)+(Surface_Engine!L248*12)*INDEX(Surface_Engine!$F$12:$F$72,$A1416+1)-(Surface_Engine!L248*12),1000*12*INDEX(Surface_Engine!$C$12:$C$72,$A1416+1)/(1+Assumptions!$B$10)^13+INDEX(Surface_Engine!$D$12:$D$72,$A1416+1)*(1+Assumptions!$B$24)))*INDEX(Surface_Engine!$B$12:$B$72,$A1416+1)+J1417</f>
        <v>8825.40336351973</v>
      </c>
      <c r="K1416" s="12" t="n">
        <f aca="false">SQRT((IF(C1416&lt;=0,0,MAX(0,(B1416/C1416)*G1416/INDEX(Surface_Engine!$B$12:$B$72,$A1416+1)-F1416/INDEX(Surface_Engine!$B$12:$B$72,$A1416+1))))^2+(MAX(IF(D1416&lt;=0,0,MAX(0,(B1416/D1416)*H1416/INDEX(Surface_Engine!$B$12:$B$72,$A1416+1)-F1416/INDEX(Surface_Engine!$B$12:$B$72,$A1416+1))),IF(E1416&lt;=0,0,MAX(0,(B1416/E1416)*I1416/INDEX(Surface_Engine!$B$12:$B$72,$A1416+1)-F1416/INDEX(Surface_Engine!$B$12:$B$72,$A1416+1))),IF($A1416&lt;$Q$1392,MAX(0,-Assumptions!$B$22*(F1416/INDEX(Surface_Engine!$B$12:$B$72,$A1416+1))),0)))^2+(MAX(0,J1416/INDEX(Surface_Engine!$B$12:$B$72,$A1416+1)-(F1416/INDEX(Surface_Engine!$B$12:$B$72,$A1416+1))))^2+2*Assumptions!$B$26*(IF(C1416&lt;=0,0,MAX(0,(B1416/C1416)*G1416/INDEX(Surface_Engine!$B$12:$B$72,$A1416+1)-F1416/INDEX(Surface_Engine!$B$12:$B$72,$A1416+1))))*(MAX(IF(D1416&lt;=0,0,MAX(0,(B1416/D1416)*H1416/INDEX(Surface_Engine!$B$12:$B$72,$A1416+1)-F1416/INDEX(Surface_Engine!$B$12:$B$72,$A1416+1))),IF(E1416&lt;=0,0,MAX(0,(B1416/E1416)*I1416/INDEX(Surface_Engine!$B$12:$B$72,$A1416+1)-F1416/INDEX(Surface_Engine!$B$12:$B$72,$A1416+1))),IF($A1416&lt;$Q$1392,MAX(0,-Assumptions!$B$22*(F1416/INDEX(Surface_Engine!$B$12:$B$72,$A1416+1))),0)))+2*Assumptions!$B$27*(IF(C1416&lt;=0,0,MAX(0,(B1416/C1416)*G1416/INDEX(Surface_Engine!$B$12:$B$72,$A1416+1)-F1416/INDEX(Surface_Engine!$B$12:$B$72,$A1416+1))))*(MAX(0,J1416/INDEX(Surface_Engine!$B$12:$B$72,$A1416+1)-(F1416/INDEX(Surface_Engine!$B$12:$B$72,$A1416+1))))+2*Assumptions!$B$28*(MAX(IF(D1416&lt;=0,0,MAX(0,(B1416/D1416)*H1416/INDEX(Surface_Engine!$B$12:$B$72,$A1416+1)-F1416/INDEX(Surface_Engine!$B$12:$B$72,$A1416+1))),IF(E1416&lt;=0,0,MAX(0,(B1416/E1416)*I1416/INDEX(Surface_Engine!$B$12:$B$72,$A1416+1)-F1416/INDEX(Surface_Engine!$B$12:$B$72,$A1416+1))),IF($A1416&lt;$Q$1392,MAX(0,-Assumptions!$B$22*(F1416/INDEX(Surface_Engine!$B$12:$B$72,$A1416+1))),0)))*(MAX(0,J1416/INDEX(Surface_Engine!$B$12:$B$72,$A1416+1)-(F1416/INDEX(Surface_Engine!$B$12:$B$72,$A1416+1)))))</f>
        <v>3217.08622324562</v>
      </c>
      <c r="L1416" s="48" t="n">
        <f aca="false">K1416*INDEX(Surface_Engine!$B$12:$B$72,$A1416+1)+L1417</f>
        <v>7210.82427166648</v>
      </c>
      <c r="M1416" s="48" t="n">
        <f aca="false">M1415+B1415*(IF($A1415&lt;$Q$1392,(Surface_Engine!L248*12)-(Surface_Engine!L248*12)*INDEX(Surface_Engine!$F$12:$F$72,$A1415+1)-INDEX(Surface_Engine!$D$12:$D$72,$A1415+1),-(1000*12*INDEX(Surface_Engine!$C$12:$C$72,$A1415+1)/(1+Assumptions!$B$10)^13+INDEX(Surface_Engine!$D$12:$D$72,$A1415+1))))*INDEX(Surface_Engine!$B$12:$B$72,$A1415+1)</f>
        <v>10328.1846724704</v>
      </c>
      <c r="N1416" s="12" t="n">
        <f aca="false">IF(B1416&lt;=0,0,MAX(0,(K1416+Assumptions!$B$29*L1416/INDEX(Surface_Engine!$B$12:$B$72,$A1416+1)-(M1416/INDEX(Surface_Engine!$B$12:$B$72,$A1416+1)-(F1416/INDEX(Surface_Engine!$B$12:$B$72,$A1416+1))))/B1416))</f>
        <v>4417.27722254222</v>
      </c>
    </row>
    <row r="1417" customFormat="false" ht="15" hidden="false" customHeight="true" outlineLevel="0" collapsed="false">
      <c r="A1417" s="1" t="n">
        <v>23</v>
      </c>
      <c r="B1417" s="32" t="n">
        <f aca="false">INDEX(Surface_Engine!$S$12:$S$72,$A1417+1)*IF($A1417&lt;$Q$1392,INDEX(Surface_Engine!$E$12:$E$72,$A1417+1),INDEX(Surface_Engine!$E$12:$E$72,$Q$1392+1))</f>
        <v>0.205768539606382</v>
      </c>
      <c r="C1417" s="32" t="n">
        <f aca="false">INDEX(Panel_Reserving!$G$8:$G$68,$A1417+1)*IF($A1417&lt;$Q$1392,INDEX(Surface_Engine!$E$12:$E$72,$A1417+1),INDEX(Surface_Engine!$E$12:$E$72,$Q$1392+1))</f>
        <v>0.275567687491777</v>
      </c>
      <c r="D1417" s="32" t="n">
        <f aca="false">INDEX(Surface_Engine!$S$12:$S$72,$A1417+1)*IF($A1417&lt;$Q$1392,INDEX(Surface_Engine!$Y$12:$Y$72,$A1417+1),INDEX(Surface_Engine!$Y$12:$Y$72,$Q$1392+1))</f>
        <v>0.188125061784658</v>
      </c>
      <c r="E1417" s="32" t="n">
        <f aca="false">INDEX(Surface_Engine!$S$12:$S$72,$A1417+1)*IF($A1417&lt;$Q$1392,INDEX(Surface_Engine!$Z$12:$Z$72,$A1417+1),INDEX(Surface_Engine!$Z$12:$Z$72,$Q$1392+1))</f>
        <v>0.224869707472598</v>
      </c>
      <c r="F1417" s="48" t="n">
        <f aca="false">B1417*(IF($A1417&lt;$Q$1392,INDEX(Surface_Engine!$D$12:$D$72,$A1417+1)+(Surface_Engine!L248*12)*INDEX(Surface_Engine!$F$12:$F$72,$A1417+1)-(Surface_Engine!L248*12),1000*12*INDEX(Surface_Engine!$C$12:$C$72,$A1417+1)/(1+Assumptions!$B$10)^13+INDEX(Surface_Engine!$D$12:$D$72,$A1417+1)))*INDEX(Surface_Engine!$B$12:$B$72,$A1417+1)+F1418</f>
        <v>7046.45490003189</v>
      </c>
      <c r="G1417" s="48" t="n">
        <f aca="false">C1417*(IF($A1417&lt;$Q$1392,INDEX(Surface_Engine!$D$12:$D$72,$A1417+1)+(Surface_Engine!L248*12)*INDEX(Surface_Engine!$F$12:$F$72,$A1417+1)-(Surface_Engine!L248*12),1000*12*INDEX(Surface_Engine!$C$12:$C$72,$A1417+1)/(1+Assumptions!$B$10)^13+INDEX(Surface_Engine!$D$12:$D$72,$A1417+1)))*INDEX(Surface_Engine!$B$12:$B$72,$A1417+1)+G1418</f>
        <v>11197.370735019</v>
      </c>
      <c r="H1417" s="48" t="n">
        <f aca="false">D1417*(IF($A1417&lt;$Q$1392,INDEX(Surface_Engine!$D$12:$D$72,$A1417+1)+(Surface_Engine!L248*12)*INDEX(Surface_Engine!$F$12:$F$72,$A1417+1)-(Surface_Engine!L248*12),1000*12*INDEX(Surface_Engine!$C$12:$C$72,$A1417+1)/(1+Assumptions!$B$10)^13+INDEX(Surface_Engine!$D$12:$D$72,$A1417+1)))*INDEX(Surface_Engine!$B$12:$B$72,$A1417+1)+H1418</f>
        <v>6442.26161087158</v>
      </c>
      <c r="I1417" s="48" t="n">
        <f aca="false">E1417*(IF($A1417&lt;$Q$1392,INDEX(Surface_Engine!$D$12:$D$72,$A1417+1)+(Surface_Engine!L248*12)*INDEX(Surface_Engine!$F$12:$F$72,$A1417+1)-(Surface_Engine!L248*12),1000*12*INDEX(Surface_Engine!$C$12:$C$72,$A1417+1)/(1+Assumptions!$B$10)^13+INDEX(Surface_Engine!$D$12:$D$72,$A1417+1)))*INDEX(Surface_Engine!$B$12:$B$72,$A1417+1)+I1418</f>
        <v>7700.56615612915</v>
      </c>
      <c r="J1417" s="48" t="n">
        <f aca="false">B1417*(IF($A1417&lt;$Q$1392,INDEX(Surface_Engine!$D$12:$D$72,$A1417+1)*(1+Assumptions!$B$24)+(Surface_Engine!L248*12)*INDEX(Surface_Engine!$F$12:$F$72,$A1417+1)-(Surface_Engine!L248*12),1000*12*INDEX(Surface_Engine!$C$12:$C$72,$A1417+1)/(1+Assumptions!$B$10)^13+INDEX(Surface_Engine!$D$12:$D$72,$A1417+1)*(1+Assumptions!$B$24)))*INDEX(Surface_Engine!$B$12:$B$72,$A1417+1)+J1418</f>
        <v>7053.46595482798</v>
      </c>
      <c r="K1417" s="12" t="n">
        <f aca="false">SQRT((IF(C1417&lt;=0,0,MAX(0,(B1417/C1417)*G1417/INDEX(Surface_Engine!$B$12:$B$72,$A1417+1)-F1417/INDEX(Surface_Engine!$B$12:$B$72,$A1417+1))))^2+(MAX(IF(D1417&lt;=0,0,MAX(0,(B1417/D1417)*H1417/INDEX(Surface_Engine!$B$12:$B$72,$A1417+1)-F1417/INDEX(Surface_Engine!$B$12:$B$72,$A1417+1))),IF(E1417&lt;=0,0,MAX(0,(B1417/E1417)*I1417/INDEX(Surface_Engine!$B$12:$B$72,$A1417+1)-F1417/INDEX(Surface_Engine!$B$12:$B$72,$A1417+1))),IF($A1417&lt;$Q$1392,MAX(0,-Assumptions!$B$22*(F1417/INDEX(Surface_Engine!$B$12:$B$72,$A1417+1))),0)))^2+(MAX(0,J1417/INDEX(Surface_Engine!$B$12:$B$72,$A1417+1)-(F1417/INDEX(Surface_Engine!$B$12:$B$72,$A1417+1))))^2+2*Assumptions!$B$26*(IF(C1417&lt;=0,0,MAX(0,(B1417/C1417)*G1417/INDEX(Surface_Engine!$B$12:$B$72,$A1417+1)-F1417/INDEX(Surface_Engine!$B$12:$B$72,$A1417+1))))*(MAX(IF(D1417&lt;=0,0,MAX(0,(B1417/D1417)*H1417/INDEX(Surface_Engine!$B$12:$B$72,$A1417+1)-F1417/INDEX(Surface_Engine!$B$12:$B$72,$A1417+1))),IF(E1417&lt;=0,0,MAX(0,(B1417/E1417)*I1417/INDEX(Surface_Engine!$B$12:$B$72,$A1417+1)-F1417/INDEX(Surface_Engine!$B$12:$B$72,$A1417+1))),IF($A1417&lt;$Q$1392,MAX(0,-Assumptions!$B$22*(F1417/INDEX(Surface_Engine!$B$12:$B$72,$A1417+1))),0)))+2*Assumptions!$B$27*(IF(C1417&lt;=0,0,MAX(0,(B1417/C1417)*G1417/INDEX(Surface_Engine!$B$12:$B$72,$A1417+1)-F1417/INDEX(Surface_Engine!$B$12:$B$72,$A1417+1))))*(MAX(0,J1417/INDEX(Surface_Engine!$B$12:$B$72,$A1417+1)-(F1417/INDEX(Surface_Engine!$B$12:$B$72,$A1417+1))))+2*Assumptions!$B$28*(MAX(IF(D1417&lt;=0,0,MAX(0,(B1417/D1417)*H1417/INDEX(Surface_Engine!$B$12:$B$72,$A1417+1)-F1417/INDEX(Surface_Engine!$B$12:$B$72,$A1417+1))),IF(E1417&lt;=0,0,MAX(0,(B1417/E1417)*I1417/INDEX(Surface_Engine!$B$12:$B$72,$A1417+1)-F1417/INDEX(Surface_Engine!$B$12:$B$72,$A1417+1))),IF($A1417&lt;$Q$1392,MAX(0,-Assumptions!$B$22*(F1417/INDEX(Surface_Engine!$B$12:$B$72,$A1417+1))),0)))*(MAX(0,J1417/INDEX(Surface_Engine!$B$12:$B$72,$A1417+1)-(F1417/INDEX(Surface_Engine!$B$12:$B$72,$A1417+1)))))</f>
        <v>2699.83105617148</v>
      </c>
      <c r="L1417" s="48" t="n">
        <f aca="false">K1417*INDEX(Surface_Engine!$B$12:$B$72,$A1417+1)+L1418</f>
        <v>5592.01896155196</v>
      </c>
      <c r="M1417" s="48" t="n">
        <f aca="false">M1416+B1416*(IF($A1416&lt;$Q$1392,(Surface_Engine!L248*12)-(Surface_Engine!L248*12)*INDEX(Surface_Engine!$F$12:$F$72,$A1416+1)-INDEX(Surface_Engine!$D$12:$D$72,$A1416+1),-(1000*12*INDEX(Surface_Engine!$C$12:$C$72,$A1416+1)/(1+Assumptions!$B$10)^13+INDEX(Surface_Engine!$D$12:$D$72,$A1416+1))))*INDEX(Surface_Engine!$B$12:$B$72,$A1416+1)</f>
        <v>8557.97281242323</v>
      </c>
      <c r="N1417" s="12" t="n">
        <f aca="false">IF(B1417&lt;=0,0,MAX(0,(K1417+Assumptions!$B$29*L1417/INDEX(Surface_Engine!$B$12:$B$72,$A1417+1)-(M1417/INDEX(Surface_Engine!$B$12:$B$72,$A1417+1)-(F1417/INDEX(Surface_Engine!$B$12:$B$72,$A1417+1))))/B1417))</f>
        <v>1400.12245229965</v>
      </c>
    </row>
    <row r="1418" customFormat="false" ht="15" hidden="false" customHeight="true" outlineLevel="0" collapsed="false">
      <c r="A1418" s="1" t="n">
        <v>24</v>
      </c>
      <c r="B1418" s="32" t="n">
        <f aca="false">INDEX(Surface_Engine!$S$12:$S$72,$A1418+1)*IF($A1418&lt;$Q$1392,INDEX(Surface_Engine!$E$12:$E$72,$A1418+1),INDEX(Surface_Engine!$E$12:$E$72,$Q$1392+1))</f>
        <v>0.171132558516784</v>
      </c>
      <c r="C1418" s="32" t="n">
        <f aca="false">INDEX(Panel_Reserving!$G$8:$G$68,$A1418+1)*IF($A1418&lt;$Q$1392,INDEX(Surface_Engine!$E$12:$E$72,$A1418+1),INDEX(Surface_Engine!$E$12:$E$72,$Q$1392+1))</f>
        <v>0.238459751628977</v>
      </c>
      <c r="D1418" s="32" t="n">
        <f aca="false">INDEX(Surface_Engine!$S$12:$S$72,$A1418+1)*IF($A1418&lt;$Q$1392,INDEX(Surface_Engine!$Y$12:$Y$72,$A1418+1),INDEX(Surface_Engine!$Y$12:$Y$72,$Q$1392+1))</f>
        <v>0.156458918384324</v>
      </c>
      <c r="E1418" s="32" t="n">
        <f aca="false">INDEX(Surface_Engine!$S$12:$S$72,$A1418+1)*IF($A1418&lt;$Q$1392,INDEX(Surface_Engine!$Z$12:$Z$72,$A1418+1),INDEX(Surface_Engine!$Z$12:$Z$72,$Q$1392+1))</f>
        <v>0.187018523076075</v>
      </c>
      <c r="F1418" s="48" t="n">
        <f aca="false">B1418*(IF($A1418&lt;$Q$1392,INDEX(Surface_Engine!$D$12:$D$72,$A1418+1)+(Surface_Engine!L248*12)*INDEX(Surface_Engine!$F$12:$F$72,$A1418+1)-(Surface_Engine!L248*12),1000*12*INDEX(Surface_Engine!$C$12:$C$72,$A1418+1)/(1+Assumptions!$B$10)^13+INDEX(Surface_Engine!$D$12:$D$72,$A1418+1)))*INDEX(Surface_Engine!$B$12:$B$72,$A1418+1)+F1419</f>
        <v>5564.22936489247</v>
      </c>
      <c r="G1418" s="48" t="n">
        <f aca="false">C1418*(IF($A1418&lt;$Q$1392,INDEX(Surface_Engine!$D$12:$D$72,$A1418+1)+(Surface_Engine!L248*12)*INDEX(Surface_Engine!$F$12:$F$72,$A1418+1)-(Surface_Engine!L248*12),1000*12*INDEX(Surface_Engine!$C$12:$C$72,$A1418+1)/(1+Assumptions!$B$10)^13+INDEX(Surface_Engine!$D$12:$D$72,$A1418+1)))*INDEX(Surface_Engine!$B$12:$B$72,$A1418+1)+G1419</f>
        <v>9212.35658348269</v>
      </c>
      <c r="H1418" s="48" t="n">
        <f aca="false">D1418*(IF($A1418&lt;$Q$1392,INDEX(Surface_Engine!$D$12:$D$72,$A1418+1)+(Surface_Engine!L248*12)*INDEX(Surface_Engine!$F$12:$F$72,$A1418+1)-(Surface_Engine!L248*12),1000*12*INDEX(Surface_Engine!$C$12:$C$72,$A1418+1)/(1+Assumptions!$B$10)^13+INDEX(Surface_Engine!$D$12:$D$72,$A1418+1)))*INDEX(Surface_Engine!$B$12:$B$72,$A1418+1)+H1419</f>
        <v>5087.12845538383</v>
      </c>
      <c r="I1418" s="48" t="n">
        <f aca="false">E1418*(IF($A1418&lt;$Q$1392,INDEX(Surface_Engine!$D$12:$D$72,$A1418+1)+(Surface_Engine!L248*12)*INDEX(Surface_Engine!$F$12:$F$72,$A1418+1)-(Surface_Engine!L248*12),1000*12*INDEX(Surface_Engine!$C$12:$C$72,$A1418+1)/(1+Assumptions!$B$10)^13+INDEX(Surface_Engine!$D$12:$D$72,$A1418+1)))*INDEX(Surface_Engine!$B$12:$B$72,$A1418+1)+I1419</f>
        <v>6080.74797044923</v>
      </c>
      <c r="J1418" s="48" t="n">
        <f aca="false">B1418*(IF($A1418&lt;$Q$1392,INDEX(Surface_Engine!$D$12:$D$72,$A1418+1)*(1+Assumptions!$B$24)+(Surface_Engine!L248*12)*INDEX(Surface_Engine!$F$12:$F$72,$A1418+1)-(Surface_Engine!L248*12),1000*12*INDEX(Surface_Engine!$C$12:$C$72,$A1418+1)/(1+Assumptions!$B$10)^13+INDEX(Surface_Engine!$D$12:$D$72,$A1418+1)*(1+Assumptions!$B$24)))*INDEX(Surface_Engine!$B$12:$B$72,$A1418+1)+J1419</f>
        <v>5569.78857822984</v>
      </c>
      <c r="K1418" s="12" t="n">
        <f aca="false">SQRT((IF(C1418&lt;=0,0,MAX(0,(B1418/C1418)*G1418/INDEX(Surface_Engine!$B$12:$B$72,$A1418+1)-F1418/INDEX(Surface_Engine!$B$12:$B$72,$A1418+1))))^2+(MAX(IF(D1418&lt;=0,0,MAX(0,(B1418/D1418)*H1418/INDEX(Surface_Engine!$B$12:$B$72,$A1418+1)-F1418/INDEX(Surface_Engine!$B$12:$B$72,$A1418+1))),IF(E1418&lt;=0,0,MAX(0,(B1418/E1418)*I1418/INDEX(Surface_Engine!$B$12:$B$72,$A1418+1)-F1418/INDEX(Surface_Engine!$B$12:$B$72,$A1418+1))),IF($A1418&lt;$Q$1392,MAX(0,-Assumptions!$B$22*(F1418/INDEX(Surface_Engine!$B$12:$B$72,$A1418+1))),0)))^2+(MAX(0,J1418/INDEX(Surface_Engine!$B$12:$B$72,$A1418+1)-(F1418/INDEX(Surface_Engine!$B$12:$B$72,$A1418+1))))^2+2*Assumptions!$B$26*(IF(C1418&lt;=0,0,MAX(0,(B1418/C1418)*G1418/INDEX(Surface_Engine!$B$12:$B$72,$A1418+1)-F1418/INDEX(Surface_Engine!$B$12:$B$72,$A1418+1))))*(MAX(IF(D1418&lt;=0,0,MAX(0,(B1418/D1418)*H1418/INDEX(Surface_Engine!$B$12:$B$72,$A1418+1)-F1418/INDEX(Surface_Engine!$B$12:$B$72,$A1418+1))),IF(E1418&lt;=0,0,MAX(0,(B1418/E1418)*I1418/INDEX(Surface_Engine!$B$12:$B$72,$A1418+1)-F1418/INDEX(Surface_Engine!$B$12:$B$72,$A1418+1))),IF($A1418&lt;$Q$1392,MAX(0,-Assumptions!$B$22*(F1418/INDEX(Surface_Engine!$B$12:$B$72,$A1418+1))),0)))+2*Assumptions!$B$27*(IF(C1418&lt;=0,0,MAX(0,(B1418/C1418)*G1418/INDEX(Surface_Engine!$B$12:$B$72,$A1418+1)-F1418/INDEX(Surface_Engine!$B$12:$B$72,$A1418+1))))*(MAX(0,J1418/INDEX(Surface_Engine!$B$12:$B$72,$A1418+1)-(F1418/INDEX(Surface_Engine!$B$12:$B$72,$A1418+1))))+2*Assumptions!$B$28*(MAX(IF(D1418&lt;=0,0,MAX(0,(B1418/D1418)*H1418/INDEX(Surface_Engine!$B$12:$B$72,$A1418+1)-F1418/INDEX(Surface_Engine!$B$12:$B$72,$A1418+1))),IF(E1418&lt;=0,0,MAX(0,(B1418/E1418)*I1418/INDEX(Surface_Engine!$B$12:$B$72,$A1418+1)-F1418/INDEX(Surface_Engine!$B$12:$B$72,$A1418+1))),IF($A1418&lt;$Q$1392,MAX(0,-Assumptions!$B$22*(F1418/INDEX(Surface_Engine!$B$12:$B$72,$A1418+1))),0)))*(MAX(0,J1418/INDEX(Surface_Engine!$B$12:$B$72,$A1418+1)-(F1418/INDEX(Surface_Engine!$B$12:$B$72,$A1418+1)))))</f>
        <v>2219.49021335469</v>
      </c>
      <c r="L1418" s="48" t="n">
        <f aca="false">K1418*INDEX(Surface_Engine!$B$12:$B$72,$A1418+1)+L1419</f>
        <v>4275.53961236595</v>
      </c>
      <c r="M1418" s="48" t="n">
        <f aca="false">M1417+B1417*(IF($A1417&lt;$Q$1392,(Surface_Engine!L248*12)-(Surface_Engine!L248*12)*INDEX(Surface_Engine!$F$12:$F$72,$A1417+1)-INDEX(Surface_Engine!$D$12:$D$72,$A1417+1),-(1000*12*INDEX(Surface_Engine!$C$12:$C$72,$A1417+1)/(1+Assumptions!$B$10)^13+INDEX(Surface_Engine!$D$12:$D$72,$A1417+1))))*INDEX(Surface_Engine!$B$12:$B$72,$A1417+1)</f>
        <v>7075.7472772838</v>
      </c>
      <c r="N1418" s="12" t="n">
        <f aca="false">IF(B1418&lt;=0,0,MAX(0,(K1418+Assumptions!$B$29*L1418/INDEX(Surface_Engine!$B$12:$B$72,$A1418+1)-(M1418/INDEX(Surface_Engine!$B$12:$B$72,$A1418+1)-(F1418/INDEX(Surface_Engine!$B$12:$B$72,$A1418+1))))/B1418))</f>
        <v>0</v>
      </c>
    </row>
    <row r="1419" customFormat="false" ht="15" hidden="false" customHeight="true" outlineLevel="0" collapsed="false">
      <c r="A1419" s="1" t="n">
        <v>25</v>
      </c>
      <c r="B1419" s="32" t="n">
        <f aca="false">INDEX(Surface_Engine!$S$12:$S$72,$A1419+1)*IF($A1419&lt;$Q$1392,INDEX(Surface_Engine!$E$12:$E$72,$A1419+1),INDEX(Surface_Engine!$E$12:$E$72,$Q$1392+1))</f>
        <v>0.140600821789159</v>
      </c>
      <c r="C1419" s="32" t="n">
        <f aca="false">INDEX(Panel_Reserving!$G$8:$G$68,$A1419+1)*IF($A1419&lt;$Q$1392,INDEX(Surface_Engine!$E$12:$E$72,$A1419+1),INDEX(Surface_Engine!$E$12:$E$72,$Q$1392+1))</f>
        <v>0.204424893879069</v>
      </c>
      <c r="D1419" s="32" t="n">
        <f aca="false">INDEX(Surface_Engine!$S$12:$S$72,$A1419+1)*IF($A1419&lt;$Q$1392,INDEX(Surface_Engine!$Y$12:$Y$72,$A1419+1),INDEX(Surface_Engine!$Y$12:$Y$72,$Q$1392+1))</f>
        <v>0.128545103817409</v>
      </c>
      <c r="E1419" s="32" t="n">
        <f aca="false">INDEX(Surface_Engine!$S$12:$S$72,$A1419+1)*IF($A1419&lt;$Q$1392,INDEX(Surface_Engine!$Z$12:$Z$72,$A1419+1),INDEX(Surface_Engine!$Z$12:$Z$72,$Q$1392+1))</f>
        <v>0.153652573549948</v>
      </c>
      <c r="F1419" s="48" t="n">
        <f aca="false">B1419*(IF($A1419&lt;$Q$1392,INDEX(Surface_Engine!$D$12:$D$72,$A1419+1)+(Surface_Engine!L248*12)*INDEX(Surface_Engine!$F$12:$F$72,$A1419+1)-(Surface_Engine!L248*12),1000*12*INDEX(Surface_Engine!$C$12:$C$72,$A1419+1)/(1+Assumptions!$B$10)^13+INDEX(Surface_Engine!$D$12:$D$72,$A1419+1)))*INDEX(Surface_Engine!$B$12:$B$72,$A1419+1)+F1420</f>
        <v>4346.01116658684</v>
      </c>
      <c r="G1419" s="48" t="n">
        <f aca="false">C1419*(IF($A1419&lt;$Q$1392,INDEX(Surface_Engine!$D$12:$D$72,$A1419+1)+(Surface_Engine!L248*12)*INDEX(Surface_Engine!$F$12:$F$72,$A1419+1)-(Surface_Engine!L248*12),1000*12*INDEX(Surface_Engine!$C$12:$C$72,$A1419+1)/(1+Assumptions!$B$10)^13+INDEX(Surface_Engine!$D$12:$D$72,$A1419+1)))*INDEX(Surface_Engine!$B$12:$B$72,$A1419+1)+G1420</f>
        <v>7514.86540170169</v>
      </c>
      <c r="H1419" s="48" t="n">
        <f aca="false">D1419*(IF($A1419&lt;$Q$1392,INDEX(Surface_Engine!$D$12:$D$72,$A1419+1)+(Surface_Engine!L248*12)*INDEX(Surface_Engine!$F$12:$F$72,$A1419+1)-(Surface_Engine!L248*12),1000*12*INDEX(Surface_Engine!$C$12:$C$72,$A1419+1)/(1+Assumptions!$B$10)^13+INDEX(Surface_Engine!$D$12:$D$72,$A1419+1)))*INDEX(Surface_Engine!$B$12:$B$72,$A1419+1)+H1420</f>
        <v>3973.36551445108</v>
      </c>
      <c r="I1419" s="48" t="n">
        <f aca="false">E1419*(IF($A1419&lt;$Q$1392,INDEX(Surface_Engine!$D$12:$D$72,$A1419+1)+(Surface_Engine!L248*12)*INDEX(Surface_Engine!$F$12:$F$72,$A1419+1)-(Surface_Engine!L248*12),1000*12*INDEX(Surface_Engine!$C$12:$C$72,$A1419+1)/(1+Assumptions!$B$10)^13+INDEX(Surface_Engine!$D$12:$D$72,$A1419+1)))*INDEX(Surface_Engine!$B$12:$B$72,$A1419+1)+I1420</f>
        <v>4749.44450484264</v>
      </c>
      <c r="J1419" s="48" t="n">
        <f aca="false">B1419*(IF($A1419&lt;$Q$1392,INDEX(Surface_Engine!$D$12:$D$72,$A1419+1)*(1+Assumptions!$B$24)+(Surface_Engine!L248*12)*INDEX(Surface_Engine!$F$12:$F$72,$A1419+1)-(Surface_Engine!L248*12),1000*12*INDEX(Surface_Engine!$C$12:$C$72,$A1419+1)/(1+Assumptions!$B$10)^13+INDEX(Surface_Engine!$D$12:$D$72,$A1419+1)*(1+Assumptions!$B$24)))*INDEX(Surface_Engine!$B$12:$B$72,$A1419+1)+J1420</f>
        <v>4350.37134225391</v>
      </c>
      <c r="K1419" s="12" t="n">
        <f aca="false">SQRT((IF(C1419&lt;=0,0,MAX(0,(B1419/C1419)*G1419/INDEX(Surface_Engine!$B$12:$B$72,$A1419+1)-F1419/INDEX(Surface_Engine!$B$12:$B$72,$A1419+1))))^2+(MAX(IF(D1419&lt;=0,0,MAX(0,(B1419/D1419)*H1419/INDEX(Surface_Engine!$B$12:$B$72,$A1419+1)-F1419/INDEX(Surface_Engine!$B$12:$B$72,$A1419+1))),IF(E1419&lt;=0,0,MAX(0,(B1419/E1419)*I1419/INDEX(Surface_Engine!$B$12:$B$72,$A1419+1)-F1419/INDEX(Surface_Engine!$B$12:$B$72,$A1419+1))),IF($A1419&lt;$Q$1392,MAX(0,-Assumptions!$B$22*(F1419/INDEX(Surface_Engine!$B$12:$B$72,$A1419+1))),0)))^2+(MAX(0,J1419/INDEX(Surface_Engine!$B$12:$B$72,$A1419+1)-(F1419/INDEX(Surface_Engine!$B$12:$B$72,$A1419+1))))^2+2*Assumptions!$B$26*(IF(C1419&lt;=0,0,MAX(0,(B1419/C1419)*G1419/INDEX(Surface_Engine!$B$12:$B$72,$A1419+1)-F1419/INDEX(Surface_Engine!$B$12:$B$72,$A1419+1))))*(MAX(IF(D1419&lt;=0,0,MAX(0,(B1419/D1419)*H1419/INDEX(Surface_Engine!$B$12:$B$72,$A1419+1)-F1419/INDEX(Surface_Engine!$B$12:$B$72,$A1419+1))),IF(E1419&lt;=0,0,MAX(0,(B1419/E1419)*I1419/INDEX(Surface_Engine!$B$12:$B$72,$A1419+1)-F1419/INDEX(Surface_Engine!$B$12:$B$72,$A1419+1))),IF($A1419&lt;$Q$1392,MAX(0,-Assumptions!$B$22*(F1419/INDEX(Surface_Engine!$B$12:$B$72,$A1419+1))),0)))+2*Assumptions!$B$27*(IF(C1419&lt;=0,0,MAX(0,(B1419/C1419)*G1419/INDEX(Surface_Engine!$B$12:$B$72,$A1419+1)-F1419/INDEX(Surface_Engine!$B$12:$B$72,$A1419+1))))*(MAX(0,J1419/INDEX(Surface_Engine!$B$12:$B$72,$A1419+1)-(F1419/INDEX(Surface_Engine!$B$12:$B$72,$A1419+1))))+2*Assumptions!$B$28*(MAX(IF(D1419&lt;=0,0,MAX(0,(B1419/D1419)*H1419/INDEX(Surface_Engine!$B$12:$B$72,$A1419+1)-F1419/INDEX(Surface_Engine!$B$12:$B$72,$A1419+1))),IF(E1419&lt;=0,0,MAX(0,(B1419/E1419)*I1419/INDEX(Surface_Engine!$B$12:$B$72,$A1419+1)-F1419/INDEX(Surface_Engine!$B$12:$B$72,$A1419+1))),IF($A1419&lt;$Q$1392,MAX(0,-Assumptions!$B$22*(F1419/INDEX(Surface_Engine!$B$12:$B$72,$A1419+1))),0)))*(MAX(0,J1419/INDEX(Surface_Engine!$B$12:$B$72,$A1419+1)-(F1419/INDEX(Surface_Engine!$B$12:$B$72,$A1419+1)))))</f>
        <v>1799.45250465326</v>
      </c>
      <c r="L1419" s="48" t="n">
        <f aca="false">K1419*INDEX(Surface_Engine!$B$12:$B$72,$A1419+1)+L1420</f>
        <v>3227.04356674015</v>
      </c>
      <c r="M1419" s="48" t="n">
        <f aca="false">M1418+B1418*(IF($A1418&lt;$Q$1392,(Surface_Engine!L248*12)-(Surface_Engine!L248*12)*INDEX(Surface_Engine!$F$12:$F$72,$A1418+1)-INDEX(Surface_Engine!$D$12:$D$72,$A1418+1),-(1000*12*INDEX(Surface_Engine!$C$12:$C$72,$A1418+1)/(1+Assumptions!$B$10)^13+INDEX(Surface_Engine!$D$12:$D$72,$A1418+1))))*INDEX(Surface_Engine!$B$12:$B$72,$A1418+1)</f>
        <v>5857.52907897817</v>
      </c>
      <c r="N1419" s="12" t="n">
        <f aca="false">IF(B1419&lt;=0,0,MAX(0,(K1419+Assumptions!$B$29*L1419/INDEX(Surface_Engine!$B$12:$B$72,$A1419+1)-(M1419/INDEX(Surface_Engine!$B$12:$B$72,$A1419+1)-(F1419/INDEX(Surface_Engine!$B$12:$B$72,$A1419+1))))/B1419))</f>
        <v>0</v>
      </c>
    </row>
    <row r="1420" customFormat="false" ht="15" hidden="false" customHeight="true" outlineLevel="0" collapsed="false">
      <c r="A1420" s="1" t="n">
        <v>26</v>
      </c>
      <c r="B1420" s="32" t="n">
        <f aca="false">INDEX(Surface_Engine!$S$12:$S$72,$A1420+1)*IF($A1420&lt;$Q$1392,INDEX(Surface_Engine!$E$12:$E$72,$A1420+1),INDEX(Surface_Engine!$E$12:$E$72,$Q$1392+1))</f>
        <v>0.114150554739835</v>
      </c>
      <c r="C1420" s="32" t="n">
        <f aca="false">INDEX(Panel_Reserving!$G$8:$G$68,$A1420+1)*IF($A1420&lt;$Q$1392,INDEX(Surface_Engine!$E$12:$E$72,$A1420+1),INDEX(Surface_Engine!$E$12:$E$72,$Q$1392+1))</f>
        <v>0.173659252735154</v>
      </c>
      <c r="D1420" s="32" t="n">
        <f aca="false">INDEX(Surface_Engine!$S$12:$S$72,$A1420+1)*IF($A1420&lt;$Q$1392,INDEX(Surface_Engine!$Y$12:$Y$72,$A1420+1),INDEX(Surface_Engine!$Y$12:$Y$72,$Q$1392+1))</f>
        <v>0.104362796199378</v>
      </c>
      <c r="E1420" s="32" t="n">
        <f aca="false">INDEX(Surface_Engine!$S$12:$S$72,$A1420+1)*IF($A1420&lt;$Q$1392,INDEX(Surface_Engine!$Z$12:$Z$72,$A1420+1),INDEX(Surface_Engine!$Z$12:$Z$72,$Q$1392+1))</f>
        <v>0.124746970072705</v>
      </c>
      <c r="F1420" s="48" t="n">
        <f aca="false">B1420*(IF($A1420&lt;$Q$1392,INDEX(Surface_Engine!$D$12:$D$72,$A1420+1)+(Surface_Engine!L248*12)*INDEX(Surface_Engine!$F$12:$F$72,$A1420+1)-(Surface_Engine!L248*12),1000*12*INDEX(Surface_Engine!$C$12:$C$72,$A1420+1)/(1+Assumptions!$B$10)^13+INDEX(Surface_Engine!$D$12:$D$72,$A1420+1)))*INDEX(Surface_Engine!$B$12:$B$72,$A1420+1)+F1421</f>
        <v>3356.71591981344</v>
      </c>
      <c r="G1420" s="48" t="n">
        <f aca="false">C1420*(IF($A1420&lt;$Q$1392,INDEX(Surface_Engine!$D$12:$D$72,$A1420+1)+(Surface_Engine!L248*12)*INDEX(Surface_Engine!$F$12:$F$72,$A1420+1)-(Surface_Engine!L248*12),1000*12*INDEX(Surface_Engine!$C$12:$C$72,$A1420+1)/(1+Assumptions!$B$10)^13+INDEX(Surface_Engine!$D$12:$D$72,$A1420+1)))*INDEX(Surface_Engine!$B$12:$B$72,$A1420+1)+G1421</f>
        <v>6076.49133487022</v>
      </c>
      <c r="H1420" s="48" t="n">
        <f aca="false">D1420*(IF($A1420&lt;$Q$1392,INDEX(Surface_Engine!$D$12:$D$72,$A1420+1)+(Surface_Engine!L248*12)*INDEX(Surface_Engine!$F$12:$F$72,$A1420+1)-(Surface_Engine!L248*12),1000*12*INDEX(Surface_Engine!$C$12:$C$72,$A1420+1)/(1+Assumptions!$B$10)^13+INDEX(Surface_Engine!$D$12:$D$72,$A1420+1)))*INDEX(Surface_Engine!$B$12:$B$72,$A1420+1)+H1421</f>
        <v>3068.89668856289</v>
      </c>
      <c r="I1420" s="48" t="n">
        <f aca="false">E1420*(IF($A1420&lt;$Q$1392,INDEX(Surface_Engine!$D$12:$D$72,$A1420+1)+(Surface_Engine!L248*12)*INDEX(Surface_Engine!$F$12:$F$72,$A1420+1)-(Surface_Engine!L248*12),1000*12*INDEX(Surface_Engine!$C$12:$C$72,$A1420+1)/(1+Assumptions!$B$10)^13+INDEX(Surface_Engine!$D$12:$D$72,$A1420+1)))*INDEX(Surface_Engine!$B$12:$B$72,$A1420+1)+I1421</f>
        <v>3668.31454604759</v>
      </c>
      <c r="J1420" s="48" t="n">
        <f aca="false">B1420*(IF($A1420&lt;$Q$1392,INDEX(Surface_Engine!$D$12:$D$72,$A1420+1)*(1+Assumptions!$B$24)+(Surface_Engine!L248*12)*INDEX(Surface_Engine!$F$12:$F$72,$A1420+1)-(Surface_Engine!L248*12),1000*12*INDEX(Surface_Engine!$C$12:$C$72,$A1420+1)/(1+Assumptions!$B$10)^13+INDEX(Surface_Engine!$D$12:$D$72,$A1420+1)*(1+Assumptions!$B$24)))*INDEX(Surface_Engine!$B$12:$B$72,$A1420+1)+J1421</f>
        <v>3360.09765050475</v>
      </c>
      <c r="K1420" s="12" t="n">
        <f aca="false">SQRT((IF(C1420&lt;=0,0,MAX(0,(B1420/C1420)*G1420/INDEX(Surface_Engine!$B$12:$B$72,$A1420+1)-F1420/INDEX(Surface_Engine!$B$12:$B$72,$A1420+1))))^2+(MAX(IF(D1420&lt;=0,0,MAX(0,(B1420/D1420)*H1420/INDEX(Surface_Engine!$B$12:$B$72,$A1420+1)-F1420/INDEX(Surface_Engine!$B$12:$B$72,$A1420+1))),IF(E1420&lt;=0,0,MAX(0,(B1420/E1420)*I1420/INDEX(Surface_Engine!$B$12:$B$72,$A1420+1)-F1420/INDEX(Surface_Engine!$B$12:$B$72,$A1420+1))),IF($A1420&lt;$Q$1392,MAX(0,-Assumptions!$B$22*(F1420/INDEX(Surface_Engine!$B$12:$B$72,$A1420+1))),0)))^2+(MAX(0,J1420/INDEX(Surface_Engine!$B$12:$B$72,$A1420+1)-(F1420/INDEX(Surface_Engine!$B$12:$B$72,$A1420+1))))^2+2*Assumptions!$B$26*(IF(C1420&lt;=0,0,MAX(0,(B1420/C1420)*G1420/INDEX(Surface_Engine!$B$12:$B$72,$A1420+1)-F1420/INDEX(Surface_Engine!$B$12:$B$72,$A1420+1))))*(MAX(IF(D1420&lt;=0,0,MAX(0,(B1420/D1420)*H1420/INDEX(Surface_Engine!$B$12:$B$72,$A1420+1)-F1420/INDEX(Surface_Engine!$B$12:$B$72,$A1420+1))),IF(E1420&lt;=0,0,MAX(0,(B1420/E1420)*I1420/INDEX(Surface_Engine!$B$12:$B$72,$A1420+1)-F1420/INDEX(Surface_Engine!$B$12:$B$72,$A1420+1))),IF($A1420&lt;$Q$1392,MAX(0,-Assumptions!$B$22*(F1420/INDEX(Surface_Engine!$B$12:$B$72,$A1420+1))),0)))+2*Assumptions!$B$27*(IF(C1420&lt;=0,0,MAX(0,(B1420/C1420)*G1420/INDEX(Surface_Engine!$B$12:$B$72,$A1420+1)-F1420/INDEX(Surface_Engine!$B$12:$B$72,$A1420+1))))*(MAX(0,J1420/INDEX(Surface_Engine!$B$12:$B$72,$A1420+1)-(F1420/INDEX(Surface_Engine!$B$12:$B$72,$A1420+1))))+2*Assumptions!$B$28*(MAX(IF(D1420&lt;=0,0,MAX(0,(B1420/D1420)*H1420/INDEX(Surface_Engine!$B$12:$B$72,$A1420+1)-F1420/INDEX(Surface_Engine!$B$12:$B$72,$A1420+1))),IF(E1420&lt;=0,0,MAX(0,(B1420/E1420)*I1420/INDEX(Surface_Engine!$B$12:$B$72,$A1420+1)-F1420/INDEX(Surface_Engine!$B$12:$B$72,$A1420+1))),IF($A1420&lt;$Q$1392,MAX(0,-Assumptions!$B$22*(F1420/INDEX(Surface_Engine!$B$12:$B$72,$A1420+1))),0)))*(MAX(0,J1420/INDEX(Surface_Engine!$B$12:$B$72,$A1420+1)-(F1420/INDEX(Surface_Engine!$B$12:$B$72,$A1420+1)))))</f>
        <v>1439.54682425565</v>
      </c>
      <c r="L1420" s="48" t="n">
        <f aca="false">K1420*INDEX(Surface_Engine!$B$12:$B$72,$A1420+1)+L1421</f>
        <v>2403.32576941847</v>
      </c>
      <c r="M1420" s="48" t="n">
        <f aca="false">M1419+B1419*(IF($A1419&lt;$Q$1392,(Surface_Engine!L248*12)-(Surface_Engine!L248*12)*INDEX(Surface_Engine!$F$12:$F$72,$A1419+1)-INDEX(Surface_Engine!$D$12:$D$72,$A1419+1),-(1000*12*INDEX(Surface_Engine!$C$12:$C$72,$A1419+1)/(1+Assumptions!$B$10)^13+INDEX(Surface_Engine!$D$12:$D$72,$A1419+1))))*INDEX(Surface_Engine!$B$12:$B$72,$A1419+1)</f>
        <v>4868.23383220477</v>
      </c>
      <c r="N1420" s="12" t="n">
        <f aca="false">IF(B1420&lt;=0,0,MAX(0,(K1420+Assumptions!$B$29*L1420/INDEX(Surface_Engine!$B$12:$B$72,$A1420+1)-(M1420/INDEX(Surface_Engine!$B$12:$B$72,$A1420+1)-(F1420/INDEX(Surface_Engine!$B$12:$B$72,$A1420+1))))/B1420))</f>
        <v>0</v>
      </c>
    </row>
    <row r="1421" customFormat="false" ht="15" hidden="false" customHeight="true" outlineLevel="0" collapsed="false">
      <c r="A1421" s="1" t="n">
        <v>27</v>
      </c>
      <c r="B1421" s="32" t="n">
        <f aca="false">INDEX(Surface_Engine!$S$12:$S$72,$A1421+1)*IF($A1421&lt;$Q$1392,INDEX(Surface_Engine!$E$12:$E$72,$A1421+1),INDEX(Surface_Engine!$E$12:$E$72,$Q$1392+1))</f>
        <v>0.0915807548167984</v>
      </c>
      <c r="C1421" s="32" t="n">
        <f aca="false">INDEX(Panel_Reserving!$G$8:$G$68,$A1421+1)*IF($A1421&lt;$Q$1392,INDEX(Surface_Engine!$E$12:$E$72,$A1421+1),INDEX(Surface_Engine!$E$12:$E$72,$Q$1392+1))</f>
        <v>0.146190584901173</v>
      </c>
      <c r="D1421" s="32" t="n">
        <f aca="false">INDEX(Surface_Engine!$S$12:$S$72,$A1421+1)*IF($A1421&lt;$Q$1392,INDEX(Surface_Engine!$Y$12:$Y$72,$A1421+1),INDEX(Surface_Engine!$Y$12:$Y$72,$Q$1392+1))</f>
        <v>0.0837282277998022</v>
      </c>
      <c r="E1421" s="32" t="n">
        <f aca="false">INDEX(Surface_Engine!$S$12:$S$72,$A1421+1)*IF($A1421&lt;$Q$1392,INDEX(Surface_Engine!$Z$12:$Z$72,$A1421+1),INDEX(Surface_Engine!$Z$12:$Z$72,$Q$1392+1))</f>
        <v>0.10008205134355</v>
      </c>
      <c r="F1421" s="48" t="n">
        <f aca="false">B1421*(IF($A1421&lt;$Q$1392,INDEX(Surface_Engine!$D$12:$D$72,$A1421+1)+(Surface_Engine!L248*12)*INDEX(Surface_Engine!$F$12:$F$72,$A1421+1)-(Surface_Engine!L248*12),1000*12*INDEX(Surface_Engine!$C$12:$C$72,$A1421+1)/(1+Assumptions!$B$10)^13+INDEX(Surface_Engine!$D$12:$D$72,$A1421+1)))*INDEX(Surface_Engine!$B$12:$B$72,$A1421+1)+F1422</f>
        <v>2563.03862301467</v>
      </c>
      <c r="G1421" s="48" t="n">
        <f aca="false">C1421*(IF($A1421&lt;$Q$1392,INDEX(Surface_Engine!$D$12:$D$72,$A1421+1)+(Surface_Engine!L248*12)*INDEX(Surface_Engine!$F$12:$F$72,$A1421+1)-(Surface_Engine!L248*12),1000*12*INDEX(Surface_Engine!$C$12:$C$72,$A1421+1)/(1+Assumptions!$B$10)^13+INDEX(Surface_Engine!$D$12:$D$72,$A1421+1)))*INDEX(Surface_Engine!$B$12:$B$72,$A1421+1)+G1422</f>
        <v>4869.05606143627</v>
      </c>
      <c r="H1421" s="48" t="n">
        <f aca="false">D1421*(IF($A1421&lt;$Q$1392,INDEX(Surface_Engine!$D$12:$D$72,$A1421+1)+(Surface_Engine!L248*12)*INDEX(Surface_Engine!$F$12:$F$72,$A1421+1)-(Surface_Engine!L248*12),1000*12*INDEX(Surface_Engine!$C$12:$C$72,$A1421+1)/(1+Assumptions!$B$10)^13+INDEX(Surface_Engine!$D$12:$D$72,$A1421+1)))*INDEX(Surface_Engine!$B$12:$B$72,$A1421+1)+H1422</f>
        <v>2343.27268995277</v>
      </c>
      <c r="I1421" s="48" t="n">
        <f aca="false">E1421*(IF($A1421&lt;$Q$1392,INDEX(Surface_Engine!$D$12:$D$72,$A1421+1)+(Surface_Engine!L248*12)*INDEX(Surface_Engine!$F$12:$F$72,$A1421+1)-(Surface_Engine!L248*12),1000*12*INDEX(Surface_Engine!$C$12:$C$72,$A1421+1)/(1+Assumptions!$B$10)^13+INDEX(Surface_Engine!$D$12:$D$72,$A1421+1)))*INDEX(Surface_Engine!$B$12:$B$72,$A1421+1)+I1422</f>
        <v>2800.96144192299</v>
      </c>
      <c r="J1421" s="48" t="n">
        <f aca="false">B1421*(IF($A1421&lt;$Q$1392,INDEX(Surface_Engine!$D$12:$D$72,$A1421+1)*(1+Assumptions!$B$24)+(Surface_Engine!L248*12)*INDEX(Surface_Engine!$F$12:$F$72,$A1421+1)-(Surface_Engine!L248*12),1000*12*INDEX(Surface_Engine!$C$12:$C$72,$A1421+1)/(1+Assumptions!$B$10)^13+INDEX(Surface_Engine!$D$12:$D$72,$A1421+1)*(1+Assumptions!$B$24)))*INDEX(Surface_Engine!$B$12:$B$72,$A1421+1)+J1422</f>
        <v>2565.63157154296</v>
      </c>
      <c r="K1421" s="12" t="n">
        <f aca="false">SQRT((IF(C1421&lt;=0,0,MAX(0,(B1421/C1421)*G1421/INDEX(Surface_Engine!$B$12:$B$72,$A1421+1)-F1421/INDEX(Surface_Engine!$B$12:$B$72,$A1421+1))))^2+(MAX(IF(D1421&lt;=0,0,MAX(0,(B1421/D1421)*H1421/INDEX(Surface_Engine!$B$12:$B$72,$A1421+1)-F1421/INDEX(Surface_Engine!$B$12:$B$72,$A1421+1))),IF(E1421&lt;=0,0,MAX(0,(B1421/E1421)*I1421/INDEX(Surface_Engine!$B$12:$B$72,$A1421+1)-F1421/INDEX(Surface_Engine!$B$12:$B$72,$A1421+1))),IF($A1421&lt;$Q$1392,MAX(0,-Assumptions!$B$22*(F1421/INDEX(Surface_Engine!$B$12:$B$72,$A1421+1))),0)))^2+(MAX(0,J1421/INDEX(Surface_Engine!$B$12:$B$72,$A1421+1)-(F1421/INDEX(Surface_Engine!$B$12:$B$72,$A1421+1))))^2+2*Assumptions!$B$26*(IF(C1421&lt;=0,0,MAX(0,(B1421/C1421)*G1421/INDEX(Surface_Engine!$B$12:$B$72,$A1421+1)-F1421/INDEX(Surface_Engine!$B$12:$B$72,$A1421+1))))*(MAX(IF(D1421&lt;=0,0,MAX(0,(B1421/D1421)*H1421/INDEX(Surface_Engine!$B$12:$B$72,$A1421+1)-F1421/INDEX(Surface_Engine!$B$12:$B$72,$A1421+1))),IF(E1421&lt;=0,0,MAX(0,(B1421/E1421)*I1421/INDEX(Surface_Engine!$B$12:$B$72,$A1421+1)-F1421/INDEX(Surface_Engine!$B$12:$B$72,$A1421+1))),IF($A1421&lt;$Q$1392,MAX(0,-Assumptions!$B$22*(F1421/INDEX(Surface_Engine!$B$12:$B$72,$A1421+1))),0)))+2*Assumptions!$B$27*(IF(C1421&lt;=0,0,MAX(0,(B1421/C1421)*G1421/INDEX(Surface_Engine!$B$12:$B$72,$A1421+1)-F1421/INDEX(Surface_Engine!$B$12:$B$72,$A1421+1))))*(MAX(0,J1421/INDEX(Surface_Engine!$B$12:$B$72,$A1421+1)-(F1421/INDEX(Surface_Engine!$B$12:$B$72,$A1421+1))))+2*Assumptions!$B$28*(MAX(IF(D1421&lt;=0,0,MAX(0,(B1421/D1421)*H1421/INDEX(Surface_Engine!$B$12:$B$72,$A1421+1)-F1421/INDEX(Surface_Engine!$B$12:$B$72,$A1421+1))),IF(E1421&lt;=0,0,MAX(0,(B1421/E1421)*I1421/INDEX(Surface_Engine!$B$12:$B$72,$A1421+1)-F1421/INDEX(Surface_Engine!$B$12:$B$72,$A1421+1))),IF($A1421&lt;$Q$1392,MAX(0,-Assumptions!$B$22*(F1421/INDEX(Surface_Engine!$B$12:$B$72,$A1421+1))),0)))*(MAX(0,J1421/INDEX(Surface_Engine!$B$12:$B$72,$A1421+1)-(F1421/INDEX(Surface_Engine!$B$12:$B$72,$A1421+1)))))</f>
        <v>1135.31378340054</v>
      </c>
      <c r="L1421" s="48" t="n">
        <f aca="false">K1421*INDEX(Surface_Engine!$B$12:$B$72,$A1421+1)+L1422</f>
        <v>1764.95866696021</v>
      </c>
      <c r="M1421" s="48" t="n">
        <f aca="false">M1420+B1420*(IF($A1420&lt;$Q$1392,(Surface_Engine!L248*12)-(Surface_Engine!L248*12)*INDEX(Surface_Engine!$F$12:$F$72,$A1420+1)-INDEX(Surface_Engine!$D$12:$D$72,$A1420+1),-(1000*12*INDEX(Surface_Engine!$C$12:$C$72,$A1420+1)/(1+Assumptions!$B$10)^13+INDEX(Surface_Engine!$D$12:$D$72,$A1420+1))))*INDEX(Surface_Engine!$B$12:$B$72,$A1420+1)</f>
        <v>4074.55653540601</v>
      </c>
      <c r="N1421" s="12" t="n">
        <f aca="false">IF(B1421&lt;=0,0,MAX(0,(K1421+Assumptions!$B$29*L1421/INDEX(Surface_Engine!$B$12:$B$72,$A1421+1)-(M1421/INDEX(Surface_Engine!$B$12:$B$72,$A1421+1)-(F1421/INDEX(Surface_Engine!$B$12:$B$72,$A1421+1))))/B1421))</f>
        <v>0</v>
      </c>
    </row>
    <row r="1422" customFormat="false" ht="15" hidden="false" customHeight="true" outlineLevel="0" collapsed="false">
      <c r="A1422" s="1" t="n">
        <v>28</v>
      </c>
      <c r="B1422" s="32" t="n">
        <f aca="false">INDEX(Surface_Engine!$S$12:$S$72,$A1422+1)*IF($A1422&lt;$Q$1392,INDEX(Surface_Engine!$E$12:$E$72,$A1422+1),INDEX(Surface_Engine!$E$12:$E$72,$Q$1392+1))</f>
        <v>0.0725807367040137</v>
      </c>
      <c r="C1422" s="32" t="n">
        <f aca="false">INDEX(Panel_Reserving!$G$8:$G$68,$A1422+1)*IF($A1422&lt;$Q$1392,INDEX(Surface_Engine!$E$12:$E$72,$A1422+1),INDEX(Surface_Engine!$E$12:$E$72,$Q$1392+1))</f>
        <v>0.12192676426246</v>
      </c>
      <c r="D1422" s="32" t="n">
        <f aca="false">INDEX(Surface_Engine!$S$12:$S$72,$A1422+1)*IF($A1422&lt;$Q$1392,INDEX(Surface_Engine!$Y$12:$Y$72,$A1422+1),INDEX(Surface_Engine!$Y$12:$Y$72,$Q$1392+1))</f>
        <v>0.0663573527952231</v>
      </c>
      <c r="E1422" s="32" t="n">
        <f aca="false">INDEX(Surface_Engine!$S$12:$S$72,$A1422+1)*IF($A1422&lt;$Q$1392,INDEX(Surface_Engine!$Z$12:$Z$72,$A1422+1),INDEX(Surface_Engine!$Z$12:$Z$72,$Q$1392+1))</f>
        <v>0.0793182916202754</v>
      </c>
      <c r="F1422" s="48" t="n">
        <f aca="false">B1422*(IF($A1422&lt;$Q$1392,INDEX(Surface_Engine!$D$12:$D$72,$A1422+1)+(Surface_Engine!L248*12)*INDEX(Surface_Engine!$F$12:$F$72,$A1422+1)-(Surface_Engine!L248*12),1000*12*INDEX(Surface_Engine!$C$12:$C$72,$A1422+1)/(1+Assumptions!$B$10)^13+INDEX(Surface_Engine!$D$12:$D$72,$A1422+1)))*INDEX(Surface_Engine!$B$12:$B$72,$A1422+1)+F1423</f>
        <v>1933.68471363683</v>
      </c>
      <c r="G1422" s="48" t="n">
        <f aca="false">C1422*(IF($A1422&lt;$Q$1392,INDEX(Surface_Engine!$D$12:$D$72,$A1422+1)+(Surface_Engine!L248*12)*INDEX(Surface_Engine!$F$12:$F$72,$A1422+1)-(Surface_Engine!L248*12),1000*12*INDEX(Surface_Engine!$C$12:$C$72,$A1422+1)/(1+Assumptions!$B$10)^13+INDEX(Surface_Engine!$D$12:$D$72,$A1422+1)))*INDEX(Surface_Engine!$B$12:$B$72,$A1422+1)+G1423</f>
        <v>3864.41686288589</v>
      </c>
      <c r="H1422" s="48" t="n">
        <f aca="false">D1422*(IF($A1422&lt;$Q$1392,INDEX(Surface_Engine!$D$12:$D$72,$A1422+1)+(Surface_Engine!L248*12)*INDEX(Surface_Engine!$F$12:$F$72,$A1422+1)-(Surface_Engine!L248*12),1000*12*INDEX(Surface_Engine!$C$12:$C$72,$A1422+1)/(1+Assumptions!$B$10)^13+INDEX(Surface_Engine!$D$12:$D$72,$A1422+1)))*INDEX(Surface_Engine!$B$12:$B$72,$A1422+1)+H1423</f>
        <v>1767.88228618838</v>
      </c>
      <c r="I1422" s="48" t="n">
        <f aca="false">E1422*(IF($A1422&lt;$Q$1392,INDEX(Surface_Engine!$D$12:$D$72,$A1422+1)+(Surface_Engine!L248*12)*INDEX(Surface_Engine!$F$12:$F$72,$A1422+1)-(Surface_Engine!L248*12),1000*12*INDEX(Surface_Engine!$C$12:$C$72,$A1422+1)/(1+Assumptions!$B$10)^13+INDEX(Surface_Engine!$D$12:$D$72,$A1422+1)))*INDEX(Surface_Engine!$B$12:$B$72,$A1422+1)+I1423</f>
        <v>2113.1856052025</v>
      </c>
      <c r="J1422" s="48" t="n">
        <f aca="false">B1422*(IF($A1422&lt;$Q$1392,INDEX(Surface_Engine!$D$12:$D$72,$A1422+1)*(1+Assumptions!$B$24)+(Surface_Engine!L248*12)*INDEX(Surface_Engine!$F$12:$F$72,$A1422+1)-(Surface_Engine!L248*12),1000*12*INDEX(Surface_Engine!$C$12:$C$72,$A1422+1)/(1+Assumptions!$B$10)^13+INDEX(Surface_Engine!$D$12:$D$72,$A1422+1)*(1+Assumptions!$B$24)))*INDEX(Surface_Engine!$B$12:$B$72,$A1422+1)+J1423</f>
        <v>1935.64915447695</v>
      </c>
      <c r="K1422" s="12" t="n">
        <f aca="false">SQRT((IF(C1422&lt;=0,0,MAX(0,(B1422/C1422)*G1422/INDEX(Surface_Engine!$B$12:$B$72,$A1422+1)-F1422/INDEX(Surface_Engine!$B$12:$B$72,$A1422+1))))^2+(MAX(IF(D1422&lt;=0,0,MAX(0,(B1422/D1422)*H1422/INDEX(Surface_Engine!$B$12:$B$72,$A1422+1)-F1422/INDEX(Surface_Engine!$B$12:$B$72,$A1422+1))),IF(E1422&lt;=0,0,MAX(0,(B1422/E1422)*I1422/INDEX(Surface_Engine!$B$12:$B$72,$A1422+1)-F1422/INDEX(Surface_Engine!$B$12:$B$72,$A1422+1))),IF($A1422&lt;$Q$1392,MAX(0,-Assumptions!$B$22*(F1422/INDEX(Surface_Engine!$B$12:$B$72,$A1422+1))),0)))^2+(MAX(0,J1422/INDEX(Surface_Engine!$B$12:$B$72,$A1422+1)-(F1422/INDEX(Surface_Engine!$B$12:$B$72,$A1422+1))))^2+2*Assumptions!$B$26*(IF(C1422&lt;=0,0,MAX(0,(B1422/C1422)*G1422/INDEX(Surface_Engine!$B$12:$B$72,$A1422+1)-F1422/INDEX(Surface_Engine!$B$12:$B$72,$A1422+1))))*(MAX(IF(D1422&lt;=0,0,MAX(0,(B1422/D1422)*H1422/INDEX(Surface_Engine!$B$12:$B$72,$A1422+1)-F1422/INDEX(Surface_Engine!$B$12:$B$72,$A1422+1))),IF(E1422&lt;=0,0,MAX(0,(B1422/E1422)*I1422/INDEX(Surface_Engine!$B$12:$B$72,$A1422+1)-F1422/INDEX(Surface_Engine!$B$12:$B$72,$A1422+1))),IF($A1422&lt;$Q$1392,MAX(0,-Assumptions!$B$22*(F1422/INDEX(Surface_Engine!$B$12:$B$72,$A1422+1))),0)))+2*Assumptions!$B$27*(IF(C1422&lt;=0,0,MAX(0,(B1422/C1422)*G1422/INDEX(Surface_Engine!$B$12:$B$72,$A1422+1)-F1422/INDEX(Surface_Engine!$B$12:$B$72,$A1422+1))))*(MAX(0,J1422/INDEX(Surface_Engine!$B$12:$B$72,$A1422+1)-(F1422/INDEX(Surface_Engine!$B$12:$B$72,$A1422+1))))+2*Assumptions!$B$28*(MAX(IF(D1422&lt;=0,0,MAX(0,(B1422/D1422)*H1422/INDEX(Surface_Engine!$B$12:$B$72,$A1422+1)-F1422/INDEX(Surface_Engine!$B$12:$B$72,$A1422+1))),IF(E1422&lt;=0,0,MAX(0,(B1422/E1422)*I1422/INDEX(Surface_Engine!$B$12:$B$72,$A1422+1)-F1422/INDEX(Surface_Engine!$B$12:$B$72,$A1422+1))),IF($A1422&lt;$Q$1392,MAX(0,-Assumptions!$B$22*(F1422/INDEX(Surface_Engine!$B$12:$B$72,$A1422+1))),0)))*(MAX(0,J1422/INDEX(Surface_Engine!$B$12:$B$72,$A1422+1)-(F1422/INDEX(Surface_Engine!$B$12:$B$72,$A1422+1)))))</f>
        <v>882.285409342684</v>
      </c>
      <c r="L1422" s="48" t="n">
        <f aca="false">K1422*INDEX(Surface_Engine!$B$12:$B$72,$A1422+1)+L1423</f>
        <v>1277.13364997564</v>
      </c>
      <c r="M1422" s="48" t="n">
        <f aca="false">M1421+B1421*(IF($A1421&lt;$Q$1392,(Surface_Engine!L248*12)-(Surface_Engine!L248*12)*INDEX(Surface_Engine!$F$12:$F$72,$A1421+1)-INDEX(Surface_Engine!$D$12:$D$72,$A1421+1),-(1000*12*INDEX(Surface_Engine!$C$12:$C$72,$A1421+1)/(1+Assumptions!$B$10)^13+INDEX(Surface_Engine!$D$12:$D$72,$A1421+1))))*INDEX(Surface_Engine!$B$12:$B$72,$A1421+1)</f>
        <v>3445.20262602816</v>
      </c>
      <c r="N1422" s="12" t="n">
        <f aca="false">IF(B1422&lt;=0,0,MAX(0,(K1422+Assumptions!$B$29*L1422/INDEX(Surface_Engine!$B$12:$B$72,$A1422+1)-(M1422/INDEX(Surface_Engine!$B$12:$B$72,$A1422+1)-(F1422/INDEX(Surface_Engine!$B$12:$B$72,$A1422+1))))/B1422))</f>
        <v>0</v>
      </c>
    </row>
    <row r="1423" customFormat="false" ht="15" hidden="false" customHeight="true" outlineLevel="0" collapsed="false">
      <c r="A1423" s="1" t="n">
        <v>29</v>
      </c>
      <c r="B1423" s="32" t="n">
        <f aca="false">INDEX(Surface_Engine!$S$12:$S$72,$A1423+1)*IF($A1423&lt;$Q$1392,INDEX(Surface_Engine!$E$12:$E$72,$A1423+1),INDEX(Surface_Engine!$E$12:$E$72,$Q$1392+1))</f>
        <v>0.0567830177412496</v>
      </c>
      <c r="C1423" s="32" t="n">
        <f aca="false">INDEX(Panel_Reserving!$G$8:$G$68,$A1423+1)*IF($A1423&lt;$Q$1392,INDEX(Surface_Engine!$E$12:$E$72,$A1423+1),INDEX(Surface_Engine!$E$12:$E$72,$Q$1392+1))</f>
        <v>0.100696175063979</v>
      </c>
      <c r="D1423" s="32" t="n">
        <f aca="false">INDEX(Surface_Engine!$S$12:$S$72,$A1423+1)*IF($A1423&lt;$Q$1392,INDEX(Surface_Engine!$Y$12:$Y$72,$A1423+1),INDEX(Surface_Engine!$Y$12:$Y$72,$Q$1392+1))</f>
        <v>0.051914198066071</v>
      </c>
      <c r="E1423" s="32" t="n">
        <f aca="false">INDEX(Surface_Engine!$S$12:$S$72,$A1423+1)*IF($A1423&lt;$Q$1392,INDEX(Surface_Engine!$Z$12:$Z$72,$A1423+1),INDEX(Surface_Engine!$Z$12:$Z$72,$Q$1392+1))</f>
        <v>0.0620540954089083</v>
      </c>
      <c r="F1423" s="48" t="n">
        <f aca="false">B1423*(IF($A1423&lt;$Q$1392,INDEX(Surface_Engine!$D$12:$D$72,$A1423+1)+(Surface_Engine!L248*12)*INDEX(Surface_Engine!$F$12:$F$72,$A1423+1)-(Surface_Engine!L248*12),1000*12*INDEX(Surface_Engine!$C$12:$C$72,$A1423+1)/(1+Assumptions!$B$10)^13+INDEX(Surface_Engine!$D$12:$D$72,$A1423+1)))*INDEX(Surface_Engine!$B$12:$B$72,$A1423+1)+F1424</f>
        <v>1440.83931947265</v>
      </c>
      <c r="G1423" s="48" t="n">
        <f aca="false">C1423*(IF($A1423&lt;$Q$1392,INDEX(Surface_Engine!$D$12:$D$72,$A1423+1)+(Surface_Engine!L248*12)*INDEX(Surface_Engine!$F$12:$F$72,$A1423+1)-(Surface_Engine!L248*12),1000*12*INDEX(Surface_Engine!$C$12:$C$72,$A1423+1)/(1+Assumptions!$B$10)^13+INDEX(Surface_Engine!$D$12:$D$72,$A1423+1)))*INDEX(Surface_Engine!$B$12:$B$72,$A1423+1)+G1424</f>
        <v>3036.49685379109</v>
      </c>
      <c r="H1423" s="48" t="n">
        <f aca="false">D1423*(IF($A1423&lt;$Q$1392,INDEX(Surface_Engine!$D$12:$D$72,$A1423+1)+(Surface_Engine!L248*12)*INDEX(Surface_Engine!$F$12:$F$72,$A1423+1)-(Surface_Engine!L248*12),1000*12*INDEX(Surface_Engine!$C$12:$C$72,$A1423+1)/(1+Assumptions!$B$10)^13+INDEX(Surface_Engine!$D$12:$D$72,$A1423+1)))*INDEX(Surface_Engine!$B$12:$B$72,$A1423+1)+H1424</f>
        <v>1317.29557159743</v>
      </c>
      <c r="I1423" s="48" t="n">
        <f aca="false">E1423*(IF($A1423&lt;$Q$1392,INDEX(Surface_Engine!$D$12:$D$72,$A1423+1)+(Surface_Engine!L248*12)*INDEX(Surface_Engine!$F$12:$F$72,$A1423+1)-(Surface_Engine!L248*12),1000*12*INDEX(Surface_Engine!$C$12:$C$72,$A1423+1)/(1+Assumptions!$B$10)^13+INDEX(Surface_Engine!$D$12:$D$72,$A1423+1)))*INDEX(Surface_Engine!$B$12:$B$72,$A1423+1)+I1424</f>
        <v>1574.59015311388</v>
      </c>
      <c r="J1423" s="48" t="n">
        <f aca="false">B1423*(IF($A1423&lt;$Q$1392,INDEX(Surface_Engine!$D$12:$D$72,$A1423+1)*(1+Assumptions!$B$24)+(Surface_Engine!L248*12)*INDEX(Surface_Engine!$F$12:$F$72,$A1423+1)-(Surface_Engine!L248*12),1000*12*INDEX(Surface_Engine!$C$12:$C$72,$A1423+1)/(1+Assumptions!$B$10)^13+INDEX(Surface_Engine!$D$12:$D$72,$A1423+1)*(1+Assumptions!$B$24)))*INDEX(Surface_Engine!$B$12:$B$72,$A1423+1)+J1424</f>
        <v>1442.30918914292</v>
      </c>
      <c r="K1423" s="12" t="n">
        <f aca="false">SQRT((IF(C1423&lt;=0,0,MAX(0,(B1423/C1423)*G1423/INDEX(Surface_Engine!$B$12:$B$72,$A1423+1)-F1423/INDEX(Surface_Engine!$B$12:$B$72,$A1423+1))))^2+(MAX(IF(D1423&lt;=0,0,MAX(0,(B1423/D1423)*H1423/INDEX(Surface_Engine!$B$12:$B$72,$A1423+1)-F1423/INDEX(Surface_Engine!$B$12:$B$72,$A1423+1))),IF(E1423&lt;=0,0,MAX(0,(B1423/E1423)*I1423/INDEX(Surface_Engine!$B$12:$B$72,$A1423+1)-F1423/INDEX(Surface_Engine!$B$12:$B$72,$A1423+1))),IF($A1423&lt;$Q$1392,MAX(0,-Assumptions!$B$22*(F1423/INDEX(Surface_Engine!$B$12:$B$72,$A1423+1))),0)))^2+(MAX(0,J1423/INDEX(Surface_Engine!$B$12:$B$72,$A1423+1)-(F1423/INDEX(Surface_Engine!$B$12:$B$72,$A1423+1))))^2+2*Assumptions!$B$26*(IF(C1423&lt;=0,0,MAX(0,(B1423/C1423)*G1423/INDEX(Surface_Engine!$B$12:$B$72,$A1423+1)-F1423/INDEX(Surface_Engine!$B$12:$B$72,$A1423+1))))*(MAX(IF(D1423&lt;=0,0,MAX(0,(B1423/D1423)*H1423/INDEX(Surface_Engine!$B$12:$B$72,$A1423+1)-F1423/INDEX(Surface_Engine!$B$12:$B$72,$A1423+1))),IF(E1423&lt;=0,0,MAX(0,(B1423/E1423)*I1423/INDEX(Surface_Engine!$B$12:$B$72,$A1423+1)-F1423/INDEX(Surface_Engine!$B$12:$B$72,$A1423+1))),IF($A1423&lt;$Q$1392,MAX(0,-Assumptions!$B$22*(F1423/INDEX(Surface_Engine!$B$12:$B$72,$A1423+1))),0)))+2*Assumptions!$B$27*(IF(C1423&lt;=0,0,MAX(0,(B1423/C1423)*G1423/INDEX(Surface_Engine!$B$12:$B$72,$A1423+1)-F1423/INDEX(Surface_Engine!$B$12:$B$72,$A1423+1))))*(MAX(0,J1423/INDEX(Surface_Engine!$B$12:$B$72,$A1423+1)-(F1423/INDEX(Surface_Engine!$B$12:$B$72,$A1423+1))))+2*Assumptions!$B$28*(MAX(IF(D1423&lt;=0,0,MAX(0,(B1423/D1423)*H1423/INDEX(Surface_Engine!$B$12:$B$72,$A1423+1)-F1423/INDEX(Surface_Engine!$B$12:$B$72,$A1423+1))),IF(E1423&lt;=0,0,MAX(0,(B1423/E1423)*I1423/INDEX(Surface_Engine!$B$12:$B$72,$A1423+1)-F1423/INDEX(Surface_Engine!$B$12:$B$72,$A1423+1))),IF($A1423&lt;$Q$1392,MAX(0,-Assumptions!$B$22*(F1423/INDEX(Surface_Engine!$B$12:$B$72,$A1423+1))),0)))*(MAX(0,J1423/INDEX(Surface_Engine!$B$12:$B$72,$A1423+1)-(F1423/INDEX(Surface_Engine!$B$12:$B$72,$A1423+1)))))</f>
        <v>674.225344579126</v>
      </c>
      <c r="L1423" s="48" t="n">
        <f aca="false">K1423*INDEX(Surface_Engine!$B$12:$B$72,$A1423+1)+L1424</f>
        <v>909.906790854791</v>
      </c>
      <c r="M1423" s="48" t="n">
        <f aca="false">M1422+B1422*(IF($A1422&lt;$Q$1392,(Surface_Engine!L248*12)-(Surface_Engine!L248*12)*INDEX(Surface_Engine!$F$12:$F$72,$A1422+1)-INDEX(Surface_Engine!$D$12:$D$72,$A1422+1),-(1000*12*INDEX(Surface_Engine!$C$12:$C$72,$A1422+1)/(1+Assumptions!$B$10)^13+INDEX(Surface_Engine!$D$12:$D$72,$A1422+1))))*INDEX(Surface_Engine!$B$12:$B$72,$A1422+1)</f>
        <v>2952.35723186399</v>
      </c>
      <c r="N1423" s="12" t="n">
        <f aca="false">IF(B1423&lt;=0,0,MAX(0,(K1423+Assumptions!$B$29*L1423/INDEX(Surface_Engine!$B$12:$B$72,$A1423+1)-(M1423/INDEX(Surface_Engine!$B$12:$B$72,$A1423+1)-(F1423/INDEX(Surface_Engine!$B$12:$B$72,$A1423+1))))/B1423))</f>
        <v>0</v>
      </c>
    </row>
    <row r="1424" customFormat="false" ht="15" hidden="false" customHeight="true" outlineLevel="0" collapsed="false">
      <c r="A1424" s="1" t="n">
        <v>30</v>
      </c>
      <c r="B1424" s="32" t="n">
        <f aca="false">INDEX(Surface_Engine!$S$12:$S$72,$A1424+1)*IF($A1424&lt;$Q$1392,INDEX(Surface_Engine!$E$12:$E$72,$A1424+1),INDEX(Surface_Engine!$E$12:$E$72,$Q$1392+1))</f>
        <v>0.0438008434863857</v>
      </c>
      <c r="C1424" s="32" t="n">
        <f aca="false">INDEX(Panel_Reserving!$G$8:$G$68,$A1424+1)*IF($A1424&lt;$Q$1392,INDEX(Surface_Engine!$E$12:$E$72,$A1424+1),INDEX(Surface_Engine!$E$12:$E$72,$Q$1392+1))</f>
        <v>0.0822786221620071</v>
      </c>
      <c r="D1424" s="32" t="n">
        <f aca="false">INDEX(Surface_Engine!$S$12:$S$72,$A1424+1)*IF($A1424&lt;$Q$1392,INDEX(Surface_Engine!$Y$12:$Y$72,$A1424+1),INDEX(Surface_Engine!$Y$12:$Y$72,$Q$1392+1))</f>
        <v>0.040045171156188</v>
      </c>
      <c r="E1424" s="32" t="n">
        <f aca="false">INDEX(Surface_Engine!$S$12:$S$72,$A1424+1)*IF($A1424&lt;$Q$1392,INDEX(Surface_Engine!$Z$12:$Z$72,$A1424+1),INDEX(Surface_Engine!$Z$12:$Z$72,$Q$1392+1))</f>
        <v>0.0478668064645734</v>
      </c>
      <c r="F1424" s="48" t="n">
        <f aca="false">B1424*(IF($A1424&lt;$Q$1392,INDEX(Surface_Engine!$D$12:$D$72,$A1424+1)+(Surface_Engine!L248*12)*INDEX(Surface_Engine!$F$12:$F$72,$A1424+1)-(Surface_Engine!L248*12),1000*12*INDEX(Surface_Engine!$C$12:$C$72,$A1424+1)/(1+Assumptions!$B$10)^13+INDEX(Surface_Engine!$D$12:$D$72,$A1424+1)))*INDEX(Surface_Engine!$B$12:$B$72,$A1424+1)+F1425</f>
        <v>1059.87027759724</v>
      </c>
      <c r="G1424" s="48" t="n">
        <f aca="false">C1424*(IF($A1424&lt;$Q$1392,INDEX(Surface_Engine!$D$12:$D$72,$A1424+1)+(Surface_Engine!L248*12)*INDEX(Surface_Engine!$F$12:$F$72,$A1424+1)-(Surface_Engine!L248*12),1000*12*INDEX(Surface_Engine!$C$12:$C$72,$A1424+1)/(1+Assumptions!$B$10)^13+INDEX(Surface_Engine!$D$12:$D$72,$A1424+1)))*INDEX(Surface_Engine!$B$12:$B$72,$A1424+1)+G1425</f>
        <v>2360.90533258219</v>
      </c>
      <c r="H1424" s="48" t="n">
        <f aca="false">D1424*(IF($A1424&lt;$Q$1392,INDEX(Surface_Engine!$D$12:$D$72,$A1424+1)+(Surface_Engine!L248*12)*INDEX(Surface_Engine!$F$12:$F$72,$A1424+1)-(Surface_Engine!L248*12),1000*12*INDEX(Surface_Engine!$C$12:$C$72,$A1424+1)/(1+Assumptions!$B$10)^13+INDEX(Surface_Engine!$D$12:$D$72,$A1424+1)))*INDEX(Surface_Engine!$B$12:$B$72,$A1424+1)+H1425</f>
        <v>968.992450634661</v>
      </c>
      <c r="I1424" s="48" t="n">
        <f aca="false">E1424*(IF($A1424&lt;$Q$1392,INDEX(Surface_Engine!$D$12:$D$72,$A1424+1)+(Surface_Engine!L248*12)*INDEX(Surface_Engine!$F$12:$F$72,$A1424+1)-(Surface_Engine!L248*12),1000*12*INDEX(Surface_Engine!$C$12:$C$72,$A1424+1)/(1+Assumptions!$B$10)^13+INDEX(Surface_Engine!$D$12:$D$72,$A1424+1)))*INDEX(Surface_Engine!$B$12:$B$72,$A1424+1)+I1425</f>
        <v>1158.25635803269</v>
      </c>
      <c r="J1424" s="48" t="n">
        <f aca="false">B1424*(IF($A1424&lt;$Q$1392,INDEX(Surface_Engine!$D$12:$D$72,$A1424+1)*(1+Assumptions!$B$24)+(Surface_Engine!L248*12)*INDEX(Surface_Engine!$F$12:$F$72,$A1424+1)-(Surface_Engine!L248*12),1000*12*INDEX(Surface_Engine!$C$12:$C$72,$A1424+1)/(1+Assumptions!$B$10)^13+INDEX(Surface_Engine!$D$12:$D$72,$A1424+1)*(1+Assumptions!$B$24)))*INDEX(Surface_Engine!$B$12:$B$72,$A1424+1)+J1425</f>
        <v>1060.95598906519</v>
      </c>
      <c r="K1424" s="12" t="n">
        <f aca="false">SQRT((IF(C1424&lt;=0,0,MAX(0,(B1424/C1424)*G1424/INDEX(Surface_Engine!$B$12:$B$72,$A1424+1)-F1424/INDEX(Surface_Engine!$B$12:$B$72,$A1424+1))))^2+(MAX(IF(D1424&lt;=0,0,MAX(0,(B1424/D1424)*H1424/INDEX(Surface_Engine!$B$12:$B$72,$A1424+1)-F1424/INDEX(Surface_Engine!$B$12:$B$72,$A1424+1))),IF(E1424&lt;=0,0,MAX(0,(B1424/E1424)*I1424/INDEX(Surface_Engine!$B$12:$B$72,$A1424+1)-F1424/INDEX(Surface_Engine!$B$12:$B$72,$A1424+1))),IF($A1424&lt;$Q$1392,MAX(0,-Assumptions!$B$22*(F1424/INDEX(Surface_Engine!$B$12:$B$72,$A1424+1))),0)))^2+(MAX(0,J1424/INDEX(Surface_Engine!$B$12:$B$72,$A1424+1)-(F1424/INDEX(Surface_Engine!$B$12:$B$72,$A1424+1))))^2+2*Assumptions!$B$26*(IF(C1424&lt;=0,0,MAX(0,(B1424/C1424)*G1424/INDEX(Surface_Engine!$B$12:$B$72,$A1424+1)-F1424/INDEX(Surface_Engine!$B$12:$B$72,$A1424+1))))*(MAX(IF(D1424&lt;=0,0,MAX(0,(B1424/D1424)*H1424/INDEX(Surface_Engine!$B$12:$B$72,$A1424+1)-F1424/INDEX(Surface_Engine!$B$12:$B$72,$A1424+1))),IF(E1424&lt;=0,0,MAX(0,(B1424/E1424)*I1424/INDEX(Surface_Engine!$B$12:$B$72,$A1424+1)-F1424/INDEX(Surface_Engine!$B$12:$B$72,$A1424+1))),IF($A1424&lt;$Q$1392,MAX(0,-Assumptions!$B$22*(F1424/INDEX(Surface_Engine!$B$12:$B$72,$A1424+1))),0)))+2*Assumptions!$B$27*(IF(C1424&lt;=0,0,MAX(0,(B1424/C1424)*G1424/INDEX(Surface_Engine!$B$12:$B$72,$A1424+1)-F1424/INDEX(Surface_Engine!$B$12:$B$72,$A1424+1))))*(MAX(0,J1424/INDEX(Surface_Engine!$B$12:$B$72,$A1424+1)-(F1424/INDEX(Surface_Engine!$B$12:$B$72,$A1424+1))))+2*Assumptions!$B$28*(MAX(IF(D1424&lt;=0,0,MAX(0,(B1424/D1424)*H1424/INDEX(Surface_Engine!$B$12:$B$72,$A1424+1)-F1424/INDEX(Surface_Engine!$B$12:$B$72,$A1424+1))),IF(E1424&lt;=0,0,MAX(0,(B1424/E1424)*I1424/INDEX(Surface_Engine!$B$12:$B$72,$A1424+1)-F1424/INDEX(Surface_Engine!$B$12:$B$72,$A1424+1))),IF($A1424&lt;$Q$1392,MAX(0,-Assumptions!$B$22*(F1424/INDEX(Surface_Engine!$B$12:$B$72,$A1424+1))),0)))*(MAX(0,J1424/INDEX(Surface_Engine!$B$12:$B$72,$A1424+1)-(F1424/INDEX(Surface_Engine!$B$12:$B$72,$A1424+1)))))</f>
        <v>505.052495291496</v>
      </c>
      <c r="L1424" s="48" t="n">
        <f aca="false">K1424*INDEX(Surface_Engine!$B$12:$B$72,$A1424+1)+L1425</f>
        <v>638.080933716085</v>
      </c>
      <c r="M1424" s="48" t="n">
        <f aca="false">M1423+B1423*(IF($A1423&lt;$Q$1392,(Surface_Engine!L248*12)-(Surface_Engine!L248*12)*INDEX(Surface_Engine!$F$12:$F$72,$A1423+1)-INDEX(Surface_Engine!$D$12:$D$72,$A1423+1),-(1000*12*INDEX(Surface_Engine!$C$12:$C$72,$A1423+1)/(1+Assumptions!$B$10)^13+INDEX(Surface_Engine!$D$12:$D$72,$A1423+1))))*INDEX(Surface_Engine!$B$12:$B$72,$A1423+1)</f>
        <v>2571.38818998858</v>
      </c>
      <c r="N1424" s="12" t="n">
        <f aca="false">IF(B1424&lt;=0,0,MAX(0,(K1424+Assumptions!$B$29*L1424/INDEX(Surface_Engine!$B$12:$B$72,$A1424+1)-(M1424/INDEX(Surface_Engine!$B$12:$B$72,$A1424+1)-(F1424/INDEX(Surface_Engine!$B$12:$B$72,$A1424+1))))/B1424))</f>
        <v>0</v>
      </c>
    </row>
    <row r="1425" customFormat="false" ht="15" hidden="false" customHeight="true" outlineLevel="0" collapsed="false">
      <c r="A1425" s="1" t="n">
        <v>31</v>
      </c>
      <c r="B1425" s="32" t="n">
        <f aca="false">INDEX(Surface_Engine!$S$12:$S$72,$A1425+1)*IF($A1425&lt;$Q$1392,INDEX(Surface_Engine!$E$12:$E$72,$A1425+1),INDEX(Surface_Engine!$E$12:$E$72,$Q$1392+1))</f>
        <v>0.0332531721078111</v>
      </c>
      <c r="C1425" s="32" t="n">
        <f aca="false">INDEX(Panel_Reserving!$G$8:$G$68,$A1425+1)*IF($A1425&lt;$Q$1392,INDEX(Surface_Engine!$E$12:$E$72,$A1425+1),INDEX(Surface_Engine!$E$12:$E$72,$Q$1392+1))</f>
        <v>0.066427824798865</v>
      </c>
      <c r="D1425" s="32" t="n">
        <f aca="false">INDEX(Surface_Engine!$S$12:$S$72,$A1425+1)*IF($A1425&lt;$Q$1392,INDEX(Surface_Engine!$Y$12:$Y$72,$A1425+1),INDEX(Surface_Engine!$Y$12:$Y$72,$Q$1392+1))</f>
        <v>0.0304019023961805</v>
      </c>
      <c r="E1425" s="32" t="n">
        <f aca="false">INDEX(Surface_Engine!$S$12:$S$72,$A1425+1)*IF($A1425&lt;$Q$1392,INDEX(Surface_Engine!$Z$12:$Z$72,$A1425+1),INDEX(Surface_Engine!$Z$12:$Z$72,$Q$1392+1))</f>
        <v>0.0363400114454985</v>
      </c>
      <c r="F1425" s="48" t="n">
        <f aca="false">B1425*(IF($A1425&lt;$Q$1392,INDEX(Surface_Engine!$D$12:$D$72,$A1425+1)+(Surface_Engine!L248*12)*INDEX(Surface_Engine!$F$12:$F$72,$A1425+1)-(Surface_Engine!L248*12),1000*12*INDEX(Surface_Engine!$C$12:$C$72,$A1425+1)/(1+Assumptions!$B$10)^13+INDEX(Surface_Engine!$D$12:$D$72,$A1425+1)))*INDEX(Surface_Engine!$B$12:$B$72,$A1425+1)+F1426</f>
        <v>769.52227112613</v>
      </c>
      <c r="G1425" s="48" t="n">
        <f aca="false">C1425*(IF($A1425&lt;$Q$1392,INDEX(Surface_Engine!$D$12:$D$72,$A1425+1)+(Surface_Engine!L248*12)*INDEX(Surface_Engine!$F$12:$F$72,$A1425+1)-(Surface_Engine!L248*12),1000*12*INDEX(Surface_Engine!$C$12:$C$72,$A1425+1)/(1+Assumptions!$B$10)^13+INDEX(Surface_Engine!$D$12:$D$72,$A1425+1)))*INDEX(Surface_Engine!$B$12:$B$72,$A1425+1)+G1426</f>
        <v>1815.49497016864</v>
      </c>
      <c r="H1425" s="48" t="n">
        <f aca="false">D1425*(IF($A1425&lt;$Q$1392,INDEX(Surface_Engine!$D$12:$D$72,$A1425+1)+(Surface_Engine!L248*12)*INDEX(Surface_Engine!$F$12:$F$72,$A1425+1)-(Surface_Engine!L248*12),1000*12*INDEX(Surface_Engine!$C$12:$C$72,$A1425+1)/(1+Assumptions!$B$10)^13+INDEX(Surface_Engine!$D$12:$D$72,$A1425+1)))*INDEX(Surface_Engine!$B$12:$B$72,$A1425+1)+H1426</f>
        <v>703.540128521101</v>
      </c>
      <c r="I1425" s="48" t="n">
        <f aca="false">E1425*(IF($A1425&lt;$Q$1392,INDEX(Surface_Engine!$D$12:$D$72,$A1425+1)+(Surface_Engine!L248*12)*INDEX(Surface_Engine!$F$12:$F$72,$A1425+1)-(Surface_Engine!L248*12),1000*12*INDEX(Surface_Engine!$C$12:$C$72,$A1425+1)/(1+Assumptions!$B$10)^13+INDEX(Surface_Engine!$D$12:$D$72,$A1425+1)))*INDEX(Surface_Engine!$B$12:$B$72,$A1425+1)+I1426</f>
        <v>840.955805648412</v>
      </c>
      <c r="J1425" s="48" t="n">
        <f aca="false">B1425*(IF($A1425&lt;$Q$1392,INDEX(Surface_Engine!$D$12:$D$72,$A1425+1)*(1+Assumptions!$B$24)+(Surface_Engine!L248*12)*INDEX(Surface_Engine!$F$12:$F$72,$A1425+1)-(Surface_Engine!L248*12),1000*12*INDEX(Surface_Engine!$C$12:$C$72,$A1425+1)/(1+Assumptions!$B$10)^13+INDEX(Surface_Engine!$D$12:$D$72,$A1425+1)*(1+Assumptions!$B$24)))*INDEX(Surface_Engine!$B$12:$B$72,$A1425+1)+J1426</f>
        <v>770.313783385383</v>
      </c>
      <c r="K1425" s="12" t="n">
        <f aca="false">SQRT((IF(C1425&lt;=0,0,MAX(0,(B1425/C1425)*G1425/INDEX(Surface_Engine!$B$12:$B$72,$A1425+1)-F1425/INDEX(Surface_Engine!$B$12:$B$72,$A1425+1))))^2+(MAX(IF(D1425&lt;=0,0,MAX(0,(B1425/D1425)*H1425/INDEX(Surface_Engine!$B$12:$B$72,$A1425+1)-F1425/INDEX(Surface_Engine!$B$12:$B$72,$A1425+1))),IF(E1425&lt;=0,0,MAX(0,(B1425/E1425)*I1425/INDEX(Surface_Engine!$B$12:$B$72,$A1425+1)-F1425/INDEX(Surface_Engine!$B$12:$B$72,$A1425+1))),IF($A1425&lt;$Q$1392,MAX(0,-Assumptions!$B$22*(F1425/INDEX(Surface_Engine!$B$12:$B$72,$A1425+1))),0)))^2+(MAX(0,J1425/INDEX(Surface_Engine!$B$12:$B$72,$A1425+1)-(F1425/INDEX(Surface_Engine!$B$12:$B$72,$A1425+1))))^2+2*Assumptions!$B$26*(IF(C1425&lt;=0,0,MAX(0,(B1425/C1425)*G1425/INDEX(Surface_Engine!$B$12:$B$72,$A1425+1)-F1425/INDEX(Surface_Engine!$B$12:$B$72,$A1425+1))))*(MAX(IF(D1425&lt;=0,0,MAX(0,(B1425/D1425)*H1425/INDEX(Surface_Engine!$B$12:$B$72,$A1425+1)-F1425/INDEX(Surface_Engine!$B$12:$B$72,$A1425+1))),IF(E1425&lt;=0,0,MAX(0,(B1425/E1425)*I1425/INDEX(Surface_Engine!$B$12:$B$72,$A1425+1)-F1425/INDEX(Surface_Engine!$B$12:$B$72,$A1425+1))),IF($A1425&lt;$Q$1392,MAX(0,-Assumptions!$B$22*(F1425/INDEX(Surface_Engine!$B$12:$B$72,$A1425+1))),0)))+2*Assumptions!$B$27*(IF(C1425&lt;=0,0,MAX(0,(B1425/C1425)*G1425/INDEX(Surface_Engine!$B$12:$B$72,$A1425+1)-F1425/INDEX(Surface_Engine!$B$12:$B$72,$A1425+1))))*(MAX(0,J1425/INDEX(Surface_Engine!$B$12:$B$72,$A1425+1)-(F1425/INDEX(Surface_Engine!$B$12:$B$72,$A1425+1))))+2*Assumptions!$B$28*(MAX(IF(D1425&lt;=0,0,MAX(0,(B1425/D1425)*H1425/INDEX(Surface_Engine!$B$12:$B$72,$A1425+1)-F1425/INDEX(Surface_Engine!$B$12:$B$72,$A1425+1))),IF(E1425&lt;=0,0,MAX(0,(B1425/E1425)*I1425/INDEX(Surface_Engine!$B$12:$B$72,$A1425+1)-F1425/INDEX(Surface_Engine!$B$12:$B$72,$A1425+1))),IF($A1425&lt;$Q$1392,MAX(0,-Assumptions!$B$22*(F1425/INDEX(Surface_Engine!$B$12:$B$72,$A1425+1))),0)))*(MAX(0,J1425/INDEX(Surface_Engine!$B$12:$B$72,$A1425+1)-(F1425/INDEX(Surface_Engine!$B$12:$B$72,$A1425+1)))))</f>
        <v>368.707659793837</v>
      </c>
      <c r="L1425" s="48" t="n">
        <f aca="false">K1425*INDEX(Surface_Engine!$B$12:$B$72,$A1425+1)+L1426</f>
        <v>440.854222275699</v>
      </c>
      <c r="M1425" s="48" t="n">
        <f aca="false">M1424+B1424*(IF($A1424&lt;$Q$1392,(Surface_Engine!L248*12)-(Surface_Engine!L248*12)*INDEX(Surface_Engine!$F$12:$F$72,$A1424+1)-INDEX(Surface_Engine!$D$12:$D$72,$A1424+1),-(1000*12*INDEX(Surface_Engine!$C$12:$C$72,$A1424+1)/(1+Assumptions!$B$10)^13+INDEX(Surface_Engine!$D$12:$D$72,$A1424+1))))*INDEX(Surface_Engine!$B$12:$B$72,$A1424+1)</f>
        <v>2281.04018351747</v>
      </c>
      <c r="N1425" s="12" t="n">
        <f aca="false">IF(B1425&lt;=0,0,MAX(0,(K1425+Assumptions!$B$29*L1425/INDEX(Surface_Engine!$B$12:$B$72,$A1425+1)-(M1425/INDEX(Surface_Engine!$B$12:$B$72,$A1425+1)-(F1425/INDEX(Surface_Engine!$B$12:$B$72,$A1425+1))))/B1425))</f>
        <v>0</v>
      </c>
    </row>
    <row r="1426" customFormat="false" ht="15" hidden="false" customHeight="true" outlineLevel="0" collapsed="false">
      <c r="A1426" s="1" t="n">
        <v>32</v>
      </c>
      <c r="B1426" s="32" t="n">
        <f aca="false">INDEX(Surface_Engine!$S$12:$S$72,$A1426+1)*IF($A1426&lt;$Q$1392,INDEX(Surface_Engine!$E$12:$E$72,$A1426+1),INDEX(Surface_Engine!$E$12:$E$72,$Q$1392+1))</f>
        <v>0.024780528641097</v>
      </c>
      <c r="C1426" s="32" t="n">
        <f aca="false">INDEX(Panel_Reserving!$G$8:$G$68,$A1426+1)*IF($A1426&lt;$Q$1392,INDEX(Surface_Engine!$E$12:$E$72,$A1426+1),INDEX(Surface_Engine!$E$12:$E$72,$Q$1392+1))</f>
        <v>0.0528876001498505</v>
      </c>
      <c r="D1426" s="32" t="n">
        <f aca="false">INDEX(Surface_Engine!$S$12:$S$72,$A1426+1)*IF($A1426&lt;$Q$1392,INDEX(Surface_Engine!$Y$12:$Y$72,$A1426+1),INDEX(Surface_Engine!$Y$12:$Y$72,$Q$1392+1))</f>
        <v>0.0226557397480711</v>
      </c>
      <c r="E1426" s="32" t="n">
        <f aca="false">INDEX(Surface_Engine!$S$12:$S$72,$A1426+1)*IF($A1426&lt;$Q$1392,INDEX(Surface_Engine!$Z$12:$Z$72,$A1426+1),INDEX(Surface_Engine!$Z$12:$Z$72,$Q$1392+1))</f>
        <v>0.0270808658952401</v>
      </c>
      <c r="F1426" s="48" t="n">
        <f aca="false">B1426*(IF($A1426&lt;$Q$1392,INDEX(Surface_Engine!$D$12:$D$72,$A1426+1)+(Surface_Engine!L248*12)*INDEX(Surface_Engine!$F$12:$F$72,$A1426+1)-(Surface_Engine!L248*12),1000*12*INDEX(Surface_Engine!$C$12:$C$72,$A1426+1)/(1+Assumptions!$B$10)^13+INDEX(Surface_Engine!$D$12:$D$72,$A1426+1)))*INDEX(Surface_Engine!$B$12:$B$72,$A1426+1)+F1427</f>
        <v>551.676887413673</v>
      </c>
      <c r="G1426" s="48" t="n">
        <f aca="false">C1426*(IF($A1426&lt;$Q$1392,INDEX(Surface_Engine!$D$12:$D$72,$A1426+1)+(Surface_Engine!L248*12)*INDEX(Surface_Engine!$F$12:$F$72,$A1426+1)-(Surface_Engine!L248*12),1000*12*INDEX(Surface_Engine!$C$12:$C$72,$A1426+1)/(1+Assumptions!$B$10)^13+INDEX(Surface_Engine!$D$12:$D$72,$A1426+1)))*INDEX(Surface_Engine!$B$12:$B$72,$A1426+1)+G1427</f>
        <v>1380.31859254139</v>
      </c>
      <c r="H1426" s="48" t="n">
        <f aca="false">D1426*(IF($A1426&lt;$Q$1392,INDEX(Surface_Engine!$D$12:$D$72,$A1426+1)+(Surface_Engine!L248*12)*INDEX(Surface_Engine!$F$12:$F$72,$A1426+1)-(Surface_Engine!L248*12),1000*12*INDEX(Surface_Engine!$C$12:$C$72,$A1426+1)/(1+Assumptions!$B$10)^13+INDEX(Surface_Engine!$D$12:$D$72,$A1426+1)))*INDEX(Surface_Engine!$B$12:$B$72,$A1426+1)+H1427</f>
        <v>504.373743082375</v>
      </c>
      <c r="I1426" s="48" t="n">
        <f aca="false">E1426*(IF($A1426&lt;$Q$1392,INDEX(Surface_Engine!$D$12:$D$72,$A1426+1)+(Surface_Engine!L248*12)*INDEX(Surface_Engine!$F$12:$F$72,$A1426+1)-(Surface_Engine!L248*12),1000*12*INDEX(Surface_Engine!$C$12:$C$72,$A1426+1)/(1+Assumptions!$B$10)^13+INDEX(Surface_Engine!$D$12:$D$72,$A1426+1)))*INDEX(Surface_Engine!$B$12:$B$72,$A1426+1)+I1427</f>
        <v>602.888179745134</v>
      </c>
      <c r="J1426" s="48" t="n">
        <f aca="false">B1426*(IF($A1426&lt;$Q$1392,INDEX(Surface_Engine!$D$12:$D$72,$A1426+1)*(1+Assumptions!$B$24)+(Surface_Engine!L248*12)*INDEX(Surface_Engine!$F$12:$F$72,$A1426+1)-(Surface_Engine!L248*12),1000*12*INDEX(Surface_Engine!$C$12:$C$72,$A1426+1)/(1+Assumptions!$B$10)^13+INDEX(Surface_Engine!$D$12:$D$72,$A1426+1)*(1+Assumptions!$B$24)))*INDEX(Surface_Engine!$B$12:$B$72,$A1426+1)+J1427</f>
        <v>552.246593751553</v>
      </c>
      <c r="K1426" s="12" t="n">
        <f aca="false">SQRT((IF(C1426&lt;=0,0,MAX(0,(B1426/C1426)*G1426/INDEX(Surface_Engine!$B$12:$B$72,$A1426+1)-F1426/INDEX(Surface_Engine!$B$12:$B$72,$A1426+1))))^2+(MAX(IF(D1426&lt;=0,0,MAX(0,(B1426/D1426)*H1426/INDEX(Surface_Engine!$B$12:$B$72,$A1426+1)-F1426/INDEX(Surface_Engine!$B$12:$B$72,$A1426+1))),IF(E1426&lt;=0,0,MAX(0,(B1426/E1426)*I1426/INDEX(Surface_Engine!$B$12:$B$72,$A1426+1)-F1426/INDEX(Surface_Engine!$B$12:$B$72,$A1426+1))),IF($A1426&lt;$Q$1392,MAX(0,-Assumptions!$B$22*(F1426/INDEX(Surface_Engine!$B$12:$B$72,$A1426+1))),0)))^2+(MAX(0,J1426/INDEX(Surface_Engine!$B$12:$B$72,$A1426+1)-(F1426/INDEX(Surface_Engine!$B$12:$B$72,$A1426+1))))^2+2*Assumptions!$B$26*(IF(C1426&lt;=0,0,MAX(0,(B1426/C1426)*G1426/INDEX(Surface_Engine!$B$12:$B$72,$A1426+1)-F1426/INDEX(Surface_Engine!$B$12:$B$72,$A1426+1))))*(MAX(IF(D1426&lt;=0,0,MAX(0,(B1426/D1426)*H1426/INDEX(Surface_Engine!$B$12:$B$72,$A1426+1)-F1426/INDEX(Surface_Engine!$B$12:$B$72,$A1426+1))),IF(E1426&lt;=0,0,MAX(0,(B1426/E1426)*I1426/INDEX(Surface_Engine!$B$12:$B$72,$A1426+1)-F1426/INDEX(Surface_Engine!$B$12:$B$72,$A1426+1))),IF($A1426&lt;$Q$1392,MAX(0,-Assumptions!$B$22*(F1426/INDEX(Surface_Engine!$B$12:$B$72,$A1426+1))),0)))+2*Assumptions!$B$27*(IF(C1426&lt;=0,0,MAX(0,(B1426/C1426)*G1426/INDEX(Surface_Engine!$B$12:$B$72,$A1426+1)-F1426/INDEX(Surface_Engine!$B$12:$B$72,$A1426+1))))*(MAX(0,J1426/INDEX(Surface_Engine!$B$12:$B$72,$A1426+1)-(F1426/INDEX(Surface_Engine!$B$12:$B$72,$A1426+1))))+2*Assumptions!$B$28*(MAX(IF(D1426&lt;=0,0,MAX(0,(B1426/D1426)*H1426/INDEX(Surface_Engine!$B$12:$B$72,$A1426+1)-F1426/INDEX(Surface_Engine!$B$12:$B$72,$A1426+1))),IF(E1426&lt;=0,0,MAX(0,(B1426/E1426)*I1426/INDEX(Surface_Engine!$B$12:$B$72,$A1426+1)-F1426/INDEX(Surface_Engine!$B$12:$B$72,$A1426+1))),IF($A1426&lt;$Q$1392,MAX(0,-Assumptions!$B$22*(F1426/INDEX(Surface_Engine!$B$12:$B$72,$A1426+1))),0)))*(MAX(0,J1426/INDEX(Surface_Engine!$B$12:$B$72,$A1426+1)-(F1426/INDEX(Surface_Engine!$B$12:$B$72,$A1426+1)))))</f>
        <v>259.843588790182</v>
      </c>
      <c r="L1426" s="48" t="n">
        <f aca="false">K1426*INDEX(Surface_Engine!$B$12:$B$72,$A1426+1)+L1427</f>
        <v>301.356043923963</v>
      </c>
      <c r="M1426" s="48" t="n">
        <f aca="false">M1425+B1425*(IF($A1425&lt;$Q$1392,(Surface_Engine!L248*12)-(Surface_Engine!L248*12)*INDEX(Surface_Engine!$F$12:$F$72,$A1425+1)-INDEX(Surface_Engine!$D$12:$D$72,$A1425+1),-(1000*12*INDEX(Surface_Engine!$C$12:$C$72,$A1425+1)/(1+Assumptions!$B$10)^13+INDEX(Surface_Engine!$D$12:$D$72,$A1425+1))))*INDEX(Surface_Engine!$B$12:$B$72,$A1425+1)</f>
        <v>2063.19479980501</v>
      </c>
      <c r="N1426" s="12" t="n">
        <f aca="false">IF(B1426&lt;=0,0,MAX(0,(K1426+Assumptions!$B$29*L1426/INDEX(Surface_Engine!$B$12:$B$72,$A1426+1)-(M1426/INDEX(Surface_Engine!$B$12:$B$72,$A1426+1)-(F1426/INDEX(Surface_Engine!$B$12:$B$72,$A1426+1))))/B1426))</f>
        <v>0</v>
      </c>
    </row>
    <row r="1427" customFormat="false" ht="15" hidden="false" customHeight="true" outlineLevel="0" collapsed="false">
      <c r="A1427" s="1" t="n">
        <v>33</v>
      </c>
      <c r="B1427" s="32" t="n">
        <f aca="false">INDEX(Surface_Engine!$S$12:$S$72,$A1427+1)*IF($A1427&lt;$Q$1392,INDEX(Surface_Engine!$E$12:$E$72,$A1427+1),INDEX(Surface_Engine!$E$12:$E$72,$Q$1392+1))</f>
        <v>0.018735671694638</v>
      </c>
      <c r="C1427" s="32" t="n">
        <f aca="false">INDEX(Panel_Reserving!$G$8:$G$68,$A1427+1)*IF($A1427&lt;$Q$1392,INDEX(Surface_Engine!$E$12:$E$72,$A1427+1),INDEX(Surface_Engine!$E$12:$E$72,$Q$1392+1))</f>
        <v>0.0425666588405623</v>
      </c>
      <c r="D1427" s="32" t="n">
        <f aca="false">INDEX(Surface_Engine!$S$12:$S$72,$A1427+1)*IF($A1427&lt;$Q$1392,INDEX(Surface_Engine!$Y$12:$Y$72,$A1427+1),INDEX(Surface_Engine!$Y$12:$Y$72,$Q$1392+1))</f>
        <v>0.0171291947829983</v>
      </c>
      <c r="E1427" s="32" t="n">
        <f aca="false">INDEX(Surface_Engine!$S$12:$S$72,$A1427+1)*IF($A1427&lt;$Q$1392,INDEX(Surface_Engine!$Z$12:$Z$72,$A1427+1),INDEX(Surface_Engine!$Z$12:$Z$72,$Q$1392+1))</f>
        <v>0.0204748744455064</v>
      </c>
      <c r="F1427" s="48" t="n">
        <f aca="false">B1427*(IF($A1427&lt;$Q$1392,INDEX(Surface_Engine!$D$12:$D$72,$A1427+1)+(Surface_Engine!L248*12)*INDEX(Surface_Engine!$F$12:$F$72,$A1427+1)-(Surface_Engine!L248*12),1000*12*INDEX(Surface_Engine!$C$12:$C$72,$A1427+1)/(1+Assumptions!$B$10)^13+INDEX(Surface_Engine!$D$12:$D$72,$A1427+1)))*INDEX(Surface_Engine!$B$12:$B$72,$A1427+1)+F1428</f>
        <v>391.292621596753</v>
      </c>
      <c r="G1427" s="48" t="n">
        <f aca="false">C1427*(IF($A1427&lt;$Q$1392,INDEX(Surface_Engine!$D$12:$D$72,$A1427+1)+(Surface_Engine!L248*12)*INDEX(Surface_Engine!$F$12:$F$72,$A1427+1)-(Surface_Engine!L248*12),1000*12*INDEX(Surface_Engine!$C$12:$C$72,$A1427+1)/(1+Assumptions!$B$10)^13+INDEX(Surface_Engine!$D$12:$D$72,$A1427+1)))*INDEX(Surface_Engine!$B$12:$B$72,$A1427+1)+G1428</f>
        <v>1038.02004662639</v>
      </c>
      <c r="H1427" s="48" t="n">
        <f aca="false">D1427*(IF($A1427&lt;$Q$1392,INDEX(Surface_Engine!$D$12:$D$72,$A1427+1)+(Surface_Engine!L248*12)*INDEX(Surface_Engine!$F$12:$F$72,$A1427+1)-(Surface_Engine!L248*12),1000*12*INDEX(Surface_Engine!$C$12:$C$72,$A1427+1)/(1+Assumptions!$B$10)^13+INDEX(Surface_Engine!$D$12:$D$72,$A1427+1)))*INDEX(Surface_Engine!$B$12:$B$72,$A1427+1)+H1428</f>
        <v>357.741512646118</v>
      </c>
      <c r="I1427" s="48" t="n">
        <f aca="false">E1427*(IF($A1427&lt;$Q$1392,INDEX(Surface_Engine!$D$12:$D$72,$A1427+1)+(Surface_Engine!L248*12)*INDEX(Surface_Engine!$F$12:$F$72,$A1427+1)-(Surface_Engine!L248*12),1000*12*INDEX(Surface_Engine!$C$12:$C$72,$A1427+1)/(1+Assumptions!$B$10)^13+INDEX(Surface_Engine!$D$12:$D$72,$A1427+1)))*INDEX(Surface_Engine!$B$12:$B$72,$A1427+1)+I1428</f>
        <v>427.615696369159</v>
      </c>
      <c r="J1427" s="48" t="n">
        <f aca="false">B1427*(IF($A1427&lt;$Q$1392,INDEX(Surface_Engine!$D$12:$D$72,$A1427+1)*(1+Assumptions!$B$24)+(Surface_Engine!L248*12)*INDEX(Surface_Engine!$F$12:$F$72,$A1427+1)-(Surface_Engine!L248*12),1000*12*INDEX(Surface_Engine!$C$12:$C$72,$A1427+1)/(1+Assumptions!$B$10)^13+INDEX(Surface_Engine!$D$12:$D$72,$A1427+1)*(1+Assumptions!$B$24)))*INDEX(Surface_Engine!$B$12:$B$72,$A1427+1)+J1428</f>
        <v>391.698235502064</v>
      </c>
      <c r="K1427" s="12" t="n">
        <f aca="false">SQRT((IF(C1427&lt;=0,0,MAX(0,(B1427/C1427)*G1427/INDEX(Surface_Engine!$B$12:$B$72,$A1427+1)-F1427/INDEX(Surface_Engine!$B$12:$B$72,$A1427+1))))^2+(MAX(IF(D1427&lt;=0,0,MAX(0,(B1427/D1427)*H1427/INDEX(Surface_Engine!$B$12:$B$72,$A1427+1)-F1427/INDEX(Surface_Engine!$B$12:$B$72,$A1427+1))),IF(E1427&lt;=0,0,MAX(0,(B1427/E1427)*I1427/INDEX(Surface_Engine!$B$12:$B$72,$A1427+1)-F1427/INDEX(Surface_Engine!$B$12:$B$72,$A1427+1))),IF($A1427&lt;$Q$1392,MAX(0,-Assumptions!$B$22*(F1427/INDEX(Surface_Engine!$B$12:$B$72,$A1427+1))),0)))^2+(MAX(0,J1427/INDEX(Surface_Engine!$B$12:$B$72,$A1427+1)-(F1427/INDEX(Surface_Engine!$B$12:$B$72,$A1427+1))))^2+2*Assumptions!$B$26*(IF(C1427&lt;=0,0,MAX(0,(B1427/C1427)*G1427/INDEX(Surface_Engine!$B$12:$B$72,$A1427+1)-F1427/INDEX(Surface_Engine!$B$12:$B$72,$A1427+1))))*(MAX(IF(D1427&lt;=0,0,MAX(0,(B1427/D1427)*H1427/INDEX(Surface_Engine!$B$12:$B$72,$A1427+1)-F1427/INDEX(Surface_Engine!$B$12:$B$72,$A1427+1))),IF(E1427&lt;=0,0,MAX(0,(B1427/E1427)*I1427/INDEX(Surface_Engine!$B$12:$B$72,$A1427+1)-F1427/INDEX(Surface_Engine!$B$12:$B$72,$A1427+1))),IF($A1427&lt;$Q$1392,MAX(0,-Assumptions!$B$22*(F1427/INDEX(Surface_Engine!$B$12:$B$72,$A1427+1))),0)))+2*Assumptions!$B$27*(IF(C1427&lt;=0,0,MAX(0,(B1427/C1427)*G1427/INDEX(Surface_Engine!$B$12:$B$72,$A1427+1)-F1427/INDEX(Surface_Engine!$B$12:$B$72,$A1427+1))))*(MAX(0,J1427/INDEX(Surface_Engine!$B$12:$B$72,$A1427+1)-(F1427/INDEX(Surface_Engine!$B$12:$B$72,$A1427+1))))+2*Assumptions!$B$28*(MAX(IF(D1427&lt;=0,0,MAX(0,(B1427/D1427)*H1427/INDEX(Surface_Engine!$B$12:$B$72,$A1427+1)-F1427/INDEX(Surface_Engine!$B$12:$B$72,$A1427+1))),IF(E1427&lt;=0,0,MAX(0,(B1427/E1427)*I1427/INDEX(Surface_Engine!$B$12:$B$72,$A1427+1)-F1427/INDEX(Surface_Engine!$B$12:$B$72,$A1427+1))),IF($A1427&lt;$Q$1392,MAX(0,-Assumptions!$B$22*(F1427/INDEX(Surface_Engine!$B$12:$B$72,$A1427+1))),0)))*(MAX(0,J1427/INDEX(Surface_Engine!$B$12:$B$72,$A1427+1)-(F1427/INDEX(Surface_Engine!$B$12:$B$72,$A1427+1)))))</f>
        <v>185.107593720805</v>
      </c>
      <c r="L1427" s="48" t="n">
        <f aca="false">K1427*INDEX(Surface_Engine!$B$12:$B$72,$A1427+1)+L1428</f>
        <v>206.139492690436</v>
      </c>
      <c r="M1427" s="48" t="n">
        <f aca="false">M1426+B1426*(IF($A1426&lt;$Q$1392,(Surface_Engine!L248*12)-(Surface_Engine!L248*12)*INDEX(Surface_Engine!$F$12:$F$72,$A1426+1)-INDEX(Surface_Engine!$D$12:$D$72,$A1426+1),-(1000*12*INDEX(Surface_Engine!$C$12:$C$72,$A1426+1)/(1+Assumptions!$B$10)^13+INDEX(Surface_Engine!$D$12:$D$72,$A1426+1))))*INDEX(Surface_Engine!$B$12:$B$72,$A1426+1)</f>
        <v>1902.81053398809</v>
      </c>
      <c r="N1427" s="12" t="n">
        <f aca="false">IF(B1427&lt;=0,0,MAX(0,(K1427+Assumptions!$B$29*L1427/INDEX(Surface_Engine!$B$12:$B$72,$A1427+1)-(M1427/INDEX(Surface_Engine!$B$12:$B$72,$A1427+1)-(F1427/INDEX(Surface_Engine!$B$12:$B$72,$A1427+1))))/B1427))</f>
        <v>0</v>
      </c>
    </row>
    <row r="1428" customFormat="false" ht="15" hidden="false" customHeight="true" outlineLevel="0" collapsed="false">
      <c r="A1428" s="1" t="n">
        <v>34</v>
      </c>
      <c r="B1428" s="32" t="n">
        <f aca="false">INDEX(Surface_Engine!$S$12:$S$72,$A1428+1)*IF($A1428&lt;$Q$1392,INDEX(Surface_Engine!$E$12:$E$72,$A1428+1),INDEX(Surface_Engine!$E$12:$E$72,$Q$1392+1))</f>
        <v>0.0164009153997124</v>
      </c>
      <c r="C1428" s="32" t="n">
        <f aca="false">INDEX(Panel_Reserving!$G$8:$G$68,$A1428+1)*IF($A1428&lt;$Q$1392,INDEX(Surface_Engine!$E$12:$E$72,$A1428+1),INDEX(Surface_Engine!$E$12:$E$72,$Q$1392+1))</f>
        <v>0.0383230842817534</v>
      </c>
      <c r="D1428" s="32" t="n">
        <f aca="false">INDEX(Surface_Engine!$S$12:$S$72,$A1428+1)*IF($A1428&lt;$Q$1392,INDEX(Surface_Engine!$Y$12:$Y$72,$A1428+1),INDEX(Surface_Engine!$Y$12:$Y$72,$Q$1392+1))</f>
        <v>0.0149946305144508</v>
      </c>
      <c r="E1428" s="32" t="n">
        <f aca="false">INDEX(Surface_Engine!$S$12:$S$72,$A1428+1)*IF($A1428&lt;$Q$1392,INDEX(Surface_Engine!$Z$12:$Z$72,$A1428+1),INDEX(Surface_Engine!$Z$12:$Z$72,$Q$1392+1))</f>
        <v>0.0179233864188915</v>
      </c>
      <c r="F1428" s="48" t="n">
        <f aca="false">B1428*(IF($A1428&lt;$Q$1392,INDEX(Surface_Engine!$D$12:$D$72,$A1428+1)+(Surface_Engine!L248*12)*INDEX(Surface_Engine!$F$12:$F$72,$A1428+1)-(Surface_Engine!L248*12),1000*12*INDEX(Surface_Engine!$C$12:$C$72,$A1428+1)/(1+Assumptions!$B$10)^13+INDEX(Surface_Engine!$D$12:$D$72,$A1428+1)))*INDEX(Surface_Engine!$B$12:$B$72,$A1428+1)+F1429</f>
        <v>271.497357701202</v>
      </c>
      <c r="G1428" s="48" t="n">
        <f aca="false">C1428*(IF($A1428&lt;$Q$1392,INDEX(Surface_Engine!$D$12:$D$72,$A1428+1)+(Surface_Engine!L248*12)*INDEX(Surface_Engine!$F$12:$F$72,$A1428+1)-(Surface_Engine!L248*12),1000*12*INDEX(Surface_Engine!$C$12:$C$72,$A1428+1)/(1+Assumptions!$B$10)^13+INDEX(Surface_Engine!$D$12:$D$72,$A1428+1)))*INDEX(Surface_Engine!$B$12:$B$72,$A1428+1)+G1429</f>
        <v>765.850240703901</v>
      </c>
      <c r="H1428" s="48" t="n">
        <f aca="false">D1428*(IF($A1428&lt;$Q$1392,INDEX(Surface_Engine!$D$12:$D$72,$A1428+1)+(Surface_Engine!L248*12)*INDEX(Surface_Engine!$F$12:$F$72,$A1428+1)-(Surface_Engine!L248*12),1000*12*INDEX(Surface_Engine!$C$12:$C$72,$A1428+1)/(1+Assumptions!$B$10)^13+INDEX(Surface_Engine!$D$12:$D$72,$A1428+1)))*INDEX(Surface_Engine!$B$12:$B$72,$A1428+1)+H1429</f>
        <v>248.218008883248</v>
      </c>
      <c r="I1428" s="48" t="n">
        <f aca="false">E1428*(IF($A1428&lt;$Q$1392,INDEX(Surface_Engine!$D$12:$D$72,$A1428+1)+(Surface_Engine!L248*12)*INDEX(Surface_Engine!$F$12:$F$72,$A1428+1)-(Surface_Engine!L248*12),1000*12*INDEX(Surface_Engine!$C$12:$C$72,$A1428+1)/(1+Assumptions!$B$10)^13+INDEX(Surface_Engine!$D$12:$D$72,$A1428+1)))*INDEX(Surface_Engine!$B$12:$B$72,$A1428+1)+I1429</f>
        <v>296.700027723572</v>
      </c>
      <c r="J1428" s="48" t="n">
        <f aca="false">B1428*(IF($A1428&lt;$Q$1392,INDEX(Surface_Engine!$D$12:$D$72,$A1428+1)*(1+Assumptions!$B$24)+(Surface_Engine!L248*12)*INDEX(Surface_Engine!$F$12:$F$72,$A1428+1)-(Surface_Engine!L248*12),1000*12*INDEX(Surface_Engine!$C$12:$C$72,$A1428+1)/(1+Assumptions!$B$10)^13+INDEX(Surface_Engine!$D$12:$D$72,$A1428+1)*(1+Assumptions!$B$24)))*INDEX(Surface_Engine!$B$12:$B$72,$A1428+1)+J1429</f>
        <v>271.779811982511</v>
      </c>
      <c r="K1428" s="12" t="n">
        <f aca="false">SQRT((IF(C1428&lt;=0,0,MAX(0,(B1428/C1428)*G1428/INDEX(Surface_Engine!$B$12:$B$72,$A1428+1)-F1428/INDEX(Surface_Engine!$B$12:$B$72,$A1428+1))))^2+(MAX(IF(D1428&lt;=0,0,MAX(0,(B1428/D1428)*H1428/INDEX(Surface_Engine!$B$12:$B$72,$A1428+1)-F1428/INDEX(Surface_Engine!$B$12:$B$72,$A1428+1))),IF(E1428&lt;=0,0,MAX(0,(B1428/E1428)*I1428/INDEX(Surface_Engine!$B$12:$B$72,$A1428+1)-F1428/INDEX(Surface_Engine!$B$12:$B$72,$A1428+1))),IF($A1428&lt;$Q$1392,MAX(0,-Assumptions!$B$22*(F1428/INDEX(Surface_Engine!$B$12:$B$72,$A1428+1))),0)))^2+(MAX(0,J1428/INDEX(Surface_Engine!$B$12:$B$72,$A1428+1)-(F1428/INDEX(Surface_Engine!$B$12:$B$72,$A1428+1))))^2+2*Assumptions!$B$26*(IF(C1428&lt;=0,0,MAX(0,(B1428/C1428)*G1428/INDEX(Surface_Engine!$B$12:$B$72,$A1428+1)-F1428/INDEX(Surface_Engine!$B$12:$B$72,$A1428+1))))*(MAX(IF(D1428&lt;=0,0,MAX(0,(B1428/D1428)*H1428/INDEX(Surface_Engine!$B$12:$B$72,$A1428+1)-F1428/INDEX(Surface_Engine!$B$12:$B$72,$A1428+1))),IF(E1428&lt;=0,0,MAX(0,(B1428/E1428)*I1428/INDEX(Surface_Engine!$B$12:$B$72,$A1428+1)-F1428/INDEX(Surface_Engine!$B$12:$B$72,$A1428+1))),IF($A1428&lt;$Q$1392,MAX(0,-Assumptions!$B$22*(F1428/INDEX(Surface_Engine!$B$12:$B$72,$A1428+1))),0)))+2*Assumptions!$B$27*(IF(C1428&lt;=0,0,MAX(0,(B1428/C1428)*G1428/INDEX(Surface_Engine!$B$12:$B$72,$A1428+1)-F1428/INDEX(Surface_Engine!$B$12:$B$72,$A1428+1))))*(MAX(0,J1428/INDEX(Surface_Engine!$B$12:$B$72,$A1428+1)-(F1428/INDEX(Surface_Engine!$B$12:$B$72,$A1428+1))))+2*Assumptions!$B$28*(MAX(IF(D1428&lt;=0,0,MAX(0,(B1428/D1428)*H1428/INDEX(Surface_Engine!$B$12:$B$72,$A1428+1)-F1428/INDEX(Surface_Engine!$B$12:$B$72,$A1428+1))),IF(E1428&lt;=0,0,MAX(0,(B1428/E1428)*I1428/INDEX(Surface_Engine!$B$12:$B$72,$A1428+1)-F1428/INDEX(Surface_Engine!$B$12:$B$72,$A1428+1))),IF($A1428&lt;$Q$1392,MAX(0,-Assumptions!$B$22*(F1428/INDEX(Surface_Engine!$B$12:$B$72,$A1428+1))),0)))*(MAX(0,J1428/INDEX(Surface_Engine!$B$12:$B$72,$A1428+1)-(F1428/INDEX(Surface_Engine!$B$12:$B$72,$A1428+1)))))</f>
        <v>163.895080599057</v>
      </c>
      <c r="L1428" s="48" t="n">
        <f aca="false">K1428*INDEX(Surface_Engine!$B$12:$B$72,$A1428+1)+L1429</f>
        <v>140.446066659195</v>
      </c>
      <c r="M1428" s="48" t="n">
        <f aca="false">M1427+B1427*(IF($A1427&lt;$Q$1392,(Surface_Engine!L248*12)-(Surface_Engine!L248*12)*INDEX(Surface_Engine!$F$12:$F$72,$A1427+1)-INDEX(Surface_Engine!$D$12:$D$72,$A1427+1),-(1000*12*INDEX(Surface_Engine!$C$12:$C$72,$A1427+1)/(1+Assumptions!$B$10)^13+INDEX(Surface_Engine!$D$12:$D$72,$A1427+1))))*INDEX(Surface_Engine!$B$12:$B$72,$A1427+1)</f>
        <v>1783.01527009254</v>
      </c>
      <c r="N1428" s="12" t="n">
        <f aca="false">IF(B1428&lt;=0,0,MAX(0,(K1428+Assumptions!$B$29*L1428/INDEX(Surface_Engine!$B$12:$B$72,$A1428+1)-(M1428/INDEX(Surface_Engine!$B$12:$B$72,$A1428+1)-(F1428/INDEX(Surface_Engine!$B$12:$B$72,$A1428+1))))/B1428))</f>
        <v>0</v>
      </c>
    </row>
    <row r="1429" customFormat="false" ht="15" hidden="false" customHeight="true" outlineLevel="0" collapsed="false">
      <c r="A1429" s="1" t="n">
        <v>35</v>
      </c>
      <c r="B1429" s="32" t="n">
        <f aca="false">INDEX(Surface_Engine!$S$12:$S$72,$A1429+1)*IF($A1429&lt;$Q$1392,INDEX(Surface_Engine!$E$12:$E$72,$A1429+1),INDEX(Surface_Engine!$E$12:$E$72,$Q$1392+1))</f>
        <v>0.0108292434230589</v>
      </c>
      <c r="C1429" s="32" t="n">
        <f aca="false">INDEX(Panel_Reserving!$G$8:$G$68,$A1429+1)*IF($A1429&lt;$Q$1392,INDEX(Surface_Engine!$E$12:$E$72,$A1429+1),INDEX(Surface_Engine!$E$12:$E$72,$Q$1392+1))</f>
        <v>0.0279078775912625</v>
      </c>
      <c r="D1429" s="32" t="n">
        <f aca="false">INDEX(Surface_Engine!$S$12:$S$72,$A1429+1)*IF($A1429&lt;$Q$1392,INDEX(Surface_Engine!$Y$12:$Y$72,$A1429+1),INDEX(Surface_Engine!$Y$12:$Y$72,$Q$1392+1))</f>
        <v>0.00990069760878485</v>
      </c>
      <c r="E1429" s="32" t="n">
        <f aca="false">INDEX(Surface_Engine!$S$12:$S$72,$A1429+1)*IF($A1429&lt;$Q$1392,INDEX(Surface_Engine!$Z$12:$Z$72,$A1429+1),INDEX(Surface_Engine!$Z$12:$Z$72,$Q$1392+1))</f>
        <v>0.0118345049508107</v>
      </c>
      <c r="F1429" s="48" t="n">
        <f aca="false">B1429*(IF($A1429&lt;$Q$1392,INDEX(Surface_Engine!$D$12:$D$72,$A1429+1)+(Surface_Engine!L248*12)*INDEX(Surface_Engine!$F$12:$F$72,$A1429+1)-(Surface_Engine!L248*12),1000*12*INDEX(Surface_Engine!$C$12:$C$72,$A1429+1)/(1+Assumptions!$B$10)^13+INDEX(Surface_Engine!$D$12:$D$72,$A1429+1)))*INDEX(Surface_Engine!$B$12:$B$72,$A1429+1)+F1430</f>
        <v>167.901847682152</v>
      </c>
      <c r="G1429" s="48" t="n">
        <f aca="false">C1429*(IF($A1429&lt;$Q$1392,INDEX(Surface_Engine!$D$12:$D$72,$A1429+1)+(Surface_Engine!L248*12)*INDEX(Surface_Engine!$F$12:$F$72,$A1429+1)-(Surface_Engine!L248*12),1000*12*INDEX(Surface_Engine!$C$12:$C$72,$A1429+1)/(1+Assumptions!$B$10)^13+INDEX(Surface_Engine!$D$12:$D$72,$A1429+1)))*INDEX(Surface_Engine!$B$12:$B$72,$A1429+1)+G1430</f>
        <v>523.784516632127</v>
      </c>
      <c r="H1429" s="48" t="n">
        <f aca="false">D1429*(IF($A1429&lt;$Q$1392,INDEX(Surface_Engine!$D$12:$D$72,$A1429+1)+(Surface_Engine!L248*12)*INDEX(Surface_Engine!$F$12:$F$72,$A1429+1)-(Surface_Engine!L248*12),1000*12*INDEX(Surface_Engine!$C$12:$C$72,$A1429+1)/(1+Assumptions!$B$10)^13+INDEX(Surface_Engine!$D$12:$D$72,$A1429+1)))*INDEX(Surface_Engine!$B$12:$B$72,$A1429+1)+H1430</f>
        <v>153.505222564078</v>
      </c>
      <c r="I1429" s="48" t="n">
        <f aca="false">E1429*(IF($A1429&lt;$Q$1392,INDEX(Surface_Engine!$D$12:$D$72,$A1429+1)+(Surface_Engine!L248*12)*INDEX(Surface_Engine!$F$12:$F$72,$A1429+1)-(Surface_Engine!L248*12),1000*12*INDEX(Surface_Engine!$C$12:$C$72,$A1429+1)/(1+Assumptions!$B$10)^13+INDEX(Surface_Engine!$D$12:$D$72,$A1429+1)))*INDEX(Surface_Engine!$B$12:$B$72,$A1429+1)+I1430</f>
        <v>183.487910467841</v>
      </c>
      <c r="J1429" s="48" t="n">
        <f aca="false">B1429*(IF($A1429&lt;$Q$1392,INDEX(Surface_Engine!$D$12:$D$72,$A1429+1)*(1+Assumptions!$B$24)+(Surface_Engine!L248*12)*INDEX(Surface_Engine!$F$12:$F$72,$A1429+1)-(Surface_Engine!L248*12),1000*12*INDEX(Surface_Engine!$C$12:$C$72,$A1429+1)/(1+Assumptions!$B$10)^13+INDEX(Surface_Engine!$D$12:$D$72,$A1429+1)*(1+Assumptions!$B$24)))*INDEX(Surface_Engine!$B$12:$B$72,$A1429+1)+J1430</f>
        <v>168.077280361857</v>
      </c>
      <c r="K1429" s="12" t="n">
        <f aca="false">SQRT((IF(C1429&lt;=0,0,MAX(0,(B1429/C1429)*G1429/INDEX(Surface_Engine!$B$12:$B$72,$A1429+1)-F1429/INDEX(Surface_Engine!$B$12:$B$72,$A1429+1))))^2+(MAX(IF(D1429&lt;=0,0,MAX(0,(B1429/D1429)*H1429/INDEX(Surface_Engine!$B$12:$B$72,$A1429+1)-F1429/INDEX(Surface_Engine!$B$12:$B$72,$A1429+1))),IF(E1429&lt;=0,0,MAX(0,(B1429/E1429)*I1429/INDEX(Surface_Engine!$B$12:$B$72,$A1429+1)-F1429/INDEX(Surface_Engine!$B$12:$B$72,$A1429+1))),IF($A1429&lt;$Q$1392,MAX(0,-Assumptions!$B$22*(F1429/INDEX(Surface_Engine!$B$12:$B$72,$A1429+1))),0)))^2+(MAX(0,J1429/INDEX(Surface_Engine!$B$12:$B$72,$A1429+1)-(F1429/INDEX(Surface_Engine!$B$12:$B$72,$A1429+1))))^2+2*Assumptions!$B$26*(IF(C1429&lt;=0,0,MAX(0,(B1429/C1429)*G1429/INDEX(Surface_Engine!$B$12:$B$72,$A1429+1)-F1429/INDEX(Surface_Engine!$B$12:$B$72,$A1429+1))))*(MAX(IF(D1429&lt;=0,0,MAX(0,(B1429/D1429)*H1429/INDEX(Surface_Engine!$B$12:$B$72,$A1429+1)-F1429/INDEX(Surface_Engine!$B$12:$B$72,$A1429+1))),IF(E1429&lt;=0,0,MAX(0,(B1429/E1429)*I1429/INDEX(Surface_Engine!$B$12:$B$72,$A1429+1)-F1429/INDEX(Surface_Engine!$B$12:$B$72,$A1429+1))),IF($A1429&lt;$Q$1392,MAX(0,-Assumptions!$B$22*(F1429/INDEX(Surface_Engine!$B$12:$B$72,$A1429+1))),0)))+2*Assumptions!$B$27*(IF(C1429&lt;=0,0,MAX(0,(B1429/C1429)*G1429/INDEX(Surface_Engine!$B$12:$B$72,$A1429+1)-F1429/INDEX(Surface_Engine!$B$12:$B$72,$A1429+1))))*(MAX(0,J1429/INDEX(Surface_Engine!$B$12:$B$72,$A1429+1)-(F1429/INDEX(Surface_Engine!$B$12:$B$72,$A1429+1))))+2*Assumptions!$B$28*(MAX(IF(D1429&lt;=0,0,MAX(0,(B1429/D1429)*H1429/INDEX(Surface_Engine!$B$12:$B$72,$A1429+1)-F1429/INDEX(Surface_Engine!$B$12:$B$72,$A1429+1))),IF(E1429&lt;=0,0,MAX(0,(B1429/E1429)*I1429/INDEX(Surface_Engine!$B$12:$B$72,$A1429+1)-F1429/INDEX(Surface_Engine!$B$12:$B$72,$A1429+1))),IF($A1429&lt;$Q$1392,MAX(0,-Assumptions!$B$22*(F1429/INDEX(Surface_Engine!$B$12:$B$72,$A1429+1))),0)))*(MAX(0,J1429/INDEX(Surface_Engine!$B$12:$B$72,$A1429+1)-(F1429/INDEX(Surface_Engine!$B$12:$B$72,$A1429+1)))))</f>
        <v>106.323857309203</v>
      </c>
      <c r="L1429" s="48" t="n">
        <f aca="false">K1429*INDEX(Surface_Engine!$B$12:$B$72,$A1429+1)+L1430</f>
        <v>84.1155155629446</v>
      </c>
      <c r="M1429" s="48" t="n">
        <f aca="false">M1428+B1428*(IF($A1428&lt;$Q$1392,(Surface_Engine!L248*12)-(Surface_Engine!L248*12)*INDEX(Surface_Engine!$F$12:$F$72,$A1428+1)-INDEX(Surface_Engine!$D$12:$D$72,$A1428+1),-(1000*12*INDEX(Surface_Engine!$C$12:$C$72,$A1428+1)/(1+Assumptions!$B$10)^13+INDEX(Surface_Engine!$D$12:$D$72,$A1428+1))))*INDEX(Surface_Engine!$B$12:$B$72,$A1428+1)</f>
        <v>1679.41976007349</v>
      </c>
      <c r="N1429" s="12" t="n">
        <f aca="false">IF(B1429&lt;=0,0,MAX(0,(K1429+Assumptions!$B$29*L1429/INDEX(Surface_Engine!$B$12:$B$72,$A1429+1)-(M1429/INDEX(Surface_Engine!$B$12:$B$72,$A1429+1)-(F1429/INDEX(Surface_Engine!$B$12:$B$72,$A1429+1))))/B1429))</f>
        <v>0</v>
      </c>
    </row>
    <row r="1430" customFormat="false" ht="15" hidden="false" customHeight="true" outlineLevel="0" collapsed="false">
      <c r="A1430" s="1" t="n">
        <v>36</v>
      </c>
      <c r="B1430" s="32" t="n">
        <f aca="false">INDEX(Surface_Engine!$S$12:$S$72,$A1430+1)*IF($A1430&lt;$Q$1392,INDEX(Surface_Engine!$E$12:$E$72,$A1430+1),INDEX(Surface_Engine!$E$12:$E$72,$Q$1392+1))</f>
        <v>0.00690066690232812</v>
      </c>
      <c r="C1430" s="32" t="n">
        <f aca="false">INDEX(Panel_Reserving!$G$8:$G$68,$A1430+1)*IF($A1430&lt;$Q$1392,INDEX(Surface_Engine!$E$12:$E$72,$A1430+1),INDEX(Surface_Engine!$E$12:$E$72,$Q$1392+1))</f>
        <v>0.0198084580203618</v>
      </c>
      <c r="D1430" s="32" t="n">
        <f aca="false">INDEX(Surface_Engine!$S$12:$S$72,$A1430+1)*IF($A1430&lt;$Q$1392,INDEX(Surface_Engine!$Y$12:$Y$72,$A1430+1),INDEX(Surface_Engine!$Y$12:$Y$72,$Q$1392+1))</f>
        <v>0.00630897410186778</v>
      </c>
      <c r="E1430" s="32" t="n">
        <f aca="false">INDEX(Surface_Engine!$S$12:$S$72,$A1430+1)*IF($A1430&lt;$Q$1392,INDEX(Surface_Engine!$Z$12:$Z$72,$A1430+1),INDEX(Surface_Engine!$Z$12:$Z$72,$Q$1392+1))</f>
        <v>0.00754124488933407</v>
      </c>
      <c r="F1430" s="48" t="n">
        <f aca="false">B1430*(IF($A1430&lt;$Q$1392,INDEX(Surface_Engine!$D$12:$D$72,$A1430+1)+(Surface_Engine!L248*12)*INDEX(Surface_Engine!$F$12:$F$72,$A1430+1)-(Surface_Engine!L248*12),1000*12*INDEX(Surface_Engine!$C$12:$C$72,$A1430+1)/(1+Assumptions!$B$10)^13+INDEX(Surface_Engine!$D$12:$D$72,$A1430+1)))*INDEX(Surface_Engine!$B$12:$B$72,$A1430+1)+F1431</f>
        <v>100.331414807617</v>
      </c>
      <c r="G1430" s="48" t="n">
        <f aca="false">C1430*(IF($A1430&lt;$Q$1392,INDEX(Surface_Engine!$D$12:$D$72,$A1430+1)+(Surface_Engine!L248*12)*INDEX(Surface_Engine!$F$12:$F$72,$A1430+1)-(Surface_Engine!L248*12),1000*12*INDEX(Surface_Engine!$C$12:$C$72,$A1430+1)/(1+Assumptions!$B$10)^13+INDEX(Surface_Engine!$D$12:$D$72,$A1430+1)))*INDEX(Surface_Engine!$B$12:$B$72,$A1430+1)+G1431</f>
        <v>349.649787567328</v>
      </c>
      <c r="H1430" s="48" t="n">
        <f aca="false">D1430*(IF($A1430&lt;$Q$1392,INDEX(Surface_Engine!$D$12:$D$72,$A1430+1)+(Surface_Engine!L248*12)*INDEX(Surface_Engine!$F$12:$F$72,$A1430+1)-(Surface_Engine!L248*12),1000*12*INDEX(Surface_Engine!$C$12:$C$72,$A1430+1)/(1+Assumptions!$B$10)^13+INDEX(Surface_Engine!$D$12:$D$72,$A1430+1)))*INDEX(Surface_Engine!$B$12:$B$72,$A1430+1)+H1431</f>
        <v>91.7285686418879</v>
      </c>
      <c r="I1430" s="48" t="n">
        <f aca="false">E1430*(IF($A1430&lt;$Q$1392,INDEX(Surface_Engine!$D$12:$D$72,$A1430+1)+(Surface_Engine!L248*12)*INDEX(Surface_Engine!$F$12:$F$72,$A1430+1)-(Surface_Engine!L248*12),1000*12*INDEX(Surface_Engine!$C$12:$C$72,$A1430+1)/(1+Assumptions!$B$10)^13+INDEX(Surface_Engine!$D$12:$D$72,$A1430+1)))*INDEX(Surface_Engine!$B$12:$B$72,$A1430+1)+I1431</f>
        <v>109.645021251835</v>
      </c>
      <c r="J1430" s="48" t="n">
        <f aca="false">B1430*(IF($A1430&lt;$Q$1392,INDEX(Surface_Engine!$D$12:$D$72,$A1430+1)*(1+Assumptions!$B$24)+(Surface_Engine!L248*12)*INDEX(Surface_Engine!$F$12:$F$72,$A1430+1)-(Surface_Engine!L248*12),1000*12*INDEX(Surface_Engine!$C$12:$C$72,$A1430+1)/(1+Assumptions!$B$10)^13+INDEX(Surface_Engine!$D$12:$D$72,$A1430+1)*(1+Assumptions!$B$24)))*INDEX(Surface_Engine!$B$12:$B$72,$A1430+1)+J1431</f>
        <v>100.436703747788</v>
      </c>
      <c r="K1430" s="12" t="n">
        <f aca="false">SQRT((IF(C1430&lt;=0,0,MAX(0,(B1430/C1430)*G1430/INDEX(Surface_Engine!$B$12:$B$72,$A1430+1)-F1430/INDEX(Surface_Engine!$B$12:$B$72,$A1430+1))))^2+(MAX(IF(D1430&lt;=0,0,MAX(0,(B1430/D1430)*H1430/INDEX(Surface_Engine!$B$12:$B$72,$A1430+1)-F1430/INDEX(Surface_Engine!$B$12:$B$72,$A1430+1))),IF(E1430&lt;=0,0,MAX(0,(B1430/E1430)*I1430/INDEX(Surface_Engine!$B$12:$B$72,$A1430+1)-F1430/INDEX(Surface_Engine!$B$12:$B$72,$A1430+1))),IF($A1430&lt;$Q$1392,MAX(0,-Assumptions!$B$22*(F1430/INDEX(Surface_Engine!$B$12:$B$72,$A1430+1))),0)))^2+(MAX(0,J1430/INDEX(Surface_Engine!$B$12:$B$72,$A1430+1)-(F1430/INDEX(Surface_Engine!$B$12:$B$72,$A1430+1))))^2+2*Assumptions!$B$26*(IF(C1430&lt;=0,0,MAX(0,(B1430/C1430)*G1430/INDEX(Surface_Engine!$B$12:$B$72,$A1430+1)-F1430/INDEX(Surface_Engine!$B$12:$B$72,$A1430+1))))*(MAX(IF(D1430&lt;=0,0,MAX(0,(B1430/D1430)*H1430/INDEX(Surface_Engine!$B$12:$B$72,$A1430+1)-F1430/INDEX(Surface_Engine!$B$12:$B$72,$A1430+1))),IF(E1430&lt;=0,0,MAX(0,(B1430/E1430)*I1430/INDEX(Surface_Engine!$B$12:$B$72,$A1430+1)-F1430/INDEX(Surface_Engine!$B$12:$B$72,$A1430+1))),IF($A1430&lt;$Q$1392,MAX(0,-Assumptions!$B$22*(F1430/INDEX(Surface_Engine!$B$12:$B$72,$A1430+1))),0)))+2*Assumptions!$B$27*(IF(C1430&lt;=0,0,MAX(0,(B1430/C1430)*G1430/INDEX(Surface_Engine!$B$12:$B$72,$A1430+1)-F1430/INDEX(Surface_Engine!$B$12:$B$72,$A1430+1))))*(MAX(0,J1430/INDEX(Surface_Engine!$B$12:$B$72,$A1430+1)-(F1430/INDEX(Surface_Engine!$B$12:$B$72,$A1430+1))))+2*Assumptions!$B$28*(MAX(IF(D1430&lt;=0,0,MAX(0,(B1430/D1430)*H1430/INDEX(Surface_Engine!$B$12:$B$72,$A1430+1)-F1430/INDEX(Surface_Engine!$B$12:$B$72,$A1430+1))),IF(E1430&lt;=0,0,MAX(0,(B1430/E1430)*I1430/INDEX(Surface_Engine!$B$12:$B$72,$A1430+1)-F1430/INDEX(Surface_Engine!$B$12:$B$72,$A1430+1))),IF($A1430&lt;$Q$1392,MAX(0,-Assumptions!$B$22*(F1430/INDEX(Surface_Engine!$B$12:$B$72,$A1430+1))),0)))*(MAX(0,J1430/INDEX(Surface_Engine!$B$12:$B$72,$A1430+1)-(F1430/INDEX(Surface_Engine!$B$12:$B$72,$A1430+1)))))</f>
        <v>66.6883514204107</v>
      </c>
      <c r="L1430" s="48" t="n">
        <f aca="false">K1430*INDEX(Surface_Engine!$B$12:$B$72,$A1430+1)+L1431</f>
        <v>48.726182161931</v>
      </c>
      <c r="M1430" s="48" t="n">
        <f aca="false">M1429+B1429*(IF($A1429&lt;$Q$1392,(Surface_Engine!L248*12)-(Surface_Engine!L248*12)*INDEX(Surface_Engine!$F$12:$F$72,$A1429+1)-INDEX(Surface_Engine!$D$12:$D$72,$A1429+1),-(1000*12*INDEX(Surface_Engine!$C$12:$C$72,$A1429+1)/(1+Assumptions!$B$10)^13+INDEX(Surface_Engine!$D$12:$D$72,$A1429+1))))*INDEX(Surface_Engine!$B$12:$B$72,$A1429+1)</f>
        <v>1611.84932719895</v>
      </c>
      <c r="N1430" s="12" t="n">
        <f aca="false">IF(B1430&lt;=0,0,MAX(0,(K1430+Assumptions!$B$29*L1430/INDEX(Surface_Engine!$B$12:$B$72,$A1430+1)-(M1430/INDEX(Surface_Engine!$B$12:$B$72,$A1430+1)-(F1430/INDEX(Surface_Engine!$B$12:$B$72,$A1430+1))))/B1430))</f>
        <v>0</v>
      </c>
    </row>
    <row r="1431" customFormat="false" ht="15" hidden="false" customHeight="true" outlineLevel="0" collapsed="false">
      <c r="A1431" s="1" t="n">
        <v>37</v>
      </c>
      <c r="B1431" s="32" t="n">
        <f aca="false">INDEX(Surface_Engine!$S$12:$S$72,$A1431+1)*IF($A1431&lt;$Q$1392,INDEX(Surface_Engine!$E$12:$E$72,$A1431+1),INDEX(Surface_Engine!$E$12:$E$72,$Q$1392+1))</f>
        <v>0.0042285353578563</v>
      </c>
      <c r="C1431" s="32" t="n">
        <f aca="false">INDEX(Panel_Reserving!$G$8:$G$68,$A1431+1)*IF($A1431&lt;$Q$1392,INDEX(Surface_Engine!$E$12:$E$72,$A1431+1),INDEX(Surface_Engine!$E$12:$E$72,$Q$1392+1))</f>
        <v>0.0136721461220788</v>
      </c>
      <c r="D1431" s="32" t="n">
        <f aca="false">INDEX(Surface_Engine!$S$12:$S$72,$A1431+1)*IF($A1431&lt;$Q$1392,INDEX(Surface_Engine!$Y$12:$Y$72,$A1431+1),INDEX(Surface_Engine!$Y$12:$Y$72,$Q$1392+1))</f>
        <v>0.00386596258581141</v>
      </c>
      <c r="E1431" s="32" t="n">
        <f aca="false">INDEX(Surface_Engine!$S$12:$S$72,$A1431+1)*IF($A1431&lt;$Q$1392,INDEX(Surface_Engine!$Z$12:$Z$72,$A1431+1),INDEX(Surface_Engine!$Z$12:$Z$72,$Q$1392+1))</f>
        <v>0.00462106360271409</v>
      </c>
      <c r="F1431" s="48" t="n">
        <f aca="false">B1431*(IF($A1431&lt;$Q$1392,INDEX(Surface_Engine!$D$12:$D$72,$A1431+1)+(Surface_Engine!L248*12)*INDEX(Surface_Engine!$F$12:$F$72,$A1431+1)-(Surface_Engine!L248*12),1000*12*INDEX(Surface_Engine!$C$12:$C$72,$A1431+1)/(1+Assumptions!$B$10)^13+INDEX(Surface_Engine!$D$12:$D$72,$A1431+1)))*INDEX(Surface_Engine!$B$12:$B$72,$A1431+1)+F1432</f>
        <v>57.7842941950556</v>
      </c>
      <c r="G1431" s="48" t="n">
        <f aca="false">C1431*(IF($A1431&lt;$Q$1392,INDEX(Surface_Engine!$D$12:$D$72,$A1431+1)+(Surface_Engine!L248*12)*INDEX(Surface_Engine!$F$12:$F$72,$A1431+1)-(Surface_Engine!L248*12),1000*12*INDEX(Surface_Engine!$C$12:$C$72,$A1431+1)/(1+Assumptions!$B$10)^13+INDEX(Surface_Engine!$D$12:$D$72,$A1431+1)))*INDEX(Surface_Engine!$B$12:$B$72,$A1431+1)+G1432</f>
        <v>227.517700267641</v>
      </c>
      <c r="H1431" s="48" t="n">
        <f aca="false">D1431*(IF($A1431&lt;$Q$1392,INDEX(Surface_Engine!$D$12:$D$72,$A1431+1)+(Surface_Engine!L248*12)*INDEX(Surface_Engine!$F$12:$F$72,$A1431+1)-(Surface_Engine!L248*12),1000*12*INDEX(Surface_Engine!$C$12:$C$72,$A1431+1)/(1+Assumptions!$B$10)^13+INDEX(Surface_Engine!$D$12:$D$72,$A1431+1)))*INDEX(Surface_Engine!$B$12:$B$72,$A1431+1)+H1432</f>
        <v>52.829620778873</v>
      </c>
      <c r="I1431" s="48" t="n">
        <f aca="false">E1431*(IF($A1431&lt;$Q$1392,INDEX(Surface_Engine!$D$12:$D$72,$A1431+1)+(Surface_Engine!L248*12)*INDEX(Surface_Engine!$F$12:$F$72,$A1431+1)-(Surface_Engine!L248*12),1000*12*INDEX(Surface_Engine!$C$12:$C$72,$A1431+1)/(1+Assumptions!$B$10)^13+INDEX(Surface_Engine!$D$12:$D$72,$A1431+1)))*INDEX(Surface_Engine!$B$12:$B$72,$A1431+1)+I1432</f>
        <v>63.1483187712224</v>
      </c>
      <c r="J1431" s="48" t="n">
        <f aca="false">B1431*(IF($A1431&lt;$Q$1392,INDEX(Surface_Engine!$D$12:$D$72,$A1431+1)*(1+Assumptions!$B$24)+(Surface_Engine!L248*12)*INDEX(Surface_Engine!$F$12:$F$72,$A1431+1)-(Surface_Engine!L248*12),1000*12*INDEX(Surface_Engine!$C$12:$C$72,$A1431+1)/(1+Assumptions!$B$10)^13+INDEX(Surface_Engine!$D$12:$D$72,$A1431+1)*(1+Assumptions!$B$24)))*INDEX(Surface_Engine!$B$12:$B$72,$A1431+1)+J1432</f>
        <v>57.8452014301392</v>
      </c>
      <c r="K1431" s="12" t="n">
        <f aca="false">SQRT((IF(C1431&lt;=0,0,MAX(0,(B1431/C1431)*G1431/INDEX(Surface_Engine!$B$12:$B$72,$A1431+1)-F1431/INDEX(Surface_Engine!$B$12:$B$72,$A1431+1))))^2+(MAX(IF(D1431&lt;=0,0,MAX(0,(B1431/D1431)*H1431/INDEX(Surface_Engine!$B$12:$B$72,$A1431+1)-F1431/INDEX(Surface_Engine!$B$12:$B$72,$A1431+1))),IF(E1431&lt;=0,0,MAX(0,(B1431/E1431)*I1431/INDEX(Surface_Engine!$B$12:$B$72,$A1431+1)-F1431/INDEX(Surface_Engine!$B$12:$B$72,$A1431+1))),IF($A1431&lt;$Q$1392,MAX(0,-Assumptions!$B$22*(F1431/INDEX(Surface_Engine!$B$12:$B$72,$A1431+1))),0)))^2+(MAX(0,J1431/INDEX(Surface_Engine!$B$12:$B$72,$A1431+1)-(F1431/INDEX(Surface_Engine!$B$12:$B$72,$A1431+1))))^2+2*Assumptions!$B$26*(IF(C1431&lt;=0,0,MAX(0,(B1431/C1431)*G1431/INDEX(Surface_Engine!$B$12:$B$72,$A1431+1)-F1431/INDEX(Surface_Engine!$B$12:$B$72,$A1431+1))))*(MAX(IF(D1431&lt;=0,0,MAX(0,(B1431/D1431)*H1431/INDEX(Surface_Engine!$B$12:$B$72,$A1431+1)-F1431/INDEX(Surface_Engine!$B$12:$B$72,$A1431+1))),IF(E1431&lt;=0,0,MAX(0,(B1431/E1431)*I1431/INDEX(Surface_Engine!$B$12:$B$72,$A1431+1)-F1431/INDEX(Surface_Engine!$B$12:$B$72,$A1431+1))),IF($A1431&lt;$Q$1392,MAX(0,-Assumptions!$B$22*(F1431/INDEX(Surface_Engine!$B$12:$B$72,$A1431+1))),0)))+2*Assumptions!$B$27*(IF(C1431&lt;=0,0,MAX(0,(B1431/C1431)*G1431/INDEX(Surface_Engine!$B$12:$B$72,$A1431+1)-F1431/INDEX(Surface_Engine!$B$12:$B$72,$A1431+1))))*(MAX(0,J1431/INDEX(Surface_Engine!$B$12:$B$72,$A1431+1)-(F1431/INDEX(Surface_Engine!$B$12:$B$72,$A1431+1))))+2*Assumptions!$B$28*(MAX(IF(D1431&lt;=0,0,MAX(0,(B1431/D1431)*H1431/INDEX(Surface_Engine!$B$12:$B$72,$A1431+1)-F1431/INDEX(Surface_Engine!$B$12:$B$72,$A1431+1))),IF(E1431&lt;=0,0,MAX(0,(B1431/E1431)*I1431/INDEX(Surface_Engine!$B$12:$B$72,$A1431+1)-F1431/INDEX(Surface_Engine!$B$12:$B$72,$A1431+1))),IF($A1431&lt;$Q$1392,MAX(0,-Assumptions!$B$22*(F1431/INDEX(Surface_Engine!$B$12:$B$72,$A1431+1))),0)))*(MAX(0,J1431/INDEX(Surface_Engine!$B$12:$B$72,$A1431+1)-(F1431/INDEX(Surface_Engine!$B$12:$B$72,$A1431+1)))))</f>
        <v>40.3484456926726</v>
      </c>
      <c r="L1431" s="48" t="n">
        <f aca="false">K1431*INDEX(Surface_Engine!$B$12:$B$72,$A1431+1)+L1432</f>
        <v>27.2236357418999</v>
      </c>
      <c r="M1431" s="48" t="n">
        <f aca="false">M1430+B1430*(IF($A1430&lt;$Q$1392,(Surface_Engine!L248*12)-(Surface_Engine!L248*12)*INDEX(Surface_Engine!$F$12:$F$72,$A1430+1)-INDEX(Surface_Engine!$D$12:$D$72,$A1430+1),-(1000*12*INDEX(Surface_Engine!$C$12:$C$72,$A1430+1)/(1+Assumptions!$B$10)^13+INDEX(Surface_Engine!$D$12:$D$72,$A1430+1))))*INDEX(Surface_Engine!$B$12:$B$72,$A1430+1)</f>
        <v>1569.30220658639</v>
      </c>
      <c r="N1431" s="12" t="n">
        <f aca="false">IF(B1431&lt;=0,0,MAX(0,(K1431+Assumptions!$B$29*L1431/INDEX(Surface_Engine!$B$12:$B$72,$A1431+1)-(M1431/INDEX(Surface_Engine!$B$12:$B$72,$A1431+1)-(F1431/INDEX(Surface_Engine!$B$12:$B$72,$A1431+1))))/B1431))</f>
        <v>0</v>
      </c>
    </row>
    <row r="1432" customFormat="false" ht="15" hidden="false" customHeight="true" outlineLevel="0" collapsed="false">
      <c r="A1432" s="1" t="n">
        <v>38</v>
      </c>
      <c r="B1432" s="32" t="n">
        <f aca="false">INDEX(Surface_Engine!$S$12:$S$72,$A1432+1)*IF($A1432&lt;$Q$1392,INDEX(Surface_Engine!$E$12:$E$72,$A1432+1),INDEX(Surface_Engine!$E$12:$E$72,$Q$1392+1))</f>
        <v>0.00248154500428525</v>
      </c>
      <c r="C1432" s="32" t="n">
        <f aca="false">INDEX(Panel_Reserving!$G$8:$G$68,$A1432+1)*IF($A1432&lt;$Q$1392,INDEX(Surface_Engine!$E$12:$E$72,$A1432+1),INDEX(Surface_Engine!$E$12:$E$72,$Q$1392+1))</f>
        <v>0.00915330347487074</v>
      </c>
      <c r="D1432" s="32" t="n">
        <f aca="false">INDEX(Surface_Engine!$S$12:$S$72,$A1432+1)*IF($A1432&lt;$Q$1392,INDEX(Surface_Engine!$Y$12:$Y$72,$A1432+1),INDEX(Surface_Engine!$Y$12:$Y$72,$Q$1392+1))</f>
        <v>0.00226876668389443</v>
      </c>
      <c r="E1432" s="32" t="n">
        <f aca="false">INDEX(Surface_Engine!$S$12:$S$72,$A1432+1)*IF($A1432&lt;$Q$1392,INDEX(Surface_Engine!$Z$12:$Z$72,$A1432+1),INDEX(Surface_Engine!$Z$12:$Z$72,$Q$1392+1))</f>
        <v>0.00271190289954512</v>
      </c>
      <c r="F1432" s="48" t="n">
        <f aca="false">B1432*(IF($A1432&lt;$Q$1392,INDEX(Surface_Engine!$D$12:$D$72,$A1432+1)+(Surface_Engine!L248*12)*INDEX(Surface_Engine!$F$12:$F$72,$A1432+1)-(Surface_Engine!L248*12),1000*12*INDEX(Surface_Engine!$C$12:$C$72,$A1432+1)/(1+Assumptions!$B$10)^13+INDEX(Surface_Engine!$D$12:$D$72,$A1432+1)))*INDEX(Surface_Engine!$B$12:$B$72,$A1432+1)+F1433</f>
        <v>32.0314274959393</v>
      </c>
      <c r="G1432" s="48" t="n">
        <f aca="false">C1432*(IF($A1432&lt;$Q$1392,INDEX(Surface_Engine!$D$12:$D$72,$A1432+1)+(Surface_Engine!L248*12)*INDEX(Surface_Engine!$F$12:$F$72,$A1432+1)-(Surface_Engine!L248*12),1000*12*INDEX(Surface_Engine!$C$12:$C$72,$A1432+1)/(1+Assumptions!$B$10)^13+INDEX(Surface_Engine!$D$12:$D$72,$A1432+1)))*INDEX(Surface_Engine!$B$12:$B$72,$A1432+1)+G1433</f>
        <v>144.250817818954</v>
      </c>
      <c r="H1432" s="48" t="n">
        <f aca="false">D1432*(IF($A1432&lt;$Q$1392,INDEX(Surface_Engine!$D$12:$D$72,$A1432+1)+(Surface_Engine!L248*12)*INDEX(Surface_Engine!$F$12:$F$72,$A1432+1)-(Surface_Engine!L248*12),1000*12*INDEX(Surface_Engine!$C$12:$C$72,$A1432+1)/(1+Assumptions!$B$10)^13+INDEX(Surface_Engine!$D$12:$D$72,$A1432+1)))*INDEX(Surface_Engine!$B$12:$B$72,$A1432+1)+H1433</f>
        <v>29.2849154115174</v>
      </c>
      <c r="I1432" s="48" t="n">
        <f aca="false">E1432*(IF($A1432&lt;$Q$1392,INDEX(Surface_Engine!$D$12:$D$72,$A1432+1)+(Surface_Engine!L248*12)*INDEX(Surface_Engine!$F$12:$F$72,$A1432+1)-(Surface_Engine!L248*12),1000*12*INDEX(Surface_Engine!$C$12:$C$72,$A1432+1)/(1+Assumptions!$B$10)^13+INDEX(Surface_Engine!$D$12:$D$72,$A1432+1)))*INDEX(Surface_Engine!$B$12:$B$72,$A1432+1)+I1433</f>
        <v>35.0048542149356</v>
      </c>
      <c r="J1432" s="48" t="n">
        <f aca="false">B1432*(IF($A1432&lt;$Q$1392,INDEX(Surface_Engine!$D$12:$D$72,$A1432+1)*(1+Assumptions!$B$24)+(Surface_Engine!L248*12)*INDEX(Surface_Engine!$F$12:$F$72,$A1432+1)-(Surface_Engine!L248*12),1000*12*INDEX(Surface_Engine!$C$12:$C$72,$A1432+1)/(1+Assumptions!$B$10)^13+INDEX(Surface_Engine!$D$12:$D$72,$A1432+1)*(1+Assumptions!$B$24)))*INDEX(Surface_Engine!$B$12:$B$72,$A1432+1)+J1433</f>
        <v>32.0653411268019</v>
      </c>
      <c r="K1432" s="12" t="n">
        <f aca="false">SQRT((IF(C1432&lt;=0,0,MAX(0,(B1432/C1432)*G1432/INDEX(Surface_Engine!$B$12:$B$72,$A1432+1)-F1432/INDEX(Surface_Engine!$B$12:$B$72,$A1432+1))))^2+(MAX(IF(D1432&lt;=0,0,MAX(0,(B1432/D1432)*H1432/INDEX(Surface_Engine!$B$12:$B$72,$A1432+1)-F1432/INDEX(Surface_Engine!$B$12:$B$72,$A1432+1))),IF(E1432&lt;=0,0,MAX(0,(B1432/E1432)*I1432/INDEX(Surface_Engine!$B$12:$B$72,$A1432+1)-F1432/INDEX(Surface_Engine!$B$12:$B$72,$A1432+1))),IF($A1432&lt;$Q$1392,MAX(0,-Assumptions!$B$22*(F1432/INDEX(Surface_Engine!$B$12:$B$72,$A1432+1))),0)))^2+(MAX(0,J1432/INDEX(Surface_Engine!$B$12:$B$72,$A1432+1)-(F1432/INDEX(Surface_Engine!$B$12:$B$72,$A1432+1))))^2+2*Assumptions!$B$26*(IF(C1432&lt;=0,0,MAX(0,(B1432/C1432)*G1432/INDEX(Surface_Engine!$B$12:$B$72,$A1432+1)-F1432/INDEX(Surface_Engine!$B$12:$B$72,$A1432+1))))*(MAX(IF(D1432&lt;=0,0,MAX(0,(B1432/D1432)*H1432/INDEX(Surface_Engine!$B$12:$B$72,$A1432+1)-F1432/INDEX(Surface_Engine!$B$12:$B$72,$A1432+1))),IF(E1432&lt;=0,0,MAX(0,(B1432/E1432)*I1432/INDEX(Surface_Engine!$B$12:$B$72,$A1432+1)-F1432/INDEX(Surface_Engine!$B$12:$B$72,$A1432+1))),IF($A1432&lt;$Q$1392,MAX(0,-Assumptions!$B$22*(F1432/INDEX(Surface_Engine!$B$12:$B$72,$A1432+1))),0)))+2*Assumptions!$B$27*(IF(C1432&lt;=0,0,MAX(0,(B1432/C1432)*G1432/INDEX(Surface_Engine!$B$12:$B$72,$A1432+1)-F1432/INDEX(Surface_Engine!$B$12:$B$72,$A1432+1))))*(MAX(0,J1432/INDEX(Surface_Engine!$B$12:$B$72,$A1432+1)-(F1432/INDEX(Surface_Engine!$B$12:$B$72,$A1432+1))))+2*Assumptions!$B$28*(MAX(IF(D1432&lt;=0,0,MAX(0,(B1432/D1432)*H1432/INDEX(Surface_Engine!$B$12:$B$72,$A1432+1)-F1432/INDEX(Surface_Engine!$B$12:$B$72,$A1432+1))),IF(E1432&lt;=0,0,MAX(0,(B1432/E1432)*I1432/INDEX(Surface_Engine!$B$12:$B$72,$A1432+1)-F1432/INDEX(Surface_Engine!$B$12:$B$72,$A1432+1))),IF($A1432&lt;$Q$1392,MAX(0,-Assumptions!$B$22*(F1432/INDEX(Surface_Engine!$B$12:$B$72,$A1432+1))),0)))*(MAX(0,J1432/INDEX(Surface_Engine!$B$12:$B$72,$A1432+1)-(F1432/INDEX(Surface_Engine!$B$12:$B$72,$A1432+1)))))</f>
        <v>23.4336311344695</v>
      </c>
      <c r="L1432" s="48" t="n">
        <f aca="false">K1432*INDEX(Surface_Engine!$B$12:$B$72,$A1432+1)+L1433</f>
        <v>14.6256576967868</v>
      </c>
      <c r="M1432" s="48" t="n">
        <f aca="false">M1431+B1431*(IF($A1431&lt;$Q$1392,(Surface_Engine!L248*12)-(Surface_Engine!L248*12)*INDEX(Surface_Engine!$F$12:$F$72,$A1431+1)-INDEX(Surface_Engine!$D$12:$D$72,$A1431+1),-(1000*12*INDEX(Surface_Engine!$C$12:$C$72,$A1431+1)/(1+Assumptions!$B$10)^13+INDEX(Surface_Engine!$D$12:$D$72,$A1431+1))))*INDEX(Surface_Engine!$B$12:$B$72,$A1431+1)</f>
        <v>1543.54933988727</v>
      </c>
      <c r="N1432" s="12" t="n">
        <f aca="false">IF(B1432&lt;=0,0,MAX(0,(K1432+Assumptions!$B$29*L1432/INDEX(Surface_Engine!$B$12:$B$72,$A1432+1)-(M1432/INDEX(Surface_Engine!$B$12:$B$72,$A1432+1)-(F1432/INDEX(Surface_Engine!$B$12:$B$72,$A1432+1))))/B1432))</f>
        <v>0</v>
      </c>
    </row>
    <row r="1433" customFormat="false" ht="15" hidden="false" customHeight="true" outlineLevel="0" collapsed="false">
      <c r="A1433" s="1" t="n">
        <v>39</v>
      </c>
      <c r="B1433" s="32" t="n">
        <f aca="false">INDEX(Surface_Engine!$S$12:$S$72,$A1433+1)*IF($A1433&lt;$Q$1392,INDEX(Surface_Engine!$E$12:$E$72,$A1433+1),INDEX(Surface_Engine!$E$12:$E$72,$Q$1392+1))</f>
        <v>0.00138819885298531</v>
      </c>
      <c r="C1433" s="32" t="n">
        <f aca="false">INDEX(Panel_Reserving!$G$8:$G$68,$A1433+1)*IF($A1433&lt;$Q$1392,INDEX(Surface_Engine!$E$12:$E$72,$A1433+1),INDEX(Surface_Engine!$E$12:$E$72,$Q$1392+1))</f>
        <v>0.00592701368890322</v>
      </c>
      <c r="D1433" s="32" t="n">
        <f aca="false">INDEX(Surface_Engine!$S$12:$S$72,$A1433+1)*IF($A1433&lt;$Q$1392,INDEX(Surface_Engine!$Y$12:$Y$72,$A1433+1),INDEX(Surface_Engine!$Y$12:$Y$72,$Q$1392+1))</f>
        <v>0.00126916872465937</v>
      </c>
      <c r="E1433" s="32" t="n">
        <f aca="false">INDEX(Surface_Engine!$S$12:$S$72,$A1433+1)*IF($A1433&lt;$Q$1392,INDEX(Surface_Engine!$Z$12:$Z$72,$A1433+1),INDEX(Surface_Engine!$Z$12:$Z$72,$Q$1392+1))</f>
        <v>0.00151706315543545</v>
      </c>
      <c r="F1433" s="48" t="n">
        <f aca="false">B1433*(IF($A1433&lt;$Q$1392,INDEX(Surface_Engine!$D$12:$D$72,$A1433+1)+(Surface_Engine!L248*12)*INDEX(Surface_Engine!$F$12:$F$72,$A1433+1)-(Surface_Engine!L248*12),1000*12*INDEX(Surface_Engine!$C$12:$C$72,$A1433+1)/(1+Assumptions!$B$10)^13+INDEX(Surface_Engine!$D$12:$D$72,$A1433+1)))*INDEX(Surface_Engine!$B$12:$B$72,$A1433+1)+F1434</f>
        <v>17.103567521803</v>
      </c>
      <c r="G1433" s="48" t="n">
        <f aca="false">C1433*(IF($A1433&lt;$Q$1392,INDEX(Surface_Engine!$D$12:$D$72,$A1433+1)+(Surface_Engine!L248*12)*INDEX(Surface_Engine!$F$12:$F$72,$A1433+1)-(Surface_Engine!L248*12),1000*12*INDEX(Surface_Engine!$C$12:$C$72,$A1433+1)/(1+Assumptions!$B$10)^13+INDEX(Surface_Engine!$D$12:$D$72,$A1433+1)))*INDEX(Surface_Engine!$B$12:$B$72,$A1433+1)+G1434</f>
        <v>89.1886560053702</v>
      </c>
      <c r="H1433" s="48" t="n">
        <f aca="false">D1433*(IF($A1433&lt;$Q$1392,INDEX(Surface_Engine!$D$12:$D$72,$A1433+1)+(Surface_Engine!L248*12)*INDEX(Surface_Engine!$F$12:$F$72,$A1433+1)-(Surface_Engine!L248*12),1000*12*INDEX(Surface_Engine!$C$12:$C$72,$A1433+1)/(1+Assumptions!$B$10)^13+INDEX(Surface_Engine!$D$12:$D$72,$A1433+1)))*INDEX(Surface_Engine!$B$12:$B$72,$A1433+1)+H1434</f>
        <v>15.6370342275465</v>
      </c>
      <c r="I1433" s="48" t="n">
        <f aca="false">E1433*(IF($A1433&lt;$Q$1392,INDEX(Surface_Engine!$D$12:$D$72,$A1433+1)+(Surface_Engine!L248*12)*INDEX(Surface_Engine!$F$12:$F$72,$A1433+1)-(Surface_Engine!L248*12),1000*12*INDEX(Surface_Engine!$C$12:$C$72,$A1433+1)/(1+Assumptions!$B$10)^13+INDEX(Surface_Engine!$D$12:$D$72,$A1433+1)))*INDEX(Surface_Engine!$B$12:$B$72,$A1433+1)+I1434</f>
        <v>18.6912646254033</v>
      </c>
      <c r="J1433" s="48" t="n">
        <f aca="false">B1433*(IF($A1433&lt;$Q$1392,INDEX(Surface_Engine!$D$12:$D$72,$A1433+1)*(1+Assumptions!$B$24)+(Surface_Engine!L248*12)*INDEX(Surface_Engine!$F$12:$F$72,$A1433+1)-(Surface_Engine!L248*12),1000*12*INDEX(Surface_Engine!$C$12:$C$72,$A1433+1)/(1+Assumptions!$B$10)^13+INDEX(Surface_Engine!$D$12:$D$72,$A1433+1)*(1+Assumptions!$B$24)))*INDEX(Surface_Engine!$B$12:$B$72,$A1433+1)+J1434</f>
        <v>17.1217581956049</v>
      </c>
      <c r="K1433" s="12" t="n">
        <f aca="false">SQRT((IF(C1433&lt;=0,0,MAX(0,(B1433/C1433)*G1433/INDEX(Surface_Engine!$B$12:$B$72,$A1433+1)-F1433/INDEX(Surface_Engine!$B$12:$B$72,$A1433+1))))^2+(MAX(IF(D1433&lt;=0,0,MAX(0,(B1433/D1433)*H1433/INDEX(Surface_Engine!$B$12:$B$72,$A1433+1)-F1433/INDEX(Surface_Engine!$B$12:$B$72,$A1433+1))),IF(E1433&lt;=0,0,MAX(0,(B1433/E1433)*I1433/INDEX(Surface_Engine!$B$12:$B$72,$A1433+1)-F1433/INDEX(Surface_Engine!$B$12:$B$72,$A1433+1))),IF($A1433&lt;$Q$1392,MAX(0,-Assumptions!$B$22*(F1433/INDEX(Surface_Engine!$B$12:$B$72,$A1433+1))),0)))^2+(MAX(0,J1433/INDEX(Surface_Engine!$B$12:$B$72,$A1433+1)-(F1433/INDEX(Surface_Engine!$B$12:$B$72,$A1433+1))))^2+2*Assumptions!$B$26*(IF(C1433&lt;=0,0,MAX(0,(B1433/C1433)*G1433/INDEX(Surface_Engine!$B$12:$B$72,$A1433+1)-F1433/INDEX(Surface_Engine!$B$12:$B$72,$A1433+1))))*(MAX(IF(D1433&lt;=0,0,MAX(0,(B1433/D1433)*H1433/INDEX(Surface_Engine!$B$12:$B$72,$A1433+1)-F1433/INDEX(Surface_Engine!$B$12:$B$72,$A1433+1))),IF(E1433&lt;=0,0,MAX(0,(B1433/E1433)*I1433/INDEX(Surface_Engine!$B$12:$B$72,$A1433+1)-F1433/INDEX(Surface_Engine!$B$12:$B$72,$A1433+1))),IF($A1433&lt;$Q$1392,MAX(0,-Assumptions!$B$22*(F1433/INDEX(Surface_Engine!$B$12:$B$72,$A1433+1))),0)))+2*Assumptions!$B$27*(IF(C1433&lt;=0,0,MAX(0,(B1433/C1433)*G1433/INDEX(Surface_Engine!$B$12:$B$72,$A1433+1)-F1433/INDEX(Surface_Engine!$B$12:$B$72,$A1433+1))))*(MAX(0,J1433/INDEX(Surface_Engine!$B$12:$B$72,$A1433+1)-(F1433/INDEX(Surface_Engine!$B$12:$B$72,$A1433+1))))+2*Assumptions!$B$28*(MAX(IF(D1433&lt;=0,0,MAX(0,(B1433/D1433)*H1433/INDEX(Surface_Engine!$B$12:$B$72,$A1433+1)-F1433/INDEX(Surface_Engine!$B$12:$B$72,$A1433+1))),IF(E1433&lt;=0,0,MAX(0,(B1433/E1433)*I1433/INDEX(Surface_Engine!$B$12:$B$72,$A1433+1)-F1433/INDEX(Surface_Engine!$B$12:$B$72,$A1433+1))),IF($A1433&lt;$Q$1392,MAX(0,-Assumptions!$B$22*(F1433/INDEX(Surface_Engine!$B$12:$B$72,$A1433+1))),0)))*(MAX(0,J1433/INDEX(Surface_Engine!$B$12:$B$72,$A1433+1)-(F1433/INDEX(Surface_Engine!$B$12:$B$72,$A1433+1)))))</f>
        <v>12.9428001655343</v>
      </c>
      <c r="L1433" s="48" t="n">
        <f aca="false">K1433*INDEX(Surface_Engine!$B$12:$B$72,$A1433+1)+L1434</f>
        <v>7.54080337454595</v>
      </c>
      <c r="M1433" s="48" t="n">
        <f aca="false">M1432+B1432*(IF($A1432&lt;$Q$1392,(Surface_Engine!L248*12)-(Surface_Engine!L248*12)*INDEX(Surface_Engine!$F$12:$F$72,$A1432+1)-INDEX(Surface_Engine!$D$12:$D$72,$A1432+1),-(1000*12*INDEX(Surface_Engine!$C$12:$C$72,$A1432+1)/(1+Assumptions!$B$10)^13+INDEX(Surface_Engine!$D$12:$D$72,$A1432+1))))*INDEX(Surface_Engine!$B$12:$B$72,$A1432+1)</f>
        <v>1528.62147991314</v>
      </c>
      <c r="N1433" s="12" t="n">
        <f aca="false">IF(B1433&lt;=0,0,MAX(0,(K1433+Assumptions!$B$29*L1433/INDEX(Surface_Engine!$B$12:$B$72,$A1433+1)-(M1433/INDEX(Surface_Engine!$B$12:$B$72,$A1433+1)-(F1433/INDEX(Surface_Engine!$B$12:$B$72,$A1433+1))))/B1433))</f>
        <v>0</v>
      </c>
    </row>
    <row r="1434" customFormat="false" ht="15" hidden="false" customHeight="true" outlineLevel="0" collapsed="false">
      <c r="A1434" s="1" t="n">
        <v>40</v>
      </c>
      <c r="B1434" s="32" t="n">
        <f aca="false">INDEX(Surface_Engine!$S$12:$S$72,$A1434+1)*IF($A1434&lt;$Q$1392,INDEX(Surface_Engine!$E$12:$E$72,$A1434+1),INDEX(Surface_Engine!$E$12:$E$72,$Q$1392+1))</f>
        <v>0.000752073194186866</v>
      </c>
      <c r="C1434" s="32" t="n">
        <f aca="false">INDEX(Panel_Reserving!$G$8:$G$68,$A1434+1)*IF($A1434&lt;$Q$1392,INDEX(Surface_Engine!$E$12:$E$72,$A1434+1),INDEX(Surface_Engine!$E$12:$E$72,$Q$1392+1))</f>
        <v>0.00375422671132985</v>
      </c>
      <c r="D1434" s="32" t="n">
        <f aca="false">INDEX(Surface_Engine!$S$12:$S$72,$A1434+1)*IF($A1434&lt;$Q$1392,INDEX(Surface_Engine!$Y$12:$Y$72,$A1434+1),INDEX(Surface_Engine!$Y$12:$Y$72,$Q$1392+1))</f>
        <v>0.000687587210336602</v>
      </c>
      <c r="E1434" s="32" t="n">
        <f aca="false">INDEX(Surface_Engine!$S$12:$S$72,$A1434+1)*IF($A1434&lt;$Q$1392,INDEX(Surface_Engine!$Z$12:$Z$72,$A1434+1),INDEX(Surface_Engine!$Z$12:$Z$72,$Q$1392+1))</f>
        <v>0.000821886958513155</v>
      </c>
      <c r="F1434" s="48" t="n">
        <f aca="false">B1434*(IF($A1434&lt;$Q$1392,INDEX(Surface_Engine!$D$12:$D$72,$A1434+1)+(Surface_Engine!L248*12)*INDEX(Surface_Engine!$F$12:$F$72,$A1434+1)-(Surface_Engine!L248*12),1000*12*INDEX(Surface_Engine!$C$12:$C$72,$A1434+1)/(1+Assumptions!$B$10)^13+INDEX(Surface_Engine!$D$12:$D$72,$A1434+1)))*INDEX(Surface_Engine!$B$12:$B$72,$A1434+1)+F1435</f>
        <v>8.85242162875047</v>
      </c>
      <c r="G1434" s="48" t="n">
        <f aca="false">C1434*(IF($A1434&lt;$Q$1392,INDEX(Surface_Engine!$D$12:$D$72,$A1434+1)+(Surface_Engine!L248*12)*INDEX(Surface_Engine!$F$12:$F$72,$A1434+1)-(Surface_Engine!L248*12),1000*12*INDEX(Surface_Engine!$C$12:$C$72,$A1434+1)/(1+Assumptions!$B$10)^13+INDEX(Surface_Engine!$D$12:$D$72,$A1434+1)))*INDEX(Surface_Engine!$B$12:$B$72,$A1434+1)+G1435</f>
        <v>53.9598020468104</v>
      </c>
      <c r="H1434" s="48" t="n">
        <f aca="false">D1434*(IF($A1434&lt;$Q$1392,INDEX(Surface_Engine!$D$12:$D$72,$A1434+1)+(Surface_Engine!L248*12)*INDEX(Surface_Engine!$F$12:$F$72,$A1434+1)-(Surface_Engine!L248*12),1000*12*INDEX(Surface_Engine!$C$12:$C$72,$A1434+1)/(1+Assumptions!$B$10)^13+INDEX(Surface_Engine!$D$12:$D$72,$A1434+1)))*INDEX(Surface_Engine!$B$12:$B$72,$A1434+1)+H1435</f>
        <v>8.09337700038217</v>
      </c>
      <c r="I1434" s="48" t="n">
        <f aca="false">E1434*(IF($A1434&lt;$Q$1392,INDEX(Surface_Engine!$D$12:$D$72,$A1434+1)+(Surface_Engine!L248*12)*INDEX(Surface_Engine!$F$12:$F$72,$A1434+1)-(Surface_Engine!L248*12),1000*12*INDEX(Surface_Engine!$C$12:$C$72,$A1434+1)/(1+Assumptions!$B$10)^13+INDEX(Surface_Engine!$D$12:$D$72,$A1434+1)))*INDEX(Surface_Engine!$B$12:$B$72,$A1434+1)+I1435</f>
        <v>9.67417791800996</v>
      </c>
      <c r="J1434" s="48" t="n">
        <f aca="false">B1434*(IF($A1434&lt;$Q$1392,INDEX(Surface_Engine!$D$12:$D$72,$A1434+1)*(1+Assumptions!$B$24)+(Surface_Engine!L248*12)*INDEX(Surface_Engine!$F$12:$F$72,$A1434+1)-(Surface_Engine!L248*12),1000*12*INDEX(Surface_Engine!$C$12:$C$72,$A1434+1)/(1+Assumptions!$B$10)^13+INDEX(Surface_Engine!$D$12:$D$72,$A1434+1)*(1+Assumptions!$B$24)))*INDEX(Surface_Engine!$B$12:$B$72,$A1434+1)+J1435</f>
        <v>8.86187952870785</v>
      </c>
      <c r="K1434" s="12" t="n">
        <f aca="false">SQRT((IF(C1434&lt;=0,0,MAX(0,(B1434/C1434)*G1434/INDEX(Surface_Engine!$B$12:$B$72,$A1434+1)-F1434/INDEX(Surface_Engine!$B$12:$B$72,$A1434+1))))^2+(MAX(IF(D1434&lt;=0,0,MAX(0,(B1434/D1434)*H1434/INDEX(Surface_Engine!$B$12:$B$72,$A1434+1)-F1434/INDEX(Surface_Engine!$B$12:$B$72,$A1434+1))),IF(E1434&lt;=0,0,MAX(0,(B1434/E1434)*I1434/INDEX(Surface_Engine!$B$12:$B$72,$A1434+1)-F1434/INDEX(Surface_Engine!$B$12:$B$72,$A1434+1))),IF($A1434&lt;$Q$1392,MAX(0,-Assumptions!$B$22*(F1434/INDEX(Surface_Engine!$B$12:$B$72,$A1434+1))),0)))^2+(MAX(0,J1434/INDEX(Surface_Engine!$B$12:$B$72,$A1434+1)-(F1434/INDEX(Surface_Engine!$B$12:$B$72,$A1434+1))))^2+2*Assumptions!$B$26*(IF(C1434&lt;=0,0,MAX(0,(B1434/C1434)*G1434/INDEX(Surface_Engine!$B$12:$B$72,$A1434+1)-F1434/INDEX(Surface_Engine!$B$12:$B$72,$A1434+1))))*(MAX(IF(D1434&lt;=0,0,MAX(0,(B1434/D1434)*H1434/INDEX(Surface_Engine!$B$12:$B$72,$A1434+1)-F1434/INDEX(Surface_Engine!$B$12:$B$72,$A1434+1))),IF(E1434&lt;=0,0,MAX(0,(B1434/E1434)*I1434/INDEX(Surface_Engine!$B$12:$B$72,$A1434+1)-F1434/INDEX(Surface_Engine!$B$12:$B$72,$A1434+1))),IF($A1434&lt;$Q$1392,MAX(0,-Assumptions!$B$22*(F1434/INDEX(Surface_Engine!$B$12:$B$72,$A1434+1))),0)))+2*Assumptions!$B$27*(IF(C1434&lt;=0,0,MAX(0,(B1434/C1434)*G1434/INDEX(Surface_Engine!$B$12:$B$72,$A1434+1)-F1434/INDEX(Surface_Engine!$B$12:$B$72,$A1434+1))))*(MAX(0,J1434/INDEX(Surface_Engine!$B$12:$B$72,$A1434+1)-(F1434/INDEX(Surface_Engine!$B$12:$B$72,$A1434+1))))+2*Assumptions!$B$28*(MAX(IF(D1434&lt;=0,0,MAX(0,(B1434/D1434)*H1434/INDEX(Surface_Engine!$B$12:$B$72,$A1434+1)-F1434/INDEX(Surface_Engine!$B$12:$B$72,$A1434+1))),IF(E1434&lt;=0,0,MAX(0,(B1434/E1434)*I1434/INDEX(Surface_Engine!$B$12:$B$72,$A1434+1)-F1434/INDEX(Surface_Engine!$B$12:$B$72,$A1434+1))),IF($A1434&lt;$Q$1392,MAX(0,-Assumptions!$B$22*(F1434/INDEX(Surface_Engine!$B$12:$B$72,$A1434+1))),0)))*(MAX(0,J1434/INDEX(Surface_Engine!$B$12:$B$72,$A1434+1)-(F1434/INDEX(Surface_Engine!$B$12:$B$72,$A1434+1)))))</f>
        <v>6.91062927022897</v>
      </c>
      <c r="L1434" s="48" t="n">
        <f aca="false">K1434*INDEX(Surface_Engine!$B$12:$B$72,$A1434+1)+L1435</f>
        <v>3.75041095218335</v>
      </c>
      <c r="M1434" s="48" t="n">
        <f aca="false">M1433+B1433*(IF($A1433&lt;$Q$1392,(Surface_Engine!L248*12)-(Surface_Engine!L248*12)*INDEX(Surface_Engine!$F$12:$F$72,$A1433+1)-INDEX(Surface_Engine!$D$12:$D$72,$A1433+1),-(1000*12*INDEX(Surface_Engine!$C$12:$C$72,$A1433+1)/(1+Assumptions!$B$10)^13+INDEX(Surface_Engine!$D$12:$D$72,$A1433+1))))*INDEX(Surface_Engine!$B$12:$B$72,$A1433+1)</f>
        <v>1520.37033402008</v>
      </c>
      <c r="N1434" s="12" t="n">
        <f aca="false">IF(B1434&lt;=0,0,MAX(0,(K1434+Assumptions!$B$29*L1434/INDEX(Surface_Engine!$B$12:$B$72,$A1434+1)-(M1434/INDEX(Surface_Engine!$B$12:$B$72,$A1434+1)-(F1434/INDEX(Surface_Engine!$B$12:$B$72,$A1434+1))))/B1434))</f>
        <v>0</v>
      </c>
    </row>
    <row r="1435" customFormat="false" ht="15" hidden="false" customHeight="true" outlineLevel="0" collapsed="false">
      <c r="A1435" s="1" t="n">
        <v>41</v>
      </c>
      <c r="B1435" s="32" t="n">
        <f aca="false">INDEX(Surface_Engine!$S$12:$S$72,$A1435+1)*IF($A1435&lt;$Q$1392,INDEX(Surface_Engine!$E$12:$E$72,$A1435+1),INDEX(Surface_Engine!$E$12:$E$72,$Q$1392+1))</f>
        <v>0.000394226557576844</v>
      </c>
      <c r="C1435" s="32" t="n">
        <f aca="false">INDEX(Panel_Reserving!$G$8:$G$68,$A1435+1)*IF($A1435&lt;$Q$1392,INDEX(Surface_Engine!$E$12:$E$72,$A1435+1),INDEX(Surface_Engine!$E$12:$E$72,$Q$1392+1))</f>
        <v>0.00232517707934726</v>
      </c>
      <c r="D1435" s="32" t="n">
        <f aca="false">INDEX(Surface_Engine!$S$12:$S$72,$A1435+1)*IF($A1435&lt;$Q$1392,INDEX(Surface_Engine!$Y$12:$Y$72,$A1435+1),INDEX(Surface_Engine!$Y$12:$Y$72,$Q$1392+1))</f>
        <v>0.000360423880361721</v>
      </c>
      <c r="E1435" s="32" t="n">
        <f aca="false">INDEX(Surface_Engine!$S$12:$S$72,$A1435+1)*IF($A1435&lt;$Q$1392,INDEX(Surface_Engine!$Z$12:$Z$72,$A1435+1),INDEX(Surface_Engine!$Z$12:$Z$72,$Q$1392+1))</f>
        <v>0.000430821984982805</v>
      </c>
      <c r="F1435" s="48" t="n">
        <f aca="false">B1435*(IF($A1435&lt;$Q$1392,INDEX(Surface_Engine!$D$12:$D$72,$A1435+1)+(Surface_Engine!L248*12)*INDEX(Surface_Engine!$F$12:$F$72,$A1435+1)-(Surface_Engine!L248*12),1000*12*INDEX(Surface_Engine!$C$12:$C$72,$A1435+1)/(1+Assumptions!$B$10)^13+INDEX(Surface_Engine!$D$12:$D$72,$A1435+1)))*INDEX(Surface_Engine!$B$12:$B$72,$A1435+1)+F1436</f>
        <v>4.437395827273</v>
      </c>
      <c r="G1435" s="48" t="n">
        <f aca="false">C1435*(IF($A1435&lt;$Q$1392,INDEX(Surface_Engine!$D$12:$D$72,$A1435+1)+(Surface_Engine!L248*12)*INDEX(Surface_Engine!$F$12:$F$72,$A1435+1)-(Surface_Engine!L248*12),1000*12*INDEX(Surface_Engine!$C$12:$C$72,$A1435+1)/(1+Assumptions!$B$10)^13+INDEX(Surface_Engine!$D$12:$D$72,$A1435+1)))*INDEX(Surface_Engine!$B$12:$B$72,$A1435+1)+G1436</f>
        <v>31.9207134006077</v>
      </c>
      <c r="H1435" s="48" t="n">
        <f aca="false">D1435*(IF($A1435&lt;$Q$1392,INDEX(Surface_Engine!$D$12:$D$72,$A1435+1)+(Surface_Engine!L248*12)*INDEX(Surface_Engine!$F$12:$F$72,$A1435+1)-(Surface_Engine!L248*12),1000*12*INDEX(Surface_Engine!$C$12:$C$72,$A1435+1)/(1+Assumptions!$B$10)^13+INDEX(Surface_Engine!$D$12:$D$72,$A1435+1)))*INDEX(Surface_Engine!$B$12:$B$72,$A1435+1)+H1436</f>
        <v>4.05691446207272</v>
      </c>
      <c r="I1435" s="48" t="n">
        <f aca="false">E1435*(IF($A1435&lt;$Q$1392,INDEX(Surface_Engine!$D$12:$D$72,$A1435+1)+(Surface_Engine!L248*12)*INDEX(Surface_Engine!$F$12:$F$72,$A1435+1)-(Surface_Engine!L248*12),1000*12*INDEX(Surface_Engine!$C$12:$C$72,$A1435+1)/(1+Assumptions!$B$10)^13+INDEX(Surface_Engine!$D$12:$D$72,$A1435+1)))*INDEX(Surface_Engine!$B$12:$B$72,$A1435+1)+I1436</f>
        <v>4.84931225894777</v>
      </c>
      <c r="J1435" s="48" t="n">
        <f aca="false">B1435*(IF($A1435&lt;$Q$1392,INDEX(Surface_Engine!$D$12:$D$72,$A1435+1)*(1+Assumptions!$B$24)+(Surface_Engine!L248*12)*INDEX(Surface_Engine!$F$12:$F$72,$A1435+1)-(Surface_Engine!L248*12),1000*12*INDEX(Surface_Engine!$C$12:$C$72,$A1435+1)/(1+Assumptions!$B$10)^13+INDEX(Surface_Engine!$D$12:$D$72,$A1435+1)*(1+Assumptions!$B$24)))*INDEX(Surface_Engine!$B$12:$B$72,$A1435+1)+J1436</f>
        <v>4.44215832982522</v>
      </c>
      <c r="K1435" s="12" t="n">
        <f aca="false">SQRT((IF(C1435&lt;=0,0,MAX(0,(B1435/C1435)*G1435/INDEX(Surface_Engine!$B$12:$B$72,$A1435+1)-F1435/INDEX(Surface_Engine!$B$12:$B$72,$A1435+1))))^2+(MAX(IF(D1435&lt;=0,0,MAX(0,(B1435/D1435)*H1435/INDEX(Surface_Engine!$B$12:$B$72,$A1435+1)-F1435/INDEX(Surface_Engine!$B$12:$B$72,$A1435+1))),IF(E1435&lt;=0,0,MAX(0,(B1435/E1435)*I1435/INDEX(Surface_Engine!$B$12:$B$72,$A1435+1)-F1435/INDEX(Surface_Engine!$B$12:$B$72,$A1435+1))),IF($A1435&lt;$Q$1392,MAX(0,-Assumptions!$B$22*(F1435/INDEX(Surface_Engine!$B$12:$B$72,$A1435+1))),0)))^2+(MAX(0,J1435/INDEX(Surface_Engine!$B$12:$B$72,$A1435+1)-(F1435/INDEX(Surface_Engine!$B$12:$B$72,$A1435+1))))^2+2*Assumptions!$B$26*(IF(C1435&lt;=0,0,MAX(0,(B1435/C1435)*G1435/INDEX(Surface_Engine!$B$12:$B$72,$A1435+1)-F1435/INDEX(Surface_Engine!$B$12:$B$72,$A1435+1))))*(MAX(IF(D1435&lt;=0,0,MAX(0,(B1435/D1435)*H1435/INDEX(Surface_Engine!$B$12:$B$72,$A1435+1)-F1435/INDEX(Surface_Engine!$B$12:$B$72,$A1435+1))),IF(E1435&lt;=0,0,MAX(0,(B1435/E1435)*I1435/INDEX(Surface_Engine!$B$12:$B$72,$A1435+1)-F1435/INDEX(Surface_Engine!$B$12:$B$72,$A1435+1))),IF($A1435&lt;$Q$1392,MAX(0,-Assumptions!$B$22*(F1435/INDEX(Surface_Engine!$B$12:$B$72,$A1435+1))),0)))+2*Assumptions!$B$27*(IF(C1435&lt;=0,0,MAX(0,(B1435/C1435)*G1435/INDEX(Surface_Engine!$B$12:$B$72,$A1435+1)-F1435/INDEX(Surface_Engine!$B$12:$B$72,$A1435+1))))*(MAX(0,J1435/INDEX(Surface_Engine!$B$12:$B$72,$A1435+1)-(F1435/INDEX(Surface_Engine!$B$12:$B$72,$A1435+1))))+2*Assumptions!$B$28*(MAX(IF(D1435&lt;=0,0,MAX(0,(B1435/D1435)*H1435/INDEX(Surface_Engine!$B$12:$B$72,$A1435+1)-F1435/INDEX(Surface_Engine!$B$12:$B$72,$A1435+1))),IF(E1435&lt;=0,0,MAX(0,(B1435/E1435)*I1435/INDEX(Surface_Engine!$B$12:$B$72,$A1435+1)-F1435/INDEX(Surface_Engine!$B$12:$B$72,$A1435+1))),IF($A1435&lt;$Q$1392,MAX(0,-Assumptions!$B$22*(F1435/INDEX(Surface_Engine!$B$12:$B$72,$A1435+1))),0)))*(MAX(0,J1435/INDEX(Surface_Engine!$B$12:$B$72,$A1435+1)-(F1435/INDEX(Surface_Engine!$B$12:$B$72,$A1435+1)))))</f>
        <v>3.5544655686655</v>
      </c>
      <c r="L1435" s="48" t="n">
        <f aca="false">K1435*INDEX(Surface_Engine!$B$12:$B$72,$A1435+1)+L1436</f>
        <v>1.79083828437964</v>
      </c>
      <c r="M1435" s="48" t="n">
        <f aca="false">M1434+B1434*(IF($A1434&lt;$Q$1392,(Surface_Engine!L248*12)-(Surface_Engine!L248*12)*INDEX(Surface_Engine!$F$12:$F$72,$A1434+1)-INDEX(Surface_Engine!$D$12:$D$72,$A1434+1),-(1000*12*INDEX(Surface_Engine!$C$12:$C$72,$A1434+1)/(1+Assumptions!$B$10)^13+INDEX(Surface_Engine!$D$12:$D$72,$A1434+1))))*INDEX(Surface_Engine!$B$12:$B$72,$A1434+1)</f>
        <v>1515.95530821861</v>
      </c>
      <c r="N1435" s="12" t="n">
        <f aca="false">IF(B1435&lt;=0,0,MAX(0,(K1435+Assumptions!$B$29*L1435/INDEX(Surface_Engine!$B$12:$B$72,$A1435+1)-(M1435/INDEX(Surface_Engine!$B$12:$B$72,$A1435+1)-(F1435/INDEX(Surface_Engine!$B$12:$B$72,$A1435+1))))/B1435))</f>
        <v>0</v>
      </c>
    </row>
    <row r="1436" customFormat="false" ht="15" hidden="false" customHeight="true" outlineLevel="0" collapsed="false">
      <c r="A1436" s="1" t="n">
        <v>42</v>
      </c>
      <c r="B1436" s="32" t="n">
        <f aca="false">INDEX(Surface_Engine!$S$12:$S$72,$A1436+1)*IF($A1436&lt;$Q$1392,INDEX(Surface_Engine!$E$12:$E$72,$A1436+1),INDEX(Surface_Engine!$E$12:$E$72,$Q$1392+1))</f>
        <v>0.000199769177118123</v>
      </c>
      <c r="C1436" s="32" t="n">
        <f aca="false">INDEX(Panel_Reserving!$G$8:$G$68,$A1436+1)*IF($A1436&lt;$Q$1392,INDEX(Surface_Engine!$E$12:$E$72,$A1436+1),INDEX(Surface_Engine!$E$12:$E$72,$Q$1392+1))</f>
        <v>0.0014076379937378</v>
      </c>
      <c r="D1436" s="32" t="n">
        <f aca="false">INDEX(Surface_Engine!$S$12:$S$72,$A1436+1)*IF($A1436&lt;$Q$1392,INDEX(Surface_Engine!$Y$12:$Y$72,$A1436+1),INDEX(Surface_Engine!$Y$12:$Y$72,$Q$1392+1))</f>
        <v>0.000182640110387659</v>
      </c>
      <c r="E1436" s="32" t="n">
        <f aca="false">INDEX(Surface_Engine!$S$12:$S$72,$A1436+1)*IF($A1436&lt;$Q$1392,INDEX(Surface_Engine!$Z$12:$Z$72,$A1436+1),INDEX(Surface_Engine!$Z$12:$Z$72,$Q$1392+1))</f>
        <v>0.000218313433659616</v>
      </c>
      <c r="F1436" s="48" t="n">
        <f aca="false">B1436*(IF($A1436&lt;$Q$1392,INDEX(Surface_Engine!$D$12:$D$72,$A1436+1)+(Surface_Engine!L248*12)*INDEX(Surface_Engine!$F$12:$F$72,$A1436+1)-(Surface_Engine!L248*12),1000*12*INDEX(Surface_Engine!$C$12:$C$72,$A1436+1)/(1+Assumptions!$B$10)^13+INDEX(Surface_Engine!$D$12:$D$72,$A1436+1)))*INDEX(Surface_Engine!$B$12:$B$72,$A1436+1)+F1437</f>
        <v>2.15172940490313</v>
      </c>
      <c r="G1436" s="48" t="n">
        <f aca="false">C1436*(IF($A1436&lt;$Q$1392,INDEX(Surface_Engine!$D$12:$D$72,$A1436+1)+(Surface_Engine!L248*12)*INDEX(Surface_Engine!$F$12:$F$72,$A1436+1)-(Surface_Engine!L248*12),1000*12*INDEX(Surface_Engine!$C$12:$C$72,$A1436+1)/(1+Assumptions!$B$10)^13+INDEX(Surface_Engine!$D$12:$D$72,$A1436+1)))*INDEX(Surface_Engine!$B$12:$B$72,$A1436+1)+G1437</f>
        <v>18.4396856154815</v>
      </c>
      <c r="H1436" s="48" t="n">
        <f aca="false">D1436*(IF($A1436&lt;$Q$1392,INDEX(Surface_Engine!$D$12:$D$72,$A1436+1)+(Surface_Engine!L248*12)*INDEX(Surface_Engine!$F$12:$F$72,$A1436+1)-(Surface_Engine!L248*12),1000*12*INDEX(Surface_Engine!$C$12:$C$72,$A1436+1)/(1+Assumptions!$B$10)^13+INDEX(Surface_Engine!$D$12:$D$72,$A1436+1)))*INDEX(Surface_Engine!$B$12:$B$72,$A1436+1)+H1437</f>
        <v>1.96723088969579</v>
      </c>
      <c r="I1436" s="48" t="n">
        <f aca="false">E1436*(IF($A1436&lt;$Q$1392,INDEX(Surface_Engine!$D$12:$D$72,$A1436+1)+(Surface_Engine!L248*12)*INDEX(Surface_Engine!$F$12:$F$72,$A1436+1)-(Surface_Engine!L248*12),1000*12*INDEX(Surface_Engine!$C$12:$C$72,$A1436+1)/(1+Assumptions!$B$10)^13+INDEX(Surface_Engine!$D$12:$D$72,$A1436+1)))*INDEX(Surface_Engine!$B$12:$B$72,$A1436+1)+I1437</f>
        <v>2.35147104006441</v>
      </c>
      <c r="J1436" s="48" t="n">
        <f aca="false">B1436*(IF($A1436&lt;$Q$1392,INDEX(Surface_Engine!$D$12:$D$72,$A1436+1)*(1+Assumptions!$B$24)+(Surface_Engine!L248*12)*INDEX(Surface_Engine!$F$12:$F$72,$A1436+1)-(Surface_Engine!L248*12),1000*12*INDEX(Surface_Engine!$C$12:$C$72,$A1436+1)/(1+Assumptions!$B$10)^13+INDEX(Surface_Engine!$D$12:$D$72,$A1436+1)*(1+Assumptions!$B$24)))*INDEX(Surface_Engine!$B$12:$B$72,$A1436+1)+J1437</f>
        <v>2.15404930375131</v>
      </c>
      <c r="K1436" s="12" t="n">
        <f aca="false">SQRT((IF(C1436&lt;=0,0,MAX(0,(B1436/C1436)*G1436/INDEX(Surface_Engine!$B$12:$B$72,$A1436+1)-F1436/INDEX(Surface_Engine!$B$12:$B$72,$A1436+1))))^2+(MAX(IF(D1436&lt;=0,0,MAX(0,(B1436/D1436)*H1436/INDEX(Surface_Engine!$B$12:$B$72,$A1436+1)-F1436/INDEX(Surface_Engine!$B$12:$B$72,$A1436+1))),IF(E1436&lt;=0,0,MAX(0,(B1436/E1436)*I1436/INDEX(Surface_Engine!$B$12:$B$72,$A1436+1)-F1436/INDEX(Surface_Engine!$B$12:$B$72,$A1436+1))),IF($A1436&lt;$Q$1392,MAX(0,-Assumptions!$B$22*(F1436/INDEX(Surface_Engine!$B$12:$B$72,$A1436+1))),0)))^2+(MAX(0,J1436/INDEX(Surface_Engine!$B$12:$B$72,$A1436+1)-(F1436/INDEX(Surface_Engine!$B$12:$B$72,$A1436+1))))^2+2*Assumptions!$B$26*(IF(C1436&lt;=0,0,MAX(0,(B1436/C1436)*G1436/INDEX(Surface_Engine!$B$12:$B$72,$A1436+1)-F1436/INDEX(Surface_Engine!$B$12:$B$72,$A1436+1))))*(MAX(IF(D1436&lt;=0,0,MAX(0,(B1436/D1436)*H1436/INDEX(Surface_Engine!$B$12:$B$72,$A1436+1)-F1436/INDEX(Surface_Engine!$B$12:$B$72,$A1436+1))),IF(E1436&lt;=0,0,MAX(0,(B1436/E1436)*I1436/INDEX(Surface_Engine!$B$12:$B$72,$A1436+1)-F1436/INDEX(Surface_Engine!$B$12:$B$72,$A1436+1))),IF($A1436&lt;$Q$1392,MAX(0,-Assumptions!$B$22*(F1436/INDEX(Surface_Engine!$B$12:$B$72,$A1436+1))),0)))+2*Assumptions!$B$27*(IF(C1436&lt;=0,0,MAX(0,(B1436/C1436)*G1436/INDEX(Surface_Engine!$B$12:$B$72,$A1436+1)-F1436/INDEX(Surface_Engine!$B$12:$B$72,$A1436+1))))*(MAX(0,J1436/INDEX(Surface_Engine!$B$12:$B$72,$A1436+1)-(F1436/INDEX(Surface_Engine!$B$12:$B$72,$A1436+1))))+2*Assumptions!$B$28*(MAX(IF(D1436&lt;=0,0,MAX(0,(B1436/D1436)*H1436/INDEX(Surface_Engine!$B$12:$B$72,$A1436+1)-F1436/INDEX(Surface_Engine!$B$12:$B$72,$A1436+1))),IF(E1436&lt;=0,0,MAX(0,(B1436/E1436)*I1436/INDEX(Surface_Engine!$B$12:$B$72,$A1436+1)-F1436/INDEX(Surface_Engine!$B$12:$B$72,$A1436+1))),IF($A1436&lt;$Q$1392,MAX(0,-Assumptions!$B$22*(F1436/INDEX(Surface_Engine!$B$12:$B$72,$A1436+1))),0)))*(MAX(0,J1436/INDEX(Surface_Engine!$B$12:$B$72,$A1436+1)-(F1436/INDEX(Surface_Engine!$B$12:$B$72,$A1436+1)))))</f>
        <v>1.7515983969877</v>
      </c>
      <c r="L1436" s="48" t="n">
        <f aca="false">K1436*INDEX(Surface_Engine!$B$12:$B$72,$A1436+1)+L1437</f>
        <v>0.814974700471898</v>
      </c>
      <c r="M1436" s="48" t="n">
        <f aca="false">M1435+B1435*(IF($A1435&lt;$Q$1392,(Surface_Engine!L248*12)-(Surface_Engine!L248*12)*INDEX(Surface_Engine!$F$12:$F$72,$A1435+1)-INDEX(Surface_Engine!$D$12:$D$72,$A1435+1),-(1000*12*INDEX(Surface_Engine!$C$12:$C$72,$A1435+1)/(1+Assumptions!$B$10)^13+INDEX(Surface_Engine!$D$12:$D$72,$A1435+1))))*INDEX(Surface_Engine!$B$12:$B$72,$A1435+1)</f>
        <v>1513.66964179624</v>
      </c>
      <c r="N1436" s="12" t="n">
        <f aca="false">IF(B1436&lt;=0,0,MAX(0,(K1436+Assumptions!$B$29*L1436/INDEX(Surface_Engine!$B$12:$B$72,$A1436+1)-(M1436/INDEX(Surface_Engine!$B$12:$B$72,$A1436+1)-(F1436/INDEX(Surface_Engine!$B$12:$B$72,$A1436+1))))/B1436))</f>
        <v>0</v>
      </c>
    </row>
    <row r="1437" customFormat="false" ht="15" hidden="false" customHeight="true" outlineLevel="0" collapsed="false">
      <c r="A1437" s="1" t="n">
        <v>43</v>
      </c>
      <c r="B1437" s="32" t="n">
        <f aca="false">INDEX(Surface_Engine!$S$12:$S$72,$A1437+1)*IF($A1437&lt;$Q$1392,INDEX(Surface_Engine!$E$12:$E$72,$A1437+1),INDEX(Surface_Engine!$E$12:$E$72,$Q$1392+1))</f>
        <v>9.77800931527146E-005</v>
      </c>
      <c r="C1437" s="32" t="n">
        <f aca="false">INDEX(Panel_Reserving!$G$8:$G$68,$A1437+1)*IF($A1437&lt;$Q$1392,INDEX(Surface_Engine!$E$12:$E$72,$A1437+1),INDEX(Surface_Engine!$E$12:$E$72,$Q$1392+1))</f>
        <v>0.000832719634029747</v>
      </c>
      <c r="D1437" s="32" t="n">
        <f aca="false">INDEX(Surface_Engine!$S$12:$S$72,$A1437+1)*IF($A1437&lt;$Q$1392,INDEX(Surface_Engine!$Y$12:$Y$72,$A1437+1),INDEX(Surface_Engine!$Y$12:$Y$72,$Q$1392+1))</f>
        <v>8.93960082569079E-005</v>
      </c>
      <c r="E1437" s="32" t="n">
        <f aca="false">INDEX(Surface_Engine!$S$12:$S$72,$A1437+1)*IF($A1437&lt;$Q$1392,INDEX(Surface_Engine!$Z$12:$Z$72,$A1437+1),INDEX(Surface_Engine!$Z$12:$Z$72,$Q$1392+1))</f>
        <v>0.00010685686444563</v>
      </c>
      <c r="F1437" s="48" t="n">
        <f aca="false">B1437*(IF($A1437&lt;$Q$1392,INDEX(Surface_Engine!$D$12:$D$72,$A1437+1)+(Surface_Engine!L248*12)*INDEX(Surface_Engine!$F$12:$F$72,$A1437+1)-(Surface_Engine!L248*12),1000*12*INDEX(Surface_Engine!$C$12:$C$72,$A1437+1)/(1+Assumptions!$B$10)^13+INDEX(Surface_Engine!$D$12:$D$72,$A1437+1)))*INDEX(Surface_Engine!$B$12:$B$72,$A1437+1)+F1438</f>
        <v>1.00740460682587</v>
      </c>
      <c r="G1437" s="48" t="n">
        <f aca="false">C1437*(IF($A1437&lt;$Q$1392,INDEX(Surface_Engine!$D$12:$D$72,$A1437+1)+(Surface_Engine!L248*12)*INDEX(Surface_Engine!$F$12:$F$72,$A1437+1)-(Surface_Engine!L248*12),1000*12*INDEX(Surface_Engine!$C$12:$C$72,$A1437+1)/(1+Assumptions!$B$10)^13+INDEX(Surface_Engine!$D$12:$D$72,$A1437+1)))*INDEX(Surface_Engine!$B$12:$B$72,$A1437+1)+G1438</f>
        <v>10.3764043516385</v>
      </c>
      <c r="H1437" s="48" t="n">
        <f aca="false">D1437*(IF($A1437&lt;$Q$1392,INDEX(Surface_Engine!$D$12:$D$72,$A1437+1)+(Surface_Engine!L248*12)*INDEX(Surface_Engine!$F$12:$F$72,$A1437+1)-(Surface_Engine!L248*12),1000*12*INDEX(Surface_Engine!$C$12:$C$72,$A1437+1)/(1+Assumptions!$B$10)^13+INDEX(Surface_Engine!$D$12:$D$72,$A1437+1)))*INDEX(Surface_Engine!$B$12:$B$72,$A1437+1)+H1438</f>
        <v>0.921025411677597</v>
      </c>
      <c r="I1437" s="48" t="n">
        <f aca="false">E1437*(IF($A1437&lt;$Q$1392,INDEX(Surface_Engine!$D$12:$D$72,$A1437+1)+(Surface_Engine!L248*12)*INDEX(Surface_Engine!$F$12:$F$72,$A1437+1)-(Surface_Engine!L248*12),1000*12*INDEX(Surface_Engine!$C$12:$C$72,$A1437+1)/(1+Assumptions!$B$10)^13+INDEX(Surface_Engine!$D$12:$D$72,$A1437+1)))*INDEX(Surface_Engine!$B$12:$B$72,$A1437+1)+I1438</f>
        <v>1.1009203820799</v>
      </c>
      <c r="J1437" s="48" t="n">
        <f aca="false">B1437*(IF($A1437&lt;$Q$1392,INDEX(Surface_Engine!$D$12:$D$72,$A1437+1)*(1+Assumptions!$B$24)+(Surface_Engine!L248*12)*INDEX(Surface_Engine!$F$12:$F$72,$A1437+1)-(Surface_Engine!L248*12),1000*12*INDEX(Surface_Engine!$C$12:$C$72,$A1437+1)/(1+Assumptions!$B$10)^13+INDEX(Surface_Engine!$D$12:$D$72,$A1437+1)*(1+Assumptions!$B$24)))*INDEX(Surface_Engine!$B$12:$B$72,$A1437+1)+J1438</f>
        <v>1.00849567960553</v>
      </c>
      <c r="K1437" s="12" t="n">
        <f aca="false">SQRT((IF(C1437&lt;=0,0,MAX(0,(B1437/C1437)*G1437/INDEX(Surface_Engine!$B$12:$B$72,$A1437+1)-F1437/INDEX(Surface_Engine!$B$12:$B$72,$A1437+1))))^2+(MAX(IF(D1437&lt;=0,0,MAX(0,(B1437/D1437)*H1437/INDEX(Surface_Engine!$B$12:$B$72,$A1437+1)-F1437/INDEX(Surface_Engine!$B$12:$B$72,$A1437+1))),IF(E1437&lt;=0,0,MAX(0,(B1437/E1437)*I1437/INDEX(Surface_Engine!$B$12:$B$72,$A1437+1)-F1437/INDEX(Surface_Engine!$B$12:$B$72,$A1437+1))),IF($A1437&lt;$Q$1392,MAX(0,-Assumptions!$B$22*(F1437/INDEX(Surface_Engine!$B$12:$B$72,$A1437+1))),0)))^2+(MAX(0,J1437/INDEX(Surface_Engine!$B$12:$B$72,$A1437+1)-(F1437/INDEX(Surface_Engine!$B$12:$B$72,$A1437+1))))^2+2*Assumptions!$B$26*(IF(C1437&lt;=0,0,MAX(0,(B1437/C1437)*G1437/INDEX(Surface_Engine!$B$12:$B$72,$A1437+1)-F1437/INDEX(Surface_Engine!$B$12:$B$72,$A1437+1))))*(MAX(IF(D1437&lt;=0,0,MAX(0,(B1437/D1437)*H1437/INDEX(Surface_Engine!$B$12:$B$72,$A1437+1)-F1437/INDEX(Surface_Engine!$B$12:$B$72,$A1437+1))),IF(E1437&lt;=0,0,MAX(0,(B1437/E1437)*I1437/INDEX(Surface_Engine!$B$12:$B$72,$A1437+1)-F1437/INDEX(Surface_Engine!$B$12:$B$72,$A1437+1))),IF($A1437&lt;$Q$1392,MAX(0,-Assumptions!$B$22*(F1437/INDEX(Surface_Engine!$B$12:$B$72,$A1437+1))),0)))+2*Assumptions!$B$27*(IF(C1437&lt;=0,0,MAX(0,(B1437/C1437)*G1437/INDEX(Surface_Engine!$B$12:$B$72,$A1437+1)-F1437/INDEX(Surface_Engine!$B$12:$B$72,$A1437+1))))*(MAX(0,J1437/INDEX(Surface_Engine!$B$12:$B$72,$A1437+1)-(F1437/INDEX(Surface_Engine!$B$12:$B$72,$A1437+1))))+2*Assumptions!$B$28*(MAX(IF(D1437&lt;=0,0,MAX(0,(B1437/D1437)*H1437/INDEX(Surface_Engine!$B$12:$B$72,$A1437+1)-F1437/INDEX(Surface_Engine!$B$12:$B$72,$A1437+1))),IF(E1437&lt;=0,0,MAX(0,(B1437/E1437)*I1437/INDEX(Surface_Engine!$B$12:$B$72,$A1437+1)-F1437/INDEX(Surface_Engine!$B$12:$B$72,$A1437+1))),IF($A1437&lt;$Q$1392,MAX(0,-Assumptions!$B$22*(F1437/INDEX(Surface_Engine!$B$12:$B$72,$A1437+1))),0)))*(MAX(0,J1437/INDEX(Surface_Engine!$B$12:$B$72,$A1437+1)-(F1437/INDEX(Surface_Engine!$B$12:$B$72,$A1437+1)))))</f>
        <v>0.820733173436243</v>
      </c>
      <c r="L1437" s="48" t="n">
        <f aca="false">K1437*INDEX(Surface_Engine!$B$12:$B$72,$A1437+1)+L1438</f>
        <v>0.349195302171554</v>
      </c>
      <c r="M1437" s="48" t="n">
        <f aca="false">M1436+B1436*(IF($A1436&lt;$Q$1392,(Surface_Engine!L248*12)-(Surface_Engine!L248*12)*INDEX(Surface_Engine!$F$12:$F$72,$A1436+1)-INDEX(Surface_Engine!$D$12:$D$72,$A1436+1),-(1000*12*INDEX(Surface_Engine!$C$12:$C$72,$A1436+1)/(1+Assumptions!$B$10)^13+INDEX(Surface_Engine!$D$12:$D$72,$A1436+1))))*INDEX(Surface_Engine!$B$12:$B$72,$A1436+1)</f>
        <v>1512.52531699816</v>
      </c>
      <c r="N1437" s="12" t="n">
        <f aca="false">IF(B1437&lt;=0,0,MAX(0,(K1437+Assumptions!$B$29*L1437/INDEX(Surface_Engine!$B$12:$B$72,$A1437+1)-(M1437/INDEX(Surface_Engine!$B$12:$B$72,$A1437+1)-(F1437/INDEX(Surface_Engine!$B$12:$B$72,$A1437+1))))/B1437))</f>
        <v>0</v>
      </c>
    </row>
    <row r="1438" customFormat="false" ht="15" hidden="false" customHeight="true" outlineLevel="0" collapsed="false">
      <c r="A1438" s="1" t="n">
        <v>44</v>
      </c>
      <c r="B1438" s="32" t="n">
        <f aca="false">INDEX(Surface_Engine!$S$12:$S$72,$A1438+1)*IF($A1438&lt;$Q$1392,INDEX(Surface_Engine!$E$12:$E$72,$A1438+1),INDEX(Surface_Engine!$E$12:$E$72,$Q$1392+1))</f>
        <v>4.619331542081E-005</v>
      </c>
      <c r="C1438" s="32" t="n">
        <f aca="false">INDEX(Panel_Reserving!$G$8:$G$68,$A1438+1)*IF($A1438&lt;$Q$1392,INDEX(Surface_Engine!$E$12:$E$72,$A1438+1),INDEX(Surface_Engine!$E$12:$E$72,$Q$1392+1))</f>
        <v>0.000481258952914673</v>
      </c>
      <c r="D1438" s="32" t="n">
        <f aca="false">INDEX(Surface_Engine!$S$12:$S$72,$A1438+1)*IF($A1438&lt;$Q$1392,INDEX(Surface_Engine!$Y$12:$Y$72,$A1438+1),INDEX(Surface_Engine!$Y$12:$Y$72,$Q$1392+1))</f>
        <v>4.22325022775665E-005</v>
      </c>
      <c r="E1438" s="32" t="n">
        <f aca="false">INDEX(Surface_Engine!$S$12:$S$72,$A1438+1)*IF($A1438&lt;$Q$1392,INDEX(Surface_Engine!$Z$12:$Z$72,$A1438+1),INDEX(Surface_Engine!$Z$12:$Z$72,$Q$1392+1))</f>
        <v>5.04813677821565E-005</v>
      </c>
      <c r="F1438" s="48" t="n">
        <f aca="false">B1438*(IF($A1438&lt;$Q$1392,INDEX(Surface_Engine!$D$12:$D$72,$A1438+1)+(Surface_Engine!L248*12)*INDEX(Surface_Engine!$F$12:$F$72,$A1438+1)-(Surface_Engine!L248*12),1000*12*INDEX(Surface_Engine!$C$12:$C$72,$A1438+1)/(1+Assumptions!$B$10)^13+INDEX(Surface_Engine!$D$12:$D$72,$A1438+1)))*INDEX(Surface_Engine!$B$12:$B$72,$A1438+1)+F1439</f>
        <v>0.45426356550996</v>
      </c>
      <c r="G1438" s="48" t="n">
        <f aca="false">C1438*(IF($A1438&lt;$Q$1392,INDEX(Surface_Engine!$D$12:$D$72,$A1438+1)+(Surface_Engine!L248*12)*INDEX(Surface_Engine!$F$12:$F$72,$A1438+1)-(Surface_Engine!L248*12),1000*12*INDEX(Surface_Engine!$C$12:$C$72,$A1438+1)/(1+Assumptions!$B$10)^13+INDEX(Surface_Engine!$D$12:$D$72,$A1438+1)))*INDEX(Surface_Engine!$B$12:$B$72,$A1438+1)+G1439</f>
        <v>5.66571743531469</v>
      </c>
      <c r="H1438" s="48" t="n">
        <f aca="false">D1438*(IF($A1438&lt;$Q$1392,INDEX(Surface_Engine!$D$12:$D$72,$A1438+1)+(Surface_Engine!L248*12)*INDEX(Surface_Engine!$F$12:$F$72,$A1438+1)-(Surface_Engine!L248*12),1000*12*INDEX(Surface_Engine!$C$12:$C$72,$A1438+1)/(1+Assumptions!$B$10)^13+INDEX(Surface_Engine!$D$12:$D$72,$A1438+1)))*INDEX(Surface_Engine!$B$12:$B$72,$A1438+1)+H1439</f>
        <v>0.415313057533259</v>
      </c>
      <c r="I1438" s="48" t="n">
        <f aca="false">E1438*(IF($A1438&lt;$Q$1392,INDEX(Surface_Engine!$D$12:$D$72,$A1438+1)+(Surface_Engine!L248*12)*INDEX(Surface_Engine!$F$12:$F$72,$A1438+1)-(Surface_Engine!L248*12),1000*12*INDEX(Surface_Engine!$C$12:$C$72,$A1438+1)/(1+Assumptions!$B$10)^13+INDEX(Surface_Engine!$D$12:$D$72,$A1438+1)))*INDEX(Surface_Engine!$B$12:$B$72,$A1438+1)+I1439</f>
        <v>0.496432133343069</v>
      </c>
      <c r="J1438" s="48" t="n">
        <f aca="false">B1438*(IF($A1438&lt;$Q$1392,INDEX(Surface_Engine!$D$12:$D$72,$A1438+1)*(1+Assumptions!$B$24)+(Surface_Engine!L248*12)*INDEX(Surface_Engine!$F$12:$F$72,$A1438+1)-(Surface_Engine!L248*12),1000*12*INDEX(Surface_Engine!$C$12:$C$72,$A1438+1)/(1+Assumptions!$B$10)^13+INDEX(Surface_Engine!$D$12:$D$72,$A1438+1)*(1+Assumptions!$B$24)))*INDEX(Surface_Engine!$B$12:$B$72,$A1438+1)+J1439</f>
        <v>0.454757770939501</v>
      </c>
      <c r="K1438" s="12" t="n">
        <f aca="false">SQRT((IF(C1438&lt;=0,0,MAX(0,(B1438/C1438)*G1438/INDEX(Surface_Engine!$B$12:$B$72,$A1438+1)-F1438/INDEX(Surface_Engine!$B$12:$B$72,$A1438+1))))^2+(MAX(IF(D1438&lt;=0,0,MAX(0,(B1438/D1438)*H1438/INDEX(Surface_Engine!$B$12:$B$72,$A1438+1)-F1438/INDEX(Surface_Engine!$B$12:$B$72,$A1438+1))),IF(E1438&lt;=0,0,MAX(0,(B1438/E1438)*I1438/INDEX(Surface_Engine!$B$12:$B$72,$A1438+1)-F1438/INDEX(Surface_Engine!$B$12:$B$72,$A1438+1))),IF($A1438&lt;$Q$1392,MAX(0,-Assumptions!$B$22*(F1438/INDEX(Surface_Engine!$B$12:$B$72,$A1438+1))),0)))^2+(MAX(0,J1438/INDEX(Surface_Engine!$B$12:$B$72,$A1438+1)-(F1438/INDEX(Surface_Engine!$B$12:$B$72,$A1438+1))))^2+2*Assumptions!$B$26*(IF(C1438&lt;=0,0,MAX(0,(B1438/C1438)*G1438/INDEX(Surface_Engine!$B$12:$B$72,$A1438+1)-F1438/INDEX(Surface_Engine!$B$12:$B$72,$A1438+1))))*(MAX(IF(D1438&lt;=0,0,MAX(0,(B1438/D1438)*H1438/INDEX(Surface_Engine!$B$12:$B$72,$A1438+1)-F1438/INDEX(Surface_Engine!$B$12:$B$72,$A1438+1))),IF(E1438&lt;=0,0,MAX(0,(B1438/E1438)*I1438/INDEX(Surface_Engine!$B$12:$B$72,$A1438+1)-F1438/INDEX(Surface_Engine!$B$12:$B$72,$A1438+1))),IF($A1438&lt;$Q$1392,MAX(0,-Assumptions!$B$22*(F1438/INDEX(Surface_Engine!$B$12:$B$72,$A1438+1))),0)))+2*Assumptions!$B$27*(IF(C1438&lt;=0,0,MAX(0,(B1438/C1438)*G1438/INDEX(Surface_Engine!$B$12:$B$72,$A1438+1)-F1438/INDEX(Surface_Engine!$B$12:$B$72,$A1438+1))))*(MAX(0,J1438/INDEX(Surface_Engine!$B$12:$B$72,$A1438+1)-(F1438/INDEX(Surface_Engine!$B$12:$B$72,$A1438+1))))+2*Assumptions!$B$28*(MAX(IF(D1438&lt;=0,0,MAX(0,(B1438/D1438)*H1438/INDEX(Surface_Engine!$B$12:$B$72,$A1438+1)-F1438/INDEX(Surface_Engine!$B$12:$B$72,$A1438+1))),IF(E1438&lt;=0,0,MAX(0,(B1438/E1438)*I1438/INDEX(Surface_Engine!$B$12:$B$72,$A1438+1)-F1438/INDEX(Surface_Engine!$B$12:$B$72,$A1438+1))),IF($A1438&lt;$Q$1392,MAX(0,-Assumptions!$B$22*(F1438/INDEX(Surface_Engine!$B$12:$B$72,$A1438+1))),0)))*(MAX(0,J1438/INDEX(Surface_Engine!$B$12:$B$72,$A1438+1)-(F1438/INDEX(Surface_Engine!$B$12:$B$72,$A1438+1)))))</f>
        <v>0.359670476357842</v>
      </c>
      <c r="L1438" s="48" t="n">
        <f aca="false">K1438*INDEX(Surface_Engine!$B$12:$B$72,$A1438+1)+L1439</f>
        <v>0.137900263602159</v>
      </c>
      <c r="M1438" s="48" t="n">
        <f aca="false">M1437+B1437*(IF($A1437&lt;$Q$1392,(Surface_Engine!L248*12)-(Surface_Engine!L248*12)*INDEX(Surface_Engine!$F$12:$F$72,$A1437+1)-INDEX(Surface_Engine!$D$12:$D$72,$A1437+1),-(1000*12*INDEX(Surface_Engine!$C$12:$C$72,$A1437+1)/(1+Assumptions!$B$10)^13+INDEX(Surface_Engine!$D$12:$D$72,$A1437+1))))*INDEX(Surface_Engine!$B$12:$B$72,$A1437+1)</f>
        <v>1511.97217595684</v>
      </c>
      <c r="N1438" s="12" t="n">
        <f aca="false">IF(B1438&lt;=0,0,MAX(0,(K1438+Assumptions!$B$29*L1438/INDEX(Surface_Engine!$B$12:$B$72,$A1438+1)-(M1438/INDEX(Surface_Engine!$B$12:$B$72,$A1438+1)-(F1438/INDEX(Surface_Engine!$B$12:$B$72,$A1438+1))))/B1438))</f>
        <v>0</v>
      </c>
    </row>
    <row r="1439" customFormat="false" ht="15" hidden="false" customHeight="true" outlineLevel="0" collapsed="false">
      <c r="A1439" s="1" t="n">
        <v>45</v>
      </c>
      <c r="B1439" s="32" t="n">
        <f aca="false">INDEX(Surface_Engine!$S$12:$S$72,$A1439+1)*IF($A1439&lt;$Q$1392,INDEX(Surface_Engine!$E$12:$E$72,$A1439+1),INDEX(Surface_Engine!$E$12:$E$72,$Q$1392+1))</f>
        <v>2.10478795504638E-005</v>
      </c>
      <c r="C1439" s="32" t="n">
        <f aca="false">INDEX(Panel_Reserving!$G$8:$G$68,$A1439+1)*IF($A1439&lt;$Q$1392,INDEX(Surface_Engine!$E$12:$E$72,$A1439+1),INDEX(Surface_Engine!$E$12:$E$72,$Q$1392+1))</f>
        <v>0.000271679432115104</v>
      </c>
      <c r="D1439" s="32" t="n">
        <f aca="false">INDEX(Surface_Engine!$S$12:$S$72,$A1439+1)*IF($A1439&lt;$Q$1392,INDEX(Surface_Engine!$Y$12:$Y$72,$A1439+1),INDEX(Surface_Engine!$Y$12:$Y$72,$Q$1392+1))</f>
        <v>1.92431440124009E-005</v>
      </c>
      <c r="E1439" s="32" t="n">
        <f aca="false">INDEX(Surface_Engine!$S$12:$S$72,$A1439+1)*IF($A1439&lt;$Q$1392,INDEX(Surface_Engine!$Z$12:$Z$72,$A1439+1),INDEX(Surface_Engine!$Z$12:$Z$72,$Q$1392+1))</f>
        <v>2.30017208971068E-005</v>
      </c>
      <c r="F1439" s="48" t="n">
        <f aca="false">B1439*(IF($A1439&lt;$Q$1392,INDEX(Surface_Engine!$D$12:$D$72,$A1439+1)+(Surface_Engine!L248*12)*INDEX(Surface_Engine!$F$12:$F$72,$A1439+1)-(Surface_Engine!L248*12),1000*12*INDEX(Surface_Engine!$C$12:$C$72,$A1439+1)/(1+Assumptions!$B$10)^13+INDEX(Surface_Engine!$D$12:$D$72,$A1439+1)))*INDEX(Surface_Engine!$B$12:$B$72,$A1439+1)+F1440</f>
        <v>0.196098416538039</v>
      </c>
      <c r="G1439" s="48" t="n">
        <f aca="false">C1439*(IF($A1439&lt;$Q$1392,INDEX(Surface_Engine!$D$12:$D$72,$A1439+1)+(Surface_Engine!L248*12)*INDEX(Surface_Engine!$F$12:$F$72,$A1439+1)-(Surface_Engine!L248*12),1000*12*INDEX(Surface_Engine!$C$12:$C$72,$A1439+1)/(1+Assumptions!$B$10)^13+INDEX(Surface_Engine!$D$12:$D$72,$A1439+1)))*INDEX(Surface_Engine!$B$12:$B$72,$A1439+1)+G1440</f>
        <v>2.9760579436447</v>
      </c>
      <c r="H1439" s="48" t="n">
        <f aca="false">D1439*(IF($A1439&lt;$Q$1392,INDEX(Surface_Engine!$D$12:$D$72,$A1439+1)+(Surface_Engine!L248*12)*INDEX(Surface_Engine!$F$12:$F$72,$A1439+1)-(Surface_Engine!L248*12),1000*12*INDEX(Surface_Engine!$C$12:$C$72,$A1439+1)/(1+Assumptions!$B$10)^13+INDEX(Surface_Engine!$D$12:$D$72,$A1439+1)))*INDEX(Surface_Engine!$B$12:$B$72,$A1439+1)+H1440</f>
        <v>0.179284096575995</v>
      </c>
      <c r="I1439" s="48" t="n">
        <f aca="false">E1439*(IF($A1439&lt;$Q$1392,INDEX(Surface_Engine!$D$12:$D$72,$A1439+1)+(Surface_Engine!L248*12)*INDEX(Surface_Engine!$F$12:$F$72,$A1439+1)-(Surface_Engine!L248*12),1000*12*INDEX(Surface_Engine!$C$12:$C$72,$A1439+1)/(1+Assumptions!$B$10)^13+INDEX(Surface_Engine!$D$12:$D$72,$A1439+1)))*INDEX(Surface_Engine!$B$12:$B$72,$A1439+1)+I1440</f>
        <v>0.214301922184517</v>
      </c>
      <c r="J1439" s="48" t="n">
        <f aca="false">B1439*(IF($A1439&lt;$Q$1392,INDEX(Surface_Engine!$D$12:$D$72,$A1439+1)*(1+Assumptions!$B$24)+(Surface_Engine!L248*12)*INDEX(Surface_Engine!$F$12:$F$72,$A1439+1)-(Surface_Engine!L248*12),1000*12*INDEX(Surface_Engine!$C$12:$C$72,$A1439+1)/(1+Assumptions!$B$10)^13+INDEX(Surface_Engine!$D$12:$D$72,$A1439+1)*(1+Assumptions!$B$24)))*INDEX(Surface_Engine!$B$12:$B$72,$A1439+1)+J1440</f>
        <v>0.196312697876681</v>
      </c>
      <c r="K1439" s="12" t="n">
        <f aca="false">SQRT((IF(C1439&lt;=0,0,MAX(0,(B1439/C1439)*G1439/INDEX(Surface_Engine!$B$12:$B$72,$A1439+1)-F1439/INDEX(Surface_Engine!$B$12:$B$72,$A1439+1))))^2+(MAX(IF(D1439&lt;=0,0,MAX(0,(B1439/D1439)*H1439/INDEX(Surface_Engine!$B$12:$B$72,$A1439+1)-F1439/INDEX(Surface_Engine!$B$12:$B$72,$A1439+1))),IF(E1439&lt;=0,0,MAX(0,(B1439/E1439)*I1439/INDEX(Surface_Engine!$B$12:$B$72,$A1439+1)-F1439/INDEX(Surface_Engine!$B$12:$B$72,$A1439+1))),IF($A1439&lt;$Q$1392,MAX(0,-Assumptions!$B$22*(F1439/INDEX(Surface_Engine!$B$12:$B$72,$A1439+1))),0)))^2+(MAX(0,J1439/INDEX(Surface_Engine!$B$12:$B$72,$A1439+1)-(F1439/INDEX(Surface_Engine!$B$12:$B$72,$A1439+1))))^2+2*Assumptions!$B$26*(IF(C1439&lt;=0,0,MAX(0,(B1439/C1439)*G1439/INDEX(Surface_Engine!$B$12:$B$72,$A1439+1)-F1439/INDEX(Surface_Engine!$B$12:$B$72,$A1439+1))))*(MAX(IF(D1439&lt;=0,0,MAX(0,(B1439/D1439)*H1439/INDEX(Surface_Engine!$B$12:$B$72,$A1439+1)-F1439/INDEX(Surface_Engine!$B$12:$B$72,$A1439+1))),IF(E1439&lt;=0,0,MAX(0,(B1439/E1439)*I1439/INDEX(Surface_Engine!$B$12:$B$72,$A1439+1)-F1439/INDEX(Surface_Engine!$B$12:$B$72,$A1439+1))),IF($A1439&lt;$Q$1392,MAX(0,-Assumptions!$B$22*(F1439/INDEX(Surface_Engine!$B$12:$B$72,$A1439+1))),0)))+2*Assumptions!$B$27*(IF(C1439&lt;=0,0,MAX(0,(B1439/C1439)*G1439/INDEX(Surface_Engine!$B$12:$B$72,$A1439+1)-F1439/INDEX(Surface_Engine!$B$12:$B$72,$A1439+1))))*(MAX(0,J1439/INDEX(Surface_Engine!$B$12:$B$72,$A1439+1)-(F1439/INDEX(Surface_Engine!$B$12:$B$72,$A1439+1))))+2*Assumptions!$B$28*(MAX(IF(D1439&lt;=0,0,MAX(0,(B1439/D1439)*H1439/INDEX(Surface_Engine!$B$12:$B$72,$A1439+1)-F1439/INDEX(Surface_Engine!$B$12:$B$72,$A1439+1))),IF(E1439&lt;=0,0,MAX(0,(B1439/E1439)*I1439/INDEX(Surface_Engine!$B$12:$B$72,$A1439+1)-F1439/INDEX(Surface_Engine!$B$12:$B$72,$A1439+1))),IF($A1439&lt;$Q$1392,MAX(0,-Assumptions!$B$22*(F1439/INDEX(Surface_Engine!$B$12:$B$72,$A1439+1))),0)))*(MAX(0,J1439/INDEX(Surface_Engine!$B$12:$B$72,$A1439+1)-(F1439/INDEX(Surface_Engine!$B$12:$B$72,$A1439+1)))))</f>
        <v>0.143010684365035</v>
      </c>
      <c r="L1439" s="48" t="n">
        <f aca="false">K1439*INDEX(Surface_Engine!$B$12:$B$72,$A1439+1)+L1440</f>
        <v>0.0482189413029049</v>
      </c>
      <c r="M1439" s="48" t="n">
        <f aca="false">M1438+B1438*(IF($A1438&lt;$Q$1392,(Surface_Engine!L248*12)-(Surface_Engine!L248*12)*INDEX(Surface_Engine!$F$12:$F$72,$A1438+1)-INDEX(Surface_Engine!$D$12:$D$72,$A1438+1),-(1000*12*INDEX(Surface_Engine!$C$12:$C$72,$A1438+1)/(1+Assumptions!$B$10)^13+INDEX(Surface_Engine!$D$12:$D$72,$A1438+1))))*INDEX(Surface_Engine!$B$12:$B$72,$A1438+1)</f>
        <v>1511.71401080787</v>
      </c>
      <c r="N1439" s="12" t="n">
        <f aca="false">IF(B1439&lt;=0,0,MAX(0,(K1439+Assumptions!$B$29*L1439/INDEX(Surface_Engine!$B$12:$B$72,$A1439+1)-(M1439/INDEX(Surface_Engine!$B$12:$B$72,$A1439+1)-(F1439/INDEX(Surface_Engine!$B$12:$B$72,$A1439+1))))/B1439))</f>
        <v>0</v>
      </c>
    </row>
    <row r="1440" customFormat="false" ht="15" hidden="false" customHeight="true" outlineLevel="0" collapsed="false">
      <c r="A1440" s="1" t="n">
        <v>46</v>
      </c>
      <c r="B1440" s="32" t="n">
        <f aca="false">INDEX(Surface_Engine!$S$12:$S$72,$A1440+1)*IF($A1440&lt;$Q$1392,INDEX(Surface_Engine!$E$12:$E$72,$A1440+1),INDEX(Surface_Engine!$E$12:$E$72,$Q$1392+1))</f>
        <v>9.24399702014012E-006</v>
      </c>
      <c r="C1440" s="32" t="n">
        <f aca="false">INDEX(Panel_Reserving!$G$8:$G$68,$A1440+1)*IF($A1440&lt;$Q$1392,INDEX(Surface_Engine!$E$12:$E$72,$A1440+1),INDEX(Surface_Engine!$E$12:$E$72,$Q$1392+1))</f>
        <v>0.000149790779345003</v>
      </c>
      <c r="D1440" s="32" t="n">
        <f aca="false">INDEX(Surface_Engine!$S$12:$S$72,$A1440+1)*IF($A1440&lt;$Q$1392,INDEX(Surface_Engine!$Y$12:$Y$72,$A1440+1),INDEX(Surface_Engine!$Y$12:$Y$72,$Q$1392+1))</f>
        <v>8.45137703692539E-006</v>
      </c>
      <c r="E1440" s="32" t="n">
        <f aca="false">INDEX(Surface_Engine!$S$12:$S$72,$A1440+1)*IF($A1440&lt;$Q$1392,INDEX(Surface_Engine!$Z$12:$Z$72,$A1440+1),INDEX(Surface_Engine!$Z$12:$Z$72,$Q$1392+1))</f>
        <v>1.01021026332444E-005</v>
      </c>
      <c r="F1440" s="48" t="n">
        <f aca="false">B1440*(IF($A1440&lt;$Q$1392,INDEX(Surface_Engine!$D$12:$D$72,$A1440+1)+(Surface_Engine!L248*12)*INDEX(Surface_Engine!$F$12:$F$72,$A1440+1)-(Surface_Engine!L248*12),1000*12*INDEX(Surface_Engine!$C$12:$C$72,$A1440+1)/(1+Assumptions!$B$10)^13+INDEX(Surface_Engine!$D$12:$D$72,$A1440+1)))*INDEX(Surface_Engine!$B$12:$B$72,$A1440+1)+F1441</f>
        <v>0.0799369157320347</v>
      </c>
      <c r="G1440" s="48" t="n">
        <f aca="false">C1440*(IF($A1440&lt;$Q$1392,INDEX(Surface_Engine!$D$12:$D$72,$A1440+1)+(Surface_Engine!L248*12)*INDEX(Surface_Engine!$F$12:$F$72,$A1440+1)-(Surface_Engine!L248*12),1000*12*INDEX(Surface_Engine!$C$12:$C$72,$A1440+1)/(1+Assumptions!$B$10)^13+INDEX(Surface_Engine!$D$12:$D$72,$A1440+1)))*INDEX(Surface_Engine!$B$12:$B$72,$A1440+1)+G1441</f>
        <v>1.47668170021128</v>
      </c>
      <c r="H1440" s="48" t="n">
        <f aca="false">D1440*(IF($A1440&lt;$Q$1392,INDEX(Surface_Engine!$D$12:$D$72,$A1440+1)+(Surface_Engine!L248*12)*INDEX(Surface_Engine!$F$12:$F$72,$A1440+1)-(Surface_Engine!L248*12),1000*12*INDEX(Surface_Engine!$C$12:$C$72,$A1440+1)/(1+Assumptions!$B$10)^13+INDEX(Surface_Engine!$D$12:$D$72,$A1440+1)))*INDEX(Surface_Engine!$B$12:$B$72,$A1440+1)+H1441</f>
        <v>0.0730827814578977</v>
      </c>
      <c r="I1440" s="48" t="n">
        <f aca="false">E1440*(IF($A1440&lt;$Q$1392,INDEX(Surface_Engine!$D$12:$D$72,$A1440+1)+(Surface_Engine!L248*12)*INDEX(Surface_Engine!$F$12:$F$72,$A1440+1)-(Surface_Engine!L248*12),1000*12*INDEX(Surface_Engine!$C$12:$C$72,$A1440+1)/(1+Assumptions!$B$10)^13+INDEX(Surface_Engine!$D$12:$D$72,$A1440+1)))*INDEX(Surface_Engine!$B$12:$B$72,$A1440+1)+I1441</f>
        <v>0.0873573331050013</v>
      </c>
      <c r="J1440" s="48" t="n">
        <f aca="false">B1440*(IF($A1440&lt;$Q$1392,INDEX(Surface_Engine!$D$12:$D$72,$A1440+1)*(1+Assumptions!$B$24)+(Surface_Engine!L248*12)*INDEX(Surface_Engine!$F$12:$F$72,$A1440+1)-(Surface_Engine!L248*12),1000*12*INDEX(Surface_Engine!$C$12:$C$72,$A1440+1)/(1+Assumptions!$B$10)^13+INDEX(Surface_Engine!$D$12:$D$72,$A1440+1)*(1+Assumptions!$B$24)))*INDEX(Surface_Engine!$B$12:$B$72,$A1440+1)+J1441</f>
        <v>0.0800246344416482</v>
      </c>
      <c r="K1440" s="12" t="n">
        <f aca="false">SQRT((IF(C1440&lt;=0,0,MAX(0,(B1440/C1440)*G1440/INDEX(Surface_Engine!$B$12:$B$72,$A1440+1)-F1440/INDEX(Surface_Engine!$B$12:$B$72,$A1440+1))))^2+(MAX(IF(D1440&lt;=0,0,MAX(0,(B1440/D1440)*H1440/INDEX(Surface_Engine!$B$12:$B$72,$A1440+1)-F1440/INDEX(Surface_Engine!$B$12:$B$72,$A1440+1))),IF(E1440&lt;=0,0,MAX(0,(B1440/E1440)*I1440/INDEX(Surface_Engine!$B$12:$B$72,$A1440+1)-F1440/INDEX(Surface_Engine!$B$12:$B$72,$A1440+1))),IF($A1440&lt;$Q$1392,MAX(0,-Assumptions!$B$22*(F1440/INDEX(Surface_Engine!$B$12:$B$72,$A1440+1))),0)))^2+(MAX(0,J1440/INDEX(Surface_Engine!$B$12:$B$72,$A1440+1)-(F1440/INDEX(Surface_Engine!$B$12:$B$72,$A1440+1))))^2+2*Assumptions!$B$26*(IF(C1440&lt;=0,0,MAX(0,(B1440/C1440)*G1440/INDEX(Surface_Engine!$B$12:$B$72,$A1440+1)-F1440/INDEX(Surface_Engine!$B$12:$B$72,$A1440+1))))*(MAX(IF(D1440&lt;=0,0,MAX(0,(B1440/D1440)*H1440/INDEX(Surface_Engine!$B$12:$B$72,$A1440+1)-F1440/INDEX(Surface_Engine!$B$12:$B$72,$A1440+1))),IF(E1440&lt;=0,0,MAX(0,(B1440/E1440)*I1440/INDEX(Surface_Engine!$B$12:$B$72,$A1440+1)-F1440/INDEX(Surface_Engine!$B$12:$B$72,$A1440+1))),IF($A1440&lt;$Q$1392,MAX(0,-Assumptions!$B$22*(F1440/INDEX(Surface_Engine!$B$12:$B$72,$A1440+1))),0)))+2*Assumptions!$B$27*(IF(C1440&lt;=0,0,MAX(0,(B1440/C1440)*G1440/INDEX(Surface_Engine!$B$12:$B$72,$A1440+1)-F1440/INDEX(Surface_Engine!$B$12:$B$72,$A1440+1))))*(MAX(0,J1440/INDEX(Surface_Engine!$B$12:$B$72,$A1440+1)-(F1440/INDEX(Surface_Engine!$B$12:$B$72,$A1440+1))))+2*Assumptions!$B$28*(MAX(IF(D1440&lt;=0,0,MAX(0,(B1440/D1440)*H1440/INDEX(Surface_Engine!$B$12:$B$72,$A1440+1)-F1440/INDEX(Surface_Engine!$B$12:$B$72,$A1440+1))),IF(E1440&lt;=0,0,MAX(0,(B1440/E1440)*I1440/INDEX(Surface_Engine!$B$12:$B$72,$A1440+1)-F1440/INDEX(Surface_Engine!$B$12:$B$72,$A1440+1))),IF($A1440&lt;$Q$1392,MAX(0,-Assumptions!$B$22*(F1440/INDEX(Surface_Engine!$B$12:$B$72,$A1440+1))),0)))*(MAX(0,J1440/INDEX(Surface_Engine!$B$12:$B$72,$A1440+1)-(F1440/INDEX(Surface_Engine!$B$12:$B$72,$A1440+1)))))</f>
        <v>0.0479751128076757</v>
      </c>
      <c r="L1440" s="48" t="n">
        <f aca="false">K1440*INDEX(Surface_Engine!$B$12:$B$72,$A1440+1)+L1441</f>
        <v>0.0136983816625585</v>
      </c>
      <c r="M1440" s="48" t="n">
        <f aca="false">M1439+B1439*(IF($A1439&lt;$Q$1392,(Surface_Engine!L248*12)-(Surface_Engine!L248*12)*INDEX(Surface_Engine!$F$12:$F$72,$A1439+1)-INDEX(Surface_Engine!$D$12:$D$72,$A1439+1),-(1000*12*INDEX(Surface_Engine!$C$12:$C$72,$A1439+1)/(1+Assumptions!$B$10)^13+INDEX(Surface_Engine!$D$12:$D$72,$A1439+1))))*INDEX(Surface_Engine!$B$12:$B$72,$A1439+1)</f>
        <v>1511.59784930707</v>
      </c>
      <c r="N1440" s="12" t="n">
        <f aca="false">IF(B1440&lt;=0,0,MAX(0,(K1440+Assumptions!$B$29*L1440/INDEX(Surface_Engine!$B$12:$B$72,$A1440+1)-(M1440/INDEX(Surface_Engine!$B$12:$B$72,$A1440+1)-(F1440/INDEX(Surface_Engine!$B$12:$B$72,$A1440+1))))/B1440))</f>
        <v>0</v>
      </c>
    </row>
    <row r="1441" customFormat="false" ht="15" hidden="false" customHeight="true" outlineLevel="0" collapsed="false">
      <c r="A1441" s="1" t="n">
        <v>47</v>
      </c>
      <c r="B1441" s="32" t="n">
        <f aca="false">INDEX(Surface_Engine!$S$12:$S$72,$A1441+1)*IF($A1441&lt;$Q$1392,INDEX(Surface_Engine!$E$12:$E$72,$A1441+1),INDEX(Surface_Engine!$E$12:$E$72,$Q$1392+1))</f>
        <v>3.91096878236161E-006</v>
      </c>
      <c r="C1441" s="32" t="n">
        <f aca="false">INDEX(Panel_Reserving!$G$8:$G$68,$A1441+1)*IF($A1441&lt;$Q$1392,INDEX(Surface_Engine!$E$12:$E$72,$A1441+1),INDEX(Surface_Engine!$E$12:$E$72,$Q$1392+1))</f>
        <v>8.06571823293138E-005</v>
      </c>
      <c r="D1441" s="32" t="n">
        <f aca="false">INDEX(Surface_Engine!$S$12:$S$72,$A1441+1)*IF($A1441&lt;$Q$1392,INDEX(Surface_Engine!$Y$12:$Y$72,$A1441+1),INDEX(Surface_Engine!$Y$12:$Y$72,$Q$1392+1))</f>
        <v>3.57562553161467E-006</v>
      </c>
      <c r="E1441" s="32" t="n">
        <f aca="false">INDEX(Surface_Engine!$S$12:$S$72,$A1441+1)*IF($A1441&lt;$Q$1392,INDEX(Surface_Engine!$Z$12:$Z$72,$A1441+1),INDEX(Surface_Engine!$Z$12:$Z$72,$Q$1392+1))</f>
        <v>4.27401782462202E-006</v>
      </c>
      <c r="F1441" s="48" t="n">
        <f aca="false">B1441*(IF($A1441&lt;$Q$1392,INDEX(Surface_Engine!$D$12:$D$72,$A1441+1)+(Surface_Engine!L248*12)*INDEX(Surface_Engine!$F$12:$F$72,$A1441+1)-(Surface_Engine!L248*12),1000*12*INDEX(Surface_Engine!$C$12:$C$72,$A1441+1)/(1+Assumptions!$B$10)^13+INDEX(Surface_Engine!$D$12:$D$72,$A1441+1)))*INDEX(Surface_Engine!$B$12:$B$72,$A1441+1)+F1442</f>
        <v>0.0295374544162588</v>
      </c>
      <c r="G1441" s="48" t="n">
        <f aca="false">C1441*(IF($A1441&lt;$Q$1392,INDEX(Surface_Engine!$D$12:$D$72,$A1441+1)+(Surface_Engine!L248*12)*INDEX(Surface_Engine!$F$12:$F$72,$A1441+1)-(Surface_Engine!L248*12),1000*12*INDEX(Surface_Engine!$C$12:$C$72,$A1441+1)/(1+Assumptions!$B$10)^13+INDEX(Surface_Engine!$D$12:$D$72,$A1441+1)))*INDEX(Surface_Engine!$B$12:$B$72,$A1441+1)+G1442</f>
        <v>0.660003095424796</v>
      </c>
      <c r="H1441" s="48" t="n">
        <f aca="false">D1441*(IF($A1441&lt;$Q$1392,INDEX(Surface_Engine!$D$12:$D$72,$A1441+1)+(Surface_Engine!L248*12)*INDEX(Surface_Engine!$F$12:$F$72,$A1441+1)-(Surface_Engine!L248*12),1000*12*INDEX(Surface_Engine!$C$12:$C$72,$A1441+1)/(1+Assumptions!$B$10)^13+INDEX(Surface_Engine!$D$12:$D$72,$A1441+1)))*INDEX(Surface_Engine!$B$12:$B$72,$A1441+1)+H1442</f>
        <v>0.0270047862887581</v>
      </c>
      <c r="I1441" s="48" t="n">
        <f aca="false">E1441*(IF($A1441&lt;$Q$1392,INDEX(Surface_Engine!$D$12:$D$72,$A1441+1)+(Surface_Engine!L248*12)*INDEX(Surface_Engine!$F$12:$F$72,$A1441+1)-(Surface_Engine!L248*12),1000*12*INDEX(Surface_Engine!$C$12:$C$72,$A1441+1)/(1+Assumptions!$B$10)^13+INDEX(Surface_Engine!$D$12:$D$72,$A1441+1)))*INDEX(Surface_Engine!$B$12:$B$72,$A1441+1)+I1442</f>
        <v>0.032279369561426</v>
      </c>
      <c r="J1441" s="48" t="n">
        <f aca="false">B1441*(IF($A1441&lt;$Q$1392,INDEX(Surface_Engine!$D$12:$D$72,$A1441+1)*(1+Assumptions!$B$24)+(Surface_Engine!L248*12)*INDEX(Surface_Engine!$F$12:$F$72,$A1441+1)-(Surface_Engine!L248*12),1000*12*INDEX(Surface_Engine!$C$12:$C$72,$A1441+1)/(1+Assumptions!$B$10)^13+INDEX(Surface_Engine!$D$12:$D$72,$A1441+1)*(1+Assumptions!$B$24)))*INDEX(Surface_Engine!$B$12:$B$72,$A1441+1)+J1442</f>
        <v>0.0295699946542508</v>
      </c>
      <c r="K1441" s="12" t="n">
        <f aca="false">SQRT((IF(C1441&lt;=0,0,MAX(0,(B1441/C1441)*G1441/INDEX(Surface_Engine!$B$12:$B$72,$A1441+1)-F1441/INDEX(Surface_Engine!$B$12:$B$72,$A1441+1))))^2+(MAX(IF(D1441&lt;=0,0,MAX(0,(B1441/D1441)*H1441/INDEX(Surface_Engine!$B$12:$B$72,$A1441+1)-F1441/INDEX(Surface_Engine!$B$12:$B$72,$A1441+1))),IF(E1441&lt;=0,0,MAX(0,(B1441/E1441)*I1441/INDEX(Surface_Engine!$B$12:$B$72,$A1441+1)-F1441/INDEX(Surface_Engine!$B$12:$B$72,$A1441+1))),IF($A1441&lt;$Q$1392,MAX(0,-Assumptions!$B$22*(F1441/INDEX(Surface_Engine!$B$12:$B$72,$A1441+1))),0)))^2+(MAX(0,J1441/INDEX(Surface_Engine!$B$12:$B$72,$A1441+1)-(F1441/INDEX(Surface_Engine!$B$12:$B$72,$A1441+1))))^2+2*Assumptions!$B$26*(IF(C1441&lt;=0,0,MAX(0,(B1441/C1441)*G1441/INDEX(Surface_Engine!$B$12:$B$72,$A1441+1)-F1441/INDEX(Surface_Engine!$B$12:$B$72,$A1441+1))))*(MAX(IF(D1441&lt;=0,0,MAX(0,(B1441/D1441)*H1441/INDEX(Surface_Engine!$B$12:$B$72,$A1441+1)-F1441/INDEX(Surface_Engine!$B$12:$B$72,$A1441+1))),IF(E1441&lt;=0,0,MAX(0,(B1441/E1441)*I1441/INDEX(Surface_Engine!$B$12:$B$72,$A1441+1)-F1441/INDEX(Surface_Engine!$B$12:$B$72,$A1441+1))),IF($A1441&lt;$Q$1392,MAX(0,-Assumptions!$B$22*(F1441/INDEX(Surface_Engine!$B$12:$B$72,$A1441+1))),0)))+2*Assumptions!$B$27*(IF(C1441&lt;=0,0,MAX(0,(B1441/C1441)*G1441/INDEX(Surface_Engine!$B$12:$B$72,$A1441+1)-F1441/INDEX(Surface_Engine!$B$12:$B$72,$A1441+1))))*(MAX(0,J1441/INDEX(Surface_Engine!$B$12:$B$72,$A1441+1)-(F1441/INDEX(Surface_Engine!$B$12:$B$72,$A1441+1))))+2*Assumptions!$B$28*(MAX(IF(D1441&lt;=0,0,MAX(0,(B1441/D1441)*H1441/INDEX(Surface_Engine!$B$12:$B$72,$A1441+1)-F1441/INDEX(Surface_Engine!$B$12:$B$72,$A1441+1))),IF(E1441&lt;=0,0,MAX(0,(B1441/E1441)*I1441/INDEX(Surface_Engine!$B$12:$B$72,$A1441+1)-F1441/INDEX(Surface_Engine!$B$12:$B$72,$A1441+1))),IF($A1441&lt;$Q$1392,MAX(0,-Assumptions!$B$22*(F1441/INDEX(Surface_Engine!$B$12:$B$72,$A1441+1))),0)))*(MAX(0,J1441/INDEX(Surface_Engine!$B$12:$B$72,$A1441+1)-(F1441/INDEX(Surface_Engine!$B$12:$B$72,$A1441+1)))))</f>
        <v>0.0109258693438168</v>
      </c>
      <c r="L1441" s="48" t="n">
        <f aca="false">K1441*INDEX(Surface_Engine!$B$12:$B$72,$A1441+1)+L1442</f>
        <v>0.00248299594768434</v>
      </c>
      <c r="M1441" s="48" t="n">
        <f aca="false">M1440+B1440*(IF($A1440&lt;$Q$1392,(Surface_Engine!L248*12)-(Surface_Engine!L248*12)*INDEX(Surface_Engine!$F$12:$F$72,$A1440+1)-INDEX(Surface_Engine!$D$12:$D$72,$A1440+1),-(1000*12*INDEX(Surface_Engine!$C$12:$C$72,$A1440+1)/(1+Assumptions!$B$10)^13+INDEX(Surface_Engine!$D$12:$D$72,$A1440+1))))*INDEX(Surface_Engine!$B$12:$B$72,$A1440+1)</f>
        <v>1511.54744984575</v>
      </c>
      <c r="N1441" s="12" t="n">
        <f aca="false">IF(B1441&lt;=0,0,MAX(0,(K1441+Assumptions!$B$29*L1441/INDEX(Surface_Engine!$B$12:$B$72,$A1441+1)-(M1441/INDEX(Surface_Engine!$B$12:$B$72,$A1441+1)-(F1441/INDEX(Surface_Engine!$B$12:$B$72,$A1441+1))))/B1441))</f>
        <v>0</v>
      </c>
    </row>
    <row r="1442" customFormat="false" ht="15" hidden="false" customHeight="true" outlineLevel="0" collapsed="false">
      <c r="A1442" s="1" t="n">
        <v>48</v>
      </c>
      <c r="B1442" s="32" t="n">
        <f aca="false">INDEX(Surface_Engine!$S$12:$S$72,$A1442+1)*IF($A1442&lt;$Q$1392,INDEX(Surface_Engine!$E$12:$E$72,$A1442+1),INDEX(Surface_Engine!$E$12:$E$72,$Q$1392+1))</f>
        <v>1.5931738426732E-006</v>
      </c>
      <c r="C1442" s="32" t="n">
        <f aca="false">INDEX(Panel_Reserving!$G$8:$G$68,$A1442+1)*IF($A1442&lt;$Q$1392,INDEX(Surface_Engine!$E$12:$E$72,$A1442+1),INDEX(Surface_Engine!$E$12:$E$72,$Q$1392+1))</f>
        <v>4.24166706902468E-005</v>
      </c>
      <c r="D1442" s="32" t="n">
        <f aca="false">INDEX(Surface_Engine!$S$12:$S$72,$A1442+1)*IF($A1442&lt;$Q$1392,INDEX(Surface_Engine!$Y$12:$Y$72,$A1442+1),INDEX(Surface_Engine!$Y$12:$Y$72,$Q$1392+1))</f>
        <v>1.45656827890176E-006</v>
      </c>
      <c r="E1442" s="32" t="n">
        <f aca="false">INDEX(Surface_Engine!$S$12:$S$72,$A1442+1)*IF($A1442&lt;$Q$1392,INDEX(Surface_Engine!$Z$12:$Z$72,$A1442+1),INDEX(Surface_Engine!$Z$12:$Z$72,$Q$1392+1))</f>
        <v>1.74106564900656E-006</v>
      </c>
      <c r="F1442" s="48" t="n">
        <f aca="false">B1442*(IF($A1442&lt;$Q$1392,INDEX(Surface_Engine!$D$12:$D$72,$A1442+1)+(Surface_Engine!L248*12)*INDEX(Surface_Engine!$F$12:$F$72,$A1442+1)-(Surface_Engine!L248*12),1000*12*INDEX(Surface_Engine!$C$12:$C$72,$A1442+1)/(1+Assumptions!$B$10)^13+INDEX(Surface_Engine!$D$12:$D$72,$A1442+1)))*INDEX(Surface_Engine!$B$12:$B$72,$A1442+1)+F1443</f>
        <v>0.00847279804458402</v>
      </c>
      <c r="G1442" s="48" t="n">
        <f aca="false">C1442*(IF($A1442&lt;$Q$1392,INDEX(Surface_Engine!$D$12:$D$72,$A1442+1)+(Surface_Engine!L248*12)*INDEX(Surface_Engine!$F$12:$F$72,$A1442+1)-(Surface_Engine!L248*12),1000*12*INDEX(Surface_Engine!$C$12:$C$72,$A1442+1)/(1+Assumptions!$B$10)^13+INDEX(Surface_Engine!$D$12:$D$72,$A1442+1)))*INDEX(Surface_Engine!$B$12:$B$72,$A1442+1)+G1443</f>
        <v>0.225579829931846</v>
      </c>
      <c r="H1442" s="48" t="n">
        <f aca="false">D1442*(IF($A1442&lt;$Q$1392,INDEX(Surface_Engine!$D$12:$D$72,$A1442+1)+(Surface_Engine!L248*12)*INDEX(Surface_Engine!$F$12:$F$72,$A1442+1)-(Surface_Engine!L248*12),1000*12*INDEX(Surface_Engine!$C$12:$C$72,$A1442+1)/(1+Assumptions!$B$10)^13+INDEX(Surface_Engine!$D$12:$D$72,$A1442+1)))*INDEX(Surface_Engine!$B$12:$B$72,$A1442+1)+H1443</f>
        <v>0.0077463039718092</v>
      </c>
      <c r="I1442" s="48" t="n">
        <f aca="false">E1442*(IF($A1442&lt;$Q$1392,INDEX(Surface_Engine!$D$12:$D$72,$A1442+1)+(Surface_Engine!L248*12)*INDEX(Surface_Engine!$F$12:$F$72,$A1442+1)-(Surface_Engine!L248*12),1000*12*INDEX(Surface_Engine!$C$12:$C$72,$A1442+1)/(1+Assumptions!$B$10)^13+INDEX(Surface_Engine!$D$12:$D$72,$A1442+1)))*INDEX(Surface_Engine!$B$12:$B$72,$A1442+1)+I1443</f>
        <v>0.00925931447734743</v>
      </c>
      <c r="J1442" s="48" t="n">
        <f aca="false">B1442*(IF($A1442&lt;$Q$1392,INDEX(Surface_Engine!$D$12:$D$72,$A1442+1)*(1+Assumptions!$B$24)+(Surface_Engine!L248*12)*INDEX(Surface_Engine!$F$12:$F$72,$A1442+1)-(Surface_Engine!L248*12),1000*12*INDEX(Surface_Engine!$C$12:$C$72,$A1442+1)/(1+Assumptions!$B$10)^13+INDEX(Surface_Engine!$D$12:$D$72,$A1442+1)*(1+Assumptions!$B$24)))*INDEX(Surface_Engine!$B$12:$B$72,$A1442+1)+J1443</f>
        <v>0.00848216441410116</v>
      </c>
      <c r="K1442" s="12" t="n">
        <f aca="false">SQRT((IF(C1442&lt;=0,0,MAX(0,(B1442/C1442)*G1442/INDEX(Surface_Engine!$B$12:$B$72,$A1442+1)-F1442/INDEX(Surface_Engine!$B$12:$B$72,$A1442+1))))^2+(MAX(IF(D1442&lt;=0,0,MAX(0,(B1442/D1442)*H1442/INDEX(Surface_Engine!$B$12:$B$72,$A1442+1)-F1442/INDEX(Surface_Engine!$B$12:$B$72,$A1442+1))),IF(E1442&lt;=0,0,MAX(0,(B1442/E1442)*I1442/INDEX(Surface_Engine!$B$12:$B$72,$A1442+1)-F1442/INDEX(Surface_Engine!$B$12:$B$72,$A1442+1))),IF($A1442&lt;$Q$1392,MAX(0,-Assumptions!$B$22*(F1442/INDEX(Surface_Engine!$B$12:$B$72,$A1442+1))),0)))^2+(MAX(0,J1442/INDEX(Surface_Engine!$B$12:$B$72,$A1442+1)-(F1442/INDEX(Surface_Engine!$B$12:$B$72,$A1442+1))))^2+2*Assumptions!$B$26*(IF(C1442&lt;=0,0,MAX(0,(B1442/C1442)*G1442/INDEX(Surface_Engine!$B$12:$B$72,$A1442+1)-F1442/INDEX(Surface_Engine!$B$12:$B$72,$A1442+1))))*(MAX(IF(D1442&lt;=0,0,MAX(0,(B1442/D1442)*H1442/INDEX(Surface_Engine!$B$12:$B$72,$A1442+1)-F1442/INDEX(Surface_Engine!$B$12:$B$72,$A1442+1))),IF(E1442&lt;=0,0,MAX(0,(B1442/E1442)*I1442/INDEX(Surface_Engine!$B$12:$B$72,$A1442+1)-F1442/INDEX(Surface_Engine!$B$12:$B$72,$A1442+1))),IF($A1442&lt;$Q$1392,MAX(0,-Assumptions!$B$22*(F1442/INDEX(Surface_Engine!$B$12:$B$72,$A1442+1))),0)))+2*Assumptions!$B$27*(IF(C1442&lt;=0,0,MAX(0,(B1442/C1442)*G1442/INDEX(Surface_Engine!$B$12:$B$72,$A1442+1)-F1442/INDEX(Surface_Engine!$B$12:$B$72,$A1442+1))))*(MAX(0,J1442/INDEX(Surface_Engine!$B$12:$B$72,$A1442+1)-(F1442/INDEX(Surface_Engine!$B$12:$B$72,$A1442+1))))+2*Assumptions!$B$28*(MAX(IF(D1442&lt;=0,0,MAX(0,(B1442/D1442)*H1442/INDEX(Surface_Engine!$B$12:$B$72,$A1442+1)-F1442/INDEX(Surface_Engine!$B$12:$B$72,$A1442+1))),IF(E1442&lt;=0,0,MAX(0,(B1442/E1442)*I1442/INDEX(Surface_Engine!$B$12:$B$72,$A1442+1)-F1442/INDEX(Surface_Engine!$B$12:$B$72,$A1442+1))),IF($A1442&lt;$Q$1392,MAX(0,-Assumptions!$B$22*(F1442/INDEX(Surface_Engine!$B$12:$B$72,$A1442+1))),0)))*(MAX(0,J1442/INDEX(Surface_Engine!$B$12:$B$72,$A1442+1)-(F1442/INDEX(Surface_Engine!$B$12:$B$72,$A1442+1)))))</f>
        <v>4.27388230763368E-005</v>
      </c>
      <c r="L1442" s="48" t="n">
        <f aca="false">K1442*INDEX(Surface_Engine!$B$12:$B$72,$A1442+1)+L1443</f>
        <v>9.36636951713614E-006</v>
      </c>
      <c r="M1442" s="48" t="n">
        <f aca="false">M1441+B1441*(IF($A1441&lt;$Q$1392,(Surface_Engine!L248*12)-(Surface_Engine!L248*12)*INDEX(Surface_Engine!$F$12:$F$72,$A1441+1)-INDEX(Surface_Engine!$D$12:$D$72,$A1441+1),-(1000*12*INDEX(Surface_Engine!$C$12:$C$72,$A1441+1)/(1+Assumptions!$B$10)^13+INDEX(Surface_Engine!$D$12:$D$72,$A1441+1))))*INDEX(Surface_Engine!$B$12:$B$72,$A1441+1)</f>
        <v>1511.52638518938</v>
      </c>
      <c r="N1442" s="12" t="n">
        <f aca="false">IF(B1442&lt;=0,0,MAX(0,(K1442+Assumptions!$B$29*L1442/INDEX(Surface_Engine!$B$12:$B$72,$A1442+1)-(M1442/INDEX(Surface_Engine!$B$12:$B$72,$A1442+1)-(F1442/INDEX(Surface_Engine!$B$12:$B$72,$A1442+1))))/B1442))</f>
        <v>0</v>
      </c>
    </row>
    <row r="1443" customFormat="false" ht="15" hidden="false" customHeight="true" outlineLevel="0" collapsed="false">
      <c r="A1443" s="1" t="n">
        <v>49</v>
      </c>
      <c r="B1443" s="32" t="n">
        <f aca="false">INDEX(Surface_Engine!$S$12:$S$72,$A1443+1)*IF($A1443&lt;$Q$1392,INDEX(Surface_Engine!$E$12:$E$72,$A1443+1),INDEX(Surface_Engine!$E$12:$E$72,$Q$1392+1))</f>
        <v>0</v>
      </c>
      <c r="C1443" s="32" t="n">
        <f aca="false">INDEX(Panel_Reserving!$G$8:$G$68,$A1443+1)*IF($A1443&lt;$Q$1392,INDEX(Surface_Engine!$E$12:$E$72,$A1443+1),INDEX(Surface_Engine!$E$12:$E$72,$Q$1392+1))</f>
        <v>0</v>
      </c>
      <c r="D1443" s="32" t="n">
        <f aca="false">INDEX(Surface_Engine!$S$12:$S$72,$A1443+1)*IF($A1443&lt;$Q$1392,INDEX(Surface_Engine!$Y$12:$Y$72,$A1443+1),INDEX(Surface_Engine!$Y$12:$Y$72,$Q$1392+1))</f>
        <v>0</v>
      </c>
      <c r="E1443" s="32" t="n">
        <f aca="false">INDEX(Surface_Engine!$S$12:$S$72,$A1443+1)*IF($A1443&lt;$Q$1392,INDEX(Surface_Engine!$Z$12:$Z$72,$A1443+1),INDEX(Surface_Engine!$Z$12:$Z$72,$Q$1392+1))</f>
        <v>0</v>
      </c>
      <c r="F1443" s="48" t="n">
        <f aca="false">B1443*(IF($A1443&lt;$Q$1392,INDEX(Surface_Engine!$D$12:$D$72,$A1443+1)+(Surface_Engine!L248*12)*INDEX(Surface_Engine!$F$12:$F$72,$A1443+1)-(Surface_Engine!L248*12),1000*12*INDEX(Surface_Engine!$C$12:$C$72,$A1443+1)/(1+Assumptions!$B$10)^13+INDEX(Surface_Engine!$D$12:$D$72,$A1443+1)))*INDEX(Surface_Engine!$B$12:$B$72,$A1443+1)+F1444</f>
        <v>0</v>
      </c>
      <c r="G1443" s="48" t="n">
        <f aca="false">C1443*(IF($A1443&lt;$Q$1392,INDEX(Surface_Engine!$D$12:$D$72,$A1443+1)+(Surface_Engine!L248*12)*INDEX(Surface_Engine!$F$12:$F$72,$A1443+1)-(Surface_Engine!L248*12),1000*12*INDEX(Surface_Engine!$C$12:$C$72,$A1443+1)/(1+Assumptions!$B$10)^13+INDEX(Surface_Engine!$D$12:$D$72,$A1443+1)))*INDEX(Surface_Engine!$B$12:$B$72,$A1443+1)+G1444</f>
        <v>0</v>
      </c>
      <c r="H1443" s="48" t="n">
        <f aca="false">D1443*(IF($A1443&lt;$Q$1392,INDEX(Surface_Engine!$D$12:$D$72,$A1443+1)+(Surface_Engine!L248*12)*INDEX(Surface_Engine!$F$12:$F$72,$A1443+1)-(Surface_Engine!L248*12),1000*12*INDEX(Surface_Engine!$C$12:$C$72,$A1443+1)/(1+Assumptions!$B$10)^13+INDEX(Surface_Engine!$D$12:$D$72,$A1443+1)))*INDEX(Surface_Engine!$B$12:$B$72,$A1443+1)+H1444</f>
        <v>0</v>
      </c>
      <c r="I1443" s="48" t="n">
        <f aca="false">E1443*(IF($A1443&lt;$Q$1392,INDEX(Surface_Engine!$D$12:$D$72,$A1443+1)+(Surface_Engine!L248*12)*INDEX(Surface_Engine!$F$12:$F$72,$A1443+1)-(Surface_Engine!L248*12),1000*12*INDEX(Surface_Engine!$C$12:$C$72,$A1443+1)/(1+Assumptions!$B$10)^13+INDEX(Surface_Engine!$D$12:$D$72,$A1443+1)))*INDEX(Surface_Engine!$B$12:$B$72,$A1443+1)+I1444</f>
        <v>0</v>
      </c>
      <c r="J1443" s="48" t="n">
        <f aca="false">B1443*(IF($A1443&lt;$Q$1392,INDEX(Surface_Engine!$D$12:$D$72,$A1443+1)*(1+Assumptions!$B$24)+(Surface_Engine!L248*12)*INDEX(Surface_Engine!$F$12:$F$72,$A1443+1)-(Surface_Engine!L248*12),1000*12*INDEX(Surface_Engine!$C$12:$C$72,$A1443+1)/(1+Assumptions!$B$10)^13+INDEX(Surface_Engine!$D$12:$D$72,$A1443+1)*(1+Assumptions!$B$24)))*INDEX(Surface_Engine!$B$12:$B$72,$A1443+1)+J1444</f>
        <v>0</v>
      </c>
      <c r="K1443" s="12" t="n">
        <f aca="false">SQRT((IF(C1443&lt;=0,0,MAX(0,(B1443/C1443)*G1443/INDEX(Surface_Engine!$B$12:$B$72,$A1443+1)-F1443/INDEX(Surface_Engine!$B$12:$B$72,$A1443+1))))^2+(MAX(IF(D1443&lt;=0,0,MAX(0,(B1443/D1443)*H1443/INDEX(Surface_Engine!$B$12:$B$72,$A1443+1)-F1443/INDEX(Surface_Engine!$B$12:$B$72,$A1443+1))),IF(E1443&lt;=0,0,MAX(0,(B1443/E1443)*I1443/INDEX(Surface_Engine!$B$12:$B$72,$A1443+1)-F1443/INDEX(Surface_Engine!$B$12:$B$72,$A1443+1))),IF($A1443&lt;$Q$1392,MAX(0,-Assumptions!$B$22*(F1443/INDEX(Surface_Engine!$B$12:$B$72,$A1443+1))),0)))^2+(MAX(0,J1443/INDEX(Surface_Engine!$B$12:$B$72,$A1443+1)-(F1443/INDEX(Surface_Engine!$B$12:$B$72,$A1443+1))))^2+2*Assumptions!$B$26*(IF(C1443&lt;=0,0,MAX(0,(B1443/C1443)*G1443/INDEX(Surface_Engine!$B$12:$B$72,$A1443+1)-F1443/INDEX(Surface_Engine!$B$12:$B$72,$A1443+1))))*(MAX(IF(D1443&lt;=0,0,MAX(0,(B1443/D1443)*H1443/INDEX(Surface_Engine!$B$12:$B$72,$A1443+1)-F1443/INDEX(Surface_Engine!$B$12:$B$72,$A1443+1))),IF(E1443&lt;=0,0,MAX(0,(B1443/E1443)*I1443/INDEX(Surface_Engine!$B$12:$B$72,$A1443+1)-F1443/INDEX(Surface_Engine!$B$12:$B$72,$A1443+1))),IF($A1443&lt;$Q$1392,MAX(0,-Assumptions!$B$22*(F1443/INDEX(Surface_Engine!$B$12:$B$72,$A1443+1))),0)))+2*Assumptions!$B$27*(IF(C1443&lt;=0,0,MAX(0,(B1443/C1443)*G1443/INDEX(Surface_Engine!$B$12:$B$72,$A1443+1)-F1443/INDEX(Surface_Engine!$B$12:$B$72,$A1443+1))))*(MAX(0,J1443/INDEX(Surface_Engine!$B$12:$B$72,$A1443+1)-(F1443/INDEX(Surface_Engine!$B$12:$B$72,$A1443+1))))+2*Assumptions!$B$28*(MAX(IF(D1443&lt;=0,0,MAX(0,(B1443/D1443)*H1443/INDEX(Surface_Engine!$B$12:$B$72,$A1443+1)-F1443/INDEX(Surface_Engine!$B$12:$B$72,$A1443+1))),IF(E1443&lt;=0,0,MAX(0,(B1443/E1443)*I1443/INDEX(Surface_Engine!$B$12:$B$72,$A1443+1)-F1443/INDEX(Surface_Engine!$B$12:$B$72,$A1443+1))),IF($A1443&lt;$Q$1392,MAX(0,-Assumptions!$B$22*(F1443/INDEX(Surface_Engine!$B$12:$B$72,$A1443+1))),0)))*(MAX(0,J1443/INDEX(Surface_Engine!$B$12:$B$72,$A1443+1)-(F1443/INDEX(Surface_Engine!$B$12:$B$72,$A1443+1)))))</f>
        <v>0</v>
      </c>
      <c r="L1443" s="48" t="n">
        <f aca="false">K1443*INDEX(Surface_Engine!$B$12:$B$72,$A1443+1)+L1444</f>
        <v>0</v>
      </c>
      <c r="M1443" s="48" t="n">
        <f aca="false">M1442+B1442*(IF($A1442&lt;$Q$1392,(Surface_Engine!L248*12)-(Surface_Engine!L248*12)*INDEX(Surface_Engine!$F$12:$F$72,$A1442+1)-INDEX(Surface_Engine!$D$12:$D$72,$A1442+1),-(1000*12*INDEX(Surface_Engine!$C$12:$C$72,$A1442+1)/(1+Assumptions!$B$10)^13+INDEX(Surface_Engine!$D$12:$D$72,$A1442+1))))*INDEX(Surface_Engine!$B$12:$B$72,$A1442+1)</f>
        <v>1511.51791239133</v>
      </c>
      <c r="N1443" s="12" t="n">
        <f aca="false">IF(B1443&lt;=0,0,MAX(0,(K1443+Assumptions!$B$29*L1443/INDEX(Surface_Engine!$B$12:$B$72,$A1443+1)-(M1443/INDEX(Surface_Engine!$B$12:$B$72,$A1443+1)-(F1443/INDEX(Surface_Engine!$B$12:$B$72,$A1443+1))))/B1443))</f>
        <v>0</v>
      </c>
    </row>
    <row r="1444" customFormat="false" ht="15" hidden="false" customHeight="true" outlineLevel="0" collapsed="false">
      <c r="A1444" s="1" t="n">
        <v>50</v>
      </c>
      <c r="B1444" s="32" t="n">
        <f aca="false">INDEX(Surface_Engine!$S$12:$S$72,$A1444+1)*IF($A1444&lt;$Q$1392,INDEX(Surface_Engine!$E$12:$E$72,$A1444+1),INDEX(Surface_Engine!$E$12:$E$72,$Q$1392+1))</f>
        <v>0</v>
      </c>
      <c r="C1444" s="32" t="n">
        <f aca="false">INDEX(Panel_Reserving!$G$8:$G$68,$A1444+1)*IF($A1444&lt;$Q$1392,INDEX(Surface_Engine!$E$12:$E$72,$A1444+1),INDEX(Surface_Engine!$E$12:$E$72,$Q$1392+1))</f>
        <v>0</v>
      </c>
      <c r="D1444" s="32" t="n">
        <f aca="false">INDEX(Surface_Engine!$S$12:$S$72,$A1444+1)*IF($A1444&lt;$Q$1392,INDEX(Surface_Engine!$Y$12:$Y$72,$A1444+1),INDEX(Surface_Engine!$Y$12:$Y$72,$Q$1392+1))</f>
        <v>0</v>
      </c>
      <c r="E1444" s="32" t="n">
        <f aca="false">INDEX(Surface_Engine!$S$12:$S$72,$A1444+1)*IF($A1444&lt;$Q$1392,INDEX(Surface_Engine!$Z$12:$Z$72,$A1444+1),INDEX(Surface_Engine!$Z$12:$Z$72,$Q$1392+1))</f>
        <v>0</v>
      </c>
      <c r="F1444" s="48" t="n">
        <f aca="false">B1444*(IF($A1444&lt;$Q$1392,INDEX(Surface_Engine!$D$12:$D$72,$A1444+1)+(Surface_Engine!L248*12)*INDEX(Surface_Engine!$F$12:$F$72,$A1444+1)-(Surface_Engine!L248*12),1000*12*INDEX(Surface_Engine!$C$12:$C$72,$A1444+1)/(1+Assumptions!$B$10)^13+INDEX(Surface_Engine!$D$12:$D$72,$A1444+1)))*INDEX(Surface_Engine!$B$12:$B$72,$A1444+1)+F1445</f>
        <v>0</v>
      </c>
      <c r="G1444" s="48" t="n">
        <f aca="false">C1444*(IF($A1444&lt;$Q$1392,INDEX(Surface_Engine!$D$12:$D$72,$A1444+1)+(Surface_Engine!L248*12)*INDEX(Surface_Engine!$F$12:$F$72,$A1444+1)-(Surface_Engine!L248*12),1000*12*INDEX(Surface_Engine!$C$12:$C$72,$A1444+1)/(1+Assumptions!$B$10)^13+INDEX(Surface_Engine!$D$12:$D$72,$A1444+1)))*INDEX(Surface_Engine!$B$12:$B$72,$A1444+1)+G1445</f>
        <v>0</v>
      </c>
      <c r="H1444" s="48" t="n">
        <f aca="false">D1444*(IF($A1444&lt;$Q$1392,INDEX(Surface_Engine!$D$12:$D$72,$A1444+1)+(Surface_Engine!L248*12)*INDEX(Surface_Engine!$F$12:$F$72,$A1444+1)-(Surface_Engine!L248*12),1000*12*INDEX(Surface_Engine!$C$12:$C$72,$A1444+1)/(1+Assumptions!$B$10)^13+INDEX(Surface_Engine!$D$12:$D$72,$A1444+1)))*INDEX(Surface_Engine!$B$12:$B$72,$A1444+1)+H1445</f>
        <v>0</v>
      </c>
      <c r="I1444" s="48" t="n">
        <f aca="false">E1444*(IF($A1444&lt;$Q$1392,INDEX(Surface_Engine!$D$12:$D$72,$A1444+1)+(Surface_Engine!L248*12)*INDEX(Surface_Engine!$F$12:$F$72,$A1444+1)-(Surface_Engine!L248*12),1000*12*INDEX(Surface_Engine!$C$12:$C$72,$A1444+1)/(1+Assumptions!$B$10)^13+INDEX(Surface_Engine!$D$12:$D$72,$A1444+1)))*INDEX(Surface_Engine!$B$12:$B$72,$A1444+1)+I1445</f>
        <v>0</v>
      </c>
      <c r="J1444" s="48" t="n">
        <f aca="false">B1444*(IF($A1444&lt;$Q$1392,INDEX(Surface_Engine!$D$12:$D$72,$A1444+1)*(1+Assumptions!$B$24)+(Surface_Engine!L248*12)*INDEX(Surface_Engine!$F$12:$F$72,$A1444+1)-(Surface_Engine!L248*12),1000*12*INDEX(Surface_Engine!$C$12:$C$72,$A1444+1)/(1+Assumptions!$B$10)^13+INDEX(Surface_Engine!$D$12:$D$72,$A1444+1)*(1+Assumptions!$B$24)))*INDEX(Surface_Engine!$B$12:$B$72,$A1444+1)+J1445</f>
        <v>0</v>
      </c>
      <c r="K1444" s="12" t="n">
        <f aca="false">SQRT((IF(C1444&lt;=0,0,MAX(0,(B1444/C1444)*G1444/INDEX(Surface_Engine!$B$12:$B$72,$A1444+1)-F1444/INDEX(Surface_Engine!$B$12:$B$72,$A1444+1))))^2+(MAX(IF(D1444&lt;=0,0,MAX(0,(B1444/D1444)*H1444/INDEX(Surface_Engine!$B$12:$B$72,$A1444+1)-F1444/INDEX(Surface_Engine!$B$12:$B$72,$A1444+1))),IF(E1444&lt;=0,0,MAX(0,(B1444/E1444)*I1444/INDEX(Surface_Engine!$B$12:$B$72,$A1444+1)-F1444/INDEX(Surface_Engine!$B$12:$B$72,$A1444+1))),IF($A1444&lt;$Q$1392,MAX(0,-Assumptions!$B$22*(F1444/INDEX(Surface_Engine!$B$12:$B$72,$A1444+1))),0)))^2+(MAX(0,J1444/INDEX(Surface_Engine!$B$12:$B$72,$A1444+1)-(F1444/INDEX(Surface_Engine!$B$12:$B$72,$A1444+1))))^2+2*Assumptions!$B$26*(IF(C1444&lt;=0,0,MAX(0,(B1444/C1444)*G1444/INDEX(Surface_Engine!$B$12:$B$72,$A1444+1)-F1444/INDEX(Surface_Engine!$B$12:$B$72,$A1444+1))))*(MAX(IF(D1444&lt;=0,0,MAX(0,(B1444/D1444)*H1444/INDEX(Surface_Engine!$B$12:$B$72,$A1444+1)-F1444/INDEX(Surface_Engine!$B$12:$B$72,$A1444+1))),IF(E1444&lt;=0,0,MAX(0,(B1444/E1444)*I1444/INDEX(Surface_Engine!$B$12:$B$72,$A1444+1)-F1444/INDEX(Surface_Engine!$B$12:$B$72,$A1444+1))),IF($A1444&lt;$Q$1392,MAX(0,-Assumptions!$B$22*(F1444/INDEX(Surface_Engine!$B$12:$B$72,$A1444+1))),0)))+2*Assumptions!$B$27*(IF(C1444&lt;=0,0,MAX(0,(B1444/C1444)*G1444/INDEX(Surface_Engine!$B$12:$B$72,$A1444+1)-F1444/INDEX(Surface_Engine!$B$12:$B$72,$A1444+1))))*(MAX(0,J1444/INDEX(Surface_Engine!$B$12:$B$72,$A1444+1)-(F1444/INDEX(Surface_Engine!$B$12:$B$72,$A1444+1))))+2*Assumptions!$B$28*(MAX(IF(D1444&lt;=0,0,MAX(0,(B1444/D1444)*H1444/INDEX(Surface_Engine!$B$12:$B$72,$A1444+1)-F1444/INDEX(Surface_Engine!$B$12:$B$72,$A1444+1))),IF(E1444&lt;=0,0,MAX(0,(B1444/E1444)*I1444/INDEX(Surface_Engine!$B$12:$B$72,$A1444+1)-F1444/INDEX(Surface_Engine!$B$12:$B$72,$A1444+1))),IF($A1444&lt;$Q$1392,MAX(0,-Assumptions!$B$22*(F1444/INDEX(Surface_Engine!$B$12:$B$72,$A1444+1))),0)))*(MAX(0,J1444/INDEX(Surface_Engine!$B$12:$B$72,$A1444+1)-(F1444/INDEX(Surface_Engine!$B$12:$B$72,$A1444+1)))))</f>
        <v>0</v>
      </c>
      <c r="L1444" s="48" t="n">
        <f aca="false">K1444*INDEX(Surface_Engine!$B$12:$B$72,$A1444+1)+L1445</f>
        <v>0</v>
      </c>
      <c r="M1444" s="48" t="n">
        <f aca="false">M1443+B1443*(IF($A1443&lt;$Q$1392,(Surface_Engine!L248*12)-(Surface_Engine!L248*12)*INDEX(Surface_Engine!$F$12:$F$72,$A1443+1)-INDEX(Surface_Engine!$D$12:$D$72,$A1443+1),-(1000*12*INDEX(Surface_Engine!$C$12:$C$72,$A1443+1)/(1+Assumptions!$B$10)^13+INDEX(Surface_Engine!$D$12:$D$72,$A1443+1))))*INDEX(Surface_Engine!$B$12:$B$72,$A1443+1)</f>
        <v>1511.51791239133</v>
      </c>
      <c r="N1444" s="12" t="n">
        <f aca="false">IF(B1444&lt;=0,0,MAX(0,(K1444+Assumptions!$B$29*L1444/INDEX(Surface_Engine!$B$12:$B$72,$A1444+1)-(M1444/INDEX(Surface_Engine!$B$12:$B$72,$A1444+1)-(F1444/INDEX(Surface_Engine!$B$12:$B$72,$A1444+1))))/B1444))</f>
        <v>0</v>
      </c>
    </row>
    <row r="1445" customFormat="false" ht="15" hidden="false" customHeight="true" outlineLevel="0" collapsed="false">
      <c r="A1445" s="1" t="n">
        <v>51</v>
      </c>
      <c r="B1445" s="32" t="n">
        <f aca="false">INDEX(Surface_Engine!$S$12:$S$72,$A1445+1)*IF($A1445&lt;$Q$1392,INDEX(Surface_Engine!$E$12:$E$72,$A1445+1),INDEX(Surface_Engine!$E$12:$E$72,$Q$1392+1))</f>
        <v>0</v>
      </c>
      <c r="C1445" s="32" t="n">
        <f aca="false">INDEX(Panel_Reserving!$G$8:$G$68,$A1445+1)*IF($A1445&lt;$Q$1392,INDEX(Surface_Engine!$E$12:$E$72,$A1445+1),INDEX(Surface_Engine!$E$12:$E$72,$Q$1392+1))</f>
        <v>0</v>
      </c>
      <c r="D1445" s="32" t="n">
        <f aca="false">INDEX(Surface_Engine!$S$12:$S$72,$A1445+1)*IF($A1445&lt;$Q$1392,INDEX(Surface_Engine!$Y$12:$Y$72,$A1445+1),INDEX(Surface_Engine!$Y$12:$Y$72,$Q$1392+1))</f>
        <v>0</v>
      </c>
      <c r="E1445" s="32" t="n">
        <f aca="false">INDEX(Surface_Engine!$S$12:$S$72,$A1445+1)*IF($A1445&lt;$Q$1392,INDEX(Surface_Engine!$Z$12:$Z$72,$A1445+1),INDEX(Surface_Engine!$Z$12:$Z$72,$Q$1392+1))</f>
        <v>0</v>
      </c>
      <c r="F1445" s="48" t="n">
        <f aca="false">B1445*(IF($A1445&lt;$Q$1392,INDEX(Surface_Engine!$D$12:$D$72,$A1445+1)+(Surface_Engine!L248*12)*INDEX(Surface_Engine!$F$12:$F$72,$A1445+1)-(Surface_Engine!L248*12),1000*12*INDEX(Surface_Engine!$C$12:$C$72,$A1445+1)/(1+Assumptions!$B$10)^13+INDEX(Surface_Engine!$D$12:$D$72,$A1445+1)))*INDEX(Surface_Engine!$B$12:$B$72,$A1445+1)+F1446</f>
        <v>0</v>
      </c>
      <c r="G1445" s="48" t="n">
        <f aca="false">C1445*(IF($A1445&lt;$Q$1392,INDEX(Surface_Engine!$D$12:$D$72,$A1445+1)+(Surface_Engine!L248*12)*INDEX(Surface_Engine!$F$12:$F$72,$A1445+1)-(Surface_Engine!L248*12),1000*12*INDEX(Surface_Engine!$C$12:$C$72,$A1445+1)/(1+Assumptions!$B$10)^13+INDEX(Surface_Engine!$D$12:$D$72,$A1445+1)))*INDEX(Surface_Engine!$B$12:$B$72,$A1445+1)+G1446</f>
        <v>0</v>
      </c>
      <c r="H1445" s="48" t="n">
        <f aca="false">D1445*(IF($A1445&lt;$Q$1392,INDEX(Surface_Engine!$D$12:$D$72,$A1445+1)+(Surface_Engine!L248*12)*INDEX(Surface_Engine!$F$12:$F$72,$A1445+1)-(Surface_Engine!L248*12),1000*12*INDEX(Surface_Engine!$C$12:$C$72,$A1445+1)/(1+Assumptions!$B$10)^13+INDEX(Surface_Engine!$D$12:$D$72,$A1445+1)))*INDEX(Surface_Engine!$B$12:$B$72,$A1445+1)+H1446</f>
        <v>0</v>
      </c>
      <c r="I1445" s="48" t="n">
        <f aca="false">E1445*(IF($A1445&lt;$Q$1392,INDEX(Surface_Engine!$D$12:$D$72,$A1445+1)+(Surface_Engine!L248*12)*INDEX(Surface_Engine!$F$12:$F$72,$A1445+1)-(Surface_Engine!L248*12),1000*12*INDEX(Surface_Engine!$C$12:$C$72,$A1445+1)/(1+Assumptions!$B$10)^13+INDEX(Surface_Engine!$D$12:$D$72,$A1445+1)))*INDEX(Surface_Engine!$B$12:$B$72,$A1445+1)+I1446</f>
        <v>0</v>
      </c>
      <c r="J1445" s="48" t="n">
        <f aca="false">B1445*(IF($A1445&lt;$Q$1392,INDEX(Surface_Engine!$D$12:$D$72,$A1445+1)*(1+Assumptions!$B$24)+(Surface_Engine!L248*12)*INDEX(Surface_Engine!$F$12:$F$72,$A1445+1)-(Surface_Engine!L248*12),1000*12*INDEX(Surface_Engine!$C$12:$C$72,$A1445+1)/(1+Assumptions!$B$10)^13+INDEX(Surface_Engine!$D$12:$D$72,$A1445+1)*(1+Assumptions!$B$24)))*INDEX(Surface_Engine!$B$12:$B$72,$A1445+1)+J1446</f>
        <v>0</v>
      </c>
      <c r="K1445" s="12" t="n">
        <f aca="false">SQRT((IF(C1445&lt;=0,0,MAX(0,(B1445/C1445)*G1445/INDEX(Surface_Engine!$B$12:$B$72,$A1445+1)-F1445/INDEX(Surface_Engine!$B$12:$B$72,$A1445+1))))^2+(MAX(IF(D1445&lt;=0,0,MAX(0,(B1445/D1445)*H1445/INDEX(Surface_Engine!$B$12:$B$72,$A1445+1)-F1445/INDEX(Surface_Engine!$B$12:$B$72,$A1445+1))),IF(E1445&lt;=0,0,MAX(0,(B1445/E1445)*I1445/INDEX(Surface_Engine!$B$12:$B$72,$A1445+1)-F1445/INDEX(Surface_Engine!$B$12:$B$72,$A1445+1))),IF($A1445&lt;$Q$1392,MAX(0,-Assumptions!$B$22*(F1445/INDEX(Surface_Engine!$B$12:$B$72,$A1445+1))),0)))^2+(MAX(0,J1445/INDEX(Surface_Engine!$B$12:$B$72,$A1445+1)-(F1445/INDEX(Surface_Engine!$B$12:$B$72,$A1445+1))))^2+2*Assumptions!$B$26*(IF(C1445&lt;=0,0,MAX(0,(B1445/C1445)*G1445/INDEX(Surface_Engine!$B$12:$B$72,$A1445+1)-F1445/INDEX(Surface_Engine!$B$12:$B$72,$A1445+1))))*(MAX(IF(D1445&lt;=0,0,MAX(0,(B1445/D1445)*H1445/INDEX(Surface_Engine!$B$12:$B$72,$A1445+1)-F1445/INDEX(Surface_Engine!$B$12:$B$72,$A1445+1))),IF(E1445&lt;=0,0,MAX(0,(B1445/E1445)*I1445/INDEX(Surface_Engine!$B$12:$B$72,$A1445+1)-F1445/INDEX(Surface_Engine!$B$12:$B$72,$A1445+1))),IF($A1445&lt;$Q$1392,MAX(0,-Assumptions!$B$22*(F1445/INDEX(Surface_Engine!$B$12:$B$72,$A1445+1))),0)))+2*Assumptions!$B$27*(IF(C1445&lt;=0,0,MAX(0,(B1445/C1445)*G1445/INDEX(Surface_Engine!$B$12:$B$72,$A1445+1)-F1445/INDEX(Surface_Engine!$B$12:$B$72,$A1445+1))))*(MAX(0,J1445/INDEX(Surface_Engine!$B$12:$B$72,$A1445+1)-(F1445/INDEX(Surface_Engine!$B$12:$B$72,$A1445+1))))+2*Assumptions!$B$28*(MAX(IF(D1445&lt;=0,0,MAX(0,(B1445/D1445)*H1445/INDEX(Surface_Engine!$B$12:$B$72,$A1445+1)-F1445/INDEX(Surface_Engine!$B$12:$B$72,$A1445+1))),IF(E1445&lt;=0,0,MAX(0,(B1445/E1445)*I1445/INDEX(Surface_Engine!$B$12:$B$72,$A1445+1)-F1445/INDEX(Surface_Engine!$B$12:$B$72,$A1445+1))),IF($A1445&lt;$Q$1392,MAX(0,-Assumptions!$B$22*(F1445/INDEX(Surface_Engine!$B$12:$B$72,$A1445+1))),0)))*(MAX(0,J1445/INDEX(Surface_Engine!$B$12:$B$72,$A1445+1)-(F1445/INDEX(Surface_Engine!$B$12:$B$72,$A1445+1)))))</f>
        <v>0</v>
      </c>
      <c r="L1445" s="48" t="n">
        <f aca="false">K1445*INDEX(Surface_Engine!$B$12:$B$72,$A1445+1)+L1446</f>
        <v>0</v>
      </c>
      <c r="M1445" s="48" t="n">
        <f aca="false">M1444+B1444*(IF($A1444&lt;$Q$1392,(Surface_Engine!L248*12)-(Surface_Engine!L248*12)*INDEX(Surface_Engine!$F$12:$F$72,$A1444+1)-INDEX(Surface_Engine!$D$12:$D$72,$A1444+1),-(1000*12*INDEX(Surface_Engine!$C$12:$C$72,$A1444+1)/(1+Assumptions!$B$10)^13+INDEX(Surface_Engine!$D$12:$D$72,$A1444+1))))*INDEX(Surface_Engine!$B$12:$B$72,$A1444+1)</f>
        <v>1511.51791239133</v>
      </c>
      <c r="N1445" s="12" t="n">
        <f aca="false">IF(B1445&lt;=0,0,MAX(0,(K1445+Assumptions!$B$29*L1445/INDEX(Surface_Engine!$B$12:$B$72,$A1445+1)-(M1445/INDEX(Surface_Engine!$B$12:$B$72,$A1445+1)-(F1445/INDEX(Surface_Engine!$B$12:$B$72,$A1445+1))))/B1445))</f>
        <v>0</v>
      </c>
    </row>
    <row r="1446" customFormat="false" ht="15" hidden="false" customHeight="true" outlineLevel="0" collapsed="false">
      <c r="A1446" s="1" t="n">
        <v>52</v>
      </c>
      <c r="B1446" s="32" t="n">
        <f aca="false">INDEX(Surface_Engine!$S$12:$S$72,$A1446+1)*IF($A1446&lt;$Q$1392,INDEX(Surface_Engine!$E$12:$E$72,$A1446+1),INDEX(Surface_Engine!$E$12:$E$72,$Q$1392+1))</f>
        <v>0</v>
      </c>
      <c r="C1446" s="32" t="n">
        <f aca="false">INDEX(Panel_Reserving!$G$8:$G$68,$A1446+1)*IF($A1446&lt;$Q$1392,INDEX(Surface_Engine!$E$12:$E$72,$A1446+1),INDEX(Surface_Engine!$E$12:$E$72,$Q$1392+1))</f>
        <v>0</v>
      </c>
      <c r="D1446" s="32" t="n">
        <f aca="false">INDEX(Surface_Engine!$S$12:$S$72,$A1446+1)*IF($A1446&lt;$Q$1392,INDEX(Surface_Engine!$Y$12:$Y$72,$A1446+1),INDEX(Surface_Engine!$Y$12:$Y$72,$Q$1392+1))</f>
        <v>0</v>
      </c>
      <c r="E1446" s="32" t="n">
        <f aca="false">INDEX(Surface_Engine!$S$12:$S$72,$A1446+1)*IF($A1446&lt;$Q$1392,INDEX(Surface_Engine!$Z$12:$Z$72,$A1446+1),INDEX(Surface_Engine!$Z$12:$Z$72,$Q$1392+1))</f>
        <v>0</v>
      </c>
      <c r="F1446" s="48" t="n">
        <f aca="false">B1446*(IF($A1446&lt;$Q$1392,INDEX(Surface_Engine!$D$12:$D$72,$A1446+1)+(Surface_Engine!L248*12)*INDEX(Surface_Engine!$F$12:$F$72,$A1446+1)-(Surface_Engine!L248*12),1000*12*INDEX(Surface_Engine!$C$12:$C$72,$A1446+1)/(1+Assumptions!$B$10)^13+INDEX(Surface_Engine!$D$12:$D$72,$A1446+1)))*INDEX(Surface_Engine!$B$12:$B$72,$A1446+1)+F1447</f>
        <v>0</v>
      </c>
      <c r="G1446" s="48" t="n">
        <f aca="false">C1446*(IF($A1446&lt;$Q$1392,INDEX(Surface_Engine!$D$12:$D$72,$A1446+1)+(Surface_Engine!L248*12)*INDEX(Surface_Engine!$F$12:$F$72,$A1446+1)-(Surface_Engine!L248*12),1000*12*INDEX(Surface_Engine!$C$12:$C$72,$A1446+1)/(1+Assumptions!$B$10)^13+INDEX(Surface_Engine!$D$12:$D$72,$A1446+1)))*INDEX(Surface_Engine!$B$12:$B$72,$A1446+1)+G1447</f>
        <v>0</v>
      </c>
      <c r="H1446" s="48" t="n">
        <f aca="false">D1446*(IF($A1446&lt;$Q$1392,INDEX(Surface_Engine!$D$12:$D$72,$A1446+1)+(Surface_Engine!L248*12)*INDEX(Surface_Engine!$F$12:$F$72,$A1446+1)-(Surface_Engine!L248*12),1000*12*INDEX(Surface_Engine!$C$12:$C$72,$A1446+1)/(1+Assumptions!$B$10)^13+INDEX(Surface_Engine!$D$12:$D$72,$A1446+1)))*INDEX(Surface_Engine!$B$12:$B$72,$A1446+1)+H1447</f>
        <v>0</v>
      </c>
      <c r="I1446" s="48" t="n">
        <f aca="false">E1446*(IF($A1446&lt;$Q$1392,INDEX(Surface_Engine!$D$12:$D$72,$A1446+1)+(Surface_Engine!L248*12)*INDEX(Surface_Engine!$F$12:$F$72,$A1446+1)-(Surface_Engine!L248*12),1000*12*INDEX(Surface_Engine!$C$12:$C$72,$A1446+1)/(1+Assumptions!$B$10)^13+INDEX(Surface_Engine!$D$12:$D$72,$A1446+1)))*INDEX(Surface_Engine!$B$12:$B$72,$A1446+1)+I1447</f>
        <v>0</v>
      </c>
      <c r="J1446" s="48" t="n">
        <f aca="false">B1446*(IF($A1446&lt;$Q$1392,INDEX(Surface_Engine!$D$12:$D$72,$A1446+1)*(1+Assumptions!$B$24)+(Surface_Engine!L248*12)*INDEX(Surface_Engine!$F$12:$F$72,$A1446+1)-(Surface_Engine!L248*12),1000*12*INDEX(Surface_Engine!$C$12:$C$72,$A1446+1)/(1+Assumptions!$B$10)^13+INDEX(Surface_Engine!$D$12:$D$72,$A1446+1)*(1+Assumptions!$B$24)))*INDEX(Surface_Engine!$B$12:$B$72,$A1446+1)+J1447</f>
        <v>0</v>
      </c>
      <c r="K1446" s="12" t="n">
        <f aca="false">SQRT((IF(C1446&lt;=0,0,MAX(0,(B1446/C1446)*G1446/INDEX(Surface_Engine!$B$12:$B$72,$A1446+1)-F1446/INDEX(Surface_Engine!$B$12:$B$72,$A1446+1))))^2+(MAX(IF(D1446&lt;=0,0,MAX(0,(B1446/D1446)*H1446/INDEX(Surface_Engine!$B$12:$B$72,$A1446+1)-F1446/INDEX(Surface_Engine!$B$12:$B$72,$A1446+1))),IF(E1446&lt;=0,0,MAX(0,(B1446/E1446)*I1446/INDEX(Surface_Engine!$B$12:$B$72,$A1446+1)-F1446/INDEX(Surface_Engine!$B$12:$B$72,$A1446+1))),IF($A1446&lt;$Q$1392,MAX(0,-Assumptions!$B$22*(F1446/INDEX(Surface_Engine!$B$12:$B$72,$A1446+1))),0)))^2+(MAX(0,J1446/INDEX(Surface_Engine!$B$12:$B$72,$A1446+1)-(F1446/INDEX(Surface_Engine!$B$12:$B$72,$A1446+1))))^2+2*Assumptions!$B$26*(IF(C1446&lt;=0,0,MAX(0,(B1446/C1446)*G1446/INDEX(Surface_Engine!$B$12:$B$72,$A1446+1)-F1446/INDEX(Surface_Engine!$B$12:$B$72,$A1446+1))))*(MAX(IF(D1446&lt;=0,0,MAX(0,(B1446/D1446)*H1446/INDEX(Surface_Engine!$B$12:$B$72,$A1446+1)-F1446/INDEX(Surface_Engine!$B$12:$B$72,$A1446+1))),IF(E1446&lt;=0,0,MAX(0,(B1446/E1446)*I1446/INDEX(Surface_Engine!$B$12:$B$72,$A1446+1)-F1446/INDEX(Surface_Engine!$B$12:$B$72,$A1446+1))),IF($A1446&lt;$Q$1392,MAX(0,-Assumptions!$B$22*(F1446/INDEX(Surface_Engine!$B$12:$B$72,$A1446+1))),0)))+2*Assumptions!$B$27*(IF(C1446&lt;=0,0,MAX(0,(B1446/C1446)*G1446/INDEX(Surface_Engine!$B$12:$B$72,$A1446+1)-F1446/INDEX(Surface_Engine!$B$12:$B$72,$A1446+1))))*(MAX(0,J1446/INDEX(Surface_Engine!$B$12:$B$72,$A1446+1)-(F1446/INDEX(Surface_Engine!$B$12:$B$72,$A1446+1))))+2*Assumptions!$B$28*(MAX(IF(D1446&lt;=0,0,MAX(0,(B1446/D1446)*H1446/INDEX(Surface_Engine!$B$12:$B$72,$A1446+1)-F1446/INDEX(Surface_Engine!$B$12:$B$72,$A1446+1))),IF(E1446&lt;=0,0,MAX(0,(B1446/E1446)*I1446/INDEX(Surface_Engine!$B$12:$B$72,$A1446+1)-F1446/INDEX(Surface_Engine!$B$12:$B$72,$A1446+1))),IF($A1446&lt;$Q$1392,MAX(0,-Assumptions!$B$22*(F1446/INDEX(Surface_Engine!$B$12:$B$72,$A1446+1))),0)))*(MAX(0,J1446/INDEX(Surface_Engine!$B$12:$B$72,$A1446+1)-(F1446/INDEX(Surface_Engine!$B$12:$B$72,$A1446+1)))))</f>
        <v>0</v>
      </c>
      <c r="L1446" s="48" t="n">
        <f aca="false">K1446*INDEX(Surface_Engine!$B$12:$B$72,$A1446+1)+L1447</f>
        <v>0</v>
      </c>
      <c r="M1446" s="48" t="n">
        <f aca="false">M1445+B1445*(IF($A1445&lt;$Q$1392,(Surface_Engine!L248*12)-(Surface_Engine!L248*12)*INDEX(Surface_Engine!$F$12:$F$72,$A1445+1)-INDEX(Surface_Engine!$D$12:$D$72,$A1445+1),-(1000*12*INDEX(Surface_Engine!$C$12:$C$72,$A1445+1)/(1+Assumptions!$B$10)^13+INDEX(Surface_Engine!$D$12:$D$72,$A1445+1))))*INDEX(Surface_Engine!$B$12:$B$72,$A1445+1)</f>
        <v>1511.51791239133</v>
      </c>
      <c r="N1446" s="12" t="n">
        <f aca="false">IF(B1446&lt;=0,0,MAX(0,(K1446+Assumptions!$B$29*L1446/INDEX(Surface_Engine!$B$12:$B$72,$A1446+1)-(M1446/INDEX(Surface_Engine!$B$12:$B$72,$A1446+1)-(F1446/INDEX(Surface_Engine!$B$12:$B$72,$A1446+1))))/B1446))</f>
        <v>0</v>
      </c>
    </row>
    <row r="1447" customFormat="false" ht="15" hidden="false" customHeight="true" outlineLevel="0" collapsed="false">
      <c r="A1447" s="1" t="n">
        <v>53</v>
      </c>
      <c r="B1447" s="32" t="n">
        <f aca="false">INDEX(Surface_Engine!$S$12:$S$72,$A1447+1)*IF($A1447&lt;$Q$1392,INDEX(Surface_Engine!$E$12:$E$72,$A1447+1),INDEX(Surface_Engine!$E$12:$E$72,$Q$1392+1))</f>
        <v>0</v>
      </c>
      <c r="C1447" s="32" t="n">
        <f aca="false">INDEX(Panel_Reserving!$G$8:$G$68,$A1447+1)*IF($A1447&lt;$Q$1392,INDEX(Surface_Engine!$E$12:$E$72,$A1447+1),INDEX(Surface_Engine!$E$12:$E$72,$Q$1392+1))</f>
        <v>0</v>
      </c>
      <c r="D1447" s="32" t="n">
        <f aca="false">INDEX(Surface_Engine!$S$12:$S$72,$A1447+1)*IF($A1447&lt;$Q$1392,INDEX(Surface_Engine!$Y$12:$Y$72,$A1447+1),INDEX(Surface_Engine!$Y$12:$Y$72,$Q$1392+1))</f>
        <v>0</v>
      </c>
      <c r="E1447" s="32" t="n">
        <f aca="false">INDEX(Surface_Engine!$S$12:$S$72,$A1447+1)*IF($A1447&lt;$Q$1392,INDEX(Surface_Engine!$Z$12:$Z$72,$A1447+1),INDEX(Surface_Engine!$Z$12:$Z$72,$Q$1392+1))</f>
        <v>0</v>
      </c>
      <c r="F1447" s="48" t="n">
        <f aca="false">B1447*(IF($A1447&lt;$Q$1392,INDEX(Surface_Engine!$D$12:$D$72,$A1447+1)+(Surface_Engine!L248*12)*INDEX(Surface_Engine!$F$12:$F$72,$A1447+1)-(Surface_Engine!L248*12),1000*12*INDEX(Surface_Engine!$C$12:$C$72,$A1447+1)/(1+Assumptions!$B$10)^13+INDEX(Surface_Engine!$D$12:$D$72,$A1447+1)))*INDEX(Surface_Engine!$B$12:$B$72,$A1447+1)+F1448</f>
        <v>0</v>
      </c>
      <c r="G1447" s="48" t="n">
        <f aca="false">C1447*(IF($A1447&lt;$Q$1392,INDEX(Surface_Engine!$D$12:$D$72,$A1447+1)+(Surface_Engine!L248*12)*INDEX(Surface_Engine!$F$12:$F$72,$A1447+1)-(Surface_Engine!L248*12),1000*12*INDEX(Surface_Engine!$C$12:$C$72,$A1447+1)/(1+Assumptions!$B$10)^13+INDEX(Surface_Engine!$D$12:$D$72,$A1447+1)))*INDEX(Surface_Engine!$B$12:$B$72,$A1447+1)+G1448</f>
        <v>0</v>
      </c>
      <c r="H1447" s="48" t="n">
        <f aca="false">D1447*(IF($A1447&lt;$Q$1392,INDEX(Surface_Engine!$D$12:$D$72,$A1447+1)+(Surface_Engine!L248*12)*INDEX(Surface_Engine!$F$12:$F$72,$A1447+1)-(Surface_Engine!L248*12),1000*12*INDEX(Surface_Engine!$C$12:$C$72,$A1447+1)/(1+Assumptions!$B$10)^13+INDEX(Surface_Engine!$D$12:$D$72,$A1447+1)))*INDEX(Surface_Engine!$B$12:$B$72,$A1447+1)+H1448</f>
        <v>0</v>
      </c>
      <c r="I1447" s="48" t="n">
        <f aca="false">E1447*(IF($A1447&lt;$Q$1392,INDEX(Surface_Engine!$D$12:$D$72,$A1447+1)+(Surface_Engine!L248*12)*INDEX(Surface_Engine!$F$12:$F$72,$A1447+1)-(Surface_Engine!L248*12),1000*12*INDEX(Surface_Engine!$C$12:$C$72,$A1447+1)/(1+Assumptions!$B$10)^13+INDEX(Surface_Engine!$D$12:$D$72,$A1447+1)))*INDEX(Surface_Engine!$B$12:$B$72,$A1447+1)+I1448</f>
        <v>0</v>
      </c>
      <c r="J1447" s="48" t="n">
        <f aca="false">B1447*(IF($A1447&lt;$Q$1392,INDEX(Surface_Engine!$D$12:$D$72,$A1447+1)*(1+Assumptions!$B$24)+(Surface_Engine!L248*12)*INDEX(Surface_Engine!$F$12:$F$72,$A1447+1)-(Surface_Engine!L248*12),1000*12*INDEX(Surface_Engine!$C$12:$C$72,$A1447+1)/(1+Assumptions!$B$10)^13+INDEX(Surface_Engine!$D$12:$D$72,$A1447+1)*(1+Assumptions!$B$24)))*INDEX(Surface_Engine!$B$12:$B$72,$A1447+1)+J1448</f>
        <v>0</v>
      </c>
      <c r="K1447" s="12" t="n">
        <f aca="false">SQRT((IF(C1447&lt;=0,0,MAX(0,(B1447/C1447)*G1447/INDEX(Surface_Engine!$B$12:$B$72,$A1447+1)-F1447/INDEX(Surface_Engine!$B$12:$B$72,$A1447+1))))^2+(MAX(IF(D1447&lt;=0,0,MAX(0,(B1447/D1447)*H1447/INDEX(Surface_Engine!$B$12:$B$72,$A1447+1)-F1447/INDEX(Surface_Engine!$B$12:$B$72,$A1447+1))),IF(E1447&lt;=0,0,MAX(0,(B1447/E1447)*I1447/INDEX(Surface_Engine!$B$12:$B$72,$A1447+1)-F1447/INDEX(Surface_Engine!$B$12:$B$72,$A1447+1))),IF($A1447&lt;$Q$1392,MAX(0,-Assumptions!$B$22*(F1447/INDEX(Surface_Engine!$B$12:$B$72,$A1447+1))),0)))^2+(MAX(0,J1447/INDEX(Surface_Engine!$B$12:$B$72,$A1447+1)-(F1447/INDEX(Surface_Engine!$B$12:$B$72,$A1447+1))))^2+2*Assumptions!$B$26*(IF(C1447&lt;=0,0,MAX(0,(B1447/C1447)*G1447/INDEX(Surface_Engine!$B$12:$B$72,$A1447+1)-F1447/INDEX(Surface_Engine!$B$12:$B$72,$A1447+1))))*(MAX(IF(D1447&lt;=0,0,MAX(0,(B1447/D1447)*H1447/INDEX(Surface_Engine!$B$12:$B$72,$A1447+1)-F1447/INDEX(Surface_Engine!$B$12:$B$72,$A1447+1))),IF(E1447&lt;=0,0,MAX(0,(B1447/E1447)*I1447/INDEX(Surface_Engine!$B$12:$B$72,$A1447+1)-F1447/INDEX(Surface_Engine!$B$12:$B$72,$A1447+1))),IF($A1447&lt;$Q$1392,MAX(0,-Assumptions!$B$22*(F1447/INDEX(Surface_Engine!$B$12:$B$72,$A1447+1))),0)))+2*Assumptions!$B$27*(IF(C1447&lt;=0,0,MAX(0,(B1447/C1447)*G1447/INDEX(Surface_Engine!$B$12:$B$72,$A1447+1)-F1447/INDEX(Surface_Engine!$B$12:$B$72,$A1447+1))))*(MAX(0,J1447/INDEX(Surface_Engine!$B$12:$B$72,$A1447+1)-(F1447/INDEX(Surface_Engine!$B$12:$B$72,$A1447+1))))+2*Assumptions!$B$28*(MAX(IF(D1447&lt;=0,0,MAX(0,(B1447/D1447)*H1447/INDEX(Surface_Engine!$B$12:$B$72,$A1447+1)-F1447/INDEX(Surface_Engine!$B$12:$B$72,$A1447+1))),IF(E1447&lt;=0,0,MAX(0,(B1447/E1447)*I1447/INDEX(Surface_Engine!$B$12:$B$72,$A1447+1)-F1447/INDEX(Surface_Engine!$B$12:$B$72,$A1447+1))),IF($A1447&lt;$Q$1392,MAX(0,-Assumptions!$B$22*(F1447/INDEX(Surface_Engine!$B$12:$B$72,$A1447+1))),0)))*(MAX(0,J1447/INDEX(Surface_Engine!$B$12:$B$72,$A1447+1)-(F1447/INDEX(Surface_Engine!$B$12:$B$72,$A1447+1)))))</f>
        <v>0</v>
      </c>
      <c r="L1447" s="48" t="n">
        <f aca="false">K1447*INDEX(Surface_Engine!$B$12:$B$72,$A1447+1)+L1448</f>
        <v>0</v>
      </c>
      <c r="M1447" s="48" t="n">
        <f aca="false">M1446+B1446*(IF($A1446&lt;$Q$1392,(Surface_Engine!L248*12)-(Surface_Engine!L248*12)*INDEX(Surface_Engine!$F$12:$F$72,$A1446+1)-INDEX(Surface_Engine!$D$12:$D$72,$A1446+1),-(1000*12*INDEX(Surface_Engine!$C$12:$C$72,$A1446+1)/(1+Assumptions!$B$10)^13+INDEX(Surface_Engine!$D$12:$D$72,$A1446+1))))*INDEX(Surface_Engine!$B$12:$B$72,$A1446+1)</f>
        <v>1511.51791239133</v>
      </c>
      <c r="N1447" s="12" t="n">
        <f aca="false">IF(B1447&lt;=0,0,MAX(0,(K1447+Assumptions!$B$29*L1447/INDEX(Surface_Engine!$B$12:$B$72,$A1447+1)-(M1447/INDEX(Surface_Engine!$B$12:$B$72,$A1447+1)-(F1447/INDEX(Surface_Engine!$B$12:$B$72,$A1447+1))))/B1447))</f>
        <v>0</v>
      </c>
    </row>
    <row r="1448" customFormat="false" ht="15" hidden="false" customHeight="true" outlineLevel="0" collapsed="false">
      <c r="A1448" s="1" t="n">
        <v>54</v>
      </c>
      <c r="B1448" s="32" t="n">
        <f aca="false">INDEX(Surface_Engine!$S$12:$S$72,$A1448+1)*IF($A1448&lt;$Q$1392,INDEX(Surface_Engine!$E$12:$E$72,$A1448+1),INDEX(Surface_Engine!$E$12:$E$72,$Q$1392+1))</f>
        <v>0</v>
      </c>
      <c r="C1448" s="32" t="n">
        <f aca="false">INDEX(Panel_Reserving!$G$8:$G$68,$A1448+1)*IF($A1448&lt;$Q$1392,INDEX(Surface_Engine!$E$12:$E$72,$A1448+1),INDEX(Surface_Engine!$E$12:$E$72,$Q$1392+1))</f>
        <v>0</v>
      </c>
      <c r="D1448" s="32" t="n">
        <f aca="false">INDEX(Surface_Engine!$S$12:$S$72,$A1448+1)*IF($A1448&lt;$Q$1392,INDEX(Surface_Engine!$Y$12:$Y$72,$A1448+1),INDEX(Surface_Engine!$Y$12:$Y$72,$Q$1392+1))</f>
        <v>0</v>
      </c>
      <c r="E1448" s="32" t="n">
        <f aca="false">INDEX(Surface_Engine!$S$12:$S$72,$A1448+1)*IF($A1448&lt;$Q$1392,INDEX(Surface_Engine!$Z$12:$Z$72,$A1448+1),INDEX(Surface_Engine!$Z$12:$Z$72,$Q$1392+1))</f>
        <v>0</v>
      </c>
      <c r="F1448" s="48" t="n">
        <f aca="false">B1448*(IF($A1448&lt;$Q$1392,INDEX(Surface_Engine!$D$12:$D$72,$A1448+1)+(Surface_Engine!L248*12)*INDEX(Surface_Engine!$F$12:$F$72,$A1448+1)-(Surface_Engine!L248*12),1000*12*INDEX(Surface_Engine!$C$12:$C$72,$A1448+1)/(1+Assumptions!$B$10)^13+INDEX(Surface_Engine!$D$12:$D$72,$A1448+1)))*INDEX(Surface_Engine!$B$12:$B$72,$A1448+1)+F1449</f>
        <v>0</v>
      </c>
      <c r="G1448" s="48" t="n">
        <f aca="false">C1448*(IF($A1448&lt;$Q$1392,INDEX(Surface_Engine!$D$12:$D$72,$A1448+1)+(Surface_Engine!L248*12)*INDEX(Surface_Engine!$F$12:$F$72,$A1448+1)-(Surface_Engine!L248*12),1000*12*INDEX(Surface_Engine!$C$12:$C$72,$A1448+1)/(1+Assumptions!$B$10)^13+INDEX(Surface_Engine!$D$12:$D$72,$A1448+1)))*INDEX(Surface_Engine!$B$12:$B$72,$A1448+1)+G1449</f>
        <v>0</v>
      </c>
      <c r="H1448" s="48" t="n">
        <f aca="false">D1448*(IF($A1448&lt;$Q$1392,INDEX(Surface_Engine!$D$12:$D$72,$A1448+1)+(Surface_Engine!L248*12)*INDEX(Surface_Engine!$F$12:$F$72,$A1448+1)-(Surface_Engine!L248*12),1000*12*INDEX(Surface_Engine!$C$12:$C$72,$A1448+1)/(1+Assumptions!$B$10)^13+INDEX(Surface_Engine!$D$12:$D$72,$A1448+1)))*INDEX(Surface_Engine!$B$12:$B$72,$A1448+1)+H1449</f>
        <v>0</v>
      </c>
      <c r="I1448" s="48" t="n">
        <f aca="false">E1448*(IF($A1448&lt;$Q$1392,INDEX(Surface_Engine!$D$12:$D$72,$A1448+1)+(Surface_Engine!L248*12)*INDEX(Surface_Engine!$F$12:$F$72,$A1448+1)-(Surface_Engine!L248*12),1000*12*INDEX(Surface_Engine!$C$12:$C$72,$A1448+1)/(1+Assumptions!$B$10)^13+INDEX(Surface_Engine!$D$12:$D$72,$A1448+1)))*INDEX(Surface_Engine!$B$12:$B$72,$A1448+1)+I1449</f>
        <v>0</v>
      </c>
      <c r="J1448" s="48" t="n">
        <f aca="false">B1448*(IF($A1448&lt;$Q$1392,INDEX(Surface_Engine!$D$12:$D$72,$A1448+1)*(1+Assumptions!$B$24)+(Surface_Engine!L248*12)*INDEX(Surface_Engine!$F$12:$F$72,$A1448+1)-(Surface_Engine!L248*12),1000*12*INDEX(Surface_Engine!$C$12:$C$72,$A1448+1)/(1+Assumptions!$B$10)^13+INDEX(Surface_Engine!$D$12:$D$72,$A1448+1)*(1+Assumptions!$B$24)))*INDEX(Surface_Engine!$B$12:$B$72,$A1448+1)+J1449</f>
        <v>0</v>
      </c>
      <c r="K1448" s="12" t="n">
        <f aca="false">SQRT((IF(C1448&lt;=0,0,MAX(0,(B1448/C1448)*G1448/INDEX(Surface_Engine!$B$12:$B$72,$A1448+1)-F1448/INDEX(Surface_Engine!$B$12:$B$72,$A1448+1))))^2+(MAX(IF(D1448&lt;=0,0,MAX(0,(B1448/D1448)*H1448/INDEX(Surface_Engine!$B$12:$B$72,$A1448+1)-F1448/INDEX(Surface_Engine!$B$12:$B$72,$A1448+1))),IF(E1448&lt;=0,0,MAX(0,(B1448/E1448)*I1448/INDEX(Surface_Engine!$B$12:$B$72,$A1448+1)-F1448/INDEX(Surface_Engine!$B$12:$B$72,$A1448+1))),IF($A1448&lt;$Q$1392,MAX(0,-Assumptions!$B$22*(F1448/INDEX(Surface_Engine!$B$12:$B$72,$A1448+1))),0)))^2+(MAX(0,J1448/INDEX(Surface_Engine!$B$12:$B$72,$A1448+1)-(F1448/INDEX(Surface_Engine!$B$12:$B$72,$A1448+1))))^2+2*Assumptions!$B$26*(IF(C1448&lt;=0,0,MAX(0,(B1448/C1448)*G1448/INDEX(Surface_Engine!$B$12:$B$72,$A1448+1)-F1448/INDEX(Surface_Engine!$B$12:$B$72,$A1448+1))))*(MAX(IF(D1448&lt;=0,0,MAX(0,(B1448/D1448)*H1448/INDEX(Surface_Engine!$B$12:$B$72,$A1448+1)-F1448/INDEX(Surface_Engine!$B$12:$B$72,$A1448+1))),IF(E1448&lt;=0,0,MAX(0,(B1448/E1448)*I1448/INDEX(Surface_Engine!$B$12:$B$72,$A1448+1)-F1448/INDEX(Surface_Engine!$B$12:$B$72,$A1448+1))),IF($A1448&lt;$Q$1392,MAX(0,-Assumptions!$B$22*(F1448/INDEX(Surface_Engine!$B$12:$B$72,$A1448+1))),0)))+2*Assumptions!$B$27*(IF(C1448&lt;=0,0,MAX(0,(B1448/C1448)*G1448/INDEX(Surface_Engine!$B$12:$B$72,$A1448+1)-F1448/INDEX(Surface_Engine!$B$12:$B$72,$A1448+1))))*(MAX(0,J1448/INDEX(Surface_Engine!$B$12:$B$72,$A1448+1)-(F1448/INDEX(Surface_Engine!$B$12:$B$72,$A1448+1))))+2*Assumptions!$B$28*(MAX(IF(D1448&lt;=0,0,MAX(0,(B1448/D1448)*H1448/INDEX(Surface_Engine!$B$12:$B$72,$A1448+1)-F1448/INDEX(Surface_Engine!$B$12:$B$72,$A1448+1))),IF(E1448&lt;=0,0,MAX(0,(B1448/E1448)*I1448/INDEX(Surface_Engine!$B$12:$B$72,$A1448+1)-F1448/INDEX(Surface_Engine!$B$12:$B$72,$A1448+1))),IF($A1448&lt;$Q$1392,MAX(0,-Assumptions!$B$22*(F1448/INDEX(Surface_Engine!$B$12:$B$72,$A1448+1))),0)))*(MAX(0,J1448/INDEX(Surface_Engine!$B$12:$B$72,$A1448+1)-(F1448/INDEX(Surface_Engine!$B$12:$B$72,$A1448+1)))))</f>
        <v>0</v>
      </c>
      <c r="L1448" s="48" t="n">
        <f aca="false">K1448*INDEX(Surface_Engine!$B$12:$B$72,$A1448+1)+L1449</f>
        <v>0</v>
      </c>
      <c r="M1448" s="48" t="n">
        <f aca="false">M1447+B1447*(IF($A1447&lt;$Q$1392,(Surface_Engine!L248*12)-(Surface_Engine!L248*12)*INDEX(Surface_Engine!$F$12:$F$72,$A1447+1)-INDEX(Surface_Engine!$D$12:$D$72,$A1447+1),-(1000*12*INDEX(Surface_Engine!$C$12:$C$72,$A1447+1)/(1+Assumptions!$B$10)^13+INDEX(Surface_Engine!$D$12:$D$72,$A1447+1))))*INDEX(Surface_Engine!$B$12:$B$72,$A1447+1)</f>
        <v>1511.51791239133</v>
      </c>
      <c r="N1448" s="12" t="n">
        <f aca="false">IF(B1448&lt;=0,0,MAX(0,(K1448+Assumptions!$B$29*L1448/INDEX(Surface_Engine!$B$12:$B$72,$A1448+1)-(M1448/INDEX(Surface_Engine!$B$12:$B$72,$A1448+1)-(F1448/INDEX(Surface_Engine!$B$12:$B$72,$A1448+1))))/B1448))</f>
        <v>0</v>
      </c>
    </row>
    <row r="1449" customFormat="false" ht="15" hidden="false" customHeight="true" outlineLevel="0" collapsed="false">
      <c r="A1449" s="1" t="n">
        <v>55</v>
      </c>
      <c r="B1449" s="32" t="n">
        <f aca="false">INDEX(Surface_Engine!$S$12:$S$72,$A1449+1)*IF($A1449&lt;$Q$1392,INDEX(Surface_Engine!$E$12:$E$72,$A1449+1),INDEX(Surface_Engine!$E$12:$E$72,$Q$1392+1))</f>
        <v>0</v>
      </c>
      <c r="C1449" s="32" t="n">
        <f aca="false">INDEX(Panel_Reserving!$G$8:$G$68,$A1449+1)*IF($A1449&lt;$Q$1392,INDEX(Surface_Engine!$E$12:$E$72,$A1449+1),INDEX(Surface_Engine!$E$12:$E$72,$Q$1392+1))</f>
        <v>0</v>
      </c>
      <c r="D1449" s="32" t="n">
        <f aca="false">INDEX(Surface_Engine!$S$12:$S$72,$A1449+1)*IF($A1449&lt;$Q$1392,INDEX(Surface_Engine!$Y$12:$Y$72,$A1449+1),INDEX(Surface_Engine!$Y$12:$Y$72,$Q$1392+1))</f>
        <v>0</v>
      </c>
      <c r="E1449" s="32" t="n">
        <f aca="false">INDEX(Surface_Engine!$S$12:$S$72,$A1449+1)*IF($A1449&lt;$Q$1392,INDEX(Surface_Engine!$Z$12:$Z$72,$A1449+1),INDEX(Surface_Engine!$Z$12:$Z$72,$Q$1392+1))</f>
        <v>0</v>
      </c>
      <c r="F1449" s="48" t="n">
        <f aca="false">B1449*(IF($A1449&lt;$Q$1392,INDEX(Surface_Engine!$D$12:$D$72,$A1449+1)+(Surface_Engine!L248*12)*INDEX(Surface_Engine!$F$12:$F$72,$A1449+1)-(Surface_Engine!L248*12),1000*12*INDEX(Surface_Engine!$C$12:$C$72,$A1449+1)/(1+Assumptions!$B$10)^13+INDEX(Surface_Engine!$D$12:$D$72,$A1449+1)))*INDEX(Surface_Engine!$B$12:$B$72,$A1449+1)+F1450</f>
        <v>0</v>
      </c>
      <c r="G1449" s="48" t="n">
        <f aca="false">C1449*(IF($A1449&lt;$Q$1392,INDEX(Surface_Engine!$D$12:$D$72,$A1449+1)+(Surface_Engine!L248*12)*INDEX(Surface_Engine!$F$12:$F$72,$A1449+1)-(Surface_Engine!L248*12),1000*12*INDEX(Surface_Engine!$C$12:$C$72,$A1449+1)/(1+Assumptions!$B$10)^13+INDEX(Surface_Engine!$D$12:$D$72,$A1449+1)))*INDEX(Surface_Engine!$B$12:$B$72,$A1449+1)+G1450</f>
        <v>0</v>
      </c>
      <c r="H1449" s="48" t="n">
        <f aca="false">D1449*(IF($A1449&lt;$Q$1392,INDEX(Surface_Engine!$D$12:$D$72,$A1449+1)+(Surface_Engine!L248*12)*INDEX(Surface_Engine!$F$12:$F$72,$A1449+1)-(Surface_Engine!L248*12),1000*12*INDEX(Surface_Engine!$C$12:$C$72,$A1449+1)/(1+Assumptions!$B$10)^13+INDEX(Surface_Engine!$D$12:$D$72,$A1449+1)))*INDEX(Surface_Engine!$B$12:$B$72,$A1449+1)+H1450</f>
        <v>0</v>
      </c>
      <c r="I1449" s="48" t="n">
        <f aca="false">E1449*(IF($A1449&lt;$Q$1392,INDEX(Surface_Engine!$D$12:$D$72,$A1449+1)+(Surface_Engine!L248*12)*INDEX(Surface_Engine!$F$12:$F$72,$A1449+1)-(Surface_Engine!L248*12),1000*12*INDEX(Surface_Engine!$C$12:$C$72,$A1449+1)/(1+Assumptions!$B$10)^13+INDEX(Surface_Engine!$D$12:$D$72,$A1449+1)))*INDEX(Surface_Engine!$B$12:$B$72,$A1449+1)+I1450</f>
        <v>0</v>
      </c>
      <c r="J1449" s="48" t="n">
        <f aca="false">B1449*(IF($A1449&lt;$Q$1392,INDEX(Surface_Engine!$D$12:$D$72,$A1449+1)*(1+Assumptions!$B$24)+(Surface_Engine!L248*12)*INDEX(Surface_Engine!$F$12:$F$72,$A1449+1)-(Surface_Engine!L248*12),1000*12*INDEX(Surface_Engine!$C$12:$C$72,$A1449+1)/(1+Assumptions!$B$10)^13+INDEX(Surface_Engine!$D$12:$D$72,$A1449+1)*(1+Assumptions!$B$24)))*INDEX(Surface_Engine!$B$12:$B$72,$A1449+1)+J1450</f>
        <v>0</v>
      </c>
      <c r="K1449" s="12" t="n">
        <f aca="false">SQRT((IF(C1449&lt;=0,0,MAX(0,(B1449/C1449)*G1449/INDEX(Surface_Engine!$B$12:$B$72,$A1449+1)-F1449/INDEX(Surface_Engine!$B$12:$B$72,$A1449+1))))^2+(MAX(IF(D1449&lt;=0,0,MAX(0,(B1449/D1449)*H1449/INDEX(Surface_Engine!$B$12:$B$72,$A1449+1)-F1449/INDEX(Surface_Engine!$B$12:$B$72,$A1449+1))),IF(E1449&lt;=0,0,MAX(0,(B1449/E1449)*I1449/INDEX(Surface_Engine!$B$12:$B$72,$A1449+1)-F1449/INDEX(Surface_Engine!$B$12:$B$72,$A1449+1))),IF($A1449&lt;$Q$1392,MAX(0,-Assumptions!$B$22*(F1449/INDEX(Surface_Engine!$B$12:$B$72,$A1449+1))),0)))^2+(MAX(0,J1449/INDEX(Surface_Engine!$B$12:$B$72,$A1449+1)-(F1449/INDEX(Surface_Engine!$B$12:$B$72,$A1449+1))))^2+2*Assumptions!$B$26*(IF(C1449&lt;=0,0,MAX(0,(B1449/C1449)*G1449/INDEX(Surface_Engine!$B$12:$B$72,$A1449+1)-F1449/INDEX(Surface_Engine!$B$12:$B$72,$A1449+1))))*(MAX(IF(D1449&lt;=0,0,MAX(0,(B1449/D1449)*H1449/INDEX(Surface_Engine!$B$12:$B$72,$A1449+1)-F1449/INDEX(Surface_Engine!$B$12:$B$72,$A1449+1))),IF(E1449&lt;=0,0,MAX(0,(B1449/E1449)*I1449/INDEX(Surface_Engine!$B$12:$B$72,$A1449+1)-F1449/INDEX(Surface_Engine!$B$12:$B$72,$A1449+1))),IF($A1449&lt;$Q$1392,MAX(0,-Assumptions!$B$22*(F1449/INDEX(Surface_Engine!$B$12:$B$72,$A1449+1))),0)))+2*Assumptions!$B$27*(IF(C1449&lt;=0,0,MAX(0,(B1449/C1449)*G1449/INDEX(Surface_Engine!$B$12:$B$72,$A1449+1)-F1449/INDEX(Surface_Engine!$B$12:$B$72,$A1449+1))))*(MAX(0,J1449/INDEX(Surface_Engine!$B$12:$B$72,$A1449+1)-(F1449/INDEX(Surface_Engine!$B$12:$B$72,$A1449+1))))+2*Assumptions!$B$28*(MAX(IF(D1449&lt;=0,0,MAX(0,(B1449/D1449)*H1449/INDEX(Surface_Engine!$B$12:$B$72,$A1449+1)-F1449/INDEX(Surface_Engine!$B$12:$B$72,$A1449+1))),IF(E1449&lt;=0,0,MAX(0,(B1449/E1449)*I1449/INDEX(Surface_Engine!$B$12:$B$72,$A1449+1)-F1449/INDEX(Surface_Engine!$B$12:$B$72,$A1449+1))),IF($A1449&lt;$Q$1392,MAX(0,-Assumptions!$B$22*(F1449/INDEX(Surface_Engine!$B$12:$B$72,$A1449+1))),0)))*(MAX(0,J1449/INDEX(Surface_Engine!$B$12:$B$72,$A1449+1)-(F1449/INDEX(Surface_Engine!$B$12:$B$72,$A1449+1)))))</f>
        <v>0</v>
      </c>
      <c r="L1449" s="48" t="n">
        <f aca="false">K1449*INDEX(Surface_Engine!$B$12:$B$72,$A1449+1)+L1450</f>
        <v>0</v>
      </c>
      <c r="M1449" s="48" t="n">
        <f aca="false">M1448+B1448*(IF($A1448&lt;$Q$1392,(Surface_Engine!L248*12)-(Surface_Engine!L248*12)*INDEX(Surface_Engine!$F$12:$F$72,$A1448+1)-INDEX(Surface_Engine!$D$12:$D$72,$A1448+1),-(1000*12*INDEX(Surface_Engine!$C$12:$C$72,$A1448+1)/(1+Assumptions!$B$10)^13+INDEX(Surface_Engine!$D$12:$D$72,$A1448+1))))*INDEX(Surface_Engine!$B$12:$B$72,$A1448+1)</f>
        <v>1511.51791239133</v>
      </c>
      <c r="N1449" s="12" t="n">
        <f aca="false">IF(B1449&lt;=0,0,MAX(0,(K1449+Assumptions!$B$29*L1449/INDEX(Surface_Engine!$B$12:$B$72,$A1449+1)-(M1449/INDEX(Surface_Engine!$B$12:$B$72,$A1449+1)-(F1449/INDEX(Surface_Engine!$B$12:$B$72,$A1449+1))))/B1449))</f>
        <v>0</v>
      </c>
    </row>
    <row r="1450" customFormat="false" ht="15" hidden="false" customHeight="true" outlineLevel="0" collapsed="false">
      <c r="A1450" s="1" t="n">
        <v>56</v>
      </c>
      <c r="B1450" s="32" t="n">
        <f aca="false">INDEX(Surface_Engine!$S$12:$S$72,$A1450+1)*IF($A1450&lt;$Q$1392,INDEX(Surface_Engine!$E$12:$E$72,$A1450+1),INDEX(Surface_Engine!$E$12:$E$72,$Q$1392+1))</f>
        <v>0</v>
      </c>
      <c r="C1450" s="32" t="n">
        <f aca="false">INDEX(Panel_Reserving!$G$8:$G$68,$A1450+1)*IF($A1450&lt;$Q$1392,INDEX(Surface_Engine!$E$12:$E$72,$A1450+1),INDEX(Surface_Engine!$E$12:$E$72,$Q$1392+1))</f>
        <v>0</v>
      </c>
      <c r="D1450" s="32" t="n">
        <f aca="false">INDEX(Surface_Engine!$S$12:$S$72,$A1450+1)*IF($A1450&lt;$Q$1392,INDEX(Surface_Engine!$Y$12:$Y$72,$A1450+1),INDEX(Surface_Engine!$Y$12:$Y$72,$Q$1392+1))</f>
        <v>0</v>
      </c>
      <c r="E1450" s="32" t="n">
        <f aca="false">INDEX(Surface_Engine!$S$12:$S$72,$A1450+1)*IF($A1450&lt;$Q$1392,INDEX(Surface_Engine!$Z$12:$Z$72,$A1450+1),INDEX(Surface_Engine!$Z$12:$Z$72,$Q$1392+1))</f>
        <v>0</v>
      </c>
      <c r="F1450" s="48" t="n">
        <f aca="false">B1450*(IF($A1450&lt;$Q$1392,INDEX(Surface_Engine!$D$12:$D$72,$A1450+1)+(Surface_Engine!L248*12)*INDEX(Surface_Engine!$F$12:$F$72,$A1450+1)-(Surface_Engine!L248*12),1000*12*INDEX(Surface_Engine!$C$12:$C$72,$A1450+1)/(1+Assumptions!$B$10)^13+INDEX(Surface_Engine!$D$12:$D$72,$A1450+1)))*INDEX(Surface_Engine!$B$12:$B$72,$A1450+1)+F1451</f>
        <v>0</v>
      </c>
      <c r="G1450" s="48" t="n">
        <f aca="false">C1450*(IF($A1450&lt;$Q$1392,INDEX(Surface_Engine!$D$12:$D$72,$A1450+1)+(Surface_Engine!L248*12)*INDEX(Surface_Engine!$F$12:$F$72,$A1450+1)-(Surface_Engine!L248*12),1000*12*INDEX(Surface_Engine!$C$12:$C$72,$A1450+1)/(1+Assumptions!$B$10)^13+INDEX(Surface_Engine!$D$12:$D$72,$A1450+1)))*INDEX(Surface_Engine!$B$12:$B$72,$A1450+1)+G1451</f>
        <v>0</v>
      </c>
      <c r="H1450" s="48" t="n">
        <f aca="false">D1450*(IF($A1450&lt;$Q$1392,INDEX(Surface_Engine!$D$12:$D$72,$A1450+1)+(Surface_Engine!L248*12)*INDEX(Surface_Engine!$F$12:$F$72,$A1450+1)-(Surface_Engine!L248*12),1000*12*INDEX(Surface_Engine!$C$12:$C$72,$A1450+1)/(1+Assumptions!$B$10)^13+INDEX(Surface_Engine!$D$12:$D$72,$A1450+1)))*INDEX(Surface_Engine!$B$12:$B$72,$A1450+1)+H1451</f>
        <v>0</v>
      </c>
      <c r="I1450" s="48" t="n">
        <f aca="false">E1450*(IF($A1450&lt;$Q$1392,INDEX(Surface_Engine!$D$12:$D$72,$A1450+1)+(Surface_Engine!L248*12)*INDEX(Surface_Engine!$F$12:$F$72,$A1450+1)-(Surface_Engine!L248*12),1000*12*INDEX(Surface_Engine!$C$12:$C$72,$A1450+1)/(1+Assumptions!$B$10)^13+INDEX(Surface_Engine!$D$12:$D$72,$A1450+1)))*INDEX(Surface_Engine!$B$12:$B$72,$A1450+1)+I1451</f>
        <v>0</v>
      </c>
      <c r="J1450" s="48" t="n">
        <f aca="false">B1450*(IF($A1450&lt;$Q$1392,INDEX(Surface_Engine!$D$12:$D$72,$A1450+1)*(1+Assumptions!$B$24)+(Surface_Engine!L248*12)*INDEX(Surface_Engine!$F$12:$F$72,$A1450+1)-(Surface_Engine!L248*12),1000*12*INDEX(Surface_Engine!$C$12:$C$72,$A1450+1)/(1+Assumptions!$B$10)^13+INDEX(Surface_Engine!$D$12:$D$72,$A1450+1)*(1+Assumptions!$B$24)))*INDEX(Surface_Engine!$B$12:$B$72,$A1450+1)+J1451</f>
        <v>0</v>
      </c>
      <c r="K1450" s="12" t="n">
        <f aca="false">SQRT((IF(C1450&lt;=0,0,MAX(0,(B1450/C1450)*G1450/INDEX(Surface_Engine!$B$12:$B$72,$A1450+1)-F1450/INDEX(Surface_Engine!$B$12:$B$72,$A1450+1))))^2+(MAX(IF(D1450&lt;=0,0,MAX(0,(B1450/D1450)*H1450/INDEX(Surface_Engine!$B$12:$B$72,$A1450+1)-F1450/INDEX(Surface_Engine!$B$12:$B$72,$A1450+1))),IF(E1450&lt;=0,0,MAX(0,(B1450/E1450)*I1450/INDEX(Surface_Engine!$B$12:$B$72,$A1450+1)-F1450/INDEX(Surface_Engine!$B$12:$B$72,$A1450+1))),IF($A1450&lt;$Q$1392,MAX(0,-Assumptions!$B$22*(F1450/INDEX(Surface_Engine!$B$12:$B$72,$A1450+1))),0)))^2+(MAX(0,J1450/INDEX(Surface_Engine!$B$12:$B$72,$A1450+1)-(F1450/INDEX(Surface_Engine!$B$12:$B$72,$A1450+1))))^2+2*Assumptions!$B$26*(IF(C1450&lt;=0,0,MAX(0,(B1450/C1450)*G1450/INDEX(Surface_Engine!$B$12:$B$72,$A1450+1)-F1450/INDEX(Surface_Engine!$B$12:$B$72,$A1450+1))))*(MAX(IF(D1450&lt;=0,0,MAX(0,(B1450/D1450)*H1450/INDEX(Surface_Engine!$B$12:$B$72,$A1450+1)-F1450/INDEX(Surface_Engine!$B$12:$B$72,$A1450+1))),IF(E1450&lt;=0,0,MAX(0,(B1450/E1450)*I1450/INDEX(Surface_Engine!$B$12:$B$72,$A1450+1)-F1450/INDEX(Surface_Engine!$B$12:$B$72,$A1450+1))),IF($A1450&lt;$Q$1392,MAX(0,-Assumptions!$B$22*(F1450/INDEX(Surface_Engine!$B$12:$B$72,$A1450+1))),0)))+2*Assumptions!$B$27*(IF(C1450&lt;=0,0,MAX(0,(B1450/C1450)*G1450/INDEX(Surface_Engine!$B$12:$B$72,$A1450+1)-F1450/INDEX(Surface_Engine!$B$12:$B$72,$A1450+1))))*(MAX(0,J1450/INDEX(Surface_Engine!$B$12:$B$72,$A1450+1)-(F1450/INDEX(Surface_Engine!$B$12:$B$72,$A1450+1))))+2*Assumptions!$B$28*(MAX(IF(D1450&lt;=0,0,MAX(0,(B1450/D1450)*H1450/INDEX(Surface_Engine!$B$12:$B$72,$A1450+1)-F1450/INDEX(Surface_Engine!$B$12:$B$72,$A1450+1))),IF(E1450&lt;=0,0,MAX(0,(B1450/E1450)*I1450/INDEX(Surface_Engine!$B$12:$B$72,$A1450+1)-F1450/INDEX(Surface_Engine!$B$12:$B$72,$A1450+1))),IF($A1450&lt;$Q$1392,MAX(0,-Assumptions!$B$22*(F1450/INDEX(Surface_Engine!$B$12:$B$72,$A1450+1))),0)))*(MAX(0,J1450/INDEX(Surface_Engine!$B$12:$B$72,$A1450+1)-(F1450/INDEX(Surface_Engine!$B$12:$B$72,$A1450+1)))))</f>
        <v>0</v>
      </c>
      <c r="L1450" s="48" t="n">
        <f aca="false">K1450*INDEX(Surface_Engine!$B$12:$B$72,$A1450+1)+L1451</f>
        <v>0</v>
      </c>
      <c r="M1450" s="48" t="n">
        <f aca="false">M1449+B1449*(IF($A1449&lt;$Q$1392,(Surface_Engine!L248*12)-(Surface_Engine!L248*12)*INDEX(Surface_Engine!$F$12:$F$72,$A1449+1)-INDEX(Surface_Engine!$D$12:$D$72,$A1449+1),-(1000*12*INDEX(Surface_Engine!$C$12:$C$72,$A1449+1)/(1+Assumptions!$B$10)^13+INDEX(Surface_Engine!$D$12:$D$72,$A1449+1))))*INDEX(Surface_Engine!$B$12:$B$72,$A1449+1)</f>
        <v>1511.51791239133</v>
      </c>
      <c r="N1450" s="12" t="n">
        <f aca="false">IF(B1450&lt;=0,0,MAX(0,(K1450+Assumptions!$B$29*L1450/INDEX(Surface_Engine!$B$12:$B$72,$A1450+1)-(M1450/INDEX(Surface_Engine!$B$12:$B$72,$A1450+1)-(F1450/INDEX(Surface_Engine!$B$12:$B$72,$A1450+1))))/B1450))</f>
        <v>0</v>
      </c>
    </row>
    <row r="1451" customFormat="false" ht="15" hidden="false" customHeight="true" outlineLevel="0" collapsed="false">
      <c r="A1451" s="1" t="n">
        <v>57</v>
      </c>
      <c r="B1451" s="32" t="n">
        <f aca="false">INDEX(Surface_Engine!$S$12:$S$72,$A1451+1)*IF($A1451&lt;$Q$1392,INDEX(Surface_Engine!$E$12:$E$72,$A1451+1),INDEX(Surface_Engine!$E$12:$E$72,$Q$1392+1))</f>
        <v>0</v>
      </c>
      <c r="C1451" s="32" t="n">
        <f aca="false">INDEX(Panel_Reserving!$G$8:$G$68,$A1451+1)*IF($A1451&lt;$Q$1392,INDEX(Surface_Engine!$E$12:$E$72,$A1451+1),INDEX(Surface_Engine!$E$12:$E$72,$Q$1392+1))</f>
        <v>0</v>
      </c>
      <c r="D1451" s="32" t="n">
        <f aca="false">INDEX(Surface_Engine!$S$12:$S$72,$A1451+1)*IF($A1451&lt;$Q$1392,INDEX(Surface_Engine!$Y$12:$Y$72,$A1451+1),INDEX(Surface_Engine!$Y$12:$Y$72,$Q$1392+1))</f>
        <v>0</v>
      </c>
      <c r="E1451" s="32" t="n">
        <f aca="false">INDEX(Surface_Engine!$S$12:$S$72,$A1451+1)*IF($A1451&lt;$Q$1392,INDEX(Surface_Engine!$Z$12:$Z$72,$A1451+1),INDEX(Surface_Engine!$Z$12:$Z$72,$Q$1392+1))</f>
        <v>0</v>
      </c>
      <c r="F1451" s="48" t="n">
        <f aca="false">B1451*(IF($A1451&lt;$Q$1392,INDEX(Surface_Engine!$D$12:$D$72,$A1451+1)+(Surface_Engine!L248*12)*INDEX(Surface_Engine!$F$12:$F$72,$A1451+1)-(Surface_Engine!L248*12),1000*12*INDEX(Surface_Engine!$C$12:$C$72,$A1451+1)/(1+Assumptions!$B$10)^13+INDEX(Surface_Engine!$D$12:$D$72,$A1451+1)))*INDEX(Surface_Engine!$B$12:$B$72,$A1451+1)+F1452</f>
        <v>0</v>
      </c>
      <c r="G1451" s="48" t="n">
        <f aca="false">C1451*(IF($A1451&lt;$Q$1392,INDEX(Surface_Engine!$D$12:$D$72,$A1451+1)+(Surface_Engine!L248*12)*INDEX(Surface_Engine!$F$12:$F$72,$A1451+1)-(Surface_Engine!L248*12),1000*12*INDEX(Surface_Engine!$C$12:$C$72,$A1451+1)/(1+Assumptions!$B$10)^13+INDEX(Surface_Engine!$D$12:$D$72,$A1451+1)))*INDEX(Surface_Engine!$B$12:$B$72,$A1451+1)+G1452</f>
        <v>0</v>
      </c>
      <c r="H1451" s="48" t="n">
        <f aca="false">D1451*(IF($A1451&lt;$Q$1392,INDEX(Surface_Engine!$D$12:$D$72,$A1451+1)+(Surface_Engine!L248*12)*INDEX(Surface_Engine!$F$12:$F$72,$A1451+1)-(Surface_Engine!L248*12),1000*12*INDEX(Surface_Engine!$C$12:$C$72,$A1451+1)/(1+Assumptions!$B$10)^13+INDEX(Surface_Engine!$D$12:$D$72,$A1451+1)))*INDEX(Surface_Engine!$B$12:$B$72,$A1451+1)+H1452</f>
        <v>0</v>
      </c>
      <c r="I1451" s="48" t="n">
        <f aca="false">E1451*(IF($A1451&lt;$Q$1392,INDEX(Surface_Engine!$D$12:$D$72,$A1451+1)+(Surface_Engine!L248*12)*INDEX(Surface_Engine!$F$12:$F$72,$A1451+1)-(Surface_Engine!L248*12),1000*12*INDEX(Surface_Engine!$C$12:$C$72,$A1451+1)/(1+Assumptions!$B$10)^13+INDEX(Surface_Engine!$D$12:$D$72,$A1451+1)))*INDEX(Surface_Engine!$B$12:$B$72,$A1451+1)+I1452</f>
        <v>0</v>
      </c>
      <c r="J1451" s="48" t="n">
        <f aca="false">B1451*(IF($A1451&lt;$Q$1392,INDEX(Surface_Engine!$D$12:$D$72,$A1451+1)*(1+Assumptions!$B$24)+(Surface_Engine!L248*12)*INDEX(Surface_Engine!$F$12:$F$72,$A1451+1)-(Surface_Engine!L248*12),1000*12*INDEX(Surface_Engine!$C$12:$C$72,$A1451+1)/(1+Assumptions!$B$10)^13+INDEX(Surface_Engine!$D$12:$D$72,$A1451+1)*(1+Assumptions!$B$24)))*INDEX(Surface_Engine!$B$12:$B$72,$A1451+1)+J1452</f>
        <v>0</v>
      </c>
      <c r="K1451" s="12" t="n">
        <f aca="false">SQRT((IF(C1451&lt;=0,0,MAX(0,(B1451/C1451)*G1451/INDEX(Surface_Engine!$B$12:$B$72,$A1451+1)-F1451/INDEX(Surface_Engine!$B$12:$B$72,$A1451+1))))^2+(MAX(IF(D1451&lt;=0,0,MAX(0,(B1451/D1451)*H1451/INDEX(Surface_Engine!$B$12:$B$72,$A1451+1)-F1451/INDEX(Surface_Engine!$B$12:$B$72,$A1451+1))),IF(E1451&lt;=0,0,MAX(0,(B1451/E1451)*I1451/INDEX(Surface_Engine!$B$12:$B$72,$A1451+1)-F1451/INDEX(Surface_Engine!$B$12:$B$72,$A1451+1))),IF($A1451&lt;$Q$1392,MAX(0,-Assumptions!$B$22*(F1451/INDEX(Surface_Engine!$B$12:$B$72,$A1451+1))),0)))^2+(MAX(0,J1451/INDEX(Surface_Engine!$B$12:$B$72,$A1451+1)-(F1451/INDEX(Surface_Engine!$B$12:$B$72,$A1451+1))))^2+2*Assumptions!$B$26*(IF(C1451&lt;=0,0,MAX(0,(B1451/C1451)*G1451/INDEX(Surface_Engine!$B$12:$B$72,$A1451+1)-F1451/INDEX(Surface_Engine!$B$12:$B$72,$A1451+1))))*(MAX(IF(D1451&lt;=0,0,MAX(0,(B1451/D1451)*H1451/INDEX(Surface_Engine!$B$12:$B$72,$A1451+1)-F1451/INDEX(Surface_Engine!$B$12:$B$72,$A1451+1))),IF(E1451&lt;=0,0,MAX(0,(B1451/E1451)*I1451/INDEX(Surface_Engine!$B$12:$B$72,$A1451+1)-F1451/INDEX(Surface_Engine!$B$12:$B$72,$A1451+1))),IF($A1451&lt;$Q$1392,MAX(0,-Assumptions!$B$22*(F1451/INDEX(Surface_Engine!$B$12:$B$72,$A1451+1))),0)))+2*Assumptions!$B$27*(IF(C1451&lt;=0,0,MAX(0,(B1451/C1451)*G1451/INDEX(Surface_Engine!$B$12:$B$72,$A1451+1)-F1451/INDEX(Surface_Engine!$B$12:$B$72,$A1451+1))))*(MAX(0,J1451/INDEX(Surface_Engine!$B$12:$B$72,$A1451+1)-(F1451/INDEX(Surface_Engine!$B$12:$B$72,$A1451+1))))+2*Assumptions!$B$28*(MAX(IF(D1451&lt;=0,0,MAX(0,(B1451/D1451)*H1451/INDEX(Surface_Engine!$B$12:$B$72,$A1451+1)-F1451/INDEX(Surface_Engine!$B$12:$B$72,$A1451+1))),IF(E1451&lt;=0,0,MAX(0,(B1451/E1451)*I1451/INDEX(Surface_Engine!$B$12:$B$72,$A1451+1)-F1451/INDEX(Surface_Engine!$B$12:$B$72,$A1451+1))),IF($A1451&lt;$Q$1392,MAX(0,-Assumptions!$B$22*(F1451/INDEX(Surface_Engine!$B$12:$B$72,$A1451+1))),0)))*(MAX(0,J1451/INDEX(Surface_Engine!$B$12:$B$72,$A1451+1)-(F1451/INDEX(Surface_Engine!$B$12:$B$72,$A1451+1)))))</f>
        <v>0</v>
      </c>
      <c r="L1451" s="48" t="n">
        <f aca="false">K1451*INDEX(Surface_Engine!$B$12:$B$72,$A1451+1)+L1452</f>
        <v>0</v>
      </c>
      <c r="M1451" s="48" t="n">
        <f aca="false">M1450+B1450*(IF($A1450&lt;$Q$1392,(Surface_Engine!L248*12)-(Surface_Engine!L248*12)*INDEX(Surface_Engine!$F$12:$F$72,$A1450+1)-INDEX(Surface_Engine!$D$12:$D$72,$A1450+1),-(1000*12*INDEX(Surface_Engine!$C$12:$C$72,$A1450+1)/(1+Assumptions!$B$10)^13+INDEX(Surface_Engine!$D$12:$D$72,$A1450+1))))*INDEX(Surface_Engine!$B$12:$B$72,$A1450+1)</f>
        <v>1511.51791239133</v>
      </c>
      <c r="N1451" s="12" t="n">
        <f aca="false">IF(B1451&lt;=0,0,MAX(0,(K1451+Assumptions!$B$29*L1451/INDEX(Surface_Engine!$B$12:$B$72,$A1451+1)-(M1451/INDEX(Surface_Engine!$B$12:$B$72,$A1451+1)-(F1451/INDEX(Surface_Engine!$B$12:$B$72,$A1451+1))))/B1451))</f>
        <v>0</v>
      </c>
    </row>
    <row r="1452" customFormat="false" ht="15" hidden="false" customHeight="true" outlineLevel="0" collapsed="false">
      <c r="A1452" s="1" t="n">
        <v>58</v>
      </c>
      <c r="B1452" s="32" t="n">
        <f aca="false">INDEX(Surface_Engine!$S$12:$S$72,$A1452+1)*IF($A1452&lt;$Q$1392,INDEX(Surface_Engine!$E$12:$E$72,$A1452+1),INDEX(Surface_Engine!$E$12:$E$72,$Q$1392+1))</f>
        <v>0</v>
      </c>
      <c r="C1452" s="32" t="n">
        <f aca="false">INDEX(Panel_Reserving!$G$8:$G$68,$A1452+1)*IF($A1452&lt;$Q$1392,INDEX(Surface_Engine!$E$12:$E$72,$A1452+1),INDEX(Surface_Engine!$E$12:$E$72,$Q$1392+1))</f>
        <v>0</v>
      </c>
      <c r="D1452" s="32" t="n">
        <f aca="false">INDEX(Surface_Engine!$S$12:$S$72,$A1452+1)*IF($A1452&lt;$Q$1392,INDEX(Surface_Engine!$Y$12:$Y$72,$A1452+1),INDEX(Surface_Engine!$Y$12:$Y$72,$Q$1392+1))</f>
        <v>0</v>
      </c>
      <c r="E1452" s="32" t="n">
        <f aca="false">INDEX(Surface_Engine!$S$12:$S$72,$A1452+1)*IF($A1452&lt;$Q$1392,INDEX(Surface_Engine!$Z$12:$Z$72,$A1452+1),INDEX(Surface_Engine!$Z$12:$Z$72,$Q$1392+1))</f>
        <v>0</v>
      </c>
      <c r="F1452" s="48" t="n">
        <f aca="false">B1452*(IF($A1452&lt;$Q$1392,INDEX(Surface_Engine!$D$12:$D$72,$A1452+1)+(Surface_Engine!L248*12)*INDEX(Surface_Engine!$F$12:$F$72,$A1452+1)-(Surface_Engine!L248*12),1000*12*INDEX(Surface_Engine!$C$12:$C$72,$A1452+1)/(1+Assumptions!$B$10)^13+INDEX(Surface_Engine!$D$12:$D$72,$A1452+1)))*INDEX(Surface_Engine!$B$12:$B$72,$A1452+1)+F1453</f>
        <v>0</v>
      </c>
      <c r="G1452" s="48" t="n">
        <f aca="false">C1452*(IF($A1452&lt;$Q$1392,INDEX(Surface_Engine!$D$12:$D$72,$A1452+1)+(Surface_Engine!L248*12)*INDEX(Surface_Engine!$F$12:$F$72,$A1452+1)-(Surface_Engine!L248*12),1000*12*INDEX(Surface_Engine!$C$12:$C$72,$A1452+1)/(1+Assumptions!$B$10)^13+INDEX(Surface_Engine!$D$12:$D$72,$A1452+1)))*INDEX(Surface_Engine!$B$12:$B$72,$A1452+1)+G1453</f>
        <v>0</v>
      </c>
      <c r="H1452" s="48" t="n">
        <f aca="false">D1452*(IF($A1452&lt;$Q$1392,INDEX(Surface_Engine!$D$12:$D$72,$A1452+1)+(Surface_Engine!L248*12)*INDEX(Surface_Engine!$F$12:$F$72,$A1452+1)-(Surface_Engine!L248*12),1000*12*INDEX(Surface_Engine!$C$12:$C$72,$A1452+1)/(1+Assumptions!$B$10)^13+INDEX(Surface_Engine!$D$12:$D$72,$A1452+1)))*INDEX(Surface_Engine!$B$12:$B$72,$A1452+1)+H1453</f>
        <v>0</v>
      </c>
      <c r="I1452" s="48" t="n">
        <f aca="false">E1452*(IF($A1452&lt;$Q$1392,INDEX(Surface_Engine!$D$12:$D$72,$A1452+1)+(Surface_Engine!L248*12)*INDEX(Surface_Engine!$F$12:$F$72,$A1452+1)-(Surface_Engine!L248*12),1000*12*INDEX(Surface_Engine!$C$12:$C$72,$A1452+1)/(1+Assumptions!$B$10)^13+INDEX(Surface_Engine!$D$12:$D$72,$A1452+1)))*INDEX(Surface_Engine!$B$12:$B$72,$A1452+1)+I1453</f>
        <v>0</v>
      </c>
      <c r="J1452" s="48" t="n">
        <f aca="false">B1452*(IF($A1452&lt;$Q$1392,INDEX(Surface_Engine!$D$12:$D$72,$A1452+1)*(1+Assumptions!$B$24)+(Surface_Engine!L248*12)*INDEX(Surface_Engine!$F$12:$F$72,$A1452+1)-(Surface_Engine!L248*12),1000*12*INDEX(Surface_Engine!$C$12:$C$72,$A1452+1)/(1+Assumptions!$B$10)^13+INDEX(Surface_Engine!$D$12:$D$72,$A1452+1)*(1+Assumptions!$B$24)))*INDEX(Surface_Engine!$B$12:$B$72,$A1452+1)+J1453</f>
        <v>0</v>
      </c>
      <c r="K1452" s="12" t="n">
        <f aca="false">SQRT((IF(C1452&lt;=0,0,MAX(0,(B1452/C1452)*G1452/INDEX(Surface_Engine!$B$12:$B$72,$A1452+1)-F1452/INDEX(Surface_Engine!$B$12:$B$72,$A1452+1))))^2+(MAX(IF(D1452&lt;=0,0,MAX(0,(B1452/D1452)*H1452/INDEX(Surface_Engine!$B$12:$B$72,$A1452+1)-F1452/INDEX(Surface_Engine!$B$12:$B$72,$A1452+1))),IF(E1452&lt;=0,0,MAX(0,(B1452/E1452)*I1452/INDEX(Surface_Engine!$B$12:$B$72,$A1452+1)-F1452/INDEX(Surface_Engine!$B$12:$B$72,$A1452+1))),IF($A1452&lt;$Q$1392,MAX(0,-Assumptions!$B$22*(F1452/INDEX(Surface_Engine!$B$12:$B$72,$A1452+1))),0)))^2+(MAX(0,J1452/INDEX(Surface_Engine!$B$12:$B$72,$A1452+1)-(F1452/INDEX(Surface_Engine!$B$12:$B$72,$A1452+1))))^2+2*Assumptions!$B$26*(IF(C1452&lt;=0,0,MAX(0,(B1452/C1452)*G1452/INDEX(Surface_Engine!$B$12:$B$72,$A1452+1)-F1452/INDEX(Surface_Engine!$B$12:$B$72,$A1452+1))))*(MAX(IF(D1452&lt;=0,0,MAX(0,(B1452/D1452)*H1452/INDEX(Surface_Engine!$B$12:$B$72,$A1452+1)-F1452/INDEX(Surface_Engine!$B$12:$B$72,$A1452+1))),IF(E1452&lt;=0,0,MAX(0,(B1452/E1452)*I1452/INDEX(Surface_Engine!$B$12:$B$72,$A1452+1)-F1452/INDEX(Surface_Engine!$B$12:$B$72,$A1452+1))),IF($A1452&lt;$Q$1392,MAX(0,-Assumptions!$B$22*(F1452/INDEX(Surface_Engine!$B$12:$B$72,$A1452+1))),0)))+2*Assumptions!$B$27*(IF(C1452&lt;=0,0,MAX(0,(B1452/C1452)*G1452/INDEX(Surface_Engine!$B$12:$B$72,$A1452+1)-F1452/INDEX(Surface_Engine!$B$12:$B$72,$A1452+1))))*(MAX(0,J1452/INDEX(Surface_Engine!$B$12:$B$72,$A1452+1)-(F1452/INDEX(Surface_Engine!$B$12:$B$72,$A1452+1))))+2*Assumptions!$B$28*(MAX(IF(D1452&lt;=0,0,MAX(0,(B1452/D1452)*H1452/INDEX(Surface_Engine!$B$12:$B$72,$A1452+1)-F1452/INDEX(Surface_Engine!$B$12:$B$72,$A1452+1))),IF(E1452&lt;=0,0,MAX(0,(B1452/E1452)*I1452/INDEX(Surface_Engine!$B$12:$B$72,$A1452+1)-F1452/INDEX(Surface_Engine!$B$12:$B$72,$A1452+1))),IF($A1452&lt;$Q$1392,MAX(0,-Assumptions!$B$22*(F1452/INDEX(Surface_Engine!$B$12:$B$72,$A1452+1))),0)))*(MAX(0,J1452/INDEX(Surface_Engine!$B$12:$B$72,$A1452+1)-(F1452/INDEX(Surface_Engine!$B$12:$B$72,$A1452+1)))))</f>
        <v>0</v>
      </c>
      <c r="L1452" s="48" t="n">
        <f aca="false">K1452*INDEX(Surface_Engine!$B$12:$B$72,$A1452+1)+L1453</f>
        <v>0</v>
      </c>
      <c r="M1452" s="48" t="n">
        <f aca="false">M1451+B1451*(IF($A1451&lt;$Q$1392,(Surface_Engine!L248*12)-(Surface_Engine!L248*12)*INDEX(Surface_Engine!$F$12:$F$72,$A1451+1)-INDEX(Surface_Engine!$D$12:$D$72,$A1451+1),-(1000*12*INDEX(Surface_Engine!$C$12:$C$72,$A1451+1)/(1+Assumptions!$B$10)^13+INDEX(Surface_Engine!$D$12:$D$72,$A1451+1))))*INDEX(Surface_Engine!$B$12:$B$72,$A1451+1)</f>
        <v>1511.51791239133</v>
      </c>
      <c r="N1452" s="12" t="n">
        <f aca="false">IF(B1452&lt;=0,0,MAX(0,(K1452+Assumptions!$B$29*L1452/INDEX(Surface_Engine!$B$12:$B$72,$A1452+1)-(M1452/INDEX(Surface_Engine!$B$12:$B$72,$A1452+1)-(F1452/INDEX(Surface_Engine!$B$12:$B$72,$A1452+1))))/B1452))</f>
        <v>0</v>
      </c>
    </row>
    <row r="1453" customFormat="false" ht="15" hidden="false" customHeight="true" outlineLevel="0" collapsed="false">
      <c r="A1453" s="1" t="n">
        <v>59</v>
      </c>
      <c r="B1453" s="32" t="n">
        <f aca="false">INDEX(Surface_Engine!$S$12:$S$72,$A1453+1)*IF($A1453&lt;$Q$1392,INDEX(Surface_Engine!$E$12:$E$72,$A1453+1),INDEX(Surface_Engine!$E$12:$E$72,$Q$1392+1))</f>
        <v>0</v>
      </c>
      <c r="C1453" s="32" t="n">
        <f aca="false">INDEX(Panel_Reserving!$G$8:$G$68,$A1453+1)*IF($A1453&lt;$Q$1392,INDEX(Surface_Engine!$E$12:$E$72,$A1453+1),INDEX(Surface_Engine!$E$12:$E$72,$Q$1392+1))</f>
        <v>0</v>
      </c>
      <c r="D1453" s="32" t="n">
        <f aca="false">INDEX(Surface_Engine!$S$12:$S$72,$A1453+1)*IF($A1453&lt;$Q$1392,INDEX(Surface_Engine!$Y$12:$Y$72,$A1453+1),INDEX(Surface_Engine!$Y$12:$Y$72,$Q$1392+1))</f>
        <v>0</v>
      </c>
      <c r="E1453" s="32" t="n">
        <f aca="false">INDEX(Surface_Engine!$S$12:$S$72,$A1453+1)*IF($A1453&lt;$Q$1392,INDEX(Surface_Engine!$Z$12:$Z$72,$A1453+1),INDEX(Surface_Engine!$Z$12:$Z$72,$Q$1392+1))</f>
        <v>0</v>
      </c>
      <c r="F1453" s="48" t="n">
        <f aca="false">B1453*(IF($A1453&lt;$Q$1392,INDEX(Surface_Engine!$D$12:$D$72,$A1453+1)+(Surface_Engine!L248*12)*INDEX(Surface_Engine!$F$12:$F$72,$A1453+1)-(Surface_Engine!L248*12),1000*12*INDEX(Surface_Engine!$C$12:$C$72,$A1453+1)/(1+Assumptions!$B$10)^13+INDEX(Surface_Engine!$D$12:$D$72,$A1453+1)))*INDEX(Surface_Engine!$B$12:$B$72,$A1453+1)+F1454</f>
        <v>0</v>
      </c>
      <c r="G1453" s="48" t="n">
        <f aca="false">C1453*(IF($A1453&lt;$Q$1392,INDEX(Surface_Engine!$D$12:$D$72,$A1453+1)+(Surface_Engine!L248*12)*INDEX(Surface_Engine!$F$12:$F$72,$A1453+1)-(Surface_Engine!L248*12),1000*12*INDEX(Surface_Engine!$C$12:$C$72,$A1453+1)/(1+Assumptions!$B$10)^13+INDEX(Surface_Engine!$D$12:$D$72,$A1453+1)))*INDEX(Surface_Engine!$B$12:$B$72,$A1453+1)+G1454</f>
        <v>0</v>
      </c>
      <c r="H1453" s="48" t="n">
        <f aca="false">D1453*(IF($A1453&lt;$Q$1392,INDEX(Surface_Engine!$D$12:$D$72,$A1453+1)+(Surface_Engine!L248*12)*INDEX(Surface_Engine!$F$12:$F$72,$A1453+1)-(Surface_Engine!L248*12),1000*12*INDEX(Surface_Engine!$C$12:$C$72,$A1453+1)/(1+Assumptions!$B$10)^13+INDEX(Surface_Engine!$D$12:$D$72,$A1453+1)))*INDEX(Surface_Engine!$B$12:$B$72,$A1453+1)+H1454</f>
        <v>0</v>
      </c>
      <c r="I1453" s="48" t="n">
        <f aca="false">E1453*(IF($A1453&lt;$Q$1392,INDEX(Surface_Engine!$D$12:$D$72,$A1453+1)+(Surface_Engine!L248*12)*INDEX(Surface_Engine!$F$12:$F$72,$A1453+1)-(Surface_Engine!L248*12),1000*12*INDEX(Surface_Engine!$C$12:$C$72,$A1453+1)/(1+Assumptions!$B$10)^13+INDEX(Surface_Engine!$D$12:$D$72,$A1453+1)))*INDEX(Surface_Engine!$B$12:$B$72,$A1453+1)+I1454</f>
        <v>0</v>
      </c>
      <c r="J1453" s="48" t="n">
        <f aca="false">B1453*(IF($A1453&lt;$Q$1392,INDEX(Surface_Engine!$D$12:$D$72,$A1453+1)*(1+Assumptions!$B$24)+(Surface_Engine!L248*12)*INDEX(Surface_Engine!$F$12:$F$72,$A1453+1)-(Surface_Engine!L248*12),1000*12*INDEX(Surface_Engine!$C$12:$C$72,$A1453+1)/(1+Assumptions!$B$10)^13+INDEX(Surface_Engine!$D$12:$D$72,$A1453+1)*(1+Assumptions!$B$24)))*INDEX(Surface_Engine!$B$12:$B$72,$A1453+1)+J1454</f>
        <v>0</v>
      </c>
      <c r="K1453" s="12" t="n">
        <f aca="false">SQRT((IF(C1453&lt;=0,0,MAX(0,(B1453/C1453)*G1453/INDEX(Surface_Engine!$B$12:$B$72,$A1453+1)-F1453/INDEX(Surface_Engine!$B$12:$B$72,$A1453+1))))^2+(MAX(IF(D1453&lt;=0,0,MAX(0,(B1453/D1453)*H1453/INDEX(Surface_Engine!$B$12:$B$72,$A1453+1)-F1453/INDEX(Surface_Engine!$B$12:$B$72,$A1453+1))),IF(E1453&lt;=0,0,MAX(0,(B1453/E1453)*I1453/INDEX(Surface_Engine!$B$12:$B$72,$A1453+1)-F1453/INDEX(Surface_Engine!$B$12:$B$72,$A1453+1))),IF($A1453&lt;$Q$1392,MAX(0,-Assumptions!$B$22*(F1453/INDEX(Surface_Engine!$B$12:$B$72,$A1453+1))),0)))^2+(MAX(0,J1453/INDEX(Surface_Engine!$B$12:$B$72,$A1453+1)-(F1453/INDEX(Surface_Engine!$B$12:$B$72,$A1453+1))))^2+2*Assumptions!$B$26*(IF(C1453&lt;=0,0,MAX(0,(B1453/C1453)*G1453/INDEX(Surface_Engine!$B$12:$B$72,$A1453+1)-F1453/INDEX(Surface_Engine!$B$12:$B$72,$A1453+1))))*(MAX(IF(D1453&lt;=0,0,MAX(0,(B1453/D1453)*H1453/INDEX(Surface_Engine!$B$12:$B$72,$A1453+1)-F1453/INDEX(Surface_Engine!$B$12:$B$72,$A1453+1))),IF(E1453&lt;=0,0,MAX(0,(B1453/E1453)*I1453/INDEX(Surface_Engine!$B$12:$B$72,$A1453+1)-F1453/INDEX(Surface_Engine!$B$12:$B$72,$A1453+1))),IF($A1453&lt;$Q$1392,MAX(0,-Assumptions!$B$22*(F1453/INDEX(Surface_Engine!$B$12:$B$72,$A1453+1))),0)))+2*Assumptions!$B$27*(IF(C1453&lt;=0,0,MAX(0,(B1453/C1453)*G1453/INDEX(Surface_Engine!$B$12:$B$72,$A1453+1)-F1453/INDEX(Surface_Engine!$B$12:$B$72,$A1453+1))))*(MAX(0,J1453/INDEX(Surface_Engine!$B$12:$B$72,$A1453+1)-(F1453/INDEX(Surface_Engine!$B$12:$B$72,$A1453+1))))+2*Assumptions!$B$28*(MAX(IF(D1453&lt;=0,0,MAX(0,(B1453/D1453)*H1453/INDEX(Surface_Engine!$B$12:$B$72,$A1453+1)-F1453/INDEX(Surface_Engine!$B$12:$B$72,$A1453+1))),IF(E1453&lt;=0,0,MAX(0,(B1453/E1453)*I1453/INDEX(Surface_Engine!$B$12:$B$72,$A1453+1)-F1453/INDEX(Surface_Engine!$B$12:$B$72,$A1453+1))),IF($A1453&lt;$Q$1392,MAX(0,-Assumptions!$B$22*(F1453/INDEX(Surface_Engine!$B$12:$B$72,$A1453+1))),0)))*(MAX(0,J1453/INDEX(Surface_Engine!$B$12:$B$72,$A1453+1)-(F1453/INDEX(Surface_Engine!$B$12:$B$72,$A1453+1)))))</f>
        <v>0</v>
      </c>
      <c r="L1453" s="48" t="n">
        <f aca="false">K1453*INDEX(Surface_Engine!$B$12:$B$72,$A1453+1)+L1454</f>
        <v>0</v>
      </c>
      <c r="M1453" s="48" t="n">
        <f aca="false">M1452+B1452*(IF($A1452&lt;$Q$1392,(Surface_Engine!L248*12)-(Surface_Engine!L248*12)*INDEX(Surface_Engine!$F$12:$F$72,$A1452+1)-INDEX(Surface_Engine!$D$12:$D$72,$A1452+1),-(1000*12*INDEX(Surface_Engine!$C$12:$C$72,$A1452+1)/(1+Assumptions!$B$10)^13+INDEX(Surface_Engine!$D$12:$D$72,$A1452+1))))*INDEX(Surface_Engine!$B$12:$B$72,$A1452+1)</f>
        <v>1511.51791239133</v>
      </c>
      <c r="N1453" s="12" t="n">
        <f aca="false">IF(B1453&lt;=0,0,MAX(0,(K1453+Assumptions!$B$29*L1453/INDEX(Surface_Engine!$B$12:$B$72,$A1453+1)-(M1453/INDEX(Surface_Engine!$B$12:$B$72,$A1453+1)-(F1453/INDEX(Surface_Engine!$B$12:$B$72,$A1453+1))))/B1453))</f>
        <v>0</v>
      </c>
    </row>
    <row r="1454" customFormat="false" ht="15" hidden="false" customHeight="true" outlineLevel="0" collapsed="false">
      <c r="A1454" s="1" t="n">
        <v>60</v>
      </c>
      <c r="B1454" s="32" t="n">
        <f aca="false">INDEX(Surface_Engine!$S$12:$S$72,$A1454+1)*IF($A1454&lt;$Q$1392,INDEX(Surface_Engine!$E$12:$E$72,$A1454+1),INDEX(Surface_Engine!$E$12:$E$72,$Q$1392+1))</f>
        <v>0</v>
      </c>
      <c r="C1454" s="32" t="n">
        <f aca="false">INDEX(Panel_Reserving!$G$8:$G$68,$A1454+1)*IF($A1454&lt;$Q$1392,INDEX(Surface_Engine!$E$12:$E$72,$A1454+1),INDEX(Surface_Engine!$E$12:$E$72,$Q$1392+1))</f>
        <v>0</v>
      </c>
      <c r="D1454" s="32" t="n">
        <f aca="false">INDEX(Surface_Engine!$S$12:$S$72,$A1454+1)*IF($A1454&lt;$Q$1392,INDEX(Surface_Engine!$Y$12:$Y$72,$A1454+1),INDEX(Surface_Engine!$Y$12:$Y$72,$Q$1392+1))</f>
        <v>0</v>
      </c>
      <c r="E1454" s="32" t="n">
        <f aca="false">INDEX(Surface_Engine!$S$12:$S$72,$A1454+1)*IF($A1454&lt;$Q$1392,INDEX(Surface_Engine!$Z$12:$Z$72,$A1454+1),INDEX(Surface_Engine!$Z$12:$Z$72,$Q$1392+1))</f>
        <v>0</v>
      </c>
      <c r="F1454" s="48" t="n">
        <f aca="false">B1454*(IF($A1454&lt;$Q$1392,INDEX(Surface_Engine!$D$12:$D$72,$A1454+1)+(Surface_Engine!L248*12)*INDEX(Surface_Engine!$F$12:$F$72,$A1454+1)-(Surface_Engine!L248*12),1000*12*INDEX(Surface_Engine!$C$12:$C$72,$A1454+1)/(1+Assumptions!$B$10)^13+INDEX(Surface_Engine!$D$12:$D$72,$A1454+1)))*INDEX(Surface_Engine!$B$12:$B$72,$A1454+1)</f>
        <v>0</v>
      </c>
      <c r="G1454" s="48" t="n">
        <f aca="false">C1454*(IF($A1454&lt;$Q$1392,INDEX(Surface_Engine!$D$12:$D$72,$A1454+1)+(Surface_Engine!L248*12)*INDEX(Surface_Engine!$F$12:$F$72,$A1454+1)-(Surface_Engine!L248*12),1000*12*INDEX(Surface_Engine!$C$12:$C$72,$A1454+1)/(1+Assumptions!$B$10)^13+INDEX(Surface_Engine!$D$12:$D$72,$A1454+1)))*INDEX(Surface_Engine!$B$12:$B$72,$A1454+1)</f>
        <v>0</v>
      </c>
      <c r="H1454" s="48" t="n">
        <f aca="false">D1454*(IF($A1454&lt;$Q$1392,INDEX(Surface_Engine!$D$12:$D$72,$A1454+1)+(Surface_Engine!L248*12)*INDEX(Surface_Engine!$F$12:$F$72,$A1454+1)-(Surface_Engine!L248*12),1000*12*INDEX(Surface_Engine!$C$12:$C$72,$A1454+1)/(1+Assumptions!$B$10)^13+INDEX(Surface_Engine!$D$12:$D$72,$A1454+1)))*INDEX(Surface_Engine!$B$12:$B$72,$A1454+1)</f>
        <v>0</v>
      </c>
      <c r="I1454" s="48" t="n">
        <f aca="false">E1454*(IF($A1454&lt;$Q$1392,INDEX(Surface_Engine!$D$12:$D$72,$A1454+1)+(Surface_Engine!L248*12)*INDEX(Surface_Engine!$F$12:$F$72,$A1454+1)-(Surface_Engine!L248*12),1000*12*INDEX(Surface_Engine!$C$12:$C$72,$A1454+1)/(1+Assumptions!$B$10)^13+INDEX(Surface_Engine!$D$12:$D$72,$A1454+1)))*INDEX(Surface_Engine!$B$12:$B$72,$A1454+1)</f>
        <v>0</v>
      </c>
      <c r="J1454" s="48" t="n">
        <f aca="false">B1454*(IF($A1454&lt;$Q$1392,INDEX(Surface_Engine!$D$12:$D$72,$A1454+1)*(1+Assumptions!$B$24)+(Surface_Engine!L248*12)*INDEX(Surface_Engine!$F$12:$F$72,$A1454+1)-(Surface_Engine!L248*12),1000*12*INDEX(Surface_Engine!$C$12:$C$72,$A1454+1)/(1+Assumptions!$B$10)^13+INDEX(Surface_Engine!$D$12:$D$72,$A1454+1)*(1+Assumptions!$B$24)))*INDEX(Surface_Engine!$B$12:$B$72,$A1454+1)</f>
        <v>0</v>
      </c>
      <c r="K1454" s="12" t="n">
        <f aca="false">SQRT((IF(C1454&lt;=0,0,MAX(0,(B1454/C1454)*G1454/INDEX(Surface_Engine!$B$12:$B$72,$A1454+1)-F1454/INDEX(Surface_Engine!$B$12:$B$72,$A1454+1))))^2+(MAX(IF(D1454&lt;=0,0,MAX(0,(B1454/D1454)*H1454/INDEX(Surface_Engine!$B$12:$B$72,$A1454+1)-F1454/INDEX(Surface_Engine!$B$12:$B$72,$A1454+1))),IF(E1454&lt;=0,0,MAX(0,(B1454/E1454)*I1454/INDEX(Surface_Engine!$B$12:$B$72,$A1454+1)-F1454/INDEX(Surface_Engine!$B$12:$B$72,$A1454+1))),IF($A1454&lt;$Q$1392,MAX(0,-Assumptions!$B$22*(F1454/INDEX(Surface_Engine!$B$12:$B$72,$A1454+1))),0)))^2+(MAX(0,J1454/INDEX(Surface_Engine!$B$12:$B$72,$A1454+1)-(F1454/INDEX(Surface_Engine!$B$12:$B$72,$A1454+1))))^2+2*Assumptions!$B$26*(IF(C1454&lt;=0,0,MAX(0,(B1454/C1454)*G1454/INDEX(Surface_Engine!$B$12:$B$72,$A1454+1)-F1454/INDEX(Surface_Engine!$B$12:$B$72,$A1454+1))))*(MAX(IF(D1454&lt;=0,0,MAX(0,(B1454/D1454)*H1454/INDEX(Surface_Engine!$B$12:$B$72,$A1454+1)-F1454/INDEX(Surface_Engine!$B$12:$B$72,$A1454+1))),IF(E1454&lt;=0,0,MAX(0,(B1454/E1454)*I1454/INDEX(Surface_Engine!$B$12:$B$72,$A1454+1)-F1454/INDEX(Surface_Engine!$B$12:$B$72,$A1454+1))),IF($A1454&lt;$Q$1392,MAX(0,-Assumptions!$B$22*(F1454/INDEX(Surface_Engine!$B$12:$B$72,$A1454+1))),0)))+2*Assumptions!$B$27*(IF(C1454&lt;=0,0,MAX(0,(B1454/C1454)*G1454/INDEX(Surface_Engine!$B$12:$B$72,$A1454+1)-F1454/INDEX(Surface_Engine!$B$12:$B$72,$A1454+1))))*(MAX(0,J1454/INDEX(Surface_Engine!$B$12:$B$72,$A1454+1)-(F1454/INDEX(Surface_Engine!$B$12:$B$72,$A1454+1))))+2*Assumptions!$B$28*(MAX(IF(D1454&lt;=0,0,MAX(0,(B1454/D1454)*H1454/INDEX(Surface_Engine!$B$12:$B$72,$A1454+1)-F1454/INDEX(Surface_Engine!$B$12:$B$72,$A1454+1))),IF(E1454&lt;=0,0,MAX(0,(B1454/E1454)*I1454/INDEX(Surface_Engine!$B$12:$B$72,$A1454+1)-F1454/INDEX(Surface_Engine!$B$12:$B$72,$A1454+1))),IF($A1454&lt;$Q$1392,MAX(0,-Assumptions!$B$22*(F1454/INDEX(Surface_Engine!$B$12:$B$72,$A1454+1))),0)))*(MAX(0,J1454/INDEX(Surface_Engine!$B$12:$B$72,$A1454+1)-(F1454/INDEX(Surface_Engine!$B$12:$B$72,$A1454+1)))))</f>
        <v>0</v>
      </c>
      <c r="L1454" s="48" t="n">
        <f aca="false">K1454*INDEX(Surface_Engine!$B$12:$B$72,$A1454+1)</f>
        <v>0</v>
      </c>
      <c r="M1454" s="48" t="n">
        <f aca="false">M1453+B1453*(IF($A1453&lt;$Q$1392,(Surface_Engine!L248*12)-(Surface_Engine!L248*12)*INDEX(Surface_Engine!$F$12:$F$72,$A1453+1)-INDEX(Surface_Engine!$D$12:$D$72,$A1453+1),-(1000*12*INDEX(Surface_Engine!$C$12:$C$72,$A1453+1)/(1+Assumptions!$B$10)^13+INDEX(Surface_Engine!$D$12:$D$72,$A1453+1))))*INDEX(Surface_Engine!$B$12:$B$72,$A1453+1)</f>
        <v>1511.51791239133</v>
      </c>
      <c r="N1454" s="12" t="n">
        <f aca="false">IF(B1454&lt;=0,0,MAX(0,(K1454+Assumptions!$B$29*L1454/INDEX(Surface_Engine!$B$12:$B$72,$A1454+1)-(M1454/INDEX(Surface_Engine!$B$12:$B$72,$A1454+1)-(F1454/INDEX(Surface_Engine!$B$12:$B$72,$A1454+1))))/B1454))</f>
        <v>0</v>
      </c>
    </row>
    <row r="1455" customFormat="false" ht="15" hidden="false" customHeight="true" outlineLevel="0" collapsed="false">
      <c r="A1455" s="4" t="str">
        <f aca="false">"entry "&amp;O1455&amp;" / vesting "&amp;P1455&amp;"   deferral "&amp;Q1455</f>
        <v>entry 72 / vesting 90   deferral 18</v>
      </c>
      <c r="C1455" s="49" t="n">
        <f aca="false">MAX(N1394:N1454)</f>
        <v>17095.6766458505</v>
      </c>
      <c r="E1455" s="7" t="s">
        <v>1634</v>
      </c>
      <c r="G1455" s="21" t="n">
        <f aca="false">INDEX(A1394:A1454,MATCH(C1455,N1394:N1454,0))</f>
        <v>8</v>
      </c>
      <c r="J1455" s="7" t="s">
        <v>1624</v>
      </c>
      <c r="K1455" s="50" t="n">
        <f aca="false">Surface_Engine!Q248</f>
        <v>165.274684392025</v>
      </c>
      <c r="O1455" s="1" t="n">
        <f aca="false">A1719</f>
        <v>72</v>
      </c>
      <c r="P1455" s="76" t="n">
        <f aca="false">E$1713</f>
        <v>90</v>
      </c>
      <c r="Q1455" s="1" t="n">
        <f aca="false">P1455-O1455</f>
        <v>18</v>
      </c>
    </row>
    <row r="1456" customFormat="false" ht="15" hidden="false" customHeight="true" outlineLevel="0" collapsed="false">
      <c r="A1456" s="8" t="s">
        <v>802</v>
      </c>
      <c r="B1456" s="8" t="s">
        <v>1584</v>
      </c>
      <c r="C1456" s="8" t="s">
        <v>1585</v>
      </c>
      <c r="D1456" s="8" t="s">
        <v>1587</v>
      </c>
      <c r="E1456" s="8" t="s">
        <v>1588</v>
      </c>
      <c r="F1456" s="8" t="s">
        <v>1625</v>
      </c>
      <c r="G1456" s="8" t="s">
        <v>1626</v>
      </c>
      <c r="H1456" s="8" t="s">
        <v>1627</v>
      </c>
      <c r="I1456" s="8" t="s">
        <v>1628</v>
      </c>
      <c r="J1456" s="8" t="s">
        <v>1629</v>
      </c>
      <c r="K1456" s="8" t="s">
        <v>812</v>
      </c>
      <c r="L1456" s="8" t="s">
        <v>1630</v>
      </c>
      <c r="M1456" s="8" t="s">
        <v>341</v>
      </c>
      <c r="N1456" s="8" t="s">
        <v>1631</v>
      </c>
      <c r="O1456" s="1" t="s">
        <v>1544</v>
      </c>
      <c r="P1456" s="1" t="s">
        <v>1632</v>
      </c>
      <c r="Q1456" s="1" t="s">
        <v>1633</v>
      </c>
    </row>
    <row r="1457" customFormat="false" ht="15" hidden="false" customHeight="true" outlineLevel="0" collapsed="false">
      <c r="A1457" s="1" t="n">
        <v>0</v>
      </c>
      <c r="B1457" s="32" t="n">
        <f aca="false">INDEX(Surface_Engine!$S$12:$S$72,$A1457+1)*IF($A1457&lt;$Q$1455,INDEX(Surface_Engine!$E$12:$E$72,$A1457+1),INDEX(Surface_Engine!$E$12:$E$72,$Q$1455+1))</f>
        <v>1</v>
      </c>
      <c r="C1457" s="32" t="n">
        <f aca="false">INDEX(Panel_Reserving!$G$8:$G$68,$A1457+1)*IF($A1457&lt;$Q$1455,INDEX(Surface_Engine!$E$12:$E$72,$A1457+1),INDEX(Surface_Engine!$E$12:$E$72,$Q$1455+1))</f>
        <v>1</v>
      </c>
      <c r="D1457" s="32" t="n">
        <f aca="false">INDEX(Surface_Engine!$S$12:$S$72,$A1457+1)*IF($A1457&lt;$Q$1455,INDEX(Surface_Engine!$Y$12:$Y$72,$A1457+1),INDEX(Surface_Engine!$Y$12:$Y$72,$Q$1455+1))</f>
        <v>1</v>
      </c>
      <c r="E1457" s="32" t="n">
        <f aca="false">INDEX(Surface_Engine!$S$12:$S$72,$A1457+1)*IF($A1457&lt;$Q$1455,INDEX(Surface_Engine!$Z$12:$Z$72,$A1457+1),INDEX(Surface_Engine!$Z$12:$Z$72,$Q$1455+1))</f>
        <v>1</v>
      </c>
      <c r="F1457" s="48" t="n">
        <f aca="false">B1457*(IF($A1457&lt;$Q$1455,INDEX(Surface_Engine!$D$12:$D$72,$A1457+1)+(Surface_Engine!Q248*12)*INDEX(Surface_Engine!$F$12:$F$72,$A1457+1)-(Surface_Engine!Q248*12),1000*12*INDEX(Surface_Engine!$C$12:$C$72,$A1457+1)/(1+Assumptions!$B$10)^18+INDEX(Surface_Engine!$D$12:$D$72,$A1457+1)))*INDEX(Surface_Engine!$B$12:$B$72,$A1457+1)+F1458</f>
        <v>-639.071638950966</v>
      </c>
      <c r="G1457" s="48" t="n">
        <f aca="false">C1457*(IF($A1457&lt;$Q$1455,INDEX(Surface_Engine!$D$12:$D$72,$A1457+1)+(Surface_Engine!Q248*12)*INDEX(Surface_Engine!$F$12:$F$72,$A1457+1)-(Surface_Engine!Q248*12),1000*12*INDEX(Surface_Engine!$C$12:$C$72,$A1457+1)/(1+Assumptions!$B$10)^18+INDEX(Surface_Engine!$D$12:$D$72,$A1457+1)))*INDEX(Surface_Engine!$B$12:$B$72,$A1457+1)+G1458</f>
        <v>4583.21312300662</v>
      </c>
      <c r="H1457" s="48" t="n">
        <f aca="false">D1457*(IF($A1457&lt;$Q$1455,INDEX(Surface_Engine!$D$12:$D$72,$A1457+1)+(Surface_Engine!Q248*12)*INDEX(Surface_Engine!$F$12:$F$72,$A1457+1)-(Surface_Engine!Q248*12),1000*12*INDEX(Surface_Engine!$C$12:$C$72,$A1457+1)/(1+Assumptions!$B$10)^18+INDEX(Surface_Engine!$D$12:$D$72,$A1457+1)))*INDEX(Surface_Engine!$B$12:$B$72,$A1457+1)+H1458</f>
        <v>-1395.00951271247</v>
      </c>
      <c r="I1457" s="48" t="n">
        <f aca="false">E1457*(IF($A1457&lt;$Q$1455,INDEX(Surface_Engine!$D$12:$D$72,$A1457+1)+(Surface_Engine!Q248*12)*INDEX(Surface_Engine!$F$12:$F$72,$A1457+1)-(Surface_Engine!Q248*12),1000*12*INDEX(Surface_Engine!$C$12:$C$72,$A1457+1)/(1+Assumptions!$B$10)^18+INDEX(Surface_Engine!$D$12:$D$72,$A1457+1)))*INDEX(Surface_Engine!$B$12:$B$72,$A1457+1)+I1458</f>
        <v>249.443609322116</v>
      </c>
      <c r="J1457" s="48" t="n">
        <f aca="false">B1457*(IF($A1457&lt;$Q$1455,INDEX(Surface_Engine!$D$12:$D$72,$A1457+1)*(1+Assumptions!$B$24)+(Surface_Engine!Q248*12)*INDEX(Surface_Engine!$F$12:$F$72,$A1457+1)-(Surface_Engine!Q248*12),1000*12*INDEX(Surface_Engine!$C$12:$C$72,$A1457+1)/(1+Assumptions!$B$10)^18+INDEX(Surface_Engine!$D$12:$D$72,$A1457+1)*(1+Assumptions!$B$24)))*INDEX(Surface_Engine!$B$12:$B$72,$A1457+1)+J1458</f>
        <v>-516.738002315259</v>
      </c>
      <c r="K1457" s="12" t="n">
        <f aca="false">SQRT((IF(C1457&lt;=0,0,MAX(0,(B1457/C1457)*G1457/INDEX(Surface_Engine!$B$12:$B$72,$A1457+1)-F1457/INDEX(Surface_Engine!$B$12:$B$72,$A1457+1))))^2+(MAX(IF(D1457&lt;=0,0,MAX(0,(B1457/D1457)*H1457/INDEX(Surface_Engine!$B$12:$B$72,$A1457+1)-F1457/INDEX(Surface_Engine!$B$12:$B$72,$A1457+1))),IF(E1457&lt;=0,0,MAX(0,(B1457/E1457)*I1457/INDEX(Surface_Engine!$B$12:$B$72,$A1457+1)-F1457/INDEX(Surface_Engine!$B$12:$B$72,$A1457+1))),IF($A1457&lt;$Q$1455,MAX(0,-Assumptions!$B$22*(F1457/INDEX(Surface_Engine!$B$12:$B$72,$A1457+1))),0)))^2+(MAX(0,J1457/INDEX(Surface_Engine!$B$12:$B$72,$A1457+1)-(F1457/INDEX(Surface_Engine!$B$12:$B$72,$A1457+1))))^2+2*Assumptions!$B$26*(IF(C1457&lt;=0,0,MAX(0,(B1457/C1457)*G1457/INDEX(Surface_Engine!$B$12:$B$72,$A1457+1)-F1457/INDEX(Surface_Engine!$B$12:$B$72,$A1457+1))))*(MAX(IF(D1457&lt;=0,0,MAX(0,(B1457/D1457)*H1457/INDEX(Surface_Engine!$B$12:$B$72,$A1457+1)-F1457/INDEX(Surface_Engine!$B$12:$B$72,$A1457+1))),IF(E1457&lt;=0,0,MAX(0,(B1457/E1457)*I1457/INDEX(Surface_Engine!$B$12:$B$72,$A1457+1)-F1457/INDEX(Surface_Engine!$B$12:$B$72,$A1457+1))),IF($A1457&lt;$Q$1455,MAX(0,-Assumptions!$B$22*(F1457/INDEX(Surface_Engine!$B$12:$B$72,$A1457+1))),0)))+2*Assumptions!$B$27*(IF(C1457&lt;=0,0,MAX(0,(B1457/C1457)*G1457/INDEX(Surface_Engine!$B$12:$B$72,$A1457+1)-F1457/INDEX(Surface_Engine!$B$12:$B$72,$A1457+1))))*(MAX(0,J1457/INDEX(Surface_Engine!$B$12:$B$72,$A1457+1)-(F1457/INDEX(Surface_Engine!$B$12:$B$72,$A1457+1))))+2*Assumptions!$B$28*(MAX(IF(D1457&lt;=0,0,MAX(0,(B1457/D1457)*H1457/INDEX(Surface_Engine!$B$12:$B$72,$A1457+1)-F1457/INDEX(Surface_Engine!$B$12:$B$72,$A1457+1))),IF(E1457&lt;=0,0,MAX(0,(B1457/E1457)*I1457/INDEX(Surface_Engine!$B$12:$B$72,$A1457+1)-F1457/INDEX(Surface_Engine!$B$12:$B$72,$A1457+1))),IF($A1457&lt;$Q$1455,MAX(0,-Assumptions!$B$22*(F1457/INDEX(Surface_Engine!$B$12:$B$72,$A1457+1))),0)))*(MAX(0,J1457/INDEX(Surface_Engine!$B$12:$B$72,$A1457+1)-(F1457/INDEX(Surface_Engine!$B$12:$B$72,$A1457+1)))))</f>
        <v>5552.01302823748</v>
      </c>
      <c r="L1457" s="48" t="n">
        <f aca="false">K1457*INDEX(Surface_Engine!$B$12:$B$72,$A1457+1)+L1458</f>
        <v>101991.042824618</v>
      </c>
      <c r="M1457" s="48" t="n">
        <v>0</v>
      </c>
      <c r="N1457" s="12" t="n">
        <f aca="false">IF(B1457&lt;=0,0,MAX(0,(K1457+Assumptions!$B$29*L1457/INDEX(Surface_Engine!$B$12:$B$72,$A1457+1)-(M1457/INDEX(Surface_Engine!$B$12:$B$72,$A1457+1)-(F1457/INDEX(Surface_Engine!$B$12:$B$72,$A1457+1))))/B1457))</f>
        <v>11032.4039587636</v>
      </c>
    </row>
    <row r="1458" customFormat="false" ht="15" hidden="false" customHeight="true" outlineLevel="0" collapsed="false">
      <c r="A1458" s="1" t="n">
        <v>1</v>
      </c>
      <c r="B1458" s="32" t="n">
        <f aca="false">INDEX(Surface_Engine!$S$12:$S$72,$A1458+1)*IF($A1458&lt;$Q$1455,INDEX(Surface_Engine!$E$12:$E$72,$A1458+1),INDEX(Surface_Engine!$E$12:$E$72,$Q$1455+1))</f>
        <v>0.948091429174549</v>
      </c>
      <c r="C1458" s="32" t="n">
        <f aca="false">INDEX(Panel_Reserving!$G$8:$G$68,$A1458+1)*IF($A1458&lt;$Q$1455,INDEX(Surface_Engine!$E$12:$E$72,$A1458+1),INDEX(Surface_Engine!$E$12:$E$72,$Q$1455+1))</f>
        <v>0.950353143339639</v>
      </c>
      <c r="D1458" s="32" t="n">
        <f aca="false">INDEX(Surface_Engine!$S$12:$S$72,$A1458+1)*IF($A1458&lt;$Q$1455,INDEX(Surface_Engine!$Y$12:$Y$72,$A1458+1),INDEX(Surface_Engine!$Y$12:$Y$72,$Q$1455+1))</f>
        <v>0.928030707877651</v>
      </c>
      <c r="E1458" s="32" t="n">
        <f aca="false">INDEX(Surface_Engine!$S$12:$S$72,$A1458+1)*IF($A1458&lt;$Q$1455,INDEX(Surface_Engine!$Z$12:$Z$72,$A1458+1),INDEX(Surface_Engine!$Z$12:$Z$72,$Q$1455+1))</f>
        <v>0.968152150471446</v>
      </c>
      <c r="F1458" s="48" t="n">
        <f aca="false">B1458*(IF($A1458&lt;$Q$1455,INDEX(Surface_Engine!$D$12:$D$72,$A1458+1)+(Surface_Engine!Q248*12)*INDEX(Surface_Engine!$F$12:$F$72,$A1458+1)-(Surface_Engine!Q248*12),1000*12*INDEX(Surface_Engine!$C$12:$C$72,$A1458+1)/(1+Assumptions!$B$10)^18+INDEX(Surface_Engine!$D$12:$D$72,$A1458+1)))*INDEX(Surface_Engine!$B$12:$B$72,$A1458+1)+F1459</f>
        <v>-721.071638950966</v>
      </c>
      <c r="G1458" s="48" t="n">
        <f aca="false">C1458*(IF($A1458&lt;$Q$1455,INDEX(Surface_Engine!$D$12:$D$72,$A1458+1)+(Surface_Engine!Q248*12)*INDEX(Surface_Engine!$F$12:$F$72,$A1458+1)-(Surface_Engine!Q248*12),1000*12*INDEX(Surface_Engine!$C$12:$C$72,$A1458+1)/(1+Assumptions!$B$10)^18+INDEX(Surface_Engine!$D$12:$D$72,$A1458+1)))*INDEX(Surface_Engine!$B$12:$B$72,$A1458+1)+G1459</f>
        <v>4501.21312300662</v>
      </c>
      <c r="H1458" s="48" t="n">
        <f aca="false">D1458*(IF($A1458&lt;$Q$1455,INDEX(Surface_Engine!$D$12:$D$72,$A1458+1)+(Surface_Engine!Q248*12)*INDEX(Surface_Engine!$F$12:$F$72,$A1458+1)-(Surface_Engine!Q248*12),1000*12*INDEX(Surface_Engine!$C$12:$C$72,$A1458+1)/(1+Assumptions!$B$10)^18+INDEX(Surface_Engine!$D$12:$D$72,$A1458+1)))*INDEX(Surface_Engine!$B$12:$B$72,$A1458+1)+H1459</f>
        <v>-1477.00951271247</v>
      </c>
      <c r="I1458" s="48" t="n">
        <f aca="false">E1458*(IF($A1458&lt;$Q$1455,INDEX(Surface_Engine!$D$12:$D$72,$A1458+1)+(Surface_Engine!Q248*12)*INDEX(Surface_Engine!$F$12:$F$72,$A1458+1)-(Surface_Engine!Q248*12),1000*12*INDEX(Surface_Engine!$C$12:$C$72,$A1458+1)/(1+Assumptions!$B$10)^18+INDEX(Surface_Engine!$D$12:$D$72,$A1458+1)))*INDEX(Surface_Engine!$B$12:$B$72,$A1458+1)+I1459</f>
        <v>167.443609322116</v>
      </c>
      <c r="J1458" s="48" t="n">
        <f aca="false">B1458*(IF($A1458&lt;$Q$1455,INDEX(Surface_Engine!$D$12:$D$72,$A1458+1)*(1+Assumptions!$B$24)+(Surface_Engine!Q248*12)*INDEX(Surface_Engine!$F$12:$F$72,$A1458+1)-(Surface_Engine!Q248*12),1000*12*INDEX(Surface_Engine!$C$12:$C$72,$A1458+1)/(1+Assumptions!$B$10)^18+INDEX(Surface_Engine!$D$12:$D$72,$A1458+1)*(1+Assumptions!$B$24)))*INDEX(Surface_Engine!$B$12:$B$72,$A1458+1)+J1459</f>
        <v>-606.938002315259</v>
      </c>
      <c r="K1458" s="12" t="n">
        <f aca="false">SQRT((IF(C1458&lt;=0,0,MAX(0,(B1458/C1458)*G1458/INDEX(Surface_Engine!$B$12:$B$72,$A1458+1)-F1458/INDEX(Surface_Engine!$B$12:$B$72,$A1458+1))))^2+(MAX(IF(D1458&lt;=0,0,MAX(0,(B1458/D1458)*H1458/INDEX(Surface_Engine!$B$12:$B$72,$A1458+1)-F1458/INDEX(Surface_Engine!$B$12:$B$72,$A1458+1))),IF(E1458&lt;=0,0,MAX(0,(B1458/E1458)*I1458/INDEX(Surface_Engine!$B$12:$B$72,$A1458+1)-F1458/INDEX(Surface_Engine!$B$12:$B$72,$A1458+1))),IF($A1458&lt;$Q$1455,MAX(0,-Assumptions!$B$22*(F1458/INDEX(Surface_Engine!$B$12:$B$72,$A1458+1))),0)))^2+(MAX(0,J1458/INDEX(Surface_Engine!$B$12:$B$72,$A1458+1)-(F1458/INDEX(Surface_Engine!$B$12:$B$72,$A1458+1))))^2+2*Assumptions!$B$26*(IF(C1458&lt;=0,0,MAX(0,(B1458/C1458)*G1458/INDEX(Surface_Engine!$B$12:$B$72,$A1458+1)-F1458/INDEX(Surface_Engine!$B$12:$B$72,$A1458+1))))*(MAX(IF(D1458&lt;=0,0,MAX(0,(B1458/D1458)*H1458/INDEX(Surface_Engine!$B$12:$B$72,$A1458+1)-F1458/INDEX(Surface_Engine!$B$12:$B$72,$A1458+1))),IF(E1458&lt;=0,0,MAX(0,(B1458/E1458)*I1458/INDEX(Surface_Engine!$B$12:$B$72,$A1458+1)-F1458/INDEX(Surface_Engine!$B$12:$B$72,$A1458+1))),IF($A1458&lt;$Q$1455,MAX(0,-Assumptions!$B$22*(F1458/INDEX(Surface_Engine!$B$12:$B$72,$A1458+1))),0)))+2*Assumptions!$B$27*(IF(C1458&lt;=0,0,MAX(0,(B1458/C1458)*G1458/INDEX(Surface_Engine!$B$12:$B$72,$A1458+1)-F1458/INDEX(Surface_Engine!$B$12:$B$72,$A1458+1))))*(MAX(0,J1458/INDEX(Surface_Engine!$B$12:$B$72,$A1458+1)-(F1458/INDEX(Surface_Engine!$B$12:$B$72,$A1458+1))))+2*Assumptions!$B$28*(MAX(IF(D1458&lt;=0,0,MAX(0,(B1458/D1458)*H1458/INDEX(Surface_Engine!$B$12:$B$72,$A1458+1)-F1458/INDEX(Surface_Engine!$B$12:$B$72,$A1458+1))),IF(E1458&lt;=0,0,MAX(0,(B1458/E1458)*I1458/INDEX(Surface_Engine!$B$12:$B$72,$A1458+1)-F1458/INDEX(Surface_Engine!$B$12:$B$72,$A1458+1))),IF($A1458&lt;$Q$1455,MAX(0,-Assumptions!$B$22*(F1458/INDEX(Surface_Engine!$B$12:$B$72,$A1458+1))),0)))*(MAX(0,J1458/INDEX(Surface_Engine!$B$12:$B$72,$A1458+1)-(F1458/INDEX(Surface_Engine!$B$12:$B$72,$A1458+1)))))</f>
        <v>5681.02885600787</v>
      </c>
      <c r="L1458" s="48" t="n">
        <f aca="false">K1458*INDEX(Surface_Engine!$B$12:$B$72,$A1458+1)+L1459</f>
        <v>96439.029796381</v>
      </c>
      <c r="M1458" s="48" t="n">
        <f aca="false">M1457+B1457*(IF($A1457&lt;$Q$1455,(Surface_Engine!Q248*12)-(Surface_Engine!Q248*12)*INDEX(Surface_Engine!$F$12:$F$72,$A1457+1)-INDEX(Surface_Engine!$D$12:$D$72,$A1457+1),-(1000*12*INDEX(Surface_Engine!$C$12:$C$72,$A1457+1)/(1+Assumptions!$B$10)^18+INDEX(Surface_Engine!$D$12:$D$72,$A1457+1))))*INDEX(Surface_Engine!$B$12:$B$72,$A1457+1)</f>
        <v>-82</v>
      </c>
      <c r="N1458" s="12" t="n">
        <f aca="false">IF(B1458&lt;=0,0,MAX(0,(K1458+Assumptions!$B$29*L1458/INDEX(Surface_Engine!$B$12:$B$72,$A1458+1)-(M1458/INDEX(Surface_Engine!$B$12:$B$72,$A1458+1)-(F1458/INDEX(Surface_Engine!$B$12:$B$72,$A1458+1))))/B1458))</f>
        <v>11562.0939084402</v>
      </c>
    </row>
    <row r="1459" customFormat="false" ht="15" hidden="false" customHeight="true" outlineLevel="0" collapsed="false">
      <c r="A1459" s="1" t="n">
        <v>2</v>
      </c>
      <c r="B1459" s="32" t="n">
        <f aca="false">INDEX(Surface_Engine!$S$12:$S$72,$A1459+1)*IF($A1459&lt;$Q$1455,INDEX(Surface_Engine!$E$12:$E$72,$A1459+1),INDEX(Surface_Engine!$E$12:$E$72,$Q$1455+1))</f>
        <v>0.915450309934018</v>
      </c>
      <c r="C1459" s="32" t="n">
        <f aca="false">INDEX(Panel_Reserving!$G$8:$G$68,$A1459+1)*IF($A1459&lt;$Q$1455,INDEX(Surface_Engine!$E$12:$E$72,$A1459+1),INDEX(Surface_Engine!$E$12:$E$72,$Q$1455+1))</f>
        <v>0.920053421834699</v>
      </c>
      <c r="D1459" s="32" t="n">
        <f aca="false">INDEX(Surface_Engine!$S$12:$S$72,$A1459+1)*IF($A1459&lt;$Q$1455,INDEX(Surface_Engine!$Y$12:$Y$72,$A1459+1),INDEX(Surface_Engine!$Y$12:$Y$72,$Q$1455+1))</f>
        <v>0.886142115938819</v>
      </c>
      <c r="E1459" s="32" t="n">
        <f aca="false">INDEX(Surface_Engine!$S$12:$S$72,$A1459+1)*IF($A1459&lt;$Q$1455,INDEX(Surface_Engine!$Z$12:$Z$72,$A1459+1),INDEX(Surface_Engine!$Z$12:$Z$72,$Q$1455+1))</f>
        <v>0.945188157850868</v>
      </c>
      <c r="F1459" s="48" t="n">
        <f aca="false">B1459*(IF($A1459&lt;$Q$1455,INDEX(Surface_Engine!$D$12:$D$72,$A1459+1)+(Surface_Engine!Q248*12)*INDEX(Surface_Engine!$F$12:$F$72,$A1459+1)-(Surface_Engine!Q248*12),1000*12*INDEX(Surface_Engine!$C$12:$C$72,$A1459+1)/(1+Assumptions!$B$10)^18+INDEX(Surface_Engine!$D$12:$D$72,$A1459+1)))*INDEX(Surface_Engine!$B$12:$B$72,$A1459+1)+F1460</f>
        <v>942.386730886265</v>
      </c>
      <c r="G1459" s="48" t="n">
        <f aca="false">C1459*(IF($A1459&lt;$Q$1455,INDEX(Surface_Engine!$D$12:$D$72,$A1459+1)+(Surface_Engine!Q248*12)*INDEX(Surface_Engine!$F$12:$F$72,$A1459+1)-(Surface_Engine!Q248*12),1000*12*INDEX(Surface_Engine!$C$12:$C$72,$A1459+1)/(1+Assumptions!$B$10)^18+INDEX(Surface_Engine!$D$12:$D$72,$A1459+1)))*INDEX(Surface_Engine!$B$12:$B$72,$A1459+1)+G1460</f>
        <v>6168.63974658218</v>
      </c>
      <c r="H1459" s="48" t="n">
        <f aca="false">D1459*(IF($A1459&lt;$Q$1455,INDEX(Surface_Engine!$D$12:$D$72,$A1459+1)+(Surface_Engine!Q248*12)*INDEX(Surface_Engine!$F$12:$F$72,$A1459+1)-(Surface_Engine!Q248*12),1000*12*INDEX(Surface_Engine!$C$12:$C$72,$A1459+1)/(1+Assumptions!$B$10)^18+INDEX(Surface_Engine!$D$12:$D$72,$A1459+1)))*INDEX(Surface_Engine!$B$12:$B$72,$A1459+1)+H1460</f>
        <v>151.251645421926</v>
      </c>
      <c r="I1459" s="48" t="n">
        <f aca="false">E1459*(IF($A1459&lt;$Q$1455,INDEX(Surface_Engine!$D$12:$D$72,$A1459+1)+(Surface_Engine!Q248*12)*INDEX(Surface_Engine!$F$12:$F$72,$A1459+1)-(Surface_Engine!Q248*12),1000*12*INDEX(Surface_Engine!$C$12:$C$72,$A1459+1)/(1+Assumptions!$B$10)^18+INDEX(Surface_Engine!$D$12:$D$72,$A1459+1)))*INDEX(Surface_Engine!$B$12:$B$72,$A1459+1)+I1460</f>
        <v>1866.09919086218</v>
      </c>
      <c r="J1459" s="48" t="n">
        <f aca="false">B1459*(IF($A1459&lt;$Q$1455,INDEX(Surface_Engine!$D$12:$D$72,$A1459+1)*(1+Assumptions!$B$24)+(Surface_Engine!Q248*12)*INDEX(Surface_Engine!$F$12:$F$72,$A1459+1)-(Surface_Engine!Q248*12),1000*12*INDEX(Surface_Engine!$C$12:$C$72,$A1459+1)/(1+Assumptions!$B$10)^18+INDEX(Surface_Engine!$D$12:$D$72,$A1459+1)*(1+Assumptions!$B$24)))*INDEX(Surface_Engine!$B$12:$B$72,$A1459+1)+J1460</f>
        <v>1048.7532923317</v>
      </c>
      <c r="K1459" s="12" t="n">
        <f aca="false">SQRT((IF(C1459&lt;=0,0,MAX(0,(B1459/C1459)*G1459/INDEX(Surface_Engine!$B$12:$B$72,$A1459+1)-F1459/INDEX(Surface_Engine!$B$12:$B$72,$A1459+1))))^2+(MAX(IF(D1459&lt;=0,0,MAX(0,(B1459/D1459)*H1459/INDEX(Surface_Engine!$B$12:$B$72,$A1459+1)-F1459/INDEX(Surface_Engine!$B$12:$B$72,$A1459+1))),IF(E1459&lt;=0,0,MAX(0,(B1459/E1459)*I1459/INDEX(Surface_Engine!$B$12:$B$72,$A1459+1)-F1459/INDEX(Surface_Engine!$B$12:$B$72,$A1459+1))),IF($A1459&lt;$Q$1455,MAX(0,-Assumptions!$B$22*(F1459/INDEX(Surface_Engine!$B$12:$B$72,$A1459+1))),0)))^2+(MAX(0,J1459/INDEX(Surface_Engine!$B$12:$B$72,$A1459+1)-(F1459/INDEX(Surface_Engine!$B$12:$B$72,$A1459+1))))^2+2*Assumptions!$B$26*(IF(C1459&lt;=0,0,MAX(0,(B1459/C1459)*G1459/INDEX(Surface_Engine!$B$12:$B$72,$A1459+1)-F1459/INDEX(Surface_Engine!$B$12:$B$72,$A1459+1))))*(MAX(IF(D1459&lt;=0,0,MAX(0,(B1459/D1459)*H1459/INDEX(Surface_Engine!$B$12:$B$72,$A1459+1)-F1459/INDEX(Surface_Engine!$B$12:$B$72,$A1459+1))),IF(E1459&lt;=0,0,MAX(0,(B1459/E1459)*I1459/INDEX(Surface_Engine!$B$12:$B$72,$A1459+1)-F1459/INDEX(Surface_Engine!$B$12:$B$72,$A1459+1))),IF($A1459&lt;$Q$1455,MAX(0,-Assumptions!$B$22*(F1459/INDEX(Surface_Engine!$B$12:$B$72,$A1459+1))),0)))+2*Assumptions!$B$27*(IF(C1459&lt;=0,0,MAX(0,(B1459/C1459)*G1459/INDEX(Surface_Engine!$B$12:$B$72,$A1459+1)-F1459/INDEX(Surface_Engine!$B$12:$B$72,$A1459+1))))*(MAX(0,J1459/INDEX(Surface_Engine!$B$12:$B$72,$A1459+1)-(F1459/INDEX(Surface_Engine!$B$12:$B$72,$A1459+1))))+2*Assumptions!$B$28*(MAX(IF(D1459&lt;=0,0,MAX(0,(B1459/D1459)*H1459/INDEX(Surface_Engine!$B$12:$B$72,$A1459+1)-F1459/INDEX(Surface_Engine!$B$12:$B$72,$A1459+1))),IF(E1459&lt;=0,0,MAX(0,(B1459/E1459)*I1459/INDEX(Surface_Engine!$B$12:$B$72,$A1459+1)-F1459/INDEX(Surface_Engine!$B$12:$B$72,$A1459+1))),IF($A1459&lt;$Q$1455,MAX(0,-Assumptions!$B$22*(F1459/INDEX(Surface_Engine!$B$12:$B$72,$A1459+1))),0)))*(MAX(0,J1459/INDEX(Surface_Engine!$B$12:$B$72,$A1459+1)-(F1459/INDEX(Surface_Engine!$B$12:$B$72,$A1459+1)))))</f>
        <v>5803.83926128093</v>
      </c>
      <c r="L1459" s="48" t="n">
        <f aca="false">K1459*INDEX(Surface_Engine!$B$12:$B$72,$A1459+1)+L1460</f>
        <v>90901.7487561768</v>
      </c>
      <c r="M1459" s="48" t="n">
        <f aca="false">M1458+B1458*(IF($A1458&lt;$Q$1455,(Surface_Engine!Q248*12)-(Surface_Engine!Q248*12)*INDEX(Surface_Engine!$F$12:$F$72,$A1458+1)-INDEX(Surface_Engine!$D$12:$D$72,$A1458+1),-(1000*12*INDEX(Surface_Engine!$C$12:$C$72,$A1458+1)/(1+Assumptions!$B$10)^18+INDEX(Surface_Engine!$D$12:$D$72,$A1458+1))))*INDEX(Surface_Engine!$B$12:$B$72,$A1458+1)</f>
        <v>1581.45836983723</v>
      </c>
      <c r="N1459" s="12" t="n">
        <f aca="false">IF(B1459&lt;=0,0,MAX(0,(K1459+Assumptions!$B$29*L1459/INDEX(Surface_Engine!$B$12:$B$72,$A1459+1)-(M1459/INDEX(Surface_Engine!$B$12:$B$72,$A1459+1)-(F1459/INDEX(Surface_Engine!$B$12:$B$72,$A1459+1))))/B1459))</f>
        <v>11879.4852818774</v>
      </c>
    </row>
    <row r="1460" customFormat="false" ht="15" hidden="false" customHeight="true" outlineLevel="0" collapsed="false">
      <c r="A1460" s="1" t="n">
        <v>3</v>
      </c>
      <c r="B1460" s="32" t="n">
        <f aca="false">INDEX(Surface_Engine!$S$12:$S$72,$A1460+1)*IF($A1460&lt;$Q$1455,INDEX(Surface_Engine!$E$12:$E$72,$A1460+1),INDEX(Surface_Engine!$E$12:$E$72,$Q$1455+1))</f>
        <v>0.890257968372373</v>
      </c>
      <c r="C1460" s="32" t="n">
        <f aca="false">INDEX(Panel_Reserving!$G$8:$G$68,$A1460+1)*IF($A1460&lt;$Q$1455,INDEX(Surface_Engine!$E$12:$E$72,$A1460+1),INDEX(Surface_Engine!$E$12:$E$72,$Q$1455+1))</f>
        <v>0.897350867794799</v>
      </c>
      <c r="D1460" s="32" t="n">
        <f aca="false">INDEX(Surface_Engine!$S$12:$S$72,$A1460+1)*IF($A1460&lt;$Q$1455,INDEX(Surface_Engine!$Y$12:$Y$72,$A1460+1),INDEX(Surface_Engine!$Y$12:$Y$72,$Q$1455+1))</f>
        <v>0.855948383779193</v>
      </c>
      <c r="E1460" s="32" t="n">
        <f aca="false">INDEX(Surface_Engine!$S$12:$S$72,$A1460+1)*IF($A1460&lt;$Q$1455,INDEX(Surface_Engine!$Z$12:$Z$72,$A1460+1),INDEX(Surface_Engine!$Z$12:$Z$72,$Q$1455+1))</f>
        <v>0.925372380925957</v>
      </c>
      <c r="F1460" s="48" t="n">
        <f aca="false">B1460*(IF($A1460&lt;$Q$1455,INDEX(Surface_Engine!$D$12:$D$72,$A1460+1)+(Surface_Engine!Q248*12)*INDEX(Surface_Engine!$F$12:$F$72,$A1460+1)-(Surface_Engine!Q248*12),1000*12*INDEX(Surface_Engine!$C$12:$C$72,$A1460+1)/(1+Assumptions!$B$10)^18+INDEX(Surface_Engine!$D$12:$D$72,$A1460+1)))*INDEX(Surface_Engine!$B$12:$B$72,$A1460+1)+F1461</f>
        <v>2505.19199476313</v>
      </c>
      <c r="G1460" s="48" t="n">
        <f aca="false">C1460*(IF($A1460&lt;$Q$1455,INDEX(Surface_Engine!$D$12:$D$72,$A1460+1)+(Surface_Engine!Q248*12)*INDEX(Surface_Engine!$F$12:$F$72,$A1460+1)-(Surface_Engine!Q248*12),1000*12*INDEX(Surface_Engine!$C$12:$C$72,$A1460+1)/(1+Assumptions!$B$10)^18+INDEX(Surface_Engine!$D$12:$D$72,$A1460+1)))*INDEX(Surface_Engine!$B$12:$B$72,$A1460+1)+G1461</f>
        <v>7739.30318411471</v>
      </c>
      <c r="H1460" s="48" t="n">
        <f aca="false">D1460*(IF($A1460&lt;$Q$1455,INDEX(Surface_Engine!$D$12:$D$72,$A1460+1)+(Surface_Engine!Q248*12)*INDEX(Surface_Engine!$F$12:$F$72,$A1460+1)-(Surface_Engine!Q248*12),1000*12*INDEX(Surface_Engine!$C$12:$C$72,$A1460+1)/(1+Assumptions!$B$10)^18+INDEX(Surface_Engine!$D$12:$D$72,$A1460+1)))*INDEX(Surface_Engine!$B$12:$B$72,$A1460+1)+H1461</f>
        <v>1664.02360945347</v>
      </c>
      <c r="I1460" s="48" t="n">
        <f aca="false">E1460*(IF($A1460&lt;$Q$1455,INDEX(Surface_Engine!$D$12:$D$72,$A1460+1)+(Surface_Engine!Q248*12)*INDEX(Surface_Engine!$F$12:$F$72,$A1460+1)-(Surface_Engine!Q248*12),1000*12*INDEX(Surface_Engine!$C$12:$C$72,$A1460+1)/(1+Assumptions!$B$10)^18+INDEX(Surface_Engine!$D$12:$D$72,$A1460+1)))*INDEX(Surface_Engine!$B$12:$B$72,$A1460+1)+I1461</f>
        <v>3479.67123558613</v>
      </c>
      <c r="J1460" s="48" t="n">
        <f aca="false">B1460*(IF($A1460&lt;$Q$1455,INDEX(Surface_Engine!$D$12:$D$72,$A1460+1)*(1+Assumptions!$B$24)+(Surface_Engine!Q248*12)*INDEX(Surface_Engine!$F$12:$F$72,$A1460+1)-(Surface_Engine!Q248*12),1000*12*INDEX(Surface_Engine!$C$12:$C$72,$A1460+1)/(1+Assumptions!$B$10)^18+INDEX(Surface_Engine!$D$12:$D$72,$A1460+1)*(1+Assumptions!$B$24)))*INDEX(Surface_Engine!$B$12:$B$72,$A1460+1)+J1461</f>
        <v>2604.07028517094</v>
      </c>
      <c r="K1460" s="12" t="n">
        <f aca="false">SQRT((IF(C1460&lt;=0,0,MAX(0,(B1460/C1460)*G1460/INDEX(Surface_Engine!$B$12:$B$72,$A1460+1)-F1460/INDEX(Surface_Engine!$B$12:$B$72,$A1460+1))))^2+(MAX(IF(D1460&lt;=0,0,MAX(0,(B1460/D1460)*H1460/INDEX(Surface_Engine!$B$12:$B$72,$A1460+1)-F1460/INDEX(Surface_Engine!$B$12:$B$72,$A1460+1))),IF(E1460&lt;=0,0,MAX(0,(B1460/E1460)*I1460/INDEX(Surface_Engine!$B$12:$B$72,$A1460+1)-F1460/INDEX(Surface_Engine!$B$12:$B$72,$A1460+1))),IF($A1460&lt;$Q$1455,MAX(0,-Assumptions!$B$22*(F1460/INDEX(Surface_Engine!$B$12:$B$72,$A1460+1))),0)))^2+(MAX(0,J1460/INDEX(Surface_Engine!$B$12:$B$72,$A1460+1)-(F1460/INDEX(Surface_Engine!$B$12:$B$72,$A1460+1))))^2+2*Assumptions!$B$26*(IF(C1460&lt;=0,0,MAX(0,(B1460/C1460)*G1460/INDEX(Surface_Engine!$B$12:$B$72,$A1460+1)-F1460/INDEX(Surface_Engine!$B$12:$B$72,$A1460+1))))*(MAX(IF(D1460&lt;=0,0,MAX(0,(B1460/D1460)*H1460/INDEX(Surface_Engine!$B$12:$B$72,$A1460+1)-F1460/INDEX(Surface_Engine!$B$12:$B$72,$A1460+1))),IF(E1460&lt;=0,0,MAX(0,(B1460/E1460)*I1460/INDEX(Surface_Engine!$B$12:$B$72,$A1460+1)-F1460/INDEX(Surface_Engine!$B$12:$B$72,$A1460+1))),IF($A1460&lt;$Q$1455,MAX(0,-Assumptions!$B$22*(F1460/INDEX(Surface_Engine!$B$12:$B$72,$A1460+1))),0)))+2*Assumptions!$B$27*(IF(C1460&lt;=0,0,MAX(0,(B1460/C1460)*G1460/INDEX(Surface_Engine!$B$12:$B$72,$A1460+1)-F1460/INDEX(Surface_Engine!$B$12:$B$72,$A1460+1))))*(MAX(0,J1460/INDEX(Surface_Engine!$B$12:$B$72,$A1460+1)-(F1460/INDEX(Surface_Engine!$B$12:$B$72,$A1460+1))))+2*Assumptions!$B$28*(MAX(IF(D1460&lt;=0,0,MAX(0,(B1460/D1460)*H1460/INDEX(Surface_Engine!$B$12:$B$72,$A1460+1)-F1460/INDEX(Surface_Engine!$B$12:$B$72,$A1460+1))),IF(E1460&lt;=0,0,MAX(0,(B1460/E1460)*I1460/INDEX(Surface_Engine!$B$12:$B$72,$A1460+1)-F1460/INDEX(Surface_Engine!$B$12:$B$72,$A1460+1))),IF($A1460&lt;$Q$1455,MAX(0,-Assumptions!$B$22*(F1460/INDEX(Surface_Engine!$B$12:$B$72,$A1460+1))),0)))*(MAX(0,J1460/INDEX(Surface_Engine!$B$12:$B$72,$A1460+1)-(F1460/INDEX(Surface_Engine!$B$12:$B$72,$A1460+1)))))</f>
        <v>5919.48493155427</v>
      </c>
      <c r="L1460" s="48" t="n">
        <f aca="false">K1460*INDEX(Surface_Engine!$B$12:$B$72,$A1460+1)+L1461</f>
        <v>85391.1273854519</v>
      </c>
      <c r="M1460" s="48" t="n">
        <f aca="false">M1459+B1459*(IF($A1459&lt;$Q$1455,(Surface_Engine!Q248*12)-(Surface_Engine!Q248*12)*INDEX(Surface_Engine!$F$12:$F$72,$A1459+1)-INDEX(Surface_Engine!$D$12:$D$72,$A1459+1),-(1000*12*INDEX(Surface_Engine!$C$12:$C$72,$A1459+1)/(1+Assumptions!$B$10)^18+INDEX(Surface_Engine!$D$12:$D$72,$A1459+1))))*INDEX(Surface_Engine!$B$12:$B$72,$A1459+1)</f>
        <v>3144.26363371409</v>
      </c>
      <c r="N1460" s="12" t="n">
        <f aca="false">IF(B1460&lt;=0,0,MAX(0,(K1460+Assumptions!$B$29*L1460/INDEX(Surface_Engine!$B$12:$B$72,$A1460+1)-(M1460/INDEX(Surface_Engine!$B$12:$B$72,$A1460+1)-(F1460/INDEX(Surface_Engine!$B$12:$B$72,$A1460+1))))/B1460))</f>
        <v>12093.389801664</v>
      </c>
    </row>
    <row r="1461" customFormat="false" ht="15" hidden="false" customHeight="true" outlineLevel="0" collapsed="false">
      <c r="A1461" s="1" t="n">
        <v>4</v>
      </c>
      <c r="B1461" s="32" t="n">
        <f aca="false">INDEX(Surface_Engine!$S$12:$S$72,$A1461+1)*IF($A1461&lt;$Q$1455,INDEX(Surface_Engine!$E$12:$E$72,$A1461+1),INDEX(Surface_Engine!$E$12:$E$72,$Q$1455+1))</f>
        <v>0.863853375660166</v>
      </c>
      <c r="C1461" s="32" t="n">
        <f aca="false">INDEX(Panel_Reserving!$G$8:$G$68,$A1461+1)*IF($A1461&lt;$Q$1455,INDEX(Surface_Engine!$E$12:$E$72,$A1461+1),INDEX(Surface_Engine!$E$12:$E$72,$Q$1455+1))</f>
        <v>0.873671942922414</v>
      </c>
      <c r="D1461" s="32" t="n">
        <f aca="false">INDEX(Surface_Engine!$S$12:$S$72,$A1461+1)*IF($A1461&lt;$Q$1455,INDEX(Surface_Engine!$Y$12:$Y$72,$A1461+1),INDEX(Surface_Engine!$Y$12:$Y$72,$Q$1455+1))</f>
        <v>0.824963713213021</v>
      </c>
      <c r="E1461" s="32" t="n">
        <f aca="false">INDEX(Surface_Engine!$S$12:$S$72,$A1461+1)*IF($A1461&lt;$Q$1455,INDEX(Surface_Engine!$Z$12:$Z$72,$A1461+1),INDEX(Surface_Engine!$Z$12:$Z$72,$Q$1455+1))</f>
        <v>0.903978010384945</v>
      </c>
      <c r="F1461" s="48" t="n">
        <f aca="false">B1461*(IF($A1461&lt;$Q$1455,INDEX(Surface_Engine!$D$12:$D$72,$A1461+1)+(Surface_Engine!Q248*12)*INDEX(Surface_Engine!$F$12:$F$72,$A1461+1)-(Surface_Engine!Q248*12),1000*12*INDEX(Surface_Engine!$C$12:$C$72,$A1461+1)/(1+Assumptions!$B$10)^18+INDEX(Surface_Engine!$D$12:$D$72,$A1461+1)))*INDEX(Surface_Engine!$B$12:$B$72,$A1461+1)+F1462</f>
        <v>3984.41413841418</v>
      </c>
      <c r="G1461" s="48" t="n">
        <f aca="false">C1461*(IF($A1461&lt;$Q$1455,INDEX(Surface_Engine!$D$12:$D$72,$A1461+1)+(Surface_Engine!Q248*12)*INDEX(Surface_Engine!$F$12:$F$72,$A1461+1)-(Surface_Engine!Q248*12),1000*12*INDEX(Surface_Engine!$C$12:$C$72,$A1461+1)/(1+Assumptions!$B$10)^18+INDEX(Surface_Engine!$D$12:$D$72,$A1461+1)))*INDEX(Surface_Engine!$B$12:$B$72,$A1461+1)+G1462</f>
        <v>9230.31064647234</v>
      </c>
      <c r="H1461" s="48" t="n">
        <f aca="false">D1461*(IF($A1461&lt;$Q$1455,INDEX(Surface_Engine!$D$12:$D$72,$A1461+1)+(Surface_Engine!Q248*12)*INDEX(Surface_Engine!$F$12:$F$72,$A1461+1)-(Surface_Engine!Q248*12),1000*12*INDEX(Surface_Engine!$C$12:$C$72,$A1461+1)/(1+Assumptions!$B$10)^18+INDEX(Surface_Engine!$D$12:$D$72,$A1461+1)))*INDEX(Surface_Engine!$B$12:$B$72,$A1461+1)+H1462</f>
        <v>3086.23812265052</v>
      </c>
      <c r="I1461" s="48" t="n">
        <f aca="false">E1461*(IF($A1461&lt;$Q$1455,INDEX(Surface_Engine!$D$12:$D$72,$A1461+1)+(Surface_Engine!Q248*12)*INDEX(Surface_Engine!$F$12:$F$72,$A1461+1)-(Surface_Engine!Q248*12),1000*12*INDEX(Surface_Engine!$C$12:$C$72,$A1461+1)/(1+Assumptions!$B$10)^18+INDEX(Surface_Engine!$D$12:$D$72,$A1461+1)))*INDEX(Surface_Engine!$B$12:$B$72,$A1461+1)+I1462</f>
        <v>5017.23828426008</v>
      </c>
      <c r="J1461" s="48" t="n">
        <f aca="false">B1461*(IF($A1461&lt;$Q$1455,INDEX(Surface_Engine!$D$12:$D$72,$A1461+1)*(1+Assumptions!$B$24)+(Surface_Engine!Q248*12)*INDEX(Surface_Engine!$F$12:$F$72,$A1461+1)-(Surface_Engine!Q248*12),1000*12*INDEX(Surface_Engine!$C$12:$C$72,$A1461+1)/(1+Assumptions!$B$10)^18+INDEX(Surface_Engine!$D$12:$D$72,$A1461+1)*(1+Assumptions!$B$24)))*INDEX(Surface_Engine!$B$12:$B$72,$A1461+1)+J1462</f>
        <v>4076.01874358475</v>
      </c>
      <c r="K1461" s="12" t="n">
        <f aca="false">SQRT((IF(C1461&lt;=0,0,MAX(0,(B1461/C1461)*G1461/INDEX(Surface_Engine!$B$12:$B$72,$A1461+1)-F1461/INDEX(Surface_Engine!$B$12:$B$72,$A1461+1))))^2+(MAX(IF(D1461&lt;=0,0,MAX(0,(B1461/D1461)*H1461/INDEX(Surface_Engine!$B$12:$B$72,$A1461+1)-F1461/INDEX(Surface_Engine!$B$12:$B$72,$A1461+1))),IF(E1461&lt;=0,0,MAX(0,(B1461/E1461)*I1461/INDEX(Surface_Engine!$B$12:$B$72,$A1461+1)-F1461/INDEX(Surface_Engine!$B$12:$B$72,$A1461+1))),IF($A1461&lt;$Q$1455,MAX(0,-Assumptions!$B$22*(F1461/INDEX(Surface_Engine!$B$12:$B$72,$A1461+1))),0)))^2+(MAX(0,J1461/INDEX(Surface_Engine!$B$12:$B$72,$A1461+1)-(F1461/INDEX(Surface_Engine!$B$12:$B$72,$A1461+1))))^2+2*Assumptions!$B$26*(IF(C1461&lt;=0,0,MAX(0,(B1461/C1461)*G1461/INDEX(Surface_Engine!$B$12:$B$72,$A1461+1)-F1461/INDEX(Surface_Engine!$B$12:$B$72,$A1461+1))))*(MAX(IF(D1461&lt;=0,0,MAX(0,(B1461/D1461)*H1461/INDEX(Surface_Engine!$B$12:$B$72,$A1461+1)-F1461/INDEX(Surface_Engine!$B$12:$B$72,$A1461+1))),IF(E1461&lt;=0,0,MAX(0,(B1461/E1461)*I1461/INDEX(Surface_Engine!$B$12:$B$72,$A1461+1)-F1461/INDEX(Surface_Engine!$B$12:$B$72,$A1461+1))),IF($A1461&lt;$Q$1455,MAX(0,-Assumptions!$B$22*(F1461/INDEX(Surface_Engine!$B$12:$B$72,$A1461+1))),0)))+2*Assumptions!$B$27*(IF(C1461&lt;=0,0,MAX(0,(B1461/C1461)*G1461/INDEX(Surface_Engine!$B$12:$B$72,$A1461+1)-F1461/INDEX(Surface_Engine!$B$12:$B$72,$A1461+1))))*(MAX(0,J1461/INDEX(Surface_Engine!$B$12:$B$72,$A1461+1)-(F1461/INDEX(Surface_Engine!$B$12:$B$72,$A1461+1))))+2*Assumptions!$B$28*(MAX(IF(D1461&lt;=0,0,MAX(0,(B1461/D1461)*H1461/INDEX(Surface_Engine!$B$12:$B$72,$A1461+1)-F1461/INDEX(Surface_Engine!$B$12:$B$72,$A1461+1))),IF(E1461&lt;=0,0,MAX(0,(B1461/E1461)*I1461/INDEX(Surface_Engine!$B$12:$B$72,$A1461+1)-F1461/INDEX(Surface_Engine!$B$12:$B$72,$A1461+1))),IF($A1461&lt;$Q$1455,MAX(0,-Assumptions!$B$22*(F1461/INDEX(Surface_Engine!$B$12:$B$72,$A1461+1))),0)))*(MAX(0,J1461/INDEX(Surface_Engine!$B$12:$B$72,$A1461+1)-(F1461/INDEX(Surface_Engine!$B$12:$B$72,$A1461+1)))))</f>
        <v>6027.03628081939</v>
      </c>
      <c r="L1461" s="48" t="n">
        <f aca="false">K1461*INDEX(Surface_Engine!$B$12:$B$72,$A1461+1)+L1462</f>
        <v>79914.198465846</v>
      </c>
      <c r="M1461" s="48" t="n">
        <f aca="false">M1460+B1460*(IF($A1460&lt;$Q$1455,(Surface_Engine!Q248*12)-(Surface_Engine!Q248*12)*INDEX(Surface_Engine!$F$12:$F$72,$A1460+1)-INDEX(Surface_Engine!$D$12:$D$72,$A1460+1),-(1000*12*INDEX(Surface_Engine!$C$12:$C$72,$A1460+1)/(1+Assumptions!$B$10)^18+INDEX(Surface_Engine!$D$12:$D$72,$A1460+1))))*INDEX(Surface_Engine!$B$12:$B$72,$A1460+1)</f>
        <v>4623.48577736515</v>
      </c>
      <c r="N1461" s="12" t="n">
        <f aca="false">IF(B1461&lt;=0,0,MAX(0,(K1461+Assumptions!$B$29*L1461/INDEX(Surface_Engine!$B$12:$B$72,$A1461+1)-(M1461/INDEX(Surface_Engine!$B$12:$B$72,$A1461+1)-(F1461/INDEX(Surface_Engine!$B$12:$B$72,$A1461+1))))/B1461))</f>
        <v>12315.3241674546</v>
      </c>
    </row>
    <row r="1462" customFormat="false" ht="15" hidden="false" customHeight="true" outlineLevel="0" collapsed="false">
      <c r="A1462" s="1" t="n">
        <v>5</v>
      </c>
      <c r="B1462" s="32" t="n">
        <f aca="false">INDEX(Surface_Engine!$S$12:$S$72,$A1462+1)*IF($A1462&lt;$Q$1455,INDEX(Surface_Engine!$E$12:$E$72,$A1462+1),INDEX(Surface_Engine!$E$12:$E$72,$Q$1455+1))</f>
        <v>0.836610393824476</v>
      </c>
      <c r="C1462" s="32" t="n">
        <f aca="false">INDEX(Panel_Reserving!$G$8:$G$68,$A1462+1)*IF($A1462&lt;$Q$1455,INDEX(Surface_Engine!$E$12:$E$72,$A1462+1),INDEX(Surface_Engine!$E$12:$E$72,$Q$1455+1))</f>
        <v>0.849305874853345</v>
      </c>
      <c r="D1462" s="32" t="n">
        <f aca="false">INDEX(Surface_Engine!$S$12:$S$72,$A1462+1)*IF($A1462&lt;$Q$1455,INDEX(Surface_Engine!$Y$12:$Y$72,$A1462+1),INDEX(Surface_Engine!$Y$12:$Y$72,$Q$1455+1))</f>
        <v>0.793562564258164</v>
      </c>
      <c r="E1462" s="32" t="n">
        <f aca="false">INDEX(Surface_Engine!$S$12:$S$72,$A1462+1)*IF($A1462&lt;$Q$1455,INDEX(Surface_Engine!$Z$12:$Z$72,$A1462+1),INDEX(Surface_Engine!$Z$12:$Z$72,$Q$1455+1))</f>
        <v>0.881369982457156</v>
      </c>
      <c r="F1462" s="48" t="n">
        <f aca="false">B1462*(IF($A1462&lt;$Q$1455,INDEX(Surface_Engine!$D$12:$D$72,$A1462+1)+(Surface_Engine!Q248*12)*INDEX(Surface_Engine!$F$12:$F$72,$A1462+1)-(Surface_Engine!Q248*12),1000*12*INDEX(Surface_Engine!$C$12:$C$72,$A1462+1)/(1+Assumptions!$B$10)^18+INDEX(Surface_Engine!$D$12:$D$72,$A1462+1)))*INDEX(Surface_Engine!$B$12:$B$72,$A1462+1)+F1463</f>
        <v>5380.69021317743</v>
      </c>
      <c r="G1462" s="48" t="n">
        <f aca="false">C1462*(IF($A1462&lt;$Q$1455,INDEX(Surface_Engine!$D$12:$D$72,$A1462+1)+(Surface_Engine!Q248*12)*INDEX(Surface_Engine!$F$12:$F$72,$A1462+1)-(Surface_Engine!Q248*12),1000*12*INDEX(Surface_Engine!$C$12:$C$72,$A1462+1)/(1+Assumptions!$B$10)^18+INDEX(Surface_Engine!$D$12:$D$72,$A1462+1)))*INDEX(Surface_Engine!$B$12:$B$72,$A1462+1)+G1463</f>
        <v>10642.4568109325</v>
      </c>
      <c r="H1462" s="48" t="n">
        <f aca="false">D1462*(IF($A1462&lt;$Q$1455,INDEX(Surface_Engine!$D$12:$D$72,$A1462+1)+(Surface_Engine!Q248*12)*INDEX(Surface_Engine!$F$12:$F$72,$A1462+1)-(Surface_Engine!Q248*12),1000*12*INDEX(Surface_Engine!$C$12:$C$72,$A1462+1)/(1+Assumptions!$B$10)^18+INDEX(Surface_Engine!$D$12:$D$72,$A1462+1)))*INDEX(Surface_Engine!$B$12:$B$72,$A1462+1)+H1463</f>
        <v>4419.65549157255</v>
      </c>
      <c r="I1462" s="48" t="n">
        <f aca="false">E1462*(IF($A1462&lt;$Q$1455,INDEX(Surface_Engine!$D$12:$D$72,$A1462+1)+(Surface_Engine!Q248*12)*INDEX(Surface_Engine!$F$12:$F$72,$A1462+1)-(Surface_Engine!Q248*12),1000*12*INDEX(Surface_Engine!$C$12:$C$72,$A1462+1)/(1+Assumptions!$B$10)^18+INDEX(Surface_Engine!$D$12:$D$72,$A1462+1)))*INDEX(Surface_Engine!$B$12:$B$72,$A1462+1)+I1463</f>
        <v>6478.36919325026</v>
      </c>
      <c r="J1462" s="48" t="n">
        <f aca="false">B1462*(IF($A1462&lt;$Q$1455,INDEX(Surface_Engine!$D$12:$D$72,$A1462+1)*(1+Assumptions!$B$24)+(Surface_Engine!Q248*12)*INDEX(Surface_Engine!$F$12:$F$72,$A1462+1)-(Surface_Engine!Q248*12),1000*12*INDEX(Surface_Engine!$C$12:$C$72,$A1462+1)/(1+Assumptions!$B$10)^18+INDEX(Surface_Engine!$D$12:$D$72,$A1462+1)*(1+Assumptions!$B$24)))*INDEX(Surface_Engine!$B$12:$B$72,$A1462+1)+J1463</f>
        <v>5465.24869119162</v>
      </c>
      <c r="K1462" s="12" t="n">
        <f aca="false">SQRT((IF(C1462&lt;=0,0,MAX(0,(B1462/C1462)*G1462/INDEX(Surface_Engine!$B$12:$B$72,$A1462+1)-F1462/INDEX(Surface_Engine!$B$12:$B$72,$A1462+1))))^2+(MAX(IF(D1462&lt;=0,0,MAX(0,(B1462/D1462)*H1462/INDEX(Surface_Engine!$B$12:$B$72,$A1462+1)-F1462/INDEX(Surface_Engine!$B$12:$B$72,$A1462+1))),IF(E1462&lt;=0,0,MAX(0,(B1462/E1462)*I1462/INDEX(Surface_Engine!$B$12:$B$72,$A1462+1)-F1462/INDEX(Surface_Engine!$B$12:$B$72,$A1462+1))),IF($A1462&lt;$Q$1455,MAX(0,-Assumptions!$B$22*(F1462/INDEX(Surface_Engine!$B$12:$B$72,$A1462+1))),0)))^2+(MAX(0,J1462/INDEX(Surface_Engine!$B$12:$B$72,$A1462+1)-(F1462/INDEX(Surface_Engine!$B$12:$B$72,$A1462+1))))^2+2*Assumptions!$B$26*(IF(C1462&lt;=0,0,MAX(0,(B1462/C1462)*G1462/INDEX(Surface_Engine!$B$12:$B$72,$A1462+1)-F1462/INDEX(Surface_Engine!$B$12:$B$72,$A1462+1))))*(MAX(IF(D1462&lt;=0,0,MAX(0,(B1462/D1462)*H1462/INDEX(Surface_Engine!$B$12:$B$72,$A1462+1)-F1462/INDEX(Surface_Engine!$B$12:$B$72,$A1462+1))),IF(E1462&lt;=0,0,MAX(0,(B1462/E1462)*I1462/INDEX(Surface_Engine!$B$12:$B$72,$A1462+1)-F1462/INDEX(Surface_Engine!$B$12:$B$72,$A1462+1))),IF($A1462&lt;$Q$1455,MAX(0,-Assumptions!$B$22*(F1462/INDEX(Surface_Engine!$B$12:$B$72,$A1462+1))),0)))+2*Assumptions!$B$27*(IF(C1462&lt;=0,0,MAX(0,(B1462/C1462)*G1462/INDEX(Surface_Engine!$B$12:$B$72,$A1462+1)-F1462/INDEX(Surface_Engine!$B$12:$B$72,$A1462+1))))*(MAX(0,J1462/INDEX(Surface_Engine!$B$12:$B$72,$A1462+1)-(F1462/INDEX(Surface_Engine!$B$12:$B$72,$A1462+1))))+2*Assumptions!$B$28*(MAX(IF(D1462&lt;=0,0,MAX(0,(B1462/D1462)*H1462/INDEX(Surface_Engine!$B$12:$B$72,$A1462+1)-F1462/INDEX(Surface_Engine!$B$12:$B$72,$A1462+1))),IF(E1462&lt;=0,0,MAX(0,(B1462/E1462)*I1462/INDEX(Surface_Engine!$B$12:$B$72,$A1462+1)-F1462/INDEX(Surface_Engine!$B$12:$B$72,$A1462+1))),IF($A1462&lt;$Q$1455,MAX(0,-Assumptions!$B$22*(F1462/INDEX(Surface_Engine!$B$12:$B$72,$A1462+1))),0)))*(MAX(0,J1462/INDEX(Surface_Engine!$B$12:$B$72,$A1462+1)-(F1462/INDEX(Surface_Engine!$B$12:$B$72,$A1462+1)))))</f>
        <v>6130.20343543503</v>
      </c>
      <c r="L1462" s="48" t="n">
        <f aca="false">K1462*INDEX(Surface_Engine!$B$12:$B$72,$A1462+1)+L1463</f>
        <v>74482.8841889491</v>
      </c>
      <c r="M1462" s="48" t="n">
        <f aca="false">M1461+B1461*(IF($A1461&lt;$Q$1455,(Surface_Engine!Q248*12)-(Surface_Engine!Q248*12)*INDEX(Surface_Engine!$F$12:$F$72,$A1461+1)-INDEX(Surface_Engine!$D$12:$D$72,$A1461+1),-(1000*12*INDEX(Surface_Engine!$C$12:$C$72,$A1461+1)/(1+Assumptions!$B$10)^18+INDEX(Surface_Engine!$D$12:$D$72,$A1461+1))))*INDEX(Surface_Engine!$B$12:$B$72,$A1461+1)</f>
        <v>6019.76185212839</v>
      </c>
      <c r="N1462" s="12" t="n">
        <f aca="false">IF(B1462&lt;=0,0,MAX(0,(K1462+Assumptions!$B$29*L1462/INDEX(Surface_Engine!$B$12:$B$72,$A1462+1)-(M1462/INDEX(Surface_Engine!$B$12:$B$72,$A1462+1)-(F1462/INDEX(Surface_Engine!$B$12:$B$72,$A1462+1))))/B1462))</f>
        <v>12549.7193739729</v>
      </c>
    </row>
    <row r="1463" customFormat="false" ht="15" hidden="false" customHeight="true" outlineLevel="0" collapsed="false">
      <c r="A1463" s="1" t="n">
        <v>6</v>
      </c>
      <c r="B1463" s="32" t="n">
        <f aca="false">INDEX(Surface_Engine!$S$12:$S$72,$A1463+1)*IF($A1463&lt;$Q$1455,INDEX(Surface_Engine!$E$12:$E$72,$A1463+1),INDEX(Surface_Engine!$E$12:$E$72,$Q$1455+1))</f>
        <v>0.811873349145694</v>
      </c>
      <c r="C1463" s="32" t="n">
        <f aca="false">INDEX(Panel_Reserving!$G$8:$G$68,$A1463+1)*IF($A1463&lt;$Q$1455,INDEX(Surface_Engine!$E$12:$E$72,$A1463+1),INDEX(Surface_Engine!$E$12:$E$72,$Q$1455+1))</f>
        <v>0.827670196628201</v>
      </c>
      <c r="D1463" s="32" t="n">
        <f aca="false">INDEX(Surface_Engine!$S$12:$S$72,$A1463+1)*IF($A1463&lt;$Q$1455,INDEX(Surface_Engine!$Y$12:$Y$72,$A1463+1),INDEX(Surface_Engine!$Y$12:$Y$72,$Q$1455+1))</f>
        <v>0.766562239135632</v>
      </c>
      <c r="E1463" s="32" t="n">
        <f aca="false">INDEX(Surface_Engine!$S$12:$S$72,$A1463+1)*IF($A1463&lt;$Q$1455,INDEX(Surface_Engine!$Z$12:$Z$72,$A1463+1),INDEX(Surface_Engine!$Z$12:$Z$72,$Q$1455+1))</f>
        <v>0.859236875756928</v>
      </c>
      <c r="F1463" s="48" t="n">
        <f aca="false">B1463*(IF($A1463&lt;$Q$1455,INDEX(Surface_Engine!$D$12:$D$72,$A1463+1)+(Surface_Engine!Q248*12)*INDEX(Surface_Engine!$F$12:$F$72,$A1463+1)-(Surface_Engine!Q248*12),1000*12*INDEX(Surface_Engine!$C$12:$C$72,$A1463+1)/(1+Assumptions!$B$10)^18+INDEX(Surface_Engine!$D$12:$D$72,$A1463+1)))*INDEX(Surface_Engine!$B$12:$B$72,$A1463+1)+F1464</f>
        <v>6694.42736355532</v>
      </c>
      <c r="G1463" s="48" t="n">
        <f aca="false">C1463*(IF($A1463&lt;$Q$1455,INDEX(Surface_Engine!$D$12:$D$72,$A1463+1)+(Surface_Engine!Q248*12)*INDEX(Surface_Engine!$F$12:$F$72,$A1463+1)-(Surface_Engine!Q248*12),1000*12*INDEX(Surface_Engine!$C$12:$C$72,$A1463+1)/(1+Assumptions!$B$10)^18+INDEX(Surface_Engine!$D$12:$D$72,$A1463+1)))*INDEX(Surface_Engine!$B$12:$B$72,$A1463+1)+G1464</f>
        <v>11976.1297942772</v>
      </c>
      <c r="H1463" s="48" t="n">
        <f aca="false">D1463*(IF($A1463&lt;$Q$1455,INDEX(Surface_Engine!$D$12:$D$72,$A1463+1)+(Surface_Engine!Q248*12)*INDEX(Surface_Engine!$F$12:$F$72,$A1463+1)-(Surface_Engine!Q248*12),1000*12*INDEX(Surface_Engine!$C$12:$C$72,$A1463+1)/(1+Assumptions!$B$10)^18+INDEX(Surface_Engine!$D$12:$D$72,$A1463+1)))*INDEX(Surface_Engine!$B$12:$B$72,$A1463+1)+H1464</f>
        <v>5665.79423131407</v>
      </c>
      <c r="I1463" s="48" t="n">
        <f aca="false">E1463*(IF($A1463&lt;$Q$1455,INDEX(Surface_Engine!$D$12:$D$72,$A1463+1)+(Surface_Engine!Q248*12)*INDEX(Surface_Engine!$F$12:$F$72,$A1463+1)-(Surface_Engine!Q248*12),1000*12*INDEX(Surface_Engine!$C$12:$C$72,$A1463+1)/(1+Assumptions!$B$10)^18+INDEX(Surface_Engine!$D$12:$D$72,$A1463+1)))*INDEX(Surface_Engine!$B$12:$B$72,$A1463+1)+I1464</f>
        <v>7862.39274558592</v>
      </c>
      <c r="J1463" s="48" t="n">
        <f aca="false">B1463*(IF($A1463&lt;$Q$1455,INDEX(Surface_Engine!$D$12:$D$72,$A1463+1)*(1+Assumptions!$B$24)+(Surface_Engine!Q248*12)*INDEX(Surface_Engine!$F$12:$F$72,$A1463+1)-(Surface_Engine!Q248*12),1000*12*INDEX(Surface_Engine!$C$12:$C$72,$A1463+1)/(1+Assumptions!$B$10)^18+INDEX(Surface_Engine!$D$12:$D$72,$A1463+1)*(1+Assumptions!$B$24)))*INDEX(Surface_Engine!$B$12:$B$72,$A1463+1)+J1464</f>
        <v>6772.18191253578</v>
      </c>
      <c r="K1463" s="12" t="n">
        <f aca="false">SQRT((IF(C1463&lt;=0,0,MAX(0,(B1463/C1463)*G1463/INDEX(Surface_Engine!$B$12:$B$72,$A1463+1)-F1463/INDEX(Surface_Engine!$B$12:$B$72,$A1463+1))))^2+(MAX(IF(D1463&lt;=0,0,MAX(0,(B1463/D1463)*H1463/INDEX(Surface_Engine!$B$12:$B$72,$A1463+1)-F1463/INDEX(Surface_Engine!$B$12:$B$72,$A1463+1))),IF(E1463&lt;=0,0,MAX(0,(B1463/E1463)*I1463/INDEX(Surface_Engine!$B$12:$B$72,$A1463+1)-F1463/INDEX(Surface_Engine!$B$12:$B$72,$A1463+1))),IF($A1463&lt;$Q$1455,MAX(0,-Assumptions!$B$22*(F1463/INDEX(Surface_Engine!$B$12:$B$72,$A1463+1))),0)))^2+(MAX(0,J1463/INDEX(Surface_Engine!$B$12:$B$72,$A1463+1)-(F1463/INDEX(Surface_Engine!$B$12:$B$72,$A1463+1))))^2+2*Assumptions!$B$26*(IF(C1463&lt;=0,0,MAX(0,(B1463/C1463)*G1463/INDEX(Surface_Engine!$B$12:$B$72,$A1463+1)-F1463/INDEX(Surface_Engine!$B$12:$B$72,$A1463+1))))*(MAX(IF(D1463&lt;=0,0,MAX(0,(B1463/D1463)*H1463/INDEX(Surface_Engine!$B$12:$B$72,$A1463+1)-F1463/INDEX(Surface_Engine!$B$12:$B$72,$A1463+1))),IF(E1463&lt;=0,0,MAX(0,(B1463/E1463)*I1463/INDEX(Surface_Engine!$B$12:$B$72,$A1463+1)-F1463/INDEX(Surface_Engine!$B$12:$B$72,$A1463+1))),IF($A1463&lt;$Q$1455,MAX(0,-Assumptions!$B$22*(F1463/INDEX(Surface_Engine!$B$12:$B$72,$A1463+1))),0)))+2*Assumptions!$B$27*(IF(C1463&lt;=0,0,MAX(0,(B1463/C1463)*G1463/INDEX(Surface_Engine!$B$12:$B$72,$A1463+1)-F1463/INDEX(Surface_Engine!$B$12:$B$72,$A1463+1))))*(MAX(0,J1463/INDEX(Surface_Engine!$B$12:$B$72,$A1463+1)-(F1463/INDEX(Surface_Engine!$B$12:$B$72,$A1463+1))))+2*Assumptions!$B$28*(MAX(IF(D1463&lt;=0,0,MAX(0,(B1463/D1463)*H1463/INDEX(Surface_Engine!$B$12:$B$72,$A1463+1)-F1463/INDEX(Surface_Engine!$B$12:$B$72,$A1463+1))),IF(E1463&lt;=0,0,MAX(0,(B1463/E1463)*I1463/INDEX(Surface_Engine!$B$12:$B$72,$A1463+1)-F1463/INDEX(Surface_Engine!$B$12:$B$72,$A1463+1))),IF($A1463&lt;$Q$1455,MAX(0,-Assumptions!$B$22*(F1463/INDEX(Surface_Engine!$B$12:$B$72,$A1463+1))),0)))*(MAX(0,J1463/INDEX(Surface_Engine!$B$12:$B$72,$A1463+1)-(F1463/INDEX(Surface_Engine!$B$12:$B$72,$A1463+1)))))</f>
        <v>6231.84297540078</v>
      </c>
      <c r="L1463" s="48" t="n">
        <f aca="false">K1463*INDEX(Surface_Engine!$B$12:$B$72,$A1463+1)+L1464</f>
        <v>69109.1246732807</v>
      </c>
      <c r="M1463" s="48" t="n">
        <f aca="false">M1462+B1462*(IF($A1462&lt;$Q$1455,(Surface_Engine!Q248*12)-(Surface_Engine!Q248*12)*INDEX(Surface_Engine!$F$12:$F$72,$A1462+1)-INDEX(Surface_Engine!$D$12:$D$72,$A1462+1),-(1000*12*INDEX(Surface_Engine!$C$12:$C$72,$A1462+1)/(1+Assumptions!$B$10)^18+INDEX(Surface_Engine!$D$12:$D$72,$A1462+1))))*INDEX(Surface_Engine!$B$12:$B$72,$A1462+1)</f>
        <v>7333.49900250629</v>
      </c>
      <c r="N1463" s="12" t="n">
        <f aca="false">IF(B1463&lt;=0,0,MAX(0,(K1463+Assumptions!$B$29*L1463/INDEX(Surface_Engine!$B$12:$B$72,$A1463+1)-(M1463/INDEX(Surface_Engine!$B$12:$B$72,$A1463+1)-(F1463/INDEX(Surface_Engine!$B$12:$B$72,$A1463+1))))/B1463))</f>
        <v>12746.736915517</v>
      </c>
    </row>
    <row r="1464" customFormat="false" ht="15" hidden="false" customHeight="true" outlineLevel="0" collapsed="false">
      <c r="A1464" s="1" t="n">
        <v>7</v>
      </c>
      <c r="B1464" s="32" t="n">
        <f aca="false">INDEX(Surface_Engine!$S$12:$S$72,$A1464+1)*IF($A1464&lt;$Q$1455,INDEX(Surface_Engine!$E$12:$E$72,$A1464+1),INDEX(Surface_Engine!$E$12:$E$72,$Q$1455+1))</f>
        <v>0.785878988350536</v>
      </c>
      <c r="C1464" s="32" t="n">
        <f aca="false">INDEX(Panel_Reserving!$G$8:$G$68,$A1464+1)*IF($A1464&lt;$Q$1455,INDEX(Surface_Engine!$E$12:$E$72,$A1464+1),INDEX(Surface_Engine!$E$12:$E$72,$Q$1455+1))</f>
        <v>0.804963724578742</v>
      </c>
      <c r="D1464" s="32" t="n">
        <f aca="false">INDEX(Surface_Engine!$S$12:$S$72,$A1464+1)*IF($A1464&lt;$Q$1455,INDEX(Surface_Engine!$Y$12:$Y$72,$A1464+1),INDEX(Surface_Engine!$Y$12:$Y$72,$Q$1455+1))</f>
        <v>0.73861144805783</v>
      </c>
      <c r="E1464" s="32" t="n">
        <f aca="false">INDEX(Surface_Engine!$S$12:$S$72,$A1464+1)*IF($A1464&lt;$Q$1455,INDEX(Surface_Engine!$Z$12:$Z$72,$A1464+1),INDEX(Surface_Engine!$Z$12:$Z$72,$Q$1455+1))</f>
        <v>0.835545148604811</v>
      </c>
      <c r="F1464" s="48" t="n">
        <f aca="false">B1464*(IF($A1464&lt;$Q$1455,INDEX(Surface_Engine!$D$12:$D$72,$A1464+1)+(Surface_Engine!Q248*12)*INDEX(Surface_Engine!$F$12:$F$72,$A1464+1)-(Surface_Engine!Q248*12),1000*12*INDEX(Surface_Engine!$C$12:$C$72,$A1464+1)/(1+Assumptions!$B$10)^18+INDEX(Surface_Engine!$D$12:$D$72,$A1464+1)))*INDEX(Surface_Engine!$B$12:$B$72,$A1464+1)+F1465</f>
        <v>7931.89145027243</v>
      </c>
      <c r="G1464" s="48" t="n">
        <f aca="false">C1464*(IF($A1464&lt;$Q$1455,INDEX(Surface_Engine!$D$12:$D$72,$A1464+1)+(Surface_Engine!Q248*12)*INDEX(Surface_Engine!$F$12:$F$72,$A1464+1)-(Surface_Engine!Q248*12),1000*12*INDEX(Surface_Engine!$C$12:$C$72,$A1464+1)/(1+Assumptions!$B$10)^18+INDEX(Surface_Engine!$D$12:$D$72,$A1464+1)))*INDEX(Surface_Engine!$B$12:$B$72,$A1464+1)+G1465</f>
        <v>13237.6715668347</v>
      </c>
      <c r="H1464" s="48" t="n">
        <f aca="false">D1464*(IF($A1464&lt;$Q$1455,INDEX(Surface_Engine!$D$12:$D$72,$A1464+1)+(Surface_Engine!Q248*12)*INDEX(Surface_Engine!$F$12:$F$72,$A1464+1)-(Surface_Engine!Q248*12),1000*12*INDEX(Surface_Engine!$C$12:$C$72,$A1464+1)/(1+Assumptions!$B$10)^18+INDEX(Surface_Engine!$D$12:$D$72,$A1464+1)))*INDEX(Surface_Engine!$B$12:$B$72,$A1464+1)+H1465</f>
        <v>6834.1947486632</v>
      </c>
      <c r="I1464" s="48" t="n">
        <f aca="false">E1464*(IF($A1464&lt;$Q$1455,INDEX(Surface_Engine!$D$12:$D$72,$A1464+1)+(Surface_Engine!Q248*12)*INDEX(Surface_Engine!$F$12:$F$72,$A1464+1)-(Surface_Engine!Q248*12),1000*12*INDEX(Surface_Engine!$C$12:$C$72,$A1464+1)/(1+Assumptions!$B$10)^18+INDEX(Surface_Engine!$D$12:$D$72,$A1464+1)))*INDEX(Surface_Engine!$B$12:$B$72,$A1464+1)+I1465</f>
        <v>9172.04871206277</v>
      </c>
      <c r="J1464" s="48" t="n">
        <f aca="false">B1464*(IF($A1464&lt;$Q$1455,INDEX(Surface_Engine!$D$12:$D$72,$A1464+1)*(1+Assumptions!$B$24)+(Surface_Engine!Q248*12)*INDEX(Surface_Engine!$F$12:$F$72,$A1464+1)-(Surface_Engine!Q248*12),1000*12*INDEX(Surface_Engine!$C$12:$C$72,$A1464+1)/(1+Assumptions!$B$10)^18+INDEX(Surface_Engine!$D$12:$D$72,$A1464+1)*(1+Assumptions!$B$24)))*INDEX(Surface_Engine!$B$12:$B$72,$A1464+1)+J1465</f>
        <v>8003.06835415192</v>
      </c>
      <c r="K1464" s="12" t="n">
        <f aca="false">SQRT((IF(C1464&lt;=0,0,MAX(0,(B1464/C1464)*G1464/INDEX(Surface_Engine!$B$12:$B$72,$A1464+1)-F1464/INDEX(Surface_Engine!$B$12:$B$72,$A1464+1))))^2+(MAX(IF(D1464&lt;=0,0,MAX(0,(B1464/D1464)*H1464/INDEX(Surface_Engine!$B$12:$B$72,$A1464+1)-F1464/INDEX(Surface_Engine!$B$12:$B$72,$A1464+1))),IF(E1464&lt;=0,0,MAX(0,(B1464/E1464)*I1464/INDEX(Surface_Engine!$B$12:$B$72,$A1464+1)-F1464/INDEX(Surface_Engine!$B$12:$B$72,$A1464+1))),IF($A1464&lt;$Q$1455,MAX(0,-Assumptions!$B$22*(F1464/INDEX(Surface_Engine!$B$12:$B$72,$A1464+1))),0)))^2+(MAX(0,J1464/INDEX(Surface_Engine!$B$12:$B$72,$A1464+1)-(F1464/INDEX(Surface_Engine!$B$12:$B$72,$A1464+1))))^2+2*Assumptions!$B$26*(IF(C1464&lt;=0,0,MAX(0,(B1464/C1464)*G1464/INDEX(Surface_Engine!$B$12:$B$72,$A1464+1)-F1464/INDEX(Surface_Engine!$B$12:$B$72,$A1464+1))))*(MAX(IF(D1464&lt;=0,0,MAX(0,(B1464/D1464)*H1464/INDEX(Surface_Engine!$B$12:$B$72,$A1464+1)-F1464/INDEX(Surface_Engine!$B$12:$B$72,$A1464+1))),IF(E1464&lt;=0,0,MAX(0,(B1464/E1464)*I1464/INDEX(Surface_Engine!$B$12:$B$72,$A1464+1)-F1464/INDEX(Surface_Engine!$B$12:$B$72,$A1464+1))),IF($A1464&lt;$Q$1455,MAX(0,-Assumptions!$B$22*(F1464/INDEX(Surface_Engine!$B$12:$B$72,$A1464+1))),0)))+2*Assumptions!$B$27*(IF(C1464&lt;=0,0,MAX(0,(B1464/C1464)*G1464/INDEX(Surface_Engine!$B$12:$B$72,$A1464+1)-F1464/INDEX(Surface_Engine!$B$12:$B$72,$A1464+1))))*(MAX(0,J1464/INDEX(Surface_Engine!$B$12:$B$72,$A1464+1)-(F1464/INDEX(Surface_Engine!$B$12:$B$72,$A1464+1))))+2*Assumptions!$B$28*(MAX(IF(D1464&lt;=0,0,MAX(0,(B1464/D1464)*H1464/INDEX(Surface_Engine!$B$12:$B$72,$A1464+1)-F1464/INDEX(Surface_Engine!$B$12:$B$72,$A1464+1))),IF(E1464&lt;=0,0,MAX(0,(B1464/E1464)*I1464/INDEX(Surface_Engine!$B$12:$B$72,$A1464+1)-F1464/INDEX(Surface_Engine!$B$12:$B$72,$A1464+1))),IF($A1464&lt;$Q$1455,MAX(0,-Assumptions!$B$22*(F1464/INDEX(Surface_Engine!$B$12:$B$72,$A1464+1))),0)))*(MAX(0,J1464/INDEX(Surface_Engine!$B$12:$B$72,$A1464+1)-(F1464/INDEX(Surface_Engine!$B$12:$B$72,$A1464+1)))))</f>
        <v>6325.62033960213</v>
      </c>
      <c r="L1464" s="48" t="n">
        <f aca="false">K1464*INDEX(Surface_Engine!$B$12:$B$72,$A1464+1)+L1465</f>
        <v>63799.7715749844</v>
      </c>
      <c r="M1464" s="48" t="n">
        <f aca="false">M1463+B1463*(IF($A1463&lt;$Q$1455,(Surface_Engine!Q248*12)-(Surface_Engine!Q248*12)*INDEX(Surface_Engine!$F$12:$F$72,$A1463+1)-INDEX(Surface_Engine!$D$12:$D$72,$A1463+1),-(1000*12*INDEX(Surface_Engine!$C$12:$C$72,$A1463+1)/(1+Assumptions!$B$10)^18+INDEX(Surface_Engine!$D$12:$D$72,$A1463+1))))*INDEX(Surface_Engine!$B$12:$B$72,$A1463+1)</f>
        <v>8570.96308922339</v>
      </c>
      <c r="N1464" s="12" t="n">
        <f aca="false">IF(B1464&lt;=0,0,MAX(0,(K1464+Assumptions!$B$29*L1464/INDEX(Surface_Engine!$B$12:$B$72,$A1464+1)-(M1464/INDEX(Surface_Engine!$B$12:$B$72,$A1464+1)-(F1464/INDEX(Surface_Engine!$B$12:$B$72,$A1464+1))))/B1464))</f>
        <v>12955.4692829696</v>
      </c>
    </row>
    <row r="1465" customFormat="false" ht="15" hidden="false" customHeight="true" outlineLevel="0" collapsed="false">
      <c r="A1465" s="1" t="n">
        <v>8</v>
      </c>
      <c r="B1465" s="32" t="n">
        <f aca="false">INDEX(Surface_Engine!$S$12:$S$72,$A1465+1)*IF($A1465&lt;$Q$1455,INDEX(Surface_Engine!$E$12:$E$72,$A1465+1),INDEX(Surface_Engine!$E$12:$E$72,$Q$1455+1))</f>
        <v>0.758538721210434</v>
      </c>
      <c r="C1465" s="32" t="n">
        <f aca="false">INDEX(Panel_Reserving!$G$8:$G$68,$A1465+1)*IF($A1465&lt;$Q$1455,INDEX(Surface_Engine!$E$12:$E$72,$A1465+1),INDEX(Surface_Engine!$E$12:$E$72,$Q$1455+1))</f>
        <v>0.7810953195016</v>
      </c>
      <c r="D1465" s="32" t="n">
        <f aca="false">INDEX(Surface_Engine!$S$12:$S$72,$A1465+1)*IF($A1465&lt;$Q$1455,INDEX(Surface_Engine!$Y$12:$Y$72,$A1465+1),INDEX(Surface_Engine!$Y$12:$Y$72,$Q$1455+1))</f>
        <v>0.709642035513705</v>
      </c>
      <c r="E1465" s="32" t="n">
        <f aca="false">INDEX(Surface_Engine!$S$12:$S$72,$A1465+1)*IF($A1465&lt;$Q$1455,INDEX(Surface_Engine!$Z$12:$Z$72,$A1465+1),INDEX(Surface_Engine!$Z$12:$Z$72,$Q$1455+1))</f>
        <v>0.810180194306114</v>
      </c>
      <c r="F1465" s="48" t="n">
        <f aca="false">B1465*(IF($A1465&lt;$Q$1455,INDEX(Surface_Engine!$D$12:$D$72,$A1465+1)+(Surface_Engine!Q248*12)*INDEX(Surface_Engine!$F$12:$F$72,$A1465+1)-(Surface_Engine!Q248*12),1000*12*INDEX(Surface_Engine!$C$12:$C$72,$A1465+1)/(1+Assumptions!$B$10)^18+INDEX(Surface_Engine!$D$12:$D$72,$A1465+1)))*INDEX(Surface_Engine!$B$12:$B$72,$A1465+1)+F1466</f>
        <v>9093.13837360199</v>
      </c>
      <c r="G1465" s="48" t="n">
        <f aca="false">C1465*(IF($A1465&lt;$Q$1455,INDEX(Surface_Engine!$D$12:$D$72,$A1465+1)+(Surface_Engine!Q248*12)*INDEX(Surface_Engine!$F$12:$F$72,$A1465+1)-(Surface_Engine!Q248*12),1000*12*INDEX(Surface_Engine!$C$12:$C$72,$A1465+1)/(1+Assumptions!$B$10)^18+INDEX(Surface_Engine!$D$12:$D$72,$A1465+1)))*INDEX(Surface_Engine!$B$12:$B$72,$A1465+1)+G1466</f>
        <v>14427.1188766819</v>
      </c>
      <c r="H1465" s="48" t="n">
        <f aca="false">D1465*(IF($A1465&lt;$Q$1455,INDEX(Surface_Engine!$D$12:$D$72,$A1465+1)+(Surface_Engine!Q248*12)*INDEX(Surface_Engine!$F$12:$F$72,$A1465+1)-(Surface_Engine!Q248*12),1000*12*INDEX(Surface_Engine!$C$12:$C$72,$A1465+1)/(1+Assumptions!$B$10)^18+INDEX(Surface_Engine!$D$12:$D$72,$A1465+1)))*INDEX(Surface_Engine!$B$12:$B$72,$A1465+1)+H1466</f>
        <v>7925.59722195412</v>
      </c>
      <c r="I1465" s="48" t="n">
        <f aca="false">E1465*(IF($A1465&lt;$Q$1455,INDEX(Surface_Engine!$D$12:$D$72,$A1465+1)+(Surface_Engine!Q248*12)*INDEX(Surface_Engine!$F$12:$F$72,$A1465+1)-(Surface_Engine!Q248*12),1000*12*INDEX(Surface_Engine!$C$12:$C$72,$A1465+1)/(1+Assumptions!$B$10)^18+INDEX(Surface_Engine!$D$12:$D$72,$A1465+1)))*INDEX(Surface_Engine!$B$12:$B$72,$A1465+1)+I1466</f>
        <v>10406.6843843522</v>
      </c>
      <c r="J1465" s="48" t="n">
        <f aca="false">B1465*(IF($A1465&lt;$Q$1455,INDEX(Surface_Engine!$D$12:$D$72,$A1465+1)*(1+Assumptions!$B$24)+(Surface_Engine!Q248*12)*INDEX(Surface_Engine!$F$12:$F$72,$A1465+1)-(Surface_Engine!Q248*12),1000*12*INDEX(Surface_Engine!$C$12:$C$72,$A1465+1)/(1+Assumptions!$B$10)^18+INDEX(Surface_Engine!$D$12:$D$72,$A1465+1)*(1+Assumptions!$B$24)))*INDEX(Surface_Engine!$B$12:$B$72,$A1465+1)+J1466</f>
        <v>9157.98002724616</v>
      </c>
      <c r="K1465" s="12" t="n">
        <f aca="false">SQRT((IF(C1465&lt;=0,0,MAX(0,(B1465/C1465)*G1465/INDEX(Surface_Engine!$B$12:$B$72,$A1465+1)-F1465/INDEX(Surface_Engine!$B$12:$B$72,$A1465+1))))^2+(MAX(IF(D1465&lt;=0,0,MAX(0,(B1465/D1465)*H1465/INDEX(Surface_Engine!$B$12:$B$72,$A1465+1)-F1465/INDEX(Surface_Engine!$B$12:$B$72,$A1465+1))),IF(E1465&lt;=0,0,MAX(0,(B1465/E1465)*I1465/INDEX(Surface_Engine!$B$12:$B$72,$A1465+1)-F1465/INDEX(Surface_Engine!$B$12:$B$72,$A1465+1))),IF($A1465&lt;$Q$1455,MAX(0,-Assumptions!$B$22*(F1465/INDEX(Surface_Engine!$B$12:$B$72,$A1465+1))),0)))^2+(MAX(0,J1465/INDEX(Surface_Engine!$B$12:$B$72,$A1465+1)-(F1465/INDEX(Surface_Engine!$B$12:$B$72,$A1465+1))))^2+2*Assumptions!$B$26*(IF(C1465&lt;=0,0,MAX(0,(B1465/C1465)*G1465/INDEX(Surface_Engine!$B$12:$B$72,$A1465+1)-F1465/INDEX(Surface_Engine!$B$12:$B$72,$A1465+1))))*(MAX(IF(D1465&lt;=0,0,MAX(0,(B1465/D1465)*H1465/INDEX(Surface_Engine!$B$12:$B$72,$A1465+1)-F1465/INDEX(Surface_Engine!$B$12:$B$72,$A1465+1))),IF(E1465&lt;=0,0,MAX(0,(B1465/E1465)*I1465/INDEX(Surface_Engine!$B$12:$B$72,$A1465+1)-F1465/INDEX(Surface_Engine!$B$12:$B$72,$A1465+1))),IF($A1465&lt;$Q$1455,MAX(0,-Assumptions!$B$22*(F1465/INDEX(Surface_Engine!$B$12:$B$72,$A1465+1))),0)))+2*Assumptions!$B$27*(IF(C1465&lt;=0,0,MAX(0,(B1465/C1465)*G1465/INDEX(Surface_Engine!$B$12:$B$72,$A1465+1)-F1465/INDEX(Surface_Engine!$B$12:$B$72,$A1465+1))))*(MAX(0,J1465/INDEX(Surface_Engine!$B$12:$B$72,$A1465+1)-(F1465/INDEX(Surface_Engine!$B$12:$B$72,$A1465+1))))+2*Assumptions!$B$28*(MAX(IF(D1465&lt;=0,0,MAX(0,(B1465/D1465)*H1465/INDEX(Surface_Engine!$B$12:$B$72,$A1465+1)-F1465/INDEX(Surface_Engine!$B$12:$B$72,$A1465+1))),IF(E1465&lt;=0,0,MAX(0,(B1465/E1465)*I1465/INDEX(Surface_Engine!$B$12:$B$72,$A1465+1)-F1465/INDEX(Surface_Engine!$B$12:$B$72,$A1465+1))),IF($A1465&lt;$Q$1455,MAX(0,-Assumptions!$B$22*(F1465/INDEX(Surface_Engine!$B$12:$B$72,$A1465+1))),0)))*(MAX(0,J1465/INDEX(Surface_Engine!$B$12:$B$72,$A1465+1)-(F1465/INDEX(Surface_Engine!$B$12:$B$72,$A1465+1)))))</f>
        <v>6408.28355900866</v>
      </c>
      <c r="L1465" s="48" t="n">
        <f aca="false">K1465*INDEX(Surface_Engine!$B$12:$B$72,$A1465+1)+L1466</f>
        <v>58568.2224423104</v>
      </c>
      <c r="M1465" s="48" t="n">
        <f aca="false">M1464+B1464*(IF($A1464&lt;$Q$1455,(Surface_Engine!Q248*12)-(Surface_Engine!Q248*12)*INDEX(Surface_Engine!$F$12:$F$72,$A1464+1)-INDEX(Surface_Engine!$D$12:$D$72,$A1464+1),-(1000*12*INDEX(Surface_Engine!$C$12:$C$72,$A1464+1)/(1+Assumptions!$B$10)^18+INDEX(Surface_Engine!$D$12:$D$72,$A1464+1))))*INDEX(Surface_Engine!$B$12:$B$72,$A1464+1)</f>
        <v>9732.21001255295</v>
      </c>
      <c r="N1465" s="12" t="n">
        <f aca="false">IF(B1465&lt;=0,0,MAX(0,(K1465+Assumptions!$B$29*L1465/INDEX(Surface_Engine!$B$12:$B$72,$A1465+1)-(M1465/INDEX(Surface_Engine!$B$12:$B$72,$A1465+1)-(F1465/INDEX(Surface_Engine!$B$12:$B$72,$A1465+1))))/B1465))</f>
        <v>13174.706936073</v>
      </c>
    </row>
    <row r="1466" customFormat="false" ht="15" hidden="false" customHeight="true" outlineLevel="0" collapsed="false">
      <c r="A1466" s="1" t="n">
        <v>9</v>
      </c>
      <c r="B1466" s="32" t="n">
        <f aca="false">INDEX(Surface_Engine!$S$12:$S$72,$A1466+1)*IF($A1466&lt;$Q$1455,INDEX(Surface_Engine!$E$12:$E$72,$A1466+1),INDEX(Surface_Engine!$E$12:$E$72,$Q$1455+1))</f>
        <v>0.729031557959189</v>
      </c>
      <c r="C1466" s="32" t="n">
        <f aca="false">INDEX(Panel_Reserving!$G$8:$G$68,$A1466+1)*IF($A1466&lt;$Q$1455,INDEX(Surface_Engine!$E$12:$E$72,$A1466+1),INDEX(Surface_Engine!$E$12:$E$72,$Q$1455+1))</f>
        <v>0.755366033913855</v>
      </c>
      <c r="D1466" s="32" t="n">
        <f aca="false">INDEX(Surface_Engine!$S$12:$S$72,$A1466+1)*IF($A1466&lt;$Q$1455,INDEX(Surface_Engine!$Y$12:$Y$72,$A1466+1),INDEX(Surface_Engine!$Y$12:$Y$72,$Q$1455+1))</f>
        <v>0.678905186565601</v>
      </c>
      <c r="E1466" s="32" t="n">
        <f aca="false">INDEX(Surface_Engine!$S$12:$S$72,$A1466+1)*IF($A1466&lt;$Q$1455,INDEX(Surface_Engine!$Z$12:$Z$72,$A1466+1),INDEX(Surface_Engine!$Z$12:$Z$72,$Q$1455+1))</f>
        <v>0.782239635955743</v>
      </c>
      <c r="F1466" s="48" t="n">
        <f aca="false">B1466*(IF($A1466&lt;$Q$1455,INDEX(Surface_Engine!$D$12:$D$72,$A1466+1)+(Surface_Engine!Q248*12)*INDEX(Surface_Engine!$F$12:$F$72,$A1466+1)-(Surface_Engine!Q248*12),1000*12*INDEX(Surface_Engine!$C$12:$C$72,$A1466+1)/(1+Assumptions!$B$10)^18+INDEX(Surface_Engine!$D$12:$D$72,$A1466+1)))*INDEX(Surface_Engine!$B$12:$B$72,$A1466+1)+F1467</f>
        <v>10178.4373959401</v>
      </c>
      <c r="G1466" s="48" t="n">
        <f aca="false">C1466*(IF($A1466&lt;$Q$1455,INDEX(Surface_Engine!$D$12:$D$72,$A1466+1)+(Surface_Engine!Q248*12)*INDEX(Surface_Engine!$F$12:$F$72,$A1466+1)-(Surface_Engine!Q248*12),1000*12*INDEX(Surface_Engine!$C$12:$C$72,$A1466+1)/(1+Assumptions!$B$10)^18+INDEX(Surface_Engine!$D$12:$D$72,$A1466+1)))*INDEX(Surface_Engine!$B$12:$B$72,$A1466+1)+G1467</f>
        <v>15544.6913392389</v>
      </c>
      <c r="H1466" s="48" t="n">
        <f aca="false">D1466*(IF($A1466&lt;$Q$1455,INDEX(Surface_Engine!$D$12:$D$72,$A1466+1)+(Surface_Engine!Q248*12)*INDEX(Surface_Engine!$F$12:$F$72,$A1466+1)-(Surface_Engine!Q248*12),1000*12*INDEX(Surface_Engine!$C$12:$C$72,$A1466+1)/(1+Assumptions!$B$10)^18+INDEX(Surface_Engine!$D$12:$D$72,$A1466+1)))*INDEX(Surface_Engine!$B$12:$B$72,$A1466+1)+H1467</f>
        <v>8940.9360383089</v>
      </c>
      <c r="I1466" s="48" t="n">
        <f aca="false">E1466*(IF($A1466&lt;$Q$1455,INDEX(Surface_Engine!$D$12:$D$72,$A1466+1)+(Surface_Engine!Q248*12)*INDEX(Surface_Engine!$F$12:$F$72,$A1466+1)-(Surface_Engine!Q248*12),1000*12*INDEX(Surface_Engine!$C$12:$C$72,$A1466+1)/(1+Assumptions!$B$10)^18+INDEX(Surface_Engine!$D$12:$D$72,$A1466+1)))*INDEX(Surface_Engine!$B$12:$B$72,$A1466+1)+I1467</f>
        <v>11565.8707886995</v>
      </c>
      <c r="J1466" s="48" t="n">
        <f aca="false">B1466*(IF($A1466&lt;$Q$1455,INDEX(Surface_Engine!$D$12:$D$72,$A1466+1)*(1+Assumptions!$B$24)+(Surface_Engine!Q248*12)*INDEX(Surface_Engine!$F$12:$F$72,$A1466+1)-(Surface_Engine!Q248*12),1000*12*INDEX(Surface_Engine!$C$12:$C$72,$A1466+1)/(1+Assumptions!$B$10)^18+INDEX(Surface_Engine!$D$12:$D$72,$A1466+1)*(1+Assumptions!$B$24)))*INDEX(Surface_Engine!$B$12:$B$72,$A1466+1)+J1467</f>
        <v>10237.2018260843</v>
      </c>
      <c r="K1466" s="12" t="n">
        <f aca="false">SQRT((IF(C1466&lt;=0,0,MAX(0,(B1466/C1466)*G1466/INDEX(Surface_Engine!$B$12:$B$72,$A1466+1)-F1466/INDEX(Surface_Engine!$B$12:$B$72,$A1466+1))))^2+(MAX(IF(D1466&lt;=0,0,MAX(0,(B1466/D1466)*H1466/INDEX(Surface_Engine!$B$12:$B$72,$A1466+1)-F1466/INDEX(Surface_Engine!$B$12:$B$72,$A1466+1))),IF(E1466&lt;=0,0,MAX(0,(B1466/E1466)*I1466/INDEX(Surface_Engine!$B$12:$B$72,$A1466+1)-F1466/INDEX(Surface_Engine!$B$12:$B$72,$A1466+1))),IF($A1466&lt;$Q$1455,MAX(0,-Assumptions!$B$22*(F1466/INDEX(Surface_Engine!$B$12:$B$72,$A1466+1))),0)))^2+(MAX(0,J1466/INDEX(Surface_Engine!$B$12:$B$72,$A1466+1)-(F1466/INDEX(Surface_Engine!$B$12:$B$72,$A1466+1))))^2+2*Assumptions!$B$26*(IF(C1466&lt;=0,0,MAX(0,(B1466/C1466)*G1466/INDEX(Surface_Engine!$B$12:$B$72,$A1466+1)-F1466/INDEX(Surface_Engine!$B$12:$B$72,$A1466+1))))*(MAX(IF(D1466&lt;=0,0,MAX(0,(B1466/D1466)*H1466/INDEX(Surface_Engine!$B$12:$B$72,$A1466+1)-F1466/INDEX(Surface_Engine!$B$12:$B$72,$A1466+1))),IF(E1466&lt;=0,0,MAX(0,(B1466/E1466)*I1466/INDEX(Surface_Engine!$B$12:$B$72,$A1466+1)-F1466/INDEX(Surface_Engine!$B$12:$B$72,$A1466+1))),IF($A1466&lt;$Q$1455,MAX(0,-Assumptions!$B$22*(F1466/INDEX(Surface_Engine!$B$12:$B$72,$A1466+1))),0)))+2*Assumptions!$B$27*(IF(C1466&lt;=0,0,MAX(0,(B1466/C1466)*G1466/INDEX(Surface_Engine!$B$12:$B$72,$A1466+1)-F1466/INDEX(Surface_Engine!$B$12:$B$72,$A1466+1))))*(MAX(0,J1466/INDEX(Surface_Engine!$B$12:$B$72,$A1466+1)-(F1466/INDEX(Surface_Engine!$B$12:$B$72,$A1466+1))))+2*Assumptions!$B$28*(MAX(IF(D1466&lt;=0,0,MAX(0,(B1466/D1466)*H1466/INDEX(Surface_Engine!$B$12:$B$72,$A1466+1)-F1466/INDEX(Surface_Engine!$B$12:$B$72,$A1466+1))),IF(E1466&lt;=0,0,MAX(0,(B1466/E1466)*I1466/INDEX(Surface_Engine!$B$12:$B$72,$A1466+1)-F1466/INDEX(Surface_Engine!$B$12:$B$72,$A1466+1))),IF($A1466&lt;$Q$1455,MAX(0,-Assumptions!$B$22*(F1466/INDEX(Surface_Engine!$B$12:$B$72,$A1466+1))),0)))*(MAX(0,J1466/INDEX(Surface_Engine!$B$12:$B$72,$A1466+1)-(F1466/INDEX(Surface_Engine!$B$12:$B$72,$A1466+1)))))</f>
        <v>6471.11928655867</v>
      </c>
      <c r="L1466" s="48" t="n">
        <f aca="false">K1466*INDEX(Surface_Engine!$B$12:$B$72,$A1466+1)+L1467</f>
        <v>53429.3906964175</v>
      </c>
      <c r="M1466" s="48" t="n">
        <f aca="false">M1465+B1465*(IF($A1465&lt;$Q$1455,(Surface_Engine!Q248*12)-(Surface_Engine!Q248*12)*INDEX(Surface_Engine!$F$12:$F$72,$A1465+1)-INDEX(Surface_Engine!$D$12:$D$72,$A1465+1),-(1000*12*INDEX(Surface_Engine!$C$12:$C$72,$A1465+1)/(1+Assumptions!$B$10)^18+INDEX(Surface_Engine!$D$12:$D$72,$A1465+1))))*INDEX(Surface_Engine!$B$12:$B$72,$A1465+1)</f>
        <v>10817.5090348911</v>
      </c>
      <c r="N1466" s="12" t="n">
        <f aca="false">IF(B1466&lt;=0,0,MAX(0,(K1466+Assumptions!$B$29*L1466/INDEX(Surface_Engine!$B$12:$B$72,$A1466+1)-(M1466/INDEX(Surface_Engine!$B$12:$B$72,$A1466+1)-(F1466/INDEX(Surface_Engine!$B$12:$B$72,$A1466+1))))/B1466))</f>
        <v>13408.971155196</v>
      </c>
    </row>
    <row r="1467" customFormat="false" ht="15" hidden="false" customHeight="true" outlineLevel="0" collapsed="false">
      <c r="A1467" s="1" t="n">
        <v>10</v>
      </c>
      <c r="B1467" s="32" t="n">
        <f aca="false">INDEX(Surface_Engine!$S$12:$S$72,$A1467+1)*IF($A1467&lt;$Q$1455,INDEX(Surface_Engine!$E$12:$E$72,$A1467+1),INDEX(Surface_Engine!$E$12:$E$72,$Q$1455+1))</f>
        <v>0.698015555924715</v>
      </c>
      <c r="C1467" s="32" t="n">
        <f aca="false">INDEX(Panel_Reserving!$G$8:$G$68,$A1467+1)*IF($A1467&lt;$Q$1455,INDEX(Surface_Engine!$E$12:$E$72,$A1467+1),INDEX(Surface_Engine!$E$12:$E$72,$Q$1455+1))</f>
        <v>0.7282821645375</v>
      </c>
      <c r="D1467" s="32" t="n">
        <f aca="false">INDEX(Surface_Engine!$S$12:$S$72,$A1467+1)*IF($A1467&lt;$Q$1455,INDEX(Surface_Engine!$Y$12:$Y$72,$A1467+1),INDEX(Surface_Engine!$Y$12:$Y$72,$Q$1455+1))</f>
        <v>0.647037006254977</v>
      </c>
      <c r="E1467" s="32" t="n">
        <f aca="false">INDEX(Surface_Engine!$S$12:$S$72,$A1467+1)*IF($A1467&lt;$Q$1455,INDEX(Surface_Engine!$Z$12:$Z$72,$A1467+1),INDEX(Surface_Engine!$Z$12:$Z$72,$Q$1455+1))</f>
        <v>0.752399006579259</v>
      </c>
      <c r="F1467" s="48" t="n">
        <f aca="false">B1467*(IF($A1467&lt;$Q$1455,INDEX(Surface_Engine!$D$12:$D$72,$A1467+1)+(Surface_Engine!Q248*12)*INDEX(Surface_Engine!$F$12:$F$72,$A1467+1)-(Surface_Engine!Q248*12),1000*12*INDEX(Surface_Engine!$C$12:$C$72,$A1467+1)/(1+Assumptions!$B$10)^18+INDEX(Surface_Engine!$D$12:$D$72,$A1467+1)))*INDEX(Surface_Engine!$B$12:$B$72,$A1467+1)+F1468</f>
        <v>11187.3702436135</v>
      </c>
      <c r="G1467" s="48" t="n">
        <f aca="false">C1467*(IF($A1467&lt;$Q$1455,INDEX(Surface_Engine!$D$12:$D$72,$A1467+1)+(Surface_Engine!Q248*12)*INDEX(Surface_Engine!$F$12:$F$72,$A1467+1)-(Surface_Engine!Q248*12),1000*12*INDEX(Surface_Engine!$C$12:$C$72,$A1467+1)/(1+Assumptions!$B$10)^18+INDEX(Surface_Engine!$D$12:$D$72,$A1467+1)))*INDEX(Surface_Engine!$B$12:$B$72,$A1467+1)+G1468</f>
        <v>16590.0694100673</v>
      </c>
      <c r="H1467" s="48" t="n">
        <f aca="false">D1467*(IF($A1467&lt;$Q$1455,INDEX(Surface_Engine!$D$12:$D$72,$A1467+1)+(Surface_Engine!Q248*12)*INDEX(Surface_Engine!$F$12:$F$72,$A1467+1)-(Surface_Engine!Q248*12),1000*12*INDEX(Surface_Engine!$C$12:$C$72,$A1467+1)/(1+Assumptions!$B$10)^18+INDEX(Surface_Engine!$D$12:$D$72,$A1467+1)))*INDEX(Surface_Engine!$B$12:$B$72,$A1467+1)+H1468</f>
        <v>9880.49720778598</v>
      </c>
      <c r="I1467" s="48" t="n">
        <f aca="false">E1467*(IF($A1467&lt;$Q$1455,INDEX(Surface_Engine!$D$12:$D$72,$A1467+1)+(Surface_Engine!Q248*12)*INDEX(Surface_Engine!$F$12:$F$72,$A1467+1)-(Surface_Engine!Q248*12),1000*12*INDEX(Surface_Engine!$C$12:$C$72,$A1467+1)/(1+Assumptions!$B$10)^18+INDEX(Surface_Engine!$D$12:$D$72,$A1467+1)))*INDEX(Surface_Engine!$B$12:$B$72,$A1467+1)+I1468</f>
        <v>12648.4401985576</v>
      </c>
      <c r="J1467" s="48" t="n">
        <f aca="false">B1467*(IF($A1467&lt;$Q$1455,INDEX(Surface_Engine!$D$12:$D$72,$A1467+1)*(1+Assumptions!$B$24)+(Surface_Engine!Q248*12)*INDEX(Surface_Engine!$F$12:$F$72,$A1467+1)-(Surface_Engine!Q248*12),1000*12*INDEX(Surface_Engine!$C$12:$C$72,$A1467+1)/(1+Assumptions!$B$10)^18+INDEX(Surface_Engine!$D$12:$D$72,$A1467+1)*(1+Assumptions!$B$24)))*INDEX(Surface_Engine!$B$12:$B$72,$A1467+1)+J1468</f>
        <v>11240.335711038</v>
      </c>
      <c r="K1467" s="12" t="n">
        <f aca="false">SQRT((IF(C1467&lt;=0,0,MAX(0,(B1467/C1467)*G1467/INDEX(Surface_Engine!$B$12:$B$72,$A1467+1)-F1467/INDEX(Surface_Engine!$B$12:$B$72,$A1467+1))))^2+(MAX(IF(D1467&lt;=0,0,MAX(0,(B1467/D1467)*H1467/INDEX(Surface_Engine!$B$12:$B$72,$A1467+1)-F1467/INDEX(Surface_Engine!$B$12:$B$72,$A1467+1))),IF(E1467&lt;=0,0,MAX(0,(B1467/E1467)*I1467/INDEX(Surface_Engine!$B$12:$B$72,$A1467+1)-F1467/INDEX(Surface_Engine!$B$12:$B$72,$A1467+1))),IF($A1467&lt;$Q$1455,MAX(0,-Assumptions!$B$22*(F1467/INDEX(Surface_Engine!$B$12:$B$72,$A1467+1))),0)))^2+(MAX(0,J1467/INDEX(Surface_Engine!$B$12:$B$72,$A1467+1)-(F1467/INDEX(Surface_Engine!$B$12:$B$72,$A1467+1))))^2+2*Assumptions!$B$26*(IF(C1467&lt;=0,0,MAX(0,(B1467/C1467)*G1467/INDEX(Surface_Engine!$B$12:$B$72,$A1467+1)-F1467/INDEX(Surface_Engine!$B$12:$B$72,$A1467+1))))*(MAX(IF(D1467&lt;=0,0,MAX(0,(B1467/D1467)*H1467/INDEX(Surface_Engine!$B$12:$B$72,$A1467+1)-F1467/INDEX(Surface_Engine!$B$12:$B$72,$A1467+1))),IF(E1467&lt;=0,0,MAX(0,(B1467/E1467)*I1467/INDEX(Surface_Engine!$B$12:$B$72,$A1467+1)-F1467/INDEX(Surface_Engine!$B$12:$B$72,$A1467+1))),IF($A1467&lt;$Q$1455,MAX(0,-Assumptions!$B$22*(F1467/INDEX(Surface_Engine!$B$12:$B$72,$A1467+1))),0)))+2*Assumptions!$B$27*(IF(C1467&lt;=0,0,MAX(0,(B1467/C1467)*G1467/INDEX(Surface_Engine!$B$12:$B$72,$A1467+1)-F1467/INDEX(Surface_Engine!$B$12:$B$72,$A1467+1))))*(MAX(0,J1467/INDEX(Surface_Engine!$B$12:$B$72,$A1467+1)-(F1467/INDEX(Surface_Engine!$B$12:$B$72,$A1467+1))))+2*Assumptions!$B$28*(MAX(IF(D1467&lt;=0,0,MAX(0,(B1467/D1467)*H1467/INDEX(Surface_Engine!$B$12:$B$72,$A1467+1)-F1467/INDEX(Surface_Engine!$B$12:$B$72,$A1467+1))),IF(E1467&lt;=0,0,MAX(0,(B1467/E1467)*I1467/INDEX(Surface_Engine!$B$12:$B$72,$A1467+1)-F1467/INDEX(Surface_Engine!$B$12:$B$72,$A1467+1))),IF($A1467&lt;$Q$1455,MAX(0,-Assumptions!$B$22*(F1467/INDEX(Surface_Engine!$B$12:$B$72,$A1467+1))),0)))*(MAX(0,J1467/INDEX(Surface_Engine!$B$12:$B$72,$A1467+1)-(F1467/INDEX(Surface_Engine!$B$12:$B$72,$A1467+1)))))</f>
        <v>6521.55747208042</v>
      </c>
      <c r="L1467" s="48" t="n">
        <f aca="false">K1467*INDEX(Surface_Engine!$B$12:$B$72,$A1467+1)+L1468</f>
        <v>48403.0172413576</v>
      </c>
      <c r="M1467" s="48" t="n">
        <f aca="false">M1466+B1466*(IF($A1466&lt;$Q$1455,(Surface_Engine!Q248*12)-(Surface_Engine!Q248*12)*INDEX(Surface_Engine!$F$12:$F$72,$A1466+1)-INDEX(Surface_Engine!$D$12:$D$72,$A1466+1),-(1000*12*INDEX(Surface_Engine!$C$12:$C$72,$A1466+1)/(1+Assumptions!$B$10)^18+INDEX(Surface_Engine!$D$12:$D$72,$A1466+1))))*INDEX(Surface_Engine!$B$12:$B$72,$A1466+1)</f>
        <v>11826.4418825644</v>
      </c>
      <c r="N1467" s="12" t="n">
        <f aca="false">IF(B1467&lt;=0,0,MAX(0,(K1467+Assumptions!$B$29*L1467/INDEX(Surface_Engine!$B$12:$B$72,$A1467+1)-(M1467/INDEX(Surface_Engine!$B$12:$B$72,$A1467+1)-(F1467/INDEX(Surface_Engine!$B$12:$B$72,$A1467+1))))/B1467))</f>
        <v>13666.5630303463</v>
      </c>
    </row>
    <row r="1468" customFormat="false" ht="15" hidden="false" customHeight="true" outlineLevel="0" collapsed="false">
      <c r="A1468" s="1" t="n">
        <v>11</v>
      </c>
      <c r="B1468" s="32" t="n">
        <f aca="false">INDEX(Surface_Engine!$S$12:$S$72,$A1468+1)*IF($A1468&lt;$Q$1455,INDEX(Surface_Engine!$E$12:$E$72,$A1468+1),INDEX(Surface_Engine!$E$12:$E$72,$Q$1455+1))</f>
        <v>0.665460114530745</v>
      </c>
      <c r="C1468" s="32" t="n">
        <f aca="false">INDEX(Panel_Reserving!$G$8:$G$68,$A1468+1)*IF($A1468&lt;$Q$1455,INDEX(Surface_Engine!$E$12:$E$72,$A1468+1),INDEX(Surface_Engine!$E$12:$E$72,$Q$1455+1))</f>
        <v>0.699783030325721</v>
      </c>
      <c r="D1468" s="32" t="n">
        <f aca="false">INDEX(Surface_Engine!$S$12:$S$72,$A1468+1)*IF($A1468&lt;$Q$1455,INDEX(Surface_Engine!$Y$12:$Y$72,$A1468+1),INDEX(Surface_Engine!$Y$12:$Y$72,$Q$1455+1))</f>
        <v>0.614026719123502</v>
      </c>
      <c r="E1468" s="32" t="n">
        <f aca="false">INDEX(Surface_Engine!$S$12:$S$72,$A1468+1)*IF($A1468&lt;$Q$1455,INDEX(Surface_Engine!$Z$12:$Z$72,$A1468+1),INDEX(Surface_Engine!$Z$12:$Z$72,$Q$1455+1))</f>
        <v>0.720600841625439</v>
      </c>
      <c r="F1468" s="48" t="n">
        <f aca="false">B1468*(IF($A1468&lt;$Q$1455,INDEX(Surface_Engine!$D$12:$D$72,$A1468+1)+(Surface_Engine!Q248*12)*INDEX(Surface_Engine!$F$12:$F$72,$A1468+1)-(Surface_Engine!Q248*12),1000*12*INDEX(Surface_Engine!$C$12:$C$72,$A1468+1)/(1+Assumptions!$B$10)^18+INDEX(Surface_Engine!$D$12:$D$72,$A1468+1)))*INDEX(Surface_Engine!$B$12:$B$72,$A1468+1)+F1469</f>
        <v>12119.4717614203</v>
      </c>
      <c r="G1468" s="48" t="n">
        <f aca="false">C1468*(IF($A1468&lt;$Q$1455,INDEX(Surface_Engine!$D$12:$D$72,$A1468+1)+(Surface_Engine!Q248*12)*INDEX(Surface_Engine!$F$12:$F$72,$A1468+1)-(Surface_Engine!Q248*12),1000*12*INDEX(Surface_Engine!$C$12:$C$72,$A1468+1)/(1+Assumptions!$B$10)^18+INDEX(Surface_Engine!$D$12:$D$72,$A1468+1)))*INDEX(Surface_Engine!$B$12:$B$72,$A1468+1)+G1469</f>
        <v>17562.5877231553</v>
      </c>
      <c r="H1468" s="48" t="n">
        <f aca="false">D1468*(IF($A1468&lt;$Q$1455,INDEX(Surface_Engine!$D$12:$D$72,$A1468+1)+(Surface_Engine!Q248*12)*INDEX(Surface_Engine!$F$12:$F$72,$A1468+1)-(Surface_Engine!Q248*12),1000*12*INDEX(Surface_Engine!$C$12:$C$72,$A1468+1)/(1+Assumptions!$B$10)^18+INDEX(Surface_Engine!$D$12:$D$72,$A1468+1)))*INDEX(Surface_Engine!$B$12:$B$72,$A1468+1)+H1469</f>
        <v>10744.5240485753</v>
      </c>
      <c r="I1468" s="48" t="n">
        <f aca="false">E1468*(IF($A1468&lt;$Q$1455,INDEX(Surface_Engine!$D$12:$D$72,$A1468+1)+(Surface_Engine!Q248*12)*INDEX(Surface_Engine!$F$12:$F$72,$A1468+1)-(Surface_Engine!Q248*12),1000*12*INDEX(Surface_Engine!$C$12:$C$72,$A1468+1)/(1+Assumptions!$B$10)^18+INDEX(Surface_Engine!$D$12:$D$72,$A1468+1)))*INDEX(Surface_Engine!$B$12:$B$72,$A1468+1)+I1469</f>
        <v>13653.1631593515</v>
      </c>
      <c r="J1468" s="48" t="n">
        <f aca="false">B1468*(IF($A1468&lt;$Q$1455,INDEX(Surface_Engine!$D$12:$D$72,$A1468+1)*(1+Assumptions!$B$24)+(Surface_Engine!Q248*12)*INDEX(Surface_Engine!$F$12:$F$72,$A1468+1)-(Surface_Engine!Q248*12),1000*12*INDEX(Surface_Engine!$C$12:$C$72,$A1468+1)/(1+Assumptions!$B$10)^18+INDEX(Surface_Engine!$D$12:$D$72,$A1468+1)*(1+Assumptions!$B$24)))*INDEX(Surface_Engine!$B$12:$B$72,$A1468+1)+J1469</f>
        <v>12166.9380274558</v>
      </c>
      <c r="K1468" s="12" t="n">
        <f aca="false">SQRT((IF(C1468&lt;=0,0,MAX(0,(B1468/C1468)*G1468/INDEX(Surface_Engine!$B$12:$B$72,$A1468+1)-F1468/INDEX(Surface_Engine!$B$12:$B$72,$A1468+1))))^2+(MAX(IF(D1468&lt;=0,0,MAX(0,(B1468/D1468)*H1468/INDEX(Surface_Engine!$B$12:$B$72,$A1468+1)-F1468/INDEX(Surface_Engine!$B$12:$B$72,$A1468+1))),IF(E1468&lt;=0,0,MAX(0,(B1468/E1468)*I1468/INDEX(Surface_Engine!$B$12:$B$72,$A1468+1)-F1468/INDEX(Surface_Engine!$B$12:$B$72,$A1468+1))),IF($A1468&lt;$Q$1455,MAX(0,-Assumptions!$B$22*(F1468/INDEX(Surface_Engine!$B$12:$B$72,$A1468+1))),0)))^2+(MAX(0,J1468/INDEX(Surface_Engine!$B$12:$B$72,$A1468+1)-(F1468/INDEX(Surface_Engine!$B$12:$B$72,$A1468+1))))^2+2*Assumptions!$B$26*(IF(C1468&lt;=0,0,MAX(0,(B1468/C1468)*G1468/INDEX(Surface_Engine!$B$12:$B$72,$A1468+1)-F1468/INDEX(Surface_Engine!$B$12:$B$72,$A1468+1))))*(MAX(IF(D1468&lt;=0,0,MAX(0,(B1468/D1468)*H1468/INDEX(Surface_Engine!$B$12:$B$72,$A1468+1)-F1468/INDEX(Surface_Engine!$B$12:$B$72,$A1468+1))),IF(E1468&lt;=0,0,MAX(0,(B1468/E1468)*I1468/INDEX(Surface_Engine!$B$12:$B$72,$A1468+1)-F1468/INDEX(Surface_Engine!$B$12:$B$72,$A1468+1))),IF($A1468&lt;$Q$1455,MAX(0,-Assumptions!$B$22*(F1468/INDEX(Surface_Engine!$B$12:$B$72,$A1468+1))),0)))+2*Assumptions!$B$27*(IF(C1468&lt;=0,0,MAX(0,(B1468/C1468)*G1468/INDEX(Surface_Engine!$B$12:$B$72,$A1468+1)-F1468/INDEX(Surface_Engine!$B$12:$B$72,$A1468+1))))*(MAX(0,J1468/INDEX(Surface_Engine!$B$12:$B$72,$A1468+1)-(F1468/INDEX(Surface_Engine!$B$12:$B$72,$A1468+1))))+2*Assumptions!$B$28*(MAX(IF(D1468&lt;=0,0,MAX(0,(B1468/D1468)*H1468/INDEX(Surface_Engine!$B$12:$B$72,$A1468+1)-F1468/INDEX(Surface_Engine!$B$12:$B$72,$A1468+1))),IF(E1468&lt;=0,0,MAX(0,(B1468/E1468)*I1468/INDEX(Surface_Engine!$B$12:$B$72,$A1468+1)-F1468/INDEX(Surface_Engine!$B$12:$B$72,$A1468+1))),IF($A1468&lt;$Q$1455,MAX(0,-Assumptions!$B$22*(F1468/INDEX(Surface_Engine!$B$12:$B$72,$A1468+1))),0)))*(MAX(0,J1468/INDEX(Surface_Engine!$B$12:$B$72,$A1468+1)-(F1468/INDEX(Surface_Engine!$B$12:$B$72,$A1468+1)))))</f>
        <v>6522.62785886092</v>
      </c>
      <c r="L1468" s="48" t="n">
        <f aca="false">K1468*INDEX(Surface_Engine!$B$12:$B$72,$A1468+1)+L1469</f>
        <v>43508.2353718817</v>
      </c>
      <c r="M1468" s="48" t="n">
        <f aca="false">M1467+B1467*(IF($A1467&lt;$Q$1455,(Surface_Engine!Q248*12)-(Surface_Engine!Q248*12)*INDEX(Surface_Engine!$F$12:$F$72,$A1467+1)-INDEX(Surface_Engine!$D$12:$D$72,$A1467+1),-(1000*12*INDEX(Surface_Engine!$C$12:$C$72,$A1467+1)/(1+Assumptions!$B$10)^18+INDEX(Surface_Engine!$D$12:$D$72,$A1467+1))))*INDEX(Surface_Engine!$B$12:$B$72,$A1467+1)</f>
        <v>12758.5434003713</v>
      </c>
      <c r="N1468" s="12" t="n">
        <f aca="false">IF(B1468&lt;=0,0,MAX(0,(K1468+Assumptions!$B$29*L1468/INDEX(Surface_Engine!$B$12:$B$72,$A1468+1)-(M1468/INDEX(Surface_Engine!$B$12:$B$72,$A1468+1)-(F1468/INDEX(Surface_Engine!$B$12:$B$72,$A1468+1))))/B1468))</f>
        <v>13876.7024707366</v>
      </c>
    </row>
    <row r="1469" customFormat="false" ht="15" hidden="false" customHeight="true" outlineLevel="0" collapsed="false">
      <c r="A1469" s="1" t="n">
        <v>12</v>
      </c>
      <c r="B1469" s="32" t="n">
        <f aca="false">INDEX(Surface_Engine!$S$12:$S$72,$A1469+1)*IF($A1469&lt;$Q$1455,INDEX(Surface_Engine!$E$12:$E$72,$A1469+1),INDEX(Surface_Engine!$E$12:$E$72,$Q$1455+1))</f>
        <v>0.631367924395233</v>
      </c>
      <c r="C1469" s="32" t="n">
        <f aca="false">INDEX(Panel_Reserving!$G$8:$G$68,$A1469+1)*IF($A1469&lt;$Q$1455,INDEX(Surface_Engine!$E$12:$E$72,$A1469+1),INDEX(Surface_Engine!$E$12:$E$72,$Q$1455+1))</f>
        <v>0.669828955138729</v>
      </c>
      <c r="D1469" s="32" t="n">
        <f aca="false">INDEX(Surface_Engine!$S$12:$S$72,$A1469+1)*IF($A1469&lt;$Q$1455,INDEX(Surface_Engine!$Y$12:$Y$72,$A1469+1),INDEX(Surface_Engine!$Y$12:$Y$72,$Q$1455+1))</f>
        <v>0.579894479403878</v>
      </c>
      <c r="E1469" s="32" t="n">
        <f aca="false">INDEX(Surface_Engine!$S$12:$S$72,$A1469+1)*IF($A1469&lt;$Q$1455,INDEX(Surface_Engine!$Z$12:$Z$72,$A1469+1),INDEX(Surface_Engine!$Z$12:$Z$72,$Q$1455+1))</f>
        <v>0.686823065545597</v>
      </c>
      <c r="F1469" s="48" t="n">
        <f aca="false">B1469*(IF($A1469&lt;$Q$1455,INDEX(Surface_Engine!$D$12:$D$72,$A1469+1)+(Surface_Engine!Q248*12)*INDEX(Surface_Engine!$F$12:$F$72,$A1469+1)-(Surface_Engine!Q248*12),1000*12*INDEX(Surface_Engine!$C$12:$C$72,$A1469+1)/(1+Assumptions!$B$10)^18+INDEX(Surface_Engine!$D$12:$D$72,$A1469+1)))*INDEX(Surface_Engine!$B$12:$B$72,$A1469+1)+F1470</f>
        <v>12978.9302045518</v>
      </c>
      <c r="G1469" s="48" t="n">
        <f aca="false">C1469*(IF($A1469&lt;$Q$1455,INDEX(Surface_Engine!$D$12:$D$72,$A1469+1)+(Surface_Engine!Q248*12)*INDEX(Surface_Engine!$F$12:$F$72,$A1469+1)-(Surface_Engine!Q248*12),1000*12*INDEX(Surface_Engine!$C$12:$C$72,$A1469+1)/(1+Assumptions!$B$10)^18+INDEX(Surface_Engine!$D$12:$D$72,$A1469+1)))*INDEX(Surface_Engine!$B$12:$B$72,$A1469+1)+G1470</f>
        <v>18466.3750736529</v>
      </c>
      <c r="H1469" s="48" t="n">
        <f aca="false">D1469*(IF($A1469&lt;$Q$1455,INDEX(Surface_Engine!$D$12:$D$72,$A1469+1)+(Surface_Engine!Q248*12)*INDEX(Surface_Engine!$F$12:$F$72,$A1469+1)-(Surface_Engine!Q248*12),1000*12*INDEX(Surface_Engine!$C$12:$C$72,$A1469+1)/(1+Assumptions!$B$10)^18+INDEX(Surface_Engine!$D$12:$D$72,$A1469+1)))*INDEX(Surface_Engine!$B$12:$B$72,$A1469+1)+H1470</f>
        <v>11537.5549703927</v>
      </c>
      <c r="I1469" s="48" t="n">
        <f aca="false">E1469*(IF($A1469&lt;$Q$1455,INDEX(Surface_Engine!$D$12:$D$72,$A1469+1)+(Surface_Engine!Q248*12)*INDEX(Surface_Engine!$F$12:$F$72,$A1469+1)-(Surface_Engine!Q248*12),1000*12*INDEX(Surface_Engine!$C$12:$C$72,$A1469+1)/(1+Assumptions!$B$10)^18+INDEX(Surface_Engine!$D$12:$D$72,$A1469+1)))*INDEX(Surface_Engine!$B$12:$B$72,$A1469+1)+I1470</f>
        <v>14583.8372357375</v>
      </c>
      <c r="J1469" s="48" t="n">
        <f aca="false">B1469*(IF($A1469&lt;$Q$1455,INDEX(Surface_Engine!$D$12:$D$72,$A1469+1)*(1+Assumptions!$B$24)+(Surface_Engine!Q248*12)*INDEX(Surface_Engine!$F$12:$F$72,$A1469+1)-(Surface_Engine!Q248*12),1000*12*INDEX(Surface_Engine!$C$12:$C$72,$A1469+1)/(1+Assumptions!$B$10)^18+INDEX(Surface_Engine!$D$12:$D$72,$A1469+1)*(1+Assumptions!$B$24)))*INDEX(Surface_Engine!$B$12:$B$72,$A1469+1)+J1470</f>
        <v>13021.1914051796</v>
      </c>
      <c r="K1469" s="12" t="n">
        <f aca="false">SQRT((IF(C1469&lt;=0,0,MAX(0,(B1469/C1469)*G1469/INDEX(Surface_Engine!$B$12:$B$72,$A1469+1)-F1469/INDEX(Surface_Engine!$B$12:$B$72,$A1469+1))))^2+(MAX(IF(D1469&lt;=0,0,MAX(0,(B1469/D1469)*H1469/INDEX(Surface_Engine!$B$12:$B$72,$A1469+1)-F1469/INDEX(Surface_Engine!$B$12:$B$72,$A1469+1))),IF(E1469&lt;=0,0,MAX(0,(B1469/E1469)*I1469/INDEX(Surface_Engine!$B$12:$B$72,$A1469+1)-F1469/INDEX(Surface_Engine!$B$12:$B$72,$A1469+1))),IF($A1469&lt;$Q$1455,MAX(0,-Assumptions!$B$22*(F1469/INDEX(Surface_Engine!$B$12:$B$72,$A1469+1))),0)))^2+(MAX(0,J1469/INDEX(Surface_Engine!$B$12:$B$72,$A1469+1)-(F1469/INDEX(Surface_Engine!$B$12:$B$72,$A1469+1))))^2+2*Assumptions!$B$26*(IF(C1469&lt;=0,0,MAX(0,(B1469/C1469)*G1469/INDEX(Surface_Engine!$B$12:$B$72,$A1469+1)-F1469/INDEX(Surface_Engine!$B$12:$B$72,$A1469+1))))*(MAX(IF(D1469&lt;=0,0,MAX(0,(B1469/D1469)*H1469/INDEX(Surface_Engine!$B$12:$B$72,$A1469+1)-F1469/INDEX(Surface_Engine!$B$12:$B$72,$A1469+1))),IF(E1469&lt;=0,0,MAX(0,(B1469/E1469)*I1469/INDEX(Surface_Engine!$B$12:$B$72,$A1469+1)-F1469/INDEX(Surface_Engine!$B$12:$B$72,$A1469+1))),IF($A1469&lt;$Q$1455,MAX(0,-Assumptions!$B$22*(F1469/INDEX(Surface_Engine!$B$12:$B$72,$A1469+1))),0)))+2*Assumptions!$B$27*(IF(C1469&lt;=0,0,MAX(0,(B1469/C1469)*G1469/INDEX(Surface_Engine!$B$12:$B$72,$A1469+1)-F1469/INDEX(Surface_Engine!$B$12:$B$72,$A1469+1))))*(MAX(0,J1469/INDEX(Surface_Engine!$B$12:$B$72,$A1469+1)-(F1469/INDEX(Surface_Engine!$B$12:$B$72,$A1469+1))))+2*Assumptions!$B$28*(MAX(IF(D1469&lt;=0,0,MAX(0,(B1469/D1469)*H1469/INDEX(Surface_Engine!$B$12:$B$72,$A1469+1)-F1469/INDEX(Surface_Engine!$B$12:$B$72,$A1469+1))),IF(E1469&lt;=0,0,MAX(0,(B1469/E1469)*I1469/INDEX(Surface_Engine!$B$12:$B$72,$A1469+1)-F1469/INDEX(Surface_Engine!$B$12:$B$72,$A1469+1))),IF($A1469&lt;$Q$1455,MAX(0,-Assumptions!$B$22*(F1469/INDEX(Surface_Engine!$B$12:$B$72,$A1469+1))),0)))*(MAX(0,J1469/INDEX(Surface_Engine!$B$12:$B$72,$A1469+1)-(F1469/INDEX(Surface_Engine!$B$12:$B$72,$A1469+1)))))</f>
        <v>6502.88911423184</v>
      </c>
      <c r="L1469" s="48" t="n">
        <f aca="false">K1469*INDEX(Surface_Engine!$B$12:$B$72,$A1469+1)+L1470</f>
        <v>38766.3572184484</v>
      </c>
      <c r="M1469" s="48" t="n">
        <f aca="false">M1468+B1468*(IF($A1468&lt;$Q$1455,(Surface_Engine!Q248*12)-(Surface_Engine!Q248*12)*INDEX(Surface_Engine!$F$12:$F$72,$A1468+1)-INDEX(Surface_Engine!$D$12:$D$72,$A1468+1),-(1000*12*INDEX(Surface_Engine!$C$12:$C$72,$A1468+1)/(1+Assumptions!$B$10)^18+INDEX(Surface_Engine!$D$12:$D$72,$A1468+1))))*INDEX(Surface_Engine!$B$12:$B$72,$A1468+1)</f>
        <v>13618.0018435027</v>
      </c>
      <c r="N1469" s="12" t="n">
        <f aca="false">IF(B1469&lt;=0,0,MAX(0,(K1469+Assumptions!$B$29*L1469/INDEX(Surface_Engine!$B$12:$B$72,$A1469+1)-(M1469/INDEX(Surface_Engine!$B$12:$B$72,$A1469+1)-(F1469/INDEX(Surface_Engine!$B$12:$B$72,$A1469+1))))/B1469))</f>
        <v>14105.5287369902</v>
      </c>
    </row>
    <row r="1470" customFormat="false" ht="15" hidden="false" customHeight="true" outlineLevel="0" collapsed="false">
      <c r="A1470" s="1" t="n">
        <v>13</v>
      </c>
      <c r="B1470" s="32" t="n">
        <f aca="false">INDEX(Surface_Engine!$S$12:$S$72,$A1470+1)*IF($A1470&lt;$Q$1455,INDEX(Surface_Engine!$E$12:$E$72,$A1470+1),INDEX(Surface_Engine!$E$12:$E$72,$Q$1455+1))</f>
        <v>0.595783575049208</v>
      </c>
      <c r="C1470" s="32" t="n">
        <f aca="false">INDEX(Panel_Reserving!$G$8:$G$68,$A1470+1)*IF($A1470&lt;$Q$1455,INDEX(Surface_Engine!$E$12:$E$72,$A1470+1),INDEX(Surface_Engine!$E$12:$E$72,$Q$1455+1))</f>
        <v>0.638408233926883</v>
      </c>
      <c r="D1470" s="32" t="n">
        <f aca="false">INDEX(Surface_Engine!$S$12:$S$72,$A1470+1)*IF($A1470&lt;$Q$1455,INDEX(Surface_Engine!$Y$12:$Y$72,$A1470+1),INDEX(Surface_Engine!$Y$12:$Y$72,$Q$1455+1))</f>
        <v>0.544698533997566</v>
      </c>
      <c r="E1470" s="32" t="n">
        <f aca="false">INDEX(Surface_Engine!$S$12:$S$72,$A1470+1)*IF($A1470&lt;$Q$1455,INDEX(Surface_Engine!$Z$12:$Z$72,$A1470+1),INDEX(Surface_Engine!$Z$12:$Z$72,$Q$1455+1))</f>
        <v>0.651089221387168</v>
      </c>
      <c r="F1470" s="48" t="n">
        <f aca="false">B1470*(IF($A1470&lt;$Q$1455,INDEX(Surface_Engine!$D$12:$D$72,$A1470+1)+(Surface_Engine!Q248*12)*INDEX(Surface_Engine!$F$12:$F$72,$A1470+1)-(Surface_Engine!Q248*12),1000*12*INDEX(Surface_Engine!$C$12:$C$72,$A1470+1)/(1+Assumptions!$B$10)^18+INDEX(Surface_Engine!$D$12:$D$72,$A1470+1)))*INDEX(Surface_Engine!$B$12:$B$72,$A1470+1)+F1471</f>
        <v>13765.1747260674</v>
      </c>
      <c r="G1470" s="48" t="n">
        <f aca="false">C1470*(IF($A1470&lt;$Q$1455,INDEX(Surface_Engine!$D$12:$D$72,$A1470+1)+(Surface_Engine!Q248*12)*INDEX(Surface_Engine!$F$12:$F$72,$A1470+1)-(Surface_Engine!Q248*12),1000*12*INDEX(Surface_Engine!$C$12:$C$72,$A1470+1)/(1+Assumptions!$B$10)^18+INDEX(Surface_Engine!$D$12:$D$72,$A1470+1)))*INDEX(Surface_Engine!$B$12:$B$72,$A1470+1)+G1471</f>
        <v>19300.5152413448</v>
      </c>
      <c r="H1470" s="48" t="n">
        <f aca="false">D1470*(IF($A1470&lt;$Q$1455,INDEX(Surface_Engine!$D$12:$D$72,$A1470+1)+(Surface_Engine!Q248*12)*INDEX(Surface_Engine!$F$12:$F$72,$A1470+1)-(Surface_Engine!Q248*12),1000*12*INDEX(Surface_Engine!$C$12:$C$72,$A1470+1)/(1+Assumptions!$B$10)^18+INDEX(Surface_Engine!$D$12:$D$72,$A1470+1)))*INDEX(Surface_Engine!$B$12:$B$72,$A1470+1)+H1471</f>
        <v>12259.6994441164</v>
      </c>
      <c r="I1470" s="48" t="n">
        <f aca="false">E1470*(IF($A1470&lt;$Q$1455,INDEX(Surface_Engine!$D$12:$D$72,$A1470+1)+(Surface_Engine!Q248*12)*INDEX(Surface_Engine!$F$12:$F$72,$A1470+1)-(Surface_Engine!Q248*12),1000*12*INDEX(Surface_Engine!$C$12:$C$72,$A1470+1)/(1+Assumptions!$B$10)^18+INDEX(Surface_Engine!$D$12:$D$72,$A1470+1)))*INDEX(Surface_Engine!$B$12:$B$72,$A1470+1)+I1471</f>
        <v>15439.1402241702</v>
      </c>
      <c r="J1470" s="48" t="n">
        <f aca="false">B1470*(IF($A1470&lt;$Q$1455,INDEX(Surface_Engine!$D$12:$D$72,$A1470+1)*(1+Assumptions!$B$24)+(Surface_Engine!Q248*12)*INDEX(Surface_Engine!$F$12:$F$72,$A1470+1)-(Surface_Engine!Q248*12),1000*12*INDEX(Surface_Engine!$C$12:$C$72,$A1470+1)/(1+Assumptions!$B$10)^18+INDEX(Surface_Engine!$D$12:$D$72,$A1470+1)*(1+Assumptions!$B$24)))*INDEX(Surface_Engine!$B$12:$B$72,$A1470+1)+J1471</f>
        <v>13802.5478180499</v>
      </c>
      <c r="K1470" s="12" t="n">
        <f aca="false">SQRT((IF(C1470&lt;=0,0,MAX(0,(B1470/C1470)*G1470/INDEX(Surface_Engine!$B$12:$B$72,$A1470+1)-F1470/INDEX(Surface_Engine!$B$12:$B$72,$A1470+1))))^2+(MAX(IF(D1470&lt;=0,0,MAX(0,(B1470/D1470)*H1470/INDEX(Surface_Engine!$B$12:$B$72,$A1470+1)-F1470/INDEX(Surface_Engine!$B$12:$B$72,$A1470+1))),IF(E1470&lt;=0,0,MAX(0,(B1470/E1470)*I1470/INDEX(Surface_Engine!$B$12:$B$72,$A1470+1)-F1470/INDEX(Surface_Engine!$B$12:$B$72,$A1470+1))),IF($A1470&lt;$Q$1455,MAX(0,-Assumptions!$B$22*(F1470/INDEX(Surface_Engine!$B$12:$B$72,$A1470+1))),0)))^2+(MAX(0,J1470/INDEX(Surface_Engine!$B$12:$B$72,$A1470+1)-(F1470/INDEX(Surface_Engine!$B$12:$B$72,$A1470+1))))^2+2*Assumptions!$B$26*(IF(C1470&lt;=0,0,MAX(0,(B1470/C1470)*G1470/INDEX(Surface_Engine!$B$12:$B$72,$A1470+1)-F1470/INDEX(Surface_Engine!$B$12:$B$72,$A1470+1))))*(MAX(IF(D1470&lt;=0,0,MAX(0,(B1470/D1470)*H1470/INDEX(Surface_Engine!$B$12:$B$72,$A1470+1)-F1470/INDEX(Surface_Engine!$B$12:$B$72,$A1470+1))),IF(E1470&lt;=0,0,MAX(0,(B1470/E1470)*I1470/INDEX(Surface_Engine!$B$12:$B$72,$A1470+1)-F1470/INDEX(Surface_Engine!$B$12:$B$72,$A1470+1))),IF($A1470&lt;$Q$1455,MAX(0,-Assumptions!$B$22*(F1470/INDEX(Surface_Engine!$B$12:$B$72,$A1470+1))),0)))+2*Assumptions!$B$27*(IF(C1470&lt;=0,0,MAX(0,(B1470/C1470)*G1470/INDEX(Surface_Engine!$B$12:$B$72,$A1470+1)-F1470/INDEX(Surface_Engine!$B$12:$B$72,$A1470+1))))*(MAX(0,J1470/INDEX(Surface_Engine!$B$12:$B$72,$A1470+1)-(F1470/INDEX(Surface_Engine!$B$12:$B$72,$A1470+1))))+2*Assumptions!$B$28*(MAX(IF(D1470&lt;=0,0,MAX(0,(B1470/D1470)*H1470/INDEX(Surface_Engine!$B$12:$B$72,$A1470+1)-F1470/INDEX(Surface_Engine!$B$12:$B$72,$A1470+1))),IF(E1470&lt;=0,0,MAX(0,(B1470/E1470)*I1470/INDEX(Surface_Engine!$B$12:$B$72,$A1470+1)-F1470/INDEX(Surface_Engine!$B$12:$B$72,$A1470+1))),IF($A1470&lt;$Q$1455,MAX(0,-Assumptions!$B$22*(F1470/INDEX(Surface_Engine!$B$12:$B$72,$A1470+1))),0)))*(MAX(0,J1470/INDEX(Surface_Engine!$B$12:$B$72,$A1470+1)-(F1470/INDEX(Surface_Engine!$B$12:$B$72,$A1470+1)))))</f>
        <v>6432.96435742578</v>
      </c>
      <c r="L1470" s="48" t="n">
        <f aca="false">K1470*INDEX(Surface_Engine!$B$12:$B$72,$A1470+1)+L1471</f>
        <v>34201.1084586597</v>
      </c>
      <c r="M1470" s="48" t="n">
        <f aca="false">M1469+B1469*(IF($A1469&lt;$Q$1455,(Surface_Engine!Q248*12)-(Surface_Engine!Q248*12)*INDEX(Surface_Engine!$F$12:$F$72,$A1469+1)-INDEX(Surface_Engine!$D$12:$D$72,$A1469+1),-(1000*12*INDEX(Surface_Engine!$C$12:$C$72,$A1469+1)/(1+Assumptions!$B$10)^18+INDEX(Surface_Engine!$D$12:$D$72,$A1469+1))))*INDEX(Surface_Engine!$B$12:$B$72,$A1469+1)</f>
        <v>14404.2463650183</v>
      </c>
      <c r="N1470" s="12" t="n">
        <f aca="false">IF(B1470&lt;=0,0,MAX(0,(K1470+Assumptions!$B$29*L1470/INDEX(Surface_Engine!$B$12:$B$72,$A1470+1)-(M1470/INDEX(Surface_Engine!$B$12:$B$72,$A1470+1)-(F1470/INDEX(Surface_Engine!$B$12:$B$72,$A1470+1))))/B1470))</f>
        <v>14294.8791342615</v>
      </c>
    </row>
    <row r="1471" customFormat="false" ht="15" hidden="false" customHeight="true" outlineLevel="0" collapsed="false">
      <c r="A1471" s="1" t="n">
        <v>14</v>
      </c>
      <c r="B1471" s="32" t="n">
        <f aca="false">INDEX(Surface_Engine!$S$12:$S$72,$A1471+1)*IF($A1471&lt;$Q$1455,INDEX(Surface_Engine!$E$12:$E$72,$A1471+1),INDEX(Surface_Engine!$E$12:$E$72,$Q$1455+1))</f>
        <v>0.557762186804343</v>
      </c>
      <c r="C1471" s="32" t="n">
        <f aca="false">INDEX(Panel_Reserving!$G$8:$G$68,$A1471+1)*IF($A1471&lt;$Q$1455,INDEX(Surface_Engine!$E$12:$E$72,$A1471+1),INDEX(Surface_Engine!$E$12:$E$72,$Q$1455+1))</f>
        <v>0.604653062731152</v>
      </c>
      <c r="D1471" s="32" t="n">
        <f aca="false">INDEX(Surface_Engine!$S$12:$S$72,$A1471+1)*IF($A1471&lt;$Q$1455,INDEX(Surface_Engine!$Y$12:$Y$72,$A1471+1),INDEX(Surface_Engine!$Y$12:$Y$72,$Q$1455+1))</f>
        <v>0.5075957403834</v>
      </c>
      <c r="E1471" s="32" t="n">
        <f aca="false">INDEX(Surface_Engine!$S$12:$S$72,$A1471+1)*IF($A1471&lt;$Q$1455,INDEX(Surface_Engine!$Z$12:$Z$72,$A1471+1),INDEX(Surface_Engine!$Z$12:$Z$72,$Q$1455+1))</f>
        <v>0.612337237131358</v>
      </c>
      <c r="F1471" s="48" t="n">
        <f aca="false">B1471*(IF($A1471&lt;$Q$1455,INDEX(Surface_Engine!$D$12:$D$72,$A1471+1)+(Surface_Engine!Q248*12)*INDEX(Surface_Engine!$F$12:$F$72,$A1471+1)-(Surface_Engine!Q248*12),1000*12*INDEX(Surface_Engine!$C$12:$C$72,$A1471+1)/(1+Assumptions!$B$10)^18+INDEX(Surface_Engine!$D$12:$D$72,$A1471+1)))*INDEX(Surface_Engine!$B$12:$B$72,$A1471+1)+F1472</f>
        <v>14480.7206718011</v>
      </c>
      <c r="G1471" s="48" t="n">
        <f aca="false">C1471*(IF($A1471&lt;$Q$1455,INDEX(Surface_Engine!$D$12:$D$72,$A1471+1)+(Surface_Engine!Q248*12)*INDEX(Surface_Engine!$F$12:$F$72,$A1471+1)-(Surface_Engine!Q248*12),1000*12*INDEX(Surface_Engine!$C$12:$C$72,$A1471+1)/(1+Assumptions!$B$10)^18+INDEX(Surface_Engine!$D$12:$D$72,$A1471+1)))*INDEX(Surface_Engine!$B$12:$B$72,$A1471+1)+G1472</f>
        <v>20067.2541086787</v>
      </c>
      <c r="H1471" s="48" t="n">
        <f aca="false">D1471*(IF($A1471&lt;$Q$1455,INDEX(Surface_Engine!$D$12:$D$72,$A1471+1)+(Surface_Engine!Q248*12)*INDEX(Surface_Engine!$F$12:$F$72,$A1471+1)-(Surface_Engine!Q248*12),1000*12*INDEX(Surface_Engine!$C$12:$C$72,$A1471+1)/(1+Assumptions!$B$10)^18+INDEX(Surface_Engine!$D$12:$D$72,$A1471+1)))*INDEX(Surface_Engine!$B$12:$B$72,$A1471+1)+H1472</f>
        <v>12913.8914090709</v>
      </c>
      <c r="I1471" s="48" t="n">
        <f aca="false">E1471*(IF($A1471&lt;$Q$1455,INDEX(Surface_Engine!$D$12:$D$72,$A1471+1)+(Surface_Engine!Q248*12)*INDEX(Surface_Engine!$F$12:$F$72,$A1471+1)-(Surface_Engine!Q248*12),1000*12*INDEX(Surface_Engine!$C$12:$C$72,$A1471+1)/(1+Assumptions!$B$10)^18+INDEX(Surface_Engine!$D$12:$D$72,$A1471+1)))*INDEX(Surface_Engine!$B$12:$B$72,$A1471+1)+I1472</f>
        <v>16221.1091675671</v>
      </c>
      <c r="J1471" s="48" t="n">
        <f aca="false">B1471*(IF($A1471&lt;$Q$1455,INDEX(Surface_Engine!$D$12:$D$72,$A1471+1)*(1+Assumptions!$B$24)+(Surface_Engine!Q248*12)*INDEX(Surface_Engine!$F$12:$F$72,$A1471+1)-(Surface_Engine!Q248*12),1000*12*INDEX(Surface_Engine!$C$12:$C$72,$A1471+1)/(1+Assumptions!$B$10)^18+INDEX(Surface_Engine!$D$12:$D$72,$A1471+1)*(1+Assumptions!$B$24)))*INDEX(Surface_Engine!$B$12:$B$72,$A1471+1)+J1472</f>
        <v>14513.5268781117</v>
      </c>
      <c r="K1471" s="12" t="n">
        <f aca="false">SQRT((IF(C1471&lt;=0,0,MAX(0,(B1471/C1471)*G1471/INDEX(Surface_Engine!$B$12:$B$72,$A1471+1)-F1471/INDEX(Surface_Engine!$B$12:$B$72,$A1471+1))))^2+(MAX(IF(D1471&lt;=0,0,MAX(0,(B1471/D1471)*H1471/INDEX(Surface_Engine!$B$12:$B$72,$A1471+1)-F1471/INDEX(Surface_Engine!$B$12:$B$72,$A1471+1))),IF(E1471&lt;=0,0,MAX(0,(B1471/E1471)*I1471/INDEX(Surface_Engine!$B$12:$B$72,$A1471+1)-F1471/INDEX(Surface_Engine!$B$12:$B$72,$A1471+1))),IF($A1471&lt;$Q$1455,MAX(0,-Assumptions!$B$22*(F1471/INDEX(Surface_Engine!$B$12:$B$72,$A1471+1))),0)))^2+(MAX(0,J1471/INDEX(Surface_Engine!$B$12:$B$72,$A1471+1)-(F1471/INDEX(Surface_Engine!$B$12:$B$72,$A1471+1))))^2+2*Assumptions!$B$26*(IF(C1471&lt;=0,0,MAX(0,(B1471/C1471)*G1471/INDEX(Surface_Engine!$B$12:$B$72,$A1471+1)-F1471/INDEX(Surface_Engine!$B$12:$B$72,$A1471+1))))*(MAX(IF(D1471&lt;=0,0,MAX(0,(B1471/D1471)*H1471/INDEX(Surface_Engine!$B$12:$B$72,$A1471+1)-F1471/INDEX(Surface_Engine!$B$12:$B$72,$A1471+1))),IF(E1471&lt;=0,0,MAX(0,(B1471/E1471)*I1471/INDEX(Surface_Engine!$B$12:$B$72,$A1471+1)-F1471/INDEX(Surface_Engine!$B$12:$B$72,$A1471+1))),IF($A1471&lt;$Q$1455,MAX(0,-Assumptions!$B$22*(F1471/INDEX(Surface_Engine!$B$12:$B$72,$A1471+1))),0)))+2*Assumptions!$B$27*(IF(C1471&lt;=0,0,MAX(0,(B1471/C1471)*G1471/INDEX(Surface_Engine!$B$12:$B$72,$A1471+1)-F1471/INDEX(Surface_Engine!$B$12:$B$72,$A1471+1))))*(MAX(0,J1471/INDEX(Surface_Engine!$B$12:$B$72,$A1471+1)-(F1471/INDEX(Surface_Engine!$B$12:$B$72,$A1471+1))))+2*Assumptions!$B$28*(MAX(IF(D1471&lt;=0,0,MAX(0,(B1471/D1471)*H1471/INDEX(Surface_Engine!$B$12:$B$72,$A1471+1)-F1471/INDEX(Surface_Engine!$B$12:$B$72,$A1471+1))),IF(E1471&lt;=0,0,MAX(0,(B1471/E1471)*I1471/INDEX(Surface_Engine!$B$12:$B$72,$A1471+1)-F1471/INDEX(Surface_Engine!$B$12:$B$72,$A1471+1))),IF($A1471&lt;$Q$1455,MAX(0,-Assumptions!$B$22*(F1471/INDEX(Surface_Engine!$B$12:$B$72,$A1471+1))),0)))*(MAX(0,J1471/INDEX(Surface_Engine!$B$12:$B$72,$A1471+1)-(F1471/INDEX(Surface_Engine!$B$12:$B$72,$A1471+1)))))</f>
        <v>6290.35862612126</v>
      </c>
      <c r="L1471" s="48" t="n">
        <f aca="false">K1471*INDEX(Surface_Engine!$B$12:$B$72,$A1471+1)+L1472</f>
        <v>29838.7770499221</v>
      </c>
      <c r="M1471" s="48" t="n">
        <f aca="false">M1470+B1470*(IF($A1470&lt;$Q$1455,(Surface_Engine!Q248*12)-(Surface_Engine!Q248*12)*INDEX(Surface_Engine!$F$12:$F$72,$A1470+1)-INDEX(Surface_Engine!$D$12:$D$72,$A1470+1),-(1000*12*INDEX(Surface_Engine!$C$12:$C$72,$A1470+1)/(1+Assumptions!$B$10)^18+INDEX(Surface_Engine!$D$12:$D$72,$A1470+1))))*INDEX(Surface_Engine!$B$12:$B$72,$A1470+1)</f>
        <v>15119.792310752</v>
      </c>
      <c r="N1471" s="12" t="n">
        <f aca="false">IF(B1471&lt;=0,0,MAX(0,(K1471+Assumptions!$B$29*L1471/INDEX(Surface_Engine!$B$12:$B$72,$A1471+1)-(M1471/INDEX(Surface_Engine!$B$12:$B$72,$A1471+1)-(F1471/INDEX(Surface_Engine!$B$12:$B$72,$A1471+1))))/B1471))</f>
        <v>14426.7687885076</v>
      </c>
    </row>
    <row r="1472" customFormat="false" ht="15" hidden="false" customHeight="true" outlineLevel="0" collapsed="false">
      <c r="A1472" s="1" t="n">
        <v>15</v>
      </c>
      <c r="B1472" s="32" t="n">
        <f aca="false">INDEX(Surface_Engine!$S$12:$S$72,$A1472+1)*IF($A1472&lt;$Q$1455,INDEX(Surface_Engine!$E$12:$E$72,$A1472+1),INDEX(Surface_Engine!$E$12:$E$72,$Q$1455+1))</f>
        <v>0.518217243790303</v>
      </c>
      <c r="C1472" s="32" t="n">
        <f aca="false">INDEX(Panel_Reserving!$G$8:$G$68,$A1472+1)*IF($A1472&lt;$Q$1455,INDEX(Surface_Engine!$E$12:$E$72,$A1472+1),INDEX(Surface_Engine!$E$12:$E$72,$Q$1455+1))</f>
        <v>0.569257015898492</v>
      </c>
      <c r="D1472" s="32" t="n">
        <f aca="false">INDEX(Surface_Engine!$S$12:$S$72,$A1472+1)*IF($A1472&lt;$Q$1455,INDEX(Surface_Engine!$Y$12:$Y$72,$A1472+1),INDEX(Surface_Engine!$Y$12:$Y$72,$Q$1455+1))</f>
        <v>0.469442042152052</v>
      </c>
      <c r="E1472" s="32" t="n">
        <f aca="false">INDEX(Surface_Engine!$S$12:$S$72,$A1472+1)*IF($A1472&lt;$Q$1455,INDEX(Surface_Engine!$Z$12:$Z$72,$A1472+1),INDEX(Surface_Engine!$Z$12:$Z$72,$Q$1455+1))</f>
        <v>0.571535333861251</v>
      </c>
      <c r="F1472" s="48" t="n">
        <f aca="false">B1472*(IF($A1472&lt;$Q$1455,INDEX(Surface_Engine!$D$12:$D$72,$A1472+1)+(Surface_Engine!Q248*12)*INDEX(Surface_Engine!$F$12:$F$72,$A1472+1)-(Surface_Engine!Q248*12),1000*12*INDEX(Surface_Engine!$C$12:$C$72,$A1472+1)/(1+Assumptions!$B$10)^18+INDEX(Surface_Engine!$D$12:$D$72,$A1472+1)))*INDEX(Surface_Engine!$B$12:$B$72,$A1472+1)+F1473</f>
        <v>15127.2051854774</v>
      </c>
      <c r="G1472" s="48" t="n">
        <f aca="false">C1472*(IF($A1472&lt;$Q$1455,INDEX(Surface_Engine!$D$12:$D$72,$A1472+1)+(Surface_Engine!Q248*12)*INDEX(Surface_Engine!$F$12:$F$72,$A1472+1)-(Surface_Engine!Q248*12),1000*12*INDEX(Surface_Engine!$C$12:$C$72,$A1472+1)/(1+Assumptions!$B$10)^18+INDEX(Surface_Engine!$D$12:$D$72,$A1472+1)))*INDEX(Surface_Engine!$B$12:$B$72,$A1472+1)+G1473</f>
        <v>20768.0883539012</v>
      </c>
      <c r="H1472" s="48" t="n">
        <f aca="false">D1472*(IF($A1472&lt;$Q$1455,INDEX(Surface_Engine!$D$12:$D$72,$A1472+1)+(Surface_Engine!Q248*12)*INDEX(Surface_Engine!$F$12:$F$72,$A1472+1)-(Surface_Engine!Q248*12),1000*12*INDEX(Surface_Engine!$C$12:$C$72,$A1472+1)/(1+Assumptions!$B$10)^18+INDEX(Surface_Engine!$D$12:$D$72,$A1472+1)))*INDEX(Surface_Engine!$B$12:$B$72,$A1472+1)+H1473</f>
        <v>13502.2295810185</v>
      </c>
      <c r="I1472" s="48" t="n">
        <f aca="false">E1472*(IF($A1472&lt;$Q$1455,INDEX(Surface_Engine!$D$12:$D$72,$A1472+1)+(Surface_Engine!Q248*12)*INDEX(Surface_Engine!$F$12:$F$72,$A1472+1)-(Surface_Engine!Q248*12),1000*12*INDEX(Surface_Engine!$C$12:$C$72,$A1472+1)/(1+Assumptions!$B$10)^18+INDEX(Surface_Engine!$D$12:$D$72,$A1472+1)))*INDEX(Surface_Engine!$B$12:$B$72,$A1472+1)+I1473</f>
        <v>16930.8498963549</v>
      </c>
      <c r="J1472" s="48" t="n">
        <f aca="false">B1472*(IF($A1472&lt;$Q$1455,INDEX(Surface_Engine!$D$12:$D$72,$A1472+1)*(1+Assumptions!$B$24)+(Surface_Engine!Q248*12)*INDEX(Surface_Engine!$F$12:$F$72,$A1472+1)-(Surface_Engine!Q248*12),1000*12*INDEX(Surface_Engine!$C$12:$C$72,$A1472+1)/(1+Assumptions!$B$10)^18+INDEX(Surface_Engine!$D$12:$D$72,$A1472+1)*(1+Assumptions!$B$24)))*INDEX(Surface_Engine!$B$12:$B$72,$A1472+1)+J1473</f>
        <v>15155.7753706657</v>
      </c>
      <c r="K1472" s="12" t="n">
        <f aca="false">SQRT((IF(C1472&lt;=0,0,MAX(0,(B1472/C1472)*G1472/INDEX(Surface_Engine!$B$12:$B$72,$A1472+1)-F1472/INDEX(Surface_Engine!$B$12:$B$72,$A1472+1))))^2+(MAX(IF(D1472&lt;=0,0,MAX(0,(B1472/D1472)*H1472/INDEX(Surface_Engine!$B$12:$B$72,$A1472+1)-F1472/INDEX(Surface_Engine!$B$12:$B$72,$A1472+1))),IF(E1472&lt;=0,0,MAX(0,(B1472/E1472)*I1472/INDEX(Surface_Engine!$B$12:$B$72,$A1472+1)-F1472/INDEX(Surface_Engine!$B$12:$B$72,$A1472+1))),IF($A1472&lt;$Q$1455,MAX(0,-Assumptions!$B$22*(F1472/INDEX(Surface_Engine!$B$12:$B$72,$A1472+1))),0)))^2+(MAX(0,J1472/INDEX(Surface_Engine!$B$12:$B$72,$A1472+1)-(F1472/INDEX(Surface_Engine!$B$12:$B$72,$A1472+1))))^2+2*Assumptions!$B$26*(IF(C1472&lt;=0,0,MAX(0,(B1472/C1472)*G1472/INDEX(Surface_Engine!$B$12:$B$72,$A1472+1)-F1472/INDEX(Surface_Engine!$B$12:$B$72,$A1472+1))))*(MAX(IF(D1472&lt;=0,0,MAX(0,(B1472/D1472)*H1472/INDEX(Surface_Engine!$B$12:$B$72,$A1472+1)-F1472/INDEX(Surface_Engine!$B$12:$B$72,$A1472+1))),IF(E1472&lt;=0,0,MAX(0,(B1472/E1472)*I1472/INDEX(Surface_Engine!$B$12:$B$72,$A1472+1)-F1472/INDEX(Surface_Engine!$B$12:$B$72,$A1472+1))),IF($A1472&lt;$Q$1455,MAX(0,-Assumptions!$B$22*(F1472/INDEX(Surface_Engine!$B$12:$B$72,$A1472+1))),0)))+2*Assumptions!$B$27*(IF(C1472&lt;=0,0,MAX(0,(B1472/C1472)*G1472/INDEX(Surface_Engine!$B$12:$B$72,$A1472+1)-F1472/INDEX(Surface_Engine!$B$12:$B$72,$A1472+1))))*(MAX(0,J1472/INDEX(Surface_Engine!$B$12:$B$72,$A1472+1)-(F1472/INDEX(Surface_Engine!$B$12:$B$72,$A1472+1))))+2*Assumptions!$B$28*(MAX(IF(D1472&lt;=0,0,MAX(0,(B1472/D1472)*H1472/INDEX(Surface_Engine!$B$12:$B$72,$A1472+1)-F1472/INDEX(Surface_Engine!$B$12:$B$72,$A1472+1))),IF(E1472&lt;=0,0,MAX(0,(B1472/E1472)*I1472/INDEX(Surface_Engine!$B$12:$B$72,$A1472+1)-F1472/INDEX(Surface_Engine!$B$12:$B$72,$A1472+1))),IF($A1472&lt;$Q$1455,MAX(0,-Assumptions!$B$22*(F1472/INDEX(Surface_Engine!$B$12:$B$72,$A1472+1))),0)))*(MAX(0,J1472/INDEX(Surface_Engine!$B$12:$B$72,$A1472+1)-(F1472/INDEX(Surface_Engine!$B$12:$B$72,$A1472+1)))))</f>
        <v>6090.66400148047</v>
      </c>
      <c r="L1472" s="48" t="n">
        <f aca="false">K1472*INDEX(Surface_Engine!$B$12:$B$72,$A1472+1)+L1473</f>
        <v>25715.5572460552</v>
      </c>
      <c r="M1472" s="48" t="n">
        <f aca="false">M1471+B1471*(IF($A1471&lt;$Q$1455,(Surface_Engine!Q248*12)-(Surface_Engine!Q248*12)*INDEX(Surface_Engine!$F$12:$F$72,$A1471+1)-INDEX(Surface_Engine!$D$12:$D$72,$A1471+1),-(1000*12*INDEX(Surface_Engine!$C$12:$C$72,$A1471+1)/(1+Assumptions!$B$10)^18+INDEX(Surface_Engine!$D$12:$D$72,$A1471+1))))*INDEX(Surface_Engine!$B$12:$B$72,$A1471+1)</f>
        <v>15766.2768244284</v>
      </c>
      <c r="N1472" s="12" t="n">
        <f aca="false">IF(B1472&lt;=0,0,MAX(0,(K1472+Assumptions!$B$29*L1472/INDEX(Surface_Engine!$B$12:$B$72,$A1472+1)-(M1472/INDEX(Surface_Engine!$B$12:$B$72,$A1472+1)-(F1472/INDEX(Surface_Engine!$B$12:$B$72,$A1472+1))))/B1472))</f>
        <v>14513.1307722476</v>
      </c>
    </row>
    <row r="1473" customFormat="false" ht="15" hidden="false" customHeight="true" outlineLevel="0" collapsed="false">
      <c r="A1473" s="1" t="n">
        <v>16</v>
      </c>
      <c r="B1473" s="32" t="n">
        <f aca="false">INDEX(Surface_Engine!$S$12:$S$72,$A1473+1)*IF($A1473&lt;$Q$1455,INDEX(Surface_Engine!$E$12:$E$72,$A1473+1),INDEX(Surface_Engine!$E$12:$E$72,$Q$1455+1))</f>
        <v>0.477336405087743</v>
      </c>
      <c r="C1473" s="32" t="n">
        <f aca="false">INDEX(Panel_Reserving!$G$8:$G$68,$A1473+1)*IF($A1473&lt;$Q$1455,INDEX(Surface_Engine!$E$12:$E$72,$A1473+1),INDEX(Surface_Engine!$E$12:$E$72,$Q$1455+1))</f>
        <v>0.532295179050005</v>
      </c>
      <c r="D1473" s="32" t="n">
        <f aca="false">INDEX(Surface_Engine!$S$12:$S$72,$A1473+1)*IF($A1473&lt;$Q$1455,INDEX(Surface_Engine!$Y$12:$Y$72,$A1473+1),INDEX(Surface_Engine!$Y$12:$Y$72,$Q$1455+1))</f>
        <v>0.430423425839587</v>
      </c>
      <c r="E1473" s="32" t="n">
        <f aca="false">INDEX(Surface_Engine!$S$12:$S$72,$A1473+1)*IF($A1473&lt;$Q$1455,INDEX(Surface_Engine!$Z$12:$Z$72,$A1473+1),INDEX(Surface_Engine!$Z$12:$Z$72,$Q$1455+1))</f>
        <v>0.52886570465291</v>
      </c>
      <c r="F1473" s="48" t="n">
        <f aca="false">B1473*(IF($A1473&lt;$Q$1455,INDEX(Surface_Engine!$D$12:$D$72,$A1473+1)+(Surface_Engine!Q248*12)*INDEX(Surface_Engine!$F$12:$F$72,$A1473+1)-(Surface_Engine!Q248*12),1000*12*INDEX(Surface_Engine!$C$12:$C$72,$A1473+1)/(1+Assumptions!$B$10)^18+INDEX(Surface_Engine!$D$12:$D$72,$A1473+1)))*INDEX(Surface_Engine!$B$12:$B$72,$A1473+1)+F1474</f>
        <v>15705.3352762446</v>
      </c>
      <c r="G1473" s="48" t="n">
        <f aca="false">C1473*(IF($A1473&lt;$Q$1455,INDEX(Surface_Engine!$D$12:$D$72,$A1473+1)+(Surface_Engine!Q248*12)*INDEX(Surface_Engine!$F$12:$F$72,$A1473+1)-(Surface_Engine!Q248*12),1000*12*INDEX(Surface_Engine!$C$12:$C$72,$A1473+1)/(1+Assumptions!$B$10)^18+INDEX(Surface_Engine!$D$12:$D$72,$A1473+1)))*INDEX(Surface_Engine!$B$12:$B$72,$A1473+1)+G1474</f>
        <v>21403.1590973294</v>
      </c>
      <c r="H1473" s="48" t="n">
        <f aca="false">D1473*(IF($A1473&lt;$Q$1455,INDEX(Surface_Engine!$D$12:$D$72,$A1473+1)+(Surface_Engine!Q248*12)*INDEX(Surface_Engine!$F$12:$F$72,$A1473+1)-(Surface_Engine!Q248*12),1000*12*INDEX(Surface_Engine!$C$12:$C$72,$A1473+1)/(1+Assumptions!$B$10)^18+INDEX(Surface_Engine!$D$12:$D$72,$A1473+1)))*INDEX(Surface_Engine!$B$12:$B$72,$A1473+1)+H1474</f>
        <v>14025.9454042401</v>
      </c>
      <c r="I1473" s="48" t="n">
        <f aca="false">E1473*(IF($A1473&lt;$Q$1455,INDEX(Surface_Engine!$D$12:$D$72,$A1473+1)+(Surface_Engine!Q248*12)*INDEX(Surface_Engine!$F$12:$F$72,$A1473+1)-(Surface_Engine!Q248*12),1000*12*INDEX(Surface_Engine!$C$12:$C$72,$A1473+1)/(1+Assumptions!$B$10)^18+INDEX(Surface_Engine!$D$12:$D$72,$A1473+1)))*INDEX(Surface_Engine!$B$12:$B$72,$A1473+1)+I1474</f>
        <v>17568.4623617856</v>
      </c>
      <c r="J1473" s="48" t="n">
        <f aca="false">B1473*(IF($A1473&lt;$Q$1455,INDEX(Surface_Engine!$D$12:$D$72,$A1473+1)*(1+Assumptions!$B$24)+(Surface_Engine!Q248*12)*INDEX(Surface_Engine!$F$12:$F$72,$A1473+1)-(Surface_Engine!Q248*12),1000*12*INDEX(Surface_Engine!$C$12:$C$72,$A1473+1)/(1+Assumptions!$B$10)^18+INDEX(Surface_Engine!$D$12:$D$72,$A1473+1)*(1+Assumptions!$B$24)))*INDEX(Surface_Engine!$B$12:$B$72,$A1473+1)+J1474</f>
        <v>15730.0162510975</v>
      </c>
      <c r="K1473" s="12" t="n">
        <f aca="false">SQRT((IF(C1473&lt;=0,0,MAX(0,(B1473/C1473)*G1473/INDEX(Surface_Engine!$B$12:$B$72,$A1473+1)-F1473/INDEX(Surface_Engine!$B$12:$B$72,$A1473+1))))^2+(MAX(IF(D1473&lt;=0,0,MAX(0,(B1473/D1473)*H1473/INDEX(Surface_Engine!$B$12:$B$72,$A1473+1)-F1473/INDEX(Surface_Engine!$B$12:$B$72,$A1473+1))),IF(E1473&lt;=0,0,MAX(0,(B1473/E1473)*I1473/INDEX(Surface_Engine!$B$12:$B$72,$A1473+1)-F1473/INDEX(Surface_Engine!$B$12:$B$72,$A1473+1))),IF($A1473&lt;$Q$1455,MAX(0,-Assumptions!$B$22*(F1473/INDEX(Surface_Engine!$B$12:$B$72,$A1473+1))),0)))^2+(MAX(0,J1473/INDEX(Surface_Engine!$B$12:$B$72,$A1473+1)-(F1473/INDEX(Surface_Engine!$B$12:$B$72,$A1473+1))))^2+2*Assumptions!$B$26*(IF(C1473&lt;=0,0,MAX(0,(B1473/C1473)*G1473/INDEX(Surface_Engine!$B$12:$B$72,$A1473+1)-F1473/INDEX(Surface_Engine!$B$12:$B$72,$A1473+1))))*(MAX(IF(D1473&lt;=0,0,MAX(0,(B1473/D1473)*H1473/INDEX(Surface_Engine!$B$12:$B$72,$A1473+1)-F1473/INDEX(Surface_Engine!$B$12:$B$72,$A1473+1))),IF(E1473&lt;=0,0,MAX(0,(B1473/E1473)*I1473/INDEX(Surface_Engine!$B$12:$B$72,$A1473+1)-F1473/INDEX(Surface_Engine!$B$12:$B$72,$A1473+1))),IF($A1473&lt;$Q$1455,MAX(0,-Assumptions!$B$22*(F1473/INDEX(Surface_Engine!$B$12:$B$72,$A1473+1))),0)))+2*Assumptions!$B$27*(IF(C1473&lt;=0,0,MAX(0,(B1473/C1473)*G1473/INDEX(Surface_Engine!$B$12:$B$72,$A1473+1)-F1473/INDEX(Surface_Engine!$B$12:$B$72,$A1473+1))))*(MAX(0,J1473/INDEX(Surface_Engine!$B$12:$B$72,$A1473+1)-(F1473/INDEX(Surface_Engine!$B$12:$B$72,$A1473+1))))+2*Assumptions!$B$28*(MAX(IF(D1473&lt;=0,0,MAX(0,(B1473/D1473)*H1473/INDEX(Surface_Engine!$B$12:$B$72,$A1473+1)-F1473/INDEX(Surface_Engine!$B$12:$B$72,$A1473+1))),IF(E1473&lt;=0,0,MAX(0,(B1473/E1473)*I1473/INDEX(Surface_Engine!$B$12:$B$72,$A1473+1)-F1473/INDEX(Surface_Engine!$B$12:$B$72,$A1473+1))),IF($A1473&lt;$Q$1455,MAX(0,-Assumptions!$B$22*(F1473/INDEX(Surface_Engine!$B$12:$B$72,$A1473+1))),0)))*(MAX(0,J1473/INDEX(Surface_Engine!$B$12:$B$72,$A1473+1)-(F1473/INDEX(Surface_Engine!$B$12:$B$72,$A1473+1)))))</f>
        <v>5797.305721828</v>
      </c>
      <c r="L1473" s="48" t="n">
        <f aca="false">K1473*INDEX(Surface_Engine!$B$12:$B$72,$A1473+1)+L1474</f>
        <v>21866.6062694636</v>
      </c>
      <c r="M1473" s="48" t="n">
        <f aca="false">M1472+B1472*(IF($A1472&lt;$Q$1455,(Surface_Engine!Q248*12)-(Surface_Engine!Q248*12)*INDEX(Surface_Engine!$F$12:$F$72,$A1472+1)-INDEX(Surface_Engine!$D$12:$D$72,$A1472+1),-(1000*12*INDEX(Surface_Engine!$C$12:$C$72,$A1472+1)/(1+Assumptions!$B$10)^18+INDEX(Surface_Engine!$D$12:$D$72,$A1472+1))))*INDEX(Surface_Engine!$B$12:$B$72,$A1472+1)</f>
        <v>16344.4069151955</v>
      </c>
      <c r="N1473" s="12" t="n">
        <f aca="false">IF(B1473&lt;=0,0,MAX(0,(K1473+Assumptions!$B$29*L1473/INDEX(Surface_Engine!$B$12:$B$72,$A1473+1)-(M1473/INDEX(Surface_Engine!$B$12:$B$72,$A1473+1)-(F1473/INDEX(Surface_Engine!$B$12:$B$72,$A1473+1))))/B1473))</f>
        <v>14456.6936299072</v>
      </c>
    </row>
    <row r="1474" customFormat="false" ht="15" hidden="false" customHeight="true" outlineLevel="0" collapsed="false">
      <c r="A1474" s="1" t="n">
        <v>17</v>
      </c>
      <c r="B1474" s="32" t="n">
        <f aca="false">INDEX(Surface_Engine!$S$12:$S$72,$A1474+1)*IF($A1474&lt;$Q$1455,INDEX(Surface_Engine!$E$12:$E$72,$A1474+1),INDEX(Surface_Engine!$E$12:$E$72,$Q$1455+1))</f>
        <v>0.435394669498121</v>
      </c>
      <c r="C1474" s="32" t="n">
        <f aca="false">INDEX(Panel_Reserving!$G$8:$G$68,$A1474+1)*IF($A1474&lt;$Q$1455,INDEX(Surface_Engine!$E$12:$E$72,$A1474+1),INDEX(Surface_Engine!$E$12:$E$72,$Q$1455+1))</f>
        <v>0.493909798493839</v>
      </c>
      <c r="D1474" s="32" t="n">
        <f aca="false">INDEX(Surface_Engine!$S$12:$S$72,$A1474+1)*IF($A1474&lt;$Q$1455,INDEX(Surface_Engine!$Y$12:$Y$72,$A1474+1),INDEX(Surface_Engine!$Y$12:$Y$72,$Q$1455+1))</f>
        <v>0.390801003291664</v>
      </c>
      <c r="E1474" s="32" t="n">
        <f aca="false">INDEX(Surface_Engine!$S$12:$S$72,$A1474+1)*IF($A1474&lt;$Q$1455,INDEX(Surface_Engine!$Z$12:$Z$72,$A1474+1),INDEX(Surface_Engine!$Z$12:$Z$72,$Q$1455+1))</f>
        <v>0.48461134551586</v>
      </c>
      <c r="F1474" s="48" t="n">
        <f aca="false">B1474*(IF($A1474&lt;$Q$1455,INDEX(Surface_Engine!$D$12:$D$72,$A1474+1)+(Surface_Engine!Q248*12)*INDEX(Surface_Engine!$F$12:$F$72,$A1474+1)-(Surface_Engine!Q248*12),1000*12*INDEX(Surface_Engine!$C$12:$C$72,$A1474+1)/(1+Assumptions!$B$10)^18+INDEX(Surface_Engine!$D$12:$D$72,$A1474+1)))*INDEX(Surface_Engine!$B$12:$B$72,$A1474+1)+F1475</f>
        <v>16218.3890180624</v>
      </c>
      <c r="G1474" s="48" t="n">
        <f aca="false">C1474*(IF($A1474&lt;$Q$1455,INDEX(Surface_Engine!$D$12:$D$72,$A1474+1)+(Surface_Engine!Q248*12)*INDEX(Surface_Engine!$F$12:$F$72,$A1474+1)-(Surface_Engine!Q248*12),1000*12*INDEX(Surface_Engine!$C$12:$C$72,$A1474+1)/(1+Assumptions!$B$10)^18+INDEX(Surface_Engine!$D$12:$D$72,$A1474+1)))*INDEX(Surface_Engine!$B$12:$B$72,$A1474+1)+G1475</f>
        <v>21975.2839770838</v>
      </c>
      <c r="H1474" s="48" t="n">
        <f aca="false">D1474*(IF($A1474&lt;$Q$1455,INDEX(Surface_Engine!$D$12:$D$72,$A1474+1)+(Surface_Engine!Q248*12)*INDEX(Surface_Engine!$F$12:$F$72,$A1474+1)-(Surface_Engine!Q248*12),1000*12*INDEX(Surface_Engine!$C$12:$C$72,$A1474+1)/(1+Assumptions!$B$10)^18+INDEX(Surface_Engine!$D$12:$D$72,$A1474+1)))*INDEX(Surface_Engine!$B$12:$B$72,$A1474+1)+H1475</f>
        <v>14488.5758402163</v>
      </c>
      <c r="I1474" s="48" t="n">
        <f aca="false">E1474*(IF($A1474&lt;$Q$1455,INDEX(Surface_Engine!$D$12:$D$72,$A1474+1)+(Surface_Engine!Q248*12)*INDEX(Surface_Engine!$F$12:$F$72,$A1474+1)-(Surface_Engine!Q248*12),1000*12*INDEX(Surface_Engine!$C$12:$C$72,$A1474+1)/(1+Assumptions!$B$10)^18+INDEX(Surface_Engine!$D$12:$D$72,$A1474+1)))*INDEX(Surface_Engine!$B$12:$B$72,$A1474+1)+I1475</f>
        <v>18136.9011521214</v>
      </c>
      <c r="J1474" s="48" t="n">
        <f aca="false">B1474*(IF($A1474&lt;$Q$1455,INDEX(Surface_Engine!$D$12:$D$72,$A1474+1)*(1+Assumptions!$B$24)+(Surface_Engine!Q248*12)*INDEX(Surface_Engine!$F$12:$F$72,$A1474+1)-(Surface_Engine!Q248*12),1000*12*INDEX(Surface_Engine!$C$12:$C$72,$A1474+1)/(1+Assumptions!$B$10)^18+INDEX(Surface_Engine!$D$12:$D$72,$A1474+1)*(1+Assumptions!$B$24)))*INDEX(Surface_Engine!$B$12:$B$72,$A1474+1)+J1475</f>
        <v>16239.5263202751</v>
      </c>
      <c r="K1474" s="12" t="n">
        <f aca="false">SQRT((IF(C1474&lt;=0,0,MAX(0,(B1474/C1474)*G1474/INDEX(Surface_Engine!$B$12:$B$72,$A1474+1)-F1474/INDEX(Surface_Engine!$B$12:$B$72,$A1474+1))))^2+(MAX(IF(D1474&lt;=0,0,MAX(0,(B1474/D1474)*H1474/INDEX(Surface_Engine!$B$12:$B$72,$A1474+1)-F1474/INDEX(Surface_Engine!$B$12:$B$72,$A1474+1))),IF(E1474&lt;=0,0,MAX(0,(B1474/E1474)*I1474/INDEX(Surface_Engine!$B$12:$B$72,$A1474+1)-F1474/INDEX(Surface_Engine!$B$12:$B$72,$A1474+1))),IF($A1474&lt;$Q$1455,MAX(0,-Assumptions!$B$22*(F1474/INDEX(Surface_Engine!$B$12:$B$72,$A1474+1))),0)))^2+(MAX(0,J1474/INDEX(Surface_Engine!$B$12:$B$72,$A1474+1)-(F1474/INDEX(Surface_Engine!$B$12:$B$72,$A1474+1))))^2+2*Assumptions!$B$26*(IF(C1474&lt;=0,0,MAX(0,(B1474/C1474)*G1474/INDEX(Surface_Engine!$B$12:$B$72,$A1474+1)-F1474/INDEX(Surface_Engine!$B$12:$B$72,$A1474+1))))*(MAX(IF(D1474&lt;=0,0,MAX(0,(B1474/D1474)*H1474/INDEX(Surface_Engine!$B$12:$B$72,$A1474+1)-F1474/INDEX(Surface_Engine!$B$12:$B$72,$A1474+1))),IF(E1474&lt;=0,0,MAX(0,(B1474/E1474)*I1474/INDEX(Surface_Engine!$B$12:$B$72,$A1474+1)-F1474/INDEX(Surface_Engine!$B$12:$B$72,$A1474+1))),IF($A1474&lt;$Q$1455,MAX(0,-Assumptions!$B$22*(F1474/INDEX(Surface_Engine!$B$12:$B$72,$A1474+1))),0)))+2*Assumptions!$B$27*(IF(C1474&lt;=0,0,MAX(0,(B1474/C1474)*G1474/INDEX(Surface_Engine!$B$12:$B$72,$A1474+1)-F1474/INDEX(Surface_Engine!$B$12:$B$72,$A1474+1))))*(MAX(0,J1474/INDEX(Surface_Engine!$B$12:$B$72,$A1474+1)-(F1474/INDEX(Surface_Engine!$B$12:$B$72,$A1474+1))))+2*Assumptions!$B$28*(MAX(IF(D1474&lt;=0,0,MAX(0,(B1474/D1474)*H1474/INDEX(Surface_Engine!$B$12:$B$72,$A1474+1)-F1474/INDEX(Surface_Engine!$B$12:$B$72,$A1474+1))),IF(E1474&lt;=0,0,MAX(0,(B1474/E1474)*I1474/INDEX(Surface_Engine!$B$12:$B$72,$A1474+1)-F1474/INDEX(Surface_Engine!$B$12:$B$72,$A1474+1))),IF($A1474&lt;$Q$1455,MAX(0,-Assumptions!$B$22*(F1474/INDEX(Surface_Engine!$B$12:$B$72,$A1474+1))),0)))*(MAX(0,J1474/INDEX(Surface_Engine!$B$12:$B$72,$A1474+1)-(F1474/INDEX(Surface_Engine!$B$12:$B$72,$A1474+1)))))</f>
        <v>5391.31478415578</v>
      </c>
      <c r="L1474" s="48" t="n">
        <f aca="false">K1474*INDEX(Surface_Engine!$B$12:$B$72,$A1474+1)+L1475</f>
        <v>18331.0354371664</v>
      </c>
      <c r="M1474" s="48" t="n">
        <f aca="false">M1473+B1473*(IF($A1473&lt;$Q$1455,(Surface_Engine!Q248*12)-(Surface_Engine!Q248*12)*INDEX(Surface_Engine!$F$12:$F$72,$A1473+1)-INDEX(Surface_Engine!$D$12:$D$72,$A1473+1),-(1000*12*INDEX(Surface_Engine!$C$12:$C$72,$A1473+1)/(1+Assumptions!$B$10)^18+INDEX(Surface_Engine!$D$12:$D$72,$A1473+1))))*INDEX(Surface_Engine!$B$12:$B$72,$A1473+1)</f>
        <v>16857.4606570134</v>
      </c>
      <c r="N1474" s="12" t="n">
        <f aca="false">IF(B1474&lt;=0,0,MAX(0,(K1474+Assumptions!$B$29*L1474/INDEX(Surface_Engine!$B$12:$B$72,$A1474+1)-(M1474/INDEX(Surface_Engine!$B$12:$B$72,$A1474+1)-(F1474/INDEX(Surface_Engine!$B$12:$B$72,$A1474+1))))/B1474))</f>
        <v>14177.4368606456</v>
      </c>
    </row>
    <row r="1475" customFormat="false" ht="15" hidden="false" customHeight="true" outlineLevel="0" collapsed="false">
      <c r="A1475" s="1" t="n">
        <v>18</v>
      </c>
      <c r="B1475" s="32" t="n">
        <f aca="false">INDEX(Surface_Engine!$S$12:$S$72,$A1475+1)*IF($A1475&lt;$Q$1455,INDEX(Surface_Engine!$E$12:$E$72,$A1475+1),INDEX(Surface_Engine!$E$12:$E$72,$Q$1455+1))</f>
        <v>0.392761580347064</v>
      </c>
      <c r="C1475" s="32" t="n">
        <f aca="false">INDEX(Panel_Reserving!$G$8:$G$68,$A1475+1)*IF($A1475&lt;$Q$1455,INDEX(Surface_Engine!$E$12:$E$72,$A1475+1),INDEX(Surface_Engine!$E$12:$E$72,$Q$1455+1))</f>
        <v>0.454320651572468</v>
      </c>
      <c r="D1475" s="32" t="n">
        <f aca="false">INDEX(Surface_Engine!$S$12:$S$72,$A1475+1)*IF($A1475&lt;$Q$1455,INDEX(Surface_Engine!$Y$12:$Y$72,$A1475+1),INDEX(Surface_Engine!$Y$12:$Y$72,$Q$1455+1))</f>
        <v>0.35091568593547</v>
      </c>
      <c r="E1475" s="32" t="n">
        <f aca="false">INDEX(Surface_Engine!$S$12:$S$72,$A1475+1)*IF($A1475&lt;$Q$1455,INDEX(Surface_Engine!$Z$12:$Z$72,$A1475+1),INDEX(Surface_Engine!$Z$12:$Z$72,$Q$1455+1))</f>
        <v>0.439166385459879</v>
      </c>
      <c r="F1475" s="48" t="n">
        <f aca="false">B1475*(IF($A1475&lt;$Q$1455,INDEX(Surface_Engine!$D$12:$D$72,$A1475+1)+(Surface_Engine!Q248*12)*INDEX(Surface_Engine!$F$12:$F$72,$A1475+1)-(Surface_Engine!Q248*12),1000*12*INDEX(Surface_Engine!$C$12:$C$72,$A1475+1)/(1+Assumptions!$B$10)^18+INDEX(Surface_Engine!$D$12:$D$72,$A1475+1)))*INDEX(Surface_Engine!$B$12:$B$72,$A1475+1)+F1476</f>
        <v>16670.0692797295</v>
      </c>
      <c r="G1475" s="48" t="n">
        <f aca="false">C1475*(IF($A1475&lt;$Q$1455,INDEX(Surface_Engine!$D$12:$D$72,$A1475+1)+(Surface_Engine!Q248*12)*INDEX(Surface_Engine!$F$12:$F$72,$A1475+1)-(Surface_Engine!Q248*12),1000*12*INDEX(Surface_Engine!$C$12:$C$72,$A1475+1)/(1+Assumptions!$B$10)^18+INDEX(Surface_Engine!$D$12:$D$72,$A1475+1)))*INDEX(Surface_Engine!$B$12:$B$72,$A1475+1)+G1476</f>
        <v>22487.6680797206</v>
      </c>
      <c r="H1475" s="48" t="n">
        <f aca="false">D1475*(IF($A1475&lt;$Q$1455,INDEX(Surface_Engine!$D$12:$D$72,$A1475+1)+(Surface_Engine!Q248*12)*INDEX(Surface_Engine!$F$12:$F$72,$A1475+1)-(Surface_Engine!Q248*12),1000*12*INDEX(Surface_Engine!$C$12:$C$72,$A1475+1)/(1+Assumptions!$B$10)^18+INDEX(Surface_Engine!$D$12:$D$72,$A1475+1)))*INDEX(Surface_Engine!$B$12:$B$72,$A1475+1)+H1476</f>
        <v>14893.9944449733</v>
      </c>
      <c r="I1475" s="48" t="n">
        <f aca="false">E1475*(IF($A1475&lt;$Q$1455,INDEX(Surface_Engine!$D$12:$D$72,$A1475+1)+(Surface_Engine!Q248*12)*INDEX(Surface_Engine!$F$12:$F$72,$A1475+1)-(Surface_Engine!Q248*12),1000*12*INDEX(Surface_Engine!$C$12:$C$72,$A1475+1)/(1+Assumptions!$B$10)^18+INDEX(Surface_Engine!$D$12:$D$72,$A1475+1)))*INDEX(Surface_Engine!$B$12:$B$72,$A1475+1)+I1476</f>
        <v>18639.639000524</v>
      </c>
      <c r="J1475" s="48" t="n">
        <f aca="false">B1475*(IF($A1475&lt;$Q$1455,INDEX(Surface_Engine!$D$12:$D$72,$A1475+1)*(1+Assumptions!$B$24)+(Surface_Engine!Q248*12)*INDEX(Surface_Engine!$F$12:$F$72,$A1475+1)-(Surface_Engine!Q248*12),1000*12*INDEX(Surface_Engine!$C$12:$C$72,$A1475+1)/(1+Assumptions!$B$10)^18+INDEX(Surface_Engine!$D$12:$D$72,$A1475+1)*(1+Assumptions!$B$24)))*INDEX(Surface_Engine!$B$12:$B$72,$A1475+1)+J1476</f>
        <v>16688.0032917622</v>
      </c>
      <c r="K1475" s="12" t="n">
        <f aca="false">SQRT((IF(C1475&lt;=0,0,MAX(0,(B1475/C1475)*G1475/INDEX(Surface_Engine!$B$12:$B$72,$A1475+1)-F1475/INDEX(Surface_Engine!$B$12:$B$72,$A1475+1))))^2+(MAX(IF(D1475&lt;=0,0,MAX(0,(B1475/D1475)*H1475/INDEX(Surface_Engine!$B$12:$B$72,$A1475+1)-F1475/INDEX(Surface_Engine!$B$12:$B$72,$A1475+1))),IF(E1475&lt;=0,0,MAX(0,(B1475/E1475)*I1475/INDEX(Surface_Engine!$B$12:$B$72,$A1475+1)-F1475/INDEX(Surface_Engine!$B$12:$B$72,$A1475+1))),IF($A1475&lt;$Q$1455,MAX(0,-Assumptions!$B$22*(F1475/INDEX(Surface_Engine!$B$12:$B$72,$A1475+1))),0)))^2+(MAX(0,J1475/INDEX(Surface_Engine!$B$12:$B$72,$A1475+1)-(F1475/INDEX(Surface_Engine!$B$12:$B$72,$A1475+1))))^2+2*Assumptions!$B$26*(IF(C1475&lt;=0,0,MAX(0,(B1475/C1475)*G1475/INDEX(Surface_Engine!$B$12:$B$72,$A1475+1)-F1475/INDEX(Surface_Engine!$B$12:$B$72,$A1475+1))))*(MAX(IF(D1475&lt;=0,0,MAX(0,(B1475/D1475)*H1475/INDEX(Surface_Engine!$B$12:$B$72,$A1475+1)-F1475/INDEX(Surface_Engine!$B$12:$B$72,$A1475+1))),IF(E1475&lt;=0,0,MAX(0,(B1475/E1475)*I1475/INDEX(Surface_Engine!$B$12:$B$72,$A1475+1)-F1475/INDEX(Surface_Engine!$B$12:$B$72,$A1475+1))),IF($A1475&lt;$Q$1455,MAX(0,-Assumptions!$B$22*(F1475/INDEX(Surface_Engine!$B$12:$B$72,$A1475+1))),0)))+2*Assumptions!$B$27*(IF(C1475&lt;=0,0,MAX(0,(B1475/C1475)*G1475/INDEX(Surface_Engine!$B$12:$B$72,$A1475+1)-F1475/INDEX(Surface_Engine!$B$12:$B$72,$A1475+1))))*(MAX(0,J1475/INDEX(Surface_Engine!$B$12:$B$72,$A1475+1)-(F1475/INDEX(Surface_Engine!$B$12:$B$72,$A1475+1))))+2*Assumptions!$B$28*(MAX(IF(D1475&lt;=0,0,MAX(0,(B1475/D1475)*H1475/INDEX(Surface_Engine!$B$12:$B$72,$A1475+1)-F1475/INDEX(Surface_Engine!$B$12:$B$72,$A1475+1))),IF(E1475&lt;=0,0,MAX(0,(B1475/E1475)*I1475/INDEX(Surface_Engine!$B$12:$B$72,$A1475+1)-F1475/INDEX(Surface_Engine!$B$12:$B$72,$A1475+1))),IF($A1475&lt;$Q$1455,MAX(0,-Assumptions!$B$22*(F1475/INDEX(Surface_Engine!$B$12:$B$72,$A1475+1))),0)))*(MAX(0,J1475/INDEX(Surface_Engine!$B$12:$B$72,$A1475+1)-(F1475/INDEX(Surface_Engine!$B$12:$B$72,$A1475+1)))))</f>
        <v>4862.56651429108</v>
      </c>
      <c r="L1475" s="48" t="n">
        <f aca="false">K1475*INDEX(Surface_Engine!$B$12:$B$72,$A1475+1)+L1476</f>
        <v>15152.0517419257</v>
      </c>
      <c r="M1475" s="48" t="n">
        <f aca="false">M1474+B1474*(IF($A1474&lt;$Q$1455,(Surface_Engine!Q248*12)-(Surface_Engine!Q248*12)*INDEX(Surface_Engine!$F$12:$F$72,$A1474+1)-INDEX(Surface_Engine!$D$12:$D$72,$A1474+1),-(1000*12*INDEX(Surface_Engine!$C$12:$C$72,$A1474+1)/(1+Assumptions!$B$10)^18+INDEX(Surface_Engine!$D$12:$D$72,$A1474+1))))*INDEX(Surface_Engine!$B$12:$B$72,$A1474+1)</f>
        <v>17309.1409186805</v>
      </c>
      <c r="N1475" s="12" t="n">
        <f aca="false">IF(B1475&lt;=0,0,MAX(0,(K1475+Assumptions!$B$29*L1475/INDEX(Surface_Engine!$B$12:$B$72,$A1475+1)-(M1475/INDEX(Surface_Engine!$B$12:$B$72,$A1475+1)-(F1475/INDEX(Surface_Engine!$B$12:$B$72,$A1475+1))))/B1475))</f>
        <v>13585.2132634291</v>
      </c>
    </row>
    <row r="1476" customFormat="false" ht="15" hidden="false" customHeight="true" outlineLevel="0" collapsed="false">
      <c r="A1476" s="1" t="n">
        <v>19</v>
      </c>
      <c r="B1476" s="32" t="n">
        <f aca="false">INDEX(Surface_Engine!$S$12:$S$72,$A1476+1)*IF($A1476&lt;$Q$1455,INDEX(Surface_Engine!$E$12:$E$72,$A1476+1),INDEX(Surface_Engine!$E$12:$E$72,$Q$1455+1))</f>
        <v>0.351850938981728</v>
      </c>
      <c r="C1476" s="32" t="n">
        <f aca="false">INDEX(Panel_Reserving!$G$8:$G$68,$A1476+1)*IF($A1476&lt;$Q$1455,INDEX(Surface_Engine!$E$12:$E$72,$A1476+1),INDEX(Surface_Engine!$E$12:$E$72,$Q$1455+1))</f>
        <v>0.416462469568163</v>
      </c>
      <c r="D1476" s="32" t="n">
        <f aca="false">INDEX(Surface_Engine!$S$12:$S$72,$A1476+1)*IF($A1476&lt;$Q$1455,INDEX(Surface_Engine!$Y$12:$Y$72,$A1476+1),INDEX(Surface_Engine!$Y$12:$Y$72,$Q$1455+1))</f>
        <v>0.314363776341637</v>
      </c>
      <c r="E1476" s="32" t="n">
        <f aca="false">INDEX(Surface_Engine!$S$12:$S$72,$A1476+1)*IF($A1476&lt;$Q$1455,INDEX(Surface_Engine!$Z$12:$Z$72,$A1476+1),INDEX(Surface_Engine!$Z$12:$Z$72,$Q$1455+1))</f>
        <v>0.393422149276228</v>
      </c>
      <c r="F1476" s="48" t="n">
        <f aca="false">B1476*(IF($A1476&lt;$Q$1455,INDEX(Surface_Engine!$D$12:$D$72,$A1476+1)+(Surface_Engine!Q248*12)*INDEX(Surface_Engine!$F$12:$F$72,$A1476+1)-(Surface_Engine!Q248*12),1000*12*INDEX(Surface_Engine!$C$12:$C$72,$A1476+1)/(1+Assumptions!$B$10)^18+INDEX(Surface_Engine!$D$12:$D$72,$A1476+1)))*INDEX(Surface_Engine!$B$12:$B$72,$A1476+1)+F1477</f>
        <v>13951.5561493658</v>
      </c>
      <c r="G1476" s="48" t="n">
        <f aca="false">C1476*(IF($A1476&lt;$Q$1455,INDEX(Surface_Engine!$D$12:$D$72,$A1476+1)+(Surface_Engine!Q248*12)*INDEX(Surface_Engine!$F$12:$F$72,$A1476+1)-(Surface_Engine!Q248*12),1000*12*INDEX(Surface_Engine!$C$12:$C$72,$A1476+1)/(1+Assumptions!$B$10)^18+INDEX(Surface_Engine!$D$12:$D$72,$A1476+1)))*INDEX(Surface_Engine!$B$12:$B$72,$A1476+1)+G1477</f>
        <v>19343.071666793</v>
      </c>
      <c r="H1476" s="48" t="n">
        <f aca="false">D1476*(IF($A1476&lt;$Q$1455,INDEX(Surface_Engine!$D$12:$D$72,$A1476+1)+(Surface_Engine!Q248*12)*INDEX(Surface_Engine!$F$12:$F$72,$A1476+1)-(Surface_Engine!Q248*12),1000*12*INDEX(Surface_Engine!$C$12:$C$72,$A1476+1)/(1+Assumptions!$B$10)^18+INDEX(Surface_Engine!$D$12:$D$72,$A1476+1)))*INDEX(Surface_Engine!$B$12:$B$72,$A1476+1)+H1477</f>
        <v>12465.1191486085</v>
      </c>
      <c r="I1476" s="48" t="n">
        <f aca="false">E1476*(IF($A1476&lt;$Q$1455,INDEX(Surface_Engine!$D$12:$D$72,$A1476+1)+(Surface_Engine!Q248*12)*INDEX(Surface_Engine!$F$12:$F$72,$A1476+1)-(Surface_Engine!Q248*12),1000*12*INDEX(Surface_Engine!$C$12:$C$72,$A1476+1)/(1+Assumptions!$B$10)^18+INDEX(Surface_Engine!$D$12:$D$72,$A1476+1)))*INDEX(Surface_Engine!$B$12:$B$72,$A1476+1)+I1477</f>
        <v>15599.9333749583</v>
      </c>
      <c r="J1476" s="48" t="n">
        <f aca="false">B1476*(IF($A1476&lt;$Q$1455,INDEX(Surface_Engine!$D$12:$D$72,$A1476+1)*(1+Assumptions!$B$24)+(Surface_Engine!Q248*12)*INDEX(Surface_Engine!$F$12:$F$72,$A1476+1)-(Surface_Engine!Q248*12),1000*12*INDEX(Surface_Engine!$C$12:$C$72,$A1476+1)/(1+Assumptions!$B$10)^18+INDEX(Surface_Engine!$D$12:$D$72,$A1476+1)*(1+Assumptions!$B$24)))*INDEX(Surface_Engine!$B$12:$B$72,$A1476+1)+J1477</f>
        <v>13966.6234132346</v>
      </c>
      <c r="K1476" s="12" t="n">
        <f aca="false">SQRT((IF(C1476&lt;=0,0,MAX(0,(B1476/C1476)*G1476/INDEX(Surface_Engine!$B$12:$B$72,$A1476+1)-F1476/INDEX(Surface_Engine!$B$12:$B$72,$A1476+1))))^2+(MAX(IF(D1476&lt;=0,0,MAX(0,(B1476/D1476)*H1476/INDEX(Surface_Engine!$B$12:$B$72,$A1476+1)-F1476/INDEX(Surface_Engine!$B$12:$B$72,$A1476+1))),IF(E1476&lt;=0,0,MAX(0,(B1476/E1476)*I1476/INDEX(Surface_Engine!$B$12:$B$72,$A1476+1)-F1476/INDEX(Surface_Engine!$B$12:$B$72,$A1476+1))),IF($A1476&lt;$Q$1455,MAX(0,-Assumptions!$B$22*(F1476/INDEX(Surface_Engine!$B$12:$B$72,$A1476+1))),0)))^2+(MAX(0,J1476/INDEX(Surface_Engine!$B$12:$B$72,$A1476+1)-(F1476/INDEX(Surface_Engine!$B$12:$B$72,$A1476+1))))^2+2*Assumptions!$B$26*(IF(C1476&lt;=0,0,MAX(0,(B1476/C1476)*G1476/INDEX(Surface_Engine!$B$12:$B$72,$A1476+1)-F1476/INDEX(Surface_Engine!$B$12:$B$72,$A1476+1))))*(MAX(IF(D1476&lt;=0,0,MAX(0,(B1476/D1476)*H1476/INDEX(Surface_Engine!$B$12:$B$72,$A1476+1)-F1476/INDEX(Surface_Engine!$B$12:$B$72,$A1476+1))),IF(E1476&lt;=0,0,MAX(0,(B1476/E1476)*I1476/INDEX(Surface_Engine!$B$12:$B$72,$A1476+1)-F1476/INDEX(Surface_Engine!$B$12:$B$72,$A1476+1))),IF($A1476&lt;$Q$1455,MAX(0,-Assumptions!$B$22*(F1476/INDEX(Surface_Engine!$B$12:$B$72,$A1476+1))),0)))+2*Assumptions!$B$27*(IF(C1476&lt;=0,0,MAX(0,(B1476/C1476)*G1476/INDEX(Surface_Engine!$B$12:$B$72,$A1476+1)-F1476/INDEX(Surface_Engine!$B$12:$B$72,$A1476+1))))*(MAX(0,J1476/INDEX(Surface_Engine!$B$12:$B$72,$A1476+1)-(F1476/INDEX(Surface_Engine!$B$12:$B$72,$A1476+1))))+2*Assumptions!$B$28*(MAX(IF(D1476&lt;=0,0,MAX(0,(B1476/D1476)*H1476/INDEX(Surface_Engine!$B$12:$B$72,$A1476+1)-F1476/INDEX(Surface_Engine!$B$12:$B$72,$A1476+1))),IF(E1476&lt;=0,0,MAX(0,(B1476/E1476)*I1476/INDEX(Surface_Engine!$B$12:$B$72,$A1476+1)-F1476/INDEX(Surface_Engine!$B$12:$B$72,$A1476+1))),IF($A1476&lt;$Q$1455,MAX(0,-Assumptions!$B$22*(F1476/INDEX(Surface_Engine!$B$12:$B$72,$A1476+1))),0)))*(MAX(0,J1476/INDEX(Surface_Engine!$B$12:$B$72,$A1476+1)-(F1476/INDEX(Surface_Engine!$B$12:$B$72,$A1476+1)))))</f>
        <v>4330.58588601248</v>
      </c>
      <c r="L1476" s="48" t="n">
        <f aca="false">K1476*INDEX(Surface_Engine!$B$12:$B$72,$A1476+1)+L1477</f>
        <v>12376.9259755198</v>
      </c>
      <c r="M1476" s="48" t="n">
        <f aca="false">M1475+B1475*(IF($A1475&lt;$Q$1455,(Surface_Engine!Q248*12)-(Surface_Engine!Q248*12)*INDEX(Surface_Engine!$F$12:$F$72,$A1475+1)-INDEX(Surface_Engine!$D$12:$D$72,$A1475+1),-(1000*12*INDEX(Surface_Engine!$C$12:$C$72,$A1475+1)/(1+Assumptions!$B$10)^18+INDEX(Surface_Engine!$D$12:$D$72,$A1475+1))))*INDEX(Surface_Engine!$B$12:$B$72,$A1475+1)</f>
        <v>14590.6277883168</v>
      </c>
      <c r="N1476" s="12" t="n">
        <f aca="false">IF(B1476&lt;=0,0,MAX(0,(K1476+Assumptions!$B$29*L1476/INDEX(Surface_Engine!$B$12:$B$72,$A1476+1)-(M1476/INDEX(Surface_Engine!$B$12:$B$72,$A1476+1)-(F1476/INDEX(Surface_Engine!$B$12:$B$72,$A1476+1))))/B1476))</f>
        <v>12840.2695316775</v>
      </c>
    </row>
    <row r="1477" customFormat="false" ht="15" hidden="false" customHeight="true" outlineLevel="0" collapsed="false">
      <c r="A1477" s="1" t="n">
        <v>20</v>
      </c>
      <c r="B1477" s="32" t="n">
        <f aca="false">INDEX(Surface_Engine!$S$12:$S$72,$A1477+1)*IF($A1477&lt;$Q$1455,INDEX(Surface_Engine!$E$12:$E$72,$A1477+1),INDEX(Surface_Engine!$E$12:$E$72,$Q$1455+1))</f>
        <v>0.310720663561326</v>
      </c>
      <c r="C1477" s="32" t="n">
        <f aca="false">INDEX(Panel_Reserving!$G$8:$G$68,$A1477+1)*IF($A1477&lt;$Q$1455,INDEX(Surface_Engine!$E$12:$E$72,$A1477+1),INDEX(Surface_Engine!$E$12:$E$72,$Q$1455+1))</f>
        <v>0.377515940392661</v>
      </c>
      <c r="D1477" s="32" t="n">
        <f aca="false">INDEX(Surface_Engine!$S$12:$S$72,$A1477+1)*IF($A1477&lt;$Q$1455,INDEX(Surface_Engine!$Y$12:$Y$72,$A1477+1),INDEX(Surface_Engine!$Y$12:$Y$72,$Q$1455+1))</f>
        <v>0.277615633106468</v>
      </c>
      <c r="E1477" s="32" t="n">
        <f aca="false">INDEX(Surface_Engine!$S$12:$S$72,$A1477+1)*IF($A1477&lt;$Q$1455,INDEX(Surface_Engine!$Z$12:$Z$72,$A1477+1),INDEX(Surface_Engine!$Z$12:$Z$72,$Q$1455+1))</f>
        <v>0.347432329260264</v>
      </c>
      <c r="F1477" s="48" t="n">
        <f aca="false">B1477*(IF($A1477&lt;$Q$1455,INDEX(Surface_Engine!$D$12:$D$72,$A1477+1)+(Surface_Engine!Q248*12)*INDEX(Surface_Engine!$F$12:$F$72,$A1477+1)-(Surface_Engine!Q248*12),1000*12*INDEX(Surface_Engine!$C$12:$C$72,$A1477+1)/(1+Assumptions!$B$10)^18+INDEX(Surface_Engine!$D$12:$D$72,$A1477+1)))*INDEX(Surface_Engine!$B$12:$B$72,$A1477+1)+F1478</f>
        <v>11544.9144401726</v>
      </c>
      <c r="G1477" s="48" t="n">
        <f aca="false">C1477*(IF($A1477&lt;$Q$1455,INDEX(Surface_Engine!$D$12:$D$72,$A1477+1)+(Surface_Engine!Q248*12)*INDEX(Surface_Engine!$F$12:$F$72,$A1477+1)-(Surface_Engine!Q248*12),1000*12*INDEX(Surface_Engine!$C$12:$C$72,$A1477+1)/(1+Assumptions!$B$10)^18+INDEX(Surface_Engine!$D$12:$D$72,$A1477+1)))*INDEX(Surface_Engine!$B$12:$B$72,$A1477+1)+G1478</f>
        <v>16494.4905247986</v>
      </c>
      <c r="H1477" s="48" t="n">
        <f aca="false">D1477*(IF($A1477&lt;$Q$1455,INDEX(Surface_Engine!$D$12:$D$72,$A1477+1)+(Surface_Engine!Q248*12)*INDEX(Surface_Engine!$F$12:$F$72,$A1477+1)-(Surface_Engine!Q248*12),1000*12*INDEX(Surface_Engine!$C$12:$C$72,$A1477+1)/(1+Assumptions!$B$10)^18+INDEX(Surface_Engine!$D$12:$D$72,$A1477+1)))*INDEX(Surface_Engine!$B$12:$B$72,$A1477+1)+H1478</f>
        <v>10314.8876380922</v>
      </c>
      <c r="I1477" s="48" t="n">
        <f aca="false">E1477*(IF($A1477&lt;$Q$1455,INDEX(Surface_Engine!$D$12:$D$72,$A1477+1)+(Surface_Engine!Q248*12)*INDEX(Surface_Engine!$F$12:$F$72,$A1477+1)-(Surface_Engine!Q248*12),1000*12*INDEX(Surface_Engine!$C$12:$C$72,$A1477+1)/(1+Assumptions!$B$10)^18+INDEX(Surface_Engine!$D$12:$D$72,$A1477+1)))*INDEX(Surface_Engine!$B$12:$B$72,$A1477+1)+I1478</f>
        <v>12908.946798345</v>
      </c>
      <c r="J1477" s="48" t="n">
        <f aca="false">B1477*(IF($A1477&lt;$Q$1455,INDEX(Surface_Engine!$D$12:$D$72,$A1477+1)*(1+Assumptions!$B$24)+(Surface_Engine!Q248*12)*INDEX(Surface_Engine!$F$12:$F$72,$A1477+1)-(Surface_Engine!Q248*12),1000*12*INDEX(Surface_Engine!$C$12:$C$72,$A1477+1)/(1+Assumptions!$B$10)^18+INDEX(Surface_Engine!$D$12:$D$72,$A1477+1)*(1+Assumptions!$B$24)))*INDEX(Surface_Engine!$B$12:$B$72,$A1477+1)+J1478</f>
        <v>11557.4315242989</v>
      </c>
      <c r="K1477" s="12" t="n">
        <f aca="false">SQRT((IF(C1477&lt;=0,0,MAX(0,(B1477/C1477)*G1477/INDEX(Surface_Engine!$B$12:$B$72,$A1477+1)-F1477/INDEX(Surface_Engine!$B$12:$B$72,$A1477+1))))^2+(MAX(IF(D1477&lt;=0,0,MAX(0,(B1477/D1477)*H1477/INDEX(Surface_Engine!$B$12:$B$72,$A1477+1)-F1477/INDEX(Surface_Engine!$B$12:$B$72,$A1477+1))),IF(E1477&lt;=0,0,MAX(0,(B1477/E1477)*I1477/INDEX(Surface_Engine!$B$12:$B$72,$A1477+1)-F1477/INDEX(Surface_Engine!$B$12:$B$72,$A1477+1))),IF($A1477&lt;$Q$1455,MAX(0,-Assumptions!$B$22*(F1477/INDEX(Surface_Engine!$B$12:$B$72,$A1477+1))),0)))^2+(MAX(0,J1477/INDEX(Surface_Engine!$B$12:$B$72,$A1477+1)-(F1477/INDEX(Surface_Engine!$B$12:$B$72,$A1477+1))))^2+2*Assumptions!$B$26*(IF(C1477&lt;=0,0,MAX(0,(B1477/C1477)*G1477/INDEX(Surface_Engine!$B$12:$B$72,$A1477+1)-F1477/INDEX(Surface_Engine!$B$12:$B$72,$A1477+1))))*(MAX(IF(D1477&lt;=0,0,MAX(0,(B1477/D1477)*H1477/INDEX(Surface_Engine!$B$12:$B$72,$A1477+1)-F1477/INDEX(Surface_Engine!$B$12:$B$72,$A1477+1))),IF(E1477&lt;=0,0,MAX(0,(B1477/E1477)*I1477/INDEX(Surface_Engine!$B$12:$B$72,$A1477+1)-F1477/INDEX(Surface_Engine!$B$12:$B$72,$A1477+1))),IF($A1477&lt;$Q$1455,MAX(0,-Assumptions!$B$22*(F1477/INDEX(Surface_Engine!$B$12:$B$72,$A1477+1))),0)))+2*Assumptions!$B$27*(IF(C1477&lt;=0,0,MAX(0,(B1477/C1477)*G1477/INDEX(Surface_Engine!$B$12:$B$72,$A1477+1)-F1477/INDEX(Surface_Engine!$B$12:$B$72,$A1477+1))))*(MAX(0,J1477/INDEX(Surface_Engine!$B$12:$B$72,$A1477+1)-(F1477/INDEX(Surface_Engine!$B$12:$B$72,$A1477+1))))+2*Assumptions!$B$28*(MAX(IF(D1477&lt;=0,0,MAX(0,(B1477/D1477)*H1477/INDEX(Surface_Engine!$B$12:$B$72,$A1477+1)-F1477/INDEX(Surface_Engine!$B$12:$B$72,$A1477+1))),IF(E1477&lt;=0,0,MAX(0,(B1477/E1477)*I1477/INDEX(Surface_Engine!$B$12:$B$72,$A1477+1)-F1477/INDEX(Surface_Engine!$B$12:$B$72,$A1477+1))),IF($A1477&lt;$Q$1455,MAX(0,-Assumptions!$B$22*(F1477/INDEX(Surface_Engine!$B$12:$B$72,$A1477+1))),0)))*(MAX(0,J1477/INDEX(Surface_Engine!$B$12:$B$72,$A1477+1)-(F1477/INDEX(Surface_Engine!$B$12:$B$72,$A1477+1)))))</f>
        <v>3796.66032575723</v>
      </c>
      <c r="L1477" s="48" t="n">
        <f aca="false">K1477*INDEX(Surface_Engine!$B$12:$B$72,$A1477+1)+L1478</f>
        <v>9982.55500459867</v>
      </c>
      <c r="M1477" s="48" t="n">
        <f aca="false">M1476+B1476*(IF($A1476&lt;$Q$1455,(Surface_Engine!Q248*12)-(Surface_Engine!Q248*12)*INDEX(Surface_Engine!$F$12:$F$72,$A1476+1)-INDEX(Surface_Engine!$D$12:$D$72,$A1476+1),-(1000*12*INDEX(Surface_Engine!$C$12:$C$72,$A1476+1)/(1+Assumptions!$B$10)^18+INDEX(Surface_Engine!$D$12:$D$72,$A1476+1))))*INDEX(Surface_Engine!$B$12:$B$72,$A1476+1)</f>
        <v>12183.9860791235</v>
      </c>
      <c r="N1477" s="12" t="n">
        <f aca="false">IF(B1477&lt;=0,0,MAX(0,(K1477+Assumptions!$B$29*L1477/INDEX(Surface_Engine!$B$12:$B$72,$A1477+1)-(M1477/INDEX(Surface_Engine!$B$12:$B$72,$A1477+1)-(F1477/INDEX(Surface_Engine!$B$12:$B$72,$A1477+1))))/B1477))</f>
        <v>11977.9190626774</v>
      </c>
    </row>
    <row r="1478" customFormat="false" ht="15" hidden="false" customHeight="true" outlineLevel="0" collapsed="false">
      <c r="A1478" s="1" t="n">
        <v>21</v>
      </c>
      <c r="B1478" s="32" t="n">
        <f aca="false">INDEX(Surface_Engine!$S$12:$S$72,$A1478+1)*IF($A1478&lt;$Q$1455,INDEX(Surface_Engine!$E$12:$E$72,$A1478+1),INDEX(Surface_Engine!$E$12:$E$72,$Q$1455+1))</f>
        <v>0.27040331604042</v>
      </c>
      <c r="C1478" s="32" t="n">
        <f aca="false">INDEX(Panel_Reserving!$G$8:$G$68,$A1478+1)*IF($A1478&lt;$Q$1455,INDEX(Surface_Engine!$E$12:$E$72,$A1478+1),INDEX(Surface_Engine!$E$12:$E$72,$Q$1455+1))</f>
        <v>0.33832848194933</v>
      </c>
      <c r="D1478" s="32" t="n">
        <f aca="false">INDEX(Surface_Engine!$S$12:$S$72,$A1478+1)*IF($A1478&lt;$Q$1455,INDEX(Surface_Engine!$Y$12:$Y$72,$A1478+1),INDEX(Surface_Engine!$Y$12:$Y$72,$Q$1455+1))</f>
        <v>0.241593806206048</v>
      </c>
      <c r="E1478" s="32" t="n">
        <f aca="false">INDEX(Surface_Engine!$S$12:$S$72,$A1478+1)*IF($A1478&lt;$Q$1455,INDEX(Surface_Engine!$Z$12:$Z$72,$A1478+1),INDEX(Surface_Engine!$Z$12:$Z$72,$Q$1455+1))</f>
        <v>0.302351484625613</v>
      </c>
      <c r="F1478" s="48" t="n">
        <f aca="false">B1478*(IF($A1478&lt;$Q$1455,INDEX(Surface_Engine!$D$12:$D$72,$A1478+1)+(Surface_Engine!Q248*12)*INDEX(Surface_Engine!$F$12:$F$72,$A1478+1)-(Surface_Engine!Q248*12),1000*12*INDEX(Surface_Engine!$C$12:$C$72,$A1478+1)/(1+Assumptions!$B$10)^18+INDEX(Surface_Engine!$D$12:$D$72,$A1478+1)))*INDEX(Surface_Engine!$B$12:$B$72,$A1478+1)+F1479</f>
        <v>9443.96119560136</v>
      </c>
      <c r="G1478" s="48" t="n">
        <f aca="false">C1478*(IF($A1478&lt;$Q$1455,INDEX(Surface_Engine!$D$12:$D$72,$A1478+1)+(Surface_Engine!Q248*12)*INDEX(Surface_Engine!$F$12:$F$72,$A1478+1)-(Surface_Engine!Q248*12),1000*12*INDEX(Surface_Engine!$C$12:$C$72,$A1478+1)/(1+Assumptions!$B$10)^18+INDEX(Surface_Engine!$D$12:$D$72,$A1478+1)))*INDEX(Surface_Engine!$B$12:$B$72,$A1478+1)+G1479</f>
        <v>13941.8976886651</v>
      </c>
      <c r="H1478" s="48" t="n">
        <f aca="false">D1478*(IF($A1478&lt;$Q$1455,INDEX(Surface_Engine!$D$12:$D$72,$A1478+1)+(Surface_Engine!Q248*12)*INDEX(Surface_Engine!$F$12:$F$72,$A1478+1)-(Surface_Engine!Q248*12),1000*12*INDEX(Surface_Engine!$C$12:$C$72,$A1478+1)/(1+Assumptions!$B$10)^18+INDEX(Surface_Engine!$D$12:$D$72,$A1478+1)))*INDEX(Surface_Engine!$B$12:$B$72,$A1478+1)+H1479</f>
        <v>8437.77570599948</v>
      </c>
      <c r="I1478" s="48" t="n">
        <f aca="false">E1478*(IF($A1478&lt;$Q$1455,INDEX(Surface_Engine!$D$12:$D$72,$A1478+1)+(Surface_Engine!Q248*12)*INDEX(Surface_Engine!$F$12:$F$72,$A1478+1)-(Surface_Engine!Q248*12),1000*12*INDEX(Surface_Engine!$C$12:$C$72,$A1478+1)/(1+Assumptions!$B$10)^18+INDEX(Surface_Engine!$D$12:$D$72,$A1478+1)))*INDEX(Surface_Engine!$B$12:$B$72,$A1478+1)+I1479</f>
        <v>10559.7657974354</v>
      </c>
      <c r="J1478" s="48" t="n">
        <f aca="false">B1478*(IF($A1478&lt;$Q$1455,INDEX(Surface_Engine!$D$12:$D$72,$A1478+1)*(1+Assumptions!$B$24)+(Surface_Engine!Q248*12)*INDEX(Surface_Engine!$F$12:$F$72,$A1478+1)-(Surface_Engine!Q248*12),1000*12*INDEX(Surface_Engine!$C$12:$C$72,$A1478+1)/(1+Assumptions!$B$10)^18+INDEX(Surface_Engine!$D$12:$D$72,$A1478+1)*(1+Assumptions!$B$24)))*INDEX(Surface_Engine!$B$12:$B$72,$A1478+1)+J1479</f>
        <v>9454.24122362634</v>
      </c>
      <c r="K1478" s="12" t="n">
        <f aca="false">SQRT((IF(C1478&lt;=0,0,MAX(0,(B1478/C1478)*G1478/INDEX(Surface_Engine!$B$12:$B$72,$A1478+1)-F1478/INDEX(Surface_Engine!$B$12:$B$72,$A1478+1))))^2+(MAX(IF(D1478&lt;=0,0,MAX(0,(B1478/D1478)*H1478/INDEX(Surface_Engine!$B$12:$B$72,$A1478+1)-F1478/INDEX(Surface_Engine!$B$12:$B$72,$A1478+1))),IF(E1478&lt;=0,0,MAX(0,(B1478/E1478)*I1478/INDEX(Surface_Engine!$B$12:$B$72,$A1478+1)-F1478/INDEX(Surface_Engine!$B$12:$B$72,$A1478+1))),IF($A1478&lt;$Q$1455,MAX(0,-Assumptions!$B$22*(F1478/INDEX(Surface_Engine!$B$12:$B$72,$A1478+1))),0)))^2+(MAX(0,J1478/INDEX(Surface_Engine!$B$12:$B$72,$A1478+1)-(F1478/INDEX(Surface_Engine!$B$12:$B$72,$A1478+1))))^2+2*Assumptions!$B$26*(IF(C1478&lt;=0,0,MAX(0,(B1478/C1478)*G1478/INDEX(Surface_Engine!$B$12:$B$72,$A1478+1)-F1478/INDEX(Surface_Engine!$B$12:$B$72,$A1478+1))))*(MAX(IF(D1478&lt;=0,0,MAX(0,(B1478/D1478)*H1478/INDEX(Surface_Engine!$B$12:$B$72,$A1478+1)-F1478/INDEX(Surface_Engine!$B$12:$B$72,$A1478+1))),IF(E1478&lt;=0,0,MAX(0,(B1478/E1478)*I1478/INDEX(Surface_Engine!$B$12:$B$72,$A1478+1)-F1478/INDEX(Surface_Engine!$B$12:$B$72,$A1478+1))),IF($A1478&lt;$Q$1455,MAX(0,-Assumptions!$B$22*(F1478/INDEX(Surface_Engine!$B$12:$B$72,$A1478+1))),0)))+2*Assumptions!$B$27*(IF(C1478&lt;=0,0,MAX(0,(B1478/C1478)*G1478/INDEX(Surface_Engine!$B$12:$B$72,$A1478+1)-F1478/INDEX(Surface_Engine!$B$12:$B$72,$A1478+1))))*(MAX(0,J1478/INDEX(Surface_Engine!$B$12:$B$72,$A1478+1)-(F1478/INDEX(Surface_Engine!$B$12:$B$72,$A1478+1))))+2*Assumptions!$B$28*(MAX(IF(D1478&lt;=0,0,MAX(0,(B1478/D1478)*H1478/INDEX(Surface_Engine!$B$12:$B$72,$A1478+1)-F1478/INDEX(Surface_Engine!$B$12:$B$72,$A1478+1))),IF(E1478&lt;=0,0,MAX(0,(B1478/E1478)*I1478/INDEX(Surface_Engine!$B$12:$B$72,$A1478+1)-F1478/INDEX(Surface_Engine!$B$12:$B$72,$A1478+1))),IF($A1478&lt;$Q$1455,MAX(0,-Assumptions!$B$22*(F1478/INDEX(Surface_Engine!$B$12:$B$72,$A1478+1))),0)))*(MAX(0,J1478/INDEX(Surface_Engine!$B$12:$B$72,$A1478+1)-(F1478/INDEX(Surface_Engine!$B$12:$B$72,$A1478+1)))))</f>
        <v>3276.76094113053</v>
      </c>
      <c r="L1478" s="48" t="n">
        <f aca="false">K1478*INDEX(Surface_Engine!$B$12:$B$72,$A1478+1)+L1479</f>
        <v>7948.24411588356</v>
      </c>
      <c r="M1478" s="48" t="n">
        <f aca="false">M1477+B1477*(IF($A1477&lt;$Q$1455,(Surface_Engine!Q248*12)-(Surface_Engine!Q248*12)*INDEX(Surface_Engine!$F$12:$F$72,$A1477+1)-INDEX(Surface_Engine!$D$12:$D$72,$A1477+1),-(1000*12*INDEX(Surface_Engine!$C$12:$C$72,$A1477+1)/(1+Assumptions!$B$10)^18+INDEX(Surface_Engine!$D$12:$D$72,$A1477+1))))*INDEX(Surface_Engine!$B$12:$B$72,$A1477+1)</f>
        <v>10083.0328345523</v>
      </c>
      <c r="N1478" s="12" t="n">
        <f aca="false">IF(B1478&lt;=0,0,MAX(0,(K1478+Assumptions!$B$29*L1478/INDEX(Surface_Engine!$B$12:$B$72,$A1478+1)-(M1478/INDEX(Surface_Engine!$B$12:$B$72,$A1478+1)-(F1478/INDEX(Surface_Engine!$B$12:$B$72,$A1478+1))))/B1478))</f>
        <v>10963.0041674749</v>
      </c>
    </row>
    <row r="1479" customFormat="false" ht="15" hidden="false" customHeight="true" outlineLevel="0" collapsed="false">
      <c r="A1479" s="1" t="n">
        <v>22</v>
      </c>
      <c r="B1479" s="32" t="n">
        <f aca="false">INDEX(Surface_Engine!$S$12:$S$72,$A1479+1)*IF($A1479&lt;$Q$1455,INDEX(Surface_Engine!$E$12:$E$72,$A1479+1),INDEX(Surface_Engine!$E$12:$E$72,$Q$1455+1))</f>
        <v>0.232062805605286</v>
      </c>
      <c r="C1479" s="32" t="n">
        <f aca="false">INDEX(Panel_Reserving!$G$8:$G$68,$A1479+1)*IF($A1479&lt;$Q$1455,INDEX(Surface_Engine!$E$12:$E$72,$A1479+1),INDEX(Surface_Engine!$E$12:$E$72,$Q$1455+1))</f>
        <v>0.299951181307817</v>
      </c>
      <c r="D1479" s="32" t="n">
        <f aca="false">INDEX(Surface_Engine!$S$12:$S$72,$A1479+1)*IF($A1479&lt;$Q$1455,INDEX(Surface_Engine!$Y$12:$Y$72,$A1479+1),INDEX(Surface_Engine!$Y$12:$Y$72,$Q$1455+1))</f>
        <v>0.207338198754392</v>
      </c>
      <c r="E1479" s="32" t="n">
        <f aca="false">INDEX(Surface_Engine!$S$12:$S$72,$A1479+1)*IF($A1479&lt;$Q$1455,INDEX(Surface_Engine!$Z$12:$Z$72,$A1479+1),INDEX(Surface_Engine!$Z$12:$Z$72,$Q$1455+1))</f>
        <v>0.259481040501201</v>
      </c>
      <c r="F1479" s="48" t="n">
        <f aca="false">B1479*(IF($A1479&lt;$Q$1455,INDEX(Surface_Engine!$D$12:$D$72,$A1479+1)+(Surface_Engine!Q248*12)*INDEX(Surface_Engine!$F$12:$F$72,$A1479+1)-(Surface_Engine!Q248*12),1000*12*INDEX(Surface_Engine!$C$12:$C$72,$A1479+1)/(1+Assumptions!$B$10)^18+INDEX(Surface_Engine!$D$12:$D$72,$A1479+1)))*INDEX(Surface_Engine!$B$12:$B$72,$A1479+1)+F1480</f>
        <v>7636.6061191079</v>
      </c>
      <c r="G1479" s="48" t="n">
        <f aca="false">C1479*(IF($A1479&lt;$Q$1455,INDEX(Surface_Engine!$D$12:$D$72,$A1479+1)+(Surface_Engine!Q248*12)*INDEX(Surface_Engine!$F$12:$F$72,$A1479+1)-(Surface_Engine!Q248*12),1000*12*INDEX(Surface_Engine!$C$12:$C$72,$A1479+1)/(1+Assumptions!$B$10)^18+INDEX(Surface_Engine!$D$12:$D$72,$A1479+1)))*INDEX(Surface_Engine!$B$12:$B$72,$A1479+1)+G1480</f>
        <v>11680.5360000309</v>
      </c>
      <c r="H1479" s="48" t="n">
        <f aca="false">D1479*(IF($A1479&lt;$Q$1455,INDEX(Surface_Engine!$D$12:$D$72,$A1479+1)+(Surface_Engine!Q248*12)*INDEX(Surface_Engine!$F$12:$F$72,$A1479+1)-(Surface_Engine!Q248*12),1000*12*INDEX(Surface_Engine!$C$12:$C$72,$A1479+1)/(1+Assumptions!$B$10)^18+INDEX(Surface_Engine!$D$12:$D$72,$A1479+1)))*INDEX(Surface_Engine!$B$12:$B$72,$A1479+1)+H1480</f>
        <v>6822.98118909122</v>
      </c>
      <c r="I1479" s="48" t="n">
        <f aca="false">E1479*(IF($A1479&lt;$Q$1455,INDEX(Surface_Engine!$D$12:$D$72,$A1479+1)+(Surface_Engine!Q248*12)*INDEX(Surface_Engine!$F$12:$F$72,$A1479+1)-(Surface_Engine!Q248*12),1000*12*INDEX(Surface_Engine!$C$12:$C$72,$A1479+1)/(1+Assumptions!$B$10)^18+INDEX(Surface_Engine!$D$12:$D$72,$A1479+1)))*INDEX(Surface_Engine!$B$12:$B$72,$A1479+1)+I1480</f>
        <v>8538.87160639763</v>
      </c>
      <c r="J1479" s="48" t="n">
        <f aca="false">B1479*(IF($A1479&lt;$Q$1455,INDEX(Surface_Engine!$D$12:$D$72,$A1479+1)*(1+Assumptions!$B$24)+(Surface_Engine!Q248*12)*INDEX(Surface_Engine!$F$12:$F$72,$A1479+1)-(Surface_Engine!Q248*12),1000*12*INDEX(Surface_Engine!$C$12:$C$72,$A1479+1)/(1+Assumptions!$B$10)^18+INDEX(Surface_Engine!$D$12:$D$72,$A1479+1)*(1+Assumptions!$B$24)))*INDEX(Surface_Engine!$B$12:$B$72,$A1479+1)+J1480</f>
        <v>7644.9523763358</v>
      </c>
      <c r="K1479" s="12" t="n">
        <f aca="false">SQRT((IF(C1479&lt;=0,0,MAX(0,(B1479/C1479)*G1479/INDEX(Surface_Engine!$B$12:$B$72,$A1479+1)-F1479/INDEX(Surface_Engine!$B$12:$B$72,$A1479+1))))^2+(MAX(IF(D1479&lt;=0,0,MAX(0,(B1479/D1479)*H1479/INDEX(Surface_Engine!$B$12:$B$72,$A1479+1)-F1479/INDEX(Surface_Engine!$B$12:$B$72,$A1479+1))),IF(E1479&lt;=0,0,MAX(0,(B1479/E1479)*I1479/INDEX(Surface_Engine!$B$12:$B$72,$A1479+1)-F1479/INDEX(Surface_Engine!$B$12:$B$72,$A1479+1))),IF($A1479&lt;$Q$1455,MAX(0,-Assumptions!$B$22*(F1479/INDEX(Surface_Engine!$B$12:$B$72,$A1479+1))),0)))^2+(MAX(0,J1479/INDEX(Surface_Engine!$B$12:$B$72,$A1479+1)-(F1479/INDEX(Surface_Engine!$B$12:$B$72,$A1479+1))))^2+2*Assumptions!$B$26*(IF(C1479&lt;=0,0,MAX(0,(B1479/C1479)*G1479/INDEX(Surface_Engine!$B$12:$B$72,$A1479+1)-F1479/INDEX(Surface_Engine!$B$12:$B$72,$A1479+1))))*(MAX(IF(D1479&lt;=0,0,MAX(0,(B1479/D1479)*H1479/INDEX(Surface_Engine!$B$12:$B$72,$A1479+1)-F1479/INDEX(Surface_Engine!$B$12:$B$72,$A1479+1))),IF(E1479&lt;=0,0,MAX(0,(B1479/E1479)*I1479/INDEX(Surface_Engine!$B$12:$B$72,$A1479+1)-F1479/INDEX(Surface_Engine!$B$12:$B$72,$A1479+1))),IF($A1479&lt;$Q$1455,MAX(0,-Assumptions!$B$22*(F1479/INDEX(Surface_Engine!$B$12:$B$72,$A1479+1))),0)))+2*Assumptions!$B$27*(IF(C1479&lt;=0,0,MAX(0,(B1479/C1479)*G1479/INDEX(Surface_Engine!$B$12:$B$72,$A1479+1)-F1479/INDEX(Surface_Engine!$B$12:$B$72,$A1479+1))))*(MAX(0,J1479/INDEX(Surface_Engine!$B$12:$B$72,$A1479+1)-(F1479/INDEX(Surface_Engine!$B$12:$B$72,$A1479+1))))+2*Assumptions!$B$28*(MAX(IF(D1479&lt;=0,0,MAX(0,(B1479/D1479)*H1479/INDEX(Surface_Engine!$B$12:$B$72,$A1479+1)-F1479/INDEX(Surface_Engine!$B$12:$B$72,$A1479+1))),IF(E1479&lt;=0,0,MAX(0,(B1479/E1479)*I1479/INDEX(Surface_Engine!$B$12:$B$72,$A1479+1)-F1479/INDEX(Surface_Engine!$B$12:$B$72,$A1479+1))),IF($A1479&lt;$Q$1455,MAX(0,-Assumptions!$B$22*(F1479/INDEX(Surface_Engine!$B$12:$B$72,$A1479+1))),0)))*(MAX(0,J1479/INDEX(Surface_Engine!$B$12:$B$72,$A1479+1)-(F1479/INDEX(Surface_Engine!$B$12:$B$72,$A1479+1)))))</f>
        <v>2786.95470621641</v>
      </c>
      <c r="L1479" s="48" t="n">
        <f aca="false">K1479*INDEX(Surface_Engine!$B$12:$B$72,$A1479+1)+L1480</f>
        <v>6246.78030306188</v>
      </c>
      <c r="M1479" s="48" t="n">
        <f aca="false">M1478+B1478*(IF($A1478&lt;$Q$1455,(Surface_Engine!Q248*12)-(Surface_Engine!Q248*12)*INDEX(Surface_Engine!$F$12:$F$72,$A1478+1)-INDEX(Surface_Engine!$D$12:$D$72,$A1478+1),-(1000*12*INDEX(Surface_Engine!$C$12:$C$72,$A1478+1)/(1+Assumptions!$B$10)^18+INDEX(Surface_Engine!$D$12:$D$72,$A1478+1))))*INDEX(Surface_Engine!$B$12:$B$72,$A1478+1)</f>
        <v>8275.67775805886</v>
      </c>
      <c r="N1479" s="12" t="n">
        <f aca="false">IF(B1479&lt;=0,0,MAX(0,(K1479+Assumptions!$B$29*L1479/INDEX(Surface_Engine!$B$12:$B$72,$A1479+1)-(M1479/INDEX(Surface_Engine!$B$12:$B$72,$A1479+1)-(F1479/INDEX(Surface_Engine!$B$12:$B$72,$A1479+1))))/B1479))</f>
        <v>9746.39430624812</v>
      </c>
    </row>
    <row r="1480" customFormat="false" ht="15" hidden="false" customHeight="true" outlineLevel="0" collapsed="false">
      <c r="A1480" s="1" t="n">
        <v>23</v>
      </c>
      <c r="B1480" s="32" t="n">
        <f aca="false">INDEX(Surface_Engine!$S$12:$S$72,$A1480+1)*IF($A1480&lt;$Q$1455,INDEX(Surface_Engine!$E$12:$E$72,$A1480+1),INDEX(Surface_Engine!$E$12:$E$72,$Q$1455+1))</f>
        <v>0.196574924412343</v>
      </c>
      <c r="C1480" s="32" t="n">
        <f aca="false">INDEX(Panel_Reserving!$G$8:$G$68,$A1480+1)*IF($A1480&lt;$Q$1455,INDEX(Surface_Engine!$E$12:$E$72,$A1480+1),INDEX(Surface_Engine!$E$12:$E$72,$Q$1455+1))</f>
        <v>0.263255488146061</v>
      </c>
      <c r="D1480" s="32" t="n">
        <f aca="false">INDEX(Surface_Engine!$S$12:$S$72,$A1480+1)*IF($A1480&lt;$Q$1455,INDEX(Surface_Engine!$Y$12:$Y$72,$A1480+1),INDEX(Surface_Engine!$Y$12:$Y$72,$Q$1455+1))</f>
        <v>0.175631293613075</v>
      </c>
      <c r="E1480" s="32" t="n">
        <f aca="false">INDEX(Surface_Engine!$S$12:$S$72,$A1480+1)*IF($A1480&lt;$Q$1455,INDEX(Surface_Engine!$Z$12:$Z$72,$A1480+1),INDEX(Surface_Engine!$Z$12:$Z$72,$Q$1455+1))</f>
        <v>0.219800263941123</v>
      </c>
      <c r="F1480" s="48" t="n">
        <f aca="false">B1480*(IF($A1480&lt;$Q$1455,INDEX(Surface_Engine!$D$12:$D$72,$A1480+1)+(Surface_Engine!Q248*12)*INDEX(Surface_Engine!$F$12:$F$72,$A1480+1)-(Surface_Engine!Q248*12),1000*12*INDEX(Surface_Engine!$C$12:$C$72,$A1480+1)/(1+Assumptions!$B$10)^18+INDEX(Surface_Engine!$D$12:$D$72,$A1480+1)))*INDEX(Surface_Engine!$B$12:$B$72,$A1480+1)+F1481</f>
        <v>6103.35278204697</v>
      </c>
      <c r="G1480" s="48" t="n">
        <f aca="false">C1480*(IF($A1480&lt;$Q$1455,INDEX(Surface_Engine!$D$12:$D$72,$A1480+1)+(Surface_Engine!Q248*12)*INDEX(Surface_Engine!$F$12:$F$72,$A1480+1)-(Surface_Engine!Q248*12),1000*12*INDEX(Surface_Engine!$C$12:$C$72,$A1480+1)/(1+Assumptions!$B$10)^18+INDEX(Surface_Engine!$D$12:$D$72,$A1480+1)))*INDEX(Surface_Engine!$B$12:$B$72,$A1480+1)+G1481</f>
        <v>9698.7399578085</v>
      </c>
      <c r="H1480" s="48" t="n">
        <f aca="false">D1480*(IF($A1480&lt;$Q$1455,INDEX(Surface_Engine!$D$12:$D$72,$A1480+1)+(Surface_Engine!Q248*12)*INDEX(Surface_Engine!$F$12:$F$72,$A1480+1)-(Surface_Engine!Q248*12),1000*12*INDEX(Surface_Engine!$C$12:$C$72,$A1480+1)/(1+Assumptions!$B$10)^18+INDEX(Surface_Engine!$D$12:$D$72,$A1480+1)))*INDEX(Surface_Engine!$B$12:$B$72,$A1480+1)+H1481</f>
        <v>5453.08486162421</v>
      </c>
      <c r="I1480" s="48" t="n">
        <f aca="false">E1480*(IF($A1480&lt;$Q$1455,INDEX(Surface_Engine!$D$12:$D$72,$A1480+1)+(Surface_Engine!Q248*12)*INDEX(Surface_Engine!$F$12:$F$72,$A1480+1)-(Surface_Engine!Q248*12),1000*12*INDEX(Surface_Engine!$C$12:$C$72,$A1480+1)/(1+Assumptions!$B$10)^18+INDEX(Surface_Engine!$D$12:$D$72,$A1480+1)))*INDEX(Surface_Engine!$B$12:$B$72,$A1480+1)+I1481</f>
        <v>6824.46429233108</v>
      </c>
      <c r="J1480" s="48" t="n">
        <f aca="false">B1480*(IF($A1480&lt;$Q$1455,INDEX(Surface_Engine!$D$12:$D$72,$A1480+1)*(1+Assumptions!$B$24)+(Surface_Engine!Q248*12)*INDEX(Surface_Engine!$F$12:$F$72,$A1480+1)-(Surface_Engine!Q248*12),1000*12*INDEX(Surface_Engine!$C$12:$C$72,$A1480+1)/(1+Assumptions!$B$10)^18+INDEX(Surface_Engine!$D$12:$D$72,$A1480+1)*(1+Assumptions!$B$24)))*INDEX(Surface_Engine!$B$12:$B$72,$A1480+1)+J1481</f>
        <v>6110.05058711099</v>
      </c>
      <c r="K1480" s="12" t="n">
        <f aca="false">SQRT((IF(C1480&lt;=0,0,MAX(0,(B1480/C1480)*G1480/INDEX(Surface_Engine!$B$12:$B$72,$A1480+1)-F1480/INDEX(Surface_Engine!$B$12:$B$72,$A1480+1))))^2+(MAX(IF(D1480&lt;=0,0,MAX(0,(B1480/D1480)*H1480/INDEX(Surface_Engine!$B$12:$B$72,$A1480+1)-F1480/INDEX(Surface_Engine!$B$12:$B$72,$A1480+1))),IF(E1480&lt;=0,0,MAX(0,(B1480/E1480)*I1480/INDEX(Surface_Engine!$B$12:$B$72,$A1480+1)-F1480/INDEX(Surface_Engine!$B$12:$B$72,$A1480+1))),IF($A1480&lt;$Q$1455,MAX(0,-Assumptions!$B$22*(F1480/INDEX(Surface_Engine!$B$12:$B$72,$A1480+1))),0)))^2+(MAX(0,J1480/INDEX(Surface_Engine!$B$12:$B$72,$A1480+1)-(F1480/INDEX(Surface_Engine!$B$12:$B$72,$A1480+1))))^2+2*Assumptions!$B$26*(IF(C1480&lt;=0,0,MAX(0,(B1480/C1480)*G1480/INDEX(Surface_Engine!$B$12:$B$72,$A1480+1)-F1480/INDEX(Surface_Engine!$B$12:$B$72,$A1480+1))))*(MAX(IF(D1480&lt;=0,0,MAX(0,(B1480/D1480)*H1480/INDEX(Surface_Engine!$B$12:$B$72,$A1480+1)-F1480/INDEX(Surface_Engine!$B$12:$B$72,$A1480+1))),IF(E1480&lt;=0,0,MAX(0,(B1480/E1480)*I1480/INDEX(Surface_Engine!$B$12:$B$72,$A1480+1)-F1480/INDEX(Surface_Engine!$B$12:$B$72,$A1480+1))),IF($A1480&lt;$Q$1455,MAX(0,-Assumptions!$B$22*(F1480/INDEX(Surface_Engine!$B$12:$B$72,$A1480+1))),0)))+2*Assumptions!$B$27*(IF(C1480&lt;=0,0,MAX(0,(B1480/C1480)*G1480/INDEX(Surface_Engine!$B$12:$B$72,$A1480+1)-F1480/INDEX(Surface_Engine!$B$12:$B$72,$A1480+1))))*(MAX(0,J1480/INDEX(Surface_Engine!$B$12:$B$72,$A1480+1)-(F1480/INDEX(Surface_Engine!$B$12:$B$72,$A1480+1))))+2*Assumptions!$B$28*(MAX(IF(D1480&lt;=0,0,MAX(0,(B1480/D1480)*H1480/INDEX(Surface_Engine!$B$12:$B$72,$A1480+1)-F1480/INDEX(Surface_Engine!$B$12:$B$72,$A1480+1))),IF(E1480&lt;=0,0,MAX(0,(B1480/E1480)*I1480/INDEX(Surface_Engine!$B$12:$B$72,$A1480+1)-F1480/INDEX(Surface_Engine!$B$12:$B$72,$A1480+1))),IF($A1480&lt;$Q$1455,MAX(0,-Assumptions!$B$22*(F1480/INDEX(Surface_Engine!$B$12:$B$72,$A1480+1))),0)))*(MAX(0,J1480/INDEX(Surface_Engine!$B$12:$B$72,$A1480+1)-(F1480/INDEX(Surface_Engine!$B$12:$B$72,$A1480+1)))))</f>
        <v>2338.86108327726</v>
      </c>
      <c r="L1480" s="48" t="n">
        <f aca="false">K1480*INDEX(Surface_Engine!$B$12:$B$72,$A1480+1)+L1481</f>
        <v>4844.41283001348</v>
      </c>
      <c r="M1480" s="48" t="n">
        <f aca="false">M1479+B1479*(IF($A1479&lt;$Q$1455,(Surface_Engine!Q248*12)-(Surface_Engine!Q248*12)*INDEX(Surface_Engine!$F$12:$F$72,$A1479+1)-INDEX(Surface_Engine!$D$12:$D$72,$A1479+1),-(1000*12*INDEX(Surface_Engine!$C$12:$C$72,$A1479+1)/(1+Assumptions!$B$10)^18+INDEX(Surface_Engine!$D$12:$D$72,$A1479+1))))*INDEX(Surface_Engine!$B$12:$B$72,$A1479+1)</f>
        <v>6742.42442099793</v>
      </c>
      <c r="N1480" s="12" t="n">
        <f aca="false">IF(B1480&lt;=0,0,MAX(0,(K1480+Assumptions!$B$29*L1480/INDEX(Surface_Engine!$B$12:$B$72,$A1480+1)-(M1480/INDEX(Surface_Engine!$B$12:$B$72,$A1480+1)-(F1480/INDEX(Surface_Engine!$B$12:$B$72,$A1480+1))))/B1480))</f>
        <v>8263.25915874874</v>
      </c>
    </row>
    <row r="1481" customFormat="false" ht="15" hidden="false" customHeight="true" outlineLevel="0" collapsed="false">
      <c r="A1481" s="1" t="n">
        <v>24</v>
      </c>
      <c r="B1481" s="32" t="n">
        <f aca="false">INDEX(Surface_Engine!$S$12:$S$72,$A1481+1)*IF($A1481&lt;$Q$1455,INDEX(Surface_Engine!$E$12:$E$72,$A1481+1),INDEX(Surface_Engine!$E$12:$E$72,$Q$1455+1))</f>
        <v>0.16348645822767</v>
      </c>
      <c r="C1481" s="32" t="n">
        <f aca="false">INDEX(Panel_Reserving!$G$8:$G$68,$A1481+1)*IF($A1481&lt;$Q$1455,INDEX(Surface_Engine!$E$12:$E$72,$A1481+1),INDEX(Surface_Engine!$E$12:$E$72,$Q$1455+1))</f>
        <v>0.227805512647951</v>
      </c>
      <c r="D1481" s="32" t="n">
        <f aca="false">INDEX(Surface_Engine!$S$12:$S$72,$A1481+1)*IF($A1481&lt;$Q$1455,INDEX(Surface_Engine!$Y$12:$Y$72,$A1481+1),INDEX(Surface_Engine!$Y$12:$Y$72,$Q$1455+1))</f>
        <v>0.146068163233859</v>
      </c>
      <c r="E1481" s="32" t="n">
        <f aca="false">INDEX(Surface_Engine!$S$12:$S$72,$A1481+1)*IF($A1481&lt;$Q$1455,INDEX(Surface_Engine!$Z$12:$Z$72,$A1481+1),INDEX(Surface_Engine!$Z$12:$Z$72,$Q$1455+1))</f>
        <v>0.182802393421575</v>
      </c>
      <c r="F1481" s="48" t="n">
        <f aca="false">B1481*(IF($A1481&lt;$Q$1455,INDEX(Surface_Engine!$D$12:$D$72,$A1481+1)+(Surface_Engine!Q248*12)*INDEX(Surface_Engine!$F$12:$F$72,$A1481+1)-(Surface_Engine!Q248*12),1000*12*INDEX(Surface_Engine!$C$12:$C$72,$A1481+1)/(1+Assumptions!$B$10)^18+INDEX(Surface_Engine!$D$12:$D$72,$A1481+1)))*INDEX(Surface_Engine!$B$12:$B$72,$A1481+1)+F1482</f>
        <v>4819.52993593983</v>
      </c>
      <c r="G1481" s="48" t="n">
        <f aca="false">C1481*(IF($A1481&lt;$Q$1455,INDEX(Surface_Engine!$D$12:$D$72,$A1481+1)+(Surface_Engine!Q248*12)*INDEX(Surface_Engine!$F$12:$F$72,$A1481+1)-(Surface_Engine!Q248*12),1000*12*INDEX(Surface_Engine!$C$12:$C$72,$A1481+1)/(1+Assumptions!$B$10)^18+INDEX(Surface_Engine!$D$12:$D$72,$A1481+1)))*INDEX(Surface_Engine!$B$12:$B$72,$A1481+1)+G1482</f>
        <v>7979.42905864186</v>
      </c>
      <c r="H1481" s="48" t="n">
        <f aca="false">D1481*(IF($A1481&lt;$Q$1455,INDEX(Surface_Engine!$D$12:$D$72,$A1481+1)+(Surface_Engine!Q248*12)*INDEX(Surface_Engine!$F$12:$F$72,$A1481+1)-(Surface_Engine!Q248*12),1000*12*INDEX(Surface_Engine!$C$12:$C$72,$A1481+1)/(1+Assumptions!$B$10)^18+INDEX(Surface_Engine!$D$12:$D$72,$A1481+1)))*INDEX(Surface_Engine!$B$12:$B$72,$A1481+1)+H1482</f>
        <v>4306.04401749883</v>
      </c>
      <c r="I1481" s="48" t="n">
        <f aca="false">E1481*(IF($A1481&lt;$Q$1455,INDEX(Surface_Engine!$D$12:$D$72,$A1481+1)+(Surface_Engine!Q248*12)*INDEX(Surface_Engine!$F$12:$F$72,$A1481+1)-(Surface_Engine!Q248*12),1000*12*INDEX(Surface_Engine!$C$12:$C$72,$A1481+1)/(1+Assumptions!$B$10)^18+INDEX(Surface_Engine!$D$12:$D$72,$A1481+1)))*INDEX(Surface_Engine!$B$12:$B$72,$A1481+1)+I1482</f>
        <v>5388.95769721688</v>
      </c>
      <c r="J1481" s="48" t="n">
        <f aca="false">B1481*(IF($A1481&lt;$Q$1455,INDEX(Surface_Engine!$D$12:$D$72,$A1481+1)*(1+Assumptions!$B$24)+(Surface_Engine!Q248*12)*INDEX(Surface_Engine!$F$12:$F$72,$A1481+1)-(Surface_Engine!Q248*12),1000*12*INDEX(Surface_Engine!$C$12:$C$72,$A1481+1)/(1+Assumptions!$B$10)^18+INDEX(Surface_Engine!$D$12:$D$72,$A1481+1)*(1+Assumptions!$B$24)))*INDEX(Surface_Engine!$B$12:$B$72,$A1481+1)+J1482</f>
        <v>4824.84076695257</v>
      </c>
      <c r="K1481" s="12" t="n">
        <f aca="false">SQRT((IF(C1481&lt;=0,0,MAX(0,(B1481/C1481)*G1481/INDEX(Surface_Engine!$B$12:$B$72,$A1481+1)-F1481/INDEX(Surface_Engine!$B$12:$B$72,$A1481+1))))^2+(MAX(IF(D1481&lt;=0,0,MAX(0,(B1481/D1481)*H1481/INDEX(Surface_Engine!$B$12:$B$72,$A1481+1)-F1481/INDEX(Surface_Engine!$B$12:$B$72,$A1481+1))),IF(E1481&lt;=0,0,MAX(0,(B1481/E1481)*I1481/INDEX(Surface_Engine!$B$12:$B$72,$A1481+1)-F1481/INDEX(Surface_Engine!$B$12:$B$72,$A1481+1))),IF($A1481&lt;$Q$1455,MAX(0,-Assumptions!$B$22*(F1481/INDEX(Surface_Engine!$B$12:$B$72,$A1481+1))),0)))^2+(MAX(0,J1481/INDEX(Surface_Engine!$B$12:$B$72,$A1481+1)-(F1481/INDEX(Surface_Engine!$B$12:$B$72,$A1481+1))))^2+2*Assumptions!$B$26*(IF(C1481&lt;=0,0,MAX(0,(B1481/C1481)*G1481/INDEX(Surface_Engine!$B$12:$B$72,$A1481+1)-F1481/INDEX(Surface_Engine!$B$12:$B$72,$A1481+1))))*(MAX(IF(D1481&lt;=0,0,MAX(0,(B1481/D1481)*H1481/INDEX(Surface_Engine!$B$12:$B$72,$A1481+1)-F1481/INDEX(Surface_Engine!$B$12:$B$72,$A1481+1))),IF(E1481&lt;=0,0,MAX(0,(B1481/E1481)*I1481/INDEX(Surface_Engine!$B$12:$B$72,$A1481+1)-F1481/INDEX(Surface_Engine!$B$12:$B$72,$A1481+1))),IF($A1481&lt;$Q$1455,MAX(0,-Assumptions!$B$22*(F1481/INDEX(Surface_Engine!$B$12:$B$72,$A1481+1))),0)))+2*Assumptions!$B$27*(IF(C1481&lt;=0,0,MAX(0,(B1481/C1481)*G1481/INDEX(Surface_Engine!$B$12:$B$72,$A1481+1)-F1481/INDEX(Surface_Engine!$B$12:$B$72,$A1481+1))))*(MAX(0,J1481/INDEX(Surface_Engine!$B$12:$B$72,$A1481+1)-(F1481/INDEX(Surface_Engine!$B$12:$B$72,$A1481+1))))+2*Assumptions!$B$28*(MAX(IF(D1481&lt;=0,0,MAX(0,(B1481/D1481)*H1481/INDEX(Surface_Engine!$B$12:$B$72,$A1481+1)-F1481/INDEX(Surface_Engine!$B$12:$B$72,$A1481+1))),IF(E1481&lt;=0,0,MAX(0,(B1481/E1481)*I1481/INDEX(Surface_Engine!$B$12:$B$72,$A1481+1)-F1481/INDEX(Surface_Engine!$B$12:$B$72,$A1481+1))),IF($A1481&lt;$Q$1455,MAX(0,-Assumptions!$B$22*(F1481/INDEX(Surface_Engine!$B$12:$B$72,$A1481+1))),0)))*(MAX(0,J1481/INDEX(Surface_Engine!$B$12:$B$72,$A1481+1)-(F1481/INDEX(Surface_Engine!$B$12:$B$72,$A1481+1)))))</f>
        <v>1922.747843338</v>
      </c>
      <c r="L1481" s="48" t="n">
        <f aca="false">K1481*INDEX(Surface_Engine!$B$12:$B$72,$A1481+1)+L1482</f>
        <v>3703.94801844278</v>
      </c>
      <c r="M1481" s="48" t="n">
        <f aca="false">M1480+B1480*(IF($A1480&lt;$Q$1455,(Surface_Engine!Q248*12)-(Surface_Engine!Q248*12)*INDEX(Surface_Engine!$F$12:$F$72,$A1480+1)-INDEX(Surface_Engine!$D$12:$D$72,$A1480+1),-(1000*12*INDEX(Surface_Engine!$C$12:$C$72,$A1480+1)/(1+Assumptions!$B$10)^18+INDEX(Surface_Engine!$D$12:$D$72,$A1480+1))))*INDEX(Surface_Engine!$B$12:$B$72,$A1480+1)</f>
        <v>5458.60157489079</v>
      </c>
      <c r="N1481" s="12" t="n">
        <f aca="false">IF(B1481&lt;=0,0,MAX(0,(K1481+Assumptions!$B$29*L1481/INDEX(Surface_Engine!$B$12:$B$72,$A1481+1)-(M1481/INDEX(Surface_Engine!$B$12:$B$72,$A1481+1)-(F1481/INDEX(Surface_Engine!$B$12:$B$72,$A1481+1))))/B1481))</f>
        <v>6363.698915657</v>
      </c>
    </row>
    <row r="1482" customFormat="false" ht="15" hidden="false" customHeight="true" outlineLevel="0" collapsed="false">
      <c r="A1482" s="1" t="n">
        <v>25</v>
      </c>
      <c r="B1482" s="32" t="n">
        <f aca="false">INDEX(Surface_Engine!$S$12:$S$72,$A1482+1)*IF($A1482&lt;$Q$1455,INDEX(Surface_Engine!$E$12:$E$72,$A1482+1),INDEX(Surface_Engine!$E$12:$E$72,$Q$1455+1))</f>
        <v>0.134318861223331</v>
      </c>
      <c r="C1482" s="32" t="n">
        <f aca="false">INDEX(Panel_Reserving!$G$8:$G$68,$A1482+1)*IF($A1482&lt;$Q$1455,INDEX(Surface_Engine!$E$12:$E$72,$A1482+1),INDEX(Surface_Engine!$E$12:$E$72,$Q$1455+1))</f>
        <v>0.195291311971933</v>
      </c>
      <c r="D1482" s="32" t="n">
        <f aca="false">INDEX(Surface_Engine!$S$12:$S$72,$A1482+1)*IF($A1482&lt;$Q$1455,INDEX(Surface_Engine!$Y$12:$Y$72,$A1482+1),INDEX(Surface_Engine!$Y$12:$Y$72,$Q$1455+1))</f>
        <v>0.120008161894567</v>
      </c>
      <c r="E1482" s="32" t="n">
        <f aca="false">INDEX(Surface_Engine!$S$12:$S$72,$A1482+1)*IF($A1482&lt;$Q$1455,INDEX(Surface_Engine!$Z$12:$Z$72,$A1482+1),INDEX(Surface_Engine!$Z$12:$Z$72,$Q$1455+1))</f>
        <v>0.150188643019544</v>
      </c>
      <c r="F1482" s="48" t="n">
        <f aca="false">B1482*(IF($A1482&lt;$Q$1455,INDEX(Surface_Engine!$D$12:$D$72,$A1482+1)+(Surface_Engine!Q248*12)*INDEX(Surface_Engine!$F$12:$F$72,$A1482+1)-(Surface_Engine!Q248*12),1000*12*INDEX(Surface_Engine!$C$12:$C$72,$A1482+1)/(1+Assumptions!$B$10)^18+INDEX(Surface_Engine!$D$12:$D$72,$A1482+1)))*INDEX(Surface_Engine!$B$12:$B$72,$A1482+1)+F1483</f>
        <v>3764.37061741558</v>
      </c>
      <c r="G1482" s="48" t="n">
        <f aca="false">C1482*(IF($A1482&lt;$Q$1455,INDEX(Surface_Engine!$D$12:$D$72,$A1482+1)+(Surface_Engine!Q248*12)*INDEX(Surface_Engine!$F$12:$F$72,$A1482+1)-(Surface_Engine!Q248*12),1000*12*INDEX(Surface_Engine!$C$12:$C$72,$A1482+1)/(1+Assumptions!$B$10)^18+INDEX(Surface_Engine!$D$12:$D$72,$A1482+1)))*INDEX(Surface_Engine!$B$12:$B$72,$A1482+1)+G1483</f>
        <v>6509.14759259567</v>
      </c>
      <c r="H1482" s="48" t="n">
        <f aca="false">D1482*(IF($A1482&lt;$Q$1455,INDEX(Surface_Engine!$D$12:$D$72,$A1482+1)+(Surface_Engine!Q248*12)*INDEX(Surface_Engine!$F$12:$F$72,$A1482+1)-(Surface_Engine!Q248*12),1000*12*INDEX(Surface_Engine!$C$12:$C$72,$A1482+1)/(1+Assumptions!$B$10)^18+INDEX(Surface_Engine!$D$12:$D$72,$A1482+1)))*INDEX(Surface_Engine!$B$12:$B$72,$A1482+1)+H1483</f>
        <v>3363.30426249543</v>
      </c>
      <c r="I1482" s="48" t="n">
        <f aca="false">E1482*(IF($A1482&lt;$Q$1455,INDEX(Surface_Engine!$D$12:$D$72,$A1482+1)+(Surface_Engine!Q248*12)*INDEX(Surface_Engine!$F$12:$F$72,$A1482+1)-(Surface_Engine!Q248*12),1000*12*INDEX(Surface_Engine!$C$12:$C$72,$A1482+1)/(1+Assumptions!$B$10)^18+INDEX(Surface_Engine!$D$12:$D$72,$A1482+1)))*INDEX(Surface_Engine!$B$12:$B$72,$A1482+1)+I1483</f>
        <v>4209.13123967201</v>
      </c>
      <c r="J1482" s="48" t="n">
        <f aca="false">B1482*(IF($A1482&lt;$Q$1455,INDEX(Surface_Engine!$D$12:$D$72,$A1482+1)*(1+Assumptions!$B$24)+(Surface_Engine!Q248*12)*INDEX(Surface_Engine!$F$12:$F$72,$A1482+1)-(Surface_Engine!Q248*12),1000*12*INDEX(Surface_Engine!$C$12:$C$72,$A1482+1)/(1+Assumptions!$B$10)^18+INDEX(Surface_Engine!$D$12:$D$72,$A1482+1)*(1+Assumptions!$B$24)))*INDEX(Surface_Engine!$B$12:$B$72,$A1482+1)+J1483</f>
        <v>3768.53598304348</v>
      </c>
      <c r="K1482" s="12" t="n">
        <f aca="false">SQRT((IF(C1482&lt;=0,0,MAX(0,(B1482/C1482)*G1482/INDEX(Surface_Engine!$B$12:$B$72,$A1482+1)-F1482/INDEX(Surface_Engine!$B$12:$B$72,$A1482+1))))^2+(MAX(IF(D1482&lt;=0,0,MAX(0,(B1482/D1482)*H1482/INDEX(Surface_Engine!$B$12:$B$72,$A1482+1)-F1482/INDEX(Surface_Engine!$B$12:$B$72,$A1482+1))),IF(E1482&lt;=0,0,MAX(0,(B1482/E1482)*I1482/INDEX(Surface_Engine!$B$12:$B$72,$A1482+1)-F1482/INDEX(Surface_Engine!$B$12:$B$72,$A1482+1))),IF($A1482&lt;$Q$1455,MAX(0,-Assumptions!$B$22*(F1482/INDEX(Surface_Engine!$B$12:$B$72,$A1482+1))),0)))^2+(MAX(0,J1482/INDEX(Surface_Engine!$B$12:$B$72,$A1482+1)-(F1482/INDEX(Surface_Engine!$B$12:$B$72,$A1482+1))))^2+2*Assumptions!$B$26*(IF(C1482&lt;=0,0,MAX(0,(B1482/C1482)*G1482/INDEX(Surface_Engine!$B$12:$B$72,$A1482+1)-F1482/INDEX(Surface_Engine!$B$12:$B$72,$A1482+1))))*(MAX(IF(D1482&lt;=0,0,MAX(0,(B1482/D1482)*H1482/INDEX(Surface_Engine!$B$12:$B$72,$A1482+1)-F1482/INDEX(Surface_Engine!$B$12:$B$72,$A1482+1))),IF(E1482&lt;=0,0,MAX(0,(B1482/E1482)*I1482/INDEX(Surface_Engine!$B$12:$B$72,$A1482+1)-F1482/INDEX(Surface_Engine!$B$12:$B$72,$A1482+1))),IF($A1482&lt;$Q$1455,MAX(0,-Assumptions!$B$22*(F1482/INDEX(Surface_Engine!$B$12:$B$72,$A1482+1))),0)))+2*Assumptions!$B$27*(IF(C1482&lt;=0,0,MAX(0,(B1482/C1482)*G1482/INDEX(Surface_Engine!$B$12:$B$72,$A1482+1)-F1482/INDEX(Surface_Engine!$B$12:$B$72,$A1482+1))))*(MAX(0,J1482/INDEX(Surface_Engine!$B$12:$B$72,$A1482+1)-(F1482/INDEX(Surface_Engine!$B$12:$B$72,$A1482+1))))+2*Assumptions!$B$28*(MAX(IF(D1482&lt;=0,0,MAX(0,(B1482/D1482)*H1482/INDEX(Surface_Engine!$B$12:$B$72,$A1482+1)-F1482/INDEX(Surface_Engine!$B$12:$B$72,$A1482+1))),IF(E1482&lt;=0,0,MAX(0,(B1482/E1482)*I1482/INDEX(Surface_Engine!$B$12:$B$72,$A1482+1)-F1482/INDEX(Surface_Engine!$B$12:$B$72,$A1482+1))),IF($A1482&lt;$Q$1455,MAX(0,-Assumptions!$B$22*(F1482/INDEX(Surface_Engine!$B$12:$B$72,$A1482+1))),0)))*(MAX(0,J1482/INDEX(Surface_Engine!$B$12:$B$72,$A1482+1)-(F1482/INDEX(Surface_Engine!$B$12:$B$72,$A1482+1)))))</f>
        <v>1558.87373629548</v>
      </c>
      <c r="L1482" s="48" t="n">
        <f aca="false">K1482*INDEX(Surface_Engine!$B$12:$B$72,$A1482+1)+L1483</f>
        <v>2795.6342541625</v>
      </c>
      <c r="M1482" s="48" t="n">
        <f aca="false">M1481+B1481*(IF($A1481&lt;$Q$1455,(Surface_Engine!Q248*12)-(Surface_Engine!Q248*12)*INDEX(Surface_Engine!$F$12:$F$72,$A1481+1)-INDEX(Surface_Engine!$D$12:$D$72,$A1481+1),-(1000*12*INDEX(Surface_Engine!$C$12:$C$72,$A1481+1)/(1+Assumptions!$B$10)^18+INDEX(Surface_Engine!$D$12:$D$72,$A1481+1))))*INDEX(Surface_Engine!$B$12:$B$72,$A1481+1)</f>
        <v>4403.44225636655</v>
      </c>
      <c r="N1482" s="12" t="n">
        <f aca="false">IF(B1482&lt;=0,0,MAX(0,(K1482+Assumptions!$B$29*L1482/INDEX(Surface_Engine!$B$12:$B$72,$A1482+1)-(M1482/INDEX(Surface_Engine!$B$12:$B$72,$A1482+1)-(F1482/INDEX(Surface_Engine!$B$12:$B$72,$A1482+1))))/B1482))</f>
        <v>3940.04290290563</v>
      </c>
    </row>
    <row r="1483" customFormat="false" ht="15" hidden="false" customHeight="true" outlineLevel="0" collapsed="false">
      <c r="A1483" s="1" t="n">
        <v>26</v>
      </c>
      <c r="B1483" s="32" t="n">
        <f aca="false">INDEX(Surface_Engine!$S$12:$S$72,$A1483+1)*IF($A1483&lt;$Q$1455,INDEX(Surface_Engine!$E$12:$E$72,$A1483+1),INDEX(Surface_Engine!$E$12:$E$72,$Q$1455+1))</f>
        <v>0.109050376274888</v>
      </c>
      <c r="C1483" s="32" t="n">
        <f aca="false">INDEX(Panel_Reserving!$G$8:$G$68,$A1483+1)*IF($A1483&lt;$Q$1455,INDEX(Surface_Engine!$E$12:$E$72,$A1483+1),INDEX(Surface_Engine!$E$12:$E$72,$Q$1455+1))</f>
        <v>0.165900261260629</v>
      </c>
      <c r="D1483" s="32" t="n">
        <f aca="false">INDEX(Surface_Engine!$S$12:$S$72,$A1483+1)*IF($A1483&lt;$Q$1455,INDEX(Surface_Engine!$Y$12:$Y$72,$A1483+1),INDEX(Surface_Engine!$Y$12:$Y$72,$Q$1455+1))</f>
        <v>0.0974318505343834</v>
      </c>
      <c r="E1483" s="32" t="n">
        <f aca="false">INDEX(Surface_Engine!$S$12:$S$72,$A1483+1)*IF($A1483&lt;$Q$1455,INDEX(Surface_Engine!$Z$12:$Z$72,$A1483+1),INDEX(Surface_Engine!$Z$12:$Z$72,$Q$1455+1))</f>
        <v>0.121934685004992</v>
      </c>
      <c r="F1483" s="48" t="n">
        <f aca="false">B1483*(IF($A1483&lt;$Q$1455,INDEX(Surface_Engine!$D$12:$D$72,$A1483+1)+(Surface_Engine!Q248*12)*INDEX(Surface_Engine!$F$12:$F$72,$A1483+1)-(Surface_Engine!Q248*12),1000*12*INDEX(Surface_Engine!$C$12:$C$72,$A1483+1)/(1+Assumptions!$B$10)^18+INDEX(Surface_Engine!$D$12:$D$72,$A1483+1)))*INDEX(Surface_Engine!$B$12:$B$72,$A1483+1)+F1484</f>
        <v>2907.48858705172</v>
      </c>
      <c r="G1483" s="48" t="n">
        <f aca="false">C1483*(IF($A1483&lt;$Q$1455,INDEX(Surface_Engine!$D$12:$D$72,$A1483+1)+(Surface_Engine!Q248*12)*INDEX(Surface_Engine!$F$12:$F$72,$A1483+1)-(Surface_Engine!Q248*12),1000*12*INDEX(Surface_Engine!$C$12:$C$72,$A1483+1)/(1+Assumptions!$B$10)^18+INDEX(Surface_Engine!$D$12:$D$72,$A1483+1)))*INDEX(Surface_Engine!$B$12:$B$72,$A1483+1)+G1484</f>
        <v>5263.29414810661</v>
      </c>
      <c r="H1483" s="48" t="n">
        <f aca="false">D1483*(IF($A1483&lt;$Q$1455,INDEX(Surface_Engine!$D$12:$D$72,$A1483+1)+(Surface_Engine!Q248*12)*INDEX(Surface_Engine!$F$12:$F$72,$A1483+1)-(Surface_Engine!Q248*12),1000*12*INDEX(Surface_Engine!$C$12:$C$72,$A1483+1)/(1+Assumptions!$B$10)^18+INDEX(Surface_Engine!$D$12:$D$72,$A1483+1)))*INDEX(Surface_Engine!$B$12:$B$72,$A1483+1)+H1484</f>
        <v>2597.71679035722</v>
      </c>
      <c r="I1483" s="48" t="n">
        <f aca="false">E1483*(IF($A1483&lt;$Q$1455,INDEX(Surface_Engine!$D$12:$D$72,$A1483+1)+(Surface_Engine!Q248*12)*INDEX(Surface_Engine!$F$12:$F$72,$A1483+1)-(Surface_Engine!Q248*12),1000*12*INDEX(Surface_Engine!$C$12:$C$72,$A1483+1)/(1+Assumptions!$B$10)^18+INDEX(Surface_Engine!$D$12:$D$72,$A1483+1)))*INDEX(Surface_Engine!$B$12:$B$72,$A1483+1)+I1484</f>
        <v>3251.00854419886</v>
      </c>
      <c r="J1483" s="48" t="n">
        <f aca="false">B1483*(IF($A1483&lt;$Q$1455,INDEX(Surface_Engine!$D$12:$D$72,$A1483+1)*(1+Assumptions!$B$24)+(Surface_Engine!Q248*12)*INDEX(Surface_Engine!$F$12:$F$72,$A1483+1)-(Surface_Engine!Q248*12),1000*12*INDEX(Surface_Engine!$C$12:$C$72,$A1483+1)/(1+Assumptions!$B$10)^18+INDEX(Surface_Engine!$D$12:$D$72,$A1483+1)*(1+Assumptions!$B$24)))*INDEX(Surface_Engine!$B$12:$B$72,$A1483+1)+J1484</f>
        <v>2910.71922403976</v>
      </c>
      <c r="K1483" s="12" t="n">
        <f aca="false">SQRT((IF(C1483&lt;=0,0,MAX(0,(B1483/C1483)*G1483/INDEX(Surface_Engine!$B$12:$B$72,$A1483+1)-F1483/INDEX(Surface_Engine!$B$12:$B$72,$A1483+1))))^2+(MAX(IF(D1483&lt;=0,0,MAX(0,(B1483/D1483)*H1483/INDEX(Surface_Engine!$B$12:$B$72,$A1483+1)-F1483/INDEX(Surface_Engine!$B$12:$B$72,$A1483+1))),IF(E1483&lt;=0,0,MAX(0,(B1483/E1483)*I1483/INDEX(Surface_Engine!$B$12:$B$72,$A1483+1)-F1483/INDEX(Surface_Engine!$B$12:$B$72,$A1483+1))),IF($A1483&lt;$Q$1455,MAX(0,-Assumptions!$B$22*(F1483/INDEX(Surface_Engine!$B$12:$B$72,$A1483+1))),0)))^2+(MAX(0,J1483/INDEX(Surface_Engine!$B$12:$B$72,$A1483+1)-(F1483/INDEX(Surface_Engine!$B$12:$B$72,$A1483+1))))^2+2*Assumptions!$B$26*(IF(C1483&lt;=0,0,MAX(0,(B1483/C1483)*G1483/INDEX(Surface_Engine!$B$12:$B$72,$A1483+1)-F1483/INDEX(Surface_Engine!$B$12:$B$72,$A1483+1))))*(MAX(IF(D1483&lt;=0,0,MAX(0,(B1483/D1483)*H1483/INDEX(Surface_Engine!$B$12:$B$72,$A1483+1)-F1483/INDEX(Surface_Engine!$B$12:$B$72,$A1483+1))),IF(E1483&lt;=0,0,MAX(0,(B1483/E1483)*I1483/INDEX(Surface_Engine!$B$12:$B$72,$A1483+1)-F1483/INDEX(Surface_Engine!$B$12:$B$72,$A1483+1))),IF($A1483&lt;$Q$1455,MAX(0,-Assumptions!$B$22*(F1483/INDEX(Surface_Engine!$B$12:$B$72,$A1483+1))),0)))+2*Assumptions!$B$27*(IF(C1483&lt;=0,0,MAX(0,(B1483/C1483)*G1483/INDEX(Surface_Engine!$B$12:$B$72,$A1483+1)-F1483/INDEX(Surface_Engine!$B$12:$B$72,$A1483+1))))*(MAX(0,J1483/INDEX(Surface_Engine!$B$12:$B$72,$A1483+1)-(F1483/INDEX(Surface_Engine!$B$12:$B$72,$A1483+1))))+2*Assumptions!$B$28*(MAX(IF(D1483&lt;=0,0,MAX(0,(B1483/D1483)*H1483/INDEX(Surface_Engine!$B$12:$B$72,$A1483+1)-F1483/INDEX(Surface_Engine!$B$12:$B$72,$A1483+1))),IF(E1483&lt;=0,0,MAX(0,(B1483/E1483)*I1483/INDEX(Surface_Engine!$B$12:$B$72,$A1483+1)-F1483/INDEX(Surface_Engine!$B$12:$B$72,$A1483+1))),IF($A1483&lt;$Q$1455,MAX(0,-Assumptions!$B$22*(F1483/INDEX(Surface_Engine!$B$12:$B$72,$A1483+1))),0)))*(MAX(0,J1483/INDEX(Surface_Engine!$B$12:$B$72,$A1483+1)-(F1483/INDEX(Surface_Engine!$B$12:$B$72,$A1483+1)))))</f>
        <v>1247.09049237638</v>
      </c>
      <c r="L1483" s="48" t="n">
        <f aca="false">K1483*INDEX(Surface_Engine!$B$12:$B$72,$A1483+1)+L1484</f>
        <v>2082.04384983485</v>
      </c>
      <c r="M1483" s="48" t="n">
        <f aca="false">M1482+B1482*(IF($A1482&lt;$Q$1455,(Surface_Engine!Q248*12)-(Surface_Engine!Q248*12)*INDEX(Surface_Engine!$F$12:$F$72,$A1482+1)-INDEX(Surface_Engine!$D$12:$D$72,$A1482+1),-(1000*12*INDEX(Surface_Engine!$C$12:$C$72,$A1482+1)/(1+Assumptions!$B$10)^18+INDEX(Surface_Engine!$D$12:$D$72,$A1482+1))))*INDEX(Surface_Engine!$B$12:$B$72,$A1482+1)</f>
        <v>3546.56022600268</v>
      </c>
      <c r="N1483" s="12" t="n">
        <f aca="false">IF(B1483&lt;=0,0,MAX(0,(K1483+Assumptions!$B$29*L1483/INDEX(Surface_Engine!$B$12:$B$72,$A1483+1)-(M1483/INDEX(Surface_Engine!$B$12:$B$72,$A1483+1)-(F1483/INDEX(Surface_Engine!$B$12:$B$72,$A1483+1))))/B1483))</f>
        <v>803.858902966339</v>
      </c>
    </row>
    <row r="1484" customFormat="false" ht="15" hidden="false" customHeight="true" outlineLevel="0" collapsed="false">
      <c r="A1484" s="1" t="n">
        <v>27</v>
      </c>
      <c r="B1484" s="32" t="n">
        <f aca="false">INDEX(Surface_Engine!$S$12:$S$72,$A1484+1)*IF($A1484&lt;$Q$1455,INDEX(Surface_Engine!$E$12:$E$72,$A1484+1),INDEX(Surface_Engine!$E$12:$E$72,$Q$1455+1))</f>
        <v>0.0874889815040464</v>
      </c>
      <c r="C1484" s="32" t="n">
        <f aca="false">INDEX(Panel_Reserving!$G$8:$G$68,$A1484+1)*IF($A1484&lt;$Q$1455,INDEX(Surface_Engine!$E$12:$E$72,$A1484+1),INDEX(Surface_Engine!$E$12:$E$72,$Q$1455+1))</f>
        <v>0.139658877065058</v>
      </c>
      <c r="D1484" s="32" t="n">
        <f aca="false">INDEX(Surface_Engine!$S$12:$S$72,$A1484+1)*IF($A1484&lt;$Q$1455,INDEX(Surface_Engine!$Y$12:$Y$72,$A1484+1),INDEX(Surface_Engine!$Y$12:$Y$72,$Q$1455+1))</f>
        <v>0.0781676658118112</v>
      </c>
      <c r="E1484" s="32" t="n">
        <f aca="false">INDEX(Surface_Engine!$S$12:$S$72,$A1484+1)*IF($A1484&lt;$Q$1455,INDEX(Surface_Engine!$Z$12:$Z$72,$A1484+1),INDEX(Surface_Engine!$Z$12:$Z$72,$Q$1455+1))</f>
        <v>0.0978258101027764</v>
      </c>
      <c r="F1484" s="48" t="n">
        <f aca="false">B1484*(IF($A1484&lt;$Q$1455,INDEX(Surface_Engine!$D$12:$D$72,$A1484+1)+(Surface_Engine!Q248*12)*INDEX(Surface_Engine!$F$12:$F$72,$A1484+1)-(Surface_Engine!Q248*12),1000*12*INDEX(Surface_Engine!$C$12:$C$72,$A1484+1)/(1+Assumptions!$B$10)^18+INDEX(Surface_Engine!$D$12:$D$72,$A1484+1)))*INDEX(Surface_Engine!$B$12:$B$72,$A1484+1)+F1485</f>
        <v>2220.03839469976</v>
      </c>
      <c r="G1484" s="48" t="n">
        <f aca="false">C1484*(IF($A1484&lt;$Q$1455,INDEX(Surface_Engine!$D$12:$D$72,$A1484+1)+(Surface_Engine!Q248*12)*INDEX(Surface_Engine!$F$12:$F$72,$A1484+1)-(Surface_Engine!Q248*12),1000*12*INDEX(Surface_Engine!$C$12:$C$72,$A1484+1)/(1+Assumptions!$B$10)^18+INDEX(Surface_Engine!$D$12:$D$72,$A1484+1)))*INDEX(Surface_Engine!$B$12:$B$72,$A1484+1)+G1485</f>
        <v>4217.46404269393</v>
      </c>
      <c r="H1484" s="48" t="n">
        <f aca="false">D1484*(IF($A1484&lt;$Q$1455,INDEX(Surface_Engine!$D$12:$D$72,$A1484+1)+(Surface_Engine!Q248*12)*INDEX(Surface_Engine!$F$12:$F$72,$A1484+1)-(Surface_Engine!Q248*12),1000*12*INDEX(Surface_Engine!$C$12:$C$72,$A1484+1)/(1+Assumptions!$B$10)^18+INDEX(Surface_Engine!$D$12:$D$72,$A1484+1)))*INDEX(Surface_Engine!$B$12:$B$72,$A1484+1)+H1485</f>
        <v>1983.50942419252</v>
      </c>
      <c r="I1484" s="48" t="n">
        <f aca="false">E1484*(IF($A1484&lt;$Q$1455,INDEX(Surface_Engine!$D$12:$D$72,$A1484+1)+(Surface_Engine!Q248*12)*INDEX(Surface_Engine!$F$12:$F$72,$A1484+1)-(Surface_Engine!Q248*12),1000*12*INDEX(Surface_Engine!$C$12:$C$72,$A1484+1)/(1+Assumptions!$B$10)^18+INDEX(Surface_Engine!$D$12:$D$72,$A1484+1)))*INDEX(Surface_Engine!$B$12:$B$72,$A1484+1)+I1485</f>
        <v>2482.33606892231</v>
      </c>
      <c r="J1484" s="48" t="n">
        <f aca="false">B1484*(IF($A1484&lt;$Q$1455,INDEX(Surface_Engine!$D$12:$D$72,$A1484+1)*(1+Assumptions!$B$24)+(Surface_Engine!Q248*12)*INDEX(Surface_Engine!$F$12:$F$72,$A1484+1)-(Surface_Engine!Q248*12),1000*12*INDEX(Surface_Engine!$C$12:$C$72,$A1484+1)/(1+Assumptions!$B$10)^18+INDEX(Surface_Engine!$D$12:$D$72,$A1484+1)*(1+Assumptions!$B$24)))*INDEX(Surface_Engine!$B$12:$B$72,$A1484+1)+J1485</f>
        <v>2222.51549183972</v>
      </c>
      <c r="K1484" s="12" t="n">
        <f aca="false">SQRT((IF(C1484&lt;=0,0,MAX(0,(B1484/C1484)*G1484/INDEX(Surface_Engine!$B$12:$B$72,$A1484+1)-F1484/INDEX(Surface_Engine!$B$12:$B$72,$A1484+1))))^2+(MAX(IF(D1484&lt;=0,0,MAX(0,(B1484/D1484)*H1484/INDEX(Surface_Engine!$B$12:$B$72,$A1484+1)-F1484/INDEX(Surface_Engine!$B$12:$B$72,$A1484+1))),IF(E1484&lt;=0,0,MAX(0,(B1484/E1484)*I1484/INDEX(Surface_Engine!$B$12:$B$72,$A1484+1)-F1484/INDEX(Surface_Engine!$B$12:$B$72,$A1484+1))),IF($A1484&lt;$Q$1455,MAX(0,-Assumptions!$B$22*(F1484/INDEX(Surface_Engine!$B$12:$B$72,$A1484+1))),0)))^2+(MAX(0,J1484/INDEX(Surface_Engine!$B$12:$B$72,$A1484+1)-(F1484/INDEX(Surface_Engine!$B$12:$B$72,$A1484+1))))^2+2*Assumptions!$B$26*(IF(C1484&lt;=0,0,MAX(0,(B1484/C1484)*G1484/INDEX(Surface_Engine!$B$12:$B$72,$A1484+1)-F1484/INDEX(Surface_Engine!$B$12:$B$72,$A1484+1))))*(MAX(IF(D1484&lt;=0,0,MAX(0,(B1484/D1484)*H1484/INDEX(Surface_Engine!$B$12:$B$72,$A1484+1)-F1484/INDEX(Surface_Engine!$B$12:$B$72,$A1484+1))),IF(E1484&lt;=0,0,MAX(0,(B1484/E1484)*I1484/INDEX(Surface_Engine!$B$12:$B$72,$A1484+1)-F1484/INDEX(Surface_Engine!$B$12:$B$72,$A1484+1))),IF($A1484&lt;$Q$1455,MAX(0,-Assumptions!$B$22*(F1484/INDEX(Surface_Engine!$B$12:$B$72,$A1484+1))),0)))+2*Assumptions!$B$27*(IF(C1484&lt;=0,0,MAX(0,(B1484/C1484)*G1484/INDEX(Surface_Engine!$B$12:$B$72,$A1484+1)-F1484/INDEX(Surface_Engine!$B$12:$B$72,$A1484+1))))*(MAX(0,J1484/INDEX(Surface_Engine!$B$12:$B$72,$A1484+1)-(F1484/INDEX(Surface_Engine!$B$12:$B$72,$A1484+1))))+2*Assumptions!$B$28*(MAX(IF(D1484&lt;=0,0,MAX(0,(B1484/D1484)*H1484/INDEX(Surface_Engine!$B$12:$B$72,$A1484+1)-F1484/INDEX(Surface_Engine!$B$12:$B$72,$A1484+1))),IF(E1484&lt;=0,0,MAX(0,(B1484/E1484)*I1484/INDEX(Surface_Engine!$B$12:$B$72,$A1484+1)-F1484/INDEX(Surface_Engine!$B$12:$B$72,$A1484+1))),IF($A1484&lt;$Q$1455,MAX(0,-Assumptions!$B$22*(F1484/INDEX(Surface_Engine!$B$12:$B$72,$A1484+1))),0)))*(MAX(0,J1484/INDEX(Surface_Engine!$B$12:$B$72,$A1484+1)-(F1484/INDEX(Surface_Engine!$B$12:$B$72,$A1484+1)))))</f>
        <v>983.535126186532</v>
      </c>
      <c r="L1484" s="48" t="n">
        <f aca="false">K1484*INDEX(Surface_Engine!$B$12:$B$72,$A1484+1)+L1485</f>
        <v>1529.02151620344</v>
      </c>
      <c r="M1484" s="48" t="n">
        <f aca="false">M1483+B1483*(IF($A1483&lt;$Q$1455,(Surface_Engine!Q248*12)-(Surface_Engine!Q248*12)*INDEX(Surface_Engine!$F$12:$F$72,$A1483+1)-INDEX(Surface_Engine!$D$12:$D$72,$A1483+1),-(1000*12*INDEX(Surface_Engine!$C$12:$C$72,$A1483+1)/(1+Assumptions!$B$10)^18+INDEX(Surface_Engine!$D$12:$D$72,$A1483+1))))*INDEX(Surface_Engine!$B$12:$B$72,$A1483+1)</f>
        <v>2859.11003365072</v>
      </c>
      <c r="N1484" s="12" t="n">
        <f aca="false">IF(B1484&lt;=0,0,MAX(0,(K1484+Assumptions!$B$29*L1484/INDEX(Surface_Engine!$B$12:$B$72,$A1484+1)-(M1484/INDEX(Surface_Engine!$B$12:$B$72,$A1484+1)-(F1484/INDEX(Surface_Engine!$B$12:$B$72,$A1484+1))))/B1484))</f>
        <v>0</v>
      </c>
    </row>
    <row r="1485" customFormat="false" ht="15" hidden="false" customHeight="true" outlineLevel="0" collapsed="false">
      <c r="A1485" s="1" t="n">
        <v>28</v>
      </c>
      <c r="B1485" s="32" t="n">
        <f aca="false">INDEX(Surface_Engine!$S$12:$S$72,$A1485+1)*IF($A1485&lt;$Q$1455,INDEX(Surface_Engine!$E$12:$E$72,$A1485+1),INDEX(Surface_Engine!$E$12:$E$72,$Q$1455+1))</f>
        <v>0.0693378728287436</v>
      </c>
      <c r="C1485" s="32" t="n">
        <f aca="false">INDEX(Panel_Reserving!$G$8:$G$68,$A1485+1)*IF($A1485&lt;$Q$1455,INDEX(Surface_Engine!$E$12:$E$72,$A1485+1),INDEX(Surface_Engine!$E$12:$E$72,$Q$1455+1))</f>
        <v>0.11647914941022</v>
      </c>
      <c r="D1485" s="32" t="n">
        <f aca="false">INDEX(Surface_Engine!$S$12:$S$72,$A1485+1)*IF($A1485&lt;$Q$1455,INDEX(Surface_Engine!$Y$12:$Y$72,$A1485+1),INDEX(Surface_Engine!$Y$12:$Y$72,$Q$1455+1))</f>
        <v>0.061950425964536</v>
      </c>
      <c r="E1485" s="32" t="n">
        <f aca="false">INDEX(Surface_Engine!$S$12:$S$72,$A1485+1)*IF($A1485&lt;$Q$1455,INDEX(Surface_Engine!$Z$12:$Z$72,$A1485+1),INDEX(Surface_Engine!$Z$12:$Z$72,$Q$1455+1))</f>
        <v>0.0775301468101033</v>
      </c>
      <c r="F1485" s="48" t="n">
        <f aca="false">B1485*(IF($A1485&lt;$Q$1455,INDEX(Surface_Engine!$D$12:$D$72,$A1485+1)+(Surface_Engine!Q248*12)*INDEX(Surface_Engine!$F$12:$F$72,$A1485+1)-(Surface_Engine!Q248*12),1000*12*INDEX(Surface_Engine!$C$12:$C$72,$A1485+1)/(1+Assumptions!$B$10)^18+INDEX(Surface_Engine!$D$12:$D$72,$A1485+1)))*INDEX(Surface_Engine!$B$12:$B$72,$A1485+1)+F1486</f>
        <v>1674.91553756973</v>
      </c>
      <c r="G1485" s="48" t="n">
        <f aca="false">C1485*(IF($A1485&lt;$Q$1455,INDEX(Surface_Engine!$D$12:$D$72,$A1485+1)+(Surface_Engine!Q248*12)*INDEX(Surface_Engine!$F$12:$F$72,$A1485+1)-(Surface_Engine!Q248*12),1000*12*INDEX(Surface_Engine!$C$12:$C$72,$A1485+1)/(1+Assumptions!$B$10)^18+INDEX(Surface_Engine!$D$12:$D$72,$A1485+1)))*INDEX(Surface_Engine!$B$12:$B$72,$A1485+1)+G1486</f>
        <v>3347.28308069753</v>
      </c>
      <c r="H1485" s="48" t="n">
        <f aca="false">D1485*(IF($A1485&lt;$Q$1455,INDEX(Surface_Engine!$D$12:$D$72,$A1485+1)+(Surface_Engine!Q248*12)*INDEX(Surface_Engine!$F$12:$F$72,$A1485+1)-(Surface_Engine!Q248*12),1000*12*INDEX(Surface_Engine!$C$12:$C$72,$A1485+1)/(1+Assumptions!$B$10)^18+INDEX(Surface_Engine!$D$12:$D$72,$A1485+1)))*INDEX(Surface_Engine!$B$12:$B$72,$A1485+1)+H1486</f>
        <v>1496.46544916865</v>
      </c>
      <c r="I1485" s="48" t="n">
        <f aca="false">E1485*(IF($A1485&lt;$Q$1455,INDEX(Surface_Engine!$D$12:$D$72,$A1485+1)+(Surface_Engine!Q248*12)*INDEX(Surface_Engine!$F$12:$F$72,$A1485+1)-(Surface_Engine!Q248*12),1000*12*INDEX(Surface_Engine!$C$12:$C$72,$A1485+1)/(1+Assumptions!$B$10)^18+INDEX(Surface_Engine!$D$12:$D$72,$A1485+1)))*INDEX(Surface_Engine!$B$12:$B$72,$A1485+1)+I1486</f>
        <v>1872.80691236425</v>
      </c>
      <c r="J1485" s="48" t="n">
        <f aca="false">B1485*(IF($A1485&lt;$Q$1455,INDEX(Surface_Engine!$D$12:$D$72,$A1485+1)*(1+Assumptions!$B$24)+(Surface_Engine!Q248*12)*INDEX(Surface_Engine!$F$12:$F$72,$A1485+1)-(Surface_Engine!Q248*12),1000*12*INDEX(Surface_Engine!$C$12:$C$72,$A1485+1)/(1+Assumptions!$B$10)^18+INDEX(Surface_Engine!$D$12:$D$72,$A1485+1)*(1+Assumptions!$B$24)))*INDEX(Surface_Engine!$B$12:$B$72,$A1485+1)+J1486</f>
        <v>1676.79220836887</v>
      </c>
      <c r="K1485" s="12" t="n">
        <f aca="false">SQRT((IF(C1485&lt;=0,0,MAX(0,(B1485/C1485)*G1485/INDEX(Surface_Engine!$B$12:$B$72,$A1485+1)-F1485/INDEX(Surface_Engine!$B$12:$B$72,$A1485+1))))^2+(MAX(IF(D1485&lt;=0,0,MAX(0,(B1485/D1485)*H1485/INDEX(Surface_Engine!$B$12:$B$72,$A1485+1)-F1485/INDEX(Surface_Engine!$B$12:$B$72,$A1485+1))),IF(E1485&lt;=0,0,MAX(0,(B1485/E1485)*I1485/INDEX(Surface_Engine!$B$12:$B$72,$A1485+1)-F1485/INDEX(Surface_Engine!$B$12:$B$72,$A1485+1))),IF($A1485&lt;$Q$1455,MAX(0,-Assumptions!$B$22*(F1485/INDEX(Surface_Engine!$B$12:$B$72,$A1485+1))),0)))^2+(MAX(0,J1485/INDEX(Surface_Engine!$B$12:$B$72,$A1485+1)-(F1485/INDEX(Surface_Engine!$B$12:$B$72,$A1485+1))))^2+2*Assumptions!$B$26*(IF(C1485&lt;=0,0,MAX(0,(B1485/C1485)*G1485/INDEX(Surface_Engine!$B$12:$B$72,$A1485+1)-F1485/INDEX(Surface_Engine!$B$12:$B$72,$A1485+1))))*(MAX(IF(D1485&lt;=0,0,MAX(0,(B1485/D1485)*H1485/INDEX(Surface_Engine!$B$12:$B$72,$A1485+1)-F1485/INDEX(Surface_Engine!$B$12:$B$72,$A1485+1))),IF(E1485&lt;=0,0,MAX(0,(B1485/E1485)*I1485/INDEX(Surface_Engine!$B$12:$B$72,$A1485+1)-F1485/INDEX(Surface_Engine!$B$12:$B$72,$A1485+1))),IF($A1485&lt;$Q$1455,MAX(0,-Assumptions!$B$22*(F1485/INDEX(Surface_Engine!$B$12:$B$72,$A1485+1))),0)))+2*Assumptions!$B$27*(IF(C1485&lt;=0,0,MAX(0,(B1485/C1485)*G1485/INDEX(Surface_Engine!$B$12:$B$72,$A1485+1)-F1485/INDEX(Surface_Engine!$B$12:$B$72,$A1485+1))))*(MAX(0,J1485/INDEX(Surface_Engine!$B$12:$B$72,$A1485+1)-(F1485/INDEX(Surface_Engine!$B$12:$B$72,$A1485+1))))+2*Assumptions!$B$28*(MAX(IF(D1485&lt;=0,0,MAX(0,(B1485/D1485)*H1485/INDEX(Surface_Engine!$B$12:$B$72,$A1485+1)-F1485/INDEX(Surface_Engine!$B$12:$B$72,$A1485+1))),IF(E1485&lt;=0,0,MAX(0,(B1485/E1485)*I1485/INDEX(Surface_Engine!$B$12:$B$72,$A1485+1)-F1485/INDEX(Surface_Engine!$B$12:$B$72,$A1485+1))),IF($A1485&lt;$Q$1455,MAX(0,-Assumptions!$B$22*(F1485/INDEX(Surface_Engine!$B$12:$B$72,$A1485+1))),0)))*(MAX(0,J1485/INDEX(Surface_Engine!$B$12:$B$72,$A1485+1)-(F1485/INDEX(Surface_Engine!$B$12:$B$72,$A1485+1)))))</f>
        <v>764.33730118814</v>
      </c>
      <c r="L1485" s="48" t="n">
        <f aca="false">K1485*INDEX(Surface_Engine!$B$12:$B$72,$A1485+1)+L1486</f>
        <v>1106.41320592663</v>
      </c>
      <c r="M1485" s="48" t="n">
        <f aca="false">M1484+B1484*(IF($A1484&lt;$Q$1455,(Surface_Engine!Q248*12)-(Surface_Engine!Q248*12)*INDEX(Surface_Engine!$F$12:$F$72,$A1484+1)-INDEX(Surface_Engine!$D$12:$D$72,$A1484+1),-(1000*12*INDEX(Surface_Engine!$C$12:$C$72,$A1484+1)/(1+Assumptions!$B$10)^18+INDEX(Surface_Engine!$D$12:$D$72,$A1484+1))))*INDEX(Surface_Engine!$B$12:$B$72,$A1484+1)</f>
        <v>2313.98717652069</v>
      </c>
      <c r="N1485" s="12" t="n">
        <f aca="false">IF(B1485&lt;=0,0,MAX(0,(K1485+Assumptions!$B$29*L1485/INDEX(Surface_Engine!$B$12:$B$72,$A1485+1)-(M1485/INDEX(Surface_Engine!$B$12:$B$72,$A1485+1)-(F1485/INDEX(Surface_Engine!$B$12:$B$72,$A1485+1))))/B1485))</f>
        <v>0</v>
      </c>
    </row>
    <row r="1486" customFormat="false" ht="15" hidden="false" customHeight="true" outlineLevel="0" collapsed="false">
      <c r="A1486" s="1" t="n">
        <v>29</v>
      </c>
      <c r="B1486" s="32" t="n">
        <f aca="false">INDEX(Surface_Engine!$S$12:$S$72,$A1486+1)*IF($A1486&lt;$Q$1455,INDEX(Surface_Engine!$E$12:$E$72,$A1486+1),INDEX(Surface_Engine!$E$12:$E$72,$Q$1455+1))</f>
        <v>0.0542459864940629</v>
      </c>
      <c r="C1486" s="32" t="n">
        <f aca="false">INDEX(Panel_Reserving!$G$8:$G$68,$A1486+1)*IF($A1486&lt;$Q$1455,INDEX(Surface_Engine!$E$12:$E$72,$A1486+1),INDEX(Surface_Engine!$E$12:$E$72,$Q$1455+1))</f>
        <v>0.0961971302302998</v>
      </c>
      <c r="D1486" s="32" t="n">
        <f aca="false">INDEX(Surface_Engine!$S$12:$S$72,$A1486+1)*IF($A1486&lt;$Q$1455,INDEX(Surface_Engine!$Y$12:$Y$72,$A1486+1),INDEX(Surface_Engine!$Y$12:$Y$72,$Q$1455+1))</f>
        <v>0.0484664705315356</v>
      </c>
      <c r="E1486" s="32" t="n">
        <f aca="false">INDEX(Surface_Engine!$S$12:$S$72,$A1486+1)*IF($A1486&lt;$Q$1455,INDEX(Surface_Engine!$Z$12:$Z$72,$A1486+1),INDEX(Surface_Engine!$Z$12:$Z$72,$Q$1455+1))</f>
        <v>0.0606551531676081</v>
      </c>
      <c r="F1486" s="48" t="n">
        <f aca="false">B1486*(IF($A1486&lt;$Q$1455,INDEX(Surface_Engine!$D$12:$D$72,$A1486+1)+(Surface_Engine!Q248*12)*INDEX(Surface_Engine!$F$12:$F$72,$A1486+1)-(Surface_Engine!Q248*12),1000*12*INDEX(Surface_Engine!$C$12:$C$72,$A1486+1)/(1+Assumptions!$B$10)^18+INDEX(Surface_Engine!$D$12:$D$72,$A1486+1)))*INDEX(Surface_Engine!$B$12:$B$72,$A1486+1)+F1487</f>
        <v>1248.02910831252</v>
      </c>
      <c r="G1486" s="48" t="n">
        <f aca="false">C1486*(IF($A1486&lt;$Q$1455,INDEX(Surface_Engine!$D$12:$D$72,$A1486+1)+(Surface_Engine!Q248*12)*INDEX(Surface_Engine!$F$12:$F$72,$A1486+1)-(Surface_Engine!Q248*12),1000*12*INDEX(Surface_Engine!$C$12:$C$72,$A1486+1)/(1+Assumptions!$B$10)^18+INDEX(Surface_Engine!$D$12:$D$72,$A1486+1)))*INDEX(Surface_Engine!$B$12:$B$72,$A1486+1)+G1487</f>
        <v>2630.16606879471</v>
      </c>
      <c r="H1486" s="48" t="n">
        <f aca="false">D1486*(IF($A1486&lt;$Q$1455,INDEX(Surface_Engine!$D$12:$D$72,$A1486+1)+(Surface_Engine!Q248*12)*INDEX(Surface_Engine!$F$12:$F$72,$A1486+1)-(Surface_Engine!Q248*12),1000*12*INDEX(Surface_Engine!$C$12:$C$72,$A1486+1)/(1+Assumptions!$B$10)^18+INDEX(Surface_Engine!$D$12:$D$72,$A1486+1)))*INDEX(Surface_Engine!$B$12:$B$72,$A1486+1)+H1487</f>
        <v>1115.06066918236</v>
      </c>
      <c r="I1486" s="48" t="n">
        <f aca="false">E1486*(IF($A1486&lt;$Q$1455,INDEX(Surface_Engine!$D$12:$D$72,$A1486+1)+(Surface_Engine!Q248*12)*INDEX(Surface_Engine!$F$12:$F$72,$A1486+1)-(Surface_Engine!Q248*12),1000*12*INDEX(Surface_Engine!$C$12:$C$72,$A1486+1)/(1+Assumptions!$B$10)^18+INDEX(Surface_Engine!$D$12:$D$72,$A1486+1)))*INDEX(Surface_Engine!$B$12:$B$72,$A1486+1)+I1487</f>
        <v>1395.48382497596</v>
      </c>
      <c r="J1486" s="48" t="n">
        <f aca="false">B1486*(IF($A1486&lt;$Q$1455,INDEX(Surface_Engine!$D$12:$D$72,$A1486+1)*(1+Assumptions!$B$24)+(Surface_Engine!Q248*12)*INDEX(Surface_Engine!$F$12:$F$72,$A1486+1)-(Surface_Engine!Q248*12),1000*12*INDEX(Surface_Engine!$C$12:$C$72,$A1486+1)/(1+Assumptions!$B$10)^18+INDEX(Surface_Engine!$D$12:$D$72,$A1486+1)*(1+Assumptions!$B$24)))*INDEX(Surface_Engine!$B$12:$B$72,$A1486+1)+J1487</f>
        <v>1249.43330508566</v>
      </c>
      <c r="K1486" s="12" t="n">
        <f aca="false">SQRT((IF(C1486&lt;=0,0,MAX(0,(B1486/C1486)*G1486/INDEX(Surface_Engine!$B$12:$B$72,$A1486+1)-F1486/INDEX(Surface_Engine!$B$12:$B$72,$A1486+1))))^2+(MAX(IF(D1486&lt;=0,0,MAX(0,(B1486/D1486)*H1486/INDEX(Surface_Engine!$B$12:$B$72,$A1486+1)-F1486/INDEX(Surface_Engine!$B$12:$B$72,$A1486+1))),IF(E1486&lt;=0,0,MAX(0,(B1486/E1486)*I1486/INDEX(Surface_Engine!$B$12:$B$72,$A1486+1)-F1486/INDEX(Surface_Engine!$B$12:$B$72,$A1486+1))),IF($A1486&lt;$Q$1455,MAX(0,-Assumptions!$B$22*(F1486/INDEX(Surface_Engine!$B$12:$B$72,$A1486+1))),0)))^2+(MAX(0,J1486/INDEX(Surface_Engine!$B$12:$B$72,$A1486+1)-(F1486/INDEX(Surface_Engine!$B$12:$B$72,$A1486+1))))^2+2*Assumptions!$B$26*(IF(C1486&lt;=0,0,MAX(0,(B1486/C1486)*G1486/INDEX(Surface_Engine!$B$12:$B$72,$A1486+1)-F1486/INDEX(Surface_Engine!$B$12:$B$72,$A1486+1))))*(MAX(IF(D1486&lt;=0,0,MAX(0,(B1486/D1486)*H1486/INDEX(Surface_Engine!$B$12:$B$72,$A1486+1)-F1486/INDEX(Surface_Engine!$B$12:$B$72,$A1486+1))),IF(E1486&lt;=0,0,MAX(0,(B1486/E1486)*I1486/INDEX(Surface_Engine!$B$12:$B$72,$A1486+1)-F1486/INDEX(Surface_Engine!$B$12:$B$72,$A1486+1))),IF($A1486&lt;$Q$1455,MAX(0,-Assumptions!$B$22*(F1486/INDEX(Surface_Engine!$B$12:$B$72,$A1486+1))),0)))+2*Assumptions!$B$27*(IF(C1486&lt;=0,0,MAX(0,(B1486/C1486)*G1486/INDEX(Surface_Engine!$B$12:$B$72,$A1486+1)-F1486/INDEX(Surface_Engine!$B$12:$B$72,$A1486+1))))*(MAX(0,J1486/INDEX(Surface_Engine!$B$12:$B$72,$A1486+1)-(F1486/INDEX(Surface_Engine!$B$12:$B$72,$A1486+1))))+2*Assumptions!$B$28*(MAX(IF(D1486&lt;=0,0,MAX(0,(B1486/D1486)*H1486/INDEX(Surface_Engine!$B$12:$B$72,$A1486+1)-F1486/INDEX(Surface_Engine!$B$12:$B$72,$A1486+1))),IF(E1486&lt;=0,0,MAX(0,(B1486/E1486)*I1486/INDEX(Surface_Engine!$B$12:$B$72,$A1486+1)-F1486/INDEX(Surface_Engine!$B$12:$B$72,$A1486+1))),IF($A1486&lt;$Q$1455,MAX(0,-Assumptions!$B$22*(F1486/INDEX(Surface_Engine!$B$12:$B$72,$A1486+1))),0)))*(MAX(0,J1486/INDEX(Surface_Engine!$B$12:$B$72,$A1486+1)-(F1486/INDEX(Surface_Engine!$B$12:$B$72,$A1486+1)))))</f>
        <v>584.094773798078</v>
      </c>
      <c r="L1486" s="48" t="n">
        <f aca="false">K1486*INDEX(Surface_Engine!$B$12:$B$72,$A1486+1)+L1487</f>
        <v>788.278979233097</v>
      </c>
      <c r="M1486" s="48" t="n">
        <f aca="false">M1485+B1485*(IF($A1485&lt;$Q$1455,(Surface_Engine!Q248*12)-(Surface_Engine!Q248*12)*INDEX(Surface_Engine!$F$12:$F$72,$A1485+1)-INDEX(Surface_Engine!$D$12:$D$72,$A1485+1),-(1000*12*INDEX(Surface_Engine!$C$12:$C$72,$A1485+1)/(1+Assumptions!$B$10)^18+INDEX(Surface_Engine!$D$12:$D$72,$A1485+1))))*INDEX(Surface_Engine!$B$12:$B$72,$A1485+1)</f>
        <v>1887.10074726348</v>
      </c>
      <c r="N1486" s="12" t="n">
        <f aca="false">IF(B1486&lt;=0,0,MAX(0,(K1486+Assumptions!$B$29*L1486/INDEX(Surface_Engine!$B$12:$B$72,$A1486+1)-(M1486/INDEX(Surface_Engine!$B$12:$B$72,$A1486+1)-(F1486/INDEX(Surface_Engine!$B$12:$B$72,$A1486+1))))/B1486))</f>
        <v>0</v>
      </c>
    </row>
    <row r="1487" customFormat="false" ht="15" hidden="false" customHeight="true" outlineLevel="0" collapsed="false">
      <c r="A1487" s="1" t="n">
        <v>30</v>
      </c>
      <c r="B1487" s="32" t="n">
        <f aca="false">INDEX(Surface_Engine!$S$12:$S$72,$A1487+1)*IF($A1487&lt;$Q$1455,INDEX(Surface_Engine!$E$12:$E$72,$A1487+1),INDEX(Surface_Engine!$E$12:$E$72,$Q$1455+1))</f>
        <v>0.0418438480148792</v>
      </c>
      <c r="C1487" s="32" t="n">
        <f aca="false">INDEX(Panel_Reserving!$G$8:$G$68,$A1487+1)*IF($A1487&lt;$Q$1455,INDEX(Surface_Engine!$E$12:$E$72,$A1487+1),INDEX(Surface_Engine!$E$12:$E$72,$Q$1455+1))</f>
        <v>0.0786024625688046</v>
      </c>
      <c r="D1487" s="32" t="n">
        <f aca="false">INDEX(Surface_Engine!$S$12:$S$72,$A1487+1)*IF($A1487&lt;$Q$1455,INDEX(Surface_Engine!$Y$12:$Y$72,$A1487+1),INDEX(Surface_Engine!$Y$12:$Y$72,$Q$1455+1))</f>
        <v>0.0373856898511959</v>
      </c>
      <c r="E1487" s="32" t="n">
        <f aca="false">INDEX(Surface_Engine!$S$12:$S$72,$A1487+1)*IF($A1487&lt;$Q$1455,INDEX(Surface_Engine!$Z$12:$Z$72,$A1487+1),INDEX(Surface_Engine!$Z$12:$Z$72,$Q$1455+1))</f>
        <v>0.0467877012567998</v>
      </c>
      <c r="F1487" s="48" t="n">
        <f aca="false">B1487*(IF($A1487&lt;$Q$1455,INDEX(Surface_Engine!$D$12:$D$72,$A1487+1)+(Surface_Engine!Q248*12)*INDEX(Surface_Engine!$F$12:$F$72,$A1487+1)-(Surface_Engine!Q248*12),1000*12*INDEX(Surface_Engine!$C$12:$C$72,$A1487+1)/(1+Assumptions!$B$10)^18+INDEX(Surface_Engine!$D$12:$D$72,$A1487+1)))*INDEX(Surface_Engine!$B$12:$B$72,$A1487+1)+F1488</f>
        <v>918.044615691329</v>
      </c>
      <c r="G1487" s="48" t="n">
        <f aca="false">C1487*(IF($A1487&lt;$Q$1455,INDEX(Surface_Engine!$D$12:$D$72,$A1487+1)+(Surface_Engine!Q248*12)*INDEX(Surface_Engine!$F$12:$F$72,$A1487+1)-(Surface_Engine!Q248*12),1000*12*INDEX(Surface_Engine!$C$12:$C$72,$A1487+1)/(1+Assumptions!$B$10)^18+INDEX(Surface_Engine!$D$12:$D$72,$A1487+1)))*INDEX(Surface_Engine!$B$12:$B$72,$A1487+1)+G1488</f>
        <v>2044.98800748074</v>
      </c>
      <c r="H1487" s="48" t="n">
        <f aca="false">D1487*(IF($A1487&lt;$Q$1455,INDEX(Surface_Engine!$D$12:$D$72,$A1487+1)+(Surface_Engine!Q248*12)*INDEX(Surface_Engine!$F$12:$F$72,$A1487+1)-(Surface_Engine!Q248*12),1000*12*INDEX(Surface_Engine!$C$12:$C$72,$A1487+1)/(1+Assumptions!$B$10)^18+INDEX(Surface_Engine!$D$12:$D$72,$A1487+1)))*INDEX(Surface_Engine!$B$12:$B$72,$A1487+1)+H1488</f>
        <v>820.233628121198</v>
      </c>
      <c r="I1487" s="48" t="n">
        <f aca="false">E1487*(IF($A1487&lt;$Q$1455,INDEX(Surface_Engine!$D$12:$D$72,$A1487+1)+(Surface_Engine!Q248*12)*INDEX(Surface_Engine!$F$12:$F$72,$A1487+1)-(Surface_Engine!Q248*12),1000*12*INDEX(Surface_Engine!$C$12:$C$72,$A1487+1)/(1+Assumptions!$B$10)^18+INDEX(Surface_Engine!$D$12:$D$72,$A1487+1)))*INDEX(Surface_Engine!$B$12:$B$72,$A1487+1)+I1488</f>
        <v>1026.51164405592</v>
      </c>
      <c r="J1487" s="48" t="n">
        <f aca="false">B1487*(IF($A1487&lt;$Q$1455,INDEX(Surface_Engine!$D$12:$D$72,$A1487+1)*(1+Assumptions!$B$24)+(Surface_Engine!Q248*12)*INDEX(Surface_Engine!$F$12:$F$72,$A1487+1)-(Surface_Engine!Q248*12),1000*12*INDEX(Surface_Engine!$C$12:$C$72,$A1487+1)/(1+Assumptions!$B$10)^18+INDEX(Surface_Engine!$D$12:$D$72,$A1487+1)*(1+Assumptions!$B$24)))*INDEX(Surface_Engine!$B$12:$B$72,$A1487+1)+J1488</f>
        <v>919.081818220698</v>
      </c>
      <c r="K1487" s="12" t="n">
        <f aca="false">SQRT((IF(C1487&lt;=0,0,MAX(0,(B1487/C1487)*G1487/INDEX(Surface_Engine!$B$12:$B$72,$A1487+1)-F1487/INDEX(Surface_Engine!$B$12:$B$72,$A1487+1))))^2+(MAX(IF(D1487&lt;=0,0,MAX(0,(B1487/D1487)*H1487/INDEX(Surface_Engine!$B$12:$B$72,$A1487+1)-F1487/INDEX(Surface_Engine!$B$12:$B$72,$A1487+1))),IF(E1487&lt;=0,0,MAX(0,(B1487/E1487)*I1487/INDEX(Surface_Engine!$B$12:$B$72,$A1487+1)-F1487/INDEX(Surface_Engine!$B$12:$B$72,$A1487+1))),IF($A1487&lt;$Q$1455,MAX(0,-Assumptions!$B$22*(F1487/INDEX(Surface_Engine!$B$12:$B$72,$A1487+1))),0)))^2+(MAX(0,J1487/INDEX(Surface_Engine!$B$12:$B$72,$A1487+1)-(F1487/INDEX(Surface_Engine!$B$12:$B$72,$A1487+1))))^2+2*Assumptions!$B$26*(IF(C1487&lt;=0,0,MAX(0,(B1487/C1487)*G1487/INDEX(Surface_Engine!$B$12:$B$72,$A1487+1)-F1487/INDEX(Surface_Engine!$B$12:$B$72,$A1487+1))))*(MAX(IF(D1487&lt;=0,0,MAX(0,(B1487/D1487)*H1487/INDEX(Surface_Engine!$B$12:$B$72,$A1487+1)-F1487/INDEX(Surface_Engine!$B$12:$B$72,$A1487+1))),IF(E1487&lt;=0,0,MAX(0,(B1487/E1487)*I1487/INDEX(Surface_Engine!$B$12:$B$72,$A1487+1)-F1487/INDEX(Surface_Engine!$B$12:$B$72,$A1487+1))),IF($A1487&lt;$Q$1455,MAX(0,-Assumptions!$B$22*(F1487/INDEX(Surface_Engine!$B$12:$B$72,$A1487+1))),0)))+2*Assumptions!$B$27*(IF(C1487&lt;=0,0,MAX(0,(B1487/C1487)*G1487/INDEX(Surface_Engine!$B$12:$B$72,$A1487+1)-F1487/INDEX(Surface_Engine!$B$12:$B$72,$A1487+1))))*(MAX(0,J1487/INDEX(Surface_Engine!$B$12:$B$72,$A1487+1)-(F1487/INDEX(Surface_Engine!$B$12:$B$72,$A1487+1))))+2*Assumptions!$B$28*(MAX(IF(D1487&lt;=0,0,MAX(0,(B1487/D1487)*H1487/INDEX(Surface_Engine!$B$12:$B$72,$A1487+1)-F1487/INDEX(Surface_Engine!$B$12:$B$72,$A1487+1))),IF(E1487&lt;=0,0,MAX(0,(B1487/E1487)*I1487/INDEX(Surface_Engine!$B$12:$B$72,$A1487+1)-F1487/INDEX(Surface_Engine!$B$12:$B$72,$A1487+1))),IF($A1487&lt;$Q$1455,MAX(0,-Assumptions!$B$22*(F1487/INDEX(Surface_Engine!$B$12:$B$72,$A1487+1))),0)))*(MAX(0,J1487/INDEX(Surface_Engine!$B$12:$B$72,$A1487+1)-(F1487/INDEX(Surface_Engine!$B$12:$B$72,$A1487+1)))))</f>
        <v>437.539787690618</v>
      </c>
      <c r="L1487" s="48" t="n">
        <f aca="false">K1487*INDEX(Surface_Engine!$B$12:$B$72,$A1487+1)+L1488</f>
        <v>552.790853765176</v>
      </c>
      <c r="M1487" s="48" t="n">
        <f aca="false">M1486+B1486*(IF($A1486&lt;$Q$1455,(Surface_Engine!Q248*12)-(Surface_Engine!Q248*12)*INDEX(Surface_Engine!$F$12:$F$72,$A1486+1)-INDEX(Surface_Engine!$D$12:$D$72,$A1486+1),-(1000*12*INDEX(Surface_Engine!$C$12:$C$72,$A1486+1)/(1+Assumptions!$B$10)^18+INDEX(Surface_Engine!$D$12:$D$72,$A1486+1))))*INDEX(Surface_Engine!$B$12:$B$72,$A1486+1)</f>
        <v>1557.11625464229</v>
      </c>
      <c r="N1487" s="12" t="n">
        <f aca="false">IF(B1487&lt;=0,0,MAX(0,(K1487+Assumptions!$B$29*L1487/INDEX(Surface_Engine!$B$12:$B$72,$A1487+1)-(M1487/INDEX(Surface_Engine!$B$12:$B$72,$A1487+1)-(F1487/INDEX(Surface_Engine!$B$12:$B$72,$A1487+1))))/B1487))</f>
        <v>0</v>
      </c>
    </row>
    <row r="1488" customFormat="false" ht="15" hidden="false" customHeight="true" outlineLevel="0" collapsed="false">
      <c r="A1488" s="1" t="n">
        <v>31</v>
      </c>
      <c r="B1488" s="32" t="n">
        <f aca="false">INDEX(Surface_Engine!$S$12:$S$72,$A1488+1)*IF($A1488&lt;$Q$1455,INDEX(Surface_Engine!$E$12:$E$72,$A1488+1),INDEX(Surface_Engine!$E$12:$E$72,$Q$1455+1))</f>
        <v>0.031767440280559</v>
      </c>
      <c r="C1488" s="32" t="n">
        <f aca="false">INDEX(Panel_Reserving!$G$8:$G$68,$A1488+1)*IF($A1488&lt;$Q$1455,INDEX(Surface_Engine!$E$12:$E$72,$A1488+1),INDEX(Surface_Engine!$E$12:$E$72,$Q$1455+1))</f>
        <v>0.0634598693449064</v>
      </c>
      <c r="D1488" s="32" t="n">
        <f aca="false">INDEX(Surface_Engine!$S$12:$S$72,$A1488+1)*IF($A1488&lt;$Q$1455,INDEX(Surface_Engine!$Y$12:$Y$72,$A1488+1),INDEX(Surface_Engine!$Y$12:$Y$72,$Q$1455+1))</f>
        <v>0.0283828501927704</v>
      </c>
      <c r="E1488" s="32" t="n">
        <f aca="false">INDEX(Surface_Engine!$S$12:$S$72,$A1488+1)*IF($A1488&lt;$Q$1455,INDEX(Surface_Engine!$Z$12:$Z$72,$A1488+1),INDEX(Surface_Engine!$Z$12:$Z$72,$Q$1455+1))</f>
        <v>0.0355207653228141</v>
      </c>
      <c r="F1488" s="48" t="n">
        <f aca="false">B1488*(IF($A1488&lt;$Q$1455,INDEX(Surface_Engine!$D$12:$D$72,$A1488+1)+(Surface_Engine!Q248*12)*INDEX(Surface_Engine!$F$12:$F$72,$A1488+1)-(Surface_Engine!Q248*12),1000*12*INDEX(Surface_Engine!$C$12:$C$72,$A1488+1)/(1+Assumptions!$B$10)^18+INDEX(Surface_Engine!$D$12:$D$72,$A1488+1)))*INDEX(Surface_Engine!$B$12:$B$72,$A1488+1)+F1489</f>
        <v>666.552193793727</v>
      </c>
      <c r="G1488" s="48" t="n">
        <f aca="false">C1488*(IF($A1488&lt;$Q$1455,INDEX(Surface_Engine!$D$12:$D$72,$A1488+1)+(Surface_Engine!Q248*12)*INDEX(Surface_Engine!$F$12:$F$72,$A1488+1)-(Surface_Engine!Q248*12),1000*12*INDEX(Surface_Engine!$C$12:$C$72,$A1488+1)/(1+Assumptions!$B$10)^18+INDEX(Surface_Engine!$D$12:$D$72,$A1488+1)))*INDEX(Surface_Engine!$B$12:$B$72,$A1488+1)+G1489</f>
        <v>1572.56674088224</v>
      </c>
      <c r="H1488" s="48" t="n">
        <f aca="false">D1488*(IF($A1488&lt;$Q$1455,INDEX(Surface_Engine!$D$12:$D$72,$A1488+1)+(Surface_Engine!Q248*12)*INDEX(Surface_Engine!$F$12:$F$72,$A1488+1)-(Surface_Engine!Q248*12),1000*12*INDEX(Surface_Engine!$C$12:$C$72,$A1488+1)/(1+Assumptions!$B$10)^18+INDEX(Surface_Engine!$D$12:$D$72,$A1488+1)))*INDEX(Surface_Engine!$B$12:$B$72,$A1488+1)+H1489</f>
        <v>595.535897605436</v>
      </c>
      <c r="I1488" s="48" t="n">
        <f aca="false">E1488*(IF($A1488&lt;$Q$1455,INDEX(Surface_Engine!$D$12:$D$72,$A1488+1)+(Surface_Engine!Q248*12)*INDEX(Surface_Engine!$F$12:$F$72,$A1488+1)-(Surface_Engine!Q248*12),1000*12*INDEX(Surface_Engine!$C$12:$C$72,$A1488+1)/(1+Assumptions!$B$10)^18+INDEX(Surface_Engine!$D$12:$D$72,$A1488+1)))*INDEX(Surface_Engine!$B$12:$B$72,$A1488+1)+I1489</f>
        <v>745.30537689067</v>
      </c>
      <c r="J1488" s="48" t="n">
        <f aca="false">B1488*(IF($A1488&lt;$Q$1455,INDEX(Surface_Engine!$D$12:$D$72,$A1488+1)*(1+Assumptions!$B$24)+(Surface_Engine!Q248*12)*INDEX(Surface_Engine!$F$12:$F$72,$A1488+1)-(Surface_Engine!Q248*12),1000*12*INDEX(Surface_Engine!$C$12:$C$72,$A1488+1)/(1+Assumptions!$B$10)^18+INDEX(Surface_Engine!$D$12:$D$72,$A1488+1)*(1+Assumptions!$B$24)))*INDEX(Surface_Engine!$B$12:$B$72,$A1488+1)+J1489</f>
        <v>667.308341758968</v>
      </c>
      <c r="K1488" s="12" t="n">
        <f aca="false">SQRT((IF(C1488&lt;=0,0,MAX(0,(B1488/C1488)*G1488/INDEX(Surface_Engine!$B$12:$B$72,$A1488+1)-F1488/INDEX(Surface_Engine!$B$12:$B$72,$A1488+1))))^2+(MAX(IF(D1488&lt;=0,0,MAX(0,(B1488/D1488)*H1488/INDEX(Surface_Engine!$B$12:$B$72,$A1488+1)-F1488/INDEX(Surface_Engine!$B$12:$B$72,$A1488+1))),IF(E1488&lt;=0,0,MAX(0,(B1488/E1488)*I1488/INDEX(Surface_Engine!$B$12:$B$72,$A1488+1)-F1488/INDEX(Surface_Engine!$B$12:$B$72,$A1488+1))),IF($A1488&lt;$Q$1455,MAX(0,-Assumptions!$B$22*(F1488/INDEX(Surface_Engine!$B$12:$B$72,$A1488+1))),0)))^2+(MAX(0,J1488/INDEX(Surface_Engine!$B$12:$B$72,$A1488+1)-(F1488/INDEX(Surface_Engine!$B$12:$B$72,$A1488+1))))^2+2*Assumptions!$B$26*(IF(C1488&lt;=0,0,MAX(0,(B1488/C1488)*G1488/INDEX(Surface_Engine!$B$12:$B$72,$A1488+1)-F1488/INDEX(Surface_Engine!$B$12:$B$72,$A1488+1))))*(MAX(IF(D1488&lt;=0,0,MAX(0,(B1488/D1488)*H1488/INDEX(Surface_Engine!$B$12:$B$72,$A1488+1)-F1488/INDEX(Surface_Engine!$B$12:$B$72,$A1488+1))),IF(E1488&lt;=0,0,MAX(0,(B1488/E1488)*I1488/INDEX(Surface_Engine!$B$12:$B$72,$A1488+1)-F1488/INDEX(Surface_Engine!$B$12:$B$72,$A1488+1))),IF($A1488&lt;$Q$1455,MAX(0,-Assumptions!$B$22*(F1488/INDEX(Surface_Engine!$B$12:$B$72,$A1488+1))),0)))+2*Assumptions!$B$27*(IF(C1488&lt;=0,0,MAX(0,(B1488/C1488)*G1488/INDEX(Surface_Engine!$B$12:$B$72,$A1488+1)-F1488/INDEX(Surface_Engine!$B$12:$B$72,$A1488+1))))*(MAX(0,J1488/INDEX(Surface_Engine!$B$12:$B$72,$A1488+1)-(F1488/INDEX(Surface_Engine!$B$12:$B$72,$A1488+1))))+2*Assumptions!$B$28*(MAX(IF(D1488&lt;=0,0,MAX(0,(B1488/D1488)*H1488/INDEX(Surface_Engine!$B$12:$B$72,$A1488+1)-F1488/INDEX(Surface_Engine!$B$12:$B$72,$A1488+1))),IF(E1488&lt;=0,0,MAX(0,(B1488/E1488)*I1488/INDEX(Surface_Engine!$B$12:$B$72,$A1488+1)-F1488/INDEX(Surface_Engine!$B$12:$B$72,$A1488+1))),IF($A1488&lt;$Q$1455,MAX(0,-Assumptions!$B$22*(F1488/INDEX(Surface_Engine!$B$12:$B$72,$A1488+1))),0)))*(MAX(0,J1488/INDEX(Surface_Engine!$B$12:$B$72,$A1488+1)-(F1488/INDEX(Surface_Engine!$B$12:$B$72,$A1488+1)))))</f>
        <v>319.423516301804</v>
      </c>
      <c r="L1488" s="48" t="n">
        <f aca="false">K1488*INDEX(Surface_Engine!$B$12:$B$72,$A1488+1)+L1489</f>
        <v>381.92835084706</v>
      </c>
      <c r="M1488" s="48" t="n">
        <f aca="false">M1487+B1487*(IF($A1487&lt;$Q$1455,(Surface_Engine!Q248*12)-(Surface_Engine!Q248*12)*INDEX(Surface_Engine!$F$12:$F$72,$A1487+1)-INDEX(Surface_Engine!$D$12:$D$72,$A1487+1),-(1000*12*INDEX(Surface_Engine!$C$12:$C$72,$A1487+1)/(1+Assumptions!$B$10)^18+INDEX(Surface_Engine!$D$12:$D$72,$A1487+1))))*INDEX(Surface_Engine!$B$12:$B$72,$A1487+1)</f>
        <v>1305.62383274469</v>
      </c>
      <c r="N1488" s="12" t="n">
        <f aca="false">IF(B1488&lt;=0,0,MAX(0,(K1488+Assumptions!$B$29*L1488/INDEX(Surface_Engine!$B$12:$B$72,$A1488+1)-(M1488/INDEX(Surface_Engine!$B$12:$B$72,$A1488+1)-(F1488/INDEX(Surface_Engine!$B$12:$B$72,$A1488+1))))/B1488))</f>
        <v>0</v>
      </c>
    </row>
    <row r="1489" customFormat="false" ht="15" hidden="false" customHeight="true" outlineLevel="0" collapsed="false">
      <c r="A1489" s="1" t="n">
        <v>32</v>
      </c>
      <c r="B1489" s="32" t="n">
        <f aca="false">INDEX(Surface_Engine!$S$12:$S$72,$A1489+1)*IF($A1489&lt;$Q$1455,INDEX(Surface_Engine!$E$12:$E$72,$A1489+1),INDEX(Surface_Engine!$E$12:$E$72,$Q$1455+1))</f>
        <v>0.0236733494529328</v>
      </c>
      <c r="C1489" s="32" t="n">
        <f aca="false">INDEX(Panel_Reserving!$G$8:$G$68,$A1489+1)*IF($A1489&lt;$Q$1455,INDEX(Surface_Engine!$E$12:$E$72,$A1489+1),INDEX(Surface_Engine!$E$12:$E$72,$Q$1455+1))</f>
        <v>0.0505246138291813</v>
      </c>
      <c r="D1489" s="32" t="n">
        <f aca="false">INDEX(Surface_Engine!$S$12:$S$72,$A1489+1)*IF($A1489&lt;$Q$1455,INDEX(Surface_Engine!$Y$12:$Y$72,$A1489+1),INDEX(Surface_Engine!$Y$12:$Y$72,$Q$1455+1))</f>
        <v>0.0211511259689026</v>
      </c>
      <c r="E1489" s="32" t="n">
        <f aca="false">INDEX(Surface_Engine!$S$12:$S$72,$A1489+1)*IF($A1489&lt;$Q$1455,INDEX(Surface_Engine!$Z$12:$Z$72,$A1489+1),INDEX(Surface_Engine!$Z$12:$Z$72,$Q$1455+1))</f>
        <v>0.0264703571611719</v>
      </c>
      <c r="F1489" s="48" t="n">
        <f aca="false">B1489*(IF($A1489&lt;$Q$1455,INDEX(Surface_Engine!$D$12:$D$72,$A1489+1)+(Surface_Engine!Q248*12)*INDEX(Surface_Engine!$F$12:$F$72,$A1489+1)-(Surface_Engine!Q248*12),1000*12*INDEX(Surface_Engine!$C$12:$C$72,$A1489+1)/(1+Assumptions!$B$10)^18+INDEX(Surface_Engine!$D$12:$D$72,$A1489+1)))*INDEX(Surface_Engine!$B$12:$B$72,$A1489+1)+F1490</f>
        <v>477.858825914442</v>
      </c>
      <c r="G1489" s="48" t="n">
        <f aca="false">C1489*(IF($A1489&lt;$Q$1455,INDEX(Surface_Engine!$D$12:$D$72,$A1489+1)+(Surface_Engine!Q248*12)*INDEX(Surface_Engine!$F$12:$F$72,$A1489+1)-(Surface_Engine!Q248*12),1000*12*INDEX(Surface_Engine!$C$12:$C$72,$A1489+1)/(1+Assumptions!$B$10)^18+INDEX(Surface_Engine!$D$12:$D$72,$A1489+1)))*INDEX(Surface_Engine!$B$12:$B$72,$A1489+1)+G1490</f>
        <v>1195.62555940474</v>
      </c>
      <c r="H1489" s="48" t="n">
        <f aca="false">D1489*(IF($A1489&lt;$Q$1455,INDEX(Surface_Engine!$D$12:$D$72,$A1489+1)+(Surface_Engine!Q248*12)*INDEX(Surface_Engine!$F$12:$F$72,$A1489+1)-(Surface_Engine!Q248*12),1000*12*INDEX(Surface_Engine!$C$12:$C$72,$A1489+1)/(1+Assumptions!$B$10)^18+INDEX(Surface_Engine!$D$12:$D$72,$A1489+1)))*INDEX(Surface_Engine!$B$12:$B$72,$A1489+1)+H1490</f>
        <v>426.946437907464</v>
      </c>
      <c r="I1489" s="48" t="n">
        <f aca="false">E1489*(IF($A1489&lt;$Q$1455,INDEX(Surface_Engine!$D$12:$D$72,$A1489+1)+(Surface_Engine!Q248*12)*INDEX(Surface_Engine!$F$12:$F$72,$A1489+1)-(Surface_Engine!Q248*12),1000*12*INDEX(Surface_Engine!$C$12:$C$72,$A1489+1)/(1+Assumptions!$B$10)^18+INDEX(Surface_Engine!$D$12:$D$72,$A1489+1)))*INDEX(Surface_Engine!$B$12:$B$72,$A1489+1)+I1490</f>
        <v>534.317875876517</v>
      </c>
      <c r="J1489" s="48" t="n">
        <f aca="false">B1489*(IF($A1489&lt;$Q$1455,INDEX(Surface_Engine!$D$12:$D$72,$A1489+1)*(1+Assumptions!$B$24)+(Surface_Engine!Q248*12)*INDEX(Surface_Engine!$F$12:$F$72,$A1489+1)-(Surface_Engine!Q248*12),1000*12*INDEX(Surface_Engine!$C$12:$C$72,$A1489+1)/(1+Assumptions!$B$10)^18+INDEX(Surface_Engine!$D$12:$D$72,$A1489+1)*(1+Assumptions!$B$24)))*INDEX(Surface_Engine!$B$12:$B$72,$A1489+1)+J1490</f>
        <v>478.403078114123</v>
      </c>
      <c r="K1489" s="12" t="n">
        <f aca="false">SQRT((IF(C1489&lt;=0,0,MAX(0,(B1489/C1489)*G1489/INDEX(Surface_Engine!$B$12:$B$72,$A1489+1)-F1489/INDEX(Surface_Engine!$B$12:$B$72,$A1489+1))))^2+(MAX(IF(D1489&lt;=0,0,MAX(0,(B1489/D1489)*H1489/INDEX(Surface_Engine!$B$12:$B$72,$A1489+1)-F1489/INDEX(Surface_Engine!$B$12:$B$72,$A1489+1))),IF(E1489&lt;=0,0,MAX(0,(B1489/E1489)*I1489/INDEX(Surface_Engine!$B$12:$B$72,$A1489+1)-F1489/INDEX(Surface_Engine!$B$12:$B$72,$A1489+1))),IF($A1489&lt;$Q$1455,MAX(0,-Assumptions!$B$22*(F1489/INDEX(Surface_Engine!$B$12:$B$72,$A1489+1))),0)))^2+(MAX(0,J1489/INDEX(Surface_Engine!$B$12:$B$72,$A1489+1)-(F1489/INDEX(Surface_Engine!$B$12:$B$72,$A1489+1))))^2+2*Assumptions!$B$26*(IF(C1489&lt;=0,0,MAX(0,(B1489/C1489)*G1489/INDEX(Surface_Engine!$B$12:$B$72,$A1489+1)-F1489/INDEX(Surface_Engine!$B$12:$B$72,$A1489+1))))*(MAX(IF(D1489&lt;=0,0,MAX(0,(B1489/D1489)*H1489/INDEX(Surface_Engine!$B$12:$B$72,$A1489+1)-F1489/INDEX(Surface_Engine!$B$12:$B$72,$A1489+1))),IF(E1489&lt;=0,0,MAX(0,(B1489/E1489)*I1489/INDEX(Surface_Engine!$B$12:$B$72,$A1489+1)-F1489/INDEX(Surface_Engine!$B$12:$B$72,$A1489+1))),IF($A1489&lt;$Q$1455,MAX(0,-Assumptions!$B$22*(F1489/INDEX(Surface_Engine!$B$12:$B$72,$A1489+1))),0)))+2*Assumptions!$B$27*(IF(C1489&lt;=0,0,MAX(0,(B1489/C1489)*G1489/INDEX(Surface_Engine!$B$12:$B$72,$A1489+1)-F1489/INDEX(Surface_Engine!$B$12:$B$72,$A1489+1))))*(MAX(0,J1489/INDEX(Surface_Engine!$B$12:$B$72,$A1489+1)-(F1489/INDEX(Surface_Engine!$B$12:$B$72,$A1489+1))))+2*Assumptions!$B$28*(MAX(IF(D1489&lt;=0,0,MAX(0,(B1489/D1489)*H1489/INDEX(Surface_Engine!$B$12:$B$72,$A1489+1)-F1489/INDEX(Surface_Engine!$B$12:$B$72,$A1489+1))),IF(E1489&lt;=0,0,MAX(0,(B1489/E1489)*I1489/INDEX(Surface_Engine!$B$12:$B$72,$A1489+1)-F1489/INDEX(Surface_Engine!$B$12:$B$72,$A1489+1))),IF($A1489&lt;$Q$1455,MAX(0,-Assumptions!$B$22*(F1489/INDEX(Surface_Engine!$B$12:$B$72,$A1489+1))),0)))*(MAX(0,J1489/INDEX(Surface_Engine!$B$12:$B$72,$A1489+1)-(F1489/INDEX(Surface_Engine!$B$12:$B$72,$A1489+1)))))</f>
        <v>225.113862636866</v>
      </c>
      <c r="L1489" s="48" t="n">
        <f aca="false">K1489*INDEX(Surface_Engine!$B$12:$B$72,$A1489+1)+L1490</f>
        <v>261.07651209838</v>
      </c>
      <c r="M1489" s="48" t="n">
        <f aca="false">M1488+B1488*(IF($A1488&lt;$Q$1455,(Surface_Engine!Q248*12)-(Surface_Engine!Q248*12)*INDEX(Surface_Engine!$F$12:$F$72,$A1488+1)-INDEX(Surface_Engine!$D$12:$D$72,$A1488+1),-(1000*12*INDEX(Surface_Engine!$C$12:$C$72,$A1488+1)/(1+Assumptions!$B$10)^18+INDEX(Surface_Engine!$D$12:$D$72,$A1488+1))))*INDEX(Surface_Engine!$B$12:$B$72,$A1488+1)</f>
        <v>1116.9304648654</v>
      </c>
      <c r="N1489" s="12" t="n">
        <f aca="false">IF(B1489&lt;=0,0,MAX(0,(K1489+Assumptions!$B$29*L1489/INDEX(Surface_Engine!$B$12:$B$72,$A1489+1)-(M1489/INDEX(Surface_Engine!$B$12:$B$72,$A1489+1)-(F1489/INDEX(Surface_Engine!$B$12:$B$72,$A1489+1))))/B1489))</f>
        <v>0</v>
      </c>
    </row>
    <row r="1490" customFormat="false" ht="15" hidden="false" customHeight="true" outlineLevel="0" collapsed="false">
      <c r="A1490" s="1" t="n">
        <v>33</v>
      </c>
      <c r="B1490" s="32" t="n">
        <f aca="false">INDEX(Surface_Engine!$S$12:$S$72,$A1490+1)*IF($A1490&lt;$Q$1455,INDEX(Surface_Engine!$E$12:$E$72,$A1490+1),INDEX(Surface_Engine!$E$12:$E$72,$Q$1455+1))</f>
        <v>0.0178985730969035</v>
      </c>
      <c r="C1490" s="32" t="n">
        <f aca="false">INDEX(Panel_Reserving!$G$8:$G$68,$A1490+1)*IF($A1490&lt;$Q$1455,INDEX(Surface_Engine!$E$12:$E$72,$A1490+1),INDEX(Surface_Engine!$E$12:$E$72,$Q$1455+1))</f>
        <v>0.0406648060003531</v>
      </c>
      <c r="D1490" s="32" t="n">
        <f aca="false">INDEX(Surface_Engine!$S$12:$S$72,$A1490+1)*IF($A1490&lt;$Q$1455,INDEX(Surface_Engine!$Y$12:$Y$72,$A1490+1),INDEX(Surface_Engine!$Y$12:$Y$72,$Q$1455+1))</f>
        <v>0.0159916101010082</v>
      </c>
      <c r="E1490" s="32" t="n">
        <f aca="false">INDEX(Surface_Engine!$S$12:$S$72,$A1490+1)*IF($A1490&lt;$Q$1455,INDEX(Surface_Engine!$Z$12:$Z$72,$A1490+1),INDEX(Surface_Engine!$Z$12:$Z$72,$Q$1455+1))</f>
        <v>0.0200132906200007</v>
      </c>
      <c r="F1490" s="48" t="n">
        <f aca="false">B1490*(IF($A1490&lt;$Q$1455,INDEX(Surface_Engine!$D$12:$D$72,$A1490+1)+(Surface_Engine!Q248*12)*INDEX(Surface_Engine!$F$12:$F$72,$A1490+1)-(Surface_Engine!Q248*12),1000*12*INDEX(Surface_Engine!$C$12:$C$72,$A1490+1)/(1+Assumptions!$B$10)^18+INDEX(Surface_Engine!$D$12:$D$72,$A1490+1)))*INDEX(Surface_Engine!$B$12:$B$72,$A1490+1)+F1491</f>
        <v>338.936429698507</v>
      </c>
      <c r="G1490" s="48" t="n">
        <f aca="false">C1490*(IF($A1490&lt;$Q$1455,INDEX(Surface_Engine!$D$12:$D$72,$A1490+1)+(Surface_Engine!Q248*12)*INDEX(Surface_Engine!$F$12:$F$72,$A1490+1)-(Surface_Engine!Q248*12),1000*12*INDEX(Surface_Engine!$C$12:$C$72,$A1490+1)/(1+Assumptions!$B$10)^18+INDEX(Surface_Engine!$D$12:$D$72,$A1490+1)))*INDEX(Surface_Engine!$B$12:$B$72,$A1490+1)+G1491</f>
        <v>899.131798140002</v>
      </c>
      <c r="H1490" s="48" t="n">
        <f aca="false">D1490*(IF($A1490&lt;$Q$1455,INDEX(Surface_Engine!$D$12:$D$72,$A1490+1)+(Surface_Engine!Q248*12)*INDEX(Surface_Engine!$F$12:$F$72,$A1490+1)-(Surface_Engine!Q248*12),1000*12*INDEX(Surface_Engine!$C$12:$C$72,$A1490+1)/(1+Assumptions!$B$10)^18+INDEX(Surface_Engine!$D$12:$D$72,$A1490+1)))*INDEX(Surface_Engine!$B$12:$B$72,$A1490+1)+H1491</f>
        <v>302.825214245933</v>
      </c>
      <c r="I1490" s="48" t="n">
        <f aca="false">E1490*(IF($A1490&lt;$Q$1455,INDEX(Surface_Engine!$D$12:$D$72,$A1490+1)+(Surface_Engine!Q248*12)*INDEX(Surface_Engine!$F$12:$F$72,$A1490+1)-(Surface_Engine!Q248*12),1000*12*INDEX(Surface_Engine!$C$12:$C$72,$A1490+1)/(1+Assumptions!$B$10)^18+INDEX(Surface_Engine!$D$12:$D$72,$A1490+1)))*INDEX(Surface_Engine!$B$12:$B$72,$A1490+1)+I1491</f>
        <v>378.981789919062</v>
      </c>
      <c r="J1490" s="48" t="n">
        <f aca="false">B1490*(IF($A1490&lt;$Q$1455,INDEX(Surface_Engine!$D$12:$D$72,$A1490+1)*(1+Assumptions!$B$24)+(Surface_Engine!Q248*12)*INDEX(Surface_Engine!$F$12:$F$72,$A1490+1)-(Surface_Engine!Q248*12),1000*12*INDEX(Surface_Engine!$C$12:$C$72,$A1490+1)/(1+Assumptions!$B$10)^18+INDEX(Surface_Engine!$D$12:$D$72,$A1490+1)*(1+Assumptions!$B$24)))*INDEX(Surface_Engine!$B$12:$B$72,$A1490+1)+J1491</f>
        <v>339.323921017295</v>
      </c>
      <c r="K1490" s="12" t="n">
        <f aca="false">SQRT((IF(C1490&lt;=0,0,MAX(0,(B1490/C1490)*G1490/INDEX(Surface_Engine!$B$12:$B$72,$A1490+1)-F1490/INDEX(Surface_Engine!$B$12:$B$72,$A1490+1))))^2+(MAX(IF(D1490&lt;=0,0,MAX(0,(B1490/D1490)*H1490/INDEX(Surface_Engine!$B$12:$B$72,$A1490+1)-F1490/INDEX(Surface_Engine!$B$12:$B$72,$A1490+1))),IF(E1490&lt;=0,0,MAX(0,(B1490/E1490)*I1490/INDEX(Surface_Engine!$B$12:$B$72,$A1490+1)-F1490/INDEX(Surface_Engine!$B$12:$B$72,$A1490+1))),IF($A1490&lt;$Q$1455,MAX(0,-Assumptions!$B$22*(F1490/INDEX(Surface_Engine!$B$12:$B$72,$A1490+1))),0)))^2+(MAX(0,J1490/INDEX(Surface_Engine!$B$12:$B$72,$A1490+1)-(F1490/INDEX(Surface_Engine!$B$12:$B$72,$A1490+1))))^2+2*Assumptions!$B$26*(IF(C1490&lt;=0,0,MAX(0,(B1490/C1490)*G1490/INDEX(Surface_Engine!$B$12:$B$72,$A1490+1)-F1490/INDEX(Surface_Engine!$B$12:$B$72,$A1490+1))))*(MAX(IF(D1490&lt;=0,0,MAX(0,(B1490/D1490)*H1490/INDEX(Surface_Engine!$B$12:$B$72,$A1490+1)-F1490/INDEX(Surface_Engine!$B$12:$B$72,$A1490+1))),IF(E1490&lt;=0,0,MAX(0,(B1490/E1490)*I1490/INDEX(Surface_Engine!$B$12:$B$72,$A1490+1)-F1490/INDEX(Surface_Engine!$B$12:$B$72,$A1490+1))),IF($A1490&lt;$Q$1455,MAX(0,-Assumptions!$B$22*(F1490/INDEX(Surface_Engine!$B$12:$B$72,$A1490+1))),0)))+2*Assumptions!$B$27*(IF(C1490&lt;=0,0,MAX(0,(B1490/C1490)*G1490/INDEX(Surface_Engine!$B$12:$B$72,$A1490+1)-F1490/INDEX(Surface_Engine!$B$12:$B$72,$A1490+1))))*(MAX(0,J1490/INDEX(Surface_Engine!$B$12:$B$72,$A1490+1)-(F1490/INDEX(Surface_Engine!$B$12:$B$72,$A1490+1))))+2*Assumptions!$B$28*(MAX(IF(D1490&lt;=0,0,MAX(0,(B1490/D1490)*H1490/INDEX(Surface_Engine!$B$12:$B$72,$A1490+1)-F1490/INDEX(Surface_Engine!$B$12:$B$72,$A1490+1))),IF(E1490&lt;=0,0,MAX(0,(B1490/E1490)*I1490/INDEX(Surface_Engine!$B$12:$B$72,$A1490+1)-F1490/INDEX(Surface_Engine!$B$12:$B$72,$A1490+1))),IF($A1490&lt;$Q$1455,MAX(0,-Assumptions!$B$22*(F1490/INDEX(Surface_Engine!$B$12:$B$72,$A1490+1))),0)))*(MAX(0,J1490/INDEX(Surface_Engine!$B$12:$B$72,$A1490+1)-(F1490/INDEX(Surface_Engine!$B$12:$B$72,$A1490+1)))))</f>
        <v>160.368326537905</v>
      </c>
      <c r="L1490" s="48" t="n">
        <f aca="false">K1490*INDEX(Surface_Engine!$B$12:$B$72,$A1490+1)+L1491</f>
        <v>178.586250418504</v>
      </c>
      <c r="M1490" s="48" t="n">
        <f aca="false">M1489+B1489*(IF($A1489&lt;$Q$1455,(Surface_Engine!Q248*12)-(Surface_Engine!Q248*12)*INDEX(Surface_Engine!$F$12:$F$72,$A1489+1)-INDEX(Surface_Engine!$D$12:$D$72,$A1489+1),-(1000*12*INDEX(Surface_Engine!$C$12:$C$72,$A1489+1)/(1+Assumptions!$B$10)^18+INDEX(Surface_Engine!$D$12:$D$72,$A1489+1))))*INDEX(Surface_Engine!$B$12:$B$72,$A1489+1)</f>
        <v>978.008068649469</v>
      </c>
      <c r="N1490" s="12" t="n">
        <f aca="false">IF(B1490&lt;=0,0,MAX(0,(K1490+Assumptions!$B$29*L1490/INDEX(Surface_Engine!$B$12:$B$72,$A1490+1)-(M1490/INDEX(Surface_Engine!$B$12:$B$72,$A1490+1)-(F1490/INDEX(Surface_Engine!$B$12:$B$72,$A1490+1))))/B1490))</f>
        <v>0</v>
      </c>
    </row>
    <row r="1491" customFormat="false" ht="15" hidden="false" customHeight="true" outlineLevel="0" collapsed="false">
      <c r="A1491" s="1" t="n">
        <v>34</v>
      </c>
      <c r="B1491" s="32" t="n">
        <f aca="false">INDEX(Surface_Engine!$S$12:$S$72,$A1491+1)*IF($A1491&lt;$Q$1455,INDEX(Surface_Engine!$E$12:$E$72,$A1491+1),INDEX(Surface_Engine!$E$12:$E$72,$Q$1455+1))</f>
        <v>0.0156681323158484</v>
      </c>
      <c r="C1491" s="32" t="n">
        <f aca="false">INDEX(Panel_Reserving!$G$8:$G$68,$A1491+1)*IF($A1491&lt;$Q$1455,INDEX(Surface_Engine!$E$12:$E$72,$A1491+1),INDEX(Surface_Engine!$E$12:$E$72,$Q$1455+1))</f>
        <v>0.0366108318129884</v>
      </c>
      <c r="D1491" s="32" t="n">
        <f aca="false">INDEX(Surface_Engine!$S$12:$S$72,$A1491+1)*IF($A1491&lt;$Q$1455,INDEX(Surface_Engine!$Y$12:$Y$72,$A1491+1),INDEX(Surface_Engine!$Y$12:$Y$72,$Q$1455+1))</f>
        <v>0.0139988065891913</v>
      </c>
      <c r="E1491" s="32" t="n">
        <f aca="false">INDEX(Surface_Engine!$S$12:$S$72,$A1491+1)*IF($A1491&lt;$Q$1455,INDEX(Surface_Engine!$Z$12:$Z$72,$A1491+1),INDEX(Surface_Engine!$Z$12:$Z$72,$Q$1455+1))</f>
        <v>0.0175193231221291</v>
      </c>
      <c r="F1491" s="48" t="n">
        <f aca="false">B1491*(IF($A1491&lt;$Q$1455,INDEX(Surface_Engine!$D$12:$D$72,$A1491+1)+(Surface_Engine!Q248*12)*INDEX(Surface_Engine!$F$12:$F$72,$A1491+1)-(Surface_Engine!Q248*12),1000*12*INDEX(Surface_Engine!$C$12:$C$72,$A1491+1)/(1+Assumptions!$B$10)^18+INDEX(Surface_Engine!$D$12:$D$72,$A1491+1)))*INDEX(Surface_Engine!$B$12:$B$72,$A1491+1)+F1492</f>
        <v>235.171070183855</v>
      </c>
      <c r="G1491" s="48" t="n">
        <f aca="false">C1491*(IF($A1491&lt;$Q$1455,INDEX(Surface_Engine!$D$12:$D$72,$A1491+1)+(Surface_Engine!Q248*12)*INDEX(Surface_Engine!$F$12:$F$72,$A1491+1)-(Surface_Engine!Q248*12),1000*12*INDEX(Surface_Engine!$C$12:$C$72,$A1491+1)/(1+Assumptions!$B$10)^18+INDEX(Surface_Engine!$D$12:$D$72,$A1491+1)))*INDEX(Surface_Engine!$B$12:$B$72,$A1491+1)+G1492</f>
        <v>663.381261414244</v>
      </c>
      <c r="H1491" s="48" t="n">
        <f aca="false">D1491*(IF($A1491&lt;$Q$1455,INDEX(Surface_Engine!$D$12:$D$72,$A1491+1)+(Surface_Engine!Q248*12)*INDEX(Surface_Engine!$F$12:$F$72,$A1491+1)-(Surface_Engine!Q248*12),1000*12*INDEX(Surface_Engine!$C$12:$C$72,$A1491+1)/(1+Assumptions!$B$10)^18+INDEX(Surface_Engine!$D$12:$D$72,$A1491+1)))*INDEX(Surface_Engine!$B$12:$B$72,$A1491+1)+H1492</f>
        <v>210.115300312273</v>
      </c>
      <c r="I1491" s="48" t="n">
        <f aca="false">E1491*(IF($A1491&lt;$Q$1455,INDEX(Surface_Engine!$D$12:$D$72,$A1491+1)+(Surface_Engine!Q248*12)*INDEX(Surface_Engine!$F$12:$F$72,$A1491+1)-(Surface_Engine!Q248*12),1000*12*INDEX(Surface_Engine!$C$12:$C$72,$A1491+1)/(1+Assumptions!$B$10)^18+INDEX(Surface_Engine!$D$12:$D$72,$A1491+1)))*INDEX(Surface_Engine!$B$12:$B$72,$A1491+1)+I1492</f>
        <v>262.956546732785</v>
      </c>
      <c r="J1491" s="48" t="n">
        <f aca="false">B1491*(IF($A1491&lt;$Q$1455,INDEX(Surface_Engine!$D$12:$D$72,$A1491+1)*(1+Assumptions!$B$24)+(Surface_Engine!Q248*12)*INDEX(Surface_Engine!$F$12:$F$72,$A1491+1)-(Surface_Engine!Q248*12),1000*12*INDEX(Surface_Engine!$C$12:$C$72,$A1491+1)/(1+Assumptions!$B$10)^18+INDEX(Surface_Engine!$D$12:$D$72,$A1491+1)*(1+Assumptions!$B$24)))*INDEX(Surface_Engine!$B$12:$B$72,$A1491+1)+J1492</f>
        <v>235.440904576928</v>
      </c>
      <c r="K1491" s="12" t="n">
        <f aca="false">SQRT((IF(C1491&lt;=0,0,MAX(0,(B1491/C1491)*G1491/INDEX(Surface_Engine!$B$12:$B$72,$A1491+1)-F1491/INDEX(Surface_Engine!$B$12:$B$72,$A1491+1))))^2+(MAX(IF(D1491&lt;=0,0,MAX(0,(B1491/D1491)*H1491/INDEX(Surface_Engine!$B$12:$B$72,$A1491+1)-F1491/INDEX(Surface_Engine!$B$12:$B$72,$A1491+1))),IF(E1491&lt;=0,0,MAX(0,(B1491/E1491)*I1491/INDEX(Surface_Engine!$B$12:$B$72,$A1491+1)-F1491/INDEX(Surface_Engine!$B$12:$B$72,$A1491+1))),IF($A1491&lt;$Q$1455,MAX(0,-Assumptions!$B$22*(F1491/INDEX(Surface_Engine!$B$12:$B$72,$A1491+1))),0)))^2+(MAX(0,J1491/INDEX(Surface_Engine!$B$12:$B$72,$A1491+1)-(F1491/INDEX(Surface_Engine!$B$12:$B$72,$A1491+1))))^2+2*Assumptions!$B$26*(IF(C1491&lt;=0,0,MAX(0,(B1491/C1491)*G1491/INDEX(Surface_Engine!$B$12:$B$72,$A1491+1)-F1491/INDEX(Surface_Engine!$B$12:$B$72,$A1491+1))))*(MAX(IF(D1491&lt;=0,0,MAX(0,(B1491/D1491)*H1491/INDEX(Surface_Engine!$B$12:$B$72,$A1491+1)-F1491/INDEX(Surface_Engine!$B$12:$B$72,$A1491+1))),IF(E1491&lt;=0,0,MAX(0,(B1491/E1491)*I1491/INDEX(Surface_Engine!$B$12:$B$72,$A1491+1)-F1491/INDEX(Surface_Engine!$B$12:$B$72,$A1491+1))),IF($A1491&lt;$Q$1455,MAX(0,-Assumptions!$B$22*(F1491/INDEX(Surface_Engine!$B$12:$B$72,$A1491+1))),0)))+2*Assumptions!$B$27*(IF(C1491&lt;=0,0,MAX(0,(B1491/C1491)*G1491/INDEX(Surface_Engine!$B$12:$B$72,$A1491+1)-F1491/INDEX(Surface_Engine!$B$12:$B$72,$A1491+1))))*(MAX(0,J1491/INDEX(Surface_Engine!$B$12:$B$72,$A1491+1)-(F1491/INDEX(Surface_Engine!$B$12:$B$72,$A1491+1))))+2*Assumptions!$B$28*(MAX(IF(D1491&lt;=0,0,MAX(0,(B1491/D1491)*H1491/INDEX(Surface_Engine!$B$12:$B$72,$A1491+1)-F1491/INDEX(Surface_Engine!$B$12:$B$72,$A1491+1))),IF(E1491&lt;=0,0,MAX(0,(B1491/E1491)*I1491/INDEX(Surface_Engine!$B$12:$B$72,$A1491+1)-F1491/INDEX(Surface_Engine!$B$12:$B$72,$A1491+1))),IF($A1491&lt;$Q$1455,MAX(0,-Assumptions!$B$22*(F1491/INDEX(Surface_Engine!$B$12:$B$72,$A1491+1))),0)))*(MAX(0,J1491/INDEX(Surface_Engine!$B$12:$B$72,$A1491+1)-(F1491/INDEX(Surface_Engine!$B$12:$B$72,$A1491+1)))))</f>
        <v>141.986639059147</v>
      </c>
      <c r="L1491" s="48" t="n">
        <f aca="false">K1491*INDEX(Surface_Engine!$B$12:$B$72,$A1491+1)+L1492</f>
        <v>121.672622050228</v>
      </c>
      <c r="M1491" s="48" t="n">
        <f aca="false">M1490+B1490*(IF($A1490&lt;$Q$1455,(Surface_Engine!Q248*12)-(Surface_Engine!Q248*12)*INDEX(Surface_Engine!$F$12:$F$72,$A1490+1)-INDEX(Surface_Engine!$D$12:$D$72,$A1490+1),-(1000*12*INDEX(Surface_Engine!$C$12:$C$72,$A1490+1)/(1+Assumptions!$B$10)^18+INDEX(Surface_Engine!$D$12:$D$72,$A1490+1))))*INDEX(Surface_Engine!$B$12:$B$72,$A1490+1)</f>
        <v>874.242709134817</v>
      </c>
      <c r="N1491" s="12" t="n">
        <f aca="false">IF(B1491&lt;=0,0,MAX(0,(K1491+Assumptions!$B$29*L1491/INDEX(Surface_Engine!$B$12:$B$72,$A1491+1)-(M1491/INDEX(Surface_Engine!$B$12:$B$72,$A1491+1)-(F1491/INDEX(Surface_Engine!$B$12:$B$72,$A1491+1))))/B1491))</f>
        <v>0</v>
      </c>
    </row>
    <row r="1492" customFormat="false" ht="15" hidden="false" customHeight="true" outlineLevel="0" collapsed="false">
      <c r="A1492" s="1" t="n">
        <v>35</v>
      </c>
      <c r="B1492" s="32" t="n">
        <f aca="false">INDEX(Surface_Engine!$S$12:$S$72,$A1492+1)*IF($A1492&lt;$Q$1455,INDEX(Surface_Engine!$E$12:$E$72,$A1492+1),INDEX(Surface_Engine!$E$12:$E$72,$Q$1455+1))</f>
        <v>0.0103453993083821</v>
      </c>
      <c r="C1492" s="32" t="n">
        <f aca="false">INDEX(Panel_Reserving!$G$8:$G$68,$A1492+1)*IF($A1492&lt;$Q$1455,INDEX(Surface_Engine!$E$12:$E$72,$A1492+1),INDEX(Surface_Engine!$E$12:$E$72,$Q$1455+1))</f>
        <v>0.0266609703237704</v>
      </c>
      <c r="D1492" s="32" t="n">
        <f aca="false">INDEX(Surface_Engine!$S$12:$S$72,$A1492+1)*IF($A1492&lt;$Q$1455,INDEX(Surface_Engine!$Y$12:$Y$72,$A1492+1),INDEX(Surface_Engine!$Y$12:$Y$72,$Q$1455+1))</f>
        <v>0.00924317213350981</v>
      </c>
      <c r="E1492" s="32" t="n">
        <f aca="false">INDEX(Surface_Engine!$S$12:$S$72,$A1492+1)*IF($A1492&lt;$Q$1455,INDEX(Surface_Engine!$Z$12:$Z$72,$A1492+1),INDEX(Surface_Engine!$Z$12:$Z$72,$Q$1455+1))</f>
        <v>0.0115677088792304</v>
      </c>
      <c r="F1492" s="48" t="n">
        <f aca="false">B1492*(IF($A1492&lt;$Q$1455,INDEX(Surface_Engine!$D$12:$D$72,$A1492+1)+(Surface_Engine!Q248*12)*INDEX(Surface_Engine!$F$12:$F$72,$A1492+1)-(Surface_Engine!Q248*12),1000*12*INDEX(Surface_Engine!$C$12:$C$72,$A1492+1)/(1+Assumptions!$B$10)^18+INDEX(Surface_Engine!$D$12:$D$72,$A1492+1)))*INDEX(Surface_Engine!$B$12:$B$72,$A1492+1)+F1493</f>
        <v>145.437296623997</v>
      </c>
      <c r="G1492" s="48" t="n">
        <f aca="false">C1492*(IF($A1492&lt;$Q$1455,INDEX(Surface_Engine!$D$12:$D$72,$A1492+1)+(Surface_Engine!Q248*12)*INDEX(Surface_Engine!$F$12:$F$72,$A1492+1)-(Surface_Engine!Q248*12),1000*12*INDEX(Surface_Engine!$C$12:$C$72,$A1492+1)/(1+Assumptions!$B$10)^18+INDEX(Surface_Engine!$D$12:$D$72,$A1492+1)))*INDEX(Surface_Engine!$B$12:$B$72,$A1492+1)+G1493</f>
        <v>453.705466908621</v>
      </c>
      <c r="H1492" s="48" t="n">
        <f aca="false">D1492*(IF($A1492&lt;$Q$1455,INDEX(Surface_Engine!$D$12:$D$72,$A1492+1)+(Surface_Engine!Q248*12)*INDEX(Surface_Engine!$F$12:$F$72,$A1492+1)-(Surface_Engine!Q248*12),1000*12*INDEX(Surface_Engine!$C$12:$C$72,$A1492+1)/(1+Assumptions!$B$10)^18+INDEX(Surface_Engine!$D$12:$D$72,$A1492+1)))*INDEX(Surface_Engine!$B$12:$B$72,$A1492+1)+H1493</f>
        <v>129.942008738004</v>
      </c>
      <c r="I1492" s="48" t="n">
        <f aca="false">E1492*(IF($A1492&lt;$Q$1455,INDEX(Surface_Engine!$D$12:$D$72,$A1492+1)+(Surface_Engine!Q248*12)*INDEX(Surface_Engine!$F$12:$F$72,$A1492+1)-(Surface_Engine!Q248*12),1000*12*INDEX(Surface_Engine!$C$12:$C$72,$A1492+1)/(1+Assumptions!$B$10)^18+INDEX(Surface_Engine!$D$12:$D$72,$A1492+1)))*INDEX(Surface_Engine!$B$12:$B$72,$A1492+1)+I1493</f>
        <v>162.620722253376</v>
      </c>
      <c r="J1492" s="48" t="n">
        <f aca="false">B1492*(IF($A1492&lt;$Q$1455,INDEX(Surface_Engine!$D$12:$D$72,$A1492+1)*(1+Assumptions!$B$24)+(Surface_Engine!Q248*12)*INDEX(Surface_Engine!$F$12:$F$72,$A1492+1)-(Surface_Engine!Q248*12),1000*12*INDEX(Surface_Engine!$C$12:$C$72,$A1492+1)/(1+Assumptions!$B$10)^18+INDEX(Surface_Engine!$D$12:$D$72,$A1492+1)*(1+Assumptions!$B$24)))*INDEX(Surface_Engine!$B$12:$B$72,$A1492+1)+J1493</f>
        <v>145.604891076572</v>
      </c>
      <c r="K1492" s="12" t="n">
        <f aca="false">SQRT((IF(C1492&lt;=0,0,MAX(0,(B1492/C1492)*G1492/INDEX(Surface_Engine!$B$12:$B$72,$A1492+1)-F1492/INDEX(Surface_Engine!$B$12:$B$72,$A1492+1))))^2+(MAX(IF(D1492&lt;=0,0,MAX(0,(B1492/D1492)*H1492/INDEX(Surface_Engine!$B$12:$B$72,$A1492+1)-F1492/INDEX(Surface_Engine!$B$12:$B$72,$A1492+1))),IF(E1492&lt;=0,0,MAX(0,(B1492/E1492)*I1492/INDEX(Surface_Engine!$B$12:$B$72,$A1492+1)-F1492/INDEX(Surface_Engine!$B$12:$B$72,$A1492+1))),IF($A1492&lt;$Q$1455,MAX(0,-Assumptions!$B$22*(F1492/INDEX(Surface_Engine!$B$12:$B$72,$A1492+1))),0)))^2+(MAX(0,J1492/INDEX(Surface_Engine!$B$12:$B$72,$A1492+1)-(F1492/INDEX(Surface_Engine!$B$12:$B$72,$A1492+1))))^2+2*Assumptions!$B$26*(IF(C1492&lt;=0,0,MAX(0,(B1492/C1492)*G1492/INDEX(Surface_Engine!$B$12:$B$72,$A1492+1)-F1492/INDEX(Surface_Engine!$B$12:$B$72,$A1492+1))))*(MAX(IF(D1492&lt;=0,0,MAX(0,(B1492/D1492)*H1492/INDEX(Surface_Engine!$B$12:$B$72,$A1492+1)-F1492/INDEX(Surface_Engine!$B$12:$B$72,$A1492+1))),IF(E1492&lt;=0,0,MAX(0,(B1492/E1492)*I1492/INDEX(Surface_Engine!$B$12:$B$72,$A1492+1)-F1492/INDEX(Surface_Engine!$B$12:$B$72,$A1492+1))),IF($A1492&lt;$Q$1455,MAX(0,-Assumptions!$B$22*(F1492/INDEX(Surface_Engine!$B$12:$B$72,$A1492+1))),0)))+2*Assumptions!$B$27*(IF(C1492&lt;=0,0,MAX(0,(B1492/C1492)*G1492/INDEX(Surface_Engine!$B$12:$B$72,$A1492+1)-F1492/INDEX(Surface_Engine!$B$12:$B$72,$A1492+1))))*(MAX(0,J1492/INDEX(Surface_Engine!$B$12:$B$72,$A1492+1)-(F1492/INDEX(Surface_Engine!$B$12:$B$72,$A1492+1))))+2*Assumptions!$B$28*(MAX(IF(D1492&lt;=0,0,MAX(0,(B1492/D1492)*H1492/INDEX(Surface_Engine!$B$12:$B$72,$A1492+1)-F1492/INDEX(Surface_Engine!$B$12:$B$72,$A1492+1))),IF(E1492&lt;=0,0,MAX(0,(B1492/E1492)*I1492/INDEX(Surface_Engine!$B$12:$B$72,$A1492+1)-F1492/INDEX(Surface_Engine!$B$12:$B$72,$A1492+1))),IF($A1492&lt;$Q$1455,MAX(0,-Assumptions!$B$22*(F1492/INDEX(Surface_Engine!$B$12:$B$72,$A1492+1))),0)))*(MAX(0,J1492/INDEX(Surface_Engine!$B$12:$B$72,$A1492+1)-(F1492/INDEX(Surface_Engine!$B$12:$B$72,$A1492+1)))))</f>
        <v>92.1114149936912</v>
      </c>
      <c r="L1492" s="48" t="n">
        <f aca="false">K1492*INDEX(Surface_Engine!$B$12:$B$72,$A1492+1)+L1493</f>
        <v>72.8719771664902</v>
      </c>
      <c r="M1492" s="48" t="n">
        <f aca="false">M1491+B1491*(IF($A1491&lt;$Q$1455,(Surface_Engine!Q248*12)-(Surface_Engine!Q248*12)*INDEX(Surface_Engine!$F$12:$F$72,$A1491+1)-INDEX(Surface_Engine!$D$12:$D$72,$A1491+1),-(1000*12*INDEX(Surface_Engine!$C$12:$C$72,$A1491+1)/(1+Assumptions!$B$10)^18+INDEX(Surface_Engine!$D$12:$D$72,$A1491+1))))*INDEX(Surface_Engine!$B$12:$B$72,$A1491+1)</f>
        <v>784.508935574959</v>
      </c>
      <c r="N1492" s="12" t="n">
        <f aca="false">IF(B1492&lt;=0,0,MAX(0,(K1492+Assumptions!$B$29*L1492/INDEX(Surface_Engine!$B$12:$B$72,$A1492+1)-(M1492/INDEX(Surface_Engine!$B$12:$B$72,$A1492+1)-(F1492/INDEX(Surface_Engine!$B$12:$B$72,$A1492+1))))/B1492))</f>
        <v>0</v>
      </c>
    </row>
    <row r="1493" customFormat="false" ht="15" hidden="false" customHeight="true" outlineLevel="0" collapsed="false">
      <c r="A1493" s="1" t="n">
        <v>36</v>
      </c>
      <c r="B1493" s="32" t="n">
        <f aca="false">INDEX(Surface_Engine!$S$12:$S$72,$A1493+1)*IF($A1493&lt;$Q$1455,INDEX(Surface_Engine!$E$12:$E$72,$A1493+1),INDEX(Surface_Engine!$E$12:$E$72,$Q$1455+1))</f>
        <v>0.00659234923528528</v>
      </c>
      <c r="C1493" s="32" t="n">
        <f aca="false">INDEX(Panel_Reserving!$G$8:$G$68,$A1493+1)*IF($A1493&lt;$Q$1455,INDEX(Surface_Engine!$E$12:$E$72,$A1493+1),INDEX(Surface_Engine!$E$12:$E$72,$Q$1455+1))</f>
        <v>0.0189234279716729</v>
      </c>
      <c r="D1493" s="32" t="n">
        <f aca="false">INDEX(Surface_Engine!$S$12:$S$72,$A1493+1)*IF($A1493&lt;$Q$1455,INDEX(Surface_Engine!$Y$12:$Y$72,$A1493+1),INDEX(Surface_Engine!$Y$12:$Y$72,$Q$1455+1))</f>
        <v>0.00588998229353825</v>
      </c>
      <c r="E1493" s="32" t="n">
        <f aca="false">INDEX(Surface_Engine!$S$12:$S$72,$A1493+1)*IF($A1493&lt;$Q$1455,INDEX(Surface_Engine!$Z$12:$Z$72,$A1493+1),INDEX(Surface_Engine!$Z$12:$Z$72,$Q$1455+1))</f>
        <v>0.00737123570689155</v>
      </c>
      <c r="F1493" s="48" t="n">
        <f aca="false">B1493*(IF($A1493&lt;$Q$1455,INDEX(Surface_Engine!$D$12:$D$72,$A1493+1)+(Surface_Engine!Q248*12)*INDEX(Surface_Engine!$F$12:$F$72,$A1493+1)-(Surface_Engine!Q248*12),1000*12*INDEX(Surface_Engine!$C$12:$C$72,$A1493+1)/(1+Assumptions!$B$10)^18+INDEX(Surface_Engine!$D$12:$D$72,$A1493+1)))*INDEX(Surface_Engine!$B$12:$B$72,$A1493+1)+F1494</f>
        <v>86.9079113797623</v>
      </c>
      <c r="G1493" s="48" t="n">
        <f aca="false">C1493*(IF($A1493&lt;$Q$1455,INDEX(Surface_Engine!$D$12:$D$72,$A1493+1)+(Surface_Engine!Q248*12)*INDEX(Surface_Engine!$F$12:$F$72,$A1493+1)-(Surface_Engine!Q248*12),1000*12*INDEX(Surface_Engine!$C$12:$C$72,$A1493+1)/(1+Assumptions!$B$10)^18+INDEX(Surface_Engine!$D$12:$D$72,$A1493+1)))*INDEX(Surface_Engine!$B$12:$B$72,$A1493+1)+G1494</f>
        <v>302.870283408188</v>
      </c>
      <c r="H1493" s="48" t="n">
        <f aca="false">D1493*(IF($A1493&lt;$Q$1455,INDEX(Surface_Engine!$D$12:$D$72,$A1493+1)+(Surface_Engine!Q248*12)*INDEX(Surface_Engine!$F$12:$F$72,$A1493+1)-(Surface_Engine!Q248*12),1000*12*INDEX(Surface_Engine!$C$12:$C$72,$A1493+1)/(1+Assumptions!$B$10)^18+INDEX(Surface_Engine!$D$12:$D$72,$A1493+1)))*INDEX(Surface_Engine!$B$12:$B$72,$A1493+1)+H1494</f>
        <v>77.6485044899233</v>
      </c>
      <c r="I1493" s="48" t="n">
        <f aca="false">E1493*(IF($A1493&lt;$Q$1455,INDEX(Surface_Engine!$D$12:$D$72,$A1493+1)+(Surface_Engine!Q248*12)*INDEX(Surface_Engine!$F$12:$F$72,$A1493+1)-(Surface_Engine!Q248*12),1000*12*INDEX(Surface_Engine!$C$12:$C$72,$A1493+1)/(1+Assumptions!$B$10)^18+INDEX(Surface_Engine!$D$12:$D$72,$A1493+1)))*INDEX(Surface_Engine!$B$12:$B$72,$A1493+1)+I1494</f>
        <v>97.1760865072174</v>
      </c>
      <c r="J1493" s="48" t="n">
        <f aca="false">B1493*(IF($A1493&lt;$Q$1455,INDEX(Surface_Engine!$D$12:$D$72,$A1493+1)*(1+Assumptions!$B$24)+(Surface_Engine!Q248*12)*INDEX(Surface_Engine!$F$12:$F$72,$A1493+1)-(Surface_Engine!Q248*12),1000*12*INDEX(Surface_Engine!$C$12:$C$72,$A1493+1)/(1+Assumptions!$B$10)^18+INDEX(Surface_Engine!$D$12:$D$72,$A1493+1)*(1+Assumptions!$B$24)))*INDEX(Surface_Engine!$B$12:$B$72,$A1493+1)+J1494</f>
        <v>87.0084960731031</v>
      </c>
      <c r="K1493" s="12" t="n">
        <f aca="false">SQRT((IF(C1493&lt;=0,0,MAX(0,(B1493/C1493)*G1493/INDEX(Surface_Engine!$B$12:$B$72,$A1493+1)-F1493/INDEX(Surface_Engine!$B$12:$B$72,$A1493+1))))^2+(MAX(IF(D1493&lt;=0,0,MAX(0,(B1493/D1493)*H1493/INDEX(Surface_Engine!$B$12:$B$72,$A1493+1)-F1493/INDEX(Surface_Engine!$B$12:$B$72,$A1493+1))),IF(E1493&lt;=0,0,MAX(0,(B1493/E1493)*I1493/INDEX(Surface_Engine!$B$12:$B$72,$A1493+1)-F1493/INDEX(Surface_Engine!$B$12:$B$72,$A1493+1))),IF($A1493&lt;$Q$1455,MAX(0,-Assumptions!$B$22*(F1493/INDEX(Surface_Engine!$B$12:$B$72,$A1493+1))),0)))^2+(MAX(0,J1493/INDEX(Surface_Engine!$B$12:$B$72,$A1493+1)-(F1493/INDEX(Surface_Engine!$B$12:$B$72,$A1493+1))))^2+2*Assumptions!$B$26*(IF(C1493&lt;=0,0,MAX(0,(B1493/C1493)*G1493/INDEX(Surface_Engine!$B$12:$B$72,$A1493+1)-F1493/INDEX(Surface_Engine!$B$12:$B$72,$A1493+1))))*(MAX(IF(D1493&lt;=0,0,MAX(0,(B1493/D1493)*H1493/INDEX(Surface_Engine!$B$12:$B$72,$A1493+1)-F1493/INDEX(Surface_Engine!$B$12:$B$72,$A1493+1))),IF(E1493&lt;=0,0,MAX(0,(B1493/E1493)*I1493/INDEX(Surface_Engine!$B$12:$B$72,$A1493+1)-F1493/INDEX(Surface_Engine!$B$12:$B$72,$A1493+1))),IF($A1493&lt;$Q$1455,MAX(0,-Assumptions!$B$22*(F1493/INDEX(Surface_Engine!$B$12:$B$72,$A1493+1))),0)))+2*Assumptions!$B$27*(IF(C1493&lt;=0,0,MAX(0,(B1493/C1493)*G1493/INDEX(Surface_Engine!$B$12:$B$72,$A1493+1)-F1493/INDEX(Surface_Engine!$B$12:$B$72,$A1493+1))))*(MAX(0,J1493/INDEX(Surface_Engine!$B$12:$B$72,$A1493+1)-(F1493/INDEX(Surface_Engine!$B$12:$B$72,$A1493+1))))+2*Assumptions!$B$28*(MAX(IF(D1493&lt;=0,0,MAX(0,(B1493/D1493)*H1493/INDEX(Surface_Engine!$B$12:$B$72,$A1493+1)-F1493/INDEX(Surface_Engine!$B$12:$B$72,$A1493+1))),IF(E1493&lt;=0,0,MAX(0,(B1493/E1493)*I1493/INDEX(Surface_Engine!$B$12:$B$72,$A1493+1)-F1493/INDEX(Surface_Engine!$B$12:$B$72,$A1493+1))),IF($A1493&lt;$Q$1455,MAX(0,-Assumptions!$B$22*(F1493/INDEX(Surface_Engine!$B$12:$B$72,$A1493+1))),0)))*(MAX(0,J1493/INDEX(Surface_Engine!$B$12:$B$72,$A1493+1)-(F1493/INDEX(Surface_Engine!$B$12:$B$72,$A1493+1)))))</f>
        <v>57.7741910291886</v>
      </c>
      <c r="L1493" s="48" t="n">
        <f aca="false">K1493*INDEX(Surface_Engine!$B$12:$B$72,$A1493+1)+L1494</f>
        <v>42.2131799995378</v>
      </c>
      <c r="M1493" s="48" t="n">
        <f aca="false">M1492+B1492*(IF($A1492&lt;$Q$1455,(Surface_Engine!Q248*12)-(Surface_Engine!Q248*12)*INDEX(Surface_Engine!$F$12:$F$72,$A1492+1)-INDEX(Surface_Engine!$D$12:$D$72,$A1492+1),-(1000*12*INDEX(Surface_Engine!$C$12:$C$72,$A1492+1)/(1+Assumptions!$B$10)^18+INDEX(Surface_Engine!$D$12:$D$72,$A1492+1))))*INDEX(Surface_Engine!$B$12:$B$72,$A1492+1)</f>
        <v>725.979550330724</v>
      </c>
      <c r="N1493" s="12" t="n">
        <f aca="false">IF(B1493&lt;=0,0,MAX(0,(K1493+Assumptions!$B$29*L1493/INDEX(Surface_Engine!$B$12:$B$72,$A1493+1)-(M1493/INDEX(Surface_Engine!$B$12:$B$72,$A1493+1)-(F1493/INDEX(Surface_Engine!$B$12:$B$72,$A1493+1))))/B1493))</f>
        <v>0</v>
      </c>
    </row>
    <row r="1494" customFormat="false" ht="15" hidden="false" customHeight="true" outlineLevel="0" collapsed="false">
      <c r="A1494" s="1" t="n">
        <v>37</v>
      </c>
      <c r="B1494" s="32" t="n">
        <f aca="false">INDEX(Surface_Engine!$S$12:$S$72,$A1494+1)*IF($A1494&lt;$Q$1455,INDEX(Surface_Engine!$E$12:$E$72,$A1494+1),INDEX(Surface_Engine!$E$12:$E$72,$Q$1455+1))</f>
        <v>0.00403960692890945</v>
      </c>
      <c r="C1494" s="32" t="n">
        <f aca="false">INDEX(Panel_Reserving!$G$8:$G$68,$A1494+1)*IF($A1494&lt;$Q$1455,INDEX(Surface_Engine!$E$12:$E$72,$A1494+1),INDEX(Surface_Engine!$E$12:$E$72,$Q$1455+1))</f>
        <v>0.01306128281633</v>
      </c>
      <c r="D1494" s="32" t="n">
        <f aca="false">INDEX(Surface_Engine!$S$12:$S$72,$A1494+1)*IF($A1494&lt;$Q$1455,INDEX(Surface_Engine!$Y$12:$Y$72,$A1494+1),INDEX(Surface_Engine!$Y$12:$Y$72,$Q$1455+1))</f>
        <v>0.00360921614358337</v>
      </c>
      <c r="E1494" s="32" t="n">
        <f aca="false">INDEX(Surface_Engine!$S$12:$S$72,$A1494+1)*IF($A1494&lt;$Q$1455,INDEX(Surface_Engine!$Z$12:$Z$72,$A1494+1),INDEX(Surface_Engine!$Z$12:$Z$72,$Q$1455+1))</f>
        <v>0.00451688673846407</v>
      </c>
      <c r="F1494" s="48" t="n">
        <f aca="false">B1494*(IF($A1494&lt;$Q$1455,INDEX(Surface_Engine!$D$12:$D$72,$A1494+1)+(Surface_Engine!Q248*12)*INDEX(Surface_Engine!$F$12:$F$72,$A1494+1)-(Surface_Engine!Q248*12),1000*12*INDEX(Surface_Engine!$C$12:$C$72,$A1494+1)/(1+Assumptions!$B$10)^18+INDEX(Surface_Engine!$D$12:$D$72,$A1494+1)))*INDEX(Surface_Engine!$B$12:$B$72,$A1494+1)+F1495</f>
        <v>50.0534804561804</v>
      </c>
      <c r="G1494" s="48" t="n">
        <f aca="false">C1494*(IF($A1494&lt;$Q$1455,INDEX(Surface_Engine!$D$12:$D$72,$A1494+1)+(Surface_Engine!Q248*12)*INDEX(Surface_Engine!$F$12:$F$72,$A1494+1)-(Surface_Engine!Q248*12),1000*12*INDEX(Surface_Engine!$C$12:$C$72,$A1494+1)/(1+Assumptions!$B$10)^18+INDEX(Surface_Engine!$D$12:$D$72,$A1494+1)))*INDEX(Surface_Engine!$B$12:$B$72,$A1494+1)+G1495</f>
        <v>197.079139139537</v>
      </c>
      <c r="H1494" s="48" t="n">
        <f aca="false">D1494*(IF($A1494&lt;$Q$1455,INDEX(Surface_Engine!$D$12:$D$72,$A1494+1)+(Surface_Engine!Q248*12)*INDEX(Surface_Engine!$F$12:$F$72,$A1494+1)-(Surface_Engine!Q248*12),1000*12*INDEX(Surface_Engine!$C$12:$C$72,$A1494+1)/(1+Assumptions!$B$10)^18+INDEX(Surface_Engine!$D$12:$D$72,$A1494+1)))*INDEX(Surface_Engine!$B$12:$B$72,$A1494+1)+H1495</f>
        <v>44.7206455687883</v>
      </c>
      <c r="I1494" s="48" t="n">
        <f aca="false">E1494*(IF($A1494&lt;$Q$1455,INDEX(Surface_Engine!$D$12:$D$72,$A1494+1)+(Surface_Engine!Q248*12)*INDEX(Surface_Engine!$F$12:$F$72,$A1494+1)-(Surface_Engine!Q248*12),1000*12*INDEX(Surface_Engine!$C$12:$C$72,$A1494+1)/(1+Assumptions!$B$10)^18+INDEX(Surface_Engine!$D$12:$D$72,$A1494+1)))*INDEX(Surface_Engine!$B$12:$B$72,$A1494+1)+I1495</f>
        <v>55.9673022809492</v>
      </c>
      <c r="J1494" s="48" t="n">
        <f aca="false">B1494*(IF($A1494&lt;$Q$1455,INDEX(Surface_Engine!$D$12:$D$72,$A1494+1)*(1+Assumptions!$B$24)+(Surface_Engine!Q248*12)*INDEX(Surface_Engine!$F$12:$F$72,$A1494+1)-(Surface_Engine!Q248*12),1000*12*INDEX(Surface_Engine!$C$12:$C$72,$A1494+1)/(1+Assumptions!$B$10)^18+INDEX(Surface_Engine!$D$12:$D$72,$A1494+1)*(1+Assumptions!$B$24)))*INDEX(Surface_Engine!$B$12:$B$72,$A1494+1)+J1495</f>
        <v>50.1116663924544</v>
      </c>
      <c r="K1494" s="12" t="n">
        <f aca="false">SQRT((IF(C1494&lt;=0,0,MAX(0,(B1494/C1494)*G1494/INDEX(Surface_Engine!$B$12:$B$72,$A1494+1)-F1494/INDEX(Surface_Engine!$B$12:$B$72,$A1494+1))))^2+(MAX(IF(D1494&lt;=0,0,MAX(0,(B1494/D1494)*H1494/INDEX(Surface_Engine!$B$12:$B$72,$A1494+1)-F1494/INDEX(Surface_Engine!$B$12:$B$72,$A1494+1))),IF(E1494&lt;=0,0,MAX(0,(B1494/E1494)*I1494/INDEX(Surface_Engine!$B$12:$B$72,$A1494+1)-F1494/INDEX(Surface_Engine!$B$12:$B$72,$A1494+1))),IF($A1494&lt;$Q$1455,MAX(0,-Assumptions!$B$22*(F1494/INDEX(Surface_Engine!$B$12:$B$72,$A1494+1))),0)))^2+(MAX(0,J1494/INDEX(Surface_Engine!$B$12:$B$72,$A1494+1)-(F1494/INDEX(Surface_Engine!$B$12:$B$72,$A1494+1))))^2+2*Assumptions!$B$26*(IF(C1494&lt;=0,0,MAX(0,(B1494/C1494)*G1494/INDEX(Surface_Engine!$B$12:$B$72,$A1494+1)-F1494/INDEX(Surface_Engine!$B$12:$B$72,$A1494+1))))*(MAX(IF(D1494&lt;=0,0,MAX(0,(B1494/D1494)*H1494/INDEX(Surface_Engine!$B$12:$B$72,$A1494+1)-F1494/INDEX(Surface_Engine!$B$12:$B$72,$A1494+1))),IF(E1494&lt;=0,0,MAX(0,(B1494/E1494)*I1494/INDEX(Surface_Engine!$B$12:$B$72,$A1494+1)-F1494/INDEX(Surface_Engine!$B$12:$B$72,$A1494+1))),IF($A1494&lt;$Q$1455,MAX(0,-Assumptions!$B$22*(F1494/INDEX(Surface_Engine!$B$12:$B$72,$A1494+1))),0)))+2*Assumptions!$B$27*(IF(C1494&lt;=0,0,MAX(0,(B1494/C1494)*G1494/INDEX(Surface_Engine!$B$12:$B$72,$A1494+1)-F1494/INDEX(Surface_Engine!$B$12:$B$72,$A1494+1))))*(MAX(0,J1494/INDEX(Surface_Engine!$B$12:$B$72,$A1494+1)-(F1494/INDEX(Surface_Engine!$B$12:$B$72,$A1494+1))))+2*Assumptions!$B$28*(MAX(IF(D1494&lt;=0,0,MAX(0,(B1494/D1494)*H1494/INDEX(Surface_Engine!$B$12:$B$72,$A1494+1)-F1494/INDEX(Surface_Engine!$B$12:$B$72,$A1494+1))),IF(E1494&lt;=0,0,MAX(0,(B1494/E1494)*I1494/INDEX(Surface_Engine!$B$12:$B$72,$A1494+1)-F1494/INDEX(Surface_Engine!$B$12:$B$72,$A1494+1))),IF($A1494&lt;$Q$1455,MAX(0,-Assumptions!$B$22*(F1494/INDEX(Surface_Engine!$B$12:$B$72,$A1494+1))),0)))*(MAX(0,J1494/INDEX(Surface_Engine!$B$12:$B$72,$A1494+1)-(F1494/INDEX(Surface_Engine!$B$12:$B$72,$A1494+1)))))</f>
        <v>34.9552071611073</v>
      </c>
      <c r="L1494" s="48" t="n">
        <f aca="false">K1494*INDEX(Surface_Engine!$B$12:$B$72,$A1494+1)+L1495</f>
        <v>23.5848558915788</v>
      </c>
      <c r="M1494" s="48" t="n">
        <f aca="false">M1493+B1493*(IF($A1493&lt;$Q$1455,(Surface_Engine!Q248*12)-(Surface_Engine!Q248*12)*INDEX(Surface_Engine!$F$12:$F$72,$A1493+1)-INDEX(Surface_Engine!$D$12:$D$72,$A1493+1),-(1000*12*INDEX(Surface_Engine!$C$12:$C$72,$A1493+1)/(1+Assumptions!$B$10)^18+INDEX(Surface_Engine!$D$12:$D$72,$A1493+1))))*INDEX(Surface_Engine!$B$12:$B$72,$A1493+1)</f>
        <v>689.125119407142</v>
      </c>
      <c r="N1494" s="12" t="n">
        <f aca="false">IF(B1494&lt;=0,0,MAX(0,(K1494+Assumptions!$B$29*L1494/INDEX(Surface_Engine!$B$12:$B$72,$A1494+1)-(M1494/INDEX(Surface_Engine!$B$12:$B$72,$A1494+1)-(F1494/INDEX(Surface_Engine!$B$12:$B$72,$A1494+1))))/B1494))</f>
        <v>0</v>
      </c>
    </row>
    <row r="1495" customFormat="false" ht="15" hidden="false" customHeight="true" outlineLevel="0" collapsed="false">
      <c r="A1495" s="1" t="n">
        <v>38</v>
      </c>
      <c r="B1495" s="32" t="n">
        <f aca="false">INDEX(Surface_Engine!$S$12:$S$72,$A1495+1)*IF($A1495&lt;$Q$1455,INDEX(Surface_Engine!$E$12:$E$72,$A1495+1),INDEX(Surface_Engine!$E$12:$E$72,$Q$1455+1))</f>
        <v>0.00237067105873589</v>
      </c>
      <c r="C1495" s="32" t="n">
        <f aca="false">INDEX(Panel_Reserving!$G$8:$G$68,$A1495+1)*IF($A1495&lt;$Q$1455,INDEX(Surface_Engine!$E$12:$E$72,$A1495+1),INDEX(Surface_Engine!$E$12:$E$72,$Q$1455+1))</f>
        <v>0.00874433935400365</v>
      </c>
      <c r="D1495" s="32" t="n">
        <f aca="false">INDEX(Surface_Engine!$S$12:$S$72,$A1495+1)*IF($A1495&lt;$Q$1455,INDEX(Surface_Engine!$Y$12:$Y$72,$A1495+1),INDEX(Surface_Engine!$Y$12:$Y$72,$Q$1455+1))</f>
        <v>0.0021180932716702</v>
      </c>
      <c r="E1495" s="32" t="n">
        <f aca="false">INDEX(Surface_Engine!$S$12:$S$72,$A1495+1)*IF($A1495&lt;$Q$1455,INDEX(Surface_Engine!$Z$12:$Z$72,$A1495+1),INDEX(Surface_Engine!$Z$12:$Z$72,$Q$1455+1))</f>
        <v>0.00265076599157025</v>
      </c>
      <c r="F1495" s="48" t="n">
        <f aca="false">B1495*(IF($A1495&lt;$Q$1455,INDEX(Surface_Engine!$D$12:$D$72,$A1495+1)+(Surface_Engine!Q248*12)*INDEX(Surface_Engine!$F$12:$F$72,$A1495+1)-(Surface_Engine!Q248*12),1000*12*INDEX(Surface_Engine!$C$12:$C$72,$A1495+1)/(1+Assumptions!$B$10)^18+INDEX(Surface_Engine!$D$12:$D$72,$A1495+1)))*INDEX(Surface_Engine!$B$12:$B$72,$A1495+1)+F1496</f>
        <v>27.7461603377217</v>
      </c>
      <c r="G1495" s="48" t="n">
        <f aca="false">C1495*(IF($A1495&lt;$Q$1455,INDEX(Surface_Engine!$D$12:$D$72,$A1495+1)+(Surface_Engine!Q248*12)*INDEX(Surface_Engine!$F$12:$F$72,$A1495+1)-(Surface_Engine!Q248*12),1000*12*INDEX(Surface_Engine!$C$12:$C$72,$A1495+1)/(1+Assumptions!$B$10)^18+INDEX(Surface_Engine!$D$12:$D$72,$A1495+1)))*INDEX(Surface_Engine!$B$12:$B$72,$A1495+1)+G1496</f>
        <v>124.952760987133</v>
      </c>
      <c r="H1495" s="48" t="n">
        <f aca="false">D1495*(IF($A1495&lt;$Q$1455,INDEX(Surface_Engine!$D$12:$D$72,$A1495+1)+(Surface_Engine!Q248*12)*INDEX(Surface_Engine!$F$12:$F$72,$A1495+1)-(Surface_Engine!Q248*12),1000*12*INDEX(Surface_Engine!$C$12:$C$72,$A1495+1)/(1+Assumptions!$B$10)^18+INDEX(Surface_Engine!$D$12:$D$72,$A1495+1)))*INDEX(Surface_Engine!$B$12:$B$72,$A1495+1)+H1496</f>
        <v>24.7900084279716</v>
      </c>
      <c r="I1495" s="48" t="n">
        <f aca="false">E1495*(IF($A1495&lt;$Q$1455,INDEX(Surface_Engine!$D$12:$D$72,$A1495+1)+(Surface_Engine!Q248*12)*INDEX(Surface_Engine!$F$12:$F$72,$A1495+1)-(Surface_Engine!Q248*12),1000*12*INDEX(Surface_Engine!$C$12:$C$72,$A1495+1)/(1+Assumptions!$B$10)^18+INDEX(Surface_Engine!$D$12:$D$72,$A1495+1)))*INDEX(Surface_Engine!$B$12:$B$72,$A1495+1)+I1496</f>
        <v>31.0243709049649</v>
      </c>
      <c r="J1495" s="48" t="n">
        <f aca="false">B1495*(IF($A1495&lt;$Q$1455,INDEX(Surface_Engine!$D$12:$D$72,$A1495+1)*(1+Assumptions!$B$24)+(Surface_Engine!Q248*12)*INDEX(Surface_Engine!$F$12:$F$72,$A1495+1)-(Surface_Engine!Q248*12),1000*12*INDEX(Surface_Engine!$C$12:$C$72,$A1495+1)/(1+Assumptions!$B$10)^18+INDEX(Surface_Engine!$D$12:$D$72,$A1495+1)*(1+Assumptions!$B$24)))*INDEX(Surface_Engine!$B$12:$B$72,$A1495+1)+J1496</f>
        <v>27.7785587278552</v>
      </c>
      <c r="K1495" s="12" t="n">
        <f aca="false">SQRT((IF(C1495&lt;=0,0,MAX(0,(B1495/C1495)*G1495/INDEX(Surface_Engine!$B$12:$B$72,$A1495+1)-F1495/INDEX(Surface_Engine!$B$12:$B$72,$A1495+1))))^2+(MAX(IF(D1495&lt;=0,0,MAX(0,(B1495/D1495)*H1495/INDEX(Surface_Engine!$B$12:$B$72,$A1495+1)-F1495/INDEX(Surface_Engine!$B$12:$B$72,$A1495+1))),IF(E1495&lt;=0,0,MAX(0,(B1495/E1495)*I1495/INDEX(Surface_Engine!$B$12:$B$72,$A1495+1)-F1495/INDEX(Surface_Engine!$B$12:$B$72,$A1495+1))),IF($A1495&lt;$Q$1455,MAX(0,-Assumptions!$B$22*(F1495/INDEX(Surface_Engine!$B$12:$B$72,$A1495+1))),0)))^2+(MAX(0,J1495/INDEX(Surface_Engine!$B$12:$B$72,$A1495+1)-(F1495/INDEX(Surface_Engine!$B$12:$B$72,$A1495+1))))^2+2*Assumptions!$B$26*(IF(C1495&lt;=0,0,MAX(0,(B1495/C1495)*G1495/INDEX(Surface_Engine!$B$12:$B$72,$A1495+1)-F1495/INDEX(Surface_Engine!$B$12:$B$72,$A1495+1))))*(MAX(IF(D1495&lt;=0,0,MAX(0,(B1495/D1495)*H1495/INDEX(Surface_Engine!$B$12:$B$72,$A1495+1)-F1495/INDEX(Surface_Engine!$B$12:$B$72,$A1495+1))),IF(E1495&lt;=0,0,MAX(0,(B1495/E1495)*I1495/INDEX(Surface_Engine!$B$12:$B$72,$A1495+1)-F1495/INDEX(Surface_Engine!$B$12:$B$72,$A1495+1))),IF($A1495&lt;$Q$1455,MAX(0,-Assumptions!$B$22*(F1495/INDEX(Surface_Engine!$B$12:$B$72,$A1495+1))),0)))+2*Assumptions!$B$27*(IF(C1495&lt;=0,0,MAX(0,(B1495/C1495)*G1495/INDEX(Surface_Engine!$B$12:$B$72,$A1495+1)-F1495/INDEX(Surface_Engine!$B$12:$B$72,$A1495+1))))*(MAX(0,J1495/INDEX(Surface_Engine!$B$12:$B$72,$A1495+1)-(F1495/INDEX(Surface_Engine!$B$12:$B$72,$A1495+1))))+2*Assumptions!$B$28*(MAX(IF(D1495&lt;=0,0,MAX(0,(B1495/D1495)*H1495/INDEX(Surface_Engine!$B$12:$B$72,$A1495+1)-F1495/INDEX(Surface_Engine!$B$12:$B$72,$A1495+1))),IF(E1495&lt;=0,0,MAX(0,(B1495/E1495)*I1495/INDEX(Surface_Engine!$B$12:$B$72,$A1495+1)-F1495/INDEX(Surface_Engine!$B$12:$B$72,$A1495+1))),IF($A1495&lt;$Q$1455,MAX(0,-Assumptions!$B$22*(F1495/INDEX(Surface_Engine!$B$12:$B$72,$A1495+1))),0)))*(MAX(0,J1495/INDEX(Surface_Engine!$B$12:$B$72,$A1495+1)-(F1495/INDEX(Surface_Engine!$B$12:$B$72,$A1495+1)))))</f>
        <v>20.301402119879</v>
      </c>
      <c r="L1495" s="48" t="n">
        <f aca="false">K1495*INDEX(Surface_Engine!$B$12:$B$72,$A1495+1)+L1496</f>
        <v>12.6708064203255</v>
      </c>
      <c r="M1495" s="48" t="n">
        <f aca="false">M1494+B1494*(IF($A1494&lt;$Q$1455,(Surface_Engine!Q248*12)-(Surface_Engine!Q248*12)*INDEX(Surface_Engine!$F$12:$F$72,$A1494+1)-INDEX(Surface_Engine!$D$12:$D$72,$A1494+1),-(1000*12*INDEX(Surface_Engine!$C$12:$C$72,$A1494+1)/(1+Assumptions!$B$10)^18+INDEX(Surface_Engine!$D$12:$D$72,$A1494+1))))*INDEX(Surface_Engine!$B$12:$B$72,$A1494+1)</f>
        <v>666.817799288683</v>
      </c>
      <c r="N1495" s="12" t="n">
        <f aca="false">IF(B1495&lt;=0,0,MAX(0,(K1495+Assumptions!$B$29*L1495/INDEX(Surface_Engine!$B$12:$B$72,$A1495+1)-(M1495/INDEX(Surface_Engine!$B$12:$B$72,$A1495+1)-(F1495/INDEX(Surface_Engine!$B$12:$B$72,$A1495+1))))/B1495))</f>
        <v>0</v>
      </c>
    </row>
    <row r="1496" customFormat="false" ht="15" hidden="false" customHeight="true" outlineLevel="0" collapsed="false">
      <c r="A1496" s="1" t="n">
        <v>39</v>
      </c>
      <c r="B1496" s="32" t="n">
        <f aca="false">INDEX(Surface_Engine!$S$12:$S$72,$A1496+1)*IF($A1496&lt;$Q$1455,INDEX(Surface_Engine!$E$12:$E$72,$A1496+1),INDEX(Surface_Engine!$E$12:$E$72,$Q$1455+1))</f>
        <v>0.00132617495909187</v>
      </c>
      <c r="C1496" s="32" t="n">
        <f aca="false">INDEX(Panel_Reserving!$G$8:$G$68,$A1496+1)*IF($A1496&lt;$Q$1455,INDEX(Surface_Engine!$E$12:$E$72,$A1496+1),INDEX(Surface_Engine!$E$12:$E$72,$Q$1455+1))</f>
        <v>0.00566219826469008</v>
      </c>
      <c r="D1496" s="32" t="n">
        <f aca="false">INDEX(Surface_Engine!$S$12:$S$72,$A1496+1)*IF($A1496&lt;$Q$1455,INDEX(Surface_Engine!$Y$12:$Y$72,$A1496+1),INDEX(Surface_Engine!$Y$12:$Y$72,$Q$1455+1))</f>
        <v>0.00118488064700457</v>
      </c>
      <c r="E1496" s="32" t="n">
        <f aca="false">INDEX(Surface_Engine!$S$12:$S$72,$A1496+1)*IF($A1496&lt;$Q$1455,INDEX(Surface_Engine!$Z$12:$Z$72,$A1496+1),INDEX(Surface_Engine!$Z$12:$Z$72,$Q$1455+1))</f>
        <v>0.00148286261287861</v>
      </c>
      <c r="F1496" s="48" t="n">
        <f aca="false">B1496*(IF($A1496&lt;$Q$1455,INDEX(Surface_Engine!$D$12:$D$72,$A1496+1)+(Surface_Engine!Q248*12)*INDEX(Surface_Engine!$F$12:$F$72,$A1496+1)-(Surface_Engine!Q248*12),1000*12*INDEX(Surface_Engine!$C$12:$C$72,$A1496+1)/(1+Assumptions!$B$10)^18+INDEX(Surface_Engine!$D$12:$D$72,$A1496+1)))*INDEX(Surface_Engine!$B$12:$B$72,$A1496+1)+F1497</f>
        <v>14.8154712939319</v>
      </c>
      <c r="G1496" s="48" t="n">
        <f aca="false">C1496*(IF($A1496&lt;$Q$1455,INDEX(Surface_Engine!$D$12:$D$72,$A1496+1)+(Surface_Engine!Q248*12)*INDEX(Surface_Engine!$F$12:$F$72,$A1496+1)-(Surface_Engine!Q248*12),1000*12*INDEX(Surface_Engine!$C$12:$C$72,$A1496+1)/(1+Assumptions!$B$10)^18+INDEX(Surface_Engine!$D$12:$D$72,$A1496+1)))*INDEX(Surface_Engine!$B$12:$B$72,$A1496+1)+G1497</f>
        <v>77.2572645312524</v>
      </c>
      <c r="H1496" s="48" t="n">
        <f aca="false">D1496*(IF($A1496&lt;$Q$1455,INDEX(Surface_Engine!$D$12:$D$72,$A1496+1)+(Surface_Engine!Q248*12)*INDEX(Surface_Engine!$F$12:$F$72,$A1496+1)-(Surface_Engine!Q248*12),1000*12*INDEX(Surface_Engine!$C$12:$C$72,$A1496+1)/(1+Assumptions!$B$10)^18+INDEX(Surface_Engine!$D$12:$D$72,$A1496+1)))*INDEX(Surface_Engine!$B$12:$B$72,$A1496+1)+H1497</f>
        <v>13.2369904077005</v>
      </c>
      <c r="I1496" s="48" t="n">
        <f aca="false">E1496*(IF($A1496&lt;$Q$1455,INDEX(Surface_Engine!$D$12:$D$72,$A1496+1)+(Surface_Engine!Q248*12)*INDEX(Surface_Engine!$F$12:$F$72,$A1496+1)-(Surface_Engine!Q248*12),1000*12*INDEX(Surface_Engine!$C$12:$C$72,$A1496+1)/(1+Assumptions!$B$10)^18+INDEX(Surface_Engine!$D$12:$D$72,$A1496+1)))*INDEX(Surface_Engine!$B$12:$B$72,$A1496+1)+I1497</f>
        <v>16.5659201475135</v>
      </c>
      <c r="J1496" s="48" t="n">
        <f aca="false">B1496*(IF($A1496&lt;$Q$1455,INDEX(Surface_Engine!$D$12:$D$72,$A1496+1)*(1+Assumptions!$B$24)+(Surface_Engine!Q248*12)*INDEX(Surface_Engine!$F$12:$F$72,$A1496+1)-(Surface_Engine!Q248*12),1000*12*INDEX(Surface_Engine!$C$12:$C$72,$A1496+1)/(1+Assumptions!$B$10)^18+INDEX(Surface_Engine!$D$12:$D$72,$A1496+1)*(1+Assumptions!$B$24)))*INDEX(Surface_Engine!$B$12:$B$72,$A1496+1)+J1497</f>
        <v>14.8328492193158</v>
      </c>
      <c r="K1496" s="12" t="n">
        <f aca="false">SQRT((IF(C1496&lt;=0,0,MAX(0,(B1496/C1496)*G1496/INDEX(Surface_Engine!$B$12:$B$72,$A1496+1)-F1496/INDEX(Surface_Engine!$B$12:$B$72,$A1496+1))))^2+(MAX(IF(D1496&lt;=0,0,MAX(0,(B1496/D1496)*H1496/INDEX(Surface_Engine!$B$12:$B$72,$A1496+1)-F1496/INDEX(Surface_Engine!$B$12:$B$72,$A1496+1))),IF(E1496&lt;=0,0,MAX(0,(B1496/E1496)*I1496/INDEX(Surface_Engine!$B$12:$B$72,$A1496+1)-F1496/INDEX(Surface_Engine!$B$12:$B$72,$A1496+1))),IF($A1496&lt;$Q$1455,MAX(0,-Assumptions!$B$22*(F1496/INDEX(Surface_Engine!$B$12:$B$72,$A1496+1))),0)))^2+(MAX(0,J1496/INDEX(Surface_Engine!$B$12:$B$72,$A1496+1)-(F1496/INDEX(Surface_Engine!$B$12:$B$72,$A1496+1))))^2+2*Assumptions!$B$26*(IF(C1496&lt;=0,0,MAX(0,(B1496/C1496)*G1496/INDEX(Surface_Engine!$B$12:$B$72,$A1496+1)-F1496/INDEX(Surface_Engine!$B$12:$B$72,$A1496+1))))*(MAX(IF(D1496&lt;=0,0,MAX(0,(B1496/D1496)*H1496/INDEX(Surface_Engine!$B$12:$B$72,$A1496+1)-F1496/INDEX(Surface_Engine!$B$12:$B$72,$A1496+1))),IF(E1496&lt;=0,0,MAX(0,(B1496/E1496)*I1496/INDEX(Surface_Engine!$B$12:$B$72,$A1496+1)-F1496/INDEX(Surface_Engine!$B$12:$B$72,$A1496+1))),IF($A1496&lt;$Q$1455,MAX(0,-Assumptions!$B$22*(F1496/INDEX(Surface_Engine!$B$12:$B$72,$A1496+1))),0)))+2*Assumptions!$B$27*(IF(C1496&lt;=0,0,MAX(0,(B1496/C1496)*G1496/INDEX(Surface_Engine!$B$12:$B$72,$A1496+1)-F1496/INDEX(Surface_Engine!$B$12:$B$72,$A1496+1))))*(MAX(0,J1496/INDEX(Surface_Engine!$B$12:$B$72,$A1496+1)-(F1496/INDEX(Surface_Engine!$B$12:$B$72,$A1496+1))))+2*Assumptions!$B$28*(MAX(IF(D1496&lt;=0,0,MAX(0,(B1496/D1496)*H1496/INDEX(Surface_Engine!$B$12:$B$72,$A1496+1)-F1496/INDEX(Surface_Engine!$B$12:$B$72,$A1496+1))),IF(E1496&lt;=0,0,MAX(0,(B1496/E1496)*I1496/INDEX(Surface_Engine!$B$12:$B$72,$A1496+1)-F1496/INDEX(Surface_Engine!$B$12:$B$72,$A1496+1))),IF($A1496&lt;$Q$1455,MAX(0,-Assumptions!$B$22*(F1496/INDEX(Surface_Engine!$B$12:$B$72,$A1496+1))),0)))*(MAX(0,J1496/INDEX(Surface_Engine!$B$12:$B$72,$A1496+1)-(F1496/INDEX(Surface_Engine!$B$12:$B$72,$A1496+1)))))</f>
        <v>11.2128706086355</v>
      </c>
      <c r="L1496" s="48" t="n">
        <f aca="false">K1496*INDEX(Surface_Engine!$B$12:$B$72,$A1496+1)+L1497</f>
        <v>6.53294089998767</v>
      </c>
      <c r="M1496" s="48" t="n">
        <f aca="false">M1495+B1495*(IF($A1495&lt;$Q$1455,(Surface_Engine!Q248*12)-(Surface_Engine!Q248*12)*INDEX(Surface_Engine!$F$12:$F$72,$A1495+1)-INDEX(Surface_Engine!$D$12:$D$72,$A1495+1),-(1000*12*INDEX(Surface_Engine!$C$12:$C$72,$A1495+1)/(1+Assumptions!$B$10)^18+INDEX(Surface_Engine!$D$12:$D$72,$A1495+1))))*INDEX(Surface_Engine!$B$12:$B$72,$A1495+1)</f>
        <v>653.887110244894</v>
      </c>
      <c r="N1496" s="12" t="n">
        <f aca="false">IF(B1496&lt;=0,0,MAX(0,(K1496+Assumptions!$B$29*L1496/INDEX(Surface_Engine!$B$12:$B$72,$A1496+1)-(M1496/INDEX(Surface_Engine!$B$12:$B$72,$A1496+1)-(F1496/INDEX(Surface_Engine!$B$12:$B$72,$A1496+1))))/B1496))</f>
        <v>0</v>
      </c>
    </row>
    <row r="1497" customFormat="false" ht="15" hidden="false" customHeight="true" outlineLevel="0" collapsed="false">
      <c r="A1497" s="1" t="n">
        <v>40</v>
      </c>
      <c r="B1497" s="32" t="n">
        <f aca="false">INDEX(Surface_Engine!$S$12:$S$72,$A1497+1)*IF($A1497&lt;$Q$1455,INDEX(Surface_Engine!$E$12:$E$72,$A1497+1),INDEX(Surface_Engine!$E$12:$E$72,$Q$1455+1))</f>
        <v>0.000718471013997742</v>
      </c>
      <c r="C1497" s="32" t="n">
        <f aca="false">INDEX(Panel_Reserving!$G$8:$G$68,$A1497+1)*IF($A1497&lt;$Q$1455,INDEX(Surface_Engine!$E$12:$E$72,$A1497+1),INDEX(Surface_Engine!$E$12:$E$72,$Q$1455+1))</f>
        <v>0.00358649010882892</v>
      </c>
      <c r="D1497" s="32" t="n">
        <f aca="false">INDEX(Surface_Engine!$S$12:$S$72,$A1497+1)*IF($A1497&lt;$Q$1455,INDEX(Surface_Engine!$Y$12:$Y$72,$A1497+1),INDEX(Surface_Engine!$Y$12:$Y$72,$Q$1455+1))</f>
        <v>0.000641923144516789</v>
      </c>
      <c r="E1497" s="32" t="n">
        <f aca="false">INDEX(Surface_Engine!$S$12:$S$72,$A1497+1)*IF($A1497&lt;$Q$1455,INDEX(Surface_Engine!$Z$12:$Z$72,$A1497+1),INDEX(Surface_Engine!$Z$12:$Z$72,$Q$1455+1))</f>
        <v>0.000803358408926519</v>
      </c>
      <c r="F1497" s="48" t="n">
        <f aca="false">B1497*(IF($A1497&lt;$Q$1455,INDEX(Surface_Engine!$D$12:$D$72,$A1497+1)+(Surface_Engine!Q248*12)*INDEX(Surface_Engine!$F$12:$F$72,$A1497+1)-(Surface_Engine!Q248*12),1000*12*INDEX(Surface_Engine!$C$12:$C$72,$A1497+1)/(1+Assumptions!$B$10)^18+INDEX(Surface_Engine!$D$12:$D$72,$A1497+1)))*INDEX(Surface_Engine!$B$12:$B$72,$A1497+1)+F1498</f>
        <v>7.66819307490399</v>
      </c>
      <c r="G1497" s="48" t="n">
        <f aca="false">C1497*(IF($A1497&lt;$Q$1455,INDEX(Surface_Engine!$D$12:$D$72,$A1497+1)+(Surface_Engine!Q248*12)*INDEX(Surface_Engine!$F$12:$F$72,$A1497+1)-(Surface_Engine!Q248*12),1000*12*INDEX(Surface_Engine!$C$12:$C$72,$A1497+1)/(1+Assumptions!$B$10)^18+INDEX(Surface_Engine!$D$12:$D$72,$A1497+1)))*INDEX(Surface_Engine!$B$12:$B$72,$A1497+1)+G1498</f>
        <v>46.7414520801189</v>
      </c>
      <c r="H1497" s="48" t="n">
        <f aca="false">D1497*(IF($A1497&lt;$Q$1455,INDEX(Surface_Engine!$D$12:$D$72,$A1497+1)+(Surface_Engine!Q248*12)*INDEX(Surface_Engine!$F$12:$F$72,$A1497+1)-(Surface_Engine!Q248*12),1000*12*INDEX(Surface_Engine!$C$12:$C$72,$A1497+1)/(1+Assumptions!$B$10)^18+INDEX(Surface_Engine!$D$12:$D$72,$A1497+1)))*INDEX(Surface_Engine!$B$12:$B$72,$A1497+1)+H1498</f>
        <v>6.85120278411078</v>
      </c>
      <c r="I1497" s="48" t="n">
        <f aca="false">E1497*(IF($A1497&lt;$Q$1455,INDEX(Surface_Engine!$D$12:$D$72,$A1497+1)+(Surface_Engine!Q248*12)*INDEX(Surface_Engine!$F$12:$F$72,$A1497+1)-(Surface_Engine!Q248*12),1000*12*INDEX(Surface_Engine!$C$12:$C$72,$A1497+1)/(1+Assumptions!$B$10)^18+INDEX(Surface_Engine!$D$12:$D$72,$A1497+1)))*INDEX(Surface_Engine!$B$12:$B$72,$A1497+1)+I1498</f>
        <v>8.57419056298293</v>
      </c>
      <c r="J1497" s="48" t="n">
        <f aca="false">B1497*(IF($A1497&lt;$Q$1455,INDEX(Surface_Engine!$D$12:$D$72,$A1497+1)*(1+Assumptions!$B$24)+(Surface_Engine!Q248*12)*INDEX(Surface_Engine!$F$12:$F$72,$A1497+1)-(Surface_Engine!Q248*12),1000*12*INDEX(Surface_Engine!$C$12:$C$72,$A1497+1)/(1+Assumptions!$B$10)^18+INDEX(Surface_Engine!$D$12:$D$72,$A1497+1)*(1+Assumptions!$B$24)))*INDEX(Surface_Engine!$B$12:$B$72,$A1497+1)+J1498</f>
        <v>7.67722840155196</v>
      </c>
      <c r="K1497" s="12" t="n">
        <f aca="false">SQRT((IF(C1497&lt;=0,0,MAX(0,(B1497/C1497)*G1497/INDEX(Surface_Engine!$B$12:$B$72,$A1497+1)-F1497/INDEX(Surface_Engine!$B$12:$B$72,$A1497+1))))^2+(MAX(IF(D1497&lt;=0,0,MAX(0,(B1497/D1497)*H1497/INDEX(Surface_Engine!$B$12:$B$72,$A1497+1)-F1497/INDEX(Surface_Engine!$B$12:$B$72,$A1497+1))),IF(E1497&lt;=0,0,MAX(0,(B1497/E1497)*I1497/INDEX(Surface_Engine!$B$12:$B$72,$A1497+1)-F1497/INDEX(Surface_Engine!$B$12:$B$72,$A1497+1))),IF($A1497&lt;$Q$1455,MAX(0,-Assumptions!$B$22*(F1497/INDEX(Surface_Engine!$B$12:$B$72,$A1497+1))),0)))^2+(MAX(0,J1497/INDEX(Surface_Engine!$B$12:$B$72,$A1497+1)-(F1497/INDEX(Surface_Engine!$B$12:$B$72,$A1497+1))))^2+2*Assumptions!$B$26*(IF(C1497&lt;=0,0,MAX(0,(B1497/C1497)*G1497/INDEX(Surface_Engine!$B$12:$B$72,$A1497+1)-F1497/INDEX(Surface_Engine!$B$12:$B$72,$A1497+1))))*(MAX(IF(D1497&lt;=0,0,MAX(0,(B1497/D1497)*H1497/INDEX(Surface_Engine!$B$12:$B$72,$A1497+1)-F1497/INDEX(Surface_Engine!$B$12:$B$72,$A1497+1))),IF(E1497&lt;=0,0,MAX(0,(B1497/E1497)*I1497/INDEX(Surface_Engine!$B$12:$B$72,$A1497+1)-F1497/INDEX(Surface_Engine!$B$12:$B$72,$A1497+1))),IF($A1497&lt;$Q$1455,MAX(0,-Assumptions!$B$22*(F1497/INDEX(Surface_Engine!$B$12:$B$72,$A1497+1))),0)))+2*Assumptions!$B$27*(IF(C1497&lt;=0,0,MAX(0,(B1497/C1497)*G1497/INDEX(Surface_Engine!$B$12:$B$72,$A1497+1)-F1497/INDEX(Surface_Engine!$B$12:$B$72,$A1497+1))))*(MAX(0,J1497/INDEX(Surface_Engine!$B$12:$B$72,$A1497+1)-(F1497/INDEX(Surface_Engine!$B$12:$B$72,$A1497+1))))+2*Assumptions!$B$28*(MAX(IF(D1497&lt;=0,0,MAX(0,(B1497/D1497)*H1497/INDEX(Surface_Engine!$B$12:$B$72,$A1497+1)-F1497/INDEX(Surface_Engine!$B$12:$B$72,$A1497+1))),IF(E1497&lt;=0,0,MAX(0,(B1497/E1497)*I1497/INDEX(Surface_Engine!$B$12:$B$72,$A1497+1)-F1497/INDEX(Surface_Engine!$B$12:$B$72,$A1497+1))),IF($A1497&lt;$Q$1455,MAX(0,-Assumptions!$B$22*(F1497/INDEX(Surface_Engine!$B$12:$B$72,$A1497+1))),0)))*(MAX(0,J1497/INDEX(Surface_Engine!$B$12:$B$72,$A1497+1)-(F1497/INDEX(Surface_Engine!$B$12:$B$72,$A1497+1)))))</f>
        <v>5.98698884172306</v>
      </c>
      <c r="L1497" s="48" t="n">
        <f aca="false">K1497*INDEX(Surface_Engine!$B$12:$B$72,$A1497+1)+L1498</f>
        <v>3.24917083135277</v>
      </c>
      <c r="M1497" s="48" t="n">
        <f aca="false">M1496+B1496*(IF($A1496&lt;$Q$1455,(Surface_Engine!Q248*12)-(Surface_Engine!Q248*12)*INDEX(Surface_Engine!$F$12:$F$72,$A1496+1)-INDEX(Surface_Engine!$D$12:$D$72,$A1496+1),-(1000*12*INDEX(Surface_Engine!$C$12:$C$72,$A1496+1)/(1+Assumptions!$B$10)^18+INDEX(Surface_Engine!$D$12:$D$72,$A1496+1))))*INDEX(Surface_Engine!$B$12:$B$72,$A1496+1)</f>
        <v>646.739832025866</v>
      </c>
      <c r="N1497" s="12" t="n">
        <f aca="false">IF(B1497&lt;=0,0,MAX(0,(K1497+Assumptions!$B$29*L1497/INDEX(Surface_Engine!$B$12:$B$72,$A1497+1)-(M1497/INDEX(Surface_Engine!$B$12:$B$72,$A1497+1)-(F1497/INDEX(Surface_Engine!$B$12:$B$72,$A1497+1))))/B1497))</f>
        <v>0</v>
      </c>
    </row>
    <row r="1498" customFormat="false" ht="15" hidden="false" customHeight="true" outlineLevel="0" collapsed="false">
      <c r="A1498" s="1" t="n">
        <v>41</v>
      </c>
      <c r="B1498" s="32" t="n">
        <f aca="false">INDEX(Surface_Engine!$S$12:$S$72,$A1498+1)*IF($A1498&lt;$Q$1455,INDEX(Surface_Engine!$E$12:$E$72,$A1498+1),INDEX(Surface_Engine!$E$12:$E$72,$Q$1455+1))</f>
        <v>0.00037661275093485</v>
      </c>
      <c r="C1498" s="32" t="n">
        <f aca="false">INDEX(Panel_Reserving!$G$8:$G$68,$A1498+1)*IF($A1498&lt;$Q$1455,INDEX(Surface_Engine!$E$12:$E$72,$A1498+1),INDEX(Surface_Engine!$E$12:$E$72,$Q$1455+1))</f>
        <v>0.00222128955909556</v>
      </c>
      <c r="D1498" s="32" t="n">
        <f aca="false">INDEX(Surface_Engine!$S$12:$S$72,$A1498+1)*IF($A1498&lt;$Q$1455,INDEX(Surface_Engine!$Y$12:$Y$72,$A1498+1),INDEX(Surface_Engine!$Y$12:$Y$72,$Q$1455+1))</f>
        <v>0.000336487397035027</v>
      </c>
      <c r="E1498" s="32" t="n">
        <f aca="false">INDEX(Surface_Engine!$S$12:$S$72,$A1498+1)*IF($A1498&lt;$Q$1455,INDEX(Surface_Engine!$Z$12:$Z$72,$A1498+1),INDEX(Surface_Engine!$Z$12:$Z$72,$Q$1455+1))</f>
        <v>0.000421109570849591</v>
      </c>
      <c r="F1498" s="48" t="n">
        <f aca="false">B1498*(IF($A1498&lt;$Q$1455,INDEX(Surface_Engine!$D$12:$D$72,$A1498+1)+(Surface_Engine!Q248*12)*INDEX(Surface_Engine!$F$12:$F$72,$A1498+1)-(Surface_Engine!Q248*12),1000*12*INDEX(Surface_Engine!$C$12:$C$72,$A1498+1)/(1+Assumptions!$B$10)^18+INDEX(Surface_Engine!$D$12:$D$72,$A1498+1)))*INDEX(Surface_Engine!$B$12:$B$72,$A1498+1)+F1499</f>
        <v>3.8438047351566</v>
      </c>
      <c r="G1498" s="48" t="n">
        <f aca="false">C1498*(IF($A1498&lt;$Q$1455,INDEX(Surface_Engine!$D$12:$D$72,$A1498+1)+(Surface_Engine!Q248*12)*INDEX(Surface_Engine!$F$12:$F$72,$A1498+1)-(Surface_Engine!Q248*12),1000*12*INDEX(Surface_Engine!$C$12:$C$72,$A1498+1)/(1+Assumptions!$B$10)^18+INDEX(Surface_Engine!$D$12:$D$72,$A1498+1)))*INDEX(Surface_Engine!$B$12:$B$72,$A1498+1)+G1499</f>
        <v>27.6507293013322</v>
      </c>
      <c r="H1498" s="48" t="n">
        <f aca="false">D1498*(IF($A1498&lt;$Q$1455,INDEX(Surface_Engine!$D$12:$D$72,$A1498+1)+(Surface_Engine!Q248*12)*INDEX(Surface_Engine!$F$12:$F$72,$A1498+1)-(Surface_Engine!Q248*12),1000*12*INDEX(Surface_Engine!$C$12:$C$72,$A1498+1)/(1+Assumptions!$B$10)^18+INDEX(Surface_Engine!$D$12:$D$72,$A1498+1)))*INDEX(Surface_Engine!$B$12:$B$72,$A1498+1)+H1499</f>
        <v>3.43427525178907</v>
      </c>
      <c r="I1498" s="48" t="n">
        <f aca="false">E1498*(IF($A1498&lt;$Q$1455,INDEX(Surface_Engine!$D$12:$D$72,$A1498+1)+(Surface_Engine!Q248*12)*INDEX(Surface_Engine!$F$12:$F$72,$A1498+1)-(Surface_Engine!Q248*12),1000*12*INDEX(Surface_Engine!$C$12:$C$72,$A1498+1)/(1+Assumptions!$B$10)^18+INDEX(Surface_Engine!$D$12:$D$72,$A1498+1)))*INDEX(Surface_Engine!$B$12:$B$72,$A1498+1)+I1499</f>
        <v>4.29795050335786</v>
      </c>
      <c r="J1498" s="48" t="n">
        <f aca="false">B1498*(IF($A1498&lt;$Q$1455,INDEX(Surface_Engine!$D$12:$D$72,$A1498+1)*(1+Assumptions!$B$24)+(Surface_Engine!Q248*12)*INDEX(Surface_Engine!$F$12:$F$72,$A1498+1)-(Surface_Engine!Q248*12),1000*12*INDEX(Surface_Engine!$C$12:$C$72,$A1498+1)/(1+Assumptions!$B$10)^18+INDEX(Surface_Engine!$D$12:$D$72,$A1498+1)*(1+Assumptions!$B$24)))*INDEX(Surface_Engine!$B$12:$B$72,$A1498+1)+J1499</f>
        <v>3.84835445194521</v>
      </c>
      <c r="K1498" s="12" t="n">
        <f aca="false">SQRT((IF(C1498&lt;=0,0,MAX(0,(B1498/C1498)*G1498/INDEX(Surface_Engine!$B$12:$B$72,$A1498+1)-F1498/INDEX(Surface_Engine!$B$12:$B$72,$A1498+1))))^2+(MAX(IF(D1498&lt;=0,0,MAX(0,(B1498/D1498)*H1498/INDEX(Surface_Engine!$B$12:$B$72,$A1498+1)-F1498/INDEX(Surface_Engine!$B$12:$B$72,$A1498+1))),IF(E1498&lt;=0,0,MAX(0,(B1498/E1498)*I1498/INDEX(Surface_Engine!$B$12:$B$72,$A1498+1)-F1498/INDEX(Surface_Engine!$B$12:$B$72,$A1498+1))),IF($A1498&lt;$Q$1455,MAX(0,-Assumptions!$B$22*(F1498/INDEX(Surface_Engine!$B$12:$B$72,$A1498+1))),0)))^2+(MAX(0,J1498/INDEX(Surface_Engine!$B$12:$B$72,$A1498+1)-(F1498/INDEX(Surface_Engine!$B$12:$B$72,$A1498+1))))^2+2*Assumptions!$B$26*(IF(C1498&lt;=0,0,MAX(0,(B1498/C1498)*G1498/INDEX(Surface_Engine!$B$12:$B$72,$A1498+1)-F1498/INDEX(Surface_Engine!$B$12:$B$72,$A1498+1))))*(MAX(IF(D1498&lt;=0,0,MAX(0,(B1498/D1498)*H1498/INDEX(Surface_Engine!$B$12:$B$72,$A1498+1)-F1498/INDEX(Surface_Engine!$B$12:$B$72,$A1498+1))),IF(E1498&lt;=0,0,MAX(0,(B1498/E1498)*I1498/INDEX(Surface_Engine!$B$12:$B$72,$A1498+1)-F1498/INDEX(Surface_Engine!$B$12:$B$72,$A1498+1))),IF($A1498&lt;$Q$1455,MAX(0,-Assumptions!$B$22*(F1498/INDEX(Surface_Engine!$B$12:$B$72,$A1498+1))),0)))+2*Assumptions!$B$27*(IF(C1498&lt;=0,0,MAX(0,(B1498/C1498)*G1498/INDEX(Surface_Engine!$B$12:$B$72,$A1498+1)-F1498/INDEX(Surface_Engine!$B$12:$B$72,$A1498+1))))*(MAX(0,J1498/INDEX(Surface_Engine!$B$12:$B$72,$A1498+1)-(F1498/INDEX(Surface_Engine!$B$12:$B$72,$A1498+1))))+2*Assumptions!$B$28*(MAX(IF(D1498&lt;=0,0,MAX(0,(B1498/D1498)*H1498/INDEX(Surface_Engine!$B$12:$B$72,$A1498+1)-F1498/INDEX(Surface_Engine!$B$12:$B$72,$A1498+1))),IF(E1498&lt;=0,0,MAX(0,(B1498/E1498)*I1498/INDEX(Surface_Engine!$B$12:$B$72,$A1498+1)-F1498/INDEX(Surface_Engine!$B$12:$B$72,$A1498+1))),IF($A1498&lt;$Q$1455,MAX(0,-Assumptions!$B$22*(F1498/INDEX(Surface_Engine!$B$12:$B$72,$A1498+1))),0)))*(MAX(0,J1498/INDEX(Surface_Engine!$B$12:$B$72,$A1498+1)-(F1498/INDEX(Surface_Engine!$B$12:$B$72,$A1498+1)))))</f>
        <v>3.07941158673917</v>
      </c>
      <c r="L1498" s="48" t="n">
        <f aca="false">K1498*INDEX(Surface_Engine!$B$12:$B$72,$A1498+1)+L1499</f>
        <v>1.55150492598761</v>
      </c>
      <c r="M1498" s="48" t="n">
        <f aca="false">M1497+B1497*(IF($A1497&lt;$Q$1455,(Surface_Engine!Q248*12)-(Surface_Engine!Q248*12)*INDEX(Surface_Engine!$F$12:$F$72,$A1497+1)-INDEX(Surface_Engine!$D$12:$D$72,$A1497+1),-(1000*12*INDEX(Surface_Engine!$C$12:$C$72,$A1497+1)/(1+Assumptions!$B$10)^18+INDEX(Surface_Engine!$D$12:$D$72,$A1497+1))))*INDEX(Surface_Engine!$B$12:$B$72,$A1497+1)</f>
        <v>642.915443686118</v>
      </c>
      <c r="N1498" s="12" t="n">
        <f aca="false">IF(B1498&lt;=0,0,MAX(0,(K1498+Assumptions!$B$29*L1498/INDEX(Surface_Engine!$B$12:$B$72,$A1498+1)-(M1498/INDEX(Surface_Engine!$B$12:$B$72,$A1498+1)-(F1498/INDEX(Surface_Engine!$B$12:$B$72,$A1498+1))))/B1498))</f>
        <v>0</v>
      </c>
    </row>
    <row r="1499" customFormat="false" ht="15" hidden="false" customHeight="true" outlineLevel="0" collapsed="false">
      <c r="A1499" s="1" t="n">
        <v>42</v>
      </c>
      <c r="B1499" s="32" t="n">
        <f aca="false">INDEX(Surface_Engine!$S$12:$S$72,$A1499+1)*IF($A1499&lt;$Q$1455,INDEX(Surface_Engine!$E$12:$E$72,$A1499+1),INDEX(Surface_Engine!$E$12:$E$72,$Q$1455+1))</f>
        <v>0.00019084360984935</v>
      </c>
      <c r="C1499" s="32" t="n">
        <f aca="false">INDEX(Panel_Reserving!$G$8:$G$68,$A1499+1)*IF($A1499&lt;$Q$1455,INDEX(Surface_Engine!$E$12:$E$72,$A1499+1),INDEX(Surface_Engine!$E$12:$E$72,$Q$1455+1))</f>
        <v>0.00134474557067016</v>
      </c>
      <c r="D1499" s="32" t="n">
        <f aca="false">INDEX(Surface_Engine!$S$12:$S$72,$A1499+1)*IF($A1499&lt;$Q$1455,INDEX(Surface_Engine!$Y$12:$Y$72,$A1499+1),INDEX(Surface_Engine!$Y$12:$Y$72,$Q$1455+1))</f>
        <v>0.000170510608999759</v>
      </c>
      <c r="E1499" s="32" t="n">
        <f aca="false">INDEX(Surface_Engine!$S$12:$S$72,$A1499+1)*IF($A1499&lt;$Q$1455,INDEX(Surface_Engine!$Z$12:$Z$72,$A1499+1),INDEX(Surface_Engine!$Z$12:$Z$72,$Q$1455+1))</f>
        <v>0.000213391794206535</v>
      </c>
      <c r="F1499" s="48" t="n">
        <f aca="false">B1499*(IF($A1499&lt;$Q$1455,INDEX(Surface_Engine!$D$12:$D$72,$A1499+1)+(Surface_Engine!Q248*12)*INDEX(Surface_Engine!$F$12:$F$72,$A1499+1)-(Surface_Engine!Q248*12),1000*12*INDEX(Surface_Engine!$C$12:$C$72,$A1499+1)/(1+Assumptions!$B$10)^18+INDEX(Surface_Engine!$D$12:$D$72,$A1499+1)))*INDEX(Surface_Engine!$B$12:$B$72,$A1499+1)+F1500</f>
        <v>1.86390172242019</v>
      </c>
      <c r="G1499" s="48" t="n">
        <f aca="false">C1499*(IF($A1499&lt;$Q$1455,INDEX(Surface_Engine!$D$12:$D$72,$A1499+1)+(Surface_Engine!Q248*12)*INDEX(Surface_Engine!$F$12:$F$72,$A1499+1)-(Surface_Engine!Q248*12),1000*12*INDEX(Surface_Engine!$C$12:$C$72,$A1499+1)/(1+Assumptions!$B$10)^18+INDEX(Surface_Engine!$D$12:$D$72,$A1499+1)))*INDEX(Surface_Engine!$B$12:$B$72,$A1499+1)+G1500</f>
        <v>15.9731164767626</v>
      </c>
      <c r="H1499" s="48" t="n">
        <f aca="false">D1499*(IF($A1499&lt;$Q$1455,INDEX(Surface_Engine!$D$12:$D$72,$A1499+1)+(Surface_Engine!Q248*12)*INDEX(Surface_Engine!$F$12:$F$72,$A1499+1)-(Surface_Engine!Q248*12),1000*12*INDEX(Surface_Engine!$C$12:$C$72,$A1499+1)/(1+Assumptions!$B$10)^18+INDEX(Surface_Engine!$D$12:$D$72,$A1499+1)))*INDEX(Surface_Engine!$B$12:$B$72,$A1499+1)+H1500</f>
        <v>1.66531652831577</v>
      </c>
      <c r="I1499" s="48" t="n">
        <f aca="false">E1499*(IF($A1499&lt;$Q$1455,INDEX(Surface_Engine!$D$12:$D$72,$A1499+1)+(Surface_Engine!Q248*12)*INDEX(Surface_Engine!$F$12:$F$72,$A1499+1)-(Surface_Engine!Q248*12),1000*12*INDEX(Surface_Engine!$C$12:$C$72,$A1499+1)/(1+Assumptions!$B$10)^18+INDEX(Surface_Engine!$D$12:$D$72,$A1499+1)))*INDEX(Surface_Engine!$B$12:$B$72,$A1499+1)+I1500</f>
        <v>2.08412182669291</v>
      </c>
      <c r="J1499" s="48" t="n">
        <f aca="false">B1499*(IF($A1499&lt;$Q$1455,INDEX(Surface_Engine!$D$12:$D$72,$A1499+1)*(1+Assumptions!$B$24)+(Surface_Engine!Q248*12)*INDEX(Surface_Engine!$F$12:$F$72,$A1499+1)-(Surface_Engine!Q248*12),1000*12*INDEX(Surface_Engine!$C$12:$C$72,$A1499+1)/(1+Assumptions!$B$10)^18+INDEX(Surface_Engine!$D$12:$D$72,$A1499+1)*(1+Assumptions!$B$24)))*INDEX(Surface_Engine!$B$12:$B$72,$A1499+1)+J1500</f>
        <v>1.86611796957633</v>
      </c>
      <c r="K1499" s="12" t="n">
        <f aca="false">SQRT((IF(C1499&lt;=0,0,MAX(0,(B1499/C1499)*G1499/INDEX(Surface_Engine!$B$12:$B$72,$A1499+1)-F1499/INDEX(Surface_Engine!$B$12:$B$72,$A1499+1))))^2+(MAX(IF(D1499&lt;=0,0,MAX(0,(B1499/D1499)*H1499/INDEX(Surface_Engine!$B$12:$B$72,$A1499+1)-F1499/INDEX(Surface_Engine!$B$12:$B$72,$A1499+1))),IF(E1499&lt;=0,0,MAX(0,(B1499/E1499)*I1499/INDEX(Surface_Engine!$B$12:$B$72,$A1499+1)-F1499/INDEX(Surface_Engine!$B$12:$B$72,$A1499+1))),IF($A1499&lt;$Q$1455,MAX(0,-Assumptions!$B$22*(F1499/INDEX(Surface_Engine!$B$12:$B$72,$A1499+1))),0)))^2+(MAX(0,J1499/INDEX(Surface_Engine!$B$12:$B$72,$A1499+1)-(F1499/INDEX(Surface_Engine!$B$12:$B$72,$A1499+1))))^2+2*Assumptions!$B$26*(IF(C1499&lt;=0,0,MAX(0,(B1499/C1499)*G1499/INDEX(Surface_Engine!$B$12:$B$72,$A1499+1)-F1499/INDEX(Surface_Engine!$B$12:$B$72,$A1499+1))))*(MAX(IF(D1499&lt;=0,0,MAX(0,(B1499/D1499)*H1499/INDEX(Surface_Engine!$B$12:$B$72,$A1499+1)-F1499/INDEX(Surface_Engine!$B$12:$B$72,$A1499+1))),IF(E1499&lt;=0,0,MAX(0,(B1499/E1499)*I1499/INDEX(Surface_Engine!$B$12:$B$72,$A1499+1)-F1499/INDEX(Surface_Engine!$B$12:$B$72,$A1499+1))),IF($A1499&lt;$Q$1455,MAX(0,-Assumptions!$B$22*(F1499/INDEX(Surface_Engine!$B$12:$B$72,$A1499+1))),0)))+2*Assumptions!$B$27*(IF(C1499&lt;=0,0,MAX(0,(B1499/C1499)*G1499/INDEX(Surface_Engine!$B$12:$B$72,$A1499+1)-F1499/INDEX(Surface_Engine!$B$12:$B$72,$A1499+1))))*(MAX(0,J1499/INDEX(Surface_Engine!$B$12:$B$72,$A1499+1)-(F1499/INDEX(Surface_Engine!$B$12:$B$72,$A1499+1))))+2*Assumptions!$B$28*(MAX(IF(D1499&lt;=0,0,MAX(0,(B1499/D1499)*H1499/INDEX(Surface_Engine!$B$12:$B$72,$A1499+1)-F1499/INDEX(Surface_Engine!$B$12:$B$72,$A1499+1))),IF(E1499&lt;=0,0,MAX(0,(B1499/E1499)*I1499/INDEX(Surface_Engine!$B$12:$B$72,$A1499+1)-F1499/INDEX(Surface_Engine!$B$12:$B$72,$A1499+1))),IF($A1499&lt;$Q$1455,MAX(0,-Assumptions!$B$22*(F1499/INDEX(Surface_Engine!$B$12:$B$72,$A1499+1))),0)))*(MAX(0,J1499/INDEX(Surface_Engine!$B$12:$B$72,$A1499+1)-(F1499/INDEX(Surface_Engine!$B$12:$B$72,$A1499+1)))))</f>
        <v>1.51750818396133</v>
      </c>
      <c r="L1499" s="48" t="n">
        <f aca="false">K1499*INDEX(Surface_Engine!$B$12:$B$72,$A1499+1)+L1500</f>
        <v>0.706065416359565</v>
      </c>
      <c r="M1499" s="48" t="n">
        <f aca="false">M1498+B1498*(IF($A1498&lt;$Q$1455,(Surface_Engine!Q248*12)-(Surface_Engine!Q248*12)*INDEX(Surface_Engine!$F$12:$F$72,$A1498+1)-INDEX(Surface_Engine!$D$12:$D$72,$A1498+1),-(1000*12*INDEX(Surface_Engine!$C$12:$C$72,$A1498+1)/(1+Assumptions!$B$10)^18+INDEX(Surface_Engine!$D$12:$D$72,$A1498+1))))*INDEX(Surface_Engine!$B$12:$B$72,$A1498+1)</f>
        <v>640.935540673382</v>
      </c>
      <c r="N1499" s="12" t="n">
        <f aca="false">IF(B1499&lt;=0,0,MAX(0,(K1499+Assumptions!$B$29*L1499/INDEX(Surface_Engine!$B$12:$B$72,$A1499+1)-(M1499/INDEX(Surface_Engine!$B$12:$B$72,$A1499+1)-(F1499/INDEX(Surface_Engine!$B$12:$B$72,$A1499+1))))/B1499))</f>
        <v>0</v>
      </c>
    </row>
    <row r="1500" customFormat="false" ht="15" hidden="false" customHeight="true" outlineLevel="0" collapsed="false">
      <c r="A1500" s="1" t="n">
        <v>43</v>
      </c>
      <c r="B1500" s="32" t="n">
        <f aca="false">INDEX(Surface_Engine!$S$12:$S$72,$A1500+1)*IF($A1500&lt;$Q$1455,INDEX(Surface_Engine!$E$12:$E$72,$A1500+1),INDEX(Surface_Engine!$E$12:$E$72,$Q$1455+1))</f>
        <v>9.34113371135114E-005</v>
      </c>
      <c r="C1500" s="32" t="n">
        <f aca="false">INDEX(Panel_Reserving!$G$8:$G$68,$A1500+1)*IF($A1500&lt;$Q$1455,INDEX(Surface_Engine!$E$12:$E$72,$A1500+1),INDEX(Surface_Engine!$E$12:$E$72,$Q$1455+1))</f>
        <v>0.000795514219176554</v>
      </c>
      <c r="D1500" s="32" t="n">
        <f aca="false">INDEX(Surface_Engine!$S$12:$S$72,$A1500+1)*IF($A1500&lt;$Q$1455,INDEX(Surface_Engine!$Y$12:$Y$72,$A1500+1),INDEX(Surface_Engine!$Y$12:$Y$72,$Q$1455+1))</f>
        <v>8.34590374353105E-005</v>
      </c>
      <c r="E1500" s="32" t="n">
        <f aca="false">INDEX(Surface_Engine!$S$12:$S$72,$A1500+1)*IF($A1500&lt;$Q$1455,INDEX(Surface_Engine!$Z$12:$Z$72,$A1500+1),INDEX(Surface_Engine!$Z$12:$Z$72,$Q$1455+1))</f>
        <v>0.000104447892395343</v>
      </c>
      <c r="F1500" s="48" t="n">
        <f aca="false">B1500*(IF($A1500&lt;$Q$1455,INDEX(Surface_Engine!$D$12:$D$72,$A1500+1)+(Surface_Engine!Q248*12)*INDEX(Surface_Engine!$F$12:$F$72,$A1500+1)-(Surface_Engine!Q248*12),1000*12*INDEX(Surface_Engine!$C$12:$C$72,$A1500+1)/(1+Assumptions!$B$10)^18+INDEX(Surface_Engine!$D$12:$D$72,$A1500+1)))*INDEX(Surface_Engine!$B$12:$B$72,$A1500+1)+F1501</f>
        <v>0.872652824550128</v>
      </c>
      <c r="G1500" s="48" t="n">
        <f aca="false">C1500*(IF($A1500&lt;$Q$1455,INDEX(Surface_Engine!$D$12:$D$72,$A1500+1)+(Surface_Engine!Q248*12)*INDEX(Surface_Engine!$F$12:$F$72,$A1500+1)-(Surface_Engine!Q248*12),1000*12*INDEX(Surface_Engine!$C$12:$C$72,$A1500+1)/(1+Assumptions!$B$10)^18+INDEX(Surface_Engine!$D$12:$D$72,$A1500+1)))*INDEX(Surface_Engine!$B$12:$B$72,$A1500+1)+G1501</f>
        <v>8.98845733153533</v>
      </c>
      <c r="H1500" s="48" t="n">
        <f aca="false">D1500*(IF($A1500&lt;$Q$1455,INDEX(Surface_Engine!$D$12:$D$72,$A1500+1)+(Surface_Engine!Q248*12)*INDEX(Surface_Engine!$F$12:$F$72,$A1500+1)-(Surface_Engine!Q248*12),1000*12*INDEX(Surface_Engine!$C$12:$C$72,$A1500+1)/(1+Assumptions!$B$10)^18+INDEX(Surface_Engine!$D$12:$D$72,$A1500+1)))*INDEX(Surface_Engine!$B$12:$B$72,$A1500+1)+H1501</f>
        <v>0.779678002720978</v>
      </c>
      <c r="I1500" s="48" t="n">
        <f aca="false">E1500*(IF($A1500&lt;$Q$1455,INDEX(Surface_Engine!$D$12:$D$72,$A1500+1)+(Surface_Engine!Q248*12)*INDEX(Surface_Engine!$F$12:$F$72,$A1500+1)-(Surface_Engine!Q248*12),1000*12*INDEX(Surface_Engine!$C$12:$C$72,$A1500+1)/(1+Assumptions!$B$10)^18+INDEX(Surface_Engine!$D$12:$D$72,$A1500+1)))*INDEX(Surface_Engine!$B$12:$B$72,$A1500+1)+I1501</f>
        <v>0.975756809972053</v>
      </c>
      <c r="J1500" s="48" t="n">
        <f aca="false">B1500*(IF($A1500&lt;$Q$1455,INDEX(Surface_Engine!$D$12:$D$72,$A1500+1)*(1+Assumptions!$B$24)+(Surface_Engine!Q248*12)*INDEX(Surface_Engine!$F$12:$F$72,$A1500+1)-(Surface_Engine!Q248*12),1000*12*INDEX(Surface_Engine!$C$12:$C$72,$A1500+1)/(1+Assumptions!$B$10)^18+INDEX(Surface_Engine!$D$12:$D$72,$A1500+1)*(1+Assumptions!$B$24)))*INDEX(Surface_Engine!$B$12:$B$72,$A1500+1)+J1501</f>
        <v>0.873695148851018</v>
      </c>
      <c r="K1500" s="12" t="n">
        <f aca="false">SQRT((IF(C1500&lt;=0,0,MAX(0,(B1500/C1500)*G1500/INDEX(Surface_Engine!$B$12:$B$72,$A1500+1)-F1500/INDEX(Surface_Engine!$B$12:$B$72,$A1500+1))))^2+(MAX(IF(D1500&lt;=0,0,MAX(0,(B1500/D1500)*H1500/INDEX(Surface_Engine!$B$12:$B$72,$A1500+1)-F1500/INDEX(Surface_Engine!$B$12:$B$72,$A1500+1))),IF(E1500&lt;=0,0,MAX(0,(B1500/E1500)*I1500/INDEX(Surface_Engine!$B$12:$B$72,$A1500+1)-F1500/INDEX(Surface_Engine!$B$12:$B$72,$A1500+1))),IF($A1500&lt;$Q$1455,MAX(0,-Assumptions!$B$22*(F1500/INDEX(Surface_Engine!$B$12:$B$72,$A1500+1))),0)))^2+(MAX(0,J1500/INDEX(Surface_Engine!$B$12:$B$72,$A1500+1)-(F1500/INDEX(Surface_Engine!$B$12:$B$72,$A1500+1))))^2+2*Assumptions!$B$26*(IF(C1500&lt;=0,0,MAX(0,(B1500/C1500)*G1500/INDEX(Surface_Engine!$B$12:$B$72,$A1500+1)-F1500/INDEX(Surface_Engine!$B$12:$B$72,$A1500+1))))*(MAX(IF(D1500&lt;=0,0,MAX(0,(B1500/D1500)*H1500/INDEX(Surface_Engine!$B$12:$B$72,$A1500+1)-F1500/INDEX(Surface_Engine!$B$12:$B$72,$A1500+1))),IF(E1500&lt;=0,0,MAX(0,(B1500/E1500)*I1500/INDEX(Surface_Engine!$B$12:$B$72,$A1500+1)-F1500/INDEX(Surface_Engine!$B$12:$B$72,$A1500+1))),IF($A1500&lt;$Q$1455,MAX(0,-Assumptions!$B$22*(F1500/INDEX(Surface_Engine!$B$12:$B$72,$A1500+1))),0)))+2*Assumptions!$B$27*(IF(C1500&lt;=0,0,MAX(0,(B1500/C1500)*G1500/INDEX(Surface_Engine!$B$12:$B$72,$A1500+1)-F1500/INDEX(Surface_Engine!$B$12:$B$72,$A1500+1))))*(MAX(0,J1500/INDEX(Surface_Engine!$B$12:$B$72,$A1500+1)-(F1500/INDEX(Surface_Engine!$B$12:$B$72,$A1500+1))))+2*Assumptions!$B$28*(MAX(IF(D1500&lt;=0,0,MAX(0,(B1500/D1500)*H1500/INDEX(Surface_Engine!$B$12:$B$72,$A1500+1)-F1500/INDEX(Surface_Engine!$B$12:$B$72,$A1500+1))),IF(E1500&lt;=0,0,MAX(0,(B1500/E1500)*I1500/INDEX(Surface_Engine!$B$12:$B$72,$A1500+1)-F1500/INDEX(Surface_Engine!$B$12:$B$72,$A1500+1))),IF($A1500&lt;$Q$1455,MAX(0,-Assumptions!$B$22*(F1500/INDEX(Surface_Engine!$B$12:$B$72,$A1500+1))),0)))*(MAX(0,J1500/INDEX(Surface_Engine!$B$12:$B$72,$A1500+1)-(F1500/INDEX(Surface_Engine!$B$12:$B$72,$A1500+1)))))</f>
        <v>0.711053796023175</v>
      </c>
      <c r="L1500" s="48" t="n">
        <f aca="false">K1500*INDEX(Surface_Engine!$B$12:$B$72,$A1500+1)+L1501</f>
        <v>0.302534532763809</v>
      </c>
      <c r="M1500" s="48" t="n">
        <f aca="false">M1499+B1499*(IF($A1499&lt;$Q$1455,(Surface_Engine!Q248*12)-(Surface_Engine!Q248*12)*INDEX(Surface_Engine!$F$12:$F$72,$A1499+1)-INDEX(Surface_Engine!$D$12:$D$72,$A1499+1),-(1000*12*INDEX(Surface_Engine!$C$12:$C$72,$A1499+1)/(1+Assumptions!$B$10)^18+INDEX(Surface_Engine!$D$12:$D$72,$A1499+1))))*INDEX(Surface_Engine!$B$12:$B$72,$A1499+1)</f>
        <v>639.944291775512</v>
      </c>
      <c r="N1500" s="12" t="n">
        <f aca="false">IF(B1500&lt;=0,0,MAX(0,(K1500+Assumptions!$B$29*L1500/INDEX(Surface_Engine!$B$12:$B$72,$A1500+1)-(M1500/INDEX(Surface_Engine!$B$12:$B$72,$A1500+1)-(F1500/INDEX(Surface_Engine!$B$12:$B$72,$A1500+1))))/B1500))</f>
        <v>0</v>
      </c>
    </row>
    <row r="1501" customFormat="false" ht="15" hidden="false" customHeight="true" outlineLevel="0" collapsed="false">
      <c r="A1501" s="1" t="n">
        <v>44</v>
      </c>
      <c r="B1501" s="32" t="n">
        <f aca="false">INDEX(Surface_Engine!$S$12:$S$72,$A1501+1)*IF($A1501&lt;$Q$1455,INDEX(Surface_Engine!$E$12:$E$72,$A1501+1),INDEX(Surface_Engine!$E$12:$E$72,$Q$1455+1))</f>
        <v>4.4129425735204E-005</v>
      </c>
      <c r="C1501" s="32" t="n">
        <f aca="false">INDEX(Panel_Reserving!$G$8:$G$68,$A1501+1)*IF($A1501&lt;$Q$1455,INDEX(Surface_Engine!$E$12:$E$72,$A1501+1),INDEX(Surface_Engine!$E$12:$E$72,$Q$1455+1))</f>
        <v>0.000459756590939185</v>
      </c>
      <c r="D1501" s="32" t="n">
        <f aca="false">INDEX(Surface_Engine!$S$12:$S$72,$A1501+1)*IF($A1501&lt;$Q$1455,INDEX(Surface_Engine!$Y$12:$Y$72,$A1501+1),INDEX(Surface_Engine!$Y$12:$Y$72,$Q$1455+1))</f>
        <v>3.94277558617713E-005</v>
      </c>
      <c r="E1501" s="32" t="n">
        <f aca="false">INDEX(Surface_Engine!$S$12:$S$72,$A1501+1)*IF($A1501&lt;$Q$1455,INDEX(Surface_Engine!$Z$12:$Z$72,$A1501+1),INDEX(Surface_Engine!$Z$12:$Z$72,$Q$1455+1))</f>
        <v>4.93433201267405E-005</v>
      </c>
      <c r="F1501" s="48" t="n">
        <f aca="false">B1501*(IF($A1501&lt;$Q$1455,INDEX(Surface_Engine!$D$12:$D$72,$A1501+1)+(Surface_Engine!Q248*12)*INDEX(Surface_Engine!$F$12:$F$72,$A1501+1)-(Surface_Engine!Q248*12),1000*12*INDEX(Surface_Engine!$C$12:$C$72,$A1501+1)/(1+Assumptions!$B$10)^18+INDEX(Surface_Engine!$D$12:$D$72,$A1501+1)))*INDEX(Surface_Engine!$B$12:$B$72,$A1501+1)+F1502</f>
        <v>0.393502659525438</v>
      </c>
      <c r="G1501" s="48" t="n">
        <f aca="false">C1501*(IF($A1501&lt;$Q$1455,INDEX(Surface_Engine!$D$12:$D$72,$A1501+1)+(Surface_Engine!Q248*12)*INDEX(Surface_Engine!$F$12:$F$72,$A1501+1)-(Surface_Engine!Q248*12),1000*12*INDEX(Surface_Engine!$C$12:$C$72,$A1501+1)/(1+Assumptions!$B$10)^18+INDEX(Surface_Engine!$D$12:$D$72,$A1501+1)))*INDEX(Surface_Engine!$B$12:$B$72,$A1501+1)+G1502</f>
        <v>4.90789515164979</v>
      </c>
      <c r="H1501" s="48" t="n">
        <f aca="false">D1501*(IF($A1501&lt;$Q$1455,INDEX(Surface_Engine!$D$12:$D$72,$A1501+1)+(Surface_Engine!Q248*12)*INDEX(Surface_Engine!$F$12:$F$72,$A1501+1)-(Surface_Engine!Q248*12),1000*12*INDEX(Surface_Engine!$C$12:$C$72,$A1501+1)/(1+Assumptions!$B$10)^18+INDEX(Surface_Engine!$D$12:$D$72,$A1501+1)))*INDEX(Surface_Engine!$B$12:$B$72,$A1501+1)+H1502</f>
        <v>0.351577808508615</v>
      </c>
      <c r="I1501" s="48" t="n">
        <f aca="false">E1501*(IF($A1501&lt;$Q$1455,INDEX(Surface_Engine!$D$12:$D$72,$A1501+1)+(Surface_Engine!Q248*12)*INDEX(Surface_Engine!$F$12:$F$72,$A1501+1)-(Surface_Engine!Q248*12),1000*12*INDEX(Surface_Engine!$C$12:$C$72,$A1501+1)/(1+Assumptions!$B$10)^18+INDEX(Surface_Engine!$D$12:$D$72,$A1501+1)))*INDEX(Surface_Engine!$B$12:$B$72,$A1501+1)+I1502</f>
        <v>0.439995023189207</v>
      </c>
      <c r="J1501" s="48" t="n">
        <f aca="false">B1501*(IF($A1501&lt;$Q$1455,INDEX(Surface_Engine!$D$12:$D$72,$A1501+1)*(1+Assumptions!$B$24)+(Surface_Engine!Q248*12)*INDEX(Surface_Engine!$F$12:$F$72,$A1501+1)-(Surface_Engine!Q248*12),1000*12*INDEX(Surface_Engine!$C$12:$C$72,$A1501+1)/(1+Assumptions!$B$10)^18+INDEX(Surface_Engine!$D$12:$D$72,$A1501+1)*(1+Assumptions!$B$24)))*INDEX(Surface_Engine!$B$12:$B$72,$A1501+1)+J1502</f>
        <v>0.393974784152177</v>
      </c>
      <c r="K1501" s="12" t="n">
        <f aca="false">SQRT((IF(C1501&lt;=0,0,MAX(0,(B1501/C1501)*G1501/INDEX(Surface_Engine!$B$12:$B$72,$A1501+1)-F1501/INDEX(Surface_Engine!$B$12:$B$72,$A1501+1))))^2+(MAX(IF(D1501&lt;=0,0,MAX(0,(B1501/D1501)*H1501/INDEX(Surface_Engine!$B$12:$B$72,$A1501+1)-F1501/INDEX(Surface_Engine!$B$12:$B$72,$A1501+1))),IF(E1501&lt;=0,0,MAX(0,(B1501/E1501)*I1501/INDEX(Surface_Engine!$B$12:$B$72,$A1501+1)-F1501/INDEX(Surface_Engine!$B$12:$B$72,$A1501+1))),IF($A1501&lt;$Q$1455,MAX(0,-Assumptions!$B$22*(F1501/INDEX(Surface_Engine!$B$12:$B$72,$A1501+1))),0)))^2+(MAX(0,J1501/INDEX(Surface_Engine!$B$12:$B$72,$A1501+1)-(F1501/INDEX(Surface_Engine!$B$12:$B$72,$A1501+1))))^2+2*Assumptions!$B$26*(IF(C1501&lt;=0,0,MAX(0,(B1501/C1501)*G1501/INDEX(Surface_Engine!$B$12:$B$72,$A1501+1)-F1501/INDEX(Surface_Engine!$B$12:$B$72,$A1501+1))))*(MAX(IF(D1501&lt;=0,0,MAX(0,(B1501/D1501)*H1501/INDEX(Surface_Engine!$B$12:$B$72,$A1501+1)-F1501/INDEX(Surface_Engine!$B$12:$B$72,$A1501+1))),IF(E1501&lt;=0,0,MAX(0,(B1501/E1501)*I1501/INDEX(Surface_Engine!$B$12:$B$72,$A1501+1)-F1501/INDEX(Surface_Engine!$B$12:$B$72,$A1501+1))),IF($A1501&lt;$Q$1455,MAX(0,-Assumptions!$B$22*(F1501/INDEX(Surface_Engine!$B$12:$B$72,$A1501+1))),0)))+2*Assumptions!$B$27*(IF(C1501&lt;=0,0,MAX(0,(B1501/C1501)*G1501/INDEX(Surface_Engine!$B$12:$B$72,$A1501+1)-F1501/INDEX(Surface_Engine!$B$12:$B$72,$A1501+1))))*(MAX(0,J1501/INDEX(Surface_Engine!$B$12:$B$72,$A1501+1)-(F1501/INDEX(Surface_Engine!$B$12:$B$72,$A1501+1))))+2*Assumptions!$B$28*(MAX(IF(D1501&lt;=0,0,MAX(0,(B1501/D1501)*H1501/INDEX(Surface_Engine!$B$12:$B$72,$A1501+1)-F1501/INDEX(Surface_Engine!$B$12:$B$72,$A1501+1))),IF(E1501&lt;=0,0,MAX(0,(B1501/E1501)*I1501/INDEX(Surface_Engine!$B$12:$B$72,$A1501+1)-F1501/INDEX(Surface_Engine!$B$12:$B$72,$A1501+1))),IF($A1501&lt;$Q$1455,MAX(0,-Assumptions!$B$22*(F1501/INDEX(Surface_Engine!$B$12:$B$72,$A1501+1))),0)))*(MAX(0,J1501/INDEX(Surface_Engine!$B$12:$B$72,$A1501+1)-(F1501/INDEX(Surface_Engine!$B$12:$B$72,$A1501+1)))))</f>
        <v>0.311609752751573</v>
      </c>
      <c r="L1501" s="48" t="n">
        <f aca="false">K1501*INDEX(Surface_Engine!$B$12:$B$72,$A1501+1)+L1502</f>
        <v>0.119476086829916</v>
      </c>
      <c r="M1501" s="48" t="n">
        <f aca="false">M1500+B1500*(IF($A1500&lt;$Q$1455,(Surface_Engine!Q248*12)-(Surface_Engine!Q248*12)*INDEX(Surface_Engine!$F$12:$F$72,$A1500+1)-INDEX(Surface_Engine!$D$12:$D$72,$A1500+1),-(1000*12*INDEX(Surface_Engine!$C$12:$C$72,$A1500+1)/(1+Assumptions!$B$10)^18+INDEX(Surface_Engine!$D$12:$D$72,$A1500+1))))*INDEX(Surface_Engine!$B$12:$B$72,$A1500+1)</f>
        <v>639.465141610487</v>
      </c>
      <c r="N1501" s="12" t="n">
        <f aca="false">IF(B1501&lt;=0,0,MAX(0,(K1501+Assumptions!$B$29*L1501/INDEX(Surface_Engine!$B$12:$B$72,$A1501+1)-(M1501/INDEX(Surface_Engine!$B$12:$B$72,$A1501+1)-(F1501/INDEX(Surface_Engine!$B$12:$B$72,$A1501+1))))/B1501))</f>
        <v>0</v>
      </c>
    </row>
    <row r="1502" customFormat="false" ht="15" hidden="false" customHeight="true" outlineLevel="0" collapsed="false">
      <c r="A1502" s="1" t="n">
        <v>45</v>
      </c>
      <c r="B1502" s="32" t="n">
        <f aca="false">INDEX(Surface_Engine!$S$12:$S$72,$A1502+1)*IF($A1502&lt;$Q$1455,INDEX(Surface_Engine!$E$12:$E$72,$A1502+1),INDEX(Surface_Engine!$E$12:$E$72,$Q$1455+1))</f>
        <v>2.01074728896223E-005</v>
      </c>
      <c r="C1502" s="32" t="n">
        <f aca="false">INDEX(Panel_Reserving!$G$8:$G$68,$A1502+1)*IF($A1502&lt;$Q$1455,INDEX(Surface_Engine!$E$12:$E$72,$A1502+1),INDEX(Surface_Engine!$E$12:$E$72,$Q$1455+1))</f>
        <v>0.000259540957692437</v>
      </c>
      <c r="D1502" s="32" t="n">
        <f aca="false">INDEX(Surface_Engine!$S$12:$S$72,$A1502+1)*IF($A1502&lt;$Q$1455,INDEX(Surface_Engine!$Y$12:$Y$72,$A1502+1),INDEX(Surface_Engine!$Y$12:$Y$72,$Q$1455+1))</f>
        <v>1.79651676603797E-005</v>
      </c>
      <c r="E1502" s="32" t="n">
        <f aca="false">INDEX(Surface_Engine!$S$12:$S$72,$A1502+1)*IF($A1502&lt;$Q$1455,INDEX(Surface_Engine!$Z$12:$Z$72,$A1502+1),INDEX(Surface_Engine!$Z$12:$Z$72,$Q$1455+1))</f>
        <v>2.24831720604261E-005</v>
      </c>
      <c r="F1502" s="48" t="n">
        <f aca="false">B1502*(IF($A1502&lt;$Q$1455,INDEX(Surface_Engine!$D$12:$D$72,$A1502+1)+(Surface_Engine!Q248*12)*INDEX(Surface_Engine!$F$12:$F$72,$A1502+1)-(Surface_Engine!Q248*12),1000*12*INDEX(Surface_Engine!$C$12:$C$72,$A1502+1)/(1+Assumptions!$B$10)^18+INDEX(Surface_Engine!$D$12:$D$72,$A1502+1)))*INDEX(Surface_Engine!$B$12:$B$72,$A1502+1)+F1503</f>
        <v>0.169869738875321</v>
      </c>
      <c r="G1502" s="48" t="n">
        <f aca="false">C1502*(IF($A1502&lt;$Q$1455,INDEX(Surface_Engine!$D$12:$D$72,$A1502+1)+(Surface_Engine!Q248*12)*INDEX(Surface_Engine!$F$12:$F$72,$A1502+1)-(Surface_Engine!Q248*12),1000*12*INDEX(Surface_Engine!$C$12:$C$72,$A1502+1)/(1+Assumptions!$B$10)^18+INDEX(Surface_Engine!$D$12:$D$72,$A1502+1)))*INDEX(Surface_Engine!$B$12:$B$72,$A1502+1)+G1503</f>
        <v>2.57800511780215</v>
      </c>
      <c r="H1502" s="48" t="n">
        <f aca="false">D1502*(IF($A1502&lt;$Q$1455,INDEX(Surface_Engine!$D$12:$D$72,$A1502+1)+(Surface_Engine!Q248*12)*INDEX(Surface_Engine!$F$12:$F$72,$A1502+1)-(Surface_Engine!Q248*12),1000*12*INDEX(Surface_Engine!$C$12:$C$72,$A1502+1)/(1+Assumptions!$B$10)^18+INDEX(Surface_Engine!$D$12:$D$72,$A1502+1)))*INDEX(Surface_Engine!$B$12:$B$72,$A1502+1)+H1503</f>
        <v>0.151771351679658</v>
      </c>
      <c r="I1502" s="48" t="n">
        <f aca="false">E1502*(IF($A1502&lt;$Q$1455,INDEX(Surface_Engine!$D$12:$D$72,$A1502+1)+(Surface_Engine!Q248*12)*INDEX(Surface_Engine!$F$12:$F$72,$A1502+1)-(Surface_Engine!Q248*12),1000*12*INDEX(Surface_Engine!$C$12:$C$72,$A1502+1)/(1+Assumptions!$B$10)^18+INDEX(Surface_Engine!$D$12:$D$72,$A1502+1)))*INDEX(Surface_Engine!$B$12:$B$72,$A1502+1)+I1503</f>
        <v>0.189939859074217</v>
      </c>
      <c r="J1502" s="48" t="n">
        <f aca="false">B1502*(IF($A1502&lt;$Q$1455,INDEX(Surface_Engine!$D$12:$D$72,$A1502+1)*(1+Assumptions!$B$24)+(Surface_Engine!Q248*12)*INDEX(Surface_Engine!$F$12:$F$72,$A1502+1)-(Surface_Engine!Q248*12),1000*12*INDEX(Surface_Engine!$C$12:$C$72,$A1502+1)/(1+Assumptions!$B$10)^18+INDEX(Surface_Engine!$D$12:$D$72,$A1502+1)*(1+Assumptions!$B$24)))*INDEX(Surface_Engine!$B$12:$B$72,$A1502+1)+J1503</f>
        <v>0.170074446252003</v>
      </c>
      <c r="K1502" s="12" t="n">
        <f aca="false">SQRT((IF(C1502&lt;=0,0,MAX(0,(B1502/C1502)*G1502/INDEX(Surface_Engine!$B$12:$B$72,$A1502+1)-F1502/INDEX(Surface_Engine!$B$12:$B$72,$A1502+1))))^2+(MAX(IF(D1502&lt;=0,0,MAX(0,(B1502/D1502)*H1502/INDEX(Surface_Engine!$B$12:$B$72,$A1502+1)-F1502/INDEX(Surface_Engine!$B$12:$B$72,$A1502+1))),IF(E1502&lt;=0,0,MAX(0,(B1502/E1502)*I1502/INDEX(Surface_Engine!$B$12:$B$72,$A1502+1)-F1502/INDEX(Surface_Engine!$B$12:$B$72,$A1502+1))),IF($A1502&lt;$Q$1455,MAX(0,-Assumptions!$B$22*(F1502/INDEX(Surface_Engine!$B$12:$B$72,$A1502+1))),0)))^2+(MAX(0,J1502/INDEX(Surface_Engine!$B$12:$B$72,$A1502+1)-(F1502/INDEX(Surface_Engine!$B$12:$B$72,$A1502+1))))^2+2*Assumptions!$B$26*(IF(C1502&lt;=0,0,MAX(0,(B1502/C1502)*G1502/INDEX(Surface_Engine!$B$12:$B$72,$A1502+1)-F1502/INDEX(Surface_Engine!$B$12:$B$72,$A1502+1))))*(MAX(IF(D1502&lt;=0,0,MAX(0,(B1502/D1502)*H1502/INDEX(Surface_Engine!$B$12:$B$72,$A1502+1)-F1502/INDEX(Surface_Engine!$B$12:$B$72,$A1502+1))),IF(E1502&lt;=0,0,MAX(0,(B1502/E1502)*I1502/INDEX(Surface_Engine!$B$12:$B$72,$A1502+1)-F1502/INDEX(Surface_Engine!$B$12:$B$72,$A1502+1))),IF($A1502&lt;$Q$1455,MAX(0,-Assumptions!$B$22*(F1502/INDEX(Surface_Engine!$B$12:$B$72,$A1502+1))),0)))+2*Assumptions!$B$27*(IF(C1502&lt;=0,0,MAX(0,(B1502/C1502)*G1502/INDEX(Surface_Engine!$B$12:$B$72,$A1502+1)-F1502/INDEX(Surface_Engine!$B$12:$B$72,$A1502+1))))*(MAX(0,J1502/INDEX(Surface_Engine!$B$12:$B$72,$A1502+1)-(F1502/INDEX(Surface_Engine!$B$12:$B$72,$A1502+1))))+2*Assumptions!$B$28*(MAX(IF(D1502&lt;=0,0,MAX(0,(B1502/D1502)*H1502/INDEX(Surface_Engine!$B$12:$B$72,$A1502+1)-F1502/INDEX(Surface_Engine!$B$12:$B$72,$A1502+1))),IF(E1502&lt;=0,0,MAX(0,(B1502/E1502)*I1502/INDEX(Surface_Engine!$B$12:$B$72,$A1502+1)-F1502/INDEX(Surface_Engine!$B$12:$B$72,$A1502+1))),IF($A1502&lt;$Q$1455,MAX(0,-Assumptions!$B$22*(F1502/INDEX(Surface_Engine!$B$12:$B$72,$A1502+1))),0)))*(MAX(0,J1502/INDEX(Surface_Engine!$B$12:$B$72,$A1502+1)-(F1502/INDEX(Surface_Engine!$B$12:$B$72,$A1502+1)))))</f>
        <v>0.123903758199438</v>
      </c>
      <c r="L1502" s="48" t="n">
        <f aca="false">K1502*INDEX(Surface_Engine!$B$12:$B$72,$A1502+1)+L1503</f>
        <v>0.0417783704338075</v>
      </c>
      <c r="M1502" s="48" t="n">
        <f aca="false">M1501+B1501*(IF($A1501&lt;$Q$1455,(Surface_Engine!Q248*12)-(Surface_Engine!Q248*12)*INDEX(Surface_Engine!$F$12:$F$72,$A1501+1)-INDEX(Surface_Engine!$D$12:$D$72,$A1501+1),-(1000*12*INDEX(Surface_Engine!$C$12:$C$72,$A1501+1)/(1+Assumptions!$B$10)^18+INDEX(Surface_Engine!$D$12:$D$72,$A1501+1))))*INDEX(Surface_Engine!$B$12:$B$72,$A1501+1)</f>
        <v>639.241508689837</v>
      </c>
      <c r="N1502" s="12" t="n">
        <f aca="false">IF(B1502&lt;=0,0,MAX(0,(K1502+Assumptions!$B$29*L1502/INDEX(Surface_Engine!$B$12:$B$72,$A1502+1)-(M1502/INDEX(Surface_Engine!$B$12:$B$72,$A1502+1)-(F1502/INDEX(Surface_Engine!$B$12:$B$72,$A1502+1))))/B1502))</f>
        <v>0</v>
      </c>
    </row>
    <row r="1503" customFormat="false" ht="15" hidden="false" customHeight="true" outlineLevel="0" collapsed="false">
      <c r="A1503" s="1" t="n">
        <v>46</v>
      </c>
      <c r="B1503" s="32" t="n">
        <f aca="false">INDEX(Surface_Engine!$S$12:$S$72,$A1503+1)*IF($A1503&lt;$Q$1455,INDEX(Surface_Engine!$E$12:$E$72,$A1503+1),INDEX(Surface_Engine!$E$12:$E$72,$Q$1455+1))</f>
        <v>8.83098076595185E-006</v>
      </c>
      <c r="C1503" s="32" t="n">
        <f aca="false">INDEX(Panel_Reserving!$G$8:$G$68,$A1503+1)*IF($A1503&lt;$Q$1455,INDEX(Surface_Engine!$E$12:$E$72,$A1503+1),INDEX(Surface_Engine!$E$12:$E$72,$Q$1455+1))</f>
        <v>0.000143098216975909</v>
      </c>
      <c r="D1503" s="32" t="n">
        <f aca="false">INDEX(Surface_Engine!$S$12:$S$72,$A1503+1)*IF($A1503&lt;$Q$1455,INDEX(Surface_Engine!$Y$12:$Y$72,$A1503+1),INDEX(Surface_Engine!$Y$12:$Y$72,$Q$1455+1))</f>
        <v>7.89010389007135E-006</v>
      </c>
      <c r="E1503" s="32" t="n">
        <f aca="false">INDEX(Surface_Engine!$S$12:$S$72,$A1503+1)*IF($A1503&lt;$Q$1455,INDEX(Surface_Engine!$Z$12:$Z$72,$A1503+1),INDEX(Surface_Engine!$Z$12:$Z$72,$Q$1455+1))</f>
        <v>9.87436169194999E-006</v>
      </c>
      <c r="F1503" s="48" t="n">
        <f aca="false">B1503*(IF($A1503&lt;$Q$1455,INDEX(Surface_Engine!$D$12:$D$72,$A1503+1)+(Surface_Engine!Q248*12)*INDEX(Surface_Engine!$F$12:$F$72,$A1503+1)-(Surface_Engine!Q248*12),1000*12*INDEX(Surface_Engine!$C$12:$C$72,$A1503+1)/(1+Assumptions!$B$10)^18+INDEX(Surface_Engine!$D$12:$D$72,$A1503+1)))*INDEX(Surface_Engine!$B$12:$B$72,$A1503+1)+F1504</f>
        <v>0.0692454765461336</v>
      </c>
      <c r="G1503" s="48" t="n">
        <f aca="false">C1503*(IF($A1503&lt;$Q$1455,INDEX(Surface_Engine!$D$12:$D$72,$A1503+1)+(Surface_Engine!Q248*12)*INDEX(Surface_Engine!$F$12:$F$72,$A1503+1)-(Surface_Engine!Q248*12),1000*12*INDEX(Surface_Engine!$C$12:$C$72,$A1503+1)/(1+Assumptions!$B$10)^18+INDEX(Surface_Engine!$D$12:$D$72,$A1503+1)))*INDEX(Surface_Engine!$B$12:$B$72,$A1503+1)+G1504</f>
        <v>1.2791786787278</v>
      </c>
      <c r="H1503" s="48" t="n">
        <f aca="false">D1503*(IF($A1503&lt;$Q$1455,INDEX(Surface_Engine!$D$12:$D$72,$A1503+1)+(Surface_Engine!Q248*12)*INDEX(Surface_Engine!$F$12:$F$72,$A1503+1)-(Surface_Engine!Q248*12),1000*12*INDEX(Surface_Engine!$C$12:$C$72,$A1503+1)/(1+Assumptions!$B$10)^18+INDEX(Surface_Engine!$D$12:$D$72,$A1503+1)))*INDEX(Surface_Engine!$B$12:$B$72,$A1503+1)+H1504</f>
        <v>0.0618678738349176</v>
      </c>
      <c r="I1503" s="48" t="n">
        <f aca="false">E1503*(IF($A1503&lt;$Q$1455,INDEX(Surface_Engine!$D$12:$D$72,$A1503+1)+(Surface_Engine!Q248*12)*INDEX(Surface_Engine!$F$12:$F$72,$A1503+1)-(Surface_Engine!Q248*12),1000*12*INDEX(Surface_Engine!$C$12:$C$72,$A1503+1)/(1+Assumptions!$B$10)^18+INDEX(Surface_Engine!$D$12:$D$72,$A1503+1)))*INDEX(Surface_Engine!$B$12:$B$72,$A1503+1)+I1504</f>
        <v>0.0774268339009642</v>
      </c>
      <c r="J1503" s="48" t="n">
        <f aca="false">B1503*(IF($A1503&lt;$Q$1455,INDEX(Surface_Engine!$D$12:$D$72,$A1503+1)*(1+Assumptions!$B$24)+(Surface_Engine!Q248*12)*INDEX(Surface_Engine!$F$12:$F$72,$A1503+1)-(Surface_Engine!Q248*12),1000*12*INDEX(Surface_Engine!$C$12:$C$72,$A1503+1)/(1+Assumptions!$B$10)^18+INDEX(Surface_Engine!$D$12:$D$72,$A1503+1)*(1+Assumptions!$B$24)))*INDEX(Surface_Engine!$B$12:$B$72,$A1503+1)+J1504</f>
        <v>0.0693292760363025</v>
      </c>
      <c r="K1503" s="12" t="n">
        <f aca="false">SQRT((IF(C1503&lt;=0,0,MAX(0,(B1503/C1503)*G1503/INDEX(Surface_Engine!$B$12:$B$72,$A1503+1)-F1503/INDEX(Surface_Engine!$B$12:$B$72,$A1503+1))))^2+(MAX(IF(D1503&lt;=0,0,MAX(0,(B1503/D1503)*H1503/INDEX(Surface_Engine!$B$12:$B$72,$A1503+1)-F1503/INDEX(Surface_Engine!$B$12:$B$72,$A1503+1))),IF(E1503&lt;=0,0,MAX(0,(B1503/E1503)*I1503/INDEX(Surface_Engine!$B$12:$B$72,$A1503+1)-F1503/INDEX(Surface_Engine!$B$12:$B$72,$A1503+1))),IF($A1503&lt;$Q$1455,MAX(0,-Assumptions!$B$22*(F1503/INDEX(Surface_Engine!$B$12:$B$72,$A1503+1))),0)))^2+(MAX(0,J1503/INDEX(Surface_Engine!$B$12:$B$72,$A1503+1)-(F1503/INDEX(Surface_Engine!$B$12:$B$72,$A1503+1))))^2+2*Assumptions!$B$26*(IF(C1503&lt;=0,0,MAX(0,(B1503/C1503)*G1503/INDEX(Surface_Engine!$B$12:$B$72,$A1503+1)-F1503/INDEX(Surface_Engine!$B$12:$B$72,$A1503+1))))*(MAX(IF(D1503&lt;=0,0,MAX(0,(B1503/D1503)*H1503/INDEX(Surface_Engine!$B$12:$B$72,$A1503+1)-F1503/INDEX(Surface_Engine!$B$12:$B$72,$A1503+1))),IF(E1503&lt;=0,0,MAX(0,(B1503/E1503)*I1503/INDEX(Surface_Engine!$B$12:$B$72,$A1503+1)-F1503/INDEX(Surface_Engine!$B$12:$B$72,$A1503+1))),IF($A1503&lt;$Q$1455,MAX(0,-Assumptions!$B$22*(F1503/INDEX(Surface_Engine!$B$12:$B$72,$A1503+1))),0)))+2*Assumptions!$B$27*(IF(C1503&lt;=0,0,MAX(0,(B1503/C1503)*G1503/INDEX(Surface_Engine!$B$12:$B$72,$A1503+1)-F1503/INDEX(Surface_Engine!$B$12:$B$72,$A1503+1))))*(MAX(0,J1503/INDEX(Surface_Engine!$B$12:$B$72,$A1503+1)-(F1503/INDEX(Surface_Engine!$B$12:$B$72,$A1503+1))))+2*Assumptions!$B$28*(MAX(IF(D1503&lt;=0,0,MAX(0,(B1503/D1503)*H1503/INDEX(Surface_Engine!$B$12:$B$72,$A1503+1)-F1503/INDEX(Surface_Engine!$B$12:$B$72,$A1503+1))),IF(E1503&lt;=0,0,MAX(0,(B1503/E1503)*I1503/INDEX(Surface_Engine!$B$12:$B$72,$A1503+1)-F1503/INDEX(Surface_Engine!$B$12:$B$72,$A1503+1))),IF($A1503&lt;$Q$1455,MAX(0,-Assumptions!$B$22*(F1503/INDEX(Surface_Engine!$B$12:$B$72,$A1503+1))),0)))*(MAX(0,J1503/INDEX(Surface_Engine!$B$12:$B$72,$A1503+1)-(F1503/INDEX(Surface_Engine!$B$12:$B$72,$A1503+1)))))</f>
        <v>0.0415673599601997</v>
      </c>
      <c r="L1503" s="48" t="n">
        <f aca="false">K1503*INDEX(Surface_Engine!$B$12:$B$72,$A1503+1)+L1504</f>
        <v>0.0118699262250577</v>
      </c>
      <c r="M1503" s="48" t="n">
        <f aca="false">M1502+B1502*(IF($A1502&lt;$Q$1455,(Surface_Engine!Q248*12)-(Surface_Engine!Q248*12)*INDEX(Surface_Engine!$F$12:$F$72,$A1502+1)-INDEX(Surface_Engine!$D$12:$D$72,$A1502+1),-(1000*12*INDEX(Surface_Engine!$C$12:$C$72,$A1502+1)/(1+Assumptions!$B$10)^18+INDEX(Surface_Engine!$D$12:$D$72,$A1502+1))))*INDEX(Surface_Engine!$B$12:$B$72,$A1502+1)</f>
        <v>639.140884427508</v>
      </c>
      <c r="N1503" s="12" t="n">
        <f aca="false">IF(B1503&lt;=0,0,MAX(0,(K1503+Assumptions!$B$29*L1503/INDEX(Surface_Engine!$B$12:$B$72,$A1503+1)-(M1503/INDEX(Surface_Engine!$B$12:$B$72,$A1503+1)-(F1503/INDEX(Surface_Engine!$B$12:$B$72,$A1503+1))))/B1503))</f>
        <v>0</v>
      </c>
    </row>
    <row r="1504" customFormat="false" ht="15" hidden="false" customHeight="true" outlineLevel="0" collapsed="false">
      <c r="A1504" s="1" t="n">
        <v>47</v>
      </c>
      <c r="B1504" s="32" t="n">
        <f aca="false">INDEX(Surface_Engine!$S$12:$S$72,$A1504+1)*IF($A1504&lt;$Q$1455,INDEX(Surface_Engine!$E$12:$E$72,$A1504+1),INDEX(Surface_Engine!$E$12:$E$72,$Q$1455+1))</f>
        <v>3.73622903793948E-006</v>
      </c>
      <c r="C1504" s="32" t="n">
        <f aca="false">INDEX(Panel_Reserving!$G$8:$G$68,$A1504+1)*IF($A1504&lt;$Q$1455,INDEX(Surface_Engine!$E$12:$E$72,$A1504+1),INDEX(Surface_Engine!$E$12:$E$72,$Q$1455+1))</f>
        <v>7.70534676973797E-005</v>
      </c>
      <c r="D1504" s="32" t="n">
        <f aca="false">INDEX(Surface_Engine!$S$12:$S$72,$A1504+1)*IF($A1504&lt;$Q$1455,INDEX(Surface_Engine!$Y$12:$Y$72,$A1504+1),INDEX(Surface_Engine!$Y$12:$Y$72,$Q$1455+1))</f>
        <v>3.33816096396699E-006</v>
      </c>
      <c r="E1504" s="32" t="n">
        <f aca="false">INDEX(Surface_Engine!$S$12:$S$72,$A1504+1)*IF($A1504&lt;$Q$1455,INDEX(Surface_Engine!$Z$12:$Z$72,$A1504+1),INDEX(Surface_Engine!$Z$12:$Z$72,$Q$1455+1))</f>
        <v>4.1776647308329E-006</v>
      </c>
      <c r="F1504" s="48" t="n">
        <f aca="false">B1504*(IF($A1504&lt;$Q$1455,INDEX(Surface_Engine!$D$12:$D$72,$A1504+1)+(Surface_Engine!Q248*12)*INDEX(Surface_Engine!$F$12:$F$72,$A1504+1)-(Surface_Engine!Q248*12),1000*12*INDEX(Surface_Engine!$C$12:$C$72,$A1504+1)/(1+Assumptions!$B$10)^18+INDEX(Surface_Engine!$D$12:$D$72,$A1504+1)))*INDEX(Surface_Engine!$B$12:$B$72,$A1504+1)+F1505</f>
        <v>0.0255869801218053</v>
      </c>
      <c r="G1504" s="48" t="n">
        <f aca="false">C1504*(IF($A1504&lt;$Q$1455,INDEX(Surface_Engine!$D$12:$D$72,$A1504+1)+(Surface_Engine!Q248*12)*INDEX(Surface_Engine!$F$12:$F$72,$A1504+1)-(Surface_Engine!Q248*12),1000*12*INDEX(Surface_Engine!$C$12:$C$72,$A1504+1)/(1+Assumptions!$B$10)^18+INDEX(Surface_Engine!$D$12:$D$72,$A1504+1)))*INDEX(Surface_Engine!$B$12:$B$72,$A1504+1)+G1505</f>
        <v>0.571731435918963</v>
      </c>
      <c r="H1504" s="48" t="n">
        <f aca="false">D1504*(IF($A1504&lt;$Q$1455,INDEX(Surface_Engine!$D$12:$D$72,$A1504+1)+(Surface_Engine!Q248*12)*INDEX(Surface_Engine!$F$12:$F$72,$A1504+1)-(Surface_Engine!Q248*12),1000*12*INDEX(Surface_Engine!$C$12:$C$72,$A1504+1)/(1+Assumptions!$B$10)^18+INDEX(Surface_Engine!$D$12:$D$72,$A1504+1)))*INDEX(Surface_Engine!$B$12:$B$72,$A1504+1)+H1505</f>
        <v>0.0228608731855248</v>
      </c>
      <c r="I1504" s="48" t="n">
        <f aca="false">E1504*(IF($A1504&lt;$Q$1455,INDEX(Surface_Engine!$D$12:$D$72,$A1504+1)+(Surface_Engine!Q248*12)*INDEX(Surface_Engine!$F$12:$F$72,$A1504+1)-(Surface_Engine!Q248*12),1000*12*INDEX(Surface_Engine!$C$12:$C$72,$A1504+1)/(1+Assumptions!$B$10)^18+INDEX(Surface_Engine!$D$12:$D$72,$A1504+1)))*INDEX(Surface_Engine!$B$12:$B$72,$A1504+1)+I1505</f>
        <v>0.0286100834124291</v>
      </c>
      <c r="J1504" s="48" t="n">
        <f aca="false">B1504*(IF($A1504&lt;$Q$1455,INDEX(Surface_Engine!$D$12:$D$72,$A1504+1)*(1+Assumptions!$B$24)+(Surface_Engine!Q248*12)*INDEX(Surface_Engine!$F$12:$F$72,$A1504+1)-(Surface_Engine!Q248*12),1000*12*INDEX(Surface_Engine!$C$12:$C$72,$A1504+1)/(1+Assumptions!$B$10)^18+INDEX(Surface_Engine!$D$12:$D$72,$A1504+1)*(1+Assumptions!$B$24)))*INDEX(Surface_Engine!$B$12:$B$72,$A1504+1)+J1505</f>
        <v>0.0256180664814395</v>
      </c>
      <c r="K1504" s="12" t="n">
        <f aca="false">SQRT((IF(C1504&lt;=0,0,MAX(0,(B1504/C1504)*G1504/INDEX(Surface_Engine!$B$12:$B$72,$A1504+1)-F1504/INDEX(Surface_Engine!$B$12:$B$72,$A1504+1))))^2+(MAX(IF(D1504&lt;=0,0,MAX(0,(B1504/D1504)*H1504/INDEX(Surface_Engine!$B$12:$B$72,$A1504+1)-F1504/INDEX(Surface_Engine!$B$12:$B$72,$A1504+1))),IF(E1504&lt;=0,0,MAX(0,(B1504/E1504)*I1504/INDEX(Surface_Engine!$B$12:$B$72,$A1504+1)-F1504/INDEX(Surface_Engine!$B$12:$B$72,$A1504+1))),IF($A1504&lt;$Q$1455,MAX(0,-Assumptions!$B$22*(F1504/INDEX(Surface_Engine!$B$12:$B$72,$A1504+1))),0)))^2+(MAX(0,J1504/INDEX(Surface_Engine!$B$12:$B$72,$A1504+1)-(F1504/INDEX(Surface_Engine!$B$12:$B$72,$A1504+1))))^2+2*Assumptions!$B$26*(IF(C1504&lt;=0,0,MAX(0,(B1504/C1504)*G1504/INDEX(Surface_Engine!$B$12:$B$72,$A1504+1)-F1504/INDEX(Surface_Engine!$B$12:$B$72,$A1504+1))))*(MAX(IF(D1504&lt;=0,0,MAX(0,(B1504/D1504)*H1504/INDEX(Surface_Engine!$B$12:$B$72,$A1504+1)-F1504/INDEX(Surface_Engine!$B$12:$B$72,$A1504+1))),IF(E1504&lt;=0,0,MAX(0,(B1504/E1504)*I1504/INDEX(Surface_Engine!$B$12:$B$72,$A1504+1)-F1504/INDEX(Surface_Engine!$B$12:$B$72,$A1504+1))),IF($A1504&lt;$Q$1455,MAX(0,-Assumptions!$B$22*(F1504/INDEX(Surface_Engine!$B$12:$B$72,$A1504+1))),0)))+2*Assumptions!$B$27*(IF(C1504&lt;=0,0,MAX(0,(B1504/C1504)*G1504/INDEX(Surface_Engine!$B$12:$B$72,$A1504+1)-F1504/INDEX(Surface_Engine!$B$12:$B$72,$A1504+1))))*(MAX(0,J1504/INDEX(Surface_Engine!$B$12:$B$72,$A1504+1)-(F1504/INDEX(Surface_Engine!$B$12:$B$72,$A1504+1))))+2*Assumptions!$B$28*(MAX(IF(D1504&lt;=0,0,MAX(0,(B1504/D1504)*H1504/INDEX(Surface_Engine!$B$12:$B$72,$A1504+1)-F1504/INDEX(Surface_Engine!$B$12:$B$72,$A1504+1))),IF(E1504&lt;=0,0,MAX(0,(B1504/E1504)*I1504/INDEX(Surface_Engine!$B$12:$B$72,$A1504+1)-F1504/INDEX(Surface_Engine!$B$12:$B$72,$A1504+1))),IF($A1504&lt;$Q$1455,MAX(0,-Assumptions!$B$22*(F1504/INDEX(Surface_Engine!$B$12:$B$72,$A1504+1))),0)))*(MAX(0,J1504/INDEX(Surface_Engine!$B$12:$B$72,$A1504+1)-(F1504/INDEX(Surface_Engine!$B$12:$B$72,$A1504+1)))))</f>
        <v>0.00946799684940151</v>
      </c>
      <c r="L1504" s="48" t="n">
        <f aca="false">K1504*INDEX(Surface_Engine!$B$12:$B$72,$A1504+1)+L1505</f>
        <v>0.00215251342872825</v>
      </c>
      <c r="M1504" s="48" t="n">
        <f aca="false">M1503+B1503*(IF($A1503&lt;$Q$1455,(Surface_Engine!Q248*12)-(Surface_Engine!Q248*12)*INDEX(Surface_Engine!$F$12:$F$72,$A1503+1)-INDEX(Surface_Engine!$D$12:$D$72,$A1503+1),-(1000*12*INDEX(Surface_Engine!$C$12:$C$72,$A1503+1)/(1+Assumptions!$B$10)^18+INDEX(Surface_Engine!$D$12:$D$72,$A1503+1))))*INDEX(Surface_Engine!$B$12:$B$72,$A1503+1)</f>
        <v>639.097225931084</v>
      </c>
      <c r="N1504" s="12" t="n">
        <f aca="false">IF(B1504&lt;=0,0,MAX(0,(K1504+Assumptions!$B$29*L1504/INDEX(Surface_Engine!$B$12:$B$72,$A1504+1)-(M1504/INDEX(Surface_Engine!$B$12:$B$72,$A1504+1)-(F1504/INDEX(Surface_Engine!$B$12:$B$72,$A1504+1))))/B1504))</f>
        <v>0</v>
      </c>
    </row>
    <row r="1505" customFormat="false" ht="15" hidden="false" customHeight="true" outlineLevel="0" collapsed="false">
      <c r="A1505" s="1" t="n">
        <v>48</v>
      </c>
      <c r="B1505" s="32" t="n">
        <f aca="false">INDEX(Surface_Engine!$S$12:$S$72,$A1505+1)*IF($A1505&lt;$Q$1455,INDEX(Surface_Engine!$E$12:$E$72,$A1505+1),INDEX(Surface_Engine!$E$12:$E$72,$Q$1455+1))</f>
        <v>1.52199178892113E-006</v>
      </c>
      <c r="C1505" s="32" t="n">
        <f aca="false">INDEX(Panel_Reserving!$G$8:$G$68,$A1505+1)*IF($A1505&lt;$Q$1455,INDEX(Surface_Engine!$E$12:$E$72,$A1505+1),INDEX(Surface_Engine!$E$12:$E$72,$Q$1455+1))</f>
        <v>4.05215192308235E-005</v>
      </c>
      <c r="D1505" s="32" t="n">
        <f aca="false">INDEX(Surface_Engine!$S$12:$S$72,$A1505+1)*IF($A1505&lt;$Q$1455,INDEX(Surface_Engine!$Y$12:$Y$72,$A1505+1),INDEX(Surface_Engine!$Y$12:$Y$72,$Q$1455+1))</f>
        <v>1.35983461550761E-006</v>
      </c>
      <c r="E1505" s="32" t="n">
        <f aca="false">INDEX(Surface_Engine!$S$12:$S$72,$A1505+1)*IF($A1505&lt;$Q$1455,INDEX(Surface_Engine!$Z$12:$Z$72,$A1505+1),INDEX(Surface_Engine!$Z$12:$Z$72,$Q$1455+1))</f>
        <v>1.70181521331457E-006</v>
      </c>
      <c r="F1505" s="48" t="n">
        <f aca="false">B1505*(IF($A1505&lt;$Q$1455,INDEX(Surface_Engine!$D$12:$D$72,$A1505+1)+(Surface_Engine!Q248*12)*INDEX(Surface_Engine!$F$12:$F$72,$A1505+1)-(Surface_Engine!Q248*12),1000*12*INDEX(Surface_Engine!$C$12:$C$72,$A1505+1)/(1+Assumptions!$B$10)^18+INDEX(Surface_Engine!$D$12:$D$72,$A1505+1)))*INDEX(Surface_Engine!$B$12:$B$72,$A1505+1)+F1506</f>
        <v>0.00733963629011835</v>
      </c>
      <c r="G1505" s="48" t="n">
        <f aca="false">C1505*(IF($A1505&lt;$Q$1455,INDEX(Surface_Engine!$D$12:$D$72,$A1505+1)+(Surface_Engine!Q248*12)*INDEX(Surface_Engine!$F$12:$F$72,$A1505+1)-(Surface_Engine!Q248*12),1000*12*INDEX(Surface_Engine!$C$12:$C$72,$A1505+1)/(1+Assumptions!$B$10)^18+INDEX(Surface_Engine!$D$12:$D$72,$A1505+1)))*INDEX(Surface_Engine!$B$12:$B$72,$A1505+1)+G1506</f>
        <v>0.195410524052895</v>
      </c>
      <c r="H1505" s="48" t="n">
        <f aca="false">D1505*(IF($A1505&lt;$Q$1455,INDEX(Surface_Engine!$D$12:$D$72,$A1505+1)+(Surface_Engine!Q248*12)*INDEX(Surface_Engine!$F$12:$F$72,$A1505+1)-(Surface_Engine!Q248*12),1000*12*INDEX(Surface_Engine!$C$12:$C$72,$A1505+1)/(1+Assumptions!$B$10)^18+INDEX(Surface_Engine!$D$12:$D$72,$A1505+1)))*INDEX(Surface_Engine!$B$12:$B$72,$A1505+1)+H1506</f>
        <v>0.00655765133898236</v>
      </c>
      <c r="I1505" s="48" t="n">
        <f aca="false">E1505*(IF($A1505&lt;$Q$1455,INDEX(Surface_Engine!$D$12:$D$72,$A1505+1)+(Surface_Engine!Q248*12)*INDEX(Surface_Engine!$F$12:$F$72,$A1505+1)-(Surface_Engine!Q248*12),1000*12*INDEX(Surface_Engine!$C$12:$C$72,$A1505+1)/(1+Assumptions!$B$10)^18+INDEX(Surface_Engine!$D$12:$D$72,$A1505+1)))*INDEX(Surface_Engine!$B$12:$B$72,$A1505+1)+I1506</f>
        <v>0.00820681477366788</v>
      </c>
      <c r="J1505" s="48" t="n">
        <f aca="false">B1505*(IF($A1505&lt;$Q$1455,INDEX(Surface_Engine!$D$12:$D$72,$A1505+1)*(1+Assumptions!$B$24)+(Surface_Engine!Q248*12)*INDEX(Surface_Engine!$F$12:$F$72,$A1505+1)-(Surface_Engine!Q248*12),1000*12*INDEX(Surface_Engine!$C$12:$C$72,$A1505+1)/(1+Assumptions!$B$10)^18+INDEX(Surface_Engine!$D$12:$D$72,$A1505+1)*(1+Assumptions!$B$24)))*INDEX(Surface_Engine!$B$12:$B$72,$A1505+1)+J1506</f>
        <v>0.00734858417585137</v>
      </c>
      <c r="K1505" s="12" t="n">
        <f aca="false">SQRT((IF(C1505&lt;=0,0,MAX(0,(B1505/C1505)*G1505/INDEX(Surface_Engine!$B$12:$B$72,$A1505+1)-F1505/INDEX(Surface_Engine!$B$12:$B$72,$A1505+1))))^2+(MAX(IF(D1505&lt;=0,0,MAX(0,(B1505/D1505)*H1505/INDEX(Surface_Engine!$B$12:$B$72,$A1505+1)-F1505/INDEX(Surface_Engine!$B$12:$B$72,$A1505+1))),IF(E1505&lt;=0,0,MAX(0,(B1505/E1505)*I1505/INDEX(Surface_Engine!$B$12:$B$72,$A1505+1)-F1505/INDEX(Surface_Engine!$B$12:$B$72,$A1505+1))),IF($A1505&lt;$Q$1455,MAX(0,-Assumptions!$B$22*(F1505/INDEX(Surface_Engine!$B$12:$B$72,$A1505+1))),0)))^2+(MAX(0,J1505/INDEX(Surface_Engine!$B$12:$B$72,$A1505+1)-(F1505/INDEX(Surface_Engine!$B$12:$B$72,$A1505+1))))^2+2*Assumptions!$B$26*(IF(C1505&lt;=0,0,MAX(0,(B1505/C1505)*G1505/INDEX(Surface_Engine!$B$12:$B$72,$A1505+1)-F1505/INDEX(Surface_Engine!$B$12:$B$72,$A1505+1))))*(MAX(IF(D1505&lt;=0,0,MAX(0,(B1505/D1505)*H1505/INDEX(Surface_Engine!$B$12:$B$72,$A1505+1)-F1505/INDEX(Surface_Engine!$B$12:$B$72,$A1505+1))),IF(E1505&lt;=0,0,MAX(0,(B1505/E1505)*I1505/INDEX(Surface_Engine!$B$12:$B$72,$A1505+1)-F1505/INDEX(Surface_Engine!$B$12:$B$72,$A1505+1))),IF($A1505&lt;$Q$1455,MAX(0,-Assumptions!$B$22*(F1505/INDEX(Surface_Engine!$B$12:$B$72,$A1505+1))),0)))+2*Assumptions!$B$27*(IF(C1505&lt;=0,0,MAX(0,(B1505/C1505)*G1505/INDEX(Surface_Engine!$B$12:$B$72,$A1505+1)-F1505/INDEX(Surface_Engine!$B$12:$B$72,$A1505+1))))*(MAX(0,J1505/INDEX(Surface_Engine!$B$12:$B$72,$A1505+1)-(F1505/INDEX(Surface_Engine!$B$12:$B$72,$A1505+1))))+2*Assumptions!$B$28*(MAX(IF(D1505&lt;=0,0,MAX(0,(B1505/D1505)*H1505/INDEX(Surface_Engine!$B$12:$B$72,$A1505+1)-F1505/INDEX(Surface_Engine!$B$12:$B$72,$A1505+1))),IF(E1505&lt;=0,0,MAX(0,(B1505/E1505)*I1505/INDEX(Surface_Engine!$B$12:$B$72,$A1505+1)-F1505/INDEX(Surface_Engine!$B$12:$B$72,$A1505+1))),IF($A1505&lt;$Q$1455,MAX(0,-Assumptions!$B$22*(F1505/INDEX(Surface_Engine!$B$12:$B$72,$A1505+1))),0)))*(MAX(0,J1505/INDEX(Surface_Engine!$B$12:$B$72,$A1505+1)-(F1505/INDEX(Surface_Engine!$B$12:$B$72,$A1505+1)))))</f>
        <v>4.08292780411171E-005</v>
      </c>
      <c r="L1505" s="48" t="n">
        <f aca="false">K1505*INDEX(Surface_Engine!$B$12:$B$72,$A1505+1)+L1506</f>
        <v>8.9478857330241E-006</v>
      </c>
      <c r="M1505" s="48" t="n">
        <f aca="false">M1504+B1504*(IF($A1504&lt;$Q$1455,(Surface_Engine!Q248*12)-(Surface_Engine!Q248*12)*INDEX(Surface_Engine!$F$12:$F$72,$A1504+1)-INDEX(Surface_Engine!$D$12:$D$72,$A1504+1),-(1000*12*INDEX(Surface_Engine!$C$12:$C$72,$A1504+1)/(1+Assumptions!$B$10)^18+INDEX(Surface_Engine!$D$12:$D$72,$A1504+1))))*INDEX(Surface_Engine!$B$12:$B$72,$A1504+1)</f>
        <v>639.078978587252</v>
      </c>
      <c r="N1505" s="12" t="n">
        <f aca="false">IF(B1505&lt;=0,0,MAX(0,(K1505+Assumptions!$B$29*L1505/INDEX(Surface_Engine!$B$12:$B$72,$A1505+1)-(M1505/INDEX(Surface_Engine!$B$12:$B$72,$A1505+1)-(F1505/INDEX(Surface_Engine!$B$12:$B$72,$A1505+1))))/B1505))</f>
        <v>0</v>
      </c>
    </row>
    <row r="1506" customFormat="false" ht="15" hidden="false" customHeight="true" outlineLevel="0" collapsed="false">
      <c r="A1506" s="1" t="n">
        <v>49</v>
      </c>
      <c r="B1506" s="32" t="n">
        <f aca="false">INDEX(Surface_Engine!$S$12:$S$72,$A1506+1)*IF($A1506&lt;$Q$1455,INDEX(Surface_Engine!$E$12:$E$72,$A1506+1),INDEX(Surface_Engine!$E$12:$E$72,$Q$1455+1))</f>
        <v>0</v>
      </c>
      <c r="C1506" s="32" t="n">
        <f aca="false">INDEX(Panel_Reserving!$G$8:$G$68,$A1506+1)*IF($A1506&lt;$Q$1455,INDEX(Surface_Engine!$E$12:$E$72,$A1506+1),INDEX(Surface_Engine!$E$12:$E$72,$Q$1455+1))</f>
        <v>0</v>
      </c>
      <c r="D1506" s="32" t="n">
        <f aca="false">INDEX(Surface_Engine!$S$12:$S$72,$A1506+1)*IF($A1506&lt;$Q$1455,INDEX(Surface_Engine!$Y$12:$Y$72,$A1506+1),INDEX(Surface_Engine!$Y$12:$Y$72,$Q$1455+1))</f>
        <v>0</v>
      </c>
      <c r="E1506" s="32" t="n">
        <f aca="false">INDEX(Surface_Engine!$S$12:$S$72,$A1506+1)*IF($A1506&lt;$Q$1455,INDEX(Surface_Engine!$Z$12:$Z$72,$A1506+1),INDEX(Surface_Engine!$Z$12:$Z$72,$Q$1455+1))</f>
        <v>0</v>
      </c>
      <c r="F1506" s="48" t="n">
        <f aca="false">B1506*(IF($A1506&lt;$Q$1455,INDEX(Surface_Engine!$D$12:$D$72,$A1506+1)+(Surface_Engine!Q248*12)*INDEX(Surface_Engine!$F$12:$F$72,$A1506+1)-(Surface_Engine!Q248*12),1000*12*INDEX(Surface_Engine!$C$12:$C$72,$A1506+1)/(1+Assumptions!$B$10)^18+INDEX(Surface_Engine!$D$12:$D$72,$A1506+1)))*INDEX(Surface_Engine!$B$12:$B$72,$A1506+1)+F1507</f>
        <v>0</v>
      </c>
      <c r="G1506" s="48" t="n">
        <f aca="false">C1506*(IF($A1506&lt;$Q$1455,INDEX(Surface_Engine!$D$12:$D$72,$A1506+1)+(Surface_Engine!Q248*12)*INDEX(Surface_Engine!$F$12:$F$72,$A1506+1)-(Surface_Engine!Q248*12),1000*12*INDEX(Surface_Engine!$C$12:$C$72,$A1506+1)/(1+Assumptions!$B$10)^18+INDEX(Surface_Engine!$D$12:$D$72,$A1506+1)))*INDEX(Surface_Engine!$B$12:$B$72,$A1506+1)+G1507</f>
        <v>0</v>
      </c>
      <c r="H1506" s="48" t="n">
        <f aca="false">D1506*(IF($A1506&lt;$Q$1455,INDEX(Surface_Engine!$D$12:$D$72,$A1506+1)+(Surface_Engine!Q248*12)*INDEX(Surface_Engine!$F$12:$F$72,$A1506+1)-(Surface_Engine!Q248*12),1000*12*INDEX(Surface_Engine!$C$12:$C$72,$A1506+1)/(1+Assumptions!$B$10)^18+INDEX(Surface_Engine!$D$12:$D$72,$A1506+1)))*INDEX(Surface_Engine!$B$12:$B$72,$A1506+1)+H1507</f>
        <v>0</v>
      </c>
      <c r="I1506" s="48" t="n">
        <f aca="false">E1506*(IF($A1506&lt;$Q$1455,INDEX(Surface_Engine!$D$12:$D$72,$A1506+1)+(Surface_Engine!Q248*12)*INDEX(Surface_Engine!$F$12:$F$72,$A1506+1)-(Surface_Engine!Q248*12),1000*12*INDEX(Surface_Engine!$C$12:$C$72,$A1506+1)/(1+Assumptions!$B$10)^18+INDEX(Surface_Engine!$D$12:$D$72,$A1506+1)))*INDEX(Surface_Engine!$B$12:$B$72,$A1506+1)+I1507</f>
        <v>0</v>
      </c>
      <c r="J1506" s="48" t="n">
        <f aca="false">B1506*(IF($A1506&lt;$Q$1455,INDEX(Surface_Engine!$D$12:$D$72,$A1506+1)*(1+Assumptions!$B$24)+(Surface_Engine!Q248*12)*INDEX(Surface_Engine!$F$12:$F$72,$A1506+1)-(Surface_Engine!Q248*12),1000*12*INDEX(Surface_Engine!$C$12:$C$72,$A1506+1)/(1+Assumptions!$B$10)^18+INDEX(Surface_Engine!$D$12:$D$72,$A1506+1)*(1+Assumptions!$B$24)))*INDEX(Surface_Engine!$B$12:$B$72,$A1506+1)+J1507</f>
        <v>0</v>
      </c>
      <c r="K1506" s="12" t="n">
        <f aca="false">SQRT((IF(C1506&lt;=0,0,MAX(0,(B1506/C1506)*G1506/INDEX(Surface_Engine!$B$12:$B$72,$A1506+1)-F1506/INDEX(Surface_Engine!$B$12:$B$72,$A1506+1))))^2+(MAX(IF(D1506&lt;=0,0,MAX(0,(B1506/D1506)*H1506/INDEX(Surface_Engine!$B$12:$B$72,$A1506+1)-F1506/INDEX(Surface_Engine!$B$12:$B$72,$A1506+1))),IF(E1506&lt;=0,0,MAX(0,(B1506/E1506)*I1506/INDEX(Surface_Engine!$B$12:$B$72,$A1506+1)-F1506/INDEX(Surface_Engine!$B$12:$B$72,$A1506+1))),IF($A1506&lt;$Q$1455,MAX(0,-Assumptions!$B$22*(F1506/INDEX(Surface_Engine!$B$12:$B$72,$A1506+1))),0)))^2+(MAX(0,J1506/INDEX(Surface_Engine!$B$12:$B$72,$A1506+1)-(F1506/INDEX(Surface_Engine!$B$12:$B$72,$A1506+1))))^2+2*Assumptions!$B$26*(IF(C1506&lt;=0,0,MAX(0,(B1506/C1506)*G1506/INDEX(Surface_Engine!$B$12:$B$72,$A1506+1)-F1506/INDEX(Surface_Engine!$B$12:$B$72,$A1506+1))))*(MAX(IF(D1506&lt;=0,0,MAX(0,(B1506/D1506)*H1506/INDEX(Surface_Engine!$B$12:$B$72,$A1506+1)-F1506/INDEX(Surface_Engine!$B$12:$B$72,$A1506+1))),IF(E1506&lt;=0,0,MAX(0,(B1506/E1506)*I1506/INDEX(Surface_Engine!$B$12:$B$72,$A1506+1)-F1506/INDEX(Surface_Engine!$B$12:$B$72,$A1506+1))),IF($A1506&lt;$Q$1455,MAX(0,-Assumptions!$B$22*(F1506/INDEX(Surface_Engine!$B$12:$B$72,$A1506+1))),0)))+2*Assumptions!$B$27*(IF(C1506&lt;=0,0,MAX(0,(B1506/C1506)*G1506/INDEX(Surface_Engine!$B$12:$B$72,$A1506+1)-F1506/INDEX(Surface_Engine!$B$12:$B$72,$A1506+1))))*(MAX(0,J1506/INDEX(Surface_Engine!$B$12:$B$72,$A1506+1)-(F1506/INDEX(Surface_Engine!$B$12:$B$72,$A1506+1))))+2*Assumptions!$B$28*(MAX(IF(D1506&lt;=0,0,MAX(0,(B1506/D1506)*H1506/INDEX(Surface_Engine!$B$12:$B$72,$A1506+1)-F1506/INDEX(Surface_Engine!$B$12:$B$72,$A1506+1))),IF(E1506&lt;=0,0,MAX(0,(B1506/E1506)*I1506/INDEX(Surface_Engine!$B$12:$B$72,$A1506+1)-F1506/INDEX(Surface_Engine!$B$12:$B$72,$A1506+1))),IF($A1506&lt;$Q$1455,MAX(0,-Assumptions!$B$22*(F1506/INDEX(Surface_Engine!$B$12:$B$72,$A1506+1))),0)))*(MAX(0,J1506/INDEX(Surface_Engine!$B$12:$B$72,$A1506+1)-(F1506/INDEX(Surface_Engine!$B$12:$B$72,$A1506+1)))))</f>
        <v>0</v>
      </c>
      <c r="L1506" s="48" t="n">
        <f aca="false">K1506*INDEX(Surface_Engine!$B$12:$B$72,$A1506+1)+L1507</f>
        <v>0</v>
      </c>
      <c r="M1506" s="48" t="n">
        <f aca="false">M1505+B1505*(IF($A1505&lt;$Q$1455,(Surface_Engine!Q248*12)-(Surface_Engine!Q248*12)*INDEX(Surface_Engine!$F$12:$F$72,$A1505+1)-INDEX(Surface_Engine!$D$12:$D$72,$A1505+1),-(1000*12*INDEX(Surface_Engine!$C$12:$C$72,$A1505+1)/(1+Assumptions!$B$10)^18+INDEX(Surface_Engine!$D$12:$D$72,$A1505+1))))*INDEX(Surface_Engine!$B$12:$B$72,$A1505+1)</f>
        <v>639.071638950962</v>
      </c>
      <c r="N1506" s="12" t="n">
        <f aca="false">IF(B1506&lt;=0,0,MAX(0,(K1506+Assumptions!$B$29*L1506/INDEX(Surface_Engine!$B$12:$B$72,$A1506+1)-(M1506/INDEX(Surface_Engine!$B$12:$B$72,$A1506+1)-(F1506/INDEX(Surface_Engine!$B$12:$B$72,$A1506+1))))/B1506))</f>
        <v>0</v>
      </c>
    </row>
    <row r="1507" customFormat="false" ht="15" hidden="false" customHeight="true" outlineLevel="0" collapsed="false">
      <c r="A1507" s="1" t="n">
        <v>50</v>
      </c>
      <c r="B1507" s="32" t="n">
        <f aca="false">INDEX(Surface_Engine!$S$12:$S$72,$A1507+1)*IF($A1507&lt;$Q$1455,INDEX(Surface_Engine!$E$12:$E$72,$A1507+1),INDEX(Surface_Engine!$E$12:$E$72,$Q$1455+1))</f>
        <v>0</v>
      </c>
      <c r="C1507" s="32" t="n">
        <f aca="false">INDEX(Panel_Reserving!$G$8:$G$68,$A1507+1)*IF($A1507&lt;$Q$1455,INDEX(Surface_Engine!$E$12:$E$72,$A1507+1),INDEX(Surface_Engine!$E$12:$E$72,$Q$1455+1))</f>
        <v>0</v>
      </c>
      <c r="D1507" s="32" t="n">
        <f aca="false">INDEX(Surface_Engine!$S$12:$S$72,$A1507+1)*IF($A1507&lt;$Q$1455,INDEX(Surface_Engine!$Y$12:$Y$72,$A1507+1),INDEX(Surface_Engine!$Y$12:$Y$72,$Q$1455+1))</f>
        <v>0</v>
      </c>
      <c r="E1507" s="32" t="n">
        <f aca="false">INDEX(Surface_Engine!$S$12:$S$72,$A1507+1)*IF($A1507&lt;$Q$1455,INDEX(Surface_Engine!$Z$12:$Z$72,$A1507+1),INDEX(Surface_Engine!$Z$12:$Z$72,$Q$1455+1))</f>
        <v>0</v>
      </c>
      <c r="F1507" s="48" t="n">
        <f aca="false">B1507*(IF($A1507&lt;$Q$1455,INDEX(Surface_Engine!$D$12:$D$72,$A1507+1)+(Surface_Engine!Q248*12)*INDEX(Surface_Engine!$F$12:$F$72,$A1507+1)-(Surface_Engine!Q248*12),1000*12*INDEX(Surface_Engine!$C$12:$C$72,$A1507+1)/(1+Assumptions!$B$10)^18+INDEX(Surface_Engine!$D$12:$D$72,$A1507+1)))*INDEX(Surface_Engine!$B$12:$B$72,$A1507+1)+F1508</f>
        <v>0</v>
      </c>
      <c r="G1507" s="48" t="n">
        <f aca="false">C1507*(IF($A1507&lt;$Q$1455,INDEX(Surface_Engine!$D$12:$D$72,$A1507+1)+(Surface_Engine!Q248*12)*INDEX(Surface_Engine!$F$12:$F$72,$A1507+1)-(Surface_Engine!Q248*12),1000*12*INDEX(Surface_Engine!$C$12:$C$72,$A1507+1)/(1+Assumptions!$B$10)^18+INDEX(Surface_Engine!$D$12:$D$72,$A1507+1)))*INDEX(Surface_Engine!$B$12:$B$72,$A1507+1)+G1508</f>
        <v>0</v>
      </c>
      <c r="H1507" s="48" t="n">
        <f aca="false">D1507*(IF($A1507&lt;$Q$1455,INDEX(Surface_Engine!$D$12:$D$72,$A1507+1)+(Surface_Engine!Q248*12)*INDEX(Surface_Engine!$F$12:$F$72,$A1507+1)-(Surface_Engine!Q248*12),1000*12*INDEX(Surface_Engine!$C$12:$C$72,$A1507+1)/(1+Assumptions!$B$10)^18+INDEX(Surface_Engine!$D$12:$D$72,$A1507+1)))*INDEX(Surface_Engine!$B$12:$B$72,$A1507+1)+H1508</f>
        <v>0</v>
      </c>
      <c r="I1507" s="48" t="n">
        <f aca="false">E1507*(IF($A1507&lt;$Q$1455,INDEX(Surface_Engine!$D$12:$D$72,$A1507+1)+(Surface_Engine!Q248*12)*INDEX(Surface_Engine!$F$12:$F$72,$A1507+1)-(Surface_Engine!Q248*12),1000*12*INDEX(Surface_Engine!$C$12:$C$72,$A1507+1)/(1+Assumptions!$B$10)^18+INDEX(Surface_Engine!$D$12:$D$72,$A1507+1)))*INDEX(Surface_Engine!$B$12:$B$72,$A1507+1)+I1508</f>
        <v>0</v>
      </c>
      <c r="J1507" s="48" t="n">
        <f aca="false">B1507*(IF($A1507&lt;$Q$1455,INDEX(Surface_Engine!$D$12:$D$72,$A1507+1)*(1+Assumptions!$B$24)+(Surface_Engine!Q248*12)*INDEX(Surface_Engine!$F$12:$F$72,$A1507+1)-(Surface_Engine!Q248*12),1000*12*INDEX(Surface_Engine!$C$12:$C$72,$A1507+1)/(1+Assumptions!$B$10)^18+INDEX(Surface_Engine!$D$12:$D$72,$A1507+1)*(1+Assumptions!$B$24)))*INDEX(Surface_Engine!$B$12:$B$72,$A1507+1)+J1508</f>
        <v>0</v>
      </c>
      <c r="K1507" s="12" t="n">
        <f aca="false">SQRT((IF(C1507&lt;=0,0,MAX(0,(B1507/C1507)*G1507/INDEX(Surface_Engine!$B$12:$B$72,$A1507+1)-F1507/INDEX(Surface_Engine!$B$12:$B$72,$A1507+1))))^2+(MAX(IF(D1507&lt;=0,0,MAX(0,(B1507/D1507)*H1507/INDEX(Surface_Engine!$B$12:$B$72,$A1507+1)-F1507/INDEX(Surface_Engine!$B$12:$B$72,$A1507+1))),IF(E1507&lt;=0,0,MAX(0,(B1507/E1507)*I1507/INDEX(Surface_Engine!$B$12:$B$72,$A1507+1)-F1507/INDEX(Surface_Engine!$B$12:$B$72,$A1507+1))),IF($A1507&lt;$Q$1455,MAX(0,-Assumptions!$B$22*(F1507/INDEX(Surface_Engine!$B$12:$B$72,$A1507+1))),0)))^2+(MAX(0,J1507/INDEX(Surface_Engine!$B$12:$B$72,$A1507+1)-(F1507/INDEX(Surface_Engine!$B$12:$B$72,$A1507+1))))^2+2*Assumptions!$B$26*(IF(C1507&lt;=0,0,MAX(0,(B1507/C1507)*G1507/INDEX(Surface_Engine!$B$12:$B$72,$A1507+1)-F1507/INDEX(Surface_Engine!$B$12:$B$72,$A1507+1))))*(MAX(IF(D1507&lt;=0,0,MAX(0,(B1507/D1507)*H1507/INDEX(Surface_Engine!$B$12:$B$72,$A1507+1)-F1507/INDEX(Surface_Engine!$B$12:$B$72,$A1507+1))),IF(E1507&lt;=0,0,MAX(0,(B1507/E1507)*I1507/INDEX(Surface_Engine!$B$12:$B$72,$A1507+1)-F1507/INDEX(Surface_Engine!$B$12:$B$72,$A1507+1))),IF($A1507&lt;$Q$1455,MAX(0,-Assumptions!$B$22*(F1507/INDEX(Surface_Engine!$B$12:$B$72,$A1507+1))),0)))+2*Assumptions!$B$27*(IF(C1507&lt;=0,0,MAX(0,(B1507/C1507)*G1507/INDEX(Surface_Engine!$B$12:$B$72,$A1507+1)-F1507/INDEX(Surface_Engine!$B$12:$B$72,$A1507+1))))*(MAX(0,J1507/INDEX(Surface_Engine!$B$12:$B$72,$A1507+1)-(F1507/INDEX(Surface_Engine!$B$12:$B$72,$A1507+1))))+2*Assumptions!$B$28*(MAX(IF(D1507&lt;=0,0,MAX(0,(B1507/D1507)*H1507/INDEX(Surface_Engine!$B$12:$B$72,$A1507+1)-F1507/INDEX(Surface_Engine!$B$12:$B$72,$A1507+1))),IF(E1507&lt;=0,0,MAX(0,(B1507/E1507)*I1507/INDEX(Surface_Engine!$B$12:$B$72,$A1507+1)-F1507/INDEX(Surface_Engine!$B$12:$B$72,$A1507+1))),IF($A1507&lt;$Q$1455,MAX(0,-Assumptions!$B$22*(F1507/INDEX(Surface_Engine!$B$12:$B$72,$A1507+1))),0)))*(MAX(0,J1507/INDEX(Surface_Engine!$B$12:$B$72,$A1507+1)-(F1507/INDEX(Surface_Engine!$B$12:$B$72,$A1507+1)))))</f>
        <v>0</v>
      </c>
      <c r="L1507" s="48" t="n">
        <f aca="false">K1507*INDEX(Surface_Engine!$B$12:$B$72,$A1507+1)+L1508</f>
        <v>0</v>
      </c>
      <c r="M1507" s="48" t="n">
        <f aca="false">M1506+B1506*(IF($A1506&lt;$Q$1455,(Surface_Engine!Q248*12)-(Surface_Engine!Q248*12)*INDEX(Surface_Engine!$F$12:$F$72,$A1506+1)-INDEX(Surface_Engine!$D$12:$D$72,$A1506+1),-(1000*12*INDEX(Surface_Engine!$C$12:$C$72,$A1506+1)/(1+Assumptions!$B$10)^18+INDEX(Surface_Engine!$D$12:$D$72,$A1506+1))))*INDEX(Surface_Engine!$B$12:$B$72,$A1506+1)</f>
        <v>639.071638950962</v>
      </c>
      <c r="N1507" s="12" t="n">
        <f aca="false">IF(B1507&lt;=0,0,MAX(0,(K1507+Assumptions!$B$29*L1507/INDEX(Surface_Engine!$B$12:$B$72,$A1507+1)-(M1507/INDEX(Surface_Engine!$B$12:$B$72,$A1507+1)-(F1507/INDEX(Surface_Engine!$B$12:$B$72,$A1507+1))))/B1507))</f>
        <v>0</v>
      </c>
    </row>
    <row r="1508" customFormat="false" ht="15" hidden="false" customHeight="true" outlineLevel="0" collapsed="false">
      <c r="A1508" s="1" t="n">
        <v>51</v>
      </c>
      <c r="B1508" s="32" t="n">
        <f aca="false">INDEX(Surface_Engine!$S$12:$S$72,$A1508+1)*IF($A1508&lt;$Q$1455,INDEX(Surface_Engine!$E$12:$E$72,$A1508+1),INDEX(Surface_Engine!$E$12:$E$72,$Q$1455+1))</f>
        <v>0</v>
      </c>
      <c r="C1508" s="32" t="n">
        <f aca="false">INDEX(Panel_Reserving!$G$8:$G$68,$A1508+1)*IF($A1508&lt;$Q$1455,INDEX(Surface_Engine!$E$12:$E$72,$A1508+1),INDEX(Surface_Engine!$E$12:$E$72,$Q$1455+1))</f>
        <v>0</v>
      </c>
      <c r="D1508" s="32" t="n">
        <f aca="false">INDEX(Surface_Engine!$S$12:$S$72,$A1508+1)*IF($A1508&lt;$Q$1455,INDEX(Surface_Engine!$Y$12:$Y$72,$A1508+1),INDEX(Surface_Engine!$Y$12:$Y$72,$Q$1455+1))</f>
        <v>0</v>
      </c>
      <c r="E1508" s="32" t="n">
        <f aca="false">INDEX(Surface_Engine!$S$12:$S$72,$A1508+1)*IF($A1508&lt;$Q$1455,INDEX(Surface_Engine!$Z$12:$Z$72,$A1508+1),INDEX(Surface_Engine!$Z$12:$Z$72,$Q$1455+1))</f>
        <v>0</v>
      </c>
      <c r="F1508" s="48" t="n">
        <f aca="false">B1508*(IF($A1508&lt;$Q$1455,INDEX(Surface_Engine!$D$12:$D$72,$A1508+1)+(Surface_Engine!Q248*12)*INDEX(Surface_Engine!$F$12:$F$72,$A1508+1)-(Surface_Engine!Q248*12),1000*12*INDEX(Surface_Engine!$C$12:$C$72,$A1508+1)/(1+Assumptions!$B$10)^18+INDEX(Surface_Engine!$D$12:$D$72,$A1508+1)))*INDEX(Surface_Engine!$B$12:$B$72,$A1508+1)+F1509</f>
        <v>0</v>
      </c>
      <c r="G1508" s="48" t="n">
        <f aca="false">C1508*(IF($A1508&lt;$Q$1455,INDEX(Surface_Engine!$D$12:$D$72,$A1508+1)+(Surface_Engine!Q248*12)*INDEX(Surface_Engine!$F$12:$F$72,$A1508+1)-(Surface_Engine!Q248*12),1000*12*INDEX(Surface_Engine!$C$12:$C$72,$A1508+1)/(1+Assumptions!$B$10)^18+INDEX(Surface_Engine!$D$12:$D$72,$A1508+1)))*INDEX(Surface_Engine!$B$12:$B$72,$A1508+1)+G1509</f>
        <v>0</v>
      </c>
      <c r="H1508" s="48" t="n">
        <f aca="false">D1508*(IF($A1508&lt;$Q$1455,INDEX(Surface_Engine!$D$12:$D$72,$A1508+1)+(Surface_Engine!Q248*12)*INDEX(Surface_Engine!$F$12:$F$72,$A1508+1)-(Surface_Engine!Q248*12),1000*12*INDEX(Surface_Engine!$C$12:$C$72,$A1508+1)/(1+Assumptions!$B$10)^18+INDEX(Surface_Engine!$D$12:$D$72,$A1508+1)))*INDEX(Surface_Engine!$B$12:$B$72,$A1508+1)+H1509</f>
        <v>0</v>
      </c>
      <c r="I1508" s="48" t="n">
        <f aca="false">E1508*(IF($A1508&lt;$Q$1455,INDEX(Surface_Engine!$D$12:$D$72,$A1508+1)+(Surface_Engine!Q248*12)*INDEX(Surface_Engine!$F$12:$F$72,$A1508+1)-(Surface_Engine!Q248*12),1000*12*INDEX(Surface_Engine!$C$12:$C$72,$A1508+1)/(1+Assumptions!$B$10)^18+INDEX(Surface_Engine!$D$12:$D$72,$A1508+1)))*INDEX(Surface_Engine!$B$12:$B$72,$A1508+1)+I1509</f>
        <v>0</v>
      </c>
      <c r="J1508" s="48" t="n">
        <f aca="false">B1508*(IF($A1508&lt;$Q$1455,INDEX(Surface_Engine!$D$12:$D$72,$A1508+1)*(1+Assumptions!$B$24)+(Surface_Engine!Q248*12)*INDEX(Surface_Engine!$F$12:$F$72,$A1508+1)-(Surface_Engine!Q248*12),1000*12*INDEX(Surface_Engine!$C$12:$C$72,$A1508+1)/(1+Assumptions!$B$10)^18+INDEX(Surface_Engine!$D$12:$D$72,$A1508+1)*(1+Assumptions!$B$24)))*INDEX(Surface_Engine!$B$12:$B$72,$A1508+1)+J1509</f>
        <v>0</v>
      </c>
      <c r="K1508" s="12" t="n">
        <f aca="false">SQRT((IF(C1508&lt;=0,0,MAX(0,(B1508/C1508)*G1508/INDEX(Surface_Engine!$B$12:$B$72,$A1508+1)-F1508/INDEX(Surface_Engine!$B$12:$B$72,$A1508+1))))^2+(MAX(IF(D1508&lt;=0,0,MAX(0,(B1508/D1508)*H1508/INDEX(Surface_Engine!$B$12:$B$72,$A1508+1)-F1508/INDEX(Surface_Engine!$B$12:$B$72,$A1508+1))),IF(E1508&lt;=0,0,MAX(0,(B1508/E1508)*I1508/INDEX(Surface_Engine!$B$12:$B$72,$A1508+1)-F1508/INDEX(Surface_Engine!$B$12:$B$72,$A1508+1))),IF($A1508&lt;$Q$1455,MAX(0,-Assumptions!$B$22*(F1508/INDEX(Surface_Engine!$B$12:$B$72,$A1508+1))),0)))^2+(MAX(0,J1508/INDEX(Surface_Engine!$B$12:$B$72,$A1508+1)-(F1508/INDEX(Surface_Engine!$B$12:$B$72,$A1508+1))))^2+2*Assumptions!$B$26*(IF(C1508&lt;=0,0,MAX(0,(B1508/C1508)*G1508/INDEX(Surface_Engine!$B$12:$B$72,$A1508+1)-F1508/INDEX(Surface_Engine!$B$12:$B$72,$A1508+1))))*(MAX(IF(D1508&lt;=0,0,MAX(0,(B1508/D1508)*H1508/INDEX(Surface_Engine!$B$12:$B$72,$A1508+1)-F1508/INDEX(Surface_Engine!$B$12:$B$72,$A1508+1))),IF(E1508&lt;=0,0,MAX(0,(B1508/E1508)*I1508/INDEX(Surface_Engine!$B$12:$B$72,$A1508+1)-F1508/INDEX(Surface_Engine!$B$12:$B$72,$A1508+1))),IF($A1508&lt;$Q$1455,MAX(0,-Assumptions!$B$22*(F1508/INDEX(Surface_Engine!$B$12:$B$72,$A1508+1))),0)))+2*Assumptions!$B$27*(IF(C1508&lt;=0,0,MAX(0,(B1508/C1508)*G1508/INDEX(Surface_Engine!$B$12:$B$72,$A1508+1)-F1508/INDEX(Surface_Engine!$B$12:$B$72,$A1508+1))))*(MAX(0,J1508/INDEX(Surface_Engine!$B$12:$B$72,$A1508+1)-(F1508/INDEX(Surface_Engine!$B$12:$B$72,$A1508+1))))+2*Assumptions!$B$28*(MAX(IF(D1508&lt;=0,0,MAX(0,(B1508/D1508)*H1508/INDEX(Surface_Engine!$B$12:$B$72,$A1508+1)-F1508/INDEX(Surface_Engine!$B$12:$B$72,$A1508+1))),IF(E1508&lt;=0,0,MAX(0,(B1508/E1508)*I1508/INDEX(Surface_Engine!$B$12:$B$72,$A1508+1)-F1508/INDEX(Surface_Engine!$B$12:$B$72,$A1508+1))),IF($A1508&lt;$Q$1455,MAX(0,-Assumptions!$B$22*(F1508/INDEX(Surface_Engine!$B$12:$B$72,$A1508+1))),0)))*(MAX(0,J1508/INDEX(Surface_Engine!$B$12:$B$72,$A1508+1)-(F1508/INDEX(Surface_Engine!$B$12:$B$72,$A1508+1)))))</f>
        <v>0</v>
      </c>
      <c r="L1508" s="48" t="n">
        <f aca="false">K1508*INDEX(Surface_Engine!$B$12:$B$72,$A1508+1)+L1509</f>
        <v>0</v>
      </c>
      <c r="M1508" s="48" t="n">
        <f aca="false">M1507+B1507*(IF($A1507&lt;$Q$1455,(Surface_Engine!Q248*12)-(Surface_Engine!Q248*12)*INDEX(Surface_Engine!$F$12:$F$72,$A1507+1)-INDEX(Surface_Engine!$D$12:$D$72,$A1507+1),-(1000*12*INDEX(Surface_Engine!$C$12:$C$72,$A1507+1)/(1+Assumptions!$B$10)^18+INDEX(Surface_Engine!$D$12:$D$72,$A1507+1))))*INDEX(Surface_Engine!$B$12:$B$72,$A1507+1)</f>
        <v>639.071638950962</v>
      </c>
      <c r="N1508" s="12" t="n">
        <f aca="false">IF(B1508&lt;=0,0,MAX(0,(K1508+Assumptions!$B$29*L1508/INDEX(Surface_Engine!$B$12:$B$72,$A1508+1)-(M1508/INDEX(Surface_Engine!$B$12:$B$72,$A1508+1)-(F1508/INDEX(Surface_Engine!$B$12:$B$72,$A1508+1))))/B1508))</f>
        <v>0</v>
      </c>
    </row>
    <row r="1509" customFormat="false" ht="15" hidden="false" customHeight="true" outlineLevel="0" collapsed="false">
      <c r="A1509" s="1" t="n">
        <v>52</v>
      </c>
      <c r="B1509" s="32" t="n">
        <f aca="false">INDEX(Surface_Engine!$S$12:$S$72,$A1509+1)*IF($A1509&lt;$Q$1455,INDEX(Surface_Engine!$E$12:$E$72,$A1509+1),INDEX(Surface_Engine!$E$12:$E$72,$Q$1455+1))</f>
        <v>0</v>
      </c>
      <c r="C1509" s="32" t="n">
        <f aca="false">INDEX(Panel_Reserving!$G$8:$G$68,$A1509+1)*IF($A1509&lt;$Q$1455,INDEX(Surface_Engine!$E$12:$E$72,$A1509+1),INDEX(Surface_Engine!$E$12:$E$72,$Q$1455+1))</f>
        <v>0</v>
      </c>
      <c r="D1509" s="32" t="n">
        <f aca="false">INDEX(Surface_Engine!$S$12:$S$72,$A1509+1)*IF($A1509&lt;$Q$1455,INDEX(Surface_Engine!$Y$12:$Y$72,$A1509+1),INDEX(Surface_Engine!$Y$12:$Y$72,$Q$1455+1))</f>
        <v>0</v>
      </c>
      <c r="E1509" s="32" t="n">
        <f aca="false">INDEX(Surface_Engine!$S$12:$S$72,$A1509+1)*IF($A1509&lt;$Q$1455,INDEX(Surface_Engine!$Z$12:$Z$72,$A1509+1),INDEX(Surface_Engine!$Z$12:$Z$72,$Q$1455+1))</f>
        <v>0</v>
      </c>
      <c r="F1509" s="48" t="n">
        <f aca="false">B1509*(IF($A1509&lt;$Q$1455,INDEX(Surface_Engine!$D$12:$D$72,$A1509+1)+(Surface_Engine!Q248*12)*INDEX(Surface_Engine!$F$12:$F$72,$A1509+1)-(Surface_Engine!Q248*12),1000*12*INDEX(Surface_Engine!$C$12:$C$72,$A1509+1)/(1+Assumptions!$B$10)^18+INDEX(Surface_Engine!$D$12:$D$72,$A1509+1)))*INDEX(Surface_Engine!$B$12:$B$72,$A1509+1)+F1510</f>
        <v>0</v>
      </c>
      <c r="G1509" s="48" t="n">
        <f aca="false">C1509*(IF($A1509&lt;$Q$1455,INDEX(Surface_Engine!$D$12:$D$72,$A1509+1)+(Surface_Engine!Q248*12)*INDEX(Surface_Engine!$F$12:$F$72,$A1509+1)-(Surface_Engine!Q248*12),1000*12*INDEX(Surface_Engine!$C$12:$C$72,$A1509+1)/(1+Assumptions!$B$10)^18+INDEX(Surface_Engine!$D$12:$D$72,$A1509+1)))*INDEX(Surface_Engine!$B$12:$B$72,$A1509+1)+G1510</f>
        <v>0</v>
      </c>
      <c r="H1509" s="48" t="n">
        <f aca="false">D1509*(IF($A1509&lt;$Q$1455,INDEX(Surface_Engine!$D$12:$D$72,$A1509+1)+(Surface_Engine!Q248*12)*INDEX(Surface_Engine!$F$12:$F$72,$A1509+1)-(Surface_Engine!Q248*12),1000*12*INDEX(Surface_Engine!$C$12:$C$72,$A1509+1)/(1+Assumptions!$B$10)^18+INDEX(Surface_Engine!$D$12:$D$72,$A1509+1)))*INDEX(Surface_Engine!$B$12:$B$72,$A1509+1)+H1510</f>
        <v>0</v>
      </c>
      <c r="I1509" s="48" t="n">
        <f aca="false">E1509*(IF($A1509&lt;$Q$1455,INDEX(Surface_Engine!$D$12:$D$72,$A1509+1)+(Surface_Engine!Q248*12)*INDEX(Surface_Engine!$F$12:$F$72,$A1509+1)-(Surface_Engine!Q248*12),1000*12*INDEX(Surface_Engine!$C$12:$C$72,$A1509+1)/(1+Assumptions!$B$10)^18+INDEX(Surface_Engine!$D$12:$D$72,$A1509+1)))*INDEX(Surface_Engine!$B$12:$B$72,$A1509+1)+I1510</f>
        <v>0</v>
      </c>
      <c r="J1509" s="48" t="n">
        <f aca="false">B1509*(IF($A1509&lt;$Q$1455,INDEX(Surface_Engine!$D$12:$D$72,$A1509+1)*(1+Assumptions!$B$24)+(Surface_Engine!Q248*12)*INDEX(Surface_Engine!$F$12:$F$72,$A1509+1)-(Surface_Engine!Q248*12),1000*12*INDEX(Surface_Engine!$C$12:$C$72,$A1509+1)/(1+Assumptions!$B$10)^18+INDEX(Surface_Engine!$D$12:$D$72,$A1509+1)*(1+Assumptions!$B$24)))*INDEX(Surface_Engine!$B$12:$B$72,$A1509+1)+J1510</f>
        <v>0</v>
      </c>
      <c r="K1509" s="12" t="n">
        <f aca="false">SQRT((IF(C1509&lt;=0,0,MAX(0,(B1509/C1509)*G1509/INDEX(Surface_Engine!$B$12:$B$72,$A1509+1)-F1509/INDEX(Surface_Engine!$B$12:$B$72,$A1509+1))))^2+(MAX(IF(D1509&lt;=0,0,MAX(0,(B1509/D1509)*H1509/INDEX(Surface_Engine!$B$12:$B$72,$A1509+1)-F1509/INDEX(Surface_Engine!$B$12:$B$72,$A1509+1))),IF(E1509&lt;=0,0,MAX(0,(B1509/E1509)*I1509/INDEX(Surface_Engine!$B$12:$B$72,$A1509+1)-F1509/INDEX(Surface_Engine!$B$12:$B$72,$A1509+1))),IF($A1509&lt;$Q$1455,MAX(0,-Assumptions!$B$22*(F1509/INDEX(Surface_Engine!$B$12:$B$72,$A1509+1))),0)))^2+(MAX(0,J1509/INDEX(Surface_Engine!$B$12:$B$72,$A1509+1)-(F1509/INDEX(Surface_Engine!$B$12:$B$72,$A1509+1))))^2+2*Assumptions!$B$26*(IF(C1509&lt;=0,0,MAX(0,(B1509/C1509)*G1509/INDEX(Surface_Engine!$B$12:$B$72,$A1509+1)-F1509/INDEX(Surface_Engine!$B$12:$B$72,$A1509+1))))*(MAX(IF(D1509&lt;=0,0,MAX(0,(B1509/D1509)*H1509/INDEX(Surface_Engine!$B$12:$B$72,$A1509+1)-F1509/INDEX(Surface_Engine!$B$12:$B$72,$A1509+1))),IF(E1509&lt;=0,0,MAX(0,(B1509/E1509)*I1509/INDEX(Surface_Engine!$B$12:$B$72,$A1509+1)-F1509/INDEX(Surface_Engine!$B$12:$B$72,$A1509+1))),IF($A1509&lt;$Q$1455,MAX(0,-Assumptions!$B$22*(F1509/INDEX(Surface_Engine!$B$12:$B$72,$A1509+1))),0)))+2*Assumptions!$B$27*(IF(C1509&lt;=0,0,MAX(0,(B1509/C1509)*G1509/INDEX(Surface_Engine!$B$12:$B$72,$A1509+1)-F1509/INDEX(Surface_Engine!$B$12:$B$72,$A1509+1))))*(MAX(0,J1509/INDEX(Surface_Engine!$B$12:$B$72,$A1509+1)-(F1509/INDEX(Surface_Engine!$B$12:$B$72,$A1509+1))))+2*Assumptions!$B$28*(MAX(IF(D1509&lt;=0,0,MAX(0,(B1509/D1509)*H1509/INDEX(Surface_Engine!$B$12:$B$72,$A1509+1)-F1509/INDEX(Surface_Engine!$B$12:$B$72,$A1509+1))),IF(E1509&lt;=0,0,MAX(0,(B1509/E1509)*I1509/INDEX(Surface_Engine!$B$12:$B$72,$A1509+1)-F1509/INDEX(Surface_Engine!$B$12:$B$72,$A1509+1))),IF($A1509&lt;$Q$1455,MAX(0,-Assumptions!$B$22*(F1509/INDEX(Surface_Engine!$B$12:$B$72,$A1509+1))),0)))*(MAX(0,J1509/INDEX(Surface_Engine!$B$12:$B$72,$A1509+1)-(F1509/INDEX(Surface_Engine!$B$12:$B$72,$A1509+1)))))</f>
        <v>0</v>
      </c>
      <c r="L1509" s="48" t="n">
        <f aca="false">K1509*INDEX(Surface_Engine!$B$12:$B$72,$A1509+1)+L1510</f>
        <v>0</v>
      </c>
      <c r="M1509" s="48" t="n">
        <f aca="false">M1508+B1508*(IF($A1508&lt;$Q$1455,(Surface_Engine!Q248*12)-(Surface_Engine!Q248*12)*INDEX(Surface_Engine!$F$12:$F$72,$A1508+1)-INDEX(Surface_Engine!$D$12:$D$72,$A1508+1),-(1000*12*INDEX(Surface_Engine!$C$12:$C$72,$A1508+1)/(1+Assumptions!$B$10)^18+INDEX(Surface_Engine!$D$12:$D$72,$A1508+1))))*INDEX(Surface_Engine!$B$12:$B$72,$A1508+1)</f>
        <v>639.071638950962</v>
      </c>
      <c r="N1509" s="12" t="n">
        <f aca="false">IF(B1509&lt;=0,0,MAX(0,(K1509+Assumptions!$B$29*L1509/INDEX(Surface_Engine!$B$12:$B$72,$A1509+1)-(M1509/INDEX(Surface_Engine!$B$12:$B$72,$A1509+1)-(F1509/INDEX(Surface_Engine!$B$12:$B$72,$A1509+1))))/B1509))</f>
        <v>0</v>
      </c>
    </row>
    <row r="1510" customFormat="false" ht="15" hidden="false" customHeight="true" outlineLevel="0" collapsed="false">
      <c r="A1510" s="1" t="n">
        <v>53</v>
      </c>
      <c r="B1510" s="32" t="n">
        <f aca="false">INDEX(Surface_Engine!$S$12:$S$72,$A1510+1)*IF($A1510&lt;$Q$1455,INDEX(Surface_Engine!$E$12:$E$72,$A1510+1),INDEX(Surface_Engine!$E$12:$E$72,$Q$1455+1))</f>
        <v>0</v>
      </c>
      <c r="C1510" s="32" t="n">
        <f aca="false">INDEX(Panel_Reserving!$G$8:$G$68,$A1510+1)*IF($A1510&lt;$Q$1455,INDEX(Surface_Engine!$E$12:$E$72,$A1510+1),INDEX(Surface_Engine!$E$12:$E$72,$Q$1455+1))</f>
        <v>0</v>
      </c>
      <c r="D1510" s="32" t="n">
        <f aca="false">INDEX(Surface_Engine!$S$12:$S$72,$A1510+1)*IF($A1510&lt;$Q$1455,INDEX(Surface_Engine!$Y$12:$Y$72,$A1510+1),INDEX(Surface_Engine!$Y$12:$Y$72,$Q$1455+1))</f>
        <v>0</v>
      </c>
      <c r="E1510" s="32" t="n">
        <f aca="false">INDEX(Surface_Engine!$S$12:$S$72,$A1510+1)*IF($A1510&lt;$Q$1455,INDEX(Surface_Engine!$Z$12:$Z$72,$A1510+1),INDEX(Surface_Engine!$Z$12:$Z$72,$Q$1455+1))</f>
        <v>0</v>
      </c>
      <c r="F1510" s="48" t="n">
        <f aca="false">B1510*(IF($A1510&lt;$Q$1455,INDEX(Surface_Engine!$D$12:$D$72,$A1510+1)+(Surface_Engine!Q248*12)*INDEX(Surface_Engine!$F$12:$F$72,$A1510+1)-(Surface_Engine!Q248*12),1000*12*INDEX(Surface_Engine!$C$12:$C$72,$A1510+1)/(1+Assumptions!$B$10)^18+INDEX(Surface_Engine!$D$12:$D$72,$A1510+1)))*INDEX(Surface_Engine!$B$12:$B$72,$A1510+1)+F1511</f>
        <v>0</v>
      </c>
      <c r="G1510" s="48" t="n">
        <f aca="false">C1510*(IF($A1510&lt;$Q$1455,INDEX(Surface_Engine!$D$12:$D$72,$A1510+1)+(Surface_Engine!Q248*12)*INDEX(Surface_Engine!$F$12:$F$72,$A1510+1)-(Surface_Engine!Q248*12),1000*12*INDEX(Surface_Engine!$C$12:$C$72,$A1510+1)/(1+Assumptions!$B$10)^18+INDEX(Surface_Engine!$D$12:$D$72,$A1510+1)))*INDEX(Surface_Engine!$B$12:$B$72,$A1510+1)+G1511</f>
        <v>0</v>
      </c>
      <c r="H1510" s="48" t="n">
        <f aca="false">D1510*(IF($A1510&lt;$Q$1455,INDEX(Surface_Engine!$D$12:$D$72,$A1510+1)+(Surface_Engine!Q248*12)*INDEX(Surface_Engine!$F$12:$F$72,$A1510+1)-(Surface_Engine!Q248*12),1000*12*INDEX(Surface_Engine!$C$12:$C$72,$A1510+1)/(1+Assumptions!$B$10)^18+INDEX(Surface_Engine!$D$12:$D$72,$A1510+1)))*INDEX(Surface_Engine!$B$12:$B$72,$A1510+1)+H1511</f>
        <v>0</v>
      </c>
      <c r="I1510" s="48" t="n">
        <f aca="false">E1510*(IF($A1510&lt;$Q$1455,INDEX(Surface_Engine!$D$12:$D$72,$A1510+1)+(Surface_Engine!Q248*12)*INDEX(Surface_Engine!$F$12:$F$72,$A1510+1)-(Surface_Engine!Q248*12),1000*12*INDEX(Surface_Engine!$C$12:$C$72,$A1510+1)/(1+Assumptions!$B$10)^18+INDEX(Surface_Engine!$D$12:$D$72,$A1510+1)))*INDEX(Surface_Engine!$B$12:$B$72,$A1510+1)+I1511</f>
        <v>0</v>
      </c>
      <c r="J1510" s="48" t="n">
        <f aca="false">B1510*(IF($A1510&lt;$Q$1455,INDEX(Surface_Engine!$D$12:$D$72,$A1510+1)*(1+Assumptions!$B$24)+(Surface_Engine!Q248*12)*INDEX(Surface_Engine!$F$12:$F$72,$A1510+1)-(Surface_Engine!Q248*12),1000*12*INDEX(Surface_Engine!$C$12:$C$72,$A1510+1)/(1+Assumptions!$B$10)^18+INDEX(Surface_Engine!$D$12:$D$72,$A1510+1)*(1+Assumptions!$B$24)))*INDEX(Surface_Engine!$B$12:$B$72,$A1510+1)+J1511</f>
        <v>0</v>
      </c>
      <c r="K1510" s="12" t="n">
        <f aca="false">SQRT((IF(C1510&lt;=0,0,MAX(0,(B1510/C1510)*G1510/INDEX(Surface_Engine!$B$12:$B$72,$A1510+1)-F1510/INDEX(Surface_Engine!$B$12:$B$72,$A1510+1))))^2+(MAX(IF(D1510&lt;=0,0,MAX(0,(B1510/D1510)*H1510/INDEX(Surface_Engine!$B$12:$B$72,$A1510+1)-F1510/INDEX(Surface_Engine!$B$12:$B$72,$A1510+1))),IF(E1510&lt;=0,0,MAX(0,(B1510/E1510)*I1510/INDEX(Surface_Engine!$B$12:$B$72,$A1510+1)-F1510/INDEX(Surface_Engine!$B$12:$B$72,$A1510+1))),IF($A1510&lt;$Q$1455,MAX(0,-Assumptions!$B$22*(F1510/INDEX(Surface_Engine!$B$12:$B$72,$A1510+1))),0)))^2+(MAX(0,J1510/INDEX(Surface_Engine!$B$12:$B$72,$A1510+1)-(F1510/INDEX(Surface_Engine!$B$12:$B$72,$A1510+1))))^2+2*Assumptions!$B$26*(IF(C1510&lt;=0,0,MAX(0,(B1510/C1510)*G1510/INDEX(Surface_Engine!$B$12:$B$72,$A1510+1)-F1510/INDEX(Surface_Engine!$B$12:$B$72,$A1510+1))))*(MAX(IF(D1510&lt;=0,0,MAX(0,(B1510/D1510)*H1510/INDEX(Surface_Engine!$B$12:$B$72,$A1510+1)-F1510/INDEX(Surface_Engine!$B$12:$B$72,$A1510+1))),IF(E1510&lt;=0,0,MAX(0,(B1510/E1510)*I1510/INDEX(Surface_Engine!$B$12:$B$72,$A1510+1)-F1510/INDEX(Surface_Engine!$B$12:$B$72,$A1510+1))),IF($A1510&lt;$Q$1455,MAX(0,-Assumptions!$B$22*(F1510/INDEX(Surface_Engine!$B$12:$B$72,$A1510+1))),0)))+2*Assumptions!$B$27*(IF(C1510&lt;=0,0,MAX(0,(B1510/C1510)*G1510/INDEX(Surface_Engine!$B$12:$B$72,$A1510+1)-F1510/INDEX(Surface_Engine!$B$12:$B$72,$A1510+1))))*(MAX(0,J1510/INDEX(Surface_Engine!$B$12:$B$72,$A1510+1)-(F1510/INDEX(Surface_Engine!$B$12:$B$72,$A1510+1))))+2*Assumptions!$B$28*(MAX(IF(D1510&lt;=0,0,MAX(0,(B1510/D1510)*H1510/INDEX(Surface_Engine!$B$12:$B$72,$A1510+1)-F1510/INDEX(Surface_Engine!$B$12:$B$72,$A1510+1))),IF(E1510&lt;=0,0,MAX(0,(B1510/E1510)*I1510/INDEX(Surface_Engine!$B$12:$B$72,$A1510+1)-F1510/INDEX(Surface_Engine!$B$12:$B$72,$A1510+1))),IF($A1510&lt;$Q$1455,MAX(0,-Assumptions!$B$22*(F1510/INDEX(Surface_Engine!$B$12:$B$72,$A1510+1))),0)))*(MAX(0,J1510/INDEX(Surface_Engine!$B$12:$B$72,$A1510+1)-(F1510/INDEX(Surface_Engine!$B$12:$B$72,$A1510+1)))))</f>
        <v>0</v>
      </c>
      <c r="L1510" s="48" t="n">
        <f aca="false">K1510*INDEX(Surface_Engine!$B$12:$B$72,$A1510+1)+L1511</f>
        <v>0</v>
      </c>
      <c r="M1510" s="48" t="n">
        <f aca="false">M1509+B1509*(IF($A1509&lt;$Q$1455,(Surface_Engine!Q248*12)-(Surface_Engine!Q248*12)*INDEX(Surface_Engine!$F$12:$F$72,$A1509+1)-INDEX(Surface_Engine!$D$12:$D$72,$A1509+1),-(1000*12*INDEX(Surface_Engine!$C$12:$C$72,$A1509+1)/(1+Assumptions!$B$10)^18+INDEX(Surface_Engine!$D$12:$D$72,$A1509+1))))*INDEX(Surface_Engine!$B$12:$B$72,$A1509+1)</f>
        <v>639.071638950962</v>
      </c>
      <c r="N1510" s="12" t="n">
        <f aca="false">IF(B1510&lt;=0,0,MAX(0,(K1510+Assumptions!$B$29*L1510/INDEX(Surface_Engine!$B$12:$B$72,$A1510+1)-(M1510/INDEX(Surface_Engine!$B$12:$B$72,$A1510+1)-(F1510/INDEX(Surface_Engine!$B$12:$B$72,$A1510+1))))/B1510))</f>
        <v>0</v>
      </c>
    </row>
    <row r="1511" customFormat="false" ht="15" hidden="false" customHeight="true" outlineLevel="0" collapsed="false">
      <c r="A1511" s="1" t="n">
        <v>54</v>
      </c>
      <c r="B1511" s="32" t="n">
        <f aca="false">INDEX(Surface_Engine!$S$12:$S$72,$A1511+1)*IF($A1511&lt;$Q$1455,INDEX(Surface_Engine!$E$12:$E$72,$A1511+1),INDEX(Surface_Engine!$E$12:$E$72,$Q$1455+1))</f>
        <v>0</v>
      </c>
      <c r="C1511" s="32" t="n">
        <f aca="false">INDEX(Panel_Reserving!$G$8:$G$68,$A1511+1)*IF($A1511&lt;$Q$1455,INDEX(Surface_Engine!$E$12:$E$72,$A1511+1),INDEX(Surface_Engine!$E$12:$E$72,$Q$1455+1))</f>
        <v>0</v>
      </c>
      <c r="D1511" s="32" t="n">
        <f aca="false">INDEX(Surface_Engine!$S$12:$S$72,$A1511+1)*IF($A1511&lt;$Q$1455,INDEX(Surface_Engine!$Y$12:$Y$72,$A1511+1),INDEX(Surface_Engine!$Y$12:$Y$72,$Q$1455+1))</f>
        <v>0</v>
      </c>
      <c r="E1511" s="32" t="n">
        <f aca="false">INDEX(Surface_Engine!$S$12:$S$72,$A1511+1)*IF($A1511&lt;$Q$1455,INDEX(Surface_Engine!$Z$12:$Z$72,$A1511+1),INDEX(Surface_Engine!$Z$12:$Z$72,$Q$1455+1))</f>
        <v>0</v>
      </c>
      <c r="F1511" s="48" t="n">
        <f aca="false">B1511*(IF($A1511&lt;$Q$1455,INDEX(Surface_Engine!$D$12:$D$72,$A1511+1)+(Surface_Engine!Q248*12)*INDEX(Surface_Engine!$F$12:$F$72,$A1511+1)-(Surface_Engine!Q248*12),1000*12*INDEX(Surface_Engine!$C$12:$C$72,$A1511+1)/(1+Assumptions!$B$10)^18+INDEX(Surface_Engine!$D$12:$D$72,$A1511+1)))*INDEX(Surface_Engine!$B$12:$B$72,$A1511+1)+F1512</f>
        <v>0</v>
      </c>
      <c r="G1511" s="48" t="n">
        <f aca="false">C1511*(IF($A1511&lt;$Q$1455,INDEX(Surface_Engine!$D$12:$D$72,$A1511+1)+(Surface_Engine!Q248*12)*INDEX(Surface_Engine!$F$12:$F$72,$A1511+1)-(Surface_Engine!Q248*12),1000*12*INDEX(Surface_Engine!$C$12:$C$72,$A1511+1)/(1+Assumptions!$B$10)^18+INDEX(Surface_Engine!$D$12:$D$72,$A1511+1)))*INDEX(Surface_Engine!$B$12:$B$72,$A1511+1)+G1512</f>
        <v>0</v>
      </c>
      <c r="H1511" s="48" t="n">
        <f aca="false">D1511*(IF($A1511&lt;$Q$1455,INDEX(Surface_Engine!$D$12:$D$72,$A1511+1)+(Surface_Engine!Q248*12)*INDEX(Surface_Engine!$F$12:$F$72,$A1511+1)-(Surface_Engine!Q248*12),1000*12*INDEX(Surface_Engine!$C$12:$C$72,$A1511+1)/(1+Assumptions!$B$10)^18+INDEX(Surface_Engine!$D$12:$D$72,$A1511+1)))*INDEX(Surface_Engine!$B$12:$B$72,$A1511+1)+H1512</f>
        <v>0</v>
      </c>
      <c r="I1511" s="48" t="n">
        <f aca="false">E1511*(IF($A1511&lt;$Q$1455,INDEX(Surface_Engine!$D$12:$D$72,$A1511+1)+(Surface_Engine!Q248*12)*INDEX(Surface_Engine!$F$12:$F$72,$A1511+1)-(Surface_Engine!Q248*12),1000*12*INDEX(Surface_Engine!$C$12:$C$72,$A1511+1)/(1+Assumptions!$B$10)^18+INDEX(Surface_Engine!$D$12:$D$72,$A1511+1)))*INDEX(Surface_Engine!$B$12:$B$72,$A1511+1)+I1512</f>
        <v>0</v>
      </c>
      <c r="J1511" s="48" t="n">
        <f aca="false">B1511*(IF($A1511&lt;$Q$1455,INDEX(Surface_Engine!$D$12:$D$72,$A1511+1)*(1+Assumptions!$B$24)+(Surface_Engine!Q248*12)*INDEX(Surface_Engine!$F$12:$F$72,$A1511+1)-(Surface_Engine!Q248*12),1000*12*INDEX(Surface_Engine!$C$12:$C$72,$A1511+1)/(1+Assumptions!$B$10)^18+INDEX(Surface_Engine!$D$12:$D$72,$A1511+1)*(1+Assumptions!$B$24)))*INDEX(Surface_Engine!$B$12:$B$72,$A1511+1)+J1512</f>
        <v>0</v>
      </c>
      <c r="K1511" s="12" t="n">
        <f aca="false">SQRT((IF(C1511&lt;=0,0,MAX(0,(B1511/C1511)*G1511/INDEX(Surface_Engine!$B$12:$B$72,$A1511+1)-F1511/INDEX(Surface_Engine!$B$12:$B$72,$A1511+1))))^2+(MAX(IF(D1511&lt;=0,0,MAX(0,(B1511/D1511)*H1511/INDEX(Surface_Engine!$B$12:$B$72,$A1511+1)-F1511/INDEX(Surface_Engine!$B$12:$B$72,$A1511+1))),IF(E1511&lt;=0,0,MAX(0,(B1511/E1511)*I1511/INDEX(Surface_Engine!$B$12:$B$72,$A1511+1)-F1511/INDEX(Surface_Engine!$B$12:$B$72,$A1511+1))),IF($A1511&lt;$Q$1455,MAX(0,-Assumptions!$B$22*(F1511/INDEX(Surface_Engine!$B$12:$B$72,$A1511+1))),0)))^2+(MAX(0,J1511/INDEX(Surface_Engine!$B$12:$B$72,$A1511+1)-(F1511/INDEX(Surface_Engine!$B$12:$B$72,$A1511+1))))^2+2*Assumptions!$B$26*(IF(C1511&lt;=0,0,MAX(0,(B1511/C1511)*G1511/INDEX(Surface_Engine!$B$12:$B$72,$A1511+1)-F1511/INDEX(Surface_Engine!$B$12:$B$72,$A1511+1))))*(MAX(IF(D1511&lt;=0,0,MAX(0,(B1511/D1511)*H1511/INDEX(Surface_Engine!$B$12:$B$72,$A1511+1)-F1511/INDEX(Surface_Engine!$B$12:$B$72,$A1511+1))),IF(E1511&lt;=0,0,MAX(0,(B1511/E1511)*I1511/INDEX(Surface_Engine!$B$12:$B$72,$A1511+1)-F1511/INDEX(Surface_Engine!$B$12:$B$72,$A1511+1))),IF($A1511&lt;$Q$1455,MAX(0,-Assumptions!$B$22*(F1511/INDEX(Surface_Engine!$B$12:$B$72,$A1511+1))),0)))+2*Assumptions!$B$27*(IF(C1511&lt;=0,0,MAX(0,(B1511/C1511)*G1511/INDEX(Surface_Engine!$B$12:$B$72,$A1511+1)-F1511/INDEX(Surface_Engine!$B$12:$B$72,$A1511+1))))*(MAX(0,J1511/INDEX(Surface_Engine!$B$12:$B$72,$A1511+1)-(F1511/INDEX(Surface_Engine!$B$12:$B$72,$A1511+1))))+2*Assumptions!$B$28*(MAX(IF(D1511&lt;=0,0,MAX(0,(B1511/D1511)*H1511/INDEX(Surface_Engine!$B$12:$B$72,$A1511+1)-F1511/INDEX(Surface_Engine!$B$12:$B$72,$A1511+1))),IF(E1511&lt;=0,0,MAX(0,(B1511/E1511)*I1511/INDEX(Surface_Engine!$B$12:$B$72,$A1511+1)-F1511/INDEX(Surface_Engine!$B$12:$B$72,$A1511+1))),IF($A1511&lt;$Q$1455,MAX(0,-Assumptions!$B$22*(F1511/INDEX(Surface_Engine!$B$12:$B$72,$A1511+1))),0)))*(MAX(0,J1511/INDEX(Surface_Engine!$B$12:$B$72,$A1511+1)-(F1511/INDEX(Surface_Engine!$B$12:$B$72,$A1511+1)))))</f>
        <v>0</v>
      </c>
      <c r="L1511" s="48" t="n">
        <f aca="false">K1511*INDEX(Surface_Engine!$B$12:$B$72,$A1511+1)+L1512</f>
        <v>0</v>
      </c>
      <c r="M1511" s="48" t="n">
        <f aca="false">M1510+B1510*(IF($A1510&lt;$Q$1455,(Surface_Engine!Q248*12)-(Surface_Engine!Q248*12)*INDEX(Surface_Engine!$F$12:$F$72,$A1510+1)-INDEX(Surface_Engine!$D$12:$D$72,$A1510+1),-(1000*12*INDEX(Surface_Engine!$C$12:$C$72,$A1510+1)/(1+Assumptions!$B$10)^18+INDEX(Surface_Engine!$D$12:$D$72,$A1510+1))))*INDEX(Surface_Engine!$B$12:$B$72,$A1510+1)</f>
        <v>639.071638950962</v>
      </c>
      <c r="N1511" s="12" t="n">
        <f aca="false">IF(B1511&lt;=0,0,MAX(0,(K1511+Assumptions!$B$29*L1511/INDEX(Surface_Engine!$B$12:$B$72,$A1511+1)-(M1511/INDEX(Surface_Engine!$B$12:$B$72,$A1511+1)-(F1511/INDEX(Surface_Engine!$B$12:$B$72,$A1511+1))))/B1511))</f>
        <v>0</v>
      </c>
    </row>
    <row r="1512" customFormat="false" ht="15" hidden="false" customHeight="true" outlineLevel="0" collapsed="false">
      <c r="A1512" s="1" t="n">
        <v>55</v>
      </c>
      <c r="B1512" s="32" t="n">
        <f aca="false">INDEX(Surface_Engine!$S$12:$S$72,$A1512+1)*IF($A1512&lt;$Q$1455,INDEX(Surface_Engine!$E$12:$E$72,$A1512+1),INDEX(Surface_Engine!$E$12:$E$72,$Q$1455+1))</f>
        <v>0</v>
      </c>
      <c r="C1512" s="32" t="n">
        <f aca="false">INDEX(Panel_Reserving!$G$8:$G$68,$A1512+1)*IF($A1512&lt;$Q$1455,INDEX(Surface_Engine!$E$12:$E$72,$A1512+1),INDEX(Surface_Engine!$E$12:$E$72,$Q$1455+1))</f>
        <v>0</v>
      </c>
      <c r="D1512" s="32" t="n">
        <f aca="false">INDEX(Surface_Engine!$S$12:$S$72,$A1512+1)*IF($A1512&lt;$Q$1455,INDEX(Surface_Engine!$Y$12:$Y$72,$A1512+1),INDEX(Surface_Engine!$Y$12:$Y$72,$Q$1455+1))</f>
        <v>0</v>
      </c>
      <c r="E1512" s="32" t="n">
        <f aca="false">INDEX(Surface_Engine!$S$12:$S$72,$A1512+1)*IF($A1512&lt;$Q$1455,INDEX(Surface_Engine!$Z$12:$Z$72,$A1512+1),INDEX(Surface_Engine!$Z$12:$Z$72,$Q$1455+1))</f>
        <v>0</v>
      </c>
      <c r="F1512" s="48" t="n">
        <f aca="false">B1512*(IF($A1512&lt;$Q$1455,INDEX(Surface_Engine!$D$12:$D$72,$A1512+1)+(Surface_Engine!Q248*12)*INDEX(Surface_Engine!$F$12:$F$72,$A1512+1)-(Surface_Engine!Q248*12),1000*12*INDEX(Surface_Engine!$C$12:$C$72,$A1512+1)/(1+Assumptions!$B$10)^18+INDEX(Surface_Engine!$D$12:$D$72,$A1512+1)))*INDEX(Surface_Engine!$B$12:$B$72,$A1512+1)+F1513</f>
        <v>0</v>
      </c>
      <c r="G1512" s="48" t="n">
        <f aca="false">C1512*(IF($A1512&lt;$Q$1455,INDEX(Surface_Engine!$D$12:$D$72,$A1512+1)+(Surface_Engine!Q248*12)*INDEX(Surface_Engine!$F$12:$F$72,$A1512+1)-(Surface_Engine!Q248*12),1000*12*INDEX(Surface_Engine!$C$12:$C$72,$A1512+1)/(1+Assumptions!$B$10)^18+INDEX(Surface_Engine!$D$12:$D$72,$A1512+1)))*INDEX(Surface_Engine!$B$12:$B$72,$A1512+1)+G1513</f>
        <v>0</v>
      </c>
      <c r="H1512" s="48" t="n">
        <f aca="false">D1512*(IF($A1512&lt;$Q$1455,INDEX(Surface_Engine!$D$12:$D$72,$A1512+1)+(Surface_Engine!Q248*12)*INDEX(Surface_Engine!$F$12:$F$72,$A1512+1)-(Surface_Engine!Q248*12),1000*12*INDEX(Surface_Engine!$C$12:$C$72,$A1512+1)/(1+Assumptions!$B$10)^18+INDEX(Surface_Engine!$D$12:$D$72,$A1512+1)))*INDEX(Surface_Engine!$B$12:$B$72,$A1512+1)+H1513</f>
        <v>0</v>
      </c>
      <c r="I1512" s="48" t="n">
        <f aca="false">E1512*(IF($A1512&lt;$Q$1455,INDEX(Surface_Engine!$D$12:$D$72,$A1512+1)+(Surface_Engine!Q248*12)*INDEX(Surface_Engine!$F$12:$F$72,$A1512+1)-(Surface_Engine!Q248*12),1000*12*INDEX(Surface_Engine!$C$12:$C$72,$A1512+1)/(1+Assumptions!$B$10)^18+INDEX(Surface_Engine!$D$12:$D$72,$A1512+1)))*INDEX(Surface_Engine!$B$12:$B$72,$A1512+1)+I1513</f>
        <v>0</v>
      </c>
      <c r="J1512" s="48" t="n">
        <f aca="false">B1512*(IF($A1512&lt;$Q$1455,INDEX(Surface_Engine!$D$12:$D$72,$A1512+1)*(1+Assumptions!$B$24)+(Surface_Engine!Q248*12)*INDEX(Surface_Engine!$F$12:$F$72,$A1512+1)-(Surface_Engine!Q248*12),1000*12*INDEX(Surface_Engine!$C$12:$C$72,$A1512+1)/(1+Assumptions!$B$10)^18+INDEX(Surface_Engine!$D$12:$D$72,$A1512+1)*(1+Assumptions!$B$24)))*INDEX(Surface_Engine!$B$12:$B$72,$A1512+1)+J1513</f>
        <v>0</v>
      </c>
      <c r="K1512" s="12" t="n">
        <f aca="false">SQRT((IF(C1512&lt;=0,0,MAX(0,(B1512/C1512)*G1512/INDEX(Surface_Engine!$B$12:$B$72,$A1512+1)-F1512/INDEX(Surface_Engine!$B$12:$B$72,$A1512+1))))^2+(MAX(IF(D1512&lt;=0,0,MAX(0,(B1512/D1512)*H1512/INDEX(Surface_Engine!$B$12:$B$72,$A1512+1)-F1512/INDEX(Surface_Engine!$B$12:$B$72,$A1512+1))),IF(E1512&lt;=0,0,MAX(0,(B1512/E1512)*I1512/INDEX(Surface_Engine!$B$12:$B$72,$A1512+1)-F1512/INDEX(Surface_Engine!$B$12:$B$72,$A1512+1))),IF($A1512&lt;$Q$1455,MAX(0,-Assumptions!$B$22*(F1512/INDEX(Surface_Engine!$B$12:$B$72,$A1512+1))),0)))^2+(MAX(0,J1512/INDEX(Surface_Engine!$B$12:$B$72,$A1512+1)-(F1512/INDEX(Surface_Engine!$B$12:$B$72,$A1512+1))))^2+2*Assumptions!$B$26*(IF(C1512&lt;=0,0,MAX(0,(B1512/C1512)*G1512/INDEX(Surface_Engine!$B$12:$B$72,$A1512+1)-F1512/INDEX(Surface_Engine!$B$12:$B$72,$A1512+1))))*(MAX(IF(D1512&lt;=0,0,MAX(0,(B1512/D1512)*H1512/INDEX(Surface_Engine!$B$12:$B$72,$A1512+1)-F1512/INDEX(Surface_Engine!$B$12:$B$72,$A1512+1))),IF(E1512&lt;=0,0,MAX(0,(B1512/E1512)*I1512/INDEX(Surface_Engine!$B$12:$B$72,$A1512+1)-F1512/INDEX(Surface_Engine!$B$12:$B$72,$A1512+1))),IF($A1512&lt;$Q$1455,MAX(0,-Assumptions!$B$22*(F1512/INDEX(Surface_Engine!$B$12:$B$72,$A1512+1))),0)))+2*Assumptions!$B$27*(IF(C1512&lt;=0,0,MAX(0,(B1512/C1512)*G1512/INDEX(Surface_Engine!$B$12:$B$72,$A1512+1)-F1512/INDEX(Surface_Engine!$B$12:$B$72,$A1512+1))))*(MAX(0,J1512/INDEX(Surface_Engine!$B$12:$B$72,$A1512+1)-(F1512/INDEX(Surface_Engine!$B$12:$B$72,$A1512+1))))+2*Assumptions!$B$28*(MAX(IF(D1512&lt;=0,0,MAX(0,(B1512/D1512)*H1512/INDEX(Surface_Engine!$B$12:$B$72,$A1512+1)-F1512/INDEX(Surface_Engine!$B$12:$B$72,$A1512+1))),IF(E1512&lt;=0,0,MAX(0,(B1512/E1512)*I1512/INDEX(Surface_Engine!$B$12:$B$72,$A1512+1)-F1512/INDEX(Surface_Engine!$B$12:$B$72,$A1512+1))),IF($A1512&lt;$Q$1455,MAX(0,-Assumptions!$B$22*(F1512/INDEX(Surface_Engine!$B$12:$B$72,$A1512+1))),0)))*(MAX(0,J1512/INDEX(Surface_Engine!$B$12:$B$72,$A1512+1)-(F1512/INDEX(Surface_Engine!$B$12:$B$72,$A1512+1)))))</f>
        <v>0</v>
      </c>
      <c r="L1512" s="48" t="n">
        <f aca="false">K1512*INDEX(Surface_Engine!$B$12:$B$72,$A1512+1)+L1513</f>
        <v>0</v>
      </c>
      <c r="M1512" s="48" t="n">
        <f aca="false">M1511+B1511*(IF($A1511&lt;$Q$1455,(Surface_Engine!Q248*12)-(Surface_Engine!Q248*12)*INDEX(Surface_Engine!$F$12:$F$72,$A1511+1)-INDEX(Surface_Engine!$D$12:$D$72,$A1511+1),-(1000*12*INDEX(Surface_Engine!$C$12:$C$72,$A1511+1)/(1+Assumptions!$B$10)^18+INDEX(Surface_Engine!$D$12:$D$72,$A1511+1))))*INDEX(Surface_Engine!$B$12:$B$72,$A1511+1)</f>
        <v>639.071638950962</v>
      </c>
      <c r="N1512" s="12" t="n">
        <f aca="false">IF(B1512&lt;=0,0,MAX(0,(K1512+Assumptions!$B$29*L1512/INDEX(Surface_Engine!$B$12:$B$72,$A1512+1)-(M1512/INDEX(Surface_Engine!$B$12:$B$72,$A1512+1)-(F1512/INDEX(Surface_Engine!$B$12:$B$72,$A1512+1))))/B1512))</f>
        <v>0</v>
      </c>
    </row>
    <row r="1513" customFormat="false" ht="15" hidden="false" customHeight="true" outlineLevel="0" collapsed="false">
      <c r="A1513" s="1" t="n">
        <v>56</v>
      </c>
      <c r="B1513" s="32" t="n">
        <f aca="false">INDEX(Surface_Engine!$S$12:$S$72,$A1513+1)*IF($A1513&lt;$Q$1455,INDEX(Surface_Engine!$E$12:$E$72,$A1513+1),INDEX(Surface_Engine!$E$12:$E$72,$Q$1455+1))</f>
        <v>0</v>
      </c>
      <c r="C1513" s="32" t="n">
        <f aca="false">INDEX(Panel_Reserving!$G$8:$G$68,$A1513+1)*IF($A1513&lt;$Q$1455,INDEX(Surface_Engine!$E$12:$E$72,$A1513+1),INDEX(Surface_Engine!$E$12:$E$72,$Q$1455+1))</f>
        <v>0</v>
      </c>
      <c r="D1513" s="32" t="n">
        <f aca="false">INDEX(Surface_Engine!$S$12:$S$72,$A1513+1)*IF($A1513&lt;$Q$1455,INDEX(Surface_Engine!$Y$12:$Y$72,$A1513+1),INDEX(Surface_Engine!$Y$12:$Y$72,$Q$1455+1))</f>
        <v>0</v>
      </c>
      <c r="E1513" s="32" t="n">
        <f aca="false">INDEX(Surface_Engine!$S$12:$S$72,$A1513+1)*IF($A1513&lt;$Q$1455,INDEX(Surface_Engine!$Z$12:$Z$72,$A1513+1),INDEX(Surface_Engine!$Z$12:$Z$72,$Q$1455+1))</f>
        <v>0</v>
      </c>
      <c r="F1513" s="48" t="n">
        <f aca="false">B1513*(IF($A1513&lt;$Q$1455,INDEX(Surface_Engine!$D$12:$D$72,$A1513+1)+(Surface_Engine!Q248*12)*INDEX(Surface_Engine!$F$12:$F$72,$A1513+1)-(Surface_Engine!Q248*12),1000*12*INDEX(Surface_Engine!$C$12:$C$72,$A1513+1)/(1+Assumptions!$B$10)^18+INDEX(Surface_Engine!$D$12:$D$72,$A1513+1)))*INDEX(Surface_Engine!$B$12:$B$72,$A1513+1)+F1514</f>
        <v>0</v>
      </c>
      <c r="G1513" s="48" t="n">
        <f aca="false">C1513*(IF($A1513&lt;$Q$1455,INDEX(Surface_Engine!$D$12:$D$72,$A1513+1)+(Surface_Engine!Q248*12)*INDEX(Surface_Engine!$F$12:$F$72,$A1513+1)-(Surface_Engine!Q248*12),1000*12*INDEX(Surface_Engine!$C$12:$C$72,$A1513+1)/(1+Assumptions!$B$10)^18+INDEX(Surface_Engine!$D$12:$D$72,$A1513+1)))*INDEX(Surface_Engine!$B$12:$B$72,$A1513+1)+G1514</f>
        <v>0</v>
      </c>
      <c r="H1513" s="48" t="n">
        <f aca="false">D1513*(IF($A1513&lt;$Q$1455,INDEX(Surface_Engine!$D$12:$D$72,$A1513+1)+(Surface_Engine!Q248*12)*INDEX(Surface_Engine!$F$12:$F$72,$A1513+1)-(Surface_Engine!Q248*12),1000*12*INDEX(Surface_Engine!$C$12:$C$72,$A1513+1)/(1+Assumptions!$B$10)^18+INDEX(Surface_Engine!$D$12:$D$72,$A1513+1)))*INDEX(Surface_Engine!$B$12:$B$72,$A1513+1)+H1514</f>
        <v>0</v>
      </c>
      <c r="I1513" s="48" t="n">
        <f aca="false">E1513*(IF($A1513&lt;$Q$1455,INDEX(Surface_Engine!$D$12:$D$72,$A1513+1)+(Surface_Engine!Q248*12)*INDEX(Surface_Engine!$F$12:$F$72,$A1513+1)-(Surface_Engine!Q248*12),1000*12*INDEX(Surface_Engine!$C$12:$C$72,$A1513+1)/(1+Assumptions!$B$10)^18+INDEX(Surface_Engine!$D$12:$D$72,$A1513+1)))*INDEX(Surface_Engine!$B$12:$B$72,$A1513+1)+I1514</f>
        <v>0</v>
      </c>
      <c r="J1513" s="48" t="n">
        <f aca="false">B1513*(IF($A1513&lt;$Q$1455,INDEX(Surface_Engine!$D$12:$D$72,$A1513+1)*(1+Assumptions!$B$24)+(Surface_Engine!Q248*12)*INDEX(Surface_Engine!$F$12:$F$72,$A1513+1)-(Surface_Engine!Q248*12),1000*12*INDEX(Surface_Engine!$C$12:$C$72,$A1513+1)/(1+Assumptions!$B$10)^18+INDEX(Surface_Engine!$D$12:$D$72,$A1513+1)*(1+Assumptions!$B$24)))*INDEX(Surface_Engine!$B$12:$B$72,$A1513+1)+J1514</f>
        <v>0</v>
      </c>
      <c r="K1513" s="12" t="n">
        <f aca="false">SQRT((IF(C1513&lt;=0,0,MAX(0,(B1513/C1513)*G1513/INDEX(Surface_Engine!$B$12:$B$72,$A1513+1)-F1513/INDEX(Surface_Engine!$B$12:$B$72,$A1513+1))))^2+(MAX(IF(D1513&lt;=0,0,MAX(0,(B1513/D1513)*H1513/INDEX(Surface_Engine!$B$12:$B$72,$A1513+1)-F1513/INDEX(Surface_Engine!$B$12:$B$72,$A1513+1))),IF(E1513&lt;=0,0,MAX(0,(B1513/E1513)*I1513/INDEX(Surface_Engine!$B$12:$B$72,$A1513+1)-F1513/INDEX(Surface_Engine!$B$12:$B$72,$A1513+1))),IF($A1513&lt;$Q$1455,MAX(0,-Assumptions!$B$22*(F1513/INDEX(Surface_Engine!$B$12:$B$72,$A1513+1))),0)))^2+(MAX(0,J1513/INDEX(Surface_Engine!$B$12:$B$72,$A1513+1)-(F1513/INDEX(Surface_Engine!$B$12:$B$72,$A1513+1))))^2+2*Assumptions!$B$26*(IF(C1513&lt;=0,0,MAX(0,(B1513/C1513)*G1513/INDEX(Surface_Engine!$B$12:$B$72,$A1513+1)-F1513/INDEX(Surface_Engine!$B$12:$B$72,$A1513+1))))*(MAX(IF(D1513&lt;=0,0,MAX(0,(B1513/D1513)*H1513/INDEX(Surface_Engine!$B$12:$B$72,$A1513+1)-F1513/INDEX(Surface_Engine!$B$12:$B$72,$A1513+1))),IF(E1513&lt;=0,0,MAX(0,(B1513/E1513)*I1513/INDEX(Surface_Engine!$B$12:$B$72,$A1513+1)-F1513/INDEX(Surface_Engine!$B$12:$B$72,$A1513+1))),IF($A1513&lt;$Q$1455,MAX(0,-Assumptions!$B$22*(F1513/INDEX(Surface_Engine!$B$12:$B$72,$A1513+1))),0)))+2*Assumptions!$B$27*(IF(C1513&lt;=0,0,MAX(0,(B1513/C1513)*G1513/INDEX(Surface_Engine!$B$12:$B$72,$A1513+1)-F1513/INDEX(Surface_Engine!$B$12:$B$72,$A1513+1))))*(MAX(0,J1513/INDEX(Surface_Engine!$B$12:$B$72,$A1513+1)-(F1513/INDEX(Surface_Engine!$B$12:$B$72,$A1513+1))))+2*Assumptions!$B$28*(MAX(IF(D1513&lt;=0,0,MAX(0,(B1513/D1513)*H1513/INDEX(Surface_Engine!$B$12:$B$72,$A1513+1)-F1513/INDEX(Surface_Engine!$B$12:$B$72,$A1513+1))),IF(E1513&lt;=0,0,MAX(0,(B1513/E1513)*I1513/INDEX(Surface_Engine!$B$12:$B$72,$A1513+1)-F1513/INDEX(Surface_Engine!$B$12:$B$72,$A1513+1))),IF($A1513&lt;$Q$1455,MAX(0,-Assumptions!$B$22*(F1513/INDEX(Surface_Engine!$B$12:$B$72,$A1513+1))),0)))*(MAX(0,J1513/INDEX(Surface_Engine!$B$12:$B$72,$A1513+1)-(F1513/INDEX(Surface_Engine!$B$12:$B$72,$A1513+1)))))</f>
        <v>0</v>
      </c>
      <c r="L1513" s="48" t="n">
        <f aca="false">K1513*INDEX(Surface_Engine!$B$12:$B$72,$A1513+1)+L1514</f>
        <v>0</v>
      </c>
      <c r="M1513" s="48" t="n">
        <f aca="false">M1512+B1512*(IF($A1512&lt;$Q$1455,(Surface_Engine!Q248*12)-(Surface_Engine!Q248*12)*INDEX(Surface_Engine!$F$12:$F$72,$A1512+1)-INDEX(Surface_Engine!$D$12:$D$72,$A1512+1),-(1000*12*INDEX(Surface_Engine!$C$12:$C$72,$A1512+1)/(1+Assumptions!$B$10)^18+INDEX(Surface_Engine!$D$12:$D$72,$A1512+1))))*INDEX(Surface_Engine!$B$12:$B$72,$A1512+1)</f>
        <v>639.071638950962</v>
      </c>
      <c r="N1513" s="12" t="n">
        <f aca="false">IF(B1513&lt;=0,0,MAX(0,(K1513+Assumptions!$B$29*L1513/INDEX(Surface_Engine!$B$12:$B$72,$A1513+1)-(M1513/INDEX(Surface_Engine!$B$12:$B$72,$A1513+1)-(F1513/INDEX(Surface_Engine!$B$12:$B$72,$A1513+1))))/B1513))</f>
        <v>0</v>
      </c>
    </row>
    <row r="1514" customFormat="false" ht="15" hidden="false" customHeight="true" outlineLevel="0" collapsed="false">
      <c r="A1514" s="1" t="n">
        <v>57</v>
      </c>
      <c r="B1514" s="32" t="n">
        <f aca="false">INDEX(Surface_Engine!$S$12:$S$72,$A1514+1)*IF($A1514&lt;$Q$1455,INDEX(Surface_Engine!$E$12:$E$72,$A1514+1),INDEX(Surface_Engine!$E$12:$E$72,$Q$1455+1))</f>
        <v>0</v>
      </c>
      <c r="C1514" s="32" t="n">
        <f aca="false">INDEX(Panel_Reserving!$G$8:$G$68,$A1514+1)*IF($A1514&lt;$Q$1455,INDEX(Surface_Engine!$E$12:$E$72,$A1514+1),INDEX(Surface_Engine!$E$12:$E$72,$Q$1455+1))</f>
        <v>0</v>
      </c>
      <c r="D1514" s="32" t="n">
        <f aca="false">INDEX(Surface_Engine!$S$12:$S$72,$A1514+1)*IF($A1514&lt;$Q$1455,INDEX(Surface_Engine!$Y$12:$Y$72,$A1514+1),INDEX(Surface_Engine!$Y$12:$Y$72,$Q$1455+1))</f>
        <v>0</v>
      </c>
      <c r="E1514" s="32" t="n">
        <f aca="false">INDEX(Surface_Engine!$S$12:$S$72,$A1514+1)*IF($A1514&lt;$Q$1455,INDEX(Surface_Engine!$Z$12:$Z$72,$A1514+1),INDEX(Surface_Engine!$Z$12:$Z$72,$Q$1455+1))</f>
        <v>0</v>
      </c>
      <c r="F1514" s="48" t="n">
        <f aca="false">B1514*(IF($A1514&lt;$Q$1455,INDEX(Surface_Engine!$D$12:$D$72,$A1514+1)+(Surface_Engine!Q248*12)*INDEX(Surface_Engine!$F$12:$F$72,$A1514+1)-(Surface_Engine!Q248*12),1000*12*INDEX(Surface_Engine!$C$12:$C$72,$A1514+1)/(1+Assumptions!$B$10)^18+INDEX(Surface_Engine!$D$12:$D$72,$A1514+1)))*INDEX(Surface_Engine!$B$12:$B$72,$A1514+1)+F1515</f>
        <v>0</v>
      </c>
      <c r="G1514" s="48" t="n">
        <f aca="false">C1514*(IF($A1514&lt;$Q$1455,INDEX(Surface_Engine!$D$12:$D$72,$A1514+1)+(Surface_Engine!Q248*12)*INDEX(Surface_Engine!$F$12:$F$72,$A1514+1)-(Surface_Engine!Q248*12),1000*12*INDEX(Surface_Engine!$C$12:$C$72,$A1514+1)/(1+Assumptions!$B$10)^18+INDEX(Surface_Engine!$D$12:$D$72,$A1514+1)))*INDEX(Surface_Engine!$B$12:$B$72,$A1514+1)+G1515</f>
        <v>0</v>
      </c>
      <c r="H1514" s="48" t="n">
        <f aca="false">D1514*(IF($A1514&lt;$Q$1455,INDEX(Surface_Engine!$D$12:$D$72,$A1514+1)+(Surface_Engine!Q248*12)*INDEX(Surface_Engine!$F$12:$F$72,$A1514+1)-(Surface_Engine!Q248*12),1000*12*INDEX(Surface_Engine!$C$12:$C$72,$A1514+1)/(1+Assumptions!$B$10)^18+INDEX(Surface_Engine!$D$12:$D$72,$A1514+1)))*INDEX(Surface_Engine!$B$12:$B$72,$A1514+1)+H1515</f>
        <v>0</v>
      </c>
      <c r="I1514" s="48" t="n">
        <f aca="false">E1514*(IF($A1514&lt;$Q$1455,INDEX(Surface_Engine!$D$12:$D$72,$A1514+1)+(Surface_Engine!Q248*12)*INDEX(Surface_Engine!$F$12:$F$72,$A1514+1)-(Surface_Engine!Q248*12),1000*12*INDEX(Surface_Engine!$C$12:$C$72,$A1514+1)/(1+Assumptions!$B$10)^18+INDEX(Surface_Engine!$D$12:$D$72,$A1514+1)))*INDEX(Surface_Engine!$B$12:$B$72,$A1514+1)+I1515</f>
        <v>0</v>
      </c>
      <c r="J1514" s="48" t="n">
        <f aca="false">B1514*(IF($A1514&lt;$Q$1455,INDEX(Surface_Engine!$D$12:$D$72,$A1514+1)*(1+Assumptions!$B$24)+(Surface_Engine!Q248*12)*INDEX(Surface_Engine!$F$12:$F$72,$A1514+1)-(Surface_Engine!Q248*12),1000*12*INDEX(Surface_Engine!$C$12:$C$72,$A1514+1)/(1+Assumptions!$B$10)^18+INDEX(Surface_Engine!$D$12:$D$72,$A1514+1)*(1+Assumptions!$B$24)))*INDEX(Surface_Engine!$B$12:$B$72,$A1514+1)+J1515</f>
        <v>0</v>
      </c>
      <c r="K1514" s="12" t="n">
        <f aca="false">SQRT((IF(C1514&lt;=0,0,MAX(0,(B1514/C1514)*G1514/INDEX(Surface_Engine!$B$12:$B$72,$A1514+1)-F1514/INDEX(Surface_Engine!$B$12:$B$72,$A1514+1))))^2+(MAX(IF(D1514&lt;=0,0,MAX(0,(B1514/D1514)*H1514/INDEX(Surface_Engine!$B$12:$B$72,$A1514+1)-F1514/INDEX(Surface_Engine!$B$12:$B$72,$A1514+1))),IF(E1514&lt;=0,0,MAX(0,(B1514/E1514)*I1514/INDEX(Surface_Engine!$B$12:$B$72,$A1514+1)-F1514/INDEX(Surface_Engine!$B$12:$B$72,$A1514+1))),IF($A1514&lt;$Q$1455,MAX(0,-Assumptions!$B$22*(F1514/INDEX(Surface_Engine!$B$12:$B$72,$A1514+1))),0)))^2+(MAX(0,J1514/INDEX(Surface_Engine!$B$12:$B$72,$A1514+1)-(F1514/INDEX(Surface_Engine!$B$12:$B$72,$A1514+1))))^2+2*Assumptions!$B$26*(IF(C1514&lt;=0,0,MAX(0,(B1514/C1514)*G1514/INDEX(Surface_Engine!$B$12:$B$72,$A1514+1)-F1514/INDEX(Surface_Engine!$B$12:$B$72,$A1514+1))))*(MAX(IF(D1514&lt;=0,0,MAX(0,(B1514/D1514)*H1514/INDEX(Surface_Engine!$B$12:$B$72,$A1514+1)-F1514/INDEX(Surface_Engine!$B$12:$B$72,$A1514+1))),IF(E1514&lt;=0,0,MAX(0,(B1514/E1514)*I1514/INDEX(Surface_Engine!$B$12:$B$72,$A1514+1)-F1514/INDEX(Surface_Engine!$B$12:$B$72,$A1514+1))),IF($A1514&lt;$Q$1455,MAX(0,-Assumptions!$B$22*(F1514/INDEX(Surface_Engine!$B$12:$B$72,$A1514+1))),0)))+2*Assumptions!$B$27*(IF(C1514&lt;=0,0,MAX(0,(B1514/C1514)*G1514/INDEX(Surface_Engine!$B$12:$B$72,$A1514+1)-F1514/INDEX(Surface_Engine!$B$12:$B$72,$A1514+1))))*(MAX(0,J1514/INDEX(Surface_Engine!$B$12:$B$72,$A1514+1)-(F1514/INDEX(Surface_Engine!$B$12:$B$72,$A1514+1))))+2*Assumptions!$B$28*(MAX(IF(D1514&lt;=0,0,MAX(0,(B1514/D1514)*H1514/INDEX(Surface_Engine!$B$12:$B$72,$A1514+1)-F1514/INDEX(Surface_Engine!$B$12:$B$72,$A1514+1))),IF(E1514&lt;=0,0,MAX(0,(B1514/E1514)*I1514/INDEX(Surface_Engine!$B$12:$B$72,$A1514+1)-F1514/INDEX(Surface_Engine!$B$12:$B$72,$A1514+1))),IF($A1514&lt;$Q$1455,MAX(0,-Assumptions!$B$22*(F1514/INDEX(Surface_Engine!$B$12:$B$72,$A1514+1))),0)))*(MAX(0,J1514/INDEX(Surface_Engine!$B$12:$B$72,$A1514+1)-(F1514/INDEX(Surface_Engine!$B$12:$B$72,$A1514+1)))))</f>
        <v>0</v>
      </c>
      <c r="L1514" s="48" t="n">
        <f aca="false">K1514*INDEX(Surface_Engine!$B$12:$B$72,$A1514+1)+L1515</f>
        <v>0</v>
      </c>
      <c r="M1514" s="48" t="n">
        <f aca="false">M1513+B1513*(IF($A1513&lt;$Q$1455,(Surface_Engine!Q248*12)-(Surface_Engine!Q248*12)*INDEX(Surface_Engine!$F$12:$F$72,$A1513+1)-INDEX(Surface_Engine!$D$12:$D$72,$A1513+1),-(1000*12*INDEX(Surface_Engine!$C$12:$C$72,$A1513+1)/(1+Assumptions!$B$10)^18+INDEX(Surface_Engine!$D$12:$D$72,$A1513+1))))*INDEX(Surface_Engine!$B$12:$B$72,$A1513+1)</f>
        <v>639.071638950962</v>
      </c>
      <c r="N1514" s="12" t="n">
        <f aca="false">IF(B1514&lt;=0,0,MAX(0,(K1514+Assumptions!$B$29*L1514/INDEX(Surface_Engine!$B$12:$B$72,$A1514+1)-(M1514/INDEX(Surface_Engine!$B$12:$B$72,$A1514+1)-(F1514/INDEX(Surface_Engine!$B$12:$B$72,$A1514+1))))/B1514))</f>
        <v>0</v>
      </c>
    </row>
    <row r="1515" customFormat="false" ht="15" hidden="false" customHeight="true" outlineLevel="0" collapsed="false">
      <c r="A1515" s="1" t="n">
        <v>58</v>
      </c>
      <c r="B1515" s="32" t="n">
        <f aca="false">INDEX(Surface_Engine!$S$12:$S$72,$A1515+1)*IF($A1515&lt;$Q$1455,INDEX(Surface_Engine!$E$12:$E$72,$A1515+1),INDEX(Surface_Engine!$E$12:$E$72,$Q$1455+1))</f>
        <v>0</v>
      </c>
      <c r="C1515" s="32" t="n">
        <f aca="false">INDEX(Panel_Reserving!$G$8:$G$68,$A1515+1)*IF($A1515&lt;$Q$1455,INDEX(Surface_Engine!$E$12:$E$72,$A1515+1),INDEX(Surface_Engine!$E$12:$E$72,$Q$1455+1))</f>
        <v>0</v>
      </c>
      <c r="D1515" s="32" t="n">
        <f aca="false">INDEX(Surface_Engine!$S$12:$S$72,$A1515+1)*IF($A1515&lt;$Q$1455,INDEX(Surface_Engine!$Y$12:$Y$72,$A1515+1),INDEX(Surface_Engine!$Y$12:$Y$72,$Q$1455+1))</f>
        <v>0</v>
      </c>
      <c r="E1515" s="32" t="n">
        <f aca="false">INDEX(Surface_Engine!$S$12:$S$72,$A1515+1)*IF($A1515&lt;$Q$1455,INDEX(Surface_Engine!$Z$12:$Z$72,$A1515+1),INDEX(Surface_Engine!$Z$12:$Z$72,$Q$1455+1))</f>
        <v>0</v>
      </c>
      <c r="F1515" s="48" t="n">
        <f aca="false">B1515*(IF($A1515&lt;$Q$1455,INDEX(Surface_Engine!$D$12:$D$72,$A1515+1)+(Surface_Engine!Q248*12)*INDEX(Surface_Engine!$F$12:$F$72,$A1515+1)-(Surface_Engine!Q248*12),1000*12*INDEX(Surface_Engine!$C$12:$C$72,$A1515+1)/(1+Assumptions!$B$10)^18+INDEX(Surface_Engine!$D$12:$D$72,$A1515+1)))*INDEX(Surface_Engine!$B$12:$B$72,$A1515+1)+F1516</f>
        <v>0</v>
      </c>
      <c r="G1515" s="48" t="n">
        <f aca="false">C1515*(IF($A1515&lt;$Q$1455,INDEX(Surface_Engine!$D$12:$D$72,$A1515+1)+(Surface_Engine!Q248*12)*INDEX(Surface_Engine!$F$12:$F$72,$A1515+1)-(Surface_Engine!Q248*12),1000*12*INDEX(Surface_Engine!$C$12:$C$72,$A1515+1)/(1+Assumptions!$B$10)^18+INDEX(Surface_Engine!$D$12:$D$72,$A1515+1)))*INDEX(Surface_Engine!$B$12:$B$72,$A1515+1)+G1516</f>
        <v>0</v>
      </c>
      <c r="H1515" s="48" t="n">
        <f aca="false">D1515*(IF($A1515&lt;$Q$1455,INDEX(Surface_Engine!$D$12:$D$72,$A1515+1)+(Surface_Engine!Q248*12)*INDEX(Surface_Engine!$F$12:$F$72,$A1515+1)-(Surface_Engine!Q248*12),1000*12*INDEX(Surface_Engine!$C$12:$C$72,$A1515+1)/(1+Assumptions!$B$10)^18+INDEX(Surface_Engine!$D$12:$D$72,$A1515+1)))*INDEX(Surface_Engine!$B$12:$B$72,$A1515+1)+H1516</f>
        <v>0</v>
      </c>
      <c r="I1515" s="48" t="n">
        <f aca="false">E1515*(IF($A1515&lt;$Q$1455,INDEX(Surface_Engine!$D$12:$D$72,$A1515+1)+(Surface_Engine!Q248*12)*INDEX(Surface_Engine!$F$12:$F$72,$A1515+1)-(Surface_Engine!Q248*12),1000*12*INDEX(Surface_Engine!$C$12:$C$72,$A1515+1)/(1+Assumptions!$B$10)^18+INDEX(Surface_Engine!$D$12:$D$72,$A1515+1)))*INDEX(Surface_Engine!$B$12:$B$72,$A1515+1)+I1516</f>
        <v>0</v>
      </c>
      <c r="J1515" s="48" t="n">
        <f aca="false">B1515*(IF($A1515&lt;$Q$1455,INDEX(Surface_Engine!$D$12:$D$72,$A1515+1)*(1+Assumptions!$B$24)+(Surface_Engine!Q248*12)*INDEX(Surface_Engine!$F$12:$F$72,$A1515+1)-(Surface_Engine!Q248*12),1000*12*INDEX(Surface_Engine!$C$12:$C$72,$A1515+1)/(1+Assumptions!$B$10)^18+INDEX(Surface_Engine!$D$12:$D$72,$A1515+1)*(1+Assumptions!$B$24)))*INDEX(Surface_Engine!$B$12:$B$72,$A1515+1)+J1516</f>
        <v>0</v>
      </c>
      <c r="K1515" s="12" t="n">
        <f aca="false">SQRT((IF(C1515&lt;=0,0,MAX(0,(B1515/C1515)*G1515/INDEX(Surface_Engine!$B$12:$B$72,$A1515+1)-F1515/INDEX(Surface_Engine!$B$12:$B$72,$A1515+1))))^2+(MAX(IF(D1515&lt;=0,0,MAX(0,(B1515/D1515)*H1515/INDEX(Surface_Engine!$B$12:$B$72,$A1515+1)-F1515/INDEX(Surface_Engine!$B$12:$B$72,$A1515+1))),IF(E1515&lt;=0,0,MAX(0,(B1515/E1515)*I1515/INDEX(Surface_Engine!$B$12:$B$72,$A1515+1)-F1515/INDEX(Surface_Engine!$B$12:$B$72,$A1515+1))),IF($A1515&lt;$Q$1455,MAX(0,-Assumptions!$B$22*(F1515/INDEX(Surface_Engine!$B$12:$B$72,$A1515+1))),0)))^2+(MAX(0,J1515/INDEX(Surface_Engine!$B$12:$B$72,$A1515+1)-(F1515/INDEX(Surface_Engine!$B$12:$B$72,$A1515+1))))^2+2*Assumptions!$B$26*(IF(C1515&lt;=0,0,MAX(0,(B1515/C1515)*G1515/INDEX(Surface_Engine!$B$12:$B$72,$A1515+1)-F1515/INDEX(Surface_Engine!$B$12:$B$72,$A1515+1))))*(MAX(IF(D1515&lt;=0,0,MAX(0,(B1515/D1515)*H1515/INDEX(Surface_Engine!$B$12:$B$72,$A1515+1)-F1515/INDEX(Surface_Engine!$B$12:$B$72,$A1515+1))),IF(E1515&lt;=0,0,MAX(0,(B1515/E1515)*I1515/INDEX(Surface_Engine!$B$12:$B$72,$A1515+1)-F1515/INDEX(Surface_Engine!$B$12:$B$72,$A1515+1))),IF($A1515&lt;$Q$1455,MAX(0,-Assumptions!$B$22*(F1515/INDEX(Surface_Engine!$B$12:$B$72,$A1515+1))),0)))+2*Assumptions!$B$27*(IF(C1515&lt;=0,0,MAX(0,(B1515/C1515)*G1515/INDEX(Surface_Engine!$B$12:$B$72,$A1515+1)-F1515/INDEX(Surface_Engine!$B$12:$B$72,$A1515+1))))*(MAX(0,J1515/INDEX(Surface_Engine!$B$12:$B$72,$A1515+1)-(F1515/INDEX(Surface_Engine!$B$12:$B$72,$A1515+1))))+2*Assumptions!$B$28*(MAX(IF(D1515&lt;=0,0,MAX(0,(B1515/D1515)*H1515/INDEX(Surface_Engine!$B$12:$B$72,$A1515+1)-F1515/INDEX(Surface_Engine!$B$12:$B$72,$A1515+1))),IF(E1515&lt;=0,0,MAX(0,(B1515/E1515)*I1515/INDEX(Surface_Engine!$B$12:$B$72,$A1515+1)-F1515/INDEX(Surface_Engine!$B$12:$B$72,$A1515+1))),IF($A1515&lt;$Q$1455,MAX(0,-Assumptions!$B$22*(F1515/INDEX(Surface_Engine!$B$12:$B$72,$A1515+1))),0)))*(MAX(0,J1515/INDEX(Surface_Engine!$B$12:$B$72,$A1515+1)-(F1515/INDEX(Surface_Engine!$B$12:$B$72,$A1515+1)))))</f>
        <v>0</v>
      </c>
      <c r="L1515" s="48" t="n">
        <f aca="false">K1515*INDEX(Surface_Engine!$B$12:$B$72,$A1515+1)+L1516</f>
        <v>0</v>
      </c>
      <c r="M1515" s="48" t="n">
        <f aca="false">M1514+B1514*(IF($A1514&lt;$Q$1455,(Surface_Engine!Q248*12)-(Surface_Engine!Q248*12)*INDEX(Surface_Engine!$F$12:$F$72,$A1514+1)-INDEX(Surface_Engine!$D$12:$D$72,$A1514+1),-(1000*12*INDEX(Surface_Engine!$C$12:$C$72,$A1514+1)/(1+Assumptions!$B$10)^18+INDEX(Surface_Engine!$D$12:$D$72,$A1514+1))))*INDEX(Surface_Engine!$B$12:$B$72,$A1514+1)</f>
        <v>639.071638950962</v>
      </c>
      <c r="N1515" s="12" t="n">
        <f aca="false">IF(B1515&lt;=0,0,MAX(0,(K1515+Assumptions!$B$29*L1515/INDEX(Surface_Engine!$B$12:$B$72,$A1515+1)-(M1515/INDEX(Surface_Engine!$B$12:$B$72,$A1515+1)-(F1515/INDEX(Surface_Engine!$B$12:$B$72,$A1515+1))))/B1515))</f>
        <v>0</v>
      </c>
    </row>
    <row r="1516" customFormat="false" ht="15" hidden="false" customHeight="true" outlineLevel="0" collapsed="false">
      <c r="A1516" s="1" t="n">
        <v>59</v>
      </c>
      <c r="B1516" s="32" t="n">
        <f aca="false">INDEX(Surface_Engine!$S$12:$S$72,$A1516+1)*IF($A1516&lt;$Q$1455,INDEX(Surface_Engine!$E$12:$E$72,$A1516+1),INDEX(Surface_Engine!$E$12:$E$72,$Q$1455+1))</f>
        <v>0</v>
      </c>
      <c r="C1516" s="32" t="n">
        <f aca="false">INDEX(Panel_Reserving!$G$8:$G$68,$A1516+1)*IF($A1516&lt;$Q$1455,INDEX(Surface_Engine!$E$12:$E$72,$A1516+1),INDEX(Surface_Engine!$E$12:$E$72,$Q$1455+1))</f>
        <v>0</v>
      </c>
      <c r="D1516" s="32" t="n">
        <f aca="false">INDEX(Surface_Engine!$S$12:$S$72,$A1516+1)*IF($A1516&lt;$Q$1455,INDEX(Surface_Engine!$Y$12:$Y$72,$A1516+1),INDEX(Surface_Engine!$Y$12:$Y$72,$Q$1455+1))</f>
        <v>0</v>
      </c>
      <c r="E1516" s="32" t="n">
        <f aca="false">INDEX(Surface_Engine!$S$12:$S$72,$A1516+1)*IF($A1516&lt;$Q$1455,INDEX(Surface_Engine!$Z$12:$Z$72,$A1516+1),INDEX(Surface_Engine!$Z$12:$Z$72,$Q$1455+1))</f>
        <v>0</v>
      </c>
      <c r="F1516" s="48" t="n">
        <f aca="false">B1516*(IF($A1516&lt;$Q$1455,INDEX(Surface_Engine!$D$12:$D$72,$A1516+1)+(Surface_Engine!Q248*12)*INDEX(Surface_Engine!$F$12:$F$72,$A1516+1)-(Surface_Engine!Q248*12),1000*12*INDEX(Surface_Engine!$C$12:$C$72,$A1516+1)/(1+Assumptions!$B$10)^18+INDEX(Surface_Engine!$D$12:$D$72,$A1516+1)))*INDEX(Surface_Engine!$B$12:$B$72,$A1516+1)+F1517</f>
        <v>0</v>
      </c>
      <c r="G1516" s="48" t="n">
        <f aca="false">C1516*(IF($A1516&lt;$Q$1455,INDEX(Surface_Engine!$D$12:$D$72,$A1516+1)+(Surface_Engine!Q248*12)*INDEX(Surface_Engine!$F$12:$F$72,$A1516+1)-(Surface_Engine!Q248*12),1000*12*INDEX(Surface_Engine!$C$12:$C$72,$A1516+1)/(1+Assumptions!$B$10)^18+INDEX(Surface_Engine!$D$12:$D$72,$A1516+1)))*INDEX(Surface_Engine!$B$12:$B$72,$A1516+1)+G1517</f>
        <v>0</v>
      </c>
      <c r="H1516" s="48" t="n">
        <f aca="false">D1516*(IF($A1516&lt;$Q$1455,INDEX(Surface_Engine!$D$12:$D$72,$A1516+1)+(Surface_Engine!Q248*12)*INDEX(Surface_Engine!$F$12:$F$72,$A1516+1)-(Surface_Engine!Q248*12),1000*12*INDEX(Surface_Engine!$C$12:$C$72,$A1516+1)/(1+Assumptions!$B$10)^18+INDEX(Surface_Engine!$D$12:$D$72,$A1516+1)))*INDEX(Surface_Engine!$B$12:$B$72,$A1516+1)+H1517</f>
        <v>0</v>
      </c>
      <c r="I1516" s="48" t="n">
        <f aca="false">E1516*(IF($A1516&lt;$Q$1455,INDEX(Surface_Engine!$D$12:$D$72,$A1516+1)+(Surface_Engine!Q248*12)*INDEX(Surface_Engine!$F$12:$F$72,$A1516+1)-(Surface_Engine!Q248*12),1000*12*INDEX(Surface_Engine!$C$12:$C$72,$A1516+1)/(1+Assumptions!$B$10)^18+INDEX(Surface_Engine!$D$12:$D$72,$A1516+1)))*INDEX(Surface_Engine!$B$12:$B$72,$A1516+1)+I1517</f>
        <v>0</v>
      </c>
      <c r="J1516" s="48" t="n">
        <f aca="false">B1516*(IF($A1516&lt;$Q$1455,INDEX(Surface_Engine!$D$12:$D$72,$A1516+1)*(1+Assumptions!$B$24)+(Surface_Engine!Q248*12)*INDEX(Surface_Engine!$F$12:$F$72,$A1516+1)-(Surface_Engine!Q248*12),1000*12*INDEX(Surface_Engine!$C$12:$C$72,$A1516+1)/(1+Assumptions!$B$10)^18+INDEX(Surface_Engine!$D$12:$D$72,$A1516+1)*(1+Assumptions!$B$24)))*INDEX(Surface_Engine!$B$12:$B$72,$A1516+1)+J1517</f>
        <v>0</v>
      </c>
      <c r="K1516" s="12" t="n">
        <f aca="false">SQRT((IF(C1516&lt;=0,0,MAX(0,(B1516/C1516)*G1516/INDEX(Surface_Engine!$B$12:$B$72,$A1516+1)-F1516/INDEX(Surface_Engine!$B$12:$B$72,$A1516+1))))^2+(MAX(IF(D1516&lt;=0,0,MAX(0,(B1516/D1516)*H1516/INDEX(Surface_Engine!$B$12:$B$72,$A1516+1)-F1516/INDEX(Surface_Engine!$B$12:$B$72,$A1516+1))),IF(E1516&lt;=0,0,MAX(0,(B1516/E1516)*I1516/INDEX(Surface_Engine!$B$12:$B$72,$A1516+1)-F1516/INDEX(Surface_Engine!$B$12:$B$72,$A1516+1))),IF($A1516&lt;$Q$1455,MAX(0,-Assumptions!$B$22*(F1516/INDEX(Surface_Engine!$B$12:$B$72,$A1516+1))),0)))^2+(MAX(0,J1516/INDEX(Surface_Engine!$B$12:$B$72,$A1516+1)-(F1516/INDEX(Surface_Engine!$B$12:$B$72,$A1516+1))))^2+2*Assumptions!$B$26*(IF(C1516&lt;=0,0,MAX(0,(B1516/C1516)*G1516/INDEX(Surface_Engine!$B$12:$B$72,$A1516+1)-F1516/INDEX(Surface_Engine!$B$12:$B$72,$A1516+1))))*(MAX(IF(D1516&lt;=0,0,MAX(0,(B1516/D1516)*H1516/INDEX(Surface_Engine!$B$12:$B$72,$A1516+1)-F1516/INDEX(Surface_Engine!$B$12:$B$72,$A1516+1))),IF(E1516&lt;=0,0,MAX(0,(B1516/E1516)*I1516/INDEX(Surface_Engine!$B$12:$B$72,$A1516+1)-F1516/INDEX(Surface_Engine!$B$12:$B$72,$A1516+1))),IF($A1516&lt;$Q$1455,MAX(0,-Assumptions!$B$22*(F1516/INDEX(Surface_Engine!$B$12:$B$72,$A1516+1))),0)))+2*Assumptions!$B$27*(IF(C1516&lt;=0,0,MAX(0,(B1516/C1516)*G1516/INDEX(Surface_Engine!$B$12:$B$72,$A1516+1)-F1516/INDEX(Surface_Engine!$B$12:$B$72,$A1516+1))))*(MAX(0,J1516/INDEX(Surface_Engine!$B$12:$B$72,$A1516+1)-(F1516/INDEX(Surface_Engine!$B$12:$B$72,$A1516+1))))+2*Assumptions!$B$28*(MAX(IF(D1516&lt;=0,0,MAX(0,(B1516/D1516)*H1516/INDEX(Surface_Engine!$B$12:$B$72,$A1516+1)-F1516/INDEX(Surface_Engine!$B$12:$B$72,$A1516+1))),IF(E1516&lt;=0,0,MAX(0,(B1516/E1516)*I1516/INDEX(Surface_Engine!$B$12:$B$72,$A1516+1)-F1516/INDEX(Surface_Engine!$B$12:$B$72,$A1516+1))),IF($A1516&lt;$Q$1455,MAX(0,-Assumptions!$B$22*(F1516/INDEX(Surface_Engine!$B$12:$B$72,$A1516+1))),0)))*(MAX(0,J1516/INDEX(Surface_Engine!$B$12:$B$72,$A1516+1)-(F1516/INDEX(Surface_Engine!$B$12:$B$72,$A1516+1)))))</f>
        <v>0</v>
      </c>
      <c r="L1516" s="48" t="n">
        <f aca="false">K1516*INDEX(Surface_Engine!$B$12:$B$72,$A1516+1)+L1517</f>
        <v>0</v>
      </c>
      <c r="M1516" s="48" t="n">
        <f aca="false">M1515+B1515*(IF($A1515&lt;$Q$1455,(Surface_Engine!Q248*12)-(Surface_Engine!Q248*12)*INDEX(Surface_Engine!$F$12:$F$72,$A1515+1)-INDEX(Surface_Engine!$D$12:$D$72,$A1515+1),-(1000*12*INDEX(Surface_Engine!$C$12:$C$72,$A1515+1)/(1+Assumptions!$B$10)^18+INDEX(Surface_Engine!$D$12:$D$72,$A1515+1))))*INDEX(Surface_Engine!$B$12:$B$72,$A1515+1)</f>
        <v>639.071638950962</v>
      </c>
      <c r="N1516" s="12" t="n">
        <f aca="false">IF(B1516&lt;=0,0,MAX(0,(K1516+Assumptions!$B$29*L1516/INDEX(Surface_Engine!$B$12:$B$72,$A1516+1)-(M1516/INDEX(Surface_Engine!$B$12:$B$72,$A1516+1)-(F1516/INDEX(Surface_Engine!$B$12:$B$72,$A1516+1))))/B1516))</f>
        <v>0</v>
      </c>
    </row>
    <row r="1517" customFormat="false" ht="15" hidden="false" customHeight="true" outlineLevel="0" collapsed="false">
      <c r="A1517" s="1" t="n">
        <v>60</v>
      </c>
      <c r="B1517" s="32" t="n">
        <f aca="false">INDEX(Surface_Engine!$S$12:$S$72,$A1517+1)*IF($A1517&lt;$Q$1455,INDEX(Surface_Engine!$E$12:$E$72,$A1517+1),INDEX(Surface_Engine!$E$12:$E$72,$Q$1455+1))</f>
        <v>0</v>
      </c>
      <c r="C1517" s="32" t="n">
        <f aca="false">INDEX(Panel_Reserving!$G$8:$G$68,$A1517+1)*IF($A1517&lt;$Q$1455,INDEX(Surface_Engine!$E$12:$E$72,$A1517+1),INDEX(Surface_Engine!$E$12:$E$72,$Q$1455+1))</f>
        <v>0</v>
      </c>
      <c r="D1517" s="32" t="n">
        <f aca="false">INDEX(Surface_Engine!$S$12:$S$72,$A1517+1)*IF($A1517&lt;$Q$1455,INDEX(Surface_Engine!$Y$12:$Y$72,$A1517+1),INDEX(Surface_Engine!$Y$12:$Y$72,$Q$1455+1))</f>
        <v>0</v>
      </c>
      <c r="E1517" s="32" t="n">
        <f aca="false">INDEX(Surface_Engine!$S$12:$S$72,$A1517+1)*IF($A1517&lt;$Q$1455,INDEX(Surface_Engine!$Z$12:$Z$72,$A1517+1),INDEX(Surface_Engine!$Z$12:$Z$72,$Q$1455+1))</f>
        <v>0</v>
      </c>
      <c r="F1517" s="48" t="n">
        <f aca="false">B1517*(IF($A1517&lt;$Q$1455,INDEX(Surface_Engine!$D$12:$D$72,$A1517+1)+(Surface_Engine!Q248*12)*INDEX(Surface_Engine!$F$12:$F$72,$A1517+1)-(Surface_Engine!Q248*12),1000*12*INDEX(Surface_Engine!$C$12:$C$72,$A1517+1)/(1+Assumptions!$B$10)^18+INDEX(Surface_Engine!$D$12:$D$72,$A1517+1)))*INDEX(Surface_Engine!$B$12:$B$72,$A1517+1)</f>
        <v>0</v>
      </c>
      <c r="G1517" s="48" t="n">
        <f aca="false">C1517*(IF($A1517&lt;$Q$1455,INDEX(Surface_Engine!$D$12:$D$72,$A1517+1)+(Surface_Engine!Q248*12)*INDEX(Surface_Engine!$F$12:$F$72,$A1517+1)-(Surface_Engine!Q248*12),1000*12*INDEX(Surface_Engine!$C$12:$C$72,$A1517+1)/(1+Assumptions!$B$10)^18+INDEX(Surface_Engine!$D$12:$D$72,$A1517+1)))*INDEX(Surface_Engine!$B$12:$B$72,$A1517+1)</f>
        <v>0</v>
      </c>
      <c r="H1517" s="48" t="n">
        <f aca="false">D1517*(IF($A1517&lt;$Q$1455,INDEX(Surface_Engine!$D$12:$D$72,$A1517+1)+(Surface_Engine!Q248*12)*INDEX(Surface_Engine!$F$12:$F$72,$A1517+1)-(Surface_Engine!Q248*12),1000*12*INDEX(Surface_Engine!$C$12:$C$72,$A1517+1)/(1+Assumptions!$B$10)^18+INDEX(Surface_Engine!$D$12:$D$72,$A1517+1)))*INDEX(Surface_Engine!$B$12:$B$72,$A1517+1)</f>
        <v>0</v>
      </c>
      <c r="I1517" s="48" t="n">
        <f aca="false">E1517*(IF($A1517&lt;$Q$1455,INDEX(Surface_Engine!$D$12:$D$72,$A1517+1)+(Surface_Engine!Q248*12)*INDEX(Surface_Engine!$F$12:$F$72,$A1517+1)-(Surface_Engine!Q248*12),1000*12*INDEX(Surface_Engine!$C$12:$C$72,$A1517+1)/(1+Assumptions!$B$10)^18+INDEX(Surface_Engine!$D$12:$D$72,$A1517+1)))*INDEX(Surface_Engine!$B$12:$B$72,$A1517+1)</f>
        <v>0</v>
      </c>
      <c r="J1517" s="48" t="n">
        <f aca="false">B1517*(IF($A1517&lt;$Q$1455,INDEX(Surface_Engine!$D$12:$D$72,$A1517+1)*(1+Assumptions!$B$24)+(Surface_Engine!Q248*12)*INDEX(Surface_Engine!$F$12:$F$72,$A1517+1)-(Surface_Engine!Q248*12),1000*12*INDEX(Surface_Engine!$C$12:$C$72,$A1517+1)/(1+Assumptions!$B$10)^18+INDEX(Surface_Engine!$D$12:$D$72,$A1517+1)*(1+Assumptions!$B$24)))*INDEX(Surface_Engine!$B$12:$B$72,$A1517+1)</f>
        <v>0</v>
      </c>
      <c r="K1517" s="12" t="n">
        <f aca="false">SQRT((IF(C1517&lt;=0,0,MAX(0,(B1517/C1517)*G1517/INDEX(Surface_Engine!$B$12:$B$72,$A1517+1)-F1517/INDEX(Surface_Engine!$B$12:$B$72,$A1517+1))))^2+(MAX(IF(D1517&lt;=0,0,MAX(0,(B1517/D1517)*H1517/INDEX(Surface_Engine!$B$12:$B$72,$A1517+1)-F1517/INDEX(Surface_Engine!$B$12:$B$72,$A1517+1))),IF(E1517&lt;=0,0,MAX(0,(B1517/E1517)*I1517/INDEX(Surface_Engine!$B$12:$B$72,$A1517+1)-F1517/INDEX(Surface_Engine!$B$12:$B$72,$A1517+1))),IF($A1517&lt;$Q$1455,MAX(0,-Assumptions!$B$22*(F1517/INDEX(Surface_Engine!$B$12:$B$72,$A1517+1))),0)))^2+(MAX(0,J1517/INDEX(Surface_Engine!$B$12:$B$72,$A1517+1)-(F1517/INDEX(Surface_Engine!$B$12:$B$72,$A1517+1))))^2+2*Assumptions!$B$26*(IF(C1517&lt;=0,0,MAX(0,(B1517/C1517)*G1517/INDEX(Surface_Engine!$B$12:$B$72,$A1517+1)-F1517/INDEX(Surface_Engine!$B$12:$B$72,$A1517+1))))*(MAX(IF(D1517&lt;=0,0,MAX(0,(B1517/D1517)*H1517/INDEX(Surface_Engine!$B$12:$B$72,$A1517+1)-F1517/INDEX(Surface_Engine!$B$12:$B$72,$A1517+1))),IF(E1517&lt;=0,0,MAX(0,(B1517/E1517)*I1517/INDEX(Surface_Engine!$B$12:$B$72,$A1517+1)-F1517/INDEX(Surface_Engine!$B$12:$B$72,$A1517+1))),IF($A1517&lt;$Q$1455,MAX(0,-Assumptions!$B$22*(F1517/INDEX(Surface_Engine!$B$12:$B$72,$A1517+1))),0)))+2*Assumptions!$B$27*(IF(C1517&lt;=0,0,MAX(0,(B1517/C1517)*G1517/INDEX(Surface_Engine!$B$12:$B$72,$A1517+1)-F1517/INDEX(Surface_Engine!$B$12:$B$72,$A1517+1))))*(MAX(0,J1517/INDEX(Surface_Engine!$B$12:$B$72,$A1517+1)-(F1517/INDEX(Surface_Engine!$B$12:$B$72,$A1517+1))))+2*Assumptions!$B$28*(MAX(IF(D1517&lt;=0,0,MAX(0,(B1517/D1517)*H1517/INDEX(Surface_Engine!$B$12:$B$72,$A1517+1)-F1517/INDEX(Surface_Engine!$B$12:$B$72,$A1517+1))),IF(E1517&lt;=0,0,MAX(0,(B1517/E1517)*I1517/INDEX(Surface_Engine!$B$12:$B$72,$A1517+1)-F1517/INDEX(Surface_Engine!$B$12:$B$72,$A1517+1))),IF($A1517&lt;$Q$1455,MAX(0,-Assumptions!$B$22*(F1517/INDEX(Surface_Engine!$B$12:$B$72,$A1517+1))),0)))*(MAX(0,J1517/INDEX(Surface_Engine!$B$12:$B$72,$A1517+1)-(F1517/INDEX(Surface_Engine!$B$12:$B$72,$A1517+1)))))</f>
        <v>0</v>
      </c>
      <c r="L1517" s="48" t="n">
        <f aca="false">K1517*INDEX(Surface_Engine!$B$12:$B$72,$A1517+1)</f>
        <v>0</v>
      </c>
      <c r="M1517" s="48" t="n">
        <f aca="false">M1516+B1516*(IF($A1516&lt;$Q$1455,(Surface_Engine!Q248*12)-(Surface_Engine!Q248*12)*INDEX(Surface_Engine!$F$12:$F$72,$A1516+1)-INDEX(Surface_Engine!$D$12:$D$72,$A1516+1),-(1000*12*INDEX(Surface_Engine!$C$12:$C$72,$A1516+1)/(1+Assumptions!$B$10)^18+INDEX(Surface_Engine!$D$12:$D$72,$A1516+1))))*INDEX(Surface_Engine!$B$12:$B$72,$A1516+1)</f>
        <v>639.071638950962</v>
      </c>
      <c r="N1517" s="12" t="n">
        <f aca="false">IF(B1517&lt;=0,0,MAX(0,(K1517+Assumptions!$B$29*L1517/INDEX(Surface_Engine!$B$12:$B$72,$A1517+1)-(M1517/INDEX(Surface_Engine!$B$12:$B$72,$A1517+1)-(F1517/INDEX(Surface_Engine!$B$12:$B$72,$A1517+1))))/B1517))</f>
        <v>0</v>
      </c>
    </row>
    <row r="1518" customFormat="false" ht="15" hidden="false" customHeight="true" outlineLevel="0" collapsed="false">
      <c r="A1518" s="4" t="str">
        <f aca="false">"entry "&amp;O1518&amp;" / vesting "&amp;P1518&amp;"   deferral "&amp;Q1518</f>
        <v>entry 75 / vesting 80   deferral 5</v>
      </c>
      <c r="C1518" s="49" t="n">
        <f aca="false">MAX(N1457:N1517)</f>
        <v>14513.1307722476</v>
      </c>
      <c r="E1518" s="7" t="s">
        <v>1634</v>
      </c>
      <c r="G1518" s="21" t="n">
        <f aca="false">INDEX(A1457:A1517,MATCH(C1518,N1457:N1517,0))</f>
        <v>15</v>
      </c>
      <c r="J1518" s="7" t="s">
        <v>1624</v>
      </c>
      <c r="K1518" s="50" t="n">
        <f aca="false">Surface_Engine!G251</f>
        <v>2531.57028352976</v>
      </c>
      <c r="O1518" s="1" t="n">
        <f aca="false">A1720</f>
        <v>75</v>
      </c>
      <c r="P1518" s="76" t="n">
        <f aca="false">C$1713</f>
        <v>80</v>
      </c>
      <c r="Q1518" s="1" t="n">
        <f aca="false">P1518-O1518</f>
        <v>5</v>
      </c>
    </row>
    <row r="1519" customFormat="false" ht="15" hidden="false" customHeight="true" outlineLevel="0" collapsed="false">
      <c r="A1519" s="8" t="s">
        <v>802</v>
      </c>
      <c r="B1519" s="8" t="s">
        <v>1584</v>
      </c>
      <c r="C1519" s="8" t="s">
        <v>1585</v>
      </c>
      <c r="D1519" s="8" t="s">
        <v>1587</v>
      </c>
      <c r="E1519" s="8" t="s">
        <v>1588</v>
      </c>
      <c r="F1519" s="8" t="s">
        <v>1625</v>
      </c>
      <c r="G1519" s="8" t="s">
        <v>1626</v>
      </c>
      <c r="H1519" s="8" t="s">
        <v>1627</v>
      </c>
      <c r="I1519" s="8" t="s">
        <v>1628</v>
      </c>
      <c r="J1519" s="8" t="s">
        <v>1629</v>
      </c>
      <c r="K1519" s="8" t="s">
        <v>812</v>
      </c>
      <c r="L1519" s="8" t="s">
        <v>1630</v>
      </c>
      <c r="M1519" s="8" t="s">
        <v>341</v>
      </c>
      <c r="N1519" s="8" t="s">
        <v>1631</v>
      </c>
      <c r="O1519" s="1" t="s">
        <v>1544</v>
      </c>
      <c r="P1519" s="1" t="s">
        <v>1632</v>
      </c>
      <c r="Q1519" s="1" t="s">
        <v>1633</v>
      </c>
    </row>
    <row r="1520" customFormat="false" ht="15" hidden="false" customHeight="true" outlineLevel="0" collapsed="false">
      <c r="A1520" s="1" t="n">
        <v>0</v>
      </c>
      <c r="B1520" s="32" t="n">
        <f aca="false">INDEX(Surface_Engine!$V$12:$V$72,$A1520+1)*IF($A1520&lt;$Q$1518,INDEX(Surface_Engine!$E$12:$E$72,$A1520+1),INDEX(Surface_Engine!$E$12:$E$72,$Q$1518+1))</f>
        <v>1</v>
      </c>
      <c r="C1520" s="32" t="n">
        <f aca="false">INDEX(Panel_Reserving!$H$8:$H$68,$A1520+1)*IF($A1520&lt;$Q$1518,INDEX(Surface_Engine!$E$12:$E$72,$A1520+1),INDEX(Surface_Engine!$E$12:$E$72,$Q$1518+1))</f>
        <v>1</v>
      </c>
      <c r="D1520" s="32" t="n">
        <f aca="false">INDEX(Surface_Engine!$V$12:$V$72,$A1520+1)*IF($A1520&lt;$Q$1518,INDEX(Surface_Engine!$Y$12:$Y$72,$A1520+1),INDEX(Surface_Engine!$Y$12:$Y$72,$Q$1518+1))</f>
        <v>1</v>
      </c>
      <c r="E1520" s="32" t="n">
        <f aca="false">INDEX(Surface_Engine!$V$12:$V$72,$A1520+1)*IF($A1520&lt;$Q$1518,INDEX(Surface_Engine!$Z$12:$Z$72,$A1520+1),INDEX(Surface_Engine!$Z$12:$Z$72,$Q$1518+1))</f>
        <v>1</v>
      </c>
      <c r="F1520" s="48" t="n">
        <f aca="false">B1520*(IF($A1520&lt;$Q$1518,INDEX(Surface_Engine!$D$12:$D$72,$A1520+1)+(Surface_Engine!G251*12)*INDEX(Surface_Engine!$F$12:$F$72,$A1520+1)-(Surface_Engine!G251*12),1000*12*INDEX(Surface_Engine!$C$12:$C$72,$A1520+1)/(1+Assumptions!$B$10)^5+INDEX(Surface_Engine!$D$12:$D$72,$A1520+1)))*INDEX(Surface_Engine!$B$12:$B$72,$A1520+1)+F1521</f>
        <v>-3957.39204230053</v>
      </c>
      <c r="G1520" s="48" t="n">
        <f aca="false">C1520*(IF($A1520&lt;$Q$1518,INDEX(Surface_Engine!$D$12:$D$72,$A1520+1)+(Surface_Engine!G251*12)*INDEX(Surface_Engine!$F$12:$F$72,$A1520+1)-(Surface_Engine!G251*12),1000*12*INDEX(Surface_Engine!$C$12:$C$72,$A1520+1)/(1+Assumptions!$B$10)^5+INDEX(Surface_Engine!$D$12:$D$72,$A1520+1)))*INDEX(Surface_Engine!$B$12:$B$72,$A1520+1)+G1521</f>
        <v>7885.90412377046</v>
      </c>
      <c r="H1520" s="48" t="n">
        <f aca="false">D1520*(IF($A1520&lt;$Q$1518,INDEX(Surface_Engine!$D$12:$D$72,$A1520+1)+(Surface_Engine!G251*12)*INDEX(Surface_Engine!$F$12:$F$72,$A1520+1)-(Surface_Engine!G251*12),1000*12*INDEX(Surface_Engine!$C$12:$C$72,$A1520+1)/(1+Assumptions!$B$10)^5+INDEX(Surface_Engine!$D$12:$D$72,$A1520+1)))*INDEX(Surface_Engine!$B$12:$B$72,$A1520+1)+H1521</f>
        <v>-5471.11576355398</v>
      </c>
      <c r="I1520" s="48" t="n">
        <f aca="false">E1520*(IF($A1520&lt;$Q$1518,INDEX(Surface_Engine!$D$12:$D$72,$A1520+1)+(Surface_Engine!G251*12)*INDEX(Surface_Engine!$F$12:$F$72,$A1520+1)-(Surface_Engine!G251*12),1000*12*INDEX(Surface_Engine!$C$12:$C$72,$A1520+1)/(1+Assumptions!$B$10)^5+INDEX(Surface_Engine!$D$12:$D$72,$A1520+1)))*INDEX(Surface_Engine!$B$12:$B$72,$A1520+1)+I1521</f>
        <v>-2318.91974932651</v>
      </c>
      <c r="J1520" s="48" t="n">
        <f aca="false">B1520*(IF($A1520&lt;$Q$1518,INDEX(Surface_Engine!$D$12:$D$72,$A1520+1)*(1+Assumptions!$B$24)+(Surface_Engine!G251*12)*INDEX(Surface_Engine!$F$12:$F$72,$A1520+1)-(Surface_Engine!G251*12),1000*12*INDEX(Surface_Engine!$C$12:$C$72,$A1520+1)/(1+Assumptions!$B$10)^5+INDEX(Surface_Engine!$D$12:$D$72,$A1520+1)*(1+Assumptions!$B$24)))*INDEX(Surface_Engine!$B$12:$B$72,$A1520+1)+J1521</f>
        <v>-3847.05411340765</v>
      </c>
      <c r="K1520" s="12" t="n">
        <f aca="false">SQRT((IF(C1520&lt;=0,0,MAX(0,(B1520/C1520)*G1520/INDEX(Surface_Engine!$B$12:$B$72,$A1520+1)-F1520/INDEX(Surface_Engine!$B$12:$B$72,$A1520+1))))^2+(MAX(IF(D1520&lt;=0,0,MAX(0,(B1520/D1520)*H1520/INDEX(Surface_Engine!$B$12:$B$72,$A1520+1)-F1520/INDEX(Surface_Engine!$B$12:$B$72,$A1520+1))),IF(E1520&lt;=0,0,MAX(0,(B1520/E1520)*I1520/INDEX(Surface_Engine!$B$12:$B$72,$A1520+1)-F1520/INDEX(Surface_Engine!$B$12:$B$72,$A1520+1))),IF($A1520&lt;$Q$1518,MAX(0,-Assumptions!$B$22*(F1520/INDEX(Surface_Engine!$B$12:$B$72,$A1520+1))),0)))^2+(MAX(0,J1520/INDEX(Surface_Engine!$B$12:$B$72,$A1520+1)-(F1520/INDEX(Surface_Engine!$B$12:$B$72,$A1520+1))))^2+2*Assumptions!$B$26*(IF(C1520&lt;=0,0,MAX(0,(B1520/C1520)*G1520/INDEX(Surface_Engine!$B$12:$B$72,$A1520+1)-F1520/INDEX(Surface_Engine!$B$12:$B$72,$A1520+1))))*(MAX(IF(D1520&lt;=0,0,MAX(0,(B1520/D1520)*H1520/INDEX(Surface_Engine!$B$12:$B$72,$A1520+1)-F1520/INDEX(Surface_Engine!$B$12:$B$72,$A1520+1))),IF(E1520&lt;=0,0,MAX(0,(B1520/E1520)*I1520/INDEX(Surface_Engine!$B$12:$B$72,$A1520+1)-F1520/INDEX(Surface_Engine!$B$12:$B$72,$A1520+1))),IF($A1520&lt;$Q$1518,MAX(0,-Assumptions!$B$22*(F1520/INDEX(Surface_Engine!$B$12:$B$72,$A1520+1))),0)))+2*Assumptions!$B$27*(IF(C1520&lt;=0,0,MAX(0,(B1520/C1520)*G1520/INDEX(Surface_Engine!$B$12:$B$72,$A1520+1)-F1520/INDEX(Surface_Engine!$B$12:$B$72,$A1520+1))))*(MAX(0,J1520/INDEX(Surface_Engine!$B$12:$B$72,$A1520+1)-(F1520/INDEX(Surface_Engine!$B$12:$B$72,$A1520+1))))+2*Assumptions!$B$28*(MAX(IF(D1520&lt;=0,0,MAX(0,(B1520/D1520)*H1520/INDEX(Surface_Engine!$B$12:$B$72,$A1520+1)-F1520/INDEX(Surface_Engine!$B$12:$B$72,$A1520+1))),IF(E1520&lt;=0,0,MAX(0,(B1520/E1520)*I1520/INDEX(Surface_Engine!$B$12:$B$72,$A1520+1)-F1520/INDEX(Surface_Engine!$B$12:$B$72,$A1520+1))),IF($A1520&lt;$Q$1518,MAX(0,-Assumptions!$B$22*(F1520/INDEX(Surface_Engine!$B$12:$B$72,$A1520+1))),0)))*(MAX(0,J1520/INDEX(Surface_Engine!$B$12:$B$72,$A1520+1)-(F1520/INDEX(Surface_Engine!$B$12:$B$72,$A1520+1)))))</f>
        <v>12389.3928151437</v>
      </c>
      <c r="L1520" s="48" t="n">
        <f aca="false">K1520*INDEX(Surface_Engine!$B$12:$B$72,$A1520+1)+L1521</f>
        <v>158702.684942344</v>
      </c>
      <c r="M1520" s="48" t="n">
        <v>0</v>
      </c>
      <c r="N1520" s="12" t="n">
        <f aca="false">IF(B1520&lt;=0,0,MAX(0,(K1520+Assumptions!$B$29*L1520/INDEX(Surface_Engine!$B$12:$B$72,$A1520+1)-(M1520/INDEX(Surface_Engine!$B$12:$B$72,$A1520+1)-(F1520/INDEX(Surface_Engine!$B$12:$B$72,$A1520+1))))/B1520))</f>
        <v>17954.1618693838</v>
      </c>
    </row>
    <row r="1521" customFormat="false" ht="15" hidden="false" customHeight="true" outlineLevel="0" collapsed="false">
      <c r="A1521" s="1" t="n">
        <v>1</v>
      </c>
      <c r="B1521" s="32" t="n">
        <f aca="false">INDEX(Surface_Engine!$V$12:$V$72,$A1521+1)*IF($A1521&lt;$Q$1518,INDEX(Surface_Engine!$E$12:$E$72,$A1521+1),INDEX(Surface_Engine!$E$12:$E$72,$Q$1518+1))</f>
        <v>0.942616205702869</v>
      </c>
      <c r="C1521" s="32" t="n">
        <f aca="false">INDEX(Panel_Reserving!$H$8:$H$68,$A1521+1)*IF($A1521&lt;$Q$1518,INDEX(Surface_Engine!$E$12:$E$72,$A1521+1),INDEX(Surface_Engine!$E$12:$E$72,$Q$1518+1))</f>
        <v>0.945972964562295</v>
      </c>
      <c r="D1521" s="32" t="n">
        <f aca="false">INDEX(Surface_Engine!$V$12:$V$72,$A1521+1)*IF($A1521&lt;$Q$1518,INDEX(Surface_Engine!$Y$12:$Y$72,$A1521+1),INDEX(Surface_Engine!$Y$12:$Y$72,$Q$1518+1))</f>
        <v>0.922671334975572</v>
      </c>
      <c r="E1521" s="32" t="n">
        <f aca="false">INDEX(Surface_Engine!$V$12:$V$72,$A1521+1)*IF($A1521&lt;$Q$1518,INDEX(Surface_Engine!$Z$12:$Z$72,$A1521+1),INDEX(Surface_Engine!$Z$12:$Z$72,$Q$1518+1))</f>
        <v>0.962561076430165</v>
      </c>
      <c r="F1521" s="48" t="n">
        <f aca="false">B1521*(IF($A1521&lt;$Q$1518,INDEX(Surface_Engine!$D$12:$D$72,$A1521+1)+(Surface_Engine!G251*12)*INDEX(Surface_Engine!$F$12:$F$72,$A1521+1)-(Surface_Engine!G251*12),1000*12*INDEX(Surface_Engine!$C$12:$C$72,$A1521+1)/(1+Assumptions!$B$10)^5+INDEX(Surface_Engine!$D$12:$D$72,$A1521+1)))*INDEX(Surface_Engine!$B$12:$B$72,$A1521+1)+F1522</f>
        <v>-4039.39204230053</v>
      </c>
      <c r="G1521" s="48" t="n">
        <f aca="false">C1521*(IF($A1521&lt;$Q$1518,INDEX(Surface_Engine!$D$12:$D$72,$A1521+1)+(Surface_Engine!G251*12)*INDEX(Surface_Engine!$F$12:$F$72,$A1521+1)-(Surface_Engine!G251*12),1000*12*INDEX(Surface_Engine!$C$12:$C$72,$A1521+1)/(1+Assumptions!$B$10)^5+INDEX(Surface_Engine!$D$12:$D$72,$A1521+1)))*INDEX(Surface_Engine!$B$12:$B$72,$A1521+1)+G1522</f>
        <v>7803.90412377046</v>
      </c>
      <c r="H1521" s="48" t="n">
        <f aca="false">D1521*(IF($A1521&lt;$Q$1518,INDEX(Surface_Engine!$D$12:$D$72,$A1521+1)+(Surface_Engine!G251*12)*INDEX(Surface_Engine!$F$12:$F$72,$A1521+1)-(Surface_Engine!G251*12),1000*12*INDEX(Surface_Engine!$C$12:$C$72,$A1521+1)/(1+Assumptions!$B$10)^5+INDEX(Surface_Engine!$D$12:$D$72,$A1521+1)))*INDEX(Surface_Engine!$B$12:$B$72,$A1521+1)+H1522</f>
        <v>-5553.11576355398</v>
      </c>
      <c r="I1521" s="48" t="n">
        <f aca="false">E1521*(IF($A1521&lt;$Q$1518,INDEX(Surface_Engine!$D$12:$D$72,$A1521+1)+(Surface_Engine!G251*12)*INDEX(Surface_Engine!$F$12:$F$72,$A1521+1)-(Surface_Engine!G251*12),1000*12*INDEX(Surface_Engine!$C$12:$C$72,$A1521+1)/(1+Assumptions!$B$10)^5+INDEX(Surface_Engine!$D$12:$D$72,$A1521+1)))*INDEX(Surface_Engine!$B$12:$B$72,$A1521+1)+I1522</f>
        <v>-2400.91974932651</v>
      </c>
      <c r="J1521" s="48" t="n">
        <f aca="false">B1521*(IF($A1521&lt;$Q$1518,INDEX(Surface_Engine!$D$12:$D$72,$A1521+1)*(1+Assumptions!$B$24)+(Surface_Engine!G251*12)*INDEX(Surface_Engine!$F$12:$F$72,$A1521+1)-(Surface_Engine!G251*12),1000*12*INDEX(Surface_Engine!$C$12:$C$72,$A1521+1)/(1+Assumptions!$B$10)^5+INDEX(Surface_Engine!$D$12:$D$72,$A1521+1)*(1+Assumptions!$B$24)))*INDEX(Surface_Engine!$B$12:$B$72,$A1521+1)+J1522</f>
        <v>-3937.25411340765</v>
      </c>
      <c r="K1521" s="12" t="n">
        <f aca="false">SQRT((IF(C1521&lt;=0,0,MAX(0,(B1521/C1521)*G1521/INDEX(Surface_Engine!$B$12:$B$72,$A1521+1)-F1521/INDEX(Surface_Engine!$B$12:$B$72,$A1521+1))))^2+(MAX(IF(D1521&lt;=0,0,MAX(0,(B1521/D1521)*H1521/INDEX(Surface_Engine!$B$12:$B$72,$A1521+1)-F1521/INDEX(Surface_Engine!$B$12:$B$72,$A1521+1))),IF(E1521&lt;=0,0,MAX(0,(B1521/E1521)*I1521/INDEX(Surface_Engine!$B$12:$B$72,$A1521+1)-F1521/INDEX(Surface_Engine!$B$12:$B$72,$A1521+1))),IF($A1521&lt;$Q$1518,MAX(0,-Assumptions!$B$22*(F1521/INDEX(Surface_Engine!$B$12:$B$72,$A1521+1))),0)))^2+(MAX(0,J1521/INDEX(Surface_Engine!$B$12:$B$72,$A1521+1)-(F1521/INDEX(Surface_Engine!$B$12:$B$72,$A1521+1))))^2+2*Assumptions!$B$26*(IF(C1521&lt;=0,0,MAX(0,(B1521/C1521)*G1521/INDEX(Surface_Engine!$B$12:$B$72,$A1521+1)-F1521/INDEX(Surface_Engine!$B$12:$B$72,$A1521+1))))*(MAX(IF(D1521&lt;=0,0,MAX(0,(B1521/D1521)*H1521/INDEX(Surface_Engine!$B$12:$B$72,$A1521+1)-F1521/INDEX(Surface_Engine!$B$12:$B$72,$A1521+1))),IF(E1521&lt;=0,0,MAX(0,(B1521/E1521)*I1521/INDEX(Surface_Engine!$B$12:$B$72,$A1521+1)-F1521/INDEX(Surface_Engine!$B$12:$B$72,$A1521+1))),IF($A1521&lt;$Q$1518,MAX(0,-Assumptions!$B$22*(F1521/INDEX(Surface_Engine!$B$12:$B$72,$A1521+1))),0)))+2*Assumptions!$B$27*(IF(C1521&lt;=0,0,MAX(0,(B1521/C1521)*G1521/INDEX(Surface_Engine!$B$12:$B$72,$A1521+1)-F1521/INDEX(Surface_Engine!$B$12:$B$72,$A1521+1))))*(MAX(0,J1521/INDEX(Surface_Engine!$B$12:$B$72,$A1521+1)-(F1521/INDEX(Surface_Engine!$B$12:$B$72,$A1521+1))))+2*Assumptions!$B$28*(MAX(IF(D1521&lt;=0,0,MAX(0,(B1521/D1521)*H1521/INDEX(Surface_Engine!$B$12:$B$72,$A1521+1)-F1521/INDEX(Surface_Engine!$B$12:$B$72,$A1521+1))),IF(E1521&lt;=0,0,MAX(0,(B1521/E1521)*I1521/INDEX(Surface_Engine!$B$12:$B$72,$A1521+1)-F1521/INDEX(Surface_Engine!$B$12:$B$72,$A1521+1))),IF($A1521&lt;$Q$1518,MAX(0,-Assumptions!$B$22*(F1521/INDEX(Surface_Engine!$B$12:$B$72,$A1521+1))),0)))*(MAX(0,J1521/INDEX(Surface_Engine!$B$12:$B$72,$A1521+1)-(F1521/INDEX(Surface_Engine!$B$12:$B$72,$A1521+1)))))</f>
        <v>12699.4844742995</v>
      </c>
      <c r="L1521" s="48" t="n">
        <f aca="false">K1521*INDEX(Surface_Engine!$B$12:$B$72,$A1521+1)+L1522</f>
        <v>146313.2921272</v>
      </c>
      <c r="M1521" s="48" t="n">
        <f aca="false">M1520+B1520*(IF($A1520&lt;$Q$1518,(Surface_Engine!G251*12)-(Surface_Engine!G251*12)*INDEX(Surface_Engine!$F$12:$F$72,$A1520+1)-INDEX(Surface_Engine!$D$12:$D$72,$A1520+1),-(1000*12*INDEX(Surface_Engine!$C$12:$C$72,$A1520+1)/(1+Assumptions!$B$10)^5+INDEX(Surface_Engine!$D$12:$D$72,$A1520+1))))*INDEX(Surface_Engine!$B$12:$B$72,$A1520+1)</f>
        <v>-82</v>
      </c>
      <c r="N1521" s="12" t="n">
        <f aca="false">IF(B1521&lt;=0,0,MAX(0,(K1521+Assumptions!$B$29*L1521/INDEX(Surface_Engine!$B$12:$B$72,$A1521+1)-(M1521/INDEX(Surface_Engine!$B$12:$B$72,$A1521+1)-(F1521/INDEX(Surface_Engine!$B$12:$B$72,$A1521+1))))/B1521))</f>
        <v>18720.2952158798</v>
      </c>
    </row>
    <row r="1522" customFormat="false" ht="15" hidden="false" customHeight="true" outlineLevel="0" collapsed="false">
      <c r="A1522" s="1" t="n">
        <v>2</v>
      </c>
      <c r="B1522" s="32" t="n">
        <f aca="false">INDEX(Surface_Engine!$V$12:$V$72,$A1522+1)*IF($A1522&lt;$Q$1518,INDEX(Surface_Engine!$E$12:$E$72,$A1522+1),INDEX(Surface_Engine!$E$12:$E$72,$Q$1518+1))</f>
        <v>0.904235103799388</v>
      </c>
      <c r="C1522" s="32" t="n">
        <f aca="false">INDEX(Panel_Reserving!$H$8:$H$68,$A1522+1)*IF($A1522&lt;$Q$1518,INDEX(Surface_Engine!$E$12:$E$72,$A1522+1),INDEX(Surface_Engine!$E$12:$E$72,$Q$1518+1))</f>
        <v>0.911053216949702</v>
      </c>
      <c r="D1522" s="32" t="n">
        <f aca="false">INDEX(Surface_Engine!$V$12:$V$72,$A1522+1)*IF($A1522&lt;$Q$1518,INDEX(Surface_Engine!$Y$12:$Y$72,$A1522+1),INDEX(Surface_Engine!$Y$12:$Y$72,$Q$1518+1))</f>
        <v>0.875285965269595</v>
      </c>
      <c r="E1522" s="32" t="n">
        <f aca="false">INDEX(Surface_Engine!$V$12:$V$72,$A1522+1)*IF($A1522&lt;$Q$1518,INDEX(Surface_Engine!$Z$12:$Z$72,$A1522+1),INDEX(Surface_Engine!$Z$12:$Z$72,$Q$1518+1))</f>
        <v>0.93360863254919</v>
      </c>
      <c r="F1522" s="48" t="n">
        <f aca="false">B1522*(IF($A1522&lt;$Q$1518,INDEX(Surface_Engine!$D$12:$D$72,$A1522+1)+(Surface_Engine!G251*12)*INDEX(Surface_Engine!$F$12:$F$72,$A1522+1)-(Surface_Engine!G251*12),1000*12*INDEX(Surface_Engine!$C$12:$C$72,$A1522+1)/(1+Assumptions!$B$10)^5+INDEX(Surface_Engine!$D$12:$D$72,$A1522+1)))*INDEX(Surface_Engine!$B$12:$B$72,$A1522+1)+F1523</f>
        <v>22398.8547747329</v>
      </c>
      <c r="G1522" s="48" t="n">
        <f aca="false">C1522*(IF($A1522&lt;$Q$1518,INDEX(Surface_Engine!$D$12:$D$72,$A1522+1)+(Surface_Engine!G251*12)*INDEX(Surface_Engine!$F$12:$F$72,$A1522+1)-(Surface_Engine!G251*12),1000*12*INDEX(Surface_Engine!$C$12:$C$72,$A1522+1)/(1+Assumptions!$B$10)^5+INDEX(Surface_Engine!$D$12:$D$72,$A1522+1)))*INDEX(Surface_Engine!$B$12:$B$72,$A1522+1)+G1523</f>
        <v>34336.3004140401</v>
      </c>
      <c r="H1522" s="48" t="n">
        <f aca="false">D1522*(IF($A1522&lt;$Q$1518,INDEX(Surface_Engine!$D$12:$D$72,$A1522+1)+(Surface_Engine!G251*12)*INDEX(Surface_Engine!$F$12:$F$72,$A1522+1)-(Surface_Engine!G251*12),1000*12*INDEX(Surface_Engine!$C$12:$C$72,$A1522+1)/(1+Assumptions!$B$10)^5+INDEX(Surface_Engine!$D$12:$D$72,$A1522+1)))*INDEX(Surface_Engine!$B$12:$B$72,$A1522+1)+H1523</f>
        <v>20325.7226624165</v>
      </c>
      <c r="I1522" s="48" t="n">
        <f aca="false">E1522*(IF($A1522&lt;$Q$1518,INDEX(Surface_Engine!$D$12:$D$72,$A1522+1)+(Surface_Engine!G251*12)*INDEX(Surface_Engine!$F$12:$F$72,$A1522+1)-(Surface_Engine!G251*12),1000*12*INDEX(Surface_Engine!$C$12:$C$72,$A1522+1)/(1+Assumptions!$B$10)^5+INDEX(Surface_Engine!$D$12:$D$72,$A1522+1)))*INDEX(Surface_Engine!$B$12:$B$72,$A1522+1)+I1523</f>
        <v>24596.7354587699</v>
      </c>
      <c r="J1522" s="48" t="n">
        <f aca="false">B1522*(IF($A1522&lt;$Q$1518,INDEX(Surface_Engine!$D$12:$D$72,$A1522+1)*(1+Assumptions!$B$24)+(Surface_Engine!G251*12)*INDEX(Surface_Engine!$F$12:$F$72,$A1522+1)-(Surface_Engine!G251*12),1000*12*INDEX(Surface_Engine!$C$12:$C$72,$A1522+1)/(1+Assumptions!$B$10)^5+INDEX(Surface_Engine!$D$12:$D$72,$A1522+1)*(1+Assumptions!$B$24)))*INDEX(Surface_Engine!$B$12:$B$72,$A1522+1)+J1523</f>
        <v>22493.2704832576</v>
      </c>
      <c r="K1522" s="12" t="n">
        <f aca="false">SQRT((IF(C1522&lt;=0,0,MAX(0,(B1522/C1522)*G1522/INDEX(Surface_Engine!$B$12:$B$72,$A1522+1)-F1522/INDEX(Surface_Engine!$B$12:$B$72,$A1522+1))))^2+(MAX(IF(D1522&lt;=0,0,MAX(0,(B1522/D1522)*H1522/INDEX(Surface_Engine!$B$12:$B$72,$A1522+1)-F1522/INDEX(Surface_Engine!$B$12:$B$72,$A1522+1))),IF(E1522&lt;=0,0,MAX(0,(B1522/E1522)*I1522/INDEX(Surface_Engine!$B$12:$B$72,$A1522+1)-F1522/INDEX(Surface_Engine!$B$12:$B$72,$A1522+1))),IF($A1522&lt;$Q$1518,MAX(0,-Assumptions!$B$22*(F1522/INDEX(Surface_Engine!$B$12:$B$72,$A1522+1))),0)))^2+(MAX(0,J1522/INDEX(Surface_Engine!$B$12:$B$72,$A1522+1)-(F1522/INDEX(Surface_Engine!$B$12:$B$72,$A1522+1))))^2+2*Assumptions!$B$26*(IF(C1522&lt;=0,0,MAX(0,(B1522/C1522)*G1522/INDEX(Surface_Engine!$B$12:$B$72,$A1522+1)-F1522/INDEX(Surface_Engine!$B$12:$B$72,$A1522+1))))*(MAX(IF(D1522&lt;=0,0,MAX(0,(B1522/D1522)*H1522/INDEX(Surface_Engine!$B$12:$B$72,$A1522+1)-F1522/INDEX(Surface_Engine!$B$12:$B$72,$A1522+1))),IF(E1522&lt;=0,0,MAX(0,(B1522/E1522)*I1522/INDEX(Surface_Engine!$B$12:$B$72,$A1522+1)-F1522/INDEX(Surface_Engine!$B$12:$B$72,$A1522+1))),IF($A1522&lt;$Q$1518,MAX(0,-Assumptions!$B$22*(F1522/INDEX(Surface_Engine!$B$12:$B$72,$A1522+1))),0)))+2*Assumptions!$B$27*(IF(C1522&lt;=0,0,MAX(0,(B1522/C1522)*G1522/INDEX(Surface_Engine!$B$12:$B$72,$A1522+1)-F1522/INDEX(Surface_Engine!$B$12:$B$72,$A1522+1))))*(MAX(0,J1522/INDEX(Surface_Engine!$B$12:$B$72,$A1522+1)-(F1522/INDEX(Surface_Engine!$B$12:$B$72,$A1522+1))))+2*Assumptions!$B$28*(MAX(IF(D1522&lt;=0,0,MAX(0,(B1522/D1522)*H1522/INDEX(Surface_Engine!$B$12:$B$72,$A1522+1)-F1522/INDEX(Surface_Engine!$B$12:$B$72,$A1522+1))),IF(E1522&lt;=0,0,MAX(0,(B1522/E1522)*I1522/INDEX(Surface_Engine!$B$12:$B$72,$A1522+1)-F1522/INDEX(Surface_Engine!$B$12:$B$72,$A1522+1))),IF($A1522&lt;$Q$1518,MAX(0,-Assumptions!$B$22*(F1522/INDEX(Surface_Engine!$B$12:$B$72,$A1522+1))),0)))*(MAX(0,J1522/INDEX(Surface_Engine!$B$12:$B$72,$A1522+1)-(F1522/INDEX(Surface_Engine!$B$12:$B$72,$A1522+1)))))</f>
        <v>12790.0048889741</v>
      </c>
      <c r="L1522" s="48" t="n">
        <f aca="false">K1522*INDEX(Surface_Engine!$B$12:$B$72,$A1522+1)+L1523</f>
        <v>133935.144368711</v>
      </c>
      <c r="M1522" s="48" t="n">
        <f aca="false">M1521+B1521*(IF($A1521&lt;$Q$1518,(Surface_Engine!G251*12)-(Surface_Engine!G251*12)*INDEX(Surface_Engine!$F$12:$F$72,$A1521+1)-INDEX(Surface_Engine!$D$12:$D$72,$A1521+1),-(1000*12*INDEX(Surface_Engine!$C$12:$C$72,$A1521+1)/(1+Assumptions!$B$10)^5+INDEX(Surface_Engine!$D$12:$D$72,$A1521+1))))*INDEX(Surface_Engine!$B$12:$B$72,$A1521+1)</f>
        <v>26356.2468170335</v>
      </c>
      <c r="N1522" s="12" t="n">
        <f aca="false">IF(B1522&lt;=0,0,MAX(0,(K1522+Assumptions!$B$29*L1522/INDEX(Surface_Engine!$B$12:$B$72,$A1522+1)-(M1522/INDEX(Surface_Engine!$B$12:$B$72,$A1522+1)-(F1522/INDEX(Surface_Engine!$B$12:$B$72,$A1522+1))))/B1522))</f>
        <v>18895.2499922684</v>
      </c>
    </row>
    <row r="1523" customFormat="false" ht="15" hidden="false" customHeight="true" outlineLevel="0" collapsed="false">
      <c r="A1523" s="1" t="n">
        <v>3</v>
      </c>
      <c r="B1523" s="32" t="n">
        <f aca="false">INDEX(Surface_Engine!$V$12:$V$72,$A1523+1)*IF($A1523&lt;$Q$1518,INDEX(Surface_Engine!$E$12:$E$72,$A1523+1),INDEX(Surface_Engine!$E$12:$E$72,$Q$1518+1))</f>
        <v>0.872873829381966</v>
      </c>
      <c r="C1523" s="32" t="n">
        <f aca="false">INDEX(Panel_Reserving!$H$8:$H$68,$A1523+1)*IF($A1523&lt;$Q$1518,INDEX(Surface_Engine!$E$12:$E$72,$A1523+1),INDEX(Surface_Engine!$E$12:$E$72,$Q$1518+1))</f>
        <v>0.883351619644115</v>
      </c>
      <c r="D1523" s="32" t="n">
        <f aca="false">INDEX(Surface_Engine!$V$12:$V$72,$A1523+1)*IF($A1523&lt;$Q$1518,INDEX(Surface_Engine!$Y$12:$Y$72,$A1523+1),INDEX(Surface_Engine!$Y$12:$Y$72,$Q$1518+1))</f>
        <v>0.839234210808143</v>
      </c>
      <c r="E1523" s="32" t="n">
        <f aca="false">INDEX(Surface_Engine!$V$12:$V$72,$A1523+1)*IF($A1523&lt;$Q$1518,INDEX(Surface_Engine!$Z$12:$Z$72,$A1523+1),INDEX(Surface_Engine!$Z$12:$Z$72,$Q$1518+1))</f>
        <v>0.907302559975844</v>
      </c>
      <c r="F1523" s="48" t="n">
        <f aca="false">B1523*(IF($A1523&lt;$Q$1518,INDEX(Surface_Engine!$D$12:$D$72,$A1523+1)+(Surface_Engine!G251*12)*INDEX(Surface_Engine!$F$12:$F$72,$A1523+1)-(Surface_Engine!G251*12),1000*12*INDEX(Surface_Engine!$C$12:$C$72,$A1523+1)/(1+Assumptions!$B$10)^5+INDEX(Surface_Engine!$D$12:$D$72,$A1523+1)))*INDEX(Surface_Engine!$B$12:$B$72,$A1523+1)+F1524</f>
        <v>47102.6127999298</v>
      </c>
      <c r="G1523" s="48" t="n">
        <f aca="false">C1523*(IF($A1523&lt;$Q$1518,INDEX(Surface_Engine!$D$12:$D$72,$A1523+1)+(Surface_Engine!G251*12)*INDEX(Surface_Engine!$F$12:$F$72,$A1523+1)-(Surface_Engine!G251*12),1000*12*INDEX(Surface_Engine!$C$12:$C$72,$A1523+1)/(1+Assumptions!$B$10)^5+INDEX(Surface_Engine!$D$12:$D$72,$A1523+1)))*INDEX(Surface_Engine!$B$12:$B$72,$A1523+1)+G1524</f>
        <v>59226.3297051346</v>
      </c>
      <c r="H1523" s="48" t="n">
        <f aca="false">D1523*(IF($A1523&lt;$Q$1518,INDEX(Surface_Engine!$D$12:$D$72,$A1523+1)+(Surface_Engine!G251*12)*INDEX(Surface_Engine!$F$12:$F$72,$A1523+1)-(Surface_Engine!G251*12),1000*12*INDEX(Surface_Engine!$C$12:$C$72,$A1523+1)/(1+Assumptions!$B$10)^5+INDEX(Surface_Engine!$D$12:$D$72,$A1523+1)))*INDEX(Surface_Engine!$B$12:$B$72,$A1523+1)+H1524</f>
        <v>44238.5884624908</v>
      </c>
      <c r="I1523" s="48" t="n">
        <f aca="false">E1523*(IF($A1523&lt;$Q$1518,INDEX(Surface_Engine!$D$12:$D$72,$A1523+1)+(Surface_Engine!G251*12)*INDEX(Surface_Engine!$F$12:$F$72,$A1523+1)-(Surface_Engine!G251*12),1000*12*INDEX(Surface_Engine!$C$12:$C$72,$A1523+1)/(1+Assumptions!$B$10)^5+INDEX(Surface_Engine!$D$12:$D$72,$A1523+1)))*INDEX(Surface_Engine!$B$12:$B$72,$A1523+1)+I1524</f>
        <v>50102.9800757086</v>
      </c>
      <c r="J1523" s="48" t="n">
        <f aca="false">B1523*(IF($A1523&lt;$Q$1518,INDEX(Surface_Engine!$D$12:$D$72,$A1523+1)*(1+Assumptions!$B$24)+(Surface_Engine!G251*12)*INDEX(Surface_Engine!$F$12:$F$72,$A1523+1)-(Surface_Engine!G251*12),1000*12*INDEX(Surface_Engine!$C$12:$C$72,$A1523+1)/(1+Assumptions!$B$10)^5+INDEX(Surface_Engine!$D$12:$D$72,$A1523+1)*(1+Assumptions!$B$24)))*INDEX(Surface_Engine!$B$12:$B$72,$A1523+1)+J1524</f>
        <v>47189.6319764249</v>
      </c>
      <c r="K1523" s="12" t="n">
        <f aca="false">SQRT((IF(C1523&lt;=0,0,MAX(0,(B1523/C1523)*G1523/INDEX(Surface_Engine!$B$12:$B$72,$A1523+1)-F1523/INDEX(Surface_Engine!$B$12:$B$72,$A1523+1))))^2+(MAX(IF(D1523&lt;=0,0,MAX(0,(B1523/D1523)*H1523/INDEX(Surface_Engine!$B$12:$B$72,$A1523+1)-F1523/INDEX(Surface_Engine!$B$12:$B$72,$A1523+1))),IF(E1523&lt;=0,0,MAX(0,(B1523/E1523)*I1523/INDEX(Surface_Engine!$B$12:$B$72,$A1523+1)-F1523/INDEX(Surface_Engine!$B$12:$B$72,$A1523+1))),IF($A1523&lt;$Q$1518,MAX(0,-Assumptions!$B$22*(F1523/INDEX(Surface_Engine!$B$12:$B$72,$A1523+1))),0)))^2+(MAX(0,J1523/INDEX(Surface_Engine!$B$12:$B$72,$A1523+1)-(F1523/INDEX(Surface_Engine!$B$12:$B$72,$A1523+1))))^2+2*Assumptions!$B$26*(IF(C1523&lt;=0,0,MAX(0,(B1523/C1523)*G1523/INDEX(Surface_Engine!$B$12:$B$72,$A1523+1)-F1523/INDEX(Surface_Engine!$B$12:$B$72,$A1523+1))))*(MAX(IF(D1523&lt;=0,0,MAX(0,(B1523/D1523)*H1523/INDEX(Surface_Engine!$B$12:$B$72,$A1523+1)-F1523/INDEX(Surface_Engine!$B$12:$B$72,$A1523+1))),IF(E1523&lt;=0,0,MAX(0,(B1523/E1523)*I1523/INDEX(Surface_Engine!$B$12:$B$72,$A1523+1)-F1523/INDEX(Surface_Engine!$B$12:$B$72,$A1523+1))),IF($A1523&lt;$Q$1518,MAX(0,-Assumptions!$B$22*(F1523/INDEX(Surface_Engine!$B$12:$B$72,$A1523+1))),0)))+2*Assumptions!$B$27*(IF(C1523&lt;=0,0,MAX(0,(B1523/C1523)*G1523/INDEX(Surface_Engine!$B$12:$B$72,$A1523+1)-F1523/INDEX(Surface_Engine!$B$12:$B$72,$A1523+1))))*(MAX(0,J1523/INDEX(Surface_Engine!$B$12:$B$72,$A1523+1)-(F1523/INDEX(Surface_Engine!$B$12:$B$72,$A1523+1))))+2*Assumptions!$B$28*(MAX(IF(D1523&lt;=0,0,MAX(0,(B1523/D1523)*H1523/INDEX(Surface_Engine!$B$12:$B$72,$A1523+1)-F1523/INDEX(Surface_Engine!$B$12:$B$72,$A1523+1))),IF(E1523&lt;=0,0,MAX(0,(B1523/E1523)*I1523/INDEX(Surface_Engine!$B$12:$B$72,$A1523+1)-F1523/INDEX(Surface_Engine!$B$12:$B$72,$A1523+1))),IF($A1523&lt;$Q$1518,MAX(0,-Assumptions!$B$22*(F1523/INDEX(Surface_Engine!$B$12:$B$72,$A1523+1))),0)))*(MAX(0,J1523/INDEX(Surface_Engine!$B$12:$B$72,$A1523+1)-(F1523/INDEX(Surface_Engine!$B$12:$B$72,$A1523+1)))))</f>
        <v>12720.8846570491</v>
      </c>
      <c r="L1523" s="48" t="n">
        <f aca="false">K1523*INDEX(Surface_Engine!$B$12:$B$72,$A1523+1)+L1524</f>
        <v>121791.308004555</v>
      </c>
      <c r="M1523" s="48" t="n">
        <f aca="false">M1522+B1522*(IF($A1522&lt;$Q$1518,(Surface_Engine!G251*12)-(Surface_Engine!G251*12)*INDEX(Surface_Engine!$F$12:$F$72,$A1522+1)-INDEX(Surface_Engine!$D$12:$D$72,$A1522+1),-(1000*12*INDEX(Surface_Engine!$C$12:$C$72,$A1522+1)/(1+Assumptions!$B$10)^5+INDEX(Surface_Engine!$D$12:$D$72,$A1522+1))))*INDEX(Surface_Engine!$B$12:$B$72,$A1522+1)</f>
        <v>51060.0048422303</v>
      </c>
      <c r="N1523" s="12" t="n">
        <f aca="false">IF(B1523&lt;=0,0,MAX(0,(K1523+Assumptions!$B$29*L1523/INDEX(Surface_Engine!$B$12:$B$72,$A1523+1)-(M1523/INDEX(Surface_Engine!$B$12:$B$72,$A1523+1)-(F1523/INDEX(Surface_Engine!$B$12:$B$72,$A1523+1))))/B1523))</f>
        <v>18721.6867518964</v>
      </c>
    </row>
    <row r="1524" customFormat="false" ht="15" hidden="false" customHeight="true" outlineLevel="0" collapsed="false">
      <c r="A1524" s="1" t="n">
        <v>4</v>
      </c>
      <c r="B1524" s="32" t="n">
        <f aca="false">INDEX(Surface_Engine!$V$12:$V$72,$A1524+1)*IF($A1524&lt;$Q$1518,INDEX(Surface_Engine!$E$12:$E$72,$A1524+1),INDEX(Surface_Engine!$E$12:$E$72,$Q$1518+1))</f>
        <v>0.840401794005402</v>
      </c>
      <c r="C1524" s="32" t="n">
        <f aca="false">INDEX(Panel_Reserving!$H$8:$H$68,$A1524+1)*IF($A1524&lt;$Q$1518,INDEX(Surface_Engine!$E$12:$E$72,$A1524+1),INDEX(Surface_Engine!$E$12:$E$72,$Q$1518+1))</f>
        <v>0.854712446155324</v>
      </c>
      <c r="D1524" s="32" t="n">
        <f aca="false">INDEX(Surface_Engine!$V$12:$V$72,$A1524+1)*IF($A1524&lt;$Q$1518,INDEX(Surface_Engine!$Y$12:$Y$72,$A1524+1),INDEX(Surface_Engine!$Y$12:$Y$72,$Q$1518+1))</f>
        <v>0.802567894168097</v>
      </c>
      <c r="E1524" s="32" t="n">
        <f aca="false">INDEX(Surface_Engine!$V$12:$V$72,$A1524+1)*IF($A1524&lt;$Q$1518,INDEX(Surface_Engine!$Z$12:$Z$72,$A1524+1),INDEX(Surface_Engine!$Z$12:$Z$72,$Q$1518+1))</f>
        <v>0.879437139535825</v>
      </c>
      <c r="F1524" s="48" t="n">
        <f aca="false">B1524*(IF($A1524&lt;$Q$1518,INDEX(Surface_Engine!$D$12:$D$72,$A1524+1)+(Surface_Engine!G251*12)*INDEX(Surface_Engine!$F$12:$F$72,$A1524+1)-(Surface_Engine!G251*12),1000*12*INDEX(Surface_Engine!$C$12:$C$72,$A1524+1)/(1+Assumptions!$B$10)^5+INDEX(Surface_Engine!$D$12:$D$72,$A1524+1)))*INDEX(Surface_Engine!$B$12:$B$72,$A1524+1)+F1525</f>
        <v>70339.0005153848</v>
      </c>
      <c r="G1524" s="48" t="n">
        <f aca="false">C1524*(IF($A1524&lt;$Q$1518,INDEX(Surface_Engine!$D$12:$D$72,$A1524+1)+(Surface_Engine!G251*12)*INDEX(Surface_Engine!$F$12:$F$72,$A1524+1)-(Surface_Engine!G251*12),1000*12*INDEX(Surface_Engine!$C$12:$C$72,$A1524+1)/(1+Assumptions!$B$10)^5+INDEX(Surface_Engine!$D$12:$D$72,$A1524+1)))*INDEX(Surface_Engine!$B$12:$B$72,$A1524+1)+G1525</f>
        <v>82741.6420357368</v>
      </c>
      <c r="H1524" s="48" t="n">
        <f aca="false">D1524*(IF($A1524&lt;$Q$1518,INDEX(Surface_Engine!$D$12:$D$72,$A1524+1)+(Surface_Engine!G251*12)*INDEX(Surface_Engine!$F$12:$F$72,$A1524+1)-(Surface_Engine!G251*12),1000*12*INDEX(Surface_Engine!$C$12:$C$72,$A1524+1)/(1+Assumptions!$B$10)^5+INDEX(Surface_Engine!$D$12:$D$72,$A1524+1)))*INDEX(Surface_Engine!$B$12:$B$72,$A1524+1)+H1525</f>
        <v>66579.4707870523</v>
      </c>
      <c r="I1524" s="48" t="n">
        <f aca="false">E1524*(IF($A1524&lt;$Q$1518,INDEX(Surface_Engine!$D$12:$D$72,$A1524+1)+(Surface_Engine!G251*12)*INDEX(Surface_Engine!$F$12:$F$72,$A1524+1)-(Surface_Engine!G251*12),1000*12*INDEX(Surface_Engine!$C$12:$C$72,$A1524+1)/(1+Assumptions!$B$10)^5+INDEX(Surface_Engine!$D$12:$D$72,$A1524+1)))*INDEX(Surface_Engine!$B$12:$B$72,$A1524+1)+I1525</f>
        <v>74255.8797837349</v>
      </c>
      <c r="J1524" s="48" t="n">
        <f aca="false">B1524*(IF($A1524&lt;$Q$1518,INDEX(Surface_Engine!$D$12:$D$72,$A1524+1)*(1+Assumptions!$B$24)+(Surface_Engine!G251*12)*INDEX(Surface_Engine!$F$12:$F$72,$A1524+1)-(Surface_Engine!G251*12),1000*12*INDEX(Surface_Engine!$C$12:$C$72,$A1524+1)/(1+Assumptions!$B$10)^5+INDEX(Surface_Engine!$D$12:$D$72,$A1524+1)*(1+Assumptions!$B$24)))*INDEX(Surface_Engine!$B$12:$B$72,$A1524+1)+J1525</f>
        <v>70418.8880404795</v>
      </c>
      <c r="K1524" s="12" t="n">
        <f aca="false">SQRT((IF(C1524&lt;=0,0,MAX(0,(B1524/C1524)*G1524/INDEX(Surface_Engine!$B$12:$B$72,$A1524+1)-F1524/INDEX(Surface_Engine!$B$12:$B$72,$A1524+1))))^2+(MAX(IF(D1524&lt;=0,0,MAX(0,(B1524/D1524)*H1524/INDEX(Surface_Engine!$B$12:$B$72,$A1524+1)-F1524/INDEX(Surface_Engine!$B$12:$B$72,$A1524+1))),IF(E1524&lt;=0,0,MAX(0,(B1524/E1524)*I1524/INDEX(Surface_Engine!$B$12:$B$72,$A1524+1)-F1524/INDEX(Surface_Engine!$B$12:$B$72,$A1524+1))),IF($A1524&lt;$Q$1518,MAX(0,-Assumptions!$B$22*(F1524/INDEX(Surface_Engine!$B$12:$B$72,$A1524+1))),0)))^2+(MAX(0,J1524/INDEX(Surface_Engine!$B$12:$B$72,$A1524+1)-(F1524/INDEX(Surface_Engine!$B$12:$B$72,$A1524+1))))^2+2*Assumptions!$B$26*(IF(C1524&lt;=0,0,MAX(0,(B1524/C1524)*G1524/INDEX(Surface_Engine!$B$12:$B$72,$A1524+1)-F1524/INDEX(Surface_Engine!$B$12:$B$72,$A1524+1))))*(MAX(IF(D1524&lt;=0,0,MAX(0,(B1524/D1524)*H1524/INDEX(Surface_Engine!$B$12:$B$72,$A1524+1)-F1524/INDEX(Surface_Engine!$B$12:$B$72,$A1524+1))),IF(E1524&lt;=0,0,MAX(0,(B1524/E1524)*I1524/INDEX(Surface_Engine!$B$12:$B$72,$A1524+1)-F1524/INDEX(Surface_Engine!$B$12:$B$72,$A1524+1))),IF($A1524&lt;$Q$1518,MAX(0,-Assumptions!$B$22*(F1524/INDEX(Surface_Engine!$B$12:$B$72,$A1524+1))),0)))+2*Assumptions!$B$27*(IF(C1524&lt;=0,0,MAX(0,(B1524/C1524)*G1524/INDEX(Surface_Engine!$B$12:$B$72,$A1524+1)-F1524/INDEX(Surface_Engine!$B$12:$B$72,$A1524+1))))*(MAX(0,J1524/INDEX(Surface_Engine!$B$12:$B$72,$A1524+1)-(F1524/INDEX(Surface_Engine!$B$12:$B$72,$A1524+1))))+2*Assumptions!$B$28*(MAX(IF(D1524&lt;=0,0,MAX(0,(B1524/D1524)*H1524/INDEX(Surface_Engine!$B$12:$B$72,$A1524+1)-F1524/INDEX(Surface_Engine!$B$12:$B$72,$A1524+1))),IF(E1524&lt;=0,0,MAX(0,(B1524/E1524)*I1524/INDEX(Surface_Engine!$B$12:$B$72,$A1524+1)-F1524/INDEX(Surface_Engine!$B$12:$B$72,$A1524+1))),IF($A1524&lt;$Q$1518,MAX(0,-Assumptions!$B$22*(F1524/INDEX(Surface_Engine!$B$12:$B$72,$A1524+1))),0)))*(MAX(0,J1524/INDEX(Surface_Engine!$B$12:$B$72,$A1524+1)-(F1524/INDEX(Surface_Engine!$B$12:$B$72,$A1524+1)))))</f>
        <v>12440.4473066839</v>
      </c>
      <c r="L1524" s="48" t="n">
        <f aca="false">K1524*INDEX(Surface_Engine!$B$12:$B$72,$A1524+1)+L1525</f>
        <v>110021.46960362</v>
      </c>
      <c r="M1524" s="48" t="n">
        <f aca="false">M1523+B1523*(IF($A1523&lt;$Q$1518,(Surface_Engine!G251*12)-(Surface_Engine!G251*12)*INDEX(Surface_Engine!$F$12:$F$72,$A1523+1)-INDEX(Surface_Engine!$D$12:$D$72,$A1523+1),-(1000*12*INDEX(Surface_Engine!$C$12:$C$72,$A1523+1)/(1+Assumptions!$B$10)^5+INDEX(Surface_Engine!$D$12:$D$72,$A1523+1))))*INDEX(Surface_Engine!$B$12:$B$72,$A1523+1)</f>
        <v>74296.3925576853</v>
      </c>
      <c r="N1524" s="12" t="n">
        <f aca="false">IF(B1524&lt;=0,0,MAX(0,(K1524+Assumptions!$B$29*L1524/INDEX(Surface_Engine!$B$12:$B$72,$A1524+1)-(M1524/INDEX(Surface_Engine!$B$12:$B$72,$A1524+1)-(F1524/INDEX(Surface_Engine!$B$12:$B$72,$A1524+1))))/B1524))</f>
        <v>18294.0274533734</v>
      </c>
    </row>
    <row r="1525" customFormat="false" ht="15" hidden="false" customHeight="true" outlineLevel="0" collapsed="false">
      <c r="A1525" s="1" t="n">
        <v>5</v>
      </c>
      <c r="B1525" s="32" t="n">
        <f aca="false">INDEX(Surface_Engine!$V$12:$V$72,$A1525+1)*IF($A1525&lt;$Q$1518,INDEX(Surface_Engine!$E$12:$E$72,$A1525+1),INDEX(Surface_Engine!$E$12:$E$72,$Q$1518+1))</f>
        <v>0.806725671610124</v>
      </c>
      <c r="C1525" s="32" t="n">
        <f aca="false">INDEX(Panel_Reserving!$H$8:$H$68,$A1525+1)*IF($A1525&lt;$Q$1518,INDEX(Surface_Engine!$E$12:$E$72,$A1525+1),INDEX(Surface_Engine!$E$12:$E$72,$Q$1518+1))</f>
        <v>0.825039254213159</v>
      </c>
      <c r="D1525" s="32" t="n">
        <f aca="false">INDEX(Surface_Engine!$V$12:$V$72,$A1525+1)*IF($A1525&lt;$Q$1518,INDEX(Surface_Engine!$Y$12:$Y$72,$A1525+1),INDEX(Surface_Engine!$Y$12:$Y$72,$Q$1518+1))</f>
        <v>0.765215561916785</v>
      </c>
      <c r="E1525" s="32" t="n">
        <f aca="false">INDEX(Surface_Engine!$V$12:$V$72,$A1525+1)*IF($A1525&lt;$Q$1518,INDEX(Surface_Engine!$Z$12:$Z$72,$A1525+1),INDEX(Surface_Engine!$Z$12:$Z$72,$Q$1518+1))</f>
        <v>0.849886394292069</v>
      </c>
      <c r="F1525" s="48" t="n">
        <f aca="false">B1525*(IF($A1525&lt;$Q$1518,INDEX(Surface_Engine!$D$12:$D$72,$A1525+1)+(Surface_Engine!G251*12)*INDEX(Surface_Engine!$F$12:$F$72,$A1525+1)-(Surface_Engine!G251*12),1000*12*INDEX(Surface_Engine!$C$12:$C$72,$A1525+1)/(1+Assumptions!$B$10)^5+INDEX(Surface_Engine!$D$12:$D$72,$A1525+1)))*INDEX(Surface_Engine!$B$12:$B$72,$A1525+1)+F1526</f>
        <v>92127.0689460973</v>
      </c>
      <c r="G1525" s="48" t="n">
        <f aca="false">C1525*(IF($A1525&lt;$Q$1518,INDEX(Surface_Engine!$D$12:$D$72,$A1525+1)+(Surface_Engine!G251*12)*INDEX(Surface_Engine!$F$12:$F$72,$A1525+1)-(Surface_Engine!G251*12),1000*12*INDEX(Surface_Engine!$C$12:$C$72,$A1525+1)/(1+Assumptions!$B$10)^5+INDEX(Surface_Engine!$D$12:$D$72,$A1525+1)))*INDEX(Surface_Engine!$B$12:$B$72,$A1525+1)+G1526</f>
        <v>104900.725224574</v>
      </c>
      <c r="H1525" s="48" t="n">
        <f aca="false">D1525*(IF($A1525&lt;$Q$1518,INDEX(Surface_Engine!$D$12:$D$72,$A1525+1)+(Surface_Engine!G251*12)*INDEX(Surface_Engine!$F$12:$F$72,$A1525+1)-(Surface_Engine!G251*12),1000*12*INDEX(Surface_Engine!$C$12:$C$72,$A1525+1)/(1+Assumptions!$B$10)^5+INDEX(Surface_Engine!$D$12:$D$72,$A1525+1)))*INDEX(Surface_Engine!$B$12:$B$72,$A1525+1)+H1526</f>
        <v>87386.6660157609</v>
      </c>
      <c r="I1525" s="48" t="n">
        <f aca="false">E1525*(IF($A1525&lt;$Q$1518,INDEX(Surface_Engine!$D$12:$D$72,$A1525+1)+(Surface_Engine!G251*12)*INDEX(Surface_Engine!$F$12:$F$72,$A1525+1)-(Surface_Engine!G251*12),1000*12*INDEX(Surface_Engine!$C$12:$C$72,$A1525+1)/(1+Assumptions!$B$10)^5+INDEX(Surface_Engine!$D$12:$D$72,$A1525+1)))*INDEX(Surface_Engine!$B$12:$B$72,$A1525+1)+I1526</f>
        <v>97055.9698280376</v>
      </c>
      <c r="J1525" s="48" t="n">
        <f aca="false">B1525*(IF($A1525&lt;$Q$1518,INDEX(Surface_Engine!$D$12:$D$72,$A1525+1)*(1+Assumptions!$B$24)+(Surface_Engine!G251*12)*INDEX(Surface_Engine!$F$12:$F$72,$A1525+1)-(Surface_Engine!G251*12),1000*12*INDEX(Surface_Engine!$C$12:$C$72,$A1525+1)/(1+Assumptions!$B$10)^5+INDEX(Surface_Engine!$D$12:$D$72,$A1525+1)*(1+Assumptions!$B$24)))*INDEX(Surface_Engine!$B$12:$B$72,$A1525+1)+J1526</f>
        <v>92200.101629769</v>
      </c>
      <c r="K1525" s="12" t="n">
        <f aca="false">SQRT((IF(C1525&lt;=0,0,MAX(0,(B1525/C1525)*G1525/INDEX(Surface_Engine!$B$12:$B$72,$A1525+1)-F1525/INDEX(Surface_Engine!$B$12:$B$72,$A1525+1))))^2+(MAX(IF(D1525&lt;=0,0,MAX(0,(B1525/D1525)*H1525/INDEX(Surface_Engine!$B$12:$B$72,$A1525+1)-F1525/INDEX(Surface_Engine!$B$12:$B$72,$A1525+1))),IF(E1525&lt;=0,0,MAX(0,(B1525/E1525)*I1525/INDEX(Surface_Engine!$B$12:$B$72,$A1525+1)-F1525/INDEX(Surface_Engine!$B$12:$B$72,$A1525+1))),IF($A1525&lt;$Q$1518,MAX(0,-Assumptions!$B$22*(F1525/INDEX(Surface_Engine!$B$12:$B$72,$A1525+1))),0)))^2+(MAX(0,J1525/INDEX(Surface_Engine!$B$12:$B$72,$A1525+1)-(F1525/INDEX(Surface_Engine!$B$12:$B$72,$A1525+1))))^2+2*Assumptions!$B$26*(IF(C1525&lt;=0,0,MAX(0,(B1525/C1525)*G1525/INDEX(Surface_Engine!$B$12:$B$72,$A1525+1)-F1525/INDEX(Surface_Engine!$B$12:$B$72,$A1525+1))))*(MAX(IF(D1525&lt;=0,0,MAX(0,(B1525/D1525)*H1525/INDEX(Surface_Engine!$B$12:$B$72,$A1525+1)-F1525/INDEX(Surface_Engine!$B$12:$B$72,$A1525+1))),IF(E1525&lt;=0,0,MAX(0,(B1525/E1525)*I1525/INDEX(Surface_Engine!$B$12:$B$72,$A1525+1)-F1525/INDEX(Surface_Engine!$B$12:$B$72,$A1525+1))),IF($A1525&lt;$Q$1518,MAX(0,-Assumptions!$B$22*(F1525/INDEX(Surface_Engine!$B$12:$B$72,$A1525+1))),0)))+2*Assumptions!$B$27*(IF(C1525&lt;=0,0,MAX(0,(B1525/C1525)*G1525/INDEX(Surface_Engine!$B$12:$B$72,$A1525+1)-F1525/INDEX(Surface_Engine!$B$12:$B$72,$A1525+1))))*(MAX(0,J1525/INDEX(Surface_Engine!$B$12:$B$72,$A1525+1)-(F1525/INDEX(Surface_Engine!$B$12:$B$72,$A1525+1))))+2*Assumptions!$B$28*(MAX(IF(D1525&lt;=0,0,MAX(0,(B1525/D1525)*H1525/INDEX(Surface_Engine!$B$12:$B$72,$A1525+1)-F1525/INDEX(Surface_Engine!$B$12:$B$72,$A1525+1))),IF(E1525&lt;=0,0,MAX(0,(B1525/E1525)*I1525/INDEX(Surface_Engine!$B$12:$B$72,$A1525+1)-F1525/INDEX(Surface_Engine!$B$12:$B$72,$A1525+1))),IF($A1525&lt;$Q$1518,MAX(0,-Assumptions!$B$22*(F1525/INDEX(Surface_Engine!$B$12:$B$72,$A1525+1))),0)))*(MAX(0,J1525/INDEX(Surface_Engine!$B$12:$B$72,$A1525+1)-(F1525/INDEX(Surface_Engine!$B$12:$B$72,$A1525+1)))))</f>
        <v>11936.576737752</v>
      </c>
      <c r="L1525" s="48" t="n">
        <f aca="false">K1525*INDEX(Surface_Engine!$B$12:$B$72,$A1525+1)+L1526</f>
        <v>98810.6562088502</v>
      </c>
      <c r="M1525" s="48" t="n">
        <f aca="false">M1524+B1524*(IF($A1524&lt;$Q$1518,(Surface_Engine!G251*12)-(Surface_Engine!G251*12)*INDEX(Surface_Engine!$F$12:$F$72,$A1524+1)-INDEX(Surface_Engine!$D$12:$D$72,$A1524+1),-(1000*12*INDEX(Surface_Engine!$C$12:$C$72,$A1524+1)/(1+Assumptions!$B$10)^5+INDEX(Surface_Engine!$D$12:$D$72,$A1524+1))))*INDEX(Surface_Engine!$B$12:$B$72,$A1524+1)</f>
        <v>96084.4609883979</v>
      </c>
      <c r="N1525" s="12" t="n">
        <f aca="false">IF(B1525&lt;=0,0,MAX(0,(K1525+Assumptions!$B$29*L1525/INDEX(Surface_Engine!$B$12:$B$72,$A1525+1)-(M1525/INDEX(Surface_Engine!$B$12:$B$72,$A1525+1)-(F1525/INDEX(Surface_Engine!$B$12:$B$72,$A1525+1))))/B1525))</f>
        <v>17583.8077815886</v>
      </c>
    </row>
    <row r="1526" customFormat="false" ht="15" hidden="false" customHeight="true" outlineLevel="0" collapsed="false">
      <c r="A1526" s="1" t="n">
        <v>6</v>
      </c>
      <c r="B1526" s="32" t="n">
        <f aca="false">INDEX(Surface_Engine!$V$12:$V$72,$A1526+1)*IF($A1526&lt;$Q$1518,INDEX(Surface_Engine!$E$12:$E$72,$A1526+1),INDEX(Surface_Engine!$E$12:$E$72,$Q$1518+1))</f>
        <v>0.781339117456995</v>
      </c>
      <c r="C1526" s="32" t="n">
        <f aca="false">INDEX(Panel_Reserving!$H$8:$H$68,$A1526+1)*IF($A1526&lt;$Q$1518,INDEX(Surface_Engine!$E$12:$E$72,$A1526+1),INDEX(Surface_Engine!$E$12:$E$72,$Q$1518+1))</f>
        <v>0.804268968161658</v>
      </c>
      <c r="D1526" s="32" t="n">
        <f aca="false">INDEX(Surface_Engine!$V$12:$V$72,$A1526+1)*IF($A1526&lt;$Q$1518,INDEX(Surface_Engine!$Y$12:$Y$72,$A1526+1),INDEX(Surface_Engine!$Y$12:$Y$72,$Q$1518+1))</f>
        <v>0.741135274174553</v>
      </c>
      <c r="E1526" s="32" t="n">
        <f aca="false">INDEX(Surface_Engine!$V$12:$V$72,$A1526+1)*IF($A1526&lt;$Q$1518,INDEX(Surface_Engine!$Z$12:$Z$72,$A1526+1),INDEX(Surface_Engine!$Z$12:$Z$72,$Q$1518+1))</f>
        <v>0.823141631193555</v>
      </c>
      <c r="F1526" s="48" t="n">
        <f aca="false">B1526*(IF($A1526&lt;$Q$1518,INDEX(Surface_Engine!$D$12:$D$72,$A1526+1)+(Surface_Engine!G251*12)*INDEX(Surface_Engine!$F$12:$F$72,$A1526+1)-(Surface_Engine!G251*12),1000*12*INDEX(Surface_Engine!$C$12:$C$72,$A1526+1)/(1+Assumptions!$B$10)^5+INDEX(Surface_Engine!$D$12:$D$72,$A1526+1)))*INDEX(Surface_Engine!$B$12:$B$72,$A1526+1)+F1527</f>
        <v>83575.3148036292</v>
      </c>
      <c r="G1526" s="48" t="n">
        <f aca="false">C1526*(IF($A1526&lt;$Q$1518,INDEX(Surface_Engine!$D$12:$D$72,$A1526+1)+(Surface_Engine!G251*12)*INDEX(Surface_Engine!$F$12:$F$72,$A1526+1)-(Surface_Engine!G251*12),1000*12*INDEX(Surface_Engine!$C$12:$C$72,$A1526+1)/(1+Assumptions!$B$10)^5+INDEX(Surface_Engine!$D$12:$D$72,$A1526+1)))*INDEX(Surface_Engine!$B$12:$B$72,$A1526+1)+G1527</f>
        <v>96154.8366180617</v>
      </c>
      <c r="H1526" s="48" t="n">
        <f aca="false">D1526*(IF($A1526&lt;$Q$1518,INDEX(Surface_Engine!$D$12:$D$72,$A1526+1)+(Surface_Engine!G251*12)*INDEX(Surface_Engine!$F$12:$F$72,$A1526+1)-(Surface_Engine!G251*12),1000*12*INDEX(Surface_Engine!$C$12:$C$72,$A1526+1)/(1+Assumptions!$B$10)^5+INDEX(Surface_Engine!$D$12:$D$72,$A1526+1)))*INDEX(Surface_Engine!$B$12:$B$72,$A1526+1)+H1527</f>
        <v>79274.9428094793</v>
      </c>
      <c r="I1526" s="48" t="n">
        <f aca="false">E1526*(IF($A1526&lt;$Q$1518,INDEX(Surface_Engine!$D$12:$D$72,$A1526+1)+(Surface_Engine!G251*12)*INDEX(Surface_Engine!$F$12:$F$72,$A1526+1)-(Surface_Engine!G251*12),1000*12*INDEX(Surface_Engine!$C$12:$C$72,$A1526+1)/(1+Assumptions!$B$10)^5+INDEX(Surface_Engine!$D$12:$D$72,$A1526+1)))*INDEX(Surface_Engine!$B$12:$B$72,$A1526+1)+I1527</f>
        <v>88046.6873063739</v>
      </c>
      <c r="J1526" s="48" t="n">
        <f aca="false">B1526*(IF($A1526&lt;$Q$1518,INDEX(Surface_Engine!$D$12:$D$72,$A1526+1)*(1+Assumptions!$B$24)+(Surface_Engine!G251*12)*INDEX(Surface_Engine!$F$12:$F$72,$A1526+1)-(Surface_Engine!G251*12),1000*12*INDEX(Surface_Engine!$C$12:$C$72,$A1526+1)/(1+Assumptions!$B$10)^5+INDEX(Surface_Engine!$D$12:$D$72,$A1526+1)*(1+Assumptions!$B$24)))*INDEX(Surface_Engine!$B$12:$B$72,$A1526+1)+J1527</f>
        <v>83641.7866027364</v>
      </c>
      <c r="K1526" s="12" t="n">
        <f aca="false">SQRT((IF(C1526&lt;=0,0,MAX(0,(B1526/C1526)*G1526/INDEX(Surface_Engine!$B$12:$B$72,$A1526+1)-F1526/INDEX(Surface_Engine!$B$12:$B$72,$A1526+1))))^2+(MAX(IF(D1526&lt;=0,0,MAX(0,(B1526/D1526)*H1526/INDEX(Surface_Engine!$B$12:$B$72,$A1526+1)-F1526/INDEX(Surface_Engine!$B$12:$B$72,$A1526+1))),IF(E1526&lt;=0,0,MAX(0,(B1526/E1526)*I1526/INDEX(Surface_Engine!$B$12:$B$72,$A1526+1)-F1526/INDEX(Surface_Engine!$B$12:$B$72,$A1526+1))),IF($A1526&lt;$Q$1518,MAX(0,-Assumptions!$B$22*(F1526/INDEX(Surface_Engine!$B$12:$B$72,$A1526+1))),0)))^2+(MAX(0,J1526/INDEX(Surface_Engine!$B$12:$B$72,$A1526+1)-(F1526/INDEX(Surface_Engine!$B$12:$B$72,$A1526+1))))^2+2*Assumptions!$B$26*(IF(C1526&lt;=0,0,MAX(0,(B1526/C1526)*G1526/INDEX(Surface_Engine!$B$12:$B$72,$A1526+1)-F1526/INDEX(Surface_Engine!$B$12:$B$72,$A1526+1))))*(MAX(IF(D1526&lt;=0,0,MAX(0,(B1526/D1526)*H1526/INDEX(Surface_Engine!$B$12:$B$72,$A1526+1)-F1526/INDEX(Surface_Engine!$B$12:$B$72,$A1526+1))),IF(E1526&lt;=0,0,MAX(0,(B1526/E1526)*I1526/INDEX(Surface_Engine!$B$12:$B$72,$A1526+1)-F1526/INDEX(Surface_Engine!$B$12:$B$72,$A1526+1))),IF($A1526&lt;$Q$1518,MAX(0,-Assumptions!$B$22*(F1526/INDEX(Surface_Engine!$B$12:$B$72,$A1526+1))),0)))+2*Assumptions!$B$27*(IF(C1526&lt;=0,0,MAX(0,(B1526/C1526)*G1526/INDEX(Surface_Engine!$B$12:$B$72,$A1526+1)-F1526/INDEX(Surface_Engine!$B$12:$B$72,$A1526+1))))*(MAX(0,J1526/INDEX(Surface_Engine!$B$12:$B$72,$A1526+1)-(F1526/INDEX(Surface_Engine!$B$12:$B$72,$A1526+1))))+2*Assumptions!$B$28*(MAX(IF(D1526&lt;=0,0,MAX(0,(B1526/D1526)*H1526/INDEX(Surface_Engine!$B$12:$B$72,$A1526+1)-F1526/INDEX(Surface_Engine!$B$12:$B$72,$A1526+1))),IF(E1526&lt;=0,0,MAX(0,(B1526/E1526)*I1526/INDEX(Surface_Engine!$B$12:$B$72,$A1526+1)-F1526/INDEX(Surface_Engine!$B$12:$B$72,$A1526+1))),IF($A1526&lt;$Q$1518,MAX(0,-Assumptions!$B$22*(F1526/INDEX(Surface_Engine!$B$12:$B$72,$A1526+1))),0)))*(MAX(0,J1526/INDEX(Surface_Engine!$B$12:$B$72,$A1526+1)-(F1526/INDEX(Surface_Engine!$B$12:$B$72,$A1526+1)))))</f>
        <v>11567.2385773261</v>
      </c>
      <c r="L1526" s="48" t="n">
        <f aca="false">K1526*INDEX(Surface_Engine!$B$12:$B$72,$A1526+1)+L1527</f>
        <v>88347.0078969163</v>
      </c>
      <c r="M1526" s="48" t="n">
        <f aca="false">M1525+B1525*(IF($A1525&lt;$Q$1518,(Surface_Engine!G251*12)-(Surface_Engine!G251*12)*INDEX(Surface_Engine!$F$12:$F$72,$A1525+1)-INDEX(Surface_Engine!$D$12:$D$72,$A1525+1),-(1000*12*INDEX(Surface_Engine!$C$12:$C$72,$A1525+1)/(1+Assumptions!$B$10)^5+INDEX(Surface_Engine!$D$12:$D$72,$A1525+1))))*INDEX(Surface_Engine!$B$12:$B$72,$A1525+1)</f>
        <v>87532.7068459297</v>
      </c>
      <c r="N1526" s="12" t="n">
        <f aca="false">IF(B1526&lt;=0,0,MAX(0,(K1526+Assumptions!$B$29*L1526/INDEX(Surface_Engine!$B$12:$B$72,$A1526+1)-(M1526/INDEX(Surface_Engine!$B$12:$B$72,$A1526+1)-(F1526/INDEX(Surface_Engine!$B$12:$B$72,$A1526+1))))/B1526))</f>
        <v>16822.5099937164</v>
      </c>
    </row>
    <row r="1527" customFormat="false" ht="15" hidden="false" customHeight="true" outlineLevel="0" collapsed="false">
      <c r="A1527" s="1" t="n">
        <v>7</v>
      </c>
      <c r="B1527" s="32" t="n">
        <f aca="false">INDEX(Surface_Engine!$V$12:$V$72,$A1527+1)*IF($A1527&lt;$Q$1518,INDEX(Surface_Engine!$E$12:$E$72,$A1527+1),INDEX(Surface_Engine!$E$12:$E$72,$Q$1518+1))</f>
        <v>0.753744730595102</v>
      </c>
      <c r="C1527" s="32" t="n">
        <f aca="false">INDEX(Panel_Reserving!$H$8:$H$68,$A1527+1)*IF($A1527&lt;$Q$1518,INDEX(Surface_Engine!$E$12:$E$72,$A1527+1),INDEX(Surface_Engine!$E$12:$E$72,$Q$1518+1))</f>
        <v>0.78154561175713</v>
      </c>
      <c r="D1527" s="32" t="n">
        <f aca="false">INDEX(Surface_Engine!$V$12:$V$72,$A1527+1)*IF($A1527&lt;$Q$1518,INDEX(Surface_Engine!$Y$12:$Y$72,$A1527+1),INDEX(Surface_Engine!$Y$12:$Y$72,$Q$1518+1))</f>
        <v>0.714960757865771</v>
      </c>
      <c r="E1527" s="32" t="n">
        <f aca="false">INDEX(Surface_Engine!$V$12:$V$72,$A1527+1)*IF($A1527&lt;$Q$1518,INDEX(Surface_Engine!$Z$12:$Z$72,$A1527+1),INDEX(Surface_Engine!$Z$12:$Z$72,$Q$1518+1))</f>
        <v>0.794070913875303</v>
      </c>
      <c r="F1527" s="48" t="n">
        <f aca="false">B1527*(IF($A1527&lt;$Q$1518,INDEX(Surface_Engine!$D$12:$D$72,$A1527+1)+(Surface_Engine!G251*12)*INDEX(Surface_Engine!$F$12:$F$72,$A1527+1)-(Surface_Engine!G251*12),1000*12*INDEX(Surface_Engine!$C$12:$C$72,$A1527+1)/(1+Assumptions!$B$10)^5+INDEX(Surface_Engine!$D$12:$D$72,$A1527+1)))*INDEX(Surface_Engine!$B$12:$B$72,$A1527+1)+F1528</f>
        <v>75364.1046281668</v>
      </c>
      <c r="G1527" s="48" t="n">
        <f aca="false">C1527*(IF($A1527&lt;$Q$1518,INDEX(Surface_Engine!$D$12:$D$72,$A1527+1)+(Surface_Engine!G251*12)*INDEX(Surface_Engine!$F$12:$F$72,$A1527+1)-(Surface_Engine!G251*12),1000*12*INDEX(Surface_Engine!$C$12:$C$72,$A1527+1)/(1+Assumptions!$B$10)^5+INDEX(Surface_Engine!$D$12:$D$72,$A1527+1)))*INDEX(Surface_Engine!$B$12:$B$72,$A1527+1)+G1528</f>
        <v>87702.6531965128</v>
      </c>
      <c r="H1527" s="48" t="n">
        <f aca="false">D1527*(IF($A1527&lt;$Q$1518,INDEX(Surface_Engine!$D$12:$D$72,$A1527+1)+(Surface_Engine!G251*12)*INDEX(Surface_Engine!$F$12:$F$72,$A1527+1)-(Surface_Engine!G251*12),1000*12*INDEX(Surface_Engine!$C$12:$C$72,$A1527+1)/(1+Assumptions!$B$10)^5+INDEX(Surface_Engine!$D$12:$D$72,$A1527+1)))*INDEX(Surface_Engine!$B$12:$B$72,$A1527+1)+H1528</f>
        <v>71486.2408633859</v>
      </c>
      <c r="I1527" s="48" t="n">
        <f aca="false">E1527*(IF($A1527&lt;$Q$1518,INDEX(Surface_Engine!$D$12:$D$72,$A1527+1)+(Surface_Engine!G251*12)*INDEX(Surface_Engine!$F$12:$F$72,$A1527+1)-(Surface_Engine!G251*12),1000*12*INDEX(Surface_Engine!$C$12:$C$72,$A1527+1)/(1+Assumptions!$B$10)^5+INDEX(Surface_Engine!$D$12:$D$72,$A1527+1)))*INDEX(Surface_Engine!$B$12:$B$72,$A1527+1)+I1528</f>
        <v>79396.1682335524</v>
      </c>
      <c r="J1527" s="48" t="n">
        <f aca="false">B1527*(IF($A1527&lt;$Q$1518,INDEX(Surface_Engine!$D$12:$D$72,$A1527+1)*(1+Assumptions!$B$24)+(Surface_Engine!G251*12)*INDEX(Surface_Engine!$F$12:$F$72,$A1527+1)-(Surface_Engine!G251*12),1000*12*INDEX(Surface_Engine!$C$12:$C$72,$A1527+1)/(1+Assumptions!$B$10)^5+INDEX(Surface_Engine!$D$12:$D$72,$A1527+1)*(1+Assumptions!$B$24)))*INDEX(Surface_Engine!$B$12:$B$72,$A1527+1)+J1528</f>
        <v>75424.2461647723</v>
      </c>
      <c r="K1527" s="12" t="n">
        <f aca="false">SQRT((IF(C1527&lt;=0,0,MAX(0,(B1527/C1527)*G1527/INDEX(Surface_Engine!$B$12:$B$72,$A1527+1)-F1527/INDEX(Surface_Engine!$B$12:$B$72,$A1527+1))))^2+(MAX(IF(D1527&lt;=0,0,MAX(0,(B1527/D1527)*H1527/INDEX(Surface_Engine!$B$12:$B$72,$A1527+1)-F1527/INDEX(Surface_Engine!$B$12:$B$72,$A1527+1))),IF(E1527&lt;=0,0,MAX(0,(B1527/E1527)*I1527/INDEX(Surface_Engine!$B$12:$B$72,$A1527+1)-F1527/INDEX(Surface_Engine!$B$12:$B$72,$A1527+1))),IF($A1527&lt;$Q$1518,MAX(0,-Assumptions!$B$22*(F1527/INDEX(Surface_Engine!$B$12:$B$72,$A1527+1))),0)))^2+(MAX(0,J1527/INDEX(Surface_Engine!$B$12:$B$72,$A1527+1)-(F1527/INDEX(Surface_Engine!$B$12:$B$72,$A1527+1))))^2+2*Assumptions!$B$26*(IF(C1527&lt;=0,0,MAX(0,(B1527/C1527)*G1527/INDEX(Surface_Engine!$B$12:$B$72,$A1527+1)-F1527/INDEX(Surface_Engine!$B$12:$B$72,$A1527+1))))*(MAX(IF(D1527&lt;=0,0,MAX(0,(B1527/D1527)*H1527/INDEX(Surface_Engine!$B$12:$B$72,$A1527+1)-F1527/INDEX(Surface_Engine!$B$12:$B$72,$A1527+1))),IF(E1527&lt;=0,0,MAX(0,(B1527/E1527)*I1527/INDEX(Surface_Engine!$B$12:$B$72,$A1527+1)-F1527/INDEX(Surface_Engine!$B$12:$B$72,$A1527+1))),IF($A1527&lt;$Q$1518,MAX(0,-Assumptions!$B$22*(F1527/INDEX(Surface_Engine!$B$12:$B$72,$A1527+1))),0)))+2*Assumptions!$B$27*(IF(C1527&lt;=0,0,MAX(0,(B1527/C1527)*G1527/INDEX(Surface_Engine!$B$12:$B$72,$A1527+1)-F1527/INDEX(Surface_Engine!$B$12:$B$72,$A1527+1))))*(MAX(0,J1527/INDEX(Surface_Engine!$B$12:$B$72,$A1527+1)-(F1527/INDEX(Surface_Engine!$B$12:$B$72,$A1527+1))))+2*Assumptions!$B$28*(MAX(IF(D1527&lt;=0,0,MAX(0,(B1527/D1527)*H1527/INDEX(Surface_Engine!$B$12:$B$72,$A1527+1)-F1527/INDEX(Surface_Engine!$B$12:$B$72,$A1527+1))),IF(E1527&lt;=0,0,MAX(0,(B1527/E1527)*I1527/INDEX(Surface_Engine!$B$12:$B$72,$A1527+1)-F1527/INDEX(Surface_Engine!$B$12:$B$72,$A1527+1))),IF($A1527&lt;$Q$1518,MAX(0,-Assumptions!$B$22*(F1527/INDEX(Surface_Engine!$B$12:$B$72,$A1527+1))),0)))*(MAX(0,J1527/INDEX(Surface_Engine!$B$12:$B$72,$A1527+1)-(F1527/INDEX(Surface_Engine!$B$12:$B$72,$A1527+1)))))</f>
        <v>11165.147530904</v>
      </c>
      <c r="L1527" s="48" t="n">
        <f aca="false">K1527*INDEX(Surface_Engine!$B$12:$B$72,$A1527+1)+L1528</f>
        <v>78492.0493843732</v>
      </c>
      <c r="M1527" s="48" t="n">
        <f aca="false">M1526+B1526*(IF($A1526&lt;$Q$1518,(Surface_Engine!G251*12)-(Surface_Engine!G251*12)*INDEX(Surface_Engine!$F$12:$F$72,$A1526+1)-INDEX(Surface_Engine!$D$12:$D$72,$A1526+1),-(1000*12*INDEX(Surface_Engine!$C$12:$C$72,$A1526+1)/(1+Assumptions!$B$10)^5+INDEX(Surface_Engine!$D$12:$D$72,$A1526+1))))*INDEX(Surface_Engine!$B$12:$B$72,$A1526+1)</f>
        <v>79321.4966704673</v>
      </c>
      <c r="N1527" s="12" t="n">
        <f aca="false">IF(B1527&lt;=0,0,MAX(0,(K1527+Assumptions!$B$29*L1527/INDEX(Surface_Engine!$B$12:$B$72,$A1527+1)-(M1527/INDEX(Surface_Engine!$B$12:$B$72,$A1527+1)-(F1527/INDEX(Surface_Engine!$B$12:$B$72,$A1527+1))))/B1527))</f>
        <v>16019.4436101857</v>
      </c>
    </row>
    <row r="1528" customFormat="false" ht="15" hidden="false" customHeight="true" outlineLevel="0" collapsed="false">
      <c r="A1528" s="1" t="n">
        <v>8</v>
      </c>
      <c r="B1528" s="32" t="n">
        <f aca="false">INDEX(Surface_Engine!$V$12:$V$72,$A1528+1)*IF($A1528&lt;$Q$1518,INDEX(Surface_Engine!$E$12:$E$72,$A1528+1),INDEX(Surface_Engine!$E$12:$E$72,$Q$1518+1))</f>
        <v>0.723864773545225</v>
      </c>
      <c r="C1528" s="32" t="n">
        <f aca="false">INDEX(Panel_Reserving!$H$8:$H$68,$A1528+1)*IF($A1528&lt;$Q$1518,INDEX(Surface_Engine!$E$12:$E$72,$A1528+1),INDEX(Surface_Engine!$E$12:$E$72,$Q$1518+1))</f>
        <v>0.756759979843381</v>
      </c>
      <c r="D1528" s="32" t="n">
        <f aca="false">INDEX(Surface_Engine!$V$12:$V$72,$A1528+1)*IF($A1528&lt;$Q$1518,INDEX(Surface_Engine!$Y$12:$Y$72,$A1528+1),INDEX(Surface_Engine!$Y$12:$Y$72,$Q$1518+1))</f>
        <v>0.686618275497091</v>
      </c>
      <c r="E1528" s="32" t="n">
        <f aca="false">INDEX(Surface_Engine!$V$12:$V$72,$A1528+1)*IF($A1528&lt;$Q$1518,INDEX(Surface_Engine!$Z$12:$Z$72,$A1528+1),INDEX(Surface_Engine!$Z$12:$Z$72,$Q$1518+1))</f>
        <v>0.762592345816303</v>
      </c>
      <c r="F1528" s="48" t="n">
        <f aca="false">B1528*(IF($A1528&lt;$Q$1518,INDEX(Surface_Engine!$D$12:$D$72,$A1528+1)+(Surface_Engine!G251*12)*INDEX(Surface_Engine!$F$12:$F$72,$A1528+1)-(Surface_Engine!G251*12),1000*12*INDEX(Surface_Engine!$C$12:$C$72,$A1528+1)/(1+Assumptions!$B$10)^5+INDEX(Surface_Engine!$D$12:$D$72,$A1528+1)))*INDEX(Surface_Engine!$B$12:$B$72,$A1528+1)+F1529</f>
        <v>67520.592858155</v>
      </c>
      <c r="G1528" s="48" t="n">
        <f aca="false">C1528*(IF($A1528&lt;$Q$1518,INDEX(Surface_Engine!$D$12:$D$72,$A1528+1)+(Surface_Engine!G251*12)*INDEX(Surface_Engine!$F$12:$F$72,$A1528+1)-(Surface_Engine!G251*12),1000*12*INDEX(Surface_Engine!$C$12:$C$72,$A1528+1)/(1+Assumptions!$B$10)^5+INDEX(Surface_Engine!$D$12:$D$72,$A1528+1)))*INDEX(Surface_Engine!$B$12:$B$72,$A1528+1)+G1529</f>
        <v>79569.8438304317</v>
      </c>
      <c r="H1528" s="48" t="n">
        <f aca="false">D1528*(IF($A1528&lt;$Q$1518,INDEX(Surface_Engine!$D$12:$D$72,$A1528+1)+(Surface_Engine!G251*12)*INDEX(Surface_Engine!$F$12:$F$72,$A1528+1)-(Surface_Engine!G251*12),1000*12*INDEX(Surface_Engine!$C$12:$C$72,$A1528+1)/(1+Assumptions!$B$10)^5+INDEX(Surface_Engine!$D$12:$D$72,$A1528+1)))*INDEX(Surface_Engine!$B$12:$B$72,$A1528+1)+H1529</f>
        <v>64046.3173829402</v>
      </c>
      <c r="I1528" s="48" t="n">
        <f aca="false">E1528*(IF($A1528&lt;$Q$1518,INDEX(Surface_Engine!$D$12:$D$72,$A1528+1)+(Surface_Engine!G251*12)*INDEX(Surface_Engine!$F$12:$F$72,$A1528+1)-(Surface_Engine!G251*12),1000*12*INDEX(Surface_Engine!$C$12:$C$72,$A1528+1)/(1+Assumptions!$B$10)^5+INDEX(Surface_Engine!$D$12:$D$72,$A1528+1)))*INDEX(Surface_Engine!$B$12:$B$72,$A1528+1)+I1529</f>
        <v>71133.0198407437</v>
      </c>
      <c r="J1528" s="48" t="n">
        <f aca="false">B1528*(IF($A1528&lt;$Q$1518,INDEX(Surface_Engine!$D$12:$D$72,$A1528+1)*(1+Assumptions!$B$24)+(Surface_Engine!G251*12)*INDEX(Surface_Engine!$F$12:$F$72,$A1528+1)-(Surface_Engine!G251*12),1000*12*INDEX(Surface_Engine!$C$12:$C$72,$A1528+1)/(1+Assumptions!$B$10)^5+INDEX(Surface_Engine!$D$12:$D$72,$A1528+1)*(1+Assumptions!$B$24)))*INDEX(Surface_Engine!$B$12:$B$72,$A1528+1)+J1529</f>
        <v>67574.6581902142</v>
      </c>
      <c r="K1528" s="12" t="n">
        <f aca="false">SQRT((IF(C1528&lt;=0,0,MAX(0,(B1528/C1528)*G1528/INDEX(Surface_Engine!$B$12:$B$72,$A1528+1)-F1528/INDEX(Surface_Engine!$B$12:$B$72,$A1528+1))))^2+(MAX(IF(D1528&lt;=0,0,MAX(0,(B1528/D1528)*H1528/INDEX(Surface_Engine!$B$12:$B$72,$A1528+1)-F1528/INDEX(Surface_Engine!$B$12:$B$72,$A1528+1))),IF(E1528&lt;=0,0,MAX(0,(B1528/E1528)*I1528/INDEX(Surface_Engine!$B$12:$B$72,$A1528+1)-F1528/INDEX(Surface_Engine!$B$12:$B$72,$A1528+1))),IF($A1528&lt;$Q$1518,MAX(0,-Assumptions!$B$22*(F1528/INDEX(Surface_Engine!$B$12:$B$72,$A1528+1))),0)))^2+(MAX(0,J1528/INDEX(Surface_Engine!$B$12:$B$72,$A1528+1)-(F1528/INDEX(Surface_Engine!$B$12:$B$72,$A1528+1))))^2+2*Assumptions!$B$26*(IF(C1528&lt;=0,0,MAX(0,(B1528/C1528)*G1528/INDEX(Surface_Engine!$B$12:$B$72,$A1528+1)-F1528/INDEX(Surface_Engine!$B$12:$B$72,$A1528+1))))*(MAX(IF(D1528&lt;=0,0,MAX(0,(B1528/D1528)*H1528/INDEX(Surface_Engine!$B$12:$B$72,$A1528+1)-F1528/INDEX(Surface_Engine!$B$12:$B$72,$A1528+1))),IF(E1528&lt;=0,0,MAX(0,(B1528/E1528)*I1528/INDEX(Surface_Engine!$B$12:$B$72,$A1528+1)-F1528/INDEX(Surface_Engine!$B$12:$B$72,$A1528+1))),IF($A1528&lt;$Q$1518,MAX(0,-Assumptions!$B$22*(F1528/INDEX(Surface_Engine!$B$12:$B$72,$A1528+1))),0)))+2*Assumptions!$B$27*(IF(C1528&lt;=0,0,MAX(0,(B1528/C1528)*G1528/INDEX(Surface_Engine!$B$12:$B$72,$A1528+1)-F1528/INDEX(Surface_Engine!$B$12:$B$72,$A1528+1))))*(MAX(0,J1528/INDEX(Surface_Engine!$B$12:$B$72,$A1528+1)-(F1528/INDEX(Surface_Engine!$B$12:$B$72,$A1528+1))))+2*Assumptions!$B$28*(MAX(IF(D1528&lt;=0,0,MAX(0,(B1528/D1528)*H1528/INDEX(Surface_Engine!$B$12:$B$72,$A1528+1)-F1528/INDEX(Surface_Engine!$B$12:$B$72,$A1528+1))),IF(E1528&lt;=0,0,MAX(0,(B1528/E1528)*I1528/INDEX(Surface_Engine!$B$12:$B$72,$A1528+1)-F1528/INDEX(Surface_Engine!$B$12:$B$72,$A1528+1))),IF($A1528&lt;$Q$1518,MAX(0,-Assumptions!$B$22*(F1528/INDEX(Surface_Engine!$B$12:$B$72,$A1528+1))),0)))*(MAX(0,J1528/INDEX(Surface_Engine!$B$12:$B$72,$A1528+1)-(F1528/INDEX(Surface_Engine!$B$12:$B$72,$A1528+1)))))</f>
        <v>10729.6390307735</v>
      </c>
      <c r="L1528" s="48" t="n">
        <f aca="false">K1528*INDEX(Surface_Engine!$B$12:$B$72,$A1528+1)+L1529</f>
        <v>69258.0114962959</v>
      </c>
      <c r="M1528" s="48" t="n">
        <f aca="false">M1527+B1527*(IF($A1527&lt;$Q$1518,(Surface_Engine!G251*12)-(Surface_Engine!G251*12)*INDEX(Surface_Engine!$F$12:$F$72,$A1527+1)-INDEX(Surface_Engine!$D$12:$D$72,$A1527+1),-(1000*12*INDEX(Surface_Engine!$C$12:$C$72,$A1527+1)/(1+Assumptions!$B$10)^5+INDEX(Surface_Engine!$D$12:$D$72,$A1527+1))))*INDEX(Surface_Engine!$B$12:$B$72,$A1527+1)</f>
        <v>71477.9849004555</v>
      </c>
      <c r="N1528" s="12" t="n">
        <f aca="false">IF(B1528&lt;=0,0,MAX(0,(K1528+Assumptions!$B$29*L1528/INDEX(Surface_Engine!$B$12:$B$72,$A1528+1)-(M1528/INDEX(Surface_Engine!$B$12:$B$72,$A1528+1)-(F1528/INDEX(Surface_Engine!$B$12:$B$72,$A1528+1))))/B1528))</f>
        <v>15163.9673006028</v>
      </c>
    </row>
    <row r="1529" customFormat="false" ht="15" hidden="false" customHeight="true" outlineLevel="0" collapsed="false">
      <c r="A1529" s="1" t="n">
        <v>9</v>
      </c>
      <c r="B1529" s="32" t="n">
        <f aca="false">INDEX(Surface_Engine!$V$12:$V$72,$A1529+1)*IF($A1529&lt;$Q$1518,INDEX(Surface_Engine!$E$12:$E$72,$A1529+1),INDEX(Surface_Engine!$E$12:$E$72,$Q$1518+1))</f>
        <v>0.691659963892686</v>
      </c>
      <c r="C1529" s="32" t="n">
        <f aca="false">INDEX(Panel_Reserving!$H$8:$H$68,$A1529+1)*IF($A1529&lt;$Q$1518,INDEX(Surface_Engine!$E$12:$E$72,$A1529+1),INDEX(Surface_Engine!$E$12:$E$72,$Q$1518+1))</f>
        <v>0.729825323543803</v>
      </c>
      <c r="D1529" s="32" t="n">
        <f aca="false">INDEX(Surface_Engine!$V$12:$V$72,$A1529+1)*IF($A1529&lt;$Q$1518,INDEX(Surface_Engine!$Y$12:$Y$72,$A1529+1),INDEX(Surface_Engine!$Y$12:$Y$72,$Q$1518+1))</f>
        <v>0.656070565932444</v>
      </c>
      <c r="E1529" s="32" t="n">
        <f aca="false">INDEX(Surface_Engine!$V$12:$V$72,$A1529+1)*IF($A1529&lt;$Q$1518,INDEX(Surface_Engine!$Z$12:$Z$72,$A1529+1),INDEX(Surface_Engine!$Z$12:$Z$72,$Q$1518+1))</f>
        <v>0.728664542948903</v>
      </c>
      <c r="F1529" s="48" t="n">
        <f aca="false">B1529*(IF($A1529&lt;$Q$1518,INDEX(Surface_Engine!$D$12:$D$72,$A1529+1)+(Surface_Engine!G251*12)*INDEX(Surface_Engine!$F$12:$F$72,$A1529+1)-(Surface_Engine!G251*12),1000*12*INDEX(Surface_Engine!$C$12:$C$72,$A1529+1)/(1+Assumptions!$B$10)^5+INDEX(Surface_Engine!$D$12:$D$72,$A1529+1)))*INDEX(Surface_Engine!$B$12:$B$72,$A1529+1)+F1530</f>
        <v>60070.5999167922</v>
      </c>
      <c r="G1529" s="48" t="n">
        <f aca="false">C1529*(IF($A1529&lt;$Q$1518,INDEX(Surface_Engine!$D$12:$D$72,$A1529+1)+(Surface_Engine!G251*12)*INDEX(Surface_Engine!$F$12:$F$72,$A1529+1)-(Surface_Engine!G251*12),1000*12*INDEX(Surface_Engine!$C$12:$C$72,$A1529+1)/(1+Assumptions!$B$10)^5+INDEX(Surface_Engine!$D$12:$D$72,$A1529+1)))*INDEX(Surface_Engine!$B$12:$B$72,$A1529+1)+G1530</f>
        <v>71781.294485052</v>
      </c>
      <c r="H1529" s="48" t="n">
        <f aca="false">D1529*(IF($A1529&lt;$Q$1518,INDEX(Surface_Engine!$D$12:$D$72,$A1529+1)+(Surface_Engine!G251*12)*INDEX(Surface_Engine!$F$12:$F$72,$A1529+1)-(Surface_Engine!G251*12),1000*12*INDEX(Surface_Engine!$C$12:$C$72,$A1529+1)/(1+Assumptions!$B$10)^5+INDEX(Surface_Engine!$D$12:$D$72,$A1529+1)))*INDEX(Surface_Engine!$B$12:$B$72,$A1529+1)+H1530</f>
        <v>56979.6642001763</v>
      </c>
      <c r="I1529" s="48" t="n">
        <f aca="false">E1529*(IF($A1529&lt;$Q$1518,INDEX(Surface_Engine!$D$12:$D$72,$A1529+1)+(Surface_Engine!G251*12)*INDEX(Surface_Engine!$F$12:$F$72,$A1529+1)-(Surface_Engine!G251*12),1000*12*INDEX(Surface_Engine!$C$12:$C$72,$A1529+1)/(1+Assumptions!$B$10)^5+INDEX(Surface_Engine!$D$12:$D$72,$A1529+1)))*INDEX(Surface_Engine!$B$12:$B$72,$A1529+1)+I1530</f>
        <v>63284.443972569</v>
      </c>
      <c r="J1529" s="48" t="n">
        <f aca="false">B1529*(IF($A1529&lt;$Q$1518,INDEX(Surface_Engine!$D$12:$D$72,$A1529+1)*(1+Assumptions!$B$24)+(Surface_Engine!G251*12)*INDEX(Surface_Engine!$F$12:$F$72,$A1529+1)-(Surface_Engine!G251*12),1000*12*INDEX(Surface_Engine!$C$12:$C$72,$A1529+1)/(1+Assumptions!$B$10)^5+INDEX(Surface_Engine!$D$12:$D$72,$A1529+1)*(1+Assumptions!$B$24)))*INDEX(Surface_Engine!$B$12:$B$72,$A1529+1)+J1530</f>
        <v>60118.8658243928</v>
      </c>
      <c r="K1529" s="12" t="n">
        <f aca="false">SQRT((IF(C1529&lt;=0,0,MAX(0,(B1529/C1529)*G1529/INDEX(Surface_Engine!$B$12:$B$72,$A1529+1)-F1529/INDEX(Surface_Engine!$B$12:$B$72,$A1529+1))))^2+(MAX(IF(D1529&lt;=0,0,MAX(0,(B1529/D1529)*H1529/INDEX(Surface_Engine!$B$12:$B$72,$A1529+1)-F1529/INDEX(Surface_Engine!$B$12:$B$72,$A1529+1))),IF(E1529&lt;=0,0,MAX(0,(B1529/E1529)*I1529/INDEX(Surface_Engine!$B$12:$B$72,$A1529+1)-F1529/INDEX(Surface_Engine!$B$12:$B$72,$A1529+1))),IF($A1529&lt;$Q$1518,MAX(0,-Assumptions!$B$22*(F1529/INDEX(Surface_Engine!$B$12:$B$72,$A1529+1))),0)))^2+(MAX(0,J1529/INDEX(Surface_Engine!$B$12:$B$72,$A1529+1)-(F1529/INDEX(Surface_Engine!$B$12:$B$72,$A1529+1))))^2+2*Assumptions!$B$26*(IF(C1529&lt;=0,0,MAX(0,(B1529/C1529)*G1529/INDEX(Surface_Engine!$B$12:$B$72,$A1529+1)-F1529/INDEX(Surface_Engine!$B$12:$B$72,$A1529+1))))*(MAX(IF(D1529&lt;=0,0,MAX(0,(B1529/D1529)*H1529/INDEX(Surface_Engine!$B$12:$B$72,$A1529+1)-F1529/INDEX(Surface_Engine!$B$12:$B$72,$A1529+1))),IF(E1529&lt;=0,0,MAX(0,(B1529/E1529)*I1529/INDEX(Surface_Engine!$B$12:$B$72,$A1529+1)-F1529/INDEX(Surface_Engine!$B$12:$B$72,$A1529+1))),IF($A1529&lt;$Q$1518,MAX(0,-Assumptions!$B$22*(F1529/INDEX(Surface_Engine!$B$12:$B$72,$A1529+1))),0)))+2*Assumptions!$B$27*(IF(C1529&lt;=0,0,MAX(0,(B1529/C1529)*G1529/INDEX(Surface_Engine!$B$12:$B$72,$A1529+1)-F1529/INDEX(Surface_Engine!$B$12:$B$72,$A1529+1))))*(MAX(0,J1529/INDEX(Surface_Engine!$B$12:$B$72,$A1529+1)-(F1529/INDEX(Surface_Engine!$B$12:$B$72,$A1529+1))))+2*Assumptions!$B$28*(MAX(IF(D1529&lt;=0,0,MAX(0,(B1529/D1529)*H1529/INDEX(Surface_Engine!$B$12:$B$72,$A1529+1)-F1529/INDEX(Surface_Engine!$B$12:$B$72,$A1529+1))),IF(E1529&lt;=0,0,MAX(0,(B1529/E1529)*I1529/INDEX(Surface_Engine!$B$12:$B$72,$A1529+1)-F1529/INDEX(Surface_Engine!$B$12:$B$72,$A1529+1))),IF($A1529&lt;$Q$1518,MAX(0,-Assumptions!$B$22*(F1529/INDEX(Surface_Engine!$B$12:$B$72,$A1529+1))),0)))*(MAX(0,J1529/INDEX(Surface_Engine!$B$12:$B$72,$A1529+1)-(F1529/INDEX(Surface_Engine!$B$12:$B$72,$A1529+1)))))</f>
        <v>10259.7849525784</v>
      </c>
      <c r="L1529" s="48" t="n">
        <f aca="false">K1529*INDEX(Surface_Engine!$B$12:$B$72,$A1529+1)+L1530</f>
        <v>60653.8651339211</v>
      </c>
      <c r="M1529" s="48" t="n">
        <f aca="false">M1528+B1528*(IF($A1528&lt;$Q$1518,(Surface_Engine!G251*12)-(Surface_Engine!G251*12)*INDEX(Surface_Engine!$F$12:$F$72,$A1528+1)-INDEX(Surface_Engine!$D$12:$D$72,$A1528+1),-(1000*12*INDEX(Surface_Engine!$C$12:$C$72,$A1528+1)/(1+Assumptions!$B$10)^5+INDEX(Surface_Engine!$D$12:$D$72,$A1528+1))))*INDEX(Surface_Engine!$B$12:$B$72,$A1528+1)</f>
        <v>64027.9919590927</v>
      </c>
      <c r="N1529" s="12" t="n">
        <f aca="false">IF(B1529&lt;=0,0,MAX(0,(K1529+Assumptions!$B$29*L1529/INDEX(Surface_Engine!$B$12:$B$72,$A1529+1)-(M1529/INDEX(Surface_Engine!$B$12:$B$72,$A1529+1)-(F1529/INDEX(Surface_Engine!$B$12:$B$72,$A1529+1))))/B1529))</f>
        <v>14241.3549953551</v>
      </c>
    </row>
    <row r="1530" customFormat="false" ht="15" hidden="false" customHeight="true" outlineLevel="0" collapsed="false">
      <c r="A1530" s="1" t="n">
        <v>10</v>
      </c>
      <c r="B1530" s="32" t="n">
        <f aca="false">INDEX(Surface_Engine!$V$12:$V$72,$A1530+1)*IF($A1530&lt;$Q$1518,INDEX(Surface_Engine!$E$12:$E$72,$A1530+1),INDEX(Surface_Engine!$E$12:$E$72,$Q$1518+1))</f>
        <v>0.657141263994951</v>
      </c>
      <c r="C1530" s="32" t="n">
        <f aca="false">INDEX(Panel_Reserving!$H$8:$H$68,$A1530+1)*IF($A1530&lt;$Q$1518,INDEX(Surface_Engine!$E$12:$E$72,$A1530+1),INDEX(Surface_Engine!$E$12:$E$72,$Q$1518+1))</f>
        <v>0.700686587591077</v>
      </c>
      <c r="D1530" s="32" t="n">
        <f aca="false">INDEX(Surface_Engine!$V$12:$V$72,$A1530+1)*IF($A1530&lt;$Q$1518,INDEX(Surface_Engine!$Y$12:$Y$72,$A1530+1),INDEX(Surface_Engine!$Y$12:$Y$72,$Q$1518+1))</f>
        <v>0.623328027460645</v>
      </c>
      <c r="E1530" s="32" t="n">
        <f aca="false">INDEX(Surface_Engine!$V$12:$V$72,$A1530+1)*IF($A1530&lt;$Q$1518,INDEX(Surface_Engine!$Z$12:$Z$72,$A1530+1),INDEX(Surface_Engine!$Z$12:$Z$72,$Q$1518+1))</f>
        <v>0.692299054128914</v>
      </c>
      <c r="F1530" s="48" t="n">
        <f aca="false">B1530*(IF($A1530&lt;$Q$1518,INDEX(Surface_Engine!$D$12:$D$72,$A1530+1)+(Surface_Engine!G251*12)*INDEX(Surface_Engine!$F$12:$F$72,$A1530+1)-(Surface_Engine!G251*12),1000*12*INDEX(Surface_Engine!$C$12:$C$72,$A1530+1)/(1+Assumptions!$B$10)^5+INDEX(Surface_Engine!$D$12:$D$72,$A1530+1)))*INDEX(Surface_Engine!$B$12:$B$72,$A1530+1)+F1531</f>
        <v>53037.2784152536</v>
      </c>
      <c r="G1530" s="48" t="n">
        <f aca="false">C1530*(IF($A1530&lt;$Q$1518,INDEX(Surface_Engine!$D$12:$D$72,$A1530+1)+(Surface_Engine!G251*12)*INDEX(Surface_Engine!$F$12:$F$72,$A1530+1)-(Surface_Engine!G251*12),1000*12*INDEX(Surface_Engine!$C$12:$C$72,$A1530+1)/(1+Assumptions!$B$10)^5+INDEX(Surface_Engine!$D$12:$D$72,$A1530+1)))*INDEX(Surface_Engine!$B$12:$B$72,$A1530+1)+G1531</f>
        <v>64359.8787483962</v>
      </c>
      <c r="H1530" s="48" t="n">
        <f aca="false">D1530*(IF($A1530&lt;$Q$1518,INDEX(Surface_Engine!$D$12:$D$72,$A1530+1)+(Surface_Engine!G251*12)*INDEX(Surface_Engine!$F$12:$F$72,$A1530+1)-(Surface_Engine!G251*12),1000*12*INDEX(Surface_Engine!$C$12:$C$72,$A1530+1)/(1+Assumptions!$B$10)^5+INDEX(Surface_Engine!$D$12:$D$72,$A1530+1)))*INDEX(Surface_Engine!$B$12:$B$72,$A1530+1)+H1531</f>
        <v>50308.2426075059</v>
      </c>
      <c r="I1530" s="48" t="n">
        <f aca="false">E1530*(IF($A1530&lt;$Q$1518,INDEX(Surface_Engine!$D$12:$D$72,$A1530+1)+(Surface_Engine!G251*12)*INDEX(Surface_Engine!$F$12:$F$72,$A1530+1)-(Surface_Engine!G251*12),1000*12*INDEX(Surface_Engine!$C$12:$C$72,$A1530+1)/(1+Assumptions!$B$10)^5+INDEX(Surface_Engine!$D$12:$D$72,$A1530+1)))*INDEX(Surface_Engine!$B$12:$B$72,$A1530+1)+I1531</f>
        <v>55874.8319307096</v>
      </c>
      <c r="J1530" s="48" t="n">
        <f aca="false">B1530*(IF($A1530&lt;$Q$1518,INDEX(Surface_Engine!$D$12:$D$72,$A1530+1)*(1+Assumptions!$B$24)+(Surface_Engine!G251*12)*INDEX(Surface_Engine!$F$12:$F$72,$A1530+1)-(Surface_Engine!G251*12),1000*12*INDEX(Surface_Engine!$C$12:$C$72,$A1530+1)/(1+Assumptions!$B$10)^5+INDEX(Surface_Engine!$D$12:$D$72,$A1530+1)*(1+Assumptions!$B$24)))*INDEX(Surface_Engine!$B$12:$B$72,$A1530+1)+J1531</f>
        <v>53080.0426263892</v>
      </c>
      <c r="K1530" s="12" t="n">
        <f aca="false">SQRT((IF(C1530&lt;=0,0,MAX(0,(B1530/C1530)*G1530/INDEX(Surface_Engine!$B$12:$B$72,$A1530+1)-F1530/INDEX(Surface_Engine!$B$12:$B$72,$A1530+1))))^2+(MAX(IF(D1530&lt;=0,0,MAX(0,(B1530/D1530)*H1530/INDEX(Surface_Engine!$B$12:$B$72,$A1530+1)-F1530/INDEX(Surface_Engine!$B$12:$B$72,$A1530+1))),IF(E1530&lt;=0,0,MAX(0,(B1530/E1530)*I1530/INDEX(Surface_Engine!$B$12:$B$72,$A1530+1)-F1530/INDEX(Surface_Engine!$B$12:$B$72,$A1530+1))),IF($A1530&lt;$Q$1518,MAX(0,-Assumptions!$B$22*(F1530/INDEX(Surface_Engine!$B$12:$B$72,$A1530+1))),0)))^2+(MAX(0,J1530/INDEX(Surface_Engine!$B$12:$B$72,$A1530+1)-(F1530/INDEX(Surface_Engine!$B$12:$B$72,$A1530+1))))^2+2*Assumptions!$B$26*(IF(C1530&lt;=0,0,MAX(0,(B1530/C1530)*G1530/INDEX(Surface_Engine!$B$12:$B$72,$A1530+1)-F1530/INDEX(Surface_Engine!$B$12:$B$72,$A1530+1))))*(MAX(IF(D1530&lt;=0,0,MAX(0,(B1530/D1530)*H1530/INDEX(Surface_Engine!$B$12:$B$72,$A1530+1)-F1530/INDEX(Surface_Engine!$B$12:$B$72,$A1530+1))),IF(E1530&lt;=0,0,MAX(0,(B1530/E1530)*I1530/INDEX(Surface_Engine!$B$12:$B$72,$A1530+1)-F1530/INDEX(Surface_Engine!$B$12:$B$72,$A1530+1))),IF($A1530&lt;$Q$1518,MAX(0,-Assumptions!$B$22*(F1530/INDEX(Surface_Engine!$B$12:$B$72,$A1530+1))),0)))+2*Assumptions!$B$27*(IF(C1530&lt;=0,0,MAX(0,(B1530/C1530)*G1530/INDEX(Surface_Engine!$B$12:$B$72,$A1530+1)-F1530/INDEX(Surface_Engine!$B$12:$B$72,$A1530+1))))*(MAX(0,J1530/INDEX(Surface_Engine!$B$12:$B$72,$A1530+1)-(F1530/INDEX(Surface_Engine!$B$12:$B$72,$A1530+1))))+2*Assumptions!$B$28*(MAX(IF(D1530&lt;=0,0,MAX(0,(B1530/D1530)*H1530/INDEX(Surface_Engine!$B$12:$B$72,$A1530+1)-F1530/INDEX(Surface_Engine!$B$12:$B$72,$A1530+1))),IF(E1530&lt;=0,0,MAX(0,(B1530/E1530)*I1530/INDEX(Surface_Engine!$B$12:$B$72,$A1530+1)-F1530/INDEX(Surface_Engine!$B$12:$B$72,$A1530+1))),IF($A1530&lt;$Q$1518,MAX(0,-Assumptions!$B$22*(F1530/INDEX(Surface_Engine!$B$12:$B$72,$A1530+1))),0)))*(MAX(0,J1530/INDEX(Surface_Engine!$B$12:$B$72,$A1530+1)-(F1530/INDEX(Surface_Engine!$B$12:$B$72,$A1530+1)))))</f>
        <v>9770.99080805119</v>
      </c>
      <c r="L1530" s="48" t="n">
        <f aca="false">K1530*INDEX(Surface_Engine!$B$12:$B$72,$A1530+1)+L1531</f>
        <v>52684.6856988611</v>
      </c>
      <c r="M1530" s="48" t="n">
        <f aca="false">M1529+B1529*(IF($A1529&lt;$Q$1518,(Surface_Engine!G251*12)-(Surface_Engine!G251*12)*INDEX(Surface_Engine!$F$12:$F$72,$A1529+1)-INDEX(Surface_Engine!$D$12:$D$72,$A1529+1),-(1000*12*INDEX(Surface_Engine!$C$12:$C$72,$A1529+1)/(1+Assumptions!$B$10)^5+INDEX(Surface_Engine!$D$12:$D$72,$A1529+1))))*INDEX(Surface_Engine!$B$12:$B$72,$A1529+1)</f>
        <v>56994.6704575541</v>
      </c>
      <c r="N1530" s="12" t="n">
        <f aca="false">IF(B1530&lt;=0,0,MAX(0,(K1530+Assumptions!$B$29*L1530/INDEX(Surface_Engine!$B$12:$B$72,$A1530+1)-(M1530/INDEX(Surface_Engine!$B$12:$B$72,$A1530+1)-(F1530/INDEX(Surface_Engine!$B$12:$B$72,$A1530+1))))/B1530))</f>
        <v>13254.4207695989</v>
      </c>
    </row>
    <row r="1531" customFormat="false" ht="15" hidden="false" customHeight="true" outlineLevel="0" collapsed="false">
      <c r="A1531" s="1" t="n">
        <v>11</v>
      </c>
      <c r="B1531" s="32" t="n">
        <f aca="false">INDEX(Surface_Engine!$V$12:$V$72,$A1531+1)*IF($A1531&lt;$Q$1518,INDEX(Surface_Engine!$E$12:$E$72,$A1531+1),INDEX(Surface_Engine!$E$12:$E$72,$Q$1518+1))</f>
        <v>0.619170785936107</v>
      </c>
      <c r="C1531" s="32" t="n">
        <f aca="false">INDEX(Panel_Reserving!$H$8:$H$68,$A1531+1)*IF($A1531&lt;$Q$1518,INDEX(Surface_Engine!$E$12:$E$72,$A1531+1),INDEX(Surface_Engine!$E$12:$E$72,$Q$1518+1))</f>
        <v>0.668297320737237</v>
      </c>
      <c r="D1531" s="32" t="n">
        <f aca="false">INDEX(Surface_Engine!$V$12:$V$72,$A1531+1)*IF($A1531&lt;$Q$1518,INDEX(Surface_Engine!$Y$12:$Y$72,$A1531+1),INDEX(Surface_Engine!$Y$12:$Y$72,$Q$1518+1))</f>
        <v>0.587311322245283</v>
      </c>
      <c r="E1531" s="32" t="n">
        <f aca="false">INDEX(Surface_Engine!$V$12:$V$72,$A1531+1)*IF($A1531&lt;$Q$1518,INDEX(Surface_Engine!$Z$12:$Z$72,$A1531+1),INDEX(Surface_Engine!$Z$12:$Z$72,$Q$1518+1))</f>
        <v>0.652297113168527</v>
      </c>
      <c r="F1531" s="48" t="n">
        <f aca="false">B1531*(IF($A1531&lt;$Q$1518,INDEX(Surface_Engine!$D$12:$D$72,$A1531+1)+(Surface_Engine!G251*12)*INDEX(Surface_Engine!$F$12:$F$72,$A1531+1)-(Surface_Engine!G251*12),1000*12*INDEX(Surface_Engine!$C$12:$C$72,$A1531+1)/(1+Assumptions!$B$10)^5+INDEX(Surface_Engine!$D$12:$D$72,$A1531+1)))*INDEX(Surface_Engine!$B$12:$B$72,$A1531+1)+F1532</f>
        <v>46450.8486559923</v>
      </c>
      <c r="G1531" s="48" t="n">
        <f aca="false">C1531*(IF($A1531&lt;$Q$1518,INDEX(Surface_Engine!$D$12:$D$72,$A1531+1)+(Surface_Engine!G251*12)*INDEX(Surface_Engine!$F$12:$F$72,$A1531+1)-(Surface_Engine!G251*12),1000*12*INDEX(Surface_Engine!$C$12:$C$72,$A1531+1)/(1+Assumptions!$B$10)^5+INDEX(Surface_Engine!$D$12:$D$72,$A1531+1)))*INDEX(Surface_Engine!$B$12:$B$72,$A1531+1)+G1532</f>
        <v>57337.0006470135</v>
      </c>
      <c r="H1531" s="48" t="n">
        <f aca="false">D1531*(IF($A1531&lt;$Q$1518,INDEX(Surface_Engine!$D$12:$D$72,$A1531+1)+(Surface_Engine!G251*12)*INDEX(Surface_Engine!$F$12:$F$72,$A1531+1)-(Surface_Engine!G251*12),1000*12*INDEX(Surface_Engine!$C$12:$C$72,$A1531+1)/(1+Assumptions!$B$10)^5+INDEX(Surface_Engine!$D$12:$D$72,$A1531+1)))*INDEX(Surface_Engine!$B$12:$B$72,$A1531+1)+H1532</f>
        <v>44060.7179202114</v>
      </c>
      <c r="I1531" s="48" t="n">
        <f aca="false">E1531*(IF($A1531&lt;$Q$1518,INDEX(Surface_Engine!$D$12:$D$72,$A1531+1)+(Surface_Engine!G251*12)*INDEX(Surface_Engine!$F$12:$F$72,$A1531+1)-(Surface_Engine!G251*12),1000*12*INDEX(Surface_Engine!$C$12:$C$72,$A1531+1)/(1+Assumptions!$B$10)^5+INDEX(Surface_Engine!$D$12:$D$72,$A1531+1)))*INDEX(Surface_Engine!$B$12:$B$72,$A1531+1)+I1532</f>
        <v>48936.020837486</v>
      </c>
      <c r="J1531" s="48" t="n">
        <f aca="false">B1531*(IF($A1531&lt;$Q$1518,INDEX(Surface_Engine!$D$12:$D$72,$A1531+1)*(1+Assumptions!$B$24)+(Surface_Engine!G251*12)*INDEX(Surface_Engine!$F$12:$F$72,$A1531+1)-(Surface_Engine!G251*12),1000*12*INDEX(Surface_Engine!$C$12:$C$72,$A1531+1)/(1+Assumptions!$B$10)^5+INDEX(Surface_Engine!$D$12:$D$72,$A1531+1)*(1+Assumptions!$B$24)))*INDEX(Surface_Engine!$B$12:$B$72,$A1531+1)+J1532</f>
        <v>46488.4356871624</v>
      </c>
      <c r="K1531" s="12" t="n">
        <f aca="false">SQRT((IF(C1531&lt;=0,0,MAX(0,(B1531/C1531)*G1531/INDEX(Surface_Engine!$B$12:$B$72,$A1531+1)-F1531/INDEX(Surface_Engine!$B$12:$B$72,$A1531+1))))^2+(MAX(IF(D1531&lt;=0,0,MAX(0,(B1531/D1531)*H1531/INDEX(Surface_Engine!$B$12:$B$72,$A1531+1)-F1531/INDEX(Surface_Engine!$B$12:$B$72,$A1531+1))),IF(E1531&lt;=0,0,MAX(0,(B1531/E1531)*I1531/INDEX(Surface_Engine!$B$12:$B$72,$A1531+1)-F1531/INDEX(Surface_Engine!$B$12:$B$72,$A1531+1))),IF($A1531&lt;$Q$1518,MAX(0,-Assumptions!$B$22*(F1531/INDEX(Surface_Engine!$B$12:$B$72,$A1531+1))),0)))^2+(MAX(0,J1531/INDEX(Surface_Engine!$B$12:$B$72,$A1531+1)-(F1531/INDEX(Surface_Engine!$B$12:$B$72,$A1531+1))))^2+2*Assumptions!$B$26*(IF(C1531&lt;=0,0,MAX(0,(B1531/C1531)*G1531/INDEX(Surface_Engine!$B$12:$B$72,$A1531+1)-F1531/INDEX(Surface_Engine!$B$12:$B$72,$A1531+1))))*(MAX(IF(D1531&lt;=0,0,MAX(0,(B1531/D1531)*H1531/INDEX(Surface_Engine!$B$12:$B$72,$A1531+1)-F1531/INDEX(Surface_Engine!$B$12:$B$72,$A1531+1))),IF(E1531&lt;=0,0,MAX(0,(B1531/E1531)*I1531/INDEX(Surface_Engine!$B$12:$B$72,$A1531+1)-F1531/INDEX(Surface_Engine!$B$12:$B$72,$A1531+1))),IF($A1531&lt;$Q$1518,MAX(0,-Assumptions!$B$22*(F1531/INDEX(Surface_Engine!$B$12:$B$72,$A1531+1))),0)))+2*Assumptions!$B$27*(IF(C1531&lt;=0,0,MAX(0,(B1531/C1531)*G1531/INDEX(Surface_Engine!$B$12:$B$72,$A1531+1)-F1531/INDEX(Surface_Engine!$B$12:$B$72,$A1531+1))))*(MAX(0,J1531/INDEX(Surface_Engine!$B$12:$B$72,$A1531+1)-(F1531/INDEX(Surface_Engine!$B$12:$B$72,$A1531+1))))+2*Assumptions!$B$28*(MAX(IF(D1531&lt;=0,0,MAX(0,(B1531/D1531)*H1531/INDEX(Surface_Engine!$B$12:$B$72,$A1531+1)-F1531/INDEX(Surface_Engine!$B$12:$B$72,$A1531+1))),IF(E1531&lt;=0,0,MAX(0,(B1531/E1531)*I1531/INDEX(Surface_Engine!$B$12:$B$72,$A1531+1)-F1531/INDEX(Surface_Engine!$B$12:$B$72,$A1531+1))),IF($A1531&lt;$Q$1518,MAX(0,-Assumptions!$B$22*(F1531/INDEX(Surface_Engine!$B$12:$B$72,$A1531+1))),0)))*(MAX(0,J1531/INDEX(Surface_Engine!$B$12:$B$72,$A1531+1)-(F1531/INDEX(Surface_Engine!$B$12:$B$72,$A1531+1)))))</f>
        <v>9189.69316110911</v>
      </c>
      <c r="L1531" s="48" t="n">
        <f aca="false">K1531*INDEX(Surface_Engine!$B$12:$B$72,$A1531+1)+L1532</f>
        <v>45351.0282314821</v>
      </c>
      <c r="M1531" s="48" t="n">
        <f aca="false">M1530+B1530*(IF($A1530&lt;$Q$1518,(Surface_Engine!G251*12)-(Surface_Engine!G251*12)*INDEX(Surface_Engine!$F$12:$F$72,$A1530+1)-INDEX(Surface_Engine!$D$12:$D$72,$A1530+1),-(1000*12*INDEX(Surface_Engine!$C$12:$C$72,$A1530+1)/(1+Assumptions!$B$10)^5+INDEX(Surface_Engine!$D$12:$D$72,$A1530+1))))*INDEX(Surface_Engine!$B$12:$B$72,$A1530+1)</f>
        <v>50408.2406982928</v>
      </c>
      <c r="N1531" s="12" t="n">
        <f aca="false">IF(B1531&lt;=0,0,MAX(0,(K1531+Assumptions!$B$29*L1531/INDEX(Surface_Engine!$B$12:$B$72,$A1531+1)-(M1531/INDEX(Surface_Engine!$B$12:$B$72,$A1531+1)-(F1531/INDEX(Surface_Engine!$B$12:$B$72,$A1531+1))))/B1531))</f>
        <v>12095.3304823952</v>
      </c>
    </row>
    <row r="1532" customFormat="false" ht="15" hidden="false" customHeight="true" outlineLevel="0" collapsed="false">
      <c r="A1532" s="1" t="n">
        <v>12</v>
      </c>
      <c r="B1532" s="32" t="n">
        <f aca="false">INDEX(Surface_Engine!$V$12:$V$72,$A1532+1)*IF($A1532&lt;$Q$1518,INDEX(Surface_Engine!$E$12:$E$72,$A1532+1),INDEX(Surface_Engine!$E$12:$E$72,$Q$1518+1))</f>
        <v>0.578837646339104</v>
      </c>
      <c r="C1532" s="32" t="n">
        <f aca="false">INDEX(Panel_Reserving!$H$8:$H$68,$A1532+1)*IF($A1532&lt;$Q$1518,INDEX(Surface_Engine!$E$12:$E$72,$A1532+1),INDEX(Surface_Engine!$E$12:$E$72,$Q$1518+1))</f>
        <v>0.633470704570137</v>
      </c>
      <c r="D1532" s="32" t="n">
        <f aca="false">INDEX(Surface_Engine!$V$12:$V$72,$A1532+1)*IF($A1532&lt;$Q$1518,INDEX(Surface_Engine!$Y$12:$Y$72,$A1532+1),INDEX(Surface_Engine!$Y$12:$Y$72,$Q$1518+1))</f>
        <v>0.549053526359119</v>
      </c>
      <c r="E1532" s="32" t="n">
        <f aca="false">INDEX(Surface_Engine!$V$12:$V$72,$A1532+1)*IF($A1532&lt;$Q$1518,INDEX(Surface_Engine!$Z$12:$Z$72,$A1532+1),INDEX(Surface_Engine!$Z$12:$Z$72,$Q$1518+1))</f>
        <v>0.609806105644049</v>
      </c>
      <c r="F1532" s="48" t="n">
        <f aca="false">B1532*(IF($A1532&lt;$Q$1518,INDEX(Surface_Engine!$D$12:$D$72,$A1532+1)+(Surface_Engine!G251*12)*INDEX(Surface_Engine!$F$12:$F$72,$A1532+1)-(Surface_Engine!G251*12),1000*12*INDEX(Surface_Engine!$C$12:$C$72,$A1532+1)/(1+Assumptions!$B$10)^5+INDEX(Surface_Engine!$D$12:$D$72,$A1532+1)))*INDEX(Surface_Engine!$B$12:$B$72,$A1532+1)+F1533</f>
        <v>40319.3807323043</v>
      </c>
      <c r="G1532" s="48" t="n">
        <f aca="false">C1532*(IF($A1532&lt;$Q$1518,INDEX(Surface_Engine!$D$12:$D$72,$A1532+1)+(Surface_Engine!G251*12)*INDEX(Surface_Engine!$F$12:$F$72,$A1532+1)-(Surface_Engine!G251*12),1000*12*INDEX(Surface_Engine!$C$12:$C$72,$A1532+1)/(1+Assumptions!$B$10)^5+INDEX(Surface_Engine!$D$12:$D$72,$A1532+1)))*INDEX(Surface_Engine!$B$12:$B$72,$A1532+1)+G1533</f>
        <v>50719.0469601451</v>
      </c>
      <c r="H1532" s="48" t="n">
        <f aca="false">D1532*(IF($A1532&lt;$Q$1518,INDEX(Surface_Engine!$D$12:$D$72,$A1532+1)+(Surface_Engine!G251*12)*INDEX(Surface_Engine!$F$12:$F$72,$A1532+1)-(Surface_Engine!G251*12),1000*12*INDEX(Surface_Engine!$C$12:$C$72,$A1532+1)/(1+Assumptions!$B$10)^5+INDEX(Surface_Engine!$D$12:$D$72,$A1532+1)))*INDEX(Surface_Engine!$B$12:$B$72,$A1532+1)+H1533</f>
        <v>38244.7449845351</v>
      </c>
      <c r="I1532" s="48" t="n">
        <f aca="false">E1532*(IF($A1532&lt;$Q$1518,INDEX(Surface_Engine!$D$12:$D$72,$A1532+1)+(Surface_Engine!G251*12)*INDEX(Surface_Engine!$F$12:$F$72,$A1532+1)-(Surface_Engine!G251*12),1000*12*INDEX(Surface_Engine!$C$12:$C$72,$A1532+1)/(1+Assumptions!$B$10)^5+INDEX(Surface_Engine!$D$12:$D$72,$A1532+1)))*INDEX(Surface_Engine!$B$12:$B$72,$A1532+1)+I1533</f>
        <v>42476.5125451813</v>
      </c>
      <c r="J1532" s="48" t="n">
        <f aca="false">B1532*(IF($A1532&lt;$Q$1518,INDEX(Surface_Engine!$D$12:$D$72,$A1532+1)*(1+Assumptions!$B$24)+(Surface_Engine!G251*12)*INDEX(Surface_Engine!$F$12:$F$72,$A1532+1)-(Surface_Engine!G251*12),1000*12*INDEX(Surface_Engine!$C$12:$C$72,$A1532+1)/(1+Assumptions!$B$10)^5+INDEX(Surface_Engine!$D$12:$D$72,$A1532+1)*(1+Assumptions!$B$24)))*INDEX(Surface_Engine!$B$12:$B$72,$A1532+1)+J1533</f>
        <v>40352.1247618144</v>
      </c>
      <c r="K1532" s="12" t="n">
        <f aca="false">SQRT((IF(C1532&lt;=0,0,MAX(0,(B1532/C1532)*G1532/INDEX(Surface_Engine!$B$12:$B$72,$A1532+1)-F1532/INDEX(Surface_Engine!$B$12:$B$72,$A1532+1))))^2+(MAX(IF(D1532&lt;=0,0,MAX(0,(B1532/D1532)*H1532/INDEX(Surface_Engine!$B$12:$B$72,$A1532+1)-F1532/INDEX(Surface_Engine!$B$12:$B$72,$A1532+1))),IF(E1532&lt;=0,0,MAX(0,(B1532/E1532)*I1532/INDEX(Surface_Engine!$B$12:$B$72,$A1532+1)-F1532/INDEX(Surface_Engine!$B$12:$B$72,$A1532+1))),IF($A1532&lt;$Q$1518,MAX(0,-Assumptions!$B$22*(F1532/INDEX(Surface_Engine!$B$12:$B$72,$A1532+1))),0)))^2+(MAX(0,J1532/INDEX(Surface_Engine!$B$12:$B$72,$A1532+1)-(F1532/INDEX(Surface_Engine!$B$12:$B$72,$A1532+1))))^2+2*Assumptions!$B$26*(IF(C1532&lt;=0,0,MAX(0,(B1532/C1532)*G1532/INDEX(Surface_Engine!$B$12:$B$72,$A1532+1)-F1532/INDEX(Surface_Engine!$B$12:$B$72,$A1532+1))))*(MAX(IF(D1532&lt;=0,0,MAX(0,(B1532/D1532)*H1532/INDEX(Surface_Engine!$B$12:$B$72,$A1532+1)-F1532/INDEX(Surface_Engine!$B$12:$B$72,$A1532+1))),IF(E1532&lt;=0,0,MAX(0,(B1532/E1532)*I1532/INDEX(Surface_Engine!$B$12:$B$72,$A1532+1)-F1532/INDEX(Surface_Engine!$B$12:$B$72,$A1532+1))),IF($A1532&lt;$Q$1518,MAX(0,-Assumptions!$B$22*(F1532/INDEX(Surface_Engine!$B$12:$B$72,$A1532+1))),0)))+2*Assumptions!$B$27*(IF(C1532&lt;=0,0,MAX(0,(B1532/C1532)*G1532/INDEX(Surface_Engine!$B$12:$B$72,$A1532+1)-F1532/INDEX(Surface_Engine!$B$12:$B$72,$A1532+1))))*(MAX(0,J1532/INDEX(Surface_Engine!$B$12:$B$72,$A1532+1)-(F1532/INDEX(Surface_Engine!$B$12:$B$72,$A1532+1))))+2*Assumptions!$B$28*(MAX(IF(D1532&lt;=0,0,MAX(0,(B1532/D1532)*H1532/INDEX(Surface_Engine!$B$12:$B$72,$A1532+1)-F1532/INDEX(Surface_Engine!$B$12:$B$72,$A1532+1))),IF(E1532&lt;=0,0,MAX(0,(B1532/E1532)*I1532/INDEX(Surface_Engine!$B$12:$B$72,$A1532+1)-F1532/INDEX(Surface_Engine!$B$12:$B$72,$A1532+1))),IF($A1532&lt;$Q$1518,MAX(0,-Assumptions!$B$22*(F1532/INDEX(Surface_Engine!$B$12:$B$72,$A1532+1))),0)))*(MAX(0,J1532/INDEX(Surface_Engine!$B$12:$B$72,$A1532+1)-(F1532/INDEX(Surface_Engine!$B$12:$B$72,$A1532+1)))))</f>
        <v>8594.62908892064</v>
      </c>
      <c r="L1532" s="48" t="n">
        <f aca="false">K1532*INDEX(Surface_Engine!$B$12:$B$72,$A1532+1)+L1533</f>
        <v>38670.2231663547</v>
      </c>
      <c r="M1532" s="48" t="n">
        <f aca="false">M1531+B1531*(IF($A1531&lt;$Q$1518,(Surface_Engine!G251*12)-(Surface_Engine!G251*12)*INDEX(Surface_Engine!$F$12:$F$72,$A1531+1)-INDEX(Surface_Engine!$D$12:$D$72,$A1531+1),-(1000*12*INDEX(Surface_Engine!$C$12:$C$72,$A1531+1)/(1+Assumptions!$B$10)^5+INDEX(Surface_Engine!$D$12:$D$72,$A1531+1))))*INDEX(Surface_Engine!$B$12:$B$72,$A1531+1)</f>
        <v>44276.7727746048</v>
      </c>
      <c r="N1532" s="12" t="n">
        <f aca="false">IF(B1532&lt;=0,0,MAX(0,(K1532+Assumptions!$B$29*L1532/INDEX(Surface_Engine!$B$12:$B$72,$A1532+1)-(M1532/INDEX(Surface_Engine!$B$12:$B$72,$A1532+1)-(F1532/INDEX(Surface_Engine!$B$12:$B$72,$A1532+1))))/B1532))</f>
        <v>10819.2314386471</v>
      </c>
    </row>
    <row r="1533" customFormat="false" ht="15" hidden="false" customHeight="true" outlineLevel="0" collapsed="false">
      <c r="A1533" s="1" t="n">
        <v>13</v>
      </c>
      <c r="B1533" s="32" t="n">
        <f aca="false">INDEX(Surface_Engine!$V$12:$V$72,$A1533+1)*IF($A1533&lt;$Q$1518,INDEX(Surface_Engine!$E$12:$E$72,$A1533+1),INDEX(Surface_Engine!$E$12:$E$72,$Q$1518+1))</f>
        <v>0.536335653167601</v>
      </c>
      <c r="C1533" s="32" t="n">
        <f aca="false">INDEX(Panel_Reserving!$H$8:$H$68,$A1533+1)*IF($A1533&lt;$Q$1518,INDEX(Surface_Engine!$E$12:$E$72,$A1533+1),INDEX(Surface_Engine!$E$12:$E$72,$Q$1518+1))</f>
        <v>0.596259900842676</v>
      </c>
      <c r="D1533" s="32" t="n">
        <f aca="false">INDEX(Surface_Engine!$V$12:$V$72,$A1533+1)*IF($A1533&lt;$Q$1518,INDEX(Surface_Engine!$Y$12:$Y$72,$A1533+1),INDEX(Surface_Engine!$Y$12:$Y$72,$Q$1518+1))</f>
        <v>0.508738475367369</v>
      </c>
      <c r="E1533" s="32" t="n">
        <f aca="false">INDEX(Surface_Engine!$V$12:$V$72,$A1533+1)*IF($A1533&lt;$Q$1518,INDEX(Surface_Engine!$Z$12:$Z$72,$A1533+1),INDEX(Surface_Engine!$Z$12:$Z$72,$Q$1518+1))</f>
        <v>0.56503020846123</v>
      </c>
      <c r="F1533" s="48" t="n">
        <f aca="false">B1533*(IF($A1533&lt;$Q$1518,INDEX(Surface_Engine!$D$12:$D$72,$A1533+1)+(Surface_Engine!G251*12)*INDEX(Surface_Engine!$F$12:$F$72,$A1533+1)-(Surface_Engine!G251*12),1000*12*INDEX(Surface_Engine!$C$12:$C$72,$A1533+1)/(1+Assumptions!$B$10)^5+INDEX(Surface_Engine!$D$12:$D$72,$A1533+1)))*INDEX(Surface_Engine!$B$12:$B$72,$A1533+1)+F1534</f>
        <v>34673.1571880467</v>
      </c>
      <c r="G1533" s="48" t="n">
        <f aca="false">C1533*(IF($A1533&lt;$Q$1518,INDEX(Surface_Engine!$D$12:$D$72,$A1533+1)+(Surface_Engine!G251*12)*INDEX(Surface_Engine!$F$12:$F$72,$A1533+1)-(Surface_Engine!G251*12),1000*12*INDEX(Surface_Engine!$C$12:$C$72,$A1533+1)/(1+Assumptions!$B$10)^5+INDEX(Surface_Engine!$D$12:$D$72,$A1533+1)))*INDEX(Surface_Engine!$B$12:$B$72,$A1533+1)+G1534</f>
        <v>44539.9098059491</v>
      </c>
      <c r="H1533" s="48" t="n">
        <f aca="false">D1533*(IF($A1533&lt;$Q$1518,INDEX(Surface_Engine!$D$12:$D$72,$A1533+1)+(Surface_Engine!G251*12)*INDEX(Surface_Engine!$F$12:$F$72,$A1533+1)-(Surface_Engine!G251*12),1000*12*INDEX(Surface_Engine!$C$12:$C$72,$A1533+1)/(1+Assumptions!$B$10)^5+INDEX(Surface_Engine!$D$12:$D$72,$A1533+1)))*INDEX(Surface_Engine!$B$12:$B$72,$A1533+1)+H1534</f>
        <v>32889.0481545291</v>
      </c>
      <c r="I1533" s="48" t="n">
        <f aca="false">E1533*(IF($A1533&lt;$Q$1518,INDEX(Surface_Engine!$D$12:$D$72,$A1533+1)+(Surface_Engine!G251*12)*INDEX(Surface_Engine!$F$12:$F$72,$A1533+1)-(Surface_Engine!G251*12),1000*12*INDEX(Surface_Engine!$C$12:$C$72,$A1533+1)/(1+Assumptions!$B$10)^5+INDEX(Surface_Engine!$D$12:$D$72,$A1533+1)))*INDEX(Surface_Engine!$B$12:$B$72,$A1533+1)+I1534</f>
        <v>36528.2097475047</v>
      </c>
      <c r="J1533" s="48" t="n">
        <f aca="false">B1533*(IF($A1533&lt;$Q$1518,INDEX(Surface_Engine!$D$12:$D$72,$A1533+1)*(1+Assumptions!$B$24)+(Surface_Engine!G251*12)*INDEX(Surface_Engine!$F$12:$F$72,$A1533+1)-(Surface_Engine!G251*12),1000*12*INDEX(Surface_Engine!$C$12:$C$72,$A1533+1)/(1+Assumptions!$B$10)^5+INDEX(Surface_Engine!$D$12:$D$72,$A1533+1)*(1+Assumptions!$B$24)))*INDEX(Surface_Engine!$B$12:$B$72,$A1533+1)+J1534</f>
        <v>34701.4198031644</v>
      </c>
      <c r="K1533" s="12" t="n">
        <f aca="false">SQRT((IF(C1533&lt;=0,0,MAX(0,(B1533/C1533)*G1533/INDEX(Surface_Engine!$B$12:$B$72,$A1533+1)-F1533/INDEX(Surface_Engine!$B$12:$B$72,$A1533+1))))^2+(MAX(IF(D1533&lt;=0,0,MAX(0,(B1533/D1533)*H1533/INDEX(Surface_Engine!$B$12:$B$72,$A1533+1)-F1533/INDEX(Surface_Engine!$B$12:$B$72,$A1533+1))),IF(E1533&lt;=0,0,MAX(0,(B1533/E1533)*I1533/INDEX(Surface_Engine!$B$12:$B$72,$A1533+1)-F1533/INDEX(Surface_Engine!$B$12:$B$72,$A1533+1))),IF($A1533&lt;$Q$1518,MAX(0,-Assumptions!$B$22*(F1533/INDEX(Surface_Engine!$B$12:$B$72,$A1533+1))),0)))^2+(MAX(0,J1533/INDEX(Surface_Engine!$B$12:$B$72,$A1533+1)-(F1533/INDEX(Surface_Engine!$B$12:$B$72,$A1533+1))))^2+2*Assumptions!$B$26*(IF(C1533&lt;=0,0,MAX(0,(B1533/C1533)*G1533/INDEX(Surface_Engine!$B$12:$B$72,$A1533+1)-F1533/INDEX(Surface_Engine!$B$12:$B$72,$A1533+1))))*(MAX(IF(D1533&lt;=0,0,MAX(0,(B1533/D1533)*H1533/INDEX(Surface_Engine!$B$12:$B$72,$A1533+1)-F1533/INDEX(Surface_Engine!$B$12:$B$72,$A1533+1))),IF(E1533&lt;=0,0,MAX(0,(B1533/E1533)*I1533/INDEX(Surface_Engine!$B$12:$B$72,$A1533+1)-F1533/INDEX(Surface_Engine!$B$12:$B$72,$A1533+1))),IF($A1533&lt;$Q$1518,MAX(0,-Assumptions!$B$22*(F1533/INDEX(Surface_Engine!$B$12:$B$72,$A1533+1))),0)))+2*Assumptions!$B$27*(IF(C1533&lt;=0,0,MAX(0,(B1533/C1533)*G1533/INDEX(Surface_Engine!$B$12:$B$72,$A1533+1)-F1533/INDEX(Surface_Engine!$B$12:$B$72,$A1533+1))))*(MAX(0,J1533/INDEX(Surface_Engine!$B$12:$B$72,$A1533+1)-(F1533/INDEX(Surface_Engine!$B$12:$B$72,$A1533+1))))+2*Assumptions!$B$28*(MAX(IF(D1533&lt;=0,0,MAX(0,(B1533/D1533)*H1533/INDEX(Surface_Engine!$B$12:$B$72,$A1533+1)-F1533/INDEX(Surface_Engine!$B$12:$B$72,$A1533+1))),IF(E1533&lt;=0,0,MAX(0,(B1533/E1533)*I1533/INDEX(Surface_Engine!$B$12:$B$72,$A1533+1)-F1533/INDEX(Surface_Engine!$B$12:$B$72,$A1533+1))),IF($A1533&lt;$Q$1518,MAX(0,-Assumptions!$B$22*(F1533/INDEX(Surface_Engine!$B$12:$B$72,$A1533+1))),0)))*(MAX(0,J1533/INDEX(Surface_Engine!$B$12:$B$72,$A1533+1)-(F1533/INDEX(Surface_Engine!$B$12:$B$72,$A1533+1)))))</f>
        <v>7959.66092929568</v>
      </c>
      <c r="L1533" s="48" t="n">
        <f aca="false">K1533*INDEX(Surface_Engine!$B$12:$B$72,$A1533+1)+L1534</f>
        <v>32636.5019849235</v>
      </c>
      <c r="M1533" s="48" t="n">
        <f aca="false">M1532+B1532*(IF($A1532&lt;$Q$1518,(Surface_Engine!G251*12)-(Surface_Engine!G251*12)*INDEX(Surface_Engine!$F$12:$F$72,$A1532+1)-INDEX(Surface_Engine!$D$12:$D$72,$A1532+1),-(1000*12*INDEX(Surface_Engine!$C$12:$C$72,$A1532+1)/(1+Assumptions!$B$10)^5+INDEX(Surface_Engine!$D$12:$D$72,$A1532+1))))*INDEX(Surface_Engine!$B$12:$B$72,$A1532+1)</f>
        <v>38630.5492303472</v>
      </c>
      <c r="N1533" s="12" t="n">
        <f aca="false">IF(B1533&lt;=0,0,MAX(0,(K1533+Assumptions!$B$29*L1533/INDEX(Surface_Engine!$B$12:$B$72,$A1533+1)-(M1533/INDEX(Surface_Engine!$B$12:$B$72,$A1533+1)-(F1533/INDEX(Surface_Engine!$B$12:$B$72,$A1533+1))))/B1533))</f>
        <v>9343.98784481539</v>
      </c>
    </row>
    <row r="1534" customFormat="false" ht="15" hidden="false" customHeight="true" outlineLevel="0" collapsed="false">
      <c r="A1534" s="1" t="n">
        <v>14</v>
      </c>
      <c r="B1534" s="32" t="n">
        <f aca="false">INDEX(Surface_Engine!$V$12:$V$72,$A1534+1)*IF($A1534&lt;$Q$1518,INDEX(Surface_Engine!$E$12:$E$72,$A1534+1),INDEX(Surface_Engine!$E$12:$E$72,$Q$1518+1))</f>
        <v>0.491968730602107</v>
      </c>
      <c r="C1534" s="32" t="n">
        <f aca="false">INDEX(Panel_Reserving!$H$8:$H$68,$A1534+1)*IF($A1534&lt;$Q$1518,INDEX(Surface_Engine!$E$12:$E$72,$A1534+1),INDEX(Surface_Engine!$E$12:$E$72,$Q$1518+1))</f>
        <v>0.556800705179129</v>
      </c>
      <c r="D1534" s="32" t="n">
        <f aca="false">INDEX(Surface_Engine!$V$12:$V$72,$A1534+1)*IF($A1534&lt;$Q$1518,INDEX(Surface_Engine!$Y$12:$Y$72,$A1534+1),INDEX(Surface_Engine!$Y$12:$Y$72,$Q$1518+1))</f>
        <v>0.46665445501667</v>
      </c>
      <c r="E1534" s="32" t="n">
        <f aca="false">INDEX(Surface_Engine!$V$12:$V$72,$A1534+1)*IF($A1534&lt;$Q$1518,INDEX(Surface_Engine!$Z$12:$Z$72,$A1534+1),INDEX(Surface_Engine!$Z$12:$Z$72,$Q$1518+1))</f>
        <v>0.518289606083021</v>
      </c>
      <c r="F1534" s="48" t="n">
        <f aca="false">B1534*(IF($A1534&lt;$Q$1518,INDEX(Surface_Engine!$D$12:$D$72,$A1534+1)+(Surface_Engine!G251*12)*INDEX(Surface_Engine!$F$12:$F$72,$A1534+1)-(Surface_Engine!G251*12),1000*12*INDEX(Surface_Engine!$C$12:$C$72,$A1534+1)/(1+Assumptions!$B$10)^5+INDEX(Surface_Engine!$D$12:$D$72,$A1534+1)))*INDEX(Surface_Engine!$B$12:$B$72,$A1534+1)+F1535</f>
        <v>29518.4446812741</v>
      </c>
      <c r="G1534" s="48" t="n">
        <f aca="false">C1534*(IF($A1534&lt;$Q$1518,INDEX(Surface_Engine!$D$12:$D$72,$A1534+1)+(Surface_Engine!G251*12)*INDEX(Surface_Engine!$F$12:$F$72,$A1534+1)-(Surface_Engine!G251*12),1000*12*INDEX(Surface_Engine!$C$12:$C$72,$A1534+1)/(1+Assumptions!$B$10)^5+INDEX(Surface_Engine!$D$12:$D$72,$A1534+1)))*INDEX(Surface_Engine!$B$12:$B$72,$A1534+1)+G1535</f>
        <v>38809.2664112608</v>
      </c>
      <c r="H1534" s="48" t="n">
        <f aca="false">D1534*(IF($A1534&lt;$Q$1518,INDEX(Surface_Engine!$D$12:$D$72,$A1534+1)+(Surface_Engine!G251*12)*INDEX(Surface_Engine!$F$12:$F$72,$A1534+1)-(Surface_Engine!G251*12),1000*12*INDEX(Surface_Engine!$C$12:$C$72,$A1534+1)/(1+Assumptions!$B$10)^5+INDEX(Surface_Engine!$D$12:$D$72,$A1534+1)))*INDEX(Surface_Engine!$B$12:$B$72,$A1534+1)+H1535</f>
        <v>27999.5716370448</v>
      </c>
      <c r="I1534" s="48" t="n">
        <f aca="false">E1534*(IF($A1534&lt;$Q$1518,INDEX(Surface_Engine!$D$12:$D$72,$A1534+1)+(Surface_Engine!G251*12)*INDEX(Surface_Engine!$F$12:$F$72,$A1534+1)-(Surface_Engine!G251*12),1000*12*INDEX(Surface_Engine!$C$12:$C$72,$A1534+1)/(1+Assumptions!$B$10)^5+INDEX(Surface_Engine!$D$12:$D$72,$A1534+1)))*INDEX(Surface_Engine!$B$12:$B$72,$A1534+1)+I1535</f>
        <v>31097.714375702</v>
      </c>
      <c r="J1534" s="48" t="n">
        <f aca="false">B1534*(IF($A1534&lt;$Q$1518,INDEX(Surface_Engine!$D$12:$D$72,$A1534+1)*(1+Assumptions!$B$24)+(Surface_Engine!G251*12)*INDEX(Surface_Engine!$F$12:$F$72,$A1534+1)-(Surface_Engine!G251*12),1000*12*INDEX(Surface_Engine!$C$12:$C$72,$A1534+1)/(1+Assumptions!$B$10)^5+INDEX(Surface_Engine!$D$12:$D$72,$A1534+1)*(1+Assumptions!$B$24)))*INDEX(Surface_Engine!$B$12:$B$72,$A1534+1)+J1535</f>
        <v>29542.5960994533</v>
      </c>
      <c r="K1534" s="12" t="n">
        <f aca="false">SQRT((IF(C1534&lt;=0,0,MAX(0,(B1534/C1534)*G1534/INDEX(Surface_Engine!$B$12:$B$72,$A1534+1)-F1534/INDEX(Surface_Engine!$B$12:$B$72,$A1534+1))))^2+(MAX(IF(D1534&lt;=0,0,MAX(0,(B1534/D1534)*H1534/INDEX(Surface_Engine!$B$12:$B$72,$A1534+1)-F1534/INDEX(Surface_Engine!$B$12:$B$72,$A1534+1))),IF(E1534&lt;=0,0,MAX(0,(B1534/E1534)*I1534/INDEX(Surface_Engine!$B$12:$B$72,$A1534+1)-F1534/INDEX(Surface_Engine!$B$12:$B$72,$A1534+1))),IF($A1534&lt;$Q$1518,MAX(0,-Assumptions!$B$22*(F1534/INDEX(Surface_Engine!$B$12:$B$72,$A1534+1))),0)))^2+(MAX(0,J1534/INDEX(Surface_Engine!$B$12:$B$72,$A1534+1)-(F1534/INDEX(Surface_Engine!$B$12:$B$72,$A1534+1))))^2+2*Assumptions!$B$26*(IF(C1534&lt;=0,0,MAX(0,(B1534/C1534)*G1534/INDEX(Surface_Engine!$B$12:$B$72,$A1534+1)-F1534/INDEX(Surface_Engine!$B$12:$B$72,$A1534+1))))*(MAX(IF(D1534&lt;=0,0,MAX(0,(B1534/D1534)*H1534/INDEX(Surface_Engine!$B$12:$B$72,$A1534+1)-F1534/INDEX(Surface_Engine!$B$12:$B$72,$A1534+1))),IF(E1534&lt;=0,0,MAX(0,(B1534/E1534)*I1534/INDEX(Surface_Engine!$B$12:$B$72,$A1534+1)-F1534/INDEX(Surface_Engine!$B$12:$B$72,$A1534+1))),IF($A1534&lt;$Q$1518,MAX(0,-Assumptions!$B$22*(F1534/INDEX(Surface_Engine!$B$12:$B$72,$A1534+1))),0)))+2*Assumptions!$B$27*(IF(C1534&lt;=0,0,MAX(0,(B1534/C1534)*G1534/INDEX(Surface_Engine!$B$12:$B$72,$A1534+1)-F1534/INDEX(Surface_Engine!$B$12:$B$72,$A1534+1))))*(MAX(0,J1534/INDEX(Surface_Engine!$B$12:$B$72,$A1534+1)-(F1534/INDEX(Surface_Engine!$B$12:$B$72,$A1534+1))))+2*Assumptions!$B$28*(MAX(IF(D1534&lt;=0,0,MAX(0,(B1534/D1534)*H1534/INDEX(Surface_Engine!$B$12:$B$72,$A1534+1)-F1534/INDEX(Surface_Engine!$B$12:$B$72,$A1534+1))),IF(E1534&lt;=0,0,MAX(0,(B1534/E1534)*I1534/INDEX(Surface_Engine!$B$12:$B$72,$A1534+1)-F1534/INDEX(Surface_Engine!$B$12:$B$72,$A1534+1))),IF($A1534&lt;$Q$1518,MAX(0,-Assumptions!$B$22*(F1534/INDEX(Surface_Engine!$B$12:$B$72,$A1534+1))),0)))*(MAX(0,J1534/INDEX(Surface_Engine!$B$12:$B$72,$A1534+1)-(F1534/INDEX(Surface_Engine!$B$12:$B$72,$A1534+1)))))</f>
        <v>7289.43709495934</v>
      </c>
      <c r="L1534" s="48" t="n">
        <f aca="false">K1534*INDEX(Surface_Engine!$B$12:$B$72,$A1534+1)+L1535</f>
        <v>27238.8848141263</v>
      </c>
      <c r="M1534" s="48" t="n">
        <f aca="false">M1533+B1533*(IF($A1533&lt;$Q$1518,(Surface_Engine!G251*12)-(Surface_Engine!G251*12)*INDEX(Surface_Engine!$F$12:$F$72,$A1533+1)-INDEX(Surface_Engine!$D$12:$D$72,$A1533+1),-(1000*12*INDEX(Surface_Engine!$C$12:$C$72,$A1533+1)/(1+Assumptions!$B$10)^5+INDEX(Surface_Engine!$D$12:$D$72,$A1533+1))))*INDEX(Surface_Engine!$B$12:$B$72,$A1533+1)</f>
        <v>33475.8367235746</v>
      </c>
      <c r="N1534" s="12" t="n">
        <f aca="false">IF(B1534&lt;=0,0,MAX(0,(K1534+Assumptions!$B$29*L1534/INDEX(Surface_Engine!$B$12:$B$72,$A1534+1)-(M1534/INDEX(Surface_Engine!$B$12:$B$72,$A1534+1)-(F1534/INDEX(Surface_Engine!$B$12:$B$72,$A1534+1))))/B1534))</f>
        <v>7613.07069591038</v>
      </c>
    </row>
    <row r="1535" customFormat="false" ht="15" hidden="false" customHeight="true" outlineLevel="0" collapsed="false">
      <c r="A1535" s="1" t="n">
        <v>15</v>
      </c>
      <c r="B1535" s="32" t="n">
        <f aca="false">INDEX(Surface_Engine!$V$12:$V$72,$A1535+1)*IF($A1535&lt;$Q$1518,INDEX(Surface_Engine!$E$12:$E$72,$A1535+1),INDEX(Surface_Engine!$E$12:$E$72,$Q$1518+1))</f>
        <v>0.446161865415196</v>
      </c>
      <c r="C1535" s="32" t="n">
        <f aca="false">INDEX(Panel_Reserving!$H$8:$H$68,$A1535+1)*IF($A1535&lt;$Q$1518,INDEX(Surface_Engine!$E$12:$E$72,$A1535+1),INDEX(Surface_Engine!$E$12:$E$72,$Q$1518+1))</f>
        <v>0.515326045101604</v>
      </c>
      <c r="D1535" s="32" t="n">
        <f aca="false">INDEX(Surface_Engine!$V$12:$V$72,$A1535+1)*IF($A1535&lt;$Q$1518,INDEX(Surface_Engine!$Y$12:$Y$72,$A1535+1),INDEX(Surface_Engine!$Y$12:$Y$72,$Q$1518+1))</f>
        <v>0.423204584363999</v>
      </c>
      <c r="E1535" s="32" t="n">
        <f aca="false">INDEX(Surface_Engine!$V$12:$V$72,$A1535+1)*IF($A1535&lt;$Q$1518,INDEX(Surface_Engine!$Z$12:$Z$72,$A1535+1),INDEX(Surface_Engine!$Z$12:$Z$72,$Q$1518+1))</f>
        <v>0.470032022548055</v>
      </c>
      <c r="F1535" s="48" t="n">
        <f aca="false">B1535*(IF($A1535&lt;$Q$1518,INDEX(Surface_Engine!$D$12:$D$72,$A1535+1)+(Surface_Engine!G251*12)*INDEX(Surface_Engine!$F$12:$F$72,$A1535+1)-(Surface_Engine!G251*12),1000*12*INDEX(Surface_Engine!$C$12:$C$72,$A1535+1)/(1+Assumptions!$B$10)^5+INDEX(Surface_Engine!$D$12:$D$72,$A1535+1)))*INDEX(Surface_Engine!$B$12:$B$72,$A1535+1)+F1536</f>
        <v>24856.4046183866</v>
      </c>
      <c r="G1535" s="48" t="n">
        <f aca="false">C1535*(IF($A1535&lt;$Q$1518,INDEX(Surface_Engine!$D$12:$D$72,$A1535+1)+(Surface_Engine!G251*12)*INDEX(Surface_Engine!$F$12:$F$72,$A1535+1)-(Surface_Engine!G251*12),1000*12*INDEX(Surface_Engine!$C$12:$C$72,$A1535+1)/(1+Assumptions!$B$10)^5+INDEX(Surface_Engine!$D$12:$D$72,$A1535+1)))*INDEX(Surface_Engine!$B$12:$B$72,$A1535+1)+G1536</f>
        <v>33532.8595318802</v>
      </c>
      <c r="H1535" s="48" t="n">
        <f aca="false">D1535*(IF($A1535&lt;$Q$1518,INDEX(Surface_Engine!$D$12:$D$72,$A1535+1)+(Surface_Engine!G251*12)*INDEX(Surface_Engine!$F$12:$F$72,$A1535+1)-(Surface_Engine!G251*12),1000*12*INDEX(Surface_Engine!$C$12:$C$72,$A1535+1)/(1+Assumptions!$B$10)^5+INDEX(Surface_Engine!$D$12:$D$72,$A1535+1)))*INDEX(Surface_Engine!$B$12:$B$72,$A1535+1)+H1536</f>
        <v>23577.417078258</v>
      </c>
      <c r="I1535" s="48" t="n">
        <f aca="false">E1535*(IF($A1535&lt;$Q$1518,INDEX(Surface_Engine!$D$12:$D$72,$A1535+1)+(Surface_Engine!G251*12)*INDEX(Surface_Engine!$F$12:$F$72,$A1535+1)-(Surface_Engine!G251*12),1000*12*INDEX(Surface_Engine!$C$12:$C$72,$A1535+1)/(1+Assumptions!$B$10)^5+INDEX(Surface_Engine!$D$12:$D$72,$A1535+1)))*INDEX(Surface_Engine!$B$12:$B$72,$A1535+1)+I1536</f>
        <v>26186.2499727103</v>
      </c>
      <c r="J1535" s="48" t="n">
        <f aca="false">B1535*(IF($A1535&lt;$Q$1518,INDEX(Surface_Engine!$D$12:$D$72,$A1535+1)*(1+Assumptions!$B$24)+(Surface_Engine!G251*12)*INDEX(Surface_Engine!$F$12:$F$72,$A1535+1)-(Surface_Engine!G251*12),1000*12*INDEX(Surface_Engine!$C$12:$C$72,$A1535+1)/(1+Assumptions!$B$10)^5+INDEX(Surface_Engine!$D$12:$D$72,$A1535+1)*(1+Assumptions!$B$24)))*INDEX(Surface_Engine!$B$12:$B$72,$A1535+1)+J1536</f>
        <v>24876.8196951936</v>
      </c>
      <c r="K1535" s="12" t="n">
        <f aca="false">SQRT((IF(C1535&lt;=0,0,MAX(0,(B1535/C1535)*G1535/INDEX(Surface_Engine!$B$12:$B$72,$A1535+1)-F1535/INDEX(Surface_Engine!$B$12:$B$72,$A1535+1))))^2+(MAX(IF(D1535&lt;=0,0,MAX(0,(B1535/D1535)*H1535/INDEX(Surface_Engine!$B$12:$B$72,$A1535+1)-F1535/INDEX(Surface_Engine!$B$12:$B$72,$A1535+1))),IF(E1535&lt;=0,0,MAX(0,(B1535/E1535)*I1535/INDEX(Surface_Engine!$B$12:$B$72,$A1535+1)-F1535/INDEX(Surface_Engine!$B$12:$B$72,$A1535+1))),IF($A1535&lt;$Q$1518,MAX(0,-Assumptions!$B$22*(F1535/INDEX(Surface_Engine!$B$12:$B$72,$A1535+1))),0)))^2+(MAX(0,J1535/INDEX(Surface_Engine!$B$12:$B$72,$A1535+1)-(F1535/INDEX(Surface_Engine!$B$12:$B$72,$A1535+1))))^2+2*Assumptions!$B$26*(IF(C1535&lt;=0,0,MAX(0,(B1535/C1535)*G1535/INDEX(Surface_Engine!$B$12:$B$72,$A1535+1)-F1535/INDEX(Surface_Engine!$B$12:$B$72,$A1535+1))))*(MAX(IF(D1535&lt;=0,0,MAX(0,(B1535/D1535)*H1535/INDEX(Surface_Engine!$B$12:$B$72,$A1535+1)-F1535/INDEX(Surface_Engine!$B$12:$B$72,$A1535+1))),IF(E1535&lt;=0,0,MAX(0,(B1535/E1535)*I1535/INDEX(Surface_Engine!$B$12:$B$72,$A1535+1)-F1535/INDEX(Surface_Engine!$B$12:$B$72,$A1535+1))),IF($A1535&lt;$Q$1518,MAX(0,-Assumptions!$B$22*(F1535/INDEX(Surface_Engine!$B$12:$B$72,$A1535+1))),0)))+2*Assumptions!$B$27*(IF(C1535&lt;=0,0,MAX(0,(B1535/C1535)*G1535/INDEX(Surface_Engine!$B$12:$B$72,$A1535+1)-F1535/INDEX(Surface_Engine!$B$12:$B$72,$A1535+1))))*(MAX(0,J1535/INDEX(Surface_Engine!$B$12:$B$72,$A1535+1)-(F1535/INDEX(Surface_Engine!$B$12:$B$72,$A1535+1))))+2*Assumptions!$B$28*(MAX(IF(D1535&lt;=0,0,MAX(0,(B1535/D1535)*H1535/INDEX(Surface_Engine!$B$12:$B$72,$A1535+1)-F1535/INDEX(Surface_Engine!$B$12:$B$72,$A1535+1))),IF(E1535&lt;=0,0,MAX(0,(B1535/E1535)*I1535/INDEX(Surface_Engine!$B$12:$B$72,$A1535+1)-F1535/INDEX(Surface_Engine!$B$12:$B$72,$A1535+1))),IF($A1535&lt;$Q$1518,MAX(0,-Assumptions!$B$22*(F1535/INDEX(Surface_Engine!$B$12:$B$72,$A1535+1))),0)))*(MAX(0,J1535/INDEX(Surface_Engine!$B$12:$B$72,$A1535+1)-(F1535/INDEX(Surface_Engine!$B$12:$B$72,$A1535+1)))))</f>
        <v>6616.12547011431</v>
      </c>
      <c r="L1535" s="48" t="n">
        <f aca="false">K1535*INDEX(Surface_Engine!$B$12:$B$72,$A1535+1)+L1536</f>
        <v>22460.786588666</v>
      </c>
      <c r="M1535" s="48" t="n">
        <f aca="false">M1534+B1534*(IF($A1534&lt;$Q$1518,(Surface_Engine!G251*12)-(Surface_Engine!G251*12)*INDEX(Surface_Engine!$F$12:$F$72,$A1534+1)-INDEX(Surface_Engine!$D$12:$D$72,$A1534+1),-(1000*12*INDEX(Surface_Engine!$C$12:$C$72,$A1534+1)/(1+Assumptions!$B$10)^5+INDEX(Surface_Engine!$D$12:$D$72,$A1534+1))))*INDEX(Surface_Engine!$B$12:$B$72,$A1534+1)</f>
        <v>28813.7966606871</v>
      </c>
      <c r="N1535" s="12" t="n">
        <f aca="false">IF(B1535&lt;=0,0,MAX(0,(K1535+Assumptions!$B$29*L1535/INDEX(Surface_Engine!$B$12:$B$72,$A1535+1)-(M1535/INDEX(Surface_Engine!$B$12:$B$72,$A1535+1)-(F1535/INDEX(Surface_Engine!$B$12:$B$72,$A1535+1))))/B1535))</f>
        <v>5572.8839189838</v>
      </c>
    </row>
    <row r="1536" customFormat="false" ht="15" hidden="false" customHeight="true" outlineLevel="0" collapsed="false">
      <c r="A1536" s="1" t="n">
        <v>16</v>
      </c>
      <c r="B1536" s="32" t="n">
        <f aca="false">INDEX(Surface_Engine!$V$12:$V$72,$A1536+1)*IF($A1536&lt;$Q$1518,INDEX(Surface_Engine!$E$12:$E$72,$A1536+1),INDEX(Surface_Engine!$E$12:$E$72,$Q$1518+1))</f>
        <v>0.397974974848438</v>
      </c>
      <c r="C1536" s="32" t="n">
        <f aca="false">INDEX(Panel_Reserving!$H$8:$H$68,$A1536+1)*IF($A1536&lt;$Q$1518,INDEX(Surface_Engine!$E$12:$E$72,$A1536+1),INDEX(Surface_Engine!$E$12:$E$72,$Q$1518+1))</f>
        <v>0.470800572771686</v>
      </c>
      <c r="D1536" s="32" t="n">
        <f aca="false">INDEX(Surface_Engine!$V$12:$V$72,$A1536+1)*IF($A1536&lt;$Q$1518,INDEX(Surface_Engine!$Y$12:$Y$72,$A1536+1),INDEX(Surface_Engine!$Y$12:$Y$72,$Q$1518+1))</f>
        <v>0.37749715265618</v>
      </c>
      <c r="E1536" s="32" t="n">
        <f aca="false">INDEX(Surface_Engine!$V$12:$V$72,$A1536+1)*IF($A1536&lt;$Q$1518,INDEX(Surface_Engine!$Z$12:$Z$72,$A1536+1),INDEX(Surface_Engine!$Z$12:$Z$72,$Q$1518+1))</f>
        <v>0.419267079622425</v>
      </c>
      <c r="F1536" s="48" t="n">
        <f aca="false">B1536*(IF($A1536&lt;$Q$1518,INDEX(Surface_Engine!$D$12:$D$72,$A1536+1)+(Surface_Engine!G251*12)*INDEX(Surface_Engine!$F$12:$F$72,$A1536+1)-(Surface_Engine!G251*12),1000*12*INDEX(Surface_Engine!$C$12:$C$72,$A1536+1)/(1+Assumptions!$B$10)^5+INDEX(Surface_Engine!$D$12:$D$72,$A1536+1)))*INDEX(Surface_Engine!$B$12:$B$72,$A1536+1)+F1537</f>
        <v>20698.5927116657</v>
      </c>
      <c r="G1536" s="48" t="n">
        <f aca="false">C1536*(IF($A1536&lt;$Q$1518,INDEX(Surface_Engine!$D$12:$D$72,$A1536+1)+(Surface_Engine!G251*12)*INDEX(Surface_Engine!$F$12:$F$72,$A1536+1)-(Surface_Engine!G251*12),1000*12*INDEX(Surface_Engine!$C$12:$C$72,$A1536+1)/(1+Assumptions!$B$10)^5+INDEX(Surface_Engine!$D$12:$D$72,$A1536+1)))*INDEX(Surface_Engine!$B$12:$B$72,$A1536+1)+G1537</f>
        <v>28730.5020642089</v>
      </c>
      <c r="H1536" s="48" t="n">
        <f aca="false">D1536*(IF($A1536&lt;$Q$1518,INDEX(Surface_Engine!$D$12:$D$72,$A1536+1)+(Surface_Engine!G251*12)*INDEX(Surface_Engine!$F$12:$F$72,$A1536+1)-(Surface_Engine!G251*12),1000*12*INDEX(Surface_Engine!$C$12:$C$72,$A1536+1)/(1+Assumptions!$B$10)^5+INDEX(Surface_Engine!$D$12:$D$72,$A1536+1)))*INDEX(Surface_Engine!$B$12:$B$72,$A1536+1)+H1537</f>
        <v>19633.5455906982</v>
      </c>
      <c r="I1536" s="48" t="n">
        <f aca="false">E1536*(IF($A1536&lt;$Q$1518,INDEX(Surface_Engine!$D$12:$D$72,$A1536+1)+(Surface_Engine!G251*12)*INDEX(Surface_Engine!$F$12:$F$72,$A1536+1)-(Surface_Engine!G251*12),1000*12*INDEX(Surface_Engine!$C$12:$C$72,$A1536+1)/(1+Assumptions!$B$10)^5+INDEX(Surface_Engine!$D$12:$D$72,$A1536+1)))*INDEX(Surface_Engine!$B$12:$B$72,$A1536+1)+I1537</f>
        <v>21805.9904942994</v>
      </c>
      <c r="J1536" s="48" t="n">
        <f aca="false">B1536*(IF($A1536&lt;$Q$1518,INDEX(Surface_Engine!$D$12:$D$72,$A1536+1)*(1+Assumptions!$B$24)+(Surface_Engine!G251*12)*INDEX(Surface_Engine!$F$12:$F$72,$A1536+1)-(Surface_Engine!G251*12),1000*12*INDEX(Surface_Engine!$C$12:$C$72,$A1536+1)/(1+Assumptions!$B$10)^5+INDEX(Surface_Engine!$D$12:$D$72,$A1536+1)*(1+Assumptions!$B$24)))*INDEX(Surface_Engine!$B$12:$B$72,$A1536+1)+J1537</f>
        <v>20715.6593523506</v>
      </c>
      <c r="K1536" s="12" t="n">
        <f aca="false">SQRT((IF(C1536&lt;=0,0,MAX(0,(B1536/C1536)*G1536/INDEX(Surface_Engine!$B$12:$B$72,$A1536+1)-F1536/INDEX(Surface_Engine!$B$12:$B$72,$A1536+1))))^2+(MAX(IF(D1536&lt;=0,0,MAX(0,(B1536/D1536)*H1536/INDEX(Surface_Engine!$B$12:$B$72,$A1536+1)-F1536/INDEX(Surface_Engine!$B$12:$B$72,$A1536+1))),IF(E1536&lt;=0,0,MAX(0,(B1536/E1536)*I1536/INDEX(Surface_Engine!$B$12:$B$72,$A1536+1)-F1536/INDEX(Surface_Engine!$B$12:$B$72,$A1536+1))),IF($A1536&lt;$Q$1518,MAX(0,-Assumptions!$B$22*(F1536/INDEX(Surface_Engine!$B$12:$B$72,$A1536+1))),0)))^2+(MAX(0,J1536/INDEX(Surface_Engine!$B$12:$B$72,$A1536+1)-(F1536/INDEX(Surface_Engine!$B$12:$B$72,$A1536+1))))^2+2*Assumptions!$B$26*(IF(C1536&lt;=0,0,MAX(0,(B1536/C1536)*G1536/INDEX(Surface_Engine!$B$12:$B$72,$A1536+1)-F1536/INDEX(Surface_Engine!$B$12:$B$72,$A1536+1))))*(MAX(IF(D1536&lt;=0,0,MAX(0,(B1536/D1536)*H1536/INDEX(Surface_Engine!$B$12:$B$72,$A1536+1)-F1536/INDEX(Surface_Engine!$B$12:$B$72,$A1536+1))),IF(E1536&lt;=0,0,MAX(0,(B1536/E1536)*I1536/INDEX(Surface_Engine!$B$12:$B$72,$A1536+1)-F1536/INDEX(Surface_Engine!$B$12:$B$72,$A1536+1))),IF($A1536&lt;$Q$1518,MAX(0,-Assumptions!$B$22*(F1536/INDEX(Surface_Engine!$B$12:$B$72,$A1536+1))),0)))+2*Assumptions!$B$27*(IF(C1536&lt;=0,0,MAX(0,(B1536/C1536)*G1536/INDEX(Surface_Engine!$B$12:$B$72,$A1536+1)-F1536/INDEX(Surface_Engine!$B$12:$B$72,$A1536+1))))*(MAX(0,J1536/INDEX(Surface_Engine!$B$12:$B$72,$A1536+1)-(F1536/INDEX(Surface_Engine!$B$12:$B$72,$A1536+1))))+2*Assumptions!$B$28*(MAX(IF(D1536&lt;=0,0,MAX(0,(B1536/D1536)*H1536/INDEX(Surface_Engine!$B$12:$B$72,$A1536+1)-F1536/INDEX(Surface_Engine!$B$12:$B$72,$A1536+1))),IF(E1536&lt;=0,0,MAX(0,(B1536/E1536)*I1536/INDEX(Surface_Engine!$B$12:$B$72,$A1536+1)-F1536/INDEX(Surface_Engine!$B$12:$B$72,$A1536+1))),IF($A1536&lt;$Q$1518,MAX(0,-Assumptions!$B$22*(F1536/INDEX(Surface_Engine!$B$12:$B$72,$A1536+1))),0)))*(MAX(0,J1536/INDEX(Surface_Engine!$B$12:$B$72,$A1536+1)-(F1536/INDEX(Surface_Engine!$B$12:$B$72,$A1536+1)))))</f>
        <v>5889.91152928542</v>
      </c>
      <c r="L1536" s="48" t="n">
        <f aca="false">K1536*INDEX(Surface_Engine!$B$12:$B$72,$A1536+1)+L1537</f>
        <v>18279.7740449994</v>
      </c>
      <c r="M1536" s="48" t="n">
        <f aca="false">M1535+B1535*(IF($A1535&lt;$Q$1518,(Surface_Engine!G251*12)-(Surface_Engine!G251*12)*INDEX(Surface_Engine!$F$12:$F$72,$A1535+1)-INDEX(Surface_Engine!$D$12:$D$72,$A1535+1),-(1000*12*INDEX(Surface_Engine!$C$12:$C$72,$A1535+1)/(1+Assumptions!$B$10)^5+INDEX(Surface_Engine!$D$12:$D$72,$A1535+1))))*INDEX(Surface_Engine!$B$12:$B$72,$A1535+1)</f>
        <v>24655.9847539662</v>
      </c>
      <c r="N1536" s="12" t="n">
        <f aca="false">IF(B1536&lt;=0,0,MAX(0,(K1536+Assumptions!$B$29*L1536/INDEX(Surface_Engine!$B$12:$B$72,$A1536+1)-(M1536/INDEX(Surface_Engine!$B$12:$B$72,$A1536+1)-(F1536/INDEX(Surface_Engine!$B$12:$B$72,$A1536+1))))/B1536))</f>
        <v>3013.63690198073</v>
      </c>
    </row>
    <row r="1537" customFormat="false" ht="15" hidden="false" customHeight="true" outlineLevel="0" collapsed="false">
      <c r="A1537" s="1" t="n">
        <v>17</v>
      </c>
      <c r="B1537" s="32" t="n">
        <f aca="false">INDEX(Surface_Engine!$V$12:$V$72,$A1537+1)*IF($A1537&lt;$Q$1518,INDEX(Surface_Engine!$E$12:$E$72,$A1537+1),INDEX(Surface_Engine!$E$12:$E$72,$Q$1518+1))</f>
        <v>0.349824913044191</v>
      </c>
      <c r="C1537" s="32" t="n">
        <f aca="false">INDEX(Panel_Reserving!$H$8:$H$68,$A1537+1)*IF($A1537&lt;$Q$1518,INDEX(Surface_Engine!$E$12:$E$72,$A1537+1),INDEX(Surface_Engine!$E$12:$E$72,$Q$1518+1))</f>
        <v>0.425231724257902</v>
      </c>
      <c r="D1537" s="32" t="n">
        <f aca="false">INDEX(Surface_Engine!$V$12:$V$72,$A1537+1)*IF($A1537&lt;$Q$1518,INDEX(Surface_Engine!$Y$12:$Y$72,$A1537+1),INDEX(Surface_Engine!$Y$12:$Y$72,$Q$1518+1))</f>
        <v>0.331824654685058</v>
      </c>
      <c r="E1537" s="32" t="n">
        <f aca="false">INDEX(Surface_Engine!$V$12:$V$72,$A1537+1)*IF($A1537&lt;$Q$1518,INDEX(Surface_Engine!$Z$12:$Z$72,$A1537+1),INDEX(Surface_Engine!$Z$12:$Z$72,$Q$1518+1))</f>
        <v>0.368540935839152</v>
      </c>
      <c r="F1537" s="48" t="n">
        <f aca="false">B1537*(IF($A1537&lt;$Q$1518,INDEX(Surface_Engine!$D$12:$D$72,$A1537+1)+(Surface_Engine!G251*12)*INDEX(Surface_Engine!$F$12:$F$72,$A1537+1)-(Surface_Engine!G251*12),1000*12*INDEX(Surface_Engine!$C$12:$C$72,$A1537+1)/(1+Assumptions!$B$10)^5+INDEX(Surface_Engine!$D$12:$D$72,$A1537+1)))*INDEX(Surface_Engine!$B$12:$B$72,$A1537+1)+F1538</f>
        <v>17047.6831707488</v>
      </c>
      <c r="G1537" s="48" t="n">
        <f aca="false">C1537*(IF($A1537&lt;$Q$1518,INDEX(Surface_Engine!$D$12:$D$72,$A1537+1)+(Surface_Engine!G251*12)*INDEX(Surface_Engine!$F$12:$F$72,$A1537+1)-(Surface_Engine!G251*12),1000*12*INDEX(Surface_Engine!$C$12:$C$72,$A1537+1)/(1+Assumptions!$B$10)^5+INDEX(Surface_Engine!$D$12:$D$72,$A1537+1)))*INDEX(Surface_Engine!$B$12:$B$72,$A1537+1)+G1538</f>
        <v>24411.5111435967</v>
      </c>
      <c r="H1537" s="48" t="n">
        <f aca="false">D1537*(IF($A1537&lt;$Q$1518,INDEX(Surface_Engine!$D$12:$D$72,$A1537+1)+(Surface_Engine!G251*12)*INDEX(Surface_Engine!$F$12:$F$72,$A1537+1)-(Surface_Engine!G251*12),1000*12*INDEX(Surface_Engine!$C$12:$C$72,$A1537+1)/(1+Assumptions!$B$10)^5+INDEX(Surface_Engine!$D$12:$D$72,$A1537+1)))*INDEX(Surface_Engine!$B$12:$B$72,$A1537+1)+H1538</f>
        <v>16170.4937824123</v>
      </c>
      <c r="I1537" s="48" t="n">
        <f aca="false">E1537*(IF($A1537&lt;$Q$1518,INDEX(Surface_Engine!$D$12:$D$72,$A1537+1)+(Surface_Engine!G251*12)*INDEX(Surface_Engine!$F$12:$F$72,$A1537+1)-(Surface_Engine!G251*12),1000*12*INDEX(Surface_Engine!$C$12:$C$72,$A1537+1)/(1+Assumptions!$B$10)^5+INDEX(Surface_Engine!$D$12:$D$72,$A1537+1)))*INDEX(Surface_Engine!$B$12:$B$72,$A1537+1)+I1538</f>
        <v>17959.7532233032</v>
      </c>
      <c r="J1537" s="48" t="n">
        <f aca="false">B1537*(IF($A1537&lt;$Q$1518,INDEX(Surface_Engine!$D$12:$D$72,$A1537+1)*(1+Assumptions!$B$24)+(Surface_Engine!G251*12)*INDEX(Surface_Engine!$F$12:$F$72,$A1537+1)-(Surface_Engine!G251*12),1000*12*INDEX(Surface_Engine!$C$12:$C$72,$A1537+1)/(1+Assumptions!$B$10)^5+INDEX(Surface_Engine!$D$12:$D$72,$A1537+1)*(1+Assumptions!$B$24)))*INDEX(Surface_Engine!$B$12:$B$72,$A1537+1)+J1538</f>
        <v>17061.7953059427</v>
      </c>
      <c r="K1537" s="12" t="n">
        <f aca="false">SQRT((IF(C1537&lt;=0,0,MAX(0,(B1537/C1537)*G1537/INDEX(Surface_Engine!$B$12:$B$72,$A1537+1)-F1537/INDEX(Surface_Engine!$B$12:$B$72,$A1537+1))))^2+(MAX(IF(D1537&lt;=0,0,MAX(0,(B1537/D1537)*H1537/INDEX(Surface_Engine!$B$12:$B$72,$A1537+1)-F1537/INDEX(Surface_Engine!$B$12:$B$72,$A1537+1))),IF(E1537&lt;=0,0,MAX(0,(B1537/E1537)*I1537/INDEX(Surface_Engine!$B$12:$B$72,$A1537+1)-F1537/INDEX(Surface_Engine!$B$12:$B$72,$A1537+1))),IF($A1537&lt;$Q$1518,MAX(0,-Assumptions!$B$22*(F1537/INDEX(Surface_Engine!$B$12:$B$72,$A1537+1))),0)))^2+(MAX(0,J1537/INDEX(Surface_Engine!$B$12:$B$72,$A1537+1)-(F1537/INDEX(Surface_Engine!$B$12:$B$72,$A1537+1))))^2+2*Assumptions!$B$26*(IF(C1537&lt;=0,0,MAX(0,(B1537/C1537)*G1537/INDEX(Surface_Engine!$B$12:$B$72,$A1537+1)-F1537/INDEX(Surface_Engine!$B$12:$B$72,$A1537+1))))*(MAX(IF(D1537&lt;=0,0,MAX(0,(B1537/D1537)*H1537/INDEX(Surface_Engine!$B$12:$B$72,$A1537+1)-F1537/INDEX(Surface_Engine!$B$12:$B$72,$A1537+1))),IF(E1537&lt;=0,0,MAX(0,(B1537/E1537)*I1537/INDEX(Surface_Engine!$B$12:$B$72,$A1537+1)-F1537/INDEX(Surface_Engine!$B$12:$B$72,$A1537+1))),IF($A1537&lt;$Q$1518,MAX(0,-Assumptions!$B$22*(F1537/INDEX(Surface_Engine!$B$12:$B$72,$A1537+1))),0)))+2*Assumptions!$B$27*(IF(C1537&lt;=0,0,MAX(0,(B1537/C1537)*G1537/INDEX(Surface_Engine!$B$12:$B$72,$A1537+1)-F1537/INDEX(Surface_Engine!$B$12:$B$72,$A1537+1))))*(MAX(0,J1537/INDEX(Surface_Engine!$B$12:$B$72,$A1537+1)-(F1537/INDEX(Surface_Engine!$B$12:$B$72,$A1537+1))))+2*Assumptions!$B$28*(MAX(IF(D1537&lt;=0,0,MAX(0,(B1537/D1537)*H1537/INDEX(Surface_Engine!$B$12:$B$72,$A1537+1)-F1537/INDEX(Surface_Engine!$B$12:$B$72,$A1537+1))),IF(E1537&lt;=0,0,MAX(0,(B1537/E1537)*I1537/INDEX(Surface_Engine!$B$12:$B$72,$A1537+1)-F1537/INDEX(Surface_Engine!$B$12:$B$72,$A1537+1))),IF($A1537&lt;$Q$1518,MAX(0,-Assumptions!$B$22*(F1537/INDEX(Surface_Engine!$B$12:$B$72,$A1537+1))),0)))*(MAX(0,J1537/INDEX(Surface_Engine!$B$12:$B$72,$A1537+1)-(F1537/INDEX(Surface_Engine!$B$12:$B$72,$A1537+1)))))</f>
        <v>5153.0083045878</v>
      </c>
      <c r="L1537" s="48" t="n">
        <f aca="false">K1537*INDEX(Surface_Engine!$B$12:$B$72,$A1537+1)+L1538</f>
        <v>14687.7262202063</v>
      </c>
      <c r="M1537" s="48" t="n">
        <f aca="false">M1536+B1536*(IF($A1536&lt;$Q$1518,(Surface_Engine!G251*12)-(Surface_Engine!G251*12)*INDEX(Surface_Engine!$F$12:$F$72,$A1536+1)-INDEX(Surface_Engine!$D$12:$D$72,$A1536+1),-(1000*12*INDEX(Surface_Engine!$C$12:$C$72,$A1536+1)/(1+Assumptions!$B$10)^5+INDEX(Surface_Engine!$D$12:$D$72,$A1536+1))))*INDEX(Surface_Engine!$B$12:$B$72,$A1536+1)</f>
        <v>21005.0752130493</v>
      </c>
      <c r="N1537" s="12" t="n">
        <f aca="false">IF(B1537&lt;=0,0,MAX(0,(K1537+Assumptions!$B$29*L1537/INDEX(Surface_Engine!$B$12:$B$72,$A1537+1)-(M1537/INDEX(Surface_Engine!$B$12:$B$72,$A1537+1)-(F1537/INDEX(Surface_Engine!$B$12:$B$72,$A1537+1))))/B1537))</f>
        <v>0</v>
      </c>
    </row>
    <row r="1538" customFormat="false" ht="15" hidden="false" customHeight="true" outlineLevel="0" collapsed="false">
      <c r="A1538" s="1" t="n">
        <v>18</v>
      </c>
      <c r="B1538" s="32" t="n">
        <f aca="false">INDEX(Surface_Engine!$V$12:$V$72,$A1538+1)*IF($A1538&lt;$Q$1518,INDEX(Surface_Engine!$E$12:$E$72,$A1538+1),INDEX(Surface_Engine!$E$12:$E$72,$Q$1518+1))</f>
        <v>0.302930594603559</v>
      </c>
      <c r="C1538" s="32" t="n">
        <f aca="false">INDEX(Panel_Reserving!$H$8:$H$68,$A1538+1)*IF($A1538&lt;$Q$1518,INDEX(Surface_Engine!$E$12:$E$72,$A1538+1),INDEX(Surface_Engine!$E$12:$E$72,$Q$1518+1))</f>
        <v>0.379629593260696</v>
      </c>
      <c r="D1538" s="32" t="n">
        <f aca="false">INDEX(Surface_Engine!$V$12:$V$72,$A1538+1)*IF($A1538&lt;$Q$1518,INDEX(Surface_Engine!$Y$12:$Y$72,$A1538+1),INDEX(Surface_Engine!$Y$12:$Y$72,$Q$1518+1))</f>
        <v>0.287343285740108</v>
      </c>
      <c r="E1538" s="32" t="n">
        <f aca="false">INDEX(Surface_Engine!$V$12:$V$72,$A1538+1)*IF($A1538&lt;$Q$1518,INDEX(Surface_Engine!$Z$12:$Z$72,$A1538+1),INDEX(Surface_Engine!$Z$12:$Z$72,$Q$1518+1))</f>
        <v>0.319137719089216</v>
      </c>
      <c r="F1538" s="48" t="n">
        <f aca="false">B1538*(IF($A1538&lt;$Q$1518,INDEX(Surface_Engine!$D$12:$D$72,$A1538+1)+(Surface_Engine!G251*12)*INDEX(Surface_Engine!$F$12:$F$72,$A1538+1)-(Surface_Engine!G251*12),1000*12*INDEX(Surface_Engine!$C$12:$C$72,$A1538+1)/(1+Assumptions!$B$10)^5+INDEX(Surface_Engine!$D$12:$D$72,$A1538+1)))*INDEX(Surface_Engine!$B$12:$B$72,$A1538+1)+F1539</f>
        <v>13882.683168135</v>
      </c>
      <c r="G1538" s="48" t="n">
        <f aca="false">C1538*(IF($A1538&lt;$Q$1518,INDEX(Surface_Engine!$D$12:$D$72,$A1538+1)+(Surface_Engine!G251*12)*INDEX(Surface_Engine!$F$12:$F$72,$A1538+1)-(Surface_Engine!G251*12),1000*12*INDEX(Surface_Engine!$C$12:$C$72,$A1538+1)/(1+Assumptions!$B$10)^5+INDEX(Surface_Engine!$D$12:$D$72,$A1538+1)))*INDEX(Surface_Engine!$B$12:$B$72,$A1538+1)+G1539</f>
        <v>20564.2768323635</v>
      </c>
      <c r="H1538" s="48" t="n">
        <f aca="false">D1538*(IF($A1538&lt;$Q$1518,INDEX(Surface_Engine!$D$12:$D$72,$A1538+1)+(Surface_Engine!G251*12)*INDEX(Surface_Engine!$F$12:$F$72,$A1538+1)-(Surface_Engine!G251*12),1000*12*INDEX(Surface_Engine!$C$12:$C$72,$A1538+1)/(1+Assumptions!$B$10)^5+INDEX(Surface_Engine!$D$12:$D$72,$A1538+1)))*INDEX(Surface_Engine!$B$12:$B$72,$A1538+1)+H1539</f>
        <v>13168.3490128862</v>
      </c>
      <c r="I1538" s="48" t="n">
        <f aca="false">E1538*(IF($A1538&lt;$Q$1518,INDEX(Surface_Engine!$D$12:$D$72,$A1538+1)+(Surface_Engine!G251*12)*INDEX(Surface_Engine!$F$12:$F$72,$A1538+1)-(Surface_Engine!G251*12),1000*12*INDEX(Surface_Engine!$C$12:$C$72,$A1538+1)/(1+Assumptions!$B$10)^5+INDEX(Surface_Engine!$D$12:$D$72,$A1538+1)))*INDEX(Surface_Engine!$B$12:$B$72,$A1538+1)+I1539</f>
        <v>14625.4221925487</v>
      </c>
      <c r="J1538" s="48" t="n">
        <f aca="false">B1538*(IF($A1538&lt;$Q$1518,INDEX(Surface_Engine!$D$12:$D$72,$A1538+1)*(1+Assumptions!$B$24)+(Surface_Engine!G251*12)*INDEX(Surface_Engine!$F$12:$F$72,$A1538+1)-(Surface_Engine!G251*12),1000*12*INDEX(Surface_Engine!$C$12:$C$72,$A1538+1)/(1+Assumptions!$B$10)^5+INDEX(Surface_Engine!$D$12:$D$72,$A1538+1)*(1+Assumptions!$B$24)))*INDEX(Surface_Engine!$B$12:$B$72,$A1538+1)+J1539</f>
        <v>13894.2215678489</v>
      </c>
      <c r="K1538" s="12" t="n">
        <f aca="false">SQRT((IF(C1538&lt;=0,0,MAX(0,(B1538/C1538)*G1538/INDEX(Surface_Engine!$B$12:$B$72,$A1538+1)-F1538/INDEX(Surface_Engine!$B$12:$B$72,$A1538+1))))^2+(MAX(IF(D1538&lt;=0,0,MAX(0,(B1538/D1538)*H1538/INDEX(Surface_Engine!$B$12:$B$72,$A1538+1)-F1538/INDEX(Surface_Engine!$B$12:$B$72,$A1538+1))),IF(E1538&lt;=0,0,MAX(0,(B1538/E1538)*I1538/INDEX(Surface_Engine!$B$12:$B$72,$A1538+1)-F1538/INDEX(Surface_Engine!$B$12:$B$72,$A1538+1))),IF($A1538&lt;$Q$1518,MAX(0,-Assumptions!$B$22*(F1538/INDEX(Surface_Engine!$B$12:$B$72,$A1538+1))),0)))^2+(MAX(0,J1538/INDEX(Surface_Engine!$B$12:$B$72,$A1538+1)-(F1538/INDEX(Surface_Engine!$B$12:$B$72,$A1538+1))))^2+2*Assumptions!$B$26*(IF(C1538&lt;=0,0,MAX(0,(B1538/C1538)*G1538/INDEX(Surface_Engine!$B$12:$B$72,$A1538+1)-F1538/INDEX(Surface_Engine!$B$12:$B$72,$A1538+1))))*(MAX(IF(D1538&lt;=0,0,MAX(0,(B1538/D1538)*H1538/INDEX(Surface_Engine!$B$12:$B$72,$A1538+1)-F1538/INDEX(Surface_Engine!$B$12:$B$72,$A1538+1))),IF(E1538&lt;=0,0,MAX(0,(B1538/E1538)*I1538/INDEX(Surface_Engine!$B$12:$B$72,$A1538+1)-F1538/INDEX(Surface_Engine!$B$12:$B$72,$A1538+1))),IF($A1538&lt;$Q$1518,MAX(0,-Assumptions!$B$22*(F1538/INDEX(Surface_Engine!$B$12:$B$72,$A1538+1))),0)))+2*Assumptions!$B$27*(IF(C1538&lt;=0,0,MAX(0,(B1538/C1538)*G1538/INDEX(Surface_Engine!$B$12:$B$72,$A1538+1)-F1538/INDEX(Surface_Engine!$B$12:$B$72,$A1538+1))))*(MAX(0,J1538/INDEX(Surface_Engine!$B$12:$B$72,$A1538+1)-(F1538/INDEX(Surface_Engine!$B$12:$B$72,$A1538+1))))+2*Assumptions!$B$28*(MAX(IF(D1538&lt;=0,0,MAX(0,(B1538/D1538)*H1538/INDEX(Surface_Engine!$B$12:$B$72,$A1538+1)-F1538/INDEX(Surface_Engine!$B$12:$B$72,$A1538+1))),IF(E1538&lt;=0,0,MAX(0,(B1538/E1538)*I1538/INDEX(Surface_Engine!$B$12:$B$72,$A1538+1)-F1538/INDEX(Surface_Engine!$B$12:$B$72,$A1538+1))),IF($A1538&lt;$Q$1518,MAX(0,-Assumptions!$B$22*(F1538/INDEX(Surface_Engine!$B$12:$B$72,$A1538+1))),0)))*(MAX(0,J1538/INDEX(Surface_Engine!$B$12:$B$72,$A1538+1)-(F1538/INDEX(Surface_Engine!$B$12:$B$72,$A1538+1)))))</f>
        <v>4432.65553431757</v>
      </c>
      <c r="L1538" s="48" t="n">
        <f aca="false">K1538*INDEX(Surface_Engine!$B$12:$B$72,$A1538+1)+L1539</f>
        <v>11649.2597166613</v>
      </c>
      <c r="M1538" s="48" t="n">
        <f aca="false">M1537+B1537*(IF($A1537&lt;$Q$1518,(Surface_Engine!G251*12)-(Surface_Engine!G251*12)*INDEX(Surface_Engine!$F$12:$F$72,$A1537+1)-INDEX(Surface_Engine!$D$12:$D$72,$A1537+1),-(1000*12*INDEX(Surface_Engine!$C$12:$C$72,$A1537+1)/(1+Assumptions!$B$10)^5+INDEX(Surface_Engine!$D$12:$D$72,$A1537+1))))*INDEX(Surface_Engine!$B$12:$B$72,$A1537+1)</f>
        <v>17840.0752104355</v>
      </c>
      <c r="N1538" s="12" t="n">
        <f aca="false">IF(B1538&lt;=0,0,MAX(0,(K1538+Assumptions!$B$29*L1538/INDEX(Surface_Engine!$B$12:$B$72,$A1538+1)-(M1538/INDEX(Surface_Engine!$B$12:$B$72,$A1538+1)-(F1538/INDEX(Surface_Engine!$B$12:$B$72,$A1538+1))))/B1538))</f>
        <v>0</v>
      </c>
    </row>
    <row r="1539" customFormat="false" ht="15" hidden="false" customHeight="true" outlineLevel="0" collapsed="false">
      <c r="A1539" s="1" t="n">
        <v>19</v>
      </c>
      <c r="B1539" s="32" t="n">
        <f aca="false">INDEX(Surface_Engine!$V$12:$V$72,$A1539+1)*IF($A1539&lt;$Q$1518,INDEX(Surface_Engine!$E$12:$E$72,$A1539+1),INDEX(Surface_Engine!$E$12:$E$72,$Q$1518+1))</f>
        <v>0.258636414609741</v>
      </c>
      <c r="C1539" s="32" t="n">
        <f aca="false">INDEX(Panel_Reserving!$H$8:$H$68,$A1539+1)*IF($A1539&lt;$Q$1518,INDEX(Surface_Engine!$E$12:$E$72,$A1539+1),INDEX(Surface_Engine!$E$12:$E$72,$Q$1518+1))</f>
        <v>0.335222374354663</v>
      </c>
      <c r="D1539" s="32" t="n">
        <f aca="false">INDEX(Surface_Engine!$V$12:$V$72,$A1539+1)*IF($A1539&lt;$Q$1518,INDEX(Surface_Engine!$Y$12:$Y$72,$A1539+1),INDEX(Surface_Engine!$Y$12:$Y$72,$Q$1518+1))</f>
        <v>0.245328264988428</v>
      </c>
      <c r="E1539" s="32" t="n">
        <f aca="false">INDEX(Surface_Engine!$V$12:$V$72,$A1539+1)*IF($A1539&lt;$Q$1518,INDEX(Surface_Engine!$Z$12:$Z$72,$A1539+1),INDEX(Surface_Engine!$Z$12:$Z$72,$Q$1518+1))</f>
        <v>0.272473751091353</v>
      </c>
      <c r="F1539" s="48" t="n">
        <f aca="false">B1539*(IF($A1539&lt;$Q$1518,INDEX(Surface_Engine!$D$12:$D$72,$A1539+1)+(Surface_Engine!G251*12)*INDEX(Surface_Engine!$F$12:$F$72,$A1539+1)-(Surface_Engine!G251*12),1000*12*INDEX(Surface_Engine!$C$12:$C$72,$A1539+1)/(1+Assumptions!$B$10)^5+INDEX(Surface_Engine!$D$12:$D$72,$A1539+1)))*INDEX(Surface_Engine!$B$12:$B$72,$A1539+1)+F1540</f>
        <v>11176.8120656804</v>
      </c>
      <c r="G1539" s="48" t="n">
        <f aca="false">C1539*(IF($A1539&lt;$Q$1518,INDEX(Surface_Engine!$D$12:$D$72,$A1539+1)+(Surface_Engine!G251*12)*INDEX(Surface_Engine!$F$12:$F$72,$A1539+1)-(Surface_Engine!G251*12),1000*12*INDEX(Surface_Engine!$C$12:$C$72,$A1539+1)/(1+Assumptions!$B$10)^5+INDEX(Surface_Engine!$D$12:$D$72,$A1539+1)))*INDEX(Surface_Engine!$B$12:$B$72,$A1539+1)+G1540</f>
        <v>17173.3062128887</v>
      </c>
      <c r="H1539" s="48" t="n">
        <f aca="false">D1539*(IF($A1539&lt;$Q$1518,INDEX(Surface_Engine!$D$12:$D$72,$A1539+1)+(Surface_Engine!G251*12)*INDEX(Surface_Engine!$F$12:$F$72,$A1539+1)-(Surface_Engine!G251*12),1000*12*INDEX(Surface_Engine!$C$12:$C$72,$A1539+1)/(1+Assumptions!$B$10)^5+INDEX(Surface_Engine!$D$12:$D$72,$A1539+1)))*INDEX(Surface_Engine!$B$12:$B$72,$A1539+1)+H1540</f>
        <v>10601.7086430482</v>
      </c>
      <c r="I1539" s="48" t="n">
        <f aca="false">E1539*(IF($A1539&lt;$Q$1518,INDEX(Surface_Engine!$D$12:$D$72,$A1539+1)+(Surface_Engine!G251*12)*INDEX(Surface_Engine!$F$12:$F$72,$A1539+1)-(Surface_Engine!G251*12),1000*12*INDEX(Surface_Engine!$C$12:$C$72,$A1539+1)/(1+Assumptions!$B$10)^5+INDEX(Surface_Engine!$D$12:$D$72,$A1539+1)))*INDEX(Surface_Engine!$B$12:$B$72,$A1539+1)+I1540</f>
        <v>11774.7839698994</v>
      </c>
      <c r="J1539" s="48" t="n">
        <f aca="false">B1539*(IF($A1539&lt;$Q$1518,INDEX(Surface_Engine!$D$12:$D$72,$A1539+1)*(1+Assumptions!$B$24)+(Surface_Engine!G251*12)*INDEX(Surface_Engine!$F$12:$F$72,$A1539+1)-(Surface_Engine!G251*12),1000*12*INDEX(Surface_Engine!$C$12:$C$72,$A1539+1)/(1+Assumptions!$B$10)^5+INDEX(Surface_Engine!$D$12:$D$72,$A1539+1)*(1+Assumptions!$B$24)))*INDEX(Surface_Engine!$B$12:$B$72,$A1539+1)+J1540</f>
        <v>11186.1393893388</v>
      </c>
      <c r="K1539" s="12" t="n">
        <f aca="false">SQRT((IF(C1539&lt;=0,0,MAX(0,(B1539/C1539)*G1539/INDEX(Surface_Engine!$B$12:$B$72,$A1539+1)-F1539/INDEX(Surface_Engine!$B$12:$B$72,$A1539+1))))^2+(MAX(IF(D1539&lt;=0,0,MAX(0,(B1539/D1539)*H1539/INDEX(Surface_Engine!$B$12:$B$72,$A1539+1)-F1539/INDEX(Surface_Engine!$B$12:$B$72,$A1539+1))),IF(E1539&lt;=0,0,MAX(0,(B1539/E1539)*I1539/INDEX(Surface_Engine!$B$12:$B$72,$A1539+1)-F1539/INDEX(Surface_Engine!$B$12:$B$72,$A1539+1))),IF($A1539&lt;$Q$1518,MAX(0,-Assumptions!$B$22*(F1539/INDEX(Surface_Engine!$B$12:$B$72,$A1539+1))),0)))^2+(MAX(0,J1539/INDEX(Surface_Engine!$B$12:$B$72,$A1539+1)-(F1539/INDEX(Surface_Engine!$B$12:$B$72,$A1539+1))))^2+2*Assumptions!$B$26*(IF(C1539&lt;=0,0,MAX(0,(B1539/C1539)*G1539/INDEX(Surface_Engine!$B$12:$B$72,$A1539+1)-F1539/INDEX(Surface_Engine!$B$12:$B$72,$A1539+1))))*(MAX(IF(D1539&lt;=0,0,MAX(0,(B1539/D1539)*H1539/INDEX(Surface_Engine!$B$12:$B$72,$A1539+1)-F1539/INDEX(Surface_Engine!$B$12:$B$72,$A1539+1))),IF(E1539&lt;=0,0,MAX(0,(B1539/E1539)*I1539/INDEX(Surface_Engine!$B$12:$B$72,$A1539+1)-F1539/INDEX(Surface_Engine!$B$12:$B$72,$A1539+1))),IF($A1539&lt;$Q$1518,MAX(0,-Assumptions!$B$22*(F1539/INDEX(Surface_Engine!$B$12:$B$72,$A1539+1))),0)))+2*Assumptions!$B$27*(IF(C1539&lt;=0,0,MAX(0,(B1539/C1539)*G1539/INDEX(Surface_Engine!$B$12:$B$72,$A1539+1)-F1539/INDEX(Surface_Engine!$B$12:$B$72,$A1539+1))))*(MAX(0,J1539/INDEX(Surface_Engine!$B$12:$B$72,$A1539+1)-(F1539/INDEX(Surface_Engine!$B$12:$B$72,$A1539+1))))+2*Assumptions!$B$28*(MAX(IF(D1539&lt;=0,0,MAX(0,(B1539/D1539)*H1539/INDEX(Surface_Engine!$B$12:$B$72,$A1539+1)-F1539/INDEX(Surface_Engine!$B$12:$B$72,$A1539+1))),IF(E1539&lt;=0,0,MAX(0,(B1539/E1539)*I1539/INDEX(Surface_Engine!$B$12:$B$72,$A1539+1)-F1539/INDEX(Surface_Engine!$B$12:$B$72,$A1539+1))),IF($A1539&lt;$Q$1518,MAX(0,-Assumptions!$B$22*(F1539/INDEX(Surface_Engine!$B$12:$B$72,$A1539+1))),0)))*(MAX(0,J1539/INDEX(Surface_Engine!$B$12:$B$72,$A1539+1)-(F1539/INDEX(Surface_Engine!$B$12:$B$72,$A1539+1)))))</f>
        <v>3753.63831587842</v>
      </c>
      <c r="L1539" s="48" t="n">
        <f aca="false">K1539*INDEX(Surface_Engine!$B$12:$B$72,$A1539+1)+L1540</f>
        <v>9119.48936786848</v>
      </c>
      <c r="M1539" s="48" t="n">
        <f aca="false">M1538+B1538*(IF($A1538&lt;$Q$1518,(Surface_Engine!G251*12)-(Surface_Engine!G251*12)*INDEX(Surface_Engine!$F$12:$F$72,$A1538+1)-INDEX(Surface_Engine!$D$12:$D$72,$A1538+1),-(1000*12*INDEX(Surface_Engine!$C$12:$C$72,$A1538+1)/(1+Assumptions!$B$10)^5+INDEX(Surface_Engine!$D$12:$D$72,$A1538+1))))*INDEX(Surface_Engine!$B$12:$B$72,$A1538+1)</f>
        <v>15134.2041079809</v>
      </c>
      <c r="N1539" s="12" t="n">
        <f aca="false">IF(B1539&lt;=0,0,MAX(0,(K1539+Assumptions!$B$29*L1539/INDEX(Surface_Engine!$B$12:$B$72,$A1539+1)-(M1539/INDEX(Surface_Engine!$B$12:$B$72,$A1539+1)-(F1539/INDEX(Surface_Engine!$B$12:$B$72,$A1539+1))))/B1539))</f>
        <v>0</v>
      </c>
    </row>
    <row r="1540" customFormat="false" ht="15" hidden="false" customHeight="true" outlineLevel="0" collapsed="false">
      <c r="A1540" s="1" t="n">
        <v>20</v>
      </c>
      <c r="B1540" s="32" t="n">
        <f aca="false">INDEX(Surface_Engine!$V$12:$V$72,$A1540+1)*IF($A1540&lt;$Q$1518,INDEX(Surface_Engine!$E$12:$E$72,$A1540+1),INDEX(Surface_Engine!$E$12:$E$72,$Q$1518+1))</f>
        <v>0.217923489328513</v>
      </c>
      <c r="C1540" s="32" t="n">
        <f aca="false">INDEX(Panel_Reserving!$H$8:$H$68,$A1540+1)*IF($A1540&lt;$Q$1518,INDEX(Surface_Engine!$E$12:$E$72,$A1540+1),INDEX(Surface_Engine!$E$12:$E$72,$Q$1518+1))</f>
        <v>0.293007488255841</v>
      </c>
      <c r="D1540" s="32" t="n">
        <f aca="false">INDEX(Surface_Engine!$V$12:$V$72,$A1540+1)*IF($A1540&lt;$Q$1518,INDEX(Surface_Engine!$Y$12:$Y$72,$A1540+1),INDEX(Surface_Engine!$Y$12:$Y$72,$Q$1518+1))</f>
        <v>0.206710225309374</v>
      </c>
      <c r="E1540" s="32" t="n">
        <f aca="false">INDEX(Surface_Engine!$V$12:$V$72,$A1540+1)*IF($A1540&lt;$Q$1518,INDEX(Surface_Engine!$Z$12:$Z$72,$A1540+1),INDEX(Surface_Engine!$Z$12:$Z$72,$Q$1518+1))</f>
        <v>0.229582638925199</v>
      </c>
      <c r="F1540" s="48" t="n">
        <f aca="false">B1540*(IF($A1540&lt;$Q$1518,INDEX(Surface_Engine!$D$12:$D$72,$A1540+1)+(Surface_Engine!G251*12)*INDEX(Surface_Engine!$F$12:$F$72,$A1540+1)-(Surface_Engine!G251*12),1000*12*INDEX(Surface_Engine!$C$12:$C$72,$A1540+1)/(1+Assumptions!$B$10)^5+INDEX(Surface_Engine!$D$12:$D$72,$A1540+1)))*INDEX(Surface_Engine!$B$12:$B$72,$A1540+1)+F1541</f>
        <v>8893.84906234478</v>
      </c>
      <c r="G1540" s="48" t="n">
        <f aca="false">C1540*(IF($A1540&lt;$Q$1518,INDEX(Surface_Engine!$D$12:$D$72,$A1540+1)+(Surface_Engine!G251*12)*INDEX(Surface_Engine!$F$12:$F$72,$A1540+1)-(Surface_Engine!G251*12),1000*12*INDEX(Surface_Engine!$C$12:$C$72,$A1540+1)/(1+Assumptions!$B$10)^5+INDEX(Surface_Engine!$D$12:$D$72,$A1540+1)))*INDEX(Surface_Engine!$B$12:$B$72,$A1540+1)+G1541</f>
        <v>14214.3250512577</v>
      </c>
      <c r="H1540" s="48" t="n">
        <f aca="false">D1540*(IF($A1540&lt;$Q$1518,INDEX(Surface_Engine!$D$12:$D$72,$A1540+1)+(Surface_Engine!G251*12)*INDEX(Surface_Engine!$F$12:$F$72,$A1540+1)-(Surface_Engine!G251*12),1000*12*INDEX(Surface_Engine!$C$12:$C$72,$A1540+1)/(1+Assumptions!$B$10)^5+INDEX(Surface_Engine!$D$12:$D$72,$A1540+1)))*INDEX(Surface_Engine!$B$12:$B$72,$A1540+1)+H1541</f>
        <v>8436.21561498333</v>
      </c>
      <c r="I1540" s="48" t="n">
        <f aca="false">E1540*(IF($A1540&lt;$Q$1518,INDEX(Surface_Engine!$D$12:$D$72,$A1540+1)+(Surface_Engine!G251*12)*INDEX(Surface_Engine!$F$12:$F$72,$A1540+1)-(Surface_Engine!G251*12),1000*12*INDEX(Surface_Engine!$C$12:$C$72,$A1540+1)/(1+Assumptions!$B$10)^5+INDEX(Surface_Engine!$D$12:$D$72,$A1540+1)))*INDEX(Surface_Engine!$B$12:$B$72,$A1540+1)+I1541</f>
        <v>9369.6799010843</v>
      </c>
      <c r="J1540" s="48" t="n">
        <f aca="false">B1540*(IF($A1540&lt;$Q$1518,INDEX(Surface_Engine!$D$12:$D$72,$A1540+1)*(1+Assumptions!$B$24)+(Surface_Engine!G251*12)*INDEX(Surface_Engine!$F$12:$F$72,$A1540+1)-(Surface_Engine!G251*12),1000*12*INDEX(Surface_Engine!$C$12:$C$72,$A1540+1)/(1+Assumptions!$B$10)^5+INDEX(Surface_Engine!$D$12:$D$72,$A1540+1)*(1+Assumptions!$B$24)))*INDEX(Surface_Engine!$B$12:$B$72,$A1540+1)+J1541</f>
        <v>8901.30181563218</v>
      </c>
      <c r="K1540" s="12" t="n">
        <f aca="false">SQRT((IF(C1540&lt;=0,0,MAX(0,(B1540/C1540)*G1540/INDEX(Surface_Engine!$B$12:$B$72,$A1540+1)-F1540/INDEX(Surface_Engine!$B$12:$B$72,$A1540+1))))^2+(MAX(IF(D1540&lt;=0,0,MAX(0,(B1540/D1540)*H1540/INDEX(Surface_Engine!$B$12:$B$72,$A1540+1)-F1540/INDEX(Surface_Engine!$B$12:$B$72,$A1540+1))),IF(E1540&lt;=0,0,MAX(0,(B1540/E1540)*I1540/INDEX(Surface_Engine!$B$12:$B$72,$A1540+1)-F1540/INDEX(Surface_Engine!$B$12:$B$72,$A1540+1))),IF($A1540&lt;$Q$1518,MAX(0,-Assumptions!$B$22*(F1540/INDEX(Surface_Engine!$B$12:$B$72,$A1540+1))),0)))^2+(MAX(0,J1540/INDEX(Surface_Engine!$B$12:$B$72,$A1540+1)-(F1540/INDEX(Surface_Engine!$B$12:$B$72,$A1540+1))))^2+2*Assumptions!$B$26*(IF(C1540&lt;=0,0,MAX(0,(B1540/C1540)*G1540/INDEX(Surface_Engine!$B$12:$B$72,$A1540+1)-F1540/INDEX(Surface_Engine!$B$12:$B$72,$A1540+1))))*(MAX(IF(D1540&lt;=0,0,MAX(0,(B1540/D1540)*H1540/INDEX(Surface_Engine!$B$12:$B$72,$A1540+1)-F1540/INDEX(Surface_Engine!$B$12:$B$72,$A1540+1))),IF(E1540&lt;=0,0,MAX(0,(B1540/E1540)*I1540/INDEX(Surface_Engine!$B$12:$B$72,$A1540+1)-F1540/INDEX(Surface_Engine!$B$12:$B$72,$A1540+1))),IF($A1540&lt;$Q$1518,MAX(0,-Assumptions!$B$22*(F1540/INDEX(Surface_Engine!$B$12:$B$72,$A1540+1))),0)))+2*Assumptions!$B$27*(IF(C1540&lt;=0,0,MAX(0,(B1540/C1540)*G1540/INDEX(Surface_Engine!$B$12:$B$72,$A1540+1)-F1540/INDEX(Surface_Engine!$B$12:$B$72,$A1540+1))))*(MAX(0,J1540/INDEX(Surface_Engine!$B$12:$B$72,$A1540+1)-(F1540/INDEX(Surface_Engine!$B$12:$B$72,$A1540+1))))+2*Assumptions!$B$28*(MAX(IF(D1540&lt;=0,0,MAX(0,(B1540/D1540)*H1540/INDEX(Surface_Engine!$B$12:$B$72,$A1540+1)-F1540/INDEX(Surface_Engine!$B$12:$B$72,$A1540+1))),IF(E1540&lt;=0,0,MAX(0,(B1540/E1540)*I1540/INDEX(Surface_Engine!$B$12:$B$72,$A1540+1)-F1540/INDEX(Surface_Engine!$B$12:$B$72,$A1540+1))),IF($A1540&lt;$Q$1518,MAX(0,-Assumptions!$B$22*(F1540/INDEX(Surface_Engine!$B$12:$B$72,$A1540+1))),0)))*(MAX(0,J1540/INDEX(Surface_Engine!$B$12:$B$72,$A1540+1)-(F1540/INDEX(Surface_Engine!$B$12:$B$72,$A1540+1)))))</f>
        <v>3135.20685070766</v>
      </c>
      <c r="L1540" s="48" t="n">
        <f aca="false">K1540*INDEX(Surface_Engine!$B$12:$B$72,$A1540+1)+L1541</f>
        <v>7044.11138081457</v>
      </c>
      <c r="M1540" s="48" t="n">
        <f aca="false">M1539+B1539*(IF($A1539&lt;$Q$1518,(Surface_Engine!G251*12)-(Surface_Engine!G251*12)*INDEX(Surface_Engine!$F$12:$F$72,$A1539+1)-INDEX(Surface_Engine!$D$12:$D$72,$A1539+1),-(1000*12*INDEX(Surface_Engine!$C$12:$C$72,$A1539+1)/(1+Assumptions!$B$10)^5+INDEX(Surface_Engine!$D$12:$D$72,$A1539+1))))*INDEX(Surface_Engine!$B$12:$B$72,$A1539+1)</f>
        <v>12851.2411046453</v>
      </c>
      <c r="N1540" s="12" t="n">
        <f aca="false">IF(B1540&lt;=0,0,MAX(0,(K1540+Assumptions!$B$29*L1540/INDEX(Surface_Engine!$B$12:$B$72,$A1540+1)-(M1540/INDEX(Surface_Engine!$B$12:$B$72,$A1540+1)-(F1540/INDEX(Surface_Engine!$B$12:$B$72,$A1540+1))))/B1540))</f>
        <v>0</v>
      </c>
    </row>
    <row r="1541" customFormat="false" ht="15" hidden="false" customHeight="true" outlineLevel="0" collapsed="false">
      <c r="A1541" s="1" t="n">
        <v>21</v>
      </c>
      <c r="B1541" s="32" t="n">
        <f aca="false">INDEX(Surface_Engine!$V$12:$V$72,$A1541+1)*IF($A1541&lt;$Q$1518,INDEX(Surface_Engine!$E$12:$E$72,$A1541+1),INDEX(Surface_Engine!$E$12:$E$72,$Q$1518+1))</f>
        <v>0.180233015330446</v>
      </c>
      <c r="C1541" s="32" t="n">
        <f aca="false">INDEX(Panel_Reserving!$H$8:$H$68,$A1541+1)*IF($A1541&lt;$Q$1518,INDEX(Surface_Engine!$E$12:$E$72,$A1541+1),INDEX(Surface_Engine!$E$12:$E$72,$Q$1518+1))</f>
        <v>0.252466319788415</v>
      </c>
      <c r="D1541" s="32" t="n">
        <f aca="false">INDEX(Surface_Engine!$V$12:$V$72,$A1541+1)*IF($A1541&lt;$Q$1518,INDEX(Surface_Engine!$Y$12:$Y$72,$A1541+1),INDEX(Surface_Engine!$Y$12:$Y$72,$Q$1518+1))</f>
        <v>0.170959116531867</v>
      </c>
      <c r="E1541" s="32" t="n">
        <f aca="false">INDEX(Surface_Engine!$V$12:$V$72,$A1541+1)*IF($A1541&lt;$Q$1518,INDEX(Surface_Engine!$Z$12:$Z$72,$A1541+1),INDEX(Surface_Engine!$Z$12:$Z$72,$Q$1518+1))</f>
        <v>0.189875682554959</v>
      </c>
      <c r="F1541" s="48" t="n">
        <f aca="false">B1541*(IF($A1541&lt;$Q$1518,INDEX(Surface_Engine!$D$12:$D$72,$A1541+1)+(Surface_Engine!G251*12)*INDEX(Surface_Engine!$F$12:$F$72,$A1541+1)-(Surface_Engine!G251*12),1000*12*INDEX(Surface_Engine!$C$12:$C$72,$A1541+1)/(1+Assumptions!$B$10)^5+INDEX(Surface_Engine!$D$12:$D$72,$A1541+1)))*INDEX(Surface_Engine!$B$12:$B$72,$A1541+1)+F1542</f>
        <v>6992.32556775479</v>
      </c>
      <c r="G1541" s="48" t="n">
        <f aca="false">C1541*(IF($A1541&lt;$Q$1518,INDEX(Surface_Engine!$D$12:$D$72,$A1541+1)+(Surface_Engine!G251*12)*INDEX(Surface_Engine!$F$12:$F$72,$A1541+1)-(Surface_Engine!G251*12),1000*12*INDEX(Surface_Engine!$C$12:$C$72,$A1541+1)/(1+Assumptions!$B$10)^5+INDEX(Surface_Engine!$D$12:$D$72,$A1541+1)))*INDEX(Surface_Engine!$B$12:$B$72,$A1541+1)+G1542</f>
        <v>11657.6450681771</v>
      </c>
      <c r="H1541" s="48" t="n">
        <f aca="false">D1541*(IF($A1541&lt;$Q$1518,INDEX(Surface_Engine!$D$12:$D$72,$A1541+1)+(Surface_Engine!G251*12)*INDEX(Surface_Engine!$F$12:$F$72,$A1541+1)-(Surface_Engine!G251*12),1000*12*INDEX(Surface_Engine!$C$12:$C$72,$A1541+1)/(1+Assumptions!$B$10)^5+INDEX(Surface_Engine!$D$12:$D$72,$A1541+1)))*INDEX(Surface_Engine!$B$12:$B$72,$A1541+1)+H1542</f>
        <v>6632.53510670534</v>
      </c>
      <c r="I1541" s="48" t="n">
        <f aca="false">E1541*(IF($A1541&lt;$Q$1518,INDEX(Surface_Engine!$D$12:$D$72,$A1541+1)+(Surface_Engine!G251*12)*INDEX(Surface_Engine!$F$12:$F$72,$A1541+1)-(Surface_Engine!G251*12),1000*12*INDEX(Surface_Engine!$C$12:$C$72,$A1541+1)/(1+Assumptions!$B$10)^5+INDEX(Surface_Engine!$D$12:$D$72,$A1541+1)))*INDEX(Surface_Engine!$B$12:$B$72,$A1541+1)+I1542</f>
        <v>7366.42277992036</v>
      </c>
      <c r="J1541" s="48" t="n">
        <f aca="false">B1541*(IF($A1541&lt;$Q$1518,INDEX(Surface_Engine!$D$12:$D$72,$A1541+1)*(1+Assumptions!$B$24)+(Surface_Engine!G251*12)*INDEX(Surface_Engine!$F$12:$F$72,$A1541+1)-(Surface_Engine!G251*12),1000*12*INDEX(Surface_Engine!$C$12:$C$72,$A1541+1)/(1+Assumptions!$B$10)^5+INDEX(Surface_Engine!$D$12:$D$72,$A1541+1)*(1+Assumptions!$B$24)))*INDEX(Surface_Engine!$B$12:$B$72,$A1541+1)+J1542</f>
        <v>6998.20936497136</v>
      </c>
      <c r="K1541" s="12" t="n">
        <f aca="false">SQRT((IF(C1541&lt;=0,0,MAX(0,(B1541/C1541)*G1541/INDEX(Surface_Engine!$B$12:$B$72,$A1541+1)-F1541/INDEX(Surface_Engine!$B$12:$B$72,$A1541+1))))^2+(MAX(IF(D1541&lt;=0,0,MAX(0,(B1541/D1541)*H1541/INDEX(Surface_Engine!$B$12:$B$72,$A1541+1)-F1541/INDEX(Surface_Engine!$B$12:$B$72,$A1541+1))),IF(E1541&lt;=0,0,MAX(0,(B1541/E1541)*I1541/INDEX(Surface_Engine!$B$12:$B$72,$A1541+1)-F1541/INDEX(Surface_Engine!$B$12:$B$72,$A1541+1))),IF($A1541&lt;$Q$1518,MAX(0,-Assumptions!$B$22*(F1541/INDEX(Surface_Engine!$B$12:$B$72,$A1541+1))),0)))^2+(MAX(0,J1541/INDEX(Surface_Engine!$B$12:$B$72,$A1541+1)-(F1541/INDEX(Surface_Engine!$B$12:$B$72,$A1541+1))))^2+2*Assumptions!$B$26*(IF(C1541&lt;=0,0,MAX(0,(B1541/C1541)*G1541/INDEX(Surface_Engine!$B$12:$B$72,$A1541+1)-F1541/INDEX(Surface_Engine!$B$12:$B$72,$A1541+1))))*(MAX(IF(D1541&lt;=0,0,MAX(0,(B1541/D1541)*H1541/INDEX(Surface_Engine!$B$12:$B$72,$A1541+1)-F1541/INDEX(Surface_Engine!$B$12:$B$72,$A1541+1))),IF(E1541&lt;=0,0,MAX(0,(B1541/E1541)*I1541/INDEX(Surface_Engine!$B$12:$B$72,$A1541+1)-F1541/INDEX(Surface_Engine!$B$12:$B$72,$A1541+1))),IF($A1541&lt;$Q$1518,MAX(0,-Assumptions!$B$22*(F1541/INDEX(Surface_Engine!$B$12:$B$72,$A1541+1))),0)))+2*Assumptions!$B$27*(IF(C1541&lt;=0,0,MAX(0,(B1541/C1541)*G1541/INDEX(Surface_Engine!$B$12:$B$72,$A1541+1)-F1541/INDEX(Surface_Engine!$B$12:$B$72,$A1541+1))))*(MAX(0,J1541/INDEX(Surface_Engine!$B$12:$B$72,$A1541+1)-(F1541/INDEX(Surface_Engine!$B$12:$B$72,$A1541+1))))+2*Assumptions!$B$28*(MAX(IF(D1541&lt;=0,0,MAX(0,(B1541/D1541)*H1541/INDEX(Surface_Engine!$B$12:$B$72,$A1541+1)-F1541/INDEX(Surface_Engine!$B$12:$B$72,$A1541+1))),IF(E1541&lt;=0,0,MAX(0,(B1541/E1541)*I1541/INDEX(Surface_Engine!$B$12:$B$72,$A1541+1)-F1541/INDEX(Surface_Engine!$B$12:$B$72,$A1541+1))),IF($A1541&lt;$Q$1518,MAX(0,-Assumptions!$B$22*(F1541/INDEX(Surface_Engine!$B$12:$B$72,$A1541+1))),0)))*(MAX(0,J1541/INDEX(Surface_Engine!$B$12:$B$72,$A1541+1)-(F1541/INDEX(Surface_Engine!$B$12:$B$72,$A1541+1)))))</f>
        <v>2564.12460356472</v>
      </c>
      <c r="L1541" s="48" t="n">
        <f aca="false">K1541*INDEX(Surface_Engine!$B$12:$B$72,$A1541+1)+L1542</f>
        <v>5364.21776707742</v>
      </c>
      <c r="M1541" s="48" t="n">
        <f aca="false">M1540+B1540*(IF($A1540&lt;$Q$1518,(Surface_Engine!G251*12)-(Surface_Engine!G251*12)*INDEX(Surface_Engine!$F$12:$F$72,$A1540+1)-INDEX(Surface_Engine!$D$12:$D$72,$A1540+1),-(1000*12*INDEX(Surface_Engine!$C$12:$C$72,$A1540+1)/(1+Assumptions!$B$10)^5+INDEX(Surface_Engine!$D$12:$D$72,$A1540+1))))*INDEX(Surface_Engine!$B$12:$B$72,$A1540+1)</f>
        <v>10949.7176100553</v>
      </c>
      <c r="N1541" s="12" t="n">
        <f aca="false">IF(B1541&lt;=0,0,MAX(0,(K1541+Assumptions!$B$29*L1541/INDEX(Surface_Engine!$B$12:$B$72,$A1541+1)-(M1541/INDEX(Surface_Engine!$B$12:$B$72,$A1541+1)-(F1541/INDEX(Surface_Engine!$B$12:$B$72,$A1541+1))))/B1541))</f>
        <v>0</v>
      </c>
    </row>
    <row r="1542" customFormat="false" ht="15" hidden="false" customHeight="true" outlineLevel="0" collapsed="false">
      <c r="A1542" s="1" t="n">
        <v>22</v>
      </c>
      <c r="B1542" s="32" t="n">
        <f aca="false">INDEX(Surface_Engine!$V$12:$V$72,$A1542+1)*IF($A1542&lt;$Q$1518,INDEX(Surface_Engine!$E$12:$E$72,$A1542+1),INDEX(Surface_Engine!$E$12:$E$72,$Q$1518+1))</f>
        <v>0.147253546253996</v>
      </c>
      <c r="C1542" s="32" t="n">
        <f aca="false">INDEX(Panel_Reserving!$H$8:$H$68,$A1542+1)*IF($A1542&lt;$Q$1518,INDEX(Surface_Engine!$E$12:$E$72,$A1542+1),INDEX(Surface_Engine!$E$12:$E$72,$Q$1518+1))</f>
        <v>0.21550880600087</v>
      </c>
      <c r="D1542" s="32" t="n">
        <f aca="false">INDEX(Surface_Engine!$V$12:$V$72,$A1542+1)*IF($A1542&lt;$Q$1518,INDEX(Surface_Engine!$Y$12:$Y$72,$A1542+1),INDEX(Surface_Engine!$Y$12:$Y$72,$Q$1518+1))</f>
        <v>0.139676607682627</v>
      </c>
      <c r="E1542" s="32" t="n">
        <f aca="false">INDEX(Surface_Engine!$V$12:$V$72,$A1542+1)*IF($A1542&lt;$Q$1518,INDEX(Surface_Engine!$Z$12:$Z$72,$A1542+1),INDEX(Surface_Engine!$Z$12:$Z$72,$Q$1518+1))</f>
        <v>0.155131775120962</v>
      </c>
      <c r="F1542" s="48" t="n">
        <f aca="false">B1542*(IF($A1542&lt;$Q$1518,INDEX(Surface_Engine!$D$12:$D$72,$A1542+1)+(Surface_Engine!G251*12)*INDEX(Surface_Engine!$F$12:$F$72,$A1542+1)-(Surface_Engine!G251*12),1000*12*INDEX(Surface_Engine!$C$12:$C$72,$A1542+1)/(1+Assumptions!$B$10)^5+INDEX(Surface_Engine!$D$12:$D$72,$A1542+1)))*INDEX(Surface_Engine!$B$12:$B$72,$A1542+1)+F1543</f>
        <v>5437.74900354956</v>
      </c>
      <c r="G1542" s="48" t="n">
        <f aca="false">C1542*(IF($A1542&lt;$Q$1518,INDEX(Surface_Engine!$D$12:$D$72,$A1542+1)+(Surface_Engine!G251*12)*INDEX(Surface_Engine!$F$12:$F$72,$A1542+1)-(Surface_Engine!G251*12),1000*12*INDEX(Surface_Engine!$C$12:$C$72,$A1542+1)/(1+Assumptions!$B$10)^5+INDEX(Surface_Engine!$D$12:$D$72,$A1542+1)))*INDEX(Surface_Engine!$B$12:$B$72,$A1542+1)+G1543</f>
        <v>9480.0294782996</v>
      </c>
      <c r="H1542" s="48" t="n">
        <f aca="false">D1542*(IF($A1542&lt;$Q$1518,INDEX(Surface_Engine!$D$12:$D$72,$A1542+1)+(Surface_Engine!G251*12)*INDEX(Surface_Engine!$F$12:$F$72,$A1542+1)-(Surface_Engine!G251*12),1000*12*INDEX(Surface_Engine!$C$12:$C$72,$A1542+1)/(1+Assumptions!$B$10)^5+INDEX(Surface_Engine!$D$12:$D$72,$A1542+1)))*INDEX(Surface_Engine!$B$12:$B$72,$A1542+1)+H1543</f>
        <v>5157.94935719435</v>
      </c>
      <c r="I1542" s="48" t="n">
        <f aca="false">E1542*(IF($A1542&lt;$Q$1518,INDEX(Surface_Engine!$D$12:$D$72,$A1542+1)+(Surface_Engine!G251*12)*INDEX(Surface_Engine!$F$12:$F$72,$A1542+1)-(Surface_Engine!G251*12),1000*12*INDEX(Surface_Engine!$C$12:$C$72,$A1542+1)/(1+Assumptions!$B$10)^5+INDEX(Surface_Engine!$D$12:$D$72,$A1542+1)))*INDEX(Surface_Engine!$B$12:$B$72,$A1542+1)+I1543</f>
        <v>5728.6746366558</v>
      </c>
      <c r="J1542" s="48" t="n">
        <f aca="false">B1542*(IF($A1542&lt;$Q$1518,INDEX(Surface_Engine!$D$12:$D$72,$A1542+1)*(1+Assumptions!$B$24)+(Surface_Engine!G251*12)*INDEX(Surface_Engine!$F$12:$F$72,$A1542+1)-(Surface_Engine!G251*12),1000*12*INDEX(Surface_Engine!$C$12:$C$72,$A1542+1)/(1+Assumptions!$B$10)^5+INDEX(Surface_Engine!$D$12:$D$72,$A1542+1)*(1+Assumptions!$B$24)))*INDEX(Surface_Engine!$B$12:$B$72,$A1542+1)+J1543</f>
        <v>5442.3438766996</v>
      </c>
      <c r="K1542" s="12" t="n">
        <f aca="false">SQRT((IF(C1542&lt;=0,0,MAX(0,(B1542/C1542)*G1542/INDEX(Surface_Engine!$B$12:$B$72,$A1542+1)-F1542/INDEX(Surface_Engine!$B$12:$B$72,$A1542+1))))^2+(MAX(IF(D1542&lt;=0,0,MAX(0,(B1542/D1542)*H1542/INDEX(Surface_Engine!$B$12:$B$72,$A1542+1)-F1542/INDEX(Surface_Engine!$B$12:$B$72,$A1542+1))),IF(E1542&lt;=0,0,MAX(0,(B1542/E1542)*I1542/INDEX(Surface_Engine!$B$12:$B$72,$A1542+1)-F1542/INDEX(Surface_Engine!$B$12:$B$72,$A1542+1))),IF($A1542&lt;$Q$1518,MAX(0,-Assumptions!$B$22*(F1542/INDEX(Surface_Engine!$B$12:$B$72,$A1542+1))),0)))^2+(MAX(0,J1542/INDEX(Surface_Engine!$B$12:$B$72,$A1542+1)-(F1542/INDEX(Surface_Engine!$B$12:$B$72,$A1542+1))))^2+2*Assumptions!$B$26*(IF(C1542&lt;=0,0,MAX(0,(B1542/C1542)*G1542/INDEX(Surface_Engine!$B$12:$B$72,$A1542+1)-F1542/INDEX(Surface_Engine!$B$12:$B$72,$A1542+1))))*(MAX(IF(D1542&lt;=0,0,MAX(0,(B1542/D1542)*H1542/INDEX(Surface_Engine!$B$12:$B$72,$A1542+1)-F1542/INDEX(Surface_Engine!$B$12:$B$72,$A1542+1))),IF(E1542&lt;=0,0,MAX(0,(B1542/E1542)*I1542/INDEX(Surface_Engine!$B$12:$B$72,$A1542+1)-F1542/INDEX(Surface_Engine!$B$12:$B$72,$A1542+1))),IF($A1542&lt;$Q$1518,MAX(0,-Assumptions!$B$22*(F1542/INDEX(Surface_Engine!$B$12:$B$72,$A1542+1))),0)))+2*Assumptions!$B$27*(IF(C1542&lt;=0,0,MAX(0,(B1542/C1542)*G1542/INDEX(Surface_Engine!$B$12:$B$72,$A1542+1)-F1542/INDEX(Surface_Engine!$B$12:$B$72,$A1542+1))))*(MAX(0,J1542/INDEX(Surface_Engine!$B$12:$B$72,$A1542+1)-(F1542/INDEX(Surface_Engine!$B$12:$B$72,$A1542+1))))+2*Assumptions!$B$28*(MAX(IF(D1542&lt;=0,0,MAX(0,(B1542/D1542)*H1542/INDEX(Surface_Engine!$B$12:$B$72,$A1542+1)-F1542/INDEX(Surface_Engine!$B$12:$B$72,$A1542+1))),IF(E1542&lt;=0,0,MAX(0,(B1542/E1542)*I1542/INDEX(Surface_Engine!$B$12:$B$72,$A1542+1)-F1542/INDEX(Surface_Engine!$B$12:$B$72,$A1542+1))),IF($A1542&lt;$Q$1518,MAX(0,-Assumptions!$B$22*(F1542/INDEX(Surface_Engine!$B$12:$B$72,$A1542+1))),0)))*(MAX(0,J1542/INDEX(Surface_Engine!$B$12:$B$72,$A1542+1)-(F1542/INDEX(Surface_Engine!$B$12:$B$72,$A1542+1)))))</f>
        <v>2068.71019364526</v>
      </c>
      <c r="L1542" s="48" t="n">
        <f aca="false">K1542*INDEX(Surface_Engine!$B$12:$B$72,$A1542+1)+L1543</f>
        <v>4032.79161090934</v>
      </c>
      <c r="M1542" s="48" t="n">
        <f aca="false">M1541+B1541*(IF($A1541&lt;$Q$1518,(Surface_Engine!G251*12)-(Surface_Engine!G251*12)*INDEX(Surface_Engine!$F$12:$F$72,$A1541+1)-INDEX(Surface_Engine!$D$12:$D$72,$A1541+1),-(1000*12*INDEX(Surface_Engine!$C$12:$C$72,$A1541+1)/(1+Assumptions!$B$10)^5+INDEX(Surface_Engine!$D$12:$D$72,$A1541+1))))*INDEX(Surface_Engine!$B$12:$B$72,$A1541+1)</f>
        <v>9395.14104585006</v>
      </c>
      <c r="N1542" s="12" t="n">
        <f aca="false">IF(B1542&lt;=0,0,MAX(0,(K1542+Assumptions!$B$29*L1542/INDEX(Surface_Engine!$B$12:$B$72,$A1542+1)-(M1542/INDEX(Surface_Engine!$B$12:$B$72,$A1542+1)-(F1542/INDEX(Surface_Engine!$B$12:$B$72,$A1542+1))))/B1542))</f>
        <v>0</v>
      </c>
    </row>
    <row r="1543" customFormat="false" ht="15" hidden="false" customHeight="true" outlineLevel="0" collapsed="false">
      <c r="A1543" s="1" t="n">
        <v>23</v>
      </c>
      <c r="B1543" s="32" t="n">
        <f aca="false">INDEX(Surface_Engine!$V$12:$V$72,$A1543+1)*IF($A1543&lt;$Q$1518,INDEX(Surface_Engine!$E$12:$E$72,$A1543+1),INDEX(Surface_Engine!$E$12:$E$72,$Q$1518+1))</f>
        <v>0.118893280475711</v>
      </c>
      <c r="C1543" s="32" t="n">
        <f aca="false">INDEX(Panel_Reserving!$H$8:$H$68,$A1543+1)*IF($A1543&lt;$Q$1518,INDEX(Surface_Engine!$E$12:$E$72,$A1543+1),INDEX(Surface_Engine!$E$12:$E$72,$Q$1518+1))</f>
        <v>0.182304107458925</v>
      </c>
      <c r="D1543" s="32" t="n">
        <f aca="false">INDEX(Surface_Engine!$V$12:$V$72,$A1543+1)*IF($A1543&lt;$Q$1518,INDEX(Surface_Engine!$Y$12:$Y$72,$A1543+1),INDEX(Surface_Engine!$Y$12:$Y$72,$Q$1518+1))</f>
        <v>0.112775620795318</v>
      </c>
      <c r="E1543" s="32" t="n">
        <f aca="false">INDEX(Surface_Engine!$V$12:$V$72,$A1543+1)*IF($A1543&lt;$Q$1518,INDEX(Surface_Engine!$Z$12:$Z$72,$A1543+1),INDEX(Surface_Engine!$Z$12:$Z$72,$Q$1518+1))</f>
        <v>0.125254203510573</v>
      </c>
      <c r="F1543" s="48" t="n">
        <f aca="false">B1543*(IF($A1543&lt;$Q$1518,INDEX(Surface_Engine!$D$12:$D$72,$A1543+1)+(Surface_Engine!G251*12)*INDEX(Surface_Engine!$F$12:$F$72,$A1543+1)-(Surface_Engine!G251*12),1000*12*INDEX(Surface_Engine!$C$12:$C$72,$A1543+1)/(1+Assumptions!$B$10)^5+INDEX(Surface_Engine!$D$12:$D$72,$A1543+1)))*INDEX(Surface_Engine!$B$12:$B$72,$A1543+1)+F1544</f>
        <v>4182.2530611627</v>
      </c>
      <c r="G1543" s="48" t="n">
        <f aca="false">C1543*(IF($A1543&lt;$Q$1518,INDEX(Surface_Engine!$D$12:$D$72,$A1543+1)+(Surface_Engine!G251*12)*INDEX(Surface_Engine!$F$12:$F$72,$A1543+1)-(Surface_Engine!G251*12),1000*12*INDEX(Surface_Engine!$C$12:$C$72,$A1543+1)/(1+Assumptions!$B$10)^5+INDEX(Surface_Engine!$D$12:$D$72,$A1543+1)))*INDEX(Surface_Engine!$B$12:$B$72,$A1543+1)+G1544</f>
        <v>7642.58353308599</v>
      </c>
      <c r="H1543" s="48" t="n">
        <f aca="false">D1543*(IF($A1543&lt;$Q$1518,INDEX(Surface_Engine!$D$12:$D$72,$A1543+1)+(Surface_Engine!G251*12)*INDEX(Surface_Engine!$F$12:$F$72,$A1543+1)-(Surface_Engine!G251*12),1000*12*INDEX(Surface_Engine!$C$12:$C$72,$A1543+1)/(1+Assumptions!$B$10)^5+INDEX(Surface_Engine!$D$12:$D$72,$A1543+1)))*INDEX(Surface_Engine!$B$12:$B$72,$A1543+1)+H1544</f>
        <v>3967.05502118008</v>
      </c>
      <c r="I1543" s="48" t="n">
        <f aca="false">E1543*(IF($A1543&lt;$Q$1518,INDEX(Surface_Engine!$D$12:$D$72,$A1543+1)+(Surface_Engine!G251*12)*INDEX(Surface_Engine!$F$12:$F$72,$A1543+1)-(Surface_Engine!G251*12),1000*12*INDEX(Surface_Engine!$C$12:$C$72,$A1543+1)/(1+Assumptions!$B$10)^5+INDEX(Surface_Engine!$D$12:$D$72,$A1543+1)))*INDEX(Surface_Engine!$B$12:$B$72,$A1543+1)+I1544</f>
        <v>4406.00826185972</v>
      </c>
      <c r="J1543" s="48" t="n">
        <f aca="false">B1543*(IF($A1543&lt;$Q$1518,INDEX(Surface_Engine!$D$12:$D$72,$A1543+1)*(1+Assumptions!$B$24)+(Surface_Engine!G251*12)*INDEX(Surface_Engine!$F$12:$F$72,$A1543+1)-(Surface_Engine!G251*12),1000*12*INDEX(Surface_Engine!$C$12:$C$72,$A1543+1)/(1+Assumptions!$B$10)^5+INDEX(Surface_Engine!$D$12:$D$72,$A1543+1)*(1+Assumptions!$B$24)))*INDEX(Surface_Engine!$B$12:$B$72,$A1543+1)+J1544</f>
        <v>4185.80192253878</v>
      </c>
      <c r="K1543" s="12" t="n">
        <f aca="false">SQRT((IF(C1543&lt;=0,0,MAX(0,(B1543/C1543)*G1543/INDEX(Surface_Engine!$B$12:$B$72,$A1543+1)-F1543/INDEX(Surface_Engine!$B$12:$B$72,$A1543+1))))^2+(MAX(IF(D1543&lt;=0,0,MAX(0,(B1543/D1543)*H1543/INDEX(Surface_Engine!$B$12:$B$72,$A1543+1)-F1543/INDEX(Surface_Engine!$B$12:$B$72,$A1543+1))),IF(E1543&lt;=0,0,MAX(0,(B1543/E1543)*I1543/INDEX(Surface_Engine!$B$12:$B$72,$A1543+1)-F1543/INDEX(Surface_Engine!$B$12:$B$72,$A1543+1))),IF($A1543&lt;$Q$1518,MAX(0,-Assumptions!$B$22*(F1543/INDEX(Surface_Engine!$B$12:$B$72,$A1543+1))),0)))^2+(MAX(0,J1543/INDEX(Surface_Engine!$B$12:$B$72,$A1543+1)-(F1543/INDEX(Surface_Engine!$B$12:$B$72,$A1543+1))))^2+2*Assumptions!$B$26*(IF(C1543&lt;=0,0,MAX(0,(B1543/C1543)*G1543/INDEX(Surface_Engine!$B$12:$B$72,$A1543+1)-F1543/INDEX(Surface_Engine!$B$12:$B$72,$A1543+1))))*(MAX(IF(D1543&lt;=0,0,MAX(0,(B1543/D1543)*H1543/INDEX(Surface_Engine!$B$12:$B$72,$A1543+1)-F1543/INDEX(Surface_Engine!$B$12:$B$72,$A1543+1))),IF(E1543&lt;=0,0,MAX(0,(B1543/E1543)*I1543/INDEX(Surface_Engine!$B$12:$B$72,$A1543+1)-F1543/INDEX(Surface_Engine!$B$12:$B$72,$A1543+1))),IF($A1543&lt;$Q$1518,MAX(0,-Assumptions!$B$22*(F1543/INDEX(Surface_Engine!$B$12:$B$72,$A1543+1))),0)))+2*Assumptions!$B$27*(IF(C1543&lt;=0,0,MAX(0,(B1543/C1543)*G1543/INDEX(Surface_Engine!$B$12:$B$72,$A1543+1)-F1543/INDEX(Surface_Engine!$B$12:$B$72,$A1543+1))))*(MAX(0,J1543/INDEX(Surface_Engine!$B$12:$B$72,$A1543+1)-(F1543/INDEX(Surface_Engine!$B$12:$B$72,$A1543+1))))+2*Assumptions!$B$28*(MAX(IF(D1543&lt;=0,0,MAX(0,(B1543/D1543)*H1543/INDEX(Surface_Engine!$B$12:$B$72,$A1543+1)-F1543/INDEX(Surface_Engine!$B$12:$B$72,$A1543+1))),IF(E1543&lt;=0,0,MAX(0,(B1543/E1543)*I1543/INDEX(Surface_Engine!$B$12:$B$72,$A1543+1)-F1543/INDEX(Surface_Engine!$B$12:$B$72,$A1543+1))),IF($A1543&lt;$Q$1518,MAX(0,-Assumptions!$B$22*(F1543/INDEX(Surface_Engine!$B$12:$B$72,$A1543+1))),0)))*(MAX(0,J1543/INDEX(Surface_Engine!$B$12:$B$72,$A1543+1)-(F1543/INDEX(Surface_Engine!$B$12:$B$72,$A1543+1)))))</f>
        <v>1646.59600216872</v>
      </c>
      <c r="L1543" s="48" t="n">
        <f aca="false">K1543*INDEX(Surface_Engine!$B$12:$B$72,$A1543+1)+L1544</f>
        <v>2991.83752569913</v>
      </c>
      <c r="M1543" s="48" t="n">
        <f aca="false">M1542+B1542*(IF($A1542&lt;$Q$1518,(Surface_Engine!G251*12)-(Surface_Engine!G251*12)*INDEX(Surface_Engine!$F$12:$F$72,$A1542+1)-INDEX(Surface_Engine!$D$12:$D$72,$A1542+1),-(1000*12*INDEX(Surface_Engine!$C$12:$C$72,$A1542+1)/(1+Assumptions!$B$10)^5+INDEX(Surface_Engine!$D$12:$D$72,$A1542+1))))*INDEX(Surface_Engine!$B$12:$B$72,$A1542+1)</f>
        <v>8139.6451034632</v>
      </c>
      <c r="N1543" s="12" t="n">
        <f aca="false">IF(B1543&lt;=0,0,MAX(0,(K1543+Assumptions!$B$29*L1543/INDEX(Surface_Engine!$B$12:$B$72,$A1543+1)-(M1543/INDEX(Surface_Engine!$B$12:$B$72,$A1543+1)-(F1543/INDEX(Surface_Engine!$B$12:$B$72,$A1543+1))))/B1543))</f>
        <v>0</v>
      </c>
    </row>
    <row r="1544" customFormat="false" ht="15" hidden="false" customHeight="true" outlineLevel="0" collapsed="false">
      <c r="A1544" s="1" t="n">
        <v>24</v>
      </c>
      <c r="B1544" s="32" t="n">
        <f aca="false">INDEX(Surface_Engine!$V$12:$V$72,$A1544+1)*IF($A1544&lt;$Q$1518,INDEX(Surface_Engine!$E$12:$E$72,$A1544+1),INDEX(Surface_Engine!$E$12:$E$72,$Q$1518+1))</f>
        <v>0.0948705876829514</v>
      </c>
      <c r="C1544" s="32" t="n">
        <f aca="false">INDEX(Panel_Reserving!$H$8:$H$68,$A1544+1)*IF($A1544&lt;$Q$1518,INDEX(Surface_Engine!$E$12:$E$72,$A1544+1),INDEX(Surface_Engine!$E$12:$E$72,$Q$1518+1))</f>
        <v>0.152836096813941</v>
      </c>
      <c r="D1544" s="32" t="n">
        <f aca="false">INDEX(Surface_Engine!$V$12:$V$72,$A1544+1)*IF($A1544&lt;$Q$1518,INDEX(Surface_Engine!$Y$12:$Y$72,$A1544+1),INDEX(Surface_Engine!$Y$12:$Y$72,$Q$1518+1))</f>
        <v>0.0899890168590915</v>
      </c>
      <c r="E1544" s="32" t="n">
        <f aca="false">INDEX(Surface_Engine!$V$12:$V$72,$A1544+1)*IF($A1544&lt;$Q$1518,INDEX(Surface_Engine!$Z$12:$Z$72,$A1544+1),INDEX(Surface_Engine!$Z$12:$Z$72,$Q$1518+1))</f>
        <v>0.0999462698754923</v>
      </c>
      <c r="F1544" s="48" t="n">
        <f aca="false">B1544*(IF($A1544&lt;$Q$1518,INDEX(Surface_Engine!$D$12:$D$72,$A1544+1)+(Surface_Engine!G251*12)*INDEX(Surface_Engine!$F$12:$F$72,$A1544+1)-(Surface_Engine!G251*12),1000*12*INDEX(Surface_Engine!$C$12:$C$72,$A1544+1)/(1+Assumptions!$B$10)^5+INDEX(Surface_Engine!$D$12:$D$72,$A1544+1)))*INDEX(Surface_Engine!$B$12:$B$72,$A1544+1)+F1545</f>
        <v>3180.24708421313</v>
      </c>
      <c r="G1544" s="48" t="n">
        <f aca="false">C1544*(IF($A1544&lt;$Q$1518,INDEX(Surface_Engine!$D$12:$D$72,$A1544+1)+(Surface_Engine!G251*12)*INDEX(Surface_Engine!$F$12:$F$72,$A1544+1)-(Surface_Engine!G251*12),1000*12*INDEX(Surface_Engine!$C$12:$C$72,$A1544+1)/(1+Assumptions!$B$10)^5+INDEX(Surface_Engine!$D$12:$D$72,$A1544+1)))*INDEX(Surface_Engine!$B$12:$B$72,$A1544+1)+G1545</f>
        <v>6106.16528837606</v>
      </c>
      <c r="H1544" s="48" t="n">
        <f aca="false">D1544*(IF($A1544&lt;$Q$1518,INDEX(Surface_Engine!$D$12:$D$72,$A1544+1)+(Surface_Engine!G251*12)*INDEX(Surface_Engine!$F$12:$F$72,$A1544+1)-(Surface_Engine!G251*12),1000*12*INDEX(Surface_Engine!$C$12:$C$72,$A1544+1)/(1+Assumptions!$B$10)^5+INDEX(Surface_Engine!$D$12:$D$72,$A1544+1)))*INDEX(Surface_Engine!$B$12:$B$72,$A1544+1)+H1545</f>
        <v>3016.60731178079</v>
      </c>
      <c r="I1544" s="48" t="n">
        <f aca="false">E1544*(IF($A1544&lt;$Q$1518,INDEX(Surface_Engine!$D$12:$D$72,$A1544+1)+(Surface_Engine!G251*12)*INDEX(Surface_Engine!$F$12:$F$72,$A1544+1)-(Surface_Engine!G251*12),1000*12*INDEX(Surface_Engine!$C$12:$C$72,$A1544+1)/(1+Assumptions!$B$10)^5+INDEX(Surface_Engine!$D$12:$D$72,$A1544+1)))*INDEX(Surface_Engine!$B$12:$B$72,$A1544+1)+I1545</f>
        <v>3350.39384821512</v>
      </c>
      <c r="J1544" s="48" t="n">
        <f aca="false">B1544*(IF($A1544&lt;$Q$1518,INDEX(Surface_Engine!$D$12:$D$72,$A1544+1)*(1+Assumptions!$B$24)+(Surface_Engine!G251*12)*INDEX(Surface_Engine!$F$12:$F$72,$A1544+1)-(Surface_Engine!G251*12),1000*12*INDEX(Surface_Engine!$C$12:$C$72,$A1544+1)/(1+Assumptions!$B$10)^5+INDEX(Surface_Engine!$D$12:$D$72,$A1544+1)*(1+Assumptions!$B$24)))*INDEX(Surface_Engine!$B$12:$B$72,$A1544+1)+J1545</f>
        <v>3182.95707005417</v>
      </c>
      <c r="K1544" s="12" t="n">
        <f aca="false">SQRT((IF(C1544&lt;=0,0,MAX(0,(B1544/C1544)*G1544/INDEX(Surface_Engine!$B$12:$B$72,$A1544+1)-F1544/INDEX(Surface_Engine!$B$12:$B$72,$A1544+1))))^2+(MAX(IF(D1544&lt;=0,0,MAX(0,(B1544/D1544)*H1544/INDEX(Surface_Engine!$B$12:$B$72,$A1544+1)-F1544/INDEX(Surface_Engine!$B$12:$B$72,$A1544+1))),IF(E1544&lt;=0,0,MAX(0,(B1544/E1544)*I1544/INDEX(Surface_Engine!$B$12:$B$72,$A1544+1)-F1544/INDEX(Surface_Engine!$B$12:$B$72,$A1544+1))),IF($A1544&lt;$Q$1518,MAX(0,-Assumptions!$B$22*(F1544/INDEX(Surface_Engine!$B$12:$B$72,$A1544+1))),0)))^2+(MAX(0,J1544/INDEX(Surface_Engine!$B$12:$B$72,$A1544+1)-(F1544/INDEX(Surface_Engine!$B$12:$B$72,$A1544+1))))^2+2*Assumptions!$B$26*(IF(C1544&lt;=0,0,MAX(0,(B1544/C1544)*G1544/INDEX(Surface_Engine!$B$12:$B$72,$A1544+1)-F1544/INDEX(Surface_Engine!$B$12:$B$72,$A1544+1))))*(MAX(IF(D1544&lt;=0,0,MAX(0,(B1544/D1544)*H1544/INDEX(Surface_Engine!$B$12:$B$72,$A1544+1)-F1544/INDEX(Surface_Engine!$B$12:$B$72,$A1544+1))),IF(E1544&lt;=0,0,MAX(0,(B1544/E1544)*I1544/INDEX(Surface_Engine!$B$12:$B$72,$A1544+1)-F1544/INDEX(Surface_Engine!$B$12:$B$72,$A1544+1))),IF($A1544&lt;$Q$1518,MAX(0,-Assumptions!$B$22*(F1544/INDEX(Surface_Engine!$B$12:$B$72,$A1544+1))),0)))+2*Assumptions!$B$27*(IF(C1544&lt;=0,0,MAX(0,(B1544/C1544)*G1544/INDEX(Surface_Engine!$B$12:$B$72,$A1544+1)-F1544/INDEX(Surface_Engine!$B$12:$B$72,$A1544+1))))*(MAX(0,J1544/INDEX(Surface_Engine!$B$12:$B$72,$A1544+1)-(F1544/INDEX(Surface_Engine!$B$12:$B$72,$A1544+1))))+2*Assumptions!$B$28*(MAX(IF(D1544&lt;=0,0,MAX(0,(B1544/D1544)*H1544/INDEX(Surface_Engine!$B$12:$B$72,$A1544+1)-F1544/INDEX(Surface_Engine!$B$12:$B$72,$A1544+1))),IF(E1544&lt;=0,0,MAX(0,(B1544/E1544)*I1544/INDEX(Surface_Engine!$B$12:$B$72,$A1544+1)-F1544/INDEX(Surface_Engine!$B$12:$B$72,$A1544+1))),IF($A1544&lt;$Q$1518,MAX(0,-Assumptions!$B$22*(F1544/INDEX(Surface_Engine!$B$12:$B$72,$A1544+1))),0)))*(MAX(0,J1544/INDEX(Surface_Engine!$B$12:$B$72,$A1544+1)-(F1544/INDEX(Surface_Engine!$B$12:$B$72,$A1544+1)))))</f>
        <v>1292.83726557093</v>
      </c>
      <c r="L1544" s="48" t="n">
        <f aca="false">K1544*INDEX(Surface_Engine!$B$12:$B$72,$A1544+1)+L1545</f>
        <v>2188.93186671272</v>
      </c>
      <c r="M1544" s="48" t="n">
        <f aca="false">M1543+B1543*(IF($A1543&lt;$Q$1518,(Surface_Engine!G251*12)-(Surface_Engine!G251*12)*INDEX(Surface_Engine!$F$12:$F$72,$A1543+1)-INDEX(Surface_Engine!$D$12:$D$72,$A1543+1),-(1000*12*INDEX(Surface_Engine!$C$12:$C$72,$A1543+1)/(1+Assumptions!$B$10)^5+INDEX(Surface_Engine!$D$12:$D$72,$A1543+1))))*INDEX(Surface_Engine!$B$12:$B$72,$A1543+1)</f>
        <v>7137.63912651363</v>
      </c>
      <c r="N1544" s="12" t="n">
        <f aca="false">IF(B1544&lt;=0,0,MAX(0,(K1544+Assumptions!$B$29*L1544/INDEX(Surface_Engine!$B$12:$B$72,$A1544+1)-(M1544/INDEX(Surface_Engine!$B$12:$B$72,$A1544+1)-(F1544/INDEX(Surface_Engine!$B$12:$B$72,$A1544+1))))/B1544))</f>
        <v>0</v>
      </c>
    </row>
    <row r="1545" customFormat="false" ht="15" hidden="false" customHeight="true" outlineLevel="0" collapsed="false">
      <c r="A1545" s="1" t="n">
        <v>25</v>
      </c>
      <c r="B1545" s="32" t="n">
        <f aca="false">INDEX(Surface_Engine!$V$12:$V$72,$A1545+1)*IF($A1545&lt;$Q$1518,INDEX(Surface_Engine!$E$12:$E$72,$A1545+1),INDEX(Surface_Engine!$E$12:$E$72,$Q$1518+1))</f>
        <v>0.0747931207111596</v>
      </c>
      <c r="C1545" s="32" t="n">
        <f aca="false">INDEX(Panel_Reserving!$H$8:$H$68,$A1545+1)*IF($A1545&lt;$Q$1518,INDEX(Surface_Engine!$E$12:$E$72,$A1545+1),INDEX(Surface_Engine!$E$12:$E$72,$Q$1518+1))</f>
        <v>0.126960328478791</v>
      </c>
      <c r="D1545" s="32" t="n">
        <f aca="false">INDEX(Surface_Engine!$V$12:$V$72,$A1545+1)*IF($A1545&lt;$Q$1518,INDEX(Surface_Engine!$Y$12:$Y$72,$A1545+1),INDEX(Surface_Engine!$Y$12:$Y$72,$Q$1518+1))</f>
        <v>0.0709446369523239</v>
      </c>
      <c r="E1545" s="32" t="n">
        <f aca="false">INDEX(Surface_Engine!$V$12:$V$72,$A1545+1)*IF($A1545&lt;$Q$1518,INDEX(Surface_Engine!$Z$12:$Z$72,$A1545+1),INDEX(Surface_Engine!$Z$12:$Z$72,$Q$1518+1))</f>
        <v>0.078794636040514</v>
      </c>
      <c r="F1545" s="48" t="n">
        <f aca="false">B1545*(IF($A1545&lt;$Q$1518,INDEX(Surface_Engine!$D$12:$D$72,$A1545+1)+(Surface_Engine!G251*12)*INDEX(Surface_Engine!$F$12:$F$72,$A1545+1)-(Surface_Engine!G251*12),1000*12*INDEX(Surface_Engine!$C$12:$C$72,$A1545+1)/(1+Assumptions!$B$10)^5+INDEX(Surface_Engine!$D$12:$D$72,$A1545+1)))*INDEX(Surface_Engine!$B$12:$B$72,$A1545+1)+F1546</f>
        <v>2390.11683705444</v>
      </c>
      <c r="G1545" s="48" t="n">
        <f aca="false">C1545*(IF($A1545&lt;$Q$1518,INDEX(Surface_Engine!$D$12:$D$72,$A1545+1)+(Surface_Engine!G251*12)*INDEX(Surface_Engine!$F$12:$F$72,$A1545+1)-(Surface_Engine!G251*12),1000*12*INDEX(Surface_Engine!$C$12:$C$72,$A1545+1)/(1+Assumptions!$B$10)^5+INDEX(Surface_Engine!$D$12:$D$72,$A1545+1)))*INDEX(Surface_Engine!$B$12:$B$72,$A1545+1)+G1546</f>
        <v>4833.26895770359</v>
      </c>
      <c r="H1545" s="48" t="n">
        <f aca="false">D1545*(IF($A1545&lt;$Q$1518,INDEX(Surface_Engine!$D$12:$D$72,$A1545+1)+(Surface_Engine!G251*12)*INDEX(Surface_Engine!$F$12:$F$72,$A1545+1)-(Surface_Engine!G251*12),1000*12*INDEX(Surface_Engine!$C$12:$C$72,$A1545+1)/(1+Assumptions!$B$10)^5+INDEX(Surface_Engine!$D$12:$D$72,$A1545+1)))*INDEX(Surface_Engine!$B$12:$B$72,$A1545+1)+H1546</f>
        <v>2267.13325592208</v>
      </c>
      <c r="I1545" s="48" t="n">
        <f aca="false">E1545*(IF($A1545&lt;$Q$1518,INDEX(Surface_Engine!$D$12:$D$72,$A1545+1)+(Surface_Engine!G251*12)*INDEX(Surface_Engine!$F$12:$F$72,$A1545+1)-(Surface_Engine!G251*12),1000*12*INDEX(Surface_Engine!$C$12:$C$72,$A1545+1)/(1+Assumptions!$B$10)^5+INDEX(Surface_Engine!$D$12:$D$72,$A1545+1)))*INDEX(Surface_Engine!$B$12:$B$72,$A1545+1)+I1546</f>
        <v>2517.99075208142</v>
      </c>
      <c r="J1545" s="48" t="n">
        <f aca="false">B1545*(IF($A1545&lt;$Q$1518,INDEX(Surface_Engine!$D$12:$D$72,$A1545+1)*(1+Assumptions!$B$24)+(Surface_Engine!G251*12)*INDEX(Surface_Engine!$F$12:$F$72,$A1545+1)-(Surface_Engine!G251*12),1000*12*INDEX(Surface_Engine!$C$12:$C$72,$A1545+1)/(1+Assumptions!$B$10)^5+INDEX(Surface_Engine!$D$12:$D$72,$A1545+1)*(1+Assumptions!$B$24)))*INDEX(Surface_Engine!$B$12:$B$72,$A1545+1)+J1546</f>
        <v>2392.16211356476</v>
      </c>
      <c r="K1545" s="12" t="n">
        <f aca="false">SQRT((IF(C1545&lt;=0,0,MAX(0,(B1545/C1545)*G1545/INDEX(Surface_Engine!$B$12:$B$72,$A1545+1)-F1545/INDEX(Surface_Engine!$B$12:$B$72,$A1545+1))))^2+(MAX(IF(D1545&lt;=0,0,MAX(0,(B1545/D1545)*H1545/INDEX(Surface_Engine!$B$12:$B$72,$A1545+1)-F1545/INDEX(Surface_Engine!$B$12:$B$72,$A1545+1))),IF(E1545&lt;=0,0,MAX(0,(B1545/E1545)*I1545/INDEX(Surface_Engine!$B$12:$B$72,$A1545+1)-F1545/INDEX(Surface_Engine!$B$12:$B$72,$A1545+1))),IF($A1545&lt;$Q$1518,MAX(0,-Assumptions!$B$22*(F1545/INDEX(Surface_Engine!$B$12:$B$72,$A1545+1))),0)))^2+(MAX(0,J1545/INDEX(Surface_Engine!$B$12:$B$72,$A1545+1)-(F1545/INDEX(Surface_Engine!$B$12:$B$72,$A1545+1))))^2+2*Assumptions!$B$26*(IF(C1545&lt;=0,0,MAX(0,(B1545/C1545)*G1545/INDEX(Surface_Engine!$B$12:$B$72,$A1545+1)-F1545/INDEX(Surface_Engine!$B$12:$B$72,$A1545+1))))*(MAX(IF(D1545&lt;=0,0,MAX(0,(B1545/D1545)*H1545/INDEX(Surface_Engine!$B$12:$B$72,$A1545+1)-F1545/INDEX(Surface_Engine!$B$12:$B$72,$A1545+1))),IF(E1545&lt;=0,0,MAX(0,(B1545/E1545)*I1545/INDEX(Surface_Engine!$B$12:$B$72,$A1545+1)-F1545/INDEX(Surface_Engine!$B$12:$B$72,$A1545+1))),IF($A1545&lt;$Q$1518,MAX(0,-Assumptions!$B$22*(F1545/INDEX(Surface_Engine!$B$12:$B$72,$A1545+1))),0)))+2*Assumptions!$B$27*(IF(C1545&lt;=0,0,MAX(0,(B1545/C1545)*G1545/INDEX(Surface_Engine!$B$12:$B$72,$A1545+1)-F1545/INDEX(Surface_Engine!$B$12:$B$72,$A1545+1))))*(MAX(0,J1545/INDEX(Surface_Engine!$B$12:$B$72,$A1545+1)-(F1545/INDEX(Surface_Engine!$B$12:$B$72,$A1545+1))))+2*Assumptions!$B$28*(MAX(IF(D1545&lt;=0,0,MAX(0,(B1545/D1545)*H1545/INDEX(Surface_Engine!$B$12:$B$72,$A1545+1)-F1545/INDEX(Surface_Engine!$B$12:$B$72,$A1545+1))),IF(E1545&lt;=0,0,MAX(0,(B1545/E1545)*I1545/INDEX(Surface_Engine!$B$12:$B$72,$A1545+1)-F1545/INDEX(Surface_Engine!$B$12:$B$72,$A1545+1))),IF($A1545&lt;$Q$1518,MAX(0,-Assumptions!$B$22*(F1545/INDEX(Surface_Engine!$B$12:$B$72,$A1545+1))),0)))*(MAX(0,J1545/INDEX(Surface_Engine!$B$12:$B$72,$A1545+1)-(F1545/INDEX(Surface_Engine!$B$12:$B$72,$A1545+1)))))</f>
        <v>999.88508586208</v>
      </c>
      <c r="L1545" s="48" t="n">
        <f aca="false">K1545*INDEX(Surface_Engine!$B$12:$B$72,$A1545+1)+L1546</f>
        <v>1578.1903764225</v>
      </c>
      <c r="M1545" s="48" t="n">
        <f aca="false">M1544+B1544*(IF($A1544&lt;$Q$1518,(Surface_Engine!G251*12)-(Surface_Engine!G251*12)*INDEX(Surface_Engine!$F$12:$F$72,$A1544+1)-INDEX(Surface_Engine!$D$12:$D$72,$A1544+1),-(1000*12*INDEX(Surface_Engine!$C$12:$C$72,$A1544+1)/(1+Assumptions!$B$10)^5+INDEX(Surface_Engine!$D$12:$D$72,$A1544+1))))*INDEX(Surface_Engine!$B$12:$B$72,$A1544+1)</f>
        <v>6347.50887935494</v>
      </c>
      <c r="N1545" s="12" t="n">
        <f aca="false">IF(B1545&lt;=0,0,MAX(0,(K1545+Assumptions!$B$29*L1545/INDEX(Surface_Engine!$B$12:$B$72,$A1545+1)-(M1545/INDEX(Surface_Engine!$B$12:$B$72,$A1545+1)-(F1545/INDEX(Surface_Engine!$B$12:$B$72,$A1545+1))))/B1545))</f>
        <v>0</v>
      </c>
    </row>
    <row r="1546" customFormat="false" ht="15" hidden="false" customHeight="true" outlineLevel="0" collapsed="false">
      <c r="A1546" s="1" t="n">
        <v>26</v>
      </c>
      <c r="B1546" s="32" t="n">
        <f aca="false">INDEX(Surface_Engine!$V$12:$V$72,$A1546+1)*IF($A1546&lt;$Q$1518,INDEX(Surface_Engine!$E$12:$E$72,$A1546+1),INDEX(Surface_Engine!$E$12:$E$72,$Q$1518+1))</f>
        <v>0.0582172819824894</v>
      </c>
      <c r="C1546" s="32" t="n">
        <f aca="false">INDEX(Panel_Reserving!$H$8:$H$68,$A1546+1)*IF($A1546&lt;$Q$1518,INDEX(Surface_Engine!$E$12:$E$72,$A1546+1),INDEX(Surface_Engine!$E$12:$E$72,$Q$1518+1))</f>
        <v>0.104450515706779</v>
      </c>
      <c r="D1546" s="32" t="n">
        <f aca="false">INDEX(Surface_Engine!$V$12:$V$72,$A1546+1)*IF($A1546&lt;$Q$1518,INDEX(Surface_Engine!$Y$12:$Y$72,$A1546+1),INDEX(Surface_Engine!$Y$12:$Y$72,$Q$1518+1))</f>
        <v>0.0552217088326751</v>
      </c>
      <c r="E1546" s="32" t="n">
        <f aca="false">INDEX(Surface_Engine!$V$12:$V$72,$A1546+1)*IF($A1546&lt;$Q$1518,INDEX(Surface_Engine!$Z$12:$Z$72,$A1546+1),INDEX(Surface_Engine!$Z$12:$Z$72,$Q$1518+1))</f>
        <v>0.061331971462902</v>
      </c>
      <c r="F1546" s="48" t="n">
        <f aca="false">B1546*(IF($A1546&lt;$Q$1518,INDEX(Surface_Engine!$D$12:$D$72,$A1546+1)+(Surface_Engine!G251*12)*INDEX(Surface_Engine!$F$12:$F$72,$A1546+1)-(Surface_Engine!G251*12),1000*12*INDEX(Surface_Engine!$C$12:$C$72,$A1546+1)/(1+Assumptions!$B$10)^5+INDEX(Surface_Engine!$D$12:$D$72,$A1546+1)))*INDEX(Surface_Engine!$B$12:$B$72,$A1546+1)+F1547</f>
        <v>1774.41375047523</v>
      </c>
      <c r="G1546" s="48" t="n">
        <f aca="false">C1546*(IF($A1546&lt;$Q$1518,INDEX(Surface_Engine!$D$12:$D$72,$A1546+1)+(Surface_Engine!G251*12)*INDEX(Surface_Engine!$F$12:$F$72,$A1546+1)-(Surface_Engine!G251*12),1000*12*INDEX(Surface_Engine!$C$12:$C$72,$A1546+1)/(1+Assumptions!$B$10)^5+INDEX(Surface_Engine!$D$12:$D$72,$A1546+1)))*INDEX(Surface_Engine!$B$12:$B$72,$A1546+1)+G1547</f>
        <v>3788.12115033527</v>
      </c>
      <c r="H1546" s="48" t="n">
        <f aca="false">D1546*(IF($A1546&lt;$Q$1518,INDEX(Surface_Engine!$D$12:$D$72,$A1546+1)+(Surface_Engine!G251*12)*INDEX(Surface_Engine!$F$12:$F$72,$A1546+1)-(Surface_Engine!G251*12),1000*12*INDEX(Surface_Engine!$C$12:$C$72,$A1546+1)/(1+Assumptions!$B$10)^5+INDEX(Surface_Engine!$D$12:$D$72,$A1546+1)))*INDEX(Surface_Engine!$B$12:$B$72,$A1546+1)+H1547</f>
        <v>1683.11120239022</v>
      </c>
      <c r="I1546" s="48" t="n">
        <f aca="false">E1546*(IF($A1546&lt;$Q$1518,INDEX(Surface_Engine!$D$12:$D$72,$A1546+1)+(Surface_Engine!G251*12)*INDEX(Surface_Engine!$F$12:$F$72,$A1546+1)-(Surface_Engine!G251*12),1000*12*INDEX(Surface_Engine!$C$12:$C$72,$A1546+1)/(1+Assumptions!$B$10)^5+INDEX(Surface_Engine!$D$12:$D$72,$A1546+1)))*INDEX(Surface_Engine!$B$12:$B$72,$A1546+1)+I1547</f>
        <v>1869.3468640508</v>
      </c>
      <c r="J1546" s="48" t="n">
        <f aca="false">B1546*(IF($A1546&lt;$Q$1518,INDEX(Surface_Engine!$D$12:$D$72,$A1546+1)*(1+Assumptions!$B$24)+(Surface_Engine!G251*12)*INDEX(Surface_Engine!$F$12:$F$72,$A1546+1)-(Surface_Engine!G251*12),1000*12*INDEX(Surface_Engine!$C$12:$C$72,$A1546+1)/(1+Assumptions!$B$10)^5+INDEX(Surface_Engine!$D$12:$D$72,$A1546+1)*(1+Assumptions!$B$24)))*INDEX(Surface_Engine!$B$12:$B$72,$A1546+1)+J1547</f>
        <v>1775.93853960681</v>
      </c>
      <c r="K1546" s="12" t="n">
        <f aca="false">SQRT((IF(C1546&lt;=0,0,MAX(0,(B1546/C1546)*G1546/INDEX(Surface_Engine!$B$12:$B$72,$A1546+1)-F1546/INDEX(Surface_Engine!$B$12:$B$72,$A1546+1))))^2+(MAX(IF(D1546&lt;=0,0,MAX(0,(B1546/D1546)*H1546/INDEX(Surface_Engine!$B$12:$B$72,$A1546+1)-F1546/INDEX(Surface_Engine!$B$12:$B$72,$A1546+1))),IF(E1546&lt;=0,0,MAX(0,(B1546/E1546)*I1546/INDEX(Surface_Engine!$B$12:$B$72,$A1546+1)-F1546/INDEX(Surface_Engine!$B$12:$B$72,$A1546+1))),IF($A1546&lt;$Q$1518,MAX(0,-Assumptions!$B$22*(F1546/INDEX(Surface_Engine!$B$12:$B$72,$A1546+1))),0)))^2+(MAX(0,J1546/INDEX(Surface_Engine!$B$12:$B$72,$A1546+1)-(F1546/INDEX(Surface_Engine!$B$12:$B$72,$A1546+1))))^2+2*Assumptions!$B$26*(IF(C1546&lt;=0,0,MAX(0,(B1546/C1546)*G1546/INDEX(Surface_Engine!$B$12:$B$72,$A1546+1)-F1546/INDEX(Surface_Engine!$B$12:$B$72,$A1546+1))))*(MAX(IF(D1546&lt;=0,0,MAX(0,(B1546/D1546)*H1546/INDEX(Surface_Engine!$B$12:$B$72,$A1546+1)-F1546/INDEX(Surface_Engine!$B$12:$B$72,$A1546+1))),IF(E1546&lt;=0,0,MAX(0,(B1546/E1546)*I1546/INDEX(Surface_Engine!$B$12:$B$72,$A1546+1)-F1546/INDEX(Surface_Engine!$B$12:$B$72,$A1546+1))),IF($A1546&lt;$Q$1518,MAX(0,-Assumptions!$B$22*(F1546/INDEX(Surface_Engine!$B$12:$B$72,$A1546+1))),0)))+2*Assumptions!$B$27*(IF(C1546&lt;=0,0,MAX(0,(B1546/C1546)*G1546/INDEX(Surface_Engine!$B$12:$B$72,$A1546+1)-F1546/INDEX(Surface_Engine!$B$12:$B$72,$A1546+1))))*(MAX(0,J1546/INDEX(Surface_Engine!$B$12:$B$72,$A1546+1)-(F1546/INDEX(Surface_Engine!$B$12:$B$72,$A1546+1))))+2*Assumptions!$B$28*(MAX(IF(D1546&lt;=0,0,MAX(0,(B1546/D1546)*H1546/INDEX(Surface_Engine!$B$12:$B$72,$A1546+1)-F1546/INDEX(Surface_Engine!$B$12:$B$72,$A1546+1))),IF(E1546&lt;=0,0,MAX(0,(B1546/E1546)*I1546/INDEX(Surface_Engine!$B$12:$B$72,$A1546+1)-F1546/INDEX(Surface_Engine!$B$12:$B$72,$A1546+1))),IF($A1546&lt;$Q$1518,MAX(0,-Assumptions!$B$22*(F1546/INDEX(Surface_Engine!$B$12:$B$72,$A1546+1))),0)))*(MAX(0,J1546/INDEX(Surface_Engine!$B$12:$B$72,$A1546+1)-(F1546/INDEX(Surface_Engine!$B$12:$B$72,$A1546+1)))))</f>
        <v>760.727880204067</v>
      </c>
      <c r="L1546" s="48" t="n">
        <f aca="false">K1546*INDEX(Surface_Engine!$B$12:$B$72,$A1546+1)+L1547</f>
        <v>1120.48274681223</v>
      </c>
      <c r="M1546" s="48" t="n">
        <f aca="false">M1545+B1545*(IF($A1545&lt;$Q$1518,(Surface_Engine!G251*12)-(Surface_Engine!G251*12)*INDEX(Surface_Engine!$F$12:$F$72,$A1545+1)-INDEX(Surface_Engine!$D$12:$D$72,$A1545+1),-(1000*12*INDEX(Surface_Engine!$C$12:$C$72,$A1545+1)/(1+Assumptions!$B$10)^5+INDEX(Surface_Engine!$D$12:$D$72,$A1545+1))))*INDEX(Surface_Engine!$B$12:$B$72,$A1545+1)</f>
        <v>5731.80579277572</v>
      </c>
      <c r="N1546" s="12" t="n">
        <f aca="false">IF(B1546&lt;=0,0,MAX(0,(K1546+Assumptions!$B$29*L1546/INDEX(Surface_Engine!$B$12:$B$72,$A1546+1)-(M1546/INDEX(Surface_Engine!$B$12:$B$72,$A1546+1)-(F1546/INDEX(Surface_Engine!$B$12:$B$72,$A1546+1))))/B1546))</f>
        <v>0</v>
      </c>
    </row>
    <row r="1547" customFormat="false" ht="15" hidden="false" customHeight="true" outlineLevel="0" collapsed="false">
      <c r="A1547" s="1" t="n">
        <v>27</v>
      </c>
      <c r="B1547" s="32" t="n">
        <f aca="false">INDEX(Surface_Engine!$V$12:$V$72,$A1547+1)*IF($A1547&lt;$Q$1518,INDEX(Surface_Engine!$E$12:$E$72,$A1547+1),INDEX(Surface_Engine!$E$12:$E$72,$Q$1518+1))</f>
        <v>0.0446892218344309</v>
      </c>
      <c r="C1547" s="32" t="n">
        <f aca="false">INDEX(Panel_Reserving!$H$8:$H$68,$A1547+1)*IF($A1547&lt;$Q$1518,INDEX(Surface_Engine!$E$12:$E$72,$A1547+1),INDEX(Surface_Engine!$E$12:$E$72,$Q$1518+1))</f>
        <v>0.085033424274691</v>
      </c>
      <c r="D1547" s="32" t="n">
        <f aca="false">INDEX(Surface_Engine!$V$12:$V$72,$A1547+1)*IF($A1547&lt;$Q$1518,INDEX(Surface_Engine!$Y$12:$Y$72,$A1547+1),INDEX(Surface_Engine!$Y$12:$Y$72,$Q$1518+1))</f>
        <v>0.0423897356946695</v>
      </c>
      <c r="E1547" s="32" t="n">
        <f aca="false">INDEX(Surface_Engine!$V$12:$V$72,$A1547+1)*IF($A1547&lt;$Q$1518,INDEX(Surface_Engine!$Z$12:$Z$72,$A1547+1),INDEX(Surface_Engine!$Z$12:$Z$72,$Q$1518+1))</f>
        <v>0.0470801450172994</v>
      </c>
      <c r="F1547" s="48" t="n">
        <f aca="false">B1547*(IF($A1547&lt;$Q$1518,INDEX(Surface_Engine!$D$12:$D$72,$A1547+1)+(Surface_Engine!G251*12)*INDEX(Surface_Engine!$F$12:$F$72,$A1547+1)-(Surface_Engine!G251*12),1000*12*INDEX(Surface_Engine!$C$12:$C$72,$A1547+1)/(1+Assumptions!$B$10)^5+INDEX(Surface_Engine!$D$12:$D$72,$A1547+1)))*INDEX(Surface_Engine!$B$12:$B$72,$A1547+1)+F1548</f>
        <v>1300.84132062653</v>
      </c>
      <c r="G1547" s="48" t="n">
        <f aca="false">C1547*(IF($A1547&lt;$Q$1518,INDEX(Surface_Engine!$D$12:$D$72,$A1547+1)+(Surface_Engine!G251*12)*INDEX(Surface_Engine!$F$12:$F$72,$A1547+1)-(Surface_Engine!G251*12),1000*12*INDEX(Surface_Engine!$C$12:$C$72,$A1547+1)/(1+Assumptions!$B$10)^5+INDEX(Surface_Engine!$D$12:$D$72,$A1547+1)))*INDEX(Surface_Engine!$B$12:$B$72,$A1547+1)+G1548</f>
        <v>2938.46134421298</v>
      </c>
      <c r="H1547" s="48" t="n">
        <f aca="false">D1547*(IF($A1547&lt;$Q$1518,INDEX(Surface_Engine!$D$12:$D$72,$A1547+1)+(Surface_Engine!G251*12)*INDEX(Surface_Engine!$F$12:$F$72,$A1547+1)-(Surface_Engine!G251*12),1000*12*INDEX(Surface_Engine!$C$12:$C$72,$A1547+1)/(1+Assumptions!$B$10)^5+INDEX(Surface_Engine!$D$12:$D$72,$A1547+1)))*INDEX(Surface_Engine!$B$12:$B$72,$A1547+1)+H1548</f>
        <v>1233.9064655536</v>
      </c>
      <c r="I1547" s="48" t="n">
        <f aca="false">E1547*(IF($A1547&lt;$Q$1518,INDEX(Surface_Engine!$D$12:$D$72,$A1547+1)+(Surface_Engine!G251*12)*INDEX(Surface_Engine!$F$12:$F$72,$A1547+1)-(Surface_Engine!G251*12),1000*12*INDEX(Surface_Engine!$C$12:$C$72,$A1547+1)/(1+Assumptions!$B$10)^5+INDEX(Surface_Engine!$D$12:$D$72,$A1547+1)))*INDEX(Surface_Engine!$B$12:$B$72,$A1547+1)+I1548</f>
        <v>1370.43778131771</v>
      </c>
      <c r="J1547" s="48" t="n">
        <f aca="false">B1547*(IF($A1547&lt;$Q$1518,INDEX(Surface_Engine!$D$12:$D$72,$A1547+1)*(1+Assumptions!$B$24)+(Surface_Engine!G251*12)*INDEX(Surface_Engine!$F$12:$F$72,$A1547+1)-(Surface_Engine!G251*12),1000*12*INDEX(Surface_Engine!$C$12:$C$72,$A1547+1)/(1+Assumptions!$B$10)^5+INDEX(Surface_Engine!$D$12:$D$72,$A1547+1)*(1+Assumptions!$B$24)))*INDEX(Surface_Engine!$B$12:$B$72,$A1547+1)+J1548</f>
        <v>1301.96382740642</v>
      </c>
      <c r="K1547" s="12" t="n">
        <f aca="false">SQRT((IF(C1547&lt;=0,0,MAX(0,(B1547/C1547)*G1547/INDEX(Surface_Engine!$B$12:$B$72,$A1547+1)-F1547/INDEX(Surface_Engine!$B$12:$B$72,$A1547+1))))^2+(MAX(IF(D1547&lt;=0,0,MAX(0,(B1547/D1547)*H1547/INDEX(Surface_Engine!$B$12:$B$72,$A1547+1)-F1547/INDEX(Surface_Engine!$B$12:$B$72,$A1547+1))),IF(E1547&lt;=0,0,MAX(0,(B1547/E1547)*I1547/INDEX(Surface_Engine!$B$12:$B$72,$A1547+1)-F1547/INDEX(Surface_Engine!$B$12:$B$72,$A1547+1))),IF($A1547&lt;$Q$1518,MAX(0,-Assumptions!$B$22*(F1547/INDEX(Surface_Engine!$B$12:$B$72,$A1547+1))),0)))^2+(MAX(0,J1547/INDEX(Surface_Engine!$B$12:$B$72,$A1547+1)-(F1547/INDEX(Surface_Engine!$B$12:$B$72,$A1547+1))))^2+2*Assumptions!$B$26*(IF(C1547&lt;=0,0,MAX(0,(B1547/C1547)*G1547/INDEX(Surface_Engine!$B$12:$B$72,$A1547+1)-F1547/INDEX(Surface_Engine!$B$12:$B$72,$A1547+1))))*(MAX(IF(D1547&lt;=0,0,MAX(0,(B1547/D1547)*H1547/INDEX(Surface_Engine!$B$12:$B$72,$A1547+1)-F1547/INDEX(Surface_Engine!$B$12:$B$72,$A1547+1))),IF(E1547&lt;=0,0,MAX(0,(B1547/E1547)*I1547/INDEX(Surface_Engine!$B$12:$B$72,$A1547+1)-F1547/INDEX(Surface_Engine!$B$12:$B$72,$A1547+1))),IF($A1547&lt;$Q$1518,MAX(0,-Assumptions!$B$22*(F1547/INDEX(Surface_Engine!$B$12:$B$72,$A1547+1))),0)))+2*Assumptions!$B$27*(IF(C1547&lt;=0,0,MAX(0,(B1547/C1547)*G1547/INDEX(Surface_Engine!$B$12:$B$72,$A1547+1)-F1547/INDEX(Surface_Engine!$B$12:$B$72,$A1547+1))))*(MAX(0,J1547/INDEX(Surface_Engine!$B$12:$B$72,$A1547+1)-(F1547/INDEX(Surface_Engine!$B$12:$B$72,$A1547+1))))+2*Assumptions!$B$28*(MAX(IF(D1547&lt;=0,0,MAX(0,(B1547/D1547)*H1547/INDEX(Surface_Engine!$B$12:$B$72,$A1547+1)-F1547/INDEX(Surface_Engine!$B$12:$B$72,$A1547+1))),IF(E1547&lt;=0,0,MAX(0,(B1547/E1547)*I1547/INDEX(Surface_Engine!$B$12:$B$72,$A1547+1)-F1547/INDEX(Surface_Engine!$B$12:$B$72,$A1547+1))),IF($A1547&lt;$Q$1518,MAX(0,-Assumptions!$B$22*(F1547/INDEX(Surface_Engine!$B$12:$B$72,$A1547+1))),0)))*(MAX(0,J1547/INDEX(Surface_Engine!$B$12:$B$72,$A1547+1)-(F1547/INDEX(Surface_Engine!$B$12:$B$72,$A1547+1)))))</f>
        <v>567.271309163696</v>
      </c>
      <c r="L1547" s="48" t="n">
        <f aca="false">K1547*INDEX(Surface_Engine!$B$12:$B$72,$A1547+1)+L1548</f>
        <v>783.137934915476</v>
      </c>
      <c r="M1547" s="48" t="n">
        <f aca="false">M1546+B1546*(IF($A1546&lt;$Q$1518,(Surface_Engine!G251*12)-(Surface_Engine!G251*12)*INDEX(Surface_Engine!$F$12:$F$72,$A1546+1)-INDEX(Surface_Engine!$D$12:$D$72,$A1546+1),-(1000*12*INDEX(Surface_Engine!$C$12:$C$72,$A1546+1)/(1+Assumptions!$B$10)^5+INDEX(Surface_Engine!$D$12:$D$72,$A1546+1))))*INDEX(Surface_Engine!$B$12:$B$72,$A1546+1)</f>
        <v>5258.23336292703</v>
      </c>
      <c r="N1547" s="12" t="n">
        <f aca="false">IF(B1547&lt;=0,0,MAX(0,(K1547+Assumptions!$B$29*L1547/INDEX(Surface_Engine!$B$12:$B$72,$A1547+1)-(M1547/INDEX(Surface_Engine!$B$12:$B$72,$A1547+1)-(F1547/INDEX(Surface_Engine!$B$12:$B$72,$A1547+1))))/B1547))</f>
        <v>0</v>
      </c>
    </row>
    <row r="1548" customFormat="false" ht="15" hidden="false" customHeight="true" outlineLevel="0" collapsed="false">
      <c r="A1548" s="1" t="n">
        <v>28</v>
      </c>
      <c r="B1548" s="32" t="n">
        <f aca="false">INDEX(Surface_Engine!$V$12:$V$72,$A1548+1)*IF($A1548&lt;$Q$1518,INDEX(Surface_Engine!$E$12:$E$72,$A1548+1),INDEX(Surface_Engine!$E$12:$E$72,$Q$1518+1))</f>
        <v>0.0337711535292764</v>
      </c>
      <c r="C1548" s="32" t="n">
        <f aca="false">INDEX(Panel_Reserving!$H$8:$H$68,$A1548+1)*IF($A1548&lt;$Q$1518,INDEX(Surface_Engine!$E$12:$E$72,$A1548+1),INDEX(Surface_Engine!$E$12:$E$72,$Q$1518+1))</f>
        <v>0.0684137437997543</v>
      </c>
      <c r="D1548" s="32" t="n">
        <f aca="false">INDEX(Surface_Engine!$V$12:$V$72,$A1548+1)*IF($A1548&lt;$Q$1518,INDEX(Surface_Engine!$Y$12:$Y$72,$A1548+1),INDEX(Surface_Engine!$Y$12:$Y$72,$Q$1518+1))</f>
        <v>0.0320334571390364</v>
      </c>
      <c r="E1548" s="32" t="n">
        <f aca="false">INDEX(Surface_Engine!$V$12:$V$72,$A1548+1)*IF($A1548&lt;$Q$1518,INDEX(Surface_Engine!$Z$12:$Z$72,$A1548+1),INDEX(Surface_Engine!$Z$12:$Z$72,$Q$1518+1))</f>
        <v>0.0355779478875337</v>
      </c>
      <c r="F1548" s="48" t="n">
        <f aca="false">B1548*(IF($A1548&lt;$Q$1518,INDEX(Surface_Engine!$D$12:$D$72,$A1548+1)+(Surface_Engine!G251*12)*INDEX(Surface_Engine!$F$12:$F$72,$A1548+1)-(Surface_Engine!G251*12),1000*12*INDEX(Surface_Engine!$C$12:$C$72,$A1548+1)/(1+Assumptions!$B$10)^5+INDEX(Surface_Engine!$D$12:$D$72,$A1548+1)))*INDEX(Surface_Engine!$B$12:$B$72,$A1548+1)+F1549</f>
        <v>941.539854713352</v>
      </c>
      <c r="G1548" s="48" t="n">
        <f aca="false">C1548*(IF($A1548&lt;$Q$1518,INDEX(Surface_Engine!$D$12:$D$72,$A1548+1)+(Surface_Engine!G251*12)*INDEX(Surface_Engine!$F$12:$F$72,$A1548+1)-(Surface_Engine!G251*12),1000*12*INDEX(Surface_Engine!$C$12:$C$72,$A1548+1)/(1+Assumptions!$B$10)^5+INDEX(Surface_Engine!$D$12:$D$72,$A1548+1)))*INDEX(Surface_Engine!$B$12:$B$72,$A1548+1)+G1549</f>
        <v>2254.79238021292</v>
      </c>
      <c r="H1548" s="48" t="n">
        <f aca="false">D1548*(IF($A1548&lt;$Q$1518,INDEX(Surface_Engine!$D$12:$D$72,$A1548+1)+(Surface_Engine!G251*12)*INDEX(Surface_Engine!$F$12:$F$72,$A1548+1)-(Surface_Engine!G251*12),1000*12*INDEX(Surface_Engine!$C$12:$C$72,$A1548+1)/(1+Assumptions!$B$10)^5+INDEX(Surface_Engine!$D$12:$D$72,$A1548+1)))*INDEX(Surface_Engine!$B$12:$B$72,$A1548+1)+H1549</f>
        <v>893.092874500369</v>
      </c>
      <c r="I1548" s="48" t="n">
        <f aca="false">E1548*(IF($A1548&lt;$Q$1518,INDEX(Surface_Engine!$D$12:$D$72,$A1548+1)+(Surface_Engine!G251*12)*INDEX(Surface_Engine!$F$12:$F$72,$A1548+1)-(Surface_Engine!G251*12),1000*12*INDEX(Surface_Engine!$C$12:$C$72,$A1548+1)/(1+Assumptions!$B$10)^5+INDEX(Surface_Engine!$D$12:$D$72,$A1548+1)))*INDEX(Surface_Engine!$B$12:$B$72,$A1548+1)+I1549</f>
        <v>991.913286467637</v>
      </c>
      <c r="J1548" s="48" t="n">
        <f aca="false">B1548*(IF($A1548&lt;$Q$1518,INDEX(Surface_Engine!$D$12:$D$72,$A1548+1)*(1+Assumptions!$B$24)+(Surface_Engine!G251*12)*INDEX(Surface_Engine!$F$12:$F$72,$A1548+1)-(Surface_Engine!G251*12),1000*12*INDEX(Surface_Engine!$C$12:$C$72,$A1548+1)/(1+Assumptions!$B$10)^5+INDEX(Surface_Engine!$D$12:$D$72,$A1548+1)*(1+Assumptions!$B$24)))*INDEX(Surface_Engine!$B$12:$B$72,$A1548+1)+J1549</f>
        <v>942.355664747217</v>
      </c>
      <c r="K1548" s="12" t="n">
        <f aca="false">SQRT((IF(C1548&lt;=0,0,MAX(0,(B1548/C1548)*G1548/INDEX(Surface_Engine!$B$12:$B$72,$A1548+1)-F1548/INDEX(Surface_Engine!$B$12:$B$72,$A1548+1))))^2+(MAX(IF(D1548&lt;=0,0,MAX(0,(B1548/D1548)*H1548/INDEX(Surface_Engine!$B$12:$B$72,$A1548+1)-F1548/INDEX(Surface_Engine!$B$12:$B$72,$A1548+1))),IF(E1548&lt;=0,0,MAX(0,(B1548/E1548)*I1548/INDEX(Surface_Engine!$B$12:$B$72,$A1548+1)-F1548/INDEX(Surface_Engine!$B$12:$B$72,$A1548+1))),IF($A1548&lt;$Q$1518,MAX(0,-Assumptions!$B$22*(F1548/INDEX(Surface_Engine!$B$12:$B$72,$A1548+1))),0)))^2+(MAX(0,J1548/INDEX(Surface_Engine!$B$12:$B$72,$A1548+1)-(F1548/INDEX(Surface_Engine!$B$12:$B$72,$A1548+1))))^2+2*Assumptions!$B$26*(IF(C1548&lt;=0,0,MAX(0,(B1548/C1548)*G1548/INDEX(Surface_Engine!$B$12:$B$72,$A1548+1)-F1548/INDEX(Surface_Engine!$B$12:$B$72,$A1548+1))))*(MAX(IF(D1548&lt;=0,0,MAX(0,(B1548/D1548)*H1548/INDEX(Surface_Engine!$B$12:$B$72,$A1548+1)-F1548/INDEX(Surface_Engine!$B$12:$B$72,$A1548+1))),IF(E1548&lt;=0,0,MAX(0,(B1548/E1548)*I1548/INDEX(Surface_Engine!$B$12:$B$72,$A1548+1)-F1548/INDEX(Surface_Engine!$B$12:$B$72,$A1548+1))),IF($A1548&lt;$Q$1518,MAX(0,-Assumptions!$B$22*(F1548/INDEX(Surface_Engine!$B$12:$B$72,$A1548+1))),0)))+2*Assumptions!$B$27*(IF(C1548&lt;=0,0,MAX(0,(B1548/C1548)*G1548/INDEX(Surface_Engine!$B$12:$B$72,$A1548+1)-F1548/INDEX(Surface_Engine!$B$12:$B$72,$A1548+1))))*(MAX(0,J1548/INDEX(Surface_Engine!$B$12:$B$72,$A1548+1)-(F1548/INDEX(Surface_Engine!$B$12:$B$72,$A1548+1))))+2*Assumptions!$B$28*(MAX(IF(D1548&lt;=0,0,MAX(0,(B1548/D1548)*H1548/INDEX(Surface_Engine!$B$12:$B$72,$A1548+1)-F1548/INDEX(Surface_Engine!$B$12:$B$72,$A1548+1))),IF(E1548&lt;=0,0,MAX(0,(B1548/E1548)*I1548/INDEX(Surface_Engine!$B$12:$B$72,$A1548+1)-F1548/INDEX(Surface_Engine!$B$12:$B$72,$A1548+1))),IF($A1548&lt;$Q$1518,MAX(0,-Assumptions!$B$22*(F1548/INDEX(Surface_Engine!$B$12:$B$72,$A1548+1))),0)))*(MAX(0,J1548/INDEX(Surface_Engine!$B$12:$B$72,$A1548+1)-(F1548/INDEX(Surface_Engine!$B$12:$B$72,$A1548+1)))))</f>
        <v>412.523842514282</v>
      </c>
      <c r="L1548" s="48" t="n">
        <f aca="false">K1548*INDEX(Surface_Engine!$B$12:$B$72,$A1548+1)+L1549</f>
        <v>539.39110467902</v>
      </c>
      <c r="M1548" s="48" t="n">
        <f aca="false">M1547+B1547*(IF($A1547&lt;$Q$1518,(Surface_Engine!G251*12)-(Surface_Engine!G251*12)*INDEX(Surface_Engine!$F$12:$F$72,$A1547+1)-INDEX(Surface_Engine!$D$12:$D$72,$A1547+1),-(1000*12*INDEX(Surface_Engine!$C$12:$C$72,$A1547+1)/(1+Assumptions!$B$10)^5+INDEX(Surface_Engine!$D$12:$D$72,$A1547+1))))*INDEX(Surface_Engine!$B$12:$B$72,$A1547+1)</f>
        <v>4898.93189701385</v>
      </c>
      <c r="N1548" s="12" t="n">
        <f aca="false">IF(B1548&lt;=0,0,MAX(0,(K1548+Assumptions!$B$29*L1548/INDEX(Surface_Engine!$B$12:$B$72,$A1548+1)-(M1548/INDEX(Surface_Engine!$B$12:$B$72,$A1548+1)-(F1548/INDEX(Surface_Engine!$B$12:$B$72,$A1548+1))))/B1548))</f>
        <v>0</v>
      </c>
    </row>
    <row r="1549" customFormat="false" ht="15" hidden="false" customHeight="true" outlineLevel="0" collapsed="false">
      <c r="A1549" s="1" t="n">
        <v>29</v>
      </c>
      <c r="B1549" s="32" t="n">
        <f aca="false">INDEX(Surface_Engine!$V$12:$V$72,$A1549+1)*IF($A1549&lt;$Q$1518,INDEX(Surface_Engine!$E$12:$E$72,$A1549+1),INDEX(Surface_Engine!$E$12:$E$72,$Q$1518+1))</f>
        <v>0.0250571971677399</v>
      </c>
      <c r="C1549" s="32" t="n">
        <f aca="false">INDEX(Panel_Reserving!$H$8:$H$68,$A1549+1)*IF($A1549&lt;$Q$1518,INDEX(Surface_Engine!$E$12:$E$72,$A1549+1),INDEX(Surface_Engine!$E$12:$E$72,$Q$1518+1))</f>
        <v>0.0542915284603561</v>
      </c>
      <c r="D1549" s="32" t="n">
        <f aca="false">INDEX(Surface_Engine!$V$12:$V$72,$A1549+1)*IF($A1549&lt;$Q$1518,INDEX(Surface_Engine!$Y$12:$Y$72,$A1549+1),INDEX(Surface_Engine!$Y$12:$Y$72,$Q$1518+1))</f>
        <v>0.0237678778369635</v>
      </c>
      <c r="E1549" s="32" t="n">
        <f aca="false">INDEX(Surface_Engine!$V$12:$V$72,$A1549+1)*IF($A1549&lt;$Q$1518,INDEX(Surface_Engine!$Z$12:$Z$72,$A1549+1),INDEX(Surface_Engine!$Z$12:$Z$72,$Q$1518+1))</f>
        <v>0.0263977851472759</v>
      </c>
      <c r="F1549" s="48" t="n">
        <f aca="false">B1549*(IF($A1549&lt;$Q$1518,INDEX(Surface_Engine!$D$12:$D$72,$A1549+1)+(Surface_Engine!G251*12)*INDEX(Surface_Engine!$F$12:$F$72,$A1549+1)-(Surface_Engine!G251*12),1000*12*INDEX(Surface_Engine!$C$12:$C$72,$A1549+1)/(1+Assumptions!$B$10)^5+INDEX(Surface_Engine!$D$12:$D$72,$A1549+1)))*INDEX(Surface_Engine!$B$12:$B$72,$A1549+1)+F1550</f>
        <v>673.254096893613</v>
      </c>
      <c r="G1549" s="48" t="n">
        <f aca="false">C1549*(IF($A1549&lt;$Q$1518,INDEX(Surface_Engine!$D$12:$D$72,$A1549+1)+(Surface_Engine!G251*12)*INDEX(Surface_Engine!$F$12:$F$72,$A1549+1)-(Surface_Engine!G251*12),1000*12*INDEX(Surface_Engine!$C$12:$C$72,$A1549+1)/(1+Assumptions!$B$10)^5+INDEX(Surface_Engine!$D$12:$D$72,$A1549+1)))*INDEX(Surface_Engine!$B$12:$B$72,$A1549+1)+G1550</f>
        <v>1711.29797204321</v>
      </c>
      <c r="H1549" s="48" t="n">
        <f aca="false">D1549*(IF($A1549&lt;$Q$1518,INDEX(Surface_Engine!$D$12:$D$72,$A1549+1)+(Surface_Engine!G251*12)*INDEX(Surface_Engine!$F$12:$F$72,$A1549+1)-(Surface_Engine!G251*12),1000*12*INDEX(Surface_Engine!$C$12:$C$72,$A1549+1)/(1+Assumptions!$B$10)^5+INDEX(Surface_Engine!$D$12:$D$72,$A1549+1)))*INDEX(Surface_Engine!$B$12:$B$72,$A1549+1)+H1550</f>
        <v>638.611773738376</v>
      </c>
      <c r="I1549" s="48" t="n">
        <f aca="false">E1549*(IF($A1549&lt;$Q$1518,INDEX(Surface_Engine!$D$12:$D$72,$A1549+1)+(Surface_Engine!G251*12)*INDEX(Surface_Engine!$F$12:$F$72,$A1549+1)-(Surface_Engine!G251*12),1000*12*INDEX(Surface_Engine!$C$12:$C$72,$A1549+1)/(1+Assumptions!$B$10)^5+INDEX(Surface_Engine!$D$12:$D$72,$A1549+1)))*INDEX(Surface_Engine!$B$12:$B$72,$A1549+1)+I1550</f>
        <v>709.273941548503</v>
      </c>
      <c r="J1549" s="48" t="n">
        <f aca="false">B1549*(IF($A1549&lt;$Q$1518,INDEX(Surface_Engine!$D$12:$D$72,$A1549+1)*(1+Assumptions!$B$24)+(Surface_Engine!G251*12)*INDEX(Surface_Engine!$F$12:$F$72,$A1549+1)-(Surface_Engine!G251*12),1000*12*INDEX(Surface_Engine!$C$12:$C$72,$A1549+1)/(1+Assumptions!$B$10)^5+INDEX(Surface_Engine!$D$12:$D$72,$A1549+1)*(1+Assumptions!$B$24)))*INDEX(Surface_Engine!$B$12:$B$72,$A1549+1)+J1550</f>
        <v>673.839787481645</v>
      </c>
      <c r="K1549" s="12" t="n">
        <f aca="false">SQRT((IF(C1549&lt;=0,0,MAX(0,(B1549/C1549)*G1549/INDEX(Surface_Engine!$B$12:$B$72,$A1549+1)-F1549/INDEX(Surface_Engine!$B$12:$B$72,$A1549+1))))^2+(MAX(IF(D1549&lt;=0,0,MAX(0,(B1549/D1549)*H1549/INDEX(Surface_Engine!$B$12:$B$72,$A1549+1)-F1549/INDEX(Surface_Engine!$B$12:$B$72,$A1549+1))),IF(E1549&lt;=0,0,MAX(0,(B1549/E1549)*I1549/INDEX(Surface_Engine!$B$12:$B$72,$A1549+1)-F1549/INDEX(Surface_Engine!$B$12:$B$72,$A1549+1))),IF($A1549&lt;$Q$1518,MAX(0,-Assumptions!$B$22*(F1549/INDEX(Surface_Engine!$B$12:$B$72,$A1549+1))),0)))^2+(MAX(0,J1549/INDEX(Surface_Engine!$B$12:$B$72,$A1549+1)-(F1549/INDEX(Surface_Engine!$B$12:$B$72,$A1549+1))))^2+2*Assumptions!$B$26*(IF(C1549&lt;=0,0,MAX(0,(B1549/C1549)*G1549/INDEX(Surface_Engine!$B$12:$B$72,$A1549+1)-F1549/INDEX(Surface_Engine!$B$12:$B$72,$A1549+1))))*(MAX(IF(D1549&lt;=0,0,MAX(0,(B1549/D1549)*H1549/INDEX(Surface_Engine!$B$12:$B$72,$A1549+1)-F1549/INDEX(Surface_Engine!$B$12:$B$72,$A1549+1))),IF(E1549&lt;=0,0,MAX(0,(B1549/E1549)*I1549/INDEX(Surface_Engine!$B$12:$B$72,$A1549+1)-F1549/INDEX(Surface_Engine!$B$12:$B$72,$A1549+1))),IF($A1549&lt;$Q$1518,MAX(0,-Assumptions!$B$22*(F1549/INDEX(Surface_Engine!$B$12:$B$72,$A1549+1))),0)))+2*Assumptions!$B$27*(IF(C1549&lt;=0,0,MAX(0,(B1549/C1549)*G1549/INDEX(Surface_Engine!$B$12:$B$72,$A1549+1)-F1549/INDEX(Surface_Engine!$B$12:$B$72,$A1549+1))))*(MAX(0,J1549/INDEX(Surface_Engine!$B$12:$B$72,$A1549+1)-(F1549/INDEX(Surface_Engine!$B$12:$B$72,$A1549+1))))+2*Assumptions!$B$28*(MAX(IF(D1549&lt;=0,0,MAX(0,(B1549/D1549)*H1549/INDEX(Surface_Engine!$B$12:$B$72,$A1549+1)-F1549/INDEX(Surface_Engine!$B$12:$B$72,$A1549+1))),IF(E1549&lt;=0,0,MAX(0,(B1549/E1549)*I1549/INDEX(Surface_Engine!$B$12:$B$72,$A1549+1)-F1549/INDEX(Surface_Engine!$B$12:$B$72,$A1549+1))),IF($A1549&lt;$Q$1518,MAX(0,-Assumptions!$B$22*(F1549/INDEX(Surface_Engine!$B$12:$B$72,$A1549+1))),0)))*(MAX(0,J1549/INDEX(Surface_Engine!$B$12:$B$72,$A1549+1)-(F1549/INDEX(Surface_Engine!$B$12:$B$72,$A1549+1)))))</f>
        <v>289.482393412233</v>
      </c>
      <c r="L1549" s="48" t="n">
        <f aca="false">K1549*INDEX(Surface_Engine!$B$12:$B$72,$A1549+1)+L1550</f>
        <v>367.689483644797</v>
      </c>
      <c r="M1549" s="48" t="n">
        <f aca="false">M1548+B1548*(IF($A1548&lt;$Q$1518,(Surface_Engine!G251*12)-(Surface_Engine!G251*12)*INDEX(Surface_Engine!$F$12:$F$72,$A1548+1)-INDEX(Surface_Engine!$D$12:$D$72,$A1548+1),-(1000*12*INDEX(Surface_Engine!$C$12:$C$72,$A1548+1)/(1+Assumptions!$B$10)^5+INDEX(Surface_Engine!$D$12:$D$72,$A1548+1))))*INDEX(Surface_Engine!$B$12:$B$72,$A1548+1)</f>
        <v>4630.64613919411</v>
      </c>
      <c r="N1549" s="12" t="n">
        <f aca="false">IF(B1549&lt;=0,0,MAX(0,(K1549+Assumptions!$B$29*L1549/INDEX(Surface_Engine!$B$12:$B$72,$A1549+1)-(M1549/INDEX(Surface_Engine!$B$12:$B$72,$A1549+1)-(F1549/INDEX(Surface_Engine!$B$12:$B$72,$A1549+1))))/B1549))</f>
        <v>0</v>
      </c>
    </row>
    <row r="1550" customFormat="false" ht="15" hidden="false" customHeight="true" outlineLevel="0" collapsed="false">
      <c r="A1550" s="1" t="n">
        <v>30</v>
      </c>
      <c r="B1550" s="32" t="n">
        <f aca="false">INDEX(Surface_Engine!$V$12:$V$72,$A1550+1)*IF($A1550&lt;$Q$1518,INDEX(Surface_Engine!$E$12:$E$72,$A1550+1),INDEX(Surface_Engine!$E$12:$E$72,$Q$1518+1))</f>
        <v>0.0188783593722809</v>
      </c>
      <c r="C1550" s="32" t="n">
        <f aca="false">INDEX(Panel_Reserving!$H$8:$H$68,$A1550+1)*IF($A1550&lt;$Q$1518,INDEX(Surface_Engine!$E$12:$E$72,$A1550+1),INDEX(Surface_Engine!$E$12:$E$72,$Q$1518+1))</f>
        <v>0.0435813585789146</v>
      </c>
      <c r="D1550" s="32" t="n">
        <f aca="false">INDEX(Surface_Engine!$V$12:$V$72,$A1550+1)*IF($A1550&lt;$Q$1518,INDEX(Surface_Engine!$Y$12:$Y$72,$A1550+1),INDEX(Surface_Engine!$Y$12:$Y$72,$Q$1518+1))</f>
        <v>0.0179069724486324</v>
      </c>
      <c r="E1550" s="32" t="n">
        <f aca="false">INDEX(Surface_Engine!$V$12:$V$72,$A1550+1)*IF($A1550&lt;$Q$1518,INDEX(Surface_Engine!$Z$12:$Z$72,$A1550+1),INDEX(Surface_Engine!$Z$12:$Z$72,$Q$1518+1))</f>
        <v>0.0198883726422576</v>
      </c>
      <c r="F1550" s="48" t="n">
        <f aca="false">B1550*(IF($A1550&lt;$Q$1518,INDEX(Surface_Engine!$D$12:$D$72,$A1550+1)+(Surface_Engine!G251*12)*INDEX(Surface_Engine!$F$12:$F$72,$A1550+1)-(Surface_Engine!G251*12),1000*12*INDEX(Surface_Engine!$C$12:$C$72,$A1550+1)/(1+Assumptions!$B$10)^5+INDEX(Surface_Engine!$D$12:$D$72,$A1550+1)))*INDEX(Surface_Engine!$B$12:$B$72,$A1550+1)+F1551</f>
        <v>476.57283022304</v>
      </c>
      <c r="G1550" s="48" t="n">
        <f aca="false">C1550*(IF($A1550&lt;$Q$1518,INDEX(Surface_Engine!$D$12:$D$72,$A1550+1)+(Surface_Engine!G251*12)*INDEX(Surface_Engine!$F$12:$F$72,$A1550+1)-(Surface_Engine!G251*12),1000*12*INDEX(Surface_Engine!$C$12:$C$72,$A1550+1)/(1+Assumptions!$B$10)^5+INDEX(Surface_Engine!$D$12:$D$72,$A1550+1)))*INDEX(Surface_Engine!$B$12:$B$72,$A1550+1)+G1551</f>
        <v>1285.14789166583</v>
      </c>
      <c r="H1550" s="48" t="n">
        <f aca="false">D1550*(IF($A1550&lt;$Q$1518,INDEX(Surface_Engine!$D$12:$D$72,$A1550+1)+(Surface_Engine!G251*12)*INDEX(Surface_Engine!$F$12:$F$72,$A1550+1)-(Surface_Engine!G251*12),1000*12*INDEX(Surface_Engine!$C$12:$C$72,$A1550+1)/(1+Assumptions!$B$10)^5+INDEX(Surface_Engine!$D$12:$D$72,$A1550+1)))*INDEX(Surface_Engine!$B$12:$B$72,$A1550+1)+H1551</f>
        <v>452.050751459958</v>
      </c>
      <c r="I1550" s="48" t="n">
        <f aca="false">E1550*(IF($A1550&lt;$Q$1518,INDEX(Surface_Engine!$D$12:$D$72,$A1550+1)+(Surface_Engine!G251*12)*INDEX(Surface_Engine!$F$12:$F$72,$A1550+1)-(Surface_Engine!G251*12),1000*12*INDEX(Surface_Engine!$C$12:$C$72,$A1550+1)/(1+Assumptions!$B$10)^5+INDEX(Surface_Engine!$D$12:$D$72,$A1550+1)))*INDEX(Surface_Engine!$B$12:$B$72,$A1550+1)+I1551</f>
        <v>502.070007871983</v>
      </c>
      <c r="J1550" s="48" t="n">
        <f aca="false">B1550*(IF($A1550&lt;$Q$1518,INDEX(Surface_Engine!$D$12:$D$72,$A1550+1)*(1+Assumptions!$B$24)+(Surface_Engine!G251*12)*INDEX(Surface_Engine!$F$12:$F$72,$A1550+1)-(Surface_Engine!G251*12),1000*12*INDEX(Surface_Engine!$C$12:$C$72,$A1550+1)/(1+Assumptions!$B$10)^5+INDEX(Surface_Engine!$D$12:$D$72,$A1550+1)*(1+Assumptions!$B$24)))*INDEX(Surface_Engine!$B$12:$B$72,$A1550+1)+J1551</f>
        <v>476.988999566831</v>
      </c>
      <c r="K1550" s="12" t="n">
        <f aca="false">SQRT((IF(C1550&lt;=0,0,MAX(0,(B1550/C1550)*G1550/INDEX(Surface_Engine!$B$12:$B$72,$A1550+1)-F1550/INDEX(Surface_Engine!$B$12:$B$72,$A1550+1))))^2+(MAX(IF(D1550&lt;=0,0,MAX(0,(B1550/D1550)*H1550/INDEX(Surface_Engine!$B$12:$B$72,$A1550+1)-F1550/INDEX(Surface_Engine!$B$12:$B$72,$A1550+1))),IF(E1550&lt;=0,0,MAX(0,(B1550/E1550)*I1550/INDEX(Surface_Engine!$B$12:$B$72,$A1550+1)-F1550/INDEX(Surface_Engine!$B$12:$B$72,$A1550+1))),IF($A1550&lt;$Q$1518,MAX(0,-Assumptions!$B$22*(F1550/INDEX(Surface_Engine!$B$12:$B$72,$A1550+1))),0)))^2+(MAX(0,J1550/INDEX(Surface_Engine!$B$12:$B$72,$A1550+1)-(F1550/INDEX(Surface_Engine!$B$12:$B$72,$A1550+1))))^2+2*Assumptions!$B$26*(IF(C1550&lt;=0,0,MAX(0,(B1550/C1550)*G1550/INDEX(Surface_Engine!$B$12:$B$72,$A1550+1)-F1550/INDEX(Surface_Engine!$B$12:$B$72,$A1550+1))))*(MAX(IF(D1550&lt;=0,0,MAX(0,(B1550/D1550)*H1550/INDEX(Surface_Engine!$B$12:$B$72,$A1550+1)-F1550/INDEX(Surface_Engine!$B$12:$B$72,$A1550+1))),IF(E1550&lt;=0,0,MAX(0,(B1550/E1550)*I1550/INDEX(Surface_Engine!$B$12:$B$72,$A1550+1)-F1550/INDEX(Surface_Engine!$B$12:$B$72,$A1550+1))),IF($A1550&lt;$Q$1518,MAX(0,-Assumptions!$B$22*(F1550/INDEX(Surface_Engine!$B$12:$B$72,$A1550+1))),0)))+2*Assumptions!$B$27*(IF(C1550&lt;=0,0,MAX(0,(B1550/C1550)*G1550/INDEX(Surface_Engine!$B$12:$B$72,$A1550+1)-F1550/INDEX(Surface_Engine!$B$12:$B$72,$A1550+1))))*(MAX(0,J1550/INDEX(Surface_Engine!$B$12:$B$72,$A1550+1)-(F1550/INDEX(Surface_Engine!$B$12:$B$72,$A1550+1))))+2*Assumptions!$B$28*(MAX(IF(D1550&lt;=0,0,MAX(0,(B1550/D1550)*H1550/INDEX(Surface_Engine!$B$12:$B$72,$A1550+1)-F1550/INDEX(Surface_Engine!$B$12:$B$72,$A1550+1))),IF(E1550&lt;=0,0,MAX(0,(B1550/E1550)*I1550/INDEX(Surface_Engine!$B$12:$B$72,$A1550+1)-F1550/INDEX(Surface_Engine!$B$12:$B$72,$A1550+1))),IF($A1550&lt;$Q$1518,MAX(0,-Assumptions!$B$22*(F1550/INDEX(Surface_Engine!$B$12:$B$72,$A1550+1))),0)))*(MAX(0,J1550/INDEX(Surface_Engine!$B$12:$B$72,$A1550+1)-(F1550/INDEX(Surface_Engine!$B$12:$B$72,$A1550+1)))))</f>
        <v>205.441180451069</v>
      </c>
      <c r="L1550" s="48" t="n">
        <f aca="false">K1550*INDEX(Surface_Engine!$B$12:$B$72,$A1550+1)+L1551</f>
        <v>250.979543342916</v>
      </c>
      <c r="M1550" s="48" t="n">
        <f aca="false">M1549+B1549*(IF($A1549&lt;$Q$1518,(Surface_Engine!G251*12)-(Surface_Engine!G251*12)*INDEX(Surface_Engine!$F$12:$F$72,$A1549+1)-INDEX(Surface_Engine!$D$12:$D$72,$A1549+1),-(1000*12*INDEX(Surface_Engine!$C$12:$C$72,$A1549+1)/(1+Assumptions!$B$10)^5+INDEX(Surface_Engine!$D$12:$D$72,$A1549+1))))*INDEX(Surface_Engine!$B$12:$B$72,$A1549+1)</f>
        <v>4433.96487252353</v>
      </c>
      <c r="N1550" s="12" t="n">
        <f aca="false">IF(B1550&lt;=0,0,MAX(0,(K1550+Assumptions!$B$29*L1550/INDEX(Surface_Engine!$B$12:$B$72,$A1550+1)-(M1550/INDEX(Surface_Engine!$B$12:$B$72,$A1550+1)-(F1550/INDEX(Surface_Engine!$B$12:$B$72,$A1550+1))))/B1550))</f>
        <v>0</v>
      </c>
    </row>
    <row r="1551" customFormat="false" ht="15" hidden="false" customHeight="true" outlineLevel="0" collapsed="false">
      <c r="A1551" s="1" t="n">
        <v>31</v>
      </c>
      <c r="B1551" s="32" t="n">
        <f aca="false">INDEX(Surface_Engine!$V$12:$V$72,$A1551+1)*IF($A1551&lt;$Q$1518,INDEX(Surface_Engine!$E$12:$E$72,$A1551+1),INDEX(Surface_Engine!$E$12:$E$72,$Q$1518+1))</f>
        <v>0.0165045214602535</v>
      </c>
      <c r="C1551" s="32" t="n">
        <f aca="false">INDEX(Panel_Reserving!$H$8:$H$68,$A1551+1)*IF($A1551&lt;$Q$1518,INDEX(Surface_Engine!$E$12:$E$72,$A1551+1),INDEX(Surface_Engine!$E$12:$E$72,$Q$1518+1))</f>
        <v>0.0391972877298686</v>
      </c>
      <c r="D1551" s="32" t="n">
        <f aca="false">INDEX(Surface_Engine!$V$12:$V$72,$A1551+1)*IF($A1551&lt;$Q$1518,INDEX(Surface_Engine!$Y$12:$Y$72,$A1551+1),INDEX(Surface_Engine!$Y$12:$Y$72,$Q$1518+1))</f>
        <v>0.0156552804848376</v>
      </c>
      <c r="E1551" s="32" t="n">
        <f aca="false">INDEX(Surface_Engine!$V$12:$V$72,$A1551+1)*IF($A1551&lt;$Q$1518,INDEX(Surface_Engine!$Z$12:$Z$72,$A1551+1),INDEX(Surface_Engine!$Z$12:$Z$72,$Q$1518+1))</f>
        <v>0.0173875317558382</v>
      </c>
      <c r="F1551" s="48" t="n">
        <f aca="false">B1551*(IF($A1551&lt;$Q$1518,INDEX(Surface_Engine!$D$12:$D$72,$A1551+1)+(Surface_Engine!G251*12)*INDEX(Surface_Engine!$F$12:$F$72,$A1551+1)-(Surface_Engine!G251*12),1000*12*INDEX(Surface_Engine!$C$12:$C$72,$A1551+1)/(1+Assumptions!$B$10)^5+INDEX(Surface_Engine!$D$12:$D$72,$A1551+1)))*INDEX(Surface_Engine!$B$12:$B$72,$A1551+1)+F1552</f>
        <v>330.167531232992</v>
      </c>
      <c r="G1551" s="48" t="n">
        <f aca="false">C1551*(IF($A1551&lt;$Q$1518,INDEX(Surface_Engine!$D$12:$D$72,$A1551+1)+(Surface_Engine!G251*12)*INDEX(Surface_Engine!$F$12:$F$72,$A1551+1)-(Surface_Engine!G251*12),1000*12*INDEX(Surface_Engine!$C$12:$C$72,$A1551+1)/(1+Assumptions!$B$10)^5+INDEX(Surface_Engine!$D$12:$D$72,$A1551+1)))*INDEX(Surface_Engine!$B$12:$B$72,$A1551+1)+G1552</f>
        <v>947.166094237656</v>
      </c>
      <c r="H1551" s="48" t="n">
        <f aca="false">D1551*(IF($A1551&lt;$Q$1518,INDEX(Surface_Engine!$D$12:$D$72,$A1551+1)+(Surface_Engine!G251*12)*INDEX(Surface_Engine!$F$12:$F$72,$A1551+1)-(Surface_Engine!G251*12),1000*12*INDEX(Surface_Engine!$C$12:$C$72,$A1551+1)/(1+Assumptions!$B$10)^5+INDEX(Surface_Engine!$D$12:$D$72,$A1551+1)))*INDEX(Surface_Engine!$B$12:$B$72,$A1551+1)+H1552</f>
        <v>313.17874443598</v>
      </c>
      <c r="I1551" s="48" t="n">
        <f aca="false">E1551*(IF($A1551&lt;$Q$1518,INDEX(Surface_Engine!$D$12:$D$72,$A1551+1)+(Surface_Engine!G251*12)*INDEX(Surface_Engine!$F$12:$F$72,$A1551+1)-(Surface_Engine!G251*12),1000*12*INDEX(Surface_Engine!$C$12:$C$72,$A1551+1)/(1+Assumptions!$B$10)^5+INDEX(Surface_Engine!$D$12:$D$72,$A1551+1)))*INDEX(Surface_Engine!$B$12:$B$72,$A1551+1)+I1552</f>
        <v>347.831862189124</v>
      </c>
      <c r="J1551" s="48" t="n">
        <f aca="false">B1551*(IF($A1551&lt;$Q$1518,INDEX(Surface_Engine!$D$12:$D$72,$A1551+1)*(1+Assumptions!$B$24)+(Surface_Engine!G251*12)*INDEX(Surface_Engine!$F$12:$F$72,$A1551+1)-(Surface_Engine!G251*12),1000*12*INDEX(Surface_Engine!$C$12:$C$72,$A1551+1)/(1+Assumptions!$B$10)^5+INDEX(Surface_Engine!$D$12:$D$72,$A1551+1)*(1+Assumptions!$B$24)))*INDEX(Surface_Engine!$B$12:$B$72,$A1551+1)+J1552</f>
        <v>330.4568994025</v>
      </c>
      <c r="K1551" s="12" t="n">
        <f aca="false">SQRT((IF(C1551&lt;=0,0,MAX(0,(B1551/C1551)*G1551/INDEX(Surface_Engine!$B$12:$B$72,$A1551+1)-F1551/INDEX(Surface_Engine!$B$12:$B$72,$A1551+1))))^2+(MAX(IF(D1551&lt;=0,0,MAX(0,(B1551/D1551)*H1551/INDEX(Surface_Engine!$B$12:$B$72,$A1551+1)-F1551/INDEX(Surface_Engine!$B$12:$B$72,$A1551+1))),IF(E1551&lt;=0,0,MAX(0,(B1551/E1551)*I1551/INDEX(Surface_Engine!$B$12:$B$72,$A1551+1)-F1551/INDEX(Surface_Engine!$B$12:$B$72,$A1551+1))),IF($A1551&lt;$Q$1518,MAX(0,-Assumptions!$B$22*(F1551/INDEX(Surface_Engine!$B$12:$B$72,$A1551+1))),0)))^2+(MAX(0,J1551/INDEX(Surface_Engine!$B$12:$B$72,$A1551+1)-(F1551/INDEX(Surface_Engine!$B$12:$B$72,$A1551+1))))^2+2*Assumptions!$B$26*(IF(C1551&lt;=0,0,MAX(0,(B1551/C1551)*G1551/INDEX(Surface_Engine!$B$12:$B$72,$A1551+1)-F1551/INDEX(Surface_Engine!$B$12:$B$72,$A1551+1))))*(MAX(IF(D1551&lt;=0,0,MAX(0,(B1551/D1551)*H1551/INDEX(Surface_Engine!$B$12:$B$72,$A1551+1)-F1551/INDEX(Surface_Engine!$B$12:$B$72,$A1551+1))),IF(E1551&lt;=0,0,MAX(0,(B1551/E1551)*I1551/INDEX(Surface_Engine!$B$12:$B$72,$A1551+1)-F1551/INDEX(Surface_Engine!$B$12:$B$72,$A1551+1))),IF($A1551&lt;$Q$1518,MAX(0,-Assumptions!$B$22*(F1551/INDEX(Surface_Engine!$B$12:$B$72,$A1551+1))),0)))+2*Assumptions!$B$27*(IF(C1551&lt;=0,0,MAX(0,(B1551/C1551)*G1551/INDEX(Surface_Engine!$B$12:$B$72,$A1551+1)-F1551/INDEX(Surface_Engine!$B$12:$B$72,$A1551+1))))*(MAX(0,J1551/INDEX(Surface_Engine!$B$12:$B$72,$A1551+1)-(F1551/INDEX(Surface_Engine!$B$12:$B$72,$A1551+1))))+2*Assumptions!$B$28*(MAX(IF(D1551&lt;=0,0,MAX(0,(B1551/D1551)*H1551/INDEX(Surface_Engine!$B$12:$B$72,$A1551+1)-F1551/INDEX(Surface_Engine!$B$12:$B$72,$A1551+1))),IF(E1551&lt;=0,0,MAX(0,(B1551/E1551)*I1551/INDEX(Surface_Engine!$B$12:$B$72,$A1551+1)-F1551/INDEX(Surface_Engine!$B$12:$B$72,$A1551+1))),IF($A1551&lt;$Q$1518,MAX(0,-Assumptions!$B$22*(F1551/INDEX(Surface_Engine!$B$12:$B$72,$A1551+1))),0)))*(MAX(0,J1551/INDEX(Surface_Engine!$B$12:$B$72,$A1551+1)-(F1551/INDEX(Surface_Engine!$B$12:$B$72,$A1551+1)))))</f>
        <v>181.638685270056</v>
      </c>
      <c r="L1551" s="48" t="n">
        <f aca="false">K1551*INDEX(Surface_Engine!$B$12:$B$72,$A1551+1)+L1552</f>
        <v>170.753252427534</v>
      </c>
      <c r="M1551" s="48" t="n">
        <f aca="false">M1550+B1550*(IF($A1550&lt;$Q$1518,(Surface_Engine!G251*12)-(Surface_Engine!G251*12)*INDEX(Surface_Engine!$F$12:$F$72,$A1550+1)-INDEX(Surface_Engine!$D$12:$D$72,$A1550+1),-(1000*12*INDEX(Surface_Engine!$C$12:$C$72,$A1550+1)/(1+Assumptions!$B$10)^5+INDEX(Surface_Engine!$D$12:$D$72,$A1550+1))))*INDEX(Surface_Engine!$B$12:$B$72,$A1550+1)</f>
        <v>4287.55957353349</v>
      </c>
      <c r="N1551" s="12" t="n">
        <f aca="false">IF(B1551&lt;=0,0,MAX(0,(K1551+Assumptions!$B$29*L1551/INDEX(Surface_Engine!$B$12:$B$72,$A1551+1)-(M1551/INDEX(Surface_Engine!$B$12:$B$72,$A1551+1)-(F1551/INDEX(Surface_Engine!$B$12:$B$72,$A1551+1))))/B1551))</f>
        <v>0</v>
      </c>
    </row>
    <row r="1552" customFormat="false" ht="15" hidden="false" customHeight="true" outlineLevel="0" collapsed="false">
      <c r="A1552" s="1" t="n">
        <v>32</v>
      </c>
      <c r="B1552" s="32" t="n">
        <f aca="false">INDEX(Surface_Engine!$V$12:$V$72,$A1552+1)*IF($A1552&lt;$Q$1518,INDEX(Surface_Engine!$E$12:$E$72,$A1552+1),INDEX(Surface_Engine!$E$12:$E$72,$Q$1518+1))</f>
        <v>0.0108570887234977</v>
      </c>
      <c r="C1552" s="32" t="n">
        <f aca="false">INDEX(Panel_Reserving!$H$8:$H$68,$A1552+1)*IF($A1552&lt;$Q$1518,INDEX(Surface_Engine!$E$12:$E$72,$A1552+1),INDEX(Surface_Engine!$E$12:$E$72,$Q$1518+1))</f>
        <v>0.0284674257850294</v>
      </c>
      <c r="D1552" s="32" t="n">
        <f aca="false">INDEX(Surface_Engine!$V$12:$V$72,$A1552+1)*IF($A1552&lt;$Q$1518,INDEX(Surface_Engine!$Y$12:$Y$72,$A1552+1),INDEX(Surface_Engine!$Y$12:$Y$72,$Q$1518+1))</f>
        <v>0.0102984366813937</v>
      </c>
      <c r="E1552" s="32" t="n">
        <f aca="false">INDEX(Surface_Engine!$V$12:$V$72,$A1552+1)*IF($A1552&lt;$Q$1518,INDEX(Surface_Engine!$Z$12:$Z$72,$A1552+1),INDEX(Surface_Engine!$Z$12:$Z$72,$Q$1518+1))</f>
        <v>0.0114379550725168</v>
      </c>
      <c r="F1552" s="48" t="n">
        <f aca="false">B1552*(IF($A1552&lt;$Q$1518,INDEX(Surface_Engine!$D$12:$D$72,$A1552+1)+(Surface_Engine!G251*12)*INDEX(Surface_Engine!$F$12:$F$72,$A1552+1)-(Surface_Engine!G251*12),1000*12*INDEX(Surface_Engine!$C$12:$C$72,$A1552+1)/(1+Assumptions!$B$10)^5+INDEX(Surface_Engine!$D$12:$D$72,$A1552+1)))*INDEX(Surface_Engine!$B$12:$B$72,$A1552+1)+F1553</f>
        <v>203.673143522385</v>
      </c>
      <c r="G1552" s="48" t="n">
        <f aca="false">C1552*(IF($A1552&lt;$Q$1518,INDEX(Surface_Engine!$D$12:$D$72,$A1552+1)+(Surface_Engine!G251*12)*INDEX(Surface_Engine!$F$12:$F$72,$A1552+1)-(Surface_Engine!G251*12),1000*12*INDEX(Surface_Engine!$C$12:$C$72,$A1552+1)/(1+Assumptions!$B$10)^5+INDEX(Surface_Engine!$D$12:$D$72,$A1552+1)))*INDEX(Surface_Engine!$B$12:$B$72,$A1552+1)+G1553</f>
        <v>646.749210097952</v>
      </c>
      <c r="H1552" s="48" t="n">
        <f aca="false">D1552*(IF($A1552&lt;$Q$1518,INDEX(Surface_Engine!$D$12:$D$72,$A1552+1)+(Surface_Engine!G251*12)*INDEX(Surface_Engine!$F$12:$F$72,$A1552+1)-(Surface_Engine!G251*12),1000*12*INDEX(Surface_Engine!$C$12:$C$72,$A1552+1)/(1+Assumptions!$B$10)^5+INDEX(Surface_Engine!$D$12:$D$72,$A1552+1)))*INDEX(Surface_Engine!$B$12:$B$72,$A1552+1)+H1553</f>
        <v>193.193131757881</v>
      </c>
      <c r="I1552" s="48" t="n">
        <f aca="false">E1552*(IF($A1552&lt;$Q$1518,INDEX(Surface_Engine!$D$12:$D$72,$A1552+1)+(Surface_Engine!G251*12)*INDEX(Surface_Engine!$F$12:$F$72,$A1552+1)-(Surface_Engine!G251*12),1000*12*INDEX(Surface_Engine!$C$12:$C$72,$A1552+1)/(1+Assumptions!$B$10)^5+INDEX(Surface_Engine!$D$12:$D$72,$A1552+1)))*INDEX(Surface_Engine!$B$12:$B$72,$A1552+1)+I1553</f>
        <v>214.569883733694</v>
      </c>
      <c r="J1552" s="48" t="n">
        <f aca="false">B1552*(IF($A1552&lt;$Q$1518,INDEX(Surface_Engine!$D$12:$D$72,$A1552+1)*(1+Assumptions!$B$24)+(Surface_Engine!G251*12)*INDEX(Surface_Engine!$F$12:$F$72,$A1552+1)-(Surface_Engine!G251*12),1000*12*INDEX(Surface_Engine!$C$12:$C$72,$A1552+1)/(1+Assumptions!$B$10)^5+INDEX(Surface_Engine!$D$12:$D$72,$A1552+1)*(1+Assumptions!$B$24)))*INDEX(Surface_Engine!$B$12:$B$72,$A1552+1)+J1553</f>
        <v>203.852422928708</v>
      </c>
      <c r="K1552" s="12" t="n">
        <f aca="false">SQRT((IF(C1552&lt;=0,0,MAX(0,(B1552/C1552)*G1552/INDEX(Surface_Engine!$B$12:$B$72,$A1552+1)-F1552/INDEX(Surface_Engine!$B$12:$B$72,$A1552+1))))^2+(MAX(IF(D1552&lt;=0,0,MAX(0,(B1552/D1552)*H1552/INDEX(Surface_Engine!$B$12:$B$72,$A1552+1)-F1552/INDEX(Surface_Engine!$B$12:$B$72,$A1552+1))),IF(E1552&lt;=0,0,MAX(0,(B1552/E1552)*I1552/INDEX(Surface_Engine!$B$12:$B$72,$A1552+1)-F1552/INDEX(Surface_Engine!$B$12:$B$72,$A1552+1))),IF($A1552&lt;$Q$1518,MAX(0,-Assumptions!$B$22*(F1552/INDEX(Surface_Engine!$B$12:$B$72,$A1552+1))),0)))^2+(MAX(0,J1552/INDEX(Surface_Engine!$B$12:$B$72,$A1552+1)-(F1552/INDEX(Surface_Engine!$B$12:$B$72,$A1552+1))))^2+2*Assumptions!$B$26*(IF(C1552&lt;=0,0,MAX(0,(B1552/C1552)*G1552/INDEX(Surface_Engine!$B$12:$B$72,$A1552+1)-F1552/INDEX(Surface_Engine!$B$12:$B$72,$A1552+1))))*(MAX(IF(D1552&lt;=0,0,MAX(0,(B1552/D1552)*H1552/INDEX(Surface_Engine!$B$12:$B$72,$A1552+1)-F1552/INDEX(Surface_Engine!$B$12:$B$72,$A1552+1))),IF(E1552&lt;=0,0,MAX(0,(B1552/E1552)*I1552/INDEX(Surface_Engine!$B$12:$B$72,$A1552+1)-F1552/INDEX(Surface_Engine!$B$12:$B$72,$A1552+1))),IF($A1552&lt;$Q$1518,MAX(0,-Assumptions!$B$22*(F1552/INDEX(Surface_Engine!$B$12:$B$72,$A1552+1))),0)))+2*Assumptions!$B$27*(IF(C1552&lt;=0,0,MAX(0,(B1552/C1552)*G1552/INDEX(Surface_Engine!$B$12:$B$72,$A1552+1)-F1552/INDEX(Surface_Engine!$B$12:$B$72,$A1552+1))))*(MAX(0,J1552/INDEX(Surface_Engine!$B$12:$B$72,$A1552+1)-(F1552/INDEX(Surface_Engine!$B$12:$B$72,$A1552+1))))+2*Assumptions!$B$28*(MAX(IF(D1552&lt;=0,0,MAX(0,(B1552/D1552)*H1552/INDEX(Surface_Engine!$B$12:$B$72,$A1552+1)-F1552/INDEX(Surface_Engine!$B$12:$B$72,$A1552+1))),IF(E1552&lt;=0,0,MAX(0,(B1552/E1552)*I1552/INDEX(Surface_Engine!$B$12:$B$72,$A1552+1)-F1552/INDEX(Surface_Engine!$B$12:$B$72,$A1552+1))),IF($A1552&lt;$Q$1518,MAX(0,-Assumptions!$B$22*(F1552/INDEX(Surface_Engine!$B$12:$B$72,$A1552+1))),0)))*(MAX(0,J1552/INDEX(Surface_Engine!$B$12:$B$72,$A1552+1)-(F1552/INDEX(Surface_Engine!$B$12:$B$72,$A1552+1)))))</f>
        <v>117.436997422024</v>
      </c>
      <c r="L1552" s="48" t="n">
        <f aca="false">K1552*INDEX(Surface_Engine!$B$12:$B$72,$A1552+1)+L1553</f>
        <v>102.031420807478</v>
      </c>
      <c r="M1552" s="48" t="n">
        <f aca="false">M1551+B1551*(IF($A1551&lt;$Q$1518,(Surface_Engine!G251*12)-(Surface_Engine!G251*12)*INDEX(Surface_Engine!$F$12:$F$72,$A1551+1)-INDEX(Surface_Engine!$D$12:$D$72,$A1551+1),-(1000*12*INDEX(Surface_Engine!$C$12:$C$72,$A1551+1)/(1+Assumptions!$B$10)^5+INDEX(Surface_Engine!$D$12:$D$72,$A1551+1))))*INDEX(Surface_Engine!$B$12:$B$72,$A1551+1)</f>
        <v>4161.06518582288</v>
      </c>
      <c r="N1552" s="12" t="n">
        <f aca="false">IF(B1552&lt;=0,0,MAX(0,(K1552+Assumptions!$B$29*L1552/INDEX(Surface_Engine!$B$12:$B$72,$A1552+1)-(M1552/INDEX(Surface_Engine!$B$12:$B$72,$A1552+1)-(F1552/INDEX(Surface_Engine!$B$12:$B$72,$A1552+1))))/B1552))</f>
        <v>0</v>
      </c>
    </row>
    <row r="1553" customFormat="false" ht="15" hidden="false" customHeight="true" outlineLevel="0" collapsed="false">
      <c r="A1553" s="1" t="n">
        <v>33</v>
      </c>
      <c r="B1553" s="32" t="n">
        <f aca="false">INDEX(Surface_Engine!$V$12:$V$72,$A1553+1)*IF($A1553&lt;$Q$1518,INDEX(Surface_Engine!$E$12:$E$72,$A1553+1),INDEX(Surface_Engine!$E$12:$E$72,$Q$1518+1))</f>
        <v>0.00689706496978265</v>
      </c>
      <c r="C1553" s="32" t="n">
        <f aca="false">INDEX(Panel_Reserving!$H$8:$H$68,$A1553+1)*IF($A1553&lt;$Q$1518,INDEX(Surface_Engine!$E$12:$E$72,$A1553+1),INDEX(Surface_Engine!$E$12:$E$72,$Q$1518+1))</f>
        <v>0.0201608393556965</v>
      </c>
      <c r="D1553" s="32" t="n">
        <f aca="false">INDEX(Surface_Engine!$V$12:$V$72,$A1553+1)*IF($A1553&lt;$Q$1518,INDEX(Surface_Engine!$Y$12:$Y$72,$A1553+1),INDEX(Surface_Engine!$Y$12:$Y$72,$Q$1518+1))</f>
        <v>0.00654217614755595</v>
      </c>
      <c r="E1553" s="32" t="n">
        <f aca="false">INDEX(Surface_Engine!$V$12:$V$72,$A1553+1)*IF($A1553&lt;$Q$1518,INDEX(Surface_Engine!$Z$12:$Z$72,$A1553+1),INDEX(Surface_Engine!$Z$12:$Z$72,$Q$1518+1))</f>
        <v>0.00726606563377047</v>
      </c>
      <c r="F1553" s="48" t="n">
        <f aca="false">B1553*(IF($A1553&lt;$Q$1518,INDEX(Surface_Engine!$D$12:$D$72,$A1553+1)+(Surface_Engine!G251*12)*INDEX(Surface_Engine!$F$12:$F$72,$A1553+1)-(Surface_Engine!G251*12),1000*12*INDEX(Surface_Engine!$C$12:$C$72,$A1553+1)/(1+Assumptions!$B$10)^5+INDEX(Surface_Engine!$D$12:$D$72,$A1553+1)))*INDEX(Surface_Engine!$B$12:$B$72,$A1553+1)+F1554</f>
        <v>121.465069873984</v>
      </c>
      <c r="G1553" s="48" t="n">
        <f aca="false">C1553*(IF($A1553&lt;$Q$1518,INDEX(Surface_Engine!$D$12:$D$72,$A1553+1)+(Surface_Engine!G251*12)*INDEX(Surface_Engine!$F$12:$F$72,$A1553+1)-(Surface_Engine!G251*12),1000*12*INDEX(Surface_Engine!$C$12:$C$72,$A1553+1)/(1+Assumptions!$B$10)^5+INDEX(Surface_Engine!$D$12:$D$72,$A1553+1)))*INDEX(Surface_Engine!$B$12:$B$72,$A1553+1)+G1554</f>
        <v>431.198587355859</v>
      </c>
      <c r="H1553" s="48" t="n">
        <f aca="false">D1553*(IF($A1553&lt;$Q$1518,INDEX(Surface_Engine!$D$12:$D$72,$A1553+1)+(Surface_Engine!G251*12)*INDEX(Surface_Engine!$F$12:$F$72,$A1553+1)-(Surface_Engine!G251*12),1000*12*INDEX(Surface_Engine!$C$12:$C$72,$A1553+1)/(1+Assumptions!$B$10)^5+INDEX(Surface_Engine!$D$12:$D$72,$A1553+1)))*INDEX(Surface_Engine!$B$12:$B$72,$A1553+1)+H1554</f>
        <v>115.215078641754</v>
      </c>
      <c r="I1553" s="48" t="n">
        <f aca="false">E1553*(IF($A1553&lt;$Q$1518,INDEX(Surface_Engine!$D$12:$D$72,$A1553+1)+(Surface_Engine!G251*12)*INDEX(Surface_Engine!$F$12:$F$72,$A1553+1)-(Surface_Engine!G251*12),1000*12*INDEX(Surface_Engine!$C$12:$C$72,$A1553+1)/(1+Assumptions!$B$10)^5+INDEX(Surface_Engine!$D$12:$D$72,$A1553+1)))*INDEX(Surface_Engine!$B$12:$B$72,$A1553+1)+I1554</f>
        <v>127.963586508406</v>
      </c>
      <c r="J1553" s="48" t="n">
        <f aca="false">B1553*(IF($A1553&lt;$Q$1518,INDEX(Surface_Engine!$D$12:$D$72,$A1553+1)*(1+Assumptions!$B$24)+(Surface_Engine!G251*12)*INDEX(Surface_Engine!$F$12:$F$72,$A1553+1)-(Surface_Engine!G251*12),1000*12*INDEX(Surface_Engine!$C$12:$C$72,$A1553+1)/(1+Assumptions!$B$10)^5+INDEX(Surface_Engine!$D$12:$D$72,$A1553+1)*(1+Assumptions!$B$24)))*INDEX(Surface_Engine!$B$12:$B$72,$A1553+1)+J1554</f>
        <v>121.572455491234</v>
      </c>
      <c r="K1553" s="12" t="n">
        <f aca="false">SQRT((IF(C1553&lt;=0,0,MAX(0,(B1553/C1553)*G1553/INDEX(Surface_Engine!$B$12:$B$72,$A1553+1)-F1553/INDEX(Surface_Engine!$B$12:$B$72,$A1553+1))))^2+(MAX(IF(D1553&lt;=0,0,MAX(0,(B1553/D1553)*H1553/INDEX(Surface_Engine!$B$12:$B$72,$A1553+1)-F1553/INDEX(Surface_Engine!$B$12:$B$72,$A1553+1))),IF(E1553&lt;=0,0,MAX(0,(B1553/E1553)*I1553/INDEX(Surface_Engine!$B$12:$B$72,$A1553+1)-F1553/INDEX(Surface_Engine!$B$12:$B$72,$A1553+1))),IF($A1553&lt;$Q$1518,MAX(0,-Assumptions!$B$22*(F1553/INDEX(Surface_Engine!$B$12:$B$72,$A1553+1))),0)))^2+(MAX(0,J1553/INDEX(Surface_Engine!$B$12:$B$72,$A1553+1)-(F1553/INDEX(Surface_Engine!$B$12:$B$72,$A1553+1))))^2+2*Assumptions!$B$26*(IF(C1553&lt;=0,0,MAX(0,(B1553/C1553)*G1553/INDEX(Surface_Engine!$B$12:$B$72,$A1553+1)-F1553/INDEX(Surface_Engine!$B$12:$B$72,$A1553+1))))*(MAX(IF(D1553&lt;=0,0,MAX(0,(B1553/D1553)*H1553/INDEX(Surface_Engine!$B$12:$B$72,$A1553+1)-F1553/INDEX(Surface_Engine!$B$12:$B$72,$A1553+1))),IF(E1553&lt;=0,0,MAX(0,(B1553/E1553)*I1553/INDEX(Surface_Engine!$B$12:$B$72,$A1553+1)-F1553/INDEX(Surface_Engine!$B$12:$B$72,$A1553+1))),IF($A1553&lt;$Q$1518,MAX(0,-Assumptions!$B$22*(F1553/INDEX(Surface_Engine!$B$12:$B$72,$A1553+1))),0)))+2*Assumptions!$B$27*(IF(C1553&lt;=0,0,MAX(0,(B1553/C1553)*G1553/INDEX(Surface_Engine!$B$12:$B$72,$A1553+1)-F1553/INDEX(Surface_Engine!$B$12:$B$72,$A1553+1))))*(MAX(0,J1553/INDEX(Surface_Engine!$B$12:$B$72,$A1553+1)-(F1553/INDEX(Surface_Engine!$B$12:$B$72,$A1553+1))))+2*Assumptions!$B$28*(MAX(IF(D1553&lt;=0,0,MAX(0,(B1553/D1553)*H1553/INDEX(Surface_Engine!$B$12:$B$72,$A1553+1)-F1553/INDEX(Surface_Engine!$B$12:$B$72,$A1553+1))),IF(E1553&lt;=0,0,MAX(0,(B1553/E1553)*I1553/INDEX(Surface_Engine!$B$12:$B$72,$A1553+1)-F1553/INDEX(Surface_Engine!$B$12:$B$72,$A1553+1))),IF($A1553&lt;$Q$1518,MAX(0,-Assumptions!$B$22*(F1553/INDEX(Surface_Engine!$B$12:$B$72,$A1553+1))),0)))*(MAX(0,J1553/INDEX(Surface_Engine!$B$12:$B$72,$A1553+1)-(F1553/INDEX(Surface_Engine!$B$12:$B$72,$A1553+1)))))</f>
        <v>73.4753870670881</v>
      </c>
      <c r="L1553" s="48" t="n">
        <f aca="false">K1553*INDEX(Surface_Engine!$B$12:$B$72,$A1553+1)+L1554</f>
        <v>58.998048563012</v>
      </c>
      <c r="M1553" s="48" t="n">
        <f aca="false">M1552+B1552*(IF($A1552&lt;$Q$1518,(Surface_Engine!G251*12)-(Surface_Engine!G251*12)*INDEX(Surface_Engine!$F$12:$F$72,$A1552+1)-INDEX(Surface_Engine!$D$12:$D$72,$A1552+1),-(1000*12*INDEX(Surface_Engine!$C$12:$C$72,$A1552+1)/(1+Assumptions!$B$10)^5+INDEX(Surface_Engine!$D$12:$D$72,$A1552+1))))*INDEX(Surface_Engine!$B$12:$B$72,$A1552+1)</f>
        <v>4078.85711217448</v>
      </c>
      <c r="N1553" s="12" t="n">
        <f aca="false">IF(B1553&lt;=0,0,MAX(0,(K1553+Assumptions!$B$29*L1553/INDEX(Surface_Engine!$B$12:$B$72,$A1553+1)-(M1553/INDEX(Surface_Engine!$B$12:$B$72,$A1553+1)-(F1553/INDEX(Surface_Engine!$B$12:$B$72,$A1553+1))))/B1553))</f>
        <v>0</v>
      </c>
    </row>
    <row r="1554" customFormat="false" ht="15" hidden="false" customHeight="true" outlineLevel="0" collapsed="false">
      <c r="A1554" s="1" t="n">
        <v>34</v>
      </c>
      <c r="B1554" s="32" t="n">
        <f aca="false">INDEX(Surface_Engine!$V$12:$V$72,$A1554+1)*IF($A1554&lt;$Q$1518,INDEX(Surface_Engine!$E$12:$E$72,$A1554+1),INDEX(Surface_Engine!$E$12:$E$72,$Q$1518+1))</f>
        <v>0.00421669042070908</v>
      </c>
      <c r="C1554" s="32" t="n">
        <f aca="false">INDEX(Panel_Reserving!$H$8:$H$68,$A1554+1)*IF($A1554&lt;$Q$1518,INDEX(Surface_Engine!$E$12:$E$72,$A1554+1),INDEX(Surface_Engine!$E$12:$E$72,$Q$1518+1))</f>
        <v>0.013892828144119</v>
      </c>
      <c r="D1554" s="32" t="n">
        <f aca="false">INDEX(Surface_Engine!$V$12:$V$72,$A1554+1)*IF($A1554&lt;$Q$1518,INDEX(Surface_Engine!$Y$12:$Y$72,$A1554+1),INDEX(Surface_Engine!$Y$12:$Y$72,$Q$1518+1))</f>
        <v>0.00399972040467236</v>
      </c>
      <c r="E1554" s="32" t="n">
        <f aca="false">INDEX(Surface_Engine!$V$12:$V$72,$A1554+1)*IF($A1554&lt;$Q$1518,INDEX(Surface_Engine!$Z$12:$Z$72,$A1554+1),INDEX(Surface_Engine!$Z$12:$Z$72,$Q$1518+1))</f>
        <v>0.00444228805852889</v>
      </c>
      <c r="F1554" s="48" t="n">
        <f aca="false">B1554*(IF($A1554&lt;$Q$1518,INDEX(Surface_Engine!$D$12:$D$72,$A1554+1)+(Surface_Engine!G251*12)*INDEX(Surface_Engine!$F$12:$F$72,$A1554+1)-(Surface_Engine!G251*12),1000*12*INDEX(Surface_Engine!$C$12:$C$72,$A1554+1)/(1+Assumptions!$B$10)^5+INDEX(Surface_Engine!$D$12:$D$72,$A1554+1)))*INDEX(Surface_Engine!$B$12:$B$72,$A1554+1)+F1555</f>
        <v>69.8731812813404</v>
      </c>
      <c r="G1554" s="48" t="n">
        <f aca="false">C1554*(IF($A1554&lt;$Q$1518,INDEX(Surface_Engine!$D$12:$D$72,$A1554+1)+(Surface_Engine!G251*12)*INDEX(Surface_Engine!$F$12:$F$72,$A1554+1)-(Surface_Engine!G251*12),1000*12*INDEX(Surface_Engine!$C$12:$C$72,$A1554+1)/(1+Assumptions!$B$10)^5+INDEX(Surface_Engine!$D$12:$D$72,$A1554+1)))*INDEX(Surface_Engine!$B$12:$B$72,$A1554+1)+G1555</f>
        <v>280.39012280894</v>
      </c>
      <c r="H1554" s="48" t="n">
        <f aca="false">D1554*(IF($A1554&lt;$Q$1518,INDEX(Surface_Engine!$D$12:$D$72,$A1554+1)+(Surface_Engine!G251*12)*INDEX(Surface_Engine!$F$12:$F$72,$A1554+1)-(Surface_Engine!G251*12),1000*12*INDEX(Surface_Engine!$C$12:$C$72,$A1554+1)/(1+Assumptions!$B$10)^5+INDEX(Surface_Engine!$D$12:$D$72,$A1554+1)))*INDEX(Surface_Engine!$B$12:$B$72,$A1554+1)+H1555</f>
        <v>66.2778532514017</v>
      </c>
      <c r="I1554" s="48" t="n">
        <f aca="false">E1554*(IF($A1554&lt;$Q$1518,INDEX(Surface_Engine!$D$12:$D$72,$A1554+1)+(Surface_Engine!G251*12)*INDEX(Surface_Engine!$F$12:$F$72,$A1554+1)-(Surface_Engine!G251*12),1000*12*INDEX(Surface_Engine!$C$12:$C$72,$A1554+1)/(1+Assumptions!$B$10)^5+INDEX(Surface_Engine!$D$12:$D$72,$A1554+1)))*INDEX(Surface_Engine!$B$12:$B$72,$A1554+1)+I1555</f>
        <v>73.6114743669814</v>
      </c>
      <c r="J1554" s="48" t="n">
        <f aca="false">B1554*(IF($A1554&lt;$Q$1518,INDEX(Surface_Engine!$D$12:$D$72,$A1554+1)*(1+Assumptions!$B$24)+(Surface_Engine!G251*12)*INDEX(Surface_Engine!$F$12:$F$72,$A1554+1)-(Surface_Engine!G251*12),1000*12*INDEX(Surface_Engine!$C$12:$C$72,$A1554+1)/(1+Assumptions!$B$10)^5+INDEX(Surface_Engine!$D$12:$D$72,$A1554+1)*(1+Assumptions!$B$24)))*INDEX(Surface_Engine!$B$12:$B$72,$A1554+1)+J1555</f>
        <v>69.9352287894349</v>
      </c>
      <c r="K1554" s="12" t="n">
        <f aca="false">SQRT((IF(C1554&lt;=0,0,MAX(0,(B1554/C1554)*G1554/INDEX(Surface_Engine!$B$12:$B$72,$A1554+1)-F1554/INDEX(Surface_Engine!$B$12:$B$72,$A1554+1))))^2+(MAX(IF(D1554&lt;=0,0,MAX(0,(B1554/D1554)*H1554/INDEX(Surface_Engine!$B$12:$B$72,$A1554+1)-F1554/INDEX(Surface_Engine!$B$12:$B$72,$A1554+1))),IF(E1554&lt;=0,0,MAX(0,(B1554/E1554)*I1554/INDEX(Surface_Engine!$B$12:$B$72,$A1554+1)-F1554/INDEX(Surface_Engine!$B$12:$B$72,$A1554+1))),IF($A1554&lt;$Q$1518,MAX(0,-Assumptions!$B$22*(F1554/INDEX(Surface_Engine!$B$12:$B$72,$A1554+1))),0)))^2+(MAX(0,J1554/INDEX(Surface_Engine!$B$12:$B$72,$A1554+1)-(F1554/INDEX(Surface_Engine!$B$12:$B$72,$A1554+1))))^2+2*Assumptions!$B$26*(IF(C1554&lt;=0,0,MAX(0,(B1554/C1554)*G1554/INDEX(Surface_Engine!$B$12:$B$72,$A1554+1)-F1554/INDEX(Surface_Engine!$B$12:$B$72,$A1554+1))))*(MAX(IF(D1554&lt;=0,0,MAX(0,(B1554/D1554)*H1554/INDEX(Surface_Engine!$B$12:$B$72,$A1554+1)-F1554/INDEX(Surface_Engine!$B$12:$B$72,$A1554+1))),IF(E1554&lt;=0,0,MAX(0,(B1554/E1554)*I1554/INDEX(Surface_Engine!$B$12:$B$72,$A1554+1)-F1554/INDEX(Surface_Engine!$B$12:$B$72,$A1554+1))),IF($A1554&lt;$Q$1518,MAX(0,-Assumptions!$B$22*(F1554/INDEX(Surface_Engine!$B$12:$B$72,$A1554+1))),0)))+2*Assumptions!$B$27*(IF(C1554&lt;=0,0,MAX(0,(B1554/C1554)*G1554/INDEX(Surface_Engine!$B$12:$B$72,$A1554+1)-F1554/INDEX(Surface_Engine!$B$12:$B$72,$A1554+1))))*(MAX(0,J1554/INDEX(Surface_Engine!$B$12:$B$72,$A1554+1)-(F1554/INDEX(Surface_Engine!$B$12:$B$72,$A1554+1))))+2*Assumptions!$B$28*(MAX(IF(D1554&lt;=0,0,MAX(0,(B1554/D1554)*H1554/INDEX(Surface_Engine!$B$12:$B$72,$A1554+1)-F1554/INDEX(Surface_Engine!$B$12:$B$72,$A1554+1))),IF(E1554&lt;=0,0,MAX(0,(B1554/E1554)*I1554/INDEX(Surface_Engine!$B$12:$B$72,$A1554+1)-F1554/INDEX(Surface_Engine!$B$12:$B$72,$A1554+1))),IF($A1554&lt;$Q$1518,MAX(0,-Assumptions!$B$22*(F1554/INDEX(Surface_Engine!$B$12:$B$72,$A1554+1))),0)))*(MAX(0,J1554/INDEX(Surface_Engine!$B$12:$B$72,$A1554+1)-(F1554/INDEX(Surface_Engine!$B$12:$B$72,$A1554+1)))))</f>
        <v>44.3563669424722</v>
      </c>
      <c r="L1554" s="48" t="n">
        <f aca="false">K1554*INDEX(Surface_Engine!$B$12:$B$72,$A1554+1)+L1555</f>
        <v>32.9221334242264</v>
      </c>
      <c r="M1554" s="48" t="n">
        <f aca="false">M1553+B1553*(IF($A1553&lt;$Q$1518,(Surface_Engine!G251*12)-(Surface_Engine!G251*12)*INDEX(Surface_Engine!$F$12:$F$72,$A1553+1)-INDEX(Surface_Engine!$D$12:$D$72,$A1553+1),-(1000*12*INDEX(Surface_Engine!$C$12:$C$72,$A1553+1)/(1+Assumptions!$B$10)^5+INDEX(Surface_Engine!$D$12:$D$72,$A1553+1))))*INDEX(Surface_Engine!$B$12:$B$72,$A1553+1)</f>
        <v>4027.26522358183</v>
      </c>
      <c r="N1554" s="12" t="n">
        <f aca="false">IF(B1554&lt;=0,0,MAX(0,(K1554+Assumptions!$B$29*L1554/INDEX(Surface_Engine!$B$12:$B$72,$A1554+1)-(M1554/INDEX(Surface_Engine!$B$12:$B$72,$A1554+1)-(F1554/INDEX(Surface_Engine!$B$12:$B$72,$A1554+1))))/B1554))</f>
        <v>0</v>
      </c>
    </row>
    <row r="1555" customFormat="false" ht="15" hidden="false" customHeight="true" outlineLevel="0" collapsed="false">
      <c r="A1555" s="1" t="n">
        <v>35</v>
      </c>
      <c r="B1555" s="32" t="n">
        <f aca="false">INDEX(Surface_Engine!$V$12:$V$72,$A1555+1)*IF($A1555&lt;$Q$1518,INDEX(Surface_Engine!$E$12:$E$72,$A1555+1),INDEX(Surface_Engine!$E$12:$E$72,$Q$1518+1))</f>
        <v>0.00247145418084956</v>
      </c>
      <c r="C1555" s="32" t="n">
        <f aca="false">INDEX(Panel_Reserving!$H$8:$H$68,$A1555+1)*IF($A1555&lt;$Q$1518,INDEX(Surface_Engine!$E$12:$E$72,$A1555+1),INDEX(Surface_Engine!$E$12:$E$72,$Q$1518+1))</f>
        <v>0.00929277175256074</v>
      </c>
      <c r="D1555" s="32" t="n">
        <f aca="false">INDEX(Surface_Engine!$V$12:$V$72,$A1555+1)*IF($A1555&lt;$Q$1518,INDEX(Surface_Engine!$Y$12:$Y$72,$A1555+1),INDEX(Surface_Engine!$Y$12:$Y$72,$Q$1518+1))</f>
        <v>0.00234428538263298</v>
      </c>
      <c r="E1555" s="32" t="n">
        <f aca="false">INDEX(Surface_Engine!$V$12:$V$72,$A1555+1)*IF($A1555&lt;$Q$1518,INDEX(Surface_Engine!$Z$12:$Z$72,$A1555+1),INDEX(Surface_Engine!$Z$12:$Z$72,$Q$1518+1))</f>
        <v>0.00260367973443568</v>
      </c>
      <c r="F1555" s="48" t="n">
        <f aca="false">B1555*(IF($A1555&lt;$Q$1518,INDEX(Surface_Engine!$D$12:$D$72,$A1555+1)+(Surface_Engine!G251*12)*INDEX(Surface_Engine!$F$12:$F$72,$A1555+1)-(Surface_Engine!G251*12),1000*12*INDEX(Surface_Engine!$C$12:$C$72,$A1555+1)/(1+Assumptions!$B$10)^5+INDEX(Surface_Engine!$D$12:$D$72,$A1555+1)))*INDEX(Surface_Engine!$B$12:$B$72,$A1555+1)+F1556</f>
        <v>38.7138512158724</v>
      </c>
      <c r="G1555" s="48" t="n">
        <f aca="false">C1555*(IF($A1555&lt;$Q$1518,INDEX(Surface_Engine!$D$12:$D$72,$A1555+1)+(Surface_Engine!G251*12)*INDEX(Surface_Engine!$F$12:$F$72,$A1555+1)-(Surface_Engine!G251*12),1000*12*INDEX(Surface_Engine!$C$12:$C$72,$A1555+1)/(1+Assumptions!$B$10)^5+INDEX(Surface_Engine!$D$12:$D$72,$A1555+1)))*INDEX(Surface_Engine!$B$12:$B$72,$A1555+1)+G1556</f>
        <v>177.728752280194</v>
      </c>
      <c r="H1555" s="48" t="n">
        <f aca="false">D1555*(IF($A1555&lt;$Q$1518,INDEX(Surface_Engine!$D$12:$D$72,$A1555+1)+(Surface_Engine!G251*12)*INDEX(Surface_Engine!$F$12:$F$72,$A1555+1)-(Surface_Engine!G251*12),1000*12*INDEX(Surface_Engine!$C$12:$C$72,$A1555+1)/(1+Assumptions!$B$10)^5+INDEX(Surface_Engine!$D$12:$D$72,$A1555+1)))*INDEX(Surface_Engine!$B$12:$B$72,$A1555+1)+H1556</f>
        <v>36.7218280694972</v>
      </c>
      <c r="I1555" s="48" t="n">
        <f aca="false">E1555*(IF($A1555&lt;$Q$1518,INDEX(Surface_Engine!$D$12:$D$72,$A1555+1)+(Surface_Engine!G251*12)*INDEX(Surface_Engine!$F$12:$F$72,$A1555+1)-(Surface_Engine!G251*12),1000*12*INDEX(Surface_Engine!$C$12:$C$72,$A1555+1)/(1+Assumptions!$B$10)^5+INDEX(Surface_Engine!$D$12:$D$72,$A1555+1)))*INDEX(Surface_Engine!$B$12:$B$72,$A1555+1)+I1556</f>
        <v>40.7850854099491</v>
      </c>
      <c r="J1555" s="48" t="n">
        <f aca="false">B1555*(IF($A1555&lt;$Q$1518,INDEX(Surface_Engine!$D$12:$D$72,$A1555+1)*(1+Assumptions!$B$24)+(Surface_Engine!G251*12)*INDEX(Surface_Engine!$F$12:$F$72,$A1555+1)-(Surface_Engine!G251*12),1000*12*INDEX(Surface_Engine!$C$12:$C$72,$A1555+1)/(1+Assumptions!$B$10)^5+INDEX(Surface_Engine!$D$12:$D$72,$A1555+1)*(1+Assumptions!$B$24)))*INDEX(Surface_Engine!$B$12:$B$72,$A1555+1)+J1556</f>
        <v>38.7483833718483</v>
      </c>
      <c r="K1555" s="12" t="n">
        <f aca="false">SQRT((IF(C1555&lt;=0,0,MAX(0,(B1555/C1555)*G1555/INDEX(Surface_Engine!$B$12:$B$72,$A1555+1)-F1555/INDEX(Surface_Engine!$B$12:$B$72,$A1555+1))))^2+(MAX(IF(D1555&lt;=0,0,MAX(0,(B1555/D1555)*H1555/INDEX(Surface_Engine!$B$12:$B$72,$A1555+1)-F1555/INDEX(Surface_Engine!$B$12:$B$72,$A1555+1))),IF(E1555&lt;=0,0,MAX(0,(B1555/E1555)*I1555/INDEX(Surface_Engine!$B$12:$B$72,$A1555+1)-F1555/INDEX(Surface_Engine!$B$12:$B$72,$A1555+1))),IF($A1555&lt;$Q$1518,MAX(0,-Assumptions!$B$22*(F1555/INDEX(Surface_Engine!$B$12:$B$72,$A1555+1))),0)))^2+(MAX(0,J1555/INDEX(Surface_Engine!$B$12:$B$72,$A1555+1)-(F1555/INDEX(Surface_Engine!$B$12:$B$72,$A1555+1))))^2+2*Assumptions!$B$26*(IF(C1555&lt;=0,0,MAX(0,(B1555/C1555)*G1555/INDEX(Surface_Engine!$B$12:$B$72,$A1555+1)-F1555/INDEX(Surface_Engine!$B$12:$B$72,$A1555+1))))*(MAX(IF(D1555&lt;=0,0,MAX(0,(B1555/D1555)*H1555/INDEX(Surface_Engine!$B$12:$B$72,$A1555+1)-F1555/INDEX(Surface_Engine!$B$12:$B$72,$A1555+1))),IF(E1555&lt;=0,0,MAX(0,(B1555/E1555)*I1555/INDEX(Surface_Engine!$B$12:$B$72,$A1555+1)-F1555/INDEX(Surface_Engine!$B$12:$B$72,$A1555+1))),IF($A1555&lt;$Q$1518,MAX(0,-Assumptions!$B$22*(F1555/INDEX(Surface_Engine!$B$12:$B$72,$A1555+1))),0)))+2*Assumptions!$B$27*(IF(C1555&lt;=0,0,MAX(0,(B1555/C1555)*G1555/INDEX(Surface_Engine!$B$12:$B$72,$A1555+1)-F1555/INDEX(Surface_Engine!$B$12:$B$72,$A1555+1))))*(MAX(0,J1555/INDEX(Surface_Engine!$B$12:$B$72,$A1555+1)-(F1555/INDEX(Surface_Engine!$B$12:$B$72,$A1555+1))))+2*Assumptions!$B$28*(MAX(IF(D1555&lt;=0,0,MAX(0,(B1555/D1555)*H1555/INDEX(Surface_Engine!$B$12:$B$72,$A1555+1)-F1555/INDEX(Surface_Engine!$B$12:$B$72,$A1555+1))),IF(E1555&lt;=0,0,MAX(0,(B1555/E1555)*I1555/INDEX(Surface_Engine!$B$12:$B$72,$A1555+1)-F1555/INDEX(Surface_Engine!$B$12:$B$72,$A1555+1))),IF($A1555&lt;$Q$1518,MAX(0,-Assumptions!$B$22*(F1555/INDEX(Surface_Engine!$B$12:$B$72,$A1555+1))),0)))*(MAX(0,J1555/INDEX(Surface_Engine!$B$12:$B$72,$A1555+1)-(F1555/INDEX(Surface_Engine!$B$12:$B$72,$A1555+1)))))</f>
        <v>25.725519653509</v>
      </c>
      <c r="L1555" s="48" t="n">
        <f aca="false">K1555*INDEX(Surface_Engine!$B$12:$B$72,$A1555+1)+L1556</f>
        <v>17.6769010147837</v>
      </c>
      <c r="M1555" s="48" t="n">
        <f aca="false">M1554+B1554*(IF($A1554&lt;$Q$1518,(Surface_Engine!G251*12)-(Surface_Engine!G251*12)*INDEX(Surface_Engine!$F$12:$F$72,$A1554+1)-INDEX(Surface_Engine!$D$12:$D$72,$A1554+1),-(1000*12*INDEX(Surface_Engine!$C$12:$C$72,$A1554+1)/(1+Assumptions!$B$10)^5+INDEX(Surface_Engine!$D$12:$D$72,$A1554+1))))*INDEX(Surface_Engine!$B$12:$B$72,$A1554+1)</f>
        <v>3996.10589351637</v>
      </c>
      <c r="N1555" s="12" t="n">
        <f aca="false">IF(B1555&lt;=0,0,MAX(0,(K1555+Assumptions!$B$29*L1555/INDEX(Surface_Engine!$B$12:$B$72,$A1555+1)-(M1555/INDEX(Surface_Engine!$B$12:$B$72,$A1555+1)-(F1555/INDEX(Surface_Engine!$B$12:$B$72,$A1555+1))))/B1555))</f>
        <v>0</v>
      </c>
    </row>
    <row r="1556" customFormat="false" ht="15" hidden="false" customHeight="true" outlineLevel="0" collapsed="false">
      <c r="A1556" s="1" t="n">
        <v>36</v>
      </c>
      <c r="B1556" s="32" t="n">
        <f aca="false">INDEX(Surface_Engine!$V$12:$V$72,$A1556+1)*IF($A1556&lt;$Q$1518,INDEX(Surface_Engine!$E$12:$E$72,$A1556+1),INDEX(Surface_Engine!$E$12:$E$72,$Q$1518+1))</f>
        <v>0.00138255395454708</v>
      </c>
      <c r="C1556" s="32" t="n">
        <f aca="false">INDEX(Panel_Reserving!$H$8:$H$68,$A1556+1)*IF($A1556&lt;$Q$1518,INDEX(Surface_Engine!$E$12:$E$72,$A1556+1),INDEX(Surface_Engine!$E$12:$E$72,$Q$1518+1))</f>
        <v>0.00601732320320107</v>
      </c>
      <c r="D1556" s="32" t="n">
        <f aca="false">INDEX(Surface_Engine!$V$12:$V$72,$A1556+1)*IF($A1556&lt;$Q$1518,INDEX(Surface_Engine!$Y$12:$Y$72,$A1556+1),INDEX(Surface_Engine!$Y$12:$Y$72,$Q$1518+1))</f>
        <v>0.0013114145718178</v>
      </c>
      <c r="E1556" s="32" t="n">
        <f aca="false">INDEX(Surface_Engine!$V$12:$V$72,$A1556+1)*IF($A1556&lt;$Q$1518,INDEX(Surface_Engine!$Z$12:$Z$72,$A1556+1),INDEX(Surface_Engine!$Z$12:$Z$72,$Q$1518+1))</f>
        <v>0.00145652213223744</v>
      </c>
      <c r="F1556" s="48" t="n">
        <f aca="false">B1556*(IF($A1556&lt;$Q$1518,INDEX(Surface_Engine!$D$12:$D$72,$A1556+1)+(Surface_Engine!G251*12)*INDEX(Surface_Engine!$F$12:$F$72,$A1556+1)-(Surface_Engine!G251*12),1000*12*INDEX(Surface_Engine!$C$12:$C$72,$A1556+1)/(1+Assumptions!$B$10)^5+INDEX(Surface_Engine!$D$12:$D$72,$A1556+1)))*INDEX(Surface_Engine!$B$12:$B$72,$A1556+1)+F1557</f>
        <v>20.6732293082849</v>
      </c>
      <c r="G1556" s="48" t="n">
        <f aca="false">C1556*(IF($A1556&lt;$Q$1518,INDEX(Surface_Engine!$D$12:$D$72,$A1556+1)+(Surface_Engine!G251*12)*INDEX(Surface_Engine!$F$12:$F$72,$A1556+1)-(Surface_Engine!G251*12),1000*12*INDEX(Surface_Engine!$C$12:$C$72,$A1556+1)/(1+Assumptions!$B$10)^5+INDEX(Surface_Engine!$D$12:$D$72,$A1556+1)))*INDEX(Surface_Engine!$B$12:$B$72,$A1556+1)+G1557</f>
        <v>109.895254511755</v>
      </c>
      <c r="H1556" s="48" t="n">
        <f aca="false">D1556*(IF($A1556&lt;$Q$1518,INDEX(Surface_Engine!$D$12:$D$72,$A1556+1)+(Surface_Engine!G251*12)*INDEX(Surface_Engine!$F$12:$F$72,$A1556+1)-(Surface_Engine!G251*12),1000*12*INDEX(Surface_Engine!$C$12:$C$72,$A1556+1)/(1+Assumptions!$B$10)^5+INDEX(Surface_Engine!$D$12:$D$72,$A1556+1)))*INDEX(Surface_Engine!$B$12:$B$72,$A1556+1)+H1557</f>
        <v>19.6094872625041</v>
      </c>
      <c r="I1556" s="48" t="n">
        <f aca="false">E1556*(IF($A1556&lt;$Q$1518,INDEX(Surface_Engine!$D$12:$D$72,$A1556+1)+(Surface_Engine!G251*12)*INDEX(Surface_Engine!$F$12:$F$72,$A1556+1)-(Surface_Engine!G251*12),1000*12*INDEX(Surface_Engine!$C$12:$C$72,$A1556+1)/(1+Assumptions!$B$10)^5+INDEX(Surface_Engine!$D$12:$D$72,$A1556+1)))*INDEX(Surface_Engine!$B$12:$B$72,$A1556+1)+I1557</f>
        <v>21.7792701205653</v>
      </c>
      <c r="J1556" s="48" t="n">
        <f aca="false">B1556*(IF($A1556&lt;$Q$1518,INDEX(Surface_Engine!$D$12:$D$72,$A1556+1)*(1+Assumptions!$B$24)+(Surface_Engine!G251*12)*INDEX(Surface_Engine!$F$12:$F$72,$A1556+1)-(Surface_Engine!G251*12),1000*12*INDEX(Surface_Engine!$C$12:$C$72,$A1556+1)/(1+Assumptions!$B$10)^5+INDEX(Surface_Engine!$D$12:$D$72,$A1556+1)*(1+Assumptions!$B$24)))*INDEX(Surface_Engine!$B$12:$B$72,$A1556+1)+J1557</f>
        <v>20.6917532325163</v>
      </c>
      <c r="K1556" s="12" t="n">
        <f aca="false">SQRT((IF(C1556&lt;=0,0,MAX(0,(B1556/C1556)*G1556/INDEX(Surface_Engine!$B$12:$B$72,$A1556+1)-F1556/INDEX(Surface_Engine!$B$12:$B$72,$A1556+1))))^2+(MAX(IF(D1556&lt;=0,0,MAX(0,(B1556/D1556)*H1556/INDEX(Surface_Engine!$B$12:$B$72,$A1556+1)-F1556/INDEX(Surface_Engine!$B$12:$B$72,$A1556+1))),IF(E1556&lt;=0,0,MAX(0,(B1556/E1556)*I1556/INDEX(Surface_Engine!$B$12:$B$72,$A1556+1)-F1556/INDEX(Surface_Engine!$B$12:$B$72,$A1556+1))),IF($A1556&lt;$Q$1518,MAX(0,-Assumptions!$B$22*(F1556/INDEX(Surface_Engine!$B$12:$B$72,$A1556+1))),0)))^2+(MAX(0,J1556/INDEX(Surface_Engine!$B$12:$B$72,$A1556+1)-(F1556/INDEX(Surface_Engine!$B$12:$B$72,$A1556+1))))^2+2*Assumptions!$B$26*(IF(C1556&lt;=0,0,MAX(0,(B1556/C1556)*G1556/INDEX(Surface_Engine!$B$12:$B$72,$A1556+1)-F1556/INDEX(Surface_Engine!$B$12:$B$72,$A1556+1))))*(MAX(IF(D1556&lt;=0,0,MAX(0,(B1556/D1556)*H1556/INDEX(Surface_Engine!$B$12:$B$72,$A1556+1)-F1556/INDEX(Surface_Engine!$B$12:$B$72,$A1556+1))),IF(E1556&lt;=0,0,MAX(0,(B1556/E1556)*I1556/INDEX(Surface_Engine!$B$12:$B$72,$A1556+1)-F1556/INDEX(Surface_Engine!$B$12:$B$72,$A1556+1))),IF($A1556&lt;$Q$1518,MAX(0,-Assumptions!$B$22*(F1556/INDEX(Surface_Engine!$B$12:$B$72,$A1556+1))),0)))+2*Assumptions!$B$27*(IF(C1556&lt;=0,0,MAX(0,(B1556/C1556)*G1556/INDEX(Surface_Engine!$B$12:$B$72,$A1556+1)-F1556/INDEX(Surface_Engine!$B$12:$B$72,$A1556+1))))*(MAX(0,J1556/INDEX(Surface_Engine!$B$12:$B$72,$A1556+1)-(F1556/INDEX(Surface_Engine!$B$12:$B$72,$A1556+1))))+2*Assumptions!$B$28*(MAX(IF(D1556&lt;=0,0,MAX(0,(B1556/D1556)*H1556/INDEX(Surface_Engine!$B$12:$B$72,$A1556+1)-F1556/INDEX(Surface_Engine!$B$12:$B$72,$A1556+1))),IF(E1556&lt;=0,0,MAX(0,(B1556/E1556)*I1556/INDEX(Surface_Engine!$B$12:$B$72,$A1556+1)-F1556/INDEX(Surface_Engine!$B$12:$B$72,$A1556+1))),IF($A1556&lt;$Q$1518,MAX(0,-Assumptions!$B$22*(F1556/INDEX(Surface_Engine!$B$12:$B$72,$A1556+1))),0)))*(MAX(0,J1556/INDEX(Surface_Engine!$B$12:$B$72,$A1556+1)-(F1556/INDEX(Surface_Engine!$B$12:$B$72,$A1556+1)))))</f>
        <v>14.2082774491441</v>
      </c>
      <c r="L1556" s="48" t="n">
        <f aca="false">K1556*INDEX(Surface_Engine!$B$12:$B$72,$A1556+1)+L1557</f>
        <v>9.11429789848806</v>
      </c>
      <c r="M1556" s="48" t="n">
        <f aca="false">M1555+B1555*(IF($A1555&lt;$Q$1518,(Surface_Engine!G251*12)-(Surface_Engine!G251*12)*INDEX(Surface_Engine!$F$12:$F$72,$A1555+1)-INDEX(Surface_Engine!$D$12:$D$72,$A1555+1),-(1000*12*INDEX(Surface_Engine!$C$12:$C$72,$A1555+1)/(1+Assumptions!$B$10)^5+INDEX(Surface_Engine!$D$12:$D$72,$A1555+1))))*INDEX(Surface_Engine!$B$12:$B$72,$A1555+1)</f>
        <v>3978.06527160878</v>
      </c>
      <c r="N1556" s="12" t="n">
        <f aca="false">IF(B1556&lt;=0,0,MAX(0,(K1556+Assumptions!$B$29*L1556/INDEX(Surface_Engine!$B$12:$B$72,$A1556+1)-(M1556/INDEX(Surface_Engine!$B$12:$B$72,$A1556+1)-(F1556/INDEX(Surface_Engine!$B$12:$B$72,$A1556+1))))/B1556))</f>
        <v>0</v>
      </c>
    </row>
    <row r="1557" customFormat="false" ht="15" hidden="false" customHeight="true" outlineLevel="0" collapsed="false">
      <c r="A1557" s="1" t="n">
        <v>37</v>
      </c>
      <c r="B1557" s="32" t="n">
        <f aca="false">INDEX(Surface_Engine!$V$12:$V$72,$A1557+1)*IF($A1557&lt;$Q$1518,INDEX(Surface_Engine!$E$12:$E$72,$A1557+1),INDEX(Surface_Engine!$E$12:$E$72,$Q$1518+1))</f>
        <v>0.000749015003503179</v>
      </c>
      <c r="C1557" s="32" t="n">
        <f aca="false">INDEX(Panel_Reserving!$H$8:$H$68,$A1557+1)*IF($A1557&lt;$Q$1518,INDEX(Surface_Engine!$E$12:$E$72,$A1557+1),INDEX(Surface_Engine!$E$12:$E$72,$Q$1518+1))</f>
        <v>0.00381142961462312</v>
      </c>
      <c r="D1557" s="32" t="n">
        <f aca="false">INDEX(Surface_Engine!$V$12:$V$72,$A1557+1)*IF($A1557&lt;$Q$1518,INDEX(Surface_Engine!$Y$12:$Y$72,$A1557+1),INDEX(Surface_Engine!$Y$12:$Y$72,$Q$1518+1))</f>
        <v>0.000710474399117406</v>
      </c>
      <c r="E1557" s="32" t="n">
        <f aca="false">INDEX(Surface_Engine!$V$12:$V$72,$A1557+1)*IF($A1557&lt;$Q$1518,INDEX(Surface_Engine!$Z$12:$Z$72,$A1557+1),INDEX(Surface_Engine!$Z$12:$Z$72,$Q$1518+1))</f>
        <v>0.000789088141111772</v>
      </c>
      <c r="F1557" s="48" t="n">
        <f aca="false">B1557*(IF($A1557&lt;$Q$1518,INDEX(Surface_Engine!$D$12:$D$72,$A1557+1)+(Surface_Engine!G251*12)*INDEX(Surface_Engine!$F$12:$F$72,$A1557+1)-(Surface_Engine!G251*12),1000*12*INDEX(Surface_Engine!$C$12:$C$72,$A1557+1)/(1+Assumptions!$B$10)^5+INDEX(Surface_Engine!$D$12:$D$72,$A1557+1)))*INDEX(Surface_Engine!$B$12:$B$72,$A1557+1)+F1558</f>
        <v>10.7008601663384</v>
      </c>
      <c r="G1557" s="48" t="n">
        <f aca="false">C1557*(IF($A1557&lt;$Q$1518,INDEX(Surface_Engine!$D$12:$D$72,$A1557+1)+(Surface_Engine!G251*12)*INDEX(Surface_Engine!$F$12:$F$72,$A1557+1)-(Surface_Engine!G251*12),1000*12*INDEX(Surface_Engine!$C$12:$C$72,$A1557+1)/(1+Assumptions!$B$10)^5+INDEX(Surface_Engine!$D$12:$D$72,$A1557+1)))*INDEX(Surface_Engine!$B$12:$B$72,$A1557+1)+G1558</f>
        <v>66.4922697447848</v>
      </c>
      <c r="H1557" s="48" t="n">
        <f aca="false">D1557*(IF($A1557&lt;$Q$1518,INDEX(Surface_Engine!$D$12:$D$72,$A1557+1)+(Surface_Engine!G251*12)*INDEX(Surface_Engine!$F$12:$F$72,$A1557+1)-(Surface_Engine!G251*12),1000*12*INDEX(Surface_Engine!$C$12:$C$72,$A1557+1)/(1+Assumptions!$B$10)^5+INDEX(Surface_Engine!$D$12:$D$72,$A1557+1)))*INDEX(Surface_Engine!$B$12:$B$72,$A1557+1)+H1558</f>
        <v>10.1502468724398</v>
      </c>
      <c r="I1557" s="48" t="n">
        <f aca="false">E1557*(IF($A1557&lt;$Q$1518,INDEX(Surface_Engine!$D$12:$D$72,$A1557+1)+(Surface_Engine!G251*12)*INDEX(Surface_Engine!$F$12:$F$72,$A1557+1)-(Surface_Engine!G251*12),1000*12*INDEX(Surface_Engine!$C$12:$C$72,$A1557+1)/(1+Assumptions!$B$10)^5+INDEX(Surface_Engine!$D$12:$D$72,$A1557+1)))*INDEX(Surface_Engine!$B$12:$B$72,$A1557+1)+I1558</f>
        <v>11.2733681134027</v>
      </c>
      <c r="J1557" s="48" t="n">
        <f aca="false">B1557*(IF($A1557&lt;$Q$1518,INDEX(Surface_Engine!$D$12:$D$72,$A1557+1)*(1+Assumptions!$B$24)+(Surface_Engine!G251*12)*INDEX(Surface_Engine!$F$12:$F$72,$A1557+1)-(Surface_Engine!G251*12),1000*12*INDEX(Surface_Engine!$C$12:$C$72,$A1557+1)/(1+Assumptions!$B$10)^5+INDEX(Surface_Engine!$D$12:$D$72,$A1557+1)*(1+Assumptions!$B$24)))*INDEX(Surface_Engine!$B$12:$B$72,$A1557+1)+J1558</f>
        <v>10.7104921816071</v>
      </c>
      <c r="K1557" s="12" t="n">
        <f aca="false">SQRT((IF(C1557&lt;=0,0,MAX(0,(B1557/C1557)*G1557/INDEX(Surface_Engine!$B$12:$B$72,$A1557+1)-F1557/INDEX(Surface_Engine!$B$12:$B$72,$A1557+1))))^2+(MAX(IF(D1557&lt;=0,0,MAX(0,(B1557/D1557)*H1557/INDEX(Surface_Engine!$B$12:$B$72,$A1557+1)-F1557/INDEX(Surface_Engine!$B$12:$B$72,$A1557+1))),IF(E1557&lt;=0,0,MAX(0,(B1557/E1557)*I1557/INDEX(Surface_Engine!$B$12:$B$72,$A1557+1)-F1557/INDEX(Surface_Engine!$B$12:$B$72,$A1557+1))),IF($A1557&lt;$Q$1518,MAX(0,-Assumptions!$B$22*(F1557/INDEX(Surface_Engine!$B$12:$B$72,$A1557+1))),0)))^2+(MAX(0,J1557/INDEX(Surface_Engine!$B$12:$B$72,$A1557+1)-(F1557/INDEX(Surface_Engine!$B$12:$B$72,$A1557+1))))^2+2*Assumptions!$B$26*(IF(C1557&lt;=0,0,MAX(0,(B1557/C1557)*G1557/INDEX(Surface_Engine!$B$12:$B$72,$A1557+1)-F1557/INDEX(Surface_Engine!$B$12:$B$72,$A1557+1))))*(MAX(IF(D1557&lt;=0,0,MAX(0,(B1557/D1557)*H1557/INDEX(Surface_Engine!$B$12:$B$72,$A1557+1)-F1557/INDEX(Surface_Engine!$B$12:$B$72,$A1557+1))),IF(E1557&lt;=0,0,MAX(0,(B1557/E1557)*I1557/INDEX(Surface_Engine!$B$12:$B$72,$A1557+1)-F1557/INDEX(Surface_Engine!$B$12:$B$72,$A1557+1))),IF($A1557&lt;$Q$1518,MAX(0,-Assumptions!$B$22*(F1557/INDEX(Surface_Engine!$B$12:$B$72,$A1557+1))),0)))+2*Assumptions!$B$27*(IF(C1557&lt;=0,0,MAX(0,(B1557/C1557)*G1557/INDEX(Surface_Engine!$B$12:$B$72,$A1557+1)-F1557/INDEX(Surface_Engine!$B$12:$B$72,$A1557+1))))*(MAX(0,J1557/INDEX(Surface_Engine!$B$12:$B$72,$A1557+1)-(F1557/INDEX(Surface_Engine!$B$12:$B$72,$A1557+1))))+2*Assumptions!$B$28*(MAX(IF(D1557&lt;=0,0,MAX(0,(B1557/D1557)*H1557/INDEX(Surface_Engine!$B$12:$B$72,$A1557+1)-F1557/INDEX(Surface_Engine!$B$12:$B$72,$A1557+1))),IF(E1557&lt;=0,0,MAX(0,(B1557/E1557)*I1557/INDEX(Surface_Engine!$B$12:$B$72,$A1557+1)-F1557/INDEX(Surface_Engine!$B$12:$B$72,$A1557+1))),IF($A1557&lt;$Q$1518,MAX(0,-Assumptions!$B$22*(F1557/INDEX(Surface_Engine!$B$12:$B$72,$A1557+1))),0)))*(MAX(0,J1557/INDEX(Surface_Engine!$B$12:$B$72,$A1557+1)-(F1557/INDEX(Surface_Engine!$B$12:$B$72,$A1557+1)))))</f>
        <v>7.58577214575325</v>
      </c>
      <c r="L1557" s="48" t="n">
        <f aca="false">K1557*INDEX(Surface_Engine!$B$12:$B$72,$A1557+1)+L1558</f>
        <v>4.53307585758159</v>
      </c>
      <c r="M1557" s="48" t="n">
        <f aca="false">M1556+B1556*(IF($A1556&lt;$Q$1518,(Surface_Engine!G251*12)-(Surface_Engine!G251*12)*INDEX(Surface_Engine!$F$12:$F$72,$A1556+1)-INDEX(Surface_Engine!$D$12:$D$72,$A1556+1),-(1000*12*INDEX(Surface_Engine!$C$12:$C$72,$A1556+1)/(1+Assumptions!$B$10)^5+INDEX(Surface_Engine!$D$12:$D$72,$A1556+1))))*INDEX(Surface_Engine!$B$12:$B$72,$A1556+1)</f>
        <v>3968.09290246683</v>
      </c>
      <c r="N1557" s="12" t="n">
        <f aca="false">IF(B1557&lt;=0,0,MAX(0,(K1557+Assumptions!$B$29*L1557/INDEX(Surface_Engine!$B$12:$B$72,$A1557+1)-(M1557/INDEX(Surface_Engine!$B$12:$B$72,$A1557+1)-(F1557/INDEX(Surface_Engine!$B$12:$B$72,$A1557+1))))/B1557))</f>
        <v>0</v>
      </c>
    </row>
    <row r="1558" customFormat="false" ht="15" hidden="false" customHeight="true" outlineLevel="0" collapsed="false">
      <c r="A1558" s="1" t="n">
        <v>38</v>
      </c>
      <c r="B1558" s="32" t="n">
        <f aca="false">INDEX(Surface_Engine!$V$12:$V$72,$A1558+1)*IF($A1558&lt;$Q$1518,INDEX(Surface_Engine!$E$12:$E$72,$A1558+1),INDEX(Surface_Engine!$E$12:$E$72,$Q$1518+1))</f>
        <v>0.000392623495541178</v>
      </c>
      <c r="C1558" s="32" t="n">
        <f aca="false">INDEX(Panel_Reserving!$H$8:$H$68,$A1558+1)*IF($A1558&lt;$Q$1518,INDEX(Surface_Engine!$E$12:$E$72,$A1558+1),INDEX(Surface_Engine!$E$12:$E$72,$Q$1518+1))</f>
        <v>0.00236060564822091</v>
      </c>
      <c r="D1558" s="32" t="n">
        <f aca="false">INDEX(Surface_Engine!$V$12:$V$72,$A1558+1)*IF($A1558&lt;$Q$1518,INDEX(Surface_Engine!$Y$12:$Y$72,$A1558+1),INDEX(Surface_Engine!$Y$12:$Y$72,$Q$1518+1))</f>
        <v>0.000372421033983747</v>
      </c>
      <c r="E1558" s="32" t="n">
        <f aca="false">INDEX(Surface_Engine!$V$12:$V$72,$A1558+1)*IF($A1558&lt;$Q$1518,INDEX(Surface_Engine!$Z$12:$Z$72,$A1558+1),INDEX(Surface_Engine!$Z$12:$Z$72,$Q$1518+1))</f>
        <v>0.000413629290206974</v>
      </c>
      <c r="F1558" s="48" t="n">
        <f aca="false">B1558*(IF($A1558&lt;$Q$1518,INDEX(Surface_Engine!$D$12:$D$72,$A1558+1)+(Surface_Engine!G251*12)*INDEX(Surface_Engine!$F$12:$F$72,$A1558+1)-(Surface_Engine!G251*12),1000*12*INDEX(Surface_Engine!$C$12:$C$72,$A1558+1)/(1+Assumptions!$B$10)^5+INDEX(Surface_Engine!$D$12:$D$72,$A1558+1)))*INDEX(Surface_Engine!$B$12:$B$72,$A1558+1)+F1559</f>
        <v>5.3643166695625</v>
      </c>
      <c r="G1558" s="48" t="n">
        <f aca="false">C1558*(IF($A1558&lt;$Q$1518,INDEX(Surface_Engine!$D$12:$D$72,$A1558+1)+(Surface_Engine!G251*12)*INDEX(Surface_Engine!$F$12:$F$72,$A1558+1)-(Surface_Engine!G251*12),1000*12*INDEX(Surface_Engine!$C$12:$C$72,$A1558+1)/(1+Assumptions!$B$10)^5+INDEX(Surface_Engine!$D$12:$D$72,$A1558+1)))*INDEX(Surface_Engine!$B$12:$B$72,$A1558+1)+G1559</f>
        <v>39.3367924469932</v>
      </c>
      <c r="H1558" s="48" t="n">
        <f aca="false">D1558*(IF($A1558&lt;$Q$1518,INDEX(Surface_Engine!$D$12:$D$72,$A1558+1)+(Surface_Engine!G251*12)*INDEX(Surface_Engine!$F$12:$F$72,$A1558+1)-(Surface_Engine!G251*12),1000*12*INDEX(Surface_Engine!$C$12:$C$72,$A1558+1)/(1+Assumptions!$B$10)^5+INDEX(Surface_Engine!$D$12:$D$72,$A1558+1)))*INDEX(Surface_Engine!$B$12:$B$72,$A1558+1)+H1559</f>
        <v>5.08829548761732</v>
      </c>
      <c r="I1558" s="48" t="n">
        <f aca="false">E1558*(IF($A1558&lt;$Q$1518,INDEX(Surface_Engine!$D$12:$D$72,$A1558+1)+(Surface_Engine!G251*12)*INDEX(Surface_Engine!$F$12:$F$72,$A1558+1)-(Surface_Engine!G251*12),1000*12*INDEX(Surface_Engine!$C$12:$C$72,$A1558+1)/(1+Assumptions!$B$10)^5+INDEX(Surface_Engine!$D$12:$D$72,$A1558+1)))*INDEX(Surface_Engine!$B$12:$B$72,$A1558+1)+I1559</f>
        <v>5.65131359094598</v>
      </c>
      <c r="J1558" s="48" t="n">
        <f aca="false">B1558*(IF($A1558&lt;$Q$1518,INDEX(Surface_Engine!$D$12:$D$72,$A1558+1)*(1+Assumptions!$B$24)+(Surface_Engine!G251*12)*INDEX(Surface_Engine!$F$12:$F$72,$A1558+1)-(Surface_Engine!G251*12),1000*12*INDEX(Surface_Engine!$C$12:$C$72,$A1558+1)/(1+Assumptions!$B$10)^5+INDEX(Surface_Engine!$D$12:$D$72,$A1558+1)*(1+Assumptions!$B$24)))*INDEX(Surface_Engine!$B$12:$B$72,$A1558+1)+J1559</f>
        <v>5.36916721492518</v>
      </c>
      <c r="K1558" s="12" t="n">
        <f aca="false">SQRT((IF(C1558&lt;=0,0,MAX(0,(B1558/C1558)*G1558/INDEX(Surface_Engine!$B$12:$B$72,$A1558+1)-F1558/INDEX(Surface_Engine!$B$12:$B$72,$A1558+1))))^2+(MAX(IF(D1558&lt;=0,0,MAX(0,(B1558/D1558)*H1558/INDEX(Surface_Engine!$B$12:$B$72,$A1558+1)-F1558/INDEX(Surface_Engine!$B$12:$B$72,$A1558+1))),IF(E1558&lt;=0,0,MAX(0,(B1558/E1558)*I1558/INDEX(Surface_Engine!$B$12:$B$72,$A1558+1)-F1558/INDEX(Surface_Engine!$B$12:$B$72,$A1558+1))),IF($A1558&lt;$Q$1518,MAX(0,-Assumptions!$B$22*(F1558/INDEX(Surface_Engine!$B$12:$B$72,$A1558+1))),0)))^2+(MAX(0,J1558/INDEX(Surface_Engine!$B$12:$B$72,$A1558+1)-(F1558/INDEX(Surface_Engine!$B$12:$B$72,$A1558+1))))^2+2*Assumptions!$B$26*(IF(C1558&lt;=0,0,MAX(0,(B1558/C1558)*G1558/INDEX(Surface_Engine!$B$12:$B$72,$A1558+1)-F1558/INDEX(Surface_Engine!$B$12:$B$72,$A1558+1))))*(MAX(IF(D1558&lt;=0,0,MAX(0,(B1558/D1558)*H1558/INDEX(Surface_Engine!$B$12:$B$72,$A1558+1)-F1558/INDEX(Surface_Engine!$B$12:$B$72,$A1558+1))),IF(E1558&lt;=0,0,MAX(0,(B1558/E1558)*I1558/INDEX(Surface_Engine!$B$12:$B$72,$A1558+1)-F1558/INDEX(Surface_Engine!$B$12:$B$72,$A1558+1))),IF($A1558&lt;$Q$1518,MAX(0,-Assumptions!$B$22*(F1558/INDEX(Surface_Engine!$B$12:$B$72,$A1558+1))),0)))+2*Assumptions!$B$27*(IF(C1558&lt;=0,0,MAX(0,(B1558/C1558)*G1558/INDEX(Surface_Engine!$B$12:$B$72,$A1558+1)-F1558/INDEX(Surface_Engine!$B$12:$B$72,$A1558+1))))*(MAX(0,J1558/INDEX(Surface_Engine!$B$12:$B$72,$A1558+1)-(F1558/INDEX(Surface_Engine!$B$12:$B$72,$A1558+1))))+2*Assumptions!$B$28*(MAX(IF(D1558&lt;=0,0,MAX(0,(B1558/D1558)*H1558/INDEX(Surface_Engine!$B$12:$B$72,$A1558+1)-F1558/INDEX(Surface_Engine!$B$12:$B$72,$A1558+1))),IF(E1558&lt;=0,0,MAX(0,(B1558/E1558)*I1558/INDEX(Surface_Engine!$B$12:$B$72,$A1558+1)-F1558/INDEX(Surface_Engine!$B$12:$B$72,$A1558+1))),IF($A1558&lt;$Q$1518,MAX(0,-Assumptions!$B$22*(F1558/INDEX(Surface_Engine!$B$12:$B$72,$A1558+1))),0)))*(MAX(0,J1558/INDEX(Surface_Engine!$B$12:$B$72,$A1558+1)-(F1558/INDEX(Surface_Engine!$B$12:$B$72,$A1558+1)))))</f>
        <v>3.90136366594701</v>
      </c>
      <c r="L1558" s="48" t="n">
        <f aca="false">K1558*INDEX(Surface_Engine!$B$12:$B$72,$A1558+1)+L1559</f>
        <v>2.16457344548534</v>
      </c>
      <c r="M1558" s="48" t="n">
        <f aca="false">M1557+B1557*(IF($A1557&lt;$Q$1518,(Surface_Engine!G251*12)-(Surface_Engine!G251*12)*INDEX(Surface_Engine!$F$12:$F$72,$A1557+1)-INDEX(Surface_Engine!$D$12:$D$72,$A1557+1),-(1000*12*INDEX(Surface_Engine!$C$12:$C$72,$A1557+1)/(1+Assumptions!$B$10)^5+INDEX(Surface_Engine!$D$12:$D$72,$A1557+1))))*INDEX(Surface_Engine!$B$12:$B$72,$A1557+1)</f>
        <v>3962.75635897006</v>
      </c>
      <c r="N1558" s="12" t="n">
        <f aca="false">IF(B1558&lt;=0,0,MAX(0,(K1558+Assumptions!$B$29*L1558/INDEX(Surface_Engine!$B$12:$B$72,$A1558+1)-(M1558/INDEX(Surface_Engine!$B$12:$B$72,$A1558+1)-(F1558/INDEX(Surface_Engine!$B$12:$B$72,$A1558+1))))/B1558))</f>
        <v>0</v>
      </c>
    </row>
    <row r="1559" customFormat="false" ht="15" hidden="false" customHeight="true" outlineLevel="0" collapsed="false">
      <c r="A1559" s="1" t="n">
        <v>39</v>
      </c>
      <c r="B1559" s="32" t="n">
        <f aca="false">INDEX(Surface_Engine!$V$12:$V$72,$A1559+1)*IF($A1559&lt;$Q$1518,INDEX(Surface_Engine!$E$12:$E$72,$A1559+1),INDEX(Surface_Engine!$E$12:$E$72,$Q$1518+1))</f>
        <v>0.000198956846295708</v>
      </c>
      <c r="C1559" s="32" t="n">
        <f aca="false">INDEX(Panel_Reserving!$H$8:$H$68,$A1559+1)*IF($A1559&lt;$Q$1518,INDEX(Surface_Engine!$E$12:$E$72,$A1559+1),INDEX(Surface_Engine!$E$12:$E$72,$Q$1518+1))</f>
        <v>0.00142908608044623</v>
      </c>
      <c r="D1559" s="32" t="n">
        <f aca="false">INDEX(Surface_Engine!$V$12:$V$72,$A1559+1)*IF($A1559&lt;$Q$1518,INDEX(Surface_Engine!$Y$12:$Y$72,$A1559+1),INDEX(Surface_Engine!$Y$12:$Y$72,$Q$1518+1))</f>
        <v>0.000188719511840375</v>
      </c>
      <c r="E1559" s="32" t="n">
        <f aca="false">INDEX(Surface_Engine!$V$12:$V$72,$A1559+1)*IF($A1559&lt;$Q$1518,INDEX(Surface_Engine!$Z$12:$Z$72,$A1559+1),INDEX(Surface_Engine!$Z$12:$Z$72,$Q$1518+1))</f>
        <v>0.00020960125934817</v>
      </c>
      <c r="F1559" s="48" t="n">
        <f aca="false">B1559*(IF($A1559&lt;$Q$1518,INDEX(Surface_Engine!$D$12:$D$72,$A1559+1)+(Surface_Engine!G251*12)*INDEX(Surface_Engine!$F$12:$F$72,$A1559+1)-(Surface_Engine!G251*12),1000*12*INDEX(Surface_Engine!$C$12:$C$72,$A1559+1)/(1+Assumptions!$B$10)^5+INDEX(Surface_Engine!$D$12:$D$72,$A1559+1)))*INDEX(Surface_Engine!$B$12:$B$72,$A1559+1)+F1560</f>
        <v>2.60130725142792</v>
      </c>
      <c r="G1559" s="48" t="n">
        <f aca="false">C1559*(IF($A1559&lt;$Q$1518,INDEX(Surface_Engine!$D$12:$D$72,$A1559+1)+(Surface_Engine!G251*12)*INDEX(Surface_Engine!$F$12:$F$72,$A1559+1)-(Surface_Engine!G251*12),1000*12*INDEX(Surface_Engine!$C$12:$C$72,$A1559+1)/(1+Assumptions!$B$10)^5+INDEX(Surface_Engine!$D$12:$D$72,$A1559+1)))*INDEX(Surface_Engine!$B$12:$B$72,$A1559+1)+G1560</f>
        <v>22.7245017598405</v>
      </c>
      <c r="H1559" s="48" t="n">
        <f aca="false">D1559*(IF($A1559&lt;$Q$1518,INDEX(Surface_Engine!$D$12:$D$72,$A1559+1)+(Surface_Engine!G251*12)*INDEX(Surface_Engine!$F$12:$F$72,$A1559+1)-(Surface_Engine!G251*12),1000*12*INDEX(Surface_Engine!$C$12:$C$72,$A1559+1)/(1+Assumptions!$B$10)^5+INDEX(Surface_Engine!$D$12:$D$72,$A1559+1)))*INDEX(Surface_Engine!$B$12:$B$72,$A1559+1)+H1560</f>
        <v>2.46745685698425</v>
      </c>
      <c r="I1559" s="48" t="n">
        <f aca="false">E1559*(IF($A1559&lt;$Q$1518,INDEX(Surface_Engine!$D$12:$D$72,$A1559+1)+(Surface_Engine!G251*12)*INDEX(Surface_Engine!$F$12:$F$72,$A1559+1)-(Surface_Engine!G251*12),1000*12*INDEX(Surface_Engine!$C$12:$C$72,$A1559+1)/(1+Assumptions!$B$10)^5+INDEX(Surface_Engine!$D$12:$D$72,$A1559+1)))*INDEX(Surface_Engine!$B$12:$B$72,$A1559+1)+I1560</f>
        <v>2.74048008903618</v>
      </c>
      <c r="J1559" s="48" t="n">
        <f aca="false">B1559*(IF($A1559&lt;$Q$1518,INDEX(Surface_Engine!$D$12:$D$72,$A1559+1)*(1+Assumptions!$B$24)+(Surface_Engine!G251*12)*INDEX(Surface_Engine!$F$12:$F$72,$A1559+1)-(Surface_Engine!G251*12),1000*12*INDEX(Surface_Engine!$C$12:$C$72,$A1559+1)/(1+Assumptions!$B$10)^5+INDEX(Surface_Engine!$D$12:$D$72,$A1559+1)*(1+Assumptions!$B$24)))*INDEX(Surface_Engine!$B$12:$B$72,$A1559+1)+J1560</f>
        <v>2.60367015205688</v>
      </c>
      <c r="K1559" s="12" t="n">
        <f aca="false">SQRT((IF(C1559&lt;=0,0,MAX(0,(B1559/C1559)*G1559/INDEX(Surface_Engine!$B$12:$B$72,$A1559+1)-F1559/INDEX(Surface_Engine!$B$12:$B$72,$A1559+1))))^2+(MAX(IF(D1559&lt;=0,0,MAX(0,(B1559/D1559)*H1559/INDEX(Surface_Engine!$B$12:$B$72,$A1559+1)-F1559/INDEX(Surface_Engine!$B$12:$B$72,$A1559+1))),IF(E1559&lt;=0,0,MAX(0,(B1559/E1559)*I1559/INDEX(Surface_Engine!$B$12:$B$72,$A1559+1)-F1559/INDEX(Surface_Engine!$B$12:$B$72,$A1559+1))),IF($A1559&lt;$Q$1518,MAX(0,-Assumptions!$B$22*(F1559/INDEX(Surface_Engine!$B$12:$B$72,$A1559+1))),0)))^2+(MAX(0,J1559/INDEX(Surface_Engine!$B$12:$B$72,$A1559+1)-(F1559/INDEX(Surface_Engine!$B$12:$B$72,$A1559+1))))^2+2*Assumptions!$B$26*(IF(C1559&lt;=0,0,MAX(0,(B1559/C1559)*G1559/INDEX(Surface_Engine!$B$12:$B$72,$A1559+1)-F1559/INDEX(Surface_Engine!$B$12:$B$72,$A1559+1))))*(MAX(IF(D1559&lt;=0,0,MAX(0,(B1559/D1559)*H1559/INDEX(Surface_Engine!$B$12:$B$72,$A1559+1)-F1559/INDEX(Surface_Engine!$B$12:$B$72,$A1559+1))),IF(E1559&lt;=0,0,MAX(0,(B1559/E1559)*I1559/INDEX(Surface_Engine!$B$12:$B$72,$A1559+1)-F1559/INDEX(Surface_Engine!$B$12:$B$72,$A1559+1))),IF($A1559&lt;$Q$1518,MAX(0,-Assumptions!$B$22*(F1559/INDEX(Surface_Engine!$B$12:$B$72,$A1559+1))),0)))+2*Assumptions!$B$27*(IF(C1559&lt;=0,0,MAX(0,(B1559/C1559)*G1559/INDEX(Surface_Engine!$B$12:$B$72,$A1559+1)-F1559/INDEX(Surface_Engine!$B$12:$B$72,$A1559+1))))*(MAX(0,J1559/INDEX(Surface_Engine!$B$12:$B$72,$A1559+1)-(F1559/INDEX(Surface_Engine!$B$12:$B$72,$A1559+1))))+2*Assumptions!$B$28*(MAX(IF(D1559&lt;=0,0,MAX(0,(B1559/D1559)*H1559/INDEX(Surface_Engine!$B$12:$B$72,$A1559+1)-F1559/INDEX(Surface_Engine!$B$12:$B$72,$A1559+1))),IF(E1559&lt;=0,0,MAX(0,(B1559/E1559)*I1559/INDEX(Surface_Engine!$B$12:$B$72,$A1559+1)-F1559/INDEX(Surface_Engine!$B$12:$B$72,$A1559+1))),IF($A1559&lt;$Q$1518,MAX(0,-Assumptions!$B$22*(F1559/INDEX(Surface_Engine!$B$12:$B$72,$A1559+1))),0)))*(MAX(0,J1559/INDEX(Surface_Engine!$B$12:$B$72,$A1559+1)-(F1559/INDEX(Surface_Engine!$B$12:$B$72,$A1559+1)))))</f>
        <v>1.9223874051921</v>
      </c>
      <c r="L1559" s="48" t="n">
        <f aca="false">K1559*INDEX(Surface_Engine!$B$12:$B$72,$A1559+1)+L1560</f>
        <v>0.985046761263515</v>
      </c>
      <c r="M1559" s="48" t="n">
        <f aca="false">M1558+B1558*(IF($A1558&lt;$Q$1518,(Surface_Engine!G251*12)-(Surface_Engine!G251*12)*INDEX(Surface_Engine!$F$12:$F$72,$A1558+1)-INDEX(Surface_Engine!$D$12:$D$72,$A1558+1),-(1000*12*INDEX(Surface_Engine!$C$12:$C$72,$A1558+1)/(1+Assumptions!$B$10)^5+INDEX(Surface_Engine!$D$12:$D$72,$A1558+1))))*INDEX(Surface_Engine!$B$12:$B$72,$A1558+1)</f>
        <v>3959.99334955192</v>
      </c>
      <c r="N1559" s="12" t="n">
        <f aca="false">IF(B1559&lt;=0,0,MAX(0,(K1559+Assumptions!$B$29*L1559/INDEX(Surface_Engine!$B$12:$B$72,$A1559+1)-(M1559/INDEX(Surface_Engine!$B$12:$B$72,$A1559+1)-(F1559/INDEX(Surface_Engine!$B$12:$B$72,$A1559+1))))/B1559))</f>
        <v>0</v>
      </c>
    </row>
    <row r="1560" customFormat="false" ht="15" hidden="false" customHeight="true" outlineLevel="0" collapsed="false">
      <c r="A1560" s="1" t="n">
        <v>40</v>
      </c>
      <c r="B1560" s="32" t="n">
        <f aca="false">INDEX(Surface_Engine!$V$12:$V$72,$A1560+1)*IF($A1560&lt;$Q$1518,INDEX(Surface_Engine!$E$12:$E$72,$A1560+1),INDEX(Surface_Engine!$E$12:$E$72,$Q$1518+1))</f>
        <v>9.73824853503877E-005</v>
      </c>
      <c r="C1560" s="32" t="n">
        <f aca="false">INDEX(Panel_Reserving!$H$8:$H$68,$A1560+1)*IF($A1560&lt;$Q$1518,INDEX(Surface_Engine!$E$12:$E$72,$A1560+1),INDEX(Surface_Engine!$E$12:$E$72,$Q$1518+1))</f>
        <v>0.000845407727839334</v>
      </c>
      <c r="D1560" s="32" t="n">
        <f aca="false">INDEX(Surface_Engine!$V$12:$V$72,$A1560+1)*IF($A1560&lt;$Q$1518,INDEX(Surface_Engine!$Y$12:$Y$72,$A1560+1),INDEX(Surface_Engine!$Y$12:$Y$72,$Q$1518+1))</f>
        <v>9.23716647066905E-005</v>
      </c>
      <c r="E1560" s="32" t="n">
        <f aca="false">INDEX(Surface_Engine!$V$12:$V$72,$A1560+1)*IF($A1560&lt;$Q$1518,INDEX(Surface_Engine!$Z$12:$Z$72,$A1560+1),INDEX(Surface_Engine!$Z$12:$Z$72,$Q$1518+1))</f>
        <v>0.000102592556868129</v>
      </c>
      <c r="F1560" s="48" t="n">
        <f aca="false">B1560*(IF($A1560&lt;$Q$1518,INDEX(Surface_Engine!$D$12:$D$72,$A1560+1)+(Surface_Engine!G251*12)*INDEX(Surface_Engine!$F$12:$F$72,$A1560+1)-(Surface_Engine!G251*12),1000*12*INDEX(Surface_Engine!$C$12:$C$72,$A1560+1)/(1+Assumptions!$B$10)^5+INDEX(Surface_Engine!$D$12:$D$72,$A1560+1)))*INDEX(Surface_Engine!$B$12:$B$72,$A1560+1)+F1561</f>
        <v>1.21790365338703</v>
      </c>
      <c r="G1560" s="48" t="n">
        <f aca="false">C1560*(IF($A1560&lt;$Q$1518,INDEX(Surface_Engine!$D$12:$D$72,$A1560+1)+(Surface_Engine!G251*12)*INDEX(Surface_Engine!$F$12:$F$72,$A1560+1)-(Surface_Engine!G251*12),1000*12*INDEX(Surface_Engine!$C$12:$C$72,$A1560+1)/(1+Assumptions!$B$10)^5+INDEX(Surface_Engine!$D$12:$D$72,$A1560+1)))*INDEX(Surface_Engine!$B$12:$B$72,$A1560+1)+G1561</f>
        <v>12.7876593620621</v>
      </c>
      <c r="H1560" s="48" t="n">
        <f aca="false">D1560*(IF($A1560&lt;$Q$1518,INDEX(Surface_Engine!$D$12:$D$72,$A1560+1)+(Surface_Engine!G251*12)*INDEX(Surface_Engine!$F$12:$F$72,$A1560+1)-(Surface_Engine!G251*12),1000*12*INDEX(Surface_Engine!$C$12:$C$72,$A1560+1)/(1+Assumptions!$B$10)^5+INDEX(Surface_Engine!$D$12:$D$72,$A1560+1)))*INDEX(Surface_Engine!$B$12:$B$72,$A1560+1)+H1561</f>
        <v>1.15523636012102</v>
      </c>
      <c r="I1560" s="48" t="n">
        <f aca="false">E1560*(IF($A1560&lt;$Q$1518,INDEX(Surface_Engine!$D$12:$D$72,$A1560+1)+(Surface_Engine!G251*12)*INDEX(Surface_Engine!$F$12:$F$72,$A1560+1)-(Surface_Engine!G251*12),1000*12*INDEX(Surface_Engine!$C$12:$C$72,$A1560+1)/(1+Assumptions!$B$10)^5+INDEX(Surface_Engine!$D$12:$D$72,$A1560+1)))*INDEX(Surface_Engine!$B$12:$B$72,$A1560+1)+I1561</f>
        <v>1.28306285643093</v>
      </c>
      <c r="J1560" s="48" t="n">
        <f aca="false">B1560*(IF($A1560&lt;$Q$1518,INDEX(Surface_Engine!$D$12:$D$72,$A1560+1)*(1+Assumptions!$B$24)+(Surface_Engine!G251*12)*INDEX(Surface_Engine!$F$12:$F$72,$A1560+1)-(Surface_Engine!G251*12),1000*12*INDEX(Surface_Engine!$C$12:$C$72,$A1560+1)/(1+Assumptions!$B$10)^5+INDEX(Surface_Engine!$D$12:$D$72,$A1560+1)*(1+Assumptions!$B$24)))*INDEX(Surface_Engine!$B$12:$B$72,$A1560+1)+J1561</f>
        <v>1.21901497169419</v>
      </c>
      <c r="K1560" s="12" t="n">
        <f aca="false">SQRT((IF(C1560&lt;=0,0,MAX(0,(B1560/C1560)*G1560/INDEX(Surface_Engine!$B$12:$B$72,$A1560+1)-F1560/INDEX(Surface_Engine!$B$12:$B$72,$A1560+1))))^2+(MAX(IF(D1560&lt;=0,0,MAX(0,(B1560/D1560)*H1560/INDEX(Surface_Engine!$B$12:$B$72,$A1560+1)-F1560/INDEX(Surface_Engine!$B$12:$B$72,$A1560+1))),IF(E1560&lt;=0,0,MAX(0,(B1560/E1560)*I1560/INDEX(Surface_Engine!$B$12:$B$72,$A1560+1)-F1560/INDEX(Surface_Engine!$B$12:$B$72,$A1560+1))),IF($A1560&lt;$Q$1518,MAX(0,-Assumptions!$B$22*(F1560/INDEX(Surface_Engine!$B$12:$B$72,$A1560+1))),0)))^2+(MAX(0,J1560/INDEX(Surface_Engine!$B$12:$B$72,$A1560+1)-(F1560/INDEX(Surface_Engine!$B$12:$B$72,$A1560+1))))^2+2*Assumptions!$B$26*(IF(C1560&lt;=0,0,MAX(0,(B1560/C1560)*G1560/INDEX(Surface_Engine!$B$12:$B$72,$A1560+1)-F1560/INDEX(Surface_Engine!$B$12:$B$72,$A1560+1))))*(MAX(IF(D1560&lt;=0,0,MAX(0,(B1560/D1560)*H1560/INDEX(Surface_Engine!$B$12:$B$72,$A1560+1)-F1560/INDEX(Surface_Engine!$B$12:$B$72,$A1560+1))),IF(E1560&lt;=0,0,MAX(0,(B1560/E1560)*I1560/INDEX(Surface_Engine!$B$12:$B$72,$A1560+1)-F1560/INDEX(Surface_Engine!$B$12:$B$72,$A1560+1))),IF($A1560&lt;$Q$1518,MAX(0,-Assumptions!$B$22*(F1560/INDEX(Surface_Engine!$B$12:$B$72,$A1560+1))),0)))+2*Assumptions!$B$27*(IF(C1560&lt;=0,0,MAX(0,(B1560/C1560)*G1560/INDEX(Surface_Engine!$B$12:$B$72,$A1560+1)-F1560/INDEX(Surface_Engine!$B$12:$B$72,$A1560+1))))*(MAX(0,J1560/INDEX(Surface_Engine!$B$12:$B$72,$A1560+1)-(F1560/INDEX(Surface_Engine!$B$12:$B$72,$A1560+1))))+2*Assumptions!$B$28*(MAX(IF(D1560&lt;=0,0,MAX(0,(B1560/D1560)*H1560/INDEX(Surface_Engine!$B$12:$B$72,$A1560+1)-F1560/INDEX(Surface_Engine!$B$12:$B$72,$A1560+1))),IF(E1560&lt;=0,0,MAX(0,(B1560/E1560)*I1560/INDEX(Surface_Engine!$B$12:$B$72,$A1560+1)-F1560/INDEX(Surface_Engine!$B$12:$B$72,$A1560+1))),IF($A1560&lt;$Q$1518,MAX(0,-Assumptions!$B$22*(F1560/INDEX(Surface_Engine!$B$12:$B$72,$A1560+1))),0)))*(MAX(0,J1560/INDEX(Surface_Engine!$B$12:$B$72,$A1560+1)-(F1560/INDEX(Surface_Engine!$B$12:$B$72,$A1560+1)))))</f>
        <v>0.900645924617278</v>
      </c>
      <c r="L1560" s="48" t="n">
        <f aca="false">K1560*INDEX(Surface_Engine!$B$12:$B$72,$A1560+1)+L1561</f>
        <v>0.422061737907512</v>
      </c>
      <c r="M1560" s="48" t="n">
        <f aca="false">M1559+B1559*(IF($A1559&lt;$Q$1518,(Surface_Engine!G251*12)-(Surface_Engine!G251*12)*INDEX(Surface_Engine!$F$12:$F$72,$A1559+1)-INDEX(Surface_Engine!$D$12:$D$72,$A1559+1),-(1000*12*INDEX(Surface_Engine!$C$12:$C$72,$A1559+1)/(1+Assumptions!$B$10)^5+INDEX(Surface_Engine!$D$12:$D$72,$A1559+1))))*INDEX(Surface_Engine!$B$12:$B$72,$A1559+1)</f>
        <v>3958.60994595388</v>
      </c>
      <c r="N1560" s="12" t="n">
        <f aca="false">IF(B1560&lt;=0,0,MAX(0,(K1560+Assumptions!$B$29*L1560/INDEX(Surface_Engine!$B$12:$B$72,$A1560+1)-(M1560/INDEX(Surface_Engine!$B$12:$B$72,$A1560+1)-(F1560/INDEX(Surface_Engine!$B$12:$B$72,$A1560+1))))/B1560))</f>
        <v>0</v>
      </c>
    </row>
    <row r="1561" customFormat="false" ht="15" hidden="false" customHeight="true" outlineLevel="0" collapsed="false">
      <c r="A1561" s="1" t="n">
        <v>41</v>
      </c>
      <c r="B1561" s="32" t="n">
        <f aca="false">INDEX(Surface_Engine!$V$12:$V$72,$A1561+1)*IF($A1561&lt;$Q$1518,INDEX(Surface_Engine!$E$12:$E$72,$A1561+1),INDEX(Surface_Engine!$E$12:$E$72,$Q$1518+1))</f>
        <v>4.60054773646734E-005</v>
      </c>
      <c r="C1561" s="32" t="n">
        <f aca="false">INDEX(Panel_Reserving!$H$8:$H$68,$A1561+1)*IF($A1561&lt;$Q$1518,INDEX(Surface_Engine!$E$12:$E$72,$A1561+1),INDEX(Surface_Engine!$E$12:$E$72,$Q$1518+1))</f>
        <v>0.000488591863646867</v>
      </c>
      <c r="D1561" s="32" t="n">
        <f aca="false">INDEX(Surface_Engine!$V$12:$V$72,$A1561+1)*IF($A1561&lt;$Q$1518,INDEX(Surface_Engine!$Y$12:$Y$72,$A1561+1),INDEX(Surface_Engine!$Y$12:$Y$72,$Q$1518+1))</f>
        <v>4.36382632309141E-005</v>
      </c>
      <c r="E1561" s="32" t="n">
        <f aca="false">INDEX(Surface_Engine!$V$12:$V$72,$A1561+1)*IF($A1561&lt;$Q$1518,INDEX(Surface_Engine!$Z$12:$Z$72,$A1561+1),INDEX(Surface_Engine!$Z$12:$Z$72,$Q$1518+1))</f>
        <v>4.84668216856297E-005</v>
      </c>
      <c r="F1561" s="48" t="n">
        <f aca="false">B1561*(IF($A1561&lt;$Q$1518,INDEX(Surface_Engine!$D$12:$D$72,$A1561+1)+(Surface_Engine!G251*12)*INDEX(Surface_Engine!$F$12:$F$72,$A1561+1)-(Surface_Engine!G251*12),1000*12*INDEX(Surface_Engine!$C$12:$C$72,$A1561+1)/(1+Assumptions!$B$10)^5+INDEX(Surface_Engine!$D$12:$D$72,$A1561+1)))*INDEX(Surface_Engine!$B$12:$B$72,$A1561+1)+F1562</f>
        <v>0.549131552786525</v>
      </c>
      <c r="G1561" s="48" t="n">
        <f aca="false">C1561*(IF($A1561&lt;$Q$1518,INDEX(Surface_Engine!$D$12:$D$72,$A1561+1)+(Surface_Engine!G251*12)*INDEX(Surface_Engine!$F$12:$F$72,$A1561+1)-(Surface_Engine!G251*12),1000*12*INDEX(Surface_Engine!$C$12:$C$72,$A1561+1)/(1+Assumptions!$B$10)^5+INDEX(Surface_Engine!$D$12:$D$72,$A1561+1)))*INDEX(Surface_Engine!$B$12:$B$72,$A1561+1)+G1562</f>
        <v>6.98184017417911</v>
      </c>
      <c r="H1561" s="48" t="n">
        <f aca="false">D1561*(IF($A1561&lt;$Q$1518,INDEX(Surface_Engine!$D$12:$D$72,$A1561+1)+(Surface_Engine!G251*12)*INDEX(Surface_Engine!$F$12:$F$72,$A1561+1)-(Surface_Engine!G251*12),1000*12*INDEX(Surface_Engine!$C$12:$C$72,$A1561+1)/(1+Assumptions!$B$10)^5+INDEX(Surface_Engine!$D$12:$D$72,$A1561+1)))*INDEX(Surface_Engine!$B$12:$B$72,$A1561+1)+H1562</f>
        <v>0.520875961332807</v>
      </c>
      <c r="I1561" s="48" t="n">
        <f aca="false">E1561*(IF($A1561&lt;$Q$1518,INDEX(Surface_Engine!$D$12:$D$72,$A1561+1)+(Surface_Engine!G251*12)*INDEX(Surface_Engine!$F$12:$F$72,$A1561+1)-(Surface_Engine!G251*12),1000*12*INDEX(Surface_Engine!$C$12:$C$72,$A1561+1)/(1+Assumptions!$B$10)^5+INDEX(Surface_Engine!$D$12:$D$72,$A1561+1)))*INDEX(Surface_Engine!$B$12:$B$72,$A1561+1)+I1562</f>
        <v>0.578510702973256</v>
      </c>
      <c r="J1561" s="48" t="n">
        <f aca="false">B1561*(IF($A1561&lt;$Q$1518,INDEX(Surface_Engine!$D$12:$D$72,$A1561+1)*(1+Assumptions!$B$24)+(Surface_Engine!G251*12)*INDEX(Surface_Engine!$F$12:$F$72,$A1561+1)-(Surface_Engine!G251*12),1000*12*INDEX(Surface_Engine!$C$12:$C$72,$A1561+1)/(1+Assumptions!$B$10)^5+INDEX(Surface_Engine!$D$12:$D$72,$A1561+1)*(1+Assumptions!$B$24)))*INDEX(Surface_Engine!$B$12:$B$72,$A1561+1)+J1562</f>
        <v>0.54963488576386</v>
      </c>
      <c r="K1561" s="12" t="n">
        <f aca="false">SQRT((IF(C1561&lt;=0,0,MAX(0,(B1561/C1561)*G1561/INDEX(Surface_Engine!$B$12:$B$72,$A1561+1)-F1561/INDEX(Surface_Engine!$B$12:$B$72,$A1561+1))))^2+(MAX(IF(D1561&lt;=0,0,MAX(0,(B1561/D1561)*H1561/INDEX(Surface_Engine!$B$12:$B$72,$A1561+1)-F1561/INDEX(Surface_Engine!$B$12:$B$72,$A1561+1))),IF(E1561&lt;=0,0,MAX(0,(B1561/E1561)*I1561/INDEX(Surface_Engine!$B$12:$B$72,$A1561+1)-F1561/INDEX(Surface_Engine!$B$12:$B$72,$A1561+1))),IF($A1561&lt;$Q$1518,MAX(0,-Assumptions!$B$22*(F1561/INDEX(Surface_Engine!$B$12:$B$72,$A1561+1))),0)))^2+(MAX(0,J1561/INDEX(Surface_Engine!$B$12:$B$72,$A1561+1)-(F1561/INDEX(Surface_Engine!$B$12:$B$72,$A1561+1))))^2+2*Assumptions!$B$26*(IF(C1561&lt;=0,0,MAX(0,(B1561/C1561)*G1561/INDEX(Surface_Engine!$B$12:$B$72,$A1561+1)-F1561/INDEX(Surface_Engine!$B$12:$B$72,$A1561+1))))*(MAX(IF(D1561&lt;=0,0,MAX(0,(B1561/D1561)*H1561/INDEX(Surface_Engine!$B$12:$B$72,$A1561+1)-F1561/INDEX(Surface_Engine!$B$12:$B$72,$A1561+1))),IF(E1561&lt;=0,0,MAX(0,(B1561/E1561)*I1561/INDEX(Surface_Engine!$B$12:$B$72,$A1561+1)-F1561/INDEX(Surface_Engine!$B$12:$B$72,$A1561+1))),IF($A1561&lt;$Q$1518,MAX(0,-Assumptions!$B$22*(F1561/INDEX(Surface_Engine!$B$12:$B$72,$A1561+1))),0)))+2*Assumptions!$B$27*(IF(C1561&lt;=0,0,MAX(0,(B1561/C1561)*G1561/INDEX(Surface_Engine!$B$12:$B$72,$A1561+1)-F1561/INDEX(Surface_Engine!$B$12:$B$72,$A1561+1))))*(MAX(0,J1561/INDEX(Surface_Engine!$B$12:$B$72,$A1561+1)-(F1561/INDEX(Surface_Engine!$B$12:$B$72,$A1561+1))))+2*Assumptions!$B$28*(MAX(IF(D1561&lt;=0,0,MAX(0,(B1561/D1561)*H1561/INDEX(Surface_Engine!$B$12:$B$72,$A1561+1)-F1561/INDEX(Surface_Engine!$B$12:$B$72,$A1561+1))),IF(E1561&lt;=0,0,MAX(0,(B1561/E1561)*I1561/INDEX(Surface_Engine!$B$12:$B$72,$A1561+1)-F1561/INDEX(Surface_Engine!$B$12:$B$72,$A1561+1))),IF($A1561&lt;$Q$1518,MAX(0,-Assumptions!$B$22*(F1561/INDEX(Surface_Engine!$B$12:$B$72,$A1561+1))),0)))*(MAX(0,J1561/INDEX(Surface_Engine!$B$12:$B$72,$A1561+1)-(F1561/INDEX(Surface_Engine!$B$12:$B$72,$A1561+1)))))</f>
        <v>0.394836476253499</v>
      </c>
      <c r="L1561" s="48" t="n">
        <f aca="false">K1561*INDEX(Surface_Engine!$B$12:$B$72,$A1561+1)+L1562</f>
        <v>0.166675279129882</v>
      </c>
      <c r="M1561" s="48" t="n">
        <f aca="false">M1560+B1560*(IF($A1560&lt;$Q$1518,(Surface_Engine!G251*12)-(Surface_Engine!G251*12)*INDEX(Surface_Engine!$F$12:$F$72,$A1560+1)-INDEX(Surface_Engine!$D$12:$D$72,$A1560+1),-(1000*12*INDEX(Surface_Engine!$C$12:$C$72,$A1560+1)/(1+Assumptions!$B$10)^5+INDEX(Surface_Engine!$D$12:$D$72,$A1560+1))))*INDEX(Surface_Engine!$B$12:$B$72,$A1560+1)</f>
        <v>3957.94117385328</v>
      </c>
      <c r="N1561" s="12" t="n">
        <f aca="false">IF(B1561&lt;=0,0,MAX(0,(K1561+Assumptions!$B$29*L1561/INDEX(Surface_Engine!$B$12:$B$72,$A1561+1)-(M1561/INDEX(Surface_Engine!$B$12:$B$72,$A1561+1)-(F1561/INDEX(Surface_Engine!$B$12:$B$72,$A1561+1))))/B1561))</f>
        <v>0</v>
      </c>
    </row>
    <row r="1562" customFormat="false" ht="15" hidden="false" customHeight="true" outlineLevel="0" collapsed="false">
      <c r="A1562" s="1" t="n">
        <v>42</v>
      </c>
      <c r="B1562" s="32" t="n">
        <f aca="false">INDEX(Surface_Engine!$V$12:$V$72,$A1562+1)*IF($A1562&lt;$Q$1518,INDEX(Surface_Engine!$E$12:$E$72,$A1562+1),INDEX(Surface_Engine!$E$12:$E$72,$Q$1518+1))</f>
        <v>2.09622915656105E-005</v>
      </c>
      <c r="C1562" s="32" t="n">
        <f aca="false">INDEX(Panel_Reserving!$H$8:$H$68,$A1562+1)*IF($A1562&lt;$Q$1518,INDEX(Surface_Engine!$E$12:$E$72,$A1562+1),INDEX(Surface_Engine!$E$12:$E$72,$Q$1518+1))</f>
        <v>0.000275818993595275</v>
      </c>
      <c r="D1562" s="32" t="n">
        <f aca="false">INDEX(Surface_Engine!$V$12:$V$72,$A1562+1)*IF($A1562&lt;$Q$1518,INDEX(Surface_Engine!$Y$12:$Y$72,$A1562+1),INDEX(Surface_Engine!$Y$12:$Y$72,$Q$1518+1))</f>
        <v>1.9883675806953E-005</v>
      </c>
      <c r="E1562" s="32" t="n">
        <f aca="false">INDEX(Surface_Engine!$V$12:$V$72,$A1562+1)*IF($A1562&lt;$Q$1518,INDEX(Surface_Engine!$Z$12:$Z$72,$A1562+1),INDEX(Surface_Engine!$Z$12:$Z$72,$Q$1518+1))</f>
        <v>2.20837975308733E-005</v>
      </c>
      <c r="F1562" s="48" t="n">
        <f aca="false">B1562*(IF($A1562&lt;$Q$1518,INDEX(Surface_Engine!$D$12:$D$72,$A1562+1)+(Surface_Engine!G251*12)*INDEX(Surface_Engine!$F$12:$F$72,$A1562+1)-(Surface_Engine!G251*12),1000*12*INDEX(Surface_Engine!$C$12:$C$72,$A1562+1)/(1+Assumptions!$B$10)^5+INDEX(Surface_Engine!$D$12:$D$72,$A1562+1)))*INDEX(Surface_Engine!$B$12:$B$72,$A1562+1)+F1563</f>
        <v>0.23710081222101</v>
      </c>
      <c r="G1562" s="48" t="n">
        <f aca="false">C1562*(IF($A1562&lt;$Q$1518,INDEX(Surface_Engine!$D$12:$D$72,$A1562+1)+(Surface_Engine!G251*12)*INDEX(Surface_Engine!$F$12:$F$72,$A1562+1)-(Surface_Engine!G251*12),1000*12*INDEX(Surface_Engine!$C$12:$C$72,$A1562+1)/(1+Assumptions!$B$10)^5+INDEX(Surface_Engine!$D$12:$D$72,$A1562+1)))*INDEX(Surface_Engine!$B$12:$B$72,$A1562+1)+G1563</f>
        <v>3.6679808300071</v>
      </c>
      <c r="H1562" s="48" t="n">
        <f aca="false">D1562*(IF($A1562&lt;$Q$1518,INDEX(Surface_Engine!$D$12:$D$72,$A1562+1)+(Surface_Engine!G251*12)*INDEX(Surface_Engine!$F$12:$F$72,$A1562+1)-(Surface_Engine!G251*12),1000*12*INDEX(Surface_Engine!$C$12:$C$72,$A1562+1)/(1+Assumptions!$B$10)^5+INDEX(Surface_Engine!$D$12:$D$72,$A1562+1)))*INDEX(Surface_Engine!$B$12:$B$72,$A1562+1)+H1563</f>
        <v>0.22490077809537</v>
      </c>
      <c r="I1562" s="48" t="n">
        <f aca="false">E1562*(IF($A1562&lt;$Q$1518,INDEX(Surface_Engine!$D$12:$D$72,$A1562+1)+(Surface_Engine!G251*12)*INDEX(Surface_Engine!$F$12:$F$72,$A1562+1)-(Surface_Engine!G251*12),1000*12*INDEX(Surface_Engine!$C$12:$C$72,$A1562+1)/(1+Assumptions!$B$10)^5+INDEX(Surface_Engine!$D$12:$D$72,$A1562+1)))*INDEX(Surface_Engine!$B$12:$B$72,$A1562+1)+I1563</f>
        <v>0.249785969969258</v>
      </c>
      <c r="J1562" s="48" t="n">
        <f aca="false">B1562*(IF($A1562&lt;$Q$1518,INDEX(Surface_Engine!$D$12:$D$72,$A1562+1)*(1+Assumptions!$B$24)+(Surface_Engine!G251*12)*INDEX(Surface_Engine!$F$12:$F$72,$A1562+1)-(Surface_Engine!G251*12),1000*12*INDEX(Surface_Engine!$C$12:$C$72,$A1562+1)/(1+Assumptions!$B$10)^5+INDEX(Surface_Engine!$D$12:$D$72,$A1562+1)*(1+Assumptions!$B$24)))*INDEX(Surface_Engine!$B$12:$B$72,$A1562+1)+J1563</f>
        <v>0.237319098066799</v>
      </c>
      <c r="K1562" s="12" t="n">
        <f aca="false">SQRT((IF(C1562&lt;=0,0,MAX(0,(B1562/C1562)*G1562/INDEX(Surface_Engine!$B$12:$B$72,$A1562+1)-F1562/INDEX(Surface_Engine!$B$12:$B$72,$A1562+1))))^2+(MAX(IF(D1562&lt;=0,0,MAX(0,(B1562/D1562)*H1562/INDEX(Surface_Engine!$B$12:$B$72,$A1562+1)-F1562/INDEX(Surface_Engine!$B$12:$B$72,$A1562+1))),IF(E1562&lt;=0,0,MAX(0,(B1562/E1562)*I1562/INDEX(Surface_Engine!$B$12:$B$72,$A1562+1)-F1562/INDEX(Surface_Engine!$B$12:$B$72,$A1562+1))),IF($A1562&lt;$Q$1518,MAX(0,-Assumptions!$B$22*(F1562/INDEX(Surface_Engine!$B$12:$B$72,$A1562+1))),0)))^2+(MAX(0,J1562/INDEX(Surface_Engine!$B$12:$B$72,$A1562+1)-(F1562/INDEX(Surface_Engine!$B$12:$B$72,$A1562+1))))^2+2*Assumptions!$B$26*(IF(C1562&lt;=0,0,MAX(0,(B1562/C1562)*G1562/INDEX(Surface_Engine!$B$12:$B$72,$A1562+1)-F1562/INDEX(Surface_Engine!$B$12:$B$72,$A1562+1))))*(MAX(IF(D1562&lt;=0,0,MAX(0,(B1562/D1562)*H1562/INDEX(Surface_Engine!$B$12:$B$72,$A1562+1)-F1562/INDEX(Surface_Engine!$B$12:$B$72,$A1562+1))),IF(E1562&lt;=0,0,MAX(0,(B1562/E1562)*I1562/INDEX(Surface_Engine!$B$12:$B$72,$A1562+1)-F1562/INDEX(Surface_Engine!$B$12:$B$72,$A1562+1))),IF($A1562&lt;$Q$1518,MAX(0,-Assumptions!$B$22*(F1562/INDEX(Surface_Engine!$B$12:$B$72,$A1562+1))),0)))+2*Assumptions!$B$27*(IF(C1562&lt;=0,0,MAX(0,(B1562/C1562)*G1562/INDEX(Surface_Engine!$B$12:$B$72,$A1562+1)-F1562/INDEX(Surface_Engine!$B$12:$B$72,$A1562+1))))*(MAX(0,J1562/INDEX(Surface_Engine!$B$12:$B$72,$A1562+1)-(F1562/INDEX(Surface_Engine!$B$12:$B$72,$A1562+1))))+2*Assumptions!$B$28*(MAX(IF(D1562&lt;=0,0,MAX(0,(B1562/D1562)*H1562/INDEX(Surface_Engine!$B$12:$B$72,$A1562+1)-F1562/INDEX(Surface_Engine!$B$12:$B$72,$A1562+1))),IF(E1562&lt;=0,0,MAX(0,(B1562/E1562)*I1562/INDEX(Surface_Engine!$B$12:$B$72,$A1562+1)-F1562/INDEX(Surface_Engine!$B$12:$B$72,$A1562+1))),IF($A1562&lt;$Q$1518,MAX(0,-Assumptions!$B$22*(F1562/INDEX(Surface_Engine!$B$12:$B$72,$A1562+1))),0)))*(MAX(0,J1562/INDEX(Surface_Engine!$B$12:$B$72,$A1562+1)-(F1562/INDEX(Surface_Engine!$B$12:$B$72,$A1562+1)))))</f>
        <v>0.156896745459398</v>
      </c>
      <c r="L1562" s="48" t="n">
        <f aca="false">K1562*INDEX(Surface_Engine!$B$12:$B$72,$A1562+1)+L1563</f>
        <v>0.0582745839111897</v>
      </c>
      <c r="M1562" s="48" t="n">
        <f aca="false">M1561+B1561*(IF($A1561&lt;$Q$1518,(Surface_Engine!G251*12)-(Surface_Engine!G251*12)*INDEX(Surface_Engine!$F$12:$F$72,$A1561+1)-INDEX(Surface_Engine!$D$12:$D$72,$A1561+1),-(1000*12*INDEX(Surface_Engine!$C$12:$C$72,$A1561+1)/(1+Assumptions!$B$10)^5+INDEX(Surface_Engine!$D$12:$D$72,$A1561+1))))*INDEX(Surface_Engine!$B$12:$B$72,$A1561+1)</f>
        <v>3957.62914311271</v>
      </c>
      <c r="N1562" s="12" t="n">
        <f aca="false">IF(B1562&lt;=0,0,MAX(0,(K1562+Assumptions!$B$29*L1562/INDEX(Surface_Engine!$B$12:$B$72,$A1562+1)-(M1562/INDEX(Surface_Engine!$B$12:$B$72,$A1562+1)-(F1562/INDEX(Surface_Engine!$B$12:$B$72,$A1562+1))))/B1562))</f>
        <v>0</v>
      </c>
    </row>
    <row r="1563" customFormat="false" ht="15" hidden="false" customHeight="true" outlineLevel="0" collapsed="false">
      <c r="A1563" s="1" t="n">
        <v>43</v>
      </c>
      <c r="B1563" s="32" t="n">
        <f aca="false">INDEX(Surface_Engine!$V$12:$V$72,$A1563+1)*IF($A1563&lt;$Q$1518,INDEX(Surface_Engine!$E$12:$E$72,$A1563+1),INDEX(Surface_Engine!$E$12:$E$72,$Q$1518+1))</f>
        <v>9.20640771927748E-006</v>
      </c>
      <c r="C1563" s="32" t="n">
        <f aca="false">INDEX(Panel_Reserving!$H$8:$H$68,$A1563+1)*IF($A1563&lt;$Q$1518,INDEX(Surface_Engine!$E$12:$E$72,$A1563+1),INDEX(Surface_Engine!$E$12:$E$72,$Q$1518+1))</f>
        <v>0.000152073131510694</v>
      </c>
      <c r="D1563" s="32" t="n">
        <f aca="false">INDEX(Surface_Engine!$V$12:$V$72,$A1563+1)*IF($A1563&lt;$Q$1518,INDEX(Surface_Engine!$Y$12:$Y$72,$A1563+1),INDEX(Surface_Engine!$Y$12:$Y$72,$Q$1518+1))</f>
        <v>8.73269155062493E-006</v>
      </c>
      <c r="E1563" s="32" t="n">
        <f aca="false">INDEX(Surface_Engine!$V$12:$V$72,$A1563+1)*IF($A1563&lt;$Q$1518,INDEX(Surface_Engine!$Z$12:$Z$72,$A1563+1),INDEX(Surface_Engine!$Z$12:$Z$72,$Q$1518+1))</f>
        <v>9.69896079456959E-006</v>
      </c>
      <c r="F1563" s="48" t="n">
        <f aca="false">B1563*(IF($A1563&lt;$Q$1518,INDEX(Surface_Engine!$D$12:$D$72,$A1563+1)+(Surface_Engine!G251*12)*INDEX(Surface_Engine!$F$12:$F$72,$A1563+1)-(Surface_Engine!G251*12),1000*12*INDEX(Surface_Engine!$C$12:$C$72,$A1563+1)/(1+Assumptions!$B$10)^5+INDEX(Surface_Engine!$D$12:$D$72,$A1563+1)))*INDEX(Surface_Engine!$B$12:$B$72,$A1563+1)+F1564</f>
        <v>0.0966328916694617</v>
      </c>
      <c r="G1563" s="48" t="n">
        <f aca="false">C1563*(IF($A1563&lt;$Q$1518,INDEX(Surface_Engine!$D$12:$D$72,$A1563+1)+(Surface_Engine!G251*12)*INDEX(Surface_Engine!$F$12:$F$72,$A1563+1)-(Surface_Engine!G251*12),1000*12*INDEX(Surface_Engine!$C$12:$C$72,$A1563+1)/(1+Assumptions!$B$10)^5+INDEX(Surface_Engine!$D$12:$D$72,$A1563+1)))*INDEX(Surface_Engine!$B$12:$B$72,$A1563+1)+G1564</f>
        <v>1.81972295430281</v>
      </c>
      <c r="H1563" s="48" t="n">
        <f aca="false">D1563*(IF($A1563&lt;$Q$1518,INDEX(Surface_Engine!$D$12:$D$72,$A1563+1)+(Surface_Engine!G251*12)*INDEX(Surface_Engine!$F$12:$F$72,$A1563+1)-(Surface_Engine!G251*12),1000*12*INDEX(Surface_Engine!$C$12:$C$72,$A1563+1)/(1+Assumptions!$B$10)^5+INDEX(Surface_Engine!$D$12:$D$72,$A1563+1)))*INDEX(Surface_Engine!$B$12:$B$72,$A1563+1)+H1564</f>
        <v>0.0916606414060259</v>
      </c>
      <c r="I1563" s="48" t="n">
        <f aca="false">E1563*(IF($A1563&lt;$Q$1518,INDEX(Surface_Engine!$D$12:$D$72,$A1563+1)+(Surface_Engine!G251*12)*INDEX(Surface_Engine!$F$12:$F$72,$A1563+1)-(Surface_Engine!G251*12),1000*12*INDEX(Surface_Engine!$C$12:$C$72,$A1563+1)/(1+Assumptions!$B$10)^5+INDEX(Surface_Engine!$D$12:$D$72,$A1563+1)))*INDEX(Surface_Engine!$B$12:$B$72,$A1563+1)+I1564</f>
        <v>0.101802859089707</v>
      </c>
      <c r="J1563" s="48" t="n">
        <f aca="false">B1563*(IF($A1563&lt;$Q$1518,INDEX(Surface_Engine!$D$12:$D$72,$A1563+1)*(1+Assumptions!$B$24)+(Surface_Engine!G251*12)*INDEX(Surface_Engine!$F$12:$F$72,$A1563+1)-(Surface_Engine!G251*12),1000*12*INDEX(Surface_Engine!$C$12:$C$72,$A1563+1)/(1+Assumptions!$B$10)^5+INDEX(Surface_Engine!$D$12:$D$72,$A1563+1)*(1+Assumptions!$B$24)))*INDEX(Surface_Engine!$B$12:$B$72,$A1563+1)+J1564</f>
        <v>0.0967222336476162</v>
      </c>
      <c r="K1563" s="12" t="n">
        <f aca="false">SQRT((IF(C1563&lt;=0,0,MAX(0,(B1563/C1563)*G1563/INDEX(Surface_Engine!$B$12:$B$72,$A1563+1)-F1563/INDEX(Surface_Engine!$B$12:$B$72,$A1563+1))))^2+(MAX(IF(D1563&lt;=0,0,MAX(0,(B1563/D1563)*H1563/INDEX(Surface_Engine!$B$12:$B$72,$A1563+1)-F1563/INDEX(Surface_Engine!$B$12:$B$72,$A1563+1))),IF(E1563&lt;=0,0,MAX(0,(B1563/E1563)*I1563/INDEX(Surface_Engine!$B$12:$B$72,$A1563+1)-F1563/INDEX(Surface_Engine!$B$12:$B$72,$A1563+1))),IF($A1563&lt;$Q$1518,MAX(0,-Assumptions!$B$22*(F1563/INDEX(Surface_Engine!$B$12:$B$72,$A1563+1))),0)))^2+(MAX(0,J1563/INDEX(Surface_Engine!$B$12:$B$72,$A1563+1)-(F1563/INDEX(Surface_Engine!$B$12:$B$72,$A1563+1))))^2+2*Assumptions!$B$26*(IF(C1563&lt;=0,0,MAX(0,(B1563/C1563)*G1563/INDEX(Surface_Engine!$B$12:$B$72,$A1563+1)-F1563/INDEX(Surface_Engine!$B$12:$B$72,$A1563+1))))*(MAX(IF(D1563&lt;=0,0,MAX(0,(B1563/D1563)*H1563/INDEX(Surface_Engine!$B$12:$B$72,$A1563+1)-F1563/INDEX(Surface_Engine!$B$12:$B$72,$A1563+1))),IF(E1563&lt;=0,0,MAX(0,(B1563/E1563)*I1563/INDEX(Surface_Engine!$B$12:$B$72,$A1563+1)-F1563/INDEX(Surface_Engine!$B$12:$B$72,$A1563+1))),IF($A1563&lt;$Q$1518,MAX(0,-Assumptions!$B$22*(F1563/INDEX(Surface_Engine!$B$12:$B$72,$A1563+1))),0)))+2*Assumptions!$B$27*(IF(C1563&lt;=0,0,MAX(0,(B1563/C1563)*G1563/INDEX(Surface_Engine!$B$12:$B$72,$A1563+1)-F1563/INDEX(Surface_Engine!$B$12:$B$72,$A1563+1))))*(MAX(0,J1563/INDEX(Surface_Engine!$B$12:$B$72,$A1563+1)-(F1563/INDEX(Surface_Engine!$B$12:$B$72,$A1563+1))))+2*Assumptions!$B$28*(MAX(IF(D1563&lt;=0,0,MAX(0,(B1563/D1563)*H1563/INDEX(Surface_Engine!$B$12:$B$72,$A1563+1)-F1563/INDEX(Surface_Engine!$B$12:$B$72,$A1563+1))),IF(E1563&lt;=0,0,MAX(0,(B1563/E1563)*I1563/INDEX(Surface_Engine!$B$12:$B$72,$A1563+1)-F1563/INDEX(Surface_Engine!$B$12:$B$72,$A1563+1))),IF($A1563&lt;$Q$1518,MAX(0,-Assumptions!$B$22*(F1563/INDEX(Surface_Engine!$B$12:$B$72,$A1563+1))),0)))*(MAX(0,J1563/INDEX(Surface_Engine!$B$12:$B$72,$A1563+1)-(F1563/INDEX(Surface_Engine!$B$12:$B$72,$A1563+1)))))</f>
        <v>0.0526499484899686</v>
      </c>
      <c r="L1563" s="48" t="n">
        <f aca="false">K1563*INDEX(Surface_Engine!$B$12:$B$72,$A1563+1)+L1564</f>
        <v>0.0165531072182228</v>
      </c>
      <c r="M1563" s="48" t="n">
        <f aca="false">M1562+B1562*(IF($A1562&lt;$Q$1518,(Surface_Engine!G251*12)-(Surface_Engine!G251*12)*INDEX(Surface_Engine!$F$12:$F$72,$A1562+1)-INDEX(Surface_Engine!$D$12:$D$72,$A1562+1),-(1000*12*INDEX(Surface_Engine!$C$12:$C$72,$A1562+1)/(1+Assumptions!$B$10)^5+INDEX(Surface_Engine!$D$12:$D$72,$A1562+1))))*INDEX(Surface_Engine!$B$12:$B$72,$A1562+1)</f>
        <v>3957.48867519216</v>
      </c>
      <c r="N1563" s="12" t="n">
        <f aca="false">IF(B1563&lt;=0,0,MAX(0,(K1563+Assumptions!$B$29*L1563/INDEX(Surface_Engine!$B$12:$B$72,$A1563+1)-(M1563/INDEX(Surface_Engine!$B$12:$B$72,$A1563+1)-(F1563/INDEX(Surface_Engine!$B$12:$B$72,$A1563+1))))/B1563))</f>
        <v>0</v>
      </c>
    </row>
    <row r="1564" customFormat="false" ht="15" hidden="false" customHeight="true" outlineLevel="0" collapsed="false">
      <c r="A1564" s="1" t="n">
        <v>44</v>
      </c>
      <c r="B1564" s="32" t="n">
        <f aca="false">INDEX(Surface_Engine!$V$12:$V$72,$A1564+1)*IF($A1564&lt;$Q$1518,INDEX(Surface_Engine!$E$12:$E$72,$A1564+1),INDEX(Surface_Engine!$E$12:$E$72,$Q$1518+1))</f>
        <v>3.89506542563137E-006</v>
      </c>
      <c r="C1564" s="32" t="n">
        <f aca="false">INDEX(Panel_Reserving!$H$8:$H$68,$A1564+1)*IF($A1564&lt;$Q$1518,INDEX(Surface_Engine!$E$12:$E$72,$A1564+1),INDEX(Surface_Engine!$E$12:$E$72,$Q$1518+1))</f>
        <v>8.18861504645538E-005</v>
      </c>
      <c r="D1564" s="32" t="n">
        <f aca="false">INDEX(Surface_Engine!$V$12:$V$72,$A1564+1)*IF($A1564&lt;$Q$1518,INDEX(Surface_Engine!$Y$12:$Y$72,$A1564+1),INDEX(Surface_Engine!$Y$12:$Y$72,$Q$1518+1))</f>
        <v>3.69464463976746E-006</v>
      </c>
      <c r="E1564" s="32" t="n">
        <f aca="false">INDEX(Surface_Engine!$V$12:$V$72,$A1564+1)*IF($A1564&lt;$Q$1518,INDEX(Surface_Engine!$Z$12:$Z$72,$A1564+1),INDEX(Surface_Engine!$Z$12:$Z$72,$Q$1518+1))</f>
        <v>4.10345576770165E-006</v>
      </c>
      <c r="F1564" s="48" t="n">
        <f aca="false">B1564*(IF($A1564&lt;$Q$1518,INDEX(Surface_Engine!$D$12:$D$72,$A1564+1)+(Surface_Engine!G251*12)*INDEX(Surface_Engine!$F$12:$F$72,$A1564+1)-(Surface_Engine!G251*12),1000*12*INDEX(Surface_Engine!$C$12:$C$72,$A1564+1)/(1+Assumptions!$B$10)^5+INDEX(Surface_Engine!$D$12:$D$72,$A1564+1)))*INDEX(Surface_Engine!$B$12:$B$72,$A1564+1)+F1565</f>
        <v>0.0357086840546043</v>
      </c>
      <c r="G1564" s="48" t="n">
        <f aca="false">C1564*(IF($A1564&lt;$Q$1518,INDEX(Surface_Engine!$D$12:$D$72,$A1564+1)+(Surface_Engine!G251*12)*INDEX(Surface_Engine!$F$12:$F$72,$A1564+1)-(Surface_Engine!G251*12),1000*12*INDEX(Surface_Engine!$C$12:$C$72,$A1564+1)/(1+Assumptions!$B$10)^5+INDEX(Surface_Engine!$D$12:$D$72,$A1564+1)))*INDEX(Surface_Engine!$B$12:$B$72,$A1564+1)+G1565</f>
        <v>0.813365717114745</v>
      </c>
      <c r="H1564" s="48" t="n">
        <f aca="false">D1564*(IF($A1564&lt;$Q$1518,INDEX(Surface_Engine!$D$12:$D$72,$A1564+1)+(Surface_Engine!G251*12)*INDEX(Surface_Engine!$F$12:$F$72,$A1564+1)-(Surface_Engine!G251*12),1000*12*INDEX(Surface_Engine!$C$12:$C$72,$A1564+1)/(1+Assumptions!$B$10)^5+INDEX(Surface_Engine!$D$12:$D$72,$A1564+1)))*INDEX(Surface_Engine!$B$12:$B$72,$A1564+1)+H1565</f>
        <v>0.0338712919344887</v>
      </c>
      <c r="I1564" s="48" t="n">
        <f aca="false">E1564*(IF($A1564&lt;$Q$1518,INDEX(Surface_Engine!$D$12:$D$72,$A1564+1)+(Surface_Engine!G251*12)*INDEX(Surface_Engine!$F$12:$F$72,$A1564+1)-(Surface_Engine!G251*12),1000*12*INDEX(Surface_Engine!$C$12:$C$72,$A1564+1)/(1+Assumptions!$B$10)^5+INDEX(Surface_Engine!$D$12:$D$72,$A1564+1)))*INDEX(Surface_Engine!$B$12:$B$72,$A1564+1)+I1565</f>
        <v>0.0376191384557168</v>
      </c>
      <c r="J1564" s="48" t="n">
        <f aca="false">B1564*(IF($A1564&lt;$Q$1518,INDEX(Surface_Engine!$D$12:$D$72,$A1564+1)*(1+Assumptions!$B$24)+(Surface_Engine!G251*12)*INDEX(Surface_Engine!$F$12:$F$72,$A1564+1)-(Surface_Engine!G251*12),1000*12*INDEX(Surface_Engine!$C$12:$C$72,$A1564+1)/(1+Assumptions!$B$10)^5+INDEX(Surface_Engine!$D$12:$D$72,$A1564+1)*(1+Assumptions!$B$24)))*INDEX(Surface_Engine!$B$12:$B$72,$A1564+1)+J1565</f>
        <v>0.0357418284571341</v>
      </c>
      <c r="K1564" s="12" t="n">
        <f aca="false">SQRT((IF(C1564&lt;=0,0,MAX(0,(B1564/C1564)*G1564/INDEX(Surface_Engine!$B$12:$B$72,$A1564+1)-F1564/INDEX(Surface_Engine!$B$12:$B$72,$A1564+1))))^2+(MAX(IF(D1564&lt;=0,0,MAX(0,(B1564/D1564)*H1564/INDEX(Surface_Engine!$B$12:$B$72,$A1564+1)-F1564/INDEX(Surface_Engine!$B$12:$B$72,$A1564+1))),IF(E1564&lt;=0,0,MAX(0,(B1564/E1564)*I1564/INDEX(Surface_Engine!$B$12:$B$72,$A1564+1)-F1564/INDEX(Surface_Engine!$B$12:$B$72,$A1564+1))),IF($A1564&lt;$Q$1518,MAX(0,-Assumptions!$B$22*(F1564/INDEX(Surface_Engine!$B$12:$B$72,$A1564+1))),0)))^2+(MAX(0,J1564/INDEX(Surface_Engine!$B$12:$B$72,$A1564+1)-(F1564/INDEX(Surface_Engine!$B$12:$B$72,$A1564+1))))^2+2*Assumptions!$B$26*(IF(C1564&lt;=0,0,MAX(0,(B1564/C1564)*G1564/INDEX(Surface_Engine!$B$12:$B$72,$A1564+1)-F1564/INDEX(Surface_Engine!$B$12:$B$72,$A1564+1))))*(MAX(IF(D1564&lt;=0,0,MAX(0,(B1564/D1564)*H1564/INDEX(Surface_Engine!$B$12:$B$72,$A1564+1)-F1564/INDEX(Surface_Engine!$B$12:$B$72,$A1564+1))),IF(E1564&lt;=0,0,MAX(0,(B1564/E1564)*I1564/INDEX(Surface_Engine!$B$12:$B$72,$A1564+1)-F1564/INDEX(Surface_Engine!$B$12:$B$72,$A1564+1))),IF($A1564&lt;$Q$1518,MAX(0,-Assumptions!$B$22*(F1564/INDEX(Surface_Engine!$B$12:$B$72,$A1564+1))),0)))+2*Assumptions!$B$27*(IF(C1564&lt;=0,0,MAX(0,(B1564/C1564)*G1564/INDEX(Surface_Engine!$B$12:$B$72,$A1564+1)-F1564/INDEX(Surface_Engine!$B$12:$B$72,$A1564+1))))*(MAX(0,J1564/INDEX(Surface_Engine!$B$12:$B$72,$A1564+1)-(F1564/INDEX(Surface_Engine!$B$12:$B$72,$A1564+1))))+2*Assumptions!$B$28*(MAX(IF(D1564&lt;=0,0,MAX(0,(B1564/D1564)*H1564/INDEX(Surface_Engine!$B$12:$B$72,$A1564+1)-F1564/INDEX(Surface_Engine!$B$12:$B$72,$A1564+1))),IF(E1564&lt;=0,0,MAX(0,(B1564/E1564)*I1564/INDEX(Surface_Engine!$B$12:$B$72,$A1564+1)-F1564/INDEX(Surface_Engine!$B$12:$B$72,$A1564+1))),IF($A1564&lt;$Q$1518,MAX(0,-Assumptions!$B$22*(F1564/INDEX(Surface_Engine!$B$12:$B$72,$A1564+1))),0)))*(MAX(0,J1564/INDEX(Surface_Engine!$B$12:$B$72,$A1564+1)-(F1564/INDEX(Surface_Engine!$B$12:$B$72,$A1564+1)))))</f>
        <v>0.0119875477417444</v>
      </c>
      <c r="L1564" s="48" t="n">
        <f aca="false">K1564*INDEX(Surface_Engine!$B$12:$B$72,$A1564+1)+L1565</f>
        <v>0.0029985522703732</v>
      </c>
      <c r="M1564" s="48" t="n">
        <f aca="false">M1563+B1563*(IF($A1563&lt;$Q$1518,(Surface_Engine!G251*12)-(Surface_Engine!G251*12)*INDEX(Surface_Engine!$F$12:$F$72,$A1563+1)-INDEX(Surface_Engine!$D$12:$D$72,$A1563+1),-(1000*12*INDEX(Surface_Engine!$C$12:$C$72,$A1563+1)/(1+Assumptions!$B$10)^5+INDEX(Surface_Engine!$D$12:$D$72,$A1563+1))))*INDEX(Surface_Engine!$B$12:$B$72,$A1563+1)</f>
        <v>3957.42775098455</v>
      </c>
      <c r="N1564" s="12" t="n">
        <f aca="false">IF(B1564&lt;=0,0,MAX(0,(K1564+Assumptions!$B$29*L1564/INDEX(Surface_Engine!$B$12:$B$72,$A1564+1)-(M1564/INDEX(Surface_Engine!$B$12:$B$72,$A1564+1)-(F1564/INDEX(Surface_Engine!$B$12:$B$72,$A1564+1))))/B1564))</f>
        <v>0</v>
      </c>
    </row>
    <row r="1565" customFormat="false" ht="15" hidden="false" customHeight="true" outlineLevel="0" collapsed="false">
      <c r="A1565" s="1" t="n">
        <v>45</v>
      </c>
      <c r="B1565" s="32" t="n">
        <f aca="false">INDEX(Surface_Engine!$V$12:$V$72,$A1565+1)*IF($A1565&lt;$Q$1518,INDEX(Surface_Engine!$E$12:$E$72,$A1565+1),INDEX(Surface_Engine!$E$12:$E$72,$Q$1518+1))</f>
        <v>1.58669544477149E-006</v>
      </c>
      <c r="C1565" s="32" t="n">
        <f aca="false">INDEX(Panel_Reserving!$H$8:$H$68,$A1565+1)*IF($A1565&lt;$Q$1518,INDEX(Surface_Engine!$E$12:$E$72,$A1565+1),INDEX(Surface_Engine!$E$12:$E$72,$Q$1518+1))</f>
        <v>4.30629706870461E-005</v>
      </c>
      <c r="D1565" s="32" t="n">
        <f aca="false">INDEX(Surface_Engine!$V$12:$V$72,$A1565+1)*IF($A1565&lt;$Q$1518,INDEX(Surface_Engine!$Y$12:$Y$72,$A1565+1),INDEX(Surface_Engine!$Y$12:$Y$72,$Q$1518+1))</f>
        <v>1.50505195147478E-006</v>
      </c>
      <c r="E1565" s="32" t="n">
        <f aca="false">INDEX(Surface_Engine!$V$12:$V$72,$A1565+1)*IF($A1565&lt;$Q$1518,INDEX(Surface_Engine!$Z$12:$Z$72,$A1565+1),INDEX(Surface_Engine!$Z$12:$Z$72,$Q$1518+1))</f>
        <v>1.67158541974378E-006</v>
      </c>
      <c r="F1565" s="48" t="n">
        <f aca="false">B1565*(IF($A1565&lt;$Q$1518,INDEX(Surface_Engine!$D$12:$D$72,$A1565+1)+(Surface_Engine!G251*12)*INDEX(Surface_Engine!$F$12:$F$72,$A1565+1)-(Surface_Engine!G251*12),1000*12*INDEX(Surface_Engine!$C$12:$C$72,$A1565+1)/(1+Assumptions!$B$10)^5+INDEX(Surface_Engine!$D$12:$D$72,$A1565+1)))*INDEX(Surface_Engine!$B$12:$B$72,$A1565+1)+F1566</f>
        <v>0.0102436564238332</v>
      </c>
      <c r="G1565" s="48" t="n">
        <f aca="false">C1565*(IF($A1565&lt;$Q$1518,INDEX(Surface_Engine!$D$12:$D$72,$A1565+1)+(Surface_Engine!G251*12)*INDEX(Surface_Engine!$F$12:$F$72,$A1565+1)-(Surface_Engine!G251*12),1000*12*INDEX(Surface_Engine!$C$12:$C$72,$A1565+1)/(1+Assumptions!$B$10)^5+INDEX(Surface_Engine!$D$12:$D$72,$A1565+1)))*INDEX(Surface_Engine!$B$12:$B$72,$A1565+1)+G1566</f>
        <v>0.278013198916841</v>
      </c>
      <c r="H1565" s="48" t="n">
        <f aca="false">D1565*(IF($A1565&lt;$Q$1518,INDEX(Surface_Engine!$D$12:$D$72,$A1565+1)+(Surface_Engine!G251*12)*INDEX(Surface_Engine!$F$12:$F$72,$A1565+1)-(Surface_Engine!G251*12),1000*12*INDEX(Surface_Engine!$C$12:$C$72,$A1565+1)/(1+Assumptions!$B$10)^5+INDEX(Surface_Engine!$D$12:$D$72,$A1565+1)))*INDEX(Surface_Engine!$B$12:$B$72,$A1565+1)+H1566</f>
        <v>0.00971656857132255</v>
      </c>
      <c r="I1565" s="48" t="n">
        <f aca="false">E1565*(IF($A1565&lt;$Q$1518,INDEX(Surface_Engine!$D$12:$D$72,$A1565+1)+(Surface_Engine!G251*12)*INDEX(Surface_Engine!$F$12:$F$72,$A1565+1)-(Surface_Engine!G251*12),1000*12*INDEX(Surface_Engine!$C$12:$C$72,$A1565+1)/(1+Assumptions!$B$10)^5+INDEX(Surface_Engine!$D$12:$D$72,$A1565+1)))*INDEX(Surface_Engine!$B$12:$B$72,$A1565+1)+I1566</f>
        <v>0.0107917034610321</v>
      </c>
      <c r="J1565" s="48" t="n">
        <f aca="false">B1565*(IF($A1565&lt;$Q$1518,INDEX(Surface_Engine!$D$12:$D$72,$A1565+1)*(1+Assumptions!$B$24)+(Surface_Engine!G251*12)*INDEX(Surface_Engine!$F$12:$F$72,$A1565+1)-(Surface_Engine!G251*12),1000*12*INDEX(Surface_Engine!$C$12:$C$72,$A1565+1)/(1+Assumptions!$B$10)^5+INDEX(Surface_Engine!$D$12:$D$72,$A1565+1)*(1+Assumptions!$B$24)))*INDEX(Surface_Engine!$B$12:$B$72,$A1565+1)+J1566</f>
        <v>0.0102531973539053</v>
      </c>
      <c r="K1565" s="12" t="n">
        <f aca="false">SQRT((IF(C1565&lt;=0,0,MAX(0,(B1565/C1565)*G1565/INDEX(Surface_Engine!$B$12:$B$72,$A1565+1)-F1565/INDEX(Surface_Engine!$B$12:$B$72,$A1565+1))))^2+(MAX(IF(D1565&lt;=0,0,MAX(0,(B1565/D1565)*H1565/INDEX(Surface_Engine!$B$12:$B$72,$A1565+1)-F1565/INDEX(Surface_Engine!$B$12:$B$72,$A1565+1))),IF(E1565&lt;=0,0,MAX(0,(B1565/E1565)*I1565/INDEX(Surface_Engine!$B$12:$B$72,$A1565+1)-F1565/INDEX(Surface_Engine!$B$12:$B$72,$A1565+1))),IF($A1565&lt;$Q$1518,MAX(0,-Assumptions!$B$22*(F1565/INDEX(Surface_Engine!$B$12:$B$72,$A1565+1))),0)))^2+(MAX(0,J1565/INDEX(Surface_Engine!$B$12:$B$72,$A1565+1)-(F1565/INDEX(Surface_Engine!$B$12:$B$72,$A1565+1))))^2+2*Assumptions!$B$26*(IF(C1565&lt;=0,0,MAX(0,(B1565/C1565)*G1565/INDEX(Surface_Engine!$B$12:$B$72,$A1565+1)-F1565/INDEX(Surface_Engine!$B$12:$B$72,$A1565+1))))*(MAX(IF(D1565&lt;=0,0,MAX(0,(B1565/D1565)*H1565/INDEX(Surface_Engine!$B$12:$B$72,$A1565+1)-F1565/INDEX(Surface_Engine!$B$12:$B$72,$A1565+1))),IF(E1565&lt;=0,0,MAX(0,(B1565/E1565)*I1565/INDEX(Surface_Engine!$B$12:$B$72,$A1565+1)-F1565/INDEX(Surface_Engine!$B$12:$B$72,$A1565+1))),IF($A1565&lt;$Q$1518,MAX(0,-Assumptions!$B$22*(F1565/INDEX(Surface_Engine!$B$12:$B$72,$A1565+1))),0)))+2*Assumptions!$B$27*(IF(C1565&lt;=0,0,MAX(0,(B1565/C1565)*G1565/INDEX(Surface_Engine!$B$12:$B$72,$A1565+1)-F1565/INDEX(Surface_Engine!$B$12:$B$72,$A1565+1))))*(MAX(0,J1565/INDEX(Surface_Engine!$B$12:$B$72,$A1565+1)-(F1565/INDEX(Surface_Engine!$B$12:$B$72,$A1565+1))))+2*Assumptions!$B$28*(MAX(IF(D1565&lt;=0,0,MAX(0,(B1565/D1565)*H1565/INDEX(Surface_Engine!$B$12:$B$72,$A1565+1)-F1565/INDEX(Surface_Engine!$B$12:$B$72,$A1565+1))),IF(E1565&lt;=0,0,MAX(0,(B1565/E1565)*I1565/INDEX(Surface_Engine!$B$12:$B$72,$A1565+1)-F1565/INDEX(Surface_Engine!$B$12:$B$72,$A1565+1))),IF($A1565&lt;$Q$1518,MAX(0,-Assumptions!$B$22*(F1565/INDEX(Surface_Engine!$B$12:$B$72,$A1565+1))),0)))*(MAX(0,J1565/INDEX(Surface_Engine!$B$12:$B$72,$A1565+1)-(F1565/INDEX(Surface_Engine!$B$12:$B$72,$A1565+1)))))</f>
        <v>3.95258638130197E-005</v>
      </c>
      <c r="L1565" s="48" t="n">
        <f aca="false">K1565*INDEX(Surface_Engine!$B$12:$B$72,$A1565+1)+L1566</f>
        <v>9.54093007212515E-006</v>
      </c>
      <c r="M1565" s="48" t="n">
        <f aca="false">M1564+B1564*(IF($A1564&lt;$Q$1518,(Surface_Engine!G251*12)-(Surface_Engine!G251*12)*INDEX(Surface_Engine!$F$12:$F$72,$A1564+1)-INDEX(Surface_Engine!$D$12:$D$72,$A1564+1),-(1000*12*INDEX(Surface_Engine!$C$12:$C$72,$A1564+1)/(1+Assumptions!$B$10)^5+INDEX(Surface_Engine!$D$12:$D$72,$A1564+1))))*INDEX(Surface_Engine!$B$12:$B$72,$A1564+1)</f>
        <v>3957.40228595692</v>
      </c>
      <c r="N1565" s="12" t="n">
        <f aca="false">IF(B1565&lt;=0,0,MAX(0,(K1565+Assumptions!$B$29*L1565/INDEX(Surface_Engine!$B$12:$B$72,$A1565+1)-(M1565/INDEX(Surface_Engine!$B$12:$B$72,$A1565+1)-(F1565/INDEX(Surface_Engine!$B$12:$B$72,$A1565+1))))/B1565))</f>
        <v>0</v>
      </c>
    </row>
    <row r="1566" customFormat="false" ht="15" hidden="false" customHeight="true" outlineLevel="0" collapsed="false">
      <c r="A1566" s="1" t="n">
        <v>46</v>
      </c>
      <c r="B1566" s="32" t="n">
        <f aca="false">INDEX(Surface_Engine!$V$12:$V$72,$A1566+1)*IF($A1566&lt;$Q$1518,INDEX(Surface_Engine!$E$12:$E$72,$A1566+1),INDEX(Surface_Engine!$E$12:$E$72,$Q$1518+1))</f>
        <v>0</v>
      </c>
      <c r="C1566" s="32" t="n">
        <f aca="false">INDEX(Panel_Reserving!$H$8:$H$68,$A1566+1)*IF($A1566&lt;$Q$1518,INDEX(Surface_Engine!$E$12:$E$72,$A1566+1),INDEX(Surface_Engine!$E$12:$E$72,$Q$1518+1))</f>
        <v>0</v>
      </c>
      <c r="D1566" s="32" t="n">
        <f aca="false">INDEX(Surface_Engine!$V$12:$V$72,$A1566+1)*IF($A1566&lt;$Q$1518,INDEX(Surface_Engine!$Y$12:$Y$72,$A1566+1),INDEX(Surface_Engine!$Y$12:$Y$72,$Q$1518+1))</f>
        <v>0</v>
      </c>
      <c r="E1566" s="32" t="n">
        <f aca="false">INDEX(Surface_Engine!$V$12:$V$72,$A1566+1)*IF($A1566&lt;$Q$1518,INDEX(Surface_Engine!$Z$12:$Z$72,$A1566+1),INDEX(Surface_Engine!$Z$12:$Z$72,$Q$1518+1))</f>
        <v>0</v>
      </c>
      <c r="F1566" s="48" t="n">
        <f aca="false">B1566*(IF($A1566&lt;$Q$1518,INDEX(Surface_Engine!$D$12:$D$72,$A1566+1)+(Surface_Engine!G251*12)*INDEX(Surface_Engine!$F$12:$F$72,$A1566+1)-(Surface_Engine!G251*12),1000*12*INDEX(Surface_Engine!$C$12:$C$72,$A1566+1)/(1+Assumptions!$B$10)^5+INDEX(Surface_Engine!$D$12:$D$72,$A1566+1)))*INDEX(Surface_Engine!$B$12:$B$72,$A1566+1)+F1567</f>
        <v>0</v>
      </c>
      <c r="G1566" s="48" t="n">
        <f aca="false">C1566*(IF($A1566&lt;$Q$1518,INDEX(Surface_Engine!$D$12:$D$72,$A1566+1)+(Surface_Engine!G251*12)*INDEX(Surface_Engine!$F$12:$F$72,$A1566+1)-(Surface_Engine!G251*12),1000*12*INDEX(Surface_Engine!$C$12:$C$72,$A1566+1)/(1+Assumptions!$B$10)^5+INDEX(Surface_Engine!$D$12:$D$72,$A1566+1)))*INDEX(Surface_Engine!$B$12:$B$72,$A1566+1)+G1567</f>
        <v>0</v>
      </c>
      <c r="H1566" s="48" t="n">
        <f aca="false">D1566*(IF($A1566&lt;$Q$1518,INDEX(Surface_Engine!$D$12:$D$72,$A1566+1)+(Surface_Engine!G251*12)*INDEX(Surface_Engine!$F$12:$F$72,$A1566+1)-(Surface_Engine!G251*12),1000*12*INDEX(Surface_Engine!$C$12:$C$72,$A1566+1)/(1+Assumptions!$B$10)^5+INDEX(Surface_Engine!$D$12:$D$72,$A1566+1)))*INDEX(Surface_Engine!$B$12:$B$72,$A1566+1)+H1567</f>
        <v>0</v>
      </c>
      <c r="I1566" s="48" t="n">
        <f aca="false">E1566*(IF($A1566&lt;$Q$1518,INDEX(Surface_Engine!$D$12:$D$72,$A1566+1)+(Surface_Engine!G251*12)*INDEX(Surface_Engine!$F$12:$F$72,$A1566+1)-(Surface_Engine!G251*12),1000*12*INDEX(Surface_Engine!$C$12:$C$72,$A1566+1)/(1+Assumptions!$B$10)^5+INDEX(Surface_Engine!$D$12:$D$72,$A1566+1)))*INDEX(Surface_Engine!$B$12:$B$72,$A1566+1)+I1567</f>
        <v>0</v>
      </c>
      <c r="J1566" s="48" t="n">
        <f aca="false">B1566*(IF($A1566&lt;$Q$1518,INDEX(Surface_Engine!$D$12:$D$72,$A1566+1)*(1+Assumptions!$B$24)+(Surface_Engine!G251*12)*INDEX(Surface_Engine!$F$12:$F$72,$A1566+1)-(Surface_Engine!G251*12),1000*12*INDEX(Surface_Engine!$C$12:$C$72,$A1566+1)/(1+Assumptions!$B$10)^5+INDEX(Surface_Engine!$D$12:$D$72,$A1566+1)*(1+Assumptions!$B$24)))*INDEX(Surface_Engine!$B$12:$B$72,$A1566+1)+J1567</f>
        <v>0</v>
      </c>
      <c r="K1566" s="12" t="n">
        <f aca="false">SQRT((IF(C1566&lt;=0,0,MAX(0,(B1566/C1566)*G1566/INDEX(Surface_Engine!$B$12:$B$72,$A1566+1)-F1566/INDEX(Surface_Engine!$B$12:$B$72,$A1566+1))))^2+(MAX(IF(D1566&lt;=0,0,MAX(0,(B1566/D1566)*H1566/INDEX(Surface_Engine!$B$12:$B$72,$A1566+1)-F1566/INDEX(Surface_Engine!$B$12:$B$72,$A1566+1))),IF(E1566&lt;=0,0,MAX(0,(B1566/E1566)*I1566/INDEX(Surface_Engine!$B$12:$B$72,$A1566+1)-F1566/INDEX(Surface_Engine!$B$12:$B$72,$A1566+1))),IF($A1566&lt;$Q$1518,MAX(0,-Assumptions!$B$22*(F1566/INDEX(Surface_Engine!$B$12:$B$72,$A1566+1))),0)))^2+(MAX(0,J1566/INDEX(Surface_Engine!$B$12:$B$72,$A1566+1)-(F1566/INDEX(Surface_Engine!$B$12:$B$72,$A1566+1))))^2+2*Assumptions!$B$26*(IF(C1566&lt;=0,0,MAX(0,(B1566/C1566)*G1566/INDEX(Surface_Engine!$B$12:$B$72,$A1566+1)-F1566/INDEX(Surface_Engine!$B$12:$B$72,$A1566+1))))*(MAX(IF(D1566&lt;=0,0,MAX(0,(B1566/D1566)*H1566/INDEX(Surface_Engine!$B$12:$B$72,$A1566+1)-F1566/INDEX(Surface_Engine!$B$12:$B$72,$A1566+1))),IF(E1566&lt;=0,0,MAX(0,(B1566/E1566)*I1566/INDEX(Surface_Engine!$B$12:$B$72,$A1566+1)-F1566/INDEX(Surface_Engine!$B$12:$B$72,$A1566+1))),IF($A1566&lt;$Q$1518,MAX(0,-Assumptions!$B$22*(F1566/INDEX(Surface_Engine!$B$12:$B$72,$A1566+1))),0)))+2*Assumptions!$B$27*(IF(C1566&lt;=0,0,MAX(0,(B1566/C1566)*G1566/INDEX(Surface_Engine!$B$12:$B$72,$A1566+1)-F1566/INDEX(Surface_Engine!$B$12:$B$72,$A1566+1))))*(MAX(0,J1566/INDEX(Surface_Engine!$B$12:$B$72,$A1566+1)-(F1566/INDEX(Surface_Engine!$B$12:$B$72,$A1566+1))))+2*Assumptions!$B$28*(MAX(IF(D1566&lt;=0,0,MAX(0,(B1566/D1566)*H1566/INDEX(Surface_Engine!$B$12:$B$72,$A1566+1)-F1566/INDEX(Surface_Engine!$B$12:$B$72,$A1566+1))),IF(E1566&lt;=0,0,MAX(0,(B1566/E1566)*I1566/INDEX(Surface_Engine!$B$12:$B$72,$A1566+1)-F1566/INDEX(Surface_Engine!$B$12:$B$72,$A1566+1))),IF($A1566&lt;$Q$1518,MAX(0,-Assumptions!$B$22*(F1566/INDEX(Surface_Engine!$B$12:$B$72,$A1566+1))),0)))*(MAX(0,J1566/INDEX(Surface_Engine!$B$12:$B$72,$A1566+1)-(F1566/INDEX(Surface_Engine!$B$12:$B$72,$A1566+1)))))</f>
        <v>0</v>
      </c>
      <c r="L1566" s="48" t="n">
        <f aca="false">K1566*INDEX(Surface_Engine!$B$12:$B$72,$A1566+1)+L1567</f>
        <v>0</v>
      </c>
      <c r="M1566" s="48" t="n">
        <f aca="false">M1565+B1565*(IF($A1565&lt;$Q$1518,(Surface_Engine!G251*12)-(Surface_Engine!G251*12)*INDEX(Surface_Engine!$F$12:$F$72,$A1565+1)-INDEX(Surface_Engine!$D$12:$D$72,$A1565+1),-(1000*12*INDEX(Surface_Engine!$C$12:$C$72,$A1565+1)/(1+Assumptions!$B$10)^5+INDEX(Surface_Engine!$D$12:$D$72,$A1565+1))))*INDEX(Surface_Engine!$B$12:$B$72,$A1565+1)</f>
        <v>3957.39204230049</v>
      </c>
      <c r="N1566" s="12" t="n">
        <f aca="false">IF(B1566&lt;=0,0,MAX(0,(K1566+Assumptions!$B$29*L1566/INDEX(Surface_Engine!$B$12:$B$72,$A1566+1)-(M1566/INDEX(Surface_Engine!$B$12:$B$72,$A1566+1)-(F1566/INDEX(Surface_Engine!$B$12:$B$72,$A1566+1))))/B1566))</f>
        <v>0</v>
      </c>
    </row>
    <row r="1567" customFormat="false" ht="15" hidden="false" customHeight="true" outlineLevel="0" collapsed="false">
      <c r="A1567" s="1" t="n">
        <v>47</v>
      </c>
      <c r="B1567" s="32" t="n">
        <f aca="false">INDEX(Surface_Engine!$V$12:$V$72,$A1567+1)*IF($A1567&lt;$Q$1518,INDEX(Surface_Engine!$E$12:$E$72,$A1567+1),INDEX(Surface_Engine!$E$12:$E$72,$Q$1518+1))</f>
        <v>0</v>
      </c>
      <c r="C1567" s="32" t="n">
        <f aca="false">INDEX(Panel_Reserving!$H$8:$H$68,$A1567+1)*IF($A1567&lt;$Q$1518,INDEX(Surface_Engine!$E$12:$E$72,$A1567+1),INDEX(Surface_Engine!$E$12:$E$72,$Q$1518+1))</f>
        <v>0</v>
      </c>
      <c r="D1567" s="32" t="n">
        <f aca="false">INDEX(Surface_Engine!$V$12:$V$72,$A1567+1)*IF($A1567&lt;$Q$1518,INDEX(Surface_Engine!$Y$12:$Y$72,$A1567+1),INDEX(Surface_Engine!$Y$12:$Y$72,$Q$1518+1))</f>
        <v>0</v>
      </c>
      <c r="E1567" s="32" t="n">
        <f aca="false">INDEX(Surface_Engine!$V$12:$V$72,$A1567+1)*IF($A1567&lt;$Q$1518,INDEX(Surface_Engine!$Z$12:$Z$72,$A1567+1),INDEX(Surface_Engine!$Z$12:$Z$72,$Q$1518+1))</f>
        <v>0</v>
      </c>
      <c r="F1567" s="48" t="n">
        <f aca="false">B1567*(IF($A1567&lt;$Q$1518,INDEX(Surface_Engine!$D$12:$D$72,$A1567+1)+(Surface_Engine!G251*12)*INDEX(Surface_Engine!$F$12:$F$72,$A1567+1)-(Surface_Engine!G251*12),1000*12*INDEX(Surface_Engine!$C$12:$C$72,$A1567+1)/(1+Assumptions!$B$10)^5+INDEX(Surface_Engine!$D$12:$D$72,$A1567+1)))*INDEX(Surface_Engine!$B$12:$B$72,$A1567+1)+F1568</f>
        <v>0</v>
      </c>
      <c r="G1567" s="48" t="n">
        <f aca="false">C1567*(IF($A1567&lt;$Q$1518,INDEX(Surface_Engine!$D$12:$D$72,$A1567+1)+(Surface_Engine!G251*12)*INDEX(Surface_Engine!$F$12:$F$72,$A1567+1)-(Surface_Engine!G251*12),1000*12*INDEX(Surface_Engine!$C$12:$C$72,$A1567+1)/(1+Assumptions!$B$10)^5+INDEX(Surface_Engine!$D$12:$D$72,$A1567+1)))*INDEX(Surface_Engine!$B$12:$B$72,$A1567+1)+G1568</f>
        <v>0</v>
      </c>
      <c r="H1567" s="48" t="n">
        <f aca="false">D1567*(IF($A1567&lt;$Q$1518,INDEX(Surface_Engine!$D$12:$D$72,$A1567+1)+(Surface_Engine!G251*12)*INDEX(Surface_Engine!$F$12:$F$72,$A1567+1)-(Surface_Engine!G251*12),1000*12*INDEX(Surface_Engine!$C$12:$C$72,$A1567+1)/(1+Assumptions!$B$10)^5+INDEX(Surface_Engine!$D$12:$D$72,$A1567+1)))*INDEX(Surface_Engine!$B$12:$B$72,$A1567+1)+H1568</f>
        <v>0</v>
      </c>
      <c r="I1567" s="48" t="n">
        <f aca="false">E1567*(IF($A1567&lt;$Q$1518,INDEX(Surface_Engine!$D$12:$D$72,$A1567+1)+(Surface_Engine!G251*12)*INDEX(Surface_Engine!$F$12:$F$72,$A1567+1)-(Surface_Engine!G251*12),1000*12*INDEX(Surface_Engine!$C$12:$C$72,$A1567+1)/(1+Assumptions!$B$10)^5+INDEX(Surface_Engine!$D$12:$D$72,$A1567+1)))*INDEX(Surface_Engine!$B$12:$B$72,$A1567+1)+I1568</f>
        <v>0</v>
      </c>
      <c r="J1567" s="48" t="n">
        <f aca="false">B1567*(IF($A1567&lt;$Q$1518,INDEX(Surface_Engine!$D$12:$D$72,$A1567+1)*(1+Assumptions!$B$24)+(Surface_Engine!G251*12)*INDEX(Surface_Engine!$F$12:$F$72,$A1567+1)-(Surface_Engine!G251*12),1000*12*INDEX(Surface_Engine!$C$12:$C$72,$A1567+1)/(1+Assumptions!$B$10)^5+INDEX(Surface_Engine!$D$12:$D$72,$A1567+1)*(1+Assumptions!$B$24)))*INDEX(Surface_Engine!$B$12:$B$72,$A1567+1)+J1568</f>
        <v>0</v>
      </c>
      <c r="K1567" s="12" t="n">
        <f aca="false">SQRT((IF(C1567&lt;=0,0,MAX(0,(B1567/C1567)*G1567/INDEX(Surface_Engine!$B$12:$B$72,$A1567+1)-F1567/INDEX(Surface_Engine!$B$12:$B$72,$A1567+1))))^2+(MAX(IF(D1567&lt;=0,0,MAX(0,(B1567/D1567)*H1567/INDEX(Surface_Engine!$B$12:$B$72,$A1567+1)-F1567/INDEX(Surface_Engine!$B$12:$B$72,$A1567+1))),IF(E1567&lt;=0,0,MAX(0,(B1567/E1567)*I1567/INDEX(Surface_Engine!$B$12:$B$72,$A1567+1)-F1567/INDEX(Surface_Engine!$B$12:$B$72,$A1567+1))),IF($A1567&lt;$Q$1518,MAX(0,-Assumptions!$B$22*(F1567/INDEX(Surface_Engine!$B$12:$B$72,$A1567+1))),0)))^2+(MAX(0,J1567/INDEX(Surface_Engine!$B$12:$B$72,$A1567+1)-(F1567/INDEX(Surface_Engine!$B$12:$B$72,$A1567+1))))^2+2*Assumptions!$B$26*(IF(C1567&lt;=0,0,MAX(0,(B1567/C1567)*G1567/INDEX(Surface_Engine!$B$12:$B$72,$A1567+1)-F1567/INDEX(Surface_Engine!$B$12:$B$72,$A1567+1))))*(MAX(IF(D1567&lt;=0,0,MAX(0,(B1567/D1567)*H1567/INDEX(Surface_Engine!$B$12:$B$72,$A1567+1)-F1567/INDEX(Surface_Engine!$B$12:$B$72,$A1567+1))),IF(E1567&lt;=0,0,MAX(0,(B1567/E1567)*I1567/INDEX(Surface_Engine!$B$12:$B$72,$A1567+1)-F1567/INDEX(Surface_Engine!$B$12:$B$72,$A1567+1))),IF($A1567&lt;$Q$1518,MAX(0,-Assumptions!$B$22*(F1567/INDEX(Surface_Engine!$B$12:$B$72,$A1567+1))),0)))+2*Assumptions!$B$27*(IF(C1567&lt;=0,0,MAX(0,(B1567/C1567)*G1567/INDEX(Surface_Engine!$B$12:$B$72,$A1567+1)-F1567/INDEX(Surface_Engine!$B$12:$B$72,$A1567+1))))*(MAX(0,J1567/INDEX(Surface_Engine!$B$12:$B$72,$A1567+1)-(F1567/INDEX(Surface_Engine!$B$12:$B$72,$A1567+1))))+2*Assumptions!$B$28*(MAX(IF(D1567&lt;=0,0,MAX(0,(B1567/D1567)*H1567/INDEX(Surface_Engine!$B$12:$B$72,$A1567+1)-F1567/INDEX(Surface_Engine!$B$12:$B$72,$A1567+1))),IF(E1567&lt;=0,0,MAX(0,(B1567/E1567)*I1567/INDEX(Surface_Engine!$B$12:$B$72,$A1567+1)-F1567/INDEX(Surface_Engine!$B$12:$B$72,$A1567+1))),IF($A1567&lt;$Q$1518,MAX(0,-Assumptions!$B$22*(F1567/INDEX(Surface_Engine!$B$12:$B$72,$A1567+1))),0)))*(MAX(0,J1567/INDEX(Surface_Engine!$B$12:$B$72,$A1567+1)-(F1567/INDEX(Surface_Engine!$B$12:$B$72,$A1567+1)))))</f>
        <v>0</v>
      </c>
      <c r="L1567" s="48" t="n">
        <f aca="false">K1567*INDEX(Surface_Engine!$B$12:$B$72,$A1567+1)+L1568</f>
        <v>0</v>
      </c>
      <c r="M1567" s="48" t="n">
        <f aca="false">M1566+B1566*(IF($A1566&lt;$Q$1518,(Surface_Engine!G251*12)-(Surface_Engine!G251*12)*INDEX(Surface_Engine!$F$12:$F$72,$A1566+1)-INDEX(Surface_Engine!$D$12:$D$72,$A1566+1),-(1000*12*INDEX(Surface_Engine!$C$12:$C$72,$A1566+1)/(1+Assumptions!$B$10)^5+INDEX(Surface_Engine!$D$12:$D$72,$A1566+1))))*INDEX(Surface_Engine!$B$12:$B$72,$A1566+1)</f>
        <v>3957.39204230049</v>
      </c>
      <c r="N1567" s="12" t="n">
        <f aca="false">IF(B1567&lt;=0,0,MAX(0,(K1567+Assumptions!$B$29*L1567/INDEX(Surface_Engine!$B$12:$B$72,$A1567+1)-(M1567/INDEX(Surface_Engine!$B$12:$B$72,$A1567+1)-(F1567/INDEX(Surface_Engine!$B$12:$B$72,$A1567+1))))/B1567))</f>
        <v>0</v>
      </c>
    </row>
    <row r="1568" customFormat="false" ht="15" hidden="false" customHeight="true" outlineLevel="0" collapsed="false">
      <c r="A1568" s="1" t="n">
        <v>48</v>
      </c>
      <c r="B1568" s="32" t="n">
        <f aca="false">INDEX(Surface_Engine!$V$12:$V$72,$A1568+1)*IF($A1568&lt;$Q$1518,INDEX(Surface_Engine!$E$12:$E$72,$A1568+1),INDEX(Surface_Engine!$E$12:$E$72,$Q$1518+1))</f>
        <v>0</v>
      </c>
      <c r="C1568" s="32" t="n">
        <f aca="false">INDEX(Panel_Reserving!$H$8:$H$68,$A1568+1)*IF($A1568&lt;$Q$1518,INDEX(Surface_Engine!$E$12:$E$72,$A1568+1),INDEX(Surface_Engine!$E$12:$E$72,$Q$1518+1))</f>
        <v>0</v>
      </c>
      <c r="D1568" s="32" t="n">
        <f aca="false">INDEX(Surface_Engine!$V$12:$V$72,$A1568+1)*IF($A1568&lt;$Q$1518,INDEX(Surface_Engine!$Y$12:$Y$72,$A1568+1),INDEX(Surface_Engine!$Y$12:$Y$72,$Q$1518+1))</f>
        <v>0</v>
      </c>
      <c r="E1568" s="32" t="n">
        <f aca="false">INDEX(Surface_Engine!$V$12:$V$72,$A1568+1)*IF($A1568&lt;$Q$1518,INDEX(Surface_Engine!$Z$12:$Z$72,$A1568+1),INDEX(Surface_Engine!$Z$12:$Z$72,$Q$1518+1))</f>
        <v>0</v>
      </c>
      <c r="F1568" s="48" t="n">
        <f aca="false">B1568*(IF($A1568&lt;$Q$1518,INDEX(Surface_Engine!$D$12:$D$72,$A1568+1)+(Surface_Engine!G251*12)*INDEX(Surface_Engine!$F$12:$F$72,$A1568+1)-(Surface_Engine!G251*12),1000*12*INDEX(Surface_Engine!$C$12:$C$72,$A1568+1)/(1+Assumptions!$B$10)^5+INDEX(Surface_Engine!$D$12:$D$72,$A1568+1)))*INDEX(Surface_Engine!$B$12:$B$72,$A1568+1)+F1569</f>
        <v>0</v>
      </c>
      <c r="G1568" s="48" t="n">
        <f aca="false">C1568*(IF($A1568&lt;$Q$1518,INDEX(Surface_Engine!$D$12:$D$72,$A1568+1)+(Surface_Engine!G251*12)*INDEX(Surface_Engine!$F$12:$F$72,$A1568+1)-(Surface_Engine!G251*12),1000*12*INDEX(Surface_Engine!$C$12:$C$72,$A1568+1)/(1+Assumptions!$B$10)^5+INDEX(Surface_Engine!$D$12:$D$72,$A1568+1)))*INDEX(Surface_Engine!$B$12:$B$72,$A1568+1)+G1569</f>
        <v>0</v>
      </c>
      <c r="H1568" s="48" t="n">
        <f aca="false">D1568*(IF($A1568&lt;$Q$1518,INDEX(Surface_Engine!$D$12:$D$72,$A1568+1)+(Surface_Engine!G251*12)*INDEX(Surface_Engine!$F$12:$F$72,$A1568+1)-(Surface_Engine!G251*12),1000*12*INDEX(Surface_Engine!$C$12:$C$72,$A1568+1)/(1+Assumptions!$B$10)^5+INDEX(Surface_Engine!$D$12:$D$72,$A1568+1)))*INDEX(Surface_Engine!$B$12:$B$72,$A1568+1)+H1569</f>
        <v>0</v>
      </c>
      <c r="I1568" s="48" t="n">
        <f aca="false">E1568*(IF($A1568&lt;$Q$1518,INDEX(Surface_Engine!$D$12:$D$72,$A1568+1)+(Surface_Engine!G251*12)*INDEX(Surface_Engine!$F$12:$F$72,$A1568+1)-(Surface_Engine!G251*12),1000*12*INDEX(Surface_Engine!$C$12:$C$72,$A1568+1)/(1+Assumptions!$B$10)^5+INDEX(Surface_Engine!$D$12:$D$72,$A1568+1)))*INDEX(Surface_Engine!$B$12:$B$72,$A1568+1)+I1569</f>
        <v>0</v>
      </c>
      <c r="J1568" s="48" t="n">
        <f aca="false">B1568*(IF($A1568&lt;$Q$1518,INDEX(Surface_Engine!$D$12:$D$72,$A1568+1)*(1+Assumptions!$B$24)+(Surface_Engine!G251*12)*INDEX(Surface_Engine!$F$12:$F$72,$A1568+1)-(Surface_Engine!G251*12),1000*12*INDEX(Surface_Engine!$C$12:$C$72,$A1568+1)/(1+Assumptions!$B$10)^5+INDEX(Surface_Engine!$D$12:$D$72,$A1568+1)*(1+Assumptions!$B$24)))*INDEX(Surface_Engine!$B$12:$B$72,$A1568+1)+J1569</f>
        <v>0</v>
      </c>
      <c r="K1568" s="12" t="n">
        <f aca="false">SQRT((IF(C1568&lt;=0,0,MAX(0,(B1568/C1568)*G1568/INDEX(Surface_Engine!$B$12:$B$72,$A1568+1)-F1568/INDEX(Surface_Engine!$B$12:$B$72,$A1568+1))))^2+(MAX(IF(D1568&lt;=0,0,MAX(0,(B1568/D1568)*H1568/INDEX(Surface_Engine!$B$12:$B$72,$A1568+1)-F1568/INDEX(Surface_Engine!$B$12:$B$72,$A1568+1))),IF(E1568&lt;=0,0,MAX(0,(B1568/E1568)*I1568/INDEX(Surface_Engine!$B$12:$B$72,$A1568+1)-F1568/INDEX(Surface_Engine!$B$12:$B$72,$A1568+1))),IF($A1568&lt;$Q$1518,MAX(0,-Assumptions!$B$22*(F1568/INDEX(Surface_Engine!$B$12:$B$72,$A1568+1))),0)))^2+(MAX(0,J1568/INDEX(Surface_Engine!$B$12:$B$72,$A1568+1)-(F1568/INDEX(Surface_Engine!$B$12:$B$72,$A1568+1))))^2+2*Assumptions!$B$26*(IF(C1568&lt;=0,0,MAX(0,(B1568/C1568)*G1568/INDEX(Surface_Engine!$B$12:$B$72,$A1568+1)-F1568/INDEX(Surface_Engine!$B$12:$B$72,$A1568+1))))*(MAX(IF(D1568&lt;=0,0,MAX(0,(B1568/D1568)*H1568/INDEX(Surface_Engine!$B$12:$B$72,$A1568+1)-F1568/INDEX(Surface_Engine!$B$12:$B$72,$A1568+1))),IF(E1568&lt;=0,0,MAX(0,(B1568/E1568)*I1568/INDEX(Surface_Engine!$B$12:$B$72,$A1568+1)-F1568/INDEX(Surface_Engine!$B$12:$B$72,$A1568+1))),IF($A1568&lt;$Q$1518,MAX(0,-Assumptions!$B$22*(F1568/INDEX(Surface_Engine!$B$12:$B$72,$A1568+1))),0)))+2*Assumptions!$B$27*(IF(C1568&lt;=0,0,MAX(0,(B1568/C1568)*G1568/INDEX(Surface_Engine!$B$12:$B$72,$A1568+1)-F1568/INDEX(Surface_Engine!$B$12:$B$72,$A1568+1))))*(MAX(0,J1568/INDEX(Surface_Engine!$B$12:$B$72,$A1568+1)-(F1568/INDEX(Surface_Engine!$B$12:$B$72,$A1568+1))))+2*Assumptions!$B$28*(MAX(IF(D1568&lt;=0,0,MAX(0,(B1568/D1568)*H1568/INDEX(Surface_Engine!$B$12:$B$72,$A1568+1)-F1568/INDEX(Surface_Engine!$B$12:$B$72,$A1568+1))),IF(E1568&lt;=0,0,MAX(0,(B1568/E1568)*I1568/INDEX(Surface_Engine!$B$12:$B$72,$A1568+1)-F1568/INDEX(Surface_Engine!$B$12:$B$72,$A1568+1))),IF($A1568&lt;$Q$1518,MAX(0,-Assumptions!$B$22*(F1568/INDEX(Surface_Engine!$B$12:$B$72,$A1568+1))),0)))*(MAX(0,J1568/INDEX(Surface_Engine!$B$12:$B$72,$A1568+1)-(F1568/INDEX(Surface_Engine!$B$12:$B$72,$A1568+1)))))</f>
        <v>0</v>
      </c>
      <c r="L1568" s="48" t="n">
        <f aca="false">K1568*INDEX(Surface_Engine!$B$12:$B$72,$A1568+1)+L1569</f>
        <v>0</v>
      </c>
      <c r="M1568" s="48" t="n">
        <f aca="false">M1567+B1567*(IF($A1567&lt;$Q$1518,(Surface_Engine!G251*12)-(Surface_Engine!G251*12)*INDEX(Surface_Engine!$F$12:$F$72,$A1567+1)-INDEX(Surface_Engine!$D$12:$D$72,$A1567+1),-(1000*12*INDEX(Surface_Engine!$C$12:$C$72,$A1567+1)/(1+Assumptions!$B$10)^5+INDEX(Surface_Engine!$D$12:$D$72,$A1567+1))))*INDEX(Surface_Engine!$B$12:$B$72,$A1567+1)</f>
        <v>3957.39204230049</v>
      </c>
      <c r="N1568" s="12" t="n">
        <f aca="false">IF(B1568&lt;=0,0,MAX(0,(K1568+Assumptions!$B$29*L1568/INDEX(Surface_Engine!$B$12:$B$72,$A1568+1)-(M1568/INDEX(Surface_Engine!$B$12:$B$72,$A1568+1)-(F1568/INDEX(Surface_Engine!$B$12:$B$72,$A1568+1))))/B1568))</f>
        <v>0</v>
      </c>
    </row>
    <row r="1569" customFormat="false" ht="15" hidden="false" customHeight="true" outlineLevel="0" collapsed="false">
      <c r="A1569" s="1" t="n">
        <v>49</v>
      </c>
      <c r="B1569" s="32" t="n">
        <f aca="false">INDEX(Surface_Engine!$V$12:$V$72,$A1569+1)*IF($A1569&lt;$Q$1518,INDEX(Surface_Engine!$E$12:$E$72,$A1569+1),INDEX(Surface_Engine!$E$12:$E$72,$Q$1518+1))</f>
        <v>0</v>
      </c>
      <c r="C1569" s="32" t="n">
        <f aca="false">INDEX(Panel_Reserving!$H$8:$H$68,$A1569+1)*IF($A1569&lt;$Q$1518,INDEX(Surface_Engine!$E$12:$E$72,$A1569+1),INDEX(Surface_Engine!$E$12:$E$72,$Q$1518+1))</f>
        <v>0</v>
      </c>
      <c r="D1569" s="32" t="n">
        <f aca="false">INDEX(Surface_Engine!$V$12:$V$72,$A1569+1)*IF($A1569&lt;$Q$1518,INDEX(Surface_Engine!$Y$12:$Y$72,$A1569+1),INDEX(Surface_Engine!$Y$12:$Y$72,$Q$1518+1))</f>
        <v>0</v>
      </c>
      <c r="E1569" s="32" t="n">
        <f aca="false">INDEX(Surface_Engine!$V$12:$V$72,$A1569+1)*IF($A1569&lt;$Q$1518,INDEX(Surface_Engine!$Z$12:$Z$72,$A1569+1),INDEX(Surface_Engine!$Z$12:$Z$72,$Q$1518+1))</f>
        <v>0</v>
      </c>
      <c r="F1569" s="48" t="n">
        <f aca="false">B1569*(IF($A1569&lt;$Q$1518,INDEX(Surface_Engine!$D$12:$D$72,$A1569+1)+(Surface_Engine!G251*12)*INDEX(Surface_Engine!$F$12:$F$72,$A1569+1)-(Surface_Engine!G251*12),1000*12*INDEX(Surface_Engine!$C$12:$C$72,$A1569+1)/(1+Assumptions!$B$10)^5+INDEX(Surface_Engine!$D$12:$D$72,$A1569+1)))*INDEX(Surface_Engine!$B$12:$B$72,$A1569+1)+F1570</f>
        <v>0</v>
      </c>
      <c r="G1569" s="48" t="n">
        <f aca="false">C1569*(IF($A1569&lt;$Q$1518,INDEX(Surface_Engine!$D$12:$D$72,$A1569+1)+(Surface_Engine!G251*12)*INDEX(Surface_Engine!$F$12:$F$72,$A1569+1)-(Surface_Engine!G251*12),1000*12*INDEX(Surface_Engine!$C$12:$C$72,$A1569+1)/(1+Assumptions!$B$10)^5+INDEX(Surface_Engine!$D$12:$D$72,$A1569+1)))*INDEX(Surface_Engine!$B$12:$B$72,$A1569+1)+G1570</f>
        <v>0</v>
      </c>
      <c r="H1569" s="48" t="n">
        <f aca="false">D1569*(IF($A1569&lt;$Q$1518,INDEX(Surface_Engine!$D$12:$D$72,$A1569+1)+(Surface_Engine!G251*12)*INDEX(Surface_Engine!$F$12:$F$72,$A1569+1)-(Surface_Engine!G251*12),1000*12*INDEX(Surface_Engine!$C$12:$C$72,$A1569+1)/(1+Assumptions!$B$10)^5+INDEX(Surface_Engine!$D$12:$D$72,$A1569+1)))*INDEX(Surface_Engine!$B$12:$B$72,$A1569+1)+H1570</f>
        <v>0</v>
      </c>
      <c r="I1569" s="48" t="n">
        <f aca="false">E1569*(IF($A1569&lt;$Q$1518,INDEX(Surface_Engine!$D$12:$D$72,$A1569+1)+(Surface_Engine!G251*12)*INDEX(Surface_Engine!$F$12:$F$72,$A1569+1)-(Surface_Engine!G251*12),1000*12*INDEX(Surface_Engine!$C$12:$C$72,$A1569+1)/(1+Assumptions!$B$10)^5+INDEX(Surface_Engine!$D$12:$D$72,$A1569+1)))*INDEX(Surface_Engine!$B$12:$B$72,$A1569+1)+I1570</f>
        <v>0</v>
      </c>
      <c r="J1569" s="48" t="n">
        <f aca="false">B1569*(IF($A1569&lt;$Q$1518,INDEX(Surface_Engine!$D$12:$D$72,$A1569+1)*(1+Assumptions!$B$24)+(Surface_Engine!G251*12)*INDEX(Surface_Engine!$F$12:$F$72,$A1569+1)-(Surface_Engine!G251*12),1000*12*INDEX(Surface_Engine!$C$12:$C$72,$A1569+1)/(1+Assumptions!$B$10)^5+INDEX(Surface_Engine!$D$12:$D$72,$A1569+1)*(1+Assumptions!$B$24)))*INDEX(Surface_Engine!$B$12:$B$72,$A1569+1)+J1570</f>
        <v>0</v>
      </c>
      <c r="K1569" s="12" t="n">
        <f aca="false">SQRT((IF(C1569&lt;=0,0,MAX(0,(B1569/C1569)*G1569/INDEX(Surface_Engine!$B$12:$B$72,$A1569+1)-F1569/INDEX(Surface_Engine!$B$12:$B$72,$A1569+1))))^2+(MAX(IF(D1569&lt;=0,0,MAX(0,(B1569/D1569)*H1569/INDEX(Surface_Engine!$B$12:$B$72,$A1569+1)-F1569/INDEX(Surface_Engine!$B$12:$B$72,$A1569+1))),IF(E1569&lt;=0,0,MAX(0,(B1569/E1569)*I1569/INDEX(Surface_Engine!$B$12:$B$72,$A1569+1)-F1569/INDEX(Surface_Engine!$B$12:$B$72,$A1569+1))),IF($A1569&lt;$Q$1518,MAX(0,-Assumptions!$B$22*(F1569/INDEX(Surface_Engine!$B$12:$B$72,$A1569+1))),0)))^2+(MAX(0,J1569/INDEX(Surface_Engine!$B$12:$B$72,$A1569+1)-(F1569/INDEX(Surface_Engine!$B$12:$B$72,$A1569+1))))^2+2*Assumptions!$B$26*(IF(C1569&lt;=0,0,MAX(0,(B1569/C1569)*G1569/INDEX(Surface_Engine!$B$12:$B$72,$A1569+1)-F1569/INDEX(Surface_Engine!$B$12:$B$72,$A1569+1))))*(MAX(IF(D1569&lt;=0,0,MAX(0,(B1569/D1569)*H1569/INDEX(Surface_Engine!$B$12:$B$72,$A1569+1)-F1569/INDEX(Surface_Engine!$B$12:$B$72,$A1569+1))),IF(E1569&lt;=0,0,MAX(0,(B1569/E1569)*I1569/INDEX(Surface_Engine!$B$12:$B$72,$A1569+1)-F1569/INDEX(Surface_Engine!$B$12:$B$72,$A1569+1))),IF($A1569&lt;$Q$1518,MAX(0,-Assumptions!$B$22*(F1569/INDEX(Surface_Engine!$B$12:$B$72,$A1569+1))),0)))+2*Assumptions!$B$27*(IF(C1569&lt;=0,0,MAX(0,(B1569/C1569)*G1569/INDEX(Surface_Engine!$B$12:$B$72,$A1569+1)-F1569/INDEX(Surface_Engine!$B$12:$B$72,$A1569+1))))*(MAX(0,J1569/INDEX(Surface_Engine!$B$12:$B$72,$A1569+1)-(F1569/INDEX(Surface_Engine!$B$12:$B$72,$A1569+1))))+2*Assumptions!$B$28*(MAX(IF(D1569&lt;=0,0,MAX(0,(B1569/D1569)*H1569/INDEX(Surface_Engine!$B$12:$B$72,$A1569+1)-F1569/INDEX(Surface_Engine!$B$12:$B$72,$A1569+1))),IF(E1569&lt;=0,0,MAX(0,(B1569/E1569)*I1569/INDEX(Surface_Engine!$B$12:$B$72,$A1569+1)-F1569/INDEX(Surface_Engine!$B$12:$B$72,$A1569+1))),IF($A1569&lt;$Q$1518,MAX(0,-Assumptions!$B$22*(F1569/INDEX(Surface_Engine!$B$12:$B$72,$A1569+1))),0)))*(MAX(0,J1569/INDEX(Surface_Engine!$B$12:$B$72,$A1569+1)-(F1569/INDEX(Surface_Engine!$B$12:$B$72,$A1569+1)))))</f>
        <v>0</v>
      </c>
      <c r="L1569" s="48" t="n">
        <f aca="false">K1569*INDEX(Surface_Engine!$B$12:$B$72,$A1569+1)+L1570</f>
        <v>0</v>
      </c>
      <c r="M1569" s="48" t="n">
        <f aca="false">M1568+B1568*(IF($A1568&lt;$Q$1518,(Surface_Engine!G251*12)-(Surface_Engine!G251*12)*INDEX(Surface_Engine!$F$12:$F$72,$A1568+1)-INDEX(Surface_Engine!$D$12:$D$72,$A1568+1),-(1000*12*INDEX(Surface_Engine!$C$12:$C$72,$A1568+1)/(1+Assumptions!$B$10)^5+INDEX(Surface_Engine!$D$12:$D$72,$A1568+1))))*INDEX(Surface_Engine!$B$12:$B$72,$A1568+1)</f>
        <v>3957.39204230049</v>
      </c>
      <c r="N1569" s="12" t="n">
        <f aca="false">IF(B1569&lt;=0,0,MAX(0,(K1569+Assumptions!$B$29*L1569/INDEX(Surface_Engine!$B$12:$B$72,$A1569+1)-(M1569/INDEX(Surface_Engine!$B$12:$B$72,$A1569+1)-(F1569/INDEX(Surface_Engine!$B$12:$B$72,$A1569+1))))/B1569))</f>
        <v>0</v>
      </c>
    </row>
    <row r="1570" customFormat="false" ht="15" hidden="false" customHeight="true" outlineLevel="0" collapsed="false">
      <c r="A1570" s="1" t="n">
        <v>50</v>
      </c>
      <c r="B1570" s="32" t="n">
        <f aca="false">INDEX(Surface_Engine!$V$12:$V$72,$A1570+1)*IF($A1570&lt;$Q$1518,INDEX(Surface_Engine!$E$12:$E$72,$A1570+1),INDEX(Surface_Engine!$E$12:$E$72,$Q$1518+1))</f>
        <v>0</v>
      </c>
      <c r="C1570" s="32" t="n">
        <f aca="false">INDEX(Panel_Reserving!$H$8:$H$68,$A1570+1)*IF($A1570&lt;$Q$1518,INDEX(Surface_Engine!$E$12:$E$72,$A1570+1),INDEX(Surface_Engine!$E$12:$E$72,$Q$1518+1))</f>
        <v>0</v>
      </c>
      <c r="D1570" s="32" t="n">
        <f aca="false">INDEX(Surface_Engine!$V$12:$V$72,$A1570+1)*IF($A1570&lt;$Q$1518,INDEX(Surface_Engine!$Y$12:$Y$72,$A1570+1),INDEX(Surface_Engine!$Y$12:$Y$72,$Q$1518+1))</f>
        <v>0</v>
      </c>
      <c r="E1570" s="32" t="n">
        <f aca="false">INDEX(Surface_Engine!$V$12:$V$72,$A1570+1)*IF($A1570&lt;$Q$1518,INDEX(Surface_Engine!$Z$12:$Z$72,$A1570+1),INDEX(Surface_Engine!$Z$12:$Z$72,$Q$1518+1))</f>
        <v>0</v>
      </c>
      <c r="F1570" s="48" t="n">
        <f aca="false">B1570*(IF($A1570&lt;$Q$1518,INDEX(Surface_Engine!$D$12:$D$72,$A1570+1)+(Surface_Engine!G251*12)*INDEX(Surface_Engine!$F$12:$F$72,$A1570+1)-(Surface_Engine!G251*12),1000*12*INDEX(Surface_Engine!$C$12:$C$72,$A1570+1)/(1+Assumptions!$B$10)^5+INDEX(Surface_Engine!$D$12:$D$72,$A1570+1)))*INDEX(Surface_Engine!$B$12:$B$72,$A1570+1)+F1571</f>
        <v>0</v>
      </c>
      <c r="G1570" s="48" t="n">
        <f aca="false">C1570*(IF($A1570&lt;$Q$1518,INDEX(Surface_Engine!$D$12:$D$72,$A1570+1)+(Surface_Engine!G251*12)*INDEX(Surface_Engine!$F$12:$F$72,$A1570+1)-(Surface_Engine!G251*12),1000*12*INDEX(Surface_Engine!$C$12:$C$72,$A1570+1)/(1+Assumptions!$B$10)^5+INDEX(Surface_Engine!$D$12:$D$72,$A1570+1)))*INDEX(Surface_Engine!$B$12:$B$72,$A1570+1)+G1571</f>
        <v>0</v>
      </c>
      <c r="H1570" s="48" t="n">
        <f aca="false">D1570*(IF($A1570&lt;$Q$1518,INDEX(Surface_Engine!$D$12:$D$72,$A1570+1)+(Surface_Engine!G251*12)*INDEX(Surface_Engine!$F$12:$F$72,$A1570+1)-(Surface_Engine!G251*12),1000*12*INDEX(Surface_Engine!$C$12:$C$72,$A1570+1)/(1+Assumptions!$B$10)^5+INDEX(Surface_Engine!$D$12:$D$72,$A1570+1)))*INDEX(Surface_Engine!$B$12:$B$72,$A1570+1)+H1571</f>
        <v>0</v>
      </c>
      <c r="I1570" s="48" t="n">
        <f aca="false">E1570*(IF($A1570&lt;$Q$1518,INDEX(Surface_Engine!$D$12:$D$72,$A1570+1)+(Surface_Engine!G251*12)*INDEX(Surface_Engine!$F$12:$F$72,$A1570+1)-(Surface_Engine!G251*12),1000*12*INDEX(Surface_Engine!$C$12:$C$72,$A1570+1)/(1+Assumptions!$B$10)^5+INDEX(Surface_Engine!$D$12:$D$72,$A1570+1)))*INDEX(Surface_Engine!$B$12:$B$72,$A1570+1)+I1571</f>
        <v>0</v>
      </c>
      <c r="J1570" s="48" t="n">
        <f aca="false">B1570*(IF($A1570&lt;$Q$1518,INDEX(Surface_Engine!$D$12:$D$72,$A1570+1)*(1+Assumptions!$B$24)+(Surface_Engine!G251*12)*INDEX(Surface_Engine!$F$12:$F$72,$A1570+1)-(Surface_Engine!G251*12),1000*12*INDEX(Surface_Engine!$C$12:$C$72,$A1570+1)/(1+Assumptions!$B$10)^5+INDEX(Surface_Engine!$D$12:$D$72,$A1570+1)*(1+Assumptions!$B$24)))*INDEX(Surface_Engine!$B$12:$B$72,$A1570+1)+J1571</f>
        <v>0</v>
      </c>
      <c r="K1570" s="12" t="n">
        <f aca="false">SQRT((IF(C1570&lt;=0,0,MAX(0,(B1570/C1570)*G1570/INDEX(Surface_Engine!$B$12:$B$72,$A1570+1)-F1570/INDEX(Surface_Engine!$B$12:$B$72,$A1570+1))))^2+(MAX(IF(D1570&lt;=0,0,MAX(0,(B1570/D1570)*H1570/INDEX(Surface_Engine!$B$12:$B$72,$A1570+1)-F1570/INDEX(Surface_Engine!$B$12:$B$72,$A1570+1))),IF(E1570&lt;=0,0,MAX(0,(B1570/E1570)*I1570/INDEX(Surface_Engine!$B$12:$B$72,$A1570+1)-F1570/INDEX(Surface_Engine!$B$12:$B$72,$A1570+1))),IF($A1570&lt;$Q$1518,MAX(0,-Assumptions!$B$22*(F1570/INDEX(Surface_Engine!$B$12:$B$72,$A1570+1))),0)))^2+(MAX(0,J1570/INDEX(Surface_Engine!$B$12:$B$72,$A1570+1)-(F1570/INDEX(Surface_Engine!$B$12:$B$72,$A1570+1))))^2+2*Assumptions!$B$26*(IF(C1570&lt;=0,0,MAX(0,(B1570/C1570)*G1570/INDEX(Surface_Engine!$B$12:$B$72,$A1570+1)-F1570/INDEX(Surface_Engine!$B$12:$B$72,$A1570+1))))*(MAX(IF(D1570&lt;=0,0,MAX(0,(B1570/D1570)*H1570/INDEX(Surface_Engine!$B$12:$B$72,$A1570+1)-F1570/INDEX(Surface_Engine!$B$12:$B$72,$A1570+1))),IF(E1570&lt;=0,0,MAX(0,(B1570/E1570)*I1570/INDEX(Surface_Engine!$B$12:$B$72,$A1570+1)-F1570/INDEX(Surface_Engine!$B$12:$B$72,$A1570+1))),IF($A1570&lt;$Q$1518,MAX(0,-Assumptions!$B$22*(F1570/INDEX(Surface_Engine!$B$12:$B$72,$A1570+1))),0)))+2*Assumptions!$B$27*(IF(C1570&lt;=0,0,MAX(0,(B1570/C1570)*G1570/INDEX(Surface_Engine!$B$12:$B$72,$A1570+1)-F1570/INDEX(Surface_Engine!$B$12:$B$72,$A1570+1))))*(MAX(0,J1570/INDEX(Surface_Engine!$B$12:$B$72,$A1570+1)-(F1570/INDEX(Surface_Engine!$B$12:$B$72,$A1570+1))))+2*Assumptions!$B$28*(MAX(IF(D1570&lt;=0,0,MAX(0,(B1570/D1570)*H1570/INDEX(Surface_Engine!$B$12:$B$72,$A1570+1)-F1570/INDEX(Surface_Engine!$B$12:$B$72,$A1570+1))),IF(E1570&lt;=0,0,MAX(0,(B1570/E1570)*I1570/INDEX(Surface_Engine!$B$12:$B$72,$A1570+1)-F1570/INDEX(Surface_Engine!$B$12:$B$72,$A1570+1))),IF($A1570&lt;$Q$1518,MAX(0,-Assumptions!$B$22*(F1570/INDEX(Surface_Engine!$B$12:$B$72,$A1570+1))),0)))*(MAX(0,J1570/INDEX(Surface_Engine!$B$12:$B$72,$A1570+1)-(F1570/INDEX(Surface_Engine!$B$12:$B$72,$A1570+1)))))</f>
        <v>0</v>
      </c>
      <c r="L1570" s="48" t="n">
        <f aca="false">K1570*INDEX(Surface_Engine!$B$12:$B$72,$A1570+1)+L1571</f>
        <v>0</v>
      </c>
      <c r="M1570" s="48" t="n">
        <f aca="false">M1569+B1569*(IF($A1569&lt;$Q$1518,(Surface_Engine!G251*12)-(Surface_Engine!G251*12)*INDEX(Surface_Engine!$F$12:$F$72,$A1569+1)-INDEX(Surface_Engine!$D$12:$D$72,$A1569+1),-(1000*12*INDEX(Surface_Engine!$C$12:$C$72,$A1569+1)/(1+Assumptions!$B$10)^5+INDEX(Surface_Engine!$D$12:$D$72,$A1569+1))))*INDEX(Surface_Engine!$B$12:$B$72,$A1569+1)</f>
        <v>3957.39204230049</v>
      </c>
      <c r="N1570" s="12" t="n">
        <f aca="false">IF(B1570&lt;=0,0,MAX(0,(K1570+Assumptions!$B$29*L1570/INDEX(Surface_Engine!$B$12:$B$72,$A1570+1)-(M1570/INDEX(Surface_Engine!$B$12:$B$72,$A1570+1)-(F1570/INDEX(Surface_Engine!$B$12:$B$72,$A1570+1))))/B1570))</f>
        <v>0</v>
      </c>
    </row>
    <row r="1571" customFormat="false" ht="15" hidden="false" customHeight="true" outlineLevel="0" collapsed="false">
      <c r="A1571" s="1" t="n">
        <v>51</v>
      </c>
      <c r="B1571" s="32" t="n">
        <f aca="false">INDEX(Surface_Engine!$V$12:$V$72,$A1571+1)*IF($A1571&lt;$Q$1518,INDEX(Surface_Engine!$E$12:$E$72,$A1571+1),INDEX(Surface_Engine!$E$12:$E$72,$Q$1518+1))</f>
        <v>0</v>
      </c>
      <c r="C1571" s="32" t="n">
        <f aca="false">INDEX(Panel_Reserving!$H$8:$H$68,$A1571+1)*IF($A1571&lt;$Q$1518,INDEX(Surface_Engine!$E$12:$E$72,$A1571+1),INDEX(Surface_Engine!$E$12:$E$72,$Q$1518+1))</f>
        <v>0</v>
      </c>
      <c r="D1571" s="32" t="n">
        <f aca="false">INDEX(Surface_Engine!$V$12:$V$72,$A1571+1)*IF($A1571&lt;$Q$1518,INDEX(Surface_Engine!$Y$12:$Y$72,$A1571+1),INDEX(Surface_Engine!$Y$12:$Y$72,$Q$1518+1))</f>
        <v>0</v>
      </c>
      <c r="E1571" s="32" t="n">
        <f aca="false">INDEX(Surface_Engine!$V$12:$V$72,$A1571+1)*IF($A1571&lt;$Q$1518,INDEX(Surface_Engine!$Z$12:$Z$72,$A1571+1),INDEX(Surface_Engine!$Z$12:$Z$72,$Q$1518+1))</f>
        <v>0</v>
      </c>
      <c r="F1571" s="48" t="n">
        <f aca="false">B1571*(IF($A1571&lt;$Q$1518,INDEX(Surface_Engine!$D$12:$D$72,$A1571+1)+(Surface_Engine!G251*12)*INDEX(Surface_Engine!$F$12:$F$72,$A1571+1)-(Surface_Engine!G251*12),1000*12*INDEX(Surface_Engine!$C$12:$C$72,$A1571+1)/(1+Assumptions!$B$10)^5+INDEX(Surface_Engine!$D$12:$D$72,$A1571+1)))*INDEX(Surface_Engine!$B$12:$B$72,$A1571+1)+F1572</f>
        <v>0</v>
      </c>
      <c r="G1571" s="48" t="n">
        <f aca="false">C1571*(IF($A1571&lt;$Q$1518,INDEX(Surface_Engine!$D$12:$D$72,$A1571+1)+(Surface_Engine!G251*12)*INDEX(Surface_Engine!$F$12:$F$72,$A1571+1)-(Surface_Engine!G251*12),1000*12*INDEX(Surface_Engine!$C$12:$C$72,$A1571+1)/(1+Assumptions!$B$10)^5+INDEX(Surface_Engine!$D$12:$D$72,$A1571+1)))*INDEX(Surface_Engine!$B$12:$B$72,$A1571+1)+G1572</f>
        <v>0</v>
      </c>
      <c r="H1571" s="48" t="n">
        <f aca="false">D1571*(IF($A1571&lt;$Q$1518,INDEX(Surface_Engine!$D$12:$D$72,$A1571+1)+(Surface_Engine!G251*12)*INDEX(Surface_Engine!$F$12:$F$72,$A1571+1)-(Surface_Engine!G251*12),1000*12*INDEX(Surface_Engine!$C$12:$C$72,$A1571+1)/(1+Assumptions!$B$10)^5+INDEX(Surface_Engine!$D$12:$D$72,$A1571+1)))*INDEX(Surface_Engine!$B$12:$B$72,$A1571+1)+H1572</f>
        <v>0</v>
      </c>
      <c r="I1571" s="48" t="n">
        <f aca="false">E1571*(IF($A1571&lt;$Q$1518,INDEX(Surface_Engine!$D$12:$D$72,$A1571+1)+(Surface_Engine!G251*12)*INDEX(Surface_Engine!$F$12:$F$72,$A1571+1)-(Surface_Engine!G251*12),1000*12*INDEX(Surface_Engine!$C$12:$C$72,$A1571+1)/(1+Assumptions!$B$10)^5+INDEX(Surface_Engine!$D$12:$D$72,$A1571+1)))*INDEX(Surface_Engine!$B$12:$B$72,$A1571+1)+I1572</f>
        <v>0</v>
      </c>
      <c r="J1571" s="48" t="n">
        <f aca="false">B1571*(IF($A1571&lt;$Q$1518,INDEX(Surface_Engine!$D$12:$D$72,$A1571+1)*(1+Assumptions!$B$24)+(Surface_Engine!G251*12)*INDEX(Surface_Engine!$F$12:$F$72,$A1571+1)-(Surface_Engine!G251*12),1000*12*INDEX(Surface_Engine!$C$12:$C$72,$A1571+1)/(1+Assumptions!$B$10)^5+INDEX(Surface_Engine!$D$12:$D$72,$A1571+1)*(1+Assumptions!$B$24)))*INDEX(Surface_Engine!$B$12:$B$72,$A1571+1)+J1572</f>
        <v>0</v>
      </c>
      <c r="K1571" s="12" t="n">
        <f aca="false">SQRT((IF(C1571&lt;=0,0,MAX(0,(B1571/C1571)*G1571/INDEX(Surface_Engine!$B$12:$B$72,$A1571+1)-F1571/INDEX(Surface_Engine!$B$12:$B$72,$A1571+1))))^2+(MAX(IF(D1571&lt;=0,0,MAX(0,(B1571/D1571)*H1571/INDEX(Surface_Engine!$B$12:$B$72,$A1571+1)-F1571/INDEX(Surface_Engine!$B$12:$B$72,$A1571+1))),IF(E1571&lt;=0,0,MAX(0,(B1571/E1571)*I1571/INDEX(Surface_Engine!$B$12:$B$72,$A1571+1)-F1571/INDEX(Surface_Engine!$B$12:$B$72,$A1571+1))),IF($A1571&lt;$Q$1518,MAX(0,-Assumptions!$B$22*(F1571/INDEX(Surface_Engine!$B$12:$B$72,$A1571+1))),0)))^2+(MAX(0,J1571/INDEX(Surface_Engine!$B$12:$B$72,$A1571+1)-(F1571/INDEX(Surface_Engine!$B$12:$B$72,$A1571+1))))^2+2*Assumptions!$B$26*(IF(C1571&lt;=0,0,MAX(0,(B1571/C1571)*G1571/INDEX(Surface_Engine!$B$12:$B$72,$A1571+1)-F1571/INDEX(Surface_Engine!$B$12:$B$72,$A1571+1))))*(MAX(IF(D1571&lt;=0,0,MAX(0,(B1571/D1571)*H1571/INDEX(Surface_Engine!$B$12:$B$72,$A1571+1)-F1571/INDEX(Surface_Engine!$B$12:$B$72,$A1571+1))),IF(E1571&lt;=0,0,MAX(0,(B1571/E1571)*I1571/INDEX(Surface_Engine!$B$12:$B$72,$A1571+1)-F1571/INDEX(Surface_Engine!$B$12:$B$72,$A1571+1))),IF($A1571&lt;$Q$1518,MAX(0,-Assumptions!$B$22*(F1571/INDEX(Surface_Engine!$B$12:$B$72,$A1571+1))),0)))+2*Assumptions!$B$27*(IF(C1571&lt;=0,0,MAX(0,(B1571/C1571)*G1571/INDEX(Surface_Engine!$B$12:$B$72,$A1571+1)-F1571/INDEX(Surface_Engine!$B$12:$B$72,$A1571+1))))*(MAX(0,J1571/INDEX(Surface_Engine!$B$12:$B$72,$A1571+1)-(F1571/INDEX(Surface_Engine!$B$12:$B$72,$A1571+1))))+2*Assumptions!$B$28*(MAX(IF(D1571&lt;=0,0,MAX(0,(B1571/D1571)*H1571/INDEX(Surface_Engine!$B$12:$B$72,$A1571+1)-F1571/INDEX(Surface_Engine!$B$12:$B$72,$A1571+1))),IF(E1571&lt;=0,0,MAX(0,(B1571/E1571)*I1571/INDEX(Surface_Engine!$B$12:$B$72,$A1571+1)-F1571/INDEX(Surface_Engine!$B$12:$B$72,$A1571+1))),IF($A1571&lt;$Q$1518,MAX(0,-Assumptions!$B$22*(F1571/INDEX(Surface_Engine!$B$12:$B$72,$A1571+1))),0)))*(MAX(0,J1571/INDEX(Surface_Engine!$B$12:$B$72,$A1571+1)-(F1571/INDEX(Surface_Engine!$B$12:$B$72,$A1571+1)))))</f>
        <v>0</v>
      </c>
      <c r="L1571" s="48" t="n">
        <f aca="false">K1571*INDEX(Surface_Engine!$B$12:$B$72,$A1571+1)+L1572</f>
        <v>0</v>
      </c>
      <c r="M1571" s="48" t="n">
        <f aca="false">M1570+B1570*(IF($A1570&lt;$Q$1518,(Surface_Engine!G251*12)-(Surface_Engine!G251*12)*INDEX(Surface_Engine!$F$12:$F$72,$A1570+1)-INDEX(Surface_Engine!$D$12:$D$72,$A1570+1),-(1000*12*INDEX(Surface_Engine!$C$12:$C$72,$A1570+1)/(1+Assumptions!$B$10)^5+INDEX(Surface_Engine!$D$12:$D$72,$A1570+1))))*INDEX(Surface_Engine!$B$12:$B$72,$A1570+1)</f>
        <v>3957.39204230049</v>
      </c>
      <c r="N1571" s="12" t="n">
        <f aca="false">IF(B1571&lt;=0,0,MAX(0,(K1571+Assumptions!$B$29*L1571/INDEX(Surface_Engine!$B$12:$B$72,$A1571+1)-(M1571/INDEX(Surface_Engine!$B$12:$B$72,$A1571+1)-(F1571/INDEX(Surface_Engine!$B$12:$B$72,$A1571+1))))/B1571))</f>
        <v>0</v>
      </c>
    </row>
    <row r="1572" customFormat="false" ht="15" hidden="false" customHeight="true" outlineLevel="0" collapsed="false">
      <c r="A1572" s="1" t="n">
        <v>52</v>
      </c>
      <c r="B1572" s="32" t="n">
        <f aca="false">INDEX(Surface_Engine!$V$12:$V$72,$A1572+1)*IF($A1572&lt;$Q$1518,INDEX(Surface_Engine!$E$12:$E$72,$A1572+1),INDEX(Surface_Engine!$E$12:$E$72,$Q$1518+1))</f>
        <v>0</v>
      </c>
      <c r="C1572" s="32" t="n">
        <f aca="false">INDEX(Panel_Reserving!$H$8:$H$68,$A1572+1)*IF($A1572&lt;$Q$1518,INDEX(Surface_Engine!$E$12:$E$72,$A1572+1),INDEX(Surface_Engine!$E$12:$E$72,$Q$1518+1))</f>
        <v>0</v>
      </c>
      <c r="D1572" s="32" t="n">
        <f aca="false">INDEX(Surface_Engine!$V$12:$V$72,$A1572+1)*IF($A1572&lt;$Q$1518,INDEX(Surface_Engine!$Y$12:$Y$72,$A1572+1),INDEX(Surface_Engine!$Y$12:$Y$72,$Q$1518+1))</f>
        <v>0</v>
      </c>
      <c r="E1572" s="32" t="n">
        <f aca="false">INDEX(Surface_Engine!$V$12:$V$72,$A1572+1)*IF($A1572&lt;$Q$1518,INDEX(Surface_Engine!$Z$12:$Z$72,$A1572+1),INDEX(Surface_Engine!$Z$12:$Z$72,$Q$1518+1))</f>
        <v>0</v>
      </c>
      <c r="F1572" s="48" t="n">
        <f aca="false">B1572*(IF($A1572&lt;$Q$1518,INDEX(Surface_Engine!$D$12:$D$72,$A1572+1)+(Surface_Engine!G251*12)*INDEX(Surface_Engine!$F$12:$F$72,$A1572+1)-(Surface_Engine!G251*12),1000*12*INDEX(Surface_Engine!$C$12:$C$72,$A1572+1)/(1+Assumptions!$B$10)^5+INDEX(Surface_Engine!$D$12:$D$72,$A1572+1)))*INDEX(Surface_Engine!$B$12:$B$72,$A1572+1)+F1573</f>
        <v>0</v>
      </c>
      <c r="G1572" s="48" t="n">
        <f aca="false">C1572*(IF($A1572&lt;$Q$1518,INDEX(Surface_Engine!$D$12:$D$72,$A1572+1)+(Surface_Engine!G251*12)*INDEX(Surface_Engine!$F$12:$F$72,$A1572+1)-(Surface_Engine!G251*12),1000*12*INDEX(Surface_Engine!$C$12:$C$72,$A1572+1)/(1+Assumptions!$B$10)^5+INDEX(Surface_Engine!$D$12:$D$72,$A1572+1)))*INDEX(Surface_Engine!$B$12:$B$72,$A1572+1)+G1573</f>
        <v>0</v>
      </c>
      <c r="H1572" s="48" t="n">
        <f aca="false">D1572*(IF($A1572&lt;$Q$1518,INDEX(Surface_Engine!$D$12:$D$72,$A1572+1)+(Surface_Engine!G251*12)*INDEX(Surface_Engine!$F$12:$F$72,$A1572+1)-(Surface_Engine!G251*12),1000*12*INDEX(Surface_Engine!$C$12:$C$72,$A1572+1)/(1+Assumptions!$B$10)^5+INDEX(Surface_Engine!$D$12:$D$72,$A1572+1)))*INDEX(Surface_Engine!$B$12:$B$72,$A1572+1)+H1573</f>
        <v>0</v>
      </c>
      <c r="I1572" s="48" t="n">
        <f aca="false">E1572*(IF($A1572&lt;$Q$1518,INDEX(Surface_Engine!$D$12:$D$72,$A1572+1)+(Surface_Engine!G251*12)*INDEX(Surface_Engine!$F$12:$F$72,$A1572+1)-(Surface_Engine!G251*12),1000*12*INDEX(Surface_Engine!$C$12:$C$72,$A1572+1)/(1+Assumptions!$B$10)^5+INDEX(Surface_Engine!$D$12:$D$72,$A1572+1)))*INDEX(Surface_Engine!$B$12:$B$72,$A1572+1)+I1573</f>
        <v>0</v>
      </c>
      <c r="J1572" s="48" t="n">
        <f aca="false">B1572*(IF($A1572&lt;$Q$1518,INDEX(Surface_Engine!$D$12:$D$72,$A1572+1)*(1+Assumptions!$B$24)+(Surface_Engine!G251*12)*INDEX(Surface_Engine!$F$12:$F$72,$A1572+1)-(Surface_Engine!G251*12),1000*12*INDEX(Surface_Engine!$C$12:$C$72,$A1572+1)/(1+Assumptions!$B$10)^5+INDEX(Surface_Engine!$D$12:$D$72,$A1572+1)*(1+Assumptions!$B$24)))*INDEX(Surface_Engine!$B$12:$B$72,$A1572+1)+J1573</f>
        <v>0</v>
      </c>
      <c r="K1572" s="12" t="n">
        <f aca="false">SQRT((IF(C1572&lt;=0,0,MAX(0,(B1572/C1572)*G1572/INDEX(Surface_Engine!$B$12:$B$72,$A1572+1)-F1572/INDEX(Surface_Engine!$B$12:$B$72,$A1572+1))))^2+(MAX(IF(D1572&lt;=0,0,MAX(0,(B1572/D1572)*H1572/INDEX(Surface_Engine!$B$12:$B$72,$A1572+1)-F1572/INDEX(Surface_Engine!$B$12:$B$72,$A1572+1))),IF(E1572&lt;=0,0,MAX(0,(B1572/E1572)*I1572/INDEX(Surface_Engine!$B$12:$B$72,$A1572+1)-F1572/INDEX(Surface_Engine!$B$12:$B$72,$A1572+1))),IF($A1572&lt;$Q$1518,MAX(0,-Assumptions!$B$22*(F1572/INDEX(Surface_Engine!$B$12:$B$72,$A1572+1))),0)))^2+(MAX(0,J1572/INDEX(Surface_Engine!$B$12:$B$72,$A1572+1)-(F1572/INDEX(Surface_Engine!$B$12:$B$72,$A1572+1))))^2+2*Assumptions!$B$26*(IF(C1572&lt;=0,0,MAX(0,(B1572/C1572)*G1572/INDEX(Surface_Engine!$B$12:$B$72,$A1572+1)-F1572/INDEX(Surface_Engine!$B$12:$B$72,$A1572+1))))*(MAX(IF(D1572&lt;=0,0,MAX(0,(B1572/D1572)*H1572/INDEX(Surface_Engine!$B$12:$B$72,$A1572+1)-F1572/INDEX(Surface_Engine!$B$12:$B$72,$A1572+1))),IF(E1572&lt;=0,0,MAX(0,(B1572/E1572)*I1572/INDEX(Surface_Engine!$B$12:$B$72,$A1572+1)-F1572/INDEX(Surface_Engine!$B$12:$B$72,$A1572+1))),IF($A1572&lt;$Q$1518,MAX(0,-Assumptions!$B$22*(F1572/INDEX(Surface_Engine!$B$12:$B$72,$A1572+1))),0)))+2*Assumptions!$B$27*(IF(C1572&lt;=0,0,MAX(0,(B1572/C1572)*G1572/INDEX(Surface_Engine!$B$12:$B$72,$A1572+1)-F1572/INDEX(Surface_Engine!$B$12:$B$72,$A1572+1))))*(MAX(0,J1572/INDEX(Surface_Engine!$B$12:$B$72,$A1572+1)-(F1572/INDEX(Surface_Engine!$B$12:$B$72,$A1572+1))))+2*Assumptions!$B$28*(MAX(IF(D1572&lt;=0,0,MAX(0,(B1572/D1572)*H1572/INDEX(Surface_Engine!$B$12:$B$72,$A1572+1)-F1572/INDEX(Surface_Engine!$B$12:$B$72,$A1572+1))),IF(E1572&lt;=0,0,MAX(0,(B1572/E1572)*I1572/INDEX(Surface_Engine!$B$12:$B$72,$A1572+1)-F1572/INDEX(Surface_Engine!$B$12:$B$72,$A1572+1))),IF($A1572&lt;$Q$1518,MAX(0,-Assumptions!$B$22*(F1572/INDEX(Surface_Engine!$B$12:$B$72,$A1572+1))),0)))*(MAX(0,J1572/INDEX(Surface_Engine!$B$12:$B$72,$A1572+1)-(F1572/INDEX(Surface_Engine!$B$12:$B$72,$A1572+1)))))</f>
        <v>0</v>
      </c>
      <c r="L1572" s="48" t="n">
        <f aca="false">K1572*INDEX(Surface_Engine!$B$12:$B$72,$A1572+1)+L1573</f>
        <v>0</v>
      </c>
      <c r="M1572" s="48" t="n">
        <f aca="false">M1571+B1571*(IF($A1571&lt;$Q$1518,(Surface_Engine!G251*12)-(Surface_Engine!G251*12)*INDEX(Surface_Engine!$F$12:$F$72,$A1571+1)-INDEX(Surface_Engine!$D$12:$D$72,$A1571+1),-(1000*12*INDEX(Surface_Engine!$C$12:$C$72,$A1571+1)/(1+Assumptions!$B$10)^5+INDEX(Surface_Engine!$D$12:$D$72,$A1571+1))))*INDEX(Surface_Engine!$B$12:$B$72,$A1571+1)</f>
        <v>3957.39204230049</v>
      </c>
      <c r="N1572" s="12" t="n">
        <f aca="false">IF(B1572&lt;=0,0,MAX(0,(K1572+Assumptions!$B$29*L1572/INDEX(Surface_Engine!$B$12:$B$72,$A1572+1)-(M1572/INDEX(Surface_Engine!$B$12:$B$72,$A1572+1)-(F1572/INDEX(Surface_Engine!$B$12:$B$72,$A1572+1))))/B1572))</f>
        <v>0</v>
      </c>
    </row>
    <row r="1573" customFormat="false" ht="15" hidden="false" customHeight="true" outlineLevel="0" collapsed="false">
      <c r="A1573" s="1" t="n">
        <v>53</v>
      </c>
      <c r="B1573" s="32" t="n">
        <f aca="false">INDEX(Surface_Engine!$V$12:$V$72,$A1573+1)*IF($A1573&lt;$Q$1518,INDEX(Surface_Engine!$E$12:$E$72,$A1573+1),INDEX(Surface_Engine!$E$12:$E$72,$Q$1518+1))</f>
        <v>0</v>
      </c>
      <c r="C1573" s="32" t="n">
        <f aca="false">INDEX(Panel_Reserving!$H$8:$H$68,$A1573+1)*IF($A1573&lt;$Q$1518,INDEX(Surface_Engine!$E$12:$E$72,$A1573+1),INDEX(Surface_Engine!$E$12:$E$72,$Q$1518+1))</f>
        <v>0</v>
      </c>
      <c r="D1573" s="32" t="n">
        <f aca="false">INDEX(Surface_Engine!$V$12:$V$72,$A1573+1)*IF($A1573&lt;$Q$1518,INDEX(Surface_Engine!$Y$12:$Y$72,$A1573+1),INDEX(Surface_Engine!$Y$12:$Y$72,$Q$1518+1))</f>
        <v>0</v>
      </c>
      <c r="E1573" s="32" t="n">
        <f aca="false">INDEX(Surface_Engine!$V$12:$V$72,$A1573+1)*IF($A1573&lt;$Q$1518,INDEX(Surface_Engine!$Z$12:$Z$72,$A1573+1),INDEX(Surface_Engine!$Z$12:$Z$72,$Q$1518+1))</f>
        <v>0</v>
      </c>
      <c r="F1573" s="48" t="n">
        <f aca="false">B1573*(IF($A1573&lt;$Q$1518,INDEX(Surface_Engine!$D$12:$D$72,$A1573+1)+(Surface_Engine!G251*12)*INDEX(Surface_Engine!$F$12:$F$72,$A1573+1)-(Surface_Engine!G251*12),1000*12*INDEX(Surface_Engine!$C$12:$C$72,$A1573+1)/(1+Assumptions!$B$10)^5+INDEX(Surface_Engine!$D$12:$D$72,$A1573+1)))*INDEX(Surface_Engine!$B$12:$B$72,$A1573+1)+F1574</f>
        <v>0</v>
      </c>
      <c r="G1573" s="48" t="n">
        <f aca="false">C1573*(IF($A1573&lt;$Q$1518,INDEX(Surface_Engine!$D$12:$D$72,$A1573+1)+(Surface_Engine!G251*12)*INDEX(Surface_Engine!$F$12:$F$72,$A1573+1)-(Surface_Engine!G251*12),1000*12*INDEX(Surface_Engine!$C$12:$C$72,$A1573+1)/(1+Assumptions!$B$10)^5+INDEX(Surface_Engine!$D$12:$D$72,$A1573+1)))*INDEX(Surface_Engine!$B$12:$B$72,$A1573+1)+G1574</f>
        <v>0</v>
      </c>
      <c r="H1573" s="48" t="n">
        <f aca="false">D1573*(IF($A1573&lt;$Q$1518,INDEX(Surface_Engine!$D$12:$D$72,$A1573+1)+(Surface_Engine!G251*12)*INDEX(Surface_Engine!$F$12:$F$72,$A1573+1)-(Surface_Engine!G251*12),1000*12*INDEX(Surface_Engine!$C$12:$C$72,$A1573+1)/(1+Assumptions!$B$10)^5+INDEX(Surface_Engine!$D$12:$D$72,$A1573+1)))*INDEX(Surface_Engine!$B$12:$B$72,$A1573+1)+H1574</f>
        <v>0</v>
      </c>
      <c r="I1573" s="48" t="n">
        <f aca="false">E1573*(IF($A1573&lt;$Q$1518,INDEX(Surface_Engine!$D$12:$D$72,$A1573+1)+(Surface_Engine!G251*12)*INDEX(Surface_Engine!$F$12:$F$72,$A1573+1)-(Surface_Engine!G251*12),1000*12*INDEX(Surface_Engine!$C$12:$C$72,$A1573+1)/(1+Assumptions!$B$10)^5+INDEX(Surface_Engine!$D$12:$D$72,$A1573+1)))*INDEX(Surface_Engine!$B$12:$B$72,$A1573+1)+I1574</f>
        <v>0</v>
      </c>
      <c r="J1573" s="48" t="n">
        <f aca="false">B1573*(IF($A1573&lt;$Q$1518,INDEX(Surface_Engine!$D$12:$D$72,$A1573+1)*(1+Assumptions!$B$24)+(Surface_Engine!G251*12)*INDEX(Surface_Engine!$F$12:$F$72,$A1573+1)-(Surface_Engine!G251*12),1000*12*INDEX(Surface_Engine!$C$12:$C$72,$A1573+1)/(1+Assumptions!$B$10)^5+INDEX(Surface_Engine!$D$12:$D$72,$A1573+1)*(1+Assumptions!$B$24)))*INDEX(Surface_Engine!$B$12:$B$72,$A1573+1)+J1574</f>
        <v>0</v>
      </c>
      <c r="K1573" s="12" t="n">
        <f aca="false">SQRT((IF(C1573&lt;=0,0,MAX(0,(B1573/C1573)*G1573/INDEX(Surface_Engine!$B$12:$B$72,$A1573+1)-F1573/INDEX(Surface_Engine!$B$12:$B$72,$A1573+1))))^2+(MAX(IF(D1573&lt;=0,0,MAX(0,(B1573/D1573)*H1573/INDEX(Surface_Engine!$B$12:$B$72,$A1573+1)-F1573/INDEX(Surface_Engine!$B$12:$B$72,$A1573+1))),IF(E1573&lt;=0,0,MAX(0,(B1573/E1573)*I1573/INDEX(Surface_Engine!$B$12:$B$72,$A1573+1)-F1573/INDEX(Surface_Engine!$B$12:$B$72,$A1573+1))),IF($A1573&lt;$Q$1518,MAX(0,-Assumptions!$B$22*(F1573/INDEX(Surface_Engine!$B$12:$B$72,$A1573+1))),0)))^2+(MAX(0,J1573/INDEX(Surface_Engine!$B$12:$B$72,$A1573+1)-(F1573/INDEX(Surface_Engine!$B$12:$B$72,$A1573+1))))^2+2*Assumptions!$B$26*(IF(C1573&lt;=0,0,MAX(0,(B1573/C1573)*G1573/INDEX(Surface_Engine!$B$12:$B$72,$A1573+1)-F1573/INDEX(Surface_Engine!$B$12:$B$72,$A1573+1))))*(MAX(IF(D1573&lt;=0,0,MAX(0,(B1573/D1573)*H1573/INDEX(Surface_Engine!$B$12:$B$72,$A1573+1)-F1573/INDEX(Surface_Engine!$B$12:$B$72,$A1573+1))),IF(E1573&lt;=0,0,MAX(0,(B1573/E1573)*I1573/INDEX(Surface_Engine!$B$12:$B$72,$A1573+1)-F1573/INDEX(Surface_Engine!$B$12:$B$72,$A1573+1))),IF($A1573&lt;$Q$1518,MAX(0,-Assumptions!$B$22*(F1573/INDEX(Surface_Engine!$B$12:$B$72,$A1573+1))),0)))+2*Assumptions!$B$27*(IF(C1573&lt;=0,0,MAX(0,(B1573/C1573)*G1573/INDEX(Surface_Engine!$B$12:$B$72,$A1573+1)-F1573/INDEX(Surface_Engine!$B$12:$B$72,$A1573+1))))*(MAX(0,J1573/INDEX(Surface_Engine!$B$12:$B$72,$A1573+1)-(F1573/INDEX(Surface_Engine!$B$12:$B$72,$A1573+1))))+2*Assumptions!$B$28*(MAX(IF(D1573&lt;=0,0,MAX(0,(B1573/D1573)*H1573/INDEX(Surface_Engine!$B$12:$B$72,$A1573+1)-F1573/INDEX(Surface_Engine!$B$12:$B$72,$A1573+1))),IF(E1573&lt;=0,0,MAX(0,(B1573/E1573)*I1573/INDEX(Surface_Engine!$B$12:$B$72,$A1573+1)-F1573/INDEX(Surface_Engine!$B$12:$B$72,$A1573+1))),IF($A1573&lt;$Q$1518,MAX(0,-Assumptions!$B$22*(F1573/INDEX(Surface_Engine!$B$12:$B$72,$A1573+1))),0)))*(MAX(0,J1573/INDEX(Surface_Engine!$B$12:$B$72,$A1573+1)-(F1573/INDEX(Surface_Engine!$B$12:$B$72,$A1573+1)))))</f>
        <v>0</v>
      </c>
      <c r="L1573" s="48" t="n">
        <f aca="false">K1573*INDEX(Surface_Engine!$B$12:$B$72,$A1573+1)+L1574</f>
        <v>0</v>
      </c>
      <c r="M1573" s="48" t="n">
        <f aca="false">M1572+B1572*(IF($A1572&lt;$Q$1518,(Surface_Engine!G251*12)-(Surface_Engine!G251*12)*INDEX(Surface_Engine!$F$12:$F$72,$A1572+1)-INDEX(Surface_Engine!$D$12:$D$72,$A1572+1),-(1000*12*INDEX(Surface_Engine!$C$12:$C$72,$A1572+1)/(1+Assumptions!$B$10)^5+INDEX(Surface_Engine!$D$12:$D$72,$A1572+1))))*INDEX(Surface_Engine!$B$12:$B$72,$A1572+1)</f>
        <v>3957.39204230049</v>
      </c>
      <c r="N1573" s="12" t="n">
        <f aca="false">IF(B1573&lt;=0,0,MAX(0,(K1573+Assumptions!$B$29*L1573/INDEX(Surface_Engine!$B$12:$B$72,$A1573+1)-(M1573/INDEX(Surface_Engine!$B$12:$B$72,$A1573+1)-(F1573/INDEX(Surface_Engine!$B$12:$B$72,$A1573+1))))/B1573))</f>
        <v>0</v>
      </c>
    </row>
    <row r="1574" customFormat="false" ht="15" hidden="false" customHeight="true" outlineLevel="0" collapsed="false">
      <c r="A1574" s="1" t="n">
        <v>54</v>
      </c>
      <c r="B1574" s="32" t="n">
        <f aca="false">INDEX(Surface_Engine!$V$12:$V$72,$A1574+1)*IF($A1574&lt;$Q$1518,INDEX(Surface_Engine!$E$12:$E$72,$A1574+1),INDEX(Surface_Engine!$E$12:$E$72,$Q$1518+1))</f>
        <v>0</v>
      </c>
      <c r="C1574" s="32" t="n">
        <f aca="false">INDEX(Panel_Reserving!$H$8:$H$68,$A1574+1)*IF($A1574&lt;$Q$1518,INDEX(Surface_Engine!$E$12:$E$72,$A1574+1),INDEX(Surface_Engine!$E$12:$E$72,$Q$1518+1))</f>
        <v>0</v>
      </c>
      <c r="D1574" s="32" t="n">
        <f aca="false">INDEX(Surface_Engine!$V$12:$V$72,$A1574+1)*IF($A1574&lt;$Q$1518,INDEX(Surface_Engine!$Y$12:$Y$72,$A1574+1),INDEX(Surface_Engine!$Y$12:$Y$72,$Q$1518+1))</f>
        <v>0</v>
      </c>
      <c r="E1574" s="32" t="n">
        <f aca="false">INDEX(Surface_Engine!$V$12:$V$72,$A1574+1)*IF($A1574&lt;$Q$1518,INDEX(Surface_Engine!$Z$12:$Z$72,$A1574+1),INDEX(Surface_Engine!$Z$12:$Z$72,$Q$1518+1))</f>
        <v>0</v>
      </c>
      <c r="F1574" s="48" t="n">
        <f aca="false">B1574*(IF($A1574&lt;$Q$1518,INDEX(Surface_Engine!$D$12:$D$72,$A1574+1)+(Surface_Engine!G251*12)*INDEX(Surface_Engine!$F$12:$F$72,$A1574+1)-(Surface_Engine!G251*12),1000*12*INDEX(Surface_Engine!$C$12:$C$72,$A1574+1)/(1+Assumptions!$B$10)^5+INDEX(Surface_Engine!$D$12:$D$72,$A1574+1)))*INDEX(Surface_Engine!$B$12:$B$72,$A1574+1)+F1575</f>
        <v>0</v>
      </c>
      <c r="G1574" s="48" t="n">
        <f aca="false">C1574*(IF($A1574&lt;$Q$1518,INDEX(Surface_Engine!$D$12:$D$72,$A1574+1)+(Surface_Engine!G251*12)*INDEX(Surface_Engine!$F$12:$F$72,$A1574+1)-(Surface_Engine!G251*12),1000*12*INDEX(Surface_Engine!$C$12:$C$72,$A1574+1)/(1+Assumptions!$B$10)^5+INDEX(Surface_Engine!$D$12:$D$72,$A1574+1)))*INDEX(Surface_Engine!$B$12:$B$72,$A1574+1)+G1575</f>
        <v>0</v>
      </c>
      <c r="H1574" s="48" t="n">
        <f aca="false">D1574*(IF($A1574&lt;$Q$1518,INDEX(Surface_Engine!$D$12:$D$72,$A1574+1)+(Surface_Engine!G251*12)*INDEX(Surface_Engine!$F$12:$F$72,$A1574+1)-(Surface_Engine!G251*12),1000*12*INDEX(Surface_Engine!$C$12:$C$72,$A1574+1)/(1+Assumptions!$B$10)^5+INDEX(Surface_Engine!$D$12:$D$72,$A1574+1)))*INDEX(Surface_Engine!$B$12:$B$72,$A1574+1)+H1575</f>
        <v>0</v>
      </c>
      <c r="I1574" s="48" t="n">
        <f aca="false">E1574*(IF($A1574&lt;$Q$1518,INDEX(Surface_Engine!$D$12:$D$72,$A1574+1)+(Surface_Engine!G251*12)*INDEX(Surface_Engine!$F$12:$F$72,$A1574+1)-(Surface_Engine!G251*12),1000*12*INDEX(Surface_Engine!$C$12:$C$72,$A1574+1)/(1+Assumptions!$B$10)^5+INDEX(Surface_Engine!$D$12:$D$72,$A1574+1)))*INDEX(Surface_Engine!$B$12:$B$72,$A1574+1)+I1575</f>
        <v>0</v>
      </c>
      <c r="J1574" s="48" t="n">
        <f aca="false">B1574*(IF($A1574&lt;$Q$1518,INDEX(Surface_Engine!$D$12:$D$72,$A1574+1)*(1+Assumptions!$B$24)+(Surface_Engine!G251*12)*INDEX(Surface_Engine!$F$12:$F$72,$A1574+1)-(Surface_Engine!G251*12),1000*12*INDEX(Surface_Engine!$C$12:$C$72,$A1574+1)/(1+Assumptions!$B$10)^5+INDEX(Surface_Engine!$D$12:$D$72,$A1574+1)*(1+Assumptions!$B$24)))*INDEX(Surface_Engine!$B$12:$B$72,$A1574+1)+J1575</f>
        <v>0</v>
      </c>
      <c r="K1574" s="12" t="n">
        <f aca="false">SQRT((IF(C1574&lt;=0,0,MAX(0,(B1574/C1574)*G1574/INDEX(Surface_Engine!$B$12:$B$72,$A1574+1)-F1574/INDEX(Surface_Engine!$B$12:$B$72,$A1574+1))))^2+(MAX(IF(D1574&lt;=0,0,MAX(0,(B1574/D1574)*H1574/INDEX(Surface_Engine!$B$12:$B$72,$A1574+1)-F1574/INDEX(Surface_Engine!$B$12:$B$72,$A1574+1))),IF(E1574&lt;=0,0,MAX(0,(B1574/E1574)*I1574/INDEX(Surface_Engine!$B$12:$B$72,$A1574+1)-F1574/INDEX(Surface_Engine!$B$12:$B$72,$A1574+1))),IF($A1574&lt;$Q$1518,MAX(0,-Assumptions!$B$22*(F1574/INDEX(Surface_Engine!$B$12:$B$72,$A1574+1))),0)))^2+(MAX(0,J1574/INDEX(Surface_Engine!$B$12:$B$72,$A1574+1)-(F1574/INDEX(Surface_Engine!$B$12:$B$72,$A1574+1))))^2+2*Assumptions!$B$26*(IF(C1574&lt;=0,0,MAX(0,(B1574/C1574)*G1574/INDEX(Surface_Engine!$B$12:$B$72,$A1574+1)-F1574/INDEX(Surface_Engine!$B$12:$B$72,$A1574+1))))*(MAX(IF(D1574&lt;=0,0,MAX(0,(B1574/D1574)*H1574/INDEX(Surface_Engine!$B$12:$B$72,$A1574+1)-F1574/INDEX(Surface_Engine!$B$12:$B$72,$A1574+1))),IF(E1574&lt;=0,0,MAX(0,(B1574/E1574)*I1574/INDEX(Surface_Engine!$B$12:$B$72,$A1574+1)-F1574/INDEX(Surface_Engine!$B$12:$B$72,$A1574+1))),IF($A1574&lt;$Q$1518,MAX(0,-Assumptions!$B$22*(F1574/INDEX(Surface_Engine!$B$12:$B$72,$A1574+1))),0)))+2*Assumptions!$B$27*(IF(C1574&lt;=0,0,MAX(0,(B1574/C1574)*G1574/INDEX(Surface_Engine!$B$12:$B$72,$A1574+1)-F1574/INDEX(Surface_Engine!$B$12:$B$72,$A1574+1))))*(MAX(0,J1574/INDEX(Surface_Engine!$B$12:$B$72,$A1574+1)-(F1574/INDEX(Surface_Engine!$B$12:$B$72,$A1574+1))))+2*Assumptions!$B$28*(MAX(IF(D1574&lt;=0,0,MAX(0,(B1574/D1574)*H1574/INDEX(Surface_Engine!$B$12:$B$72,$A1574+1)-F1574/INDEX(Surface_Engine!$B$12:$B$72,$A1574+1))),IF(E1574&lt;=0,0,MAX(0,(B1574/E1574)*I1574/INDEX(Surface_Engine!$B$12:$B$72,$A1574+1)-F1574/INDEX(Surface_Engine!$B$12:$B$72,$A1574+1))),IF($A1574&lt;$Q$1518,MAX(0,-Assumptions!$B$22*(F1574/INDEX(Surface_Engine!$B$12:$B$72,$A1574+1))),0)))*(MAX(0,J1574/INDEX(Surface_Engine!$B$12:$B$72,$A1574+1)-(F1574/INDEX(Surface_Engine!$B$12:$B$72,$A1574+1)))))</f>
        <v>0</v>
      </c>
      <c r="L1574" s="48" t="n">
        <f aca="false">K1574*INDEX(Surface_Engine!$B$12:$B$72,$A1574+1)+L1575</f>
        <v>0</v>
      </c>
      <c r="M1574" s="48" t="n">
        <f aca="false">M1573+B1573*(IF($A1573&lt;$Q$1518,(Surface_Engine!G251*12)-(Surface_Engine!G251*12)*INDEX(Surface_Engine!$F$12:$F$72,$A1573+1)-INDEX(Surface_Engine!$D$12:$D$72,$A1573+1),-(1000*12*INDEX(Surface_Engine!$C$12:$C$72,$A1573+1)/(1+Assumptions!$B$10)^5+INDEX(Surface_Engine!$D$12:$D$72,$A1573+1))))*INDEX(Surface_Engine!$B$12:$B$72,$A1573+1)</f>
        <v>3957.39204230049</v>
      </c>
      <c r="N1574" s="12" t="n">
        <f aca="false">IF(B1574&lt;=0,0,MAX(0,(K1574+Assumptions!$B$29*L1574/INDEX(Surface_Engine!$B$12:$B$72,$A1574+1)-(M1574/INDEX(Surface_Engine!$B$12:$B$72,$A1574+1)-(F1574/INDEX(Surface_Engine!$B$12:$B$72,$A1574+1))))/B1574))</f>
        <v>0</v>
      </c>
    </row>
    <row r="1575" customFormat="false" ht="15" hidden="false" customHeight="true" outlineLevel="0" collapsed="false">
      <c r="A1575" s="1" t="n">
        <v>55</v>
      </c>
      <c r="B1575" s="32" t="n">
        <f aca="false">INDEX(Surface_Engine!$V$12:$V$72,$A1575+1)*IF($A1575&lt;$Q$1518,INDEX(Surface_Engine!$E$12:$E$72,$A1575+1),INDEX(Surface_Engine!$E$12:$E$72,$Q$1518+1))</f>
        <v>0</v>
      </c>
      <c r="C1575" s="32" t="n">
        <f aca="false">INDEX(Panel_Reserving!$H$8:$H$68,$A1575+1)*IF($A1575&lt;$Q$1518,INDEX(Surface_Engine!$E$12:$E$72,$A1575+1),INDEX(Surface_Engine!$E$12:$E$72,$Q$1518+1))</f>
        <v>0</v>
      </c>
      <c r="D1575" s="32" t="n">
        <f aca="false">INDEX(Surface_Engine!$V$12:$V$72,$A1575+1)*IF($A1575&lt;$Q$1518,INDEX(Surface_Engine!$Y$12:$Y$72,$A1575+1),INDEX(Surface_Engine!$Y$12:$Y$72,$Q$1518+1))</f>
        <v>0</v>
      </c>
      <c r="E1575" s="32" t="n">
        <f aca="false">INDEX(Surface_Engine!$V$12:$V$72,$A1575+1)*IF($A1575&lt;$Q$1518,INDEX(Surface_Engine!$Z$12:$Z$72,$A1575+1),INDEX(Surface_Engine!$Z$12:$Z$72,$Q$1518+1))</f>
        <v>0</v>
      </c>
      <c r="F1575" s="48" t="n">
        <f aca="false">B1575*(IF($A1575&lt;$Q$1518,INDEX(Surface_Engine!$D$12:$D$72,$A1575+1)+(Surface_Engine!G251*12)*INDEX(Surface_Engine!$F$12:$F$72,$A1575+1)-(Surface_Engine!G251*12),1000*12*INDEX(Surface_Engine!$C$12:$C$72,$A1575+1)/(1+Assumptions!$B$10)^5+INDEX(Surface_Engine!$D$12:$D$72,$A1575+1)))*INDEX(Surface_Engine!$B$12:$B$72,$A1575+1)+F1576</f>
        <v>0</v>
      </c>
      <c r="G1575" s="48" t="n">
        <f aca="false">C1575*(IF($A1575&lt;$Q$1518,INDEX(Surface_Engine!$D$12:$D$72,$A1575+1)+(Surface_Engine!G251*12)*INDEX(Surface_Engine!$F$12:$F$72,$A1575+1)-(Surface_Engine!G251*12),1000*12*INDEX(Surface_Engine!$C$12:$C$72,$A1575+1)/(1+Assumptions!$B$10)^5+INDEX(Surface_Engine!$D$12:$D$72,$A1575+1)))*INDEX(Surface_Engine!$B$12:$B$72,$A1575+1)+G1576</f>
        <v>0</v>
      </c>
      <c r="H1575" s="48" t="n">
        <f aca="false">D1575*(IF($A1575&lt;$Q$1518,INDEX(Surface_Engine!$D$12:$D$72,$A1575+1)+(Surface_Engine!G251*12)*INDEX(Surface_Engine!$F$12:$F$72,$A1575+1)-(Surface_Engine!G251*12),1000*12*INDEX(Surface_Engine!$C$12:$C$72,$A1575+1)/(1+Assumptions!$B$10)^5+INDEX(Surface_Engine!$D$12:$D$72,$A1575+1)))*INDEX(Surface_Engine!$B$12:$B$72,$A1575+1)+H1576</f>
        <v>0</v>
      </c>
      <c r="I1575" s="48" t="n">
        <f aca="false">E1575*(IF($A1575&lt;$Q$1518,INDEX(Surface_Engine!$D$12:$D$72,$A1575+1)+(Surface_Engine!G251*12)*INDEX(Surface_Engine!$F$12:$F$72,$A1575+1)-(Surface_Engine!G251*12),1000*12*INDEX(Surface_Engine!$C$12:$C$72,$A1575+1)/(1+Assumptions!$B$10)^5+INDEX(Surface_Engine!$D$12:$D$72,$A1575+1)))*INDEX(Surface_Engine!$B$12:$B$72,$A1575+1)+I1576</f>
        <v>0</v>
      </c>
      <c r="J1575" s="48" t="n">
        <f aca="false">B1575*(IF($A1575&lt;$Q$1518,INDEX(Surface_Engine!$D$12:$D$72,$A1575+1)*(1+Assumptions!$B$24)+(Surface_Engine!G251*12)*INDEX(Surface_Engine!$F$12:$F$72,$A1575+1)-(Surface_Engine!G251*12),1000*12*INDEX(Surface_Engine!$C$12:$C$72,$A1575+1)/(1+Assumptions!$B$10)^5+INDEX(Surface_Engine!$D$12:$D$72,$A1575+1)*(1+Assumptions!$B$24)))*INDEX(Surface_Engine!$B$12:$B$72,$A1575+1)+J1576</f>
        <v>0</v>
      </c>
      <c r="K1575" s="12" t="n">
        <f aca="false">SQRT((IF(C1575&lt;=0,0,MAX(0,(B1575/C1575)*G1575/INDEX(Surface_Engine!$B$12:$B$72,$A1575+1)-F1575/INDEX(Surface_Engine!$B$12:$B$72,$A1575+1))))^2+(MAX(IF(D1575&lt;=0,0,MAX(0,(B1575/D1575)*H1575/INDEX(Surface_Engine!$B$12:$B$72,$A1575+1)-F1575/INDEX(Surface_Engine!$B$12:$B$72,$A1575+1))),IF(E1575&lt;=0,0,MAX(0,(B1575/E1575)*I1575/INDEX(Surface_Engine!$B$12:$B$72,$A1575+1)-F1575/INDEX(Surface_Engine!$B$12:$B$72,$A1575+1))),IF($A1575&lt;$Q$1518,MAX(0,-Assumptions!$B$22*(F1575/INDEX(Surface_Engine!$B$12:$B$72,$A1575+1))),0)))^2+(MAX(0,J1575/INDEX(Surface_Engine!$B$12:$B$72,$A1575+1)-(F1575/INDEX(Surface_Engine!$B$12:$B$72,$A1575+1))))^2+2*Assumptions!$B$26*(IF(C1575&lt;=0,0,MAX(0,(B1575/C1575)*G1575/INDEX(Surface_Engine!$B$12:$B$72,$A1575+1)-F1575/INDEX(Surface_Engine!$B$12:$B$72,$A1575+1))))*(MAX(IF(D1575&lt;=0,0,MAX(0,(B1575/D1575)*H1575/INDEX(Surface_Engine!$B$12:$B$72,$A1575+1)-F1575/INDEX(Surface_Engine!$B$12:$B$72,$A1575+1))),IF(E1575&lt;=0,0,MAX(0,(B1575/E1575)*I1575/INDEX(Surface_Engine!$B$12:$B$72,$A1575+1)-F1575/INDEX(Surface_Engine!$B$12:$B$72,$A1575+1))),IF($A1575&lt;$Q$1518,MAX(0,-Assumptions!$B$22*(F1575/INDEX(Surface_Engine!$B$12:$B$72,$A1575+1))),0)))+2*Assumptions!$B$27*(IF(C1575&lt;=0,0,MAX(0,(B1575/C1575)*G1575/INDEX(Surface_Engine!$B$12:$B$72,$A1575+1)-F1575/INDEX(Surface_Engine!$B$12:$B$72,$A1575+1))))*(MAX(0,J1575/INDEX(Surface_Engine!$B$12:$B$72,$A1575+1)-(F1575/INDEX(Surface_Engine!$B$12:$B$72,$A1575+1))))+2*Assumptions!$B$28*(MAX(IF(D1575&lt;=0,0,MAX(0,(B1575/D1575)*H1575/INDEX(Surface_Engine!$B$12:$B$72,$A1575+1)-F1575/INDEX(Surface_Engine!$B$12:$B$72,$A1575+1))),IF(E1575&lt;=0,0,MAX(0,(B1575/E1575)*I1575/INDEX(Surface_Engine!$B$12:$B$72,$A1575+1)-F1575/INDEX(Surface_Engine!$B$12:$B$72,$A1575+1))),IF($A1575&lt;$Q$1518,MAX(0,-Assumptions!$B$22*(F1575/INDEX(Surface_Engine!$B$12:$B$72,$A1575+1))),0)))*(MAX(0,J1575/INDEX(Surface_Engine!$B$12:$B$72,$A1575+1)-(F1575/INDEX(Surface_Engine!$B$12:$B$72,$A1575+1)))))</f>
        <v>0</v>
      </c>
      <c r="L1575" s="48" t="n">
        <f aca="false">K1575*INDEX(Surface_Engine!$B$12:$B$72,$A1575+1)+L1576</f>
        <v>0</v>
      </c>
      <c r="M1575" s="48" t="n">
        <f aca="false">M1574+B1574*(IF($A1574&lt;$Q$1518,(Surface_Engine!G251*12)-(Surface_Engine!G251*12)*INDEX(Surface_Engine!$F$12:$F$72,$A1574+1)-INDEX(Surface_Engine!$D$12:$D$72,$A1574+1),-(1000*12*INDEX(Surface_Engine!$C$12:$C$72,$A1574+1)/(1+Assumptions!$B$10)^5+INDEX(Surface_Engine!$D$12:$D$72,$A1574+1))))*INDEX(Surface_Engine!$B$12:$B$72,$A1574+1)</f>
        <v>3957.39204230049</v>
      </c>
      <c r="N1575" s="12" t="n">
        <f aca="false">IF(B1575&lt;=0,0,MAX(0,(K1575+Assumptions!$B$29*L1575/INDEX(Surface_Engine!$B$12:$B$72,$A1575+1)-(M1575/INDEX(Surface_Engine!$B$12:$B$72,$A1575+1)-(F1575/INDEX(Surface_Engine!$B$12:$B$72,$A1575+1))))/B1575))</f>
        <v>0</v>
      </c>
    </row>
    <row r="1576" customFormat="false" ht="15" hidden="false" customHeight="true" outlineLevel="0" collapsed="false">
      <c r="A1576" s="1" t="n">
        <v>56</v>
      </c>
      <c r="B1576" s="32" t="n">
        <f aca="false">INDEX(Surface_Engine!$V$12:$V$72,$A1576+1)*IF($A1576&lt;$Q$1518,INDEX(Surface_Engine!$E$12:$E$72,$A1576+1),INDEX(Surface_Engine!$E$12:$E$72,$Q$1518+1))</f>
        <v>0</v>
      </c>
      <c r="C1576" s="32" t="n">
        <f aca="false">INDEX(Panel_Reserving!$H$8:$H$68,$A1576+1)*IF($A1576&lt;$Q$1518,INDEX(Surface_Engine!$E$12:$E$72,$A1576+1),INDEX(Surface_Engine!$E$12:$E$72,$Q$1518+1))</f>
        <v>0</v>
      </c>
      <c r="D1576" s="32" t="n">
        <f aca="false">INDEX(Surface_Engine!$V$12:$V$72,$A1576+1)*IF($A1576&lt;$Q$1518,INDEX(Surface_Engine!$Y$12:$Y$72,$A1576+1),INDEX(Surface_Engine!$Y$12:$Y$72,$Q$1518+1))</f>
        <v>0</v>
      </c>
      <c r="E1576" s="32" t="n">
        <f aca="false">INDEX(Surface_Engine!$V$12:$V$72,$A1576+1)*IF($A1576&lt;$Q$1518,INDEX(Surface_Engine!$Z$12:$Z$72,$A1576+1),INDEX(Surface_Engine!$Z$12:$Z$72,$Q$1518+1))</f>
        <v>0</v>
      </c>
      <c r="F1576" s="48" t="n">
        <f aca="false">B1576*(IF($A1576&lt;$Q$1518,INDEX(Surface_Engine!$D$12:$D$72,$A1576+1)+(Surface_Engine!G251*12)*INDEX(Surface_Engine!$F$12:$F$72,$A1576+1)-(Surface_Engine!G251*12),1000*12*INDEX(Surface_Engine!$C$12:$C$72,$A1576+1)/(1+Assumptions!$B$10)^5+INDEX(Surface_Engine!$D$12:$D$72,$A1576+1)))*INDEX(Surface_Engine!$B$12:$B$72,$A1576+1)+F1577</f>
        <v>0</v>
      </c>
      <c r="G1576" s="48" t="n">
        <f aca="false">C1576*(IF($A1576&lt;$Q$1518,INDEX(Surface_Engine!$D$12:$D$72,$A1576+1)+(Surface_Engine!G251*12)*INDEX(Surface_Engine!$F$12:$F$72,$A1576+1)-(Surface_Engine!G251*12),1000*12*INDEX(Surface_Engine!$C$12:$C$72,$A1576+1)/(1+Assumptions!$B$10)^5+INDEX(Surface_Engine!$D$12:$D$72,$A1576+1)))*INDEX(Surface_Engine!$B$12:$B$72,$A1576+1)+G1577</f>
        <v>0</v>
      </c>
      <c r="H1576" s="48" t="n">
        <f aca="false">D1576*(IF($A1576&lt;$Q$1518,INDEX(Surface_Engine!$D$12:$D$72,$A1576+1)+(Surface_Engine!G251*12)*INDEX(Surface_Engine!$F$12:$F$72,$A1576+1)-(Surface_Engine!G251*12),1000*12*INDEX(Surface_Engine!$C$12:$C$72,$A1576+1)/(1+Assumptions!$B$10)^5+INDEX(Surface_Engine!$D$12:$D$72,$A1576+1)))*INDEX(Surface_Engine!$B$12:$B$72,$A1576+1)+H1577</f>
        <v>0</v>
      </c>
      <c r="I1576" s="48" t="n">
        <f aca="false">E1576*(IF($A1576&lt;$Q$1518,INDEX(Surface_Engine!$D$12:$D$72,$A1576+1)+(Surface_Engine!G251*12)*INDEX(Surface_Engine!$F$12:$F$72,$A1576+1)-(Surface_Engine!G251*12),1000*12*INDEX(Surface_Engine!$C$12:$C$72,$A1576+1)/(1+Assumptions!$B$10)^5+INDEX(Surface_Engine!$D$12:$D$72,$A1576+1)))*INDEX(Surface_Engine!$B$12:$B$72,$A1576+1)+I1577</f>
        <v>0</v>
      </c>
      <c r="J1576" s="48" t="n">
        <f aca="false">B1576*(IF($A1576&lt;$Q$1518,INDEX(Surface_Engine!$D$12:$D$72,$A1576+1)*(1+Assumptions!$B$24)+(Surface_Engine!G251*12)*INDEX(Surface_Engine!$F$12:$F$72,$A1576+1)-(Surface_Engine!G251*12),1000*12*INDEX(Surface_Engine!$C$12:$C$72,$A1576+1)/(1+Assumptions!$B$10)^5+INDEX(Surface_Engine!$D$12:$D$72,$A1576+1)*(1+Assumptions!$B$24)))*INDEX(Surface_Engine!$B$12:$B$72,$A1576+1)+J1577</f>
        <v>0</v>
      </c>
      <c r="K1576" s="12" t="n">
        <f aca="false">SQRT((IF(C1576&lt;=0,0,MAX(0,(B1576/C1576)*G1576/INDEX(Surface_Engine!$B$12:$B$72,$A1576+1)-F1576/INDEX(Surface_Engine!$B$12:$B$72,$A1576+1))))^2+(MAX(IF(D1576&lt;=0,0,MAX(0,(B1576/D1576)*H1576/INDEX(Surface_Engine!$B$12:$B$72,$A1576+1)-F1576/INDEX(Surface_Engine!$B$12:$B$72,$A1576+1))),IF(E1576&lt;=0,0,MAX(0,(B1576/E1576)*I1576/INDEX(Surface_Engine!$B$12:$B$72,$A1576+1)-F1576/INDEX(Surface_Engine!$B$12:$B$72,$A1576+1))),IF($A1576&lt;$Q$1518,MAX(0,-Assumptions!$B$22*(F1576/INDEX(Surface_Engine!$B$12:$B$72,$A1576+1))),0)))^2+(MAX(0,J1576/INDEX(Surface_Engine!$B$12:$B$72,$A1576+1)-(F1576/INDEX(Surface_Engine!$B$12:$B$72,$A1576+1))))^2+2*Assumptions!$B$26*(IF(C1576&lt;=0,0,MAX(0,(B1576/C1576)*G1576/INDEX(Surface_Engine!$B$12:$B$72,$A1576+1)-F1576/INDEX(Surface_Engine!$B$12:$B$72,$A1576+1))))*(MAX(IF(D1576&lt;=0,0,MAX(0,(B1576/D1576)*H1576/INDEX(Surface_Engine!$B$12:$B$72,$A1576+1)-F1576/INDEX(Surface_Engine!$B$12:$B$72,$A1576+1))),IF(E1576&lt;=0,0,MAX(0,(B1576/E1576)*I1576/INDEX(Surface_Engine!$B$12:$B$72,$A1576+1)-F1576/INDEX(Surface_Engine!$B$12:$B$72,$A1576+1))),IF($A1576&lt;$Q$1518,MAX(0,-Assumptions!$B$22*(F1576/INDEX(Surface_Engine!$B$12:$B$72,$A1576+1))),0)))+2*Assumptions!$B$27*(IF(C1576&lt;=0,0,MAX(0,(B1576/C1576)*G1576/INDEX(Surface_Engine!$B$12:$B$72,$A1576+1)-F1576/INDEX(Surface_Engine!$B$12:$B$72,$A1576+1))))*(MAX(0,J1576/INDEX(Surface_Engine!$B$12:$B$72,$A1576+1)-(F1576/INDEX(Surface_Engine!$B$12:$B$72,$A1576+1))))+2*Assumptions!$B$28*(MAX(IF(D1576&lt;=0,0,MAX(0,(B1576/D1576)*H1576/INDEX(Surface_Engine!$B$12:$B$72,$A1576+1)-F1576/INDEX(Surface_Engine!$B$12:$B$72,$A1576+1))),IF(E1576&lt;=0,0,MAX(0,(B1576/E1576)*I1576/INDEX(Surface_Engine!$B$12:$B$72,$A1576+1)-F1576/INDEX(Surface_Engine!$B$12:$B$72,$A1576+1))),IF($A1576&lt;$Q$1518,MAX(0,-Assumptions!$B$22*(F1576/INDEX(Surface_Engine!$B$12:$B$72,$A1576+1))),0)))*(MAX(0,J1576/INDEX(Surface_Engine!$B$12:$B$72,$A1576+1)-(F1576/INDEX(Surface_Engine!$B$12:$B$72,$A1576+1)))))</f>
        <v>0</v>
      </c>
      <c r="L1576" s="48" t="n">
        <f aca="false">K1576*INDEX(Surface_Engine!$B$12:$B$72,$A1576+1)+L1577</f>
        <v>0</v>
      </c>
      <c r="M1576" s="48" t="n">
        <f aca="false">M1575+B1575*(IF($A1575&lt;$Q$1518,(Surface_Engine!G251*12)-(Surface_Engine!G251*12)*INDEX(Surface_Engine!$F$12:$F$72,$A1575+1)-INDEX(Surface_Engine!$D$12:$D$72,$A1575+1),-(1000*12*INDEX(Surface_Engine!$C$12:$C$72,$A1575+1)/(1+Assumptions!$B$10)^5+INDEX(Surface_Engine!$D$12:$D$72,$A1575+1))))*INDEX(Surface_Engine!$B$12:$B$72,$A1575+1)</f>
        <v>3957.39204230049</v>
      </c>
      <c r="N1576" s="12" t="n">
        <f aca="false">IF(B1576&lt;=0,0,MAX(0,(K1576+Assumptions!$B$29*L1576/INDEX(Surface_Engine!$B$12:$B$72,$A1576+1)-(M1576/INDEX(Surface_Engine!$B$12:$B$72,$A1576+1)-(F1576/INDEX(Surface_Engine!$B$12:$B$72,$A1576+1))))/B1576))</f>
        <v>0</v>
      </c>
    </row>
    <row r="1577" customFormat="false" ht="15" hidden="false" customHeight="true" outlineLevel="0" collapsed="false">
      <c r="A1577" s="1" t="n">
        <v>57</v>
      </c>
      <c r="B1577" s="32" t="n">
        <f aca="false">INDEX(Surface_Engine!$V$12:$V$72,$A1577+1)*IF($A1577&lt;$Q$1518,INDEX(Surface_Engine!$E$12:$E$72,$A1577+1),INDEX(Surface_Engine!$E$12:$E$72,$Q$1518+1))</f>
        <v>0</v>
      </c>
      <c r="C1577" s="32" t="n">
        <f aca="false">INDEX(Panel_Reserving!$H$8:$H$68,$A1577+1)*IF($A1577&lt;$Q$1518,INDEX(Surface_Engine!$E$12:$E$72,$A1577+1),INDEX(Surface_Engine!$E$12:$E$72,$Q$1518+1))</f>
        <v>0</v>
      </c>
      <c r="D1577" s="32" t="n">
        <f aca="false">INDEX(Surface_Engine!$V$12:$V$72,$A1577+1)*IF($A1577&lt;$Q$1518,INDEX(Surface_Engine!$Y$12:$Y$72,$A1577+1),INDEX(Surface_Engine!$Y$12:$Y$72,$Q$1518+1))</f>
        <v>0</v>
      </c>
      <c r="E1577" s="32" t="n">
        <f aca="false">INDEX(Surface_Engine!$V$12:$V$72,$A1577+1)*IF($A1577&lt;$Q$1518,INDEX(Surface_Engine!$Z$12:$Z$72,$A1577+1),INDEX(Surface_Engine!$Z$12:$Z$72,$Q$1518+1))</f>
        <v>0</v>
      </c>
      <c r="F1577" s="48" t="n">
        <f aca="false">B1577*(IF($A1577&lt;$Q$1518,INDEX(Surface_Engine!$D$12:$D$72,$A1577+1)+(Surface_Engine!G251*12)*INDEX(Surface_Engine!$F$12:$F$72,$A1577+1)-(Surface_Engine!G251*12),1000*12*INDEX(Surface_Engine!$C$12:$C$72,$A1577+1)/(1+Assumptions!$B$10)^5+INDEX(Surface_Engine!$D$12:$D$72,$A1577+1)))*INDEX(Surface_Engine!$B$12:$B$72,$A1577+1)+F1578</f>
        <v>0</v>
      </c>
      <c r="G1577" s="48" t="n">
        <f aca="false">C1577*(IF($A1577&lt;$Q$1518,INDEX(Surface_Engine!$D$12:$D$72,$A1577+1)+(Surface_Engine!G251*12)*INDEX(Surface_Engine!$F$12:$F$72,$A1577+1)-(Surface_Engine!G251*12),1000*12*INDEX(Surface_Engine!$C$12:$C$72,$A1577+1)/(1+Assumptions!$B$10)^5+INDEX(Surface_Engine!$D$12:$D$72,$A1577+1)))*INDEX(Surface_Engine!$B$12:$B$72,$A1577+1)+G1578</f>
        <v>0</v>
      </c>
      <c r="H1577" s="48" t="n">
        <f aca="false">D1577*(IF($A1577&lt;$Q$1518,INDEX(Surface_Engine!$D$12:$D$72,$A1577+1)+(Surface_Engine!G251*12)*INDEX(Surface_Engine!$F$12:$F$72,$A1577+1)-(Surface_Engine!G251*12),1000*12*INDEX(Surface_Engine!$C$12:$C$72,$A1577+1)/(1+Assumptions!$B$10)^5+INDEX(Surface_Engine!$D$12:$D$72,$A1577+1)))*INDEX(Surface_Engine!$B$12:$B$72,$A1577+1)+H1578</f>
        <v>0</v>
      </c>
      <c r="I1577" s="48" t="n">
        <f aca="false">E1577*(IF($A1577&lt;$Q$1518,INDEX(Surface_Engine!$D$12:$D$72,$A1577+1)+(Surface_Engine!G251*12)*INDEX(Surface_Engine!$F$12:$F$72,$A1577+1)-(Surface_Engine!G251*12),1000*12*INDEX(Surface_Engine!$C$12:$C$72,$A1577+1)/(1+Assumptions!$B$10)^5+INDEX(Surface_Engine!$D$12:$D$72,$A1577+1)))*INDEX(Surface_Engine!$B$12:$B$72,$A1577+1)+I1578</f>
        <v>0</v>
      </c>
      <c r="J1577" s="48" t="n">
        <f aca="false">B1577*(IF($A1577&lt;$Q$1518,INDEX(Surface_Engine!$D$12:$D$72,$A1577+1)*(1+Assumptions!$B$24)+(Surface_Engine!G251*12)*INDEX(Surface_Engine!$F$12:$F$72,$A1577+1)-(Surface_Engine!G251*12),1000*12*INDEX(Surface_Engine!$C$12:$C$72,$A1577+1)/(1+Assumptions!$B$10)^5+INDEX(Surface_Engine!$D$12:$D$72,$A1577+1)*(1+Assumptions!$B$24)))*INDEX(Surface_Engine!$B$12:$B$72,$A1577+1)+J1578</f>
        <v>0</v>
      </c>
      <c r="K1577" s="12" t="n">
        <f aca="false">SQRT((IF(C1577&lt;=0,0,MAX(0,(B1577/C1577)*G1577/INDEX(Surface_Engine!$B$12:$B$72,$A1577+1)-F1577/INDEX(Surface_Engine!$B$12:$B$72,$A1577+1))))^2+(MAX(IF(D1577&lt;=0,0,MAX(0,(B1577/D1577)*H1577/INDEX(Surface_Engine!$B$12:$B$72,$A1577+1)-F1577/INDEX(Surface_Engine!$B$12:$B$72,$A1577+1))),IF(E1577&lt;=0,0,MAX(0,(B1577/E1577)*I1577/INDEX(Surface_Engine!$B$12:$B$72,$A1577+1)-F1577/INDEX(Surface_Engine!$B$12:$B$72,$A1577+1))),IF($A1577&lt;$Q$1518,MAX(0,-Assumptions!$B$22*(F1577/INDEX(Surface_Engine!$B$12:$B$72,$A1577+1))),0)))^2+(MAX(0,J1577/INDEX(Surface_Engine!$B$12:$B$72,$A1577+1)-(F1577/INDEX(Surface_Engine!$B$12:$B$72,$A1577+1))))^2+2*Assumptions!$B$26*(IF(C1577&lt;=0,0,MAX(0,(B1577/C1577)*G1577/INDEX(Surface_Engine!$B$12:$B$72,$A1577+1)-F1577/INDEX(Surface_Engine!$B$12:$B$72,$A1577+1))))*(MAX(IF(D1577&lt;=0,0,MAX(0,(B1577/D1577)*H1577/INDEX(Surface_Engine!$B$12:$B$72,$A1577+1)-F1577/INDEX(Surface_Engine!$B$12:$B$72,$A1577+1))),IF(E1577&lt;=0,0,MAX(0,(B1577/E1577)*I1577/INDEX(Surface_Engine!$B$12:$B$72,$A1577+1)-F1577/INDEX(Surface_Engine!$B$12:$B$72,$A1577+1))),IF($A1577&lt;$Q$1518,MAX(0,-Assumptions!$B$22*(F1577/INDEX(Surface_Engine!$B$12:$B$72,$A1577+1))),0)))+2*Assumptions!$B$27*(IF(C1577&lt;=0,0,MAX(0,(B1577/C1577)*G1577/INDEX(Surface_Engine!$B$12:$B$72,$A1577+1)-F1577/INDEX(Surface_Engine!$B$12:$B$72,$A1577+1))))*(MAX(0,J1577/INDEX(Surface_Engine!$B$12:$B$72,$A1577+1)-(F1577/INDEX(Surface_Engine!$B$12:$B$72,$A1577+1))))+2*Assumptions!$B$28*(MAX(IF(D1577&lt;=0,0,MAX(0,(B1577/D1577)*H1577/INDEX(Surface_Engine!$B$12:$B$72,$A1577+1)-F1577/INDEX(Surface_Engine!$B$12:$B$72,$A1577+1))),IF(E1577&lt;=0,0,MAX(0,(B1577/E1577)*I1577/INDEX(Surface_Engine!$B$12:$B$72,$A1577+1)-F1577/INDEX(Surface_Engine!$B$12:$B$72,$A1577+1))),IF($A1577&lt;$Q$1518,MAX(0,-Assumptions!$B$22*(F1577/INDEX(Surface_Engine!$B$12:$B$72,$A1577+1))),0)))*(MAX(0,J1577/INDEX(Surface_Engine!$B$12:$B$72,$A1577+1)-(F1577/INDEX(Surface_Engine!$B$12:$B$72,$A1577+1)))))</f>
        <v>0</v>
      </c>
      <c r="L1577" s="48" t="n">
        <f aca="false">K1577*INDEX(Surface_Engine!$B$12:$B$72,$A1577+1)+L1578</f>
        <v>0</v>
      </c>
      <c r="M1577" s="48" t="n">
        <f aca="false">M1576+B1576*(IF($A1576&lt;$Q$1518,(Surface_Engine!G251*12)-(Surface_Engine!G251*12)*INDEX(Surface_Engine!$F$12:$F$72,$A1576+1)-INDEX(Surface_Engine!$D$12:$D$72,$A1576+1),-(1000*12*INDEX(Surface_Engine!$C$12:$C$72,$A1576+1)/(1+Assumptions!$B$10)^5+INDEX(Surface_Engine!$D$12:$D$72,$A1576+1))))*INDEX(Surface_Engine!$B$12:$B$72,$A1576+1)</f>
        <v>3957.39204230049</v>
      </c>
      <c r="N1577" s="12" t="n">
        <f aca="false">IF(B1577&lt;=0,0,MAX(0,(K1577+Assumptions!$B$29*L1577/INDEX(Surface_Engine!$B$12:$B$72,$A1577+1)-(M1577/INDEX(Surface_Engine!$B$12:$B$72,$A1577+1)-(F1577/INDEX(Surface_Engine!$B$12:$B$72,$A1577+1))))/B1577))</f>
        <v>0</v>
      </c>
    </row>
    <row r="1578" customFormat="false" ht="15" hidden="false" customHeight="true" outlineLevel="0" collapsed="false">
      <c r="A1578" s="1" t="n">
        <v>58</v>
      </c>
      <c r="B1578" s="32" t="n">
        <f aca="false">INDEX(Surface_Engine!$V$12:$V$72,$A1578+1)*IF($A1578&lt;$Q$1518,INDEX(Surface_Engine!$E$12:$E$72,$A1578+1),INDEX(Surface_Engine!$E$12:$E$72,$Q$1518+1))</f>
        <v>0</v>
      </c>
      <c r="C1578" s="32" t="n">
        <f aca="false">INDEX(Panel_Reserving!$H$8:$H$68,$A1578+1)*IF($A1578&lt;$Q$1518,INDEX(Surface_Engine!$E$12:$E$72,$A1578+1),INDEX(Surface_Engine!$E$12:$E$72,$Q$1518+1))</f>
        <v>0</v>
      </c>
      <c r="D1578" s="32" t="n">
        <f aca="false">INDEX(Surface_Engine!$V$12:$V$72,$A1578+1)*IF($A1578&lt;$Q$1518,INDEX(Surface_Engine!$Y$12:$Y$72,$A1578+1),INDEX(Surface_Engine!$Y$12:$Y$72,$Q$1518+1))</f>
        <v>0</v>
      </c>
      <c r="E1578" s="32" t="n">
        <f aca="false">INDEX(Surface_Engine!$V$12:$V$72,$A1578+1)*IF($A1578&lt;$Q$1518,INDEX(Surface_Engine!$Z$12:$Z$72,$A1578+1),INDEX(Surface_Engine!$Z$12:$Z$72,$Q$1518+1))</f>
        <v>0</v>
      </c>
      <c r="F1578" s="48" t="n">
        <f aca="false">B1578*(IF($A1578&lt;$Q$1518,INDEX(Surface_Engine!$D$12:$D$72,$A1578+1)+(Surface_Engine!G251*12)*INDEX(Surface_Engine!$F$12:$F$72,$A1578+1)-(Surface_Engine!G251*12),1000*12*INDEX(Surface_Engine!$C$12:$C$72,$A1578+1)/(1+Assumptions!$B$10)^5+INDEX(Surface_Engine!$D$12:$D$72,$A1578+1)))*INDEX(Surface_Engine!$B$12:$B$72,$A1578+1)+F1579</f>
        <v>0</v>
      </c>
      <c r="G1578" s="48" t="n">
        <f aca="false">C1578*(IF($A1578&lt;$Q$1518,INDEX(Surface_Engine!$D$12:$D$72,$A1578+1)+(Surface_Engine!G251*12)*INDEX(Surface_Engine!$F$12:$F$72,$A1578+1)-(Surface_Engine!G251*12),1000*12*INDEX(Surface_Engine!$C$12:$C$72,$A1578+1)/(1+Assumptions!$B$10)^5+INDEX(Surface_Engine!$D$12:$D$72,$A1578+1)))*INDEX(Surface_Engine!$B$12:$B$72,$A1578+1)+G1579</f>
        <v>0</v>
      </c>
      <c r="H1578" s="48" t="n">
        <f aca="false">D1578*(IF($A1578&lt;$Q$1518,INDEX(Surface_Engine!$D$12:$D$72,$A1578+1)+(Surface_Engine!G251*12)*INDEX(Surface_Engine!$F$12:$F$72,$A1578+1)-(Surface_Engine!G251*12),1000*12*INDEX(Surface_Engine!$C$12:$C$72,$A1578+1)/(1+Assumptions!$B$10)^5+INDEX(Surface_Engine!$D$12:$D$72,$A1578+1)))*INDEX(Surface_Engine!$B$12:$B$72,$A1578+1)+H1579</f>
        <v>0</v>
      </c>
      <c r="I1578" s="48" t="n">
        <f aca="false">E1578*(IF($A1578&lt;$Q$1518,INDEX(Surface_Engine!$D$12:$D$72,$A1578+1)+(Surface_Engine!G251*12)*INDEX(Surface_Engine!$F$12:$F$72,$A1578+1)-(Surface_Engine!G251*12),1000*12*INDEX(Surface_Engine!$C$12:$C$72,$A1578+1)/(1+Assumptions!$B$10)^5+INDEX(Surface_Engine!$D$12:$D$72,$A1578+1)))*INDEX(Surface_Engine!$B$12:$B$72,$A1578+1)+I1579</f>
        <v>0</v>
      </c>
      <c r="J1578" s="48" t="n">
        <f aca="false">B1578*(IF($A1578&lt;$Q$1518,INDEX(Surface_Engine!$D$12:$D$72,$A1578+1)*(1+Assumptions!$B$24)+(Surface_Engine!G251*12)*INDEX(Surface_Engine!$F$12:$F$72,$A1578+1)-(Surface_Engine!G251*12),1000*12*INDEX(Surface_Engine!$C$12:$C$72,$A1578+1)/(1+Assumptions!$B$10)^5+INDEX(Surface_Engine!$D$12:$D$72,$A1578+1)*(1+Assumptions!$B$24)))*INDEX(Surface_Engine!$B$12:$B$72,$A1578+1)+J1579</f>
        <v>0</v>
      </c>
      <c r="K1578" s="12" t="n">
        <f aca="false">SQRT((IF(C1578&lt;=0,0,MAX(0,(B1578/C1578)*G1578/INDEX(Surface_Engine!$B$12:$B$72,$A1578+1)-F1578/INDEX(Surface_Engine!$B$12:$B$72,$A1578+1))))^2+(MAX(IF(D1578&lt;=0,0,MAX(0,(B1578/D1578)*H1578/INDEX(Surface_Engine!$B$12:$B$72,$A1578+1)-F1578/INDEX(Surface_Engine!$B$12:$B$72,$A1578+1))),IF(E1578&lt;=0,0,MAX(0,(B1578/E1578)*I1578/INDEX(Surface_Engine!$B$12:$B$72,$A1578+1)-F1578/INDEX(Surface_Engine!$B$12:$B$72,$A1578+1))),IF($A1578&lt;$Q$1518,MAX(0,-Assumptions!$B$22*(F1578/INDEX(Surface_Engine!$B$12:$B$72,$A1578+1))),0)))^2+(MAX(0,J1578/INDEX(Surface_Engine!$B$12:$B$72,$A1578+1)-(F1578/INDEX(Surface_Engine!$B$12:$B$72,$A1578+1))))^2+2*Assumptions!$B$26*(IF(C1578&lt;=0,0,MAX(0,(B1578/C1578)*G1578/INDEX(Surface_Engine!$B$12:$B$72,$A1578+1)-F1578/INDEX(Surface_Engine!$B$12:$B$72,$A1578+1))))*(MAX(IF(D1578&lt;=0,0,MAX(0,(B1578/D1578)*H1578/INDEX(Surface_Engine!$B$12:$B$72,$A1578+1)-F1578/INDEX(Surface_Engine!$B$12:$B$72,$A1578+1))),IF(E1578&lt;=0,0,MAX(0,(B1578/E1578)*I1578/INDEX(Surface_Engine!$B$12:$B$72,$A1578+1)-F1578/INDEX(Surface_Engine!$B$12:$B$72,$A1578+1))),IF($A1578&lt;$Q$1518,MAX(0,-Assumptions!$B$22*(F1578/INDEX(Surface_Engine!$B$12:$B$72,$A1578+1))),0)))+2*Assumptions!$B$27*(IF(C1578&lt;=0,0,MAX(0,(B1578/C1578)*G1578/INDEX(Surface_Engine!$B$12:$B$72,$A1578+1)-F1578/INDEX(Surface_Engine!$B$12:$B$72,$A1578+1))))*(MAX(0,J1578/INDEX(Surface_Engine!$B$12:$B$72,$A1578+1)-(F1578/INDEX(Surface_Engine!$B$12:$B$72,$A1578+1))))+2*Assumptions!$B$28*(MAX(IF(D1578&lt;=0,0,MAX(0,(B1578/D1578)*H1578/INDEX(Surface_Engine!$B$12:$B$72,$A1578+1)-F1578/INDEX(Surface_Engine!$B$12:$B$72,$A1578+1))),IF(E1578&lt;=0,0,MAX(0,(B1578/E1578)*I1578/INDEX(Surface_Engine!$B$12:$B$72,$A1578+1)-F1578/INDEX(Surface_Engine!$B$12:$B$72,$A1578+1))),IF($A1578&lt;$Q$1518,MAX(0,-Assumptions!$B$22*(F1578/INDEX(Surface_Engine!$B$12:$B$72,$A1578+1))),0)))*(MAX(0,J1578/INDEX(Surface_Engine!$B$12:$B$72,$A1578+1)-(F1578/INDEX(Surface_Engine!$B$12:$B$72,$A1578+1)))))</f>
        <v>0</v>
      </c>
      <c r="L1578" s="48" t="n">
        <f aca="false">K1578*INDEX(Surface_Engine!$B$12:$B$72,$A1578+1)+L1579</f>
        <v>0</v>
      </c>
      <c r="M1578" s="48" t="n">
        <f aca="false">M1577+B1577*(IF($A1577&lt;$Q$1518,(Surface_Engine!G251*12)-(Surface_Engine!G251*12)*INDEX(Surface_Engine!$F$12:$F$72,$A1577+1)-INDEX(Surface_Engine!$D$12:$D$72,$A1577+1),-(1000*12*INDEX(Surface_Engine!$C$12:$C$72,$A1577+1)/(1+Assumptions!$B$10)^5+INDEX(Surface_Engine!$D$12:$D$72,$A1577+1))))*INDEX(Surface_Engine!$B$12:$B$72,$A1577+1)</f>
        <v>3957.39204230049</v>
      </c>
      <c r="N1578" s="12" t="n">
        <f aca="false">IF(B1578&lt;=0,0,MAX(0,(K1578+Assumptions!$B$29*L1578/INDEX(Surface_Engine!$B$12:$B$72,$A1578+1)-(M1578/INDEX(Surface_Engine!$B$12:$B$72,$A1578+1)-(F1578/INDEX(Surface_Engine!$B$12:$B$72,$A1578+1))))/B1578))</f>
        <v>0</v>
      </c>
    </row>
    <row r="1579" customFormat="false" ht="15" hidden="false" customHeight="true" outlineLevel="0" collapsed="false">
      <c r="A1579" s="1" t="n">
        <v>59</v>
      </c>
      <c r="B1579" s="32" t="n">
        <f aca="false">INDEX(Surface_Engine!$V$12:$V$72,$A1579+1)*IF($A1579&lt;$Q$1518,INDEX(Surface_Engine!$E$12:$E$72,$A1579+1),INDEX(Surface_Engine!$E$12:$E$72,$Q$1518+1))</f>
        <v>0</v>
      </c>
      <c r="C1579" s="32" t="n">
        <f aca="false">INDEX(Panel_Reserving!$H$8:$H$68,$A1579+1)*IF($A1579&lt;$Q$1518,INDEX(Surface_Engine!$E$12:$E$72,$A1579+1),INDEX(Surface_Engine!$E$12:$E$72,$Q$1518+1))</f>
        <v>0</v>
      </c>
      <c r="D1579" s="32" t="n">
        <f aca="false">INDEX(Surface_Engine!$V$12:$V$72,$A1579+1)*IF($A1579&lt;$Q$1518,INDEX(Surface_Engine!$Y$12:$Y$72,$A1579+1),INDEX(Surface_Engine!$Y$12:$Y$72,$Q$1518+1))</f>
        <v>0</v>
      </c>
      <c r="E1579" s="32" t="n">
        <f aca="false">INDEX(Surface_Engine!$V$12:$V$72,$A1579+1)*IF($A1579&lt;$Q$1518,INDEX(Surface_Engine!$Z$12:$Z$72,$A1579+1),INDEX(Surface_Engine!$Z$12:$Z$72,$Q$1518+1))</f>
        <v>0</v>
      </c>
      <c r="F1579" s="48" t="n">
        <f aca="false">B1579*(IF($A1579&lt;$Q$1518,INDEX(Surface_Engine!$D$12:$D$72,$A1579+1)+(Surface_Engine!G251*12)*INDEX(Surface_Engine!$F$12:$F$72,$A1579+1)-(Surface_Engine!G251*12),1000*12*INDEX(Surface_Engine!$C$12:$C$72,$A1579+1)/(1+Assumptions!$B$10)^5+INDEX(Surface_Engine!$D$12:$D$72,$A1579+1)))*INDEX(Surface_Engine!$B$12:$B$72,$A1579+1)+F1580</f>
        <v>0</v>
      </c>
      <c r="G1579" s="48" t="n">
        <f aca="false">C1579*(IF($A1579&lt;$Q$1518,INDEX(Surface_Engine!$D$12:$D$72,$A1579+1)+(Surface_Engine!G251*12)*INDEX(Surface_Engine!$F$12:$F$72,$A1579+1)-(Surface_Engine!G251*12),1000*12*INDEX(Surface_Engine!$C$12:$C$72,$A1579+1)/(1+Assumptions!$B$10)^5+INDEX(Surface_Engine!$D$12:$D$72,$A1579+1)))*INDEX(Surface_Engine!$B$12:$B$72,$A1579+1)+G1580</f>
        <v>0</v>
      </c>
      <c r="H1579" s="48" t="n">
        <f aca="false">D1579*(IF($A1579&lt;$Q$1518,INDEX(Surface_Engine!$D$12:$D$72,$A1579+1)+(Surface_Engine!G251*12)*INDEX(Surface_Engine!$F$12:$F$72,$A1579+1)-(Surface_Engine!G251*12),1000*12*INDEX(Surface_Engine!$C$12:$C$72,$A1579+1)/(1+Assumptions!$B$10)^5+INDEX(Surface_Engine!$D$12:$D$72,$A1579+1)))*INDEX(Surface_Engine!$B$12:$B$72,$A1579+1)+H1580</f>
        <v>0</v>
      </c>
      <c r="I1579" s="48" t="n">
        <f aca="false">E1579*(IF($A1579&lt;$Q$1518,INDEX(Surface_Engine!$D$12:$D$72,$A1579+1)+(Surface_Engine!G251*12)*INDEX(Surface_Engine!$F$12:$F$72,$A1579+1)-(Surface_Engine!G251*12),1000*12*INDEX(Surface_Engine!$C$12:$C$72,$A1579+1)/(1+Assumptions!$B$10)^5+INDEX(Surface_Engine!$D$12:$D$72,$A1579+1)))*INDEX(Surface_Engine!$B$12:$B$72,$A1579+1)+I1580</f>
        <v>0</v>
      </c>
      <c r="J1579" s="48" t="n">
        <f aca="false">B1579*(IF($A1579&lt;$Q$1518,INDEX(Surface_Engine!$D$12:$D$72,$A1579+1)*(1+Assumptions!$B$24)+(Surface_Engine!G251*12)*INDEX(Surface_Engine!$F$12:$F$72,$A1579+1)-(Surface_Engine!G251*12),1000*12*INDEX(Surface_Engine!$C$12:$C$72,$A1579+1)/(1+Assumptions!$B$10)^5+INDEX(Surface_Engine!$D$12:$D$72,$A1579+1)*(1+Assumptions!$B$24)))*INDEX(Surface_Engine!$B$12:$B$72,$A1579+1)+J1580</f>
        <v>0</v>
      </c>
      <c r="K1579" s="12" t="n">
        <f aca="false">SQRT((IF(C1579&lt;=0,0,MAX(0,(B1579/C1579)*G1579/INDEX(Surface_Engine!$B$12:$B$72,$A1579+1)-F1579/INDEX(Surface_Engine!$B$12:$B$72,$A1579+1))))^2+(MAX(IF(D1579&lt;=0,0,MAX(0,(B1579/D1579)*H1579/INDEX(Surface_Engine!$B$12:$B$72,$A1579+1)-F1579/INDEX(Surface_Engine!$B$12:$B$72,$A1579+1))),IF(E1579&lt;=0,0,MAX(0,(B1579/E1579)*I1579/INDEX(Surface_Engine!$B$12:$B$72,$A1579+1)-F1579/INDEX(Surface_Engine!$B$12:$B$72,$A1579+1))),IF($A1579&lt;$Q$1518,MAX(0,-Assumptions!$B$22*(F1579/INDEX(Surface_Engine!$B$12:$B$72,$A1579+1))),0)))^2+(MAX(0,J1579/INDEX(Surface_Engine!$B$12:$B$72,$A1579+1)-(F1579/INDEX(Surface_Engine!$B$12:$B$72,$A1579+1))))^2+2*Assumptions!$B$26*(IF(C1579&lt;=0,0,MAX(0,(B1579/C1579)*G1579/INDEX(Surface_Engine!$B$12:$B$72,$A1579+1)-F1579/INDEX(Surface_Engine!$B$12:$B$72,$A1579+1))))*(MAX(IF(D1579&lt;=0,0,MAX(0,(B1579/D1579)*H1579/INDEX(Surface_Engine!$B$12:$B$72,$A1579+1)-F1579/INDEX(Surface_Engine!$B$12:$B$72,$A1579+1))),IF(E1579&lt;=0,0,MAX(0,(B1579/E1579)*I1579/INDEX(Surface_Engine!$B$12:$B$72,$A1579+1)-F1579/INDEX(Surface_Engine!$B$12:$B$72,$A1579+1))),IF($A1579&lt;$Q$1518,MAX(0,-Assumptions!$B$22*(F1579/INDEX(Surface_Engine!$B$12:$B$72,$A1579+1))),0)))+2*Assumptions!$B$27*(IF(C1579&lt;=0,0,MAX(0,(B1579/C1579)*G1579/INDEX(Surface_Engine!$B$12:$B$72,$A1579+1)-F1579/INDEX(Surface_Engine!$B$12:$B$72,$A1579+1))))*(MAX(0,J1579/INDEX(Surface_Engine!$B$12:$B$72,$A1579+1)-(F1579/INDEX(Surface_Engine!$B$12:$B$72,$A1579+1))))+2*Assumptions!$B$28*(MAX(IF(D1579&lt;=0,0,MAX(0,(B1579/D1579)*H1579/INDEX(Surface_Engine!$B$12:$B$72,$A1579+1)-F1579/INDEX(Surface_Engine!$B$12:$B$72,$A1579+1))),IF(E1579&lt;=0,0,MAX(0,(B1579/E1579)*I1579/INDEX(Surface_Engine!$B$12:$B$72,$A1579+1)-F1579/INDEX(Surface_Engine!$B$12:$B$72,$A1579+1))),IF($A1579&lt;$Q$1518,MAX(0,-Assumptions!$B$22*(F1579/INDEX(Surface_Engine!$B$12:$B$72,$A1579+1))),0)))*(MAX(0,J1579/INDEX(Surface_Engine!$B$12:$B$72,$A1579+1)-(F1579/INDEX(Surface_Engine!$B$12:$B$72,$A1579+1)))))</f>
        <v>0</v>
      </c>
      <c r="L1579" s="48" t="n">
        <f aca="false">K1579*INDEX(Surface_Engine!$B$12:$B$72,$A1579+1)+L1580</f>
        <v>0</v>
      </c>
      <c r="M1579" s="48" t="n">
        <f aca="false">M1578+B1578*(IF($A1578&lt;$Q$1518,(Surface_Engine!G251*12)-(Surface_Engine!G251*12)*INDEX(Surface_Engine!$F$12:$F$72,$A1578+1)-INDEX(Surface_Engine!$D$12:$D$72,$A1578+1),-(1000*12*INDEX(Surface_Engine!$C$12:$C$72,$A1578+1)/(1+Assumptions!$B$10)^5+INDEX(Surface_Engine!$D$12:$D$72,$A1578+1))))*INDEX(Surface_Engine!$B$12:$B$72,$A1578+1)</f>
        <v>3957.39204230049</v>
      </c>
      <c r="N1579" s="12" t="n">
        <f aca="false">IF(B1579&lt;=0,0,MAX(0,(K1579+Assumptions!$B$29*L1579/INDEX(Surface_Engine!$B$12:$B$72,$A1579+1)-(M1579/INDEX(Surface_Engine!$B$12:$B$72,$A1579+1)-(F1579/INDEX(Surface_Engine!$B$12:$B$72,$A1579+1))))/B1579))</f>
        <v>0</v>
      </c>
    </row>
    <row r="1580" customFormat="false" ht="15" hidden="false" customHeight="true" outlineLevel="0" collapsed="false">
      <c r="A1580" s="1" t="n">
        <v>60</v>
      </c>
      <c r="B1580" s="32" t="n">
        <f aca="false">INDEX(Surface_Engine!$V$12:$V$72,$A1580+1)*IF($A1580&lt;$Q$1518,INDEX(Surface_Engine!$E$12:$E$72,$A1580+1),INDEX(Surface_Engine!$E$12:$E$72,$Q$1518+1))</f>
        <v>0</v>
      </c>
      <c r="C1580" s="32" t="n">
        <f aca="false">INDEX(Panel_Reserving!$H$8:$H$68,$A1580+1)*IF($A1580&lt;$Q$1518,INDEX(Surface_Engine!$E$12:$E$72,$A1580+1),INDEX(Surface_Engine!$E$12:$E$72,$Q$1518+1))</f>
        <v>0</v>
      </c>
      <c r="D1580" s="32" t="n">
        <f aca="false">INDEX(Surface_Engine!$V$12:$V$72,$A1580+1)*IF($A1580&lt;$Q$1518,INDEX(Surface_Engine!$Y$12:$Y$72,$A1580+1),INDEX(Surface_Engine!$Y$12:$Y$72,$Q$1518+1))</f>
        <v>0</v>
      </c>
      <c r="E1580" s="32" t="n">
        <f aca="false">INDEX(Surface_Engine!$V$12:$V$72,$A1580+1)*IF($A1580&lt;$Q$1518,INDEX(Surface_Engine!$Z$12:$Z$72,$A1580+1),INDEX(Surface_Engine!$Z$12:$Z$72,$Q$1518+1))</f>
        <v>0</v>
      </c>
      <c r="F1580" s="48" t="n">
        <f aca="false">B1580*(IF($A1580&lt;$Q$1518,INDEX(Surface_Engine!$D$12:$D$72,$A1580+1)+(Surface_Engine!G251*12)*INDEX(Surface_Engine!$F$12:$F$72,$A1580+1)-(Surface_Engine!G251*12),1000*12*INDEX(Surface_Engine!$C$12:$C$72,$A1580+1)/(1+Assumptions!$B$10)^5+INDEX(Surface_Engine!$D$12:$D$72,$A1580+1)))*INDEX(Surface_Engine!$B$12:$B$72,$A1580+1)</f>
        <v>0</v>
      </c>
      <c r="G1580" s="48" t="n">
        <f aca="false">C1580*(IF($A1580&lt;$Q$1518,INDEX(Surface_Engine!$D$12:$D$72,$A1580+1)+(Surface_Engine!G251*12)*INDEX(Surface_Engine!$F$12:$F$72,$A1580+1)-(Surface_Engine!G251*12),1000*12*INDEX(Surface_Engine!$C$12:$C$72,$A1580+1)/(1+Assumptions!$B$10)^5+INDEX(Surface_Engine!$D$12:$D$72,$A1580+1)))*INDEX(Surface_Engine!$B$12:$B$72,$A1580+1)</f>
        <v>0</v>
      </c>
      <c r="H1580" s="48" t="n">
        <f aca="false">D1580*(IF($A1580&lt;$Q$1518,INDEX(Surface_Engine!$D$12:$D$72,$A1580+1)+(Surface_Engine!G251*12)*INDEX(Surface_Engine!$F$12:$F$72,$A1580+1)-(Surface_Engine!G251*12),1000*12*INDEX(Surface_Engine!$C$12:$C$72,$A1580+1)/(1+Assumptions!$B$10)^5+INDEX(Surface_Engine!$D$12:$D$72,$A1580+1)))*INDEX(Surface_Engine!$B$12:$B$72,$A1580+1)</f>
        <v>0</v>
      </c>
      <c r="I1580" s="48" t="n">
        <f aca="false">E1580*(IF($A1580&lt;$Q$1518,INDEX(Surface_Engine!$D$12:$D$72,$A1580+1)+(Surface_Engine!G251*12)*INDEX(Surface_Engine!$F$12:$F$72,$A1580+1)-(Surface_Engine!G251*12),1000*12*INDEX(Surface_Engine!$C$12:$C$72,$A1580+1)/(1+Assumptions!$B$10)^5+INDEX(Surface_Engine!$D$12:$D$72,$A1580+1)))*INDEX(Surface_Engine!$B$12:$B$72,$A1580+1)</f>
        <v>0</v>
      </c>
      <c r="J1580" s="48" t="n">
        <f aca="false">B1580*(IF($A1580&lt;$Q$1518,INDEX(Surface_Engine!$D$12:$D$72,$A1580+1)*(1+Assumptions!$B$24)+(Surface_Engine!G251*12)*INDEX(Surface_Engine!$F$12:$F$72,$A1580+1)-(Surface_Engine!G251*12),1000*12*INDEX(Surface_Engine!$C$12:$C$72,$A1580+1)/(1+Assumptions!$B$10)^5+INDEX(Surface_Engine!$D$12:$D$72,$A1580+1)*(1+Assumptions!$B$24)))*INDEX(Surface_Engine!$B$12:$B$72,$A1580+1)</f>
        <v>0</v>
      </c>
      <c r="K1580" s="12" t="n">
        <f aca="false">SQRT((IF(C1580&lt;=0,0,MAX(0,(B1580/C1580)*G1580/INDEX(Surface_Engine!$B$12:$B$72,$A1580+1)-F1580/INDEX(Surface_Engine!$B$12:$B$72,$A1580+1))))^2+(MAX(IF(D1580&lt;=0,0,MAX(0,(B1580/D1580)*H1580/INDEX(Surface_Engine!$B$12:$B$72,$A1580+1)-F1580/INDEX(Surface_Engine!$B$12:$B$72,$A1580+1))),IF(E1580&lt;=0,0,MAX(0,(B1580/E1580)*I1580/INDEX(Surface_Engine!$B$12:$B$72,$A1580+1)-F1580/INDEX(Surface_Engine!$B$12:$B$72,$A1580+1))),IF($A1580&lt;$Q$1518,MAX(0,-Assumptions!$B$22*(F1580/INDEX(Surface_Engine!$B$12:$B$72,$A1580+1))),0)))^2+(MAX(0,J1580/INDEX(Surface_Engine!$B$12:$B$72,$A1580+1)-(F1580/INDEX(Surface_Engine!$B$12:$B$72,$A1580+1))))^2+2*Assumptions!$B$26*(IF(C1580&lt;=0,0,MAX(0,(B1580/C1580)*G1580/INDEX(Surface_Engine!$B$12:$B$72,$A1580+1)-F1580/INDEX(Surface_Engine!$B$12:$B$72,$A1580+1))))*(MAX(IF(D1580&lt;=0,0,MAX(0,(B1580/D1580)*H1580/INDEX(Surface_Engine!$B$12:$B$72,$A1580+1)-F1580/INDEX(Surface_Engine!$B$12:$B$72,$A1580+1))),IF(E1580&lt;=0,0,MAX(0,(B1580/E1580)*I1580/INDEX(Surface_Engine!$B$12:$B$72,$A1580+1)-F1580/INDEX(Surface_Engine!$B$12:$B$72,$A1580+1))),IF($A1580&lt;$Q$1518,MAX(0,-Assumptions!$B$22*(F1580/INDEX(Surface_Engine!$B$12:$B$72,$A1580+1))),0)))+2*Assumptions!$B$27*(IF(C1580&lt;=0,0,MAX(0,(B1580/C1580)*G1580/INDEX(Surface_Engine!$B$12:$B$72,$A1580+1)-F1580/INDEX(Surface_Engine!$B$12:$B$72,$A1580+1))))*(MAX(0,J1580/INDEX(Surface_Engine!$B$12:$B$72,$A1580+1)-(F1580/INDEX(Surface_Engine!$B$12:$B$72,$A1580+1))))+2*Assumptions!$B$28*(MAX(IF(D1580&lt;=0,0,MAX(0,(B1580/D1580)*H1580/INDEX(Surface_Engine!$B$12:$B$72,$A1580+1)-F1580/INDEX(Surface_Engine!$B$12:$B$72,$A1580+1))),IF(E1580&lt;=0,0,MAX(0,(B1580/E1580)*I1580/INDEX(Surface_Engine!$B$12:$B$72,$A1580+1)-F1580/INDEX(Surface_Engine!$B$12:$B$72,$A1580+1))),IF($A1580&lt;$Q$1518,MAX(0,-Assumptions!$B$22*(F1580/INDEX(Surface_Engine!$B$12:$B$72,$A1580+1))),0)))*(MAX(0,J1580/INDEX(Surface_Engine!$B$12:$B$72,$A1580+1)-(F1580/INDEX(Surface_Engine!$B$12:$B$72,$A1580+1)))))</f>
        <v>0</v>
      </c>
      <c r="L1580" s="48" t="n">
        <f aca="false">K1580*INDEX(Surface_Engine!$B$12:$B$72,$A1580+1)</f>
        <v>0</v>
      </c>
      <c r="M1580" s="48" t="n">
        <f aca="false">M1579+B1579*(IF($A1579&lt;$Q$1518,(Surface_Engine!G251*12)-(Surface_Engine!G251*12)*INDEX(Surface_Engine!$F$12:$F$72,$A1579+1)-INDEX(Surface_Engine!$D$12:$D$72,$A1579+1),-(1000*12*INDEX(Surface_Engine!$C$12:$C$72,$A1579+1)/(1+Assumptions!$B$10)^5+INDEX(Surface_Engine!$D$12:$D$72,$A1579+1))))*INDEX(Surface_Engine!$B$12:$B$72,$A1579+1)</f>
        <v>3957.39204230049</v>
      </c>
      <c r="N1580" s="12" t="n">
        <f aca="false">IF(B1580&lt;=0,0,MAX(0,(K1580+Assumptions!$B$29*L1580/INDEX(Surface_Engine!$B$12:$B$72,$A1580+1)-(M1580/INDEX(Surface_Engine!$B$12:$B$72,$A1580+1)-(F1580/INDEX(Surface_Engine!$B$12:$B$72,$A1580+1))))/B1580))</f>
        <v>0</v>
      </c>
    </row>
    <row r="1581" customFormat="false" ht="15" hidden="false" customHeight="true" outlineLevel="0" collapsed="false">
      <c r="A1581" s="4" t="str">
        <f aca="false">"entry "&amp;O1581&amp;" / vesting "&amp;P1581&amp;"   deferral "&amp;Q1581</f>
        <v>entry 75 / vesting 85   deferral 10</v>
      </c>
      <c r="C1581" s="49" t="n">
        <f aca="false">MAX(N1520:N1580)</f>
        <v>18895.2499922684</v>
      </c>
      <c r="E1581" s="7" t="s">
        <v>1634</v>
      </c>
      <c r="G1581" s="21" t="n">
        <f aca="false">INDEX(A1520:A1580,MATCH(C1581,N1520:N1580,0))</f>
        <v>2</v>
      </c>
      <c r="J1581" s="7" t="s">
        <v>1624</v>
      </c>
      <c r="K1581" s="50" t="n">
        <f aca="false">Surface_Engine!L251</f>
        <v>662.512024862227</v>
      </c>
      <c r="O1581" s="1" t="n">
        <f aca="false">A1720</f>
        <v>75</v>
      </c>
      <c r="P1581" s="76" t="n">
        <f aca="false">D$1713</f>
        <v>85</v>
      </c>
      <c r="Q1581" s="1" t="n">
        <f aca="false">P1581-O1581</f>
        <v>10</v>
      </c>
    </row>
    <row r="1582" customFormat="false" ht="15" hidden="false" customHeight="true" outlineLevel="0" collapsed="false">
      <c r="A1582" s="8" t="s">
        <v>802</v>
      </c>
      <c r="B1582" s="8" t="s">
        <v>1584</v>
      </c>
      <c r="C1582" s="8" t="s">
        <v>1585</v>
      </c>
      <c r="D1582" s="8" t="s">
        <v>1587</v>
      </c>
      <c r="E1582" s="8" t="s">
        <v>1588</v>
      </c>
      <c r="F1582" s="8" t="s">
        <v>1625</v>
      </c>
      <c r="G1582" s="8" t="s">
        <v>1626</v>
      </c>
      <c r="H1582" s="8" t="s">
        <v>1627</v>
      </c>
      <c r="I1582" s="8" t="s">
        <v>1628</v>
      </c>
      <c r="J1582" s="8" t="s">
        <v>1629</v>
      </c>
      <c r="K1582" s="8" t="s">
        <v>812</v>
      </c>
      <c r="L1582" s="8" t="s">
        <v>1630</v>
      </c>
      <c r="M1582" s="8" t="s">
        <v>341</v>
      </c>
      <c r="N1582" s="8" t="s">
        <v>1631</v>
      </c>
      <c r="O1582" s="1" t="s">
        <v>1544</v>
      </c>
      <c r="P1582" s="1" t="s">
        <v>1632</v>
      </c>
      <c r="Q1582" s="1" t="s">
        <v>1633</v>
      </c>
    </row>
    <row r="1583" customFormat="false" ht="15" hidden="false" customHeight="true" outlineLevel="0" collapsed="false">
      <c r="A1583" s="1" t="n">
        <v>0</v>
      </c>
      <c r="B1583" s="32" t="n">
        <f aca="false">INDEX(Surface_Engine!$V$12:$V$72,$A1583+1)*IF($A1583&lt;$Q$1581,INDEX(Surface_Engine!$E$12:$E$72,$A1583+1),INDEX(Surface_Engine!$E$12:$E$72,$Q$1581+1))</f>
        <v>1</v>
      </c>
      <c r="C1583" s="32" t="n">
        <f aca="false">INDEX(Panel_Reserving!$H$8:$H$68,$A1583+1)*IF($A1583&lt;$Q$1581,INDEX(Surface_Engine!$E$12:$E$72,$A1583+1),INDEX(Surface_Engine!$E$12:$E$72,$Q$1581+1))</f>
        <v>1</v>
      </c>
      <c r="D1583" s="32" t="n">
        <f aca="false">INDEX(Surface_Engine!$V$12:$V$72,$A1583+1)*IF($A1583&lt;$Q$1581,INDEX(Surface_Engine!$Y$12:$Y$72,$A1583+1),INDEX(Surface_Engine!$Y$12:$Y$72,$Q$1581+1))</f>
        <v>1</v>
      </c>
      <c r="E1583" s="32" t="n">
        <f aca="false">INDEX(Surface_Engine!$V$12:$V$72,$A1583+1)*IF($A1583&lt;$Q$1581,INDEX(Surface_Engine!$Z$12:$Z$72,$A1583+1),INDEX(Surface_Engine!$Z$12:$Z$72,$Q$1581+1))</f>
        <v>1</v>
      </c>
      <c r="F1583" s="48" t="n">
        <f aca="false">B1583*(IF($A1583&lt;$Q$1581,INDEX(Surface_Engine!$D$12:$D$72,$A1583+1)+(Surface_Engine!L251*12)*INDEX(Surface_Engine!$F$12:$F$72,$A1583+1)-(Surface_Engine!L251*12),1000*12*INDEX(Surface_Engine!$C$12:$C$72,$A1583+1)/(1+Assumptions!$B$10)^10+INDEX(Surface_Engine!$D$12:$D$72,$A1583+1)))*INDEX(Surface_Engine!$B$12:$B$72,$A1583+1)+F1584</f>
        <v>-1765.85464716687</v>
      </c>
      <c r="G1583" s="48" t="n">
        <f aca="false">C1583*(IF($A1583&lt;$Q$1581,INDEX(Surface_Engine!$D$12:$D$72,$A1583+1)+(Surface_Engine!L251*12)*INDEX(Surface_Engine!$F$12:$F$72,$A1583+1)-(Surface_Engine!L251*12),1000*12*INDEX(Surface_Engine!$C$12:$C$72,$A1583+1)/(1+Assumptions!$B$10)^10+INDEX(Surface_Engine!$D$12:$D$72,$A1583+1)))*INDEX(Surface_Engine!$B$12:$B$72,$A1583+1)+G1584</f>
        <v>6961.57851118805</v>
      </c>
      <c r="H1583" s="48" t="n">
        <f aca="false">D1583*(IF($A1583&lt;$Q$1581,INDEX(Surface_Engine!$D$12:$D$72,$A1583+1)+(Surface_Engine!L251*12)*INDEX(Surface_Engine!$F$12:$F$72,$A1583+1)-(Surface_Engine!L251*12),1000*12*INDEX(Surface_Engine!$C$12:$C$72,$A1583+1)/(1+Assumptions!$B$10)^10+INDEX(Surface_Engine!$D$12:$D$72,$A1583+1)))*INDEX(Surface_Engine!$B$12:$B$72,$A1583+1)+H1584</f>
        <v>-2926.01064891163</v>
      </c>
      <c r="I1583" s="48" t="n">
        <f aca="false">E1583*(IF($A1583&lt;$Q$1581,INDEX(Surface_Engine!$D$12:$D$72,$A1583+1)+(Surface_Engine!L251*12)*INDEX(Surface_Engine!$F$12:$F$72,$A1583+1)-(Surface_Engine!L251*12),1000*12*INDEX(Surface_Engine!$C$12:$C$72,$A1583+1)/(1+Assumptions!$B$10)^10+INDEX(Surface_Engine!$D$12:$D$72,$A1583+1)))*INDEX(Surface_Engine!$B$12:$B$72,$A1583+1)+I1584</f>
        <v>-466.89177180714</v>
      </c>
      <c r="J1583" s="48" t="n">
        <f aca="false">B1583*(IF($A1583&lt;$Q$1581,INDEX(Surface_Engine!$D$12:$D$72,$A1583+1)*(1+Assumptions!$B$24)+(Surface_Engine!L251*12)*INDEX(Surface_Engine!$F$12:$F$72,$A1583+1)-(Surface_Engine!L251*12),1000*12*INDEX(Surface_Engine!$C$12:$C$72,$A1583+1)/(1+Assumptions!$B$10)^10+INDEX(Surface_Engine!$D$12:$D$72,$A1583+1)*(1+Assumptions!$B$24)))*INDEX(Surface_Engine!$B$12:$B$72,$A1583+1)+J1584</f>
        <v>-1657.9495194049</v>
      </c>
      <c r="K1583" s="12" t="n">
        <f aca="false">SQRT((IF(C1583&lt;=0,0,MAX(0,(B1583/C1583)*G1583/INDEX(Surface_Engine!$B$12:$B$72,$A1583+1)-F1583/INDEX(Surface_Engine!$B$12:$B$72,$A1583+1))))^2+(MAX(IF(D1583&lt;=0,0,MAX(0,(B1583/D1583)*H1583/INDEX(Surface_Engine!$B$12:$B$72,$A1583+1)-F1583/INDEX(Surface_Engine!$B$12:$B$72,$A1583+1))),IF(E1583&lt;=0,0,MAX(0,(B1583/E1583)*I1583/INDEX(Surface_Engine!$B$12:$B$72,$A1583+1)-F1583/INDEX(Surface_Engine!$B$12:$B$72,$A1583+1))),IF($A1583&lt;$Q$1581,MAX(0,-Assumptions!$B$22*(F1583/INDEX(Surface_Engine!$B$12:$B$72,$A1583+1))),0)))^2+(MAX(0,J1583/INDEX(Surface_Engine!$B$12:$B$72,$A1583+1)-(F1583/INDEX(Surface_Engine!$B$12:$B$72,$A1583+1))))^2+2*Assumptions!$B$26*(IF(C1583&lt;=0,0,MAX(0,(B1583/C1583)*G1583/INDEX(Surface_Engine!$B$12:$B$72,$A1583+1)-F1583/INDEX(Surface_Engine!$B$12:$B$72,$A1583+1))))*(MAX(IF(D1583&lt;=0,0,MAX(0,(B1583/D1583)*H1583/INDEX(Surface_Engine!$B$12:$B$72,$A1583+1)-F1583/INDEX(Surface_Engine!$B$12:$B$72,$A1583+1))),IF(E1583&lt;=0,0,MAX(0,(B1583/E1583)*I1583/INDEX(Surface_Engine!$B$12:$B$72,$A1583+1)-F1583/INDEX(Surface_Engine!$B$12:$B$72,$A1583+1))),IF($A1583&lt;$Q$1581,MAX(0,-Assumptions!$B$22*(F1583/INDEX(Surface_Engine!$B$12:$B$72,$A1583+1))),0)))+2*Assumptions!$B$27*(IF(C1583&lt;=0,0,MAX(0,(B1583/C1583)*G1583/INDEX(Surface_Engine!$B$12:$B$72,$A1583+1)-F1583/INDEX(Surface_Engine!$B$12:$B$72,$A1583+1))))*(MAX(0,J1583/INDEX(Surface_Engine!$B$12:$B$72,$A1583+1)-(F1583/INDEX(Surface_Engine!$B$12:$B$72,$A1583+1))))+2*Assumptions!$B$28*(MAX(IF(D1583&lt;=0,0,MAX(0,(B1583/D1583)*H1583/INDEX(Surface_Engine!$B$12:$B$72,$A1583+1)-F1583/INDEX(Surface_Engine!$B$12:$B$72,$A1583+1))),IF(E1583&lt;=0,0,MAX(0,(B1583/E1583)*I1583/INDEX(Surface_Engine!$B$12:$B$72,$A1583+1)-F1583/INDEX(Surface_Engine!$B$12:$B$72,$A1583+1))),IF($A1583&lt;$Q$1581,MAX(0,-Assumptions!$B$22*(F1583/INDEX(Surface_Engine!$B$12:$B$72,$A1583+1))),0)))*(MAX(0,J1583/INDEX(Surface_Engine!$B$12:$B$72,$A1583+1)-(F1583/INDEX(Surface_Engine!$B$12:$B$72,$A1583+1)))))</f>
        <v>9173.13335707452</v>
      </c>
      <c r="L1583" s="48" t="n">
        <f aca="false">K1583*INDEX(Surface_Engine!$B$12:$B$72,$A1583+1)+L1584</f>
        <v>129865.026974984</v>
      </c>
      <c r="M1583" s="48" t="n">
        <v>0</v>
      </c>
      <c r="N1583" s="12" t="n">
        <f aca="false">IF(B1583&lt;=0,0,MAX(0,(K1583+Assumptions!$B$29*L1583/INDEX(Surface_Engine!$B$12:$B$72,$A1583+1)-(M1583/INDEX(Surface_Engine!$B$12:$B$72,$A1583+1)-(F1583/INDEX(Surface_Engine!$B$12:$B$72,$A1583+1))))/B1583))</f>
        <v>15199.1803284067</v>
      </c>
    </row>
    <row r="1584" customFormat="false" ht="15" hidden="false" customHeight="true" outlineLevel="0" collapsed="false">
      <c r="A1584" s="1" t="n">
        <v>1</v>
      </c>
      <c r="B1584" s="32" t="n">
        <f aca="false">INDEX(Surface_Engine!$V$12:$V$72,$A1584+1)*IF($A1584&lt;$Q$1581,INDEX(Surface_Engine!$E$12:$E$72,$A1584+1),INDEX(Surface_Engine!$E$12:$E$72,$Q$1581+1))</f>
        <v>0.942616205702869</v>
      </c>
      <c r="C1584" s="32" t="n">
        <f aca="false">INDEX(Panel_Reserving!$H$8:$H$68,$A1584+1)*IF($A1584&lt;$Q$1581,INDEX(Surface_Engine!$E$12:$E$72,$A1584+1),INDEX(Surface_Engine!$E$12:$E$72,$Q$1581+1))</f>
        <v>0.945972964562295</v>
      </c>
      <c r="D1584" s="32" t="n">
        <f aca="false">INDEX(Surface_Engine!$V$12:$V$72,$A1584+1)*IF($A1584&lt;$Q$1581,INDEX(Surface_Engine!$Y$12:$Y$72,$A1584+1),INDEX(Surface_Engine!$Y$12:$Y$72,$Q$1581+1))</f>
        <v>0.922671334975572</v>
      </c>
      <c r="E1584" s="32" t="n">
        <f aca="false">INDEX(Surface_Engine!$V$12:$V$72,$A1584+1)*IF($A1584&lt;$Q$1581,INDEX(Surface_Engine!$Z$12:$Z$72,$A1584+1),INDEX(Surface_Engine!$Z$12:$Z$72,$Q$1581+1))</f>
        <v>0.962561076430165</v>
      </c>
      <c r="F1584" s="48" t="n">
        <f aca="false">B1584*(IF($A1584&lt;$Q$1581,INDEX(Surface_Engine!$D$12:$D$72,$A1584+1)+(Surface_Engine!L251*12)*INDEX(Surface_Engine!$F$12:$F$72,$A1584+1)-(Surface_Engine!L251*12),1000*12*INDEX(Surface_Engine!$C$12:$C$72,$A1584+1)/(1+Assumptions!$B$10)^10+INDEX(Surface_Engine!$D$12:$D$72,$A1584+1)))*INDEX(Surface_Engine!$B$12:$B$72,$A1584+1)+F1585</f>
        <v>-1847.85464716687</v>
      </c>
      <c r="G1584" s="48" t="n">
        <f aca="false">C1584*(IF($A1584&lt;$Q$1581,INDEX(Surface_Engine!$D$12:$D$72,$A1584+1)+(Surface_Engine!L251*12)*INDEX(Surface_Engine!$F$12:$F$72,$A1584+1)-(Surface_Engine!L251*12),1000*12*INDEX(Surface_Engine!$C$12:$C$72,$A1584+1)/(1+Assumptions!$B$10)^10+INDEX(Surface_Engine!$D$12:$D$72,$A1584+1)))*INDEX(Surface_Engine!$B$12:$B$72,$A1584+1)+G1585</f>
        <v>6879.57851118805</v>
      </c>
      <c r="H1584" s="48" t="n">
        <f aca="false">D1584*(IF($A1584&lt;$Q$1581,INDEX(Surface_Engine!$D$12:$D$72,$A1584+1)+(Surface_Engine!L251*12)*INDEX(Surface_Engine!$F$12:$F$72,$A1584+1)-(Surface_Engine!L251*12),1000*12*INDEX(Surface_Engine!$C$12:$C$72,$A1584+1)/(1+Assumptions!$B$10)^10+INDEX(Surface_Engine!$D$12:$D$72,$A1584+1)))*INDEX(Surface_Engine!$B$12:$B$72,$A1584+1)+H1585</f>
        <v>-3008.01064891163</v>
      </c>
      <c r="I1584" s="48" t="n">
        <f aca="false">E1584*(IF($A1584&lt;$Q$1581,INDEX(Surface_Engine!$D$12:$D$72,$A1584+1)+(Surface_Engine!L251*12)*INDEX(Surface_Engine!$F$12:$F$72,$A1584+1)-(Surface_Engine!L251*12),1000*12*INDEX(Surface_Engine!$C$12:$C$72,$A1584+1)/(1+Assumptions!$B$10)^10+INDEX(Surface_Engine!$D$12:$D$72,$A1584+1)))*INDEX(Surface_Engine!$B$12:$B$72,$A1584+1)+I1585</f>
        <v>-548.89177180714</v>
      </c>
      <c r="J1584" s="48" t="n">
        <f aca="false">B1584*(IF($A1584&lt;$Q$1581,INDEX(Surface_Engine!$D$12:$D$72,$A1584+1)*(1+Assumptions!$B$24)+(Surface_Engine!L251*12)*INDEX(Surface_Engine!$F$12:$F$72,$A1584+1)-(Surface_Engine!L251*12),1000*12*INDEX(Surface_Engine!$C$12:$C$72,$A1584+1)/(1+Assumptions!$B$10)^10+INDEX(Surface_Engine!$D$12:$D$72,$A1584+1)*(1+Assumptions!$B$24)))*INDEX(Surface_Engine!$B$12:$B$72,$A1584+1)+J1585</f>
        <v>-1748.1495194049</v>
      </c>
      <c r="K1584" s="12" t="n">
        <f aca="false">SQRT((IF(C1584&lt;=0,0,MAX(0,(B1584/C1584)*G1584/INDEX(Surface_Engine!$B$12:$B$72,$A1584+1)-F1584/INDEX(Surface_Engine!$B$12:$B$72,$A1584+1))))^2+(MAX(IF(D1584&lt;=0,0,MAX(0,(B1584/D1584)*H1584/INDEX(Surface_Engine!$B$12:$B$72,$A1584+1)-F1584/INDEX(Surface_Engine!$B$12:$B$72,$A1584+1))),IF(E1584&lt;=0,0,MAX(0,(B1584/E1584)*I1584/INDEX(Surface_Engine!$B$12:$B$72,$A1584+1)-F1584/INDEX(Surface_Engine!$B$12:$B$72,$A1584+1))),IF($A1584&lt;$Q$1581,MAX(0,-Assumptions!$B$22*(F1584/INDEX(Surface_Engine!$B$12:$B$72,$A1584+1))),0)))^2+(MAX(0,J1584/INDEX(Surface_Engine!$B$12:$B$72,$A1584+1)-(F1584/INDEX(Surface_Engine!$B$12:$B$72,$A1584+1))))^2+2*Assumptions!$B$26*(IF(C1584&lt;=0,0,MAX(0,(B1584/C1584)*G1584/INDEX(Surface_Engine!$B$12:$B$72,$A1584+1)-F1584/INDEX(Surface_Engine!$B$12:$B$72,$A1584+1))))*(MAX(IF(D1584&lt;=0,0,MAX(0,(B1584/D1584)*H1584/INDEX(Surface_Engine!$B$12:$B$72,$A1584+1)-F1584/INDEX(Surface_Engine!$B$12:$B$72,$A1584+1))),IF(E1584&lt;=0,0,MAX(0,(B1584/E1584)*I1584/INDEX(Surface_Engine!$B$12:$B$72,$A1584+1)-F1584/INDEX(Surface_Engine!$B$12:$B$72,$A1584+1))),IF($A1584&lt;$Q$1581,MAX(0,-Assumptions!$B$22*(F1584/INDEX(Surface_Engine!$B$12:$B$72,$A1584+1))),0)))+2*Assumptions!$B$27*(IF(C1584&lt;=0,0,MAX(0,(B1584/C1584)*G1584/INDEX(Surface_Engine!$B$12:$B$72,$A1584+1)-F1584/INDEX(Surface_Engine!$B$12:$B$72,$A1584+1))))*(MAX(0,J1584/INDEX(Surface_Engine!$B$12:$B$72,$A1584+1)-(F1584/INDEX(Surface_Engine!$B$12:$B$72,$A1584+1))))+2*Assumptions!$B$28*(MAX(IF(D1584&lt;=0,0,MAX(0,(B1584/D1584)*H1584/INDEX(Surface_Engine!$B$12:$B$72,$A1584+1)-F1584/INDEX(Surface_Engine!$B$12:$B$72,$A1584+1))),IF(E1584&lt;=0,0,MAX(0,(B1584/E1584)*I1584/INDEX(Surface_Engine!$B$12:$B$72,$A1584+1)-F1584/INDEX(Surface_Engine!$B$12:$B$72,$A1584+1))),IF($A1584&lt;$Q$1581,MAX(0,-Assumptions!$B$22*(F1584/INDEX(Surface_Engine!$B$12:$B$72,$A1584+1))),0)))*(MAX(0,J1584/INDEX(Surface_Engine!$B$12:$B$72,$A1584+1)-(F1584/INDEX(Surface_Engine!$B$12:$B$72,$A1584+1)))))</f>
        <v>9388.28840731846</v>
      </c>
      <c r="L1584" s="48" t="n">
        <f aca="false">K1584*INDEX(Surface_Engine!$B$12:$B$72,$A1584+1)+L1585</f>
        <v>120691.89361791</v>
      </c>
      <c r="M1584" s="48" t="n">
        <f aca="false">M1583+B1583*(IF($A1583&lt;$Q$1581,(Surface_Engine!L251*12)-(Surface_Engine!L251*12)*INDEX(Surface_Engine!$F$12:$F$72,$A1583+1)-INDEX(Surface_Engine!$D$12:$D$72,$A1583+1),-(1000*12*INDEX(Surface_Engine!$C$12:$C$72,$A1583+1)/(1+Assumptions!$B$10)^10+INDEX(Surface_Engine!$D$12:$D$72,$A1583+1))))*INDEX(Surface_Engine!$B$12:$B$72,$A1583+1)</f>
        <v>-82</v>
      </c>
      <c r="N1584" s="12" t="n">
        <f aca="false">IF(B1584&lt;=0,0,MAX(0,(K1584+Assumptions!$B$29*L1584/INDEX(Surface_Engine!$B$12:$B$72,$A1584+1)-(M1584/INDEX(Surface_Engine!$B$12:$B$72,$A1584+1)-(F1584/INDEX(Surface_Engine!$B$12:$B$72,$A1584+1))))/B1584))</f>
        <v>15919.6239076916</v>
      </c>
    </row>
    <row r="1585" customFormat="false" ht="15" hidden="false" customHeight="true" outlineLevel="0" collapsed="false">
      <c r="A1585" s="1" t="n">
        <v>2</v>
      </c>
      <c r="B1585" s="32" t="n">
        <f aca="false">INDEX(Surface_Engine!$V$12:$V$72,$A1585+1)*IF($A1585&lt;$Q$1581,INDEX(Surface_Engine!$E$12:$E$72,$A1585+1),INDEX(Surface_Engine!$E$12:$E$72,$Q$1581+1))</f>
        <v>0.904235103799388</v>
      </c>
      <c r="C1585" s="32" t="n">
        <f aca="false">INDEX(Panel_Reserving!$H$8:$H$68,$A1585+1)*IF($A1585&lt;$Q$1581,INDEX(Surface_Engine!$E$12:$E$72,$A1585+1),INDEX(Surface_Engine!$E$12:$E$72,$Q$1581+1))</f>
        <v>0.911053216949702</v>
      </c>
      <c r="D1585" s="32" t="n">
        <f aca="false">INDEX(Surface_Engine!$V$12:$V$72,$A1585+1)*IF($A1585&lt;$Q$1581,INDEX(Surface_Engine!$Y$12:$Y$72,$A1585+1),INDEX(Surface_Engine!$Y$12:$Y$72,$Q$1581+1))</f>
        <v>0.875285965269595</v>
      </c>
      <c r="E1585" s="32" t="n">
        <f aca="false">INDEX(Surface_Engine!$V$12:$V$72,$A1585+1)*IF($A1585&lt;$Q$1581,INDEX(Surface_Engine!$Z$12:$Z$72,$A1585+1),INDEX(Surface_Engine!$Z$12:$Z$72,$Q$1581+1))</f>
        <v>0.93360863254919</v>
      </c>
      <c r="F1585" s="48" t="n">
        <f aca="false">B1585*(IF($A1585&lt;$Q$1581,INDEX(Surface_Engine!$D$12:$D$72,$A1585+1)+(Surface_Engine!L251*12)*INDEX(Surface_Engine!$F$12:$F$72,$A1585+1)-(Surface_Engine!L251*12),1000*12*INDEX(Surface_Engine!$C$12:$C$72,$A1585+1)/(1+Assumptions!$B$10)^10+INDEX(Surface_Engine!$D$12:$D$72,$A1585+1)))*INDEX(Surface_Engine!$B$12:$B$72,$A1585+1)+F1586</f>
        <v>5014.02224719906</v>
      </c>
      <c r="G1585" s="48" t="n">
        <f aca="false">C1585*(IF($A1585&lt;$Q$1581,INDEX(Surface_Engine!$D$12:$D$72,$A1585+1)+(Surface_Engine!L251*12)*INDEX(Surface_Engine!$F$12:$F$72,$A1585+1)-(Surface_Engine!L251*12),1000*12*INDEX(Surface_Engine!$C$12:$C$72,$A1585+1)/(1+Assumptions!$B$10)^10+INDEX(Surface_Engine!$D$12:$D$72,$A1585+1)))*INDEX(Surface_Engine!$B$12:$B$72,$A1585+1)+G1586</f>
        <v>13765.8912957053</v>
      </c>
      <c r="H1585" s="48" t="n">
        <f aca="false">D1585*(IF($A1585&lt;$Q$1581,INDEX(Surface_Engine!$D$12:$D$72,$A1585+1)+(Surface_Engine!L251*12)*INDEX(Surface_Engine!$F$12:$F$72,$A1585+1)-(Surface_Engine!L251*12),1000*12*INDEX(Surface_Engine!$C$12:$C$72,$A1585+1)/(1+Assumptions!$B$10)^10+INDEX(Surface_Engine!$D$12:$D$72,$A1585+1)))*INDEX(Surface_Engine!$B$12:$B$72,$A1585+1)+H1586</f>
        <v>3708.67539601129</v>
      </c>
      <c r="I1585" s="48" t="n">
        <f aca="false">E1585*(IF($A1585&lt;$Q$1581,INDEX(Surface_Engine!$D$12:$D$72,$A1585+1)+(Surface_Engine!L251*12)*INDEX(Surface_Engine!$F$12:$F$72,$A1585+1)-(Surface_Engine!L251*12),1000*12*INDEX(Surface_Engine!$C$12:$C$72,$A1585+1)/(1+Assumptions!$B$10)^10+INDEX(Surface_Engine!$D$12:$D$72,$A1585+1)))*INDEX(Surface_Engine!$B$12:$B$72,$A1585+1)+I1586</f>
        <v>6458.1759720018</v>
      </c>
      <c r="J1585" s="48" t="n">
        <f aca="false">B1585*(IF($A1585&lt;$Q$1581,INDEX(Surface_Engine!$D$12:$D$72,$A1585+1)*(1+Assumptions!$B$24)+(Surface_Engine!L251*12)*INDEX(Surface_Engine!$F$12:$F$72,$A1585+1)-(Surface_Engine!L251*12),1000*12*INDEX(Surface_Engine!$C$12:$C$72,$A1585+1)/(1+Assumptions!$B$10)^10+INDEX(Surface_Engine!$D$12:$D$72,$A1585+1)*(1+Assumptions!$B$24)))*INDEX(Surface_Engine!$B$12:$B$72,$A1585+1)+J1586</f>
        <v>5106.00515459286</v>
      </c>
      <c r="K1585" s="12" t="n">
        <f aca="false">SQRT((IF(C1585&lt;=0,0,MAX(0,(B1585/C1585)*G1585/INDEX(Surface_Engine!$B$12:$B$72,$A1585+1)-F1585/INDEX(Surface_Engine!$B$12:$B$72,$A1585+1))))^2+(MAX(IF(D1585&lt;=0,0,MAX(0,(B1585/D1585)*H1585/INDEX(Surface_Engine!$B$12:$B$72,$A1585+1)-F1585/INDEX(Surface_Engine!$B$12:$B$72,$A1585+1))),IF(E1585&lt;=0,0,MAX(0,(B1585/E1585)*I1585/INDEX(Surface_Engine!$B$12:$B$72,$A1585+1)-F1585/INDEX(Surface_Engine!$B$12:$B$72,$A1585+1))),IF($A1585&lt;$Q$1581,MAX(0,-Assumptions!$B$22*(F1585/INDEX(Surface_Engine!$B$12:$B$72,$A1585+1))),0)))^2+(MAX(0,J1585/INDEX(Surface_Engine!$B$12:$B$72,$A1585+1)-(F1585/INDEX(Surface_Engine!$B$12:$B$72,$A1585+1))))^2+2*Assumptions!$B$26*(IF(C1585&lt;=0,0,MAX(0,(B1585/C1585)*G1585/INDEX(Surface_Engine!$B$12:$B$72,$A1585+1)-F1585/INDEX(Surface_Engine!$B$12:$B$72,$A1585+1))))*(MAX(IF(D1585&lt;=0,0,MAX(0,(B1585/D1585)*H1585/INDEX(Surface_Engine!$B$12:$B$72,$A1585+1)-F1585/INDEX(Surface_Engine!$B$12:$B$72,$A1585+1))),IF(E1585&lt;=0,0,MAX(0,(B1585/E1585)*I1585/INDEX(Surface_Engine!$B$12:$B$72,$A1585+1)-F1585/INDEX(Surface_Engine!$B$12:$B$72,$A1585+1))),IF($A1585&lt;$Q$1581,MAX(0,-Assumptions!$B$22*(F1585/INDEX(Surface_Engine!$B$12:$B$72,$A1585+1))),0)))+2*Assumptions!$B$27*(IF(C1585&lt;=0,0,MAX(0,(B1585/C1585)*G1585/INDEX(Surface_Engine!$B$12:$B$72,$A1585+1)-F1585/INDEX(Surface_Engine!$B$12:$B$72,$A1585+1))))*(MAX(0,J1585/INDEX(Surface_Engine!$B$12:$B$72,$A1585+1)-(F1585/INDEX(Surface_Engine!$B$12:$B$72,$A1585+1))))+2*Assumptions!$B$28*(MAX(IF(D1585&lt;=0,0,MAX(0,(B1585/D1585)*H1585/INDEX(Surface_Engine!$B$12:$B$72,$A1585+1)-F1585/INDEX(Surface_Engine!$B$12:$B$72,$A1585+1))),IF(E1585&lt;=0,0,MAX(0,(B1585/E1585)*I1585/INDEX(Surface_Engine!$B$12:$B$72,$A1585+1)-F1585/INDEX(Surface_Engine!$B$12:$B$72,$A1585+1))),IF($A1585&lt;$Q$1581,MAX(0,-Assumptions!$B$22*(F1585/INDEX(Surface_Engine!$B$12:$B$72,$A1585+1))),0)))*(MAX(0,J1585/INDEX(Surface_Engine!$B$12:$B$72,$A1585+1)-(F1585/INDEX(Surface_Engine!$B$12:$B$72,$A1585+1)))))</f>
        <v>9550.54996746025</v>
      </c>
      <c r="L1585" s="48" t="n">
        <f aca="false">K1585*INDEX(Surface_Engine!$B$12:$B$72,$A1585+1)+L1586</f>
        <v>111541.158299458</v>
      </c>
      <c r="M1585" s="48" t="n">
        <f aca="false">M1584+B1584*(IF($A1584&lt;$Q$1581,(Surface_Engine!L251*12)-(Surface_Engine!L251*12)*INDEX(Surface_Engine!$F$12:$F$72,$A1584+1)-INDEX(Surface_Engine!$D$12:$D$72,$A1584+1),-(1000*12*INDEX(Surface_Engine!$C$12:$C$72,$A1584+1)/(1+Assumptions!$B$10)^10+INDEX(Surface_Engine!$D$12:$D$72,$A1584+1))))*INDEX(Surface_Engine!$B$12:$B$72,$A1584+1)</f>
        <v>6779.87689436593</v>
      </c>
      <c r="N1585" s="12" t="n">
        <f aca="false">IF(B1585&lt;=0,0,MAX(0,(K1585+Assumptions!$B$29*L1585/INDEX(Surface_Engine!$B$12:$B$72,$A1585+1)-(M1585/INDEX(Surface_Engine!$B$12:$B$72,$A1585+1)-(F1585/INDEX(Surface_Engine!$B$12:$B$72,$A1585+1))))/B1585))</f>
        <v>16300.3049768858</v>
      </c>
    </row>
    <row r="1586" customFormat="false" ht="15" hidden="false" customHeight="true" outlineLevel="0" collapsed="false">
      <c r="A1586" s="1" t="n">
        <v>3</v>
      </c>
      <c r="B1586" s="32" t="n">
        <f aca="false">INDEX(Surface_Engine!$V$12:$V$72,$A1586+1)*IF($A1586&lt;$Q$1581,INDEX(Surface_Engine!$E$12:$E$72,$A1586+1),INDEX(Surface_Engine!$E$12:$E$72,$Q$1581+1))</f>
        <v>0.872873829381966</v>
      </c>
      <c r="C1586" s="32" t="n">
        <f aca="false">INDEX(Panel_Reserving!$H$8:$H$68,$A1586+1)*IF($A1586&lt;$Q$1581,INDEX(Surface_Engine!$E$12:$E$72,$A1586+1),INDEX(Surface_Engine!$E$12:$E$72,$Q$1581+1))</f>
        <v>0.883351619644115</v>
      </c>
      <c r="D1586" s="32" t="n">
        <f aca="false">INDEX(Surface_Engine!$V$12:$V$72,$A1586+1)*IF($A1586&lt;$Q$1581,INDEX(Surface_Engine!$Y$12:$Y$72,$A1586+1),INDEX(Surface_Engine!$Y$12:$Y$72,$Q$1581+1))</f>
        <v>0.839234210808143</v>
      </c>
      <c r="E1586" s="32" t="n">
        <f aca="false">INDEX(Surface_Engine!$V$12:$V$72,$A1586+1)*IF($A1586&lt;$Q$1581,INDEX(Surface_Engine!$Z$12:$Z$72,$A1586+1),INDEX(Surface_Engine!$Z$12:$Z$72,$Q$1581+1))</f>
        <v>0.907302559975844</v>
      </c>
      <c r="F1586" s="48" t="n">
        <f aca="false">B1586*(IF($A1586&lt;$Q$1581,INDEX(Surface_Engine!$D$12:$D$72,$A1586+1)+(Surface_Engine!L251*12)*INDEX(Surface_Engine!$F$12:$F$72,$A1586+1)-(Surface_Engine!L251*12),1000*12*INDEX(Surface_Engine!$C$12:$C$72,$A1586+1)/(1+Assumptions!$B$10)^10+INDEX(Surface_Engine!$D$12:$D$72,$A1586+1)))*INDEX(Surface_Engine!$B$12:$B$72,$A1586+1)+F1587</f>
        <v>11424.3879256891</v>
      </c>
      <c r="G1586" s="48" t="n">
        <f aca="false">C1586*(IF($A1586&lt;$Q$1581,INDEX(Surface_Engine!$D$12:$D$72,$A1586+1)+(Surface_Engine!L251*12)*INDEX(Surface_Engine!$F$12:$F$72,$A1586+1)-(Surface_Engine!L251*12),1000*12*INDEX(Surface_Engine!$C$12:$C$72,$A1586+1)/(1+Assumptions!$B$10)^10+INDEX(Surface_Engine!$D$12:$D$72,$A1586+1)))*INDEX(Surface_Engine!$B$12:$B$72,$A1586+1)+G1587</f>
        <v>20224.592410795</v>
      </c>
      <c r="H1586" s="48" t="n">
        <f aca="false">D1586*(IF($A1586&lt;$Q$1581,INDEX(Surface_Engine!$D$12:$D$72,$A1586+1)+(Surface_Engine!L251*12)*INDEX(Surface_Engine!$F$12:$F$72,$A1586+1)-(Surface_Engine!L251*12),1000*12*INDEX(Surface_Engine!$C$12:$C$72,$A1586+1)/(1+Assumptions!$B$10)^10+INDEX(Surface_Engine!$D$12:$D$72,$A1586+1)))*INDEX(Surface_Engine!$B$12:$B$72,$A1586+1)+H1587</f>
        <v>9913.81285091932</v>
      </c>
      <c r="I1586" s="48" t="n">
        <f aca="false">E1586*(IF($A1586&lt;$Q$1581,INDEX(Surface_Engine!$D$12:$D$72,$A1586+1)+(Surface_Engine!L251*12)*INDEX(Surface_Engine!$F$12:$F$72,$A1586+1)-(Surface_Engine!L251*12),1000*12*INDEX(Surface_Engine!$C$12:$C$72,$A1586+1)/(1+Assumptions!$B$10)^10+INDEX(Surface_Engine!$D$12:$D$72,$A1586+1)))*INDEX(Surface_Engine!$B$12:$B$72,$A1586+1)+I1587</f>
        <v>13076.7784904052</v>
      </c>
      <c r="J1586" s="48" t="n">
        <f aca="false">B1586*(IF($A1586&lt;$Q$1581,INDEX(Surface_Engine!$D$12:$D$72,$A1586+1)*(1+Assumptions!$B$24)+(Surface_Engine!L251*12)*INDEX(Surface_Engine!$F$12:$F$72,$A1586+1)-(Surface_Engine!L251*12),1000*12*INDEX(Surface_Engine!$C$12:$C$72,$A1586+1)/(1+Assumptions!$B$10)^10+INDEX(Surface_Engine!$D$12:$D$72,$A1586+1)*(1+Assumptions!$B$24)))*INDEX(Surface_Engine!$B$12:$B$72,$A1586+1)+J1587</f>
        <v>11508.9743010532</v>
      </c>
      <c r="K1586" s="12" t="n">
        <f aca="false">SQRT((IF(C1586&lt;=0,0,MAX(0,(B1586/C1586)*G1586/INDEX(Surface_Engine!$B$12:$B$72,$A1586+1)-F1586/INDEX(Surface_Engine!$B$12:$B$72,$A1586+1))))^2+(MAX(IF(D1586&lt;=0,0,MAX(0,(B1586/D1586)*H1586/INDEX(Surface_Engine!$B$12:$B$72,$A1586+1)-F1586/INDEX(Surface_Engine!$B$12:$B$72,$A1586+1))),IF(E1586&lt;=0,0,MAX(0,(B1586/E1586)*I1586/INDEX(Surface_Engine!$B$12:$B$72,$A1586+1)-F1586/INDEX(Surface_Engine!$B$12:$B$72,$A1586+1))),IF($A1586&lt;$Q$1581,MAX(0,-Assumptions!$B$22*(F1586/INDEX(Surface_Engine!$B$12:$B$72,$A1586+1))),0)))^2+(MAX(0,J1586/INDEX(Surface_Engine!$B$12:$B$72,$A1586+1)-(F1586/INDEX(Surface_Engine!$B$12:$B$72,$A1586+1))))^2+2*Assumptions!$B$26*(IF(C1586&lt;=0,0,MAX(0,(B1586/C1586)*G1586/INDEX(Surface_Engine!$B$12:$B$72,$A1586+1)-F1586/INDEX(Surface_Engine!$B$12:$B$72,$A1586+1))))*(MAX(IF(D1586&lt;=0,0,MAX(0,(B1586/D1586)*H1586/INDEX(Surface_Engine!$B$12:$B$72,$A1586+1)-F1586/INDEX(Surface_Engine!$B$12:$B$72,$A1586+1))),IF(E1586&lt;=0,0,MAX(0,(B1586/E1586)*I1586/INDEX(Surface_Engine!$B$12:$B$72,$A1586+1)-F1586/INDEX(Surface_Engine!$B$12:$B$72,$A1586+1))),IF($A1586&lt;$Q$1581,MAX(0,-Assumptions!$B$22*(F1586/INDEX(Surface_Engine!$B$12:$B$72,$A1586+1))),0)))+2*Assumptions!$B$27*(IF(C1586&lt;=0,0,MAX(0,(B1586/C1586)*G1586/INDEX(Surface_Engine!$B$12:$B$72,$A1586+1)-F1586/INDEX(Surface_Engine!$B$12:$B$72,$A1586+1))))*(MAX(0,J1586/INDEX(Surface_Engine!$B$12:$B$72,$A1586+1)-(F1586/INDEX(Surface_Engine!$B$12:$B$72,$A1586+1))))+2*Assumptions!$B$28*(MAX(IF(D1586&lt;=0,0,MAX(0,(B1586/D1586)*H1586/INDEX(Surface_Engine!$B$12:$B$72,$A1586+1)-F1586/INDEX(Surface_Engine!$B$12:$B$72,$A1586+1))),IF(E1586&lt;=0,0,MAX(0,(B1586/E1586)*I1586/INDEX(Surface_Engine!$B$12:$B$72,$A1586+1)-F1586/INDEX(Surface_Engine!$B$12:$B$72,$A1586+1))),IF($A1586&lt;$Q$1581,MAX(0,-Assumptions!$B$22*(F1586/INDEX(Surface_Engine!$B$12:$B$72,$A1586+1))),0)))*(MAX(0,J1586/INDEX(Surface_Engine!$B$12:$B$72,$A1586+1)-(F1586/INDEX(Surface_Engine!$B$12:$B$72,$A1586+1)))))</f>
        <v>9668.89286735501</v>
      </c>
      <c r="L1586" s="48" t="n">
        <f aca="false">K1586*INDEX(Surface_Engine!$B$12:$B$72,$A1586+1)+L1587</f>
        <v>102473.115167394</v>
      </c>
      <c r="M1586" s="48" t="n">
        <f aca="false">M1585+B1585*(IF($A1585&lt;$Q$1581,(Surface_Engine!L251*12)-(Surface_Engine!L251*12)*INDEX(Surface_Engine!$F$12:$F$72,$A1585+1)-INDEX(Surface_Engine!$D$12:$D$72,$A1585+1),-(1000*12*INDEX(Surface_Engine!$C$12:$C$72,$A1585+1)/(1+Assumptions!$B$10)^10+INDEX(Surface_Engine!$D$12:$D$72,$A1585+1))))*INDEX(Surface_Engine!$B$12:$B$72,$A1585+1)</f>
        <v>13190.242572856</v>
      </c>
      <c r="N1586" s="12" t="n">
        <f aca="false">IF(B1586&lt;=0,0,MAX(0,(K1586+Assumptions!$B$29*L1586/INDEX(Surface_Engine!$B$12:$B$72,$A1586+1)-(M1586/INDEX(Surface_Engine!$B$12:$B$72,$A1586+1)-(F1586/INDEX(Surface_Engine!$B$12:$B$72,$A1586+1))))/B1586))</f>
        <v>16503.5877809596</v>
      </c>
    </row>
    <row r="1587" customFormat="false" ht="15" hidden="false" customHeight="true" outlineLevel="0" collapsed="false">
      <c r="A1587" s="1" t="n">
        <v>4</v>
      </c>
      <c r="B1587" s="32" t="n">
        <f aca="false">INDEX(Surface_Engine!$V$12:$V$72,$A1587+1)*IF($A1587&lt;$Q$1581,INDEX(Surface_Engine!$E$12:$E$72,$A1587+1),INDEX(Surface_Engine!$E$12:$E$72,$Q$1581+1))</f>
        <v>0.840401794005402</v>
      </c>
      <c r="C1587" s="32" t="n">
        <f aca="false">INDEX(Panel_Reserving!$H$8:$H$68,$A1587+1)*IF($A1587&lt;$Q$1581,INDEX(Surface_Engine!$E$12:$E$72,$A1587+1),INDEX(Surface_Engine!$E$12:$E$72,$Q$1581+1))</f>
        <v>0.854712446155324</v>
      </c>
      <c r="D1587" s="32" t="n">
        <f aca="false">INDEX(Surface_Engine!$V$12:$V$72,$A1587+1)*IF($A1587&lt;$Q$1581,INDEX(Surface_Engine!$Y$12:$Y$72,$A1587+1),INDEX(Surface_Engine!$Y$12:$Y$72,$Q$1581+1))</f>
        <v>0.802567894168097</v>
      </c>
      <c r="E1587" s="32" t="n">
        <f aca="false">INDEX(Surface_Engine!$V$12:$V$72,$A1587+1)*IF($A1587&lt;$Q$1581,INDEX(Surface_Engine!$Z$12:$Z$72,$A1587+1),INDEX(Surface_Engine!$Z$12:$Z$72,$Q$1581+1))</f>
        <v>0.879437139535825</v>
      </c>
      <c r="F1587" s="48" t="n">
        <f aca="false">B1587*(IF($A1587&lt;$Q$1581,INDEX(Surface_Engine!$D$12:$D$72,$A1587+1)+(Surface_Engine!L251*12)*INDEX(Surface_Engine!$F$12:$F$72,$A1587+1)-(Surface_Engine!L251*12),1000*12*INDEX(Surface_Engine!$C$12:$C$72,$A1587+1)/(1+Assumptions!$B$10)^10+INDEX(Surface_Engine!$D$12:$D$72,$A1587+1)))*INDEX(Surface_Engine!$B$12:$B$72,$A1587+1)+F1588</f>
        <v>17452.698360387</v>
      </c>
      <c r="G1587" s="48" t="n">
        <f aca="false">C1587*(IF($A1587&lt;$Q$1581,INDEX(Surface_Engine!$D$12:$D$72,$A1587+1)+(Surface_Engine!L251*12)*INDEX(Surface_Engine!$F$12:$F$72,$A1587+1)-(Surface_Engine!L251*12),1000*12*INDEX(Surface_Engine!$C$12:$C$72,$A1587+1)/(1+Assumptions!$B$10)^10+INDEX(Surface_Engine!$D$12:$D$72,$A1587+1)))*INDEX(Surface_Engine!$B$12:$B$72,$A1587+1)+G1588</f>
        <v>26325.2653911939</v>
      </c>
      <c r="H1587" s="48" t="n">
        <f aca="false">D1587*(IF($A1587&lt;$Q$1581,INDEX(Surface_Engine!$D$12:$D$72,$A1587+1)+(Surface_Engine!L251*12)*INDEX(Surface_Engine!$F$12:$F$72,$A1587+1)-(Surface_Engine!L251*12),1000*12*INDEX(Surface_Engine!$C$12:$C$72,$A1587+1)/(1+Assumptions!$B$10)^10+INDEX(Surface_Engine!$D$12:$D$72,$A1587+1)))*INDEX(Surface_Engine!$B$12:$B$72,$A1587+1)+H1588</f>
        <v>15709.7986851518</v>
      </c>
      <c r="I1587" s="48" t="n">
        <f aca="false">E1587*(IF($A1587&lt;$Q$1581,INDEX(Surface_Engine!$D$12:$D$72,$A1587+1)+(Surface_Engine!L251*12)*INDEX(Surface_Engine!$F$12:$F$72,$A1587+1)-(Surface_Engine!L251*12),1000*12*INDEX(Surface_Engine!$C$12:$C$72,$A1587+1)/(1+Assumptions!$B$10)^10+INDEX(Surface_Engine!$D$12:$D$72,$A1587+1)))*INDEX(Surface_Engine!$B$12:$B$72,$A1587+1)+I1588</f>
        <v>19342.8633535556</v>
      </c>
      <c r="J1587" s="48" t="n">
        <f aca="false">B1587*(IF($A1587&lt;$Q$1581,INDEX(Surface_Engine!$D$12:$D$72,$A1587+1)*(1+Assumptions!$B$24)+(Surface_Engine!L251*12)*INDEX(Surface_Engine!$F$12:$F$72,$A1587+1)-(Surface_Engine!L251*12),1000*12*INDEX(Surface_Engine!$C$12:$C$72,$A1587+1)/(1+Assumptions!$B$10)^10+INDEX(Surface_Engine!$D$12:$D$72,$A1587+1)*(1+Assumptions!$B$24)))*INDEX(Surface_Engine!$B$12:$B$72,$A1587+1)+J1588</f>
        <v>17530.1530843508</v>
      </c>
      <c r="K1587" s="12" t="n">
        <f aca="false">SQRT((IF(C1587&lt;=0,0,MAX(0,(B1587/C1587)*G1587/INDEX(Surface_Engine!$B$12:$B$72,$A1587+1)-F1587/INDEX(Surface_Engine!$B$12:$B$72,$A1587+1))))^2+(MAX(IF(D1587&lt;=0,0,MAX(0,(B1587/D1587)*H1587/INDEX(Surface_Engine!$B$12:$B$72,$A1587+1)-F1587/INDEX(Surface_Engine!$B$12:$B$72,$A1587+1))),IF(E1587&lt;=0,0,MAX(0,(B1587/E1587)*I1587/INDEX(Surface_Engine!$B$12:$B$72,$A1587+1)-F1587/INDEX(Surface_Engine!$B$12:$B$72,$A1587+1))),IF($A1587&lt;$Q$1581,MAX(0,-Assumptions!$B$22*(F1587/INDEX(Surface_Engine!$B$12:$B$72,$A1587+1))),0)))^2+(MAX(0,J1587/INDEX(Surface_Engine!$B$12:$B$72,$A1587+1)-(F1587/INDEX(Surface_Engine!$B$12:$B$72,$A1587+1))))^2+2*Assumptions!$B$26*(IF(C1587&lt;=0,0,MAX(0,(B1587/C1587)*G1587/INDEX(Surface_Engine!$B$12:$B$72,$A1587+1)-F1587/INDEX(Surface_Engine!$B$12:$B$72,$A1587+1))))*(MAX(IF(D1587&lt;=0,0,MAX(0,(B1587/D1587)*H1587/INDEX(Surface_Engine!$B$12:$B$72,$A1587+1)-F1587/INDEX(Surface_Engine!$B$12:$B$72,$A1587+1))),IF(E1587&lt;=0,0,MAX(0,(B1587/E1587)*I1587/INDEX(Surface_Engine!$B$12:$B$72,$A1587+1)-F1587/INDEX(Surface_Engine!$B$12:$B$72,$A1587+1))),IF($A1587&lt;$Q$1581,MAX(0,-Assumptions!$B$22*(F1587/INDEX(Surface_Engine!$B$12:$B$72,$A1587+1))),0)))+2*Assumptions!$B$27*(IF(C1587&lt;=0,0,MAX(0,(B1587/C1587)*G1587/INDEX(Surface_Engine!$B$12:$B$72,$A1587+1)-F1587/INDEX(Surface_Engine!$B$12:$B$72,$A1587+1))))*(MAX(0,J1587/INDEX(Surface_Engine!$B$12:$B$72,$A1587+1)-(F1587/INDEX(Surface_Engine!$B$12:$B$72,$A1587+1))))+2*Assumptions!$B$28*(MAX(IF(D1587&lt;=0,0,MAX(0,(B1587/D1587)*H1587/INDEX(Surface_Engine!$B$12:$B$72,$A1587+1)-F1587/INDEX(Surface_Engine!$B$12:$B$72,$A1587+1))),IF(E1587&lt;=0,0,MAX(0,(B1587/E1587)*I1587/INDEX(Surface_Engine!$B$12:$B$72,$A1587+1)-F1587/INDEX(Surface_Engine!$B$12:$B$72,$A1587+1))),IF($A1587&lt;$Q$1581,MAX(0,-Assumptions!$B$22*(F1587/INDEX(Surface_Engine!$B$12:$B$72,$A1587+1))),0)))*(MAX(0,J1587/INDEX(Surface_Engine!$B$12:$B$72,$A1587+1)-(F1587/INDEX(Surface_Engine!$B$12:$B$72,$A1587+1)))))</f>
        <v>9732.42789050769</v>
      </c>
      <c r="L1587" s="48" t="n">
        <f aca="false">K1587*INDEX(Surface_Engine!$B$12:$B$72,$A1587+1)+L1588</f>
        <v>93527.0937519999</v>
      </c>
      <c r="M1587" s="48" t="n">
        <f aca="false">M1586+B1586*(IF($A1586&lt;$Q$1581,(Surface_Engine!L251*12)-(Surface_Engine!L251*12)*INDEX(Surface_Engine!$F$12:$F$72,$A1586+1)-INDEX(Surface_Engine!$D$12:$D$72,$A1586+1),-(1000*12*INDEX(Surface_Engine!$C$12:$C$72,$A1586+1)/(1+Assumptions!$B$10)^10+INDEX(Surface_Engine!$D$12:$D$72,$A1586+1))))*INDEX(Surface_Engine!$B$12:$B$72,$A1586+1)</f>
        <v>19218.5530075538</v>
      </c>
      <c r="N1587" s="12" t="n">
        <f aca="false">IF(B1587&lt;=0,0,MAX(0,(K1587+Assumptions!$B$29*L1587/INDEX(Surface_Engine!$B$12:$B$72,$A1587+1)-(M1587/INDEX(Surface_Engine!$B$12:$B$72,$A1587+1)-(F1587/INDEX(Surface_Engine!$B$12:$B$72,$A1587+1))))/B1587))</f>
        <v>16658.71500011</v>
      </c>
    </row>
    <row r="1588" customFormat="false" ht="15" hidden="false" customHeight="true" outlineLevel="0" collapsed="false">
      <c r="A1588" s="1" t="n">
        <v>5</v>
      </c>
      <c r="B1588" s="32" t="n">
        <f aca="false">INDEX(Surface_Engine!$V$12:$V$72,$A1588+1)*IF($A1588&lt;$Q$1581,INDEX(Surface_Engine!$E$12:$E$72,$A1588+1),INDEX(Surface_Engine!$E$12:$E$72,$Q$1581+1))</f>
        <v>0.806725671610124</v>
      </c>
      <c r="C1588" s="32" t="n">
        <f aca="false">INDEX(Panel_Reserving!$H$8:$H$68,$A1588+1)*IF($A1588&lt;$Q$1581,INDEX(Surface_Engine!$E$12:$E$72,$A1588+1),INDEX(Surface_Engine!$E$12:$E$72,$Q$1581+1))</f>
        <v>0.825039254213159</v>
      </c>
      <c r="D1588" s="32" t="n">
        <f aca="false">INDEX(Surface_Engine!$V$12:$V$72,$A1588+1)*IF($A1588&lt;$Q$1581,INDEX(Surface_Engine!$Y$12:$Y$72,$A1588+1),INDEX(Surface_Engine!$Y$12:$Y$72,$Q$1581+1))</f>
        <v>0.765215561916785</v>
      </c>
      <c r="E1588" s="32" t="n">
        <f aca="false">INDEX(Surface_Engine!$V$12:$V$72,$A1588+1)*IF($A1588&lt;$Q$1581,INDEX(Surface_Engine!$Z$12:$Z$72,$A1588+1),INDEX(Surface_Engine!$Z$12:$Z$72,$Q$1581+1))</f>
        <v>0.849886394292069</v>
      </c>
      <c r="F1588" s="48" t="n">
        <f aca="false">B1588*(IF($A1588&lt;$Q$1581,INDEX(Surface_Engine!$D$12:$D$72,$A1588+1)+(Surface_Engine!L251*12)*INDEX(Surface_Engine!$F$12:$F$72,$A1588+1)-(Surface_Engine!L251*12),1000*12*INDEX(Surface_Engine!$C$12:$C$72,$A1588+1)/(1+Assumptions!$B$10)^10+INDEX(Surface_Engine!$D$12:$D$72,$A1588+1)))*INDEX(Surface_Engine!$B$12:$B$72,$A1588+1)+F1589</f>
        <v>23104.0272795202</v>
      </c>
      <c r="G1588" s="48" t="n">
        <f aca="false">C1588*(IF($A1588&lt;$Q$1581,INDEX(Surface_Engine!$D$12:$D$72,$A1588+1)+(Surface_Engine!L251*12)*INDEX(Surface_Engine!$F$12:$F$72,$A1588+1)-(Surface_Engine!L251*12),1000*12*INDEX(Surface_Engine!$C$12:$C$72,$A1588+1)/(1+Assumptions!$B$10)^10+INDEX(Surface_Engine!$D$12:$D$72,$A1588+1)))*INDEX(Surface_Engine!$B$12:$B$72,$A1588+1)+G1589</f>
        <v>32072.8270919839</v>
      </c>
      <c r="H1588" s="48" t="n">
        <f aca="false">D1588*(IF($A1588&lt;$Q$1581,INDEX(Surface_Engine!$D$12:$D$72,$A1588+1)+(Surface_Engine!L251*12)*INDEX(Surface_Engine!$F$12:$F$72,$A1588+1)-(Surface_Engine!L251*12),1000*12*INDEX(Surface_Engine!$C$12:$C$72,$A1588+1)/(1+Assumptions!$B$10)^10+INDEX(Surface_Engine!$D$12:$D$72,$A1588+1)))*INDEX(Surface_Engine!$B$12:$B$72,$A1588+1)+H1589</f>
        <v>21106.7114264529</v>
      </c>
      <c r="I1588" s="48" t="n">
        <f aca="false">E1588*(IF($A1588&lt;$Q$1581,INDEX(Surface_Engine!$D$12:$D$72,$A1588+1)+(Surface_Engine!L251*12)*INDEX(Surface_Engine!$F$12:$F$72,$A1588+1)-(Surface_Engine!L251*12),1000*12*INDEX(Surface_Engine!$C$12:$C$72,$A1588+1)/(1+Assumptions!$B$10)^10+INDEX(Surface_Engine!$D$12:$D$72,$A1588+1)))*INDEX(Surface_Engine!$B$12:$B$72,$A1588+1)+I1589</f>
        <v>25256.6876393551</v>
      </c>
      <c r="J1588" s="48" t="n">
        <f aca="false">B1588*(IF($A1588&lt;$Q$1581,INDEX(Surface_Engine!$D$12:$D$72,$A1588+1)*(1+Assumptions!$B$24)+(Surface_Engine!L251*12)*INDEX(Surface_Engine!$F$12:$F$72,$A1588+1)-(Surface_Engine!L251*12),1000*12*INDEX(Surface_Engine!$C$12:$C$72,$A1588+1)/(1+Assumptions!$B$10)^10+INDEX(Surface_Engine!$D$12:$D$72,$A1588+1)*(1+Assumptions!$B$24)))*INDEX(Surface_Engine!$B$12:$B$72,$A1588+1)+J1589</f>
        <v>23174.6271620609</v>
      </c>
      <c r="K1588" s="12" t="n">
        <f aca="false">SQRT((IF(C1588&lt;=0,0,MAX(0,(B1588/C1588)*G1588/INDEX(Surface_Engine!$B$12:$B$72,$A1588+1)-F1588/INDEX(Surface_Engine!$B$12:$B$72,$A1588+1))))^2+(MAX(IF(D1588&lt;=0,0,MAX(0,(B1588/D1588)*H1588/INDEX(Surface_Engine!$B$12:$B$72,$A1588+1)-F1588/INDEX(Surface_Engine!$B$12:$B$72,$A1588+1))),IF(E1588&lt;=0,0,MAX(0,(B1588/E1588)*I1588/INDEX(Surface_Engine!$B$12:$B$72,$A1588+1)-F1588/INDEX(Surface_Engine!$B$12:$B$72,$A1588+1))),IF($A1588&lt;$Q$1581,MAX(0,-Assumptions!$B$22*(F1588/INDEX(Surface_Engine!$B$12:$B$72,$A1588+1))),0)))^2+(MAX(0,J1588/INDEX(Surface_Engine!$B$12:$B$72,$A1588+1)-(F1588/INDEX(Surface_Engine!$B$12:$B$72,$A1588+1))))^2+2*Assumptions!$B$26*(IF(C1588&lt;=0,0,MAX(0,(B1588/C1588)*G1588/INDEX(Surface_Engine!$B$12:$B$72,$A1588+1)-F1588/INDEX(Surface_Engine!$B$12:$B$72,$A1588+1))))*(MAX(IF(D1588&lt;=0,0,MAX(0,(B1588/D1588)*H1588/INDEX(Surface_Engine!$B$12:$B$72,$A1588+1)-F1588/INDEX(Surface_Engine!$B$12:$B$72,$A1588+1))),IF(E1588&lt;=0,0,MAX(0,(B1588/E1588)*I1588/INDEX(Surface_Engine!$B$12:$B$72,$A1588+1)-F1588/INDEX(Surface_Engine!$B$12:$B$72,$A1588+1))),IF($A1588&lt;$Q$1581,MAX(0,-Assumptions!$B$22*(F1588/INDEX(Surface_Engine!$B$12:$B$72,$A1588+1))),0)))+2*Assumptions!$B$27*(IF(C1588&lt;=0,0,MAX(0,(B1588/C1588)*G1588/INDEX(Surface_Engine!$B$12:$B$72,$A1588+1)-F1588/INDEX(Surface_Engine!$B$12:$B$72,$A1588+1))))*(MAX(0,J1588/INDEX(Surface_Engine!$B$12:$B$72,$A1588+1)-(F1588/INDEX(Surface_Engine!$B$12:$B$72,$A1588+1))))+2*Assumptions!$B$28*(MAX(IF(D1588&lt;=0,0,MAX(0,(B1588/D1588)*H1588/INDEX(Surface_Engine!$B$12:$B$72,$A1588+1)-F1588/INDEX(Surface_Engine!$B$12:$B$72,$A1588+1))),IF(E1588&lt;=0,0,MAX(0,(B1588/E1588)*I1588/INDEX(Surface_Engine!$B$12:$B$72,$A1588+1)-F1588/INDEX(Surface_Engine!$B$12:$B$72,$A1588+1))),IF($A1588&lt;$Q$1581,MAX(0,-Assumptions!$B$22*(F1588/INDEX(Surface_Engine!$B$12:$B$72,$A1588+1))),0)))*(MAX(0,J1588/INDEX(Surface_Engine!$B$12:$B$72,$A1588+1)-(F1588/INDEX(Surface_Engine!$B$12:$B$72,$A1588+1)))))</f>
        <v>9738.86904472903</v>
      </c>
      <c r="L1588" s="48" t="n">
        <f aca="false">K1588*INDEX(Surface_Engine!$B$12:$B$72,$A1588+1)+L1589</f>
        <v>84756.6347589443</v>
      </c>
      <c r="M1588" s="48" t="n">
        <f aca="false">M1587+B1587*(IF($A1587&lt;$Q$1581,(Surface_Engine!L251*12)-(Surface_Engine!L251*12)*INDEX(Surface_Engine!$F$12:$F$72,$A1587+1)-INDEX(Surface_Engine!$D$12:$D$72,$A1587+1),-(1000*12*INDEX(Surface_Engine!$C$12:$C$72,$A1587+1)/(1+Assumptions!$B$10)^10+INDEX(Surface_Engine!$D$12:$D$72,$A1587+1))))*INDEX(Surface_Engine!$B$12:$B$72,$A1587+1)</f>
        <v>24869.8819266871</v>
      </c>
      <c r="N1588" s="12" t="n">
        <f aca="false">IF(B1588&lt;=0,0,MAX(0,(K1588+Assumptions!$B$29*L1588/INDEX(Surface_Engine!$B$12:$B$72,$A1588+1)-(M1588/INDEX(Surface_Engine!$B$12:$B$72,$A1588+1)-(F1588/INDEX(Surface_Engine!$B$12:$B$72,$A1588+1))))/B1588))</f>
        <v>16766.1605502825</v>
      </c>
    </row>
    <row r="1589" customFormat="false" ht="15" hidden="false" customHeight="true" outlineLevel="0" collapsed="false">
      <c r="A1589" s="1" t="n">
        <v>6</v>
      </c>
      <c r="B1589" s="32" t="n">
        <f aca="false">INDEX(Surface_Engine!$V$12:$V$72,$A1589+1)*IF($A1589&lt;$Q$1581,INDEX(Surface_Engine!$E$12:$E$72,$A1589+1),INDEX(Surface_Engine!$E$12:$E$72,$Q$1581+1))</f>
        <v>0.774228931488136</v>
      </c>
      <c r="C1589" s="32" t="n">
        <f aca="false">INDEX(Panel_Reserving!$H$8:$H$68,$A1589+1)*IF($A1589&lt;$Q$1581,INDEX(Surface_Engine!$E$12:$E$72,$A1589+1),INDEX(Surface_Engine!$E$12:$E$72,$Q$1581+1))</f>
        <v>0.796950120551387</v>
      </c>
      <c r="D1589" s="32" t="n">
        <f aca="false">INDEX(Surface_Engine!$V$12:$V$72,$A1589+1)*IF($A1589&lt;$Q$1581,INDEX(Surface_Engine!$Y$12:$Y$72,$A1589+1),INDEX(Surface_Engine!$Y$12:$Y$72,$Q$1581+1))</f>
        <v>0.73101877768207</v>
      </c>
      <c r="E1589" s="32" t="n">
        <f aca="false">INDEX(Surface_Engine!$V$12:$V$72,$A1589+1)*IF($A1589&lt;$Q$1581,INDEX(Surface_Engine!$Z$12:$Z$72,$A1589+1),INDEX(Surface_Engine!$Z$12:$Z$72,$Q$1581+1))</f>
        <v>0.819396336771624</v>
      </c>
      <c r="F1589" s="48" t="n">
        <f aca="false">B1589*(IF($A1589&lt;$Q$1581,INDEX(Surface_Engine!$D$12:$D$72,$A1589+1)+(Surface_Engine!L251*12)*INDEX(Surface_Engine!$F$12:$F$72,$A1589+1)-(Surface_Engine!L251*12),1000*12*INDEX(Surface_Engine!$C$12:$C$72,$A1589+1)/(1+Assumptions!$B$10)^10+INDEX(Surface_Engine!$D$12:$D$72,$A1589+1)))*INDEX(Surface_Engine!$B$12:$B$72,$A1589+1)+F1590</f>
        <v>28379.4830725552</v>
      </c>
      <c r="G1589" s="48" t="n">
        <f aca="false">C1589*(IF($A1589&lt;$Q$1581,INDEX(Surface_Engine!$D$12:$D$72,$A1589+1)+(Surface_Engine!L251*12)*INDEX(Surface_Engine!$F$12:$F$72,$A1589+1)-(Surface_Engine!L251*12),1000*12*INDEX(Surface_Engine!$C$12:$C$72,$A1589+1)/(1+Assumptions!$B$10)^10+INDEX(Surface_Engine!$D$12:$D$72,$A1589+1)))*INDEX(Surface_Engine!$B$12:$B$72,$A1589+1)+G1590</f>
        <v>37468.0416813909</v>
      </c>
      <c r="H1589" s="48" t="n">
        <f aca="false">D1589*(IF($A1589&lt;$Q$1581,INDEX(Surface_Engine!$D$12:$D$72,$A1589+1)+(Surface_Engine!L251*12)*INDEX(Surface_Engine!$F$12:$F$72,$A1589+1)-(Surface_Engine!L251*12),1000*12*INDEX(Surface_Engine!$C$12:$C$72,$A1589+1)/(1+Assumptions!$B$10)^10+INDEX(Surface_Engine!$D$12:$D$72,$A1589+1)))*INDEX(Surface_Engine!$B$12:$B$72,$A1589+1)+H1590</f>
        <v>26110.7183783791</v>
      </c>
      <c r="I1589" s="48" t="n">
        <f aca="false">E1589*(IF($A1589&lt;$Q$1581,INDEX(Surface_Engine!$D$12:$D$72,$A1589+1)+(Surface_Engine!L251*12)*INDEX(Surface_Engine!$F$12:$F$72,$A1589+1)-(Surface_Engine!L251*12),1000*12*INDEX(Surface_Engine!$C$12:$C$72,$A1589+1)/(1+Assumptions!$B$10)^10+INDEX(Surface_Engine!$D$12:$D$72,$A1589+1)))*INDEX(Surface_Engine!$B$12:$B$72,$A1589+1)+I1590</f>
        <v>30814.3861978268</v>
      </c>
      <c r="J1589" s="48" t="n">
        <f aca="false">B1589*(IF($A1589&lt;$Q$1581,INDEX(Surface_Engine!$D$12:$D$72,$A1589+1)*(1+Assumptions!$B$24)+(Surface_Engine!L251*12)*INDEX(Surface_Engine!$F$12:$F$72,$A1589+1)-(Surface_Engine!L251*12),1000*12*INDEX(Surface_Engine!$C$12:$C$72,$A1589+1)/(1+Assumptions!$B$10)^10+INDEX(Surface_Engine!$D$12:$D$72,$A1589+1)*(1+Assumptions!$B$24)))*INDEX(Surface_Engine!$B$12:$B$72,$A1589+1)+J1590</f>
        <v>28443.5220705314</v>
      </c>
      <c r="K1589" s="12" t="n">
        <f aca="false">SQRT((IF(C1589&lt;=0,0,MAX(0,(B1589/C1589)*G1589/INDEX(Surface_Engine!$B$12:$B$72,$A1589+1)-F1589/INDEX(Surface_Engine!$B$12:$B$72,$A1589+1))))^2+(MAX(IF(D1589&lt;=0,0,MAX(0,(B1589/D1589)*H1589/INDEX(Surface_Engine!$B$12:$B$72,$A1589+1)-F1589/INDEX(Surface_Engine!$B$12:$B$72,$A1589+1))),IF(E1589&lt;=0,0,MAX(0,(B1589/E1589)*I1589/INDEX(Surface_Engine!$B$12:$B$72,$A1589+1)-F1589/INDEX(Surface_Engine!$B$12:$B$72,$A1589+1))),IF($A1589&lt;$Q$1581,MAX(0,-Assumptions!$B$22*(F1589/INDEX(Surface_Engine!$B$12:$B$72,$A1589+1))),0)))^2+(MAX(0,J1589/INDEX(Surface_Engine!$B$12:$B$72,$A1589+1)-(F1589/INDEX(Surface_Engine!$B$12:$B$72,$A1589+1))))^2+2*Assumptions!$B$26*(IF(C1589&lt;=0,0,MAX(0,(B1589/C1589)*G1589/INDEX(Surface_Engine!$B$12:$B$72,$A1589+1)-F1589/INDEX(Surface_Engine!$B$12:$B$72,$A1589+1))))*(MAX(IF(D1589&lt;=0,0,MAX(0,(B1589/D1589)*H1589/INDEX(Surface_Engine!$B$12:$B$72,$A1589+1)-F1589/INDEX(Surface_Engine!$B$12:$B$72,$A1589+1))),IF(E1589&lt;=0,0,MAX(0,(B1589/E1589)*I1589/INDEX(Surface_Engine!$B$12:$B$72,$A1589+1)-F1589/INDEX(Surface_Engine!$B$12:$B$72,$A1589+1))),IF($A1589&lt;$Q$1581,MAX(0,-Assumptions!$B$22*(F1589/INDEX(Surface_Engine!$B$12:$B$72,$A1589+1))),0)))+2*Assumptions!$B$27*(IF(C1589&lt;=0,0,MAX(0,(B1589/C1589)*G1589/INDEX(Surface_Engine!$B$12:$B$72,$A1589+1)-F1589/INDEX(Surface_Engine!$B$12:$B$72,$A1589+1))))*(MAX(0,J1589/INDEX(Surface_Engine!$B$12:$B$72,$A1589+1)-(F1589/INDEX(Surface_Engine!$B$12:$B$72,$A1589+1))))+2*Assumptions!$B$28*(MAX(IF(D1589&lt;=0,0,MAX(0,(B1589/D1589)*H1589/INDEX(Surface_Engine!$B$12:$B$72,$A1589+1)-F1589/INDEX(Surface_Engine!$B$12:$B$72,$A1589+1))),IF(E1589&lt;=0,0,MAX(0,(B1589/E1589)*I1589/INDEX(Surface_Engine!$B$12:$B$72,$A1589+1)-F1589/INDEX(Surface_Engine!$B$12:$B$72,$A1589+1))),IF($A1589&lt;$Q$1581,MAX(0,-Assumptions!$B$22*(F1589/INDEX(Surface_Engine!$B$12:$B$72,$A1589+1))),0)))*(MAX(0,J1589/INDEX(Surface_Engine!$B$12:$B$72,$A1589+1)-(F1589/INDEX(Surface_Engine!$B$12:$B$72,$A1589+1)))))</f>
        <v>9688.14151945173</v>
      </c>
      <c r="L1589" s="48" t="n">
        <f aca="false">K1589*INDEX(Surface_Engine!$B$12:$B$72,$A1589+1)+L1590</f>
        <v>76219.5053223504</v>
      </c>
      <c r="M1589" s="48" t="n">
        <f aca="false">M1588+B1588*(IF($A1588&lt;$Q$1581,(Surface_Engine!L251*12)-(Surface_Engine!L251*12)*INDEX(Surface_Engine!$F$12:$F$72,$A1588+1)-INDEX(Surface_Engine!$D$12:$D$72,$A1588+1),-(1000*12*INDEX(Surface_Engine!$C$12:$C$72,$A1588+1)/(1+Assumptions!$B$10)^10+INDEX(Surface_Engine!$D$12:$D$72,$A1588+1))))*INDEX(Surface_Engine!$B$12:$B$72,$A1588+1)</f>
        <v>30145.337719722</v>
      </c>
      <c r="N1589" s="12" t="n">
        <f aca="false">IF(B1589&lt;=0,0,MAX(0,(K1589+Assumptions!$B$29*L1589/INDEX(Surface_Engine!$B$12:$B$72,$A1589+1)-(M1589/INDEX(Surface_Engine!$B$12:$B$72,$A1589+1)-(F1589/INDEX(Surface_Engine!$B$12:$B$72,$A1589+1))))/B1589))</f>
        <v>16769.2298180154</v>
      </c>
    </row>
    <row r="1590" customFormat="false" ht="15" hidden="false" customHeight="true" outlineLevel="0" collapsed="false">
      <c r="A1590" s="1" t="n">
        <v>7</v>
      </c>
      <c r="B1590" s="32" t="n">
        <f aca="false">INDEX(Surface_Engine!$V$12:$V$72,$A1590+1)*IF($A1590&lt;$Q$1581,INDEX(Surface_Engine!$E$12:$E$72,$A1590+1),INDEX(Surface_Engine!$E$12:$E$72,$Q$1581+1))</f>
        <v>0.740088994099412</v>
      </c>
      <c r="C1590" s="32" t="n">
        <f aca="false">INDEX(Panel_Reserving!$H$8:$H$68,$A1590+1)*IF($A1590&lt;$Q$1581,INDEX(Surface_Engine!$E$12:$E$72,$A1590+1),INDEX(Surface_Engine!$E$12:$E$72,$Q$1581+1))</f>
        <v>0.76738620141526</v>
      </c>
      <c r="D1590" s="32" t="n">
        <f aca="false">INDEX(Surface_Engine!$V$12:$V$72,$A1590+1)*IF($A1590&lt;$Q$1581,INDEX(Surface_Engine!$Y$12:$Y$72,$A1590+1),INDEX(Surface_Engine!$Y$12:$Y$72,$Q$1581+1))</f>
        <v>0.695575542451843</v>
      </c>
      <c r="E1590" s="32" t="n">
        <f aca="false">INDEX(Surface_Engine!$V$12:$V$72,$A1590+1)*IF($A1590&lt;$Q$1581,INDEX(Surface_Engine!$Z$12:$Z$72,$A1590+1),INDEX(Surface_Engine!$Z$12:$Z$72,$Q$1581+1))</f>
        <v>0.786861307812132</v>
      </c>
      <c r="F1590" s="48" t="n">
        <f aca="false">B1590*(IF($A1590&lt;$Q$1581,INDEX(Surface_Engine!$D$12:$D$72,$A1590+1)+(Surface_Engine!L251*12)*INDEX(Surface_Engine!$F$12:$F$72,$A1590+1)-(Surface_Engine!L251*12),1000*12*INDEX(Surface_Engine!$C$12:$C$72,$A1590+1)/(1+Assumptions!$B$10)^10+INDEX(Surface_Engine!$D$12:$D$72,$A1590+1)))*INDEX(Surface_Engine!$B$12:$B$72,$A1590+1)+F1591</f>
        <v>33298.6348674829</v>
      </c>
      <c r="G1590" s="48" t="n">
        <f aca="false">C1590*(IF($A1590&lt;$Q$1581,INDEX(Surface_Engine!$D$12:$D$72,$A1590+1)+(Surface_Engine!L251*12)*INDEX(Surface_Engine!$F$12:$F$72,$A1590+1)-(Surface_Engine!L251*12),1000*12*INDEX(Surface_Engine!$C$12:$C$72,$A1590+1)/(1+Assumptions!$B$10)^10+INDEX(Surface_Engine!$D$12:$D$72,$A1590+1)))*INDEX(Surface_Engine!$B$12:$B$72,$A1590+1)+G1591</f>
        <v>42531.5551417353</v>
      </c>
      <c r="H1590" s="48" t="n">
        <f aca="false">D1590*(IF($A1590&lt;$Q$1581,INDEX(Surface_Engine!$D$12:$D$72,$A1590+1)+(Surface_Engine!L251*12)*INDEX(Surface_Engine!$F$12:$F$72,$A1590+1)-(Surface_Engine!L251*12),1000*12*INDEX(Surface_Engine!$C$12:$C$72,$A1590+1)/(1+Assumptions!$B$10)^10+INDEX(Surface_Engine!$D$12:$D$72,$A1590+1)))*INDEX(Surface_Engine!$B$12:$B$72,$A1590+1)+H1591</f>
        <v>30755.329534215</v>
      </c>
      <c r="I1590" s="48" t="n">
        <f aca="false">E1590*(IF($A1590&lt;$Q$1581,INDEX(Surface_Engine!$D$12:$D$72,$A1590+1)+(Surface_Engine!L251*12)*INDEX(Surface_Engine!$F$12:$F$72,$A1590+1)-(Surface_Engine!L251*12),1000*12*INDEX(Surface_Engine!$C$12:$C$72,$A1590+1)/(1+Assumptions!$B$10)^10+INDEX(Surface_Engine!$D$12:$D$72,$A1590+1)))*INDEX(Surface_Engine!$B$12:$B$72,$A1590+1)+I1591</f>
        <v>36020.514252277</v>
      </c>
      <c r="J1590" s="48" t="n">
        <f aca="false">B1590*(IF($A1590&lt;$Q$1581,INDEX(Surface_Engine!$D$12:$D$72,$A1590+1)*(1+Assumptions!$B$24)+(Surface_Engine!L251*12)*INDEX(Surface_Engine!$F$12:$F$72,$A1590+1)-(Surface_Engine!L251*12),1000*12*INDEX(Surface_Engine!$C$12:$C$72,$A1590+1)/(1+Assumptions!$B$10)^10+INDEX(Surface_Engine!$D$12:$D$72,$A1590+1)*(1+Assumptions!$B$24)))*INDEX(Surface_Engine!$B$12:$B$72,$A1590+1)+J1591</f>
        <v>33356.4012083464</v>
      </c>
      <c r="K1590" s="12" t="n">
        <f aca="false">SQRT((IF(C1590&lt;=0,0,MAX(0,(B1590/C1590)*G1590/INDEX(Surface_Engine!$B$12:$B$72,$A1590+1)-F1590/INDEX(Surface_Engine!$B$12:$B$72,$A1590+1))))^2+(MAX(IF(D1590&lt;=0,0,MAX(0,(B1590/D1590)*H1590/INDEX(Surface_Engine!$B$12:$B$72,$A1590+1)-F1590/INDEX(Surface_Engine!$B$12:$B$72,$A1590+1))),IF(E1590&lt;=0,0,MAX(0,(B1590/E1590)*I1590/INDEX(Surface_Engine!$B$12:$B$72,$A1590+1)-F1590/INDEX(Surface_Engine!$B$12:$B$72,$A1590+1))),IF($A1590&lt;$Q$1581,MAX(0,-Assumptions!$B$22*(F1590/INDEX(Surface_Engine!$B$12:$B$72,$A1590+1))),0)))^2+(MAX(0,J1590/INDEX(Surface_Engine!$B$12:$B$72,$A1590+1)-(F1590/INDEX(Surface_Engine!$B$12:$B$72,$A1590+1))))^2+2*Assumptions!$B$26*(IF(C1590&lt;=0,0,MAX(0,(B1590/C1590)*G1590/INDEX(Surface_Engine!$B$12:$B$72,$A1590+1)-F1590/INDEX(Surface_Engine!$B$12:$B$72,$A1590+1))))*(MAX(IF(D1590&lt;=0,0,MAX(0,(B1590/D1590)*H1590/INDEX(Surface_Engine!$B$12:$B$72,$A1590+1)-F1590/INDEX(Surface_Engine!$B$12:$B$72,$A1590+1))),IF(E1590&lt;=0,0,MAX(0,(B1590/E1590)*I1590/INDEX(Surface_Engine!$B$12:$B$72,$A1590+1)-F1590/INDEX(Surface_Engine!$B$12:$B$72,$A1590+1))),IF($A1590&lt;$Q$1581,MAX(0,-Assumptions!$B$22*(F1590/INDEX(Surface_Engine!$B$12:$B$72,$A1590+1))),0)))+2*Assumptions!$B$27*(IF(C1590&lt;=0,0,MAX(0,(B1590/C1590)*G1590/INDEX(Surface_Engine!$B$12:$B$72,$A1590+1)-F1590/INDEX(Surface_Engine!$B$12:$B$72,$A1590+1))))*(MAX(0,J1590/INDEX(Surface_Engine!$B$12:$B$72,$A1590+1)-(F1590/INDEX(Surface_Engine!$B$12:$B$72,$A1590+1))))+2*Assumptions!$B$28*(MAX(IF(D1590&lt;=0,0,MAX(0,(B1590/D1590)*H1590/INDEX(Surface_Engine!$B$12:$B$72,$A1590+1)-F1590/INDEX(Surface_Engine!$B$12:$B$72,$A1590+1))),IF(E1590&lt;=0,0,MAX(0,(B1590/E1590)*I1590/INDEX(Surface_Engine!$B$12:$B$72,$A1590+1)-F1590/INDEX(Surface_Engine!$B$12:$B$72,$A1590+1))),IF($A1590&lt;$Q$1581,MAX(0,-Assumptions!$B$22*(F1590/INDEX(Surface_Engine!$B$12:$B$72,$A1590+1))),0)))*(MAX(0,J1590/INDEX(Surface_Engine!$B$12:$B$72,$A1590+1)-(F1590/INDEX(Surface_Engine!$B$12:$B$72,$A1590+1)))))</f>
        <v>9554.21324583272</v>
      </c>
      <c r="L1590" s="48" t="n">
        <f aca="false">K1590*INDEX(Surface_Engine!$B$12:$B$72,$A1590+1)+L1591</f>
        <v>67965.4840968356</v>
      </c>
      <c r="M1590" s="48" t="n">
        <f aca="false">M1589+B1589*(IF($A1589&lt;$Q$1581,(Surface_Engine!L251*12)-(Surface_Engine!L251*12)*INDEX(Surface_Engine!$F$12:$F$72,$A1589+1)-INDEX(Surface_Engine!$D$12:$D$72,$A1589+1),-(1000*12*INDEX(Surface_Engine!$C$12:$C$72,$A1589+1)/(1+Assumptions!$B$10)^10+INDEX(Surface_Engine!$D$12:$D$72,$A1589+1))))*INDEX(Surface_Engine!$B$12:$B$72,$A1589+1)</f>
        <v>35064.4895146498</v>
      </c>
      <c r="N1590" s="12" t="n">
        <f aca="false">IF(B1590&lt;=0,0,MAX(0,(K1590+Assumptions!$B$29*L1590/INDEX(Surface_Engine!$B$12:$B$72,$A1590+1)-(M1590/INDEX(Surface_Engine!$B$12:$B$72,$A1590+1)-(F1590/INDEX(Surface_Engine!$B$12:$B$72,$A1590+1))))/B1590))</f>
        <v>16686.9264168708</v>
      </c>
    </row>
    <row r="1591" customFormat="false" ht="15" hidden="false" customHeight="true" outlineLevel="0" collapsed="false">
      <c r="A1591" s="1" t="n">
        <v>8</v>
      </c>
      <c r="B1591" s="32" t="n">
        <f aca="false">INDEX(Surface_Engine!$V$12:$V$72,$A1591+1)*IF($A1591&lt;$Q$1581,INDEX(Surface_Engine!$E$12:$E$72,$A1591+1),INDEX(Surface_Engine!$E$12:$E$72,$Q$1581+1))</f>
        <v>0.704282549469631</v>
      </c>
      <c r="C1591" s="32" t="n">
        <f aca="false">INDEX(Panel_Reserving!$H$8:$H$68,$A1591+1)*IF($A1591&lt;$Q$1581,INDEX(Surface_Engine!$E$12:$E$72,$A1591+1),INDEX(Surface_Engine!$E$12:$E$72,$Q$1581+1))</f>
        <v>0.736287864003074</v>
      </c>
      <c r="D1591" s="32" t="n">
        <f aca="false">INDEX(Surface_Engine!$V$12:$V$72,$A1591+1)*IF($A1591&lt;$Q$1581,INDEX(Surface_Engine!$Y$12:$Y$72,$A1591+1),INDEX(Surface_Engine!$Y$12:$Y$72,$Q$1581+1))</f>
        <v>0.658883308138675</v>
      </c>
      <c r="E1591" s="32" t="n">
        <f aca="false">INDEX(Surface_Engine!$V$12:$V$72,$A1591+1)*IF($A1591&lt;$Q$1581,INDEX(Surface_Engine!$Z$12:$Z$72,$A1591+1),INDEX(Surface_Engine!$Z$12:$Z$72,$Q$1581+1))</f>
        <v>0.752230251166593</v>
      </c>
      <c r="F1591" s="48" t="n">
        <f aca="false">B1591*(IF($A1591&lt;$Q$1581,INDEX(Surface_Engine!$D$12:$D$72,$A1591+1)+(Surface_Engine!L251*12)*INDEX(Surface_Engine!$F$12:$F$72,$A1591+1)-(Surface_Engine!L251*12),1000*12*INDEX(Surface_Engine!$C$12:$C$72,$A1591+1)/(1+Assumptions!$B$10)^10+INDEX(Surface_Engine!$D$12:$D$72,$A1591+1)))*INDEX(Surface_Engine!$B$12:$B$72,$A1591+1)+F1592</f>
        <v>37861.8230927666</v>
      </c>
      <c r="G1591" s="48" t="n">
        <f aca="false">C1591*(IF($A1591&lt;$Q$1581,INDEX(Surface_Engine!$D$12:$D$72,$A1591+1)+(Surface_Engine!L251*12)*INDEX(Surface_Engine!$F$12:$F$72,$A1591+1)-(Surface_Engine!L251*12),1000*12*INDEX(Surface_Engine!$C$12:$C$72,$A1591+1)/(1+Assumptions!$B$10)^10+INDEX(Surface_Engine!$D$12:$D$72,$A1591+1)))*INDEX(Surface_Engine!$B$12:$B$72,$A1591+1)+G1592</f>
        <v>47263.0505516953</v>
      </c>
      <c r="H1591" s="48" t="n">
        <f aca="false">D1591*(IF($A1591&lt;$Q$1581,INDEX(Surface_Engine!$D$12:$D$72,$A1591+1)+(Surface_Engine!L251*12)*INDEX(Surface_Engine!$F$12:$F$72,$A1591+1)-(Surface_Engine!L251*12),1000*12*INDEX(Surface_Engine!$C$12:$C$72,$A1591+1)/(1+Assumptions!$B$10)^10+INDEX(Surface_Engine!$D$12:$D$72,$A1591+1)))*INDEX(Surface_Engine!$B$12:$B$72,$A1591+1)+H1592</f>
        <v>35044.0598766705</v>
      </c>
      <c r="I1591" s="48" t="n">
        <f aca="false">E1591*(IF($A1591&lt;$Q$1581,INDEX(Surface_Engine!$D$12:$D$72,$A1591+1)+(Surface_Engine!L251*12)*INDEX(Surface_Engine!$F$12:$F$72,$A1591+1)-(Surface_Engine!L251*12),1000*12*INDEX(Surface_Engine!$C$12:$C$72,$A1591+1)/(1+Assumptions!$B$10)^10+INDEX(Surface_Engine!$D$12:$D$72,$A1591+1)))*INDEX(Surface_Engine!$B$12:$B$72,$A1591+1)+I1592</f>
        <v>40872.0878918889</v>
      </c>
      <c r="J1591" s="48" t="n">
        <f aca="false">B1591*(IF($A1591&lt;$Q$1581,INDEX(Surface_Engine!$D$12:$D$72,$A1591+1)*(1+Assumptions!$B$24)+(Surface_Engine!L251*12)*INDEX(Surface_Engine!$F$12:$F$72,$A1591+1)-(Surface_Engine!L251*12),1000*12*INDEX(Surface_Engine!$C$12:$C$72,$A1591+1)/(1+Assumptions!$B$10)^10+INDEX(Surface_Engine!$D$12:$D$72,$A1591+1)*(1+Assumptions!$B$24)))*INDEX(Surface_Engine!$B$12:$B$72,$A1591+1)+J1592</f>
        <v>37913.623312836</v>
      </c>
      <c r="K1591" s="12" t="n">
        <f aca="false">SQRT((IF(C1591&lt;=0,0,MAX(0,(B1591/C1591)*G1591/INDEX(Surface_Engine!$B$12:$B$72,$A1591+1)-F1591/INDEX(Surface_Engine!$B$12:$B$72,$A1591+1))))^2+(MAX(IF(D1591&lt;=0,0,MAX(0,(B1591/D1591)*H1591/INDEX(Surface_Engine!$B$12:$B$72,$A1591+1)-F1591/INDEX(Surface_Engine!$B$12:$B$72,$A1591+1))),IF(E1591&lt;=0,0,MAX(0,(B1591/E1591)*I1591/INDEX(Surface_Engine!$B$12:$B$72,$A1591+1)-F1591/INDEX(Surface_Engine!$B$12:$B$72,$A1591+1))),IF($A1591&lt;$Q$1581,MAX(0,-Assumptions!$B$22*(F1591/INDEX(Surface_Engine!$B$12:$B$72,$A1591+1))),0)))^2+(MAX(0,J1591/INDEX(Surface_Engine!$B$12:$B$72,$A1591+1)-(F1591/INDEX(Surface_Engine!$B$12:$B$72,$A1591+1))))^2+2*Assumptions!$B$26*(IF(C1591&lt;=0,0,MAX(0,(B1591/C1591)*G1591/INDEX(Surface_Engine!$B$12:$B$72,$A1591+1)-F1591/INDEX(Surface_Engine!$B$12:$B$72,$A1591+1))))*(MAX(IF(D1591&lt;=0,0,MAX(0,(B1591/D1591)*H1591/INDEX(Surface_Engine!$B$12:$B$72,$A1591+1)-F1591/INDEX(Surface_Engine!$B$12:$B$72,$A1591+1))),IF(E1591&lt;=0,0,MAX(0,(B1591/E1591)*I1591/INDEX(Surface_Engine!$B$12:$B$72,$A1591+1)-F1591/INDEX(Surface_Engine!$B$12:$B$72,$A1591+1))),IF($A1591&lt;$Q$1581,MAX(0,-Assumptions!$B$22*(F1591/INDEX(Surface_Engine!$B$12:$B$72,$A1591+1))),0)))+2*Assumptions!$B$27*(IF(C1591&lt;=0,0,MAX(0,(B1591/C1591)*G1591/INDEX(Surface_Engine!$B$12:$B$72,$A1591+1)-F1591/INDEX(Surface_Engine!$B$12:$B$72,$A1591+1))))*(MAX(0,J1591/INDEX(Surface_Engine!$B$12:$B$72,$A1591+1)-(F1591/INDEX(Surface_Engine!$B$12:$B$72,$A1591+1))))+2*Assumptions!$B$28*(MAX(IF(D1591&lt;=0,0,MAX(0,(B1591/D1591)*H1591/INDEX(Surface_Engine!$B$12:$B$72,$A1591+1)-F1591/INDEX(Surface_Engine!$B$12:$B$72,$A1591+1))),IF(E1591&lt;=0,0,MAX(0,(B1591/E1591)*I1591/INDEX(Surface_Engine!$B$12:$B$72,$A1591+1)-F1591/INDEX(Surface_Engine!$B$12:$B$72,$A1591+1))),IF($A1591&lt;$Q$1581,MAX(0,-Assumptions!$B$22*(F1591/INDEX(Surface_Engine!$B$12:$B$72,$A1591+1))),0)))*(MAX(0,J1591/INDEX(Surface_Engine!$B$12:$B$72,$A1591+1)-(F1591/INDEX(Surface_Engine!$B$12:$B$72,$A1591+1)))))</f>
        <v>9318.67010732212</v>
      </c>
      <c r="L1591" s="48" t="n">
        <f aca="false">K1591*INDEX(Surface_Engine!$B$12:$B$72,$A1591+1)+L1592</f>
        <v>60063.7553593878</v>
      </c>
      <c r="M1591" s="48" t="n">
        <f aca="false">M1590+B1590*(IF($A1590&lt;$Q$1581,(Surface_Engine!L251*12)-(Surface_Engine!L251*12)*INDEX(Surface_Engine!$F$12:$F$72,$A1590+1)-INDEX(Surface_Engine!$D$12:$D$72,$A1590+1),-(1000*12*INDEX(Surface_Engine!$C$12:$C$72,$A1590+1)/(1+Assumptions!$B$10)^10+INDEX(Surface_Engine!$D$12:$D$72,$A1590+1))))*INDEX(Surface_Engine!$B$12:$B$72,$A1590+1)</f>
        <v>39627.6777399335</v>
      </c>
      <c r="N1591" s="12" t="n">
        <f aca="false">IF(B1591&lt;=0,0,MAX(0,(K1591+Assumptions!$B$29*L1591/INDEX(Surface_Engine!$B$12:$B$72,$A1591+1)-(M1591/INDEX(Surface_Engine!$B$12:$B$72,$A1591+1)-(F1591/INDEX(Surface_Engine!$B$12:$B$72,$A1591+1))))/B1591))</f>
        <v>16485.8222117636</v>
      </c>
    </row>
    <row r="1592" customFormat="false" ht="15" hidden="false" customHeight="true" outlineLevel="0" collapsed="false">
      <c r="A1592" s="1" t="n">
        <v>9</v>
      </c>
      <c r="B1592" s="32" t="n">
        <f aca="false">INDEX(Surface_Engine!$V$12:$V$72,$A1592+1)*IF($A1592&lt;$Q$1581,INDEX(Surface_Engine!$E$12:$E$72,$A1592+1),INDEX(Surface_Engine!$E$12:$E$72,$Q$1581+1))</f>
        <v>0.666825119260145</v>
      </c>
      <c r="C1592" s="32" t="n">
        <f aca="false">INDEX(Panel_Reserving!$H$8:$H$68,$A1592+1)*IF($A1592&lt;$Q$1581,INDEX(Surface_Engine!$E$12:$E$72,$A1592+1),INDEX(Surface_Engine!$E$12:$E$72,$Q$1581+1))</f>
        <v>0.703620107881043</v>
      </c>
      <c r="D1592" s="32" t="n">
        <f aca="false">INDEX(Surface_Engine!$V$12:$V$72,$A1592+1)*IF($A1592&lt;$Q$1581,INDEX(Surface_Engine!$Y$12:$Y$72,$A1592+1),INDEX(Surface_Engine!$Y$12:$Y$72,$Q$1581+1))</f>
        <v>0.620975905714194</v>
      </c>
      <c r="E1592" s="32" t="n">
        <f aca="false">INDEX(Surface_Engine!$V$12:$V$72,$A1592+1)*IF($A1592&lt;$Q$1581,INDEX(Surface_Engine!$Z$12:$Z$72,$A1592+1),INDEX(Surface_Engine!$Z$12:$Z$72,$Q$1581+1))</f>
        <v>0.715493085095502</v>
      </c>
      <c r="F1592" s="48" t="n">
        <f aca="false">B1592*(IF($A1592&lt;$Q$1581,INDEX(Surface_Engine!$D$12:$D$72,$A1592+1)+(Surface_Engine!L251*12)*INDEX(Surface_Engine!$F$12:$F$72,$A1592+1)-(Surface_Engine!L251*12),1000*12*INDEX(Surface_Engine!$C$12:$C$72,$A1592+1)/(1+Assumptions!$B$10)^10+INDEX(Surface_Engine!$D$12:$D$72,$A1592+1)))*INDEX(Surface_Engine!$B$12:$B$72,$A1592+1)+F1593</f>
        <v>42070.8807936411</v>
      </c>
      <c r="G1592" s="48" t="n">
        <f aca="false">C1592*(IF($A1592&lt;$Q$1581,INDEX(Surface_Engine!$D$12:$D$72,$A1592+1)+(Surface_Engine!L251*12)*INDEX(Surface_Engine!$F$12:$F$72,$A1592+1)-(Surface_Engine!L251*12),1000*12*INDEX(Surface_Engine!$C$12:$C$72,$A1592+1)/(1+Assumptions!$B$10)^10+INDEX(Surface_Engine!$D$12:$D$72,$A1592+1)))*INDEX(Surface_Engine!$B$12:$B$72,$A1592+1)+G1593</f>
        <v>51663.3840632616</v>
      </c>
      <c r="H1592" s="48" t="n">
        <f aca="false">D1592*(IF($A1592&lt;$Q$1581,INDEX(Surface_Engine!$D$12:$D$72,$A1592+1)+(Surface_Engine!L251*12)*INDEX(Surface_Engine!$F$12:$F$72,$A1592+1)-(Surface_Engine!L251*12),1000*12*INDEX(Surface_Engine!$C$12:$C$72,$A1592+1)/(1+Assumptions!$B$10)^10+INDEX(Surface_Engine!$D$12:$D$72,$A1592+1)))*INDEX(Surface_Engine!$B$12:$B$72,$A1592+1)+H1593</f>
        <v>38981.7946170629</v>
      </c>
      <c r="I1592" s="48" t="n">
        <f aca="false">E1592*(IF($A1592&lt;$Q$1581,INDEX(Surface_Engine!$D$12:$D$72,$A1592+1)+(Surface_Engine!L251*12)*INDEX(Surface_Engine!$F$12:$F$72,$A1592+1)-(Surface_Engine!L251*12),1000*12*INDEX(Surface_Engine!$C$12:$C$72,$A1592+1)/(1+Assumptions!$B$10)^10+INDEX(Surface_Engine!$D$12:$D$72,$A1592+1)))*INDEX(Surface_Engine!$B$12:$B$72,$A1592+1)+I1593</f>
        <v>45367.6991119707</v>
      </c>
      <c r="J1592" s="48" t="n">
        <f aca="false">B1592*(IF($A1592&lt;$Q$1581,INDEX(Surface_Engine!$D$12:$D$72,$A1592+1)*(1+Assumptions!$B$24)+(Surface_Engine!L251*12)*INDEX(Surface_Engine!$F$12:$F$72,$A1592+1)-(Surface_Engine!L251*12),1000*12*INDEX(Surface_Engine!$C$12:$C$72,$A1592+1)/(1+Assumptions!$B$10)^10+INDEX(Surface_Engine!$D$12:$D$72,$A1592+1)*(1+Assumptions!$B$24)))*INDEX(Surface_Engine!$B$12:$B$72,$A1592+1)+J1593</f>
        <v>42117.0384771588</v>
      </c>
      <c r="K1592" s="12" t="n">
        <f aca="false">SQRT((IF(C1592&lt;=0,0,MAX(0,(B1592/C1592)*G1592/INDEX(Surface_Engine!$B$12:$B$72,$A1592+1)-F1592/INDEX(Surface_Engine!$B$12:$B$72,$A1592+1))))^2+(MAX(IF(D1592&lt;=0,0,MAX(0,(B1592/D1592)*H1592/INDEX(Surface_Engine!$B$12:$B$72,$A1592+1)-F1592/INDEX(Surface_Engine!$B$12:$B$72,$A1592+1))),IF(E1592&lt;=0,0,MAX(0,(B1592/E1592)*I1592/INDEX(Surface_Engine!$B$12:$B$72,$A1592+1)-F1592/INDEX(Surface_Engine!$B$12:$B$72,$A1592+1))),IF($A1592&lt;$Q$1581,MAX(0,-Assumptions!$B$22*(F1592/INDEX(Surface_Engine!$B$12:$B$72,$A1592+1))),0)))^2+(MAX(0,J1592/INDEX(Surface_Engine!$B$12:$B$72,$A1592+1)-(F1592/INDEX(Surface_Engine!$B$12:$B$72,$A1592+1))))^2+2*Assumptions!$B$26*(IF(C1592&lt;=0,0,MAX(0,(B1592/C1592)*G1592/INDEX(Surface_Engine!$B$12:$B$72,$A1592+1)-F1592/INDEX(Surface_Engine!$B$12:$B$72,$A1592+1))))*(MAX(IF(D1592&lt;=0,0,MAX(0,(B1592/D1592)*H1592/INDEX(Surface_Engine!$B$12:$B$72,$A1592+1)-F1592/INDEX(Surface_Engine!$B$12:$B$72,$A1592+1))),IF(E1592&lt;=0,0,MAX(0,(B1592/E1592)*I1592/INDEX(Surface_Engine!$B$12:$B$72,$A1592+1)-F1592/INDEX(Surface_Engine!$B$12:$B$72,$A1592+1))),IF($A1592&lt;$Q$1581,MAX(0,-Assumptions!$B$22*(F1592/INDEX(Surface_Engine!$B$12:$B$72,$A1592+1))),0)))+2*Assumptions!$B$27*(IF(C1592&lt;=0,0,MAX(0,(B1592/C1592)*G1592/INDEX(Surface_Engine!$B$12:$B$72,$A1592+1)-F1592/INDEX(Surface_Engine!$B$12:$B$72,$A1592+1))))*(MAX(0,J1592/INDEX(Surface_Engine!$B$12:$B$72,$A1592+1)-(F1592/INDEX(Surface_Engine!$B$12:$B$72,$A1592+1))))+2*Assumptions!$B$28*(MAX(IF(D1592&lt;=0,0,MAX(0,(B1592/D1592)*H1592/INDEX(Surface_Engine!$B$12:$B$72,$A1592+1)-F1592/INDEX(Surface_Engine!$B$12:$B$72,$A1592+1))),IF(E1592&lt;=0,0,MAX(0,(B1592/E1592)*I1592/INDEX(Surface_Engine!$B$12:$B$72,$A1592+1)-F1592/INDEX(Surface_Engine!$B$12:$B$72,$A1592+1))),IF($A1592&lt;$Q$1581,MAX(0,-Assumptions!$B$22*(F1592/INDEX(Surface_Engine!$B$12:$B$72,$A1592+1))),0)))*(MAX(0,J1592/INDEX(Surface_Engine!$B$12:$B$72,$A1592+1)-(F1592/INDEX(Surface_Engine!$B$12:$B$72,$A1592+1)))))</f>
        <v>8959.04582286246</v>
      </c>
      <c r="L1592" s="48" t="n">
        <f aca="false">K1592*INDEX(Surface_Engine!$B$12:$B$72,$A1592+1)+L1593</f>
        <v>52591.0713971291</v>
      </c>
      <c r="M1592" s="48" t="n">
        <f aca="false">M1591+B1591*(IF($A1591&lt;$Q$1581,(Surface_Engine!L251*12)-(Surface_Engine!L251*12)*INDEX(Surface_Engine!$F$12:$F$72,$A1591+1)-INDEX(Surface_Engine!$D$12:$D$72,$A1591+1),-(1000*12*INDEX(Surface_Engine!$C$12:$C$72,$A1591+1)/(1+Assumptions!$B$10)^10+INDEX(Surface_Engine!$D$12:$D$72,$A1591+1))))*INDEX(Surface_Engine!$B$12:$B$72,$A1591+1)</f>
        <v>43836.7354408079</v>
      </c>
      <c r="N1592" s="12" t="n">
        <f aca="false">IF(B1592&lt;=0,0,MAX(0,(K1592+Assumptions!$B$29*L1592/INDEX(Surface_Engine!$B$12:$B$72,$A1592+1)-(M1592/INDEX(Surface_Engine!$B$12:$B$72,$A1592+1)-(F1592/INDEX(Surface_Engine!$B$12:$B$72,$A1592+1))))/B1592))</f>
        <v>16118.2818094528</v>
      </c>
    </row>
    <row r="1593" customFormat="false" ht="15" hidden="false" customHeight="true" outlineLevel="0" collapsed="false">
      <c r="A1593" s="1" t="n">
        <v>10</v>
      </c>
      <c r="B1593" s="32" t="n">
        <f aca="false">INDEX(Surface_Engine!$V$12:$V$72,$A1593+1)*IF($A1593&lt;$Q$1581,INDEX(Surface_Engine!$E$12:$E$72,$A1593+1),INDEX(Surface_Engine!$E$12:$E$72,$Q$1581+1))</f>
        <v>0.627780585628611</v>
      </c>
      <c r="C1593" s="32" t="n">
        <f aca="false">INDEX(Panel_Reserving!$H$8:$H$68,$A1593+1)*IF($A1593&lt;$Q$1581,INDEX(Surface_Engine!$E$12:$E$72,$A1593+1),INDEX(Surface_Engine!$E$12:$E$72,$Q$1581+1))</f>
        <v>0.669380330228995</v>
      </c>
      <c r="D1593" s="32" t="n">
        <f aca="false">INDEX(Surface_Engine!$V$12:$V$72,$A1593+1)*IF($A1593&lt;$Q$1581,INDEX(Surface_Engine!$Y$12:$Y$72,$A1593+1),INDEX(Surface_Engine!$Y$12:$Y$72,$Q$1581+1))</f>
        <v>0.581931544737584</v>
      </c>
      <c r="E1593" s="32" t="n">
        <f aca="false">INDEX(Surface_Engine!$V$12:$V$72,$A1593+1)*IF($A1593&lt;$Q$1581,INDEX(Surface_Engine!$Z$12:$Z$72,$A1593+1),INDEX(Surface_Engine!$Z$12:$Z$72,$Q$1581+1))</f>
        <v>0.676691923220773</v>
      </c>
      <c r="F1593" s="48" t="n">
        <f aca="false">B1593*(IF($A1593&lt;$Q$1581,INDEX(Surface_Engine!$D$12:$D$72,$A1593+1)+(Surface_Engine!L251*12)*INDEX(Surface_Engine!$F$12:$F$72,$A1593+1)-(Surface_Engine!L251*12),1000*12*INDEX(Surface_Engine!$C$12:$C$72,$A1593+1)/(1+Assumptions!$B$10)^10+INDEX(Surface_Engine!$D$12:$D$72,$A1593+1)))*INDEX(Surface_Engine!$B$12:$B$72,$A1593+1)+F1594</f>
        <v>45929.7228031725</v>
      </c>
      <c r="G1593" s="48" t="n">
        <f aca="false">C1593*(IF($A1593&lt;$Q$1581,INDEX(Surface_Engine!$D$12:$D$72,$A1593+1)+(Surface_Engine!L251*12)*INDEX(Surface_Engine!$F$12:$F$72,$A1593+1)-(Surface_Engine!L251*12),1000*12*INDEX(Surface_Engine!$C$12:$C$72,$A1593+1)/(1+Assumptions!$B$10)^10+INDEX(Surface_Engine!$D$12:$D$72,$A1593+1)))*INDEX(Surface_Engine!$B$12:$B$72,$A1593+1)+G1594</f>
        <v>55735.154535938</v>
      </c>
      <c r="H1593" s="48" t="n">
        <f aca="false">D1593*(IF($A1593&lt;$Q$1581,INDEX(Surface_Engine!$D$12:$D$72,$A1593+1)+(Surface_Engine!L251*12)*INDEX(Surface_Engine!$F$12:$F$72,$A1593+1)-(Surface_Engine!L251*12),1000*12*INDEX(Surface_Engine!$C$12:$C$72,$A1593+1)/(1+Assumptions!$B$10)^10+INDEX(Surface_Engine!$D$12:$D$72,$A1593+1)))*INDEX(Surface_Engine!$B$12:$B$72,$A1593+1)+H1594</f>
        <v>42575.3123815638</v>
      </c>
      <c r="I1593" s="48" t="n">
        <f aca="false">E1593*(IF($A1593&lt;$Q$1581,INDEX(Surface_Engine!$D$12:$D$72,$A1593+1)+(Surface_Engine!L251*12)*INDEX(Surface_Engine!$F$12:$F$72,$A1593+1)-(Surface_Engine!L251*12),1000*12*INDEX(Surface_Engine!$C$12:$C$72,$A1593+1)/(1+Assumptions!$B$10)^10+INDEX(Surface_Engine!$D$12:$D$72,$A1593+1)))*INDEX(Surface_Engine!$B$12:$B$72,$A1593+1)+I1594</f>
        <v>49508.1771691847</v>
      </c>
      <c r="J1593" s="48" t="n">
        <f aca="false">B1593*(IF($A1593&lt;$Q$1581,INDEX(Surface_Engine!$D$12:$D$72,$A1593+1)*(1+Assumptions!$B$24)+(Surface_Engine!L251*12)*INDEX(Surface_Engine!$F$12:$F$72,$A1593+1)-(Surface_Engine!L251*12),1000*12*INDEX(Surface_Engine!$C$12:$C$72,$A1593+1)/(1+Assumptions!$B$10)^10+INDEX(Surface_Engine!$D$12:$D$72,$A1593+1)*(1+Assumptions!$B$24)))*INDEX(Surface_Engine!$B$12:$B$72,$A1593+1)+J1594</f>
        <v>45970.5763349496</v>
      </c>
      <c r="K1593" s="12" t="n">
        <f aca="false">SQRT((IF(C1593&lt;=0,0,MAX(0,(B1593/C1593)*G1593/INDEX(Surface_Engine!$B$12:$B$72,$A1593+1)-F1593/INDEX(Surface_Engine!$B$12:$B$72,$A1593+1))))^2+(MAX(IF(D1593&lt;=0,0,MAX(0,(B1593/D1593)*H1593/INDEX(Surface_Engine!$B$12:$B$72,$A1593+1)-F1593/INDEX(Surface_Engine!$B$12:$B$72,$A1593+1))),IF(E1593&lt;=0,0,MAX(0,(B1593/E1593)*I1593/INDEX(Surface_Engine!$B$12:$B$72,$A1593+1)-F1593/INDEX(Surface_Engine!$B$12:$B$72,$A1593+1))),IF($A1593&lt;$Q$1581,MAX(0,-Assumptions!$B$22*(F1593/INDEX(Surface_Engine!$B$12:$B$72,$A1593+1))),0)))^2+(MAX(0,J1593/INDEX(Surface_Engine!$B$12:$B$72,$A1593+1)-(F1593/INDEX(Surface_Engine!$B$12:$B$72,$A1593+1))))^2+2*Assumptions!$B$26*(IF(C1593&lt;=0,0,MAX(0,(B1593/C1593)*G1593/INDEX(Surface_Engine!$B$12:$B$72,$A1593+1)-F1593/INDEX(Surface_Engine!$B$12:$B$72,$A1593+1))))*(MAX(IF(D1593&lt;=0,0,MAX(0,(B1593/D1593)*H1593/INDEX(Surface_Engine!$B$12:$B$72,$A1593+1)-F1593/INDEX(Surface_Engine!$B$12:$B$72,$A1593+1))),IF(E1593&lt;=0,0,MAX(0,(B1593/E1593)*I1593/INDEX(Surface_Engine!$B$12:$B$72,$A1593+1)-F1593/INDEX(Surface_Engine!$B$12:$B$72,$A1593+1))),IF($A1593&lt;$Q$1581,MAX(0,-Assumptions!$B$22*(F1593/INDEX(Surface_Engine!$B$12:$B$72,$A1593+1))),0)))+2*Assumptions!$B$27*(IF(C1593&lt;=0,0,MAX(0,(B1593/C1593)*G1593/INDEX(Surface_Engine!$B$12:$B$72,$A1593+1)-F1593/INDEX(Surface_Engine!$B$12:$B$72,$A1593+1))))*(MAX(0,J1593/INDEX(Surface_Engine!$B$12:$B$72,$A1593+1)-(F1593/INDEX(Surface_Engine!$B$12:$B$72,$A1593+1))))+2*Assumptions!$B$28*(MAX(IF(D1593&lt;=0,0,MAX(0,(B1593/D1593)*H1593/INDEX(Surface_Engine!$B$12:$B$72,$A1593+1)-F1593/INDEX(Surface_Engine!$B$12:$B$72,$A1593+1))),IF(E1593&lt;=0,0,MAX(0,(B1593/E1593)*I1593/INDEX(Surface_Engine!$B$12:$B$72,$A1593+1)-F1593/INDEX(Surface_Engine!$B$12:$B$72,$A1593+1))),IF($A1593&lt;$Q$1581,MAX(0,-Assumptions!$B$22*(F1593/INDEX(Surface_Engine!$B$12:$B$72,$A1593+1))),0)))*(MAX(0,J1593/INDEX(Surface_Engine!$B$12:$B$72,$A1593+1)-(F1593/INDEX(Surface_Engine!$B$12:$B$72,$A1593+1)))))</f>
        <v>8463.10074269823</v>
      </c>
      <c r="L1593" s="48" t="n">
        <f aca="false">K1593*INDEX(Surface_Engine!$B$12:$B$72,$A1593+1)+L1594</f>
        <v>45632.2273220032</v>
      </c>
      <c r="M1593" s="48" t="n">
        <f aca="false">M1592+B1592*(IF($A1592&lt;$Q$1581,(Surface_Engine!L251*12)-(Surface_Engine!L251*12)*INDEX(Surface_Engine!$F$12:$F$72,$A1592+1)-INDEX(Surface_Engine!$D$12:$D$72,$A1592+1),-(1000*12*INDEX(Surface_Engine!$C$12:$C$72,$A1592+1)/(1+Assumptions!$B$10)^10+INDEX(Surface_Engine!$D$12:$D$72,$A1592+1))))*INDEX(Surface_Engine!$B$12:$B$72,$A1592+1)</f>
        <v>47695.5774503394</v>
      </c>
      <c r="N1593" s="12" t="n">
        <f aca="false">IF(B1593&lt;=0,0,MAX(0,(K1593+Assumptions!$B$29*L1593/INDEX(Surface_Engine!$B$12:$B$72,$A1593+1)-(M1593/INDEX(Surface_Engine!$B$12:$B$72,$A1593+1)-(F1593/INDEX(Surface_Engine!$B$12:$B$72,$A1593+1))))/B1593))</f>
        <v>15544.0441902449</v>
      </c>
    </row>
    <row r="1594" customFormat="false" ht="15" hidden="false" customHeight="true" outlineLevel="0" collapsed="false">
      <c r="A1594" s="1" t="n">
        <v>11</v>
      </c>
      <c r="B1594" s="32" t="n">
        <f aca="false">INDEX(Surface_Engine!$V$12:$V$72,$A1594+1)*IF($A1594&lt;$Q$1581,INDEX(Surface_Engine!$E$12:$E$72,$A1594+1),INDEX(Surface_Engine!$E$12:$E$72,$Q$1581+1))</f>
        <v>0.591506605803532</v>
      </c>
      <c r="C1594" s="32" t="n">
        <f aca="false">INDEX(Panel_Reserving!$H$8:$H$68,$A1594+1)*IF($A1594&lt;$Q$1581,INDEX(Surface_Engine!$E$12:$E$72,$A1594+1),INDEX(Surface_Engine!$E$12:$E$72,$Q$1581+1))</f>
        <v>0.638438196432719</v>
      </c>
      <c r="D1594" s="32" t="n">
        <f aca="false">INDEX(Surface_Engine!$V$12:$V$72,$A1594+1)*IF($A1594&lt;$Q$1581,INDEX(Surface_Engine!$Y$12:$Y$72,$A1594+1),INDEX(Surface_Engine!$Y$12:$Y$72,$Q$1581+1))</f>
        <v>0.548306782206498</v>
      </c>
      <c r="E1594" s="32" t="n">
        <f aca="false">INDEX(Surface_Engine!$V$12:$V$72,$A1594+1)*IF($A1594&lt;$Q$1581,INDEX(Surface_Engine!$Z$12:$Z$72,$A1594+1),INDEX(Surface_Engine!$Z$12:$Z$72,$Q$1581+1))</f>
        <v>0.637591782610141</v>
      </c>
      <c r="F1594" s="48" t="n">
        <f aca="false">B1594*(IF($A1594&lt;$Q$1581,INDEX(Surface_Engine!$D$12:$D$72,$A1594+1)+(Surface_Engine!L251*12)*INDEX(Surface_Engine!$F$12:$F$72,$A1594+1)-(Surface_Engine!L251*12),1000*12*INDEX(Surface_Engine!$C$12:$C$72,$A1594+1)/(1+Assumptions!$B$10)^10+INDEX(Surface_Engine!$D$12:$D$72,$A1594+1)))*INDEX(Surface_Engine!$B$12:$B$72,$A1594+1)+F1595</f>
        <v>40226.0644303508</v>
      </c>
      <c r="G1594" s="48" t="n">
        <f aca="false">C1594*(IF($A1594&lt;$Q$1581,INDEX(Surface_Engine!$D$12:$D$72,$A1594+1)+(Surface_Engine!L251*12)*INDEX(Surface_Engine!$F$12:$F$72,$A1594+1)-(Surface_Engine!L251*12),1000*12*INDEX(Surface_Engine!$C$12:$C$72,$A1594+1)/(1+Assumptions!$B$10)^10+INDEX(Surface_Engine!$D$12:$D$72,$A1594+1)))*INDEX(Surface_Engine!$B$12:$B$72,$A1594+1)+G1595</f>
        <v>49653.5444758088</v>
      </c>
      <c r="H1594" s="48" t="n">
        <f aca="false">D1594*(IF($A1594&lt;$Q$1581,INDEX(Surface_Engine!$D$12:$D$72,$A1594+1)+(Surface_Engine!L251*12)*INDEX(Surface_Engine!$F$12:$F$72,$A1594+1)-(Surface_Engine!L251*12),1000*12*INDEX(Surface_Engine!$C$12:$C$72,$A1594+1)/(1+Assumptions!$B$10)^10+INDEX(Surface_Engine!$D$12:$D$72,$A1594+1)))*INDEX(Surface_Engine!$B$12:$B$72,$A1594+1)+H1595</f>
        <v>37288.2123922769</v>
      </c>
      <c r="I1594" s="48" t="n">
        <f aca="false">E1594*(IF($A1594&lt;$Q$1581,INDEX(Surface_Engine!$D$12:$D$72,$A1594+1)+(Surface_Engine!L251*12)*INDEX(Surface_Engine!$F$12:$F$72,$A1594+1)-(Surface_Engine!L251*12),1000*12*INDEX(Surface_Engine!$C$12:$C$72,$A1594+1)/(1+Assumptions!$B$10)^10+INDEX(Surface_Engine!$D$12:$D$72,$A1594+1)))*INDEX(Surface_Engine!$B$12:$B$72,$A1594+1)+I1595</f>
        <v>43360.1381216976</v>
      </c>
      <c r="J1594" s="48" t="n">
        <f aca="false">B1594*(IF($A1594&lt;$Q$1581,INDEX(Surface_Engine!$D$12:$D$72,$A1594+1)*(1+Assumptions!$B$24)+(Surface_Engine!L251*12)*INDEX(Surface_Engine!$F$12:$F$72,$A1594+1)-(Surface_Engine!L251*12),1000*12*INDEX(Surface_Engine!$C$12:$C$72,$A1594+1)/(1+Assumptions!$B$10)^10+INDEX(Surface_Engine!$D$12:$D$72,$A1594+1)*(1+Assumptions!$B$24)))*INDEX(Surface_Engine!$B$12:$B$72,$A1594+1)+J1595</f>
        <v>40261.9720954645</v>
      </c>
      <c r="K1594" s="12" t="n">
        <f aca="false">SQRT((IF(C1594&lt;=0,0,MAX(0,(B1594/C1594)*G1594/INDEX(Surface_Engine!$B$12:$B$72,$A1594+1)-F1594/INDEX(Surface_Engine!$B$12:$B$72,$A1594+1))))^2+(MAX(IF(D1594&lt;=0,0,MAX(0,(B1594/D1594)*H1594/INDEX(Surface_Engine!$B$12:$B$72,$A1594+1)-F1594/INDEX(Surface_Engine!$B$12:$B$72,$A1594+1))),IF(E1594&lt;=0,0,MAX(0,(B1594/E1594)*I1594/INDEX(Surface_Engine!$B$12:$B$72,$A1594+1)-F1594/INDEX(Surface_Engine!$B$12:$B$72,$A1594+1))),IF($A1594&lt;$Q$1581,MAX(0,-Assumptions!$B$22*(F1594/INDEX(Surface_Engine!$B$12:$B$72,$A1594+1))),0)))^2+(MAX(0,J1594/INDEX(Surface_Engine!$B$12:$B$72,$A1594+1)-(F1594/INDEX(Surface_Engine!$B$12:$B$72,$A1594+1))))^2+2*Assumptions!$B$26*(IF(C1594&lt;=0,0,MAX(0,(B1594/C1594)*G1594/INDEX(Surface_Engine!$B$12:$B$72,$A1594+1)-F1594/INDEX(Surface_Engine!$B$12:$B$72,$A1594+1))))*(MAX(IF(D1594&lt;=0,0,MAX(0,(B1594/D1594)*H1594/INDEX(Surface_Engine!$B$12:$B$72,$A1594+1)-F1594/INDEX(Surface_Engine!$B$12:$B$72,$A1594+1))),IF(E1594&lt;=0,0,MAX(0,(B1594/E1594)*I1594/INDEX(Surface_Engine!$B$12:$B$72,$A1594+1)-F1594/INDEX(Surface_Engine!$B$12:$B$72,$A1594+1))),IF($A1594&lt;$Q$1581,MAX(0,-Assumptions!$B$22*(F1594/INDEX(Surface_Engine!$B$12:$B$72,$A1594+1))),0)))+2*Assumptions!$B$27*(IF(C1594&lt;=0,0,MAX(0,(B1594/C1594)*G1594/INDEX(Surface_Engine!$B$12:$B$72,$A1594+1)-F1594/INDEX(Surface_Engine!$B$12:$B$72,$A1594+1))))*(MAX(0,J1594/INDEX(Surface_Engine!$B$12:$B$72,$A1594+1)-(F1594/INDEX(Surface_Engine!$B$12:$B$72,$A1594+1))))+2*Assumptions!$B$28*(MAX(IF(D1594&lt;=0,0,MAX(0,(B1594/D1594)*H1594/INDEX(Surface_Engine!$B$12:$B$72,$A1594+1)-F1594/INDEX(Surface_Engine!$B$12:$B$72,$A1594+1))),IF(E1594&lt;=0,0,MAX(0,(B1594/E1594)*I1594/INDEX(Surface_Engine!$B$12:$B$72,$A1594+1)-F1594/INDEX(Surface_Engine!$B$12:$B$72,$A1594+1))),IF($A1594&lt;$Q$1581,MAX(0,-Assumptions!$B$22*(F1594/INDEX(Surface_Engine!$B$12:$B$72,$A1594+1))),0)))*(MAX(0,J1594/INDEX(Surface_Engine!$B$12:$B$72,$A1594+1)-(F1594/INDEX(Surface_Engine!$B$12:$B$72,$A1594+1)))))</f>
        <v>7959.58414867835</v>
      </c>
      <c r="L1594" s="48" t="n">
        <f aca="false">K1594*INDEX(Surface_Engine!$B$12:$B$72,$A1594+1)+L1595</f>
        <v>39280.2121397017</v>
      </c>
      <c r="M1594" s="48" t="n">
        <f aca="false">M1593+B1593*(IF($A1593&lt;$Q$1581,(Surface_Engine!L251*12)-(Surface_Engine!L251*12)*INDEX(Surface_Engine!$F$12:$F$72,$A1593+1)-INDEX(Surface_Engine!$D$12:$D$72,$A1593+1),-(1000*12*INDEX(Surface_Engine!$C$12:$C$72,$A1593+1)/(1+Assumptions!$B$10)^10+INDEX(Surface_Engine!$D$12:$D$72,$A1593+1))))*INDEX(Surface_Engine!$B$12:$B$72,$A1593+1)</f>
        <v>41991.9190775176</v>
      </c>
      <c r="N1594" s="12" t="n">
        <f aca="false">IF(B1594&lt;=0,0,MAX(0,(K1594+Assumptions!$B$29*L1594/INDEX(Surface_Engine!$B$12:$B$72,$A1594+1)-(M1594/INDEX(Surface_Engine!$B$12:$B$72,$A1594+1)-(F1594/INDEX(Surface_Engine!$B$12:$B$72,$A1594+1))))/B1594))</f>
        <v>14830.7198014439</v>
      </c>
    </row>
    <row r="1595" customFormat="false" ht="15" hidden="false" customHeight="true" outlineLevel="0" collapsed="false">
      <c r="A1595" s="1" t="n">
        <v>12</v>
      </c>
      <c r="B1595" s="32" t="n">
        <f aca="false">INDEX(Surface_Engine!$V$12:$V$72,$A1595+1)*IF($A1595&lt;$Q$1581,INDEX(Surface_Engine!$E$12:$E$72,$A1595+1),INDEX(Surface_Engine!$E$12:$E$72,$Q$1581+1))</f>
        <v>0.552975526743732</v>
      </c>
      <c r="C1595" s="32" t="n">
        <f aca="false">INDEX(Panel_Reserving!$H$8:$H$68,$A1595+1)*IF($A1595&lt;$Q$1581,INDEX(Surface_Engine!$E$12:$E$72,$A1595+1),INDEX(Surface_Engine!$E$12:$E$72,$Q$1581+1))</f>
        <v>0.605167612631711</v>
      </c>
      <c r="D1595" s="32" t="n">
        <f aca="false">INDEX(Surface_Engine!$V$12:$V$72,$A1595+1)*IF($A1595&lt;$Q$1581,INDEX(Surface_Engine!$Y$12:$Y$72,$A1595+1),INDEX(Surface_Engine!$Y$12:$Y$72,$Q$1581+1))</f>
        <v>0.512589764396488</v>
      </c>
      <c r="E1595" s="32" t="n">
        <f aca="false">INDEX(Surface_Engine!$V$12:$V$72,$A1595+1)*IF($A1595&lt;$Q$1581,INDEX(Surface_Engine!$Z$12:$Z$72,$A1595+1),INDEX(Surface_Engine!$Z$12:$Z$72,$Q$1581+1))</f>
        <v>0.596058688740027</v>
      </c>
      <c r="F1595" s="48" t="n">
        <f aca="false">B1595*(IF($A1595&lt;$Q$1581,INDEX(Surface_Engine!$D$12:$D$72,$A1595+1)+(Surface_Engine!L251*12)*INDEX(Surface_Engine!$F$12:$F$72,$A1595+1)-(Surface_Engine!L251*12),1000*12*INDEX(Surface_Engine!$C$12:$C$72,$A1595+1)/(1+Assumptions!$B$10)^10+INDEX(Surface_Engine!$D$12:$D$72,$A1595+1)))*INDEX(Surface_Engine!$B$12:$B$72,$A1595+1)+F1596</f>
        <v>34916.3687884076</v>
      </c>
      <c r="G1595" s="48" t="n">
        <f aca="false">C1595*(IF($A1595&lt;$Q$1581,INDEX(Surface_Engine!$D$12:$D$72,$A1595+1)+(Surface_Engine!L251*12)*INDEX(Surface_Engine!$F$12:$F$72,$A1595+1)-(Surface_Engine!L251*12),1000*12*INDEX(Surface_Engine!$C$12:$C$72,$A1595+1)/(1+Assumptions!$B$10)^10+INDEX(Surface_Engine!$D$12:$D$72,$A1595+1)))*INDEX(Surface_Engine!$B$12:$B$72,$A1595+1)+G1596</f>
        <v>43922.5645070494</v>
      </c>
      <c r="H1595" s="48" t="n">
        <f aca="false">D1595*(IF($A1595&lt;$Q$1581,INDEX(Surface_Engine!$D$12:$D$72,$A1595+1)+(Surface_Engine!L251*12)*INDEX(Surface_Engine!$F$12:$F$72,$A1595+1)-(Surface_Engine!L251*12),1000*12*INDEX(Surface_Engine!$C$12:$C$72,$A1595+1)/(1+Assumptions!$B$10)^10+INDEX(Surface_Engine!$D$12:$D$72,$A1595+1)))*INDEX(Surface_Engine!$B$12:$B$72,$A1595+1)+H1596</f>
        <v>32366.3026395112</v>
      </c>
      <c r="I1595" s="48" t="n">
        <f aca="false">E1595*(IF($A1595&lt;$Q$1581,INDEX(Surface_Engine!$D$12:$D$72,$A1595+1)+(Surface_Engine!L251*12)*INDEX(Surface_Engine!$F$12:$F$72,$A1595+1)-(Surface_Engine!L251*12),1000*12*INDEX(Surface_Engine!$C$12:$C$72,$A1595+1)/(1+Assumptions!$B$10)^10+INDEX(Surface_Engine!$D$12:$D$72,$A1595+1)))*INDEX(Surface_Engine!$B$12:$B$72,$A1595+1)+I1596</f>
        <v>37636.756038982</v>
      </c>
      <c r="J1595" s="48" t="n">
        <f aca="false">B1595*(IF($A1595&lt;$Q$1581,INDEX(Surface_Engine!$D$12:$D$72,$A1595+1)*(1+Assumptions!$B$24)+(Surface_Engine!L251*12)*INDEX(Surface_Engine!$F$12:$F$72,$A1595+1)-(Surface_Engine!L251*12),1000*12*INDEX(Surface_Engine!$C$12:$C$72,$A1595+1)/(1+Assumptions!$B$10)^10+INDEX(Surface_Engine!$D$12:$D$72,$A1595+1)*(1+Assumptions!$B$24)))*INDEX(Surface_Engine!$B$12:$B$72,$A1595+1)+J1596</f>
        <v>34947.649834277</v>
      </c>
      <c r="K1595" s="12" t="n">
        <f aca="false">SQRT((IF(C1595&lt;=0,0,MAX(0,(B1595/C1595)*G1595/INDEX(Surface_Engine!$B$12:$B$72,$A1595+1)-F1595/INDEX(Surface_Engine!$B$12:$B$72,$A1595+1))))^2+(MAX(IF(D1595&lt;=0,0,MAX(0,(B1595/D1595)*H1595/INDEX(Surface_Engine!$B$12:$B$72,$A1595+1)-F1595/INDEX(Surface_Engine!$B$12:$B$72,$A1595+1))),IF(E1595&lt;=0,0,MAX(0,(B1595/E1595)*I1595/INDEX(Surface_Engine!$B$12:$B$72,$A1595+1)-F1595/INDEX(Surface_Engine!$B$12:$B$72,$A1595+1))),IF($A1595&lt;$Q$1581,MAX(0,-Assumptions!$B$22*(F1595/INDEX(Surface_Engine!$B$12:$B$72,$A1595+1))),0)))^2+(MAX(0,J1595/INDEX(Surface_Engine!$B$12:$B$72,$A1595+1)-(F1595/INDEX(Surface_Engine!$B$12:$B$72,$A1595+1))))^2+2*Assumptions!$B$26*(IF(C1595&lt;=0,0,MAX(0,(B1595/C1595)*G1595/INDEX(Surface_Engine!$B$12:$B$72,$A1595+1)-F1595/INDEX(Surface_Engine!$B$12:$B$72,$A1595+1))))*(MAX(IF(D1595&lt;=0,0,MAX(0,(B1595/D1595)*H1595/INDEX(Surface_Engine!$B$12:$B$72,$A1595+1)-F1595/INDEX(Surface_Engine!$B$12:$B$72,$A1595+1))),IF(E1595&lt;=0,0,MAX(0,(B1595/E1595)*I1595/INDEX(Surface_Engine!$B$12:$B$72,$A1595+1)-F1595/INDEX(Surface_Engine!$B$12:$B$72,$A1595+1))),IF($A1595&lt;$Q$1581,MAX(0,-Assumptions!$B$22*(F1595/INDEX(Surface_Engine!$B$12:$B$72,$A1595+1))),0)))+2*Assumptions!$B$27*(IF(C1595&lt;=0,0,MAX(0,(B1595/C1595)*G1595/INDEX(Surface_Engine!$B$12:$B$72,$A1595+1)-F1595/INDEX(Surface_Engine!$B$12:$B$72,$A1595+1))))*(MAX(0,J1595/INDEX(Surface_Engine!$B$12:$B$72,$A1595+1)-(F1595/INDEX(Surface_Engine!$B$12:$B$72,$A1595+1))))+2*Assumptions!$B$28*(MAX(IF(D1595&lt;=0,0,MAX(0,(B1595/D1595)*H1595/INDEX(Surface_Engine!$B$12:$B$72,$A1595+1)-F1595/INDEX(Surface_Engine!$B$12:$B$72,$A1595+1))),IF(E1595&lt;=0,0,MAX(0,(B1595/E1595)*I1595/INDEX(Surface_Engine!$B$12:$B$72,$A1595+1)-F1595/INDEX(Surface_Engine!$B$12:$B$72,$A1595+1))),IF($A1595&lt;$Q$1581,MAX(0,-Assumptions!$B$22*(F1595/INDEX(Surface_Engine!$B$12:$B$72,$A1595+1))),0)))*(MAX(0,J1595/INDEX(Surface_Engine!$B$12:$B$72,$A1595+1)-(F1595/INDEX(Surface_Engine!$B$12:$B$72,$A1595+1)))))</f>
        <v>7444.14930761809</v>
      </c>
      <c r="L1595" s="48" t="n">
        <f aca="false">K1595*INDEX(Surface_Engine!$B$12:$B$72,$A1595+1)+L1596</f>
        <v>33493.6826914888</v>
      </c>
      <c r="M1595" s="48" t="n">
        <f aca="false">M1594+B1594*(IF($A1594&lt;$Q$1581,(Surface_Engine!L251*12)-(Surface_Engine!L251*12)*INDEX(Surface_Engine!$F$12:$F$72,$A1594+1)-INDEX(Surface_Engine!$D$12:$D$72,$A1594+1),-(1000*12*INDEX(Surface_Engine!$C$12:$C$72,$A1594+1)/(1+Assumptions!$B$10)^10+INDEX(Surface_Engine!$D$12:$D$72,$A1594+1))))*INDEX(Surface_Engine!$B$12:$B$72,$A1594+1)</f>
        <v>36682.2234355744</v>
      </c>
      <c r="N1595" s="12" t="n">
        <f aca="false">IF(B1595&lt;=0,0,MAX(0,(K1595+Assumptions!$B$29*L1595/INDEX(Surface_Engine!$B$12:$B$72,$A1595+1)-(M1595/INDEX(Surface_Engine!$B$12:$B$72,$A1595+1)-(F1595/INDEX(Surface_Engine!$B$12:$B$72,$A1595+1))))/B1595))</f>
        <v>14089.9146765645</v>
      </c>
    </row>
    <row r="1596" customFormat="false" ht="15" hidden="false" customHeight="true" outlineLevel="0" collapsed="false">
      <c r="A1596" s="1" t="n">
        <v>13</v>
      </c>
      <c r="B1596" s="32" t="n">
        <f aca="false">INDEX(Surface_Engine!$V$12:$V$72,$A1596+1)*IF($A1596&lt;$Q$1581,INDEX(Surface_Engine!$E$12:$E$72,$A1596+1),INDEX(Surface_Engine!$E$12:$E$72,$Q$1581+1))</f>
        <v>0.512372497189047</v>
      </c>
      <c r="C1596" s="32" t="n">
        <f aca="false">INDEX(Panel_Reserving!$H$8:$H$68,$A1596+1)*IF($A1596&lt;$Q$1581,INDEX(Surface_Engine!$E$12:$E$72,$A1596+1),INDEX(Surface_Engine!$E$12:$E$72,$Q$1581+1))</f>
        <v>0.569619365343566</v>
      </c>
      <c r="D1596" s="32" t="n">
        <f aca="false">INDEX(Surface_Engine!$V$12:$V$72,$A1596+1)*IF($A1596&lt;$Q$1581,INDEX(Surface_Engine!$Y$12:$Y$72,$A1596+1),INDEX(Surface_Engine!$Y$12:$Y$72,$Q$1581+1))</f>
        <v>0.474952117978793</v>
      </c>
      <c r="E1596" s="32" t="n">
        <f aca="false">INDEX(Surface_Engine!$V$12:$V$72,$A1596+1)*IF($A1596&lt;$Q$1581,INDEX(Surface_Engine!$Z$12:$Z$72,$A1596+1),INDEX(Surface_Engine!$Z$12:$Z$72,$Q$1581+1))</f>
        <v>0.552292215569409</v>
      </c>
      <c r="F1596" s="48" t="n">
        <f aca="false">B1596*(IF($A1596&lt;$Q$1581,INDEX(Surface_Engine!$D$12:$D$72,$A1596+1)+(Surface_Engine!L251*12)*INDEX(Surface_Engine!$F$12:$F$72,$A1596+1)-(Surface_Engine!L251*12),1000*12*INDEX(Surface_Engine!$C$12:$C$72,$A1596+1)/(1+Assumptions!$B$10)^10+INDEX(Surface_Engine!$D$12:$D$72,$A1596+1)))*INDEX(Surface_Engine!$B$12:$B$72,$A1596+1)+F1597</f>
        <v>30026.8629349239</v>
      </c>
      <c r="G1596" s="48" t="n">
        <f aca="false">C1596*(IF($A1596&lt;$Q$1581,INDEX(Surface_Engine!$D$12:$D$72,$A1596+1)+(Surface_Engine!L251*12)*INDEX(Surface_Engine!$F$12:$F$72,$A1596+1)-(Surface_Engine!L251*12),1000*12*INDEX(Surface_Engine!$C$12:$C$72,$A1596+1)/(1+Assumptions!$B$10)^10+INDEX(Surface_Engine!$D$12:$D$72,$A1596+1)))*INDEX(Surface_Engine!$B$12:$B$72,$A1596+1)+G1597</f>
        <v>38571.5671460527</v>
      </c>
      <c r="H1596" s="48" t="n">
        <f aca="false">D1596*(IF($A1596&lt;$Q$1581,INDEX(Surface_Engine!$D$12:$D$72,$A1596+1)+(Surface_Engine!L251*12)*INDEX(Surface_Engine!$F$12:$F$72,$A1596+1)-(Surface_Engine!L251*12),1000*12*INDEX(Surface_Engine!$C$12:$C$72,$A1596+1)/(1+Assumptions!$B$10)^10+INDEX(Surface_Engine!$D$12:$D$72,$A1596+1)))*INDEX(Surface_Engine!$B$12:$B$72,$A1596+1)+H1597</f>
        <v>27833.8947258895</v>
      </c>
      <c r="I1596" s="48" t="n">
        <f aca="false">E1596*(IF($A1596&lt;$Q$1581,INDEX(Surface_Engine!$D$12:$D$72,$A1596+1)+(Surface_Engine!L251*12)*INDEX(Surface_Engine!$F$12:$F$72,$A1596+1)-(Surface_Engine!L251*12),1000*12*INDEX(Surface_Engine!$C$12:$C$72,$A1596+1)/(1+Assumptions!$B$10)^10+INDEX(Surface_Engine!$D$12:$D$72,$A1596+1)))*INDEX(Surface_Engine!$B$12:$B$72,$A1596+1)+I1597</f>
        <v>32366.3013684541</v>
      </c>
      <c r="J1596" s="48" t="n">
        <f aca="false">B1596*(IF($A1596&lt;$Q$1581,INDEX(Surface_Engine!$D$12:$D$72,$A1596+1)*(1+Assumptions!$B$24)+(Surface_Engine!L251*12)*INDEX(Surface_Engine!$F$12:$F$72,$A1596+1)-(Surface_Engine!L251*12),1000*12*INDEX(Surface_Engine!$C$12:$C$72,$A1596+1)/(1+Assumptions!$B$10)^10+INDEX(Surface_Engine!$D$12:$D$72,$A1596+1)*(1+Assumptions!$B$24)))*INDEX(Surface_Engine!$B$12:$B$72,$A1596+1)+J1597</f>
        <v>30053.8627933138</v>
      </c>
      <c r="K1596" s="12" t="n">
        <f aca="false">SQRT((IF(C1596&lt;=0,0,MAX(0,(B1596/C1596)*G1596/INDEX(Surface_Engine!$B$12:$B$72,$A1596+1)-F1596/INDEX(Surface_Engine!$B$12:$B$72,$A1596+1))))^2+(MAX(IF(D1596&lt;=0,0,MAX(0,(B1596/D1596)*H1596/INDEX(Surface_Engine!$B$12:$B$72,$A1596+1)-F1596/INDEX(Surface_Engine!$B$12:$B$72,$A1596+1))),IF(E1596&lt;=0,0,MAX(0,(B1596/E1596)*I1596/INDEX(Surface_Engine!$B$12:$B$72,$A1596+1)-F1596/INDEX(Surface_Engine!$B$12:$B$72,$A1596+1))),IF($A1596&lt;$Q$1581,MAX(0,-Assumptions!$B$22*(F1596/INDEX(Surface_Engine!$B$12:$B$72,$A1596+1))),0)))^2+(MAX(0,J1596/INDEX(Surface_Engine!$B$12:$B$72,$A1596+1)-(F1596/INDEX(Surface_Engine!$B$12:$B$72,$A1596+1))))^2+2*Assumptions!$B$26*(IF(C1596&lt;=0,0,MAX(0,(B1596/C1596)*G1596/INDEX(Surface_Engine!$B$12:$B$72,$A1596+1)-F1596/INDEX(Surface_Engine!$B$12:$B$72,$A1596+1))))*(MAX(IF(D1596&lt;=0,0,MAX(0,(B1596/D1596)*H1596/INDEX(Surface_Engine!$B$12:$B$72,$A1596+1)-F1596/INDEX(Surface_Engine!$B$12:$B$72,$A1596+1))),IF(E1596&lt;=0,0,MAX(0,(B1596/E1596)*I1596/INDEX(Surface_Engine!$B$12:$B$72,$A1596+1)-F1596/INDEX(Surface_Engine!$B$12:$B$72,$A1596+1))),IF($A1596&lt;$Q$1581,MAX(0,-Assumptions!$B$22*(F1596/INDEX(Surface_Engine!$B$12:$B$72,$A1596+1))),0)))+2*Assumptions!$B$27*(IF(C1596&lt;=0,0,MAX(0,(B1596/C1596)*G1596/INDEX(Surface_Engine!$B$12:$B$72,$A1596+1)-F1596/INDEX(Surface_Engine!$B$12:$B$72,$A1596+1))))*(MAX(0,J1596/INDEX(Surface_Engine!$B$12:$B$72,$A1596+1)-(F1596/INDEX(Surface_Engine!$B$12:$B$72,$A1596+1))))+2*Assumptions!$B$28*(MAX(IF(D1596&lt;=0,0,MAX(0,(B1596/D1596)*H1596/INDEX(Surface_Engine!$B$12:$B$72,$A1596+1)-F1596/INDEX(Surface_Engine!$B$12:$B$72,$A1596+1))),IF(E1596&lt;=0,0,MAX(0,(B1596/E1596)*I1596/INDEX(Surface_Engine!$B$12:$B$72,$A1596+1)-F1596/INDEX(Surface_Engine!$B$12:$B$72,$A1596+1))),IF($A1596&lt;$Q$1581,MAX(0,-Assumptions!$B$22*(F1596/INDEX(Surface_Engine!$B$12:$B$72,$A1596+1))),0)))*(MAX(0,J1596/INDEX(Surface_Engine!$B$12:$B$72,$A1596+1)-(F1596/INDEX(Surface_Engine!$B$12:$B$72,$A1596+1)))))</f>
        <v>6894.1576798491</v>
      </c>
      <c r="L1596" s="48" t="n">
        <f aca="false">K1596*INDEX(Surface_Engine!$B$12:$B$72,$A1596+1)+L1597</f>
        <v>28267.6373449814</v>
      </c>
      <c r="M1596" s="48" t="n">
        <f aca="false">M1595+B1595*(IF($A1595&lt;$Q$1581,(Surface_Engine!L251*12)-(Surface_Engine!L251*12)*INDEX(Surface_Engine!$F$12:$F$72,$A1595+1)-INDEX(Surface_Engine!$D$12:$D$72,$A1595+1),-(1000*12*INDEX(Surface_Engine!$C$12:$C$72,$A1595+1)/(1+Assumptions!$B$10)^10+INDEX(Surface_Engine!$D$12:$D$72,$A1595+1))))*INDEX(Surface_Engine!$B$12:$B$72,$A1595+1)</f>
        <v>31792.7175820908</v>
      </c>
      <c r="N1596" s="12" t="n">
        <f aca="false">IF(B1596&lt;=0,0,MAX(0,(K1596+Assumptions!$B$29*L1596/INDEX(Surface_Engine!$B$12:$B$72,$A1596+1)-(M1596/INDEX(Surface_Engine!$B$12:$B$72,$A1596+1)-(F1596/INDEX(Surface_Engine!$B$12:$B$72,$A1596+1))))/B1596))</f>
        <v>13254.4810831788</v>
      </c>
    </row>
    <row r="1597" customFormat="false" ht="15" hidden="false" customHeight="true" outlineLevel="0" collapsed="false">
      <c r="A1597" s="1" t="n">
        <v>14</v>
      </c>
      <c r="B1597" s="32" t="n">
        <f aca="false">INDEX(Surface_Engine!$V$12:$V$72,$A1597+1)*IF($A1597&lt;$Q$1581,INDEX(Surface_Engine!$E$12:$E$72,$A1597+1),INDEX(Surface_Engine!$E$12:$E$72,$Q$1581+1))</f>
        <v>0.469987862169508</v>
      </c>
      <c r="C1597" s="32" t="n">
        <f aca="false">INDEX(Panel_Reserving!$H$8:$H$68,$A1597+1)*IF($A1597&lt;$Q$1581,INDEX(Surface_Engine!$E$12:$E$72,$A1597+1),INDEX(Surface_Engine!$E$12:$E$72,$Q$1581+1))</f>
        <v>0.531923182925343</v>
      </c>
      <c r="D1597" s="32" t="n">
        <f aca="false">INDEX(Surface_Engine!$V$12:$V$72,$A1597+1)*IF($A1597&lt;$Q$1581,INDEX(Surface_Engine!$Y$12:$Y$72,$A1597+1),INDEX(Surface_Engine!$Y$12:$Y$72,$Q$1581+1))</f>
        <v>0.435662983056977</v>
      </c>
      <c r="E1597" s="32" t="n">
        <f aca="false">INDEX(Surface_Engine!$V$12:$V$72,$A1597+1)*IF($A1597&lt;$Q$1581,INDEX(Surface_Engine!$Z$12:$Z$72,$A1597+1),INDEX(Surface_Engine!$Z$12:$Z$72,$Q$1581+1))</f>
        <v>0.506605329349977</v>
      </c>
      <c r="F1597" s="48" t="n">
        <f aca="false">B1597*(IF($A1597&lt;$Q$1581,INDEX(Surface_Engine!$D$12:$D$72,$A1597+1)+(Surface_Engine!L251*12)*INDEX(Surface_Engine!$F$12:$F$72,$A1597+1)-(Surface_Engine!L251*12),1000*12*INDEX(Surface_Engine!$C$12:$C$72,$A1597+1)/(1+Assumptions!$B$10)^10+INDEX(Surface_Engine!$D$12:$D$72,$A1597+1)))*INDEX(Surface_Engine!$B$12:$B$72,$A1597+1)+F1598</f>
        <v>25562.9769512368</v>
      </c>
      <c r="G1597" s="48" t="n">
        <f aca="false">C1597*(IF($A1597&lt;$Q$1581,INDEX(Surface_Engine!$D$12:$D$72,$A1597+1)+(Surface_Engine!L251*12)*INDEX(Surface_Engine!$F$12:$F$72,$A1597+1)-(Surface_Engine!L251*12),1000*12*INDEX(Surface_Engine!$C$12:$C$72,$A1597+1)/(1+Assumptions!$B$10)^10+INDEX(Surface_Engine!$D$12:$D$72,$A1597+1)))*INDEX(Surface_Engine!$B$12:$B$72,$A1597+1)+G1598</f>
        <v>33608.935632957</v>
      </c>
      <c r="H1597" s="48" t="n">
        <f aca="false">D1597*(IF($A1597&lt;$Q$1581,INDEX(Surface_Engine!$D$12:$D$72,$A1597+1)+(Surface_Engine!L251*12)*INDEX(Surface_Engine!$F$12:$F$72,$A1597+1)-(Surface_Engine!L251*12),1000*12*INDEX(Surface_Engine!$C$12:$C$72,$A1597+1)/(1+Assumptions!$B$10)^10+INDEX(Surface_Engine!$D$12:$D$72,$A1597+1)))*INDEX(Surface_Engine!$B$12:$B$72,$A1597+1)+H1598</f>
        <v>23696.0221546655</v>
      </c>
      <c r="I1597" s="48" t="n">
        <f aca="false">E1597*(IF($A1597&lt;$Q$1581,INDEX(Surface_Engine!$D$12:$D$72,$A1597+1)+(Surface_Engine!L251*12)*INDEX(Surface_Engine!$F$12:$F$72,$A1597+1)-(Surface_Engine!L251*12),1000*12*INDEX(Surface_Engine!$C$12:$C$72,$A1597+1)/(1+Assumptions!$B$10)^10+INDEX(Surface_Engine!$D$12:$D$72,$A1597+1)))*INDEX(Surface_Engine!$B$12:$B$72,$A1597+1)+I1598</f>
        <v>27554.6272573237</v>
      </c>
      <c r="J1597" s="48" t="n">
        <f aca="false">B1597*(IF($A1597&lt;$Q$1581,INDEX(Surface_Engine!$D$12:$D$72,$A1597+1)*(1+Assumptions!$B$24)+(Surface_Engine!L251*12)*INDEX(Surface_Engine!$F$12:$F$72,$A1597+1)-(Surface_Engine!L251*12),1000*12*INDEX(Surface_Engine!$C$12:$C$72,$A1597+1)/(1+Assumptions!$B$10)^10+INDEX(Surface_Engine!$D$12:$D$72,$A1597+1)*(1+Assumptions!$B$24)))*INDEX(Surface_Engine!$B$12:$B$72,$A1597+1)+J1598</f>
        <v>25586.0492985067</v>
      </c>
      <c r="K1597" s="12" t="n">
        <f aca="false">SQRT((IF(C1597&lt;=0,0,MAX(0,(B1597/C1597)*G1597/INDEX(Surface_Engine!$B$12:$B$72,$A1597+1)-F1597/INDEX(Surface_Engine!$B$12:$B$72,$A1597+1))))^2+(MAX(IF(D1597&lt;=0,0,MAX(0,(B1597/D1597)*H1597/INDEX(Surface_Engine!$B$12:$B$72,$A1597+1)-F1597/INDEX(Surface_Engine!$B$12:$B$72,$A1597+1))),IF(E1597&lt;=0,0,MAX(0,(B1597/E1597)*I1597/INDEX(Surface_Engine!$B$12:$B$72,$A1597+1)-F1597/INDEX(Surface_Engine!$B$12:$B$72,$A1597+1))),IF($A1597&lt;$Q$1581,MAX(0,-Assumptions!$B$22*(F1597/INDEX(Surface_Engine!$B$12:$B$72,$A1597+1))),0)))^2+(MAX(0,J1597/INDEX(Surface_Engine!$B$12:$B$72,$A1597+1)-(F1597/INDEX(Surface_Engine!$B$12:$B$72,$A1597+1))))^2+2*Assumptions!$B$26*(IF(C1597&lt;=0,0,MAX(0,(B1597/C1597)*G1597/INDEX(Surface_Engine!$B$12:$B$72,$A1597+1)-F1597/INDEX(Surface_Engine!$B$12:$B$72,$A1597+1))))*(MAX(IF(D1597&lt;=0,0,MAX(0,(B1597/D1597)*H1597/INDEX(Surface_Engine!$B$12:$B$72,$A1597+1)-F1597/INDEX(Surface_Engine!$B$12:$B$72,$A1597+1))),IF(E1597&lt;=0,0,MAX(0,(B1597/E1597)*I1597/INDEX(Surface_Engine!$B$12:$B$72,$A1597+1)-F1597/INDEX(Surface_Engine!$B$12:$B$72,$A1597+1))),IF($A1597&lt;$Q$1581,MAX(0,-Assumptions!$B$22*(F1597/INDEX(Surface_Engine!$B$12:$B$72,$A1597+1))),0)))+2*Assumptions!$B$27*(IF(C1597&lt;=0,0,MAX(0,(B1597/C1597)*G1597/INDEX(Surface_Engine!$B$12:$B$72,$A1597+1)-F1597/INDEX(Surface_Engine!$B$12:$B$72,$A1597+1))))*(MAX(0,J1597/INDEX(Surface_Engine!$B$12:$B$72,$A1597+1)-(F1597/INDEX(Surface_Engine!$B$12:$B$72,$A1597+1))))+2*Assumptions!$B$28*(MAX(IF(D1597&lt;=0,0,MAX(0,(B1597/D1597)*H1597/INDEX(Surface_Engine!$B$12:$B$72,$A1597+1)-F1597/INDEX(Surface_Engine!$B$12:$B$72,$A1597+1))),IF(E1597&lt;=0,0,MAX(0,(B1597/E1597)*I1597/INDEX(Surface_Engine!$B$12:$B$72,$A1597+1)-F1597/INDEX(Surface_Engine!$B$12:$B$72,$A1597+1))),IF($A1597&lt;$Q$1581,MAX(0,-Assumptions!$B$22*(F1597/INDEX(Surface_Engine!$B$12:$B$72,$A1597+1))),0)))*(MAX(0,J1597/INDEX(Surface_Engine!$B$12:$B$72,$A1597+1)-(F1597/INDEX(Surface_Engine!$B$12:$B$72,$A1597+1)))))</f>
        <v>6313.63530174911</v>
      </c>
      <c r="L1597" s="48" t="n">
        <f aca="false">K1597*INDEX(Surface_Engine!$B$12:$B$72,$A1597+1)+L1598</f>
        <v>23592.5608308578</v>
      </c>
      <c r="M1597" s="48" t="n">
        <f aca="false">M1596+B1596*(IF($A1596&lt;$Q$1581,(Surface_Engine!L251*12)-(Surface_Engine!L251*12)*INDEX(Surface_Engine!$F$12:$F$72,$A1596+1)-INDEX(Surface_Engine!$D$12:$D$72,$A1596+1),-(1000*12*INDEX(Surface_Engine!$C$12:$C$72,$A1596+1)/(1+Assumptions!$B$10)^10+INDEX(Surface_Engine!$D$12:$D$72,$A1596+1))))*INDEX(Surface_Engine!$B$12:$B$72,$A1596+1)</f>
        <v>27328.8315984037</v>
      </c>
      <c r="N1597" s="12" t="n">
        <f aca="false">IF(B1597&lt;=0,0,MAX(0,(K1597+Assumptions!$B$29*L1597/INDEX(Surface_Engine!$B$12:$B$72,$A1597+1)-(M1597/INDEX(Surface_Engine!$B$12:$B$72,$A1597+1)-(F1597/INDEX(Surface_Engine!$B$12:$B$72,$A1597+1))))/B1597))</f>
        <v>12296.5266391456</v>
      </c>
    </row>
    <row r="1598" customFormat="false" ht="15" hidden="false" customHeight="true" outlineLevel="0" collapsed="false">
      <c r="A1598" s="1" t="n">
        <v>15</v>
      </c>
      <c r="B1598" s="32" t="n">
        <f aca="false">INDEX(Surface_Engine!$V$12:$V$72,$A1598+1)*IF($A1598&lt;$Q$1581,INDEX(Surface_Engine!$E$12:$E$72,$A1598+1),INDEX(Surface_Engine!$E$12:$E$72,$Q$1581+1))</f>
        <v>0.426227620303048</v>
      </c>
      <c r="C1598" s="32" t="n">
        <f aca="false">INDEX(Panel_Reserving!$H$8:$H$68,$A1598+1)*IF($A1598&lt;$Q$1581,INDEX(Surface_Engine!$E$12:$E$72,$A1598+1),INDEX(Surface_Engine!$E$12:$E$72,$Q$1581+1))</f>
        <v>0.492301585836872</v>
      </c>
      <c r="D1598" s="32" t="n">
        <f aca="false">INDEX(Surface_Engine!$V$12:$V$72,$A1598+1)*IF($A1598&lt;$Q$1581,INDEX(Surface_Engine!$Y$12:$Y$72,$A1598+1),INDEX(Surface_Engine!$Y$12:$Y$72,$Q$1581+1))</f>
        <v>0.395098706731133</v>
      </c>
      <c r="E1598" s="32" t="n">
        <f aca="false">INDEX(Surface_Engine!$V$12:$V$72,$A1598+1)*IF($A1598&lt;$Q$1581,INDEX(Surface_Engine!$Z$12:$Z$72,$A1598+1),INDEX(Surface_Engine!$Z$12:$Z$72,$Q$1581+1))</f>
        <v>0.459435660667775</v>
      </c>
      <c r="F1598" s="48" t="n">
        <f aca="false">B1598*(IF($A1598&lt;$Q$1581,INDEX(Surface_Engine!$D$12:$D$72,$A1598+1)+(Surface_Engine!L251*12)*INDEX(Surface_Engine!$F$12:$F$72,$A1598+1)-(Surface_Engine!L251*12),1000*12*INDEX(Surface_Engine!$C$12:$C$72,$A1598+1)/(1+Assumptions!$B$10)^10+INDEX(Surface_Engine!$D$12:$D$72,$A1598+1)))*INDEX(Surface_Engine!$B$12:$B$72,$A1598+1)+F1599</f>
        <v>21525.7199366385</v>
      </c>
      <c r="G1598" s="48" t="n">
        <f aca="false">C1598*(IF($A1598&lt;$Q$1581,INDEX(Surface_Engine!$D$12:$D$72,$A1598+1)+(Surface_Engine!L251*12)*INDEX(Surface_Engine!$F$12:$F$72,$A1598+1)-(Surface_Engine!L251*12),1000*12*INDEX(Surface_Engine!$C$12:$C$72,$A1598+1)/(1+Assumptions!$B$10)^10+INDEX(Surface_Engine!$D$12:$D$72,$A1598+1)))*INDEX(Surface_Engine!$B$12:$B$72,$A1598+1)+G1599</f>
        <v>29039.6461377354</v>
      </c>
      <c r="H1598" s="48" t="n">
        <f aca="false">D1598*(IF($A1598&lt;$Q$1581,INDEX(Surface_Engine!$D$12:$D$72,$A1598+1)+(Surface_Engine!L251*12)*INDEX(Surface_Engine!$F$12:$F$72,$A1598+1)-(Surface_Engine!L251*12),1000*12*INDEX(Surface_Engine!$C$12:$C$72,$A1598+1)/(1+Assumptions!$B$10)^10+INDEX(Surface_Engine!$D$12:$D$72,$A1598+1)))*INDEX(Surface_Engine!$B$12:$B$72,$A1598+1)+H1599</f>
        <v>19953.6203270345</v>
      </c>
      <c r="I1598" s="48" t="n">
        <f aca="false">E1598*(IF($A1598&lt;$Q$1581,INDEX(Surface_Engine!$D$12:$D$72,$A1598+1)+(Surface_Engine!L251*12)*INDEX(Surface_Engine!$F$12:$F$72,$A1598+1)-(Surface_Engine!L251*12),1000*12*INDEX(Surface_Engine!$C$12:$C$72,$A1598+1)/(1+Assumptions!$B$10)^10+INDEX(Surface_Engine!$D$12:$D$72,$A1598+1)))*INDEX(Surface_Engine!$B$12:$B$72,$A1598+1)+I1599</f>
        <v>23202.8214253394</v>
      </c>
      <c r="J1598" s="48" t="n">
        <f aca="false">B1598*(IF($A1598&lt;$Q$1581,INDEX(Surface_Engine!$D$12:$D$72,$A1598+1)*(1+Assumptions!$B$24)+(Surface_Engine!L251*12)*INDEX(Surface_Engine!$F$12:$F$72,$A1598+1)-(Surface_Engine!L251*12),1000*12*INDEX(Surface_Engine!$C$12:$C$72,$A1598+1)/(1+Assumptions!$B$10)^10+INDEX(Surface_Engine!$D$12:$D$72,$A1598+1)*(1+Assumptions!$B$24)))*INDEX(Surface_Engine!$B$12:$B$72,$A1598+1)+J1599</f>
        <v>21545.2228800325</v>
      </c>
      <c r="K1598" s="12" t="n">
        <f aca="false">SQRT((IF(C1598&lt;=0,0,MAX(0,(B1598/C1598)*G1598/INDEX(Surface_Engine!$B$12:$B$72,$A1598+1)-F1598/INDEX(Surface_Engine!$B$12:$B$72,$A1598+1))))^2+(MAX(IF(D1598&lt;=0,0,MAX(0,(B1598/D1598)*H1598/INDEX(Surface_Engine!$B$12:$B$72,$A1598+1)-F1598/INDEX(Surface_Engine!$B$12:$B$72,$A1598+1))),IF(E1598&lt;=0,0,MAX(0,(B1598/E1598)*I1598/INDEX(Surface_Engine!$B$12:$B$72,$A1598+1)-F1598/INDEX(Surface_Engine!$B$12:$B$72,$A1598+1))),IF($A1598&lt;$Q$1581,MAX(0,-Assumptions!$B$22*(F1598/INDEX(Surface_Engine!$B$12:$B$72,$A1598+1))),0)))^2+(MAX(0,J1598/INDEX(Surface_Engine!$B$12:$B$72,$A1598+1)-(F1598/INDEX(Surface_Engine!$B$12:$B$72,$A1598+1))))^2+2*Assumptions!$B$26*(IF(C1598&lt;=0,0,MAX(0,(B1598/C1598)*G1598/INDEX(Surface_Engine!$B$12:$B$72,$A1598+1)-F1598/INDEX(Surface_Engine!$B$12:$B$72,$A1598+1))))*(MAX(IF(D1598&lt;=0,0,MAX(0,(B1598/D1598)*H1598/INDEX(Surface_Engine!$B$12:$B$72,$A1598+1)-F1598/INDEX(Surface_Engine!$B$12:$B$72,$A1598+1))),IF(E1598&lt;=0,0,MAX(0,(B1598/E1598)*I1598/INDEX(Surface_Engine!$B$12:$B$72,$A1598+1)-F1598/INDEX(Surface_Engine!$B$12:$B$72,$A1598+1))),IF($A1598&lt;$Q$1581,MAX(0,-Assumptions!$B$22*(F1598/INDEX(Surface_Engine!$B$12:$B$72,$A1598+1))),0)))+2*Assumptions!$B$27*(IF(C1598&lt;=0,0,MAX(0,(B1598/C1598)*G1598/INDEX(Surface_Engine!$B$12:$B$72,$A1598+1)-F1598/INDEX(Surface_Engine!$B$12:$B$72,$A1598+1))))*(MAX(0,J1598/INDEX(Surface_Engine!$B$12:$B$72,$A1598+1)-(F1598/INDEX(Surface_Engine!$B$12:$B$72,$A1598+1))))+2*Assumptions!$B$28*(MAX(IF(D1598&lt;=0,0,MAX(0,(B1598/D1598)*H1598/INDEX(Surface_Engine!$B$12:$B$72,$A1598+1)-F1598/INDEX(Surface_Engine!$B$12:$B$72,$A1598+1))),IF(E1598&lt;=0,0,MAX(0,(B1598/E1598)*I1598/INDEX(Surface_Engine!$B$12:$B$72,$A1598+1)-F1598/INDEX(Surface_Engine!$B$12:$B$72,$A1598+1))),IF($A1598&lt;$Q$1581,MAX(0,-Assumptions!$B$22*(F1598/INDEX(Surface_Engine!$B$12:$B$72,$A1598+1))),0)))*(MAX(0,J1598/INDEX(Surface_Engine!$B$12:$B$72,$A1598+1)-(F1598/INDEX(Surface_Engine!$B$12:$B$72,$A1598+1)))))</f>
        <v>5730.44356012068</v>
      </c>
      <c r="L1598" s="48" t="n">
        <f aca="false">K1598*INDEX(Surface_Engine!$B$12:$B$72,$A1598+1)+L1599</f>
        <v>19454.0835741776</v>
      </c>
      <c r="M1598" s="48" t="n">
        <f aca="false">M1597+B1597*(IF($A1597&lt;$Q$1581,(Surface_Engine!L251*12)-(Surface_Engine!L251*12)*INDEX(Surface_Engine!$F$12:$F$72,$A1597+1)-INDEX(Surface_Engine!$D$12:$D$72,$A1597+1),-(1000*12*INDEX(Surface_Engine!$C$12:$C$72,$A1597+1)/(1+Assumptions!$B$10)^10+INDEX(Surface_Engine!$D$12:$D$72,$A1597+1))))*INDEX(Surface_Engine!$B$12:$B$72,$A1597+1)</f>
        <v>23291.5745838054</v>
      </c>
      <c r="N1598" s="12" t="n">
        <f aca="false">IF(B1598&lt;=0,0,MAX(0,(K1598+Assumptions!$B$29*L1598/INDEX(Surface_Engine!$B$12:$B$72,$A1598+1)-(M1598/INDEX(Surface_Engine!$B$12:$B$72,$A1598+1)-(F1598/INDEX(Surface_Engine!$B$12:$B$72,$A1598+1))))/B1598))</f>
        <v>11222.1507688542</v>
      </c>
    </row>
    <row r="1599" customFormat="false" ht="15" hidden="false" customHeight="true" outlineLevel="0" collapsed="false">
      <c r="A1599" s="1" t="n">
        <v>16</v>
      </c>
      <c r="B1599" s="32" t="n">
        <f aca="false">INDEX(Surface_Engine!$V$12:$V$72,$A1599+1)*IF($A1599&lt;$Q$1581,INDEX(Surface_Engine!$E$12:$E$72,$A1599+1),INDEX(Surface_Engine!$E$12:$E$72,$Q$1581+1))</f>
        <v>0.380193691166233</v>
      </c>
      <c r="C1599" s="32" t="n">
        <f aca="false">INDEX(Panel_Reserving!$H$8:$H$68,$A1599+1)*IF($A1599&lt;$Q$1581,INDEX(Surface_Engine!$E$12:$E$72,$A1599+1),INDEX(Surface_Engine!$E$12:$E$72,$Q$1581+1))</f>
        <v>0.449765484961488</v>
      </c>
      <c r="D1599" s="32" t="n">
        <f aca="false">INDEX(Surface_Engine!$V$12:$V$72,$A1599+1)*IF($A1599&lt;$Q$1581,INDEX(Surface_Engine!$Y$12:$Y$72,$A1599+1),INDEX(Surface_Engine!$Y$12:$Y$72,$Q$1581+1))</f>
        <v>0.352426798573757</v>
      </c>
      <c r="E1599" s="32" t="n">
        <f aca="false">INDEX(Surface_Engine!$V$12:$V$72,$A1599+1)*IF($A1599&lt;$Q$1581,INDEX(Surface_Engine!$Z$12:$Z$72,$A1599+1),INDEX(Surface_Engine!$Z$12:$Z$72,$Q$1581+1))</f>
        <v>0.409815158291441</v>
      </c>
      <c r="F1599" s="48" t="n">
        <f aca="false">B1599*(IF($A1599&lt;$Q$1581,INDEX(Surface_Engine!$D$12:$D$72,$A1599+1)+(Surface_Engine!L251*12)*INDEX(Surface_Engine!$F$12:$F$72,$A1599+1)-(Surface_Engine!L251*12),1000*12*INDEX(Surface_Engine!$C$12:$C$72,$A1599+1)/(1+Assumptions!$B$10)^10+INDEX(Surface_Engine!$D$12:$D$72,$A1599+1)))*INDEX(Surface_Engine!$B$12:$B$72,$A1599+1)+F1600</f>
        <v>17925.1023770568</v>
      </c>
      <c r="G1599" s="48" t="n">
        <f aca="false">C1599*(IF($A1599&lt;$Q$1581,INDEX(Surface_Engine!$D$12:$D$72,$A1599+1)+(Surface_Engine!L251*12)*INDEX(Surface_Engine!$F$12:$F$72,$A1599+1)-(Surface_Engine!L251*12),1000*12*INDEX(Surface_Engine!$C$12:$C$72,$A1599+1)/(1+Assumptions!$B$10)^10+INDEX(Surface_Engine!$D$12:$D$72,$A1599+1)))*INDEX(Surface_Engine!$B$12:$B$72,$A1599+1)+G1600</f>
        <v>24880.8594938435</v>
      </c>
      <c r="H1599" s="48" t="n">
        <f aca="false">D1599*(IF($A1599&lt;$Q$1581,INDEX(Surface_Engine!$D$12:$D$72,$A1599+1)+(Surface_Engine!L251*12)*INDEX(Surface_Engine!$F$12:$F$72,$A1599+1)-(Surface_Engine!L251*12),1000*12*INDEX(Surface_Engine!$C$12:$C$72,$A1599+1)/(1+Assumptions!$B$10)^10+INDEX(Surface_Engine!$D$12:$D$72,$A1599+1)))*INDEX(Surface_Engine!$B$12:$B$72,$A1599+1)+H1600</f>
        <v>16615.9686276616</v>
      </c>
      <c r="I1599" s="48" t="n">
        <f aca="false">E1599*(IF($A1599&lt;$Q$1581,INDEX(Surface_Engine!$D$12:$D$72,$A1599+1)+(Surface_Engine!L251*12)*INDEX(Surface_Engine!$F$12:$F$72,$A1599+1)-(Surface_Engine!L251*12),1000*12*INDEX(Surface_Engine!$C$12:$C$72,$A1599+1)/(1+Assumptions!$B$10)^10+INDEX(Surface_Engine!$D$12:$D$72,$A1599+1)))*INDEX(Surface_Engine!$B$12:$B$72,$A1599+1)+I1600</f>
        <v>19321.6742905709</v>
      </c>
      <c r="J1599" s="48" t="n">
        <f aca="false">B1599*(IF($A1599&lt;$Q$1581,INDEX(Surface_Engine!$D$12:$D$72,$A1599+1)*(1+Assumptions!$B$24)+(Surface_Engine!L251*12)*INDEX(Surface_Engine!$F$12:$F$72,$A1599+1)-(Surface_Engine!L251*12),1000*12*INDEX(Surface_Engine!$C$12:$C$72,$A1599+1)/(1+Assumptions!$B$10)^10+INDEX(Surface_Engine!$D$12:$D$72,$A1599+1)*(1+Assumptions!$B$24)))*INDEX(Surface_Engine!$B$12:$B$72,$A1599+1)+J1600</f>
        <v>17941.4064904506</v>
      </c>
      <c r="K1599" s="12" t="n">
        <f aca="false">SQRT((IF(C1599&lt;=0,0,MAX(0,(B1599/C1599)*G1599/INDEX(Surface_Engine!$B$12:$B$72,$A1599+1)-F1599/INDEX(Surface_Engine!$B$12:$B$72,$A1599+1))))^2+(MAX(IF(D1599&lt;=0,0,MAX(0,(B1599/D1599)*H1599/INDEX(Surface_Engine!$B$12:$B$72,$A1599+1)-F1599/INDEX(Surface_Engine!$B$12:$B$72,$A1599+1))),IF(E1599&lt;=0,0,MAX(0,(B1599/E1599)*I1599/INDEX(Surface_Engine!$B$12:$B$72,$A1599+1)-F1599/INDEX(Surface_Engine!$B$12:$B$72,$A1599+1))),IF($A1599&lt;$Q$1581,MAX(0,-Assumptions!$B$22*(F1599/INDEX(Surface_Engine!$B$12:$B$72,$A1599+1))),0)))^2+(MAX(0,J1599/INDEX(Surface_Engine!$B$12:$B$72,$A1599+1)-(F1599/INDEX(Surface_Engine!$B$12:$B$72,$A1599+1))))^2+2*Assumptions!$B$26*(IF(C1599&lt;=0,0,MAX(0,(B1599/C1599)*G1599/INDEX(Surface_Engine!$B$12:$B$72,$A1599+1)-F1599/INDEX(Surface_Engine!$B$12:$B$72,$A1599+1))))*(MAX(IF(D1599&lt;=0,0,MAX(0,(B1599/D1599)*H1599/INDEX(Surface_Engine!$B$12:$B$72,$A1599+1)-F1599/INDEX(Surface_Engine!$B$12:$B$72,$A1599+1))),IF(E1599&lt;=0,0,MAX(0,(B1599/E1599)*I1599/INDEX(Surface_Engine!$B$12:$B$72,$A1599+1)-F1599/INDEX(Surface_Engine!$B$12:$B$72,$A1599+1))),IF($A1599&lt;$Q$1581,MAX(0,-Assumptions!$B$22*(F1599/INDEX(Surface_Engine!$B$12:$B$72,$A1599+1))),0)))+2*Assumptions!$B$27*(IF(C1599&lt;=0,0,MAX(0,(B1599/C1599)*G1599/INDEX(Surface_Engine!$B$12:$B$72,$A1599+1)-F1599/INDEX(Surface_Engine!$B$12:$B$72,$A1599+1))))*(MAX(0,J1599/INDEX(Surface_Engine!$B$12:$B$72,$A1599+1)-(F1599/INDEX(Surface_Engine!$B$12:$B$72,$A1599+1))))+2*Assumptions!$B$28*(MAX(IF(D1599&lt;=0,0,MAX(0,(B1599/D1599)*H1599/INDEX(Surface_Engine!$B$12:$B$72,$A1599+1)-F1599/INDEX(Surface_Engine!$B$12:$B$72,$A1599+1))),IF(E1599&lt;=0,0,MAX(0,(B1599/E1599)*I1599/INDEX(Surface_Engine!$B$12:$B$72,$A1599+1)-F1599/INDEX(Surface_Engine!$B$12:$B$72,$A1599+1))),IF($A1599&lt;$Q$1581,MAX(0,-Assumptions!$B$22*(F1599/INDEX(Surface_Engine!$B$12:$B$72,$A1599+1))),0)))*(MAX(0,J1599/INDEX(Surface_Engine!$B$12:$B$72,$A1599+1)-(F1599/INDEX(Surface_Engine!$B$12:$B$72,$A1599+1)))))</f>
        <v>5101.44060637988</v>
      </c>
      <c r="L1599" s="48" t="n">
        <f aca="false">K1599*INDEX(Surface_Engine!$B$12:$B$72,$A1599+1)+L1600</f>
        <v>15832.7712949797</v>
      </c>
      <c r="M1599" s="48" t="n">
        <f aca="false">M1598+B1598*(IF($A1598&lt;$Q$1581,(Surface_Engine!L251*12)-(Surface_Engine!L251*12)*INDEX(Surface_Engine!$F$12:$F$72,$A1598+1)-INDEX(Surface_Engine!$D$12:$D$72,$A1598+1),-(1000*12*INDEX(Surface_Engine!$C$12:$C$72,$A1598+1)/(1+Assumptions!$B$10)^10+INDEX(Surface_Engine!$D$12:$D$72,$A1598+1))))*INDEX(Surface_Engine!$B$12:$B$72,$A1598+1)</f>
        <v>19690.9570242237</v>
      </c>
      <c r="N1599" s="12" t="n">
        <f aca="false">IF(B1599&lt;=0,0,MAX(0,(K1599+Assumptions!$B$29*L1599/INDEX(Surface_Engine!$B$12:$B$72,$A1599+1)-(M1599/INDEX(Surface_Engine!$B$12:$B$72,$A1599+1)-(F1599/INDEX(Surface_Engine!$B$12:$B$72,$A1599+1))))/B1599))</f>
        <v>9899.22126221551</v>
      </c>
    </row>
    <row r="1600" customFormat="false" ht="15" hidden="false" customHeight="true" outlineLevel="0" collapsed="false">
      <c r="A1600" s="1" t="n">
        <v>17</v>
      </c>
      <c r="B1600" s="32" t="n">
        <f aca="false">INDEX(Surface_Engine!$V$12:$V$72,$A1600+1)*IF($A1600&lt;$Q$1581,INDEX(Surface_Engine!$E$12:$E$72,$A1600+1),INDEX(Surface_Engine!$E$12:$E$72,$Q$1581+1))</f>
        <v>0.334194945304861</v>
      </c>
      <c r="C1600" s="32" t="n">
        <f aca="false">INDEX(Panel_Reserving!$H$8:$H$68,$A1600+1)*IF($A1600&lt;$Q$1581,INDEX(Surface_Engine!$E$12:$E$72,$A1600+1),INDEX(Surface_Engine!$E$12:$E$72,$Q$1581+1))</f>
        <v>0.406232625325657</v>
      </c>
      <c r="D1600" s="32" t="n">
        <f aca="false">INDEX(Surface_Engine!$V$12:$V$72,$A1600+1)*IF($A1600&lt;$Q$1581,INDEX(Surface_Engine!$Y$12:$Y$72,$A1600+1),INDEX(Surface_Engine!$Y$12:$Y$72,$Q$1581+1))</f>
        <v>0.309787504132537</v>
      </c>
      <c r="E1600" s="32" t="n">
        <f aca="false">INDEX(Surface_Engine!$V$12:$V$72,$A1600+1)*IF($A1600&lt;$Q$1581,INDEX(Surface_Engine!$Z$12:$Z$72,$A1600+1),INDEX(Surface_Engine!$Z$12:$Z$72,$Q$1581+1))</f>
        <v>0.360232580372904</v>
      </c>
      <c r="F1600" s="48" t="n">
        <f aca="false">B1600*(IF($A1600&lt;$Q$1581,INDEX(Surface_Engine!$D$12:$D$72,$A1600+1)+(Surface_Engine!L251*12)*INDEX(Surface_Engine!$F$12:$F$72,$A1600+1)-(Surface_Engine!L251*12),1000*12*INDEX(Surface_Engine!$C$12:$C$72,$A1600+1)/(1+Assumptions!$B$10)^10+INDEX(Surface_Engine!$D$12:$D$72,$A1600+1)))*INDEX(Surface_Engine!$B$12:$B$72,$A1600+1)+F1601</f>
        <v>14763.4435942411</v>
      </c>
      <c r="G1600" s="48" t="n">
        <f aca="false">C1600*(IF($A1600&lt;$Q$1581,INDEX(Surface_Engine!$D$12:$D$72,$A1600+1)+(Surface_Engine!L251*12)*INDEX(Surface_Engine!$F$12:$F$72,$A1600+1)-(Surface_Engine!L251*12),1000*12*INDEX(Surface_Engine!$C$12:$C$72,$A1600+1)/(1+Assumptions!$B$10)^10+INDEX(Surface_Engine!$D$12:$D$72,$A1600+1)))*INDEX(Surface_Engine!$B$12:$B$72,$A1600+1)+G1601</f>
        <v>21140.6475209044</v>
      </c>
      <c r="H1600" s="48" t="n">
        <f aca="false">D1600*(IF($A1600&lt;$Q$1581,INDEX(Surface_Engine!$D$12:$D$72,$A1600+1)+(Surface_Engine!L251*12)*INDEX(Surface_Engine!$F$12:$F$72,$A1600+1)-(Surface_Engine!L251*12),1000*12*INDEX(Surface_Engine!$C$12:$C$72,$A1600+1)/(1+Assumptions!$B$10)^10+INDEX(Surface_Engine!$D$12:$D$72,$A1600+1)))*INDEX(Surface_Engine!$B$12:$B$72,$A1600+1)+H1601</f>
        <v>13685.2169900097</v>
      </c>
      <c r="I1600" s="48" t="n">
        <f aca="false">E1600*(IF($A1600&lt;$Q$1581,INDEX(Surface_Engine!$D$12:$D$72,$A1600+1)+(Surface_Engine!L251*12)*INDEX(Surface_Engine!$F$12:$F$72,$A1600+1)-(Surface_Engine!L251*12),1000*12*INDEX(Surface_Engine!$C$12:$C$72,$A1600+1)/(1+Assumptions!$B$10)^10+INDEX(Surface_Engine!$D$12:$D$72,$A1600+1)))*INDEX(Surface_Engine!$B$12:$B$72,$A1600+1)+I1601</f>
        <v>15913.6858766426</v>
      </c>
      <c r="J1600" s="48" t="n">
        <f aca="false">B1600*(IF($A1600&lt;$Q$1581,INDEX(Surface_Engine!$D$12:$D$72,$A1600+1)*(1+Assumptions!$B$24)+(Surface_Engine!L251*12)*INDEX(Surface_Engine!$F$12:$F$72,$A1600+1)-(Surface_Engine!L251*12),1000*12*INDEX(Surface_Engine!$C$12:$C$72,$A1600+1)/(1+Assumptions!$B$10)^10+INDEX(Surface_Engine!$D$12:$D$72,$A1600+1)*(1+Assumptions!$B$24)))*INDEX(Surface_Engine!$B$12:$B$72,$A1600+1)+J1601</f>
        <v>14776.9252076809</v>
      </c>
      <c r="K1600" s="12" t="n">
        <f aca="false">SQRT((IF(C1600&lt;=0,0,MAX(0,(B1600/C1600)*G1600/INDEX(Surface_Engine!$B$12:$B$72,$A1600+1)-F1600/INDEX(Surface_Engine!$B$12:$B$72,$A1600+1))))^2+(MAX(IF(D1600&lt;=0,0,MAX(0,(B1600/D1600)*H1600/INDEX(Surface_Engine!$B$12:$B$72,$A1600+1)-F1600/INDEX(Surface_Engine!$B$12:$B$72,$A1600+1))),IF(E1600&lt;=0,0,MAX(0,(B1600/E1600)*I1600/INDEX(Surface_Engine!$B$12:$B$72,$A1600+1)-F1600/INDEX(Surface_Engine!$B$12:$B$72,$A1600+1))),IF($A1600&lt;$Q$1581,MAX(0,-Assumptions!$B$22*(F1600/INDEX(Surface_Engine!$B$12:$B$72,$A1600+1))),0)))^2+(MAX(0,J1600/INDEX(Surface_Engine!$B$12:$B$72,$A1600+1)-(F1600/INDEX(Surface_Engine!$B$12:$B$72,$A1600+1))))^2+2*Assumptions!$B$26*(IF(C1600&lt;=0,0,MAX(0,(B1600/C1600)*G1600/INDEX(Surface_Engine!$B$12:$B$72,$A1600+1)-F1600/INDEX(Surface_Engine!$B$12:$B$72,$A1600+1))))*(MAX(IF(D1600&lt;=0,0,MAX(0,(B1600/D1600)*H1600/INDEX(Surface_Engine!$B$12:$B$72,$A1600+1)-F1600/INDEX(Surface_Engine!$B$12:$B$72,$A1600+1))),IF(E1600&lt;=0,0,MAX(0,(B1600/E1600)*I1600/INDEX(Surface_Engine!$B$12:$B$72,$A1600+1)-F1600/INDEX(Surface_Engine!$B$12:$B$72,$A1600+1))),IF($A1600&lt;$Q$1581,MAX(0,-Assumptions!$B$22*(F1600/INDEX(Surface_Engine!$B$12:$B$72,$A1600+1))),0)))+2*Assumptions!$B$27*(IF(C1600&lt;=0,0,MAX(0,(B1600/C1600)*G1600/INDEX(Surface_Engine!$B$12:$B$72,$A1600+1)-F1600/INDEX(Surface_Engine!$B$12:$B$72,$A1600+1))))*(MAX(0,J1600/INDEX(Surface_Engine!$B$12:$B$72,$A1600+1)-(F1600/INDEX(Surface_Engine!$B$12:$B$72,$A1600+1))))+2*Assumptions!$B$28*(MAX(IF(D1600&lt;=0,0,MAX(0,(B1600/D1600)*H1600/INDEX(Surface_Engine!$B$12:$B$72,$A1600+1)-F1600/INDEX(Surface_Engine!$B$12:$B$72,$A1600+1))),IF(E1600&lt;=0,0,MAX(0,(B1600/E1600)*I1600/INDEX(Surface_Engine!$B$12:$B$72,$A1600+1)-F1600/INDEX(Surface_Engine!$B$12:$B$72,$A1600+1))),IF($A1600&lt;$Q$1581,MAX(0,-Assumptions!$B$22*(F1600/INDEX(Surface_Engine!$B$12:$B$72,$A1600+1))),0)))*(MAX(0,J1600/INDEX(Surface_Engine!$B$12:$B$72,$A1600+1)-(F1600/INDEX(Surface_Engine!$B$12:$B$72,$A1600+1)))))</f>
        <v>4463.18414228892</v>
      </c>
      <c r="L1600" s="48" t="n">
        <f aca="false">K1600*INDEX(Surface_Engine!$B$12:$B$72,$A1600+1)+L1601</f>
        <v>12721.5838786076</v>
      </c>
      <c r="M1600" s="48" t="n">
        <f aca="false">M1599+B1599*(IF($A1599&lt;$Q$1581,(Surface_Engine!L251*12)-(Surface_Engine!L251*12)*INDEX(Surface_Engine!$F$12:$F$72,$A1599+1)-INDEX(Surface_Engine!$D$12:$D$72,$A1599+1),-(1000*12*INDEX(Surface_Engine!$C$12:$C$72,$A1599+1)/(1+Assumptions!$B$10)^10+INDEX(Surface_Engine!$D$12:$D$72,$A1599+1))))*INDEX(Surface_Engine!$B$12:$B$72,$A1599+1)</f>
        <v>16529.298241408</v>
      </c>
      <c r="N1600" s="12" t="n">
        <f aca="false">IF(B1600&lt;=0,0,MAX(0,(K1600+Assumptions!$B$29*L1600/INDEX(Surface_Engine!$B$12:$B$72,$A1600+1)-(M1600/INDEX(Surface_Engine!$B$12:$B$72,$A1600+1)-(F1600/INDEX(Surface_Engine!$B$12:$B$72,$A1600+1))))/B1600))</f>
        <v>8267.38781355065</v>
      </c>
    </row>
    <row r="1601" customFormat="false" ht="15" hidden="false" customHeight="true" outlineLevel="0" collapsed="false">
      <c r="A1601" s="1" t="n">
        <v>18</v>
      </c>
      <c r="B1601" s="32" t="n">
        <f aca="false">INDEX(Surface_Engine!$V$12:$V$72,$A1601+1)*IF($A1601&lt;$Q$1581,INDEX(Surface_Engine!$E$12:$E$72,$A1601+1),INDEX(Surface_Engine!$E$12:$E$72,$Q$1581+1))</f>
        <v>0.2893958369452</v>
      </c>
      <c r="C1601" s="32" t="n">
        <f aca="false">INDEX(Panel_Reserving!$H$8:$H$68,$A1601+1)*IF($A1601&lt;$Q$1581,INDEX(Surface_Engine!$E$12:$E$72,$A1601+1),INDEX(Surface_Engine!$E$12:$E$72,$Q$1581+1))</f>
        <v>0.362667970247844</v>
      </c>
      <c r="D1601" s="32" t="n">
        <f aca="false">INDEX(Surface_Engine!$V$12:$V$72,$A1601+1)*IF($A1601&lt;$Q$1581,INDEX(Surface_Engine!$Y$12:$Y$72,$A1601+1),INDEX(Surface_Engine!$Y$12:$Y$72,$Q$1581+1))</f>
        <v>0.268260233415015</v>
      </c>
      <c r="E1601" s="32" t="n">
        <f aca="false">INDEX(Surface_Engine!$V$12:$V$72,$A1601+1)*IF($A1601&lt;$Q$1581,INDEX(Surface_Engine!$Z$12:$Z$72,$A1601+1),INDEX(Surface_Engine!$Z$12:$Z$72,$Q$1581+1))</f>
        <v>0.311943105533348</v>
      </c>
      <c r="F1601" s="48" t="n">
        <f aca="false">B1601*(IF($A1601&lt;$Q$1581,INDEX(Surface_Engine!$D$12:$D$72,$A1601+1)+(Surface_Engine!L251*12)*INDEX(Surface_Engine!$F$12:$F$72,$A1601+1)-(Surface_Engine!L251*12),1000*12*INDEX(Surface_Engine!$C$12:$C$72,$A1601+1)/(1+Assumptions!$B$10)^10+INDEX(Surface_Engine!$D$12:$D$72,$A1601+1)))*INDEX(Surface_Engine!$B$12:$B$72,$A1601+1)+F1602</f>
        <v>12022.5674129063</v>
      </c>
      <c r="G1601" s="48" t="n">
        <f aca="false">C1601*(IF($A1601&lt;$Q$1581,INDEX(Surface_Engine!$D$12:$D$72,$A1601+1)+(Surface_Engine!L251*12)*INDEX(Surface_Engine!$F$12:$F$72,$A1601+1)-(Surface_Engine!L251*12),1000*12*INDEX(Surface_Engine!$C$12:$C$72,$A1601+1)/(1+Assumptions!$B$10)^10+INDEX(Surface_Engine!$D$12:$D$72,$A1601+1)))*INDEX(Surface_Engine!$B$12:$B$72,$A1601+1)+G1602</f>
        <v>17808.9594074875</v>
      </c>
      <c r="H1601" s="48" t="n">
        <f aca="false">D1601*(IF($A1601&lt;$Q$1581,INDEX(Surface_Engine!$D$12:$D$72,$A1601+1)+(Surface_Engine!L251*12)*INDEX(Surface_Engine!$F$12:$F$72,$A1601+1)-(Surface_Engine!L251*12),1000*12*INDEX(Surface_Engine!$C$12:$C$72,$A1601+1)/(1+Assumptions!$B$10)^10+INDEX(Surface_Engine!$D$12:$D$72,$A1601+1)))*INDEX(Surface_Engine!$B$12:$B$72,$A1601+1)+H1602</f>
        <v>11144.5167092874</v>
      </c>
      <c r="I1601" s="48" t="n">
        <f aca="false">E1601*(IF($A1601&lt;$Q$1581,INDEX(Surface_Engine!$D$12:$D$72,$A1601+1)+(Surface_Engine!L251*12)*INDEX(Surface_Engine!$F$12:$F$72,$A1601+1)-(Surface_Engine!L251*12),1000*12*INDEX(Surface_Engine!$C$12:$C$72,$A1601+1)/(1+Assumptions!$B$10)^10+INDEX(Surface_Engine!$D$12:$D$72,$A1601+1)))*INDEX(Surface_Engine!$B$12:$B$72,$A1601+1)+I1602</f>
        <v>12959.2638748849</v>
      </c>
      <c r="J1601" s="48" t="n">
        <f aca="false">B1601*(IF($A1601&lt;$Q$1581,INDEX(Surface_Engine!$D$12:$D$72,$A1601+1)*(1+Assumptions!$B$24)+(Surface_Engine!L251*12)*INDEX(Surface_Engine!$F$12:$F$72,$A1601+1)-(Surface_Engine!L251*12),1000*12*INDEX(Surface_Engine!$C$12:$C$72,$A1601+1)/(1+Assumptions!$B$10)^10+INDEX(Surface_Engine!$D$12:$D$72,$A1601+1)*(1+Assumptions!$B$24)))*INDEX(Surface_Engine!$B$12:$B$72,$A1601+1)+J1602</f>
        <v>12033.5902838269</v>
      </c>
      <c r="K1601" s="12" t="n">
        <f aca="false">SQRT((IF(C1601&lt;=0,0,MAX(0,(B1601/C1601)*G1601/INDEX(Surface_Engine!$B$12:$B$72,$A1601+1)-F1601/INDEX(Surface_Engine!$B$12:$B$72,$A1601+1))))^2+(MAX(IF(D1601&lt;=0,0,MAX(0,(B1601/D1601)*H1601/INDEX(Surface_Engine!$B$12:$B$72,$A1601+1)-F1601/INDEX(Surface_Engine!$B$12:$B$72,$A1601+1))),IF(E1601&lt;=0,0,MAX(0,(B1601/E1601)*I1601/INDEX(Surface_Engine!$B$12:$B$72,$A1601+1)-F1601/INDEX(Surface_Engine!$B$12:$B$72,$A1601+1))),IF($A1601&lt;$Q$1581,MAX(0,-Assumptions!$B$22*(F1601/INDEX(Surface_Engine!$B$12:$B$72,$A1601+1))),0)))^2+(MAX(0,J1601/INDEX(Surface_Engine!$B$12:$B$72,$A1601+1)-(F1601/INDEX(Surface_Engine!$B$12:$B$72,$A1601+1))))^2+2*Assumptions!$B$26*(IF(C1601&lt;=0,0,MAX(0,(B1601/C1601)*G1601/INDEX(Surface_Engine!$B$12:$B$72,$A1601+1)-F1601/INDEX(Surface_Engine!$B$12:$B$72,$A1601+1))))*(MAX(IF(D1601&lt;=0,0,MAX(0,(B1601/D1601)*H1601/INDEX(Surface_Engine!$B$12:$B$72,$A1601+1)-F1601/INDEX(Surface_Engine!$B$12:$B$72,$A1601+1))),IF(E1601&lt;=0,0,MAX(0,(B1601/E1601)*I1601/INDEX(Surface_Engine!$B$12:$B$72,$A1601+1)-F1601/INDEX(Surface_Engine!$B$12:$B$72,$A1601+1))),IF($A1601&lt;$Q$1581,MAX(0,-Assumptions!$B$22*(F1601/INDEX(Surface_Engine!$B$12:$B$72,$A1601+1))),0)))+2*Assumptions!$B$27*(IF(C1601&lt;=0,0,MAX(0,(B1601/C1601)*G1601/INDEX(Surface_Engine!$B$12:$B$72,$A1601+1)-F1601/INDEX(Surface_Engine!$B$12:$B$72,$A1601+1))))*(MAX(0,J1601/INDEX(Surface_Engine!$B$12:$B$72,$A1601+1)-(F1601/INDEX(Surface_Engine!$B$12:$B$72,$A1601+1))))+2*Assumptions!$B$28*(MAX(IF(D1601&lt;=0,0,MAX(0,(B1601/D1601)*H1601/INDEX(Surface_Engine!$B$12:$B$72,$A1601+1)-F1601/INDEX(Surface_Engine!$B$12:$B$72,$A1601+1))),IF(E1601&lt;=0,0,MAX(0,(B1601/E1601)*I1601/INDEX(Surface_Engine!$B$12:$B$72,$A1601+1)-F1601/INDEX(Surface_Engine!$B$12:$B$72,$A1601+1))),IF($A1601&lt;$Q$1581,MAX(0,-Assumptions!$B$22*(F1601/INDEX(Surface_Engine!$B$12:$B$72,$A1601+1))),0)))*(MAX(0,J1601/INDEX(Surface_Engine!$B$12:$B$72,$A1601+1)-(F1601/INDEX(Surface_Engine!$B$12:$B$72,$A1601+1)))))</f>
        <v>3839.26567912807</v>
      </c>
      <c r="L1601" s="48" t="n">
        <f aca="false">K1601*INDEX(Surface_Engine!$B$12:$B$72,$A1601+1)+L1602</f>
        <v>10089.871544004</v>
      </c>
      <c r="M1601" s="48" t="n">
        <f aca="false">M1600+B1600*(IF($A1600&lt;$Q$1581,(Surface_Engine!L251*12)-(Surface_Engine!L251*12)*INDEX(Surface_Engine!$F$12:$F$72,$A1600+1)-INDEX(Surface_Engine!$D$12:$D$72,$A1600+1),-(1000*12*INDEX(Surface_Engine!$C$12:$C$72,$A1600+1)/(1+Assumptions!$B$10)^10+INDEX(Surface_Engine!$D$12:$D$72,$A1600+1))))*INDEX(Surface_Engine!$B$12:$B$72,$A1600+1)</f>
        <v>13788.4220600732</v>
      </c>
      <c r="N1601" s="12" t="n">
        <f aca="false">IF(B1601&lt;=0,0,MAX(0,(K1601+Assumptions!$B$29*L1601/INDEX(Surface_Engine!$B$12:$B$72,$A1601+1)-(M1601/INDEX(Surface_Engine!$B$12:$B$72,$A1601+1)-(F1601/INDEX(Surface_Engine!$B$12:$B$72,$A1601+1))))/B1601))</f>
        <v>6240.26683612024</v>
      </c>
    </row>
    <row r="1602" customFormat="false" ht="15" hidden="false" customHeight="true" outlineLevel="0" collapsed="false">
      <c r="A1602" s="1" t="n">
        <v>19</v>
      </c>
      <c r="B1602" s="32" t="n">
        <f aca="false">INDEX(Surface_Engine!$V$12:$V$72,$A1602+1)*IF($A1602&lt;$Q$1581,INDEX(Surface_Engine!$E$12:$E$72,$A1602+1),INDEX(Surface_Engine!$E$12:$E$72,$Q$1581+1))</f>
        <v>0.247080694402772</v>
      </c>
      <c r="C1602" s="32" t="n">
        <f aca="false">INDEX(Panel_Reserving!$H$8:$H$68,$A1602+1)*IF($A1602&lt;$Q$1581,INDEX(Surface_Engine!$E$12:$E$72,$A1602+1),INDEX(Surface_Engine!$E$12:$E$72,$Q$1581+1))</f>
        <v>0.320244839304141</v>
      </c>
      <c r="D1602" s="32" t="n">
        <f aca="false">INDEX(Surface_Engine!$V$12:$V$72,$A1602+1)*IF($A1602&lt;$Q$1581,INDEX(Surface_Engine!$Y$12:$Y$72,$A1602+1),INDEX(Surface_Engine!$Y$12:$Y$72,$Q$1581+1))</f>
        <v>0.22903551568844</v>
      </c>
      <c r="E1602" s="32" t="n">
        <f aca="false">INDEX(Surface_Engine!$V$12:$V$72,$A1602+1)*IF($A1602&lt;$Q$1581,INDEX(Surface_Engine!$Z$12:$Z$72,$A1602+1),INDEX(Surface_Engine!$Z$12:$Z$72,$Q$1581+1))</f>
        <v>0.266331126055319</v>
      </c>
      <c r="F1602" s="48" t="n">
        <f aca="false">B1602*(IF($A1602&lt;$Q$1581,INDEX(Surface_Engine!$D$12:$D$72,$A1602+1)+(Surface_Engine!L251*12)*INDEX(Surface_Engine!$F$12:$F$72,$A1602+1)-(Surface_Engine!L251*12),1000*12*INDEX(Surface_Engine!$C$12:$C$72,$A1602+1)/(1+Assumptions!$B$10)^10+INDEX(Surface_Engine!$D$12:$D$72,$A1602+1)))*INDEX(Surface_Engine!$B$12:$B$72,$A1602+1)+F1603</f>
        <v>9679.28521982866</v>
      </c>
      <c r="G1602" s="48" t="n">
        <f aca="false">C1602*(IF($A1602&lt;$Q$1581,INDEX(Surface_Engine!$D$12:$D$72,$A1602+1)+(Surface_Engine!L251*12)*INDEX(Surface_Engine!$F$12:$F$72,$A1602+1)-(Surface_Engine!L251*12),1000*12*INDEX(Surface_Engine!$C$12:$C$72,$A1602+1)/(1+Assumptions!$B$10)^10+INDEX(Surface_Engine!$D$12:$D$72,$A1602+1)))*INDEX(Surface_Engine!$B$12:$B$72,$A1602+1)+G1603</f>
        <v>14872.3815850419</v>
      </c>
      <c r="H1602" s="48" t="n">
        <f aca="false">D1602*(IF($A1602&lt;$Q$1581,INDEX(Surface_Engine!$D$12:$D$72,$A1602+1)+(Surface_Engine!L251*12)*INDEX(Surface_Engine!$F$12:$F$72,$A1602+1)-(Surface_Engine!L251*12),1000*12*INDEX(Surface_Engine!$C$12:$C$72,$A1602+1)/(1+Assumptions!$B$10)^10+INDEX(Surface_Engine!$D$12:$D$72,$A1602+1)))*INDEX(Surface_Engine!$B$12:$B$72,$A1602+1)+H1603</f>
        <v>8972.37271887028</v>
      </c>
      <c r="I1602" s="48" t="n">
        <f aca="false">E1602*(IF($A1602&lt;$Q$1581,INDEX(Surface_Engine!$D$12:$D$72,$A1602+1)+(Surface_Engine!L251*12)*INDEX(Surface_Engine!$F$12:$F$72,$A1602+1)-(Surface_Engine!L251*12),1000*12*INDEX(Surface_Engine!$C$12:$C$72,$A1602+1)/(1+Assumptions!$B$10)^10+INDEX(Surface_Engine!$D$12:$D$72,$A1602+1)))*INDEX(Surface_Engine!$B$12:$B$72,$A1602+1)+I1603</f>
        <v>10433.4130120474</v>
      </c>
      <c r="J1602" s="48" t="n">
        <f aca="false">B1602*(IF($A1602&lt;$Q$1581,INDEX(Surface_Engine!$D$12:$D$72,$A1602+1)*(1+Assumptions!$B$24)+(Surface_Engine!L251*12)*INDEX(Surface_Engine!$F$12:$F$72,$A1602+1)-(Surface_Engine!L251*12),1000*12*INDEX(Surface_Engine!$C$12:$C$72,$A1602+1)/(1+Assumptions!$B$10)^10+INDEX(Surface_Engine!$D$12:$D$72,$A1602+1)*(1+Assumptions!$B$24)))*INDEX(Surface_Engine!$B$12:$B$72,$A1602+1)+J1603</f>
        <v>9688.19580424852</v>
      </c>
      <c r="K1602" s="12" t="n">
        <f aca="false">SQRT((IF(C1602&lt;=0,0,MAX(0,(B1602/C1602)*G1602/INDEX(Surface_Engine!$B$12:$B$72,$A1602+1)-F1602/INDEX(Surface_Engine!$B$12:$B$72,$A1602+1))))^2+(MAX(IF(D1602&lt;=0,0,MAX(0,(B1602/D1602)*H1602/INDEX(Surface_Engine!$B$12:$B$72,$A1602+1)-F1602/INDEX(Surface_Engine!$B$12:$B$72,$A1602+1))),IF(E1602&lt;=0,0,MAX(0,(B1602/E1602)*I1602/INDEX(Surface_Engine!$B$12:$B$72,$A1602+1)-F1602/INDEX(Surface_Engine!$B$12:$B$72,$A1602+1))),IF($A1602&lt;$Q$1581,MAX(0,-Assumptions!$B$22*(F1602/INDEX(Surface_Engine!$B$12:$B$72,$A1602+1))),0)))^2+(MAX(0,J1602/INDEX(Surface_Engine!$B$12:$B$72,$A1602+1)-(F1602/INDEX(Surface_Engine!$B$12:$B$72,$A1602+1))))^2+2*Assumptions!$B$26*(IF(C1602&lt;=0,0,MAX(0,(B1602/C1602)*G1602/INDEX(Surface_Engine!$B$12:$B$72,$A1602+1)-F1602/INDEX(Surface_Engine!$B$12:$B$72,$A1602+1))))*(MAX(IF(D1602&lt;=0,0,MAX(0,(B1602/D1602)*H1602/INDEX(Surface_Engine!$B$12:$B$72,$A1602+1)-F1602/INDEX(Surface_Engine!$B$12:$B$72,$A1602+1))),IF(E1602&lt;=0,0,MAX(0,(B1602/E1602)*I1602/INDEX(Surface_Engine!$B$12:$B$72,$A1602+1)-F1602/INDEX(Surface_Engine!$B$12:$B$72,$A1602+1))),IF($A1602&lt;$Q$1581,MAX(0,-Assumptions!$B$22*(F1602/INDEX(Surface_Engine!$B$12:$B$72,$A1602+1))),0)))+2*Assumptions!$B$27*(IF(C1602&lt;=0,0,MAX(0,(B1602/C1602)*G1602/INDEX(Surface_Engine!$B$12:$B$72,$A1602+1)-F1602/INDEX(Surface_Engine!$B$12:$B$72,$A1602+1))))*(MAX(0,J1602/INDEX(Surface_Engine!$B$12:$B$72,$A1602+1)-(F1602/INDEX(Surface_Engine!$B$12:$B$72,$A1602+1))))+2*Assumptions!$B$28*(MAX(IF(D1602&lt;=0,0,MAX(0,(B1602/D1602)*H1602/INDEX(Surface_Engine!$B$12:$B$72,$A1602+1)-F1602/INDEX(Surface_Engine!$B$12:$B$72,$A1602+1))),IF(E1602&lt;=0,0,MAX(0,(B1602/E1602)*I1602/INDEX(Surface_Engine!$B$12:$B$72,$A1602+1)-F1602/INDEX(Surface_Engine!$B$12:$B$72,$A1602+1))),IF($A1602&lt;$Q$1581,MAX(0,-Assumptions!$B$22*(F1602/INDEX(Surface_Engine!$B$12:$B$72,$A1602+1))),0)))*(MAX(0,J1602/INDEX(Surface_Engine!$B$12:$B$72,$A1602+1)-(F1602/INDEX(Surface_Engine!$B$12:$B$72,$A1602+1)))))</f>
        <v>3251.15038199867</v>
      </c>
      <c r="L1602" s="48" t="n">
        <f aca="false">K1602*INDEX(Surface_Engine!$B$12:$B$72,$A1602+1)+L1603</f>
        <v>7898.75599238895</v>
      </c>
      <c r="M1602" s="48" t="n">
        <f aca="false">M1601+B1601*(IF($A1601&lt;$Q$1581,(Surface_Engine!L251*12)-(Surface_Engine!L251*12)*INDEX(Surface_Engine!$F$12:$F$72,$A1601+1)-INDEX(Surface_Engine!$D$12:$D$72,$A1601+1),-(1000*12*INDEX(Surface_Engine!$C$12:$C$72,$A1601+1)/(1+Assumptions!$B$10)^10+INDEX(Surface_Engine!$D$12:$D$72,$A1601+1))))*INDEX(Surface_Engine!$B$12:$B$72,$A1601+1)</f>
        <v>11445.1398669955</v>
      </c>
      <c r="N1602" s="12" t="n">
        <f aca="false">IF(B1602&lt;=0,0,MAX(0,(K1602+Assumptions!$B$29*L1602/INDEX(Surface_Engine!$B$12:$B$72,$A1602+1)-(M1602/INDEX(Surface_Engine!$B$12:$B$72,$A1602+1)-(F1602/INDEX(Surface_Engine!$B$12:$B$72,$A1602+1))))/B1602))</f>
        <v>3701.21507543706</v>
      </c>
    </row>
    <row r="1603" customFormat="false" ht="15" hidden="false" customHeight="true" outlineLevel="0" collapsed="false">
      <c r="A1603" s="1" t="n">
        <v>20</v>
      </c>
      <c r="B1603" s="32" t="n">
        <f aca="false">INDEX(Surface_Engine!$V$12:$V$72,$A1603+1)*IF($A1603&lt;$Q$1581,INDEX(Surface_Engine!$E$12:$E$72,$A1603+1),INDEX(Surface_Engine!$E$12:$E$72,$Q$1581+1))</f>
        <v>0.208186798255809</v>
      </c>
      <c r="C1603" s="32" t="n">
        <f aca="false">INDEX(Panel_Reserving!$H$8:$H$68,$A1603+1)*IF($A1603&lt;$Q$1581,INDEX(Surface_Engine!$E$12:$E$72,$A1603+1),INDEX(Surface_Engine!$E$12:$E$72,$Q$1581+1))</f>
        <v>0.279916089049969</v>
      </c>
      <c r="D1603" s="32" t="n">
        <f aca="false">INDEX(Surface_Engine!$V$12:$V$72,$A1603+1)*IF($A1603&lt;$Q$1581,INDEX(Surface_Engine!$Y$12:$Y$72,$A1603+1),INDEX(Surface_Engine!$Y$12:$Y$72,$Q$1581+1))</f>
        <v>0.192982178608891</v>
      </c>
      <c r="E1603" s="32" t="n">
        <f aca="false">INDEX(Surface_Engine!$V$12:$V$72,$A1603+1)*IF($A1603&lt;$Q$1581,INDEX(Surface_Engine!$Z$12:$Z$72,$A1603+1),INDEX(Surface_Engine!$Z$12:$Z$72,$Q$1581+1))</f>
        <v>0.224406947468491</v>
      </c>
      <c r="F1603" s="48" t="n">
        <f aca="false">B1603*(IF($A1603&lt;$Q$1581,INDEX(Surface_Engine!$D$12:$D$72,$A1603+1)+(Surface_Engine!L251*12)*INDEX(Surface_Engine!$F$12:$F$72,$A1603+1)-(Surface_Engine!L251*12),1000*12*INDEX(Surface_Engine!$C$12:$C$72,$A1603+1)/(1+Assumptions!$B$10)^10+INDEX(Surface_Engine!$D$12:$D$72,$A1603+1)))*INDEX(Surface_Engine!$B$12:$B$72,$A1603+1)+F1604</f>
        <v>7702.23293184352</v>
      </c>
      <c r="G1603" s="48" t="n">
        <f aca="false">C1603*(IF($A1603&lt;$Q$1581,INDEX(Surface_Engine!$D$12:$D$72,$A1603+1)+(Surface_Engine!L251*12)*INDEX(Surface_Engine!$F$12:$F$72,$A1603+1)-(Surface_Engine!L251*12),1000*12*INDEX(Surface_Engine!$C$12:$C$72,$A1603+1)/(1+Assumptions!$B$10)^10+INDEX(Surface_Engine!$D$12:$D$72,$A1603+1)))*INDEX(Surface_Engine!$B$12:$B$72,$A1603+1)+G1604</f>
        <v>12309.8956984287</v>
      </c>
      <c r="H1603" s="48" t="n">
        <f aca="false">D1603*(IF($A1603&lt;$Q$1581,INDEX(Surface_Engine!$D$12:$D$72,$A1603+1)+(Surface_Engine!L251*12)*INDEX(Surface_Engine!$F$12:$F$72,$A1603+1)-(Surface_Engine!L251*12),1000*12*INDEX(Surface_Engine!$C$12:$C$72,$A1603+1)/(1+Assumptions!$B$10)^10+INDEX(Surface_Engine!$D$12:$D$72,$A1603+1)))*INDEX(Surface_Engine!$B$12:$B$72,$A1603+1)+H1604</f>
        <v>7139.71156573485</v>
      </c>
      <c r="I1603" s="48" t="n">
        <f aca="false">E1603*(IF($A1603&lt;$Q$1581,INDEX(Surface_Engine!$D$12:$D$72,$A1603+1)+(Surface_Engine!L251*12)*INDEX(Surface_Engine!$F$12:$F$72,$A1603+1)-(Surface_Engine!L251*12),1000*12*INDEX(Surface_Engine!$C$12:$C$72,$A1603+1)/(1+Assumptions!$B$10)^10+INDEX(Surface_Engine!$D$12:$D$72,$A1603+1)))*INDEX(Surface_Engine!$B$12:$B$72,$A1603+1)+I1604</f>
        <v>8302.32558167538</v>
      </c>
      <c r="J1603" s="48" t="n">
        <f aca="false">B1603*(IF($A1603&lt;$Q$1581,INDEX(Surface_Engine!$D$12:$D$72,$A1603+1)*(1+Assumptions!$B$24)+(Surface_Engine!L251*12)*INDEX(Surface_Engine!$F$12:$F$72,$A1603+1)-(Surface_Engine!L251*12),1000*12*INDEX(Surface_Engine!$C$12:$C$72,$A1603+1)/(1+Assumptions!$B$10)^10+INDEX(Surface_Engine!$D$12:$D$72,$A1603+1)*(1+Assumptions!$B$24)))*INDEX(Surface_Engine!$B$12:$B$72,$A1603+1)+J1604</f>
        <v>7709.35270057461</v>
      </c>
      <c r="K1603" s="12" t="n">
        <f aca="false">SQRT((IF(C1603&lt;=0,0,MAX(0,(B1603/C1603)*G1603/INDEX(Surface_Engine!$B$12:$B$72,$A1603+1)-F1603/INDEX(Surface_Engine!$B$12:$B$72,$A1603+1))))^2+(MAX(IF(D1603&lt;=0,0,MAX(0,(B1603/D1603)*H1603/INDEX(Surface_Engine!$B$12:$B$72,$A1603+1)-F1603/INDEX(Surface_Engine!$B$12:$B$72,$A1603+1))),IF(E1603&lt;=0,0,MAX(0,(B1603/E1603)*I1603/INDEX(Surface_Engine!$B$12:$B$72,$A1603+1)-F1603/INDEX(Surface_Engine!$B$12:$B$72,$A1603+1))),IF($A1603&lt;$Q$1581,MAX(0,-Assumptions!$B$22*(F1603/INDEX(Surface_Engine!$B$12:$B$72,$A1603+1))),0)))^2+(MAX(0,J1603/INDEX(Surface_Engine!$B$12:$B$72,$A1603+1)-(F1603/INDEX(Surface_Engine!$B$12:$B$72,$A1603+1))))^2+2*Assumptions!$B$26*(IF(C1603&lt;=0,0,MAX(0,(B1603/C1603)*G1603/INDEX(Surface_Engine!$B$12:$B$72,$A1603+1)-F1603/INDEX(Surface_Engine!$B$12:$B$72,$A1603+1))))*(MAX(IF(D1603&lt;=0,0,MAX(0,(B1603/D1603)*H1603/INDEX(Surface_Engine!$B$12:$B$72,$A1603+1)-F1603/INDEX(Surface_Engine!$B$12:$B$72,$A1603+1))),IF(E1603&lt;=0,0,MAX(0,(B1603/E1603)*I1603/INDEX(Surface_Engine!$B$12:$B$72,$A1603+1)-F1603/INDEX(Surface_Engine!$B$12:$B$72,$A1603+1))),IF($A1603&lt;$Q$1581,MAX(0,-Assumptions!$B$22*(F1603/INDEX(Surface_Engine!$B$12:$B$72,$A1603+1))),0)))+2*Assumptions!$B$27*(IF(C1603&lt;=0,0,MAX(0,(B1603/C1603)*G1603/INDEX(Surface_Engine!$B$12:$B$72,$A1603+1)-F1603/INDEX(Surface_Engine!$B$12:$B$72,$A1603+1))))*(MAX(0,J1603/INDEX(Surface_Engine!$B$12:$B$72,$A1603+1)-(F1603/INDEX(Surface_Engine!$B$12:$B$72,$A1603+1))))+2*Assumptions!$B$28*(MAX(IF(D1603&lt;=0,0,MAX(0,(B1603/D1603)*H1603/INDEX(Surface_Engine!$B$12:$B$72,$A1603+1)-F1603/INDEX(Surface_Engine!$B$12:$B$72,$A1603+1))),IF(E1603&lt;=0,0,MAX(0,(B1603/E1603)*I1603/INDEX(Surface_Engine!$B$12:$B$72,$A1603+1)-F1603/INDEX(Surface_Engine!$B$12:$B$72,$A1603+1))),IF($A1603&lt;$Q$1581,MAX(0,-Assumptions!$B$22*(F1603/INDEX(Surface_Engine!$B$12:$B$72,$A1603+1))),0)))*(MAX(0,J1603/INDEX(Surface_Engine!$B$12:$B$72,$A1603+1)-(F1603/INDEX(Surface_Engine!$B$12:$B$72,$A1603+1)))))</f>
        <v>2715.51003223786</v>
      </c>
      <c r="L1603" s="48" t="n">
        <f aca="false">K1603*INDEX(Surface_Engine!$B$12:$B$72,$A1603+1)+L1604</f>
        <v>6101.20242766226</v>
      </c>
      <c r="M1603" s="48" t="n">
        <f aca="false">M1602+B1602*(IF($A1602&lt;$Q$1581,(Surface_Engine!L251*12)-(Surface_Engine!L251*12)*INDEX(Surface_Engine!$F$12:$F$72,$A1602+1)-INDEX(Surface_Engine!$D$12:$D$72,$A1602+1),-(1000*12*INDEX(Surface_Engine!$C$12:$C$72,$A1602+1)/(1+Assumptions!$B$10)^10+INDEX(Surface_Engine!$D$12:$D$72,$A1602+1))))*INDEX(Surface_Engine!$B$12:$B$72,$A1602+1)</f>
        <v>9468.08757901038</v>
      </c>
      <c r="N1603" s="12" t="n">
        <f aca="false">IF(B1603&lt;=0,0,MAX(0,(K1603+Assumptions!$B$29*L1603/INDEX(Surface_Engine!$B$12:$B$72,$A1603+1)-(M1603/INDEX(Surface_Engine!$B$12:$B$72,$A1603+1)-(F1603/INDEX(Surface_Engine!$B$12:$B$72,$A1603+1))))/B1603))</f>
        <v>495.123222773751</v>
      </c>
    </row>
    <row r="1604" customFormat="false" ht="15" hidden="false" customHeight="true" outlineLevel="0" collapsed="false">
      <c r="A1604" s="1" t="n">
        <v>21</v>
      </c>
      <c r="B1604" s="32" t="n">
        <f aca="false">INDEX(Surface_Engine!$V$12:$V$72,$A1604+1)*IF($A1604&lt;$Q$1581,INDEX(Surface_Engine!$E$12:$E$72,$A1604+1),INDEX(Surface_Engine!$E$12:$E$72,$Q$1581+1))</f>
        <v>0.172180312077658</v>
      </c>
      <c r="C1604" s="32" t="n">
        <f aca="false">INDEX(Panel_Reserving!$H$8:$H$68,$A1604+1)*IF($A1604&lt;$Q$1581,INDEX(Surface_Engine!$E$12:$E$72,$A1604+1),INDEX(Surface_Engine!$E$12:$E$72,$Q$1581+1))</f>
        <v>0.241186275725167</v>
      </c>
      <c r="D1604" s="32" t="n">
        <f aca="false">INDEX(Surface_Engine!$V$12:$V$72,$A1604+1)*IF($A1604&lt;$Q$1581,INDEX(Surface_Engine!$Y$12:$Y$72,$A1604+1),INDEX(Surface_Engine!$Y$12:$Y$72,$Q$1581+1))</f>
        <v>0.159605373715757</v>
      </c>
      <c r="E1604" s="32" t="n">
        <f aca="false">INDEX(Surface_Engine!$V$12:$V$72,$A1604+1)*IF($A1604&lt;$Q$1581,INDEX(Surface_Engine!$Z$12:$Z$72,$A1604+1),INDEX(Surface_Engine!$Z$12:$Z$72,$Q$1581+1))</f>
        <v>0.185595141340531</v>
      </c>
      <c r="F1604" s="48" t="n">
        <f aca="false">B1604*(IF($A1604&lt;$Q$1581,INDEX(Surface_Engine!$D$12:$D$72,$A1604+1)+(Surface_Engine!L251*12)*INDEX(Surface_Engine!$F$12:$F$72,$A1604+1)-(Surface_Engine!L251*12),1000*12*INDEX(Surface_Engine!$C$12:$C$72,$A1604+1)/(1+Assumptions!$B$10)^10+INDEX(Surface_Engine!$D$12:$D$72,$A1604+1)))*INDEX(Surface_Engine!$B$12:$B$72,$A1604+1)+F1605</f>
        <v>6055.50147967894</v>
      </c>
      <c r="G1604" s="48" t="n">
        <f aca="false">C1604*(IF($A1604&lt;$Q$1581,INDEX(Surface_Engine!$D$12:$D$72,$A1604+1)+(Surface_Engine!L251*12)*INDEX(Surface_Engine!$F$12:$F$72,$A1604+1)-(Surface_Engine!L251*12),1000*12*INDEX(Surface_Engine!$C$12:$C$72,$A1604+1)/(1+Assumptions!$B$10)^10+INDEX(Surface_Engine!$D$12:$D$72,$A1604+1)))*INDEX(Surface_Engine!$B$12:$B$72,$A1604+1)+G1605</f>
        <v>10095.7945562463</v>
      </c>
      <c r="H1604" s="48" t="n">
        <f aca="false">D1604*(IF($A1604&lt;$Q$1581,INDEX(Surface_Engine!$D$12:$D$72,$A1604+1)+(Surface_Engine!L251*12)*INDEX(Surface_Engine!$F$12:$F$72,$A1604+1)-(Surface_Engine!L251*12),1000*12*INDEX(Surface_Engine!$C$12:$C$72,$A1604+1)/(1+Assumptions!$B$10)^10+INDEX(Surface_Engine!$D$12:$D$72,$A1604+1)))*INDEX(Surface_Engine!$B$12:$B$72,$A1604+1)+H1605</f>
        <v>5613.24674719232</v>
      </c>
      <c r="I1604" s="48" t="n">
        <f aca="false">E1604*(IF($A1604&lt;$Q$1581,INDEX(Surface_Engine!$D$12:$D$72,$A1604+1)+(Surface_Engine!L251*12)*INDEX(Surface_Engine!$F$12:$F$72,$A1604+1)-(Surface_Engine!L251*12),1000*12*INDEX(Surface_Engine!$C$12:$C$72,$A1604+1)/(1+Assumptions!$B$10)^10+INDEX(Surface_Engine!$D$12:$D$72,$A1604+1)))*INDEX(Surface_Engine!$B$12:$B$72,$A1604+1)+I1605</f>
        <v>6527.29478444615</v>
      </c>
      <c r="J1604" s="48" t="n">
        <f aca="false">B1604*(IF($A1604&lt;$Q$1581,INDEX(Surface_Engine!$D$12:$D$72,$A1604+1)*(1+Assumptions!$B$24)+(Surface_Engine!L251*12)*INDEX(Surface_Engine!$F$12:$F$72,$A1604+1)-(Surface_Engine!L251*12),1000*12*INDEX(Surface_Engine!$C$12:$C$72,$A1604+1)/(1+Assumptions!$B$10)^10+INDEX(Surface_Engine!$D$12:$D$72,$A1604+1)*(1+Assumptions!$B$24)))*INDEX(Surface_Engine!$B$12:$B$72,$A1604+1)+J1605</f>
        <v>6061.12239235741</v>
      </c>
      <c r="K1604" s="12" t="n">
        <f aca="false">SQRT((IF(C1604&lt;=0,0,MAX(0,(B1604/C1604)*G1604/INDEX(Surface_Engine!$B$12:$B$72,$A1604+1)-F1604/INDEX(Surface_Engine!$B$12:$B$72,$A1604+1))))^2+(MAX(IF(D1604&lt;=0,0,MAX(0,(B1604/D1604)*H1604/INDEX(Surface_Engine!$B$12:$B$72,$A1604+1)-F1604/INDEX(Surface_Engine!$B$12:$B$72,$A1604+1))),IF(E1604&lt;=0,0,MAX(0,(B1604/E1604)*I1604/INDEX(Surface_Engine!$B$12:$B$72,$A1604+1)-F1604/INDEX(Surface_Engine!$B$12:$B$72,$A1604+1))),IF($A1604&lt;$Q$1581,MAX(0,-Assumptions!$B$22*(F1604/INDEX(Surface_Engine!$B$12:$B$72,$A1604+1))),0)))^2+(MAX(0,J1604/INDEX(Surface_Engine!$B$12:$B$72,$A1604+1)-(F1604/INDEX(Surface_Engine!$B$12:$B$72,$A1604+1))))^2+2*Assumptions!$B$26*(IF(C1604&lt;=0,0,MAX(0,(B1604/C1604)*G1604/INDEX(Surface_Engine!$B$12:$B$72,$A1604+1)-F1604/INDEX(Surface_Engine!$B$12:$B$72,$A1604+1))))*(MAX(IF(D1604&lt;=0,0,MAX(0,(B1604/D1604)*H1604/INDEX(Surface_Engine!$B$12:$B$72,$A1604+1)-F1604/INDEX(Surface_Engine!$B$12:$B$72,$A1604+1))),IF(E1604&lt;=0,0,MAX(0,(B1604/E1604)*I1604/INDEX(Surface_Engine!$B$12:$B$72,$A1604+1)-F1604/INDEX(Surface_Engine!$B$12:$B$72,$A1604+1))),IF($A1604&lt;$Q$1581,MAX(0,-Assumptions!$B$22*(F1604/INDEX(Surface_Engine!$B$12:$B$72,$A1604+1))),0)))+2*Assumptions!$B$27*(IF(C1604&lt;=0,0,MAX(0,(B1604/C1604)*G1604/INDEX(Surface_Engine!$B$12:$B$72,$A1604+1)-F1604/INDEX(Surface_Engine!$B$12:$B$72,$A1604+1))))*(MAX(0,J1604/INDEX(Surface_Engine!$B$12:$B$72,$A1604+1)-(F1604/INDEX(Surface_Engine!$B$12:$B$72,$A1604+1))))+2*Assumptions!$B$28*(MAX(IF(D1604&lt;=0,0,MAX(0,(B1604/D1604)*H1604/INDEX(Surface_Engine!$B$12:$B$72,$A1604+1)-F1604/INDEX(Surface_Engine!$B$12:$B$72,$A1604+1))),IF(E1604&lt;=0,0,MAX(0,(B1604/E1604)*I1604/INDEX(Surface_Engine!$B$12:$B$72,$A1604+1)-F1604/INDEX(Surface_Engine!$B$12:$B$72,$A1604+1))),IF($A1604&lt;$Q$1581,MAX(0,-Assumptions!$B$22*(F1604/INDEX(Surface_Engine!$B$12:$B$72,$A1604+1))),0)))*(MAX(0,J1604/INDEX(Surface_Engine!$B$12:$B$72,$A1604+1)-(F1604/INDEX(Surface_Engine!$B$12:$B$72,$A1604+1)))))</f>
        <v>2220.88181284679</v>
      </c>
      <c r="L1604" s="48" t="n">
        <f aca="false">K1604*INDEX(Surface_Engine!$B$12:$B$72,$A1604+1)+L1605</f>
        <v>4646.18903351702</v>
      </c>
      <c r="M1604" s="48" t="n">
        <f aca="false">M1603+B1603*(IF($A1603&lt;$Q$1581,(Surface_Engine!L251*12)-(Surface_Engine!L251*12)*INDEX(Surface_Engine!$F$12:$F$72,$A1603+1)-INDEX(Surface_Engine!$D$12:$D$72,$A1603+1),-(1000*12*INDEX(Surface_Engine!$C$12:$C$72,$A1603+1)/(1+Assumptions!$B$10)^10+INDEX(Surface_Engine!$D$12:$D$72,$A1603+1))))*INDEX(Surface_Engine!$B$12:$B$72,$A1603+1)</f>
        <v>7821.3561268458</v>
      </c>
      <c r="N1604" s="12" t="n">
        <f aca="false">IF(B1604&lt;=0,0,MAX(0,(K1604+Assumptions!$B$29*L1604/INDEX(Surface_Engine!$B$12:$B$72,$A1604+1)-(M1604/INDEX(Surface_Engine!$B$12:$B$72,$A1604+1)-(F1604/INDEX(Surface_Engine!$B$12:$B$72,$A1604+1))))/B1604))</f>
        <v>0</v>
      </c>
    </row>
    <row r="1605" customFormat="false" ht="15" hidden="false" customHeight="true" outlineLevel="0" collapsed="false">
      <c r="A1605" s="1" t="n">
        <v>22</v>
      </c>
      <c r="B1605" s="32" t="n">
        <f aca="false">INDEX(Surface_Engine!$V$12:$V$72,$A1605+1)*IF($A1605&lt;$Q$1581,INDEX(Surface_Engine!$E$12:$E$72,$A1605+1),INDEX(Surface_Engine!$E$12:$E$72,$Q$1581+1))</f>
        <v>0.140674345940835</v>
      </c>
      <c r="C1605" s="32" t="n">
        <f aca="false">INDEX(Panel_Reserving!$H$8:$H$68,$A1605+1)*IF($A1605&lt;$Q$1581,INDEX(Surface_Engine!$E$12:$E$72,$A1605+1),INDEX(Surface_Engine!$E$12:$E$72,$Q$1581+1))</f>
        <v>0.205880001534021</v>
      </c>
      <c r="D1605" s="32" t="n">
        <f aca="false">INDEX(Surface_Engine!$V$12:$V$72,$A1605+1)*IF($A1605&lt;$Q$1581,INDEX(Surface_Engine!$Y$12:$Y$72,$A1605+1),INDEX(Surface_Engine!$Y$12:$Y$72,$Q$1581+1))</f>
        <v>0.130400399936433</v>
      </c>
      <c r="E1605" s="32" t="n">
        <f aca="false">INDEX(Surface_Engine!$V$12:$V$72,$A1605+1)*IF($A1605&lt;$Q$1581,INDEX(Surface_Engine!$Z$12:$Z$72,$A1605+1),INDEX(Surface_Engine!$Z$12:$Z$72,$Q$1581+1))</f>
        <v>0.151634497596336</v>
      </c>
      <c r="F1605" s="48" t="n">
        <f aca="false">B1605*(IF($A1605&lt;$Q$1581,INDEX(Surface_Engine!$D$12:$D$72,$A1605+1)+(Surface_Engine!L251*12)*INDEX(Surface_Engine!$F$12:$F$72,$A1605+1)-(Surface_Engine!L251*12),1000*12*INDEX(Surface_Engine!$C$12:$C$72,$A1605+1)/(1+Assumptions!$B$10)^10+INDEX(Surface_Engine!$D$12:$D$72,$A1605+1)))*INDEX(Surface_Engine!$B$12:$B$72,$A1605+1)+F1606</f>
        <v>4709.22266245495</v>
      </c>
      <c r="G1605" s="48" t="n">
        <f aca="false">C1605*(IF($A1605&lt;$Q$1581,INDEX(Surface_Engine!$D$12:$D$72,$A1605+1)+(Surface_Engine!L251*12)*INDEX(Surface_Engine!$F$12:$F$72,$A1605+1)-(Surface_Engine!L251*12),1000*12*INDEX(Surface_Engine!$C$12:$C$72,$A1605+1)/(1+Assumptions!$B$10)^10+INDEX(Surface_Engine!$D$12:$D$72,$A1605+1)))*INDEX(Surface_Engine!$B$12:$B$72,$A1605+1)+G1606</f>
        <v>8209.95772568291</v>
      </c>
      <c r="H1605" s="48" t="n">
        <f aca="false">D1605*(IF($A1605&lt;$Q$1581,INDEX(Surface_Engine!$D$12:$D$72,$A1605+1)+(Surface_Engine!L251*12)*INDEX(Surface_Engine!$F$12:$F$72,$A1605+1)-(Surface_Engine!L251*12),1000*12*INDEX(Surface_Engine!$C$12:$C$72,$A1605+1)/(1+Assumptions!$B$10)^10+INDEX(Surface_Engine!$D$12:$D$72,$A1605+1)))*INDEX(Surface_Engine!$B$12:$B$72,$A1605+1)+H1606</f>
        <v>4365.29144291962</v>
      </c>
      <c r="I1605" s="48" t="n">
        <f aca="false">E1605*(IF($A1605&lt;$Q$1581,INDEX(Surface_Engine!$D$12:$D$72,$A1605+1)+(Surface_Engine!L251*12)*INDEX(Surface_Engine!$F$12:$F$72,$A1605+1)-(Surface_Engine!L251*12),1000*12*INDEX(Surface_Engine!$C$12:$C$72,$A1605+1)/(1+Assumptions!$B$10)^10+INDEX(Surface_Engine!$D$12:$D$72,$A1605+1)))*INDEX(Surface_Engine!$B$12:$B$72,$A1605+1)+I1606</f>
        <v>5076.12534264751</v>
      </c>
      <c r="J1605" s="48" t="n">
        <f aca="false">B1605*(IF($A1605&lt;$Q$1581,INDEX(Surface_Engine!$D$12:$D$72,$A1605+1)*(1+Assumptions!$B$24)+(Surface_Engine!L251*12)*INDEX(Surface_Engine!$F$12:$F$72,$A1605+1)-(Surface_Engine!L251*12),1000*12*INDEX(Surface_Engine!$C$12:$C$72,$A1605+1)/(1+Assumptions!$B$10)^10+INDEX(Surface_Engine!$D$12:$D$72,$A1605+1)*(1+Assumptions!$B$24)))*INDEX(Surface_Engine!$B$12:$B$72,$A1605+1)+J1606</f>
        <v>4713.61223942274</v>
      </c>
      <c r="K1605" s="12" t="n">
        <f aca="false">SQRT((IF(C1605&lt;=0,0,MAX(0,(B1605/C1605)*G1605/INDEX(Surface_Engine!$B$12:$B$72,$A1605+1)-F1605/INDEX(Surface_Engine!$B$12:$B$72,$A1605+1))))^2+(MAX(IF(D1605&lt;=0,0,MAX(0,(B1605/D1605)*H1605/INDEX(Surface_Engine!$B$12:$B$72,$A1605+1)-F1605/INDEX(Surface_Engine!$B$12:$B$72,$A1605+1))),IF(E1605&lt;=0,0,MAX(0,(B1605/E1605)*I1605/INDEX(Surface_Engine!$B$12:$B$72,$A1605+1)-F1605/INDEX(Surface_Engine!$B$12:$B$72,$A1605+1))),IF($A1605&lt;$Q$1581,MAX(0,-Assumptions!$B$22*(F1605/INDEX(Surface_Engine!$B$12:$B$72,$A1605+1))),0)))^2+(MAX(0,J1605/INDEX(Surface_Engine!$B$12:$B$72,$A1605+1)-(F1605/INDEX(Surface_Engine!$B$12:$B$72,$A1605+1))))^2+2*Assumptions!$B$26*(IF(C1605&lt;=0,0,MAX(0,(B1605/C1605)*G1605/INDEX(Surface_Engine!$B$12:$B$72,$A1605+1)-F1605/INDEX(Surface_Engine!$B$12:$B$72,$A1605+1))))*(MAX(IF(D1605&lt;=0,0,MAX(0,(B1605/D1605)*H1605/INDEX(Surface_Engine!$B$12:$B$72,$A1605+1)-F1605/INDEX(Surface_Engine!$B$12:$B$72,$A1605+1))),IF(E1605&lt;=0,0,MAX(0,(B1605/E1605)*I1605/INDEX(Surface_Engine!$B$12:$B$72,$A1605+1)-F1605/INDEX(Surface_Engine!$B$12:$B$72,$A1605+1))),IF($A1605&lt;$Q$1581,MAX(0,-Assumptions!$B$22*(F1605/INDEX(Surface_Engine!$B$12:$B$72,$A1605+1))),0)))+2*Assumptions!$B$27*(IF(C1605&lt;=0,0,MAX(0,(B1605/C1605)*G1605/INDEX(Surface_Engine!$B$12:$B$72,$A1605+1)-F1605/INDEX(Surface_Engine!$B$12:$B$72,$A1605+1))))*(MAX(0,J1605/INDEX(Surface_Engine!$B$12:$B$72,$A1605+1)-(F1605/INDEX(Surface_Engine!$B$12:$B$72,$A1605+1))))+2*Assumptions!$B$28*(MAX(IF(D1605&lt;=0,0,MAX(0,(B1605/D1605)*H1605/INDEX(Surface_Engine!$B$12:$B$72,$A1605+1)-F1605/INDEX(Surface_Engine!$B$12:$B$72,$A1605+1))),IF(E1605&lt;=0,0,MAX(0,(B1605/E1605)*I1605/INDEX(Surface_Engine!$B$12:$B$72,$A1605+1)-F1605/INDEX(Surface_Engine!$B$12:$B$72,$A1605+1))),IF($A1605&lt;$Q$1581,MAX(0,-Assumptions!$B$22*(F1605/INDEX(Surface_Engine!$B$12:$B$72,$A1605+1))),0)))*(MAX(0,J1605/INDEX(Surface_Engine!$B$12:$B$72,$A1605+1)-(F1605/INDEX(Surface_Engine!$B$12:$B$72,$A1605+1)))))</f>
        <v>1791.79056429422</v>
      </c>
      <c r="L1605" s="48" t="n">
        <f aca="false">K1605*INDEX(Surface_Engine!$B$12:$B$72,$A1605+1)+L1606</f>
        <v>3492.99229289398</v>
      </c>
      <c r="M1605" s="48" t="n">
        <f aca="false">M1604+B1604*(IF($A1604&lt;$Q$1581,(Surface_Engine!L251*12)-(Surface_Engine!L251*12)*INDEX(Surface_Engine!$F$12:$F$72,$A1604+1)-INDEX(Surface_Engine!$D$12:$D$72,$A1604+1),-(1000*12*INDEX(Surface_Engine!$C$12:$C$72,$A1604+1)/(1+Assumptions!$B$10)^10+INDEX(Surface_Engine!$D$12:$D$72,$A1604+1))))*INDEX(Surface_Engine!$B$12:$B$72,$A1604+1)</f>
        <v>6475.07730962181</v>
      </c>
      <c r="N1605" s="12" t="n">
        <f aca="false">IF(B1605&lt;=0,0,MAX(0,(K1605+Assumptions!$B$29*L1605/INDEX(Surface_Engine!$B$12:$B$72,$A1605+1)-(M1605/INDEX(Surface_Engine!$B$12:$B$72,$A1605+1)-(F1605/INDEX(Surface_Engine!$B$12:$B$72,$A1605+1))))/B1605))</f>
        <v>0</v>
      </c>
    </row>
    <row r="1606" customFormat="false" ht="15" hidden="false" customHeight="true" outlineLevel="0" collapsed="false">
      <c r="A1606" s="1" t="n">
        <v>23</v>
      </c>
      <c r="B1606" s="32" t="n">
        <f aca="false">INDEX(Surface_Engine!$V$12:$V$72,$A1606+1)*IF($A1606&lt;$Q$1581,INDEX(Surface_Engine!$E$12:$E$72,$A1606+1),INDEX(Surface_Engine!$E$12:$E$72,$Q$1581+1))</f>
        <v>0.113581199863478</v>
      </c>
      <c r="C1606" s="32" t="n">
        <f aca="false">INDEX(Panel_Reserving!$H$8:$H$68,$A1606+1)*IF($A1606&lt;$Q$1581,INDEX(Surface_Engine!$E$12:$E$72,$A1606+1),INDEX(Surface_Engine!$E$12:$E$72,$Q$1581+1))</f>
        <v>0.174158869049417</v>
      </c>
      <c r="D1606" s="32" t="n">
        <f aca="false">INDEX(Surface_Engine!$V$12:$V$72,$A1606+1)*IF($A1606&lt;$Q$1581,INDEX(Surface_Engine!$Y$12:$Y$72,$A1606+1),INDEX(Surface_Engine!$Y$12:$Y$72,$Q$1581+1))</f>
        <v>0.105285962329526</v>
      </c>
      <c r="E1606" s="32" t="n">
        <f aca="false">INDEX(Surface_Engine!$V$12:$V$72,$A1606+1)*IF($A1606&lt;$Q$1581,INDEX(Surface_Engine!$Z$12:$Z$72,$A1606+1),INDEX(Surface_Engine!$Z$12:$Z$72,$Q$1581+1))</f>
        <v>0.122430483415441</v>
      </c>
      <c r="F1606" s="48" t="n">
        <f aca="false">B1606*(IF($A1606&lt;$Q$1581,INDEX(Surface_Engine!$D$12:$D$72,$A1606+1)+(Surface_Engine!L251*12)*INDEX(Surface_Engine!$F$12:$F$72,$A1606+1)-(Surface_Engine!L251*12),1000*12*INDEX(Surface_Engine!$C$12:$C$72,$A1606+1)/(1+Assumptions!$B$10)^10+INDEX(Surface_Engine!$D$12:$D$72,$A1606+1)))*INDEX(Surface_Engine!$B$12:$B$72,$A1606+1)+F1607</f>
        <v>3621.9460910843</v>
      </c>
      <c r="G1606" s="48" t="n">
        <f aca="false">C1606*(IF($A1606&lt;$Q$1581,INDEX(Surface_Engine!$D$12:$D$72,$A1606+1)+(Surface_Engine!L251*12)*INDEX(Surface_Engine!$F$12:$F$72,$A1606+1)-(Surface_Engine!L251*12),1000*12*INDEX(Surface_Engine!$C$12:$C$72,$A1606+1)/(1+Assumptions!$B$10)^10+INDEX(Surface_Engine!$D$12:$D$72,$A1606+1)))*INDEX(Surface_Engine!$B$12:$B$72,$A1606+1)+G1607</f>
        <v>6618.70453246857</v>
      </c>
      <c r="H1606" s="48" t="n">
        <f aca="false">D1606*(IF($A1606&lt;$Q$1581,INDEX(Surface_Engine!$D$12:$D$72,$A1606+1)+(Surface_Engine!L251*12)*INDEX(Surface_Engine!$F$12:$F$72,$A1606+1)-(Surface_Engine!L251*12),1000*12*INDEX(Surface_Engine!$C$12:$C$72,$A1606+1)/(1+Assumptions!$B$10)^10+INDEX(Surface_Engine!$D$12:$D$72,$A1606+1)))*INDEX(Surface_Engine!$B$12:$B$72,$A1606+1)+H1607</f>
        <v>3357.42253263603</v>
      </c>
      <c r="I1606" s="48" t="n">
        <f aca="false">E1606*(IF($A1606&lt;$Q$1581,INDEX(Surface_Engine!$D$12:$D$72,$A1606+1)+(Surface_Engine!L251*12)*INDEX(Surface_Engine!$F$12:$F$72,$A1606+1)-(Surface_Engine!L251*12),1000*12*INDEX(Surface_Engine!$C$12:$C$72,$A1606+1)/(1+Assumptions!$B$10)^10+INDEX(Surface_Engine!$D$12:$D$72,$A1606+1)))*INDEX(Surface_Engine!$B$12:$B$72,$A1606+1)+I1607</f>
        <v>3904.13740450991</v>
      </c>
      <c r="J1606" s="48" t="n">
        <f aca="false">B1606*(IF($A1606&lt;$Q$1581,INDEX(Surface_Engine!$D$12:$D$72,$A1606+1)*(1+Assumptions!$B$24)+(Surface_Engine!L251*12)*INDEX(Surface_Engine!$F$12:$F$72,$A1606+1)-(Surface_Engine!L251*12),1000*12*INDEX(Surface_Engine!$C$12:$C$72,$A1606+1)/(1+Assumptions!$B$10)^10+INDEX(Surface_Engine!$D$12:$D$72,$A1606+1)*(1+Assumptions!$B$24)))*INDEX(Surface_Engine!$B$12:$B$72,$A1606+1)+J1607</f>
        <v>3625.33639145814</v>
      </c>
      <c r="K1606" s="12" t="n">
        <f aca="false">SQRT((IF(C1606&lt;=0,0,MAX(0,(B1606/C1606)*G1606/INDEX(Surface_Engine!$B$12:$B$72,$A1606+1)-F1606/INDEX(Surface_Engine!$B$12:$B$72,$A1606+1))))^2+(MAX(IF(D1606&lt;=0,0,MAX(0,(B1606/D1606)*H1606/INDEX(Surface_Engine!$B$12:$B$72,$A1606+1)-F1606/INDEX(Surface_Engine!$B$12:$B$72,$A1606+1))),IF(E1606&lt;=0,0,MAX(0,(B1606/E1606)*I1606/INDEX(Surface_Engine!$B$12:$B$72,$A1606+1)-F1606/INDEX(Surface_Engine!$B$12:$B$72,$A1606+1))),IF($A1606&lt;$Q$1581,MAX(0,-Assumptions!$B$22*(F1606/INDEX(Surface_Engine!$B$12:$B$72,$A1606+1))),0)))^2+(MAX(0,J1606/INDEX(Surface_Engine!$B$12:$B$72,$A1606+1)-(F1606/INDEX(Surface_Engine!$B$12:$B$72,$A1606+1))))^2+2*Assumptions!$B$26*(IF(C1606&lt;=0,0,MAX(0,(B1606/C1606)*G1606/INDEX(Surface_Engine!$B$12:$B$72,$A1606+1)-F1606/INDEX(Surface_Engine!$B$12:$B$72,$A1606+1))))*(MAX(IF(D1606&lt;=0,0,MAX(0,(B1606/D1606)*H1606/INDEX(Surface_Engine!$B$12:$B$72,$A1606+1)-F1606/INDEX(Surface_Engine!$B$12:$B$72,$A1606+1))),IF(E1606&lt;=0,0,MAX(0,(B1606/E1606)*I1606/INDEX(Surface_Engine!$B$12:$B$72,$A1606+1)-F1606/INDEX(Surface_Engine!$B$12:$B$72,$A1606+1))),IF($A1606&lt;$Q$1581,MAX(0,-Assumptions!$B$22*(F1606/INDEX(Surface_Engine!$B$12:$B$72,$A1606+1))),0)))+2*Assumptions!$B$27*(IF(C1606&lt;=0,0,MAX(0,(B1606/C1606)*G1606/INDEX(Surface_Engine!$B$12:$B$72,$A1606+1)-F1606/INDEX(Surface_Engine!$B$12:$B$72,$A1606+1))))*(MAX(0,J1606/INDEX(Surface_Engine!$B$12:$B$72,$A1606+1)-(F1606/INDEX(Surface_Engine!$B$12:$B$72,$A1606+1))))+2*Assumptions!$B$28*(MAX(IF(D1606&lt;=0,0,MAX(0,(B1606/D1606)*H1606/INDEX(Surface_Engine!$B$12:$B$72,$A1606+1)-F1606/INDEX(Surface_Engine!$B$12:$B$72,$A1606+1))),IF(E1606&lt;=0,0,MAX(0,(B1606/E1606)*I1606/INDEX(Surface_Engine!$B$12:$B$72,$A1606+1)-F1606/INDEX(Surface_Engine!$B$12:$B$72,$A1606+1))),IF($A1606&lt;$Q$1581,MAX(0,-Assumptions!$B$22*(F1606/INDEX(Surface_Engine!$B$12:$B$72,$A1606+1))),0)))*(MAX(0,J1606/INDEX(Surface_Engine!$B$12:$B$72,$A1606+1)-(F1606/INDEX(Surface_Engine!$B$12:$B$72,$A1606+1)))))</f>
        <v>1426.18563097816</v>
      </c>
      <c r="L1606" s="48" t="n">
        <f aca="false">K1606*INDEX(Surface_Engine!$B$12:$B$72,$A1606+1)+L1607</f>
        <v>2591.38136958888</v>
      </c>
      <c r="M1606" s="48" t="n">
        <f aca="false">M1605+B1605*(IF($A1605&lt;$Q$1581,(Surface_Engine!L251*12)-(Surface_Engine!L251*12)*INDEX(Surface_Engine!$F$12:$F$72,$A1605+1)-INDEX(Surface_Engine!$D$12:$D$72,$A1605+1),-(1000*12*INDEX(Surface_Engine!$C$12:$C$72,$A1605+1)/(1+Assumptions!$B$10)^10+INDEX(Surface_Engine!$D$12:$D$72,$A1605+1))))*INDEX(Surface_Engine!$B$12:$B$72,$A1605+1)</f>
        <v>5387.80073825116</v>
      </c>
      <c r="N1606" s="12" t="n">
        <f aca="false">IF(B1606&lt;=0,0,MAX(0,(K1606+Assumptions!$B$29*L1606/INDEX(Surface_Engine!$B$12:$B$72,$A1606+1)-(M1606/INDEX(Surface_Engine!$B$12:$B$72,$A1606+1)-(F1606/INDEX(Surface_Engine!$B$12:$B$72,$A1606+1))))/B1606))</f>
        <v>0</v>
      </c>
    </row>
    <row r="1607" customFormat="false" ht="15" hidden="false" customHeight="true" outlineLevel="0" collapsed="false">
      <c r="A1607" s="1" t="n">
        <v>24</v>
      </c>
      <c r="B1607" s="32" t="n">
        <f aca="false">INDEX(Surface_Engine!$V$12:$V$72,$A1607+1)*IF($A1607&lt;$Q$1581,INDEX(Surface_Engine!$E$12:$E$72,$A1607+1),INDEX(Surface_Engine!$E$12:$E$72,$Q$1581+1))</f>
        <v>0.0906318266067543</v>
      </c>
      <c r="C1607" s="32" t="n">
        <f aca="false">INDEX(Panel_Reserving!$H$8:$H$68,$A1607+1)*IF($A1607&lt;$Q$1581,INDEX(Surface_Engine!$E$12:$E$72,$A1607+1),INDEX(Surface_Engine!$E$12:$E$72,$Q$1581+1))</f>
        <v>0.146007471483003</v>
      </c>
      <c r="D1607" s="32" t="n">
        <f aca="false">INDEX(Surface_Engine!$V$12:$V$72,$A1607+1)*IF($A1607&lt;$Q$1581,INDEX(Surface_Engine!$Y$12:$Y$72,$A1607+1),INDEX(Surface_Engine!$Y$12:$Y$72,$Q$1581+1))</f>
        <v>0.0840126631295011</v>
      </c>
      <c r="E1607" s="32" t="n">
        <f aca="false">INDEX(Surface_Engine!$V$12:$V$72,$A1607+1)*IF($A1607&lt;$Q$1581,INDEX(Surface_Engine!$Z$12:$Z$72,$A1607+1),INDEX(Surface_Engine!$Z$12:$Z$72,$Q$1581+1))</f>
        <v>0.0976930896805693</v>
      </c>
      <c r="F1607" s="48" t="n">
        <f aca="false">B1607*(IF($A1607&lt;$Q$1581,INDEX(Surface_Engine!$D$12:$D$72,$A1607+1)+(Surface_Engine!L251*12)*INDEX(Surface_Engine!$F$12:$F$72,$A1607+1)-(Surface_Engine!L251*12),1000*12*INDEX(Surface_Engine!$C$12:$C$72,$A1607+1)/(1+Assumptions!$B$10)^10+INDEX(Surface_Engine!$D$12:$D$72,$A1607+1)))*INDEX(Surface_Engine!$B$12:$B$72,$A1607+1)+F1608</f>
        <v>2754.19162485996</v>
      </c>
      <c r="G1607" s="48" t="n">
        <f aca="false">C1607*(IF($A1607&lt;$Q$1581,INDEX(Surface_Engine!$D$12:$D$72,$A1607+1)+(Surface_Engine!L251*12)*INDEX(Surface_Engine!$F$12:$F$72,$A1607+1)-(Surface_Engine!L251*12),1000*12*INDEX(Surface_Engine!$C$12:$C$72,$A1607+1)/(1+Assumptions!$B$10)^10+INDEX(Surface_Engine!$D$12:$D$72,$A1607+1)))*INDEX(Surface_Engine!$B$12:$B$72,$A1607+1)+G1608</f>
        <v>5288.13982077452</v>
      </c>
      <c r="H1607" s="48" t="n">
        <f aca="false">D1607*(IF($A1607&lt;$Q$1581,INDEX(Surface_Engine!$D$12:$D$72,$A1607+1)+(Surface_Engine!L251*12)*INDEX(Surface_Engine!$F$12:$F$72,$A1607+1)-(Surface_Engine!L251*12),1000*12*INDEX(Surface_Engine!$C$12:$C$72,$A1607+1)/(1+Assumptions!$B$10)^10+INDEX(Surface_Engine!$D$12:$D$72,$A1607+1)))*INDEX(Surface_Engine!$B$12:$B$72,$A1607+1)+H1608</f>
        <v>2553.04325021966</v>
      </c>
      <c r="I1607" s="48" t="n">
        <f aca="false">E1607*(IF($A1607&lt;$Q$1581,INDEX(Surface_Engine!$D$12:$D$72,$A1607+1)+(Surface_Engine!L251*12)*INDEX(Surface_Engine!$F$12:$F$72,$A1607+1)-(Surface_Engine!L251*12),1000*12*INDEX(Surface_Engine!$C$12:$C$72,$A1607+1)/(1+Assumptions!$B$10)^10+INDEX(Surface_Engine!$D$12:$D$72,$A1607+1)))*INDEX(Surface_Engine!$B$12:$B$72,$A1607+1)+I1608</f>
        <v>2968.7748716836</v>
      </c>
      <c r="J1607" s="48" t="n">
        <f aca="false">B1607*(IF($A1607&lt;$Q$1581,INDEX(Surface_Engine!$D$12:$D$72,$A1607+1)*(1+Assumptions!$B$24)+(Surface_Engine!L251*12)*INDEX(Surface_Engine!$F$12:$F$72,$A1607+1)-(Surface_Engine!L251*12),1000*12*INDEX(Surface_Engine!$C$12:$C$72,$A1607+1)/(1+Assumptions!$B$10)^10+INDEX(Surface_Engine!$D$12:$D$72,$A1607+1)*(1+Assumptions!$B$24)))*INDEX(Surface_Engine!$B$12:$B$72,$A1607+1)+J1608</f>
        <v>2756.78053015559</v>
      </c>
      <c r="K1607" s="12" t="n">
        <f aca="false">SQRT((IF(C1607&lt;=0,0,MAX(0,(B1607/C1607)*G1607/INDEX(Surface_Engine!$B$12:$B$72,$A1607+1)-F1607/INDEX(Surface_Engine!$B$12:$B$72,$A1607+1))))^2+(MAX(IF(D1607&lt;=0,0,MAX(0,(B1607/D1607)*H1607/INDEX(Surface_Engine!$B$12:$B$72,$A1607+1)-F1607/INDEX(Surface_Engine!$B$12:$B$72,$A1607+1))),IF(E1607&lt;=0,0,MAX(0,(B1607/E1607)*I1607/INDEX(Surface_Engine!$B$12:$B$72,$A1607+1)-F1607/INDEX(Surface_Engine!$B$12:$B$72,$A1607+1))),IF($A1607&lt;$Q$1581,MAX(0,-Assumptions!$B$22*(F1607/INDEX(Surface_Engine!$B$12:$B$72,$A1607+1))),0)))^2+(MAX(0,J1607/INDEX(Surface_Engine!$B$12:$B$72,$A1607+1)-(F1607/INDEX(Surface_Engine!$B$12:$B$72,$A1607+1))))^2+2*Assumptions!$B$26*(IF(C1607&lt;=0,0,MAX(0,(B1607/C1607)*G1607/INDEX(Surface_Engine!$B$12:$B$72,$A1607+1)-F1607/INDEX(Surface_Engine!$B$12:$B$72,$A1607+1))))*(MAX(IF(D1607&lt;=0,0,MAX(0,(B1607/D1607)*H1607/INDEX(Surface_Engine!$B$12:$B$72,$A1607+1)-F1607/INDEX(Surface_Engine!$B$12:$B$72,$A1607+1))),IF(E1607&lt;=0,0,MAX(0,(B1607/E1607)*I1607/INDEX(Surface_Engine!$B$12:$B$72,$A1607+1)-F1607/INDEX(Surface_Engine!$B$12:$B$72,$A1607+1))),IF($A1607&lt;$Q$1581,MAX(0,-Assumptions!$B$22*(F1607/INDEX(Surface_Engine!$B$12:$B$72,$A1607+1))),0)))+2*Assumptions!$B$27*(IF(C1607&lt;=0,0,MAX(0,(B1607/C1607)*G1607/INDEX(Surface_Engine!$B$12:$B$72,$A1607+1)-F1607/INDEX(Surface_Engine!$B$12:$B$72,$A1607+1))))*(MAX(0,J1607/INDEX(Surface_Engine!$B$12:$B$72,$A1607+1)-(F1607/INDEX(Surface_Engine!$B$12:$B$72,$A1607+1))))+2*Assumptions!$B$28*(MAX(IF(D1607&lt;=0,0,MAX(0,(B1607/D1607)*H1607/INDEX(Surface_Engine!$B$12:$B$72,$A1607+1)-F1607/INDEX(Surface_Engine!$B$12:$B$72,$A1607+1))),IF(E1607&lt;=0,0,MAX(0,(B1607/E1607)*I1607/INDEX(Surface_Engine!$B$12:$B$72,$A1607+1)-F1607/INDEX(Surface_Engine!$B$12:$B$72,$A1607+1))),IF($A1607&lt;$Q$1581,MAX(0,-Assumptions!$B$22*(F1607/INDEX(Surface_Engine!$B$12:$B$72,$A1607+1))),0)))*(MAX(0,J1607/INDEX(Surface_Engine!$B$12:$B$72,$A1607+1)-(F1607/INDEX(Surface_Engine!$B$12:$B$72,$A1607+1)))))</f>
        <v>1119.78439451745</v>
      </c>
      <c r="L1607" s="48" t="n">
        <f aca="false">K1607*INDEX(Surface_Engine!$B$12:$B$72,$A1607+1)+L1608</f>
        <v>1895.9512140624</v>
      </c>
      <c r="M1607" s="48" t="n">
        <f aca="false">M1606+B1606*(IF($A1606&lt;$Q$1581,(Surface_Engine!L251*12)-(Surface_Engine!L251*12)*INDEX(Surface_Engine!$F$12:$F$72,$A1606+1)-INDEX(Surface_Engine!$D$12:$D$72,$A1606+1),-(1000*12*INDEX(Surface_Engine!$C$12:$C$72,$A1606+1)/(1+Assumptions!$B$10)^10+INDEX(Surface_Engine!$D$12:$D$72,$A1606+1))))*INDEX(Surface_Engine!$B$12:$B$72,$A1606+1)</f>
        <v>4520.04627202682</v>
      </c>
      <c r="N1607" s="12" t="n">
        <f aca="false">IF(B1607&lt;=0,0,MAX(0,(K1607+Assumptions!$B$29*L1607/INDEX(Surface_Engine!$B$12:$B$72,$A1607+1)-(M1607/INDEX(Surface_Engine!$B$12:$B$72,$A1607+1)-(F1607/INDEX(Surface_Engine!$B$12:$B$72,$A1607+1))))/B1607))</f>
        <v>0</v>
      </c>
    </row>
    <row r="1608" customFormat="false" ht="15" hidden="false" customHeight="true" outlineLevel="0" collapsed="false">
      <c r="A1608" s="1" t="n">
        <v>25</v>
      </c>
      <c r="B1608" s="32" t="n">
        <f aca="false">INDEX(Surface_Engine!$V$12:$V$72,$A1608+1)*IF($A1608&lt;$Q$1581,INDEX(Surface_Engine!$E$12:$E$72,$A1608+1),INDEX(Surface_Engine!$E$12:$E$72,$Q$1581+1))</f>
        <v>0.0714514088425954</v>
      </c>
      <c r="C1608" s="32" t="n">
        <f aca="false">INDEX(Panel_Reserving!$H$8:$H$68,$A1608+1)*IF($A1608&lt;$Q$1581,INDEX(Surface_Engine!$E$12:$E$72,$A1608+1),INDEX(Surface_Engine!$E$12:$E$72,$Q$1581+1))</f>
        <v>0.12128781699003</v>
      </c>
      <c r="D1608" s="32" t="n">
        <f aca="false">INDEX(Surface_Engine!$V$12:$V$72,$A1608+1)*IF($A1608&lt;$Q$1581,INDEX(Surface_Engine!$Y$12:$Y$72,$A1608+1),INDEX(Surface_Engine!$Y$12:$Y$72,$Q$1581+1))</f>
        <v>0.0662330592460316</v>
      </c>
      <c r="E1608" s="32" t="n">
        <f aca="false">INDEX(Surface_Engine!$V$12:$V$72,$A1608+1)*IF($A1608&lt;$Q$1581,INDEX(Surface_Engine!$Z$12:$Z$72,$A1608+1),INDEX(Surface_Engine!$Z$12:$Z$72,$Q$1581+1))</f>
        <v>0.0770182964771284</v>
      </c>
      <c r="F1608" s="48" t="n">
        <f aca="false">B1608*(IF($A1608&lt;$Q$1581,INDEX(Surface_Engine!$D$12:$D$72,$A1608+1)+(Surface_Engine!L251*12)*INDEX(Surface_Engine!$F$12:$F$72,$A1608+1)-(Surface_Engine!L251*12),1000*12*INDEX(Surface_Engine!$C$12:$C$72,$A1608+1)/(1+Assumptions!$B$10)^10+INDEX(Surface_Engine!$D$12:$D$72,$A1608+1)))*INDEX(Surface_Engine!$B$12:$B$72,$A1608+1)+F1609</f>
        <v>2069.92230102428</v>
      </c>
      <c r="G1608" s="48" t="n">
        <f aca="false">C1608*(IF($A1608&lt;$Q$1581,INDEX(Surface_Engine!$D$12:$D$72,$A1608+1)+(Surface_Engine!L251*12)*INDEX(Surface_Engine!$F$12:$F$72,$A1608+1)-(Surface_Engine!L251*12),1000*12*INDEX(Surface_Engine!$C$12:$C$72,$A1608+1)/(1+Assumptions!$B$10)^10+INDEX(Surface_Engine!$D$12:$D$72,$A1608+1)))*INDEX(Surface_Engine!$B$12:$B$72,$A1608+1)+G1609</f>
        <v>4185.78496898358</v>
      </c>
      <c r="H1608" s="48" t="n">
        <f aca="false">D1608*(IF($A1608&lt;$Q$1581,INDEX(Surface_Engine!$D$12:$D$72,$A1608+1)+(Surface_Engine!L251*12)*INDEX(Surface_Engine!$F$12:$F$72,$A1608+1)-(Surface_Engine!L251*12),1000*12*INDEX(Surface_Engine!$C$12:$C$72,$A1608+1)/(1+Assumptions!$B$10)^10+INDEX(Surface_Engine!$D$12:$D$72,$A1608+1)))*INDEX(Surface_Engine!$B$12:$B$72,$A1608+1)+H1609</f>
        <v>1918.7485400105</v>
      </c>
      <c r="I1608" s="48" t="n">
        <f aca="false">E1608*(IF($A1608&lt;$Q$1581,INDEX(Surface_Engine!$D$12:$D$72,$A1608+1)+(Surface_Engine!L251*12)*INDEX(Surface_Engine!$F$12:$F$72,$A1608+1)-(Surface_Engine!L251*12),1000*12*INDEX(Surface_Engine!$C$12:$C$72,$A1608+1)/(1+Assumptions!$B$10)^10+INDEX(Surface_Engine!$D$12:$D$72,$A1608+1)))*INDEX(Surface_Engine!$B$12:$B$72,$A1608+1)+I1609</f>
        <v>2231.19308698459</v>
      </c>
      <c r="J1608" s="48" t="n">
        <f aca="false">B1608*(IF($A1608&lt;$Q$1581,INDEX(Surface_Engine!$D$12:$D$72,$A1608+1)*(1+Assumptions!$B$24)+(Surface_Engine!L251*12)*INDEX(Surface_Engine!$F$12:$F$72,$A1608+1)-(Surface_Engine!L251*12),1000*12*INDEX(Surface_Engine!$C$12:$C$72,$A1608+1)/(1+Assumptions!$B$10)^10+INDEX(Surface_Engine!$D$12:$D$72,$A1608+1)*(1+Assumptions!$B$24)))*INDEX(Surface_Engine!$B$12:$B$72,$A1608+1)+J1609</f>
        <v>2071.87619580425</v>
      </c>
      <c r="K1608" s="12" t="n">
        <f aca="false">SQRT((IF(C1608&lt;=0,0,MAX(0,(B1608/C1608)*G1608/INDEX(Surface_Engine!$B$12:$B$72,$A1608+1)-F1608/INDEX(Surface_Engine!$B$12:$B$72,$A1608+1))))^2+(MAX(IF(D1608&lt;=0,0,MAX(0,(B1608/D1608)*H1608/INDEX(Surface_Engine!$B$12:$B$72,$A1608+1)-F1608/INDEX(Surface_Engine!$B$12:$B$72,$A1608+1))),IF(E1608&lt;=0,0,MAX(0,(B1608/E1608)*I1608/INDEX(Surface_Engine!$B$12:$B$72,$A1608+1)-F1608/INDEX(Surface_Engine!$B$12:$B$72,$A1608+1))),IF($A1608&lt;$Q$1581,MAX(0,-Assumptions!$B$22*(F1608/INDEX(Surface_Engine!$B$12:$B$72,$A1608+1))),0)))^2+(MAX(0,J1608/INDEX(Surface_Engine!$B$12:$B$72,$A1608+1)-(F1608/INDEX(Surface_Engine!$B$12:$B$72,$A1608+1))))^2+2*Assumptions!$B$26*(IF(C1608&lt;=0,0,MAX(0,(B1608/C1608)*G1608/INDEX(Surface_Engine!$B$12:$B$72,$A1608+1)-F1608/INDEX(Surface_Engine!$B$12:$B$72,$A1608+1))))*(MAX(IF(D1608&lt;=0,0,MAX(0,(B1608/D1608)*H1608/INDEX(Surface_Engine!$B$12:$B$72,$A1608+1)-F1608/INDEX(Surface_Engine!$B$12:$B$72,$A1608+1))),IF(E1608&lt;=0,0,MAX(0,(B1608/E1608)*I1608/INDEX(Surface_Engine!$B$12:$B$72,$A1608+1)-F1608/INDEX(Surface_Engine!$B$12:$B$72,$A1608+1))),IF($A1608&lt;$Q$1581,MAX(0,-Assumptions!$B$22*(F1608/INDEX(Surface_Engine!$B$12:$B$72,$A1608+1))),0)))+2*Assumptions!$B$27*(IF(C1608&lt;=0,0,MAX(0,(B1608/C1608)*G1608/INDEX(Surface_Engine!$B$12:$B$72,$A1608+1)-F1608/INDEX(Surface_Engine!$B$12:$B$72,$A1608+1))))*(MAX(0,J1608/INDEX(Surface_Engine!$B$12:$B$72,$A1608+1)-(F1608/INDEX(Surface_Engine!$B$12:$B$72,$A1608+1))))+2*Assumptions!$B$28*(MAX(IF(D1608&lt;=0,0,MAX(0,(B1608/D1608)*H1608/INDEX(Surface_Engine!$B$12:$B$72,$A1608+1)-F1608/INDEX(Surface_Engine!$B$12:$B$72,$A1608+1))),IF(E1608&lt;=0,0,MAX(0,(B1608/E1608)*I1608/INDEX(Surface_Engine!$B$12:$B$72,$A1608+1)-F1608/INDEX(Surface_Engine!$B$12:$B$72,$A1608+1))),IF($A1608&lt;$Q$1581,MAX(0,-Assumptions!$B$22*(F1608/INDEX(Surface_Engine!$B$12:$B$72,$A1608+1))),0)))*(MAX(0,J1608/INDEX(Surface_Engine!$B$12:$B$72,$A1608+1)-(F1608/INDEX(Surface_Engine!$B$12:$B$72,$A1608+1)))))</f>
        <v>866.04879365789</v>
      </c>
      <c r="L1608" s="48" t="n">
        <f aca="false">K1608*INDEX(Surface_Engine!$B$12:$B$72,$A1608+1)+L1609</f>
        <v>1366.96059155795</v>
      </c>
      <c r="M1608" s="48" t="n">
        <f aca="false">M1607+B1607*(IF($A1607&lt;$Q$1581,(Surface_Engine!L251*12)-(Surface_Engine!L251*12)*INDEX(Surface_Engine!$F$12:$F$72,$A1607+1)-INDEX(Surface_Engine!$D$12:$D$72,$A1607+1),-(1000*12*INDEX(Surface_Engine!$C$12:$C$72,$A1607+1)/(1+Assumptions!$B$10)^10+INDEX(Surface_Engine!$D$12:$D$72,$A1607+1))))*INDEX(Surface_Engine!$B$12:$B$72,$A1607+1)</f>
        <v>3835.77694819115</v>
      </c>
      <c r="N1608" s="12" t="n">
        <f aca="false">IF(B1608&lt;=0,0,MAX(0,(K1608+Assumptions!$B$29*L1608/INDEX(Surface_Engine!$B$12:$B$72,$A1608+1)-(M1608/INDEX(Surface_Engine!$B$12:$B$72,$A1608+1)-(F1608/INDEX(Surface_Engine!$B$12:$B$72,$A1608+1))))/B1608))</f>
        <v>0</v>
      </c>
    </row>
    <row r="1609" customFormat="false" ht="15" hidden="false" customHeight="true" outlineLevel="0" collapsed="false">
      <c r="A1609" s="1" t="n">
        <v>26</v>
      </c>
      <c r="B1609" s="32" t="n">
        <f aca="false">INDEX(Surface_Engine!$V$12:$V$72,$A1609+1)*IF($A1609&lt;$Q$1581,INDEX(Surface_Engine!$E$12:$E$72,$A1609+1),INDEX(Surface_Engine!$E$12:$E$72,$Q$1581+1))</f>
        <v>0.0556161686674328</v>
      </c>
      <c r="C1609" s="32" t="n">
        <f aca="false">INDEX(Panel_Reserving!$H$8:$H$68,$A1609+1)*IF($A1609&lt;$Q$1581,INDEX(Surface_Engine!$E$12:$E$72,$A1609+1),INDEX(Surface_Engine!$E$12:$E$72,$Q$1581+1))</f>
        <v>0.0997837291802082</v>
      </c>
      <c r="D1609" s="32" t="n">
        <f aca="false">INDEX(Surface_Engine!$V$12:$V$72,$A1609+1)*IF($A1609&lt;$Q$1581,INDEX(Surface_Engine!$Y$12:$Y$72,$A1609+1),INDEX(Surface_Engine!$Y$12:$Y$72,$Q$1581+1))</f>
        <v>0.0515543227776271</v>
      </c>
      <c r="E1609" s="32" t="n">
        <f aca="false">INDEX(Surface_Engine!$V$12:$V$72,$A1609+1)*IF($A1609&lt;$Q$1581,INDEX(Surface_Engine!$Z$12:$Z$72,$A1609+1),INDEX(Surface_Engine!$Z$12:$Z$72,$Q$1581+1))</f>
        <v>0.0599493087223321</v>
      </c>
      <c r="F1609" s="48" t="n">
        <f aca="false">B1609*(IF($A1609&lt;$Q$1581,INDEX(Surface_Engine!$D$12:$D$72,$A1609+1)+(Surface_Engine!L251*12)*INDEX(Surface_Engine!$F$12:$F$72,$A1609+1)-(Surface_Engine!L251*12),1000*12*INDEX(Surface_Engine!$C$12:$C$72,$A1609+1)/(1+Assumptions!$B$10)^10+INDEX(Surface_Engine!$D$12:$D$72,$A1609+1)))*INDEX(Surface_Engine!$B$12:$B$72,$A1609+1)+F1610</f>
        <v>1536.70828004094</v>
      </c>
      <c r="G1609" s="48" t="n">
        <f aca="false">C1609*(IF($A1609&lt;$Q$1581,INDEX(Surface_Engine!$D$12:$D$72,$A1609+1)+(Surface_Engine!L251*12)*INDEX(Surface_Engine!$F$12:$F$72,$A1609+1)-(Surface_Engine!L251*12),1000*12*INDEX(Surface_Engine!$C$12:$C$72,$A1609+1)/(1+Assumptions!$B$10)^10+INDEX(Surface_Engine!$D$12:$D$72,$A1609+1)))*INDEX(Surface_Engine!$B$12:$B$72,$A1609+1)+G1610</f>
        <v>3280.66125426416</v>
      </c>
      <c r="H1609" s="48" t="n">
        <f aca="false">D1609*(IF($A1609&lt;$Q$1581,INDEX(Surface_Engine!$D$12:$D$72,$A1609+1)+(Surface_Engine!L251*12)*INDEX(Surface_Engine!$F$12:$F$72,$A1609+1)-(Surface_Engine!L251*12),1000*12*INDEX(Surface_Engine!$C$12:$C$72,$A1609+1)/(1+Assumptions!$B$10)^10+INDEX(Surface_Engine!$D$12:$D$72,$A1609+1)))*INDEX(Surface_Engine!$B$12:$B$72,$A1609+1)+H1610</f>
        <v>1424.47702857809</v>
      </c>
      <c r="I1609" s="48" t="n">
        <f aca="false">E1609*(IF($A1609&lt;$Q$1581,INDEX(Surface_Engine!$D$12:$D$72,$A1609+1)+(Surface_Engine!L251*12)*INDEX(Surface_Engine!$F$12:$F$72,$A1609+1)-(Surface_Engine!L251*12),1000*12*INDEX(Surface_Engine!$C$12:$C$72,$A1609+1)/(1+Assumptions!$B$10)^10+INDEX(Surface_Engine!$D$12:$D$72,$A1609+1)))*INDEX(Surface_Engine!$B$12:$B$72,$A1609+1)+I1610</f>
        <v>1656.43555289136</v>
      </c>
      <c r="J1609" s="48" t="n">
        <f aca="false">B1609*(IF($A1609&lt;$Q$1581,INDEX(Surface_Engine!$D$12:$D$72,$A1609+1)*(1+Assumptions!$B$24)+(Surface_Engine!L251*12)*INDEX(Surface_Engine!$F$12:$F$72,$A1609+1)-(Surface_Engine!L251*12),1000*12*INDEX(Surface_Engine!$C$12:$C$72,$A1609+1)/(1+Assumptions!$B$10)^10+INDEX(Surface_Engine!$D$12:$D$72,$A1609+1)*(1+Assumptions!$B$24)))*INDEX(Surface_Engine!$B$12:$B$72,$A1609+1)+J1610</f>
        <v>1538.16494250673</v>
      </c>
      <c r="K1609" s="12" t="n">
        <f aca="false">SQRT((IF(C1609&lt;=0,0,MAX(0,(B1609/C1609)*G1609/INDEX(Surface_Engine!$B$12:$B$72,$A1609+1)-F1609/INDEX(Surface_Engine!$B$12:$B$72,$A1609+1))))^2+(MAX(IF(D1609&lt;=0,0,MAX(0,(B1609/D1609)*H1609/INDEX(Surface_Engine!$B$12:$B$72,$A1609+1)-F1609/INDEX(Surface_Engine!$B$12:$B$72,$A1609+1))),IF(E1609&lt;=0,0,MAX(0,(B1609/E1609)*I1609/INDEX(Surface_Engine!$B$12:$B$72,$A1609+1)-F1609/INDEX(Surface_Engine!$B$12:$B$72,$A1609+1))),IF($A1609&lt;$Q$1581,MAX(0,-Assumptions!$B$22*(F1609/INDEX(Surface_Engine!$B$12:$B$72,$A1609+1))),0)))^2+(MAX(0,J1609/INDEX(Surface_Engine!$B$12:$B$72,$A1609+1)-(F1609/INDEX(Surface_Engine!$B$12:$B$72,$A1609+1))))^2+2*Assumptions!$B$26*(IF(C1609&lt;=0,0,MAX(0,(B1609/C1609)*G1609/INDEX(Surface_Engine!$B$12:$B$72,$A1609+1)-F1609/INDEX(Surface_Engine!$B$12:$B$72,$A1609+1))))*(MAX(IF(D1609&lt;=0,0,MAX(0,(B1609/D1609)*H1609/INDEX(Surface_Engine!$B$12:$B$72,$A1609+1)-F1609/INDEX(Surface_Engine!$B$12:$B$72,$A1609+1))),IF(E1609&lt;=0,0,MAX(0,(B1609/E1609)*I1609/INDEX(Surface_Engine!$B$12:$B$72,$A1609+1)-F1609/INDEX(Surface_Engine!$B$12:$B$72,$A1609+1))),IF($A1609&lt;$Q$1581,MAX(0,-Assumptions!$B$22*(F1609/INDEX(Surface_Engine!$B$12:$B$72,$A1609+1))),0)))+2*Assumptions!$B$27*(IF(C1609&lt;=0,0,MAX(0,(B1609/C1609)*G1609/INDEX(Surface_Engine!$B$12:$B$72,$A1609+1)-F1609/INDEX(Surface_Engine!$B$12:$B$72,$A1609+1))))*(MAX(0,J1609/INDEX(Surface_Engine!$B$12:$B$72,$A1609+1)-(F1609/INDEX(Surface_Engine!$B$12:$B$72,$A1609+1))))+2*Assumptions!$B$28*(MAX(IF(D1609&lt;=0,0,MAX(0,(B1609/D1609)*H1609/INDEX(Surface_Engine!$B$12:$B$72,$A1609+1)-F1609/INDEX(Surface_Engine!$B$12:$B$72,$A1609+1))),IF(E1609&lt;=0,0,MAX(0,(B1609/E1609)*I1609/INDEX(Surface_Engine!$B$12:$B$72,$A1609+1)-F1609/INDEX(Surface_Engine!$B$12:$B$72,$A1609+1))),IF($A1609&lt;$Q$1581,MAX(0,-Assumptions!$B$22*(F1609/INDEX(Surface_Engine!$B$12:$B$72,$A1609+1))),0)))*(MAX(0,J1609/INDEX(Surface_Engine!$B$12:$B$72,$A1609+1)-(F1609/INDEX(Surface_Engine!$B$12:$B$72,$A1609+1)))))</f>
        <v>658.906167217799</v>
      </c>
      <c r="L1609" s="48" t="n">
        <f aca="false">K1609*INDEX(Surface_Engine!$B$12:$B$72,$A1609+1)+L1610</f>
        <v>970.517894215164</v>
      </c>
      <c r="M1609" s="48" t="n">
        <f aca="false">M1608+B1608*(IF($A1608&lt;$Q$1581,(Surface_Engine!L251*12)-(Surface_Engine!L251*12)*INDEX(Surface_Engine!$F$12:$F$72,$A1608+1)-INDEX(Surface_Engine!$D$12:$D$72,$A1608+1),-(1000*12*INDEX(Surface_Engine!$C$12:$C$72,$A1608+1)/(1+Assumptions!$B$10)^10+INDEX(Surface_Engine!$D$12:$D$72,$A1608+1))))*INDEX(Surface_Engine!$B$12:$B$72,$A1608+1)</f>
        <v>3302.5629272078</v>
      </c>
      <c r="N1609" s="12" t="n">
        <f aca="false">IF(B1609&lt;=0,0,MAX(0,(K1609+Assumptions!$B$29*L1609/INDEX(Surface_Engine!$B$12:$B$72,$A1609+1)-(M1609/INDEX(Surface_Engine!$B$12:$B$72,$A1609+1)-(F1609/INDEX(Surface_Engine!$B$12:$B$72,$A1609+1))))/B1609))</f>
        <v>0</v>
      </c>
    </row>
    <row r="1610" customFormat="false" ht="15" hidden="false" customHeight="true" outlineLevel="0" collapsed="false">
      <c r="A1610" s="1" t="n">
        <v>27</v>
      </c>
      <c r="B1610" s="32" t="n">
        <f aca="false">INDEX(Surface_Engine!$V$12:$V$72,$A1610+1)*IF($A1610&lt;$Q$1581,INDEX(Surface_Engine!$E$12:$E$72,$A1610+1),INDEX(Surface_Engine!$E$12:$E$72,$Q$1581+1))</f>
        <v>0.0426925341500415</v>
      </c>
      <c r="C1610" s="32" t="n">
        <f aca="false">INDEX(Panel_Reserving!$H$8:$H$68,$A1610+1)*IF($A1610&lt;$Q$1581,INDEX(Surface_Engine!$E$12:$E$72,$A1610+1),INDEX(Surface_Engine!$E$12:$E$72,$Q$1581+1))</f>
        <v>0.0812341817718842</v>
      </c>
      <c r="D1610" s="32" t="n">
        <f aca="false">INDEX(Surface_Engine!$V$12:$V$72,$A1610+1)*IF($A1610&lt;$Q$1581,INDEX(Surface_Engine!$Y$12:$Y$72,$A1610+1),INDEX(Surface_Engine!$Y$12:$Y$72,$Q$1581+1))</f>
        <v>0.0395745470876879</v>
      </c>
      <c r="E1610" s="32" t="n">
        <f aca="false">INDEX(Surface_Engine!$V$12:$V$72,$A1610+1)*IF($A1610&lt;$Q$1581,INDEX(Surface_Engine!$Z$12:$Z$72,$A1610+1),INDEX(Surface_Engine!$Z$12:$Z$72,$Q$1581+1))</f>
        <v>0.0460187742381875</v>
      </c>
      <c r="F1610" s="48" t="n">
        <f aca="false">B1610*(IF($A1610&lt;$Q$1581,INDEX(Surface_Engine!$D$12:$D$72,$A1610+1)+(Surface_Engine!L251*12)*INDEX(Surface_Engine!$F$12:$F$72,$A1610+1)-(Surface_Engine!L251*12),1000*12*INDEX(Surface_Engine!$C$12:$C$72,$A1610+1)/(1+Assumptions!$B$10)^10+INDEX(Surface_Engine!$D$12:$D$72,$A1610+1)))*INDEX(Surface_Engine!$B$12:$B$72,$A1610+1)+F1611</f>
        <v>1126.58115229248</v>
      </c>
      <c r="G1610" s="48" t="n">
        <f aca="false">C1610*(IF($A1610&lt;$Q$1581,INDEX(Surface_Engine!$D$12:$D$72,$A1610+1)+(Surface_Engine!L251*12)*INDEX(Surface_Engine!$F$12:$F$72,$A1610+1)-(Surface_Engine!L251*12),1000*12*INDEX(Surface_Engine!$C$12:$C$72,$A1610+1)/(1+Assumptions!$B$10)^10+INDEX(Surface_Engine!$D$12:$D$72,$A1610+1)))*INDEX(Surface_Engine!$B$12:$B$72,$A1610+1)+G1611</f>
        <v>2544.83181427843</v>
      </c>
      <c r="H1610" s="48" t="n">
        <f aca="false">D1610*(IF($A1610&lt;$Q$1581,INDEX(Surface_Engine!$D$12:$D$72,$A1610+1)+(Surface_Engine!L251*12)*INDEX(Surface_Engine!$F$12:$F$72,$A1610+1)-(Surface_Engine!L251*12),1000*12*INDEX(Surface_Engine!$C$12:$C$72,$A1610+1)/(1+Assumptions!$B$10)^10+INDEX(Surface_Engine!$D$12:$D$72,$A1610+1)))*INDEX(Surface_Engine!$B$12:$B$72,$A1610+1)+H1611</f>
        <v>1044.30293837352</v>
      </c>
      <c r="I1610" s="48" t="n">
        <f aca="false">E1610*(IF($A1610&lt;$Q$1581,INDEX(Surface_Engine!$D$12:$D$72,$A1610+1)+(Surface_Engine!L251*12)*INDEX(Surface_Engine!$F$12:$F$72,$A1610+1)-(Surface_Engine!L251*12),1000*12*INDEX(Surface_Engine!$C$12:$C$72,$A1610+1)/(1+Assumptions!$B$10)^10+INDEX(Surface_Engine!$D$12:$D$72,$A1610+1)))*INDEX(Surface_Engine!$B$12:$B$72,$A1610+1)+I1611</f>
        <v>1214.354798573</v>
      </c>
      <c r="J1610" s="48" t="n">
        <f aca="false">B1610*(IF($A1610&lt;$Q$1581,INDEX(Surface_Engine!$D$12:$D$72,$A1610+1)*(1+Assumptions!$B$24)+(Surface_Engine!L251*12)*INDEX(Surface_Engine!$F$12:$F$72,$A1610+1)-(Surface_Engine!L251*12),1000*12*INDEX(Surface_Engine!$C$12:$C$72,$A1610+1)/(1+Assumptions!$B$10)^10+INDEX(Surface_Engine!$D$12:$D$72,$A1610+1)*(1+Assumptions!$B$24)))*INDEX(Surface_Engine!$B$12:$B$72,$A1610+1)+J1611</f>
        <v>1127.65350614128</v>
      </c>
      <c r="K1610" s="12" t="n">
        <f aca="false">SQRT((IF(C1610&lt;=0,0,MAX(0,(B1610/C1610)*G1610/INDEX(Surface_Engine!$B$12:$B$72,$A1610+1)-F1610/INDEX(Surface_Engine!$B$12:$B$72,$A1610+1))))^2+(MAX(IF(D1610&lt;=0,0,MAX(0,(B1610/D1610)*H1610/INDEX(Surface_Engine!$B$12:$B$72,$A1610+1)-F1610/INDEX(Surface_Engine!$B$12:$B$72,$A1610+1))),IF(E1610&lt;=0,0,MAX(0,(B1610/E1610)*I1610/INDEX(Surface_Engine!$B$12:$B$72,$A1610+1)-F1610/INDEX(Surface_Engine!$B$12:$B$72,$A1610+1))),IF($A1610&lt;$Q$1581,MAX(0,-Assumptions!$B$22*(F1610/INDEX(Surface_Engine!$B$12:$B$72,$A1610+1))),0)))^2+(MAX(0,J1610/INDEX(Surface_Engine!$B$12:$B$72,$A1610+1)-(F1610/INDEX(Surface_Engine!$B$12:$B$72,$A1610+1))))^2+2*Assumptions!$B$26*(IF(C1610&lt;=0,0,MAX(0,(B1610/C1610)*G1610/INDEX(Surface_Engine!$B$12:$B$72,$A1610+1)-F1610/INDEX(Surface_Engine!$B$12:$B$72,$A1610+1))))*(MAX(IF(D1610&lt;=0,0,MAX(0,(B1610/D1610)*H1610/INDEX(Surface_Engine!$B$12:$B$72,$A1610+1)-F1610/INDEX(Surface_Engine!$B$12:$B$72,$A1610+1))),IF(E1610&lt;=0,0,MAX(0,(B1610/E1610)*I1610/INDEX(Surface_Engine!$B$12:$B$72,$A1610+1)-F1610/INDEX(Surface_Engine!$B$12:$B$72,$A1610+1))),IF($A1610&lt;$Q$1581,MAX(0,-Assumptions!$B$22*(F1610/INDEX(Surface_Engine!$B$12:$B$72,$A1610+1))),0)))+2*Assumptions!$B$27*(IF(C1610&lt;=0,0,MAX(0,(B1610/C1610)*G1610/INDEX(Surface_Engine!$B$12:$B$72,$A1610+1)-F1610/INDEX(Surface_Engine!$B$12:$B$72,$A1610+1))))*(MAX(0,J1610/INDEX(Surface_Engine!$B$12:$B$72,$A1610+1)-(F1610/INDEX(Surface_Engine!$B$12:$B$72,$A1610+1))))+2*Assumptions!$B$28*(MAX(IF(D1610&lt;=0,0,MAX(0,(B1610/D1610)*H1610/INDEX(Surface_Engine!$B$12:$B$72,$A1610+1)-F1610/INDEX(Surface_Engine!$B$12:$B$72,$A1610+1))),IF(E1610&lt;=0,0,MAX(0,(B1610/E1610)*I1610/INDEX(Surface_Engine!$B$12:$B$72,$A1610+1)-F1610/INDEX(Surface_Engine!$B$12:$B$72,$A1610+1))),IF($A1610&lt;$Q$1581,MAX(0,-Assumptions!$B$22*(F1610/INDEX(Surface_Engine!$B$12:$B$72,$A1610+1))),0)))*(MAX(0,J1610/INDEX(Surface_Engine!$B$12:$B$72,$A1610+1)-(F1610/INDEX(Surface_Engine!$B$12:$B$72,$A1610+1)))))</f>
        <v>491.346025044862</v>
      </c>
      <c r="L1610" s="48" t="n">
        <f aca="false">K1610*INDEX(Surface_Engine!$B$12:$B$72,$A1610+1)+L1611</f>
        <v>678.3259254154</v>
      </c>
      <c r="M1610" s="48" t="n">
        <f aca="false">M1609+B1609*(IF($A1609&lt;$Q$1581,(Surface_Engine!L251*12)-(Surface_Engine!L251*12)*INDEX(Surface_Engine!$F$12:$F$72,$A1609+1)-INDEX(Surface_Engine!$D$12:$D$72,$A1609+1),-(1000*12*INDEX(Surface_Engine!$C$12:$C$72,$A1609+1)/(1+Assumptions!$B$10)^10+INDEX(Surface_Engine!$D$12:$D$72,$A1609+1))))*INDEX(Surface_Engine!$B$12:$B$72,$A1609+1)</f>
        <v>2892.43579945934</v>
      </c>
      <c r="N1610" s="12" t="n">
        <f aca="false">IF(B1610&lt;=0,0,MAX(0,(K1610+Assumptions!$B$29*L1610/INDEX(Surface_Engine!$B$12:$B$72,$A1610+1)-(M1610/INDEX(Surface_Engine!$B$12:$B$72,$A1610+1)-(F1610/INDEX(Surface_Engine!$B$12:$B$72,$A1610+1))))/B1610))</f>
        <v>0</v>
      </c>
    </row>
    <row r="1611" customFormat="false" ht="15" hidden="false" customHeight="true" outlineLevel="0" collapsed="false">
      <c r="A1611" s="1" t="n">
        <v>28</v>
      </c>
      <c r="B1611" s="32" t="n">
        <f aca="false">INDEX(Surface_Engine!$V$12:$V$72,$A1611+1)*IF($A1611&lt;$Q$1581,INDEX(Surface_Engine!$E$12:$E$72,$A1611+1),INDEX(Surface_Engine!$E$12:$E$72,$Q$1581+1))</f>
        <v>0.0322622786021329</v>
      </c>
      <c r="C1611" s="32" t="n">
        <f aca="false">INDEX(Panel_Reserving!$H$8:$H$68,$A1611+1)*IF($A1611&lt;$Q$1581,INDEX(Surface_Engine!$E$12:$E$72,$A1611+1),INDEX(Surface_Engine!$E$12:$E$72,$Q$1581+1))</f>
        <v>0.0653570586734384</v>
      </c>
      <c r="D1611" s="32" t="n">
        <f aca="false">INDEX(Surface_Engine!$V$12:$V$72,$A1611+1)*IF($A1611&lt;$Q$1581,INDEX(Surface_Engine!$Y$12:$Y$72,$A1611+1),INDEX(Surface_Engine!$Y$12:$Y$72,$Q$1581+1))</f>
        <v>0.0299060500650784</v>
      </c>
      <c r="E1611" s="32" t="n">
        <f aca="false">INDEX(Surface_Engine!$V$12:$V$72,$A1611+1)*IF($A1611&lt;$Q$1581,INDEX(Surface_Engine!$Z$12:$Z$72,$A1611+1),INDEX(Surface_Engine!$Z$12:$Z$72,$Q$1581+1))</f>
        <v>0.0347758816607895</v>
      </c>
      <c r="F1611" s="48" t="n">
        <f aca="false">B1611*(IF($A1611&lt;$Q$1581,INDEX(Surface_Engine!$D$12:$D$72,$A1611+1)+(Surface_Engine!L251*12)*INDEX(Surface_Engine!$F$12:$F$72,$A1611+1)-(Surface_Engine!L251*12),1000*12*INDEX(Surface_Engine!$C$12:$C$72,$A1611+1)/(1+Assumptions!$B$10)^10+INDEX(Surface_Engine!$D$12:$D$72,$A1611+1)))*INDEX(Surface_Engine!$B$12:$B$72,$A1611+1)+F1612</f>
        <v>815.41457763252</v>
      </c>
      <c r="G1611" s="48" t="n">
        <f aca="false">C1611*(IF($A1611&lt;$Q$1581,INDEX(Surface_Engine!$D$12:$D$72,$A1611+1)+(Surface_Engine!L251*12)*INDEX(Surface_Engine!$F$12:$F$72,$A1611+1)-(Surface_Engine!L251*12),1000*12*INDEX(Surface_Engine!$C$12:$C$72,$A1611+1)/(1+Assumptions!$B$10)^10+INDEX(Surface_Engine!$D$12:$D$72,$A1611+1)))*INDEX(Surface_Engine!$B$12:$B$72,$A1611+1)+G1612</f>
        <v>1952.75259971541</v>
      </c>
      <c r="H1611" s="48" t="n">
        <f aca="false">D1611*(IF($A1611&lt;$Q$1581,INDEX(Surface_Engine!$D$12:$D$72,$A1611+1)+(Surface_Engine!L251*12)*INDEX(Surface_Engine!$F$12:$F$72,$A1611+1)-(Surface_Engine!L251*12),1000*12*INDEX(Surface_Engine!$C$12:$C$72,$A1611+1)/(1+Assumptions!$B$10)^10+INDEX(Surface_Engine!$D$12:$D$72,$A1611+1)))*INDEX(Surface_Engine!$B$12:$B$72,$A1611+1)+H1612</f>
        <v>755.861961369981</v>
      </c>
      <c r="I1611" s="48" t="n">
        <f aca="false">E1611*(IF($A1611&lt;$Q$1581,INDEX(Surface_Engine!$D$12:$D$72,$A1611+1)+(Surface_Engine!L251*12)*INDEX(Surface_Engine!$F$12:$F$72,$A1611+1)-(Surface_Engine!L251*12),1000*12*INDEX(Surface_Engine!$C$12:$C$72,$A1611+1)/(1+Assumptions!$B$10)^10+INDEX(Surface_Engine!$D$12:$D$72,$A1611+1)))*INDEX(Surface_Engine!$B$12:$B$72,$A1611+1)+I1612</f>
        <v>878.944764129478</v>
      </c>
      <c r="J1611" s="48" t="n">
        <f aca="false">B1611*(IF($A1611&lt;$Q$1581,INDEX(Surface_Engine!$D$12:$D$72,$A1611+1)*(1+Assumptions!$B$24)+(Surface_Engine!L251*12)*INDEX(Surface_Engine!$F$12:$F$72,$A1611+1)-(Surface_Engine!L251*12),1000*12*INDEX(Surface_Engine!$C$12:$C$72,$A1611+1)/(1+Assumptions!$B$10)^10+INDEX(Surface_Engine!$D$12:$D$72,$A1611+1)*(1+Assumptions!$B$24)))*INDEX(Surface_Engine!$B$12:$B$72,$A1611+1)+J1612</f>
        <v>816.193937762347</v>
      </c>
      <c r="K1611" s="12" t="n">
        <f aca="false">SQRT((IF(C1611&lt;=0,0,MAX(0,(B1611/C1611)*G1611/INDEX(Surface_Engine!$B$12:$B$72,$A1611+1)-F1611/INDEX(Surface_Engine!$B$12:$B$72,$A1611+1))))^2+(MAX(IF(D1611&lt;=0,0,MAX(0,(B1611/D1611)*H1611/INDEX(Surface_Engine!$B$12:$B$72,$A1611+1)-F1611/INDEX(Surface_Engine!$B$12:$B$72,$A1611+1))),IF(E1611&lt;=0,0,MAX(0,(B1611/E1611)*I1611/INDEX(Surface_Engine!$B$12:$B$72,$A1611+1)-F1611/INDEX(Surface_Engine!$B$12:$B$72,$A1611+1))),IF($A1611&lt;$Q$1581,MAX(0,-Assumptions!$B$22*(F1611/INDEX(Surface_Engine!$B$12:$B$72,$A1611+1))),0)))^2+(MAX(0,J1611/INDEX(Surface_Engine!$B$12:$B$72,$A1611+1)-(F1611/INDEX(Surface_Engine!$B$12:$B$72,$A1611+1))))^2+2*Assumptions!$B$26*(IF(C1611&lt;=0,0,MAX(0,(B1611/C1611)*G1611/INDEX(Surface_Engine!$B$12:$B$72,$A1611+1)-F1611/INDEX(Surface_Engine!$B$12:$B$72,$A1611+1))))*(MAX(IF(D1611&lt;=0,0,MAX(0,(B1611/D1611)*H1611/INDEX(Surface_Engine!$B$12:$B$72,$A1611+1)-F1611/INDEX(Surface_Engine!$B$12:$B$72,$A1611+1))),IF(E1611&lt;=0,0,MAX(0,(B1611/E1611)*I1611/INDEX(Surface_Engine!$B$12:$B$72,$A1611+1)-F1611/INDEX(Surface_Engine!$B$12:$B$72,$A1611+1))),IF($A1611&lt;$Q$1581,MAX(0,-Assumptions!$B$22*(F1611/INDEX(Surface_Engine!$B$12:$B$72,$A1611+1))),0)))+2*Assumptions!$B$27*(IF(C1611&lt;=0,0,MAX(0,(B1611/C1611)*G1611/INDEX(Surface_Engine!$B$12:$B$72,$A1611+1)-F1611/INDEX(Surface_Engine!$B$12:$B$72,$A1611+1))))*(MAX(0,J1611/INDEX(Surface_Engine!$B$12:$B$72,$A1611+1)-(F1611/INDEX(Surface_Engine!$B$12:$B$72,$A1611+1))))+2*Assumptions!$B$28*(MAX(IF(D1611&lt;=0,0,MAX(0,(B1611/D1611)*H1611/INDEX(Surface_Engine!$B$12:$B$72,$A1611+1)-F1611/INDEX(Surface_Engine!$B$12:$B$72,$A1611+1))),IF(E1611&lt;=0,0,MAX(0,(B1611/E1611)*I1611/INDEX(Surface_Engine!$B$12:$B$72,$A1611+1)-F1611/INDEX(Surface_Engine!$B$12:$B$72,$A1611+1))),IF($A1611&lt;$Q$1581,MAX(0,-Assumptions!$B$22*(F1611/INDEX(Surface_Engine!$B$12:$B$72,$A1611+1))),0)))*(MAX(0,J1611/INDEX(Surface_Engine!$B$12:$B$72,$A1611+1)-(F1611/INDEX(Surface_Engine!$B$12:$B$72,$A1611+1)))))</f>
        <v>357.313019639732</v>
      </c>
      <c r="L1611" s="48" t="n">
        <f aca="false">K1611*INDEX(Surface_Engine!$B$12:$B$72,$A1611+1)+L1612</f>
        <v>467.20289800453</v>
      </c>
      <c r="M1611" s="48" t="n">
        <f aca="false">M1610+B1610*(IF($A1610&lt;$Q$1581,(Surface_Engine!L251*12)-(Surface_Engine!L251*12)*INDEX(Surface_Engine!$F$12:$F$72,$A1610+1)-INDEX(Surface_Engine!$D$12:$D$72,$A1610+1),-(1000*12*INDEX(Surface_Engine!$C$12:$C$72,$A1610+1)/(1+Assumptions!$B$10)^10+INDEX(Surface_Engine!$D$12:$D$72,$A1610+1))))*INDEX(Surface_Engine!$B$12:$B$72,$A1610+1)</f>
        <v>2581.26922479938</v>
      </c>
      <c r="N1611" s="12" t="n">
        <f aca="false">IF(B1611&lt;=0,0,MAX(0,(K1611+Assumptions!$B$29*L1611/INDEX(Surface_Engine!$B$12:$B$72,$A1611+1)-(M1611/INDEX(Surface_Engine!$B$12:$B$72,$A1611+1)-(F1611/INDEX(Surface_Engine!$B$12:$B$72,$A1611+1))))/B1611))</f>
        <v>0</v>
      </c>
    </row>
    <row r="1612" customFormat="false" ht="15" hidden="false" customHeight="true" outlineLevel="0" collapsed="false">
      <c r="A1612" s="1" t="n">
        <v>29</v>
      </c>
      <c r="B1612" s="32" t="n">
        <f aca="false">INDEX(Surface_Engine!$V$12:$V$72,$A1612+1)*IF($A1612&lt;$Q$1581,INDEX(Surface_Engine!$E$12:$E$72,$A1612+1),INDEX(Surface_Engine!$E$12:$E$72,$Q$1581+1))</f>
        <v>0.0239376565953956</v>
      </c>
      <c r="C1612" s="32" t="n">
        <f aca="false">INDEX(Panel_Reserving!$H$8:$H$68,$A1612+1)*IF($A1612&lt;$Q$1581,INDEX(Surface_Engine!$E$12:$E$72,$A1612+1),INDEX(Surface_Engine!$E$12:$E$72,$Q$1581+1))</f>
        <v>0.0518658154630458</v>
      </c>
      <c r="D1612" s="32" t="n">
        <f aca="false">INDEX(Surface_Engine!$V$12:$V$72,$A1612+1)*IF($A1612&lt;$Q$1581,INDEX(Surface_Engine!$Y$12:$Y$72,$A1612+1),INDEX(Surface_Engine!$Y$12:$Y$72,$Q$1581+1))</f>
        <v>0.0221894047042055</v>
      </c>
      <c r="E1612" s="32" t="n">
        <f aca="false">INDEX(Surface_Engine!$V$12:$V$72,$A1612+1)*IF($A1612&lt;$Q$1581,INDEX(Surface_Engine!$Z$12:$Z$72,$A1612+1),INDEX(Surface_Engine!$Z$12:$Z$72,$Q$1581+1))</f>
        <v>0.0258026757274069</v>
      </c>
      <c r="F1612" s="48" t="n">
        <f aca="false">B1612*(IF($A1612&lt;$Q$1581,INDEX(Surface_Engine!$D$12:$D$72,$A1612+1)+(Surface_Engine!L251*12)*INDEX(Surface_Engine!$F$12:$F$72,$A1612+1)-(Surface_Engine!L251*12),1000*12*INDEX(Surface_Engine!$C$12:$C$72,$A1612+1)/(1+Assumptions!$B$10)^10+INDEX(Surface_Engine!$D$12:$D$72,$A1612+1)))*INDEX(Surface_Engine!$B$12:$B$72,$A1612+1)+F1613</f>
        <v>583.069518297618</v>
      </c>
      <c r="G1612" s="48" t="n">
        <f aca="false">C1612*(IF($A1612&lt;$Q$1581,INDEX(Surface_Engine!$D$12:$D$72,$A1612+1)+(Surface_Engine!L251*12)*INDEX(Surface_Engine!$F$12:$F$72,$A1612+1)-(Surface_Engine!L251*12),1000*12*INDEX(Surface_Engine!$C$12:$C$72,$A1612+1)/(1+Assumptions!$B$10)^10+INDEX(Surface_Engine!$D$12:$D$72,$A1612+1)))*INDEX(Surface_Engine!$B$12:$B$72,$A1612+1)+G1613</f>
        <v>1482.06700857335</v>
      </c>
      <c r="H1612" s="48" t="n">
        <f aca="false">D1612*(IF($A1612&lt;$Q$1581,INDEX(Surface_Engine!$D$12:$D$72,$A1612+1)+(Surface_Engine!L251*12)*INDEX(Surface_Engine!$F$12:$F$72,$A1612+1)-(Surface_Engine!L251*12),1000*12*INDEX(Surface_Engine!$C$12:$C$72,$A1612+1)/(1+Assumptions!$B$10)^10+INDEX(Surface_Engine!$D$12:$D$72,$A1612+1)))*INDEX(Surface_Engine!$B$12:$B$72,$A1612+1)+H1613</f>
        <v>540.485885100407</v>
      </c>
      <c r="I1612" s="48" t="n">
        <f aca="false">E1612*(IF($A1612&lt;$Q$1581,INDEX(Surface_Engine!$D$12:$D$72,$A1612+1)+(Surface_Engine!L251*12)*INDEX(Surface_Engine!$F$12:$F$72,$A1612+1)-(Surface_Engine!L251*12),1000*12*INDEX(Surface_Engine!$C$12:$C$72,$A1612+1)/(1+Assumptions!$B$10)^10+INDEX(Surface_Engine!$D$12:$D$72,$A1612+1)))*INDEX(Surface_Engine!$B$12:$B$72,$A1612+1)+I1613</f>
        <v>628.497348819962</v>
      </c>
      <c r="J1612" s="48" t="n">
        <f aca="false">B1612*(IF($A1612&lt;$Q$1581,INDEX(Surface_Engine!$D$12:$D$72,$A1612+1)*(1+Assumptions!$B$24)+(Surface_Engine!L251*12)*INDEX(Surface_Engine!$F$12:$F$72,$A1612+1)-(Surface_Engine!L251*12),1000*12*INDEX(Surface_Engine!$C$12:$C$72,$A1612+1)/(1+Assumptions!$B$10)^10+INDEX(Surface_Engine!$D$12:$D$72,$A1612+1)*(1+Assumptions!$B$24)))*INDEX(Surface_Engine!$B$12:$B$72,$A1612+1)+J1613</f>
        <v>583.629040580722</v>
      </c>
      <c r="K1612" s="12" t="n">
        <f aca="false">SQRT((IF(C1612&lt;=0,0,MAX(0,(B1612/C1612)*G1612/INDEX(Surface_Engine!$B$12:$B$72,$A1612+1)-F1612/INDEX(Surface_Engine!$B$12:$B$72,$A1612+1))))^2+(MAX(IF(D1612&lt;=0,0,MAX(0,(B1612/D1612)*H1612/INDEX(Surface_Engine!$B$12:$B$72,$A1612+1)-F1612/INDEX(Surface_Engine!$B$12:$B$72,$A1612+1))),IF(E1612&lt;=0,0,MAX(0,(B1612/E1612)*I1612/INDEX(Surface_Engine!$B$12:$B$72,$A1612+1)-F1612/INDEX(Surface_Engine!$B$12:$B$72,$A1612+1))),IF($A1612&lt;$Q$1581,MAX(0,-Assumptions!$B$22*(F1612/INDEX(Surface_Engine!$B$12:$B$72,$A1612+1))),0)))^2+(MAX(0,J1612/INDEX(Surface_Engine!$B$12:$B$72,$A1612+1)-(F1612/INDEX(Surface_Engine!$B$12:$B$72,$A1612+1))))^2+2*Assumptions!$B$26*(IF(C1612&lt;=0,0,MAX(0,(B1612/C1612)*G1612/INDEX(Surface_Engine!$B$12:$B$72,$A1612+1)-F1612/INDEX(Surface_Engine!$B$12:$B$72,$A1612+1))))*(MAX(IF(D1612&lt;=0,0,MAX(0,(B1612/D1612)*H1612/INDEX(Surface_Engine!$B$12:$B$72,$A1612+1)-F1612/INDEX(Surface_Engine!$B$12:$B$72,$A1612+1))),IF(E1612&lt;=0,0,MAX(0,(B1612/E1612)*I1612/INDEX(Surface_Engine!$B$12:$B$72,$A1612+1)-F1612/INDEX(Surface_Engine!$B$12:$B$72,$A1612+1))),IF($A1612&lt;$Q$1581,MAX(0,-Assumptions!$B$22*(F1612/INDEX(Surface_Engine!$B$12:$B$72,$A1612+1))),0)))+2*Assumptions!$B$27*(IF(C1612&lt;=0,0,MAX(0,(B1612/C1612)*G1612/INDEX(Surface_Engine!$B$12:$B$72,$A1612+1)-F1612/INDEX(Surface_Engine!$B$12:$B$72,$A1612+1))))*(MAX(0,J1612/INDEX(Surface_Engine!$B$12:$B$72,$A1612+1)-(F1612/INDEX(Surface_Engine!$B$12:$B$72,$A1612+1))))+2*Assumptions!$B$28*(MAX(IF(D1612&lt;=0,0,MAX(0,(B1612/D1612)*H1612/INDEX(Surface_Engine!$B$12:$B$72,$A1612+1)-F1612/INDEX(Surface_Engine!$B$12:$B$72,$A1612+1))),IF(E1612&lt;=0,0,MAX(0,(B1612/E1612)*I1612/INDEX(Surface_Engine!$B$12:$B$72,$A1612+1)-F1612/INDEX(Surface_Engine!$B$12:$B$72,$A1612+1))),IF($A1612&lt;$Q$1581,MAX(0,-Assumptions!$B$22*(F1612/INDEX(Surface_Engine!$B$12:$B$72,$A1612+1))),0)))*(MAX(0,J1612/INDEX(Surface_Engine!$B$12:$B$72,$A1612+1)-(F1612/INDEX(Surface_Engine!$B$12:$B$72,$A1612+1)))))</f>
        <v>250.741750453545</v>
      </c>
      <c r="L1612" s="48" t="n">
        <f aca="false">K1612*INDEX(Surface_Engine!$B$12:$B$72,$A1612+1)+L1613</f>
        <v>318.481252451034</v>
      </c>
      <c r="M1612" s="48" t="n">
        <f aca="false">M1611+B1611*(IF($A1611&lt;$Q$1581,(Surface_Engine!L251*12)-(Surface_Engine!L251*12)*INDEX(Surface_Engine!$F$12:$F$72,$A1611+1)-INDEX(Surface_Engine!$D$12:$D$72,$A1611+1),-(1000*12*INDEX(Surface_Engine!$C$12:$C$72,$A1611+1)/(1+Assumptions!$B$10)^10+INDEX(Surface_Engine!$D$12:$D$72,$A1611+1))))*INDEX(Surface_Engine!$B$12:$B$72,$A1611+1)</f>
        <v>2348.92416546448</v>
      </c>
      <c r="N1612" s="12" t="n">
        <f aca="false">IF(B1612&lt;=0,0,MAX(0,(K1612+Assumptions!$B$29*L1612/INDEX(Surface_Engine!$B$12:$B$72,$A1612+1)-(M1612/INDEX(Surface_Engine!$B$12:$B$72,$A1612+1)-(F1612/INDEX(Surface_Engine!$B$12:$B$72,$A1612+1))))/B1612))</f>
        <v>0</v>
      </c>
    </row>
    <row r="1613" customFormat="false" ht="15" hidden="false" customHeight="true" outlineLevel="0" collapsed="false">
      <c r="A1613" s="1" t="n">
        <v>30</v>
      </c>
      <c r="B1613" s="32" t="n">
        <f aca="false">INDEX(Surface_Engine!$V$12:$V$72,$A1613+1)*IF($A1613&lt;$Q$1581,INDEX(Surface_Engine!$E$12:$E$72,$A1613+1),INDEX(Surface_Engine!$E$12:$E$72,$Q$1581+1))</f>
        <v>0.0180348855745101</v>
      </c>
      <c r="C1613" s="32" t="n">
        <f aca="false">INDEX(Panel_Reserving!$H$8:$H$68,$A1613+1)*IF($A1613&lt;$Q$1581,INDEX(Surface_Engine!$E$12:$E$72,$A1613+1),INDEX(Surface_Engine!$E$12:$E$72,$Q$1581+1))</f>
        <v>0.0416341695617089</v>
      </c>
      <c r="D1613" s="32" t="n">
        <f aca="false">INDEX(Surface_Engine!$V$12:$V$72,$A1613+1)*IF($A1613&lt;$Q$1581,INDEX(Surface_Engine!$Y$12:$Y$72,$A1613+1),INDEX(Surface_Engine!$Y$12:$Y$72,$Q$1581+1))</f>
        <v>0.0167177339691563</v>
      </c>
      <c r="E1613" s="32" t="n">
        <f aca="false">INDEX(Surface_Engine!$V$12:$V$72,$A1613+1)*IF($A1613&lt;$Q$1581,INDEX(Surface_Engine!$Z$12:$Z$72,$A1613+1),INDEX(Surface_Engine!$Z$12:$Z$72,$Q$1581+1))</f>
        <v>0.0194400108634478</v>
      </c>
      <c r="F1613" s="48" t="n">
        <f aca="false">B1613*(IF($A1613&lt;$Q$1581,INDEX(Surface_Engine!$D$12:$D$72,$A1613+1)+(Surface_Engine!L251*12)*INDEX(Surface_Engine!$F$12:$F$72,$A1613+1)-(Surface_Engine!L251*12),1000*12*INDEX(Surface_Engine!$C$12:$C$72,$A1613+1)/(1+Assumptions!$B$10)^10+INDEX(Surface_Engine!$D$12:$D$72,$A1613+1)))*INDEX(Surface_Engine!$B$12:$B$72,$A1613+1)+F1614</f>
        <v>412.735770325726</v>
      </c>
      <c r="G1613" s="48" t="n">
        <f aca="false">C1613*(IF($A1613&lt;$Q$1581,INDEX(Surface_Engine!$D$12:$D$72,$A1613+1)+(Surface_Engine!L251*12)*INDEX(Surface_Engine!$F$12:$F$72,$A1613+1)-(Surface_Engine!L251*12),1000*12*INDEX(Surface_Engine!$C$12:$C$72,$A1613+1)/(1+Assumptions!$B$10)^10+INDEX(Surface_Engine!$D$12:$D$72,$A1613+1)))*INDEX(Surface_Engine!$B$12:$B$72,$A1613+1)+G1614</f>
        <v>1113.0042014338</v>
      </c>
      <c r="H1613" s="48" t="n">
        <f aca="false">D1613*(IF($A1613&lt;$Q$1581,INDEX(Surface_Engine!$D$12:$D$72,$A1613+1)+(Surface_Engine!L251*12)*INDEX(Surface_Engine!$F$12:$F$72,$A1613+1)-(Surface_Engine!L251*12),1000*12*INDEX(Surface_Engine!$C$12:$C$72,$A1613+1)/(1+Assumptions!$B$10)^10+INDEX(Surface_Engine!$D$12:$D$72,$A1613+1)))*INDEX(Surface_Engine!$B$12:$B$72,$A1613+1)+H1614</f>
        <v>382.592214369937</v>
      </c>
      <c r="I1613" s="48" t="n">
        <f aca="false">E1613*(IF($A1613&lt;$Q$1581,INDEX(Surface_Engine!$D$12:$D$72,$A1613+1)+(Surface_Engine!L251*12)*INDEX(Surface_Engine!$F$12:$F$72,$A1613+1)-(Surface_Engine!L251*12),1000*12*INDEX(Surface_Engine!$C$12:$C$72,$A1613+1)/(1+Assumptions!$B$10)^10+INDEX(Surface_Engine!$D$12:$D$72,$A1613+1)))*INDEX(Surface_Engine!$B$12:$B$72,$A1613+1)+I1614</f>
        <v>444.892640195393</v>
      </c>
      <c r="J1613" s="48" t="n">
        <f aca="false">B1613*(IF($A1613&lt;$Q$1581,INDEX(Surface_Engine!$D$12:$D$72,$A1613+1)*(1+Assumptions!$B$24)+(Surface_Engine!L251*12)*INDEX(Surface_Engine!$F$12:$F$72,$A1613+1)-(Surface_Engine!L251*12),1000*12*INDEX(Surface_Engine!$C$12:$C$72,$A1613+1)/(1+Assumptions!$B$10)^10+INDEX(Surface_Engine!$D$12:$D$72,$A1613+1)*(1+Assumptions!$B$24)))*INDEX(Surface_Engine!$B$12:$B$72,$A1613+1)+J1614</f>
        <v>413.13334547232</v>
      </c>
      <c r="K1613" s="12" t="n">
        <f aca="false">SQRT((IF(C1613&lt;=0,0,MAX(0,(B1613/C1613)*G1613/INDEX(Surface_Engine!$B$12:$B$72,$A1613+1)-F1613/INDEX(Surface_Engine!$B$12:$B$72,$A1613+1))))^2+(MAX(IF(D1613&lt;=0,0,MAX(0,(B1613/D1613)*H1613/INDEX(Surface_Engine!$B$12:$B$72,$A1613+1)-F1613/INDEX(Surface_Engine!$B$12:$B$72,$A1613+1))),IF(E1613&lt;=0,0,MAX(0,(B1613/E1613)*I1613/INDEX(Surface_Engine!$B$12:$B$72,$A1613+1)-F1613/INDEX(Surface_Engine!$B$12:$B$72,$A1613+1))),IF($A1613&lt;$Q$1581,MAX(0,-Assumptions!$B$22*(F1613/INDEX(Surface_Engine!$B$12:$B$72,$A1613+1))),0)))^2+(MAX(0,J1613/INDEX(Surface_Engine!$B$12:$B$72,$A1613+1)-(F1613/INDEX(Surface_Engine!$B$12:$B$72,$A1613+1))))^2+2*Assumptions!$B$26*(IF(C1613&lt;=0,0,MAX(0,(B1613/C1613)*G1613/INDEX(Surface_Engine!$B$12:$B$72,$A1613+1)-F1613/INDEX(Surface_Engine!$B$12:$B$72,$A1613+1))))*(MAX(IF(D1613&lt;=0,0,MAX(0,(B1613/D1613)*H1613/INDEX(Surface_Engine!$B$12:$B$72,$A1613+1)-F1613/INDEX(Surface_Engine!$B$12:$B$72,$A1613+1))),IF(E1613&lt;=0,0,MAX(0,(B1613/E1613)*I1613/INDEX(Surface_Engine!$B$12:$B$72,$A1613+1)-F1613/INDEX(Surface_Engine!$B$12:$B$72,$A1613+1))),IF($A1613&lt;$Q$1581,MAX(0,-Assumptions!$B$22*(F1613/INDEX(Surface_Engine!$B$12:$B$72,$A1613+1))),0)))+2*Assumptions!$B$27*(IF(C1613&lt;=0,0,MAX(0,(B1613/C1613)*G1613/INDEX(Surface_Engine!$B$12:$B$72,$A1613+1)-F1613/INDEX(Surface_Engine!$B$12:$B$72,$A1613+1))))*(MAX(0,J1613/INDEX(Surface_Engine!$B$12:$B$72,$A1613+1)-(F1613/INDEX(Surface_Engine!$B$12:$B$72,$A1613+1))))+2*Assumptions!$B$28*(MAX(IF(D1613&lt;=0,0,MAX(0,(B1613/D1613)*H1613/INDEX(Surface_Engine!$B$12:$B$72,$A1613+1)-F1613/INDEX(Surface_Engine!$B$12:$B$72,$A1613+1))),IF(E1613&lt;=0,0,MAX(0,(B1613/E1613)*I1613/INDEX(Surface_Engine!$B$12:$B$72,$A1613+1)-F1613/INDEX(Surface_Engine!$B$12:$B$72,$A1613+1))),IF($A1613&lt;$Q$1581,MAX(0,-Assumptions!$B$22*(F1613/INDEX(Surface_Engine!$B$12:$B$72,$A1613+1))),0)))*(MAX(0,J1613/INDEX(Surface_Engine!$B$12:$B$72,$A1613+1)-(F1613/INDEX(Surface_Engine!$B$12:$B$72,$A1613+1)))))</f>
        <v>177.949009929224</v>
      </c>
      <c r="L1613" s="48" t="n">
        <f aca="false">K1613*INDEX(Surface_Engine!$B$12:$B$72,$A1613+1)+L1614</f>
        <v>217.390286670089</v>
      </c>
      <c r="M1613" s="48" t="n">
        <f aca="false">M1612+B1612*(IF($A1612&lt;$Q$1581,(Surface_Engine!L251*12)-(Surface_Engine!L251*12)*INDEX(Surface_Engine!$F$12:$F$72,$A1612+1)-INDEX(Surface_Engine!$D$12:$D$72,$A1612+1),-(1000*12*INDEX(Surface_Engine!$C$12:$C$72,$A1612+1)/(1+Assumptions!$B$10)^10+INDEX(Surface_Engine!$D$12:$D$72,$A1612+1))))*INDEX(Surface_Engine!$B$12:$B$72,$A1612+1)</f>
        <v>2178.59041749259</v>
      </c>
      <c r="N1613" s="12" t="n">
        <f aca="false">IF(B1613&lt;=0,0,MAX(0,(K1613+Assumptions!$B$29*L1613/INDEX(Surface_Engine!$B$12:$B$72,$A1613+1)-(M1613/INDEX(Surface_Engine!$B$12:$B$72,$A1613+1)-(F1613/INDEX(Surface_Engine!$B$12:$B$72,$A1613+1))))/B1613))</f>
        <v>0</v>
      </c>
    </row>
    <row r="1614" customFormat="false" ht="15" hidden="false" customHeight="true" outlineLevel="0" collapsed="false">
      <c r="A1614" s="1" t="n">
        <v>31</v>
      </c>
      <c r="B1614" s="32" t="n">
        <f aca="false">INDEX(Surface_Engine!$V$12:$V$72,$A1614+1)*IF($A1614&lt;$Q$1581,INDEX(Surface_Engine!$E$12:$E$72,$A1614+1),INDEX(Surface_Engine!$E$12:$E$72,$Q$1581+1))</f>
        <v>0.0157671093196143</v>
      </c>
      <c r="C1614" s="32" t="n">
        <f aca="false">INDEX(Panel_Reserving!$H$8:$H$68,$A1614+1)*IF($A1614&lt;$Q$1581,INDEX(Surface_Engine!$E$12:$E$72,$A1614+1),INDEX(Surface_Engine!$E$12:$E$72,$Q$1581+1))</f>
        <v>0.0374459763742657</v>
      </c>
      <c r="D1614" s="32" t="n">
        <f aca="false">INDEX(Surface_Engine!$V$12:$V$72,$A1614+1)*IF($A1614&lt;$Q$1581,INDEX(Surface_Engine!$Y$12:$Y$72,$A1614+1),INDEX(Surface_Engine!$Y$12:$Y$72,$Q$1581+1))</f>
        <v>0.0146155814506783</v>
      </c>
      <c r="E1614" s="32" t="n">
        <f aca="false">INDEX(Surface_Engine!$V$12:$V$72,$A1614+1)*IF($A1614&lt;$Q$1581,INDEX(Surface_Engine!$Z$12:$Z$72,$A1614+1),INDEX(Surface_Engine!$Z$12:$Z$72,$Q$1581+1))</f>
        <v>0.016995548720957</v>
      </c>
      <c r="F1614" s="48" t="n">
        <f aca="false">B1614*(IF($A1614&lt;$Q$1581,INDEX(Surface_Engine!$D$12:$D$72,$A1614+1)+(Surface_Engine!L251*12)*INDEX(Surface_Engine!$F$12:$F$72,$A1614+1)-(Surface_Engine!L251*12),1000*12*INDEX(Surface_Engine!$C$12:$C$72,$A1614+1)/(1+Assumptions!$B$10)^10+INDEX(Surface_Engine!$D$12:$D$72,$A1614+1)))*INDEX(Surface_Engine!$B$12:$B$72,$A1614+1)+F1615</f>
        <v>285.942444567818</v>
      </c>
      <c r="G1614" s="48" t="n">
        <f aca="false">C1614*(IF($A1614&lt;$Q$1581,INDEX(Surface_Engine!$D$12:$D$72,$A1614+1)+(Surface_Engine!L251*12)*INDEX(Surface_Engine!$F$12:$F$72,$A1614+1)-(Surface_Engine!L251*12),1000*12*INDEX(Surface_Engine!$C$12:$C$72,$A1614+1)/(1+Assumptions!$B$10)^10+INDEX(Surface_Engine!$D$12:$D$72,$A1614+1)))*INDEX(Surface_Engine!$B$12:$B$72,$A1614+1)+G1615</f>
        <v>820.297336059576</v>
      </c>
      <c r="H1614" s="48" t="n">
        <f aca="false">D1614*(IF($A1614&lt;$Q$1581,INDEX(Surface_Engine!$D$12:$D$72,$A1614+1)+(Surface_Engine!L251*12)*INDEX(Surface_Engine!$F$12:$F$72,$A1614+1)-(Surface_Engine!L251*12),1000*12*INDEX(Surface_Engine!$C$12:$C$72,$A1614+1)/(1+Assumptions!$B$10)^10+INDEX(Surface_Engine!$D$12:$D$72,$A1614+1)))*INDEX(Surface_Engine!$B$12:$B$72,$A1614+1)+H1615</f>
        <v>265.059054521051</v>
      </c>
      <c r="I1614" s="48" t="n">
        <f aca="false">E1614*(IF($A1614&lt;$Q$1581,INDEX(Surface_Engine!$D$12:$D$72,$A1614+1)+(Surface_Engine!L251*12)*INDEX(Surface_Engine!$F$12:$F$72,$A1614+1)-(Surface_Engine!L251*12),1000*12*INDEX(Surface_Engine!$C$12:$C$72,$A1614+1)/(1+Assumptions!$B$10)^10+INDEX(Surface_Engine!$D$12:$D$72,$A1614+1)))*INDEX(Surface_Engine!$B$12:$B$72,$A1614+1)+I1615</f>
        <v>308.220654118023</v>
      </c>
      <c r="J1614" s="48" t="n">
        <f aca="false">B1614*(IF($A1614&lt;$Q$1581,INDEX(Surface_Engine!$D$12:$D$72,$A1614+1)*(1+Assumptions!$B$24)+(Surface_Engine!L251*12)*INDEX(Surface_Engine!$F$12:$F$72,$A1614+1)-(Surface_Engine!L251*12),1000*12*INDEX(Surface_Engine!$C$12:$C$72,$A1614+1)/(1+Assumptions!$B$10)^10+INDEX(Surface_Engine!$D$12:$D$72,$A1614+1)*(1+Assumptions!$B$24)))*INDEX(Surface_Engine!$B$12:$B$72,$A1614+1)+J1615</f>
        <v>286.218883940703</v>
      </c>
      <c r="K1614" s="12" t="n">
        <f aca="false">SQRT((IF(C1614&lt;=0,0,MAX(0,(B1614/C1614)*G1614/INDEX(Surface_Engine!$B$12:$B$72,$A1614+1)-F1614/INDEX(Surface_Engine!$B$12:$B$72,$A1614+1))))^2+(MAX(IF(D1614&lt;=0,0,MAX(0,(B1614/D1614)*H1614/INDEX(Surface_Engine!$B$12:$B$72,$A1614+1)-F1614/INDEX(Surface_Engine!$B$12:$B$72,$A1614+1))),IF(E1614&lt;=0,0,MAX(0,(B1614/E1614)*I1614/INDEX(Surface_Engine!$B$12:$B$72,$A1614+1)-F1614/INDEX(Surface_Engine!$B$12:$B$72,$A1614+1))),IF($A1614&lt;$Q$1581,MAX(0,-Assumptions!$B$22*(F1614/INDEX(Surface_Engine!$B$12:$B$72,$A1614+1))),0)))^2+(MAX(0,J1614/INDEX(Surface_Engine!$B$12:$B$72,$A1614+1)-(F1614/INDEX(Surface_Engine!$B$12:$B$72,$A1614+1))))^2+2*Assumptions!$B$26*(IF(C1614&lt;=0,0,MAX(0,(B1614/C1614)*G1614/INDEX(Surface_Engine!$B$12:$B$72,$A1614+1)-F1614/INDEX(Surface_Engine!$B$12:$B$72,$A1614+1))))*(MAX(IF(D1614&lt;=0,0,MAX(0,(B1614/D1614)*H1614/INDEX(Surface_Engine!$B$12:$B$72,$A1614+1)-F1614/INDEX(Surface_Engine!$B$12:$B$72,$A1614+1))),IF(E1614&lt;=0,0,MAX(0,(B1614/E1614)*I1614/INDEX(Surface_Engine!$B$12:$B$72,$A1614+1)-F1614/INDEX(Surface_Engine!$B$12:$B$72,$A1614+1))),IF($A1614&lt;$Q$1581,MAX(0,-Assumptions!$B$22*(F1614/INDEX(Surface_Engine!$B$12:$B$72,$A1614+1))),0)))+2*Assumptions!$B$27*(IF(C1614&lt;=0,0,MAX(0,(B1614/C1614)*G1614/INDEX(Surface_Engine!$B$12:$B$72,$A1614+1)-F1614/INDEX(Surface_Engine!$B$12:$B$72,$A1614+1))))*(MAX(0,J1614/INDEX(Surface_Engine!$B$12:$B$72,$A1614+1)-(F1614/INDEX(Surface_Engine!$B$12:$B$72,$A1614+1))))+2*Assumptions!$B$28*(MAX(IF(D1614&lt;=0,0,MAX(0,(B1614/D1614)*H1614/INDEX(Surface_Engine!$B$12:$B$72,$A1614+1)-F1614/INDEX(Surface_Engine!$B$12:$B$72,$A1614+1))),IF(E1614&lt;=0,0,MAX(0,(B1614/E1614)*I1614/INDEX(Surface_Engine!$B$12:$B$72,$A1614+1)-F1614/INDEX(Surface_Engine!$B$12:$B$72,$A1614+1))),IF($A1614&lt;$Q$1581,MAX(0,-Assumptions!$B$22*(F1614/INDEX(Surface_Engine!$B$12:$B$72,$A1614+1))),0)))*(MAX(0,J1614/INDEX(Surface_Engine!$B$12:$B$72,$A1614+1)-(F1614/INDEX(Surface_Engine!$B$12:$B$72,$A1614+1)))))</f>
        <v>157.327885812569</v>
      </c>
      <c r="L1614" s="48" t="n">
        <f aca="false">K1614*INDEX(Surface_Engine!$B$12:$B$72,$A1614+1)+L1615</f>
        <v>147.899890405128</v>
      </c>
      <c r="M1614" s="48" t="n">
        <f aca="false">M1613+B1613*(IF($A1613&lt;$Q$1581,(Surface_Engine!L251*12)-(Surface_Engine!L251*12)*INDEX(Surface_Engine!$F$12:$F$72,$A1613+1)-INDEX(Surface_Engine!$D$12:$D$72,$A1613+1),-(1000*12*INDEX(Surface_Engine!$C$12:$C$72,$A1613+1)/(1+Assumptions!$B$10)^10+INDEX(Surface_Engine!$D$12:$D$72,$A1613+1))))*INDEX(Surface_Engine!$B$12:$B$72,$A1613+1)</f>
        <v>2051.79709173468</v>
      </c>
      <c r="N1614" s="12" t="n">
        <f aca="false">IF(B1614&lt;=0,0,MAX(0,(K1614+Assumptions!$B$29*L1614/INDEX(Surface_Engine!$B$12:$B$72,$A1614+1)-(M1614/INDEX(Surface_Engine!$B$12:$B$72,$A1614+1)-(F1614/INDEX(Surface_Engine!$B$12:$B$72,$A1614+1))))/B1614))</f>
        <v>0</v>
      </c>
    </row>
    <row r="1615" customFormat="false" ht="15" hidden="false" customHeight="true" outlineLevel="0" collapsed="false">
      <c r="A1615" s="1" t="n">
        <v>32</v>
      </c>
      <c r="B1615" s="32" t="n">
        <f aca="false">INDEX(Surface_Engine!$V$12:$V$72,$A1615+1)*IF($A1615&lt;$Q$1581,INDEX(Surface_Engine!$E$12:$E$72,$A1615+1),INDEX(Surface_Engine!$E$12:$E$72,$Q$1581+1))</f>
        <v>0.0103720004974631</v>
      </c>
      <c r="C1615" s="32" t="n">
        <f aca="false">INDEX(Panel_Reserving!$H$8:$H$68,$A1615+1)*IF($A1615&lt;$Q$1581,INDEX(Surface_Engine!$E$12:$E$72,$A1615+1),INDEX(Surface_Engine!$E$12:$E$72,$Q$1581+1))</f>
        <v>0.0271955182391378</v>
      </c>
      <c r="D1615" s="32" t="n">
        <f aca="false">INDEX(Surface_Engine!$V$12:$V$72,$A1615+1)*IF($A1615&lt;$Q$1581,INDEX(Surface_Engine!$Y$12:$Y$72,$A1615+1),INDEX(Surface_Engine!$Y$12:$Y$72,$Q$1581+1))</f>
        <v>0.00961449654494161</v>
      </c>
      <c r="E1615" s="32" t="n">
        <f aca="false">INDEX(Surface_Engine!$V$12:$V$72,$A1615+1)*IF($A1615&lt;$Q$1581,INDEX(Surface_Engine!$Z$12:$Z$72,$A1615+1),INDEX(Surface_Engine!$Z$12:$Z$72,$Q$1581+1))</f>
        <v>0.0111800987876157</v>
      </c>
      <c r="F1615" s="48" t="n">
        <f aca="false">B1615*(IF($A1615&lt;$Q$1581,INDEX(Surface_Engine!$D$12:$D$72,$A1615+1)+(Surface_Engine!L251*12)*INDEX(Surface_Engine!$F$12:$F$72,$A1615+1)-(Surface_Engine!L251*12),1000*12*INDEX(Surface_Engine!$C$12:$C$72,$A1615+1)/(1+Assumptions!$B$10)^10+INDEX(Surface_Engine!$D$12:$D$72,$A1615+1)))*INDEX(Surface_Engine!$B$12:$B$72,$A1615+1)+F1616</f>
        <v>176.392350342493</v>
      </c>
      <c r="G1615" s="48" t="n">
        <f aca="false">C1615*(IF($A1615&lt;$Q$1581,INDEX(Surface_Engine!$D$12:$D$72,$A1615+1)+(Surface_Engine!L251*12)*INDEX(Surface_Engine!$F$12:$F$72,$A1615+1)-(Surface_Engine!L251*12),1000*12*INDEX(Surface_Engine!$C$12:$C$72,$A1615+1)/(1+Assumptions!$B$10)^10+INDEX(Surface_Engine!$D$12:$D$72,$A1615+1)))*INDEX(Surface_Engine!$B$12:$B$72,$A1615+1)+G1616</f>
        <v>560.122172876243</v>
      </c>
      <c r="H1615" s="48" t="n">
        <f aca="false">D1615*(IF($A1615&lt;$Q$1581,INDEX(Surface_Engine!$D$12:$D$72,$A1615+1)+(Surface_Engine!L251*12)*INDEX(Surface_Engine!$F$12:$F$72,$A1615+1)-(Surface_Engine!L251*12),1000*12*INDEX(Surface_Engine!$C$12:$C$72,$A1615+1)/(1+Assumptions!$B$10)^10+INDEX(Surface_Engine!$D$12:$D$72,$A1615+1)))*INDEX(Surface_Engine!$B$12:$B$72,$A1615+1)+H1616</f>
        <v>163.509791899531</v>
      </c>
      <c r="I1615" s="48" t="n">
        <f aca="false">E1615*(IF($A1615&lt;$Q$1581,INDEX(Surface_Engine!$D$12:$D$72,$A1615+1)+(Surface_Engine!L251*12)*INDEX(Surface_Engine!$F$12:$F$72,$A1615+1)-(Surface_Engine!L251*12),1000*12*INDEX(Surface_Engine!$C$12:$C$72,$A1615+1)/(1+Assumptions!$B$10)^10+INDEX(Surface_Engine!$D$12:$D$72,$A1615+1)))*INDEX(Surface_Engine!$B$12:$B$72,$A1615+1)+I1616</f>
        <v>190.135345895051</v>
      </c>
      <c r="J1615" s="48" t="n">
        <f aca="false">B1615*(IF($A1615&lt;$Q$1581,INDEX(Surface_Engine!$D$12:$D$72,$A1615+1)*(1+Assumptions!$B$24)+(Surface_Engine!L251*12)*INDEX(Surface_Engine!$F$12:$F$72,$A1615+1)-(Surface_Engine!L251*12),1000*12*INDEX(Surface_Engine!$C$12:$C$72,$A1615+1)/(1+Assumptions!$B$10)^10+INDEX(Surface_Engine!$D$12:$D$72,$A1615+1)*(1+Assumptions!$B$24)))*INDEX(Surface_Engine!$B$12:$B$72,$A1615+1)+J1616</f>
        <v>176.563619652243</v>
      </c>
      <c r="K1615" s="12" t="n">
        <f aca="false">SQRT((IF(C1615&lt;=0,0,MAX(0,(B1615/C1615)*G1615/INDEX(Surface_Engine!$B$12:$B$72,$A1615+1)-F1615/INDEX(Surface_Engine!$B$12:$B$72,$A1615+1))))^2+(MAX(IF(D1615&lt;=0,0,MAX(0,(B1615/D1615)*H1615/INDEX(Surface_Engine!$B$12:$B$72,$A1615+1)-F1615/INDEX(Surface_Engine!$B$12:$B$72,$A1615+1))),IF(E1615&lt;=0,0,MAX(0,(B1615/E1615)*I1615/INDEX(Surface_Engine!$B$12:$B$72,$A1615+1)-F1615/INDEX(Surface_Engine!$B$12:$B$72,$A1615+1))),IF($A1615&lt;$Q$1581,MAX(0,-Assumptions!$B$22*(F1615/INDEX(Surface_Engine!$B$12:$B$72,$A1615+1))),0)))^2+(MAX(0,J1615/INDEX(Surface_Engine!$B$12:$B$72,$A1615+1)-(F1615/INDEX(Surface_Engine!$B$12:$B$72,$A1615+1))))^2+2*Assumptions!$B$26*(IF(C1615&lt;=0,0,MAX(0,(B1615/C1615)*G1615/INDEX(Surface_Engine!$B$12:$B$72,$A1615+1)-F1615/INDEX(Surface_Engine!$B$12:$B$72,$A1615+1))))*(MAX(IF(D1615&lt;=0,0,MAX(0,(B1615/D1615)*H1615/INDEX(Surface_Engine!$B$12:$B$72,$A1615+1)-F1615/INDEX(Surface_Engine!$B$12:$B$72,$A1615+1))),IF(E1615&lt;=0,0,MAX(0,(B1615/E1615)*I1615/INDEX(Surface_Engine!$B$12:$B$72,$A1615+1)-F1615/INDEX(Surface_Engine!$B$12:$B$72,$A1615+1))),IF($A1615&lt;$Q$1581,MAX(0,-Assumptions!$B$22*(F1615/INDEX(Surface_Engine!$B$12:$B$72,$A1615+1))),0)))+2*Assumptions!$B$27*(IF(C1615&lt;=0,0,MAX(0,(B1615/C1615)*G1615/INDEX(Surface_Engine!$B$12:$B$72,$A1615+1)-F1615/INDEX(Surface_Engine!$B$12:$B$72,$A1615+1))))*(MAX(0,J1615/INDEX(Surface_Engine!$B$12:$B$72,$A1615+1)-(F1615/INDEX(Surface_Engine!$B$12:$B$72,$A1615+1))))+2*Assumptions!$B$28*(MAX(IF(D1615&lt;=0,0,MAX(0,(B1615/D1615)*H1615/INDEX(Surface_Engine!$B$12:$B$72,$A1615+1)-F1615/INDEX(Surface_Engine!$B$12:$B$72,$A1615+1))),IF(E1615&lt;=0,0,MAX(0,(B1615/E1615)*I1615/INDEX(Surface_Engine!$B$12:$B$72,$A1615+1)-F1615/INDEX(Surface_Engine!$B$12:$B$72,$A1615+1))),IF($A1615&lt;$Q$1581,MAX(0,-Assumptions!$B$22*(F1615/INDEX(Surface_Engine!$B$12:$B$72,$A1615+1))),0)))*(MAX(0,J1615/INDEX(Surface_Engine!$B$12:$B$72,$A1615+1)-(F1615/INDEX(Surface_Engine!$B$12:$B$72,$A1615+1)))))</f>
        <v>101.71929264457</v>
      </c>
      <c r="L1615" s="48" t="n">
        <f aca="false">K1615*INDEX(Surface_Engine!$B$12:$B$72,$A1615+1)+L1616</f>
        <v>88.3758938408712</v>
      </c>
      <c r="M1615" s="48" t="n">
        <f aca="false">M1614+B1614*(IF($A1614&lt;$Q$1581,(Surface_Engine!L251*12)-(Surface_Engine!L251*12)*INDEX(Surface_Engine!$F$12:$F$72,$A1614+1)-INDEX(Surface_Engine!$D$12:$D$72,$A1614+1),-(1000*12*INDEX(Surface_Engine!$C$12:$C$72,$A1614+1)/(1+Assumptions!$B$10)^10+INDEX(Surface_Engine!$D$12:$D$72,$A1614+1))))*INDEX(Surface_Engine!$B$12:$B$72,$A1614+1)</f>
        <v>1942.24699750936</v>
      </c>
      <c r="N1615" s="12" t="n">
        <f aca="false">IF(B1615&lt;=0,0,MAX(0,(K1615+Assumptions!$B$29*L1615/INDEX(Surface_Engine!$B$12:$B$72,$A1615+1)-(M1615/INDEX(Surface_Engine!$B$12:$B$72,$A1615+1)-(F1615/INDEX(Surface_Engine!$B$12:$B$72,$A1615+1))))/B1615))</f>
        <v>0</v>
      </c>
    </row>
    <row r="1616" customFormat="false" ht="15" hidden="false" customHeight="true" outlineLevel="0" collapsed="false">
      <c r="A1616" s="1" t="n">
        <v>33</v>
      </c>
      <c r="B1616" s="32" t="n">
        <f aca="false">INDEX(Surface_Engine!$V$12:$V$72,$A1616+1)*IF($A1616&lt;$Q$1581,INDEX(Surface_Engine!$E$12:$E$72,$A1616+1),INDEX(Surface_Engine!$E$12:$E$72,$Q$1581+1))</f>
        <v>0.00658890823493014</v>
      </c>
      <c r="C1616" s="32" t="n">
        <f aca="false">INDEX(Panel_Reserving!$H$8:$H$68,$A1616+1)*IF($A1616&lt;$Q$1581,INDEX(Surface_Engine!$E$12:$E$72,$A1616+1),INDEX(Surface_Engine!$E$12:$E$72,$Q$1581+1))</f>
        <v>0.0192600651198503</v>
      </c>
      <c r="D1616" s="32" t="n">
        <f aca="false">INDEX(Surface_Engine!$V$12:$V$72,$A1616+1)*IF($A1616&lt;$Q$1581,INDEX(Surface_Engine!$Y$12:$Y$72,$A1616+1),INDEX(Surface_Engine!$Y$12:$Y$72,$Q$1581+1))</f>
        <v>0.00610769691682599</v>
      </c>
      <c r="E1616" s="32" t="n">
        <f aca="false">INDEX(Surface_Engine!$V$12:$V$72,$A1616+1)*IF($A1616&lt;$Q$1581,INDEX(Surface_Engine!$Z$12:$Z$72,$A1616+1),INDEX(Surface_Engine!$Z$12:$Z$72,$Q$1581+1))</f>
        <v>0.00710226006902636</v>
      </c>
      <c r="F1616" s="48" t="n">
        <f aca="false">B1616*(IF($A1616&lt;$Q$1581,INDEX(Surface_Engine!$D$12:$D$72,$A1616+1)+(Surface_Engine!L251*12)*INDEX(Surface_Engine!$F$12:$F$72,$A1616+1)-(Surface_Engine!L251*12),1000*12*INDEX(Surface_Engine!$C$12:$C$72,$A1616+1)/(1+Assumptions!$B$10)^10+INDEX(Surface_Engine!$D$12:$D$72,$A1616+1)))*INDEX(Surface_Engine!$B$12:$B$72,$A1616+1)+F1617</f>
        <v>105.195975700356</v>
      </c>
      <c r="G1616" s="48" t="n">
        <f aca="false">C1616*(IF($A1616&lt;$Q$1581,INDEX(Surface_Engine!$D$12:$D$72,$A1616+1)+(Surface_Engine!L251*12)*INDEX(Surface_Engine!$F$12:$F$72,$A1616+1)-(Surface_Engine!L251*12),1000*12*INDEX(Surface_Engine!$C$12:$C$72,$A1616+1)/(1+Assumptions!$B$10)^10+INDEX(Surface_Engine!$D$12:$D$72,$A1616+1)))*INDEX(Surface_Engine!$B$12:$B$72,$A1616+1)+G1617</f>
        <v>373.444366062186</v>
      </c>
      <c r="H1616" s="48" t="n">
        <f aca="false">D1616*(IF($A1616&lt;$Q$1581,INDEX(Surface_Engine!$D$12:$D$72,$A1616+1)+(Surface_Engine!L251*12)*INDEX(Surface_Engine!$F$12:$F$72,$A1616+1)-(Surface_Engine!L251*12),1000*12*INDEX(Surface_Engine!$C$12:$C$72,$A1616+1)/(1+Assumptions!$B$10)^10+INDEX(Surface_Engine!$D$12:$D$72,$A1616+1)))*INDEX(Surface_Engine!$B$12:$B$72,$A1616+1)+H1617</f>
        <v>97.5131408025108</v>
      </c>
      <c r="I1616" s="48" t="n">
        <f aca="false">E1616*(IF($A1616&lt;$Q$1581,INDEX(Surface_Engine!$D$12:$D$72,$A1616+1)+(Surface_Engine!L251*12)*INDEX(Surface_Engine!$F$12:$F$72,$A1616+1)-(Surface_Engine!L251*12),1000*12*INDEX(Surface_Engine!$C$12:$C$72,$A1616+1)/(1+Assumptions!$B$10)^10+INDEX(Surface_Engine!$D$12:$D$72,$A1616+1)))*INDEX(Surface_Engine!$B$12:$B$72,$A1616+1)+I1617</f>
        <v>113.391953719754</v>
      </c>
      <c r="J1616" s="48" t="n">
        <f aca="false">B1616*(IF($A1616&lt;$Q$1581,INDEX(Surface_Engine!$D$12:$D$72,$A1616+1)*(1+Assumptions!$B$24)+(Surface_Engine!L251*12)*INDEX(Surface_Engine!$F$12:$F$72,$A1616+1)-(Surface_Engine!L251*12),1000*12*INDEX(Surface_Engine!$C$12:$C$72,$A1616+1)/(1+Assumptions!$B$10)^10+INDEX(Surface_Engine!$D$12:$D$72,$A1616+1)*(1+Assumptions!$B$24)))*INDEX(Surface_Engine!$B$12:$B$72,$A1616+1)+J1617</f>
        <v>105.298563392499</v>
      </c>
      <c r="K1616" s="12" t="n">
        <f aca="false">SQRT((IF(C1616&lt;=0,0,MAX(0,(B1616/C1616)*G1616/INDEX(Surface_Engine!$B$12:$B$72,$A1616+1)-F1616/INDEX(Surface_Engine!$B$12:$B$72,$A1616+1))))^2+(MAX(IF(D1616&lt;=0,0,MAX(0,(B1616/D1616)*H1616/INDEX(Surface_Engine!$B$12:$B$72,$A1616+1)-F1616/INDEX(Surface_Engine!$B$12:$B$72,$A1616+1))),IF(E1616&lt;=0,0,MAX(0,(B1616/E1616)*I1616/INDEX(Surface_Engine!$B$12:$B$72,$A1616+1)-F1616/INDEX(Surface_Engine!$B$12:$B$72,$A1616+1))),IF($A1616&lt;$Q$1581,MAX(0,-Assumptions!$B$22*(F1616/INDEX(Surface_Engine!$B$12:$B$72,$A1616+1))),0)))^2+(MAX(0,J1616/INDEX(Surface_Engine!$B$12:$B$72,$A1616+1)-(F1616/INDEX(Surface_Engine!$B$12:$B$72,$A1616+1))))^2+2*Assumptions!$B$26*(IF(C1616&lt;=0,0,MAX(0,(B1616/C1616)*G1616/INDEX(Surface_Engine!$B$12:$B$72,$A1616+1)-F1616/INDEX(Surface_Engine!$B$12:$B$72,$A1616+1))))*(MAX(IF(D1616&lt;=0,0,MAX(0,(B1616/D1616)*H1616/INDEX(Surface_Engine!$B$12:$B$72,$A1616+1)-F1616/INDEX(Surface_Engine!$B$12:$B$72,$A1616+1))),IF(E1616&lt;=0,0,MAX(0,(B1616/E1616)*I1616/INDEX(Surface_Engine!$B$12:$B$72,$A1616+1)-F1616/INDEX(Surface_Engine!$B$12:$B$72,$A1616+1))),IF($A1616&lt;$Q$1581,MAX(0,-Assumptions!$B$22*(F1616/INDEX(Surface_Engine!$B$12:$B$72,$A1616+1))),0)))+2*Assumptions!$B$27*(IF(C1616&lt;=0,0,MAX(0,(B1616/C1616)*G1616/INDEX(Surface_Engine!$B$12:$B$72,$A1616+1)-F1616/INDEX(Surface_Engine!$B$12:$B$72,$A1616+1))))*(MAX(0,J1616/INDEX(Surface_Engine!$B$12:$B$72,$A1616+1)-(F1616/INDEX(Surface_Engine!$B$12:$B$72,$A1616+1))))+2*Assumptions!$B$28*(MAX(IF(D1616&lt;=0,0,MAX(0,(B1616/D1616)*H1616/INDEX(Surface_Engine!$B$12:$B$72,$A1616+1)-F1616/INDEX(Surface_Engine!$B$12:$B$72,$A1616+1))),IF(E1616&lt;=0,0,MAX(0,(B1616/E1616)*I1616/INDEX(Surface_Engine!$B$12:$B$72,$A1616+1)-F1616/INDEX(Surface_Engine!$B$12:$B$72,$A1616+1))),IF($A1616&lt;$Q$1581,MAX(0,-Assumptions!$B$22*(F1616/INDEX(Surface_Engine!$B$12:$B$72,$A1616+1))),0)))*(MAX(0,J1616/INDEX(Surface_Engine!$B$12:$B$72,$A1616+1)-(F1616/INDEX(Surface_Engine!$B$12:$B$72,$A1616+1)))))</f>
        <v>63.6416311066171</v>
      </c>
      <c r="L1616" s="48" t="n">
        <f aca="false">K1616*INDEX(Surface_Engine!$B$12:$B$72,$A1616+1)+L1617</f>
        <v>51.1020850675844</v>
      </c>
      <c r="M1616" s="48" t="n">
        <f aca="false">M1615+B1615*(IF($A1615&lt;$Q$1581,(Surface_Engine!L251*12)-(Surface_Engine!L251*12)*INDEX(Surface_Engine!$F$12:$F$72,$A1615+1)-INDEX(Surface_Engine!$D$12:$D$72,$A1615+1),-(1000*12*INDEX(Surface_Engine!$C$12:$C$72,$A1615+1)/(1+Assumptions!$B$10)^10+INDEX(Surface_Engine!$D$12:$D$72,$A1615+1))))*INDEX(Surface_Engine!$B$12:$B$72,$A1615+1)</f>
        <v>1871.05062286722</v>
      </c>
      <c r="N1616" s="12" t="n">
        <f aca="false">IF(B1616&lt;=0,0,MAX(0,(K1616+Assumptions!$B$29*L1616/INDEX(Surface_Engine!$B$12:$B$72,$A1616+1)-(M1616/INDEX(Surface_Engine!$B$12:$B$72,$A1616+1)-(F1616/INDEX(Surface_Engine!$B$12:$B$72,$A1616+1))))/B1616))</f>
        <v>0</v>
      </c>
    </row>
    <row r="1617" customFormat="false" ht="15" hidden="false" customHeight="true" outlineLevel="0" collapsed="false">
      <c r="A1617" s="1" t="n">
        <v>34</v>
      </c>
      <c r="B1617" s="32" t="n">
        <f aca="false">INDEX(Surface_Engine!$V$12:$V$72,$A1617+1)*IF($A1617&lt;$Q$1581,INDEX(Surface_Engine!$E$12:$E$72,$A1617+1),INDEX(Surface_Engine!$E$12:$E$72,$Q$1581+1))</f>
        <v>0.00402829121646459</v>
      </c>
      <c r="C1617" s="32" t="n">
        <f aca="false">INDEX(Panel_Reserving!$H$8:$H$68,$A1617+1)*IF($A1617&lt;$Q$1581,INDEX(Surface_Engine!$E$12:$E$72,$A1617+1),INDEX(Surface_Engine!$E$12:$E$72,$Q$1581+1))</f>
        <v>0.0132721048977069</v>
      </c>
      <c r="D1617" s="32" t="n">
        <f aca="false">INDEX(Surface_Engine!$V$12:$V$72,$A1617+1)*IF($A1617&lt;$Q$1581,INDEX(Surface_Engine!$Y$12:$Y$72,$A1617+1),INDEX(Surface_Engine!$Y$12:$Y$72,$Q$1581+1))</f>
        <v>0.003734090833508</v>
      </c>
      <c r="E1617" s="32" t="n">
        <f aca="false">INDEX(Surface_Engine!$V$12:$V$72,$A1617+1)*IF($A1617&lt;$Q$1581,INDEX(Surface_Engine!$Z$12:$Z$72,$A1617+1),INDEX(Surface_Engine!$Z$12:$Z$72,$Q$1581+1))</f>
        <v>0.00434214149491937</v>
      </c>
      <c r="F1617" s="48" t="n">
        <f aca="false">B1617*(IF($A1617&lt;$Q$1581,INDEX(Surface_Engine!$D$12:$D$72,$A1617+1)+(Surface_Engine!L251*12)*INDEX(Surface_Engine!$F$12:$F$72,$A1617+1)-(Surface_Engine!L251*12),1000*12*INDEX(Surface_Engine!$C$12:$C$72,$A1617+1)/(1+Assumptions!$B$10)^10+INDEX(Surface_Engine!$D$12:$D$72,$A1617+1)))*INDEX(Surface_Engine!$B$12:$B$72,$A1617+1)+F1618</f>
        <v>60.5145776808879</v>
      </c>
      <c r="G1617" s="48" t="n">
        <f aca="false">C1617*(IF($A1617&lt;$Q$1581,INDEX(Surface_Engine!$D$12:$D$72,$A1617+1)+(Surface_Engine!L251*12)*INDEX(Surface_Engine!$F$12:$F$72,$A1617+1)-(Surface_Engine!L251*12),1000*12*INDEX(Surface_Engine!$C$12:$C$72,$A1617+1)/(1+Assumptions!$B$10)^10+INDEX(Surface_Engine!$D$12:$D$72,$A1617+1)))*INDEX(Surface_Engine!$B$12:$B$72,$A1617+1)+G1618</f>
        <v>242.835985308189</v>
      </c>
      <c r="H1617" s="48" t="n">
        <f aca="false">D1617*(IF($A1617&lt;$Q$1581,INDEX(Surface_Engine!$D$12:$D$72,$A1617+1)+(Surface_Engine!L251*12)*INDEX(Surface_Engine!$F$12:$F$72,$A1617+1)-(Surface_Engine!L251*12),1000*12*INDEX(Surface_Engine!$C$12:$C$72,$A1617+1)/(1+Assumptions!$B$10)^10+INDEX(Surface_Engine!$D$12:$D$72,$A1617+1)))*INDEX(Surface_Engine!$B$12:$B$72,$A1617+1)+H1618</f>
        <v>56.0949836218967</v>
      </c>
      <c r="I1617" s="48" t="n">
        <f aca="false">E1617*(IF($A1617&lt;$Q$1581,INDEX(Surface_Engine!$D$12:$D$72,$A1617+1)+(Surface_Engine!L251*12)*INDEX(Surface_Engine!$F$12:$F$72,$A1617+1)-(Surface_Engine!L251*12),1000*12*INDEX(Surface_Engine!$C$12:$C$72,$A1617+1)/(1+Assumptions!$B$10)^10+INDEX(Surface_Engine!$D$12:$D$72,$A1617+1)))*INDEX(Surface_Engine!$B$12:$B$72,$A1617+1)+I1618</f>
        <v>65.2293602115285</v>
      </c>
      <c r="J1617" s="48" t="n">
        <f aca="false">B1617*(IF($A1617&lt;$Q$1581,INDEX(Surface_Engine!$D$12:$D$72,$A1617+1)*(1+Assumptions!$B$24)+(Surface_Engine!L251*12)*INDEX(Surface_Engine!$F$12:$F$72,$A1617+1)-(Surface_Engine!L251*12),1000*12*INDEX(Surface_Engine!$C$12:$C$72,$A1617+1)/(1+Assumptions!$B$10)^10+INDEX(Surface_Engine!$D$12:$D$72,$A1617+1)*(1+Assumptions!$B$24)))*INDEX(Surface_Engine!$B$12:$B$72,$A1617+1)+J1618</f>
        <v>60.5738529434572</v>
      </c>
      <c r="K1617" s="12" t="n">
        <f aca="false">SQRT((IF(C1617&lt;=0,0,MAX(0,(B1617/C1617)*G1617/INDEX(Surface_Engine!$B$12:$B$72,$A1617+1)-F1617/INDEX(Surface_Engine!$B$12:$B$72,$A1617+1))))^2+(MAX(IF(D1617&lt;=0,0,MAX(0,(B1617/D1617)*H1617/INDEX(Surface_Engine!$B$12:$B$72,$A1617+1)-F1617/INDEX(Surface_Engine!$B$12:$B$72,$A1617+1))),IF(E1617&lt;=0,0,MAX(0,(B1617/E1617)*I1617/INDEX(Surface_Engine!$B$12:$B$72,$A1617+1)-F1617/INDEX(Surface_Engine!$B$12:$B$72,$A1617+1))),IF($A1617&lt;$Q$1581,MAX(0,-Assumptions!$B$22*(F1617/INDEX(Surface_Engine!$B$12:$B$72,$A1617+1))),0)))^2+(MAX(0,J1617/INDEX(Surface_Engine!$B$12:$B$72,$A1617+1)-(F1617/INDEX(Surface_Engine!$B$12:$B$72,$A1617+1))))^2+2*Assumptions!$B$26*(IF(C1617&lt;=0,0,MAX(0,(B1617/C1617)*G1617/INDEX(Surface_Engine!$B$12:$B$72,$A1617+1)-F1617/INDEX(Surface_Engine!$B$12:$B$72,$A1617+1))))*(MAX(IF(D1617&lt;=0,0,MAX(0,(B1617/D1617)*H1617/INDEX(Surface_Engine!$B$12:$B$72,$A1617+1)-F1617/INDEX(Surface_Engine!$B$12:$B$72,$A1617+1))),IF(E1617&lt;=0,0,MAX(0,(B1617/E1617)*I1617/INDEX(Surface_Engine!$B$12:$B$72,$A1617+1)-F1617/INDEX(Surface_Engine!$B$12:$B$72,$A1617+1))),IF($A1617&lt;$Q$1581,MAX(0,-Assumptions!$B$22*(F1617/INDEX(Surface_Engine!$B$12:$B$72,$A1617+1))),0)))+2*Assumptions!$B$27*(IF(C1617&lt;=0,0,MAX(0,(B1617/C1617)*G1617/INDEX(Surface_Engine!$B$12:$B$72,$A1617+1)-F1617/INDEX(Surface_Engine!$B$12:$B$72,$A1617+1))))*(MAX(0,J1617/INDEX(Surface_Engine!$B$12:$B$72,$A1617+1)-(F1617/INDEX(Surface_Engine!$B$12:$B$72,$A1617+1))))+2*Assumptions!$B$28*(MAX(IF(D1617&lt;=0,0,MAX(0,(B1617/D1617)*H1617/INDEX(Surface_Engine!$B$12:$B$72,$A1617+1)-F1617/INDEX(Surface_Engine!$B$12:$B$72,$A1617+1))),IF(E1617&lt;=0,0,MAX(0,(B1617/E1617)*I1617/INDEX(Surface_Engine!$B$12:$B$72,$A1617+1)-F1617/INDEX(Surface_Engine!$B$12:$B$72,$A1617+1))),IF($A1617&lt;$Q$1581,MAX(0,-Assumptions!$B$22*(F1617/INDEX(Surface_Engine!$B$12:$B$72,$A1617+1))),0)))*(MAX(0,J1617/INDEX(Surface_Engine!$B$12:$B$72,$A1617+1)-(F1617/INDEX(Surface_Engine!$B$12:$B$72,$A1617+1)))))</f>
        <v>38.4199181574217</v>
      </c>
      <c r="L1617" s="48" t="n">
        <f aca="false">K1617*INDEX(Surface_Engine!$B$12:$B$72,$A1617+1)+L1618</f>
        <v>28.5161030364207</v>
      </c>
      <c r="M1617" s="48" t="n">
        <f aca="false">M1616+B1616*(IF($A1616&lt;$Q$1581,(Surface_Engine!L251*12)-(Surface_Engine!L251*12)*INDEX(Surface_Engine!$F$12:$F$72,$A1616+1)-INDEX(Surface_Engine!$D$12:$D$72,$A1616+1),-(1000*12*INDEX(Surface_Engine!$C$12:$C$72,$A1616+1)/(1+Assumptions!$B$10)^10+INDEX(Surface_Engine!$D$12:$D$72,$A1616+1))))*INDEX(Surface_Engine!$B$12:$B$72,$A1616+1)</f>
        <v>1826.36922484775</v>
      </c>
      <c r="N1617" s="12" t="n">
        <f aca="false">IF(B1617&lt;=0,0,MAX(0,(K1617+Assumptions!$B$29*L1617/INDEX(Surface_Engine!$B$12:$B$72,$A1617+1)-(M1617/INDEX(Surface_Engine!$B$12:$B$72,$A1617+1)-(F1617/INDEX(Surface_Engine!$B$12:$B$72,$A1617+1))))/B1617))</f>
        <v>0</v>
      </c>
    </row>
    <row r="1618" customFormat="false" ht="15" hidden="false" customHeight="true" outlineLevel="0" collapsed="false">
      <c r="A1618" s="1" t="n">
        <v>35</v>
      </c>
      <c r="B1618" s="32" t="n">
        <f aca="false">INDEX(Surface_Engine!$V$12:$V$72,$A1618+1)*IF($A1618&lt;$Q$1581,INDEX(Surface_Engine!$E$12:$E$72,$A1618+1),INDEX(Surface_Engine!$E$12:$E$72,$Q$1581+1))</f>
        <v>0.0023610310872518</v>
      </c>
      <c r="C1618" s="32" t="n">
        <f aca="false">INDEX(Panel_Reserving!$H$8:$H$68,$A1618+1)*IF($A1618&lt;$Q$1581,INDEX(Surface_Engine!$E$12:$E$72,$A1618+1),INDEX(Surface_Engine!$E$12:$E$72,$Q$1581+1))</f>
        <v>0.00887757627252033</v>
      </c>
      <c r="D1618" s="32" t="n">
        <f aca="false">INDEX(Surface_Engine!$V$12:$V$72,$A1618+1)*IF($A1618&lt;$Q$1581,INDEX(Surface_Engine!$Y$12:$Y$72,$A1618+1),INDEX(Surface_Engine!$Y$12:$Y$72,$Q$1581+1))</f>
        <v>0.00218859661995141</v>
      </c>
      <c r="E1618" s="32" t="n">
        <f aca="false">INDEX(Surface_Engine!$V$12:$V$72,$A1618+1)*IF($A1618&lt;$Q$1581,INDEX(Surface_Engine!$Z$12:$Z$72,$A1618+1),INDEX(Surface_Engine!$Z$12:$Z$72,$Q$1581+1))</f>
        <v>0.00254498260027689</v>
      </c>
      <c r="F1618" s="48" t="n">
        <f aca="false">B1618*(IF($A1618&lt;$Q$1581,INDEX(Surface_Engine!$D$12:$D$72,$A1618+1)+(Surface_Engine!L251*12)*INDEX(Surface_Engine!$F$12:$F$72,$A1618+1)-(Surface_Engine!L251*12),1000*12*INDEX(Surface_Engine!$C$12:$C$72,$A1618+1)/(1+Assumptions!$B$10)^10+INDEX(Surface_Engine!$D$12:$D$72,$A1618+1)))*INDEX(Surface_Engine!$B$12:$B$72,$A1618+1)+F1619</f>
        <v>33.5287733602325</v>
      </c>
      <c r="G1618" s="48" t="n">
        <f aca="false">C1618*(IF($A1618&lt;$Q$1581,INDEX(Surface_Engine!$D$12:$D$72,$A1618+1)+(Surface_Engine!L251*12)*INDEX(Surface_Engine!$F$12:$F$72,$A1618+1)-(Surface_Engine!L251*12),1000*12*INDEX(Surface_Engine!$C$12:$C$72,$A1618+1)/(1+Assumptions!$B$10)^10+INDEX(Surface_Engine!$D$12:$D$72,$A1618+1)))*INDEX(Surface_Engine!$B$12:$B$72,$A1618+1)+G1619</f>
        <v>153.925227260496</v>
      </c>
      <c r="H1618" s="48" t="n">
        <f aca="false">D1618*(IF($A1618&lt;$Q$1581,INDEX(Surface_Engine!$D$12:$D$72,$A1618+1)+(Surface_Engine!L251*12)*INDEX(Surface_Engine!$F$12:$F$72,$A1618+1)-(Surface_Engine!L251*12),1000*12*INDEX(Surface_Engine!$C$12:$C$72,$A1618+1)/(1+Assumptions!$B$10)^10+INDEX(Surface_Engine!$D$12:$D$72,$A1618+1)))*INDEX(Surface_Engine!$B$12:$B$72,$A1618+1)+H1619</f>
        <v>31.0800482228025</v>
      </c>
      <c r="I1618" s="48" t="n">
        <f aca="false">E1618*(IF($A1618&lt;$Q$1581,INDEX(Surface_Engine!$D$12:$D$72,$A1618+1)+(Surface_Engine!L251*12)*INDEX(Surface_Engine!$F$12:$F$72,$A1618+1)-(Surface_Engine!L251*12),1000*12*INDEX(Surface_Engine!$C$12:$C$72,$A1618+1)/(1+Assumptions!$B$10)^10+INDEX(Surface_Engine!$D$12:$D$72,$A1618+1)))*INDEX(Surface_Engine!$B$12:$B$72,$A1618+1)+I1619</f>
        <v>36.1410509464075</v>
      </c>
      <c r="J1618" s="48" t="n">
        <f aca="false">B1618*(IF($A1618&lt;$Q$1581,INDEX(Surface_Engine!$D$12:$D$72,$A1618+1)*(1+Assumptions!$B$24)+(Surface_Engine!L251*12)*INDEX(Surface_Engine!$F$12:$F$72,$A1618+1)-(Surface_Engine!L251*12),1000*12*INDEX(Surface_Engine!$C$12:$C$72,$A1618+1)/(1+Assumptions!$B$10)^10+INDEX(Surface_Engine!$D$12:$D$72,$A1618+1)*(1+Assumptions!$B$24)))*INDEX(Surface_Engine!$B$12:$B$72,$A1618+1)+J1619</f>
        <v>33.5617626401474</v>
      </c>
      <c r="K1618" s="12" t="n">
        <f aca="false">SQRT((IF(C1618&lt;=0,0,MAX(0,(B1618/C1618)*G1618/INDEX(Surface_Engine!$B$12:$B$72,$A1618+1)-F1618/INDEX(Surface_Engine!$B$12:$B$72,$A1618+1))))^2+(MAX(IF(D1618&lt;=0,0,MAX(0,(B1618/D1618)*H1618/INDEX(Surface_Engine!$B$12:$B$72,$A1618+1)-F1618/INDEX(Surface_Engine!$B$12:$B$72,$A1618+1))),IF(E1618&lt;=0,0,MAX(0,(B1618/E1618)*I1618/INDEX(Surface_Engine!$B$12:$B$72,$A1618+1)-F1618/INDEX(Surface_Engine!$B$12:$B$72,$A1618+1))),IF($A1618&lt;$Q$1581,MAX(0,-Assumptions!$B$22*(F1618/INDEX(Surface_Engine!$B$12:$B$72,$A1618+1))),0)))^2+(MAX(0,J1618/INDEX(Surface_Engine!$B$12:$B$72,$A1618+1)-(F1618/INDEX(Surface_Engine!$B$12:$B$72,$A1618+1))))^2+2*Assumptions!$B$26*(IF(C1618&lt;=0,0,MAX(0,(B1618/C1618)*G1618/INDEX(Surface_Engine!$B$12:$B$72,$A1618+1)-F1618/INDEX(Surface_Engine!$B$12:$B$72,$A1618+1))))*(MAX(IF(D1618&lt;=0,0,MAX(0,(B1618/D1618)*H1618/INDEX(Surface_Engine!$B$12:$B$72,$A1618+1)-F1618/INDEX(Surface_Engine!$B$12:$B$72,$A1618+1))),IF(E1618&lt;=0,0,MAX(0,(B1618/E1618)*I1618/INDEX(Surface_Engine!$B$12:$B$72,$A1618+1)-F1618/INDEX(Surface_Engine!$B$12:$B$72,$A1618+1))),IF($A1618&lt;$Q$1581,MAX(0,-Assumptions!$B$22*(F1618/INDEX(Surface_Engine!$B$12:$B$72,$A1618+1))),0)))+2*Assumptions!$B$27*(IF(C1618&lt;=0,0,MAX(0,(B1618/C1618)*G1618/INDEX(Surface_Engine!$B$12:$B$72,$A1618+1)-F1618/INDEX(Surface_Engine!$B$12:$B$72,$A1618+1))))*(MAX(0,J1618/INDEX(Surface_Engine!$B$12:$B$72,$A1618+1)-(F1618/INDEX(Surface_Engine!$B$12:$B$72,$A1618+1))))+2*Assumptions!$B$28*(MAX(IF(D1618&lt;=0,0,MAX(0,(B1618/D1618)*H1618/INDEX(Surface_Engine!$B$12:$B$72,$A1618+1)-F1618/INDEX(Surface_Engine!$B$12:$B$72,$A1618+1))),IF(E1618&lt;=0,0,MAX(0,(B1618/E1618)*I1618/INDEX(Surface_Engine!$B$12:$B$72,$A1618+1)-F1618/INDEX(Surface_Engine!$B$12:$B$72,$A1618+1))),IF($A1618&lt;$Q$1581,MAX(0,-Assumptions!$B$22*(F1618/INDEX(Surface_Engine!$B$12:$B$72,$A1618+1))),0)))*(MAX(0,J1618/INDEX(Surface_Engine!$B$12:$B$72,$A1618+1)-(F1618/INDEX(Surface_Engine!$B$12:$B$72,$A1618+1)))))</f>
        <v>22.2825980897068</v>
      </c>
      <c r="L1618" s="48" t="n">
        <f aca="false">K1618*INDEX(Surface_Engine!$B$12:$B$72,$A1618+1)+L1619</f>
        <v>15.3112212610195</v>
      </c>
      <c r="M1618" s="48" t="n">
        <f aca="false">M1617+B1617*(IF($A1617&lt;$Q$1581,(Surface_Engine!L251*12)-(Surface_Engine!L251*12)*INDEX(Surface_Engine!$F$12:$F$72,$A1617+1)-INDEX(Surface_Engine!$D$12:$D$72,$A1617+1),-(1000*12*INDEX(Surface_Engine!$C$12:$C$72,$A1617+1)/(1+Assumptions!$B$10)^10+INDEX(Surface_Engine!$D$12:$D$72,$A1617+1))))*INDEX(Surface_Engine!$B$12:$B$72,$A1617+1)</f>
        <v>1799.3834205271</v>
      </c>
      <c r="N1618" s="12" t="n">
        <f aca="false">IF(B1618&lt;=0,0,MAX(0,(K1618+Assumptions!$B$29*L1618/INDEX(Surface_Engine!$B$12:$B$72,$A1618+1)-(M1618/INDEX(Surface_Engine!$B$12:$B$72,$A1618+1)-(F1618/INDEX(Surface_Engine!$B$12:$B$72,$A1618+1))))/B1618))</f>
        <v>0</v>
      </c>
    </row>
    <row r="1619" customFormat="false" ht="15" hidden="false" customHeight="true" outlineLevel="0" collapsed="false">
      <c r="A1619" s="1" t="n">
        <v>36</v>
      </c>
      <c r="B1619" s="32" t="n">
        <f aca="false">INDEX(Surface_Engine!$V$12:$V$72,$A1619+1)*IF($A1619&lt;$Q$1581,INDEX(Surface_Engine!$E$12:$E$72,$A1619+1),INDEX(Surface_Engine!$E$12:$E$72,$Q$1581+1))</f>
        <v>0.0013207822713373</v>
      </c>
      <c r="C1619" s="32" t="n">
        <f aca="false">INDEX(Panel_Reserving!$H$8:$H$68,$A1619+1)*IF($A1619&lt;$Q$1581,INDEX(Surface_Engine!$E$12:$E$72,$A1619+1),INDEX(Surface_Engine!$E$12:$E$72,$Q$1581+1))</f>
        <v>0.0057484728039407</v>
      </c>
      <c r="D1619" s="32" t="n">
        <f aca="false">INDEX(Surface_Engine!$V$12:$V$72,$A1619+1)*IF($A1619&lt;$Q$1581,INDEX(Surface_Engine!$Y$12:$Y$72,$A1619+1),INDEX(Surface_Engine!$Y$12:$Y$72,$Q$1581+1))</f>
        <v>0.00122432086148651</v>
      </c>
      <c r="E1619" s="32" t="n">
        <f aca="false">INDEX(Surface_Engine!$V$12:$V$72,$A1619+1)*IF($A1619&lt;$Q$1581,INDEX(Surface_Engine!$Z$12:$Z$72,$A1619+1),INDEX(Surface_Engine!$Z$12:$Z$72,$Q$1581+1))</f>
        <v>0.00142368642135085</v>
      </c>
      <c r="F1619" s="48" t="n">
        <f aca="false">B1619*(IF($A1619&lt;$Q$1581,INDEX(Surface_Engine!$D$12:$D$72,$A1619+1)+(Surface_Engine!L251*12)*INDEX(Surface_Engine!$F$12:$F$72,$A1619+1)-(Surface_Engine!L251*12),1000*12*INDEX(Surface_Engine!$C$12:$C$72,$A1619+1)/(1+Assumptions!$B$10)^10+INDEX(Surface_Engine!$D$12:$D$72,$A1619+1)))*INDEX(Surface_Engine!$B$12:$B$72,$A1619+1)+F1620</f>
        <v>17.9044687451683</v>
      </c>
      <c r="G1619" s="48" t="n">
        <f aca="false">C1619*(IF($A1619&lt;$Q$1581,INDEX(Surface_Engine!$D$12:$D$72,$A1619+1)+(Surface_Engine!L251*12)*INDEX(Surface_Engine!$F$12:$F$72,$A1619+1)-(Surface_Engine!L251*12),1000*12*INDEX(Surface_Engine!$C$12:$C$72,$A1619+1)/(1+Assumptions!$B$10)^10+INDEX(Surface_Engine!$D$12:$D$72,$A1619+1)))*INDEX(Surface_Engine!$B$12:$B$72,$A1619+1)+G1620</f>
        <v>95.1771842235973</v>
      </c>
      <c r="H1619" s="48" t="n">
        <f aca="false">D1619*(IF($A1619&lt;$Q$1581,INDEX(Surface_Engine!$D$12:$D$72,$A1619+1)+(Surface_Engine!L251*12)*INDEX(Surface_Engine!$F$12:$F$72,$A1619+1)-(Surface_Engine!L251*12),1000*12*INDEX(Surface_Engine!$C$12:$C$72,$A1619+1)/(1+Assumptions!$B$10)^10+INDEX(Surface_Engine!$D$12:$D$72,$A1619+1)))*INDEX(Surface_Engine!$B$12:$B$72,$A1619+1)+H1620</f>
        <v>16.5968419430312</v>
      </c>
      <c r="I1619" s="48" t="n">
        <f aca="false">E1619*(IF($A1619&lt;$Q$1581,INDEX(Surface_Engine!$D$12:$D$72,$A1619+1)+(Surface_Engine!L251*12)*INDEX(Surface_Engine!$F$12:$F$72,$A1619+1)-(Surface_Engine!L251*12),1000*12*INDEX(Surface_Engine!$C$12:$C$72,$A1619+1)/(1+Assumptions!$B$10)^10+INDEX(Surface_Engine!$D$12:$D$72,$A1619+1)))*INDEX(Surface_Engine!$B$12:$B$72,$A1619+1)+I1620</f>
        <v>19.2994330611265</v>
      </c>
      <c r="J1619" s="48" t="n">
        <f aca="false">B1619*(IF($A1619&lt;$Q$1581,INDEX(Surface_Engine!$D$12:$D$72,$A1619+1)*(1+Assumptions!$B$24)+(Surface_Engine!L251*12)*INDEX(Surface_Engine!$F$12:$F$72,$A1619+1)-(Surface_Engine!L251*12),1000*12*INDEX(Surface_Engine!$C$12:$C$72,$A1619+1)/(1+Assumptions!$B$10)^10+INDEX(Surface_Engine!$D$12:$D$72,$A1619+1)*(1+Assumptions!$B$24)))*INDEX(Surface_Engine!$B$12:$B$72,$A1619+1)+J1620</f>
        <v>17.9221650315519</v>
      </c>
      <c r="K1619" s="12" t="n">
        <f aca="false">SQRT((IF(C1619&lt;=0,0,MAX(0,(B1619/C1619)*G1619/INDEX(Surface_Engine!$B$12:$B$72,$A1619+1)-F1619/INDEX(Surface_Engine!$B$12:$B$72,$A1619+1))))^2+(MAX(IF(D1619&lt;=0,0,MAX(0,(B1619/D1619)*H1619/INDEX(Surface_Engine!$B$12:$B$72,$A1619+1)-F1619/INDEX(Surface_Engine!$B$12:$B$72,$A1619+1))),IF(E1619&lt;=0,0,MAX(0,(B1619/E1619)*I1619/INDEX(Surface_Engine!$B$12:$B$72,$A1619+1)-F1619/INDEX(Surface_Engine!$B$12:$B$72,$A1619+1))),IF($A1619&lt;$Q$1581,MAX(0,-Assumptions!$B$22*(F1619/INDEX(Surface_Engine!$B$12:$B$72,$A1619+1))),0)))^2+(MAX(0,J1619/INDEX(Surface_Engine!$B$12:$B$72,$A1619+1)-(F1619/INDEX(Surface_Engine!$B$12:$B$72,$A1619+1))))^2+2*Assumptions!$B$26*(IF(C1619&lt;=0,0,MAX(0,(B1619/C1619)*G1619/INDEX(Surface_Engine!$B$12:$B$72,$A1619+1)-F1619/INDEX(Surface_Engine!$B$12:$B$72,$A1619+1))))*(MAX(IF(D1619&lt;=0,0,MAX(0,(B1619/D1619)*H1619/INDEX(Surface_Engine!$B$12:$B$72,$A1619+1)-F1619/INDEX(Surface_Engine!$B$12:$B$72,$A1619+1))),IF(E1619&lt;=0,0,MAX(0,(B1619/E1619)*I1619/INDEX(Surface_Engine!$B$12:$B$72,$A1619+1)-F1619/INDEX(Surface_Engine!$B$12:$B$72,$A1619+1))),IF($A1619&lt;$Q$1581,MAX(0,-Assumptions!$B$22*(F1619/INDEX(Surface_Engine!$B$12:$B$72,$A1619+1))),0)))+2*Assumptions!$B$27*(IF(C1619&lt;=0,0,MAX(0,(B1619/C1619)*G1619/INDEX(Surface_Engine!$B$12:$B$72,$A1619+1)-F1619/INDEX(Surface_Engine!$B$12:$B$72,$A1619+1))))*(MAX(0,J1619/INDEX(Surface_Engine!$B$12:$B$72,$A1619+1)-(F1619/INDEX(Surface_Engine!$B$12:$B$72,$A1619+1))))+2*Assumptions!$B$28*(MAX(IF(D1619&lt;=0,0,MAX(0,(B1619/D1619)*H1619/INDEX(Surface_Engine!$B$12:$B$72,$A1619+1)-F1619/INDEX(Surface_Engine!$B$12:$B$72,$A1619+1))),IF(E1619&lt;=0,0,MAX(0,(B1619/E1619)*I1619/INDEX(Surface_Engine!$B$12:$B$72,$A1619+1)-F1619/INDEX(Surface_Engine!$B$12:$B$72,$A1619+1))),IF($A1619&lt;$Q$1581,MAX(0,-Assumptions!$B$22*(F1619/INDEX(Surface_Engine!$B$12:$B$72,$A1619+1))),0)))*(MAX(0,J1619/INDEX(Surface_Engine!$B$12:$B$72,$A1619+1)-(F1619/INDEX(Surface_Engine!$B$12:$B$72,$A1619+1)))))</f>
        <v>12.3067928571755</v>
      </c>
      <c r="L1619" s="48" t="n">
        <f aca="false">K1619*INDEX(Surface_Engine!$B$12:$B$72,$A1619+1)+L1620</f>
        <v>7.89457637252406</v>
      </c>
      <c r="M1619" s="48" t="n">
        <f aca="false">M1618+B1618*(IF($A1618&lt;$Q$1581,(Surface_Engine!L251*12)-(Surface_Engine!L251*12)*INDEX(Surface_Engine!$F$12:$F$72,$A1618+1)-INDEX(Surface_Engine!$D$12:$D$72,$A1618+1),-(1000*12*INDEX(Surface_Engine!$C$12:$C$72,$A1618+1)/(1+Assumptions!$B$10)^10+INDEX(Surface_Engine!$D$12:$D$72,$A1618+1))))*INDEX(Surface_Engine!$B$12:$B$72,$A1618+1)</f>
        <v>1783.75911591203</v>
      </c>
      <c r="N1619" s="12" t="n">
        <f aca="false">IF(B1619&lt;=0,0,MAX(0,(K1619+Assumptions!$B$29*L1619/INDEX(Surface_Engine!$B$12:$B$72,$A1619+1)-(M1619/INDEX(Surface_Engine!$B$12:$B$72,$A1619+1)-(F1619/INDEX(Surface_Engine!$B$12:$B$72,$A1619+1))))/B1619))</f>
        <v>0</v>
      </c>
    </row>
    <row r="1620" customFormat="false" ht="15" hidden="false" customHeight="true" outlineLevel="0" collapsed="false">
      <c r="A1620" s="1" t="n">
        <v>37</v>
      </c>
      <c r="B1620" s="32" t="n">
        <f aca="false">INDEX(Surface_Engine!$V$12:$V$72,$A1620+1)*IF($A1620&lt;$Q$1581,INDEX(Surface_Engine!$E$12:$E$72,$A1620+1),INDEX(Surface_Engine!$E$12:$E$72,$Q$1581+1))</f>
        <v>0.00071554946144343</v>
      </c>
      <c r="C1620" s="32" t="n">
        <f aca="false">INDEX(Panel_Reserving!$H$8:$H$68,$A1620+1)*IF($A1620&lt;$Q$1581,INDEX(Surface_Engine!$E$12:$E$72,$A1620+1),INDEX(Surface_Engine!$E$12:$E$72,$Q$1581+1))</f>
        <v>0.00364113722063985</v>
      </c>
      <c r="D1620" s="32" t="n">
        <f aca="false">INDEX(Surface_Engine!$V$12:$V$72,$A1620+1)*IF($A1620&lt;$Q$1581,INDEX(Surface_Engine!$Y$12:$Y$72,$A1620+1),INDEX(Surface_Engine!$Y$12:$Y$72,$Q$1581+1))</f>
        <v>0.000663290348517181</v>
      </c>
      <c r="E1620" s="32" t="n">
        <f aca="false">INDEX(Surface_Engine!$V$12:$V$72,$A1620+1)*IF($A1620&lt;$Q$1581,INDEX(Surface_Engine!$Z$12:$Z$72,$A1620+1),INDEX(Surface_Engine!$Z$12:$Z$72,$Q$1581+1))</f>
        <v>0.00077129900527092</v>
      </c>
      <c r="F1620" s="48" t="n">
        <f aca="false">B1620*(IF($A1620&lt;$Q$1581,INDEX(Surface_Engine!$D$12:$D$72,$A1620+1)+(Surface_Engine!L251*12)*INDEX(Surface_Engine!$F$12:$F$72,$A1620+1)-(Surface_Engine!L251*12),1000*12*INDEX(Surface_Engine!$C$12:$C$72,$A1620+1)/(1+Assumptions!$B$10)^10+INDEX(Surface_Engine!$D$12:$D$72,$A1620+1)))*INDEX(Surface_Engine!$B$12:$B$72,$A1620+1)+F1621</f>
        <v>9.26773590611179</v>
      </c>
      <c r="G1620" s="48" t="n">
        <f aca="false">C1620*(IF($A1620&lt;$Q$1581,INDEX(Surface_Engine!$D$12:$D$72,$A1620+1)+(Surface_Engine!L251*12)*INDEX(Surface_Engine!$F$12:$F$72,$A1620+1)-(Surface_Engine!L251*12),1000*12*INDEX(Surface_Engine!$C$12:$C$72,$A1620+1)/(1+Assumptions!$B$10)^10+INDEX(Surface_Engine!$D$12:$D$72,$A1620+1)))*INDEX(Surface_Engine!$B$12:$B$72,$A1620+1)+G1621</f>
        <v>57.5873218233781</v>
      </c>
      <c r="H1620" s="48" t="n">
        <f aca="false">D1620*(IF($A1620&lt;$Q$1581,INDEX(Surface_Engine!$D$12:$D$72,$A1620+1)+(Surface_Engine!L251*12)*INDEX(Surface_Engine!$F$12:$F$72,$A1620+1)-(Surface_Engine!L251*12),1000*12*INDEX(Surface_Engine!$C$12:$C$72,$A1620+1)/(1+Assumptions!$B$10)^10+INDEX(Surface_Engine!$D$12:$D$72,$A1620+1)))*INDEX(Surface_Engine!$B$12:$B$72,$A1620+1)+H1621</f>
        <v>8.5908803099785</v>
      </c>
      <c r="I1620" s="48" t="n">
        <f aca="false">E1620*(IF($A1620&lt;$Q$1581,INDEX(Surface_Engine!$D$12:$D$72,$A1620+1)+(Surface_Engine!L251*12)*INDEX(Surface_Engine!$F$12:$F$72,$A1620+1)-(Surface_Engine!L251*12),1000*12*INDEX(Surface_Engine!$C$12:$C$72,$A1620+1)/(1+Assumptions!$B$10)^10+INDEX(Surface_Engine!$D$12:$D$72,$A1620+1)))*INDEX(Surface_Engine!$B$12:$B$72,$A1620+1)+I1621</f>
        <v>9.98979926709474</v>
      </c>
      <c r="J1620" s="48" t="n">
        <f aca="false">B1620*(IF($A1620&lt;$Q$1581,INDEX(Surface_Engine!$D$12:$D$72,$A1620+1)*(1+Assumptions!$B$24)+(Surface_Engine!L251*12)*INDEX(Surface_Engine!$F$12:$F$72,$A1620+1)-(Surface_Engine!L251*12),1000*12*INDEX(Surface_Engine!$C$12:$C$72,$A1620+1)/(1+Assumptions!$B$10)^10+INDEX(Surface_Engine!$D$12:$D$72,$A1620+1)*(1+Assumptions!$B$24)))*INDEX(Surface_Engine!$B$12:$B$72,$A1620+1)+J1621</f>
        <v>9.27693756870319</v>
      </c>
      <c r="K1620" s="12" t="n">
        <f aca="false">SQRT((IF(C1620&lt;=0,0,MAX(0,(B1620/C1620)*G1620/INDEX(Surface_Engine!$B$12:$B$72,$A1620+1)-F1620/INDEX(Surface_Engine!$B$12:$B$72,$A1620+1))))^2+(MAX(IF(D1620&lt;=0,0,MAX(0,(B1620/D1620)*H1620/INDEX(Surface_Engine!$B$12:$B$72,$A1620+1)-F1620/INDEX(Surface_Engine!$B$12:$B$72,$A1620+1))),IF(E1620&lt;=0,0,MAX(0,(B1620/E1620)*I1620/INDEX(Surface_Engine!$B$12:$B$72,$A1620+1)-F1620/INDEX(Surface_Engine!$B$12:$B$72,$A1620+1))),IF($A1620&lt;$Q$1581,MAX(0,-Assumptions!$B$22*(F1620/INDEX(Surface_Engine!$B$12:$B$72,$A1620+1))),0)))^2+(MAX(0,J1620/INDEX(Surface_Engine!$B$12:$B$72,$A1620+1)-(F1620/INDEX(Surface_Engine!$B$12:$B$72,$A1620+1))))^2+2*Assumptions!$B$26*(IF(C1620&lt;=0,0,MAX(0,(B1620/C1620)*G1620/INDEX(Surface_Engine!$B$12:$B$72,$A1620+1)-F1620/INDEX(Surface_Engine!$B$12:$B$72,$A1620+1))))*(MAX(IF(D1620&lt;=0,0,MAX(0,(B1620/D1620)*H1620/INDEX(Surface_Engine!$B$12:$B$72,$A1620+1)-F1620/INDEX(Surface_Engine!$B$12:$B$72,$A1620+1))),IF(E1620&lt;=0,0,MAX(0,(B1620/E1620)*I1620/INDEX(Surface_Engine!$B$12:$B$72,$A1620+1)-F1620/INDEX(Surface_Engine!$B$12:$B$72,$A1620+1))),IF($A1620&lt;$Q$1581,MAX(0,-Assumptions!$B$22*(F1620/INDEX(Surface_Engine!$B$12:$B$72,$A1620+1))),0)))+2*Assumptions!$B$27*(IF(C1620&lt;=0,0,MAX(0,(B1620/C1620)*G1620/INDEX(Surface_Engine!$B$12:$B$72,$A1620+1)-F1620/INDEX(Surface_Engine!$B$12:$B$72,$A1620+1))))*(MAX(0,J1620/INDEX(Surface_Engine!$B$12:$B$72,$A1620+1)-(F1620/INDEX(Surface_Engine!$B$12:$B$72,$A1620+1))))+2*Assumptions!$B$28*(MAX(IF(D1620&lt;=0,0,MAX(0,(B1620/D1620)*H1620/INDEX(Surface_Engine!$B$12:$B$72,$A1620+1)-F1620/INDEX(Surface_Engine!$B$12:$B$72,$A1620+1))),IF(E1620&lt;=0,0,MAX(0,(B1620/E1620)*I1620/INDEX(Surface_Engine!$B$12:$B$72,$A1620+1)-F1620/INDEX(Surface_Engine!$B$12:$B$72,$A1620+1))),IF($A1620&lt;$Q$1581,MAX(0,-Assumptions!$B$22*(F1620/INDEX(Surface_Engine!$B$12:$B$72,$A1620+1))),0)))*(MAX(0,J1620/INDEX(Surface_Engine!$B$12:$B$72,$A1620+1)-(F1620/INDEX(Surface_Engine!$B$12:$B$72,$A1620+1)))))</f>
        <v>6.57060240501592</v>
      </c>
      <c r="L1620" s="48" t="n">
        <f aca="false">K1620*INDEX(Surface_Engine!$B$12:$B$72,$A1620+1)+L1621</f>
        <v>3.92645631772041</v>
      </c>
      <c r="M1620" s="48" t="n">
        <f aca="false">M1619+B1619*(IF($A1619&lt;$Q$1581,(Surface_Engine!L251*12)-(Surface_Engine!L251*12)*INDEX(Surface_Engine!$F$12:$F$72,$A1619+1)-INDEX(Surface_Engine!$D$12:$D$72,$A1619+1),-(1000*12*INDEX(Surface_Engine!$C$12:$C$72,$A1619+1)/(1+Assumptions!$B$10)^10+INDEX(Surface_Engine!$D$12:$D$72,$A1619+1))))*INDEX(Surface_Engine!$B$12:$B$72,$A1619+1)</f>
        <v>1775.12238307298</v>
      </c>
      <c r="N1620" s="12" t="n">
        <f aca="false">IF(B1620&lt;=0,0,MAX(0,(K1620+Assumptions!$B$29*L1620/INDEX(Surface_Engine!$B$12:$B$72,$A1620+1)-(M1620/INDEX(Surface_Engine!$B$12:$B$72,$A1620+1)-(F1620/INDEX(Surface_Engine!$B$12:$B$72,$A1620+1))))/B1620))</f>
        <v>0</v>
      </c>
    </row>
    <row r="1621" customFormat="false" ht="15" hidden="false" customHeight="true" outlineLevel="0" collapsed="false">
      <c r="A1621" s="1" t="n">
        <v>38</v>
      </c>
      <c r="B1621" s="32" t="n">
        <f aca="false">INDEX(Surface_Engine!$V$12:$V$72,$A1621+1)*IF($A1621&lt;$Q$1581,INDEX(Surface_Engine!$E$12:$E$72,$A1621+1),INDEX(Surface_Engine!$E$12:$E$72,$Q$1581+1))</f>
        <v>0.00037508131275148</v>
      </c>
      <c r="C1621" s="32" t="n">
        <f aca="false">INDEX(Panel_Reserving!$H$8:$H$68,$A1621+1)*IF($A1621&lt;$Q$1581,INDEX(Surface_Engine!$E$12:$E$72,$A1621+1),INDEX(Surface_Engine!$E$12:$E$72,$Q$1581+1))</f>
        <v>0.00225513520071647</v>
      </c>
      <c r="D1621" s="32" t="n">
        <f aca="false">INDEX(Surface_Engine!$V$12:$V$72,$A1621+1)*IF($A1621&lt;$Q$1581,INDEX(Surface_Engine!$Y$12:$Y$72,$A1621+1),INDEX(Surface_Engine!$Y$12:$Y$72,$Q$1581+1))</f>
        <v>0.000347687795271829</v>
      </c>
      <c r="E1621" s="32" t="n">
        <f aca="false">INDEX(Surface_Engine!$V$12:$V$72,$A1621+1)*IF($A1621&lt;$Q$1581,INDEX(Surface_Engine!$Z$12:$Z$72,$A1621+1),INDEX(Surface_Engine!$Z$12:$Z$72,$Q$1581+1))</f>
        <v>0.000404304466720361</v>
      </c>
      <c r="F1621" s="48" t="n">
        <f aca="false">B1621*(IF($A1621&lt;$Q$1581,INDEX(Surface_Engine!$D$12:$D$72,$A1621+1)+(Surface_Engine!L251*12)*INDEX(Surface_Engine!$F$12:$F$72,$A1621+1)-(Surface_Engine!L251*12),1000*12*INDEX(Surface_Engine!$C$12:$C$72,$A1621+1)/(1+Assumptions!$B$10)^10+INDEX(Surface_Engine!$D$12:$D$72,$A1621+1)))*INDEX(Surface_Engine!$B$12:$B$72,$A1621+1)+F1622</f>
        <v>4.64591461036048</v>
      </c>
      <c r="G1621" s="48" t="n">
        <f aca="false">C1621*(IF($A1621&lt;$Q$1581,INDEX(Surface_Engine!$D$12:$D$72,$A1621+1)+(Surface_Engine!L251*12)*INDEX(Surface_Engine!$F$12:$F$72,$A1621+1)-(Surface_Engine!L251*12),1000*12*INDEX(Surface_Engine!$C$12:$C$72,$A1621+1)/(1+Assumptions!$B$10)^10+INDEX(Surface_Engine!$D$12:$D$72,$A1621+1)))*INDEX(Surface_Engine!$B$12:$B$72,$A1621+1)+G1622</f>
        <v>34.0687721578405</v>
      </c>
      <c r="H1621" s="48" t="n">
        <f aca="false">D1621*(IF($A1621&lt;$Q$1581,INDEX(Surface_Engine!$D$12:$D$72,$A1621+1)+(Surface_Engine!L251*12)*INDEX(Surface_Engine!$F$12:$F$72,$A1621+1)-(Surface_Engine!L251*12),1000*12*INDEX(Surface_Engine!$C$12:$C$72,$A1621+1)/(1+Assumptions!$B$10)^10+INDEX(Surface_Engine!$D$12:$D$72,$A1621+1)))*INDEX(Surface_Engine!$B$12:$B$72,$A1621+1)+H1622</f>
        <v>4.30660700222006</v>
      </c>
      <c r="I1621" s="48" t="n">
        <f aca="false">E1621*(IF($A1621&lt;$Q$1581,INDEX(Surface_Engine!$D$12:$D$72,$A1621+1)+(Surface_Engine!L251*12)*INDEX(Surface_Engine!$F$12:$F$72,$A1621+1)-(Surface_Engine!L251*12),1000*12*INDEX(Surface_Engine!$C$12:$C$72,$A1621+1)/(1+Assumptions!$B$10)^10+INDEX(Surface_Engine!$D$12:$D$72,$A1621+1)))*INDEX(Surface_Engine!$B$12:$B$72,$A1621+1)+I1622</f>
        <v>5.00788486419393</v>
      </c>
      <c r="J1621" s="48" t="n">
        <f aca="false">B1621*(IF($A1621&lt;$Q$1581,INDEX(Surface_Engine!$D$12:$D$72,$A1621+1)*(1+Assumptions!$B$24)+(Surface_Engine!L251*12)*INDEX(Surface_Engine!$F$12:$F$72,$A1621+1)-(Surface_Engine!L251*12),1000*12*INDEX(Surface_Engine!$C$12:$C$72,$A1621+1)/(1+Assumptions!$B$10)^10+INDEX(Surface_Engine!$D$12:$D$72,$A1621+1)*(1+Assumptions!$B$24)))*INDEX(Surface_Engine!$B$12:$B$72,$A1621+1)+J1622</f>
        <v>4.65054843625948</v>
      </c>
      <c r="K1621" s="12" t="n">
        <f aca="false">SQRT((IF(C1621&lt;=0,0,MAX(0,(B1621/C1621)*G1621/INDEX(Surface_Engine!$B$12:$B$72,$A1621+1)-F1621/INDEX(Surface_Engine!$B$12:$B$72,$A1621+1))))^2+(MAX(IF(D1621&lt;=0,0,MAX(0,(B1621/D1621)*H1621/INDEX(Surface_Engine!$B$12:$B$72,$A1621+1)-F1621/INDEX(Surface_Engine!$B$12:$B$72,$A1621+1))),IF(E1621&lt;=0,0,MAX(0,(B1621/E1621)*I1621/INDEX(Surface_Engine!$B$12:$B$72,$A1621+1)-F1621/INDEX(Surface_Engine!$B$12:$B$72,$A1621+1))),IF($A1621&lt;$Q$1581,MAX(0,-Assumptions!$B$22*(F1621/INDEX(Surface_Engine!$B$12:$B$72,$A1621+1))),0)))^2+(MAX(0,J1621/INDEX(Surface_Engine!$B$12:$B$72,$A1621+1)-(F1621/INDEX(Surface_Engine!$B$12:$B$72,$A1621+1))))^2+2*Assumptions!$B$26*(IF(C1621&lt;=0,0,MAX(0,(B1621/C1621)*G1621/INDEX(Surface_Engine!$B$12:$B$72,$A1621+1)-F1621/INDEX(Surface_Engine!$B$12:$B$72,$A1621+1))))*(MAX(IF(D1621&lt;=0,0,MAX(0,(B1621/D1621)*H1621/INDEX(Surface_Engine!$B$12:$B$72,$A1621+1)-F1621/INDEX(Surface_Engine!$B$12:$B$72,$A1621+1))),IF(E1621&lt;=0,0,MAX(0,(B1621/E1621)*I1621/INDEX(Surface_Engine!$B$12:$B$72,$A1621+1)-F1621/INDEX(Surface_Engine!$B$12:$B$72,$A1621+1))),IF($A1621&lt;$Q$1581,MAX(0,-Assumptions!$B$22*(F1621/INDEX(Surface_Engine!$B$12:$B$72,$A1621+1))),0)))+2*Assumptions!$B$27*(IF(C1621&lt;=0,0,MAX(0,(B1621/C1621)*G1621/INDEX(Surface_Engine!$B$12:$B$72,$A1621+1)-F1621/INDEX(Surface_Engine!$B$12:$B$72,$A1621+1))))*(MAX(0,J1621/INDEX(Surface_Engine!$B$12:$B$72,$A1621+1)-(F1621/INDEX(Surface_Engine!$B$12:$B$72,$A1621+1))))+2*Assumptions!$B$28*(MAX(IF(D1621&lt;=0,0,MAX(0,(B1621/D1621)*H1621/INDEX(Surface_Engine!$B$12:$B$72,$A1621+1)-F1621/INDEX(Surface_Engine!$B$12:$B$72,$A1621+1))),IF(E1621&lt;=0,0,MAX(0,(B1621/E1621)*I1621/INDEX(Surface_Engine!$B$12:$B$72,$A1621+1)-F1621/INDEX(Surface_Engine!$B$12:$B$72,$A1621+1))),IF($A1621&lt;$Q$1581,MAX(0,-Assumptions!$B$22*(F1621/INDEX(Surface_Engine!$B$12:$B$72,$A1621+1))),0)))*(MAX(0,J1621/INDEX(Surface_Engine!$B$12:$B$72,$A1621+1)-(F1621/INDEX(Surface_Engine!$B$12:$B$72,$A1621+1)))))</f>
        <v>3.37927863832594</v>
      </c>
      <c r="L1621" s="48" t="n">
        <f aca="false">K1621*INDEX(Surface_Engine!$B$12:$B$72,$A1621+1)+L1622</f>
        <v>1.87491992219105</v>
      </c>
      <c r="M1621" s="48" t="n">
        <f aca="false">M1620+B1620*(IF($A1620&lt;$Q$1581,(Surface_Engine!L251*12)-(Surface_Engine!L251*12)*INDEX(Surface_Engine!$F$12:$F$72,$A1620+1)-INDEX(Surface_Engine!$D$12:$D$72,$A1620+1),-(1000*12*INDEX(Surface_Engine!$C$12:$C$72,$A1620+1)/(1+Assumptions!$B$10)^10+INDEX(Surface_Engine!$D$12:$D$72,$A1620+1))))*INDEX(Surface_Engine!$B$12:$B$72,$A1620+1)</f>
        <v>1770.50056177723</v>
      </c>
      <c r="N1621" s="12" t="n">
        <f aca="false">IF(B1621&lt;=0,0,MAX(0,(K1621+Assumptions!$B$29*L1621/INDEX(Surface_Engine!$B$12:$B$72,$A1621+1)-(M1621/INDEX(Surface_Engine!$B$12:$B$72,$A1621+1)-(F1621/INDEX(Surface_Engine!$B$12:$B$72,$A1621+1))))/B1621))</f>
        <v>0</v>
      </c>
    </row>
    <row r="1622" customFormat="false" ht="15" hidden="false" customHeight="true" outlineLevel="0" collapsed="false">
      <c r="A1622" s="1" t="n">
        <v>39</v>
      </c>
      <c r="B1622" s="32" t="n">
        <f aca="false">INDEX(Surface_Engine!$V$12:$V$72,$A1622+1)*IF($A1622&lt;$Q$1581,INDEX(Surface_Engine!$E$12:$E$72,$A1622+1),INDEX(Surface_Engine!$E$12:$E$72,$Q$1581+1))</f>
        <v>0.000190067573481888</v>
      </c>
      <c r="C1622" s="32" t="n">
        <f aca="false">INDEX(Panel_Reserving!$H$8:$H$68,$A1622+1)*IF($A1622&lt;$Q$1581,INDEX(Surface_Engine!$E$12:$E$72,$A1622+1),INDEX(Surface_Engine!$E$12:$E$72,$Q$1581+1))</f>
        <v>0.00136523536970146</v>
      </c>
      <c r="D1622" s="32" t="n">
        <f aca="false">INDEX(Surface_Engine!$V$12:$V$72,$A1622+1)*IF($A1622&lt;$Q$1581,INDEX(Surface_Engine!$Y$12:$Y$72,$A1622+1),INDEX(Surface_Engine!$Y$12:$Y$72,$Q$1581+1))</f>
        <v>0.000176186265030937</v>
      </c>
      <c r="E1622" s="32" t="n">
        <f aca="false">INDEX(Surface_Engine!$V$12:$V$72,$A1622+1)*IF($A1622&lt;$Q$1581,INDEX(Surface_Engine!$Z$12:$Z$72,$A1622+1),INDEX(Surface_Engine!$Z$12:$Z$72,$Q$1581+1))</f>
        <v>0.000204876026410688</v>
      </c>
      <c r="F1622" s="48" t="n">
        <f aca="false">B1622*(IF($A1622&lt;$Q$1581,INDEX(Surface_Engine!$D$12:$D$72,$A1622+1)+(Surface_Engine!L251*12)*INDEX(Surface_Engine!$F$12:$F$72,$A1622+1)-(Surface_Engine!L251*12),1000*12*INDEX(Surface_Engine!$C$12:$C$72,$A1622+1)/(1+Assumptions!$B$10)^10+INDEX(Surface_Engine!$D$12:$D$72,$A1622+1)))*INDEX(Surface_Engine!$B$12:$B$72,$A1622+1)+F1623</f>
        <v>2.25294365945689</v>
      </c>
      <c r="G1622" s="48" t="n">
        <f aca="false">C1622*(IF($A1622&lt;$Q$1581,INDEX(Surface_Engine!$D$12:$D$72,$A1622+1)+(Surface_Engine!L251*12)*INDEX(Surface_Engine!$F$12:$F$72,$A1622+1)-(Surface_Engine!L251*12),1000*12*INDEX(Surface_Engine!$C$12:$C$72,$A1622+1)/(1+Assumptions!$B$10)^10+INDEX(Surface_Engine!$D$12:$D$72,$A1622+1)))*INDEX(Surface_Engine!$B$12:$B$72,$A1622+1)+G1623</f>
        <v>19.681297116528</v>
      </c>
      <c r="H1622" s="48" t="n">
        <f aca="false">D1622*(IF($A1622&lt;$Q$1581,INDEX(Surface_Engine!$D$12:$D$72,$A1622+1)+(Surface_Engine!L251*12)*INDEX(Surface_Engine!$F$12:$F$72,$A1622+1)-(Surface_Engine!L251*12),1000*12*INDEX(Surface_Engine!$C$12:$C$72,$A1622+1)/(1+Assumptions!$B$10)^10+INDEX(Surface_Engine!$D$12:$D$72,$A1622+1)))*INDEX(Surface_Engine!$B$12:$B$72,$A1622+1)+H1623</f>
        <v>2.08840320004751</v>
      </c>
      <c r="I1622" s="48" t="n">
        <f aca="false">E1622*(IF($A1622&lt;$Q$1581,INDEX(Surface_Engine!$D$12:$D$72,$A1622+1)+(Surface_Engine!L251*12)*INDEX(Surface_Engine!$F$12:$F$72,$A1622+1)-(Surface_Engine!L251*12),1000*12*INDEX(Surface_Engine!$C$12:$C$72,$A1622+1)/(1+Assumptions!$B$10)^10+INDEX(Surface_Engine!$D$12:$D$72,$A1622+1)))*INDEX(Surface_Engine!$B$12:$B$72,$A1622+1)+I1623</f>
        <v>2.42847391704438</v>
      </c>
      <c r="J1622" s="48" t="n">
        <f aca="false">B1622*(IF($A1622&lt;$Q$1581,INDEX(Surface_Engine!$D$12:$D$72,$A1622+1)*(1+Assumptions!$B$24)+(Surface_Engine!L251*12)*INDEX(Surface_Engine!$F$12:$F$72,$A1622+1)-(Surface_Engine!L251*12),1000*12*INDEX(Surface_Engine!$C$12:$C$72,$A1622+1)/(1+Assumptions!$B$10)^10+INDEX(Surface_Engine!$D$12:$D$72,$A1622+1)*(1+Assumptions!$B$24)))*INDEX(Surface_Engine!$B$12:$B$72,$A1622+1)+J1623</f>
        <v>2.25520098709998</v>
      </c>
      <c r="K1622" s="12" t="n">
        <f aca="false">SQRT((IF(C1622&lt;=0,0,MAX(0,(B1622/C1622)*G1622/INDEX(Surface_Engine!$B$12:$B$72,$A1622+1)-F1622/INDEX(Surface_Engine!$B$12:$B$72,$A1622+1))))^2+(MAX(IF(D1622&lt;=0,0,MAX(0,(B1622/D1622)*H1622/INDEX(Surface_Engine!$B$12:$B$72,$A1622+1)-F1622/INDEX(Surface_Engine!$B$12:$B$72,$A1622+1))),IF(E1622&lt;=0,0,MAX(0,(B1622/E1622)*I1622/INDEX(Surface_Engine!$B$12:$B$72,$A1622+1)-F1622/INDEX(Surface_Engine!$B$12:$B$72,$A1622+1))),IF($A1622&lt;$Q$1581,MAX(0,-Assumptions!$B$22*(F1622/INDEX(Surface_Engine!$B$12:$B$72,$A1622+1))),0)))^2+(MAX(0,J1622/INDEX(Surface_Engine!$B$12:$B$72,$A1622+1)-(F1622/INDEX(Surface_Engine!$B$12:$B$72,$A1622+1))))^2+2*Assumptions!$B$26*(IF(C1622&lt;=0,0,MAX(0,(B1622/C1622)*G1622/INDEX(Surface_Engine!$B$12:$B$72,$A1622+1)-F1622/INDEX(Surface_Engine!$B$12:$B$72,$A1622+1))))*(MAX(IF(D1622&lt;=0,0,MAX(0,(B1622/D1622)*H1622/INDEX(Surface_Engine!$B$12:$B$72,$A1622+1)-F1622/INDEX(Surface_Engine!$B$12:$B$72,$A1622+1))),IF(E1622&lt;=0,0,MAX(0,(B1622/E1622)*I1622/INDEX(Surface_Engine!$B$12:$B$72,$A1622+1)-F1622/INDEX(Surface_Engine!$B$12:$B$72,$A1622+1))),IF($A1622&lt;$Q$1581,MAX(0,-Assumptions!$B$22*(F1622/INDEX(Surface_Engine!$B$12:$B$72,$A1622+1))),0)))+2*Assumptions!$B$27*(IF(C1622&lt;=0,0,MAX(0,(B1622/C1622)*G1622/INDEX(Surface_Engine!$B$12:$B$72,$A1622+1)-F1622/INDEX(Surface_Engine!$B$12:$B$72,$A1622+1))))*(MAX(0,J1622/INDEX(Surface_Engine!$B$12:$B$72,$A1622+1)-(F1622/INDEX(Surface_Engine!$B$12:$B$72,$A1622+1))))+2*Assumptions!$B$28*(MAX(IF(D1622&lt;=0,0,MAX(0,(B1622/D1622)*H1622/INDEX(Surface_Engine!$B$12:$B$72,$A1622+1)-F1622/INDEX(Surface_Engine!$B$12:$B$72,$A1622+1))),IF(E1622&lt;=0,0,MAX(0,(B1622/E1622)*I1622/INDEX(Surface_Engine!$B$12:$B$72,$A1622+1)-F1622/INDEX(Surface_Engine!$B$12:$B$72,$A1622+1))),IF($A1622&lt;$Q$1581,MAX(0,-Assumptions!$B$22*(F1622/INDEX(Surface_Engine!$B$12:$B$72,$A1622+1))),0)))*(MAX(0,J1622/INDEX(Surface_Engine!$B$12:$B$72,$A1622+1)-(F1622/INDEX(Surface_Engine!$B$12:$B$72,$A1622+1)))))</f>
        <v>1.66514122644936</v>
      </c>
      <c r="L1622" s="48" t="n">
        <f aca="false">K1622*INDEX(Surface_Engine!$B$12:$B$72,$A1622+1)+L1623</f>
        <v>0.853238872019406</v>
      </c>
      <c r="M1622" s="48" t="n">
        <f aca="false">M1621+B1621*(IF($A1621&lt;$Q$1581,(Surface_Engine!L251*12)-(Surface_Engine!L251*12)*INDEX(Surface_Engine!$F$12:$F$72,$A1621+1)-INDEX(Surface_Engine!$D$12:$D$72,$A1621+1),-(1000*12*INDEX(Surface_Engine!$C$12:$C$72,$A1621+1)/(1+Assumptions!$B$10)^10+INDEX(Surface_Engine!$D$12:$D$72,$A1621+1))))*INDEX(Surface_Engine!$B$12:$B$72,$A1621+1)</f>
        <v>1768.10759082632</v>
      </c>
      <c r="N1622" s="12" t="n">
        <f aca="false">IF(B1622&lt;=0,0,MAX(0,(K1622+Assumptions!$B$29*L1622/INDEX(Surface_Engine!$B$12:$B$72,$A1622+1)-(M1622/INDEX(Surface_Engine!$B$12:$B$72,$A1622+1)-(F1622/INDEX(Surface_Engine!$B$12:$B$72,$A1622+1))))/B1622))</f>
        <v>0</v>
      </c>
    </row>
    <row r="1623" customFormat="false" ht="15" hidden="false" customHeight="true" outlineLevel="0" collapsed="false">
      <c r="A1623" s="1" t="n">
        <v>40</v>
      </c>
      <c r="B1623" s="32" t="n">
        <f aca="false">INDEX(Surface_Engine!$V$12:$V$72,$A1623+1)*IF($A1623&lt;$Q$1581,INDEX(Surface_Engine!$E$12:$E$72,$A1623+1),INDEX(Surface_Engine!$E$12:$E$72,$Q$1581+1))</f>
        <v>9.30314941898182E-005</v>
      </c>
      <c r="C1623" s="32" t="n">
        <f aca="false">INDEX(Panel_Reserving!$H$8:$H$68,$A1623+1)*IF($A1623&lt;$Q$1581,INDEX(Surface_Engine!$E$12:$E$72,$A1623+1),INDEX(Surface_Engine!$E$12:$E$72,$Q$1581+1))</f>
        <v>0.000807635416548744</v>
      </c>
      <c r="D1623" s="32" t="n">
        <f aca="false">INDEX(Surface_Engine!$V$12:$V$72,$A1623+1)*IF($A1623&lt;$Q$1581,INDEX(Surface_Engine!$Y$12:$Y$72,$A1623+1),INDEX(Surface_Engine!$Y$12:$Y$72,$Q$1581+1))</f>
        <v>8.62370744850558E-005</v>
      </c>
      <c r="E1623" s="32" t="n">
        <f aca="false">INDEX(Surface_Engine!$V$12:$V$72,$A1623+1)*IF($A1623&lt;$Q$1581,INDEX(Surface_Engine!$Z$12:$Z$72,$A1623+1),INDEX(Surface_Engine!$Z$12:$Z$72,$Q$1581+1))</f>
        <v>0.000100279719004648</v>
      </c>
      <c r="F1623" s="48" t="n">
        <f aca="false">B1623*(IF($A1623&lt;$Q$1581,INDEX(Surface_Engine!$D$12:$D$72,$A1623+1)+(Surface_Engine!L251*12)*INDEX(Surface_Engine!$F$12:$F$72,$A1623+1)-(Surface_Engine!L251*12),1000*12*INDEX(Surface_Engine!$C$12:$C$72,$A1623+1)/(1+Assumptions!$B$10)^10+INDEX(Surface_Engine!$D$12:$D$72,$A1623+1)))*INDEX(Surface_Engine!$B$12:$B$72,$A1623+1)+F1624</f>
        <v>1.05480815666089</v>
      </c>
      <c r="G1623" s="48" t="n">
        <f aca="false">C1623*(IF($A1623&lt;$Q$1581,INDEX(Surface_Engine!$D$12:$D$72,$A1623+1)+(Surface_Engine!L251*12)*INDEX(Surface_Engine!$F$12:$F$72,$A1623+1)-(Surface_Engine!L251*12),1000*12*INDEX(Surface_Engine!$C$12:$C$72,$A1623+1)/(1+Assumptions!$B$10)^10+INDEX(Surface_Engine!$D$12:$D$72,$A1623+1)))*INDEX(Surface_Engine!$B$12:$B$72,$A1623+1)+G1624</f>
        <v>11.0752159415714</v>
      </c>
      <c r="H1623" s="48" t="n">
        <f aca="false">D1623*(IF($A1623&lt;$Q$1581,INDEX(Surface_Engine!$D$12:$D$72,$A1623+1)+(Surface_Engine!L251*12)*INDEX(Surface_Engine!$F$12:$F$72,$A1623+1)-(Surface_Engine!L251*12),1000*12*INDEX(Surface_Engine!$C$12:$C$72,$A1623+1)/(1+Assumptions!$B$10)^10+INDEX(Surface_Engine!$D$12:$D$72,$A1623+1)))*INDEX(Surface_Engine!$B$12:$B$72,$A1623+1)+H1624</f>
        <v>0.977771778961331</v>
      </c>
      <c r="I1623" s="48" t="n">
        <f aca="false">E1623*(IF($A1623&lt;$Q$1581,INDEX(Surface_Engine!$D$12:$D$72,$A1623+1)+(Surface_Engine!L251*12)*INDEX(Surface_Engine!$F$12:$F$72,$A1623+1)-(Surface_Engine!L251*12),1000*12*INDEX(Surface_Engine!$C$12:$C$72,$A1623+1)/(1+Assumptions!$B$10)^10+INDEX(Surface_Engine!$D$12:$D$72,$A1623+1)))*INDEX(Surface_Engine!$B$12:$B$72,$A1623+1)+I1624</f>
        <v>1.13698985999239</v>
      </c>
      <c r="J1623" s="48" t="n">
        <f aca="false">B1623*(IF($A1623&lt;$Q$1581,INDEX(Surface_Engine!$D$12:$D$72,$A1623+1)*(1+Assumptions!$B$24)+(Surface_Engine!L251*12)*INDEX(Surface_Engine!$F$12:$F$72,$A1623+1)-(Surface_Engine!L251*12),1000*12*INDEX(Surface_Engine!$C$12:$C$72,$A1623+1)/(1+Assumptions!$B$10)^10+INDEX(Surface_Engine!$D$12:$D$72,$A1623+1)*(1+Assumptions!$B$24)))*INDEX(Surface_Engine!$B$12:$B$72,$A1623+1)+J1624</f>
        <v>1.05586982193123</v>
      </c>
      <c r="K1623" s="12" t="n">
        <f aca="false">SQRT((IF(C1623&lt;=0,0,MAX(0,(B1623/C1623)*G1623/INDEX(Surface_Engine!$B$12:$B$72,$A1623+1)-F1623/INDEX(Surface_Engine!$B$12:$B$72,$A1623+1))))^2+(MAX(IF(D1623&lt;=0,0,MAX(0,(B1623/D1623)*H1623/INDEX(Surface_Engine!$B$12:$B$72,$A1623+1)-F1623/INDEX(Surface_Engine!$B$12:$B$72,$A1623+1))),IF(E1623&lt;=0,0,MAX(0,(B1623/E1623)*I1623/INDEX(Surface_Engine!$B$12:$B$72,$A1623+1)-F1623/INDEX(Surface_Engine!$B$12:$B$72,$A1623+1))),IF($A1623&lt;$Q$1581,MAX(0,-Assumptions!$B$22*(F1623/INDEX(Surface_Engine!$B$12:$B$72,$A1623+1))),0)))^2+(MAX(0,J1623/INDEX(Surface_Engine!$B$12:$B$72,$A1623+1)-(F1623/INDEX(Surface_Engine!$B$12:$B$72,$A1623+1))))^2+2*Assumptions!$B$26*(IF(C1623&lt;=0,0,MAX(0,(B1623/C1623)*G1623/INDEX(Surface_Engine!$B$12:$B$72,$A1623+1)-F1623/INDEX(Surface_Engine!$B$12:$B$72,$A1623+1))))*(MAX(IF(D1623&lt;=0,0,MAX(0,(B1623/D1623)*H1623/INDEX(Surface_Engine!$B$12:$B$72,$A1623+1)-F1623/INDEX(Surface_Engine!$B$12:$B$72,$A1623+1))),IF(E1623&lt;=0,0,MAX(0,(B1623/E1623)*I1623/INDEX(Surface_Engine!$B$12:$B$72,$A1623+1)-F1623/INDEX(Surface_Engine!$B$12:$B$72,$A1623+1))),IF($A1623&lt;$Q$1581,MAX(0,-Assumptions!$B$22*(F1623/INDEX(Surface_Engine!$B$12:$B$72,$A1623+1))),0)))+2*Assumptions!$B$27*(IF(C1623&lt;=0,0,MAX(0,(B1623/C1623)*G1623/INDEX(Surface_Engine!$B$12:$B$72,$A1623+1)-F1623/INDEX(Surface_Engine!$B$12:$B$72,$A1623+1))))*(MAX(0,J1623/INDEX(Surface_Engine!$B$12:$B$72,$A1623+1)-(F1623/INDEX(Surface_Engine!$B$12:$B$72,$A1623+1))))+2*Assumptions!$B$28*(MAX(IF(D1623&lt;=0,0,MAX(0,(B1623/D1623)*H1623/INDEX(Surface_Engine!$B$12:$B$72,$A1623+1)-F1623/INDEX(Surface_Engine!$B$12:$B$72,$A1623+1))),IF(E1623&lt;=0,0,MAX(0,(B1623/E1623)*I1623/INDEX(Surface_Engine!$B$12:$B$72,$A1623+1)-F1623/INDEX(Surface_Engine!$B$12:$B$72,$A1623+1))),IF($A1623&lt;$Q$1581,MAX(0,-Assumptions!$B$22*(F1623/INDEX(Surface_Engine!$B$12:$B$72,$A1623+1))),0)))*(MAX(0,J1623/INDEX(Surface_Engine!$B$12:$B$72,$A1623+1)-(F1623/INDEX(Surface_Engine!$B$12:$B$72,$A1623+1)))))</f>
        <v>0.78013109963813</v>
      </c>
      <c r="L1623" s="48" t="n">
        <f aca="false">K1623*INDEX(Surface_Engine!$B$12:$B$72,$A1623+1)+L1624</f>
        <v>0.365590248369606</v>
      </c>
      <c r="M1623" s="48" t="n">
        <f aca="false">M1622+B1622*(IF($A1622&lt;$Q$1581,(Surface_Engine!L251*12)-(Surface_Engine!L251*12)*INDEX(Surface_Engine!$F$12:$F$72,$A1622+1)-INDEX(Surface_Engine!$D$12:$D$72,$A1622+1),-(1000*12*INDEX(Surface_Engine!$C$12:$C$72,$A1622+1)/(1+Assumptions!$B$10)^10+INDEX(Surface_Engine!$D$12:$D$72,$A1622+1))))*INDEX(Surface_Engine!$B$12:$B$72,$A1622+1)</f>
        <v>1766.90945532353</v>
      </c>
      <c r="N1623" s="12" t="n">
        <f aca="false">IF(B1623&lt;=0,0,MAX(0,(K1623+Assumptions!$B$29*L1623/INDEX(Surface_Engine!$B$12:$B$72,$A1623+1)-(M1623/INDEX(Surface_Engine!$B$12:$B$72,$A1623+1)-(F1623/INDEX(Surface_Engine!$B$12:$B$72,$A1623+1))))/B1623))</f>
        <v>0</v>
      </c>
    </row>
    <row r="1624" customFormat="false" ht="15" hidden="false" customHeight="true" outlineLevel="0" collapsed="false">
      <c r="A1624" s="1" t="n">
        <v>41</v>
      </c>
      <c r="B1624" s="32" t="n">
        <f aca="false">INDEX(Surface_Engine!$V$12:$V$72,$A1624+1)*IF($A1624&lt;$Q$1581,INDEX(Surface_Engine!$E$12:$E$72,$A1624+1),INDEX(Surface_Engine!$E$12:$E$72,$Q$1581+1))</f>
        <v>4.39499801709916E-005</v>
      </c>
      <c r="C1624" s="32" t="n">
        <f aca="false">INDEX(Panel_Reserving!$H$8:$H$68,$A1624+1)*IF($A1624&lt;$Q$1581,INDEX(Surface_Engine!$E$12:$E$72,$A1624+1),INDEX(Surface_Engine!$E$12:$E$72,$Q$1581+1))</f>
        <v>0.000466761871608722</v>
      </c>
      <c r="D1624" s="32" t="n">
        <f aca="false">INDEX(Surface_Engine!$V$12:$V$72,$A1624+1)*IF($A1624&lt;$Q$1581,INDEX(Surface_Engine!$Y$12:$Y$72,$A1624+1),INDEX(Surface_Engine!$Y$12:$Y$72,$Q$1581+1))</f>
        <v>4.07401573696033E-005</v>
      </c>
      <c r="E1624" s="32" t="n">
        <f aca="false">INDEX(Surface_Engine!$V$12:$V$72,$A1624+1)*IF($A1624&lt;$Q$1581,INDEX(Surface_Engine!$Z$12:$Z$72,$A1624+1),INDEX(Surface_Engine!$Z$12:$Z$72,$Q$1581+1))</f>
        <v>4.73741897858202E-005</v>
      </c>
      <c r="F1624" s="48" t="n">
        <f aca="false">B1624*(IF($A1624&lt;$Q$1581,INDEX(Surface_Engine!$D$12:$D$72,$A1624+1)+(Surface_Engine!L251*12)*INDEX(Surface_Engine!$F$12:$F$72,$A1624+1)-(Surface_Engine!L251*12),1000*12*INDEX(Surface_Engine!$C$12:$C$72,$A1624+1)/(1+Assumptions!$B$10)^10+INDEX(Surface_Engine!$D$12:$D$72,$A1624+1)))*INDEX(Surface_Engine!$B$12:$B$72,$A1624+1)+F1625</f>
        <v>0.475596667221153</v>
      </c>
      <c r="G1624" s="48" t="n">
        <f aca="false">C1624*(IF($A1624&lt;$Q$1581,INDEX(Surface_Engine!$D$12:$D$72,$A1624+1)+(Surface_Engine!L251*12)*INDEX(Surface_Engine!$F$12:$F$72,$A1624+1)-(Surface_Engine!L251*12),1000*12*INDEX(Surface_Engine!$C$12:$C$72,$A1624+1)/(1+Assumptions!$B$10)^10+INDEX(Surface_Engine!$D$12:$D$72,$A1624+1)))*INDEX(Surface_Engine!$B$12:$B$72,$A1624+1)+G1625</f>
        <v>6.04690035213231</v>
      </c>
      <c r="H1624" s="48" t="n">
        <f aca="false">D1624*(IF($A1624&lt;$Q$1581,INDEX(Surface_Engine!$D$12:$D$72,$A1624+1)+(Surface_Engine!L251*12)*INDEX(Surface_Engine!$F$12:$F$72,$A1624+1)-(Surface_Engine!L251*12),1000*12*INDEX(Surface_Engine!$C$12:$C$72,$A1624+1)/(1+Assumptions!$B$10)^10+INDEX(Surface_Engine!$D$12:$D$72,$A1624+1)))*INDEX(Surface_Engine!$B$12:$B$72,$A1624+1)+H1625</f>
        <v>0.440862157199273</v>
      </c>
      <c r="I1624" s="48" t="n">
        <f aca="false">E1624*(IF($A1624&lt;$Q$1581,INDEX(Surface_Engine!$D$12:$D$72,$A1624+1)+(Surface_Engine!L251*12)*INDEX(Surface_Engine!$F$12:$F$72,$A1624+1)-(Surface_Engine!L251*12),1000*12*INDEX(Surface_Engine!$C$12:$C$72,$A1624+1)/(1+Assumptions!$B$10)^10+INDEX(Surface_Engine!$D$12:$D$72,$A1624+1)))*INDEX(Surface_Engine!$B$12:$B$72,$A1624+1)+I1625</f>
        <v>0.51265112491017</v>
      </c>
      <c r="J1624" s="48" t="n">
        <f aca="false">B1624*(IF($A1624&lt;$Q$1581,INDEX(Surface_Engine!$D$12:$D$72,$A1624+1)*(1+Assumptions!$B$24)+(Surface_Engine!L251*12)*INDEX(Surface_Engine!$F$12:$F$72,$A1624+1)-(Surface_Engine!L251*12),1000*12*INDEX(Surface_Engine!$C$12:$C$72,$A1624+1)/(1+Assumptions!$B$10)^10+INDEX(Surface_Engine!$D$12:$D$72,$A1624+1)*(1+Assumptions!$B$24)))*INDEX(Surface_Engine!$B$12:$B$72,$A1624+1)+J1625</f>
        <v>0.476077511582314</v>
      </c>
      <c r="K1624" s="12" t="n">
        <f aca="false">SQRT((IF(C1624&lt;=0,0,MAX(0,(B1624/C1624)*G1624/INDEX(Surface_Engine!$B$12:$B$72,$A1624+1)-F1624/INDEX(Surface_Engine!$B$12:$B$72,$A1624+1))))^2+(MAX(IF(D1624&lt;=0,0,MAX(0,(B1624/D1624)*H1624/INDEX(Surface_Engine!$B$12:$B$72,$A1624+1)-F1624/INDEX(Surface_Engine!$B$12:$B$72,$A1624+1))),IF(E1624&lt;=0,0,MAX(0,(B1624/E1624)*I1624/INDEX(Surface_Engine!$B$12:$B$72,$A1624+1)-F1624/INDEX(Surface_Engine!$B$12:$B$72,$A1624+1))),IF($A1624&lt;$Q$1581,MAX(0,-Assumptions!$B$22*(F1624/INDEX(Surface_Engine!$B$12:$B$72,$A1624+1))),0)))^2+(MAX(0,J1624/INDEX(Surface_Engine!$B$12:$B$72,$A1624+1)-(F1624/INDEX(Surface_Engine!$B$12:$B$72,$A1624+1))))^2+2*Assumptions!$B$26*(IF(C1624&lt;=0,0,MAX(0,(B1624/C1624)*G1624/INDEX(Surface_Engine!$B$12:$B$72,$A1624+1)-F1624/INDEX(Surface_Engine!$B$12:$B$72,$A1624+1))))*(MAX(IF(D1624&lt;=0,0,MAX(0,(B1624/D1624)*H1624/INDEX(Surface_Engine!$B$12:$B$72,$A1624+1)-F1624/INDEX(Surface_Engine!$B$12:$B$72,$A1624+1))),IF(E1624&lt;=0,0,MAX(0,(B1624/E1624)*I1624/INDEX(Surface_Engine!$B$12:$B$72,$A1624+1)-F1624/INDEX(Surface_Engine!$B$12:$B$72,$A1624+1))),IF($A1624&lt;$Q$1581,MAX(0,-Assumptions!$B$22*(F1624/INDEX(Surface_Engine!$B$12:$B$72,$A1624+1))),0)))+2*Assumptions!$B$27*(IF(C1624&lt;=0,0,MAX(0,(B1624/C1624)*G1624/INDEX(Surface_Engine!$B$12:$B$72,$A1624+1)-F1624/INDEX(Surface_Engine!$B$12:$B$72,$A1624+1))))*(MAX(0,J1624/INDEX(Surface_Engine!$B$12:$B$72,$A1624+1)-(F1624/INDEX(Surface_Engine!$B$12:$B$72,$A1624+1))))+2*Assumptions!$B$28*(MAX(IF(D1624&lt;=0,0,MAX(0,(B1624/D1624)*H1624/INDEX(Surface_Engine!$B$12:$B$72,$A1624+1)-F1624/INDEX(Surface_Engine!$B$12:$B$72,$A1624+1))),IF(E1624&lt;=0,0,MAX(0,(B1624/E1624)*I1624/INDEX(Surface_Engine!$B$12:$B$72,$A1624+1)-F1624/INDEX(Surface_Engine!$B$12:$B$72,$A1624+1))),IF($A1624&lt;$Q$1581,MAX(0,-Assumptions!$B$22*(F1624/INDEX(Surface_Engine!$B$12:$B$72,$A1624+1))),0)))*(MAX(0,J1624/INDEX(Surface_Engine!$B$12:$B$72,$A1624+1)-(F1624/INDEX(Surface_Engine!$B$12:$B$72,$A1624+1)))))</f>
        <v>0.342007493424471</v>
      </c>
      <c r="L1624" s="48" t="n">
        <f aca="false">K1624*INDEX(Surface_Engine!$B$12:$B$72,$A1624+1)+L1625</f>
        <v>0.144376879749142</v>
      </c>
      <c r="M1624" s="48" t="n">
        <f aca="false">M1623+B1623*(IF($A1623&lt;$Q$1581,(Surface_Engine!L251*12)-(Surface_Engine!L251*12)*INDEX(Surface_Engine!$F$12:$F$72,$A1623+1)-INDEX(Surface_Engine!$D$12:$D$72,$A1623+1),-(1000*12*INDEX(Surface_Engine!$C$12:$C$72,$A1623+1)/(1+Assumptions!$B$10)^10+INDEX(Surface_Engine!$D$12:$D$72,$A1623+1))))*INDEX(Surface_Engine!$B$12:$B$72,$A1623+1)</f>
        <v>1766.33024383409</v>
      </c>
      <c r="N1624" s="12" t="n">
        <f aca="false">IF(B1624&lt;=0,0,MAX(0,(K1624+Assumptions!$B$29*L1624/INDEX(Surface_Engine!$B$12:$B$72,$A1624+1)-(M1624/INDEX(Surface_Engine!$B$12:$B$72,$A1624+1)-(F1624/INDEX(Surface_Engine!$B$12:$B$72,$A1624+1))))/B1624))</f>
        <v>0</v>
      </c>
    </row>
    <row r="1625" customFormat="false" ht="15" hidden="false" customHeight="true" outlineLevel="0" collapsed="false">
      <c r="A1625" s="1" t="n">
        <v>42</v>
      </c>
      <c r="B1625" s="32" t="n">
        <f aca="false">INDEX(Surface_Engine!$V$12:$V$72,$A1625+1)*IF($A1625&lt;$Q$1581,INDEX(Surface_Engine!$E$12:$E$72,$A1625+1),INDEX(Surface_Engine!$E$12:$E$72,$Q$1581+1))</f>
        <v>2.00257089247066E-005</v>
      </c>
      <c r="C1625" s="32" t="n">
        <f aca="false">INDEX(Panel_Reserving!$H$8:$H$68,$A1625+1)*IF($A1625&lt;$Q$1581,INDEX(Surface_Engine!$E$12:$E$72,$A1625+1),INDEX(Surface_Engine!$E$12:$E$72,$Q$1581+1))</f>
        <v>0.000263495566043264</v>
      </c>
      <c r="D1625" s="32" t="n">
        <f aca="false">INDEX(Surface_Engine!$V$12:$V$72,$A1625+1)*IF($A1625&lt;$Q$1581,INDEX(Surface_Engine!$Y$12:$Y$72,$A1625+1),INDEX(Surface_Engine!$Y$12:$Y$72,$Q$1581+1))</f>
        <v>1.8563160435028E-005</v>
      </c>
      <c r="E1625" s="32" t="n">
        <f aca="false">INDEX(Surface_Engine!$V$12:$V$72,$A1625+1)*IF($A1625&lt;$Q$1581,INDEX(Surface_Engine!$Z$12:$Z$72,$A1625+1),INDEX(Surface_Engine!$Z$12:$Z$72,$Q$1581+1))</f>
        <v>2.15859422803749E-005</v>
      </c>
      <c r="F1625" s="48" t="n">
        <f aca="false">B1625*(IF($A1625&lt;$Q$1581,INDEX(Surface_Engine!$D$12:$D$72,$A1625+1)+(Surface_Engine!L251*12)*INDEX(Surface_Engine!$F$12:$F$72,$A1625+1)-(Surface_Engine!L251*12),1000*12*INDEX(Surface_Engine!$C$12:$C$72,$A1625+1)/(1+Assumptions!$B$10)^10+INDEX(Surface_Engine!$D$12:$D$72,$A1625+1)))*INDEX(Surface_Engine!$B$12:$B$72,$A1625+1)+F1626</f>
        <v>0.205351213395805</v>
      </c>
      <c r="G1625" s="48" t="n">
        <f aca="false">C1625*(IF($A1625&lt;$Q$1581,INDEX(Surface_Engine!$D$12:$D$72,$A1625+1)+(Surface_Engine!L251*12)*INDEX(Surface_Engine!$F$12:$F$72,$A1625+1)-(Surface_Engine!L251*12),1000*12*INDEX(Surface_Engine!$C$12:$C$72,$A1625+1)/(1+Assumptions!$B$10)^10+INDEX(Surface_Engine!$D$12:$D$72,$A1625+1)))*INDEX(Surface_Engine!$B$12:$B$72,$A1625+1)+G1626</f>
        <v>3.17681319098895</v>
      </c>
      <c r="H1625" s="48" t="n">
        <f aca="false">D1625*(IF($A1625&lt;$Q$1581,INDEX(Surface_Engine!$D$12:$D$72,$A1625+1)+(Surface_Engine!L251*12)*INDEX(Surface_Engine!$F$12:$F$72,$A1625+1)-(Surface_Engine!L251*12),1000*12*INDEX(Surface_Engine!$C$12:$C$72,$A1625+1)/(1+Assumptions!$B$10)^10+INDEX(Surface_Engine!$D$12:$D$72,$A1625+1)))*INDEX(Surface_Engine!$B$12:$B$72,$A1625+1)+H1626</f>
        <v>0.19035368655993</v>
      </c>
      <c r="I1625" s="48" t="n">
        <f aca="false">E1625*(IF($A1625&lt;$Q$1581,INDEX(Surface_Engine!$D$12:$D$72,$A1625+1)+(Surface_Engine!L251*12)*INDEX(Surface_Engine!$F$12:$F$72,$A1625+1)-(Surface_Engine!L251*12),1000*12*INDEX(Surface_Engine!$C$12:$C$72,$A1625+1)/(1+Assumptions!$B$10)^10+INDEX(Surface_Engine!$D$12:$D$72,$A1625+1)))*INDEX(Surface_Engine!$B$12:$B$72,$A1625+1)+I1626</f>
        <v>0.221350437891263</v>
      </c>
      <c r="J1625" s="48" t="n">
        <f aca="false">B1625*(IF($A1625&lt;$Q$1581,INDEX(Surface_Engine!$D$12:$D$72,$A1625+1)*(1+Assumptions!$B$24)+(Surface_Engine!L251*12)*INDEX(Surface_Engine!$F$12:$F$72,$A1625+1)-(Surface_Engine!L251*12),1000*12*INDEX(Surface_Engine!$C$12:$C$72,$A1625+1)/(1+Assumptions!$B$10)^10+INDEX(Surface_Engine!$D$12:$D$72,$A1625+1)*(1+Assumptions!$B$24)))*INDEX(Surface_Engine!$B$12:$B$72,$A1625+1)+J1626</f>
        <v>0.20555974636065</v>
      </c>
      <c r="K1625" s="12" t="n">
        <f aca="false">SQRT((IF(C1625&lt;=0,0,MAX(0,(B1625/C1625)*G1625/INDEX(Surface_Engine!$B$12:$B$72,$A1625+1)-F1625/INDEX(Surface_Engine!$B$12:$B$72,$A1625+1))))^2+(MAX(IF(D1625&lt;=0,0,MAX(0,(B1625/D1625)*H1625/INDEX(Surface_Engine!$B$12:$B$72,$A1625+1)-F1625/INDEX(Surface_Engine!$B$12:$B$72,$A1625+1))),IF(E1625&lt;=0,0,MAX(0,(B1625/E1625)*I1625/INDEX(Surface_Engine!$B$12:$B$72,$A1625+1)-F1625/INDEX(Surface_Engine!$B$12:$B$72,$A1625+1))),IF($A1625&lt;$Q$1581,MAX(0,-Assumptions!$B$22*(F1625/INDEX(Surface_Engine!$B$12:$B$72,$A1625+1))),0)))^2+(MAX(0,J1625/INDEX(Surface_Engine!$B$12:$B$72,$A1625+1)-(F1625/INDEX(Surface_Engine!$B$12:$B$72,$A1625+1))))^2+2*Assumptions!$B$26*(IF(C1625&lt;=0,0,MAX(0,(B1625/C1625)*G1625/INDEX(Surface_Engine!$B$12:$B$72,$A1625+1)-F1625/INDEX(Surface_Engine!$B$12:$B$72,$A1625+1))))*(MAX(IF(D1625&lt;=0,0,MAX(0,(B1625/D1625)*H1625/INDEX(Surface_Engine!$B$12:$B$72,$A1625+1)-F1625/INDEX(Surface_Engine!$B$12:$B$72,$A1625+1))),IF(E1625&lt;=0,0,MAX(0,(B1625/E1625)*I1625/INDEX(Surface_Engine!$B$12:$B$72,$A1625+1)-F1625/INDEX(Surface_Engine!$B$12:$B$72,$A1625+1))),IF($A1625&lt;$Q$1581,MAX(0,-Assumptions!$B$22*(F1625/INDEX(Surface_Engine!$B$12:$B$72,$A1625+1))),0)))+2*Assumptions!$B$27*(IF(C1625&lt;=0,0,MAX(0,(B1625/C1625)*G1625/INDEX(Surface_Engine!$B$12:$B$72,$A1625+1)-F1625/INDEX(Surface_Engine!$B$12:$B$72,$A1625+1))))*(MAX(0,J1625/INDEX(Surface_Engine!$B$12:$B$72,$A1625+1)-(F1625/INDEX(Surface_Engine!$B$12:$B$72,$A1625+1))))+2*Assumptions!$B$28*(MAX(IF(D1625&lt;=0,0,MAX(0,(B1625/D1625)*H1625/INDEX(Surface_Engine!$B$12:$B$72,$A1625+1)-F1625/INDEX(Surface_Engine!$B$12:$B$72,$A1625+1))),IF(E1625&lt;=0,0,MAX(0,(B1625/E1625)*I1625/INDEX(Surface_Engine!$B$12:$B$72,$A1625+1)-F1625/INDEX(Surface_Engine!$B$12:$B$72,$A1625+1))),IF($A1625&lt;$Q$1581,MAX(0,-Assumptions!$B$22*(F1625/INDEX(Surface_Engine!$B$12:$B$72,$A1625+1))),0)))*(MAX(0,J1625/INDEX(Surface_Engine!$B$12:$B$72,$A1625+1)-(F1625/INDEX(Surface_Engine!$B$12:$B$72,$A1625+1)))))</f>
        <v>0.135906581065632</v>
      </c>
      <c r="L1625" s="48" t="n">
        <f aca="false">K1625*INDEX(Surface_Engine!$B$12:$B$72,$A1625+1)+L1626</f>
        <v>0.050480159747487</v>
      </c>
      <c r="M1625" s="48" t="n">
        <f aca="false">M1624+B1624*(IF($A1624&lt;$Q$1581,(Surface_Engine!L251*12)-(Surface_Engine!L251*12)*INDEX(Surface_Engine!$F$12:$F$72,$A1624+1)-INDEX(Surface_Engine!$D$12:$D$72,$A1624+1),-(1000*12*INDEX(Surface_Engine!$C$12:$C$72,$A1624+1)/(1+Assumptions!$B$10)^10+INDEX(Surface_Engine!$D$12:$D$72,$A1624+1))))*INDEX(Surface_Engine!$B$12:$B$72,$A1624+1)</f>
        <v>1766.05999838026</v>
      </c>
      <c r="N1625" s="12" t="n">
        <f aca="false">IF(B1625&lt;=0,0,MAX(0,(K1625+Assumptions!$B$29*L1625/INDEX(Surface_Engine!$B$12:$B$72,$A1625+1)-(M1625/INDEX(Surface_Engine!$B$12:$B$72,$A1625+1)-(F1625/INDEX(Surface_Engine!$B$12:$B$72,$A1625+1))))/B1625))</f>
        <v>0</v>
      </c>
    </row>
    <row r="1626" customFormat="false" ht="15" hidden="false" customHeight="true" outlineLevel="0" collapsed="false">
      <c r="A1626" s="1" t="n">
        <v>43</v>
      </c>
      <c r="B1626" s="32" t="n">
        <f aca="false">INDEX(Surface_Engine!$V$12:$V$72,$A1626+1)*IF($A1626&lt;$Q$1581,INDEX(Surface_Engine!$E$12:$E$72,$A1626+1),INDEX(Surface_Engine!$E$12:$E$72,$Q$1581+1))</f>
        <v>8.79507093255399E-006</v>
      </c>
      <c r="C1626" s="32" t="n">
        <f aca="false">INDEX(Panel_Reserving!$H$8:$H$68,$A1626+1)*IF($A1626&lt;$Q$1581,INDEX(Surface_Engine!$E$12:$E$72,$A1626+1),INDEX(Surface_Engine!$E$12:$E$72,$Q$1581+1))</f>
        <v>0.000145278595012858</v>
      </c>
      <c r="D1626" s="32" t="n">
        <f aca="false">INDEX(Surface_Engine!$V$12:$V$72,$A1626+1)*IF($A1626&lt;$Q$1581,INDEX(Surface_Engine!$Y$12:$Y$72,$A1626+1),INDEX(Surface_Engine!$Y$12:$Y$72,$Q$1581+1))</f>
        <v>8.15273573446504E-006</v>
      </c>
      <c r="E1626" s="32" t="n">
        <f aca="false">INDEX(Surface_Engine!$V$12:$V$72,$A1626+1)*IF($A1626&lt;$Q$1581,INDEX(Surface_Engine!$Z$12:$Z$72,$A1626+1),INDEX(Surface_Engine!$Z$12:$Z$72,$Q$1581+1))</f>
        <v>9.48030824854779E-006</v>
      </c>
      <c r="F1626" s="48" t="n">
        <f aca="false">B1626*(IF($A1626&lt;$Q$1581,INDEX(Surface_Engine!$D$12:$D$72,$A1626+1)+(Surface_Engine!L251*12)*INDEX(Surface_Engine!$F$12:$F$72,$A1626+1)-(Surface_Engine!L251*12),1000*12*INDEX(Surface_Engine!$C$12:$C$72,$A1626+1)/(1+Assumptions!$B$10)^10+INDEX(Surface_Engine!$D$12:$D$72,$A1626+1)))*INDEX(Surface_Engine!$B$12:$B$72,$A1626+1)+F1627</f>
        <v>0.0836933536432637</v>
      </c>
      <c r="G1626" s="48" t="n">
        <f aca="false">C1626*(IF($A1626&lt;$Q$1581,INDEX(Surface_Engine!$D$12:$D$72,$A1626+1)+(Surface_Engine!L251*12)*INDEX(Surface_Engine!$F$12:$F$72,$A1626+1)-(Surface_Engine!L251*12),1000*12*INDEX(Surface_Engine!$C$12:$C$72,$A1626+1)/(1+Assumptions!$B$10)^10+INDEX(Surface_Engine!$D$12:$D$72,$A1626+1)))*INDEX(Surface_Engine!$B$12:$B$72,$A1626+1)+G1627</f>
        <v>1.57605554791951</v>
      </c>
      <c r="H1626" s="48" t="n">
        <f aca="false">D1626*(IF($A1626&lt;$Q$1581,INDEX(Surface_Engine!$D$12:$D$72,$A1626+1)+(Surface_Engine!L251*12)*INDEX(Surface_Engine!$F$12:$F$72,$A1626+1)-(Surface_Engine!L251*12),1000*12*INDEX(Surface_Engine!$C$12:$C$72,$A1626+1)/(1+Assumptions!$B$10)^10+INDEX(Surface_Engine!$D$12:$D$72,$A1626+1)))*INDEX(Surface_Engine!$B$12:$B$72,$A1626+1)+H1627</f>
        <v>0.0775809314350253</v>
      </c>
      <c r="I1626" s="48" t="n">
        <f aca="false">E1626*(IF($A1626&lt;$Q$1581,INDEX(Surface_Engine!$D$12:$D$72,$A1626+1)+(Surface_Engine!L251*12)*INDEX(Surface_Engine!$F$12:$F$72,$A1626+1)-(Surface_Engine!L251*12),1000*12*INDEX(Surface_Engine!$C$12:$C$72,$A1626+1)/(1+Assumptions!$B$10)^10+INDEX(Surface_Engine!$D$12:$D$72,$A1626+1)))*INDEX(Surface_Engine!$B$12:$B$72,$A1626+1)+I1627</f>
        <v>0.0902140297647894</v>
      </c>
      <c r="J1626" s="48" t="n">
        <f aca="false">B1626*(IF($A1626&lt;$Q$1581,INDEX(Surface_Engine!$D$12:$D$72,$A1626+1)*(1+Assumptions!$B$24)+(Surface_Engine!L251*12)*INDEX(Surface_Engine!$F$12:$F$72,$A1626+1)-(Surface_Engine!L251*12),1000*12*INDEX(Surface_Engine!$C$12:$C$72,$A1626+1)/(1+Assumptions!$B$10)^10+INDEX(Surface_Engine!$D$12:$D$72,$A1626+1)*(1+Assumptions!$B$24)))*INDEX(Surface_Engine!$B$12:$B$72,$A1626+1)+J1627</f>
        <v>0.0837787038753067</v>
      </c>
      <c r="K1626" s="12" t="n">
        <f aca="false">SQRT((IF(C1626&lt;=0,0,MAX(0,(B1626/C1626)*G1626/INDEX(Surface_Engine!$B$12:$B$72,$A1626+1)-F1626/INDEX(Surface_Engine!$B$12:$B$72,$A1626+1))))^2+(MAX(IF(D1626&lt;=0,0,MAX(0,(B1626/D1626)*H1626/INDEX(Surface_Engine!$B$12:$B$72,$A1626+1)-F1626/INDEX(Surface_Engine!$B$12:$B$72,$A1626+1))),IF(E1626&lt;=0,0,MAX(0,(B1626/E1626)*I1626/INDEX(Surface_Engine!$B$12:$B$72,$A1626+1)-F1626/INDEX(Surface_Engine!$B$12:$B$72,$A1626+1))),IF($A1626&lt;$Q$1581,MAX(0,-Assumptions!$B$22*(F1626/INDEX(Surface_Engine!$B$12:$B$72,$A1626+1))),0)))^2+(MAX(0,J1626/INDEX(Surface_Engine!$B$12:$B$72,$A1626+1)-(F1626/INDEX(Surface_Engine!$B$12:$B$72,$A1626+1))))^2+2*Assumptions!$B$26*(IF(C1626&lt;=0,0,MAX(0,(B1626/C1626)*G1626/INDEX(Surface_Engine!$B$12:$B$72,$A1626+1)-F1626/INDEX(Surface_Engine!$B$12:$B$72,$A1626+1))))*(MAX(IF(D1626&lt;=0,0,MAX(0,(B1626/D1626)*H1626/INDEX(Surface_Engine!$B$12:$B$72,$A1626+1)-F1626/INDEX(Surface_Engine!$B$12:$B$72,$A1626+1))),IF(E1626&lt;=0,0,MAX(0,(B1626/E1626)*I1626/INDEX(Surface_Engine!$B$12:$B$72,$A1626+1)-F1626/INDEX(Surface_Engine!$B$12:$B$72,$A1626+1))),IF($A1626&lt;$Q$1581,MAX(0,-Assumptions!$B$22*(F1626/INDEX(Surface_Engine!$B$12:$B$72,$A1626+1))),0)))+2*Assumptions!$B$27*(IF(C1626&lt;=0,0,MAX(0,(B1626/C1626)*G1626/INDEX(Surface_Engine!$B$12:$B$72,$A1626+1)-F1626/INDEX(Surface_Engine!$B$12:$B$72,$A1626+1))))*(MAX(0,J1626/INDEX(Surface_Engine!$B$12:$B$72,$A1626+1)-(F1626/INDEX(Surface_Engine!$B$12:$B$72,$A1626+1))))+2*Assumptions!$B$28*(MAX(IF(D1626&lt;=0,0,MAX(0,(B1626/D1626)*H1626/INDEX(Surface_Engine!$B$12:$B$72,$A1626+1)-F1626/INDEX(Surface_Engine!$B$12:$B$72,$A1626+1))),IF(E1626&lt;=0,0,MAX(0,(B1626/E1626)*I1626/INDEX(Surface_Engine!$B$12:$B$72,$A1626+1)-F1626/INDEX(Surface_Engine!$B$12:$B$72,$A1626+1))),IF($A1626&lt;$Q$1581,MAX(0,-Assumptions!$B$22*(F1626/INDEX(Surface_Engine!$B$12:$B$72,$A1626+1))),0)))*(MAX(0,J1626/INDEX(Surface_Engine!$B$12:$B$72,$A1626+1)-(F1626/INDEX(Surface_Engine!$B$12:$B$72,$A1626+1)))))</f>
        <v>0.0456080625611049</v>
      </c>
      <c r="L1626" s="48" t="n">
        <f aca="false">K1626*INDEX(Surface_Engine!$B$12:$B$72,$A1626+1)+L1627</f>
        <v>0.0143403198945442</v>
      </c>
      <c r="M1626" s="48" t="n">
        <f aca="false">M1625+B1625*(IF($A1625&lt;$Q$1581,(Surface_Engine!L251*12)-(Surface_Engine!L251*12)*INDEX(Surface_Engine!$F$12:$F$72,$A1625+1)-INDEX(Surface_Engine!$D$12:$D$72,$A1625+1),-(1000*12*INDEX(Surface_Engine!$C$12:$C$72,$A1625+1)/(1+Assumptions!$B$10)^10+INDEX(Surface_Engine!$D$12:$D$72,$A1625+1))))*INDEX(Surface_Engine!$B$12:$B$72,$A1625+1)</f>
        <v>1765.93834052051</v>
      </c>
      <c r="N1626" s="12" t="n">
        <f aca="false">IF(B1626&lt;=0,0,MAX(0,(K1626+Assumptions!$B$29*L1626/INDEX(Surface_Engine!$B$12:$B$72,$A1626+1)-(M1626/INDEX(Surface_Engine!$B$12:$B$72,$A1626+1)-(F1626/INDEX(Surface_Engine!$B$12:$B$72,$A1626+1))))/B1626))</f>
        <v>0</v>
      </c>
    </row>
    <row r="1627" customFormat="false" ht="15" hidden="false" customHeight="true" outlineLevel="0" collapsed="false">
      <c r="A1627" s="1" t="n">
        <v>44</v>
      </c>
      <c r="B1627" s="32" t="n">
        <f aca="false">INDEX(Surface_Engine!$V$12:$V$72,$A1627+1)*IF($A1627&lt;$Q$1581,INDEX(Surface_Engine!$E$12:$E$72,$A1627+1),INDEX(Surface_Engine!$E$12:$E$72,$Q$1581+1))</f>
        <v>3.72103623366954E-006</v>
      </c>
      <c r="C1627" s="32" t="n">
        <f aca="false">INDEX(Panel_Reserving!$H$8:$H$68,$A1627+1)*IF($A1627&lt;$Q$1581,INDEX(Surface_Engine!$E$12:$E$72,$A1627+1),INDEX(Surface_Engine!$E$12:$E$72,$Q$1581+1))</f>
        <v>7.82275262718932E-005</v>
      </c>
      <c r="D1627" s="32" t="n">
        <f aca="false">INDEX(Surface_Engine!$V$12:$V$72,$A1627+1)*IF($A1627&lt;$Q$1581,INDEX(Surface_Engine!$Y$12:$Y$72,$A1627+1),INDEX(Surface_Engine!$Y$12:$Y$72,$Q$1581+1))</f>
        <v>3.44927577095361E-006</v>
      </c>
      <c r="E1627" s="32" t="n">
        <f aca="false">INDEX(Surface_Engine!$V$12:$V$72,$A1627+1)*IF($A1627&lt;$Q$1581,INDEX(Surface_Engine!$Z$12:$Z$72,$A1627+1),INDEX(Surface_Engine!$Z$12:$Z$72,$Q$1581+1))</f>
        <v>4.01094781039573E-006</v>
      </c>
      <c r="F1627" s="48" t="n">
        <f aca="false">B1627*(IF($A1627&lt;$Q$1581,INDEX(Surface_Engine!$D$12:$D$72,$A1627+1)+(Surface_Engine!L251*12)*INDEX(Surface_Engine!$F$12:$F$72,$A1627+1)-(Surface_Engine!L251*12),1000*12*INDEX(Surface_Engine!$C$12:$C$72,$A1627+1)/(1+Assumptions!$B$10)^10+INDEX(Surface_Engine!$D$12:$D$72,$A1627+1)))*INDEX(Surface_Engine!$B$12:$B$72,$A1627+1)+F1628</f>
        <v>0.0309272627339318</v>
      </c>
      <c r="G1627" s="48" t="n">
        <f aca="false">C1627*(IF($A1627&lt;$Q$1581,INDEX(Surface_Engine!$D$12:$D$72,$A1627+1)+(Surface_Engine!L251*12)*INDEX(Surface_Engine!$F$12:$F$72,$A1627+1)-(Surface_Engine!L251*12),1000*12*INDEX(Surface_Engine!$C$12:$C$72,$A1627+1)/(1+Assumptions!$B$10)^10+INDEX(Surface_Engine!$D$12:$D$72,$A1627+1)))*INDEX(Surface_Engine!$B$12:$B$72,$A1627+1)+G1628</f>
        <v>0.70445557898073</v>
      </c>
      <c r="H1627" s="48" t="n">
        <f aca="false">D1627*(IF($A1627&lt;$Q$1581,INDEX(Surface_Engine!$D$12:$D$72,$A1627+1)+(Surface_Engine!L251*12)*INDEX(Surface_Engine!$F$12:$F$72,$A1627+1)-(Surface_Engine!L251*12),1000*12*INDEX(Surface_Engine!$C$12:$C$72,$A1627+1)/(1+Assumptions!$B$10)^10+INDEX(Surface_Engine!$D$12:$D$72,$A1627+1)))*INDEX(Surface_Engine!$B$12:$B$72,$A1627+1)+H1628</f>
        <v>0.028668535136748</v>
      </c>
      <c r="I1627" s="48" t="n">
        <f aca="false">E1627*(IF($A1627&lt;$Q$1581,INDEX(Surface_Engine!$D$12:$D$72,$A1627+1)+(Surface_Engine!L251*12)*INDEX(Surface_Engine!$F$12:$F$72,$A1627+1)-(Surface_Engine!L251*12),1000*12*INDEX(Surface_Engine!$C$12:$C$72,$A1627+1)/(1+Assumptions!$B$10)^10+INDEX(Surface_Engine!$D$12:$D$72,$A1627+1)))*INDEX(Surface_Engine!$B$12:$B$72,$A1627+1)+I1628</f>
        <v>0.0333368526814549</v>
      </c>
      <c r="J1627" s="48" t="n">
        <f aca="false">B1627*(IF($A1627&lt;$Q$1581,INDEX(Surface_Engine!$D$12:$D$72,$A1627+1)*(1+Assumptions!$B$24)+(Surface_Engine!L251*12)*INDEX(Surface_Engine!$F$12:$F$72,$A1627+1)-(Surface_Engine!L251*12),1000*12*INDEX(Surface_Engine!$C$12:$C$72,$A1627+1)/(1+Assumptions!$B$10)^10+INDEX(Surface_Engine!$D$12:$D$72,$A1627+1)*(1+Assumptions!$B$24)))*INDEX(Surface_Engine!$B$12:$B$72,$A1627+1)+J1628</f>
        <v>0.030958926264394</v>
      </c>
      <c r="K1627" s="12" t="n">
        <f aca="false">SQRT((IF(C1627&lt;=0,0,MAX(0,(B1627/C1627)*G1627/INDEX(Surface_Engine!$B$12:$B$72,$A1627+1)-F1627/INDEX(Surface_Engine!$B$12:$B$72,$A1627+1))))^2+(MAX(IF(D1627&lt;=0,0,MAX(0,(B1627/D1627)*H1627/INDEX(Surface_Engine!$B$12:$B$72,$A1627+1)-F1627/INDEX(Surface_Engine!$B$12:$B$72,$A1627+1))),IF(E1627&lt;=0,0,MAX(0,(B1627/E1627)*I1627/INDEX(Surface_Engine!$B$12:$B$72,$A1627+1)-F1627/INDEX(Surface_Engine!$B$12:$B$72,$A1627+1))),IF($A1627&lt;$Q$1581,MAX(0,-Assumptions!$B$22*(F1627/INDEX(Surface_Engine!$B$12:$B$72,$A1627+1))),0)))^2+(MAX(0,J1627/INDEX(Surface_Engine!$B$12:$B$72,$A1627+1)-(F1627/INDEX(Surface_Engine!$B$12:$B$72,$A1627+1))))^2+2*Assumptions!$B$26*(IF(C1627&lt;=0,0,MAX(0,(B1627/C1627)*G1627/INDEX(Surface_Engine!$B$12:$B$72,$A1627+1)-F1627/INDEX(Surface_Engine!$B$12:$B$72,$A1627+1))))*(MAX(IF(D1627&lt;=0,0,MAX(0,(B1627/D1627)*H1627/INDEX(Surface_Engine!$B$12:$B$72,$A1627+1)-F1627/INDEX(Surface_Engine!$B$12:$B$72,$A1627+1))),IF(E1627&lt;=0,0,MAX(0,(B1627/E1627)*I1627/INDEX(Surface_Engine!$B$12:$B$72,$A1627+1)-F1627/INDEX(Surface_Engine!$B$12:$B$72,$A1627+1))),IF($A1627&lt;$Q$1581,MAX(0,-Assumptions!$B$22*(F1627/INDEX(Surface_Engine!$B$12:$B$72,$A1627+1))),0)))+2*Assumptions!$B$27*(IF(C1627&lt;=0,0,MAX(0,(B1627/C1627)*G1627/INDEX(Surface_Engine!$B$12:$B$72,$A1627+1)-F1627/INDEX(Surface_Engine!$B$12:$B$72,$A1627+1))))*(MAX(0,J1627/INDEX(Surface_Engine!$B$12:$B$72,$A1627+1)-(F1627/INDEX(Surface_Engine!$B$12:$B$72,$A1627+1))))+2*Assumptions!$B$28*(MAX(IF(D1627&lt;=0,0,MAX(0,(B1627/D1627)*H1627/INDEX(Surface_Engine!$B$12:$B$72,$A1627+1)-F1627/INDEX(Surface_Engine!$B$12:$B$72,$A1627+1))),IF(E1627&lt;=0,0,MAX(0,(B1627/E1627)*I1627/INDEX(Surface_Engine!$B$12:$B$72,$A1627+1)-F1627/INDEX(Surface_Engine!$B$12:$B$72,$A1627+1))),IF($A1627&lt;$Q$1581,MAX(0,-Assumptions!$B$22*(F1627/INDEX(Surface_Engine!$B$12:$B$72,$A1627+1))),0)))*(MAX(0,J1627/INDEX(Surface_Engine!$B$12:$B$72,$A1627+1)-(F1627/INDEX(Surface_Engine!$B$12:$B$72,$A1627+1)))))</f>
        <v>0.0103855344924973</v>
      </c>
      <c r="L1627" s="48" t="n">
        <f aca="false">K1627*INDEX(Surface_Engine!$B$12:$B$72,$A1627+1)+L1628</f>
        <v>0.00259867516782155</v>
      </c>
      <c r="M1627" s="48" t="n">
        <f aca="false">M1626+B1626*(IF($A1626&lt;$Q$1581,(Surface_Engine!L251*12)-(Surface_Engine!L251*12)*INDEX(Surface_Engine!$F$12:$F$72,$A1626+1)-INDEX(Surface_Engine!$D$12:$D$72,$A1626+1),-(1000*12*INDEX(Surface_Engine!$C$12:$C$72,$A1626+1)/(1+Assumptions!$B$10)^10+INDEX(Surface_Engine!$D$12:$D$72,$A1626+1))))*INDEX(Surface_Engine!$B$12:$B$72,$A1626+1)</f>
        <v>1765.8855744296</v>
      </c>
      <c r="N1627" s="12" t="n">
        <f aca="false">IF(B1627&lt;=0,0,MAX(0,(K1627+Assumptions!$B$29*L1627/INDEX(Surface_Engine!$B$12:$B$72,$A1627+1)-(M1627/INDEX(Surface_Engine!$B$12:$B$72,$A1627+1)-(F1627/INDEX(Surface_Engine!$B$12:$B$72,$A1627+1))))/B1627))</f>
        <v>0</v>
      </c>
    </row>
    <row r="1628" customFormat="false" ht="15" hidden="false" customHeight="true" outlineLevel="0" collapsed="false">
      <c r="A1628" s="1" t="n">
        <v>45</v>
      </c>
      <c r="B1628" s="32" t="n">
        <f aca="false">INDEX(Surface_Engine!$V$12:$V$72,$A1628+1)*IF($A1628&lt;$Q$1581,INDEX(Surface_Engine!$E$12:$E$72,$A1628+1),INDEX(Surface_Engine!$E$12:$E$72,$Q$1581+1))</f>
        <v>1.51580284196025E-006</v>
      </c>
      <c r="C1628" s="32" t="n">
        <f aca="false">INDEX(Panel_Reserving!$H$8:$H$68,$A1628+1)*IF($A1628&lt;$Q$1581,INDEX(Surface_Engine!$E$12:$E$72,$A1628+1),INDEX(Surface_Engine!$E$12:$E$72,$Q$1581+1))</f>
        <v>4.11389429305861E-005</v>
      </c>
      <c r="D1628" s="32" t="n">
        <f aca="false">INDEX(Surface_Engine!$V$12:$V$72,$A1628+1)*IF($A1628&lt;$Q$1581,INDEX(Surface_Engine!$Y$12:$Y$72,$A1628+1),INDEX(Surface_Engine!$Y$12:$Y$72,$Q$1581+1))</f>
        <v>1.40509838872492E-006</v>
      </c>
      <c r="E1628" s="32" t="n">
        <f aca="false">INDEX(Surface_Engine!$V$12:$V$72,$A1628+1)*IF($A1628&lt;$Q$1581,INDEX(Surface_Engine!$Z$12:$Z$72,$A1628+1),INDEX(Surface_Engine!$Z$12:$Z$72,$Q$1581+1))</f>
        <v>1.63390134042215E-006</v>
      </c>
      <c r="F1628" s="48" t="n">
        <f aca="false">B1628*(IF($A1628&lt;$Q$1581,INDEX(Surface_Engine!$D$12:$D$72,$A1628+1)+(Surface_Engine!L251*12)*INDEX(Surface_Engine!$F$12:$F$72,$A1628+1)-(Surface_Engine!L251*12),1000*12*INDEX(Surface_Engine!$C$12:$C$72,$A1628+1)/(1+Assumptions!$B$10)^10+INDEX(Surface_Engine!$D$12:$D$72,$A1628+1)))*INDEX(Surface_Engine!$B$12:$B$72,$A1628+1)+F1629</f>
        <v>0.00887205225853308</v>
      </c>
      <c r="G1628" s="48" t="n">
        <f aca="false">C1628*(IF($A1628&lt;$Q$1581,INDEX(Surface_Engine!$D$12:$D$72,$A1628+1)+(Surface_Engine!L251*12)*INDEX(Surface_Engine!$F$12:$F$72,$A1628+1)-(Surface_Engine!L251*12),1000*12*INDEX(Surface_Engine!$C$12:$C$72,$A1628+1)/(1+Assumptions!$B$10)^10+INDEX(Surface_Engine!$D$12:$D$72,$A1628+1)))*INDEX(Surface_Engine!$B$12:$B$72,$A1628+1)+G1629</f>
        <v>0.240787813188796</v>
      </c>
      <c r="H1628" s="48" t="n">
        <f aca="false">D1628*(IF($A1628&lt;$Q$1581,INDEX(Surface_Engine!$D$12:$D$72,$A1628+1)+(Surface_Engine!L251*12)*INDEX(Surface_Engine!$F$12:$F$72,$A1628+1)-(Surface_Engine!L251*12),1000*12*INDEX(Surface_Engine!$C$12:$C$72,$A1628+1)/(1+Assumptions!$B$10)^10+INDEX(Surface_Engine!$D$12:$D$72,$A1628+1)))*INDEX(Surface_Engine!$B$12:$B$72,$A1628+1)+H1629</f>
        <v>0.00822409484140223</v>
      </c>
      <c r="I1628" s="48" t="n">
        <f aca="false">E1628*(IF($A1628&lt;$Q$1581,INDEX(Surface_Engine!$D$12:$D$72,$A1628+1)+(Surface_Engine!L251*12)*INDEX(Surface_Engine!$F$12:$F$72,$A1628+1)-(Surface_Engine!L251*12),1000*12*INDEX(Surface_Engine!$C$12:$C$72,$A1628+1)/(1+Assumptions!$B$10)^10+INDEX(Surface_Engine!$D$12:$D$72,$A1628+1)))*INDEX(Surface_Engine!$B$12:$B$72,$A1628+1)+I1629</f>
        <v>0.00956328730639284</v>
      </c>
      <c r="J1628" s="48" t="n">
        <f aca="false">B1628*(IF($A1628&lt;$Q$1581,INDEX(Surface_Engine!$D$12:$D$72,$A1628+1)*(1+Assumptions!$B$24)+(Surface_Engine!L251*12)*INDEX(Surface_Engine!$F$12:$F$72,$A1628+1)-(Surface_Engine!L251*12),1000*12*INDEX(Surface_Engine!$C$12:$C$72,$A1628+1)/(1+Assumptions!$B$10)^10+INDEX(Surface_Engine!$D$12:$D$72,$A1628+1)*(1+Assumptions!$B$24)))*INDEX(Surface_Engine!$B$12:$B$72,$A1628+1)+J1629</f>
        <v>0.00888116690555998</v>
      </c>
      <c r="K1628" s="12" t="n">
        <f aca="false">SQRT((IF(C1628&lt;=0,0,MAX(0,(B1628/C1628)*G1628/INDEX(Surface_Engine!$B$12:$B$72,$A1628+1)-F1628/INDEX(Surface_Engine!$B$12:$B$72,$A1628+1))))^2+(MAX(IF(D1628&lt;=0,0,MAX(0,(B1628/D1628)*H1628/INDEX(Surface_Engine!$B$12:$B$72,$A1628+1)-F1628/INDEX(Surface_Engine!$B$12:$B$72,$A1628+1))),IF(E1628&lt;=0,0,MAX(0,(B1628/E1628)*I1628/INDEX(Surface_Engine!$B$12:$B$72,$A1628+1)-F1628/INDEX(Surface_Engine!$B$12:$B$72,$A1628+1))),IF($A1628&lt;$Q$1581,MAX(0,-Assumptions!$B$22*(F1628/INDEX(Surface_Engine!$B$12:$B$72,$A1628+1))),0)))^2+(MAX(0,J1628/INDEX(Surface_Engine!$B$12:$B$72,$A1628+1)-(F1628/INDEX(Surface_Engine!$B$12:$B$72,$A1628+1))))^2+2*Assumptions!$B$26*(IF(C1628&lt;=0,0,MAX(0,(B1628/C1628)*G1628/INDEX(Surface_Engine!$B$12:$B$72,$A1628+1)-F1628/INDEX(Surface_Engine!$B$12:$B$72,$A1628+1))))*(MAX(IF(D1628&lt;=0,0,MAX(0,(B1628/D1628)*H1628/INDEX(Surface_Engine!$B$12:$B$72,$A1628+1)-F1628/INDEX(Surface_Engine!$B$12:$B$72,$A1628+1))),IF(E1628&lt;=0,0,MAX(0,(B1628/E1628)*I1628/INDEX(Surface_Engine!$B$12:$B$72,$A1628+1)-F1628/INDEX(Surface_Engine!$B$12:$B$72,$A1628+1))),IF($A1628&lt;$Q$1581,MAX(0,-Assumptions!$B$22*(F1628/INDEX(Surface_Engine!$B$12:$B$72,$A1628+1))),0)))+2*Assumptions!$B$27*(IF(C1628&lt;=0,0,MAX(0,(B1628/C1628)*G1628/INDEX(Surface_Engine!$B$12:$B$72,$A1628+1)-F1628/INDEX(Surface_Engine!$B$12:$B$72,$A1628+1))))*(MAX(0,J1628/INDEX(Surface_Engine!$B$12:$B$72,$A1628+1)-(F1628/INDEX(Surface_Engine!$B$12:$B$72,$A1628+1))))+2*Assumptions!$B$28*(MAX(IF(D1628&lt;=0,0,MAX(0,(B1628/D1628)*H1628/INDEX(Surface_Engine!$B$12:$B$72,$A1628+1)-F1628/INDEX(Surface_Engine!$B$12:$B$72,$A1628+1))),IF(E1628&lt;=0,0,MAX(0,(B1628/E1628)*I1628/INDEX(Surface_Engine!$B$12:$B$72,$A1628+1)-F1628/INDEX(Surface_Engine!$B$12:$B$72,$A1628+1))),IF($A1628&lt;$Q$1581,MAX(0,-Assumptions!$B$22*(F1628/INDEX(Surface_Engine!$B$12:$B$72,$A1628+1))),0)))*(MAX(0,J1628/INDEX(Surface_Engine!$B$12:$B$72,$A1628+1)-(F1628/INDEX(Surface_Engine!$B$12:$B$72,$A1628+1)))))</f>
        <v>3.77598718746819E-005</v>
      </c>
      <c r="L1628" s="48" t="n">
        <f aca="false">K1628*INDEX(Surface_Engine!$B$12:$B$72,$A1628+1)+L1629</f>
        <v>9.11464702689369E-006</v>
      </c>
      <c r="M1628" s="48" t="n">
        <f aca="false">M1627+B1627*(IF($A1627&lt;$Q$1581,(Surface_Engine!L251*12)-(Surface_Engine!L251*12)*INDEX(Surface_Engine!$F$12:$F$72,$A1627+1)-INDEX(Surface_Engine!$D$12:$D$72,$A1627+1),-(1000*12*INDEX(Surface_Engine!$C$12:$C$72,$A1627+1)/(1+Assumptions!$B$10)^10+INDEX(Surface_Engine!$D$12:$D$72,$A1627+1))))*INDEX(Surface_Engine!$B$12:$B$72,$A1627+1)</f>
        <v>1765.86351921912</v>
      </c>
      <c r="N1628" s="12" t="n">
        <f aca="false">IF(B1628&lt;=0,0,MAX(0,(K1628+Assumptions!$B$29*L1628/INDEX(Surface_Engine!$B$12:$B$72,$A1628+1)-(M1628/INDEX(Surface_Engine!$B$12:$B$72,$A1628+1)-(F1628/INDEX(Surface_Engine!$B$12:$B$72,$A1628+1))))/B1628))</f>
        <v>0</v>
      </c>
    </row>
    <row r="1629" customFormat="false" ht="15" hidden="false" customHeight="true" outlineLevel="0" collapsed="false">
      <c r="A1629" s="1" t="n">
        <v>46</v>
      </c>
      <c r="B1629" s="32" t="n">
        <f aca="false">INDEX(Surface_Engine!$V$12:$V$72,$A1629+1)*IF($A1629&lt;$Q$1581,INDEX(Surface_Engine!$E$12:$E$72,$A1629+1),INDEX(Surface_Engine!$E$12:$E$72,$Q$1581+1))</f>
        <v>0</v>
      </c>
      <c r="C1629" s="32" t="n">
        <f aca="false">INDEX(Panel_Reserving!$H$8:$H$68,$A1629+1)*IF($A1629&lt;$Q$1581,INDEX(Surface_Engine!$E$12:$E$72,$A1629+1),INDEX(Surface_Engine!$E$12:$E$72,$Q$1581+1))</f>
        <v>0</v>
      </c>
      <c r="D1629" s="32" t="n">
        <f aca="false">INDEX(Surface_Engine!$V$12:$V$72,$A1629+1)*IF($A1629&lt;$Q$1581,INDEX(Surface_Engine!$Y$12:$Y$72,$A1629+1),INDEX(Surface_Engine!$Y$12:$Y$72,$Q$1581+1))</f>
        <v>0</v>
      </c>
      <c r="E1629" s="32" t="n">
        <f aca="false">INDEX(Surface_Engine!$V$12:$V$72,$A1629+1)*IF($A1629&lt;$Q$1581,INDEX(Surface_Engine!$Z$12:$Z$72,$A1629+1),INDEX(Surface_Engine!$Z$12:$Z$72,$Q$1581+1))</f>
        <v>0</v>
      </c>
      <c r="F1629" s="48" t="n">
        <f aca="false">B1629*(IF($A1629&lt;$Q$1581,INDEX(Surface_Engine!$D$12:$D$72,$A1629+1)+(Surface_Engine!L251*12)*INDEX(Surface_Engine!$F$12:$F$72,$A1629+1)-(Surface_Engine!L251*12),1000*12*INDEX(Surface_Engine!$C$12:$C$72,$A1629+1)/(1+Assumptions!$B$10)^10+INDEX(Surface_Engine!$D$12:$D$72,$A1629+1)))*INDEX(Surface_Engine!$B$12:$B$72,$A1629+1)+F1630</f>
        <v>0</v>
      </c>
      <c r="G1629" s="48" t="n">
        <f aca="false">C1629*(IF($A1629&lt;$Q$1581,INDEX(Surface_Engine!$D$12:$D$72,$A1629+1)+(Surface_Engine!L251*12)*INDEX(Surface_Engine!$F$12:$F$72,$A1629+1)-(Surface_Engine!L251*12),1000*12*INDEX(Surface_Engine!$C$12:$C$72,$A1629+1)/(1+Assumptions!$B$10)^10+INDEX(Surface_Engine!$D$12:$D$72,$A1629+1)))*INDEX(Surface_Engine!$B$12:$B$72,$A1629+1)+G1630</f>
        <v>0</v>
      </c>
      <c r="H1629" s="48" t="n">
        <f aca="false">D1629*(IF($A1629&lt;$Q$1581,INDEX(Surface_Engine!$D$12:$D$72,$A1629+1)+(Surface_Engine!L251*12)*INDEX(Surface_Engine!$F$12:$F$72,$A1629+1)-(Surface_Engine!L251*12),1000*12*INDEX(Surface_Engine!$C$12:$C$72,$A1629+1)/(1+Assumptions!$B$10)^10+INDEX(Surface_Engine!$D$12:$D$72,$A1629+1)))*INDEX(Surface_Engine!$B$12:$B$72,$A1629+1)+H1630</f>
        <v>0</v>
      </c>
      <c r="I1629" s="48" t="n">
        <f aca="false">E1629*(IF($A1629&lt;$Q$1581,INDEX(Surface_Engine!$D$12:$D$72,$A1629+1)+(Surface_Engine!L251*12)*INDEX(Surface_Engine!$F$12:$F$72,$A1629+1)-(Surface_Engine!L251*12),1000*12*INDEX(Surface_Engine!$C$12:$C$72,$A1629+1)/(1+Assumptions!$B$10)^10+INDEX(Surface_Engine!$D$12:$D$72,$A1629+1)))*INDEX(Surface_Engine!$B$12:$B$72,$A1629+1)+I1630</f>
        <v>0</v>
      </c>
      <c r="J1629" s="48" t="n">
        <f aca="false">B1629*(IF($A1629&lt;$Q$1581,INDEX(Surface_Engine!$D$12:$D$72,$A1629+1)*(1+Assumptions!$B$24)+(Surface_Engine!L251*12)*INDEX(Surface_Engine!$F$12:$F$72,$A1629+1)-(Surface_Engine!L251*12),1000*12*INDEX(Surface_Engine!$C$12:$C$72,$A1629+1)/(1+Assumptions!$B$10)^10+INDEX(Surface_Engine!$D$12:$D$72,$A1629+1)*(1+Assumptions!$B$24)))*INDEX(Surface_Engine!$B$12:$B$72,$A1629+1)+J1630</f>
        <v>0</v>
      </c>
      <c r="K1629" s="12" t="n">
        <f aca="false">SQRT((IF(C1629&lt;=0,0,MAX(0,(B1629/C1629)*G1629/INDEX(Surface_Engine!$B$12:$B$72,$A1629+1)-F1629/INDEX(Surface_Engine!$B$12:$B$72,$A1629+1))))^2+(MAX(IF(D1629&lt;=0,0,MAX(0,(B1629/D1629)*H1629/INDEX(Surface_Engine!$B$12:$B$72,$A1629+1)-F1629/INDEX(Surface_Engine!$B$12:$B$72,$A1629+1))),IF(E1629&lt;=0,0,MAX(0,(B1629/E1629)*I1629/INDEX(Surface_Engine!$B$12:$B$72,$A1629+1)-F1629/INDEX(Surface_Engine!$B$12:$B$72,$A1629+1))),IF($A1629&lt;$Q$1581,MAX(0,-Assumptions!$B$22*(F1629/INDEX(Surface_Engine!$B$12:$B$72,$A1629+1))),0)))^2+(MAX(0,J1629/INDEX(Surface_Engine!$B$12:$B$72,$A1629+1)-(F1629/INDEX(Surface_Engine!$B$12:$B$72,$A1629+1))))^2+2*Assumptions!$B$26*(IF(C1629&lt;=0,0,MAX(0,(B1629/C1629)*G1629/INDEX(Surface_Engine!$B$12:$B$72,$A1629+1)-F1629/INDEX(Surface_Engine!$B$12:$B$72,$A1629+1))))*(MAX(IF(D1629&lt;=0,0,MAX(0,(B1629/D1629)*H1629/INDEX(Surface_Engine!$B$12:$B$72,$A1629+1)-F1629/INDEX(Surface_Engine!$B$12:$B$72,$A1629+1))),IF(E1629&lt;=0,0,MAX(0,(B1629/E1629)*I1629/INDEX(Surface_Engine!$B$12:$B$72,$A1629+1)-F1629/INDEX(Surface_Engine!$B$12:$B$72,$A1629+1))),IF($A1629&lt;$Q$1581,MAX(0,-Assumptions!$B$22*(F1629/INDEX(Surface_Engine!$B$12:$B$72,$A1629+1))),0)))+2*Assumptions!$B$27*(IF(C1629&lt;=0,0,MAX(0,(B1629/C1629)*G1629/INDEX(Surface_Engine!$B$12:$B$72,$A1629+1)-F1629/INDEX(Surface_Engine!$B$12:$B$72,$A1629+1))))*(MAX(0,J1629/INDEX(Surface_Engine!$B$12:$B$72,$A1629+1)-(F1629/INDEX(Surface_Engine!$B$12:$B$72,$A1629+1))))+2*Assumptions!$B$28*(MAX(IF(D1629&lt;=0,0,MAX(0,(B1629/D1629)*H1629/INDEX(Surface_Engine!$B$12:$B$72,$A1629+1)-F1629/INDEX(Surface_Engine!$B$12:$B$72,$A1629+1))),IF(E1629&lt;=0,0,MAX(0,(B1629/E1629)*I1629/INDEX(Surface_Engine!$B$12:$B$72,$A1629+1)-F1629/INDEX(Surface_Engine!$B$12:$B$72,$A1629+1))),IF($A1629&lt;$Q$1581,MAX(0,-Assumptions!$B$22*(F1629/INDEX(Surface_Engine!$B$12:$B$72,$A1629+1))),0)))*(MAX(0,J1629/INDEX(Surface_Engine!$B$12:$B$72,$A1629+1)-(F1629/INDEX(Surface_Engine!$B$12:$B$72,$A1629+1)))))</f>
        <v>0</v>
      </c>
      <c r="L1629" s="48" t="n">
        <f aca="false">K1629*INDEX(Surface_Engine!$B$12:$B$72,$A1629+1)+L1630</f>
        <v>0</v>
      </c>
      <c r="M1629" s="48" t="n">
        <f aca="false">M1628+B1628*(IF($A1628&lt;$Q$1581,(Surface_Engine!L251*12)-(Surface_Engine!L251*12)*INDEX(Surface_Engine!$F$12:$F$72,$A1628+1)-INDEX(Surface_Engine!$D$12:$D$72,$A1628+1),-(1000*12*INDEX(Surface_Engine!$C$12:$C$72,$A1628+1)/(1+Assumptions!$B$10)^10+INDEX(Surface_Engine!$D$12:$D$72,$A1628+1))))*INDEX(Surface_Engine!$B$12:$B$72,$A1628+1)</f>
        <v>1765.85464716686</v>
      </c>
      <c r="N1629" s="12" t="n">
        <f aca="false">IF(B1629&lt;=0,0,MAX(0,(K1629+Assumptions!$B$29*L1629/INDEX(Surface_Engine!$B$12:$B$72,$A1629+1)-(M1629/INDEX(Surface_Engine!$B$12:$B$72,$A1629+1)-(F1629/INDEX(Surface_Engine!$B$12:$B$72,$A1629+1))))/B1629))</f>
        <v>0</v>
      </c>
    </row>
    <row r="1630" customFormat="false" ht="15" hidden="false" customHeight="true" outlineLevel="0" collapsed="false">
      <c r="A1630" s="1" t="n">
        <v>47</v>
      </c>
      <c r="B1630" s="32" t="n">
        <f aca="false">INDEX(Surface_Engine!$V$12:$V$72,$A1630+1)*IF($A1630&lt;$Q$1581,INDEX(Surface_Engine!$E$12:$E$72,$A1630+1),INDEX(Surface_Engine!$E$12:$E$72,$Q$1581+1))</f>
        <v>0</v>
      </c>
      <c r="C1630" s="32" t="n">
        <f aca="false">INDEX(Panel_Reserving!$H$8:$H$68,$A1630+1)*IF($A1630&lt;$Q$1581,INDEX(Surface_Engine!$E$12:$E$72,$A1630+1),INDEX(Surface_Engine!$E$12:$E$72,$Q$1581+1))</f>
        <v>0</v>
      </c>
      <c r="D1630" s="32" t="n">
        <f aca="false">INDEX(Surface_Engine!$V$12:$V$72,$A1630+1)*IF($A1630&lt;$Q$1581,INDEX(Surface_Engine!$Y$12:$Y$72,$A1630+1),INDEX(Surface_Engine!$Y$12:$Y$72,$Q$1581+1))</f>
        <v>0</v>
      </c>
      <c r="E1630" s="32" t="n">
        <f aca="false">INDEX(Surface_Engine!$V$12:$V$72,$A1630+1)*IF($A1630&lt;$Q$1581,INDEX(Surface_Engine!$Z$12:$Z$72,$A1630+1),INDEX(Surface_Engine!$Z$12:$Z$72,$Q$1581+1))</f>
        <v>0</v>
      </c>
      <c r="F1630" s="48" t="n">
        <f aca="false">B1630*(IF($A1630&lt;$Q$1581,INDEX(Surface_Engine!$D$12:$D$72,$A1630+1)+(Surface_Engine!L251*12)*INDEX(Surface_Engine!$F$12:$F$72,$A1630+1)-(Surface_Engine!L251*12),1000*12*INDEX(Surface_Engine!$C$12:$C$72,$A1630+1)/(1+Assumptions!$B$10)^10+INDEX(Surface_Engine!$D$12:$D$72,$A1630+1)))*INDEX(Surface_Engine!$B$12:$B$72,$A1630+1)+F1631</f>
        <v>0</v>
      </c>
      <c r="G1630" s="48" t="n">
        <f aca="false">C1630*(IF($A1630&lt;$Q$1581,INDEX(Surface_Engine!$D$12:$D$72,$A1630+1)+(Surface_Engine!L251*12)*INDEX(Surface_Engine!$F$12:$F$72,$A1630+1)-(Surface_Engine!L251*12),1000*12*INDEX(Surface_Engine!$C$12:$C$72,$A1630+1)/(1+Assumptions!$B$10)^10+INDEX(Surface_Engine!$D$12:$D$72,$A1630+1)))*INDEX(Surface_Engine!$B$12:$B$72,$A1630+1)+G1631</f>
        <v>0</v>
      </c>
      <c r="H1630" s="48" t="n">
        <f aca="false">D1630*(IF($A1630&lt;$Q$1581,INDEX(Surface_Engine!$D$12:$D$72,$A1630+1)+(Surface_Engine!L251*12)*INDEX(Surface_Engine!$F$12:$F$72,$A1630+1)-(Surface_Engine!L251*12),1000*12*INDEX(Surface_Engine!$C$12:$C$72,$A1630+1)/(1+Assumptions!$B$10)^10+INDEX(Surface_Engine!$D$12:$D$72,$A1630+1)))*INDEX(Surface_Engine!$B$12:$B$72,$A1630+1)+H1631</f>
        <v>0</v>
      </c>
      <c r="I1630" s="48" t="n">
        <f aca="false">E1630*(IF($A1630&lt;$Q$1581,INDEX(Surface_Engine!$D$12:$D$72,$A1630+1)+(Surface_Engine!L251*12)*INDEX(Surface_Engine!$F$12:$F$72,$A1630+1)-(Surface_Engine!L251*12),1000*12*INDEX(Surface_Engine!$C$12:$C$72,$A1630+1)/(1+Assumptions!$B$10)^10+INDEX(Surface_Engine!$D$12:$D$72,$A1630+1)))*INDEX(Surface_Engine!$B$12:$B$72,$A1630+1)+I1631</f>
        <v>0</v>
      </c>
      <c r="J1630" s="48" t="n">
        <f aca="false">B1630*(IF($A1630&lt;$Q$1581,INDEX(Surface_Engine!$D$12:$D$72,$A1630+1)*(1+Assumptions!$B$24)+(Surface_Engine!L251*12)*INDEX(Surface_Engine!$F$12:$F$72,$A1630+1)-(Surface_Engine!L251*12),1000*12*INDEX(Surface_Engine!$C$12:$C$72,$A1630+1)/(1+Assumptions!$B$10)^10+INDEX(Surface_Engine!$D$12:$D$72,$A1630+1)*(1+Assumptions!$B$24)))*INDEX(Surface_Engine!$B$12:$B$72,$A1630+1)+J1631</f>
        <v>0</v>
      </c>
      <c r="K1630" s="12" t="n">
        <f aca="false">SQRT((IF(C1630&lt;=0,0,MAX(0,(B1630/C1630)*G1630/INDEX(Surface_Engine!$B$12:$B$72,$A1630+1)-F1630/INDEX(Surface_Engine!$B$12:$B$72,$A1630+1))))^2+(MAX(IF(D1630&lt;=0,0,MAX(0,(B1630/D1630)*H1630/INDEX(Surface_Engine!$B$12:$B$72,$A1630+1)-F1630/INDEX(Surface_Engine!$B$12:$B$72,$A1630+1))),IF(E1630&lt;=0,0,MAX(0,(B1630/E1630)*I1630/INDEX(Surface_Engine!$B$12:$B$72,$A1630+1)-F1630/INDEX(Surface_Engine!$B$12:$B$72,$A1630+1))),IF($A1630&lt;$Q$1581,MAX(0,-Assumptions!$B$22*(F1630/INDEX(Surface_Engine!$B$12:$B$72,$A1630+1))),0)))^2+(MAX(0,J1630/INDEX(Surface_Engine!$B$12:$B$72,$A1630+1)-(F1630/INDEX(Surface_Engine!$B$12:$B$72,$A1630+1))))^2+2*Assumptions!$B$26*(IF(C1630&lt;=0,0,MAX(0,(B1630/C1630)*G1630/INDEX(Surface_Engine!$B$12:$B$72,$A1630+1)-F1630/INDEX(Surface_Engine!$B$12:$B$72,$A1630+1))))*(MAX(IF(D1630&lt;=0,0,MAX(0,(B1630/D1630)*H1630/INDEX(Surface_Engine!$B$12:$B$72,$A1630+1)-F1630/INDEX(Surface_Engine!$B$12:$B$72,$A1630+1))),IF(E1630&lt;=0,0,MAX(0,(B1630/E1630)*I1630/INDEX(Surface_Engine!$B$12:$B$72,$A1630+1)-F1630/INDEX(Surface_Engine!$B$12:$B$72,$A1630+1))),IF($A1630&lt;$Q$1581,MAX(0,-Assumptions!$B$22*(F1630/INDEX(Surface_Engine!$B$12:$B$72,$A1630+1))),0)))+2*Assumptions!$B$27*(IF(C1630&lt;=0,0,MAX(0,(B1630/C1630)*G1630/INDEX(Surface_Engine!$B$12:$B$72,$A1630+1)-F1630/INDEX(Surface_Engine!$B$12:$B$72,$A1630+1))))*(MAX(0,J1630/INDEX(Surface_Engine!$B$12:$B$72,$A1630+1)-(F1630/INDEX(Surface_Engine!$B$12:$B$72,$A1630+1))))+2*Assumptions!$B$28*(MAX(IF(D1630&lt;=0,0,MAX(0,(B1630/D1630)*H1630/INDEX(Surface_Engine!$B$12:$B$72,$A1630+1)-F1630/INDEX(Surface_Engine!$B$12:$B$72,$A1630+1))),IF(E1630&lt;=0,0,MAX(0,(B1630/E1630)*I1630/INDEX(Surface_Engine!$B$12:$B$72,$A1630+1)-F1630/INDEX(Surface_Engine!$B$12:$B$72,$A1630+1))),IF($A1630&lt;$Q$1581,MAX(0,-Assumptions!$B$22*(F1630/INDEX(Surface_Engine!$B$12:$B$72,$A1630+1))),0)))*(MAX(0,J1630/INDEX(Surface_Engine!$B$12:$B$72,$A1630+1)-(F1630/INDEX(Surface_Engine!$B$12:$B$72,$A1630+1)))))</f>
        <v>0</v>
      </c>
      <c r="L1630" s="48" t="n">
        <f aca="false">K1630*INDEX(Surface_Engine!$B$12:$B$72,$A1630+1)+L1631</f>
        <v>0</v>
      </c>
      <c r="M1630" s="48" t="n">
        <f aca="false">M1629+B1629*(IF($A1629&lt;$Q$1581,(Surface_Engine!L251*12)-(Surface_Engine!L251*12)*INDEX(Surface_Engine!$F$12:$F$72,$A1629+1)-INDEX(Surface_Engine!$D$12:$D$72,$A1629+1),-(1000*12*INDEX(Surface_Engine!$C$12:$C$72,$A1629+1)/(1+Assumptions!$B$10)^10+INDEX(Surface_Engine!$D$12:$D$72,$A1629+1))))*INDEX(Surface_Engine!$B$12:$B$72,$A1629+1)</f>
        <v>1765.85464716686</v>
      </c>
      <c r="N1630" s="12" t="n">
        <f aca="false">IF(B1630&lt;=0,0,MAX(0,(K1630+Assumptions!$B$29*L1630/INDEX(Surface_Engine!$B$12:$B$72,$A1630+1)-(M1630/INDEX(Surface_Engine!$B$12:$B$72,$A1630+1)-(F1630/INDEX(Surface_Engine!$B$12:$B$72,$A1630+1))))/B1630))</f>
        <v>0</v>
      </c>
    </row>
    <row r="1631" customFormat="false" ht="15" hidden="false" customHeight="true" outlineLevel="0" collapsed="false">
      <c r="A1631" s="1" t="n">
        <v>48</v>
      </c>
      <c r="B1631" s="32" t="n">
        <f aca="false">INDEX(Surface_Engine!$V$12:$V$72,$A1631+1)*IF($A1631&lt;$Q$1581,INDEX(Surface_Engine!$E$12:$E$72,$A1631+1),INDEX(Surface_Engine!$E$12:$E$72,$Q$1581+1))</f>
        <v>0</v>
      </c>
      <c r="C1631" s="32" t="n">
        <f aca="false">INDEX(Panel_Reserving!$H$8:$H$68,$A1631+1)*IF($A1631&lt;$Q$1581,INDEX(Surface_Engine!$E$12:$E$72,$A1631+1),INDEX(Surface_Engine!$E$12:$E$72,$Q$1581+1))</f>
        <v>0</v>
      </c>
      <c r="D1631" s="32" t="n">
        <f aca="false">INDEX(Surface_Engine!$V$12:$V$72,$A1631+1)*IF($A1631&lt;$Q$1581,INDEX(Surface_Engine!$Y$12:$Y$72,$A1631+1),INDEX(Surface_Engine!$Y$12:$Y$72,$Q$1581+1))</f>
        <v>0</v>
      </c>
      <c r="E1631" s="32" t="n">
        <f aca="false">INDEX(Surface_Engine!$V$12:$V$72,$A1631+1)*IF($A1631&lt;$Q$1581,INDEX(Surface_Engine!$Z$12:$Z$72,$A1631+1),INDEX(Surface_Engine!$Z$12:$Z$72,$Q$1581+1))</f>
        <v>0</v>
      </c>
      <c r="F1631" s="48" t="n">
        <f aca="false">B1631*(IF($A1631&lt;$Q$1581,INDEX(Surface_Engine!$D$12:$D$72,$A1631+1)+(Surface_Engine!L251*12)*INDEX(Surface_Engine!$F$12:$F$72,$A1631+1)-(Surface_Engine!L251*12),1000*12*INDEX(Surface_Engine!$C$12:$C$72,$A1631+1)/(1+Assumptions!$B$10)^10+INDEX(Surface_Engine!$D$12:$D$72,$A1631+1)))*INDEX(Surface_Engine!$B$12:$B$72,$A1631+1)+F1632</f>
        <v>0</v>
      </c>
      <c r="G1631" s="48" t="n">
        <f aca="false">C1631*(IF($A1631&lt;$Q$1581,INDEX(Surface_Engine!$D$12:$D$72,$A1631+1)+(Surface_Engine!L251*12)*INDEX(Surface_Engine!$F$12:$F$72,$A1631+1)-(Surface_Engine!L251*12),1000*12*INDEX(Surface_Engine!$C$12:$C$72,$A1631+1)/(1+Assumptions!$B$10)^10+INDEX(Surface_Engine!$D$12:$D$72,$A1631+1)))*INDEX(Surface_Engine!$B$12:$B$72,$A1631+1)+G1632</f>
        <v>0</v>
      </c>
      <c r="H1631" s="48" t="n">
        <f aca="false">D1631*(IF($A1631&lt;$Q$1581,INDEX(Surface_Engine!$D$12:$D$72,$A1631+1)+(Surface_Engine!L251*12)*INDEX(Surface_Engine!$F$12:$F$72,$A1631+1)-(Surface_Engine!L251*12),1000*12*INDEX(Surface_Engine!$C$12:$C$72,$A1631+1)/(1+Assumptions!$B$10)^10+INDEX(Surface_Engine!$D$12:$D$72,$A1631+1)))*INDEX(Surface_Engine!$B$12:$B$72,$A1631+1)+H1632</f>
        <v>0</v>
      </c>
      <c r="I1631" s="48" t="n">
        <f aca="false">E1631*(IF($A1631&lt;$Q$1581,INDEX(Surface_Engine!$D$12:$D$72,$A1631+1)+(Surface_Engine!L251*12)*INDEX(Surface_Engine!$F$12:$F$72,$A1631+1)-(Surface_Engine!L251*12),1000*12*INDEX(Surface_Engine!$C$12:$C$72,$A1631+1)/(1+Assumptions!$B$10)^10+INDEX(Surface_Engine!$D$12:$D$72,$A1631+1)))*INDEX(Surface_Engine!$B$12:$B$72,$A1631+1)+I1632</f>
        <v>0</v>
      </c>
      <c r="J1631" s="48" t="n">
        <f aca="false">B1631*(IF($A1631&lt;$Q$1581,INDEX(Surface_Engine!$D$12:$D$72,$A1631+1)*(1+Assumptions!$B$24)+(Surface_Engine!L251*12)*INDEX(Surface_Engine!$F$12:$F$72,$A1631+1)-(Surface_Engine!L251*12),1000*12*INDEX(Surface_Engine!$C$12:$C$72,$A1631+1)/(1+Assumptions!$B$10)^10+INDEX(Surface_Engine!$D$12:$D$72,$A1631+1)*(1+Assumptions!$B$24)))*INDEX(Surface_Engine!$B$12:$B$72,$A1631+1)+J1632</f>
        <v>0</v>
      </c>
      <c r="K1631" s="12" t="n">
        <f aca="false">SQRT((IF(C1631&lt;=0,0,MAX(0,(B1631/C1631)*G1631/INDEX(Surface_Engine!$B$12:$B$72,$A1631+1)-F1631/INDEX(Surface_Engine!$B$12:$B$72,$A1631+1))))^2+(MAX(IF(D1631&lt;=0,0,MAX(0,(B1631/D1631)*H1631/INDEX(Surface_Engine!$B$12:$B$72,$A1631+1)-F1631/INDEX(Surface_Engine!$B$12:$B$72,$A1631+1))),IF(E1631&lt;=0,0,MAX(0,(B1631/E1631)*I1631/INDEX(Surface_Engine!$B$12:$B$72,$A1631+1)-F1631/INDEX(Surface_Engine!$B$12:$B$72,$A1631+1))),IF($A1631&lt;$Q$1581,MAX(0,-Assumptions!$B$22*(F1631/INDEX(Surface_Engine!$B$12:$B$72,$A1631+1))),0)))^2+(MAX(0,J1631/INDEX(Surface_Engine!$B$12:$B$72,$A1631+1)-(F1631/INDEX(Surface_Engine!$B$12:$B$72,$A1631+1))))^2+2*Assumptions!$B$26*(IF(C1631&lt;=0,0,MAX(0,(B1631/C1631)*G1631/INDEX(Surface_Engine!$B$12:$B$72,$A1631+1)-F1631/INDEX(Surface_Engine!$B$12:$B$72,$A1631+1))))*(MAX(IF(D1631&lt;=0,0,MAX(0,(B1631/D1631)*H1631/INDEX(Surface_Engine!$B$12:$B$72,$A1631+1)-F1631/INDEX(Surface_Engine!$B$12:$B$72,$A1631+1))),IF(E1631&lt;=0,0,MAX(0,(B1631/E1631)*I1631/INDEX(Surface_Engine!$B$12:$B$72,$A1631+1)-F1631/INDEX(Surface_Engine!$B$12:$B$72,$A1631+1))),IF($A1631&lt;$Q$1581,MAX(0,-Assumptions!$B$22*(F1631/INDEX(Surface_Engine!$B$12:$B$72,$A1631+1))),0)))+2*Assumptions!$B$27*(IF(C1631&lt;=0,0,MAX(0,(B1631/C1631)*G1631/INDEX(Surface_Engine!$B$12:$B$72,$A1631+1)-F1631/INDEX(Surface_Engine!$B$12:$B$72,$A1631+1))))*(MAX(0,J1631/INDEX(Surface_Engine!$B$12:$B$72,$A1631+1)-(F1631/INDEX(Surface_Engine!$B$12:$B$72,$A1631+1))))+2*Assumptions!$B$28*(MAX(IF(D1631&lt;=0,0,MAX(0,(B1631/D1631)*H1631/INDEX(Surface_Engine!$B$12:$B$72,$A1631+1)-F1631/INDEX(Surface_Engine!$B$12:$B$72,$A1631+1))),IF(E1631&lt;=0,0,MAX(0,(B1631/E1631)*I1631/INDEX(Surface_Engine!$B$12:$B$72,$A1631+1)-F1631/INDEX(Surface_Engine!$B$12:$B$72,$A1631+1))),IF($A1631&lt;$Q$1581,MAX(0,-Assumptions!$B$22*(F1631/INDEX(Surface_Engine!$B$12:$B$72,$A1631+1))),0)))*(MAX(0,J1631/INDEX(Surface_Engine!$B$12:$B$72,$A1631+1)-(F1631/INDEX(Surface_Engine!$B$12:$B$72,$A1631+1)))))</f>
        <v>0</v>
      </c>
      <c r="L1631" s="48" t="n">
        <f aca="false">K1631*INDEX(Surface_Engine!$B$12:$B$72,$A1631+1)+L1632</f>
        <v>0</v>
      </c>
      <c r="M1631" s="48" t="n">
        <f aca="false">M1630+B1630*(IF($A1630&lt;$Q$1581,(Surface_Engine!L251*12)-(Surface_Engine!L251*12)*INDEX(Surface_Engine!$F$12:$F$72,$A1630+1)-INDEX(Surface_Engine!$D$12:$D$72,$A1630+1),-(1000*12*INDEX(Surface_Engine!$C$12:$C$72,$A1630+1)/(1+Assumptions!$B$10)^10+INDEX(Surface_Engine!$D$12:$D$72,$A1630+1))))*INDEX(Surface_Engine!$B$12:$B$72,$A1630+1)</f>
        <v>1765.85464716686</v>
      </c>
      <c r="N1631" s="12" t="n">
        <f aca="false">IF(B1631&lt;=0,0,MAX(0,(K1631+Assumptions!$B$29*L1631/INDEX(Surface_Engine!$B$12:$B$72,$A1631+1)-(M1631/INDEX(Surface_Engine!$B$12:$B$72,$A1631+1)-(F1631/INDEX(Surface_Engine!$B$12:$B$72,$A1631+1))))/B1631))</f>
        <v>0</v>
      </c>
    </row>
    <row r="1632" customFormat="false" ht="15" hidden="false" customHeight="true" outlineLevel="0" collapsed="false">
      <c r="A1632" s="1" t="n">
        <v>49</v>
      </c>
      <c r="B1632" s="32" t="n">
        <f aca="false">INDEX(Surface_Engine!$V$12:$V$72,$A1632+1)*IF($A1632&lt;$Q$1581,INDEX(Surface_Engine!$E$12:$E$72,$A1632+1),INDEX(Surface_Engine!$E$12:$E$72,$Q$1581+1))</f>
        <v>0</v>
      </c>
      <c r="C1632" s="32" t="n">
        <f aca="false">INDEX(Panel_Reserving!$H$8:$H$68,$A1632+1)*IF($A1632&lt;$Q$1581,INDEX(Surface_Engine!$E$12:$E$72,$A1632+1),INDEX(Surface_Engine!$E$12:$E$72,$Q$1581+1))</f>
        <v>0</v>
      </c>
      <c r="D1632" s="32" t="n">
        <f aca="false">INDEX(Surface_Engine!$V$12:$V$72,$A1632+1)*IF($A1632&lt;$Q$1581,INDEX(Surface_Engine!$Y$12:$Y$72,$A1632+1),INDEX(Surface_Engine!$Y$12:$Y$72,$Q$1581+1))</f>
        <v>0</v>
      </c>
      <c r="E1632" s="32" t="n">
        <f aca="false">INDEX(Surface_Engine!$V$12:$V$72,$A1632+1)*IF($A1632&lt;$Q$1581,INDEX(Surface_Engine!$Z$12:$Z$72,$A1632+1),INDEX(Surface_Engine!$Z$12:$Z$72,$Q$1581+1))</f>
        <v>0</v>
      </c>
      <c r="F1632" s="48" t="n">
        <f aca="false">B1632*(IF($A1632&lt;$Q$1581,INDEX(Surface_Engine!$D$12:$D$72,$A1632+1)+(Surface_Engine!L251*12)*INDEX(Surface_Engine!$F$12:$F$72,$A1632+1)-(Surface_Engine!L251*12),1000*12*INDEX(Surface_Engine!$C$12:$C$72,$A1632+1)/(1+Assumptions!$B$10)^10+INDEX(Surface_Engine!$D$12:$D$72,$A1632+1)))*INDEX(Surface_Engine!$B$12:$B$72,$A1632+1)+F1633</f>
        <v>0</v>
      </c>
      <c r="G1632" s="48" t="n">
        <f aca="false">C1632*(IF($A1632&lt;$Q$1581,INDEX(Surface_Engine!$D$12:$D$72,$A1632+1)+(Surface_Engine!L251*12)*INDEX(Surface_Engine!$F$12:$F$72,$A1632+1)-(Surface_Engine!L251*12),1000*12*INDEX(Surface_Engine!$C$12:$C$72,$A1632+1)/(1+Assumptions!$B$10)^10+INDEX(Surface_Engine!$D$12:$D$72,$A1632+1)))*INDEX(Surface_Engine!$B$12:$B$72,$A1632+1)+G1633</f>
        <v>0</v>
      </c>
      <c r="H1632" s="48" t="n">
        <f aca="false">D1632*(IF($A1632&lt;$Q$1581,INDEX(Surface_Engine!$D$12:$D$72,$A1632+1)+(Surface_Engine!L251*12)*INDEX(Surface_Engine!$F$12:$F$72,$A1632+1)-(Surface_Engine!L251*12),1000*12*INDEX(Surface_Engine!$C$12:$C$72,$A1632+1)/(1+Assumptions!$B$10)^10+INDEX(Surface_Engine!$D$12:$D$72,$A1632+1)))*INDEX(Surface_Engine!$B$12:$B$72,$A1632+1)+H1633</f>
        <v>0</v>
      </c>
      <c r="I1632" s="48" t="n">
        <f aca="false">E1632*(IF($A1632&lt;$Q$1581,INDEX(Surface_Engine!$D$12:$D$72,$A1632+1)+(Surface_Engine!L251*12)*INDEX(Surface_Engine!$F$12:$F$72,$A1632+1)-(Surface_Engine!L251*12),1000*12*INDEX(Surface_Engine!$C$12:$C$72,$A1632+1)/(1+Assumptions!$B$10)^10+INDEX(Surface_Engine!$D$12:$D$72,$A1632+1)))*INDEX(Surface_Engine!$B$12:$B$72,$A1632+1)+I1633</f>
        <v>0</v>
      </c>
      <c r="J1632" s="48" t="n">
        <f aca="false">B1632*(IF($A1632&lt;$Q$1581,INDEX(Surface_Engine!$D$12:$D$72,$A1632+1)*(1+Assumptions!$B$24)+(Surface_Engine!L251*12)*INDEX(Surface_Engine!$F$12:$F$72,$A1632+1)-(Surface_Engine!L251*12),1000*12*INDEX(Surface_Engine!$C$12:$C$72,$A1632+1)/(1+Assumptions!$B$10)^10+INDEX(Surface_Engine!$D$12:$D$72,$A1632+1)*(1+Assumptions!$B$24)))*INDEX(Surface_Engine!$B$12:$B$72,$A1632+1)+J1633</f>
        <v>0</v>
      </c>
      <c r="K1632" s="12" t="n">
        <f aca="false">SQRT((IF(C1632&lt;=0,0,MAX(0,(B1632/C1632)*G1632/INDEX(Surface_Engine!$B$12:$B$72,$A1632+1)-F1632/INDEX(Surface_Engine!$B$12:$B$72,$A1632+1))))^2+(MAX(IF(D1632&lt;=0,0,MAX(0,(B1632/D1632)*H1632/INDEX(Surface_Engine!$B$12:$B$72,$A1632+1)-F1632/INDEX(Surface_Engine!$B$12:$B$72,$A1632+1))),IF(E1632&lt;=0,0,MAX(0,(B1632/E1632)*I1632/INDEX(Surface_Engine!$B$12:$B$72,$A1632+1)-F1632/INDEX(Surface_Engine!$B$12:$B$72,$A1632+1))),IF($A1632&lt;$Q$1581,MAX(0,-Assumptions!$B$22*(F1632/INDEX(Surface_Engine!$B$12:$B$72,$A1632+1))),0)))^2+(MAX(0,J1632/INDEX(Surface_Engine!$B$12:$B$72,$A1632+1)-(F1632/INDEX(Surface_Engine!$B$12:$B$72,$A1632+1))))^2+2*Assumptions!$B$26*(IF(C1632&lt;=0,0,MAX(0,(B1632/C1632)*G1632/INDEX(Surface_Engine!$B$12:$B$72,$A1632+1)-F1632/INDEX(Surface_Engine!$B$12:$B$72,$A1632+1))))*(MAX(IF(D1632&lt;=0,0,MAX(0,(B1632/D1632)*H1632/INDEX(Surface_Engine!$B$12:$B$72,$A1632+1)-F1632/INDEX(Surface_Engine!$B$12:$B$72,$A1632+1))),IF(E1632&lt;=0,0,MAX(0,(B1632/E1632)*I1632/INDEX(Surface_Engine!$B$12:$B$72,$A1632+1)-F1632/INDEX(Surface_Engine!$B$12:$B$72,$A1632+1))),IF($A1632&lt;$Q$1581,MAX(0,-Assumptions!$B$22*(F1632/INDEX(Surface_Engine!$B$12:$B$72,$A1632+1))),0)))+2*Assumptions!$B$27*(IF(C1632&lt;=0,0,MAX(0,(B1632/C1632)*G1632/INDEX(Surface_Engine!$B$12:$B$72,$A1632+1)-F1632/INDEX(Surface_Engine!$B$12:$B$72,$A1632+1))))*(MAX(0,J1632/INDEX(Surface_Engine!$B$12:$B$72,$A1632+1)-(F1632/INDEX(Surface_Engine!$B$12:$B$72,$A1632+1))))+2*Assumptions!$B$28*(MAX(IF(D1632&lt;=0,0,MAX(0,(B1632/D1632)*H1632/INDEX(Surface_Engine!$B$12:$B$72,$A1632+1)-F1632/INDEX(Surface_Engine!$B$12:$B$72,$A1632+1))),IF(E1632&lt;=0,0,MAX(0,(B1632/E1632)*I1632/INDEX(Surface_Engine!$B$12:$B$72,$A1632+1)-F1632/INDEX(Surface_Engine!$B$12:$B$72,$A1632+1))),IF($A1632&lt;$Q$1581,MAX(0,-Assumptions!$B$22*(F1632/INDEX(Surface_Engine!$B$12:$B$72,$A1632+1))),0)))*(MAX(0,J1632/INDEX(Surface_Engine!$B$12:$B$72,$A1632+1)-(F1632/INDEX(Surface_Engine!$B$12:$B$72,$A1632+1)))))</f>
        <v>0</v>
      </c>
      <c r="L1632" s="48" t="n">
        <f aca="false">K1632*INDEX(Surface_Engine!$B$12:$B$72,$A1632+1)+L1633</f>
        <v>0</v>
      </c>
      <c r="M1632" s="48" t="n">
        <f aca="false">M1631+B1631*(IF($A1631&lt;$Q$1581,(Surface_Engine!L251*12)-(Surface_Engine!L251*12)*INDEX(Surface_Engine!$F$12:$F$72,$A1631+1)-INDEX(Surface_Engine!$D$12:$D$72,$A1631+1),-(1000*12*INDEX(Surface_Engine!$C$12:$C$72,$A1631+1)/(1+Assumptions!$B$10)^10+INDEX(Surface_Engine!$D$12:$D$72,$A1631+1))))*INDEX(Surface_Engine!$B$12:$B$72,$A1631+1)</f>
        <v>1765.85464716686</v>
      </c>
      <c r="N1632" s="12" t="n">
        <f aca="false">IF(B1632&lt;=0,0,MAX(0,(K1632+Assumptions!$B$29*L1632/INDEX(Surface_Engine!$B$12:$B$72,$A1632+1)-(M1632/INDEX(Surface_Engine!$B$12:$B$72,$A1632+1)-(F1632/INDEX(Surface_Engine!$B$12:$B$72,$A1632+1))))/B1632))</f>
        <v>0</v>
      </c>
    </row>
    <row r="1633" customFormat="false" ht="15" hidden="false" customHeight="true" outlineLevel="0" collapsed="false">
      <c r="A1633" s="1" t="n">
        <v>50</v>
      </c>
      <c r="B1633" s="32" t="n">
        <f aca="false">INDEX(Surface_Engine!$V$12:$V$72,$A1633+1)*IF($A1633&lt;$Q$1581,INDEX(Surface_Engine!$E$12:$E$72,$A1633+1),INDEX(Surface_Engine!$E$12:$E$72,$Q$1581+1))</f>
        <v>0</v>
      </c>
      <c r="C1633" s="32" t="n">
        <f aca="false">INDEX(Panel_Reserving!$H$8:$H$68,$A1633+1)*IF($A1633&lt;$Q$1581,INDEX(Surface_Engine!$E$12:$E$72,$A1633+1),INDEX(Surface_Engine!$E$12:$E$72,$Q$1581+1))</f>
        <v>0</v>
      </c>
      <c r="D1633" s="32" t="n">
        <f aca="false">INDEX(Surface_Engine!$V$12:$V$72,$A1633+1)*IF($A1633&lt;$Q$1581,INDEX(Surface_Engine!$Y$12:$Y$72,$A1633+1),INDEX(Surface_Engine!$Y$12:$Y$72,$Q$1581+1))</f>
        <v>0</v>
      </c>
      <c r="E1633" s="32" t="n">
        <f aca="false">INDEX(Surface_Engine!$V$12:$V$72,$A1633+1)*IF($A1633&lt;$Q$1581,INDEX(Surface_Engine!$Z$12:$Z$72,$A1633+1),INDEX(Surface_Engine!$Z$12:$Z$72,$Q$1581+1))</f>
        <v>0</v>
      </c>
      <c r="F1633" s="48" t="n">
        <f aca="false">B1633*(IF($A1633&lt;$Q$1581,INDEX(Surface_Engine!$D$12:$D$72,$A1633+1)+(Surface_Engine!L251*12)*INDEX(Surface_Engine!$F$12:$F$72,$A1633+1)-(Surface_Engine!L251*12),1000*12*INDEX(Surface_Engine!$C$12:$C$72,$A1633+1)/(1+Assumptions!$B$10)^10+INDEX(Surface_Engine!$D$12:$D$72,$A1633+1)))*INDEX(Surface_Engine!$B$12:$B$72,$A1633+1)+F1634</f>
        <v>0</v>
      </c>
      <c r="G1633" s="48" t="n">
        <f aca="false">C1633*(IF($A1633&lt;$Q$1581,INDEX(Surface_Engine!$D$12:$D$72,$A1633+1)+(Surface_Engine!L251*12)*INDEX(Surface_Engine!$F$12:$F$72,$A1633+1)-(Surface_Engine!L251*12),1000*12*INDEX(Surface_Engine!$C$12:$C$72,$A1633+1)/(1+Assumptions!$B$10)^10+INDEX(Surface_Engine!$D$12:$D$72,$A1633+1)))*INDEX(Surface_Engine!$B$12:$B$72,$A1633+1)+G1634</f>
        <v>0</v>
      </c>
      <c r="H1633" s="48" t="n">
        <f aca="false">D1633*(IF($A1633&lt;$Q$1581,INDEX(Surface_Engine!$D$12:$D$72,$A1633+1)+(Surface_Engine!L251*12)*INDEX(Surface_Engine!$F$12:$F$72,$A1633+1)-(Surface_Engine!L251*12),1000*12*INDEX(Surface_Engine!$C$12:$C$72,$A1633+1)/(1+Assumptions!$B$10)^10+INDEX(Surface_Engine!$D$12:$D$72,$A1633+1)))*INDEX(Surface_Engine!$B$12:$B$72,$A1633+1)+H1634</f>
        <v>0</v>
      </c>
      <c r="I1633" s="48" t="n">
        <f aca="false">E1633*(IF($A1633&lt;$Q$1581,INDEX(Surface_Engine!$D$12:$D$72,$A1633+1)+(Surface_Engine!L251*12)*INDEX(Surface_Engine!$F$12:$F$72,$A1633+1)-(Surface_Engine!L251*12),1000*12*INDEX(Surface_Engine!$C$12:$C$72,$A1633+1)/(1+Assumptions!$B$10)^10+INDEX(Surface_Engine!$D$12:$D$72,$A1633+1)))*INDEX(Surface_Engine!$B$12:$B$72,$A1633+1)+I1634</f>
        <v>0</v>
      </c>
      <c r="J1633" s="48" t="n">
        <f aca="false">B1633*(IF($A1633&lt;$Q$1581,INDEX(Surface_Engine!$D$12:$D$72,$A1633+1)*(1+Assumptions!$B$24)+(Surface_Engine!L251*12)*INDEX(Surface_Engine!$F$12:$F$72,$A1633+1)-(Surface_Engine!L251*12),1000*12*INDEX(Surface_Engine!$C$12:$C$72,$A1633+1)/(1+Assumptions!$B$10)^10+INDEX(Surface_Engine!$D$12:$D$72,$A1633+1)*(1+Assumptions!$B$24)))*INDEX(Surface_Engine!$B$12:$B$72,$A1633+1)+J1634</f>
        <v>0</v>
      </c>
      <c r="K1633" s="12" t="n">
        <f aca="false">SQRT((IF(C1633&lt;=0,0,MAX(0,(B1633/C1633)*G1633/INDEX(Surface_Engine!$B$12:$B$72,$A1633+1)-F1633/INDEX(Surface_Engine!$B$12:$B$72,$A1633+1))))^2+(MAX(IF(D1633&lt;=0,0,MAX(0,(B1633/D1633)*H1633/INDEX(Surface_Engine!$B$12:$B$72,$A1633+1)-F1633/INDEX(Surface_Engine!$B$12:$B$72,$A1633+1))),IF(E1633&lt;=0,0,MAX(0,(B1633/E1633)*I1633/INDEX(Surface_Engine!$B$12:$B$72,$A1633+1)-F1633/INDEX(Surface_Engine!$B$12:$B$72,$A1633+1))),IF($A1633&lt;$Q$1581,MAX(0,-Assumptions!$B$22*(F1633/INDEX(Surface_Engine!$B$12:$B$72,$A1633+1))),0)))^2+(MAX(0,J1633/INDEX(Surface_Engine!$B$12:$B$72,$A1633+1)-(F1633/INDEX(Surface_Engine!$B$12:$B$72,$A1633+1))))^2+2*Assumptions!$B$26*(IF(C1633&lt;=0,0,MAX(0,(B1633/C1633)*G1633/INDEX(Surface_Engine!$B$12:$B$72,$A1633+1)-F1633/INDEX(Surface_Engine!$B$12:$B$72,$A1633+1))))*(MAX(IF(D1633&lt;=0,0,MAX(0,(B1633/D1633)*H1633/INDEX(Surface_Engine!$B$12:$B$72,$A1633+1)-F1633/INDEX(Surface_Engine!$B$12:$B$72,$A1633+1))),IF(E1633&lt;=0,0,MAX(0,(B1633/E1633)*I1633/INDEX(Surface_Engine!$B$12:$B$72,$A1633+1)-F1633/INDEX(Surface_Engine!$B$12:$B$72,$A1633+1))),IF($A1633&lt;$Q$1581,MAX(0,-Assumptions!$B$22*(F1633/INDEX(Surface_Engine!$B$12:$B$72,$A1633+1))),0)))+2*Assumptions!$B$27*(IF(C1633&lt;=0,0,MAX(0,(B1633/C1633)*G1633/INDEX(Surface_Engine!$B$12:$B$72,$A1633+1)-F1633/INDEX(Surface_Engine!$B$12:$B$72,$A1633+1))))*(MAX(0,J1633/INDEX(Surface_Engine!$B$12:$B$72,$A1633+1)-(F1633/INDEX(Surface_Engine!$B$12:$B$72,$A1633+1))))+2*Assumptions!$B$28*(MAX(IF(D1633&lt;=0,0,MAX(0,(B1633/D1633)*H1633/INDEX(Surface_Engine!$B$12:$B$72,$A1633+1)-F1633/INDEX(Surface_Engine!$B$12:$B$72,$A1633+1))),IF(E1633&lt;=0,0,MAX(0,(B1633/E1633)*I1633/INDEX(Surface_Engine!$B$12:$B$72,$A1633+1)-F1633/INDEX(Surface_Engine!$B$12:$B$72,$A1633+1))),IF($A1633&lt;$Q$1581,MAX(0,-Assumptions!$B$22*(F1633/INDEX(Surface_Engine!$B$12:$B$72,$A1633+1))),0)))*(MAX(0,J1633/INDEX(Surface_Engine!$B$12:$B$72,$A1633+1)-(F1633/INDEX(Surface_Engine!$B$12:$B$72,$A1633+1)))))</f>
        <v>0</v>
      </c>
      <c r="L1633" s="48" t="n">
        <f aca="false">K1633*INDEX(Surface_Engine!$B$12:$B$72,$A1633+1)+L1634</f>
        <v>0</v>
      </c>
      <c r="M1633" s="48" t="n">
        <f aca="false">M1632+B1632*(IF($A1632&lt;$Q$1581,(Surface_Engine!L251*12)-(Surface_Engine!L251*12)*INDEX(Surface_Engine!$F$12:$F$72,$A1632+1)-INDEX(Surface_Engine!$D$12:$D$72,$A1632+1),-(1000*12*INDEX(Surface_Engine!$C$12:$C$72,$A1632+1)/(1+Assumptions!$B$10)^10+INDEX(Surface_Engine!$D$12:$D$72,$A1632+1))))*INDEX(Surface_Engine!$B$12:$B$72,$A1632+1)</f>
        <v>1765.85464716686</v>
      </c>
      <c r="N1633" s="12" t="n">
        <f aca="false">IF(B1633&lt;=0,0,MAX(0,(K1633+Assumptions!$B$29*L1633/INDEX(Surface_Engine!$B$12:$B$72,$A1633+1)-(M1633/INDEX(Surface_Engine!$B$12:$B$72,$A1633+1)-(F1633/INDEX(Surface_Engine!$B$12:$B$72,$A1633+1))))/B1633))</f>
        <v>0</v>
      </c>
    </row>
    <row r="1634" customFormat="false" ht="15" hidden="false" customHeight="true" outlineLevel="0" collapsed="false">
      <c r="A1634" s="1" t="n">
        <v>51</v>
      </c>
      <c r="B1634" s="32" t="n">
        <f aca="false">INDEX(Surface_Engine!$V$12:$V$72,$A1634+1)*IF($A1634&lt;$Q$1581,INDEX(Surface_Engine!$E$12:$E$72,$A1634+1),INDEX(Surface_Engine!$E$12:$E$72,$Q$1581+1))</f>
        <v>0</v>
      </c>
      <c r="C1634" s="32" t="n">
        <f aca="false">INDEX(Panel_Reserving!$H$8:$H$68,$A1634+1)*IF($A1634&lt;$Q$1581,INDEX(Surface_Engine!$E$12:$E$72,$A1634+1),INDEX(Surface_Engine!$E$12:$E$72,$Q$1581+1))</f>
        <v>0</v>
      </c>
      <c r="D1634" s="32" t="n">
        <f aca="false">INDEX(Surface_Engine!$V$12:$V$72,$A1634+1)*IF($A1634&lt;$Q$1581,INDEX(Surface_Engine!$Y$12:$Y$72,$A1634+1),INDEX(Surface_Engine!$Y$12:$Y$72,$Q$1581+1))</f>
        <v>0</v>
      </c>
      <c r="E1634" s="32" t="n">
        <f aca="false">INDEX(Surface_Engine!$V$12:$V$72,$A1634+1)*IF($A1634&lt;$Q$1581,INDEX(Surface_Engine!$Z$12:$Z$72,$A1634+1),INDEX(Surface_Engine!$Z$12:$Z$72,$Q$1581+1))</f>
        <v>0</v>
      </c>
      <c r="F1634" s="48" t="n">
        <f aca="false">B1634*(IF($A1634&lt;$Q$1581,INDEX(Surface_Engine!$D$12:$D$72,$A1634+1)+(Surface_Engine!L251*12)*INDEX(Surface_Engine!$F$12:$F$72,$A1634+1)-(Surface_Engine!L251*12),1000*12*INDEX(Surface_Engine!$C$12:$C$72,$A1634+1)/(1+Assumptions!$B$10)^10+INDEX(Surface_Engine!$D$12:$D$72,$A1634+1)))*INDEX(Surface_Engine!$B$12:$B$72,$A1634+1)+F1635</f>
        <v>0</v>
      </c>
      <c r="G1634" s="48" t="n">
        <f aca="false">C1634*(IF($A1634&lt;$Q$1581,INDEX(Surface_Engine!$D$12:$D$72,$A1634+1)+(Surface_Engine!L251*12)*INDEX(Surface_Engine!$F$12:$F$72,$A1634+1)-(Surface_Engine!L251*12),1000*12*INDEX(Surface_Engine!$C$12:$C$72,$A1634+1)/(1+Assumptions!$B$10)^10+INDEX(Surface_Engine!$D$12:$D$72,$A1634+1)))*INDEX(Surface_Engine!$B$12:$B$72,$A1634+1)+G1635</f>
        <v>0</v>
      </c>
      <c r="H1634" s="48" t="n">
        <f aca="false">D1634*(IF($A1634&lt;$Q$1581,INDEX(Surface_Engine!$D$12:$D$72,$A1634+1)+(Surface_Engine!L251*12)*INDEX(Surface_Engine!$F$12:$F$72,$A1634+1)-(Surface_Engine!L251*12),1000*12*INDEX(Surface_Engine!$C$12:$C$72,$A1634+1)/(1+Assumptions!$B$10)^10+INDEX(Surface_Engine!$D$12:$D$72,$A1634+1)))*INDEX(Surface_Engine!$B$12:$B$72,$A1634+1)+H1635</f>
        <v>0</v>
      </c>
      <c r="I1634" s="48" t="n">
        <f aca="false">E1634*(IF($A1634&lt;$Q$1581,INDEX(Surface_Engine!$D$12:$D$72,$A1634+1)+(Surface_Engine!L251*12)*INDEX(Surface_Engine!$F$12:$F$72,$A1634+1)-(Surface_Engine!L251*12),1000*12*INDEX(Surface_Engine!$C$12:$C$72,$A1634+1)/(1+Assumptions!$B$10)^10+INDEX(Surface_Engine!$D$12:$D$72,$A1634+1)))*INDEX(Surface_Engine!$B$12:$B$72,$A1634+1)+I1635</f>
        <v>0</v>
      </c>
      <c r="J1634" s="48" t="n">
        <f aca="false">B1634*(IF($A1634&lt;$Q$1581,INDEX(Surface_Engine!$D$12:$D$72,$A1634+1)*(1+Assumptions!$B$24)+(Surface_Engine!L251*12)*INDEX(Surface_Engine!$F$12:$F$72,$A1634+1)-(Surface_Engine!L251*12),1000*12*INDEX(Surface_Engine!$C$12:$C$72,$A1634+1)/(1+Assumptions!$B$10)^10+INDEX(Surface_Engine!$D$12:$D$72,$A1634+1)*(1+Assumptions!$B$24)))*INDEX(Surface_Engine!$B$12:$B$72,$A1634+1)+J1635</f>
        <v>0</v>
      </c>
      <c r="K1634" s="12" t="n">
        <f aca="false">SQRT((IF(C1634&lt;=0,0,MAX(0,(B1634/C1634)*G1634/INDEX(Surface_Engine!$B$12:$B$72,$A1634+1)-F1634/INDEX(Surface_Engine!$B$12:$B$72,$A1634+1))))^2+(MAX(IF(D1634&lt;=0,0,MAX(0,(B1634/D1634)*H1634/INDEX(Surface_Engine!$B$12:$B$72,$A1634+1)-F1634/INDEX(Surface_Engine!$B$12:$B$72,$A1634+1))),IF(E1634&lt;=0,0,MAX(0,(B1634/E1634)*I1634/INDEX(Surface_Engine!$B$12:$B$72,$A1634+1)-F1634/INDEX(Surface_Engine!$B$12:$B$72,$A1634+1))),IF($A1634&lt;$Q$1581,MAX(0,-Assumptions!$B$22*(F1634/INDEX(Surface_Engine!$B$12:$B$72,$A1634+1))),0)))^2+(MAX(0,J1634/INDEX(Surface_Engine!$B$12:$B$72,$A1634+1)-(F1634/INDEX(Surface_Engine!$B$12:$B$72,$A1634+1))))^2+2*Assumptions!$B$26*(IF(C1634&lt;=0,0,MAX(0,(B1634/C1634)*G1634/INDEX(Surface_Engine!$B$12:$B$72,$A1634+1)-F1634/INDEX(Surface_Engine!$B$12:$B$72,$A1634+1))))*(MAX(IF(D1634&lt;=0,0,MAX(0,(B1634/D1634)*H1634/INDEX(Surface_Engine!$B$12:$B$72,$A1634+1)-F1634/INDEX(Surface_Engine!$B$12:$B$72,$A1634+1))),IF(E1634&lt;=0,0,MAX(0,(B1634/E1634)*I1634/INDEX(Surface_Engine!$B$12:$B$72,$A1634+1)-F1634/INDEX(Surface_Engine!$B$12:$B$72,$A1634+1))),IF($A1634&lt;$Q$1581,MAX(0,-Assumptions!$B$22*(F1634/INDEX(Surface_Engine!$B$12:$B$72,$A1634+1))),0)))+2*Assumptions!$B$27*(IF(C1634&lt;=0,0,MAX(0,(B1634/C1634)*G1634/INDEX(Surface_Engine!$B$12:$B$72,$A1634+1)-F1634/INDEX(Surface_Engine!$B$12:$B$72,$A1634+1))))*(MAX(0,J1634/INDEX(Surface_Engine!$B$12:$B$72,$A1634+1)-(F1634/INDEX(Surface_Engine!$B$12:$B$72,$A1634+1))))+2*Assumptions!$B$28*(MAX(IF(D1634&lt;=0,0,MAX(0,(B1634/D1634)*H1634/INDEX(Surface_Engine!$B$12:$B$72,$A1634+1)-F1634/INDEX(Surface_Engine!$B$12:$B$72,$A1634+1))),IF(E1634&lt;=0,0,MAX(0,(B1634/E1634)*I1634/INDEX(Surface_Engine!$B$12:$B$72,$A1634+1)-F1634/INDEX(Surface_Engine!$B$12:$B$72,$A1634+1))),IF($A1634&lt;$Q$1581,MAX(0,-Assumptions!$B$22*(F1634/INDEX(Surface_Engine!$B$12:$B$72,$A1634+1))),0)))*(MAX(0,J1634/INDEX(Surface_Engine!$B$12:$B$72,$A1634+1)-(F1634/INDEX(Surface_Engine!$B$12:$B$72,$A1634+1)))))</f>
        <v>0</v>
      </c>
      <c r="L1634" s="48" t="n">
        <f aca="false">K1634*INDEX(Surface_Engine!$B$12:$B$72,$A1634+1)+L1635</f>
        <v>0</v>
      </c>
      <c r="M1634" s="48" t="n">
        <f aca="false">M1633+B1633*(IF($A1633&lt;$Q$1581,(Surface_Engine!L251*12)-(Surface_Engine!L251*12)*INDEX(Surface_Engine!$F$12:$F$72,$A1633+1)-INDEX(Surface_Engine!$D$12:$D$72,$A1633+1),-(1000*12*INDEX(Surface_Engine!$C$12:$C$72,$A1633+1)/(1+Assumptions!$B$10)^10+INDEX(Surface_Engine!$D$12:$D$72,$A1633+1))))*INDEX(Surface_Engine!$B$12:$B$72,$A1633+1)</f>
        <v>1765.85464716686</v>
      </c>
      <c r="N1634" s="12" t="n">
        <f aca="false">IF(B1634&lt;=0,0,MAX(0,(K1634+Assumptions!$B$29*L1634/INDEX(Surface_Engine!$B$12:$B$72,$A1634+1)-(M1634/INDEX(Surface_Engine!$B$12:$B$72,$A1634+1)-(F1634/INDEX(Surface_Engine!$B$12:$B$72,$A1634+1))))/B1634))</f>
        <v>0</v>
      </c>
    </row>
    <row r="1635" customFormat="false" ht="15" hidden="false" customHeight="true" outlineLevel="0" collapsed="false">
      <c r="A1635" s="1" t="n">
        <v>52</v>
      </c>
      <c r="B1635" s="32" t="n">
        <f aca="false">INDEX(Surface_Engine!$V$12:$V$72,$A1635+1)*IF($A1635&lt;$Q$1581,INDEX(Surface_Engine!$E$12:$E$72,$A1635+1),INDEX(Surface_Engine!$E$12:$E$72,$Q$1581+1))</f>
        <v>0</v>
      </c>
      <c r="C1635" s="32" t="n">
        <f aca="false">INDEX(Panel_Reserving!$H$8:$H$68,$A1635+1)*IF($A1635&lt;$Q$1581,INDEX(Surface_Engine!$E$12:$E$72,$A1635+1),INDEX(Surface_Engine!$E$12:$E$72,$Q$1581+1))</f>
        <v>0</v>
      </c>
      <c r="D1635" s="32" t="n">
        <f aca="false">INDEX(Surface_Engine!$V$12:$V$72,$A1635+1)*IF($A1635&lt;$Q$1581,INDEX(Surface_Engine!$Y$12:$Y$72,$A1635+1),INDEX(Surface_Engine!$Y$12:$Y$72,$Q$1581+1))</f>
        <v>0</v>
      </c>
      <c r="E1635" s="32" t="n">
        <f aca="false">INDEX(Surface_Engine!$V$12:$V$72,$A1635+1)*IF($A1635&lt;$Q$1581,INDEX(Surface_Engine!$Z$12:$Z$72,$A1635+1),INDEX(Surface_Engine!$Z$12:$Z$72,$Q$1581+1))</f>
        <v>0</v>
      </c>
      <c r="F1635" s="48" t="n">
        <f aca="false">B1635*(IF($A1635&lt;$Q$1581,INDEX(Surface_Engine!$D$12:$D$72,$A1635+1)+(Surface_Engine!L251*12)*INDEX(Surface_Engine!$F$12:$F$72,$A1635+1)-(Surface_Engine!L251*12),1000*12*INDEX(Surface_Engine!$C$12:$C$72,$A1635+1)/(1+Assumptions!$B$10)^10+INDEX(Surface_Engine!$D$12:$D$72,$A1635+1)))*INDEX(Surface_Engine!$B$12:$B$72,$A1635+1)+F1636</f>
        <v>0</v>
      </c>
      <c r="G1635" s="48" t="n">
        <f aca="false">C1635*(IF($A1635&lt;$Q$1581,INDEX(Surface_Engine!$D$12:$D$72,$A1635+1)+(Surface_Engine!L251*12)*INDEX(Surface_Engine!$F$12:$F$72,$A1635+1)-(Surface_Engine!L251*12),1000*12*INDEX(Surface_Engine!$C$12:$C$72,$A1635+1)/(1+Assumptions!$B$10)^10+INDEX(Surface_Engine!$D$12:$D$72,$A1635+1)))*INDEX(Surface_Engine!$B$12:$B$72,$A1635+1)+G1636</f>
        <v>0</v>
      </c>
      <c r="H1635" s="48" t="n">
        <f aca="false">D1635*(IF($A1635&lt;$Q$1581,INDEX(Surface_Engine!$D$12:$D$72,$A1635+1)+(Surface_Engine!L251*12)*INDEX(Surface_Engine!$F$12:$F$72,$A1635+1)-(Surface_Engine!L251*12),1000*12*INDEX(Surface_Engine!$C$12:$C$72,$A1635+1)/(1+Assumptions!$B$10)^10+INDEX(Surface_Engine!$D$12:$D$72,$A1635+1)))*INDEX(Surface_Engine!$B$12:$B$72,$A1635+1)+H1636</f>
        <v>0</v>
      </c>
      <c r="I1635" s="48" t="n">
        <f aca="false">E1635*(IF($A1635&lt;$Q$1581,INDEX(Surface_Engine!$D$12:$D$72,$A1635+1)+(Surface_Engine!L251*12)*INDEX(Surface_Engine!$F$12:$F$72,$A1635+1)-(Surface_Engine!L251*12),1000*12*INDEX(Surface_Engine!$C$12:$C$72,$A1635+1)/(1+Assumptions!$B$10)^10+INDEX(Surface_Engine!$D$12:$D$72,$A1635+1)))*INDEX(Surface_Engine!$B$12:$B$72,$A1635+1)+I1636</f>
        <v>0</v>
      </c>
      <c r="J1635" s="48" t="n">
        <f aca="false">B1635*(IF($A1635&lt;$Q$1581,INDEX(Surface_Engine!$D$12:$D$72,$A1635+1)*(1+Assumptions!$B$24)+(Surface_Engine!L251*12)*INDEX(Surface_Engine!$F$12:$F$72,$A1635+1)-(Surface_Engine!L251*12),1000*12*INDEX(Surface_Engine!$C$12:$C$72,$A1635+1)/(1+Assumptions!$B$10)^10+INDEX(Surface_Engine!$D$12:$D$72,$A1635+1)*(1+Assumptions!$B$24)))*INDEX(Surface_Engine!$B$12:$B$72,$A1635+1)+J1636</f>
        <v>0</v>
      </c>
      <c r="K1635" s="12" t="n">
        <f aca="false">SQRT((IF(C1635&lt;=0,0,MAX(0,(B1635/C1635)*G1635/INDEX(Surface_Engine!$B$12:$B$72,$A1635+1)-F1635/INDEX(Surface_Engine!$B$12:$B$72,$A1635+1))))^2+(MAX(IF(D1635&lt;=0,0,MAX(0,(B1635/D1635)*H1635/INDEX(Surface_Engine!$B$12:$B$72,$A1635+1)-F1635/INDEX(Surface_Engine!$B$12:$B$72,$A1635+1))),IF(E1635&lt;=0,0,MAX(0,(B1635/E1635)*I1635/INDEX(Surface_Engine!$B$12:$B$72,$A1635+1)-F1635/INDEX(Surface_Engine!$B$12:$B$72,$A1635+1))),IF($A1635&lt;$Q$1581,MAX(0,-Assumptions!$B$22*(F1635/INDEX(Surface_Engine!$B$12:$B$72,$A1635+1))),0)))^2+(MAX(0,J1635/INDEX(Surface_Engine!$B$12:$B$72,$A1635+1)-(F1635/INDEX(Surface_Engine!$B$12:$B$72,$A1635+1))))^2+2*Assumptions!$B$26*(IF(C1635&lt;=0,0,MAX(0,(B1635/C1635)*G1635/INDEX(Surface_Engine!$B$12:$B$72,$A1635+1)-F1635/INDEX(Surface_Engine!$B$12:$B$72,$A1635+1))))*(MAX(IF(D1635&lt;=0,0,MAX(0,(B1635/D1635)*H1635/INDEX(Surface_Engine!$B$12:$B$72,$A1635+1)-F1635/INDEX(Surface_Engine!$B$12:$B$72,$A1635+1))),IF(E1635&lt;=0,0,MAX(0,(B1635/E1635)*I1635/INDEX(Surface_Engine!$B$12:$B$72,$A1635+1)-F1635/INDEX(Surface_Engine!$B$12:$B$72,$A1635+1))),IF($A1635&lt;$Q$1581,MAX(0,-Assumptions!$B$22*(F1635/INDEX(Surface_Engine!$B$12:$B$72,$A1635+1))),0)))+2*Assumptions!$B$27*(IF(C1635&lt;=0,0,MAX(0,(B1635/C1635)*G1635/INDEX(Surface_Engine!$B$12:$B$72,$A1635+1)-F1635/INDEX(Surface_Engine!$B$12:$B$72,$A1635+1))))*(MAX(0,J1635/INDEX(Surface_Engine!$B$12:$B$72,$A1635+1)-(F1635/INDEX(Surface_Engine!$B$12:$B$72,$A1635+1))))+2*Assumptions!$B$28*(MAX(IF(D1635&lt;=0,0,MAX(0,(B1635/D1635)*H1635/INDEX(Surface_Engine!$B$12:$B$72,$A1635+1)-F1635/INDEX(Surface_Engine!$B$12:$B$72,$A1635+1))),IF(E1635&lt;=0,0,MAX(0,(B1635/E1635)*I1635/INDEX(Surface_Engine!$B$12:$B$72,$A1635+1)-F1635/INDEX(Surface_Engine!$B$12:$B$72,$A1635+1))),IF($A1635&lt;$Q$1581,MAX(0,-Assumptions!$B$22*(F1635/INDEX(Surface_Engine!$B$12:$B$72,$A1635+1))),0)))*(MAX(0,J1635/INDEX(Surface_Engine!$B$12:$B$72,$A1635+1)-(F1635/INDEX(Surface_Engine!$B$12:$B$72,$A1635+1)))))</f>
        <v>0</v>
      </c>
      <c r="L1635" s="48" t="n">
        <f aca="false">K1635*INDEX(Surface_Engine!$B$12:$B$72,$A1635+1)+L1636</f>
        <v>0</v>
      </c>
      <c r="M1635" s="48" t="n">
        <f aca="false">M1634+B1634*(IF($A1634&lt;$Q$1581,(Surface_Engine!L251*12)-(Surface_Engine!L251*12)*INDEX(Surface_Engine!$F$12:$F$72,$A1634+1)-INDEX(Surface_Engine!$D$12:$D$72,$A1634+1),-(1000*12*INDEX(Surface_Engine!$C$12:$C$72,$A1634+1)/(1+Assumptions!$B$10)^10+INDEX(Surface_Engine!$D$12:$D$72,$A1634+1))))*INDEX(Surface_Engine!$B$12:$B$72,$A1634+1)</f>
        <v>1765.85464716686</v>
      </c>
      <c r="N1635" s="12" t="n">
        <f aca="false">IF(B1635&lt;=0,0,MAX(0,(K1635+Assumptions!$B$29*L1635/INDEX(Surface_Engine!$B$12:$B$72,$A1635+1)-(M1635/INDEX(Surface_Engine!$B$12:$B$72,$A1635+1)-(F1635/INDEX(Surface_Engine!$B$12:$B$72,$A1635+1))))/B1635))</f>
        <v>0</v>
      </c>
    </row>
    <row r="1636" customFormat="false" ht="15" hidden="false" customHeight="true" outlineLevel="0" collapsed="false">
      <c r="A1636" s="1" t="n">
        <v>53</v>
      </c>
      <c r="B1636" s="32" t="n">
        <f aca="false">INDEX(Surface_Engine!$V$12:$V$72,$A1636+1)*IF($A1636&lt;$Q$1581,INDEX(Surface_Engine!$E$12:$E$72,$A1636+1),INDEX(Surface_Engine!$E$12:$E$72,$Q$1581+1))</f>
        <v>0</v>
      </c>
      <c r="C1636" s="32" t="n">
        <f aca="false">INDEX(Panel_Reserving!$H$8:$H$68,$A1636+1)*IF($A1636&lt;$Q$1581,INDEX(Surface_Engine!$E$12:$E$72,$A1636+1),INDEX(Surface_Engine!$E$12:$E$72,$Q$1581+1))</f>
        <v>0</v>
      </c>
      <c r="D1636" s="32" t="n">
        <f aca="false">INDEX(Surface_Engine!$V$12:$V$72,$A1636+1)*IF($A1636&lt;$Q$1581,INDEX(Surface_Engine!$Y$12:$Y$72,$A1636+1),INDEX(Surface_Engine!$Y$12:$Y$72,$Q$1581+1))</f>
        <v>0</v>
      </c>
      <c r="E1636" s="32" t="n">
        <f aca="false">INDEX(Surface_Engine!$V$12:$V$72,$A1636+1)*IF($A1636&lt;$Q$1581,INDEX(Surface_Engine!$Z$12:$Z$72,$A1636+1),INDEX(Surface_Engine!$Z$12:$Z$72,$Q$1581+1))</f>
        <v>0</v>
      </c>
      <c r="F1636" s="48" t="n">
        <f aca="false">B1636*(IF($A1636&lt;$Q$1581,INDEX(Surface_Engine!$D$12:$D$72,$A1636+1)+(Surface_Engine!L251*12)*INDEX(Surface_Engine!$F$12:$F$72,$A1636+1)-(Surface_Engine!L251*12),1000*12*INDEX(Surface_Engine!$C$12:$C$72,$A1636+1)/(1+Assumptions!$B$10)^10+INDEX(Surface_Engine!$D$12:$D$72,$A1636+1)))*INDEX(Surface_Engine!$B$12:$B$72,$A1636+1)+F1637</f>
        <v>0</v>
      </c>
      <c r="G1636" s="48" t="n">
        <f aca="false">C1636*(IF($A1636&lt;$Q$1581,INDEX(Surface_Engine!$D$12:$D$72,$A1636+1)+(Surface_Engine!L251*12)*INDEX(Surface_Engine!$F$12:$F$72,$A1636+1)-(Surface_Engine!L251*12),1000*12*INDEX(Surface_Engine!$C$12:$C$72,$A1636+1)/(1+Assumptions!$B$10)^10+INDEX(Surface_Engine!$D$12:$D$72,$A1636+1)))*INDEX(Surface_Engine!$B$12:$B$72,$A1636+1)+G1637</f>
        <v>0</v>
      </c>
      <c r="H1636" s="48" t="n">
        <f aca="false">D1636*(IF($A1636&lt;$Q$1581,INDEX(Surface_Engine!$D$12:$D$72,$A1636+1)+(Surface_Engine!L251*12)*INDEX(Surface_Engine!$F$12:$F$72,$A1636+1)-(Surface_Engine!L251*12),1000*12*INDEX(Surface_Engine!$C$12:$C$72,$A1636+1)/(1+Assumptions!$B$10)^10+INDEX(Surface_Engine!$D$12:$D$72,$A1636+1)))*INDEX(Surface_Engine!$B$12:$B$72,$A1636+1)+H1637</f>
        <v>0</v>
      </c>
      <c r="I1636" s="48" t="n">
        <f aca="false">E1636*(IF($A1636&lt;$Q$1581,INDEX(Surface_Engine!$D$12:$D$72,$A1636+1)+(Surface_Engine!L251*12)*INDEX(Surface_Engine!$F$12:$F$72,$A1636+1)-(Surface_Engine!L251*12),1000*12*INDEX(Surface_Engine!$C$12:$C$72,$A1636+1)/(1+Assumptions!$B$10)^10+INDEX(Surface_Engine!$D$12:$D$72,$A1636+1)))*INDEX(Surface_Engine!$B$12:$B$72,$A1636+1)+I1637</f>
        <v>0</v>
      </c>
      <c r="J1636" s="48" t="n">
        <f aca="false">B1636*(IF($A1636&lt;$Q$1581,INDEX(Surface_Engine!$D$12:$D$72,$A1636+1)*(1+Assumptions!$B$24)+(Surface_Engine!L251*12)*INDEX(Surface_Engine!$F$12:$F$72,$A1636+1)-(Surface_Engine!L251*12),1000*12*INDEX(Surface_Engine!$C$12:$C$72,$A1636+1)/(1+Assumptions!$B$10)^10+INDEX(Surface_Engine!$D$12:$D$72,$A1636+1)*(1+Assumptions!$B$24)))*INDEX(Surface_Engine!$B$12:$B$72,$A1636+1)+J1637</f>
        <v>0</v>
      </c>
      <c r="K1636" s="12" t="n">
        <f aca="false">SQRT((IF(C1636&lt;=0,0,MAX(0,(B1636/C1636)*G1636/INDEX(Surface_Engine!$B$12:$B$72,$A1636+1)-F1636/INDEX(Surface_Engine!$B$12:$B$72,$A1636+1))))^2+(MAX(IF(D1636&lt;=0,0,MAX(0,(B1636/D1636)*H1636/INDEX(Surface_Engine!$B$12:$B$72,$A1636+1)-F1636/INDEX(Surface_Engine!$B$12:$B$72,$A1636+1))),IF(E1636&lt;=0,0,MAX(0,(B1636/E1636)*I1636/INDEX(Surface_Engine!$B$12:$B$72,$A1636+1)-F1636/INDEX(Surface_Engine!$B$12:$B$72,$A1636+1))),IF($A1636&lt;$Q$1581,MAX(0,-Assumptions!$B$22*(F1636/INDEX(Surface_Engine!$B$12:$B$72,$A1636+1))),0)))^2+(MAX(0,J1636/INDEX(Surface_Engine!$B$12:$B$72,$A1636+1)-(F1636/INDEX(Surface_Engine!$B$12:$B$72,$A1636+1))))^2+2*Assumptions!$B$26*(IF(C1636&lt;=0,0,MAX(0,(B1636/C1636)*G1636/INDEX(Surface_Engine!$B$12:$B$72,$A1636+1)-F1636/INDEX(Surface_Engine!$B$12:$B$72,$A1636+1))))*(MAX(IF(D1636&lt;=0,0,MAX(0,(B1636/D1636)*H1636/INDEX(Surface_Engine!$B$12:$B$72,$A1636+1)-F1636/INDEX(Surface_Engine!$B$12:$B$72,$A1636+1))),IF(E1636&lt;=0,0,MAX(0,(B1636/E1636)*I1636/INDEX(Surface_Engine!$B$12:$B$72,$A1636+1)-F1636/INDEX(Surface_Engine!$B$12:$B$72,$A1636+1))),IF($A1636&lt;$Q$1581,MAX(0,-Assumptions!$B$22*(F1636/INDEX(Surface_Engine!$B$12:$B$72,$A1636+1))),0)))+2*Assumptions!$B$27*(IF(C1636&lt;=0,0,MAX(0,(B1636/C1636)*G1636/INDEX(Surface_Engine!$B$12:$B$72,$A1636+1)-F1636/INDEX(Surface_Engine!$B$12:$B$72,$A1636+1))))*(MAX(0,J1636/INDEX(Surface_Engine!$B$12:$B$72,$A1636+1)-(F1636/INDEX(Surface_Engine!$B$12:$B$72,$A1636+1))))+2*Assumptions!$B$28*(MAX(IF(D1636&lt;=0,0,MAX(0,(B1636/D1636)*H1636/INDEX(Surface_Engine!$B$12:$B$72,$A1636+1)-F1636/INDEX(Surface_Engine!$B$12:$B$72,$A1636+1))),IF(E1636&lt;=0,0,MAX(0,(B1636/E1636)*I1636/INDEX(Surface_Engine!$B$12:$B$72,$A1636+1)-F1636/INDEX(Surface_Engine!$B$12:$B$72,$A1636+1))),IF($A1636&lt;$Q$1581,MAX(0,-Assumptions!$B$22*(F1636/INDEX(Surface_Engine!$B$12:$B$72,$A1636+1))),0)))*(MAX(0,J1636/INDEX(Surface_Engine!$B$12:$B$72,$A1636+1)-(F1636/INDEX(Surface_Engine!$B$12:$B$72,$A1636+1)))))</f>
        <v>0</v>
      </c>
      <c r="L1636" s="48" t="n">
        <f aca="false">K1636*INDEX(Surface_Engine!$B$12:$B$72,$A1636+1)+L1637</f>
        <v>0</v>
      </c>
      <c r="M1636" s="48" t="n">
        <f aca="false">M1635+B1635*(IF($A1635&lt;$Q$1581,(Surface_Engine!L251*12)-(Surface_Engine!L251*12)*INDEX(Surface_Engine!$F$12:$F$72,$A1635+1)-INDEX(Surface_Engine!$D$12:$D$72,$A1635+1),-(1000*12*INDEX(Surface_Engine!$C$12:$C$72,$A1635+1)/(1+Assumptions!$B$10)^10+INDEX(Surface_Engine!$D$12:$D$72,$A1635+1))))*INDEX(Surface_Engine!$B$12:$B$72,$A1635+1)</f>
        <v>1765.85464716686</v>
      </c>
      <c r="N1636" s="12" t="n">
        <f aca="false">IF(B1636&lt;=0,0,MAX(0,(K1636+Assumptions!$B$29*L1636/INDEX(Surface_Engine!$B$12:$B$72,$A1636+1)-(M1636/INDEX(Surface_Engine!$B$12:$B$72,$A1636+1)-(F1636/INDEX(Surface_Engine!$B$12:$B$72,$A1636+1))))/B1636))</f>
        <v>0</v>
      </c>
    </row>
    <row r="1637" customFormat="false" ht="15" hidden="false" customHeight="true" outlineLevel="0" collapsed="false">
      <c r="A1637" s="1" t="n">
        <v>54</v>
      </c>
      <c r="B1637" s="32" t="n">
        <f aca="false">INDEX(Surface_Engine!$V$12:$V$72,$A1637+1)*IF($A1637&lt;$Q$1581,INDEX(Surface_Engine!$E$12:$E$72,$A1637+1),INDEX(Surface_Engine!$E$12:$E$72,$Q$1581+1))</f>
        <v>0</v>
      </c>
      <c r="C1637" s="32" t="n">
        <f aca="false">INDEX(Panel_Reserving!$H$8:$H$68,$A1637+1)*IF($A1637&lt;$Q$1581,INDEX(Surface_Engine!$E$12:$E$72,$A1637+1),INDEX(Surface_Engine!$E$12:$E$72,$Q$1581+1))</f>
        <v>0</v>
      </c>
      <c r="D1637" s="32" t="n">
        <f aca="false">INDEX(Surface_Engine!$V$12:$V$72,$A1637+1)*IF($A1637&lt;$Q$1581,INDEX(Surface_Engine!$Y$12:$Y$72,$A1637+1),INDEX(Surface_Engine!$Y$12:$Y$72,$Q$1581+1))</f>
        <v>0</v>
      </c>
      <c r="E1637" s="32" t="n">
        <f aca="false">INDEX(Surface_Engine!$V$12:$V$72,$A1637+1)*IF($A1637&lt;$Q$1581,INDEX(Surface_Engine!$Z$12:$Z$72,$A1637+1),INDEX(Surface_Engine!$Z$12:$Z$72,$Q$1581+1))</f>
        <v>0</v>
      </c>
      <c r="F1637" s="48" t="n">
        <f aca="false">B1637*(IF($A1637&lt;$Q$1581,INDEX(Surface_Engine!$D$12:$D$72,$A1637+1)+(Surface_Engine!L251*12)*INDEX(Surface_Engine!$F$12:$F$72,$A1637+1)-(Surface_Engine!L251*12),1000*12*INDEX(Surface_Engine!$C$12:$C$72,$A1637+1)/(1+Assumptions!$B$10)^10+INDEX(Surface_Engine!$D$12:$D$72,$A1637+1)))*INDEX(Surface_Engine!$B$12:$B$72,$A1637+1)+F1638</f>
        <v>0</v>
      </c>
      <c r="G1637" s="48" t="n">
        <f aca="false">C1637*(IF($A1637&lt;$Q$1581,INDEX(Surface_Engine!$D$12:$D$72,$A1637+1)+(Surface_Engine!L251*12)*INDEX(Surface_Engine!$F$12:$F$72,$A1637+1)-(Surface_Engine!L251*12),1000*12*INDEX(Surface_Engine!$C$12:$C$72,$A1637+1)/(1+Assumptions!$B$10)^10+INDEX(Surface_Engine!$D$12:$D$72,$A1637+1)))*INDEX(Surface_Engine!$B$12:$B$72,$A1637+1)+G1638</f>
        <v>0</v>
      </c>
      <c r="H1637" s="48" t="n">
        <f aca="false">D1637*(IF($A1637&lt;$Q$1581,INDEX(Surface_Engine!$D$12:$D$72,$A1637+1)+(Surface_Engine!L251*12)*INDEX(Surface_Engine!$F$12:$F$72,$A1637+1)-(Surface_Engine!L251*12),1000*12*INDEX(Surface_Engine!$C$12:$C$72,$A1637+1)/(1+Assumptions!$B$10)^10+INDEX(Surface_Engine!$D$12:$D$72,$A1637+1)))*INDEX(Surface_Engine!$B$12:$B$72,$A1637+1)+H1638</f>
        <v>0</v>
      </c>
      <c r="I1637" s="48" t="n">
        <f aca="false">E1637*(IF($A1637&lt;$Q$1581,INDEX(Surface_Engine!$D$12:$D$72,$A1637+1)+(Surface_Engine!L251*12)*INDEX(Surface_Engine!$F$12:$F$72,$A1637+1)-(Surface_Engine!L251*12),1000*12*INDEX(Surface_Engine!$C$12:$C$72,$A1637+1)/(1+Assumptions!$B$10)^10+INDEX(Surface_Engine!$D$12:$D$72,$A1637+1)))*INDEX(Surface_Engine!$B$12:$B$72,$A1637+1)+I1638</f>
        <v>0</v>
      </c>
      <c r="J1637" s="48" t="n">
        <f aca="false">B1637*(IF($A1637&lt;$Q$1581,INDEX(Surface_Engine!$D$12:$D$72,$A1637+1)*(1+Assumptions!$B$24)+(Surface_Engine!L251*12)*INDEX(Surface_Engine!$F$12:$F$72,$A1637+1)-(Surface_Engine!L251*12),1000*12*INDEX(Surface_Engine!$C$12:$C$72,$A1637+1)/(1+Assumptions!$B$10)^10+INDEX(Surface_Engine!$D$12:$D$72,$A1637+1)*(1+Assumptions!$B$24)))*INDEX(Surface_Engine!$B$12:$B$72,$A1637+1)+J1638</f>
        <v>0</v>
      </c>
      <c r="K1637" s="12" t="n">
        <f aca="false">SQRT((IF(C1637&lt;=0,0,MAX(0,(B1637/C1637)*G1637/INDEX(Surface_Engine!$B$12:$B$72,$A1637+1)-F1637/INDEX(Surface_Engine!$B$12:$B$72,$A1637+1))))^2+(MAX(IF(D1637&lt;=0,0,MAX(0,(B1637/D1637)*H1637/INDEX(Surface_Engine!$B$12:$B$72,$A1637+1)-F1637/INDEX(Surface_Engine!$B$12:$B$72,$A1637+1))),IF(E1637&lt;=0,0,MAX(0,(B1637/E1637)*I1637/INDEX(Surface_Engine!$B$12:$B$72,$A1637+1)-F1637/INDEX(Surface_Engine!$B$12:$B$72,$A1637+1))),IF($A1637&lt;$Q$1581,MAX(0,-Assumptions!$B$22*(F1637/INDEX(Surface_Engine!$B$12:$B$72,$A1637+1))),0)))^2+(MAX(0,J1637/INDEX(Surface_Engine!$B$12:$B$72,$A1637+1)-(F1637/INDEX(Surface_Engine!$B$12:$B$72,$A1637+1))))^2+2*Assumptions!$B$26*(IF(C1637&lt;=0,0,MAX(0,(B1637/C1637)*G1637/INDEX(Surface_Engine!$B$12:$B$72,$A1637+1)-F1637/INDEX(Surface_Engine!$B$12:$B$72,$A1637+1))))*(MAX(IF(D1637&lt;=0,0,MAX(0,(B1637/D1637)*H1637/INDEX(Surface_Engine!$B$12:$B$72,$A1637+1)-F1637/INDEX(Surface_Engine!$B$12:$B$72,$A1637+1))),IF(E1637&lt;=0,0,MAX(0,(B1637/E1637)*I1637/INDEX(Surface_Engine!$B$12:$B$72,$A1637+1)-F1637/INDEX(Surface_Engine!$B$12:$B$72,$A1637+1))),IF($A1637&lt;$Q$1581,MAX(0,-Assumptions!$B$22*(F1637/INDEX(Surface_Engine!$B$12:$B$72,$A1637+1))),0)))+2*Assumptions!$B$27*(IF(C1637&lt;=0,0,MAX(0,(B1637/C1637)*G1637/INDEX(Surface_Engine!$B$12:$B$72,$A1637+1)-F1637/INDEX(Surface_Engine!$B$12:$B$72,$A1637+1))))*(MAX(0,J1637/INDEX(Surface_Engine!$B$12:$B$72,$A1637+1)-(F1637/INDEX(Surface_Engine!$B$12:$B$72,$A1637+1))))+2*Assumptions!$B$28*(MAX(IF(D1637&lt;=0,0,MAX(0,(B1637/D1637)*H1637/INDEX(Surface_Engine!$B$12:$B$72,$A1637+1)-F1637/INDEX(Surface_Engine!$B$12:$B$72,$A1637+1))),IF(E1637&lt;=0,0,MAX(0,(B1637/E1637)*I1637/INDEX(Surface_Engine!$B$12:$B$72,$A1637+1)-F1637/INDEX(Surface_Engine!$B$12:$B$72,$A1637+1))),IF($A1637&lt;$Q$1581,MAX(0,-Assumptions!$B$22*(F1637/INDEX(Surface_Engine!$B$12:$B$72,$A1637+1))),0)))*(MAX(0,J1637/INDEX(Surface_Engine!$B$12:$B$72,$A1637+1)-(F1637/INDEX(Surface_Engine!$B$12:$B$72,$A1637+1)))))</f>
        <v>0</v>
      </c>
      <c r="L1637" s="48" t="n">
        <f aca="false">K1637*INDEX(Surface_Engine!$B$12:$B$72,$A1637+1)+L1638</f>
        <v>0</v>
      </c>
      <c r="M1637" s="48" t="n">
        <f aca="false">M1636+B1636*(IF($A1636&lt;$Q$1581,(Surface_Engine!L251*12)-(Surface_Engine!L251*12)*INDEX(Surface_Engine!$F$12:$F$72,$A1636+1)-INDEX(Surface_Engine!$D$12:$D$72,$A1636+1),-(1000*12*INDEX(Surface_Engine!$C$12:$C$72,$A1636+1)/(1+Assumptions!$B$10)^10+INDEX(Surface_Engine!$D$12:$D$72,$A1636+1))))*INDEX(Surface_Engine!$B$12:$B$72,$A1636+1)</f>
        <v>1765.85464716686</v>
      </c>
      <c r="N1637" s="12" t="n">
        <f aca="false">IF(B1637&lt;=0,0,MAX(0,(K1637+Assumptions!$B$29*L1637/INDEX(Surface_Engine!$B$12:$B$72,$A1637+1)-(M1637/INDEX(Surface_Engine!$B$12:$B$72,$A1637+1)-(F1637/INDEX(Surface_Engine!$B$12:$B$72,$A1637+1))))/B1637))</f>
        <v>0</v>
      </c>
    </row>
    <row r="1638" customFormat="false" ht="15" hidden="false" customHeight="true" outlineLevel="0" collapsed="false">
      <c r="A1638" s="1" t="n">
        <v>55</v>
      </c>
      <c r="B1638" s="32" t="n">
        <f aca="false">INDEX(Surface_Engine!$V$12:$V$72,$A1638+1)*IF($A1638&lt;$Q$1581,INDEX(Surface_Engine!$E$12:$E$72,$A1638+1),INDEX(Surface_Engine!$E$12:$E$72,$Q$1581+1))</f>
        <v>0</v>
      </c>
      <c r="C1638" s="32" t="n">
        <f aca="false">INDEX(Panel_Reserving!$H$8:$H$68,$A1638+1)*IF($A1638&lt;$Q$1581,INDEX(Surface_Engine!$E$12:$E$72,$A1638+1),INDEX(Surface_Engine!$E$12:$E$72,$Q$1581+1))</f>
        <v>0</v>
      </c>
      <c r="D1638" s="32" t="n">
        <f aca="false">INDEX(Surface_Engine!$V$12:$V$72,$A1638+1)*IF($A1638&lt;$Q$1581,INDEX(Surface_Engine!$Y$12:$Y$72,$A1638+1),INDEX(Surface_Engine!$Y$12:$Y$72,$Q$1581+1))</f>
        <v>0</v>
      </c>
      <c r="E1638" s="32" t="n">
        <f aca="false">INDEX(Surface_Engine!$V$12:$V$72,$A1638+1)*IF($A1638&lt;$Q$1581,INDEX(Surface_Engine!$Z$12:$Z$72,$A1638+1),INDEX(Surface_Engine!$Z$12:$Z$72,$Q$1581+1))</f>
        <v>0</v>
      </c>
      <c r="F1638" s="48" t="n">
        <f aca="false">B1638*(IF($A1638&lt;$Q$1581,INDEX(Surface_Engine!$D$12:$D$72,$A1638+1)+(Surface_Engine!L251*12)*INDEX(Surface_Engine!$F$12:$F$72,$A1638+1)-(Surface_Engine!L251*12),1000*12*INDEX(Surface_Engine!$C$12:$C$72,$A1638+1)/(1+Assumptions!$B$10)^10+INDEX(Surface_Engine!$D$12:$D$72,$A1638+1)))*INDEX(Surface_Engine!$B$12:$B$72,$A1638+1)+F1639</f>
        <v>0</v>
      </c>
      <c r="G1638" s="48" t="n">
        <f aca="false">C1638*(IF($A1638&lt;$Q$1581,INDEX(Surface_Engine!$D$12:$D$72,$A1638+1)+(Surface_Engine!L251*12)*INDEX(Surface_Engine!$F$12:$F$72,$A1638+1)-(Surface_Engine!L251*12),1000*12*INDEX(Surface_Engine!$C$12:$C$72,$A1638+1)/(1+Assumptions!$B$10)^10+INDEX(Surface_Engine!$D$12:$D$72,$A1638+1)))*INDEX(Surface_Engine!$B$12:$B$72,$A1638+1)+G1639</f>
        <v>0</v>
      </c>
      <c r="H1638" s="48" t="n">
        <f aca="false">D1638*(IF($A1638&lt;$Q$1581,INDEX(Surface_Engine!$D$12:$D$72,$A1638+1)+(Surface_Engine!L251*12)*INDEX(Surface_Engine!$F$12:$F$72,$A1638+1)-(Surface_Engine!L251*12),1000*12*INDEX(Surface_Engine!$C$12:$C$72,$A1638+1)/(1+Assumptions!$B$10)^10+INDEX(Surface_Engine!$D$12:$D$72,$A1638+1)))*INDEX(Surface_Engine!$B$12:$B$72,$A1638+1)+H1639</f>
        <v>0</v>
      </c>
      <c r="I1638" s="48" t="n">
        <f aca="false">E1638*(IF($A1638&lt;$Q$1581,INDEX(Surface_Engine!$D$12:$D$72,$A1638+1)+(Surface_Engine!L251*12)*INDEX(Surface_Engine!$F$12:$F$72,$A1638+1)-(Surface_Engine!L251*12),1000*12*INDEX(Surface_Engine!$C$12:$C$72,$A1638+1)/(1+Assumptions!$B$10)^10+INDEX(Surface_Engine!$D$12:$D$72,$A1638+1)))*INDEX(Surface_Engine!$B$12:$B$72,$A1638+1)+I1639</f>
        <v>0</v>
      </c>
      <c r="J1638" s="48" t="n">
        <f aca="false">B1638*(IF($A1638&lt;$Q$1581,INDEX(Surface_Engine!$D$12:$D$72,$A1638+1)*(1+Assumptions!$B$24)+(Surface_Engine!L251*12)*INDEX(Surface_Engine!$F$12:$F$72,$A1638+1)-(Surface_Engine!L251*12),1000*12*INDEX(Surface_Engine!$C$12:$C$72,$A1638+1)/(1+Assumptions!$B$10)^10+INDEX(Surface_Engine!$D$12:$D$72,$A1638+1)*(1+Assumptions!$B$24)))*INDEX(Surface_Engine!$B$12:$B$72,$A1638+1)+J1639</f>
        <v>0</v>
      </c>
      <c r="K1638" s="12" t="n">
        <f aca="false">SQRT((IF(C1638&lt;=0,0,MAX(0,(B1638/C1638)*G1638/INDEX(Surface_Engine!$B$12:$B$72,$A1638+1)-F1638/INDEX(Surface_Engine!$B$12:$B$72,$A1638+1))))^2+(MAX(IF(D1638&lt;=0,0,MAX(0,(B1638/D1638)*H1638/INDEX(Surface_Engine!$B$12:$B$72,$A1638+1)-F1638/INDEX(Surface_Engine!$B$12:$B$72,$A1638+1))),IF(E1638&lt;=0,0,MAX(0,(B1638/E1638)*I1638/INDEX(Surface_Engine!$B$12:$B$72,$A1638+1)-F1638/INDEX(Surface_Engine!$B$12:$B$72,$A1638+1))),IF($A1638&lt;$Q$1581,MAX(0,-Assumptions!$B$22*(F1638/INDEX(Surface_Engine!$B$12:$B$72,$A1638+1))),0)))^2+(MAX(0,J1638/INDEX(Surface_Engine!$B$12:$B$72,$A1638+1)-(F1638/INDEX(Surface_Engine!$B$12:$B$72,$A1638+1))))^2+2*Assumptions!$B$26*(IF(C1638&lt;=0,0,MAX(0,(B1638/C1638)*G1638/INDEX(Surface_Engine!$B$12:$B$72,$A1638+1)-F1638/INDEX(Surface_Engine!$B$12:$B$72,$A1638+1))))*(MAX(IF(D1638&lt;=0,0,MAX(0,(B1638/D1638)*H1638/INDEX(Surface_Engine!$B$12:$B$72,$A1638+1)-F1638/INDEX(Surface_Engine!$B$12:$B$72,$A1638+1))),IF(E1638&lt;=0,0,MAX(0,(B1638/E1638)*I1638/INDEX(Surface_Engine!$B$12:$B$72,$A1638+1)-F1638/INDEX(Surface_Engine!$B$12:$B$72,$A1638+1))),IF($A1638&lt;$Q$1581,MAX(0,-Assumptions!$B$22*(F1638/INDEX(Surface_Engine!$B$12:$B$72,$A1638+1))),0)))+2*Assumptions!$B$27*(IF(C1638&lt;=0,0,MAX(0,(B1638/C1638)*G1638/INDEX(Surface_Engine!$B$12:$B$72,$A1638+1)-F1638/INDEX(Surface_Engine!$B$12:$B$72,$A1638+1))))*(MAX(0,J1638/INDEX(Surface_Engine!$B$12:$B$72,$A1638+1)-(F1638/INDEX(Surface_Engine!$B$12:$B$72,$A1638+1))))+2*Assumptions!$B$28*(MAX(IF(D1638&lt;=0,0,MAX(0,(B1638/D1638)*H1638/INDEX(Surface_Engine!$B$12:$B$72,$A1638+1)-F1638/INDEX(Surface_Engine!$B$12:$B$72,$A1638+1))),IF(E1638&lt;=0,0,MAX(0,(B1638/E1638)*I1638/INDEX(Surface_Engine!$B$12:$B$72,$A1638+1)-F1638/INDEX(Surface_Engine!$B$12:$B$72,$A1638+1))),IF($A1638&lt;$Q$1581,MAX(0,-Assumptions!$B$22*(F1638/INDEX(Surface_Engine!$B$12:$B$72,$A1638+1))),0)))*(MAX(0,J1638/INDEX(Surface_Engine!$B$12:$B$72,$A1638+1)-(F1638/INDEX(Surface_Engine!$B$12:$B$72,$A1638+1)))))</f>
        <v>0</v>
      </c>
      <c r="L1638" s="48" t="n">
        <f aca="false">K1638*INDEX(Surface_Engine!$B$12:$B$72,$A1638+1)+L1639</f>
        <v>0</v>
      </c>
      <c r="M1638" s="48" t="n">
        <f aca="false">M1637+B1637*(IF($A1637&lt;$Q$1581,(Surface_Engine!L251*12)-(Surface_Engine!L251*12)*INDEX(Surface_Engine!$F$12:$F$72,$A1637+1)-INDEX(Surface_Engine!$D$12:$D$72,$A1637+1),-(1000*12*INDEX(Surface_Engine!$C$12:$C$72,$A1637+1)/(1+Assumptions!$B$10)^10+INDEX(Surface_Engine!$D$12:$D$72,$A1637+1))))*INDEX(Surface_Engine!$B$12:$B$72,$A1637+1)</f>
        <v>1765.85464716686</v>
      </c>
      <c r="N1638" s="12" t="n">
        <f aca="false">IF(B1638&lt;=0,0,MAX(0,(K1638+Assumptions!$B$29*L1638/INDEX(Surface_Engine!$B$12:$B$72,$A1638+1)-(M1638/INDEX(Surface_Engine!$B$12:$B$72,$A1638+1)-(F1638/INDEX(Surface_Engine!$B$12:$B$72,$A1638+1))))/B1638))</f>
        <v>0</v>
      </c>
    </row>
    <row r="1639" customFormat="false" ht="15" hidden="false" customHeight="true" outlineLevel="0" collapsed="false">
      <c r="A1639" s="1" t="n">
        <v>56</v>
      </c>
      <c r="B1639" s="32" t="n">
        <f aca="false">INDEX(Surface_Engine!$V$12:$V$72,$A1639+1)*IF($A1639&lt;$Q$1581,INDEX(Surface_Engine!$E$12:$E$72,$A1639+1),INDEX(Surface_Engine!$E$12:$E$72,$Q$1581+1))</f>
        <v>0</v>
      </c>
      <c r="C1639" s="32" t="n">
        <f aca="false">INDEX(Panel_Reserving!$H$8:$H$68,$A1639+1)*IF($A1639&lt;$Q$1581,INDEX(Surface_Engine!$E$12:$E$72,$A1639+1),INDEX(Surface_Engine!$E$12:$E$72,$Q$1581+1))</f>
        <v>0</v>
      </c>
      <c r="D1639" s="32" t="n">
        <f aca="false">INDEX(Surface_Engine!$V$12:$V$72,$A1639+1)*IF($A1639&lt;$Q$1581,INDEX(Surface_Engine!$Y$12:$Y$72,$A1639+1),INDEX(Surface_Engine!$Y$12:$Y$72,$Q$1581+1))</f>
        <v>0</v>
      </c>
      <c r="E1639" s="32" t="n">
        <f aca="false">INDEX(Surface_Engine!$V$12:$V$72,$A1639+1)*IF($A1639&lt;$Q$1581,INDEX(Surface_Engine!$Z$12:$Z$72,$A1639+1),INDEX(Surface_Engine!$Z$12:$Z$72,$Q$1581+1))</f>
        <v>0</v>
      </c>
      <c r="F1639" s="48" t="n">
        <f aca="false">B1639*(IF($A1639&lt;$Q$1581,INDEX(Surface_Engine!$D$12:$D$72,$A1639+1)+(Surface_Engine!L251*12)*INDEX(Surface_Engine!$F$12:$F$72,$A1639+1)-(Surface_Engine!L251*12),1000*12*INDEX(Surface_Engine!$C$12:$C$72,$A1639+1)/(1+Assumptions!$B$10)^10+INDEX(Surface_Engine!$D$12:$D$72,$A1639+1)))*INDEX(Surface_Engine!$B$12:$B$72,$A1639+1)+F1640</f>
        <v>0</v>
      </c>
      <c r="G1639" s="48" t="n">
        <f aca="false">C1639*(IF($A1639&lt;$Q$1581,INDEX(Surface_Engine!$D$12:$D$72,$A1639+1)+(Surface_Engine!L251*12)*INDEX(Surface_Engine!$F$12:$F$72,$A1639+1)-(Surface_Engine!L251*12),1000*12*INDEX(Surface_Engine!$C$12:$C$72,$A1639+1)/(1+Assumptions!$B$10)^10+INDEX(Surface_Engine!$D$12:$D$72,$A1639+1)))*INDEX(Surface_Engine!$B$12:$B$72,$A1639+1)+G1640</f>
        <v>0</v>
      </c>
      <c r="H1639" s="48" t="n">
        <f aca="false">D1639*(IF($A1639&lt;$Q$1581,INDEX(Surface_Engine!$D$12:$D$72,$A1639+1)+(Surface_Engine!L251*12)*INDEX(Surface_Engine!$F$12:$F$72,$A1639+1)-(Surface_Engine!L251*12),1000*12*INDEX(Surface_Engine!$C$12:$C$72,$A1639+1)/(1+Assumptions!$B$10)^10+INDEX(Surface_Engine!$D$12:$D$72,$A1639+1)))*INDEX(Surface_Engine!$B$12:$B$72,$A1639+1)+H1640</f>
        <v>0</v>
      </c>
      <c r="I1639" s="48" t="n">
        <f aca="false">E1639*(IF($A1639&lt;$Q$1581,INDEX(Surface_Engine!$D$12:$D$72,$A1639+1)+(Surface_Engine!L251*12)*INDEX(Surface_Engine!$F$12:$F$72,$A1639+1)-(Surface_Engine!L251*12),1000*12*INDEX(Surface_Engine!$C$12:$C$72,$A1639+1)/(1+Assumptions!$B$10)^10+INDEX(Surface_Engine!$D$12:$D$72,$A1639+1)))*INDEX(Surface_Engine!$B$12:$B$72,$A1639+1)+I1640</f>
        <v>0</v>
      </c>
      <c r="J1639" s="48" t="n">
        <f aca="false">B1639*(IF($A1639&lt;$Q$1581,INDEX(Surface_Engine!$D$12:$D$72,$A1639+1)*(1+Assumptions!$B$24)+(Surface_Engine!L251*12)*INDEX(Surface_Engine!$F$12:$F$72,$A1639+1)-(Surface_Engine!L251*12),1000*12*INDEX(Surface_Engine!$C$12:$C$72,$A1639+1)/(1+Assumptions!$B$10)^10+INDEX(Surface_Engine!$D$12:$D$72,$A1639+1)*(1+Assumptions!$B$24)))*INDEX(Surface_Engine!$B$12:$B$72,$A1639+1)+J1640</f>
        <v>0</v>
      </c>
      <c r="K1639" s="12" t="n">
        <f aca="false">SQRT((IF(C1639&lt;=0,0,MAX(0,(B1639/C1639)*G1639/INDEX(Surface_Engine!$B$12:$B$72,$A1639+1)-F1639/INDEX(Surface_Engine!$B$12:$B$72,$A1639+1))))^2+(MAX(IF(D1639&lt;=0,0,MAX(0,(B1639/D1639)*H1639/INDEX(Surface_Engine!$B$12:$B$72,$A1639+1)-F1639/INDEX(Surface_Engine!$B$12:$B$72,$A1639+1))),IF(E1639&lt;=0,0,MAX(0,(B1639/E1639)*I1639/INDEX(Surface_Engine!$B$12:$B$72,$A1639+1)-F1639/INDEX(Surface_Engine!$B$12:$B$72,$A1639+1))),IF($A1639&lt;$Q$1581,MAX(0,-Assumptions!$B$22*(F1639/INDEX(Surface_Engine!$B$12:$B$72,$A1639+1))),0)))^2+(MAX(0,J1639/INDEX(Surface_Engine!$B$12:$B$72,$A1639+1)-(F1639/INDEX(Surface_Engine!$B$12:$B$72,$A1639+1))))^2+2*Assumptions!$B$26*(IF(C1639&lt;=0,0,MAX(0,(B1639/C1639)*G1639/INDEX(Surface_Engine!$B$12:$B$72,$A1639+1)-F1639/INDEX(Surface_Engine!$B$12:$B$72,$A1639+1))))*(MAX(IF(D1639&lt;=0,0,MAX(0,(B1639/D1639)*H1639/INDEX(Surface_Engine!$B$12:$B$72,$A1639+1)-F1639/INDEX(Surface_Engine!$B$12:$B$72,$A1639+1))),IF(E1639&lt;=0,0,MAX(0,(B1639/E1639)*I1639/INDEX(Surface_Engine!$B$12:$B$72,$A1639+1)-F1639/INDEX(Surface_Engine!$B$12:$B$72,$A1639+1))),IF($A1639&lt;$Q$1581,MAX(0,-Assumptions!$B$22*(F1639/INDEX(Surface_Engine!$B$12:$B$72,$A1639+1))),0)))+2*Assumptions!$B$27*(IF(C1639&lt;=0,0,MAX(0,(B1639/C1639)*G1639/INDEX(Surface_Engine!$B$12:$B$72,$A1639+1)-F1639/INDEX(Surface_Engine!$B$12:$B$72,$A1639+1))))*(MAX(0,J1639/INDEX(Surface_Engine!$B$12:$B$72,$A1639+1)-(F1639/INDEX(Surface_Engine!$B$12:$B$72,$A1639+1))))+2*Assumptions!$B$28*(MAX(IF(D1639&lt;=0,0,MAX(0,(B1639/D1639)*H1639/INDEX(Surface_Engine!$B$12:$B$72,$A1639+1)-F1639/INDEX(Surface_Engine!$B$12:$B$72,$A1639+1))),IF(E1639&lt;=0,0,MAX(0,(B1639/E1639)*I1639/INDEX(Surface_Engine!$B$12:$B$72,$A1639+1)-F1639/INDEX(Surface_Engine!$B$12:$B$72,$A1639+1))),IF($A1639&lt;$Q$1581,MAX(0,-Assumptions!$B$22*(F1639/INDEX(Surface_Engine!$B$12:$B$72,$A1639+1))),0)))*(MAX(0,J1639/INDEX(Surface_Engine!$B$12:$B$72,$A1639+1)-(F1639/INDEX(Surface_Engine!$B$12:$B$72,$A1639+1)))))</f>
        <v>0</v>
      </c>
      <c r="L1639" s="48" t="n">
        <f aca="false">K1639*INDEX(Surface_Engine!$B$12:$B$72,$A1639+1)+L1640</f>
        <v>0</v>
      </c>
      <c r="M1639" s="48" t="n">
        <f aca="false">M1638+B1638*(IF($A1638&lt;$Q$1581,(Surface_Engine!L251*12)-(Surface_Engine!L251*12)*INDEX(Surface_Engine!$F$12:$F$72,$A1638+1)-INDEX(Surface_Engine!$D$12:$D$72,$A1638+1),-(1000*12*INDEX(Surface_Engine!$C$12:$C$72,$A1638+1)/(1+Assumptions!$B$10)^10+INDEX(Surface_Engine!$D$12:$D$72,$A1638+1))))*INDEX(Surface_Engine!$B$12:$B$72,$A1638+1)</f>
        <v>1765.85464716686</v>
      </c>
      <c r="N1639" s="12" t="n">
        <f aca="false">IF(B1639&lt;=0,0,MAX(0,(K1639+Assumptions!$B$29*L1639/INDEX(Surface_Engine!$B$12:$B$72,$A1639+1)-(M1639/INDEX(Surface_Engine!$B$12:$B$72,$A1639+1)-(F1639/INDEX(Surface_Engine!$B$12:$B$72,$A1639+1))))/B1639))</f>
        <v>0</v>
      </c>
    </row>
    <row r="1640" customFormat="false" ht="15" hidden="false" customHeight="true" outlineLevel="0" collapsed="false">
      <c r="A1640" s="1" t="n">
        <v>57</v>
      </c>
      <c r="B1640" s="32" t="n">
        <f aca="false">INDEX(Surface_Engine!$V$12:$V$72,$A1640+1)*IF($A1640&lt;$Q$1581,INDEX(Surface_Engine!$E$12:$E$72,$A1640+1),INDEX(Surface_Engine!$E$12:$E$72,$Q$1581+1))</f>
        <v>0</v>
      </c>
      <c r="C1640" s="32" t="n">
        <f aca="false">INDEX(Panel_Reserving!$H$8:$H$68,$A1640+1)*IF($A1640&lt;$Q$1581,INDEX(Surface_Engine!$E$12:$E$72,$A1640+1),INDEX(Surface_Engine!$E$12:$E$72,$Q$1581+1))</f>
        <v>0</v>
      </c>
      <c r="D1640" s="32" t="n">
        <f aca="false">INDEX(Surface_Engine!$V$12:$V$72,$A1640+1)*IF($A1640&lt;$Q$1581,INDEX(Surface_Engine!$Y$12:$Y$72,$A1640+1),INDEX(Surface_Engine!$Y$12:$Y$72,$Q$1581+1))</f>
        <v>0</v>
      </c>
      <c r="E1640" s="32" t="n">
        <f aca="false">INDEX(Surface_Engine!$V$12:$V$72,$A1640+1)*IF($A1640&lt;$Q$1581,INDEX(Surface_Engine!$Z$12:$Z$72,$A1640+1),INDEX(Surface_Engine!$Z$12:$Z$72,$Q$1581+1))</f>
        <v>0</v>
      </c>
      <c r="F1640" s="48" t="n">
        <f aca="false">B1640*(IF($A1640&lt;$Q$1581,INDEX(Surface_Engine!$D$12:$D$72,$A1640+1)+(Surface_Engine!L251*12)*INDEX(Surface_Engine!$F$12:$F$72,$A1640+1)-(Surface_Engine!L251*12),1000*12*INDEX(Surface_Engine!$C$12:$C$72,$A1640+1)/(1+Assumptions!$B$10)^10+INDEX(Surface_Engine!$D$12:$D$72,$A1640+1)))*INDEX(Surface_Engine!$B$12:$B$72,$A1640+1)+F1641</f>
        <v>0</v>
      </c>
      <c r="G1640" s="48" t="n">
        <f aca="false">C1640*(IF($A1640&lt;$Q$1581,INDEX(Surface_Engine!$D$12:$D$72,$A1640+1)+(Surface_Engine!L251*12)*INDEX(Surface_Engine!$F$12:$F$72,$A1640+1)-(Surface_Engine!L251*12),1000*12*INDEX(Surface_Engine!$C$12:$C$72,$A1640+1)/(1+Assumptions!$B$10)^10+INDEX(Surface_Engine!$D$12:$D$72,$A1640+1)))*INDEX(Surface_Engine!$B$12:$B$72,$A1640+1)+G1641</f>
        <v>0</v>
      </c>
      <c r="H1640" s="48" t="n">
        <f aca="false">D1640*(IF($A1640&lt;$Q$1581,INDEX(Surface_Engine!$D$12:$D$72,$A1640+1)+(Surface_Engine!L251*12)*INDEX(Surface_Engine!$F$12:$F$72,$A1640+1)-(Surface_Engine!L251*12),1000*12*INDEX(Surface_Engine!$C$12:$C$72,$A1640+1)/(1+Assumptions!$B$10)^10+INDEX(Surface_Engine!$D$12:$D$72,$A1640+1)))*INDEX(Surface_Engine!$B$12:$B$72,$A1640+1)+H1641</f>
        <v>0</v>
      </c>
      <c r="I1640" s="48" t="n">
        <f aca="false">E1640*(IF($A1640&lt;$Q$1581,INDEX(Surface_Engine!$D$12:$D$72,$A1640+1)+(Surface_Engine!L251*12)*INDEX(Surface_Engine!$F$12:$F$72,$A1640+1)-(Surface_Engine!L251*12),1000*12*INDEX(Surface_Engine!$C$12:$C$72,$A1640+1)/(1+Assumptions!$B$10)^10+INDEX(Surface_Engine!$D$12:$D$72,$A1640+1)))*INDEX(Surface_Engine!$B$12:$B$72,$A1640+1)+I1641</f>
        <v>0</v>
      </c>
      <c r="J1640" s="48" t="n">
        <f aca="false">B1640*(IF($A1640&lt;$Q$1581,INDEX(Surface_Engine!$D$12:$D$72,$A1640+1)*(1+Assumptions!$B$24)+(Surface_Engine!L251*12)*INDEX(Surface_Engine!$F$12:$F$72,$A1640+1)-(Surface_Engine!L251*12),1000*12*INDEX(Surface_Engine!$C$12:$C$72,$A1640+1)/(1+Assumptions!$B$10)^10+INDEX(Surface_Engine!$D$12:$D$72,$A1640+1)*(1+Assumptions!$B$24)))*INDEX(Surface_Engine!$B$12:$B$72,$A1640+1)+J1641</f>
        <v>0</v>
      </c>
      <c r="K1640" s="12" t="n">
        <f aca="false">SQRT((IF(C1640&lt;=0,0,MAX(0,(B1640/C1640)*G1640/INDEX(Surface_Engine!$B$12:$B$72,$A1640+1)-F1640/INDEX(Surface_Engine!$B$12:$B$72,$A1640+1))))^2+(MAX(IF(D1640&lt;=0,0,MAX(0,(B1640/D1640)*H1640/INDEX(Surface_Engine!$B$12:$B$72,$A1640+1)-F1640/INDEX(Surface_Engine!$B$12:$B$72,$A1640+1))),IF(E1640&lt;=0,0,MAX(0,(B1640/E1640)*I1640/INDEX(Surface_Engine!$B$12:$B$72,$A1640+1)-F1640/INDEX(Surface_Engine!$B$12:$B$72,$A1640+1))),IF($A1640&lt;$Q$1581,MAX(0,-Assumptions!$B$22*(F1640/INDEX(Surface_Engine!$B$12:$B$72,$A1640+1))),0)))^2+(MAX(0,J1640/INDEX(Surface_Engine!$B$12:$B$72,$A1640+1)-(F1640/INDEX(Surface_Engine!$B$12:$B$72,$A1640+1))))^2+2*Assumptions!$B$26*(IF(C1640&lt;=0,0,MAX(0,(B1640/C1640)*G1640/INDEX(Surface_Engine!$B$12:$B$72,$A1640+1)-F1640/INDEX(Surface_Engine!$B$12:$B$72,$A1640+1))))*(MAX(IF(D1640&lt;=0,0,MAX(0,(B1640/D1640)*H1640/INDEX(Surface_Engine!$B$12:$B$72,$A1640+1)-F1640/INDEX(Surface_Engine!$B$12:$B$72,$A1640+1))),IF(E1640&lt;=0,0,MAX(0,(B1640/E1640)*I1640/INDEX(Surface_Engine!$B$12:$B$72,$A1640+1)-F1640/INDEX(Surface_Engine!$B$12:$B$72,$A1640+1))),IF($A1640&lt;$Q$1581,MAX(0,-Assumptions!$B$22*(F1640/INDEX(Surface_Engine!$B$12:$B$72,$A1640+1))),0)))+2*Assumptions!$B$27*(IF(C1640&lt;=0,0,MAX(0,(B1640/C1640)*G1640/INDEX(Surface_Engine!$B$12:$B$72,$A1640+1)-F1640/INDEX(Surface_Engine!$B$12:$B$72,$A1640+1))))*(MAX(0,J1640/INDEX(Surface_Engine!$B$12:$B$72,$A1640+1)-(F1640/INDEX(Surface_Engine!$B$12:$B$72,$A1640+1))))+2*Assumptions!$B$28*(MAX(IF(D1640&lt;=0,0,MAX(0,(B1640/D1640)*H1640/INDEX(Surface_Engine!$B$12:$B$72,$A1640+1)-F1640/INDEX(Surface_Engine!$B$12:$B$72,$A1640+1))),IF(E1640&lt;=0,0,MAX(0,(B1640/E1640)*I1640/INDEX(Surface_Engine!$B$12:$B$72,$A1640+1)-F1640/INDEX(Surface_Engine!$B$12:$B$72,$A1640+1))),IF($A1640&lt;$Q$1581,MAX(0,-Assumptions!$B$22*(F1640/INDEX(Surface_Engine!$B$12:$B$72,$A1640+1))),0)))*(MAX(0,J1640/INDEX(Surface_Engine!$B$12:$B$72,$A1640+1)-(F1640/INDEX(Surface_Engine!$B$12:$B$72,$A1640+1)))))</f>
        <v>0</v>
      </c>
      <c r="L1640" s="48" t="n">
        <f aca="false">K1640*INDEX(Surface_Engine!$B$12:$B$72,$A1640+1)+L1641</f>
        <v>0</v>
      </c>
      <c r="M1640" s="48" t="n">
        <f aca="false">M1639+B1639*(IF($A1639&lt;$Q$1581,(Surface_Engine!L251*12)-(Surface_Engine!L251*12)*INDEX(Surface_Engine!$F$12:$F$72,$A1639+1)-INDEX(Surface_Engine!$D$12:$D$72,$A1639+1),-(1000*12*INDEX(Surface_Engine!$C$12:$C$72,$A1639+1)/(1+Assumptions!$B$10)^10+INDEX(Surface_Engine!$D$12:$D$72,$A1639+1))))*INDEX(Surface_Engine!$B$12:$B$72,$A1639+1)</f>
        <v>1765.85464716686</v>
      </c>
      <c r="N1640" s="12" t="n">
        <f aca="false">IF(B1640&lt;=0,0,MAX(0,(K1640+Assumptions!$B$29*L1640/INDEX(Surface_Engine!$B$12:$B$72,$A1640+1)-(M1640/INDEX(Surface_Engine!$B$12:$B$72,$A1640+1)-(F1640/INDEX(Surface_Engine!$B$12:$B$72,$A1640+1))))/B1640))</f>
        <v>0</v>
      </c>
    </row>
    <row r="1641" customFormat="false" ht="15" hidden="false" customHeight="true" outlineLevel="0" collapsed="false">
      <c r="A1641" s="1" t="n">
        <v>58</v>
      </c>
      <c r="B1641" s="32" t="n">
        <f aca="false">INDEX(Surface_Engine!$V$12:$V$72,$A1641+1)*IF($A1641&lt;$Q$1581,INDEX(Surface_Engine!$E$12:$E$72,$A1641+1),INDEX(Surface_Engine!$E$12:$E$72,$Q$1581+1))</f>
        <v>0</v>
      </c>
      <c r="C1641" s="32" t="n">
        <f aca="false">INDEX(Panel_Reserving!$H$8:$H$68,$A1641+1)*IF($A1641&lt;$Q$1581,INDEX(Surface_Engine!$E$12:$E$72,$A1641+1),INDEX(Surface_Engine!$E$12:$E$72,$Q$1581+1))</f>
        <v>0</v>
      </c>
      <c r="D1641" s="32" t="n">
        <f aca="false">INDEX(Surface_Engine!$V$12:$V$72,$A1641+1)*IF($A1641&lt;$Q$1581,INDEX(Surface_Engine!$Y$12:$Y$72,$A1641+1),INDEX(Surface_Engine!$Y$12:$Y$72,$Q$1581+1))</f>
        <v>0</v>
      </c>
      <c r="E1641" s="32" t="n">
        <f aca="false">INDEX(Surface_Engine!$V$12:$V$72,$A1641+1)*IF($A1641&lt;$Q$1581,INDEX(Surface_Engine!$Z$12:$Z$72,$A1641+1),INDEX(Surface_Engine!$Z$12:$Z$72,$Q$1581+1))</f>
        <v>0</v>
      </c>
      <c r="F1641" s="48" t="n">
        <f aca="false">B1641*(IF($A1641&lt;$Q$1581,INDEX(Surface_Engine!$D$12:$D$72,$A1641+1)+(Surface_Engine!L251*12)*INDEX(Surface_Engine!$F$12:$F$72,$A1641+1)-(Surface_Engine!L251*12),1000*12*INDEX(Surface_Engine!$C$12:$C$72,$A1641+1)/(1+Assumptions!$B$10)^10+INDEX(Surface_Engine!$D$12:$D$72,$A1641+1)))*INDEX(Surface_Engine!$B$12:$B$72,$A1641+1)+F1642</f>
        <v>0</v>
      </c>
      <c r="G1641" s="48" t="n">
        <f aca="false">C1641*(IF($A1641&lt;$Q$1581,INDEX(Surface_Engine!$D$12:$D$72,$A1641+1)+(Surface_Engine!L251*12)*INDEX(Surface_Engine!$F$12:$F$72,$A1641+1)-(Surface_Engine!L251*12),1000*12*INDEX(Surface_Engine!$C$12:$C$72,$A1641+1)/(1+Assumptions!$B$10)^10+INDEX(Surface_Engine!$D$12:$D$72,$A1641+1)))*INDEX(Surface_Engine!$B$12:$B$72,$A1641+1)+G1642</f>
        <v>0</v>
      </c>
      <c r="H1641" s="48" t="n">
        <f aca="false">D1641*(IF($A1641&lt;$Q$1581,INDEX(Surface_Engine!$D$12:$D$72,$A1641+1)+(Surface_Engine!L251*12)*INDEX(Surface_Engine!$F$12:$F$72,$A1641+1)-(Surface_Engine!L251*12),1000*12*INDEX(Surface_Engine!$C$12:$C$72,$A1641+1)/(1+Assumptions!$B$10)^10+INDEX(Surface_Engine!$D$12:$D$72,$A1641+1)))*INDEX(Surface_Engine!$B$12:$B$72,$A1641+1)+H1642</f>
        <v>0</v>
      </c>
      <c r="I1641" s="48" t="n">
        <f aca="false">E1641*(IF($A1641&lt;$Q$1581,INDEX(Surface_Engine!$D$12:$D$72,$A1641+1)+(Surface_Engine!L251*12)*INDEX(Surface_Engine!$F$12:$F$72,$A1641+1)-(Surface_Engine!L251*12),1000*12*INDEX(Surface_Engine!$C$12:$C$72,$A1641+1)/(1+Assumptions!$B$10)^10+INDEX(Surface_Engine!$D$12:$D$72,$A1641+1)))*INDEX(Surface_Engine!$B$12:$B$72,$A1641+1)+I1642</f>
        <v>0</v>
      </c>
      <c r="J1641" s="48" t="n">
        <f aca="false">B1641*(IF($A1641&lt;$Q$1581,INDEX(Surface_Engine!$D$12:$D$72,$A1641+1)*(1+Assumptions!$B$24)+(Surface_Engine!L251*12)*INDEX(Surface_Engine!$F$12:$F$72,$A1641+1)-(Surface_Engine!L251*12),1000*12*INDEX(Surface_Engine!$C$12:$C$72,$A1641+1)/(1+Assumptions!$B$10)^10+INDEX(Surface_Engine!$D$12:$D$72,$A1641+1)*(1+Assumptions!$B$24)))*INDEX(Surface_Engine!$B$12:$B$72,$A1641+1)+J1642</f>
        <v>0</v>
      </c>
      <c r="K1641" s="12" t="n">
        <f aca="false">SQRT((IF(C1641&lt;=0,0,MAX(0,(B1641/C1641)*G1641/INDEX(Surface_Engine!$B$12:$B$72,$A1641+1)-F1641/INDEX(Surface_Engine!$B$12:$B$72,$A1641+1))))^2+(MAX(IF(D1641&lt;=0,0,MAX(0,(B1641/D1641)*H1641/INDEX(Surface_Engine!$B$12:$B$72,$A1641+1)-F1641/INDEX(Surface_Engine!$B$12:$B$72,$A1641+1))),IF(E1641&lt;=0,0,MAX(0,(B1641/E1641)*I1641/INDEX(Surface_Engine!$B$12:$B$72,$A1641+1)-F1641/INDEX(Surface_Engine!$B$12:$B$72,$A1641+1))),IF($A1641&lt;$Q$1581,MAX(0,-Assumptions!$B$22*(F1641/INDEX(Surface_Engine!$B$12:$B$72,$A1641+1))),0)))^2+(MAX(0,J1641/INDEX(Surface_Engine!$B$12:$B$72,$A1641+1)-(F1641/INDEX(Surface_Engine!$B$12:$B$72,$A1641+1))))^2+2*Assumptions!$B$26*(IF(C1641&lt;=0,0,MAX(0,(B1641/C1641)*G1641/INDEX(Surface_Engine!$B$12:$B$72,$A1641+1)-F1641/INDEX(Surface_Engine!$B$12:$B$72,$A1641+1))))*(MAX(IF(D1641&lt;=0,0,MAX(0,(B1641/D1641)*H1641/INDEX(Surface_Engine!$B$12:$B$72,$A1641+1)-F1641/INDEX(Surface_Engine!$B$12:$B$72,$A1641+1))),IF(E1641&lt;=0,0,MAX(0,(B1641/E1641)*I1641/INDEX(Surface_Engine!$B$12:$B$72,$A1641+1)-F1641/INDEX(Surface_Engine!$B$12:$B$72,$A1641+1))),IF($A1641&lt;$Q$1581,MAX(0,-Assumptions!$B$22*(F1641/INDEX(Surface_Engine!$B$12:$B$72,$A1641+1))),0)))+2*Assumptions!$B$27*(IF(C1641&lt;=0,0,MAX(0,(B1641/C1641)*G1641/INDEX(Surface_Engine!$B$12:$B$72,$A1641+1)-F1641/INDEX(Surface_Engine!$B$12:$B$72,$A1641+1))))*(MAX(0,J1641/INDEX(Surface_Engine!$B$12:$B$72,$A1641+1)-(F1641/INDEX(Surface_Engine!$B$12:$B$72,$A1641+1))))+2*Assumptions!$B$28*(MAX(IF(D1641&lt;=0,0,MAX(0,(B1641/D1641)*H1641/INDEX(Surface_Engine!$B$12:$B$72,$A1641+1)-F1641/INDEX(Surface_Engine!$B$12:$B$72,$A1641+1))),IF(E1641&lt;=0,0,MAX(0,(B1641/E1641)*I1641/INDEX(Surface_Engine!$B$12:$B$72,$A1641+1)-F1641/INDEX(Surface_Engine!$B$12:$B$72,$A1641+1))),IF($A1641&lt;$Q$1581,MAX(0,-Assumptions!$B$22*(F1641/INDEX(Surface_Engine!$B$12:$B$72,$A1641+1))),0)))*(MAX(0,J1641/INDEX(Surface_Engine!$B$12:$B$72,$A1641+1)-(F1641/INDEX(Surface_Engine!$B$12:$B$72,$A1641+1)))))</f>
        <v>0</v>
      </c>
      <c r="L1641" s="48" t="n">
        <f aca="false">K1641*INDEX(Surface_Engine!$B$12:$B$72,$A1641+1)+L1642</f>
        <v>0</v>
      </c>
      <c r="M1641" s="48" t="n">
        <f aca="false">M1640+B1640*(IF($A1640&lt;$Q$1581,(Surface_Engine!L251*12)-(Surface_Engine!L251*12)*INDEX(Surface_Engine!$F$12:$F$72,$A1640+1)-INDEX(Surface_Engine!$D$12:$D$72,$A1640+1),-(1000*12*INDEX(Surface_Engine!$C$12:$C$72,$A1640+1)/(1+Assumptions!$B$10)^10+INDEX(Surface_Engine!$D$12:$D$72,$A1640+1))))*INDEX(Surface_Engine!$B$12:$B$72,$A1640+1)</f>
        <v>1765.85464716686</v>
      </c>
      <c r="N1641" s="12" t="n">
        <f aca="false">IF(B1641&lt;=0,0,MAX(0,(K1641+Assumptions!$B$29*L1641/INDEX(Surface_Engine!$B$12:$B$72,$A1641+1)-(M1641/INDEX(Surface_Engine!$B$12:$B$72,$A1641+1)-(F1641/INDEX(Surface_Engine!$B$12:$B$72,$A1641+1))))/B1641))</f>
        <v>0</v>
      </c>
    </row>
    <row r="1642" customFormat="false" ht="15" hidden="false" customHeight="true" outlineLevel="0" collapsed="false">
      <c r="A1642" s="1" t="n">
        <v>59</v>
      </c>
      <c r="B1642" s="32" t="n">
        <f aca="false">INDEX(Surface_Engine!$V$12:$V$72,$A1642+1)*IF($A1642&lt;$Q$1581,INDEX(Surface_Engine!$E$12:$E$72,$A1642+1),INDEX(Surface_Engine!$E$12:$E$72,$Q$1581+1))</f>
        <v>0</v>
      </c>
      <c r="C1642" s="32" t="n">
        <f aca="false">INDEX(Panel_Reserving!$H$8:$H$68,$A1642+1)*IF($A1642&lt;$Q$1581,INDEX(Surface_Engine!$E$12:$E$72,$A1642+1),INDEX(Surface_Engine!$E$12:$E$72,$Q$1581+1))</f>
        <v>0</v>
      </c>
      <c r="D1642" s="32" t="n">
        <f aca="false">INDEX(Surface_Engine!$V$12:$V$72,$A1642+1)*IF($A1642&lt;$Q$1581,INDEX(Surface_Engine!$Y$12:$Y$72,$A1642+1),INDEX(Surface_Engine!$Y$12:$Y$72,$Q$1581+1))</f>
        <v>0</v>
      </c>
      <c r="E1642" s="32" t="n">
        <f aca="false">INDEX(Surface_Engine!$V$12:$V$72,$A1642+1)*IF($A1642&lt;$Q$1581,INDEX(Surface_Engine!$Z$12:$Z$72,$A1642+1),INDEX(Surface_Engine!$Z$12:$Z$72,$Q$1581+1))</f>
        <v>0</v>
      </c>
      <c r="F1642" s="48" t="n">
        <f aca="false">B1642*(IF($A1642&lt;$Q$1581,INDEX(Surface_Engine!$D$12:$D$72,$A1642+1)+(Surface_Engine!L251*12)*INDEX(Surface_Engine!$F$12:$F$72,$A1642+1)-(Surface_Engine!L251*12),1000*12*INDEX(Surface_Engine!$C$12:$C$72,$A1642+1)/(1+Assumptions!$B$10)^10+INDEX(Surface_Engine!$D$12:$D$72,$A1642+1)))*INDEX(Surface_Engine!$B$12:$B$72,$A1642+1)+F1643</f>
        <v>0</v>
      </c>
      <c r="G1642" s="48" t="n">
        <f aca="false">C1642*(IF($A1642&lt;$Q$1581,INDEX(Surface_Engine!$D$12:$D$72,$A1642+1)+(Surface_Engine!L251*12)*INDEX(Surface_Engine!$F$12:$F$72,$A1642+1)-(Surface_Engine!L251*12),1000*12*INDEX(Surface_Engine!$C$12:$C$72,$A1642+1)/(1+Assumptions!$B$10)^10+INDEX(Surface_Engine!$D$12:$D$72,$A1642+1)))*INDEX(Surface_Engine!$B$12:$B$72,$A1642+1)+G1643</f>
        <v>0</v>
      </c>
      <c r="H1642" s="48" t="n">
        <f aca="false">D1642*(IF($A1642&lt;$Q$1581,INDEX(Surface_Engine!$D$12:$D$72,$A1642+1)+(Surface_Engine!L251*12)*INDEX(Surface_Engine!$F$12:$F$72,$A1642+1)-(Surface_Engine!L251*12),1000*12*INDEX(Surface_Engine!$C$12:$C$72,$A1642+1)/(1+Assumptions!$B$10)^10+INDEX(Surface_Engine!$D$12:$D$72,$A1642+1)))*INDEX(Surface_Engine!$B$12:$B$72,$A1642+1)+H1643</f>
        <v>0</v>
      </c>
      <c r="I1642" s="48" t="n">
        <f aca="false">E1642*(IF($A1642&lt;$Q$1581,INDEX(Surface_Engine!$D$12:$D$72,$A1642+1)+(Surface_Engine!L251*12)*INDEX(Surface_Engine!$F$12:$F$72,$A1642+1)-(Surface_Engine!L251*12),1000*12*INDEX(Surface_Engine!$C$12:$C$72,$A1642+1)/(1+Assumptions!$B$10)^10+INDEX(Surface_Engine!$D$12:$D$72,$A1642+1)))*INDEX(Surface_Engine!$B$12:$B$72,$A1642+1)+I1643</f>
        <v>0</v>
      </c>
      <c r="J1642" s="48" t="n">
        <f aca="false">B1642*(IF($A1642&lt;$Q$1581,INDEX(Surface_Engine!$D$12:$D$72,$A1642+1)*(1+Assumptions!$B$24)+(Surface_Engine!L251*12)*INDEX(Surface_Engine!$F$12:$F$72,$A1642+1)-(Surface_Engine!L251*12),1000*12*INDEX(Surface_Engine!$C$12:$C$72,$A1642+1)/(1+Assumptions!$B$10)^10+INDEX(Surface_Engine!$D$12:$D$72,$A1642+1)*(1+Assumptions!$B$24)))*INDEX(Surface_Engine!$B$12:$B$72,$A1642+1)+J1643</f>
        <v>0</v>
      </c>
      <c r="K1642" s="12" t="n">
        <f aca="false">SQRT((IF(C1642&lt;=0,0,MAX(0,(B1642/C1642)*G1642/INDEX(Surface_Engine!$B$12:$B$72,$A1642+1)-F1642/INDEX(Surface_Engine!$B$12:$B$72,$A1642+1))))^2+(MAX(IF(D1642&lt;=0,0,MAX(0,(B1642/D1642)*H1642/INDEX(Surface_Engine!$B$12:$B$72,$A1642+1)-F1642/INDEX(Surface_Engine!$B$12:$B$72,$A1642+1))),IF(E1642&lt;=0,0,MAX(0,(B1642/E1642)*I1642/INDEX(Surface_Engine!$B$12:$B$72,$A1642+1)-F1642/INDEX(Surface_Engine!$B$12:$B$72,$A1642+1))),IF($A1642&lt;$Q$1581,MAX(0,-Assumptions!$B$22*(F1642/INDEX(Surface_Engine!$B$12:$B$72,$A1642+1))),0)))^2+(MAX(0,J1642/INDEX(Surface_Engine!$B$12:$B$72,$A1642+1)-(F1642/INDEX(Surface_Engine!$B$12:$B$72,$A1642+1))))^2+2*Assumptions!$B$26*(IF(C1642&lt;=0,0,MAX(0,(B1642/C1642)*G1642/INDEX(Surface_Engine!$B$12:$B$72,$A1642+1)-F1642/INDEX(Surface_Engine!$B$12:$B$72,$A1642+1))))*(MAX(IF(D1642&lt;=0,0,MAX(0,(B1642/D1642)*H1642/INDEX(Surface_Engine!$B$12:$B$72,$A1642+1)-F1642/INDEX(Surface_Engine!$B$12:$B$72,$A1642+1))),IF(E1642&lt;=0,0,MAX(0,(B1642/E1642)*I1642/INDEX(Surface_Engine!$B$12:$B$72,$A1642+1)-F1642/INDEX(Surface_Engine!$B$12:$B$72,$A1642+1))),IF($A1642&lt;$Q$1581,MAX(0,-Assumptions!$B$22*(F1642/INDEX(Surface_Engine!$B$12:$B$72,$A1642+1))),0)))+2*Assumptions!$B$27*(IF(C1642&lt;=0,0,MAX(0,(B1642/C1642)*G1642/INDEX(Surface_Engine!$B$12:$B$72,$A1642+1)-F1642/INDEX(Surface_Engine!$B$12:$B$72,$A1642+1))))*(MAX(0,J1642/INDEX(Surface_Engine!$B$12:$B$72,$A1642+1)-(F1642/INDEX(Surface_Engine!$B$12:$B$72,$A1642+1))))+2*Assumptions!$B$28*(MAX(IF(D1642&lt;=0,0,MAX(0,(B1642/D1642)*H1642/INDEX(Surface_Engine!$B$12:$B$72,$A1642+1)-F1642/INDEX(Surface_Engine!$B$12:$B$72,$A1642+1))),IF(E1642&lt;=0,0,MAX(0,(B1642/E1642)*I1642/INDEX(Surface_Engine!$B$12:$B$72,$A1642+1)-F1642/INDEX(Surface_Engine!$B$12:$B$72,$A1642+1))),IF($A1642&lt;$Q$1581,MAX(0,-Assumptions!$B$22*(F1642/INDEX(Surface_Engine!$B$12:$B$72,$A1642+1))),0)))*(MAX(0,J1642/INDEX(Surface_Engine!$B$12:$B$72,$A1642+1)-(F1642/INDEX(Surface_Engine!$B$12:$B$72,$A1642+1)))))</f>
        <v>0</v>
      </c>
      <c r="L1642" s="48" t="n">
        <f aca="false">K1642*INDEX(Surface_Engine!$B$12:$B$72,$A1642+1)+L1643</f>
        <v>0</v>
      </c>
      <c r="M1642" s="48" t="n">
        <f aca="false">M1641+B1641*(IF($A1641&lt;$Q$1581,(Surface_Engine!L251*12)-(Surface_Engine!L251*12)*INDEX(Surface_Engine!$F$12:$F$72,$A1641+1)-INDEX(Surface_Engine!$D$12:$D$72,$A1641+1),-(1000*12*INDEX(Surface_Engine!$C$12:$C$72,$A1641+1)/(1+Assumptions!$B$10)^10+INDEX(Surface_Engine!$D$12:$D$72,$A1641+1))))*INDEX(Surface_Engine!$B$12:$B$72,$A1641+1)</f>
        <v>1765.85464716686</v>
      </c>
      <c r="N1642" s="12" t="n">
        <f aca="false">IF(B1642&lt;=0,0,MAX(0,(K1642+Assumptions!$B$29*L1642/INDEX(Surface_Engine!$B$12:$B$72,$A1642+1)-(M1642/INDEX(Surface_Engine!$B$12:$B$72,$A1642+1)-(F1642/INDEX(Surface_Engine!$B$12:$B$72,$A1642+1))))/B1642))</f>
        <v>0</v>
      </c>
    </row>
    <row r="1643" customFormat="false" ht="15" hidden="false" customHeight="true" outlineLevel="0" collapsed="false">
      <c r="A1643" s="1" t="n">
        <v>60</v>
      </c>
      <c r="B1643" s="32" t="n">
        <f aca="false">INDEX(Surface_Engine!$V$12:$V$72,$A1643+1)*IF($A1643&lt;$Q$1581,INDEX(Surface_Engine!$E$12:$E$72,$A1643+1),INDEX(Surface_Engine!$E$12:$E$72,$Q$1581+1))</f>
        <v>0</v>
      </c>
      <c r="C1643" s="32" t="n">
        <f aca="false">INDEX(Panel_Reserving!$H$8:$H$68,$A1643+1)*IF($A1643&lt;$Q$1581,INDEX(Surface_Engine!$E$12:$E$72,$A1643+1),INDEX(Surface_Engine!$E$12:$E$72,$Q$1581+1))</f>
        <v>0</v>
      </c>
      <c r="D1643" s="32" t="n">
        <f aca="false">INDEX(Surface_Engine!$V$12:$V$72,$A1643+1)*IF($A1643&lt;$Q$1581,INDEX(Surface_Engine!$Y$12:$Y$72,$A1643+1),INDEX(Surface_Engine!$Y$12:$Y$72,$Q$1581+1))</f>
        <v>0</v>
      </c>
      <c r="E1643" s="32" t="n">
        <f aca="false">INDEX(Surface_Engine!$V$12:$V$72,$A1643+1)*IF($A1643&lt;$Q$1581,INDEX(Surface_Engine!$Z$12:$Z$72,$A1643+1),INDEX(Surface_Engine!$Z$12:$Z$72,$Q$1581+1))</f>
        <v>0</v>
      </c>
      <c r="F1643" s="48" t="n">
        <f aca="false">B1643*(IF($A1643&lt;$Q$1581,INDEX(Surface_Engine!$D$12:$D$72,$A1643+1)+(Surface_Engine!L251*12)*INDEX(Surface_Engine!$F$12:$F$72,$A1643+1)-(Surface_Engine!L251*12),1000*12*INDEX(Surface_Engine!$C$12:$C$72,$A1643+1)/(1+Assumptions!$B$10)^10+INDEX(Surface_Engine!$D$12:$D$72,$A1643+1)))*INDEX(Surface_Engine!$B$12:$B$72,$A1643+1)</f>
        <v>0</v>
      </c>
      <c r="G1643" s="48" t="n">
        <f aca="false">C1643*(IF($A1643&lt;$Q$1581,INDEX(Surface_Engine!$D$12:$D$72,$A1643+1)+(Surface_Engine!L251*12)*INDEX(Surface_Engine!$F$12:$F$72,$A1643+1)-(Surface_Engine!L251*12),1000*12*INDEX(Surface_Engine!$C$12:$C$72,$A1643+1)/(1+Assumptions!$B$10)^10+INDEX(Surface_Engine!$D$12:$D$72,$A1643+1)))*INDEX(Surface_Engine!$B$12:$B$72,$A1643+1)</f>
        <v>0</v>
      </c>
      <c r="H1643" s="48" t="n">
        <f aca="false">D1643*(IF($A1643&lt;$Q$1581,INDEX(Surface_Engine!$D$12:$D$72,$A1643+1)+(Surface_Engine!L251*12)*INDEX(Surface_Engine!$F$12:$F$72,$A1643+1)-(Surface_Engine!L251*12),1000*12*INDEX(Surface_Engine!$C$12:$C$72,$A1643+1)/(1+Assumptions!$B$10)^10+INDEX(Surface_Engine!$D$12:$D$72,$A1643+1)))*INDEX(Surface_Engine!$B$12:$B$72,$A1643+1)</f>
        <v>0</v>
      </c>
      <c r="I1643" s="48" t="n">
        <f aca="false">E1643*(IF($A1643&lt;$Q$1581,INDEX(Surface_Engine!$D$12:$D$72,$A1643+1)+(Surface_Engine!L251*12)*INDEX(Surface_Engine!$F$12:$F$72,$A1643+1)-(Surface_Engine!L251*12),1000*12*INDEX(Surface_Engine!$C$12:$C$72,$A1643+1)/(1+Assumptions!$B$10)^10+INDEX(Surface_Engine!$D$12:$D$72,$A1643+1)))*INDEX(Surface_Engine!$B$12:$B$72,$A1643+1)</f>
        <v>0</v>
      </c>
      <c r="J1643" s="48" t="n">
        <f aca="false">B1643*(IF($A1643&lt;$Q$1581,INDEX(Surface_Engine!$D$12:$D$72,$A1643+1)*(1+Assumptions!$B$24)+(Surface_Engine!L251*12)*INDEX(Surface_Engine!$F$12:$F$72,$A1643+1)-(Surface_Engine!L251*12),1000*12*INDEX(Surface_Engine!$C$12:$C$72,$A1643+1)/(1+Assumptions!$B$10)^10+INDEX(Surface_Engine!$D$12:$D$72,$A1643+1)*(1+Assumptions!$B$24)))*INDEX(Surface_Engine!$B$12:$B$72,$A1643+1)</f>
        <v>0</v>
      </c>
      <c r="K1643" s="12" t="n">
        <f aca="false">SQRT((IF(C1643&lt;=0,0,MAX(0,(B1643/C1643)*G1643/INDEX(Surface_Engine!$B$12:$B$72,$A1643+1)-F1643/INDEX(Surface_Engine!$B$12:$B$72,$A1643+1))))^2+(MAX(IF(D1643&lt;=0,0,MAX(0,(B1643/D1643)*H1643/INDEX(Surface_Engine!$B$12:$B$72,$A1643+1)-F1643/INDEX(Surface_Engine!$B$12:$B$72,$A1643+1))),IF(E1643&lt;=0,0,MAX(0,(B1643/E1643)*I1643/INDEX(Surface_Engine!$B$12:$B$72,$A1643+1)-F1643/INDEX(Surface_Engine!$B$12:$B$72,$A1643+1))),IF($A1643&lt;$Q$1581,MAX(0,-Assumptions!$B$22*(F1643/INDEX(Surface_Engine!$B$12:$B$72,$A1643+1))),0)))^2+(MAX(0,J1643/INDEX(Surface_Engine!$B$12:$B$72,$A1643+1)-(F1643/INDEX(Surface_Engine!$B$12:$B$72,$A1643+1))))^2+2*Assumptions!$B$26*(IF(C1643&lt;=0,0,MAX(0,(B1643/C1643)*G1643/INDEX(Surface_Engine!$B$12:$B$72,$A1643+1)-F1643/INDEX(Surface_Engine!$B$12:$B$72,$A1643+1))))*(MAX(IF(D1643&lt;=0,0,MAX(0,(B1643/D1643)*H1643/INDEX(Surface_Engine!$B$12:$B$72,$A1643+1)-F1643/INDEX(Surface_Engine!$B$12:$B$72,$A1643+1))),IF(E1643&lt;=0,0,MAX(0,(B1643/E1643)*I1643/INDEX(Surface_Engine!$B$12:$B$72,$A1643+1)-F1643/INDEX(Surface_Engine!$B$12:$B$72,$A1643+1))),IF($A1643&lt;$Q$1581,MAX(0,-Assumptions!$B$22*(F1643/INDEX(Surface_Engine!$B$12:$B$72,$A1643+1))),0)))+2*Assumptions!$B$27*(IF(C1643&lt;=0,0,MAX(0,(B1643/C1643)*G1643/INDEX(Surface_Engine!$B$12:$B$72,$A1643+1)-F1643/INDEX(Surface_Engine!$B$12:$B$72,$A1643+1))))*(MAX(0,J1643/INDEX(Surface_Engine!$B$12:$B$72,$A1643+1)-(F1643/INDEX(Surface_Engine!$B$12:$B$72,$A1643+1))))+2*Assumptions!$B$28*(MAX(IF(D1643&lt;=0,0,MAX(0,(B1643/D1643)*H1643/INDEX(Surface_Engine!$B$12:$B$72,$A1643+1)-F1643/INDEX(Surface_Engine!$B$12:$B$72,$A1643+1))),IF(E1643&lt;=0,0,MAX(0,(B1643/E1643)*I1643/INDEX(Surface_Engine!$B$12:$B$72,$A1643+1)-F1643/INDEX(Surface_Engine!$B$12:$B$72,$A1643+1))),IF($A1643&lt;$Q$1581,MAX(0,-Assumptions!$B$22*(F1643/INDEX(Surface_Engine!$B$12:$B$72,$A1643+1))),0)))*(MAX(0,J1643/INDEX(Surface_Engine!$B$12:$B$72,$A1643+1)-(F1643/INDEX(Surface_Engine!$B$12:$B$72,$A1643+1)))))</f>
        <v>0</v>
      </c>
      <c r="L1643" s="48" t="n">
        <f aca="false">K1643*INDEX(Surface_Engine!$B$12:$B$72,$A1643+1)</f>
        <v>0</v>
      </c>
      <c r="M1643" s="48" t="n">
        <f aca="false">M1642+B1642*(IF($A1642&lt;$Q$1581,(Surface_Engine!L251*12)-(Surface_Engine!L251*12)*INDEX(Surface_Engine!$F$12:$F$72,$A1642+1)-INDEX(Surface_Engine!$D$12:$D$72,$A1642+1),-(1000*12*INDEX(Surface_Engine!$C$12:$C$72,$A1642+1)/(1+Assumptions!$B$10)^10+INDEX(Surface_Engine!$D$12:$D$72,$A1642+1))))*INDEX(Surface_Engine!$B$12:$B$72,$A1642+1)</f>
        <v>1765.85464716686</v>
      </c>
      <c r="N1643" s="12" t="n">
        <f aca="false">IF(B1643&lt;=0,0,MAX(0,(K1643+Assumptions!$B$29*L1643/INDEX(Surface_Engine!$B$12:$B$72,$A1643+1)-(M1643/INDEX(Surface_Engine!$B$12:$B$72,$A1643+1)-(F1643/INDEX(Surface_Engine!$B$12:$B$72,$A1643+1))))/B1643))</f>
        <v>0</v>
      </c>
    </row>
    <row r="1644" customFormat="false" ht="15" hidden="false" customHeight="true" outlineLevel="0" collapsed="false">
      <c r="A1644" s="4" t="str">
        <f aca="false">"entry "&amp;O1644&amp;" / vesting "&amp;P1644&amp;"   deferral "&amp;Q1644</f>
        <v>entry 75 / vesting 90   deferral 15</v>
      </c>
      <c r="C1644" s="49" t="n">
        <f aca="false">MAX(N1583:N1643)</f>
        <v>16769.2298180154</v>
      </c>
      <c r="E1644" s="7" t="s">
        <v>1634</v>
      </c>
      <c r="G1644" s="21" t="n">
        <f aca="false">INDEX(A1583:A1643,MATCH(C1644,N1583:N1643,0))</f>
        <v>6</v>
      </c>
      <c r="J1644" s="7" t="s">
        <v>1624</v>
      </c>
      <c r="K1644" s="50" t="n">
        <f aca="false">Surface_Engine!Q251</f>
        <v>213.45516079256</v>
      </c>
      <c r="O1644" s="1" t="n">
        <f aca="false">A1720</f>
        <v>75</v>
      </c>
      <c r="P1644" s="76" t="n">
        <f aca="false">E$1713</f>
        <v>90</v>
      </c>
      <c r="Q1644" s="1" t="n">
        <f aca="false">P1644-O1644</f>
        <v>15</v>
      </c>
    </row>
    <row r="1645" customFormat="false" ht="15" hidden="false" customHeight="true" outlineLevel="0" collapsed="false">
      <c r="A1645" s="8" t="s">
        <v>802</v>
      </c>
      <c r="B1645" s="8" t="s">
        <v>1584</v>
      </c>
      <c r="C1645" s="8" t="s">
        <v>1585</v>
      </c>
      <c r="D1645" s="8" t="s">
        <v>1587</v>
      </c>
      <c r="E1645" s="8" t="s">
        <v>1588</v>
      </c>
      <c r="F1645" s="8" t="s">
        <v>1625</v>
      </c>
      <c r="G1645" s="8" t="s">
        <v>1626</v>
      </c>
      <c r="H1645" s="8" t="s">
        <v>1627</v>
      </c>
      <c r="I1645" s="8" t="s">
        <v>1628</v>
      </c>
      <c r="J1645" s="8" t="s">
        <v>1629</v>
      </c>
      <c r="K1645" s="8" t="s">
        <v>812</v>
      </c>
      <c r="L1645" s="8" t="s">
        <v>1630</v>
      </c>
      <c r="M1645" s="8" t="s">
        <v>341</v>
      </c>
      <c r="N1645" s="8" t="s">
        <v>1631</v>
      </c>
      <c r="O1645" s="1" t="s">
        <v>1544</v>
      </c>
      <c r="P1645" s="1" t="s">
        <v>1632</v>
      </c>
      <c r="Q1645" s="1" t="s">
        <v>1633</v>
      </c>
    </row>
    <row r="1646" customFormat="false" ht="15" hidden="false" customHeight="true" outlineLevel="0" collapsed="false">
      <c r="A1646" s="1" t="n">
        <v>0</v>
      </c>
      <c r="B1646" s="32" t="n">
        <f aca="false">INDEX(Surface_Engine!$V$12:$V$72,$A1646+1)*IF($A1646&lt;$Q$1644,INDEX(Surface_Engine!$E$12:$E$72,$A1646+1),INDEX(Surface_Engine!$E$12:$E$72,$Q$1644+1))</f>
        <v>1</v>
      </c>
      <c r="C1646" s="32" t="n">
        <f aca="false">INDEX(Panel_Reserving!$H$8:$H$68,$A1646+1)*IF($A1646&lt;$Q$1644,INDEX(Surface_Engine!$E$12:$E$72,$A1646+1),INDEX(Surface_Engine!$E$12:$E$72,$Q$1644+1))</f>
        <v>1</v>
      </c>
      <c r="D1646" s="32" t="n">
        <f aca="false">INDEX(Surface_Engine!$V$12:$V$72,$A1646+1)*IF($A1646&lt;$Q$1644,INDEX(Surface_Engine!$Y$12:$Y$72,$A1646+1),INDEX(Surface_Engine!$Y$12:$Y$72,$Q$1644+1))</f>
        <v>1</v>
      </c>
      <c r="E1646" s="32" t="n">
        <f aca="false">INDEX(Surface_Engine!$V$12:$V$72,$A1646+1)*IF($A1646&lt;$Q$1644,INDEX(Surface_Engine!$Z$12:$Z$72,$A1646+1),INDEX(Surface_Engine!$Z$12:$Z$72,$Q$1644+1))</f>
        <v>1</v>
      </c>
      <c r="F1646" s="48" t="n">
        <f aca="false">B1646*(IF($A1646&lt;$Q$1644,INDEX(Surface_Engine!$D$12:$D$72,$A1646+1)+(Surface_Engine!Q251*12)*INDEX(Surface_Engine!$F$12:$F$72,$A1646+1)-(Surface_Engine!Q251*12),1000*12*INDEX(Surface_Engine!$C$12:$C$72,$A1646+1)/(1+Assumptions!$B$10)^15+INDEX(Surface_Engine!$D$12:$D$72,$A1646+1)))*INDEX(Surface_Engine!$B$12:$B$72,$A1646+1)+F1647</f>
        <v>-715.984212462726</v>
      </c>
      <c r="G1646" s="48" t="n">
        <f aca="false">C1646*(IF($A1646&lt;$Q$1644,INDEX(Surface_Engine!$D$12:$D$72,$A1646+1)+(Surface_Engine!Q251*12)*INDEX(Surface_Engine!$F$12:$F$72,$A1646+1)-(Surface_Engine!Q251*12),1000*12*INDEX(Surface_Engine!$C$12:$C$72,$A1646+1)/(1+Assumptions!$B$10)^15+INDEX(Surface_Engine!$D$12:$D$72,$A1646+1)))*INDEX(Surface_Engine!$B$12:$B$72,$A1646+1)+G1647</f>
        <v>5040.58657959477</v>
      </c>
      <c r="H1646" s="48" t="n">
        <f aca="false">D1646*(IF($A1646&lt;$Q$1644,INDEX(Surface_Engine!$D$12:$D$72,$A1646+1)+(Surface_Engine!Q251*12)*INDEX(Surface_Engine!$F$12:$F$72,$A1646+1)-(Surface_Engine!Q251*12),1000*12*INDEX(Surface_Engine!$C$12:$C$72,$A1646+1)/(1+Assumptions!$B$10)^15+INDEX(Surface_Engine!$D$12:$D$72,$A1646+1)))*INDEX(Surface_Engine!$B$12:$B$72,$A1646+1)+H1647</f>
        <v>-1424.32960701477</v>
      </c>
      <c r="I1646" s="48" t="n">
        <f aca="false">E1646*(IF($A1646&lt;$Q$1644,INDEX(Surface_Engine!$D$12:$D$72,$A1646+1)+(Surface_Engine!Q251*12)*INDEX(Surface_Engine!$F$12:$F$72,$A1646+1)-(Surface_Engine!Q251*12),1000*12*INDEX(Surface_Engine!$C$12:$C$72,$A1646+1)/(1+Assumptions!$B$10)^15+INDEX(Surface_Engine!$D$12:$D$72,$A1646+1)))*INDEX(Surface_Engine!$B$12:$B$72,$A1646+1)+I1647</f>
        <v>101.621337383434</v>
      </c>
      <c r="J1646" s="48" t="n">
        <f aca="false">B1646*(IF($A1646&lt;$Q$1644,INDEX(Surface_Engine!$D$12:$D$72,$A1646+1)*(1+Assumptions!$B$24)+(Surface_Engine!Q251*12)*INDEX(Surface_Engine!$F$12:$F$72,$A1646+1)-(Surface_Engine!Q251*12),1000*12*INDEX(Surface_Engine!$C$12:$C$72,$A1646+1)/(1+Assumptions!$B$10)^15+INDEX(Surface_Engine!$D$12:$D$72,$A1646+1)*(1+Assumptions!$B$24)))*INDEX(Surface_Engine!$B$12:$B$72,$A1646+1)+J1647</f>
        <v>-609.304541704338</v>
      </c>
      <c r="K1646" s="12" t="n">
        <f aca="false">SQRT((IF(C1646&lt;=0,0,MAX(0,(B1646/C1646)*G1646/INDEX(Surface_Engine!$B$12:$B$72,$A1646+1)-F1646/INDEX(Surface_Engine!$B$12:$B$72,$A1646+1))))^2+(MAX(IF(D1646&lt;=0,0,MAX(0,(B1646/D1646)*H1646/INDEX(Surface_Engine!$B$12:$B$72,$A1646+1)-F1646/INDEX(Surface_Engine!$B$12:$B$72,$A1646+1))),IF(E1646&lt;=0,0,MAX(0,(B1646/E1646)*I1646/INDEX(Surface_Engine!$B$12:$B$72,$A1646+1)-F1646/INDEX(Surface_Engine!$B$12:$B$72,$A1646+1))),IF($A1646&lt;$Q$1644,MAX(0,-Assumptions!$B$22*(F1646/INDEX(Surface_Engine!$B$12:$B$72,$A1646+1))),0)))^2+(MAX(0,J1646/INDEX(Surface_Engine!$B$12:$B$72,$A1646+1)-(F1646/INDEX(Surface_Engine!$B$12:$B$72,$A1646+1))))^2+2*Assumptions!$B$26*(IF(C1646&lt;=0,0,MAX(0,(B1646/C1646)*G1646/INDEX(Surface_Engine!$B$12:$B$72,$A1646+1)-F1646/INDEX(Surface_Engine!$B$12:$B$72,$A1646+1))))*(MAX(IF(D1646&lt;=0,0,MAX(0,(B1646/D1646)*H1646/INDEX(Surface_Engine!$B$12:$B$72,$A1646+1)-F1646/INDEX(Surface_Engine!$B$12:$B$72,$A1646+1))),IF(E1646&lt;=0,0,MAX(0,(B1646/E1646)*I1646/INDEX(Surface_Engine!$B$12:$B$72,$A1646+1)-F1646/INDEX(Surface_Engine!$B$12:$B$72,$A1646+1))),IF($A1646&lt;$Q$1644,MAX(0,-Assumptions!$B$22*(F1646/INDEX(Surface_Engine!$B$12:$B$72,$A1646+1))),0)))+2*Assumptions!$B$27*(IF(C1646&lt;=0,0,MAX(0,(B1646/C1646)*G1646/INDEX(Surface_Engine!$B$12:$B$72,$A1646+1)-F1646/INDEX(Surface_Engine!$B$12:$B$72,$A1646+1))))*(MAX(0,J1646/INDEX(Surface_Engine!$B$12:$B$72,$A1646+1)-(F1646/INDEX(Surface_Engine!$B$12:$B$72,$A1646+1))))+2*Assumptions!$B$28*(MAX(IF(D1646&lt;=0,0,MAX(0,(B1646/D1646)*H1646/INDEX(Surface_Engine!$B$12:$B$72,$A1646+1)-F1646/INDEX(Surface_Engine!$B$12:$B$72,$A1646+1))),IF(E1646&lt;=0,0,MAX(0,(B1646/E1646)*I1646/INDEX(Surface_Engine!$B$12:$B$72,$A1646+1)-F1646/INDEX(Surface_Engine!$B$12:$B$72,$A1646+1))),IF($A1646&lt;$Q$1644,MAX(0,-Assumptions!$B$22*(F1646/INDEX(Surface_Engine!$B$12:$B$72,$A1646+1))),0)))*(MAX(0,J1646/INDEX(Surface_Engine!$B$12:$B$72,$A1646+1)-(F1646/INDEX(Surface_Engine!$B$12:$B$72,$A1646+1)))))</f>
        <v>6046.94511421767</v>
      </c>
      <c r="L1646" s="48" t="n">
        <f aca="false">K1646*INDEX(Surface_Engine!$B$12:$B$72,$A1646+1)+L1647</f>
        <v>95889.7649812328</v>
      </c>
      <c r="M1646" s="48" t="n">
        <v>0</v>
      </c>
      <c r="N1646" s="12" t="n">
        <f aca="false">IF(B1646&lt;=0,0,MAX(0,(K1646+Assumptions!$B$29*L1646/INDEX(Surface_Engine!$B$12:$B$72,$A1646+1)-(M1646/INDEX(Surface_Engine!$B$12:$B$72,$A1646+1)-(F1646/INDEX(Surface_Engine!$B$12:$B$72,$A1646+1))))/B1646))</f>
        <v>11084.3468006289</v>
      </c>
    </row>
    <row r="1647" customFormat="false" ht="15" hidden="false" customHeight="true" outlineLevel="0" collapsed="false">
      <c r="A1647" s="1" t="n">
        <v>1</v>
      </c>
      <c r="B1647" s="32" t="n">
        <f aca="false">INDEX(Surface_Engine!$V$12:$V$72,$A1647+1)*IF($A1647&lt;$Q$1644,INDEX(Surface_Engine!$E$12:$E$72,$A1647+1),INDEX(Surface_Engine!$E$12:$E$72,$Q$1644+1))</f>
        <v>0.942616205702869</v>
      </c>
      <c r="C1647" s="32" t="n">
        <f aca="false">INDEX(Panel_Reserving!$H$8:$H$68,$A1647+1)*IF($A1647&lt;$Q$1644,INDEX(Surface_Engine!$E$12:$E$72,$A1647+1),INDEX(Surface_Engine!$E$12:$E$72,$Q$1644+1))</f>
        <v>0.945972964562295</v>
      </c>
      <c r="D1647" s="32" t="n">
        <f aca="false">INDEX(Surface_Engine!$V$12:$V$72,$A1647+1)*IF($A1647&lt;$Q$1644,INDEX(Surface_Engine!$Y$12:$Y$72,$A1647+1),INDEX(Surface_Engine!$Y$12:$Y$72,$Q$1644+1))</f>
        <v>0.922671334975572</v>
      </c>
      <c r="E1647" s="32" t="n">
        <f aca="false">INDEX(Surface_Engine!$V$12:$V$72,$A1647+1)*IF($A1647&lt;$Q$1644,INDEX(Surface_Engine!$Z$12:$Z$72,$A1647+1),INDEX(Surface_Engine!$Z$12:$Z$72,$Q$1644+1))</f>
        <v>0.962561076430165</v>
      </c>
      <c r="F1647" s="48" t="n">
        <f aca="false">B1647*(IF($A1647&lt;$Q$1644,INDEX(Surface_Engine!$D$12:$D$72,$A1647+1)+(Surface_Engine!Q251*12)*INDEX(Surface_Engine!$F$12:$F$72,$A1647+1)-(Surface_Engine!Q251*12),1000*12*INDEX(Surface_Engine!$C$12:$C$72,$A1647+1)/(1+Assumptions!$B$10)^15+INDEX(Surface_Engine!$D$12:$D$72,$A1647+1)))*INDEX(Surface_Engine!$B$12:$B$72,$A1647+1)+F1648</f>
        <v>-797.984212462726</v>
      </c>
      <c r="G1647" s="48" t="n">
        <f aca="false">C1647*(IF($A1647&lt;$Q$1644,INDEX(Surface_Engine!$D$12:$D$72,$A1647+1)+(Surface_Engine!Q251*12)*INDEX(Surface_Engine!$F$12:$F$72,$A1647+1)-(Surface_Engine!Q251*12),1000*12*INDEX(Surface_Engine!$C$12:$C$72,$A1647+1)/(1+Assumptions!$B$10)^15+INDEX(Surface_Engine!$D$12:$D$72,$A1647+1)))*INDEX(Surface_Engine!$B$12:$B$72,$A1647+1)+G1648</f>
        <v>4958.58657959477</v>
      </c>
      <c r="H1647" s="48" t="n">
        <f aca="false">D1647*(IF($A1647&lt;$Q$1644,INDEX(Surface_Engine!$D$12:$D$72,$A1647+1)+(Surface_Engine!Q251*12)*INDEX(Surface_Engine!$F$12:$F$72,$A1647+1)-(Surface_Engine!Q251*12),1000*12*INDEX(Surface_Engine!$C$12:$C$72,$A1647+1)/(1+Assumptions!$B$10)^15+INDEX(Surface_Engine!$D$12:$D$72,$A1647+1)))*INDEX(Surface_Engine!$B$12:$B$72,$A1647+1)+H1648</f>
        <v>-1506.32960701477</v>
      </c>
      <c r="I1647" s="48" t="n">
        <f aca="false">E1647*(IF($A1647&lt;$Q$1644,INDEX(Surface_Engine!$D$12:$D$72,$A1647+1)+(Surface_Engine!Q251*12)*INDEX(Surface_Engine!$F$12:$F$72,$A1647+1)-(Surface_Engine!Q251*12),1000*12*INDEX(Surface_Engine!$C$12:$C$72,$A1647+1)/(1+Assumptions!$B$10)^15+INDEX(Surface_Engine!$D$12:$D$72,$A1647+1)))*INDEX(Surface_Engine!$B$12:$B$72,$A1647+1)+I1648</f>
        <v>19.6213373834339</v>
      </c>
      <c r="J1647" s="48" t="n">
        <f aca="false">B1647*(IF($A1647&lt;$Q$1644,INDEX(Surface_Engine!$D$12:$D$72,$A1647+1)*(1+Assumptions!$B$24)+(Surface_Engine!Q251*12)*INDEX(Surface_Engine!$F$12:$F$72,$A1647+1)-(Surface_Engine!Q251*12),1000*12*INDEX(Surface_Engine!$C$12:$C$72,$A1647+1)/(1+Assumptions!$B$10)^15+INDEX(Surface_Engine!$D$12:$D$72,$A1647+1)*(1+Assumptions!$B$24)))*INDEX(Surface_Engine!$B$12:$B$72,$A1647+1)+J1648</f>
        <v>-699.504541704338</v>
      </c>
      <c r="K1647" s="12" t="n">
        <f aca="false">SQRT((IF(C1647&lt;=0,0,MAX(0,(B1647/C1647)*G1647/INDEX(Surface_Engine!$B$12:$B$72,$A1647+1)-F1647/INDEX(Surface_Engine!$B$12:$B$72,$A1647+1))))^2+(MAX(IF(D1647&lt;=0,0,MAX(0,(B1647/D1647)*H1647/INDEX(Surface_Engine!$B$12:$B$72,$A1647+1)-F1647/INDEX(Surface_Engine!$B$12:$B$72,$A1647+1))),IF(E1647&lt;=0,0,MAX(0,(B1647/E1647)*I1647/INDEX(Surface_Engine!$B$12:$B$72,$A1647+1)-F1647/INDEX(Surface_Engine!$B$12:$B$72,$A1647+1))),IF($A1647&lt;$Q$1644,MAX(0,-Assumptions!$B$22*(F1647/INDEX(Surface_Engine!$B$12:$B$72,$A1647+1))),0)))^2+(MAX(0,J1647/INDEX(Surface_Engine!$B$12:$B$72,$A1647+1)-(F1647/INDEX(Surface_Engine!$B$12:$B$72,$A1647+1))))^2+2*Assumptions!$B$26*(IF(C1647&lt;=0,0,MAX(0,(B1647/C1647)*G1647/INDEX(Surface_Engine!$B$12:$B$72,$A1647+1)-F1647/INDEX(Surface_Engine!$B$12:$B$72,$A1647+1))))*(MAX(IF(D1647&lt;=0,0,MAX(0,(B1647/D1647)*H1647/INDEX(Surface_Engine!$B$12:$B$72,$A1647+1)-F1647/INDEX(Surface_Engine!$B$12:$B$72,$A1647+1))),IF(E1647&lt;=0,0,MAX(0,(B1647/E1647)*I1647/INDEX(Surface_Engine!$B$12:$B$72,$A1647+1)-F1647/INDEX(Surface_Engine!$B$12:$B$72,$A1647+1))),IF($A1647&lt;$Q$1644,MAX(0,-Assumptions!$B$22*(F1647/INDEX(Surface_Engine!$B$12:$B$72,$A1647+1))),0)))+2*Assumptions!$B$27*(IF(C1647&lt;=0,0,MAX(0,(B1647/C1647)*G1647/INDEX(Surface_Engine!$B$12:$B$72,$A1647+1)-F1647/INDEX(Surface_Engine!$B$12:$B$72,$A1647+1))))*(MAX(0,J1647/INDEX(Surface_Engine!$B$12:$B$72,$A1647+1)-(F1647/INDEX(Surface_Engine!$B$12:$B$72,$A1647+1))))+2*Assumptions!$B$28*(MAX(IF(D1647&lt;=0,0,MAX(0,(B1647/D1647)*H1647/INDEX(Surface_Engine!$B$12:$B$72,$A1647+1)-F1647/INDEX(Surface_Engine!$B$12:$B$72,$A1647+1))),IF(E1647&lt;=0,0,MAX(0,(B1647/E1647)*I1647/INDEX(Surface_Engine!$B$12:$B$72,$A1647+1)-F1647/INDEX(Surface_Engine!$B$12:$B$72,$A1647+1))),IF($A1647&lt;$Q$1644,MAX(0,-Assumptions!$B$22*(F1647/INDEX(Surface_Engine!$B$12:$B$72,$A1647+1))),0)))*(MAX(0,J1647/INDEX(Surface_Engine!$B$12:$B$72,$A1647+1)-(F1647/INDEX(Surface_Engine!$B$12:$B$72,$A1647+1)))))</f>
        <v>6183.17391079051</v>
      </c>
      <c r="L1647" s="48" t="n">
        <f aca="false">K1647*INDEX(Surface_Engine!$B$12:$B$72,$A1647+1)+L1648</f>
        <v>89842.8198670151</v>
      </c>
      <c r="M1647" s="48" t="n">
        <f aca="false">M1646+B1646*(IF($A1646&lt;$Q$1644,(Surface_Engine!Q251*12)-(Surface_Engine!Q251*12)*INDEX(Surface_Engine!$F$12:$F$72,$A1646+1)-INDEX(Surface_Engine!$D$12:$D$72,$A1646+1),-(1000*12*INDEX(Surface_Engine!$C$12:$C$72,$A1646+1)/(1+Assumptions!$B$10)^15+INDEX(Surface_Engine!$D$12:$D$72,$A1646+1))))*INDEX(Surface_Engine!$B$12:$B$72,$A1646+1)</f>
        <v>-82</v>
      </c>
      <c r="N1647" s="12" t="n">
        <f aca="false">IF(B1647&lt;=0,0,MAX(0,(K1647+Assumptions!$B$29*L1647/INDEX(Surface_Engine!$B$12:$B$72,$A1647+1)-(M1647/INDEX(Surface_Engine!$B$12:$B$72,$A1647+1)-(F1647/INDEX(Surface_Engine!$B$12:$B$72,$A1647+1))))/B1647))</f>
        <v>11647.4881823524</v>
      </c>
    </row>
    <row r="1648" customFormat="false" ht="15" hidden="false" customHeight="true" outlineLevel="0" collapsed="false">
      <c r="A1648" s="1" t="n">
        <v>2</v>
      </c>
      <c r="B1648" s="32" t="n">
        <f aca="false">INDEX(Surface_Engine!$V$12:$V$72,$A1648+1)*IF($A1648&lt;$Q$1644,INDEX(Surface_Engine!$E$12:$E$72,$A1648+1),INDEX(Surface_Engine!$E$12:$E$72,$Q$1644+1))</f>
        <v>0.904235103799388</v>
      </c>
      <c r="C1648" s="32" t="n">
        <f aca="false">INDEX(Panel_Reserving!$H$8:$H$68,$A1648+1)*IF($A1648&lt;$Q$1644,INDEX(Surface_Engine!$E$12:$E$72,$A1648+1),INDEX(Surface_Engine!$E$12:$E$72,$Q$1644+1))</f>
        <v>0.911053216949702</v>
      </c>
      <c r="D1648" s="32" t="n">
        <f aca="false">INDEX(Surface_Engine!$V$12:$V$72,$A1648+1)*IF($A1648&lt;$Q$1644,INDEX(Surface_Engine!$Y$12:$Y$72,$A1648+1),INDEX(Surface_Engine!$Y$12:$Y$72,$Q$1644+1))</f>
        <v>0.875285965269595</v>
      </c>
      <c r="E1648" s="32" t="n">
        <f aca="false">INDEX(Surface_Engine!$V$12:$V$72,$A1648+1)*IF($A1648&lt;$Q$1644,INDEX(Surface_Engine!$Z$12:$Z$72,$A1648+1),INDEX(Surface_Engine!$Z$12:$Z$72,$Q$1644+1))</f>
        <v>0.93360863254919</v>
      </c>
      <c r="F1648" s="48" t="n">
        <f aca="false">B1648*(IF($A1648&lt;$Q$1644,INDEX(Surface_Engine!$D$12:$D$72,$A1648+1)+(Surface_Engine!Q251*12)*INDEX(Surface_Engine!$F$12:$F$72,$A1648+1)-(Surface_Engine!Q251*12),1000*12*INDEX(Surface_Engine!$C$12:$C$72,$A1648+1)/(1+Assumptions!$B$10)^15+INDEX(Surface_Engine!$D$12:$D$72,$A1648+1)))*INDEX(Surface_Engine!$B$12:$B$72,$A1648+1)+F1649</f>
        <v>1360.50623229733</v>
      </c>
      <c r="G1648" s="48" t="n">
        <f aca="false">C1648*(IF($A1648&lt;$Q$1644,INDEX(Surface_Engine!$D$12:$D$72,$A1648+1)+(Surface_Engine!Q251*12)*INDEX(Surface_Engine!$F$12:$F$72,$A1648+1)-(Surface_Engine!Q251*12),1000*12*INDEX(Surface_Engine!$C$12:$C$72,$A1648+1)/(1+Assumptions!$B$10)^15+INDEX(Surface_Engine!$D$12:$D$72,$A1648+1)))*INDEX(Surface_Engine!$B$12:$B$72,$A1648+1)+G1649</f>
        <v>7124.76364365927</v>
      </c>
      <c r="H1648" s="48" t="n">
        <f aca="false">D1648*(IF($A1648&lt;$Q$1644,INDEX(Surface_Engine!$D$12:$D$72,$A1648+1)+(Surface_Engine!Q251*12)*INDEX(Surface_Engine!$F$12:$F$72,$A1648+1)-(Surface_Engine!Q251*12),1000*12*INDEX(Surface_Engine!$C$12:$C$72,$A1648+1)/(1+Assumptions!$B$10)^15+INDEX(Surface_Engine!$D$12:$D$72,$A1648+1)))*INDEX(Surface_Engine!$B$12:$B$72,$A1648+1)+H1649</f>
        <v>606.489213783822</v>
      </c>
      <c r="I1648" s="48" t="n">
        <f aca="false">E1648*(IF($A1648&lt;$Q$1644,INDEX(Surface_Engine!$D$12:$D$72,$A1648+1)+(Surface_Engine!Q251*12)*INDEX(Surface_Engine!$F$12:$F$72,$A1648+1)-(Surface_Engine!Q251*12),1000*12*INDEX(Surface_Engine!$C$12:$C$72,$A1648+1)/(1+Assumptions!$B$10)^15+INDEX(Surface_Engine!$D$12:$D$72,$A1648+1)))*INDEX(Surface_Engine!$B$12:$B$72,$A1648+1)+I1649</f>
        <v>2223.78340610496</v>
      </c>
      <c r="J1648" s="48" t="n">
        <f aca="false">B1648*(IF($A1648&lt;$Q$1644,INDEX(Surface_Engine!$D$12:$D$72,$A1648+1)*(1+Assumptions!$B$24)+(Surface_Engine!Q251*12)*INDEX(Surface_Engine!$F$12:$F$72,$A1648+1)-(Surface_Engine!Q251*12),1000*12*INDEX(Surface_Engine!$C$12:$C$72,$A1648+1)/(1+Assumptions!$B$10)^15+INDEX(Surface_Engine!$D$12:$D$72,$A1648+1)*(1+Assumptions!$B$24)))*INDEX(Surface_Engine!$B$12:$B$72,$A1648+1)+J1649</f>
        <v>1451.26368268754</v>
      </c>
      <c r="K1648" s="12" t="n">
        <f aca="false">SQRT((IF(C1648&lt;=0,0,MAX(0,(B1648/C1648)*G1648/INDEX(Surface_Engine!$B$12:$B$72,$A1648+1)-F1648/INDEX(Surface_Engine!$B$12:$B$72,$A1648+1))))^2+(MAX(IF(D1648&lt;=0,0,MAX(0,(B1648/D1648)*H1648/INDEX(Surface_Engine!$B$12:$B$72,$A1648+1)-F1648/INDEX(Surface_Engine!$B$12:$B$72,$A1648+1))),IF(E1648&lt;=0,0,MAX(0,(B1648/E1648)*I1648/INDEX(Surface_Engine!$B$12:$B$72,$A1648+1)-F1648/INDEX(Surface_Engine!$B$12:$B$72,$A1648+1))),IF($A1648&lt;$Q$1644,MAX(0,-Assumptions!$B$22*(F1648/INDEX(Surface_Engine!$B$12:$B$72,$A1648+1))),0)))^2+(MAX(0,J1648/INDEX(Surface_Engine!$B$12:$B$72,$A1648+1)-(F1648/INDEX(Surface_Engine!$B$12:$B$72,$A1648+1))))^2+2*Assumptions!$B$26*(IF(C1648&lt;=0,0,MAX(0,(B1648/C1648)*G1648/INDEX(Surface_Engine!$B$12:$B$72,$A1648+1)-F1648/INDEX(Surface_Engine!$B$12:$B$72,$A1648+1))))*(MAX(IF(D1648&lt;=0,0,MAX(0,(B1648/D1648)*H1648/INDEX(Surface_Engine!$B$12:$B$72,$A1648+1)-F1648/INDEX(Surface_Engine!$B$12:$B$72,$A1648+1))),IF(E1648&lt;=0,0,MAX(0,(B1648/E1648)*I1648/INDEX(Surface_Engine!$B$12:$B$72,$A1648+1)-F1648/INDEX(Surface_Engine!$B$12:$B$72,$A1648+1))),IF($A1648&lt;$Q$1644,MAX(0,-Assumptions!$B$22*(F1648/INDEX(Surface_Engine!$B$12:$B$72,$A1648+1))),0)))+2*Assumptions!$B$27*(IF(C1648&lt;=0,0,MAX(0,(B1648/C1648)*G1648/INDEX(Surface_Engine!$B$12:$B$72,$A1648+1)-F1648/INDEX(Surface_Engine!$B$12:$B$72,$A1648+1))))*(MAX(0,J1648/INDEX(Surface_Engine!$B$12:$B$72,$A1648+1)-(F1648/INDEX(Surface_Engine!$B$12:$B$72,$A1648+1))))+2*Assumptions!$B$28*(MAX(IF(D1648&lt;=0,0,MAX(0,(B1648/D1648)*H1648/INDEX(Surface_Engine!$B$12:$B$72,$A1648+1)-F1648/INDEX(Surface_Engine!$B$12:$B$72,$A1648+1))),IF(E1648&lt;=0,0,MAX(0,(B1648/E1648)*I1648/INDEX(Surface_Engine!$B$12:$B$72,$A1648+1)-F1648/INDEX(Surface_Engine!$B$12:$B$72,$A1648+1))),IF($A1648&lt;$Q$1644,MAX(0,-Assumptions!$B$22*(F1648/INDEX(Surface_Engine!$B$12:$B$72,$A1648+1))),0)))*(MAX(0,J1648/INDEX(Surface_Engine!$B$12:$B$72,$A1648+1)-(F1648/INDEX(Surface_Engine!$B$12:$B$72,$A1648+1)))))</f>
        <v>6305.97453852695</v>
      </c>
      <c r="L1648" s="48" t="n">
        <f aca="false">K1648*INDEX(Surface_Engine!$B$12:$B$72,$A1648+1)+L1649</f>
        <v>83816.0996139931</v>
      </c>
      <c r="M1648" s="48" t="n">
        <f aca="false">M1647+B1647*(IF($A1647&lt;$Q$1644,(Surface_Engine!Q251*12)-(Surface_Engine!Q251*12)*INDEX(Surface_Engine!$F$12:$F$72,$A1647+1)-INDEX(Surface_Engine!$D$12:$D$72,$A1647+1),-(1000*12*INDEX(Surface_Engine!$C$12:$C$72,$A1647+1)/(1+Assumptions!$B$10)^15+INDEX(Surface_Engine!$D$12:$D$72,$A1647+1))))*INDEX(Surface_Engine!$B$12:$B$72,$A1647+1)</f>
        <v>2076.49044476006</v>
      </c>
      <c r="N1648" s="12" t="n">
        <f aca="false">IF(B1648&lt;=0,0,MAX(0,(K1648+Assumptions!$B$29*L1648/INDEX(Surface_Engine!$B$12:$B$72,$A1648+1)-(M1648/INDEX(Surface_Engine!$B$12:$B$72,$A1648+1)-(F1648/INDEX(Surface_Engine!$B$12:$B$72,$A1648+1))))/B1648))</f>
        <v>11997.3757248861</v>
      </c>
    </row>
    <row r="1649" customFormat="false" ht="15" hidden="false" customHeight="true" outlineLevel="0" collapsed="false">
      <c r="A1649" s="1" t="n">
        <v>3</v>
      </c>
      <c r="B1649" s="32" t="n">
        <f aca="false">INDEX(Surface_Engine!$V$12:$V$72,$A1649+1)*IF($A1649&lt;$Q$1644,INDEX(Surface_Engine!$E$12:$E$72,$A1649+1),INDEX(Surface_Engine!$E$12:$E$72,$Q$1644+1))</f>
        <v>0.872873829381966</v>
      </c>
      <c r="C1649" s="32" t="n">
        <f aca="false">INDEX(Panel_Reserving!$H$8:$H$68,$A1649+1)*IF($A1649&lt;$Q$1644,INDEX(Surface_Engine!$E$12:$E$72,$A1649+1),INDEX(Surface_Engine!$E$12:$E$72,$Q$1644+1))</f>
        <v>0.883351619644115</v>
      </c>
      <c r="D1649" s="32" t="n">
        <f aca="false">INDEX(Surface_Engine!$V$12:$V$72,$A1649+1)*IF($A1649&lt;$Q$1644,INDEX(Surface_Engine!$Y$12:$Y$72,$A1649+1),INDEX(Surface_Engine!$Y$12:$Y$72,$Q$1644+1))</f>
        <v>0.839234210808143</v>
      </c>
      <c r="E1649" s="32" t="n">
        <f aca="false">INDEX(Surface_Engine!$V$12:$V$72,$A1649+1)*IF($A1649&lt;$Q$1644,INDEX(Surface_Engine!$Z$12:$Z$72,$A1649+1),INDEX(Surface_Engine!$Z$12:$Z$72,$Q$1644+1))</f>
        <v>0.907302559975844</v>
      </c>
      <c r="F1649" s="48" t="n">
        <f aca="false">B1649*(IF($A1649&lt;$Q$1644,INDEX(Surface_Engine!$D$12:$D$72,$A1649+1)+(Surface_Engine!Q251*12)*INDEX(Surface_Engine!$F$12:$F$72,$A1649+1)-(Surface_Engine!Q251*12),1000*12*INDEX(Surface_Engine!$C$12:$C$72,$A1649+1)/(1+Assumptions!$B$10)^15+INDEX(Surface_Engine!$D$12:$D$72,$A1649+1)))*INDEX(Surface_Engine!$B$12:$B$72,$A1649+1)+F1650</f>
        <v>3375.73154407424</v>
      </c>
      <c r="G1649" s="48" t="n">
        <f aca="false">C1649*(IF($A1649&lt;$Q$1644,INDEX(Surface_Engine!$D$12:$D$72,$A1649+1)+(Surface_Engine!Q251*12)*INDEX(Surface_Engine!$F$12:$F$72,$A1649+1)-(Surface_Engine!Q251*12),1000*12*INDEX(Surface_Engine!$C$12:$C$72,$A1649+1)/(1+Assumptions!$B$10)^15+INDEX(Surface_Engine!$D$12:$D$72,$A1649+1)))*INDEX(Surface_Engine!$B$12:$B$72,$A1649+1)+G1650</f>
        <v>9155.1841564866</v>
      </c>
      <c r="H1649" s="48" t="n">
        <f aca="false">D1649*(IF($A1649&lt;$Q$1644,INDEX(Surface_Engine!$D$12:$D$72,$A1649+1)+(Surface_Engine!Q251*12)*INDEX(Surface_Engine!$F$12:$F$72,$A1649+1)-(Surface_Engine!Q251*12),1000*12*INDEX(Surface_Engine!$C$12:$C$72,$A1649+1)/(1+Assumptions!$B$10)^15+INDEX(Surface_Engine!$D$12:$D$72,$A1649+1)))*INDEX(Surface_Engine!$B$12:$B$72,$A1649+1)+H1650</f>
        <v>2557.19697202377</v>
      </c>
      <c r="I1649" s="48" t="n">
        <f aca="false">E1649*(IF($A1649&lt;$Q$1644,INDEX(Surface_Engine!$D$12:$D$72,$A1649+1)+(Surface_Engine!Q251*12)*INDEX(Surface_Engine!$F$12:$F$72,$A1649+1)-(Surface_Engine!Q251*12),1000*12*INDEX(Surface_Engine!$C$12:$C$72,$A1649+1)/(1+Assumptions!$B$10)^15+INDEX(Surface_Engine!$D$12:$D$72,$A1649+1)))*INDEX(Surface_Engine!$B$12:$B$72,$A1649+1)+I1650</f>
        <v>4304.4720895029</v>
      </c>
      <c r="J1649" s="48" t="n">
        <f aca="false">B1649*(IF($A1649&lt;$Q$1644,INDEX(Surface_Engine!$D$12:$D$72,$A1649+1)*(1+Assumptions!$B$24)+(Surface_Engine!Q251*12)*INDEX(Surface_Engine!$F$12:$F$72,$A1649+1)-(Surface_Engine!Q251*12),1000*12*INDEX(Surface_Engine!$C$12:$C$72,$A1649+1)/(1+Assumptions!$B$10)^15+INDEX(Surface_Engine!$D$12:$D$72,$A1649+1)*(1+Assumptions!$B$24)))*INDEX(Surface_Engine!$B$12:$B$72,$A1649+1)+J1650</f>
        <v>3459.0924624348</v>
      </c>
      <c r="K1649" s="12" t="n">
        <f aca="false">SQRT((IF(C1649&lt;=0,0,MAX(0,(B1649/C1649)*G1649/INDEX(Surface_Engine!$B$12:$B$72,$A1649+1)-F1649/INDEX(Surface_Engine!$B$12:$B$72,$A1649+1))))^2+(MAX(IF(D1649&lt;=0,0,MAX(0,(B1649/D1649)*H1649/INDEX(Surface_Engine!$B$12:$B$72,$A1649+1)-F1649/INDEX(Surface_Engine!$B$12:$B$72,$A1649+1))),IF(E1649&lt;=0,0,MAX(0,(B1649/E1649)*I1649/INDEX(Surface_Engine!$B$12:$B$72,$A1649+1)-F1649/INDEX(Surface_Engine!$B$12:$B$72,$A1649+1))),IF($A1649&lt;$Q$1644,MAX(0,-Assumptions!$B$22*(F1649/INDEX(Surface_Engine!$B$12:$B$72,$A1649+1))),0)))^2+(MAX(0,J1649/INDEX(Surface_Engine!$B$12:$B$72,$A1649+1)-(F1649/INDEX(Surface_Engine!$B$12:$B$72,$A1649+1))))^2+2*Assumptions!$B$26*(IF(C1649&lt;=0,0,MAX(0,(B1649/C1649)*G1649/INDEX(Surface_Engine!$B$12:$B$72,$A1649+1)-F1649/INDEX(Surface_Engine!$B$12:$B$72,$A1649+1))))*(MAX(IF(D1649&lt;=0,0,MAX(0,(B1649/D1649)*H1649/INDEX(Surface_Engine!$B$12:$B$72,$A1649+1)-F1649/INDEX(Surface_Engine!$B$12:$B$72,$A1649+1))),IF(E1649&lt;=0,0,MAX(0,(B1649/E1649)*I1649/INDEX(Surface_Engine!$B$12:$B$72,$A1649+1)-F1649/INDEX(Surface_Engine!$B$12:$B$72,$A1649+1))),IF($A1649&lt;$Q$1644,MAX(0,-Assumptions!$B$22*(F1649/INDEX(Surface_Engine!$B$12:$B$72,$A1649+1))),0)))+2*Assumptions!$B$27*(IF(C1649&lt;=0,0,MAX(0,(B1649/C1649)*G1649/INDEX(Surface_Engine!$B$12:$B$72,$A1649+1)-F1649/INDEX(Surface_Engine!$B$12:$B$72,$A1649+1))))*(MAX(0,J1649/INDEX(Surface_Engine!$B$12:$B$72,$A1649+1)-(F1649/INDEX(Surface_Engine!$B$12:$B$72,$A1649+1))))+2*Assumptions!$B$28*(MAX(IF(D1649&lt;=0,0,MAX(0,(B1649/D1649)*H1649/INDEX(Surface_Engine!$B$12:$B$72,$A1649+1)-F1649/INDEX(Surface_Engine!$B$12:$B$72,$A1649+1))),IF(E1649&lt;=0,0,MAX(0,(B1649/E1649)*I1649/INDEX(Surface_Engine!$B$12:$B$72,$A1649+1)-F1649/INDEX(Surface_Engine!$B$12:$B$72,$A1649+1))),IF($A1649&lt;$Q$1644,MAX(0,-Assumptions!$B$22*(F1649/INDEX(Surface_Engine!$B$12:$B$72,$A1649+1))),0)))*(MAX(0,J1649/INDEX(Surface_Engine!$B$12:$B$72,$A1649+1)-(F1649/INDEX(Surface_Engine!$B$12:$B$72,$A1649+1)))))</f>
        <v>6414.35323936679</v>
      </c>
      <c r="L1649" s="48" t="n">
        <f aca="false">K1649*INDEX(Surface_Engine!$B$12:$B$72,$A1649+1)+L1650</f>
        <v>77828.7115264077</v>
      </c>
      <c r="M1649" s="48" t="n">
        <f aca="false">M1648+B1648*(IF($A1648&lt;$Q$1644,(Surface_Engine!Q251*12)-(Surface_Engine!Q251*12)*INDEX(Surface_Engine!$F$12:$F$72,$A1648+1)-INDEX(Surface_Engine!$D$12:$D$72,$A1648+1),-(1000*12*INDEX(Surface_Engine!$C$12:$C$72,$A1648+1)/(1+Assumptions!$B$10)^15+INDEX(Surface_Engine!$D$12:$D$72,$A1648+1))))*INDEX(Surface_Engine!$B$12:$B$72,$A1648+1)</f>
        <v>4091.71575653697</v>
      </c>
      <c r="N1649" s="12" t="n">
        <f aca="false">IF(B1649&lt;=0,0,MAX(0,(K1649+Assumptions!$B$29*L1649/INDEX(Surface_Engine!$B$12:$B$72,$A1649+1)-(M1649/INDEX(Surface_Engine!$B$12:$B$72,$A1649+1)-(F1649/INDEX(Surface_Engine!$B$12:$B$72,$A1649+1))))/B1649))</f>
        <v>12244.1159050807</v>
      </c>
    </row>
    <row r="1650" customFormat="false" ht="15" hidden="false" customHeight="true" outlineLevel="0" collapsed="false">
      <c r="A1650" s="1" t="n">
        <v>4</v>
      </c>
      <c r="B1650" s="32" t="n">
        <f aca="false">INDEX(Surface_Engine!$V$12:$V$72,$A1650+1)*IF($A1650&lt;$Q$1644,INDEX(Surface_Engine!$E$12:$E$72,$A1650+1),INDEX(Surface_Engine!$E$12:$E$72,$Q$1644+1))</f>
        <v>0.840401794005402</v>
      </c>
      <c r="C1650" s="32" t="n">
        <f aca="false">INDEX(Panel_Reserving!$H$8:$H$68,$A1650+1)*IF($A1650&lt;$Q$1644,INDEX(Surface_Engine!$E$12:$E$72,$A1650+1),INDEX(Surface_Engine!$E$12:$E$72,$Q$1644+1))</f>
        <v>0.854712446155324</v>
      </c>
      <c r="D1650" s="32" t="n">
        <f aca="false">INDEX(Surface_Engine!$V$12:$V$72,$A1650+1)*IF($A1650&lt;$Q$1644,INDEX(Surface_Engine!$Y$12:$Y$72,$A1650+1),INDEX(Surface_Engine!$Y$12:$Y$72,$Q$1644+1))</f>
        <v>0.802567894168097</v>
      </c>
      <c r="E1650" s="32" t="n">
        <f aca="false">INDEX(Surface_Engine!$V$12:$V$72,$A1650+1)*IF($A1650&lt;$Q$1644,INDEX(Surface_Engine!$Z$12:$Z$72,$A1650+1),INDEX(Surface_Engine!$Z$12:$Z$72,$Q$1644+1))</f>
        <v>0.879437139535825</v>
      </c>
      <c r="F1650" s="48" t="n">
        <f aca="false">B1650*(IF($A1650&lt;$Q$1644,INDEX(Surface_Engine!$D$12:$D$72,$A1650+1)+(Surface_Engine!Q251*12)*INDEX(Surface_Engine!$F$12:$F$72,$A1650+1)-(Surface_Engine!Q251*12),1000*12*INDEX(Surface_Engine!$C$12:$C$72,$A1650+1)/(1+Assumptions!$B$10)^15+INDEX(Surface_Engine!$D$12:$D$72,$A1650+1)))*INDEX(Surface_Engine!$B$12:$B$72,$A1650+1)+F1651</f>
        <v>5269.65762529875</v>
      </c>
      <c r="G1650" s="48" t="n">
        <f aca="false">C1650*(IF($A1650&lt;$Q$1644,INDEX(Surface_Engine!$D$12:$D$72,$A1650+1)+(Surface_Engine!Q251*12)*INDEX(Surface_Engine!$F$12:$F$72,$A1650+1)-(Surface_Engine!Q251*12),1000*12*INDEX(Surface_Engine!$C$12:$C$72,$A1650+1)/(1+Assumptions!$B$10)^15+INDEX(Surface_Engine!$D$12:$D$72,$A1650+1)))*INDEX(Surface_Engine!$B$12:$B$72,$A1650+1)+G1651</f>
        <v>11071.8445202421</v>
      </c>
      <c r="H1650" s="48" t="n">
        <f aca="false">D1650*(IF($A1650&lt;$Q$1644,INDEX(Surface_Engine!$D$12:$D$72,$A1650+1)+(Surface_Engine!Q251*12)*INDEX(Surface_Engine!$F$12:$F$72,$A1650+1)-(Surface_Engine!Q251*12),1000*12*INDEX(Surface_Engine!$C$12:$C$72,$A1650+1)/(1+Assumptions!$B$10)^15+INDEX(Surface_Engine!$D$12:$D$72,$A1650+1)))*INDEX(Surface_Engine!$B$12:$B$72,$A1650+1)+H1651</f>
        <v>4378.1331790708</v>
      </c>
      <c r="I1650" s="48" t="n">
        <f aca="false">E1650*(IF($A1650&lt;$Q$1644,INDEX(Surface_Engine!$D$12:$D$72,$A1650+1)+(Surface_Engine!Q251*12)*INDEX(Surface_Engine!$F$12:$F$72,$A1650+1)-(Surface_Engine!Q251*12),1000*12*INDEX(Surface_Engine!$C$12:$C$72,$A1650+1)/(1+Assumptions!$B$10)^15+INDEX(Surface_Engine!$D$12:$D$72,$A1650+1)))*INDEX(Surface_Engine!$B$12:$B$72,$A1650+1)+I1651</f>
        <v>6273.10022802402</v>
      </c>
      <c r="J1650" s="48" t="n">
        <f aca="false">B1650*(IF($A1650&lt;$Q$1644,INDEX(Surface_Engine!$D$12:$D$72,$A1650+1)*(1+Assumptions!$B$24)+(Surface_Engine!Q251*12)*INDEX(Surface_Engine!$F$12:$F$72,$A1650+1)-(Surface_Engine!Q251*12),1000*12*INDEX(Surface_Engine!$C$12:$C$72,$A1650+1)/(1+Assumptions!$B$10)^15+INDEX(Surface_Engine!$D$12:$D$72,$A1650+1)*(1+Assumptions!$B$24)))*INDEX(Surface_Engine!$B$12:$B$72,$A1650+1)+J1651</f>
        <v>5345.88689225903</v>
      </c>
      <c r="K1650" s="12" t="n">
        <f aca="false">SQRT((IF(C1650&lt;=0,0,MAX(0,(B1650/C1650)*G1650/INDEX(Surface_Engine!$B$12:$B$72,$A1650+1)-F1650/INDEX(Surface_Engine!$B$12:$B$72,$A1650+1))))^2+(MAX(IF(D1650&lt;=0,0,MAX(0,(B1650/D1650)*H1650/INDEX(Surface_Engine!$B$12:$B$72,$A1650+1)-F1650/INDEX(Surface_Engine!$B$12:$B$72,$A1650+1))),IF(E1650&lt;=0,0,MAX(0,(B1650/E1650)*I1650/INDEX(Surface_Engine!$B$12:$B$72,$A1650+1)-F1650/INDEX(Surface_Engine!$B$12:$B$72,$A1650+1))),IF($A1650&lt;$Q$1644,MAX(0,-Assumptions!$B$22*(F1650/INDEX(Surface_Engine!$B$12:$B$72,$A1650+1))),0)))^2+(MAX(0,J1650/INDEX(Surface_Engine!$B$12:$B$72,$A1650+1)-(F1650/INDEX(Surface_Engine!$B$12:$B$72,$A1650+1))))^2+2*Assumptions!$B$26*(IF(C1650&lt;=0,0,MAX(0,(B1650/C1650)*G1650/INDEX(Surface_Engine!$B$12:$B$72,$A1650+1)-F1650/INDEX(Surface_Engine!$B$12:$B$72,$A1650+1))))*(MAX(IF(D1650&lt;=0,0,MAX(0,(B1650/D1650)*H1650/INDEX(Surface_Engine!$B$12:$B$72,$A1650+1)-F1650/INDEX(Surface_Engine!$B$12:$B$72,$A1650+1))),IF(E1650&lt;=0,0,MAX(0,(B1650/E1650)*I1650/INDEX(Surface_Engine!$B$12:$B$72,$A1650+1)-F1650/INDEX(Surface_Engine!$B$12:$B$72,$A1650+1))),IF($A1650&lt;$Q$1644,MAX(0,-Assumptions!$B$22*(F1650/INDEX(Surface_Engine!$B$12:$B$72,$A1650+1))),0)))+2*Assumptions!$B$27*(IF(C1650&lt;=0,0,MAX(0,(B1650/C1650)*G1650/INDEX(Surface_Engine!$B$12:$B$72,$A1650+1)-F1650/INDEX(Surface_Engine!$B$12:$B$72,$A1650+1))))*(MAX(0,J1650/INDEX(Surface_Engine!$B$12:$B$72,$A1650+1)-(F1650/INDEX(Surface_Engine!$B$12:$B$72,$A1650+1))))+2*Assumptions!$B$28*(MAX(IF(D1650&lt;=0,0,MAX(0,(B1650/D1650)*H1650/INDEX(Surface_Engine!$B$12:$B$72,$A1650+1)-F1650/INDEX(Surface_Engine!$B$12:$B$72,$A1650+1))),IF(E1650&lt;=0,0,MAX(0,(B1650/E1650)*I1650/INDEX(Surface_Engine!$B$12:$B$72,$A1650+1)-F1650/INDEX(Surface_Engine!$B$12:$B$72,$A1650+1))),IF($A1650&lt;$Q$1644,MAX(0,-Assumptions!$B$22*(F1650/INDEX(Surface_Engine!$B$12:$B$72,$A1650+1))),0)))*(MAX(0,J1650/INDEX(Surface_Engine!$B$12:$B$72,$A1650+1)-(F1650/INDEX(Surface_Engine!$B$12:$B$72,$A1650+1)))))</f>
        <v>6507.07791146674</v>
      </c>
      <c r="L1650" s="48" t="n">
        <f aca="false">K1650*INDEX(Surface_Engine!$B$12:$B$72,$A1650+1)+L1651</f>
        <v>71893.9119343034</v>
      </c>
      <c r="M1650" s="48" t="n">
        <f aca="false">M1649+B1649*(IF($A1649&lt;$Q$1644,(Surface_Engine!Q251*12)-(Surface_Engine!Q251*12)*INDEX(Surface_Engine!$F$12:$F$72,$A1649+1)-INDEX(Surface_Engine!$D$12:$D$72,$A1649+1),-(1000*12*INDEX(Surface_Engine!$C$12:$C$72,$A1649+1)/(1+Assumptions!$B$10)^15+INDEX(Surface_Engine!$D$12:$D$72,$A1649+1))))*INDEX(Surface_Engine!$B$12:$B$72,$A1649+1)</f>
        <v>5985.64183776147</v>
      </c>
      <c r="N1650" s="12" t="n">
        <f aca="false">IF(B1650&lt;=0,0,MAX(0,(K1650+Assumptions!$B$29*L1650/INDEX(Surface_Engine!$B$12:$B$72,$A1650+1)-(M1650/INDEX(Surface_Engine!$B$12:$B$72,$A1650+1)-(F1650/INDEX(Surface_Engine!$B$12:$B$72,$A1650+1))))/B1650))</f>
        <v>12493.2253045999</v>
      </c>
    </row>
    <row r="1651" customFormat="false" ht="15" hidden="false" customHeight="true" outlineLevel="0" collapsed="false">
      <c r="A1651" s="1" t="n">
        <v>5</v>
      </c>
      <c r="B1651" s="32" t="n">
        <f aca="false">INDEX(Surface_Engine!$V$12:$V$72,$A1651+1)*IF($A1651&lt;$Q$1644,INDEX(Surface_Engine!$E$12:$E$72,$A1651+1),INDEX(Surface_Engine!$E$12:$E$72,$Q$1644+1))</f>
        <v>0.806725671610124</v>
      </c>
      <c r="C1651" s="32" t="n">
        <f aca="false">INDEX(Panel_Reserving!$H$8:$H$68,$A1651+1)*IF($A1651&lt;$Q$1644,INDEX(Surface_Engine!$E$12:$E$72,$A1651+1),INDEX(Surface_Engine!$E$12:$E$72,$Q$1644+1))</f>
        <v>0.825039254213159</v>
      </c>
      <c r="D1651" s="32" t="n">
        <f aca="false">INDEX(Surface_Engine!$V$12:$V$72,$A1651+1)*IF($A1651&lt;$Q$1644,INDEX(Surface_Engine!$Y$12:$Y$72,$A1651+1),INDEX(Surface_Engine!$Y$12:$Y$72,$Q$1644+1))</f>
        <v>0.765215561916785</v>
      </c>
      <c r="E1651" s="32" t="n">
        <f aca="false">INDEX(Surface_Engine!$V$12:$V$72,$A1651+1)*IF($A1651&lt;$Q$1644,INDEX(Surface_Engine!$Z$12:$Z$72,$A1651+1),INDEX(Surface_Engine!$Z$12:$Z$72,$Q$1644+1))</f>
        <v>0.849886394292069</v>
      </c>
      <c r="F1651" s="48" t="n">
        <f aca="false">B1651*(IF($A1651&lt;$Q$1644,INDEX(Surface_Engine!$D$12:$D$72,$A1651+1)+(Surface_Engine!Q251*12)*INDEX(Surface_Engine!$F$12:$F$72,$A1651+1)-(Surface_Engine!Q251*12),1000*12*INDEX(Surface_Engine!$C$12:$C$72,$A1651+1)/(1+Assumptions!$B$10)^15+INDEX(Surface_Engine!$D$12:$D$72,$A1651+1)))*INDEX(Surface_Engine!$B$12:$B$72,$A1651+1)+F1652</f>
        <v>7044.00004185776</v>
      </c>
      <c r="G1651" s="48" t="n">
        <f aca="false">C1651*(IF($A1651&lt;$Q$1644,INDEX(Surface_Engine!$D$12:$D$72,$A1651+1)+(Surface_Engine!Q251*12)*INDEX(Surface_Engine!$F$12:$F$72,$A1651+1)-(Surface_Engine!Q251*12),1000*12*INDEX(Surface_Engine!$C$12:$C$72,$A1651+1)/(1+Assumptions!$B$10)^15+INDEX(Surface_Engine!$D$12:$D$72,$A1651+1)))*INDEX(Surface_Engine!$B$12:$B$72,$A1651+1)+G1652</f>
        <v>12876.4010525959</v>
      </c>
      <c r="H1651" s="48" t="n">
        <f aca="false">D1651*(IF($A1651&lt;$Q$1644,INDEX(Surface_Engine!$D$12:$D$72,$A1651+1)+(Surface_Engine!Q251*12)*INDEX(Surface_Engine!$F$12:$F$72,$A1651+1)-(Surface_Engine!Q251*12),1000*12*INDEX(Surface_Engine!$C$12:$C$72,$A1651+1)/(1+Assumptions!$B$10)^15+INDEX(Surface_Engine!$D$12:$D$72,$A1651+1)))*INDEX(Surface_Engine!$B$12:$B$72,$A1651+1)+H1652</f>
        <v>6072.59678796421</v>
      </c>
      <c r="I1651" s="48" t="n">
        <f aca="false">E1651*(IF($A1651&lt;$Q$1644,INDEX(Surface_Engine!$D$12:$D$72,$A1651+1)+(Surface_Engine!Q251*12)*INDEX(Surface_Engine!$F$12:$F$72,$A1651+1)-(Surface_Engine!Q251*12),1000*12*INDEX(Surface_Engine!$C$12:$C$72,$A1651+1)/(1+Assumptions!$B$10)^15+INDEX(Surface_Engine!$D$12:$D$72,$A1651+1)))*INDEX(Surface_Engine!$B$12:$B$72,$A1651+1)+I1652</f>
        <v>8129.85806755536</v>
      </c>
      <c r="J1651" s="48" t="n">
        <f aca="false">B1651*(IF($A1651&lt;$Q$1644,INDEX(Surface_Engine!$D$12:$D$72,$A1651+1)*(1+Assumptions!$B$24)+(Surface_Engine!Q251*12)*INDEX(Surface_Engine!$F$12:$F$72,$A1651+1)-(Surface_Engine!Q251*12),1000*12*INDEX(Surface_Engine!$C$12:$C$72,$A1651+1)/(1+Assumptions!$B$10)^15+INDEX(Surface_Engine!$D$12:$D$72,$A1651+1)*(1+Assumptions!$B$24)))*INDEX(Surface_Engine!$B$12:$B$72,$A1651+1)+J1652</f>
        <v>7113.37446739488</v>
      </c>
      <c r="K1651" s="12" t="n">
        <f aca="false">SQRT((IF(C1651&lt;=0,0,MAX(0,(B1651/C1651)*G1651/INDEX(Surface_Engine!$B$12:$B$72,$A1651+1)-F1651/INDEX(Surface_Engine!$B$12:$B$72,$A1651+1))))^2+(MAX(IF(D1651&lt;=0,0,MAX(0,(B1651/D1651)*H1651/INDEX(Surface_Engine!$B$12:$B$72,$A1651+1)-F1651/INDEX(Surface_Engine!$B$12:$B$72,$A1651+1))),IF(E1651&lt;=0,0,MAX(0,(B1651/E1651)*I1651/INDEX(Surface_Engine!$B$12:$B$72,$A1651+1)-F1651/INDEX(Surface_Engine!$B$12:$B$72,$A1651+1))),IF($A1651&lt;$Q$1644,MAX(0,-Assumptions!$B$22*(F1651/INDEX(Surface_Engine!$B$12:$B$72,$A1651+1))),0)))^2+(MAX(0,J1651/INDEX(Surface_Engine!$B$12:$B$72,$A1651+1)-(F1651/INDEX(Surface_Engine!$B$12:$B$72,$A1651+1))))^2+2*Assumptions!$B$26*(IF(C1651&lt;=0,0,MAX(0,(B1651/C1651)*G1651/INDEX(Surface_Engine!$B$12:$B$72,$A1651+1)-F1651/INDEX(Surface_Engine!$B$12:$B$72,$A1651+1))))*(MAX(IF(D1651&lt;=0,0,MAX(0,(B1651/D1651)*H1651/INDEX(Surface_Engine!$B$12:$B$72,$A1651+1)-F1651/INDEX(Surface_Engine!$B$12:$B$72,$A1651+1))),IF(E1651&lt;=0,0,MAX(0,(B1651/E1651)*I1651/INDEX(Surface_Engine!$B$12:$B$72,$A1651+1)-F1651/INDEX(Surface_Engine!$B$12:$B$72,$A1651+1))),IF($A1651&lt;$Q$1644,MAX(0,-Assumptions!$B$22*(F1651/INDEX(Surface_Engine!$B$12:$B$72,$A1651+1))),0)))+2*Assumptions!$B$27*(IF(C1651&lt;=0,0,MAX(0,(B1651/C1651)*G1651/INDEX(Surface_Engine!$B$12:$B$72,$A1651+1)-F1651/INDEX(Surface_Engine!$B$12:$B$72,$A1651+1))))*(MAX(0,J1651/INDEX(Surface_Engine!$B$12:$B$72,$A1651+1)-(F1651/INDEX(Surface_Engine!$B$12:$B$72,$A1651+1))))+2*Assumptions!$B$28*(MAX(IF(D1651&lt;=0,0,MAX(0,(B1651/D1651)*H1651/INDEX(Surface_Engine!$B$12:$B$72,$A1651+1)-F1651/INDEX(Surface_Engine!$B$12:$B$72,$A1651+1))),IF(E1651&lt;=0,0,MAX(0,(B1651/E1651)*I1651/INDEX(Surface_Engine!$B$12:$B$72,$A1651+1)-F1651/INDEX(Surface_Engine!$B$12:$B$72,$A1651+1))),IF($A1651&lt;$Q$1644,MAX(0,-Assumptions!$B$22*(F1651/INDEX(Surface_Engine!$B$12:$B$72,$A1651+1))),0)))*(MAX(0,J1651/INDEX(Surface_Engine!$B$12:$B$72,$A1651+1)-(F1651/INDEX(Surface_Engine!$B$12:$B$72,$A1651+1)))))</f>
        <v>6585.66703693997</v>
      </c>
      <c r="L1651" s="48" t="n">
        <f aca="false">K1651*INDEX(Surface_Engine!$B$12:$B$72,$A1651+1)+L1652</f>
        <v>66030.0041171391</v>
      </c>
      <c r="M1651" s="48" t="n">
        <f aca="false">M1650+B1650*(IF($A1650&lt;$Q$1644,(Surface_Engine!Q251*12)-(Surface_Engine!Q251*12)*INDEX(Surface_Engine!$F$12:$F$72,$A1650+1)-INDEX(Surface_Engine!$D$12:$D$72,$A1650+1),-(1000*12*INDEX(Surface_Engine!$C$12:$C$72,$A1650+1)/(1+Assumptions!$B$10)^15+INDEX(Surface_Engine!$D$12:$D$72,$A1650+1))))*INDEX(Surface_Engine!$B$12:$B$72,$A1650+1)</f>
        <v>7759.98425432048</v>
      </c>
      <c r="N1651" s="12" t="n">
        <f aca="false">IF(B1651&lt;=0,0,MAX(0,(K1651+Assumptions!$B$29*L1651/INDEX(Surface_Engine!$B$12:$B$72,$A1651+1)-(M1651/INDEX(Surface_Engine!$B$12:$B$72,$A1651+1)-(F1651/INDEX(Surface_Engine!$B$12:$B$72,$A1651+1))))/B1651))</f>
        <v>12753.262665771</v>
      </c>
    </row>
    <row r="1652" customFormat="false" ht="15" hidden="false" customHeight="true" outlineLevel="0" collapsed="false">
      <c r="A1652" s="1" t="n">
        <v>6</v>
      </c>
      <c r="B1652" s="32" t="n">
        <f aca="false">INDEX(Surface_Engine!$V$12:$V$72,$A1652+1)*IF($A1652&lt;$Q$1644,INDEX(Surface_Engine!$E$12:$E$72,$A1652+1),INDEX(Surface_Engine!$E$12:$E$72,$Q$1644+1))</f>
        <v>0.774228931488136</v>
      </c>
      <c r="C1652" s="32" t="n">
        <f aca="false">INDEX(Panel_Reserving!$H$8:$H$68,$A1652+1)*IF($A1652&lt;$Q$1644,INDEX(Surface_Engine!$E$12:$E$72,$A1652+1),INDEX(Surface_Engine!$E$12:$E$72,$Q$1644+1))</f>
        <v>0.796950120551387</v>
      </c>
      <c r="D1652" s="32" t="n">
        <f aca="false">INDEX(Surface_Engine!$V$12:$V$72,$A1652+1)*IF($A1652&lt;$Q$1644,INDEX(Surface_Engine!$Y$12:$Y$72,$A1652+1),INDEX(Surface_Engine!$Y$12:$Y$72,$Q$1644+1))</f>
        <v>0.73101877768207</v>
      </c>
      <c r="E1652" s="32" t="n">
        <f aca="false">INDEX(Surface_Engine!$V$12:$V$72,$A1652+1)*IF($A1652&lt;$Q$1644,INDEX(Surface_Engine!$Z$12:$Z$72,$A1652+1),INDEX(Surface_Engine!$Z$12:$Z$72,$Q$1644+1))</f>
        <v>0.819396336771624</v>
      </c>
      <c r="F1652" s="48" t="n">
        <f aca="false">B1652*(IF($A1652&lt;$Q$1644,INDEX(Surface_Engine!$D$12:$D$72,$A1652+1)+(Surface_Engine!Q251*12)*INDEX(Surface_Engine!$F$12:$F$72,$A1652+1)-(Surface_Engine!Q251*12),1000*12*INDEX(Surface_Engine!$C$12:$C$72,$A1652+1)/(1+Assumptions!$B$10)^15+INDEX(Surface_Engine!$D$12:$D$72,$A1652+1)))*INDEX(Surface_Engine!$B$12:$B$72,$A1652+1)+F1653</f>
        <v>8699.23212961325</v>
      </c>
      <c r="G1652" s="48" t="n">
        <f aca="false">C1652*(IF($A1652&lt;$Q$1644,INDEX(Surface_Engine!$D$12:$D$72,$A1652+1)+(Surface_Engine!Q251*12)*INDEX(Surface_Engine!$F$12:$F$72,$A1652+1)-(Surface_Engine!Q251*12),1000*12*INDEX(Surface_Engine!$C$12:$C$72,$A1652+1)/(1+Assumptions!$B$10)^15+INDEX(Surface_Engine!$D$12:$D$72,$A1652+1)))*INDEX(Surface_Engine!$B$12:$B$72,$A1652+1)+G1653</f>
        <v>14569.2087755804</v>
      </c>
      <c r="H1652" s="48" t="n">
        <f aca="false">D1652*(IF($A1652&lt;$Q$1644,INDEX(Surface_Engine!$D$12:$D$72,$A1652+1)+(Surface_Engine!Q251*12)*INDEX(Surface_Engine!$F$12:$F$72,$A1652+1)-(Surface_Engine!Q251*12),1000*12*INDEX(Surface_Engine!$C$12:$C$72,$A1652+1)/(1+Assumptions!$B$10)^15+INDEX(Surface_Engine!$D$12:$D$72,$A1652+1)))*INDEX(Surface_Engine!$B$12:$B$72,$A1652+1)+H1653</f>
        <v>7642.65882603785</v>
      </c>
      <c r="I1652" s="48" t="n">
        <f aca="false">E1652*(IF($A1652&lt;$Q$1644,INDEX(Surface_Engine!$D$12:$D$72,$A1652+1)+(Surface_Engine!Q251*12)*INDEX(Surface_Engine!$F$12:$F$72,$A1652+1)-(Surface_Engine!Q251*12),1000*12*INDEX(Surface_Engine!$C$12:$C$72,$A1652+1)/(1+Assumptions!$B$10)^15+INDEX(Surface_Engine!$D$12:$D$72,$A1652+1)))*INDEX(Surface_Engine!$B$12:$B$72,$A1652+1)+I1653</f>
        <v>9873.64691708005</v>
      </c>
      <c r="J1652" s="48" t="n">
        <f aca="false">B1652*(IF($A1652&lt;$Q$1644,INDEX(Surface_Engine!$D$12:$D$72,$A1652+1)*(1+Assumptions!$B$24)+(Surface_Engine!Q251*12)*INDEX(Surface_Engine!$F$12:$F$72,$A1652+1)-(Surface_Engine!Q251*12),1000*12*INDEX(Surface_Engine!$C$12:$C$72,$A1652+1)/(1+Assumptions!$B$10)^15+INDEX(Surface_Engine!$D$12:$D$72,$A1652+1)*(1+Assumptions!$B$24)))*INDEX(Surface_Engine!$B$12:$B$72,$A1652+1)+J1653</f>
        <v>8762.04567058589</v>
      </c>
      <c r="K1652" s="12" t="n">
        <f aca="false">SQRT((IF(C1652&lt;=0,0,MAX(0,(B1652/C1652)*G1652/INDEX(Surface_Engine!$B$12:$B$72,$A1652+1)-F1652/INDEX(Surface_Engine!$B$12:$B$72,$A1652+1))))^2+(MAX(IF(D1652&lt;=0,0,MAX(0,(B1652/D1652)*H1652/INDEX(Surface_Engine!$B$12:$B$72,$A1652+1)-F1652/INDEX(Surface_Engine!$B$12:$B$72,$A1652+1))),IF(E1652&lt;=0,0,MAX(0,(B1652/E1652)*I1652/INDEX(Surface_Engine!$B$12:$B$72,$A1652+1)-F1652/INDEX(Surface_Engine!$B$12:$B$72,$A1652+1))),IF($A1652&lt;$Q$1644,MAX(0,-Assumptions!$B$22*(F1652/INDEX(Surface_Engine!$B$12:$B$72,$A1652+1))),0)))^2+(MAX(0,J1652/INDEX(Surface_Engine!$B$12:$B$72,$A1652+1)-(F1652/INDEX(Surface_Engine!$B$12:$B$72,$A1652+1))))^2+2*Assumptions!$B$26*(IF(C1652&lt;=0,0,MAX(0,(B1652/C1652)*G1652/INDEX(Surface_Engine!$B$12:$B$72,$A1652+1)-F1652/INDEX(Surface_Engine!$B$12:$B$72,$A1652+1))))*(MAX(IF(D1652&lt;=0,0,MAX(0,(B1652/D1652)*H1652/INDEX(Surface_Engine!$B$12:$B$72,$A1652+1)-F1652/INDEX(Surface_Engine!$B$12:$B$72,$A1652+1))),IF(E1652&lt;=0,0,MAX(0,(B1652/E1652)*I1652/INDEX(Surface_Engine!$B$12:$B$72,$A1652+1)-F1652/INDEX(Surface_Engine!$B$12:$B$72,$A1652+1))),IF($A1652&lt;$Q$1644,MAX(0,-Assumptions!$B$22*(F1652/INDEX(Surface_Engine!$B$12:$B$72,$A1652+1))),0)))+2*Assumptions!$B$27*(IF(C1652&lt;=0,0,MAX(0,(B1652/C1652)*G1652/INDEX(Surface_Engine!$B$12:$B$72,$A1652+1)-F1652/INDEX(Surface_Engine!$B$12:$B$72,$A1652+1))))*(MAX(0,J1652/INDEX(Surface_Engine!$B$12:$B$72,$A1652+1)-(F1652/INDEX(Surface_Engine!$B$12:$B$72,$A1652+1))))+2*Assumptions!$B$28*(MAX(IF(D1652&lt;=0,0,MAX(0,(B1652/D1652)*H1652/INDEX(Surface_Engine!$B$12:$B$72,$A1652+1)-F1652/INDEX(Surface_Engine!$B$12:$B$72,$A1652+1))),IF(E1652&lt;=0,0,MAX(0,(B1652/E1652)*I1652/INDEX(Surface_Engine!$B$12:$B$72,$A1652+1)-F1652/INDEX(Surface_Engine!$B$12:$B$72,$A1652+1))),IF($A1652&lt;$Q$1644,MAX(0,-Assumptions!$B$22*(F1652/INDEX(Surface_Engine!$B$12:$B$72,$A1652+1))),0)))*(MAX(0,J1652/INDEX(Surface_Engine!$B$12:$B$72,$A1652+1)-(F1652/INDEX(Surface_Engine!$B$12:$B$72,$A1652+1)))))</f>
        <v>6648.35522933865</v>
      </c>
      <c r="L1652" s="48" t="n">
        <f aca="false">K1652*INDEX(Surface_Engine!$B$12:$B$72,$A1652+1)+L1653</f>
        <v>60256.9834858476</v>
      </c>
      <c r="M1652" s="48" t="n">
        <f aca="false">M1651+B1651*(IF($A1651&lt;$Q$1644,(Surface_Engine!Q251*12)-(Surface_Engine!Q251*12)*INDEX(Surface_Engine!$F$12:$F$72,$A1651+1)-INDEX(Surface_Engine!$D$12:$D$72,$A1651+1),-(1000*12*INDEX(Surface_Engine!$C$12:$C$72,$A1651+1)/(1+Assumptions!$B$10)^15+INDEX(Surface_Engine!$D$12:$D$72,$A1651+1))))*INDEX(Surface_Engine!$B$12:$B$72,$A1651+1)</f>
        <v>9415.21634207597</v>
      </c>
      <c r="N1652" s="12" t="n">
        <f aca="false">IF(B1652&lt;=0,0,MAX(0,(K1652+Assumptions!$B$29*L1652/INDEX(Surface_Engine!$B$12:$B$72,$A1652+1)-(M1652/INDEX(Surface_Engine!$B$12:$B$72,$A1652+1)-(F1652/INDEX(Surface_Engine!$B$12:$B$72,$A1652+1))))/B1652))</f>
        <v>12982.6732507413</v>
      </c>
    </row>
    <row r="1653" customFormat="false" ht="15" hidden="false" customHeight="true" outlineLevel="0" collapsed="false">
      <c r="A1653" s="1" t="n">
        <v>7</v>
      </c>
      <c r="B1653" s="32" t="n">
        <f aca="false">INDEX(Surface_Engine!$V$12:$V$72,$A1653+1)*IF($A1653&lt;$Q$1644,INDEX(Surface_Engine!$E$12:$E$72,$A1653+1),INDEX(Surface_Engine!$E$12:$E$72,$Q$1644+1))</f>
        <v>0.740088994099412</v>
      </c>
      <c r="C1653" s="32" t="n">
        <f aca="false">INDEX(Panel_Reserving!$H$8:$H$68,$A1653+1)*IF($A1653&lt;$Q$1644,INDEX(Surface_Engine!$E$12:$E$72,$A1653+1),INDEX(Surface_Engine!$E$12:$E$72,$Q$1644+1))</f>
        <v>0.76738620141526</v>
      </c>
      <c r="D1653" s="32" t="n">
        <f aca="false">INDEX(Surface_Engine!$V$12:$V$72,$A1653+1)*IF($A1653&lt;$Q$1644,INDEX(Surface_Engine!$Y$12:$Y$72,$A1653+1),INDEX(Surface_Engine!$Y$12:$Y$72,$Q$1644+1))</f>
        <v>0.695575542451843</v>
      </c>
      <c r="E1653" s="32" t="n">
        <f aca="false">INDEX(Surface_Engine!$V$12:$V$72,$A1653+1)*IF($A1653&lt;$Q$1644,INDEX(Surface_Engine!$Z$12:$Z$72,$A1653+1),INDEX(Surface_Engine!$Z$12:$Z$72,$Q$1644+1))</f>
        <v>0.786861307812132</v>
      </c>
      <c r="F1653" s="48" t="n">
        <f aca="false">B1653*(IF($A1653&lt;$Q$1644,INDEX(Surface_Engine!$D$12:$D$72,$A1653+1)+(Surface_Engine!Q251*12)*INDEX(Surface_Engine!$F$12:$F$72,$A1653+1)-(Surface_Engine!Q251*12),1000*12*INDEX(Surface_Engine!$C$12:$C$72,$A1653+1)/(1+Assumptions!$B$10)^15+INDEX(Surface_Engine!$D$12:$D$72,$A1653+1)))*INDEX(Surface_Engine!$B$12:$B$72,$A1653+1)+F1654</f>
        <v>10241.6200436095</v>
      </c>
      <c r="G1653" s="48" t="n">
        <f aca="false">C1653*(IF($A1653&lt;$Q$1644,INDEX(Surface_Engine!$D$12:$D$72,$A1653+1)+(Surface_Engine!Q251*12)*INDEX(Surface_Engine!$F$12:$F$72,$A1653+1)-(Surface_Engine!Q251*12),1000*12*INDEX(Surface_Engine!$C$12:$C$72,$A1653+1)/(1+Assumptions!$B$10)^15+INDEX(Surface_Engine!$D$12:$D$72,$A1653+1)))*INDEX(Surface_Engine!$B$12:$B$72,$A1653+1)+G1654</f>
        <v>16156.8609337523</v>
      </c>
      <c r="H1653" s="48" t="n">
        <f aca="false">D1653*(IF($A1653&lt;$Q$1644,INDEX(Surface_Engine!$D$12:$D$72,$A1653+1)+(Surface_Engine!Q251*12)*INDEX(Surface_Engine!$F$12:$F$72,$A1653+1)-(Surface_Engine!Q251*12),1000*12*INDEX(Surface_Engine!$C$12:$C$72,$A1653+1)/(1+Assumptions!$B$10)^15+INDEX(Surface_Engine!$D$12:$D$72,$A1653+1)))*INDEX(Surface_Engine!$B$12:$B$72,$A1653+1)+H1654</f>
        <v>9098.96519970167</v>
      </c>
      <c r="I1653" s="48" t="n">
        <f aca="false">E1653*(IF($A1653&lt;$Q$1644,INDEX(Surface_Engine!$D$12:$D$72,$A1653+1)+(Surface_Engine!Q251*12)*INDEX(Surface_Engine!$F$12:$F$72,$A1653+1)-(Surface_Engine!Q251*12),1000*12*INDEX(Surface_Engine!$C$12:$C$72,$A1653+1)/(1+Assumptions!$B$10)^15+INDEX(Surface_Engine!$D$12:$D$72,$A1653+1)))*INDEX(Surface_Engine!$B$12:$B$72,$A1653+1)+I1654</f>
        <v>11506.0155295267</v>
      </c>
      <c r="J1653" s="48" t="n">
        <f aca="false">B1653*(IF($A1653&lt;$Q$1644,INDEX(Surface_Engine!$D$12:$D$72,$A1653+1)*(1+Assumptions!$B$24)+(Surface_Engine!Q251*12)*INDEX(Surface_Engine!$F$12:$F$72,$A1653+1)-(Surface_Engine!Q251*12),1000*12*INDEX(Surface_Engine!$C$12:$C$72,$A1653+1)/(1+Assumptions!$B$10)^15+INDEX(Surface_Engine!$D$12:$D$72,$A1653+1)*(1+Assumptions!$B$24)))*INDEX(Surface_Engine!$B$12:$B$72,$A1653+1)+J1654</f>
        <v>10298.1609274693</v>
      </c>
      <c r="K1653" s="12" t="n">
        <f aca="false">SQRT((IF(C1653&lt;=0,0,MAX(0,(B1653/C1653)*G1653/INDEX(Surface_Engine!$B$12:$B$72,$A1653+1)-F1653/INDEX(Surface_Engine!$B$12:$B$72,$A1653+1))))^2+(MAX(IF(D1653&lt;=0,0,MAX(0,(B1653/D1653)*H1653/INDEX(Surface_Engine!$B$12:$B$72,$A1653+1)-F1653/INDEX(Surface_Engine!$B$12:$B$72,$A1653+1))),IF(E1653&lt;=0,0,MAX(0,(B1653/E1653)*I1653/INDEX(Surface_Engine!$B$12:$B$72,$A1653+1)-F1653/INDEX(Surface_Engine!$B$12:$B$72,$A1653+1))),IF($A1653&lt;$Q$1644,MAX(0,-Assumptions!$B$22*(F1653/INDEX(Surface_Engine!$B$12:$B$72,$A1653+1))),0)))^2+(MAX(0,J1653/INDEX(Surface_Engine!$B$12:$B$72,$A1653+1)-(F1653/INDEX(Surface_Engine!$B$12:$B$72,$A1653+1))))^2+2*Assumptions!$B$26*(IF(C1653&lt;=0,0,MAX(0,(B1653/C1653)*G1653/INDEX(Surface_Engine!$B$12:$B$72,$A1653+1)-F1653/INDEX(Surface_Engine!$B$12:$B$72,$A1653+1))))*(MAX(IF(D1653&lt;=0,0,MAX(0,(B1653/D1653)*H1653/INDEX(Surface_Engine!$B$12:$B$72,$A1653+1)-F1653/INDEX(Surface_Engine!$B$12:$B$72,$A1653+1))),IF(E1653&lt;=0,0,MAX(0,(B1653/E1653)*I1653/INDEX(Surface_Engine!$B$12:$B$72,$A1653+1)-F1653/INDEX(Surface_Engine!$B$12:$B$72,$A1653+1))),IF($A1653&lt;$Q$1644,MAX(0,-Assumptions!$B$22*(F1653/INDEX(Surface_Engine!$B$12:$B$72,$A1653+1))),0)))+2*Assumptions!$B$27*(IF(C1653&lt;=0,0,MAX(0,(B1653/C1653)*G1653/INDEX(Surface_Engine!$B$12:$B$72,$A1653+1)-F1653/INDEX(Surface_Engine!$B$12:$B$72,$A1653+1))))*(MAX(0,J1653/INDEX(Surface_Engine!$B$12:$B$72,$A1653+1)-(F1653/INDEX(Surface_Engine!$B$12:$B$72,$A1653+1))))+2*Assumptions!$B$28*(MAX(IF(D1653&lt;=0,0,MAX(0,(B1653/D1653)*H1653/INDEX(Surface_Engine!$B$12:$B$72,$A1653+1)-F1653/INDEX(Surface_Engine!$B$12:$B$72,$A1653+1))),IF(E1653&lt;=0,0,MAX(0,(B1653/E1653)*I1653/INDEX(Surface_Engine!$B$12:$B$72,$A1653+1)-F1653/INDEX(Surface_Engine!$B$12:$B$72,$A1653+1))),IF($A1653&lt;$Q$1644,MAX(0,-Assumptions!$B$22*(F1653/INDEX(Surface_Engine!$B$12:$B$72,$A1653+1))),0)))*(MAX(0,J1653/INDEX(Surface_Engine!$B$12:$B$72,$A1653+1)-(F1653/INDEX(Surface_Engine!$B$12:$B$72,$A1653+1)))))</f>
        <v>6688.02712600816</v>
      </c>
      <c r="L1653" s="48" t="n">
        <f aca="false">K1653*INDEX(Surface_Engine!$B$12:$B$72,$A1653+1)+L1654</f>
        <v>54592.7737849938</v>
      </c>
      <c r="M1653" s="48" t="n">
        <f aca="false">M1652+B1652*(IF($A1652&lt;$Q$1644,(Surface_Engine!Q251*12)-(Surface_Engine!Q251*12)*INDEX(Surface_Engine!$F$12:$F$72,$A1652+1)-INDEX(Surface_Engine!$D$12:$D$72,$A1652+1),-(1000*12*INDEX(Surface_Engine!$C$12:$C$72,$A1652+1)/(1+Assumptions!$B$10)^15+INDEX(Surface_Engine!$D$12:$D$72,$A1652+1))))*INDEX(Surface_Engine!$B$12:$B$72,$A1652+1)</f>
        <v>10957.6042560722</v>
      </c>
      <c r="N1653" s="12" t="n">
        <f aca="false">IF(B1653&lt;=0,0,MAX(0,(K1653+Assumptions!$B$29*L1653/INDEX(Surface_Engine!$B$12:$B$72,$A1653+1)-(M1653/INDEX(Surface_Engine!$B$12:$B$72,$A1653+1)-(F1653/INDEX(Surface_Engine!$B$12:$B$72,$A1653+1))))/B1653))</f>
        <v>13218.5366141108</v>
      </c>
    </row>
    <row r="1654" customFormat="false" ht="15" hidden="false" customHeight="true" outlineLevel="0" collapsed="false">
      <c r="A1654" s="1" t="n">
        <v>8</v>
      </c>
      <c r="B1654" s="32" t="n">
        <f aca="false">INDEX(Surface_Engine!$V$12:$V$72,$A1654+1)*IF($A1654&lt;$Q$1644,INDEX(Surface_Engine!$E$12:$E$72,$A1654+1),INDEX(Surface_Engine!$E$12:$E$72,$Q$1644+1))</f>
        <v>0.704282549469631</v>
      </c>
      <c r="C1654" s="32" t="n">
        <f aca="false">INDEX(Panel_Reserving!$H$8:$H$68,$A1654+1)*IF($A1654&lt;$Q$1644,INDEX(Surface_Engine!$E$12:$E$72,$A1654+1),INDEX(Surface_Engine!$E$12:$E$72,$Q$1644+1))</f>
        <v>0.736287864003074</v>
      </c>
      <c r="D1654" s="32" t="n">
        <f aca="false">INDEX(Surface_Engine!$V$12:$V$72,$A1654+1)*IF($A1654&lt;$Q$1644,INDEX(Surface_Engine!$Y$12:$Y$72,$A1654+1),INDEX(Surface_Engine!$Y$12:$Y$72,$Q$1644+1))</f>
        <v>0.658883308138675</v>
      </c>
      <c r="E1654" s="32" t="n">
        <f aca="false">INDEX(Surface_Engine!$V$12:$V$72,$A1654+1)*IF($A1654&lt;$Q$1644,INDEX(Surface_Engine!$Z$12:$Z$72,$A1654+1),INDEX(Surface_Engine!$Z$12:$Z$72,$Q$1644+1))</f>
        <v>0.752230251166593</v>
      </c>
      <c r="F1654" s="48" t="n">
        <f aca="false">B1654*(IF($A1654&lt;$Q$1644,INDEX(Surface_Engine!$D$12:$D$72,$A1654+1)+(Surface_Engine!Q251*12)*INDEX(Surface_Engine!$F$12:$F$72,$A1654+1)-(Surface_Engine!Q251*12),1000*12*INDEX(Surface_Engine!$C$12:$C$72,$A1654+1)/(1+Assumptions!$B$10)^15+INDEX(Surface_Engine!$D$12:$D$72,$A1654+1)))*INDEX(Surface_Engine!$B$12:$B$72,$A1654+1)+F1655</f>
        <v>11671.3975659226</v>
      </c>
      <c r="G1654" s="48" t="n">
        <f aca="false">C1654*(IF($A1654&lt;$Q$1644,INDEX(Surface_Engine!$D$12:$D$72,$A1654+1)+(Surface_Engine!Q251*12)*INDEX(Surface_Engine!$F$12:$F$72,$A1654+1)-(Surface_Engine!Q251*12),1000*12*INDEX(Surface_Engine!$C$12:$C$72,$A1654+1)/(1+Assumptions!$B$10)^15+INDEX(Surface_Engine!$D$12:$D$72,$A1654+1)))*INDEX(Surface_Engine!$B$12:$B$72,$A1654+1)+G1655</f>
        <v>17639.3739159268</v>
      </c>
      <c r="H1654" s="48" t="n">
        <f aca="false">D1654*(IF($A1654&lt;$Q$1644,INDEX(Surface_Engine!$D$12:$D$72,$A1654+1)+(Surface_Engine!Q251*12)*INDEX(Surface_Engine!$F$12:$F$72,$A1654+1)-(Surface_Engine!Q251*12),1000*12*INDEX(Surface_Engine!$C$12:$C$72,$A1654+1)/(1+Assumptions!$B$10)^15+INDEX(Surface_Engine!$D$12:$D$72,$A1654+1)))*INDEX(Surface_Engine!$B$12:$B$72,$A1654+1)+H1655</f>
        <v>10442.7472091593</v>
      </c>
      <c r="I1654" s="48" t="n">
        <f aca="false">E1654*(IF($A1654&lt;$Q$1644,INDEX(Surface_Engine!$D$12:$D$72,$A1654+1)+(Surface_Engine!Q251*12)*INDEX(Surface_Engine!$F$12:$F$72,$A1654+1)-(Surface_Engine!Q251*12),1000*12*INDEX(Surface_Engine!$C$12:$C$72,$A1654+1)/(1+Assumptions!$B$10)^15+INDEX(Surface_Engine!$D$12:$D$72,$A1654+1)))*INDEX(Surface_Engine!$B$12:$B$72,$A1654+1)+I1655</f>
        <v>13026.1524590816</v>
      </c>
      <c r="J1654" s="48" t="n">
        <f aca="false">B1654*(IF($A1654&lt;$Q$1644,INDEX(Surface_Engine!$D$12:$D$72,$A1654+1)*(1+Assumptions!$B$24)+(Surface_Engine!Q251*12)*INDEX(Surface_Engine!$F$12:$F$72,$A1654+1)-(Surface_Engine!Q251*12),1000*12*INDEX(Surface_Engine!$C$12:$C$72,$A1654+1)/(1+Assumptions!$B$10)^15+INDEX(Surface_Engine!$D$12:$D$72,$A1654+1)*(1+Assumptions!$B$24)))*INDEX(Surface_Engine!$B$12:$B$72,$A1654+1)+J1655</f>
        <v>11721.9723289883</v>
      </c>
      <c r="K1654" s="12" t="n">
        <f aca="false">SQRT((IF(C1654&lt;=0,0,MAX(0,(B1654/C1654)*G1654/INDEX(Surface_Engine!$B$12:$B$72,$A1654+1)-F1654/INDEX(Surface_Engine!$B$12:$B$72,$A1654+1))))^2+(MAX(IF(D1654&lt;=0,0,MAX(0,(B1654/D1654)*H1654/INDEX(Surface_Engine!$B$12:$B$72,$A1654+1)-F1654/INDEX(Surface_Engine!$B$12:$B$72,$A1654+1))),IF(E1654&lt;=0,0,MAX(0,(B1654/E1654)*I1654/INDEX(Surface_Engine!$B$12:$B$72,$A1654+1)-F1654/INDEX(Surface_Engine!$B$12:$B$72,$A1654+1))),IF($A1654&lt;$Q$1644,MAX(0,-Assumptions!$B$22*(F1654/INDEX(Surface_Engine!$B$12:$B$72,$A1654+1))),0)))^2+(MAX(0,J1654/INDEX(Surface_Engine!$B$12:$B$72,$A1654+1)-(F1654/INDEX(Surface_Engine!$B$12:$B$72,$A1654+1))))^2+2*Assumptions!$B$26*(IF(C1654&lt;=0,0,MAX(0,(B1654/C1654)*G1654/INDEX(Surface_Engine!$B$12:$B$72,$A1654+1)-F1654/INDEX(Surface_Engine!$B$12:$B$72,$A1654+1))))*(MAX(IF(D1654&lt;=0,0,MAX(0,(B1654/D1654)*H1654/INDEX(Surface_Engine!$B$12:$B$72,$A1654+1)-F1654/INDEX(Surface_Engine!$B$12:$B$72,$A1654+1))),IF(E1654&lt;=0,0,MAX(0,(B1654/E1654)*I1654/INDEX(Surface_Engine!$B$12:$B$72,$A1654+1)-F1654/INDEX(Surface_Engine!$B$12:$B$72,$A1654+1))),IF($A1654&lt;$Q$1644,MAX(0,-Assumptions!$B$22*(F1654/INDEX(Surface_Engine!$B$12:$B$72,$A1654+1))),0)))+2*Assumptions!$B$27*(IF(C1654&lt;=0,0,MAX(0,(B1654/C1654)*G1654/INDEX(Surface_Engine!$B$12:$B$72,$A1654+1)-F1654/INDEX(Surface_Engine!$B$12:$B$72,$A1654+1))))*(MAX(0,J1654/INDEX(Surface_Engine!$B$12:$B$72,$A1654+1)-(F1654/INDEX(Surface_Engine!$B$12:$B$72,$A1654+1))))+2*Assumptions!$B$28*(MAX(IF(D1654&lt;=0,0,MAX(0,(B1654/D1654)*H1654/INDEX(Surface_Engine!$B$12:$B$72,$A1654+1)-F1654/INDEX(Surface_Engine!$B$12:$B$72,$A1654+1))),IF(E1654&lt;=0,0,MAX(0,(B1654/E1654)*I1654/INDEX(Surface_Engine!$B$12:$B$72,$A1654+1)-F1654/INDEX(Surface_Engine!$B$12:$B$72,$A1654+1))),IF($A1654&lt;$Q$1644,MAX(0,-Assumptions!$B$22*(F1654/INDEX(Surface_Engine!$B$12:$B$72,$A1654+1))),0)))*(MAX(0,J1654/INDEX(Surface_Engine!$B$12:$B$72,$A1654+1)-(F1654/INDEX(Surface_Engine!$B$12:$B$72,$A1654+1)))))</f>
        <v>6698.34093031762</v>
      </c>
      <c r="L1654" s="48" t="n">
        <f aca="false">K1654*INDEX(Surface_Engine!$B$12:$B$72,$A1654+1)+L1655</f>
        <v>49061.4992803704</v>
      </c>
      <c r="M1654" s="48" t="n">
        <f aca="false">M1653+B1653*(IF($A1653&lt;$Q$1644,(Surface_Engine!Q251*12)-(Surface_Engine!Q251*12)*INDEX(Surface_Engine!$F$12:$F$72,$A1653+1)-INDEX(Surface_Engine!$D$12:$D$72,$A1653+1),-(1000*12*INDEX(Surface_Engine!$C$12:$C$72,$A1653+1)/(1+Assumptions!$B$10)^15+INDEX(Surface_Engine!$D$12:$D$72,$A1653+1))))*INDEX(Surface_Engine!$B$12:$B$72,$A1653+1)</f>
        <v>12387.3817783853</v>
      </c>
      <c r="N1654" s="12" t="n">
        <f aca="false">IF(B1654&lt;=0,0,MAX(0,(K1654+Assumptions!$B$29*L1654/INDEX(Surface_Engine!$B$12:$B$72,$A1654+1)-(M1654/INDEX(Surface_Engine!$B$12:$B$72,$A1654+1)-(F1654/INDEX(Surface_Engine!$B$12:$B$72,$A1654+1))))/B1654))</f>
        <v>13455.3376660724</v>
      </c>
    </row>
    <row r="1655" customFormat="false" ht="15" hidden="false" customHeight="true" outlineLevel="0" collapsed="false">
      <c r="A1655" s="1" t="n">
        <v>9</v>
      </c>
      <c r="B1655" s="32" t="n">
        <f aca="false">INDEX(Surface_Engine!$V$12:$V$72,$A1655+1)*IF($A1655&lt;$Q$1644,INDEX(Surface_Engine!$E$12:$E$72,$A1655+1),INDEX(Surface_Engine!$E$12:$E$72,$Q$1644+1))</f>
        <v>0.666825119260145</v>
      </c>
      <c r="C1655" s="32" t="n">
        <f aca="false">INDEX(Panel_Reserving!$H$8:$H$68,$A1655+1)*IF($A1655&lt;$Q$1644,INDEX(Surface_Engine!$E$12:$E$72,$A1655+1),INDEX(Surface_Engine!$E$12:$E$72,$Q$1644+1))</f>
        <v>0.703620107881043</v>
      </c>
      <c r="D1655" s="32" t="n">
        <f aca="false">INDEX(Surface_Engine!$V$12:$V$72,$A1655+1)*IF($A1655&lt;$Q$1644,INDEX(Surface_Engine!$Y$12:$Y$72,$A1655+1),INDEX(Surface_Engine!$Y$12:$Y$72,$Q$1644+1))</f>
        <v>0.620975905714194</v>
      </c>
      <c r="E1655" s="32" t="n">
        <f aca="false">INDEX(Surface_Engine!$V$12:$V$72,$A1655+1)*IF($A1655&lt;$Q$1644,INDEX(Surface_Engine!$Z$12:$Z$72,$A1655+1),INDEX(Surface_Engine!$Z$12:$Z$72,$Q$1644+1))</f>
        <v>0.715493085095502</v>
      </c>
      <c r="F1655" s="48" t="n">
        <f aca="false">B1655*(IF($A1655&lt;$Q$1644,INDEX(Surface_Engine!$D$12:$D$72,$A1655+1)+(Surface_Engine!Q251*12)*INDEX(Surface_Engine!$F$12:$F$72,$A1655+1)-(Surface_Engine!Q251*12),1000*12*INDEX(Surface_Engine!$C$12:$C$72,$A1655+1)/(1+Assumptions!$B$10)^15+INDEX(Surface_Engine!$D$12:$D$72,$A1655+1)))*INDEX(Surface_Engine!$B$12:$B$72,$A1655+1)+F1656</f>
        <v>12989.2708389611</v>
      </c>
      <c r="G1655" s="48" t="n">
        <f aca="false">C1655*(IF($A1655&lt;$Q$1644,INDEX(Surface_Engine!$D$12:$D$72,$A1655+1)+(Surface_Engine!Q251*12)*INDEX(Surface_Engine!$F$12:$F$72,$A1655+1)-(Surface_Engine!Q251*12),1000*12*INDEX(Surface_Engine!$C$12:$C$72,$A1655+1)/(1+Assumptions!$B$10)^15+INDEX(Surface_Engine!$D$12:$D$72,$A1655+1)))*INDEX(Surface_Engine!$B$12:$B$72,$A1655+1)+G1656</f>
        <v>19017.1364317849</v>
      </c>
      <c r="H1655" s="48" t="n">
        <f aca="false">D1655*(IF($A1655&lt;$Q$1644,INDEX(Surface_Engine!$D$12:$D$72,$A1655+1)+(Surface_Engine!Q251*12)*INDEX(Surface_Engine!$F$12:$F$72,$A1655+1)-(Surface_Engine!Q251*12),1000*12*INDEX(Surface_Engine!$C$12:$C$72,$A1655+1)/(1+Assumptions!$B$10)^15+INDEX(Surface_Engine!$D$12:$D$72,$A1655+1)))*INDEX(Surface_Engine!$B$12:$B$72,$A1655+1)+H1656</f>
        <v>11675.6681476393</v>
      </c>
      <c r="I1655" s="48" t="n">
        <f aca="false">E1655*(IF($A1655&lt;$Q$1644,INDEX(Surface_Engine!$D$12:$D$72,$A1655+1)+(Surface_Engine!Q251*12)*INDEX(Surface_Engine!$F$12:$F$72,$A1655+1)-(Surface_Engine!Q251*12),1000*12*INDEX(Surface_Engine!$C$12:$C$72,$A1655+1)/(1+Assumptions!$B$10)^15+INDEX(Surface_Engine!$D$12:$D$72,$A1655+1)))*INDEX(Surface_Engine!$B$12:$B$72,$A1655+1)+I1656</f>
        <v>14433.746817241</v>
      </c>
      <c r="J1655" s="48" t="n">
        <f aca="false">B1655*(IF($A1655&lt;$Q$1644,INDEX(Surface_Engine!$D$12:$D$72,$A1655+1)*(1+Assumptions!$B$24)+(Surface_Engine!Q251*12)*INDEX(Surface_Engine!$F$12:$F$72,$A1655+1)-(Surface_Engine!Q251*12),1000*12*INDEX(Surface_Engine!$C$12:$C$72,$A1655+1)/(1+Assumptions!$B$10)^15+INDEX(Surface_Engine!$D$12:$D$72,$A1655+1)*(1+Assumptions!$B$24)))*INDEX(Surface_Engine!$B$12:$B$72,$A1655+1)+J1656</f>
        <v>13034.2030654753</v>
      </c>
      <c r="K1655" s="12" t="n">
        <f aca="false">SQRT((IF(C1655&lt;=0,0,MAX(0,(B1655/C1655)*G1655/INDEX(Surface_Engine!$B$12:$B$72,$A1655+1)-F1655/INDEX(Surface_Engine!$B$12:$B$72,$A1655+1))))^2+(MAX(IF(D1655&lt;=0,0,MAX(0,(B1655/D1655)*H1655/INDEX(Surface_Engine!$B$12:$B$72,$A1655+1)-F1655/INDEX(Surface_Engine!$B$12:$B$72,$A1655+1))),IF(E1655&lt;=0,0,MAX(0,(B1655/E1655)*I1655/INDEX(Surface_Engine!$B$12:$B$72,$A1655+1)-F1655/INDEX(Surface_Engine!$B$12:$B$72,$A1655+1))),IF($A1655&lt;$Q$1644,MAX(0,-Assumptions!$B$22*(F1655/INDEX(Surface_Engine!$B$12:$B$72,$A1655+1))),0)))^2+(MAX(0,J1655/INDEX(Surface_Engine!$B$12:$B$72,$A1655+1)-(F1655/INDEX(Surface_Engine!$B$12:$B$72,$A1655+1))))^2+2*Assumptions!$B$26*(IF(C1655&lt;=0,0,MAX(0,(B1655/C1655)*G1655/INDEX(Surface_Engine!$B$12:$B$72,$A1655+1)-F1655/INDEX(Surface_Engine!$B$12:$B$72,$A1655+1))))*(MAX(IF(D1655&lt;=0,0,MAX(0,(B1655/D1655)*H1655/INDEX(Surface_Engine!$B$12:$B$72,$A1655+1)-F1655/INDEX(Surface_Engine!$B$12:$B$72,$A1655+1))),IF(E1655&lt;=0,0,MAX(0,(B1655/E1655)*I1655/INDEX(Surface_Engine!$B$12:$B$72,$A1655+1)-F1655/INDEX(Surface_Engine!$B$12:$B$72,$A1655+1))),IF($A1655&lt;$Q$1644,MAX(0,-Assumptions!$B$22*(F1655/INDEX(Surface_Engine!$B$12:$B$72,$A1655+1))),0)))+2*Assumptions!$B$27*(IF(C1655&lt;=0,0,MAX(0,(B1655/C1655)*G1655/INDEX(Surface_Engine!$B$12:$B$72,$A1655+1)-F1655/INDEX(Surface_Engine!$B$12:$B$72,$A1655+1))))*(MAX(0,J1655/INDEX(Surface_Engine!$B$12:$B$72,$A1655+1)-(F1655/INDEX(Surface_Engine!$B$12:$B$72,$A1655+1))))+2*Assumptions!$B$28*(MAX(IF(D1655&lt;=0,0,MAX(0,(B1655/D1655)*H1655/INDEX(Surface_Engine!$B$12:$B$72,$A1655+1)-F1655/INDEX(Surface_Engine!$B$12:$B$72,$A1655+1))),IF(E1655&lt;=0,0,MAX(0,(B1655/E1655)*I1655/INDEX(Surface_Engine!$B$12:$B$72,$A1655+1)-F1655/INDEX(Surface_Engine!$B$12:$B$72,$A1655+1))),IF($A1655&lt;$Q$1644,MAX(0,-Assumptions!$B$22*(F1655/INDEX(Surface_Engine!$B$12:$B$72,$A1655+1))),0)))*(MAX(0,J1655/INDEX(Surface_Engine!$B$12:$B$72,$A1655+1)-(F1655/INDEX(Surface_Engine!$B$12:$B$72,$A1655+1)))))</f>
        <v>6671.01568629631</v>
      </c>
      <c r="L1655" s="48" t="n">
        <f aca="false">K1655*INDEX(Surface_Engine!$B$12:$B$72,$A1655+1)+L1656</f>
        <v>43690.0692085627</v>
      </c>
      <c r="M1655" s="48" t="n">
        <f aca="false">M1654+B1654*(IF($A1654&lt;$Q$1644,(Surface_Engine!Q251*12)-(Surface_Engine!Q251*12)*INDEX(Surface_Engine!$F$12:$F$72,$A1654+1)-INDEX(Surface_Engine!$D$12:$D$72,$A1654+1),-(1000*12*INDEX(Surface_Engine!$C$12:$C$72,$A1654+1)/(1+Assumptions!$B$10)^15+INDEX(Surface_Engine!$D$12:$D$72,$A1654+1))))*INDEX(Surface_Engine!$B$12:$B$72,$A1654+1)</f>
        <v>13705.2550514239</v>
      </c>
      <c r="N1655" s="12" t="n">
        <f aca="false">IF(B1655&lt;=0,0,MAX(0,(K1655+Assumptions!$B$29*L1655/INDEX(Surface_Engine!$B$12:$B$72,$A1655+1)-(M1655/INDEX(Surface_Engine!$B$12:$B$72,$A1655+1)-(F1655/INDEX(Surface_Engine!$B$12:$B$72,$A1655+1))))/B1655))</f>
        <v>13682.9222830733</v>
      </c>
    </row>
    <row r="1656" customFormat="false" ht="15" hidden="false" customHeight="true" outlineLevel="0" collapsed="false">
      <c r="A1656" s="1" t="n">
        <v>10</v>
      </c>
      <c r="B1656" s="32" t="n">
        <f aca="false">INDEX(Surface_Engine!$V$12:$V$72,$A1656+1)*IF($A1656&lt;$Q$1644,INDEX(Surface_Engine!$E$12:$E$72,$A1656+1),INDEX(Surface_Engine!$E$12:$E$72,$Q$1644+1))</f>
        <v>0.627780585628611</v>
      </c>
      <c r="C1656" s="32" t="n">
        <f aca="false">INDEX(Panel_Reserving!$H$8:$H$68,$A1656+1)*IF($A1656&lt;$Q$1644,INDEX(Surface_Engine!$E$12:$E$72,$A1656+1),INDEX(Surface_Engine!$E$12:$E$72,$Q$1644+1))</f>
        <v>0.669380330228995</v>
      </c>
      <c r="D1656" s="32" t="n">
        <f aca="false">INDEX(Surface_Engine!$V$12:$V$72,$A1656+1)*IF($A1656&lt;$Q$1644,INDEX(Surface_Engine!$Y$12:$Y$72,$A1656+1),INDEX(Surface_Engine!$Y$12:$Y$72,$Q$1644+1))</f>
        <v>0.581931544737584</v>
      </c>
      <c r="E1656" s="32" t="n">
        <f aca="false">INDEX(Surface_Engine!$V$12:$V$72,$A1656+1)*IF($A1656&lt;$Q$1644,INDEX(Surface_Engine!$Z$12:$Z$72,$A1656+1),INDEX(Surface_Engine!$Z$12:$Z$72,$Q$1644+1))</f>
        <v>0.676691923220773</v>
      </c>
      <c r="F1656" s="48" t="n">
        <f aca="false">B1656*(IF($A1656&lt;$Q$1644,INDEX(Surface_Engine!$D$12:$D$72,$A1656+1)+(Surface_Engine!Q251*12)*INDEX(Surface_Engine!$F$12:$F$72,$A1656+1)-(Surface_Engine!Q251*12),1000*12*INDEX(Surface_Engine!$C$12:$C$72,$A1656+1)/(1+Assumptions!$B$10)^15+INDEX(Surface_Engine!$D$12:$D$72,$A1656+1)))*INDEX(Surface_Engine!$B$12:$B$72,$A1656+1)+F1657</f>
        <v>14196.6015048643</v>
      </c>
      <c r="G1656" s="48" t="n">
        <f aca="false">C1656*(IF($A1656&lt;$Q$1644,INDEX(Surface_Engine!$D$12:$D$72,$A1656+1)+(Surface_Engine!Q251*12)*INDEX(Surface_Engine!$F$12:$F$72,$A1656+1)-(Surface_Engine!Q251*12),1000*12*INDEX(Surface_Engine!$C$12:$C$72,$A1656+1)/(1+Assumptions!$B$10)^15+INDEX(Surface_Engine!$D$12:$D$72,$A1656+1)))*INDEX(Surface_Engine!$B$12:$B$72,$A1656+1)+G1657</f>
        <v>20291.0868407518</v>
      </c>
      <c r="H1656" s="48" t="n">
        <f aca="false">D1656*(IF($A1656&lt;$Q$1644,INDEX(Surface_Engine!$D$12:$D$72,$A1656+1)+(Surface_Engine!Q251*12)*INDEX(Surface_Engine!$F$12:$F$72,$A1656+1)-(Surface_Engine!Q251*12),1000*12*INDEX(Surface_Engine!$C$12:$C$72,$A1656+1)/(1+Assumptions!$B$10)^15+INDEX(Surface_Engine!$D$12:$D$72,$A1656+1)))*INDEX(Surface_Engine!$B$12:$B$72,$A1656+1)+H1657</f>
        <v>12799.9858017007</v>
      </c>
      <c r="I1656" s="48" t="n">
        <f aca="false">E1656*(IF($A1656&lt;$Q$1644,INDEX(Surface_Engine!$D$12:$D$72,$A1656+1)+(Surface_Engine!Q251*12)*INDEX(Surface_Engine!$F$12:$F$72,$A1656+1)-(Surface_Engine!Q251*12),1000*12*INDEX(Surface_Engine!$C$12:$C$72,$A1656+1)/(1+Assumptions!$B$10)^15+INDEX(Surface_Engine!$D$12:$D$72,$A1656+1)))*INDEX(Surface_Engine!$B$12:$B$72,$A1656+1)+I1657</f>
        <v>15729.194031101</v>
      </c>
      <c r="J1656" s="48" t="n">
        <f aca="false">B1656*(IF($A1656&lt;$Q$1644,INDEX(Surface_Engine!$D$12:$D$72,$A1656+1)*(1+Assumptions!$B$24)+(Surface_Engine!Q251*12)*INDEX(Surface_Engine!$F$12:$F$72,$A1656+1)-(Surface_Engine!Q251*12),1000*12*INDEX(Surface_Engine!$C$12:$C$72,$A1656+1)/(1+Assumptions!$B$10)^15+INDEX(Surface_Engine!$D$12:$D$72,$A1656+1)*(1+Assumptions!$B$24)))*INDEX(Surface_Engine!$B$12:$B$72,$A1656+1)+J1657</f>
        <v>14236.2295796378</v>
      </c>
      <c r="K1656" s="12" t="n">
        <f aca="false">SQRT((IF(C1656&lt;=0,0,MAX(0,(B1656/C1656)*G1656/INDEX(Surface_Engine!$B$12:$B$72,$A1656+1)-F1656/INDEX(Surface_Engine!$B$12:$B$72,$A1656+1))))^2+(MAX(IF(D1656&lt;=0,0,MAX(0,(B1656/D1656)*H1656/INDEX(Surface_Engine!$B$12:$B$72,$A1656+1)-F1656/INDEX(Surface_Engine!$B$12:$B$72,$A1656+1))),IF(E1656&lt;=0,0,MAX(0,(B1656/E1656)*I1656/INDEX(Surface_Engine!$B$12:$B$72,$A1656+1)-F1656/INDEX(Surface_Engine!$B$12:$B$72,$A1656+1))),IF($A1656&lt;$Q$1644,MAX(0,-Assumptions!$B$22*(F1656/INDEX(Surface_Engine!$B$12:$B$72,$A1656+1))),0)))^2+(MAX(0,J1656/INDEX(Surface_Engine!$B$12:$B$72,$A1656+1)-(F1656/INDEX(Surface_Engine!$B$12:$B$72,$A1656+1))))^2+2*Assumptions!$B$26*(IF(C1656&lt;=0,0,MAX(0,(B1656/C1656)*G1656/INDEX(Surface_Engine!$B$12:$B$72,$A1656+1)-F1656/INDEX(Surface_Engine!$B$12:$B$72,$A1656+1))))*(MAX(IF(D1656&lt;=0,0,MAX(0,(B1656/D1656)*H1656/INDEX(Surface_Engine!$B$12:$B$72,$A1656+1)-F1656/INDEX(Surface_Engine!$B$12:$B$72,$A1656+1))),IF(E1656&lt;=0,0,MAX(0,(B1656/E1656)*I1656/INDEX(Surface_Engine!$B$12:$B$72,$A1656+1)-F1656/INDEX(Surface_Engine!$B$12:$B$72,$A1656+1))),IF($A1656&lt;$Q$1644,MAX(0,-Assumptions!$B$22*(F1656/INDEX(Surface_Engine!$B$12:$B$72,$A1656+1))),0)))+2*Assumptions!$B$27*(IF(C1656&lt;=0,0,MAX(0,(B1656/C1656)*G1656/INDEX(Surface_Engine!$B$12:$B$72,$A1656+1)-F1656/INDEX(Surface_Engine!$B$12:$B$72,$A1656+1))))*(MAX(0,J1656/INDEX(Surface_Engine!$B$12:$B$72,$A1656+1)-(F1656/INDEX(Surface_Engine!$B$12:$B$72,$A1656+1))))+2*Assumptions!$B$28*(MAX(IF(D1656&lt;=0,0,MAX(0,(B1656/D1656)*H1656/INDEX(Surface_Engine!$B$12:$B$72,$A1656+1)-F1656/INDEX(Surface_Engine!$B$12:$B$72,$A1656+1))),IF(E1656&lt;=0,0,MAX(0,(B1656/E1656)*I1656/INDEX(Surface_Engine!$B$12:$B$72,$A1656+1)-F1656/INDEX(Surface_Engine!$B$12:$B$72,$A1656+1))),IF($A1656&lt;$Q$1644,MAX(0,-Assumptions!$B$22*(F1656/INDEX(Surface_Engine!$B$12:$B$72,$A1656+1))),0)))*(MAX(0,J1656/INDEX(Surface_Engine!$B$12:$B$72,$A1656+1)-(F1656/INDEX(Surface_Engine!$B$12:$B$72,$A1656+1)))))</f>
        <v>6606.652208385</v>
      </c>
      <c r="L1656" s="48" t="n">
        <f aca="false">K1656*INDEX(Surface_Engine!$B$12:$B$72,$A1656+1)+L1657</f>
        <v>38508.4283394883</v>
      </c>
      <c r="M1656" s="48" t="n">
        <f aca="false">M1655+B1655*(IF($A1655&lt;$Q$1644,(Surface_Engine!Q251*12)-(Surface_Engine!Q251*12)*INDEX(Surface_Engine!$F$12:$F$72,$A1655+1)-INDEX(Surface_Engine!$D$12:$D$72,$A1655+1),-(1000*12*INDEX(Surface_Engine!$C$12:$C$72,$A1655+1)/(1+Assumptions!$B$10)^15+INDEX(Surface_Engine!$D$12:$D$72,$A1655+1))))*INDEX(Surface_Engine!$B$12:$B$72,$A1655+1)</f>
        <v>14912.585717327</v>
      </c>
      <c r="N1656" s="12" t="n">
        <f aca="false">IF(B1656&lt;=0,0,MAX(0,(K1656+Assumptions!$B$29*L1656/INDEX(Surface_Engine!$B$12:$B$72,$A1656+1)-(M1656/INDEX(Surface_Engine!$B$12:$B$72,$A1656+1)-(F1656/INDEX(Surface_Engine!$B$12:$B$72,$A1656+1))))/B1656))</f>
        <v>13907.9025928056</v>
      </c>
    </row>
    <row r="1657" customFormat="false" ht="15" hidden="false" customHeight="true" outlineLevel="0" collapsed="false">
      <c r="A1657" s="1" t="n">
        <v>11</v>
      </c>
      <c r="B1657" s="32" t="n">
        <f aca="false">INDEX(Surface_Engine!$V$12:$V$72,$A1657+1)*IF($A1657&lt;$Q$1644,INDEX(Surface_Engine!$E$12:$E$72,$A1657+1),INDEX(Surface_Engine!$E$12:$E$72,$Q$1644+1))</f>
        <v>0.58612389569072</v>
      </c>
      <c r="C1657" s="32" t="n">
        <f aca="false">INDEX(Panel_Reserving!$H$8:$H$68,$A1657+1)*IF($A1657&lt;$Q$1644,INDEX(Surface_Engine!$E$12:$E$72,$A1657+1),INDEX(Surface_Engine!$E$12:$E$72,$Q$1644+1))</f>
        <v>0.632628408845182</v>
      </c>
      <c r="D1657" s="32" t="n">
        <f aca="false">INDEX(Surface_Engine!$V$12:$V$72,$A1657+1)*IF($A1657&lt;$Q$1644,INDEX(Surface_Engine!$Y$12:$Y$72,$A1657+1),INDEX(Surface_Engine!$Y$12:$Y$72,$Q$1644+1))</f>
        <v>0.540822394629379</v>
      </c>
      <c r="E1657" s="32" t="n">
        <f aca="false">INDEX(Surface_Engine!$V$12:$V$72,$A1657+1)*IF($A1657&lt;$Q$1644,INDEX(Surface_Engine!$Z$12:$Z$72,$A1657+1),INDEX(Surface_Engine!$Z$12:$Z$72,$Q$1644+1))</f>
        <v>0.634690739999264</v>
      </c>
      <c r="F1657" s="48" t="n">
        <f aca="false">B1657*(IF($A1657&lt;$Q$1644,INDEX(Surface_Engine!$D$12:$D$72,$A1657+1)+(Surface_Engine!Q251*12)*INDEX(Surface_Engine!$F$12:$F$72,$A1657+1)-(Surface_Engine!Q251*12),1000*12*INDEX(Surface_Engine!$C$12:$C$72,$A1657+1)/(1+Assumptions!$B$10)^15+INDEX(Surface_Engine!$D$12:$D$72,$A1657+1)))*INDEX(Surface_Engine!$B$12:$B$72,$A1657+1)+F1658</f>
        <v>15293.7150402965</v>
      </c>
      <c r="G1657" s="48" t="n">
        <f aca="false">C1657*(IF($A1657&lt;$Q$1644,INDEX(Surface_Engine!$D$12:$D$72,$A1657+1)+(Surface_Engine!Q251*12)*INDEX(Surface_Engine!$F$12:$F$72,$A1657+1)-(Surface_Engine!Q251*12),1000*12*INDEX(Surface_Engine!$C$12:$C$72,$A1657+1)/(1+Assumptions!$B$10)^15+INDEX(Surface_Engine!$D$12:$D$72,$A1657+1)))*INDEX(Surface_Engine!$B$12:$B$72,$A1657+1)+G1658</f>
        <v>21460.9003670987</v>
      </c>
      <c r="H1657" s="48" t="n">
        <f aca="false">D1657*(IF($A1657&lt;$Q$1644,INDEX(Surface_Engine!$D$12:$D$72,$A1657+1)+(Surface_Engine!Q251*12)*INDEX(Surface_Engine!$F$12:$F$72,$A1657+1)-(Surface_Engine!Q251*12),1000*12*INDEX(Surface_Engine!$C$12:$C$72,$A1657+1)/(1+Assumptions!$B$10)^15+INDEX(Surface_Engine!$D$12:$D$72,$A1657+1)))*INDEX(Surface_Engine!$B$12:$B$72,$A1657+1)+H1658</f>
        <v>13816.9732477003</v>
      </c>
      <c r="I1657" s="48" t="n">
        <f aca="false">E1657*(IF($A1657&lt;$Q$1644,INDEX(Surface_Engine!$D$12:$D$72,$A1657+1)+(Surface_Engine!Q251*12)*INDEX(Surface_Engine!$F$12:$F$72,$A1657+1)-(Surface_Engine!Q251*12),1000*12*INDEX(Surface_Engine!$C$12:$C$72,$A1657+1)/(1+Assumptions!$B$10)^15+INDEX(Surface_Engine!$D$12:$D$72,$A1657+1)))*INDEX(Surface_Engine!$B$12:$B$72,$A1657+1)+I1658</f>
        <v>16911.7853460901</v>
      </c>
      <c r="J1657" s="48" t="n">
        <f aca="false">B1657*(IF($A1657&lt;$Q$1644,INDEX(Surface_Engine!$D$12:$D$72,$A1657+1)*(1+Assumptions!$B$24)+(Surface_Engine!Q251*12)*INDEX(Surface_Engine!$F$12:$F$72,$A1657+1)-(Surface_Engine!Q251*12),1000*12*INDEX(Surface_Engine!$C$12:$C$72,$A1657+1)/(1+Assumptions!$B$10)^15+INDEX(Surface_Engine!$D$12:$D$72,$A1657+1)*(1+Assumptions!$B$24)))*INDEX(Surface_Engine!$B$12:$B$72,$A1657+1)+J1658</f>
        <v>15328.3972484066</v>
      </c>
      <c r="K1657" s="12" t="n">
        <f aca="false">SQRT((IF(C1657&lt;=0,0,MAX(0,(B1657/C1657)*G1657/INDEX(Surface_Engine!$B$12:$B$72,$A1657+1)-F1657/INDEX(Surface_Engine!$B$12:$B$72,$A1657+1))))^2+(MAX(IF(D1657&lt;=0,0,MAX(0,(B1657/D1657)*H1657/INDEX(Surface_Engine!$B$12:$B$72,$A1657+1)-F1657/INDEX(Surface_Engine!$B$12:$B$72,$A1657+1))),IF(E1657&lt;=0,0,MAX(0,(B1657/E1657)*I1657/INDEX(Surface_Engine!$B$12:$B$72,$A1657+1)-F1657/INDEX(Surface_Engine!$B$12:$B$72,$A1657+1))),IF($A1657&lt;$Q$1644,MAX(0,-Assumptions!$B$22*(F1657/INDEX(Surface_Engine!$B$12:$B$72,$A1657+1))),0)))^2+(MAX(0,J1657/INDEX(Surface_Engine!$B$12:$B$72,$A1657+1)-(F1657/INDEX(Surface_Engine!$B$12:$B$72,$A1657+1))))^2+2*Assumptions!$B$26*(IF(C1657&lt;=0,0,MAX(0,(B1657/C1657)*G1657/INDEX(Surface_Engine!$B$12:$B$72,$A1657+1)-F1657/INDEX(Surface_Engine!$B$12:$B$72,$A1657+1))))*(MAX(IF(D1657&lt;=0,0,MAX(0,(B1657/D1657)*H1657/INDEX(Surface_Engine!$B$12:$B$72,$A1657+1)-F1657/INDEX(Surface_Engine!$B$12:$B$72,$A1657+1))),IF(E1657&lt;=0,0,MAX(0,(B1657/E1657)*I1657/INDEX(Surface_Engine!$B$12:$B$72,$A1657+1)-F1657/INDEX(Surface_Engine!$B$12:$B$72,$A1657+1))),IF($A1657&lt;$Q$1644,MAX(0,-Assumptions!$B$22*(F1657/INDEX(Surface_Engine!$B$12:$B$72,$A1657+1))),0)))+2*Assumptions!$B$27*(IF(C1657&lt;=0,0,MAX(0,(B1657/C1657)*G1657/INDEX(Surface_Engine!$B$12:$B$72,$A1657+1)-F1657/INDEX(Surface_Engine!$B$12:$B$72,$A1657+1))))*(MAX(0,J1657/INDEX(Surface_Engine!$B$12:$B$72,$A1657+1)-(F1657/INDEX(Surface_Engine!$B$12:$B$72,$A1657+1))))+2*Assumptions!$B$28*(MAX(IF(D1657&lt;=0,0,MAX(0,(B1657/D1657)*H1657/INDEX(Surface_Engine!$B$12:$B$72,$A1657+1)-F1657/INDEX(Surface_Engine!$B$12:$B$72,$A1657+1))),IF(E1657&lt;=0,0,MAX(0,(B1657/E1657)*I1657/INDEX(Surface_Engine!$B$12:$B$72,$A1657+1)-F1657/INDEX(Surface_Engine!$B$12:$B$72,$A1657+1))),IF($A1657&lt;$Q$1644,MAX(0,-Assumptions!$B$22*(F1657/INDEX(Surface_Engine!$B$12:$B$72,$A1657+1))),0)))*(MAX(0,J1657/INDEX(Surface_Engine!$B$12:$B$72,$A1657+1)-(F1657/INDEX(Surface_Engine!$B$12:$B$72,$A1657+1)))))</f>
        <v>6452.54539322777</v>
      </c>
      <c r="L1657" s="48" t="n">
        <f aca="false">K1657*INDEX(Surface_Engine!$B$12:$B$72,$A1657+1)+L1658</f>
        <v>33549.7782645669</v>
      </c>
      <c r="M1657" s="48" t="n">
        <f aca="false">M1656+B1656*(IF($A1656&lt;$Q$1644,(Surface_Engine!Q251*12)-(Surface_Engine!Q251*12)*INDEX(Surface_Engine!$F$12:$F$72,$A1656+1)-INDEX(Surface_Engine!$D$12:$D$72,$A1656+1),-(1000*12*INDEX(Surface_Engine!$C$12:$C$72,$A1656+1)/(1+Assumptions!$B$10)^15+INDEX(Surface_Engine!$D$12:$D$72,$A1656+1))))*INDEX(Surface_Engine!$B$12:$B$72,$A1656+1)</f>
        <v>16009.6992527592</v>
      </c>
      <c r="N1657" s="12" t="n">
        <f aca="false">IF(B1657&lt;=0,0,MAX(0,(K1657+Assumptions!$B$29*L1657/INDEX(Surface_Engine!$B$12:$B$72,$A1657+1)-(M1657/INDEX(Surface_Engine!$B$12:$B$72,$A1657+1)-(F1657/INDEX(Surface_Engine!$B$12:$B$72,$A1657+1))))/B1657))</f>
        <v>14052.6944692713</v>
      </c>
    </row>
    <row r="1658" customFormat="false" ht="15" hidden="false" customHeight="true" outlineLevel="0" collapsed="false">
      <c r="A1658" s="1" t="n">
        <v>12</v>
      </c>
      <c r="B1658" s="32" t="n">
        <f aca="false">INDEX(Surface_Engine!$V$12:$V$72,$A1658+1)*IF($A1658&lt;$Q$1644,INDEX(Surface_Engine!$E$12:$E$72,$A1658+1),INDEX(Surface_Engine!$E$12:$E$72,$Q$1644+1))</f>
        <v>0.542957164060365</v>
      </c>
      <c r="C1658" s="32" t="n">
        <f aca="false">INDEX(Panel_Reserving!$H$8:$H$68,$A1658+1)*IF($A1658&lt;$Q$1644,INDEX(Surface_Engine!$E$12:$E$72,$A1658+1),INDEX(Surface_Engine!$E$12:$E$72,$Q$1644+1))</f>
        <v>0.594203676011816</v>
      </c>
      <c r="D1658" s="32" t="n">
        <f aca="false">INDEX(Surface_Engine!$V$12:$V$72,$A1658+1)*IF($A1658&lt;$Q$1644,INDEX(Surface_Engine!$Y$12:$Y$72,$A1658+1),INDEX(Surface_Engine!$Y$12:$Y$72,$Q$1644+1))</f>
        <v>0.498691570834841</v>
      </c>
      <c r="E1658" s="32" t="n">
        <f aca="false">INDEX(Surface_Engine!$V$12:$V$72,$A1658+1)*IF($A1658&lt;$Q$1644,INDEX(Surface_Engine!$Z$12:$Z$72,$A1658+1),INDEX(Surface_Engine!$Z$12:$Z$72,$Q$1644+1))</f>
        <v>0.590646894577496</v>
      </c>
      <c r="F1658" s="48" t="n">
        <f aca="false">B1658*(IF($A1658&lt;$Q$1644,INDEX(Surface_Engine!$D$12:$D$72,$A1658+1)+(Surface_Engine!Q251*12)*INDEX(Surface_Engine!$F$12:$F$72,$A1658+1)-(Surface_Engine!Q251*12),1000*12*INDEX(Surface_Engine!$C$12:$C$72,$A1658+1)/(1+Assumptions!$B$10)^15+INDEX(Surface_Engine!$D$12:$D$72,$A1658+1)))*INDEX(Surface_Engine!$B$12:$B$72,$A1658+1)+F1659</f>
        <v>16284.750418801</v>
      </c>
      <c r="G1658" s="48" t="n">
        <f aca="false">C1658*(IF($A1658&lt;$Q$1644,INDEX(Surface_Engine!$D$12:$D$72,$A1658+1)+(Surface_Engine!Q251*12)*INDEX(Surface_Engine!$F$12:$F$72,$A1658+1)-(Surface_Engine!Q251*12),1000*12*INDEX(Surface_Engine!$C$12:$C$72,$A1658+1)/(1+Assumptions!$B$10)^15+INDEX(Surface_Engine!$D$12:$D$72,$A1658+1)))*INDEX(Surface_Engine!$B$12:$B$72,$A1658+1)+G1659</f>
        <v>22530.5669328574</v>
      </c>
      <c r="H1658" s="48" t="n">
        <f aca="false">D1658*(IF($A1658&lt;$Q$1644,INDEX(Surface_Engine!$D$12:$D$72,$A1658+1)+(Surface_Engine!Q251*12)*INDEX(Surface_Engine!$F$12:$F$72,$A1658+1)-(Surface_Engine!Q251*12),1000*12*INDEX(Surface_Engine!$C$12:$C$72,$A1658+1)/(1+Assumptions!$B$10)^15+INDEX(Surface_Engine!$D$12:$D$72,$A1658+1)))*INDEX(Surface_Engine!$B$12:$B$72,$A1658+1)+H1659</f>
        <v>14731.4115268863</v>
      </c>
      <c r="I1658" s="48" t="n">
        <f aca="false">E1658*(IF($A1658&lt;$Q$1644,INDEX(Surface_Engine!$D$12:$D$72,$A1658+1)+(Surface_Engine!Q251*12)*INDEX(Surface_Engine!$F$12:$F$72,$A1658+1)-(Surface_Engine!Q251*12),1000*12*INDEX(Surface_Engine!$C$12:$C$72,$A1658+1)/(1+Assumptions!$B$10)^15+INDEX(Surface_Engine!$D$12:$D$72,$A1658+1)))*INDEX(Surface_Engine!$B$12:$B$72,$A1658+1)+I1659</f>
        <v>17984.9389615168</v>
      </c>
      <c r="J1658" s="48" t="n">
        <f aca="false">B1658*(IF($A1658&lt;$Q$1644,INDEX(Surface_Engine!$D$12:$D$72,$A1658+1)*(1+Assumptions!$B$24)+(Surface_Engine!Q251*12)*INDEX(Surface_Engine!$F$12:$F$72,$A1658+1)-(Surface_Engine!Q251*12),1000*12*INDEX(Surface_Engine!$C$12:$C$72,$A1658+1)/(1+Assumptions!$B$10)^15+INDEX(Surface_Engine!$D$12:$D$72,$A1658+1)*(1+Assumptions!$B$24)))*INDEX(Surface_Engine!$B$12:$B$72,$A1658+1)+J1659</f>
        <v>16314.848109902</v>
      </c>
      <c r="K1658" s="12" t="n">
        <f aca="false">SQRT((IF(C1658&lt;=0,0,MAX(0,(B1658/C1658)*G1658/INDEX(Surface_Engine!$B$12:$B$72,$A1658+1)-F1658/INDEX(Surface_Engine!$B$12:$B$72,$A1658+1))))^2+(MAX(IF(D1658&lt;=0,0,MAX(0,(B1658/D1658)*H1658/INDEX(Surface_Engine!$B$12:$B$72,$A1658+1)-F1658/INDEX(Surface_Engine!$B$12:$B$72,$A1658+1))),IF(E1658&lt;=0,0,MAX(0,(B1658/E1658)*I1658/INDEX(Surface_Engine!$B$12:$B$72,$A1658+1)-F1658/INDEX(Surface_Engine!$B$12:$B$72,$A1658+1))),IF($A1658&lt;$Q$1644,MAX(0,-Assumptions!$B$22*(F1658/INDEX(Surface_Engine!$B$12:$B$72,$A1658+1))),0)))^2+(MAX(0,J1658/INDEX(Surface_Engine!$B$12:$B$72,$A1658+1)-(F1658/INDEX(Surface_Engine!$B$12:$B$72,$A1658+1))))^2+2*Assumptions!$B$26*(IF(C1658&lt;=0,0,MAX(0,(B1658/C1658)*G1658/INDEX(Surface_Engine!$B$12:$B$72,$A1658+1)-F1658/INDEX(Surface_Engine!$B$12:$B$72,$A1658+1))))*(MAX(IF(D1658&lt;=0,0,MAX(0,(B1658/D1658)*H1658/INDEX(Surface_Engine!$B$12:$B$72,$A1658+1)-F1658/INDEX(Surface_Engine!$B$12:$B$72,$A1658+1))),IF(E1658&lt;=0,0,MAX(0,(B1658/E1658)*I1658/INDEX(Surface_Engine!$B$12:$B$72,$A1658+1)-F1658/INDEX(Surface_Engine!$B$12:$B$72,$A1658+1))),IF($A1658&lt;$Q$1644,MAX(0,-Assumptions!$B$22*(F1658/INDEX(Surface_Engine!$B$12:$B$72,$A1658+1))),0)))+2*Assumptions!$B$27*(IF(C1658&lt;=0,0,MAX(0,(B1658/C1658)*G1658/INDEX(Surface_Engine!$B$12:$B$72,$A1658+1)-F1658/INDEX(Surface_Engine!$B$12:$B$72,$A1658+1))))*(MAX(0,J1658/INDEX(Surface_Engine!$B$12:$B$72,$A1658+1)-(F1658/INDEX(Surface_Engine!$B$12:$B$72,$A1658+1))))+2*Assumptions!$B$28*(MAX(IF(D1658&lt;=0,0,MAX(0,(B1658/D1658)*H1658/INDEX(Surface_Engine!$B$12:$B$72,$A1658+1)-F1658/INDEX(Surface_Engine!$B$12:$B$72,$A1658+1))),IF(E1658&lt;=0,0,MAX(0,(B1658/E1658)*I1658/INDEX(Surface_Engine!$B$12:$B$72,$A1658+1)-F1658/INDEX(Surface_Engine!$B$12:$B$72,$A1658+1))),IF($A1658&lt;$Q$1644,MAX(0,-Assumptions!$B$22*(F1658/INDEX(Surface_Engine!$B$12:$B$72,$A1658+1))),0)))*(MAX(0,J1658/INDEX(Surface_Engine!$B$12:$B$72,$A1658+1)-(F1658/INDEX(Surface_Engine!$B$12:$B$72,$A1658+1)))))</f>
        <v>6238.5353155573</v>
      </c>
      <c r="L1658" s="48" t="n">
        <f aca="false">K1658*INDEX(Surface_Engine!$B$12:$B$72,$A1658+1)+L1659</f>
        <v>28858.8492868209</v>
      </c>
      <c r="M1658" s="48" t="n">
        <f aca="false">M1657+B1657*(IF($A1657&lt;$Q$1644,(Surface_Engine!Q251*12)-(Surface_Engine!Q251*12)*INDEX(Surface_Engine!$F$12:$F$72,$A1657+1)-INDEX(Surface_Engine!$D$12:$D$72,$A1657+1),-(1000*12*INDEX(Surface_Engine!$C$12:$C$72,$A1657+1)/(1+Assumptions!$B$10)^15+INDEX(Surface_Engine!$D$12:$D$72,$A1657+1))))*INDEX(Surface_Engine!$B$12:$B$72,$A1657+1)</f>
        <v>17000.7346312638</v>
      </c>
      <c r="N1658" s="12" t="n">
        <f aca="false">IF(B1658&lt;=0,0,MAX(0,(K1658+Assumptions!$B$29*L1658/INDEX(Surface_Engine!$B$12:$B$72,$A1658+1)-(M1658/INDEX(Surface_Engine!$B$12:$B$72,$A1658+1)-(F1658/INDEX(Surface_Engine!$B$12:$B$72,$A1658+1))))/B1658))</f>
        <v>14154.1795633064</v>
      </c>
    </row>
    <row r="1659" customFormat="false" ht="15" hidden="false" customHeight="true" outlineLevel="0" collapsed="false">
      <c r="A1659" s="1" t="n">
        <v>13</v>
      </c>
      <c r="B1659" s="32" t="n">
        <f aca="false">INDEX(Surface_Engine!$V$12:$V$72,$A1659+1)*IF($A1659&lt;$Q$1644,INDEX(Surface_Engine!$E$12:$E$72,$A1659+1),INDEX(Surface_Engine!$E$12:$E$72,$Q$1644+1))</f>
        <v>0.498511630606208</v>
      </c>
      <c r="C1659" s="32" t="n">
        <f aca="false">INDEX(Panel_Reserving!$H$8:$H$68,$A1659+1)*IF($A1659&lt;$Q$1644,INDEX(Surface_Engine!$E$12:$E$72,$A1659+1),INDEX(Surface_Engine!$E$12:$E$72,$Q$1644+1))</f>
        <v>0.554209837959984</v>
      </c>
      <c r="D1659" s="32" t="n">
        <f aca="false">INDEX(Surface_Engine!$V$12:$V$72,$A1659+1)*IF($A1659&lt;$Q$1644,INDEX(Surface_Engine!$Y$12:$Y$72,$A1659+1),INDEX(Surface_Engine!$Y$12:$Y$72,$Q$1644+1))</f>
        <v>0.455767103598836</v>
      </c>
      <c r="E1659" s="32" t="n">
        <f aca="false">INDEX(Surface_Engine!$V$12:$V$72,$A1659+1)*IF($A1659&lt;$Q$1644,INDEX(Surface_Engine!$Z$12:$Z$72,$A1659+1),INDEX(Surface_Engine!$Z$12:$Z$72,$Q$1644+1))</f>
        <v>0.54478767629174</v>
      </c>
      <c r="F1659" s="48" t="n">
        <f aca="false">B1659*(IF($A1659&lt;$Q$1644,INDEX(Surface_Engine!$D$12:$D$72,$A1659+1)+(Surface_Engine!Q251*12)*INDEX(Surface_Engine!$F$12:$F$72,$A1659+1)-(Surface_Engine!Q251*12),1000*12*INDEX(Surface_Engine!$C$12:$C$72,$A1659+1)/(1+Assumptions!$B$10)^15+INDEX(Surface_Engine!$D$12:$D$72,$A1659+1)))*INDEX(Surface_Engine!$B$12:$B$72,$A1659+1)+F1660</f>
        <v>17170.2595773407</v>
      </c>
      <c r="G1659" s="48" t="n">
        <f aca="false">C1659*(IF($A1659&lt;$Q$1644,INDEX(Surface_Engine!$D$12:$D$72,$A1659+1)+(Surface_Engine!Q251*12)*INDEX(Surface_Engine!$F$12:$F$72,$A1659+1)-(Surface_Engine!Q251*12),1000*12*INDEX(Surface_Engine!$C$12:$C$72,$A1659+1)/(1+Assumptions!$B$10)^15+INDEX(Surface_Engine!$D$12:$D$72,$A1659+1)))*INDEX(Surface_Engine!$B$12:$B$72,$A1659+1)+G1660</f>
        <v>23499.6540579109</v>
      </c>
      <c r="H1659" s="48" t="n">
        <f aca="false">D1659*(IF($A1659&lt;$Q$1644,INDEX(Surface_Engine!$D$12:$D$72,$A1659+1)+(Surface_Engine!Q251*12)*INDEX(Surface_Engine!$F$12:$F$72,$A1659+1)-(Surface_Engine!Q251*12),1000*12*INDEX(Surface_Engine!$C$12:$C$72,$A1659+1)/(1+Assumptions!$B$10)^15+INDEX(Surface_Engine!$D$12:$D$72,$A1659+1)))*INDEX(Surface_Engine!$B$12:$B$72,$A1659+1)+H1660</f>
        <v>15544.7279033725</v>
      </c>
      <c r="I1659" s="48" t="n">
        <f aca="false">E1659*(IF($A1659&lt;$Q$1644,INDEX(Surface_Engine!$D$12:$D$72,$A1659+1)+(Surface_Engine!Q251*12)*INDEX(Surface_Engine!$F$12:$F$72,$A1659+1)-(Surface_Engine!Q251*12),1000*12*INDEX(Surface_Engine!$C$12:$C$72,$A1659+1)/(1+Assumptions!$B$10)^15+INDEX(Surface_Engine!$D$12:$D$72,$A1659+1)))*INDEX(Surface_Engine!$B$12:$B$72,$A1659+1)+I1660</f>
        <v>18948.2253296349</v>
      </c>
      <c r="J1659" s="48" t="n">
        <f aca="false">B1659*(IF($A1659&lt;$Q$1644,INDEX(Surface_Engine!$D$12:$D$72,$A1659+1)*(1+Assumptions!$B$24)+(Surface_Engine!Q251*12)*INDEX(Surface_Engine!$F$12:$F$72,$A1659+1)-(Surface_Engine!Q251*12),1000*12*INDEX(Surface_Engine!$C$12:$C$72,$A1659+1)/(1+Assumptions!$B$10)^15+INDEX(Surface_Engine!$D$12:$D$72,$A1659+1)*(1+Assumptions!$B$24)))*INDEX(Surface_Engine!$B$12:$B$72,$A1659+1)+J1660</f>
        <v>17196.1536440491</v>
      </c>
      <c r="K1659" s="12" t="n">
        <f aca="false">SQRT((IF(C1659&lt;=0,0,MAX(0,(B1659/C1659)*G1659/INDEX(Surface_Engine!$B$12:$B$72,$A1659+1)-F1659/INDEX(Surface_Engine!$B$12:$B$72,$A1659+1))))^2+(MAX(IF(D1659&lt;=0,0,MAX(0,(B1659/D1659)*H1659/INDEX(Surface_Engine!$B$12:$B$72,$A1659+1)-F1659/INDEX(Surface_Engine!$B$12:$B$72,$A1659+1))),IF(E1659&lt;=0,0,MAX(0,(B1659/E1659)*I1659/INDEX(Surface_Engine!$B$12:$B$72,$A1659+1)-F1659/INDEX(Surface_Engine!$B$12:$B$72,$A1659+1))),IF($A1659&lt;$Q$1644,MAX(0,-Assumptions!$B$22*(F1659/INDEX(Surface_Engine!$B$12:$B$72,$A1659+1))),0)))^2+(MAX(0,J1659/INDEX(Surface_Engine!$B$12:$B$72,$A1659+1)-(F1659/INDEX(Surface_Engine!$B$12:$B$72,$A1659+1))))^2+2*Assumptions!$B$26*(IF(C1659&lt;=0,0,MAX(0,(B1659/C1659)*G1659/INDEX(Surface_Engine!$B$12:$B$72,$A1659+1)-F1659/INDEX(Surface_Engine!$B$12:$B$72,$A1659+1))))*(MAX(IF(D1659&lt;=0,0,MAX(0,(B1659/D1659)*H1659/INDEX(Surface_Engine!$B$12:$B$72,$A1659+1)-F1659/INDEX(Surface_Engine!$B$12:$B$72,$A1659+1))),IF(E1659&lt;=0,0,MAX(0,(B1659/E1659)*I1659/INDEX(Surface_Engine!$B$12:$B$72,$A1659+1)-F1659/INDEX(Surface_Engine!$B$12:$B$72,$A1659+1))),IF($A1659&lt;$Q$1644,MAX(0,-Assumptions!$B$22*(F1659/INDEX(Surface_Engine!$B$12:$B$72,$A1659+1))),0)))+2*Assumptions!$B$27*(IF(C1659&lt;=0,0,MAX(0,(B1659/C1659)*G1659/INDEX(Surface_Engine!$B$12:$B$72,$A1659+1)-F1659/INDEX(Surface_Engine!$B$12:$B$72,$A1659+1))))*(MAX(0,J1659/INDEX(Surface_Engine!$B$12:$B$72,$A1659+1)-(F1659/INDEX(Surface_Engine!$B$12:$B$72,$A1659+1))))+2*Assumptions!$B$28*(MAX(IF(D1659&lt;=0,0,MAX(0,(B1659/D1659)*H1659/INDEX(Surface_Engine!$B$12:$B$72,$A1659+1)-F1659/INDEX(Surface_Engine!$B$12:$B$72,$A1659+1))),IF(E1659&lt;=0,0,MAX(0,(B1659/E1659)*I1659/INDEX(Surface_Engine!$B$12:$B$72,$A1659+1)-F1659/INDEX(Surface_Engine!$B$12:$B$72,$A1659+1))),IF($A1659&lt;$Q$1644,MAX(0,-Assumptions!$B$22*(F1659/INDEX(Surface_Engine!$B$12:$B$72,$A1659+1))),0)))*(MAX(0,J1659/INDEX(Surface_Engine!$B$12:$B$72,$A1659+1)-(F1659/INDEX(Surface_Engine!$B$12:$B$72,$A1659+1)))))</f>
        <v>5928.31981520516</v>
      </c>
      <c r="L1659" s="48" t="n">
        <f aca="false">K1659*INDEX(Surface_Engine!$B$12:$B$72,$A1659+1)+L1660</f>
        <v>24479.185861542</v>
      </c>
      <c r="M1659" s="48" t="n">
        <f aca="false">M1658+B1658*(IF($A1658&lt;$Q$1644,(Surface_Engine!Q251*12)-(Surface_Engine!Q251*12)*INDEX(Surface_Engine!$F$12:$F$72,$A1658+1)-INDEX(Surface_Engine!$D$12:$D$72,$A1658+1),-(1000*12*INDEX(Surface_Engine!$C$12:$C$72,$A1658+1)/(1+Assumptions!$B$10)^15+INDEX(Surface_Engine!$D$12:$D$72,$A1658+1))))*INDEX(Surface_Engine!$B$12:$B$72,$A1658+1)</f>
        <v>17886.2437898035</v>
      </c>
      <c r="N1659" s="12" t="n">
        <f aca="false">IF(B1659&lt;=0,0,MAX(0,(K1659+Assumptions!$B$29*L1659/INDEX(Surface_Engine!$B$12:$B$72,$A1659+1)-(M1659/INDEX(Surface_Engine!$B$12:$B$72,$A1659+1)-(F1659/INDEX(Surface_Engine!$B$12:$B$72,$A1659+1))))/B1659))</f>
        <v>14118.8212727607</v>
      </c>
    </row>
    <row r="1660" customFormat="false" ht="15" hidden="false" customHeight="true" outlineLevel="0" collapsed="false">
      <c r="A1660" s="1" t="n">
        <v>14</v>
      </c>
      <c r="B1660" s="32" t="n">
        <f aca="false">INDEX(Surface_Engine!$V$12:$V$72,$A1660+1)*IF($A1660&lt;$Q$1644,INDEX(Surface_Engine!$E$12:$E$72,$A1660+1),INDEX(Surface_Engine!$E$12:$E$72,$Q$1644+1))</f>
        <v>0.453112408701782</v>
      </c>
      <c r="C1660" s="32" t="n">
        <f aca="false">INDEX(Panel_Reserving!$H$8:$H$68,$A1660+1)*IF($A1660&lt;$Q$1644,INDEX(Surface_Engine!$E$12:$E$72,$A1660+1),INDEX(Surface_Engine!$E$12:$E$72,$Q$1644+1))</f>
        <v>0.51282387069965</v>
      </c>
      <c r="D1660" s="32" t="n">
        <f aca="false">INDEX(Surface_Engine!$V$12:$V$72,$A1660+1)*IF($A1660&lt;$Q$1644,INDEX(Surface_Engine!$Y$12:$Y$72,$A1660+1),INDEX(Surface_Engine!$Y$12:$Y$72,$Q$1644+1))</f>
        <v>0.412358410113176</v>
      </c>
      <c r="E1660" s="32" t="n">
        <f aca="false">INDEX(Surface_Engine!$V$12:$V$72,$A1660+1)*IF($A1660&lt;$Q$1644,INDEX(Surface_Engine!$Z$12:$Z$72,$A1660+1),INDEX(Surface_Engine!$Z$12:$Z$72,$Q$1644+1))</f>
        <v>0.497447849672378</v>
      </c>
      <c r="F1660" s="48" t="n">
        <f aca="false">B1660*(IF($A1660&lt;$Q$1644,INDEX(Surface_Engine!$D$12:$D$72,$A1660+1)+(Surface_Engine!Q251*12)*INDEX(Surface_Engine!$F$12:$F$72,$A1660+1)-(Surface_Engine!Q251*12),1000*12*INDEX(Surface_Engine!$C$12:$C$72,$A1660+1)/(1+Assumptions!$B$10)^15+INDEX(Surface_Engine!$D$12:$D$72,$A1660+1)))*INDEX(Surface_Engine!$B$12:$B$72,$A1660+1)+F1661</f>
        <v>17954.657578249</v>
      </c>
      <c r="G1660" s="48" t="n">
        <f aca="false">C1660*(IF($A1660&lt;$Q$1644,INDEX(Surface_Engine!$D$12:$D$72,$A1660+1)+(Surface_Engine!Q251*12)*INDEX(Surface_Engine!$F$12:$F$72,$A1660+1)-(Surface_Engine!Q251*12),1000*12*INDEX(Surface_Engine!$C$12:$C$72,$A1660+1)/(1+Assumptions!$B$10)^15+INDEX(Surface_Engine!$D$12:$D$72,$A1660+1)))*INDEX(Surface_Engine!$B$12:$B$72,$A1660+1)+G1661</f>
        <v>24371.6920652305</v>
      </c>
      <c r="H1660" s="48" t="n">
        <f aca="false">D1660*(IF($A1660&lt;$Q$1644,INDEX(Surface_Engine!$D$12:$D$72,$A1660+1)+(Surface_Engine!Q251*12)*INDEX(Surface_Engine!$F$12:$F$72,$A1660+1)-(Surface_Engine!Q251*12),1000*12*INDEX(Surface_Engine!$C$12:$C$72,$A1660+1)/(1+Assumptions!$B$10)^15+INDEX(Surface_Engine!$D$12:$D$72,$A1660+1)))*INDEX(Surface_Engine!$B$12:$B$72,$A1660+1)+H1661</f>
        <v>16261.868252752</v>
      </c>
      <c r="I1660" s="48" t="n">
        <f aca="false">E1660*(IF($A1660&lt;$Q$1644,INDEX(Surface_Engine!$D$12:$D$72,$A1660+1)+(Surface_Engine!Q251*12)*INDEX(Surface_Engine!$F$12:$F$72,$A1660+1)-(Surface_Engine!Q251*12),1000*12*INDEX(Surface_Engine!$C$12:$C$72,$A1660+1)/(1+Assumptions!$B$10)^15+INDEX(Surface_Engine!$D$12:$D$72,$A1660+1)))*INDEX(Surface_Engine!$B$12:$B$72,$A1660+1)+I1661</f>
        <v>19805.4377555176</v>
      </c>
      <c r="J1660" s="48" t="n">
        <f aca="false">B1660*(IF($A1660&lt;$Q$1644,INDEX(Surface_Engine!$D$12:$D$72,$A1660+1)*(1+Assumptions!$B$24)+(Surface_Engine!Q251*12)*INDEX(Surface_Engine!$F$12:$F$72,$A1660+1)-(Surface_Engine!Q251*12),1000*12*INDEX(Surface_Engine!$C$12:$C$72,$A1660+1)/(1+Assumptions!$B$10)^15+INDEX(Surface_Engine!$D$12:$D$72,$A1660+1)*(1+Assumptions!$B$24)))*INDEX(Surface_Engine!$B$12:$B$72,$A1660+1)+J1661</f>
        <v>17976.730382139</v>
      </c>
      <c r="K1660" s="12" t="n">
        <f aca="false">SQRT((IF(C1660&lt;=0,0,MAX(0,(B1660/C1660)*G1660/INDEX(Surface_Engine!$B$12:$B$72,$A1660+1)-F1660/INDEX(Surface_Engine!$B$12:$B$72,$A1660+1))))^2+(MAX(IF(D1660&lt;=0,0,MAX(0,(B1660/D1660)*H1660/INDEX(Surface_Engine!$B$12:$B$72,$A1660+1)-F1660/INDEX(Surface_Engine!$B$12:$B$72,$A1660+1))),IF(E1660&lt;=0,0,MAX(0,(B1660/E1660)*I1660/INDEX(Surface_Engine!$B$12:$B$72,$A1660+1)-F1660/INDEX(Surface_Engine!$B$12:$B$72,$A1660+1))),IF($A1660&lt;$Q$1644,MAX(0,-Assumptions!$B$22*(F1660/INDEX(Surface_Engine!$B$12:$B$72,$A1660+1))),0)))^2+(MAX(0,J1660/INDEX(Surface_Engine!$B$12:$B$72,$A1660+1)-(F1660/INDEX(Surface_Engine!$B$12:$B$72,$A1660+1))))^2+2*Assumptions!$B$26*(IF(C1660&lt;=0,0,MAX(0,(B1660/C1660)*G1660/INDEX(Surface_Engine!$B$12:$B$72,$A1660+1)-F1660/INDEX(Surface_Engine!$B$12:$B$72,$A1660+1))))*(MAX(IF(D1660&lt;=0,0,MAX(0,(B1660/D1660)*H1660/INDEX(Surface_Engine!$B$12:$B$72,$A1660+1)-F1660/INDEX(Surface_Engine!$B$12:$B$72,$A1660+1))),IF(E1660&lt;=0,0,MAX(0,(B1660/E1660)*I1660/INDEX(Surface_Engine!$B$12:$B$72,$A1660+1)-F1660/INDEX(Surface_Engine!$B$12:$B$72,$A1660+1))),IF($A1660&lt;$Q$1644,MAX(0,-Assumptions!$B$22*(F1660/INDEX(Surface_Engine!$B$12:$B$72,$A1660+1))),0)))+2*Assumptions!$B$27*(IF(C1660&lt;=0,0,MAX(0,(B1660/C1660)*G1660/INDEX(Surface_Engine!$B$12:$B$72,$A1660+1)-F1660/INDEX(Surface_Engine!$B$12:$B$72,$A1660+1))))*(MAX(0,J1660/INDEX(Surface_Engine!$B$12:$B$72,$A1660+1)-(F1660/INDEX(Surface_Engine!$B$12:$B$72,$A1660+1))))+2*Assumptions!$B$28*(MAX(IF(D1660&lt;=0,0,MAX(0,(B1660/D1660)*H1660/INDEX(Surface_Engine!$B$12:$B$72,$A1660+1)-F1660/INDEX(Surface_Engine!$B$12:$B$72,$A1660+1))),IF(E1660&lt;=0,0,MAX(0,(B1660/E1660)*I1660/INDEX(Surface_Engine!$B$12:$B$72,$A1660+1)-F1660/INDEX(Surface_Engine!$B$12:$B$72,$A1660+1))),IF($A1660&lt;$Q$1644,MAX(0,-Assumptions!$B$22*(F1660/INDEX(Surface_Engine!$B$12:$B$72,$A1660+1))),0)))*(MAX(0,J1660/INDEX(Surface_Engine!$B$12:$B$72,$A1660+1)-(F1660/INDEX(Surface_Engine!$B$12:$B$72,$A1660+1)))))</f>
        <v>5503.49126567293</v>
      </c>
      <c r="L1660" s="48" t="n">
        <f aca="false">K1660*INDEX(Surface_Engine!$B$12:$B$72,$A1660+1)+L1661</f>
        <v>20459.0647643283</v>
      </c>
      <c r="M1660" s="48" t="n">
        <f aca="false">M1659+B1659*(IF($A1659&lt;$Q$1644,(Surface_Engine!Q251*12)-(Surface_Engine!Q251*12)*INDEX(Surface_Engine!$F$12:$F$72,$A1659+1)-INDEX(Surface_Engine!$D$12:$D$72,$A1659+1),-(1000*12*INDEX(Surface_Engine!$C$12:$C$72,$A1659+1)/(1+Assumptions!$B$10)^15+INDEX(Surface_Engine!$D$12:$D$72,$A1659+1))))*INDEX(Surface_Engine!$B$12:$B$72,$A1659+1)</f>
        <v>18670.6417907117</v>
      </c>
      <c r="N1660" s="12" t="n">
        <f aca="false">IF(B1660&lt;=0,0,MAX(0,(K1660+Assumptions!$B$29*L1660/INDEX(Surface_Engine!$B$12:$B$72,$A1660+1)-(M1660/INDEX(Surface_Engine!$B$12:$B$72,$A1660+1)-(F1660/INDEX(Surface_Engine!$B$12:$B$72,$A1660+1))))/B1660))</f>
        <v>13868.3545587533</v>
      </c>
    </row>
    <row r="1661" customFormat="false" ht="15" hidden="false" customHeight="true" outlineLevel="0" collapsed="false">
      <c r="A1661" s="1" t="n">
        <v>15</v>
      </c>
      <c r="B1661" s="32" t="n">
        <f aca="false">INDEX(Surface_Engine!$V$12:$V$72,$A1661+1)*IF($A1661&lt;$Q$1644,INDEX(Surface_Engine!$E$12:$E$72,$A1661+1),INDEX(Surface_Engine!$E$12:$E$72,$Q$1644+1))</f>
        <v>0.407184025331565</v>
      </c>
      <c r="C1661" s="32" t="n">
        <f aca="false">INDEX(Panel_Reserving!$H$8:$H$68,$A1661+1)*IF($A1661&lt;$Q$1644,INDEX(Surface_Engine!$E$12:$E$72,$A1661+1),INDEX(Surface_Engine!$E$12:$E$72,$Q$1644+1))</f>
        <v>0.470305845631602</v>
      </c>
      <c r="D1661" s="32" t="n">
        <f aca="false">INDEX(Surface_Engine!$V$12:$V$72,$A1661+1)*IF($A1661&lt;$Q$1644,INDEX(Surface_Engine!$Y$12:$Y$72,$A1661+1),INDEX(Surface_Engine!$Y$12:$Y$72,$Q$1644+1))</f>
        <v>0.36885939762493</v>
      </c>
      <c r="E1661" s="32" t="n">
        <f aca="false">INDEX(Surface_Engine!$V$12:$V$72,$A1661+1)*IF($A1661&lt;$Q$1644,INDEX(Surface_Engine!$Z$12:$Z$72,$A1661+1),INDEX(Surface_Engine!$Z$12:$Z$72,$Q$1644+1))</f>
        <v>0.449078182267154</v>
      </c>
      <c r="F1661" s="48" t="n">
        <f aca="false">B1661*(IF($A1661&lt;$Q$1644,INDEX(Surface_Engine!$D$12:$D$72,$A1661+1)+(Surface_Engine!Q251*12)*INDEX(Surface_Engine!$F$12:$F$72,$A1661+1)-(Surface_Engine!Q251*12),1000*12*INDEX(Surface_Engine!$C$12:$C$72,$A1661+1)/(1+Assumptions!$B$10)^15+INDEX(Surface_Engine!$D$12:$D$72,$A1661+1)))*INDEX(Surface_Engine!$B$12:$B$72,$A1661+1)+F1662</f>
        <v>18642.9792771304</v>
      </c>
      <c r="G1661" s="48" t="n">
        <f aca="false">C1661*(IF($A1661&lt;$Q$1644,INDEX(Surface_Engine!$D$12:$D$72,$A1661+1)+(Surface_Engine!Q251*12)*INDEX(Surface_Engine!$F$12:$F$72,$A1661+1)-(Surface_Engine!Q251*12),1000*12*INDEX(Surface_Engine!$C$12:$C$72,$A1661+1)/(1+Assumptions!$B$10)^15+INDEX(Surface_Engine!$D$12:$D$72,$A1661+1)))*INDEX(Surface_Engine!$B$12:$B$72,$A1661+1)+G1662</f>
        <v>25150.721266656</v>
      </c>
      <c r="H1661" s="48" t="n">
        <f aca="false">D1661*(IF($A1661&lt;$Q$1644,INDEX(Surface_Engine!$D$12:$D$72,$A1661+1)+(Surface_Engine!Q251*12)*INDEX(Surface_Engine!$F$12:$F$72,$A1661+1)-(Surface_Engine!Q251*12),1000*12*INDEX(Surface_Engine!$C$12:$C$72,$A1661+1)/(1+Assumptions!$B$10)^15+INDEX(Surface_Engine!$D$12:$D$72,$A1661+1)))*INDEX(Surface_Engine!$B$12:$B$72,$A1661+1)+H1662</f>
        <v>16888.280674805</v>
      </c>
      <c r="I1661" s="48" t="n">
        <f aca="false">E1661*(IF($A1661&lt;$Q$1644,INDEX(Surface_Engine!$D$12:$D$72,$A1661+1)+(Surface_Engine!Q251*12)*INDEX(Surface_Engine!$F$12:$F$72,$A1661+1)-(Surface_Engine!Q251*12),1000*12*INDEX(Surface_Engine!$C$12:$C$72,$A1661+1)/(1+Assumptions!$B$10)^15+INDEX(Surface_Engine!$D$12:$D$72,$A1661+1)))*INDEX(Surface_Engine!$B$12:$B$72,$A1661+1)+I1662</f>
        <v>20561.1092895912</v>
      </c>
      <c r="J1661" s="48" t="n">
        <f aca="false">B1661*(IF($A1661&lt;$Q$1644,INDEX(Surface_Engine!$D$12:$D$72,$A1661+1)*(1+Assumptions!$B$24)+(Surface_Engine!Q251*12)*INDEX(Surface_Engine!$F$12:$F$72,$A1661+1)-(Surface_Engine!Q251*12),1000*12*INDEX(Surface_Engine!$C$12:$C$72,$A1661+1)/(1+Assumptions!$B$10)^15+INDEX(Surface_Engine!$D$12:$D$72,$A1661+1)*(1+Assumptions!$B$24)))*INDEX(Surface_Engine!$B$12:$B$72,$A1661+1)+J1662</f>
        <v>18661.6108406864</v>
      </c>
      <c r="K1661" s="12" t="n">
        <f aca="false">SQRT((IF(C1661&lt;=0,0,MAX(0,(B1661/C1661)*G1661/INDEX(Surface_Engine!$B$12:$B$72,$A1661+1)-F1661/INDEX(Surface_Engine!$B$12:$B$72,$A1661+1))))^2+(MAX(IF(D1661&lt;=0,0,MAX(0,(B1661/D1661)*H1661/INDEX(Surface_Engine!$B$12:$B$72,$A1661+1)-F1661/INDEX(Surface_Engine!$B$12:$B$72,$A1661+1))),IF(E1661&lt;=0,0,MAX(0,(B1661/E1661)*I1661/INDEX(Surface_Engine!$B$12:$B$72,$A1661+1)-F1661/INDEX(Surface_Engine!$B$12:$B$72,$A1661+1))),IF($A1661&lt;$Q$1644,MAX(0,-Assumptions!$B$22*(F1661/INDEX(Surface_Engine!$B$12:$B$72,$A1661+1))),0)))^2+(MAX(0,J1661/INDEX(Surface_Engine!$B$12:$B$72,$A1661+1)-(F1661/INDEX(Surface_Engine!$B$12:$B$72,$A1661+1))))^2+2*Assumptions!$B$26*(IF(C1661&lt;=0,0,MAX(0,(B1661/C1661)*G1661/INDEX(Surface_Engine!$B$12:$B$72,$A1661+1)-F1661/INDEX(Surface_Engine!$B$12:$B$72,$A1661+1))))*(MAX(IF(D1661&lt;=0,0,MAX(0,(B1661/D1661)*H1661/INDEX(Surface_Engine!$B$12:$B$72,$A1661+1)-F1661/INDEX(Surface_Engine!$B$12:$B$72,$A1661+1))),IF(E1661&lt;=0,0,MAX(0,(B1661/E1661)*I1661/INDEX(Surface_Engine!$B$12:$B$72,$A1661+1)-F1661/INDEX(Surface_Engine!$B$12:$B$72,$A1661+1))),IF($A1661&lt;$Q$1644,MAX(0,-Assumptions!$B$22*(F1661/INDEX(Surface_Engine!$B$12:$B$72,$A1661+1))),0)))+2*Assumptions!$B$27*(IF(C1661&lt;=0,0,MAX(0,(B1661/C1661)*G1661/INDEX(Surface_Engine!$B$12:$B$72,$A1661+1)-F1661/INDEX(Surface_Engine!$B$12:$B$72,$A1661+1))))*(MAX(0,J1661/INDEX(Surface_Engine!$B$12:$B$72,$A1661+1)-(F1661/INDEX(Surface_Engine!$B$12:$B$72,$A1661+1))))+2*Assumptions!$B$28*(MAX(IF(D1661&lt;=0,0,MAX(0,(B1661/D1661)*H1661/INDEX(Surface_Engine!$B$12:$B$72,$A1661+1)-F1661/INDEX(Surface_Engine!$B$12:$B$72,$A1661+1))),IF(E1661&lt;=0,0,MAX(0,(B1661/E1661)*I1661/INDEX(Surface_Engine!$B$12:$B$72,$A1661+1)-F1661/INDEX(Surface_Engine!$B$12:$B$72,$A1661+1))),IF($A1661&lt;$Q$1644,MAX(0,-Assumptions!$B$22*(F1661/INDEX(Surface_Engine!$B$12:$B$72,$A1661+1))),0)))*(MAX(0,J1661/INDEX(Surface_Engine!$B$12:$B$72,$A1661+1)-(F1661/INDEX(Surface_Engine!$B$12:$B$72,$A1661+1)))))</f>
        <v>4963.83982972279</v>
      </c>
      <c r="L1661" s="48" t="n">
        <f aca="false">K1661*INDEX(Surface_Engine!$B$12:$B$72,$A1661+1)+L1662</f>
        <v>16851.6227207538</v>
      </c>
      <c r="M1661" s="48" t="n">
        <f aca="false">M1660+B1660*(IF($A1660&lt;$Q$1644,(Surface_Engine!Q251*12)-(Surface_Engine!Q251*12)*INDEX(Surface_Engine!$F$12:$F$72,$A1660+1)-INDEX(Surface_Engine!$D$12:$D$72,$A1660+1),-(1000*12*INDEX(Surface_Engine!$C$12:$C$72,$A1660+1)/(1+Assumptions!$B$10)^15+INDEX(Surface_Engine!$D$12:$D$72,$A1660+1))))*INDEX(Surface_Engine!$B$12:$B$72,$A1660+1)</f>
        <v>19358.9634895932</v>
      </c>
      <c r="N1661" s="12" t="n">
        <f aca="false">IF(B1661&lt;=0,0,MAX(0,(K1661+Assumptions!$B$29*L1661/INDEX(Surface_Engine!$B$12:$B$72,$A1661+1)-(M1661/INDEX(Surface_Engine!$B$12:$B$72,$A1661+1)-(F1661/INDEX(Surface_Engine!$B$12:$B$72,$A1661+1))))/B1661))</f>
        <v>13337.5402285372</v>
      </c>
    </row>
    <row r="1662" customFormat="false" ht="15" hidden="false" customHeight="true" outlineLevel="0" collapsed="false">
      <c r="A1662" s="1" t="n">
        <v>16</v>
      </c>
      <c r="B1662" s="32" t="n">
        <f aca="false">INDEX(Surface_Engine!$V$12:$V$72,$A1662+1)*IF($A1662&lt;$Q$1644,INDEX(Surface_Engine!$E$12:$E$72,$A1662+1),INDEX(Surface_Engine!$E$12:$E$72,$Q$1644+1))</f>
        <v>0.363206864596582</v>
      </c>
      <c r="C1662" s="32" t="n">
        <f aca="false">INDEX(Panel_Reserving!$H$8:$H$68,$A1662+1)*IF($A1662&lt;$Q$1644,INDEX(Surface_Engine!$E$12:$E$72,$A1662+1),INDEX(Surface_Engine!$E$12:$E$72,$Q$1644+1))</f>
        <v>0.429670232284833</v>
      </c>
      <c r="D1662" s="32" t="n">
        <f aca="false">INDEX(Surface_Engine!$V$12:$V$72,$A1662+1)*IF($A1662&lt;$Q$1644,INDEX(Surface_Engine!$Y$12:$Y$72,$A1662+1),INDEX(Surface_Engine!$Y$12:$Y$72,$Q$1644+1))</f>
        <v>0.329021417721982</v>
      </c>
      <c r="E1662" s="32" t="n">
        <f aca="false">INDEX(Surface_Engine!$V$12:$V$72,$A1662+1)*IF($A1662&lt;$Q$1644,INDEX(Surface_Engine!$Z$12:$Z$72,$A1662+1),INDEX(Surface_Engine!$Z$12:$Z$72,$Q$1644+1))</f>
        <v>0.400576320269854</v>
      </c>
      <c r="F1662" s="48" t="n">
        <f aca="false">B1662*(IF($A1662&lt;$Q$1644,INDEX(Surface_Engine!$D$12:$D$72,$A1662+1)+(Surface_Engine!Q251*12)*INDEX(Surface_Engine!$F$12:$F$72,$A1662+1)-(Surface_Engine!Q251*12),1000*12*INDEX(Surface_Engine!$C$12:$C$72,$A1662+1)/(1+Assumptions!$B$10)^15+INDEX(Surface_Engine!$D$12:$D$72,$A1662+1)))*INDEX(Surface_Engine!$B$12:$B$72,$A1662+1)+F1663</f>
        <v>15524.616267961</v>
      </c>
      <c r="G1662" s="48" t="n">
        <f aca="false">C1662*(IF($A1662&lt;$Q$1644,INDEX(Surface_Engine!$D$12:$D$72,$A1662+1)+(Surface_Engine!Q251*12)*INDEX(Surface_Engine!$F$12:$F$72,$A1662+1)-(Surface_Engine!Q251*12),1000*12*INDEX(Surface_Engine!$C$12:$C$72,$A1662+1)/(1+Assumptions!$B$10)^15+INDEX(Surface_Engine!$D$12:$D$72,$A1662+1)))*INDEX(Surface_Engine!$B$12:$B$72,$A1662+1)+G1663</f>
        <v>21548.9484544256</v>
      </c>
      <c r="H1662" s="48" t="n">
        <f aca="false">D1662*(IF($A1662&lt;$Q$1644,INDEX(Surface_Engine!$D$12:$D$72,$A1662+1)+(Surface_Engine!Q251*12)*INDEX(Surface_Engine!$F$12:$F$72,$A1662+1)-(Surface_Engine!Q251*12),1000*12*INDEX(Surface_Engine!$C$12:$C$72,$A1662+1)/(1+Assumptions!$B$10)^15+INDEX(Surface_Engine!$D$12:$D$72,$A1662+1)))*INDEX(Surface_Engine!$B$12:$B$72,$A1662+1)+H1663</f>
        <v>14063.4215703706</v>
      </c>
      <c r="I1662" s="48" t="n">
        <f aca="false">E1662*(IF($A1662&lt;$Q$1644,INDEX(Surface_Engine!$D$12:$D$72,$A1662+1)+(Surface_Engine!Q251*12)*INDEX(Surface_Engine!$F$12:$F$72,$A1662+1)-(Surface_Engine!Q251*12),1000*12*INDEX(Surface_Engine!$C$12:$C$72,$A1662+1)/(1+Assumptions!$B$10)^15+INDEX(Surface_Engine!$D$12:$D$72,$A1662+1)))*INDEX(Surface_Engine!$B$12:$B$72,$A1662+1)+I1663</f>
        <v>17121.9056256787</v>
      </c>
      <c r="J1662" s="48" t="n">
        <f aca="false">B1662*(IF($A1662&lt;$Q$1644,INDEX(Surface_Engine!$D$12:$D$72,$A1662+1)*(1+Assumptions!$B$24)+(Surface_Engine!Q251*12)*INDEX(Surface_Engine!$F$12:$F$72,$A1662+1)-(Surface_Engine!Q251*12),1000*12*INDEX(Surface_Engine!$C$12:$C$72,$A1662+1)/(1+Assumptions!$B$10)^15+INDEX(Surface_Engine!$D$12:$D$72,$A1662+1)*(1+Assumptions!$B$24)))*INDEX(Surface_Engine!$B$12:$B$72,$A1662+1)+J1663</f>
        <v>15540.1919233265</v>
      </c>
      <c r="K1662" s="12" t="n">
        <f aca="false">SQRT((IF(C1662&lt;=0,0,MAX(0,(B1662/C1662)*G1662/INDEX(Surface_Engine!$B$12:$B$72,$A1662+1)-F1662/INDEX(Surface_Engine!$B$12:$B$72,$A1662+1))))^2+(MAX(IF(D1662&lt;=0,0,MAX(0,(B1662/D1662)*H1662/INDEX(Surface_Engine!$B$12:$B$72,$A1662+1)-F1662/INDEX(Surface_Engine!$B$12:$B$72,$A1662+1))),IF(E1662&lt;=0,0,MAX(0,(B1662/E1662)*I1662/INDEX(Surface_Engine!$B$12:$B$72,$A1662+1)-F1662/INDEX(Surface_Engine!$B$12:$B$72,$A1662+1))),IF($A1662&lt;$Q$1644,MAX(0,-Assumptions!$B$22*(F1662/INDEX(Surface_Engine!$B$12:$B$72,$A1662+1))),0)))^2+(MAX(0,J1662/INDEX(Surface_Engine!$B$12:$B$72,$A1662+1)-(F1662/INDEX(Surface_Engine!$B$12:$B$72,$A1662+1))))^2+2*Assumptions!$B$26*(IF(C1662&lt;=0,0,MAX(0,(B1662/C1662)*G1662/INDEX(Surface_Engine!$B$12:$B$72,$A1662+1)-F1662/INDEX(Surface_Engine!$B$12:$B$72,$A1662+1))))*(MAX(IF(D1662&lt;=0,0,MAX(0,(B1662/D1662)*H1662/INDEX(Surface_Engine!$B$12:$B$72,$A1662+1)-F1662/INDEX(Surface_Engine!$B$12:$B$72,$A1662+1))),IF(E1662&lt;=0,0,MAX(0,(B1662/E1662)*I1662/INDEX(Surface_Engine!$B$12:$B$72,$A1662+1)-F1662/INDEX(Surface_Engine!$B$12:$B$72,$A1662+1))),IF($A1662&lt;$Q$1644,MAX(0,-Assumptions!$B$22*(F1662/INDEX(Surface_Engine!$B$12:$B$72,$A1662+1))),0)))+2*Assumptions!$B$27*(IF(C1662&lt;=0,0,MAX(0,(B1662/C1662)*G1662/INDEX(Surface_Engine!$B$12:$B$72,$A1662+1)-F1662/INDEX(Surface_Engine!$B$12:$B$72,$A1662+1))))*(MAX(0,J1662/INDEX(Surface_Engine!$B$12:$B$72,$A1662+1)-(F1662/INDEX(Surface_Engine!$B$12:$B$72,$A1662+1))))+2*Assumptions!$B$28*(MAX(IF(D1662&lt;=0,0,MAX(0,(B1662/D1662)*H1662/INDEX(Surface_Engine!$B$12:$B$72,$A1662+1)-F1662/INDEX(Surface_Engine!$B$12:$B$72,$A1662+1))),IF(E1662&lt;=0,0,MAX(0,(B1662/E1662)*I1662/INDEX(Surface_Engine!$B$12:$B$72,$A1662+1)-F1662/INDEX(Surface_Engine!$B$12:$B$72,$A1662+1))),IF($A1662&lt;$Q$1644,MAX(0,-Assumptions!$B$22*(F1662/INDEX(Surface_Engine!$B$12:$B$72,$A1662+1))),0)))*(MAX(0,J1662/INDEX(Surface_Engine!$B$12:$B$72,$A1662+1)-(F1662/INDEX(Surface_Engine!$B$12:$B$72,$A1662+1)))))</f>
        <v>4418.9782080702</v>
      </c>
      <c r="L1662" s="48" t="n">
        <f aca="false">K1662*INDEX(Surface_Engine!$B$12:$B$72,$A1662+1)+L1663</f>
        <v>13714.7601133909</v>
      </c>
      <c r="M1662" s="48" t="n">
        <f aca="false">M1661+B1661*(IF($A1661&lt;$Q$1644,(Surface_Engine!Q251*12)-(Surface_Engine!Q251*12)*INDEX(Surface_Engine!$F$12:$F$72,$A1661+1)-INDEX(Surface_Engine!$D$12:$D$72,$A1661+1),-(1000*12*INDEX(Surface_Engine!$C$12:$C$72,$A1661+1)/(1+Assumptions!$B$10)^15+INDEX(Surface_Engine!$D$12:$D$72,$A1661+1))))*INDEX(Surface_Engine!$B$12:$B$72,$A1661+1)</f>
        <v>16240.6004804237</v>
      </c>
      <c r="N1662" s="12" t="n">
        <f aca="false">IF(B1662&lt;=0,0,MAX(0,(K1662+Assumptions!$B$29*L1662/INDEX(Surface_Engine!$B$12:$B$72,$A1662+1)-(M1662/INDEX(Surface_Engine!$B$12:$B$72,$A1662+1)-(F1662/INDEX(Surface_Engine!$B$12:$B$72,$A1662+1))))/B1662))</f>
        <v>12649.1698978478</v>
      </c>
    </row>
    <row r="1663" customFormat="false" ht="15" hidden="false" customHeight="true" outlineLevel="0" collapsed="false">
      <c r="A1663" s="1" t="n">
        <v>17</v>
      </c>
      <c r="B1663" s="32" t="n">
        <f aca="false">INDEX(Surface_Engine!$V$12:$V$72,$A1663+1)*IF($A1663&lt;$Q$1644,INDEX(Surface_Engine!$E$12:$E$72,$A1663+1),INDEX(Surface_Engine!$E$12:$E$72,$Q$1644+1))</f>
        <v>0.319263315169353</v>
      </c>
      <c r="C1663" s="32" t="n">
        <f aca="false">INDEX(Panel_Reserving!$H$8:$H$68,$A1663+1)*IF($A1663&lt;$Q$1644,INDEX(Surface_Engine!$E$12:$E$72,$A1663+1),INDEX(Surface_Engine!$E$12:$E$72,$Q$1644+1))</f>
        <v>0.388082394762458</v>
      </c>
      <c r="D1663" s="32" t="n">
        <f aca="false">INDEX(Surface_Engine!$V$12:$V$72,$A1663+1)*IF($A1663&lt;$Q$1644,INDEX(Surface_Engine!$Y$12:$Y$72,$A1663+1),INDEX(Surface_Engine!$Y$12:$Y$72,$Q$1644+1))</f>
        <v>0.289213885591933</v>
      </c>
      <c r="E1663" s="32" t="n">
        <f aca="false">INDEX(Surface_Engine!$V$12:$V$72,$A1663+1)*IF($A1663&lt;$Q$1644,INDEX(Surface_Engine!$Z$12:$Z$72,$A1663+1),INDEX(Surface_Engine!$Z$12:$Z$72,$Q$1644+1))</f>
        <v>0.352111527764604</v>
      </c>
      <c r="F1663" s="48" t="n">
        <f aca="false">B1663*(IF($A1663&lt;$Q$1644,INDEX(Surface_Engine!$D$12:$D$72,$A1663+1)+(Surface_Engine!Q251*12)*INDEX(Surface_Engine!$F$12:$F$72,$A1663+1)-(Surface_Engine!Q251*12),1000*12*INDEX(Surface_Engine!$C$12:$C$72,$A1663+1)/(1+Assumptions!$B$10)^15+INDEX(Surface_Engine!$D$12:$D$72,$A1663+1)))*INDEX(Surface_Engine!$B$12:$B$72,$A1663+1)+F1664</f>
        <v>12786.4070909259</v>
      </c>
      <c r="G1663" s="48" t="n">
        <f aca="false">C1663*(IF($A1663&lt;$Q$1644,INDEX(Surface_Engine!$D$12:$D$72,$A1663+1)+(Surface_Engine!Q251*12)*INDEX(Surface_Engine!$F$12:$F$72,$A1663+1)-(Surface_Engine!Q251*12),1000*12*INDEX(Surface_Engine!$C$12:$C$72,$A1663+1)/(1+Assumptions!$B$10)^15+INDEX(Surface_Engine!$D$12:$D$72,$A1663+1)))*INDEX(Surface_Engine!$B$12:$B$72,$A1663+1)+G1664</f>
        <v>18309.6732979721</v>
      </c>
      <c r="H1663" s="48" t="n">
        <f aca="false">D1663*(IF($A1663&lt;$Q$1644,INDEX(Surface_Engine!$D$12:$D$72,$A1663+1)+(Surface_Engine!Q251*12)*INDEX(Surface_Engine!$F$12:$F$72,$A1663+1)-(Surface_Engine!Q251*12),1000*12*INDEX(Surface_Engine!$C$12:$C$72,$A1663+1)/(1+Assumptions!$B$10)^15+INDEX(Surface_Engine!$D$12:$D$72,$A1663+1)))*INDEX(Surface_Engine!$B$12:$B$72,$A1663+1)+H1664</f>
        <v>11582.9357831648</v>
      </c>
      <c r="I1663" s="48" t="n">
        <f aca="false">E1663*(IF($A1663&lt;$Q$1644,INDEX(Surface_Engine!$D$12:$D$72,$A1663+1)+(Surface_Engine!Q251*12)*INDEX(Surface_Engine!$F$12:$F$72,$A1663+1)-(Surface_Engine!Q251*12),1000*12*INDEX(Surface_Engine!$C$12:$C$72,$A1663+1)/(1+Assumptions!$B$10)^15+INDEX(Surface_Engine!$D$12:$D$72,$A1663+1)))*INDEX(Surface_Engine!$B$12:$B$72,$A1663+1)+I1664</f>
        <v>14101.9688811346</v>
      </c>
      <c r="J1663" s="48" t="n">
        <f aca="false">B1663*(IF($A1663&lt;$Q$1644,INDEX(Surface_Engine!$D$12:$D$72,$A1663+1)*(1+Assumptions!$B$24)+(Surface_Engine!Q251*12)*INDEX(Surface_Engine!$F$12:$F$72,$A1663+1)-(Surface_Engine!Q251*12),1000*12*INDEX(Surface_Engine!$C$12:$C$72,$A1663+1)/(1+Assumptions!$B$10)^15+INDEX(Surface_Engine!$D$12:$D$72,$A1663+1)*(1+Assumptions!$B$24)))*INDEX(Surface_Engine!$B$12:$B$72,$A1663+1)+J1664</f>
        <v>12799.2863539462</v>
      </c>
      <c r="K1663" s="12" t="n">
        <f aca="false">SQRT((IF(C1663&lt;=0,0,MAX(0,(B1663/C1663)*G1663/INDEX(Surface_Engine!$B$12:$B$72,$A1663+1)-F1663/INDEX(Surface_Engine!$B$12:$B$72,$A1663+1))))^2+(MAX(IF(D1663&lt;=0,0,MAX(0,(B1663/D1663)*H1663/INDEX(Surface_Engine!$B$12:$B$72,$A1663+1)-F1663/INDEX(Surface_Engine!$B$12:$B$72,$A1663+1))),IF(E1663&lt;=0,0,MAX(0,(B1663/E1663)*I1663/INDEX(Surface_Engine!$B$12:$B$72,$A1663+1)-F1663/INDEX(Surface_Engine!$B$12:$B$72,$A1663+1))),IF($A1663&lt;$Q$1644,MAX(0,-Assumptions!$B$22*(F1663/INDEX(Surface_Engine!$B$12:$B$72,$A1663+1))),0)))^2+(MAX(0,J1663/INDEX(Surface_Engine!$B$12:$B$72,$A1663+1)-(F1663/INDEX(Surface_Engine!$B$12:$B$72,$A1663+1))))^2+2*Assumptions!$B$26*(IF(C1663&lt;=0,0,MAX(0,(B1663/C1663)*G1663/INDEX(Surface_Engine!$B$12:$B$72,$A1663+1)-F1663/INDEX(Surface_Engine!$B$12:$B$72,$A1663+1))))*(MAX(IF(D1663&lt;=0,0,MAX(0,(B1663/D1663)*H1663/INDEX(Surface_Engine!$B$12:$B$72,$A1663+1)-F1663/INDEX(Surface_Engine!$B$12:$B$72,$A1663+1))),IF(E1663&lt;=0,0,MAX(0,(B1663/E1663)*I1663/INDEX(Surface_Engine!$B$12:$B$72,$A1663+1)-F1663/INDEX(Surface_Engine!$B$12:$B$72,$A1663+1))),IF($A1663&lt;$Q$1644,MAX(0,-Assumptions!$B$22*(F1663/INDEX(Surface_Engine!$B$12:$B$72,$A1663+1))),0)))+2*Assumptions!$B$27*(IF(C1663&lt;=0,0,MAX(0,(B1663/C1663)*G1663/INDEX(Surface_Engine!$B$12:$B$72,$A1663+1)-F1663/INDEX(Surface_Engine!$B$12:$B$72,$A1663+1))))*(MAX(0,J1663/INDEX(Surface_Engine!$B$12:$B$72,$A1663+1)-(F1663/INDEX(Surface_Engine!$B$12:$B$72,$A1663+1))))+2*Assumptions!$B$28*(MAX(IF(D1663&lt;=0,0,MAX(0,(B1663/D1663)*H1663/INDEX(Surface_Engine!$B$12:$B$72,$A1663+1)-F1663/INDEX(Surface_Engine!$B$12:$B$72,$A1663+1))),IF(E1663&lt;=0,0,MAX(0,(B1663/E1663)*I1663/INDEX(Surface_Engine!$B$12:$B$72,$A1663+1)-F1663/INDEX(Surface_Engine!$B$12:$B$72,$A1663+1))),IF($A1663&lt;$Q$1644,MAX(0,-Assumptions!$B$22*(F1663/INDEX(Surface_Engine!$B$12:$B$72,$A1663+1))),0)))*(MAX(0,J1663/INDEX(Surface_Engine!$B$12:$B$72,$A1663+1)-(F1663/INDEX(Surface_Engine!$B$12:$B$72,$A1663+1)))))</f>
        <v>3866.10562339548</v>
      </c>
      <c r="L1663" s="48" t="n">
        <f aca="false">K1663*INDEX(Surface_Engine!$B$12:$B$72,$A1663+1)+L1664</f>
        <v>11019.7822718422</v>
      </c>
      <c r="M1663" s="48" t="n">
        <f aca="false">M1662+B1662*(IF($A1662&lt;$Q$1644,(Surface_Engine!Q251*12)-(Surface_Engine!Q251*12)*INDEX(Surface_Engine!$F$12:$F$72,$A1662+1)-INDEX(Surface_Engine!$D$12:$D$72,$A1662+1),-(1000*12*INDEX(Surface_Engine!$C$12:$C$72,$A1662+1)/(1+Assumptions!$B$10)^15+INDEX(Surface_Engine!$D$12:$D$72,$A1662+1))))*INDEX(Surface_Engine!$B$12:$B$72,$A1662+1)</f>
        <v>13502.3913033887</v>
      </c>
      <c r="N1663" s="12" t="n">
        <f aca="false">IF(B1663&lt;=0,0,MAX(0,(K1663+Assumptions!$B$29*L1663/INDEX(Surface_Engine!$B$12:$B$72,$A1663+1)-(M1663/INDEX(Surface_Engine!$B$12:$B$72,$A1663+1)-(F1663/INDEX(Surface_Engine!$B$12:$B$72,$A1663+1))))/B1663))</f>
        <v>11818.3750768453</v>
      </c>
    </row>
    <row r="1664" customFormat="false" ht="15" hidden="false" customHeight="true" outlineLevel="0" collapsed="false">
      <c r="A1664" s="1" t="n">
        <v>18</v>
      </c>
      <c r="B1664" s="32" t="n">
        <f aca="false">INDEX(Surface_Engine!$V$12:$V$72,$A1664+1)*IF($A1664&lt;$Q$1644,INDEX(Surface_Engine!$E$12:$E$72,$A1664+1),INDEX(Surface_Engine!$E$12:$E$72,$Q$1644+1))</f>
        <v>0.27646580415826</v>
      </c>
      <c r="C1664" s="32" t="n">
        <f aca="false">INDEX(Panel_Reserving!$H$8:$H$68,$A1664+1)*IF($A1664&lt;$Q$1644,INDEX(Surface_Engine!$E$12:$E$72,$A1664+1),INDEX(Surface_Engine!$E$12:$E$72,$Q$1644+1))</f>
        <v>0.346464182399418</v>
      </c>
      <c r="D1664" s="32" t="n">
        <f aca="false">INDEX(Surface_Engine!$V$12:$V$72,$A1664+1)*IF($A1664&lt;$Q$1644,INDEX(Surface_Engine!$Y$12:$Y$72,$A1664+1),INDEX(Surface_Engine!$Y$12:$Y$72,$Q$1644+1))</f>
        <v>0.250444525427217</v>
      </c>
      <c r="E1664" s="32" t="n">
        <f aca="false">INDEX(Surface_Engine!$V$12:$V$72,$A1664+1)*IF($A1664&lt;$Q$1644,INDEX(Surface_Engine!$Z$12:$Z$72,$A1664+1),INDEX(Surface_Engine!$Z$12:$Z$72,$Q$1644+1))</f>
        <v>0.304910686732665</v>
      </c>
      <c r="F1664" s="48" t="n">
        <f aca="false">B1664*(IF($A1664&lt;$Q$1644,INDEX(Surface_Engine!$D$12:$D$72,$A1664+1)+(Surface_Engine!Q251*12)*INDEX(Surface_Engine!$F$12:$F$72,$A1664+1)-(Surface_Engine!Q251*12),1000*12*INDEX(Surface_Engine!$C$12:$C$72,$A1664+1)/(1+Assumptions!$B$10)^15+INDEX(Surface_Engine!$D$12:$D$72,$A1664+1)))*INDEX(Surface_Engine!$B$12:$B$72,$A1664+1)+F1665</f>
        <v>10412.6132460746</v>
      </c>
      <c r="G1664" s="48" t="n">
        <f aca="false">C1664*(IF($A1664&lt;$Q$1644,INDEX(Surface_Engine!$D$12:$D$72,$A1664+1)+(Surface_Engine!Q251*12)*INDEX(Surface_Engine!$F$12:$F$72,$A1664+1)-(Surface_Engine!Q251*12),1000*12*INDEX(Surface_Engine!$C$12:$C$72,$A1664+1)/(1+Assumptions!$B$10)^15+INDEX(Surface_Engine!$D$12:$D$72,$A1664+1)))*INDEX(Surface_Engine!$B$12:$B$72,$A1664+1)+G1665</f>
        <v>15424.1942710641</v>
      </c>
      <c r="H1664" s="48" t="n">
        <f aca="false">D1664*(IF($A1664&lt;$Q$1644,INDEX(Surface_Engine!$D$12:$D$72,$A1664+1)+(Surface_Engine!Q251*12)*INDEX(Surface_Engine!$F$12:$F$72,$A1664+1)-(Surface_Engine!Q251*12),1000*12*INDEX(Surface_Engine!$C$12:$C$72,$A1664+1)/(1+Assumptions!$B$10)^15+INDEX(Surface_Engine!$D$12:$D$72,$A1664+1)))*INDEX(Surface_Engine!$B$12:$B$72,$A1664+1)+H1665</f>
        <v>9432.56613891211</v>
      </c>
      <c r="I1664" s="48" t="n">
        <f aca="false">E1664*(IF($A1664&lt;$Q$1644,INDEX(Surface_Engine!$D$12:$D$72,$A1664+1)+(Surface_Engine!Q251*12)*INDEX(Surface_Engine!$F$12:$F$72,$A1664+1)-(Surface_Engine!Q251*12),1000*12*INDEX(Surface_Engine!$C$12:$C$72,$A1664+1)/(1+Assumptions!$B$10)^15+INDEX(Surface_Engine!$D$12:$D$72,$A1664+1)))*INDEX(Surface_Engine!$B$12:$B$72,$A1664+1)+I1665</f>
        <v>11483.9412606877</v>
      </c>
      <c r="J1664" s="48" t="n">
        <f aca="false">B1664*(IF($A1664&lt;$Q$1644,INDEX(Surface_Engine!$D$12:$D$72,$A1664+1)*(1+Assumptions!$B$24)+(Surface_Engine!Q251*12)*INDEX(Surface_Engine!$F$12:$F$72,$A1664+1)-(Surface_Engine!Q251*12),1000*12*INDEX(Surface_Engine!$C$12:$C$72,$A1664+1)/(1+Assumptions!$B$10)^15+INDEX(Surface_Engine!$D$12:$D$72,$A1664+1)*(1+Assumptions!$B$24)))*INDEX(Surface_Engine!$B$12:$B$72,$A1664+1)+J1665</f>
        <v>10423.1436217198</v>
      </c>
      <c r="K1664" s="12" t="n">
        <f aca="false">SQRT((IF(C1664&lt;=0,0,MAX(0,(B1664/C1664)*G1664/INDEX(Surface_Engine!$B$12:$B$72,$A1664+1)-F1664/INDEX(Surface_Engine!$B$12:$B$72,$A1664+1))))^2+(MAX(IF(D1664&lt;=0,0,MAX(0,(B1664/D1664)*H1664/INDEX(Surface_Engine!$B$12:$B$72,$A1664+1)-F1664/INDEX(Surface_Engine!$B$12:$B$72,$A1664+1))),IF(E1664&lt;=0,0,MAX(0,(B1664/E1664)*I1664/INDEX(Surface_Engine!$B$12:$B$72,$A1664+1)-F1664/INDEX(Surface_Engine!$B$12:$B$72,$A1664+1))),IF($A1664&lt;$Q$1644,MAX(0,-Assumptions!$B$22*(F1664/INDEX(Surface_Engine!$B$12:$B$72,$A1664+1))),0)))^2+(MAX(0,J1664/INDEX(Surface_Engine!$B$12:$B$72,$A1664+1)-(F1664/INDEX(Surface_Engine!$B$12:$B$72,$A1664+1))))^2+2*Assumptions!$B$26*(IF(C1664&lt;=0,0,MAX(0,(B1664/C1664)*G1664/INDEX(Surface_Engine!$B$12:$B$72,$A1664+1)-F1664/INDEX(Surface_Engine!$B$12:$B$72,$A1664+1))))*(MAX(IF(D1664&lt;=0,0,MAX(0,(B1664/D1664)*H1664/INDEX(Surface_Engine!$B$12:$B$72,$A1664+1)-F1664/INDEX(Surface_Engine!$B$12:$B$72,$A1664+1))),IF(E1664&lt;=0,0,MAX(0,(B1664/E1664)*I1664/INDEX(Surface_Engine!$B$12:$B$72,$A1664+1)-F1664/INDEX(Surface_Engine!$B$12:$B$72,$A1664+1))),IF($A1664&lt;$Q$1644,MAX(0,-Assumptions!$B$22*(F1664/INDEX(Surface_Engine!$B$12:$B$72,$A1664+1))),0)))+2*Assumptions!$B$27*(IF(C1664&lt;=0,0,MAX(0,(B1664/C1664)*G1664/INDEX(Surface_Engine!$B$12:$B$72,$A1664+1)-F1664/INDEX(Surface_Engine!$B$12:$B$72,$A1664+1))))*(MAX(0,J1664/INDEX(Surface_Engine!$B$12:$B$72,$A1664+1)-(F1664/INDEX(Surface_Engine!$B$12:$B$72,$A1664+1))))+2*Assumptions!$B$28*(MAX(IF(D1664&lt;=0,0,MAX(0,(B1664/D1664)*H1664/INDEX(Surface_Engine!$B$12:$B$72,$A1664+1)-F1664/INDEX(Surface_Engine!$B$12:$B$72,$A1664+1))),IF(E1664&lt;=0,0,MAX(0,(B1664/E1664)*I1664/INDEX(Surface_Engine!$B$12:$B$72,$A1664+1)-F1664/INDEX(Surface_Engine!$B$12:$B$72,$A1664+1))),IF($A1664&lt;$Q$1644,MAX(0,-Assumptions!$B$22*(F1664/INDEX(Surface_Engine!$B$12:$B$72,$A1664+1))),0)))*(MAX(0,J1664/INDEX(Surface_Engine!$B$12:$B$72,$A1664+1)-(F1664/INDEX(Surface_Engine!$B$12:$B$72,$A1664+1)))))</f>
        <v>3325.65592761507</v>
      </c>
      <c r="L1664" s="48" t="n">
        <f aca="false">K1664*INDEX(Surface_Engine!$B$12:$B$72,$A1664+1)+L1665</f>
        <v>8740.13672471665</v>
      </c>
      <c r="M1664" s="48" t="n">
        <f aca="false">M1663+B1663*(IF($A1663&lt;$Q$1644,(Surface_Engine!Q251*12)-(Surface_Engine!Q251*12)*INDEX(Surface_Engine!$F$12:$F$72,$A1663+1)-INDEX(Surface_Engine!$D$12:$D$72,$A1663+1),-(1000*12*INDEX(Surface_Engine!$C$12:$C$72,$A1663+1)/(1+Assumptions!$B$10)^15+INDEX(Surface_Engine!$D$12:$D$72,$A1663+1))))*INDEX(Surface_Engine!$B$12:$B$72,$A1663+1)</f>
        <v>11128.5974585373</v>
      </c>
      <c r="N1664" s="12" t="n">
        <f aca="false">IF(B1664&lt;=0,0,MAX(0,(K1664+Assumptions!$B$29*L1664/INDEX(Surface_Engine!$B$12:$B$72,$A1664+1)-(M1664/INDEX(Surface_Engine!$B$12:$B$72,$A1664+1)-(F1664/INDEX(Surface_Engine!$B$12:$B$72,$A1664+1))))/B1664))</f>
        <v>10814.9977715238</v>
      </c>
    </row>
    <row r="1665" customFormat="false" ht="15" hidden="false" customHeight="true" outlineLevel="0" collapsed="false">
      <c r="A1665" s="1" t="n">
        <v>19</v>
      </c>
      <c r="B1665" s="32" t="n">
        <f aca="false">INDEX(Surface_Engine!$V$12:$V$72,$A1665+1)*IF($A1665&lt;$Q$1644,INDEX(Surface_Engine!$E$12:$E$72,$A1665+1),INDEX(Surface_Engine!$E$12:$E$72,$Q$1644+1))</f>
        <v>0.236041276858377</v>
      </c>
      <c r="C1665" s="32" t="n">
        <f aca="false">INDEX(Panel_Reserving!$H$8:$H$68,$A1665+1)*IF($A1665&lt;$Q$1644,INDEX(Surface_Engine!$E$12:$E$72,$A1665+1),INDEX(Surface_Engine!$E$12:$E$72,$Q$1644+1))</f>
        <v>0.305936491555397</v>
      </c>
      <c r="D1665" s="32" t="n">
        <f aca="false">INDEX(Surface_Engine!$V$12:$V$72,$A1665+1)*IF($A1665&lt;$Q$1644,INDEX(Surface_Engine!$Y$12:$Y$72,$A1665+1),INDEX(Surface_Engine!$Y$12:$Y$72,$Q$1644+1))</f>
        <v>0.213824801023821</v>
      </c>
      <c r="E1665" s="32" t="n">
        <f aca="false">INDEX(Surface_Engine!$V$12:$V$72,$A1665+1)*IF($A1665&lt;$Q$1644,INDEX(Surface_Engine!$Z$12:$Z$72,$A1665+1),INDEX(Surface_Engine!$Z$12:$Z$72,$Q$1644+1))</f>
        <v>0.260326979834886</v>
      </c>
      <c r="F1665" s="48" t="n">
        <f aca="false">B1665*(IF($A1665&lt;$Q$1644,INDEX(Surface_Engine!$D$12:$D$72,$A1665+1)+(Surface_Engine!Q251*12)*INDEX(Surface_Engine!$F$12:$F$72,$A1665+1)-(Surface_Engine!Q251*12),1000*12*INDEX(Surface_Engine!$C$12:$C$72,$A1665+1)/(1+Assumptions!$B$10)^15+INDEX(Surface_Engine!$D$12:$D$72,$A1665+1)))*INDEX(Surface_Engine!$B$12:$B$72,$A1665+1)+F1666</f>
        <v>8383.15489623358</v>
      </c>
      <c r="G1665" s="48" t="n">
        <f aca="false">C1665*(IF($A1665&lt;$Q$1644,INDEX(Surface_Engine!$D$12:$D$72,$A1665+1)+(Surface_Engine!Q251*12)*INDEX(Surface_Engine!$F$12:$F$72,$A1665+1)-(Surface_Engine!Q251*12),1000*12*INDEX(Surface_Engine!$C$12:$C$72,$A1665+1)/(1+Assumptions!$B$10)^15+INDEX(Surface_Engine!$D$12:$D$72,$A1665+1)))*INDEX(Surface_Engine!$B$12:$B$72,$A1665+1)+G1666</f>
        <v>12880.8973521842</v>
      </c>
      <c r="H1665" s="48" t="n">
        <f aca="false">D1665*(IF($A1665&lt;$Q$1644,INDEX(Surface_Engine!$D$12:$D$72,$A1665+1)+(Surface_Engine!Q251*12)*INDEX(Surface_Engine!$F$12:$F$72,$A1665+1)-(Surface_Engine!Q251*12),1000*12*INDEX(Surface_Engine!$C$12:$C$72,$A1665+1)/(1+Assumptions!$B$10)^15+INDEX(Surface_Engine!$D$12:$D$72,$A1665+1)))*INDEX(Surface_Engine!$B$12:$B$72,$A1665+1)+H1666</f>
        <v>7594.12273775539</v>
      </c>
      <c r="I1665" s="48" t="n">
        <f aca="false">E1665*(IF($A1665&lt;$Q$1644,INDEX(Surface_Engine!$D$12:$D$72,$A1665+1)+(Surface_Engine!Q251*12)*INDEX(Surface_Engine!$F$12:$F$72,$A1665+1)-(Surface_Engine!Q251*12),1000*12*INDEX(Surface_Engine!$C$12:$C$72,$A1665+1)/(1+Assumptions!$B$10)^15+INDEX(Surface_Engine!$D$12:$D$72,$A1665+1)))*INDEX(Surface_Engine!$B$12:$B$72,$A1665+1)+I1666</f>
        <v>9245.67696239809</v>
      </c>
      <c r="J1665" s="48" t="n">
        <f aca="false">B1665*(IF($A1665&lt;$Q$1644,INDEX(Surface_Engine!$D$12:$D$72,$A1665+1)*(1+Assumptions!$B$24)+(Surface_Engine!Q251*12)*INDEX(Surface_Engine!$F$12:$F$72,$A1665+1)-(Surface_Engine!Q251*12),1000*12*INDEX(Surface_Engine!$C$12:$C$72,$A1665+1)/(1+Assumptions!$B$10)^15+INDEX(Surface_Engine!$D$12:$D$72,$A1665+1)*(1+Assumptions!$B$24)))*INDEX(Surface_Engine!$B$12:$B$72,$A1665+1)+J1666</f>
        <v>8391.66736107468</v>
      </c>
      <c r="K1665" s="12" t="n">
        <f aca="false">SQRT((IF(C1665&lt;=0,0,MAX(0,(B1665/C1665)*G1665/INDEX(Surface_Engine!$B$12:$B$72,$A1665+1)-F1665/INDEX(Surface_Engine!$B$12:$B$72,$A1665+1))))^2+(MAX(IF(D1665&lt;=0,0,MAX(0,(B1665/D1665)*H1665/INDEX(Surface_Engine!$B$12:$B$72,$A1665+1)-F1665/INDEX(Surface_Engine!$B$12:$B$72,$A1665+1))),IF(E1665&lt;=0,0,MAX(0,(B1665/E1665)*I1665/INDEX(Surface_Engine!$B$12:$B$72,$A1665+1)-F1665/INDEX(Surface_Engine!$B$12:$B$72,$A1665+1))),IF($A1665&lt;$Q$1644,MAX(0,-Assumptions!$B$22*(F1665/INDEX(Surface_Engine!$B$12:$B$72,$A1665+1))),0)))^2+(MAX(0,J1665/INDEX(Surface_Engine!$B$12:$B$72,$A1665+1)-(F1665/INDEX(Surface_Engine!$B$12:$B$72,$A1665+1))))^2+2*Assumptions!$B$26*(IF(C1665&lt;=0,0,MAX(0,(B1665/C1665)*G1665/INDEX(Surface_Engine!$B$12:$B$72,$A1665+1)-F1665/INDEX(Surface_Engine!$B$12:$B$72,$A1665+1))))*(MAX(IF(D1665&lt;=0,0,MAX(0,(B1665/D1665)*H1665/INDEX(Surface_Engine!$B$12:$B$72,$A1665+1)-F1665/INDEX(Surface_Engine!$B$12:$B$72,$A1665+1))),IF(E1665&lt;=0,0,MAX(0,(B1665/E1665)*I1665/INDEX(Surface_Engine!$B$12:$B$72,$A1665+1)-F1665/INDEX(Surface_Engine!$B$12:$B$72,$A1665+1))),IF($A1665&lt;$Q$1644,MAX(0,-Assumptions!$B$22*(F1665/INDEX(Surface_Engine!$B$12:$B$72,$A1665+1))),0)))+2*Assumptions!$B$27*(IF(C1665&lt;=0,0,MAX(0,(B1665/C1665)*G1665/INDEX(Surface_Engine!$B$12:$B$72,$A1665+1)-F1665/INDEX(Surface_Engine!$B$12:$B$72,$A1665+1))))*(MAX(0,J1665/INDEX(Surface_Engine!$B$12:$B$72,$A1665+1)-(F1665/INDEX(Surface_Engine!$B$12:$B$72,$A1665+1))))+2*Assumptions!$B$28*(MAX(IF(D1665&lt;=0,0,MAX(0,(B1665/D1665)*H1665/INDEX(Surface_Engine!$B$12:$B$72,$A1665+1)-F1665/INDEX(Surface_Engine!$B$12:$B$72,$A1665+1))),IF(E1665&lt;=0,0,MAX(0,(B1665/E1665)*I1665/INDEX(Surface_Engine!$B$12:$B$72,$A1665+1)-F1665/INDEX(Surface_Engine!$B$12:$B$72,$A1665+1))),IF($A1665&lt;$Q$1644,MAX(0,-Assumptions!$B$22*(F1665/INDEX(Surface_Engine!$B$12:$B$72,$A1665+1))),0)))*(MAX(0,J1665/INDEX(Surface_Engine!$B$12:$B$72,$A1665+1)-(F1665/INDEX(Surface_Engine!$B$12:$B$72,$A1665+1)))))</f>
        <v>2816.22079499978</v>
      </c>
      <c r="L1665" s="48" t="n">
        <f aca="false">K1665*INDEX(Surface_Engine!$B$12:$B$72,$A1665+1)+L1666</f>
        <v>6842.14449616808</v>
      </c>
      <c r="M1665" s="48" t="n">
        <f aca="false">M1664+B1664*(IF($A1664&lt;$Q$1644,(Surface_Engine!Q251*12)-(Surface_Engine!Q251*12)*INDEX(Surface_Engine!$F$12:$F$72,$A1664+1)-INDEX(Surface_Engine!$D$12:$D$72,$A1664+1),-(1000*12*INDEX(Surface_Engine!$C$12:$C$72,$A1664+1)/(1+Assumptions!$B$10)^15+INDEX(Surface_Engine!$D$12:$D$72,$A1664+1))))*INDEX(Surface_Engine!$B$12:$B$72,$A1664+1)</f>
        <v>9099.13910869631</v>
      </c>
      <c r="N1665" s="12" t="n">
        <f aca="false">IF(B1665&lt;=0,0,MAX(0,(K1665+Assumptions!$B$29*L1665/INDEX(Surface_Engine!$B$12:$B$72,$A1665+1)-(M1665/INDEX(Surface_Engine!$B$12:$B$72,$A1665+1)-(F1665/INDEX(Surface_Engine!$B$12:$B$72,$A1665+1))))/B1665))</f>
        <v>9590.51648334034</v>
      </c>
    </row>
    <row r="1666" customFormat="false" ht="15" hidden="false" customHeight="true" outlineLevel="0" collapsed="false">
      <c r="A1666" s="1" t="n">
        <v>20</v>
      </c>
      <c r="B1666" s="32" t="n">
        <f aca="false">INDEX(Surface_Engine!$V$12:$V$72,$A1666+1)*IF($A1666&lt;$Q$1644,INDEX(Surface_Engine!$E$12:$E$72,$A1666+1),INDEX(Surface_Engine!$E$12:$E$72,$Q$1644+1))</f>
        <v>0.198885136712677</v>
      </c>
      <c r="C1666" s="32" t="n">
        <f aca="false">INDEX(Panel_Reserving!$H$8:$H$68,$A1666+1)*IF($A1666&lt;$Q$1644,INDEX(Surface_Engine!$E$12:$E$72,$A1666+1),INDEX(Surface_Engine!$E$12:$E$72,$Q$1644+1))</f>
        <v>0.267409605725216</v>
      </c>
      <c r="D1666" s="32" t="n">
        <f aca="false">INDEX(Surface_Engine!$V$12:$V$72,$A1666+1)*IF($A1666&lt;$Q$1644,INDEX(Surface_Engine!$Y$12:$Y$72,$A1666+1),INDEX(Surface_Engine!$Y$12:$Y$72,$Q$1644+1))</f>
        <v>0.180165839425192</v>
      </c>
      <c r="E1666" s="32" t="n">
        <f aca="false">INDEX(Surface_Engine!$V$12:$V$72,$A1666+1)*IF($A1666&lt;$Q$1644,INDEX(Surface_Engine!$Z$12:$Z$72,$A1666+1),INDEX(Surface_Engine!$Z$12:$Z$72,$Q$1644+1))</f>
        <v>0.219347936359132</v>
      </c>
      <c r="F1666" s="48" t="n">
        <f aca="false">B1666*(IF($A1666&lt;$Q$1644,INDEX(Surface_Engine!$D$12:$D$72,$A1666+1)+(Surface_Engine!Q251*12)*INDEX(Surface_Engine!$F$12:$F$72,$A1666+1)-(Surface_Engine!Q251*12),1000*12*INDEX(Surface_Engine!$C$12:$C$72,$A1666+1)/(1+Assumptions!$B$10)^15+INDEX(Surface_Engine!$D$12:$D$72,$A1666+1)))*INDEX(Surface_Engine!$B$12:$B$72,$A1666+1)+F1667</f>
        <v>6670.87135032085</v>
      </c>
      <c r="G1666" s="48" t="n">
        <f aca="false">C1666*(IF($A1666&lt;$Q$1644,INDEX(Surface_Engine!$D$12:$D$72,$A1666+1)+(Surface_Engine!Q251*12)*INDEX(Surface_Engine!$F$12:$F$72,$A1666+1)-(Surface_Engine!Q251*12),1000*12*INDEX(Surface_Engine!$C$12:$C$72,$A1666+1)/(1+Assumptions!$B$10)^15+INDEX(Surface_Engine!$D$12:$D$72,$A1666+1)))*INDEX(Surface_Engine!$B$12:$B$72,$A1666+1)+G1667</f>
        <v>10661.58203769</v>
      </c>
      <c r="H1666" s="48" t="n">
        <f aca="false">D1666*(IF($A1666&lt;$Q$1644,INDEX(Surface_Engine!$D$12:$D$72,$A1666+1)+(Surface_Engine!Q251*12)*INDEX(Surface_Engine!$F$12:$F$72,$A1666+1)-(Surface_Engine!Q251*12),1000*12*INDEX(Surface_Engine!$C$12:$C$72,$A1666+1)/(1+Assumptions!$B$10)^15+INDEX(Surface_Engine!$D$12:$D$72,$A1666+1)))*INDEX(Surface_Engine!$B$12:$B$72,$A1666+1)+H1667</f>
        <v>6043.00128402411</v>
      </c>
      <c r="I1666" s="48" t="n">
        <f aca="false">E1666*(IF($A1666&lt;$Q$1644,INDEX(Surface_Engine!$D$12:$D$72,$A1666+1)+(Surface_Engine!Q251*12)*INDEX(Surface_Engine!$F$12:$F$72,$A1666+1)-(Surface_Engine!Q251*12),1000*12*INDEX(Surface_Engine!$C$12:$C$72,$A1666+1)/(1+Assumptions!$B$10)^15+INDEX(Surface_Engine!$D$12:$D$72,$A1666+1)))*INDEX(Surface_Engine!$B$12:$B$72,$A1666+1)+I1667</f>
        <v>7357.22079887767</v>
      </c>
      <c r="J1666" s="48" t="n">
        <f aca="false">B1666*(IF($A1666&lt;$Q$1644,INDEX(Surface_Engine!$D$12:$D$72,$A1666+1)*(1+Assumptions!$B$24)+(Surface_Engine!Q251*12)*INDEX(Surface_Engine!$F$12:$F$72,$A1666+1)-(Surface_Engine!Q251*12),1000*12*INDEX(Surface_Engine!$C$12:$C$72,$A1666+1)/(1+Assumptions!$B$10)^15+INDEX(Surface_Engine!$D$12:$D$72,$A1666+1)*(1+Assumptions!$B$24)))*INDEX(Surface_Engine!$B$12:$B$72,$A1666+1)+J1667</f>
        <v>6677.67301204633</v>
      </c>
      <c r="K1666" s="12" t="n">
        <f aca="false">SQRT((IF(C1666&lt;=0,0,MAX(0,(B1666/C1666)*G1666/INDEX(Surface_Engine!$B$12:$B$72,$A1666+1)-F1666/INDEX(Surface_Engine!$B$12:$B$72,$A1666+1))))^2+(MAX(IF(D1666&lt;=0,0,MAX(0,(B1666/D1666)*H1666/INDEX(Surface_Engine!$B$12:$B$72,$A1666+1)-F1666/INDEX(Surface_Engine!$B$12:$B$72,$A1666+1))),IF(E1666&lt;=0,0,MAX(0,(B1666/E1666)*I1666/INDEX(Surface_Engine!$B$12:$B$72,$A1666+1)-F1666/INDEX(Surface_Engine!$B$12:$B$72,$A1666+1))),IF($A1666&lt;$Q$1644,MAX(0,-Assumptions!$B$22*(F1666/INDEX(Surface_Engine!$B$12:$B$72,$A1666+1))),0)))^2+(MAX(0,J1666/INDEX(Surface_Engine!$B$12:$B$72,$A1666+1)-(F1666/INDEX(Surface_Engine!$B$12:$B$72,$A1666+1))))^2+2*Assumptions!$B$26*(IF(C1666&lt;=0,0,MAX(0,(B1666/C1666)*G1666/INDEX(Surface_Engine!$B$12:$B$72,$A1666+1)-F1666/INDEX(Surface_Engine!$B$12:$B$72,$A1666+1))))*(MAX(IF(D1666&lt;=0,0,MAX(0,(B1666/D1666)*H1666/INDEX(Surface_Engine!$B$12:$B$72,$A1666+1)-F1666/INDEX(Surface_Engine!$B$12:$B$72,$A1666+1))),IF(E1666&lt;=0,0,MAX(0,(B1666/E1666)*I1666/INDEX(Surface_Engine!$B$12:$B$72,$A1666+1)-F1666/INDEX(Surface_Engine!$B$12:$B$72,$A1666+1))),IF($A1666&lt;$Q$1644,MAX(0,-Assumptions!$B$22*(F1666/INDEX(Surface_Engine!$B$12:$B$72,$A1666+1))),0)))+2*Assumptions!$B$27*(IF(C1666&lt;=0,0,MAX(0,(B1666/C1666)*G1666/INDEX(Surface_Engine!$B$12:$B$72,$A1666+1)-F1666/INDEX(Surface_Engine!$B$12:$B$72,$A1666+1))))*(MAX(0,J1666/INDEX(Surface_Engine!$B$12:$B$72,$A1666+1)-(F1666/INDEX(Surface_Engine!$B$12:$B$72,$A1666+1))))+2*Assumptions!$B$28*(MAX(IF(D1666&lt;=0,0,MAX(0,(B1666/D1666)*H1666/INDEX(Surface_Engine!$B$12:$B$72,$A1666+1)-F1666/INDEX(Surface_Engine!$B$12:$B$72,$A1666+1))),IF(E1666&lt;=0,0,MAX(0,(B1666/E1666)*I1666/INDEX(Surface_Engine!$B$12:$B$72,$A1666+1)-F1666/INDEX(Surface_Engine!$B$12:$B$72,$A1666+1))),IF($A1666&lt;$Q$1644,MAX(0,-Assumptions!$B$22*(F1666/INDEX(Surface_Engine!$B$12:$B$72,$A1666+1))),0)))*(MAX(0,J1666/INDEX(Surface_Engine!$B$12:$B$72,$A1666+1)-(F1666/INDEX(Surface_Engine!$B$12:$B$72,$A1666+1)))))</f>
        <v>2352.24030924575</v>
      </c>
      <c r="L1666" s="48" t="n">
        <f aca="false">K1666*INDEX(Surface_Engine!$B$12:$B$72,$A1666+1)+L1667</f>
        <v>5285.06249924206</v>
      </c>
      <c r="M1666" s="48" t="n">
        <f aca="false">M1665+B1665*(IF($A1665&lt;$Q$1644,(Surface_Engine!Q251*12)-(Surface_Engine!Q251*12)*INDEX(Surface_Engine!$F$12:$F$72,$A1665+1)-INDEX(Surface_Engine!$D$12:$D$72,$A1665+1),-(1000*12*INDEX(Surface_Engine!$C$12:$C$72,$A1665+1)/(1+Assumptions!$B$10)^15+INDEX(Surface_Engine!$D$12:$D$72,$A1665+1))))*INDEX(Surface_Engine!$B$12:$B$72,$A1665+1)</f>
        <v>7386.85556278358</v>
      </c>
      <c r="N1666" s="12" t="n">
        <f aca="false">IF(B1666&lt;=0,0,MAX(0,(K1666+Assumptions!$B$29*L1666/INDEX(Surface_Engine!$B$12:$B$72,$A1666+1)-(M1666/INDEX(Surface_Engine!$B$12:$B$72,$A1666+1)-(F1666/INDEX(Surface_Engine!$B$12:$B$72,$A1666+1))))/B1666))</f>
        <v>8084.08636003391</v>
      </c>
    </row>
    <row r="1667" customFormat="false" ht="15" hidden="false" customHeight="true" outlineLevel="0" collapsed="false">
      <c r="A1667" s="1" t="n">
        <v>21</v>
      </c>
      <c r="B1667" s="32" t="n">
        <f aca="false">INDEX(Surface_Engine!$V$12:$V$72,$A1667+1)*IF($A1667&lt;$Q$1644,INDEX(Surface_Engine!$E$12:$E$72,$A1667+1),INDEX(Surface_Engine!$E$12:$E$72,$Q$1644+1))</f>
        <v>0.164487398786541</v>
      </c>
      <c r="C1667" s="32" t="n">
        <f aca="false">INDEX(Panel_Reserving!$H$8:$H$68,$A1667+1)*IF($A1667&lt;$Q$1644,INDEX(Surface_Engine!$E$12:$E$72,$A1667+1),INDEX(Surface_Engine!$E$12:$E$72,$Q$1644+1))</f>
        <v>0.230410217279389</v>
      </c>
      <c r="D1667" s="32" t="n">
        <f aca="false">INDEX(Surface_Engine!$V$12:$V$72,$A1667+1)*IF($A1667&lt;$Q$1644,INDEX(Surface_Engine!$Y$12:$Y$72,$A1667+1),INDEX(Surface_Engine!$Y$12:$Y$72,$Q$1644+1))</f>
        <v>0.149005656063963</v>
      </c>
      <c r="E1667" s="32" t="n">
        <f aca="false">INDEX(Surface_Engine!$V$12:$V$72,$A1667+1)*IF($A1667&lt;$Q$1644,INDEX(Surface_Engine!$Z$12:$Z$72,$A1667+1),INDEX(Surface_Engine!$Z$12:$Z$72,$Q$1644+1))</f>
        <v>0.181411100282637</v>
      </c>
      <c r="F1667" s="48" t="n">
        <f aca="false">B1667*(IF($A1667&lt;$Q$1644,INDEX(Surface_Engine!$D$12:$D$72,$A1667+1)+(Surface_Engine!Q251*12)*INDEX(Surface_Engine!$F$12:$F$72,$A1667+1)-(Surface_Engine!Q251*12),1000*12*INDEX(Surface_Engine!$C$12:$C$72,$A1667+1)/(1+Assumptions!$B$10)^15+INDEX(Surface_Engine!$D$12:$D$72,$A1667+1)))*INDEX(Surface_Engine!$B$12:$B$72,$A1667+1)+F1668</f>
        <v>5244.66523161404</v>
      </c>
      <c r="G1667" s="48" t="n">
        <f aca="false">C1667*(IF($A1667&lt;$Q$1644,INDEX(Surface_Engine!$D$12:$D$72,$A1667+1)+(Surface_Engine!Q251*12)*INDEX(Surface_Engine!$F$12:$F$72,$A1667+1)-(Surface_Engine!Q251*12),1000*12*INDEX(Surface_Engine!$C$12:$C$72,$A1667+1)/(1+Assumptions!$B$10)^15+INDEX(Surface_Engine!$D$12:$D$72,$A1667+1)))*INDEX(Surface_Engine!$B$12:$B$72,$A1667+1)+G1668</f>
        <v>8743.98667490904</v>
      </c>
      <c r="H1667" s="48" t="n">
        <f aca="false">D1667*(IF($A1667&lt;$Q$1644,INDEX(Surface_Engine!$D$12:$D$72,$A1667+1)+(Surface_Engine!Q251*12)*INDEX(Surface_Engine!$F$12:$F$72,$A1667+1)-(Surface_Engine!Q251*12),1000*12*INDEX(Surface_Engine!$C$12:$C$72,$A1667+1)/(1+Assumptions!$B$10)^15+INDEX(Surface_Engine!$D$12:$D$72,$A1667+1)))*INDEX(Surface_Engine!$B$12:$B$72,$A1667+1)+H1668</f>
        <v>4751.03132177716</v>
      </c>
      <c r="I1667" s="48" t="n">
        <f aca="false">E1667*(IF($A1667&lt;$Q$1644,INDEX(Surface_Engine!$D$12:$D$72,$A1667+1)+(Surface_Engine!Q251*12)*INDEX(Surface_Engine!$F$12:$F$72,$A1667+1)-(Surface_Engine!Q251*12),1000*12*INDEX(Surface_Engine!$C$12:$C$72,$A1667+1)/(1+Assumptions!$B$10)^15+INDEX(Surface_Engine!$D$12:$D$72,$A1667+1)))*INDEX(Surface_Engine!$B$12:$B$72,$A1667+1)+I1668</f>
        <v>5784.27586125245</v>
      </c>
      <c r="J1667" s="48" t="n">
        <f aca="false">B1667*(IF($A1667&lt;$Q$1644,INDEX(Surface_Engine!$D$12:$D$72,$A1667+1)*(1+Assumptions!$B$24)+(Surface_Engine!Q251*12)*INDEX(Surface_Engine!$F$12:$F$72,$A1667+1)-(Surface_Engine!Q251*12),1000*12*INDEX(Surface_Engine!$C$12:$C$72,$A1667+1)/(1+Assumptions!$B$10)^15+INDEX(Surface_Engine!$D$12:$D$72,$A1667+1)*(1+Assumptions!$B$24)))*INDEX(Surface_Engine!$B$12:$B$72,$A1667+1)+J1668</f>
        <v>5250.03500527824</v>
      </c>
      <c r="K1667" s="12" t="n">
        <f aca="false">SQRT((IF(C1667&lt;=0,0,MAX(0,(B1667/C1667)*G1667/INDEX(Surface_Engine!$B$12:$B$72,$A1667+1)-F1667/INDEX(Surface_Engine!$B$12:$B$72,$A1667+1))))^2+(MAX(IF(D1667&lt;=0,0,MAX(0,(B1667/D1667)*H1667/INDEX(Surface_Engine!$B$12:$B$72,$A1667+1)-F1667/INDEX(Surface_Engine!$B$12:$B$72,$A1667+1))),IF(E1667&lt;=0,0,MAX(0,(B1667/E1667)*I1667/INDEX(Surface_Engine!$B$12:$B$72,$A1667+1)-F1667/INDEX(Surface_Engine!$B$12:$B$72,$A1667+1))),IF($A1667&lt;$Q$1644,MAX(0,-Assumptions!$B$22*(F1667/INDEX(Surface_Engine!$B$12:$B$72,$A1667+1))),0)))^2+(MAX(0,J1667/INDEX(Surface_Engine!$B$12:$B$72,$A1667+1)-(F1667/INDEX(Surface_Engine!$B$12:$B$72,$A1667+1))))^2+2*Assumptions!$B$26*(IF(C1667&lt;=0,0,MAX(0,(B1667/C1667)*G1667/INDEX(Surface_Engine!$B$12:$B$72,$A1667+1)-F1667/INDEX(Surface_Engine!$B$12:$B$72,$A1667+1))))*(MAX(IF(D1667&lt;=0,0,MAX(0,(B1667/D1667)*H1667/INDEX(Surface_Engine!$B$12:$B$72,$A1667+1)-F1667/INDEX(Surface_Engine!$B$12:$B$72,$A1667+1))),IF(E1667&lt;=0,0,MAX(0,(B1667/E1667)*I1667/INDEX(Surface_Engine!$B$12:$B$72,$A1667+1)-F1667/INDEX(Surface_Engine!$B$12:$B$72,$A1667+1))),IF($A1667&lt;$Q$1644,MAX(0,-Assumptions!$B$22*(F1667/INDEX(Surface_Engine!$B$12:$B$72,$A1667+1))),0)))+2*Assumptions!$B$27*(IF(C1667&lt;=0,0,MAX(0,(B1667/C1667)*G1667/INDEX(Surface_Engine!$B$12:$B$72,$A1667+1)-F1667/INDEX(Surface_Engine!$B$12:$B$72,$A1667+1))))*(MAX(0,J1667/INDEX(Surface_Engine!$B$12:$B$72,$A1667+1)-(F1667/INDEX(Surface_Engine!$B$12:$B$72,$A1667+1))))+2*Assumptions!$B$28*(MAX(IF(D1667&lt;=0,0,MAX(0,(B1667/D1667)*H1667/INDEX(Surface_Engine!$B$12:$B$72,$A1667+1)-F1667/INDEX(Surface_Engine!$B$12:$B$72,$A1667+1))),IF(E1667&lt;=0,0,MAX(0,(B1667/E1667)*I1667/INDEX(Surface_Engine!$B$12:$B$72,$A1667+1)-F1667/INDEX(Surface_Engine!$B$12:$B$72,$A1667+1))),IF($A1667&lt;$Q$1644,MAX(0,-Assumptions!$B$22*(F1667/INDEX(Surface_Engine!$B$12:$B$72,$A1667+1))),0)))*(MAX(0,J1667/INDEX(Surface_Engine!$B$12:$B$72,$A1667+1)-(F1667/INDEX(Surface_Engine!$B$12:$B$72,$A1667+1)))))</f>
        <v>1923.78682299698</v>
      </c>
      <c r="L1667" s="48" t="n">
        <f aca="false">K1667*INDEX(Surface_Engine!$B$12:$B$72,$A1667+1)+L1668</f>
        <v>4024.69479094073</v>
      </c>
      <c r="M1667" s="48" t="n">
        <f aca="false">M1666+B1666*(IF($A1666&lt;$Q$1644,(Surface_Engine!Q251*12)-(Surface_Engine!Q251*12)*INDEX(Surface_Engine!$F$12:$F$72,$A1666+1)-INDEX(Surface_Engine!$D$12:$D$72,$A1666+1),-(1000*12*INDEX(Surface_Engine!$C$12:$C$72,$A1666+1)/(1+Assumptions!$B$10)^15+INDEX(Surface_Engine!$D$12:$D$72,$A1666+1))))*INDEX(Surface_Engine!$B$12:$B$72,$A1666+1)</f>
        <v>5960.64944407677</v>
      </c>
      <c r="N1667" s="12" t="n">
        <f aca="false">IF(B1667&lt;=0,0,MAX(0,(K1667+Assumptions!$B$29*L1667/INDEX(Surface_Engine!$B$12:$B$72,$A1667+1)-(M1667/INDEX(Surface_Engine!$B$12:$B$72,$A1667+1)-(F1667/INDEX(Surface_Engine!$B$12:$B$72,$A1667+1))))/B1667))</f>
        <v>6140.0874420964</v>
      </c>
    </row>
    <row r="1668" customFormat="false" ht="15" hidden="false" customHeight="true" outlineLevel="0" collapsed="false">
      <c r="A1668" s="1" t="n">
        <v>22</v>
      </c>
      <c r="B1668" s="32" t="n">
        <f aca="false">INDEX(Surface_Engine!$V$12:$V$72,$A1668+1)*IF($A1668&lt;$Q$1644,INDEX(Surface_Engine!$E$12:$E$72,$A1668+1),INDEX(Surface_Engine!$E$12:$E$72,$Q$1644+1))</f>
        <v>0.134389100359915</v>
      </c>
      <c r="C1668" s="32" t="n">
        <f aca="false">INDEX(Panel_Reserving!$H$8:$H$68,$A1668+1)*IF($A1668&lt;$Q$1644,INDEX(Surface_Engine!$E$12:$E$72,$A1668+1),INDEX(Surface_Engine!$E$12:$E$72,$Q$1644+1))</f>
        <v>0.196681406287766</v>
      </c>
      <c r="D1668" s="32" t="n">
        <f aca="false">INDEX(Surface_Engine!$V$12:$V$72,$A1668+1)*IF($A1668&lt;$Q$1644,INDEX(Surface_Engine!$Y$12:$Y$72,$A1668+1),INDEX(Surface_Engine!$Y$12:$Y$72,$Q$1644+1))</f>
        <v>0.121740244022957</v>
      </c>
      <c r="E1668" s="32" t="n">
        <f aca="false">INDEX(Surface_Engine!$V$12:$V$72,$A1668+1)*IF($A1668&lt;$Q$1644,INDEX(Surface_Engine!$Z$12:$Z$72,$A1668+1),INDEX(Surface_Engine!$Z$12:$Z$72,$Q$1644+1))</f>
        <v>0.148216062398336</v>
      </c>
      <c r="F1668" s="48" t="n">
        <f aca="false">B1668*(IF($A1668&lt;$Q$1644,INDEX(Surface_Engine!$D$12:$D$72,$A1668+1)+(Surface_Engine!Q251*12)*INDEX(Surface_Engine!$F$12:$F$72,$A1668+1)-(Surface_Engine!Q251*12),1000*12*INDEX(Surface_Engine!$C$12:$C$72,$A1668+1)/(1+Assumptions!$B$10)^15+INDEX(Surface_Engine!$D$12:$D$72,$A1668+1)))*INDEX(Surface_Engine!$B$12:$B$72,$A1668+1)+F1669</f>
        <v>4078.67067270609</v>
      </c>
      <c r="G1668" s="48" t="n">
        <f aca="false">C1668*(IF($A1668&lt;$Q$1644,INDEX(Surface_Engine!$D$12:$D$72,$A1668+1)+(Surface_Engine!Q251*12)*INDEX(Surface_Engine!$F$12:$F$72,$A1668+1)-(Surface_Engine!Q251*12),1000*12*INDEX(Surface_Engine!$C$12:$C$72,$A1668+1)/(1+Assumptions!$B$10)^15+INDEX(Surface_Engine!$D$12:$D$72,$A1668+1)))*INDEX(Surface_Engine!$B$12:$B$72,$A1668+1)+G1669</f>
        <v>7110.68794414604</v>
      </c>
      <c r="H1668" s="48" t="n">
        <f aca="false">D1668*(IF($A1668&lt;$Q$1644,INDEX(Surface_Engine!$D$12:$D$72,$A1668+1)+(Surface_Engine!Q251*12)*INDEX(Surface_Engine!$F$12:$F$72,$A1668+1)-(Surface_Engine!Q251*12),1000*12*INDEX(Surface_Engine!$C$12:$C$72,$A1668+1)/(1+Assumptions!$B$10)^15+INDEX(Surface_Engine!$D$12:$D$72,$A1668+1)))*INDEX(Surface_Engine!$B$12:$B$72,$A1668+1)+H1669</f>
        <v>3694.78150872883</v>
      </c>
      <c r="I1668" s="48" t="n">
        <f aca="false">E1668*(IF($A1668&lt;$Q$1644,INDEX(Surface_Engine!$D$12:$D$72,$A1668+1)+(Surface_Engine!Q251*12)*INDEX(Surface_Engine!$F$12:$F$72,$A1668+1)-(Surface_Engine!Q251*12),1000*12*INDEX(Surface_Engine!$C$12:$C$72,$A1668+1)/(1+Assumptions!$B$10)^15+INDEX(Surface_Engine!$D$12:$D$72,$A1668+1)))*INDEX(Surface_Engine!$B$12:$B$72,$A1668+1)+I1669</f>
        <v>4498.31500701364</v>
      </c>
      <c r="J1668" s="48" t="n">
        <f aca="false">B1668*(IF($A1668&lt;$Q$1644,INDEX(Surface_Engine!$D$12:$D$72,$A1668+1)*(1+Assumptions!$B$24)+(Surface_Engine!Q251*12)*INDEX(Surface_Engine!$F$12:$F$72,$A1668+1)-(Surface_Engine!Q251*12),1000*12*INDEX(Surface_Engine!$C$12:$C$72,$A1668+1)/(1+Assumptions!$B$10)^15+INDEX(Surface_Engine!$D$12:$D$72,$A1668+1)*(1+Assumptions!$B$24)))*INDEX(Surface_Engine!$B$12:$B$72,$A1668+1)+J1669</f>
        <v>4082.86412600219</v>
      </c>
      <c r="K1668" s="12" t="n">
        <f aca="false">SQRT((IF(C1668&lt;=0,0,MAX(0,(B1668/C1668)*G1668/INDEX(Surface_Engine!$B$12:$B$72,$A1668+1)-F1668/INDEX(Surface_Engine!$B$12:$B$72,$A1668+1))))^2+(MAX(IF(D1668&lt;=0,0,MAX(0,(B1668/D1668)*H1668/INDEX(Surface_Engine!$B$12:$B$72,$A1668+1)-F1668/INDEX(Surface_Engine!$B$12:$B$72,$A1668+1))),IF(E1668&lt;=0,0,MAX(0,(B1668/E1668)*I1668/INDEX(Surface_Engine!$B$12:$B$72,$A1668+1)-F1668/INDEX(Surface_Engine!$B$12:$B$72,$A1668+1))),IF($A1668&lt;$Q$1644,MAX(0,-Assumptions!$B$22*(F1668/INDEX(Surface_Engine!$B$12:$B$72,$A1668+1))),0)))^2+(MAX(0,J1668/INDEX(Surface_Engine!$B$12:$B$72,$A1668+1)-(F1668/INDEX(Surface_Engine!$B$12:$B$72,$A1668+1))))^2+2*Assumptions!$B$26*(IF(C1668&lt;=0,0,MAX(0,(B1668/C1668)*G1668/INDEX(Surface_Engine!$B$12:$B$72,$A1668+1)-F1668/INDEX(Surface_Engine!$B$12:$B$72,$A1668+1))))*(MAX(IF(D1668&lt;=0,0,MAX(0,(B1668/D1668)*H1668/INDEX(Surface_Engine!$B$12:$B$72,$A1668+1)-F1668/INDEX(Surface_Engine!$B$12:$B$72,$A1668+1))),IF(E1668&lt;=0,0,MAX(0,(B1668/E1668)*I1668/INDEX(Surface_Engine!$B$12:$B$72,$A1668+1)-F1668/INDEX(Surface_Engine!$B$12:$B$72,$A1668+1))),IF($A1668&lt;$Q$1644,MAX(0,-Assumptions!$B$22*(F1668/INDEX(Surface_Engine!$B$12:$B$72,$A1668+1))),0)))+2*Assumptions!$B$27*(IF(C1668&lt;=0,0,MAX(0,(B1668/C1668)*G1668/INDEX(Surface_Engine!$B$12:$B$72,$A1668+1)-F1668/INDEX(Surface_Engine!$B$12:$B$72,$A1668+1))))*(MAX(0,J1668/INDEX(Surface_Engine!$B$12:$B$72,$A1668+1)-(F1668/INDEX(Surface_Engine!$B$12:$B$72,$A1668+1))))+2*Assumptions!$B$28*(MAX(IF(D1668&lt;=0,0,MAX(0,(B1668/D1668)*H1668/INDEX(Surface_Engine!$B$12:$B$72,$A1668+1)-F1668/INDEX(Surface_Engine!$B$12:$B$72,$A1668+1))),IF(E1668&lt;=0,0,MAX(0,(B1668/E1668)*I1668/INDEX(Surface_Engine!$B$12:$B$72,$A1668+1)-F1668/INDEX(Surface_Engine!$B$12:$B$72,$A1668+1))),IF($A1668&lt;$Q$1644,MAX(0,-Assumptions!$B$22*(F1668/INDEX(Surface_Engine!$B$12:$B$72,$A1668+1))),0)))*(MAX(0,J1668/INDEX(Surface_Engine!$B$12:$B$72,$A1668+1)-(F1668/INDEX(Surface_Engine!$B$12:$B$72,$A1668+1)))))</f>
        <v>1552.10158088201</v>
      </c>
      <c r="L1668" s="48" t="n">
        <f aca="false">K1668*INDEX(Surface_Engine!$B$12:$B$72,$A1668+1)+L1669</f>
        <v>3025.76514006933</v>
      </c>
      <c r="M1668" s="48" t="n">
        <f aca="false">M1667+B1667*(IF($A1667&lt;$Q$1644,(Surface_Engine!Q251*12)-(Surface_Engine!Q251*12)*INDEX(Surface_Engine!$F$12:$F$72,$A1667+1)-INDEX(Surface_Engine!$D$12:$D$72,$A1667+1),-(1000*12*INDEX(Surface_Engine!$C$12:$C$72,$A1667+1)/(1+Assumptions!$B$10)^15+INDEX(Surface_Engine!$D$12:$D$72,$A1667+1))))*INDEX(Surface_Engine!$B$12:$B$72,$A1667+1)</f>
        <v>4794.65488516882</v>
      </c>
      <c r="N1668" s="12" t="n">
        <f aca="false">IF(B1668&lt;=0,0,MAX(0,(K1668+Assumptions!$B$29*L1668/INDEX(Surface_Engine!$B$12:$B$72,$A1668+1)-(M1668/INDEX(Surface_Engine!$B$12:$B$72,$A1668+1)-(F1668/INDEX(Surface_Engine!$B$12:$B$72,$A1668+1))))/B1668))</f>
        <v>3646.13626341576</v>
      </c>
    </row>
    <row r="1669" customFormat="false" ht="15" hidden="false" customHeight="true" outlineLevel="0" collapsed="false">
      <c r="A1669" s="1" t="n">
        <v>23</v>
      </c>
      <c r="B1669" s="32" t="n">
        <f aca="false">INDEX(Surface_Engine!$V$12:$V$72,$A1669+1)*IF($A1669&lt;$Q$1644,INDEX(Surface_Engine!$E$12:$E$72,$A1669+1),INDEX(Surface_Engine!$E$12:$E$72,$Q$1644+1))</f>
        <v>0.108506459833638</v>
      </c>
      <c r="C1669" s="32" t="n">
        <f aca="false">INDEX(Panel_Reserving!$H$8:$H$68,$A1669+1)*IF($A1669&lt;$Q$1644,INDEX(Surface_Engine!$E$12:$E$72,$A1669+1),INDEX(Surface_Engine!$E$12:$E$72,$Q$1644+1))</f>
        <v>0.166377555016998</v>
      </c>
      <c r="D1669" s="32" t="n">
        <f aca="false">INDEX(Surface_Engine!$V$12:$V$72,$A1669+1)*IF($A1669&lt;$Q$1644,INDEX(Surface_Engine!$Y$12:$Y$72,$A1669+1),INDEX(Surface_Engine!$Y$12:$Y$72,$Q$1644+1))</f>
        <v>0.0982937073232641</v>
      </c>
      <c r="E1669" s="32" t="n">
        <f aca="false">INDEX(Surface_Engine!$V$12:$V$72,$A1669+1)*IF($A1669&lt;$Q$1644,INDEX(Surface_Engine!$Z$12:$Z$72,$A1669+1),INDEX(Surface_Engine!$Z$12:$Z$72,$Q$1644+1))</f>
        <v>0.119670421025618</v>
      </c>
      <c r="F1669" s="48" t="n">
        <f aca="false">B1669*(IF($A1669&lt;$Q$1644,INDEX(Surface_Engine!$D$12:$D$72,$A1669+1)+(Surface_Engine!Q251*12)*INDEX(Surface_Engine!$F$12:$F$72,$A1669+1)-(Surface_Engine!Q251*12),1000*12*INDEX(Surface_Engine!$C$12:$C$72,$A1669+1)/(1+Assumptions!$B$10)^15+INDEX(Surface_Engine!$D$12:$D$72,$A1669+1)))*INDEX(Surface_Engine!$B$12:$B$72,$A1669+1)+F1670</f>
        <v>3136.99023775476</v>
      </c>
      <c r="G1669" s="48" t="n">
        <f aca="false">C1669*(IF($A1669&lt;$Q$1644,INDEX(Surface_Engine!$D$12:$D$72,$A1669+1)+(Surface_Engine!Q251*12)*INDEX(Surface_Engine!$F$12:$F$72,$A1669+1)-(Surface_Engine!Q251*12),1000*12*INDEX(Surface_Engine!$C$12:$C$72,$A1669+1)/(1+Assumptions!$B$10)^15+INDEX(Surface_Engine!$D$12:$D$72,$A1669+1)))*INDEX(Surface_Engine!$B$12:$B$72,$A1669+1)+G1670</f>
        <v>5732.51790115983</v>
      </c>
      <c r="H1669" s="48" t="n">
        <f aca="false">D1669*(IF($A1669&lt;$Q$1644,INDEX(Surface_Engine!$D$12:$D$72,$A1669+1)+(Surface_Engine!Q251*12)*INDEX(Surface_Engine!$F$12:$F$72,$A1669+1)-(Surface_Engine!Q251*12),1000*12*INDEX(Surface_Engine!$C$12:$C$72,$A1669+1)/(1+Assumptions!$B$10)^15+INDEX(Surface_Engine!$D$12:$D$72,$A1669+1)))*INDEX(Surface_Engine!$B$12:$B$72,$A1669+1)+H1670</f>
        <v>2841.73311689055</v>
      </c>
      <c r="I1669" s="48" t="n">
        <f aca="false">E1669*(IF($A1669&lt;$Q$1644,INDEX(Surface_Engine!$D$12:$D$72,$A1669+1)+(Surface_Engine!Q251*12)*INDEX(Surface_Engine!$F$12:$F$72,$A1669+1)-(Surface_Engine!Q251*12),1000*12*INDEX(Surface_Engine!$C$12:$C$72,$A1669+1)/(1+Assumptions!$B$10)^15+INDEX(Surface_Engine!$D$12:$D$72,$A1669+1)))*INDEX(Surface_Engine!$B$12:$B$72,$A1669+1)+I1670</f>
        <v>3459.74740196053</v>
      </c>
      <c r="J1669" s="48" t="n">
        <f aca="false">B1669*(IF($A1669&lt;$Q$1644,INDEX(Surface_Engine!$D$12:$D$72,$A1669+1)*(1+Assumptions!$B$24)+(Surface_Engine!Q251*12)*INDEX(Surface_Engine!$F$12:$F$72,$A1669+1)-(Surface_Engine!Q251*12),1000*12*INDEX(Surface_Engine!$C$12:$C$72,$A1669+1)/(1+Assumptions!$B$10)^15+INDEX(Surface_Engine!$D$12:$D$72,$A1669+1)*(1+Assumptions!$B$24)))*INDEX(Surface_Engine!$B$12:$B$72,$A1669+1)+J1670</f>
        <v>3140.22906153705</v>
      </c>
      <c r="K1669" s="12" t="n">
        <f aca="false">SQRT((IF(C1669&lt;=0,0,MAX(0,(B1669/C1669)*G1669/INDEX(Surface_Engine!$B$12:$B$72,$A1669+1)-F1669/INDEX(Surface_Engine!$B$12:$B$72,$A1669+1))))^2+(MAX(IF(D1669&lt;=0,0,MAX(0,(B1669/D1669)*H1669/INDEX(Surface_Engine!$B$12:$B$72,$A1669+1)-F1669/INDEX(Surface_Engine!$B$12:$B$72,$A1669+1))),IF(E1669&lt;=0,0,MAX(0,(B1669/E1669)*I1669/INDEX(Surface_Engine!$B$12:$B$72,$A1669+1)-F1669/INDEX(Surface_Engine!$B$12:$B$72,$A1669+1))),IF($A1669&lt;$Q$1644,MAX(0,-Assumptions!$B$22*(F1669/INDEX(Surface_Engine!$B$12:$B$72,$A1669+1))),0)))^2+(MAX(0,J1669/INDEX(Surface_Engine!$B$12:$B$72,$A1669+1)-(F1669/INDEX(Surface_Engine!$B$12:$B$72,$A1669+1))))^2+2*Assumptions!$B$26*(IF(C1669&lt;=0,0,MAX(0,(B1669/C1669)*G1669/INDEX(Surface_Engine!$B$12:$B$72,$A1669+1)-F1669/INDEX(Surface_Engine!$B$12:$B$72,$A1669+1))))*(MAX(IF(D1669&lt;=0,0,MAX(0,(B1669/D1669)*H1669/INDEX(Surface_Engine!$B$12:$B$72,$A1669+1)-F1669/INDEX(Surface_Engine!$B$12:$B$72,$A1669+1))),IF(E1669&lt;=0,0,MAX(0,(B1669/E1669)*I1669/INDEX(Surface_Engine!$B$12:$B$72,$A1669+1)-F1669/INDEX(Surface_Engine!$B$12:$B$72,$A1669+1))),IF($A1669&lt;$Q$1644,MAX(0,-Assumptions!$B$22*(F1669/INDEX(Surface_Engine!$B$12:$B$72,$A1669+1))),0)))+2*Assumptions!$B$27*(IF(C1669&lt;=0,0,MAX(0,(B1669/C1669)*G1669/INDEX(Surface_Engine!$B$12:$B$72,$A1669+1)-F1669/INDEX(Surface_Engine!$B$12:$B$72,$A1669+1))))*(MAX(0,J1669/INDEX(Surface_Engine!$B$12:$B$72,$A1669+1)-(F1669/INDEX(Surface_Engine!$B$12:$B$72,$A1669+1))))+2*Assumptions!$B$28*(MAX(IF(D1669&lt;=0,0,MAX(0,(B1669/D1669)*H1669/INDEX(Surface_Engine!$B$12:$B$72,$A1669+1)-F1669/INDEX(Surface_Engine!$B$12:$B$72,$A1669+1))),IF(E1669&lt;=0,0,MAX(0,(B1669/E1669)*I1669/INDEX(Surface_Engine!$B$12:$B$72,$A1669+1)-F1669/INDEX(Surface_Engine!$B$12:$B$72,$A1669+1))),IF($A1669&lt;$Q$1644,MAX(0,-Assumptions!$B$22*(F1669/INDEX(Surface_Engine!$B$12:$B$72,$A1669+1))),0)))*(MAX(0,J1669/INDEX(Surface_Engine!$B$12:$B$72,$A1669+1)-(F1669/INDEX(Surface_Engine!$B$12:$B$72,$A1669+1)))))</f>
        <v>1235.40827310497</v>
      </c>
      <c r="L1669" s="48" t="n">
        <f aca="false">K1669*INDEX(Surface_Engine!$B$12:$B$72,$A1669+1)+L1670</f>
        <v>2244.76329348715</v>
      </c>
      <c r="M1669" s="48" t="n">
        <f aca="false">M1668+B1668*(IF($A1668&lt;$Q$1644,(Surface_Engine!Q251*12)-(Surface_Engine!Q251*12)*INDEX(Surface_Engine!$F$12:$F$72,$A1668+1)-INDEX(Surface_Engine!$D$12:$D$72,$A1668+1),-(1000*12*INDEX(Surface_Engine!$C$12:$C$72,$A1668+1)/(1+Assumptions!$B$10)^15+INDEX(Surface_Engine!$D$12:$D$72,$A1668+1))))*INDEX(Surface_Engine!$B$12:$B$72,$A1668+1)</f>
        <v>3852.97445021749</v>
      </c>
      <c r="N1669" s="12" t="n">
        <f aca="false">IF(B1669&lt;=0,0,MAX(0,(K1669+Assumptions!$B$29*L1669/INDEX(Surface_Engine!$B$12:$B$72,$A1669+1)-(M1669/INDEX(Surface_Engine!$B$12:$B$72,$A1669+1)-(F1669/INDEX(Surface_Engine!$B$12:$B$72,$A1669+1))))/B1669))</f>
        <v>398.903442483658</v>
      </c>
    </row>
    <row r="1670" customFormat="false" ht="15" hidden="false" customHeight="true" outlineLevel="0" collapsed="false">
      <c r="A1670" s="1" t="n">
        <v>24</v>
      </c>
      <c r="B1670" s="32" t="n">
        <f aca="false">INDEX(Surface_Engine!$V$12:$V$72,$A1670+1)*IF($A1670&lt;$Q$1644,INDEX(Surface_Engine!$E$12:$E$72,$A1670+1),INDEX(Surface_Engine!$E$12:$E$72,$Q$1644+1))</f>
        <v>0.0865824508384792</v>
      </c>
      <c r="C1670" s="32" t="n">
        <f aca="false">INDEX(Panel_Reserving!$H$8:$H$68,$A1670+1)*IF($A1670&lt;$Q$1644,INDEX(Surface_Engine!$E$12:$E$72,$A1670+1),INDEX(Surface_Engine!$E$12:$E$72,$Q$1644+1))</f>
        <v>0.139483945044815</v>
      </c>
      <c r="D1670" s="32" t="n">
        <f aca="false">INDEX(Surface_Engine!$V$12:$V$72,$A1670+1)*IF($A1670&lt;$Q$1644,INDEX(Surface_Engine!$Y$12:$Y$72,$A1670+1),INDEX(Surface_Engine!$Y$12:$Y$72,$Q$1644+1))</f>
        <v>0.0784332112124631</v>
      </c>
      <c r="E1670" s="32" t="n">
        <f aca="false">INDEX(Surface_Engine!$V$12:$V$72,$A1670+1)*IF($A1670&lt;$Q$1644,INDEX(Surface_Engine!$Z$12:$Z$72,$A1670+1),INDEX(Surface_Engine!$Z$12:$Z$72,$Q$1644+1))</f>
        <v>0.095490704988041</v>
      </c>
      <c r="F1670" s="48" t="n">
        <f aca="false">B1670*(IF($A1670&lt;$Q$1644,INDEX(Surface_Engine!$D$12:$D$72,$A1670+1)+(Surface_Engine!Q251*12)*INDEX(Surface_Engine!$F$12:$F$72,$A1670+1)-(Surface_Engine!Q251*12),1000*12*INDEX(Surface_Engine!$C$12:$C$72,$A1670+1)/(1+Assumptions!$B$10)^15+INDEX(Surface_Engine!$D$12:$D$72,$A1670+1)))*INDEX(Surface_Engine!$B$12:$B$72,$A1670+1)+F1671</f>
        <v>2385.43243052908</v>
      </c>
      <c r="G1670" s="48" t="n">
        <f aca="false">C1670*(IF($A1670&lt;$Q$1644,INDEX(Surface_Engine!$D$12:$D$72,$A1670+1)+(Surface_Engine!Q251*12)*INDEX(Surface_Engine!$F$12:$F$72,$A1670+1)-(Surface_Engine!Q251*12),1000*12*INDEX(Surface_Engine!$C$12:$C$72,$A1670+1)/(1+Assumptions!$B$10)^15+INDEX(Surface_Engine!$D$12:$D$72,$A1670+1)))*INDEX(Surface_Engine!$B$12:$B$72,$A1670+1)+G1671</f>
        <v>4580.12245289012</v>
      </c>
      <c r="H1670" s="48" t="n">
        <f aca="false">D1670*(IF($A1670&lt;$Q$1644,INDEX(Surface_Engine!$D$12:$D$72,$A1670+1)+(Surface_Engine!Q251*12)*INDEX(Surface_Engine!$F$12:$F$72,$A1670+1)-(Surface_Engine!Q251*12),1000*12*INDEX(Surface_Engine!$C$12:$C$72,$A1670+1)/(1+Assumptions!$B$10)^15+INDEX(Surface_Engine!$D$12:$D$72,$A1670+1)))*INDEX(Surface_Engine!$B$12:$B$72,$A1670+1)+H1671</f>
        <v>2160.91279289124</v>
      </c>
      <c r="I1670" s="48" t="n">
        <f aca="false">E1670*(IF($A1670&lt;$Q$1644,INDEX(Surface_Engine!$D$12:$D$72,$A1670+1)+(Surface_Engine!Q251*12)*INDEX(Surface_Engine!$F$12:$F$72,$A1670+1)-(Surface_Engine!Q251*12),1000*12*INDEX(Surface_Engine!$C$12:$C$72,$A1670+1)/(1+Assumptions!$B$10)^15+INDEX(Surface_Engine!$D$12:$D$72,$A1670+1)))*INDEX(Surface_Engine!$B$12:$B$72,$A1670+1)+I1671</f>
        <v>2630.86367140955</v>
      </c>
      <c r="J1670" s="48" t="n">
        <f aca="false">B1670*(IF($A1670&lt;$Q$1644,INDEX(Surface_Engine!$D$12:$D$72,$A1670+1)*(1+Assumptions!$B$24)+(Surface_Engine!Q251*12)*INDEX(Surface_Engine!$F$12:$F$72,$A1670+1)-(Surface_Engine!Q251*12),1000*12*INDEX(Surface_Engine!$C$12:$C$72,$A1670+1)/(1+Assumptions!$B$10)^15+INDEX(Surface_Engine!$D$12:$D$72,$A1670+1)*(1+Assumptions!$B$24)))*INDEX(Surface_Engine!$B$12:$B$72,$A1670+1)+J1671</f>
        <v>2387.9056650856</v>
      </c>
      <c r="K1670" s="12" t="n">
        <f aca="false">SQRT((IF(C1670&lt;=0,0,MAX(0,(B1670/C1670)*G1670/INDEX(Surface_Engine!$B$12:$B$72,$A1670+1)-F1670/INDEX(Surface_Engine!$B$12:$B$72,$A1670+1))))^2+(MAX(IF(D1670&lt;=0,0,MAX(0,(B1670/D1670)*H1670/INDEX(Surface_Engine!$B$12:$B$72,$A1670+1)-F1670/INDEX(Surface_Engine!$B$12:$B$72,$A1670+1))),IF(E1670&lt;=0,0,MAX(0,(B1670/E1670)*I1670/INDEX(Surface_Engine!$B$12:$B$72,$A1670+1)-F1670/INDEX(Surface_Engine!$B$12:$B$72,$A1670+1))),IF($A1670&lt;$Q$1644,MAX(0,-Assumptions!$B$22*(F1670/INDEX(Surface_Engine!$B$12:$B$72,$A1670+1))),0)))^2+(MAX(0,J1670/INDEX(Surface_Engine!$B$12:$B$72,$A1670+1)-(F1670/INDEX(Surface_Engine!$B$12:$B$72,$A1670+1))))^2+2*Assumptions!$B$26*(IF(C1670&lt;=0,0,MAX(0,(B1670/C1670)*G1670/INDEX(Surface_Engine!$B$12:$B$72,$A1670+1)-F1670/INDEX(Surface_Engine!$B$12:$B$72,$A1670+1))))*(MAX(IF(D1670&lt;=0,0,MAX(0,(B1670/D1670)*H1670/INDEX(Surface_Engine!$B$12:$B$72,$A1670+1)-F1670/INDEX(Surface_Engine!$B$12:$B$72,$A1670+1))),IF(E1670&lt;=0,0,MAX(0,(B1670/E1670)*I1670/INDEX(Surface_Engine!$B$12:$B$72,$A1670+1)-F1670/INDEX(Surface_Engine!$B$12:$B$72,$A1670+1))),IF($A1670&lt;$Q$1644,MAX(0,-Assumptions!$B$22*(F1670/INDEX(Surface_Engine!$B$12:$B$72,$A1670+1))),0)))+2*Assumptions!$B$27*(IF(C1670&lt;=0,0,MAX(0,(B1670/C1670)*G1670/INDEX(Surface_Engine!$B$12:$B$72,$A1670+1)-F1670/INDEX(Surface_Engine!$B$12:$B$72,$A1670+1))))*(MAX(0,J1670/INDEX(Surface_Engine!$B$12:$B$72,$A1670+1)-(F1670/INDEX(Surface_Engine!$B$12:$B$72,$A1670+1))))+2*Assumptions!$B$28*(MAX(IF(D1670&lt;=0,0,MAX(0,(B1670/D1670)*H1670/INDEX(Surface_Engine!$B$12:$B$72,$A1670+1)-F1670/INDEX(Surface_Engine!$B$12:$B$72,$A1670+1))),IF(E1670&lt;=0,0,MAX(0,(B1670/E1670)*I1670/INDEX(Surface_Engine!$B$12:$B$72,$A1670+1)-F1670/INDEX(Surface_Engine!$B$12:$B$72,$A1670+1))),IF($A1670&lt;$Q$1644,MAX(0,-Assumptions!$B$22*(F1670/INDEX(Surface_Engine!$B$12:$B$72,$A1670+1))),0)))*(MAX(0,J1670/INDEX(Surface_Engine!$B$12:$B$72,$A1670+1)-(F1670/INDEX(Surface_Engine!$B$12:$B$72,$A1670+1)))))</f>
        <v>969.997392440688</v>
      </c>
      <c r="L1670" s="48" t="n">
        <f aca="false">K1670*INDEX(Surface_Engine!$B$12:$B$72,$A1670+1)+L1671</f>
        <v>1642.35912614545</v>
      </c>
      <c r="M1670" s="48" t="n">
        <f aca="false">M1669+B1669*(IF($A1669&lt;$Q$1644,(Surface_Engine!Q251*12)-(Surface_Engine!Q251*12)*INDEX(Surface_Engine!$F$12:$F$72,$A1669+1)-INDEX(Surface_Engine!$D$12:$D$72,$A1669+1),-(1000*12*INDEX(Surface_Engine!$C$12:$C$72,$A1669+1)/(1+Assumptions!$B$10)^15+INDEX(Surface_Engine!$D$12:$D$72,$A1669+1))))*INDEX(Surface_Engine!$B$12:$B$72,$A1669+1)</f>
        <v>3101.41664299181</v>
      </c>
      <c r="N1670" s="12" t="n">
        <f aca="false">IF(B1670&lt;=0,0,MAX(0,(K1670+Assumptions!$B$29*L1670/INDEX(Surface_Engine!$B$12:$B$72,$A1670+1)-(M1670/INDEX(Surface_Engine!$B$12:$B$72,$A1670+1)-(F1670/INDEX(Surface_Engine!$B$12:$B$72,$A1670+1))))/B1670))</f>
        <v>0</v>
      </c>
    </row>
    <row r="1671" customFormat="false" ht="15" hidden="false" customHeight="true" outlineLevel="0" collapsed="false">
      <c r="A1671" s="1" t="n">
        <v>25</v>
      </c>
      <c r="B1671" s="32" t="n">
        <f aca="false">INDEX(Surface_Engine!$V$12:$V$72,$A1671+1)*IF($A1671&lt;$Q$1644,INDEX(Surface_Engine!$E$12:$E$72,$A1671+1),INDEX(Surface_Engine!$E$12:$E$72,$Q$1644+1))</f>
        <v>0.0682590026602537</v>
      </c>
      <c r="C1671" s="32" t="n">
        <f aca="false">INDEX(Panel_Reserving!$H$8:$H$68,$A1671+1)*IF($A1671&lt;$Q$1644,INDEX(Surface_Engine!$E$12:$E$72,$A1671+1),INDEX(Surface_Engine!$E$12:$E$72,$Q$1644+1))</f>
        <v>0.115868749919502</v>
      </c>
      <c r="D1671" s="32" t="n">
        <f aca="false">INDEX(Surface_Engine!$V$12:$V$72,$A1671+1)*IF($A1671&lt;$Q$1644,INDEX(Surface_Engine!$Y$12:$Y$72,$A1671+1),INDEX(Surface_Engine!$Y$12:$Y$72,$Q$1644+1))</f>
        <v>0.0618343870028731</v>
      </c>
      <c r="E1671" s="32" t="n">
        <f aca="false">INDEX(Surface_Engine!$V$12:$V$72,$A1671+1)*IF($A1671&lt;$Q$1644,INDEX(Surface_Engine!$Z$12:$Z$72,$A1671+1),INDEX(Surface_Engine!$Z$12:$Z$72,$Q$1644+1))</f>
        <v>0.075282002561556</v>
      </c>
      <c r="F1671" s="48" t="n">
        <f aca="false">B1671*(IF($A1671&lt;$Q$1644,INDEX(Surface_Engine!$D$12:$D$72,$A1671+1)+(Surface_Engine!Q251*12)*INDEX(Surface_Engine!$F$12:$F$72,$A1671+1)-(Surface_Engine!Q251*12),1000*12*INDEX(Surface_Engine!$C$12:$C$72,$A1671+1)/(1+Assumptions!$B$10)^15+INDEX(Surface_Engine!$D$12:$D$72,$A1671+1)))*INDEX(Surface_Engine!$B$12:$B$72,$A1671+1)+F1672</f>
        <v>1792.78742442981</v>
      </c>
      <c r="G1671" s="48" t="n">
        <f aca="false">C1671*(IF($A1671&lt;$Q$1644,INDEX(Surface_Engine!$D$12:$D$72,$A1671+1)+(Surface_Engine!Q251*12)*INDEX(Surface_Engine!$F$12:$F$72,$A1671+1)-(Surface_Engine!Q251*12),1000*12*INDEX(Surface_Engine!$C$12:$C$72,$A1671+1)/(1+Assumptions!$B$10)^15+INDEX(Surface_Engine!$D$12:$D$72,$A1671+1)))*INDEX(Surface_Engine!$B$12:$B$72,$A1671+1)+G1672</f>
        <v>3625.3739713988</v>
      </c>
      <c r="H1671" s="48" t="n">
        <f aca="false">D1671*(IF($A1671&lt;$Q$1644,INDEX(Surface_Engine!$D$12:$D$72,$A1671+1)+(Surface_Engine!Q251*12)*INDEX(Surface_Engine!$F$12:$F$72,$A1671+1)-(Surface_Engine!Q251*12),1000*12*INDEX(Surface_Engine!$C$12:$C$72,$A1671+1)/(1+Assumptions!$B$10)^15+INDEX(Surface_Engine!$D$12:$D$72,$A1671+1)))*INDEX(Surface_Engine!$B$12:$B$72,$A1671+1)+H1672</f>
        <v>1624.04821482437</v>
      </c>
      <c r="I1671" s="48" t="n">
        <f aca="false">E1671*(IF($A1671&lt;$Q$1644,INDEX(Surface_Engine!$D$12:$D$72,$A1671+1)+(Surface_Engine!Q251*12)*INDEX(Surface_Engine!$F$12:$F$72,$A1671+1)-(Surface_Engine!Q251*12),1000*12*INDEX(Surface_Engine!$C$12:$C$72,$A1671+1)/(1+Assumptions!$B$10)^15+INDEX(Surface_Engine!$D$12:$D$72,$A1671+1)))*INDEX(Surface_Engine!$B$12:$B$72,$A1671+1)+I1672</f>
        <v>1977.24288692015</v>
      </c>
      <c r="J1671" s="48" t="n">
        <f aca="false">B1671*(IF($A1671&lt;$Q$1644,INDEX(Surface_Engine!$D$12:$D$72,$A1671+1)*(1+Assumptions!$B$24)+(Surface_Engine!Q251*12)*INDEX(Surface_Engine!$F$12:$F$72,$A1671+1)-(Surface_Engine!Q251*12),1000*12*INDEX(Surface_Engine!$C$12:$C$72,$A1671+1)/(1+Assumptions!$B$10)^15+INDEX(Surface_Engine!$D$12:$D$72,$A1671+1)*(1+Assumptions!$B$24)))*INDEX(Surface_Engine!$B$12:$B$72,$A1671+1)+J1672</f>
        <v>1794.65402036044</v>
      </c>
      <c r="K1671" s="12" t="n">
        <f aca="false">SQRT((IF(C1671&lt;=0,0,MAX(0,(B1671/C1671)*G1671/INDEX(Surface_Engine!$B$12:$B$72,$A1671+1)-F1671/INDEX(Surface_Engine!$B$12:$B$72,$A1671+1))))^2+(MAX(IF(D1671&lt;=0,0,MAX(0,(B1671/D1671)*H1671/INDEX(Surface_Engine!$B$12:$B$72,$A1671+1)-F1671/INDEX(Surface_Engine!$B$12:$B$72,$A1671+1))),IF(E1671&lt;=0,0,MAX(0,(B1671/E1671)*I1671/INDEX(Surface_Engine!$B$12:$B$72,$A1671+1)-F1671/INDEX(Surface_Engine!$B$12:$B$72,$A1671+1))),IF($A1671&lt;$Q$1644,MAX(0,-Assumptions!$B$22*(F1671/INDEX(Surface_Engine!$B$12:$B$72,$A1671+1))),0)))^2+(MAX(0,J1671/INDEX(Surface_Engine!$B$12:$B$72,$A1671+1)-(F1671/INDEX(Surface_Engine!$B$12:$B$72,$A1671+1))))^2+2*Assumptions!$B$26*(IF(C1671&lt;=0,0,MAX(0,(B1671/C1671)*G1671/INDEX(Surface_Engine!$B$12:$B$72,$A1671+1)-F1671/INDEX(Surface_Engine!$B$12:$B$72,$A1671+1))))*(MAX(IF(D1671&lt;=0,0,MAX(0,(B1671/D1671)*H1671/INDEX(Surface_Engine!$B$12:$B$72,$A1671+1)-F1671/INDEX(Surface_Engine!$B$12:$B$72,$A1671+1))),IF(E1671&lt;=0,0,MAX(0,(B1671/E1671)*I1671/INDEX(Surface_Engine!$B$12:$B$72,$A1671+1)-F1671/INDEX(Surface_Engine!$B$12:$B$72,$A1671+1))),IF($A1671&lt;$Q$1644,MAX(0,-Assumptions!$B$22*(F1671/INDEX(Surface_Engine!$B$12:$B$72,$A1671+1))),0)))+2*Assumptions!$B$27*(IF(C1671&lt;=0,0,MAX(0,(B1671/C1671)*G1671/INDEX(Surface_Engine!$B$12:$B$72,$A1671+1)-F1671/INDEX(Surface_Engine!$B$12:$B$72,$A1671+1))))*(MAX(0,J1671/INDEX(Surface_Engine!$B$12:$B$72,$A1671+1)-(F1671/INDEX(Surface_Engine!$B$12:$B$72,$A1671+1))))+2*Assumptions!$B$28*(MAX(IF(D1671&lt;=0,0,MAX(0,(B1671/D1671)*H1671/INDEX(Surface_Engine!$B$12:$B$72,$A1671+1)-F1671/INDEX(Surface_Engine!$B$12:$B$72,$A1671+1))),IF(E1671&lt;=0,0,MAX(0,(B1671/E1671)*I1671/INDEX(Surface_Engine!$B$12:$B$72,$A1671+1)-F1671/INDEX(Surface_Engine!$B$12:$B$72,$A1671+1))),IF($A1671&lt;$Q$1644,MAX(0,-Assumptions!$B$22*(F1671/INDEX(Surface_Engine!$B$12:$B$72,$A1671+1))),0)))*(MAX(0,J1671/INDEX(Surface_Engine!$B$12:$B$72,$A1671+1)-(F1671/INDEX(Surface_Engine!$B$12:$B$72,$A1671+1)))))</f>
        <v>750.205796295843</v>
      </c>
      <c r="L1671" s="48" t="n">
        <f aca="false">K1671*INDEX(Surface_Engine!$B$12:$B$72,$A1671+1)+L1672</f>
        <v>1184.12848195433</v>
      </c>
      <c r="M1671" s="48" t="n">
        <f aca="false">M1670+B1670*(IF($A1670&lt;$Q$1644,(Surface_Engine!Q251*12)-(Surface_Engine!Q251*12)*INDEX(Surface_Engine!$F$12:$F$72,$A1670+1)-INDEX(Surface_Engine!$D$12:$D$72,$A1670+1),-(1000*12*INDEX(Surface_Engine!$C$12:$C$72,$A1670+1)/(1+Assumptions!$B$10)^15+INDEX(Surface_Engine!$D$12:$D$72,$A1670+1))))*INDEX(Surface_Engine!$B$12:$B$72,$A1670+1)</f>
        <v>2508.77163689254</v>
      </c>
      <c r="N1671" s="12" t="n">
        <f aca="false">IF(B1671&lt;=0,0,MAX(0,(K1671+Assumptions!$B$29*L1671/INDEX(Surface_Engine!$B$12:$B$72,$A1671+1)-(M1671/INDEX(Surface_Engine!$B$12:$B$72,$A1671+1)-(F1671/INDEX(Surface_Engine!$B$12:$B$72,$A1671+1))))/B1671))</f>
        <v>0</v>
      </c>
    </row>
    <row r="1672" customFormat="false" ht="15" hidden="false" customHeight="true" outlineLevel="0" collapsed="false">
      <c r="A1672" s="1" t="n">
        <v>26</v>
      </c>
      <c r="B1672" s="32" t="n">
        <f aca="false">INDEX(Surface_Engine!$V$12:$V$72,$A1672+1)*IF($A1672&lt;$Q$1644,INDEX(Surface_Engine!$E$12:$E$72,$A1672+1),INDEX(Surface_Engine!$E$12:$E$72,$Q$1644+1))</f>
        <v>0.0531312715384874</v>
      </c>
      <c r="C1672" s="32" t="n">
        <f aca="false">INDEX(Panel_Reserving!$H$8:$H$68,$A1672+1)*IF($A1672&lt;$Q$1644,INDEX(Surface_Engine!$E$12:$E$72,$A1672+1),INDEX(Surface_Engine!$E$12:$E$72,$Q$1644+1))</f>
        <v>0.0953254518825029</v>
      </c>
      <c r="D1672" s="32" t="n">
        <f aca="false">INDEX(Surface_Engine!$V$12:$V$72,$A1672+1)*IF($A1672&lt;$Q$1644,INDEX(Surface_Engine!$Y$12:$Y$72,$A1672+1),INDEX(Surface_Engine!$Y$12:$Y$72,$Q$1644+1))</f>
        <v>0.0481304952933128</v>
      </c>
      <c r="E1672" s="32" t="n">
        <f aca="false">INDEX(Surface_Engine!$V$12:$V$72,$A1672+1)*IF($A1672&lt;$Q$1644,INDEX(Surface_Engine!$Z$12:$Z$72,$A1672+1),INDEX(Surface_Engine!$Z$12:$Z$72,$Q$1644+1))</f>
        <v>0.0585978166128141</v>
      </c>
      <c r="F1672" s="48" t="n">
        <f aca="false">B1672*(IF($A1672&lt;$Q$1644,INDEX(Surface_Engine!$D$12:$D$72,$A1672+1)+(Surface_Engine!Q251*12)*INDEX(Surface_Engine!$F$12:$F$72,$A1672+1)-(Surface_Engine!Q251*12),1000*12*INDEX(Surface_Engine!$C$12:$C$72,$A1672+1)/(1+Assumptions!$B$10)^15+INDEX(Surface_Engine!$D$12:$D$72,$A1672+1)))*INDEX(Surface_Engine!$B$12:$B$72,$A1672+1)+F1673</f>
        <v>1330.9691073865</v>
      </c>
      <c r="G1672" s="48" t="n">
        <f aca="false">C1672*(IF($A1672&lt;$Q$1644,INDEX(Surface_Engine!$D$12:$D$72,$A1672+1)+(Surface_Engine!Q251*12)*INDEX(Surface_Engine!$F$12:$F$72,$A1672+1)-(Surface_Engine!Q251*12),1000*12*INDEX(Surface_Engine!$C$12:$C$72,$A1672+1)/(1+Assumptions!$B$10)^15+INDEX(Surface_Engine!$D$12:$D$72,$A1672+1)))*INDEX(Surface_Engine!$B$12:$B$72,$A1672+1)+G1673</f>
        <v>2841.44351533758</v>
      </c>
      <c r="H1672" s="48" t="n">
        <f aca="false">D1672*(IF($A1672&lt;$Q$1644,INDEX(Surface_Engine!$D$12:$D$72,$A1672+1)+(Surface_Engine!Q251*12)*INDEX(Surface_Engine!$F$12:$F$72,$A1672+1)-(Surface_Engine!Q251*12),1000*12*INDEX(Surface_Engine!$C$12:$C$72,$A1672+1)/(1+Assumptions!$B$10)^15+INDEX(Surface_Engine!$D$12:$D$72,$A1672+1)))*INDEX(Surface_Engine!$B$12:$B$72,$A1672+1)+H1673</f>
        <v>1205.69676771629</v>
      </c>
      <c r="I1672" s="48" t="n">
        <f aca="false">E1672*(IF($A1672&lt;$Q$1644,INDEX(Surface_Engine!$D$12:$D$72,$A1672+1)+(Surface_Engine!Q251*12)*INDEX(Surface_Engine!$F$12:$F$72,$A1672+1)-(Surface_Engine!Q251*12),1000*12*INDEX(Surface_Engine!$C$12:$C$72,$A1672+1)/(1+Assumptions!$B$10)^15+INDEX(Surface_Engine!$D$12:$D$72,$A1672+1)))*INDEX(Surface_Engine!$B$12:$B$72,$A1672+1)+I1673</f>
        <v>1467.90922583999</v>
      </c>
      <c r="J1672" s="48" t="n">
        <f aca="false">B1672*(IF($A1672&lt;$Q$1644,INDEX(Surface_Engine!$D$12:$D$72,$A1672+1)*(1+Assumptions!$B$24)+(Surface_Engine!Q251*12)*INDEX(Surface_Engine!$F$12:$F$72,$A1672+1)-(Surface_Engine!Q251*12),1000*12*INDEX(Surface_Engine!$C$12:$C$72,$A1672+1)/(1+Assumptions!$B$10)^15+INDEX(Surface_Engine!$D$12:$D$72,$A1672+1)*(1+Assumptions!$B$24)))*INDEX(Surface_Engine!$B$12:$B$72,$A1672+1)+J1673</f>
        <v>1332.36068704516</v>
      </c>
      <c r="K1672" s="12" t="n">
        <f aca="false">SQRT((IF(C1672&lt;=0,0,MAX(0,(B1672/C1672)*G1672/INDEX(Surface_Engine!$B$12:$B$72,$A1672+1)-F1672/INDEX(Surface_Engine!$B$12:$B$72,$A1672+1))))^2+(MAX(IF(D1672&lt;=0,0,MAX(0,(B1672/D1672)*H1672/INDEX(Surface_Engine!$B$12:$B$72,$A1672+1)-F1672/INDEX(Surface_Engine!$B$12:$B$72,$A1672+1))),IF(E1672&lt;=0,0,MAX(0,(B1672/E1672)*I1672/INDEX(Surface_Engine!$B$12:$B$72,$A1672+1)-F1672/INDEX(Surface_Engine!$B$12:$B$72,$A1672+1))),IF($A1672&lt;$Q$1644,MAX(0,-Assumptions!$B$22*(F1672/INDEX(Surface_Engine!$B$12:$B$72,$A1672+1))),0)))^2+(MAX(0,J1672/INDEX(Surface_Engine!$B$12:$B$72,$A1672+1)-(F1672/INDEX(Surface_Engine!$B$12:$B$72,$A1672+1))))^2+2*Assumptions!$B$26*(IF(C1672&lt;=0,0,MAX(0,(B1672/C1672)*G1672/INDEX(Surface_Engine!$B$12:$B$72,$A1672+1)-F1672/INDEX(Surface_Engine!$B$12:$B$72,$A1672+1))))*(MAX(IF(D1672&lt;=0,0,MAX(0,(B1672/D1672)*H1672/INDEX(Surface_Engine!$B$12:$B$72,$A1672+1)-F1672/INDEX(Surface_Engine!$B$12:$B$72,$A1672+1))),IF(E1672&lt;=0,0,MAX(0,(B1672/E1672)*I1672/INDEX(Surface_Engine!$B$12:$B$72,$A1672+1)-F1672/INDEX(Surface_Engine!$B$12:$B$72,$A1672+1))),IF($A1672&lt;$Q$1644,MAX(0,-Assumptions!$B$22*(F1672/INDEX(Surface_Engine!$B$12:$B$72,$A1672+1))),0)))+2*Assumptions!$B$27*(IF(C1672&lt;=0,0,MAX(0,(B1672/C1672)*G1672/INDEX(Surface_Engine!$B$12:$B$72,$A1672+1)-F1672/INDEX(Surface_Engine!$B$12:$B$72,$A1672+1))))*(MAX(0,J1672/INDEX(Surface_Engine!$B$12:$B$72,$A1672+1)-(F1672/INDEX(Surface_Engine!$B$12:$B$72,$A1672+1))))+2*Assumptions!$B$28*(MAX(IF(D1672&lt;=0,0,MAX(0,(B1672/D1672)*H1672/INDEX(Surface_Engine!$B$12:$B$72,$A1672+1)-F1672/INDEX(Surface_Engine!$B$12:$B$72,$A1672+1))),IF(E1672&lt;=0,0,MAX(0,(B1672/E1672)*I1672/INDEX(Surface_Engine!$B$12:$B$72,$A1672+1)-F1672/INDEX(Surface_Engine!$B$12:$B$72,$A1672+1))),IF($A1672&lt;$Q$1644,MAX(0,-Assumptions!$B$22*(F1672/INDEX(Surface_Engine!$B$12:$B$72,$A1672+1))),0)))*(MAX(0,J1672/INDEX(Surface_Engine!$B$12:$B$72,$A1672+1)-(F1672/INDEX(Surface_Engine!$B$12:$B$72,$A1672+1)))))</f>
        <v>570.773495512077</v>
      </c>
      <c r="L1672" s="48" t="n">
        <f aca="false">K1672*INDEX(Surface_Engine!$B$12:$B$72,$A1672+1)+L1673</f>
        <v>840.714102044457</v>
      </c>
      <c r="M1672" s="48" t="n">
        <f aca="false">M1671+B1671*(IF($A1671&lt;$Q$1644,(Surface_Engine!Q251*12)-(Surface_Engine!Q251*12)*INDEX(Surface_Engine!$F$12:$F$72,$A1671+1)-INDEX(Surface_Engine!$D$12:$D$72,$A1671+1),-(1000*12*INDEX(Surface_Engine!$C$12:$C$72,$A1671+1)/(1+Assumptions!$B$10)^15+INDEX(Surface_Engine!$D$12:$D$72,$A1671+1))))*INDEX(Surface_Engine!$B$12:$B$72,$A1671+1)</f>
        <v>2046.95331984923</v>
      </c>
      <c r="N1672" s="12" t="n">
        <f aca="false">IF(B1672&lt;=0,0,MAX(0,(K1672+Assumptions!$B$29*L1672/INDEX(Surface_Engine!$B$12:$B$72,$A1672+1)-(M1672/INDEX(Surface_Engine!$B$12:$B$72,$A1672+1)-(F1672/INDEX(Surface_Engine!$B$12:$B$72,$A1672+1))))/B1672))</f>
        <v>0</v>
      </c>
    </row>
    <row r="1673" customFormat="false" ht="15" hidden="false" customHeight="true" outlineLevel="0" collapsed="false">
      <c r="A1673" s="1" t="n">
        <v>27</v>
      </c>
      <c r="B1673" s="32" t="n">
        <f aca="false">INDEX(Surface_Engine!$V$12:$V$72,$A1673+1)*IF($A1673&lt;$Q$1644,INDEX(Surface_Engine!$E$12:$E$72,$A1673+1),INDEX(Surface_Engine!$E$12:$E$72,$Q$1644+1))</f>
        <v>0.0407850572763431</v>
      </c>
      <c r="C1673" s="32" t="n">
        <f aca="false">INDEX(Panel_Reserving!$H$8:$H$68,$A1673+1)*IF($A1673&lt;$Q$1644,INDEX(Surface_Engine!$E$12:$E$72,$A1673+1),INDEX(Surface_Engine!$E$12:$E$72,$Q$1644+1))</f>
        <v>0.077604687150199</v>
      </c>
      <c r="D1673" s="32" t="n">
        <f aca="false">INDEX(Surface_Engine!$V$12:$V$72,$A1673+1)*IF($A1673&lt;$Q$1644,INDEX(Surface_Engine!$Y$12:$Y$72,$A1673+1),INDEX(Surface_Engine!$Y$12:$Y$72,$Q$1644+1))</f>
        <v>0.0369463208847647</v>
      </c>
      <c r="E1673" s="32" t="n">
        <f aca="false">INDEX(Surface_Engine!$V$12:$V$72,$A1673+1)*IF($A1673&lt;$Q$1644,INDEX(Surface_Engine!$Z$12:$Z$72,$A1673+1),INDEX(Surface_Engine!$Z$12:$Z$72,$Q$1644+1))</f>
        <v>0.0449813309115152</v>
      </c>
      <c r="F1673" s="48" t="n">
        <f aca="false">B1673*(IF($A1673&lt;$Q$1644,INDEX(Surface_Engine!$D$12:$D$72,$A1673+1)+(Surface_Engine!Q251*12)*INDEX(Surface_Engine!$F$12:$F$72,$A1673+1)-(Surface_Engine!Q251*12),1000*12*INDEX(Surface_Engine!$C$12:$C$72,$A1673+1)/(1+Assumptions!$B$10)^15+INDEX(Surface_Engine!$D$12:$D$72,$A1673+1)))*INDEX(Surface_Engine!$B$12:$B$72,$A1673+1)+F1674</f>
        <v>975.75505772097</v>
      </c>
      <c r="G1673" s="48" t="n">
        <f aca="false">C1673*(IF($A1673&lt;$Q$1644,INDEX(Surface_Engine!$D$12:$D$72,$A1673+1)+(Surface_Engine!Q251*12)*INDEX(Surface_Engine!$F$12:$F$72,$A1673+1)-(Surface_Engine!Q251*12),1000*12*INDEX(Surface_Engine!$C$12:$C$72,$A1673+1)/(1+Assumptions!$B$10)^15+INDEX(Surface_Engine!$D$12:$D$72,$A1673+1)))*INDEX(Surface_Engine!$B$12:$B$72,$A1673+1)+G1674</f>
        <v>2204.13635481062</v>
      </c>
      <c r="H1673" s="48" t="n">
        <f aca="false">D1673*(IF($A1673&lt;$Q$1644,INDEX(Surface_Engine!$D$12:$D$72,$A1673+1)+(Surface_Engine!Q251*12)*INDEX(Surface_Engine!$F$12:$F$72,$A1673+1)-(Surface_Engine!Q251*12),1000*12*INDEX(Surface_Engine!$C$12:$C$72,$A1673+1)/(1+Assumptions!$B$10)^15+INDEX(Surface_Engine!$D$12:$D$72,$A1673+1)))*INDEX(Surface_Engine!$B$12:$B$72,$A1673+1)+H1674</f>
        <v>883.915872012318</v>
      </c>
      <c r="I1673" s="48" t="n">
        <f aca="false">E1673*(IF($A1673&lt;$Q$1644,INDEX(Surface_Engine!$D$12:$D$72,$A1673+1)+(Surface_Engine!Q251*12)*INDEX(Surface_Engine!$F$12:$F$72,$A1673+1)-(Surface_Engine!Q251*12),1000*12*INDEX(Surface_Engine!$C$12:$C$72,$A1673+1)/(1+Assumptions!$B$10)^15+INDEX(Surface_Engine!$D$12:$D$72,$A1673+1)))*INDEX(Surface_Engine!$B$12:$B$72,$A1673+1)+I1674</f>
        <v>1076.14808145409</v>
      </c>
      <c r="J1673" s="48" t="n">
        <f aca="false">B1673*(IF($A1673&lt;$Q$1644,INDEX(Surface_Engine!$D$12:$D$72,$A1673+1)*(1+Assumptions!$B$24)+(Surface_Engine!Q251*12)*INDEX(Surface_Engine!$F$12:$F$72,$A1673+1)-(Surface_Engine!Q251*12),1000*12*INDEX(Surface_Engine!$C$12:$C$72,$A1673+1)/(1+Assumptions!$B$10)^15+INDEX(Surface_Engine!$D$12:$D$72,$A1673+1)*(1+Assumptions!$B$24)))*INDEX(Surface_Engine!$B$12:$B$72,$A1673+1)+J1674</f>
        <v>976.779499441627</v>
      </c>
      <c r="K1673" s="12" t="n">
        <f aca="false">SQRT((IF(C1673&lt;=0,0,MAX(0,(B1673/C1673)*G1673/INDEX(Surface_Engine!$B$12:$B$72,$A1673+1)-F1673/INDEX(Surface_Engine!$B$12:$B$72,$A1673+1))))^2+(MAX(IF(D1673&lt;=0,0,MAX(0,(B1673/D1673)*H1673/INDEX(Surface_Engine!$B$12:$B$72,$A1673+1)-F1673/INDEX(Surface_Engine!$B$12:$B$72,$A1673+1))),IF(E1673&lt;=0,0,MAX(0,(B1673/E1673)*I1673/INDEX(Surface_Engine!$B$12:$B$72,$A1673+1)-F1673/INDEX(Surface_Engine!$B$12:$B$72,$A1673+1))),IF($A1673&lt;$Q$1644,MAX(0,-Assumptions!$B$22*(F1673/INDEX(Surface_Engine!$B$12:$B$72,$A1673+1))),0)))^2+(MAX(0,J1673/INDEX(Surface_Engine!$B$12:$B$72,$A1673+1)-(F1673/INDEX(Surface_Engine!$B$12:$B$72,$A1673+1))))^2+2*Assumptions!$B$26*(IF(C1673&lt;=0,0,MAX(0,(B1673/C1673)*G1673/INDEX(Surface_Engine!$B$12:$B$72,$A1673+1)-F1673/INDEX(Surface_Engine!$B$12:$B$72,$A1673+1))))*(MAX(IF(D1673&lt;=0,0,MAX(0,(B1673/D1673)*H1673/INDEX(Surface_Engine!$B$12:$B$72,$A1673+1)-F1673/INDEX(Surface_Engine!$B$12:$B$72,$A1673+1))),IF(E1673&lt;=0,0,MAX(0,(B1673/E1673)*I1673/INDEX(Surface_Engine!$B$12:$B$72,$A1673+1)-F1673/INDEX(Surface_Engine!$B$12:$B$72,$A1673+1))),IF($A1673&lt;$Q$1644,MAX(0,-Assumptions!$B$22*(F1673/INDEX(Surface_Engine!$B$12:$B$72,$A1673+1))),0)))+2*Assumptions!$B$27*(IF(C1673&lt;=0,0,MAX(0,(B1673/C1673)*G1673/INDEX(Surface_Engine!$B$12:$B$72,$A1673+1)-F1673/INDEX(Surface_Engine!$B$12:$B$72,$A1673+1))))*(MAX(0,J1673/INDEX(Surface_Engine!$B$12:$B$72,$A1673+1)-(F1673/INDEX(Surface_Engine!$B$12:$B$72,$A1673+1))))+2*Assumptions!$B$28*(MAX(IF(D1673&lt;=0,0,MAX(0,(B1673/D1673)*H1673/INDEX(Surface_Engine!$B$12:$B$72,$A1673+1)-F1673/INDEX(Surface_Engine!$B$12:$B$72,$A1673+1))),IF(E1673&lt;=0,0,MAX(0,(B1673/E1673)*I1673/INDEX(Surface_Engine!$B$12:$B$72,$A1673+1)-F1673/INDEX(Surface_Engine!$B$12:$B$72,$A1673+1))),IF($A1673&lt;$Q$1644,MAX(0,-Assumptions!$B$22*(F1673/INDEX(Surface_Engine!$B$12:$B$72,$A1673+1))),0)))*(MAX(0,J1673/INDEX(Surface_Engine!$B$12:$B$72,$A1673+1)-(F1673/INDEX(Surface_Engine!$B$12:$B$72,$A1673+1)))))</f>
        <v>425.628115443312</v>
      </c>
      <c r="L1673" s="48" t="n">
        <f aca="false">K1673*INDEX(Surface_Engine!$B$12:$B$72,$A1673+1)+L1674</f>
        <v>587.604570384435</v>
      </c>
      <c r="M1673" s="48" t="n">
        <f aca="false">M1672+B1672*(IF($A1672&lt;$Q$1644,(Surface_Engine!Q251*12)-(Surface_Engine!Q251*12)*INDEX(Surface_Engine!$F$12:$F$72,$A1672+1)-INDEX(Surface_Engine!$D$12:$D$72,$A1672+1),-(1000*12*INDEX(Surface_Engine!$C$12:$C$72,$A1672+1)/(1+Assumptions!$B$10)^15+INDEX(Surface_Engine!$D$12:$D$72,$A1672+1))))*INDEX(Surface_Engine!$B$12:$B$72,$A1672+1)</f>
        <v>1691.7392701837</v>
      </c>
      <c r="N1673" s="12" t="n">
        <f aca="false">IF(B1673&lt;=0,0,MAX(0,(K1673+Assumptions!$B$29*L1673/INDEX(Surface_Engine!$B$12:$B$72,$A1673+1)-(M1673/INDEX(Surface_Engine!$B$12:$B$72,$A1673+1)-(F1673/INDEX(Surface_Engine!$B$12:$B$72,$A1673+1))))/B1673))</f>
        <v>0</v>
      </c>
    </row>
    <row r="1674" customFormat="false" ht="15" hidden="false" customHeight="true" outlineLevel="0" collapsed="false">
      <c r="A1674" s="1" t="n">
        <v>28</v>
      </c>
      <c r="B1674" s="32" t="n">
        <f aca="false">INDEX(Surface_Engine!$V$12:$V$72,$A1674+1)*IF($A1674&lt;$Q$1644,INDEX(Surface_Engine!$E$12:$E$72,$A1674+1),INDEX(Surface_Engine!$E$12:$E$72,$Q$1644+1))</f>
        <v>0.0308208193036498</v>
      </c>
      <c r="C1674" s="32" t="n">
        <f aca="false">INDEX(Panel_Reserving!$H$8:$H$68,$A1674+1)*IF($A1674&lt;$Q$1644,INDEX(Surface_Engine!$E$12:$E$72,$A1674+1),INDEX(Surface_Engine!$E$12:$E$72,$Q$1644+1))</f>
        <v>0.0624369444090942</v>
      </c>
      <c r="D1674" s="32" t="n">
        <f aca="false">INDEX(Surface_Engine!$V$12:$V$72,$A1674+1)*IF($A1674&lt;$Q$1644,INDEX(Surface_Engine!$Y$12:$Y$72,$A1674+1),INDEX(Surface_Engine!$Y$12:$Y$72,$Q$1644+1))</f>
        <v>0.027919928423994</v>
      </c>
      <c r="E1674" s="32" t="n">
        <f aca="false">INDEX(Surface_Engine!$V$12:$V$72,$A1674+1)*IF($A1674&lt;$Q$1644,INDEX(Surface_Engine!$Z$12:$Z$72,$A1674+1),INDEX(Surface_Engine!$Z$12:$Z$72,$Q$1644+1))</f>
        <v>0.0339918971467432</v>
      </c>
      <c r="F1674" s="48" t="n">
        <f aca="false">B1674*(IF($A1674&lt;$Q$1644,INDEX(Surface_Engine!$D$12:$D$72,$A1674+1)+(Surface_Engine!Q251*12)*INDEX(Surface_Engine!$F$12:$F$72,$A1674+1)-(Surface_Engine!Q251*12),1000*12*INDEX(Surface_Engine!$C$12:$C$72,$A1674+1)/(1+Assumptions!$B$10)^15+INDEX(Surface_Engine!$D$12:$D$72,$A1674+1)))*INDEX(Surface_Engine!$B$12:$B$72,$A1674+1)+F1675</f>
        <v>706.250178456227</v>
      </c>
      <c r="G1674" s="48" t="n">
        <f aca="false">C1674*(IF($A1674&lt;$Q$1644,INDEX(Surface_Engine!$D$12:$D$72,$A1674+1)+(Surface_Engine!Q251*12)*INDEX(Surface_Engine!$F$12:$F$72,$A1674+1)-(Surface_Engine!Q251*12),1000*12*INDEX(Surface_Engine!$C$12:$C$72,$A1674+1)/(1+Assumptions!$B$10)^15+INDEX(Surface_Engine!$D$12:$D$72,$A1674+1)))*INDEX(Surface_Engine!$B$12:$B$72,$A1674+1)+G1675</f>
        <v>1691.32987034053</v>
      </c>
      <c r="H1674" s="48" t="n">
        <f aca="false">D1674*(IF($A1674&lt;$Q$1644,INDEX(Surface_Engine!$D$12:$D$72,$A1674+1)+(Surface_Engine!Q251*12)*INDEX(Surface_Engine!$F$12:$F$72,$A1674+1)-(Surface_Engine!Q251*12),1000*12*INDEX(Surface_Engine!$C$12:$C$72,$A1674+1)/(1+Assumptions!$B$10)^15+INDEX(Surface_Engine!$D$12:$D$72,$A1674+1)))*INDEX(Surface_Engine!$B$12:$B$72,$A1674+1)+H1675</f>
        <v>639.77710124</v>
      </c>
      <c r="I1674" s="48" t="n">
        <f aca="false">E1674*(IF($A1674&lt;$Q$1644,INDEX(Surface_Engine!$D$12:$D$72,$A1674+1)+(Surface_Engine!Q251*12)*INDEX(Surface_Engine!$F$12:$F$72,$A1674+1)-(Surface_Engine!Q251*12),1000*12*INDEX(Surface_Engine!$C$12:$C$72,$A1674+1)/(1+Assumptions!$B$10)^15+INDEX(Surface_Engine!$D$12:$D$72,$A1674+1)))*INDEX(Surface_Engine!$B$12:$B$72,$A1674+1)+I1675</f>
        <v>778.914511954919</v>
      </c>
      <c r="J1674" s="48" t="n">
        <f aca="false">B1674*(IF($A1674&lt;$Q$1644,INDEX(Surface_Engine!$D$12:$D$72,$A1674+1)*(1+Assumptions!$B$24)+(Surface_Engine!Q251*12)*INDEX(Surface_Engine!$F$12:$F$72,$A1674+1)-(Surface_Engine!Q251*12),1000*12*INDEX(Surface_Engine!$C$12:$C$72,$A1674+1)/(1+Assumptions!$B$10)^15+INDEX(Surface_Engine!$D$12:$D$72,$A1674+1)*(1+Assumptions!$B$24)))*INDEX(Surface_Engine!$B$12:$B$72,$A1674+1)+J1675</f>
        <v>706.994717241911</v>
      </c>
      <c r="K1674" s="12" t="n">
        <f aca="false">SQRT((IF(C1674&lt;=0,0,MAX(0,(B1674/C1674)*G1674/INDEX(Surface_Engine!$B$12:$B$72,$A1674+1)-F1674/INDEX(Surface_Engine!$B$12:$B$72,$A1674+1))))^2+(MAX(IF(D1674&lt;=0,0,MAX(0,(B1674/D1674)*H1674/INDEX(Surface_Engine!$B$12:$B$72,$A1674+1)-F1674/INDEX(Surface_Engine!$B$12:$B$72,$A1674+1))),IF(E1674&lt;=0,0,MAX(0,(B1674/E1674)*I1674/INDEX(Surface_Engine!$B$12:$B$72,$A1674+1)-F1674/INDEX(Surface_Engine!$B$12:$B$72,$A1674+1))),IF($A1674&lt;$Q$1644,MAX(0,-Assumptions!$B$22*(F1674/INDEX(Surface_Engine!$B$12:$B$72,$A1674+1))),0)))^2+(MAX(0,J1674/INDEX(Surface_Engine!$B$12:$B$72,$A1674+1)-(F1674/INDEX(Surface_Engine!$B$12:$B$72,$A1674+1))))^2+2*Assumptions!$B$26*(IF(C1674&lt;=0,0,MAX(0,(B1674/C1674)*G1674/INDEX(Surface_Engine!$B$12:$B$72,$A1674+1)-F1674/INDEX(Surface_Engine!$B$12:$B$72,$A1674+1))))*(MAX(IF(D1674&lt;=0,0,MAX(0,(B1674/D1674)*H1674/INDEX(Surface_Engine!$B$12:$B$72,$A1674+1)-F1674/INDEX(Surface_Engine!$B$12:$B$72,$A1674+1))),IF(E1674&lt;=0,0,MAX(0,(B1674/E1674)*I1674/INDEX(Surface_Engine!$B$12:$B$72,$A1674+1)-F1674/INDEX(Surface_Engine!$B$12:$B$72,$A1674+1))),IF($A1674&lt;$Q$1644,MAX(0,-Assumptions!$B$22*(F1674/INDEX(Surface_Engine!$B$12:$B$72,$A1674+1))),0)))+2*Assumptions!$B$27*(IF(C1674&lt;=0,0,MAX(0,(B1674/C1674)*G1674/INDEX(Surface_Engine!$B$12:$B$72,$A1674+1)-F1674/INDEX(Surface_Engine!$B$12:$B$72,$A1674+1))))*(MAX(0,J1674/INDEX(Surface_Engine!$B$12:$B$72,$A1674+1)-(F1674/INDEX(Surface_Engine!$B$12:$B$72,$A1674+1))))+2*Assumptions!$B$28*(MAX(IF(D1674&lt;=0,0,MAX(0,(B1674/D1674)*H1674/INDEX(Surface_Engine!$B$12:$B$72,$A1674+1)-F1674/INDEX(Surface_Engine!$B$12:$B$72,$A1674+1))),IF(E1674&lt;=0,0,MAX(0,(B1674/E1674)*I1674/INDEX(Surface_Engine!$B$12:$B$72,$A1674+1)-F1674/INDEX(Surface_Engine!$B$12:$B$72,$A1674+1))),IF($A1674&lt;$Q$1644,MAX(0,-Assumptions!$B$22*(F1674/INDEX(Surface_Engine!$B$12:$B$72,$A1674+1))),0)))*(MAX(0,J1674/INDEX(Surface_Engine!$B$12:$B$72,$A1674+1)-(F1674/INDEX(Surface_Engine!$B$12:$B$72,$A1674+1)))))</f>
        <v>309.524612727625</v>
      </c>
      <c r="L1674" s="48" t="n">
        <f aca="false">K1674*INDEX(Surface_Engine!$B$12:$B$72,$A1674+1)+L1675</f>
        <v>404.719410632974</v>
      </c>
      <c r="M1674" s="48" t="n">
        <f aca="false">M1673+B1673*(IF($A1673&lt;$Q$1644,(Surface_Engine!Q251*12)-(Surface_Engine!Q251*12)*INDEX(Surface_Engine!$F$12:$F$72,$A1673+1)-INDEX(Surface_Engine!$D$12:$D$72,$A1673+1),-(1000*12*INDEX(Surface_Engine!$C$12:$C$72,$A1673+1)/(1+Assumptions!$B$10)^15+INDEX(Surface_Engine!$D$12:$D$72,$A1673+1))))*INDEX(Surface_Engine!$B$12:$B$72,$A1673+1)</f>
        <v>1422.23439091895</v>
      </c>
      <c r="N1674" s="12" t="n">
        <f aca="false">IF(B1674&lt;=0,0,MAX(0,(K1674+Assumptions!$B$29*L1674/INDEX(Surface_Engine!$B$12:$B$72,$A1674+1)-(M1674/INDEX(Surface_Engine!$B$12:$B$72,$A1674+1)-(F1674/INDEX(Surface_Engine!$B$12:$B$72,$A1674+1))))/B1674))</f>
        <v>0</v>
      </c>
    </row>
    <row r="1675" customFormat="false" ht="15" hidden="false" customHeight="true" outlineLevel="0" collapsed="false">
      <c r="A1675" s="1" t="n">
        <v>29</v>
      </c>
      <c r="B1675" s="32" t="n">
        <f aca="false">INDEX(Surface_Engine!$V$12:$V$72,$A1675+1)*IF($A1675&lt;$Q$1644,INDEX(Surface_Engine!$E$12:$E$72,$A1675+1),INDEX(Surface_Engine!$E$12:$E$72,$Q$1644+1))</f>
        <v>0.0228681364257617</v>
      </c>
      <c r="C1675" s="32" t="n">
        <f aca="false">INDEX(Panel_Reserving!$H$8:$H$68,$A1675+1)*IF($A1675&lt;$Q$1644,INDEX(Surface_Engine!$E$12:$E$72,$A1675+1),INDEX(Surface_Engine!$E$12:$E$72,$Q$1644+1))</f>
        <v>0.0495484818706294</v>
      </c>
      <c r="D1675" s="32" t="n">
        <f aca="false">INDEX(Surface_Engine!$V$12:$V$72,$A1675+1)*IF($A1675&lt;$Q$1644,INDEX(Surface_Engine!$Y$12:$Y$72,$A1675+1),INDEX(Surface_Engine!$Y$12:$Y$72,$Q$1644+1))</f>
        <v>0.0207157611842522</v>
      </c>
      <c r="E1675" s="32" t="n">
        <f aca="false">INDEX(Surface_Engine!$V$12:$V$72,$A1675+1)*IF($A1675&lt;$Q$1644,INDEX(Surface_Engine!$Z$12:$Z$72,$A1675+1),INDEX(Surface_Engine!$Z$12:$Z$72,$Q$1644+1))</f>
        <v>0.0252209824036097</v>
      </c>
      <c r="F1675" s="48" t="n">
        <f aca="false">B1675*(IF($A1675&lt;$Q$1644,INDEX(Surface_Engine!$D$12:$D$72,$A1675+1)+(Surface_Engine!Q251*12)*INDEX(Surface_Engine!$F$12:$F$72,$A1675+1)-(Surface_Engine!Q251*12),1000*12*INDEX(Surface_Engine!$C$12:$C$72,$A1675+1)/(1+Assumptions!$B$10)^15+INDEX(Surface_Engine!$D$12:$D$72,$A1675+1)))*INDEX(Surface_Engine!$B$12:$B$72,$A1675+1)+F1676</f>
        <v>505.012545803379</v>
      </c>
      <c r="G1675" s="48" t="n">
        <f aca="false">C1675*(IF($A1675&lt;$Q$1644,INDEX(Surface_Engine!$D$12:$D$72,$A1675+1)+(Surface_Engine!Q251*12)*INDEX(Surface_Engine!$F$12:$F$72,$A1675+1)-(Surface_Engine!Q251*12),1000*12*INDEX(Surface_Engine!$C$12:$C$72,$A1675+1)/(1+Assumptions!$B$10)^15+INDEX(Surface_Engine!$D$12:$D$72,$A1675+1)))*INDEX(Surface_Engine!$B$12:$B$72,$A1675+1)+G1676</f>
        <v>1283.6618340312</v>
      </c>
      <c r="H1675" s="48" t="n">
        <f aca="false">D1675*(IF($A1675&lt;$Q$1644,INDEX(Surface_Engine!$D$12:$D$72,$A1675+1)+(Surface_Engine!Q251*12)*INDEX(Surface_Engine!$F$12:$F$72,$A1675+1)-(Surface_Engine!Q251*12),1000*12*INDEX(Surface_Engine!$C$12:$C$72,$A1675+1)/(1+Assumptions!$B$10)^15+INDEX(Surface_Engine!$D$12:$D$72,$A1675+1)))*INDEX(Surface_Engine!$B$12:$B$72,$A1675+1)+H1676</f>
        <v>457.480185492008</v>
      </c>
      <c r="I1675" s="48" t="n">
        <f aca="false">E1675*(IF($A1675&lt;$Q$1644,INDEX(Surface_Engine!$D$12:$D$72,$A1675+1)+(Surface_Engine!Q251*12)*INDEX(Surface_Engine!$F$12:$F$72,$A1675+1)-(Surface_Engine!Q251*12),1000*12*INDEX(Surface_Engine!$C$12:$C$72,$A1675+1)/(1+Assumptions!$B$10)^15+INDEX(Surface_Engine!$D$12:$D$72,$A1675+1)))*INDEX(Surface_Engine!$B$12:$B$72,$A1675+1)+I1676</f>
        <v>556.972037168739</v>
      </c>
      <c r="J1675" s="48" t="n">
        <f aca="false">B1675*(IF($A1675&lt;$Q$1644,INDEX(Surface_Engine!$D$12:$D$72,$A1675+1)*(1+Assumptions!$B$24)+(Surface_Engine!Q251*12)*INDEX(Surface_Engine!$F$12:$F$72,$A1675+1)-(Surface_Engine!Q251*12),1000*12*INDEX(Surface_Engine!$C$12:$C$72,$A1675+1)/(1+Assumptions!$B$10)^15+INDEX(Surface_Engine!$D$12:$D$72,$A1675+1)*(1+Assumptions!$B$24)))*INDEX(Surface_Engine!$B$12:$B$72,$A1675+1)+J1676</f>
        <v>505.547068965756</v>
      </c>
      <c r="K1675" s="12" t="n">
        <f aca="false">SQRT((IF(C1675&lt;=0,0,MAX(0,(B1675/C1675)*G1675/INDEX(Surface_Engine!$B$12:$B$72,$A1675+1)-F1675/INDEX(Surface_Engine!$B$12:$B$72,$A1675+1))))^2+(MAX(IF(D1675&lt;=0,0,MAX(0,(B1675/D1675)*H1675/INDEX(Surface_Engine!$B$12:$B$72,$A1675+1)-F1675/INDEX(Surface_Engine!$B$12:$B$72,$A1675+1))),IF(E1675&lt;=0,0,MAX(0,(B1675/E1675)*I1675/INDEX(Surface_Engine!$B$12:$B$72,$A1675+1)-F1675/INDEX(Surface_Engine!$B$12:$B$72,$A1675+1))),IF($A1675&lt;$Q$1644,MAX(0,-Assumptions!$B$22*(F1675/INDEX(Surface_Engine!$B$12:$B$72,$A1675+1))),0)))^2+(MAX(0,J1675/INDEX(Surface_Engine!$B$12:$B$72,$A1675+1)-(F1675/INDEX(Surface_Engine!$B$12:$B$72,$A1675+1))))^2+2*Assumptions!$B$26*(IF(C1675&lt;=0,0,MAX(0,(B1675/C1675)*G1675/INDEX(Surface_Engine!$B$12:$B$72,$A1675+1)-F1675/INDEX(Surface_Engine!$B$12:$B$72,$A1675+1))))*(MAX(IF(D1675&lt;=0,0,MAX(0,(B1675/D1675)*H1675/INDEX(Surface_Engine!$B$12:$B$72,$A1675+1)-F1675/INDEX(Surface_Engine!$B$12:$B$72,$A1675+1))),IF(E1675&lt;=0,0,MAX(0,(B1675/E1675)*I1675/INDEX(Surface_Engine!$B$12:$B$72,$A1675+1)-F1675/INDEX(Surface_Engine!$B$12:$B$72,$A1675+1))),IF($A1675&lt;$Q$1644,MAX(0,-Assumptions!$B$22*(F1675/INDEX(Surface_Engine!$B$12:$B$72,$A1675+1))),0)))+2*Assumptions!$B$27*(IF(C1675&lt;=0,0,MAX(0,(B1675/C1675)*G1675/INDEX(Surface_Engine!$B$12:$B$72,$A1675+1)-F1675/INDEX(Surface_Engine!$B$12:$B$72,$A1675+1))))*(MAX(0,J1675/INDEX(Surface_Engine!$B$12:$B$72,$A1675+1)-(F1675/INDEX(Surface_Engine!$B$12:$B$72,$A1675+1))))+2*Assumptions!$B$28*(MAX(IF(D1675&lt;=0,0,MAX(0,(B1675/D1675)*H1675/INDEX(Surface_Engine!$B$12:$B$72,$A1675+1)-F1675/INDEX(Surface_Engine!$B$12:$B$72,$A1675+1))),IF(E1675&lt;=0,0,MAX(0,(B1675/E1675)*I1675/INDEX(Surface_Engine!$B$12:$B$72,$A1675+1)-F1675/INDEX(Surface_Engine!$B$12:$B$72,$A1675+1))),IF($A1675&lt;$Q$1644,MAX(0,-Assumptions!$B$22*(F1675/INDEX(Surface_Engine!$B$12:$B$72,$A1675+1))),0)))*(MAX(0,J1675/INDEX(Surface_Engine!$B$12:$B$72,$A1675+1)-(F1675/INDEX(Surface_Engine!$B$12:$B$72,$A1675+1)))))</f>
        <v>217.209194513537</v>
      </c>
      <c r="L1675" s="48" t="n">
        <f aca="false">K1675*INDEX(Surface_Engine!$B$12:$B$72,$A1675+1)+L1676</f>
        <v>275.888365543784</v>
      </c>
      <c r="M1675" s="48" t="n">
        <f aca="false">M1674+B1674*(IF($A1674&lt;$Q$1644,(Surface_Engine!Q251*12)-(Surface_Engine!Q251*12)*INDEX(Surface_Engine!$F$12:$F$72,$A1674+1)-INDEX(Surface_Engine!$D$12:$D$72,$A1674+1),-(1000*12*INDEX(Surface_Engine!$C$12:$C$72,$A1674+1)/(1+Assumptions!$B$10)^15+INDEX(Surface_Engine!$D$12:$D$72,$A1674+1))))*INDEX(Surface_Engine!$B$12:$B$72,$A1674+1)</f>
        <v>1220.99675826611</v>
      </c>
      <c r="N1675" s="12" t="n">
        <f aca="false">IF(B1675&lt;=0,0,MAX(0,(K1675+Assumptions!$B$29*L1675/INDEX(Surface_Engine!$B$12:$B$72,$A1675+1)-(M1675/INDEX(Surface_Engine!$B$12:$B$72,$A1675+1)-(F1675/INDEX(Surface_Engine!$B$12:$B$72,$A1675+1))))/B1675))</f>
        <v>0</v>
      </c>
    </row>
    <row r="1676" customFormat="false" ht="15" hidden="false" customHeight="true" outlineLevel="0" collapsed="false">
      <c r="A1676" s="1" t="n">
        <v>30</v>
      </c>
      <c r="B1676" s="32" t="n">
        <f aca="false">INDEX(Surface_Engine!$V$12:$V$72,$A1676+1)*IF($A1676&lt;$Q$1644,INDEX(Surface_Engine!$E$12:$E$72,$A1676+1),INDEX(Surface_Engine!$E$12:$E$72,$Q$1644+1))</f>
        <v>0.0172290976811919</v>
      </c>
      <c r="C1676" s="32" t="n">
        <f aca="false">INDEX(Panel_Reserving!$H$8:$H$68,$A1676+1)*IF($A1676&lt;$Q$1644,INDEX(Surface_Engine!$E$12:$E$72,$A1676+1),INDEX(Surface_Engine!$E$12:$E$72,$Q$1644+1))</f>
        <v>0.03977397978437</v>
      </c>
      <c r="D1676" s="32" t="n">
        <f aca="false">INDEX(Surface_Engine!$V$12:$V$72,$A1676+1)*IF($A1676&lt;$Q$1644,INDEX(Surface_Engine!$Y$12:$Y$72,$A1676+1),INDEX(Surface_Engine!$Y$12:$Y$72,$Q$1644+1))</f>
        <v>0.0156074752371011</v>
      </c>
      <c r="E1676" s="32" t="n">
        <f aca="false">INDEX(Surface_Engine!$V$12:$V$72,$A1676+1)*IF($A1676&lt;$Q$1644,INDEX(Surface_Engine!$Z$12:$Z$72,$A1676+1),INDEX(Surface_Engine!$Z$12:$Z$72,$Q$1644+1))</f>
        <v>0.0190017569143893</v>
      </c>
      <c r="F1676" s="48" t="n">
        <f aca="false">B1676*(IF($A1676&lt;$Q$1644,INDEX(Surface_Engine!$D$12:$D$72,$A1676+1)+(Surface_Engine!Q251*12)*INDEX(Surface_Engine!$F$12:$F$72,$A1676+1)-(Surface_Engine!Q251*12),1000*12*INDEX(Surface_Engine!$C$12:$C$72,$A1676+1)/(1+Assumptions!$B$10)^15+INDEX(Surface_Engine!$D$12:$D$72,$A1676+1)))*INDEX(Surface_Engine!$B$12:$B$72,$A1676+1)+F1677</f>
        <v>357.483159826995</v>
      </c>
      <c r="G1676" s="48" t="n">
        <f aca="false">C1676*(IF($A1676&lt;$Q$1644,INDEX(Surface_Engine!$D$12:$D$72,$A1676+1)+(Surface_Engine!Q251*12)*INDEX(Surface_Engine!$F$12:$F$72,$A1676+1)-(Surface_Engine!Q251*12),1000*12*INDEX(Surface_Engine!$C$12:$C$72,$A1676+1)/(1+Assumptions!$B$10)^15+INDEX(Surface_Engine!$D$12:$D$72,$A1676+1)))*INDEX(Surface_Engine!$B$12:$B$72,$A1676+1)+G1677</f>
        <v>964.009328451376</v>
      </c>
      <c r="H1676" s="48" t="n">
        <f aca="false">D1676*(IF($A1676&lt;$Q$1644,INDEX(Surface_Engine!$D$12:$D$72,$A1676+1)+(Surface_Engine!Q251*12)*INDEX(Surface_Engine!$F$12:$F$72,$A1676+1)-(Surface_Engine!Q251*12),1000*12*INDEX(Surface_Engine!$C$12:$C$72,$A1676+1)/(1+Assumptions!$B$10)^15+INDEX(Surface_Engine!$D$12:$D$72,$A1676+1)))*INDEX(Surface_Engine!$B$12:$B$72,$A1676+1)+H1677</f>
        <v>323.836434613242</v>
      </c>
      <c r="I1676" s="48" t="n">
        <f aca="false">E1676*(IF($A1676&lt;$Q$1644,INDEX(Surface_Engine!$D$12:$D$72,$A1676+1)+(Surface_Engine!Q251*12)*INDEX(Surface_Engine!$F$12:$F$72,$A1676+1)-(Surface_Engine!Q251*12),1000*12*INDEX(Surface_Engine!$C$12:$C$72,$A1676+1)/(1+Assumptions!$B$10)^15+INDEX(Surface_Engine!$D$12:$D$72,$A1676+1)))*INDEX(Surface_Engine!$B$12:$B$72,$A1676+1)+I1677</f>
        <v>394.263717677778</v>
      </c>
      <c r="J1676" s="48" t="n">
        <f aca="false">B1676*(IF($A1676&lt;$Q$1644,INDEX(Surface_Engine!$D$12:$D$72,$A1676+1)*(1+Assumptions!$B$24)+(Surface_Engine!Q251*12)*INDEX(Surface_Engine!$F$12:$F$72,$A1676+1)-(Surface_Engine!Q251*12),1000*12*INDEX(Surface_Engine!$C$12:$C$72,$A1676+1)/(1+Assumptions!$B$10)^15+INDEX(Surface_Engine!$D$12:$D$72,$A1676+1)*(1+Assumptions!$B$24)))*INDEX(Surface_Engine!$B$12:$B$72,$A1676+1)+J1677</f>
        <v>357.862971553994</v>
      </c>
      <c r="K1676" s="12" t="n">
        <f aca="false">SQRT((IF(C1676&lt;=0,0,MAX(0,(B1676/C1676)*G1676/INDEX(Surface_Engine!$B$12:$B$72,$A1676+1)-F1676/INDEX(Surface_Engine!$B$12:$B$72,$A1676+1))))^2+(MAX(IF(D1676&lt;=0,0,MAX(0,(B1676/D1676)*H1676/INDEX(Surface_Engine!$B$12:$B$72,$A1676+1)-F1676/INDEX(Surface_Engine!$B$12:$B$72,$A1676+1))),IF(E1676&lt;=0,0,MAX(0,(B1676/E1676)*I1676/INDEX(Surface_Engine!$B$12:$B$72,$A1676+1)-F1676/INDEX(Surface_Engine!$B$12:$B$72,$A1676+1))),IF($A1676&lt;$Q$1644,MAX(0,-Assumptions!$B$22*(F1676/INDEX(Surface_Engine!$B$12:$B$72,$A1676+1))),0)))^2+(MAX(0,J1676/INDEX(Surface_Engine!$B$12:$B$72,$A1676+1)-(F1676/INDEX(Surface_Engine!$B$12:$B$72,$A1676+1))))^2+2*Assumptions!$B$26*(IF(C1676&lt;=0,0,MAX(0,(B1676/C1676)*G1676/INDEX(Surface_Engine!$B$12:$B$72,$A1676+1)-F1676/INDEX(Surface_Engine!$B$12:$B$72,$A1676+1))))*(MAX(IF(D1676&lt;=0,0,MAX(0,(B1676/D1676)*H1676/INDEX(Surface_Engine!$B$12:$B$72,$A1676+1)-F1676/INDEX(Surface_Engine!$B$12:$B$72,$A1676+1))),IF(E1676&lt;=0,0,MAX(0,(B1676/E1676)*I1676/INDEX(Surface_Engine!$B$12:$B$72,$A1676+1)-F1676/INDEX(Surface_Engine!$B$12:$B$72,$A1676+1))),IF($A1676&lt;$Q$1644,MAX(0,-Assumptions!$B$22*(F1676/INDEX(Surface_Engine!$B$12:$B$72,$A1676+1))),0)))+2*Assumptions!$B$27*(IF(C1676&lt;=0,0,MAX(0,(B1676/C1676)*G1676/INDEX(Surface_Engine!$B$12:$B$72,$A1676+1)-F1676/INDEX(Surface_Engine!$B$12:$B$72,$A1676+1))))*(MAX(0,J1676/INDEX(Surface_Engine!$B$12:$B$72,$A1676+1)-(F1676/INDEX(Surface_Engine!$B$12:$B$72,$A1676+1))))+2*Assumptions!$B$28*(MAX(IF(D1676&lt;=0,0,MAX(0,(B1676/D1676)*H1676/INDEX(Surface_Engine!$B$12:$B$72,$A1676+1)-F1676/INDEX(Surface_Engine!$B$12:$B$72,$A1676+1))),IF(E1676&lt;=0,0,MAX(0,(B1676/E1676)*I1676/INDEX(Surface_Engine!$B$12:$B$72,$A1676+1)-F1676/INDEX(Surface_Engine!$B$12:$B$72,$A1676+1))),IF($A1676&lt;$Q$1644,MAX(0,-Assumptions!$B$22*(F1676/INDEX(Surface_Engine!$B$12:$B$72,$A1676+1))),0)))*(MAX(0,J1676/INDEX(Surface_Engine!$B$12:$B$72,$A1676+1)-(F1676/INDEX(Surface_Engine!$B$12:$B$72,$A1676+1)))))</f>
        <v>154.152678471014</v>
      </c>
      <c r="L1676" s="48" t="n">
        <f aca="false">K1676*INDEX(Surface_Engine!$B$12:$B$72,$A1676+1)+L1677</f>
        <v>188.31664200689</v>
      </c>
      <c r="M1676" s="48" t="n">
        <f aca="false">M1675+B1675*(IF($A1675&lt;$Q$1644,(Surface_Engine!Q251*12)-(Surface_Engine!Q251*12)*INDEX(Surface_Engine!$F$12:$F$72,$A1675+1)-INDEX(Surface_Engine!$D$12:$D$72,$A1675+1),-(1000*12*INDEX(Surface_Engine!$C$12:$C$72,$A1675+1)/(1+Assumptions!$B$10)^15+INDEX(Surface_Engine!$D$12:$D$72,$A1675+1))))*INDEX(Surface_Engine!$B$12:$B$72,$A1675+1)</f>
        <v>1073.46737228972</v>
      </c>
      <c r="N1676" s="12" t="n">
        <f aca="false">IF(B1676&lt;=0,0,MAX(0,(K1676+Assumptions!$B$29*L1676/INDEX(Surface_Engine!$B$12:$B$72,$A1676+1)-(M1676/INDEX(Surface_Engine!$B$12:$B$72,$A1676+1)-(F1676/INDEX(Surface_Engine!$B$12:$B$72,$A1676+1))))/B1676))</f>
        <v>0</v>
      </c>
    </row>
    <row r="1677" customFormat="false" ht="15" hidden="false" customHeight="true" outlineLevel="0" collapsed="false">
      <c r="A1677" s="1" t="n">
        <v>31</v>
      </c>
      <c r="B1677" s="32" t="n">
        <f aca="false">INDEX(Surface_Engine!$V$12:$V$72,$A1677+1)*IF($A1677&lt;$Q$1644,INDEX(Surface_Engine!$E$12:$E$72,$A1677+1),INDEX(Surface_Engine!$E$12:$E$72,$Q$1644+1))</f>
        <v>0.0150626443120666</v>
      </c>
      <c r="C1677" s="32" t="n">
        <f aca="false">INDEX(Panel_Reserving!$H$8:$H$68,$A1677+1)*IF($A1677&lt;$Q$1644,INDEX(Surface_Engine!$E$12:$E$72,$A1677+1),INDEX(Surface_Engine!$E$12:$E$72,$Q$1644+1))</f>
        <v>0.035772912561845</v>
      </c>
      <c r="D1677" s="32" t="n">
        <f aca="false">INDEX(Surface_Engine!$V$12:$V$72,$A1677+1)*IF($A1677&lt;$Q$1644,INDEX(Surface_Engine!$Y$12:$Y$72,$A1677+1),INDEX(Surface_Engine!$Y$12:$Y$72,$Q$1644+1))</f>
        <v>0.0136449309450764</v>
      </c>
      <c r="E1677" s="32" t="n">
        <f aca="false">INDEX(Surface_Engine!$V$12:$V$72,$A1677+1)*IF($A1677&lt;$Q$1644,INDEX(Surface_Engine!$Z$12:$Z$72,$A1677+1),INDEX(Surface_Engine!$Z$12:$Z$72,$Q$1644+1))</f>
        <v>0.0166124025182261</v>
      </c>
      <c r="F1677" s="48" t="n">
        <f aca="false">B1677*(IF($A1677&lt;$Q$1644,INDEX(Surface_Engine!$D$12:$D$72,$A1677+1)+(Surface_Engine!Q251*12)*INDEX(Surface_Engine!$F$12:$F$72,$A1677+1)-(Surface_Engine!Q251*12),1000*12*INDEX(Surface_Engine!$C$12:$C$72,$A1677+1)/(1+Assumptions!$B$10)^15+INDEX(Surface_Engine!$D$12:$D$72,$A1677+1)))*INDEX(Surface_Engine!$B$12:$B$72,$A1677+1)+F1678</f>
        <v>247.664456841246</v>
      </c>
      <c r="G1677" s="48" t="n">
        <f aca="false">C1677*(IF($A1677&lt;$Q$1644,INDEX(Surface_Engine!$D$12:$D$72,$A1677+1)+(Surface_Engine!Q251*12)*INDEX(Surface_Engine!$F$12:$F$72,$A1677+1)-(Surface_Engine!Q251*12),1000*12*INDEX(Surface_Engine!$C$12:$C$72,$A1677+1)/(1+Assumptions!$B$10)^15+INDEX(Surface_Engine!$D$12:$D$72,$A1677+1)))*INDEX(Surface_Engine!$B$12:$B$72,$A1677+1)+G1678</f>
        <v>710.488978556958</v>
      </c>
      <c r="H1677" s="48" t="n">
        <f aca="false">D1677*(IF($A1677&lt;$Q$1644,INDEX(Surface_Engine!$D$12:$D$72,$A1677+1)+(Surface_Engine!Q251*12)*INDEX(Surface_Engine!$F$12:$F$72,$A1677+1)-(Surface_Engine!Q251*12),1000*12*INDEX(Surface_Engine!$C$12:$C$72,$A1677+1)/(1+Assumptions!$B$10)^15+INDEX(Surface_Engine!$D$12:$D$72,$A1677+1)))*INDEX(Surface_Engine!$B$12:$B$72,$A1677+1)+H1678</f>
        <v>224.353993969139</v>
      </c>
      <c r="I1677" s="48" t="n">
        <f aca="false">E1677*(IF($A1677&lt;$Q$1644,INDEX(Surface_Engine!$D$12:$D$72,$A1677+1)+(Surface_Engine!Q251*12)*INDEX(Surface_Engine!$F$12:$F$72,$A1677+1)-(Surface_Engine!Q251*12),1000*12*INDEX(Surface_Engine!$C$12:$C$72,$A1677+1)/(1+Assumptions!$B$10)^15+INDEX(Surface_Engine!$D$12:$D$72,$A1677+1)))*INDEX(Surface_Engine!$B$12:$B$72,$A1677+1)+I1678</f>
        <v>273.146040048804</v>
      </c>
      <c r="J1677" s="48" t="n">
        <f aca="false">B1677*(IF($A1677&lt;$Q$1644,INDEX(Surface_Engine!$D$12:$D$72,$A1677+1)*(1+Assumptions!$B$24)+(Surface_Engine!Q251*12)*INDEX(Surface_Engine!$F$12:$F$72,$A1677+1)-(Surface_Engine!Q251*12),1000*12*INDEX(Surface_Engine!$C$12:$C$72,$A1677+1)/(1+Assumptions!$B$10)^15+INDEX(Surface_Engine!$D$12:$D$72,$A1677+1)*(1+Assumptions!$B$24)))*INDEX(Surface_Engine!$B$12:$B$72,$A1677+1)+J1678</f>
        <v>247.928545068405</v>
      </c>
      <c r="K1677" s="12" t="n">
        <f aca="false">SQRT((IF(C1677&lt;=0,0,MAX(0,(B1677/C1677)*G1677/INDEX(Surface_Engine!$B$12:$B$72,$A1677+1)-F1677/INDEX(Surface_Engine!$B$12:$B$72,$A1677+1))))^2+(MAX(IF(D1677&lt;=0,0,MAX(0,(B1677/D1677)*H1677/INDEX(Surface_Engine!$B$12:$B$72,$A1677+1)-F1677/INDEX(Surface_Engine!$B$12:$B$72,$A1677+1))),IF(E1677&lt;=0,0,MAX(0,(B1677/E1677)*I1677/INDEX(Surface_Engine!$B$12:$B$72,$A1677+1)-F1677/INDEX(Surface_Engine!$B$12:$B$72,$A1677+1))),IF($A1677&lt;$Q$1644,MAX(0,-Assumptions!$B$22*(F1677/INDEX(Surface_Engine!$B$12:$B$72,$A1677+1))),0)))^2+(MAX(0,J1677/INDEX(Surface_Engine!$B$12:$B$72,$A1677+1)-(F1677/INDEX(Surface_Engine!$B$12:$B$72,$A1677+1))))^2+2*Assumptions!$B$26*(IF(C1677&lt;=0,0,MAX(0,(B1677/C1677)*G1677/INDEX(Surface_Engine!$B$12:$B$72,$A1677+1)-F1677/INDEX(Surface_Engine!$B$12:$B$72,$A1677+1))))*(MAX(IF(D1677&lt;=0,0,MAX(0,(B1677/D1677)*H1677/INDEX(Surface_Engine!$B$12:$B$72,$A1677+1)-F1677/INDEX(Surface_Engine!$B$12:$B$72,$A1677+1))),IF(E1677&lt;=0,0,MAX(0,(B1677/E1677)*I1677/INDEX(Surface_Engine!$B$12:$B$72,$A1677+1)-F1677/INDEX(Surface_Engine!$B$12:$B$72,$A1677+1))),IF($A1677&lt;$Q$1644,MAX(0,-Assumptions!$B$22*(F1677/INDEX(Surface_Engine!$B$12:$B$72,$A1677+1))),0)))+2*Assumptions!$B$27*(IF(C1677&lt;=0,0,MAX(0,(B1677/C1677)*G1677/INDEX(Surface_Engine!$B$12:$B$72,$A1677+1)-F1677/INDEX(Surface_Engine!$B$12:$B$72,$A1677+1))))*(MAX(0,J1677/INDEX(Surface_Engine!$B$12:$B$72,$A1677+1)-(F1677/INDEX(Surface_Engine!$B$12:$B$72,$A1677+1))))+2*Assumptions!$B$28*(MAX(IF(D1677&lt;=0,0,MAX(0,(B1677/D1677)*H1677/INDEX(Surface_Engine!$B$12:$B$72,$A1677+1)-F1677/INDEX(Surface_Engine!$B$12:$B$72,$A1677+1))),IF(E1677&lt;=0,0,MAX(0,(B1677/E1677)*I1677/INDEX(Surface_Engine!$B$12:$B$72,$A1677+1)-F1677/INDEX(Surface_Engine!$B$12:$B$72,$A1677+1))),IF($A1677&lt;$Q$1644,MAX(0,-Assumptions!$B$22*(F1677/INDEX(Surface_Engine!$B$12:$B$72,$A1677+1))),0)))*(MAX(0,J1677/INDEX(Surface_Engine!$B$12:$B$72,$A1677+1)-(F1677/INDEX(Surface_Engine!$B$12:$B$72,$A1677+1)))))</f>
        <v>136.285406286863</v>
      </c>
      <c r="L1677" s="48" t="n">
        <f aca="false">K1677*INDEX(Surface_Engine!$B$12:$B$72,$A1677+1)+L1678</f>
        <v>128.118888074365</v>
      </c>
      <c r="M1677" s="48" t="n">
        <f aca="false">M1676+B1676*(IF($A1676&lt;$Q$1644,(Surface_Engine!Q251*12)-(Surface_Engine!Q251*12)*INDEX(Surface_Engine!$F$12:$F$72,$A1676+1)-INDEX(Surface_Engine!$D$12:$D$72,$A1676+1),-(1000*12*INDEX(Surface_Engine!$C$12:$C$72,$A1676+1)/(1+Assumptions!$B$10)^15+INDEX(Surface_Engine!$D$12:$D$72,$A1676+1))))*INDEX(Surface_Engine!$B$12:$B$72,$A1676+1)</f>
        <v>963.648669303973</v>
      </c>
      <c r="N1677" s="12" t="n">
        <f aca="false">IF(B1677&lt;=0,0,MAX(0,(K1677+Assumptions!$B$29*L1677/INDEX(Surface_Engine!$B$12:$B$72,$A1677+1)-(M1677/INDEX(Surface_Engine!$B$12:$B$72,$A1677+1)-(F1677/INDEX(Surface_Engine!$B$12:$B$72,$A1677+1))))/B1677))</f>
        <v>0</v>
      </c>
    </row>
    <row r="1678" customFormat="false" ht="15" hidden="false" customHeight="true" outlineLevel="0" collapsed="false">
      <c r="A1678" s="1" t="n">
        <v>32</v>
      </c>
      <c r="B1678" s="32" t="n">
        <f aca="false">INDEX(Surface_Engine!$V$12:$V$72,$A1678+1)*IF($A1678&lt;$Q$1644,INDEX(Surface_Engine!$E$12:$E$72,$A1678+1),INDEX(Surface_Engine!$E$12:$E$72,$Q$1644+1))</f>
        <v>0.00990858572303515</v>
      </c>
      <c r="C1678" s="32" t="n">
        <f aca="false">INDEX(Panel_Reserving!$H$8:$H$68,$A1678+1)*IF($A1678&lt;$Q$1644,INDEX(Surface_Engine!$E$12:$E$72,$A1678+1),INDEX(Surface_Engine!$E$12:$E$72,$Q$1644+1))</f>
        <v>0.0259804387611408</v>
      </c>
      <c r="D1678" s="32" t="n">
        <f aca="false">INDEX(Surface_Engine!$V$12:$V$72,$A1678+1)*IF($A1678&lt;$Q$1644,INDEX(Surface_Engine!$Y$12:$Y$72,$A1678+1),INDEX(Surface_Engine!$Y$12:$Y$72,$Q$1644+1))</f>
        <v>0.00897597826471116</v>
      </c>
      <c r="E1678" s="32" t="n">
        <f aca="false">INDEX(Surface_Engine!$V$12:$V$72,$A1678+1)*IF($A1678&lt;$Q$1644,INDEX(Surface_Engine!$Z$12:$Z$72,$A1678+1),INDEX(Surface_Engine!$Z$12:$Z$72,$Q$1644+1))</f>
        <v>0.010928055592838</v>
      </c>
      <c r="F1678" s="48" t="n">
        <f aca="false">B1678*(IF($A1678&lt;$Q$1644,INDEX(Surface_Engine!$D$12:$D$72,$A1678+1)+(Surface_Engine!Q251*12)*INDEX(Surface_Engine!$F$12:$F$72,$A1678+1)-(Surface_Engine!Q251*12),1000*12*INDEX(Surface_Engine!$C$12:$C$72,$A1678+1)/(1+Assumptions!$B$10)^15+INDEX(Surface_Engine!$D$12:$D$72,$A1678+1)))*INDEX(Surface_Engine!$B$12:$B$72,$A1678+1)+F1679</f>
        <v>152.780067550405</v>
      </c>
      <c r="G1678" s="48" t="n">
        <f aca="false">C1678*(IF($A1678&lt;$Q$1644,INDEX(Surface_Engine!$D$12:$D$72,$A1678+1)+(Surface_Engine!Q251*12)*INDEX(Surface_Engine!$F$12:$F$72,$A1678+1)-(Surface_Engine!Q251*12),1000*12*INDEX(Surface_Engine!$C$12:$C$72,$A1678+1)/(1+Assumptions!$B$10)^15+INDEX(Surface_Engine!$D$12:$D$72,$A1678+1)))*INDEX(Surface_Engine!$B$12:$B$72,$A1678+1)+G1679</f>
        <v>485.144019779289</v>
      </c>
      <c r="H1678" s="48" t="n">
        <f aca="false">D1678*(IF($A1678&lt;$Q$1644,INDEX(Surface_Engine!$D$12:$D$72,$A1678+1)+(Surface_Engine!Q251*12)*INDEX(Surface_Engine!$F$12:$F$72,$A1678+1)-(Surface_Engine!Q251*12),1000*12*INDEX(Surface_Engine!$C$12:$C$72,$A1678+1)/(1+Assumptions!$B$10)^15+INDEX(Surface_Engine!$D$12:$D$72,$A1678+1)))*INDEX(Surface_Engine!$B$12:$B$72,$A1678+1)+H1679</f>
        <v>138.400232277899</v>
      </c>
      <c r="I1678" s="48" t="n">
        <f aca="false">E1678*(IF($A1678&lt;$Q$1644,INDEX(Surface_Engine!$D$12:$D$72,$A1678+1)+(Surface_Engine!Q251*12)*INDEX(Surface_Engine!$F$12:$F$72,$A1678+1)-(Surface_Engine!Q251*12),1000*12*INDEX(Surface_Engine!$C$12:$C$72,$A1678+1)/(1+Assumptions!$B$10)^15+INDEX(Surface_Engine!$D$12:$D$72,$A1678+1)))*INDEX(Surface_Engine!$B$12:$B$72,$A1678+1)+I1679</f>
        <v>168.499230701206</v>
      </c>
      <c r="J1678" s="48" t="n">
        <f aca="false">B1678*(IF($A1678&lt;$Q$1644,INDEX(Surface_Engine!$D$12:$D$72,$A1678+1)*(1+Assumptions!$B$24)+(Surface_Engine!Q251*12)*INDEX(Surface_Engine!$F$12:$F$72,$A1678+1)-(Surface_Engine!Q251*12),1000*12*INDEX(Surface_Engine!$C$12:$C$72,$A1678+1)/(1+Assumptions!$B$10)^15+INDEX(Surface_Engine!$D$12:$D$72,$A1678+1)*(1+Assumptions!$B$24)))*INDEX(Surface_Engine!$B$12:$B$72,$A1678+1)+J1679</f>
        <v>152.943684649903</v>
      </c>
      <c r="K1678" s="12" t="n">
        <f aca="false">SQRT((IF(C1678&lt;=0,0,MAX(0,(B1678/C1678)*G1678/INDEX(Surface_Engine!$B$12:$B$72,$A1678+1)-F1678/INDEX(Surface_Engine!$B$12:$B$72,$A1678+1))))^2+(MAX(IF(D1678&lt;=0,0,MAX(0,(B1678/D1678)*H1678/INDEX(Surface_Engine!$B$12:$B$72,$A1678+1)-F1678/INDEX(Surface_Engine!$B$12:$B$72,$A1678+1))),IF(E1678&lt;=0,0,MAX(0,(B1678/E1678)*I1678/INDEX(Surface_Engine!$B$12:$B$72,$A1678+1)-F1678/INDEX(Surface_Engine!$B$12:$B$72,$A1678+1))),IF($A1678&lt;$Q$1644,MAX(0,-Assumptions!$B$22*(F1678/INDEX(Surface_Engine!$B$12:$B$72,$A1678+1))),0)))^2+(MAX(0,J1678/INDEX(Surface_Engine!$B$12:$B$72,$A1678+1)-(F1678/INDEX(Surface_Engine!$B$12:$B$72,$A1678+1))))^2+2*Assumptions!$B$26*(IF(C1678&lt;=0,0,MAX(0,(B1678/C1678)*G1678/INDEX(Surface_Engine!$B$12:$B$72,$A1678+1)-F1678/INDEX(Surface_Engine!$B$12:$B$72,$A1678+1))))*(MAX(IF(D1678&lt;=0,0,MAX(0,(B1678/D1678)*H1678/INDEX(Surface_Engine!$B$12:$B$72,$A1678+1)-F1678/INDEX(Surface_Engine!$B$12:$B$72,$A1678+1))),IF(E1678&lt;=0,0,MAX(0,(B1678/E1678)*I1678/INDEX(Surface_Engine!$B$12:$B$72,$A1678+1)-F1678/INDEX(Surface_Engine!$B$12:$B$72,$A1678+1))),IF($A1678&lt;$Q$1644,MAX(0,-Assumptions!$B$22*(F1678/INDEX(Surface_Engine!$B$12:$B$72,$A1678+1))),0)))+2*Assumptions!$B$27*(IF(C1678&lt;=0,0,MAX(0,(B1678/C1678)*G1678/INDEX(Surface_Engine!$B$12:$B$72,$A1678+1)-F1678/INDEX(Surface_Engine!$B$12:$B$72,$A1678+1))))*(MAX(0,J1678/INDEX(Surface_Engine!$B$12:$B$72,$A1678+1)-(F1678/INDEX(Surface_Engine!$B$12:$B$72,$A1678+1))))+2*Assumptions!$B$28*(MAX(IF(D1678&lt;=0,0,MAX(0,(B1678/D1678)*H1678/INDEX(Surface_Engine!$B$12:$B$72,$A1678+1)-F1678/INDEX(Surface_Engine!$B$12:$B$72,$A1678+1))),IF(E1678&lt;=0,0,MAX(0,(B1678/E1678)*I1678/INDEX(Surface_Engine!$B$12:$B$72,$A1678+1)-F1678/INDEX(Surface_Engine!$B$12:$B$72,$A1678+1))),IF($A1678&lt;$Q$1644,MAX(0,-Assumptions!$B$22*(F1678/INDEX(Surface_Engine!$B$12:$B$72,$A1678+1))),0)))*(MAX(0,J1678/INDEX(Surface_Engine!$B$12:$B$72,$A1678+1)-(F1678/INDEX(Surface_Engine!$B$12:$B$72,$A1678+1)))))</f>
        <v>88.1146493240714</v>
      </c>
      <c r="L1678" s="48" t="n">
        <f aca="false">K1678*INDEX(Surface_Engine!$B$12:$B$72,$A1678+1)+L1679</f>
        <v>76.5561786813079</v>
      </c>
      <c r="M1678" s="48" t="n">
        <f aca="false">M1677+B1677*(IF($A1677&lt;$Q$1644,(Surface_Engine!Q251*12)-(Surface_Engine!Q251*12)*INDEX(Surface_Engine!$F$12:$F$72,$A1677+1)-INDEX(Surface_Engine!$D$12:$D$72,$A1677+1),-(1000*12*INDEX(Surface_Engine!$C$12:$C$72,$A1677+1)/(1+Assumptions!$B$10)^15+INDEX(Surface_Engine!$D$12:$D$72,$A1677+1))))*INDEX(Surface_Engine!$B$12:$B$72,$A1677+1)</f>
        <v>868.764280013132</v>
      </c>
      <c r="N1678" s="12" t="n">
        <f aca="false">IF(B1678&lt;=0,0,MAX(0,(K1678+Assumptions!$B$29*L1678/INDEX(Surface_Engine!$B$12:$B$72,$A1678+1)-(M1678/INDEX(Surface_Engine!$B$12:$B$72,$A1678+1)-(F1678/INDEX(Surface_Engine!$B$12:$B$72,$A1678+1))))/B1678))</f>
        <v>0</v>
      </c>
    </row>
    <row r="1679" customFormat="false" ht="15" hidden="false" customHeight="true" outlineLevel="0" collapsed="false">
      <c r="A1679" s="1" t="n">
        <v>33</v>
      </c>
      <c r="B1679" s="32" t="n">
        <f aca="false">INDEX(Surface_Engine!$V$12:$V$72,$A1679+1)*IF($A1679&lt;$Q$1644,INDEX(Surface_Engine!$E$12:$E$72,$A1679+1),INDEX(Surface_Engine!$E$12:$E$72,$Q$1644+1))</f>
        <v>0.00629451975855438</v>
      </c>
      <c r="C1679" s="32" t="n">
        <f aca="false">INDEX(Panel_Reserving!$H$8:$H$68,$A1679+1)*IF($A1679&lt;$Q$1644,INDEX(Surface_Engine!$E$12:$E$72,$A1679+1),INDEX(Surface_Engine!$E$12:$E$72,$Q$1644+1))</f>
        <v>0.0183995369377347</v>
      </c>
      <c r="D1679" s="32" t="n">
        <f aca="false">INDEX(Surface_Engine!$V$12:$V$72,$A1679+1)*IF($A1679&lt;$Q$1644,INDEX(Surface_Engine!$Y$12:$Y$72,$A1679+1),INDEX(Surface_Engine!$Y$12:$Y$72,$Q$1644+1))</f>
        <v>0.00570207233593701</v>
      </c>
      <c r="E1679" s="32" t="n">
        <f aca="false">INDEX(Surface_Engine!$V$12:$V$72,$A1679+1)*IF($A1679&lt;$Q$1644,INDEX(Surface_Engine!$Z$12:$Z$72,$A1679+1),INDEX(Surface_Engine!$Z$12:$Z$72,$Q$1644+1))</f>
        <v>0.00694214732298133</v>
      </c>
      <c r="F1679" s="48" t="n">
        <f aca="false">B1679*(IF($A1679&lt;$Q$1644,INDEX(Surface_Engine!$D$12:$D$72,$A1679+1)+(Surface_Engine!Q251*12)*INDEX(Surface_Engine!$F$12:$F$72,$A1679+1)-(Surface_Engine!Q251*12),1000*12*INDEX(Surface_Engine!$C$12:$C$72,$A1679+1)/(1+Assumptions!$B$10)^15+INDEX(Surface_Engine!$D$12:$D$72,$A1679+1)))*INDEX(Surface_Engine!$B$12:$B$72,$A1679+1)+F1680</f>
        <v>91.1146047166378</v>
      </c>
      <c r="G1679" s="48" t="n">
        <f aca="false">C1679*(IF($A1679&lt;$Q$1644,INDEX(Surface_Engine!$D$12:$D$72,$A1679+1)+(Surface_Engine!Q251*12)*INDEX(Surface_Engine!$F$12:$F$72,$A1679+1)-(Surface_Engine!Q251*12),1000*12*INDEX(Surface_Engine!$C$12:$C$72,$A1679+1)/(1+Assumptions!$B$10)^15+INDEX(Surface_Engine!$D$12:$D$72,$A1679+1)))*INDEX(Surface_Engine!$B$12:$B$72,$A1679+1)+G1680</f>
        <v>323.456385881588</v>
      </c>
      <c r="H1679" s="48" t="n">
        <f aca="false">D1679*(IF($A1679&lt;$Q$1644,INDEX(Surface_Engine!$D$12:$D$72,$A1679+1)+(Surface_Engine!Q251*12)*INDEX(Surface_Engine!$F$12:$F$72,$A1679+1)-(Surface_Engine!Q251*12),1000*12*INDEX(Surface_Engine!$C$12:$C$72,$A1679+1)/(1+Assumptions!$B$10)^15+INDEX(Surface_Engine!$D$12:$D$72,$A1679+1)))*INDEX(Surface_Engine!$B$12:$B$72,$A1679+1)+H1680</f>
        <v>82.5387935669767</v>
      </c>
      <c r="I1679" s="48" t="n">
        <f aca="false">E1679*(IF($A1679&lt;$Q$1644,INDEX(Surface_Engine!$D$12:$D$72,$A1679+1)+(Surface_Engine!Q251*12)*INDEX(Surface_Engine!$F$12:$F$72,$A1679+1)-(Surface_Engine!Q251*12),1000*12*INDEX(Surface_Engine!$C$12:$C$72,$A1679+1)/(1+Assumptions!$B$10)^15+INDEX(Surface_Engine!$D$12:$D$72,$A1679+1)))*INDEX(Surface_Engine!$B$12:$B$72,$A1679+1)+I1680</f>
        <v>100.489160965535</v>
      </c>
      <c r="J1679" s="48" t="n">
        <f aca="false">B1679*(IF($A1679&lt;$Q$1644,INDEX(Surface_Engine!$D$12:$D$72,$A1679+1)*(1+Assumptions!$B$24)+(Surface_Engine!Q251*12)*INDEX(Surface_Engine!$F$12:$F$72,$A1679+1)-(Surface_Engine!Q251*12),1000*12*INDEX(Surface_Engine!$C$12:$C$72,$A1679+1)/(1+Assumptions!$B$10)^15+INDEX(Surface_Engine!$D$12:$D$72,$A1679+1)*(1+Assumptions!$B$24)))*INDEX(Surface_Engine!$B$12:$B$72,$A1679+1)+J1680</f>
        <v>91.2126088520964</v>
      </c>
      <c r="K1679" s="12" t="n">
        <f aca="false">SQRT((IF(C1679&lt;=0,0,MAX(0,(B1679/C1679)*G1679/INDEX(Surface_Engine!$B$12:$B$72,$A1679+1)-F1679/INDEX(Surface_Engine!$B$12:$B$72,$A1679+1))))^2+(MAX(IF(D1679&lt;=0,0,MAX(0,(B1679/D1679)*H1679/INDEX(Surface_Engine!$B$12:$B$72,$A1679+1)-F1679/INDEX(Surface_Engine!$B$12:$B$72,$A1679+1))),IF(E1679&lt;=0,0,MAX(0,(B1679/E1679)*I1679/INDEX(Surface_Engine!$B$12:$B$72,$A1679+1)-F1679/INDEX(Surface_Engine!$B$12:$B$72,$A1679+1))),IF($A1679&lt;$Q$1644,MAX(0,-Assumptions!$B$22*(F1679/INDEX(Surface_Engine!$B$12:$B$72,$A1679+1))),0)))^2+(MAX(0,J1679/INDEX(Surface_Engine!$B$12:$B$72,$A1679+1)-(F1679/INDEX(Surface_Engine!$B$12:$B$72,$A1679+1))))^2+2*Assumptions!$B$26*(IF(C1679&lt;=0,0,MAX(0,(B1679/C1679)*G1679/INDEX(Surface_Engine!$B$12:$B$72,$A1679+1)-F1679/INDEX(Surface_Engine!$B$12:$B$72,$A1679+1))))*(MAX(IF(D1679&lt;=0,0,MAX(0,(B1679/D1679)*H1679/INDEX(Surface_Engine!$B$12:$B$72,$A1679+1)-F1679/INDEX(Surface_Engine!$B$12:$B$72,$A1679+1))),IF(E1679&lt;=0,0,MAX(0,(B1679/E1679)*I1679/INDEX(Surface_Engine!$B$12:$B$72,$A1679+1)-F1679/INDEX(Surface_Engine!$B$12:$B$72,$A1679+1))),IF($A1679&lt;$Q$1644,MAX(0,-Assumptions!$B$22*(F1679/INDEX(Surface_Engine!$B$12:$B$72,$A1679+1))),0)))+2*Assumptions!$B$27*(IF(C1679&lt;=0,0,MAX(0,(B1679/C1679)*G1679/INDEX(Surface_Engine!$B$12:$B$72,$A1679+1)-F1679/INDEX(Surface_Engine!$B$12:$B$72,$A1679+1))))*(MAX(0,J1679/INDEX(Surface_Engine!$B$12:$B$72,$A1679+1)-(F1679/INDEX(Surface_Engine!$B$12:$B$72,$A1679+1))))+2*Assumptions!$B$28*(MAX(IF(D1679&lt;=0,0,MAX(0,(B1679/D1679)*H1679/INDEX(Surface_Engine!$B$12:$B$72,$A1679+1)-F1679/INDEX(Surface_Engine!$B$12:$B$72,$A1679+1))),IF(E1679&lt;=0,0,MAX(0,(B1679/E1679)*I1679/INDEX(Surface_Engine!$B$12:$B$72,$A1679+1)-F1679/INDEX(Surface_Engine!$B$12:$B$72,$A1679+1))),IF($A1679&lt;$Q$1644,MAX(0,-Assumptions!$B$22*(F1679/INDEX(Surface_Engine!$B$12:$B$72,$A1679+1))),0)))*(MAX(0,J1679/INDEX(Surface_Engine!$B$12:$B$72,$A1679+1)-(F1679/INDEX(Surface_Engine!$B$12:$B$72,$A1679+1)))))</f>
        <v>55.1299015276896</v>
      </c>
      <c r="L1679" s="48" t="n">
        <f aca="false">K1679*INDEX(Surface_Engine!$B$12:$B$72,$A1679+1)+L1680</f>
        <v>44.267627476897</v>
      </c>
      <c r="M1679" s="48" t="n">
        <f aca="false">M1678+B1678*(IF($A1678&lt;$Q$1644,(Surface_Engine!Q251*12)-(Surface_Engine!Q251*12)*INDEX(Surface_Engine!$F$12:$F$72,$A1678+1)-INDEX(Surface_Engine!$D$12:$D$72,$A1678+1),-(1000*12*INDEX(Surface_Engine!$C$12:$C$72,$A1678+1)/(1+Assumptions!$B$10)^15+INDEX(Surface_Engine!$D$12:$D$72,$A1678+1))))*INDEX(Surface_Engine!$B$12:$B$72,$A1678+1)</f>
        <v>807.098817179365</v>
      </c>
      <c r="N1679" s="12" t="n">
        <f aca="false">IF(B1679&lt;=0,0,MAX(0,(K1679+Assumptions!$B$29*L1679/INDEX(Surface_Engine!$B$12:$B$72,$A1679+1)-(M1679/INDEX(Surface_Engine!$B$12:$B$72,$A1679+1)-(F1679/INDEX(Surface_Engine!$B$12:$B$72,$A1679+1))))/B1679))</f>
        <v>0</v>
      </c>
    </row>
    <row r="1680" customFormat="false" ht="15" hidden="false" customHeight="true" outlineLevel="0" collapsed="false">
      <c r="A1680" s="1" t="n">
        <v>34</v>
      </c>
      <c r="B1680" s="32" t="n">
        <f aca="false">INDEX(Surface_Engine!$V$12:$V$72,$A1680+1)*IF($A1680&lt;$Q$1644,INDEX(Surface_Engine!$E$12:$E$72,$A1680+1),INDEX(Surface_Engine!$E$12:$E$72,$Q$1644+1))</f>
        <v>0.00384830957590598</v>
      </c>
      <c r="C1680" s="32" t="n">
        <f aca="false">INDEX(Panel_Reserving!$H$8:$H$68,$A1680+1)*IF($A1680&lt;$Q$1644,INDEX(Surface_Engine!$E$12:$E$72,$A1680+1),INDEX(Surface_Engine!$E$12:$E$72,$Q$1644+1))</f>
        <v>0.0126791151944322</v>
      </c>
      <c r="D1680" s="32" t="n">
        <f aca="false">INDEX(Surface_Engine!$V$12:$V$72,$A1680+1)*IF($A1680&lt;$Q$1644,INDEX(Surface_Engine!$Y$12:$Y$72,$A1680+1),INDEX(Surface_Engine!$Y$12:$Y$72,$Q$1644+1))</f>
        <v>0.00348610226269821</v>
      </c>
      <c r="E1680" s="32" t="n">
        <f aca="false">INDEX(Surface_Engine!$V$12:$V$72,$A1680+1)*IF($A1680&lt;$Q$1644,INDEX(Surface_Engine!$Z$12:$Z$72,$A1680+1),INDEX(Surface_Engine!$Z$12:$Z$72,$Q$1644+1))</f>
        <v>0.00424425262690966</v>
      </c>
      <c r="F1680" s="48" t="n">
        <f aca="false">B1680*(IF($A1680&lt;$Q$1644,INDEX(Surface_Engine!$D$12:$D$72,$A1680+1)+(Surface_Engine!Q251*12)*INDEX(Surface_Engine!$F$12:$F$72,$A1680+1)-(Surface_Engine!Q251*12),1000*12*INDEX(Surface_Engine!$C$12:$C$72,$A1680+1)/(1+Assumptions!$B$10)^15+INDEX(Surface_Engine!$D$12:$D$72,$A1680+1)))*INDEX(Surface_Engine!$B$12:$B$72,$A1680+1)+F1681</f>
        <v>52.4144248428962</v>
      </c>
      <c r="G1680" s="48" t="n">
        <f aca="false">C1680*(IF($A1680&lt;$Q$1644,INDEX(Surface_Engine!$D$12:$D$72,$A1680+1)+(Surface_Engine!Q251*12)*INDEX(Surface_Engine!$F$12:$F$72,$A1680+1)-(Surface_Engine!Q251*12),1000*12*INDEX(Surface_Engine!$C$12:$C$72,$A1680+1)/(1+Assumptions!$B$10)^15+INDEX(Surface_Engine!$D$12:$D$72,$A1680+1)))*INDEX(Surface_Engine!$B$12:$B$72,$A1680+1)+G1681</f>
        <v>210.331728815229</v>
      </c>
      <c r="H1680" s="48" t="n">
        <f aca="false">D1680*(IF($A1680&lt;$Q$1644,INDEX(Surface_Engine!$D$12:$D$72,$A1680+1)+(Surface_Engine!Q251*12)*INDEX(Surface_Engine!$F$12:$F$72,$A1680+1)-(Surface_Engine!Q251*12),1000*12*INDEX(Surface_Engine!$C$12:$C$72,$A1680+1)/(1+Assumptions!$B$10)^15+INDEX(Surface_Engine!$D$12:$D$72,$A1680+1)))*INDEX(Surface_Engine!$B$12:$B$72,$A1680+1)+H1681</f>
        <v>47.4811190312901</v>
      </c>
      <c r="I1680" s="48" t="n">
        <f aca="false">E1680*(IF($A1680&lt;$Q$1644,INDEX(Surface_Engine!$D$12:$D$72,$A1680+1)+(Surface_Engine!Q251*12)*INDEX(Surface_Engine!$F$12:$F$72,$A1680+1)-(Surface_Engine!Q251*12),1000*12*INDEX(Surface_Engine!$C$12:$C$72,$A1680+1)/(1+Assumptions!$B$10)^15+INDEX(Surface_Engine!$D$12:$D$72,$A1680+1)))*INDEX(Surface_Engine!$B$12:$B$72,$A1680+1)+I1681</f>
        <v>57.8072153342935</v>
      </c>
      <c r="J1680" s="48" t="n">
        <f aca="false">B1680*(IF($A1680&lt;$Q$1644,INDEX(Surface_Engine!$D$12:$D$72,$A1680+1)*(1+Assumptions!$B$24)+(Surface_Engine!Q251*12)*INDEX(Surface_Engine!$F$12:$F$72,$A1680+1)-(Surface_Engine!Q251*12),1000*12*INDEX(Surface_Engine!$C$12:$C$72,$A1680+1)/(1+Assumptions!$B$10)^15+INDEX(Surface_Engine!$D$12:$D$72,$A1680+1)*(1+Assumptions!$B$24)))*INDEX(Surface_Engine!$B$12:$B$72,$A1680+1)+J1681</f>
        <v>52.471051722211</v>
      </c>
      <c r="K1680" s="12" t="n">
        <f aca="false">SQRT((IF(C1680&lt;=0,0,MAX(0,(B1680/C1680)*G1680/INDEX(Surface_Engine!$B$12:$B$72,$A1680+1)-F1680/INDEX(Surface_Engine!$B$12:$B$72,$A1680+1))))^2+(MAX(IF(D1680&lt;=0,0,MAX(0,(B1680/D1680)*H1680/INDEX(Surface_Engine!$B$12:$B$72,$A1680+1)-F1680/INDEX(Surface_Engine!$B$12:$B$72,$A1680+1))),IF(E1680&lt;=0,0,MAX(0,(B1680/E1680)*I1680/INDEX(Surface_Engine!$B$12:$B$72,$A1680+1)-F1680/INDEX(Surface_Engine!$B$12:$B$72,$A1680+1))),IF($A1680&lt;$Q$1644,MAX(0,-Assumptions!$B$22*(F1680/INDEX(Surface_Engine!$B$12:$B$72,$A1680+1))),0)))^2+(MAX(0,J1680/INDEX(Surface_Engine!$B$12:$B$72,$A1680+1)-(F1680/INDEX(Surface_Engine!$B$12:$B$72,$A1680+1))))^2+2*Assumptions!$B$26*(IF(C1680&lt;=0,0,MAX(0,(B1680/C1680)*G1680/INDEX(Surface_Engine!$B$12:$B$72,$A1680+1)-F1680/INDEX(Surface_Engine!$B$12:$B$72,$A1680+1))))*(MAX(IF(D1680&lt;=0,0,MAX(0,(B1680/D1680)*H1680/INDEX(Surface_Engine!$B$12:$B$72,$A1680+1)-F1680/INDEX(Surface_Engine!$B$12:$B$72,$A1680+1))),IF(E1680&lt;=0,0,MAX(0,(B1680/E1680)*I1680/INDEX(Surface_Engine!$B$12:$B$72,$A1680+1)-F1680/INDEX(Surface_Engine!$B$12:$B$72,$A1680+1))),IF($A1680&lt;$Q$1644,MAX(0,-Assumptions!$B$22*(F1680/INDEX(Surface_Engine!$B$12:$B$72,$A1680+1))),0)))+2*Assumptions!$B$27*(IF(C1680&lt;=0,0,MAX(0,(B1680/C1680)*G1680/INDEX(Surface_Engine!$B$12:$B$72,$A1680+1)-F1680/INDEX(Surface_Engine!$B$12:$B$72,$A1680+1))))*(MAX(0,J1680/INDEX(Surface_Engine!$B$12:$B$72,$A1680+1)-(F1680/INDEX(Surface_Engine!$B$12:$B$72,$A1680+1))))+2*Assumptions!$B$28*(MAX(IF(D1680&lt;=0,0,MAX(0,(B1680/D1680)*H1680/INDEX(Surface_Engine!$B$12:$B$72,$A1680+1)-F1680/INDEX(Surface_Engine!$B$12:$B$72,$A1680+1))),IF(E1680&lt;=0,0,MAX(0,(B1680/E1680)*I1680/INDEX(Surface_Engine!$B$12:$B$72,$A1680+1)-F1680/INDEX(Surface_Engine!$B$12:$B$72,$A1680+1))),IF($A1680&lt;$Q$1644,MAX(0,-Assumptions!$B$22*(F1680/INDEX(Surface_Engine!$B$12:$B$72,$A1680+1))),0)))*(MAX(0,J1680/INDEX(Surface_Engine!$B$12:$B$72,$A1680+1)-(F1680/INDEX(Surface_Engine!$B$12:$B$72,$A1680+1)))))</f>
        <v>33.2815468740093</v>
      </c>
      <c r="L1680" s="48" t="n">
        <f aca="false">K1680*INDEX(Surface_Engine!$B$12:$B$72,$A1680+1)+L1681</f>
        <v>24.7024003821007</v>
      </c>
      <c r="M1680" s="48" t="n">
        <f aca="false">M1679+B1679*(IF($A1679&lt;$Q$1644,(Surface_Engine!Q251*12)-(Surface_Engine!Q251*12)*INDEX(Surface_Engine!$F$12:$F$72,$A1679+1)-INDEX(Surface_Engine!$D$12:$D$72,$A1679+1),-(1000*12*INDEX(Surface_Engine!$C$12:$C$72,$A1679+1)/(1+Assumptions!$B$10)^15+INDEX(Surface_Engine!$D$12:$D$72,$A1679+1))))*INDEX(Surface_Engine!$B$12:$B$72,$A1679+1)</f>
        <v>768.398637305623</v>
      </c>
      <c r="N1680" s="12" t="n">
        <f aca="false">IF(B1680&lt;=0,0,MAX(0,(K1680+Assumptions!$B$29*L1680/INDEX(Surface_Engine!$B$12:$B$72,$A1680+1)-(M1680/INDEX(Surface_Engine!$B$12:$B$72,$A1680+1)-(F1680/INDEX(Surface_Engine!$B$12:$B$72,$A1680+1))))/B1680))</f>
        <v>0</v>
      </c>
    </row>
    <row r="1681" customFormat="false" ht="15" hidden="false" customHeight="true" outlineLevel="0" collapsed="false">
      <c r="A1681" s="1" t="n">
        <v>35</v>
      </c>
      <c r="B1681" s="32" t="n">
        <f aca="false">INDEX(Surface_Engine!$V$12:$V$72,$A1681+1)*IF($A1681&lt;$Q$1644,INDEX(Surface_Engine!$E$12:$E$72,$A1681+1),INDEX(Surface_Engine!$E$12:$E$72,$Q$1644+1))</f>
        <v>0.00225554163138609</v>
      </c>
      <c r="C1681" s="32" t="n">
        <f aca="false">INDEX(Panel_Reserving!$H$8:$H$68,$A1681+1)*IF($A1681&lt;$Q$1644,INDEX(Surface_Engine!$E$12:$E$72,$A1681+1),INDEX(Surface_Engine!$E$12:$E$72,$Q$1644+1))</f>
        <v>0.00848093147802737</v>
      </c>
      <c r="D1681" s="32" t="n">
        <f aca="false">INDEX(Surface_Engine!$V$12:$V$72,$A1681+1)*IF($A1681&lt;$Q$1644,INDEX(Surface_Engine!$Y$12:$Y$72,$A1681+1),INDEX(Surface_Engine!$Y$12:$Y$72,$Q$1644+1))</f>
        <v>0.00204324746481288</v>
      </c>
      <c r="E1681" s="32" t="n">
        <f aca="false">INDEX(Surface_Engine!$V$12:$V$72,$A1681+1)*IF($A1681&lt;$Q$1644,INDEX(Surface_Engine!$Z$12:$Z$72,$A1681+1),INDEX(Surface_Engine!$Z$12:$Z$72,$Q$1644+1))</f>
        <v>0.00248760872931091</v>
      </c>
      <c r="F1681" s="48" t="n">
        <f aca="false">B1681*(IF($A1681&lt;$Q$1644,INDEX(Surface_Engine!$D$12:$D$72,$A1681+1)+(Surface_Engine!Q251*12)*INDEX(Surface_Engine!$F$12:$F$72,$A1681+1)-(Surface_Engine!Q251*12),1000*12*INDEX(Surface_Engine!$C$12:$C$72,$A1681+1)/(1+Assumptions!$B$10)^15+INDEX(Surface_Engine!$D$12:$D$72,$A1681+1)))*INDEX(Surface_Engine!$B$12:$B$72,$A1681+1)+F1682</f>
        <v>29.0409263150152</v>
      </c>
      <c r="G1681" s="48" t="n">
        <f aca="false">C1681*(IF($A1681&lt;$Q$1644,INDEX(Surface_Engine!$D$12:$D$72,$A1681+1)+(Surface_Engine!Q251*12)*INDEX(Surface_Engine!$F$12:$F$72,$A1681+1)-(Surface_Engine!Q251*12),1000*12*INDEX(Surface_Engine!$C$12:$C$72,$A1681+1)/(1+Assumptions!$B$10)^15+INDEX(Surface_Engine!$D$12:$D$72,$A1681+1)))*INDEX(Surface_Engine!$B$12:$B$72,$A1681+1)+G1682</f>
        <v>133.322518800692</v>
      </c>
      <c r="H1681" s="48" t="n">
        <f aca="false">D1681*(IF($A1681&lt;$Q$1644,INDEX(Surface_Engine!$D$12:$D$72,$A1681+1)+(Surface_Engine!Q251*12)*INDEX(Surface_Engine!$F$12:$F$72,$A1681+1)-(Surface_Engine!Q251*12),1000*12*INDEX(Surface_Engine!$C$12:$C$72,$A1681+1)/(1+Assumptions!$B$10)^15+INDEX(Surface_Engine!$D$12:$D$72,$A1681+1)))*INDEX(Surface_Engine!$B$12:$B$72,$A1681+1)+H1682</f>
        <v>26.3075610058715</v>
      </c>
      <c r="I1681" s="48" t="n">
        <f aca="false">E1681*(IF($A1681&lt;$Q$1644,INDEX(Surface_Engine!$D$12:$D$72,$A1681+1)+(Surface_Engine!Q251*12)*INDEX(Surface_Engine!$F$12:$F$72,$A1681+1)-(Surface_Engine!Q251*12),1000*12*INDEX(Surface_Engine!$C$12:$C$72,$A1681+1)/(1+Assumptions!$B$10)^15+INDEX(Surface_Engine!$D$12:$D$72,$A1681+1)))*INDEX(Surface_Engine!$B$12:$B$72,$A1681+1)+I1682</f>
        <v>32.0288753722146</v>
      </c>
      <c r="J1681" s="48" t="n">
        <f aca="false">B1681*(IF($A1681&lt;$Q$1644,INDEX(Surface_Engine!$D$12:$D$72,$A1681+1)*(1+Assumptions!$B$24)+(Surface_Engine!Q251*12)*INDEX(Surface_Engine!$F$12:$F$72,$A1681+1)-(Surface_Engine!Q251*12),1000*12*INDEX(Surface_Engine!$C$12:$C$72,$A1681+1)/(1+Assumptions!$B$10)^15+INDEX(Surface_Engine!$D$12:$D$72,$A1681+1)*(1+Assumptions!$B$24)))*INDEX(Surface_Engine!$B$12:$B$72,$A1681+1)+J1682</f>
        <v>29.0724416536481</v>
      </c>
      <c r="K1681" s="12" t="n">
        <f aca="false">SQRT((IF(C1681&lt;=0,0,MAX(0,(B1681/C1681)*G1681/INDEX(Surface_Engine!$B$12:$B$72,$A1681+1)-F1681/INDEX(Surface_Engine!$B$12:$B$72,$A1681+1))))^2+(MAX(IF(D1681&lt;=0,0,MAX(0,(B1681/D1681)*H1681/INDEX(Surface_Engine!$B$12:$B$72,$A1681+1)-F1681/INDEX(Surface_Engine!$B$12:$B$72,$A1681+1))),IF(E1681&lt;=0,0,MAX(0,(B1681/E1681)*I1681/INDEX(Surface_Engine!$B$12:$B$72,$A1681+1)-F1681/INDEX(Surface_Engine!$B$12:$B$72,$A1681+1))),IF($A1681&lt;$Q$1644,MAX(0,-Assumptions!$B$22*(F1681/INDEX(Surface_Engine!$B$12:$B$72,$A1681+1))),0)))^2+(MAX(0,J1681/INDEX(Surface_Engine!$B$12:$B$72,$A1681+1)-(F1681/INDEX(Surface_Engine!$B$12:$B$72,$A1681+1))))^2+2*Assumptions!$B$26*(IF(C1681&lt;=0,0,MAX(0,(B1681/C1681)*G1681/INDEX(Surface_Engine!$B$12:$B$72,$A1681+1)-F1681/INDEX(Surface_Engine!$B$12:$B$72,$A1681+1))))*(MAX(IF(D1681&lt;=0,0,MAX(0,(B1681/D1681)*H1681/INDEX(Surface_Engine!$B$12:$B$72,$A1681+1)-F1681/INDEX(Surface_Engine!$B$12:$B$72,$A1681+1))),IF(E1681&lt;=0,0,MAX(0,(B1681/E1681)*I1681/INDEX(Surface_Engine!$B$12:$B$72,$A1681+1)-F1681/INDEX(Surface_Engine!$B$12:$B$72,$A1681+1))),IF($A1681&lt;$Q$1644,MAX(0,-Assumptions!$B$22*(F1681/INDEX(Surface_Engine!$B$12:$B$72,$A1681+1))),0)))+2*Assumptions!$B$27*(IF(C1681&lt;=0,0,MAX(0,(B1681/C1681)*G1681/INDEX(Surface_Engine!$B$12:$B$72,$A1681+1)-F1681/INDEX(Surface_Engine!$B$12:$B$72,$A1681+1))))*(MAX(0,J1681/INDEX(Surface_Engine!$B$12:$B$72,$A1681+1)-(F1681/INDEX(Surface_Engine!$B$12:$B$72,$A1681+1))))+2*Assumptions!$B$28*(MAX(IF(D1681&lt;=0,0,MAX(0,(B1681/D1681)*H1681/INDEX(Surface_Engine!$B$12:$B$72,$A1681+1)-F1681/INDEX(Surface_Engine!$B$12:$B$72,$A1681+1))),IF(E1681&lt;=0,0,MAX(0,(B1681/E1681)*I1681/INDEX(Surface_Engine!$B$12:$B$72,$A1681+1)-F1681/INDEX(Surface_Engine!$B$12:$B$72,$A1681+1))),IF($A1681&lt;$Q$1644,MAX(0,-Assumptions!$B$22*(F1681/INDEX(Surface_Engine!$B$12:$B$72,$A1681+1))),0)))*(MAX(0,J1681/INDEX(Surface_Engine!$B$12:$B$72,$A1681+1)-(F1681/INDEX(Surface_Engine!$B$12:$B$72,$A1681+1)))))</f>
        <v>19.3025292283041</v>
      </c>
      <c r="L1681" s="48" t="n">
        <f aca="false">K1681*INDEX(Surface_Engine!$B$12:$B$72,$A1681+1)+L1682</f>
        <v>13.2635709193973</v>
      </c>
      <c r="M1681" s="48" t="n">
        <f aca="false">M1680+B1680*(IF($A1680&lt;$Q$1644,(Surface_Engine!Q251*12)-(Surface_Engine!Q251*12)*INDEX(Surface_Engine!$F$12:$F$72,$A1680+1)-INDEX(Surface_Engine!$D$12:$D$72,$A1680+1),-(1000*12*INDEX(Surface_Engine!$C$12:$C$72,$A1680+1)/(1+Assumptions!$B$10)^15+INDEX(Surface_Engine!$D$12:$D$72,$A1680+1))))*INDEX(Surface_Engine!$B$12:$B$72,$A1680+1)</f>
        <v>745.025138777742</v>
      </c>
      <c r="N1681" s="12" t="n">
        <f aca="false">IF(B1681&lt;=0,0,MAX(0,(K1681+Assumptions!$B$29*L1681/INDEX(Surface_Engine!$B$12:$B$72,$A1681+1)-(M1681/INDEX(Surface_Engine!$B$12:$B$72,$A1681+1)-(F1681/INDEX(Surface_Engine!$B$12:$B$72,$A1681+1))))/B1681))</f>
        <v>0</v>
      </c>
    </row>
    <row r="1682" customFormat="false" ht="15" hidden="false" customHeight="true" outlineLevel="0" collapsed="false">
      <c r="A1682" s="1" t="n">
        <v>36</v>
      </c>
      <c r="B1682" s="32" t="n">
        <f aca="false">INDEX(Surface_Engine!$V$12:$V$72,$A1682+1)*IF($A1682&lt;$Q$1644,INDEX(Surface_Engine!$E$12:$E$72,$A1682+1),INDEX(Surface_Engine!$E$12:$E$72,$Q$1644+1))</f>
        <v>0.00126177050996205</v>
      </c>
      <c r="C1682" s="32" t="n">
        <f aca="false">INDEX(Panel_Reserving!$H$8:$H$68,$A1682+1)*IF($A1682&lt;$Q$1644,INDEX(Surface_Engine!$E$12:$E$72,$A1682+1),INDEX(Surface_Engine!$E$12:$E$72,$Q$1644+1))</f>
        <v>0.00549163447960828</v>
      </c>
      <c r="D1682" s="32" t="n">
        <f aca="false">INDEX(Surface_Engine!$V$12:$V$72,$A1682+1)*IF($A1682&lt;$Q$1644,INDEX(Surface_Engine!$Y$12:$Y$72,$A1682+1),INDEX(Surface_Engine!$Y$12:$Y$72,$Q$1644+1))</f>
        <v>0.00114301122168661</v>
      </c>
      <c r="E1682" s="32" t="n">
        <f aca="false">INDEX(Surface_Engine!$V$12:$V$72,$A1682+1)*IF($A1682&lt;$Q$1644,INDEX(Surface_Engine!$Z$12:$Z$72,$A1682+1),INDEX(Surface_Engine!$Z$12:$Z$72,$Q$1644+1))</f>
        <v>0.00139159095593364</v>
      </c>
      <c r="F1682" s="48" t="n">
        <f aca="false">B1682*(IF($A1682&lt;$Q$1644,INDEX(Surface_Engine!$D$12:$D$72,$A1682+1)+(Surface_Engine!Q251*12)*INDEX(Surface_Engine!$F$12:$F$72,$A1682+1)-(Surface_Engine!Q251*12),1000*12*INDEX(Surface_Engine!$C$12:$C$72,$A1682+1)/(1+Assumptions!$B$10)^15+INDEX(Surface_Engine!$D$12:$D$72,$A1682+1)))*INDEX(Surface_Engine!$B$12:$B$72,$A1682+1)+F1683</f>
        <v>15.5080164969502</v>
      </c>
      <c r="G1682" s="48" t="n">
        <f aca="false">C1682*(IF($A1682&lt;$Q$1644,INDEX(Surface_Engine!$D$12:$D$72,$A1682+1)+(Surface_Engine!Q251*12)*INDEX(Surface_Engine!$F$12:$F$72,$A1682+1)-(Surface_Engine!Q251*12),1000*12*INDEX(Surface_Engine!$C$12:$C$72,$A1682+1)/(1+Assumptions!$B$10)^15+INDEX(Surface_Engine!$D$12:$D$72,$A1682+1)))*INDEX(Surface_Engine!$B$12:$B$72,$A1682+1)+G1683</f>
        <v>82.4382082349845</v>
      </c>
      <c r="H1682" s="48" t="n">
        <f aca="false">D1682*(IF($A1682&lt;$Q$1644,INDEX(Surface_Engine!$D$12:$D$72,$A1682+1)+(Surface_Engine!Q251*12)*INDEX(Surface_Engine!$F$12:$F$72,$A1682+1)-(Surface_Engine!Q251*12),1000*12*INDEX(Surface_Engine!$C$12:$C$72,$A1682+1)/(1+Assumptions!$B$10)^15+INDEX(Surface_Engine!$D$12:$D$72,$A1682+1)))*INDEX(Surface_Engine!$B$12:$B$72,$A1682+1)+H1683</f>
        <v>14.0483841888556</v>
      </c>
      <c r="I1682" s="48" t="n">
        <f aca="false">E1682*(IF($A1682&lt;$Q$1644,INDEX(Surface_Engine!$D$12:$D$72,$A1682+1)+(Surface_Engine!Q251*12)*INDEX(Surface_Engine!$F$12:$F$72,$A1682+1)-(Surface_Engine!Q251*12),1000*12*INDEX(Surface_Engine!$C$12:$C$72,$A1682+1)/(1+Assumptions!$B$10)^15+INDEX(Surface_Engine!$D$12:$D$72,$A1682+1)))*INDEX(Surface_Engine!$B$12:$B$72,$A1682+1)+I1683</f>
        <v>17.1035979452988</v>
      </c>
      <c r="J1682" s="48" t="n">
        <f aca="false">B1682*(IF($A1682&lt;$Q$1644,INDEX(Surface_Engine!$D$12:$D$72,$A1682+1)*(1+Assumptions!$B$24)+(Surface_Engine!Q251*12)*INDEX(Surface_Engine!$F$12:$F$72,$A1682+1)-(Surface_Engine!Q251*12),1000*12*INDEX(Surface_Engine!$C$12:$C$72,$A1682+1)/(1+Assumptions!$B$10)^15+INDEX(Surface_Engine!$D$12:$D$72,$A1682+1)*(1+Assumptions!$B$24)))*INDEX(Surface_Engine!$B$12:$B$72,$A1682+1)+J1683</f>
        <v>15.5249221238497</v>
      </c>
      <c r="K1682" s="12" t="n">
        <f aca="false">SQRT((IF(C1682&lt;=0,0,MAX(0,(B1682/C1682)*G1682/INDEX(Surface_Engine!$B$12:$B$72,$A1682+1)-F1682/INDEX(Surface_Engine!$B$12:$B$72,$A1682+1))))^2+(MAX(IF(D1682&lt;=0,0,MAX(0,(B1682/D1682)*H1682/INDEX(Surface_Engine!$B$12:$B$72,$A1682+1)-F1682/INDEX(Surface_Engine!$B$12:$B$72,$A1682+1))),IF(E1682&lt;=0,0,MAX(0,(B1682/E1682)*I1682/INDEX(Surface_Engine!$B$12:$B$72,$A1682+1)-F1682/INDEX(Surface_Engine!$B$12:$B$72,$A1682+1))),IF($A1682&lt;$Q$1644,MAX(0,-Assumptions!$B$22*(F1682/INDEX(Surface_Engine!$B$12:$B$72,$A1682+1))),0)))^2+(MAX(0,J1682/INDEX(Surface_Engine!$B$12:$B$72,$A1682+1)-(F1682/INDEX(Surface_Engine!$B$12:$B$72,$A1682+1))))^2+2*Assumptions!$B$26*(IF(C1682&lt;=0,0,MAX(0,(B1682/C1682)*G1682/INDEX(Surface_Engine!$B$12:$B$72,$A1682+1)-F1682/INDEX(Surface_Engine!$B$12:$B$72,$A1682+1))))*(MAX(IF(D1682&lt;=0,0,MAX(0,(B1682/D1682)*H1682/INDEX(Surface_Engine!$B$12:$B$72,$A1682+1)-F1682/INDEX(Surface_Engine!$B$12:$B$72,$A1682+1))),IF(E1682&lt;=0,0,MAX(0,(B1682/E1682)*I1682/INDEX(Surface_Engine!$B$12:$B$72,$A1682+1)-F1682/INDEX(Surface_Engine!$B$12:$B$72,$A1682+1))),IF($A1682&lt;$Q$1644,MAX(0,-Assumptions!$B$22*(F1682/INDEX(Surface_Engine!$B$12:$B$72,$A1682+1))),0)))+2*Assumptions!$B$27*(IF(C1682&lt;=0,0,MAX(0,(B1682/C1682)*G1682/INDEX(Surface_Engine!$B$12:$B$72,$A1682+1)-F1682/INDEX(Surface_Engine!$B$12:$B$72,$A1682+1))))*(MAX(0,J1682/INDEX(Surface_Engine!$B$12:$B$72,$A1682+1)-(F1682/INDEX(Surface_Engine!$B$12:$B$72,$A1682+1))))+2*Assumptions!$B$28*(MAX(IF(D1682&lt;=0,0,MAX(0,(B1682/D1682)*H1682/INDEX(Surface_Engine!$B$12:$B$72,$A1682+1)-F1682/INDEX(Surface_Engine!$B$12:$B$72,$A1682+1))),IF(E1682&lt;=0,0,MAX(0,(B1682/E1682)*I1682/INDEX(Surface_Engine!$B$12:$B$72,$A1682+1)-F1682/INDEX(Surface_Engine!$B$12:$B$72,$A1682+1))),IF($A1682&lt;$Q$1644,MAX(0,-Assumptions!$B$22*(F1682/INDEX(Surface_Engine!$B$12:$B$72,$A1682+1))),0)))*(MAX(0,J1682/INDEX(Surface_Engine!$B$12:$B$72,$A1682+1)-(F1682/INDEX(Surface_Engine!$B$12:$B$72,$A1682+1)))))</f>
        <v>10.6609340300236</v>
      </c>
      <c r="L1682" s="48" t="n">
        <f aca="false">K1682*INDEX(Surface_Engine!$B$12:$B$72,$A1682+1)+L1683</f>
        <v>6.83882618542186</v>
      </c>
      <c r="M1682" s="48" t="n">
        <f aca="false">M1681+B1681*(IF($A1681&lt;$Q$1644,(Surface_Engine!Q251*12)-(Surface_Engine!Q251*12)*INDEX(Surface_Engine!$F$12:$F$72,$A1681+1)-INDEX(Surface_Engine!$D$12:$D$72,$A1681+1),-(1000*12*INDEX(Surface_Engine!$C$12:$C$72,$A1681+1)/(1+Assumptions!$B$10)^15+INDEX(Surface_Engine!$D$12:$D$72,$A1681+1))))*INDEX(Surface_Engine!$B$12:$B$72,$A1681+1)</f>
        <v>731.492228959677</v>
      </c>
      <c r="N1682" s="12" t="n">
        <f aca="false">IF(B1682&lt;=0,0,MAX(0,(K1682+Assumptions!$B$29*L1682/INDEX(Surface_Engine!$B$12:$B$72,$A1682+1)-(M1682/INDEX(Surface_Engine!$B$12:$B$72,$A1682+1)-(F1682/INDEX(Surface_Engine!$B$12:$B$72,$A1682+1))))/B1682))</f>
        <v>0</v>
      </c>
    </row>
    <row r="1683" customFormat="false" ht="15" hidden="false" customHeight="true" outlineLevel="0" collapsed="false">
      <c r="A1683" s="1" t="n">
        <v>37</v>
      </c>
      <c r="B1683" s="32" t="n">
        <f aca="false">INDEX(Surface_Engine!$V$12:$V$72,$A1683+1)*IF($A1683&lt;$Q$1644,INDEX(Surface_Engine!$E$12:$E$72,$A1683+1),INDEX(Surface_Engine!$E$12:$E$72,$Q$1644+1))</f>
        <v>0.000683579139773279</v>
      </c>
      <c r="C1683" s="32" t="n">
        <f aca="false">INDEX(Panel_Reserving!$H$8:$H$68,$A1683+1)*IF($A1683&lt;$Q$1644,INDEX(Surface_Engine!$E$12:$E$72,$A1683+1),INDEX(Surface_Engine!$E$12:$E$72,$Q$1644+1))</f>
        <v>0.00347845338889718</v>
      </c>
      <c r="D1683" s="32" t="n">
        <f aca="false">INDEX(Surface_Engine!$V$12:$V$72,$A1683+1)*IF($A1683&lt;$Q$1644,INDEX(Surface_Engine!$Y$12:$Y$72,$A1683+1),INDEX(Surface_Engine!$Y$12:$Y$72,$Q$1644+1))</f>
        <v>0.000619239886732838</v>
      </c>
      <c r="E1683" s="32" t="n">
        <f aca="false">INDEX(Surface_Engine!$V$12:$V$72,$A1683+1)*IF($A1683&lt;$Q$1644,INDEX(Surface_Engine!$Z$12:$Z$72,$A1683+1),INDEX(Surface_Engine!$Z$12:$Z$72,$Q$1644+1))</f>
        <v>0.000753910906193234</v>
      </c>
      <c r="F1683" s="48" t="n">
        <f aca="false">B1683*(IF($A1683&lt;$Q$1644,INDEX(Surface_Engine!$D$12:$D$72,$A1683+1)+(Surface_Engine!Q251*12)*INDEX(Surface_Engine!$F$12:$F$72,$A1683+1)-(Surface_Engine!Q251*12),1000*12*INDEX(Surface_Engine!$C$12:$C$72,$A1683+1)/(1+Assumptions!$B$10)^15+INDEX(Surface_Engine!$D$12:$D$72,$A1683+1)))*INDEX(Surface_Engine!$B$12:$B$72,$A1683+1)+F1684</f>
        <v>8.02731851634548</v>
      </c>
      <c r="G1683" s="48" t="n">
        <f aca="false">C1683*(IF($A1683&lt;$Q$1644,INDEX(Surface_Engine!$D$12:$D$72,$A1683+1)+(Surface_Engine!Q251*12)*INDEX(Surface_Engine!$F$12:$F$72,$A1683+1)-(Surface_Engine!Q251*12),1000*12*INDEX(Surface_Engine!$C$12:$C$72,$A1683+1)/(1+Assumptions!$B$10)^15+INDEX(Surface_Engine!$D$12:$D$72,$A1683+1)))*INDEX(Surface_Engine!$B$12:$B$72,$A1683+1)+G1684</f>
        <v>49.8797844665762</v>
      </c>
      <c r="H1683" s="48" t="n">
        <f aca="false">D1683*(IF($A1683&lt;$Q$1644,INDEX(Surface_Engine!$D$12:$D$72,$A1683+1)+(Surface_Engine!Q251*12)*INDEX(Surface_Engine!$F$12:$F$72,$A1683+1)-(Surface_Engine!Q251*12),1000*12*INDEX(Surface_Engine!$C$12:$C$72,$A1683+1)/(1+Assumptions!$B$10)^15+INDEX(Surface_Engine!$D$12:$D$72,$A1683+1)))*INDEX(Surface_Engine!$B$12:$B$72,$A1683+1)+H1684</f>
        <v>7.27177808626352</v>
      </c>
      <c r="I1683" s="48" t="n">
        <f aca="false">E1683*(IF($A1683&lt;$Q$1644,INDEX(Surface_Engine!$D$12:$D$72,$A1683+1)+(Surface_Engine!Q251*12)*INDEX(Surface_Engine!$F$12:$F$72,$A1683+1)-(Surface_Engine!Q251*12),1000*12*INDEX(Surface_Engine!$C$12:$C$72,$A1683+1)/(1+Assumptions!$B$10)^15+INDEX(Surface_Engine!$D$12:$D$72,$A1683+1)))*INDEX(Surface_Engine!$B$12:$B$72,$A1683+1)+I1684</f>
        <v>8.85322945777275</v>
      </c>
      <c r="J1683" s="48" t="n">
        <f aca="false">B1683*(IF($A1683&lt;$Q$1644,INDEX(Surface_Engine!$D$12:$D$72,$A1683+1)*(1+Assumptions!$B$24)+(Surface_Engine!Q251*12)*INDEX(Surface_Engine!$F$12:$F$72,$A1683+1)-(Surface_Engine!Q251*12),1000*12*INDEX(Surface_Engine!$C$12:$C$72,$A1683+1)/(1+Assumptions!$B$10)^15+INDEX(Surface_Engine!$D$12:$D$72,$A1683+1)*(1+Assumptions!$B$24)))*INDEX(Surface_Engine!$B$12:$B$72,$A1683+1)+J1684</f>
        <v>8.03610905415963</v>
      </c>
      <c r="K1683" s="12" t="n">
        <f aca="false">SQRT((IF(C1683&lt;=0,0,MAX(0,(B1683/C1683)*G1683/INDEX(Surface_Engine!$B$12:$B$72,$A1683+1)-F1683/INDEX(Surface_Engine!$B$12:$B$72,$A1683+1))))^2+(MAX(IF(D1683&lt;=0,0,MAX(0,(B1683/D1683)*H1683/INDEX(Surface_Engine!$B$12:$B$72,$A1683+1)-F1683/INDEX(Surface_Engine!$B$12:$B$72,$A1683+1))),IF(E1683&lt;=0,0,MAX(0,(B1683/E1683)*I1683/INDEX(Surface_Engine!$B$12:$B$72,$A1683+1)-F1683/INDEX(Surface_Engine!$B$12:$B$72,$A1683+1))),IF($A1683&lt;$Q$1644,MAX(0,-Assumptions!$B$22*(F1683/INDEX(Surface_Engine!$B$12:$B$72,$A1683+1))),0)))^2+(MAX(0,J1683/INDEX(Surface_Engine!$B$12:$B$72,$A1683+1)-(F1683/INDEX(Surface_Engine!$B$12:$B$72,$A1683+1))))^2+2*Assumptions!$B$26*(IF(C1683&lt;=0,0,MAX(0,(B1683/C1683)*G1683/INDEX(Surface_Engine!$B$12:$B$72,$A1683+1)-F1683/INDEX(Surface_Engine!$B$12:$B$72,$A1683+1))))*(MAX(IF(D1683&lt;=0,0,MAX(0,(B1683/D1683)*H1683/INDEX(Surface_Engine!$B$12:$B$72,$A1683+1)-F1683/INDEX(Surface_Engine!$B$12:$B$72,$A1683+1))),IF(E1683&lt;=0,0,MAX(0,(B1683/E1683)*I1683/INDEX(Surface_Engine!$B$12:$B$72,$A1683+1)-F1683/INDEX(Surface_Engine!$B$12:$B$72,$A1683+1))),IF($A1683&lt;$Q$1644,MAX(0,-Assumptions!$B$22*(F1683/INDEX(Surface_Engine!$B$12:$B$72,$A1683+1))),0)))+2*Assumptions!$B$27*(IF(C1683&lt;=0,0,MAX(0,(B1683/C1683)*G1683/INDEX(Surface_Engine!$B$12:$B$72,$A1683+1)-F1683/INDEX(Surface_Engine!$B$12:$B$72,$A1683+1))))*(MAX(0,J1683/INDEX(Surface_Engine!$B$12:$B$72,$A1683+1)-(F1683/INDEX(Surface_Engine!$B$12:$B$72,$A1683+1))))+2*Assumptions!$B$28*(MAX(IF(D1683&lt;=0,0,MAX(0,(B1683/D1683)*H1683/INDEX(Surface_Engine!$B$12:$B$72,$A1683+1)-F1683/INDEX(Surface_Engine!$B$12:$B$72,$A1683+1))),IF(E1683&lt;=0,0,MAX(0,(B1683/E1683)*I1683/INDEX(Surface_Engine!$B$12:$B$72,$A1683+1)-F1683/INDEX(Surface_Engine!$B$12:$B$72,$A1683+1))),IF($A1683&lt;$Q$1644,MAX(0,-Assumptions!$B$22*(F1683/INDEX(Surface_Engine!$B$12:$B$72,$A1683+1))),0)))*(MAX(0,J1683/INDEX(Surface_Engine!$B$12:$B$72,$A1683+1)-(F1683/INDEX(Surface_Engine!$B$12:$B$72,$A1683+1)))))</f>
        <v>5.6919055362736</v>
      </c>
      <c r="L1683" s="48" t="n">
        <f aca="false">K1683*INDEX(Surface_Engine!$B$12:$B$72,$A1683+1)+L1684</f>
        <v>3.40138585320647</v>
      </c>
      <c r="M1683" s="48" t="n">
        <f aca="false">M1682+B1682*(IF($A1682&lt;$Q$1644,(Surface_Engine!Q251*12)-(Surface_Engine!Q251*12)*INDEX(Surface_Engine!$F$12:$F$72,$A1682+1)-INDEX(Surface_Engine!$D$12:$D$72,$A1682+1),-(1000*12*INDEX(Surface_Engine!$C$12:$C$72,$A1682+1)/(1+Assumptions!$B$10)^15+INDEX(Surface_Engine!$D$12:$D$72,$A1682+1))))*INDEX(Surface_Engine!$B$12:$B$72,$A1682+1)</f>
        <v>724.011530979072</v>
      </c>
      <c r="N1683" s="12" t="n">
        <f aca="false">IF(B1683&lt;=0,0,MAX(0,(K1683+Assumptions!$B$29*L1683/INDEX(Surface_Engine!$B$12:$B$72,$A1683+1)-(M1683/INDEX(Surface_Engine!$B$12:$B$72,$A1683+1)-(F1683/INDEX(Surface_Engine!$B$12:$B$72,$A1683+1))))/B1683))</f>
        <v>0</v>
      </c>
    </row>
    <row r="1684" customFormat="false" ht="15" hidden="false" customHeight="true" outlineLevel="0" collapsed="false">
      <c r="A1684" s="1" t="n">
        <v>38</v>
      </c>
      <c r="B1684" s="32" t="n">
        <f aca="false">INDEX(Surface_Engine!$V$12:$V$72,$A1684+1)*IF($A1684&lt;$Q$1644,INDEX(Surface_Engine!$E$12:$E$72,$A1684+1),INDEX(Surface_Engine!$E$12:$E$72,$Q$1644+1))</f>
        <v>0.000358322904189565</v>
      </c>
      <c r="C1684" s="32" t="n">
        <f aca="false">INDEX(Panel_Reserving!$H$8:$H$68,$A1684+1)*IF($A1684&lt;$Q$1644,INDEX(Surface_Engine!$E$12:$E$72,$A1684+1),INDEX(Surface_Engine!$E$12:$E$72,$Q$1644+1))</f>
        <v>0.00215437710968087</v>
      </c>
      <c r="D1684" s="32" t="n">
        <f aca="false">INDEX(Surface_Engine!$V$12:$V$72,$A1684+1)*IF($A1684&lt;$Q$1644,INDEX(Surface_Engine!$Y$12:$Y$72,$A1684+1),INDEX(Surface_Engine!$Y$12:$Y$72,$Q$1644+1))</f>
        <v>0.000324597141272803</v>
      </c>
      <c r="E1684" s="32" t="n">
        <f aca="false">INDEX(Surface_Engine!$V$12:$V$72,$A1684+1)*IF($A1684&lt;$Q$1644,INDEX(Surface_Engine!$Z$12:$Z$72,$A1684+1),INDEX(Surface_Engine!$Z$12:$Z$72,$Q$1644+1))</f>
        <v>0.000395189861260167</v>
      </c>
      <c r="F1684" s="48" t="n">
        <f aca="false">B1684*(IF($A1684&lt;$Q$1644,INDEX(Surface_Engine!$D$12:$D$72,$A1684+1)+(Surface_Engine!Q251*12)*INDEX(Surface_Engine!$F$12:$F$72,$A1684+1)-(Surface_Engine!Q251*12),1000*12*INDEX(Surface_Engine!$C$12:$C$72,$A1684+1)/(1+Assumptions!$B$10)^15+INDEX(Surface_Engine!$D$12:$D$72,$A1684+1)))*INDEX(Surface_Engine!$B$12:$B$72,$A1684+1)+F1685</f>
        <v>4.02411250266673</v>
      </c>
      <c r="G1684" s="48" t="n">
        <f aca="false">C1684*(IF($A1684&lt;$Q$1644,INDEX(Surface_Engine!$D$12:$D$72,$A1684+1)+(Surface_Engine!Q251*12)*INDEX(Surface_Engine!$F$12:$F$72,$A1684+1)-(Surface_Engine!Q251*12),1000*12*INDEX(Surface_Engine!$C$12:$C$72,$A1684+1)/(1+Assumptions!$B$10)^15+INDEX(Surface_Engine!$D$12:$D$72,$A1684+1)))*INDEX(Surface_Engine!$B$12:$B$72,$A1684+1)+G1685</f>
        <v>29.5091138089653</v>
      </c>
      <c r="H1684" s="48" t="n">
        <f aca="false">D1684*(IF($A1684&lt;$Q$1644,INDEX(Surface_Engine!$D$12:$D$72,$A1684+1)+(Surface_Engine!Q251*12)*INDEX(Surface_Engine!$F$12:$F$72,$A1684+1)-(Surface_Engine!Q251*12),1000*12*INDEX(Surface_Engine!$C$12:$C$72,$A1684+1)/(1+Assumptions!$B$10)^15+INDEX(Surface_Engine!$D$12:$D$72,$A1684+1)))*INDEX(Surface_Engine!$B$12:$B$72,$A1684+1)+H1685</f>
        <v>3.64535841625891</v>
      </c>
      <c r="I1684" s="48" t="n">
        <f aca="false">E1684*(IF($A1684&lt;$Q$1644,INDEX(Surface_Engine!$D$12:$D$72,$A1684+1)+(Surface_Engine!Q251*12)*INDEX(Surface_Engine!$F$12:$F$72,$A1684+1)-(Surface_Engine!Q251*12),1000*12*INDEX(Surface_Engine!$C$12:$C$72,$A1684+1)/(1+Assumptions!$B$10)^15+INDEX(Surface_Engine!$D$12:$D$72,$A1684+1)))*INDEX(Surface_Engine!$B$12:$B$72,$A1684+1)+I1685</f>
        <v>4.43814348184355</v>
      </c>
      <c r="J1684" s="48" t="n">
        <f aca="false">B1684*(IF($A1684&lt;$Q$1644,INDEX(Surface_Engine!$D$12:$D$72,$A1684+1)*(1+Assumptions!$B$24)+(Surface_Engine!Q251*12)*INDEX(Surface_Engine!$F$12:$F$72,$A1684+1)-(Surface_Engine!Q251*12),1000*12*INDEX(Surface_Engine!$C$12:$C$72,$A1684+1)/(1+Assumptions!$B$10)^15+INDEX(Surface_Engine!$D$12:$D$72,$A1684+1)*(1+Assumptions!$B$24)))*INDEX(Surface_Engine!$B$12:$B$72,$A1684+1)+J1685</f>
        <v>4.02853929199797</v>
      </c>
      <c r="K1684" s="12" t="n">
        <f aca="false">SQRT((IF(C1684&lt;=0,0,MAX(0,(B1684/C1684)*G1684/INDEX(Surface_Engine!$B$12:$B$72,$A1684+1)-F1684/INDEX(Surface_Engine!$B$12:$B$72,$A1684+1))))^2+(MAX(IF(D1684&lt;=0,0,MAX(0,(B1684/D1684)*H1684/INDEX(Surface_Engine!$B$12:$B$72,$A1684+1)-F1684/INDEX(Surface_Engine!$B$12:$B$72,$A1684+1))),IF(E1684&lt;=0,0,MAX(0,(B1684/E1684)*I1684/INDEX(Surface_Engine!$B$12:$B$72,$A1684+1)-F1684/INDEX(Surface_Engine!$B$12:$B$72,$A1684+1))),IF($A1684&lt;$Q$1644,MAX(0,-Assumptions!$B$22*(F1684/INDEX(Surface_Engine!$B$12:$B$72,$A1684+1))),0)))^2+(MAX(0,J1684/INDEX(Surface_Engine!$B$12:$B$72,$A1684+1)-(F1684/INDEX(Surface_Engine!$B$12:$B$72,$A1684+1))))^2+2*Assumptions!$B$26*(IF(C1684&lt;=0,0,MAX(0,(B1684/C1684)*G1684/INDEX(Surface_Engine!$B$12:$B$72,$A1684+1)-F1684/INDEX(Surface_Engine!$B$12:$B$72,$A1684+1))))*(MAX(IF(D1684&lt;=0,0,MAX(0,(B1684/D1684)*H1684/INDEX(Surface_Engine!$B$12:$B$72,$A1684+1)-F1684/INDEX(Surface_Engine!$B$12:$B$72,$A1684+1))),IF(E1684&lt;=0,0,MAX(0,(B1684/E1684)*I1684/INDEX(Surface_Engine!$B$12:$B$72,$A1684+1)-F1684/INDEX(Surface_Engine!$B$12:$B$72,$A1684+1))),IF($A1684&lt;$Q$1644,MAX(0,-Assumptions!$B$22*(F1684/INDEX(Surface_Engine!$B$12:$B$72,$A1684+1))),0)))+2*Assumptions!$B$27*(IF(C1684&lt;=0,0,MAX(0,(B1684/C1684)*G1684/INDEX(Surface_Engine!$B$12:$B$72,$A1684+1)-F1684/INDEX(Surface_Engine!$B$12:$B$72,$A1684+1))))*(MAX(0,J1684/INDEX(Surface_Engine!$B$12:$B$72,$A1684+1)-(F1684/INDEX(Surface_Engine!$B$12:$B$72,$A1684+1))))+2*Assumptions!$B$28*(MAX(IF(D1684&lt;=0,0,MAX(0,(B1684/D1684)*H1684/INDEX(Surface_Engine!$B$12:$B$72,$A1684+1)-F1684/INDEX(Surface_Engine!$B$12:$B$72,$A1684+1))),IF(E1684&lt;=0,0,MAX(0,(B1684/E1684)*I1684/INDEX(Surface_Engine!$B$12:$B$72,$A1684+1)-F1684/INDEX(Surface_Engine!$B$12:$B$72,$A1684+1))),IF($A1684&lt;$Q$1644,MAX(0,-Assumptions!$B$22*(F1684/INDEX(Surface_Engine!$B$12:$B$72,$A1684+1))),0)))*(MAX(0,J1684/INDEX(Surface_Engine!$B$12:$B$72,$A1684+1)-(F1684/INDEX(Surface_Engine!$B$12:$B$72,$A1684+1)))))</f>
        <v>2.92737860610634</v>
      </c>
      <c r="L1684" s="48" t="n">
        <f aca="false">K1684*INDEX(Surface_Engine!$B$12:$B$72,$A1684+1)+L1685</f>
        <v>1.62420460744031</v>
      </c>
      <c r="M1684" s="48" t="n">
        <f aca="false">M1683+B1683*(IF($A1683&lt;$Q$1644,(Surface_Engine!Q251*12)-(Surface_Engine!Q251*12)*INDEX(Surface_Engine!$F$12:$F$72,$A1683+1)-INDEX(Surface_Engine!$D$12:$D$72,$A1683+1),-(1000*12*INDEX(Surface_Engine!$C$12:$C$72,$A1683+1)/(1+Assumptions!$B$10)^15+INDEX(Surface_Engine!$D$12:$D$72,$A1683+1))))*INDEX(Surface_Engine!$B$12:$B$72,$A1683+1)</f>
        <v>720.008324965393</v>
      </c>
      <c r="N1684" s="12" t="n">
        <f aca="false">IF(B1684&lt;=0,0,MAX(0,(K1684+Assumptions!$B$29*L1684/INDEX(Surface_Engine!$B$12:$B$72,$A1684+1)-(M1684/INDEX(Surface_Engine!$B$12:$B$72,$A1684+1)-(F1684/INDEX(Surface_Engine!$B$12:$B$72,$A1684+1))))/B1684))</f>
        <v>0</v>
      </c>
    </row>
    <row r="1685" customFormat="false" ht="15" hidden="false" customHeight="true" outlineLevel="0" collapsed="false">
      <c r="A1685" s="1" t="n">
        <v>39</v>
      </c>
      <c r="B1685" s="32" t="n">
        <f aca="false">INDEX(Surface_Engine!$V$12:$V$72,$A1685+1)*IF($A1685&lt;$Q$1644,INDEX(Surface_Engine!$E$12:$E$72,$A1685+1),INDEX(Surface_Engine!$E$12:$E$72,$Q$1644+1))</f>
        <v>0.000181575468057025</v>
      </c>
      <c r="C1685" s="32" t="n">
        <f aca="false">INDEX(Panel_Reserving!$H$8:$H$68,$A1685+1)*IF($A1685&lt;$Q$1644,INDEX(Surface_Engine!$E$12:$E$72,$A1685+1),INDEX(Surface_Engine!$E$12:$E$72,$Q$1644+1))</f>
        <v>0.00130423747049715</v>
      </c>
      <c r="D1685" s="32" t="n">
        <f aca="false">INDEX(Surface_Engine!$V$12:$V$72,$A1685+1)*IF($A1685&lt;$Q$1644,INDEX(Surface_Engine!$Y$12:$Y$72,$A1685+1),INDEX(Surface_Engine!$Y$12:$Y$72,$Q$1644+1))</f>
        <v>0.000164485376646202</v>
      </c>
      <c r="E1685" s="32" t="n">
        <f aca="false">INDEX(Surface_Engine!$V$12:$V$72,$A1685+1)*IF($A1685&lt;$Q$1644,INDEX(Surface_Engine!$Z$12:$Z$72,$A1685+1),INDEX(Surface_Engine!$Z$12:$Z$72,$Q$1644+1))</f>
        <v>0.000200257318722065</v>
      </c>
      <c r="F1685" s="48" t="n">
        <f aca="false">B1685*(IF($A1685&lt;$Q$1644,INDEX(Surface_Engine!$D$12:$D$72,$A1685+1)+(Surface_Engine!Q251*12)*INDEX(Surface_Engine!$F$12:$F$72,$A1685+1)-(Surface_Engine!Q251*12),1000*12*INDEX(Surface_Engine!$C$12:$C$72,$A1685+1)/(1+Assumptions!$B$10)^15+INDEX(Surface_Engine!$D$12:$D$72,$A1685+1)))*INDEX(Surface_Engine!$B$12:$B$72,$A1685+1)+F1686</f>
        <v>1.95142235231828</v>
      </c>
      <c r="G1685" s="48" t="n">
        <f aca="false">C1685*(IF($A1685&lt;$Q$1644,INDEX(Surface_Engine!$D$12:$D$72,$A1685+1)+(Surface_Engine!Q251*12)*INDEX(Surface_Engine!$F$12:$F$72,$A1685+1)-(Surface_Engine!Q251*12),1000*12*INDEX(Surface_Engine!$C$12:$C$72,$A1685+1)/(1+Assumptions!$B$10)^15+INDEX(Surface_Engine!$D$12:$D$72,$A1685+1)))*INDEX(Surface_Engine!$B$12:$B$72,$A1685+1)+G1686</f>
        <v>17.0472919070939</v>
      </c>
      <c r="H1685" s="48" t="n">
        <f aca="false">D1685*(IF($A1685&lt;$Q$1644,INDEX(Surface_Engine!$D$12:$D$72,$A1685+1)+(Surface_Engine!Q251*12)*INDEX(Surface_Engine!$F$12:$F$72,$A1685+1)-(Surface_Engine!Q251*12),1000*12*INDEX(Surface_Engine!$C$12:$C$72,$A1685+1)/(1+Assumptions!$B$10)^15+INDEX(Surface_Engine!$D$12:$D$72,$A1685+1)))*INDEX(Surface_Engine!$B$12:$B$72,$A1685+1)+H1686</f>
        <v>1.76775224126688</v>
      </c>
      <c r="I1685" s="48" t="n">
        <f aca="false">E1685*(IF($A1685&lt;$Q$1644,INDEX(Surface_Engine!$D$12:$D$72,$A1685+1)+(Surface_Engine!Q251*12)*INDEX(Surface_Engine!$F$12:$F$72,$A1685+1)-(Surface_Engine!Q251*12),1000*12*INDEX(Surface_Engine!$C$12:$C$72,$A1685+1)/(1+Assumptions!$B$10)^15+INDEX(Surface_Engine!$D$12:$D$72,$A1685+1)))*INDEX(Surface_Engine!$B$12:$B$72,$A1685+1)+I1686</f>
        <v>2.15219937005386</v>
      </c>
      <c r="J1685" s="48" t="n">
        <f aca="false">B1685*(IF($A1685&lt;$Q$1644,INDEX(Surface_Engine!$D$12:$D$72,$A1685+1)*(1+Assumptions!$B$24)+(Surface_Engine!Q251*12)*INDEX(Surface_Engine!$F$12:$F$72,$A1685+1)-(Surface_Engine!Q251*12),1000*12*INDEX(Surface_Engine!$C$12:$C$72,$A1685+1)/(1+Assumptions!$B$10)^15+INDEX(Surface_Engine!$D$12:$D$72,$A1685+1)*(1+Assumptions!$B$24)))*INDEX(Surface_Engine!$B$12:$B$72,$A1685+1)+J1686</f>
        <v>1.95357882391332</v>
      </c>
      <c r="K1685" s="12" t="n">
        <f aca="false">SQRT((IF(C1685&lt;=0,0,MAX(0,(B1685/C1685)*G1685/INDEX(Surface_Engine!$B$12:$B$72,$A1685+1)-F1685/INDEX(Surface_Engine!$B$12:$B$72,$A1685+1))))^2+(MAX(IF(D1685&lt;=0,0,MAX(0,(B1685/D1685)*H1685/INDEX(Surface_Engine!$B$12:$B$72,$A1685+1)-F1685/INDEX(Surface_Engine!$B$12:$B$72,$A1685+1))),IF(E1685&lt;=0,0,MAX(0,(B1685/E1685)*I1685/INDEX(Surface_Engine!$B$12:$B$72,$A1685+1)-F1685/INDEX(Surface_Engine!$B$12:$B$72,$A1685+1))),IF($A1685&lt;$Q$1644,MAX(0,-Assumptions!$B$22*(F1685/INDEX(Surface_Engine!$B$12:$B$72,$A1685+1))),0)))^2+(MAX(0,J1685/INDEX(Surface_Engine!$B$12:$B$72,$A1685+1)-(F1685/INDEX(Surface_Engine!$B$12:$B$72,$A1685+1))))^2+2*Assumptions!$B$26*(IF(C1685&lt;=0,0,MAX(0,(B1685/C1685)*G1685/INDEX(Surface_Engine!$B$12:$B$72,$A1685+1)-F1685/INDEX(Surface_Engine!$B$12:$B$72,$A1685+1))))*(MAX(IF(D1685&lt;=0,0,MAX(0,(B1685/D1685)*H1685/INDEX(Surface_Engine!$B$12:$B$72,$A1685+1)-F1685/INDEX(Surface_Engine!$B$12:$B$72,$A1685+1))),IF(E1685&lt;=0,0,MAX(0,(B1685/E1685)*I1685/INDEX(Surface_Engine!$B$12:$B$72,$A1685+1)-F1685/INDEX(Surface_Engine!$B$12:$B$72,$A1685+1))),IF($A1685&lt;$Q$1644,MAX(0,-Assumptions!$B$22*(F1685/INDEX(Surface_Engine!$B$12:$B$72,$A1685+1))),0)))+2*Assumptions!$B$27*(IF(C1685&lt;=0,0,MAX(0,(B1685/C1685)*G1685/INDEX(Surface_Engine!$B$12:$B$72,$A1685+1)-F1685/INDEX(Surface_Engine!$B$12:$B$72,$A1685+1))))*(MAX(0,J1685/INDEX(Surface_Engine!$B$12:$B$72,$A1685+1)-(F1685/INDEX(Surface_Engine!$B$12:$B$72,$A1685+1))))+2*Assumptions!$B$28*(MAX(IF(D1685&lt;=0,0,MAX(0,(B1685/D1685)*H1685/INDEX(Surface_Engine!$B$12:$B$72,$A1685+1)-F1685/INDEX(Surface_Engine!$B$12:$B$72,$A1685+1))),IF(E1685&lt;=0,0,MAX(0,(B1685/E1685)*I1685/INDEX(Surface_Engine!$B$12:$B$72,$A1685+1)-F1685/INDEX(Surface_Engine!$B$12:$B$72,$A1685+1))),IF($A1685&lt;$Q$1644,MAX(0,-Assumptions!$B$22*(F1685/INDEX(Surface_Engine!$B$12:$B$72,$A1685+1))),0)))*(MAX(0,J1685/INDEX(Surface_Engine!$B$12:$B$72,$A1685+1)-(F1685/INDEX(Surface_Engine!$B$12:$B$72,$A1685+1)))))</f>
        <v>1.44247676047187</v>
      </c>
      <c r="L1685" s="48" t="n">
        <f aca="false">K1685*INDEX(Surface_Engine!$B$12:$B$72,$A1685+1)+L1686</f>
        <v>0.739149668609233</v>
      </c>
      <c r="M1685" s="48" t="n">
        <f aca="false">M1684+B1684*(IF($A1684&lt;$Q$1644,(Surface_Engine!Q251*12)-(Surface_Engine!Q251*12)*INDEX(Surface_Engine!$F$12:$F$72,$A1684+1)-INDEX(Surface_Engine!$D$12:$D$72,$A1684+1),-(1000*12*INDEX(Surface_Engine!$C$12:$C$72,$A1684+1)/(1+Assumptions!$B$10)^15+INDEX(Surface_Engine!$D$12:$D$72,$A1684+1))))*INDEX(Surface_Engine!$B$12:$B$72,$A1684+1)</f>
        <v>717.935634815045</v>
      </c>
      <c r="N1685" s="12" t="n">
        <f aca="false">IF(B1685&lt;=0,0,MAX(0,(K1685+Assumptions!$B$29*L1685/INDEX(Surface_Engine!$B$12:$B$72,$A1685+1)-(M1685/INDEX(Surface_Engine!$B$12:$B$72,$A1685+1)-(F1685/INDEX(Surface_Engine!$B$12:$B$72,$A1685+1))))/B1685))</f>
        <v>0</v>
      </c>
    </row>
    <row r="1686" customFormat="false" ht="15" hidden="false" customHeight="true" outlineLevel="0" collapsed="false">
      <c r="A1686" s="1" t="n">
        <v>40</v>
      </c>
      <c r="B1686" s="32" t="n">
        <f aca="false">INDEX(Surface_Engine!$V$12:$V$72,$A1686+1)*IF($A1686&lt;$Q$1644,INDEX(Surface_Engine!$E$12:$E$72,$A1686+1),INDEX(Surface_Engine!$E$12:$E$72,$Q$1644+1))</f>
        <v>8.8874902710169E-005</v>
      </c>
      <c r="C1686" s="32" t="n">
        <f aca="false">INDEX(Panel_Reserving!$H$8:$H$68,$A1686+1)*IF($A1686&lt;$Q$1644,INDEX(Surface_Engine!$E$12:$E$72,$A1686+1),INDEX(Surface_Engine!$E$12:$E$72,$Q$1644+1))</f>
        <v>0.00077155074951932</v>
      </c>
      <c r="D1686" s="32" t="n">
        <f aca="false">INDEX(Surface_Engine!$V$12:$V$72,$A1686+1)*IF($A1686&lt;$Q$1644,INDEX(Surface_Engine!$Y$12:$Y$72,$A1686+1),INDEX(Surface_Engine!$Y$12:$Y$72,$Q$1644+1))</f>
        <v>8.0509894883408E-005</v>
      </c>
      <c r="E1686" s="32" t="n">
        <f aca="false">INDEX(Surface_Engine!$V$12:$V$72,$A1686+1)*IF($A1686&lt;$Q$1644,INDEX(Surface_Engine!$Z$12:$Z$72,$A1686+1),INDEX(Surface_Engine!$Z$12:$Z$72,$Q$1644+1))</f>
        <v>9.80190215609593E-005</v>
      </c>
      <c r="F1686" s="48" t="n">
        <f aca="false">B1686*(IF($A1686&lt;$Q$1644,INDEX(Surface_Engine!$D$12:$D$72,$A1686+1)+(Surface_Engine!Q251*12)*INDEX(Surface_Engine!$F$12:$F$72,$A1686+1)-(Surface_Engine!Q251*12),1000*12*INDEX(Surface_Engine!$C$12:$C$72,$A1686+1)/(1+Assumptions!$B$10)^15+INDEX(Surface_Engine!$D$12:$D$72,$A1686+1)))*INDEX(Surface_Engine!$B$12:$B$72,$A1686+1)+F1687</f>
        <v>0.913642892872162</v>
      </c>
      <c r="G1686" s="48" t="n">
        <f aca="false">C1686*(IF($A1686&lt;$Q$1644,INDEX(Surface_Engine!$D$12:$D$72,$A1686+1)+(Surface_Engine!Q251*12)*INDEX(Surface_Engine!$F$12:$F$72,$A1686+1)-(Surface_Engine!Q251*12),1000*12*INDEX(Surface_Engine!$C$12:$C$72,$A1686+1)/(1+Assumptions!$B$10)^15+INDEX(Surface_Engine!$D$12:$D$72,$A1686+1)))*INDEX(Surface_Engine!$B$12:$B$72,$A1686+1)+G1687</f>
        <v>9.59303130897812</v>
      </c>
      <c r="H1686" s="48" t="n">
        <f aca="false">D1686*(IF($A1686&lt;$Q$1644,INDEX(Surface_Engine!$D$12:$D$72,$A1686+1)+(Surface_Engine!Q251*12)*INDEX(Surface_Engine!$F$12:$F$72,$A1686+1)-(Surface_Engine!Q251*12),1000*12*INDEX(Surface_Engine!$C$12:$C$72,$A1686+1)/(1+Assumptions!$B$10)^15+INDEX(Surface_Engine!$D$12:$D$72,$A1686+1)))*INDEX(Surface_Engine!$B$12:$B$72,$A1686+1)+H1687</f>
        <v>0.8276497753926</v>
      </c>
      <c r="I1686" s="48" t="n">
        <f aca="false">E1686*(IF($A1686&lt;$Q$1644,INDEX(Surface_Engine!$D$12:$D$72,$A1686+1)+(Surface_Engine!Q251*12)*INDEX(Surface_Engine!$F$12:$F$72,$A1686+1)-(Surface_Engine!Q251*12),1000*12*INDEX(Surface_Engine!$C$12:$C$72,$A1686+1)/(1+Assumptions!$B$10)^15+INDEX(Surface_Engine!$D$12:$D$72,$A1686+1)))*INDEX(Surface_Engine!$B$12:$B$72,$A1686+1)+I1687</f>
        <v>1.00764534963825</v>
      </c>
      <c r="J1686" s="48" t="n">
        <f aca="false">B1686*(IF($A1686&lt;$Q$1644,INDEX(Surface_Engine!$D$12:$D$72,$A1686+1)*(1+Assumptions!$B$24)+(Surface_Engine!Q251*12)*INDEX(Surface_Engine!$F$12:$F$72,$A1686+1)-(Surface_Engine!Q251*12),1000*12*INDEX(Surface_Engine!$C$12:$C$72,$A1686+1)/(1+Assumptions!$B$10)^15+INDEX(Surface_Engine!$D$12:$D$72,$A1686+1)*(1+Assumptions!$B$24)))*INDEX(Surface_Engine!$B$12:$B$72,$A1686+1)+J1687</f>
        <v>0.914657123573646</v>
      </c>
      <c r="K1686" s="12" t="n">
        <f aca="false">SQRT((IF(C1686&lt;=0,0,MAX(0,(B1686/C1686)*G1686/INDEX(Surface_Engine!$B$12:$B$72,$A1686+1)-F1686/INDEX(Surface_Engine!$B$12:$B$72,$A1686+1))))^2+(MAX(IF(D1686&lt;=0,0,MAX(0,(B1686/D1686)*H1686/INDEX(Surface_Engine!$B$12:$B$72,$A1686+1)-F1686/INDEX(Surface_Engine!$B$12:$B$72,$A1686+1))),IF(E1686&lt;=0,0,MAX(0,(B1686/E1686)*I1686/INDEX(Surface_Engine!$B$12:$B$72,$A1686+1)-F1686/INDEX(Surface_Engine!$B$12:$B$72,$A1686+1))),IF($A1686&lt;$Q$1644,MAX(0,-Assumptions!$B$22*(F1686/INDEX(Surface_Engine!$B$12:$B$72,$A1686+1))),0)))^2+(MAX(0,J1686/INDEX(Surface_Engine!$B$12:$B$72,$A1686+1)-(F1686/INDEX(Surface_Engine!$B$12:$B$72,$A1686+1))))^2+2*Assumptions!$B$26*(IF(C1686&lt;=0,0,MAX(0,(B1686/C1686)*G1686/INDEX(Surface_Engine!$B$12:$B$72,$A1686+1)-F1686/INDEX(Surface_Engine!$B$12:$B$72,$A1686+1))))*(MAX(IF(D1686&lt;=0,0,MAX(0,(B1686/D1686)*H1686/INDEX(Surface_Engine!$B$12:$B$72,$A1686+1)-F1686/INDEX(Surface_Engine!$B$12:$B$72,$A1686+1))),IF(E1686&lt;=0,0,MAX(0,(B1686/E1686)*I1686/INDEX(Surface_Engine!$B$12:$B$72,$A1686+1)-F1686/INDEX(Surface_Engine!$B$12:$B$72,$A1686+1))),IF($A1686&lt;$Q$1644,MAX(0,-Assumptions!$B$22*(F1686/INDEX(Surface_Engine!$B$12:$B$72,$A1686+1))),0)))+2*Assumptions!$B$27*(IF(C1686&lt;=0,0,MAX(0,(B1686/C1686)*G1686/INDEX(Surface_Engine!$B$12:$B$72,$A1686+1)-F1686/INDEX(Surface_Engine!$B$12:$B$72,$A1686+1))))*(MAX(0,J1686/INDEX(Surface_Engine!$B$12:$B$72,$A1686+1)-(F1686/INDEX(Surface_Engine!$B$12:$B$72,$A1686+1))))+2*Assumptions!$B$28*(MAX(IF(D1686&lt;=0,0,MAX(0,(B1686/D1686)*H1686/INDEX(Surface_Engine!$B$12:$B$72,$A1686+1)-F1686/INDEX(Surface_Engine!$B$12:$B$72,$A1686+1))),IF(E1686&lt;=0,0,MAX(0,(B1686/E1686)*I1686/INDEX(Surface_Engine!$B$12:$B$72,$A1686+1)-F1686/INDEX(Surface_Engine!$B$12:$B$72,$A1686+1))),IF($A1686&lt;$Q$1644,MAX(0,-Assumptions!$B$22*(F1686/INDEX(Surface_Engine!$B$12:$B$72,$A1686+1))),0)))*(MAX(0,J1686/INDEX(Surface_Engine!$B$12:$B$72,$A1686+1)-(F1686/INDEX(Surface_Engine!$B$12:$B$72,$A1686+1)))))</f>
        <v>0.675816873786543</v>
      </c>
      <c r="L1686" s="48" t="n">
        <f aca="false">K1686*INDEX(Surface_Engine!$B$12:$B$72,$A1686+1)+L1687</f>
        <v>0.316709940544329</v>
      </c>
      <c r="M1686" s="48" t="n">
        <f aca="false">M1685+B1685*(IF($A1685&lt;$Q$1644,(Surface_Engine!Q251*12)-(Surface_Engine!Q251*12)*INDEX(Surface_Engine!$F$12:$F$72,$A1685+1)-INDEX(Surface_Engine!$D$12:$D$72,$A1685+1),-(1000*12*INDEX(Surface_Engine!$C$12:$C$72,$A1685+1)/(1+Assumptions!$B$10)^15+INDEX(Surface_Engine!$D$12:$D$72,$A1685+1))))*INDEX(Surface_Engine!$B$12:$B$72,$A1685+1)</f>
        <v>716.897855355599</v>
      </c>
      <c r="N1686" s="12" t="n">
        <f aca="false">IF(B1686&lt;=0,0,MAX(0,(K1686+Assumptions!$B$29*L1686/INDEX(Surface_Engine!$B$12:$B$72,$A1686+1)-(M1686/INDEX(Surface_Engine!$B$12:$B$72,$A1686+1)-(F1686/INDEX(Surface_Engine!$B$12:$B$72,$A1686+1))))/B1686))</f>
        <v>0</v>
      </c>
    </row>
    <row r="1687" customFormat="false" ht="15" hidden="false" customHeight="true" outlineLevel="0" collapsed="false">
      <c r="A1687" s="1" t="n">
        <v>41</v>
      </c>
      <c r="B1687" s="32" t="n">
        <f aca="false">INDEX(Surface_Engine!$V$12:$V$72,$A1687+1)*IF($A1687&lt;$Q$1644,INDEX(Surface_Engine!$E$12:$E$72,$A1687+1),INDEX(Surface_Engine!$E$12:$E$72,$Q$1644+1))</f>
        <v>4.19863213616775E-005</v>
      </c>
      <c r="C1687" s="32" t="n">
        <f aca="false">INDEX(Panel_Reserving!$H$8:$H$68,$A1687+1)*IF($A1687&lt;$Q$1644,INDEX(Surface_Engine!$E$12:$E$72,$A1687+1),INDEX(Surface_Engine!$E$12:$E$72,$Q$1644+1))</f>
        <v>0.000445907230549262</v>
      </c>
      <c r="D1687" s="32" t="n">
        <f aca="false">INDEX(Surface_Engine!$V$12:$V$72,$A1687+1)*IF($A1687&lt;$Q$1644,INDEX(Surface_Engine!$Y$12:$Y$72,$A1687+1),INDEX(Surface_Engine!$Y$12:$Y$72,$Q$1644+1))</f>
        <v>3.80345206159406E-005</v>
      </c>
      <c r="E1687" s="32" t="n">
        <f aca="false">INDEX(Surface_Engine!$V$12:$V$72,$A1687+1)*IF($A1687&lt;$Q$1644,INDEX(Surface_Engine!$Z$12:$Z$72,$A1687+1),INDEX(Surface_Engine!$Z$12:$Z$72,$Q$1644+1))</f>
        <v>4.63061900864927E-005</v>
      </c>
      <c r="F1687" s="48" t="n">
        <f aca="false">B1687*(IF($A1687&lt;$Q$1644,INDEX(Surface_Engine!$D$12:$D$72,$A1687+1)+(Surface_Engine!Q251*12)*INDEX(Surface_Engine!$F$12:$F$72,$A1687+1)-(Surface_Engine!Q251*12),1000*12*INDEX(Surface_Engine!$C$12:$C$72,$A1687+1)/(1+Assumptions!$B$10)^15+INDEX(Surface_Engine!$D$12:$D$72,$A1687+1)))*INDEX(Surface_Engine!$B$12:$B$72,$A1687+1)+F1688</f>
        <v>0.411949376879902</v>
      </c>
      <c r="G1687" s="48" t="n">
        <f aca="false">C1687*(IF($A1687&lt;$Q$1644,INDEX(Surface_Engine!$D$12:$D$72,$A1687+1)+(Surface_Engine!Q251*12)*INDEX(Surface_Engine!$F$12:$F$72,$A1687+1)-(Surface_Engine!Q251*12),1000*12*INDEX(Surface_Engine!$C$12:$C$72,$A1687+1)/(1+Assumptions!$B$10)^15+INDEX(Surface_Engine!$D$12:$D$72,$A1687+1)))*INDEX(Surface_Engine!$B$12:$B$72,$A1687+1)+G1688</f>
        <v>5.2376734240291</v>
      </c>
      <c r="H1687" s="48" t="n">
        <f aca="false">D1687*(IF($A1687&lt;$Q$1644,INDEX(Surface_Engine!$D$12:$D$72,$A1687+1)+(Surface_Engine!Q251*12)*INDEX(Surface_Engine!$F$12:$F$72,$A1687+1)-(Surface_Engine!Q251*12),1000*12*INDEX(Surface_Engine!$C$12:$C$72,$A1687+1)/(1+Assumptions!$B$10)^15+INDEX(Surface_Engine!$D$12:$D$72,$A1687+1)))*INDEX(Surface_Engine!$B$12:$B$72,$A1687+1)+H1688</f>
        <v>0.373176228817312</v>
      </c>
      <c r="I1687" s="48" t="n">
        <f aca="false">E1687*(IF($A1687&lt;$Q$1644,INDEX(Surface_Engine!$D$12:$D$72,$A1687+1)+(Surface_Engine!Q251*12)*INDEX(Surface_Engine!$F$12:$F$72,$A1687+1)-(Surface_Engine!Q251*12),1000*12*INDEX(Surface_Engine!$C$12:$C$72,$A1687+1)/(1+Assumptions!$B$10)^15+INDEX(Surface_Engine!$D$12:$D$72,$A1687+1)))*INDEX(Surface_Engine!$B$12:$B$72,$A1687+1)+I1688</f>
        <v>0.454333829046147</v>
      </c>
      <c r="J1687" s="48" t="n">
        <f aca="false">B1687*(IF($A1687&lt;$Q$1644,INDEX(Surface_Engine!$D$12:$D$72,$A1687+1)*(1+Assumptions!$B$24)+(Surface_Engine!Q251*12)*INDEX(Surface_Engine!$F$12:$F$72,$A1687+1)-(Surface_Engine!Q251*12),1000*12*INDEX(Surface_Engine!$C$12:$C$72,$A1687+1)/(1+Assumptions!$B$10)^15+INDEX(Surface_Engine!$D$12:$D$72,$A1687+1)*(1+Assumptions!$B$24)))*INDEX(Surface_Engine!$B$12:$B$72,$A1687+1)+J1688</f>
        <v>0.412408737402799</v>
      </c>
      <c r="K1687" s="12" t="n">
        <f aca="false">SQRT((IF(C1687&lt;=0,0,MAX(0,(B1687/C1687)*G1687/INDEX(Surface_Engine!$B$12:$B$72,$A1687+1)-F1687/INDEX(Surface_Engine!$B$12:$B$72,$A1687+1))))^2+(MAX(IF(D1687&lt;=0,0,MAX(0,(B1687/D1687)*H1687/INDEX(Surface_Engine!$B$12:$B$72,$A1687+1)-F1687/INDEX(Surface_Engine!$B$12:$B$72,$A1687+1))),IF(E1687&lt;=0,0,MAX(0,(B1687/E1687)*I1687/INDEX(Surface_Engine!$B$12:$B$72,$A1687+1)-F1687/INDEX(Surface_Engine!$B$12:$B$72,$A1687+1))),IF($A1687&lt;$Q$1644,MAX(0,-Assumptions!$B$22*(F1687/INDEX(Surface_Engine!$B$12:$B$72,$A1687+1))),0)))^2+(MAX(0,J1687/INDEX(Surface_Engine!$B$12:$B$72,$A1687+1)-(F1687/INDEX(Surface_Engine!$B$12:$B$72,$A1687+1))))^2+2*Assumptions!$B$26*(IF(C1687&lt;=0,0,MAX(0,(B1687/C1687)*G1687/INDEX(Surface_Engine!$B$12:$B$72,$A1687+1)-F1687/INDEX(Surface_Engine!$B$12:$B$72,$A1687+1))))*(MAX(IF(D1687&lt;=0,0,MAX(0,(B1687/D1687)*H1687/INDEX(Surface_Engine!$B$12:$B$72,$A1687+1)-F1687/INDEX(Surface_Engine!$B$12:$B$72,$A1687+1))),IF(E1687&lt;=0,0,MAX(0,(B1687/E1687)*I1687/INDEX(Surface_Engine!$B$12:$B$72,$A1687+1)-F1687/INDEX(Surface_Engine!$B$12:$B$72,$A1687+1))),IF($A1687&lt;$Q$1644,MAX(0,-Assumptions!$B$22*(F1687/INDEX(Surface_Engine!$B$12:$B$72,$A1687+1))),0)))+2*Assumptions!$B$27*(IF(C1687&lt;=0,0,MAX(0,(B1687/C1687)*G1687/INDEX(Surface_Engine!$B$12:$B$72,$A1687+1)-F1687/INDEX(Surface_Engine!$B$12:$B$72,$A1687+1))))*(MAX(0,J1687/INDEX(Surface_Engine!$B$12:$B$72,$A1687+1)-(F1687/INDEX(Surface_Engine!$B$12:$B$72,$A1687+1))))+2*Assumptions!$B$28*(MAX(IF(D1687&lt;=0,0,MAX(0,(B1687/D1687)*H1687/INDEX(Surface_Engine!$B$12:$B$72,$A1687+1)-F1687/INDEX(Surface_Engine!$B$12:$B$72,$A1687+1))),IF(E1687&lt;=0,0,MAX(0,(B1687/E1687)*I1687/INDEX(Surface_Engine!$B$12:$B$72,$A1687+1)-F1687/INDEX(Surface_Engine!$B$12:$B$72,$A1687+1))),IF($A1687&lt;$Q$1644,MAX(0,-Assumptions!$B$22*(F1687/INDEX(Surface_Engine!$B$12:$B$72,$A1687+1))),0)))*(MAX(0,J1687/INDEX(Surface_Engine!$B$12:$B$72,$A1687+1)-(F1687/INDEX(Surface_Engine!$B$12:$B$72,$A1687+1)))))</f>
        <v>0.296280056277915</v>
      </c>
      <c r="L1687" s="48" t="n">
        <f aca="false">K1687*INDEX(Surface_Engine!$B$12:$B$72,$A1687+1)+L1688</f>
        <v>0.125075832776777</v>
      </c>
      <c r="M1687" s="48" t="n">
        <f aca="false">M1686+B1686*(IF($A1686&lt;$Q$1644,(Surface_Engine!Q251*12)-(Surface_Engine!Q251*12)*INDEX(Surface_Engine!$F$12:$F$72,$A1686+1)-INDEX(Surface_Engine!$D$12:$D$72,$A1686+1),-(1000*12*INDEX(Surface_Engine!$C$12:$C$72,$A1686+1)/(1+Assumptions!$B$10)^15+INDEX(Surface_Engine!$D$12:$D$72,$A1686+1))))*INDEX(Surface_Engine!$B$12:$B$72,$A1686+1)</f>
        <v>716.396161839607</v>
      </c>
      <c r="N1687" s="12" t="n">
        <f aca="false">IF(B1687&lt;=0,0,MAX(0,(K1687+Assumptions!$B$29*L1687/INDEX(Surface_Engine!$B$12:$B$72,$A1687+1)-(M1687/INDEX(Surface_Engine!$B$12:$B$72,$A1687+1)-(F1687/INDEX(Surface_Engine!$B$12:$B$72,$A1687+1))))/B1687))</f>
        <v>0</v>
      </c>
    </row>
    <row r="1688" customFormat="false" ht="15" hidden="false" customHeight="true" outlineLevel="0" collapsed="false">
      <c r="A1688" s="1" t="n">
        <v>42</v>
      </c>
      <c r="B1688" s="32" t="n">
        <f aca="false">INDEX(Surface_Engine!$V$12:$V$72,$A1688+1)*IF($A1688&lt;$Q$1644,INDEX(Surface_Engine!$E$12:$E$72,$A1688+1),INDEX(Surface_Engine!$E$12:$E$72,$Q$1644+1))</f>
        <v>1.91309722356394E-005</v>
      </c>
      <c r="C1688" s="32" t="n">
        <f aca="false">INDEX(Panel_Reserving!$H$8:$H$68,$A1688+1)*IF($A1688&lt;$Q$1644,INDEX(Surface_Engine!$E$12:$E$72,$A1688+1),INDEX(Surface_Engine!$E$12:$E$72,$Q$1644+1))</f>
        <v>0.00025172274185852</v>
      </c>
      <c r="D1688" s="32" t="n">
        <f aca="false">INDEX(Surface_Engine!$V$12:$V$72,$A1688+1)*IF($A1688&lt;$Q$1644,INDEX(Surface_Engine!$Y$12:$Y$72,$A1688+1),INDEX(Surface_Engine!$Y$12:$Y$72,$Q$1644+1))</f>
        <v>1.73303431760887E-005</v>
      </c>
      <c r="E1688" s="32" t="n">
        <f aca="false">INDEX(Surface_Engine!$V$12:$V$72,$A1688+1)*IF($A1688&lt;$Q$1644,INDEX(Surface_Engine!$Z$12:$Z$72,$A1688+1),INDEX(Surface_Engine!$Z$12:$Z$72,$Q$1644+1))</f>
        <v>2.10993106362377E-005</v>
      </c>
      <c r="F1688" s="48" t="n">
        <f aca="false">B1688*(IF($A1688&lt;$Q$1644,INDEX(Surface_Engine!$D$12:$D$72,$A1688+1)+(Surface_Engine!Q251*12)*INDEX(Surface_Engine!$F$12:$F$72,$A1688+1)-(Surface_Engine!Q251*12),1000*12*INDEX(Surface_Engine!$C$12:$C$72,$A1688+1)/(1+Assumptions!$B$10)^15+INDEX(Surface_Engine!$D$12:$D$72,$A1688+1)))*INDEX(Surface_Engine!$B$12:$B$72,$A1688+1)+F1689</f>
        <v>0.177870667582409</v>
      </c>
      <c r="G1688" s="48" t="n">
        <f aca="false">C1688*(IF($A1688&lt;$Q$1644,INDEX(Surface_Engine!$D$12:$D$72,$A1688+1)+(Surface_Engine!Q251*12)*INDEX(Surface_Engine!$F$12:$F$72,$A1688+1)-(Surface_Engine!Q251*12),1000*12*INDEX(Surface_Engine!$C$12:$C$72,$A1688+1)/(1+Assumptions!$B$10)^15+INDEX(Surface_Engine!$D$12:$D$72,$A1688+1)))*INDEX(Surface_Engine!$B$12:$B$72,$A1688+1)+G1689</f>
        <v>2.75168785519906</v>
      </c>
      <c r="H1688" s="48" t="n">
        <f aca="false">D1688*(IF($A1688&lt;$Q$1644,INDEX(Surface_Engine!$D$12:$D$72,$A1688+1)+(Surface_Engine!Q251*12)*INDEX(Surface_Engine!$F$12:$F$72,$A1688+1)-(Surface_Engine!Q251*12),1000*12*INDEX(Surface_Engine!$C$12:$C$72,$A1688+1)/(1+Assumptions!$B$10)^15+INDEX(Surface_Engine!$D$12:$D$72,$A1688+1)))*INDEX(Surface_Engine!$B$12:$B$72,$A1688+1)+H1689</f>
        <v>0.161129276243504</v>
      </c>
      <c r="I1688" s="48" t="n">
        <f aca="false">E1688*(IF($A1688&lt;$Q$1644,INDEX(Surface_Engine!$D$12:$D$72,$A1688+1)+(Surface_Engine!Q251*12)*INDEX(Surface_Engine!$F$12:$F$72,$A1688+1)-(Surface_Engine!Q251*12),1000*12*INDEX(Surface_Engine!$C$12:$C$72,$A1688+1)/(1+Assumptions!$B$10)^15+INDEX(Surface_Engine!$D$12:$D$72,$A1688+1)))*INDEX(Surface_Engine!$B$12:$B$72,$A1688+1)+I1689</f>
        <v>0.196171340492815</v>
      </c>
      <c r="J1688" s="48" t="n">
        <f aca="false">B1688*(IF($A1688&lt;$Q$1644,INDEX(Surface_Engine!$D$12:$D$72,$A1688+1)*(1+Assumptions!$B$24)+(Surface_Engine!Q251*12)*INDEX(Surface_Engine!$F$12:$F$72,$A1688+1)-(Surface_Engine!Q251*12),1000*12*INDEX(Surface_Engine!$C$12:$C$72,$A1688+1)/(1+Assumptions!$B$10)^15+INDEX(Surface_Engine!$D$12:$D$72,$A1688+1)*(1+Assumptions!$B$24)))*INDEX(Surface_Engine!$B$12:$B$72,$A1688+1)+J1689</f>
        <v>0.178069883419196</v>
      </c>
      <c r="K1688" s="12" t="n">
        <f aca="false">SQRT((IF(C1688&lt;=0,0,MAX(0,(B1688/C1688)*G1688/INDEX(Surface_Engine!$B$12:$B$72,$A1688+1)-F1688/INDEX(Surface_Engine!$B$12:$B$72,$A1688+1))))^2+(MAX(IF(D1688&lt;=0,0,MAX(0,(B1688/D1688)*H1688/INDEX(Surface_Engine!$B$12:$B$72,$A1688+1)-F1688/INDEX(Surface_Engine!$B$12:$B$72,$A1688+1))),IF(E1688&lt;=0,0,MAX(0,(B1688/E1688)*I1688/INDEX(Surface_Engine!$B$12:$B$72,$A1688+1)-F1688/INDEX(Surface_Engine!$B$12:$B$72,$A1688+1))),IF($A1688&lt;$Q$1644,MAX(0,-Assumptions!$B$22*(F1688/INDEX(Surface_Engine!$B$12:$B$72,$A1688+1))),0)))^2+(MAX(0,J1688/INDEX(Surface_Engine!$B$12:$B$72,$A1688+1)-(F1688/INDEX(Surface_Engine!$B$12:$B$72,$A1688+1))))^2+2*Assumptions!$B$26*(IF(C1688&lt;=0,0,MAX(0,(B1688/C1688)*G1688/INDEX(Surface_Engine!$B$12:$B$72,$A1688+1)-F1688/INDEX(Surface_Engine!$B$12:$B$72,$A1688+1))))*(MAX(IF(D1688&lt;=0,0,MAX(0,(B1688/D1688)*H1688/INDEX(Surface_Engine!$B$12:$B$72,$A1688+1)-F1688/INDEX(Surface_Engine!$B$12:$B$72,$A1688+1))),IF(E1688&lt;=0,0,MAX(0,(B1688/E1688)*I1688/INDEX(Surface_Engine!$B$12:$B$72,$A1688+1)-F1688/INDEX(Surface_Engine!$B$12:$B$72,$A1688+1))),IF($A1688&lt;$Q$1644,MAX(0,-Assumptions!$B$22*(F1688/INDEX(Surface_Engine!$B$12:$B$72,$A1688+1))),0)))+2*Assumptions!$B$27*(IF(C1688&lt;=0,0,MAX(0,(B1688/C1688)*G1688/INDEX(Surface_Engine!$B$12:$B$72,$A1688+1)-F1688/INDEX(Surface_Engine!$B$12:$B$72,$A1688+1))))*(MAX(0,J1688/INDEX(Surface_Engine!$B$12:$B$72,$A1688+1)-(F1688/INDEX(Surface_Engine!$B$12:$B$72,$A1688+1))))+2*Assumptions!$B$28*(MAX(IF(D1688&lt;=0,0,MAX(0,(B1688/D1688)*H1688/INDEX(Surface_Engine!$B$12:$B$72,$A1688+1)-F1688/INDEX(Surface_Engine!$B$12:$B$72,$A1688+1))),IF(E1688&lt;=0,0,MAX(0,(B1688/E1688)*I1688/INDEX(Surface_Engine!$B$12:$B$72,$A1688+1)-F1688/INDEX(Surface_Engine!$B$12:$B$72,$A1688+1))),IF($A1688&lt;$Q$1644,MAX(0,-Assumptions!$B$22*(F1688/INDEX(Surface_Engine!$B$12:$B$72,$A1688+1))),0)))*(MAX(0,J1688/INDEX(Surface_Engine!$B$12:$B$72,$A1688+1)-(F1688/INDEX(Surface_Engine!$B$12:$B$72,$A1688+1)))))</f>
        <v>0.117737915786926</v>
      </c>
      <c r="L1688" s="48" t="n">
        <f aca="false">K1688*INDEX(Surface_Engine!$B$12:$B$72,$A1688+1)+L1689</f>
        <v>0.043733388469937</v>
      </c>
      <c r="M1688" s="48" t="n">
        <f aca="false">M1687+B1687*(IF($A1687&lt;$Q$1644,(Surface_Engine!Q251*12)-(Surface_Engine!Q251*12)*INDEX(Surface_Engine!$F$12:$F$72,$A1687+1)-INDEX(Surface_Engine!$D$12:$D$72,$A1687+1),-(1000*12*INDEX(Surface_Engine!$C$12:$C$72,$A1687+1)/(1+Assumptions!$B$10)^15+INDEX(Surface_Engine!$D$12:$D$72,$A1687+1))))*INDEX(Surface_Engine!$B$12:$B$72,$A1687+1)</f>
        <v>716.162083130309</v>
      </c>
      <c r="N1688" s="12" t="n">
        <f aca="false">IF(B1688&lt;=0,0,MAX(0,(K1688+Assumptions!$B$29*L1688/INDEX(Surface_Engine!$B$12:$B$72,$A1688+1)-(M1688/INDEX(Surface_Engine!$B$12:$B$72,$A1688+1)-(F1688/INDEX(Surface_Engine!$B$12:$B$72,$A1688+1))))/B1688))</f>
        <v>0</v>
      </c>
    </row>
    <row r="1689" customFormat="false" ht="15" hidden="false" customHeight="true" outlineLevel="0" collapsed="false">
      <c r="A1689" s="1" t="n">
        <v>43</v>
      </c>
      <c r="B1689" s="32" t="n">
        <f aca="false">INDEX(Surface_Engine!$V$12:$V$72,$A1689+1)*IF($A1689&lt;$Q$1644,INDEX(Surface_Engine!$E$12:$E$72,$A1689+1),INDEX(Surface_Engine!$E$12:$E$72,$Q$1644+1))</f>
        <v>8.40211242727004E-006</v>
      </c>
      <c r="C1689" s="32" t="n">
        <f aca="false">INDEX(Panel_Reserving!$H$8:$H$68,$A1689+1)*IF($A1689&lt;$Q$1644,INDEX(Surface_Engine!$E$12:$E$72,$A1689+1),INDEX(Surface_Engine!$E$12:$E$72,$Q$1644+1))</f>
        <v>0.000138787634339113</v>
      </c>
      <c r="D1689" s="32" t="n">
        <f aca="false">INDEX(Surface_Engine!$V$12:$V$72,$A1689+1)*IF($A1689&lt;$Q$1644,INDEX(Surface_Engine!$Y$12:$Y$72,$A1689+1),INDEX(Surface_Engine!$Y$12:$Y$72,$Q$1644+1))</f>
        <v>7.61129596421698E-006</v>
      </c>
      <c r="E1689" s="32" t="n">
        <f aca="false">INDEX(Surface_Engine!$V$12:$V$72,$A1689+1)*IF($A1689&lt;$Q$1644,INDEX(Surface_Engine!$Z$12:$Z$72,$A1689+1),INDEX(Surface_Engine!$Z$12:$Z$72,$Q$1644+1))</f>
        <v>9.26658498689927E-006</v>
      </c>
      <c r="F1689" s="48" t="n">
        <f aca="false">B1689*(IF($A1689&lt;$Q$1644,INDEX(Surface_Engine!$D$12:$D$72,$A1689+1)+(Surface_Engine!Q251*12)*INDEX(Surface_Engine!$F$12:$F$72,$A1689+1)-(Surface_Engine!Q251*12),1000*12*INDEX(Surface_Engine!$C$12:$C$72,$A1689+1)/(1+Assumptions!$B$10)^15+INDEX(Surface_Engine!$D$12:$D$72,$A1689+1)))*INDEX(Surface_Engine!$B$12:$B$72,$A1689+1)+F1690</f>
        <v>0.072493651420039</v>
      </c>
      <c r="G1689" s="48" t="n">
        <f aca="false">C1689*(IF($A1689&lt;$Q$1644,INDEX(Surface_Engine!$D$12:$D$72,$A1689+1)+(Surface_Engine!Q251*12)*INDEX(Surface_Engine!$F$12:$F$72,$A1689+1)-(Surface_Engine!Q251*12),1000*12*INDEX(Surface_Engine!$C$12:$C$72,$A1689+1)/(1+Assumptions!$B$10)^15+INDEX(Surface_Engine!$D$12:$D$72,$A1689+1)))*INDEX(Surface_Engine!$B$12:$B$72,$A1689+1)+G1690</f>
        <v>1.36515134725065</v>
      </c>
      <c r="H1689" s="48" t="n">
        <f aca="false">D1689*(IF($A1689&lt;$Q$1644,INDEX(Surface_Engine!$D$12:$D$72,$A1689+1)+(Surface_Engine!Q251*12)*INDEX(Surface_Engine!$F$12:$F$72,$A1689+1)-(Surface_Engine!Q251*12),1000*12*INDEX(Surface_Engine!$C$12:$C$72,$A1689+1)/(1+Assumptions!$B$10)^15+INDEX(Surface_Engine!$D$12:$D$72,$A1689+1)))*INDEX(Surface_Engine!$B$12:$B$72,$A1689+1)+H1690</f>
        <v>0.0656704657621409</v>
      </c>
      <c r="I1689" s="48" t="n">
        <f aca="false">E1689*(IF($A1689&lt;$Q$1644,INDEX(Surface_Engine!$D$12:$D$72,$A1689+1)+(Surface_Engine!Q251*12)*INDEX(Surface_Engine!$F$12:$F$72,$A1689+1)-(Surface_Engine!Q251*12),1000*12*INDEX(Surface_Engine!$C$12:$C$72,$A1689+1)/(1+Assumptions!$B$10)^15+INDEX(Surface_Engine!$D$12:$D$72,$A1689+1)))*INDEX(Surface_Engine!$B$12:$B$72,$A1689+1)+I1690</f>
        <v>0.0799523438551166</v>
      </c>
      <c r="J1689" s="48" t="n">
        <f aca="false">B1689*(IF($A1689&lt;$Q$1644,INDEX(Surface_Engine!$D$12:$D$72,$A1689+1)*(1+Assumptions!$B$24)+(Surface_Engine!Q251*12)*INDEX(Surface_Engine!$F$12:$F$72,$A1689+1)-(Surface_Engine!Q251*12),1000*12*INDEX(Surface_Engine!$C$12:$C$72,$A1689+1)/(1+Assumptions!$B$10)^15+INDEX(Surface_Engine!$D$12:$D$72,$A1689+1)*(1+Assumptions!$B$24)))*INDEX(Surface_Engine!$B$12:$B$72,$A1689+1)+J1690</f>
        <v>0.0725751882547977</v>
      </c>
      <c r="K1689" s="12" t="n">
        <f aca="false">SQRT((IF(C1689&lt;=0,0,MAX(0,(B1689/C1689)*G1689/INDEX(Surface_Engine!$B$12:$B$72,$A1689+1)-F1689/INDEX(Surface_Engine!$B$12:$B$72,$A1689+1))))^2+(MAX(IF(D1689&lt;=0,0,MAX(0,(B1689/D1689)*H1689/INDEX(Surface_Engine!$B$12:$B$72,$A1689+1)-F1689/INDEX(Surface_Engine!$B$12:$B$72,$A1689+1))),IF(E1689&lt;=0,0,MAX(0,(B1689/E1689)*I1689/INDEX(Surface_Engine!$B$12:$B$72,$A1689+1)-F1689/INDEX(Surface_Engine!$B$12:$B$72,$A1689+1))),IF($A1689&lt;$Q$1644,MAX(0,-Assumptions!$B$22*(F1689/INDEX(Surface_Engine!$B$12:$B$72,$A1689+1))),0)))^2+(MAX(0,J1689/INDEX(Surface_Engine!$B$12:$B$72,$A1689+1)-(F1689/INDEX(Surface_Engine!$B$12:$B$72,$A1689+1))))^2+2*Assumptions!$B$26*(IF(C1689&lt;=0,0,MAX(0,(B1689/C1689)*G1689/INDEX(Surface_Engine!$B$12:$B$72,$A1689+1)-F1689/INDEX(Surface_Engine!$B$12:$B$72,$A1689+1))))*(MAX(IF(D1689&lt;=0,0,MAX(0,(B1689/D1689)*H1689/INDEX(Surface_Engine!$B$12:$B$72,$A1689+1)-F1689/INDEX(Surface_Engine!$B$12:$B$72,$A1689+1))),IF(E1689&lt;=0,0,MAX(0,(B1689/E1689)*I1689/INDEX(Surface_Engine!$B$12:$B$72,$A1689+1)-F1689/INDEX(Surface_Engine!$B$12:$B$72,$A1689+1))),IF($A1689&lt;$Q$1644,MAX(0,-Assumptions!$B$22*(F1689/INDEX(Surface_Engine!$B$12:$B$72,$A1689+1))),0)))+2*Assumptions!$B$27*(IF(C1689&lt;=0,0,MAX(0,(B1689/C1689)*G1689/INDEX(Surface_Engine!$B$12:$B$72,$A1689+1)-F1689/INDEX(Surface_Engine!$B$12:$B$72,$A1689+1))))*(MAX(0,J1689/INDEX(Surface_Engine!$B$12:$B$72,$A1689+1)-(F1689/INDEX(Surface_Engine!$B$12:$B$72,$A1689+1))))+2*Assumptions!$B$28*(MAX(IF(D1689&lt;=0,0,MAX(0,(B1689/D1689)*H1689/INDEX(Surface_Engine!$B$12:$B$72,$A1689+1)-F1689/INDEX(Surface_Engine!$B$12:$B$72,$A1689+1))),IF(E1689&lt;=0,0,MAX(0,(B1689/E1689)*I1689/INDEX(Surface_Engine!$B$12:$B$72,$A1689+1)-F1689/INDEX(Surface_Engine!$B$12:$B$72,$A1689+1))),IF($A1689&lt;$Q$1644,MAX(0,-Assumptions!$B$22*(F1689/INDEX(Surface_Engine!$B$12:$B$72,$A1689+1))),0)))*(MAX(0,J1689/INDEX(Surface_Engine!$B$12:$B$72,$A1689+1)-(F1689/INDEX(Surface_Engine!$B$12:$B$72,$A1689+1)))))</f>
        <v>0.0395126737209503</v>
      </c>
      <c r="L1689" s="48" t="n">
        <f aca="false">K1689*INDEX(Surface_Engine!$B$12:$B$72,$A1689+1)+L1690</f>
        <v>0.0124249015092949</v>
      </c>
      <c r="M1689" s="48" t="n">
        <f aca="false">M1688+B1688*(IF($A1688&lt;$Q$1644,(Surface_Engine!Q251*12)-(Surface_Engine!Q251*12)*INDEX(Surface_Engine!$F$12:$F$72,$A1688+1)-INDEX(Surface_Engine!$D$12:$D$72,$A1688+1),-(1000*12*INDEX(Surface_Engine!$C$12:$C$72,$A1688+1)/(1+Assumptions!$B$10)^15+INDEX(Surface_Engine!$D$12:$D$72,$A1688+1))))*INDEX(Surface_Engine!$B$12:$B$72,$A1688+1)</f>
        <v>716.056706114147</v>
      </c>
      <c r="N1689" s="12" t="n">
        <f aca="false">IF(B1689&lt;=0,0,MAX(0,(K1689+Assumptions!$B$29*L1689/INDEX(Surface_Engine!$B$12:$B$72,$A1689+1)-(M1689/INDEX(Surface_Engine!$B$12:$B$72,$A1689+1)-(F1689/INDEX(Surface_Engine!$B$12:$B$72,$A1689+1))))/B1689))</f>
        <v>0</v>
      </c>
    </row>
    <row r="1690" customFormat="false" ht="15" hidden="false" customHeight="true" outlineLevel="0" collapsed="false">
      <c r="A1690" s="1" t="n">
        <v>44</v>
      </c>
      <c r="B1690" s="32" t="n">
        <f aca="false">INDEX(Surface_Engine!$V$12:$V$72,$A1690+1)*IF($A1690&lt;$Q$1644,INDEX(Surface_Engine!$E$12:$E$72,$A1690+1),INDEX(Surface_Engine!$E$12:$E$72,$Q$1644+1))</f>
        <v>3.55478256184547E-006</v>
      </c>
      <c r="C1690" s="32" t="n">
        <f aca="false">INDEX(Panel_Reserving!$H$8:$H$68,$A1690+1)*IF($A1690&lt;$Q$1644,INDEX(Surface_Engine!$E$12:$E$72,$A1690+1),INDEX(Surface_Engine!$E$12:$E$72,$Q$1644+1))</f>
        <v>7.47323672184189E-005</v>
      </c>
      <c r="D1690" s="32" t="n">
        <f aca="false">INDEX(Surface_Engine!$V$12:$V$72,$A1690+1)*IF($A1690&lt;$Q$1644,INDEX(Surface_Engine!$Y$12:$Y$72,$A1690+1),INDEX(Surface_Engine!$Y$12:$Y$72,$Q$1644+1))</f>
        <v>3.22020234802242E-006</v>
      </c>
      <c r="E1690" s="32" t="n">
        <f aca="false">INDEX(Surface_Engine!$V$12:$V$72,$A1690+1)*IF($A1690&lt;$Q$1644,INDEX(Surface_Engine!$Z$12:$Z$72,$A1690+1),INDEX(Surface_Engine!$Z$12:$Z$72,$Q$1644+1))</f>
        <v>3.92052534459974E-006</v>
      </c>
      <c r="F1690" s="48" t="n">
        <f aca="false">B1690*(IF($A1690&lt;$Q$1644,INDEX(Surface_Engine!$D$12:$D$72,$A1690+1)+(Surface_Engine!Q251*12)*INDEX(Surface_Engine!$F$12:$F$72,$A1690+1)-(Surface_Engine!Q251*12),1000*12*INDEX(Surface_Engine!$C$12:$C$72,$A1690+1)/(1+Assumptions!$B$10)^15+INDEX(Surface_Engine!$D$12:$D$72,$A1690+1)))*INDEX(Surface_Engine!$B$12:$B$72,$A1690+1)+F1691</f>
        <v>0.0267887407130826</v>
      </c>
      <c r="G1690" s="48" t="n">
        <f aca="false">C1690*(IF($A1690&lt;$Q$1644,INDEX(Surface_Engine!$D$12:$D$72,$A1690+1)+(Surface_Engine!Q251*12)*INDEX(Surface_Engine!$F$12:$F$72,$A1690+1)-(Surface_Engine!Q251*12),1000*12*INDEX(Surface_Engine!$C$12:$C$72,$A1690+1)/(1+Assumptions!$B$10)^15+INDEX(Surface_Engine!$D$12:$D$72,$A1690+1)))*INDEX(Surface_Engine!$B$12:$B$72,$A1690+1)+G1691</f>
        <v>0.610189248182442</v>
      </c>
      <c r="H1690" s="48" t="n">
        <f aca="false">D1690*(IF($A1690&lt;$Q$1644,INDEX(Surface_Engine!$D$12:$D$72,$A1690+1)+(Surface_Engine!Q251*12)*INDEX(Surface_Engine!$F$12:$F$72,$A1690+1)-(Surface_Engine!Q251*12),1000*12*INDEX(Surface_Engine!$C$12:$C$72,$A1690+1)/(1+Assumptions!$B$10)^15+INDEX(Surface_Engine!$D$12:$D$72,$A1690+1)))*INDEX(Surface_Engine!$B$12:$B$72,$A1690+1)+H1691</f>
        <v>0.0242673536971689</v>
      </c>
      <c r="I1690" s="48" t="n">
        <f aca="false">E1690*(IF($A1690&lt;$Q$1644,INDEX(Surface_Engine!$D$12:$D$72,$A1690+1)+(Surface_Engine!Q251*12)*INDEX(Surface_Engine!$F$12:$F$72,$A1690+1)-(Surface_Engine!Q251*12),1000*12*INDEX(Surface_Engine!$C$12:$C$72,$A1690+1)/(1+Assumptions!$B$10)^15+INDEX(Surface_Engine!$D$12:$D$72,$A1690+1)))*INDEX(Surface_Engine!$B$12:$B$72,$A1690+1)+I1691</f>
        <v>0.0295449679659244</v>
      </c>
      <c r="J1690" s="48" t="n">
        <f aca="false">B1690*(IF($A1690&lt;$Q$1644,INDEX(Surface_Engine!$D$12:$D$72,$A1690+1)*(1+Assumptions!$B$24)+(Surface_Engine!Q251*12)*INDEX(Surface_Engine!$F$12:$F$72,$A1690+1)-(Surface_Engine!Q251*12),1000*12*INDEX(Surface_Engine!$C$12:$C$72,$A1690+1)/(1+Assumptions!$B$10)^15+INDEX(Surface_Engine!$D$12:$D$72,$A1690+1)*(1+Assumptions!$B$24)))*INDEX(Surface_Engine!$B$12:$B$72,$A1690+1)+J1691</f>
        <v>0.0268189895359548</v>
      </c>
      <c r="K1690" s="12" t="n">
        <f aca="false">SQRT((IF(C1690&lt;=0,0,MAX(0,(B1690/C1690)*G1690/INDEX(Surface_Engine!$B$12:$B$72,$A1690+1)-F1690/INDEX(Surface_Engine!$B$12:$B$72,$A1690+1))))^2+(MAX(IF(D1690&lt;=0,0,MAX(0,(B1690/D1690)*H1690/INDEX(Surface_Engine!$B$12:$B$72,$A1690+1)-F1690/INDEX(Surface_Engine!$B$12:$B$72,$A1690+1))),IF(E1690&lt;=0,0,MAX(0,(B1690/E1690)*I1690/INDEX(Surface_Engine!$B$12:$B$72,$A1690+1)-F1690/INDEX(Surface_Engine!$B$12:$B$72,$A1690+1))),IF($A1690&lt;$Q$1644,MAX(0,-Assumptions!$B$22*(F1690/INDEX(Surface_Engine!$B$12:$B$72,$A1690+1))),0)))^2+(MAX(0,J1690/INDEX(Surface_Engine!$B$12:$B$72,$A1690+1)-(F1690/INDEX(Surface_Engine!$B$12:$B$72,$A1690+1))))^2+2*Assumptions!$B$26*(IF(C1690&lt;=0,0,MAX(0,(B1690/C1690)*G1690/INDEX(Surface_Engine!$B$12:$B$72,$A1690+1)-F1690/INDEX(Surface_Engine!$B$12:$B$72,$A1690+1))))*(MAX(IF(D1690&lt;=0,0,MAX(0,(B1690/D1690)*H1690/INDEX(Surface_Engine!$B$12:$B$72,$A1690+1)-F1690/INDEX(Surface_Engine!$B$12:$B$72,$A1690+1))),IF(E1690&lt;=0,0,MAX(0,(B1690/E1690)*I1690/INDEX(Surface_Engine!$B$12:$B$72,$A1690+1)-F1690/INDEX(Surface_Engine!$B$12:$B$72,$A1690+1))),IF($A1690&lt;$Q$1644,MAX(0,-Assumptions!$B$22*(F1690/INDEX(Surface_Engine!$B$12:$B$72,$A1690+1))),0)))+2*Assumptions!$B$27*(IF(C1690&lt;=0,0,MAX(0,(B1690/C1690)*G1690/INDEX(Surface_Engine!$B$12:$B$72,$A1690+1)-F1690/INDEX(Surface_Engine!$B$12:$B$72,$A1690+1))))*(MAX(0,J1690/INDEX(Surface_Engine!$B$12:$B$72,$A1690+1)-(F1690/INDEX(Surface_Engine!$B$12:$B$72,$A1690+1))))+2*Assumptions!$B$28*(MAX(IF(D1690&lt;=0,0,MAX(0,(B1690/D1690)*H1690/INDEX(Surface_Engine!$B$12:$B$72,$A1690+1)-F1690/INDEX(Surface_Engine!$B$12:$B$72,$A1690+1))),IF(E1690&lt;=0,0,MAX(0,(B1690/E1690)*I1690/INDEX(Surface_Engine!$B$12:$B$72,$A1690+1)-F1690/INDEX(Surface_Engine!$B$12:$B$72,$A1690+1))),IF($A1690&lt;$Q$1644,MAX(0,-Assumptions!$B$22*(F1690/INDEX(Surface_Engine!$B$12:$B$72,$A1690+1))),0)))*(MAX(0,J1690/INDEX(Surface_Engine!$B$12:$B$72,$A1690+1)-(F1690/INDEX(Surface_Engine!$B$12:$B$72,$A1690+1)))))</f>
        <v>0.00899879637072153</v>
      </c>
      <c r="L1690" s="48" t="n">
        <f aca="false">K1690*INDEX(Surface_Engine!$B$12:$B$72,$A1690+1)+L1691</f>
        <v>0.00225249446146812</v>
      </c>
      <c r="M1690" s="48" t="n">
        <f aca="false">M1689+B1689*(IF($A1689&lt;$Q$1644,(Surface_Engine!Q251*12)-(Surface_Engine!Q251*12)*INDEX(Surface_Engine!$F$12:$F$72,$A1689+1)-INDEX(Surface_Engine!$D$12:$D$72,$A1689+1),-(1000*12*INDEX(Surface_Engine!$C$12:$C$72,$A1689+1)/(1+Assumptions!$B$10)^15+INDEX(Surface_Engine!$D$12:$D$72,$A1689+1))))*INDEX(Surface_Engine!$B$12:$B$72,$A1689+1)</f>
        <v>716.01100120344</v>
      </c>
      <c r="N1690" s="12" t="n">
        <f aca="false">IF(B1690&lt;=0,0,MAX(0,(K1690+Assumptions!$B$29*L1690/INDEX(Surface_Engine!$B$12:$B$72,$A1690+1)-(M1690/INDEX(Surface_Engine!$B$12:$B$72,$A1690+1)-(F1690/INDEX(Surface_Engine!$B$12:$B$72,$A1690+1))))/B1690))</f>
        <v>0</v>
      </c>
    </row>
    <row r="1691" customFormat="false" ht="15" hidden="false" customHeight="true" outlineLevel="0" collapsed="false">
      <c r="A1691" s="1" t="n">
        <v>45</v>
      </c>
      <c r="B1691" s="32" t="n">
        <f aca="false">INDEX(Surface_Engine!$V$12:$V$72,$A1691+1)*IF($A1691&lt;$Q$1644,INDEX(Surface_Engine!$E$12:$E$72,$A1691+1),INDEX(Surface_Engine!$E$12:$E$72,$Q$1644+1))</f>
        <v>1.44807767821232E-006</v>
      </c>
      <c r="C1691" s="32" t="n">
        <f aca="false">INDEX(Panel_Reserving!$H$8:$H$68,$A1691+1)*IF($A1691&lt;$Q$1644,INDEX(Surface_Engine!$E$12:$E$72,$A1691+1),INDEX(Surface_Engine!$E$12:$E$72,$Q$1644+1))</f>
        <v>3.93008795827252E-005</v>
      </c>
      <c r="D1691" s="32" t="n">
        <f aca="false">INDEX(Surface_Engine!$V$12:$V$72,$A1691+1)*IF($A1691&lt;$Q$1644,INDEX(Surface_Engine!$Y$12:$Y$72,$A1691+1),INDEX(Surface_Engine!$Y$12:$Y$72,$Q$1644+1))</f>
        <v>1.31178294547425E-006</v>
      </c>
      <c r="E1691" s="32" t="n">
        <f aca="false">INDEX(Surface_Engine!$V$12:$V$72,$A1691+1)*IF($A1691&lt;$Q$1644,INDEX(Surface_Engine!$Z$12:$Z$72,$A1691+1),INDEX(Surface_Engine!$Z$12:$Z$72,$Q$1644+1))</f>
        <v>1.59706680777493E-006</v>
      </c>
      <c r="F1691" s="48" t="n">
        <f aca="false">B1691*(IF($A1691&lt;$Q$1644,INDEX(Surface_Engine!$D$12:$D$72,$A1691+1)+(Surface_Engine!Q251*12)*INDEX(Surface_Engine!$F$12:$F$72,$A1691+1)-(Surface_Engine!Q251*12),1000*12*INDEX(Surface_Engine!$C$12:$C$72,$A1691+1)/(1+Assumptions!$B$10)^15+INDEX(Surface_Engine!$D$12:$D$72,$A1691+1)))*INDEX(Surface_Engine!$B$12:$B$72,$A1691+1)+F1692</f>
        <v>0.00768486961407929</v>
      </c>
      <c r="G1691" s="48" t="n">
        <f aca="false">C1691*(IF($A1691&lt;$Q$1644,INDEX(Surface_Engine!$D$12:$D$72,$A1691+1)+(Surface_Engine!Q251*12)*INDEX(Surface_Engine!$F$12:$F$72,$A1691+1)-(Surface_Engine!Q251*12),1000*12*INDEX(Surface_Engine!$C$12:$C$72,$A1691+1)/(1+Assumptions!$B$10)^15+INDEX(Surface_Engine!$D$12:$D$72,$A1691+1)))*INDEX(Surface_Engine!$B$12:$B$72,$A1691+1)+G1692</f>
        <v>0.208567634082121</v>
      </c>
      <c r="H1691" s="48" t="n">
        <f aca="false">D1691*(IF($A1691&lt;$Q$1644,INDEX(Surface_Engine!$D$12:$D$72,$A1691+1)+(Surface_Engine!Q251*12)*INDEX(Surface_Engine!$F$12:$F$72,$A1691+1)-(Surface_Engine!Q251*12),1000*12*INDEX(Surface_Engine!$C$12:$C$72,$A1691+1)/(1+Assumptions!$B$10)^15+INDEX(Surface_Engine!$D$12:$D$72,$A1691+1)))*INDEX(Surface_Engine!$B$12:$B$72,$A1691+1)+H1692</f>
        <v>0.00696156086763769</v>
      </c>
      <c r="I1691" s="48" t="n">
        <f aca="false">E1691*(IF($A1691&lt;$Q$1644,INDEX(Surface_Engine!$D$12:$D$72,$A1691+1)+(Surface_Engine!Q251*12)*INDEX(Surface_Engine!$F$12:$F$72,$A1691+1)-(Surface_Engine!Q251*12),1000*12*INDEX(Surface_Engine!$C$12:$C$72,$A1691+1)/(1+Assumptions!$B$10)^15+INDEX(Surface_Engine!$D$12:$D$72,$A1691+1)))*INDEX(Surface_Engine!$B$12:$B$72,$A1691+1)+I1692</f>
        <v>0.00847554683521933</v>
      </c>
      <c r="J1691" s="48" t="n">
        <f aca="false">B1691*(IF($A1691&lt;$Q$1644,INDEX(Surface_Engine!$D$12:$D$72,$A1691+1)*(1+Assumptions!$B$24)+(Surface_Engine!Q251*12)*INDEX(Surface_Engine!$F$12:$F$72,$A1691+1)-(Surface_Engine!Q251*12),1000*12*INDEX(Surface_Engine!$C$12:$C$72,$A1691+1)/(1+Assumptions!$B$10)^15+INDEX(Surface_Engine!$D$12:$D$72,$A1691+1)*(1+Assumptions!$B$24)))*INDEX(Surface_Engine!$B$12:$B$72,$A1691+1)+J1692</f>
        <v>0.00769357702413227</v>
      </c>
      <c r="K1691" s="12" t="n">
        <f aca="false">SQRT((IF(C1691&lt;=0,0,MAX(0,(B1691/C1691)*G1691/INDEX(Surface_Engine!$B$12:$B$72,$A1691+1)-F1691/INDEX(Surface_Engine!$B$12:$B$72,$A1691+1))))^2+(MAX(IF(D1691&lt;=0,0,MAX(0,(B1691/D1691)*H1691/INDEX(Surface_Engine!$B$12:$B$72,$A1691+1)-F1691/INDEX(Surface_Engine!$B$12:$B$72,$A1691+1))),IF(E1691&lt;=0,0,MAX(0,(B1691/E1691)*I1691/INDEX(Surface_Engine!$B$12:$B$72,$A1691+1)-F1691/INDEX(Surface_Engine!$B$12:$B$72,$A1691+1))),IF($A1691&lt;$Q$1644,MAX(0,-Assumptions!$B$22*(F1691/INDEX(Surface_Engine!$B$12:$B$72,$A1691+1))),0)))^2+(MAX(0,J1691/INDEX(Surface_Engine!$B$12:$B$72,$A1691+1)-(F1691/INDEX(Surface_Engine!$B$12:$B$72,$A1691+1))))^2+2*Assumptions!$B$26*(IF(C1691&lt;=0,0,MAX(0,(B1691/C1691)*G1691/INDEX(Surface_Engine!$B$12:$B$72,$A1691+1)-F1691/INDEX(Surface_Engine!$B$12:$B$72,$A1691+1))))*(MAX(IF(D1691&lt;=0,0,MAX(0,(B1691/D1691)*H1691/INDEX(Surface_Engine!$B$12:$B$72,$A1691+1)-F1691/INDEX(Surface_Engine!$B$12:$B$72,$A1691+1))),IF(E1691&lt;=0,0,MAX(0,(B1691/E1691)*I1691/INDEX(Surface_Engine!$B$12:$B$72,$A1691+1)-F1691/INDEX(Surface_Engine!$B$12:$B$72,$A1691+1))),IF($A1691&lt;$Q$1644,MAX(0,-Assumptions!$B$22*(F1691/INDEX(Surface_Engine!$B$12:$B$72,$A1691+1))),0)))+2*Assumptions!$B$27*(IF(C1691&lt;=0,0,MAX(0,(B1691/C1691)*G1691/INDEX(Surface_Engine!$B$12:$B$72,$A1691+1)-F1691/INDEX(Surface_Engine!$B$12:$B$72,$A1691+1))))*(MAX(0,J1691/INDEX(Surface_Engine!$B$12:$B$72,$A1691+1)-(F1691/INDEX(Surface_Engine!$B$12:$B$72,$A1691+1))))+2*Assumptions!$B$28*(MAX(IF(D1691&lt;=0,0,MAX(0,(B1691/D1691)*H1691/INDEX(Surface_Engine!$B$12:$B$72,$A1691+1)-F1691/INDEX(Surface_Engine!$B$12:$B$72,$A1691+1))),IF(E1691&lt;=0,0,MAX(0,(B1691/E1691)*I1691/INDEX(Surface_Engine!$B$12:$B$72,$A1691+1)-F1691/INDEX(Surface_Engine!$B$12:$B$72,$A1691+1))),IF($A1691&lt;$Q$1644,MAX(0,-Assumptions!$B$22*(F1691/INDEX(Surface_Engine!$B$12:$B$72,$A1691+1))),0)))*(MAX(0,J1691/INDEX(Surface_Engine!$B$12:$B$72,$A1691+1)-(F1691/INDEX(Surface_Engine!$B$12:$B$72,$A1691+1)))))</f>
        <v>3.6072783399177E-005</v>
      </c>
      <c r="L1691" s="48" t="n">
        <f aca="false">K1691*INDEX(Surface_Engine!$B$12:$B$72,$A1691+1)+L1692</f>
        <v>8.70741005298653E-006</v>
      </c>
      <c r="M1691" s="48" t="n">
        <f aca="false">M1690+B1690*(IF($A1690&lt;$Q$1644,(Surface_Engine!Q251*12)-(Surface_Engine!Q251*12)*INDEX(Surface_Engine!$F$12:$F$72,$A1690+1)-INDEX(Surface_Engine!$D$12:$D$72,$A1690+1),-(1000*12*INDEX(Surface_Engine!$C$12:$C$72,$A1690+1)/(1+Assumptions!$B$10)^15+INDEX(Surface_Engine!$D$12:$D$72,$A1690+1))))*INDEX(Surface_Engine!$B$12:$B$72,$A1690+1)</f>
        <v>715.991897332341</v>
      </c>
      <c r="N1691" s="12" t="n">
        <f aca="false">IF(B1691&lt;=0,0,MAX(0,(K1691+Assumptions!$B$29*L1691/INDEX(Surface_Engine!$B$12:$B$72,$A1691+1)-(M1691/INDEX(Surface_Engine!$B$12:$B$72,$A1691+1)-(F1691/INDEX(Surface_Engine!$B$12:$B$72,$A1691+1))))/B1691))</f>
        <v>0</v>
      </c>
    </row>
    <row r="1692" customFormat="false" ht="15" hidden="false" customHeight="true" outlineLevel="0" collapsed="false">
      <c r="A1692" s="1" t="n">
        <v>46</v>
      </c>
      <c r="B1692" s="32" t="n">
        <f aca="false">INDEX(Surface_Engine!$V$12:$V$72,$A1692+1)*IF($A1692&lt;$Q$1644,INDEX(Surface_Engine!$E$12:$E$72,$A1692+1),INDEX(Surface_Engine!$E$12:$E$72,$Q$1644+1))</f>
        <v>0</v>
      </c>
      <c r="C1692" s="32" t="n">
        <f aca="false">INDEX(Panel_Reserving!$H$8:$H$68,$A1692+1)*IF($A1692&lt;$Q$1644,INDEX(Surface_Engine!$E$12:$E$72,$A1692+1),INDEX(Surface_Engine!$E$12:$E$72,$Q$1644+1))</f>
        <v>0</v>
      </c>
      <c r="D1692" s="32" t="n">
        <f aca="false">INDEX(Surface_Engine!$V$12:$V$72,$A1692+1)*IF($A1692&lt;$Q$1644,INDEX(Surface_Engine!$Y$12:$Y$72,$A1692+1),INDEX(Surface_Engine!$Y$12:$Y$72,$Q$1644+1))</f>
        <v>0</v>
      </c>
      <c r="E1692" s="32" t="n">
        <f aca="false">INDEX(Surface_Engine!$V$12:$V$72,$A1692+1)*IF($A1692&lt;$Q$1644,INDEX(Surface_Engine!$Z$12:$Z$72,$A1692+1),INDEX(Surface_Engine!$Z$12:$Z$72,$Q$1644+1))</f>
        <v>0</v>
      </c>
      <c r="F1692" s="48" t="n">
        <f aca="false">B1692*(IF($A1692&lt;$Q$1644,INDEX(Surface_Engine!$D$12:$D$72,$A1692+1)+(Surface_Engine!Q251*12)*INDEX(Surface_Engine!$F$12:$F$72,$A1692+1)-(Surface_Engine!Q251*12),1000*12*INDEX(Surface_Engine!$C$12:$C$72,$A1692+1)/(1+Assumptions!$B$10)^15+INDEX(Surface_Engine!$D$12:$D$72,$A1692+1)))*INDEX(Surface_Engine!$B$12:$B$72,$A1692+1)+F1693</f>
        <v>0</v>
      </c>
      <c r="G1692" s="48" t="n">
        <f aca="false">C1692*(IF($A1692&lt;$Q$1644,INDEX(Surface_Engine!$D$12:$D$72,$A1692+1)+(Surface_Engine!Q251*12)*INDEX(Surface_Engine!$F$12:$F$72,$A1692+1)-(Surface_Engine!Q251*12),1000*12*INDEX(Surface_Engine!$C$12:$C$72,$A1692+1)/(1+Assumptions!$B$10)^15+INDEX(Surface_Engine!$D$12:$D$72,$A1692+1)))*INDEX(Surface_Engine!$B$12:$B$72,$A1692+1)+G1693</f>
        <v>0</v>
      </c>
      <c r="H1692" s="48" t="n">
        <f aca="false">D1692*(IF($A1692&lt;$Q$1644,INDEX(Surface_Engine!$D$12:$D$72,$A1692+1)+(Surface_Engine!Q251*12)*INDEX(Surface_Engine!$F$12:$F$72,$A1692+1)-(Surface_Engine!Q251*12),1000*12*INDEX(Surface_Engine!$C$12:$C$72,$A1692+1)/(1+Assumptions!$B$10)^15+INDEX(Surface_Engine!$D$12:$D$72,$A1692+1)))*INDEX(Surface_Engine!$B$12:$B$72,$A1692+1)+H1693</f>
        <v>0</v>
      </c>
      <c r="I1692" s="48" t="n">
        <f aca="false">E1692*(IF($A1692&lt;$Q$1644,INDEX(Surface_Engine!$D$12:$D$72,$A1692+1)+(Surface_Engine!Q251*12)*INDEX(Surface_Engine!$F$12:$F$72,$A1692+1)-(Surface_Engine!Q251*12),1000*12*INDEX(Surface_Engine!$C$12:$C$72,$A1692+1)/(1+Assumptions!$B$10)^15+INDEX(Surface_Engine!$D$12:$D$72,$A1692+1)))*INDEX(Surface_Engine!$B$12:$B$72,$A1692+1)+I1693</f>
        <v>0</v>
      </c>
      <c r="J1692" s="48" t="n">
        <f aca="false">B1692*(IF($A1692&lt;$Q$1644,INDEX(Surface_Engine!$D$12:$D$72,$A1692+1)*(1+Assumptions!$B$24)+(Surface_Engine!Q251*12)*INDEX(Surface_Engine!$F$12:$F$72,$A1692+1)-(Surface_Engine!Q251*12),1000*12*INDEX(Surface_Engine!$C$12:$C$72,$A1692+1)/(1+Assumptions!$B$10)^15+INDEX(Surface_Engine!$D$12:$D$72,$A1692+1)*(1+Assumptions!$B$24)))*INDEX(Surface_Engine!$B$12:$B$72,$A1692+1)+J1693</f>
        <v>0</v>
      </c>
      <c r="K1692" s="12" t="n">
        <f aca="false">SQRT((IF(C1692&lt;=0,0,MAX(0,(B1692/C1692)*G1692/INDEX(Surface_Engine!$B$12:$B$72,$A1692+1)-F1692/INDEX(Surface_Engine!$B$12:$B$72,$A1692+1))))^2+(MAX(IF(D1692&lt;=0,0,MAX(0,(B1692/D1692)*H1692/INDEX(Surface_Engine!$B$12:$B$72,$A1692+1)-F1692/INDEX(Surface_Engine!$B$12:$B$72,$A1692+1))),IF(E1692&lt;=0,0,MAX(0,(B1692/E1692)*I1692/INDEX(Surface_Engine!$B$12:$B$72,$A1692+1)-F1692/INDEX(Surface_Engine!$B$12:$B$72,$A1692+1))),IF($A1692&lt;$Q$1644,MAX(0,-Assumptions!$B$22*(F1692/INDEX(Surface_Engine!$B$12:$B$72,$A1692+1))),0)))^2+(MAX(0,J1692/INDEX(Surface_Engine!$B$12:$B$72,$A1692+1)-(F1692/INDEX(Surface_Engine!$B$12:$B$72,$A1692+1))))^2+2*Assumptions!$B$26*(IF(C1692&lt;=0,0,MAX(0,(B1692/C1692)*G1692/INDEX(Surface_Engine!$B$12:$B$72,$A1692+1)-F1692/INDEX(Surface_Engine!$B$12:$B$72,$A1692+1))))*(MAX(IF(D1692&lt;=0,0,MAX(0,(B1692/D1692)*H1692/INDEX(Surface_Engine!$B$12:$B$72,$A1692+1)-F1692/INDEX(Surface_Engine!$B$12:$B$72,$A1692+1))),IF(E1692&lt;=0,0,MAX(0,(B1692/E1692)*I1692/INDEX(Surface_Engine!$B$12:$B$72,$A1692+1)-F1692/INDEX(Surface_Engine!$B$12:$B$72,$A1692+1))),IF($A1692&lt;$Q$1644,MAX(0,-Assumptions!$B$22*(F1692/INDEX(Surface_Engine!$B$12:$B$72,$A1692+1))),0)))+2*Assumptions!$B$27*(IF(C1692&lt;=0,0,MAX(0,(B1692/C1692)*G1692/INDEX(Surface_Engine!$B$12:$B$72,$A1692+1)-F1692/INDEX(Surface_Engine!$B$12:$B$72,$A1692+1))))*(MAX(0,J1692/INDEX(Surface_Engine!$B$12:$B$72,$A1692+1)-(F1692/INDEX(Surface_Engine!$B$12:$B$72,$A1692+1))))+2*Assumptions!$B$28*(MAX(IF(D1692&lt;=0,0,MAX(0,(B1692/D1692)*H1692/INDEX(Surface_Engine!$B$12:$B$72,$A1692+1)-F1692/INDEX(Surface_Engine!$B$12:$B$72,$A1692+1))),IF(E1692&lt;=0,0,MAX(0,(B1692/E1692)*I1692/INDEX(Surface_Engine!$B$12:$B$72,$A1692+1)-F1692/INDEX(Surface_Engine!$B$12:$B$72,$A1692+1))),IF($A1692&lt;$Q$1644,MAX(0,-Assumptions!$B$22*(F1692/INDEX(Surface_Engine!$B$12:$B$72,$A1692+1))),0)))*(MAX(0,J1692/INDEX(Surface_Engine!$B$12:$B$72,$A1692+1)-(F1692/INDEX(Surface_Engine!$B$12:$B$72,$A1692+1)))))</f>
        <v>0</v>
      </c>
      <c r="L1692" s="48" t="n">
        <f aca="false">K1692*INDEX(Surface_Engine!$B$12:$B$72,$A1692+1)+L1693</f>
        <v>0</v>
      </c>
      <c r="M1692" s="48" t="n">
        <f aca="false">M1691+B1691*(IF($A1691&lt;$Q$1644,(Surface_Engine!Q251*12)-(Surface_Engine!Q251*12)*INDEX(Surface_Engine!$F$12:$F$72,$A1691+1)-INDEX(Surface_Engine!$D$12:$D$72,$A1691+1),-(1000*12*INDEX(Surface_Engine!$C$12:$C$72,$A1691+1)/(1+Assumptions!$B$10)^15+INDEX(Surface_Engine!$D$12:$D$72,$A1691+1))))*INDEX(Surface_Engine!$B$12:$B$72,$A1691+1)</f>
        <v>715.984212462727</v>
      </c>
      <c r="N1692" s="12" t="n">
        <f aca="false">IF(B1692&lt;=0,0,MAX(0,(K1692+Assumptions!$B$29*L1692/INDEX(Surface_Engine!$B$12:$B$72,$A1692+1)-(M1692/INDEX(Surface_Engine!$B$12:$B$72,$A1692+1)-(F1692/INDEX(Surface_Engine!$B$12:$B$72,$A1692+1))))/B1692))</f>
        <v>0</v>
      </c>
    </row>
    <row r="1693" customFormat="false" ht="15" hidden="false" customHeight="true" outlineLevel="0" collapsed="false">
      <c r="A1693" s="1" t="n">
        <v>47</v>
      </c>
      <c r="B1693" s="32" t="n">
        <f aca="false">INDEX(Surface_Engine!$V$12:$V$72,$A1693+1)*IF($A1693&lt;$Q$1644,INDEX(Surface_Engine!$E$12:$E$72,$A1693+1),INDEX(Surface_Engine!$E$12:$E$72,$Q$1644+1))</f>
        <v>0</v>
      </c>
      <c r="C1693" s="32" t="n">
        <f aca="false">INDEX(Panel_Reserving!$H$8:$H$68,$A1693+1)*IF($A1693&lt;$Q$1644,INDEX(Surface_Engine!$E$12:$E$72,$A1693+1),INDEX(Surface_Engine!$E$12:$E$72,$Q$1644+1))</f>
        <v>0</v>
      </c>
      <c r="D1693" s="32" t="n">
        <f aca="false">INDEX(Surface_Engine!$V$12:$V$72,$A1693+1)*IF($A1693&lt;$Q$1644,INDEX(Surface_Engine!$Y$12:$Y$72,$A1693+1),INDEX(Surface_Engine!$Y$12:$Y$72,$Q$1644+1))</f>
        <v>0</v>
      </c>
      <c r="E1693" s="32" t="n">
        <f aca="false">INDEX(Surface_Engine!$V$12:$V$72,$A1693+1)*IF($A1693&lt;$Q$1644,INDEX(Surface_Engine!$Z$12:$Z$72,$A1693+1),INDEX(Surface_Engine!$Z$12:$Z$72,$Q$1644+1))</f>
        <v>0</v>
      </c>
      <c r="F1693" s="48" t="n">
        <f aca="false">B1693*(IF($A1693&lt;$Q$1644,INDEX(Surface_Engine!$D$12:$D$72,$A1693+1)+(Surface_Engine!Q251*12)*INDEX(Surface_Engine!$F$12:$F$72,$A1693+1)-(Surface_Engine!Q251*12),1000*12*INDEX(Surface_Engine!$C$12:$C$72,$A1693+1)/(1+Assumptions!$B$10)^15+INDEX(Surface_Engine!$D$12:$D$72,$A1693+1)))*INDEX(Surface_Engine!$B$12:$B$72,$A1693+1)+F1694</f>
        <v>0</v>
      </c>
      <c r="G1693" s="48" t="n">
        <f aca="false">C1693*(IF($A1693&lt;$Q$1644,INDEX(Surface_Engine!$D$12:$D$72,$A1693+1)+(Surface_Engine!Q251*12)*INDEX(Surface_Engine!$F$12:$F$72,$A1693+1)-(Surface_Engine!Q251*12),1000*12*INDEX(Surface_Engine!$C$12:$C$72,$A1693+1)/(1+Assumptions!$B$10)^15+INDEX(Surface_Engine!$D$12:$D$72,$A1693+1)))*INDEX(Surface_Engine!$B$12:$B$72,$A1693+1)+G1694</f>
        <v>0</v>
      </c>
      <c r="H1693" s="48" t="n">
        <f aca="false">D1693*(IF($A1693&lt;$Q$1644,INDEX(Surface_Engine!$D$12:$D$72,$A1693+1)+(Surface_Engine!Q251*12)*INDEX(Surface_Engine!$F$12:$F$72,$A1693+1)-(Surface_Engine!Q251*12),1000*12*INDEX(Surface_Engine!$C$12:$C$72,$A1693+1)/(1+Assumptions!$B$10)^15+INDEX(Surface_Engine!$D$12:$D$72,$A1693+1)))*INDEX(Surface_Engine!$B$12:$B$72,$A1693+1)+H1694</f>
        <v>0</v>
      </c>
      <c r="I1693" s="48" t="n">
        <f aca="false">E1693*(IF($A1693&lt;$Q$1644,INDEX(Surface_Engine!$D$12:$D$72,$A1693+1)+(Surface_Engine!Q251*12)*INDEX(Surface_Engine!$F$12:$F$72,$A1693+1)-(Surface_Engine!Q251*12),1000*12*INDEX(Surface_Engine!$C$12:$C$72,$A1693+1)/(1+Assumptions!$B$10)^15+INDEX(Surface_Engine!$D$12:$D$72,$A1693+1)))*INDEX(Surface_Engine!$B$12:$B$72,$A1693+1)+I1694</f>
        <v>0</v>
      </c>
      <c r="J1693" s="48" t="n">
        <f aca="false">B1693*(IF($A1693&lt;$Q$1644,INDEX(Surface_Engine!$D$12:$D$72,$A1693+1)*(1+Assumptions!$B$24)+(Surface_Engine!Q251*12)*INDEX(Surface_Engine!$F$12:$F$72,$A1693+1)-(Surface_Engine!Q251*12),1000*12*INDEX(Surface_Engine!$C$12:$C$72,$A1693+1)/(1+Assumptions!$B$10)^15+INDEX(Surface_Engine!$D$12:$D$72,$A1693+1)*(1+Assumptions!$B$24)))*INDEX(Surface_Engine!$B$12:$B$72,$A1693+1)+J1694</f>
        <v>0</v>
      </c>
      <c r="K1693" s="12" t="n">
        <f aca="false">SQRT((IF(C1693&lt;=0,0,MAX(0,(B1693/C1693)*G1693/INDEX(Surface_Engine!$B$12:$B$72,$A1693+1)-F1693/INDEX(Surface_Engine!$B$12:$B$72,$A1693+1))))^2+(MAX(IF(D1693&lt;=0,0,MAX(0,(B1693/D1693)*H1693/INDEX(Surface_Engine!$B$12:$B$72,$A1693+1)-F1693/INDEX(Surface_Engine!$B$12:$B$72,$A1693+1))),IF(E1693&lt;=0,0,MAX(0,(B1693/E1693)*I1693/INDEX(Surface_Engine!$B$12:$B$72,$A1693+1)-F1693/INDEX(Surface_Engine!$B$12:$B$72,$A1693+1))),IF($A1693&lt;$Q$1644,MAX(0,-Assumptions!$B$22*(F1693/INDEX(Surface_Engine!$B$12:$B$72,$A1693+1))),0)))^2+(MAX(0,J1693/INDEX(Surface_Engine!$B$12:$B$72,$A1693+1)-(F1693/INDEX(Surface_Engine!$B$12:$B$72,$A1693+1))))^2+2*Assumptions!$B$26*(IF(C1693&lt;=0,0,MAX(0,(B1693/C1693)*G1693/INDEX(Surface_Engine!$B$12:$B$72,$A1693+1)-F1693/INDEX(Surface_Engine!$B$12:$B$72,$A1693+1))))*(MAX(IF(D1693&lt;=0,0,MAX(0,(B1693/D1693)*H1693/INDEX(Surface_Engine!$B$12:$B$72,$A1693+1)-F1693/INDEX(Surface_Engine!$B$12:$B$72,$A1693+1))),IF(E1693&lt;=0,0,MAX(0,(B1693/E1693)*I1693/INDEX(Surface_Engine!$B$12:$B$72,$A1693+1)-F1693/INDEX(Surface_Engine!$B$12:$B$72,$A1693+1))),IF($A1693&lt;$Q$1644,MAX(0,-Assumptions!$B$22*(F1693/INDEX(Surface_Engine!$B$12:$B$72,$A1693+1))),0)))+2*Assumptions!$B$27*(IF(C1693&lt;=0,0,MAX(0,(B1693/C1693)*G1693/INDEX(Surface_Engine!$B$12:$B$72,$A1693+1)-F1693/INDEX(Surface_Engine!$B$12:$B$72,$A1693+1))))*(MAX(0,J1693/INDEX(Surface_Engine!$B$12:$B$72,$A1693+1)-(F1693/INDEX(Surface_Engine!$B$12:$B$72,$A1693+1))))+2*Assumptions!$B$28*(MAX(IF(D1693&lt;=0,0,MAX(0,(B1693/D1693)*H1693/INDEX(Surface_Engine!$B$12:$B$72,$A1693+1)-F1693/INDEX(Surface_Engine!$B$12:$B$72,$A1693+1))),IF(E1693&lt;=0,0,MAX(0,(B1693/E1693)*I1693/INDEX(Surface_Engine!$B$12:$B$72,$A1693+1)-F1693/INDEX(Surface_Engine!$B$12:$B$72,$A1693+1))),IF($A1693&lt;$Q$1644,MAX(0,-Assumptions!$B$22*(F1693/INDEX(Surface_Engine!$B$12:$B$72,$A1693+1))),0)))*(MAX(0,J1693/INDEX(Surface_Engine!$B$12:$B$72,$A1693+1)-(F1693/INDEX(Surface_Engine!$B$12:$B$72,$A1693+1)))))</f>
        <v>0</v>
      </c>
      <c r="L1693" s="48" t="n">
        <f aca="false">K1693*INDEX(Surface_Engine!$B$12:$B$72,$A1693+1)+L1694</f>
        <v>0</v>
      </c>
      <c r="M1693" s="48" t="n">
        <f aca="false">M1692+B1692*(IF($A1692&lt;$Q$1644,(Surface_Engine!Q251*12)-(Surface_Engine!Q251*12)*INDEX(Surface_Engine!$F$12:$F$72,$A1692+1)-INDEX(Surface_Engine!$D$12:$D$72,$A1692+1),-(1000*12*INDEX(Surface_Engine!$C$12:$C$72,$A1692+1)/(1+Assumptions!$B$10)^15+INDEX(Surface_Engine!$D$12:$D$72,$A1692+1))))*INDEX(Surface_Engine!$B$12:$B$72,$A1692+1)</f>
        <v>715.984212462727</v>
      </c>
      <c r="N1693" s="12" t="n">
        <f aca="false">IF(B1693&lt;=0,0,MAX(0,(K1693+Assumptions!$B$29*L1693/INDEX(Surface_Engine!$B$12:$B$72,$A1693+1)-(M1693/INDEX(Surface_Engine!$B$12:$B$72,$A1693+1)-(F1693/INDEX(Surface_Engine!$B$12:$B$72,$A1693+1))))/B1693))</f>
        <v>0</v>
      </c>
    </row>
    <row r="1694" customFormat="false" ht="15" hidden="false" customHeight="true" outlineLevel="0" collapsed="false">
      <c r="A1694" s="1" t="n">
        <v>48</v>
      </c>
      <c r="B1694" s="32" t="n">
        <f aca="false">INDEX(Surface_Engine!$V$12:$V$72,$A1694+1)*IF($A1694&lt;$Q$1644,INDEX(Surface_Engine!$E$12:$E$72,$A1694+1),INDEX(Surface_Engine!$E$12:$E$72,$Q$1644+1))</f>
        <v>0</v>
      </c>
      <c r="C1694" s="32" t="n">
        <f aca="false">INDEX(Panel_Reserving!$H$8:$H$68,$A1694+1)*IF($A1694&lt;$Q$1644,INDEX(Surface_Engine!$E$12:$E$72,$A1694+1),INDEX(Surface_Engine!$E$12:$E$72,$Q$1644+1))</f>
        <v>0</v>
      </c>
      <c r="D1694" s="32" t="n">
        <f aca="false">INDEX(Surface_Engine!$V$12:$V$72,$A1694+1)*IF($A1694&lt;$Q$1644,INDEX(Surface_Engine!$Y$12:$Y$72,$A1694+1),INDEX(Surface_Engine!$Y$12:$Y$72,$Q$1644+1))</f>
        <v>0</v>
      </c>
      <c r="E1694" s="32" t="n">
        <f aca="false">INDEX(Surface_Engine!$V$12:$V$72,$A1694+1)*IF($A1694&lt;$Q$1644,INDEX(Surface_Engine!$Z$12:$Z$72,$A1694+1),INDEX(Surface_Engine!$Z$12:$Z$72,$Q$1644+1))</f>
        <v>0</v>
      </c>
      <c r="F1694" s="48" t="n">
        <f aca="false">B1694*(IF($A1694&lt;$Q$1644,INDEX(Surface_Engine!$D$12:$D$72,$A1694+1)+(Surface_Engine!Q251*12)*INDEX(Surface_Engine!$F$12:$F$72,$A1694+1)-(Surface_Engine!Q251*12),1000*12*INDEX(Surface_Engine!$C$12:$C$72,$A1694+1)/(1+Assumptions!$B$10)^15+INDEX(Surface_Engine!$D$12:$D$72,$A1694+1)))*INDEX(Surface_Engine!$B$12:$B$72,$A1694+1)+F1695</f>
        <v>0</v>
      </c>
      <c r="G1694" s="48" t="n">
        <f aca="false">C1694*(IF($A1694&lt;$Q$1644,INDEX(Surface_Engine!$D$12:$D$72,$A1694+1)+(Surface_Engine!Q251*12)*INDEX(Surface_Engine!$F$12:$F$72,$A1694+1)-(Surface_Engine!Q251*12),1000*12*INDEX(Surface_Engine!$C$12:$C$72,$A1694+1)/(1+Assumptions!$B$10)^15+INDEX(Surface_Engine!$D$12:$D$72,$A1694+1)))*INDEX(Surface_Engine!$B$12:$B$72,$A1694+1)+G1695</f>
        <v>0</v>
      </c>
      <c r="H1694" s="48" t="n">
        <f aca="false">D1694*(IF($A1694&lt;$Q$1644,INDEX(Surface_Engine!$D$12:$D$72,$A1694+1)+(Surface_Engine!Q251*12)*INDEX(Surface_Engine!$F$12:$F$72,$A1694+1)-(Surface_Engine!Q251*12),1000*12*INDEX(Surface_Engine!$C$12:$C$72,$A1694+1)/(1+Assumptions!$B$10)^15+INDEX(Surface_Engine!$D$12:$D$72,$A1694+1)))*INDEX(Surface_Engine!$B$12:$B$72,$A1694+1)+H1695</f>
        <v>0</v>
      </c>
      <c r="I1694" s="48" t="n">
        <f aca="false">E1694*(IF($A1694&lt;$Q$1644,INDEX(Surface_Engine!$D$12:$D$72,$A1694+1)+(Surface_Engine!Q251*12)*INDEX(Surface_Engine!$F$12:$F$72,$A1694+1)-(Surface_Engine!Q251*12),1000*12*INDEX(Surface_Engine!$C$12:$C$72,$A1694+1)/(1+Assumptions!$B$10)^15+INDEX(Surface_Engine!$D$12:$D$72,$A1694+1)))*INDEX(Surface_Engine!$B$12:$B$72,$A1694+1)+I1695</f>
        <v>0</v>
      </c>
      <c r="J1694" s="48" t="n">
        <f aca="false">B1694*(IF($A1694&lt;$Q$1644,INDEX(Surface_Engine!$D$12:$D$72,$A1694+1)*(1+Assumptions!$B$24)+(Surface_Engine!Q251*12)*INDEX(Surface_Engine!$F$12:$F$72,$A1694+1)-(Surface_Engine!Q251*12),1000*12*INDEX(Surface_Engine!$C$12:$C$72,$A1694+1)/(1+Assumptions!$B$10)^15+INDEX(Surface_Engine!$D$12:$D$72,$A1694+1)*(1+Assumptions!$B$24)))*INDEX(Surface_Engine!$B$12:$B$72,$A1694+1)+J1695</f>
        <v>0</v>
      </c>
      <c r="K1694" s="12" t="n">
        <f aca="false">SQRT((IF(C1694&lt;=0,0,MAX(0,(B1694/C1694)*G1694/INDEX(Surface_Engine!$B$12:$B$72,$A1694+1)-F1694/INDEX(Surface_Engine!$B$12:$B$72,$A1694+1))))^2+(MAX(IF(D1694&lt;=0,0,MAX(0,(B1694/D1694)*H1694/INDEX(Surface_Engine!$B$12:$B$72,$A1694+1)-F1694/INDEX(Surface_Engine!$B$12:$B$72,$A1694+1))),IF(E1694&lt;=0,0,MAX(0,(B1694/E1694)*I1694/INDEX(Surface_Engine!$B$12:$B$72,$A1694+1)-F1694/INDEX(Surface_Engine!$B$12:$B$72,$A1694+1))),IF($A1694&lt;$Q$1644,MAX(0,-Assumptions!$B$22*(F1694/INDEX(Surface_Engine!$B$12:$B$72,$A1694+1))),0)))^2+(MAX(0,J1694/INDEX(Surface_Engine!$B$12:$B$72,$A1694+1)-(F1694/INDEX(Surface_Engine!$B$12:$B$72,$A1694+1))))^2+2*Assumptions!$B$26*(IF(C1694&lt;=0,0,MAX(0,(B1694/C1694)*G1694/INDEX(Surface_Engine!$B$12:$B$72,$A1694+1)-F1694/INDEX(Surface_Engine!$B$12:$B$72,$A1694+1))))*(MAX(IF(D1694&lt;=0,0,MAX(0,(B1694/D1694)*H1694/INDEX(Surface_Engine!$B$12:$B$72,$A1694+1)-F1694/INDEX(Surface_Engine!$B$12:$B$72,$A1694+1))),IF(E1694&lt;=0,0,MAX(0,(B1694/E1694)*I1694/INDEX(Surface_Engine!$B$12:$B$72,$A1694+1)-F1694/INDEX(Surface_Engine!$B$12:$B$72,$A1694+1))),IF($A1694&lt;$Q$1644,MAX(0,-Assumptions!$B$22*(F1694/INDEX(Surface_Engine!$B$12:$B$72,$A1694+1))),0)))+2*Assumptions!$B$27*(IF(C1694&lt;=0,0,MAX(0,(B1694/C1694)*G1694/INDEX(Surface_Engine!$B$12:$B$72,$A1694+1)-F1694/INDEX(Surface_Engine!$B$12:$B$72,$A1694+1))))*(MAX(0,J1694/INDEX(Surface_Engine!$B$12:$B$72,$A1694+1)-(F1694/INDEX(Surface_Engine!$B$12:$B$72,$A1694+1))))+2*Assumptions!$B$28*(MAX(IF(D1694&lt;=0,0,MAX(0,(B1694/D1694)*H1694/INDEX(Surface_Engine!$B$12:$B$72,$A1694+1)-F1694/INDEX(Surface_Engine!$B$12:$B$72,$A1694+1))),IF(E1694&lt;=0,0,MAX(0,(B1694/E1694)*I1694/INDEX(Surface_Engine!$B$12:$B$72,$A1694+1)-F1694/INDEX(Surface_Engine!$B$12:$B$72,$A1694+1))),IF($A1694&lt;$Q$1644,MAX(0,-Assumptions!$B$22*(F1694/INDEX(Surface_Engine!$B$12:$B$72,$A1694+1))),0)))*(MAX(0,J1694/INDEX(Surface_Engine!$B$12:$B$72,$A1694+1)-(F1694/INDEX(Surface_Engine!$B$12:$B$72,$A1694+1)))))</f>
        <v>0</v>
      </c>
      <c r="L1694" s="48" t="n">
        <f aca="false">K1694*INDEX(Surface_Engine!$B$12:$B$72,$A1694+1)+L1695</f>
        <v>0</v>
      </c>
      <c r="M1694" s="48" t="n">
        <f aca="false">M1693+B1693*(IF($A1693&lt;$Q$1644,(Surface_Engine!Q251*12)-(Surface_Engine!Q251*12)*INDEX(Surface_Engine!$F$12:$F$72,$A1693+1)-INDEX(Surface_Engine!$D$12:$D$72,$A1693+1),-(1000*12*INDEX(Surface_Engine!$C$12:$C$72,$A1693+1)/(1+Assumptions!$B$10)^15+INDEX(Surface_Engine!$D$12:$D$72,$A1693+1))))*INDEX(Surface_Engine!$B$12:$B$72,$A1693+1)</f>
        <v>715.984212462727</v>
      </c>
      <c r="N1694" s="12" t="n">
        <f aca="false">IF(B1694&lt;=0,0,MAX(0,(K1694+Assumptions!$B$29*L1694/INDEX(Surface_Engine!$B$12:$B$72,$A1694+1)-(M1694/INDEX(Surface_Engine!$B$12:$B$72,$A1694+1)-(F1694/INDEX(Surface_Engine!$B$12:$B$72,$A1694+1))))/B1694))</f>
        <v>0</v>
      </c>
    </row>
    <row r="1695" customFormat="false" ht="15" hidden="false" customHeight="true" outlineLevel="0" collapsed="false">
      <c r="A1695" s="1" t="n">
        <v>49</v>
      </c>
      <c r="B1695" s="32" t="n">
        <f aca="false">INDEX(Surface_Engine!$V$12:$V$72,$A1695+1)*IF($A1695&lt;$Q$1644,INDEX(Surface_Engine!$E$12:$E$72,$A1695+1),INDEX(Surface_Engine!$E$12:$E$72,$Q$1644+1))</f>
        <v>0</v>
      </c>
      <c r="C1695" s="32" t="n">
        <f aca="false">INDEX(Panel_Reserving!$H$8:$H$68,$A1695+1)*IF($A1695&lt;$Q$1644,INDEX(Surface_Engine!$E$12:$E$72,$A1695+1),INDEX(Surface_Engine!$E$12:$E$72,$Q$1644+1))</f>
        <v>0</v>
      </c>
      <c r="D1695" s="32" t="n">
        <f aca="false">INDEX(Surface_Engine!$V$12:$V$72,$A1695+1)*IF($A1695&lt;$Q$1644,INDEX(Surface_Engine!$Y$12:$Y$72,$A1695+1),INDEX(Surface_Engine!$Y$12:$Y$72,$Q$1644+1))</f>
        <v>0</v>
      </c>
      <c r="E1695" s="32" t="n">
        <f aca="false">INDEX(Surface_Engine!$V$12:$V$72,$A1695+1)*IF($A1695&lt;$Q$1644,INDEX(Surface_Engine!$Z$12:$Z$72,$A1695+1),INDEX(Surface_Engine!$Z$12:$Z$72,$Q$1644+1))</f>
        <v>0</v>
      </c>
      <c r="F1695" s="48" t="n">
        <f aca="false">B1695*(IF($A1695&lt;$Q$1644,INDEX(Surface_Engine!$D$12:$D$72,$A1695+1)+(Surface_Engine!Q251*12)*INDEX(Surface_Engine!$F$12:$F$72,$A1695+1)-(Surface_Engine!Q251*12),1000*12*INDEX(Surface_Engine!$C$12:$C$72,$A1695+1)/(1+Assumptions!$B$10)^15+INDEX(Surface_Engine!$D$12:$D$72,$A1695+1)))*INDEX(Surface_Engine!$B$12:$B$72,$A1695+1)+F1696</f>
        <v>0</v>
      </c>
      <c r="G1695" s="48" t="n">
        <f aca="false">C1695*(IF($A1695&lt;$Q$1644,INDEX(Surface_Engine!$D$12:$D$72,$A1695+1)+(Surface_Engine!Q251*12)*INDEX(Surface_Engine!$F$12:$F$72,$A1695+1)-(Surface_Engine!Q251*12),1000*12*INDEX(Surface_Engine!$C$12:$C$72,$A1695+1)/(1+Assumptions!$B$10)^15+INDEX(Surface_Engine!$D$12:$D$72,$A1695+1)))*INDEX(Surface_Engine!$B$12:$B$72,$A1695+1)+G1696</f>
        <v>0</v>
      </c>
      <c r="H1695" s="48" t="n">
        <f aca="false">D1695*(IF($A1695&lt;$Q$1644,INDEX(Surface_Engine!$D$12:$D$72,$A1695+1)+(Surface_Engine!Q251*12)*INDEX(Surface_Engine!$F$12:$F$72,$A1695+1)-(Surface_Engine!Q251*12),1000*12*INDEX(Surface_Engine!$C$12:$C$72,$A1695+1)/(1+Assumptions!$B$10)^15+INDEX(Surface_Engine!$D$12:$D$72,$A1695+1)))*INDEX(Surface_Engine!$B$12:$B$72,$A1695+1)+H1696</f>
        <v>0</v>
      </c>
      <c r="I1695" s="48" t="n">
        <f aca="false">E1695*(IF($A1695&lt;$Q$1644,INDEX(Surface_Engine!$D$12:$D$72,$A1695+1)+(Surface_Engine!Q251*12)*INDEX(Surface_Engine!$F$12:$F$72,$A1695+1)-(Surface_Engine!Q251*12),1000*12*INDEX(Surface_Engine!$C$12:$C$72,$A1695+1)/(1+Assumptions!$B$10)^15+INDEX(Surface_Engine!$D$12:$D$72,$A1695+1)))*INDEX(Surface_Engine!$B$12:$B$72,$A1695+1)+I1696</f>
        <v>0</v>
      </c>
      <c r="J1695" s="48" t="n">
        <f aca="false">B1695*(IF($A1695&lt;$Q$1644,INDEX(Surface_Engine!$D$12:$D$72,$A1695+1)*(1+Assumptions!$B$24)+(Surface_Engine!Q251*12)*INDEX(Surface_Engine!$F$12:$F$72,$A1695+1)-(Surface_Engine!Q251*12),1000*12*INDEX(Surface_Engine!$C$12:$C$72,$A1695+1)/(1+Assumptions!$B$10)^15+INDEX(Surface_Engine!$D$12:$D$72,$A1695+1)*(1+Assumptions!$B$24)))*INDEX(Surface_Engine!$B$12:$B$72,$A1695+1)+J1696</f>
        <v>0</v>
      </c>
      <c r="K1695" s="12" t="n">
        <f aca="false">SQRT((IF(C1695&lt;=0,0,MAX(0,(B1695/C1695)*G1695/INDEX(Surface_Engine!$B$12:$B$72,$A1695+1)-F1695/INDEX(Surface_Engine!$B$12:$B$72,$A1695+1))))^2+(MAX(IF(D1695&lt;=0,0,MAX(0,(B1695/D1695)*H1695/INDEX(Surface_Engine!$B$12:$B$72,$A1695+1)-F1695/INDEX(Surface_Engine!$B$12:$B$72,$A1695+1))),IF(E1695&lt;=0,0,MAX(0,(B1695/E1695)*I1695/INDEX(Surface_Engine!$B$12:$B$72,$A1695+1)-F1695/INDEX(Surface_Engine!$B$12:$B$72,$A1695+1))),IF($A1695&lt;$Q$1644,MAX(0,-Assumptions!$B$22*(F1695/INDEX(Surface_Engine!$B$12:$B$72,$A1695+1))),0)))^2+(MAX(0,J1695/INDEX(Surface_Engine!$B$12:$B$72,$A1695+1)-(F1695/INDEX(Surface_Engine!$B$12:$B$72,$A1695+1))))^2+2*Assumptions!$B$26*(IF(C1695&lt;=0,0,MAX(0,(B1695/C1695)*G1695/INDEX(Surface_Engine!$B$12:$B$72,$A1695+1)-F1695/INDEX(Surface_Engine!$B$12:$B$72,$A1695+1))))*(MAX(IF(D1695&lt;=0,0,MAX(0,(B1695/D1695)*H1695/INDEX(Surface_Engine!$B$12:$B$72,$A1695+1)-F1695/INDEX(Surface_Engine!$B$12:$B$72,$A1695+1))),IF(E1695&lt;=0,0,MAX(0,(B1695/E1695)*I1695/INDEX(Surface_Engine!$B$12:$B$72,$A1695+1)-F1695/INDEX(Surface_Engine!$B$12:$B$72,$A1695+1))),IF($A1695&lt;$Q$1644,MAX(0,-Assumptions!$B$22*(F1695/INDEX(Surface_Engine!$B$12:$B$72,$A1695+1))),0)))+2*Assumptions!$B$27*(IF(C1695&lt;=0,0,MAX(0,(B1695/C1695)*G1695/INDEX(Surface_Engine!$B$12:$B$72,$A1695+1)-F1695/INDEX(Surface_Engine!$B$12:$B$72,$A1695+1))))*(MAX(0,J1695/INDEX(Surface_Engine!$B$12:$B$72,$A1695+1)-(F1695/INDEX(Surface_Engine!$B$12:$B$72,$A1695+1))))+2*Assumptions!$B$28*(MAX(IF(D1695&lt;=0,0,MAX(0,(B1695/D1695)*H1695/INDEX(Surface_Engine!$B$12:$B$72,$A1695+1)-F1695/INDEX(Surface_Engine!$B$12:$B$72,$A1695+1))),IF(E1695&lt;=0,0,MAX(0,(B1695/E1695)*I1695/INDEX(Surface_Engine!$B$12:$B$72,$A1695+1)-F1695/INDEX(Surface_Engine!$B$12:$B$72,$A1695+1))),IF($A1695&lt;$Q$1644,MAX(0,-Assumptions!$B$22*(F1695/INDEX(Surface_Engine!$B$12:$B$72,$A1695+1))),0)))*(MAX(0,J1695/INDEX(Surface_Engine!$B$12:$B$72,$A1695+1)-(F1695/INDEX(Surface_Engine!$B$12:$B$72,$A1695+1)))))</f>
        <v>0</v>
      </c>
      <c r="L1695" s="48" t="n">
        <f aca="false">K1695*INDEX(Surface_Engine!$B$12:$B$72,$A1695+1)+L1696</f>
        <v>0</v>
      </c>
      <c r="M1695" s="48" t="n">
        <f aca="false">M1694+B1694*(IF($A1694&lt;$Q$1644,(Surface_Engine!Q251*12)-(Surface_Engine!Q251*12)*INDEX(Surface_Engine!$F$12:$F$72,$A1694+1)-INDEX(Surface_Engine!$D$12:$D$72,$A1694+1),-(1000*12*INDEX(Surface_Engine!$C$12:$C$72,$A1694+1)/(1+Assumptions!$B$10)^15+INDEX(Surface_Engine!$D$12:$D$72,$A1694+1))))*INDEX(Surface_Engine!$B$12:$B$72,$A1694+1)</f>
        <v>715.984212462727</v>
      </c>
      <c r="N1695" s="12" t="n">
        <f aca="false">IF(B1695&lt;=0,0,MAX(0,(K1695+Assumptions!$B$29*L1695/INDEX(Surface_Engine!$B$12:$B$72,$A1695+1)-(M1695/INDEX(Surface_Engine!$B$12:$B$72,$A1695+1)-(F1695/INDEX(Surface_Engine!$B$12:$B$72,$A1695+1))))/B1695))</f>
        <v>0</v>
      </c>
    </row>
    <row r="1696" customFormat="false" ht="15" hidden="false" customHeight="true" outlineLevel="0" collapsed="false">
      <c r="A1696" s="1" t="n">
        <v>50</v>
      </c>
      <c r="B1696" s="32" t="n">
        <f aca="false">INDEX(Surface_Engine!$V$12:$V$72,$A1696+1)*IF($A1696&lt;$Q$1644,INDEX(Surface_Engine!$E$12:$E$72,$A1696+1),INDEX(Surface_Engine!$E$12:$E$72,$Q$1644+1))</f>
        <v>0</v>
      </c>
      <c r="C1696" s="32" t="n">
        <f aca="false">INDEX(Panel_Reserving!$H$8:$H$68,$A1696+1)*IF($A1696&lt;$Q$1644,INDEX(Surface_Engine!$E$12:$E$72,$A1696+1),INDEX(Surface_Engine!$E$12:$E$72,$Q$1644+1))</f>
        <v>0</v>
      </c>
      <c r="D1696" s="32" t="n">
        <f aca="false">INDEX(Surface_Engine!$V$12:$V$72,$A1696+1)*IF($A1696&lt;$Q$1644,INDEX(Surface_Engine!$Y$12:$Y$72,$A1696+1),INDEX(Surface_Engine!$Y$12:$Y$72,$Q$1644+1))</f>
        <v>0</v>
      </c>
      <c r="E1696" s="32" t="n">
        <f aca="false">INDEX(Surface_Engine!$V$12:$V$72,$A1696+1)*IF($A1696&lt;$Q$1644,INDEX(Surface_Engine!$Z$12:$Z$72,$A1696+1),INDEX(Surface_Engine!$Z$12:$Z$72,$Q$1644+1))</f>
        <v>0</v>
      </c>
      <c r="F1696" s="48" t="n">
        <f aca="false">B1696*(IF($A1696&lt;$Q$1644,INDEX(Surface_Engine!$D$12:$D$72,$A1696+1)+(Surface_Engine!Q251*12)*INDEX(Surface_Engine!$F$12:$F$72,$A1696+1)-(Surface_Engine!Q251*12),1000*12*INDEX(Surface_Engine!$C$12:$C$72,$A1696+1)/(1+Assumptions!$B$10)^15+INDEX(Surface_Engine!$D$12:$D$72,$A1696+1)))*INDEX(Surface_Engine!$B$12:$B$72,$A1696+1)+F1697</f>
        <v>0</v>
      </c>
      <c r="G1696" s="48" t="n">
        <f aca="false">C1696*(IF($A1696&lt;$Q$1644,INDEX(Surface_Engine!$D$12:$D$72,$A1696+1)+(Surface_Engine!Q251*12)*INDEX(Surface_Engine!$F$12:$F$72,$A1696+1)-(Surface_Engine!Q251*12),1000*12*INDEX(Surface_Engine!$C$12:$C$72,$A1696+1)/(1+Assumptions!$B$10)^15+INDEX(Surface_Engine!$D$12:$D$72,$A1696+1)))*INDEX(Surface_Engine!$B$12:$B$72,$A1696+1)+G1697</f>
        <v>0</v>
      </c>
      <c r="H1696" s="48" t="n">
        <f aca="false">D1696*(IF($A1696&lt;$Q$1644,INDEX(Surface_Engine!$D$12:$D$72,$A1696+1)+(Surface_Engine!Q251*12)*INDEX(Surface_Engine!$F$12:$F$72,$A1696+1)-(Surface_Engine!Q251*12),1000*12*INDEX(Surface_Engine!$C$12:$C$72,$A1696+1)/(1+Assumptions!$B$10)^15+INDEX(Surface_Engine!$D$12:$D$72,$A1696+1)))*INDEX(Surface_Engine!$B$12:$B$72,$A1696+1)+H1697</f>
        <v>0</v>
      </c>
      <c r="I1696" s="48" t="n">
        <f aca="false">E1696*(IF($A1696&lt;$Q$1644,INDEX(Surface_Engine!$D$12:$D$72,$A1696+1)+(Surface_Engine!Q251*12)*INDEX(Surface_Engine!$F$12:$F$72,$A1696+1)-(Surface_Engine!Q251*12),1000*12*INDEX(Surface_Engine!$C$12:$C$72,$A1696+1)/(1+Assumptions!$B$10)^15+INDEX(Surface_Engine!$D$12:$D$72,$A1696+1)))*INDEX(Surface_Engine!$B$12:$B$72,$A1696+1)+I1697</f>
        <v>0</v>
      </c>
      <c r="J1696" s="48" t="n">
        <f aca="false">B1696*(IF($A1696&lt;$Q$1644,INDEX(Surface_Engine!$D$12:$D$72,$A1696+1)*(1+Assumptions!$B$24)+(Surface_Engine!Q251*12)*INDEX(Surface_Engine!$F$12:$F$72,$A1696+1)-(Surface_Engine!Q251*12),1000*12*INDEX(Surface_Engine!$C$12:$C$72,$A1696+1)/(1+Assumptions!$B$10)^15+INDEX(Surface_Engine!$D$12:$D$72,$A1696+1)*(1+Assumptions!$B$24)))*INDEX(Surface_Engine!$B$12:$B$72,$A1696+1)+J1697</f>
        <v>0</v>
      </c>
      <c r="K1696" s="12" t="n">
        <f aca="false">SQRT((IF(C1696&lt;=0,0,MAX(0,(B1696/C1696)*G1696/INDEX(Surface_Engine!$B$12:$B$72,$A1696+1)-F1696/INDEX(Surface_Engine!$B$12:$B$72,$A1696+1))))^2+(MAX(IF(D1696&lt;=0,0,MAX(0,(B1696/D1696)*H1696/INDEX(Surface_Engine!$B$12:$B$72,$A1696+1)-F1696/INDEX(Surface_Engine!$B$12:$B$72,$A1696+1))),IF(E1696&lt;=0,0,MAX(0,(B1696/E1696)*I1696/INDEX(Surface_Engine!$B$12:$B$72,$A1696+1)-F1696/INDEX(Surface_Engine!$B$12:$B$72,$A1696+1))),IF($A1696&lt;$Q$1644,MAX(0,-Assumptions!$B$22*(F1696/INDEX(Surface_Engine!$B$12:$B$72,$A1696+1))),0)))^2+(MAX(0,J1696/INDEX(Surface_Engine!$B$12:$B$72,$A1696+1)-(F1696/INDEX(Surface_Engine!$B$12:$B$72,$A1696+1))))^2+2*Assumptions!$B$26*(IF(C1696&lt;=0,0,MAX(0,(B1696/C1696)*G1696/INDEX(Surface_Engine!$B$12:$B$72,$A1696+1)-F1696/INDEX(Surface_Engine!$B$12:$B$72,$A1696+1))))*(MAX(IF(D1696&lt;=0,0,MAX(0,(B1696/D1696)*H1696/INDEX(Surface_Engine!$B$12:$B$72,$A1696+1)-F1696/INDEX(Surface_Engine!$B$12:$B$72,$A1696+1))),IF(E1696&lt;=0,0,MAX(0,(B1696/E1696)*I1696/INDEX(Surface_Engine!$B$12:$B$72,$A1696+1)-F1696/INDEX(Surface_Engine!$B$12:$B$72,$A1696+1))),IF($A1696&lt;$Q$1644,MAX(0,-Assumptions!$B$22*(F1696/INDEX(Surface_Engine!$B$12:$B$72,$A1696+1))),0)))+2*Assumptions!$B$27*(IF(C1696&lt;=0,0,MAX(0,(B1696/C1696)*G1696/INDEX(Surface_Engine!$B$12:$B$72,$A1696+1)-F1696/INDEX(Surface_Engine!$B$12:$B$72,$A1696+1))))*(MAX(0,J1696/INDEX(Surface_Engine!$B$12:$B$72,$A1696+1)-(F1696/INDEX(Surface_Engine!$B$12:$B$72,$A1696+1))))+2*Assumptions!$B$28*(MAX(IF(D1696&lt;=0,0,MAX(0,(B1696/D1696)*H1696/INDEX(Surface_Engine!$B$12:$B$72,$A1696+1)-F1696/INDEX(Surface_Engine!$B$12:$B$72,$A1696+1))),IF(E1696&lt;=0,0,MAX(0,(B1696/E1696)*I1696/INDEX(Surface_Engine!$B$12:$B$72,$A1696+1)-F1696/INDEX(Surface_Engine!$B$12:$B$72,$A1696+1))),IF($A1696&lt;$Q$1644,MAX(0,-Assumptions!$B$22*(F1696/INDEX(Surface_Engine!$B$12:$B$72,$A1696+1))),0)))*(MAX(0,J1696/INDEX(Surface_Engine!$B$12:$B$72,$A1696+1)-(F1696/INDEX(Surface_Engine!$B$12:$B$72,$A1696+1)))))</f>
        <v>0</v>
      </c>
      <c r="L1696" s="48" t="n">
        <f aca="false">K1696*INDEX(Surface_Engine!$B$12:$B$72,$A1696+1)+L1697</f>
        <v>0</v>
      </c>
      <c r="M1696" s="48" t="n">
        <f aca="false">M1695+B1695*(IF($A1695&lt;$Q$1644,(Surface_Engine!Q251*12)-(Surface_Engine!Q251*12)*INDEX(Surface_Engine!$F$12:$F$72,$A1695+1)-INDEX(Surface_Engine!$D$12:$D$72,$A1695+1),-(1000*12*INDEX(Surface_Engine!$C$12:$C$72,$A1695+1)/(1+Assumptions!$B$10)^15+INDEX(Surface_Engine!$D$12:$D$72,$A1695+1))))*INDEX(Surface_Engine!$B$12:$B$72,$A1695+1)</f>
        <v>715.984212462727</v>
      </c>
      <c r="N1696" s="12" t="n">
        <f aca="false">IF(B1696&lt;=0,0,MAX(0,(K1696+Assumptions!$B$29*L1696/INDEX(Surface_Engine!$B$12:$B$72,$A1696+1)-(M1696/INDEX(Surface_Engine!$B$12:$B$72,$A1696+1)-(F1696/INDEX(Surface_Engine!$B$12:$B$72,$A1696+1))))/B1696))</f>
        <v>0</v>
      </c>
    </row>
    <row r="1697" customFormat="false" ht="15" hidden="false" customHeight="true" outlineLevel="0" collapsed="false">
      <c r="A1697" s="1" t="n">
        <v>51</v>
      </c>
      <c r="B1697" s="32" t="n">
        <f aca="false">INDEX(Surface_Engine!$V$12:$V$72,$A1697+1)*IF($A1697&lt;$Q$1644,INDEX(Surface_Engine!$E$12:$E$72,$A1697+1),INDEX(Surface_Engine!$E$12:$E$72,$Q$1644+1))</f>
        <v>0</v>
      </c>
      <c r="C1697" s="32" t="n">
        <f aca="false">INDEX(Panel_Reserving!$H$8:$H$68,$A1697+1)*IF($A1697&lt;$Q$1644,INDEX(Surface_Engine!$E$12:$E$72,$A1697+1),INDEX(Surface_Engine!$E$12:$E$72,$Q$1644+1))</f>
        <v>0</v>
      </c>
      <c r="D1697" s="32" t="n">
        <f aca="false">INDEX(Surface_Engine!$V$12:$V$72,$A1697+1)*IF($A1697&lt;$Q$1644,INDEX(Surface_Engine!$Y$12:$Y$72,$A1697+1),INDEX(Surface_Engine!$Y$12:$Y$72,$Q$1644+1))</f>
        <v>0</v>
      </c>
      <c r="E1697" s="32" t="n">
        <f aca="false">INDEX(Surface_Engine!$V$12:$V$72,$A1697+1)*IF($A1697&lt;$Q$1644,INDEX(Surface_Engine!$Z$12:$Z$72,$A1697+1),INDEX(Surface_Engine!$Z$12:$Z$72,$Q$1644+1))</f>
        <v>0</v>
      </c>
      <c r="F1697" s="48" t="n">
        <f aca="false">B1697*(IF($A1697&lt;$Q$1644,INDEX(Surface_Engine!$D$12:$D$72,$A1697+1)+(Surface_Engine!Q251*12)*INDEX(Surface_Engine!$F$12:$F$72,$A1697+1)-(Surface_Engine!Q251*12),1000*12*INDEX(Surface_Engine!$C$12:$C$72,$A1697+1)/(1+Assumptions!$B$10)^15+INDEX(Surface_Engine!$D$12:$D$72,$A1697+1)))*INDEX(Surface_Engine!$B$12:$B$72,$A1697+1)+F1698</f>
        <v>0</v>
      </c>
      <c r="G1697" s="48" t="n">
        <f aca="false">C1697*(IF($A1697&lt;$Q$1644,INDEX(Surface_Engine!$D$12:$D$72,$A1697+1)+(Surface_Engine!Q251*12)*INDEX(Surface_Engine!$F$12:$F$72,$A1697+1)-(Surface_Engine!Q251*12),1000*12*INDEX(Surface_Engine!$C$12:$C$72,$A1697+1)/(1+Assumptions!$B$10)^15+INDEX(Surface_Engine!$D$12:$D$72,$A1697+1)))*INDEX(Surface_Engine!$B$12:$B$72,$A1697+1)+G1698</f>
        <v>0</v>
      </c>
      <c r="H1697" s="48" t="n">
        <f aca="false">D1697*(IF($A1697&lt;$Q$1644,INDEX(Surface_Engine!$D$12:$D$72,$A1697+1)+(Surface_Engine!Q251*12)*INDEX(Surface_Engine!$F$12:$F$72,$A1697+1)-(Surface_Engine!Q251*12),1000*12*INDEX(Surface_Engine!$C$12:$C$72,$A1697+1)/(1+Assumptions!$B$10)^15+INDEX(Surface_Engine!$D$12:$D$72,$A1697+1)))*INDEX(Surface_Engine!$B$12:$B$72,$A1697+1)+H1698</f>
        <v>0</v>
      </c>
      <c r="I1697" s="48" t="n">
        <f aca="false">E1697*(IF($A1697&lt;$Q$1644,INDEX(Surface_Engine!$D$12:$D$72,$A1697+1)+(Surface_Engine!Q251*12)*INDEX(Surface_Engine!$F$12:$F$72,$A1697+1)-(Surface_Engine!Q251*12),1000*12*INDEX(Surface_Engine!$C$12:$C$72,$A1697+1)/(1+Assumptions!$B$10)^15+INDEX(Surface_Engine!$D$12:$D$72,$A1697+1)))*INDEX(Surface_Engine!$B$12:$B$72,$A1697+1)+I1698</f>
        <v>0</v>
      </c>
      <c r="J1697" s="48" t="n">
        <f aca="false">B1697*(IF($A1697&lt;$Q$1644,INDEX(Surface_Engine!$D$12:$D$72,$A1697+1)*(1+Assumptions!$B$24)+(Surface_Engine!Q251*12)*INDEX(Surface_Engine!$F$12:$F$72,$A1697+1)-(Surface_Engine!Q251*12),1000*12*INDEX(Surface_Engine!$C$12:$C$72,$A1697+1)/(1+Assumptions!$B$10)^15+INDEX(Surface_Engine!$D$12:$D$72,$A1697+1)*(1+Assumptions!$B$24)))*INDEX(Surface_Engine!$B$12:$B$72,$A1697+1)+J1698</f>
        <v>0</v>
      </c>
      <c r="K1697" s="12" t="n">
        <f aca="false">SQRT((IF(C1697&lt;=0,0,MAX(0,(B1697/C1697)*G1697/INDEX(Surface_Engine!$B$12:$B$72,$A1697+1)-F1697/INDEX(Surface_Engine!$B$12:$B$72,$A1697+1))))^2+(MAX(IF(D1697&lt;=0,0,MAX(0,(B1697/D1697)*H1697/INDEX(Surface_Engine!$B$12:$B$72,$A1697+1)-F1697/INDEX(Surface_Engine!$B$12:$B$72,$A1697+1))),IF(E1697&lt;=0,0,MAX(0,(B1697/E1697)*I1697/INDEX(Surface_Engine!$B$12:$B$72,$A1697+1)-F1697/INDEX(Surface_Engine!$B$12:$B$72,$A1697+1))),IF($A1697&lt;$Q$1644,MAX(0,-Assumptions!$B$22*(F1697/INDEX(Surface_Engine!$B$12:$B$72,$A1697+1))),0)))^2+(MAX(0,J1697/INDEX(Surface_Engine!$B$12:$B$72,$A1697+1)-(F1697/INDEX(Surface_Engine!$B$12:$B$72,$A1697+1))))^2+2*Assumptions!$B$26*(IF(C1697&lt;=0,0,MAX(0,(B1697/C1697)*G1697/INDEX(Surface_Engine!$B$12:$B$72,$A1697+1)-F1697/INDEX(Surface_Engine!$B$12:$B$72,$A1697+1))))*(MAX(IF(D1697&lt;=0,0,MAX(0,(B1697/D1697)*H1697/INDEX(Surface_Engine!$B$12:$B$72,$A1697+1)-F1697/INDEX(Surface_Engine!$B$12:$B$72,$A1697+1))),IF(E1697&lt;=0,0,MAX(0,(B1697/E1697)*I1697/INDEX(Surface_Engine!$B$12:$B$72,$A1697+1)-F1697/INDEX(Surface_Engine!$B$12:$B$72,$A1697+1))),IF($A1697&lt;$Q$1644,MAX(0,-Assumptions!$B$22*(F1697/INDEX(Surface_Engine!$B$12:$B$72,$A1697+1))),0)))+2*Assumptions!$B$27*(IF(C1697&lt;=0,0,MAX(0,(B1697/C1697)*G1697/INDEX(Surface_Engine!$B$12:$B$72,$A1697+1)-F1697/INDEX(Surface_Engine!$B$12:$B$72,$A1697+1))))*(MAX(0,J1697/INDEX(Surface_Engine!$B$12:$B$72,$A1697+1)-(F1697/INDEX(Surface_Engine!$B$12:$B$72,$A1697+1))))+2*Assumptions!$B$28*(MAX(IF(D1697&lt;=0,0,MAX(0,(B1697/D1697)*H1697/INDEX(Surface_Engine!$B$12:$B$72,$A1697+1)-F1697/INDEX(Surface_Engine!$B$12:$B$72,$A1697+1))),IF(E1697&lt;=0,0,MAX(0,(B1697/E1697)*I1697/INDEX(Surface_Engine!$B$12:$B$72,$A1697+1)-F1697/INDEX(Surface_Engine!$B$12:$B$72,$A1697+1))),IF($A1697&lt;$Q$1644,MAX(0,-Assumptions!$B$22*(F1697/INDEX(Surface_Engine!$B$12:$B$72,$A1697+1))),0)))*(MAX(0,J1697/INDEX(Surface_Engine!$B$12:$B$72,$A1697+1)-(F1697/INDEX(Surface_Engine!$B$12:$B$72,$A1697+1)))))</f>
        <v>0</v>
      </c>
      <c r="L1697" s="48" t="n">
        <f aca="false">K1697*INDEX(Surface_Engine!$B$12:$B$72,$A1697+1)+L1698</f>
        <v>0</v>
      </c>
      <c r="M1697" s="48" t="n">
        <f aca="false">M1696+B1696*(IF($A1696&lt;$Q$1644,(Surface_Engine!Q251*12)-(Surface_Engine!Q251*12)*INDEX(Surface_Engine!$F$12:$F$72,$A1696+1)-INDEX(Surface_Engine!$D$12:$D$72,$A1696+1),-(1000*12*INDEX(Surface_Engine!$C$12:$C$72,$A1696+1)/(1+Assumptions!$B$10)^15+INDEX(Surface_Engine!$D$12:$D$72,$A1696+1))))*INDEX(Surface_Engine!$B$12:$B$72,$A1696+1)</f>
        <v>715.984212462727</v>
      </c>
      <c r="N1697" s="12" t="n">
        <f aca="false">IF(B1697&lt;=0,0,MAX(0,(K1697+Assumptions!$B$29*L1697/INDEX(Surface_Engine!$B$12:$B$72,$A1697+1)-(M1697/INDEX(Surface_Engine!$B$12:$B$72,$A1697+1)-(F1697/INDEX(Surface_Engine!$B$12:$B$72,$A1697+1))))/B1697))</f>
        <v>0</v>
      </c>
    </row>
    <row r="1698" customFormat="false" ht="15" hidden="false" customHeight="true" outlineLevel="0" collapsed="false">
      <c r="A1698" s="1" t="n">
        <v>52</v>
      </c>
      <c r="B1698" s="32" t="n">
        <f aca="false">INDEX(Surface_Engine!$V$12:$V$72,$A1698+1)*IF($A1698&lt;$Q$1644,INDEX(Surface_Engine!$E$12:$E$72,$A1698+1),INDEX(Surface_Engine!$E$12:$E$72,$Q$1644+1))</f>
        <v>0</v>
      </c>
      <c r="C1698" s="32" t="n">
        <f aca="false">INDEX(Panel_Reserving!$H$8:$H$68,$A1698+1)*IF($A1698&lt;$Q$1644,INDEX(Surface_Engine!$E$12:$E$72,$A1698+1),INDEX(Surface_Engine!$E$12:$E$72,$Q$1644+1))</f>
        <v>0</v>
      </c>
      <c r="D1698" s="32" t="n">
        <f aca="false">INDEX(Surface_Engine!$V$12:$V$72,$A1698+1)*IF($A1698&lt;$Q$1644,INDEX(Surface_Engine!$Y$12:$Y$72,$A1698+1),INDEX(Surface_Engine!$Y$12:$Y$72,$Q$1644+1))</f>
        <v>0</v>
      </c>
      <c r="E1698" s="32" t="n">
        <f aca="false">INDEX(Surface_Engine!$V$12:$V$72,$A1698+1)*IF($A1698&lt;$Q$1644,INDEX(Surface_Engine!$Z$12:$Z$72,$A1698+1),INDEX(Surface_Engine!$Z$12:$Z$72,$Q$1644+1))</f>
        <v>0</v>
      </c>
      <c r="F1698" s="48" t="n">
        <f aca="false">B1698*(IF($A1698&lt;$Q$1644,INDEX(Surface_Engine!$D$12:$D$72,$A1698+1)+(Surface_Engine!Q251*12)*INDEX(Surface_Engine!$F$12:$F$72,$A1698+1)-(Surface_Engine!Q251*12),1000*12*INDEX(Surface_Engine!$C$12:$C$72,$A1698+1)/(1+Assumptions!$B$10)^15+INDEX(Surface_Engine!$D$12:$D$72,$A1698+1)))*INDEX(Surface_Engine!$B$12:$B$72,$A1698+1)+F1699</f>
        <v>0</v>
      </c>
      <c r="G1698" s="48" t="n">
        <f aca="false">C1698*(IF($A1698&lt;$Q$1644,INDEX(Surface_Engine!$D$12:$D$72,$A1698+1)+(Surface_Engine!Q251*12)*INDEX(Surface_Engine!$F$12:$F$72,$A1698+1)-(Surface_Engine!Q251*12),1000*12*INDEX(Surface_Engine!$C$12:$C$72,$A1698+1)/(1+Assumptions!$B$10)^15+INDEX(Surface_Engine!$D$12:$D$72,$A1698+1)))*INDEX(Surface_Engine!$B$12:$B$72,$A1698+1)+G1699</f>
        <v>0</v>
      </c>
      <c r="H1698" s="48" t="n">
        <f aca="false">D1698*(IF($A1698&lt;$Q$1644,INDEX(Surface_Engine!$D$12:$D$72,$A1698+1)+(Surface_Engine!Q251*12)*INDEX(Surface_Engine!$F$12:$F$72,$A1698+1)-(Surface_Engine!Q251*12),1000*12*INDEX(Surface_Engine!$C$12:$C$72,$A1698+1)/(1+Assumptions!$B$10)^15+INDEX(Surface_Engine!$D$12:$D$72,$A1698+1)))*INDEX(Surface_Engine!$B$12:$B$72,$A1698+1)+H1699</f>
        <v>0</v>
      </c>
      <c r="I1698" s="48" t="n">
        <f aca="false">E1698*(IF($A1698&lt;$Q$1644,INDEX(Surface_Engine!$D$12:$D$72,$A1698+1)+(Surface_Engine!Q251*12)*INDEX(Surface_Engine!$F$12:$F$72,$A1698+1)-(Surface_Engine!Q251*12),1000*12*INDEX(Surface_Engine!$C$12:$C$72,$A1698+1)/(1+Assumptions!$B$10)^15+INDEX(Surface_Engine!$D$12:$D$72,$A1698+1)))*INDEX(Surface_Engine!$B$12:$B$72,$A1698+1)+I1699</f>
        <v>0</v>
      </c>
      <c r="J1698" s="48" t="n">
        <f aca="false">B1698*(IF($A1698&lt;$Q$1644,INDEX(Surface_Engine!$D$12:$D$72,$A1698+1)*(1+Assumptions!$B$24)+(Surface_Engine!Q251*12)*INDEX(Surface_Engine!$F$12:$F$72,$A1698+1)-(Surface_Engine!Q251*12),1000*12*INDEX(Surface_Engine!$C$12:$C$72,$A1698+1)/(1+Assumptions!$B$10)^15+INDEX(Surface_Engine!$D$12:$D$72,$A1698+1)*(1+Assumptions!$B$24)))*INDEX(Surface_Engine!$B$12:$B$72,$A1698+1)+J1699</f>
        <v>0</v>
      </c>
      <c r="K1698" s="12" t="n">
        <f aca="false">SQRT((IF(C1698&lt;=0,0,MAX(0,(B1698/C1698)*G1698/INDEX(Surface_Engine!$B$12:$B$72,$A1698+1)-F1698/INDEX(Surface_Engine!$B$12:$B$72,$A1698+1))))^2+(MAX(IF(D1698&lt;=0,0,MAX(0,(B1698/D1698)*H1698/INDEX(Surface_Engine!$B$12:$B$72,$A1698+1)-F1698/INDEX(Surface_Engine!$B$12:$B$72,$A1698+1))),IF(E1698&lt;=0,0,MAX(0,(B1698/E1698)*I1698/INDEX(Surface_Engine!$B$12:$B$72,$A1698+1)-F1698/INDEX(Surface_Engine!$B$12:$B$72,$A1698+1))),IF($A1698&lt;$Q$1644,MAX(0,-Assumptions!$B$22*(F1698/INDEX(Surface_Engine!$B$12:$B$72,$A1698+1))),0)))^2+(MAX(0,J1698/INDEX(Surface_Engine!$B$12:$B$72,$A1698+1)-(F1698/INDEX(Surface_Engine!$B$12:$B$72,$A1698+1))))^2+2*Assumptions!$B$26*(IF(C1698&lt;=0,0,MAX(0,(B1698/C1698)*G1698/INDEX(Surface_Engine!$B$12:$B$72,$A1698+1)-F1698/INDEX(Surface_Engine!$B$12:$B$72,$A1698+1))))*(MAX(IF(D1698&lt;=0,0,MAX(0,(B1698/D1698)*H1698/INDEX(Surface_Engine!$B$12:$B$72,$A1698+1)-F1698/INDEX(Surface_Engine!$B$12:$B$72,$A1698+1))),IF(E1698&lt;=0,0,MAX(0,(B1698/E1698)*I1698/INDEX(Surface_Engine!$B$12:$B$72,$A1698+1)-F1698/INDEX(Surface_Engine!$B$12:$B$72,$A1698+1))),IF($A1698&lt;$Q$1644,MAX(0,-Assumptions!$B$22*(F1698/INDEX(Surface_Engine!$B$12:$B$72,$A1698+1))),0)))+2*Assumptions!$B$27*(IF(C1698&lt;=0,0,MAX(0,(B1698/C1698)*G1698/INDEX(Surface_Engine!$B$12:$B$72,$A1698+1)-F1698/INDEX(Surface_Engine!$B$12:$B$72,$A1698+1))))*(MAX(0,J1698/INDEX(Surface_Engine!$B$12:$B$72,$A1698+1)-(F1698/INDEX(Surface_Engine!$B$12:$B$72,$A1698+1))))+2*Assumptions!$B$28*(MAX(IF(D1698&lt;=0,0,MAX(0,(B1698/D1698)*H1698/INDEX(Surface_Engine!$B$12:$B$72,$A1698+1)-F1698/INDEX(Surface_Engine!$B$12:$B$72,$A1698+1))),IF(E1698&lt;=0,0,MAX(0,(B1698/E1698)*I1698/INDEX(Surface_Engine!$B$12:$B$72,$A1698+1)-F1698/INDEX(Surface_Engine!$B$12:$B$72,$A1698+1))),IF($A1698&lt;$Q$1644,MAX(0,-Assumptions!$B$22*(F1698/INDEX(Surface_Engine!$B$12:$B$72,$A1698+1))),0)))*(MAX(0,J1698/INDEX(Surface_Engine!$B$12:$B$72,$A1698+1)-(F1698/INDEX(Surface_Engine!$B$12:$B$72,$A1698+1)))))</f>
        <v>0</v>
      </c>
      <c r="L1698" s="48" t="n">
        <f aca="false">K1698*INDEX(Surface_Engine!$B$12:$B$72,$A1698+1)+L1699</f>
        <v>0</v>
      </c>
      <c r="M1698" s="48" t="n">
        <f aca="false">M1697+B1697*(IF($A1697&lt;$Q$1644,(Surface_Engine!Q251*12)-(Surface_Engine!Q251*12)*INDEX(Surface_Engine!$F$12:$F$72,$A1697+1)-INDEX(Surface_Engine!$D$12:$D$72,$A1697+1),-(1000*12*INDEX(Surface_Engine!$C$12:$C$72,$A1697+1)/(1+Assumptions!$B$10)^15+INDEX(Surface_Engine!$D$12:$D$72,$A1697+1))))*INDEX(Surface_Engine!$B$12:$B$72,$A1697+1)</f>
        <v>715.984212462727</v>
      </c>
      <c r="N1698" s="12" t="n">
        <f aca="false">IF(B1698&lt;=0,0,MAX(0,(K1698+Assumptions!$B$29*L1698/INDEX(Surface_Engine!$B$12:$B$72,$A1698+1)-(M1698/INDEX(Surface_Engine!$B$12:$B$72,$A1698+1)-(F1698/INDEX(Surface_Engine!$B$12:$B$72,$A1698+1))))/B1698))</f>
        <v>0</v>
      </c>
    </row>
    <row r="1699" customFormat="false" ht="15" hidden="false" customHeight="true" outlineLevel="0" collapsed="false">
      <c r="A1699" s="1" t="n">
        <v>53</v>
      </c>
      <c r="B1699" s="32" t="n">
        <f aca="false">INDEX(Surface_Engine!$V$12:$V$72,$A1699+1)*IF($A1699&lt;$Q$1644,INDEX(Surface_Engine!$E$12:$E$72,$A1699+1),INDEX(Surface_Engine!$E$12:$E$72,$Q$1644+1))</f>
        <v>0</v>
      </c>
      <c r="C1699" s="32" t="n">
        <f aca="false">INDEX(Panel_Reserving!$H$8:$H$68,$A1699+1)*IF($A1699&lt;$Q$1644,INDEX(Surface_Engine!$E$12:$E$72,$A1699+1),INDEX(Surface_Engine!$E$12:$E$72,$Q$1644+1))</f>
        <v>0</v>
      </c>
      <c r="D1699" s="32" t="n">
        <f aca="false">INDEX(Surface_Engine!$V$12:$V$72,$A1699+1)*IF($A1699&lt;$Q$1644,INDEX(Surface_Engine!$Y$12:$Y$72,$A1699+1),INDEX(Surface_Engine!$Y$12:$Y$72,$Q$1644+1))</f>
        <v>0</v>
      </c>
      <c r="E1699" s="32" t="n">
        <f aca="false">INDEX(Surface_Engine!$V$12:$V$72,$A1699+1)*IF($A1699&lt;$Q$1644,INDEX(Surface_Engine!$Z$12:$Z$72,$A1699+1),INDEX(Surface_Engine!$Z$12:$Z$72,$Q$1644+1))</f>
        <v>0</v>
      </c>
      <c r="F1699" s="48" t="n">
        <f aca="false">B1699*(IF($A1699&lt;$Q$1644,INDEX(Surface_Engine!$D$12:$D$72,$A1699+1)+(Surface_Engine!Q251*12)*INDEX(Surface_Engine!$F$12:$F$72,$A1699+1)-(Surface_Engine!Q251*12),1000*12*INDEX(Surface_Engine!$C$12:$C$72,$A1699+1)/(1+Assumptions!$B$10)^15+INDEX(Surface_Engine!$D$12:$D$72,$A1699+1)))*INDEX(Surface_Engine!$B$12:$B$72,$A1699+1)+F1700</f>
        <v>0</v>
      </c>
      <c r="G1699" s="48" t="n">
        <f aca="false">C1699*(IF($A1699&lt;$Q$1644,INDEX(Surface_Engine!$D$12:$D$72,$A1699+1)+(Surface_Engine!Q251*12)*INDEX(Surface_Engine!$F$12:$F$72,$A1699+1)-(Surface_Engine!Q251*12),1000*12*INDEX(Surface_Engine!$C$12:$C$72,$A1699+1)/(1+Assumptions!$B$10)^15+INDEX(Surface_Engine!$D$12:$D$72,$A1699+1)))*INDEX(Surface_Engine!$B$12:$B$72,$A1699+1)+G1700</f>
        <v>0</v>
      </c>
      <c r="H1699" s="48" t="n">
        <f aca="false">D1699*(IF($A1699&lt;$Q$1644,INDEX(Surface_Engine!$D$12:$D$72,$A1699+1)+(Surface_Engine!Q251*12)*INDEX(Surface_Engine!$F$12:$F$72,$A1699+1)-(Surface_Engine!Q251*12),1000*12*INDEX(Surface_Engine!$C$12:$C$72,$A1699+1)/(1+Assumptions!$B$10)^15+INDEX(Surface_Engine!$D$12:$D$72,$A1699+1)))*INDEX(Surface_Engine!$B$12:$B$72,$A1699+1)+H1700</f>
        <v>0</v>
      </c>
      <c r="I1699" s="48" t="n">
        <f aca="false">E1699*(IF($A1699&lt;$Q$1644,INDEX(Surface_Engine!$D$12:$D$72,$A1699+1)+(Surface_Engine!Q251*12)*INDEX(Surface_Engine!$F$12:$F$72,$A1699+1)-(Surface_Engine!Q251*12),1000*12*INDEX(Surface_Engine!$C$12:$C$72,$A1699+1)/(1+Assumptions!$B$10)^15+INDEX(Surface_Engine!$D$12:$D$72,$A1699+1)))*INDEX(Surface_Engine!$B$12:$B$72,$A1699+1)+I1700</f>
        <v>0</v>
      </c>
      <c r="J1699" s="48" t="n">
        <f aca="false">B1699*(IF($A1699&lt;$Q$1644,INDEX(Surface_Engine!$D$12:$D$72,$A1699+1)*(1+Assumptions!$B$24)+(Surface_Engine!Q251*12)*INDEX(Surface_Engine!$F$12:$F$72,$A1699+1)-(Surface_Engine!Q251*12),1000*12*INDEX(Surface_Engine!$C$12:$C$72,$A1699+1)/(1+Assumptions!$B$10)^15+INDEX(Surface_Engine!$D$12:$D$72,$A1699+1)*(1+Assumptions!$B$24)))*INDEX(Surface_Engine!$B$12:$B$72,$A1699+1)+J1700</f>
        <v>0</v>
      </c>
      <c r="K1699" s="12" t="n">
        <f aca="false">SQRT((IF(C1699&lt;=0,0,MAX(0,(B1699/C1699)*G1699/INDEX(Surface_Engine!$B$12:$B$72,$A1699+1)-F1699/INDEX(Surface_Engine!$B$12:$B$72,$A1699+1))))^2+(MAX(IF(D1699&lt;=0,0,MAX(0,(B1699/D1699)*H1699/INDEX(Surface_Engine!$B$12:$B$72,$A1699+1)-F1699/INDEX(Surface_Engine!$B$12:$B$72,$A1699+1))),IF(E1699&lt;=0,0,MAX(0,(B1699/E1699)*I1699/INDEX(Surface_Engine!$B$12:$B$72,$A1699+1)-F1699/INDEX(Surface_Engine!$B$12:$B$72,$A1699+1))),IF($A1699&lt;$Q$1644,MAX(0,-Assumptions!$B$22*(F1699/INDEX(Surface_Engine!$B$12:$B$72,$A1699+1))),0)))^2+(MAX(0,J1699/INDEX(Surface_Engine!$B$12:$B$72,$A1699+1)-(F1699/INDEX(Surface_Engine!$B$12:$B$72,$A1699+1))))^2+2*Assumptions!$B$26*(IF(C1699&lt;=0,0,MAX(0,(B1699/C1699)*G1699/INDEX(Surface_Engine!$B$12:$B$72,$A1699+1)-F1699/INDEX(Surface_Engine!$B$12:$B$72,$A1699+1))))*(MAX(IF(D1699&lt;=0,0,MAX(0,(B1699/D1699)*H1699/INDEX(Surface_Engine!$B$12:$B$72,$A1699+1)-F1699/INDEX(Surface_Engine!$B$12:$B$72,$A1699+1))),IF(E1699&lt;=0,0,MAX(0,(B1699/E1699)*I1699/INDEX(Surface_Engine!$B$12:$B$72,$A1699+1)-F1699/INDEX(Surface_Engine!$B$12:$B$72,$A1699+1))),IF($A1699&lt;$Q$1644,MAX(0,-Assumptions!$B$22*(F1699/INDEX(Surface_Engine!$B$12:$B$72,$A1699+1))),0)))+2*Assumptions!$B$27*(IF(C1699&lt;=0,0,MAX(0,(B1699/C1699)*G1699/INDEX(Surface_Engine!$B$12:$B$72,$A1699+1)-F1699/INDEX(Surface_Engine!$B$12:$B$72,$A1699+1))))*(MAX(0,J1699/INDEX(Surface_Engine!$B$12:$B$72,$A1699+1)-(F1699/INDEX(Surface_Engine!$B$12:$B$72,$A1699+1))))+2*Assumptions!$B$28*(MAX(IF(D1699&lt;=0,0,MAX(0,(B1699/D1699)*H1699/INDEX(Surface_Engine!$B$12:$B$72,$A1699+1)-F1699/INDEX(Surface_Engine!$B$12:$B$72,$A1699+1))),IF(E1699&lt;=0,0,MAX(0,(B1699/E1699)*I1699/INDEX(Surface_Engine!$B$12:$B$72,$A1699+1)-F1699/INDEX(Surface_Engine!$B$12:$B$72,$A1699+1))),IF($A1699&lt;$Q$1644,MAX(0,-Assumptions!$B$22*(F1699/INDEX(Surface_Engine!$B$12:$B$72,$A1699+1))),0)))*(MAX(0,J1699/INDEX(Surface_Engine!$B$12:$B$72,$A1699+1)-(F1699/INDEX(Surface_Engine!$B$12:$B$72,$A1699+1)))))</f>
        <v>0</v>
      </c>
      <c r="L1699" s="48" t="n">
        <f aca="false">K1699*INDEX(Surface_Engine!$B$12:$B$72,$A1699+1)+L1700</f>
        <v>0</v>
      </c>
      <c r="M1699" s="48" t="n">
        <f aca="false">M1698+B1698*(IF($A1698&lt;$Q$1644,(Surface_Engine!Q251*12)-(Surface_Engine!Q251*12)*INDEX(Surface_Engine!$F$12:$F$72,$A1698+1)-INDEX(Surface_Engine!$D$12:$D$72,$A1698+1),-(1000*12*INDEX(Surface_Engine!$C$12:$C$72,$A1698+1)/(1+Assumptions!$B$10)^15+INDEX(Surface_Engine!$D$12:$D$72,$A1698+1))))*INDEX(Surface_Engine!$B$12:$B$72,$A1698+1)</f>
        <v>715.984212462727</v>
      </c>
      <c r="N1699" s="12" t="n">
        <f aca="false">IF(B1699&lt;=0,0,MAX(0,(K1699+Assumptions!$B$29*L1699/INDEX(Surface_Engine!$B$12:$B$72,$A1699+1)-(M1699/INDEX(Surface_Engine!$B$12:$B$72,$A1699+1)-(F1699/INDEX(Surface_Engine!$B$12:$B$72,$A1699+1))))/B1699))</f>
        <v>0</v>
      </c>
    </row>
    <row r="1700" customFormat="false" ht="15" hidden="false" customHeight="true" outlineLevel="0" collapsed="false">
      <c r="A1700" s="1" t="n">
        <v>54</v>
      </c>
      <c r="B1700" s="32" t="n">
        <f aca="false">INDEX(Surface_Engine!$V$12:$V$72,$A1700+1)*IF($A1700&lt;$Q$1644,INDEX(Surface_Engine!$E$12:$E$72,$A1700+1),INDEX(Surface_Engine!$E$12:$E$72,$Q$1644+1))</f>
        <v>0</v>
      </c>
      <c r="C1700" s="32" t="n">
        <f aca="false">INDEX(Panel_Reserving!$H$8:$H$68,$A1700+1)*IF($A1700&lt;$Q$1644,INDEX(Surface_Engine!$E$12:$E$72,$A1700+1),INDEX(Surface_Engine!$E$12:$E$72,$Q$1644+1))</f>
        <v>0</v>
      </c>
      <c r="D1700" s="32" t="n">
        <f aca="false">INDEX(Surface_Engine!$V$12:$V$72,$A1700+1)*IF($A1700&lt;$Q$1644,INDEX(Surface_Engine!$Y$12:$Y$72,$A1700+1),INDEX(Surface_Engine!$Y$12:$Y$72,$Q$1644+1))</f>
        <v>0</v>
      </c>
      <c r="E1700" s="32" t="n">
        <f aca="false">INDEX(Surface_Engine!$V$12:$V$72,$A1700+1)*IF($A1700&lt;$Q$1644,INDEX(Surface_Engine!$Z$12:$Z$72,$A1700+1),INDEX(Surface_Engine!$Z$12:$Z$72,$Q$1644+1))</f>
        <v>0</v>
      </c>
      <c r="F1700" s="48" t="n">
        <f aca="false">B1700*(IF($A1700&lt;$Q$1644,INDEX(Surface_Engine!$D$12:$D$72,$A1700+1)+(Surface_Engine!Q251*12)*INDEX(Surface_Engine!$F$12:$F$72,$A1700+1)-(Surface_Engine!Q251*12),1000*12*INDEX(Surface_Engine!$C$12:$C$72,$A1700+1)/(1+Assumptions!$B$10)^15+INDEX(Surface_Engine!$D$12:$D$72,$A1700+1)))*INDEX(Surface_Engine!$B$12:$B$72,$A1700+1)+F1701</f>
        <v>0</v>
      </c>
      <c r="G1700" s="48" t="n">
        <f aca="false">C1700*(IF($A1700&lt;$Q$1644,INDEX(Surface_Engine!$D$12:$D$72,$A1700+1)+(Surface_Engine!Q251*12)*INDEX(Surface_Engine!$F$12:$F$72,$A1700+1)-(Surface_Engine!Q251*12),1000*12*INDEX(Surface_Engine!$C$12:$C$72,$A1700+1)/(1+Assumptions!$B$10)^15+INDEX(Surface_Engine!$D$12:$D$72,$A1700+1)))*INDEX(Surface_Engine!$B$12:$B$72,$A1700+1)+G1701</f>
        <v>0</v>
      </c>
      <c r="H1700" s="48" t="n">
        <f aca="false">D1700*(IF($A1700&lt;$Q$1644,INDEX(Surface_Engine!$D$12:$D$72,$A1700+1)+(Surface_Engine!Q251*12)*INDEX(Surface_Engine!$F$12:$F$72,$A1700+1)-(Surface_Engine!Q251*12),1000*12*INDEX(Surface_Engine!$C$12:$C$72,$A1700+1)/(1+Assumptions!$B$10)^15+INDEX(Surface_Engine!$D$12:$D$72,$A1700+1)))*INDEX(Surface_Engine!$B$12:$B$72,$A1700+1)+H1701</f>
        <v>0</v>
      </c>
      <c r="I1700" s="48" t="n">
        <f aca="false">E1700*(IF($A1700&lt;$Q$1644,INDEX(Surface_Engine!$D$12:$D$72,$A1700+1)+(Surface_Engine!Q251*12)*INDEX(Surface_Engine!$F$12:$F$72,$A1700+1)-(Surface_Engine!Q251*12),1000*12*INDEX(Surface_Engine!$C$12:$C$72,$A1700+1)/(1+Assumptions!$B$10)^15+INDEX(Surface_Engine!$D$12:$D$72,$A1700+1)))*INDEX(Surface_Engine!$B$12:$B$72,$A1700+1)+I1701</f>
        <v>0</v>
      </c>
      <c r="J1700" s="48" t="n">
        <f aca="false">B1700*(IF($A1700&lt;$Q$1644,INDEX(Surface_Engine!$D$12:$D$72,$A1700+1)*(1+Assumptions!$B$24)+(Surface_Engine!Q251*12)*INDEX(Surface_Engine!$F$12:$F$72,$A1700+1)-(Surface_Engine!Q251*12),1000*12*INDEX(Surface_Engine!$C$12:$C$72,$A1700+1)/(1+Assumptions!$B$10)^15+INDEX(Surface_Engine!$D$12:$D$72,$A1700+1)*(1+Assumptions!$B$24)))*INDEX(Surface_Engine!$B$12:$B$72,$A1700+1)+J1701</f>
        <v>0</v>
      </c>
      <c r="K1700" s="12" t="n">
        <f aca="false">SQRT((IF(C1700&lt;=0,0,MAX(0,(B1700/C1700)*G1700/INDEX(Surface_Engine!$B$12:$B$72,$A1700+1)-F1700/INDEX(Surface_Engine!$B$12:$B$72,$A1700+1))))^2+(MAX(IF(D1700&lt;=0,0,MAX(0,(B1700/D1700)*H1700/INDEX(Surface_Engine!$B$12:$B$72,$A1700+1)-F1700/INDEX(Surface_Engine!$B$12:$B$72,$A1700+1))),IF(E1700&lt;=0,0,MAX(0,(B1700/E1700)*I1700/INDEX(Surface_Engine!$B$12:$B$72,$A1700+1)-F1700/INDEX(Surface_Engine!$B$12:$B$72,$A1700+1))),IF($A1700&lt;$Q$1644,MAX(0,-Assumptions!$B$22*(F1700/INDEX(Surface_Engine!$B$12:$B$72,$A1700+1))),0)))^2+(MAX(0,J1700/INDEX(Surface_Engine!$B$12:$B$72,$A1700+1)-(F1700/INDEX(Surface_Engine!$B$12:$B$72,$A1700+1))))^2+2*Assumptions!$B$26*(IF(C1700&lt;=0,0,MAX(0,(B1700/C1700)*G1700/INDEX(Surface_Engine!$B$12:$B$72,$A1700+1)-F1700/INDEX(Surface_Engine!$B$12:$B$72,$A1700+1))))*(MAX(IF(D1700&lt;=0,0,MAX(0,(B1700/D1700)*H1700/INDEX(Surface_Engine!$B$12:$B$72,$A1700+1)-F1700/INDEX(Surface_Engine!$B$12:$B$72,$A1700+1))),IF(E1700&lt;=0,0,MAX(0,(B1700/E1700)*I1700/INDEX(Surface_Engine!$B$12:$B$72,$A1700+1)-F1700/INDEX(Surface_Engine!$B$12:$B$72,$A1700+1))),IF($A1700&lt;$Q$1644,MAX(0,-Assumptions!$B$22*(F1700/INDEX(Surface_Engine!$B$12:$B$72,$A1700+1))),0)))+2*Assumptions!$B$27*(IF(C1700&lt;=0,0,MAX(0,(B1700/C1700)*G1700/INDEX(Surface_Engine!$B$12:$B$72,$A1700+1)-F1700/INDEX(Surface_Engine!$B$12:$B$72,$A1700+1))))*(MAX(0,J1700/INDEX(Surface_Engine!$B$12:$B$72,$A1700+1)-(F1700/INDEX(Surface_Engine!$B$12:$B$72,$A1700+1))))+2*Assumptions!$B$28*(MAX(IF(D1700&lt;=0,0,MAX(0,(B1700/D1700)*H1700/INDEX(Surface_Engine!$B$12:$B$72,$A1700+1)-F1700/INDEX(Surface_Engine!$B$12:$B$72,$A1700+1))),IF(E1700&lt;=0,0,MAX(0,(B1700/E1700)*I1700/INDEX(Surface_Engine!$B$12:$B$72,$A1700+1)-F1700/INDEX(Surface_Engine!$B$12:$B$72,$A1700+1))),IF($A1700&lt;$Q$1644,MAX(0,-Assumptions!$B$22*(F1700/INDEX(Surface_Engine!$B$12:$B$72,$A1700+1))),0)))*(MAX(0,J1700/INDEX(Surface_Engine!$B$12:$B$72,$A1700+1)-(F1700/INDEX(Surface_Engine!$B$12:$B$72,$A1700+1)))))</f>
        <v>0</v>
      </c>
      <c r="L1700" s="48" t="n">
        <f aca="false">K1700*INDEX(Surface_Engine!$B$12:$B$72,$A1700+1)+L1701</f>
        <v>0</v>
      </c>
      <c r="M1700" s="48" t="n">
        <f aca="false">M1699+B1699*(IF($A1699&lt;$Q$1644,(Surface_Engine!Q251*12)-(Surface_Engine!Q251*12)*INDEX(Surface_Engine!$F$12:$F$72,$A1699+1)-INDEX(Surface_Engine!$D$12:$D$72,$A1699+1),-(1000*12*INDEX(Surface_Engine!$C$12:$C$72,$A1699+1)/(1+Assumptions!$B$10)^15+INDEX(Surface_Engine!$D$12:$D$72,$A1699+1))))*INDEX(Surface_Engine!$B$12:$B$72,$A1699+1)</f>
        <v>715.984212462727</v>
      </c>
      <c r="N1700" s="12" t="n">
        <f aca="false">IF(B1700&lt;=0,0,MAX(0,(K1700+Assumptions!$B$29*L1700/INDEX(Surface_Engine!$B$12:$B$72,$A1700+1)-(M1700/INDEX(Surface_Engine!$B$12:$B$72,$A1700+1)-(F1700/INDEX(Surface_Engine!$B$12:$B$72,$A1700+1))))/B1700))</f>
        <v>0</v>
      </c>
    </row>
    <row r="1701" customFormat="false" ht="15" hidden="false" customHeight="true" outlineLevel="0" collapsed="false">
      <c r="A1701" s="1" t="n">
        <v>55</v>
      </c>
      <c r="B1701" s="32" t="n">
        <f aca="false">INDEX(Surface_Engine!$V$12:$V$72,$A1701+1)*IF($A1701&lt;$Q$1644,INDEX(Surface_Engine!$E$12:$E$72,$A1701+1),INDEX(Surface_Engine!$E$12:$E$72,$Q$1644+1))</f>
        <v>0</v>
      </c>
      <c r="C1701" s="32" t="n">
        <f aca="false">INDEX(Panel_Reserving!$H$8:$H$68,$A1701+1)*IF($A1701&lt;$Q$1644,INDEX(Surface_Engine!$E$12:$E$72,$A1701+1),INDEX(Surface_Engine!$E$12:$E$72,$Q$1644+1))</f>
        <v>0</v>
      </c>
      <c r="D1701" s="32" t="n">
        <f aca="false">INDEX(Surface_Engine!$V$12:$V$72,$A1701+1)*IF($A1701&lt;$Q$1644,INDEX(Surface_Engine!$Y$12:$Y$72,$A1701+1),INDEX(Surface_Engine!$Y$12:$Y$72,$Q$1644+1))</f>
        <v>0</v>
      </c>
      <c r="E1701" s="32" t="n">
        <f aca="false">INDEX(Surface_Engine!$V$12:$V$72,$A1701+1)*IF($A1701&lt;$Q$1644,INDEX(Surface_Engine!$Z$12:$Z$72,$A1701+1),INDEX(Surface_Engine!$Z$12:$Z$72,$Q$1644+1))</f>
        <v>0</v>
      </c>
      <c r="F1701" s="48" t="n">
        <f aca="false">B1701*(IF($A1701&lt;$Q$1644,INDEX(Surface_Engine!$D$12:$D$72,$A1701+1)+(Surface_Engine!Q251*12)*INDEX(Surface_Engine!$F$12:$F$72,$A1701+1)-(Surface_Engine!Q251*12),1000*12*INDEX(Surface_Engine!$C$12:$C$72,$A1701+1)/(1+Assumptions!$B$10)^15+INDEX(Surface_Engine!$D$12:$D$72,$A1701+1)))*INDEX(Surface_Engine!$B$12:$B$72,$A1701+1)+F1702</f>
        <v>0</v>
      </c>
      <c r="G1701" s="48" t="n">
        <f aca="false">C1701*(IF($A1701&lt;$Q$1644,INDEX(Surface_Engine!$D$12:$D$72,$A1701+1)+(Surface_Engine!Q251*12)*INDEX(Surface_Engine!$F$12:$F$72,$A1701+1)-(Surface_Engine!Q251*12),1000*12*INDEX(Surface_Engine!$C$12:$C$72,$A1701+1)/(1+Assumptions!$B$10)^15+INDEX(Surface_Engine!$D$12:$D$72,$A1701+1)))*INDEX(Surface_Engine!$B$12:$B$72,$A1701+1)+G1702</f>
        <v>0</v>
      </c>
      <c r="H1701" s="48" t="n">
        <f aca="false">D1701*(IF($A1701&lt;$Q$1644,INDEX(Surface_Engine!$D$12:$D$72,$A1701+1)+(Surface_Engine!Q251*12)*INDEX(Surface_Engine!$F$12:$F$72,$A1701+1)-(Surface_Engine!Q251*12),1000*12*INDEX(Surface_Engine!$C$12:$C$72,$A1701+1)/(1+Assumptions!$B$10)^15+INDEX(Surface_Engine!$D$12:$D$72,$A1701+1)))*INDEX(Surface_Engine!$B$12:$B$72,$A1701+1)+H1702</f>
        <v>0</v>
      </c>
      <c r="I1701" s="48" t="n">
        <f aca="false">E1701*(IF($A1701&lt;$Q$1644,INDEX(Surface_Engine!$D$12:$D$72,$A1701+1)+(Surface_Engine!Q251*12)*INDEX(Surface_Engine!$F$12:$F$72,$A1701+1)-(Surface_Engine!Q251*12),1000*12*INDEX(Surface_Engine!$C$12:$C$72,$A1701+1)/(1+Assumptions!$B$10)^15+INDEX(Surface_Engine!$D$12:$D$72,$A1701+1)))*INDEX(Surface_Engine!$B$12:$B$72,$A1701+1)+I1702</f>
        <v>0</v>
      </c>
      <c r="J1701" s="48" t="n">
        <f aca="false">B1701*(IF($A1701&lt;$Q$1644,INDEX(Surface_Engine!$D$12:$D$72,$A1701+1)*(1+Assumptions!$B$24)+(Surface_Engine!Q251*12)*INDEX(Surface_Engine!$F$12:$F$72,$A1701+1)-(Surface_Engine!Q251*12),1000*12*INDEX(Surface_Engine!$C$12:$C$72,$A1701+1)/(1+Assumptions!$B$10)^15+INDEX(Surface_Engine!$D$12:$D$72,$A1701+1)*(1+Assumptions!$B$24)))*INDEX(Surface_Engine!$B$12:$B$72,$A1701+1)+J1702</f>
        <v>0</v>
      </c>
      <c r="K1701" s="12" t="n">
        <f aca="false">SQRT((IF(C1701&lt;=0,0,MAX(0,(B1701/C1701)*G1701/INDEX(Surface_Engine!$B$12:$B$72,$A1701+1)-F1701/INDEX(Surface_Engine!$B$12:$B$72,$A1701+1))))^2+(MAX(IF(D1701&lt;=0,0,MAX(0,(B1701/D1701)*H1701/INDEX(Surface_Engine!$B$12:$B$72,$A1701+1)-F1701/INDEX(Surface_Engine!$B$12:$B$72,$A1701+1))),IF(E1701&lt;=0,0,MAX(0,(B1701/E1701)*I1701/INDEX(Surface_Engine!$B$12:$B$72,$A1701+1)-F1701/INDEX(Surface_Engine!$B$12:$B$72,$A1701+1))),IF($A1701&lt;$Q$1644,MAX(0,-Assumptions!$B$22*(F1701/INDEX(Surface_Engine!$B$12:$B$72,$A1701+1))),0)))^2+(MAX(0,J1701/INDEX(Surface_Engine!$B$12:$B$72,$A1701+1)-(F1701/INDEX(Surface_Engine!$B$12:$B$72,$A1701+1))))^2+2*Assumptions!$B$26*(IF(C1701&lt;=0,0,MAX(0,(B1701/C1701)*G1701/INDEX(Surface_Engine!$B$12:$B$72,$A1701+1)-F1701/INDEX(Surface_Engine!$B$12:$B$72,$A1701+1))))*(MAX(IF(D1701&lt;=0,0,MAX(0,(B1701/D1701)*H1701/INDEX(Surface_Engine!$B$12:$B$72,$A1701+1)-F1701/INDEX(Surface_Engine!$B$12:$B$72,$A1701+1))),IF(E1701&lt;=0,0,MAX(0,(B1701/E1701)*I1701/INDEX(Surface_Engine!$B$12:$B$72,$A1701+1)-F1701/INDEX(Surface_Engine!$B$12:$B$72,$A1701+1))),IF($A1701&lt;$Q$1644,MAX(0,-Assumptions!$B$22*(F1701/INDEX(Surface_Engine!$B$12:$B$72,$A1701+1))),0)))+2*Assumptions!$B$27*(IF(C1701&lt;=0,0,MAX(0,(B1701/C1701)*G1701/INDEX(Surface_Engine!$B$12:$B$72,$A1701+1)-F1701/INDEX(Surface_Engine!$B$12:$B$72,$A1701+1))))*(MAX(0,J1701/INDEX(Surface_Engine!$B$12:$B$72,$A1701+1)-(F1701/INDEX(Surface_Engine!$B$12:$B$72,$A1701+1))))+2*Assumptions!$B$28*(MAX(IF(D1701&lt;=0,0,MAX(0,(B1701/D1701)*H1701/INDEX(Surface_Engine!$B$12:$B$72,$A1701+1)-F1701/INDEX(Surface_Engine!$B$12:$B$72,$A1701+1))),IF(E1701&lt;=0,0,MAX(0,(B1701/E1701)*I1701/INDEX(Surface_Engine!$B$12:$B$72,$A1701+1)-F1701/INDEX(Surface_Engine!$B$12:$B$72,$A1701+1))),IF($A1701&lt;$Q$1644,MAX(0,-Assumptions!$B$22*(F1701/INDEX(Surface_Engine!$B$12:$B$72,$A1701+1))),0)))*(MAX(0,J1701/INDEX(Surface_Engine!$B$12:$B$72,$A1701+1)-(F1701/INDEX(Surface_Engine!$B$12:$B$72,$A1701+1)))))</f>
        <v>0</v>
      </c>
      <c r="L1701" s="48" t="n">
        <f aca="false">K1701*INDEX(Surface_Engine!$B$12:$B$72,$A1701+1)+L1702</f>
        <v>0</v>
      </c>
      <c r="M1701" s="48" t="n">
        <f aca="false">M1700+B1700*(IF($A1700&lt;$Q$1644,(Surface_Engine!Q251*12)-(Surface_Engine!Q251*12)*INDEX(Surface_Engine!$F$12:$F$72,$A1700+1)-INDEX(Surface_Engine!$D$12:$D$72,$A1700+1),-(1000*12*INDEX(Surface_Engine!$C$12:$C$72,$A1700+1)/(1+Assumptions!$B$10)^15+INDEX(Surface_Engine!$D$12:$D$72,$A1700+1))))*INDEX(Surface_Engine!$B$12:$B$72,$A1700+1)</f>
        <v>715.984212462727</v>
      </c>
      <c r="N1701" s="12" t="n">
        <f aca="false">IF(B1701&lt;=0,0,MAX(0,(K1701+Assumptions!$B$29*L1701/INDEX(Surface_Engine!$B$12:$B$72,$A1701+1)-(M1701/INDEX(Surface_Engine!$B$12:$B$72,$A1701+1)-(F1701/INDEX(Surface_Engine!$B$12:$B$72,$A1701+1))))/B1701))</f>
        <v>0</v>
      </c>
    </row>
    <row r="1702" customFormat="false" ht="15" hidden="false" customHeight="true" outlineLevel="0" collapsed="false">
      <c r="A1702" s="1" t="n">
        <v>56</v>
      </c>
      <c r="B1702" s="32" t="n">
        <f aca="false">INDEX(Surface_Engine!$V$12:$V$72,$A1702+1)*IF($A1702&lt;$Q$1644,INDEX(Surface_Engine!$E$12:$E$72,$A1702+1),INDEX(Surface_Engine!$E$12:$E$72,$Q$1644+1))</f>
        <v>0</v>
      </c>
      <c r="C1702" s="32" t="n">
        <f aca="false">INDEX(Panel_Reserving!$H$8:$H$68,$A1702+1)*IF($A1702&lt;$Q$1644,INDEX(Surface_Engine!$E$12:$E$72,$A1702+1),INDEX(Surface_Engine!$E$12:$E$72,$Q$1644+1))</f>
        <v>0</v>
      </c>
      <c r="D1702" s="32" t="n">
        <f aca="false">INDEX(Surface_Engine!$V$12:$V$72,$A1702+1)*IF($A1702&lt;$Q$1644,INDEX(Surface_Engine!$Y$12:$Y$72,$A1702+1),INDEX(Surface_Engine!$Y$12:$Y$72,$Q$1644+1))</f>
        <v>0</v>
      </c>
      <c r="E1702" s="32" t="n">
        <f aca="false">INDEX(Surface_Engine!$V$12:$V$72,$A1702+1)*IF($A1702&lt;$Q$1644,INDEX(Surface_Engine!$Z$12:$Z$72,$A1702+1),INDEX(Surface_Engine!$Z$12:$Z$72,$Q$1644+1))</f>
        <v>0</v>
      </c>
      <c r="F1702" s="48" t="n">
        <f aca="false">B1702*(IF($A1702&lt;$Q$1644,INDEX(Surface_Engine!$D$12:$D$72,$A1702+1)+(Surface_Engine!Q251*12)*INDEX(Surface_Engine!$F$12:$F$72,$A1702+1)-(Surface_Engine!Q251*12),1000*12*INDEX(Surface_Engine!$C$12:$C$72,$A1702+1)/(1+Assumptions!$B$10)^15+INDEX(Surface_Engine!$D$12:$D$72,$A1702+1)))*INDEX(Surface_Engine!$B$12:$B$72,$A1702+1)+F1703</f>
        <v>0</v>
      </c>
      <c r="G1702" s="48" t="n">
        <f aca="false">C1702*(IF($A1702&lt;$Q$1644,INDEX(Surface_Engine!$D$12:$D$72,$A1702+1)+(Surface_Engine!Q251*12)*INDEX(Surface_Engine!$F$12:$F$72,$A1702+1)-(Surface_Engine!Q251*12),1000*12*INDEX(Surface_Engine!$C$12:$C$72,$A1702+1)/(1+Assumptions!$B$10)^15+INDEX(Surface_Engine!$D$12:$D$72,$A1702+1)))*INDEX(Surface_Engine!$B$12:$B$72,$A1702+1)+G1703</f>
        <v>0</v>
      </c>
      <c r="H1702" s="48" t="n">
        <f aca="false">D1702*(IF($A1702&lt;$Q$1644,INDEX(Surface_Engine!$D$12:$D$72,$A1702+1)+(Surface_Engine!Q251*12)*INDEX(Surface_Engine!$F$12:$F$72,$A1702+1)-(Surface_Engine!Q251*12),1000*12*INDEX(Surface_Engine!$C$12:$C$72,$A1702+1)/(1+Assumptions!$B$10)^15+INDEX(Surface_Engine!$D$12:$D$72,$A1702+1)))*INDEX(Surface_Engine!$B$12:$B$72,$A1702+1)+H1703</f>
        <v>0</v>
      </c>
      <c r="I1702" s="48" t="n">
        <f aca="false">E1702*(IF($A1702&lt;$Q$1644,INDEX(Surface_Engine!$D$12:$D$72,$A1702+1)+(Surface_Engine!Q251*12)*INDEX(Surface_Engine!$F$12:$F$72,$A1702+1)-(Surface_Engine!Q251*12),1000*12*INDEX(Surface_Engine!$C$12:$C$72,$A1702+1)/(1+Assumptions!$B$10)^15+INDEX(Surface_Engine!$D$12:$D$72,$A1702+1)))*INDEX(Surface_Engine!$B$12:$B$72,$A1702+1)+I1703</f>
        <v>0</v>
      </c>
      <c r="J1702" s="48" t="n">
        <f aca="false">B1702*(IF($A1702&lt;$Q$1644,INDEX(Surface_Engine!$D$12:$D$72,$A1702+1)*(1+Assumptions!$B$24)+(Surface_Engine!Q251*12)*INDEX(Surface_Engine!$F$12:$F$72,$A1702+1)-(Surface_Engine!Q251*12),1000*12*INDEX(Surface_Engine!$C$12:$C$72,$A1702+1)/(1+Assumptions!$B$10)^15+INDEX(Surface_Engine!$D$12:$D$72,$A1702+1)*(1+Assumptions!$B$24)))*INDEX(Surface_Engine!$B$12:$B$72,$A1702+1)+J1703</f>
        <v>0</v>
      </c>
      <c r="K1702" s="12" t="n">
        <f aca="false">SQRT((IF(C1702&lt;=0,0,MAX(0,(B1702/C1702)*G1702/INDEX(Surface_Engine!$B$12:$B$72,$A1702+1)-F1702/INDEX(Surface_Engine!$B$12:$B$72,$A1702+1))))^2+(MAX(IF(D1702&lt;=0,0,MAX(0,(B1702/D1702)*H1702/INDEX(Surface_Engine!$B$12:$B$72,$A1702+1)-F1702/INDEX(Surface_Engine!$B$12:$B$72,$A1702+1))),IF(E1702&lt;=0,0,MAX(0,(B1702/E1702)*I1702/INDEX(Surface_Engine!$B$12:$B$72,$A1702+1)-F1702/INDEX(Surface_Engine!$B$12:$B$72,$A1702+1))),IF($A1702&lt;$Q$1644,MAX(0,-Assumptions!$B$22*(F1702/INDEX(Surface_Engine!$B$12:$B$72,$A1702+1))),0)))^2+(MAX(0,J1702/INDEX(Surface_Engine!$B$12:$B$72,$A1702+1)-(F1702/INDEX(Surface_Engine!$B$12:$B$72,$A1702+1))))^2+2*Assumptions!$B$26*(IF(C1702&lt;=0,0,MAX(0,(B1702/C1702)*G1702/INDEX(Surface_Engine!$B$12:$B$72,$A1702+1)-F1702/INDEX(Surface_Engine!$B$12:$B$72,$A1702+1))))*(MAX(IF(D1702&lt;=0,0,MAX(0,(B1702/D1702)*H1702/INDEX(Surface_Engine!$B$12:$B$72,$A1702+1)-F1702/INDEX(Surface_Engine!$B$12:$B$72,$A1702+1))),IF(E1702&lt;=0,0,MAX(0,(B1702/E1702)*I1702/INDEX(Surface_Engine!$B$12:$B$72,$A1702+1)-F1702/INDEX(Surface_Engine!$B$12:$B$72,$A1702+1))),IF($A1702&lt;$Q$1644,MAX(0,-Assumptions!$B$22*(F1702/INDEX(Surface_Engine!$B$12:$B$72,$A1702+1))),0)))+2*Assumptions!$B$27*(IF(C1702&lt;=0,0,MAX(0,(B1702/C1702)*G1702/INDEX(Surface_Engine!$B$12:$B$72,$A1702+1)-F1702/INDEX(Surface_Engine!$B$12:$B$72,$A1702+1))))*(MAX(0,J1702/INDEX(Surface_Engine!$B$12:$B$72,$A1702+1)-(F1702/INDEX(Surface_Engine!$B$12:$B$72,$A1702+1))))+2*Assumptions!$B$28*(MAX(IF(D1702&lt;=0,0,MAX(0,(B1702/D1702)*H1702/INDEX(Surface_Engine!$B$12:$B$72,$A1702+1)-F1702/INDEX(Surface_Engine!$B$12:$B$72,$A1702+1))),IF(E1702&lt;=0,0,MAX(0,(B1702/E1702)*I1702/INDEX(Surface_Engine!$B$12:$B$72,$A1702+1)-F1702/INDEX(Surface_Engine!$B$12:$B$72,$A1702+1))),IF($A1702&lt;$Q$1644,MAX(0,-Assumptions!$B$22*(F1702/INDEX(Surface_Engine!$B$12:$B$72,$A1702+1))),0)))*(MAX(0,J1702/INDEX(Surface_Engine!$B$12:$B$72,$A1702+1)-(F1702/INDEX(Surface_Engine!$B$12:$B$72,$A1702+1)))))</f>
        <v>0</v>
      </c>
      <c r="L1702" s="48" t="n">
        <f aca="false">K1702*INDEX(Surface_Engine!$B$12:$B$72,$A1702+1)+L1703</f>
        <v>0</v>
      </c>
      <c r="M1702" s="48" t="n">
        <f aca="false">M1701+B1701*(IF($A1701&lt;$Q$1644,(Surface_Engine!Q251*12)-(Surface_Engine!Q251*12)*INDEX(Surface_Engine!$F$12:$F$72,$A1701+1)-INDEX(Surface_Engine!$D$12:$D$72,$A1701+1),-(1000*12*INDEX(Surface_Engine!$C$12:$C$72,$A1701+1)/(1+Assumptions!$B$10)^15+INDEX(Surface_Engine!$D$12:$D$72,$A1701+1))))*INDEX(Surface_Engine!$B$12:$B$72,$A1701+1)</f>
        <v>715.984212462727</v>
      </c>
      <c r="N1702" s="12" t="n">
        <f aca="false">IF(B1702&lt;=0,0,MAX(0,(K1702+Assumptions!$B$29*L1702/INDEX(Surface_Engine!$B$12:$B$72,$A1702+1)-(M1702/INDEX(Surface_Engine!$B$12:$B$72,$A1702+1)-(F1702/INDEX(Surface_Engine!$B$12:$B$72,$A1702+1))))/B1702))</f>
        <v>0</v>
      </c>
    </row>
    <row r="1703" customFormat="false" ht="15" hidden="false" customHeight="true" outlineLevel="0" collapsed="false">
      <c r="A1703" s="1" t="n">
        <v>57</v>
      </c>
      <c r="B1703" s="32" t="n">
        <f aca="false">INDEX(Surface_Engine!$V$12:$V$72,$A1703+1)*IF($A1703&lt;$Q$1644,INDEX(Surface_Engine!$E$12:$E$72,$A1703+1),INDEX(Surface_Engine!$E$12:$E$72,$Q$1644+1))</f>
        <v>0</v>
      </c>
      <c r="C1703" s="32" t="n">
        <f aca="false">INDEX(Panel_Reserving!$H$8:$H$68,$A1703+1)*IF($A1703&lt;$Q$1644,INDEX(Surface_Engine!$E$12:$E$72,$A1703+1),INDEX(Surface_Engine!$E$12:$E$72,$Q$1644+1))</f>
        <v>0</v>
      </c>
      <c r="D1703" s="32" t="n">
        <f aca="false">INDEX(Surface_Engine!$V$12:$V$72,$A1703+1)*IF($A1703&lt;$Q$1644,INDEX(Surface_Engine!$Y$12:$Y$72,$A1703+1),INDEX(Surface_Engine!$Y$12:$Y$72,$Q$1644+1))</f>
        <v>0</v>
      </c>
      <c r="E1703" s="32" t="n">
        <f aca="false">INDEX(Surface_Engine!$V$12:$V$72,$A1703+1)*IF($A1703&lt;$Q$1644,INDEX(Surface_Engine!$Z$12:$Z$72,$A1703+1),INDEX(Surface_Engine!$Z$12:$Z$72,$Q$1644+1))</f>
        <v>0</v>
      </c>
      <c r="F1703" s="48" t="n">
        <f aca="false">B1703*(IF($A1703&lt;$Q$1644,INDEX(Surface_Engine!$D$12:$D$72,$A1703+1)+(Surface_Engine!Q251*12)*INDEX(Surface_Engine!$F$12:$F$72,$A1703+1)-(Surface_Engine!Q251*12),1000*12*INDEX(Surface_Engine!$C$12:$C$72,$A1703+1)/(1+Assumptions!$B$10)^15+INDEX(Surface_Engine!$D$12:$D$72,$A1703+1)))*INDEX(Surface_Engine!$B$12:$B$72,$A1703+1)+F1704</f>
        <v>0</v>
      </c>
      <c r="G1703" s="48" t="n">
        <f aca="false">C1703*(IF($A1703&lt;$Q$1644,INDEX(Surface_Engine!$D$12:$D$72,$A1703+1)+(Surface_Engine!Q251*12)*INDEX(Surface_Engine!$F$12:$F$72,$A1703+1)-(Surface_Engine!Q251*12),1000*12*INDEX(Surface_Engine!$C$12:$C$72,$A1703+1)/(1+Assumptions!$B$10)^15+INDEX(Surface_Engine!$D$12:$D$72,$A1703+1)))*INDEX(Surface_Engine!$B$12:$B$72,$A1703+1)+G1704</f>
        <v>0</v>
      </c>
      <c r="H1703" s="48" t="n">
        <f aca="false">D1703*(IF($A1703&lt;$Q$1644,INDEX(Surface_Engine!$D$12:$D$72,$A1703+1)+(Surface_Engine!Q251*12)*INDEX(Surface_Engine!$F$12:$F$72,$A1703+1)-(Surface_Engine!Q251*12),1000*12*INDEX(Surface_Engine!$C$12:$C$72,$A1703+1)/(1+Assumptions!$B$10)^15+INDEX(Surface_Engine!$D$12:$D$72,$A1703+1)))*INDEX(Surface_Engine!$B$12:$B$72,$A1703+1)+H1704</f>
        <v>0</v>
      </c>
      <c r="I1703" s="48" t="n">
        <f aca="false">E1703*(IF($A1703&lt;$Q$1644,INDEX(Surface_Engine!$D$12:$D$72,$A1703+1)+(Surface_Engine!Q251*12)*INDEX(Surface_Engine!$F$12:$F$72,$A1703+1)-(Surface_Engine!Q251*12),1000*12*INDEX(Surface_Engine!$C$12:$C$72,$A1703+1)/(1+Assumptions!$B$10)^15+INDEX(Surface_Engine!$D$12:$D$72,$A1703+1)))*INDEX(Surface_Engine!$B$12:$B$72,$A1703+1)+I1704</f>
        <v>0</v>
      </c>
      <c r="J1703" s="48" t="n">
        <f aca="false">B1703*(IF($A1703&lt;$Q$1644,INDEX(Surface_Engine!$D$12:$D$72,$A1703+1)*(1+Assumptions!$B$24)+(Surface_Engine!Q251*12)*INDEX(Surface_Engine!$F$12:$F$72,$A1703+1)-(Surface_Engine!Q251*12),1000*12*INDEX(Surface_Engine!$C$12:$C$72,$A1703+1)/(1+Assumptions!$B$10)^15+INDEX(Surface_Engine!$D$12:$D$72,$A1703+1)*(1+Assumptions!$B$24)))*INDEX(Surface_Engine!$B$12:$B$72,$A1703+1)+J1704</f>
        <v>0</v>
      </c>
      <c r="K1703" s="12" t="n">
        <f aca="false">SQRT((IF(C1703&lt;=0,0,MAX(0,(B1703/C1703)*G1703/INDEX(Surface_Engine!$B$12:$B$72,$A1703+1)-F1703/INDEX(Surface_Engine!$B$12:$B$72,$A1703+1))))^2+(MAX(IF(D1703&lt;=0,0,MAX(0,(B1703/D1703)*H1703/INDEX(Surface_Engine!$B$12:$B$72,$A1703+1)-F1703/INDEX(Surface_Engine!$B$12:$B$72,$A1703+1))),IF(E1703&lt;=0,0,MAX(0,(B1703/E1703)*I1703/INDEX(Surface_Engine!$B$12:$B$72,$A1703+1)-F1703/INDEX(Surface_Engine!$B$12:$B$72,$A1703+1))),IF($A1703&lt;$Q$1644,MAX(0,-Assumptions!$B$22*(F1703/INDEX(Surface_Engine!$B$12:$B$72,$A1703+1))),0)))^2+(MAX(0,J1703/INDEX(Surface_Engine!$B$12:$B$72,$A1703+1)-(F1703/INDEX(Surface_Engine!$B$12:$B$72,$A1703+1))))^2+2*Assumptions!$B$26*(IF(C1703&lt;=0,0,MAX(0,(B1703/C1703)*G1703/INDEX(Surface_Engine!$B$12:$B$72,$A1703+1)-F1703/INDEX(Surface_Engine!$B$12:$B$72,$A1703+1))))*(MAX(IF(D1703&lt;=0,0,MAX(0,(B1703/D1703)*H1703/INDEX(Surface_Engine!$B$12:$B$72,$A1703+1)-F1703/INDEX(Surface_Engine!$B$12:$B$72,$A1703+1))),IF(E1703&lt;=0,0,MAX(0,(B1703/E1703)*I1703/INDEX(Surface_Engine!$B$12:$B$72,$A1703+1)-F1703/INDEX(Surface_Engine!$B$12:$B$72,$A1703+1))),IF($A1703&lt;$Q$1644,MAX(0,-Assumptions!$B$22*(F1703/INDEX(Surface_Engine!$B$12:$B$72,$A1703+1))),0)))+2*Assumptions!$B$27*(IF(C1703&lt;=0,0,MAX(0,(B1703/C1703)*G1703/INDEX(Surface_Engine!$B$12:$B$72,$A1703+1)-F1703/INDEX(Surface_Engine!$B$12:$B$72,$A1703+1))))*(MAX(0,J1703/INDEX(Surface_Engine!$B$12:$B$72,$A1703+1)-(F1703/INDEX(Surface_Engine!$B$12:$B$72,$A1703+1))))+2*Assumptions!$B$28*(MAX(IF(D1703&lt;=0,0,MAX(0,(B1703/D1703)*H1703/INDEX(Surface_Engine!$B$12:$B$72,$A1703+1)-F1703/INDEX(Surface_Engine!$B$12:$B$72,$A1703+1))),IF(E1703&lt;=0,0,MAX(0,(B1703/E1703)*I1703/INDEX(Surface_Engine!$B$12:$B$72,$A1703+1)-F1703/INDEX(Surface_Engine!$B$12:$B$72,$A1703+1))),IF($A1703&lt;$Q$1644,MAX(0,-Assumptions!$B$22*(F1703/INDEX(Surface_Engine!$B$12:$B$72,$A1703+1))),0)))*(MAX(0,J1703/INDEX(Surface_Engine!$B$12:$B$72,$A1703+1)-(F1703/INDEX(Surface_Engine!$B$12:$B$72,$A1703+1)))))</f>
        <v>0</v>
      </c>
      <c r="L1703" s="48" t="n">
        <f aca="false">K1703*INDEX(Surface_Engine!$B$12:$B$72,$A1703+1)+L1704</f>
        <v>0</v>
      </c>
      <c r="M1703" s="48" t="n">
        <f aca="false">M1702+B1702*(IF($A1702&lt;$Q$1644,(Surface_Engine!Q251*12)-(Surface_Engine!Q251*12)*INDEX(Surface_Engine!$F$12:$F$72,$A1702+1)-INDEX(Surface_Engine!$D$12:$D$72,$A1702+1),-(1000*12*INDEX(Surface_Engine!$C$12:$C$72,$A1702+1)/(1+Assumptions!$B$10)^15+INDEX(Surface_Engine!$D$12:$D$72,$A1702+1))))*INDEX(Surface_Engine!$B$12:$B$72,$A1702+1)</f>
        <v>715.984212462727</v>
      </c>
      <c r="N1703" s="12" t="n">
        <f aca="false">IF(B1703&lt;=0,0,MAX(0,(K1703+Assumptions!$B$29*L1703/INDEX(Surface_Engine!$B$12:$B$72,$A1703+1)-(M1703/INDEX(Surface_Engine!$B$12:$B$72,$A1703+1)-(F1703/INDEX(Surface_Engine!$B$12:$B$72,$A1703+1))))/B1703))</f>
        <v>0</v>
      </c>
    </row>
    <row r="1704" customFormat="false" ht="15" hidden="false" customHeight="true" outlineLevel="0" collapsed="false">
      <c r="A1704" s="1" t="n">
        <v>58</v>
      </c>
      <c r="B1704" s="32" t="n">
        <f aca="false">INDEX(Surface_Engine!$V$12:$V$72,$A1704+1)*IF($A1704&lt;$Q$1644,INDEX(Surface_Engine!$E$12:$E$72,$A1704+1),INDEX(Surface_Engine!$E$12:$E$72,$Q$1644+1))</f>
        <v>0</v>
      </c>
      <c r="C1704" s="32" t="n">
        <f aca="false">INDEX(Panel_Reserving!$H$8:$H$68,$A1704+1)*IF($A1704&lt;$Q$1644,INDEX(Surface_Engine!$E$12:$E$72,$A1704+1),INDEX(Surface_Engine!$E$12:$E$72,$Q$1644+1))</f>
        <v>0</v>
      </c>
      <c r="D1704" s="32" t="n">
        <f aca="false">INDEX(Surface_Engine!$V$12:$V$72,$A1704+1)*IF($A1704&lt;$Q$1644,INDEX(Surface_Engine!$Y$12:$Y$72,$A1704+1),INDEX(Surface_Engine!$Y$12:$Y$72,$Q$1644+1))</f>
        <v>0</v>
      </c>
      <c r="E1704" s="32" t="n">
        <f aca="false">INDEX(Surface_Engine!$V$12:$V$72,$A1704+1)*IF($A1704&lt;$Q$1644,INDEX(Surface_Engine!$Z$12:$Z$72,$A1704+1),INDEX(Surface_Engine!$Z$12:$Z$72,$Q$1644+1))</f>
        <v>0</v>
      </c>
      <c r="F1704" s="48" t="n">
        <f aca="false">B1704*(IF($A1704&lt;$Q$1644,INDEX(Surface_Engine!$D$12:$D$72,$A1704+1)+(Surface_Engine!Q251*12)*INDEX(Surface_Engine!$F$12:$F$72,$A1704+1)-(Surface_Engine!Q251*12),1000*12*INDEX(Surface_Engine!$C$12:$C$72,$A1704+1)/(1+Assumptions!$B$10)^15+INDEX(Surface_Engine!$D$12:$D$72,$A1704+1)))*INDEX(Surface_Engine!$B$12:$B$72,$A1704+1)+F1705</f>
        <v>0</v>
      </c>
      <c r="G1704" s="48" t="n">
        <f aca="false">C1704*(IF($A1704&lt;$Q$1644,INDEX(Surface_Engine!$D$12:$D$72,$A1704+1)+(Surface_Engine!Q251*12)*INDEX(Surface_Engine!$F$12:$F$72,$A1704+1)-(Surface_Engine!Q251*12),1000*12*INDEX(Surface_Engine!$C$12:$C$72,$A1704+1)/(1+Assumptions!$B$10)^15+INDEX(Surface_Engine!$D$12:$D$72,$A1704+1)))*INDEX(Surface_Engine!$B$12:$B$72,$A1704+1)+G1705</f>
        <v>0</v>
      </c>
      <c r="H1704" s="48" t="n">
        <f aca="false">D1704*(IF($A1704&lt;$Q$1644,INDEX(Surface_Engine!$D$12:$D$72,$A1704+1)+(Surface_Engine!Q251*12)*INDEX(Surface_Engine!$F$12:$F$72,$A1704+1)-(Surface_Engine!Q251*12),1000*12*INDEX(Surface_Engine!$C$12:$C$72,$A1704+1)/(1+Assumptions!$B$10)^15+INDEX(Surface_Engine!$D$12:$D$72,$A1704+1)))*INDEX(Surface_Engine!$B$12:$B$72,$A1704+1)+H1705</f>
        <v>0</v>
      </c>
      <c r="I1704" s="48" t="n">
        <f aca="false">E1704*(IF($A1704&lt;$Q$1644,INDEX(Surface_Engine!$D$12:$D$72,$A1704+1)+(Surface_Engine!Q251*12)*INDEX(Surface_Engine!$F$12:$F$72,$A1704+1)-(Surface_Engine!Q251*12),1000*12*INDEX(Surface_Engine!$C$12:$C$72,$A1704+1)/(1+Assumptions!$B$10)^15+INDEX(Surface_Engine!$D$12:$D$72,$A1704+1)))*INDEX(Surface_Engine!$B$12:$B$72,$A1704+1)+I1705</f>
        <v>0</v>
      </c>
      <c r="J1704" s="48" t="n">
        <f aca="false">B1704*(IF($A1704&lt;$Q$1644,INDEX(Surface_Engine!$D$12:$D$72,$A1704+1)*(1+Assumptions!$B$24)+(Surface_Engine!Q251*12)*INDEX(Surface_Engine!$F$12:$F$72,$A1704+1)-(Surface_Engine!Q251*12),1000*12*INDEX(Surface_Engine!$C$12:$C$72,$A1704+1)/(1+Assumptions!$B$10)^15+INDEX(Surface_Engine!$D$12:$D$72,$A1704+1)*(1+Assumptions!$B$24)))*INDEX(Surface_Engine!$B$12:$B$72,$A1704+1)+J1705</f>
        <v>0</v>
      </c>
      <c r="K1704" s="12" t="n">
        <f aca="false">SQRT((IF(C1704&lt;=0,0,MAX(0,(B1704/C1704)*G1704/INDEX(Surface_Engine!$B$12:$B$72,$A1704+1)-F1704/INDEX(Surface_Engine!$B$12:$B$72,$A1704+1))))^2+(MAX(IF(D1704&lt;=0,0,MAX(0,(B1704/D1704)*H1704/INDEX(Surface_Engine!$B$12:$B$72,$A1704+1)-F1704/INDEX(Surface_Engine!$B$12:$B$72,$A1704+1))),IF(E1704&lt;=0,0,MAX(0,(B1704/E1704)*I1704/INDEX(Surface_Engine!$B$12:$B$72,$A1704+1)-F1704/INDEX(Surface_Engine!$B$12:$B$72,$A1704+1))),IF($A1704&lt;$Q$1644,MAX(0,-Assumptions!$B$22*(F1704/INDEX(Surface_Engine!$B$12:$B$72,$A1704+1))),0)))^2+(MAX(0,J1704/INDEX(Surface_Engine!$B$12:$B$72,$A1704+1)-(F1704/INDEX(Surface_Engine!$B$12:$B$72,$A1704+1))))^2+2*Assumptions!$B$26*(IF(C1704&lt;=0,0,MAX(0,(B1704/C1704)*G1704/INDEX(Surface_Engine!$B$12:$B$72,$A1704+1)-F1704/INDEX(Surface_Engine!$B$12:$B$72,$A1704+1))))*(MAX(IF(D1704&lt;=0,0,MAX(0,(B1704/D1704)*H1704/INDEX(Surface_Engine!$B$12:$B$72,$A1704+1)-F1704/INDEX(Surface_Engine!$B$12:$B$72,$A1704+1))),IF(E1704&lt;=0,0,MAX(0,(B1704/E1704)*I1704/INDEX(Surface_Engine!$B$12:$B$72,$A1704+1)-F1704/INDEX(Surface_Engine!$B$12:$B$72,$A1704+1))),IF($A1704&lt;$Q$1644,MAX(0,-Assumptions!$B$22*(F1704/INDEX(Surface_Engine!$B$12:$B$72,$A1704+1))),0)))+2*Assumptions!$B$27*(IF(C1704&lt;=0,0,MAX(0,(B1704/C1704)*G1704/INDEX(Surface_Engine!$B$12:$B$72,$A1704+1)-F1704/INDEX(Surface_Engine!$B$12:$B$72,$A1704+1))))*(MAX(0,J1704/INDEX(Surface_Engine!$B$12:$B$72,$A1704+1)-(F1704/INDEX(Surface_Engine!$B$12:$B$72,$A1704+1))))+2*Assumptions!$B$28*(MAX(IF(D1704&lt;=0,0,MAX(0,(B1704/D1704)*H1704/INDEX(Surface_Engine!$B$12:$B$72,$A1704+1)-F1704/INDEX(Surface_Engine!$B$12:$B$72,$A1704+1))),IF(E1704&lt;=0,0,MAX(0,(B1704/E1704)*I1704/INDEX(Surface_Engine!$B$12:$B$72,$A1704+1)-F1704/INDEX(Surface_Engine!$B$12:$B$72,$A1704+1))),IF($A1704&lt;$Q$1644,MAX(0,-Assumptions!$B$22*(F1704/INDEX(Surface_Engine!$B$12:$B$72,$A1704+1))),0)))*(MAX(0,J1704/INDEX(Surface_Engine!$B$12:$B$72,$A1704+1)-(F1704/INDEX(Surface_Engine!$B$12:$B$72,$A1704+1)))))</f>
        <v>0</v>
      </c>
      <c r="L1704" s="48" t="n">
        <f aca="false">K1704*INDEX(Surface_Engine!$B$12:$B$72,$A1704+1)+L1705</f>
        <v>0</v>
      </c>
      <c r="M1704" s="48" t="n">
        <f aca="false">M1703+B1703*(IF($A1703&lt;$Q$1644,(Surface_Engine!Q251*12)-(Surface_Engine!Q251*12)*INDEX(Surface_Engine!$F$12:$F$72,$A1703+1)-INDEX(Surface_Engine!$D$12:$D$72,$A1703+1),-(1000*12*INDEX(Surface_Engine!$C$12:$C$72,$A1703+1)/(1+Assumptions!$B$10)^15+INDEX(Surface_Engine!$D$12:$D$72,$A1703+1))))*INDEX(Surface_Engine!$B$12:$B$72,$A1703+1)</f>
        <v>715.984212462727</v>
      </c>
      <c r="N1704" s="12" t="n">
        <f aca="false">IF(B1704&lt;=0,0,MAX(0,(K1704+Assumptions!$B$29*L1704/INDEX(Surface_Engine!$B$12:$B$72,$A1704+1)-(M1704/INDEX(Surface_Engine!$B$12:$B$72,$A1704+1)-(F1704/INDEX(Surface_Engine!$B$12:$B$72,$A1704+1))))/B1704))</f>
        <v>0</v>
      </c>
    </row>
    <row r="1705" customFormat="false" ht="15" hidden="false" customHeight="true" outlineLevel="0" collapsed="false">
      <c r="A1705" s="1" t="n">
        <v>59</v>
      </c>
      <c r="B1705" s="32" t="n">
        <f aca="false">INDEX(Surface_Engine!$V$12:$V$72,$A1705+1)*IF($A1705&lt;$Q$1644,INDEX(Surface_Engine!$E$12:$E$72,$A1705+1),INDEX(Surface_Engine!$E$12:$E$72,$Q$1644+1))</f>
        <v>0</v>
      </c>
      <c r="C1705" s="32" t="n">
        <f aca="false">INDEX(Panel_Reserving!$H$8:$H$68,$A1705+1)*IF($A1705&lt;$Q$1644,INDEX(Surface_Engine!$E$12:$E$72,$A1705+1),INDEX(Surface_Engine!$E$12:$E$72,$Q$1644+1))</f>
        <v>0</v>
      </c>
      <c r="D1705" s="32" t="n">
        <f aca="false">INDEX(Surface_Engine!$V$12:$V$72,$A1705+1)*IF($A1705&lt;$Q$1644,INDEX(Surface_Engine!$Y$12:$Y$72,$A1705+1),INDEX(Surface_Engine!$Y$12:$Y$72,$Q$1644+1))</f>
        <v>0</v>
      </c>
      <c r="E1705" s="32" t="n">
        <f aca="false">INDEX(Surface_Engine!$V$12:$V$72,$A1705+1)*IF($A1705&lt;$Q$1644,INDEX(Surface_Engine!$Z$12:$Z$72,$A1705+1),INDEX(Surface_Engine!$Z$12:$Z$72,$Q$1644+1))</f>
        <v>0</v>
      </c>
      <c r="F1705" s="48" t="n">
        <f aca="false">B1705*(IF($A1705&lt;$Q$1644,INDEX(Surface_Engine!$D$12:$D$72,$A1705+1)+(Surface_Engine!Q251*12)*INDEX(Surface_Engine!$F$12:$F$72,$A1705+1)-(Surface_Engine!Q251*12),1000*12*INDEX(Surface_Engine!$C$12:$C$72,$A1705+1)/(1+Assumptions!$B$10)^15+INDEX(Surface_Engine!$D$12:$D$72,$A1705+1)))*INDEX(Surface_Engine!$B$12:$B$72,$A1705+1)+F1706</f>
        <v>0</v>
      </c>
      <c r="G1705" s="48" t="n">
        <f aca="false">C1705*(IF($A1705&lt;$Q$1644,INDEX(Surface_Engine!$D$12:$D$72,$A1705+1)+(Surface_Engine!Q251*12)*INDEX(Surface_Engine!$F$12:$F$72,$A1705+1)-(Surface_Engine!Q251*12),1000*12*INDEX(Surface_Engine!$C$12:$C$72,$A1705+1)/(1+Assumptions!$B$10)^15+INDEX(Surface_Engine!$D$12:$D$72,$A1705+1)))*INDEX(Surface_Engine!$B$12:$B$72,$A1705+1)+G1706</f>
        <v>0</v>
      </c>
      <c r="H1705" s="48" t="n">
        <f aca="false">D1705*(IF($A1705&lt;$Q$1644,INDEX(Surface_Engine!$D$12:$D$72,$A1705+1)+(Surface_Engine!Q251*12)*INDEX(Surface_Engine!$F$12:$F$72,$A1705+1)-(Surface_Engine!Q251*12),1000*12*INDEX(Surface_Engine!$C$12:$C$72,$A1705+1)/(1+Assumptions!$B$10)^15+INDEX(Surface_Engine!$D$12:$D$72,$A1705+1)))*INDEX(Surface_Engine!$B$12:$B$72,$A1705+1)+H1706</f>
        <v>0</v>
      </c>
      <c r="I1705" s="48" t="n">
        <f aca="false">E1705*(IF($A1705&lt;$Q$1644,INDEX(Surface_Engine!$D$12:$D$72,$A1705+1)+(Surface_Engine!Q251*12)*INDEX(Surface_Engine!$F$12:$F$72,$A1705+1)-(Surface_Engine!Q251*12),1000*12*INDEX(Surface_Engine!$C$12:$C$72,$A1705+1)/(1+Assumptions!$B$10)^15+INDEX(Surface_Engine!$D$12:$D$72,$A1705+1)))*INDEX(Surface_Engine!$B$12:$B$72,$A1705+1)+I1706</f>
        <v>0</v>
      </c>
      <c r="J1705" s="48" t="n">
        <f aca="false">B1705*(IF($A1705&lt;$Q$1644,INDEX(Surface_Engine!$D$12:$D$72,$A1705+1)*(1+Assumptions!$B$24)+(Surface_Engine!Q251*12)*INDEX(Surface_Engine!$F$12:$F$72,$A1705+1)-(Surface_Engine!Q251*12),1000*12*INDEX(Surface_Engine!$C$12:$C$72,$A1705+1)/(1+Assumptions!$B$10)^15+INDEX(Surface_Engine!$D$12:$D$72,$A1705+1)*(1+Assumptions!$B$24)))*INDEX(Surface_Engine!$B$12:$B$72,$A1705+1)+J1706</f>
        <v>0</v>
      </c>
      <c r="K1705" s="12" t="n">
        <f aca="false">SQRT((IF(C1705&lt;=0,0,MAX(0,(B1705/C1705)*G1705/INDEX(Surface_Engine!$B$12:$B$72,$A1705+1)-F1705/INDEX(Surface_Engine!$B$12:$B$72,$A1705+1))))^2+(MAX(IF(D1705&lt;=0,0,MAX(0,(B1705/D1705)*H1705/INDEX(Surface_Engine!$B$12:$B$72,$A1705+1)-F1705/INDEX(Surface_Engine!$B$12:$B$72,$A1705+1))),IF(E1705&lt;=0,0,MAX(0,(B1705/E1705)*I1705/INDEX(Surface_Engine!$B$12:$B$72,$A1705+1)-F1705/INDEX(Surface_Engine!$B$12:$B$72,$A1705+1))),IF($A1705&lt;$Q$1644,MAX(0,-Assumptions!$B$22*(F1705/INDEX(Surface_Engine!$B$12:$B$72,$A1705+1))),0)))^2+(MAX(0,J1705/INDEX(Surface_Engine!$B$12:$B$72,$A1705+1)-(F1705/INDEX(Surface_Engine!$B$12:$B$72,$A1705+1))))^2+2*Assumptions!$B$26*(IF(C1705&lt;=0,0,MAX(0,(B1705/C1705)*G1705/INDEX(Surface_Engine!$B$12:$B$72,$A1705+1)-F1705/INDEX(Surface_Engine!$B$12:$B$72,$A1705+1))))*(MAX(IF(D1705&lt;=0,0,MAX(0,(B1705/D1705)*H1705/INDEX(Surface_Engine!$B$12:$B$72,$A1705+1)-F1705/INDEX(Surface_Engine!$B$12:$B$72,$A1705+1))),IF(E1705&lt;=0,0,MAX(0,(B1705/E1705)*I1705/INDEX(Surface_Engine!$B$12:$B$72,$A1705+1)-F1705/INDEX(Surface_Engine!$B$12:$B$72,$A1705+1))),IF($A1705&lt;$Q$1644,MAX(0,-Assumptions!$B$22*(F1705/INDEX(Surface_Engine!$B$12:$B$72,$A1705+1))),0)))+2*Assumptions!$B$27*(IF(C1705&lt;=0,0,MAX(0,(B1705/C1705)*G1705/INDEX(Surface_Engine!$B$12:$B$72,$A1705+1)-F1705/INDEX(Surface_Engine!$B$12:$B$72,$A1705+1))))*(MAX(0,J1705/INDEX(Surface_Engine!$B$12:$B$72,$A1705+1)-(F1705/INDEX(Surface_Engine!$B$12:$B$72,$A1705+1))))+2*Assumptions!$B$28*(MAX(IF(D1705&lt;=0,0,MAX(0,(B1705/D1705)*H1705/INDEX(Surface_Engine!$B$12:$B$72,$A1705+1)-F1705/INDEX(Surface_Engine!$B$12:$B$72,$A1705+1))),IF(E1705&lt;=0,0,MAX(0,(B1705/E1705)*I1705/INDEX(Surface_Engine!$B$12:$B$72,$A1705+1)-F1705/INDEX(Surface_Engine!$B$12:$B$72,$A1705+1))),IF($A1705&lt;$Q$1644,MAX(0,-Assumptions!$B$22*(F1705/INDEX(Surface_Engine!$B$12:$B$72,$A1705+1))),0)))*(MAX(0,J1705/INDEX(Surface_Engine!$B$12:$B$72,$A1705+1)-(F1705/INDEX(Surface_Engine!$B$12:$B$72,$A1705+1)))))</f>
        <v>0</v>
      </c>
      <c r="L1705" s="48" t="n">
        <f aca="false">K1705*INDEX(Surface_Engine!$B$12:$B$72,$A1705+1)+L1706</f>
        <v>0</v>
      </c>
      <c r="M1705" s="48" t="n">
        <f aca="false">M1704+B1704*(IF($A1704&lt;$Q$1644,(Surface_Engine!Q251*12)-(Surface_Engine!Q251*12)*INDEX(Surface_Engine!$F$12:$F$72,$A1704+1)-INDEX(Surface_Engine!$D$12:$D$72,$A1704+1),-(1000*12*INDEX(Surface_Engine!$C$12:$C$72,$A1704+1)/(1+Assumptions!$B$10)^15+INDEX(Surface_Engine!$D$12:$D$72,$A1704+1))))*INDEX(Surface_Engine!$B$12:$B$72,$A1704+1)</f>
        <v>715.984212462727</v>
      </c>
      <c r="N1705" s="12" t="n">
        <f aca="false">IF(B1705&lt;=0,0,MAX(0,(K1705+Assumptions!$B$29*L1705/INDEX(Surface_Engine!$B$12:$B$72,$A1705+1)-(M1705/INDEX(Surface_Engine!$B$12:$B$72,$A1705+1)-(F1705/INDEX(Surface_Engine!$B$12:$B$72,$A1705+1))))/B1705))</f>
        <v>0</v>
      </c>
    </row>
    <row r="1706" customFormat="false" ht="15" hidden="false" customHeight="true" outlineLevel="0" collapsed="false">
      <c r="A1706" s="1" t="n">
        <v>60</v>
      </c>
      <c r="B1706" s="32" t="n">
        <f aca="false">INDEX(Surface_Engine!$V$12:$V$72,$A1706+1)*IF($A1706&lt;$Q$1644,INDEX(Surface_Engine!$E$12:$E$72,$A1706+1),INDEX(Surface_Engine!$E$12:$E$72,$Q$1644+1))</f>
        <v>0</v>
      </c>
      <c r="C1706" s="32" t="n">
        <f aca="false">INDEX(Panel_Reserving!$H$8:$H$68,$A1706+1)*IF($A1706&lt;$Q$1644,INDEX(Surface_Engine!$E$12:$E$72,$A1706+1),INDEX(Surface_Engine!$E$12:$E$72,$Q$1644+1))</f>
        <v>0</v>
      </c>
      <c r="D1706" s="32" t="n">
        <f aca="false">INDEX(Surface_Engine!$V$12:$V$72,$A1706+1)*IF($A1706&lt;$Q$1644,INDEX(Surface_Engine!$Y$12:$Y$72,$A1706+1),INDEX(Surface_Engine!$Y$12:$Y$72,$Q$1644+1))</f>
        <v>0</v>
      </c>
      <c r="E1706" s="32" t="n">
        <f aca="false">INDEX(Surface_Engine!$V$12:$V$72,$A1706+1)*IF($A1706&lt;$Q$1644,INDEX(Surface_Engine!$Z$12:$Z$72,$A1706+1),INDEX(Surface_Engine!$Z$12:$Z$72,$Q$1644+1))</f>
        <v>0</v>
      </c>
      <c r="F1706" s="48" t="n">
        <f aca="false">B1706*(IF($A1706&lt;$Q$1644,INDEX(Surface_Engine!$D$12:$D$72,$A1706+1)+(Surface_Engine!Q251*12)*INDEX(Surface_Engine!$F$12:$F$72,$A1706+1)-(Surface_Engine!Q251*12),1000*12*INDEX(Surface_Engine!$C$12:$C$72,$A1706+1)/(1+Assumptions!$B$10)^15+INDEX(Surface_Engine!$D$12:$D$72,$A1706+1)))*INDEX(Surface_Engine!$B$12:$B$72,$A1706+1)</f>
        <v>0</v>
      </c>
      <c r="G1706" s="48" t="n">
        <f aca="false">C1706*(IF($A1706&lt;$Q$1644,INDEX(Surface_Engine!$D$12:$D$72,$A1706+1)+(Surface_Engine!Q251*12)*INDEX(Surface_Engine!$F$12:$F$72,$A1706+1)-(Surface_Engine!Q251*12),1000*12*INDEX(Surface_Engine!$C$12:$C$72,$A1706+1)/(1+Assumptions!$B$10)^15+INDEX(Surface_Engine!$D$12:$D$72,$A1706+1)))*INDEX(Surface_Engine!$B$12:$B$72,$A1706+1)</f>
        <v>0</v>
      </c>
      <c r="H1706" s="48" t="n">
        <f aca="false">D1706*(IF($A1706&lt;$Q$1644,INDEX(Surface_Engine!$D$12:$D$72,$A1706+1)+(Surface_Engine!Q251*12)*INDEX(Surface_Engine!$F$12:$F$72,$A1706+1)-(Surface_Engine!Q251*12),1000*12*INDEX(Surface_Engine!$C$12:$C$72,$A1706+1)/(1+Assumptions!$B$10)^15+INDEX(Surface_Engine!$D$12:$D$72,$A1706+1)))*INDEX(Surface_Engine!$B$12:$B$72,$A1706+1)</f>
        <v>0</v>
      </c>
      <c r="I1706" s="48" t="n">
        <f aca="false">E1706*(IF($A1706&lt;$Q$1644,INDEX(Surface_Engine!$D$12:$D$72,$A1706+1)+(Surface_Engine!Q251*12)*INDEX(Surface_Engine!$F$12:$F$72,$A1706+1)-(Surface_Engine!Q251*12),1000*12*INDEX(Surface_Engine!$C$12:$C$72,$A1706+1)/(1+Assumptions!$B$10)^15+INDEX(Surface_Engine!$D$12:$D$72,$A1706+1)))*INDEX(Surface_Engine!$B$12:$B$72,$A1706+1)</f>
        <v>0</v>
      </c>
      <c r="J1706" s="48" t="n">
        <f aca="false">B1706*(IF($A1706&lt;$Q$1644,INDEX(Surface_Engine!$D$12:$D$72,$A1706+1)*(1+Assumptions!$B$24)+(Surface_Engine!Q251*12)*INDEX(Surface_Engine!$F$12:$F$72,$A1706+1)-(Surface_Engine!Q251*12),1000*12*INDEX(Surface_Engine!$C$12:$C$72,$A1706+1)/(1+Assumptions!$B$10)^15+INDEX(Surface_Engine!$D$12:$D$72,$A1706+1)*(1+Assumptions!$B$24)))*INDEX(Surface_Engine!$B$12:$B$72,$A1706+1)</f>
        <v>0</v>
      </c>
      <c r="K1706" s="12" t="n">
        <f aca="false">SQRT((IF(C1706&lt;=0,0,MAX(0,(B1706/C1706)*G1706/INDEX(Surface_Engine!$B$12:$B$72,$A1706+1)-F1706/INDEX(Surface_Engine!$B$12:$B$72,$A1706+1))))^2+(MAX(IF(D1706&lt;=0,0,MAX(0,(B1706/D1706)*H1706/INDEX(Surface_Engine!$B$12:$B$72,$A1706+1)-F1706/INDEX(Surface_Engine!$B$12:$B$72,$A1706+1))),IF(E1706&lt;=0,0,MAX(0,(B1706/E1706)*I1706/INDEX(Surface_Engine!$B$12:$B$72,$A1706+1)-F1706/INDEX(Surface_Engine!$B$12:$B$72,$A1706+1))),IF($A1706&lt;$Q$1644,MAX(0,-Assumptions!$B$22*(F1706/INDEX(Surface_Engine!$B$12:$B$72,$A1706+1))),0)))^2+(MAX(0,J1706/INDEX(Surface_Engine!$B$12:$B$72,$A1706+1)-(F1706/INDEX(Surface_Engine!$B$12:$B$72,$A1706+1))))^2+2*Assumptions!$B$26*(IF(C1706&lt;=0,0,MAX(0,(B1706/C1706)*G1706/INDEX(Surface_Engine!$B$12:$B$72,$A1706+1)-F1706/INDEX(Surface_Engine!$B$12:$B$72,$A1706+1))))*(MAX(IF(D1706&lt;=0,0,MAX(0,(B1706/D1706)*H1706/INDEX(Surface_Engine!$B$12:$B$72,$A1706+1)-F1706/INDEX(Surface_Engine!$B$12:$B$72,$A1706+1))),IF(E1706&lt;=0,0,MAX(0,(B1706/E1706)*I1706/INDEX(Surface_Engine!$B$12:$B$72,$A1706+1)-F1706/INDEX(Surface_Engine!$B$12:$B$72,$A1706+1))),IF($A1706&lt;$Q$1644,MAX(0,-Assumptions!$B$22*(F1706/INDEX(Surface_Engine!$B$12:$B$72,$A1706+1))),0)))+2*Assumptions!$B$27*(IF(C1706&lt;=0,0,MAX(0,(B1706/C1706)*G1706/INDEX(Surface_Engine!$B$12:$B$72,$A1706+1)-F1706/INDEX(Surface_Engine!$B$12:$B$72,$A1706+1))))*(MAX(0,J1706/INDEX(Surface_Engine!$B$12:$B$72,$A1706+1)-(F1706/INDEX(Surface_Engine!$B$12:$B$72,$A1706+1))))+2*Assumptions!$B$28*(MAX(IF(D1706&lt;=0,0,MAX(0,(B1706/D1706)*H1706/INDEX(Surface_Engine!$B$12:$B$72,$A1706+1)-F1706/INDEX(Surface_Engine!$B$12:$B$72,$A1706+1))),IF(E1706&lt;=0,0,MAX(0,(B1706/E1706)*I1706/INDEX(Surface_Engine!$B$12:$B$72,$A1706+1)-F1706/INDEX(Surface_Engine!$B$12:$B$72,$A1706+1))),IF($A1706&lt;$Q$1644,MAX(0,-Assumptions!$B$22*(F1706/INDEX(Surface_Engine!$B$12:$B$72,$A1706+1))),0)))*(MAX(0,J1706/INDEX(Surface_Engine!$B$12:$B$72,$A1706+1)-(F1706/INDEX(Surface_Engine!$B$12:$B$72,$A1706+1)))))</f>
        <v>0</v>
      </c>
      <c r="L1706" s="48" t="n">
        <f aca="false">K1706*INDEX(Surface_Engine!$B$12:$B$72,$A1706+1)</f>
        <v>0</v>
      </c>
      <c r="M1706" s="48" t="n">
        <f aca="false">M1705+B1705*(IF($A1705&lt;$Q$1644,(Surface_Engine!Q251*12)-(Surface_Engine!Q251*12)*INDEX(Surface_Engine!$F$12:$F$72,$A1705+1)-INDEX(Surface_Engine!$D$12:$D$72,$A1705+1),-(1000*12*INDEX(Surface_Engine!$C$12:$C$72,$A1705+1)/(1+Assumptions!$B$10)^15+INDEX(Surface_Engine!$D$12:$D$72,$A1705+1))))*INDEX(Surface_Engine!$B$12:$B$72,$A1705+1)</f>
        <v>715.984212462727</v>
      </c>
      <c r="N1706" s="12" t="n">
        <f aca="false">IF(B1706&lt;=0,0,MAX(0,(K1706+Assumptions!$B$29*L1706/INDEX(Surface_Engine!$B$12:$B$72,$A1706+1)-(M1706/INDEX(Surface_Engine!$B$12:$B$72,$A1706+1)-(F1706/INDEX(Surface_Engine!$B$12:$B$72,$A1706+1))))/B1706))</f>
        <v>0</v>
      </c>
    </row>
    <row r="1707" customFormat="false" ht="15" hidden="false" customHeight="true" outlineLevel="0" collapsed="false">
      <c r="A1707" s="3" t="s">
        <v>1635</v>
      </c>
      <c r="C1707" s="49" t="n">
        <f aca="false">MAX(N1646:N1706)</f>
        <v>14154.1795633064</v>
      </c>
      <c r="E1707" s="7" t="s">
        <v>1634</v>
      </c>
      <c r="G1707" s="21" t="n">
        <f aca="false">INDEX(A1646:A1706,MATCH(C1707,N1646:N1706,0))</f>
        <v>12</v>
      </c>
    </row>
    <row r="1712" customFormat="false" ht="15" hidden="false" customHeight="true" outlineLevel="0" collapsed="false">
      <c r="A1712" s="6" t="s">
        <v>1636</v>
      </c>
    </row>
    <row r="1713" customFormat="false" ht="15" hidden="false" customHeight="true" outlineLevel="0" collapsed="false">
      <c r="A1713" s="8" t="s">
        <v>1556</v>
      </c>
      <c r="B1713" s="89" t="n">
        <v>75</v>
      </c>
      <c r="C1713" s="89" t="n">
        <v>80</v>
      </c>
      <c r="D1713" s="89" t="n">
        <v>85</v>
      </c>
      <c r="E1713" s="89" t="n">
        <v>90</v>
      </c>
    </row>
    <row r="1714" customFormat="false" ht="15" hidden="false" customHeight="true" outlineLevel="0" collapsed="false">
      <c r="A1714" s="3" t="n">
        <v>60</v>
      </c>
      <c r="B1714" s="12" t="n">
        <f aca="false">C69</f>
        <v>23250.7785519585</v>
      </c>
      <c r="C1714" s="12" t="n">
        <f aca="false">C132</f>
        <v>21189.4137593223</v>
      </c>
      <c r="D1714" s="12" t="n">
        <f aca="false">C195</f>
        <v>18615.9806688428</v>
      </c>
      <c r="E1714" s="12" t="n">
        <f aca="false">C258</f>
        <v>15306.9358898446</v>
      </c>
    </row>
    <row r="1715" customFormat="false" ht="15" hidden="false" customHeight="true" outlineLevel="0" collapsed="false">
      <c r="A1715" s="3" t="n">
        <v>63</v>
      </c>
      <c r="B1715" s="12" t="n">
        <f aca="false">C321</f>
        <v>22948.6873224423</v>
      </c>
      <c r="C1715" s="12" t="n">
        <f aca="false">C384</f>
        <v>20783.3344802615</v>
      </c>
      <c r="D1715" s="12" t="n">
        <f aca="false">C447</f>
        <v>18322.3605550484</v>
      </c>
      <c r="E1715" s="12" t="n">
        <f aca="false">C510</f>
        <v>15151.1011737887</v>
      </c>
    </row>
    <row r="1716" customFormat="false" ht="15" hidden="false" customHeight="true" outlineLevel="0" collapsed="false">
      <c r="A1716" s="3" t="n">
        <v>65</v>
      </c>
      <c r="B1716" s="12" t="n">
        <f aca="false">C573</f>
        <v>22672.8640064579</v>
      </c>
      <c r="C1716" s="12" t="n">
        <f aca="false">C636</f>
        <v>20498.8328088221</v>
      </c>
      <c r="D1716" s="12" t="n">
        <f aca="false">C699</f>
        <v>18051.1058694156</v>
      </c>
      <c r="E1716" s="12" t="n">
        <f aca="false">C762</f>
        <v>15053.6181230651</v>
      </c>
    </row>
    <row r="1717" customFormat="false" ht="15" hidden="false" customHeight="true" outlineLevel="0" collapsed="false">
      <c r="A1717" s="3" t="n">
        <v>68</v>
      </c>
      <c r="B1717" s="12" t="n">
        <f aca="false">C825</f>
        <v>22152.0237966531</v>
      </c>
      <c r="C1717" s="12" t="n">
        <f aca="false">C888</f>
        <v>20176.775185485</v>
      </c>
      <c r="D1717" s="12" t="n">
        <f aca="false">C951</f>
        <v>17623.7182172438</v>
      </c>
      <c r="E1717" s="12" t="n">
        <f aca="false">C1014</f>
        <v>14883.1801802266</v>
      </c>
    </row>
    <row r="1718" customFormat="false" ht="15" hidden="false" customHeight="true" outlineLevel="0" collapsed="false">
      <c r="A1718" s="3" t="n">
        <v>70</v>
      </c>
      <c r="B1718" s="12" t="n">
        <f aca="false">C1077</f>
        <v>21513.7347350036</v>
      </c>
      <c r="C1718" s="12" t="n">
        <f aca="false">C1140</f>
        <v>19912.7370799276</v>
      </c>
      <c r="D1718" s="12" t="n">
        <f aca="false">C1203</f>
        <v>17368.4909493315</v>
      </c>
      <c r="E1718" s="12" t="n">
        <f aca="false">C1266</f>
        <v>14726.0245130291</v>
      </c>
    </row>
    <row r="1719" customFormat="false" ht="15" hidden="false" customHeight="true" outlineLevel="0" collapsed="false">
      <c r="A1719" s="3" t="n">
        <v>72</v>
      </c>
      <c r="B1719" s="12" t="n">
        <f aca="false">C1329</f>
        <v>20346.1874298274</v>
      </c>
      <c r="C1719" s="12" t="n">
        <f aca="false">C1392</f>
        <v>19605.6899985158</v>
      </c>
      <c r="D1719" s="12" t="n">
        <f aca="false">C1455</f>
        <v>17095.6766458505</v>
      </c>
      <c r="E1719" s="12" t="n">
        <f aca="false">C1518</f>
        <v>14513.1307722476</v>
      </c>
    </row>
    <row r="1720" customFormat="false" ht="15" hidden="false" customHeight="true" outlineLevel="0" collapsed="false">
      <c r="A1720" s="3" t="n">
        <v>75</v>
      </c>
      <c r="B1720" s="7" t="s">
        <v>1557</v>
      </c>
      <c r="C1720" s="12" t="n">
        <f aca="false">C1581</f>
        <v>18895.2499922684</v>
      </c>
      <c r="D1720" s="12" t="n">
        <f aca="false">C1644</f>
        <v>16769.2298180154</v>
      </c>
      <c r="E1720" s="12" t="n">
        <f aca="false">C1707</f>
        <v>14154.1795633064</v>
      </c>
    </row>
    <row r="1723" customFormat="false" ht="15" hidden="false" customHeight="true" outlineLevel="0" collapsed="false">
      <c r="A1723" s="6" t="s">
        <v>1637</v>
      </c>
    </row>
    <row r="1724" customFormat="false" ht="15" hidden="false" customHeight="true" outlineLevel="0" collapsed="false">
      <c r="A1724" s="8" t="s">
        <v>1556</v>
      </c>
      <c r="B1724" s="89" t="n">
        <v>75</v>
      </c>
      <c r="C1724" s="89" t="n">
        <v>80</v>
      </c>
      <c r="D1724" s="89" t="n">
        <v>85</v>
      </c>
      <c r="E1724" s="89" t="n">
        <v>90</v>
      </c>
      <c r="G1724" s="8" t="s">
        <v>1638</v>
      </c>
    </row>
    <row r="1725" customFormat="false" ht="15" hidden="false" customHeight="true" outlineLevel="0" collapsed="false">
      <c r="A1725" s="3" t="n">
        <v>60</v>
      </c>
      <c r="B1725" s="34" t="n">
        <f aca="false">G69</f>
        <v>7</v>
      </c>
      <c r="C1725" s="34" t="n">
        <f aca="false">G132</f>
        <v>13</v>
      </c>
      <c r="D1725" s="34" t="n">
        <f aca="false">G195</f>
        <v>18</v>
      </c>
      <c r="E1725" s="34" t="n">
        <f aca="false">G258</f>
        <v>25</v>
      </c>
      <c r="G1725" s="31" t="n">
        <f aca="false">G69/(75-60)</f>
        <v>0.466666666666667</v>
      </c>
      <c r="H1725" s="31" t="n">
        <f aca="false">G132/(80-60)</f>
        <v>0.65</v>
      </c>
      <c r="I1725" s="31" t="n">
        <f aca="false">G195/(85-60)</f>
        <v>0.72</v>
      </c>
      <c r="J1725" s="31" t="n">
        <f aca="false">G258/(90-60)</f>
        <v>0.833333333333333</v>
      </c>
    </row>
    <row r="1726" customFormat="false" ht="15" hidden="false" customHeight="true" outlineLevel="0" collapsed="false">
      <c r="A1726" s="3" t="n">
        <v>63</v>
      </c>
      <c r="B1726" s="34" t="n">
        <f aca="false">G321</f>
        <v>5</v>
      </c>
      <c r="C1726" s="34" t="n">
        <f aca="false">G384</f>
        <v>10</v>
      </c>
      <c r="D1726" s="34" t="n">
        <f aca="false">G447</f>
        <v>16</v>
      </c>
      <c r="E1726" s="34" t="n">
        <f aca="false">G510</f>
        <v>23</v>
      </c>
      <c r="G1726" s="31" t="n">
        <f aca="false">G321/(75-63)</f>
        <v>0.416666666666667</v>
      </c>
      <c r="H1726" s="31" t="n">
        <f aca="false">G384/(80-63)</f>
        <v>0.588235294117647</v>
      </c>
      <c r="I1726" s="31" t="n">
        <f aca="false">G447/(85-63)</f>
        <v>0.727272727272727</v>
      </c>
      <c r="J1726" s="31" t="n">
        <f aca="false">G510/(90-63)</f>
        <v>0.851851851851852</v>
      </c>
    </row>
    <row r="1727" customFormat="false" ht="15" hidden="false" customHeight="true" outlineLevel="0" collapsed="false">
      <c r="A1727" s="3" t="n">
        <v>65</v>
      </c>
      <c r="B1727" s="34" t="n">
        <f aca="false">G573</f>
        <v>4</v>
      </c>
      <c r="C1727" s="34" t="n">
        <f aca="false">G636</f>
        <v>8</v>
      </c>
      <c r="D1727" s="34" t="n">
        <f aca="false">G699</f>
        <v>15</v>
      </c>
      <c r="E1727" s="34" t="n">
        <f aca="false">G762</f>
        <v>21</v>
      </c>
      <c r="G1727" s="31" t="n">
        <f aca="false">G573/(75-65)</f>
        <v>0.4</v>
      </c>
      <c r="H1727" s="31" t="n">
        <f aca="false">G636/(80-65)</f>
        <v>0.533333333333333</v>
      </c>
      <c r="I1727" s="31" t="n">
        <f aca="false">G699/(85-65)</f>
        <v>0.75</v>
      </c>
      <c r="J1727" s="31" t="n">
        <f aca="false">G762/(90-65)</f>
        <v>0.84</v>
      </c>
    </row>
    <row r="1728" customFormat="false" ht="15" hidden="false" customHeight="true" outlineLevel="0" collapsed="false">
      <c r="A1728" s="3" t="n">
        <v>68</v>
      </c>
      <c r="B1728" s="34" t="n">
        <f aca="false">G825</f>
        <v>2</v>
      </c>
      <c r="C1728" s="34" t="n">
        <f aca="false">G888</f>
        <v>5</v>
      </c>
      <c r="D1728" s="34" t="n">
        <f aca="false">G951</f>
        <v>12</v>
      </c>
      <c r="E1728" s="34" t="n">
        <f aca="false">G1014</f>
        <v>18</v>
      </c>
      <c r="G1728" s="31" t="n">
        <f aca="false">G825/(75-68)</f>
        <v>0.285714285714286</v>
      </c>
      <c r="H1728" s="31" t="n">
        <f aca="false">G888/(80-68)</f>
        <v>0.416666666666667</v>
      </c>
      <c r="I1728" s="31" t="n">
        <f aca="false">G951/(85-68)</f>
        <v>0.705882352941177</v>
      </c>
      <c r="J1728" s="31" t="n">
        <f aca="false">G1014/(90-68)</f>
        <v>0.818181818181818</v>
      </c>
    </row>
    <row r="1729" customFormat="false" ht="15" hidden="false" customHeight="true" outlineLevel="0" collapsed="false">
      <c r="A1729" s="3" t="n">
        <v>70</v>
      </c>
      <c r="B1729" s="34" t="n">
        <f aca="false">G1077</f>
        <v>2</v>
      </c>
      <c r="C1729" s="34" t="n">
        <f aca="false">G1140</f>
        <v>4</v>
      </c>
      <c r="D1729" s="34" t="n">
        <f aca="false">G1203</f>
        <v>10</v>
      </c>
      <c r="E1729" s="34" t="n">
        <f aca="false">G1266</f>
        <v>17</v>
      </c>
      <c r="G1729" s="31" t="n">
        <f aca="false">G1077/(75-70)</f>
        <v>0.4</v>
      </c>
      <c r="H1729" s="31" t="n">
        <f aca="false">G1140/(80-70)</f>
        <v>0.4</v>
      </c>
      <c r="I1729" s="31" t="n">
        <f aca="false">G1203/(85-70)</f>
        <v>0.666666666666667</v>
      </c>
      <c r="J1729" s="31" t="n">
        <f aca="false">G1266/(90-70)</f>
        <v>0.85</v>
      </c>
    </row>
    <row r="1730" customFormat="false" ht="15" hidden="false" customHeight="true" outlineLevel="0" collapsed="false">
      <c r="A1730" s="3" t="n">
        <v>72</v>
      </c>
      <c r="B1730" s="34" t="n">
        <f aca="false">G1329</f>
        <v>1</v>
      </c>
      <c r="C1730" s="34" t="n">
        <f aca="false">G1392</f>
        <v>3</v>
      </c>
      <c r="D1730" s="34" t="n">
        <f aca="false">G1455</f>
        <v>8</v>
      </c>
      <c r="E1730" s="34" t="n">
        <f aca="false">G1518</f>
        <v>15</v>
      </c>
      <c r="G1730" s="31" t="n">
        <f aca="false">G1329/(75-72)</f>
        <v>0.333333333333333</v>
      </c>
      <c r="H1730" s="31" t="n">
        <f aca="false">G1392/(80-72)</f>
        <v>0.375</v>
      </c>
      <c r="I1730" s="31" t="n">
        <f aca="false">G1455/(85-72)</f>
        <v>0.615384615384615</v>
      </c>
      <c r="J1730" s="31" t="n">
        <f aca="false">G1518/(90-72)</f>
        <v>0.833333333333333</v>
      </c>
    </row>
    <row r="1731" customFormat="false" ht="15" hidden="false" customHeight="true" outlineLevel="0" collapsed="false">
      <c r="A1731" s="3" t="n">
        <v>75</v>
      </c>
      <c r="B1731" s="7" t="s">
        <v>1557</v>
      </c>
      <c r="C1731" s="34" t="n">
        <f aca="false">G1581</f>
        <v>2</v>
      </c>
      <c r="D1731" s="34" t="n">
        <f aca="false">G1644</f>
        <v>6</v>
      </c>
      <c r="E1731" s="34" t="n">
        <f aca="false">G1707</f>
        <v>12</v>
      </c>
      <c r="H1731" s="31" t="n">
        <f aca="false">G1581/(80-75)</f>
        <v>0.4</v>
      </c>
      <c r="I1731" s="31" t="n">
        <f aca="false">G1644/(85-75)</f>
        <v>0.6</v>
      </c>
      <c r="J1731" s="31" t="n">
        <f aca="false">G1707/(90-75)</f>
        <v>0.8</v>
      </c>
    </row>
    <row r="1734" customFormat="false" ht="15" hidden="false" customHeight="true" outlineLevel="0" collapsed="false">
      <c r="A1734" s="6" t="s">
        <v>1639</v>
      </c>
    </row>
    <row r="1735" customFormat="false" ht="15" hidden="false" customHeight="true" outlineLevel="0" collapsed="false">
      <c r="A1735" s="1" t="s">
        <v>1640</v>
      </c>
      <c r="B1735" s="57" t="n">
        <f aca="false">MAX(B1714:E1720)</f>
        <v>23250.7785519585</v>
      </c>
    </row>
    <row r="1736" customFormat="false" ht="15" hidden="false" customHeight="true" outlineLevel="0" collapsed="false">
      <c r="A1736" s="1" t="s">
        <v>1641</v>
      </c>
      <c r="B1736" s="57" t="n">
        <f aca="false">MIN(B1714:E1720)</f>
        <v>14154.1795633064</v>
      </c>
    </row>
    <row r="1737" customFormat="false" ht="15" hidden="false" customHeight="true" outlineLevel="0" collapsed="false">
      <c r="A1737" s="1" t="s">
        <v>1642</v>
      </c>
      <c r="B1737" s="85" t="n">
        <f aca="false">IFERROR(B1735/B1736,"n/a — the lowest requirement in the panel is zero")</f>
        <v>1.64267935474228</v>
      </c>
    </row>
    <row r="1738" customFormat="false" ht="15" hidden="false" customHeight="true" outlineLevel="0" collapsed="false">
      <c r="A1738" s="1" t="s">
        <v>1643</v>
      </c>
      <c r="B1738" s="12" t="n">
        <f aca="false">AVERAGE(B1714:E1720)</f>
        <v>18577.0756328223</v>
      </c>
    </row>
    <row r="1739" customFormat="false" ht="15" hidden="false" customHeight="true" outlineLevel="0" collapsed="false">
      <c r="A1739" s="1" t="s">
        <v>1644</v>
      </c>
      <c r="B1739" s="57" t="n">
        <f aca="false">C1716</f>
        <v>20498.8328088221</v>
      </c>
    </row>
    <row r="1740" customFormat="false" ht="15" hidden="false" customHeight="true" outlineLevel="0" collapsed="false">
      <c r="A1740" s="1" t="s">
        <v>1645</v>
      </c>
      <c r="B1740" s="98" t="n">
        <f aca="false">B1739/B1738-1</f>
        <v>0.103447776925901</v>
      </c>
    </row>
    <row r="1742" customFormat="false" ht="15" hidden="false" customHeight="true" outlineLevel="0" collapsed="false">
      <c r="A1742" s="6" t="s">
        <v>1646</v>
      </c>
    </row>
    <row r="1743" customFormat="false" ht="15" hidden="false" customHeight="true" outlineLevel="0" collapsed="false">
      <c r="A1743" s="1" t="s">
        <v>1647</v>
      </c>
      <c r="B1743" s="99" t="n">
        <f aca="false">C636</f>
        <v>20498.8328088221</v>
      </c>
    </row>
    <row r="1744" customFormat="false" ht="15" hidden="false" customHeight="true" outlineLevel="0" collapsed="false">
      <c r="A1744" s="1" t="s">
        <v>1648</v>
      </c>
      <c r="B1744" s="99" t="n">
        <f aca="false">Capital_Cell!B77</f>
        <v>20498.8328088221</v>
      </c>
    </row>
    <row r="1745" customFormat="false" ht="15" hidden="false" customHeight="true" outlineLevel="0" collapsed="false">
      <c r="A1745" s="1" t="s">
        <v>796</v>
      </c>
      <c r="B1745" s="27" t="n">
        <f aca="false">B1743-B1744</f>
        <v>0</v>
      </c>
    </row>
    <row r="1746" customFormat="false" ht="15" hidden="false" customHeight="true" outlineLevel="0" collapsed="false">
      <c r="A1746" s="3" t="s">
        <v>458</v>
      </c>
      <c r="B1746" s="4" t="str">
        <f aca="false">IF(ABS(B1745)&lt;0.01,"PASS — the panel reproduces the independently built cell exactly","FAIL")</f>
        <v>PASS — the panel reproduces the independently built cell exactly</v>
      </c>
    </row>
    <row r="1747" customFormat="false" ht="15" hidden="false" customHeight="true" outlineLevel="0" collapsed="false">
      <c r="A1747" s="1" t="s">
        <v>1649</v>
      </c>
    </row>
    <row r="1748" customFormat="false" ht="15" hidden="false" customHeight="true" outlineLevel="0" collapsed="false">
      <c r="A1748" s="6" t="s">
        <v>1571</v>
      </c>
    </row>
    <row r="1749" customFormat="false" ht="15" hidden="false" customHeight="true" outlineLevel="0" collapsed="false">
      <c r="A1749" s="7" t="s">
        <v>1650</v>
      </c>
    </row>
    <row r="1750" customFormat="false" ht="15" hidden="false" customHeight="true" outlineLevel="0" collapsed="false">
      <c r="A1750" s="3" t="s">
        <v>1651</v>
      </c>
    </row>
    <row r="1751" customFormat="false" ht="15" hidden="false" customHeight="true" outlineLevel="0" collapsed="false">
      <c r="A1751" s="7" t="s">
        <v>1652</v>
      </c>
    </row>
    <row r="1752" customFormat="false" ht="15" hidden="false" customHeight="true" outlineLevel="0" collapsed="false">
      <c r="A1752" s="3" t="s">
        <v>1653</v>
      </c>
    </row>
    <row r="1753" customFormat="false" ht="15" hidden="false" customHeight="true" outlineLevel="0" collapsed="false">
      <c r="A1753" s="3" t="s">
        <v>1654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37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2"/>
    <col collapsed="false" customWidth="true" hidden="false" outlineLevel="0" max="23" min="2" style="1" width="11"/>
    <col collapsed="false" customWidth="true" hidden="false" outlineLevel="0" max="26" min="24" style="1" width="17"/>
  </cols>
  <sheetData>
    <row r="1" customFormat="false" ht="15.75" hidden="false" customHeight="true" outlineLevel="0" collapsed="false">
      <c r="A1" s="15" t="s">
        <v>1655</v>
      </c>
    </row>
    <row r="2" customFormat="false" ht="15" hidden="false" customHeight="true" outlineLevel="0" collapsed="false">
      <c r="A2" s="7" t="s">
        <v>1656</v>
      </c>
    </row>
    <row r="3" customFormat="false" ht="15" hidden="false" customHeight="true" outlineLevel="0" collapsed="false">
      <c r="A3" s="7" t="s">
        <v>1657</v>
      </c>
    </row>
    <row r="5" customFormat="false" ht="15" hidden="false" customHeight="true" outlineLevel="0" collapsed="false">
      <c r="A5" s="1" t="s">
        <v>1658</v>
      </c>
      <c r="B5" s="19" t="n">
        <v>12000</v>
      </c>
    </row>
    <row r="6" customFormat="false" ht="15" hidden="false" customHeight="true" outlineLevel="0" collapsed="false">
      <c r="A6" s="1" t="s">
        <v>1659</v>
      </c>
      <c r="B6" s="48" t="n">
        <f aca="false">B5/12</f>
        <v>1000</v>
      </c>
    </row>
    <row r="7" customFormat="false" ht="15" hidden="false" customHeight="true" outlineLevel="0" collapsed="false">
      <c r="A7" s="1" t="s">
        <v>1660</v>
      </c>
      <c r="B7" s="7" t="s">
        <v>1661</v>
      </c>
    </row>
    <row r="8" customFormat="false" ht="15" hidden="false" customHeight="true" outlineLevel="0" collapsed="false">
      <c r="A8" s="1" t="s">
        <v>1662</v>
      </c>
      <c r="B8" s="7" t="s">
        <v>1663</v>
      </c>
    </row>
    <row r="10" customFormat="false" ht="15" hidden="false" customHeight="true" outlineLevel="0" collapsed="false">
      <c r="A10" s="6" t="s">
        <v>1664</v>
      </c>
      <c r="G10" s="3" t="s">
        <v>1665</v>
      </c>
    </row>
    <row r="11" customFormat="false" ht="15" hidden="false" customHeight="true" outlineLevel="0" collapsed="false">
      <c r="A11" s="8" t="s">
        <v>802</v>
      </c>
      <c r="B11" s="8" t="s">
        <v>612</v>
      </c>
      <c r="C11" s="8" t="s">
        <v>1666</v>
      </c>
      <c r="D11" s="8" t="s">
        <v>1667</v>
      </c>
      <c r="E11" s="8" t="s">
        <v>1668</v>
      </c>
      <c r="F11" s="8" t="s">
        <v>1669</v>
      </c>
      <c r="G11" s="8" t="n">
        <v>60</v>
      </c>
      <c r="H11" s="8" t="n">
        <v>61</v>
      </c>
      <c r="I11" s="8" t="n">
        <v>62</v>
      </c>
      <c r="J11" s="8" t="n">
        <v>63</v>
      </c>
      <c r="K11" s="8" t="n">
        <v>64</v>
      </c>
      <c r="L11" s="8" t="n">
        <v>65</v>
      </c>
      <c r="M11" s="8" t="n">
        <v>66</v>
      </c>
      <c r="N11" s="8" t="n">
        <v>67</v>
      </c>
      <c r="O11" s="8" t="n">
        <v>68</v>
      </c>
      <c r="P11" s="8" t="n">
        <v>69</v>
      </c>
      <c r="Q11" s="8" t="n">
        <v>70</v>
      </c>
      <c r="R11" s="8" t="n">
        <v>71</v>
      </c>
      <c r="S11" s="8" t="n">
        <v>72</v>
      </c>
      <c r="T11" s="8" t="n">
        <v>73</v>
      </c>
      <c r="U11" s="8" t="n">
        <v>74</v>
      </c>
      <c r="V11" s="8" t="n">
        <v>75</v>
      </c>
      <c r="X11" s="8" t="s">
        <v>1670</v>
      </c>
      <c r="Y11" s="8" t="s">
        <v>1671</v>
      </c>
      <c r="Z11" s="8" t="s">
        <v>1672</v>
      </c>
    </row>
    <row r="12" customFormat="false" ht="15" hidden="false" customHeight="true" outlineLevel="0" collapsed="false">
      <c r="A12" s="3" t="n">
        <v>0</v>
      </c>
      <c r="B12" s="30" t="n">
        <f aca="false">INDEX(Discount!$C$4:$C$64,$A12+1)</f>
        <v>1</v>
      </c>
      <c r="C12" s="32" t="n">
        <f aca="false">(1+Assumptions!$B$10)^$A12</f>
        <v>1</v>
      </c>
      <c r="D12" s="99" t="n">
        <f aca="false">Assumptions!$B$12*(1+Assumptions!$B$11)^($A12+1)</f>
        <v>82</v>
      </c>
      <c r="E12" s="32" t="n">
        <v>1</v>
      </c>
      <c r="F12" s="18" t="n">
        <f aca="false">IF($A12=0,Assumptions!$B$14,Assumptions!$B$15)</f>
        <v>1</v>
      </c>
      <c r="G12" s="32" t="n">
        <f aca="false">IFERROR(INDEX(Cohort_Survival!$AC$5:$BB$65,60+$A12-59,60-59),0)</f>
        <v>1</v>
      </c>
      <c r="H12" s="32" t="n">
        <f aca="false">IFERROR(INDEX(Cohort_Survival!$AC$5:$BB$65,61+$A12-59,61-59),0)</f>
        <v>1</v>
      </c>
      <c r="I12" s="32" t="n">
        <f aca="false">IFERROR(INDEX(Cohort_Survival!$AC$5:$BB$65,62+$A12-59,62-59),0)</f>
        <v>1</v>
      </c>
      <c r="J12" s="32" t="n">
        <f aca="false">IFERROR(INDEX(Cohort_Survival!$AC$5:$BB$65,63+$A12-59,63-59),0)</f>
        <v>1</v>
      </c>
      <c r="K12" s="32" t="n">
        <f aca="false">IFERROR(INDEX(Cohort_Survival!$AC$5:$BB$65,64+$A12-59,64-59),0)</f>
        <v>1</v>
      </c>
      <c r="L12" s="32" t="n">
        <f aca="false">IFERROR(INDEX(Cohort_Survival!$AC$5:$BB$65,65+$A12-59,65-59),0)</f>
        <v>1</v>
      </c>
      <c r="M12" s="32" t="n">
        <f aca="false">IFERROR(INDEX(Cohort_Survival!$AC$5:$BB$65,66+$A12-59,66-59),0)</f>
        <v>1</v>
      </c>
      <c r="N12" s="32" t="n">
        <f aca="false">IFERROR(INDEX(Cohort_Survival!$AC$5:$BB$65,67+$A12-59,67-59),0)</f>
        <v>1</v>
      </c>
      <c r="O12" s="32" t="n">
        <f aca="false">IFERROR(INDEX(Cohort_Survival!$AC$5:$BB$65,68+$A12-59,68-59),0)</f>
        <v>1</v>
      </c>
      <c r="P12" s="32" t="n">
        <f aca="false">IFERROR(INDEX(Cohort_Survival!$AC$5:$BB$65,69+$A12-59,69-59),0)</f>
        <v>1</v>
      </c>
      <c r="Q12" s="32" t="n">
        <f aca="false">IFERROR(INDEX(Cohort_Survival!$AC$5:$BB$65,70+$A12-59,70-59),0)</f>
        <v>1</v>
      </c>
      <c r="R12" s="32" t="n">
        <f aca="false">IFERROR(INDEX(Cohort_Survival!$AC$5:$BB$65,71+$A12-59,71-59),0)</f>
        <v>1</v>
      </c>
      <c r="S12" s="32" t="n">
        <f aca="false">IFERROR(INDEX(Cohort_Survival!$AC$5:$BB$65,72+$A12-59,72-59),0)</f>
        <v>1</v>
      </c>
      <c r="T12" s="32" t="n">
        <f aca="false">IFERROR(INDEX(Cohort_Survival!$AC$5:$BB$65,73+$A12-59,73-59),0)</f>
        <v>1</v>
      </c>
      <c r="U12" s="32" t="n">
        <f aca="false">IFERROR(INDEX(Cohort_Survival!$AC$5:$BB$65,74+$A12-59,74-59),0)</f>
        <v>1</v>
      </c>
      <c r="V12" s="32" t="n">
        <f aca="false">IFERROR(INDEX(Cohort_Survival!$AC$5:$BB$65,75+$A12-59,75-59),0)</f>
        <v>1</v>
      </c>
      <c r="X12" s="39" t="n">
        <f aca="false">IF(($A12+1)=1,Assumptions!$B$16,IF(($A12+1)=2,Assumptions!$B$17,IF(($A12+1)&lt;=5,Assumptions!$B$18,Assumptions!$B$19)))*(1-Assumptions!$B$20)</f>
        <v>0.0406</v>
      </c>
      <c r="Y12" s="32" t="n">
        <v>1</v>
      </c>
      <c r="Z12" s="32" t="n">
        <v>1</v>
      </c>
    </row>
    <row r="13" customFormat="false" ht="15" hidden="false" customHeight="true" outlineLevel="0" collapsed="false">
      <c r="A13" s="3" t="n">
        <v>1</v>
      </c>
      <c r="B13" s="30" t="n">
        <f aca="false">INDEX(Discount!$C$4:$C$64,$A13+1)</f>
        <v>0.974696869273656</v>
      </c>
      <c r="C13" s="32" t="n">
        <f aca="false">(1+Assumptions!$B$10)^$A13</f>
        <v>1.02</v>
      </c>
      <c r="D13" s="99" t="n">
        <f aca="false">Assumptions!$B$12*(1+Assumptions!$B$11)^($A13+1)</f>
        <v>84.05</v>
      </c>
      <c r="E13" s="32" t="n">
        <f aca="false">E12*(1-IF(1=1,Assumptions!$B$16,IF(1=2,Assumptions!$B$17,IF(1&lt;=5,Assumptions!$B$18,Assumptions!$B$19)))*(1-Assumptions!$B$20))</f>
        <v>0.9594</v>
      </c>
      <c r="F13" s="18" t="n">
        <f aca="false">IF($A13=0,Assumptions!$B$14,Assumptions!$B$15)</f>
        <v>0.05</v>
      </c>
      <c r="G13" s="32" t="n">
        <f aca="false">IFERROR(INDEX(Cohort_Survival!$AC$5:$BB$65,60+$A13-59,60-59),0)</f>
        <v>0.997087552694971</v>
      </c>
      <c r="H13" s="32" t="n">
        <f aca="false">IFERROR(INDEX(Cohort_Survival!$AC$5:$BB$65,61+$A13-59,61-59),0)</f>
        <v>0.996770163177068</v>
      </c>
      <c r="I13" s="32" t="n">
        <f aca="false">IFERROR(INDEX(Cohort_Survival!$AC$5:$BB$65,62+$A13-59,62-59),0)</f>
        <v>0.996415409561336</v>
      </c>
      <c r="J13" s="32" t="n">
        <f aca="false">IFERROR(INDEX(Cohort_Survival!$AC$5:$BB$65,63+$A13-59,63-59),0)</f>
        <v>0.996018215817998</v>
      </c>
      <c r="K13" s="32" t="n">
        <f aca="false">IFERROR(INDEX(Cohort_Survival!$AC$5:$BB$65,64+$A13-59,64-59),0)</f>
        <v>0.995572723761813</v>
      </c>
      <c r="L13" s="32" t="n">
        <f aca="false">IFERROR(INDEX(Cohort_Survival!$AC$5:$BB$65,65+$A13-59,65-59),0)</f>
        <v>0.99481945411174</v>
      </c>
      <c r="M13" s="32" t="n">
        <f aca="false">IFERROR(INDEX(Cohort_Survival!$AC$5:$BB$65,66+$A13-59,66-59),0)</f>
        <v>0.994227116573577</v>
      </c>
      <c r="N13" s="32" t="n">
        <f aca="false">IFERROR(INDEX(Cohort_Survival!$AC$5:$BB$65,67+$A13-59,67-59),0)</f>
        <v>0.993559145896192</v>
      </c>
      <c r="O13" s="32" t="n">
        <f aca="false">IFERROR(INDEX(Cohort_Survival!$AC$5:$BB$65,68+$A13-59,68-59),0)</f>
        <v>0.992804497510554</v>
      </c>
      <c r="P13" s="32" t="n">
        <f aca="false">IFERROR(INDEX(Cohort_Survival!$AC$5:$BB$65,69+$A13-59,69-59),0)</f>
        <v>0.991950356732772</v>
      </c>
      <c r="Q13" s="32" t="n">
        <f aca="false">IFERROR(INDEX(Cohort_Survival!$AC$5:$BB$65,70+$A13-59,70-59),0)</f>
        <v>0.990651857609183</v>
      </c>
      <c r="R13" s="32" t="n">
        <f aca="false">IFERROR(INDEX(Cohort_Survival!$AC$5:$BB$65,71+$A13-59,71-59),0)</f>
        <v>0.989511222461456</v>
      </c>
      <c r="S13" s="32" t="n">
        <f aca="false">IFERROR(INDEX(Cohort_Survival!$AC$5:$BB$65,72+$A13-59,72-59),0)</f>
        <v>0.988212871768344</v>
      </c>
      <c r="T13" s="32" t="n">
        <f aca="false">IFERROR(INDEX(Cohort_Survival!$AC$5:$BB$65,73+$A13-59,73-59),0)</f>
        <v>0.986732126690233</v>
      </c>
      <c r="U13" s="32" t="n">
        <f aca="false">IFERROR(INDEX(Cohort_Survival!$AC$5:$BB$65,74+$A13-59,74-59),0)</f>
        <v>0.985039994739018</v>
      </c>
      <c r="V13" s="32" t="n">
        <f aca="false">IFERROR(INDEX(Cohort_Survival!$AC$5:$BB$65,75+$A13-59,75-59),0)</f>
        <v>0.982505947157462</v>
      </c>
      <c r="X13" s="39" t="n">
        <f aca="false">IF(($A13+1)=1,Assumptions!$B$16,IF(($A13+1)=2,Assumptions!$B$17,IF(($A13+1)&lt;=5,Assumptions!$B$18,Assumptions!$B$19)))*(1-Assumptions!$B$20)</f>
        <v>0.0217</v>
      </c>
      <c r="Y13" s="32" t="n">
        <f aca="false">Y12*(1-MIN(1,X12*(1+Assumptions!$B$23)))</f>
        <v>0.9391</v>
      </c>
      <c r="Z13" s="32" t="n">
        <f aca="false">Z12*(1-MIN(1,X12*(1-Assumptions!$B$23)))</f>
        <v>0.9797</v>
      </c>
    </row>
    <row r="14" customFormat="false" ht="15" hidden="false" customHeight="true" outlineLevel="0" collapsed="false">
      <c r="A14" s="3" t="n">
        <v>2</v>
      </c>
      <c r="B14" s="30" t="n">
        <f aca="false">INDEX(Discount!$C$4:$C$64,$A14+1)</f>
        <v>0.949478633477643</v>
      </c>
      <c r="C14" s="32" t="n">
        <f aca="false">(1+Assumptions!$B$10)^$A14</f>
        <v>1.0404</v>
      </c>
      <c r="D14" s="99" t="n">
        <f aca="false">Assumptions!$B$12*(1+Assumptions!$B$11)^($A14+1)</f>
        <v>86.15125</v>
      </c>
      <c r="E14" s="32" t="n">
        <f aca="false">E13*(1-IF(2=1,Assumptions!$B$16,IF(2=2,Assumptions!$B$17,IF(2&lt;=5,Assumptions!$B$18,Assumptions!$B$19)))*(1-Assumptions!$B$20))</f>
        <v>0.93858102</v>
      </c>
      <c r="F14" s="18" t="n">
        <f aca="false">IF($A14=0,Assumptions!$B$14,Assumptions!$B$15)</f>
        <v>0.05</v>
      </c>
      <c r="G14" s="32" t="n">
        <f aca="false">IFERROR(INDEX(Cohort_Survival!$AC$5:$BB$65,60+$A14-59,60-59),0)</f>
        <v>0.993949404770128</v>
      </c>
      <c r="H14" s="32" t="n">
        <f aca="false">IFERROR(INDEX(Cohort_Survival!$AC$5:$BB$65,61+$A14-59,61-59),0)</f>
        <v>0.993286540866281</v>
      </c>
      <c r="I14" s="32" t="n">
        <f aca="false">IFERROR(INDEX(Cohort_Survival!$AC$5:$BB$65,62+$A14-59,62-59),0)</f>
        <v>0.992545056436665</v>
      </c>
      <c r="J14" s="32" t="n">
        <f aca="false">IFERROR(INDEX(Cohort_Survival!$AC$5:$BB$65,63+$A14-59,63-59),0)</f>
        <v>0.991714226897286</v>
      </c>
      <c r="K14" s="32" t="n">
        <f aca="false">IFERROR(INDEX(Cohort_Survival!$AC$5:$BB$65,64+$A14-59,64-59),0)</f>
        <v>0.990535986850711</v>
      </c>
      <c r="L14" s="32" t="n">
        <f aca="false">IFERROR(INDEX(Cohort_Survival!$AC$5:$BB$65,65+$A14-59,65-59),0)</f>
        <v>0.98920807192723</v>
      </c>
      <c r="M14" s="32" t="n">
        <f aca="false">IFERROR(INDEX(Cohort_Survival!$AC$5:$BB$65,66+$A14-59,66-59),0)</f>
        <v>0.987966858617877</v>
      </c>
      <c r="N14" s="32" t="n">
        <f aca="false">IFERROR(INDEX(Cohort_Survival!$AC$5:$BB$65,67+$A14-59,67-59),0)</f>
        <v>0.986566420214214</v>
      </c>
      <c r="O14" s="32" t="n">
        <f aca="false">IFERROR(INDEX(Cohort_Survival!$AC$5:$BB$65,68+$A14-59,68-59),0)</f>
        <v>0.9849835688069</v>
      </c>
      <c r="P14" s="32" t="n">
        <f aca="false">IFERROR(INDEX(Cohort_Survival!$AC$5:$BB$65,69+$A14-59,69-59),0)</f>
        <v>0.982870958278963</v>
      </c>
      <c r="Q14" s="32" t="n">
        <f aca="false">IFERROR(INDEX(Cohort_Survival!$AC$5:$BB$65,70+$A14-59,70-59),0)</f>
        <v>0.980472770871488</v>
      </c>
      <c r="R14" s="32" t="n">
        <f aca="false">IFERROR(INDEX(Cohort_Survival!$AC$5:$BB$65,71+$A14-59,71-59),0)</f>
        <v>0.978079557517858</v>
      </c>
      <c r="S14" s="32" t="n">
        <f aca="false">IFERROR(INDEX(Cohort_Survival!$AC$5:$BB$65,72+$A14-59,72-59),0)</f>
        <v>0.975355659689366</v>
      </c>
      <c r="T14" s="32" t="n">
        <f aca="false">IFERROR(INDEX(Cohort_Survival!$AC$5:$BB$65,73+$A14-59,73-59),0)</f>
        <v>0.972249875592859</v>
      </c>
      <c r="U14" s="32" t="n">
        <f aca="false">IFERROR(INDEX(Cohort_Survival!$AC$5:$BB$65,74+$A14-59,74-59),0)</f>
        <v>0.968125669329084</v>
      </c>
      <c r="V14" s="32" t="n">
        <f aca="false">IFERROR(INDEX(Cohort_Survival!$AC$5:$BB$65,75+$A14-59,75-59),0)</f>
        <v>0.963406551519002</v>
      </c>
      <c r="X14" s="39" t="n">
        <f aca="false">IF(($A14+1)=1,Assumptions!$B$16,IF(($A14+1)=2,Assumptions!$B$17,IF(($A14+1)&lt;=5,Assumptions!$B$18,Assumptions!$B$19)))*(1-Assumptions!$B$20)</f>
        <v>0.0133</v>
      </c>
      <c r="Y14" s="32" t="n">
        <f aca="false">Y13*(1-MIN(1,X13*(1+Assumptions!$B$23)))</f>
        <v>0.908532295</v>
      </c>
      <c r="Z14" s="32" t="n">
        <f aca="false">Z13*(1-MIN(1,X13*(1-Assumptions!$B$23)))</f>
        <v>0.969070255</v>
      </c>
    </row>
    <row r="15" customFormat="false" ht="15" hidden="false" customHeight="true" outlineLevel="0" collapsed="false">
      <c r="A15" s="3" t="n">
        <v>3</v>
      </c>
      <c r="B15" s="30" t="n">
        <f aca="false">INDEX(Discount!$C$4:$C$64,$A15+1)</f>
        <v>0.925237412196234</v>
      </c>
      <c r="C15" s="32" t="n">
        <f aca="false">(1+Assumptions!$B$10)^$A15</f>
        <v>1.061208</v>
      </c>
      <c r="D15" s="99" t="n">
        <f aca="false">Assumptions!$B$12*(1+Assumptions!$B$11)^($A15+1)</f>
        <v>88.30503125</v>
      </c>
      <c r="E15" s="32" t="n">
        <f aca="false">E14*(1-IF(3=1,Assumptions!$B$16,IF(3=2,Assumptions!$B$17,IF(3&lt;=5,Assumptions!$B$18,Assumptions!$B$19)))*(1-Assumptions!$B$20))</f>
        <v>0.926097892434</v>
      </c>
      <c r="F15" s="18" t="n">
        <f aca="false">IF($A15=0,Assumptions!$B$14,Assumptions!$B$15)</f>
        <v>0.05</v>
      </c>
      <c r="G15" s="32" t="n">
        <f aca="false">IFERROR(INDEX(Cohort_Survival!$AC$5:$BB$65,60+$A15-59,60-59),0)</f>
        <v>0.990558720767106</v>
      </c>
      <c r="H15" s="32" t="n">
        <f aca="false">IFERROR(INDEX(Cohort_Survival!$AC$5:$BB$65,61+$A15-59,61-59),0)</f>
        <v>0.989518622784626</v>
      </c>
      <c r="I15" s="32" t="n">
        <f aca="false">IFERROR(INDEX(Cohort_Survival!$AC$5:$BB$65,62+$A15-59,62-59),0)</f>
        <v>0.988354239934104</v>
      </c>
      <c r="J15" s="32" t="n">
        <f aca="false">IFERROR(INDEX(Cohort_Survival!$AC$5:$BB$65,63+$A15-59,63-59),0)</f>
        <v>0.986809294592839</v>
      </c>
      <c r="K15" s="32" t="n">
        <f aca="false">IFERROR(INDEX(Cohort_Survival!$AC$5:$BB$65,64+$A15-59,64-59),0)</f>
        <v>0.985070998154951</v>
      </c>
      <c r="L15" s="32" t="n">
        <f aca="false">IFERROR(INDEX(Cohort_Survival!$AC$5:$BB$65,65+$A15-59,65-59),0)</f>
        <v>0.983112587296147</v>
      </c>
      <c r="M15" s="32" t="n">
        <f aca="false">IFERROR(INDEX(Cohort_Survival!$AC$5:$BB$65,66+$A15-59,66-59),0)</f>
        <v>0.981158747736683</v>
      </c>
      <c r="N15" s="32" t="n">
        <f aca="false">IFERROR(INDEX(Cohort_Survival!$AC$5:$BB$65,67+$A15-59,67-59),0)</f>
        <v>0.978953232666783</v>
      </c>
      <c r="O15" s="32" t="n">
        <f aca="false">IFERROR(INDEX(Cohort_Survival!$AC$5:$BB$65,68+$A15-59,68-59),0)</f>
        <v>0.976147642789527</v>
      </c>
      <c r="P15" s="32" t="n">
        <f aca="false">IFERROR(INDEX(Cohort_Survival!$AC$5:$BB$65,69+$A15-59,69-59),0)</f>
        <v>0.972968425378061</v>
      </c>
      <c r="Q15" s="32" t="n">
        <f aca="false">IFERROR(INDEX(Cohort_Survival!$AC$5:$BB$65,70+$A15-59,70-59),0)</f>
        <v>0.969360888087468</v>
      </c>
      <c r="R15" s="32" t="n">
        <f aca="false">IFERROR(INDEX(Cohort_Survival!$AC$5:$BB$65,71+$A15-59,71-59),0)</f>
        <v>0.965590496173621</v>
      </c>
      <c r="S15" s="32" t="n">
        <f aca="false">IFERROR(INDEX(Cohort_Survival!$AC$5:$BB$65,72+$A15-59,72-59),0)</f>
        <v>0.961300069512704</v>
      </c>
      <c r="T15" s="32" t="n">
        <f aca="false">IFERROR(INDEX(Cohort_Survival!$AC$5:$BB$65,73+$A15-59,73-59),0)</f>
        <v>0.95585110827577</v>
      </c>
      <c r="U15" s="32" t="n">
        <f aca="false">IFERROR(INDEX(Cohort_Survival!$AC$5:$BB$65,74+$A15-59,74-59),0)</f>
        <v>0.949631947483723</v>
      </c>
      <c r="V15" s="32" t="n">
        <f aca="false">IFERROR(INDEX(Cohort_Survival!$AC$5:$BB$65,75+$A15-59,75-59),0)</f>
        <v>0.942528685696338</v>
      </c>
      <c r="X15" s="39" t="n">
        <f aca="false">IF(($A15+1)=1,Assumptions!$B$16,IF(($A15+1)=2,Assumptions!$B$17,IF(($A15+1)&lt;=5,Assumptions!$B$18,Assumptions!$B$19)))*(1-Assumptions!$B$20)</f>
        <v>0.0133</v>
      </c>
      <c r="Y15" s="32" t="n">
        <f aca="false">Y14*(1-MIN(1,X14*(1+Assumptions!$B$23)))</f>
        <v>0.89040707571475</v>
      </c>
      <c r="Z15" s="32" t="n">
        <f aca="false">Z14*(1-MIN(1,X14*(1-Assumptions!$B$23)))</f>
        <v>0.96262593780425</v>
      </c>
    </row>
    <row r="16" customFormat="false" ht="15" hidden="false" customHeight="true" outlineLevel="0" collapsed="false">
      <c r="A16" s="3" t="n">
        <v>4</v>
      </c>
      <c r="B16" s="30" t="n">
        <f aca="false">INDEX(Discount!$C$4:$C$64,$A16+1)</f>
        <v>0.901158384292743</v>
      </c>
      <c r="C16" s="32" t="n">
        <f aca="false">(1+Assumptions!$B$10)^$A16</f>
        <v>1.08243216</v>
      </c>
      <c r="D16" s="99" t="n">
        <f aca="false">Assumptions!$B$12*(1+Assumptions!$B$11)^($A16+1)</f>
        <v>90.51265703125</v>
      </c>
      <c r="E16" s="32" t="n">
        <f aca="false">E15*(1-IF(4=1,Assumptions!$B$16,IF(4=2,Assumptions!$B$17,IF(4&lt;=5,Assumptions!$B$18,Assumptions!$B$19)))*(1-Assumptions!$B$20))</f>
        <v>0.913780790464628</v>
      </c>
      <c r="F16" s="18" t="n">
        <f aca="false">IF($A16=0,Assumptions!$B$14,Assumptions!$B$15)</f>
        <v>0.05</v>
      </c>
      <c r="G16" s="32" t="n">
        <f aca="false">IFERROR(INDEX(Cohort_Survival!$AC$5:$BB$65,60+$A16-59,60-59),0)</f>
        <v>0.986884718744898</v>
      </c>
      <c r="H16" s="32" t="n">
        <f aca="false">IFERROR(INDEX(Cohort_Survival!$AC$5:$BB$65,61+$A16-59,61-59),0)</f>
        <v>0.985431448697889</v>
      </c>
      <c r="I16" s="32" t="n">
        <f aca="false">IFERROR(INDEX(Cohort_Survival!$AC$5:$BB$65,62+$A16-59,62-59),0)</f>
        <v>0.98356986516066</v>
      </c>
      <c r="J16" s="32" t="n">
        <f aca="false">IFERROR(INDEX(Cohort_Survival!$AC$5:$BB$65,63+$A16-59,63-59),0)</f>
        <v>0.981478030622683</v>
      </c>
      <c r="K16" s="32" t="n">
        <f aca="false">IFERROR(INDEX(Cohort_Survival!$AC$5:$BB$65,64+$A16-59,64-59),0)</f>
        <v>0.979124324939172</v>
      </c>
      <c r="L16" s="32" t="n">
        <f aca="false">IFERROR(INDEX(Cohort_Survival!$AC$5:$BB$65,65+$A16-59,65-59),0)</f>
        <v>0.976472447939711</v>
      </c>
      <c r="M16" s="32" t="n">
        <f aca="false">IFERROR(INDEX(Cohort_Survival!$AC$5:$BB$65,66+$A16-59,66-59),0)</f>
        <v>0.973734230958191</v>
      </c>
      <c r="N16" s="32" t="n">
        <f aca="false">IFERROR(INDEX(Cohort_Survival!$AC$5:$BB$65,67+$A16-59,67-59),0)</f>
        <v>0.970337989622162</v>
      </c>
      <c r="O16" s="32" t="n">
        <f aca="false">IFERROR(INDEX(Cohort_Survival!$AC$5:$BB$65,68+$A16-59,68-59),0)</f>
        <v>0.966495231845337</v>
      </c>
      <c r="P16" s="32" t="n">
        <f aca="false">IFERROR(INDEX(Cohort_Survival!$AC$5:$BB$65,69+$A16-59,69-59),0)</f>
        <v>0.962141554720181</v>
      </c>
      <c r="Q16" s="32" t="n">
        <f aca="false">IFERROR(INDEX(Cohort_Survival!$AC$5:$BB$65,70+$A16-59,70-59),0)</f>
        <v>0.957202732841168</v>
      </c>
      <c r="R16" s="32" t="n">
        <f aca="false">IFERROR(INDEX(Cohort_Survival!$AC$5:$BB$65,71+$A16-59,71-59),0)</f>
        <v>0.951917229799558</v>
      </c>
      <c r="S16" s="32" t="n">
        <f aca="false">IFERROR(INDEX(Cohort_Survival!$AC$5:$BB$65,72+$A16-59,72-59),0)</f>
        <v>0.945361715495162</v>
      </c>
      <c r="T16" s="32" t="n">
        <f aca="false">IFERROR(INDEX(Cohort_Survival!$AC$5:$BB$65,73+$A16-59,73-59),0)</f>
        <v>0.937896230907852</v>
      </c>
      <c r="U16" s="32" t="n">
        <f aca="false">IFERROR(INDEX(Cohort_Survival!$AC$5:$BB$65,74+$A16-59,74-59),0)</f>
        <v>0.929389204849128</v>
      </c>
      <c r="V16" s="32" t="n">
        <f aca="false">IFERROR(INDEX(Cohort_Survival!$AC$5:$BB$65,75+$A16-59,75-59),0)</f>
        <v>0.919697374660377</v>
      </c>
      <c r="X16" s="39" t="n">
        <f aca="false">IF(($A16+1)=1,Assumptions!$B$16,IF(($A16+1)=2,Assumptions!$B$17,IF(($A16+1)&lt;=5,Assumptions!$B$18,Assumptions!$B$19)))*(1-Assumptions!$B$20)</f>
        <v>0.0133</v>
      </c>
      <c r="Y16" s="32" t="n">
        <f aca="false">Y15*(1-MIN(1,X15*(1+Assumptions!$B$23)))</f>
        <v>0.872643454554241</v>
      </c>
      <c r="Z16" s="32" t="n">
        <f aca="false">Z15*(1-MIN(1,X15*(1-Assumptions!$B$23)))</f>
        <v>0.956224475317852</v>
      </c>
    </row>
    <row r="17" customFormat="false" ht="15" hidden="false" customHeight="true" outlineLevel="0" collapsed="false">
      <c r="A17" s="3" t="n">
        <v>5</v>
      </c>
      <c r="B17" s="30" t="n">
        <f aca="false">INDEX(Discount!$C$4:$C$64,$A17+1)</f>
        <v>0.876603781957048</v>
      </c>
      <c r="C17" s="32" t="n">
        <f aca="false">(1+Assumptions!$B$10)^$A17</f>
        <v>1.1040808032</v>
      </c>
      <c r="D17" s="99" t="n">
        <f aca="false">Assumptions!$B$12*(1+Assumptions!$B$11)^($A17+1)</f>
        <v>92.7754734570312</v>
      </c>
      <c r="E17" s="32" t="n">
        <f aca="false">E16*(1-IF(5=1,Assumptions!$B$16,IF(5=2,Assumptions!$B$17,IF(5&lt;=5,Assumptions!$B$18,Assumptions!$B$19)))*(1-Assumptions!$B$20))</f>
        <v>0.901627505951448</v>
      </c>
      <c r="F17" s="18" t="n">
        <f aca="false">IF($A17=0,Assumptions!$B$14,Assumptions!$B$15)</f>
        <v>0.05</v>
      </c>
      <c r="G17" s="32" t="n">
        <f aca="false">IFERROR(INDEX(Cohort_Survival!$AC$5:$BB$65,60+$A17-59,60-59),0)</f>
        <v>0.982892321953539</v>
      </c>
      <c r="H17" s="32" t="n">
        <f aca="false">IFERROR(INDEX(Cohort_Survival!$AC$5:$BB$65,61+$A17-59,61-59),0)</f>
        <v>0.980757226359653</v>
      </c>
      <c r="I17" s="32" t="n">
        <f aca="false">IFERROR(INDEX(Cohort_Survival!$AC$5:$BB$65,62+$A17-59,62-59),0)</f>
        <v>0.978360675440205</v>
      </c>
      <c r="J17" s="32" t="n">
        <f aca="false">IFERROR(INDEX(Cohort_Survival!$AC$5:$BB$65,63+$A17-59,63-59),0)</f>
        <v>0.975667073915872</v>
      </c>
      <c r="K17" s="32" t="n">
        <f aca="false">IFERROR(INDEX(Cohort_Survival!$AC$5:$BB$65,64+$A17-59,64-59),0)</f>
        <v>0.972635602404216</v>
      </c>
      <c r="L17" s="32" t="n">
        <f aca="false">IFERROR(INDEX(Cohort_Survival!$AC$5:$BB$65,65+$A17-59,65-59),0)</f>
        <v>0.969219457549594</v>
      </c>
      <c r="M17" s="32" t="n">
        <f aca="false">IFERROR(INDEX(Cohort_Survival!$AC$5:$BB$65,66+$A17-59,66-59),0)</f>
        <v>0.965319344439609</v>
      </c>
      <c r="N17" s="32" t="n">
        <f aca="false">IFERROR(INDEX(Cohort_Survival!$AC$5:$BB$65,67+$A17-59,67-59),0)</f>
        <v>0.960912319394321</v>
      </c>
      <c r="O17" s="32" t="n">
        <f aca="false">IFERROR(INDEX(Cohort_Survival!$AC$5:$BB$65,68+$A17-59,68-59),0)</f>
        <v>0.955926291354085</v>
      </c>
      <c r="P17" s="32" t="n">
        <f aca="false">IFERROR(INDEX(Cohort_Survival!$AC$5:$BB$65,69+$A17-59,69-59),0)</f>
        <v>0.950278445487129</v>
      </c>
      <c r="Q17" s="32" t="n">
        <f aca="false">IFERROR(INDEX(Cohort_Survival!$AC$5:$BB$65,70+$A17-59,70-59),0)</f>
        <v>0.943873632356625</v>
      </c>
      <c r="R17" s="32" t="n">
        <f aca="false">IFERROR(INDEX(Cohort_Survival!$AC$5:$BB$65,71+$A17-59,71-59),0)</f>
        <v>0.93639224581072</v>
      </c>
      <c r="S17" s="32" t="n">
        <f aca="false">IFERROR(INDEX(Cohort_Survival!$AC$5:$BB$65,72+$A17-59,72-59),0)</f>
        <v>0.927889165206465</v>
      </c>
      <c r="T17" s="32" t="n">
        <f aca="false">IFERROR(INDEX(Cohort_Survival!$AC$5:$BB$65,73+$A17-59,73-59),0)</f>
        <v>0.918220021055557</v>
      </c>
      <c r="U17" s="32" t="n">
        <f aca="false">IFERROR(INDEX(Cohort_Survival!$AC$5:$BB$65,74+$A17-59,74-59),0)</f>
        <v>0.90722765471548</v>
      </c>
      <c r="V17" s="32" t="n">
        <f aca="false">IFERROR(INDEX(Cohort_Survival!$AC$5:$BB$65,75+$A17-59,75-59),0)</f>
        <v>0.894743856287771</v>
      </c>
      <c r="X17" s="39" t="n">
        <f aca="false">IF(($A17+1)=1,Assumptions!$B$16,IF(($A17+1)=2,Assumptions!$B$17,IF(($A17+1)&lt;=5,Assumptions!$B$18,Assumptions!$B$19)))*(1-Assumptions!$B$20)</f>
        <v>0.0091</v>
      </c>
      <c r="Y17" s="32" t="n">
        <f aca="false">Y16*(1-MIN(1,X16*(1+Assumptions!$B$23)))</f>
        <v>0.855234217635884</v>
      </c>
      <c r="Z17" s="32" t="n">
        <f aca="false">Z16*(1-MIN(1,X16*(1-Assumptions!$B$23)))</f>
        <v>0.949865582556988</v>
      </c>
    </row>
    <row r="18" customFormat="false" ht="15" hidden="false" customHeight="true" outlineLevel="0" collapsed="false">
      <c r="A18" s="3" t="n">
        <v>6</v>
      </c>
      <c r="B18" s="30" t="n">
        <f aca="false">INDEX(Discount!$C$4:$C$64,$A18+1)</f>
        <v>0.851971578753519</v>
      </c>
      <c r="C18" s="32" t="n">
        <f aca="false">(1+Assumptions!$B$10)^$A18</f>
        <v>1.126162419264</v>
      </c>
      <c r="D18" s="99" t="n">
        <f aca="false">Assumptions!$B$12*(1+Assumptions!$B$11)^($A18+1)</f>
        <v>95.094860293457</v>
      </c>
      <c r="E18" s="32" t="n">
        <f aca="false">E17*(1-IF(6=1,Assumptions!$B$16,IF(6=2,Assumptions!$B$17,IF(6&lt;=5,Assumptions!$B$18,Assumptions!$B$19)))*(1-Assumptions!$B$20))</f>
        <v>0.89342269564729</v>
      </c>
      <c r="F18" s="18" t="n">
        <f aca="false">IF($A18=0,Assumptions!$B$14,Assumptions!$B$15)</f>
        <v>0.05</v>
      </c>
      <c r="G18" s="32" t="n">
        <f aca="false">IFERROR(INDEX(Cohort_Survival!$AC$5:$BB$65,60+$A18-59,60-59),0)</f>
        <v>0.978318765670859</v>
      </c>
      <c r="H18" s="32" t="n">
        <f aca="false">IFERROR(INDEX(Cohort_Survival!$AC$5:$BB$65,61+$A18-59,61-59),0)</f>
        <v>0.975659554979911</v>
      </c>
      <c r="I18" s="32" t="n">
        <f aca="false">IFERROR(INDEX(Cohort_Survival!$AC$5:$BB$65,62+$A18-59,62-59),0)</f>
        <v>0.972673649941585</v>
      </c>
      <c r="J18" s="32" t="n">
        <f aca="false">IFERROR(INDEX(Cohort_Survival!$AC$5:$BB$65,63+$A18-59,63-59),0)</f>
        <v>0.969316559476947</v>
      </c>
      <c r="K18" s="32" t="n">
        <f aca="false">IFERROR(INDEX(Cohort_Survival!$AC$5:$BB$65,64+$A18-59,64-59),0)</f>
        <v>0.965537335507507</v>
      </c>
      <c r="L18" s="32" t="n">
        <f aca="false">IFERROR(INDEX(Cohort_Survival!$AC$5:$BB$65,65+$A18-59,65-59),0)</f>
        <v>0.960987067885951</v>
      </c>
      <c r="M18" s="32" t="n">
        <f aca="false">IFERROR(INDEX(Cohort_Survival!$AC$5:$BB$65,66+$A18-59,66-59),0)</f>
        <v>0.956100039518668</v>
      </c>
      <c r="N18" s="32" t="n">
        <f aca="false">IFERROR(INDEX(Cohort_Survival!$AC$5:$BB$65,67+$A18-59,67-59),0)</f>
        <v>0.950577905975664</v>
      </c>
      <c r="O18" s="32" t="n">
        <f aca="false">IFERROR(INDEX(Cohort_Survival!$AC$5:$BB$65,68+$A18-59,68-59),0)</f>
        <v>0.94433114288686</v>
      </c>
      <c r="P18" s="32" t="n">
        <f aca="false">IFERROR(INDEX(Cohort_Survival!$AC$5:$BB$65,69+$A18-59,69-59),0)</f>
        <v>0.937257243597902</v>
      </c>
      <c r="Q18" s="32" t="n">
        <f aca="false">IFERROR(INDEX(Cohort_Survival!$AC$5:$BB$65,70+$A18-59,70-59),0)</f>
        <v>0.928722390243121</v>
      </c>
      <c r="R18" s="32" t="n">
        <f aca="false">IFERROR(INDEX(Cohort_Survival!$AC$5:$BB$65,71+$A18-59,71-59),0)</f>
        <v>0.91935477331402</v>
      </c>
      <c r="S18" s="32" t="n">
        <f aca="false">IFERROR(INDEX(Cohort_Survival!$AC$5:$BB$65,72+$A18-59,72-59),0)</f>
        <v>0.908722548801479</v>
      </c>
      <c r="T18" s="32" t="n">
        <f aca="false">IFERROR(INDEX(Cohort_Survival!$AC$5:$BB$65,73+$A18-59,73-59),0)</f>
        <v>0.896658859990846</v>
      </c>
      <c r="U18" s="32" t="n">
        <f aca="false">IFERROR(INDEX(Cohort_Survival!$AC$5:$BB$65,74+$A18-59,74-59),0)</f>
        <v>0.882985422661735</v>
      </c>
      <c r="V18" s="32" t="n">
        <f aca="false">IFERROR(INDEX(Cohort_Survival!$AC$5:$BB$65,75+$A18-59,75-59),0)</f>
        <v>0.866587490176979</v>
      </c>
      <c r="X18" s="39" t="n">
        <f aca="false">IF(($A18+1)=1,Assumptions!$B$16,IF(($A18+1)=2,Assumptions!$B$17,IF(($A18+1)&lt;=5,Assumptions!$B$18,Assumptions!$B$19)))*(1-Assumptions!$B$20)</f>
        <v>0.0091</v>
      </c>
      <c r="Y18" s="32" t="n">
        <f aca="false">Y17*(1-MIN(1,X17*(1+Assumptions!$B$23)))</f>
        <v>0.843560270565154</v>
      </c>
      <c r="Z18" s="32" t="n">
        <f aca="false">Z17*(1-MIN(1,X17*(1-Assumptions!$B$23)))</f>
        <v>0.945543694156354</v>
      </c>
    </row>
    <row r="19" customFormat="false" ht="15" hidden="false" customHeight="true" outlineLevel="0" collapsed="false">
      <c r="A19" s="3" t="n">
        <v>7</v>
      </c>
      <c r="B19" s="30" t="n">
        <f aca="false">INDEX(Discount!$C$4:$C$64,$A19+1)</f>
        <v>0.827041278453181</v>
      </c>
      <c r="C19" s="32" t="n">
        <f aca="false">(1+Assumptions!$B$10)^$A19</f>
        <v>1.14868566764928</v>
      </c>
      <c r="D19" s="99" t="n">
        <f aca="false">Assumptions!$B$12*(1+Assumptions!$B$11)^($A19+1)</f>
        <v>97.4722318007934</v>
      </c>
      <c r="E19" s="32" t="n">
        <f aca="false">E18*(1-IF(7=1,Assumptions!$B$16,IF(7=2,Assumptions!$B$17,IF(7&lt;=5,Assumptions!$B$18,Assumptions!$B$19)))*(1-Assumptions!$B$20))</f>
        <v>0.8852925491169</v>
      </c>
      <c r="F19" s="18" t="n">
        <f aca="false">IF($A19=0,Assumptions!$B$14,Assumptions!$B$15)</f>
        <v>0.05</v>
      </c>
      <c r="G19" s="32" t="n">
        <f aca="false">IFERROR(INDEX(Cohort_Survival!$AC$5:$BB$65,60+$A19-59,60-59),0)</f>
        <v>0.973323224605833</v>
      </c>
      <c r="H19" s="32" t="n">
        <f aca="false">IFERROR(INDEX(Cohort_Survival!$AC$5:$BB$65,61+$A19-59,61-59),0)</f>
        <v>0.970086057223224</v>
      </c>
      <c r="I19" s="32" t="n">
        <f aca="false">IFERROR(INDEX(Cohort_Survival!$AC$5:$BB$65,62+$A19-59,62-59),0)</f>
        <v>0.966449775768669</v>
      </c>
      <c r="J19" s="32" t="n">
        <f aca="false">IFERROR(INDEX(Cohort_Survival!$AC$5:$BB$65,63+$A19-59,63-59),0)</f>
        <v>0.962360101680688</v>
      </c>
      <c r="K19" s="32" t="n">
        <f aca="false">IFERROR(INDEX(Cohort_Survival!$AC$5:$BB$65,64+$A19-59,64-59),0)</f>
        <v>0.957470235269471</v>
      </c>
      <c r="L19" s="32" t="n">
        <f aca="false">IFERROR(INDEX(Cohort_Survival!$AC$5:$BB$65,65+$A19-59,65-59),0)</f>
        <v>0.951956748196789</v>
      </c>
      <c r="M19" s="32" t="n">
        <f aca="false">IFERROR(INDEX(Cohort_Survival!$AC$5:$BB$65,66+$A19-59,66-59),0)</f>
        <v>0.945980364134695</v>
      </c>
      <c r="N19" s="32" t="n">
        <f aca="false">IFERROR(INDEX(Cohort_Survival!$AC$5:$BB$65,67+$A19-59,67-59),0)</f>
        <v>0.93922801039711</v>
      </c>
      <c r="O19" s="32" t="n">
        <f aca="false">IFERROR(INDEX(Cohort_Survival!$AC$5:$BB$65,68+$A19-59,68-59),0)</f>
        <v>0.931591550255902</v>
      </c>
      <c r="P19" s="32" t="n">
        <f aca="false">IFERROR(INDEX(Cohort_Survival!$AC$5:$BB$65,69+$A19-59,69-59),0)</f>
        <v>0.922442632259427</v>
      </c>
      <c r="Q19" s="32" t="n">
        <f aca="false">IFERROR(INDEX(Cohort_Survival!$AC$5:$BB$65,70+$A19-59,70-59),0)</f>
        <v>0.912081241073974</v>
      </c>
      <c r="R19" s="32" t="n">
        <f aca="false">IFERROR(INDEX(Cohort_Survival!$AC$5:$BB$65,71+$A19-59,71-59),0)</f>
        <v>0.900651296590785</v>
      </c>
      <c r="S19" s="32" t="n">
        <f aca="false">IFERROR(INDEX(Cohort_Survival!$AC$5:$BB$65,72+$A19-59,72-59),0)</f>
        <v>0.887705413464136</v>
      </c>
      <c r="T19" s="32" t="n">
        <f aca="false">IFERROR(INDEX(Cohort_Survival!$AC$5:$BB$65,73+$A19-59,73-59),0)</f>
        <v>0.873058679053186</v>
      </c>
      <c r="U19" s="32" t="n">
        <f aca="false">IFERROR(INDEX(Cohort_Survival!$AC$5:$BB$65,74+$A19-59,74-59),0)</f>
        <v>0.855615873548435</v>
      </c>
      <c r="V19" s="32" t="n">
        <f aca="false">IFERROR(INDEX(Cohort_Survival!$AC$5:$BB$65,75+$A19-59,75-59),0)</f>
        <v>0.835982404729</v>
      </c>
      <c r="X19" s="39" t="n">
        <f aca="false">IF(($A19+1)=1,Assumptions!$B$16,IF(($A19+1)=2,Assumptions!$B$17,IF(($A19+1)&lt;=5,Assumptions!$B$18,Assumptions!$B$19)))*(1-Assumptions!$B$20)</f>
        <v>0.0091</v>
      </c>
      <c r="Y19" s="32" t="n">
        <f aca="false">Y18*(1-MIN(1,X18*(1+Assumptions!$B$23)))</f>
        <v>0.832045672871939</v>
      </c>
      <c r="Z19" s="32" t="n">
        <f aca="false">Z18*(1-MIN(1,X18*(1-Assumptions!$B$23)))</f>
        <v>0.941241470347942</v>
      </c>
    </row>
    <row r="20" customFormat="false" ht="15" hidden="false" customHeight="true" outlineLevel="0" collapsed="false">
      <c r="A20" s="3" t="n">
        <v>8</v>
      </c>
      <c r="B20" s="30" t="n">
        <f aca="false">INDEX(Discount!$C$4:$C$64,$A20+1)</f>
        <v>0.801904550348561</v>
      </c>
      <c r="C20" s="32" t="n">
        <f aca="false">(1+Assumptions!$B$10)^$A20</f>
        <v>1.17165938100227</v>
      </c>
      <c r="D20" s="99" t="n">
        <f aca="false">Assumptions!$B$12*(1+Assumptions!$B$11)^($A20+1)</f>
        <v>99.9090375958132</v>
      </c>
      <c r="E20" s="32" t="n">
        <f aca="false">E19*(1-IF(8=1,Assumptions!$B$16,IF(8=2,Assumptions!$B$17,IF(8&lt;=5,Assumptions!$B$18,Assumptions!$B$19)))*(1-Assumptions!$B$20))</f>
        <v>0.877236386919936</v>
      </c>
      <c r="F20" s="18" t="n">
        <f aca="false">IF($A20=0,Assumptions!$B$14,Assumptions!$B$15)</f>
        <v>0.05</v>
      </c>
      <c r="G20" s="32" t="n">
        <f aca="false">IFERROR(INDEX(Cohort_Survival!$AC$5:$BB$65,60+$A20-59,60-59),0)</f>
        <v>0.967854307019572</v>
      </c>
      <c r="H20" s="32" t="n">
        <f aca="false">IFERROR(INDEX(Cohort_Survival!$AC$5:$BB$65,61+$A20-59,61-59),0)</f>
        <v>0.963978968995754</v>
      </c>
      <c r="I20" s="32" t="n">
        <f aca="false">IFERROR(INDEX(Cohort_Survival!$AC$5:$BB$65,62+$A20-59,62-59),0)</f>
        <v>0.959624235200903</v>
      </c>
      <c r="J20" s="32" t="n">
        <f aca="false">IFERROR(INDEX(Cohort_Survival!$AC$5:$BB$65,63+$A20-59,63-59),0)</f>
        <v>0.954445755871597</v>
      </c>
      <c r="K20" s="32" t="n">
        <f aca="false">IFERROR(INDEX(Cohort_Survival!$AC$5:$BB$65,64+$A20-59,64-59),0)</f>
        <v>0.948612515717612</v>
      </c>
      <c r="L20" s="32" t="n">
        <f aca="false">IFERROR(INDEX(Cohort_Survival!$AC$5:$BB$65,65+$A20-59,65-59),0)</f>
        <v>0.942035615544812</v>
      </c>
      <c r="M20" s="32" t="n">
        <f aca="false">IFERROR(INDEX(Cohort_Survival!$AC$5:$BB$65,66+$A20-59,66-59),0)</f>
        <v>0.934857309850936</v>
      </c>
      <c r="N20" s="32" t="n">
        <f aca="false">IFERROR(INDEX(Cohort_Survival!$AC$5:$BB$65,67+$A20-59,67-59),0)</f>
        <v>0.926748889295314</v>
      </c>
      <c r="O20" s="32" t="n">
        <f aca="false">IFERROR(INDEX(Cohort_Survival!$AC$5:$BB$65,68+$A20-59,68-59),0)</f>
        <v>0.917088159115851</v>
      </c>
      <c r="P20" s="32" t="n">
        <f aca="false">IFERROR(INDEX(Cohort_Survival!$AC$5:$BB$65,69+$A20-59,69-59),0)</f>
        <v>0.906162150042994</v>
      </c>
      <c r="Q20" s="32" t="n">
        <f aca="false">IFERROR(INDEX(Cohort_Survival!$AC$5:$BB$65,70+$A20-59,70-59),0)</f>
        <v>0.893804070610581</v>
      </c>
      <c r="R20" s="32" t="n">
        <f aca="false">IFERROR(INDEX(Cohort_Survival!$AC$5:$BB$65,71+$A20-59,71-59),0)</f>
        <v>0.880133291877564</v>
      </c>
      <c r="S20" s="32" t="n">
        <f aca="false">IFERROR(INDEX(Cohort_Survival!$AC$5:$BB$65,72+$A20-59,72-59),0)</f>
        <v>0.864691356310172</v>
      </c>
      <c r="T20" s="32" t="n">
        <f aca="false">IFERROR(INDEX(Cohort_Survival!$AC$5:$BB$65,73+$A20-59,73-59),0)</f>
        <v>0.846402753083015</v>
      </c>
      <c r="U20" s="32" t="n">
        <f aca="false">IFERROR(INDEX(Cohort_Survival!$AC$5:$BB$65,74+$A20-59,74-59),0)</f>
        <v>0.825851534391496</v>
      </c>
      <c r="V20" s="32" t="n">
        <f aca="false">IFERROR(INDEX(Cohort_Survival!$AC$5:$BB$65,75+$A20-59,75-59),0)</f>
        <v>0.802842380880297</v>
      </c>
      <c r="X20" s="39" t="n">
        <f aca="false">IF(($A20+1)=1,Assumptions!$B$16,IF(($A20+1)=2,Assumptions!$B$17,IF(($A20+1)&lt;=5,Assumptions!$B$18,Assumptions!$B$19)))*(1-Assumptions!$B$20)</f>
        <v>0.0091</v>
      </c>
      <c r="Y20" s="32" t="n">
        <f aca="false">Y19*(1-MIN(1,X19*(1+Assumptions!$B$23)))</f>
        <v>0.820688249437237</v>
      </c>
      <c r="Z20" s="32" t="n">
        <f aca="false">Z19*(1-MIN(1,X19*(1-Assumptions!$B$23)))</f>
        <v>0.936958821657859</v>
      </c>
    </row>
    <row r="21" customFormat="false" ht="15" hidden="false" customHeight="true" outlineLevel="0" collapsed="false">
      <c r="A21" s="3" t="n">
        <v>9</v>
      </c>
      <c r="B21" s="30" t="n">
        <f aca="false">INDEX(Discount!$C$4:$C$64,$A21+1)</f>
        <v>0.776739422112084</v>
      </c>
      <c r="C21" s="32" t="n">
        <f aca="false">(1+Assumptions!$B$10)^$A21</f>
        <v>1.19509256862231</v>
      </c>
      <c r="D21" s="99" t="n">
        <f aca="false">Assumptions!$B$12*(1+Assumptions!$B$11)^($A21+1)</f>
        <v>102.406763535709</v>
      </c>
      <c r="E21" s="32" t="n">
        <f aca="false">E20*(1-IF(9=1,Assumptions!$B$16,IF(9=2,Assumptions!$B$17,IF(9&lt;=5,Assumptions!$B$18,Assumptions!$B$19)))*(1-Assumptions!$B$20))</f>
        <v>0.869253535798965</v>
      </c>
      <c r="F21" s="18" t="n">
        <f aca="false">IF($A21=0,Assumptions!$B$14,Assumptions!$B$15)</f>
        <v>0.05</v>
      </c>
      <c r="G21" s="32" t="n">
        <f aca="false">IFERROR(INDEX(Cohort_Survival!$AC$5:$BB$65,60+$A21-59,60-59),0)</f>
        <v>0.961855942389529</v>
      </c>
      <c r="H21" s="32" t="n">
        <f aca="false">IFERROR(INDEX(Cohort_Survival!$AC$5:$BB$65,61+$A21-59,61-59),0)</f>
        <v>0.957275552916776</v>
      </c>
      <c r="I21" s="32" t="n">
        <f aca="false">IFERROR(INDEX(Cohort_Survival!$AC$5:$BB$65,62+$A21-59,62-59),0)</f>
        <v>0.951852662970609</v>
      </c>
      <c r="J21" s="32" t="n">
        <f aca="false">IFERROR(INDEX(Cohort_Survival!$AC$5:$BB$65,63+$A21-59,63-59),0)</f>
        <v>0.945749653816695</v>
      </c>
      <c r="K21" s="32" t="n">
        <f aca="false">IFERROR(INDEX(Cohort_Survival!$AC$5:$BB$65,64+$A21-59,64-59),0)</f>
        <v>0.938875119997162</v>
      </c>
      <c r="L21" s="32" t="n">
        <f aca="false">IFERROR(INDEX(Cohort_Survival!$AC$5:$BB$65,65+$A21-59,65-59),0)</f>
        <v>0.931125258146111</v>
      </c>
      <c r="M21" s="32" t="n">
        <f aca="false">IFERROR(INDEX(Cohort_Survival!$AC$5:$BB$65,66+$A21-59,66-59),0)</f>
        <v>0.922622576121121</v>
      </c>
      <c r="N21" s="32" t="n">
        <f aca="false">IFERROR(INDEX(Cohort_Survival!$AC$5:$BB$65,67+$A21-59,67-59),0)</f>
        <v>0.912537310624414</v>
      </c>
      <c r="O21" s="32" t="n">
        <f aca="false">IFERROR(INDEX(Cohort_Survival!$AC$5:$BB$65,68+$A21-59,68-59),0)</f>
        <v>0.901144969383408</v>
      </c>
      <c r="P21" s="32" t="n">
        <f aca="false">IFERROR(INDEX(Cohort_Survival!$AC$5:$BB$65,69+$A21-59,69-59),0)</f>
        <v>0.888275970448571</v>
      </c>
      <c r="Q21" s="32" t="n">
        <f aca="false">IFERROR(INDEX(Cohort_Survival!$AC$5:$BB$65,70+$A21-59,70-59),0)</f>
        <v>0.873747484826649</v>
      </c>
      <c r="R21" s="32" t="n">
        <f aca="false">IFERROR(INDEX(Cohort_Survival!$AC$5:$BB$65,71+$A21-59,71-59),0)</f>
        <v>0.857657810697064</v>
      </c>
      <c r="S21" s="32" t="n">
        <f aca="false">IFERROR(INDEX(Cohort_Survival!$AC$5:$BB$65,72+$A21-59,72-59),0)</f>
        <v>0.838686905413745</v>
      </c>
      <c r="T21" s="32" t="n">
        <f aca="false">IFERROR(INDEX(Cohort_Survival!$AC$5:$BB$65,73+$A21-59,73-59),0)</f>
        <v>0.81740056869842</v>
      </c>
      <c r="U21" s="32" t="n">
        <f aca="false">IFERROR(INDEX(Cohort_Survival!$AC$5:$BB$65,74+$A21-59,74-59),0)</f>
        <v>0.793604194854747</v>
      </c>
      <c r="V21" s="32" t="n">
        <f aca="false">IFERROR(INDEX(Cohort_Survival!$AC$5:$BB$65,75+$A21-59,75-59),0)</f>
        <v>0.767123850289824</v>
      </c>
      <c r="X21" s="39" t="n">
        <f aca="false">IF(($A21+1)=1,Assumptions!$B$16,IF(($A21+1)=2,Assumptions!$B$17,IF(($A21+1)&lt;=5,Assumptions!$B$18,Assumptions!$B$19)))*(1-Assumptions!$B$20)</f>
        <v>0.0091</v>
      </c>
      <c r="Y21" s="32" t="n">
        <f aca="false">Y20*(1-MIN(1,X20*(1+Assumptions!$B$23)))</f>
        <v>0.809485854832419</v>
      </c>
      <c r="Z21" s="32" t="n">
        <f aca="false">Z20*(1-MIN(1,X20*(1-Assumptions!$B$23)))</f>
        <v>0.932695659019316</v>
      </c>
    </row>
    <row r="22" customFormat="false" ht="15" hidden="false" customHeight="true" outlineLevel="0" collapsed="false">
      <c r="A22" s="3" t="n">
        <v>10</v>
      </c>
      <c r="B22" s="30" t="n">
        <f aca="false">INDEX(Discount!$C$4:$C$64,$A22+1)</f>
        <v>0.750554126131835</v>
      </c>
      <c r="C22" s="32" t="n">
        <f aca="false">(1+Assumptions!$B$10)^$A22</f>
        <v>1.21899441999476</v>
      </c>
      <c r="D22" s="99" t="n">
        <f aca="false">Assumptions!$B$12*(1+Assumptions!$B$11)^($A22+1)</f>
        <v>104.966932624101</v>
      </c>
      <c r="E22" s="32" t="n">
        <f aca="false">E21*(1-IF(10=1,Assumptions!$B$16,IF(10=2,Assumptions!$B$17,IF(10&lt;=5,Assumptions!$B$18,Assumptions!$B$19)))*(1-Assumptions!$B$20))</f>
        <v>0.861343328623194</v>
      </c>
      <c r="F22" s="18" t="n">
        <f aca="false">IF($A22=0,Assumptions!$B$14,Assumptions!$B$15)</f>
        <v>0.05</v>
      </c>
      <c r="G22" s="32" t="n">
        <f aca="false">IFERROR(INDEX(Cohort_Survival!$AC$5:$BB$65,60+$A22-59,60-59),0)</f>
        <v>0.955268042059439</v>
      </c>
      <c r="H22" s="32" t="n">
        <f aca="false">IFERROR(INDEX(Cohort_Survival!$AC$5:$BB$65,61+$A22-59,61-59),0)</f>
        <v>0.949639412566092</v>
      </c>
      <c r="I22" s="32" t="n">
        <f aca="false">IFERROR(INDEX(Cohort_Survival!$AC$5:$BB$65,62+$A22-59,62-59),0)</f>
        <v>0.94331027412369</v>
      </c>
      <c r="J22" s="32" t="n">
        <f aca="false">IFERROR(INDEX(Cohort_Survival!$AC$5:$BB$65,63+$A22-59,63-59),0)</f>
        <v>0.936187265168097</v>
      </c>
      <c r="K22" s="32" t="n">
        <f aca="false">IFERROR(INDEX(Cohort_Survival!$AC$5:$BB$65,64+$A22-59,64-59),0)</f>
        <v>0.928164472757564</v>
      </c>
      <c r="L22" s="32" t="n">
        <f aca="false">IFERROR(INDEX(Cohort_Survival!$AC$5:$BB$65,65+$A22-59,65-59),0)</f>
        <v>0.919122155169601</v>
      </c>
      <c r="M22" s="32" t="n">
        <f aca="false">IFERROR(INDEX(Cohort_Survival!$AC$5:$BB$65,66+$A22-59,66-59),0)</f>
        <v>0.908686498480874</v>
      </c>
      <c r="N22" s="32" t="n">
        <f aca="false">IFERROR(INDEX(Cohort_Survival!$AC$5:$BB$65,67+$A22-59,67-59),0)</f>
        <v>0.896911196595403</v>
      </c>
      <c r="O22" s="32" t="n">
        <f aca="false">IFERROR(INDEX(Cohort_Survival!$AC$5:$BB$65,68+$A22-59,68-59),0)</f>
        <v>0.883624628072745</v>
      </c>
      <c r="P22" s="32" t="n">
        <f aca="false">IFERROR(INDEX(Cohort_Survival!$AC$5:$BB$65,69+$A22-59,69-59),0)</f>
        <v>0.868642420960368</v>
      </c>
      <c r="Q22" s="32" t="n">
        <f aca="false">IFERROR(INDEX(Cohort_Survival!$AC$5:$BB$65,70+$A22-59,70-59),0)</f>
        <v>0.851769760653542</v>
      </c>
      <c r="R22" s="32" t="n">
        <f aca="false">IFERROR(INDEX(Cohort_Survival!$AC$5:$BB$65,71+$A22-59,71-59),0)</f>
        <v>0.832251778293097</v>
      </c>
      <c r="S22" s="32" t="n">
        <f aca="false">IFERROR(INDEX(Cohort_Survival!$AC$5:$BB$65,72+$A22-59,72-59),0)</f>
        <v>0.810380173304936</v>
      </c>
      <c r="T22" s="32" t="n">
        <f aca="false">IFERROR(INDEX(Cohort_Survival!$AC$5:$BB$65,73+$A22-59,73-59),0)</f>
        <v>0.785961977511041</v>
      </c>
      <c r="U22" s="32" t="n">
        <f aca="false">IFERROR(INDEX(Cohort_Survival!$AC$5:$BB$65,74+$A22-59,74-59),0)</f>
        <v>0.758826284844101</v>
      </c>
      <c r="V22" s="32" t="n">
        <f aca="false">IFERROR(INDEX(Cohort_Survival!$AC$5:$BB$65,75+$A22-59,75-59),0)</f>
        <v>0.728838971368224</v>
      </c>
      <c r="X22" s="39" t="n">
        <f aca="false">IF(($A22+1)=1,Assumptions!$B$16,IF(($A22+1)=2,Assumptions!$B$17,IF(($A22+1)&lt;=5,Assumptions!$B$18,Assumptions!$B$19)))*(1-Assumptions!$B$20)</f>
        <v>0.0091</v>
      </c>
      <c r="Y22" s="32" t="n">
        <f aca="false">Y21*(1-MIN(1,X21*(1+Assumptions!$B$23)))</f>
        <v>0.798436372913956</v>
      </c>
      <c r="Z22" s="32" t="n">
        <f aca="false">Z21*(1-MIN(1,X21*(1-Assumptions!$B$23)))</f>
        <v>0.928451893770778</v>
      </c>
    </row>
    <row r="23" customFormat="false" ht="15" hidden="false" customHeight="true" outlineLevel="0" collapsed="false">
      <c r="A23" s="3" t="n">
        <v>11</v>
      </c>
      <c r="B23" s="30" t="n">
        <f aca="false">INDEX(Discount!$C$4:$C$64,$A23+1)</f>
        <v>0.726988915516858</v>
      </c>
      <c r="C23" s="32" t="n">
        <f aca="false">(1+Assumptions!$B$10)^$A23</f>
        <v>1.24337430839465</v>
      </c>
      <c r="D23" s="99" t="n">
        <f aca="false">Assumptions!$B$12*(1+Assumptions!$B$11)^($A23+1)</f>
        <v>107.591105939704</v>
      </c>
      <c r="E23" s="32" t="n">
        <f aca="false">E22*(1-IF(11=1,Assumptions!$B$16,IF(11=2,Assumptions!$B$17,IF(11&lt;=5,Assumptions!$B$18,Assumptions!$B$19)))*(1-Assumptions!$B$20))</f>
        <v>0.853505104332723</v>
      </c>
      <c r="F23" s="18" t="n">
        <f aca="false">IF($A23=0,Assumptions!$B$14,Assumptions!$B$15)</f>
        <v>0.05</v>
      </c>
      <c r="G23" s="32" t="n">
        <f aca="false">IFERROR(INDEX(Cohort_Survival!$AC$5:$BB$65,60+$A23-59,60-59),0)</f>
        <v>0.947762217422874</v>
      </c>
      <c r="H23" s="32" t="n">
        <f aca="false">IFERROR(INDEX(Cohort_Survival!$AC$5:$BB$65,61+$A23-59,61-59),0)</f>
        <v>0.941244724395904</v>
      </c>
      <c r="I23" s="32" t="n">
        <f aca="false">IFERROR(INDEX(Cohort_Survival!$AC$5:$BB$65,62+$A23-59,62-59),0)</f>
        <v>0.933915615685626</v>
      </c>
      <c r="J23" s="32" t="n">
        <f aca="false">IFERROR(INDEX(Cohort_Survival!$AC$5:$BB$65,63+$A23-59,63-59),0)</f>
        <v>0.925667480626103</v>
      </c>
      <c r="K23" s="32" t="n">
        <f aca="false">IFERROR(INDEX(Cohort_Survival!$AC$5:$BB$65,64+$A23-59,64-59),0)</f>
        <v>0.916379011195376</v>
      </c>
      <c r="L23" s="32" t="n">
        <f aca="false">IFERROR(INDEX(Cohort_Survival!$AC$5:$BB$65,65+$A23-59,65-59),0)</f>
        <v>0.905447198934919</v>
      </c>
      <c r="M23" s="32" t="n">
        <f aca="false">IFERROR(INDEX(Cohort_Survival!$AC$5:$BB$65,66+$A23-59,66-59),0)</f>
        <v>0.89335972762294</v>
      </c>
      <c r="N23" s="32" t="n">
        <f aca="false">IFERROR(INDEX(Cohort_Survival!$AC$5:$BB$65,67+$A23-59,67-59),0)</f>
        <v>0.87973474001933</v>
      </c>
      <c r="O23" s="32" t="n">
        <f aca="false">IFERROR(INDEX(Cohort_Survival!$AC$5:$BB$65,68+$A23-59,68-59),0)</f>
        <v>0.864386848244402</v>
      </c>
      <c r="P23" s="32" t="n">
        <f aca="false">IFERROR(INDEX(Cohort_Survival!$AC$5:$BB$65,69+$A23-59,69-59),0)</f>
        <v>0.847120846241713</v>
      </c>
      <c r="Q23" s="32" t="n">
        <f aca="false">IFERROR(INDEX(Cohort_Survival!$AC$5:$BB$65,70+$A23-59,70-59),0)</f>
        <v>0.826916621648767</v>
      </c>
      <c r="R23" s="32" t="n">
        <f aca="false">IFERROR(INDEX(Cohort_Survival!$AC$5:$BB$65,71+$A23-59,71-59),0)</f>
        <v>0.804583582851622</v>
      </c>
      <c r="S23" s="32" t="n">
        <f aca="false">IFERROR(INDEX(Cohort_Survival!$AC$5:$BB$65,72+$A23-59,72-59),0)</f>
        <v>0.779679126876467</v>
      </c>
      <c r="T23" s="32" t="n">
        <f aca="false">IFERROR(INDEX(Cohort_Survival!$AC$5:$BB$65,73+$A23-59,73-59),0)</f>
        <v>0.752035615507988</v>
      </c>
      <c r="U23" s="32" t="n">
        <f aca="false">IFERROR(INDEX(Cohort_Survival!$AC$5:$BB$65,74+$A23-59,74-59),0)</f>
        <v>0.72152357441422</v>
      </c>
      <c r="V23" s="32" t="n">
        <f aca="false">IFERROR(INDEX(Cohort_Survival!$AC$5:$BB$65,75+$A23-59,75-59),0)</f>
        <v>0.686725706402139</v>
      </c>
      <c r="X23" s="39" t="n">
        <f aca="false">IF(($A23+1)=1,Assumptions!$B$16,IF(($A23+1)=2,Assumptions!$B$17,IF(($A23+1)&lt;=5,Assumptions!$B$18,Assumptions!$B$19)))*(1-Assumptions!$B$20)</f>
        <v>0.0091</v>
      </c>
      <c r="Y23" s="32" t="n">
        <f aca="false">Y22*(1-MIN(1,X22*(1+Assumptions!$B$23)))</f>
        <v>0.787537716423681</v>
      </c>
      <c r="Z23" s="32" t="n">
        <f aca="false">Z22*(1-MIN(1,X22*(1-Assumptions!$B$23)))</f>
        <v>0.924227437654121</v>
      </c>
    </row>
    <row r="24" customFormat="false" ht="15" hidden="false" customHeight="true" outlineLevel="0" collapsed="false">
      <c r="A24" s="3" t="n">
        <v>12</v>
      </c>
      <c r="B24" s="30" t="n">
        <f aca="false">INDEX(Discount!$C$4:$C$64,$A24+1)</f>
        <v>0.702033923629033</v>
      </c>
      <c r="C24" s="32" t="n">
        <f aca="false">(1+Assumptions!$B$10)^$A24</f>
        <v>1.26824179456255</v>
      </c>
      <c r="D24" s="99" t="n">
        <f aca="false">Assumptions!$B$12*(1+Assumptions!$B$11)^($A24+1)</f>
        <v>110.280883588196</v>
      </c>
      <c r="E24" s="32" t="n">
        <f aca="false">E23*(1-IF(12=1,Assumptions!$B$16,IF(12=2,Assumptions!$B$17,IF(12&lt;=5,Assumptions!$B$18,Assumptions!$B$19)))*(1-Assumptions!$B$20))</f>
        <v>0.845738207883295</v>
      </c>
      <c r="F24" s="18" t="n">
        <f aca="false">IF($A24=0,Assumptions!$B$14,Assumptions!$B$15)</f>
        <v>0.05</v>
      </c>
      <c r="G24" s="32" t="n">
        <f aca="false">IFERROR(INDEX(Cohort_Survival!$AC$5:$BB$65,60+$A24-59,60-59),0)</f>
        <v>0.939509794822328</v>
      </c>
      <c r="H24" s="32" t="n">
        <f aca="false">IFERROR(INDEX(Cohort_Survival!$AC$5:$BB$65,61+$A24-59,61-59),0)</f>
        <v>0.932011248581134</v>
      </c>
      <c r="I24" s="32" t="n">
        <f aca="false">IFERROR(INDEX(Cohort_Survival!$AC$5:$BB$65,62+$A24-59,62-59),0)</f>
        <v>0.923578771176405</v>
      </c>
      <c r="J24" s="32" t="n">
        <f aca="false">IFERROR(INDEX(Cohort_Survival!$AC$5:$BB$65,63+$A24-59,63-59),0)</f>
        <v>0.914090031208463</v>
      </c>
      <c r="K24" s="32" t="n">
        <f aca="false">IFERROR(INDEX(Cohort_Survival!$AC$5:$BB$65,64+$A24-59,64-59),0)</f>
        <v>0.902949380367783</v>
      </c>
      <c r="L24" s="32" t="n">
        <f aca="false">IFERROR(INDEX(Cohort_Survival!$AC$5:$BB$65,65+$A24-59,65-59),0)</f>
        <v>0.89040414719072</v>
      </c>
      <c r="M24" s="32" t="n">
        <f aca="false">IFERROR(INDEX(Cohort_Survival!$AC$5:$BB$65,66+$A24-59,66-59),0)</f>
        <v>0.876507910734961</v>
      </c>
      <c r="N24" s="32" t="n">
        <f aca="false">IFERROR(INDEX(Cohort_Survival!$AC$5:$BB$65,67+$A24-59,67-59),0)</f>
        <v>0.860868945022581</v>
      </c>
      <c r="O24" s="32" t="n">
        <f aca="false">IFERROR(INDEX(Cohort_Survival!$AC$5:$BB$65,68+$A24-59,68-59),0)</f>
        <v>0.843291952109867</v>
      </c>
      <c r="P24" s="32" t="n">
        <f aca="false">IFERROR(INDEX(Cohort_Survival!$AC$5:$BB$65,69+$A24-59,69-59),0)</f>
        <v>0.822774116736555</v>
      </c>
      <c r="Q24" s="32" t="n">
        <f aca="false">IFERROR(INDEX(Cohort_Survival!$AC$5:$BB$65,70+$A24-59,70-59),0)</f>
        <v>0.799838155818055</v>
      </c>
      <c r="R24" s="32" t="n">
        <f aca="false">IFERROR(INDEX(Cohort_Survival!$AC$5:$BB$65,71+$A24-59,71-59),0)</f>
        <v>0.774559360436982</v>
      </c>
      <c r="S24" s="32" t="n">
        <f aca="false">IFERROR(INDEX(Cohort_Survival!$AC$5:$BB$65,72+$A24-59,72-59),0)</f>
        <v>0.746528794028845</v>
      </c>
      <c r="T24" s="32" t="n">
        <f aca="false">IFERROR(INDEX(Cohort_Survival!$AC$5:$BB$65,73+$A24-59,73-59),0)</f>
        <v>0.715621257112436</v>
      </c>
      <c r="U24" s="32" t="n">
        <f aca="false">IFERROR(INDEX(Cohort_Survival!$AC$5:$BB$65,74+$A24-59,74-59),0)</f>
        <v>0.680458361188358</v>
      </c>
      <c r="V24" s="32" t="n">
        <f aca="false">IFERROR(INDEX(Cohort_Survival!$AC$5:$BB$65,75+$A24-59,75-59),0)</f>
        <v>0.641992000597056</v>
      </c>
      <c r="X24" s="39" t="n">
        <f aca="false">IF(($A24+1)=1,Assumptions!$B$16,IF(($A24+1)=2,Assumptions!$B$17,IF(($A24+1)&lt;=5,Assumptions!$B$18,Assumptions!$B$19)))*(1-Assumptions!$B$20)</f>
        <v>0.0091</v>
      </c>
      <c r="Y24" s="32" t="n">
        <f aca="false">Y23*(1-MIN(1,X23*(1+Assumptions!$B$23)))</f>
        <v>0.776787826594498</v>
      </c>
      <c r="Z24" s="32" t="n">
        <f aca="false">Z23*(1-MIN(1,X23*(1-Assumptions!$B$23)))</f>
        <v>0.920022202812794</v>
      </c>
    </row>
    <row r="25" customFormat="false" ht="15" hidden="false" customHeight="true" outlineLevel="0" collapsed="false">
      <c r="A25" s="3" t="n">
        <v>13</v>
      </c>
      <c r="B25" s="30" t="n">
        <f aca="false">INDEX(Discount!$C$4:$C$64,$A25+1)</f>
        <v>0.678121495217362</v>
      </c>
      <c r="C25" s="32" t="n">
        <f aca="false">(1+Assumptions!$B$10)^$A25</f>
        <v>1.2936066304538</v>
      </c>
      <c r="D25" s="99" t="n">
        <f aca="false">Assumptions!$B$12*(1+Assumptions!$B$11)^($A25+1)</f>
        <v>113.037905677901</v>
      </c>
      <c r="E25" s="32" t="n">
        <f aca="false">E24*(1-IF(13=1,Assumptions!$B$16,IF(13=2,Assumptions!$B$17,IF(13&lt;=5,Assumptions!$B$18,Assumptions!$B$19)))*(1-Assumptions!$B$20))</f>
        <v>0.838041990191557</v>
      </c>
      <c r="F25" s="18" t="n">
        <f aca="false">IF($A25=0,Assumptions!$B$14,Assumptions!$B$15)</f>
        <v>0.05</v>
      </c>
      <c r="G25" s="32" t="n">
        <f aca="false">IFERROR(INDEX(Cohort_Survival!$AC$5:$BB$65,60+$A25-59,60-59),0)</f>
        <v>0.930431585264031</v>
      </c>
      <c r="H25" s="32" t="n">
        <f aca="false">IFERROR(INDEX(Cohort_Survival!$AC$5:$BB$65,61+$A25-59,61-59),0)</f>
        <v>0.921850218646861</v>
      </c>
      <c r="I25" s="32" t="n">
        <f aca="false">IFERROR(INDEX(Cohort_Survival!$AC$5:$BB$65,62+$A25-59,62-59),0)</f>
        <v>0.912200715417354</v>
      </c>
      <c r="J25" s="32" t="n">
        <f aca="false">IFERROR(INDEX(Cohort_Survival!$AC$5:$BB$65,63+$A25-59,63-59),0)</f>
        <v>0.900894886907192</v>
      </c>
      <c r="K25" s="32" t="n">
        <f aca="false">IFERROR(INDEX(Cohort_Survival!$AC$5:$BB$65,64+$A25-59,64-59),0)</f>
        <v>0.888172850545574</v>
      </c>
      <c r="L25" s="32" t="n">
        <f aca="false">IFERROR(INDEX(Cohort_Survival!$AC$5:$BB$65,65+$A25-59,65-59),0)</f>
        <v>0.873860023616435</v>
      </c>
      <c r="M25" s="32" t="n">
        <f aca="false">IFERROR(INDEX(Cohort_Survival!$AC$5:$BB$65,66+$A25-59,66-59),0)</f>
        <v>0.857993263605939</v>
      </c>
      <c r="N25" s="32" t="n">
        <f aca="false">IFERROR(INDEX(Cohort_Survival!$AC$5:$BB$65,67+$A25-59,67-59),0)</f>
        <v>0.840175037078103</v>
      </c>
      <c r="O25" s="32" t="n">
        <f aca="false">IFERROR(INDEX(Cohort_Survival!$AC$5:$BB$65,68+$A25-59,68-59),0)</f>
        <v>0.819418817449283</v>
      </c>
      <c r="P25" s="32" t="n">
        <f aca="false">IFERROR(INDEX(Cohort_Survival!$AC$5:$BB$65,69+$A25-59,69-59),0)</f>
        <v>0.7962354448562</v>
      </c>
      <c r="Q25" s="32" t="n">
        <f aca="false">IFERROR(INDEX(Cohort_Survival!$AC$5:$BB$65,70+$A25-59,70-59),0)</f>
        <v>0.770438723105458</v>
      </c>
      <c r="R25" s="32" t="n">
        <f aca="false">IFERROR(INDEX(Cohort_Survival!$AC$5:$BB$65,71+$A25-59,71-59),0)</f>
        <v>0.742120699162416</v>
      </c>
      <c r="S25" s="32" t="n">
        <f aca="false">IFERROR(INDEX(Cohort_Survival!$AC$5:$BB$65,72+$A25-59,72-59),0)</f>
        <v>0.710923297426929</v>
      </c>
      <c r="T25" s="32" t="n">
        <f aca="false">IFERROR(INDEX(Cohort_Survival!$AC$5:$BB$65,73+$A25-59,73-59),0)</f>
        <v>0.675502911092906</v>
      </c>
      <c r="U25" s="32" t="n">
        <f aca="false">IFERROR(INDEX(Cohort_Survival!$AC$5:$BB$65,74+$A25-59,74-59),0)</f>
        <v>0.636771200281649</v>
      </c>
      <c r="V25" s="32" t="n">
        <f aca="false">IFERROR(INDEX(Cohort_Survival!$AC$5:$BB$65,75+$A25-59,75-59),0)</f>
        <v>0.594852807425866</v>
      </c>
      <c r="X25" s="39" t="n">
        <f aca="false">IF(($A25+1)=1,Assumptions!$B$16,IF(($A25+1)=2,Assumptions!$B$17,IF(($A25+1)&lt;=5,Assumptions!$B$18,Assumptions!$B$19)))*(1-Assumptions!$B$20)</f>
        <v>0.0091</v>
      </c>
      <c r="Y25" s="32" t="n">
        <f aca="false">Y24*(1-MIN(1,X24*(1+Assumptions!$B$23)))</f>
        <v>0.766184672761483</v>
      </c>
      <c r="Z25" s="32" t="n">
        <f aca="false">Z24*(1-MIN(1,X24*(1-Assumptions!$B$23)))</f>
        <v>0.915836101789996</v>
      </c>
    </row>
    <row r="26" customFormat="false" ht="15" hidden="false" customHeight="true" outlineLevel="0" collapsed="false">
      <c r="A26" s="3" t="n">
        <v>14</v>
      </c>
      <c r="B26" s="30" t="n">
        <f aca="false">INDEX(Discount!$C$4:$C$64,$A26+1)</f>
        <v>0.655482469114705</v>
      </c>
      <c r="C26" s="32" t="n">
        <f aca="false">(1+Assumptions!$B$10)^$A26</f>
        <v>1.31947876306287</v>
      </c>
      <c r="D26" s="99" t="n">
        <f aca="false">Assumptions!$B$12*(1+Assumptions!$B$11)^($A26+1)</f>
        <v>115.863853319849</v>
      </c>
      <c r="E26" s="32" t="n">
        <f aca="false">E25*(1-IF(14=1,Assumptions!$B$16,IF(14=2,Assumptions!$B$17,IF(14&lt;=5,Assumptions!$B$18,Assumptions!$B$19)))*(1-Assumptions!$B$20))</f>
        <v>0.830415808080814</v>
      </c>
      <c r="F26" s="18" t="n">
        <f aca="false">IF($A26=0,Assumptions!$B$14,Assumptions!$B$15)</f>
        <v>0.05</v>
      </c>
      <c r="G26" s="32" t="n">
        <f aca="false">IFERROR(INDEX(Cohort_Survival!$AC$5:$BB$65,60+$A26-59,60-59),0)</f>
        <v>0.9204399343521</v>
      </c>
      <c r="H26" s="32" t="n">
        <f aca="false">IFERROR(INDEX(Cohort_Survival!$AC$5:$BB$65,61+$A26-59,61-59),0)</f>
        <v>0.910663809253477</v>
      </c>
      <c r="I26" s="32" t="n">
        <f aca="false">IFERROR(INDEX(Cohort_Survival!$AC$5:$BB$65,62+$A26-59,62-59),0)</f>
        <v>0.899230361988486</v>
      </c>
      <c r="J26" s="32" t="n">
        <f aca="false">IFERROR(INDEX(Cohort_Survival!$AC$5:$BB$65,63+$A26-59,63-59),0)</f>
        <v>0.886373121960333</v>
      </c>
      <c r="K26" s="32" t="n">
        <f aca="false">IFERROR(INDEX(Cohort_Survival!$AC$5:$BB$65,64+$A26-59,64-59),0)</f>
        <v>0.871917725477374</v>
      </c>
      <c r="L26" s="32" t="n">
        <f aca="false">IFERROR(INDEX(Cohort_Survival!$AC$5:$BB$65,65+$A26-59,65-59),0)</f>
        <v>0.855678189051595</v>
      </c>
      <c r="M26" s="32" t="n">
        <f aca="false">IFERROR(INDEX(Cohort_Survival!$AC$5:$BB$65,66+$A26-59,66-59),0)</f>
        <v>0.837677854145589</v>
      </c>
      <c r="N26" s="32" t="n">
        <f aca="false">IFERROR(INDEX(Cohort_Survival!$AC$5:$BB$65,67+$A26-59,67-59),0)</f>
        <v>0.816746914027458</v>
      </c>
      <c r="O26" s="32" t="n">
        <f aca="false">IFERROR(INDEX(Cohort_Survival!$AC$5:$BB$65,68+$A26-59,68-59),0)</f>
        <v>0.79338482782051</v>
      </c>
      <c r="P26" s="32" t="n">
        <f aca="false">IFERROR(INDEX(Cohort_Survival!$AC$5:$BB$65,69+$A26-59,69-59),0)</f>
        <v>0.767407441139516</v>
      </c>
      <c r="Q26" s="32" t="n">
        <f aca="false">IFERROR(INDEX(Cohort_Survival!$AC$5:$BB$65,70+$A26-59,70-59),0)</f>
        <v>0.738656626061063</v>
      </c>
      <c r="R26" s="32" t="n">
        <f aca="false">IFERROR(INDEX(Cohort_Survival!$AC$5:$BB$65,71+$A26-59,71-59),0)</f>
        <v>0.707256374303233</v>
      </c>
      <c r="S26" s="32" t="n">
        <f aca="false">IFERROR(INDEX(Cohort_Survival!$AC$5:$BB$65,72+$A26-59,72-59),0)</f>
        <v>0.671666147701831</v>
      </c>
      <c r="T26" s="32" t="n">
        <f aca="false">IFERROR(INDEX(Cohort_Survival!$AC$5:$BB$65,73+$A26-59,73-59),0)</f>
        <v>0.632758416431772</v>
      </c>
      <c r="U26" s="32" t="n">
        <f aca="false">IFERROR(INDEX(Cohort_Survival!$AC$5:$BB$65,74+$A26-59,74-59),0)</f>
        <v>0.590660582647945</v>
      </c>
      <c r="V26" s="32" t="n">
        <f aca="false">IFERROR(INDEX(Cohort_Survival!$AC$5:$BB$65,75+$A26-59,75-59),0)</f>
        <v>0.545645210860059</v>
      </c>
      <c r="X26" s="39" t="n">
        <f aca="false">IF(($A26+1)=1,Assumptions!$B$16,IF(($A26+1)=2,Assumptions!$B$17,IF(($A26+1)&lt;=5,Assumptions!$B$18,Assumptions!$B$19)))*(1-Assumptions!$B$20)</f>
        <v>0.0091</v>
      </c>
      <c r="Y26" s="32" t="n">
        <f aca="false">Y25*(1-MIN(1,X25*(1+Assumptions!$B$23)))</f>
        <v>0.755726251978289</v>
      </c>
      <c r="Z26" s="32" t="n">
        <f aca="false">Z25*(1-MIN(1,X25*(1-Assumptions!$B$23)))</f>
        <v>0.911669047526851</v>
      </c>
    </row>
    <row r="27" customFormat="false" ht="15" hidden="false" customHeight="true" outlineLevel="0" collapsed="false">
      <c r="A27" s="3" t="n">
        <v>15</v>
      </c>
      <c r="B27" s="30" t="n">
        <f aca="false">INDEX(Discount!$C$4:$C$64,$A27+1)</f>
        <v>0.631942752983253</v>
      </c>
      <c r="C27" s="32" t="n">
        <f aca="false">(1+Assumptions!$B$10)^$A27</f>
        <v>1.34586833832413</v>
      </c>
      <c r="D27" s="99" t="n">
        <f aca="false">Assumptions!$B$12*(1+Assumptions!$B$11)^($A27+1)</f>
        <v>118.760449652845</v>
      </c>
      <c r="E27" s="32" t="n">
        <f aca="false">E26*(1-IF(15=1,Assumptions!$B$16,IF(15=2,Assumptions!$B$17,IF(15&lt;=5,Assumptions!$B$18,Assumptions!$B$19)))*(1-Assumptions!$B$20))</f>
        <v>0.822859024227278</v>
      </c>
      <c r="F27" s="18" t="n">
        <f aca="false">IF($A27=0,Assumptions!$B$14,Assumptions!$B$15)</f>
        <v>0.05</v>
      </c>
      <c r="G27" s="32" t="n">
        <f aca="false">IFERROR(INDEX(Cohort_Survival!$AC$5:$BB$65,60+$A27-59,60-59),0)</f>
        <v>0.909438177826344</v>
      </c>
      <c r="H27" s="32" t="n">
        <f aca="false">IFERROR(INDEX(Cohort_Survival!$AC$5:$BB$65,61+$A27-59,61-59),0)</f>
        <v>0.897909536216472</v>
      </c>
      <c r="I27" s="32" t="n">
        <f aca="false">IFERROR(INDEX(Cohort_Survival!$AC$5:$BB$65,62+$A27-59,62-59),0)</f>
        <v>0.884952851973099</v>
      </c>
      <c r="J27" s="32" t="n">
        <f aca="false">IFERROR(INDEX(Cohort_Survival!$AC$5:$BB$65,63+$A27-59,63-59),0)</f>
        <v>0.870394267893222</v>
      </c>
      <c r="K27" s="32" t="n">
        <f aca="false">IFERROR(INDEX(Cohort_Survival!$AC$5:$BB$65,64+$A27-59,64-59),0)</f>
        <v>0.854048424377438</v>
      </c>
      <c r="L27" s="32" t="n">
        <f aca="false">IFERROR(INDEX(Cohort_Survival!$AC$5:$BB$65,65+$A27-59,65-59),0)</f>
        <v>0.835721504411371</v>
      </c>
      <c r="M27" s="32" t="n">
        <f aca="false">IFERROR(INDEX(Cohort_Survival!$AC$5:$BB$65,66+$A27-59,66-59),0)</f>
        <v>0.814669741915435</v>
      </c>
      <c r="N27" s="32" t="n">
        <f aca="false">IFERROR(INDEX(Cohort_Survival!$AC$5:$BB$65,67+$A27-59,67-59),0)</f>
        <v>0.791187050703863</v>
      </c>
      <c r="O27" s="32" t="n">
        <f aca="false">IFERROR(INDEX(Cohort_Survival!$AC$5:$BB$65,68+$A27-59,68-59),0)</f>
        <v>0.765090903706442</v>
      </c>
      <c r="P27" s="32" t="n">
        <f aca="false">IFERROR(INDEX(Cohort_Survival!$AC$5:$BB$65,69+$A27-59,69-59),0)</f>
        <v>0.736225246138272</v>
      </c>
      <c r="Q27" s="32" t="n">
        <f aca="false">IFERROR(INDEX(Cohort_Survival!$AC$5:$BB$65,70+$A27-59,70-59),0)</f>
        <v>0.704475564772171</v>
      </c>
      <c r="R27" s="32" t="n">
        <f aca="false">IFERROR(INDEX(Cohort_Survival!$AC$5:$BB$65,71+$A27-59,71-59),0)</f>
        <v>0.668787531829882</v>
      </c>
      <c r="S27" s="32" t="n">
        <f aca="false">IFERROR(INDEX(Cohort_Survival!$AC$5:$BB$65,72+$A27-59,72-59),0)</f>
        <v>0.629776460526693</v>
      </c>
      <c r="T27" s="32" t="n">
        <f aca="false">IFERROR(INDEX(Cohort_Survival!$AC$5:$BB$65,73+$A27-59,73-59),0)</f>
        <v>0.587570693716578</v>
      </c>
      <c r="U27" s="32" t="n">
        <f aca="false">IFERROR(INDEX(Cohort_Survival!$AC$5:$BB$65,74+$A27-59,74-59),0)</f>
        <v>0.542444739227302</v>
      </c>
      <c r="V27" s="32" t="n">
        <f aca="false">IFERROR(INDEX(Cohort_Survival!$AC$5:$BB$65,75+$A27-59,75-59),0)</f>
        <v>0.494840566054361</v>
      </c>
      <c r="X27" s="39" t="n">
        <f aca="false">IF(($A27+1)=1,Assumptions!$B$16,IF(($A27+1)=2,Assumptions!$B$17,IF(($A27+1)&lt;=5,Assumptions!$B$18,Assumptions!$B$19)))*(1-Assumptions!$B$20)</f>
        <v>0.0091</v>
      </c>
      <c r="Y27" s="32" t="n">
        <f aca="false">Y26*(1-MIN(1,X26*(1+Assumptions!$B$23)))</f>
        <v>0.745410588638785</v>
      </c>
      <c r="Z27" s="32" t="n">
        <f aca="false">Z26*(1-MIN(1,X26*(1-Assumptions!$B$23)))</f>
        <v>0.907520953360604</v>
      </c>
    </row>
    <row r="28" customFormat="false" ht="15" hidden="false" customHeight="true" outlineLevel="0" collapsed="false">
      <c r="A28" s="3" t="n">
        <v>16</v>
      </c>
      <c r="B28" s="30" t="n">
        <f aca="false">INDEX(Discount!$C$4:$C$64,$A28+1)</f>
        <v>0.609864478767281</v>
      </c>
      <c r="C28" s="32" t="n">
        <f aca="false">(1+Assumptions!$B$10)^$A28</f>
        <v>1.37278570509061</v>
      </c>
      <c r="D28" s="99" t="n">
        <f aca="false">Assumptions!$B$12*(1+Assumptions!$B$11)^($A28+1)</f>
        <v>121.729460894166</v>
      </c>
      <c r="E28" s="32" t="n">
        <f aca="false">E27*(1-IF(16=1,Assumptions!$B$16,IF(16=2,Assumptions!$B$17,IF(16&lt;=5,Assumptions!$B$18,Assumptions!$B$19)))*(1-Assumptions!$B$20))</f>
        <v>0.81537100710681</v>
      </c>
      <c r="F28" s="18" t="n">
        <f aca="false">IF($A28=0,Assumptions!$B$14,Assumptions!$B$15)</f>
        <v>0.05</v>
      </c>
      <c r="G28" s="32" t="n">
        <f aca="false">IFERROR(INDEX(Cohort_Survival!$AC$5:$BB$65,60+$A28-59,60-59),0)</f>
        <v>0.896892126943763</v>
      </c>
      <c r="H28" s="32" t="n">
        <f aca="false">IFERROR(INDEX(Cohort_Survival!$AC$5:$BB$65,61+$A28-59,61-59),0)</f>
        <v>0.883866845662325</v>
      </c>
      <c r="I28" s="32" t="n">
        <f aca="false">IFERROR(INDEX(Cohort_Survival!$AC$5:$BB$65,62+$A28-59,62-59),0)</f>
        <v>0.86923890020076</v>
      </c>
      <c r="J28" s="32" t="n">
        <f aca="false">IFERROR(INDEX(Cohort_Survival!$AC$5:$BB$65,63+$A28-59,63-59),0)</f>
        <v>0.852823760100729</v>
      </c>
      <c r="K28" s="32" t="n">
        <f aca="false">IFERROR(INDEX(Cohort_Survival!$AC$5:$BB$65,64+$A28-59,64-59),0)</f>
        <v>0.834428530284664</v>
      </c>
      <c r="L28" s="32" t="n">
        <f aca="false">IFERROR(INDEX(Cohort_Survival!$AC$5:$BB$65,65+$A28-59,65-59),0)</f>
        <v>0.813111442010391</v>
      </c>
      <c r="M28" s="32" t="n">
        <f aca="false">IFERROR(INDEX(Cohort_Survival!$AC$5:$BB$65,66+$A28-59,66-59),0)</f>
        <v>0.789557305986869</v>
      </c>
      <c r="N28" s="32" t="n">
        <f aca="false">IFERROR(INDEX(Cohort_Survival!$AC$5:$BB$65,67+$A28-59,67-59),0)</f>
        <v>0.763394737561662</v>
      </c>
      <c r="O28" s="32" t="n">
        <f aca="false">IFERROR(INDEX(Cohort_Survival!$AC$5:$BB$65,68+$A28-59,68-59),0)</f>
        <v>0.734469157959668</v>
      </c>
      <c r="P28" s="32" t="n">
        <f aca="false">IFERROR(INDEX(Cohort_Survival!$AC$5:$BB$65,69+$A28-59,69-59),0)</f>
        <v>0.70266772430441</v>
      </c>
      <c r="Q28" s="32" t="n">
        <f aca="false">IFERROR(INDEX(Cohort_Survival!$AC$5:$BB$65,70+$A28-59,70-59),0)</f>
        <v>0.666732738967413</v>
      </c>
      <c r="R28" s="32" t="n">
        <f aca="false">IFERROR(INDEX(Cohort_Survival!$AC$5:$BB$65,71+$A28-59,71-59),0)</f>
        <v>0.627678001057287</v>
      </c>
      <c r="S28" s="32" t="n">
        <f aca="false">IFERROR(INDEX(Cohort_Survival!$AC$5:$BB$65,72+$A28-59,72-59),0)</f>
        <v>0.58542234262349</v>
      </c>
      <c r="T28" s="32" t="n">
        <f aca="false">IFERROR(INDEX(Cohort_Survival!$AC$5:$BB$65,73+$A28-59,73-59),0)</f>
        <v>0.540240198793781</v>
      </c>
      <c r="U28" s="32" t="n">
        <f aca="false">IFERROR(INDEX(Cohort_Survival!$AC$5:$BB$65,74+$A28-59,74-59),0)</f>
        <v>0.492574471906067</v>
      </c>
      <c r="V28" s="32" t="n">
        <f aca="false">IFERROR(INDEX(Cohort_Survival!$AC$5:$BB$65,75+$A28-59,75-59),0)</f>
        <v>0.441396222077844</v>
      </c>
      <c r="X28" s="39" t="n">
        <f aca="false">IF(($A28+1)=1,Assumptions!$B$16,IF(($A28+1)=2,Assumptions!$B$17,IF(($A28+1)&lt;=5,Assumptions!$B$18,Assumptions!$B$19)))*(1-Assumptions!$B$20)</f>
        <v>0.0091</v>
      </c>
      <c r="Y28" s="32" t="n">
        <f aca="false">Y27*(1-MIN(1,X27*(1+Assumptions!$B$23)))</f>
        <v>0.735235734103865</v>
      </c>
      <c r="Z28" s="32" t="n">
        <f aca="false">Z27*(1-MIN(1,X27*(1-Assumptions!$B$23)))</f>
        <v>0.903391733022813</v>
      </c>
    </row>
    <row r="29" customFormat="false" ht="15" hidden="false" customHeight="true" outlineLevel="0" collapsed="false">
      <c r="A29" s="3" t="n">
        <v>17</v>
      </c>
      <c r="B29" s="30" t="n">
        <f aca="false">INDEX(Discount!$C$4:$C$64,$A29+1)</f>
        <v>0.589649060111137</v>
      </c>
      <c r="C29" s="32" t="n">
        <f aca="false">(1+Assumptions!$B$10)^$A29</f>
        <v>1.40024141919242</v>
      </c>
      <c r="D29" s="99" t="n">
        <f aca="false">Assumptions!$B$12*(1+Assumptions!$B$11)^($A29+1)</f>
        <v>124.77269741652</v>
      </c>
      <c r="E29" s="32" t="n">
        <f aca="false">E28*(1-IF(17=1,Assumptions!$B$16,IF(17=2,Assumptions!$B$17,IF(17&lt;=5,Assumptions!$B$18,Assumptions!$B$19)))*(1-Assumptions!$B$20))</f>
        <v>0.807951130942138</v>
      </c>
      <c r="F29" s="18" t="n">
        <f aca="false">IF($A29=0,Assumptions!$B$14,Assumptions!$B$15)</f>
        <v>0.05</v>
      </c>
      <c r="G29" s="32" t="n">
        <f aca="false">IFERROR(INDEX(Cohort_Survival!$AC$5:$BB$65,60+$A29-59,60-59),0)</f>
        <v>0.883075749658798</v>
      </c>
      <c r="H29" s="32" t="n">
        <f aca="false">IFERROR(INDEX(Cohort_Survival!$AC$5:$BB$65,61+$A29-59,61-59),0)</f>
        <v>0.868407597928825</v>
      </c>
      <c r="I29" s="32" t="n">
        <f aca="false">IFERROR(INDEX(Cohort_Survival!$AC$5:$BB$65,62+$A29-59,62-59),0)</f>
        <v>0.851954923396907</v>
      </c>
      <c r="J29" s="32" t="n">
        <f aca="false">IFERROR(INDEX(Cohort_Survival!$AC$5:$BB$65,63+$A29-59,63-59),0)</f>
        <v>0.833525876392089</v>
      </c>
      <c r="K29" s="32" t="n">
        <f aca="false">IFERROR(INDEX(Cohort_Survival!$AC$5:$BB$65,64+$A29-59,64-59),0)</f>
        <v>0.812192074929959</v>
      </c>
      <c r="L29" s="32" t="n">
        <f aca="false">IFERROR(INDEX(Cohort_Survival!$AC$5:$BB$65,65+$A29-59,65-59),0)</f>
        <v>0.78842300715073</v>
      </c>
      <c r="M29" s="32" t="n">
        <f aca="false">IFERROR(INDEX(Cohort_Survival!$AC$5:$BB$65,66+$A29-59,66-59),0)</f>
        <v>0.762238267443334</v>
      </c>
      <c r="N29" s="32" t="n">
        <f aca="false">IFERROR(INDEX(Cohort_Survival!$AC$5:$BB$65,67+$A29-59,67-59),0)</f>
        <v>0.733299186492997</v>
      </c>
      <c r="O29" s="32" t="n">
        <f aca="false">IFERROR(INDEX(Cohort_Survival!$AC$5:$BB$65,68+$A29-59,68-59),0)</f>
        <v>0.701493841696332</v>
      </c>
      <c r="P29" s="32" t="n">
        <f aca="false">IFERROR(INDEX(Cohort_Survival!$AC$5:$BB$65,69+$A29-59,69-59),0)</f>
        <v>0.665586444497721</v>
      </c>
      <c r="Q29" s="32" t="n">
        <f aca="false">IFERROR(INDEX(Cohort_Survival!$AC$5:$BB$65,70+$A29-59,70-59),0)</f>
        <v>0.626339672178253</v>
      </c>
      <c r="R29" s="32" t="n">
        <f aca="false">IFERROR(INDEX(Cohort_Survival!$AC$5:$BB$65,71+$A29-59,71-59),0)</f>
        <v>0.584081721505819</v>
      </c>
      <c r="S29" s="32" t="n">
        <f aca="false">IFERROR(INDEX(Cohort_Survival!$AC$5:$BB$65,72+$A29-59,72-59),0)</f>
        <v>0.538887381703909</v>
      </c>
      <c r="T29" s="32" t="n">
        <f aca="false">IFERROR(INDEX(Cohort_Survival!$AC$5:$BB$65,73+$A29-59,73-59),0)</f>
        <v>0.491198420016535</v>
      </c>
      <c r="U29" s="32" t="n">
        <f aca="false">IFERROR(INDEX(Cohort_Survival!$AC$5:$BB$65,74+$A29-59,74-59),0)</f>
        <v>0.440013268438334</v>
      </c>
      <c r="V29" s="32" t="n">
        <f aca="false">IFERROR(INDEX(Cohort_Survival!$AC$5:$BB$65,75+$A29-59,75-59),0)</f>
        <v>0.387992725083332</v>
      </c>
      <c r="X29" s="39" t="n">
        <f aca="false">IF(($A29+1)=1,Assumptions!$B$16,IF(($A29+1)=2,Assumptions!$B$17,IF(($A29+1)&lt;=5,Assumptions!$B$18,Assumptions!$B$19)))*(1-Assumptions!$B$20)</f>
        <v>0.0091</v>
      </c>
      <c r="Y29" s="32" t="n">
        <f aca="false">Y28*(1-MIN(1,X28*(1+Assumptions!$B$23)))</f>
        <v>0.725199766333348</v>
      </c>
      <c r="Z29" s="32" t="n">
        <f aca="false">Z28*(1-MIN(1,X28*(1-Assumptions!$B$23)))</f>
        <v>0.89928130063756</v>
      </c>
    </row>
    <row r="30" customFormat="false" ht="15" hidden="false" customHeight="true" outlineLevel="0" collapsed="false">
      <c r="A30" s="3" t="n">
        <v>18</v>
      </c>
      <c r="B30" s="30" t="n">
        <f aca="false">INDEX(Discount!$C$4:$C$64,$A30+1)</f>
        <v>0.570712145170615</v>
      </c>
      <c r="C30" s="32" t="n">
        <f aca="false">(1+Assumptions!$B$10)^$A30</f>
        <v>1.42824624757627</v>
      </c>
      <c r="D30" s="99" t="n">
        <f aca="false">Assumptions!$B$12*(1+Assumptions!$B$11)^($A30+1)</f>
        <v>127.892014851933</v>
      </c>
      <c r="E30" s="32" t="n">
        <f aca="false">E29*(1-IF(18=1,Assumptions!$B$16,IF(18=2,Assumptions!$B$17,IF(18&lt;=5,Assumptions!$B$18,Assumptions!$B$19)))*(1-Assumptions!$B$20))</f>
        <v>0.800598775650565</v>
      </c>
      <c r="F30" s="18" t="n">
        <f aca="false">IF($A30=0,Assumptions!$B$14,Assumptions!$B$15)</f>
        <v>0.05</v>
      </c>
      <c r="G30" s="32" t="n">
        <f aca="false">IFERROR(INDEX(Cohort_Survival!$AC$5:$BB$65,60+$A30-59,60-59),0)</f>
        <v>0.867862019733649</v>
      </c>
      <c r="H30" s="32" t="n">
        <f aca="false">IFERROR(INDEX(Cohort_Survival!$AC$5:$BB$65,61+$A30-59,61-59),0)</f>
        <v>0.851399162475933</v>
      </c>
      <c r="I30" s="32" t="n">
        <f aca="false">IFERROR(INDEX(Cohort_Survival!$AC$5:$BB$65,62+$A30-59,62-59),0)</f>
        <v>0.832965873268598</v>
      </c>
      <c r="J30" s="32" t="n">
        <f aca="false">IFERROR(INDEX(Cohort_Survival!$AC$5:$BB$65,63+$A30-59,63-59),0)</f>
        <v>0.811646661623276</v>
      </c>
      <c r="K30" s="32" t="n">
        <f aca="false">IFERROR(INDEX(Cohort_Survival!$AC$5:$BB$65,64+$A30-59,64-59),0)</f>
        <v>0.787901462539145</v>
      </c>
      <c r="L30" s="32" t="n">
        <f aca="false">IFERROR(INDEX(Cohort_Survival!$AC$5:$BB$65,65+$A30-59,65-59),0)</f>
        <v>0.761552412727406</v>
      </c>
      <c r="M30" s="32" t="n">
        <f aca="false">IFERROR(INDEX(Cohort_Survival!$AC$5:$BB$65,66+$A30-59,66-59),0)</f>
        <v>0.732639057647968</v>
      </c>
      <c r="N30" s="32" t="n">
        <f aca="false">IFERROR(INDEX(Cohort_Survival!$AC$5:$BB$65,67+$A30-59,67-59),0)</f>
        <v>0.700870240031085</v>
      </c>
      <c r="O30" s="32" t="n">
        <f aca="false">IFERROR(INDEX(Cohort_Survival!$AC$5:$BB$65,68+$A30-59,68-59),0)</f>
        <v>0.665029800160092</v>
      </c>
      <c r="P30" s="32" t="n">
        <f aca="false">IFERROR(INDEX(Cohort_Survival!$AC$5:$BB$65,69+$A30-59,69-59),0)</f>
        <v>0.625843484479559</v>
      </c>
      <c r="Q30" s="32" t="n">
        <f aca="false">IFERROR(INDEX(Cohort_Survival!$AC$5:$BB$65,70+$A30-59,70-59),0)</f>
        <v>0.583436694057638</v>
      </c>
      <c r="R30" s="32" t="n">
        <f aca="false">IFERROR(INDEX(Cohort_Survival!$AC$5:$BB$65,71+$A30-59,71-59),0)</f>
        <v>0.538266180782163</v>
      </c>
      <c r="S30" s="32" t="n">
        <f aca="false">IFERROR(INDEX(Cohort_Survival!$AC$5:$BB$65,72+$A30-59,72-59),0)</f>
        <v>0.490584787652101</v>
      </c>
      <c r="T30" s="32" t="n">
        <f aca="false">IFERROR(INDEX(Cohort_Survival!$AC$5:$BB$65,73+$A30-59,73-59),0)</f>
        <v>0.439413023510619</v>
      </c>
      <c r="U30" s="32" t="n">
        <f aca="false">IFERROR(INDEX(Cohort_Survival!$AC$5:$BB$65,74+$A30-59,74-59),0)</f>
        <v>0.38738398418554</v>
      </c>
      <c r="V30" s="32" t="n">
        <f aca="false">IFERROR(INDEX(Cohort_Survival!$AC$5:$BB$65,75+$A30-59,75-59),0)</f>
        <v>0.335981979924059</v>
      </c>
      <c r="X30" s="39" t="n">
        <f aca="false">IF(($A30+1)=1,Assumptions!$B$16,IF(($A30+1)=2,Assumptions!$B$17,IF(($A30+1)&lt;=5,Assumptions!$B$18,Assumptions!$B$19)))*(1-Assumptions!$B$20)</f>
        <v>0.0091</v>
      </c>
      <c r="Y30" s="32" t="n">
        <f aca="false">Y29*(1-MIN(1,X29*(1+Assumptions!$B$23)))</f>
        <v>0.715300789522897</v>
      </c>
      <c r="Z30" s="32" t="n">
        <f aca="false">Z29*(1-MIN(1,X29*(1-Assumptions!$B$23)))</f>
        <v>0.895189570719659</v>
      </c>
    </row>
    <row r="31" customFormat="false" ht="15" hidden="false" customHeight="true" outlineLevel="0" collapsed="false">
      <c r="A31" s="3" t="n">
        <v>19</v>
      </c>
      <c r="B31" s="30" t="n">
        <f aca="false">INDEX(Discount!$C$4:$C$64,$A31+1)</f>
        <v>0.552897698820573</v>
      </c>
      <c r="C31" s="32" t="n">
        <f aca="false">(1+Assumptions!$B$10)^$A31</f>
        <v>1.4568111725278</v>
      </c>
      <c r="D31" s="99" t="n">
        <f aca="false">Assumptions!$B$12*(1+Assumptions!$B$11)^($A31+1)</f>
        <v>131.089315223232</v>
      </c>
      <c r="E31" s="32" t="n">
        <f aca="false">E30*(1-IF(19=1,Assumptions!$B$16,IF(19=2,Assumptions!$B$17,IF(19&lt;=5,Assumptions!$B$18,Assumptions!$B$19)))*(1-Assumptions!$B$20))</f>
        <v>0.793313326792145</v>
      </c>
      <c r="F31" s="18" t="n">
        <f aca="false">IF($A31=0,Assumptions!$B$14,Assumptions!$B$15)</f>
        <v>0.05</v>
      </c>
      <c r="G31" s="32" t="n">
        <f aca="false">IFERROR(INDEX(Cohort_Survival!$AC$5:$BB$65,60+$A31-59,60-59),0)</f>
        <v>0.851119236100521</v>
      </c>
      <c r="H31" s="32" t="n">
        <f aca="false">IFERROR(INDEX(Cohort_Survival!$AC$5:$BB$65,61+$A31-59,61-59),0)</f>
        <v>0.832707149533124</v>
      </c>
      <c r="I31" s="32" t="n">
        <f aca="false">IFERROR(INDEX(Cohort_Survival!$AC$5:$BB$65,62+$A31-59,62-59),0)</f>
        <v>0.811429325746531</v>
      </c>
      <c r="J31" s="32" t="n">
        <f aca="false">IFERROR(INDEX(Cohort_Survival!$AC$5:$BB$65,63+$A31-59,63-59),0)</f>
        <v>0.787736475672955</v>
      </c>
      <c r="K31" s="32" t="n">
        <f aca="false">IFERROR(INDEX(Cohort_Survival!$AC$5:$BB$65,64+$A31-59,64-59),0)</f>
        <v>0.761451435400649</v>
      </c>
      <c r="L31" s="32" t="n">
        <f aca="false">IFERROR(INDEX(Cohort_Survival!$AC$5:$BB$65,65+$A31-59,65-59),0)</f>
        <v>0.732423424669064</v>
      </c>
      <c r="M31" s="32" t="n">
        <f aca="false">IFERROR(INDEX(Cohort_Survival!$AC$5:$BB$65,66+$A31-59,66-59),0)</f>
        <v>0.700725300595205</v>
      </c>
      <c r="N31" s="32" t="n">
        <f aca="false">IFERROR(INDEX(Cohort_Survival!$AC$5:$BB$65,67+$A31-59,67-59),0)</f>
        <v>0.664985088053165</v>
      </c>
      <c r="O31" s="32" t="n">
        <f aca="false">IFERROR(INDEX(Cohort_Survival!$AC$5:$BB$65,68+$A31-59,68-59),0)</f>
        <v>0.625891898037427</v>
      </c>
      <c r="P31" s="32" t="n">
        <f aca="false">IFERROR(INDEX(Cohort_Survival!$AC$5:$BB$65,69+$A31-59,69-59),0)</f>
        <v>0.58356608626075</v>
      </c>
      <c r="Q31" s="32" t="n">
        <f aca="false">IFERROR(INDEX(Cohort_Survival!$AC$5:$BB$65,70+$A31-59,70-59),0)</f>
        <v>0.538275846743782</v>
      </c>
      <c r="R31" s="32" t="n">
        <f aca="false">IFERROR(INDEX(Cohort_Survival!$AC$5:$BB$65,71+$A31-59,71-59),0)</f>
        <v>0.490627178519006</v>
      </c>
      <c r="S31" s="32" t="n">
        <f aca="false">IFERROR(INDEX(Cohort_Survival!$AC$5:$BB$65,72+$A31-59,72-59),0)</f>
        <v>0.43948473278118</v>
      </c>
      <c r="T31" s="32" t="n">
        <f aca="false">IFERROR(INDEX(Cohort_Survival!$AC$5:$BB$65,73+$A31-59,73-59),0)</f>
        <v>0.387454688979962</v>
      </c>
      <c r="U31" s="32" t="n">
        <f aca="false">IFERROR(INDEX(Cohort_Survival!$AC$5:$BB$65,74+$A31-59,74-59),0)</f>
        <v>0.336015675989991</v>
      </c>
      <c r="V31" s="32" t="n">
        <f aca="false">IFERROR(INDEX(Cohort_Survival!$AC$5:$BB$65,75+$A31-59,75-59),0)</f>
        <v>0.2868550625425</v>
      </c>
      <c r="X31" s="39" t="n">
        <f aca="false">IF(($A31+1)=1,Assumptions!$B$16,IF(($A31+1)=2,Assumptions!$B$17,IF(($A31+1)&lt;=5,Assumptions!$B$18,Assumptions!$B$19)))*(1-Assumptions!$B$20)</f>
        <v>0.0091</v>
      </c>
      <c r="Y31" s="32" t="n">
        <f aca="false">Y30*(1-MIN(1,X30*(1+Assumptions!$B$23)))</f>
        <v>0.70553693374591</v>
      </c>
      <c r="Z31" s="32" t="n">
        <f aca="false">Z30*(1-MIN(1,X30*(1-Assumptions!$B$23)))</f>
        <v>0.891116458172884</v>
      </c>
    </row>
    <row r="32" customFormat="false" ht="15" hidden="false" customHeight="true" outlineLevel="0" collapsed="false">
      <c r="A32" s="3" t="n">
        <v>20</v>
      </c>
      <c r="B32" s="30" t="n">
        <f aca="false">INDEX(Discount!$C$4:$C$64,$A32+1)</f>
        <v>0.535815878737946</v>
      </c>
      <c r="C32" s="32" t="n">
        <f aca="false">(1+Assumptions!$B$10)^$A32</f>
        <v>1.48594739597836</v>
      </c>
      <c r="D32" s="99" t="n">
        <f aca="false">Assumptions!$B$12*(1+Assumptions!$B$11)^($A32+1)</f>
        <v>134.366548103812</v>
      </c>
      <c r="E32" s="32" t="n">
        <f aca="false">E31*(1-IF(20=1,Assumptions!$B$16,IF(20=2,Assumptions!$B$17,IF(20&lt;=5,Assumptions!$B$18,Assumptions!$B$19)))*(1-Assumptions!$B$20))</f>
        <v>0.786094175518336</v>
      </c>
      <c r="F32" s="18" t="n">
        <f aca="false">IF($A32=0,Assumptions!$B$14,Assumptions!$B$15)</f>
        <v>0.05</v>
      </c>
      <c r="G32" s="32" t="n">
        <f aca="false">IFERROR(INDEX(Cohort_Survival!$AC$5:$BB$65,60+$A32-59,60-59),0)</f>
        <v>0.832713656801104</v>
      </c>
      <c r="H32" s="32" t="n">
        <f aca="false">IFERROR(INDEX(Cohort_Survival!$AC$5:$BB$65,61+$A32-59,61-59),0)</f>
        <v>0.811500239252275</v>
      </c>
      <c r="I32" s="32" t="n">
        <f aca="false">IFERROR(INDEX(Cohort_Survival!$AC$5:$BB$65,62+$A32-59,62-59),0)</f>
        <v>0.787884099015776</v>
      </c>
      <c r="J32" s="32" t="n">
        <f aca="false">IFERROR(INDEX(Cohort_Survival!$AC$5:$BB$65,63+$A32-59,63-59),0)</f>
        <v>0.761688654507602</v>
      </c>
      <c r="K32" s="32" t="n">
        <f aca="false">IFERROR(INDEX(Cohort_Survival!$AC$5:$BB$65,64+$A32-59,64-59),0)</f>
        <v>0.732763186559027</v>
      </c>
      <c r="L32" s="32" t="n">
        <f aca="false">IFERROR(INDEX(Cohort_Survival!$AC$5:$BB$65,65+$A32-59,65-59),0)</f>
        <v>0.700997626049978</v>
      </c>
      <c r="M32" s="32" t="n">
        <f aca="false">IFERROR(INDEX(Cohort_Survival!$AC$5:$BB$65,66+$A32-59,66-59),0)</f>
        <v>0.665385735603924</v>
      </c>
      <c r="N32" s="32" t="n">
        <f aca="false">IFERROR(INDEX(Cohort_Survival!$AC$5:$BB$65,67+$A32-59,67-59),0)</f>
        <v>0.626413365197263</v>
      </c>
      <c r="O32" s="32" t="n">
        <f aca="false">IFERROR(INDEX(Cohort_Survival!$AC$5:$BB$65,68+$A32-59,68-59),0)</f>
        <v>0.584194702581369</v>
      </c>
      <c r="P32" s="32" t="n">
        <f aca="false">IFERROR(INDEX(Cohort_Survival!$AC$5:$BB$65,69+$A32-59,69-59),0)</f>
        <v>0.538991478749238</v>
      </c>
      <c r="Q32" s="32" t="n">
        <f aca="false">IFERROR(INDEX(Cohort_Survival!$AC$5:$BB$65,70+$A32-59,70-59),0)</f>
        <v>0.491236251206694</v>
      </c>
      <c r="R32" s="32" t="n">
        <f aca="false">IFERROR(INDEX(Cohort_Survival!$AC$5:$BB$65,71+$A32-59,71-59),0)</f>
        <v>0.440135961795567</v>
      </c>
      <c r="S32" s="32" t="n">
        <f aca="false">IFERROR(INDEX(Cohort_Survival!$AC$5:$BB$65,72+$A32-59,72-59),0)</f>
        <v>0.388110340674497</v>
      </c>
      <c r="T32" s="32" t="n">
        <f aca="false">IFERROR(INDEX(Cohort_Survival!$AC$5:$BB$65,73+$A32-59,73-59),0)</f>
        <v>0.336631884096915</v>
      </c>
      <c r="U32" s="32" t="n">
        <f aca="false">IFERROR(INDEX(Cohort_Survival!$AC$5:$BB$65,74+$A32-59,74-59),0)</f>
        <v>0.287384976419263</v>
      </c>
      <c r="V32" s="32" t="n">
        <f aca="false">IFERROR(INDEX(Cohort_Survival!$AC$5:$BB$65,75+$A32-59,75-59),0)</f>
        <v>0.24170013435709</v>
      </c>
      <c r="X32" s="39" t="n">
        <f aca="false">IF(($A32+1)=1,Assumptions!$B$16,IF(($A32+1)=2,Assumptions!$B$17,IF(($A32+1)&lt;=5,Assumptions!$B$18,Assumptions!$B$19)))*(1-Assumptions!$B$20)</f>
        <v>0.0091</v>
      </c>
      <c r="Y32" s="32" t="n">
        <f aca="false">Y31*(1-MIN(1,X31*(1+Assumptions!$B$23)))</f>
        <v>0.695906354600278</v>
      </c>
      <c r="Z32" s="32" t="n">
        <f aca="false">Z31*(1-MIN(1,X31*(1-Assumptions!$B$23)))</f>
        <v>0.887061878288197</v>
      </c>
    </row>
    <row r="33" customFormat="false" ht="15" hidden="false" customHeight="true" outlineLevel="0" collapsed="false">
      <c r="A33" s="3" t="n">
        <v>21</v>
      </c>
      <c r="B33" s="30" t="n">
        <f aca="false">INDEX(Discount!$C$4:$C$64,$A33+1)</f>
        <v>0.51925173773423</v>
      </c>
      <c r="C33" s="32" t="n">
        <f aca="false">(1+Assumptions!$B$10)^$A33</f>
        <v>1.51566634389792</v>
      </c>
      <c r="D33" s="99" t="n">
        <f aca="false">Assumptions!$B$12*(1+Assumptions!$B$11)^($A33+1)</f>
        <v>137.725711806408</v>
      </c>
      <c r="E33" s="32" t="n">
        <f aca="false">E32*(1-IF(21=1,Assumptions!$B$16,IF(21=2,Assumptions!$B$17,IF(21&lt;=5,Assumptions!$B$18,Assumptions!$B$19)))*(1-Assumptions!$B$20))</f>
        <v>0.778940718521119</v>
      </c>
      <c r="F33" s="18" t="n">
        <f aca="false">IF($A33=0,Assumptions!$B$14,Assumptions!$B$15)</f>
        <v>0.05</v>
      </c>
      <c r="G33" s="32" t="n">
        <f aca="false">IFERROR(INDEX(Cohort_Survival!$AC$5:$BB$65,60+$A33-59,60-59),0)</f>
        <v>0.811824686936932</v>
      </c>
      <c r="H33" s="32" t="n">
        <f aca="false">IFERROR(INDEX(Cohort_Survival!$AC$5:$BB$65,61+$A33-59,61-59),0)</f>
        <v>0.788306164092294</v>
      </c>
      <c r="I33" s="32" t="n">
        <f aca="false">IFERROR(INDEX(Cohort_Survival!$AC$5:$BB$65,62+$A33-59,62-59),0)</f>
        <v>0.762222186976897</v>
      </c>
      <c r="J33" s="32" t="n">
        <f aca="false">IFERROR(INDEX(Cohort_Survival!$AC$5:$BB$65,63+$A33-59,63-59),0)</f>
        <v>0.733421926053509</v>
      </c>
      <c r="K33" s="32" t="n">
        <f aca="false">IFERROR(INDEX(Cohort_Survival!$AC$5:$BB$65,64+$A33-59,64-59),0)</f>
        <v>0.701794415562267</v>
      </c>
      <c r="L33" s="32" t="n">
        <f aca="false">IFERROR(INDEX(Cohort_Survival!$AC$5:$BB$65,65+$A33-59,65-59),0)</f>
        <v>0.666174626400427</v>
      </c>
      <c r="M33" s="32" t="n">
        <f aca="false">IFERROR(INDEX(Cohort_Survival!$AC$5:$BB$65,66+$A33-59,66-59),0)</f>
        <v>0.627346541083393</v>
      </c>
      <c r="N33" s="32" t="n">
        <f aca="false">IFERROR(INDEX(Cohort_Survival!$AC$5:$BB$65,67+$A33-59,67-59),0)</f>
        <v>0.585257330082501</v>
      </c>
      <c r="O33" s="32" t="n">
        <f aca="false">IFERROR(INDEX(Cohort_Survival!$AC$5:$BB$65,68+$A33-59,68-59),0)</f>
        <v>0.540161098010388</v>
      </c>
      <c r="P33" s="32" t="n">
        <f aca="false">IFERROR(INDEX(Cohort_Survival!$AC$5:$BB$65,69+$A33-59,69-59),0)</f>
        <v>0.492482831461516</v>
      </c>
      <c r="Q33" s="32" t="n">
        <f aca="false">IFERROR(INDEX(Cohort_Survival!$AC$5:$BB$65,70+$A33-59,70-59),0)</f>
        <v>0.441289000620631</v>
      </c>
      <c r="R33" s="32" t="n">
        <f aca="false">IFERROR(INDEX(Cohort_Survival!$AC$5:$BB$65,71+$A33-59,71-59),0)</f>
        <v>0.389271978965524</v>
      </c>
      <c r="S33" s="32" t="n">
        <f aca="false">IFERROR(INDEX(Cohort_Survival!$AC$5:$BB$65,72+$A33-59,72-59),0)</f>
        <v>0.337751348446282</v>
      </c>
      <c r="T33" s="32" t="n">
        <f aca="false">IFERROR(INDEX(Cohort_Survival!$AC$5:$BB$65,73+$A33-59,73-59),0)</f>
        <v>0.288408945078708</v>
      </c>
      <c r="U33" s="32" t="n">
        <f aca="false">IFERROR(INDEX(Cohort_Survival!$AC$5:$BB$65,74+$A33-59,74-59),0)</f>
        <v>0.242580920610262</v>
      </c>
      <c r="V33" s="32" t="n">
        <f aca="false">IFERROR(INDEX(Cohort_Survival!$AC$5:$BB$65,75+$A33-59,75-59),0)</f>
        <v>0.199897423426821</v>
      </c>
      <c r="X33" s="39" t="n">
        <f aca="false">IF(($A33+1)=1,Assumptions!$B$16,IF(($A33+1)=2,Assumptions!$B$17,IF(($A33+1)&lt;=5,Assumptions!$B$18,Assumptions!$B$19)))*(1-Assumptions!$B$20)</f>
        <v>0.0091</v>
      </c>
      <c r="Y33" s="32" t="n">
        <f aca="false">Y32*(1-MIN(1,X32*(1+Assumptions!$B$23)))</f>
        <v>0.686407232859984</v>
      </c>
      <c r="Z33" s="32" t="n">
        <f aca="false">Z32*(1-MIN(1,X32*(1-Assumptions!$B$23)))</f>
        <v>0.883025746741986</v>
      </c>
    </row>
    <row r="34" customFormat="false" ht="15" hidden="false" customHeight="true" outlineLevel="0" collapsed="false">
      <c r="A34" s="3" t="n">
        <v>22</v>
      </c>
      <c r="B34" s="30" t="n">
        <f aca="false">INDEX(Discount!$C$4:$C$64,$A34+1)</f>
        <v>0.503189904708666</v>
      </c>
      <c r="C34" s="32" t="n">
        <f aca="false">(1+Assumptions!$B$10)^$A34</f>
        <v>1.54597967077588</v>
      </c>
      <c r="D34" s="99" t="n">
        <f aca="false">Assumptions!$B$12*(1+Assumptions!$B$11)^($A34+1)</f>
        <v>141.168854601568</v>
      </c>
      <c r="E34" s="32" t="n">
        <f aca="false">E33*(1-IF(22=1,Assumptions!$B$16,IF(22=2,Assumptions!$B$17,IF(22&lt;=5,Assumptions!$B$18,Assumptions!$B$19)))*(1-Assumptions!$B$20))</f>
        <v>0.771852357982577</v>
      </c>
      <c r="F34" s="18" t="n">
        <f aca="false">IF($A34=0,Assumptions!$B$14,Assumptions!$B$15)</f>
        <v>0.05</v>
      </c>
      <c r="G34" s="32" t="n">
        <f aca="false">IFERROR(INDEX(Cohort_Survival!$AC$5:$BB$65,60+$A34-59,60-59),0)</f>
        <v>0.788969388729565</v>
      </c>
      <c r="H34" s="32" t="n">
        <f aca="false">IFERROR(INDEX(Cohort_Survival!$AC$5:$BB$65,61+$A34-59,61-59),0)</f>
        <v>0.763015639996308</v>
      </c>
      <c r="I34" s="32" t="n">
        <f aca="false">IFERROR(INDEX(Cohort_Survival!$AC$5:$BB$65,62+$A34-59,62-59),0)</f>
        <v>0.734359956731436</v>
      </c>
      <c r="J34" s="32" t="n">
        <f aca="false">IFERROR(INDEX(Cohort_Survival!$AC$5:$BB$65,63+$A34-59,63-59),0)</f>
        <v>0.702890263918662</v>
      </c>
      <c r="K34" s="32" t="n">
        <f aca="false">IFERROR(INDEX(Cohort_Survival!$AC$5:$BB$65,64+$A34-59,64-59),0)</f>
        <v>0.667454773040912</v>
      </c>
      <c r="L34" s="32" t="n">
        <f aca="false">IFERROR(INDEX(Cohort_Survival!$AC$5:$BB$65,65+$A34-59,65-59),0)</f>
        <v>0.628638745907942</v>
      </c>
      <c r="M34" s="32" t="n">
        <f aca="false">IFERROR(INDEX(Cohort_Survival!$AC$5:$BB$65,66+$A34-59,66-59),0)</f>
        <v>0.586697994676096</v>
      </c>
      <c r="N34" s="32" t="n">
        <f aca="false">IFERROR(INDEX(Cohort_Survival!$AC$5:$BB$65,67+$A34-59,67-59),0)</f>
        <v>0.541725930932877</v>
      </c>
      <c r="O34" s="32" t="n">
        <f aca="false">IFERROR(INDEX(Cohort_Survival!$AC$5:$BB$65,68+$A34-59,68-59),0)</f>
        <v>0.49413880689281</v>
      </c>
      <c r="P34" s="32" t="n">
        <f aca="false">IFERROR(INDEX(Cohort_Survival!$AC$5:$BB$65,69+$A34-59,69-59),0)</f>
        <v>0.44300972077</v>
      </c>
      <c r="Q34" s="32" t="n">
        <f aca="false">IFERROR(INDEX(Cohort_Survival!$AC$5:$BB$65,70+$A34-59,70-59),0)</f>
        <v>0.390873136177262</v>
      </c>
      <c r="R34" s="32" t="n">
        <f aca="false">IFERROR(INDEX(Cohort_Survival!$AC$5:$BB$65,71+$A34-59,71-59),0)</f>
        <v>0.339307764128059</v>
      </c>
      <c r="S34" s="32" t="n">
        <f aca="false">IFERROR(INDEX(Cohort_Survival!$AC$5:$BB$65,72+$A34-59,72-59),0)</f>
        <v>0.289861554455554</v>
      </c>
      <c r="T34" s="32" t="n">
        <f aca="false">IFERROR(INDEX(Cohort_Survival!$AC$5:$BB$65,73+$A34-59,73-59),0)</f>
        <v>0.243876901399681</v>
      </c>
      <c r="U34" s="32" t="n">
        <f aca="false">IFERROR(INDEX(Cohort_Survival!$AC$5:$BB$65,74+$A34-59,74-59),0)</f>
        <v>0.201003470654404</v>
      </c>
      <c r="V34" s="32" t="n">
        <f aca="false">IFERROR(INDEX(Cohort_Survival!$AC$5:$BB$65,75+$A34-59,75-59),0)</f>
        <v>0.16331971383083</v>
      </c>
      <c r="X34" s="39" t="n">
        <f aca="false">IF(($A34+1)=1,Assumptions!$B$16,IF(($A34+1)=2,Assumptions!$B$17,IF(($A34+1)&lt;=5,Assumptions!$B$18,Assumptions!$B$19)))*(1-Assumptions!$B$20)</f>
        <v>0.0091</v>
      </c>
      <c r="Y34" s="32" t="n">
        <f aca="false">Y33*(1-MIN(1,X33*(1+Assumptions!$B$23)))</f>
        <v>0.677037774131445</v>
      </c>
      <c r="Z34" s="32" t="n">
        <f aca="false">Z33*(1-MIN(1,X33*(1-Assumptions!$B$23)))</f>
        <v>0.87900797959431</v>
      </c>
    </row>
    <row r="35" customFormat="false" ht="15" hidden="false" customHeight="true" outlineLevel="0" collapsed="false">
      <c r="A35" s="3" t="n">
        <v>23</v>
      </c>
      <c r="B35" s="30" t="n">
        <f aca="false">INDEX(Discount!$C$4:$C$64,$A35+1)</f>
        <v>0.487615455114014</v>
      </c>
      <c r="C35" s="32" t="n">
        <f aca="false">(1+Assumptions!$B$10)^$A35</f>
        <v>1.5768992641914</v>
      </c>
      <c r="D35" s="99" t="n">
        <f aca="false">Assumptions!$B$12*(1+Assumptions!$B$11)^($A35+1)</f>
        <v>144.698075966607</v>
      </c>
      <c r="E35" s="32" t="n">
        <f aca="false">E34*(1-IF(23=1,Assumptions!$B$16,IF(23=2,Assumptions!$B$17,IF(23&lt;=5,Assumptions!$B$18,Assumptions!$B$19)))*(1-Assumptions!$B$20))</f>
        <v>0.764828501524936</v>
      </c>
      <c r="F35" s="18" t="n">
        <f aca="false">IF($A35=0,Assumptions!$B$14,Assumptions!$B$15)</f>
        <v>0.05</v>
      </c>
      <c r="G35" s="32" t="n">
        <f aca="false">IFERROR(INDEX(Cohort_Survival!$AC$5:$BB$65,60+$A35-59,60-59),0)</f>
        <v>0.764037264014745</v>
      </c>
      <c r="H35" s="32" t="n">
        <f aca="false">IFERROR(INDEX(Cohort_Survival!$AC$5:$BB$65,61+$A35-59,61-59),0)</f>
        <v>0.735542774421663</v>
      </c>
      <c r="I35" s="32" t="n">
        <f aca="false">IFERROR(INDEX(Cohort_Survival!$AC$5:$BB$65,62+$A35-59,62-59),0)</f>
        <v>0.704247805937338</v>
      </c>
      <c r="J35" s="32" t="n">
        <f aca="false">IFERROR(INDEX(Cohort_Survival!$AC$5:$BB$65,63+$A35-59,63-59),0)</f>
        <v>0.66901289917825</v>
      </c>
      <c r="K35" s="32" t="n">
        <f aca="false">IFERROR(INDEX(Cohort_Survival!$AC$5:$BB$65,64+$A35-59,64-59),0)</f>
        <v>0.630388317521498</v>
      </c>
      <c r="L35" s="32" t="n">
        <f aca="false">IFERROR(INDEX(Cohort_Survival!$AC$5:$BB$65,65+$A35-59,65-59),0)</f>
        <v>0.588468577238675</v>
      </c>
      <c r="M35" s="32" t="n">
        <f aca="false">IFERROR(INDEX(Cohort_Survival!$AC$5:$BB$65,66+$A35-59,66-59),0)</f>
        <v>0.543635467930068</v>
      </c>
      <c r="N35" s="32" t="n">
        <f aca="false">IFERROR(INDEX(Cohort_Survival!$AC$5:$BB$65,67+$A35-59,67-59),0)</f>
        <v>0.496151875180034</v>
      </c>
      <c r="O35" s="32" t="n">
        <f aca="false">IFERROR(INDEX(Cohort_Survival!$AC$5:$BB$65,68+$A35-59,68-59),0)</f>
        <v>0.445095016245289</v>
      </c>
      <c r="P35" s="32" t="n">
        <f aca="false">IFERROR(INDEX(Cohort_Survival!$AC$5:$BB$65,69+$A35-59,69-59),0)</f>
        <v>0.392974251467919</v>
      </c>
      <c r="Q35" s="32" t="n">
        <f aca="false">IFERROR(INDEX(Cohort_Survival!$AC$5:$BB$65,70+$A35-59,70-59),0)</f>
        <v>0.341245241119129</v>
      </c>
      <c r="R35" s="32" t="n">
        <f aca="false">IFERROR(INDEX(Cohort_Survival!$AC$5:$BB$65,71+$A35-59,71-59),0)</f>
        <v>0.291688012696971</v>
      </c>
      <c r="S35" s="32" t="n">
        <f aca="false">IFERROR(INDEX(Cohort_Survival!$AC$5:$BB$65,72+$A35-59,72-59),0)</f>
        <v>0.245534880130945</v>
      </c>
      <c r="T35" s="32" t="n">
        <f aca="false">IFERROR(INDEX(Cohort_Survival!$AC$5:$BB$65,73+$A35-59,73-59),0)</f>
        <v>0.202453521436056</v>
      </c>
      <c r="U35" s="32" t="n">
        <f aca="false">IFERROR(INDEX(Cohort_Survival!$AC$5:$BB$65,74+$A35-59,74-59),0)</f>
        <v>0.164532326698905</v>
      </c>
      <c r="V35" s="32" t="n">
        <f aca="false">IFERROR(INDEX(Cohort_Survival!$AC$5:$BB$65,75+$A35-59,75-59),0)</f>
        <v>0.131865187886264</v>
      </c>
      <c r="X35" s="39" t="n">
        <f aca="false">IF(($A35+1)=1,Assumptions!$B$16,IF(($A35+1)=2,Assumptions!$B$17,IF(($A35+1)&lt;=5,Assumptions!$B$18,Assumptions!$B$19)))*(1-Assumptions!$B$20)</f>
        <v>0.0091</v>
      </c>
      <c r="Y35" s="32" t="n">
        <f aca="false">Y34*(1-MIN(1,X34*(1+Assumptions!$B$23)))</f>
        <v>0.667796208514551</v>
      </c>
      <c r="Z35" s="32" t="n">
        <f aca="false">Z34*(1-MIN(1,X34*(1-Assumptions!$B$23)))</f>
        <v>0.875008493287156</v>
      </c>
    </row>
    <row r="36" customFormat="false" ht="15" hidden="false" customHeight="true" outlineLevel="0" collapsed="false">
      <c r="A36" s="3" t="n">
        <v>24</v>
      </c>
      <c r="B36" s="30" t="n">
        <f aca="false">INDEX(Discount!$C$4:$C$64,$A36+1)</f>
        <v>0.472403995889235</v>
      </c>
      <c r="C36" s="32" t="n">
        <f aca="false">(1+Assumptions!$B$10)^$A36</f>
        <v>1.60843724947523</v>
      </c>
      <c r="D36" s="99" t="n">
        <f aca="false">Assumptions!$B$12*(1+Assumptions!$B$11)^($A36+1)</f>
        <v>148.315527865772</v>
      </c>
      <c r="E36" s="32" t="n">
        <f aca="false">E35*(1-IF(24=1,Assumptions!$B$16,IF(24=2,Assumptions!$B$17,IF(24&lt;=5,Assumptions!$B$18,Assumptions!$B$19)))*(1-Assumptions!$B$20))</f>
        <v>0.757868562161059</v>
      </c>
      <c r="F36" s="18" t="n">
        <f aca="false">IF($A36=0,Assumptions!$B$14,Assumptions!$B$15)</f>
        <v>0.05</v>
      </c>
      <c r="G36" s="32" t="n">
        <f aca="false">IFERROR(INDEX(Cohort_Survival!$AC$5:$BB$65,60+$A36-59,60-59),0)</f>
        <v>0.736940258961648</v>
      </c>
      <c r="H36" s="32" t="n">
        <f aca="false">IFERROR(INDEX(Cohort_Survival!$AC$5:$BB$65,61+$A36-59,61-59),0)</f>
        <v>0.705834532414686</v>
      </c>
      <c r="I36" s="32" t="n">
        <f aca="false">IFERROR(INDEX(Cohort_Survival!$AC$5:$BB$65,62+$A36-59,62-59),0)</f>
        <v>0.670814153347646</v>
      </c>
      <c r="J36" s="32" t="n">
        <f aca="false">IFERROR(INDEX(Cohort_Survival!$AC$5:$BB$65,63+$A36-59,63-59),0)</f>
        <v>0.632394917607701</v>
      </c>
      <c r="K36" s="32" t="n">
        <f aca="false">IFERROR(INDEX(Cohort_Survival!$AC$5:$BB$65,64+$A36-59,64-59),0)</f>
        <v>0.590662241941594</v>
      </c>
      <c r="L36" s="32" t="n">
        <f aca="false">IFERROR(INDEX(Cohort_Survival!$AC$5:$BB$65,65+$A36-59,65-59),0)</f>
        <v>0.545846233861536</v>
      </c>
      <c r="M36" s="32" t="n">
        <f aca="false">IFERROR(INDEX(Cohort_Survival!$AC$5:$BB$65,66+$A36-59,66-59),0)</f>
        <v>0.49847702480151</v>
      </c>
      <c r="N36" s="32" t="n">
        <f aca="false">IFERROR(INDEX(Cohort_Survival!$AC$5:$BB$65,67+$A36-59,67-59),0)</f>
        <v>0.447499208487998</v>
      </c>
      <c r="O36" s="32" t="n">
        <f aca="false">IFERROR(INDEX(Cohort_Survival!$AC$5:$BB$65,68+$A36-59,68-59),0)</f>
        <v>0.395397113792644</v>
      </c>
      <c r="P36" s="32" t="n">
        <f aca="false">IFERROR(INDEX(Cohort_Survival!$AC$5:$BB$65,69+$A36-59,69-59),0)</f>
        <v>0.343618447014284</v>
      </c>
      <c r="Q36" s="32" t="n">
        <f aca="false">IFERROR(INDEX(Cohort_Survival!$AC$5:$BB$65,70+$A36-59,70-59),0)</f>
        <v>0.293842071721682</v>
      </c>
      <c r="R36" s="32" t="n">
        <f aca="false">IFERROR(INDEX(Cohort_Survival!$AC$5:$BB$65,71+$A36-59,71-59),0)</f>
        <v>0.247510247226663</v>
      </c>
      <c r="S36" s="32" t="n">
        <f aca="false">IFERROR(INDEX(Cohort_Survival!$AC$5:$BB$65,72+$A36-59,72-59),0)</f>
        <v>0.204205231384249</v>
      </c>
      <c r="T36" s="32" t="n">
        <f aca="false">IFERROR(INDEX(Cohort_Survival!$AC$5:$BB$65,73+$A36-59,73-59),0)</f>
        <v>0.166027840208023</v>
      </c>
      <c r="U36" s="32" t="n">
        <f aca="false">IFERROR(INDEX(Cohort_Survival!$AC$5:$BB$65,74+$A36-59,74-59),0)</f>
        <v>0.13309142477113</v>
      </c>
      <c r="V36" s="32" t="n">
        <f aca="false">IFERROR(INDEX(Cohort_Survival!$AC$5:$BB$65,75+$A36-59,75-59),0)</f>
        <v>0.105221487872465</v>
      </c>
      <c r="X36" s="39" t="n">
        <f aca="false">IF(($A36+1)=1,Assumptions!$B$16,IF(($A36+1)=2,Assumptions!$B$17,IF(($A36+1)&lt;=5,Assumptions!$B$18,Assumptions!$B$19)))*(1-Assumptions!$B$20)</f>
        <v>0.0091</v>
      </c>
      <c r="Y36" s="32" t="n">
        <f aca="false">Y35*(1-MIN(1,X35*(1+Assumptions!$B$23)))</f>
        <v>0.658680790268328</v>
      </c>
      <c r="Z36" s="32" t="n">
        <f aca="false">Z35*(1-MIN(1,X35*(1-Assumptions!$B$23)))</f>
        <v>0.871027204642699</v>
      </c>
    </row>
    <row r="37" customFormat="false" ht="15" hidden="false" customHeight="true" outlineLevel="0" collapsed="false">
      <c r="A37" s="3" t="n">
        <v>25</v>
      </c>
      <c r="B37" s="30" t="n">
        <f aca="false">INDEX(Discount!$C$4:$C$64,$A37+1)</f>
        <v>0.457760232732789</v>
      </c>
      <c r="C37" s="32" t="n">
        <f aca="false">(1+Assumptions!$B$10)^$A37</f>
        <v>1.64060599446473</v>
      </c>
      <c r="D37" s="99" t="n">
        <f aca="false">Assumptions!$B$12*(1+Assumptions!$B$11)^($A37+1)</f>
        <v>152.023416062416</v>
      </c>
      <c r="E37" s="32" t="n">
        <f aca="false">E36*(1-IF(25=1,Assumptions!$B$16,IF(25=2,Assumptions!$B$17,IF(25&lt;=5,Assumptions!$B$18,Assumptions!$B$19)))*(1-Assumptions!$B$20))</f>
        <v>0.750971958245393</v>
      </c>
      <c r="F37" s="18" t="n">
        <f aca="false">IF($A37=0,Assumptions!$B$14,Assumptions!$B$15)</f>
        <v>0.05</v>
      </c>
      <c r="G37" s="32" t="n">
        <f aca="false">IFERROR(INDEX(Cohort_Survival!$AC$5:$BB$65,60+$A37-59,60-59),0)</f>
        <v>0.707622043469008</v>
      </c>
      <c r="H37" s="32" t="n">
        <f aca="false">IFERROR(INDEX(Cohort_Survival!$AC$5:$BB$65,61+$A37-59,61-59),0)</f>
        <v>0.672828185858187</v>
      </c>
      <c r="I37" s="32" t="n">
        <f aca="false">IFERROR(INDEX(Cohort_Survival!$AC$5:$BB$65,62+$A37-59,62-59),0)</f>
        <v>0.63462629995065</v>
      </c>
      <c r="J37" s="32" t="n">
        <f aca="false">IFERROR(INDEX(Cohort_Survival!$AC$5:$BB$65,63+$A37-59,63-59),0)</f>
        <v>0.593092354152536</v>
      </c>
      <c r="K37" s="32" t="n">
        <f aca="false">IFERROR(INDEX(Cohort_Survival!$AC$5:$BB$65,64+$A37-59,64-59),0)</f>
        <v>0.548445725275416</v>
      </c>
      <c r="L37" s="32" t="n">
        <f aca="false">IFERROR(INDEX(Cohort_Survival!$AC$5:$BB$65,65+$A37-59,65-59),0)</f>
        <v>0.501075458201009</v>
      </c>
      <c r="M37" s="32" t="n">
        <f aca="false">IFERROR(INDEX(Cohort_Survival!$AC$5:$BB$65,66+$A37-59,66-59),0)</f>
        <v>0.450182921924009</v>
      </c>
      <c r="N37" s="32" t="n">
        <f aca="false">IFERROR(INDEX(Cohort_Survival!$AC$5:$BB$65,67+$A37-59,67-59),0)</f>
        <v>0.398102477885133</v>
      </c>
      <c r="O37" s="32" t="n">
        <f aca="false">IFERROR(INDEX(Cohort_Survival!$AC$5:$BB$65,68+$A37-59,68-59),0)</f>
        <v>0.346273337826739</v>
      </c>
      <c r="P37" s="32" t="n">
        <f aca="false">IFERROR(INDEX(Cohort_Survival!$AC$5:$BB$65,69+$A37-59,69-59),0)</f>
        <v>0.296372485008126</v>
      </c>
      <c r="Q37" s="32" t="n">
        <f aca="false">IFERROR(INDEX(Cohort_Survival!$AC$5:$BB$65,70+$A37-59,70-59),0)</f>
        <v>0.249765300571199</v>
      </c>
      <c r="R37" s="32" t="n">
        <f aca="false">IFERROR(INDEX(Cohort_Survival!$AC$5:$BB$65,71+$A37-59,71-59),0)</f>
        <v>0.206223054264638</v>
      </c>
      <c r="S37" s="32" t="n">
        <f aca="false">IFERROR(INDEX(Cohort_Survival!$AC$5:$BB$65,72+$A37-59,72-59),0)</f>
        <v>0.167773003542484</v>
      </c>
      <c r="T37" s="32" t="n">
        <f aca="false">IFERROR(INDEX(Cohort_Survival!$AC$5:$BB$65,73+$A37-59,73-59),0)</f>
        <v>0.134548624920336</v>
      </c>
      <c r="U37" s="32" t="n">
        <f aca="false">IFERROR(INDEX(Cohort_Survival!$AC$5:$BB$65,74+$A37-59,74-59),0)</f>
        <v>0.106393578987326</v>
      </c>
      <c r="V37" s="32" t="n">
        <f aca="false">IFERROR(INDEX(Cohort_Survival!$AC$5:$BB$65,75+$A37-59,75-59),0)</f>
        <v>0.082953459402543</v>
      </c>
      <c r="X37" s="39" t="n">
        <f aca="false">IF(($A37+1)=1,Assumptions!$B$16,IF(($A37+1)=2,Assumptions!$B$17,IF(($A37+1)&lt;=5,Assumptions!$B$18,Assumptions!$B$19)))*(1-Assumptions!$B$20)</f>
        <v>0.0091</v>
      </c>
      <c r="Y37" s="32" t="n">
        <f aca="false">Y36*(1-MIN(1,X36*(1+Assumptions!$B$23)))</f>
        <v>0.649689797481165</v>
      </c>
      <c r="Z37" s="32" t="n">
        <f aca="false">Z36*(1-MIN(1,X36*(1-Assumptions!$B$23)))</f>
        <v>0.867064030861575</v>
      </c>
    </row>
    <row r="38" customFormat="false" ht="15" hidden="false" customHeight="true" outlineLevel="0" collapsed="false">
      <c r="A38" s="3" t="n">
        <v>26</v>
      </c>
      <c r="B38" s="30" t="n">
        <f aca="false">INDEX(Discount!$C$4:$C$64,$A38+1)</f>
        <v>0.443450043931947</v>
      </c>
      <c r="C38" s="32" t="n">
        <f aca="false">(1+Assumptions!$B$10)^$A38</f>
        <v>1.67341811435403</v>
      </c>
      <c r="D38" s="99" t="n">
        <f aca="false">Assumptions!$B$12*(1+Assumptions!$B$11)^($A38+1)</f>
        <v>155.824001463977</v>
      </c>
      <c r="E38" s="32" t="n">
        <f aca="false">E37*(1-IF(26=1,Assumptions!$B$16,IF(26=2,Assumptions!$B$17,IF(26&lt;=5,Assumptions!$B$18,Assumptions!$B$19)))*(1-Assumptions!$B$20))</f>
        <v>0.74413811342536</v>
      </c>
      <c r="F38" s="18" t="n">
        <f aca="false">IF($A38=0,Assumptions!$B$14,Assumptions!$B$15)</f>
        <v>0.05</v>
      </c>
      <c r="G38" s="32" t="n">
        <f aca="false">IFERROR(INDEX(Cohort_Survival!$AC$5:$BB$65,60+$A38-59,60-59),0)</f>
        <v>0.675028458053052</v>
      </c>
      <c r="H38" s="32" t="n">
        <f aca="false">IFERROR(INDEX(Cohort_Survival!$AC$5:$BB$65,61+$A38-59,61-59),0)</f>
        <v>0.637054352763241</v>
      </c>
      <c r="I38" s="32" t="n">
        <f aca="false">IFERROR(INDEX(Cohort_Survival!$AC$5:$BB$65,62+$A38-59,62-59),0)</f>
        <v>0.595729347964813</v>
      </c>
      <c r="J38" s="32" t="n">
        <f aca="false">IFERROR(INDEX(Cohort_Survival!$AC$5:$BB$65,63+$A38-59,63-59),0)</f>
        <v>0.551261700306275</v>
      </c>
      <c r="K38" s="32" t="n">
        <f aca="false">IFERROR(INDEX(Cohort_Survival!$AC$5:$BB$65,64+$A38-59,64-59),0)</f>
        <v>0.504028535353437</v>
      </c>
      <c r="L38" s="32" t="n">
        <f aca="false">IFERROR(INDEX(Cohort_Survival!$AC$5:$BB$65,65+$A38-59,65-59),0)</f>
        <v>0.45311216067383</v>
      </c>
      <c r="M38" s="32" t="n">
        <f aca="false">IFERROR(INDEX(Cohort_Survival!$AC$5:$BB$65,66+$A38-59,66-59),0)</f>
        <v>0.401056452281561</v>
      </c>
      <c r="N38" s="32" t="n">
        <f aca="false">IFERROR(INDEX(Cohort_Survival!$AC$5:$BB$65,67+$A38-59,67-59),0)</f>
        <v>0.349176756747101</v>
      </c>
      <c r="O38" s="32" t="n">
        <f aca="false">IFERROR(INDEX(Cohort_Survival!$AC$5:$BB$65,68+$A38-59,68-59),0)</f>
        <v>0.299147972671315</v>
      </c>
      <c r="P38" s="32" t="n">
        <f aca="false">IFERROR(INDEX(Cohort_Survival!$AC$5:$BB$65,69+$A38-59,69-59),0)</f>
        <v>0.252342928736259</v>
      </c>
      <c r="Q38" s="32" t="n">
        <f aca="false">IFERROR(INDEX(Cohort_Survival!$AC$5:$BB$65,70+$A38-59,70-59),0)</f>
        <v>0.208476912308617</v>
      </c>
      <c r="R38" s="32" t="n">
        <f aca="false">IFERROR(INDEX(Cohort_Survival!$AC$5:$BB$65,71+$A38-59,71-59),0)</f>
        <v>0.169739881624158</v>
      </c>
      <c r="S38" s="32" t="n">
        <f aca="false">IFERROR(INDEX(Cohort_Survival!$AC$5:$BB$65,72+$A38-59,72-59),0)</f>
        <v>0.136211020540562</v>
      </c>
      <c r="T38" s="32" t="n">
        <f aca="false">IFERROR(INDEX(Cohort_Survival!$AC$5:$BB$65,73+$A38-59,73-59),0)</f>
        <v>0.107752797135629</v>
      </c>
      <c r="U38" s="32" t="n">
        <f aca="false">IFERROR(INDEX(Cohort_Survival!$AC$5:$BB$65,74+$A38-59,74-59),0)</f>
        <v>0.0840261069350745</v>
      </c>
      <c r="V38" s="32" t="n">
        <f aca="false">IFERROR(INDEX(Cohort_Survival!$AC$5:$BB$65,75+$A38-59,75-59),0)</f>
        <v>0.0645691059758156</v>
      </c>
      <c r="X38" s="39" t="n">
        <f aca="false">IF(($A38+1)=1,Assumptions!$B$16,IF(($A38+1)=2,Assumptions!$B$17,IF(($A38+1)&lt;=5,Assumptions!$B$18,Assumptions!$B$19)))*(1-Assumptions!$B$20)</f>
        <v>0.0091</v>
      </c>
      <c r="Y38" s="32" t="n">
        <f aca="false">Y37*(1-MIN(1,X37*(1+Assumptions!$B$23)))</f>
        <v>0.640821531745547</v>
      </c>
      <c r="Z38" s="32" t="n">
        <f aca="false">Z37*(1-MIN(1,X37*(1-Assumptions!$B$23)))</f>
        <v>0.863118889521155</v>
      </c>
    </row>
    <row r="39" customFormat="false" ht="15" hidden="false" customHeight="true" outlineLevel="0" collapsed="false">
      <c r="A39" s="3" t="n">
        <v>27</v>
      </c>
      <c r="B39" s="30" t="n">
        <f aca="false">INDEX(Discount!$C$4:$C$64,$A39+1)</f>
        <v>0.429682986428135</v>
      </c>
      <c r="C39" s="32" t="n">
        <f aca="false">(1+Assumptions!$B$10)^$A39</f>
        <v>1.70688647664111</v>
      </c>
      <c r="D39" s="99" t="n">
        <f aca="false">Assumptions!$B$12*(1+Assumptions!$B$11)^($A39+1)</f>
        <v>159.719601500576</v>
      </c>
      <c r="E39" s="32" t="n">
        <f aca="false">E38*(1-IF(27=1,Assumptions!$B$16,IF(27=2,Assumptions!$B$17,IF(27&lt;=5,Assumptions!$B$18,Assumptions!$B$19)))*(1-Assumptions!$B$20))</f>
        <v>0.737366456593189</v>
      </c>
      <c r="F39" s="18" t="n">
        <f aca="false">IF($A39=0,Assumptions!$B$14,Assumptions!$B$15)</f>
        <v>0.05</v>
      </c>
      <c r="G39" s="32" t="n">
        <f aca="false">IFERROR(INDEX(Cohort_Survival!$AC$5:$BB$65,60+$A39-59,60-59),0)</f>
        <v>0.639654465739226</v>
      </c>
      <c r="H39" s="32" t="n">
        <f aca="false">IFERROR(INDEX(Cohort_Survival!$AC$5:$BB$65,61+$A39-59,61-59),0)</f>
        <v>0.598547414345767</v>
      </c>
      <c r="I39" s="32" t="n">
        <f aca="false">IFERROR(INDEX(Cohort_Survival!$AC$5:$BB$65,62+$A39-59,62-59),0)</f>
        <v>0.554267327264084</v>
      </c>
      <c r="J39" s="32" t="n">
        <f aca="false">IFERROR(INDEX(Cohort_Survival!$AC$5:$BB$65,63+$A39-59,63-59),0)</f>
        <v>0.507178982035435</v>
      </c>
      <c r="K39" s="32" t="n">
        <f aca="false">IFERROR(INDEX(Cohort_Survival!$AC$5:$BB$65,64+$A39-59,64-59),0)</f>
        <v>0.456361518808948</v>
      </c>
      <c r="L39" s="32" t="n">
        <f aca="false">IFERROR(INDEX(Cohort_Survival!$AC$5:$BB$65,65+$A39-59,65-59),0)</f>
        <v>0.404229721991509</v>
      </c>
      <c r="M39" s="32" t="n">
        <f aca="false">IFERROR(INDEX(Cohort_Survival!$AC$5:$BB$65,66+$A39-59,66-59),0)</f>
        <v>0.352300014226505</v>
      </c>
      <c r="N39" s="32" t="n">
        <f aca="false">IFERROR(INDEX(Cohort_Survival!$AC$5:$BB$65,67+$A39-59,67-59),0)</f>
        <v>0.302140965803372</v>
      </c>
      <c r="O39" s="32" t="n">
        <f aca="false">IFERROR(INDEX(Cohort_Survival!$AC$5:$BB$65,68+$A39-59,68-59),0)</f>
        <v>0.255132727760762</v>
      </c>
      <c r="P39" s="32" t="n">
        <f aca="false">IFERROR(INDEX(Cohort_Survival!$AC$5:$BB$65,69+$A39-59,69-59),0)</f>
        <v>0.211003866432511</v>
      </c>
      <c r="Q39" s="32" t="n">
        <f aca="false">IFERROR(INDEX(Cohort_Survival!$AC$5:$BB$65,70+$A39-59,70-59),0)</f>
        <v>0.171904814891752</v>
      </c>
      <c r="R39" s="32" t="n">
        <f aca="false">IFERROR(INDEX(Cohort_Survival!$AC$5:$BB$65,71+$A39-59,71-59),0)</f>
        <v>0.138056952942446</v>
      </c>
      <c r="S39" s="32" t="n">
        <f aca="false">IFERROR(INDEX(Cohort_Survival!$AC$5:$BB$65,72+$A39-59,72-59),0)</f>
        <v>0.109279434549413</v>
      </c>
      <c r="T39" s="32" t="n">
        <f aca="false">IFERROR(INDEX(Cohort_Survival!$AC$5:$BB$65,73+$A39-59,73-59),0)</f>
        <v>0.0852490834661196</v>
      </c>
      <c r="U39" s="32" t="n">
        <f aca="false">IFERROR(INDEX(Cohort_Survival!$AC$5:$BB$65,74+$A39-59,74-59),0)</f>
        <v>0.0655157631333363</v>
      </c>
      <c r="V39" s="32" t="n">
        <f aca="false">IFERROR(INDEX(Cohort_Survival!$AC$5:$BB$65,75+$A39-59,75-59),0)</f>
        <v>0.049565060448408</v>
      </c>
      <c r="X39" s="39" t="n">
        <f aca="false">IF(($A39+1)=1,Assumptions!$B$16,IF(($A39+1)=2,Assumptions!$B$17,IF(($A39+1)&lt;=5,Assumptions!$B$18,Assumptions!$B$19)))*(1-Assumptions!$B$20)</f>
        <v>0.0091</v>
      </c>
      <c r="Y39" s="32" t="n">
        <f aca="false">Y38*(1-MIN(1,X38*(1+Assumptions!$B$23)))</f>
        <v>0.63207431783722</v>
      </c>
      <c r="Z39" s="32" t="n">
        <f aca="false">Z38*(1-MIN(1,X38*(1-Assumptions!$B$23)))</f>
        <v>0.859191698573833</v>
      </c>
    </row>
    <row r="40" customFormat="false" ht="15" hidden="false" customHeight="true" outlineLevel="0" collapsed="false">
      <c r="A40" s="3" t="n">
        <v>28</v>
      </c>
      <c r="B40" s="30" t="n">
        <f aca="false">INDEX(Discount!$C$4:$C$64,$A40+1)</f>
        <v>0.41622229635922</v>
      </c>
      <c r="C40" s="32" t="n">
        <f aca="false">(1+Assumptions!$B$10)^$A40</f>
        <v>1.74102420617393</v>
      </c>
      <c r="D40" s="99" t="n">
        <f aca="false">Assumptions!$B$12*(1+Assumptions!$B$11)^($A40+1)</f>
        <v>163.712591538091</v>
      </c>
      <c r="E40" s="32" t="n">
        <f aca="false">E39*(1-IF(28=1,Assumptions!$B$16,IF(28=2,Assumptions!$B$17,IF(28&lt;=5,Assumptions!$B$18,Assumptions!$B$19)))*(1-Assumptions!$B$20))</f>
        <v>0.730656421838191</v>
      </c>
      <c r="F40" s="18" t="n">
        <f aca="false">IF($A40=0,Assumptions!$B$14,Assumptions!$B$15)</f>
        <v>0.05</v>
      </c>
      <c r="G40" s="32" t="n">
        <f aca="false">IFERROR(INDEX(Cohort_Survival!$AC$5:$BB$65,60+$A40-59,60-59),0)</f>
        <v>0.601523927346931</v>
      </c>
      <c r="H40" s="32" t="n">
        <f aca="false">IFERROR(INDEX(Cohort_Survival!$AC$5:$BB$65,61+$A40-59,61-59),0)</f>
        <v>0.557439147375394</v>
      </c>
      <c r="I40" s="32" t="n">
        <f aca="false">IFERROR(INDEX(Cohort_Survival!$AC$5:$BB$65,62+$A40-59,62-59),0)</f>
        <v>0.510502728835361</v>
      </c>
      <c r="J40" s="32" t="n">
        <f aca="false">IFERROR(INDEX(Cohort_Survival!$AC$5:$BB$65,63+$A40-59,63-59),0)</f>
        <v>0.459789600789751</v>
      </c>
      <c r="K40" s="32" t="n">
        <f aca="false">IFERROR(INDEX(Cohort_Survival!$AC$5:$BB$65,64+$A40-59,64-59),0)</f>
        <v>0.407689790382575</v>
      </c>
      <c r="L40" s="32" t="n">
        <f aca="false">IFERROR(INDEX(Cohort_Survival!$AC$5:$BB$65,65+$A40-59,65-59),0)</f>
        <v>0.355618245391997</v>
      </c>
      <c r="M40" s="32" t="n">
        <f aca="false">IFERROR(INDEX(Cohort_Survival!$AC$5:$BB$65,66+$A40-59,66-59),0)</f>
        <v>0.305327561846578</v>
      </c>
      <c r="N40" s="32" t="n">
        <f aca="false">IFERROR(INDEX(Cohort_Survival!$AC$5:$BB$65,67+$A40-59,67-59),0)</f>
        <v>0.258112119720609</v>
      </c>
      <c r="O40" s="32" t="n">
        <f aca="false">IFERROR(INDEX(Cohort_Survival!$AC$5:$BB$65,68+$A40-59,68-59),0)</f>
        <v>0.213712802695243</v>
      </c>
      <c r="P40" s="32" t="n">
        <f aca="false">IFERROR(INDEX(Cohort_Survival!$AC$5:$BB$65,69+$A40-59,69-59),0)</f>
        <v>0.174299406928977</v>
      </c>
      <c r="Q40" s="32" t="n">
        <f aca="false">IFERROR(INDEX(Cohort_Survival!$AC$5:$BB$65,70+$A40-59,70-59),0)</f>
        <v>0.140068067721751</v>
      </c>
      <c r="R40" s="32" t="n">
        <f aca="false">IFERROR(INDEX(Cohort_Survival!$AC$5:$BB$65,71+$A40-59,71-59),0)</f>
        <v>0.110956925222535</v>
      </c>
      <c r="S40" s="32" t="n">
        <f aca="false">IFERROR(INDEX(Cohort_Survival!$AC$5:$BB$65,72+$A40-59,72-59),0)</f>
        <v>0.0866075179448029</v>
      </c>
      <c r="T40" s="32" t="n">
        <f aca="false">IFERROR(INDEX(Cohort_Survival!$AC$5:$BB$65,73+$A40-59,73-59),0)</f>
        <v>0.0665820053175334</v>
      </c>
      <c r="U40" s="32" t="n">
        <f aca="false">IFERROR(INDEX(Cohort_Survival!$AC$5:$BB$65,74+$A40-59,74-59),0)</f>
        <v>0.0503739508071687</v>
      </c>
      <c r="V40" s="32" t="n">
        <f aca="false">IFERROR(INDEX(Cohort_Survival!$AC$5:$BB$65,75+$A40-59,75-59),0)</f>
        <v>0.0374557711542298</v>
      </c>
      <c r="X40" s="39" t="n">
        <f aca="false">IF(($A40+1)=1,Assumptions!$B$16,IF(($A40+1)=2,Assumptions!$B$17,IF(($A40+1)&lt;=5,Assumptions!$B$18,Assumptions!$B$19)))*(1-Assumptions!$B$20)</f>
        <v>0.0091</v>
      </c>
      <c r="Y40" s="32" t="n">
        <f aca="false">Y39*(1-MIN(1,X39*(1+Assumptions!$B$23)))</f>
        <v>0.623446503398742</v>
      </c>
      <c r="Z40" s="32" t="n">
        <f aca="false">Z39*(1-MIN(1,X39*(1-Assumptions!$B$23)))</f>
        <v>0.855282376345322</v>
      </c>
    </row>
    <row r="41" customFormat="false" ht="15" hidden="false" customHeight="true" outlineLevel="0" collapsed="false">
      <c r="A41" s="3" t="n">
        <v>29</v>
      </c>
      <c r="B41" s="30" t="n">
        <f aca="false">INDEX(Discount!$C$4:$C$64,$A41+1)</f>
        <v>0.403167663933472</v>
      </c>
      <c r="C41" s="32" t="n">
        <f aca="false">(1+Assumptions!$B$10)^$A41</f>
        <v>1.77584469029741</v>
      </c>
      <c r="D41" s="99" t="n">
        <f aca="false">Assumptions!$B$12*(1+Assumptions!$B$11)^($A41+1)</f>
        <v>167.805406326543</v>
      </c>
      <c r="E41" s="32" t="n">
        <f aca="false">E40*(1-IF(29=1,Assumptions!$B$16,IF(29=2,Assumptions!$B$17,IF(29&lt;=5,Assumptions!$B$18,Assumptions!$B$19)))*(1-Assumptions!$B$20))</f>
        <v>0.724007448399464</v>
      </c>
      <c r="F41" s="18" t="n">
        <f aca="false">IF($A41=0,Assumptions!$B$14,Assumptions!$B$15)</f>
        <v>0.05</v>
      </c>
      <c r="G41" s="32" t="n">
        <f aca="false">IFERROR(INDEX(Cohort_Survival!$AC$5:$BB$65,60+$A41-59,60-59),0)</f>
        <v>0.560756560872966</v>
      </c>
      <c r="H41" s="32" t="n">
        <f aca="false">IFERROR(INDEX(Cohort_Survival!$AC$5:$BB$65,61+$A41-59,61-59),0)</f>
        <v>0.513978693578166</v>
      </c>
      <c r="I41" s="32" t="n">
        <f aca="false">IFERROR(INDEX(Cohort_Survival!$AC$5:$BB$65,62+$A41-59,62-59),0)</f>
        <v>0.463375185326971</v>
      </c>
      <c r="J41" s="32" t="n">
        <f aca="false">IFERROR(INDEX(Cohort_Survival!$AC$5:$BB$65,63+$A41-59,63-59),0)</f>
        <v>0.411311287284256</v>
      </c>
      <c r="K41" s="32" t="n">
        <f aca="false">IFERROR(INDEX(Cohort_Survival!$AC$5:$BB$65,64+$A41-59,64-59),0)</f>
        <v>0.359191713944149</v>
      </c>
      <c r="L41" s="32" t="n">
        <f aca="false">IFERROR(INDEX(Cohort_Survival!$AC$5:$BB$65,65+$A41-59,65-59),0)</f>
        <v>0.308687002229207</v>
      </c>
      <c r="M41" s="32" t="n">
        <f aca="false">IFERROR(INDEX(Cohort_Survival!$AC$5:$BB$65,66+$A41-59,66-59),0)</f>
        <v>0.261261490647648</v>
      </c>
      <c r="N41" s="32" t="n">
        <f aca="false">IFERROR(INDEX(Cohort_Survival!$AC$5:$BB$65,67+$A41-59,67-59),0)</f>
        <v>0.216585633140853</v>
      </c>
      <c r="O41" s="32" t="n">
        <f aca="false">IFERROR(INDEX(Cohort_Survival!$AC$5:$BB$65,68+$A41-59,68-59),0)</f>
        <v>0.176849395142747</v>
      </c>
      <c r="P41" s="32" t="n">
        <f aca="false">IFERROR(INDEX(Cohort_Survival!$AC$5:$BB$65,69+$A41-59,69-59),0)</f>
        <v>0.142270967412761</v>
      </c>
      <c r="Q41" s="32" t="n">
        <f aca="false">IFERROR(INDEX(Cohort_Survival!$AC$5:$BB$65,70+$A41-59,70-59),0)</f>
        <v>0.112771228784739</v>
      </c>
      <c r="R41" s="32" t="n">
        <f aca="false">IFERROR(INDEX(Cohort_Survival!$AC$5:$BB$65,71+$A41-59,71-59),0)</f>
        <v>0.0880889156557945</v>
      </c>
      <c r="S41" s="32" t="n">
        <f aca="false">IFERROR(INDEX(Cohort_Survival!$AC$5:$BB$65,72+$A41-59,72-59),0)</f>
        <v>0.0677567692381027</v>
      </c>
      <c r="T41" s="32" t="n">
        <f aca="false">IFERROR(INDEX(Cohort_Survival!$AC$5:$BB$65,73+$A41-59,73-59),0)</f>
        <v>0.0512768626949612</v>
      </c>
      <c r="U41" s="32" t="n">
        <f aca="false">IFERROR(INDEX(Cohort_Survival!$AC$5:$BB$65,74+$A41-59,74-59),0)</f>
        <v>0.0381261138721332</v>
      </c>
      <c r="V41" s="32" t="n">
        <f aca="false">IFERROR(INDEX(Cohort_Survival!$AC$5:$BB$65,75+$A41-59,75-59),0)</f>
        <v>0.0277910744762585</v>
      </c>
      <c r="X41" s="39" t="n">
        <f aca="false">IF(($A41+1)=1,Assumptions!$B$16,IF(($A41+1)=2,Assumptions!$B$17,IF(($A41+1)&lt;=5,Assumptions!$B$18,Assumptions!$B$19)))*(1-Assumptions!$B$20)</f>
        <v>0.0091</v>
      </c>
      <c r="Y41" s="32" t="n">
        <f aca="false">Y40*(1-MIN(1,X40*(1+Assumptions!$B$23)))</f>
        <v>0.614936458627349</v>
      </c>
      <c r="Z41" s="32" t="n">
        <f aca="false">Z40*(1-MIN(1,X40*(1-Assumptions!$B$23)))</f>
        <v>0.851390841532951</v>
      </c>
    </row>
    <row r="42" customFormat="false" ht="15" hidden="false" customHeight="true" outlineLevel="0" collapsed="false">
      <c r="A42" s="3" t="n">
        <v>30</v>
      </c>
      <c r="B42" s="30" t="n">
        <f aca="false">INDEX(Discount!$C$4:$C$64,$A42+1)</f>
        <v>0.390507349788569</v>
      </c>
      <c r="C42" s="32" t="n">
        <f aca="false">(1+Assumptions!$B$10)^$A42</f>
        <v>1.81136158410335</v>
      </c>
      <c r="D42" s="99" t="n">
        <f aca="false">Assumptions!$B$12*(1+Assumptions!$B$11)^($A42+1)</f>
        <v>172.000541484706</v>
      </c>
      <c r="E42" s="32" t="n">
        <f aca="false">E41*(1-IF(30=1,Assumptions!$B$16,IF(30=2,Assumptions!$B$17,IF(30&lt;=5,Assumptions!$B$18,Assumptions!$B$19)))*(1-Assumptions!$B$20))</f>
        <v>0.717418980619029</v>
      </c>
      <c r="F42" s="18" t="n">
        <f aca="false">IF($A42=0,Assumptions!$B$14,Assumptions!$B$15)</f>
        <v>0.05</v>
      </c>
      <c r="G42" s="32" t="n">
        <f aca="false">IFERROR(INDEX(Cohort_Survival!$AC$5:$BB$65,60+$A42-59,60-59),0)</f>
        <v>0.517588327241394</v>
      </c>
      <c r="H42" s="32" t="n">
        <f aca="false">IFERROR(INDEX(Cohort_Survival!$AC$5:$BB$65,61+$A42-59,61-59),0)</f>
        <v>0.467099644254258</v>
      </c>
      <c r="I42" s="32" t="n">
        <f aca="false">IFERROR(INDEX(Cohort_Survival!$AC$5:$BB$65,62+$A42-59,62-59),0)</f>
        <v>0.415075785155138</v>
      </c>
      <c r="J42" s="32" t="n">
        <f aca="false">IFERROR(INDEX(Cohort_Survival!$AC$5:$BB$65,63+$A42-59,63-59),0)</f>
        <v>0.362910835743208</v>
      </c>
      <c r="K42" s="32" t="n">
        <f aca="false">IFERROR(INDEX(Cohort_Survival!$AC$5:$BB$65,64+$A42-59,64-59),0)</f>
        <v>0.31227238602453</v>
      </c>
      <c r="L42" s="32" t="n">
        <f aca="false">IFERROR(INDEX(Cohort_Survival!$AC$5:$BB$65,65+$A42-59,65-59),0)</f>
        <v>0.264563772239348</v>
      </c>
      <c r="M42" s="32" t="n">
        <f aca="false">IFERROR(INDEX(Cohort_Survival!$AC$5:$BB$65,66+$A42-59,66-59),0)</f>
        <v>0.219606614655161</v>
      </c>
      <c r="N42" s="32" t="n">
        <f aca="false">IFERROR(INDEX(Cohort_Survival!$AC$5:$BB$65,67+$A42-59,67-59),0)</f>
        <v>0.179540505029016</v>
      </c>
      <c r="O42" s="32" t="n">
        <f aca="false">IFERROR(INDEX(Cohort_Survival!$AC$5:$BB$65,68+$A42-59,68-59),0)</f>
        <v>0.144605858485828</v>
      </c>
      <c r="P42" s="32" t="n">
        <f aca="false">IFERROR(INDEX(Cohort_Survival!$AC$5:$BB$65,69+$A42-59,69-59),0)</f>
        <v>0.114744449754064</v>
      </c>
      <c r="Q42" s="32" t="n">
        <f aca="false">IFERROR(INDEX(Cohort_Survival!$AC$5:$BB$65,70+$A42-59,70-59),0)</f>
        <v>0.089682691496876</v>
      </c>
      <c r="R42" s="32" t="n">
        <f aca="false">IFERROR(INDEX(Cohort_Survival!$AC$5:$BB$65,71+$A42-59,71-59),0)</f>
        <v>0.0690307692042612</v>
      </c>
      <c r="S42" s="32" t="n">
        <f aca="false">IFERROR(INDEX(Cohort_Survival!$AC$5:$BB$65,72+$A42-59,72-59),0)</f>
        <v>0.0522656907398803</v>
      </c>
      <c r="T42" s="32" t="n">
        <f aca="false">IFERROR(INDEX(Cohort_Survival!$AC$5:$BB$65,73+$A42-59,73-59),0)</f>
        <v>0.038869336668522</v>
      </c>
      <c r="U42" s="32" t="n">
        <f aca="false">IFERROR(INDEX(Cohort_Survival!$AC$5:$BB$65,74+$A42-59,74-59),0)</f>
        <v>0.0283297671408506</v>
      </c>
      <c r="V42" s="32" t="n">
        <f aca="false">IFERROR(INDEX(Cohort_Survival!$AC$5:$BB$65,75+$A42-59,75-59),0)</f>
        <v>0.0209380916705279</v>
      </c>
      <c r="X42" s="39" t="n">
        <f aca="false">IF(($A42+1)=1,Assumptions!$B$16,IF(($A42+1)=2,Assumptions!$B$17,IF(($A42+1)&lt;=5,Assumptions!$B$18,Assumptions!$B$19)))*(1-Assumptions!$B$20)</f>
        <v>0.0091</v>
      </c>
      <c r="Y42" s="32" t="n">
        <f aca="false">Y41*(1-MIN(1,X41*(1+Assumptions!$B$23)))</f>
        <v>0.606542575967086</v>
      </c>
      <c r="Z42" s="32" t="n">
        <f aca="false">Z41*(1-MIN(1,X41*(1-Assumptions!$B$23)))</f>
        <v>0.847517013203976</v>
      </c>
    </row>
    <row r="43" customFormat="false" ht="15" hidden="false" customHeight="true" outlineLevel="0" collapsed="false">
      <c r="A43" s="3" t="n">
        <v>31</v>
      </c>
      <c r="B43" s="30" t="n">
        <f aca="false">INDEX(Discount!$C$4:$C$64,$A43+1)</f>
        <v>0.378343586433049</v>
      </c>
      <c r="C43" s="32" t="n">
        <f aca="false">(1+Assumptions!$B$10)^$A43</f>
        <v>1.84758881578542</v>
      </c>
      <c r="D43" s="99" t="n">
        <f aca="false">Assumptions!$B$12*(1+Assumptions!$B$11)^($A43+1)</f>
        <v>176.300555021824</v>
      </c>
      <c r="E43" s="32" t="n">
        <f aca="false">E42*(1-IF(31=1,Assumptions!$B$16,IF(31=2,Assumptions!$B$17,IF(31&lt;=5,Assumptions!$B$18,Assumptions!$B$19)))*(1-Assumptions!$B$20))</f>
        <v>0.710890467895396</v>
      </c>
      <c r="F43" s="18" t="n">
        <f aca="false">IF($A43=0,Assumptions!$B$14,Assumptions!$B$15)</f>
        <v>0.05</v>
      </c>
      <c r="G43" s="32" t="n">
        <f aca="false">IFERROR(INDEX(Cohort_Survival!$AC$5:$BB$65,60+$A43-59,60-59),0)</f>
        <v>0.47094654921229</v>
      </c>
      <c r="H43" s="32" t="n">
        <f aca="false">IFERROR(INDEX(Cohort_Survival!$AC$5:$BB$65,61+$A43-59,61-59),0)</f>
        <v>0.418967068034954</v>
      </c>
      <c r="I43" s="32" t="n">
        <f aca="false">IFERROR(INDEX(Cohort_Survival!$AC$5:$BB$65,62+$A43-59,62-59),0)</f>
        <v>0.366759860936562</v>
      </c>
      <c r="J43" s="32" t="n">
        <f aca="false">IFERROR(INDEX(Cohort_Survival!$AC$5:$BB$65,63+$A43-59,63-59),0)</f>
        <v>0.315989230867714</v>
      </c>
      <c r="K43" s="32" t="n">
        <f aca="false">IFERROR(INDEX(Cohort_Survival!$AC$5:$BB$65,64+$A43-59,64-59),0)</f>
        <v>0.268065169870503</v>
      </c>
      <c r="L43" s="32" t="n">
        <f aca="false">IFERROR(INDEX(Cohort_Survival!$AC$5:$BB$65,65+$A43-59,65-59),0)</f>
        <v>0.222762021213817</v>
      </c>
      <c r="M43" s="32" t="n">
        <f aca="false">IFERROR(INDEX(Cohort_Survival!$AC$5:$BB$65,66+$A43-59,66-59),0)</f>
        <v>0.182360292848587</v>
      </c>
      <c r="N43" s="32" t="n">
        <f aca="false">IFERROR(INDEX(Cohort_Survival!$AC$5:$BB$65,67+$A43-59,67-59),0)</f>
        <v>0.147061646461266</v>
      </c>
      <c r="O43" s="32" t="n">
        <f aca="false">IFERROR(INDEX(Cohort_Survival!$AC$5:$BB$65,68+$A43-59,68-59),0)</f>
        <v>0.116829030789617</v>
      </c>
      <c r="P43" s="32" t="n">
        <f aca="false">IFERROR(INDEX(Cohort_Survival!$AC$5:$BB$65,69+$A43-59,69-59),0)</f>
        <v>0.0914069701758175</v>
      </c>
      <c r="Q43" s="32" t="n">
        <f aca="false">IFERROR(INDEX(Cohort_Survival!$AC$5:$BB$65,70+$A43-59,70-59),0)</f>
        <v>0.0703961474310892</v>
      </c>
      <c r="R43" s="32" t="n">
        <f aca="false">IFERROR(INDEX(Cohort_Survival!$AC$5:$BB$65,71+$A43-59,71-59),0)</f>
        <v>0.0533336436366317</v>
      </c>
      <c r="S43" s="32" t="n">
        <f aca="false">IFERROR(INDEX(Cohort_Survival!$AC$5:$BB$65,72+$A43-59,72-59),0)</f>
        <v>0.0396796013767881</v>
      </c>
      <c r="T43" s="32" t="n">
        <f aca="false">IFERROR(INDEX(Cohort_Survival!$AC$5:$BB$65,73+$A43-59,73-59),0)</f>
        <v>0.0289239686461015</v>
      </c>
      <c r="U43" s="32" t="n">
        <f aca="false">IFERROR(INDEX(Cohort_Survival!$AC$5:$BB$65,74+$A43-59,74-59),0)</f>
        <v>0.021369097411932</v>
      </c>
      <c r="V43" s="32" t="n">
        <f aca="false">IFERROR(INDEX(Cohort_Survival!$AC$5:$BB$65,75+$A43-59,75-59),0)</f>
        <v>0.0183052550541223</v>
      </c>
      <c r="X43" s="39" t="n">
        <f aca="false">IF(($A43+1)=1,Assumptions!$B$16,IF(($A43+1)=2,Assumptions!$B$17,IF(($A43+1)&lt;=5,Assumptions!$B$18,Assumptions!$B$19)))*(1-Assumptions!$B$20)</f>
        <v>0.0091</v>
      </c>
      <c r="Y43" s="32" t="n">
        <f aca="false">Y42*(1-MIN(1,X42*(1+Assumptions!$B$23)))</f>
        <v>0.598263269805135</v>
      </c>
      <c r="Z43" s="32" t="n">
        <f aca="false">Z42*(1-MIN(1,X42*(1-Assumptions!$B$23)))</f>
        <v>0.843660810793898</v>
      </c>
    </row>
    <row r="44" customFormat="false" ht="15" hidden="false" customHeight="true" outlineLevel="0" collapsed="false">
      <c r="A44" s="3" t="n">
        <v>32</v>
      </c>
      <c r="B44" s="30" t="n">
        <f aca="false">INDEX(Discount!$C$4:$C$64,$A44+1)</f>
        <v>0.366437947062115</v>
      </c>
      <c r="C44" s="32" t="n">
        <f aca="false">(1+Assumptions!$B$10)^$A44</f>
        <v>1.88454059210113</v>
      </c>
      <c r="D44" s="99" t="n">
        <f aca="false">Assumptions!$B$12*(1+Assumptions!$B$11)^($A44+1)</f>
        <v>180.70806889737</v>
      </c>
      <c r="E44" s="32" t="n">
        <f aca="false">E43*(1-IF(32=1,Assumptions!$B$16,IF(32=2,Assumptions!$B$17,IF(32&lt;=5,Assumptions!$B$18,Assumptions!$B$19)))*(1-Assumptions!$B$20))</f>
        <v>0.704421364637547</v>
      </c>
      <c r="F44" s="18" t="n">
        <f aca="false">IF($A44=0,Assumptions!$B$14,Assumptions!$B$15)</f>
        <v>0.05</v>
      </c>
      <c r="G44" s="32" t="n">
        <f aca="false">IFERROR(INDEX(Cohort_Survival!$AC$5:$BB$65,60+$A44-59,60-59),0)</f>
        <v>0.42297079666112</v>
      </c>
      <c r="H44" s="32" t="n">
        <f aca="false">IFERROR(INDEX(Cohort_Survival!$AC$5:$BB$65,61+$A44-59,61-59),0)</f>
        <v>0.370724892053063</v>
      </c>
      <c r="I44" s="32" t="n">
        <f aca="false">IFERROR(INDEX(Cohort_Survival!$AC$5:$BB$65,62+$A44-59,62-59),0)</f>
        <v>0.319824282837531</v>
      </c>
      <c r="J44" s="32" t="n">
        <f aca="false">IFERROR(INDEX(Cohort_Survival!$AC$5:$BB$65,63+$A44-59,63-59),0)</f>
        <v>0.271685275699529</v>
      </c>
      <c r="K44" s="32" t="n">
        <f aca="false">IFERROR(INDEX(Cohort_Survival!$AC$5:$BB$65,64+$A44-59,64-59),0)</f>
        <v>0.226091383912797</v>
      </c>
      <c r="L44" s="32" t="n">
        <f aca="false">IFERROR(INDEX(Cohort_Survival!$AC$5:$BB$65,65+$A44-59,65-59),0)</f>
        <v>0.18529789205936</v>
      </c>
      <c r="M44" s="32" t="n">
        <f aca="false">IFERROR(INDEX(Cohort_Survival!$AC$5:$BB$65,66+$A44-59,66-59),0)</f>
        <v>0.149628648830952</v>
      </c>
      <c r="N44" s="32" t="n">
        <f aca="false">IFERROR(INDEX(Cohort_Survival!$AC$5:$BB$65,67+$A44-59,67-59),0)</f>
        <v>0.119016484711689</v>
      </c>
      <c r="O44" s="32" t="n">
        <f aca="false">IFERROR(INDEX(Cohort_Survival!$AC$5:$BB$65,68+$A44-59,68-59),0)</f>
        <v>0.0932244010388014</v>
      </c>
      <c r="P44" s="32" t="n">
        <f aca="false">IFERROR(INDEX(Cohort_Survival!$AC$5:$BB$65,69+$A44-59,69-59),0)</f>
        <v>0.0718675587061282</v>
      </c>
      <c r="Q44" s="32" t="n">
        <f aca="false">IFERROR(INDEX(Cohort_Survival!$AC$5:$BB$65,70+$A44-59,70-59),0)</f>
        <v>0.0544749852351952</v>
      </c>
      <c r="R44" s="32" t="n">
        <f aca="false">IFERROR(INDEX(Cohort_Survival!$AC$5:$BB$65,71+$A44-59,71-59),0)</f>
        <v>0.040552028435728</v>
      </c>
      <c r="S44" s="32" t="n">
        <f aca="false">IFERROR(INDEX(Cohort_Survival!$AC$5:$BB$65,72+$A44-59,72-59),0)</f>
        <v>0.0295695549043226</v>
      </c>
      <c r="T44" s="32" t="n">
        <f aca="false">IFERROR(INDEX(Cohort_Survival!$AC$5:$BB$65,73+$A44-59,73-59),0)</f>
        <v>0.0218428866413341</v>
      </c>
      <c r="U44" s="32" t="n">
        <f aca="false">IFERROR(INDEX(Cohort_Survival!$AC$5:$BB$65,74+$A44-59,74-59),0)</f>
        <v>0.0186901255656939</v>
      </c>
      <c r="V44" s="32" t="n">
        <f aca="false">IFERROR(INDEX(Cohort_Survival!$AC$5:$BB$65,75+$A44-59,75-59),0)</f>
        <v>0.01204165650652</v>
      </c>
      <c r="X44" s="39" t="n">
        <f aca="false">IF(($A44+1)=1,Assumptions!$B$16,IF(($A44+1)=2,Assumptions!$B$17,IF(($A44+1)&lt;=5,Assumptions!$B$18,Assumptions!$B$19)))*(1-Assumptions!$B$20)</f>
        <v>0.0091</v>
      </c>
      <c r="Y44" s="32" t="n">
        <f aca="false">Y43*(1-MIN(1,X43*(1+Assumptions!$B$23)))</f>
        <v>0.590096976172295</v>
      </c>
      <c r="Z44" s="32" t="n">
        <f aca="false">Z43*(1-MIN(1,X43*(1-Assumptions!$B$23)))</f>
        <v>0.839822154104786</v>
      </c>
    </row>
    <row r="45" customFormat="false" ht="15" hidden="false" customHeight="true" outlineLevel="0" collapsed="false">
      <c r="A45" s="3" t="n">
        <v>33</v>
      </c>
      <c r="B45" s="30" t="n">
        <f aca="false">INDEX(Discount!$C$4:$C$64,$A45+1)</f>
        <v>0.354893198656804</v>
      </c>
      <c r="C45" s="32" t="n">
        <f aca="false">(1+Assumptions!$B$10)^$A45</f>
        <v>1.92223140394315</v>
      </c>
      <c r="D45" s="99" t="n">
        <f aca="false">Assumptions!$B$12*(1+Assumptions!$B$11)^($A45+1)</f>
        <v>185.225770619804</v>
      </c>
      <c r="E45" s="32" t="n">
        <f aca="false">E44*(1-IF(33=1,Assumptions!$B$16,IF(33=2,Assumptions!$B$17,IF(33&lt;=5,Assumptions!$B$18,Assumptions!$B$19)))*(1-Assumptions!$B$20))</f>
        <v>0.698011130219346</v>
      </c>
      <c r="F45" s="18" t="n">
        <f aca="false">IF($A45=0,Assumptions!$B$14,Assumptions!$B$15)</f>
        <v>0.05</v>
      </c>
      <c r="G45" s="32" t="n">
        <f aca="false">IFERROR(INDEX(Cohort_Survival!$AC$5:$BB$65,60+$A45-59,60-59),0)</f>
        <v>0.374793603735115</v>
      </c>
      <c r="H45" s="32" t="n">
        <f aca="false">IFERROR(INDEX(Cohort_Survival!$AC$5:$BB$65,61+$A45-59,61-59),0)</f>
        <v>0.323765813239028</v>
      </c>
      <c r="I45" s="32" t="n">
        <f aca="false">IFERROR(INDEX(Cohort_Survival!$AC$5:$BB$65,62+$A45-59,62-59),0)</f>
        <v>0.275413105800311</v>
      </c>
      <c r="J45" s="32" t="n">
        <f aca="false">IFERROR(INDEX(Cohort_Survival!$AC$5:$BB$65,63+$A45-59,63-59),0)</f>
        <v>0.229527517274438</v>
      </c>
      <c r="K45" s="32" t="n">
        <f aca="false">IFERROR(INDEX(Cohort_Survival!$AC$5:$BB$65,64+$A45-59,64-59),0)</f>
        <v>0.188386724470993</v>
      </c>
      <c r="L45" s="32" t="n">
        <f aca="false">IFERROR(INDEX(Cohort_Survival!$AC$5:$BB$65,65+$A45-59,65-59),0)</f>
        <v>0.152298401161915</v>
      </c>
      <c r="M45" s="32" t="n">
        <f aca="false">IFERROR(INDEX(Cohort_Survival!$AC$5:$BB$65,66+$A45-59,66-59),0)</f>
        <v>0.121299400726223</v>
      </c>
      <c r="N45" s="32" t="n">
        <f aca="false">IFERROR(INDEX(Cohort_Survival!$AC$5:$BB$65,67+$A45-59,67-59),0)</f>
        <v>0.0951286000598002</v>
      </c>
      <c r="O45" s="32" t="n">
        <f aca="false">IFERROR(INDEX(Cohort_Survival!$AC$5:$BB$65,68+$A45-59,68-59),0)</f>
        <v>0.0734160578911798</v>
      </c>
      <c r="P45" s="32" t="n">
        <f aca="false">IFERROR(INDEX(Cohort_Survival!$AC$5:$BB$65,69+$A45-59,69-59),0)</f>
        <v>0.0557013857123604</v>
      </c>
      <c r="Q45" s="32" t="n">
        <f aca="false">IFERROR(INDEX(Cohort_Survival!$AC$5:$BB$65,70+$A45-59,70-59),0)</f>
        <v>0.0414825077619638</v>
      </c>
      <c r="R45" s="32" t="n">
        <f aca="false">IFERROR(INDEX(Cohort_Survival!$AC$5:$BB$65,71+$A45-59,71-59),0)</f>
        <v>0.030263090298103</v>
      </c>
      <c r="S45" s="32" t="n">
        <f aca="false">IFERROR(INDEX(Cohort_Survival!$AC$5:$BB$65,72+$A45-59,72-59),0)</f>
        <v>0.022356483223896</v>
      </c>
      <c r="T45" s="32" t="n">
        <f aca="false">IFERROR(INDEX(Cohort_Survival!$AC$5:$BB$65,73+$A45-59,73-59),0)</f>
        <v>0.0191127325410927</v>
      </c>
      <c r="U45" s="32" t="n">
        <f aca="false">IFERROR(INDEX(Cohort_Survival!$AC$5:$BB$65,74+$A45-59,74-59),0)</f>
        <v>0.0123101826947286</v>
      </c>
      <c r="V45" s="32" t="n">
        <f aca="false">IFERROR(INDEX(Cohort_Survival!$AC$5:$BB$65,75+$A45-59,75-59),0)</f>
        <v>0.00764957249446874</v>
      </c>
      <c r="X45" s="39" t="n">
        <f aca="false">IF(($A45+1)=1,Assumptions!$B$16,IF(($A45+1)=2,Assumptions!$B$17,IF(($A45+1)&lt;=5,Assumptions!$B$18,Assumptions!$B$19)))*(1-Assumptions!$B$20)</f>
        <v>0.0091</v>
      </c>
      <c r="Y45" s="32" t="n">
        <f aca="false">Y44*(1-MIN(1,X44*(1+Assumptions!$B$23)))</f>
        <v>0.582042152447543</v>
      </c>
      <c r="Z45" s="32" t="n">
        <f aca="false">Z44*(1-MIN(1,X44*(1-Assumptions!$B$23)))</f>
        <v>0.836000963303609</v>
      </c>
    </row>
    <row r="46" customFormat="false" ht="15" hidden="false" customHeight="true" outlineLevel="0" collapsed="false">
      <c r="A46" s="3" t="n">
        <v>34</v>
      </c>
      <c r="B46" s="30" t="n">
        <f aca="false">INDEX(Discount!$C$4:$C$64,$A46+1)</f>
        <v>0.3436988522801</v>
      </c>
      <c r="C46" s="32" t="n">
        <f aca="false">(1+Assumptions!$B$10)^$A46</f>
        <v>1.96067603202202</v>
      </c>
      <c r="D46" s="99" t="n">
        <f aca="false">Assumptions!$B$12*(1+Assumptions!$B$11)^($A46+1)</f>
        <v>189.856414885299</v>
      </c>
      <c r="E46" s="32" t="n">
        <f aca="false">E45*(1-IF(34=1,Assumptions!$B$16,IF(34=2,Assumptions!$B$17,IF(34&lt;=5,Assumptions!$B$18,Assumptions!$B$19)))*(1-Assumptions!$B$20))</f>
        <v>0.69165922893435</v>
      </c>
      <c r="F46" s="18" t="n">
        <f aca="false">IF($A46=0,Assumptions!$B$14,Assumptions!$B$15)</f>
        <v>0.05</v>
      </c>
      <c r="G46" s="32" t="n">
        <f aca="false">IFERROR(INDEX(Cohort_Survival!$AC$5:$BB$65,60+$A46-59,60-59),0)</f>
        <v>0.327803387717851</v>
      </c>
      <c r="H46" s="32" t="n">
        <f aca="false">IFERROR(INDEX(Cohort_Survival!$AC$5:$BB$65,61+$A46-59,61-59),0)</f>
        <v>0.279238912267506</v>
      </c>
      <c r="I46" s="32" t="n">
        <f aca="false">IFERROR(INDEX(Cohort_Survival!$AC$5:$BB$65,62+$A46-59,62-59),0)</f>
        <v>0.233061521014663</v>
      </c>
      <c r="J46" s="32" t="n">
        <f aca="false">IFERROR(INDEX(Cohort_Survival!$AC$5:$BB$65,63+$A46-59,63-59),0)</f>
        <v>0.191571355632532</v>
      </c>
      <c r="K46" s="32" t="n">
        <f aca="false">IFERROR(INDEX(Cohort_Survival!$AC$5:$BB$65,64+$A46-59,64-59),0)</f>
        <v>0.15509883362651</v>
      </c>
      <c r="L46" s="32" t="n">
        <f aca="false">IFERROR(INDEX(Cohort_Survival!$AC$5:$BB$65,65+$A46-59,65-59),0)</f>
        <v>0.123671297784653</v>
      </c>
      <c r="M46" s="32" t="n">
        <f aca="false">IFERROR(INDEX(Cohort_Survival!$AC$5:$BB$65,66+$A46-59,66-59),0)</f>
        <v>0.0971139945478176</v>
      </c>
      <c r="N46" s="32" t="n">
        <f aca="false">IFERROR(INDEX(Cohort_Survival!$AC$5:$BB$65,67+$A46-59,67-59),0)</f>
        <v>0.0750369299332315</v>
      </c>
      <c r="O46" s="32" t="n">
        <f aca="false">IFERROR(INDEX(Cohort_Survival!$AC$5:$BB$65,68+$A46-59,68-59),0)</f>
        <v>0.0569907376562555</v>
      </c>
      <c r="P46" s="32" t="n">
        <f aca="false">IFERROR(INDEX(Cohort_Survival!$AC$5:$BB$65,69+$A46-59,69-59),0)</f>
        <v>0.0424801752652094</v>
      </c>
      <c r="Q46" s="32" t="n">
        <f aca="false">IFERROR(INDEX(Cohort_Survival!$AC$5:$BB$65,70+$A46-59,70-59),0)</f>
        <v>0.0310016917205626</v>
      </c>
      <c r="R46" s="32" t="n">
        <f aca="false">IFERROR(INDEX(Cohort_Survival!$AC$5:$BB$65,71+$A46-59,71-59),0)</f>
        <v>0.022907416637384</v>
      </c>
      <c r="S46" s="32" t="n">
        <f aca="false">IFERROR(INDEX(Cohort_Survival!$AC$5:$BB$65,72+$A46-59,72-59),0)</f>
        <v>0.0195705174581569</v>
      </c>
      <c r="T46" s="32" t="n">
        <f aca="false">IFERROR(INDEX(Cohort_Survival!$AC$5:$BB$65,73+$A46-59,73-59),0)</f>
        <v>0.0126041893131453</v>
      </c>
      <c r="U46" s="32" t="n">
        <f aca="false">IFERROR(INDEX(Cohort_Survival!$AC$5:$BB$65,74+$A46-59,74-59),0)</f>
        <v>0.00782823826060131</v>
      </c>
      <c r="V46" s="32" t="n">
        <f aca="false">IFERROR(INDEX(Cohort_Survival!$AC$5:$BB$65,75+$A46-59,75-59),0)</f>
        <v>0.00467675441673598</v>
      </c>
      <c r="X46" s="39" t="n">
        <f aca="false">IF(($A46+1)=1,Assumptions!$B$16,IF(($A46+1)=2,Assumptions!$B$17,IF(($A46+1)&lt;=5,Assumptions!$B$18,Assumptions!$B$19)))*(1-Assumptions!$B$20)</f>
        <v>0.0091</v>
      </c>
      <c r="Y46" s="32" t="n">
        <f aca="false">Y45*(1-MIN(1,X45*(1+Assumptions!$B$23)))</f>
        <v>0.574097277066634</v>
      </c>
      <c r="Z46" s="32" t="n">
        <f aca="false">Z45*(1-MIN(1,X45*(1-Assumptions!$B$23)))</f>
        <v>0.832197158920577</v>
      </c>
    </row>
    <row r="47" customFormat="false" ht="15" hidden="false" customHeight="true" outlineLevel="0" collapsed="false">
      <c r="A47" s="3" t="n">
        <v>35</v>
      </c>
      <c r="B47" s="30" t="n">
        <f aca="false">INDEX(Discount!$C$4:$C$64,$A47+1)</f>
        <v>0.332844709518926</v>
      </c>
      <c r="C47" s="32" t="n">
        <f aca="false">(1+Assumptions!$B$10)^$A47</f>
        <v>1.99988955266246</v>
      </c>
      <c r="D47" s="99" t="n">
        <f aca="false">Assumptions!$B$12*(1+Assumptions!$B$11)^($A47+1)</f>
        <v>194.602825257431</v>
      </c>
      <c r="E47" s="32" t="n">
        <f aca="false">E46*(1-IF(35=1,Assumptions!$B$16,IF(35=2,Assumptions!$B$17,IF(35&lt;=5,Assumptions!$B$18,Assumptions!$B$19)))*(1-Assumptions!$B$20))</f>
        <v>0.685365129951047</v>
      </c>
      <c r="F47" s="18" t="n">
        <f aca="false">IF($A47=0,Assumptions!$B$14,Assumptions!$B$15)</f>
        <v>0.05</v>
      </c>
      <c r="G47" s="32" t="n">
        <f aca="false">IFERROR(INDEX(Cohort_Survival!$AC$5:$BB$65,60+$A47-59,60-59),0)</f>
        <v>0.283153995689137</v>
      </c>
      <c r="H47" s="32" t="n">
        <f aca="false">IFERROR(INDEX(Cohort_Survival!$AC$5:$BB$65,61+$A47-59,61-59),0)</f>
        <v>0.236685474078434</v>
      </c>
      <c r="I47" s="32" t="n">
        <f aca="false">IFERROR(INDEX(Cohort_Survival!$AC$5:$BB$65,62+$A47-59,62-59),0)</f>
        <v>0.194844694318307</v>
      </c>
      <c r="J47" s="32" t="n">
        <f aca="false">IFERROR(INDEX(Cohort_Survival!$AC$5:$BB$65,63+$A47-59,63-59),0)</f>
        <v>0.15798477598757</v>
      </c>
      <c r="K47" s="32" t="n">
        <f aca="false">IFERROR(INDEX(Cohort_Survival!$AC$5:$BB$65,64+$A47-59,64-59),0)</f>
        <v>0.126155245960371</v>
      </c>
      <c r="L47" s="32" t="n">
        <f aca="false">IFERROR(INDEX(Cohort_Survival!$AC$5:$BB$65,65+$A47-59,65-59),0)</f>
        <v>0.0991757134372931</v>
      </c>
      <c r="M47" s="32" t="n">
        <f aca="false">IFERROR(INDEX(Cohort_Survival!$AC$5:$BB$65,66+$A47-59,66-59),0)</f>
        <v>0.0767260644421483</v>
      </c>
      <c r="N47" s="32" t="n">
        <f aca="false">IFERROR(INDEX(Cohort_Survival!$AC$5:$BB$65,67+$A47-59,67-59),0)</f>
        <v>0.0583396281636857</v>
      </c>
      <c r="O47" s="32" t="n">
        <f aca="false">IFERROR(INDEX(Cohort_Survival!$AC$5:$BB$65,68+$A47-59,68-59),0)</f>
        <v>0.0435284190598963</v>
      </c>
      <c r="P47" s="32" t="n">
        <f aca="false">IFERROR(INDEX(Cohort_Survival!$AC$5:$BB$65,69+$A47-59,69-59),0)</f>
        <v>0.0317923703736799</v>
      </c>
      <c r="Q47" s="32" t="n">
        <f aca="false">IFERROR(INDEX(Cohort_Survival!$AC$5:$BB$65,70+$A47-59,70-59),0)</f>
        <v>0.0234936220881992</v>
      </c>
      <c r="R47" s="32" t="n">
        <f aca="false">IFERROR(INDEX(Cohort_Survival!$AC$5:$BB$65,71+$A47-59,71-59),0)</f>
        <v>0.0200613598555345</v>
      </c>
      <c r="S47" s="32" t="n">
        <f aca="false">IFERROR(INDEX(Cohort_Survival!$AC$5:$BB$65,72+$A47-59,72-59),0)</f>
        <v>0.0129220773538849</v>
      </c>
      <c r="T47" s="32" t="n">
        <f aca="false">IFERROR(INDEX(Cohort_Survival!$AC$5:$BB$65,73+$A47-59,73-59),0)</f>
        <v>0.00802346185848005</v>
      </c>
      <c r="U47" s="32" t="n">
        <f aca="false">IFERROR(INDEX(Cohort_Survival!$AC$5:$BB$65,74+$A47-59,74-59),0)</f>
        <v>0.00478963683276196</v>
      </c>
      <c r="V47" s="32" t="n">
        <f aca="false">IFERROR(INDEX(Cohort_Survival!$AC$5:$BB$65,75+$A47-59,75-59),0)</f>
        <v>0.0027411033542522</v>
      </c>
      <c r="X47" s="39" t="n">
        <f aca="false">IF(($A47+1)=1,Assumptions!$B$16,IF(($A47+1)=2,Assumptions!$B$17,IF(($A47+1)&lt;=5,Assumptions!$B$18,Assumptions!$B$19)))*(1-Assumptions!$B$20)</f>
        <v>0.0091</v>
      </c>
      <c r="Y47" s="32" t="n">
        <f aca="false">Y46*(1-MIN(1,X46*(1+Assumptions!$B$23)))</f>
        <v>0.566260849234675</v>
      </c>
      <c r="Z47" s="32" t="n">
        <f aca="false">Z46*(1-MIN(1,X46*(1-Assumptions!$B$23)))</f>
        <v>0.828410661847489</v>
      </c>
    </row>
    <row r="48" customFormat="false" ht="15" hidden="false" customHeight="true" outlineLevel="0" collapsed="false">
      <c r="A48" s="3" t="n">
        <v>36</v>
      </c>
      <c r="B48" s="30" t="n">
        <f aca="false">INDEX(Discount!$C$4:$C$64,$A48+1)</f>
        <v>0.322433317993974</v>
      </c>
      <c r="C48" s="32" t="n">
        <f aca="false">(1+Assumptions!$B$10)^$A48</f>
        <v>2.03988734371571</v>
      </c>
      <c r="D48" s="99" t="n">
        <f aca="false">Assumptions!$B$12*(1+Assumptions!$B$11)^($A48+1)</f>
        <v>199.467895888867</v>
      </c>
      <c r="E48" s="32" t="n">
        <f aca="false">E47*(1-IF(36=1,Assumptions!$B$16,IF(36=2,Assumptions!$B$17,IF(36&lt;=5,Assumptions!$B$18,Assumptions!$B$19)))*(1-Assumptions!$B$20))</f>
        <v>0.679128307268493</v>
      </c>
      <c r="F48" s="18" t="n">
        <f aca="false">IF($A48=0,Assumptions!$B$14,Assumptions!$B$15)</f>
        <v>0.05</v>
      </c>
      <c r="G48" s="32" t="n">
        <f aca="false">IFERROR(INDEX(Cohort_Survival!$AC$5:$BB$65,60+$A48-59,60-59),0)</f>
        <v>0.240392285395602</v>
      </c>
      <c r="H48" s="32" t="n">
        <f aca="false">IFERROR(INDEX(Cohort_Survival!$AC$5:$BB$65,61+$A48-59,61-59),0)</f>
        <v>0.198200413926513</v>
      </c>
      <c r="I48" s="32" t="n">
        <f aca="false">IFERROR(INDEX(Cohort_Survival!$AC$5:$BB$65,62+$A48-59,62-59),0)</f>
        <v>0.160950679624424</v>
      </c>
      <c r="J48" s="32" t="n">
        <f aca="false">IFERROR(INDEX(Cohort_Survival!$AC$5:$BB$65,63+$A48-59,63-59),0)</f>
        <v>0.128714902998681</v>
      </c>
      <c r="K48" s="32" t="n">
        <f aca="false">IFERROR(INDEX(Cohort_Survival!$AC$5:$BB$65,64+$A48-59,64-59),0)</f>
        <v>0.10133258381819</v>
      </c>
      <c r="L48" s="32" t="n">
        <f aca="false">IFERROR(INDEX(Cohort_Survival!$AC$5:$BB$65,65+$A48-59,65-59),0)</f>
        <v>0.0784798745109336</v>
      </c>
      <c r="M48" s="32" t="n">
        <f aca="false">IFERROR(INDEX(Cohort_Survival!$AC$5:$BB$65,66+$A48-59,66-59),0)</f>
        <v>0.0597450896853795</v>
      </c>
      <c r="N48" s="32" t="n">
        <f aca="false">IFERROR(INDEX(Cohort_Survival!$AC$5:$BB$65,67+$A48-59,67-59),0)</f>
        <v>0.0446248240164992</v>
      </c>
      <c r="O48" s="32" t="n">
        <f aca="false">IFERROR(INDEX(Cohort_Survival!$AC$5:$BB$65,68+$A48-59,68-59),0)</f>
        <v>0.0326228776018861</v>
      </c>
      <c r="P48" s="32" t="n">
        <f aca="false">IFERROR(INDEX(Cohort_Survival!$AC$5:$BB$65,69+$A48-59,69-59),0)</f>
        <v>0.0241205305561204</v>
      </c>
      <c r="Q48" s="32" t="n">
        <f aca="false">IFERROR(INDEX(Cohort_Survival!$AC$5:$BB$65,70+$A48-59,70-59),0)</f>
        <v>0.0205834907983132</v>
      </c>
      <c r="R48" s="32" t="n">
        <f aca="false">IFERROR(INDEX(Cohort_Survival!$AC$5:$BB$65,71+$A48-59,71-59),0)</f>
        <v>0.0132625286291416</v>
      </c>
      <c r="S48" s="32" t="n">
        <f aca="false">IFERROR(INDEX(Cohort_Survival!$AC$5:$BB$65,72+$A48-59,72-59),0)</f>
        <v>0.00823427344106086</v>
      </c>
      <c r="T48" s="32" t="n">
        <f aca="false">IFERROR(INDEX(Cohort_Survival!$AC$5:$BB$65,73+$A48-59,73-59),0)</f>
        <v>0.00491281988188667</v>
      </c>
      <c r="U48" s="32" t="n">
        <f aca="false">IFERROR(INDEX(Cohort_Survival!$AC$5:$BB$65,74+$A48-59,74-59),0)</f>
        <v>0.00280845455136708</v>
      </c>
      <c r="V48" s="32" t="n">
        <f aca="false">IFERROR(INDEX(Cohort_Survival!$AC$5:$BB$65,75+$A48-59,75-59),0)</f>
        <v>0.00153339815547012</v>
      </c>
      <c r="X48" s="39" t="n">
        <f aca="false">IF(($A48+1)=1,Assumptions!$B$16,IF(($A48+1)=2,Assumptions!$B$17,IF(($A48+1)&lt;=5,Assumptions!$B$18,Assumptions!$B$19)))*(1-Assumptions!$B$20)</f>
        <v>0.0091</v>
      </c>
      <c r="Y48" s="32" t="n">
        <f aca="false">Y47*(1-MIN(1,X47*(1+Assumptions!$B$23)))</f>
        <v>0.558531388642621</v>
      </c>
      <c r="Z48" s="32" t="n">
        <f aca="false">Z47*(1-MIN(1,X47*(1-Assumptions!$B$23)))</f>
        <v>0.824641393336083</v>
      </c>
    </row>
    <row r="49" customFormat="false" ht="15" hidden="false" customHeight="true" outlineLevel="0" collapsed="false">
      <c r="A49" s="3" t="n">
        <v>37</v>
      </c>
      <c r="B49" s="30" t="n">
        <f aca="false">INDEX(Discount!$C$4:$C$64,$A49+1)</f>
        <v>0.312229574865653</v>
      </c>
      <c r="C49" s="32" t="n">
        <f aca="false">(1+Assumptions!$B$10)^$A49</f>
        <v>2.08068509059002</v>
      </c>
      <c r="D49" s="99" t="n">
        <f aca="false">Assumptions!$B$12*(1+Assumptions!$B$11)^($A49+1)</f>
        <v>204.454593286089</v>
      </c>
      <c r="E49" s="32" t="n">
        <f aca="false">E48*(1-IF(37=1,Assumptions!$B$16,IF(37=2,Assumptions!$B$17,IF(37&lt;=5,Assumptions!$B$18,Assumptions!$B$19)))*(1-Assumptions!$B$20))</f>
        <v>0.672948239672349</v>
      </c>
      <c r="F49" s="18" t="n">
        <f aca="false">IF($A49=0,Assumptions!$B$14,Assumptions!$B$15)</f>
        <v>0.05</v>
      </c>
      <c r="G49" s="32" t="n">
        <f aca="false">IFERROR(INDEX(Cohort_Survival!$AC$5:$BB$65,60+$A49-59,60-59),0)</f>
        <v>0.201632835107859</v>
      </c>
      <c r="H49" s="32" t="n">
        <f aca="false">IFERROR(INDEX(Cohort_Survival!$AC$5:$BB$65,61+$A49-59,61-59),0)</f>
        <v>0.163991584864518</v>
      </c>
      <c r="I49" s="32" t="n">
        <f aca="false">IFERROR(INDEX(Cohort_Survival!$AC$5:$BB$65,62+$A49-59,62-59),0)</f>
        <v>0.13134601247846</v>
      </c>
      <c r="J49" s="32" t="n">
        <f aca="false">IFERROR(INDEX(Cohort_Survival!$AC$5:$BB$65,63+$A49-59,63-59),0)</f>
        <v>0.103555749144958</v>
      </c>
      <c r="K49" s="32" t="n">
        <f aca="false">IFERROR(INDEX(Cohort_Survival!$AC$5:$BB$65,64+$A49-59,64-59),0)</f>
        <v>0.0803135280085741</v>
      </c>
      <c r="L49" s="32" t="n">
        <f aca="false">IFERROR(INDEX(Cohort_Survival!$AC$5:$BB$65,65+$A49-59,65-59),0)</f>
        <v>0.0612045406608983</v>
      </c>
      <c r="M49" s="32" t="n">
        <f aca="false">IFERROR(INDEX(Cohort_Survival!$AC$5:$BB$65,66+$A49-59,66-59),0)</f>
        <v>0.0457672988272529</v>
      </c>
      <c r="N49" s="32" t="n">
        <f aca="false">IFERROR(INDEX(Cohort_Survival!$AC$5:$BB$65,67+$A49-59,67-59),0)</f>
        <v>0.0334915479686292</v>
      </c>
      <c r="O49" s="32" t="n">
        <f aca="false">IFERROR(INDEX(Cohort_Survival!$AC$5:$BB$65,68+$A49-59,68-59),0)</f>
        <v>0.0247789675866985</v>
      </c>
      <c r="P49" s="32" t="n">
        <f aca="false">IFERROR(INDEX(Cohort_Survival!$AC$5:$BB$65,69+$A49-59,69-59),0)</f>
        <v>0.0211417081035762</v>
      </c>
      <c r="Q49" s="32" t="n">
        <f aca="false">IFERROR(INDEX(Cohort_Survival!$AC$5:$BB$65,70+$A49-59,70-59),0)</f>
        <v>0.0136244503264253</v>
      </c>
      <c r="R49" s="32" t="n">
        <f aca="false">IFERROR(INDEX(Cohort_Survival!$AC$5:$BB$65,71+$A49-59,71-59),0)</f>
        <v>0.00845987793594712</v>
      </c>
      <c r="S49" s="32" t="n">
        <f aca="false">IFERROR(INDEX(Cohort_Survival!$AC$5:$BB$65,72+$A49-59,72-59),0)</f>
        <v>0.00504573208424766</v>
      </c>
      <c r="T49" s="32" t="n">
        <f aca="false">IFERROR(INDEX(Cohort_Survival!$AC$5:$BB$65,73+$A49-59,73-59),0)</f>
        <v>0.00288190352511395</v>
      </c>
      <c r="U49" s="32" t="n">
        <f aca="false">IFERROR(INDEX(Cohort_Survival!$AC$5:$BB$65,74+$A49-59,74-59),0)</f>
        <v>0.00157107502791072</v>
      </c>
      <c r="V49" s="32" t="n">
        <f aca="false">IFERROR(INDEX(Cohort_Survival!$AC$5:$BB$65,75+$A49-59,75-59),0)</f>
        <v>0.0008307366385332</v>
      </c>
      <c r="X49" s="39" t="n">
        <f aca="false">IF(($A49+1)=1,Assumptions!$B$16,IF(($A49+1)=2,Assumptions!$B$17,IF(($A49+1)&lt;=5,Assumptions!$B$18,Assumptions!$B$19)))*(1-Assumptions!$B$20)</f>
        <v>0.0091</v>
      </c>
      <c r="Y49" s="32" t="n">
        <f aca="false">Y48*(1-MIN(1,X48*(1+Assumptions!$B$23)))</f>
        <v>0.550907435187649</v>
      </c>
      <c r="Z49" s="32" t="n">
        <f aca="false">Z48*(1-MIN(1,X48*(1-Assumptions!$B$23)))</f>
        <v>0.820889274996403</v>
      </c>
    </row>
    <row r="50" customFormat="false" ht="15" hidden="false" customHeight="true" outlineLevel="0" collapsed="false">
      <c r="A50" s="3" t="n">
        <v>38</v>
      </c>
      <c r="B50" s="30" t="n">
        <f aca="false">INDEX(Discount!$C$4:$C$64,$A50+1)</f>
        <v>0.302337025004181</v>
      </c>
      <c r="C50" s="32" t="n">
        <f aca="false">(1+Assumptions!$B$10)^$A50</f>
        <v>2.12229879240182</v>
      </c>
      <c r="D50" s="99" t="n">
        <f aca="false">Assumptions!$B$12*(1+Assumptions!$B$11)^($A50+1)</f>
        <v>209.565958118241</v>
      </c>
      <c r="E50" s="32" t="n">
        <f aca="false">E49*(1-IF(38=1,Assumptions!$B$16,IF(38=2,Assumptions!$B$17,IF(38&lt;=5,Assumptions!$B$18,Assumptions!$B$19)))*(1-Assumptions!$B$20))</f>
        <v>0.666824410691331</v>
      </c>
      <c r="F50" s="18" t="n">
        <f aca="false">IF($A50=0,Assumptions!$B$14,Assumptions!$B$15)</f>
        <v>0.05</v>
      </c>
      <c r="G50" s="32" t="n">
        <f aca="false">IFERROR(INDEX(Cohort_Survival!$AC$5:$BB$65,60+$A50-59,60-59),0)</f>
        <v>0.167103029679957</v>
      </c>
      <c r="H50" s="32" t="n">
        <f aca="false">IFERROR(INDEX(Cohort_Survival!$AC$5:$BB$65,61+$A50-59,61-59),0)</f>
        <v>0.134044765760362</v>
      </c>
      <c r="I50" s="32" t="n">
        <f aca="false">IFERROR(INDEX(Cohort_Survival!$AC$5:$BB$65,62+$A50-59,62-59),0)</f>
        <v>0.105842015663775</v>
      </c>
      <c r="J50" s="32" t="n">
        <f aca="false">IFERROR(INDEX(Cohort_Survival!$AC$5:$BB$65,63+$A50-59,63-59),0)</f>
        <v>0.0822044312890725</v>
      </c>
      <c r="K50" s="32" t="n">
        <f aca="false">IFERROR(INDEX(Cohort_Survival!$AC$5:$BB$65,64+$A50-59,64-59),0)</f>
        <v>0.0627300287309179</v>
      </c>
      <c r="L50" s="32" t="n">
        <f aca="false">IFERROR(INDEX(Cohort_Survival!$AC$5:$BB$65,65+$A50-59,65-59),0)</f>
        <v>0.0469540331644932</v>
      </c>
      <c r="M50" s="32" t="n">
        <f aca="false">IFERROR(INDEX(Cohort_Survival!$AC$5:$BB$65,66+$A50-59,66-59),0)</f>
        <v>0.0343969480166824</v>
      </c>
      <c r="N50" s="32" t="n">
        <f aca="false">IFERROR(INDEX(Cohort_Survival!$AC$5:$BB$65,67+$A50-59,67-59),0)</f>
        <v>0.0254677631005093</v>
      </c>
      <c r="O50" s="32" t="n">
        <f aca="false">IFERROR(INDEX(Cohort_Survival!$AC$5:$BB$65,68+$A50-59,68-59),0)</f>
        <v>0.0217280102956925</v>
      </c>
      <c r="P50" s="32" t="n">
        <f aca="false">IFERROR(INDEX(Cohort_Survival!$AC$5:$BB$65,69+$A50-59,69-59),0)</f>
        <v>0.0140110954504471</v>
      </c>
      <c r="Q50" s="32" t="n">
        <f aca="false">IFERROR(INDEX(Cohort_Survival!$AC$5:$BB$65,70+$A50-59,70-59),0)</f>
        <v>0.00869962057679261</v>
      </c>
      <c r="R50" s="32" t="n">
        <f aca="false">IFERROR(INDEX(Cohort_Survival!$AC$5:$BB$65,71+$A50-59,71-59),0)</f>
        <v>0.00518790728056396</v>
      </c>
      <c r="S50" s="32" t="n">
        <f aca="false">IFERROR(INDEX(Cohort_Survival!$AC$5:$BB$65,72+$A50-59,72-59),0)</f>
        <v>0.0029611225133457</v>
      </c>
      <c r="T50" s="32" t="n">
        <f aca="false">IFERROR(INDEX(Cohort_Survival!$AC$5:$BB$65,73+$A50-59,73-59),0)</f>
        <v>0.00161216305207803</v>
      </c>
      <c r="U50" s="32" t="n">
        <f aca="false">IFERROR(INDEX(Cohort_Survival!$AC$5:$BB$65,74+$A50-59,74-59),0)</f>
        <v>0.000851148531067498</v>
      </c>
      <c r="V50" s="32" t="n">
        <f aca="false">IFERROR(INDEX(Cohort_Survival!$AC$5:$BB$65,75+$A50-59,75-59),0)</f>
        <v>0.00043546086709817</v>
      </c>
      <c r="X50" s="39" t="n">
        <f aca="false">IF(($A50+1)=1,Assumptions!$B$16,IF(($A50+1)=2,Assumptions!$B$17,IF(($A50+1)&lt;=5,Assumptions!$B$18,Assumptions!$B$19)))*(1-Assumptions!$B$20)</f>
        <v>0.0091</v>
      </c>
      <c r="Y50" s="32" t="n">
        <f aca="false">Y49*(1-MIN(1,X49*(1+Assumptions!$B$23)))</f>
        <v>0.543387548697338</v>
      </c>
      <c r="Z50" s="32" t="n">
        <f aca="false">Z49*(1-MIN(1,X49*(1-Assumptions!$B$23)))</f>
        <v>0.81715422879517</v>
      </c>
    </row>
    <row r="51" customFormat="false" ht="15" hidden="false" customHeight="true" outlineLevel="0" collapsed="false">
      <c r="A51" s="3" t="n">
        <v>39</v>
      </c>
      <c r="B51" s="30" t="n">
        <f aca="false">INDEX(Discount!$C$4:$C$64,$A51+1)</f>
        <v>0.292857215894912</v>
      </c>
      <c r="C51" s="32" t="n">
        <f aca="false">(1+Assumptions!$B$10)^$A51</f>
        <v>2.16474476824986</v>
      </c>
      <c r="D51" s="99" t="n">
        <f aca="false">Assumptions!$B$12*(1+Assumptions!$B$11)^($A51+1)</f>
        <v>214.805107071197</v>
      </c>
      <c r="E51" s="32" t="n">
        <f aca="false">E50*(1-IF(39=1,Assumptions!$B$16,IF(39=2,Assumptions!$B$17,IF(39&lt;=5,Assumptions!$B$18,Assumptions!$B$19)))*(1-Assumptions!$B$20))</f>
        <v>0.66075630855404</v>
      </c>
      <c r="F51" s="18" t="n">
        <f aca="false">IF($A51=0,Assumptions!$B$14,Assumptions!$B$15)</f>
        <v>0.05</v>
      </c>
      <c r="G51" s="32" t="n">
        <f aca="false">IFERROR(INDEX(Cohort_Survival!$AC$5:$BB$65,60+$A51-59,60-59),0)</f>
        <v>0.13680773168991</v>
      </c>
      <c r="H51" s="32" t="n">
        <f aca="false">IFERROR(INDEX(Cohort_Survival!$AC$5:$BB$65,61+$A51-59,61-59),0)</f>
        <v>0.108188525857433</v>
      </c>
      <c r="I51" s="32" t="n">
        <f aca="false">IFERROR(INDEX(Cohort_Survival!$AC$5:$BB$65,62+$A51-59,62-59),0)</f>
        <v>0.0841502473324313</v>
      </c>
      <c r="J51" s="32" t="n">
        <f aca="false">IFERROR(INDEX(Cohort_Survival!$AC$5:$BB$65,63+$A51-59,63-59),0)</f>
        <v>0.0643041321810089</v>
      </c>
      <c r="K51" s="32" t="n">
        <f aca="false">IFERROR(INDEX(Cohort_Survival!$AC$5:$BB$65,64+$A51-59,64-59),0)</f>
        <v>0.0481944428364948</v>
      </c>
      <c r="L51" s="32" t="n">
        <f aca="false">IFERROR(INDEX(Cohort_Survival!$AC$5:$BB$65,65+$A51-59,65-59),0)</f>
        <v>0.0353378458300364</v>
      </c>
      <c r="M51" s="32" t="n">
        <f aca="false">IFERROR(INDEX(Cohort_Survival!$AC$5:$BB$65,66+$A51-59,66-59),0)</f>
        <v>0.0261859171648469</v>
      </c>
      <c r="N51" s="32" t="n">
        <f aca="false">IFERROR(INDEX(Cohort_Survival!$AC$5:$BB$65,67+$A51-59,67-59),0)</f>
        <v>0.0223414038575945</v>
      </c>
      <c r="O51" s="32" t="n">
        <f aca="false">IFERROR(INDEX(Cohort_Survival!$AC$5:$BB$65,68+$A51-59,68-59),0)</f>
        <v>0.0144172394381903</v>
      </c>
      <c r="P51" s="32" t="n">
        <f aca="false">IFERROR(INDEX(Cohort_Survival!$AC$5:$BB$65,69+$A51-59,69-59),0)</f>
        <v>0.00895562135926459</v>
      </c>
      <c r="Q51" s="32" t="n">
        <f aca="false">IFERROR(INDEX(Cohort_Survival!$AC$5:$BB$65,70+$A51-59,70-59),0)</f>
        <v>0.00533896388982805</v>
      </c>
      <c r="R51" s="32" t="n">
        <f aca="false">IFERROR(INDEX(Cohort_Survival!$AC$5:$BB$65,71+$A51-59,71-59),0)</f>
        <v>0.00304584501232422</v>
      </c>
      <c r="S51" s="32" t="n">
        <f aca="false">IFERROR(INDEX(Cohort_Survival!$AC$5:$BB$65,72+$A51-59,72-59),0)</f>
        <v>0.00165647887484492</v>
      </c>
      <c r="T51" s="32" t="n">
        <f aca="false">IFERROR(INDEX(Cohort_Survival!$AC$5:$BB$65,73+$A51-59,73-59),0)</f>
        <v>0.000873408455509798</v>
      </c>
      <c r="U51" s="32" t="n">
        <f aca="false">IFERROR(INDEX(Cohort_Survival!$AC$5:$BB$65,74+$A51-59,74-59),0)</f>
        <v>0.000446160504034605</v>
      </c>
      <c r="V51" s="32" t="n">
        <f aca="false">IFERROR(INDEX(Cohort_Survival!$AC$5:$BB$65,75+$A51-59,75-59),0)</f>
        <v>0.000220664126795641</v>
      </c>
      <c r="X51" s="39" t="n">
        <f aca="false">IF(($A51+1)=1,Assumptions!$B$16,IF(($A51+1)=2,Assumptions!$B$17,IF(($A51+1)&lt;=5,Assumptions!$B$18,Assumptions!$B$19)))*(1-Assumptions!$B$20)</f>
        <v>0.0091</v>
      </c>
      <c r="Y51" s="32" t="n">
        <f aca="false">Y50*(1-MIN(1,X50*(1+Assumptions!$B$23)))</f>
        <v>0.535970308657619</v>
      </c>
      <c r="Z51" s="32" t="n">
        <f aca="false">Z50*(1-MIN(1,X50*(1-Assumptions!$B$23)))</f>
        <v>0.813436177054152</v>
      </c>
    </row>
    <row r="52" customFormat="false" ht="15" hidden="false" customHeight="true" outlineLevel="0" collapsed="false">
      <c r="A52" s="3" t="n">
        <v>40</v>
      </c>
      <c r="B52" s="30" t="n">
        <f aca="false">INDEX(Discount!$C$4:$C$64,$A52+1)</f>
        <v>0.283559223216554</v>
      </c>
      <c r="C52" s="32" t="n">
        <f aca="false">(1+Assumptions!$B$10)^$A52</f>
        <v>2.20803966361485</v>
      </c>
      <c r="D52" s="99" t="n">
        <f aca="false">Assumptions!$B$12*(1+Assumptions!$B$11)^($A52+1)</f>
        <v>220.175234747977</v>
      </c>
      <c r="E52" s="32" t="n">
        <f aca="false">E51*(1-IF(40=1,Assumptions!$B$16,IF(40=2,Assumptions!$B$17,IF(40&lt;=5,Assumptions!$B$18,Assumptions!$B$19)))*(1-Assumptions!$B$20))</f>
        <v>0.654743426146198</v>
      </c>
      <c r="F52" s="18" t="n">
        <f aca="false">IF($A52=0,Assumptions!$B$14,Assumptions!$B$15)</f>
        <v>0.05</v>
      </c>
      <c r="G52" s="32" t="n">
        <f aca="false">IFERROR(INDEX(Cohort_Survival!$AC$5:$BB$65,60+$A52-59,60-59),0)</f>
        <v>0.110592704867255</v>
      </c>
      <c r="H52" s="32" t="n">
        <f aca="false">IFERROR(INDEX(Cohort_Survival!$AC$5:$BB$65,61+$A52-59,61-59),0)</f>
        <v>0.0861488885570124</v>
      </c>
      <c r="I52" s="32" t="n">
        <f aca="false">IFERROR(INDEX(Cohort_Survival!$AC$5:$BB$65,62+$A52-59,62-59),0)</f>
        <v>0.0659251896932094</v>
      </c>
      <c r="J52" s="32" t="n">
        <f aca="false">IFERROR(INDEX(Cohort_Survival!$AC$5:$BB$65,63+$A52-59,63-59),0)</f>
        <v>0.0494753220566349</v>
      </c>
      <c r="K52" s="32" t="n">
        <f aca="false">IFERROR(INDEX(Cohort_Survival!$AC$5:$BB$65,64+$A52-59,64-59),0)</f>
        <v>0.036321461346826</v>
      </c>
      <c r="L52" s="32" t="n">
        <f aca="false">IFERROR(INDEX(Cohort_Survival!$AC$5:$BB$65,65+$A52-59,65-59),0)</f>
        <v>0.0269325778482619</v>
      </c>
      <c r="M52" s="32" t="n">
        <f aca="false">IFERROR(INDEX(Cohort_Survival!$AC$5:$BB$65,66+$A52-59,66-59),0)</f>
        <v>0.0229810426696699</v>
      </c>
      <c r="N52" s="32" t="n">
        <f aca="false">IFERROR(INDEX(Cohort_Survival!$AC$5:$BB$65,67+$A52-59,67-59),0)</f>
        <v>0.0148422871369106</v>
      </c>
      <c r="O52" s="32" t="n">
        <f aca="false">IFERROR(INDEX(Cohort_Survival!$AC$5:$BB$65,68+$A52-59,68-59),0)</f>
        <v>0.00922458437858742</v>
      </c>
      <c r="P52" s="32" t="n">
        <f aca="false">IFERROR(INDEX(Cohort_Survival!$AC$5:$BB$65,69+$A52-59,69-59),0)</f>
        <v>0.00550022322793026</v>
      </c>
      <c r="Q52" s="32" t="n">
        <f aca="false">IFERROR(INDEX(Cohort_Survival!$AC$5:$BB$65,70+$A52-59,70-59),0)</f>
        <v>0.00313585372499242</v>
      </c>
      <c r="R52" s="32" t="n">
        <f aca="false">IFERROR(INDEX(Cohort_Survival!$AC$5:$BB$65,71+$A52-59,71-59),0)</f>
        <v>0.00170387341159559</v>
      </c>
      <c r="S52" s="32" t="n">
        <f aca="false">IFERROR(INDEX(Cohort_Survival!$AC$5:$BB$65,72+$A52-59,72-59),0)</f>
        <v>0.000897417078128697</v>
      </c>
      <c r="T52" s="32" t="n">
        <f aca="false">IFERROR(INDEX(Cohort_Survival!$AC$5:$BB$65,73+$A52-59,73-59),0)</f>
        <v>0.000457828854206687</v>
      </c>
      <c r="U52" s="32" t="n">
        <f aca="false">IFERROR(INDEX(Cohort_Survival!$AC$5:$BB$65,74+$A52-59,74-59),0)</f>
        <v>0.000226086028555361</v>
      </c>
      <c r="V52" s="32" t="n">
        <f aca="false">IFERROR(INDEX(Cohort_Survival!$AC$5:$BB$65,75+$A52-59,75-59),0)</f>
        <v>0.000108007447318973</v>
      </c>
      <c r="X52" s="39" t="n">
        <f aca="false">IF(($A52+1)=1,Assumptions!$B$16,IF(($A52+1)=2,Assumptions!$B$17,IF(($A52+1)&lt;=5,Assumptions!$B$18,Assumptions!$B$19)))*(1-Assumptions!$B$20)</f>
        <v>0.0091</v>
      </c>
      <c r="Y52" s="32" t="n">
        <f aca="false">Y51*(1-MIN(1,X51*(1+Assumptions!$B$23)))</f>
        <v>0.528654313944443</v>
      </c>
      <c r="Z52" s="32" t="n">
        <f aca="false">Z51*(1-MIN(1,X51*(1-Assumptions!$B$23)))</f>
        <v>0.809735042448555</v>
      </c>
    </row>
    <row r="53" customFormat="false" ht="15" hidden="false" customHeight="true" outlineLevel="0" collapsed="false">
      <c r="A53" s="3" t="n">
        <v>41</v>
      </c>
      <c r="B53" s="30" t="n">
        <f aca="false">INDEX(Discount!$C$4:$C$64,$A53+1)</f>
        <v>0.274545797407774</v>
      </c>
      <c r="C53" s="32" t="n">
        <f aca="false">(1+Assumptions!$B$10)^$A53</f>
        <v>2.25220045688715</v>
      </c>
      <c r="D53" s="99" t="n">
        <f aca="false">Assumptions!$B$12*(1+Assumptions!$B$11)^($A53+1)</f>
        <v>225.679615616676</v>
      </c>
      <c r="E53" s="32" t="n">
        <f aca="false">E52*(1-IF(41=1,Assumptions!$B$16,IF(41=2,Assumptions!$B$17,IF(41&lt;=5,Assumptions!$B$18,Assumptions!$B$19)))*(1-Assumptions!$B$20))</f>
        <v>0.648785260968268</v>
      </c>
      <c r="F53" s="18" t="n">
        <f aca="false">IF($A53=0,Assumptions!$B$14,Assumptions!$B$15)</f>
        <v>0.05</v>
      </c>
      <c r="G53" s="32" t="n">
        <f aca="false">IFERROR(INDEX(Cohort_Survival!$AC$5:$BB$65,60+$A53-59,60-59),0)</f>
        <v>0.0881984764079516</v>
      </c>
      <c r="H53" s="32" t="n">
        <f aca="false">IFERROR(INDEX(Cohort_Survival!$AC$5:$BB$65,61+$A53-59,61-59),0)</f>
        <v>0.0675917227811812</v>
      </c>
      <c r="I53" s="32" t="n">
        <f aca="false">IFERROR(INDEX(Cohort_Survival!$AC$5:$BB$65,62+$A53-59,62-59),0)</f>
        <v>0.0507955293557128</v>
      </c>
      <c r="J53" s="32" t="n">
        <f aca="false">IFERROR(INDEX(Cohort_Survival!$AC$5:$BB$65,63+$A53-59,63-59),0)</f>
        <v>0.0373379803570979</v>
      </c>
      <c r="K53" s="32" t="n">
        <f aca="false">IFERROR(INDEX(Cohort_Survival!$AC$5:$BB$65,64+$A53-59,64-59),0)</f>
        <v>0.0277133371347615</v>
      </c>
      <c r="L53" s="32" t="n">
        <f aca="false">IFERROR(INDEX(Cohort_Survival!$AC$5:$BB$65,65+$A53-59,65-59),0)</f>
        <v>0.0236462088928417</v>
      </c>
      <c r="M53" s="32" t="n">
        <f aca="false">IFERROR(INDEX(Cohort_Survival!$AC$5:$BB$65,66+$A53-59,66-59),0)</f>
        <v>0.0152857379167769</v>
      </c>
      <c r="N53" s="32" t="n">
        <f aca="false">IFERROR(INDEX(Cohort_Survival!$AC$5:$BB$65,67+$A53-59,67-59),0)</f>
        <v>0.00950616504862417</v>
      </c>
      <c r="O53" s="32" t="n">
        <f aca="false">IFERROR(INDEX(Cohort_Survival!$AC$5:$BB$65,68+$A53-59,68-59),0)</f>
        <v>0.00566968172995956</v>
      </c>
      <c r="P53" s="32" t="n">
        <f aca="false">IFERROR(INDEX(Cohort_Survival!$AC$5:$BB$65,69+$A53-59,69-59),0)</f>
        <v>0.00323193159052665</v>
      </c>
      <c r="Q53" s="32" t="n">
        <f aca="false">IFERROR(INDEX(Cohort_Survival!$AC$5:$BB$65,70+$A53-59,70-59),0)</f>
        <v>0.00175422510437928</v>
      </c>
      <c r="R53" s="32" t="n">
        <f aca="false">IFERROR(INDEX(Cohort_Survival!$AC$5:$BB$65,71+$A53-59,71-59),0)</f>
        <v>0.00092309363056528</v>
      </c>
      <c r="S53" s="32" t="n">
        <f aca="false">IFERROR(INDEX(Cohort_Survival!$AC$5:$BB$65,72+$A53-59,72-59),0)</f>
        <v>0.000470413848221058</v>
      </c>
      <c r="T53" s="32" t="n">
        <f aca="false">IFERROR(INDEX(Cohort_Survival!$AC$5:$BB$65,73+$A53-59,73-59),0)</f>
        <v>0.000231998813139257</v>
      </c>
      <c r="U53" s="32" t="n">
        <f aca="false">IFERROR(INDEX(Cohort_Survival!$AC$5:$BB$65,74+$A53-59,74-59),0)</f>
        <v>0.000110661280441671</v>
      </c>
      <c r="V53" s="32" t="n">
        <f aca="false">IFERROR(INDEX(Cohort_Survival!$AC$5:$BB$65,75+$A53-59,75-59),0)</f>
        <v>5.10249266587379E-005</v>
      </c>
      <c r="X53" s="39" t="n">
        <f aca="false">IF(($A53+1)=1,Assumptions!$B$16,IF(($A53+1)=2,Assumptions!$B$17,IF(($A53+1)&lt;=5,Assumptions!$B$18,Assumptions!$B$19)))*(1-Assumptions!$B$20)</f>
        <v>0.0091</v>
      </c>
      <c r="Y53" s="32" t="n">
        <f aca="false">Y52*(1-MIN(1,X52*(1+Assumptions!$B$23)))</f>
        <v>0.521438182559101</v>
      </c>
      <c r="Z53" s="32" t="n">
        <f aca="false">Z52*(1-MIN(1,X52*(1-Assumptions!$B$23)))</f>
        <v>0.806050748005414</v>
      </c>
    </row>
    <row r="54" customFormat="false" ht="15" hidden="false" customHeight="true" outlineLevel="0" collapsed="false">
      <c r="A54" s="3" t="n">
        <v>42</v>
      </c>
      <c r="B54" s="30" t="n">
        <f aca="false">INDEX(Discount!$C$4:$C$64,$A54+1)</f>
        <v>0.265916775843918</v>
      </c>
      <c r="C54" s="32" t="n">
        <f aca="false">(1+Assumptions!$B$10)^$A54</f>
        <v>2.29724446602489</v>
      </c>
      <c r="D54" s="99" t="n">
        <f aca="false">Assumptions!$B$12*(1+Assumptions!$B$11)^($A54+1)</f>
        <v>231.321606007093</v>
      </c>
      <c r="E54" s="32" t="n">
        <f aca="false">E53*(1-IF(42=1,Assumptions!$B$16,IF(42=2,Assumptions!$B$17,IF(42&lt;=5,Assumptions!$B$18,Assumptions!$B$19)))*(1-Assumptions!$B$20))</f>
        <v>0.642881315093456</v>
      </c>
      <c r="F54" s="18" t="n">
        <f aca="false">IF($A54=0,Assumptions!$B$14,Assumptions!$B$15)</f>
        <v>0.05</v>
      </c>
      <c r="G54" s="32" t="n">
        <f aca="false">IFERROR(INDEX(Cohort_Survival!$AC$5:$BB$65,60+$A54-59,60-59),0)</f>
        <v>0.0693024056529327</v>
      </c>
      <c r="H54" s="32" t="n">
        <f aca="false">IFERROR(INDEX(Cohort_Survival!$AC$5:$BB$65,61+$A54-59,61-59),0)</f>
        <v>0.0521540556168308</v>
      </c>
      <c r="I54" s="32" t="n">
        <f aca="false">IFERROR(INDEX(Cohort_Survival!$AC$5:$BB$65,62+$A54-59,62-59),0)</f>
        <v>0.0383866500245049</v>
      </c>
      <c r="J54" s="32" t="n">
        <f aca="false">IFERROR(INDEX(Cohort_Survival!$AC$5:$BB$65,63+$A54-59,63-59),0)</f>
        <v>0.0285207994132579</v>
      </c>
      <c r="K54" s="32" t="n">
        <f aca="false">IFERROR(INDEX(Cohort_Survival!$AC$5:$BB$65,64+$A54-59,64-59),0)</f>
        <v>0.0243418432298732</v>
      </c>
      <c r="L54" s="32" t="n">
        <f aca="false">IFERROR(INDEX(Cohort_Survival!$AC$5:$BB$65,65+$A54-59,65-59),0)</f>
        <v>0.0157471735527381</v>
      </c>
      <c r="M54" s="32" t="n">
        <f aca="false">IFERROR(INDEX(Cohort_Survival!$AC$5:$BB$65,66+$A54-59,66-59),0)</f>
        <v>0.00980007771038787</v>
      </c>
      <c r="N54" s="32" t="n">
        <f aca="false">IFERROR(INDEX(Cohort_Survival!$AC$5:$BB$65,67+$A54-59,67-59),0)</f>
        <v>0.0058471450066562</v>
      </c>
      <c r="O54" s="32" t="n">
        <f aca="false">IFERROR(INDEX(Cohort_Survival!$AC$5:$BB$65,68+$A54-59,68-59),0)</f>
        <v>0.0033329083251007</v>
      </c>
      <c r="P54" s="32" t="n">
        <f aca="false">IFERROR(INDEX(Cohort_Survival!$AC$5:$BB$65,69+$A54-59,69-59),0)</f>
        <v>0.00180797193649459</v>
      </c>
      <c r="Q54" s="32" t="n">
        <f aca="false">IFERROR(INDEX(Cohort_Survival!$AC$5:$BB$65,70+$A54-59,70-59),0)</f>
        <v>0.000950372257357913</v>
      </c>
      <c r="R54" s="32" t="n">
        <f aca="false">IFERROR(INDEX(Cohort_Survival!$AC$5:$BB$65,71+$A54-59,71-59),0)</f>
        <v>0.000483873148400556</v>
      </c>
      <c r="S54" s="32" t="n">
        <f aca="false">IFERROR(INDEX(Cohort_Survival!$AC$5:$BB$65,72+$A54-59,72-59),0)</f>
        <v>0.000238376095059939</v>
      </c>
      <c r="T54" s="32" t="n">
        <f aca="false">IFERROR(INDEX(Cohort_Survival!$AC$5:$BB$65,73+$A54-59,73-59),0)</f>
        <v>0.000113555383704976</v>
      </c>
      <c r="U54" s="32" t="n">
        <f aca="false">IFERROR(INDEX(Cohort_Survival!$AC$5:$BB$65,74+$A54-59,74-59),0)</f>
        <v>5.22786516917009E-005</v>
      </c>
      <c r="V54" s="32" t="n">
        <f aca="false">IFERROR(INDEX(Cohort_Survival!$AC$5:$BB$65,75+$A54-59,75-59),0)</f>
        <v>2.32493922681406E-005</v>
      </c>
      <c r="X54" s="39" t="n">
        <f aca="false">IF(($A54+1)=1,Assumptions!$B$16,IF(($A54+1)=2,Assumptions!$B$17,IF(($A54+1)&lt;=5,Assumptions!$B$18,Assumptions!$B$19)))*(1-Assumptions!$B$20)</f>
        <v>0.0091</v>
      </c>
      <c r="Y54" s="32" t="n">
        <f aca="false">Y53*(1-MIN(1,X53*(1+Assumptions!$B$23)))</f>
        <v>0.514320551367169</v>
      </c>
      <c r="Z54" s="32" t="n">
        <f aca="false">Z53*(1-MIN(1,X53*(1-Assumptions!$B$23)))</f>
        <v>0.80238321710199</v>
      </c>
    </row>
    <row r="55" customFormat="false" ht="15" hidden="false" customHeight="true" outlineLevel="0" collapsed="false">
      <c r="A55" s="3" t="n">
        <v>43</v>
      </c>
      <c r="B55" s="30" t="n">
        <f aca="false">INDEX(Discount!$C$4:$C$64,$A55+1)</f>
        <v>0.257446689628427</v>
      </c>
      <c r="C55" s="32" t="n">
        <f aca="false">(1+Assumptions!$B$10)^$A55</f>
        <v>2.34318935534539</v>
      </c>
      <c r="D55" s="99" t="n">
        <f aca="false">Assumptions!$B$12*(1+Assumptions!$B$11)^($A55+1)</f>
        <v>237.104646157271</v>
      </c>
      <c r="E55" s="32" t="n">
        <f aca="false">E54*(1-IF(43=1,Assumptions!$B$16,IF(43=2,Assumptions!$B$17,IF(43&lt;=5,Assumptions!$B$18,Assumptions!$B$19)))*(1-Assumptions!$B$20))</f>
        <v>0.637031095126106</v>
      </c>
      <c r="F55" s="18" t="n">
        <f aca="false">IF($A55=0,Assumptions!$B$14,Assumptions!$B$15)</f>
        <v>0.05</v>
      </c>
      <c r="G55" s="32" t="n">
        <f aca="false">IFERROR(INDEX(Cohort_Survival!$AC$5:$BB$65,60+$A55-59,60-59),0)</f>
        <v>0.0535500018898368</v>
      </c>
      <c r="H55" s="32" t="n">
        <f aca="false">IFERROR(INDEX(Cohort_Survival!$AC$5:$BB$65,61+$A55-59,61-59),0)</f>
        <v>0.0394668120198273</v>
      </c>
      <c r="I55" s="32" t="n">
        <f aca="false">IFERROR(INDEX(Cohort_Survival!$AC$5:$BB$65,62+$A55-59,62-59),0)</f>
        <v>0.0293544642306348</v>
      </c>
      <c r="J55" s="32" t="n">
        <f aca="false">IFERROR(INDEX(Cohort_Survival!$AC$5:$BB$65,63+$A55-59,63-59),0)</f>
        <v>0.0250614820523063</v>
      </c>
      <c r="K55" s="32" t="n">
        <f aca="false">IFERROR(INDEX(Cohort_Survival!$AC$5:$BB$65,64+$A55-59,64-59),0)</f>
        <v>0.0162299460630383</v>
      </c>
      <c r="L55" s="32" t="n">
        <f aca="false">IFERROR(INDEX(Cohort_Survival!$AC$5:$BB$65,65+$A55-59,65-59),0)</f>
        <v>0.0101060881676002</v>
      </c>
      <c r="M55" s="32" t="n">
        <f aca="false">IFERROR(INDEX(Cohort_Survival!$AC$5:$BB$65,66+$A55-59,66-59),0)</f>
        <v>0.0060324542623361</v>
      </c>
      <c r="N55" s="32" t="n">
        <f aca="false">IFERROR(INDEX(Cohort_Survival!$AC$5:$BB$65,67+$A55-59,67-59),0)</f>
        <v>0.0034386756208028</v>
      </c>
      <c r="O55" s="32" t="n">
        <f aca="false">IFERROR(INDEX(Cohort_Survival!$AC$5:$BB$65,68+$A55-59,68-59),0)</f>
        <v>0.00186445924052165</v>
      </c>
      <c r="P55" s="32" t="n">
        <f aca="false">IFERROR(INDEX(Cohort_Survival!$AC$5:$BB$65,69+$A55-59,69-59),0)</f>
        <v>0.000979490241153577</v>
      </c>
      <c r="Q55" s="32" t="n">
        <f aca="false">IFERROR(INDEX(Cohort_Survival!$AC$5:$BB$65,70+$A55-59,70-59),0)</f>
        <v>0.000498172234206308</v>
      </c>
      <c r="R55" s="32" t="n">
        <f aca="false">IFERROR(INDEX(Cohort_Survival!$AC$5:$BB$65,71+$A55-59,71-59),0)</f>
        <v>0.000245196420250537</v>
      </c>
      <c r="S55" s="32" t="n">
        <f aca="false">IFERROR(INDEX(Cohort_Survival!$AC$5:$BB$65,72+$A55-59,72-59),0)</f>
        <v>0.000116676842326677</v>
      </c>
      <c r="T55" s="32" t="n">
        <f aca="false">IFERROR(INDEX(Cohort_Survival!$AC$5:$BB$65,73+$A55-59,73-59),0)</f>
        <v>5.36458852521501E-005</v>
      </c>
      <c r="U55" s="32" t="n">
        <f aca="false">IFERROR(INDEX(Cohort_Survival!$AC$5:$BB$65,74+$A55-59,74-59),0)</f>
        <v>2.38206492399084E-005</v>
      </c>
      <c r="V55" s="32" t="n">
        <f aca="false">IFERROR(INDEX(Cohort_Survival!$AC$5:$BB$65,75+$A55-59,75-59),0)</f>
        <v>1.02108771732317E-005</v>
      </c>
      <c r="X55" s="39" t="n">
        <f aca="false">IF(($A55+1)=1,Assumptions!$B$16,IF(($A55+1)=2,Assumptions!$B$17,IF(($A55+1)&lt;=5,Assumptions!$B$18,Assumptions!$B$19)))*(1-Assumptions!$B$20)</f>
        <v>0.0091</v>
      </c>
      <c r="Y55" s="32" t="n">
        <f aca="false">Y54*(1-MIN(1,X54*(1+Assumptions!$B$23)))</f>
        <v>0.507300075841007</v>
      </c>
      <c r="Z55" s="32" t="n">
        <f aca="false">Z54*(1-MIN(1,X54*(1-Assumptions!$B$23)))</f>
        <v>0.798732373464176</v>
      </c>
    </row>
    <row r="56" customFormat="false" ht="15" hidden="false" customHeight="true" outlineLevel="0" collapsed="false">
      <c r="A56" s="3" t="n">
        <v>44</v>
      </c>
      <c r="B56" s="30" t="n">
        <f aca="false">INDEX(Discount!$C$4:$C$64,$A56+1)</f>
        <v>0.249343018663642</v>
      </c>
      <c r="C56" s="32" t="n">
        <f aca="false">(1+Assumptions!$B$10)^$A56</f>
        <v>2.3900531424523</v>
      </c>
      <c r="D56" s="99" t="n">
        <f aca="false">Assumptions!$B$12*(1+Assumptions!$B$11)^($A56+1)</f>
        <v>243.032262311202</v>
      </c>
      <c r="E56" s="32" t="n">
        <f aca="false">E55*(1-IF(44=1,Assumptions!$B$16,IF(44=2,Assumptions!$B$17,IF(44&lt;=5,Assumptions!$B$18,Assumptions!$B$19)))*(1-Assumptions!$B$20))</f>
        <v>0.631234112160458</v>
      </c>
      <c r="F56" s="18" t="n">
        <f aca="false">IF($A56=0,Assumptions!$B$14,Assumptions!$B$15)</f>
        <v>0.05</v>
      </c>
      <c r="G56" s="32" t="n">
        <f aca="false">IFERROR(INDEX(Cohort_Survival!$AC$5:$BB$65,60+$A56-59,60-59),0)</f>
        <v>0.0405778864419267</v>
      </c>
      <c r="H56" s="32" t="n">
        <f aca="false">IFERROR(INDEX(Cohort_Survival!$AC$5:$BB$65,61+$A56-59,61-59),0)</f>
        <v>0.0302139003710064</v>
      </c>
      <c r="I56" s="32" t="n">
        <f aca="false">IFERROR(INDEX(Cohort_Survival!$AC$5:$BB$65,62+$A56-59,62-59),0)</f>
        <v>0.0258047120990657</v>
      </c>
      <c r="J56" s="32" t="n">
        <f aca="false">IFERROR(INDEX(Cohort_Survival!$AC$5:$BB$65,63+$A56-59,63-59),0)</f>
        <v>0.0167298100197102</v>
      </c>
      <c r="K56" s="32" t="n">
        <f aca="false">IFERROR(INDEX(Cohort_Survival!$AC$5:$BB$65,64+$A56-59,64-59),0)</f>
        <v>0.0104263830864225</v>
      </c>
      <c r="L56" s="32" t="n">
        <f aca="false">IFERROR(INDEX(Cohort_Survival!$AC$5:$BB$65,65+$A56-59,65-59),0)</f>
        <v>0.0062254818346198</v>
      </c>
      <c r="M56" s="32" t="n">
        <f aca="false">IFERROR(INDEX(Cohort_Survival!$AC$5:$BB$65,66+$A56-59,66-59),0)</f>
        <v>0.00354914591150496</v>
      </c>
      <c r="N56" s="32" t="n">
        <f aca="false">IFERROR(INDEX(Cohort_Survival!$AC$5:$BB$65,67+$A56-59,67-59),0)</f>
        <v>0.00192362642802922</v>
      </c>
      <c r="O56" s="32" t="n">
        <f aca="false">IFERROR(INDEX(Cohort_Survival!$AC$5:$BB$65,68+$A56-59,68-59),0)</f>
        <v>0.00101009290811248</v>
      </c>
      <c r="P56" s="32" t="n">
        <f aca="false">IFERROR(INDEX(Cohort_Survival!$AC$5:$BB$65,69+$A56-59,69-59),0)</f>
        <v>0.000513435485980298</v>
      </c>
      <c r="Q56" s="32" t="n">
        <f aca="false">IFERROR(INDEX(Cohort_Survival!$AC$5:$BB$65,70+$A56-59,70-59),0)</f>
        <v>0.000252442295877269</v>
      </c>
      <c r="R56" s="32" t="n">
        <f aca="false">IFERROR(INDEX(Cohort_Survival!$AC$5:$BB$65,71+$A56-59,71-59),0)</f>
        <v>0.000120015155284106</v>
      </c>
      <c r="S56" s="32" t="n">
        <f aca="false">IFERROR(INDEX(Cohort_Survival!$AC$5:$BB$65,72+$A56-59,72-59),0)</f>
        <v>5.51205261328866E-005</v>
      </c>
      <c r="T56" s="32" t="n">
        <f aca="false">IFERROR(INDEX(Cohort_Survival!$AC$5:$BB$65,73+$A56-59,73-59),0)</f>
        <v>2.44436261151453E-005</v>
      </c>
      <c r="U56" s="32" t="n">
        <f aca="false">IFERROR(INDEX(Cohort_Survival!$AC$5:$BB$65,74+$A56-59,74-59),0)</f>
        <v>1.04617669472869E-005</v>
      </c>
      <c r="V56" s="32" t="n">
        <f aca="false">IFERROR(INDEX(Cohort_Survival!$AC$5:$BB$65,75+$A56-59,75-59),0)</f>
        <v>4.32003837496181E-006</v>
      </c>
      <c r="X56" s="39" t="n">
        <f aca="false">IF(($A56+1)=1,Assumptions!$B$16,IF(($A56+1)=2,Assumptions!$B$17,IF(($A56+1)&lt;=5,Assumptions!$B$18,Assumptions!$B$19)))*(1-Assumptions!$B$20)</f>
        <v>0.0091</v>
      </c>
      <c r="Y56" s="32" t="n">
        <f aca="false">Y55*(1-MIN(1,X55*(1+Assumptions!$B$23)))</f>
        <v>0.500375429805777</v>
      </c>
      <c r="Z56" s="32" t="n">
        <f aca="false">Z55*(1-MIN(1,X55*(1-Assumptions!$B$23)))</f>
        <v>0.795098141164913</v>
      </c>
    </row>
    <row r="57" customFormat="false" ht="15" hidden="false" customHeight="true" outlineLevel="0" collapsed="false">
      <c r="A57" s="3" t="n">
        <v>45</v>
      </c>
      <c r="B57" s="30" t="n">
        <f aca="false">INDEX(Discount!$C$4:$C$64,$A57+1)</f>
        <v>0.241384479723436</v>
      </c>
      <c r="C57" s="32" t="n">
        <f aca="false">(1+Assumptions!$B$10)^$A57</f>
        <v>2.43785420530135</v>
      </c>
      <c r="D57" s="99" t="n">
        <f aca="false">Assumptions!$B$12*(1+Assumptions!$B$11)^($A57+1)</f>
        <v>249.108068868982</v>
      </c>
      <c r="E57" s="32" t="n">
        <f aca="false">E56*(1-IF(45=1,Assumptions!$B$16,IF(45=2,Assumptions!$B$17,IF(45&lt;=5,Assumptions!$B$18,Assumptions!$B$19)))*(1-Assumptions!$B$20))</f>
        <v>0.625489881739798</v>
      </c>
      <c r="F57" s="18" t="n">
        <f aca="false">IF($A57=0,Assumptions!$B$14,Assumptions!$B$15)</f>
        <v>0.05</v>
      </c>
      <c r="G57" s="32" t="n">
        <f aca="false">IFERROR(INDEX(Cohort_Survival!$AC$5:$BB$65,60+$A57-59,60-59),0)</f>
        <v>0.0310987339580176</v>
      </c>
      <c r="H57" s="32" t="n">
        <f aca="false">IFERROR(INDEX(Cohort_Survival!$AC$5:$BB$65,61+$A57-59,61-59),0)</f>
        <v>0.0265711801076379</v>
      </c>
      <c r="I57" s="32" t="n">
        <f aca="false">IFERROR(INDEX(Cohort_Survival!$AC$5:$BB$65,62+$A57-59,62-59),0)</f>
        <v>0.0172465427816295</v>
      </c>
      <c r="J57" s="32" t="n">
        <f aca="false">IFERROR(INDEX(Cohort_Survival!$AC$5:$BB$65,63+$A57-59,63-59),0)</f>
        <v>0.0107582720275995</v>
      </c>
      <c r="K57" s="32" t="n">
        <f aca="false">IFERROR(INDEX(Cohort_Survival!$AC$5:$BB$65,64+$A57-59,64-59),0)</f>
        <v>0.00642759198751554</v>
      </c>
      <c r="L57" s="32" t="n">
        <f aca="false">IFERROR(INDEX(Cohort_Survival!$AC$5:$BB$65,65+$A57-59,65-59),0)</f>
        <v>0.00366424979184939</v>
      </c>
      <c r="M57" s="32" t="n">
        <f aca="false">IFERROR(INDEX(Cohort_Survival!$AC$5:$BB$65,66+$A57-59,66-59),0)</f>
        <v>0.0019854245137286</v>
      </c>
      <c r="N57" s="32" t="n">
        <f aca="false">IFERROR(INDEX(Cohort_Survival!$AC$5:$BB$65,67+$A57-59,67-59),0)</f>
        <v>0.00104214743373334</v>
      </c>
      <c r="O57" s="32" t="n">
        <f aca="false">IFERROR(INDEX(Cohort_Survival!$AC$5:$BB$65,68+$A57-59,68-59),0)</f>
        <v>0.000529476988511073</v>
      </c>
      <c r="P57" s="32" t="n">
        <f aca="false">IFERROR(INDEX(Cohort_Survival!$AC$5:$BB$65,69+$A57-59,69-59),0)</f>
        <v>0.000260176750059601</v>
      </c>
      <c r="Q57" s="32" t="n">
        <f aca="false">IFERROR(INDEX(Cohort_Survival!$AC$5:$BB$65,70+$A57-59,70-59),0)</f>
        <v>0.000123561760440996</v>
      </c>
      <c r="R57" s="32" t="n">
        <f aca="false">IFERROR(INDEX(Cohort_Survival!$AC$5:$BB$65,71+$A57-59,71-59),0)</f>
        <v>5.66976134360771E-005</v>
      </c>
      <c r="S57" s="32" t="n">
        <f aca="false">IFERROR(INDEX(Cohort_Survival!$AC$5:$BB$65,72+$A57-59,72-59),0)</f>
        <v>2.51155428926094E-005</v>
      </c>
      <c r="T57" s="32" t="n">
        <f aca="false">IFERROR(INDEX(Cohort_Survival!$AC$5:$BB$65,73+$A57-59,73-59),0)</f>
        <v>1.07353715336538E-005</v>
      </c>
      <c r="U57" s="32" t="n">
        <f aca="false">IFERROR(INDEX(Cohort_Survival!$AC$5:$BB$65,74+$A57-59,74-59),0)</f>
        <v>4.42618532330089E-006</v>
      </c>
      <c r="V57" s="32" t="n">
        <f aca="false">IFERROR(INDEX(Cohort_Survival!$AC$5:$BB$65,75+$A57-59,75-59),0)</f>
        <v>1.75981259921426E-006</v>
      </c>
      <c r="X57" s="39" t="n">
        <f aca="false">IF(($A57+1)=1,Assumptions!$B$16,IF(($A57+1)=2,Assumptions!$B$17,IF(($A57+1)&lt;=5,Assumptions!$B$18,Assumptions!$B$19)))*(1-Assumptions!$B$20)</f>
        <v>0.0091</v>
      </c>
      <c r="Y57" s="32" t="n">
        <f aca="false">Y56*(1-MIN(1,X56*(1+Assumptions!$B$23)))</f>
        <v>0.493545305188929</v>
      </c>
      <c r="Z57" s="32" t="n">
        <f aca="false">Z56*(1-MIN(1,X56*(1-Assumptions!$B$23)))</f>
        <v>0.791480444622613</v>
      </c>
    </row>
    <row r="58" customFormat="false" ht="15" hidden="false" customHeight="true" outlineLevel="0" collapsed="false">
      <c r="A58" s="3" t="n">
        <v>46</v>
      </c>
      <c r="B58" s="30" t="n">
        <f aca="false">INDEX(Discount!$C$4:$C$64,$A58+1)</f>
        <v>0.23377507750393</v>
      </c>
      <c r="C58" s="32" t="n">
        <f aca="false">(1+Assumptions!$B$10)^$A58</f>
        <v>2.48661128940737</v>
      </c>
      <c r="D58" s="99" t="n">
        <f aca="false">Assumptions!$B$12*(1+Assumptions!$B$11)^($A58+1)</f>
        <v>255.335770590707</v>
      </c>
      <c r="E58" s="32" t="n">
        <f aca="false">E57*(1-IF(46=1,Assumptions!$B$16,IF(46=2,Assumptions!$B$17,IF(46&lt;=5,Assumptions!$B$18,Assumptions!$B$19)))*(1-Assumptions!$B$20))</f>
        <v>0.619797923815966</v>
      </c>
      <c r="F58" s="18" t="n">
        <f aca="false">IF($A58=0,Assumptions!$B$14,Assumptions!$B$15)</f>
        <v>0.05</v>
      </c>
      <c r="G58" s="32" t="n">
        <f aca="false">IFERROR(INDEX(Cohort_Survival!$AC$5:$BB$65,60+$A58-59,60-59),0)</f>
        <v>0.0273605824780022</v>
      </c>
      <c r="H58" s="32" t="n">
        <f aca="false">IFERROR(INDEX(Cohort_Survival!$AC$5:$BB$65,61+$A58-59,61-59),0)</f>
        <v>0.0177799602763772</v>
      </c>
      <c r="I58" s="32" t="n">
        <f aca="false">IFERROR(INDEX(Cohort_Survival!$AC$5:$BB$65,62+$A58-59,62-59),0)</f>
        <v>0.01110164297475</v>
      </c>
      <c r="J58" s="32" t="n">
        <f aca="false">IFERROR(INDEX(Cohort_Survival!$AC$5:$BB$65,63+$A58-59,63-59),0)</f>
        <v>0.00663714411885896</v>
      </c>
      <c r="K58" s="32" t="n">
        <f aca="false">IFERROR(INDEX(Cohort_Survival!$AC$5:$BB$65,64+$A58-59,64-59),0)</f>
        <v>0.00378479622316966</v>
      </c>
      <c r="L58" s="32" t="n">
        <f aca="false">IFERROR(INDEX(Cohort_Survival!$AC$5:$BB$65,65+$A58-59,65-59),0)</f>
        <v>0.00204981467163119</v>
      </c>
      <c r="M58" s="32" t="n">
        <f aca="false">IFERROR(INDEX(Cohort_Survival!$AC$5:$BB$65,66+$A58-59,66-59),0)</f>
        <v>0.001075627279655</v>
      </c>
      <c r="N58" s="32" t="n">
        <f aca="false">IFERROR(INDEX(Cohort_Survival!$AC$5:$BB$65,67+$A58-59,67-59),0)</f>
        <v>0.000546279535640723</v>
      </c>
      <c r="O58" s="32" t="n">
        <f aca="false">IFERROR(INDEX(Cohort_Survival!$AC$5:$BB$65,68+$A58-59,68-59),0)</f>
        <v>0.000268305572683852</v>
      </c>
      <c r="P58" s="32" t="n">
        <f aca="false">IFERROR(INDEX(Cohort_Survival!$AC$5:$BB$65,69+$A58-59,69-59),0)</f>
        <v>0.000127347507878834</v>
      </c>
      <c r="Q58" s="32" t="n">
        <f aca="false">IFERROR(INDEX(Cohort_Survival!$AC$5:$BB$65,70+$A58-59,70-59),0)</f>
        <v>5.83731022334688E-005</v>
      </c>
      <c r="R58" s="32" t="n">
        <f aca="false">IFERROR(INDEX(Cohort_Survival!$AC$5:$BB$65,71+$A58-59,71-59),0)</f>
        <v>2.58341391504386E-005</v>
      </c>
      <c r="S58" s="32" t="n">
        <f aca="false">IFERROR(INDEX(Cohort_Survival!$AC$5:$BB$65,72+$A58-59,72-59),0)</f>
        <v>1.10304699863871E-005</v>
      </c>
      <c r="T58" s="32" t="n">
        <f aca="false">IFERROR(INDEX(Cohort_Survival!$AC$5:$BB$65,73+$A58-59,73-59),0)</f>
        <v>4.54194249994869E-006</v>
      </c>
      <c r="U58" s="32" t="n">
        <f aca="false">IFERROR(INDEX(Cohort_Survival!$AC$5:$BB$65,74+$A58-59,74-59),0)</f>
        <v>1.80305266350117E-006</v>
      </c>
      <c r="V58" s="32" t="n">
        <f aca="false">IFERROR(INDEX(Cohort_Survival!$AC$5:$BB$65,75+$A58-59,75-59),0)</f>
        <v>0</v>
      </c>
      <c r="X58" s="39" t="n">
        <f aca="false">IF(($A58+1)=1,Assumptions!$B$16,IF(($A58+1)=2,Assumptions!$B$17,IF(($A58+1)&lt;=5,Assumptions!$B$18,Assumptions!$B$19)))*(1-Assumptions!$B$20)</f>
        <v>0.0091</v>
      </c>
      <c r="Y58" s="32" t="n">
        <f aca="false">Y57*(1-MIN(1,X57*(1+Assumptions!$B$23)))</f>
        <v>0.4868084117731</v>
      </c>
      <c r="Z58" s="32" t="n">
        <f aca="false">Z57*(1-MIN(1,X57*(1-Assumptions!$B$23)))</f>
        <v>0.78787920859958</v>
      </c>
    </row>
    <row r="59" customFormat="false" ht="15" hidden="false" customHeight="true" outlineLevel="0" collapsed="false">
      <c r="A59" s="3" t="n">
        <v>47</v>
      </c>
      <c r="B59" s="30" t="n">
        <f aca="false">INDEX(Discount!$C$4:$C$64,$A59+1)</f>
        <v>0.22640116775395</v>
      </c>
      <c r="C59" s="32" t="n">
        <f aca="false">(1+Assumptions!$B$10)^$A59</f>
        <v>2.53634351519552</v>
      </c>
      <c r="D59" s="99" t="n">
        <f aca="false">Assumptions!$B$12*(1+Assumptions!$B$11)^($A59+1)</f>
        <v>261.719164855475</v>
      </c>
      <c r="E59" s="32" t="n">
        <f aca="false">E58*(1-IF(47=1,Assumptions!$B$16,IF(47=2,Assumptions!$B$17,IF(47&lt;=5,Assumptions!$B$18,Assumptions!$B$19)))*(1-Assumptions!$B$20))</f>
        <v>0.614157762709241</v>
      </c>
      <c r="F59" s="18" t="n">
        <f aca="false">IF($A59=0,Assumptions!$B$14,Assumptions!$B$15)</f>
        <v>0.05</v>
      </c>
      <c r="G59" s="32" t="n">
        <f aca="false">IFERROR(INDEX(Cohort_Survival!$AC$5:$BB$65,60+$A59-59,60-59),0)</f>
        <v>0.0183299103228796</v>
      </c>
      <c r="H59" s="32" t="n">
        <f aca="false">IFERROR(INDEX(Cohort_Survival!$AC$5:$BB$65,61+$A59-59,61-59),0)</f>
        <v>0.0114564080772223</v>
      </c>
      <c r="I59" s="32" t="n">
        <f aca="false">IFERROR(INDEX(Cohort_Survival!$AC$5:$BB$65,62+$A59-59,62-59),0)</f>
        <v>0.00685408453506286</v>
      </c>
      <c r="J59" s="32" t="n">
        <f aca="false">IFERROR(INDEX(Cohort_Survival!$AC$5:$BB$65,63+$A59-59,63-59),0)</f>
        <v>0.00390982539220302</v>
      </c>
      <c r="K59" s="32" t="n">
        <f aca="false">IFERROR(INDEX(Cohort_Survival!$AC$5:$BB$65,64+$A59-59,64-59),0)</f>
        <v>0.00211724944206706</v>
      </c>
      <c r="L59" s="32" t="n">
        <f aca="false">IFERROR(INDEX(Cohort_Survival!$AC$5:$BB$65,65+$A59-59,65-59),0)</f>
        <v>0.00111051141143759</v>
      </c>
      <c r="M59" s="32" t="n">
        <f aca="false">IFERROR(INDEX(Cohort_Survival!$AC$5:$BB$65,66+$A59-59,66-59),0)</f>
        <v>0.000563829216320631</v>
      </c>
      <c r="N59" s="32" t="n">
        <f aca="false">IFERROR(INDEX(Cohort_Survival!$AC$5:$BB$65,67+$A59-59,67-59),0)</f>
        <v>0.000276820044753442</v>
      </c>
      <c r="O59" s="32" t="n">
        <f aca="false">IFERROR(INDEX(Cohort_Survival!$AC$5:$BB$65,68+$A59-59,68-59),0)</f>
        <v>0.000131326285009959</v>
      </c>
      <c r="P59" s="32" t="n">
        <f aca="false">IFERROR(INDEX(Cohort_Survival!$AC$5:$BB$65,69+$A59-59,69-59),0)</f>
        <v>6.01615667343814E-005</v>
      </c>
      <c r="Q59" s="32" t="n">
        <f aca="false">IFERROR(INDEX(Cohort_Survival!$AC$5:$BB$65,70+$A59-59,70-59),0)</f>
        <v>2.65975718262358E-005</v>
      </c>
      <c r="R59" s="32" t="n">
        <f aca="false">IFERROR(INDEX(Cohort_Survival!$AC$5:$BB$65,71+$A59-59,71-59),0)</f>
        <v>1.13460695530861E-005</v>
      </c>
      <c r="S59" s="32" t="n">
        <f aca="false">IFERROR(INDEX(Cohort_Survival!$AC$5:$BB$65,72+$A59-59,72-59),0)</f>
        <v>4.6667933446481E-006</v>
      </c>
      <c r="T59" s="32" t="n">
        <f aca="false">IFERROR(INDEX(Cohort_Survival!$AC$5:$BB$65,73+$A59-59,73-59),0)</f>
        <v>1.85020755432226E-006</v>
      </c>
      <c r="U59" s="32" t="n">
        <f aca="false">IFERROR(INDEX(Cohort_Survival!$AC$5:$BB$65,74+$A59-59,74-59),0)</f>
        <v>0</v>
      </c>
      <c r="V59" s="32" t="n">
        <f aca="false">IFERROR(INDEX(Cohort_Survival!$AC$5:$BB$65,75+$A59-59,75-59),0)</f>
        <v>0</v>
      </c>
      <c r="X59" s="39" t="n">
        <f aca="false">IF(($A59+1)=1,Assumptions!$B$16,IF(($A59+1)=2,Assumptions!$B$17,IF(($A59+1)&lt;=5,Assumptions!$B$18,Assumptions!$B$19)))*(1-Assumptions!$B$20)</f>
        <v>0.0091</v>
      </c>
      <c r="Y59" s="32" t="n">
        <f aca="false">Y58*(1-MIN(1,X58*(1+Assumptions!$B$23)))</f>
        <v>0.480163476952397</v>
      </c>
      <c r="Z59" s="32" t="n">
        <f aca="false">Z58*(1-MIN(1,X58*(1-Assumptions!$B$23)))</f>
        <v>0.784294358200452</v>
      </c>
    </row>
    <row r="60" customFormat="false" ht="15" hidden="false" customHeight="true" outlineLevel="0" collapsed="false">
      <c r="A60" s="3" t="n">
        <v>48</v>
      </c>
      <c r="B60" s="30" t="n">
        <f aca="false">INDEX(Discount!$C$4:$C$64,$A60+1)</f>
        <v>0.219153660371196</v>
      </c>
      <c r="C60" s="32" t="n">
        <f aca="false">(1+Assumptions!$B$10)^$A60</f>
        <v>2.58707038549943</v>
      </c>
      <c r="D60" s="99" t="n">
        <f aca="false">Assumptions!$B$12*(1+Assumptions!$B$11)^($A60+1)</f>
        <v>268.262143976861</v>
      </c>
      <c r="E60" s="32" t="n">
        <f aca="false">E59*(1-IF(48=1,Assumptions!$B$16,IF(48=2,Assumptions!$B$17,IF(48&lt;=5,Assumptions!$B$18,Assumptions!$B$19)))*(1-Assumptions!$B$20))</f>
        <v>0.608568927068587</v>
      </c>
      <c r="F60" s="18" t="n">
        <f aca="false">IF($A60=0,Assumptions!$B$14,Assumptions!$B$15)</f>
        <v>0.05</v>
      </c>
      <c r="G60" s="32" t="n">
        <f aca="false">IFERROR(INDEX(Cohort_Survival!$AC$5:$BB$65,60+$A60-59,60-59),0)</f>
        <v>0.0118224994696753</v>
      </c>
      <c r="H60" s="32" t="n">
        <f aca="false">IFERROR(INDEX(Cohort_Survival!$AC$5:$BB$65,61+$A60-59,61-59),0)</f>
        <v>0.00707837423015388</v>
      </c>
      <c r="I60" s="32" t="n">
        <f aca="false">IFERROR(INDEX(Cohort_Survival!$AC$5:$BB$65,62+$A60-59,62-59),0)</f>
        <v>0.00403931107103453</v>
      </c>
      <c r="J60" s="32" t="n">
        <f aca="false">IFERROR(INDEX(Cohort_Survival!$AC$5:$BB$65,63+$A60-59,63-59),0)</f>
        <v>0.00218719189676448</v>
      </c>
      <c r="K60" s="32" t="n">
        <f aca="false">IFERROR(INDEX(Cohort_Survival!$AC$5:$BB$65,64+$A60-59,64-59),0)</f>
        <v>0.0011470449981726</v>
      </c>
      <c r="L60" s="32" t="n">
        <f aca="false">IFERROR(INDEX(Cohort_Survival!$AC$5:$BB$65,65+$A60-59,65-59),0)</f>
        <v>0.000582115004583009</v>
      </c>
      <c r="M60" s="32" t="n">
        <f aca="false">IFERROR(INDEX(Cohort_Survival!$AC$5:$BB$65,66+$A60-59,66-59),0)</f>
        <v>0.00028571311702554</v>
      </c>
      <c r="N60" s="32" t="n">
        <f aca="false">IFERROR(INDEX(Cohort_Survival!$AC$5:$BB$65,67+$A60-59,67-59),0)</f>
        <v>0.000135493824187529</v>
      </c>
      <c r="O60" s="32" t="n">
        <f aca="false">IFERROR(INDEX(Cohort_Survival!$AC$5:$BB$65,68+$A60-59,68-59),0)</f>
        <v>6.204122240949E-005</v>
      </c>
      <c r="P60" s="32" t="n">
        <f aca="false">IFERROR(INDEX(Cohort_Survival!$AC$5:$BB$65,69+$A60-59,69-59),0)</f>
        <v>2.7412481625469E-005</v>
      </c>
      <c r="Q60" s="32" t="n">
        <f aca="false">IFERROR(INDEX(Cohort_Survival!$AC$5:$BB$65,70+$A60-59,70-59),0)</f>
        <v>1.16813607810326E-005</v>
      </c>
      <c r="R60" s="32" t="n">
        <f aca="false">IFERROR(INDEX(Cohort_Survival!$AC$5:$BB$65,71+$A60-59,71-59),0)</f>
        <v>4.80031784172411E-006</v>
      </c>
      <c r="S60" s="32" t="n">
        <f aca="false">IFERROR(INDEX(Cohort_Survival!$AC$5:$BB$65,72+$A60-59,72-59),0)</f>
        <v>1.90106684547995E-006</v>
      </c>
      <c r="T60" s="32" t="n">
        <f aca="false">IFERROR(INDEX(Cohort_Survival!$AC$5:$BB$65,73+$A60-59,73-59),0)</f>
        <v>0</v>
      </c>
      <c r="U60" s="32" t="n">
        <f aca="false">IFERROR(INDEX(Cohort_Survival!$AC$5:$BB$65,74+$A60-59,74-59),0)</f>
        <v>0</v>
      </c>
      <c r="V60" s="32" t="n">
        <f aca="false">IFERROR(INDEX(Cohort_Survival!$AC$5:$BB$65,75+$A60-59,75-59),0)</f>
        <v>0</v>
      </c>
      <c r="X60" s="39" t="n">
        <f aca="false">IF(($A60+1)=1,Assumptions!$B$16,IF(($A60+1)=2,Assumptions!$B$17,IF(($A60+1)&lt;=5,Assumptions!$B$18,Assumptions!$B$19)))*(1-Assumptions!$B$20)</f>
        <v>0.0091</v>
      </c>
      <c r="Y60" s="32" t="n">
        <f aca="false">Y59*(1-MIN(1,X59*(1+Assumptions!$B$23)))</f>
        <v>0.473609245491997</v>
      </c>
      <c r="Z60" s="32" t="n">
        <f aca="false">Z59*(1-MIN(1,X59*(1-Assumptions!$B$23)))</f>
        <v>0.78072581887064</v>
      </c>
    </row>
    <row r="61" customFormat="false" ht="15" hidden="false" customHeight="true" outlineLevel="0" collapsed="false">
      <c r="A61" s="3" t="n">
        <v>49</v>
      </c>
      <c r="B61" s="30" t="n">
        <f aca="false">INDEX(Discount!$C$4:$C$64,$A61+1)</f>
        <v>0.212230671676072</v>
      </c>
      <c r="C61" s="32" t="n">
        <f aca="false">(1+Assumptions!$B$10)^$A61</f>
        <v>2.63881179320942</v>
      </c>
      <c r="D61" s="99" t="n">
        <f aca="false">Assumptions!$B$12*(1+Assumptions!$B$11)^($A61+1)</f>
        <v>274.968697576283</v>
      </c>
      <c r="E61" s="32" t="n">
        <f aca="false">E60*(1-IF(49=1,Assumptions!$B$16,IF(49=2,Assumptions!$B$17,IF(49&lt;=5,Assumptions!$B$18,Assumptions!$B$19)))*(1-Assumptions!$B$20))</f>
        <v>0.603030949832263</v>
      </c>
      <c r="F61" s="18" t="n">
        <f aca="false">IF($A61=0,Assumptions!$B$14,Assumptions!$B$15)</f>
        <v>0.05</v>
      </c>
      <c r="G61" s="32" t="n">
        <f aca="false">IFERROR(INDEX(Cohort_Survival!$AC$5:$BB$65,60+$A61-59,60-59),0)</f>
        <v>0.00730998635707329</v>
      </c>
      <c r="H61" s="32" t="n">
        <f aca="false">IFERROR(INDEX(Cohort_Survival!$AC$5:$BB$65,61+$A61-59,61-59),0)</f>
        <v>0.00417323563175088</v>
      </c>
      <c r="I61" s="32" t="n">
        <f aca="false">IFERROR(INDEX(Cohort_Survival!$AC$5:$BB$65,62+$A61-59,62-59),0)</f>
        <v>0.00225962736358919</v>
      </c>
      <c r="J61" s="32" t="n">
        <f aca="false">IFERROR(INDEX(Cohort_Survival!$AC$5:$BB$65,63+$A61-59,63-59),0)</f>
        <v>0.00118493715260021</v>
      </c>
      <c r="K61" s="32" t="n">
        <f aca="false">IFERROR(INDEX(Cohort_Survival!$AC$5:$BB$65,64+$A61-59,64-59),0)</f>
        <v>0.000601265414736966</v>
      </c>
      <c r="L61" s="32" t="n">
        <f aca="false">IFERROR(INDEX(Cohort_Survival!$AC$5:$BB$65,65+$A61-59,65-59),0)</f>
        <v>0.000294979202234473</v>
      </c>
      <c r="M61" s="32" t="n">
        <f aca="false">IFERROR(INDEX(Cohort_Survival!$AC$5:$BB$65,66+$A61-59,66-59),0)</f>
        <v>0.00013984667505133</v>
      </c>
      <c r="N61" s="32" t="n">
        <f aca="false">IFERROR(INDEX(Cohort_Survival!$AC$5:$BB$65,67+$A61-59,67-59),0)</f>
        <v>6.40100531351614E-005</v>
      </c>
      <c r="O61" s="32" t="n">
        <f aca="false">IFERROR(INDEX(Cohort_Survival!$AC$5:$BB$65,68+$A61-59,68-59),0)</f>
        <v>2.82689424766901E-005</v>
      </c>
      <c r="P61" s="32" t="n">
        <f aca="false">IFERROR(INDEX(Cohort_Survival!$AC$5:$BB$65,69+$A61-59,69-59),0)</f>
        <v>1.20392601949728E-005</v>
      </c>
      <c r="Q61" s="32" t="n">
        <f aca="false">IFERROR(INDEX(Cohort_Survival!$AC$5:$BB$65,70+$A61-59,70-59),0)</f>
        <v>4.94217352629884E-006</v>
      </c>
      <c r="R61" s="32" t="n">
        <f aca="false">IFERROR(INDEX(Cohort_Survival!$AC$5:$BB$65,71+$A61-59,71-59),0)</f>
        <v>1.95545943921708E-006</v>
      </c>
      <c r="S61" s="32" t="n">
        <f aca="false">IFERROR(INDEX(Cohort_Survival!$AC$5:$BB$65,72+$A61-59,72-59),0)</f>
        <v>0</v>
      </c>
      <c r="T61" s="32" t="n">
        <f aca="false">IFERROR(INDEX(Cohort_Survival!$AC$5:$BB$65,73+$A61-59,73-59),0)</f>
        <v>0</v>
      </c>
      <c r="U61" s="32" t="n">
        <f aca="false">IFERROR(INDEX(Cohort_Survival!$AC$5:$BB$65,74+$A61-59,74-59),0)</f>
        <v>0</v>
      </c>
      <c r="V61" s="32" t="n">
        <f aca="false">IFERROR(INDEX(Cohort_Survival!$AC$5:$BB$65,75+$A61-59,75-59),0)</f>
        <v>0</v>
      </c>
      <c r="X61" s="39" t="n">
        <f aca="false">IF(($A61+1)=1,Assumptions!$B$16,IF(($A61+1)=2,Assumptions!$B$17,IF(($A61+1)&lt;=5,Assumptions!$B$18,Assumptions!$B$19)))*(1-Assumptions!$B$20)</f>
        <v>0.0091</v>
      </c>
      <c r="Y61" s="32" t="n">
        <f aca="false">Y60*(1-MIN(1,X60*(1+Assumptions!$B$23)))</f>
        <v>0.467144479291031</v>
      </c>
      <c r="Z61" s="32" t="n">
        <f aca="false">Z60*(1-MIN(1,X60*(1-Assumptions!$B$23)))</f>
        <v>0.777173516394778</v>
      </c>
    </row>
    <row r="62" customFormat="false" ht="15" hidden="false" customHeight="true" outlineLevel="0" collapsed="false">
      <c r="A62" s="3" t="n">
        <v>50</v>
      </c>
      <c r="B62" s="30" t="n">
        <f aca="false">INDEX(Discount!$C$4:$C$64,$A62+1)</f>
        <v>0.205422860525207</v>
      </c>
      <c r="C62" s="32" t="n">
        <f aca="false">(1+Assumptions!$B$10)^$A62</f>
        <v>2.69158802907361</v>
      </c>
      <c r="D62" s="99" t="n">
        <f aca="false">Assumptions!$B$12*(1+Assumptions!$B$11)^($A62+1)</f>
        <v>281.84291501569</v>
      </c>
      <c r="E62" s="32" t="n">
        <f aca="false">E61*(1-IF(50=1,Assumptions!$B$16,IF(50=2,Assumptions!$B$17,IF(50&lt;=5,Assumptions!$B$18,Assumptions!$B$19)))*(1-Assumptions!$B$20))</f>
        <v>0.597543368188789</v>
      </c>
      <c r="F62" s="18" t="n">
        <f aca="false">IF($A62=0,Assumptions!$B$14,Assumptions!$B$15)</f>
        <v>0.05</v>
      </c>
      <c r="G62" s="32" t="n">
        <f aca="false">IFERROR(INDEX(Cohort_Survival!$AC$5:$BB$65,60+$A62-59,60-59),0)</f>
        <v>0.00431158857312909</v>
      </c>
      <c r="H62" s="32" t="n">
        <f aca="false">IFERROR(INDEX(Cohort_Survival!$AC$5:$BB$65,61+$A62-59,61-59),0)</f>
        <v>0.0023345459813261</v>
      </c>
      <c r="I62" s="32" t="n">
        <f aca="false">IFERROR(INDEX(Cohort_Survival!$AC$5:$BB$65,62+$A62-59,62-59),0)</f>
        <v>0.00122417992591768</v>
      </c>
      <c r="J62" s="32" t="n">
        <f aca="false">IFERROR(INDEX(Cohort_Survival!$AC$5:$BB$65,63+$A62-59,63-59),0)</f>
        <v>0.000621127967630263</v>
      </c>
      <c r="K62" s="32" t="n">
        <f aca="false">IFERROR(INDEX(Cohort_Survival!$AC$5:$BB$65,64+$A62-59,64-59),0)</f>
        <v>0.000304683423333745</v>
      </c>
      <c r="L62" s="32" t="n">
        <f aca="false">IFERROR(INDEX(Cohort_Survival!$AC$5:$BB$65,65+$A62-59,65-59),0)</f>
        <v>0.000144382102828333</v>
      </c>
      <c r="M62" s="32" t="n">
        <f aca="false">IFERROR(INDEX(Cohort_Survival!$AC$5:$BB$65,66+$A62-59,66-59),0)</f>
        <v>6.60664288906772E-005</v>
      </c>
      <c r="N62" s="32" t="n">
        <f aca="false">IFERROR(INDEX(Cohort_Survival!$AC$5:$BB$65,67+$A62-59,67-59),0)</f>
        <v>2.91660357377318E-005</v>
      </c>
      <c r="O62" s="32" t="n">
        <f aca="false">IFERROR(INDEX(Cohort_Survival!$AC$5:$BB$65,68+$A62-59,68-59),0)</f>
        <v>1.2415408373585E-005</v>
      </c>
      <c r="P62" s="32" t="n">
        <f aca="false">IFERROR(INDEX(Cohort_Survival!$AC$5:$BB$65,69+$A62-59,69-59),0)</f>
        <v>5.09359432750593E-006</v>
      </c>
      <c r="Q62" s="32" t="n">
        <f aca="false">IFERROR(INDEX(Cohort_Survival!$AC$5:$BB$65,70+$A62-59,70-59),0)</f>
        <v>2.01324582890094E-006</v>
      </c>
      <c r="R62" s="32" t="n">
        <f aca="false">IFERROR(INDEX(Cohort_Survival!$AC$5:$BB$65,71+$A62-59,71-59),0)</f>
        <v>0</v>
      </c>
      <c r="S62" s="32" t="n">
        <f aca="false">IFERROR(INDEX(Cohort_Survival!$AC$5:$BB$65,72+$A62-59,72-59),0)</f>
        <v>0</v>
      </c>
      <c r="T62" s="32" t="n">
        <f aca="false">IFERROR(INDEX(Cohort_Survival!$AC$5:$BB$65,73+$A62-59,73-59),0)</f>
        <v>0</v>
      </c>
      <c r="U62" s="32" t="n">
        <f aca="false">IFERROR(INDEX(Cohort_Survival!$AC$5:$BB$65,74+$A62-59,74-59),0)</f>
        <v>0</v>
      </c>
      <c r="V62" s="32" t="n">
        <f aca="false">IFERROR(INDEX(Cohort_Survival!$AC$5:$BB$65,75+$A62-59,75-59),0)</f>
        <v>0</v>
      </c>
      <c r="X62" s="39" t="n">
        <f aca="false">IF(($A62+1)=1,Assumptions!$B$16,IF(($A62+1)=2,Assumptions!$B$17,IF(($A62+1)&lt;=5,Assumptions!$B$18,Assumptions!$B$19)))*(1-Assumptions!$B$20)</f>
        <v>0.0091</v>
      </c>
      <c r="Y62" s="32" t="n">
        <f aca="false">Y61*(1-MIN(1,X61*(1+Assumptions!$B$23)))</f>
        <v>0.460767957148708</v>
      </c>
      <c r="Z62" s="32" t="n">
        <f aca="false">Z61*(1-MIN(1,X61*(1-Assumptions!$B$23)))</f>
        <v>0.773637376895182</v>
      </c>
    </row>
    <row r="63" customFormat="false" ht="15" hidden="false" customHeight="true" outlineLevel="0" collapsed="false">
      <c r="A63" s="3" t="n">
        <v>51</v>
      </c>
      <c r="B63" s="30" t="n">
        <f aca="false">INDEX(Discount!$C$4:$C$64,$A63+1)</f>
        <v>0.198923989220914</v>
      </c>
      <c r="C63" s="32" t="n">
        <f aca="false">(1+Assumptions!$B$10)^$A63</f>
        <v>2.74541978965508</v>
      </c>
      <c r="D63" s="99" t="n">
        <f aca="false">Assumptions!$B$12*(1+Assumptions!$B$11)^($A63+1)</f>
        <v>288.888987891082</v>
      </c>
      <c r="E63" s="32" t="n">
        <f aca="false">E62*(1-IF(51=1,Assumptions!$B$16,IF(51=2,Assumptions!$B$17,IF(51&lt;=5,Assumptions!$B$18,Assumptions!$B$19)))*(1-Assumptions!$B$20))</f>
        <v>0.592105723538271</v>
      </c>
      <c r="F63" s="18" t="n">
        <f aca="false">IF($A63=0,Assumptions!$B$14,Assumptions!$B$15)</f>
        <v>0.05</v>
      </c>
      <c r="G63" s="32" t="n">
        <f aca="false">IFERROR(INDEX(Cohort_Survival!$AC$5:$BB$65,60+$A63-59,60-59),0)</f>
        <v>0.00241194187549555</v>
      </c>
      <c r="H63" s="32" t="n">
        <f aca="false">IFERROR(INDEX(Cohort_Survival!$AC$5:$BB$65,61+$A63-59,61-59),0)</f>
        <v>0.00126476797569477</v>
      </c>
      <c r="I63" s="32" t="n">
        <f aca="false">IFERROR(INDEX(Cohort_Survival!$AC$5:$BB$65,62+$A63-59,62-59),0)</f>
        <v>0.000641698496608419</v>
      </c>
      <c r="J63" s="32" t="n">
        <f aca="false">IFERROR(INDEX(Cohort_Survival!$AC$5:$BB$65,63+$A63-59,63-59),0)</f>
        <v>0.000314748513497503</v>
      </c>
      <c r="K63" s="32" t="n">
        <f aca="false">IFERROR(INDEX(Cohort_Survival!$AC$5:$BB$65,64+$A63-59,64-59),0)</f>
        <v>0.000149131982948729</v>
      </c>
      <c r="L63" s="32" t="n">
        <f aca="false">IFERROR(INDEX(Cohort_Survival!$AC$5:$BB$65,65+$A63-59,65-59),0)</f>
        <v>6.82090577133371E-005</v>
      </c>
      <c r="M63" s="32" t="n">
        <f aca="false">IFERROR(INDEX(Cohort_Survival!$AC$5:$BB$65,66+$A63-59,66-59),0)</f>
        <v>3.01030186933456E-005</v>
      </c>
      <c r="N63" s="32" t="n">
        <f aca="false">IFERROR(INDEX(Cohort_Survival!$AC$5:$BB$65,67+$A63-59,67-59),0)</f>
        <v>1.28094018593409E-005</v>
      </c>
      <c r="O63" s="32" t="n">
        <f aca="false">IFERROR(INDEX(Cohort_Survival!$AC$5:$BB$65,68+$A63-59,68-59),0)</f>
        <v>5.25273585263723E-006</v>
      </c>
      <c r="P63" s="32" t="n">
        <f aca="false">IFERROR(INDEX(Cohort_Survival!$AC$5:$BB$65,69+$A63-59,69-59),0)</f>
        <v>2.07492866840806E-006</v>
      </c>
      <c r="Q63" s="32" t="n">
        <f aca="false">IFERROR(INDEX(Cohort_Survival!$AC$5:$BB$65,70+$A63-59,70-59),0)</f>
        <v>0</v>
      </c>
      <c r="R63" s="32" t="n">
        <f aca="false">IFERROR(INDEX(Cohort_Survival!$AC$5:$BB$65,71+$A63-59,71-59),0)</f>
        <v>0</v>
      </c>
      <c r="S63" s="32" t="n">
        <f aca="false">IFERROR(INDEX(Cohort_Survival!$AC$5:$BB$65,72+$A63-59,72-59),0)</f>
        <v>0</v>
      </c>
      <c r="T63" s="32" t="n">
        <f aca="false">IFERROR(INDEX(Cohort_Survival!$AC$5:$BB$65,73+$A63-59,73-59),0)</f>
        <v>0</v>
      </c>
      <c r="U63" s="32" t="n">
        <f aca="false">IFERROR(INDEX(Cohort_Survival!$AC$5:$BB$65,74+$A63-59,74-59),0)</f>
        <v>0</v>
      </c>
      <c r="V63" s="32" t="n">
        <f aca="false">IFERROR(INDEX(Cohort_Survival!$AC$5:$BB$65,75+$A63-59,75-59),0)</f>
        <v>0</v>
      </c>
      <c r="X63" s="39" t="n">
        <f aca="false">IF(($A63+1)=1,Assumptions!$B$16,IF(($A63+1)=2,Assumptions!$B$17,IF(($A63+1)&lt;=5,Assumptions!$B$18,Assumptions!$B$19)))*(1-Assumptions!$B$20)</f>
        <v>0.0091</v>
      </c>
      <c r="Y63" s="32" t="n">
        <f aca="false">Y62*(1-MIN(1,X62*(1+Assumptions!$B$23)))</f>
        <v>0.454478474533628</v>
      </c>
      <c r="Z63" s="32" t="n">
        <f aca="false">Z62*(1-MIN(1,X62*(1-Assumptions!$B$23)))</f>
        <v>0.770117326830309</v>
      </c>
    </row>
    <row r="64" customFormat="false" ht="15" hidden="false" customHeight="true" outlineLevel="0" collapsed="false">
      <c r="A64" s="3" t="n">
        <v>52</v>
      </c>
      <c r="B64" s="30" t="n">
        <f aca="false">INDEX(Discount!$C$4:$C$64,$A64+1)</f>
        <v>0.192626988225572</v>
      </c>
      <c r="C64" s="32" t="n">
        <f aca="false">(1+Assumptions!$B$10)^$A64</f>
        <v>2.80032818544818</v>
      </c>
      <c r="D64" s="99" t="n">
        <f aca="false">Assumptions!$B$12*(1+Assumptions!$B$11)^($A64+1)</f>
        <v>296.111212588359</v>
      </c>
      <c r="E64" s="32" t="n">
        <f aca="false">E63*(1-IF(52=1,Assumptions!$B$16,IF(52=2,Assumptions!$B$17,IF(52&lt;=5,Assumptions!$B$18,Assumptions!$B$19)))*(1-Assumptions!$B$20))</f>
        <v>0.586717561454073</v>
      </c>
      <c r="F64" s="18" t="n">
        <f aca="false">IF($A64=0,Assumptions!$B$14,Assumptions!$B$15)</f>
        <v>0.05</v>
      </c>
      <c r="G64" s="32" t="n">
        <f aca="false">IFERROR(INDEX(Cohort_Survival!$AC$5:$BB$65,60+$A64-59,60-59),0)</f>
        <v>0.00130669811936244</v>
      </c>
      <c r="H64" s="32" t="n">
        <f aca="false">IFERROR(INDEX(Cohort_Survival!$AC$5:$BB$65,61+$A64-59,61-59),0)</f>
        <v>0.000662974201242035</v>
      </c>
      <c r="I64" s="32" t="n">
        <f aca="false">IFERROR(INDEX(Cohort_Survival!$AC$5:$BB$65,62+$A64-59,62-59),0)</f>
        <v>0.000325172361327821</v>
      </c>
      <c r="J64" s="32" t="n">
        <f aca="false">IFERROR(INDEX(Cohort_Survival!$AC$5:$BB$65,63+$A64-59,63-59),0)</f>
        <v>0.000154058495977418</v>
      </c>
      <c r="K64" s="32" t="n">
        <f aca="false">IFERROR(INDEX(Cohort_Survival!$AC$5:$BB$65,64+$A64-59,64-59),0)</f>
        <v>7.04529982081557E-005</v>
      </c>
      <c r="L64" s="32" t="n">
        <f aca="false">IFERROR(INDEX(Cohort_Survival!$AC$5:$BB$65,65+$A64-59,65-59),0)</f>
        <v>3.10793026636531E-005</v>
      </c>
      <c r="M64" s="32" t="n">
        <f aca="false">IFERROR(INDEX(Cohort_Survival!$AC$5:$BB$65,66+$A64-59,66-59),0)</f>
        <v>1.32209144598786E-005</v>
      </c>
      <c r="N64" s="32" t="n">
        <f aca="false">IFERROR(INDEX(Cohort_Survival!$AC$5:$BB$65,67+$A64-59,67-59),0)</f>
        <v>5.41942740607325E-006</v>
      </c>
      <c r="O64" s="32" t="n">
        <f aca="false">IFERROR(INDEX(Cohort_Survival!$AC$5:$BB$65,68+$A64-59,68-59),0)</f>
        <v>2.13975662517053E-006</v>
      </c>
      <c r="P64" s="32" t="n">
        <f aca="false">IFERROR(INDEX(Cohort_Survival!$AC$5:$BB$65,69+$A64-59,69-59),0)</f>
        <v>0</v>
      </c>
      <c r="Q64" s="32" t="n">
        <f aca="false">IFERROR(INDEX(Cohort_Survival!$AC$5:$BB$65,70+$A64-59,70-59),0)</f>
        <v>0</v>
      </c>
      <c r="R64" s="32" t="n">
        <f aca="false">IFERROR(INDEX(Cohort_Survival!$AC$5:$BB$65,71+$A64-59,71-59),0)</f>
        <v>0</v>
      </c>
      <c r="S64" s="32" t="n">
        <f aca="false">IFERROR(INDEX(Cohort_Survival!$AC$5:$BB$65,72+$A64-59,72-59),0)</f>
        <v>0</v>
      </c>
      <c r="T64" s="32" t="n">
        <f aca="false">IFERROR(INDEX(Cohort_Survival!$AC$5:$BB$65,73+$A64-59,73-59),0)</f>
        <v>0</v>
      </c>
      <c r="U64" s="32" t="n">
        <f aca="false">IFERROR(INDEX(Cohort_Survival!$AC$5:$BB$65,74+$A64-59,74-59),0)</f>
        <v>0</v>
      </c>
      <c r="V64" s="32" t="n">
        <f aca="false">IFERROR(INDEX(Cohort_Survival!$AC$5:$BB$65,75+$A64-59,75-59),0)</f>
        <v>0</v>
      </c>
      <c r="X64" s="39" t="n">
        <f aca="false">IF(($A64+1)=1,Assumptions!$B$16,IF(($A64+1)=2,Assumptions!$B$17,IF(($A64+1)&lt;=5,Assumptions!$B$18,Assumptions!$B$19)))*(1-Assumptions!$B$20)</f>
        <v>0.0091</v>
      </c>
      <c r="Y64" s="32" t="n">
        <f aca="false">Y63*(1-MIN(1,X63*(1+Assumptions!$B$23)))</f>
        <v>0.448274843356244</v>
      </c>
      <c r="Z64" s="32" t="n">
        <f aca="false">Z63*(1-MIN(1,X63*(1-Assumptions!$B$23)))</f>
        <v>0.766613292993231</v>
      </c>
    </row>
    <row r="65" customFormat="false" ht="15" hidden="false" customHeight="true" outlineLevel="0" collapsed="false">
      <c r="A65" s="3" t="n">
        <v>53</v>
      </c>
      <c r="B65" s="30" t="n">
        <f aca="false">INDEX(Discount!$C$4:$C$64,$A65+1)</f>
        <v>0.186525707429552</v>
      </c>
      <c r="C65" s="32" t="n">
        <f aca="false">(1+Assumptions!$B$10)^$A65</f>
        <v>2.85633474915715</v>
      </c>
      <c r="D65" s="99" t="n">
        <f aca="false">Assumptions!$B$12*(1+Assumptions!$B$11)^($A65+1)</f>
        <v>303.513992903068</v>
      </c>
      <c r="E65" s="32" t="n">
        <f aca="false">E64*(1-IF(53=1,Assumptions!$B$16,IF(53=2,Assumptions!$B$17,IF(53&lt;=5,Assumptions!$B$18,Assumptions!$B$19)))*(1-Assumptions!$B$20))</f>
        <v>0.581378431644841</v>
      </c>
      <c r="F65" s="18" t="n">
        <f aca="false">IF($A65=0,Assumptions!$B$14,Assumptions!$B$15)</f>
        <v>0.05</v>
      </c>
      <c r="G65" s="32" t="n">
        <f aca="false">IFERROR(INDEX(Cohort_Survival!$AC$5:$BB$65,60+$A65-59,60-59),0)</f>
        <v>0.000684953413271628</v>
      </c>
      <c r="H65" s="32" t="n">
        <f aca="false">IFERROR(INDEX(Cohort_Survival!$AC$5:$BB$65,61+$A65-59,61-59),0)</f>
        <v>0.000335953547743546</v>
      </c>
      <c r="I65" s="32" t="n">
        <f aca="false">IFERROR(INDEX(Cohort_Survival!$AC$5:$BB$65,62+$A65-59,62-59),0)</f>
        <v>0.000159160608458241</v>
      </c>
      <c r="J65" s="32" t="n">
        <f aca="false">IFERROR(INDEX(Cohort_Survival!$AC$5:$BB$65,63+$A65-59,63-59),0)</f>
        <v>7.27803837006558E-005</v>
      </c>
      <c r="K65" s="32" t="n">
        <f aca="false">IFERROR(INDEX(Cohort_Survival!$AC$5:$BB$65,64+$A65-59,64-59),0)</f>
        <v>3.21017490679238E-005</v>
      </c>
      <c r="L65" s="32" t="n">
        <f aca="false">IFERROR(INDEX(Cohort_Survival!$AC$5:$BB$65,65+$A65-59,65-59),0)</f>
        <v>1.36496876334753E-005</v>
      </c>
      <c r="M65" s="32" t="n">
        <f aca="false">IFERROR(INDEX(Cohort_Survival!$AC$5:$BB$65,66+$A65-59,66-59),0)</f>
        <v>5.5935309816959E-006</v>
      </c>
      <c r="N65" s="32" t="n">
        <f aca="false">IFERROR(INDEX(Cohort_Survival!$AC$5:$BB$65,67+$A65-59,67-59),0)</f>
        <v>2.20766016455098E-006</v>
      </c>
      <c r="O65" s="32" t="n">
        <f aca="false">IFERROR(INDEX(Cohort_Survival!$AC$5:$BB$65,68+$A65-59,68-59),0)</f>
        <v>0</v>
      </c>
      <c r="P65" s="32" t="n">
        <f aca="false">IFERROR(INDEX(Cohort_Survival!$AC$5:$BB$65,69+$A65-59,69-59),0)</f>
        <v>0</v>
      </c>
      <c r="Q65" s="32" t="n">
        <f aca="false">IFERROR(INDEX(Cohort_Survival!$AC$5:$BB$65,70+$A65-59,70-59),0)</f>
        <v>0</v>
      </c>
      <c r="R65" s="32" t="n">
        <f aca="false">IFERROR(INDEX(Cohort_Survival!$AC$5:$BB$65,71+$A65-59,71-59),0)</f>
        <v>0</v>
      </c>
      <c r="S65" s="32" t="n">
        <f aca="false">IFERROR(INDEX(Cohort_Survival!$AC$5:$BB$65,72+$A65-59,72-59),0)</f>
        <v>0</v>
      </c>
      <c r="T65" s="32" t="n">
        <f aca="false">IFERROR(INDEX(Cohort_Survival!$AC$5:$BB$65,73+$A65-59,73-59),0)</f>
        <v>0</v>
      </c>
      <c r="U65" s="32" t="n">
        <f aca="false">IFERROR(INDEX(Cohort_Survival!$AC$5:$BB$65,74+$A65-59,74-59),0)</f>
        <v>0</v>
      </c>
      <c r="V65" s="32" t="n">
        <f aca="false">IFERROR(INDEX(Cohort_Survival!$AC$5:$BB$65,75+$A65-59,75-59),0)</f>
        <v>0</v>
      </c>
      <c r="X65" s="39" t="n">
        <f aca="false">IF(($A65+1)=1,Assumptions!$B$16,IF(($A65+1)=2,Assumptions!$B$17,IF(($A65+1)&lt;=5,Assumptions!$B$18,Assumptions!$B$19)))*(1-Assumptions!$B$20)</f>
        <v>0.0091</v>
      </c>
      <c r="Y65" s="32" t="n">
        <f aca="false">Y64*(1-MIN(1,X64*(1+Assumptions!$B$23)))</f>
        <v>0.442155891744432</v>
      </c>
      <c r="Z65" s="32" t="n">
        <f aca="false">Z64*(1-MIN(1,X64*(1-Assumptions!$B$23)))</f>
        <v>0.763125202510112</v>
      </c>
    </row>
    <row r="66" customFormat="false" ht="15" hidden="false" customHeight="true" outlineLevel="0" collapsed="false">
      <c r="A66" s="3" t="n">
        <v>54</v>
      </c>
      <c r="B66" s="30" t="n">
        <f aca="false">INDEX(Discount!$C$4:$C$64,$A66+1)</f>
        <v>0.180519716326691</v>
      </c>
      <c r="C66" s="32" t="n">
        <f aca="false">(1+Assumptions!$B$10)^$A66</f>
        <v>2.91346144414029</v>
      </c>
      <c r="D66" s="99" t="n">
        <f aca="false">Assumptions!$B$12*(1+Assumptions!$B$11)^($A66+1)</f>
        <v>311.101842725645</v>
      </c>
      <c r="E66" s="32" t="n">
        <f aca="false">E65*(1-IF(54=1,Assumptions!$B$16,IF(54=2,Assumptions!$B$17,IF(54&lt;=5,Assumptions!$B$18,Assumptions!$B$19)))*(1-Assumptions!$B$20))</f>
        <v>0.576087887916873</v>
      </c>
      <c r="F66" s="18" t="n">
        <f aca="false">IF($A66=0,Assumptions!$B$14,Assumptions!$B$15)</f>
        <v>0.05</v>
      </c>
      <c r="G66" s="32" t="n">
        <f aca="false">IFERROR(INDEX(Cohort_Survival!$AC$5:$BB$65,60+$A66-59,60-59),0)</f>
        <v>0.0003470912273759</v>
      </c>
      <c r="H66" s="32" t="n">
        <f aca="false">IFERROR(INDEX(Cohort_Survival!$AC$5:$BB$65,61+$A66-59,61-59),0)</f>
        <v>0.000164437625800126</v>
      </c>
      <c r="I66" s="32" t="n">
        <f aca="false">IFERROR(INDEX(Cohort_Survival!$AC$5:$BB$65,62+$A66-59,62-59),0)</f>
        <v>7.51907259650165E-005</v>
      </c>
      <c r="J66" s="32" t="n">
        <f aca="false">IFERROR(INDEX(Cohort_Survival!$AC$5:$BB$65,63+$A66-59,63-59),0)</f>
        <v>3.31622169963976E-005</v>
      </c>
      <c r="K66" s="32" t="n">
        <f aca="false">IFERROR(INDEX(Cohort_Survival!$AC$5:$BB$65,64+$A66-59,64-59),0)</f>
        <v>1.4098734839949E-005</v>
      </c>
      <c r="L66" s="32" t="n">
        <f aca="false">IFERROR(INDEX(Cohort_Survival!$AC$5:$BB$65,65+$A66-59,65-59),0)</f>
        <v>5.774937195155E-006</v>
      </c>
      <c r="M66" s="32" t="n">
        <f aca="false">IFERROR(INDEX(Cohort_Survival!$AC$5:$BB$65,66+$A66-59,66-59),0)</f>
        <v>2.27858306832072E-006</v>
      </c>
      <c r="N66" s="32" t="n">
        <f aca="false">IFERROR(INDEX(Cohort_Survival!$AC$5:$BB$65,67+$A66-59,67-59),0)</f>
        <v>0</v>
      </c>
      <c r="O66" s="32" t="n">
        <f aca="false">IFERROR(INDEX(Cohort_Survival!$AC$5:$BB$65,68+$A66-59,68-59),0)</f>
        <v>0</v>
      </c>
      <c r="P66" s="32" t="n">
        <f aca="false">IFERROR(INDEX(Cohort_Survival!$AC$5:$BB$65,69+$A66-59,69-59),0)</f>
        <v>0</v>
      </c>
      <c r="Q66" s="32" t="n">
        <f aca="false">IFERROR(INDEX(Cohort_Survival!$AC$5:$BB$65,70+$A66-59,70-59),0)</f>
        <v>0</v>
      </c>
      <c r="R66" s="32" t="n">
        <f aca="false">IFERROR(INDEX(Cohort_Survival!$AC$5:$BB$65,71+$A66-59,71-59),0)</f>
        <v>0</v>
      </c>
      <c r="S66" s="32" t="n">
        <f aca="false">IFERROR(INDEX(Cohort_Survival!$AC$5:$BB$65,72+$A66-59,72-59),0)</f>
        <v>0</v>
      </c>
      <c r="T66" s="32" t="n">
        <f aca="false">IFERROR(INDEX(Cohort_Survival!$AC$5:$BB$65,73+$A66-59,73-59),0)</f>
        <v>0</v>
      </c>
      <c r="U66" s="32" t="n">
        <f aca="false">IFERROR(INDEX(Cohort_Survival!$AC$5:$BB$65,74+$A66-59,74-59),0)</f>
        <v>0</v>
      </c>
      <c r="V66" s="32" t="n">
        <f aca="false">IFERROR(INDEX(Cohort_Survival!$AC$5:$BB$65,75+$A66-59,75-59),0)</f>
        <v>0</v>
      </c>
      <c r="X66" s="39" t="n">
        <f aca="false">IF(($A66+1)=1,Assumptions!$B$16,IF(($A66+1)=2,Assumptions!$B$17,IF(($A66+1)&lt;=5,Assumptions!$B$18,Assumptions!$B$19)))*(1-Assumptions!$B$20)</f>
        <v>0.0091</v>
      </c>
      <c r="Y66" s="32" t="n">
        <f aca="false">Y65*(1-MIN(1,X65*(1+Assumptions!$B$23)))</f>
        <v>0.43612046382212</v>
      </c>
      <c r="Z66" s="32" t="n">
        <f aca="false">Z65*(1-MIN(1,X65*(1-Assumptions!$B$23)))</f>
        <v>0.759652982838691</v>
      </c>
    </row>
    <row r="67" customFormat="false" ht="15" hidden="false" customHeight="true" outlineLevel="0" collapsed="false">
      <c r="A67" s="3" t="n">
        <v>55</v>
      </c>
      <c r="B67" s="30" t="n">
        <f aca="false">INDEX(Discount!$C$4:$C$64,$A67+1)</f>
        <v>0.174793457507591</v>
      </c>
      <c r="C67" s="32" t="n">
        <f aca="false">(1+Assumptions!$B$10)^$A67</f>
        <v>2.97173067302309</v>
      </c>
      <c r="D67" s="99" t="n">
        <f aca="false">Assumptions!$B$12*(1+Assumptions!$B$11)^($A67+1)</f>
        <v>318.879388793786</v>
      </c>
      <c r="E67" s="32" t="n">
        <f aca="false">E66*(1-IF(55=1,Assumptions!$B$16,IF(55=2,Assumptions!$B$17,IF(55&lt;=5,Assumptions!$B$18,Assumptions!$B$19)))*(1-Assumptions!$B$20))</f>
        <v>0.570845488136829</v>
      </c>
      <c r="F67" s="18" t="n">
        <f aca="false">IF($A67=0,Assumptions!$B$14,Assumptions!$B$15)</f>
        <v>0.05</v>
      </c>
      <c r="G67" s="32" t="n">
        <f aca="false">IFERROR(INDEX(Cohort_Survival!$AC$5:$BB$65,60+$A67-59,60-59),0)</f>
        <v>0.000169889134224334</v>
      </c>
      <c r="H67" s="32" t="n">
        <f aca="false">IFERROR(INDEX(Cohort_Survival!$AC$5:$BB$65,61+$A67-59,61-59),0)</f>
        <v>7.76836968622119E-005</v>
      </c>
      <c r="I67" s="32" t="n">
        <f aca="false">IFERROR(INDEX(Cohort_Survival!$AC$5:$BB$65,62+$A67-59,62-59),0)</f>
        <v>3.42604839900847E-005</v>
      </c>
      <c r="J67" s="32" t="n">
        <f aca="false">IFERROR(INDEX(Cohort_Survival!$AC$5:$BB$65,63+$A67-59,63-59),0)</f>
        <v>1.45644806813418E-005</v>
      </c>
      <c r="K67" s="32" t="n">
        <f aca="false">IFERROR(INDEX(Cohort_Survival!$AC$5:$BB$65,64+$A67-59,64-59),0)</f>
        <v>5.96492098706873E-006</v>
      </c>
      <c r="L67" s="32" t="n">
        <f aca="false">IFERROR(INDEX(Cohort_Survival!$AC$5:$BB$65,65+$A67-59,65-59),0)</f>
        <v>2.35248077762612E-006</v>
      </c>
      <c r="M67" s="32" t="n">
        <f aca="false">IFERROR(INDEX(Cohort_Survival!$AC$5:$BB$65,66+$A67-59,66-59),0)</f>
        <v>0</v>
      </c>
      <c r="N67" s="32" t="n">
        <f aca="false">IFERROR(INDEX(Cohort_Survival!$AC$5:$BB$65,67+$A67-59,67-59),0)</f>
        <v>0</v>
      </c>
      <c r="O67" s="32" t="n">
        <f aca="false">IFERROR(INDEX(Cohort_Survival!$AC$5:$BB$65,68+$A67-59,68-59),0)</f>
        <v>0</v>
      </c>
      <c r="P67" s="32" t="n">
        <f aca="false">IFERROR(INDEX(Cohort_Survival!$AC$5:$BB$65,69+$A67-59,69-59),0)</f>
        <v>0</v>
      </c>
      <c r="Q67" s="32" t="n">
        <f aca="false">IFERROR(INDEX(Cohort_Survival!$AC$5:$BB$65,70+$A67-59,70-59),0)</f>
        <v>0</v>
      </c>
      <c r="R67" s="32" t="n">
        <f aca="false">IFERROR(INDEX(Cohort_Survival!$AC$5:$BB$65,71+$A67-59,71-59),0)</f>
        <v>0</v>
      </c>
      <c r="S67" s="32" t="n">
        <f aca="false">IFERROR(INDEX(Cohort_Survival!$AC$5:$BB$65,72+$A67-59,72-59),0)</f>
        <v>0</v>
      </c>
      <c r="T67" s="32" t="n">
        <f aca="false">IFERROR(INDEX(Cohort_Survival!$AC$5:$BB$65,73+$A67-59,73-59),0)</f>
        <v>0</v>
      </c>
      <c r="U67" s="32" t="n">
        <f aca="false">IFERROR(INDEX(Cohort_Survival!$AC$5:$BB$65,74+$A67-59,74-59),0)</f>
        <v>0</v>
      </c>
      <c r="V67" s="32" t="n">
        <f aca="false">IFERROR(INDEX(Cohort_Survival!$AC$5:$BB$65,75+$A67-59,75-59),0)</f>
        <v>0</v>
      </c>
      <c r="X67" s="39" t="n">
        <f aca="false">IF(($A67+1)=1,Assumptions!$B$16,IF(($A67+1)=2,Assumptions!$B$17,IF(($A67+1)&lt;=5,Assumptions!$B$18,Assumptions!$B$19)))*(1-Assumptions!$B$20)</f>
        <v>0.0091</v>
      </c>
      <c r="Y67" s="32" t="n">
        <f aca="false">Y66*(1-MIN(1,X66*(1+Assumptions!$B$23)))</f>
        <v>0.430167419490948</v>
      </c>
      <c r="Z67" s="32" t="n">
        <f aca="false">Z66*(1-MIN(1,X66*(1-Assumptions!$B$23)))</f>
        <v>0.756196561766775</v>
      </c>
    </row>
    <row r="68" customFormat="false" ht="15" hidden="false" customHeight="true" outlineLevel="0" collapsed="false">
      <c r="A68" s="3" t="n">
        <v>56</v>
      </c>
      <c r="B68" s="30" t="n">
        <f aca="false">INDEX(Discount!$C$4:$C$64,$A68+1)</f>
        <v>0.169245562707385</v>
      </c>
      <c r="C68" s="32" t="n">
        <f aca="false">(1+Assumptions!$B$10)^$A68</f>
        <v>3.03116528648356</v>
      </c>
      <c r="D68" s="99" t="n">
        <f aca="false">Assumptions!$B$12*(1+Assumptions!$B$11)^($A68+1)</f>
        <v>326.851373513631</v>
      </c>
      <c r="E68" s="32" t="n">
        <f aca="false">E67*(1-IF(56=1,Assumptions!$B$16,IF(56=2,Assumptions!$B$17,IF(56&lt;=5,Assumptions!$B$18,Assumptions!$B$19)))*(1-Assumptions!$B$20))</f>
        <v>0.565650794194784</v>
      </c>
      <c r="F68" s="18" t="n">
        <f aca="false">IF($A68=0,Assumptions!$B$14,Assumptions!$B$15)</f>
        <v>0.05</v>
      </c>
      <c r="G68" s="32" t="n">
        <f aca="false">IFERROR(INDEX(Cohort_Survival!$AC$5:$BB$65,60+$A68-59,60-59),0)</f>
        <v>8.02591009147051E-005</v>
      </c>
      <c r="H68" s="32" t="n">
        <f aca="false">IFERROR(INDEX(Cohort_Survival!$AC$5:$BB$65,61+$A68-59,61-59),0)</f>
        <v>3.53964005331814E-005</v>
      </c>
      <c r="I68" s="32" t="n">
        <f aca="false">IFERROR(INDEX(Cohort_Survival!$AC$5:$BB$65,62+$A68-59,62-59),0)</f>
        <v>1.50468274561141E-005</v>
      </c>
      <c r="J68" s="32" t="n">
        <f aca="false">IFERROR(INDEX(Cohort_Survival!$AC$5:$BB$65,63+$A68-59,63-59),0)</f>
        <v>6.16196967090467E-006</v>
      </c>
      <c r="K68" s="32" t="n">
        <f aca="false">IFERROR(INDEX(Cohort_Survival!$AC$5:$BB$65,64+$A68-59,64-59),0)</f>
        <v>2.42987265279881E-006</v>
      </c>
      <c r="L68" s="32" t="n">
        <f aca="false">IFERROR(INDEX(Cohort_Survival!$AC$5:$BB$65,65+$A68-59,65-59),0)</f>
        <v>0</v>
      </c>
      <c r="M68" s="32" t="n">
        <f aca="false">IFERROR(INDEX(Cohort_Survival!$AC$5:$BB$65,66+$A68-59,66-59),0)</f>
        <v>0</v>
      </c>
      <c r="N68" s="32" t="n">
        <f aca="false">IFERROR(INDEX(Cohort_Survival!$AC$5:$BB$65,67+$A68-59,67-59),0)</f>
        <v>0</v>
      </c>
      <c r="O68" s="32" t="n">
        <f aca="false">IFERROR(INDEX(Cohort_Survival!$AC$5:$BB$65,68+$A68-59,68-59),0)</f>
        <v>0</v>
      </c>
      <c r="P68" s="32" t="n">
        <f aca="false">IFERROR(INDEX(Cohort_Survival!$AC$5:$BB$65,69+$A68-59,69-59),0)</f>
        <v>0</v>
      </c>
      <c r="Q68" s="32" t="n">
        <f aca="false">IFERROR(INDEX(Cohort_Survival!$AC$5:$BB$65,70+$A68-59,70-59),0)</f>
        <v>0</v>
      </c>
      <c r="R68" s="32" t="n">
        <f aca="false">IFERROR(INDEX(Cohort_Survival!$AC$5:$BB$65,71+$A68-59,71-59),0)</f>
        <v>0</v>
      </c>
      <c r="S68" s="32" t="n">
        <f aca="false">IFERROR(INDEX(Cohort_Survival!$AC$5:$BB$65,72+$A68-59,72-59),0)</f>
        <v>0</v>
      </c>
      <c r="T68" s="32" t="n">
        <f aca="false">IFERROR(INDEX(Cohort_Survival!$AC$5:$BB$65,73+$A68-59,73-59),0)</f>
        <v>0</v>
      </c>
      <c r="U68" s="32" t="n">
        <f aca="false">IFERROR(INDEX(Cohort_Survival!$AC$5:$BB$65,74+$A68-59,74-59),0)</f>
        <v>0</v>
      </c>
      <c r="V68" s="32" t="n">
        <f aca="false">IFERROR(INDEX(Cohort_Survival!$AC$5:$BB$65,75+$A68-59,75-59),0)</f>
        <v>0</v>
      </c>
      <c r="X68" s="39" t="n">
        <f aca="false">IF(($A68+1)=1,Assumptions!$B$16,IF(($A68+1)=2,Assumptions!$B$17,IF(($A68+1)&lt;=5,Assumptions!$B$18,Assumptions!$B$19)))*(1-Assumptions!$B$20)</f>
        <v>0.0091</v>
      </c>
      <c r="Y68" s="32" t="n">
        <f aca="false">Y67*(1-MIN(1,X67*(1+Assumptions!$B$23)))</f>
        <v>0.424295634214897</v>
      </c>
      <c r="Z68" s="32" t="n">
        <f aca="false">Z67*(1-MIN(1,X67*(1-Assumptions!$B$23)))</f>
        <v>0.752755867410736</v>
      </c>
    </row>
    <row r="69" customFormat="false" ht="15" hidden="false" customHeight="true" outlineLevel="0" collapsed="false">
      <c r="A69" s="3" t="n">
        <v>57</v>
      </c>
      <c r="B69" s="30" t="n">
        <f aca="false">INDEX(Discount!$C$4:$C$64,$A69+1)</f>
        <v>0.163870582267385</v>
      </c>
      <c r="C69" s="32" t="n">
        <f aca="false">(1+Assumptions!$B$10)^$A69</f>
        <v>3.09178859221323</v>
      </c>
      <c r="D69" s="99" t="n">
        <f aca="false">Assumptions!$B$12*(1+Assumptions!$B$11)^($A69+1)</f>
        <v>335.022657851471</v>
      </c>
      <c r="E69" s="32" t="n">
        <f aca="false">E68*(1-IF(57=1,Assumptions!$B$16,IF(57=2,Assumptions!$B$17,IF(57&lt;=5,Assumptions!$B$18,Assumptions!$B$19)))*(1-Assumptions!$B$20))</f>
        <v>0.560503371967611</v>
      </c>
      <c r="F69" s="18" t="n">
        <f aca="false">IF($A69=0,Assumptions!$B$14,Assumptions!$B$15)</f>
        <v>0.05</v>
      </c>
      <c r="G69" s="32" t="n">
        <f aca="false">IFERROR(INDEX(Cohort_Survival!$AC$5:$BB$65,60+$A69-59,60-59),0)</f>
        <v>3.65698775567906E-005</v>
      </c>
      <c r="H69" s="32" t="n">
        <f aca="false">IFERROR(INDEX(Cohort_Survival!$AC$5:$BB$65,61+$A69-59,61-59),0)</f>
        <v>1.55457094985706E-005</v>
      </c>
      <c r="I69" s="32" t="n">
        <f aca="false">IFERROR(INDEX(Cohort_Survival!$AC$5:$BB$65,62+$A69-59,62-59),0)</f>
        <v>6.3660419108997E-006</v>
      </c>
      <c r="J69" s="32" t="n">
        <f aca="false">IFERROR(INDEX(Cohort_Survival!$AC$5:$BB$65,63+$A69-59,63-59),0)</f>
        <v>2.5101424852343E-006</v>
      </c>
      <c r="K69" s="32" t="n">
        <f aca="false">IFERROR(INDEX(Cohort_Survival!$AC$5:$BB$65,64+$A69-59,64-59),0)</f>
        <v>0</v>
      </c>
      <c r="L69" s="32" t="n">
        <f aca="false">IFERROR(INDEX(Cohort_Survival!$AC$5:$BB$65,65+$A69-59,65-59),0)</f>
        <v>0</v>
      </c>
      <c r="M69" s="32" t="n">
        <f aca="false">IFERROR(INDEX(Cohort_Survival!$AC$5:$BB$65,66+$A69-59,66-59),0)</f>
        <v>0</v>
      </c>
      <c r="N69" s="32" t="n">
        <f aca="false">IFERROR(INDEX(Cohort_Survival!$AC$5:$BB$65,67+$A69-59,67-59),0)</f>
        <v>0</v>
      </c>
      <c r="O69" s="32" t="n">
        <f aca="false">IFERROR(INDEX(Cohort_Survival!$AC$5:$BB$65,68+$A69-59,68-59),0)</f>
        <v>0</v>
      </c>
      <c r="P69" s="32" t="n">
        <f aca="false">IFERROR(INDEX(Cohort_Survival!$AC$5:$BB$65,69+$A69-59,69-59),0)</f>
        <v>0</v>
      </c>
      <c r="Q69" s="32" t="n">
        <f aca="false">IFERROR(INDEX(Cohort_Survival!$AC$5:$BB$65,70+$A69-59,70-59),0)</f>
        <v>0</v>
      </c>
      <c r="R69" s="32" t="n">
        <f aca="false">IFERROR(INDEX(Cohort_Survival!$AC$5:$BB$65,71+$A69-59,71-59),0)</f>
        <v>0</v>
      </c>
      <c r="S69" s="32" t="n">
        <f aca="false">IFERROR(INDEX(Cohort_Survival!$AC$5:$BB$65,72+$A69-59,72-59),0)</f>
        <v>0</v>
      </c>
      <c r="T69" s="32" t="n">
        <f aca="false">IFERROR(INDEX(Cohort_Survival!$AC$5:$BB$65,73+$A69-59,73-59),0)</f>
        <v>0</v>
      </c>
      <c r="U69" s="32" t="n">
        <f aca="false">IFERROR(INDEX(Cohort_Survival!$AC$5:$BB$65,74+$A69-59,74-59),0)</f>
        <v>0</v>
      </c>
      <c r="V69" s="32" t="n">
        <f aca="false">IFERROR(INDEX(Cohort_Survival!$AC$5:$BB$65,75+$A69-59,75-59),0)</f>
        <v>0</v>
      </c>
      <c r="X69" s="39" t="n">
        <f aca="false">IF(($A69+1)=1,Assumptions!$B$16,IF(($A69+1)=2,Assumptions!$B$17,IF(($A69+1)&lt;=5,Assumptions!$B$18,Assumptions!$B$19)))*(1-Assumptions!$B$20)</f>
        <v>0.0091</v>
      </c>
      <c r="Y69" s="32" t="n">
        <f aca="false">Y68*(1-MIN(1,X68*(1+Assumptions!$B$23)))</f>
        <v>0.418503998807863</v>
      </c>
      <c r="Z69" s="32" t="n">
        <f aca="false">Z68*(1-MIN(1,X68*(1-Assumptions!$B$23)))</f>
        <v>0.749330828214017</v>
      </c>
    </row>
    <row r="70" customFormat="false" ht="15" hidden="false" customHeight="true" outlineLevel="0" collapsed="false">
      <c r="A70" s="3" t="n">
        <v>58</v>
      </c>
      <c r="B70" s="30" t="n">
        <f aca="false">INDEX(Discount!$C$4:$C$64,$A70+1)</f>
        <v>0.158663229657548</v>
      </c>
      <c r="C70" s="32" t="n">
        <f aca="false">(1+Assumptions!$B$10)^$A70</f>
        <v>3.15362436405749</v>
      </c>
      <c r="D70" s="99" t="n">
        <f aca="false">Assumptions!$B$12*(1+Assumptions!$B$11)^($A70+1)</f>
        <v>343.398224297758</v>
      </c>
      <c r="E70" s="32" t="n">
        <f aca="false">E69*(1-IF(58=1,Assumptions!$B$16,IF(58=2,Assumptions!$B$17,IF(58&lt;=5,Assumptions!$B$18,Assumptions!$B$19)))*(1-Assumptions!$B$20))</f>
        <v>0.555402791282706</v>
      </c>
      <c r="F70" s="18" t="n">
        <f aca="false">IF($A70=0,Assumptions!$B$14,Assumptions!$B$15)</f>
        <v>0.05</v>
      </c>
      <c r="G70" s="32" t="n">
        <f aca="false">IFERROR(INDEX(Cohort_Survival!$AC$5:$BB$65,60+$A70-59,60-59),0)</f>
        <v>1.60610876906321E-005</v>
      </c>
      <c r="H70" s="32" t="n">
        <f aca="false">IFERROR(INDEX(Cohort_Survival!$AC$5:$BB$65,61+$A70-59,61-59),0)</f>
        <v>6.57710992507984E-006</v>
      </c>
      <c r="I70" s="32" t="n">
        <f aca="false">IFERROR(INDEX(Cohort_Survival!$AC$5:$BB$65,62+$A70-59,62-59),0)</f>
        <v>2.59327343637922E-006</v>
      </c>
      <c r="J70" s="32" t="n">
        <f aca="false">IFERROR(INDEX(Cohort_Survival!$AC$5:$BB$65,63+$A70-59,63-59),0)</f>
        <v>0</v>
      </c>
      <c r="K70" s="32" t="n">
        <f aca="false">IFERROR(INDEX(Cohort_Survival!$AC$5:$BB$65,64+$A70-59,64-59),0)</f>
        <v>0</v>
      </c>
      <c r="L70" s="32" t="n">
        <f aca="false">IFERROR(INDEX(Cohort_Survival!$AC$5:$BB$65,65+$A70-59,65-59),0)</f>
        <v>0</v>
      </c>
      <c r="M70" s="32" t="n">
        <f aca="false">IFERROR(INDEX(Cohort_Survival!$AC$5:$BB$65,66+$A70-59,66-59),0)</f>
        <v>0</v>
      </c>
      <c r="N70" s="32" t="n">
        <f aca="false">IFERROR(INDEX(Cohort_Survival!$AC$5:$BB$65,67+$A70-59,67-59),0)</f>
        <v>0</v>
      </c>
      <c r="O70" s="32" t="n">
        <f aca="false">IFERROR(INDEX(Cohort_Survival!$AC$5:$BB$65,68+$A70-59,68-59),0)</f>
        <v>0</v>
      </c>
      <c r="P70" s="32" t="n">
        <f aca="false">IFERROR(INDEX(Cohort_Survival!$AC$5:$BB$65,69+$A70-59,69-59),0)</f>
        <v>0</v>
      </c>
      <c r="Q70" s="32" t="n">
        <f aca="false">IFERROR(INDEX(Cohort_Survival!$AC$5:$BB$65,70+$A70-59,70-59),0)</f>
        <v>0</v>
      </c>
      <c r="R70" s="32" t="n">
        <f aca="false">IFERROR(INDEX(Cohort_Survival!$AC$5:$BB$65,71+$A70-59,71-59),0)</f>
        <v>0</v>
      </c>
      <c r="S70" s="32" t="n">
        <f aca="false">IFERROR(INDEX(Cohort_Survival!$AC$5:$BB$65,72+$A70-59,72-59),0)</f>
        <v>0</v>
      </c>
      <c r="T70" s="32" t="n">
        <f aca="false">IFERROR(INDEX(Cohort_Survival!$AC$5:$BB$65,73+$A70-59,73-59),0)</f>
        <v>0</v>
      </c>
      <c r="U70" s="32" t="n">
        <f aca="false">IFERROR(INDEX(Cohort_Survival!$AC$5:$BB$65,74+$A70-59,74-59),0)</f>
        <v>0</v>
      </c>
      <c r="V70" s="32" t="n">
        <f aca="false">IFERROR(INDEX(Cohort_Survival!$AC$5:$BB$65,75+$A70-59,75-59),0)</f>
        <v>0</v>
      </c>
      <c r="X70" s="39" t="n">
        <f aca="false">IF(($A70+1)=1,Assumptions!$B$16,IF(($A70+1)=2,Assumptions!$B$17,IF(($A70+1)&lt;=5,Assumptions!$B$18,Assumptions!$B$19)))*(1-Assumptions!$B$20)</f>
        <v>0.0091</v>
      </c>
      <c r="Y70" s="32" t="n">
        <f aca="false">Y69*(1-MIN(1,X69*(1+Assumptions!$B$23)))</f>
        <v>0.412791419224136</v>
      </c>
      <c r="Z70" s="32" t="n">
        <f aca="false">Z69*(1-MIN(1,X69*(1-Assumptions!$B$23)))</f>
        <v>0.745921372945643</v>
      </c>
    </row>
    <row r="71" customFormat="false" ht="15" hidden="false" customHeight="true" outlineLevel="0" collapsed="false">
      <c r="A71" s="3" t="n">
        <v>59</v>
      </c>
      <c r="B71" s="30" t="n">
        <f aca="false">INDEX(Discount!$C$4:$C$64,$A71+1)</f>
        <v>0.153618376699136</v>
      </c>
      <c r="C71" s="32" t="n">
        <f aca="false">(1+Assumptions!$B$10)^$A71</f>
        <v>3.21669685133864</v>
      </c>
      <c r="D71" s="99" t="n">
        <f aca="false">Assumptions!$B$12*(1+Assumptions!$B$11)^($A71+1)</f>
        <v>351.983179905202</v>
      </c>
      <c r="E71" s="32" t="n">
        <f aca="false">E70*(1-IF(59=1,Assumptions!$B$16,IF(59=2,Assumptions!$B$17,IF(59&lt;=5,Assumptions!$B$18,Assumptions!$B$19)))*(1-Assumptions!$B$20))</f>
        <v>0.550348625882033</v>
      </c>
      <c r="F71" s="18" t="n">
        <f aca="false">IF($A71=0,Assumptions!$B$14,Assumptions!$B$15)</f>
        <v>0.05</v>
      </c>
      <c r="G71" s="32" t="n">
        <f aca="false">IFERROR(INDEX(Cohort_Survival!$AC$5:$BB$65,60+$A71-59,60-59),0)</f>
        <v>6.79515716328978E-006</v>
      </c>
      <c r="H71" s="32" t="n">
        <f aca="false">IFERROR(INDEX(Cohort_Survival!$AC$5:$BB$65,61+$A71-59,61-59),0)</f>
        <v>2.67925418895729E-006</v>
      </c>
      <c r="I71" s="32" t="n">
        <f aca="false">IFERROR(INDEX(Cohort_Survival!$AC$5:$BB$65,62+$A71-59,62-59),0)</f>
        <v>0</v>
      </c>
      <c r="J71" s="32" t="n">
        <f aca="false">IFERROR(INDEX(Cohort_Survival!$AC$5:$BB$65,63+$A71-59,63-59),0)</f>
        <v>0</v>
      </c>
      <c r="K71" s="32" t="n">
        <f aca="false">IFERROR(INDEX(Cohort_Survival!$AC$5:$BB$65,64+$A71-59,64-59),0)</f>
        <v>0</v>
      </c>
      <c r="L71" s="32" t="n">
        <f aca="false">IFERROR(INDEX(Cohort_Survival!$AC$5:$BB$65,65+$A71-59,65-59),0)</f>
        <v>0</v>
      </c>
      <c r="M71" s="32" t="n">
        <f aca="false">IFERROR(INDEX(Cohort_Survival!$AC$5:$BB$65,66+$A71-59,66-59),0)</f>
        <v>0</v>
      </c>
      <c r="N71" s="32" t="n">
        <f aca="false">IFERROR(INDEX(Cohort_Survival!$AC$5:$BB$65,67+$A71-59,67-59),0)</f>
        <v>0</v>
      </c>
      <c r="O71" s="32" t="n">
        <f aca="false">IFERROR(INDEX(Cohort_Survival!$AC$5:$BB$65,68+$A71-59,68-59),0)</f>
        <v>0</v>
      </c>
      <c r="P71" s="32" t="n">
        <f aca="false">IFERROR(INDEX(Cohort_Survival!$AC$5:$BB$65,69+$A71-59,69-59),0)</f>
        <v>0</v>
      </c>
      <c r="Q71" s="32" t="n">
        <f aca="false">IFERROR(INDEX(Cohort_Survival!$AC$5:$BB$65,70+$A71-59,70-59),0)</f>
        <v>0</v>
      </c>
      <c r="R71" s="32" t="n">
        <f aca="false">IFERROR(INDEX(Cohort_Survival!$AC$5:$BB$65,71+$A71-59,71-59),0)</f>
        <v>0</v>
      </c>
      <c r="S71" s="32" t="n">
        <f aca="false">IFERROR(INDEX(Cohort_Survival!$AC$5:$BB$65,72+$A71-59,72-59),0)</f>
        <v>0</v>
      </c>
      <c r="T71" s="32" t="n">
        <f aca="false">IFERROR(INDEX(Cohort_Survival!$AC$5:$BB$65,73+$A71-59,73-59),0)</f>
        <v>0</v>
      </c>
      <c r="U71" s="32" t="n">
        <f aca="false">IFERROR(INDEX(Cohort_Survival!$AC$5:$BB$65,74+$A71-59,74-59),0)</f>
        <v>0</v>
      </c>
      <c r="V71" s="32" t="n">
        <f aca="false">IFERROR(INDEX(Cohort_Survival!$AC$5:$BB$65,75+$A71-59,75-59),0)</f>
        <v>0</v>
      </c>
      <c r="X71" s="39" t="n">
        <f aca="false">IF(($A71+1)=1,Assumptions!$B$16,IF(($A71+1)=2,Assumptions!$B$17,IF(($A71+1)&lt;=5,Assumptions!$B$18,Assumptions!$B$19)))*(1-Assumptions!$B$20)</f>
        <v>0.0091</v>
      </c>
      <c r="Y71" s="32" t="n">
        <f aca="false">Y70*(1-MIN(1,X70*(1+Assumptions!$B$23)))</f>
        <v>0.407156816351726</v>
      </c>
      <c r="Z71" s="32" t="n">
        <f aca="false">Z70*(1-MIN(1,X70*(1-Assumptions!$B$23)))</f>
        <v>0.74252743069874</v>
      </c>
    </row>
    <row r="72" customFormat="false" ht="15" hidden="false" customHeight="true" outlineLevel="0" collapsed="false">
      <c r="A72" s="3" t="n">
        <v>60</v>
      </c>
      <c r="B72" s="30" t="n">
        <f aca="false">INDEX(Discount!$C$4:$C$64,$A72+1)</f>
        <v>0.148731048924035</v>
      </c>
      <c r="C72" s="32" t="n">
        <f aca="false">(1+Assumptions!$B$10)^$A72</f>
        <v>3.28103078836541</v>
      </c>
      <c r="D72" s="99" t="n">
        <f aca="false">Assumptions!$B$12*(1+Assumptions!$B$11)^($A72+1)</f>
        <v>360.782759402832</v>
      </c>
      <c r="E72" s="32" t="n">
        <f aca="false">E71*(1-IF(60=1,Assumptions!$B$16,IF(60=2,Assumptions!$B$17,IF(60&lt;=5,Assumptions!$B$18,Assumptions!$B$19)))*(1-Assumptions!$B$20))</f>
        <v>0.545340453386507</v>
      </c>
      <c r="F72" s="18" t="n">
        <f aca="false">IF($A72=0,Assumptions!$B$14,Assumptions!$B$15)</f>
        <v>0.05</v>
      </c>
      <c r="G72" s="32" t="n">
        <f aca="false">IFERROR(INDEX(Cohort_Survival!$AC$5:$BB$65,60+$A72-59,60-59),0)</f>
        <v>2.76807800109046E-006</v>
      </c>
      <c r="H72" s="32" t="n">
        <f aca="false">IFERROR(INDEX(Cohort_Survival!$AC$5:$BB$65,61+$A72-59,61-59),0)</f>
        <v>0</v>
      </c>
      <c r="I72" s="32" t="n">
        <f aca="false">IFERROR(INDEX(Cohort_Survival!$AC$5:$BB$65,62+$A72-59,62-59),0)</f>
        <v>0</v>
      </c>
      <c r="J72" s="32" t="n">
        <f aca="false">IFERROR(INDEX(Cohort_Survival!$AC$5:$BB$65,63+$A72-59,63-59),0)</f>
        <v>0</v>
      </c>
      <c r="K72" s="32" t="n">
        <f aca="false">IFERROR(INDEX(Cohort_Survival!$AC$5:$BB$65,64+$A72-59,64-59),0)</f>
        <v>0</v>
      </c>
      <c r="L72" s="32" t="n">
        <f aca="false">IFERROR(INDEX(Cohort_Survival!$AC$5:$BB$65,65+$A72-59,65-59),0)</f>
        <v>0</v>
      </c>
      <c r="M72" s="32" t="n">
        <f aca="false">IFERROR(INDEX(Cohort_Survival!$AC$5:$BB$65,66+$A72-59,66-59),0)</f>
        <v>0</v>
      </c>
      <c r="N72" s="32" t="n">
        <f aca="false">IFERROR(INDEX(Cohort_Survival!$AC$5:$BB$65,67+$A72-59,67-59),0)</f>
        <v>0</v>
      </c>
      <c r="O72" s="32" t="n">
        <f aca="false">IFERROR(INDEX(Cohort_Survival!$AC$5:$BB$65,68+$A72-59,68-59),0)</f>
        <v>0</v>
      </c>
      <c r="P72" s="32" t="n">
        <f aca="false">IFERROR(INDEX(Cohort_Survival!$AC$5:$BB$65,69+$A72-59,69-59),0)</f>
        <v>0</v>
      </c>
      <c r="Q72" s="32" t="n">
        <f aca="false">IFERROR(INDEX(Cohort_Survival!$AC$5:$BB$65,70+$A72-59,70-59),0)</f>
        <v>0</v>
      </c>
      <c r="R72" s="32" t="n">
        <f aca="false">IFERROR(INDEX(Cohort_Survival!$AC$5:$BB$65,71+$A72-59,71-59),0)</f>
        <v>0</v>
      </c>
      <c r="S72" s="32" t="n">
        <f aca="false">IFERROR(INDEX(Cohort_Survival!$AC$5:$BB$65,72+$A72-59,72-59),0)</f>
        <v>0</v>
      </c>
      <c r="T72" s="32" t="n">
        <f aca="false">IFERROR(INDEX(Cohort_Survival!$AC$5:$BB$65,73+$A72-59,73-59),0)</f>
        <v>0</v>
      </c>
      <c r="U72" s="32" t="n">
        <f aca="false">IFERROR(INDEX(Cohort_Survival!$AC$5:$BB$65,74+$A72-59,74-59),0)</f>
        <v>0</v>
      </c>
      <c r="V72" s="32" t="n">
        <f aca="false">IFERROR(INDEX(Cohort_Survival!$AC$5:$BB$65,75+$A72-59,75-59),0)</f>
        <v>0</v>
      </c>
      <c r="X72" s="39" t="n">
        <f aca="false">IF(($A72+1)=1,Assumptions!$B$16,IF(($A72+1)=2,Assumptions!$B$17,IF(($A72+1)&lt;=5,Assumptions!$B$18,Assumptions!$B$19)))*(1-Assumptions!$B$20)</f>
        <v>0.0091</v>
      </c>
      <c r="Y72" s="32" t="n">
        <f aca="false">Y71*(1-MIN(1,X71*(1+Assumptions!$B$23)))</f>
        <v>0.401599125808525</v>
      </c>
      <c r="Z72" s="32" t="n">
        <f aca="false">Z71*(1-MIN(1,X71*(1-Assumptions!$B$23)))</f>
        <v>0.739148930889061</v>
      </c>
    </row>
    <row r="74" customFormat="false" ht="15" hidden="false" customHeight="true" outlineLevel="0" collapsed="false">
      <c r="A74" s="7" t="s">
        <v>1673</v>
      </c>
      <c r="X74" s="7" t="s">
        <v>1674</v>
      </c>
    </row>
    <row r="78" customFormat="false" ht="15" hidden="false" customHeight="true" outlineLevel="0" collapsed="false">
      <c r="A78" s="6" t="s">
        <v>1675</v>
      </c>
    </row>
    <row r="79" customFormat="false" ht="15" hidden="false" customHeight="true" outlineLevel="0" collapsed="false">
      <c r="A79" s="7" t="s">
        <v>1676</v>
      </c>
    </row>
    <row r="81" customFormat="false" ht="15" hidden="false" customHeight="true" outlineLevel="0" collapsed="false">
      <c r="A81" s="3" t="s">
        <v>1677</v>
      </c>
    </row>
    <row r="82" customFormat="false" ht="15" hidden="false" customHeight="true" outlineLevel="0" collapsed="false">
      <c r="A82" s="8" t="s">
        <v>1556</v>
      </c>
      <c r="B82" s="8" t="n">
        <v>75</v>
      </c>
      <c r="C82" s="8" t="n">
        <v>76</v>
      </c>
      <c r="D82" s="8" t="n">
        <v>77</v>
      </c>
      <c r="E82" s="8" t="n">
        <v>78</v>
      </c>
      <c r="F82" s="8" t="n">
        <v>79</v>
      </c>
      <c r="G82" s="8" t="n">
        <v>80</v>
      </c>
      <c r="H82" s="8" t="n">
        <v>81</v>
      </c>
      <c r="I82" s="8" t="n">
        <v>82</v>
      </c>
      <c r="J82" s="8" t="n">
        <v>83</v>
      </c>
      <c r="K82" s="8" t="n">
        <v>84</v>
      </c>
      <c r="L82" s="8" t="n">
        <v>85</v>
      </c>
      <c r="M82" s="8" t="n">
        <v>86</v>
      </c>
      <c r="N82" s="8" t="n">
        <v>87</v>
      </c>
      <c r="O82" s="8" t="n">
        <v>88</v>
      </c>
      <c r="P82" s="8" t="n">
        <v>89</v>
      </c>
      <c r="Q82" s="8" t="n">
        <v>90</v>
      </c>
    </row>
    <row r="83" customFormat="false" ht="15" hidden="false" customHeight="true" outlineLevel="0" collapsed="false">
      <c r="A83" s="3" t="n">
        <v>60</v>
      </c>
      <c r="B83" s="11" t="n">
        <f aca="false">SUMPRODUCT(($A$12:$A$72&lt;15)*G$12:G$72*$E$12:$E$72*$B$12:$B$72)</f>
        <v>10.8372760324461</v>
      </c>
      <c r="C83" s="11" t="n">
        <f aca="false">SUMPRODUCT(($A$12:$A$72&lt;16)*G$12:G$72*$E$12:$E$72*$B$12:$B$72)</f>
        <v>11.3101837003792</v>
      </c>
      <c r="D83" s="11" t="n">
        <f aca="false">SUMPRODUCT(($A$12:$A$72&lt;17)*G$12:G$72*$E$12:$E$72*$B$12:$B$72)</f>
        <v>11.7561774941794</v>
      </c>
      <c r="E83" s="11" t="n">
        <f aca="false">SUMPRODUCT(($A$12:$A$72&lt;18)*G$12:G$72*$E$12:$E$72*$B$12:$B$72)</f>
        <v>12.176881514748</v>
      </c>
      <c r="F83" s="11" t="n">
        <f aca="false">SUMPRODUCT(($A$12:$A$72&lt;19)*G$12:G$72*$E$12:$E$72*$B$12:$B$72)</f>
        <v>12.5734176039609</v>
      </c>
      <c r="G83" s="11" t="n">
        <f aca="false">SUMPRODUCT(($A$12:$A$72&lt;20)*G$12:G$72*$E$12:$E$72*$B$12:$B$72)</f>
        <v>12.9467364704478</v>
      </c>
      <c r="H83" s="11" t="n">
        <f aca="false">SUMPRODUCT(($A$12:$A$72&lt;21)*G$12:G$72*$E$12:$E$72*$B$12:$B$72)</f>
        <v>13.2974769128018</v>
      </c>
      <c r="I83" s="11" t="n">
        <f aca="false">SUMPRODUCT(($A$12:$A$72&lt;22)*G$12:G$72*$E$12:$E$72*$B$12:$B$72)</f>
        <v>13.6258326577795</v>
      </c>
      <c r="J83" s="11" t="n">
        <f aca="false">SUMPRODUCT(($A$12:$A$72&lt;23)*G$12:G$72*$E$12:$E$72*$B$12:$B$72)</f>
        <v>13.9322591488306</v>
      </c>
      <c r="K83" s="11" t="n">
        <f aca="false">SUMPRODUCT(($A$12:$A$72&lt;24)*G$12:G$72*$E$12:$E$72*$B$12:$B$72)</f>
        <v>14.2172008853156</v>
      </c>
      <c r="L83" s="11" t="n">
        <f aca="false">SUMPRODUCT(($A$12:$A$72&lt;25)*G$12:G$72*$E$12:$E$72*$B$12:$B$72)</f>
        <v>14.481040337881</v>
      </c>
      <c r="M83" s="11" t="n">
        <f aca="false">SUMPRODUCT(($A$12:$A$72&lt;26)*G$12:G$72*$E$12:$E$72*$B$12:$B$72)</f>
        <v>14.7242960992715</v>
      </c>
      <c r="N83" s="11" t="n">
        <f aca="false">SUMPRODUCT(($A$12:$A$72&lt;27)*G$12:G$72*$E$12:$E$72*$B$12:$B$72)</f>
        <v>14.9470474434755</v>
      </c>
      <c r="O83" s="11" t="n">
        <f aca="false">SUMPRODUCT(($A$12:$A$72&lt;28)*G$12:G$72*$E$12:$E$72*$B$12:$B$72)</f>
        <v>15.1497116120783</v>
      </c>
      <c r="P83" s="11" t="n">
        <f aca="false">SUMPRODUCT(($A$12:$A$72&lt;29)*G$12:G$72*$E$12:$E$72*$B$12:$B$72)</f>
        <v>15.3326443582441</v>
      </c>
      <c r="Q83" s="11" t="n">
        <f aca="false">SUMPRODUCT(($A$12:$A$72&lt;30)*G$12:G$72*$E$12:$E$72*$B$12:$B$72)</f>
        <v>15.4963271749523</v>
      </c>
    </row>
    <row r="84" customFormat="false" ht="15" hidden="false" customHeight="true" outlineLevel="0" collapsed="false">
      <c r="A84" s="3" t="n">
        <v>61</v>
      </c>
      <c r="B84" s="11" t="n">
        <f aca="false">SUMPRODUCT(($A$12:$A$72&lt;14)*H$12:H$72*$E$12:$E$72*$B$12:$B$72)</f>
        <v>10.3043716486607</v>
      </c>
      <c r="C84" s="11" t="n">
        <f aca="false">SUMPRODUCT(($A$12:$A$72&lt;15)*H$12:H$72*$E$12:$E$72*$B$12:$B$72)</f>
        <v>10.800066909196</v>
      </c>
      <c r="D84" s="11" t="n">
        <f aca="false">SUMPRODUCT(($A$12:$A$72&lt;16)*H$12:H$72*$E$12:$E$72*$B$12:$B$72)</f>
        <v>11.2669796858313</v>
      </c>
      <c r="E84" s="11" t="n">
        <f aca="false">SUMPRODUCT(($A$12:$A$72&lt;17)*H$12:H$72*$E$12:$E$72*$B$12:$B$72)</f>
        <v>11.7064964525292</v>
      </c>
      <c r="F84" s="11" t="n">
        <f aca="false">SUMPRODUCT(($A$12:$A$72&lt;18)*H$12:H$72*$E$12:$E$72*$B$12:$B$72)</f>
        <v>12.1202124537694</v>
      </c>
      <c r="G84" s="11" t="n">
        <f aca="false">SUMPRODUCT(($A$12:$A$72&lt;19)*H$12:H$72*$E$12:$E$72*$B$12:$B$72)</f>
        <v>12.5092264750892</v>
      </c>
      <c r="H84" s="11" t="n">
        <f aca="false">SUMPRODUCT(($A$12:$A$72&lt;20)*H$12:H$72*$E$12:$E$72*$B$12:$B$72)</f>
        <v>12.8744694116765</v>
      </c>
      <c r="I84" s="11" t="n">
        <f aca="false">SUMPRODUCT(($A$12:$A$72&lt;21)*H$12:H$72*$E$12:$E$72*$B$12:$B$72)</f>
        <v>13.2162747256173</v>
      </c>
      <c r="J84" s="11" t="n">
        <f aca="false">SUMPRODUCT(($A$12:$A$72&lt;22)*H$12:H$72*$E$12:$E$72*$B$12:$B$72)</f>
        <v>13.5351180201685</v>
      </c>
      <c r="K84" s="11" t="n">
        <f aca="false">SUMPRODUCT(($A$12:$A$72&lt;23)*H$12:H$72*$E$12:$E$72*$B$12:$B$72)</f>
        <v>13.8314643784952</v>
      </c>
      <c r="L84" s="11" t="n">
        <f aca="false">SUMPRODUCT(($A$12:$A$72&lt;24)*H$12:H$72*$E$12:$E$72*$B$12:$B$72)</f>
        <v>14.1057793174045</v>
      </c>
      <c r="M84" s="11" t="n">
        <f aca="false">SUMPRODUCT(($A$12:$A$72&lt;25)*H$12:H$72*$E$12:$E$72*$B$12:$B$72)</f>
        <v>14.3584822934863</v>
      </c>
      <c r="N84" s="11" t="n">
        <f aca="false">SUMPRODUCT(($A$12:$A$72&lt;26)*H$12:H$72*$E$12:$E$72*$B$12:$B$72)</f>
        <v>14.5897771409922</v>
      </c>
      <c r="O84" s="11" t="n">
        <f aca="false">SUMPRODUCT(($A$12:$A$72&lt;27)*H$12:H$72*$E$12:$E$72*$B$12:$B$72)</f>
        <v>14.7999974831364</v>
      </c>
      <c r="P84" s="11" t="n">
        <f aca="false">SUMPRODUCT(($A$12:$A$72&lt;28)*H$12:H$72*$E$12:$E$72*$B$12:$B$72)</f>
        <v>14.9896375475695</v>
      </c>
      <c r="Q84" s="11" t="n">
        <f aca="false">SUMPRODUCT(($A$12:$A$72&lt;29)*H$12:H$72*$E$12:$E$72*$B$12:$B$72)</f>
        <v>15.1591634291075</v>
      </c>
    </row>
    <row r="85" customFormat="false" ht="15" hidden="false" customHeight="true" outlineLevel="0" collapsed="false">
      <c r="A85" s="3" t="n">
        <v>62</v>
      </c>
      <c r="B85" s="11" t="n">
        <f aca="false">SUMPRODUCT(($A$12:$A$72&lt;13)*I$12:I$72*$E$12:$E$72*$B$12:$B$72)</f>
        <v>9.74976610317195</v>
      </c>
      <c r="C85" s="11" t="n">
        <f aca="false">SUMPRODUCT(($A$12:$A$72&lt;14)*I$12:I$72*$E$12:$E$72*$B$12:$B$72)</f>
        <v>10.2681645587456</v>
      </c>
      <c r="D85" s="11" t="n">
        <f aca="false">SUMPRODUCT(($A$12:$A$72&lt;15)*I$12:I$72*$E$12:$E$72*$B$12:$B$72)</f>
        <v>10.7576363309164</v>
      </c>
      <c r="E85" s="11" t="n">
        <f aca="false">SUMPRODUCT(($A$12:$A$72&lt;16)*I$12:I$72*$E$12:$E$72*$B$12:$B$72)</f>
        <v>11.2178116343743</v>
      </c>
      <c r="F85" s="11" t="n">
        <f aca="false">SUMPRODUCT(($A$12:$A$72&lt;17)*I$12:I$72*$E$12:$E$72*$B$12:$B$72)</f>
        <v>11.6500544238614</v>
      </c>
      <c r="G85" s="11" t="n">
        <f aca="false">SUMPRODUCT(($A$12:$A$72&lt;18)*I$12:I$72*$E$12:$E$72*$B$12:$B$72)</f>
        <v>12.0559322455033</v>
      </c>
      <c r="H85" s="11" t="n">
        <f aca="false">SUMPRODUCT(($A$12:$A$72&lt;19)*I$12:I$72*$E$12:$E$72*$B$12:$B$72)</f>
        <v>12.4365238860213</v>
      </c>
      <c r="I85" s="11" t="n">
        <f aca="false">SUMPRODUCT(($A$12:$A$72&lt;20)*I$12:I$72*$E$12:$E$72*$B$12:$B$72)</f>
        <v>12.7924339198608</v>
      </c>
      <c r="J85" s="11" t="n">
        <f aca="false">SUMPRODUCT(($A$12:$A$72&lt;21)*I$12:I$72*$E$12:$E$72*$B$12:$B$72)</f>
        <v>13.1242920744082</v>
      </c>
      <c r="K85" s="11" t="n">
        <f aca="false">SUMPRODUCT(($A$12:$A$72&lt;22)*I$12:I$72*$E$12:$E$72*$B$12:$B$72)</f>
        <v>13.4325852786807</v>
      </c>
      <c r="L85" s="11" t="n">
        <f aca="false">SUMPRODUCT(($A$12:$A$72&lt;23)*I$12:I$72*$E$12:$E$72*$B$12:$B$72)</f>
        <v>13.7178021044843</v>
      </c>
      <c r="M85" s="11" t="n">
        <f aca="false">SUMPRODUCT(($A$12:$A$72&lt;24)*I$12:I$72*$E$12:$E$72*$B$12:$B$72)</f>
        <v>13.9804458290653</v>
      </c>
      <c r="N85" s="11" t="n">
        <f aca="false">SUMPRODUCT(($A$12:$A$72&lt;25)*I$12:I$72*$E$12:$E$72*$B$12:$B$72)</f>
        <v>14.2206108042314</v>
      </c>
      <c r="O85" s="11" t="n">
        <f aca="false">SUMPRODUCT(($A$12:$A$72&lt;26)*I$12:I$72*$E$12:$E$72*$B$12:$B$72)</f>
        <v>14.4387731766699</v>
      </c>
      <c r="P85" s="11" t="n">
        <f aca="false">SUMPRODUCT(($A$12:$A$72&lt;27)*I$12:I$72*$E$12:$E$72*$B$12:$B$72)</f>
        <v>14.6353567598623</v>
      </c>
      <c r="Q85" s="11" t="n">
        <f aca="false">SUMPRODUCT(($A$12:$A$72&lt;28)*I$12:I$72*$E$12:$E$72*$B$12:$B$72)</f>
        <v>14.810967395104</v>
      </c>
    </row>
    <row r="86" customFormat="false" ht="15" hidden="false" customHeight="true" outlineLevel="0" collapsed="false">
      <c r="A86" s="3" t="n">
        <v>63</v>
      </c>
      <c r="B86" s="11" t="n">
        <f aca="false">SUMPRODUCT(($A$12:$A$72&lt;12)*J$12:J$72*$E$12:$E$72*$B$12:$B$72)</f>
        <v>9.17208021105075</v>
      </c>
      <c r="C86" s="11" t="n">
        <f aca="false">SUMPRODUCT(($A$12:$A$72&lt;13)*J$12:J$72*$E$12:$E$72*$B$12:$B$72)</f>
        <v>9.71480920387566</v>
      </c>
      <c r="D86" s="11" t="n">
        <f aca="false">SUMPRODUCT(($A$12:$A$72&lt;14)*J$12:J$72*$E$12:$E$72*$B$12:$B$72)</f>
        <v>10.2267826216922</v>
      </c>
      <c r="E86" s="11" t="n">
        <f aca="false">SUMPRODUCT(($A$12:$A$72&lt;15)*J$12:J$72*$E$12:$E$72*$B$12:$B$72)</f>
        <v>10.7092559023442</v>
      </c>
      <c r="F86" s="11" t="n">
        <f aca="false">SUMPRODUCT(($A$12:$A$72&lt;16)*J$12:J$72*$E$12:$E$72*$B$12:$B$72)</f>
        <v>11.1618607450346</v>
      </c>
      <c r="G86" s="11" t="n">
        <f aca="false">SUMPRODUCT(($A$12:$A$72&lt;17)*J$12:J$72*$E$12:$E$72*$B$12:$B$72)</f>
        <v>11.5859408465138</v>
      </c>
      <c r="H86" s="11" t="n">
        <f aca="false">SUMPRODUCT(($A$12:$A$72&lt;18)*J$12:J$72*$E$12:$E$72*$B$12:$B$72)</f>
        <v>11.9830389296416</v>
      </c>
      <c r="I86" s="11" t="n">
        <f aca="false">SUMPRODUCT(($A$12:$A$72&lt;19)*J$12:J$72*$E$12:$E$72*$B$12:$B$72)</f>
        <v>12.3538895783675</v>
      </c>
      <c r="J86" s="11" t="n">
        <f aca="false">SUMPRODUCT(($A$12:$A$72&lt;20)*J$12:J$72*$E$12:$E$72*$B$12:$B$72)</f>
        <v>12.6994074279417</v>
      </c>
      <c r="K86" s="11" t="n">
        <f aca="false">SUMPRODUCT(($A$12:$A$72&lt;21)*J$12:J$72*$E$12:$E$72*$B$12:$B$72)</f>
        <v>13.0202320156448</v>
      </c>
      <c r="L86" s="11" t="n">
        <f aca="false">SUMPRODUCT(($A$12:$A$72&lt;22)*J$12:J$72*$E$12:$E$72*$B$12:$B$72)</f>
        <v>13.3168764843181</v>
      </c>
      <c r="M86" s="11" t="n">
        <f aca="false">SUMPRODUCT(($A$12:$A$72&lt;23)*J$12:J$72*$E$12:$E$72*$B$12:$B$72)</f>
        <v>13.5898708491735</v>
      </c>
      <c r="N86" s="11" t="n">
        <f aca="false">SUMPRODUCT(($A$12:$A$72&lt;24)*J$12:J$72*$E$12:$E$72*$B$12:$B$72)</f>
        <v>13.8393739901866</v>
      </c>
      <c r="O86" s="11" t="n">
        <f aca="false">SUMPRODUCT(($A$12:$A$72&lt;25)*J$12:J$72*$E$12:$E$72*$B$12:$B$72)</f>
        <v>14.0657841053048</v>
      </c>
      <c r="P86" s="11" t="n">
        <f aca="false">SUMPRODUCT(($A$12:$A$72&lt;26)*J$12:J$72*$E$12:$E$72*$B$12:$B$72)</f>
        <v>14.2696685567798</v>
      </c>
      <c r="Q86" s="11" t="n">
        <f aca="false">SUMPRODUCT(($A$12:$A$72&lt;27)*J$12:J$72*$E$12:$E$72*$B$12:$B$72)</f>
        <v>14.4515783463397</v>
      </c>
    </row>
    <row r="87" customFormat="false" ht="15" hidden="false" customHeight="true" outlineLevel="0" collapsed="false">
      <c r="A87" s="3" t="n">
        <v>64</v>
      </c>
      <c r="B87" s="11" t="n">
        <f aca="false">SUMPRODUCT(($A$12:$A$72&lt;11)*K$12:K$72*$E$12:$E$72*$B$12:$B$72)</f>
        <v>8.57003521139662</v>
      </c>
      <c r="C87" s="11" t="n">
        <f aca="false">SUMPRODUCT(($A$12:$A$72&lt;12)*K$12:K$72*$E$12:$E$72*$B$12:$B$72)</f>
        <v>9.13863807875079</v>
      </c>
      <c r="D87" s="11" t="n">
        <f aca="false">SUMPRODUCT(($A$12:$A$72&lt;13)*K$12:K$72*$E$12:$E$72*$B$12:$B$72)</f>
        <v>9.67475245594295</v>
      </c>
      <c r="E87" s="11" t="n">
        <f aca="false">SUMPRODUCT(($A$12:$A$72&lt;14)*K$12:K$72*$E$12:$E$72*$B$12:$B$72)</f>
        <v>10.1794960131705</v>
      </c>
      <c r="F87" s="11" t="n">
        <f aca="false">SUMPRODUCT(($A$12:$A$72&lt;15)*K$12:K$72*$E$12:$E$72*$B$12:$B$72)</f>
        <v>10.654100888981</v>
      </c>
      <c r="G87" s="11" t="n">
        <f aca="false">SUMPRODUCT(($A$12:$A$72&lt;16)*K$12:K$72*$E$12:$E$72*$B$12:$B$72)</f>
        <v>11.09820589636</v>
      </c>
      <c r="H87" s="11" t="n">
        <f aca="false">SUMPRODUCT(($A$12:$A$72&lt;17)*K$12:K$72*$E$12:$E$72*$B$12:$B$72)</f>
        <v>11.5131386789064</v>
      </c>
      <c r="I87" s="11" t="n">
        <f aca="false">SUMPRODUCT(($A$12:$A$72&lt;18)*K$12:K$72*$E$12:$E$72*$B$12:$B$72)</f>
        <v>11.9000731763479</v>
      </c>
      <c r="J87" s="11" t="n">
        <f aca="false">SUMPRODUCT(($A$12:$A$72&lt;19)*K$12:K$72*$E$12:$E$72*$B$12:$B$72)</f>
        <v>12.2600743718562</v>
      </c>
      <c r="K87" s="11" t="n">
        <f aca="false">SUMPRODUCT(($A$12:$A$72&lt;20)*K$12:K$72*$E$12:$E$72*$B$12:$B$72)</f>
        <v>12.5940630478154</v>
      </c>
      <c r="L87" s="11" t="n">
        <f aca="false">SUMPRODUCT(($A$12:$A$72&lt;21)*K$12:K$72*$E$12:$E$72*$B$12:$B$72)</f>
        <v>12.9027041780471</v>
      </c>
      <c r="M87" s="11" t="n">
        <f aca="false">SUMPRODUCT(($A$12:$A$72&lt;22)*K$12:K$72*$E$12:$E$72*$B$12:$B$72)</f>
        <v>13.1865563838879</v>
      </c>
      <c r="N87" s="11" t="n">
        <f aca="false">SUMPRODUCT(($A$12:$A$72&lt;23)*K$12:K$72*$E$12:$E$72*$B$12:$B$72)</f>
        <v>13.4457880181692</v>
      </c>
      <c r="O87" s="11" t="n">
        <f aca="false">SUMPRODUCT(($A$12:$A$72&lt;24)*K$12:K$72*$E$12:$E$72*$B$12:$B$72)</f>
        <v>13.6808864228079</v>
      </c>
      <c r="P87" s="11" t="n">
        <f aca="false">SUMPRODUCT(($A$12:$A$72&lt;25)*K$12:K$72*$E$12:$E$72*$B$12:$B$72)</f>
        <v>13.8923553996616</v>
      </c>
      <c r="Q87" s="11" t="n">
        <f aca="false">SUMPRODUCT(($A$12:$A$72&lt;26)*K$12:K$72*$E$12:$E$72*$B$12:$B$72)</f>
        <v>14.0808918983683</v>
      </c>
    </row>
    <row r="88" customFormat="false" ht="15" hidden="false" customHeight="true" outlineLevel="0" collapsed="false">
      <c r="A88" s="3" t="n">
        <v>65</v>
      </c>
      <c r="B88" s="11" t="n">
        <f aca="false">SUMPRODUCT(($A$12:$A$72&lt;10)*L$12:L$72*$E$12:$E$72*$B$12:$B$72)</f>
        <v>7.94418186406786</v>
      </c>
      <c r="C88" s="11" t="n">
        <f aca="false">SUMPRODUCT(($A$12:$A$72&lt;11)*L$12:L$72*$E$12:$E$72*$B$12:$B$72)</f>
        <v>8.53838035690675</v>
      </c>
      <c r="D88" s="11" t="n">
        <f aca="false">SUMPRODUCT(($A$12:$A$72&lt;12)*L$12:L$72*$E$12:$E$72*$B$12:$B$72)</f>
        <v>9.10020015773415</v>
      </c>
      <c r="E88" s="11" t="n">
        <f aca="false">SUMPRODUCT(($A$12:$A$72&lt;13)*L$12:L$72*$E$12:$E$72*$B$12:$B$72)</f>
        <v>9.62886596691388</v>
      </c>
      <c r="F88" s="11" t="n">
        <f aca="false">SUMPRODUCT(($A$12:$A$72&lt;14)*L$12:L$72*$E$12:$E$72*$B$12:$B$72)</f>
        <v>10.1254756263605</v>
      </c>
      <c r="G88" s="11" t="n">
        <f aca="false">SUMPRODUCT(($A$12:$A$72&lt;15)*L$12:L$72*$E$12:$E$72*$B$12:$B$72)</f>
        <v>10.5912409489156</v>
      </c>
      <c r="H88" s="11" t="n">
        <f aca="false">SUMPRODUCT(($A$12:$A$72&lt;16)*L$12:L$72*$E$12:$E$72*$B$12:$B$72)</f>
        <v>11.025815961631</v>
      </c>
      <c r="I88" s="11" t="n">
        <f aca="false">SUMPRODUCT(($A$12:$A$72&lt;17)*L$12:L$72*$E$12:$E$72*$B$12:$B$72)</f>
        <v>11.4301484849193</v>
      </c>
      <c r="J88" s="11" t="n">
        <f aca="false">SUMPRODUCT(($A$12:$A$72&lt;18)*L$12:L$72*$E$12:$E$72*$B$12:$B$72)</f>
        <v>11.8057592172322</v>
      </c>
      <c r="K88" s="11" t="n">
        <f aca="false">SUMPRODUCT(($A$12:$A$72&lt;19)*L$12:L$72*$E$12:$E$72*$B$12:$B$72)</f>
        <v>12.1537212303253</v>
      </c>
      <c r="L88" s="11" t="n">
        <f aca="false">SUMPRODUCT(($A$12:$A$72&lt;20)*L$12:L$72*$E$12:$E$72*$B$12:$B$72)</f>
        <v>12.4749776079143</v>
      </c>
      <c r="M88" s="11" t="n">
        <f aca="false">SUMPRODUCT(($A$12:$A$72&lt;21)*L$12:L$72*$E$12:$E$72*$B$12:$B$72)</f>
        <v>12.7702390287421</v>
      </c>
      <c r="N88" s="11" t="n">
        <f aca="false">SUMPRODUCT(($A$12:$A$72&lt;22)*L$12:L$72*$E$12:$E$72*$B$12:$B$72)</f>
        <v>13.0396842294815</v>
      </c>
      <c r="O88" s="11" t="n">
        <f aca="false">SUMPRODUCT(($A$12:$A$72&lt;23)*L$12:L$72*$E$12:$E$72*$B$12:$B$72)</f>
        <v>13.2838401724105</v>
      </c>
      <c r="P88" s="11" t="n">
        <f aca="false">SUMPRODUCT(($A$12:$A$72&lt;24)*L$12:L$72*$E$12:$E$72*$B$12:$B$72)</f>
        <v>13.5033049369746</v>
      </c>
      <c r="Q88" s="11" t="n">
        <f aca="false">SUMPRODUCT(($A$12:$A$72&lt;25)*L$12:L$72*$E$12:$E$72*$B$12:$B$72)</f>
        <v>13.6987288804702</v>
      </c>
    </row>
    <row r="89" customFormat="false" ht="15" hidden="false" customHeight="true" outlineLevel="0" collapsed="false">
      <c r="A89" s="3" t="n">
        <v>66</v>
      </c>
      <c r="B89" s="11" t="n">
        <f aca="false">SUMPRODUCT(($A$12:$A$72&lt;9)*M$12:M$72*$E$12:$E$72*$B$12:$B$72)</f>
        <v>7.29368465266084</v>
      </c>
      <c r="C89" s="11" t="n">
        <f aca="false">SUMPRODUCT(($A$12:$A$72&lt;10)*M$12:M$72*$E$12:$E$72*$B$12:$B$72)</f>
        <v>7.91662418269679</v>
      </c>
      <c r="D89" s="11" t="n">
        <f aca="false">SUMPRODUCT(($A$12:$A$72&lt;11)*M$12:M$72*$E$12:$E$72*$B$12:$B$72)</f>
        <v>8.50407618221991</v>
      </c>
      <c r="E89" s="11" t="n">
        <f aca="false">SUMPRODUCT(($A$12:$A$72&lt;12)*M$12:M$72*$E$12:$E$72*$B$12:$B$72)</f>
        <v>9.05839584308002</v>
      </c>
      <c r="F89" s="11" t="n">
        <f aca="false">SUMPRODUCT(($A$12:$A$72&lt;13)*M$12:M$72*$E$12:$E$72*$B$12:$B$72)</f>
        <v>9.57881094373192</v>
      </c>
      <c r="G89" s="11" t="n">
        <f aca="false">SUMPRODUCT(($A$12:$A$72&lt;14)*M$12:M$72*$E$12:$E$72*$B$12:$B$72)</f>
        <v>10.0664036141043</v>
      </c>
      <c r="H89" s="11" t="n">
        <f aca="false">SUMPRODUCT(($A$12:$A$72&lt;15)*M$12:M$72*$E$12:$E$72*$B$12:$B$72)</f>
        <v>10.5223709402855</v>
      </c>
      <c r="I89" s="11" t="n">
        <f aca="false">SUMPRODUCT(($A$12:$A$72&lt;16)*M$12:M$72*$E$12:$E$72*$B$12:$B$72)</f>
        <v>10.9459990407747</v>
      </c>
      <c r="J89" s="11" t="n">
        <f aca="false">SUMPRODUCT(($A$12:$A$72&lt;17)*M$12:M$72*$E$12:$E$72*$B$12:$B$72)</f>
        <v>11.3386188974342</v>
      </c>
      <c r="K89" s="11" t="n">
        <f aca="false">SUMPRODUCT(($A$12:$A$72&lt;18)*M$12:M$72*$E$12:$E$72*$B$12:$B$72)</f>
        <v>11.7017550200925</v>
      </c>
      <c r="L89" s="11" t="n">
        <f aca="false">SUMPRODUCT(($A$12:$A$72&lt;19)*M$12:M$72*$E$12:$E$72*$B$12:$B$72)</f>
        <v>12.036506190346</v>
      </c>
      <c r="M89" s="11" t="n">
        <f aca="false">SUMPRODUCT(($A$12:$A$72&lt;20)*M$12:M$72*$E$12:$E$72*$B$12:$B$72)</f>
        <v>12.3438591014791</v>
      </c>
      <c r="N89" s="11" t="n">
        <f aca="false">SUMPRODUCT(($A$12:$A$72&lt;21)*M$12:M$72*$E$12:$E$72*$B$12:$B$72)</f>
        <v>12.6241207320356</v>
      </c>
      <c r="O89" s="11" t="n">
        <f aca="false">SUMPRODUCT(($A$12:$A$72&lt;22)*M$12:M$72*$E$12:$E$72*$B$12:$B$72)</f>
        <v>12.8778612799288</v>
      </c>
      <c r="P89" s="11" t="n">
        <f aca="false">SUMPRODUCT(($A$12:$A$72&lt;23)*M$12:M$72*$E$12:$E$72*$B$12:$B$72)</f>
        <v>13.1057279251795</v>
      </c>
      <c r="Q89" s="11" t="n">
        <f aca="false">SUMPRODUCT(($A$12:$A$72&lt;24)*M$12:M$72*$E$12:$E$72*$B$12:$B$72)</f>
        <v>13.3084725314215</v>
      </c>
    </row>
    <row r="90" customFormat="false" ht="15" hidden="false" customHeight="true" outlineLevel="0" collapsed="false">
      <c r="A90" s="3" t="n">
        <v>67</v>
      </c>
      <c r="B90" s="11" t="n">
        <f aca="false">SUMPRODUCT(($A$12:$A$72&lt;8)*N$12:N$72*$E$12:$E$72*$B$12:$B$72)</f>
        <v>6.61686056224287</v>
      </c>
      <c r="C90" s="11" t="n">
        <f aca="false">SUMPRODUCT(($A$12:$A$72&lt;9)*N$12:N$72*$E$12:$E$72*$B$12:$B$72)</f>
        <v>7.26879119726717</v>
      </c>
      <c r="D90" s="11" t="n">
        <f aca="false">SUMPRODUCT(($A$12:$A$72&lt;10)*N$12:N$72*$E$12:$E$72*$B$12:$B$72)</f>
        <v>7.88492132255689</v>
      </c>
      <c r="E90" s="11" t="n">
        <f aca="false">SUMPRODUCT(($A$12:$A$72&lt;11)*N$12:N$72*$E$12:$E$72*$B$12:$B$72)</f>
        <v>8.46476076852148</v>
      </c>
      <c r="F90" s="11" t="n">
        <f aca="false">SUMPRODUCT(($A$12:$A$72&lt;12)*N$12:N$72*$E$12:$E$72*$B$12:$B$72)</f>
        <v>9.01062627785211</v>
      </c>
      <c r="G90" s="11" t="n">
        <f aca="false">SUMPRODUCT(($A$12:$A$72&lt;13)*N$12:N$72*$E$12:$E$72*$B$12:$B$72)</f>
        <v>9.52175594728814</v>
      </c>
      <c r="H90" s="11" t="n">
        <f aca="false">SUMPRODUCT(($A$12:$A$72&lt;14)*N$12:N$72*$E$12:$E$72*$B$12:$B$72)</f>
        <v>9.99922262131236</v>
      </c>
      <c r="I90" s="11" t="n">
        <f aca="false">SUMPRODUCT(($A$12:$A$72&lt;15)*N$12:N$72*$E$12:$E$72*$B$12:$B$72)</f>
        <v>10.4437967552862</v>
      </c>
      <c r="J90" s="11" t="n">
        <f aca="false">SUMPRODUCT(($A$12:$A$72&lt;16)*N$12:N$72*$E$12:$E$72*$B$12:$B$72)</f>
        <v>10.8552138611103</v>
      </c>
      <c r="K90" s="11" t="n">
        <f aca="false">SUMPRODUCT(($A$12:$A$72&lt;17)*N$12:N$72*$E$12:$E$72*$B$12:$B$72)</f>
        <v>11.234823966879</v>
      </c>
      <c r="L90" s="11" t="n">
        <f aca="false">SUMPRODUCT(($A$12:$A$72&lt;18)*N$12:N$72*$E$12:$E$72*$B$12:$B$72)</f>
        <v>11.5841732907128</v>
      </c>
      <c r="M90" s="11" t="n">
        <f aca="false">SUMPRODUCT(($A$12:$A$72&lt;19)*N$12:N$72*$E$12:$E$72*$B$12:$B$72)</f>
        <v>11.9044089246133</v>
      </c>
      <c r="N90" s="11" t="n">
        <f aca="false">SUMPRODUCT(($A$12:$A$72&lt;20)*N$12:N$72*$E$12:$E$72*$B$12:$B$72)</f>
        <v>12.1960854239486</v>
      </c>
      <c r="O90" s="11" t="n">
        <f aca="false">SUMPRODUCT(($A$12:$A$72&lt;21)*N$12:N$72*$E$12:$E$72*$B$12:$B$72)</f>
        <v>12.4599318242223</v>
      </c>
      <c r="P90" s="11" t="n">
        <f aca="false">SUMPRODUCT(($A$12:$A$72&lt;22)*N$12:N$72*$E$12:$E$72*$B$12:$B$72)</f>
        <v>12.6966487037594</v>
      </c>
      <c r="Q90" s="11" t="n">
        <f aca="false">SUMPRODUCT(($A$12:$A$72&lt;23)*N$12:N$72*$E$12:$E$72*$B$12:$B$72)</f>
        <v>12.907048724975</v>
      </c>
    </row>
    <row r="91" customFormat="false" ht="15" hidden="false" customHeight="true" outlineLevel="0" collapsed="false">
      <c r="A91" s="3" t="n">
        <v>68</v>
      </c>
      <c r="B91" s="11" t="n">
        <f aca="false">SUMPRODUCT(($A$12:$A$72&lt;7)*O$12:O$72*$E$12:$E$72*$B$12:$B$72)</f>
        <v>5.91280243024152</v>
      </c>
      <c r="C91" s="11" t="n">
        <f aca="false">SUMPRODUCT(($A$12:$A$72&lt;8)*O$12:O$72*$E$12:$E$72*$B$12:$B$72)</f>
        <v>6.59488905904641</v>
      </c>
      <c r="D91" s="11" t="n">
        <f aca="false">SUMPRODUCT(($A$12:$A$72&lt;9)*O$12:O$72*$E$12:$E$72*$B$12:$B$72)</f>
        <v>7.24002375826389</v>
      </c>
      <c r="E91" s="11" t="n">
        <f aca="false">SUMPRODUCT(($A$12:$A$72&lt;10)*O$12:O$72*$E$12:$E$72*$B$12:$B$72)</f>
        <v>7.84846196284589</v>
      </c>
      <c r="F91" s="11" t="n">
        <f aca="false">SUMPRODUCT(($A$12:$A$72&lt;11)*O$12:O$72*$E$12:$E$72*$B$12:$B$72)</f>
        <v>8.41971184435839</v>
      </c>
      <c r="G91" s="11" t="n">
        <f aca="false">SUMPRODUCT(($A$12:$A$72&lt;12)*O$12:O$72*$E$12:$E$72*$B$12:$B$72)</f>
        <v>8.9560541595036</v>
      </c>
      <c r="H91" s="11" t="n">
        <f aca="false">SUMPRODUCT(($A$12:$A$72&lt;13)*O$12:O$72*$E$12:$E$72*$B$12:$B$72)</f>
        <v>9.45674771943759</v>
      </c>
      <c r="I91" s="11" t="n">
        <f aca="false">SUMPRODUCT(($A$12:$A$72&lt;14)*O$12:O$72*$E$12:$E$72*$B$12:$B$72)</f>
        <v>9.92241875241783</v>
      </c>
      <c r="J91" s="11" t="n">
        <f aca="false">SUMPRODUCT(($A$12:$A$72&lt;15)*O$12:O$72*$E$12:$E$72*$B$12:$B$72)</f>
        <v>10.3542763654415</v>
      </c>
      <c r="K91" s="11" t="n">
        <f aca="false">SUMPRODUCT(($A$12:$A$72&lt;16)*O$12:O$72*$E$12:$E$72*$B$12:$B$72)</f>
        <v>10.7521234801222</v>
      </c>
      <c r="L91" s="11" t="n">
        <f aca="false">SUMPRODUCT(($A$12:$A$72&lt;17)*O$12:O$72*$E$12:$E$72*$B$12:$B$72)</f>
        <v>11.1173498839973</v>
      </c>
      <c r="M91" s="11" t="n">
        <f aca="false">SUMPRODUCT(($A$12:$A$72&lt;18)*O$12:O$72*$E$12:$E$72*$B$12:$B$72)</f>
        <v>11.451546899055</v>
      </c>
      <c r="N91" s="11" t="n">
        <f aca="false">SUMPRODUCT(($A$12:$A$72&lt;19)*O$12:O$72*$E$12:$E$72*$B$12:$B$72)</f>
        <v>11.7554066257964</v>
      </c>
      <c r="O91" s="11" t="n">
        <f aca="false">SUMPRODUCT(($A$12:$A$72&lt;20)*O$12:O$72*$E$12:$E$72*$B$12:$B$72)</f>
        <v>12.029936026623</v>
      </c>
      <c r="P91" s="11" t="n">
        <f aca="false">SUMPRODUCT(($A$12:$A$72&lt;21)*O$12:O$72*$E$12:$E$72*$B$12:$B$72)</f>
        <v>12.2759998526822</v>
      </c>
      <c r="Q91" s="11" t="n">
        <f aca="false">SUMPRODUCT(($A$12:$A$72&lt;22)*O$12:O$72*$E$12:$E$72*$B$12:$B$72)</f>
        <v>12.4944768251113</v>
      </c>
    </row>
    <row r="92" customFormat="false" ht="15" hidden="false" customHeight="true" outlineLevel="0" collapsed="false">
      <c r="A92" s="3" t="n">
        <v>69</v>
      </c>
      <c r="B92" s="11" t="n">
        <f aca="false">SUMPRODUCT(($A$12:$A$72&lt;6)*P$12:P$72*$E$12:$E$72*$B$12:$B$72)</f>
        <v>5.18055066568034</v>
      </c>
      <c r="C92" s="11" t="n">
        <f aca="false">SUMPRODUCT(($A$12:$A$72&lt;7)*P$12:P$72*$E$12:$E$72*$B$12:$B$72)</f>
        <v>5.89396345958232</v>
      </c>
      <c r="D92" s="11" t="n">
        <f aca="false">SUMPRODUCT(($A$12:$A$72&lt;8)*P$12:P$72*$E$12:$E$72*$B$12:$B$72)</f>
        <v>6.56935149324461</v>
      </c>
      <c r="E92" s="11" t="n">
        <f aca="false">SUMPRODUCT(($A$12:$A$72&lt;9)*P$12:P$72*$E$12:$E$72*$B$12:$B$72)</f>
        <v>7.2068001837542</v>
      </c>
      <c r="F92" s="11" t="n">
        <f aca="false">SUMPRODUCT(($A$12:$A$72&lt;10)*P$12:P$72*$E$12:$E$72*$B$12:$B$72)</f>
        <v>7.80654945273459</v>
      </c>
      <c r="G92" s="11" t="n">
        <f aca="false">SUMPRODUCT(($A$12:$A$72&lt;11)*P$12:P$72*$E$12:$E$72*$B$12:$B$72)</f>
        <v>8.36811356523859</v>
      </c>
      <c r="H92" s="11" t="n">
        <f aca="false">SUMPRODUCT(($A$12:$A$72&lt;12)*P$12:P$72*$E$12:$E$72*$B$12:$B$72)</f>
        <v>8.89374252038042</v>
      </c>
      <c r="I92" s="11" t="n">
        <f aca="false">SUMPRODUCT(($A$12:$A$72&lt;13)*P$12:P$72*$E$12:$E$72*$B$12:$B$72)</f>
        <v>9.38225388408985</v>
      </c>
      <c r="J92" s="11" t="n">
        <f aca="false">SUMPRODUCT(($A$12:$A$72&lt;14)*P$12:P$72*$E$12:$E$72*$B$12:$B$72)</f>
        <v>9.83474993886176</v>
      </c>
      <c r="K92" s="11" t="n">
        <f aca="false">SUMPRODUCT(($A$12:$A$72&lt;15)*P$12:P$72*$E$12:$E$72*$B$12:$B$72)</f>
        <v>10.252467462724</v>
      </c>
      <c r="L92" s="11" t="n">
        <f aca="false">SUMPRODUCT(($A$12:$A$72&lt;16)*P$12:P$72*$E$12:$E$72*$B$12:$B$72)</f>
        <v>10.6353044413265</v>
      </c>
      <c r="M92" s="11" t="n">
        <f aca="false">SUMPRODUCT(($A$12:$A$72&lt;17)*P$12:P$72*$E$12:$E$72*$B$12:$B$72)</f>
        <v>10.9847170794007</v>
      </c>
      <c r="N92" s="11" t="n">
        <f aca="false">SUMPRODUCT(($A$12:$A$72&lt;18)*P$12:P$72*$E$12:$E$72*$B$12:$B$72)</f>
        <v>11.3018075366399</v>
      </c>
      <c r="O92" s="11" t="n">
        <f aca="false">SUMPRODUCT(($A$12:$A$72&lt;19)*P$12:P$72*$E$12:$E$72*$B$12:$B$72)</f>
        <v>11.5877625872724</v>
      </c>
      <c r="P92" s="11" t="n">
        <f aca="false">SUMPRODUCT(($A$12:$A$72&lt;20)*P$12:P$72*$E$12:$E$72*$B$12:$B$72)</f>
        <v>11.8437269934362</v>
      </c>
      <c r="Q92" s="11" t="n">
        <f aca="false">SUMPRODUCT(($A$12:$A$72&lt;21)*P$12:P$72*$E$12:$E$72*$B$12:$B$72)</f>
        <v>12.0707511428992</v>
      </c>
    </row>
    <row r="93" customFormat="false" ht="15" hidden="false" customHeight="true" outlineLevel="0" collapsed="false">
      <c r="A93" s="3" t="n">
        <v>70</v>
      </c>
      <c r="B93" s="11" t="n">
        <f aca="false">SUMPRODUCT(($A$12:$A$72&lt;5)*Q$12:Q$72*$E$12:$E$72*$B$12:$B$72)</f>
        <v>4.41896949603684</v>
      </c>
      <c r="C93" s="11" t="n">
        <f aca="false">SUMPRODUCT(($A$12:$A$72&lt;6)*Q$12:Q$72*$E$12:$E$72*$B$12:$B$72)</f>
        <v>5.1649789758943</v>
      </c>
      <c r="D93" s="11" t="n">
        <f aca="false">SUMPRODUCT(($A$12:$A$72&lt;7)*Q$12:Q$72*$E$12:$E$72*$B$12:$B$72)</f>
        <v>5.87189528911397</v>
      </c>
      <c r="E93" s="11" t="n">
        <f aca="false">SUMPRODUCT(($A$12:$A$72&lt;8)*Q$12:Q$72*$E$12:$E$72*$B$12:$B$72)</f>
        <v>6.53969698691752</v>
      </c>
      <c r="F93" s="11" t="n">
        <f aca="false">SUMPRODUCT(($A$12:$A$72&lt;9)*Q$12:Q$72*$E$12:$E$72*$B$12:$B$72)</f>
        <v>7.16845226471832</v>
      </c>
      <c r="G93" s="11" t="n">
        <f aca="false">SUMPRODUCT(($A$12:$A$72&lt;10)*Q$12:Q$72*$E$12:$E$72*$B$12:$B$72)</f>
        <v>7.75839214008567</v>
      </c>
      <c r="H93" s="11" t="n">
        <f aca="false">SUMPRODUCT(($A$12:$A$72&lt;11)*Q$12:Q$72*$E$12:$E$72*$B$12:$B$72)</f>
        <v>8.30904833434604</v>
      </c>
      <c r="I93" s="11" t="n">
        <f aca="false">SUMPRODUCT(($A$12:$A$72&lt;12)*Q$12:Q$72*$E$12:$E$72*$B$12:$B$72)</f>
        <v>8.8221407954217</v>
      </c>
      <c r="J93" s="11" t="n">
        <f aca="false">SUMPRODUCT(($A$12:$A$72&lt;13)*Q$12:Q$72*$E$12:$E$72*$B$12:$B$72)</f>
        <v>9.29703423251145</v>
      </c>
      <c r="K93" s="11" t="n">
        <f aca="false">SUMPRODUCT(($A$12:$A$72&lt;14)*Q$12:Q$72*$E$12:$E$72*$B$12:$B$72)</f>
        <v>9.73487015767765</v>
      </c>
      <c r="L93" s="11" t="n">
        <f aca="false">SUMPRODUCT(($A$12:$A$72&lt;15)*Q$12:Q$72*$E$12:$E$72*$B$12:$B$72)</f>
        <v>10.1369379515011</v>
      </c>
      <c r="M93" s="11" t="n">
        <f aca="false">SUMPRODUCT(($A$12:$A$72&lt;16)*Q$12:Q$72*$E$12:$E$72*$B$12:$B$72)</f>
        <v>10.5032651022356</v>
      </c>
      <c r="N93" s="11" t="n">
        <f aca="false">SUMPRODUCT(($A$12:$A$72&lt;17)*Q$12:Q$72*$E$12:$E$72*$B$12:$B$72)</f>
        <v>10.8348085005662</v>
      </c>
      <c r="O93" s="11" t="n">
        <f aca="false">SUMPRODUCT(($A$12:$A$72&lt;18)*Q$12:Q$72*$E$12:$E$72*$B$12:$B$72)</f>
        <v>11.1332014962167</v>
      </c>
      <c r="P93" s="11" t="n">
        <f aca="false">SUMPRODUCT(($A$12:$A$72&lt;19)*Q$12:Q$72*$E$12:$E$72*$B$12:$B$72)</f>
        <v>11.3997803989735</v>
      </c>
      <c r="Q93" s="11" t="n">
        <f aca="false">SUMPRODUCT(($A$12:$A$72&lt;20)*Q$12:Q$72*$E$12:$E$72*$B$12:$B$72)</f>
        <v>11.6358795498802</v>
      </c>
    </row>
    <row r="94" customFormat="false" ht="15" hidden="false" customHeight="true" outlineLevel="0" collapsed="false">
      <c r="A94" s="3" t="n">
        <v>71</v>
      </c>
      <c r="B94" s="11" t="n">
        <f aca="false">SUMPRODUCT(($A$12:$A$72&lt;4)*R$12:R$72*$E$12:$E$72*$B$12:$B$72)</f>
        <v>3.62432008777769</v>
      </c>
      <c r="C94" s="11" t="n">
        <f aca="false">SUMPRODUCT(($A$12:$A$72&lt;5)*R$12:R$72*$E$12:$E$72*$B$12:$B$72)</f>
        <v>4.40818701186507</v>
      </c>
      <c r="D94" s="11" t="n">
        <f aca="false">SUMPRODUCT(($A$12:$A$72&lt;6)*R$12:R$72*$E$12:$E$72*$B$12:$B$72)</f>
        <v>5.1482834276275</v>
      </c>
      <c r="E94" s="11" t="n">
        <f aca="false">SUMPRODUCT(($A$12:$A$72&lt;7)*R$12:R$72*$E$12:$E$72*$B$12:$B$72)</f>
        <v>5.84806938489502</v>
      </c>
      <c r="F94" s="11" t="n">
        <f aca="false">SUMPRODUCT(($A$12:$A$72&lt;8)*R$12:R$72*$E$12:$E$72*$B$12:$B$72)</f>
        <v>6.50750238045151</v>
      </c>
      <c r="G94" s="11" t="n">
        <f aca="false">SUMPRODUCT(($A$12:$A$72&lt;9)*R$12:R$72*$E$12:$E$72*$B$12:$B$72)</f>
        <v>7.1266408142899</v>
      </c>
      <c r="H94" s="11" t="n">
        <f aca="false">SUMPRODUCT(($A$12:$A$72&lt;10)*R$12:R$72*$E$12:$E$72*$B$12:$B$72)</f>
        <v>7.70571720734051</v>
      </c>
      <c r="I94" s="11" t="n">
        <f aca="false">SUMPRODUCT(($A$12:$A$72&lt;11)*R$12:R$72*$E$12:$E$72*$B$12:$B$72)</f>
        <v>8.24375532288675</v>
      </c>
      <c r="J94" s="11" t="n">
        <f aca="false">SUMPRODUCT(($A$12:$A$72&lt;12)*R$12:R$72*$E$12:$E$72*$B$12:$B$72)</f>
        <v>8.74299038463129</v>
      </c>
      <c r="K94" s="11" t="n">
        <f aca="false">SUMPRODUCT(($A$12:$A$72&lt;13)*R$12:R$72*$E$12:$E$72*$B$12:$B$72)</f>
        <v>9.20287486780119</v>
      </c>
      <c r="L94" s="11" t="n">
        <f aca="false">SUMPRODUCT(($A$12:$A$72&lt;14)*R$12:R$72*$E$12:$E$72*$B$12:$B$72)</f>
        <v>9.62461782172887</v>
      </c>
      <c r="M94" s="11" t="n">
        <f aca="false">SUMPRODUCT(($A$12:$A$72&lt;15)*R$12:R$72*$E$12:$E$72*$B$12:$B$72)</f>
        <v>10.0095937361806</v>
      </c>
      <c r="N94" s="11" t="n">
        <f aca="false">SUMPRODUCT(($A$12:$A$72&lt;16)*R$12:R$72*$E$12:$E$72*$B$12:$B$72)</f>
        <v>10.3573631170267</v>
      </c>
      <c r="O94" s="11" t="n">
        <f aca="false">SUMPRODUCT(($A$12:$A$72&lt;17)*R$12:R$72*$E$12:$E$72*$B$12:$B$72)</f>
        <v>10.66948592931</v>
      </c>
      <c r="P94" s="11" t="n">
        <f aca="false">SUMPRODUCT(($A$12:$A$72&lt;18)*R$12:R$72*$E$12:$E$72*$B$12:$B$72)</f>
        <v>10.9477469150443</v>
      </c>
      <c r="Q94" s="11" t="n">
        <f aca="false">SUMPRODUCT(($A$12:$A$72&lt;19)*R$12:R$72*$E$12:$E$72*$B$12:$B$72)</f>
        <v>11.1936868933238</v>
      </c>
    </row>
    <row r="95" customFormat="false" ht="15" hidden="false" customHeight="true" outlineLevel="0" collapsed="false">
      <c r="A95" s="3" t="n">
        <v>72</v>
      </c>
      <c r="B95" s="11" t="n">
        <f aca="false">SUMPRODUCT(($A$12:$A$72&lt;3)*S$12:S$72*$E$12:$E$72*$B$12:$B$72)</f>
        <v>2.79330225709446</v>
      </c>
      <c r="C95" s="11" t="n">
        <f aca="false">SUMPRODUCT(($A$12:$A$72&lt;4)*S$12:S$72*$E$12:$E$72*$B$12:$B$72)</f>
        <v>3.61700223593839</v>
      </c>
      <c r="D95" s="11" t="n">
        <f aca="false">SUMPRODUCT(($A$12:$A$72&lt;5)*S$12:S$72*$E$12:$E$72*$B$12:$B$72)</f>
        <v>4.39547094821413</v>
      </c>
      <c r="E95" s="11" t="n">
        <f aca="false">SUMPRODUCT(($A$12:$A$72&lt;6)*S$12:S$72*$E$12:$E$72*$B$12:$B$72)</f>
        <v>5.12884678346524</v>
      </c>
      <c r="F95" s="11" t="n">
        <f aca="false">SUMPRODUCT(($A$12:$A$72&lt;7)*S$12:S$72*$E$12:$E$72*$B$12:$B$72)</f>
        <v>5.82053980248481</v>
      </c>
      <c r="G95" s="11" t="n">
        <f aca="false">SUMPRODUCT(($A$12:$A$72&lt;8)*S$12:S$72*$E$12:$E$72*$B$12:$B$72)</f>
        <v>6.47049416571973</v>
      </c>
      <c r="H95" s="11" t="n">
        <f aca="false">SUMPRODUCT(($A$12:$A$72&lt;9)*S$12:S$72*$E$12:$E$72*$B$12:$B$72)</f>
        <v>7.07876981787395</v>
      </c>
      <c r="I95" s="11" t="n">
        <f aca="false">SUMPRODUCT(($A$12:$A$72&lt;10)*S$12:S$72*$E$12:$E$72*$B$12:$B$72)</f>
        <v>7.64503736890465</v>
      </c>
      <c r="J95" s="11" t="n">
        <f aca="false">SUMPRODUCT(($A$12:$A$72&lt;11)*S$12:S$72*$E$12:$E$72*$B$12:$B$72)</f>
        <v>8.16893582450815</v>
      </c>
      <c r="K95" s="11" t="n">
        <f aca="false">SUMPRODUCT(($A$12:$A$72&lt;12)*S$12:S$72*$E$12:$E$72*$B$12:$B$72)</f>
        <v>8.65271795149058</v>
      </c>
      <c r="L95" s="11" t="n">
        <f aca="false">SUMPRODUCT(($A$12:$A$72&lt;13)*S$12:S$72*$E$12:$E$72*$B$12:$B$72)</f>
        <v>9.09595965270728</v>
      </c>
      <c r="M95" s="11" t="n">
        <f aca="false">SUMPRODUCT(($A$12:$A$72&lt;14)*S$12:S$72*$E$12:$E$72*$B$12:$B$72)</f>
        <v>9.49997330144559</v>
      </c>
      <c r="N95" s="11" t="n">
        <f aca="false">SUMPRODUCT(($A$12:$A$72&lt;15)*S$12:S$72*$E$12:$E$72*$B$12:$B$72)</f>
        <v>9.86557663683092</v>
      </c>
      <c r="O95" s="11" t="n">
        <f aca="false">SUMPRODUCT(($A$12:$A$72&lt;16)*S$12:S$72*$E$12:$E$72*$B$12:$B$72)</f>
        <v>10.1930602685152</v>
      </c>
      <c r="P95" s="11" t="n">
        <f aca="false">SUMPRODUCT(($A$12:$A$72&lt;17)*S$12:S$72*$E$12:$E$72*$B$12:$B$72)</f>
        <v>10.4841707864006</v>
      </c>
      <c r="Q95" s="11" t="n">
        <f aca="false">SUMPRODUCT(($A$12:$A$72&lt;18)*S$12:S$72*$E$12:$E$72*$B$12:$B$72)</f>
        <v>10.7409008440476</v>
      </c>
    </row>
    <row r="96" customFormat="false" ht="15" hidden="false" customHeight="true" outlineLevel="0" collapsed="false">
      <c r="A96" s="3" t="n">
        <v>73</v>
      </c>
      <c r="B96" s="11" t="n">
        <f aca="false">SUMPRODUCT(($A$12:$A$72&lt;2)*T$12:T$72*$E$12:$E$72*$B$12:$B$72)</f>
        <v>1.92271706728002</v>
      </c>
      <c r="C96" s="11" t="n">
        <f aca="false">SUMPRODUCT(($A$12:$A$72&lt;3)*T$12:T$72*$E$12:$E$72*$B$12:$B$72)</f>
        <v>2.78914981786697</v>
      </c>
      <c r="D96" s="11" t="n">
        <f aca="false">SUMPRODUCT(($A$12:$A$72&lt;4)*T$12:T$72*$E$12:$E$72*$B$12:$B$72)</f>
        <v>3.60818079751083</v>
      </c>
      <c r="E96" s="11" t="n">
        <f aca="false">SUMPRODUCT(($A$12:$A$72&lt;5)*T$12:T$72*$E$12:$E$72*$B$12:$B$72)</f>
        <v>4.38050197273495</v>
      </c>
      <c r="F96" s="11" t="n">
        <f aca="false">SUMPRODUCT(($A$12:$A$72&lt;6)*T$12:T$72*$E$12:$E$72*$B$12:$B$72)</f>
        <v>5.10623560573418</v>
      </c>
      <c r="G96" s="11" t="n">
        <f aca="false">SUMPRODUCT(($A$12:$A$72&lt;7)*T$12:T$72*$E$12:$E$72*$B$12:$B$72)</f>
        <v>5.78874609776028</v>
      </c>
      <c r="H96" s="11" t="n">
        <f aca="false">SUMPRODUCT(($A$12:$A$72&lt;8)*T$12:T$72*$E$12:$E$72*$B$12:$B$72)</f>
        <v>6.42797651046707</v>
      </c>
      <c r="I96" s="11" t="n">
        <f aca="false">SUMPRODUCT(($A$12:$A$72&lt;9)*T$12:T$72*$E$12:$E$72*$B$12:$B$72)</f>
        <v>7.02338686453106</v>
      </c>
      <c r="J96" s="11" t="n">
        <f aca="false">SUMPRODUCT(($A$12:$A$72&lt;10)*T$12:T$72*$E$12:$E$72*$B$12:$B$72)</f>
        <v>7.57528223246887</v>
      </c>
      <c r="K96" s="11" t="n">
        <f aca="false">SUMPRODUCT(($A$12:$A$72&lt;11)*T$12:T$72*$E$12:$E$72*$B$12:$B$72)</f>
        <v>8.08339469590912</v>
      </c>
      <c r="L96" s="11" t="n">
        <f aca="false">SUMPRODUCT(($A$12:$A$72&lt;12)*T$12:T$72*$E$12:$E$72*$B$12:$B$72)</f>
        <v>8.55002433507175</v>
      </c>
      <c r="M96" s="11" t="n">
        <f aca="false">SUMPRODUCT(($A$12:$A$72&lt;13)*T$12:T$72*$E$12:$E$72*$B$12:$B$72)</f>
        <v>8.97491509074848</v>
      </c>
      <c r="N96" s="11" t="n">
        <f aca="false">SUMPRODUCT(($A$12:$A$72&lt;14)*T$12:T$72*$E$12:$E$72*$B$12:$B$72)</f>
        <v>9.35879953627412</v>
      </c>
      <c r="O96" s="11" t="n">
        <f aca="false">SUMPRODUCT(($A$12:$A$72&lt;15)*T$12:T$72*$E$12:$E$72*$B$12:$B$72)</f>
        <v>9.70322449848509</v>
      </c>
      <c r="P96" s="11" t="n">
        <f aca="false">SUMPRODUCT(($A$12:$A$72&lt;16)*T$12:T$72*$E$12:$E$72*$B$12:$B$72)</f>
        <v>10.0087611399922</v>
      </c>
      <c r="Q96" s="11" t="n">
        <f aca="false">SUMPRODUCT(($A$12:$A$72&lt;17)*T$12:T$72*$E$12:$E$72*$B$12:$B$72)</f>
        <v>10.2774041223365</v>
      </c>
    </row>
    <row r="97" customFormat="false" ht="15" hidden="false" customHeight="true" outlineLevel="0" collapsed="false">
      <c r="A97" s="3" t="n">
        <v>74</v>
      </c>
      <c r="B97" s="11" t="n">
        <f aca="false">SUMPRODUCT(($A$12:$A$72&lt;1)*U$12:U$72*$E$12:$E$72*$B$12:$B$72)</f>
        <v>1</v>
      </c>
      <c r="C97" s="11" t="n">
        <f aca="false">SUMPRODUCT(($A$12:$A$72&lt;2)*U$12:U$72*$E$12:$E$72*$B$12:$B$72)</f>
        <v>1.92113471378281</v>
      </c>
      <c r="D97" s="11" t="n">
        <f aca="false">SUMPRODUCT(($A$12:$A$72&lt;3)*U$12:U$72*$E$12:$E$72*$B$12:$B$72)</f>
        <v>2.78389212589268</v>
      </c>
      <c r="E97" s="11" t="n">
        <f aca="false">SUMPRODUCT(($A$12:$A$72&lt;4)*U$12:U$72*$E$12:$E$72*$B$12:$B$72)</f>
        <v>3.59759415282416</v>
      </c>
      <c r="F97" s="11" t="n">
        <f aca="false">SUMPRODUCT(($A$12:$A$72&lt;5)*U$12:U$72*$E$12:$E$72*$B$12:$B$72)</f>
        <v>4.36291012198516</v>
      </c>
      <c r="G97" s="11" t="n">
        <f aca="false">SUMPRODUCT(($A$12:$A$72&lt;6)*U$12:U$72*$E$12:$E$72*$B$12:$B$72)</f>
        <v>5.07995571750284</v>
      </c>
      <c r="H97" s="11" t="n">
        <f aca="false">SUMPRODUCT(($A$12:$A$72&lt;7)*U$12:U$72*$E$12:$E$72*$B$12:$B$72)</f>
        <v>5.75205838905719</v>
      </c>
      <c r="I97" s="11" t="n">
        <f aca="false">SUMPRODUCT(($A$12:$A$72&lt;8)*U$12:U$72*$E$12:$E$72*$B$12:$B$72)</f>
        <v>6.37851764212824</v>
      </c>
      <c r="J97" s="11" t="n">
        <f aca="false">SUMPRODUCT(($A$12:$A$72&lt;9)*U$12:U$72*$E$12:$E$72*$B$12:$B$72)</f>
        <v>6.95947103896589</v>
      </c>
      <c r="K97" s="11" t="n">
        <f aca="false">SUMPRODUCT(($A$12:$A$72&lt;10)*U$12:U$72*$E$12:$E$72*$B$12:$B$72)</f>
        <v>7.49529948818484</v>
      </c>
      <c r="L97" s="11" t="n">
        <f aca="false">SUMPRODUCT(($A$12:$A$72&lt;11)*U$12:U$72*$E$12:$E$72*$B$12:$B$72)</f>
        <v>7.98586913906841</v>
      </c>
      <c r="M97" s="11" t="n">
        <f aca="false">SUMPRODUCT(($A$12:$A$72&lt;12)*U$12:U$72*$E$12:$E$72*$B$12:$B$72)</f>
        <v>8.4335663999871</v>
      </c>
      <c r="N97" s="11" t="n">
        <f aca="false">SUMPRODUCT(($A$12:$A$72&lt;13)*U$12:U$72*$E$12:$E$72*$B$12:$B$72)</f>
        <v>8.8375796464053</v>
      </c>
      <c r="O97" s="11" t="n">
        <f aca="false">SUMPRODUCT(($A$12:$A$72&lt;14)*U$12:U$72*$E$12:$E$72*$B$12:$B$72)</f>
        <v>9.19945308193399</v>
      </c>
      <c r="P97" s="11" t="n">
        <f aca="false">SUMPRODUCT(($A$12:$A$72&lt;15)*U$12:U$72*$E$12:$E$72*$B$12:$B$72)</f>
        <v>9.52096322478638</v>
      </c>
      <c r="Q97" s="11" t="n">
        <f aca="false">SUMPRODUCT(($A$12:$A$72&lt;16)*U$12:U$72*$E$12:$E$72*$B$12:$B$72)</f>
        <v>9.80303437911565</v>
      </c>
    </row>
    <row r="98" customFormat="false" ht="15" hidden="false" customHeight="true" outlineLevel="0" collapsed="false">
      <c r="A98" s="3" t="n">
        <v>75</v>
      </c>
      <c r="C98" s="11" t="n">
        <f aca="false">SUMPRODUCT(($A$12:$A$72&lt;1)*V$12:V$72*$E$12:$E$72*$B$12:$B$72)</f>
        <v>1</v>
      </c>
      <c r="D98" s="11" t="n">
        <f aca="false">SUMPRODUCT(($A$12:$A$72&lt;2)*V$12:V$72*$E$12:$E$72*$B$12:$B$72)</f>
        <v>1.9187650646252</v>
      </c>
      <c r="E98" s="11" t="n">
        <f aca="false">SUMPRODUCT(($A$12:$A$72&lt;3)*V$12:V$72*$E$12:$E$72*$B$12:$B$72)</f>
        <v>2.77731697532316</v>
      </c>
      <c r="F98" s="11" t="n">
        <f aca="false">SUMPRODUCT(($A$12:$A$72&lt;4)*V$12:V$72*$E$12:$E$72*$B$12:$B$72)</f>
        <v>3.58493249839434</v>
      </c>
      <c r="G98" s="11" t="n">
        <f aca="false">SUMPRODUCT(($A$12:$A$72&lt;5)*V$12:V$72*$E$12:$E$72*$B$12:$B$72)</f>
        <v>4.34226762123697</v>
      </c>
      <c r="H98" s="11" t="n">
        <f aca="false">SUMPRODUCT(($A$12:$A$72&lt;6)*V$12:V$72*$E$12:$E$72*$B$12:$B$72)</f>
        <v>5.04944639597225</v>
      </c>
      <c r="I98" s="11" t="n">
        <f aca="false">SUMPRODUCT(($A$12:$A$72&lt;7)*V$12:V$72*$E$12:$E$72*$B$12:$B$72)</f>
        <v>5.70906744104885</v>
      </c>
      <c r="J98" s="11" t="n">
        <f aca="false">SUMPRODUCT(($A$12:$A$72&lt;8)*V$12:V$72*$E$12:$E$72*$B$12:$B$72)</f>
        <v>6.32115158889795</v>
      </c>
      <c r="K98" s="11" t="n">
        <f aca="false">SUMPRODUCT(($A$12:$A$72&lt;9)*V$12:V$72*$E$12:$E$72*$B$12:$B$72)</f>
        <v>6.88591897004874</v>
      </c>
      <c r="L98" s="11" t="n">
        <f aca="false">SUMPRODUCT(($A$12:$A$72&lt;10)*V$12:V$72*$E$12:$E$72*$B$12:$B$72)</f>
        <v>7.40386832783268</v>
      </c>
      <c r="M98" s="11" t="n">
        <f aca="false">SUMPRODUCT(($A$12:$A$72&lt;11)*V$12:V$72*$E$12:$E$72*$B$12:$B$72)</f>
        <v>7.8750516366817</v>
      </c>
      <c r="N98" s="11" t="n">
        <f aca="false">SUMPRODUCT(($A$12:$A$72&lt;12)*V$12:V$72*$E$12:$E$72*$B$12:$B$72)</f>
        <v>8.30115721196841</v>
      </c>
      <c r="O98" s="11" t="n">
        <f aca="false">SUMPRODUCT(($A$12:$A$72&lt;13)*V$12:V$72*$E$12:$E$72*$B$12:$B$72)</f>
        <v>8.6823315602162</v>
      </c>
      <c r="P98" s="11" t="n">
        <f aca="false">SUMPRODUCT(($A$12:$A$72&lt;14)*V$12:V$72*$E$12:$E$72*$B$12:$B$72)</f>
        <v>9.02038301254613</v>
      </c>
      <c r="Q98" s="11" t="n">
        <f aca="false">SUMPRODUCT(($A$12:$A$72&lt;15)*V$12:V$72*$E$12:$E$72*$B$12:$B$72)</f>
        <v>9.31739025298848</v>
      </c>
    </row>
    <row r="99" customFormat="false" ht="15" hidden="false" customHeight="true" outlineLevel="0" collapsed="false">
      <c r="A99" s="3" t="s">
        <v>1678</v>
      </c>
    </row>
    <row r="100" customFormat="false" ht="15" hidden="false" customHeight="true" outlineLevel="0" collapsed="false">
      <c r="A100" s="8" t="s">
        <v>1556</v>
      </c>
      <c r="B100" s="8" t="n">
        <v>75</v>
      </c>
      <c r="C100" s="8" t="n">
        <v>76</v>
      </c>
      <c r="D100" s="8" t="n">
        <v>77</v>
      </c>
      <c r="E100" s="8" t="n">
        <v>78</v>
      </c>
      <c r="F100" s="8" t="n">
        <v>79</v>
      </c>
      <c r="G100" s="8" t="n">
        <v>80</v>
      </c>
      <c r="H100" s="8" t="n">
        <v>81</v>
      </c>
      <c r="I100" s="8" t="n">
        <v>82</v>
      </c>
      <c r="J100" s="8" t="n">
        <v>83</v>
      </c>
      <c r="K100" s="8" t="n">
        <v>84</v>
      </c>
      <c r="L100" s="8" t="n">
        <v>85</v>
      </c>
      <c r="M100" s="8" t="n">
        <v>86</v>
      </c>
      <c r="N100" s="8" t="n">
        <v>87</v>
      </c>
      <c r="O100" s="8" t="n">
        <v>88</v>
      </c>
      <c r="P100" s="8" t="n">
        <v>89</v>
      </c>
      <c r="Q100" s="8" t="n">
        <v>90</v>
      </c>
    </row>
    <row r="101" customFormat="false" ht="15" hidden="false" customHeight="true" outlineLevel="0" collapsed="false">
      <c r="A101" s="3" t="n">
        <v>60</v>
      </c>
      <c r="B101" s="11" t="n">
        <f aca="false">SUMPRODUCT(($A$12:$A$72&lt;15)*G$12:G$72*$E$12:$E$72*$F$12:$F$72*$B$12:$B$72)</f>
        <v>1.4918638016223</v>
      </c>
      <c r="C101" s="11" t="n">
        <f aca="false">SUMPRODUCT(($A$12:$A$72&lt;16)*G$12:G$72*$E$12:$E$72*$F$12:$F$72*$B$12:$B$72)</f>
        <v>1.51550918501896</v>
      </c>
      <c r="D101" s="11" t="n">
        <f aca="false">SUMPRODUCT(($A$12:$A$72&lt;17)*G$12:G$72*$E$12:$E$72*$F$12:$F$72*$B$12:$B$72)</f>
        <v>1.53780887470897</v>
      </c>
      <c r="E101" s="11" t="n">
        <f aca="false">SUMPRODUCT(($A$12:$A$72&lt;18)*G$12:G$72*$E$12:$E$72*$F$12:$F$72*$B$12:$B$72)</f>
        <v>1.5588440757374</v>
      </c>
      <c r="F101" s="11" t="n">
        <f aca="false">SUMPRODUCT(($A$12:$A$72&lt;19)*G$12:G$72*$E$12:$E$72*$F$12:$F$72*$B$12:$B$72)</f>
        <v>1.57867088019805</v>
      </c>
      <c r="G101" s="11" t="n">
        <f aca="false">SUMPRODUCT(($A$12:$A$72&lt;20)*G$12:G$72*$E$12:$E$72*$F$12:$F$72*$B$12:$B$72)</f>
        <v>1.59733682352239</v>
      </c>
      <c r="H101" s="11" t="n">
        <f aca="false">SUMPRODUCT(($A$12:$A$72&lt;21)*G$12:G$72*$E$12:$E$72*$F$12:$F$72*$B$12:$B$72)</f>
        <v>1.61487384564009</v>
      </c>
      <c r="I101" s="11" t="n">
        <f aca="false">SUMPRODUCT(($A$12:$A$72&lt;22)*G$12:G$72*$E$12:$E$72*$F$12:$F$72*$B$12:$B$72)</f>
        <v>1.63129163288897</v>
      </c>
      <c r="J101" s="11" t="n">
        <f aca="false">SUMPRODUCT(($A$12:$A$72&lt;23)*G$12:G$72*$E$12:$E$72*$F$12:$F$72*$B$12:$B$72)</f>
        <v>1.64661295744153</v>
      </c>
      <c r="K101" s="11" t="n">
        <f aca="false">SUMPRODUCT(($A$12:$A$72&lt;24)*G$12:G$72*$E$12:$E$72*$F$12:$F$72*$B$12:$B$72)</f>
        <v>1.66086004426578</v>
      </c>
      <c r="L101" s="11" t="n">
        <f aca="false">SUMPRODUCT(($A$12:$A$72&lt;25)*G$12:G$72*$E$12:$E$72*$F$12:$F$72*$B$12:$B$72)</f>
        <v>1.67405201689405</v>
      </c>
      <c r="M101" s="11" t="n">
        <f aca="false">SUMPRODUCT(($A$12:$A$72&lt;26)*G$12:G$72*$E$12:$E$72*$F$12:$F$72*$B$12:$B$72)</f>
        <v>1.68621480496358</v>
      </c>
      <c r="N101" s="11" t="n">
        <f aca="false">SUMPRODUCT(($A$12:$A$72&lt;27)*G$12:G$72*$E$12:$E$72*$F$12:$F$72*$B$12:$B$72)</f>
        <v>1.69735237217377</v>
      </c>
      <c r="O101" s="11" t="n">
        <f aca="false">SUMPRODUCT(($A$12:$A$72&lt;28)*G$12:G$72*$E$12:$E$72*$F$12:$F$72*$B$12:$B$72)</f>
        <v>1.70748558060391</v>
      </c>
      <c r="P101" s="11" t="n">
        <f aca="false">SUMPRODUCT(($A$12:$A$72&lt;29)*G$12:G$72*$E$12:$E$72*$F$12:$F$72*$B$12:$B$72)</f>
        <v>1.7166322179122</v>
      </c>
      <c r="Q101" s="11" t="n">
        <f aca="false">SUMPRODUCT(($A$12:$A$72&lt;30)*G$12:G$72*$E$12:$E$72*$F$12:$F$72*$B$12:$B$72)</f>
        <v>1.72481635874761</v>
      </c>
    </row>
    <row r="102" customFormat="false" ht="15" hidden="false" customHeight="true" outlineLevel="0" collapsed="false">
      <c r="A102" s="3" t="n">
        <v>61</v>
      </c>
      <c r="B102" s="11" t="n">
        <f aca="false">SUMPRODUCT(($A$12:$A$72&lt;14)*H$12:H$72*$E$12:$E$72*$F$12:$F$72*$B$12:$B$72)</f>
        <v>1.46521858243304</v>
      </c>
      <c r="C102" s="11" t="n">
        <f aca="false">SUMPRODUCT(($A$12:$A$72&lt;15)*H$12:H$72*$E$12:$E$72*$F$12:$F$72*$B$12:$B$72)</f>
        <v>1.4900033454598</v>
      </c>
      <c r="D102" s="11" t="n">
        <f aca="false">SUMPRODUCT(($A$12:$A$72&lt;16)*H$12:H$72*$E$12:$E$72*$F$12:$F$72*$B$12:$B$72)</f>
        <v>1.51334898429157</v>
      </c>
      <c r="E102" s="11" t="n">
        <f aca="false">SUMPRODUCT(($A$12:$A$72&lt;17)*H$12:H$72*$E$12:$E$72*$F$12:$F$72*$B$12:$B$72)</f>
        <v>1.53532482262646</v>
      </c>
      <c r="F102" s="11" t="n">
        <f aca="false">SUMPRODUCT(($A$12:$A$72&lt;18)*H$12:H$72*$E$12:$E$72*$F$12:$F$72*$B$12:$B$72)</f>
        <v>1.55601062268847</v>
      </c>
      <c r="G102" s="11" t="n">
        <f aca="false">SUMPRODUCT(($A$12:$A$72&lt;19)*H$12:H$72*$E$12:$E$72*$F$12:$F$72*$B$12:$B$72)</f>
        <v>1.57546132375446</v>
      </c>
      <c r="H102" s="11" t="n">
        <f aca="false">SUMPRODUCT(($A$12:$A$72&lt;20)*H$12:H$72*$E$12:$E$72*$F$12:$F$72*$B$12:$B$72)</f>
        <v>1.59372347058382</v>
      </c>
      <c r="I102" s="11" t="n">
        <f aca="false">SUMPRODUCT(($A$12:$A$72&lt;21)*H$12:H$72*$E$12:$E$72*$F$12:$F$72*$B$12:$B$72)</f>
        <v>1.61081373628086</v>
      </c>
      <c r="J102" s="11" t="n">
        <f aca="false">SUMPRODUCT(($A$12:$A$72&lt;22)*H$12:H$72*$E$12:$E$72*$F$12:$F$72*$B$12:$B$72)</f>
        <v>1.62675590100843</v>
      </c>
      <c r="K102" s="11" t="n">
        <f aca="false">SUMPRODUCT(($A$12:$A$72&lt;23)*H$12:H$72*$E$12:$E$72*$F$12:$F$72*$B$12:$B$72)</f>
        <v>1.64157321892476</v>
      </c>
      <c r="L102" s="11" t="n">
        <f aca="false">SUMPRODUCT(($A$12:$A$72&lt;24)*H$12:H$72*$E$12:$E$72*$F$12:$F$72*$B$12:$B$72)</f>
        <v>1.65528896587023</v>
      </c>
      <c r="M102" s="11" t="n">
        <f aca="false">SUMPRODUCT(($A$12:$A$72&lt;25)*H$12:H$72*$E$12:$E$72*$F$12:$F$72*$B$12:$B$72)</f>
        <v>1.66792411467431</v>
      </c>
      <c r="N102" s="11" t="n">
        <f aca="false">SUMPRODUCT(($A$12:$A$72&lt;26)*H$12:H$72*$E$12:$E$72*$F$12:$F$72*$B$12:$B$72)</f>
        <v>1.67948885704961</v>
      </c>
      <c r="O102" s="11" t="n">
        <f aca="false">SUMPRODUCT(($A$12:$A$72&lt;27)*H$12:H$72*$E$12:$E$72*$F$12:$F$72*$B$12:$B$72)</f>
        <v>1.68999987415682</v>
      </c>
      <c r="P102" s="11" t="n">
        <f aca="false">SUMPRODUCT(($A$12:$A$72&lt;28)*H$12:H$72*$E$12:$E$72*$F$12:$F$72*$B$12:$B$72)</f>
        <v>1.69948187737848</v>
      </c>
      <c r="Q102" s="11" t="n">
        <f aca="false">SUMPRODUCT(($A$12:$A$72&lt;29)*H$12:H$72*$E$12:$E$72*$F$12:$F$72*$B$12:$B$72)</f>
        <v>1.70795817145538</v>
      </c>
    </row>
    <row r="103" customFormat="false" ht="15" hidden="false" customHeight="true" outlineLevel="0" collapsed="false">
      <c r="A103" s="3" t="n">
        <v>62</v>
      </c>
      <c r="B103" s="11" t="n">
        <f aca="false">SUMPRODUCT(($A$12:$A$72&lt;13)*I$12:I$72*$E$12:$E$72*$F$12:$F$72*$B$12:$B$72)</f>
        <v>1.4374883051586</v>
      </c>
      <c r="C103" s="11" t="n">
        <f aca="false">SUMPRODUCT(($A$12:$A$72&lt;14)*I$12:I$72*$E$12:$E$72*$F$12:$F$72*$B$12:$B$72)</f>
        <v>1.46340822793728</v>
      </c>
      <c r="D103" s="11" t="n">
        <f aca="false">SUMPRODUCT(($A$12:$A$72&lt;15)*I$12:I$72*$E$12:$E$72*$F$12:$F$72*$B$12:$B$72)</f>
        <v>1.48788181654582</v>
      </c>
      <c r="E103" s="11" t="n">
        <f aca="false">SUMPRODUCT(($A$12:$A$72&lt;16)*I$12:I$72*$E$12:$E$72*$F$12:$F$72*$B$12:$B$72)</f>
        <v>1.51089058171871</v>
      </c>
      <c r="F103" s="11" t="n">
        <f aca="false">SUMPRODUCT(($A$12:$A$72&lt;17)*I$12:I$72*$E$12:$E$72*$F$12:$F$72*$B$12:$B$72)</f>
        <v>1.53250272119307</v>
      </c>
      <c r="G103" s="11" t="n">
        <f aca="false">SUMPRODUCT(($A$12:$A$72&lt;18)*I$12:I$72*$E$12:$E$72*$F$12:$F$72*$B$12:$B$72)</f>
        <v>1.55279661227516</v>
      </c>
      <c r="H103" s="11" t="n">
        <f aca="false">SUMPRODUCT(($A$12:$A$72&lt;19)*I$12:I$72*$E$12:$E$72*$F$12:$F$72*$B$12:$B$72)</f>
        <v>1.57182619430107</v>
      </c>
      <c r="I103" s="11" t="n">
        <f aca="false">SUMPRODUCT(($A$12:$A$72&lt;20)*I$12:I$72*$E$12:$E$72*$F$12:$F$72*$B$12:$B$72)</f>
        <v>1.58962169599304</v>
      </c>
      <c r="J103" s="11" t="n">
        <f aca="false">SUMPRODUCT(($A$12:$A$72&lt;21)*I$12:I$72*$E$12:$E$72*$F$12:$F$72*$B$12:$B$72)</f>
        <v>1.60621460372041</v>
      </c>
      <c r="K103" s="11" t="n">
        <f aca="false">SUMPRODUCT(($A$12:$A$72&lt;22)*I$12:I$72*$E$12:$E$72*$F$12:$F$72*$B$12:$B$72)</f>
        <v>1.62162926393404</v>
      </c>
      <c r="L103" s="11" t="n">
        <f aca="false">SUMPRODUCT(($A$12:$A$72&lt;23)*I$12:I$72*$E$12:$E$72*$F$12:$F$72*$B$12:$B$72)</f>
        <v>1.63589010522422</v>
      </c>
      <c r="M103" s="11" t="n">
        <f aca="false">SUMPRODUCT(($A$12:$A$72&lt;24)*I$12:I$72*$E$12:$E$72*$F$12:$F$72*$B$12:$B$72)</f>
        <v>1.64902229145327</v>
      </c>
      <c r="N103" s="11" t="n">
        <f aca="false">SUMPRODUCT(($A$12:$A$72&lt;25)*I$12:I$72*$E$12:$E$72*$F$12:$F$72*$B$12:$B$72)</f>
        <v>1.66103054021157</v>
      </c>
      <c r="O103" s="11" t="n">
        <f aca="false">SUMPRODUCT(($A$12:$A$72&lt;26)*I$12:I$72*$E$12:$E$72*$F$12:$F$72*$B$12:$B$72)</f>
        <v>1.67193865883349</v>
      </c>
      <c r="P103" s="11" t="n">
        <f aca="false">SUMPRODUCT(($A$12:$A$72&lt;27)*I$12:I$72*$E$12:$E$72*$F$12:$F$72*$B$12:$B$72)</f>
        <v>1.68176783799311</v>
      </c>
      <c r="Q103" s="11" t="n">
        <f aca="false">SUMPRODUCT(($A$12:$A$72&lt;28)*I$12:I$72*$E$12:$E$72*$F$12:$F$72*$B$12:$B$72)</f>
        <v>1.6905483697552</v>
      </c>
    </row>
    <row r="104" customFormat="false" ht="15" hidden="false" customHeight="true" outlineLevel="0" collapsed="false">
      <c r="A104" s="3" t="n">
        <v>63</v>
      </c>
      <c r="B104" s="11" t="n">
        <f aca="false">SUMPRODUCT(($A$12:$A$72&lt;12)*J$12:J$72*$E$12:$E$72*$F$12:$F$72*$B$12:$B$72)</f>
        <v>1.40860401055254</v>
      </c>
      <c r="C104" s="11" t="n">
        <f aca="false">SUMPRODUCT(($A$12:$A$72&lt;13)*J$12:J$72*$E$12:$E$72*$F$12:$F$72*$B$12:$B$72)</f>
        <v>1.43574046019378</v>
      </c>
      <c r="D104" s="11" t="n">
        <f aca="false">SUMPRODUCT(($A$12:$A$72&lt;14)*J$12:J$72*$E$12:$E$72*$F$12:$F$72*$B$12:$B$72)</f>
        <v>1.46133913108461</v>
      </c>
      <c r="E104" s="11" t="n">
        <f aca="false">SUMPRODUCT(($A$12:$A$72&lt;15)*J$12:J$72*$E$12:$E$72*$F$12:$F$72*$B$12:$B$72)</f>
        <v>1.48546279511721</v>
      </c>
      <c r="F104" s="11" t="n">
        <f aca="false">SUMPRODUCT(($A$12:$A$72&lt;16)*J$12:J$72*$E$12:$E$72*$F$12:$F$72*$B$12:$B$72)</f>
        <v>1.50809303725173</v>
      </c>
      <c r="G104" s="11" t="n">
        <f aca="false">SUMPRODUCT(($A$12:$A$72&lt;17)*J$12:J$72*$E$12:$E$72*$F$12:$F$72*$B$12:$B$72)</f>
        <v>1.52929704232569</v>
      </c>
      <c r="H104" s="11" t="n">
        <f aca="false">SUMPRODUCT(($A$12:$A$72&lt;18)*J$12:J$72*$E$12:$E$72*$F$12:$F$72*$B$12:$B$72)</f>
        <v>1.54915194648208</v>
      </c>
      <c r="I104" s="11" t="n">
        <f aca="false">SUMPRODUCT(($A$12:$A$72&lt;19)*J$12:J$72*$E$12:$E$72*$F$12:$F$72*$B$12:$B$72)</f>
        <v>1.56769447891838</v>
      </c>
      <c r="J104" s="11" t="n">
        <f aca="false">SUMPRODUCT(($A$12:$A$72&lt;20)*J$12:J$72*$E$12:$E$72*$F$12:$F$72*$B$12:$B$72)</f>
        <v>1.58497037139708</v>
      </c>
      <c r="K104" s="11" t="n">
        <f aca="false">SUMPRODUCT(($A$12:$A$72&lt;21)*J$12:J$72*$E$12:$E$72*$F$12:$F$72*$B$12:$B$72)</f>
        <v>1.60101160078224</v>
      </c>
      <c r="L104" s="11" t="n">
        <f aca="false">SUMPRODUCT(($A$12:$A$72&lt;22)*J$12:J$72*$E$12:$E$72*$F$12:$F$72*$B$12:$B$72)</f>
        <v>1.61584382421591</v>
      </c>
      <c r="M104" s="11" t="n">
        <f aca="false">SUMPRODUCT(($A$12:$A$72&lt;23)*J$12:J$72*$E$12:$E$72*$F$12:$F$72*$B$12:$B$72)</f>
        <v>1.62949354245868</v>
      </c>
      <c r="N104" s="11" t="n">
        <f aca="false">SUMPRODUCT(($A$12:$A$72&lt;24)*J$12:J$72*$E$12:$E$72*$F$12:$F$72*$B$12:$B$72)</f>
        <v>1.64196869950933</v>
      </c>
      <c r="O104" s="11" t="n">
        <f aca="false">SUMPRODUCT(($A$12:$A$72&lt;25)*J$12:J$72*$E$12:$E$72*$F$12:$F$72*$B$12:$B$72)</f>
        <v>1.65328920526524</v>
      </c>
      <c r="P104" s="11" t="n">
        <f aca="false">SUMPRODUCT(($A$12:$A$72&lt;26)*J$12:J$72*$E$12:$E$72*$F$12:$F$72*$B$12:$B$72)</f>
        <v>1.66348342783899</v>
      </c>
      <c r="Q104" s="11" t="n">
        <f aca="false">SUMPRODUCT(($A$12:$A$72&lt;27)*J$12:J$72*$E$12:$E$72*$F$12:$F$72*$B$12:$B$72)</f>
        <v>1.67257891731699</v>
      </c>
    </row>
    <row r="105" customFormat="false" ht="15" hidden="false" customHeight="true" outlineLevel="0" collapsed="false">
      <c r="A105" s="3" t="n">
        <v>64</v>
      </c>
      <c r="B105" s="11" t="n">
        <f aca="false">SUMPRODUCT(($A$12:$A$72&lt;11)*K$12:K$72*$E$12:$E$72*$F$12:$F$72*$B$12:$B$72)</f>
        <v>1.37850176056983</v>
      </c>
      <c r="C105" s="11" t="n">
        <f aca="false">SUMPRODUCT(($A$12:$A$72&lt;12)*K$12:K$72*$E$12:$E$72*$F$12:$F$72*$B$12:$B$72)</f>
        <v>1.40693190393754</v>
      </c>
      <c r="D105" s="11" t="n">
        <f aca="false">SUMPRODUCT(($A$12:$A$72&lt;13)*K$12:K$72*$E$12:$E$72*$F$12:$F$72*$B$12:$B$72)</f>
        <v>1.43373762279715</v>
      </c>
      <c r="E105" s="11" t="n">
        <f aca="false">SUMPRODUCT(($A$12:$A$72&lt;14)*K$12:K$72*$E$12:$E$72*$F$12:$F$72*$B$12:$B$72)</f>
        <v>1.45897480065853</v>
      </c>
      <c r="F105" s="11" t="n">
        <f aca="false">SUMPRODUCT(($A$12:$A$72&lt;15)*K$12:K$72*$E$12:$E$72*$F$12:$F$72*$B$12:$B$72)</f>
        <v>1.48270504444905</v>
      </c>
      <c r="G105" s="11" t="n">
        <f aca="false">SUMPRODUCT(($A$12:$A$72&lt;16)*K$12:K$72*$E$12:$E$72*$F$12:$F$72*$B$12:$B$72)</f>
        <v>1.504910294818</v>
      </c>
      <c r="H105" s="11" t="n">
        <f aca="false">SUMPRODUCT(($A$12:$A$72&lt;17)*K$12:K$72*$E$12:$E$72*$F$12:$F$72*$B$12:$B$72)</f>
        <v>1.52565693394532</v>
      </c>
      <c r="I105" s="11" t="n">
        <f aca="false">SUMPRODUCT(($A$12:$A$72&lt;18)*K$12:K$72*$E$12:$E$72*$F$12:$F$72*$B$12:$B$72)</f>
        <v>1.54500365881739</v>
      </c>
      <c r="J105" s="11" t="n">
        <f aca="false">SUMPRODUCT(($A$12:$A$72&lt;19)*K$12:K$72*$E$12:$E$72*$F$12:$F$72*$B$12:$B$72)</f>
        <v>1.56300371859281</v>
      </c>
      <c r="K105" s="11" t="n">
        <f aca="false">SUMPRODUCT(($A$12:$A$72&lt;20)*K$12:K$72*$E$12:$E$72*$F$12:$F$72*$B$12:$B$72)</f>
        <v>1.57970315239077</v>
      </c>
      <c r="L105" s="11" t="n">
        <f aca="false">SUMPRODUCT(($A$12:$A$72&lt;21)*K$12:K$72*$E$12:$E$72*$F$12:$F$72*$B$12:$B$72)</f>
        <v>1.59513520890235</v>
      </c>
      <c r="M105" s="11" t="n">
        <f aca="false">SUMPRODUCT(($A$12:$A$72&lt;22)*K$12:K$72*$E$12:$E$72*$F$12:$F$72*$B$12:$B$72)</f>
        <v>1.6093278191944</v>
      </c>
      <c r="N105" s="11" t="n">
        <f aca="false">SUMPRODUCT(($A$12:$A$72&lt;23)*K$12:K$72*$E$12:$E$72*$F$12:$F$72*$B$12:$B$72)</f>
        <v>1.62228940090846</v>
      </c>
      <c r="O105" s="11" t="n">
        <f aca="false">SUMPRODUCT(($A$12:$A$72&lt;24)*K$12:K$72*$E$12:$E$72*$F$12:$F$72*$B$12:$B$72)</f>
        <v>1.6340443211404</v>
      </c>
      <c r="P105" s="11" t="n">
        <f aca="false">SUMPRODUCT(($A$12:$A$72&lt;25)*K$12:K$72*$E$12:$E$72*$F$12:$F$72*$B$12:$B$72)</f>
        <v>1.64461776998308</v>
      </c>
      <c r="Q105" s="11" t="n">
        <f aca="false">SUMPRODUCT(($A$12:$A$72&lt;26)*K$12:K$72*$E$12:$E$72*$F$12:$F$72*$B$12:$B$72)</f>
        <v>1.65404459491841</v>
      </c>
    </row>
    <row r="106" customFormat="false" ht="15" hidden="false" customHeight="true" outlineLevel="0" collapsed="false">
      <c r="A106" s="3" t="n">
        <v>65</v>
      </c>
      <c r="B106" s="11" t="n">
        <f aca="false">SUMPRODUCT(($A$12:$A$72&lt;10)*L$12:L$72*$E$12:$E$72*$F$12:$F$72*$B$12:$B$72)</f>
        <v>1.34720909320339</v>
      </c>
      <c r="C106" s="11" t="n">
        <f aca="false">SUMPRODUCT(($A$12:$A$72&lt;11)*L$12:L$72*$E$12:$E$72*$F$12:$F$72*$B$12:$B$72)</f>
        <v>1.37691901784534</v>
      </c>
      <c r="D106" s="11" t="n">
        <f aca="false">SUMPRODUCT(($A$12:$A$72&lt;12)*L$12:L$72*$E$12:$E$72*$F$12:$F$72*$B$12:$B$72)</f>
        <v>1.40501000788671</v>
      </c>
      <c r="E106" s="11" t="n">
        <f aca="false">SUMPRODUCT(($A$12:$A$72&lt;13)*L$12:L$72*$E$12:$E$72*$F$12:$F$72*$B$12:$B$72)</f>
        <v>1.43144329834569</v>
      </c>
      <c r="F106" s="11" t="n">
        <f aca="false">SUMPRODUCT(($A$12:$A$72&lt;14)*L$12:L$72*$E$12:$E$72*$F$12:$F$72*$B$12:$B$72)</f>
        <v>1.45627378131802</v>
      </c>
      <c r="G106" s="11" t="n">
        <f aca="false">SUMPRODUCT(($A$12:$A$72&lt;15)*L$12:L$72*$E$12:$E$72*$F$12:$F$72*$B$12:$B$72)</f>
        <v>1.47956204744578</v>
      </c>
      <c r="H106" s="11" t="n">
        <f aca="false">SUMPRODUCT(($A$12:$A$72&lt;16)*L$12:L$72*$E$12:$E$72*$F$12:$F$72*$B$12:$B$72)</f>
        <v>1.50129079808155</v>
      </c>
      <c r="I106" s="11" t="n">
        <f aca="false">SUMPRODUCT(($A$12:$A$72&lt;17)*L$12:L$72*$E$12:$E$72*$F$12:$F$72*$B$12:$B$72)</f>
        <v>1.52150742424596</v>
      </c>
      <c r="J106" s="11" t="n">
        <f aca="false">SUMPRODUCT(($A$12:$A$72&lt;18)*L$12:L$72*$E$12:$E$72*$F$12:$F$72*$B$12:$B$72)</f>
        <v>1.54028796086161</v>
      </c>
      <c r="K106" s="11" t="n">
        <f aca="false">SUMPRODUCT(($A$12:$A$72&lt;19)*L$12:L$72*$E$12:$E$72*$F$12:$F$72*$B$12:$B$72)</f>
        <v>1.55768606151627</v>
      </c>
      <c r="L106" s="11" t="n">
        <f aca="false">SUMPRODUCT(($A$12:$A$72&lt;20)*L$12:L$72*$E$12:$E$72*$F$12:$F$72*$B$12:$B$72)</f>
        <v>1.57374888039571</v>
      </c>
      <c r="M106" s="11" t="n">
        <f aca="false">SUMPRODUCT(($A$12:$A$72&lt;21)*L$12:L$72*$E$12:$E$72*$F$12:$F$72*$B$12:$B$72)</f>
        <v>1.5885119514371</v>
      </c>
      <c r="N106" s="11" t="n">
        <f aca="false">SUMPRODUCT(($A$12:$A$72&lt;22)*L$12:L$72*$E$12:$E$72*$F$12:$F$72*$B$12:$B$72)</f>
        <v>1.60198421147408</v>
      </c>
      <c r="O106" s="11" t="n">
        <f aca="false">SUMPRODUCT(($A$12:$A$72&lt;23)*L$12:L$72*$E$12:$E$72*$F$12:$F$72*$B$12:$B$72)</f>
        <v>1.61419200862052</v>
      </c>
      <c r="P106" s="11" t="n">
        <f aca="false">SUMPRODUCT(($A$12:$A$72&lt;24)*L$12:L$72*$E$12:$E$72*$F$12:$F$72*$B$12:$B$72)</f>
        <v>1.62516524684873</v>
      </c>
      <c r="Q106" s="11" t="n">
        <f aca="false">SUMPRODUCT(($A$12:$A$72&lt;25)*L$12:L$72*$E$12:$E$72*$F$12:$F$72*$B$12:$B$72)</f>
        <v>1.63493644402351</v>
      </c>
    </row>
    <row r="107" customFormat="false" ht="15" hidden="false" customHeight="true" outlineLevel="0" collapsed="false">
      <c r="A107" s="3" t="n">
        <v>66</v>
      </c>
      <c r="B107" s="11" t="n">
        <f aca="false">SUMPRODUCT(($A$12:$A$72&lt;9)*M$12:M$72*$E$12:$E$72*$F$12:$F$72*$B$12:$B$72)</f>
        <v>1.31468423263304</v>
      </c>
      <c r="C107" s="11" t="n">
        <f aca="false">SUMPRODUCT(($A$12:$A$72&lt;10)*M$12:M$72*$E$12:$E$72*$F$12:$F$72*$B$12:$B$72)</f>
        <v>1.34583120913484</v>
      </c>
      <c r="D107" s="11" t="n">
        <f aca="false">SUMPRODUCT(($A$12:$A$72&lt;11)*M$12:M$72*$E$12:$E$72*$F$12:$F$72*$B$12:$B$72)</f>
        <v>1.375203809111</v>
      </c>
      <c r="E107" s="11" t="n">
        <f aca="false">SUMPRODUCT(($A$12:$A$72&lt;12)*M$12:M$72*$E$12:$E$72*$F$12:$F$72*$B$12:$B$72)</f>
        <v>1.402919792154</v>
      </c>
      <c r="F107" s="11" t="n">
        <f aca="false">SUMPRODUCT(($A$12:$A$72&lt;13)*M$12:M$72*$E$12:$E$72*$F$12:$F$72*$B$12:$B$72)</f>
        <v>1.4289405471866</v>
      </c>
      <c r="G107" s="11" t="n">
        <f aca="false">SUMPRODUCT(($A$12:$A$72&lt;14)*M$12:M$72*$E$12:$E$72*$F$12:$F$72*$B$12:$B$72)</f>
        <v>1.45332018070522</v>
      </c>
      <c r="H107" s="11" t="n">
        <f aca="false">SUMPRODUCT(($A$12:$A$72&lt;15)*M$12:M$72*$E$12:$E$72*$F$12:$F$72*$B$12:$B$72)</f>
        <v>1.47611854701428</v>
      </c>
      <c r="I107" s="11" t="n">
        <f aca="false">SUMPRODUCT(($A$12:$A$72&lt;16)*M$12:M$72*$E$12:$E$72*$F$12:$F$72*$B$12:$B$72)</f>
        <v>1.49729995203874</v>
      </c>
      <c r="J107" s="11" t="n">
        <f aca="false">SUMPRODUCT(($A$12:$A$72&lt;17)*M$12:M$72*$E$12:$E$72*$F$12:$F$72*$B$12:$B$72)</f>
        <v>1.51693094487171</v>
      </c>
      <c r="K107" s="11" t="n">
        <f aca="false">SUMPRODUCT(($A$12:$A$72&lt;18)*M$12:M$72*$E$12:$E$72*$F$12:$F$72*$B$12:$B$72)</f>
        <v>1.53508775100463</v>
      </c>
      <c r="L107" s="11" t="n">
        <f aca="false">SUMPRODUCT(($A$12:$A$72&lt;19)*M$12:M$72*$E$12:$E$72*$F$12:$F$72*$B$12:$B$72)</f>
        <v>1.5518253095173</v>
      </c>
      <c r="M107" s="11" t="n">
        <f aca="false">SUMPRODUCT(($A$12:$A$72&lt;20)*M$12:M$72*$E$12:$E$72*$F$12:$F$72*$B$12:$B$72)</f>
        <v>1.56719295507396</v>
      </c>
      <c r="N107" s="11" t="n">
        <f aca="false">SUMPRODUCT(($A$12:$A$72&lt;21)*M$12:M$72*$E$12:$E$72*$F$12:$F$72*$B$12:$B$72)</f>
        <v>1.58120603660178</v>
      </c>
      <c r="O107" s="11" t="n">
        <f aca="false">SUMPRODUCT(($A$12:$A$72&lt;22)*M$12:M$72*$E$12:$E$72*$F$12:$F$72*$B$12:$B$72)</f>
        <v>1.59389306399644</v>
      </c>
      <c r="P107" s="11" t="n">
        <f aca="false">SUMPRODUCT(($A$12:$A$72&lt;23)*M$12:M$72*$E$12:$E$72*$F$12:$F$72*$B$12:$B$72)</f>
        <v>1.60528639625898</v>
      </c>
      <c r="Q107" s="11" t="n">
        <f aca="false">SUMPRODUCT(($A$12:$A$72&lt;24)*M$12:M$72*$E$12:$E$72*$F$12:$F$72*$B$12:$B$72)</f>
        <v>1.61542362657107</v>
      </c>
    </row>
    <row r="108" customFormat="false" ht="15" hidden="false" customHeight="true" outlineLevel="0" collapsed="false">
      <c r="A108" s="3" t="n">
        <v>67</v>
      </c>
      <c r="B108" s="11" t="n">
        <f aca="false">SUMPRODUCT(($A$12:$A$72&lt;8)*N$12:N$72*$E$12:$E$72*$F$12:$F$72*$B$12:$B$72)</f>
        <v>1.28084302811214</v>
      </c>
      <c r="C108" s="11" t="n">
        <f aca="false">SUMPRODUCT(($A$12:$A$72&lt;9)*N$12:N$72*$E$12:$E$72*$F$12:$F$72*$B$12:$B$72)</f>
        <v>1.31343955986336</v>
      </c>
      <c r="D108" s="11" t="n">
        <f aca="false">SUMPRODUCT(($A$12:$A$72&lt;10)*N$12:N$72*$E$12:$E$72*$F$12:$F$72*$B$12:$B$72)</f>
        <v>1.34424606612784</v>
      </c>
      <c r="E108" s="11" t="n">
        <f aca="false">SUMPRODUCT(($A$12:$A$72&lt;11)*N$12:N$72*$E$12:$E$72*$F$12:$F$72*$B$12:$B$72)</f>
        <v>1.37323803842607</v>
      </c>
      <c r="F108" s="11" t="n">
        <f aca="false">SUMPRODUCT(($A$12:$A$72&lt;12)*N$12:N$72*$E$12:$E$72*$F$12:$F$72*$B$12:$B$72)</f>
        <v>1.40053131389261</v>
      </c>
      <c r="G108" s="11" t="n">
        <f aca="false">SUMPRODUCT(($A$12:$A$72&lt;13)*N$12:N$72*$E$12:$E$72*$F$12:$F$72*$B$12:$B$72)</f>
        <v>1.42608779736441</v>
      </c>
      <c r="H108" s="11" t="n">
        <f aca="false">SUMPRODUCT(($A$12:$A$72&lt;14)*N$12:N$72*$E$12:$E$72*$F$12:$F$72*$B$12:$B$72)</f>
        <v>1.44996113106562</v>
      </c>
      <c r="I108" s="11" t="n">
        <f aca="false">SUMPRODUCT(($A$12:$A$72&lt;15)*N$12:N$72*$E$12:$E$72*$F$12:$F$72*$B$12:$B$72)</f>
        <v>1.47218983776431</v>
      </c>
      <c r="J108" s="11" t="n">
        <f aca="false">SUMPRODUCT(($A$12:$A$72&lt;16)*N$12:N$72*$E$12:$E$72*$F$12:$F$72*$B$12:$B$72)</f>
        <v>1.49276069305552</v>
      </c>
      <c r="K108" s="11" t="n">
        <f aca="false">SUMPRODUCT(($A$12:$A$72&lt;17)*N$12:N$72*$E$12:$E$72*$F$12:$F$72*$B$12:$B$72)</f>
        <v>1.51174119834395</v>
      </c>
      <c r="L108" s="11" t="n">
        <f aca="false">SUMPRODUCT(($A$12:$A$72&lt;18)*N$12:N$72*$E$12:$E$72*$F$12:$F$72*$B$12:$B$72)</f>
        <v>1.52920866453564</v>
      </c>
      <c r="M108" s="11" t="n">
        <f aca="false">SUMPRODUCT(($A$12:$A$72&lt;19)*N$12:N$72*$E$12:$E$72*$F$12:$F$72*$B$12:$B$72)</f>
        <v>1.54522044623067</v>
      </c>
      <c r="N108" s="11" t="n">
        <f aca="false">SUMPRODUCT(($A$12:$A$72&lt;20)*N$12:N$72*$E$12:$E$72*$F$12:$F$72*$B$12:$B$72)</f>
        <v>1.55980427119743</v>
      </c>
      <c r="O108" s="11" t="n">
        <f aca="false">SUMPRODUCT(($A$12:$A$72&lt;21)*N$12:N$72*$E$12:$E$72*$F$12:$F$72*$B$12:$B$72)</f>
        <v>1.57299659121112</v>
      </c>
      <c r="P108" s="11" t="n">
        <f aca="false">SUMPRODUCT(($A$12:$A$72&lt;22)*N$12:N$72*$E$12:$E$72*$F$12:$F$72*$B$12:$B$72)</f>
        <v>1.58483243518797</v>
      </c>
      <c r="Q108" s="11" t="n">
        <f aca="false">SUMPRODUCT(($A$12:$A$72&lt;23)*N$12:N$72*$E$12:$E$72*$F$12:$F$72*$B$12:$B$72)</f>
        <v>1.59535243624875</v>
      </c>
    </row>
    <row r="109" customFormat="false" ht="15" hidden="false" customHeight="true" outlineLevel="0" collapsed="false">
      <c r="A109" s="3" t="n">
        <v>68</v>
      </c>
      <c r="B109" s="11" t="n">
        <f aca="false">SUMPRODUCT(($A$12:$A$72&lt;7)*O$12:O$72*$E$12:$E$72*$F$12:$F$72*$B$12:$B$72)</f>
        <v>1.24564012151208</v>
      </c>
      <c r="C109" s="11" t="n">
        <f aca="false">SUMPRODUCT(($A$12:$A$72&lt;8)*O$12:O$72*$E$12:$E$72*$F$12:$F$72*$B$12:$B$72)</f>
        <v>1.27974445295232</v>
      </c>
      <c r="D109" s="11" t="n">
        <f aca="false">SUMPRODUCT(($A$12:$A$72&lt;9)*O$12:O$72*$E$12:$E$72*$F$12:$F$72*$B$12:$B$72)</f>
        <v>1.31200118791319</v>
      </c>
      <c r="E109" s="11" t="n">
        <f aca="false">SUMPRODUCT(($A$12:$A$72&lt;10)*O$12:O$72*$E$12:$E$72*$F$12:$F$72*$B$12:$B$72)</f>
        <v>1.34242309814229</v>
      </c>
      <c r="F109" s="11" t="n">
        <f aca="false">SUMPRODUCT(($A$12:$A$72&lt;11)*O$12:O$72*$E$12:$E$72*$F$12:$F$72*$B$12:$B$72)</f>
        <v>1.37098559221792</v>
      </c>
      <c r="G109" s="11" t="n">
        <f aca="false">SUMPRODUCT(($A$12:$A$72&lt;12)*O$12:O$72*$E$12:$E$72*$F$12:$F$72*$B$12:$B$72)</f>
        <v>1.39780270797518</v>
      </c>
      <c r="H109" s="11" t="n">
        <f aca="false">SUMPRODUCT(($A$12:$A$72&lt;13)*O$12:O$72*$E$12:$E$72*$F$12:$F$72*$B$12:$B$72)</f>
        <v>1.42283738597188</v>
      </c>
      <c r="I109" s="11" t="n">
        <f aca="false">SUMPRODUCT(($A$12:$A$72&lt;14)*O$12:O$72*$E$12:$E$72*$F$12:$F$72*$B$12:$B$72)</f>
        <v>1.44612093762089</v>
      </c>
      <c r="J109" s="11" t="n">
        <f aca="false">SUMPRODUCT(($A$12:$A$72&lt;15)*O$12:O$72*$E$12:$E$72*$F$12:$F$72*$B$12:$B$72)</f>
        <v>1.46771381827207</v>
      </c>
      <c r="K109" s="11" t="n">
        <f aca="false">SUMPRODUCT(($A$12:$A$72&lt;16)*O$12:O$72*$E$12:$E$72*$F$12:$F$72*$B$12:$B$72)</f>
        <v>1.48760617400611</v>
      </c>
      <c r="L109" s="11" t="n">
        <f aca="false">SUMPRODUCT(($A$12:$A$72&lt;17)*O$12:O$72*$E$12:$E$72*$F$12:$F$72*$B$12:$B$72)</f>
        <v>1.50586749419987</v>
      </c>
      <c r="M109" s="11" t="n">
        <f aca="false">SUMPRODUCT(($A$12:$A$72&lt;18)*O$12:O$72*$E$12:$E$72*$F$12:$F$72*$B$12:$B$72)</f>
        <v>1.52257734495275</v>
      </c>
      <c r="N109" s="11" t="n">
        <f aca="false">SUMPRODUCT(($A$12:$A$72&lt;19)*O$12:O$72*$E$12:$E$72*$F$12:$F$72*$B$12:$B$72)</f>
        <v>1.53777033128982</v>
      </c>
      <c r="O109" s="11" t="n">
        <f aca="false">SUMPRODUCT(($A$12:$A$72&lt;20)*O$12:O$72*$E$12:$E$72*$F$12:$F$72*$B$12:$B$72)</f>
        <v>1.55149680133115</v>
      </c>
      <c r="P109" s="11" t="n">
        <f aca="false">SUMPRODUCT(($A$12:$A$72&lt;21)*O$12:O$72*$E$12:$E$72*$F$12:$F$72*$B$12:$B$72)</f>
        <v>1.56379999263411</v>
      </c>
      <c r="Q109" s="11" t="n">
        <f aca="false">SUMPRODUCT(($A$12:$A$72&lt;22)*O$12:O$72*$E$12:$E$72*$F$12:$F$72*$B$12:$B$72)</f>
        <v>1.57472384125557</v>
      </c>
    </row>
    <row r="110" customFormat="false" ht="15" hidden="false" customHeight="true" outlineLevel="0" collapsed="false">
      <c r="A110" s="3" t="n">
        <v>69</v>
      </c>
      <c r="B110" s="11" t="n">
        <f aca="false">SUMPRODUCT(($A$12:$A$72&lt;6)*P$12:P$72*$E$12:$E$72*$F$12:$F$72*$B$12:$B$72)</f>
        <v>1.20902753328402</v>
      </c>
      <c r="C110" s="11" t="n">
        <f aca="false">SUMPRODUCT(($A$12:$A$72&lt;7)*P$12:P$72*$E$12:$E$72*$F$12:$F$72*$B$12:$B$72)</f>
        <v>1.24469817297912</v>
      </c>
      <c r="D110" s="11" t="n">
        <f aca="false">SUMPRODUCT(($A$12:$A$72&lt;8)*P$12:P$72*$E$12:$E$72*$F$12:$F$72*$B$12:$B$72)</f>
        <v>1.27846757466223</v>
      </c>
      <c r="E110" s="11" t="n">
        <f aca="false">SUMPRODUCT(($A$12:$A$72&lt;9)*P$12:P$72*$E$12:$E$72*$F$12:$F$72*$B$12:$B$72)</f>
        <v>1.31034000918771</v>
      </c>
      <c r="F110" s="11" t="n">
        <f aca="false">SUMPRODUCT(($A$12:$A$72&lt;10)*P$12:P$72*$E$12:$E$72*$F$12:$F$72*$B$12:$B$72)</f>
        <v>1.34032747263673</v>
      </c>
      <c r="G110" s="11" t="n">
        <f aca="false">SUMPRODUCT(($A$12:$A$72&lt;11)*P$12:P$72*$E$12:$E$72*$F$12:$F$72*$B$12:$B$72)</f>
        <v>1.36840567826193</v>
      </c>
      <c r="H110" s="11" t="n">
        <f aca="false">SUMPRODUCT(($A$12:$A$72&lt;12)*P$12:P$72*$E$12:$E$72*$F$12:$F$72*$B$12:$B$72)</f>
        <v>1.39468712601902</v>
      </c>
      <c r="I110" s="11" t="n">
        <f aca="false">SUMPRODUCT(($A$12:$A$72&lt;13)*P$12:P$72*$E$12:$E$72*$F$12:$F$72*$B$12:$B$72)</f>
        <v>1.41911269420449</v>
      </c>
      <c r="J110" s="11" t="n">
        <f aca="false">SUMPRODUCT(($A$12:$A$72&lt;14)*P$12:P$72*$E$12:$E$72*$F$12:$F$72*$B$12:$B$72)</f>
        <v>1.44173749694309</v>
      </c>
      <c r="K110" s="11" t="n">
        <f aca="false">SUMPRODUCT(($A$12:$A$72&lt;15)*P$12:P$72*$E$12:$E$72*$F$12:$F$72*$B$12:$B$72)</f>
        <v>1.4626233731362</v>
      </c>
      <c r="L110" s="11" t="n">
        <f aca="false">SUMPRODUCT(($A$12:$A$72&lt;16)*P$12:P$72*$E$12:$E$72*$F$12:$F$72*$B$12:$B$72)</f>
        <v>1.48176522206632</v>
      </c>
      <c r="M110" s="11" t="n">
        <f aca="false">SUMPRODUCT(($A$12:$A$72&lt;17)*P$12:P$72*$E$12:$E$72*$F$12:$F$72*$B$12:$B$72)</f>
        <v>1.49923585397004</v>
      </c>
      <c r="N110" s="11" t="n">
        <f aca="false">SUMPRODUCT(($A$12:$A$72&lt;18)*P$12:P$72*$E$12:$E$72*$F$12:$F$72*$B$12:$B$72)</f>
        <v>1.515090376832</v>
      </c>
      <c r="O110" s="11" t="n">
        <f aca="false">SUMPRODUCT(($A$12:$A$72&lt;19)*P$12:P$72*$E$12:$E$72*$F$12:$F$72*$B$12:$B$72)</f>
        <v>1.52938812936362</v>
      </c>
      <c r="P110" s="11" t="n">
        <f aca="false">SUMPRODUCT(($A$12:$A$72&lt;20)*P$12:P$72*$E$12:$E$72*$F$12:$F$72*$B$12:$B$72)</f>
        <v>1.54218634967181</v>
      </c>
      <c r="Q110" s="11" t="n">
        <f aca="false">SUMPRODUCT(($A$12:$A$72&lt;21)*P$12:P$72*$E$12:$E$72*$F$12:$F$72*$B$12:$B$72)</f>
        <v>1.55353755714496</v>
      </c>
    </row>
    <row r="111" customFormat="false" ht="15" hidden="false" customHeight="true" outlineLevel="0" collapsed="false">
      <c r="A111" s="3" t="n">
        <v>70</v>
      </c>
      <c r="B111" s="11" t="n">
        <f aca="false">SUMPRODUCT(($A$12:$A$72&lt;5)*Q$12:Q$72*$E$12:$E$72*$F$12:$F$72*$B$12:$B$72)</f>
        <v>1.17094847480184</v>
      </c>
      <c r="C111" s="11" t="n">
        <f aca="false">SUMPRODUCT(($A$12:$A$72&lt;6)*Q$12:Q$72*$E$12:$E$72*$F$12:$F$72*$B$12:$B$72)</f>
        <v>1.20824894879471</v>
      </c>
      <c r="D111" s="11" t="n">
        <f aca="false">SUMPRODUCT(($A$12:$A$72&lt;7)*Q$12:Q$72*$E$12:$E$72*$F$12:$F$72*$B$12:$B$72)</f>
        <v>1.2435947644557</v>
      </c>
      <c r="E111" s="11" t="n">
        <f aca="false">SUMPRODUCT(($A$12:$A$72&lt;8)*Q$12:Q$72*$E$12:$E$72*$F$12:$F$72*$B$12:$B$72)</f>
        <v>1.27698484934588</v>
      </c>
      <c r="F111" s="11" t="n">
        <f aca="false">SUMPRODUCT(($A$12:$A$72&lt;9)*Q$12:Q$72*$E$12:$E$72*$F$12:$F$72*$B$12:$B$72)</f>
        <v>1.30842261323592</v>
      </c>
      <c r="G111" s="11" t="n">
        <f aca="false">SUMPRODUCT(($A$12:$A$72&lt;10)*Q$12:Q$72*$E$12:$E$72*$F$12:$F$72*$B$12:$B$72)</f>
        <v>1.33791960700428</v>
      </c>
      <c r="H111" s="11" t="n">
        <f aca="false">SUMPRODUCT(($A$12:$A$72&lt;11)*Q$12:Q$72*$E$12:$E$72*$F$12:$F$72*$B$12:$B$72)</f>
        <v>1.3654524167173</v>
      </c>
      <c r="I111" s="11" t="n">
        <f aca="false">SUMPRODUCT(($A$12:$A$72&lt;12)*Q$12:Q$72*$E$12:$E$72*$F$12:$F$72*$B$12:$B$72)</f>
        <v>1.39110703977108</v>
      </c>
      <c r="J111" s="11" t="n">
        <f aca="false">SUMPRODUCT(($A$12:$A$72&lt;13)*Q$12:Q$72*$E$12:$E$72*$F$12:$F$72*$B$12:$B$72)</f>
        <v>1.41485171162557</v>
      </c>
      <c r="K111" s="11" t="n">
        <f aca="false">SUMPRODUCT(($A$12:$A$72&lt;14)*Q$12:Q$72*$E$12:$E$72*$F$12:$F$72*$B$12:$B$72)</f>
        <v>1.43674350788388</v>
      </c>
      <c r="L111" s="11" t="n">
        <f aca="false">SUMPRODUCT(($A$12:$A$72&lt;15)*Q$12:Q$72*$E$12:$E$72*$F$12:$F$72*$B$12:$B$72)</f>
        <v>1.45684689757506</v>
      </c>
      <c r="M111" s="11" t="n">
        <f aca="false">SUMPRODUCT(($A$12:$A$72&lt;16)*Q$12:Q$72*$E$12:$E$72*$F$12:$F$72*$B$12:$B$72)</f>
        <v>1.47516325511178</v>
      </c>
      <c r="N111" s="11" t="n">
        <f aca="false">SUMPRODUCT(($A$12:$A$72&lt;17)*Q$12:Q$72*$E$12:$E$72*$F$12:$F$72*$B$12:$B$72)</f>
        <v>1.49174042502831</v>
      </c>
      <c r="O111" s="11" t="n">
        <f aca="false">SUMPRODUCT(($A$12:$A$72&lt;18)*Q$12:Q$72*$E$12:$E$72*$F$12:$F$72*$B$12:$B$72)</f>
        <v>1.50666007481083</v>
      </c>
      <c r="P111" s="11" t="n">
        <f aca="false">SUMPRODUCT(($A$12:$A$72&lt;19)*Q$12:Q$72*$E$12:$E$72*$F$12:$F$72*$B$12:$B$72)</f>
        <v>1.51998901994868</v>
      </c>
      <c r="Q111" s="11" t="n">
        <f aca="false">SUMPRODUCT(($A$12:$A$72&lt;20)*Q$12:Q$72*$E$12:$E$72*$F$12:$F$72*$B$12:$B$72)</f>
        <v>1.53179397749401</v>
      </c>
    </row>
    <row r="112" customFormat="false" ht="15" hidden="false" customHeight="true" outlineLevel="0" collapsed="false">
      <c r="A112" s="3" t="n">
        <v>71</v>
      </c>
      <c r="B112" s="11" t="n">
        <f aca="false">SUMPRODUCT(($A$12:$A$72&lt;4)*R$12:R$72*$E$12:$E$72*$F$12:$F$72*$B$12:$B$72)</f>
        <v>1.13121600438888</v>
      </c>
      <c r="C112" s="11" t="n">
        <f aca="false">SUMPRODUCT(($A$12:$A$72&lt;5)*R$12:R$72*$E$12:$E$72*$F$12:$F$72*$B$12:$B$72)</f>
        <v>1.17040935059325</v>
      </c>
      <c r="D112" s="11" t="n">
        <f aca="false">SUMPRODUCT(($A$12:$A$72&lt;6)*R$12:R$72*$E$12:$E$72*$F$12:$F$72*$B$12:$B$72)</f>
        <v>1.20741417138138</v>
      </c>
      <c r="E112" s="11" t="n">
        <f aca="false">SUMPRODUCT(($A$12:$A$72&lt;7)*R$12:R$72*$E$12:$E$72*$F$12:$F$72*$B$12:$B$72)</f>
        <v>1.24240346924475</v>
      </c>
      <c r="F112" s="11" t="n">
        <f aca="false">SUMPRODUCT(($A$12:$A$72&lt;8)*R$12:R$72*$E$12:$E$72*$F$12:$F$72*$B$12:$B$72)</f>
        <v>1.27537511902258</v>
      </c>
      <c r="G112" s="11" t="n">
        <f aca="false">SUMPRODUCT(($A$12:$A$72&lt;9)*R$12:R$72*$E$12:$E$72*$F$12:$F$72*$B$12:$B$72)</f>
        <v>1.3063320407145</v>
      </c>
      <c r="H112" s="11" t="n">
        <f aca="false">SUMPRODUCT(($A$12:$A$72&lt;10)*R$12:R$72*$E$12:$E$72*$F$12:$F$72*$B$12:$B$72)</f>
        <v>1.33528586036703</v>
      </c>
      <c r="I112" s="11" t="n">
        <f aca="false">SUMPRODUCT(($A$12:$A$72&lt;11)*R$12:R$72*$E$12:$E$72*$F$12:$F$72*$B$12:$B$72)</f>
        <v>1.36218776614434</v>
      </c>
      <c r="J112" s="11" t="n">
        <f aca="false">SUMPRODUCT(($A$12:$A$72&lt;12)*R$12:R$72*$E$12:$E$72*$F$12:$F$72*$B$12:$B$72)</f>
        <v>1.38714951923156</v>
      </c>
      <c r="K112" s="11" t="n">
        <f aca="false">SUMPRODUCT(($A$12:$A$72&lt;13)*R$12:R$72*$E$12:$E$72*$F$12:$F$72*$B$12:$B$72)</f>
        <v>1.41014374339006</v>
      </c>
      <c r="L112" s="11" t="n">
        <f aca="false">SUMPRODUCT(($A$12:$A$72&lt;14)*R$12:R$72*$E$12:$E$72*$F$12:$F$72*$B$12:$B$72)</f>
        <v>1.43123089108644</v>
      </c>
      <c r="M112" s="11" t="n">
        <f aca="false">SUMPRODUCT(($A$12:$A$72&lt;15)*R$12:R$72*$E$12:$E$72*$F$12:$F$72*$B$12:$B$72)</f>
        <v>1.45047968680903</v>
      </c>
      <c r="N112" s="11" t="n">
        <f aca="false">SUMPRODUCT(($A$12:$A$72&lt;16)*R$12:R$72*$E$12:$E$72*$F$12:$F$72*$B$12:$B$72)</f>
        <v>1.46786815585133</v>
      </c>
      <c r="O112" s="11" t="n">
        <f aca="false">SUMPRODUCT(($A$12:$A$72&lt;17)*R$12:R$72*$E$12:$E$72*$F$12:$F$72*$B$12:$B$72)</f>
        <v>1.4834742964655</v>
      </c>
      <c r="P112" s="11" t="n">
        <f aca="false">SUMPRODUCT(($A$12:$A$72&lt;18)*R$12:R$72*$E$12:$E$72*$F$12:$F$72*$B$12:$B$72)</f>
        <v>1.49738734575222</v>
      </c>
      <c r="Q112" s="11" t="n">
        <f aca="false">SUMPRODUCT(($A$12:$A$72&lt;19)*R$12:R$72*$E$12:$E$72*$F$12:$F$72*$B$12:$B$72)</f>
        <v>1.50968434466619</v>
      </c>
    </row>
    <row r="113" customFormat="false" ht="15" hidden="false" customHeight="true" outlineLevel="0" collapsed="false">
      <c r="A113" s="3" t="n">
        <v>72</v>
      </c>
      <c r="B113" s="11" t="n">
        <f aca="false">SUMPRODUCT(($A$12:$A$72&lt;3)*S$12:S$72*$E$12:$E$72*$F$12:$F$72*$B$12:$B$72)</f>
        <v>1.08966511285472</v>
      </c>
      <c r="C113" s="11" t="n">
        <f aca="false">SUMPRODUCT(($A$12:$A$72&lt;4)*S$12:S$72*$E$12:$E$72*$F$12:$F$72*$B$12:$B$72)</f>
        <v>1.13085011179692</v>
      </c>
      <c r="D113" s="11" t="n">
        <f aca="false">SUMPRODUCT(($A$12:$A$72&lt;5)*S$12:S$72*$E$12:$E$72*$F$12:$F$72*$B$12:$B$72)</f>
        <v>1.16977354741071</v>
      </c>
      <c r="E113" s="11" t="n">
        <f aca="false">SUMPRODUCT(($A$12:$A$72&lt;6)*S$12:S$72*$E$12:$E$72*$F$12:$F$72*$B$12:$B$72)</f>
        <v>1.20644233917326</v>
      </c>
      <c r="F113" s="11" t="n">
        <f aca="false">SUMPRODUCT(($A$12:$A$72&lt;7)*S$12:S$72*$E$12:$E$72*$F$12:$F$72*$B$12:$B$72)</f>
        <v>1.24102699012424</v>
      </c>
      <c r="G113" s="11" t="n">
        <f aca="false">SUMPRODUCT(($A$12:$A$72&lt;8)*S$12:S$72*$E$12:$E$72*$F$12:$F$72*$B$12:$B$72)</f>
        <v>1.27352470828599</v>
      </c>
      <c r="H113" s="11" t="n">
        <f aca="false">SUMPRODUCT(($A$12:$A$72&lt;9)*S$12:S$72*$E$12:$E$72*$F$12:$F$72*$B$12:$B$72)</f>
        <v>1.3039384908937</v>
      </c>
      <c r="I113" s="11" t="n">
        <f aca="false">SUMPRODUCT(($A$12:$A$72&lt;10)*S$12:S$72*$E$12:$E$72*$F$12:$F$72*$B$12:$B$72)</f>
        <v>1.33225186844523</v>
      </c>
      <c r="J113" s="11" t="n">
        <f aca="false">SUMPRODUCT(($A$12:$A$72&lt;11)*S$12:S$72*$E$12:$E$72*$F$12:$F$72*$B$12:$B$72)</f>
        <v>1.35844679122541</v>
      </c>
      <c r="K113" s="11" t="n">
        <f aca="false">SUMPRODUCT(($A$12:$A$72&lt;12)*S$12:S$72*$E$12:$E$72*$F$12:$F$72*$B$12:$B$72)</f>
        <v>1.38263589757453</v>
      </c>
      <c r="L113" s="11" t="n">
        <f aca="false">SUMPRODUCT(($A$12:$A$72&lt;13)*S$12:S$72*$E$12:$E$72*$F$12:$F$72*$B$12:$B$72)</f>
        <v>1.40479798263536</v>
      </c>
      <c r="M113" s="11" t="n">
        <f aca="false">SUMPRODUCT(($A$12:$A$72&lt;14)*S$12:S$72*$E$12:$E$72*$F$12:$F$72*$B$12:$B$72)</f>
        <v>1.42499866507228</v>
      </c>
      <c r="N113" s="11" t="n">
        <f aca="false">SUMPRODUCT(($A$12:$A$72&lt;15)*S$12:S$72*$E$12:$E$72*$F$12:$F$72*$B$12:$B$72)</f>
        <v>1.44327883184155</v>
      </c>
      <c r="O113" s="11" t="n">
        <f aca="false">SUMPRODUCT(($A$12:$A$72&lt;16)*S$12:S$72*$E$12:$E$72*$F$12:$F$72*$B$12:$B$72)</f>
        <v>1.45965301342576</v>
      </c>
      <c r="P113" s="11" t="n">
        <f aca="false">SUMPRODUCT(($A$12:$A$72&lt;17)*S$12:S$72*$E$12:$E$72*$F$12:$F$72*$B$12:$B$72)</f>
        <v>1.47420853932003</v>
      </c>
      <c r="Q113" s="11" t="n">
        <f aca="false">SUMPRODUCT(($A$12:$A$72&lt;18)*S$12:S$72*$E$12:$E$72*$F$12:$F$72*$B$12:$B$72)</f>
        <v>1.48704504220238</v>
      </c>
    </row>
    <row r="114" customFormat="false" ht="15" hidden="false" customHeight="true" outlineLevel="0" collapsed="false">
      <c r="A114" s="3" t="n">
        <v>73</v>
      </c>
      <c r="B114" s="11" t="n">
        <f aca="false">SUMPRODUCT(($A$12:$A$72&lt;2)*T$12:T$72*$E$12:$E$72*$F$12:$F$72*$B$12:$B$72)</f>
        <v>1.046135853364</v>
      </c>
      <c r="C114" s="11" t="n">
        <f aca="false">SUMPRODUCT(($A$12:$A$72&lt;3)*T$12:T$72*$E$12:$E$72*$F$12:$F$72*$B$12:$B$72)</f>
        <v>1.08945749089335</v>
      </c>
      <c r="D114" s="11" t="n">
        <f aca="false">SUMPRODUCT(($A$12:$A$72&lt;4)*T$12:T$72*$E$12:$E$72*$F$12:$F$72*$B$12:$B$72)</f>
        <v>1.13040903987554</v>
      </c>
      <c r="E114" s="11" t="n">
        <f aca="false">SUMPRODUCT(($A$12:$A$72&lt;5)*T$12:T$72*$E$12:$E$72*$F$12:$F$72*$B$12:$B$72)</f>
        <v>1.16902509863675</v>
      </c>
      <c r="F114" s="11" t="n">
        <f aca="false">SUMPRODUCT(($A$12:$A$72&lt;6)*T$12:T$72*$E$12:$E$72*$F$12:$F$72*$B$12:$B$72)</f>
        <v>1.20531178028671</v>
      </c>
      <c r="G114" s="11" t="n">
        <f aca="false">SUMPRODUCT(($A$12:$A$72&lt;7)*T$12:T$72*$E$12:$E$72*$F$12:$F$72*$B$12:$B$72)</f>
        <v>1.23943730488801</v>
      </c>
      <c r="H114" s="11" t="n">
        <f aca="false">SUMPRODUCT(($A$12:$A$72&lt;8)*T$12:T$72*$E$12:$E$72*$F$12:$F$72*$B$12:$B$72)</f>
        <v>1.27139882552335</v>
      </c>
      <c r="I114" s="11" t="n">
        <f aca="false">SUMPRODUCT(($A$12:$A$72&lt;9)*T$12:T$72*$E$12:$E$72*$F$12:$F$72*$B$12:$B$72)</f>
        <v>1.30116934322655</v>
      </c>
      <c r="J114" s="11" t="n">
        <f aca="false">SUMPRODUCT(($A$12:$A$72&lt;10)*T$12:T$72*$E$12:$E$72*$F$12:$F$72*$B$12:$B$72)</f>
        <v>1.32876411162344</v>
      </c>
      <c r="K114" s="11" t="n">
        <f aca="false">SUMPRODUCT(($A$12:$A$72&lt;11)*T$12:T$72*$E$12:$E$72*$F$12:$F$72*$B$12:$B$72)</f>
        <v>1.35416973479546</v>
      </c>
      <c r="L114" s="11" t="n">
        <f aca="false">SUMPRODUCT(($A$12:$A$72&lt;12)*T$12:T$72*$E$12:$E$72*$F$12:$F$72*$B$12:$B$72)</f>
        <v>1.37750121675359</v>
      </c>
      <c r="M114" s="11" t="n">
        <f aca="false">SUMPRODUCT(($A$12:$A$72&lt;13)*T$12:T$72*$E$12:$E$72*$F$12:$F$72*$B$12:$B$72)</f>
        <v>1.39874575453742</v>
      </c>
      <c r="N114" s="11" t="n">
        <f aca="false">SUMPRODUCT(($A$12:$A$72&lt;14)*T$12:T$72*$E$12:$E$72*$F$12:$F$72*$B$12:$B$72)</f>
        <v>1.41793997681371</v>
      </c>
      <c r="O114" s="11" t="n">
        <f aca="false">SUMPRODUCT(($A$12:$A$72&lt;15)*T$12:T$72*$E$12:$E$72*$F$12:$F$72*$B$12:$B$72)</f>
        <v>1.43516122492425</v>
      </c>
      <c r="P114" s="11" t="n">
        <f aca="false">SUMPRODUCT(($A$12:$A$72&lt;16)*T$12:T$72*$E$12:$E$72*$F$12:$F$72*$B$12:$B$72)</f>
        <v>1.45043805699961</v>
      </c>
      <c r="Q114" s="11" t="n">
        <f aca="false">SUMPRODUCT(($A$12:$A$72&lt;17)*T$12:T$72*$E$12:$E$72*$F$12:$F$72*$B$12:$B$72)</f>
        <v>1.46387020611683</v>
      </c>
    </row>
    <row r="115" customFormat="false" ht="15" hidden="false" customHeight="true" outlineLevel="0" collapsed="false">
      <c r="A115" s="3" t="n">
        <v>74</v>
      </c>
      <c r="B115" s="11" t="n">
        <f aca="false">SUMPRODUCT(($A$12:$A$72&lt;1)*U$12:U$72*$E$12:$E$72*$F$12:$F$72*$B$12:$B$72)</f>
        <v>1</v>
      </c>
      <c r="C115" s="11" t="n">
        <f aca="false">SUMPRODUCT(($A$12:$A$72&lt;2)*U$12:U$72*$E$12:$E$72*$F$12:$F$72*$B$12:$B$72)</f>
        <v>1.04605673568914</v>
      </c>
      <c r="D115" s="11" t="n">
        <f aca="false">SUMPRODUCT(($A$12:$A$72&lt;3)*U$12:U$72*$E$12:$E$72*$F$12:$F$72*$B$12:$B$72)</f>
        <v>1.08919460629463</v>
      </c>
      <c r="E115" s="11" t="n">
        <f aca="false">SUMPRODUCT(($A$12:$A$72&lt;4)*U$12:U$72*$E$12:$E$72*$F$12:$F$72*$B$12:$B$72)</f>
        <v>1.12987970764121</v>
      </c>
      <c r="F115" s="11" t="n">
        <f aca="false">SUMPRODUCT(($A$12:$A$72&lt;5)*U$12:U$72*$E$12:$E$72*$F$12:$F$72*$B$12:$B$72)</f>
        <v>1.16814550609926</v>
      </c>
      <c r="G115" s="11" t="n">
        <f aca="false">SUMPRODUCT(($A$12:$A$72&lt;6)*U$12:U$72*$E$12:$E$72*$F$12:$F$72*$B$12:$B$72)</f>
        <v>1.20399778587514</v>
      </c>
      <c r="H115" s="11" t="n">
        <f aca="false">SUMPRODUCT(($A$12:$A$72&lt;7)*U$12:U$72*$E$12:$E$72*$F$12:$F$72*$B$12:$B$72)</f>
        <v>1.23760291945286</v>
      </c>
      <c r="I115" s="11" t="n">
        <f aca="false">SUMPRODUCT(($A$12:$A$72&lt;8)*U$12:U$72*$E$12:$E$72*$F$12:$F$72*$B$12:$B$72)</f>
        <v>1.26892588210641</v>
      </c>
      <c r="J115" s="11" t="n">
        <f aca="false">SUMPRODUCT(($A$12:$A$72&lt;9)*U$12:U$72*$E$12:$E$72*$F$12:$F$72*$B$12:$B$72)</f>
        <v>1.29797355194829</v>
      </c>
      <c r="K115" s="11" t="n">
        <f aca="false">SUMPRODUCT(($A$12:$A$72&lt;10)*U$12:U$72*$E$12:$E$72*$F$12:$F$72*$B$12:$B$72)</f>
        <v>1.32476497440924</v>
      </c>
      <c r="L115" s="11" t="n">
        <f aca="false">SUMPRODUCT(($A$12:$A$72&lt;11)*U$12:U$72*$E$12:$E$72*$F$12:$F$72*$B$12:$B$72)</f>
        <v>1.34929345695342</v>
      </c>
      <c r="M115" s="11" t="n">
        <f aca="false">SUMPRODUCT(($A$12:$A$72&lt;12)*U$12:U$72*$E$12:$E$72*$F$12:$F$72*$B$12:$B$72)</f>
        <v>1.37167831999936</v>
      </c>
      <c r="N115" s="11" t="n">
        <f aca="false">SUMPRODUCT(($A$12:$A$72&lt;13)*U$12:U$72*$E$12:$E$72*$F$12:$F$72*$B$12:$B$72)</f>
        <v>1.39187898232027</v>
      </c>
      <c r="O115" s="11" t="n">
        <f aca="false">SUMPRODUCT(($A$12:$A$72&lt;14)*U$12:U$72*$E$12:$E$72*$F$12:$F$72*$B$12:$B$72)</f>
        <v>1.4099726540967</v>
      </c>
      <c r="P115" s="11" t="n">
        <f aca="false">SUMPRODUCT(($A$12:$A$72&lt;15)*U$12:U$72*$E$12:$E$72*$F$12:$F$72*$B$12:$B$72)</f>
        <v>1.42604816123932</v>
      </c>
      <c r="Q115" s="11" t="n">
        <f aca="false">SUMPRODUCT(($A$12:$A$72&lt;16)*U$12:U$72*$E$12:$E$72*$F$12:$F$72*$B$12:$B$72)</f>
        <v>1.44015171895578</v>
      </c>
    </row>
    <row r="116" customFormat="false" ht="15" hidden="false" customHeight="true" outlineLevel="0" collapsed="false">
      <c r="A116" s="3" t="n">
        <v>75</v>
      </c>
      <c r="C116" s="11" t="n">
        <f aca="false">SUMPRODUCT(($A$12:$A$72&lt;1)*V$12:V$72*$E$12:$E$72*$F$12:$F$72*$B$12:$B$72)</f>
        <v>1</v>
      </c>
      <c r="D116" s="11" t="n">
        <f aca="false">SUMPRODUCT(($A$12:$A$72&lt;2)*V$12:V$72*$E$12:$E$72*$F$12:$F$72*$B$12:$B$72)</f>
        <v>1.04593825323126</v>
      </c>
      <c r="E116" s="11" t="n">
        <f aca="false">SUMPRODUCT(($A$12:$A$72&lt;3)*V$12:V$72*$E$12:$E$72*$F$12:$F$72*$B$12:$B$72)</f>
        <v>1.08886584876616</v>
      </c>
      <c r="F116" s="11" t="n">
        <f aca="false">SUMPRODUCT(($A$12:$A$72&lt;4)*V$12:V$72*$E$12:$E$72*$F$12:$F$72*$B$12:$B$72)</f>
        <v>1.12924662491972</v>
      </c>
      <c r="G116" s="11" t="n">
        <f aca="false">SUMPRODUCT(($A$12:$A$72&lt;5)*V$12:V$72*$E$12:$E$72*$F$12:$F$72*$B$12:$B$72)</f>
        <v>1.16711338106185</v>
      </c>
      <c r="H116" s="11" t="n">
        <f aca="false">SUMPRODUCT(($A$12:$A$72&lt;6)*V$12:V$72*$E$12:$E$72*$F$12:$F$72*$B$12:$B$72)</f>
        <v>1.20247231979861</v>
      </c>
      <c r="I116" s="11" t="n">
        <f aca="false">SUMPRODUCT(($A$12:$A$72&lt;7)*V$12:V$72*$E$12:$E$72*$F$12:$F$72*$B$12:$B$72)</f>
        <v>1.23545337205244</v>
      </c>
      <c r="J116" s="11" t="n">
        <f aca="false">SUMPRODUCT(($A$12:$A$72&lt;8)*V$12:V$72*$E$12:$E$72*$F$12:$F$72*$B$12:$B$72)</f>
        <v>1.2660575794449</v>
      </c>
      <c r="K116" s="11" t="n">
        <f aca="false">SUMPRODUCT(($A$12:$A$72&lt;9)*V$12:V$72*$E$12:$E$72*$F$12:$F$72*$B$12:$B$72)</f>
        <v>1.29429594850244</v>
      </c>
      <c r="L116" s="11" t="n">
        <f aca="false">SUMPRODUCT(($A$12:$A$72&lt;10)*V$12:V$72*$E$12:$E$72*$F$12:$F$72*$B$12:$B$72)</f>
        <v>1.32019341639163</v>
      </c>
      <c r="M116" s="11" t="n">
        <f aca="false">SUMPRODUCT(($A$12:$A$72&lt;11)*V$12:V$72*$E$12:$E$72*$F$12:$F$72*$B$12:$B$72)</f>
        <v>1.34375258183408</v>
      </c>
      <c r="N116" s="11" t="n">
        <f aca="false">SUMPRODUCT(($A$12:$A$72&lt;12)*V$12:V$72*$E$12:$E$72*$F$12:$F$72*$B$12:$B$72)</f>
        <v>1.36505786059842</v>
      </c>
      <c r="O116" s="11" t="n">
        <f aca="false">SUMPRODUCT(($A$12:$A$72&lt;13)*V$12:V$72*$E$12:$E$72*$F$12:$F$72*$B$12:$B$72)</f>
        <v>1.38411657801081</v>
      </c>
      <c r="P116" s="11" t="n">
        <f aca="false">SUMPRODUCT(($A$12:$A$72&lt;14)*V$12:V$72*$E$12:$E$72*$F$12:$F$72*$B$12:$B$72)</f>
        <v>1.40101915062731</v>
      </c>
      <c r="Q116" s="11" t="n">
        <f aca="false">SUMPRODUCT(($A$12:$A$72&lt;15)*V$12:V$72*$E$12:$E$72*$F$12:$F$72*$B$12:$B$72)</f>
        <v>1.41586951264942</v>
      </c>
    </row>
    <row r="117" customFormat="false" ht="15" hidden="false" customHeight="true" outlineLevel="0" collapsed="false">
      <c r="A117" s="3" t="s">
        <v>1679</v>
      </c>
    </row>
    <row r="118" customFormat="false" ht="15" hidden="false" customHeight="true" outlineLevel="0" collapsed="false">
      <c r="A118" s="8" t="s">
        <v>1556</v>
      </c>
      <c r="B118" s="8" t="n">
        <v>75</v>
      </c>
      <c r="C118" s="8" t="n">
        <v>76</v>
      </c>
      <c r="D118" s="8" t="n">
        <v>77</v>
      </c>
      <c r="E118" s="8" t="n">
        <v>78</v>
      </c>
      <c r="F118" s="8" t="n">
        <v>79</v>
      </c>
      <c r="G118" s="8" t="n">
        <v>80</v>
      </c>
      <c r="H118" s="8" t="n">
        <v>81</v>
      </c>
      <c r="I118" s="8" t="n">
        <v>82</v>
      </c>
      <c r="J118" s="8" t="n">
        <v>83</v>
      </c>
      <c r="K118" s="8" t="n">
        <v>84</v>
      </c>
      <c r="L118" s="8" t="n">
        <v>85</v>
      </c>
      <c r="M118" s="8" t="n">
        <v>86</v>
      </c>
      <c r="N118" s="8" t="n">
        <v>87</v>
      </c>
      <c r="O118" s="8" t="n">
        <v>88</v>
      </c>
      <c r="P118" s="8" t="n">
        <v>89</v>
      </c>
      <c r="Q118" s="8" t="n">
        <v>90</v>
      </c>
    </row>
    <row r="119" customFormat="false" ht="15" hidden="false" customHeight="true" outlineLevel="0" collapsed="false">
      <c r="A119" s="3" t="n">
        <v>60</v>
      </c>
      <c r="B119" s="12" t="n">
        <f aca="false">INDEX($E$12:$E$72,15+1)*SUMPRODUCT(($A$12:$A$72&gt;=15)*G$12:G$72*$B$5*$C$12:$C$72*$B$12:$B$72)</f>
        <v>113230.565437118</v>
      </c>
      <c r="C119" s="12" t="n">
        <f aca="false">INDEX($E$12:$E$72,16+1)*SUMPRODUCT(($A$12:$A$72&gt;=16)*G$12:G$72*$B$5*$C$12:$C$72*$B$12:$B$72)</f>
        <v>104632.012488106</v>
      </c>
      <c r="D119" s="12" t="n">
        <f aca="false">INDEX($E$12:$E$72,17+1)*SUMPRODUCT(($A$12:$A$72&gt;=17)*G$12:G$72*$B$5*$C$12:$C$72*$B$12:$B$72)</f>
        <v>96399.6724446008</v>
      </c>
      <c r="E119" s="12" t="n">
        <f aca="false">INDEX($E$12:$E$72,18+1)*SUMPRODUCT(($A$12:$A$72&gt;=18)*G$12:G$72*$B$5*$C$12:$C$72*$B$12:$B$72)</f>
        <v>88517.7174091775</v>
      </c>
      <c r="F119" s="12" t="n">
        <f aca="false">INDEX($E$12:$E$72,19+1)*SUMPRODUCT(($A$12:$A$72&gt;=19)*G$12:G$72*$B$5*$C$12:$C$72*$B$12:$B$72)</f>
        <v>80977.8375524053</v>
      </c>
      <c r="G119" s="12" t="n">
        <f aca="false">INDEX($E$12:$E$72,20+1)*SUMPRODUCT(($A$12:$A$72&gt;=20)*G$12:G$72*$B$5*$C$12:$C$72*$B$12:$B$72)</f>
        <v>73774.0670597564</v>
      </c>
      <c r="H119" s="12" t="n">
        <f aca="false">INDEX($E$12:$E$72,21+1)*SUMPRODUCT(($A$12:$A$72&gt;=21)*G$12:G$72*$B$5*$C$12:$C$72*$B$12:$B$72)</f>
        <v>66905.4539434411</v>
      </c>
      <c r="I119" s="12" t="n">
        <f aca="false">INDEX($E$12:$E$72,22+1)*SUMPRODUCT(($A$12:$A$72&gt;=22)*G$12:G$72*$B$5*$C$12:$C$72*$B$12:$B$72)</f>
        <v>60378.8277051599</v>
      </c>
      <c r="J119" s="12" t="n">
        <f aca="false">INDEX($E$12:$E$72,23+1)*SUMPRODUCT(($A$12:$A$72&gt;=23)*G$12:G$72*$B$5*$C$12:$C$72*$B$12:$B$72)</f>
        <v>54196.3620845485</v>
      </c>
      <c r="K119" s="12" t="n">
        <f aca="false">INDEX($E$12:$E$72,24+1)*SUMPRODUCT(($A$12:$A$72&gt;=24)*G$12:G$72*$B$5*$C$12:$C$72*$B$12:$B$72)</f>
        <v>48360.3484404467</v>
      </c>
      <c r="L119" s="12" t="n">
        <f aca="false">INDEX($E$12:$E$72,25+1)*SUMPRODUCT(($A$12:$A$72&gt;=25)*G$12:G$72*$B$5*$C$12:$C$72*$B$12:$B$72)</f>
        <v>42874.1799459998</v>
      </c>
      <c r="M119" s="12" t="n">
        <f aca="false">INDEX($E$12:$E$72,26+1)*SUMPRODUCT(($A$12:$A$72&gt;=26)*G$12:G$72*$B$5*$C$12:$C$72*$B$12:$B$72)</f>
        <v>37738.5628697338</v>
      </c>
      <c r="N119" s="12" t="n">
        <f aca="false">INDEX($E$12:$E$72,27+1)*SUMPRODUCT(($A$12:$A$72&gt;=27)*G$12:G$72*$B$5*$C$12:$C$72*$B$12:$B$72)</f>
        <v>32962.7733048431</v>
      </c>
      <c r="O119" s="12" t="n">
        <f aca="false">INDEX($E$12:$E$72,28+1)*SUMPRODUCT(($A$12:$A$72&gt;=28)*G$12:G$72*$B$5*$C$12:$C$72*$B$12:$B$72)</f>
        <v>28549.490303888</v>
      </c>
      <c r="P119" s="12" t="n">
        <f aca="false">INDEX($E$12:$E$72,29+1)*SUMPRODUCT(($A$12:$A$72&gt;=29)*G$12:G$72*$B$5*$C$12:$C$72*$B$12:$B$72)</f>
        <v>24502.5850170422</v>
      </c>
      <c r="Q119" s="12" t="n">
        <f aca="false">INDEX($E$12:$E$72,30+1)*SUMPRODUCT(($A$12:$A$72&gt;=30)*G$12:G$72*$B$5*$C$12:$C$72*$B$12:$B$72)</f>
        <v>20823.2501005521</v>
      </c>
    </row>
    <row r="120" customFormat="false" ht="15" hidden="false" customHeight="true" outlineLevel="0" collapsed="false">
      <c r="A120" s="3" t="n">
        <v>61</v>
      </c>
      <c r="B120" s="12" t="n">
        <f aca="false">INDEX($E$12:$E$72,14+1)*SUMPRODUCT(($A$12:$A$72&gt;=14)*H$12:H$72*$B$5*$C$12:$C$72*$B$12:$B$72)</f>
        <v>115317.866545803</v>
      </c>
      <c r="C120" s="12" t="n">
        <f aca="false">INDEX($E$12:$E$72,15+1)*SUMPRODUCT(($A$12:$A$72&gt;=15)*H$12:H$72*$B$5*$C$12:$C$72*$B$12:$B$72)</f>
        <v>106491.18481263</v>
      </c>
      <c r="D120" s="12" t="n">
        <f aca="false">INDEX($E$12:$E$72,16+1)*SUMPRODUCT(($A$12:$A$72&gt;=16)*H$12:H$72*$B$5*$C$12:$C$72*$B$12:$B$72)</f>
        <v>98049.8991778581</v>
      </c>
      <c r="E120" s="12" t="n">
        <f aca="false">INDEX($E$12:$E$72,17+1)*SUMPRODUCT(($A$12:$A$72&gt;=17)*H$12:H$72*$B$5*$C$12:$C$72*$B$12:$B$72)</f>
        <v>89983.184248618</v>
      </c>
      <c r="F120" s="12" t="n">
        <f aca="false">INDEX($E$12:$E$72,18+1)*SUMPRODUCT(($A$12:$A$72&gt;=18)*H$12:H$72*$B$5*$C$12:$C$72*$B$12:$B$72)</f>
        <v>82275.9697123802</v>
      </c>
      <c r="G120" s="12" t="n">
        <f aca="false">INDEX($E$12:$E$72,19+1)*SUMPRODUCT(($A$12:$A$72&gt;=19)*H$12:H$72*$B$5*$C$12:$C$72*$B$12:$B$72)</f>
        <v>74920.6369670717</v>
      </c>
      <c r="H120" s="12" t="n">
        <f aca="false">INDEX($E$12:$E$72,20+1)*SUMPRODUCT(($A$12:$A$72&gt;=20)*H$12:H$72*$B$5*$C$12:$C$72*$B$12:$B$72)</f>
        <v>67911.8835091701</v>
      </c>
      <c r="I120" s="12" t="n">
        <f aca="false">INDEX($E$12:$E$72,21+1)*SUMPRODUCT(($A$12:$A$72&gt;=21)*H$12:H$72*$B$5*$C$12:$C$72*$B$12:$B$72)</f>
        <v>61254.4919700612</v>
      </c>
      <c r="J120" s="12" t="n">
        <f aca="false">INDEX($E$12:$E$72,22+1)*SUMPRODUCT(($A$12:$A$72&gt;=22)*H$12:H$72*$B$5*$C$12:$C$72*$B$12:$B$72)</f>
        <v>54950.7274843048</v>
      </c>
      <c r="K120" s="12" t="n">
        <f aca="false">INDEX($E$12:$E$72,23+1)*SUMPRODUCT(($A$12:$A$72&gt;=23)*H$12:H$72*$B$5*$C$12:$C$72*$B$12:$B$72)</f>
        <v>49002.9600010671</v>
      </c>
      <c r="L120" s="12" t="n">
        <f aca="false">INDEX($E$12:$E$72,24+1)*SUMPRODUCT(($A$12:$A$72&gt;=24)*H$12:H$72*$B$5*$C$12:$C$72*$B$12:$B$72)</f>
        <v>43413.465080348</v>
      </c>
      <c r="M120" s="12" t="n">
        <f aca="false">INDEX($E$12:$E$72,25+1)*SUMPRODUCT(($A$12:$A$72&gt;=25)*H$12:H$72*$B$5*$C$12:$C$72*$B$12:$B$72)</f>
        <v>38185.3050819914</v>
      </c>
      <c r="N120" s="12" t="n">
        <f aca="false">INDEX($E$12:$E$72,26+1)*SUMPRODUCT(($A$12:$A$72&gt;=26)*H$12:H$72*$B$5*$C$12:$C$72*$B$12:$B$72)</f>
        <v>33325.6916835553</v>
      </c>
      <c r="O120" s="12" t="n">
        <f aca="false">INDEX($E$12:$E$72,27+1)*SUMPRODUCT(($A$12:$A$72&gt;=27)*H$12:H$72*$B$5*$C$12:$C$72*$B$12:$B$72)</f>
        <v>28839.4046355547</v>
      </c>
      <c r="P120" s="12" t="n">
        <f aca="false">INDEX($E$12:$E$72,28+1)*SUMPRODUCT(($A$12:$A$72&gt;=28)*H$12:H$72*$B$5*$C$12:$C$72*$B$12:$B$72)</f>
        <v>24727.9847079539</v>
      </c>
      <c r="Q120" s="12" t="n">
        <f aca="false">INDEX($E$12:$E$72,29+1)*SUMPRODUCT(($A$12:$A$72&gt;=29)*H$12:H$72*$B$5*$C$12:$C$72*$B$12:$B$72)</f>
        <v>20993.4063211789</v>
      </c>
    </row>
    <row r="121" customFormat="false" ht="15" hidden="false" customHeight="true" outlineLevel="0" collapsed="false">
      <c r="A121" s="3" t="n">
        <v>62</v>
      </c>
      <c r="B121" s="12" t="n">
        <f aca="false">INDEX($E$12:$E$72,13+1)*SUMPRODUCT(($A$12:$A$72&gt;=13)*I$12:I$72*$B$5*$C$12:$C$72*$B$12:$B$72)</f>
        <v>117494.923796933</v>
      </c>
      <c r="C121" s="12" t="n">
        <f aca="false">INDEX($E$12:$E$72,14+1)*SUMPRODUCT(($A$12:$A$72&gt;=14)*I$12:I$72*$B$5*$C$12:$C$72*$B$12:$B$72)</f>
        <v>108451.70576</v>
      </c>
      <c r="D121" s="12" t="n">
        <f aca="false">INDEX($E$12:$E$72,15+1)*SUMPRODUCT(($A$12:$A$72&gt;=15)*I$12:I$72*$B$5*$C$12:$C$72*$B$12:$B$72)</f>
        <v>99785.150494455</v>
      </c>
      <c r="E121" s="12" t="n">
        <f aca="false">INDEX($E$12:$E$72,16+1)*SUMPRODUCT(($A$12:$A$72&gt;=16)*I$12:I$72*$B$5*$C$12:$C$72*$B$12:$B$72)</f>
        <v>91512.7125954377</v>
      </c>
      <c r="F121" s="12" t="n">
        <f aca="false">INDEX($E$12:$E$72,17+1)*SUMPRODUCT(($A$12:$A$72&gt;=17)*I$12:I$72*$B$5*$C$12:$C$72*$B$12:$B$72)</f>
        <v>83624.2229784836</v>
      </c>
      <c r="G121" s="12" t="n">
        <f aca="false">INDEX($E$12:$E$72,18+1)*SUMPRODUCT(($A$12:$A$72&gt;=18)*I$12:I$72*$B$5*$C$12:$C$72*$B$12:$B$72)</f>
        <v>76105.3806069637</v>
      </c>
      <c r="H121" s="12" t="n">
        <f aca="false">INDEX($E$12:$E$72,19+1)*SUMPRODUCT(($A$12:$A$72&gt;=19)*I$12:I$72*$B$5*$C$12:$C$72*$B$12:$B$72)</f>
        <v>68949.237435496</v>
      </c>
      <c r="I121" s="12" t="n">
        <f aca="false">INDEX($E$12:$E$72,20+1)*SUMPRODUCT(($A$12:$A$72&gt;=20)*I$12:I$72*$B$5*$C$12:$C$72*$B$12:$B$72)</f>
        <v>62156.4943238254</v>
      </c>
      <c r="J121" s="12" t="n">
        <f aca="false">INDEX($E$12:$E$72,21+1)*SUMPRODUCT(($A$12:$A$72&gt;=21)*I$12:I$72*$B$5*$C$12:$C$72*$B$12:$B$72)</f>
        <v>55727.2342131275</v>
      </c>
      <c r="K121" s="12" t="n">
        <f aca="false">INDEX($E$12:$E$72,22+1)*SUMPRODUCT(($A$12:$A$72&gt;=22)*I$12:I$72*$B$5*$C$12:$C$72*$B$12:$B$72)</f>
        <v>49663.9066205761</v>
      </c>
      <c r="L121" s="12" t="n">
        <f aca="false">INDEX($E$12:$E$72,23+1)*SUMPRODUCT(($A$12:$A$72&gt;=23)*I$12:I$72*$B$5*$C$12:$C$72*$B$12:$B$72)</f>
        <v>43968.8426809201</v>
      </c>
      <c r="M121" s="12" t="n">
        <f aca="false">INDEX($E$12:$E$72,24+1)*SUMPRODUCT(($A$12:$A$72&gt;=24)*I$12:I$72*$B$5*$C$12:$C$72*$B$12:$B$72)</f>
        <v>38644.0004264955</v>
      </c>
      <c r="N121" s="12" t="n">
        <f aca="false">INDEX($E$12:$E$72,25+1)*SUMPRODUCT(($A$12:$A$72&gt;=25)*I$12:I$72*$B$5*$C$12:$C$72*$B$12:$B$72)</f>
        <v>33699.0394175927</v>
      </c>
      <c r="O121" s="12" t="n">
        <f aca="false">INDEX($E$12:$E$72,26+1)*SUMPRODUCT(($A$12:$A$72&gt;=26)*I$12:I$72*$B$5*$C$12:$C$72*$B$12:$B$72)</f>
        <v>29136.4409067841</v>
      </c>
      <c r="P121" s="12" t="n">
        <f aca="false">INDEX($E$12:$E$72,27+1)*SUMPRODUCT(($A$12:$A$72&gt;=27)*I$12:I$72*$B$5*$C$12:$C$72*$B$12:$B$72)</f>
        <v>24959.6240903247</v>
      </c>
      <c r="Q121" s="12" t="n">
        <f aca="false">INDEX($E$12:$E$72,28+1)*SUMPRODUCT(($A$12:$A$72&gt;=28)*I$12:I$72*$B$5*$C$12:$C$72*$B$12:$B$72)</f>
        <v>21168.254907816</v>
      </c>
    </row>
    <row r="122" customFormat="false" ht="15" hidden="false" customHeight="true" outlineLevel="0" collapsed="false">
      <c r="A122" s="3" t="n">
        <v>63</v>
      </c>
      <c r="B122" s="12" t="n">
        <f aca="false">INDEX($E$12:$E$72,12+1)*SUMPRODUCT(($A$12:$A$72&gt;=12)*J$12:J$72*$B$5*$C$12:$C$72*$B$12:$B$72)</f>
        <v>119776.094193968</v>
      </c>
      <c r="C122" s="12" t="n">
        <f aca="false">INDEX($E$12:$E$72,13+1)*SUMPRODUCT(($A$12:$A$72&gt;=13)*J$12:J$72*$B$5*$C$12:$C$72*$B$12:$B$72)</f>
        <v>110501.556260773</v>
      </c>
      <c r="D122" s="12" t="n">
        <f aca="false">INDEX($E$12:$E$72,14+1)*SUMPRODUCT(($A$12:$A$72&gt;=14)*J$12:J$72*$B$5*$C$12:$C$72*$B$12:$B$72)</f>
        <v>101620.807913061</v>
      </c>
      <c r="E122" s="12" t="n">
        <f aca="false">INDEX($E$12:$E$72,15+1)*SUMPRODUCT(($A$12:$A$72&gt;=15)*J$12:J$72*$B$5*$C$12:$C$72*$B$12:$B$72)</f>
        <v>93126.2177568988</v>
      </c>
      <c r="F122" s="12" t="n">
        <f aca="false">INDEX($E$12:$E$72,16+1)*SUMPRODUCT(($A$12:$A$72&gt;=16)*J$12:J$72*$B$5*$C$12:$C$72*$B$12:$B$72)</f>
        <v>85035.5296455288</v>
      </c>
      <c r="G122" s="12" t="n">
        <f aca="false">INDEX($E$12:$E$72,17+1)*SUMPRODUCT(($A$12:$A$72&gt;=17)*J$12:J$72*$B$5*$C$12:$C$72*$B$12:$B$72)</f>
        <v>77339.2261965087</v>
      </c>
      <c r="H122" s="12" t="n">
        <f aca="false">INDEX($E$12:$E$72,18+1)*SUMPRODUCT(($A$12:$A$72&gt;=18)*J$12:J$72*$B$5*$C$12:$C$72*$B$12:$B$72)</f>
        <v>70023.7598600268</v>
      </c>
      <c r="I122" s="12" t="n">
        <f aca="false">INDEX($E$12:$E$72,19+1)*SUMPRODUCT(($A$12:$A$72&gt;=19)*J$12:J$72*$B$5*$C$12:$C$72*$B$12:$B$72)</f>
        <v>63088.3906082345</v>
      </c>
      <c r="J122" s="12" t="n">
        <f aca="false">INDEX($E$12:$E$72,20+1)*SUMPRODUCT(($A$12:$A$72&gt;=20)*J$12:J$72*$B$5*$C$12:$C$72*$B$12:$B$72)</f>
        <v>56529.0013764724</v>
      </c>
      <c r="K122" s="12" t="n">
        <f aca="false">INDEX($E$12:$E$72,21+1)*SUMPRODUCT(($A$12:$A$72&gt;=21)*J$12:J$72*$B$5*$C$12:$C$72*$B$12:$B$72)</f>
        <v>50345.9046838913</v>
      </c>
      <c r="L122" s="12" t="n">
        <f aca="false">INDEX($E$12:$E$72,22+1)*SUMPRODUCT(($A$12:$A$72&gt;=22)*J$12:J$72*$B$5*$C$12:$C$72*$B$12:$B$72)</f>
        <v>44541.486356879</v>
      </c>
      <c r="M122" s="12" t="n">
        <f aca="false">INDEX($E$12:$E$72,23+1)*SUMPRODUCT(($A$12:$A$72&gt;=23)*J$12:J$72*$B$5*$C$12:$C$72*$B$12:$B$72)</f>
        <v>39117.72114762</v>
      </c>
      <c r="N122" s="12" t="n">
        <f aca="false">INDEX($E$12:$E$72,24+1)*SUMPRODUCT(($A$12:$A$72&gt;=24)*J$12:J$72*$B$5*$C$12:$C$72*$B$12:$B$72)</f>
        <v>34083.4178435405</v>
      </c>
      <c r="O122" s="12" t="n">
        <f aca="false">INDEX($E$12:$E$72,25+1)*SUMPRODUCT(($A$12:$A$72&gt;=25)*J$12:J$72*$B$5*$C$12:$C$72*$B$12:$B$72)</f>
        <v>29443.0281651336</v>
      </c>
      <c r="P122" s="12" t="n">
        <f aca="false">INDEX($E$12:$E$72,26+1)*SUMPRODUCT(($A$12:$A$72&gt;=26)*J$12:J$72*$B$5*$C$12:$C$72*$B$12:$B$72)</f>
        <v>25197.6947202316</v>
      </c>
      <c r="Q122" s="12" t="n">
        <f aca="false">INDEX($E$12:$E$72,27+1)*SUMPRODUCT(($A$12:$A$72&gt;=27)*J$12:J$72*$B$5*$C$12:$C$72*$B$12:$B$72)</f>
        <v>21348.7037501065</v>
      </c>
    </row>
    <row r="123" customFormat="false" ht="15" hidden="false" customHeight="true" outlineLevel="0" collapsed="false">
      <c r="A123" s="3" t="n">
        <v>64</v>
      </c>
      <c r="B123" s="12" t="n">
        <f aca="false">INDEX($E$12:$E$72,11+1)*SUMPRODUCT(($A$12:$A$72&gt;=11)*K$12:K$72*$B$5*$C$12:$C$72*$B$12:$B$72)</f>
        <v>122173.826957118</v>
      </c>
      <c r="C123" s="12" t="n">
        <f aca="false">INDEX($E$12:$E$72,12+1)*SUMPRODUCT(($A$12:$A$72&gt;=12)*K$12:K$72*$B$5*$C$12:$C$72*$B$12:$B$72)</f>
        <v>112655.413661142</v>
      </c>
      <c r="D123" s="12" t="n">
        <f aca="false">INDEX($E$12:$E$72,13+1)*SUMPRODUCT(($A$12:$A$72&gt;=13)*K$12:K$72*$B$5*$C$12:$C$72*$B$12:$B$72)</f>
        <v>103545.425033427</v>
      </c>
      <c r="E123" s="12" t="n">
        <f aca="false">INDEX($E$12:$E$72,14+1)*SUMPRODUCT(($A$12:$A$72&gt;=14)*K$12:K$72*$B$5*$C$12:$C$72*$B$12:$B$72)</f>
        <v>94839.1873235854</v>
      </c>
      <c r="F123" s="12" t="n">
        <f aca="false">INDEX($E$12:$E$72,15+1)*SUMPRODUCT(($A$12:$A$72&gt;=15)*K$12:K$72*$B$5*$C$12:$C$72*$B$12:$B$72)</f>
        <v>86529.7624963538</v>
      </c>
      <c r="G123" s="12" t="n">
        <f aca="false">INDEX($E$12:$E$72,16+1)*SUMPRODUCT(($A$12:$A$72&gt;=16)*K$12:K$72*$B$5*$C$12:$C$72*$B$12:$B$72)</f>
        <v>78635.1288277867</v>
      </c>
      <c r="H123" s="12" t="n">
        <f aca="false">INDEX($E$12:$E$72,17+1)*SUMPRODUCT(($A$12:$A$72&gt;=17)*K$12:K$72*$B$5*$C$12:$C$72*$B$12:$B$72)</f>
        <v>71146.3854721518</v>
      </c>
      <c r="I123" s="12" t="n">
        <f aca="false">INDEX($E$12:$E$72,18+1)*SUMPRODUCT(($A$12:$A$72&gt;=18)*K$12:K$72*$B$5*$C$12:$C$72*$B$12:$B$72)</f>
        <v>64056.4975930847</v>
      </c>
      <c r="J123" s="12" t="n">
        <f aca="false">INDEX($E$12:$E$72,19+1)*SUMPRODUCT(($A$12:$A$72&gt;=19)*K$12:K$72*$B$5*$C$12:$C$72*$B$12:$B$72)</f>
        <v>57359.6865886361</v>
      </c>
      <c r="K123" s="12" t="n">
        <f aca="false">INDEX($E$12:$E$72,20+1)*SUMPRODUCT(($A$12:$A$72&gt;=20)*K$12:K$72*$B$5*$C$12:$C$72*$B$12:$B$72)</f>
        <v>51052.1444061201</v>
      </c>
      <c r="L123" s="12" t="n">
        <f aca="false">INDEX($E$12:$E$72,21+1)*SUMPRODUCT(($A$12:$A$72&gt;=21)*K$12:K$72*$B$5*$C$12:$C$72*$B$12:$B$72)</f>
        <v>45134.1578805369</v>
      </c>
      <c r="M123" s="12" t="n">
        <f aca="false">INDEX($E$12:$E$72,22+1)*SUMPRODUCT(($A$12:$A$72&gt;=22)*K$12:K$72*$B$5*$C$12:$C$72*$B$12:$B$72)</f>
        <v>39607.7148190794</v>
      </c>
      <c r="N123" s="12" t="n">
        <f aca="false">INDEX($E$12:$E$72,23+1)*SUMPRODUCT(($A$12:$A$72&gt;=23)*K$12:K$72*$B$5*$C$12:$C$72*$B$12:$B$72)</f>
        <v>34481.8463133349</v>
      </c>
      <c r="O123" s="12" t="n">
        <f aca="false">INDEX($E$12:$E$72,24+1)*SUMPRODUCT(($A$12:$A$72&gt;=24)*K$12:K$72*$B$5*$C$12:$C$72*$B$12:$B$72)</f>
        <v>29759.8268303753</v>
      </c>
      <c r="P123" s="12" t="n">
        <f aca="false">INDEX($E$12:$E$72,25+1)*SUMPRODUCT(($A$12:$A$72&gt;=25)*K$12:K$72*$B$5*$C$12:$C$72*$B$12:$B$72)</f>
        <v>25444.5401485387</v>
      </c>
      <c r="Q123" s="12" t="n">
        <f aca="false">INDEX($E$12:$E$72,26+1)*SUMPRODUCT(($A$12:$A$72&gt;=26)*K$12:K$72*$B$5*$C$12:$C$72*$B$12:$B$72)</f>
        <v>21535.0026145525</v>
      </c>
    </row>
    <row r="124" customFormat="false" ht="15" hidden="false" customHeight="true" outlineLevel="0" collapsed="false">
      <c r="A124" s="3" t="n">
        <v>65</v>
      </c>
      <c r="B124" s="12" t="n">
        <f aca="false">INDEX($E$12:$E$72,10+1)*SUMPRODUCT(($A$12:$A$72&gt;=10)*L$12:L$72*$B$5*$C$12:$C$72*$B$12:$B$72)</f>
        <v>124673.458166763</v>
      </c>
      <c r="C124" s="12" t="n">
        <f aca="false">INDEX($E$12:$E$72,11+1)*SUMPRODUCT(($A$12:$A$72&gt;=11)*L$12:L$72*$B$5*$C$12:$C$72*$B$12:$B$72)</f>
        <v>114926.130183234</v>
      </c>
      <c r="D124" s="12" t="n">
        <f aca="false">INDEX($E$12:$E$72,12+1)*SUMPRODUCT(($A$12:$A$72&gt;=12)*L$12:L$72*$B$5*$C$12:$C$72*$B$12:$B$72)</f>
        <v>105573.95663486</v>
      </c>
      <c r="E124" s="12" t="n">
        <f aca="false">INDEX($E$12:$E$72,13+1)*SUMPRODUCT(($A$12:$A$72&gt;=13)*L$12:L$72*$B$5*$C$12:$C$72*$B$12:$B$72)</f>
        <v>96640.7367221287</v>
      </c>
      <c r="F124" s="12" t="n">
        <f aca="false">INDEX($E$12:$E$72,14+1)*SUMPRODUCT(($A$12:$A$72&gt;=14)*L$12:L$72*$B$5*$C$12:$C$72*$B$12:$B$72)</f>
        <v>88122.4474357316</v>
      </c>
      <c r="G124" s="12" t="n">
        <f aca="false">INDEX($E$12:$E$72,15+1)*SUMPRODUCT(($A$12:$A$72&gt;=15)*L$12:L$72*$B$5*$C$12:$C$72*$B$12:$B$72)</f>
        <v>80012.8345095979</v>
      </c>
      <c r="H124" s="12" t="n">
        <f aca="false">INDEX($E$12:$E$72,16+1)*SUMPRODUCT(($A$12:$A$72&gt;=16)*L$12:L$72*$B$5*$C$12:$C$72*$B$12:$B$72)</f>
        <v>72330.0176906012</v>
      </c>
      <c r="I124" s="12" t="n">
        <f aca="false">INDEX($E$12:$E$72,17+1)*SUMPRODUCT(($A$12:$A$72&gt;=17)*L$12:L$72*$B$5*$C$12:$C$72*$B$12:$B$72)</f>
        <v>65071.6843930989</v>
      </c>
      <c r="J124" s="12" t="n">
        <f aca="false">INDEX($E$12:$E$72,18+1)*SUMPRODUCT(($A$12:$A$72&gt;=18)*L$12:L$72*$B$5*$C$12:$C$72*$B$12:$B$72)</f>
        <v>58225.6168775612</v>
      </c>
      <c r="K124" s="12" t="n">
        <f aca="false">INDEX($E$12:$E$72,19+1)*SUMPRODUCT(($A$12:$A$72&gt;=19)*L$12:L$72*$B$5*$C$12:$C$72*$B$12:$B$72)</f>
        <v>51786.3282079769</v>
      </c>
      <c r="L124" s="12" t="n">
        <f aca="false">INDEX($E$12:$E$72,20+1)*SUMPRODUCT(($A$12:$A$72&gt;=20)*L$12:L$72*$B$5*$C$12:$C$72*$B$12:$B$72)</f>
        <v>45750.0607387843</v>
      </c>
      <c r="M124" s="12" t="n">
        <f aca="false">INDEX($E$12:$E$72,21+1)*SUMPRODUCT(($A$12:$A$72&gt;=21)*L$12:L$72*$B$5*$C$12:$C$72*$B$12:$B$72)</f>
        <v>40116.7306421012</v>
      </c>
      <c r="N124" s="12" t="n">
        <f aca="false">INDEX($E$12:$E$72,22+1)*SUMPRODUCT(($A$12:$A$72&gt;=22)*L$12:L$72*$B$5*$C$12:$C$72*$B$12:$B$72)</f>
        <v>34895.5962070649</v>
      </c>
      <c r="O124" s="12" t="n">
        <f aca="false">INDEX($E$12:$E$72,23+1)*SUMPRODUCT(($A$12:$A$72&gt;=23)*L$12:L$72*$B$5*$C$12:$C$72*$B$12:$B$72)</f>
        <v>30089.7434359433</v>
      </c>
      <c r="P124" s="12" t="n">
        <f aca="false">INDEX($E$12:$E$72,24+1)*SUMPRODUCT(($A$12:$A$72&gt;=24)*L$12:L$72*$B$5*$C$12:$C$72*$B$12:$B$72)</f>
        <v>25700.8321233633</v>
      </c>
      <c r="Q124" s="12" t="n">
        <f aca="false">INDEX($E$12:$E$72,25+1)*SUMPRODUCT(($A$12:$A$72&gt;=25)*L$12:L$72*$B$5*$C$12:$C$72*$B$12:$B$72)</f>
        <v>21729.3532739465</v>
      </c>
    </row>
    <row r="125" customFormat="false" ht="15" hidden="false" customHeight="true" outlineLevel="0" collapsed="false">
      <c r="A125" s="3" t="n">
        <v>66</v>
      </c>
      <c r="B125" s="12" t="n">
        <f aca="false">INDEX($E$12:$E$72,9+1)*SUMPRODUCT(($A$12:$A$72&gt;=9)*M$12:M$72*$B$5*$C$12:$C$72*$B$12:$B$72)</f>
        <v>127341.618498051</v>
      </c>
      <c r="C125" s="12" t="n">
        <f aca="false">INDEX($E$12:$E$72,10+1)*SUMPRODUCT(($A$12:$A$72&gt;=10)*M$12:M$72*$B$5*$C$12:$C$72*$B$12:$B$72)</f>
        <v>117330.461101167</v>
      </c>
      <c r="D125" s="12" t="n">
        <f aca="false">INDEX($E$12:$E$72,11+1)*SUMPRODUCT(($A$12:$A$72&gt;=11)*M$12:M$72*$B$5*$C$12:$C$72*$B$12:$B$72)</f>
        <v>107747.743589415</v>
      </c>
      <c r="E125" s="12" t="n">
        <f aca="false">INDEX($E$12:$E$72,12+1)*SUMPRODUCT(($A$12:$A$72&gt;=12)*M$12:M$72*$B$5*$C$12:$C$72*$B$12:$B$72)</f>
        <v>98571.7807926178</v>
      </c>
      <c r="F125" s="12" t="n">
        <f aca="false">INDEX($E$12:$E$72,13+1)*SUMPRODUCT(($A$12:$A$72&gt;=13)*M$12:M$72*$B$5*$C$12:$C$72*$B$12:$B$72)</f>
        <v>89826.7047435699</v>
      </c>
      <c r="G125" s="12" t="n">
        <f aca="false">INDEX($E$12:$E$72,14+1)*SUMPRODUCT(($A$12:$A$72&gt;=14)*M$12:M$72*$B$5*$C$12:$C$72*$B$12:$B$72)</f>
        <v>81509.1226339109</v>
      </c>
      <c r="H125" s="12" t="n">
        <f aca="false">INDEX($E$12:$E$72,15+1)*SUMPRODUCT(($A$12:$A$72&gt;=15)*M$12:M$72*$B$5*$C$12:$C$72*$B$12:$B$72)</f>
        <v>73613.4181764092</v>
      </c>
      <c r="I125" s="12" t="n">
        <f aca="false">INDEX($E$12:$E$72,16+1)*SUMPRODUCT(($A$12:$A$72&gt;=16)*M$12:M$72*$B$5*$C$12:$C$72*$B$12:$B$72)</f>
        <v>66164.0244220563</v>
      </c>
      <c r="J125" s="12" t="n">
        <f aca="false">INDEX($E$12:$E$72,17+1)*SUMPRODUCT(($A$12:$A$72&gt;=17)*M$12:M$72*$B$5*$C$12:$C$72*$B$12:$B$72)</f>
        <v>59152.9936143347</v>
      </c>
      <c r="K125" s="12" t="n">
        <f aca="false">INDEX($E$12:$E$72,18+1)*SUMPRODUCT(($A$12:$A$72&gt;=18)*M$12:M$72*$B$5*$C$12:$C$72*$B$12:$B$72)</f>
        <v>52568.4883192117</v>
      </c>
      <c r="L125" s="12" t="n">
        <f aca="false">INDEX($E$12:$E$72,19+1)*SUMPRODUCT(($A$12:$A$72&gt;=19)*M$12:M$72*$B$5*$C$12:$C$72*$B$12:$B$72)</f>
        <v>46405.0391376963</v>
      </c>
      <c r="M125" s="12" t="n">
        <f aca="false">INDEX($E$12:$E$72,20+1)*SUMPRODUCT(($A$12:$A$72&gt;=20)*M$12:M$72*$B$5*$C$12:$C$72*$B$12:$B$72)</f>
        <v>40658.58628628</v>
      </c>
      <c r="N125" s="12" t="n">
        <f aca="false">INDEX($E$12:$E$72,21+1)*SUMPRODUCT(($A$12:$A$72&gt;=21)*M$12:M$72*$B$5*$C$12:$C$72*$B$12:$B$72)</f>
        <v>35336.6214508391</v>
      </c>
      <c r="O125" s="12" t="n">
        <f aca="false">INDEX($E$12:$E$72,22+1)*SUMPRODUCT(($A$12:$A$72&gt;=22)*M$12:M$72*$B$5*$C$12:$C$72*$B$12:$B$72)</f>
        <v>30442.0228854798</v>
      </c>
      <c r="P125" s="12" t="n">
        <f aca="false">INDEX($E$12:$E$72,23+1)*SUMPRODUCT(($A$12:$A$72&gt;=23)*M$12:M$72*$B$5*$C$12:$C$72*$B$12:$B$72)</f>
        <v>25976.1427331273</v>
      </c>
      <c r="Q125" s="12" t="n">
        <f aca="false">INDEX($E$12:$E$72,24+1)*SUMPRODUCT(($A$12:$A$72&gt;=24)*M$12:M$72*$B$5*$C$12:$C$72*$B$12:$B$72)</f>
        <v>21938.1780834241</v>
      </c>
    </row>
    <row r="126" customFormat="false" ht="15" hidden="false" customHeight="true" outlineLevel="0" collapsed="false">
      <c r="A126" s="3" t="n">
        <v>67</v>
      </c>
      <c r="B126" s="12" t="n">
        <f aca="false">INDEX($E$12:$E$72,8+1)*SUMPRODUCT(($A$12:$A$72&gt;=8)*N$12:N$72*$B$5*$C$12:$C$72*$B$12:$B$72)</f>
        <v>130144.493136986</v>
      </c>
      <c r="C126" s="12" t="n">
        <f aca="false">INDEX($E$12:$E$72,9+1)*SUMPRODUCT(($A$12:$A$72&gt;=9)*N$12:N$72*$B$5*$C$12:$C$72*$B$12:$B$72)</f>
        <v>119877.501916328</v>
      </c>
      <c r="D126" s="12" t="n">
        <f aca="false">INDEX($E$12:$E$72,10+1)*SUMPRODUCT(($A$12:$A$72&gt;=10)*N$12:N$72*$B$5*$C$12:$C$72*$B$12:$B$72)</f>
        <v>110031.033753149</v>
      </c>
      <c r="E126" s="12" t="n">
        <f aca="false">INDEX($E$12:$E$72,11+1)*SUMPRODUCT(($A$12:$A$72&gt;=11)*N$12:N$72*$B$5*$C$12:$C$72*$B$12:$B$72)</f>
        <v>100625.083615075</v>
      </c>
      <c r="F126" s="12" t="n">
        <f aca="false">INDEX($E$12:$E$72,12+1)*SUMPRODUCT(($A$12:$A$72&gt;=12)*N$12:N$72*$B$5*$C$12:$C$72*$B$12:$B$72)</f>
        <v>91638.9292468879</v>
      </c>
      <c r="G126" s="12" t="n">
        <f aca="false">INDEX($E$12:$E$72,13+1)*SUMPRODUCT(($A$12:$A$72&gt;=13)*N$12:N$72*$B$5*$C$12:$C$72*$B$12:$B$72)</f>
        <v>83096.9702523116</v>
      </c>
      <c r="H126" s="12" t="n">
        <f aca="false">INDEX($E$12:$E$72,14+1)*SUMPRODUCT(($A$12:$A$72&gt;=14)*N$12:N$72*$B$5*$C$12:$C$72*$B$12:$B$72)</f>
        <v>74996.386981797</v>
      </c>
      <c r="I126" s="12" t="n">
        <f aca="false">INDEX($E$12:$E$72,15+1)*SUMPRODUCT(($A$12:$A$72&gt;=15)*N$12:N$72*$B$5*$C$12:$C$72*$B$12:$B$72)</f>
        <v>67338.7037088551</v>
      </c>
      <c r="J126" s="12" t="n">
        <f aca="false">INDEX($E$12:$E$72,16+1)*SUMPRODUCT(($A$12:$A$72&gt;=16)*N$12:N$72*$B$5*$C$12:$C$72*$B$12:$B$72)</f>
        <v>60141.827913839</v>
      </c>
      <c r="K126" s="12" t="n">
        <f aca="false">INDEX($E$12:$E$72,17+1)*SUMPRODUCT(($A$12:$A$72&gt;=17)*N$12:N$72*$B$5*$C$12:$C$72*$B$12:$B$72)</f>
        <v>53397.964026614</v>
      </c>
      <c r="L126" s="12" t="n">
        <f aca="false">INDEX($E$12:$E$72,18+1)*SUMPRODUCT(($A$12:$A$72&gt;=18)*N$12:N$72*$B$5*$C$12:$C$72*$B$12:$B$72)</f>
        <v>47095.3795725</v>
      </c>
      <c r="M126" s="12" t="n">
        <f aca="false">INDEX($E$12:$E$72,19+1)*SUMPRODUCT(($A$12:$A$72&gt;=19)*N$12:N$72*$B$5*$C$12:$C$72*$B$12:$B$72)</f>
        <v>41228.2528962825</v>
      </c>
      <c r="N126" s="12" t="n">
        <f aca="false">INDEX($E$12:$E$72,20+1)*SUMPRODUCT(($A$12:$A$72&gt;=20)*N$12:N$72*$B$5*$C$12:$C$72*$B$12:$B$72)</f>
        <v>35800.4657990441</v>
      </c>
      <c r="O126" s="12" t="n">
        <f aca="false">INDEX($E$12:$E$72,21+1)*SUMPRODUCT(($A$12:$A$72&gt;=21)*N$12:N$72*$B$5*$C$12:$C$72*$B$12:$B$72)</f>
        <v>30812.7522595329</v>
      </c>
      <c r="P126" s="12" t="n">
        <f aca="false">INDEX($E$12:$E$72,22+1)*SUMPRODUCT(($A$12:$A$72&gt;=22)*N$12:N$72*$B$5*$C$12:$C$72*$B$12:$B$72)</f>
        <v>26266.1297175705</v>
      </c>
      <c r="Q126" s="12" t="n">
        <f aca="false">INDEX($E$12:$E$72,23+1)*SUMPRODUCT(($A$12:$A$72&gt;=23)*N$12:N$72*$B$5*$C$12:$C$72*$B$12:$B$72)</f>
        <v>22159.3380085629</v>
      </c>
    </row>
    <row r="127" customFormat="false" ht="15" hidden="false" customHeight="true" outlineLevel="0" collapsed="false">
      <c r="A127" s="3" t="n">
        <v>68</v>
      </c>
      <c r="B127" s="12" t="n">
        <f aca="false">INDEX($E$12:$E$72,7+1)*SUMPRODUCT(($A$12:$A$72&gt;=7)*O$12:O$72*$B$5*$C$12:$C$72*$B$12:$B$72)</f>
        <v>133090.134853762</v>
      </c>
      <c r="C127" s="12" t="n">
        <f aca="false">INDEX($E$12:$E$72,8+1)*SUMPRODUCT(($A$12:$A$72&gt;=8)*O$12:O$72*$B$5*$C$12:$C$72*$B$12:$B$72)</f>
        <v>122562.535553651</v>
      </c>
      <c r="D127" s="12" t="n">
        <f aca="false">INDEX($E$12:$E$72,9+1)*SUMPRODUCT(($A$12:$A$72&gt;=9)*O$12:O$72*$B$5*$C$12:$C$72*$B$12:$B$72)</f>
        <v>112459.220902894</v>
      </c>
      <c r="E127" s="12" t="n">
        <f aca="false">INDEX($E$12:$E$72,10+1)*SUMPRODUCT(($A$12:$A$72&gt;=10)*O$12:O$72*$B$5*$C$12:$C$72*$B$12:$B$72)</f>
        <v>102789.565956998</v>
      </c>
      <c r="F127" s="12" t="n">
        <f aca="false">INDEX($E$12:$E$72,11+1)*SUMPRODUCT(($A$12:$A$72&gt;=11)*O$12:O$72*$B$5*$C$12:$C$72*$B$12:$B$72)</f>
        <v>93574.0173565966</v>
      </c>
      <c r="G127" s="12" t="n">
        <f aca="false">INDEX($E$12:$E$72,12+1)*SUMPRODUCT(($A$12:$A$72&gt;=12)*O$12:O$72*$B$5*$C$12:$C$72*$B$12:$B$72)</f>
        <v>84792.8254054372</v>
      </c>
      <c r="H127" s="12" t="n">
        <f aca="false">INDEX($E$12:$E$72,13+1)*SUMPRODUCT(($A$12:$A$72&gt;=13)*O$12:O$72*$B$5*$C$12:$C$72*$B$12:$B$72)</f>
        <v>76470.5467610168</v>
      </c>
      <c r="I127" s="12" t="n">
        <f aca="false">INDEX($E$12:$E$72,14+1)*SUMPRODUCT(($A$12:$A$72&gt;=14)*O$12:O$72*$B$5*$C$12:$C$72*$B$12:$B$72)</f>
        <v>68611.7047038468</v>
      </c>
      <c r="J127" s="12" t="n">
        <f aca="false">INDEX($E$12:$E$72,15+1)*SUMPRODUCT(($A$12:$A$72&gt;=15)*O$12:O$72*$B$5*$C$12:$C$72*$B$12:$B$72)</f>
        <v>61211.6399052577</v>
      </c>
      <c r="K127" s="12" t="n">
        <f aca="false">INDEX($E$12:$E$72,16+1)*SUMPRODUCT(($A$12:$A$72&gt;=16)*O$12:O$72*$B$5*$C$12:$C$72*$B$12:$B$72)</f>
        <v>54287.6870824092</v>
      </c>
      <c r="L127" s="12" t="n">
        <f aca="false">INDEX($E$12:$E$72,17+1)*SUMPRODUCT(($A$12:$A$72&gt;=17)*O$12:O$72*$B$5*$C$12:$C$72*$B$12:$B$72)</f>
        <v>47831.8885260522</v>
      </c>
      <c r="M127" s="12" t="n">
        <f aca="false">INDEX($E$12:$E$72,18+1)*SUMPRODUCT(($A$12:$A$72&gt;=18)*O$12:O$72*$B$5*$C$12:$C$72*$B$12:$B$72)</f>
        <v>41832.2411587042</v>
      </c>
      <c r="N127" s="12" t="n">
        <f aca="false">INDEX($E$12:$E$72,19+1)*SUMPRODUCT(($A$12:$A$72&gt;=19)*O$12:O$72*$B$5*$C$12:$C$72*$B$12:$B$72)</f>
        <v>36291.1209174486</v>
      </c>
      <c r="O127" s="12" t="n">
        <f aca="false">INDEX($E$12:$E$72,20+1)*SUMPRODUCT(($A$12:$A$72&gt;=20)*O$12:O$72*$B$5*$C$12:$C$72*$B$12:$B$72)</f>
        <v>31205.2949121764</v>
      </c>
      <c r="P127" s="12" t="n">
        <f aca="false">INDEX($E$12:$E$72,21+1)*SUMPRODUCT(($A$12:$A$72&gt;=21)*O$12:O$72*$B$5*$C$12:$C$72*$B$12:$B$72)</f>
        <v>26573.5995684022</v>
      </c>
      <c r="Q127" s="12" t="n">
        <f aca="false">INDEX($E$12:$E$72,22+1)*SUMPRODUCT(($A$12:$A$72&gt;=22)*O$12:O$72*$B$5*$C$12:$C$72*$B$12:$B$72)</f>
        <v>22394.2817747879</v>
      </c>
    </row>
    <row r="128" customFormat="false" ht="15" hidden="false" customHeight="true" outlineLevel="0" collapsed="false">
      <c r="A128" s="3" t="n">
        <v>69</v>
      </c>
      <c r="B128" s="12" t="n">
        <f aca="false">INDEX($E$12:$E$72,6+1)*SUMPRODUCT(($A$12:$A$72&gt;=6)*P$12:P$72*$B$5*$C$12:$C$72*$B$12:$B$72)</f>
        <v>136187.600032785</v>
      </c>
      <c r="C128" s="12" t="n">
        <f aca="false">INDEX($E$12:$E$72,7+1)*SUMPRODUCT(($A$12:$A$72&gt;=7)*P$12:P$72*$B$5*$C$12:$C$72*$B$12:$B$72)</f>
        <v>125395.002057141</v>
      </c>
      <c r="D128" s="12" t="n">
        <f aca="false">INDEX($E$12:$E$72,8+1)*SUMPRODUCT(($A$12:$A$72&gt;=8)*P$12:P$72*$B$5*$C$12:$C$72*$B$12:$B$72)</f>
        <v>115028.923180121</v>
      </c>
      <c r="E128" s="12" t="n">
        <f aca="false">INDEX($E$12:$E$72,9+1)*SUMPRODUCT(($A$12:$A$72&gt;=9)*P$12:P$72*$B$5*$C$12:$C$72*$B$12:$B$72)</f>
        <v>105101.24562447</v>
      </c>
      <c r="F128" s="12" t="n">
        <f aca="false">INDEX($E$12:$E$72,10+1)*SUMPRODUCT(($A$12:$A$72&gt;=10)*P$12:P$72*$B$5*$C$12:$C$72*$B$12:$B$72)</f>
        <v>95622.0233002133</v>
      </c>
      <c r="G128" s="12" t="n">
        <f aca="false">INDEX($E$12:$E$72,11+1)*SUMPRODUCT(($A$12:$A$72&gt;=11)*P$12:P$72*$B$5*$C$12:$C$72*$B$12:$B$72)</f>
        <v>86612.0928051827</v>
      </c>
      <c r="H128" s="12" t="n">
        <f aca="false">INDEX($E$12:$E$72,12+1)*SUMPRODUCT(($A$12:$A$72&gt;=12)*P$12:P$72*$B$5*$C$12:$C$72*$B$12:$B$72)</f>
        <v>78052.6483442075</v>
      </c>
      <c r="I128" s="12" t="n">
        <f aca="false">INDEX($E$12:$E$72,13+1)*SUMPRODUCT(($A$12:$A$72&gt;=13)*P$12:P$72*$B$5*$C$12:$C$72*$B$12:$B$72)</f>
        <v>69975.4178190952</v>
      </c>
      <c r="J128" s="12" t="n">
        <f aca="false">INDEX($E$12:$E$72,14+1)*SUMPRODUCT(($A$12:$A$72&gt;=14)*P$12:P$72*$B$5*$C$12:$C$72*$B$12:$B$72)</f>
        <v>62378.3391835762</v>
      </c>
      <c r="K128" s="12" t="n">
        <f aca="false">INDEX($E$12:$E$72,15+1)*SUMPRODUCT(($A$12:$A$72&gt;=15)*P$12:P$72*$B$5*$C$12:$C$72*$B$12:$B$72)</f>
        <v>55256.8511753249</v>
      </c>
      <c r="L128" s="12" t="n">
        <f aca="false">INDEX($E$12:$E$72,16+1)*SUMPRODUCT(($A$12:$A$72&gt;=16)*P$12:P$72*$B$5*$C$12:$C$72*$B$12:$B$72)</f>
        <v>48627.3009107128</v>
      </c>
      <c r="M128" s="12" t="n">
        <f aca="false">INDEX($E$12:$E$72,17+1)*SUMPRODUCT(($A$12:$A$72&gt;=17)*P$12:P$72*$B$5*$C$12:$C$72*$B$12:$B$72)</f>
        <v>42481.1481949898</v>
      </c>
      <c r="N128" s="12" t="n">
        <f aca="false">INDEX($E$12:$E$72,18+1)*SUMPRODUCT(($A$12:$A$72&gt;=18)*P$12:P$72*$B$5*$C$12:$C$72*$B$12:$B$72)</f>
        <v>36815.0165926819</v>
      </c>
      <c r="O128" s="12" t="n">
        <f aca="false">INDEX($E$12:$E$72,19+1)*SUMPRODUCT(($A$12:$A$72&gt;=19)*P$12:P$72*$B$5*$C$12:$C$72*$B$12:$B$72)</f>
        <v>31623.6280388956</v>
      </c>
      <c r="P128" s="12" t="n">
        <f aca="false">INDEX($E$12:$E$72,20+1)*SUMPRODUCT(($A$12:$A$72&gt;=20)*P$12:P$72*$B$5*$C$12:$C$72*$B$12:$B$72)</f>
        <v>26901.871129003</v>
      </c>
      <c r="Q128" s="12" t="n">
        <f aca="false">INDEX($E$12:$E$72,21+1)*SUMPRODUCT(($A$12:$A$72&gt;=21)*P$12:P$72*$B$5*$C$12:$C$72*$B$12:$B$72)</f>
        <v>22645.7509541577</v>
      </c>
    </row>
    <row r="129" customFormat="false" ht="15" hidden="false" customHeight="true" outlineLevel="0" collapsed="false">
      <c r="A129" s="3" t="n">
        <v>70</v>
      </c>
      <c r="B129" s="12" t="n">
        <f aca="false">INDEX($E$12:$E$72,5+1)*SUMPRODUCT(($A$12:$A$72&gt;=5)*Q$12:Q$72*$B$5*$C$12:$C$72*$B$12:$B$72)</f>
        <v>139448.497567554</v>
      </c>
      <c r="C129" s="12" t="n">
        <f aca="false">INDEX($E$12:$E$72,6+1)*SUMPRODUCT(($A$12:$A$72&gt;=6)*Q$12:Q$72*$B$5*$C$12:$C$72*$B$12:$B$72)</f>
        <v>128385.602389331</v>
      </c>
      <c r="D129" s="12" t="n">
        <f aca="false">INDEX($E$12:$E$72,7+1)*SUMPRODUCT(($A$12:$A$72&gt;=7)*Q$12:Q$72*$B$5*$C$12:$C$72*$B$12:$B$72)</f>
        <v>117750.996783774</v>
      </c>
      <c r="E129" s="12" t="n">
        <f aca="false">INDEX($E$12:$E$72,8+1)*SUMPRODUCT(($A$12:$A$72&gt;=8)*Q$12:Q$72*$B$5*$C$12:$C$72*$B$12:$B$72)</f>
        <v>107558.098534766</v>
      </c>
      <c r="F129" s="12" t="n">
        <f aca="false">INDEX($E$12:$E$72,9+1)*SUMPRODUCT(($A$12:$A$72&gt;=9)*Q$12:Q$72*$B$5*$C$12:$C$72*$B$12:$B$72)</f>
        <v>97819.5218255591</v>
      </c>
      <c r="G129" s="12" t="n">
        <f aca="false">INDEX($E$12:$E$72,10+1)*SUMPRODUCT(($A$12:$A$72&gt;=10)*Q$12:Q$72*$B$5*$C$12:$C$72*$B$12:$B$72)</f>
        <v>88545.9606226202</v>
      </c>
      <c r="H129" s="12" t="n">
        <f aca="false">INDEX($E$12:$E$72,11+1)*SUMPRODUCT(($A$12:$A$72&gt;=11)*Q$12:Q$72*$B$5*$C$12:$C$72*$B$12:$B$72)</f>
        <v>79758.5305969198</v>
      </c>
      <c r="I129" s="12" t="n">
        <f aca="false">INDEX($E$12:$E$72,12+1)*SUMPRODUCT(($A$12:$A$72&gt;=12)*Q$12:Q$72*$B$5*$C$12:$C$72*$B$12:$B$72)</f>
        <v>71446.8020467438</v>
      </c>
      <c r="J129" s="12" t="n">
        <f aca="false">INDEX($E$12:$E$72,13+1)*SUMPRODUCT(($A$12:$A$72&gt;=13)*Q$12:Q$72*$B$5*$C$12:$C$72*$B$12:$B$72)</f>
        <v>63635.0486333233</v>
      </c>
      <c r="K129" s="12" t="n">
        <f aca="false">INDEX($E$12:$E$72,14+1)*SUMPRODUCT(($A$12:$A$72&gt;=14)*Q$12:Q$72*$B$5*$C$12:$C$72*$B$12:$B$72)</f>
        <v>56321.169730788</v>
      </c>
      <c r="L129" s="12" t="n">
        <f aca="false">INDEX($E$12:$E$72,15+1)*SUMPRODUCT(($A$12:$A$72&gt;=15)*Q$12:Q$72*$B$5*$C$12:$C$72*$B$12:$B$72)</f>
        <v>49500.3408778447</v>
      </c>
      <c r="M129" s="12" t="n">
        <f aca="false">INDEX($E$12:$E$72,16+1)*SUMPRODUCT(($A$12:$A$72&gt;=16)*Q$12:Q$72*$B$5*$C$12:$C$72*$B$12:$B$72)</f>
        <v>43187.3890821616</v>
      </c>
      <c r="N129" s="12" t="n">
        <f aca="false">INDEX($E$12:$E$72,17+1)*SUMPRODUCT(($A$12:$A$72&gt;=17)*Q$12:Q$72*$B$5*$C$12:$C$72*$B$12:$B$72)</f>
        <v>37382.4284611029</v>
      </c>
      <c r="O129" s="12" t="n">
        <f aca="false">INDEX($E$12:$E$72,18+1)*SUMPRODUCT(($A$12:$A$72&gt;=18)*Q$12:Q$72*$B$5*$C$12:$C$72*$B$12:$B$72)</f>
        <v>32074.0077693277</v>
      </c>
      <c r="P129" s="12" t="n">
        <f aca="false">INDEX($E$12:$E$72,19+1)*SUMPRODUCT(($A$12:$A$72&gt;=19)*Q$12:Q$72*$B$5*$C$12:$C$72*$B$12:$B$72)</f>
        <v>27254.8273307576</v>
      </c>
      <c r="Q129" s="12" t="n">
        <f aca="false">INDEX($E$12:$E$72,20+1)*SUMPRODUCT(($A$12:$A$72&gt;=20)*Q$12:Q$72*$B$5*$C$12:$C$72*$B$12:$B$72)</f>
        <v>22916.9453770559</v>
      </c>
    </row>
    <row r="130" customFormat="false" ht="15" hidden="false" customHeight="true" outlineLevel="0" collapsed="false">
      <c r="A130" s="3" t="n">
        <v>71</v>
      </c>
      <c r="B130" s="12" t="n">
        <f aca="false">INDEX($E$12:$E$72,4+1)*SUMPRODUCT(($A$12:$A$72&gt;=4)*R$12:R$72*$B$5*$C$12:$C$72*$B$12:$B$72)</f>
        <v>143548.3935579</v>
      </c>
      <c r="C130" s="12" t="n">
        <f aca="false">INDEX($E$12:$E$72,5+1)*SUMPRODUCT(($A$12:$A$72&gt;=5)*R$12:R$72*$B$5*$C$12:$C$72*$B$12:$B$72)</f>
        <v>131592.82455981</v>
      </c>
      <c r="D130" s="12" t="n">
        <f aca="false">INDEX($E$12:$E$72,6+1)*SUMPRODUCT(($A$12:$A$72&gt;=6)*R$12:R$72*$B$5*$C$12:$C$72*$B$12:$B$72)</f>
        <v>120679.045100362</v>
      </c>
      <c r="E130" s="12" t="n">
        <f aca="false">INDEX($E$12:$E$72,7+1)*SUMPRODUCT(($A$12:$A$72&gt;=7)*R$12:R$72*$B$5*$C$12:$C$72*$B$12:$B$72)</f>
        <v>110210.051563718</v>
      </c>
      <c r="F130" s="12" t="n">
        <f aca="false">INDEX($E$12:$E$72,8+1)*SUMPRODUCT(($A$12:$A$72&gt;=8)*R$12:R$72*$B$5*$C$12:$C$72*$B$12:$B$72)</f>
        <v>100200.082275639</v>
      </c>
      <c r="G130" s="12" t="n">
        <f aca="false">INDEX($E$12:$E$72,9+1)*SUMPRODUCT(($A$12:$A$72&gt;=9)*R$12:R$72*$B$5*$C$12:$C$72*$B$12:$B$72)</f>
        <v>90662.4450706534</v>
      </c>
      <c r="H130" s="12" t="n">
        <f aca="false">INDEX($E$12:$E$72,10+1)*SUMPRODUCT(($A$12:$A$72&gt;=10)*R$12:R$72*$B$5*$C$12:$C$72*$B$12:$B$72)</f>
        <v>81608.3899409424</v>
      </c>
      <c r="I130" s="12" t="n">
        <f aca="false">INDEX($E$12:$E$72,11+1)*SUMPRODUCT(($A$12:$A$72&gt;=11)*R$12:R$72*$B$5*$C$12:$C$72*$B$12:$B$72)</f>
        <v>73066.9885736326</v>
      </c>
      <c r="J130" s="12" t="n">
        <f aca="false">INDEX($E$12:$E$72,12+1)*SUMPRODUCT(($A$12:$A$72&gt;=12)*R$12:R$72*$B$5*$C$12:$C$72*$B$12:$B$72)</f>
        <v>65021.0307587556</v>
      </c>
      <c r="K130" s="12" t="n">
        <f aca="false">INDEX($E$12:$E$72,13+1)*SUMPRODUCT(($A$12:$A$72&gt;=13)*R$12:R$72*$B$5*$C$12:$C$72*$B$12:$B$72)</f>
        <v>57494.0930357956</v>
      </c>
      <c r="L130" s="12" t="n">
        <f aca="false">INDEX($E$12:$E$72,14+1)*SUMPRODUCT(($A$12:$A$72&gt;=14)*R$12:R$72*$B$5*$C$12:$C$72*$B$12:$B$72)</f>
        <v>50483.6391979788</v>
      </c>
      <c r="M130" s="12" t="n">
        <f aca="false">INDEX($E$12:$E$72,15+1)*SUMPRODUCT(($A$12:$A$72&gt;=15)*R$12:R$72*$B$5*$C$12:$C$72*$B$12:$B$72)</f>
        <v>43984.0976161</v>
      </c>
      <c r="N130" s="12" t="n">
        <f aca="false">INDEX($E$12:$E$72,16+1)*SUMPRODUCT(($A$12:$A$72&gt;=16)*R$12:R$72*$B$5*$C$12:$C$72*$B$12:$B$72)</f>
        <v>38018.3319995822</v>
      </c>
      <c r="O130" s="12" t="n">
        <f aca="false">INDEX($E$12:$E$72,17+1)*SUMPRODUCT(($A$12:$A$72&gt;=17)*R$12:R$72*$B$5*$C$12:$C$72*$B$12:$B$72)</f>
        <v>32577.4221278188</v>
      </c>
      <c r="P130" s="12" t="n">
        <f aca="false">INDEX($E$12:$E$72,18+1)*SUMPRODUCT(($A$12:$A$72&gt;=18)*R$12:R$72*$B$5*$C$12:$C$72*$B$12:$B$72)</f>
        <v>27647.9247708959</v>
      </c>
      <c r="Q130" s="12" t="n">
        <f aca="false">INDEX($E$12:$E$72,19+1)*SUMPRODUCT(($A$12:$A$72&gt;=19)*R$12:R$72*$B$5*$C$12:$C$72*$B$12:$B$72)</f>
        <v>23219.5323455409</v>
      </c>
    </row>
    <row r="131" customFormat="false" ht="15" hidden="false" customHeight="true" outlineLevel="0" collapsed="false">
      <c r="A131" s="3" t="n">
        <v>72</v>
      </c>
      <c r="B131" s="12" t="n">
        <f aca="false">INDEX($E$12:$E$72,3+1)*SUMPRODUCT(($A$12:$A$72&gt;=3)*S$12:S$72*$B$5*$C$12:$C$72*$B$12:$B$72)</f>
        <v>147893.487131662</v>
      </c>
      <c r="C131" s="12" t="n">
        <f aca="false">INDEX($E$12:$E$72,4+1)*SUMPRODUCT(($A$12:$A$72&gt;=4)*S$12:S$72*$B$5*$C$12:$C$72*$B$12:$B$72)</f>
        <v>135576.608741364</v>
      </c>
      <c r="D131" s="12" t="n">
        <f aca="false">INDEX($E$12:$E$72,5+1)*SUMPRODUCT(($A$12:$A$72&gt;=5)*S$12:S$72*$B$5*$C$12:$C$72*$B$12:$B$72)</f>
        <v>123796.250283779</v>
      </c>
      <c r="E131" s="12" t="n">
        <f aca="false">INDEX($E$12:$E$72,6+1)*SUMPRODUCT(($A$12:$A$72&gt;=6)*S$12:S$72*$B$5*$C$12:$C$72*$B$12:$B$72)</f>
        <v>113041.650146409</v>
      </c>
      <c r="F131" s="12" t="n">
        <f aca="false">INDEX($E$12:$E$72,7+1)*SUMPRODUCT(($A$12:$A$72&gt;=7)*S$12:S$72*$B$5*$C$12:$C$72*$B$12:$B$72)</f>
        <v>102750.52921409</v>
      </c>
      <c r="G131" s="12" t="n">
        <f aca="false">INDEX($E$12:$E$72,8+1)*SUMPRODUCT(($A$12:$A$72&gt;=8)*S$12:S$72*$B$5*$C$12:$C$72*$B$12:$B$72)</f>
        <v>92937.9082423276</v>
      </c>
      <c r="H131" s="12" t="n">
        <f aca="false">INDEX($E$12:$E$72,9+1)*SUMPRODUCT(($A$12:$A$72&gt;=9)*S$12:S$72*$B$5*$C$12:$C$72*$B$12:$B$72)</f>
        <v>83617.6967409909</v>
      </c>
      <c r="I131" s="12" t="n">
        <f aca="false">INDEX($E$12:$E$72,10+1)*SUMPRODUCT(($A$12:$A$72&gt;=10)*S$12:S$72*$B$5*$C$12:$C$72*$B$12:$B$72)</f>
        <v>74809.7702374991</v>
      </c>
      <c r="J131" s="12" t="n">
        <f aca="false">INDEX($E$12:$E$72,11+1)*SUMPRODUCT(($A$12:$A$72&gt;=11)*S$12:S$72*$B$5*$C$12:$C$72*$B$12:$B$72)</f>
        <v>66535.1881189509</v>
      </c>
      <c r="K131" s="12" t="n">
        <f aca="false">INDEX($E$12:$E$72,12+1)*SUMPRODUCT(($A$12:$A$72&gt;=12)*S$12:S$72*$B$5*$C$12:$C$72*$B$12:$B$72)</f>
        <v>58777.1369280793</v>
      </c>
      <c r="L131" s="12" t="n">
        <f aca="false">INDEX($E$12:$E$72,13+1)*SUMPRODUCT(($A$12:$A$72&gt;=13)*S$12:S$72*$B$5*$C$12:$C$72*$B$12:$B$72)</f>
        <v>51557.9986065643</v>
      </c>
      <c r="M131" s="12" t="n">
        <f aca="false">INDEX($E$12:$E$72,14+1)*SUMPRODUCT(($A$12:$A$72&gt;=14)*S$12:S$72*$B$5*$C$12:$C$72*$B$12:$B$72)</f>
        <v>44874.2757146644</v>
      </c>
      <c r="N131" s="12" t="n">
        <f aca="false">INDEX($E$12:$E$72,15+1)*SUMPRODUCT(($A$12:$A$72&gt;=15)*S$12:S$72*$B$5*$C$12:$C$72*$B$12:$B$72)</f>
        <v>38729.7284820829</v>
      </c>
      <c r="O131" s="12" t="n">
        <f aca="false">INDEX($E$12:$E$72,16+1)*SUMPRODUCT(($A$12:$A$72&gt;=16)*S$12:S$72*$B$5*$C$12:$C$72*$B$12:$B$72)</f>
        <v>33136.4196222087</v>
      </c>
      <c r="P131" s="12" t="n">
        <f aca="false">INDEX($E$12:$E$72,17+1)*SUMPRODUCT(($A$12:$A$72&gt;=17)*S$12:S$72*$B$5*$C$12:$C$72*$B$12:$B$72)</f>
        <v>28082.929766435</v>
      </c>
      <c r="Q131" s="12" t="n">
        <f aca="false">INDEX($E$12:$E$72,18+1)*SUMPRODUCT(($A$12:$A$72&gt;=18)*S$12:S$72*$B$5*$C$12:$C$72*$B$12:$B$72)</f>
        <v>23552.8220417145</v>
      </c>
    </row>
    <row r="132" customFormat="false" ht="15" hidden="false" customHeight="true" outlineLevel="0" collapsed="false">
      <c r="A132" s="3" t="n">
        <v>73</v>
      </c>
      <c r="B132" s="12" t="n">
        <f aca="false">INDEX($E$12:$E$72,2+1)*SUMPRODUCT(($A$12:$A$72&gt;=2)*T$12:T$72*$B$5*$C$12:$C$72*$B$12:$B$72)</f>
        <v>152522.104563564</v>
      </c>
      <c r="C132" s="12" t="n">
        <f aca="false">INDEX($E$12:$E$72,3+1)*SUMPRODUCT(($A$12:$A$72&gt;=3)*T$12:T$72*$B$5*$C$12:$C$72*$B$12:$B$72)</f>
        <v>139820.190255081</v>
      </c>
      <c r="D132" s="12" t="n">
        <f aca="false">INDEX($E$12:$E$72,4+1)*SUMPRODUCT(($A$12:$A$72&gt;=4)*T$12:T$72*$B$5*$C$12:$C$72*$B$12:$B$72)</f>
        <v>127669.353282102</v>
      </c>
      <c r="E132" s="12" t="n">
        <f aca="false">INDEX($E$12:$E$72,5+1)*SUMPRODUCT(($A$12:$A$72&gt;=5)*T$12:T$72*$B$5*$C$12:$C$72*$B$12:$B$72)</f>
        <v>116072.950798865</v>
      </c>
      <c r="F132" s="12" t="n">
        <f aca="false">INDEX($E$12:$E$72,6+1)*SUMPRODUCT(($A$12:$A$72&gt;=6)*T$12:T$72*$B$5*$C$12:$C$72*$B$12:$B$72)</f>
        <v>105488.962605533</v>
      </c>
      <c r="G132" s="12" t="n">
        <f aca="false">INDEX($E$12:$E$72,7+1)*SUMPRODUCT(($A$12:$A$72&gt;=7)*T$12:T$72*$B$5*$C$12:$C$72*$B$12:$B$72)</f>
        <v>95389.5340925668</v>
      </c>
      <c r="H132" s="12" t="n">
        <f aca="false">INDEX($E$12:$E$72,8+1)*SUMPRODUCT(($A$12:$A$72&gt;=8)*T$12:T$72*$B$5*$C$12:$C$72*$B$12:$B$72)</f>
        <v>85790.374381126</v>
      </c>
      <c r="I132" s="12" t="n">
        <f aca="false">INDEX($E$12:$E$72,9+1)*SUMPRODUCT(($A$12:$A$72&gt;=9)*T$12:T$72*$B$5*$C$12:$C$72*$B$12:$B$72)</f>
        <v>76714.4443510943</v>
      </c>
      <c r="J132" s="12" t="n">
        <f aca="false">INDEX($E$12:$E$72,10+1)*SUMPRODUCT(($A$12:$A$72&gt;=10)*T$12:T$72*$B$5*$C$12:$C$72*$B$12:$B$72)</f>
        <v>68173.574885919</v>
      </c>
      <c r="K132" s="12" t="n">
        <f aca="false">INDEX($E$12:$E$72,11+1)*SUMPRODUCT(($A$12:$A$72&gt;=11)*T$12:T$72*$B$5*$C$12:$C$72*$B$12:$B$72)</f>
        <v>60188.1972418325</v>
      </c>
      <c r="L132" s="12" t="n">
        <f aca="false">INDEX($E$12:$E$72,12+1)*SUMPRODUCT(($A$12:$A$72&gt;=12)*T$12:T$72*$B$5*$C$12:$C$72*$B$12:$B$72)</f>
        <v>52741.4983157804</v>
      </c>
      <c r="M132" s="12" t="n">
        <f aca="false">INDEX($E$12:$E$72,13+1)*SUMPRODUCT(($A$12:$A$72&gt;=13)*T$12:T$72*$B$5*$C$12:$C$72*$B$12:$B$72)</f>
        <v>45854.0240796573</v>
      </c>
      <c r="N132" s="12" t="n">
        <f aca="false">INDEX($E$12:$E$72,14+1)*SUMPRODUCT(($A$12:$A$72&gt;=14)*T$12:T$72*$B$5*$C$12:$C$72*$B$12:$B$72)</f>
        <v>39531.8351164872</v>
      </c>
      <c r="O132" s="12" t="n">
        <f aca="false">INDEX($E$12:$E$72,15+1)*SUMPRODUCT(($A$12:$A$72&gt;=15)*T$12:T$72*$B$5*$C$12:$C$72*$B$12:$B$72)</f>
        <v>33768.185527057</v>
      </c>
      <c r="P132" s="12" t="n">
        <f aca="false">INDEX($E$12:$E$72,16+1)*SUMPRODUCT(($A$12:$A$72&gt;=16)*T$12:T$72*$B$5*$C$12:$C$72*$B$12:$B$72)</f>
        <v>28571.2542951804</v>
      </c>
      <c r="Q132" s="12" t="n">
        <f aca="false">INDEX($E$12:$E$72,17+1)*SUMPRODUCT(($A$12:$A$72&gt;=17)*T$12:T$72*$B$5*$C$12:$C$72*$B$12:$B$72)</f>
        <v>23926.0567155269</v>
      </c>
    </row>
    <row r="133" customFormat="false" ht="15" hidden="false" customHeight="true" outlineLevel="0" collapsed="false">
      <c r="A133" s="3" t="n">
        <v>74</v>
      </c>
      <c r="B133" s="12" t="n">
        <f aca="false">INDEX($E$12:$E$72,1+1)*SUMPRODUCT(($A$12:$A$72&gt;=1)*U$12:U$72*$B$5*$C$12:$C$72*$B$12:$B$72)</f>
        <v>158843.445956181</v>
      </c>
      <c r="C133" s="12" t="n">
        <f aca="false">INDEX($E$12:$E$72,2+1)*SUMPRODUCT(($A$12:$A$72&gt;=2)*U$12:U$72*$B$5*$C$12:$C$72*$B$12:$B$72)</f>
        <v>144366.515031289</v>
      </c>
      <c r="D133" s="12" t="n">
        <f aca="false">INDEX($E$12:$E$72,3+1)*SUMPRODUCT(($A$12:$A$72&gt;=3)*U$12:U$72*$B$5*$C$12:$C$72*$B$12:$B$72)</f>
        <v>131818.345647388</v>
      </c>
      <c r="E133" s="12" t="n">
        <f aca="false">INDEX($E$12:$E$72,4+1)*SUMPRODUCT(($A$12:$A$72&gt;=4)*U$12:U$72*$B$5*$C$12:$C$72*$B$12:$B$72)</f>
        <v>119840.892176382</v>
      </c>
      <c r="F133" s="12" t="n">
        <f aca="false">INDEX($E$12:$E$72,5+1)*SUMPRODUCT(($A$12:$A$72&gt;=5)*U$12:U$72*$B$5*$C$12:$C$72*$B$12:$B$72)</f>
        <v>108438.389957225</v>
      </c>
      <c r="G133" s="12" t="n">
        <f aca="false">INDEX($E$12:$E$72,6+1)*SUMPRODUCT(($A$12:$A$72&gt;=6)*U$12:U$72*$B$5*$C$12:$C$72*$B$12:$B$72)</f>
        <v>98037.9363337037</v>
      </c>
      <c r="H133" s="12" t="n">
        <f aca="false">INDEX($E$12:$E$72,7+1)*SUMPRODUCT(($A$12:$A$72&gt;=7)*U$12:U$72*$B$5*$C$12:$C$72*$B$12:$B$72)</f>
        <v>88145.6829933181</v>
      </c>
      <c r="I133" s="12" t="n">
        <f aca="false">INDEX($E$12:$E$72,8+1)*SUMPRODUCT(($A$12:$A$72&gt;=8)*U$12:U$72*$B$5*$C$12:$C$72*$B$12:$B$72)</f>
        <v>78786.8809340295</v>
      </c>
      <c r="J133" s="12" t="n">
        <f aca="false">INDEX($E$12:$E$72,9+1)*SUMPRODUCT(($A$12:$A$72&gt;=9)*U$12:U$72*$B$5*$C$12:$C$72*$B$12:$B$72)</f>
        <v>69976.0965506786</v>
      </c>
      <c r="K133" s="12" t="n">
        <f aca="false">INDEX($E$12:$E$72,10+1)*SUMPRODUCT(($A$12:$A$72&gt;=10)*U$12:U$72*$B$5*$C$12:$C$72*$B$12:$B$72)</f>
        <v>61724.8667135224</v>
      </c>
      <c r="L133" s="12" t="n">
        <f aca="false">INDEX($E$12:$E$72,11+1)*SUMPRODUCT(($A$12:$A$72&gt;=11)*U$12:U$72*$B$5*$C$12:$C$72*$B$12:$B$72)</f>
        <v>54052.4522039207</v>
      </c>
      <c r="M133" s="12" t="n">
        <f aca="false">INDEX($E$12:$E$72,12+1)*SUMPRODUCT(($A$12:$A$72&gt;=12)*U$12:U$72*$B$5*$C$12:$C$72*$B$12:$B$72)</f>
        <v>46941.4983786058</v>
      </c>
      <c r="N133" s="12" t="n">
        <f aca="false">INDEX($E$12:$E$72,13+1)*SUMPRODUCT(($A$12:$A$72&gt;=13)*U$12:U$72*$B$5*$C$12:$C$72*$B$12:$B$72)</f>
        <v>40421.6455315123</v>
      </c>
      <c r="O133" s="12" t="n">
        <f aca="false">INDEX($E$12:$E$72,14+1)*SUMPRODUCT(($A$12:$A$72&gt;=14)*U$12:U$72*$B$5*$C$12:$C$72*$B$12:$B$72)</f>
        <v>34487.4649589694</v>
      </c>
      <c r="P133" s="12" t="n">
        <f aca="false">INDEX($E$12:$E$72,15+1)*SUMPRODUCT(($A$12:$A$72&gt;=15)*U$12:U$72*$B$5*$C$12:$C$72*$B$12:$B$72)</f>
        <v>29129.2448185782</v>
      </c>
      <c r="Q133" s="12" t="n">
        <f aca="false">INDEX($E$12:$E$72,16+1)*SUMPRODUCT(($A$12:$A$72&gt;=16)*U$12:U$72*$B$5*$C$12:$C$72*$B$12:$B$72)</f>
        <v>24350.0567269592</v>
      </c>
    </row>
    <row r="134" customFormat="false" ht="15" hidden="false" customHeight="true" outlineLevel="0" collapsed="false">
      <c r="A134" s="3" t="n">
        <v>75</v>
      </c>
      <c r="C134" s="12" t="n">
        <f aca="false">INDEX($E$12:$E$72,1+1)*SUMPRODUCT(($A$12:$A$72&gt;=1)*V$12:V$72*$B$5*$C$12:$C$72*$B$12:$B$72)</f>
        <v>150560.207999935</v>
      </c>
      <c r="D134" s="12" t="n">
        <f aca="false">INDEX($E$12:$E$72,2+1)*SUMPRODUCT(($A$12:$A$72&gt;=2)*V$12:V$72*$B$5*$C$12:$C$72*$B$12:$B$72)</f>
        <v>136291.398446609</v>
      </c>
      <c r="E134" s="12" t="n">
        <f aca="false">INDEX($E$12:$E$72,3+1)*SUMPRODUCT(($A$12:$A$72&gt;=3)*V$12:V$72*$B$5*$C$12:$C$72*$B$12:$B$72)</f>
        <v>123902.434642886</v>
      </c>
      <c r="F134" s="12" t="n">
        <f aca="false">INDEX($E$12:$E$72,4+1)*SUMPRODUCT(($A$12:$A$72&gt;=4)*V$12:V$72*$B$5*$C$12:$C$72*$B$12:$B$72)</f>
        <v>112106.740483467</v>
      </c>
      <c r="G134" s="12" t="n">
        <f aca="false">INDEX($E$12:$E$72,5+1)*SUMPRODUCT(($A$12:$A$72&gt;=5)*V$12:V$72*$B$5*$C$12:$C$72*$B$12:$B$72)</f>
        <v>100909.388437989</v>
      </c>
      <c r="H134" s="12" t="n">
        <f aca="false">INDEX($E$12:$E$72,6+1)*SUMPRODUCT(($A$12:$A$72&gt;=6)*V$12:V$72*$B$5*$C$12:$C$72*$B$12:$B$72)</f>
        <v>90706.9843378649</v>
      </c>
      <c r="I134" s="12" t="n">
        <f aca="false">INDEX($E$12:$E$72,7+1)*SUMPRODUCT(($A$12:$A$72&gt;=7)*V$12:V$72*$B$5*$C$12:$C$72*$B$12:$B$72)</f>
        <v>81048.5837725052</v>
      </c>
      <c r="J134" s="12" t="n">
        <f aca="false">INDEX($E$12:$E$72,8+1)*SUMPRODUCT(($A$12:$A$72&gt;=8)*V$12:V$72*$B$5*$C$12:$C$72*$B$12:$B$72)</f>
        <v>71950.7118816732</v>
      </c>
      <c r="K134" s="12" t="n">
        <f aca="false">INDEX($E$12:$E$72,9+1)*SUMPRODUCT(($A$12:$A$72&gt;=9)*V$12:V$72*$B$5*$C$12:$C$72*$B$12:$B$72)</f>
        <v>63427.63967906</v>
      </c>
      <c r="L134" s="12" t="n">
        <f aca="false">INDEX($E$12:$E$72,10+1)*SUMPRODUCT(($A$12:$A$72&gt;=10)*V$12:V$72*$B$5*$C$12:$C$72*$B$12:$B$72)</f>
        <v>55490.0735362395</v>
      </c>
      <c r="M134" s="12" t="n">
        <f aca="false">INDEX($E$12:$E$72,11+1)*SUMPRODUCT(($A$12:$A$72&gt;=11)*V$12:V$72*$B$5*$C$12:$C$72*$B$12:$B$72)</f>
        <v>48155.3971604919</v>
      </c>
      <c r="N134" s="12" t="n">
        <f aca="false">INDEX($E$12:$E$72,12+1)*SUMPRODUCT(($A$12:$A$72&gt;=12)*V$12:V$72*$B$5*$C$12:$C$72*$B$12:$B$72)</f>
        <v>41417.333459396</v>
      </c>
      <c r="O134" s="12" t="n">
        <f aca="false">INDEX($E$12:$E$72,13+1)*SUMPRODUCT(($A$12:$A$72&gt;=13)*V$12:V$72*$B$5*$C$12:$C$72*$B$12:$B$72)</f>
        <v>35292.1704507091</v>
      </c>
      <c r="P134" s="12" t="n">
        <f aca="false">INDEX($E$12:$E$72,14+1)*SUMPRODUCT(($A$12:$A$72&gt;=14)*V$12:V$72*$B$5*$C$12:$C$72*$B$12:$B$72)</f>
        <v>29771.0982691237</v>
      </c>
      <c r="Q134" s="12" t="n">
        <f aca="false">INDEX($E$12:$E$72,15+1)*SUMPRODUCT(($A$12:$A$72&gt;=15)*V$12:V$72*$B$5*$C$12:$C$72*$B$12:$B$72)</f>
        <v>24840.2392262888</v>
      </c>
    </row>
    <row r="135" customFormat="false" ht="15" hidden="false" customHeight="true" outlineLevel="0" collapsed="false">
      <c r="A135" s="3" t="s">
        <v>1680</v>
      </c>
    </row>
    <row r="136" customFormat="false" ht="15" hidden="false" customHeight="true" outlineLevel="0" collapsed="false">
      <c r="A136" s="8" t="s">
        <v>1556</v>
      </c>
      <c r="B136" s="8" t="n">
        <v>75</v>
      </c>
      <c r="C136" s="8" t="n">
        <v>76</v>
      </c>
      <c r="D136" s="8" t="n">
        <v>77</v>
      </c>
      <c r="E136" s="8" t="n">
        <v>78</v>
      </c>
      <c r="F136" s="8" t="n">
        <v>79</v>
      </c>
      <c r="G136" s="8" t="n">
        <v>80</v>
      </c>
      <c r="H136" s="8" t="n">
        <v>81</v>
      </c>
      <c r="I136" s="8" t="n">
        <v>82</v>
      </c>
      <c r="J136" s="8" t="n">
        <v>83</v>
      </c>
      <c r="K136" s="8" t="n">
        <v>84</v>
      </c>
      <c r="L136" s="8" t="n">
        <v>85</v>
      </c>
      <c r="M136" s="8" t="n">
        <v>86</v>
      </c>
      <c r="N136" s="8" t="n">
        <v>87</v>
      </c>
      <c r="O136" s="8" t="n">
        <v>88</v>
      </c>
      <c r="P136" s="8" t="n">
        <v>89</v>
      </c>
      <c r="Q136" s="8" t="n">
        <v>90</v>
      </c>
    </row>
    <row r="137" customFormat="false" ht="15" hidden="false" customHeight="true" outlineLevel="0" collapsed="false">
      <c r="A137" s="3" t="n">
        <v>60</v>
      </c>
      <c r="B137" s="12" t="n">
        <f aca="false">SUMPRODUCT(($A$12:$A$72&lt;15)*G$12:G$72*$E$12:$E$72*$D$12:$D$72*$B$12:$B$72)+INDEX($E$12:$E$72,15+1)*SUMPRODUCT(($A$12:$A$72&gt;=15)*G$12:G$72*$D$12:$D$72*$B$12:$B$72)</f>
        <v>1909.94693615932</v>
      </c>
      <c r="C137" s="12" t="n">
        <f aca="false">SUMPRODUCT(($A$12:$A$72&lt;16)*G$12:G$72*$E$12:$E$72*$D$12:$D$72*$B$12:$B$72)+INDEX($E$12:$E$72,16+1)*SUMPRODUCT(($A$12:$A$72&gt;=16)*G$12:G$72*$D$12:$D$72*$B$12:$B$72)</f>
        <v>1902.53691082594</v>
      </c>
      <c r="D137" s="12" t="n">
        <f aca="false">SUMPRODUCT(($A$12:$A$72&lt;17)*G$12:G$72*$E$12:$E$72*$D$12:$D$72*$B$12:$B$72)+INDEX($E$12:$E$72,17+1)*SUMPRODUCT(($A$12:$A$72&gt;=17)*G$12:G$72*$D$12:$D$72*$B$12:$B$72)</f>
        <v>1895.68836103824</v>
      </c>
      <c r="E137" s="12" t="n">
        <f aca="false">SUMPRODUCT(($A$12:$A$72&lt;18)*G$12:G$72*$E$12:$E$72*$D$12:$D$72*$B$12:$B$72)+INDEX($E$12:$E$72,18+1)*SUMPRODUCT(($A$12:$A$72&gt;=18)*G$12:G$72*$D$12:$D$72*$B$12:$B$72)</f>
        <v>1889.3798136703</v>
      </c>
      <c r="F137" s="12" t="n">
        <f aca="false">SUMPRODUCT(($A$12:$A$72&lt;19)*G$12:G$72*$E$12:$E$72*$D$12:$D$72*$B$12:$B$72)+INDEX($E$12:$E$72,19+1)*SUMPRODUCT(($A$12:$A$72&gt;=19)*G$12:G$72*$D$12:$D$72*$B$12:$B$72)</f>
        <v>1883.59016965804</v>
      </c>
      <c r="G137" s="12" t="n">
        <f aca="false">SUMPRODUCT(($A$12:$A$72&lt;20)*G$12:G$72*$E$12:$E$72*$D$12:$D$72*$B$12:$B$72)+INDEX($E$12:$E$72,20+1)*SUMPRODUCT(($A$12:$A$72&gt;=20)*G$12:G$72*$D$12:$D$72*$B$12:$B$72)</f>
        <v>1878.29854824886</v>
      </c>
      <c r="H137" s="12" t="n">
        <f aca="false">SUMPRODUCT(($A$12:$A$72&lt;21)*G$12:G$72*$E$12:$E$72*$D$12:$D$72*$B$12:$B$72)+INDEX($E$12:$E$72,21+1)*SUMPRODUCT(($A$12:$A$72&gt;=21)*G$12:G$72*$D$12:$D$72*$B$12:$B$72)</f>
        <v>1873.48394341543</v>
      </c>
      <c r="I137" s="12" t="n">
        <f aca="false">SUMPRODUCT(($A$12:$A$72&lt;22)*G$12:G$72*$E$12:$E$72*$D$12:$D$72*$B$12:$B$72)+INDEX($E$12:$E$72,22+1)*SUMPRODUCT(($A$12:$A$72&gt;=22)*G$12:G$72*$D$12:$D$72*$B$12:$B$72)</f>
        <v>1869.12468104718</v>
      </c>
      <c r="J137" s="12" t="n">
        <f aca="false">SUMPRODUCT(($A$12:$A$72&lt;23)*G$12:G$72*$E$12:$E$72*$D$12:$D$72*$B$12:$B$72)+INDEX($E$12:$E$72,23+1)*SUMPRODUCT(($A$12:$A$72&gt;=23)*G$12:G$72*$D$12:$D$72*$B$12:$B$72)</f>
        <v>1865.19873464501</v>
      </c>
      <c r="K137" s="12" t="n">
        <f aca="false">SUMPRODUCT(($A$12:$A$72&lt;24)*G$12:G$72*$E$12:$E$72*$D$12:$D$72*$B$12:$B$72)+INDEX($E$12:$E$72,24+1)*SUMPRODUCT(($A$12:$A$72&gt;=24)*G$12:G$72*$D$12:$D$72*$B$12:$B$72)</f>
        <v>1861.68371209649</v>
      </c>
      <c r="L137" s="12" t="n">
        <f aca="false">SUMPRODUCT(($A$12:$A$72&lt;25)*G$12:G$72*$E$12:$E$72*$D$12:$D$72*$B$12:$B$72)+INDEX($E$12:$E$72,25+1)*SUMPRODUCT(($A$12:$A$72&gt;=25)*G$12:G$72*$D$12:$D$72*$B$12:$B$72)</f>
        <v>1858.55677279104</v>
      </c>
      <c r="M137" s="12" t="n">
        <f aca="false">SUMPRODUCT(($A$12:$A$72&lt;26)*G$12:G$72*$E$12:$E$72*$D$12:$D$72*$B$12:$B$72)+INDEX($E$12:$E$72,26+1)*SUMPRODUCT(($A$12:$A$72&gt;=26)*G$12:G$72*$D$12:$D$72*$B$12:$B$72)</f>
        <v>1855.79481183686</v>
      </c>
      <c r="N137" s="12" t="n">
        <f aca="false">SUMPRODUCT(($A$12:$A$72&lt;27)*G$12:G$72*$E$12:$E$72*$D$12:$D$72*$B$12:$B$72)+INDEX($E$12:$E$72,27+1)*SUMPRODUCT(($A$12:$A$72&gt;=27)*G$12:G$72*$D$12:$D$72*$B$12:$B$72)</f>
        <v>1853.37384578001</v>
      </c>
      <c r="O137" s="12" t="n">
        <f aca="false">SUMPRODUCT(($A$12:$A$72&lt;28)*G$12:G$72*$E$12:$E$72*$D$12:$D$72*$B$12:$B$72)+INDEX($E$12:$E$72,28+1)*SUMPRODUCT(($A$12:$A$72&gt;=28)*G$12:G$72*$D$12:$D$72*$B$12:$B$72)</f>
        <v>1851.26947242054</v>
      </c>
      <c r="P137" s="12" t="n">
        <f aca="false">SUMPRODUCT(($A$12:$A$72&lt;29)*G$12:G$72*$E$12:$E$72*$D$12:$D$72*$B$12:$B$72)+INDEX($E$12:$E$72,29+1)*SUMPRODUCT(($A$12:$A$72&gt;=29)*G$12:G$72*$D$12:$D$72*$B$12:$B$72)</f>
        <v>1849.4567792436</v>
      </c>
      <c r="Q137" s="12" t="n">
        <f aca="false">SUMPRODUCT(($A$12:$A$72&lt;30)*G$12:G$72*$E$12:$E$72*$D$12:$D$72*$B$12:$B$72)+INDEX($E$12:$E$72,30+1)*SUMPRODUCT(($A$12:$A$72&gt;=30)*G$12:G$72*$D$12:$D$72*$B$12:$B$72)</f>
        <v>1847.91053001482</v>
      </c>
    </row>
    <row r="138" customFormat="false" ht="15" hidden="false" customHeight="true" outlineLevel="0" collapsed="false">
      <c r="A138" s="3" t="n">
        <v>61</v>
      </c>
      <c r="B138" s="12" t="n">
        <f aca="false">SUMPRODUCT(($A$12:$A$72&lt;14)*H$12:H$72*$E$12:$E$72*$D$12:$D$72*$B$12:$B$72)+INDEX($E$12:$E$72,14+1)*SUMPRODUCT(($A$12:$A$72&gt;=14)*H$12:H$72*$D$12:$D$72*$B$12:$B$72)</f>
        <v>1860.13609118353</v>
      </c>
      <c r="C138" s="12" t="n">
        <f aca="false">SUMPRODUCT(($A$12:$A$72&lt;15)*H$12:H$72*$E$12:$E$72*$D$12:$D$72*$B$12:$B$72)+INDEX($E$12:$E$72,15+1)*SUMPRODUCT(($A$12:$A$72&gt;=15)*H$12:H$72*$D$12:$D$72*$B$12:$B$72)</f>
        <v>1852.6327022886</v>
      </c>
      <c r="D138" s="12" t="n">
        <f aca="false">SUMPRODUCT(($A$12:$A$72&lt;16)*H$12:H$72*$E$12:$E$72*$D$12:$D$72*$B$12:$B$72)+INDEX($E$12:$E$72,16+1)*SUMPRODUCT(($A$12:$A$72&gt;=16)*H$12:H$72*$D$12:$D$72*$B$12:$B$72)</f>
        <v>1845.70219625147</v>
      </c>
      <c r="E138" s="12" t="n">
        <f aca="false">SUMPRODUCT(($A$12:$A$72&lt;17)*H$12:H$72*$E$12:$E$72*$D$12:$D$72*$B$12:$B$72)+INDEX($E$12:$E$72,17+1)*SUMPRODUCT(($A$12:$A$72&gt;=17)*H$12:H$72*$D$12:$D$72*$B$12:$B$72)</f>
        <v>1839.32162728476</v>
      </c>
      <c r="F138" s="12" t="n">
        <f aca="false">SUMPRODUCT(($A$12:$A$72&lt;18)*H$12:H$72*$E$12:$E$72*$D$12:$D$72*$B$12:$B$72)+INDEX($E$12:$E$72,18+1)*SUMPRODUCT(($A$12:$A$72&gt;=18)*H$12:H$72*$D$12:$D$72*$B$12:$B$72)</f>
        <v>1833.46886769474</v>
      </c>
      <c r="G138" s="12" t="n">
        <f aca="false">SUMPRODUCT(($A$12:$A$72&lt;19)*H$12:H$72*$E$12:$E$72*$D$12:$D$72*$B$12:$B$72)+INDEX($E$12:$E$72,19+1)*SUMPRODUCT(($A$12:$A$72&gt;=19)*H$12:H$72*$D$12:$D$72*$B$12:$B$72)</f>
        <v>1828.12210947861</v>
      </c>
      <c r="H138" s="12" t="n">
        <f aca="false">SUMPRODUCT(($A$12:$A$72&lt;20)*H$12:H$72*$E$12:$E$72*$D$12:$D$72*$B$12:$B$72)+INDEX($E$12:$E$72,20+1)*SUMPRODUCT(($A$12:$A$72&gt;=20)*H$12:H$72*$D$12:$D$72*$B$12:$B$72)</f>
        <v>1823.25970972493</v>
      </c>
      <c r="I138" s="12" t="n">
        <f aca="false">SUMPRODUCT(($A$12:$A$72&lt;21)*H$12:H$72*$E$12:$E$72*$D$12:$D$72*$B$12:$B$72)+INDEX($E$12:$E$72,21+1)*SUMPRODUCT(($A$12:$A$72&gt;=21)*H$12:H$72*$D$12:$D$72*$B$12:$B$72)</f>
        <v>1818.85949533044</v>
      </c>
      <c r="J138" s="12" t="n">
        <f aca="false">SUMPRODUCT(($A$12:$A$72&lt;22)*H$12:H$72*$E$12:$E$72*$D$12:$D$72*$B$12:$B$72)+INDEX($E$12:$E$72,22+1)*SUMPRODUCT(($A$12:$A$72&gt;=22)*H$12:H$72*$D$12:$D$72*$B$12:$B$72)</f>
        <v>1814.89893045618</v>
      </c>
      <c r="K138" s="12" t="n">
        <f aca="false">SUMPRODUCT(($A$12:$A$72&lt;23)*H$12:H$72*$E$12:$E$72*$D$12:$D$72*$B$12:$B$72)+INDEX($E$12:$E$72,23+1)*SUMPRODUCT(($A$12:$A$72&gt;=23)*H$12:H$72*$D$12:$D$72*$B$12:$B$72)</f>
        <v>1811.35510409361</v>
      </c>
      <c r="L138" s="12" t="n">
        <f aca="false">SUMPRODUCT(($A$12:$A$72&lt;24)*H$12:H$72*$E$12:$E$72*$D$12:$D$72*$B$12:$B$72)+INDEX($E$12:$E$72,24+1)*SUMPRODUCT(($A$12:$A$72&gt;=24)*H$12:H$72*$D$12:$D$72*$B$12:$B$72)</f>
        <v>1808.20473143014</v>
      </c>
      <c r="M138" s="12" t="n">
        <f aca="false">SUMPRODUCT(($A$12:$A$72&lt;25)*H$12:H$72*$E$12:$E$72*$D$12:$D$72*$B$12:$B$72)+INDEX($E$12:$E$72,25+1)*SUMPRODUCT(($A$12:$A$72&gt;=25)*H$12:H$72*$D$12:$D$72*$B$12:$B$72)</f>
        <v>1805.42409311306</v>
      </c>
      <c r="N138" s="12" t="n">
        <f aca="false">SUMPRODUCT(($A$12:$A$72&lt;26)*H$12:H$72*$E$12:$E$72*$D$12:$D$72*$B$12:$B$72)+INDEX($E$12:$E$72,26+1)*SUMPRODUCT(($A$12:$A$72&gt;=26)*H$12:H$72*$D$12:$D$72*$B$12:$B$72)</f>
        <v>1802.98873492347</v>
      </c>
      <c r="O138" s="12" t="n">
        <f aca="false">SUMPRODUCT(($A$12:$A$72&lt;27)*H$12:H$72*$E$12:$E$72*$D$12:$D$72*$B$12:$B$72)+INDEX($E$12:$E$72,27+1)*SUMPRODUCT(($A$12:$A$72&gt;=27)*H$12:H$72*$D$12:$D$72*$B$12:$B$72)</f>
        <v>1800.87363060501</v>
      </c>
      <c r="P138" s="12" t="n">
        <f aca="false">SUMPRODUCT(($A$12:$A$72&lt;28)*H$12:H$72*$E$12:$E$72*$D$12:$D$72*$B$12:$B$72)+INDEX($E$12:$E$72,28+1)*SUMPRODUCT(($A$12:$A$72&gt;=28)*H$12:H$72*$D$12:$D$72*$B$12:$B$72)</f>
        <v>1799.05340577907</v>
      </c>
      <c r="Q138" s="12" t="n">
        <f aca="false">SUMPRODUCT(($A$12:$A$72&lt;29)*H$12:H$72*$E$12:$E$72*$D$12:$D$72*$B$12:$B$72)+INDEX($E$12:$E$72,29+1)*SUMPRODUCT(($A$12:$A$72&gt;=29)*H$12:H$72*$D$12:$D$72*$B$12:$B$72)</f>
        <v>1797.50230204379</v>
      </c>
    </row>
    <row r="139" customFormat="false" ht="15" hidden="false" customHeight="true" outlineLevel="0" collapsed="false">
      <c r="A139" s="3" t="n">
        <v>62</v>
      </c>
      <c r="B139" s="12" t="n">
        <f aca="false">SUMPRODUCT(($A$12:$A$72&lt;13)*I$12:I$72*$E$12:$E$72*$D$12:$D$72*$B$12:$B$72)+INDEX($E$12:$E$72,13+1)*SUMPRODUCT(($A$12:$A$72&gt;=13)*I$12:I$72*$D$12:$D$72*$B$12:$B$72)</f>
        <v>1809.87227438382</v>
      </c>
      <c r="C139" s="12" t="n">
        <f aca="false">SUMPRODUCT(($A$12:$A$72&lt;14)*I$12:I$72*$E$12:$E$72*$D$12:$D$72*$B$12:$B$72)+INDEX($E$12:$E$72,14+1)*SUMPRODUCT(($A$12:$A$72&gt;=14)*I$12:I$72*$D$12:$D$72*$B$12:$B$72)</f>
        <v>1802.26965739185</v>
      </c>
      <c r="D139" s="12" t="n">
        <f aca="false">SUMPRODUCT(($A$12:$A$72&lt;15)*I$12:I$72*$E$12:$E$72*$D$12:$D$72*$B$12:$B$72)+INDEX($E$12:$E$72,15+1)*SUMPRODUCT(($A$12:$A$72&gt;=15)*I$12:I$72*$D$12:$D$72*$B$12:$B$72)</f>
        <v>1795.25230419361</v>
      </c>
      <c r="E139" s="12" t="n">
        <f aca="false">SUMPRODUCT(($A$12:$A$72&lt;16)*I$12:I$72*$E$12:$E$72*$D$12:$D$72*$B$12:$B$72)+INDEX($E$12:$E$72,16+1)*SUMPRODUCT(($A$12:$A$72&gt;=16)*I$12:I$72*$D$12:$D$72*$B$12:$B$72)</f>
        <v>1788.79612960569</v>
      </c>
      <c r="F139" s="12" t="n">
        <f aca="false">SUMPRODUCT(($A$12:$A$72&lt;17)*I$12:I$72*$E$12:$E$72*$D$12:$D$72*$B$12:$B$72)+INDEX($E$12:$E$72,17+1)*SUMPRODUCT(($A$12:$A$72&gt;=17)*I$12:I$72*$D$12:$D$72*$B$12:$B$72)</f>
        <v>1782.87751801034</v>
      </c>
      <c r="G139" s="12" t="n">
        <f aca="false">SUMPRODUCT(($A$12:$A$72&lt;18)*I$12:I$72*$E$12:$E$72*$D$12:$D$72*$B$12:$B$72)+INDEX($E$12:$E$72,18+1)*SUMPRODUCT(($A$12:$A$72&gt;=18)*I$12:I$72*$D$12:$D$72*$B$12:$B$72)</f>
        <v>1777.47361226323</v>
      </c>
      <c r="H139" s="12" t="n">
        <f aca="false">SUMPRODUCT(($A$12:$A$72&lt;19)*I$12:I$72*$E$12:$E$72*$D$12:$D$72*$B$12:$B$72)+INDEX($E$12:$E$72,19+1)*SUMPRODUCT(($A$12:$A$72&gt;=19)*I$12:I$72*$D$12:$D$72*$B$12:$B$72)</f>
        <v>1772.56182120727</v>
      </c>
      <c r="I139" s="12" t="n">
        <f aca="false">SUMPRODUCT(($A$12:$A$72&lt;20)*I$12:I$72*$E$12:$E$72*$D$12:$D$72*$B$12:$B$72)+INDEX($E$12:$E$72,20+1)*SUMPRODUCT(($A$12:$A$72&gt;=20)*I$12:I$72*$D$12:$D$72*$B$12:$B$72)</f>
        <v>1768.11929707373</v>
      </c>
      <c r="J139" s="12" t="n">
        <f aca="false">SUMPRODUCT(($A$12:$A$72&lt;21)*I$12:I$72*$E$12:$E$72*$D$12:$D$72*$B$12:$B$72)+INDEX($E$12:$E$72,21+1)*SUMPRODUCT(($A$12:$A$72&gt;=21)*I$12:I$72*$D$12:$D$72*$B$12:$B$72)</f>
        <v>1764.12297468546</v>
      </c>
      <c r="K139" s="12" t="n">
        <f aca="false">SUMPRODUCT(($A$12:$A$72&lt;22)*I$12:I$72*$E$12:$E$72*$D$12:$D$72*$B$12:$B$72)+INDEX($E$12:$E$72,22+1)*SUMPRODUCT(($A$12:$A$72&gt;=22)*I$12:I$72*$D$12:$D$72*$B$12:$B$72)</f>
        <v>1760.54940393005</v>
      </c>
      <c r="L139" s="12" t="n">
        <f aca="false">SUMPRODUCT(($A$12:$A$72&lt;23)*I$12:I$72*$E$12:$E$72*$D$12:$D$72*$B$12:$B$72)+INDEX($E$12:$E$72,23+1)*SUMPRODUCT(($A$12:$A$72&gt;=23)*I$12:I$72*$D$12:$D$72*$B$12:$B$72)</f>
        <v>1757.37475263528</v>
      </c>
      <c r="M139" s="12" t="n">
        <f aca="false">SUMPRODUCT(($A$12:$A$72&lt;24)*I$12:I$72*$E$12:$E$72*$D$12:$D$72*$B$12:$B$72)+INDEX($E$12:$E$72,24+1)*SUMPRODUCT(($A$12:$A$72&gt;=24)*I$12:I$72*$D$12:$D$72*$B$12:$B$72)</f>
        <v>1754.57482744596</v>
      </c>
      <c r="N139" s="12" t="n">
        <f aca="false">SUMPRODUCT(($A$12:$A$72&lt;25)*I$12:I$72*$E$12:$E$72*$D$12:$D$72*$B$12:$B$72)+INDEX($E$12:$E$72,25+1)*SUMPRODUCT(($A$12:$A$72&gt;=25)*I$12:I$72*$D$12:$D$72*$B$12:$B$72)</f>
        <v>1752.12452535097</v>
      </c>
      <c r="O139" s="12" t="n">
        <f aca="false">SUMPRODUCT(($A$12:$A$72&lt;26)*I$12:I$72*$E$12:$E$72*$D$12:$D$72*$B$12:$B$72)+INDEX($E$12:$E$72,26+1)*SUMPRODUCT(($A$12:$A$72&gt;=26)*I$12:I$72*$D$12:$D$72*$B$12:$B$72)</f>
        <v>1749.99832968598</v>
      </c>
      <c r="P139" s="12" t="n">
        <f aca="false">SUMPRODUCT(($A$12:$A$72&lt;27)*I$12:I$72*$E$12:$E$72*$D$12:$D$72*$B$12:$B$72)+INDEX($E$12:$E$72,27+1)*SUMPRODUCT(($A$12:$A$72&gt;=27)*I$12:I$72*$D$12:$D$72*$B$12:$B$72)</f>
        <v>1748.1702376106</v>
      </c>
      <c r="Q139" s="12" t="n">
        <f aca="false">SUMPRODUCT(($A$12:$A$72&lt;28)*I$12:I$72*$E$12:$E$72*$D$12:$D$72*$B$12:$B$72)+INDEX($E$12:$E$72,28+1)*SUMPRODUCT(($A$12:$A$72&gt;=28)*I$12:I$72*$D$12:$D$72*$B$12:$B$72)</f>
        <v>1746.61402216529</v>
      </c>
    </row>
    <row r="140" customFormat="false" ht="15" hidden="false" customHeight="true" outlineLevel="0" collapsed="false">
      <c r="A140" s="3" t="n">
        <v>63</v>
      </c>
      <c r="B140" s="12" t="n">
        <f aca="false">SUMPRODUCT(($A$12:$A$72&lt;12)*J$12:J$72*$E$12:$E$72*$D$12:$D$72*$B$12:$B$72)+INDEX($E$12:$E$72,12+1)*SUMPRODUCT(($A$12:$A$72&gt;=12)*J$12:J$72*$D$12:$D$72*$B$12:$B$72)</f>
        <v>1759.18554043074</v>
      </c>
      <c r="C140" s="12" t="n">
        <f aca="false">SUMPRODUCT(($A$12:$A$72&lt;13)*J$12:J$72*$E$12:$E$72*$D$12:$D$72*$B$12:$B$72)+INDEX($E$12:$E$72,13+1)*SUMPRODUCT(($A$12:$A$72&gt;=13)*J$12:J$72*$D$12:$D$72*$B$12:$B$72)</f>
        <v>1751.47869772553</v>
      </c>
      <c r="D140" s="12" t="n">
        <f aca="false">SUMPRODUCT(($A$12:$A$72&lt;14)*J$12:J$72*$E$12:$E$72*$D$12:$D$72*$B$12:$B$72)+INDEX($E$12:$E$72,14+1)*SUMPRODUCT(($A$12:$A$72&gt;=14)*J$12:J$72*$D$12:$D$72*$B$12:$B$72)</f>
        <v>1744.36862615543</v>
      </c>
      <c r="E140" s="12" t="n">
        <f aca="false">SUMPRODUCT(($A$12:$A$72&lt;15)*J$12:J$72*$E$12:$E$72*$D$12:$D$72*$B$12:$B$72)+INDEX($E$12:$E$72,15+1)*SUMPRODUCT(($A$12:$A$72&gt;=15)*J$12:J$72*$D$12:$D$72*$B$12:$B$72)</f>
        <v>1737.83195727875</v>
      </c>
      <c r="F140" s="12" t="n">
        <f aca="false">SUMPRODUCT(($A$12:$A$72&lt;16)*J$12:J$72*$E$12:$E$72*$D$12:$D$72*$B$12:$B$72)+INDEX($E$12:$E$72,16+1)*SUMPRODUCT(($A$12:$A$72&gt;=16)*J$12:J$72*$D$12:$D$72*$B$12:$B$72)</f>
        <v>1731.84391123601</v>
      </c>
      <c r="G140" s="12" t="n">
        <f aca="false">SUMPRODUCT(($A$12:$A$72&lt;17)*J$12:J$72*$E$12:$E$72*$D$12:$D$72*$B$12:$B$72)+INDEX($E$12:$E$72,17+1)*SUMPRODUCT(($A$12:$A$72&gt;=17)*J$12:J$72*$D$12:$D$72*$B$12:$B$72)</f>
        <v>1726.38012609563</v>
      </c>
      <c r="H140" s="12" t="n">
        <f aca="false">SUMPRODUCT(($A$12:$A$72&lt;18)*J$12:J$72*$E$12:$E$72*$D$12:$D$72*$B$12:$B$72)+INDEX($E$12:$E$72,18+1)*SUMPRODUCT(($A$12:$A$72&gt;=18)*J$12:J$72*$D$12:$D$72*$B$12:$B$72)</f>
        <v>1721.41693909066</v>
      </c>
      <c r="I140" s="12" t="n">
        <f aca="false">SUMPRODUCT(($A$12:$A$72&lt;19)*J$12:J$72*$E$12:$E$72*$D$12:$D$72*$B$12:$B$72)+INDEX($E$12:$E$72,19+1)*SUMPRODUCT(($A$12:$A$72&gt;=19)*J$12:J$72*$D$12:$D$72*$B$12:$B$72)</f>
        <v>1716.93051950118</v>
      </c>
      <c r="J140" s="12" t="n">
        <f aca="false">SUMPRODUCT(($A$12:$A$72&lt;20)*J$12:J$72*$E$12:$E$72*$D$12:$D$72*$B$12:$B$72)+INDEX($E$12:$E$72,20+1)*SUMPRODUCT(($A$12:$A$72&gt;=20)*J$12:J$72*$D$12:$D$72*$B$12:$B$72)</f>
        <v>1712.89709898447</v>
      </c>
      <c r="K140" s="12" t="n">
        <f aca="false">SUMPRODUCT(($A$12:$A$72&lt;21)*J$12:J$72*$E$12:$E$72*$D$12:$D$72*$B$12:$B$72)+INDEX($E$12:$E$72,21+1)*SUMPRODUCT(($A$12:$A$72&gt;=21)*J$12:J$72*$D$12:$D$72*$B$12:$B$72)</f>
        <v>1709.29266623527</v>
      </c>
      <c r="L140" s="12" t="n">
        <f aca="false">SUMPRODUCT(($A$12:$A$72&lt;22)*J$12:J$72*$E$12:$E$72*$D$12:$D$72*$B$12:$B$72)+INDEX($E$12:$E$72,22+1)*SUMPRODUCT(($A$12:$A$72&gt;=22)*J$12:J$72*$D$12:$D$72*$B$12:$B$72)</f>
        <v>1706.09281951656</v>
      </c>
      <c r="M140" s="12" t="n">
        <f aca="false">SUMPRODUCT(($A$12:$A$72&lt;23)*J$12:J$72*$E$12:$E$72*$D$12:$D$72*$B$12:$B$72)+INDEX($E$12:$E$72,23+1)*SUMPRODUCT(($A$12:$A$72&gt;=23)*J$12:J$72*$D$12:$D$72*$B$12:$B$72)</f>
        <v>1703.27278994937</v>
      </c>
      <c r="N140" s="12" t="n">
        <f aca="false">SUMPRODUCT(($A$12:$A$72&lt;24)*J$12:J$72*$E$12:$E$72*$D$12:$D$72*$B$12:$B$72)+INDEX($E$12:$E$72,24+1)*SUMPRODUCT(($A$12:$A$72&gt;=24)*J$12:J$72*$D$12:$D$72*$B$12:$B$72)</f>
        <v>1700.80695653376</v>
      </c>
      <c r="O140" s="12" t="n">
        <f aca="false">SUMPRODUCT(($A$12:$A$72&lt;25)*J$12:J$72*$E$12:$E$72*$D$12:$D$72*$B$12:$B$72)+INDEX($E$12:$E$72,25+1)*SUMPRODUCT(($A$12:$A$72&gt;=25)*J$12:J$72*$D$12:$D$72*$B$12:$B$72)</f>
        <v>1698.66914143744</v>
      </c>
      <c r="P140" s="12" t="n">
        <f aca="false">SUMPRODUCT(($A$12:$A$72&lt;26)*J$12:J$72*$E$12:$E$72*$D$12:$D$72*$B$12:$B$72)+INDEX($E$12:$E$72,26+1)*SUMPRODUCT(($A$12:$A$72&gt;=26)*J$12:J$72*$D$12:$D$72*$B$12:$B$72)</f>
        <v>1696.83283687673</v>
      </c>
      <c r="Q140" s="12" t="n">
        <f aca="false">SUMPRODUCT(($A$12:$A$72&lt;27)*J$12:J$72*$E$12:$E$72*$D$12:$D$72*$B$12:$B$72)+INDEX($E$12:$E$72,27+1)*SUMPRODUCT(($A$12:$A$72&gt;=27)*J$12:J$72*$D$12:$D$72*$B$12:$B$72)</f>
        <v>1695.27119048049</v>
      </c>
    </row>
    <row r="141" customFormat="false" ht="15" hidden="false" customHeight="true" outlineLevel="0" collapsed="false">
      <c r="A141" s="3" t="n">
        <v>64</v>
      </c>
      <c r="B141" s="12" t="n">
        <f aca="false">SUMPRODUCT(($A$12:$A$72&lt;11)*K$12:K$72*$E$12:$E$72*$D$12:$D$72*$B$12:$B$72)+INDEX($E$12:$E$72,11+1)*SUMPRODUCT(($A$12:$A$72&gt;=11)*K$12:K$72*$D$12:$D$72*$B$12:$B$72)</f>
        <v>1708.10978230445</v>
      </c>
      <c r="C141" s="12" t="n">
        <f aca="false">SUMPRODUCT(($A$12:$A$72&lt;12)*K$12:K$72*$E$12:$E$72*$D$12:$D$72*$B$12:$B$72)+INDEX($E$12:$E$72,12+1)*SUMPRODUCT(($A$12:$A$72&gt;=12)*K$12:K$72*$D$12:$D$72*$B$12:$B$72)</f>
        <v>1700.29279379673</v>
      </c>
      <c r="D141" s="12" t="n">
        <f aca="false">SUMPRODUCT(($A$12:$A$72&lt;13)*K$12:K$72*$E$12:$E$72*$D$12:$D$72*$B$12:$B$72)+INDEX($E$12:$E$72,13+1)*SUMPRODUCT(($A$12:$A$72&gt;=13)*K$12:K$72*$D$12:$D$72*$B$12:$B$72)</f>
        <v>1693.08496070614</v>
      </c>
      <c r="E141" s="12" t="n">
        <f aca="false">SUMPRODUCT(($A$12:$A$72&lt;14)*K$12:K$72*$E$12:$E$72*$D$12:$D$72*$B$12:$B$72)+INDEX($E$12:$E$72,14+1)*SUMPRODUCT(($A$12:$A$72&gt;=14)*K$12:K$72*$D$12:$D$72*$B$12:$B$72)</f>
        <v>1686.46192080365</v>
      </c>
      <c r="F141" s="12" t="n">
        <f aca="false">SUMPRODUCT(($A$12:$A$72&lt;15)*K$12:K$72*$E$12:$E$72*$D$12:$D$72*$B$12:$B$72)+INDEX($E$12:$E$72,15+1)*SUMPRODUCT(($A$12:$A$72&gt;=15)*K$12:K$72*$D$12:$D$72*$B$12:$B$72)</f>
        <v>1680.39955546669</v>
      </c>
      <c r="G141" s="12" t="n">
        <f aca="false">SUMPRODUCT(($A$12:$A$72&lt;16)*K$12:K$72*$E$12:$E$72*$D$12:$D$72*$B$12:$B$72)+INDEX($E$12:$E$72,16+1)*SUMPRODUCT(($A$12:$A$72&gt;=16)*K$12:K$72*$D$12:$D$72*$B$12:$B$72)</f>
        <v>1674.87231085866</v>
      </c>
      <c r="H141" s="12" t="n">
        <f aca="false">SUMPRODUCT(($A$12:$A$72&lt;17)*K$12:K$72*$E$12:$E$72*$D$12:$D$72*$B$12:$B$72)+INDEX($E$12:$E$72,17+1)*SUMPRODUCT(($A$12:$A$72&gt;=17)*K$12:K$72*$D$12:$D$72*$B$12:$B$72)</f>
        <v>1669.8550010263</v>
      </c>
      <c r="I141" s="12" t="n">
        <f aca="false">SUMPRODUCT(($A$12:$A$72&lt;18)*K$12:K$72*$E$12:$E$72*$D$12:$D$72*$B$12:$B$72)+INDEX($E$12:$E$72,18+1)*SUMPRODUCT(($A$12:$A$72&gt;=18)*K$12:K$72*$D$12:$D$72*$B$12:$B$72)</f>
        <v>1665.32268634823</v>
      </c>
      <c r="J141" s="12" t="n">
        <f aca="false">SUMPRODUCT(($A$12:$A$72&lt;19)*K$12:K$72*$E$12:$E$72*$D$12:$D$72*$B$12:$B$72)+INDEX($E$12:$E$72,19+1)*SUMPRODUCT(($A$12:$A$72&gt;=19)*K$12:K$72*$D$12:$D$72*$B$12:$B$72)</f>
        <v>1661.25059136573</v>
      </c>
      <c r="K141" s="12" t="n">
        <f aca="false">SUMPRODUCT(($A$12:$A$72&lt;20)*K$12:K$72*$E$12:$E$72*$D$12:$D$72*$B$12:$B$72)+INDEX($E$12:$E$72,20+1)*SUMPRODUCT(($A$12:$A$72&gt;=20)*K$12:K$72*$D$12:$D$72*$B$12:$B$72)</f>
        <v>1657.61397180368</v>
      </c>
      <c r="L141" s="12" t="n">
        <f aca="false">SUMPRODUCT(($A$12:$A$72&lt;21)*K$12:K$72*$E$12:$E$72*$D$12:$D$72*$B$12:$B$72)+INDEX($E$12:$E$72,21+1)*SUMPRODUCT(($A$12:$A$72&gt;=21)*K$12:K$72*$D$12:$D$72*$B$12:$B$72)</f>
        <v>1654.38783197342</v>
      </c>
      <c r="M141" s="12" t="n">
        <f aca="false">SUMPRODUCT(($A$12:$A$72&lt;22)*K$12:K$72*$E$12:$E$72*$D$12:$D$72*$B$12:$B$72)+INDEX($E$12:$E$72,22+1)*SUMPRODUCT(($A$12:$A$72&gt;=22)*K$12:K$72*$D$12:$D$72*$B$12:$B$72)</f>
        <v>1651.54680311419</v>
      </c>
      <c r="N141" s="12" t="n">
        <f aca="false">SUMPRODUCT(($A$12:$A$72&lt;23)*K$12:K$72*$E$12:$E$72*$D$12:$D$72*$B$12:$B$72)+INDEX($E$12:$E$72,23+1)*SUMPRODUCT(($A$12:$A$72&gt;=23)*K$12:K$72*$D$12:$D$72*$B$12:$B$72)</f>
        <v>1649.06464605687</v>
      </c>
      <c r="O141" s="12" t="n">
        <f aca="false">SUMPRODUCT(($A$12:$A$72&lt;24)*K$12:K$72*$E$12:$E$72*$D$12:$D$72*$B$12:$B$72)+INDEX($E$12:$E$72,24+1)*SUMPRODUCT(($A$12:$A$72&gt;=24)*K$12:K$72*$D$12:$D$72*$B$12:$B$72)</f>
        <v>1646.91464303878</v>
      </c>
      <c r="P141" s="12" t="n">
        <f aca="false">SUMPRODUCT(($A$12:$A$72&lt;25)*K$12:K$72*$E$12:$E$72*$D$12:$D$72*$B$12:$B$72)+INDEX($E$12:$E$72,25+1)*SUMPRODUCT(($A$12:$A$72&gt;=25)*K$12:K$72*$D$12:$D$72*$B$12:$B$72)</f>
        <v>1645.0696186578</v>
      </c>
      <c r="Q141" s="12" t="n">
        <f aca="false">SUMPRODUCT(($A$12:$A$72&lt;26)*K$12:K$72*$E$12:$E$72*$D$12:$D$72*$B$12:$B$72)+INDEX($E$12:$E$72,26+1)*SUMPRODUCT(($A$12:$A$72&gt;=26)*K$12:K$72*$D$12:$D$72*$B$12:$B$72)</f>
        <v>1643.50220785823</v>
      </c>
    </row>
    <row r="142" customFormat="false" ht="15" hidden="false" customHeight="true" outlineLevel="0" collapsed="false">
      <c r="A142" s="3" t="n">
        <v>65</v>
      </c>
      <c r="B142" s="12" t="n">
        <f aca="false">SUMPRODUCT(($A$12:$A$72&lt;10)*L$12:L$72*$E$12:$E$72*$D$12:$D$72*$B$12:$B$72)+INDEX($E$12:$E$72,10+1)*SUMPRODUCT(($A$12:$A$72&gt;=10)*L$12:L$72*$D$12:$D$72*$B$12:$B$72)</f>
        <v>1656.68221699343</v>
      </c>
      <c r="C142" s="12" t="n">
        <f aca="false">SUMPRODUCT(($A$12:$A$72&lt;11)*L$12:L$72*$E$12:$E$72*$D$12:$D$72*$B$12:$B$72)+INDEX($E$12:$E$72,11+1)*SUMPRODUCT(($A$12:$A$72&gt;=11)*L$12:L$72*$D$12:$D$72*$B$12:$B$72)</f>
        <v>1648.74837471758</v>
      </c>
      <c r="D142" s="12" t="n">
        <f aca="false">SUMPRODUCT(($A$12:$A$72&lt;12)*L$12:L$72*$E$12:$E$72*$D$12:$D$72*$B$12:$B$72)+INDEX($E$12:$E$72,12+1)*SUMPRODUCT(($A$12:$A$72&gt;=12)*L$12:L$72*$D$12:$D$72*$B$12:$B$72)</f>
        <v>1641.4367964112</v>
      </c>
      <c r="E142" s="12" t="n">
        <f aca="false">SUMPRODUCT(($A$12:$A$72&lt;13)*L$12:L$72*$E$12:$E$72*$D$12:$D$72*$B$12:$B$72)+INDEX($E$12:$E$72,13+1)*SUMPRODUCT(($A$12:$A$72&gt;=13)*L$12:L$72*$D$12:$D$72*$B$12:$B$72)</f>
        <v>1634.72229923369</v>
      </c>
      <c r="F142" s="12" t="n">
        <f aca="false">SUMPRODUCT(($A$12:$A$72&lt;14)*L$12:L$72*$E$12:$E$72*$D$12:$D$72*$B$12:$B$72)+INDEX($E$12:$E$72,14+1)*SUMPRODUCT(($A$12:$A$72&gt;=14)*L$12:L$72*$D$12:$D$72*$B$12:$B$72)</f>
        <v>1628.57973899468</v>
      </c>
      <c r="G142" s="12" t="n">
        <f aca="false">SUMPRODUCT(($A$12:$A$72&lt;15)*L$12:L$72*$E$12:$E$72*$D$12:$D$72*$B$12:$B$72)+INDEX($E$12:$E$72,15+1)*SUMPRODUCT(($A$12:$A$72&gt;=15)*L$12:L$72*$D$12:$D$72*$B$12:$B$72)</f>
        <v>1622.98416087547</v>
      </c>
      <c r="H142" s="12" t="n">
        <f aca="false">SUMPRODUCT(($A$12:$A$72&lt;16)*L$12:L$72*$E$12:$E$72*$D$12:$D$72*$B$12:$B$72)+INDEX($E$12:$E$72,16+1)*SUMPRODUCT(($A$12:$A$72&gt;=16)*L$12:L$72*$D$12:$D$72*$B$12:$B$72)</f>
        <v>1617.90915646479</v>
      </c>
      <c r="I142" s="12" t="n">
        <f aca="false">SUMPRODUCT(($A$12:$A$72&lt;17)*L$12:L$72*$E$12:$E$72*$D$12:$D$72*$B$12:$B$72)+INDEX($E$12:$E$72,17+1)*SUMPRODUCT(($A$12:$A$72&gt;=17)*L$12:L$72*$D$12:$D$72*$B$12:$B$72)</f>
        <v>1613.328229133</v>
      </c>
      <c r="J142" s="12" t="n">
        <f aca="false">SUMPRODUCT(($A$12:$A$72&lt;18)*L$12:L$72*$E$12:$E$72*$D$12:$D$72*$B$12:$B$72)+INDEX($E$12:$E$72,18+1)*SUMPRODUCT(($A$12:$A$72&gt;=18)*L$12:L$72*$D$12:$D$72*$B$12:$B$72)</f>
        <v>1609.2154685146</v>
      </c>
      <c r="K142" s="12" t="n">
        <f aca="false">SUMPRODUCT(($A$12:$A$72&lt;19)*L$12:L$72*$E$12:$E$72*$D$12:$D$72*$B$12:$B$72)+INDEX($E$12:$E$72,19+1)*SUMPRODUCT(($A$12:$A$72&gt;=19)*L$12:L$72*$D$12:$D$72*$B$12:$B$72)</f>
        <v>1605.54509824063</v>
      </c>
      <c r="L142" s="12" t="n">
        <f aca="false">SUMPRODUCT(($A$12:$A$72&lt;20)*L$12:L$72*$E$12:$E$72*$D$12:$D$72*$B$12:$B$72)+INDEX($E$12:$E$72,20+1)*SUMPRODUCT(($A$12:$A$72&gt;=20)*L$12:L$72*$D$12:$D$72*$B$12:$B$72)</f>
        <v>1602.29135917096</v>
      </c>
      <c r="M142" s="12" t="n">
        <f aca="false">SUMPRODUCT(($A$12:$A$72&lt;21)*L$12:L$72*$E$12:$E$72*$D$12:$D$72*$B$12:$B$72)+INDEX($E$12:$E$72,21+1)*SUMPRODUCT(($A$12:$A$72&gt;=21)*L$12:L$72*$D$12:$D$72*$B$12:$B$72)</f>
        <v>1599.42825577376</v>
      </c>
      <c r="N142" s="12" t="n">
        <f aca="false">SUMPRODUCT(($A$12:$A$72&lt;22)*L$12:L$72*$E$12:$E$72*$D$12:$D$72*$B$12:$B$72)+INDEX($E$12:$E$72,22+1)*SUMPRODUCT(($A$12:$A$72&gt;=22)*L$12:L$72*$D$12:$D$72*$B$12:$B$72)</f>
        <v>1596.92890335925</v>
      </c>
      <c r="O142" s="12" t="n">
        <f aca="false">SUMPRODUCT(($A$12:$A$72&lt;23)*L$12:L$72*$E$12:$E$72*$D$12:$D$72*$B$12:$B$72)+INDEX($E$12:$E$72,23+1)*SUMPRODUCT(($A$12:$A$72&gt;=23)*L$12:L$72*$D$12:$D$72*$B$12:$B$72)</f>
        <v>1594.76594670647</v>
      </c>
      <c r="P142" s="12" t="n">
        <f aca="false">SUMPRODUCT(($A$12:$A$72&lt;24)*L$12:L$72*$E$12:$E$72*$D$12:$D$72*$B$12:$B$72)+INDEX($E$12:$E$72,24+1)*SUMPRODUCT(($A$12:$A$72&gt;=24)*L$12:L$72*$D$12:$D$72*$B$12:$B$72)</f>
        <v>1592.91165373472</v>
      </c>
      <c r="Q142" s="12" t="n">
        <f aca="false">SUMPRODUCT(($A$12:$A$72&lt;25)*L$12:L$72*$E$12:$E$72*$D$12:$D$72*$B$12:$B$72)+INDEX($E$12:$E$72,25+1)*SUMPRODUCT(($A$12:$A$72&gt;=25)*L$12:L$72*$D$12:$D$72*$B$12:$B$72)</f>
        <v>1591.33799291758</v>
      </c>
    </row>
    <row r="143" customFormat="false" ht="15" hidden="false" customHeight="true" outlineLevel="0" collapsed="false">
      <c r="A143" s="3" t="n">
        <v>66</v>
      </c>
      <c r="B143" s="12" t="n">
        <f aca="false">SUMPRODUCT(($A$12:$A$72&lt;9)*M$12:M$72*$E$12:$E$72*$D$12:$D$72*$B$12:$B$72)+INDEX($E$12:$E$72,9+1)*SUMPRODUCT(($A$12:$A$72&gt;=9)*M$12:M$72*$D$12:$D$72*$B$12:$B$72)</f>
        <v>1605.35975698227</v>
      </c>
      <c r="C143" s="12" t="n">
        <f aca="false">SUMPRODUCT(($A$12:$A$72&lt;10)*M$12:M$72*$E$12:$E$72*$D$12:$D$72*$B$12:$B$72)+INDEX($E$12:$E$72,10+1)*SUMPRODUCT(($A$12:$A$72&gt;=10)*M$12:M$72*$D$12:$D$72*$B$12:$B$72)</f>
        <v>1597.30123417871</v>
      </c>
      <c r="D143" s="12" t="n">
        <f aca="false">SUMPRODUCT(($A$12:$A$72&lt;11)*M$12:M$72*$E$12:$E$72*$D$12:$D$72*$B$12:$B$72)+INDEX($E$12:$E$72,11+1)*SUMPRODUCT(($A$12:$A$72&gt;=11)*M$12:M$72*$D$12:$D$72*$B$12:$B$72)</f>
        <v>1589.87717754619</v>
      </c>
      <c r="E143" s="12" t="n">
        <f aca="false">SUMPRODUCT(($A$12:$A$72&lt;12)*M$12:M$72*$E$12:$E$72*$D$12:$D$72*$B$12:$B$72)+INDEX($E$12:$E$72,12+1)*SUMPRODUCT(($A$12:$A$72&gt;=12)*M$12:M$72*$D$12:$D$72*$B$12:$B$72)</f>
        <v>1583.06340260376</v>
      </c>
      <c r="F143" s="12" t="n">
        <f aca="false">SUMPRODUCT(($A$12:$A$72&lt;13)*M$12:M$72*$E$12:$E$72*$D$12:$D$72*$B$12:$B$72)+INDEX($E$12:$E$72,13+1)*SUMPRODUCT(($A$12:$A$72&gt;=13)*M$12:M$72*$D$12:$D$72*$B$12:$B$72)</f>
        <v>1576.83389873122</v>
      </c>
      <c r="G143" s="12" t="n">
        <f aca="false">SUMPRODUCT(($A$12:$A$72&lt;14)*M$12:M$72*$E$12:$E$72*$D$12:$D$72*$B$12:$B$72)+INDEX($E$12:$E$72,14+1)*SUMPRODUCT(($A$12:$A$72&gt;=14)*M$12:M$72*$D$12:$D$72*$B$12:$B$72)</f>
        <v>1571.1626430779</v>
      </c>
      <c r="H143" s="12" t="n">
        <f aca="false">SUMPRODUCT(($A$12:$A$72&lt;15)*M$12:M$72*$E$12:$E$72*$D$12:$D$72*$B$12:$B$72)+INDEX($E$12:$E$72,15+1)*SUMPRODUCT(($A$12:$A$72&gt;=15)*M$12:M$72*$D$12:$D$72*$B$12:$B$72)</f>
        <v>1566.02375004675</v>
      </c>
      <c r="I143" s="12" t="n">
        <f aca="false">SUMPRODUCT(($A$12:$A$72&lt;16)*M$12:M$72*$E$12:$E$72*$D$12:$D$72*$B$12:$B$72)+INDEX($E$12:$E$72,16+1)*SUMPRODUCT(($A$12:$A$72&gt;=16)*M$12:M$72*$D$12:$D$72*$B$12:$B$72)</f>
        <v>1561.38944434185</v>
      </c>
      <c r="J143" s="12" t="n">
        <f aca="false">SUMPRODUCT(($A$12:$A$72&lt;17)*M$12:M$72*$E$12:$E$72*$D$12:$D$72*$B$12:$B$72)+INDEX($E$12:$E$72,17+1)*SUMPRODUCT(($A$12:$A$72&gt;=17)*M$12:M$72*$D$12:$D$72*$B$12:$B$72)</f>
        <v>1557.2322307906</v>
      </c>
      <c r="K143" s="12" t="n">
        <f aca="false">SUMPRODUCT(($A$12:$A$72&lt;18)*M$12:M$72*$E$12:$E$72*$D$12:$D$72*$B$12:$B$72)+INDEX($E$12:$E$72,18+1)*SUMPRODUCT(($A$12:$A$72&gt;=18)*M$12:M$72*$D$12:$D$72*$B$12:$B$72)</f>
        <v>1553.52516409201</v>
      </c>
      <c r="L143" s="12" t="n">
        <f aca="false">SUMPRODUCT(($A$12:$A$72&lt;19)*M$12:M$72*$E$12:$E$72*$D$12:$D$72*$B$12:$B$72)+INDEX($E$12:$E$72,19+1)*SUMPRODUCT(($A$12:$A$72&gt;=19)*M$12:M$72*$D$12:$D$72*$B$12:$B$72)</f>
        <v>1550.24142091527</v>
      </c>
      <c r="M143" s="12" t="n">
        <f aca="false">SUMPRODUCT(($A$12:$A$72&lt;20)*M$12:M$72*$E$12:$E$72*$D$12:$D$72*$B$12:$B$72)+INDEX($E$12:$E$72,20+1)*SUMPRODUCT(($A$12:$A$72&gt;=20)*M$12:M$72*$D$12:$D$72*$B$12:$B$72)</f>
        <v>1547.35420501358</v>
      </c>
      <c r="N143" s="12" t="n">
        <f aca="false">SUMPRODUCT(($A$12:$A$72&lt;21)*M$12:M$72*$E$12:$E$72*$D$12:$D$72*$B$12:$B$72)+INDEX($E$12:$E$72,21+1)*SUMPRODUCT(($A$12:$A$72&gt;=21)*M$12:M$72*$D$12:$D$72*$B$12:$B$72)</f>
        <v>1544.83594864616</v>
      </c>
      <c r="O143" s="12" t="n">
        <f aca="false">SUMPRODUCT(($A$12:$A$72&lt;22)*M$12:M$72*$E$12:$E$72*$D$12:$D$72*$B$12:$B$72)+INDEX($E$12:$E$72,22+1)*SUMPRODUCT(($A$12:$A$72&gt;=22)*M$12:M$72*$D$12:$D$72*$B$12:$B$72)</f>
        <v>1542.65862244959</v>
      </c>
      <c r="P143" s="12" t="n">
        <f aca="false">SUMPRODUCT(($A$12:$A$72&lt;23)*M$12:M$72*$E$12:$E$72*$D$12:$D$72*$B$12:$B$72)+INDEX($E$12:$E$72,23+1)*SUMPRODUCT(($A$12:$A$72&gt;=23)*M$12:M$72*$D$12:$D$72*$B$12:$B$72)</f>
        <v>1540.79383574855</v>
      </c>
      <c r="Q143" s="12" t="n">
        <f aca="false">SUMPRODUCT(($A$12:$A$72&lt;24)*M$12:M$72*$E$12:$E$72*$D$12:$D$72*$B$12:$B$72)+INDEX($E$12:$E$72,24+1)*SUMPRODUCT(($A$12:$A$72&gt;=24)*M$12:M$72*$D$12:$D$72*$B$12:$B$72)</f>
        <v>1539.21298307185</v>
      </c>
    </row>
    <row r="144" customFormat="false" ht="15" hidden="false" customHeight="true" outlineLevel="0" collapsed="false">
      <c r="A144" s="3" t="n">
        <v>67</v>
      </c>
      <c r="B144" s="12" t="n">
        <f aca="false">SUMPRODUCT(($A$12:$A$72&lt;8)*N$12:N$72*$E$12:$E$72*$D$12:$D$72*$B$12:$B$72)+INDEX($E$12:$E$72,8+1)*SUMPRODUCT(($A$12:$A$72&gt;=8)*N$12:N$72*$D$12:$D$72*$B$12:$B$72)</f>
        <v>1553.82094188876</v>
      </c>
      <c r="C144" s="12" t="n">
        <f aca="false">SUMPRODUCT(($A$12:$A$72&lt;9)*N$12:N$72*$E$12:$E$72*$D$12:$D$72*$B$12:$B$72)+INDEX($E$12:$E$72,9+1)*SUMPRODUCT(($A$12:$A$72&gt;=9)*N$12:N$72*$D$12:$D$72*$B$12:$B$72)</f>
        <v>1545.62947652184</v>
      </c>
      <c r="D144" s="12" t="n">
        <f aca="false">SUMPRODUCT(($A$12:$A$72&lt;10)*N$12:N$72*$E$12:$E$72*$D$12:$D$72*$B$12:$B$72)+INDEX($E$12:$E$72,10+1)*SUMPRODUCT(($A$12:$A$72&gt;=10)*N$12:N$72*$D$12:$D$72*$B$12:$B$72)</f>
        <v>1538.0867261074</v>
      </c>
      <c r="E144" s="12" t="n">
        <f aca="false">SUMPRODUCT(($A$12:$A$72&lt;11)*N$12:N$72*$E$12:$E$72*$D$12:$D$72*$B$12:$B$72)+INDEX($E$12:$E$72,11+1)*SUMPRODUCT(($A$12:$A$72&gt;=11)*N$12:N$72*$D$12:$D$72*$B$12:$B$72)</f>
        <v>1531.16647683105</v>
      </c>
      <c r="F144" s="12" t="n">
        <f aca="false">SUMPRODUCT(($A$12:$A$72&lt;12)*N$12:N$72*$E$12:$E$72*$D$12:$D$72*$B$12:$B$72)+INDEX($E$12:$E$72,12+1)*SUMPRODUCT(($A$12:$A$72&gt;=12)*N$12:N$72*$D$12:$D$72*$B$12:$B$72)</f>
        <v>1524.84364731509</v>
      </c>
      <c r="G144" s="12" t="n">
        <f aca="false">SUMPRODUCT(($A$12:$A$72&lt;13)*N$12:N$72*$E$12:$E$72*$D$12:$D$72*$B$12:$B$72)+INDEX($E$12:$E$72,13+1)*SUMPRODUCT(($A$12:$A$72&gt;=13)*N$12:N$72*$D$12:$D$72*$B$12:$B$72)</f>
        <v>1519.09130281505</v>
      </c>
      <c r="H144" s="12" t="n">
        <f aca="false">SUMPRODUCT(($A$12:$A$72&lt;14)*N$12:N$72*$E$12:$E$72*$D$12:$D$72*$B$12:$B$72)+INDEX($E$12:$E$72,14+1)*SUMPRODUCT(($A$12:$A$72&gt;=14)*N$12:N$72*$D$12:$D$72*$B$12:$B$72)</f>
        <v>1513.882448329</v>
      </c>
      <c r="I144" s="12" t="n">
        <f aca="false">SUMPRODUCT(($A$12:$A$72&lt;15)*N$12:N$72*$E$12:$E$72*$D$12:$D$72*$B$12:$B$72)+INDEX($E$12:$E$72,15+1)*SUMPRODUCT(($A$12:$A$72&gt;=15)*N$12:N$72*$D$12:$D$72*$B$12:$B$72)</f>
        <v>1509.18973607624</v>
      </c>
      <c r="J144" s="12" t="n">
        <f aca="false">SUMPRODUCT(($A$12:$A$72&lt;16)*N$12:N$72*$E$12:$E$72*$D$12:$D$72*$B$12:$B$72)+INDEX($E$12:$E$72,16+1)*SUMPRODUCT(($A$12:$A$72&gt;=16)*N$12:N$72*$D$12:$D$72*$B$12:$B$72)</f>
        <v>1504.98435423737</v>
      </c>
      <c r="K144" s="12" t="n">
        <f aca="false">SUMPRODUCT(($A$12:$A$72&lt;17)*N$12:N$72*$E$12:$E$72*$D$12:$D$72*$B$12:$B$72)+INDEX($E$12:$E$72,17+1)*SUMPRODUCT(($A$12:$A$72&gt;=17)*N$12:N$72*$D$12:$D$72*$B$12:$B$72)</f>
        <v>1501.23774994832</v>
      </c>
      <c r="L144" s="12" t="n">
        <f aca="false">SUMPRODUCT(($A$12:$A$72&lt;18)*N$12:N$72*$E$12:$E$72*$D$12:$D$72*$B$12:$B$72)+INDEX($E$12:$E$72,18+1)*SUMPRODUCT(($A$12:$A$72&gt;=18)*N$12:N$72*$D$12:$D$72*$B$12:$B$72)</f>
        <v>1497.92190200132</v>
      </c>
      <c r="M144" s="12" t="n">
        <f aca="false">SUMPRODUCT(($A$12:$A$72&lt;19)*N$12:N$72*$E$12:$E$72*$D$12:$D$72*$B$12:$B$72)+INDEX($E$12:$E$72,19+1)*SUMPRODUCT(($A$12:$A$72&gt;=19)*N$12:N$72*$D$12:$D$72*$B$12:$B$72)</f>
        <v>1495.0089240527</v>
      </c>
      <c r="N144" s="12" t="n">
        <f aca="false">SUMPRODUCT(($A$12:$A$72&lt;20)*N$12:N$72*$E$12:$E$72*$D$12:$D$72*$B$12:$B$72)+INDEX($E$12:$E$72,20+1)*SUMPRODUCT(($A$12:$A$72&gt;=20)*N$12:N$72*$D$12:$D$72*$B$12:$B$72)</f>
        <v>1492.47039882376</v>
      </c>
      <c r="O144" s="12" t="n">
        <f aca="false">SUMPRODUCT(($A$12:$A$72&lt;21)*N$12:N$72*$E$12:$E$72*$D$12:$D$72*$B$12:$B$72)+INDEX($E$12:$E$72,21+1)*SUMPRODUCT(($A$12:$A$72&gt;=21)*N$12:N$72*$D$12:$D$72*$B$12:$B$72)</f>
        <v>1490.27758855771</v>
      </c>
      <c r="P144" s="12" t="n">
        <f aca="false">SUMPRODUCT(($A$12:$A$72&lt;22)*N$12:N$72*$E$12:$E$72*$D$12:$D$72*$B$12:$B$72)+INDEX($E$12:$E$72,22+1)*SUMPRODUCT(($A$12:$A$72&gt;=22)*N$12:N$72*$D$12:$D$72*$B$12:$B$72)</f>
        <v>1488.40141107173</v>
      </c>
      <c r="Q144" s="12" t="n">
        <f aca="false">SUMPRODUCT(($A$12:$A$72&lt;23)*N$12:N$72*$E$12:$E$72*$D$12:$D$72*$B$12:$B$72)+INDEX($E$12:$E$72,23+1)*SUMPRODUCT(($A$12:$A$72&gt;=23)*N$12:N$72*$D$12:$D$72*$B$12:$B$72)</f>
        <v>1486.81259436391</v>
      </c>
    </row>
    <row r="145" customFormat="false" ht="15" hidden="false" customHeight="true" outlineLevel="0" collapsed="false">
      <c r="A145" s="3" t="n">
        <v>68</v>
      </c>
      <c r="B145" s="12" t="n">
        <f aca="false">SUMPRODUCT(($A$12:$A$72&lt;7)*O$12:O$72*$E$12:$E$72*$D$12:$D$72*$B$12:$B$72)+INDEX($E$12:$E$72,7+1)*SUMPRODUCT(($A$12:$A$72&gt;=7)*O$12:O$72*$D$12:$D$72*$B$12:$B$72)</f>
        <v>1502.11878940781</v>
      </c>
      <c r="C145" s="12" t="n">
        <f aca="false">SUMPRODUCT(($A$12:$A$72&lt;8)*O$12:O$72*$E$12:$E$72*$D$12:$D$72*$B$12:$B$72)+INDEX($E$12:$E$72,8+1)*SUMPRODUCT(($A$12:$A$72&gt;=8)*O$12:O$72*$D$12:$D$72*$B$12:$B$72)</f>
        <v>1493.78651149077</v>
      </c>
      <c r="D145" s="12" t="n">
        <f aca="false">SUMPRODUCT(($A$12:$A$72&lt;9)*O$12:O$72*$E$12:$E$72*$D$12:$D$72*$B$12:$B$72)+INDEX($E$12:$E$72,9+1)*SUMPRODUCT(($A$12:$A$72&gt;=9)*O$12:O$72*$D$12:$D$72*$B$12:$B$72)</f>
        <v>1486.11659586374</v>
      </c>
      <c r="E145" s="12" t="n">
        <f aca="false">SUMPRODUCT(($A$12:$A$72&lt;10)*O$12:O$72*$E$12:$E$72*$D$12:$D$72*$B$12:$B$72)+INDEX($E$12:$E$72,10+1)*SUMPRODUCT(($A$12:$A$72&gt;=10)*O$12:O$72*$D$12:$D$72*$B$12:$B$72)</f>
        <v>1479.08348097372</v>
      </c>
      <c r="F145" s="12" t="n">
        <f aca="false">SUMPRODUCT(($A$12:$A$72&lt;11)*O$12:O$72*$E$12:$E$72*$D$12:$D$72*$B$12:$B$72)+INDEX($E$12:$E$72,11+1)*SUMPRODUCT(($A$12:$A$72&gt;=11)*O$12:O$72*$D$12:$D$72*$B$12:$B$72)</f>
        <v>1472.66002479441</v>
      </c>
      <c r="G145" s="12" t="n">
        <f aca="false">SUMPRODUCT(($A$12:$A$72&lt;12)*O$12:O$72*$E$12:$E$72*$D$12:$D$72*$B$12:$B$72)+INDEX($E$12:$E$72,12+1)*SUMPRODUCT(($A$12:$A$72&gt;=12)*O$12:O$72*$D$12:$D$72*$B$12:$B$72)</f>
        <v>1466.82014359825</v>
      </c>
      <c r="H145" s="12" t="n">
        <f aca="false">SUMPRODUCT(($A$12:$A$72&lt;13)*O$12:O$72*$E$12:$E$72*$D$12:$D$72*$B$12:$B$72)+INDEX($E$12:$E$72,13+1)*SUMPRODUCT(($A$12:$A$72&gt;=13)*O$12:O$72*$D$12:$D$72*$B$12:$B$72)</f>
        <v>1461.53587936757</v>
      </c>
      <c r="I145" s="12" t="n">
        <f aca="false">SUMPRODUCT(($A$12:$A$72&lt;14)*O$12:O$72*$E$12:$E$72*$D$12:$D$72*$B$12:$B$72)+INDEX($E$12:$E$72,14+1)*SUMPRODUCT(($A$12:$A$72&gt;=14)*O$12:O$72*$D$12:$D$72*$B$12:$B$72)</f>
        <v>1456.77871209394</v>
      </c>
      <c r="J145" s="12" t="n">
        <f aca="false">SUMPRODUCT(($A$12:$A$72&lt;15)*O$12:O$72*$E$12:$E$72*$D$12:$D$72*$B$12:$B$72)+INDEX($E$12:$E$72,15+1)*SUMPRODUCT(($A$12:$A$72&gt;=15)*O$12:O$72*$D$12:$D$72*$B$12:$B$72)</f>
        <v>1452.52016889539</v>
      </c>
      <c r="K145" s="12" t="n">
        <f aca="false">SUMPRODUCT(($A$12:$A$72&lt;16)*O$12:O$72*$E$12:$E$72*$D$12:$D$72*$B$12:$B$72)+INDEX($E$12:$E$72,16+1)*SUMPRODUCT(($A$12:$A$72&gt;=16)*O$12:O$72*$D$12:$D$72*$B$12:$B$72)</f>
        <v>1448.73033981026</v>
      </c>
      <c r="L145" s="12" t="n">
        <f aca="false">SUMPRODUCT(($A$12:$A$72&lt;17)*O$12:O$72*$E$12:$E$72*$D$12:$D$72*$B$12:$B$72)+INDEX($E$12:$E$72,17+1)*SUMPRODUCT(($A$12:$A$72&gt;=17)*O$12:O$72*$D$12:$D$72*$B$12:$B$72)</f>
        <v>1445.37957337037</v>
      </c>
      <c r="M145" s="12" t="n">
        <f aca="false">SUMPRODUCT(($A$12:$A$72&lt;18)*O$12:O$72*$E$12:$E$72*$D$12:$D$72*$B$12:$B$72)+INDEX($E$12:$E$72,18+1)*SUMPRODUCT(($A$12:$A$72&gt;=18)*O$12:O$72*$D$12:$D$72*$B$12:$B$72)</f>
        <v>1442.43875673871</v>
      </c>
      <c r="N145" s="12" t="n">
        <f aca="false">SUMPRODUCT(($A$12:$A$72&lt;19)*O$12:O$72*$E$12:$E$72*$D$12:$D$72*$B$12:$B$72)+INDEX($E$12:$E$72,19+1)*SUMPRODUCT(($A$12:$A$72&gt;=19)*O$12:O$72*$D$12:$D$72*$B$12:$B$72)</f>
        <v>1439.87833875584</v>
      </c>
      <c r="O145" s="12" t="n">
        <f aca="false">SUMPRODUCT(($A$12:$A$72&lt;20)*O$12:O$72*$E$12:$E$72*$D$12:$D$72*$B$12:$B$72)+INDEX($E$12:$E$72,20+1)*SUMPRODUCT(($A$12:$A$72&gt;=20)*O$12:O$72*$D$12:$D$72*$B$12:$B$72)</f>
        <v>1437.6687102042</v>
      </c>
      <c r="P145" s="12" t="n">
        <f aca="false">SUMPRODUCT(($A$12:$A$72&lt;21)*O$12:O$72*$E$12:$E$72*$D$12:$D$72*$B$12:$B$72)+INDEX($E$12:$E$72,21+1)*SUMPRODUCT(($A$12:$A$72&gt;=21)*O$12:O$72*$D$12:$D$72*$B$12:$B$72)</f>
        <v>1435.78006026936</v>
      </c>
      <c r="Q145" s="12" t="n">
        <f aca="false">SUMPRODUCT(($A$12:$A$72&lt;22)*O$12:O$72*$E$12:$E$72*$D$12:$D$72*$B$12:$B$72)+INDEX($E$12:$E$72,22+1)*SUMPRODUCT(($A$12:$A$72&gt;=22)*O$12:O$72*$D$12:$D$72*$B$12:$B$72)</f>
        <v>1434.18241510745</v>
      </c>
    </row>
    <row r="146" customFormat="false" ht="15" hidden="false" customHeight="true" outlineLevel="0" collapsed="false">
      <c r="A146" s="3" t="n">
        <v>69</v>
      </c>
      <c r="B146" s="12" t="n">
        <f aca="false">SUMPRODUCT(($A$12:$A$72&lt;6)*P$12:P$72*$E$12:$E$72*$D$12:$D$72*$B$12:$B$72)+INDEX($E$12:$E$72,6+1)*SUMPRODUCT(($A$12:$A$72&gt;=6)*P$12:P$72*$D$12:$D$72*$B$12:$B$72)</f>
        <v>1450.31113560415</v>
      </c>
      <c r="C146" s="12" t="n">
        <f aca="false">SUMPRODUCT(($A$12:$A$72&lt;7)*P$12:P$72*$E$12:$E$72*$D$12:$D$72*$B$12:$B$72)+INDEX($E$12:$E$72,7+1)*SUMPRODUCT(($A$12:$A$72&gt;=7)*P$12:P$72*$D$12:$D$72*$B$12:$B$72)</f>
        <v>1441.82964130952</v>
      </c>
      <c r="D146" s="12" t="n">
        <f aca="false">SUMPRODUCT(($A$12:$A$72&lt;8)*P$12:P$72*$E$12:$E$72*$D$12:$D$72*$B$12:$B$72)+INDEX($E$12:$E$72,8+1)*SUMPRODUCT(($A$12:$A$72&gt;=8)*P$12:P$72*$D$12:$D$72*$B$12:$B$72)</f>
        <v>1434.02439598162</v>
      </c>
      <c r="E146" s="12" t="n">
        <f aca="false">SUMPRODUCT(($A$12:$A$72&lt;9)*P$12:P$72*$E$12:$E$72*$D$12:$D$72*$B$12:$B$72)+INDEX($E$12:$E$72,9+1)*SUMPRODUCT(($A$12:$A$72&gt;=9)*P$12:P$72*$D$12:$D$72*$B$12:$B$72)</f>
        <v>1426.86972904139</v>
      </c>
      <c r="F146" s="12" t="n">
        <f aca="false">SUMPRODUCT(($A$12:$A$72&lt;10)*P$12:P$72*$E$12:$E$72*$D$12:$D$72*$B$12:$B$72)+INDEX($E$12:$E$72,10+1)*SUMPRODUCT(($A$12:$A$72&gt;=10)*P$12:P$72*$D$12:$D$72*$B$12:$B$72)</f>
        <v>1420.3390768426</v>
      </c>
      <c r="G146" s="12" t="n">
        <f aca="false">SUMPRODUCT(($A$12:$A$72&lt;11)*P$12:P$72*$E$12:$E$72*$D$12:$D$72*$B$12:$B$72)+INDEX($E$12:$E$72,11+1)*SUMPRODUCT(($A$12:$A$72&gt;=11)*P$12:P$72*$D$12:$D$72*$B$12:$B$72)</f>
        <v>1414.40425910631</v>
      </c>
      <c r="H146" s="12" t="n">
        <f aca="false">SUMPRODUCT(($A$12:$A$72&lt;12)*P$12:P$72*$E$12:$E$72*$D$12:$D$72*$B$12:$B$72)+INDEX($E$12:$E$72,12+1)*SUMPRODUCT(($A$12:$A$72&gt;=12)*P$12:P$72*$D$12:$D$72*$B$12:$B$72)</f>
        <v>1409.03808051685</v>
      </c>
      <c r="I146" s="12" t="n">
        <f aca="false">SUMPRODUCT(($A$12:$A$72&lt;13)*P$12:P$72*$E$12:$E$72*$D$12:$D$72*$B$12:$B$72)+INDEX($E$12:$E$72,13+1)*SUMPRODUCT(($A$12:$A$72&gt;=13)*P$12:P$72*$D$12:$D$72*$B$12:$B$72)</f>
        <v>1404.21098268254</v>
      </c>
      <c r="J146" s="12" t="n">
        <f aca="false">SUMPRODUCT(($A$12:$A$72&lt;14)*P$12:P$72*$E$12:$E$72*$D$12:$D$72*$B$12:$B$72)+INDEX($E$12:$E$72,14+1)*SUMPRODUCT(($A$12:$A$72&gt;=14)*P$12:P$72*$D$12:$D$72*$B$12:$B$72)</f>
        <v>1399.89326921638</v>
      </c>
      <c r="K146" s="12" t="n">
        <f aca="false">SUMPRODUCT(($A$12:$A$72&lt;15)*P$12:P$72*$E$12:$E$72*$D$12:$D$72*$B$12:$B$72)+INDEX($E$12:$E$72,15+1)*SUMPRODUCT(($A$12:$A$72&gt;=15)*P$12:P$72*$D$12:$D$72*$B$12:$B$72)</f>
        <v>1396.05527203619</v>
      </c>
      <c r="L146" s="12" t="n">
        <f aca="false">SUMPRODUCT(($A$12:$A$72&lt;16)*P$12:P$72*$E$12:$E$72*$D$12:$D$72*$B$12:$B$72)+INDEX($E$12:$E$72,16+1)*SUMPRODUCT(($A$12:$A$72&gt;=16)*P$12:P$72*$D$12:$D$72*$B$12:$B$72)</f>
        <v>1392.66594024501</v>
      </c>
      <c r="M146" s="12" t="n">
        <f aca="false">SUMPRODUCT(($A$12:$A$72&lt;17)*P$12:P$72*$E$12:$E$72*$D$12:$D$72*$B$12:$B$72)+INDEX($E$12:$E$72,17+1)*SUMPRODUCT(($A$12:$A$72&gt;=17)*P$12:P$72*$D$12:$D$72*$B$12:$B$72)</f>
        <v>1389.69450906289</v>
      </c>
      <c r="N146" s="12" t="n">
        <f aca="false">SUMPRODUCT(($A$12:$A$72&lt;18)*P$12:P$72*$E$12:$E$72*$D$12:$D$72*$B$12:$B$72)+INDEX($E$12:$E$72,18+1)*SUMPRODUCT(($A$12:$A$72&gt;=18)*P$12:P$72*$D$12:$D$72*$B$12:$B$72)</f>
        <v>1387.11015241278</v>
      </c>
      <c r="O146" s="12" t="n">
        <f aca="false">SUMPRODUCT(($A$12:$A$72&lt;19)*P$12:P$72*$E$12:$E$72*$D$12:$D$72*$B$12:$B$72)+INDEX($E$12:$E$72,19+1)*SUMPRODUCT(($A$12:$A$72&gt;=19)*P$12:P$72*$D$12:$D$72*$B$12:$B$72)</f>
        <v>1384.88211285318</v>
      </c>
      <c r="P146" s="12" t="n">
        <f aca="false">SUMPRODUCT(($A$12:$A$72&lt;20)*P$12:P$72*$E$12:$E$72*$D$12:$D$72*$B$12:$B$72)+INDEX($E$12:$E$72,20+1)*SUMPRODUCT(($A$12:$A$72&gt;=20)*P$12:P$72*$D$12:$D$72*$B$12:$B$72)</f>
        <v>1382.97969166197</v>
      </c>
      <c r="Q146" s="12" t="n">
        <f aca="false">SUMPRODUCT(($A$12:$A$72&lt;21)*P$12:P$72*$E$12:$E$72*$D$12:$D$72*$B$12:$B$72)+INDEX($E$12:$E$72,21+1)*SUMPRODUCT(($A$12:$A$72&gt;=21)*P$12:P$72*$D$12:$D$72*$B$12:$B$72)</f>
        <v>1381.37217301043</v>
      </c>
    </row>
    <row r="147" customFormat="false" ht="15" hidden="false" customHeight="true" outlineLevel="0" collapsed="false">
      <c r="A147" s="3" t="n">
        <v>70</v>
      </c>
      <c r="B147" s="12" t="n">
        <f aca="false">SUMPRODUCT(($A$12:$A$72&lt;5)*Q$12:Q$72*$E$12:$E$72*$D$12:$D$72*$B$12:$B$72)+INDEX($E$12:$E$72,5+1)*SUMPRODUCT(($A$12:$A$72&gt;=5)*Q$12:Q$72*$D$12:$D$72*$B$12:$B$72)</f>
        <v>1398.46008587809</v>
      </c>
      <c r="C147" s="12" t="n">
        <f aca="false">SUMPRODUCT(($A$12:$A$72&lt;6)*Q$12:Q$72*$E$12:$E$72*$D$12:$D$72*$B$12:$B$72)+INDEX($E$12:$E$72,6+1)*SUMPRODUCT(($A$12:$A$72&gt;=6)*Q$12:Q$72*$D$12:$D$72*$B$12:$B$72)</f>
        <v>1389.82036317231</v>
      </c>
      <c r="D147" s="12" t="n">
        <f aca="false">SUMPRODUCT(($A$12:$A$72&lt;7)*Q$12:Q$72*$E$12:$E$72*$D$12:$D$72*$B$12:$B$72)+INDEX($E$12:$E$72,7+1)*SUMPRODUCT(($A$12:$A$72&gt;=7)*Q$12:Q$72*$D$12:$D$72*$B$12:$B$72)</f>
        <v>1381.87100132637</v>
      </c>
      <c r="E147" s="12" t="n">
        <f aca="false">SUMPRODUCT(($A$12:$A$72&lt;8)*Q$12:Q$72*$E$12:$E$72*$D$12:$D$72*$B$12:$B$72)+INDEX($E$12:$E$72,8+1)*SUMPRODUCT(($A$12:$A$72&gt;=8)*Q$12:Q$72*$D$12:$D$72*$B$12:$B$72)</f>
        <v>1374.58631698238</v>
      </c>
      <c r="F147" s="12" t="n">
        <f aca="false">SUMPRODUCT(($A$12:$A$72&lt;9)*Q$12:Q$72*$E$12:$E$72*$D$12:$D$72*$B$12:$B$72)+INDEX($E$12:$E$72,9+1)*SUMPRODUCT(($A$12:$A$72&gt;=9)*Q$12:Q$72*$D$12:$D$72*$B$12:$B$72)</f>
        <v>1367.93957011159</v>
      </c>
      <c r="G147" s="12" t="n">
        <f aca="false">SUMPRODUCT(($A$12:$A$72&lt;10)*Q$12:Q$72*$E$12:$E$72*$D$12:$D$72*$B$12:$B$72)+INDEX($E$12:$E$72,10+1)*SUMPRODUCT(($A$12:$A$72&gt;=10)*Q$12:Q$72*$D$12:$D$72*$B$12:$B$72)</f>
        <v>1361.9030745205</v>
      </c>
      <c r="H147" s="12" t="n">
        <f aca="false">SUMPRODUCT(($A$12:$A$72&lt;11)*Q$12:Q$72*$E$12:$E$72*$D$12:$D$72*$B$12:$B$72)+INDEX($E$12:$E$72,11+1)*SUMPRODUCT(($A$12:$A$72&gt;=11)*Q$12:Q$72*$D$12:$D$72*$B$12:$B$72)</f>
        <v>1356.44749733324</v>
      </c>
      <c r="I147" s="12" t="n">
        <f aca="false">SUMPRODUCT(($A$12:$A$72&lt;12)*Q$12:Q$72*$E$12:$E$72*$D$12:$D$72*$B$12:$B$72)+INDEX($E$12:$E$72,12+1)*SUMPRODUCT(($A$12:$A$72&gt;=12)*Q$12:Q$72*$D$12:$D$72*$B$12:$B$72)</f>
        <v>1351.54392398494</v>
      </c>
      <c r="J147" s="12" t="n">
        <f aca="false">SUMPRODUCT(($A$12:$A$72&lt;13)*Q$12:Q$72*$E$12:$E$72*$D$12:$D$72*$B$12:$B$72)+INDEX($E$12:$E$72,13+1)*SUMPRODUCT(($A$12:$A$72&gt;=13)*Q$12:Q$72*$D$12:$D$72*$B$12:$B$72)</f>
        <v>1347.16155533157</v>
      </c>
      <c r="K147" s="12" t="n">
        <f aca="false">SUMPRODUCT(($A$12:$A$72&lt;14)*Q$12:Q$72*$E$12:$E$72*$D$12:$D$72*$B$12:$B$72)+INDEX($E$12:$E$72,14+1)*SUMPRODUCT(($A$12:$A$72&gt;=14)*Q$12:Q$72*$D$12:$D$72*$B$12:$B$72)</f>
        <v>1343.26944394264</v>
      </c>
      <c r="L147" s="12" t="n">
        <f aca="false">SUMPRODUCT(($A$12:$A$72&lt;15)*Q$12:Q$72*$E$12:$E$72*$D$12:$D$72*$B$12:$B$72)+INDEX($E$12:$E$72,15+1)*SUMPRODUCT(($A$12:$A$72&gt;=15)*Q$12:Q$72*$D$12:$D$72*$B$12:$B$72)</f>
        <v>1339.83667539474</v>
      </c>
      <c r="M147" s="12" t="n">
        <f aca="false">SUMPRODUCT(($A$12:$A$72&lt;16)*Q$12:Q$72*$E$12:$E$72*$D$12:$D$72*$B$12:$B$72)+INDEX($E$12:$E$72,16+1)*SUMPRODUCT(($A$12:$A$72&gt;=16)*Q$12:Q$72*$D$12:$D$72*$B$12:$B$72)</f>
        <v>1336.83104215261</v>
      </c>
      <c r="N147" s="12" t="n">
        <f aca="false">SUMPRODUCT(($A$12:$A$72&lt;17)*Q$12:Q$72*$E$12:$E$72*$D$12:$D$72*$B$12:$B$72)+INDEX($E$12:$E$72,17+1)*SUMPRODUCT(($A$12:$A$72&gt;=17)*Q$12:Q$72*$D$12:$D$72*$B$12:$B$72)</f>
        <v>1334.22002342518</v>
      </c>
      <c r="O147" s="12" t="n">
        <f aca="false">SUMPRODUCT(($A$12:$A$72&lt;18)*Q$12:Q$72*$E$12:$E$72*$D$12:$D$72*$B$12:$B$72)+INDEX($E$12:$E$72,18+1)*SUMPRODUCT(($A$12:$A$72&gt;=18)*Q$12:Q$72*$D$12:$D$72*$B$12:$B$72)</f>
        <v>1331.97156978867</v>
      </c>
      <c r="P147" s="12" t="n">
        <f aca="false">SUMPRODUCT(($A$12:$A$72&lt;19)*Q$12:Q$72*$E$12:$E$72*$D$12:$D$72*$B$12:$B$72)+INDEX($E$12:$E$72,19+1)*SUMPRODUCT(($A$12:$A$72&gt;=19)*Q$12:Q$72*$D$12:$D$72*$B$12:$B$72)</f>
        <v>1330.05382622848</v>
      </c>
      <c r="Q147" s="12" t="n">
        <f aca="false">SUMPRODUCT(($A$12:$A$72&lt;20)*Q$12:Q$72*$E$12:$E$72*$D$12:$D$72*$B$12:$B$72)+INDEX($E$12:$E$72,20+1)*SUMPRODUCT(($A$12:$A$72&gt;=20)*Q$12:Q$72*$D$12:$D$72*$B$12:$B$72)</f>
        <v>1328.43517982644</v>
      </c>
    </row>
    <row r="148" customFormat="false" ht="15" hidden="false" customHeight="true" outlineLevel="0" collapsed="false">
      <c r="A148" s="3" t="n">
        <v>71</v>
      </c>
      <c r="B148" s="12" t="n">
        <f aca="false">SUMPRODUCT(($A$12:$A$72&lt;4)*R$12:R$72*$E$12:$E$72*$D$12:$D$72*$B$12:$B$72)+INDEX($E$12:$E$72,4+1)*SUMPRODUCT(($A$12:$A$72&gt;=4)*R$12:R$72*$D$12:$D$72*$B$12:$B$72)</f>
        <v>1351.21220114019</v>
      </c>
      <c r="C148" s="12" t="n">
        <f aca="false">SUMPRODUCT(($A$12:$A$72&lt;5)*R$12:R$72*$E$12:$E$72*$D$12:$D$72*$B$12:$B$72)+INDEX($E$12:$E$72,5+1)*SUMPRODUCT(($A$12:$A$72&gt;=5)*R$12:R$72*$D$12:$D$72*$B$12:$B$72)</f>
        <v>1338.28012968583</v>
      </c>
      <c r="D148" s="12" t="n">
        <f aca="false">SUMPRODUCT(($A$12:$A$72&lt;6)*R$12:R$72*$E$12:$E$72*$D$12:$D$72*$B$12:$B$72)+INDEX($E$12:$E$72,6+1)*SUMPRODUCT(($A$12:$A$72&gt;=6)*R$12:R$72*$D$12:$D$72*$B$12:$B$72)</f>
        <v>1330.17438355784</v>
      </c>
      <c r="E148" s="12" t="n">
        <f aca="false">SUMPRODUCT(($A$12:$A$72&lt;7)*R$12:R$72*$E$12:$E$72*$D$12:$D$72*$B$12:$B$72)+INDEX($E$12:$E$72,7+1)*SUMPRODUCT(($A$12:$A$72&gt;=7)*R$12:R$72*$D$12:$D$72*$B$12:$B$72)</f>
        <v>1322.74796875498</v>
      </c>
      <c r="F148" s="12" t="n">
        <f aca="false">SUMPRODUCT(($A$12:$A$72&lt;8)*R$12:R$72*$E$12:$E$72*$D$12:$D$72*$B$12:$B$72)+INDEX($E$12:$E$72,8+1)*SUMPRODUCT(($A$12:$A$72&gt;=8)*R$12:R$72*$D$12:$D$72*$B$12:$B$72)</f>
        <v>1315.97404961961</v>
      </c>
      <c r="G148" s="12" t="n">
        <f aca="false">SUMPRODUCT(($A$12:$A$72&lt;9)*R$12:R$72*$E$12:$E$72*$D$12:$D$72*$B$12:$B$72)+INDEX($E$12:$E$72,9+1)*SUMPRODUCT(($A$12:$A$72&gt;=9)*R$12:R$72*$D$12:$D$72*$B$12:$B$72)</f>
        <v>1309.82467662644</v>
      </c>
      <c r="H148" s="12" t="n">
        <f aca="false">SUMPRODUCT(($A$12:$A$72&lt;10)*R$12:R$72*$E$12:$E$72*$D$12:$D$72*$B$12:$B$72)+INDEX($E$12:$E$72,10+1)*SUMPRODUCT(($A$12:$A$72&gt;=10)*R$12:R$72*$D$12:$D$72*$B$12:$B$72)</f>
        <v>1304.2709051147</v>
      </c>
      <c r="I148" s="12" t="n">
        <f aca="false">SUMPRODUCT(($A$12:$A$72&lt;11)*R$12:R$72*$E$12:$E$72*$D$12:$D$72*$B$12:$B$72)+INDEX($E$12:$E$72,11+1)*SUMPRODUCT(($A$12:$A$72&gt;=11)*R$12:R$72*$D$12:$D$72*$B$12:$B$72)</f>
        <v>1299.2816064404</v>
      </c>
      <c r="J148" s="12" t="n">
        <f aca="false">SUMPRODUCT(($A$12:$A$72&lt;12)*R$12:R$72*$E$12:$E$72*$D$12:$D$72*$B$12:$B$72)+INDEX($E$12:$E$72,12+1)*SUMPRODUCT(($A$12:$A$72&gt;=12)*R$12:R$72*$D$12:$D$72*$B$12:$B$72)</f>
        <v>1294.82650098103</v>
      </c>
      <c r="K148" s="12" t="n">
        <f aca="false">SUMPRODUCT(($A$12:$A$72&lt;13)*R$12:R$72*$E$12:$E$72*$D$12:$D$72*$B$12:$B$72)+INDEX($E$12:$E$72,13+1)*SUMPRODUCT(($A$12:$A$72&gt;=13)*R$12:R$72*$D$12:$D$72*$B$12:$B$72)</f>
        <v>1290.87345683243</v>
      </c>
      <c r="L148" s="12" t="n">
        <f aca="false">SUMPRODUCT(($A$12:$A$72&lt;14)*R$12:R$72*$E$12:$E$72*$D$12:$D$72*$B$12:$B$72)+INDEX($E$12:$E$72,14+1)*SUMPRODUCT(($A$12:$A$72&gt;=14)*R$12:R$72*$D$12:$D$72*$B$12:$B$72)</f>
        <v>1287.39020914182</v>
      </c>
      <c r="M148" s="12" t="n">
        <f aca="false">SUMPRODUCT(($A$12:$A$72&lt;15)*R$12:R$72*$E$12:$E$72*$D$12:$D$72*$B$12:$B$72)+INDEX($E$12:$E$72,15+1)*SUMPRODUCT(($A$12:$A$72&gt;=15)*R$12:R$72*$D$12:$D$72*$B$12:$B$72)</f>
        <v>1284.34456262044</v>
      </c>
      <c r="N148" s="12" t="n">
        <f aca="false">SUMPRODUCT(($A$12:$A$72&lt;16)*R$12:R$72*$E$12:$E$72*$D$12:$D$72*$B$12:$B$72)+INDEX($E$12:$E$72,16+1)*SUMPRODUCT(($A$12:$A$72&gt;=16)*R$12:R$72*$D$12:$D$72*$B$12:$B$72)</f>
        <v>1281.70247283961</v>
      </c>
      <c r="O148" s="12" t="n">
        <f aca="false">SUMPRODUCT(($A$12:$A$72&lt;17)*R$12:R$72*$E$12:$E$72*$D$12:$D$72*$B$12:$B$72)+INDEX($E$12:$E$72,17+1)*SUMPRODUCT(($A$12:$A$72&gt;=17)*R$12:R$72*$D$12:$D$72*$B$12:$B$72)</f>
        <v>1279.430176405</v>
      </c>
      <c r="P148" s="12" t="n">
        <f aca="false">SUMPRODUCT(($A$12:$A$72&lt;18)*R$12:R$72*$E$12:$E$72*$D$12:$D$72*$B$12:$B$72)+INDEX($E$12:$E$72,18+1)*SUMPRODUCT(($A$12:$A$72&gt;=18)*R$12:R$72*$D$12:$D$72*$B$12:$B$72)</f>
        <v>1277.49450416931</v>
      </c>
      <c r="Q148" s="12" t="n">
        <f aca="false">SUMPRODUCT(($A$12:$A$72&lt;19)*R$12:R$72*$E$12:$E$72*$D$12:$D$72*$B$12:$B$72)+INDEX($E$12:$E$72,19+1)*SUMPRODUCT(($A$12:$A$72&gt;=19)*R$12:R$72*$D$12:$D$72*$B$12:$B$72)</f>
        <v>1275.86267576109</v>
      </c>
    </row>
    <row r="149" customFormat="false" ht="15" hidden="false" customHeight="true" outlineLevel="0" collapsed="false">
      <c r="A149" s="3" t="n">
        <v>72</v>
      </c>
      <c r="B149" s="12" t="n">
        <f aca="false">SUMPRODUCT(($A$12:$A$72&lt;3)*S$12:S$72*$E$12:$E$72*$D$12:$D$72*$B$12:$B$72)+INDEX($E$12:$E$72,3+1)*SUMPRODUCT(($A$12:$A$72&gt;=3)*S$12:S$72*$D$12:$D$72*$B$12:$B$72)</f>
        <v>1304.00958790669</v>
      </c>
      <c r="C149" s="12" t="n">
        <f aca="false">SUMPRODUCT(($A$12:$A$72&lt;4)*S$12:S$72*$E$12:$E$72*$D$12:$D$72*$B$12:$B$72)+INDEX($E$12:$E$72,4+1)*SUMPRODUCT(($A$12:$A$72&gt;=4)*S$12:S$72*$D$12:$D$72*$B$12:$B$72)</f>
        <v>1290.75322157239</v>
      </c>
      <c r="D149" s="12" t="n">
        <f aca="false">SUMPRODUCT(($A$12:$A$72&lt;5)*S$12:S$72*$E$12:$E$72*$D$12:$D$72*$B$12:$B$72)+INDEX($E$12:$E$72,5+1)*SUMPRODUCT(($A$12:$A$72&gt;=5)*S$12:S$72*$D$12:$D$72*$B$12:$B$72)</f>
        <v>1278.61029982214</v>
      </c>
      <c r="E149" s="12" t="n">
        <f aca="false">SUMPRODUCT(($A$12:$A$72&lt;6)*S$12:S$72*$E$12:$E$72*$D$12:$D$72*$B$12:$B$72)+INDEX($E$12:$E$72,6+1)*SUMPRODUCT(($A$12:$A$72&gt;=6)*S$12:S$72*$D$12:$D$72*$B$12:$B$72)</f>
        <v>1271.03164307039</v>
      </c>
      <c r="F149" s="12" t="n">
        <f aca="false">SUMPRODUCT(($A$12:$A$72&lt;7)*S$12:S$72*$E$12:$E$72*$D$12:$D$72*$B$12:$B$72)+INDEX($E$12:$E$72,7+1)*SUMPRODUCT(($A$12:$A$72&gt;=7)*S$12:S$72*$D$12:$D$72*$B$12:$B$72)</f>
        <v>1264.12051779926</v>
      </c>
      <c r="G149" s="12" t="n">
        <f aca="false">SUMPRODUCT(($A$12:$A$72&lt;8)*S$12:S$72*$E$12:$E$72*$D$12:$D$72*$B$12:$B$72)+INDEX($E$12:$E$72,8+1)*SUMPRODUCT(($A$12:$A$72&gt;=8)*S$12:S$72*$D$12:$D$72*$B$12:$B$72)</f>
        <v>1257.84879153952</v>
      </c>
      <c r="H149" s="12" t="n">
        <f aca="false">SUMPRODUCT(($A$12:$A$72&lt;9)*S$12:S$72*$E$12:$E$72*$D$12:$D$72*$B$12:$B$72)+INDEX($E$12:$E$72,9+1)*SUMPRODUCT(($A$12:$A$72&gt;=9)*S$12:S$72*$D$12:$D$72*$B$12:$B$72)</f>
        <v>1252.18716532724</v>
      </c>
      <c r="I149" s="12" t="n">
        <f aca="false">SUMPRODUCT(($A$12:$A$72&lt;10)*S$12:S$72*$E$12:$E$72*$D$12:$D$72*$B$12:$B$72)+INDEX($E$12:$E$72,10+1)*SUMPRODUCT(($A$12:$A$72&gt;=10)*S$12:S$72*$D$12:$D$72*$B$12:$B$72)</f>
        <v>1247.10476552097</v>
      </c>
      <c r="J149" s="12" t="n">
        <f aca="false">SUMPRODUCT(($A$12:$A$72&lt;11)*S$12:S$72*$E$12:$E$72*$D$12:$D$72*$B$12:$B$72)+INDEX($E$12:$E$72,11+1)*SUMPRODUCT(($A$12:$A$72&gt;=11)*S$12:S$72*$D$12:$D$72*$B$12:$B$72)</f>
        <v>1242.56904287936</v>
      </c>
      <c r="K149" s="12" t="n">
        <f aca="false">SUMPRODUCT(($A$12:$A$72&lt;12)*S$12:S$72*$E$12:$E$72*$D$12:$D$72*$B$12:$B$72)+INDEX($E$12:$E$72,12+1)*SUMPRODUCT(($A$12:$A$72&gt;=12)*S$12:S$72*$D$12:$D$72*$B$12:$B$72)</f>
        <v>1238.54825626587</v>
      </c>
      <c r="L149" s="12" t="n">
        <f aca="false">SUMPRODUCT(($A$12:$A$72&lt;13)*S$12:S$72*$E$12:$E$72*$D$12:$D$72*$B$12:$B$72)+INDEX($E$12:$E$72,13+1)*SUMPRODUCT(($A$12:$A$72&gt;=13)*S$12:S$72*$D$12:$D$72*$B$12:$B$72)</f>
        <v>1235.00887669729</v>
      </c>
      <c r="M149" s="12" t="n">
        <f aca="false">SUMPRODUCT(($A$12:$A$72&lt;14)*S$12:S$72*$E$12:$E$72*$D$12:$D$72*$B$12:$B$72)+INDEX($E$12:$E$72,14+1)*SUMPRODUCT(($A$12:$A$72&gt;=14)*S$12:S$72*$D$12:$D$72*$B$12:$B$72)</f>
        <v>1231.91729207892</v>
      </c>
      <c r="N149" s="12" t="n">
        <f aca="false">SUMPRODUCT(($A$12:$A$72&lt;15)*S$12:S$72*$E$12:$E$72*$D$12:$D$72*$B$12:$B$72)+INDEX($E$12:$E$72,15+1)*SUMPRODUCT(($A$12:$A$72&gt;=15)*S$12:S$72*$D$12:$D$72*$B$12:$B$72)</f>
        <v>1229.23931880272</v>
      </c>
      <c r="O149" s="12" t="n">
        <f aca="false">SUMPRODUCT(($A$12:$A$72&lt;16)*S$12:S$72*$E$12:$E$72*$D$12:$D$72*$B$12:$B$72)+INDEX($E$12:$E$72,16+1)*SUMPRODUCT(($A$12:$A$72&gt;=16)*S$12:S$72*$D$12:$D$72*$B$12:$B$72)</f>
        <v>1226.93963322385</v>
      </c>
      <c r="P149" s="12" t="n">
        <f aca="false">SUMPRODUCT(($A$12:$A$72&lt;17)*S$12:S$72*$E$12:$E$72*$D$12:$D$72*$B$12:$B$72)+INDEX($E$12:$E$72,17+1)*SUMPRODUCT(($A$12:$A$72&gt;=17)*S$12:S$72*$D$12:$D$72*$B$12:$B$72)</f>
        <v>1224.98334899401</v>
      </c>
      <c r="Q149" s="12" t="n">
        <f aca="false">SUMPRODUCT(($A$12:$A$72&lt;18)*S$12:S$72*$E$12:$E$72*$D$12:$D$72*$B$12:$B$72)+INDEX($E$12:$E$72,18+1)*SUMPRODUCT(($A$12:$A$72&gt;=18)*S$12:S$72*$D$12:$D$72*$B$12:$B$72)</f>
        <v>1223.33636635704</v>
      </c>
    </row>
    <row r="150" customFormat="false" ht="15" hidden="false" customHeight="true" outlineLevel="0" collapsed="false">
      <c r="A150" s="3" t="n">
        <v>73</v>
      </c>
      <c r="B150" s="12" t="n">
        <f aca="false">SUMPRODUCT(($A$12:$A$72&lt;2)*T$12:T$72*$E$12:$E$72*$D$12:$D$72*$B$12:$B$72)+INDEX($E$12:$E$72,2+1)*SUMPRODUCT(($A$12:$A$72&gt;=2)*T$12:T$72*$D$12:$D$72*$B$12:$B$72)</f>
        <v>1256.94690751791</v>
      </c>
      <c r="C150" s="12" t="n">
        <f aca="false">SUMPRODUCT(($A$12:$A$72&lt;3)*T$12:T$72*$E$12:$E$72*$D$12:$D$72*$B$12:$B$72)+INDEX($E$12:$E$72,3+1)*SUMPRODUCT(($A$12:$A$72&gt;=3)*T$12:T$72*$D$12:$D$72*$B$12:$B$72)</f>
        <v>1243.34435548024</v>
      </c>
      <c r="D150" s="12" t="n">
        <f aca="false">SUMPRODUCT(($A$12:$A$72&lt;4)*T$12:T$72*$E$12:$E$72*$D$12:$D$72*$B$12:$B$72)+INDEX($E$12:$E$72,4+1)*SUMPRODUCT(($A$12:$A$72&gt;=4)*T$12:T$72*$D$12:$D$72*$B$12:$B$72)</f>
        <v>1230.88463398282</v>
      </c>
      <c r="E150" s="12" t="n">
        <f aca="false">SUMPRODUCT(($A$12:$A$72&lt;5)*T$12:T$72*$E$12:$E$72*$D$12:$D$72*$B$12:$B$72)+INDEX($E$12:$E$72,5+1)*SUMPRODUCT(($A$12:$A$72&gt;=5)*T$12:T$72*$D$12:$D$72*$B$12:$B$72)</f>
        <v>1219.52036117528</v>
      </c>
      <c r="F150" s="12" t="n">
        <f aca="false">SUMPRODUCT(($A$12:$A$72&lt;6)*T$12:T$72*$E$12:$E$72*$D$12:$D$72*$B$12:$B$72)+INDEX($E$12:$E$72,6+1)*SUMPRODUCT(($A$12:$A$72&gt;=6)*T$12:T$72*$D$12:$D$72*$B$12:$B$72)</f>
        <v>1212.46092653977</v>
      </c>
      <c r="G150" s="12" t="n">
        <f aca="false">SUMPRODUCT(($A$12:$A$72&lt;7)*T$12:T$72*$E$12:$E$72*$D$12:$D$72*$B$12:$B$72)+INDEX($E$12:$E$72,7+1)*SUMPRODUCT(($A$12:$A$72&gt;=7)*T$12:T$72*$D$12:$D$72*$B$12:$B$72)</f>
        <v>1206.05635224243</v>
      </c>
      <c r="H150" s="12" t="n">
        <f aca="false">SUMPRODUCT(($A$12:$A$72&lt;8)*T$12:T$72*$E$12:$E$72*$D$12:$D$72*$B$12:$B$72)+INDEX($E$12:$E$72,8+1)*SUMPRODUCT(($A$12:$A$72&gt;=8)*T$12:T$72*$D$12:$D$72*$B$12:$B$72)</f>
        <v>1200.27705522734</v>
      </c>
      <c r="I150" s="12" t="n">
        <f aca="false">SUMPRODUCT(($A$12:$A$72&lt;9)*T$12:T$72*$E$12:$E$72*$D$12:$D$72*$B$12:$B$72)+INDEX($E$12:$E$72,9+1)*SUMPRODUCT(($A$12:$A$72&gt;=9)*T$12:T$72*$D$12:$D$72*$B$12:$B$72)</f>
        <v>1195.09168038168</v>
      </c>
      <c r="J150" s="12" t="n">
        <f aca="false">SUMPRODUCT(($A$12:$A$72&lt;10)*T$12:T$72*$E$12:$E$72*$D$12:$D$72*$B$12:$B$72)+INDEX($E$12:$E$72,10+1)*SUMPRODUCT(($A$12:$A$72&gt;=10)*T$12:T$72*$D$12:$D$72*$B$12:$B$72)</f>
        <v>1190.46780459492</v>
      </c>
      <c r="K150" s="12" t="n">
        <f aca="false">SUMPRODUCT(($A$12:$A$72&lt;11)*T$12:T$72*$E$12:$E$72*$D$12:$D$72*$B$12:$B$72)+INDEX($E$12:$E$72,11+1)*SUMPRODUCT(($A$12:$A$72&gt;=11)*T$12:T$72*$D$12:$D$72*$B$12:$B$72)</f>
        <v>1186.37135463893</v>
      </c>
      <c r="L150" s="12" t="n">
        <f aca="false">SUMPRODUCT(($A$12:$A$72&lt;12)*T$12:T$72*$E$12:$E$72*$D$12:$D$72*$B$12:$B$72)+INDEX($E$12:$E$72,12+1)*SUMPRODUCT(($A$12:$A$72&gt;=12)*T$12:T$72*$D$12:$D$72*$B$12:$B$72)</f>
        <v>1182.76904968792</v>
      </c>
      <c r="M150" s="12" t="n">
        <f aca="false">SUMPRODUCT(($A$12:$A$72&lt;13)*T$12:T$72*$E$12:$E$72*$D$12:$D$72*$B$12:$B$72)+INDEX($E$12:$E$72,13+1)*SUMPRODUCT(($A$12:$A$72&gt;=13)*T$12:T$72*$D$12:$D$72*$B$12:$B$72)</f>
        <v>1179.62592739643</v>
      </c>
      <c r="N150" s="12" t="n">
        <f aca="false">SUMPRODUCT(($A$12:$A$72&lt;14)*T$12:T$72*$E$12:$E$72*$D$12:$D$72*$B$12:$B$72)+INDEX($E$12:$E$72,14+1)*SUMPRODUCT(($A$12:$A$72&gt;=14)*T$12:T$72*$D$12:$D$72*$B$12:$B$72)</f>
        <v>1176.90628831087</v>
      </c>
      <c r="O150" s="12" t="n">
        <f aca="false">SUMPRODUCT(($A$12:$A$72&lt;15)*T$12:T$72*$E$12:$E$72*$D$12:$D$72*$B$12:$B$72)+INDEX($E$12:$E$72,15+1)*SUMPRODUCT(($A$12:$A$72&gt;=15)*T$12:T$72*$D$12:$D$72*$B$12:$B$72)</f>
        <v>1174.57454621103</v>
      </c>
      <c r="P150" s="12" t="n">
        <f aca="false">SUMPRODUCT(($A$12:$A$72&lt;16)*T$12:T$72*$E$12:$E$72*$D$12:$D$72*$B$12:$B$72)+INDEX($E$12:$E$72,16+1)*SUMPRODUCT(($A$12:$A$72&gt;=16)*T$12:T$72*$D$12:$D$72*$B$12:$B$72)</f>
        <v>1172.59422255157</v>
      </c>
      <c r="Q150" s="12" t="n">
        <f aca="false">SUMPRODUCT(($A$12:$A$72&lt;17)*T$12:T$72*$E$12:$E$72*$D$12:$D$72*$B$12:$B$72)+INDEX($E$12:$E$72,17+1)*SUMPRODUCT(($A$12:$A$72&gt;=17)*T$12:T$72*$D$12:$D$72*$B$12:$B$72)</f>
        <v>1170.92950590268</v>
      </c>
    </row>
    <row r="151" customFormat="false" ht="15" hidden="false" customHeight="true" outlineLevel="0" collapsed="false">
      <c r="A151" s="3" t="n">
        <v>74</v>
      </c>
      <c r="B151" s="12" t="n">
        <f aca="false">SUMPRODUCT(($A$12:$A$72&lt;1)*U$12:U$72*$E$12:$E$72*$D$12:$D$72*$B$12:$B$72)+INDEX($E$12:$E$72,1+1)*SUMPRODUCT(($A$12:$A$72&gt;=1)*U$12:U$72*$D$12:$D$72*$B$12:$B$72)</f>
        <v>1219.15193229156</v>
      </c>
      <c r="C151" s="12" t="n">
        <f aca="false">SUMPRODUCT(($A$12:$A$72&lt;2)*U$12:U$72*$E$12:$E$72*$D$12:$D$72*$B$12:$B$72)+INDEX($E$12:$E$72,2+1)*SUMPRODUCT(($A$12:$A$72&gt;=2)*U$12:U$72*$D$12:$D$72*$B$12:$B$72)</f>
        <v>1196.15577914828</v>
      </c>
      <c r="D151" s="12" t="n">
        <f aca="false">SUMPRODUCT(($A$12:$A$72&lt;3)*U$12:U$72*$E$12:$E$72*$D$12:$D$72*$B$12:$B$72)+INDEX($E$12:$E$72,3+1)*SUMPRODUCT(($A$12:$A$72&gt;=3)*U$12:U$72*$D$12:$D$72*$B$12:$B$72)</f>
        <v>1183.35576901478</v>
      </c>
      <c r="E151" s="12" t="n">
        <f aca="false">SUMPRODUCT(($A$12:$A$72&lt;4)*U$12:U$72*$E$12:$E$72*$D$12:$D$72*$B$12:$B$72)+INDEX($E$12:$E$72,4+1)*SUMPRODUCT(($A$12:$A$72&gt;=4)*U$12:U$72*$D$12:$D$72*$B$12:$B$72)</f>
        <v>1171.68165698885</v>
      </c>
      <c r="F151" s="12" t="n">
        <f aca="false">SUMPRODUCT(($A$12:$A$72&lt;5)*U$12:U$72*$E$12:$E$72*$D$12:$D$72*$B$12:$B$72)+INDEX($E$12:$E$72,5+1)*SUMPRODUCT(($A$12:$A$72&gt;=5)*U$12:U$72*$D$12:$D$72*$B$12:$B$72)</f>
        <v>1161.08411205129</v>
      </c>
      <c r="G151" s="12" t="n">
        <f aca="false">SUMPRODUCT(($A$12:$A$72&lt;6)*U$12:U$72*$E$12:$E$72*$D$12:$D$72*$B$12:$B$72)+INDEX($E$12:$E$72,6+1)*SUMPRODUCT(($A$12:$A$72&gt;=6)*U$12:U$72*$D$12:$D$72*$B$12:$B$72)</f>
        <v>1154.53496853683</v>
      </c>
      <c r="H151" s="12" t="n">
        <f aca="false">SUMPRODUCT(($A$12:$A$72&lt;7)*U$12:U$72*$E$12:$E$72*$D$12:$D$72*$B$12:$B$72)+INDEX($E$12:$E$72,7+1)*SUMPRODUCT(($A$12:$A$72&gt;=7)*U$12:U$72*$D$12:$D$72*$B$12:$B$72)</f>
        <v>1148.62703516621</v>
      </c>
      <c r="I151" s="12" t="n">
        <f aca="false">SUMPRODUCT(($A$12:$A$72&lt;8)*U$12:U$72*$E$12:$E$72*$D$12:$D$72*$B$12:$B$72)+INDEX($E$12:$E$72,8+1)*SUMPRODUCT(($A$12:$A$72&gt;=8)*U$12:U$72*$D$12:$D$72*$B$12:$B$72)</f>
        <v>1143.32853166118</v>
      </c>
      <c r="J151" s="12" t="n">
        <f aca="false">SUMPRODUCT(($A$12:$A$72&lt;9)*U$12:U$72*$E$12:$E$72*$D$12:$D$72*$B$12:$B$72)+INDEX($E$12:$E$72,9+1)*SUMPRODUCT(($A$12:$A$72&gt;=9)*U$12:U$72*$D$12:$D$72*$B$12:$B$72)</f>
        <v>1138.60643124041</v>
      </c>
      <c r="K151" s="12" t="n">
        <f aca="false">SUMPRODUCT(($A$12:$A$72&lt;10)*U$12:U$72*$E$12:$E$72*$D$12:$D$72*$B$12:$B$72)+INDEX($E$12:$E$72,10+1)*SUMPRODUCT(($A$12:$A$72&gt;=10)*U$12:U$72*$D$12:$D$72*$B$12:$B$72)</f>
        <v>1134.42664129486</v>
      </c>
      <c r="L151" s="12" t="n">
        <f aca="false">SUMPRODUCT(($A$12:$A$72&lt;11)*U$12:U$72*$E$12:$E$72*$D$12:$D$72*$B$12:$B$72)+INDEX($E$12:$E$72,11+1)*SUMPRODUCT(($A$12:$A$72&gt;=11)*U$12:U$72*$D$12:$D$72*$B$12:$B$72)</f>
        <v>1130.75347912038</v>
      </c>
      <c r="M151" s="12" t="n">
        <f aca="false">SUMPRODUCT(($A$12:$A$72&lt;12)*U$12:U$72*$E$12:$E$72*$D$12:$D$72*$B$12:$B$72)+INDEX($E$12:$E$72,12+1)*SUMPRODUCT(($A$12:$A$72&gt;=12)*U$12:U$72*$D$12:$D$72*$B$12:$B$72)</f>
        <v>1127.55207373689</v>
      </c>
      <c r="N151" s="12" t="n">
        <f aca="false">SUMPRODUCT(($A$12:$A$72&lt;13)*U$12:U$72*$E$12:$E$72*$D$12:$D$72*$B$12:$B$72)+INDEX($E$12:$E$72,13+1)*SUMPRODUCT(($A$12:$A$72&gt;=13)*U$12:U$72*$D$12:$D$72*$B$12:$B$72)</f>
        <v>1124.78525107634</v>
      </c>
      <c r="O151" s="12" t="n">
        <f aca="false">SUMPRODUCT(($A$12:$A$72&lt;14)*U$12:U$72*$E$12:$E$72*$D$12:$D$72*$B$12:$B$72)+INDEX($E$12:$E$72,14+1)*SUMPRODUCT(($A$12:$A$72&gt;=14)*U$12:U$72*$D$12:$D$72*$B$12:$B$72)</f>
        <v>1122.41584578098</v>
      </c>
      <c r="P151" s="12" t="n">
        <f aca="false">SUMPRODUCT(($A$12:$A$72&lt;15)*U$12:U$72*$E$12:$E$72*$D$12:$D$72*$B$12:$B$72)+INDEX($E$12:$E$72,15+1)*SUMPRODUCT(($A$12:$A$72&gt;=15)*U$12:U$72*$D$12:$D$72*$B$12:$B$72)</f>
        <v>1120.4069898505</v>
      </c>
      <c r="Q151" s="12" t="n">
        <f aca="false">SUMPRODUCT(($A$12:$A$72&lt;16)*U$12:U$72*$E$12:$E$72*$D$12:$D$72*$B$12:$B$72)+INDEX($E$12:$E$72,16+1)*SUMPRODUCT(($A$12:$A$72&gt;=16)*U$12:U$72*$D$12:$D$72*$B$12:$B$72)</f>
        <v>1118.7212544728</v>
      </c>
    </row>
    <row r="152" customFormat="false" ht="15" hidden="false" customHeight="true" outlineLevel="0" collapsed="false">
      <c r="A152" s="3" t="n">
        <v>75</v>
      </c>
      <c r="C152" s="12" t="n">
        <f aca="false">SUMPRODUCT(($A$12:$A$72&lt;1)*V$12:V$72*$E$12:$E$72*$D$12:$D$72*$B$12:$B$72)+INDEX($E$12:$E$72,1+1)*SUMPRODUCT(($A$12:$A$72&gt;=1)*V$12:V$72*$D$12:$D$72*$B$12:$B$72)</f>
        <v>1157.80290241751</v>
      </c>
      <c r="D152" s="12" t="n">
        <f aca="false">SUMPRODUCT(($A$12:$A$72&lt;2)*V$12:V$72*$E$12:$E$72*$D$12:$D$72*$B$12:$B$72)+INDEX($E$12:$E$72,2+1)*SUMPRODUCT(($A$12:$A$72&gt;=2)*V$12:V$72*$D$12:$D$72*$B$12:$B$72)</f>
        <v>1136.13370125494</v>
      </c>
      <c r="E152" s="12" t="n">
        <f aca="false">SUMPRODUCT(($A$12:$A$72&lt;3)*V$12:V$72*$E$12:$E$72*$D$12:$D$72*$B$12:$B$72)+INDEX($E$12:$E$72,3+1)*SUMPRODUCT(($A$12:$A$72&gt;=3)*V$12:V$72*$D$12:$D$72*$B$12:$B$72)</f>
        <v>1124.12451709716</v>
      </c>
      <c r="F152" s="12" t="n">
        <f aca="false">SUMPRODUCT(($A$12:$A$72&lt;4)*V$12:V$72*$E$12:$E$72*$D$12:$D$72*$B$12:$B$72)+INDEX($E$12:$E$72,4+1)*SUMPRODUCT(($A$12:$A$72&gt;=4)*V$12:V$72*$D$12:$D$72*$B$12:$B$72)</f>
        <v>1113.22356472492</v>
      </c>
      <c r="G152" s="12" t="n">
        <f aca="false">SUMPRODUCT(($A$12:$A$72&lt;5)*V$12:V$72*$E$12:$E$72*$D$12:$D$72*$B$12:$B$72)+INDEX($E$12:$E$72,5+1)*SUMPRODUCT(($A$12:$A$72&gt;=5)*V$12:V$72*$D$12:$D$72*$B$12:$B$72)</f>
        <v>1103.3792889285</v>
      </c>
      <c r="H152" s="12" t="n">
        <f aca="false">SUMPRODUCT(($A$12:$A$72&lt;6)*V$12:V$72*$E$12:$E$72*$D$12:$D$72*$B$12:$B$72)+INDEX($E$12:$E$72,6+1)*SUMPRODUCT(($A$12:$A$72&gt;=6)*V$12:V$72*$D$12:$D$72*$B$12:$B$72)</f>
        <v>1097.33035520976</v>
      </c>
      <c r="I152" s="12" t="n">
        <f aca="false">SUMPRODUCT(($A$12:$A$72&lt;7)*V$12:V$72*$E$12:$E$72*$D$12:$D$72*$B$12:$B$72)+INDEX($E$12:$E$72,7+1)*SUMPRODUCT(($A$12:$A$72&gt;=7)*V$12:V$72*$D$12:$D$72*$B$12:$B$72)</f>
        <v>1091.90727858512</v>
      </c>
      <c r="J152" s="12" t="n">
        <f aca="false">SUMPRODUCT(($A$12:$A$72&lt;8)*V$12:V$72*$E$12:$E$72*$D$12:$D$72*$B$12:$B$72)+INDEX($E$12:$E$72,8+1)*SUMPRODUCT(($A$12:$A$72&gt;=8)*V$12:V$72*$D$12:$D$72*$B$12:$B$72)</f>
        <v>1087.07646895002</v>
      </c>
      <c r="K152" s="12" t="n">
        <f aca="false">SUMPRODUCT(($A$12:$A$72&lt;9)*V$12:V$72*$E$12:$E$72*$D$12:$D$72*$B$12:$B$72)+INDEX($E$12:$E$72,9+1)*SUMPRODUCT(($A$12:$A$72&gt;=9)*V$12:V$72*$D$12:$D$72*$B$12:$B$72)</f>
        <v>1082.8030905088</v>
      </c>
      <c r="L152" s="12" t="n">
        <f aca="false">SUMPRODUCT(($A$12:$A$72&lt;10)*V$12:V$72*$E$12:$E$72*$D$12:$D$72*$B$12:$B$72)+INDEX($E$12:$E$72,10+1)*SUMPRODUCT(($A$12:$A$72&gt;=10)*V$12:V$72*$D$12:$D$72*$B$12:$B$72)</f>
        <v>1079.0512776198</v>
      </c>
      <c r="M152" s="12" t="n">
        <f aca="false">SUMPRODUCT(($A$12:$A$72&lt;11)*V$12:V$72*$E$12:$E$72*$D$12:$D$72*$B$12:$B$72)+INDEX($E$12:$E$72,11+1)*SUMPRODUCT(($A$12:$A$72&gt;=11)*V$12:V$72*$D$12:$D$72*$B$12:$B$72)</f>
        <v>1075.78368009445</v>
      </c>
      <c r="N152" s="12" t="n">
        <f aca="false">SUMPRODUCT(($A$12:$A$72&lt;12)*V$12:V$72*$E$12:$E$72*$D$12:$D$72*$B$12:$B$72)+INDEX($E$12:$E$72,12+1)*SUMPRODUCT(($A$12:$A$72&gt;=12)*V$12:V$72*$D$12:$D$72*$B$12:$B$72)</f>
        <v>1072.96300875441</v>
      </c>
      <c r="O152" s="12" t="n">
        <f aca="false">SUMPRODUCT(($A$12:$A$72&lt;13)*V$12:V$72*$E$12:$E$72*$D$12:$D$72*$B$12:$B$72)+INDEX($E$12:$E$72,13+1)*SUMPRODUCT(($A$12:$A$72&gt;=13)*V$12:V$72*$D$12:$D$72*$B$12:$B$72)</f>
        <v>1070.5505353433</v>
      </c>
      <c r="P152" s="12" t="n">
        <f aca="false">SUMPRODUCT(($A$12:$A$72&lt;14)*V$12:V$72*$E$12:$E$72*$D$12:$D$72*$B$12:$B$72)+INDEX($E$12:$E$72,14+1)*SUMPRODUCT(($A$12:$A$72&gt;=14)*V$12:V$72*$D$12:$D$72*$B$12:$B$72)</f>
        <v>1068.50775035669</v>
      </c>
      <c r="Q152" s="12" t="n">
        <f aca="false">SUMPRODUCT(($A$12:$A$72&lt;15)*V$12:V$72*$E$12:$E$72*$D$12:$D$72*$B$12:$B$72)+INDEX($E$12:$E$72,15+1)*SUMPRODUCT(($A$12:$A$72&gt;=15)*V$12:V$72*$D$12:$D$72*$B$12:$B$72)</f>
        <v>1066.79670758387</v>
      </c>
    </row>
    <row r="153" customFormat="false" ht="15" hidden="false" customHeight="true" outlineLevel="0" collapsed="false">
      <c r="A153" s="3" t="s">
        <v>1681</v>
      </c>
    </row>
    <row r="154" customFormat="false" ht="15" hidden="false" customHeight="true" outlineLevel="0" collapsed="false">
      <c r="A154" s="8" t="s">
        <v>1556</v>
      </c>
      <c r="B154" s="8" t="n">
        <v>75</v>
      </c>
      <c r="C154" s="8" t="n">
        <v>76</v>
      </c>
      <c r="D154" s="8" t="n">
        <v>77</v>
      </c>
      <c r="E154" s="8" t="n">
        <v>78</v>
      </c>
      <c r="F154" s="8" t="n">
        <v>79</v>
      </c>
      <c r="G154" s="8" t="n">
        <v>80</v>
      </c>
      <c r="H154" s="8" t="n">
        <v>81</v>
      </c>
      <c r="I154" s="8" t="n">
        <v>82</v>
      </c>
      <c r="J154" s="8" t="n">
        <v>83</v>
      </c>
      <c r="K154" s="8" t="n">
        <v>84</v>
      </c>
      <c r="L154" s="8" t="n">
        <v>85</v>
      </c>
      <c r="M154" s="8" t="n">
        <v>86</v>
      </c>
      <c r="N154" s="8" t="n">
        <v>87</v>
      </c>
      <c r="O154" s="8" t="n">
        <v>88</v>
      </c>
      <c r="P154" s="8" t="n">
        <v>89</v>
      </c>
      <c r="Q154" s="8" t="n">
        <v>90</v>
      </c>
    </row>
    <row r="155" customFormat="false" ht="15" hidden="false" customHeight="true" outlineLevel="0" collapsed="false">
      <c r="A155" s="3" t="n">
        <v>60</v>
      </c>
      <c r="B155" s="48" t="n">
        <f aca="false">(B119+B137)/(B83*(1-Assumptions!$B$13-B101/B83))</f>
        <v>12764.6075630592</v>
      </c>
      <c r="C155" s="48" t="n">
        <f aca="false">(C119+C137)/(C83*(1-Assumptions!$B$13-C101/C83))</f>
        <v>11267.0959060331</v>
      </c>
      <c r="D155" s="48" t="n">
        <f aca="false">(D119+D137)/(D83*(1-Assumptions!$B$13-D101/D83))</f>
        <v>9963.36065835325</v>
      </c>
      <c r="E155" s="48" t="n">
        <f aca="false">(E119+E137)/(E83*(1-Assumptions!$B$13-E101/E83))</f>
        <v>8817.85519190573</v>
      </c>
      <c r="F155" s="48" t="n">
        <f aca="false">(F119+F137)/(F83*(1-Assumptions!$B$13-F101/F83))</f>
        <v>7804.19899321523</v>
      </c>
      <c r="G155" s="48" t="n">
        <f aca="false">(G119+G137)/(G83*(1-Assumptions!$B$13-G101/G83))</f>
        <v>6901.9599031474</v>
      </c>
      <c r="H155" s="48" t="n">
        <f aca="false">(H119+H137)/(H83*(1-Assumptions!$B$13-H101/H83))</f>
        <v>6095.43565986912</v>
      </c>
      <c r="I155" s="48" t="n">
        <f aca="false">(I119+I137)/(I83*(1-Assumptions!$B$13-I101/I83))</f>
        <v>5372.79556169071</v>
      </c>
      <c r="J155" s="48" t="n">
        <f aca="false">(J119+J137)/(J83*(1-Assumptions!$B$13-J101/J83))</f>
        <v>4723.886075245</v>
      </c>
      <c r="K155" s="48" t="n">
        <f aca="false">(K119+K137)/(K83*(1-Assumptions!$B$13-K101/K83))</f>
        <v>4140.37572022869</v>
      </c>
      <c r="L155" s="48" t="n">
        <f aca="false">(L119+L137)/(L83*(1-Assumptions!$B$13-L101/L83))</f>
        <v>3615.48031809536</v>
      </c>
      <c r="M155" s="48" t="n">
        <f aca="false">(M119+M137)/(M83*(1-Assumptions!$B$13-M101/M83))</f>
        <v>3143.31930297198</v>
      </c>
      <c r="N155" s="48" t="n">
        <f aca="false">(N119+N137)/(N83*(1-Assumptions!$B$13-N101/N83))</f>
        <v>2719.73874714272</v>
      </c>
      <c r="O155" s="48" t="n">
        <f aca="false">(O119+O137)/(O83*(1-Assumptions!$B$13-O101/O83))</f>
        <v>2340.72842709351</v>
      </c>
      <c r="P155" s="48" t="n">
        <f aca="false">(P119+P137)/(P83*(1-Assumptions!$B$13-P101/P83))</f>
        <v>2003.03861944518</v>
      </c>
      <c r="Q155" s="48" t="n">
        <f aca="false">(Q119+Q137)/(Q83*(1-Assumptions!$B$13-Q101/Q83))</f>
        <v>1703.75038328197</v>
      </c>
    </row>
    <row r="156" customFormat="false" ht="15" hidden="false" customHeight="true" outlineLevel="0" collapsed="false">
      <c r="A156" s="3" t="n">
        <v>61</v>
      </c>
      <c r="B156" s="48" t="n">
        <f aca="false">(B120+B138)/(B84*(1-Assumptions!$B$13-B102/B84))</f>
        <v>13737.1279675899</v>
      </c>
      <c r="C156" s="48" t="n">
        <f aca="false">(C120+C138)/(C84*(1-Assumptions!$B$13-C102/C84))</f>
        <v>12056.8746201195</v>
      </c>
      <c r="D156" s="48" t="n">
        <f aca="false">(D120+D138)/(D84*(1-Assumptions!$B$13-D102/D84))</f>
        <v>10609.5602270853</v>
      </c>
      <c r="E156" s="48" t="n">
        <f aca="false">(E120+E138)/(E84*(1-Assumptions!$B$13-E102/E84))</f>
        <v>9350.58283144657</v>
      </c>
      <c r="F156" s="48" t="n">
        <f aca="false">(F120+F138)/(F84*(1-Assumptions!$B$13-F102/F84))</f>
        <v>8245.54203044084</v>
      </c>
      <c r="G156" s="48" t="n">
        <f aca="false">(G120+G138)/(G84*(1-Assumptions!$B$13-G102/G84))</f>
        <v>7268.91544328609</v>
      </c>
      <c r="H156" s="48" t="n">
        <f aca="false">(H120+H138)/(H84*(1-Assumptions!$B$13-H102/H84))</f>
        <v>6400.94243074651</v>
      </c>
      <c r="I156" s="48" t="n">
        <f aca="false">(I120+I138)/(I84*(1-Assumptions!$B$13-I102/I84))</f>
        <v>5627.04120045945</v>
      </c>
      <c r="J156" s="48" t="n">
        <f aca="false">(J120+J138)/(J84*(1-Assumptions!$B$13-J102/J84))</f>
        <v>4935.15071579587</v>
      </c>
      <c r="K156" s="48" t="n">
        <f aca="false">(K120+K138)/(K84*(1-Assumptions!$B$13-K102/K84))</f>
        <v>4315.46011377423</v>
      </c>
      <c r="L156" s="48" t="n">
        <f aca="false">(L120+L138)/(L84*(1-Assumptions!$B$13-L102/L84))</f>
        <v>3759.91336363795</v>
      </c>
      <c r="M156" s="48" t="n">
        <f aca="false">(M120+M138)/(M84*(1-Assumptions!$B$13-M102/M84))</f>
        <v>3261.93878148807</v>
      </c>
      <c r="N156" s="48" t="n">
        <f aca="false">(N120+N138)/(N84*(1-Assumptions!$B$13-N102/N84))</f>
        <v>2816.46926752466</v>
      </c>
      <c r="O156" s="48" t="n">
        <f aca="false">(O120+O138)/(O84*(1-Assumptions!$B$13-O102/O84))</f>
        <v>2419.09709992217</v>
      </c>
      <c r="P156" s="48" t="n">
        <f aca="false">(P120+P138)/(P84*(1-Assumptions!$B$13-P102/P84))</f>
        <v>2065.89363582088</v>
      </c>
      <c r="Q156" s="48" t="n">
        <f aca="false">(Q120+Q138)/(Q84*(1-Assumptions!$B$13-Q102/Q84))</f>
        <v>1753.62834263504</v>
      </c>
    </row>
    <row r="157" customFormat="false" ht="15" hidden="false" customHeight="true" outlineLevel="0" collapsed="false">
      <c r="A157" s="3" t="n">
        <v>62</v>
      </c>
      <c r="B157" s="48" t="n">
        <f aca="false">(B121+B139)/(B85*(1-Assumptions!$B$13-B103/B85))</f>
        <v>14876.3088816784</v>
      </c>
      <c r="C157" s="48" t="n">
        <f aca="false">(C121+C139)/(C85*(1-Assumptions!$B$13-C103/C85))</f>
        <v>12976.0763081411</v>
      </c>
      <c r="D157" s="48" t="n">
        <f aca="false">(D121+D139)/(D85*(1-Assumptions!$B$13-D103/D85))</f>
        <v>11353.5390791595</v>
      </c>
      <c r="E157" s="48" t="n">
        <f aca="false">(E121+E139)/(E85*(1-Assumptions!$B$13-E103/E85))</f>
        <v>9957.06065033109</v>
      </c>
      <c r="F157" s="48" t="n">
        <f aca="false">(F121+F139)/(F85*(1-Assumptions!$B$13-F103/F85))</f>
        <v>8743.51583835704</v>
      </c>
      <c r="G157" s="48" t="n">
        <f aca="false">(G121+G139)/(G85*(1-Assumptions!$B$13-G103/G85))</f>
        <v>7679.65087320603</v>
      </c>
      <c r="H157" s="48" t="n">
        <f aca="false">(H121+H139)/(H85*(1-Assumptions!$B$13-H103/H85))</f>
        <v>6740.80082567773</v>
      </c>
      <c r="I157" s="48" t="n">
        <f aca="false">(I121+I139)/(I85*(1-Assumptions!$B$13-I103/I85))</f>
        <v>5908.52962098901</v>
      </c>
      <c r="J157" s="48" t="n">
        <f aca="false">(J121+J139)/(J85*(1-Assumptions!$B$13-J103/J85))</f>
        <v>5168.06499818854</v>
      </c>
      <c r="K157" s="48" t="n">
        <f aca="false">(K121+K139)/(K85*(1-Assumptions!$B$13-K103/K85))</f>
        <v>4507.7623718441</v>
      </c>
      <c r="L157" s="48" t="n">
        <f aca="false">(L121+L139)/(L85*(1-Assumptions!$B$13-L103/L85))</f>
        <v>3918.14366971014</v>
      </c>
      <c r="M157" s="48" t="n">
        <f aca="false">(M121+M139)/(M85*(1-Assumptions!$B$13-M103/M85))</f>
        <v>3391.41544558996</v>
      </c>
      <c r="N157" s="48" t="n">
        <f aca="false">(N121+N139)/(N85*(1-Assumptions!$B$13-N103/N85))</f>
        <v>2921.88866317804</v>
      </c>
      <c r="O157" s="48" t="n">
        <f aca="false">(O121+O139)/(O85*(1-Assumptions!$B$13-O103/O85))</f>
        <v>2504.23725659317</v>
      </c>
      <c r="P157" s="48" t="n">
        <f aca="false">(P121+P139)/(P85*(1-Assumptions!$B$13-P103/P85))</f>
        <v>2134.14312232963</v>
      </c>
      <c r="Q157" s="48" t="n">
        <f aca="false">(Q121+Q139)/(Q85*(1-Assumptions!$B$13-Q103/Q85))</f>
        <v>1807.72374791139</v>
      </c>
    </row>
    <row r="158" customFormat="false" ht="15" hidden="false" customHeight="true" outlineLevel="0" collapsed="false">
      <c r="A158" s="3" t="n">
        <v>63</v>
      </c>
      <c r="B158" s="48" t="n">
        <f aca="false">(B122+B140)/(B86*(1-Assumptions!$B$13-B104/B86))</f>
        <v>16229.9929029515</v>
      </c>
      <c r="C158" s="48" t="n">
        <f aca="false">(C122+C140)/(C86*(1-Assumptions!$B$13-C104/C86))</f>
        <v>14053.3691104673</v>
      </c>
      <c r="D158" s="48" t="n">
        <f aca="false">(D122+D140)/(D86*(1-Assumptions!$B$13-D104/D86))</f>
        <v>12220.0704123953</v>
      </c>
      <c r="E158" s="48" t="n">
        <f aca="false">(E122+E140)/(E86*(1-Assumptions!$B$13-E104/E86))</f>
        <v>10655.8702940106</v>
      </c>
      <c r="F158" s="48" t="n">
        <f aca="false">(F122+F140)/(F86*(1-Assumptions!$B$13-F104/F86))</f>
        <v>9310.89108079316</v>
      </c>
      <c r="G158" s="48" t="n">
        <f aca="false">(G122+G140)/(G86*(1-Assumptions!$B$13-G104/G86))</f>
        <v>8143.482571104</v>
      </c>
      <c r="H158" s="48" t="n">
        <f aca="false">(H122+H140)/(H86*(1-Assumptions!$B$13-H104/H86))</f>
        <v>7121.53642905011</v>
      </c>
      <c r="I158" s="48" t="n">
        <f aca="false">(I122+I140)/(I86*(1-Assumptions!$B$13-I104/I86))</f>
        <v>6221.96085168554</v>
      </c>
      <c r="J158" s="48" t="n">
        <f aca="false">(J122+J140)/(J86*(1-Assumptions!$B$13-J104/J86))</f>
        <v>5426.20240899131</v>
      </c>
      <c r="K158" s="48" t="n">
        <f aca="false">(K122+K140)/(K86*(1-Assumptions!$B$13-K104/K86))</f>
        <v>4720.01286157966</v>
      </c>
      <c r="L158" s="48" t="n">
        <f aca="false">(L122+L140)/(L86*(1-Assumptions!$B$13-L104/L86))</f>
        <v>4092.15336764399</v>
      </c>
      <c r="M158" s="48" t="n">
        <f aca="false">(M122+M140)/(M86*(1-Assumptions!$B$13-M104/M86))</f>
        <v>3533.46494178845</v>
      </c>
      <c r="N158" s="48" t="n">
        <f aca="false">(N122+N140)/(N86*(1-Assumptions!$B$13-N104/N86))</f>
        <v>3037.13667169489</v>
      </c>
      <c r="O158" s="48" t="n">
        <f aca="false">(O122+O140)/(O86*(1-Assumptions!$B$13-O104/O86))</f>
        <v>2597.19292662428</v>
      </c>
      <c r="P158" s="48" t="n">
        <f aca="false">(P122+P140)/(P86*(1-Assumptions!$B$13-P104/P86))</f>
        <v>2208.43468519311</v>
      </c>
      <c r="Q158" s="48" t="n">
        <f aca="false">(Q122+Q140)/(Q86*(1-Assumptions!$B$13-Q104/Q86))</f>
        <v>1866.59628127117</v>
      </c>
    </row>
    <row r="159" customFormat="false" ht="15" hidden="false" customHeight="true" outlineLevel="0" collapsed="false">
      <c r="A159" s="3" t="n">
        <v>64</v>
      </c>
      <c r="B159" s="48" t="n">
        <f aca="false">(B123+B141)/(B87*(1-Assumptions!$B$13-B105/B87))</f>
        <v>17864.7551366927</v>
      </c>
      <c r="C159" s="48" t="n">
        <f aca="false">(C123+C141)/(C87*(1-Assumptions!$B$13-C105/C87))</f>
        <v>15334.2253099219</v>
      </c>
      <c r="D159" s="48" t="n">
        <f aca="false">(D123+D141)/(D87*(1-Assumptions!$B$13-D105/D87))</f>
        <v>13236.2626622613</v>
      </c>
      <c r="E159" s="48" t="n">
        <f aca="false">(E123+E141)/(E87*(1-Assumptions!$B$13-E105/E87))</f>
        <v>11470.4795543232</v>
      </c>
      <c r="F159" s="48" t="n">
        <f aca="false">(F123+F141)/(F87*(1-Assumptions!$B$13-F105/F87))</f>
        <v>9965.25372565099</v>
      </c>
      <c r="G159" s="48" t="n">
        <f aca="false">(G123+G141)/(G87*(1-Assumptions!$B$13-G105/G87))</f>
        <v>8672.45904618448</v>
      </c>
      <c r="H159" s="48" t="n">
        <f aca="false">(H123+H141)/(H87*(1-Assumptions!$B$13-H105/H87))</f>
        <v>7551.9165154156</v>
      </c>
      <c r="I159" s="48" t="n">
        <f aca="false">(I123+I141)/(I87*(1-Assumptions!$B$13-I105/I87))</f>
        <v>6573.45246448171</v>
      </c>
      <c r="J159" s="48" t="n">
        <f aca="false">(J123+J141)/(J87*(1-Assumptions!$B$13-J105/J87))</f>
        <v>5713.95134370595</v>
      </c>
      <c r="K159" s="48" t="n">
        <f aca="false">(K123+K141)/(K87*(1-Assumptions!$B$13-K105/K87))</f>
        <v>4955.53707025258</v>
      </c>
      <c r="L159" s="48" t="n">
        <f aca="false">(L123+L141)/(L87*(1-Assumptions!$B$13-L105/L87))</f>
        <v>4284.47395223831</v>
      </c>
      <c r="M159" s="48" t="n">
        <f aca="false">(M123+M141)/(M87*(1-Assumptions!$B$13-M105/M87))</f>
        <v>3689.91414582057</v>
      </c>
      <c r="N159" s="48" t="n">
        <f aca="false">(N123+N141)/(N87*(1-Assumptions!$B$13-N105/N87))</f>
        <v>3163.79295612427</v>
      </c>
      <c r="O159" s="48" t="n">
        <f aca="false">(O123+O141)/(O87*(1-Assumptions!$B$13-O105/O87))</f>
        <v>2699.00481373909</v>
      </c>
      <c r="P159" s="48" t="n">
        <f aca="false">(P123+P141)/(P87*(1-Assumptions!$B$13-P105/P87))</f>
        <v>2289.72068311747</v>
      </c>
      <c r="Q159" s="48" t="n">
        <f aca="false">(Q123+Q141)/(Q87*(1-Assumptions!$B$13-Q105/Q87))</f>
        <v>1930.83079125972</v>
      </c>
    </row>
    <row r="160" customFormat="false" ht="15" hidden="false" customHeight="true" outlineLevel="0" collapsed="false">
      <c r="A160" s="3" t="n">
        <v>65</v>
      </c>
      <c r="B160" s="48" t="n">
        <f aca="false">(B124+B142)/(B88*(1-Assumptions!$B$13-B106/B88))</f>
        <v>19867.4551562072</v>
      </c>
      <c r="C160" s="48" t="n">
        <f aca="false">(C124+C142)/(C88*(1-Assumptions!$B$13-C106/C88))</f>
        <v>16881.918374044</v>
      </c>
      <c r="D160" s="48" t="n">
        <f aca="false">(D124+D142)/(D88*(1-Assumptions!$B$13-D106/D88))</f>
        <v>14445.2618440934</v>
      </c>
      <c r="E160" s="48" t="n">
        <f aca="false">(E124+E142)/(E88*(1-Assumptions!$B$13-E106/E88))</f>
        <v>12426.4720958611</v>
      </c>
      <c r="F160" s="48" t="n">
        <f aca="false">(F124+F142)/(F88*(1-Assumptions!$B$13-F106/F88))</f>
        <v>10728.7904974054</v>
      </c>
      <c r="G160" s="48" t="n">
        <f aca="false">(G124+G142)/(G88*(1-Assumptions!$B$13-G106/G88))</f>
        <v>9283.18855253467</v>
      </c>
      <c r="H160" s="48" t="n">
        <f aca="false">(H124+H142)/(H88*(1-Assumptions!$B$13-H106/H88))</f>
        <v>8043.28172289071</v>
      </c>
      <c r="I160" s="48" t="n">
        <f aca="false">(I124+I142)/(I88*(1-Assumptions!$B$13-I106/I88))</f>
        <v>6971.23654643888</v>
      </c>
      <c r="J160" s="48" t="n">
        <f aca="false">(J124+J142)/(J88*(1-Assumptions!$B$13-J106/J88))</f>
        <v>6037.0326317687</v>
      </c>
      <c r="K160" s="48" t="n">
        <f aca="false">(K124+K142)/(K88*(1-Assumptions!$B$13-K106/K88))</f>
        <v>5218.42079352435</v>
      </c>
      <c r="L160" s="48" t="n">
        <f aca="false">(L124+L142)/(L88*(1-Assumptions!$B$13-L106/L88))</f>
        <v>4498.18987022896</v>
      </c>
      <c r="M160" s="48" t="n">
        <f aca="false">(M124+M142)/(M88*(1-Assumptions!$B$13-M106/M88))</f>
        <v>3863.10095727936</v>
      </c>
      <c r="N160" s="48" t="n">
        <f aca="false">(N124+N142)/(N88*(1-Assumptions!$B$13-N106/N88))</f>
        <v>3303.53449112135</v>
      </c>
      <c r="O160" s="48" t="n">
        <f aca="false">(O124+O142)/(O88*(1-Assumptions!$B$13-O106/O88))</f>
        <v>2811.1201863185</v>
      </c>
      <c r="P160" s="48" t="n">
        <f aca="false">(P124+P142)/(P88*(1-Assumptions!$B$13-P106/P88))</f>
        <v>2378.94598882857</v>
      </c>
      <c r="Q160" s="48" t="n">
        <f aca="false">(Q124+Q142)/(Q88*(1-Assumptions!$B$13-Q106/Q88))</f>
        <v>2001.28982625368</v>
      </c>
    </row>
    <row r="161" customFormat="false" ht="15" hidden="false" customHeight="true" outlineLevel="0" collapsed="false">
      <c r="A161" s="3" t="n">
        <v>66</v>
      </c>
      <c r="B161" s="48" t="n">
        <f aca="false">(B125+B143)/(B89*(1-Assumptions!$B$13-B107/B89))</f>
        <v>22385.8902104464</v>
      </c>
      <c r="C161" s="48" t="n">
        <f aca="false">(C125+C143)/(C89*(1-Assumptions!$B$13-C107/C89))</f>
        <v>18778.1836240089</v>
      </c>
      <c r="D161" s="48" t="n">
        <f aca="false">(D125+D143)/(D89*(1-Assumptions!$B$13-D107/D89))</f>
        <v>15906.5458262047</v>
      </c>
      <c r="E161" s="48" t="n">
        <f aca="false">(E125+E143)/(E89*(1-Assumptions!$B$13-E107/E89))</f>
        <v>13564.2721495115</v>
      </c>
      <c r="F161" s="48" t="n">
        <f aca="false">(F125+F143)/(F89*(1-Assumptions!$B$13-F107/F89))</f>
        <v>11625.2423653568</v>
      </c>
      <c r="G161" s="48" t="n">
        <f aca="false">(G125+G143)/(G89*(1-Assumptions!$B$13-G107/G89))</f>
        <v>9996.31480733719</v>
      </c>
      <c r="H161" s="48" t="n">
        <f aca="false">(H125+H143)/(H89*(1-Assumptions!$B$13-H107/H89))</f>
        <v>8611.04657799851</v>
      </c>
      <c r="I161" s="48" t="n">
        <f aca="false">(I125+I143)/(I89*(1-Assumptions!$B$13-I107/I89))</f>
        <v>7425.77238732277</v>
      </c>
      <c r="J161" s="48" t="n">
        <f aca="false">(J125+J143)/(J89*(1-Assumptions!$B$13-J107/J89))</f>
        <v>6402.99928164286</v>
      </c>
      <c r="K161" s="48" t="n">
        <f aca="false">(K125+K143)/(K89*(1-Assumptions!$B$13-K107/K89))</f>
        <v>5513.86903285496</v>
      </c>
      <c r="L161" s="48" t="n">
        <f aca="false">(L125+L143)/(L89*(1-Assumptions!$B$13-L107/L89))</f>
        <v>4736.98568894776</v>
      </c>
      <c r="M161" s="48" t="n">
        <f aca="false">(M125+M143)/(M89*(1-Assumptions!$B$13-M107/M89))</f>
        <v>4055.78699323218</v>
      </c>
      <c r="N161" s="48" t="n">
        <f aca="false">(N125+N143)/(N89*(1-Assumptions!$B$13-N107/N89))</f>
        <v>3458.43928952362</v>
      </c>
      <c r="O161" s="48" t="n">
        <f aca="false">(O125+O143)/(O89*(1-Assumptions!$B$13-O107/O89))</f>
        <v>2935.01197323062</v>
      </c>
      <c r="P161" s="48" t="n">
        <f aca="false">(P125+P143)/(P89*(1-Assumptions!$B$13-P107/P89))</f>
        <v>2477.38079059727</v>
      </c>
      <c r="Q161" s="48" t="n">
        <f aca="false">(Q125+Q143)/(Q89*(1-Assumptions!$B$13-Q107/Q89))</f>
        <v>2078.78677008383</v>
      </c>
    </row>
    <row r="162" customFormat="false" ht="15" hidden="false" customHeight="true" outlineLevel="0" collapsed="false">
      <c r="A162" s="3" t="n">
        <v>67</v>
      </c>
      <c r="B162" s="48" t="n">
        <f aca="false">(B126+B144)/(B90*(1-Assumptions!$B$13-B108/B90))</f>
        <v>25634.6498707404</v>
      </c>
      <c r="C162" s="48" t="n">
        <f aca="false">(C126+C144)/(C90*(1-Assumptions!$B$13-C108/C90))</f>
        <v>21163.855375186</v>
      </c>
      <c r="D162" s="48" t="n">
        <f aca="false">(D126+D144)/(D90*(1-Assumptions!$B$13-D108/D90))</f>
        <v>17697.789014102</v>
      </c>
      <c r="E162" s="48" t="n">
        <f aca="false">(E126+E144)/(E90*(1-Assumptions!$B$13-E108/E90))</f>
        <v>14940.4104201736</v>
      </c>
      <c r="F162" s="48" t="n">
        <f aca="false">(F126+F144)/(F90*(1-Assumptions!$B$13-F108/F90))</f>
        <v>12692.9991685044</v>
      </c>
      <c r="G162" s="48" t="n">
        <f aca="false">(G126+G144)/(G90*(1-Assumptions!$B$13-G108/G90))</f>
        <v>10834.3013997666</v>
      </c>
      <c r="H162" s="48" t="n">
        <f aca="false">(H126+H144)/(H90*(1-Assumptions!$B$13-H108/H90))</f>
        <v>9274.7760778571</v>
      </c>
      <c r="I162" s="48" t="n">
        <f aca="false">(I126+I144)/(I90*(1-Assumptions!$B$13-I108/I90))</f>
        <v>7951.67053445095</v>
      </c>
      <c r="J162" s="48" t="n">
        <f aca="false">(J126+J144)/(J90*(1-Assumptions!$B$13-J108/J90))</f>
        <v>6821.75487159448</v>
      </c>
      <c r="K162" s="48" t="n">
        <f aca="false">(K126+K144)/(K90*(1-Assumptions!$B$13-K108/K90))</f>
        <v>5849.02825738269</v>
      </c>
      <c r="L162" s="48" t="n">
        <f aca="false">(L126+L144)/(L90*(1-Assumptions!$B$13-L108/L90))</f>
        <v>5005.77951968095</v>
      </c>
      <c r="M162" s="48" t="n">
        <f aca="false">(M126+M144)/(M90*(1-Assumptions!$B$13-M108/M90))</f>
        <v>4271.4478823733</v>
      </c>
      <c r="N162" s="48" t="n">
        <f aca="false">(N126+N144)/(N90*(1-Assumptions!$B$13-N108/N90))</f>
        <v>3631.10894586507</v>
      </c>
      <c r="O162" s="48" t="n">
        <f aca="false">(O126+O144)/(O90*(1-Assumptions!$B$13-O108/O90))</f>
        <v>3072.63464682557</v>
      </c>
      <c r="P162" s="48" t="n">
        <f aca="false">(P126+P144)/(P90*(1-Assumptions!$B$13-P108/P90))</f>
        <v>2586.40819108309</v>
      </c>
      <c r="Q162" s="48" t="n">
        <f aca="false">(Q126+Q144)/(Q90*(1-Assumptions!$B$13-Q108/Q90))</f>
        <v>2164.50944620609</v>
      </c>
    </row>
    <row r="163" customFormat="false" ht="15" hidden="false" customHeight="true" outlineLevel="0" collapsed="false">
      <c r="A163" s="3" t="n">
        <v>68</v>
      </c>
      <c r="B163" s="48" t="n">
        <f aca="false">(B127+B145)/(B91*(1-Assumptions!$B$13-B109/B91))</f>
        <v>29977.4836470342</v>
      </c>
      <c r="C163" s="48" t="n">
        <f aca="false">(C127+C145)/(C91*(1-Assumptions!$B$13-C109/C91))</f>
        <v>24242.5443383063</v>
      </c>
      <c r="D163" s="48" t="n">
        <f aca="false">(D127+D145)/(D91*(1-Assumptions!$B$13-D109/D91))</f>
        <v>19952.5287848129</v>
      </c>
      <c r="E163" s="48" t="n">
        <f aca="false">(E127+E145)/(E91*(1-Assumptions!$B$13-E109/E91))</f>
        <v>16628.2171984313</v>
      </c>
      <c r="F163" s="48" t="n">
        <f aca="false">(F127+F145)/(F91*(1-Assumptions!$B$13-F109/F91))</f>
        <v>13985.4018239115</v>
      </c>
      <c r="G163" s="48" t="n">
        <f aca="false">(G127+G145)/(G91*(1-Assumptions!$B$13-G109/G91))</f>
        <v>11833.2971079547</v>
      </c>
      <c r="H163" s="48" t="n">
        <f aca="false">(H127+H145)/(H91*(1-Assumptions!$B$13-H109/H91))</f>
        <v>10055.4828498799</v>
      </c>
      <c r="I163" s="48" t="n">
        <f aca="false">(I127+I145)/(I91*(1-Assumptions!$B$13-I109/I91))</f>
        <v>8567.26910147688</v>
      </c>
      <c r="J163" s="48" t="n">
        <f aca="false">(J127+J145)/(J91*(1-Assumptions!$B$13-J109/J91))</f>
        <v>7306.97766587995</v>
      </c>
      <c r="K163" s="48" t="n">
        <f aca="false">(K127+K145)/(K91*(1-Assumptions!$B$13-K109/K91))</f>
        <v>6233.13650515319</v>
      </c>
      <c r="L163" s="48" t="n">
        <f aca="false">(L127+L145)/(L91*(1-Assumptions!$B$13-L109/L91))</f>
        <v>5311.21691016288</v>
      </c>
      <c r="M163" s="48" t="n">
        <f aca="false">(M127+M145)/(M91*(1-Assumptions!$B$13-M109/M91))</f>
        <v>4514.63427865438</v>
      </c>
      <c r="N163" s="48" t="n">
        <f aca="false">(N127+N145)/(N91*(1-Assumptions!$B$13-N109/N91))</f>
        <v>3824.74387566063</v>
      </c>
      <c r="O163" s="48" t="n">
        <f aca="false">(O127+O145)/(O91*(1-Assumptions!$B$13-O109/O91))</f>
        <v>3226.37320236129</v>
      </c>
      <c r="P163" s="48" t="n">
        <f aca="false">(P127+P145)/(P91*(1-Assumptions!$B$13-P109/P91))</f>
        <v>2707.81096486318</v>
      </c>
      <c r="Q163" s="48" t="n">
        <f aca="false">(Q127+Q145)/(Q91*(1-Assumptions!$B$13-Q109/Q91))</f>
        <v>2259.71056914056</v>
      </c>
    </row>
    <row r="164" customFormat="false" ht="15" hidden="false" customHeight="true" outlineLevel="0" collapsed="false">
      <c r="A164" s="3" t="n">
        <v>69</v>
      </c>
      <c r="B164" s="48" t="n">
        <f aca="false">(B128+B146)/(B92*(1-Assumptions!$B$13-B110/B92))</f>
        <v>36067.627335205</v>
      </c>
      <c r="C164" s="48" t="n">
        <f aca="false">(C128+C146)/(C92*(1-Assumptions!$B$13-C110/C92))</f>
        <v>28359.6092254542</v>
      </c>
      <c r="D164" s="48" t="n">
        <f aca="false">(D128+D146)/(D92*(1-Assumptions!$B$13-D110/D92))</f>
        <v>22863.6519767278</v>
      </c>
      <c r="E164" s="48" t="n">
        <f aca="false">(E128+E146)/(E92*(1-Assumptions!$B$13-E110/E92))</f>
        <v>18754.1040726082</v>
      </c>
      <c r="F164" s="48" t="n">
        <f aca="false">(F128+F146)/(F92*(1-Assumptions!$B$13-F110/F92))</f>
        <v>15571.5605514307</v>
      </c>
      <c r="G164" s="48" t="n">
        <f aca="false">(G128+G146)/(G92*(1-Assumptions!$B$13-G110/G92))</f>
        <v>13043.5432558405</v>
      </c>
      <c r="H164" s="48" t="n">
        <f aca="false">(H128+H146)/(H92*(1-Assumptions!$B$13-H110/H92))</f>
        <v>10987.1425946282</v>
      </c>
      <c r="I164" s="48" t="n">
        <f aca="false">(I128+I146)/(I92*(1-Assumptions!$B$13-I110/I92))</f>
        <v>9292.19760773188</v>
      </c>
      <c r="J164" s="48" t="n">
        <f aca="false">(J128+J146)/(J92*(1-Assumptions!$B$13-J110/J92))</f>
        <v>7875.82973211629</v>
      </c>
      <c r="K164" s="48" t="n">
        <f aca="false">(K128+K146)/(K92*(1-Assumptions!$B$13-K110/K92))</f>
        <v>6678.97933082904</v>
      </c>
      <c r="L164" s="48" t="n">
        <f aca="false">(L128+L146)/(L92*(1-Assumptions!$B$13-L110/L92))</f>
        <v>5661.90272250533</v>
      </c>
      <c r="M164" s="48" t="n">
        <f aca="false">(M128+M146)/(M92*(1-Assumptions!$B$13-M110/M92))</f>
        <v>4791.51720948203</v>
      </c>
      <c r="N164" s="48" t="n">
        <f aca="false">(N128+N146)/(N92*(1-Assumptions!$B$13-N110/N92))</f>
        <v>4043.55310018434</v>
      </c>
      <c r="O164" s="48" t="n">
        <f aca="false">(O128+O146)/(O92*(1-Assumptions!$B$13-O110/O92))</f>
        <v>3399.17501447516</v>
      </c>
      <c r="P164" s="48" t="n">
        <f aca="false">(P128+P146)/(P92*(1-Assumptions!$B$13-P110/P92))</f>
        <v>2843.77639936119</v>
      </c>
      <c r="Q164" s="48" t="n">
        <f aca="false">(Q128+Q146)/(Q92*(1-Assumptions!$B$13-Q110/Q92))</f>
        <v>2366.01749855276</v>
      </c>
    </row>
    <row r="165" customFormat="false" ht="15" hidden="false" customHeight="true" outlineLevel="0" collapsed="false">
      <c r="A165" s="3" t="n">
        <v>70</v>
      </c>
      <c r="B165" s="48" t="n">
        <f aca="false">(B129+B147)/(B93*(1-Assumptions!$B$13-B111/B93))</f>
        <v>45209.157621693</v>
      </c>
      <c r="C165" s="48" t="n">
        <f aca="false">(C129+C147)/(C93*(1-Assumptions!$B$13-C111/C93))</f>
        <v>34135.431376208</v>
      </c>
      <c r="D165" s="48" t="n">
        <f aca="false">(D129+D147)/(D93*(1-Assumptions!$B$13-D111/D93))</f>
        <v>26758.5407666191</v>
      </c>
      <c r="E165" s="48" t="n">
        <f aca="false">(E129+E147)/(E93*(1-Assumptions!$B$13-E111/E93))</f>
        <v>21500.4891819078</v>
      </c>
      <c r="F165" s="48" t="n">
        <f aca="false">(F129+F147)/(F93*(1-Assumptions!$B$13-F111/F93))</f>
        <v>17570.926772369</v>
      </c>
      <c r="G165" s="48" t="n">
        <f aca="false">(G129+G147)/(G93*(1-Assumptions!$B$13-G111/G93))</f>
        <v>14530.0454004539</v>
      </c>
      <c r="H165" s="48" t="n">
        <f aca="false">(H129+H147)/(H93*(1-Assumptions!$B$13-H111/H93))</f>
        <v>12116.977371931</v>
      </c>
      <c r="I165" s="48" t="n">
        <f aca="false">(I129+I147)/(I93*(1-Assumptions!$B$13-I111/I93))</f>
        <v>10158.3299113751</v>
      </c>
      <c r="J165" s="48" t="n">
        <f aca="false">(J129+J147)/(J93*(1-Assumptions!$B$13-J111/J93))</f>
        <v>8546.61184211285</v>
      </c>
      <c r="K165" s="48" t="n">
        <f aca="false">(K129+K147)/(K93*(1-Assumptions!$B$13-K111/K93))</f>
        <v>7202.58044497024</v>
      </c>
      <c r="L165" s="48" t="n">
        <f aca="false">(L129+L147)/(L93*(1-Assumptions!$B$13-L111/L93))</f>
        <v>6069.75659655182</v>
      </c>
      <c r="M165" s="48" t="n">
        <f aca="false">(M129+M147)/(M93*(1-Assumptions!$B$13-M111/M93))</f>
        <v>5110.08839955696</v>
      </c>
      <c r="N165" s="48" t="n">
        <f aca="false">(N129+N147)/(N93*(1-Assumptions!$B$13-N111/N93))</f>
        <v>4293.25196462963</v>
      </c>
      <c r="O165" s="48" t="n">
        <f aca="false">(O129+O147)/(O93*(1-Assumptions!$B$13-O111/O93))</f>
        <v>3594.92237977417</v>
      </c>
      <c r="P165" s="48" t="n">
        <f aca="false">(P129+P147)/(P93*(1-Assumptions!$B$13-P111/P93))</f>
        <v>2997.01055272094</v>
      </c>
      <c r="Q165" s="48" t="n">
        <f aca="false">(Q129+Q147)/(Q93*(1-Assumptions!$B$13-Q111/Q93))</f>
        <v>2485.42877765325</v>
      </c>
    </row>
    <row r="166" customFormat="false" ht="15" hidden="false" customHeight="true" outlineLevel="0" collapsed="false">
      <c r="A166" s="3" t="n">
        <v>71</v>
      </c>
      <c r="B166" s="48" t="n">
        <f aca="false">(B130+B148)/(B94*(1-Assumptions!$B$13-B112/B94))</f>
        <v>60770.4900922817</v>
      </c>
      <c r="C166" s="48" t="n">
        <f aca="false">(C130+C148)/(C94*(1-Assumptions!$B$13-C112/C94))</f>
        <v>42804.6152833273</v>
      </c>
      <c r="D166" s="48" t="n">
        <f aca="false">(D130+D148)/(D94*(1-Assumptions!$B$13-D112/D94))</f>
        <v>32222.8371936227</v>
      </c>
      <c r="E166" s="48" t="n">
        <f aca="false">(E130+E148)/(E94*(1-Assumptions!$B$13-E112/E94))</f>
        <v>25175.4321472212</v>
      </c>
      <c r="F166" s="48" t="n">
        <f aca="false">(F130+F148)/(F94*(1-Assumptions!$B$13-F112/F94))</f>
        <v>20154.4625040551</v>
      </c>
      <c r="G166" s="48" t="n">
        <f aca="false">(G130+G148)/(G94*(1-Assumptions!$B$13-G112/G94))</f>
        <v>16404.5506283455</v>
      </c>
      <c r="H166" s="48" t="n">
        <f aca="false">(H130+H148)/(H94*(1-Assumptions!$B$13-H112/H94))</f>
        <v>13505.3187406606</v>
      </c>
      <c r="I166" s="48" t="n">
        <f aca="false">(I130+I148)/(I94*(1-Assumptions!$B$13-I112/I94))</f>
        <v>11209.4381862047</v>
      </c>
      <c r="J166" s="48" t="n">
        <f aca="false">(J130+J148)/(J94*(1-Assumptions!$B$13-J112/J94))</f>
        <v>9348.75294775919</v>
      </c>
      <c r="K166" s="48" t="n">
        <f aca="false">(K130+K148)/(K94*(1-Assumptions!$B$13-K112/K94))</f>
        <v>7820.63905423189</v>
      </c>
      <c r="L166" s="48" t="n">
        <f aca="false">(L130+L148)/(L94*(1-Assumptions!$B$13-L112/L94))</f>
        <v>6549.44114065594</v>
      </c>
      <c r="M166" s="48" t="n">
        <f aca="false">(M130+M148)/(M94*(1-Assumptions!$B$13-M112/M94))</f>
        <v>5481.21983416321</v>
      </c>
      <c r="N166" s="48" t="n">
        <f aca="false">(N130+N148)/(N94*(1-Assumptions!$B$13-N112/N94))</f>
        <v>4581.07815434294</v>
      </c>
      <c r="O166" s="48" t="n">
        <f aca="false">(O130+O148)/(O94*(1-Assumptions!$B$13-O112/O94))</f>
        <v>3818.76053054858</v>
      </c>
      <c r="P166" s="48" t="n">
        <f aca="false">(P130+P148)/(P94*(1-Assumptions!$B$13-P112/P94))</f>
        <v>3170.9767861409</v>
      </c>
      <c r="Q166" s="48" t="n">
        <f aca="false">(Q130+Q148)/(Q94*(1-Assumptions!$B$13-Q112/Q94))</f>
        <v>2620.33505234528</v>
      </c>
    </row>
    <row r="167" customFormat="false" ht="15" hidden="false" customHeight="true" outlineLevel="0" collapsed="false">
      <c r="A167" s="3" t="n">
        <v>72</v>
      </c>
      <c r="B167" s="48" t="n">
        <f aca="false">(B131+B149)/(B95*(1-Assumptions!$B$13-B113/B95))</f>
        <v>92106.4264889142</v>
      </c>
      <c r="C167" s="48" t="n">
        <f aca="false">(C131+C149)/(C95*(1-Assumptions!$B$13-C113/C95))</f>
        <v>57564.3257808052</v>
      </c>
      <c r="D167" s="48" t="n">
        <f aca="false">(D131+D149)/(D95*(1-Assumptions!$B$13-D113/D95))</f>
        <v>40427.1496144051</v>
      </c>
      <c r="E167" s="48" t="n">
        <f aca="false">(E131+E149)/(E95*(1-Assumptions!$B$13-E113/E95))</f>
        <v>30333.4211354158</v>
      </c>
      <c r="F167" s="48" t="n">
        <f aca="false">(F131+F149)/(F95*(1-Assumptions!$B$13-F113/F95))</f>
        <v>23613.4145124073</v>
      </c>
      <c r="G167" s="48" t="n">
        <f aca="false">(G131+G149)/(G95*(1-Assumptions!$B$13-G113/G95))</f>
        <v>18828.4017733909</v>
      </c>
      <c r="H167" s="48" t="n">
        <f aca="false">(H131+H149)/(H95*(1-Assumptions!$B$13-H113/H95))</f>
        <v>15257.5943555597</v>
      </c>
      <c r="I167" s="48" t="n">
        <f aca="false">(I131+I149)/(I95*(1-Assumptions!$B$13-I113/I95))</f>
        <v>12502.2923335318</v>
      </c>
      <c r="J167" s="48" t="n">
        <f aca="false">(J131+J149)/(J95*(1-Assumptions!$B$13-J113/J95))</f>
        <v>10323.444237584</v>
      </c>
      <c r="K167" s="48" t="n">
        <f aca="false">(K131+K149)/(K95*(1-Assumptions!$B$13-K113/K95))</f>
        <v>8560.82744060197</v>
      </c>
      <c r="L167" s="48" t="n">
        <f aca="false">(L131+L149)/(L95*(1-Assumptions!$B$13-L113/L95))</f>
        <v>7116.60748636341</v>
      </c>
      <c r="M167" s="48" t="n">
        <f aca="false">(M131+M149)/(M95*(1-Assumptions!$B$13-M113/M95))</f>
        <v>5918.65704554088</v>
      </c>
      <c r="N167" s="48" t="n">
        <f aca="false">(N131+N149)/(N95*(1-Assumptions!$B$13-N113/N95))</f>
        <v>4917.22158875404</v>
      </c>
      <c r="O167" s="48" t="n">
        <f aca="false">(O131+O149)/(O95*(1-Assumptions!$B$13-O113/O95))</f>
        <v>4077.47119827668</v>
      </c>
      <c r="P167" s="48" t="n">
        <f aca="false">(P131+P149)/(P95*(1-Assumptions!$B$13-P113/P95))</f>
        <v>3370.4933632676</v>
      </c>
      <c r="Q167" s="48" t="n">
        <f aca="false">(Q131+Q149)/(Q95*(1-Assumptions!$B$13-Q113/Q95))</f>
        <v>2773.97986727729</v>
      </c>
    </row>
    <row r="168" customFormat="false" ht="15" hidden="false" customHeight="true" outlineLevel="0" collapsed="false">
      <c r="A168" s="3" t="n">
        <v>73</v>
      </c>
      <c r="B168" s="48" t="n">
        <f aca="false">(B132+B150)/(B96*(1-Assumptions!$B$13-B114/B96))</f>
        <v>187787.406827397</v>
      </c>
      <c r="C168" s="48" t="n">
        <f aca="false">(C132+C150)/(C96*(1-Assumptions!$B$13-C114/C96))</f>
        <v>87290.8279717308</v>
      </c>
      <c r="D168" s="48" t="n">
        <f aca="false">(D132+D150)/(D96*(1-Assumptions!$B$13-D114/D96))</f>
        <v>54399.1582124625</v>
      </c>
      <c r="E168" s="48" t="n">
        <f aca="false">(E132+E150)/(E96*(1-Assumptions!$B$13-E114/E96))</f>
        <v>38081.2068744905</v>
      </c>
      <c r="F168" s="48" t="n">
        <f aca="false">(F132+F150)/(F96*(1-Assumptions!$B$13-F114/F96))</f>
        <v>28470.8960214279</v>
      </c>
      <c r="G168" s="48" t="n">
        <f aca="false">(G132+G150)/(G96*(1-Assumptions!$B$13-G114/G96))</f>
        <v>22075.7303938884</v>
      </c>
      <c r="H168" s="48" t="n">
        <f aca="false">(H132+H150)/(H96*(1-Assumptions!$B$13-H114/H96))</f>
        <v>17525.2288916143</v>
      </c>
      <c r="I168" s="48" t="n">
        <f aca="false">(I132+I150)/(I96*(1-Assumptions!$B$13-I114/I96))</f>
        <v>14135.7726672311</v>
      </c>
      <c r="J168" s="48" t="n">
        <f aca="false">(J132+J150)/(J96*(1-Assumptions!$B$13-J114/J96))</f>
        <v>11523.6834227448</v>
      </c>
      <c r="K168" s="48" t="n">
        <f aca="false">(K132+K150)/(K96*(1-Assumptions!$B$13-K114/K96))</f>
        <v>9461.56749083423</v>
      </c>
      <c r="L168" s="48" t="n">
        <f aca="false">(L132+L150)/(L96*(1-Assumptions!$B$13-L114/L96))</f>
        <v>7797.00589994595</v>
      </c>
      <c r="M168" s="48" t="n">
        <f aca="false">(M132+M150)/(M96*(1-Assumptions!$B$13-M114/M96))</f>
        <v>6436.86230084591</v>
      </c>
      <c r="N168" s="48" t="n">
        <f aca="false">(N132+N150)/(N96*(1-Assumptions!$B$13-N114/N96))</f>
        <v>5314.39079511079</v>
      </c>
      <c r="O168" s="48" t="n">
        <f aca="false">(O132+O150)/(O96*(1-Assumptions!$B$13-O114/O96))</f>
        <v>4380.4571454769</v>
      </c>
      <c r="P168" s="48" t="n">
        <f aca="false">(P132+P150)/(P96*(1-Assumptions!$B$13-P114/P96))</f>
        <v>3601.79601766409</v>
      </c>
      <c r="Q168" s="48" t="n">
        <f aca="false">(Q132+Q150)/(Q96*(1-Assumptions!$B$13-Q114/Q96))</f>
        <v>2950.77733906803</v>
      </c>
    </row>
    <row r="169" customFormat="false" ht="15" hidden="false" customHeight="true" outlineLevel="0" collapsed="false">
      <c r="A169" s="3" t="n">
        <v>74</v>
      </c>
      <c r="B169" s="48" t="n">
        <f aca="false">(B133+B151)/(B97*(1-Assumptions!$B$13-B115/B97))</f>
        <v>-5335419.92961574</v>
      </c>
      <c r="C169" s="48" t="n">
        <f aca="false">(C133+C151)/(C97*(1-Assumptions!$B$13-C115/C97))</f>
        <v>178070.524813723</v>
      </c>
      <c r="D169" s="48" t="n">
        <f aca="false">(D133+D151)/(D97*(1-Assumptions!$B$13-D115/D97))</f>
        <v>82549.211772709</v>
      </c>
      <c r="E169" s="48" t="n">
        <f aca="false">(E133+E151)/(E97*(1-Assumptions!$B$13-E115/E97))</f>
        <v>51281.1509214731</v>
      </c>
      <c r="F169" s="48" t="n">
        <f aca="false">(F133+F151)/(F97*(1-Assumptions!$B$13-F115/F97))</f>
        <v>35771.4956900923</v>
      </c>
      <c r="G169" s="48" t="n">
        <f aca="false">(G133+G151)/(G97*(1-Assumptions!$B$13-G115/G97))</f>
        <v>26639.1547369941</v>
      </c>
      <c r="H169" s="48" t="n">
        <f aca="false">(H133+H151)/(H97*(1-Assumptions!$B$13-H115/H97))</f>
        <v>20565.7521416719</v>
      </c>
      <c r="I169" s="48" t="n">
        <f aca="false">(I133+I151)/(I97*(1-Assumptions!$B$13-I115/I97))</f>
        <v>16251.8036376167</v>
      </c>
      <c r="J169" s="48" t="n">
        <f aca="false">(J133+J151)/(J97*(1-Assumptions!$B$13-J115/J97))</f>
        <v>13042.0761813274</v>
      </c>
      <c r="K169" s="48" t="n">
        <f aca="false">(K133+K151)/(K97*(1-Assumptions!$B$13-K115/K97))</f>
        <v>10572.2710643806</v>
      </c>
      <c r="L169" s="48" t="n">
        <f aca="false">(L133+L151)/(L97*(1-Assumptions!$B$13-L115/L97))</f>
        <v>8626.42005081913</v>
      </c>
      <c r="M169" s="48" t="n">
        <f aca="false">(M133+M151)/(M97*(1-Assumptions!$B$13-M115/M97))</f>
        <v>7059.75766519752</v>
      </c>
      <c r="N169" s="48" t="n">
        <f aca="false">(N133+N151)/(N97*(1-Assumptions!$B$13-N115/N97))</f>
        <v>5785.94900340539</v>
      </c>
      <c r="O169" s="48" t="n">
        <f aca="false">(O133+O151)/(O97*(1-Assumptions!$B$13-O115/O97))</f>
        <v>4739.45508795212</v>
      </c>
      <c r="P169" s="48" t="n">
        <f aca="false">(P133+P151)/(P97*(1-Assumptions!$B$13-P115/P97))</f>
        <v>3873.54889580268</v>
      </c>
      <c r="Q169" s="48" t="n">
        <f aca="false">(Q133+Q151)/(Q97*(1-Assumptions!$B$13-Q115/Q97))</f>
        <v>3156.45503727832</v>
      </c>
    </row>
    <row r="170" customFormat="false" ht="15" hidden="false" customHeight="true" outlineLevel="0" collapsed="false">
      <c r="A170" s="3" t="n">
        <v>75</v>
      </c>
      <c r="C170" s="48" t="n">
        <f aca="false">(C134+C152)/(C98*(1-Assumptions!$B$13-C116/C98))</f>
        <v>-5057267.0300784</v>
      </c>
      <c r="D170" s="48" t="n">
        <f aca="false">(D134+D152)/(D98*(1-Assumptions!$B$13-D116/D98))</f>
        <v>168568.164225632</v>
      </c>
      <c r="E170" s="48" t="n">
        <f aca="false">(E134+E152)/(E98*(1-Assumptions!$B$13-E116/E98))</f>
        <v>77891.7802208028</v>
      </c>
      <c r="F170" s="48" t="n">
        <f aca="false">(F134+F152)/(F98*(1-Assumptions!$B$13-F116/F98))</f>
        <v>48216.9143981785</v>
      </c>
      <c r="G170" s="48" t="n">
        <f aca="false">(G134+G152)/(G98*(1-Assumptions!$B$13-G116/G98))</f>
        <v>33502.9819309371</v>
      </c>
      <c r="H170" s="48" t="n">
        <f aca="false">(H134+H152)/(H98*(1-Assumptions!$B$13-H116/H98))</f>
        <v>24842.2530418587</v>
      </c>
      <c r="I170" s="48" t="n">
        <f aca="false">(I134+I152)/(I98*(1-Assumptions!$B$13-I116/I98))</f>
        <v>19092.0410737557</v>
      </c>
      <c r="J170" s="48" t="n">
        <f aca="false">(J134+J152)/(J98*(1-Assumptions!$B$13-J116/J98))</f>
        <v>15011.488416309</v>
      </c>
      <c r="K170" s="48" t="n">
        <f aca="false">(K134+K152)/(K98*(1-Assumptions!$B$13-K116/K98))</f>
        <v>11979.5539962027</v>
      </c>
      <c r="L170" s="48" t="n">
        <f aca="false">(L134+L152)/(L98*(1-Assumptions!$B$13-L116/L98))</f>
        <v>9650.86697062688</v>
      </c>
      <c r="M170" s="48" t="n">
        <f aca="false">(M134+M152)/(M98*(1-Assumptions!$B$13-M116/M98))</f>
        <v>7820.62101924409</v>
      </c>
      <c r="N170" s="48" t="n">
        <f aca="false">(N134+N152)/(N98*(1-Assumptions!$B$13-N116/N98))</f>
        <v>6354.10285189818</v>
      </c>
      <c r="O170" s="48" t="n">
        <f aca="false">(O134+O152)/(O98*(1-Assumptions!$B$13-O116/O98))</f>
        <v>5166.81420016679</v>
      </c>
      <c r="P170" s="48" t="n">
        <f aca="false">(P134+P152)/(P98*(1-Assumptions!$B$13-P116/P98))</f>
        <v>4196.5771140833</v>
      </c>
      <c r="Q170" s="48" t="n">
        <f aca="false">(Q134+Q152)/(Q98*(1-Assumptions!$B$13-Q116/Q98))</f>
        <v>3398.98179238256</v>
      </c>
    </row>
    <row r="171" customFormat="false" ht="15" hidden="false" customHeight="true" outlineLevel="0" collapsed="false">
      <c r="A171" s="3" t="s">
        <v>1682</v>
      </c>
    </row>
    <row r="172" customFormat="false" ht="15" hidden="false" customHeight="true" outlineLevel="0" collapsed="false">
      <c r="A172" s="8" t="s">
        <v>1556</v>
      </c>
      <c r="B172" s="8" t="n">
        <v>75</v>
      </c>
      <c r="C172" s="8" t="n">
        <v>76</v>
      </c>
      <c r="D172" s="8" t="n">
        <v>77</v>
      </c>
      <c r="E172" s="8" t="n">
        <v>78</v>
      </c>
      <c r="F172" s="8" t="n">
        <v>79</v>
      </c>
      <c r="G172" s="8" t="n">
        <v>80</v>
      </c>
      <c r="H172" s="8" t="n">
        <v>81</v>
      </c>
      <c r="I172" s="8" t="n">
        <v>82</v>
      </c>
      <c r="J172" s="8" t="n">
        <v>83</v>
      </c>
      <c r="K172" s="8" t="n">
        <v>84</v>
      </c>
      <c r="L172" s="8" t="n">
        <v>85</v>
      </c>
      <c r="M172" s="8" t="n">
        <v>86</v>
      </c>
      <c r="N172" s="8" t="n">
        <v>87</v>
      </c>
      <c r="O172" s="8" t="n">
        <v>88</v>
      </c>
      <c r="P172" s="8" t="n">
        <v>89</v>
      </c>
      <c r="Q172" s="8" t="n">
        <v>90</v>
      </c>
    </row>
    <row r="173" customFormat="false" ht="15" hidden="false" customHeight="true" outlineLevel="0" collapsed="false">
      <c r="A173" s="3" t="n">
        <v>60</v>
      </c>
      <c r="B173" s="48" t="n">
        <f aca="false">B155/12</f>
        <v>1063.7172969216</v>
      </c>
      <c r="C173" s="48" t="n">
        <f aca="false">C155/12</f>
        <v>938.924658836095</v>
      </c>
      <c r="D173" s="48" t="n">
        <f aca="false">D155/12</f>
        <v>830.280054862771</v>
      </c>
      <c r="E173" s="48" t="n">
        <f aca="false">E155/12</f>
        <v>734.821265992144</v>
      </c>
      <c r="F173" s="48" t="n">
        <f aca="false">F155/12</f>
        <v>650.349916101269</v>
      </c>
      <c r="G173" s="48" t="n">
        <f aca="false">G155/12</f>
        <v>575.163325262284</v>
      </c>
      <c r="H173" s="48" t="n">
        <f aca="false">H155/12</f>
        <v>507.95297165576</v>
      </c>
      <c r="I173" s="48" t="n">
        <f aca="false">I155/12</f>
        <v>447.732963474226</v>
      </c>
      <c r="J173" s="48" t="n">
        <f aca="false">J155/12</f>
        <v>393.657172937083</v>
      </c>
      <c r="K173" s="48" t="n">
        <f aca="false">K155/12</f>
        <v>345.031310019058</v>
      </c>
      <c r="L173" s="48" t="n">
        <f aca="false">L155/12</f>
        <v>301.290026507947</v>
      </c>
      <c r="M173" s="48" t="n">
        <f aca="false">M155/12</f>
        <v>261.943275247665</v>
      </c>
      <c r="N173" s="48" t="n">
        <f aca="false">N155/12</f>
        <v>226.644895595227</v>
      </c>
      <c r="O173" s="48" t="n">
        <f aca="false">O155/12</f>
        <v>195.060702257792</v>
      </c>
      <c r="P173" s="48" t="n">
        <f aca="false">P155/12</f>
        <v>166.919884953765</v>
      </c>
      <c r="Q173" s="48" t="n">
        <f aca="false">Q155/12</f>
        <v>141.979198606831</v>
      </c>
    </row>
    <row r="174" customFormat="false" ht="15" hidden="false" customHeight="true" outlineLevel="0" collapsed="false">
      <c r="A174" s="3" t="n">
        <v>61</v>
      </c>
      <c r="B174" s="48" t="n">
        <f aca="false">B156/12</f>
        <v>1144.76066396582</v>
      </c>
      <c r="C174" s="48" t="n">
        <f aca="false">C156/12</f>
        <v>1004.73955167662</v>
      </c>
      <c r="D174" s="48" t="n">
        <f aca="false">D156/12</f>
        <v>884.130018923779</v>
      </c>
      <c r="E174" s="48" t="n">
        <f aca="false">E156/12</f>
        <v>779.215235953881</v>
      </c>
      <c r="F174" s="48" t="n">
        <f aca="false">F156/12</f>
        <v>687.128502536737</v>
      </c>
      <c r="G174" s="48" t="n">
        <f aca="false">G156/12</f>
        <v>605.742953607174</v>
      </c>
      <c r="H174" s="48" t="n">
        <f aca="false">H156/12</f>
        <v>533.411869228876</v>
      </c>
      <c r="I174" s="48" t="n">
        <f aca="false">I156/12</f>
        <v>468.920100038287</v>
      </c>
      <c r="J174" s="48" t="n">
        <f aca="false">J156/12</f>
        <v>411.262559649656</v>
      </c>
      <c r="K174" s="48" t="n">
        <f aca="false">K156/12</f>
        <v>359.621676147853</v>
      </c>
      <c r="L174" s="48" t="n">
        <f aca="false">L156/12</f>
        <v>313.326113636496</v>
      </c>
      <c r="M174" s="48" t="n">
        <f aca="false">M156/12</f>
        <v>271.828231790673</v>
      </c>
      <c r="N174" s="48" t="n">
        <f aca="false">N156/12</f>
        <v>234.705772293722</v>
      </c>
      <c r="O174" s="48" t="n">
        <f aca="false">O156/12</f>
        <v>201.591424993514</v>
      </c>
      <c r="P174" s="48" t="n">
        <f aca="false">P156/12</f>
        <v>172.157802985074</v>
      </c>
      <c r="Q174" s="48" t="n">
        <f aca="false">Q156/12</f>
        <v>146.135695219587</v>
      </c>
    </row>
    <row r="175" customFormat="false" ht="15" hidden="false" customHeight="true" outlineLevel="0" collapsed="false">
      <c r="A175" s="3" t="n">
        <v>62</v>
      </c>
      <c r="B175" s="48" t="n">
        <f aca="false">B157/12</f>
        <v>1239.69240680653</v>
      </c>
      <c r="C175" s="48" t="n">
        <f aca="false">C157/12</f>
        <v>1081.33969234509</v>
      </c>
      <c r="D175" s="48" t="n">
        <f aca="false">D157/12</f>
        <v>946.128256596626</v>
      </c>
      <c r="E175" s="48" t="n">
        <f aca="false">E157/12</f>
        <v>829.755054194258</v>
      </c>
      <c r="F175" s="48" t="n">
        <f aca="false">F157/12</f>
        <v>728.626319863087</v>
      </c>
      <c r="G175" s="48" t="n">
        <f aca="false">G157/12</f>
        <v>639.970906100502</v>
      </c>
      <c r="H175" s="48" t="n">
        <f aca="false">H157/12</f>
        <v>561.73340213981</v>
      </c>
      <c r="I175" s="48" t="n">
        <f aca="false">I157/12</f>
        <v>492.377468415751</v>
      </c>
      <c r="J175" s="48" t="n">
        <f aca="false">J157/12</f>
        <v>430.672083182378</v>
      </c>
      <c r="K175" s="48" t="n">
        <f aca="false">K157/12</f>
        <v>375.646864320341</v>
      </c>
      <c r="L175" s="48" t="n">
        <f aca="false">L157/12</f>
        <v>326.511972475845</v>
      </c>
      <c r="M175" s="48" t="n">
        <f aca="false">M157/12</f>
        <v>282.617953799163</v>
      </c>
      <c r="N175" s="48" t="n">
        <f aca="false">N157/12</f>
        <v>243.490721931503</v>
      </c>
      <c r="O175" s="48" t="n">
        <f aca="false">O157/12</f>
        <v>208.686438049431</v>
      </c>
      <c r="P175" s="48" t="n">
        <f aca="false">P157/12</f>
        <v>177.845260194135</v>
      </c>
      <c r="Q175" s="48" t="n">
        <f aca="false">Q157/12</f>
        <v>150.643645659283</v>
      </c>
    </row>
    <row r="176" customFormat="false" ht="15" hidden="false" customHeight="true" outlineLevel="0" collapsed="false">
      <c r="A176" s="3" t="n">
        <v>63</v>
      </c>
      <c r="B176" s="48" t="n">
        <f aca="false">B158/12</f>
        <v>1352.49940857929</v>
      </c>
      <c r="C176" s="48" t="n">
        <f aca="false">C158/12</f>
        <v>1171.11409253894</v>
      </c>
      <c r="D176" s="48" t="n">
        <f aca="false">D158/12</f>
        <v>1018.33920103294</v>
      </c>
      <c r="E176" s="48" t="n">
        <f aca="false">E158/12</f>
        <v>887.989191167551</v>
      </c>
      <c r="F176" s="48" t="n">
        <f aca="false">F158/12</f>
        <v>775.907590066096</v>
      </c>
      <c r="G176" s="48" t="n">
        <f aca="false">G158/12</f>
        <v>678.623547592</v>
      </c>
      <c r="H176" s="48" t="n">
        <f aca="false">H158/12</f>
        <v>593.461369087509</v>
      </c>
      <c r="I176" s="48" t="n">
        <f aca="false">I158/12</f>
        <v>518.496737640462</v>
      </c>
      <c r="J176" s="48" t="n">
        <f aca="false">J158/12</f>
        <v>452.183534082609</v>
      </c>
      <c r="K176" s="48" t="n">
        <f aca="false">K158/12</f>
        <v>393.334405131639</v>
      </c>
      <c r="L176" s="48" t="n">
        <f aca="false">L158/12</f>
        <v>341.012780636999</v>
      </c>
      <c r="M176" s="48" t="n">
        <f aca="false">M158/12</f>
        <v>294.455411815704</v>
      </c>
      <c r="N176" s="48" t="n">
        <f aca="false">N158/12</f>
        <v>253.094722641241</v>
      </c>
      <c r="O176" s="48" t="n">
        <f aca="false">O158/12</f>
        <v>216.432743885356</v>
      </c>
      <c r="P176" s="48" t="n">
        <f aca="false">P158/12</f>
        <v>184.036223766092</v>
      </c>
      <c r="Q176" s="48" t="n">
        <f aca="false">Q158/12</f>
        <v>155.549690105931</v>
      </c>
    </row>
    <row r="177" customFormat="false" ht="15" hidden="false" customHeight="true" outlineLevel="0" collapsed="false">
      <c r="A177" s="3" t="n">
        <v>64</v>
      </c>
      <c r="B177" s="48" t="n">
        <f aca="false">B159/12</f>
        <v>1488.72959472439</v>
      </c>
      <c r="C177" s="48" t="n">
        <f aca="false">C159/12</f>
        <v>1277.85210916016</v>
      </c>
      <c r="D177" s="48" t="n">
        <f aca="false">D159/12</f>
        <v>1103.02188852178</v>
      </c>
      <c r="E177" s="48" t="n">
        <f aca="false">E159/12</f>
        <v>955.8732961936</v>
      </c>
      <c r="F177" s="48" t="n">
        <f aca="false">F159/12</f>
        <v>830.437810470916</v>
      </c>
      <c r="G177" s="48" t="n">
        <f aca="false">G159/12</f>
        <v>722.704920515373</v>
      </c>
      <c r="H177" s="48" t="n">
        <f aca="false">H159/12</f>
        <v>629.326376284634</v>
      </c>
      <c r="I177" s="48" t="n">
        <f aca="false">I159/12</f>
        <v>547.787705373475</v>
      </c>
      <c r="J177" s="48" t="n">
        <f aca="false">J159/12</f>
        <v>476.162611975496</v>
      </c>
      <c r="K177" s="48" t="n">
        <f aca="false">K159/12</f>
        <v>412.961422521048</v>
      </c>
      <c r="L177" s="48" t="n">
        <f aca="false">L159/12</f>
        <v>357.039496019859</v>
      </c>
      <c r="M177" s="48" t="n">
        <f aca="false">M159/12</f>
        <v>307.492845485048</v>
      </c>
      <c r="N177" s="48" t="n">
        <f aca="false">N159/12</f>
        <v>263.649413010356</v>
      </c>
      <c r="O177" s="48" t="n">
        <f aca="false">O159/12</f>
        <v>224.917067811591</v>
      </c>
      <c r="P177" s="48" t="n">
        <f aca="false">P159/12</f>
        <v>190.810056926456</v>
      </c>
      <c r="Q177" s="48" t="n">
        <f aca="false">Q159/12</f>
        <v>160.90256593831</v>
      </c>
    </row>
    <row r="178" customFormat="false" ht="15" hidden="false" customHeight="true" outlineLevel="0" collapsed="false">
      <c r="A178" s="3" t="n">
        <v>65</v>
      </c>
      <c r="B178" s="48" t="n">
        <f aca="false">B160/12</f>
        <v>1655.62126301727</v>
      </c>
      <c r="C178" s="48" t="n">
        <f aca="false">C160/12</f>
        <v>1406.82653117033</v>
      </c>
      <c r="D178" s="48" t="n">
        <f aca="false">D160/12</f>
        <v>1203.77182034112</v>
      </c>
      <c r="E178" s="48" t="n">
        <f aca="false">E160/12</f>
        <v>1035.53934132176</v>
      </c>
      <c r="F178" s="48" t="n">
        <f aca="false">F160/12</f>
        <v>894.065874783782</v>
      </c>
      <c r="G178" s="48" t="n">
        <f aca="false">G160/12</f>
        <v>773.599046044556</v>
      </c>
      <c r="H178" s="48" t="n">
        <f aca="false">H160/12</f>
        <v>670.27347690756</v>
      </c>
      <c r="I178" s="48" t="n">
        <f aca="false">I160/12</f>
        <v>580.936378869907</v>
      </c>
      <c r="J178" s="48" t="n">
        <f aca="false">J160/12</f>
        <v>503.086052647392</v>
      </c>
      <c r="K178" s="48" t="n">
        <f aca="false">K160/12</f>
        <v>434.868399460363</v>
      </c>
      <c r="L178" s="48" t="n">
        <f aca="false">L160/12</f>
        <v>374.849155852413</v>
      </c>
      <c r="M178" s="48" t="n">
        <f aca="false">M160/12</f>
        <v>321.92507977328</v>
      </c>
      <c r="N178" s="48" t="n">
        <f aca="false">N160/12</f>
        <v>275.294540926779</v>
      </c>
      <c r="O178" s="48" t="n">
        <f aca="false">O160/12</f>
        <v>234.260015526542</v>
      </c>
      <c r="P178" s="48" t="n">
        <f aca="false">P160/12</f>
        <v>198.245499069047</v>
      </c>
      <c r="Q178" s="48" t="n">
        <f aca="false">Q160/12</f>
        <v>166.774152187807</v>
      </c>
    </row>
    <row r="179" customFormat="false" ht="15" hidden="false" customHeight="true" outlineLevel="0" collapsed="false">
      <c r="A179" s="3" t="n">
        <v>66</v>
      </c>
      <c r="B179" s="48" t="n">
        <f aca="false">B161/12</f>
        <v>1865.49085087053</v>
      </c>
      <c r="C179" s="48" t="n">
        <f aca="false">C161/12</f>
        <v>1564.84863533408</v>
      </c>
      <c r="D179" s="48" t="n">
        <f aca="false">D161/12</f>
        <v>1325.54548551706</v>
      </c>
      <c r="E179" s="48" t="n">
        <f aca="false">E161/12</f>
        <v>1130.35601245929</v>
      </c>
      <c r="F179" s="48" t="n">
        <f aca="false">F161/12</f>
        <v>968.770197113063</v>
      </c>
      <c r="G179" s="48" t="n">
        <f aca="false">G161/12</f>
        <v>833.026233944766</v>
      </c>
      <c r="H179" s="48" t="n">
        <f aca="false">H161/12</f>
        <v>717.587214833209</v>
      </c>
      <c r="I179" s="48" t="n">
        <f aca="false">I161/12</f>
        <v>618.814365610231</v>
      </c>
      <c r="J179" s="48" t="n">
        <f aca="false">J161/12</f>
        <v>533.583273470239</v>
      </c>
      <c r="K179" s="48" t="n">
        <f aca="false">K161/12</f>
        <v>459.489086071247</v>
      </c>
      <c r="L179" s="48" t="n">
        <f aca="false">L161/12</f>
        <v>394.748807412313</v>
      </c>
      <c r="M179" s="48" t="n">
        <f aca="false">M161/12</f>
        <v>337.982249436015</v>
      </c>
      <c r="N179" s="48" t="n">
        <f aca="false">N161/12</f>
        <v>288.203274126968</v>
      </c>
      <c r="O179" s="48" t="n">
        <f aca="false">O161/12</f>
        <v>244.584331102551</v>
      </c>
      <c r="P179" s="48" t="n">
        <f aca="false">P161/12</f>
        <v>206.448399216439</v>
      </c>
      <c r="Q179" s="48" t="n">
        <f aca="false">Q161/12</f>
        <v>173.23223084032</v>
      </c>
    </row>
    <row r="180" customFormat="false" ht="15" hidden="false" customHeight="true" outlineLevel="0" collapsed="false">
      <c r="A180" s="3" t="n">
        <v>67</v>
      </c>
      <c r="B180" s="48" t="n">
        <f aca="false">B162/12</f>
        <v>2136.2208225617</v>
      </c>
      <c r="C180" s="48" t="n">
        <f aca="false">C162/12</f>
        <v>1763.65461459883</v>
      </c>
      <c r="D180" s="48" t="n">
        <f aca="false">D162/12</f>
        <v>1474.81575117516</v>
      </c>
      <c r="E180" s="48" t="n">
        <f aca="false">E162/12</f>
        <v>1245.03420168113</v>
      </c>
      <c r="F180" s="48" t="n">
        <f aca="false">F162/12</f>
        <v>1057.7499307087</v>
      </c>
      <c r="G180" s="48" t="n">
        <f aca="false">G162/12</f>
        <v>902.858449980553</v>
      </c>
      <c r="H180" s="48" t="n">
        <f aca="false">H162/12</f>
        <v>772.898006488091</v>
      </c>
      <c r="I180" s="48" t="n">
        <f aca="false">I162/12</f>
        <v>662.639211204246</v>
      </c>
      <c r="J180" s="48" t="n">
        <f aca="false">J162/12</f>
        <v>568.479572632874</v>
      </c>
      <c r="K180" s="48" t="n">
        <f aca="false">K162/12</f>
        <v>487.419021448557</v>
      </c>
      <c r="L180" s="48" t="n">
        <f aca="false">L162/12</f>
        <v>417.148293306745</v>
      </c>
      <c r="M180" s="48" t="n">
        <f aca="false">M162/12</f>
        <v>355.953990197775</v>
      </c>
      <c r="N180" s="48" t="n">
        <f aca="false">N162/12</f>
        <v>302.592412155422</v>
      </c>
      <c r="O180" s="48" t="n">
        <f aca="false">O162/12</f>
        <v>256.052887235464</v>
      </c>
      <c r="P180" s="48" t="n">
        <f aca="false">P162/12</f>
        <v>215.53401592359</v>
      </c>
      <c r="Q180" s="48" t="n">
        <f aca="false">Q162/12</f>
        <v>180.37578718384</v>
      </c>
    </row>
    <row r="181" customFormat="false" ht="15" hidden="false" customHeight="true" outlineLevel="0" collapsed="false">
      <c r="A181" s="3" t="n">
        <v>68</v>
      </c>
      <c r="B181" s="48" t="n">
        <f aca="false">B163/12</f>
        <v>2498.12363725285</v>
      </c>
      <c r="C181" s="48" t="n">
        <f aca="false">C163/12</f>
        <v>2020.2120281922</v>
      </c>
      <c r="D181" s="48" t="n">
        <f aca="false">D163/12</f>
        <v>1662.71073206774</v>
      </c>
      <c r="E181" s="48" t="n">
        <f aca="false">E163/12</f>
        <v>1385.68476653594</v>
      </c>
      <c r="F181" s="48" t="n">
        <f aca="false">F163/12</f>
        <v>1165.45015199262</v>
      </c>
      <c r="G181" s="48" t="n">
        <f aca="false">G163/12</f>
        <v>986.108092329558</v>
      </c>
      <c r="H181" s="48" t="n">
        <f aca="false">H163/12</f>
        <v>837.956904156662</v>
      </c>
      <c r="I181" s="48" t="n">
        <f aca="false">I163/12</f>
        <v>713.93909178974</v>
      </c>
      <c r="J181" s="48" t="n">
        <f aca="false">J163/12</f>
        <v>608.914805489995</v>
      </c>
      <c r="K181" s="48" t="n">
        <f aca="false">K163/12</f>
        <v>519.428042096099</v>
      </c>
      <c r="L181" s="48" t="n">
        <f aca="false">L163/12</f>
        <v>442.60140918024</v>
      </c>
      <c r="M181" s="48" t="n">
        <f aca="false">M163/12</f>
        <v>376.219523221198</v>
      </c>
      <c r="N181" s="48" t="n">
        <f aca="false">N163/12</f>
        <v>318.728656305053</v>
      </c>
      <c r="O181" s="48" t="n">
        <f aca="false">O163/12</f>
        <v>268.864433530107</v>
      </c>
      <c r="P181" s="48" t="n">
        <f aca="false">P163/12</f>
        <v>225.650913738598</v>
      </c>
      <c r="Q181" s="48" t="n">
        <f aca="false">Q163/12</f>
        <v>188.309214095047</v>
      </c>
    </row>
    <row r="182" customFormat="false" ht="15" hidden="false" customHeight="true" outlineLevel="0" collapsed="false">
      <c r="A182" s="3" t="n">
        <v>69</v>
      </c>
      <c r="B182" s="48" t="n">
        <f aca="false">B164/12</f>
        <v>3005.63561126709</v>
      </c>
      <c r="C182" s="48" t="n">
        <f aca="false">C164/12</f>
        <v>2363.30076878785</v>
      </c>
      <c r="D182" s="48" t="n">
        <f aca="false">D164/12</f>
        <v>1905.30433139398</v>
      </c>
      <c r="E182" s="48" t="n">
        <f aca="false">E164/12</f>
        <v>1562.84200605069</v>
      </c>
      <c r="F182" s="48" t="n">
        <f aca="false">F164/12</f>
        <v>1297.63004595255</v>
      </c>
      <c r="G182" s="48" t="n">
        <f aca="false">G164/12</f>
        <v>1086.96193798671</v>
      </c>
      <c r="H182" s="48" t="n">
        <f aca="false">H164/12</f>
        <v>915.595216219013</v>
      </c>
      <c r="I182" s="48" t="n">
        <f aca="false">I164/12</f>
        <v>774.349800644323</v>
      </c>
      <c r="J182" s="48" t="n">
        <f aca="false">J164/12</f>
        <v>656.319144343024</v>
      </c>
      <c r="K182" s="48" t="n">
        <f aca="false">K164/12</f>
        <v>556.58161090242</v>
      </c>
      <c r="L182" s="48" t="n">
        <f aca="false">L164/12</f>
        <v>471.825226875444</v>
      </c>
      <c r="M182" s="48" t="n">
        <f aca="false">M164/12</f>
        <v>399.293100790169</v>
      </c>
      <c r="N182" s="48" t="n">
        <f aca="false">N164/12</f>
        <v>336.962758348695</v>
      </c>
      <c r="O182" s="48" t="n">
        <f aca="false">O164/12</f>
        <v>283.264584539597</v>
      </c>
      <c r="P182" s="48" t="n">
        <f aca="false">P164/12</f>
        <v>236.981366613433</v>
      </c>
      <c r="Q182" s="48" t="n">
        <f aca="false">Q164/12</f>
        <v>197.168124879397</v>
      </c>
    </row>
    <row r="183" customFormat="false" ht="15" hidden="false" customHeight="true" outlineLevel="0" collapsed="false">
      <c r="A183" s="3" t="n">
        <v>70</v>
      </c>
      <c r="B183" s="48" t="n">
        <f aca="false">B165/12</f>
        <v>3767.42980180775</v>
      </c>
      <c r="C183" s="48" t="n">
        <f aca="false">C165/12</f>
        <v>2844.61928135067</v>
      </c>
      <c r="D183" s="48" t="n">
        <f aca="false">D165/12</f>
        <v>2229.87839721826</v>
      </c>
      <c r="E183" s="48" t="n">
        <f aca="false">E165/12</f>
        <v>1791.70743182565</v>
      </c>
      <c r="F183" s="48" t="n">
        <f aca="false">F165/12</f>
        <v>1464.24389769742</v>
      </c>
      <c r="G183" s="48" t="n">
        <f aca="false">G165/12</f>
        <v>1210.83711670449</v>
      </c>
      <c r="H183" s="48" t="n">
        <f aca="false">H165/12</f>
        <v>1009.74811432758</v>
      </c>
      <c r="I183" s="48" t="n">
        <f aca="false">I165/12</f>
        <v>846.527492614591</v>
      </c>
      <c r="J183" s="48" t="n">
        <f aca="false">J165/12</f>
        <v>712.217653509404</v>
      </c>
      <c r="K183" s="48" t="n">
        <f aca="false">K165/12</f>
        <v>600.215037080854</v>
      </c>
      <c r="L183" s="48" t="n">
        <f aca="false">L165/12</f>
        <v>505.813049712652</v>
      </c>
      <c r="M183" s="48" t="n">
        <f aca="false">M165/12</f>
        <v>425.84069996308</v>
      </c>
      <c r="N183" s="48" t="n">
        <f aca="false">N165/12</f>
        <v>357.770997052469</v>
      </c>
      <c r="O183" s="48" t="n">
        <f aca="false">O165/12</f>
        <v>299.576864981181</v>
      </c>
      <c r="P183" s="48" t="n">
        <f aca="false">P165/12</f>
        <v>249.750879393412</v>
      </c>
      <c r="Q183" s="48" t="n">
        <f aca="false">Q165/12</f>
        <v>207.119064804438</v>
      </c>
    </row>
    <row r="184" customFormat="false" ht="15" hidden="false" customHeight="true" outlineLevel="0" collapsed="false">
      <c r="A184" s="3" t="n">
        <v>71</v>
      </c>
      <c r="B184" s="48" t="n">
        <f aca="false">B166/12</f>
        <v>5064.20750769014</v>
      </c>
      <c r="C184" s="48" t="n">
        <f aca="false">C166/12</f>
        <v>3567.05127361061</v>
      </c>
      <c r="D184" s="48" t="n">
        <f aca="false">D166/12</f>
        <v>2685.23643280189</v>
      </c>
      <c r="E184" s="48" t="n">
        <f aca="false">E166/12</f>
        <v>2097.9526789351</v>
      </c>
      <c r="F184" s="48" t="n">
        <f aca="false">F166/12</f>
        <v>1679.53854200459</v>
      </c>
      <c r="G184" s="48" t="n">
        <f aca="false">G166/12</f>
        <v>1367.04588569546</v>
      </c>
      <c r="H184" s="48" t="n">
        <f aca="false">H166/12</f>
        <v>1125.44322838839</v>
      </c>
      <c r="I184" s="48" t="n">
        <f aca="false">I166/12</f>
        <v>934.119848850393</v>
      </c>
      <c r="J184" s="48" t="n">
        <f aca="false">J166/12</f>
        <v>779.062745646599</v>
      </c>
      <c r="K184" s="48" t="n">
        <f aca="false">K166/12</f>
        <v>651.719921185991</v>
      </c>
      <c r="L184" s="48" t="n">
        <f aca="false">L166/12</f>
        <v>545.786761721329</v>
      </c>
      <c r="M184" s="48" t="n">
        <f aca="false">M166/12</f>
        <v>456.768319513601</v>
      </c>
      <c r="N184" s="48" t="n">
        <f aca="false">N166/12</f>
        <v>381.756512861912</v>
      </c>
      <c r="O184" s="48" t="n">
        <f aca="false">O166/12</f>
        <v>318.230044212382</v>
      </c>
      <c r="P184" s="48" t="n">
        <f aca="false">P166/12</f>
        <v>264.248065511742</v>
      </c>
      <c r="Q184" s="48" t="n">
        <f aca="false">Q166/12</f>
        <v>218.361254362107</v>
      </c>
    </row>
    <row r="185" customFormat="false" ht="15" hidden="false" customHeight="true" outlineLevel="0" collapsed="false">
      <c r="A185" s="3" t="n">
        <v>72</v>
      </c>
      <c r="B185" s="48" t="n">
        <f aca="false">B167/12</f>
        <v>7675.53554074285</v>
      </c>
      <c r="C185" s="48" t="n">
        <f aca="false">C167/12</f>
        <v>4797.02714840043</v>
      </c>
      <c r="D185" s="48" t="n">
        <f aca="false">D167/12</f>
        <v>3368.92913453375</v>
      </c>
      <c r="E185" s="48" t="n">
        <f aca="false">E167/12</f>
        <v>2527.78509461798</v>
      </c>
      <c r="F185" s="48" t="n">
        <f aca="false">F167/12</f>
        <v>1967.78454270061</v>
      </c>
      <c r="G185" s="48" t="n">
        <f aca="false">G167/12</f>
        <v>1569.03348111591</v>
      </c>
      <c r="H185" s="48" t="n">
        <f aca="false">H167/12</f>
        <v>1271.46619629664</v>
      </c>
      <c r="I185" s="48" t="n">
        <f aca="false">I167/12</f>
        <v>1041.85769446099</v>
      </c>
      <c r="J185" s="48" t="n">
        <f aca="false">J167/12</f>
        <v>860.287019798666</v>
      </c>
      <c r="K185" s="48" t="n">
        <f aca="false">K167/12</f>
        <v>713.402286716831</v>
      </c>
      <c r="L185" s="48" t="n">
        <f aca="false">L167/12</f>
        <v>593.050623863618</v>
      </c>
      <c r="M185" s="48" t="n">
        <f aca="false">M167/12</f>
        <v>493.22142046174</v>
      </c>
      <c r="N185" s="48" t="n">
        <f aca="false">N167/12</f>
        <v>409.768465729504</v>
      </c>
      <c r="O185" s="48" t="n">
        <f aca="false">O167/12</f>
        <v>339.789266523057</v>
      </c>
      <c r="P185" s="48" t="n">
        <f aca="false">P167/12</f>
        <v>280.874446938966</v>
      </c>
      <c r="Q185" s="48" t="n">
        <f aca="false">Q167/12</f>
        <v>231.164988939774</v>
      </c>
    </row>
    <row r="186" customFormat="false" ht="15" hidden="false" customHeight="true" outlineLevel="0" collapsed="false">
      <c r="A186" s="3" t="n">
        <v>73</v>
      </c>
      <c r="B186" s="48" t="n">
        <f aca="false">B168/12</f>
        <v>15648.9505689497</v>
      </c>
      <c r="C186" s="48" t="n">
        <f aca="false">C168/12</f>
        <v>7274.2356643109</v>
      </c>
      <c r="D186" s="48" t="n">
        <f aca="false">D168/12</f>
        <v>4533.26318437187</v>
      </c>
      <c r="E186" s="48" t="n">
        <f aca="false">E168/12</f>
        <v>3173.43390620754</v>
      </c>
      <c r="F186" s="48" t="n">
        <f aca="false">F168/12</f>
        <v>2372.57466845232</v>
      </c>
      <c r="G186" s="48" t="n">
        <f aca="false">G168/12</f>
        <v>1839.6441994907</v>
      </c>
      <c r="H186" s="48" t="n">
        <f aca="false">H168/12</f>
        <v>1460.43574096785</v>
      </c>
      <c r="I186" s="48" t="n">
        <f aca="false">I168/12</f>
        <v>1177.98105560259</v>
      </c>
      <c r="J186" s="48" t="n">
        <f aca="false">J168/12</f>
        <v>960.306951895398</v>
      </c>
      <c r="K186" s="48" t="n">
        <f aca="false">K168/12</f>
        <v>788.463957569519</v>
      </c>
      <c r="L186" s="48" t="n">
        <f aca="false">L168/12</f>
        <v>649.750491662162</v>
      </c>
      <c r="M186" s="48" t="n">
        <f aca="false">M168/12</f>
        <v>536.405191737159</v>
      </c>
      <c r="N186" s="48" t="n">
        <f aca="false">N168/12</f>
        <v>442.865899592566</v>
      </c>
      <c r="O186" s="48" t="n">
        <f aca="false">O168/12</f>
        <v>365.038095456408</v>
      </c>
      <c r="P186" s="48" t="n">
        <f aca="false">P168/12</f>
        <v>300.149668138674</v>
      </c>
      <c r="Q186" s="48" t="n">
        <f aca="false">Q168/12</f>
        <v>245.898111589003</v>
      </c>
    </row>
    <row r="187" customFormat="false" ht="15" hidden="false" customHeight="true" outlineLevel="0" collapsed="false">
      <c r="A187" s="3" t="n">
        <v>74</v>
      </c>
      <c r="B187" s="48" t="n">
        <f aca="false">B169/12</f>
        <v>-444618.327467978</v>
      </c>
      <c r="C187" s="48" t="n">
        <f aca="false">C169/12</f>
        <v>14839.2104011436</v>
      </c>
      <c r="D187" s="48" t="n">
        <f aca="false">D169/12</f>
        <v>6879.10098105908</v>
      </c>
      <c r="E187" s="48" t="n">
        <f aca="false">E169/12</f>
        <v>4273.42924345609</v>
      </c>
      <c r="F187" s="48" t="n">
        <f aca="false">F169/12</f>
        <v>2980.95797417436</v>
      </c>
      <c r="G187" s="48" t="n">
        <f aca="false">G169/12</f>
        <v>2219.92956141617</v>
      </c>
      <c r="H187" s="48" t="n">
        <f aca="false">H169/12</f>
        <v>1713.81267847265</v>
      </c>
      <c r="I187" s="48" t="n">
        <f aca="false">I169/12</f>
        <v>1354.31696980139</v>
      </c>
      <c r="J187" s="48" t="n">
        <f aca="false">J169/12</f>
        <v>1086.83968177728</v>
      </c>
      <c r="K187" s="48" t="n">
        <f aca="false">K169/12</f>
        <v>881.022588698381</v>
      </c>
      <c r="L187" s="48" t="n">
        <f aca="false">L169/12</f>
        <v>718.868337568261</v>
      </c>
      <c r="M187" s="48" t="n">
        <f aca="false">M169/12</f>
        <v>588.31313876646</v>
      </c>
      <c r="N187" s="48" t="n">
        <f aca="false">N169/12</f>
        <v>482.162416950449</v>
      </c>
      <c r="O187" s="48" t="n">
        <f aca="false">O169/12</f>
        <v>394.954590662676</v>
      </c>
      <c r="P187" s="48" t="n">
        <f aca="false">P169/12</f>
        <v>322.79574131689</v>
      </c>
      <c r="Q187" s="48" t="n">
        <f aca="false">Q169/12</f>
        <v>263.037919773193</v>
      </c>
    </row>
    <row r="188" customFormat="false" ht="15" hidden="false" customHeight="true" outlineLevel="0" collapsed="false">
      <c r="A188" s="3" t="n">
        <v>75</v>
      </c>
      <c r="C188" s="48" t="n">
        <f aca="false">C170/12</f>
        <v>-421438.9191732</v>
      </c>
      <c r="D188" s="48" t="n">
        <f aca="false">D170/12</f>
        <v>14047.3470188026</v>
      </c>
      <c r="E188" s="48" t="n">
        <f aca="false">E170/12</f>
        <v>6490.9816850669</v>
      </c>
      <c r="F188" s="48" t="n">
        <f aca="false">F170/12</f>
        <v>4018.07619984821</v>
      </c>
      <c r="G188" s="48" t="n">
        <f aca="false">G170/12</f>
        <v>2791.91516091142</v>
      </c>
      <c r="H188" s="48" t="n">
        <f aca="false">H170/12</f>
        <v>2070.18775348822</v>
      </c>
      <c r="I188" s="48" t="n">
        <f aca="false">I170/12</f>
        <v>1591.00342281298</v>
      </c>
      <c r="J188" s="48" t="n">
        <f aca="false">J170/12</f>
        <v>1250.95736802575</v>
      </c>
      <c r="K188" s="48" t="n">
        <f aca="false">K170/12</f>
        <v>998.296166350227</v>
      </c>
      <c r="L188" s="48" t="n">
        <f aca="false">L170/12</f>
        <v>804.238914218907</v>
      </c>
      <c r="M188" s="48" t="n">
        <f aca="false">M170/12</f>
        <v>651.718418270341</v>
      </c>
      <c r="N188" s="48" t="n">
        <f aca="false">N170/12</f>
        <v>529.508570991515</v>
      </c>
      <c r="O188" s="48" t="n">
        <f aca="false">O170/12</f>
        <v>430.567850013899</v>
      </c>
      <c r="P188" s="48" t="n">
        <f aca="false">P170/12</f>
        <v>349.714759506942</v>
      </c>
      <c r="Q188" s="48" t="n">
        <f aca="false">Q170/12</f>
        <v>283.248482698547</v>
      </c>
    </row>
    <row r="190" customFormat="false" ht="15" hidden="false" customHeight="true" outlineLevel="0" collapsed="false">
      <c r="A190" s="6" t="s">
        <v>1683</v>
      </c>
    </row>
    <row r="191" customFormat="false" ht="15" hidden="false" customHeight="true" outlineLevel="0" collapsed="false">
      <c r="A191" s="7" t="s">
        <v>1684</v>
      </c>
    </row>
    <row r="192" customFormat="false" ht="15" hidden="false" customHeight="true" outlineLevel="0" collapsed="false">
      <c r="A192" s="7" t="s">
        <v>1685</v>
      </c>
      <c r="B192" s="48" t="n">
        <f aca="false">G160</f>
        <v>9283.18855253467</v>
      </c>
    </row>
    <row r="193" customFormat="false" ht="15" hidden="false" customHeight="true" outlineLevel="0" collapsed="false">
      <c r="A193" s="1" t="s">
        <v>1686</v>
      </c>
      <c r="B193" s="50" t="n">
        <f aca="false">G124*Assumptions!$B$9/$B$5</f>
        <v>106683.779346131</v>
      </c>
    </row>
    <row r="194" customFormat="false" ht="15" hidden="false" customHeight="true" outlineLevel="0" collapsed="false">
      <c r="A194" s="1" t="s">
        <v>1687</v>
      </c>
      <c r="B194" s="50" t="n">
        <f aca="false">G142</f>
        <v>1622.98416087547</v>
      </c>
    </row>
    <row r="195" customFormat="false" ht="15" hidden="false" customHeight="true" outlineLevel="0" collapsed="false">
      <c r="A195" s="1" t="s">
        <v>1688</v>
      </c>
      <c r="B195" s="49" t="n">
        <f aca="false">(B193+B194)/(G88*(1-Assumptions!$B$13-G106/G88))</f>
        <v>12316.0657114102</v>
      </c>
    </row>
    <row r="196" customFormat="false" ht="15" hidden="false" customHeight="true" outlineLevel="0" collapsed="false">
      <c r="A196" s="3" t="s">
        <v>1689</v>
      </c>
      <c r="B196" s="50" t="n">
        <f aca="false">Pricing!B14</f>
        <v>12316.0657114102</v>
      </c>
    </row>
    <row r="197" customFormat="false" ht="15" hidden="false" customHeight="true" outlineLevel="0" collapsed="false">
      <c r="A197" s="1" t="s">
        <v>1690</v>
      </c>
      <c r="B197" s="27" t="n">
        <f aca="false">B195-B196</f>
        <v>0</v>
      </c>
    </row>
    <row r="198" customFormat="false" ht="15" hidden="false" customHeight="true" outlineLevel="0" collapsed="false">
      <c r="A198" s="3" t="s">
        <v>458</v>
      </c>
      <c r="B198" s="28" t="str">
        <f aca="false">IF(ABS(B197)&lt;0.05,"PASS — the surface reproduces the central case exactly","FAIL")</f>
        <v>PASS — the surface reproduces the central case exactly</v>
      </c>
    </row>
    <row r="200" customFormat="false" ht="15" hidden="false" customHeight="true" outlineLevel="0" collapsed="false">
      <c r="A200" s="3" t="s">
        <v>1691</v>
      </c>
    </row>
    <row r="201" customFormat="false" ht="15" hidden="false" customHeight="true" outlineLevel="0" collapsed="false">
      <c r="A201" s="1" t="s">
        <v>1677</v>
      </c>
      <c r="B201" s="32" t="n">
        <f aca="false">G88</f>
        <v>10.5912409489156</v>
      </c>
      <c r="C201" s="32" t="n">
        <f aca="false">Pricing!B5</f>
        <v>10.5912409489156</v>
      </c>
      <c r="D201" s="27" t="n">
        <f aca="false">B201-C201</f>
        <v>0</v>
      </c>
    </row>
    <row r="202" customFormat="false" ht="15" hidden="false" customHeight="true" outlineLevel="0" collapsed="false">
      <c r="A202" s="1" t="s">
        <v>1678</v>
      </c>
      <c r="B202" s="32" t="n">
        <f aca="false">G106</f>
        <v>1.47956204744578</v>
      </c>
      <c r="C202" s="32" t="n">
        <f aca="false">Commission_Models!B74</f>
        <v>1.47956204744578</v>
      </c>
      <c r="D202" s="27" t="n">
        <f aca="false">B202-C202</f>
        <v>0</v>
      </c>
    </row>
    <row r="203" customFormat="false" ht="15" hidden="false" customHeight="true" outlineLevel="0" collapsed="false">
      <c r="A203" s="1" t="s">
        <v>1680</v>
      </c>
      <c r="B203" s="32" t="n">
        <f aca="false">G142</f>
        <v>1622.98416087547</v>
      </c>
      <c r="C203" s="32" t="n">
        <f aca="false">Pricing!B9</f>
        <v>1622.98416087547</v>
      </c>
      <c r="D203" s="27" t="n">
        <f aca="false">B203-C203</f>
        <v>0</v>
      </c>
    </row>
    <row r="204" customFormat="false" ht="15" hidden="false" customHeight="true" outlineLevel="0" collapsed="false">
      <c r="A204" s="1" t="s">
        <v>1692</v>
      </c>
      <c r="B204" s="48" t="n">
        <f aca="false">B193</f>
        <v>106683.779346131</v>
      </c>
      <c r="C204" s="48" t="n">
        <f aca="false">Pricing!B8</f>
        <v>106683.779346131</v>
      </c>
      <c r="D204" s="27" t="n">
        <f aca="false">B204-C204</f>
        <v>0</v>
      </c>
    </row>
    <row r="206" customFormat="false" ht="15" hidden="false" customHeight="true" outlineLevel="0" collapsed="false">
      <c r="A206" s="6" t="s">
        <v>1693</v>
      </c>
    </row>
    <row r="207" customFormat="false" ht="15" hidden="false" customHeight="true" outlineLevel="0" collapsed="false">
      <c r="A207" s="7" t="s">
        <v>1694</v>
      </c>
    </row>
    <row r="208" customFormat="false" ht="15" hidden="false" customHeight="true" outlineLevel="0" collapsed="false">
      <c r="A208" s="7" t="s">
        <v>1695</v>
      </c>
    </row>
    <row r="230" customFormat="false" ht="15" hidden="false" customHeight="true" outlineLevel="0" collapsed="false">
      <c r="A230" s="6" t="s">
        <v>1696</v>
      </c>
    </row>
    <row r="231" customFormat="false" ht="15" hidden="false" customHeight="true" outlineLevel="0" collapsed="false">
      <c r="A231" s="7" t="s">
        <v>1697</v>
      </c>
    </row>
    <row r="232" customFormat="false" ht="15" hidden="false" customHeight="true" outlineLevel="0" collapsed="false">
      <c r="A232" s="7" t="s">
        <v>1698</v>
      </c>
    </row>
    <row r="234" customFormat="false" ht="15" hidden="false" customHeight="true" outlineLevel="0" collapsed="false">
      <c r="A234" s="3" t="s">
        <v>1699</v>
      </c>
    </row>
    <row r="235" customFormat="false" ht="15" hidden="false" customHeight="true" outlineLevel="0" collapsed="false">
      <c r="A235" s="8" t="s">
        <v>1556</v>
      </c>
      <c r="B235" s="89" t="n">
        <v>75</v>
      </c>
      <c r="C235" s="89" t="n">
        <v>76</v>
      </c>
      <c r="D235" s="89" t="n">
        <v>77</v>
      </c>
      <c r="E235" s="89" t="n">
        <v>78</v>
      </c>
      <c r="F235" s="89" t="n">
        <v>79</v>
      </c>
      <c r="G235" s="89" t="n">
        <v>80</v>
      </c>
      <c r="H235" s="89" t="n">
        <v>81</v>
      </c>
      <c r="I235" s="89" t="n">
        <v>82</v>
      </c>
      <c r="J235" s="89" t="n">
        <v>83</v>
      </c>
      <c r="K235" s="89" t="n">
        <v>84</v>
      </c>
      <c r="L235" s="89" t="n">
        <v>85</v>
      </c>
      <c r="M235" s="89" t="n">
        <v>86</v>
      </c>
      <c r="N235" s="89" t="n">
        <v>87</v>
      </c>
      <c r="O235" s="89" t="n">
        <v>88</v>
      </c>
      <c r="P235" s="89" t="n">
        <v>89</v>
      </c>
      <c r="Q235" s="89" t="n">
        <v>90</v>
      </c>
    </row>
    <row r="236" customFormat="false" ht="15" hidden="false" customHeight="true" outlineLevel="0" collapsed="false">
      <c r="A236" s="3" t="n">
        <v>60</v>
      </c>
      <c r="B236" s="48" t="n">
        <f aca="false">((INDEX($E$12:$E$72,15+1)*SUMPRODUCT(($A$12:$A$72&gt;=15)*G$12:G$72*$B$5*$C$12:$C$72*$B$12:$B$72)/(1+Assumptions!$B$10)^15)+SUMPRODUCT(($A$12:$A$72&lt;15)*G$12:G$72*$E$12:$E$72*$D$12:$D$72*$B$12:$B$72)+INDEX($E$12:$E$72,15+1)*SUMPRODUCT(($A$12:$A$72&gt;=15)*G$12:G$72*$D$12:$D$72*$B$12:$B$72))/((SUMPRODUCT(($A$12:$A$72&lt;15)*G$12:G$72*$E$12:$E$72*$B$12:$B$72))*(1-Assumptions!$B$13-(SUMPRODUCT(($A$12:$A$72&lt;15)*G$12:G$72*$E$12:$E$72*$F$12:$F$72*$B$12:$B$72))/(SUMPRODUCT(($A$12:$A$72&lt;15)*G$12:G$72*$E$12:$E$72*$B$12:$B$72))))/12</f>
        <v>794.892101255507</v>
      </c>
      <c r="C236" s="48" t="n">
        <f aca="false">((INDEX($E$12:$E$72,16+1)*SUMPRODUCT(($A$12:$A$72&gt;=16)*G$12:G$72*$B$5*$C$12:$C$72*$B$12:$B$72)/(1+Assumptions!$B$10)^16)+SUMPRODUCT(($A$12:$A$72&lt;16)*G$12:G$72*$E$12:$E$72*$D$12:$D$72*$B$12:$B$72)+INDEX($E$12:$E$72,16+1)*SUMPRODUCT(($A$12:$A$72&gt;=16)*G$12:G$72*$D$12:$D$72*$B$12:$B$72))/((SUMPRODUCT(($A$12:$A$72&lt;16)*G$12:G$72*$E$12:$E$72*$B$12:$B$72))*(1-Assumptions!$B$13-(SUMPRODUCT(($A$12:$A$72&lt;16)*G$12:G$72*$E$12:$E$72*$F$12:$F$72*$B$12:$B$72))/(SUMPRODUCT(($A$12:$A$72&lt;16)*G$12:G$72*$E$12:$E$72*$B$12:$B$72))))/12</f>
        <v>688.509074864867</v>
      </c>
      <c r="D236" s="48" t="n">
        <f aca="false">((INDEX($E$12:$E$72,17+1)*SUMPRODUCT(($A$12:$A$72&gt;=17)*G$12:G$72*$B$5*$C$12:$C$72*$B$12:$B$72)/(1+Assumptions!$B$10)^17)+SUMPRODUCT(($A$12:$A$72&lt;17)*G$12:G$72*$E$12:$E$72*$D$12:$D$72*$B$12:$B$72)+INDEX($E$12:$E$72,17+1)*SUMPRODUCT(($A$12:$A$72&gt;=17)*G$12:G$72*$D$12:$D$72*$B$12:$B$72))/((SUMPRODUCT(($A$12:$A$72&lt;17)*G$12:G$72*$E$12:$E$72*$B$12:$B$72))*(1-Assumptions!$B$13-(SUMPRODUCT(($A$12:$A$72&lt;17)*G$12:G$72*$E$12:$E$72*$F$12:$F$72*$B$12:$B$72))/(SUMPRODUCT(($A$12:$A$72&lt;17)*G$12:G$72*$E$12:$E$72*$B$12:$B$72))))/12</f>
        <v>597.531897032515</v>
      </c>
      <c r="E236" s="48" t="n">
        <f aca="false">((INDEX($E$12:$E$72,18+1)*SUMPRODUCT(($A$12:$A$72&gt;=18)*G$12:G$72*$B$5*$C$12:$C$72*$B$12:$B$72)/(1+Assumptions!$B$10)^18)+SUMPRODUCT(($A$12:$A$72&lt;18)*G$12:G$72*$E$12:$E$72*$D$12:$D$72*$B$12:$B$72)+INDEX($E$12:$E$72,18+1)*SUMPRODUCT(($A$12:$A$72&gt;=18)*G$12:G$72*$D$12:$D$72*$B$12:$B$72))/((SUMPRODUCT(($A$12:$A$72&lt;18)*G$12:G$72*$E$12:$E$72*$B$12:$B$72))*(1-Assumptions!$B$13-(SUMPRODUCT(($A$12:$A$72&lt;18)*G$12:G$72*$E$12:$E$72*$F$12:$F$72*$B$12:$B$72))/(SUMPRODUCT(($A$12:$A$72&lt;18)*G$12:G$72*$E$12:$E$72*$B$12:$B$72))))/12</f>
        <v>519.096566793834</v>
      </c>
      <c r="F236" s="48" t="n">
        <f aca="false">((INDEX($E$12:$E$72,19+1)*SUMPRODUCT(($A$12:$A$72&gt;=19)*G$12:G$72*$B$5*$C$12:$C$72*$B$12:$B$72)/(1+Assumptions!$B$10)^19)+SUMPRODUCT(($A$12:$A$72&lt;19)*G$12:G$72*$E$12:$E$72*$D$12:$D$72*$B$12:$B$72)+INDEX($E$12:$E$72,19+1)*SUMPRODUCT(($A$12:$A$72&gt;=19)*G$12:G$72*$D$12:$D$72*$B$12:$B$72))/((SUMPRODUCT(($A$12:$A$72&lt;19)*G$12:G$72*$E$12:$E$72*$B$12:$B$72))*(1-Assumptions!$B$13-(SUMPRODUCT(($A$12:$A$72&lt;19)*G$12:G$72*$E$12:$E$72*$F$12:$F$72*$B$12:$B$72))/(SUMPRODUCT(($A$12:$A$72&lt;19)*G$12:G$72*$E$12:$E$72*$B$12:$B$72))))/12</f>
        <v>451.055878728862</v>
      </c>
      <c r="G236" s="48" t="n">
        <f aca="false">((INDEX($E$12:$E$72,20+1)*SUMPRODUCT(($A$12:$A$72&gt;=20)*G$12:G$72*$B$5*$C$12:$C$72*$B$12:$B$72)/(1+Assumptions!$B$10)^20)+SUMPRODUCT(($A$12:$A$72&lt;20)*G$12:G$72*$E$12:$E$72*$D$12:$D$72*$B$12:$B$72)+INDEX($E$12:$E$72,20+1)*SUMPRODUCT(($A$12:$A$72&gt;=20)*G$12:G$72*$D$12:$D$72*$B$12:$B$72))/((SUMPRODUCT(($A$12:$A$72&lt;20)*G$12:G$72*$E$12:$E$72*$B$12:$B$72))*(1-Assumptions!$B$13-(SUMPRODUCT(($A$12:$A$72&lt;20)*G$12:G$72*$E$12:$E$72*$F$12:$F$72*$B$12:$B$72))/(SUMPRODUCT(($A$12:$A$72&lt;20)*G$12:G$72*$E$12:$E$72*$B$12:$B$72))))/12</f>
        <v>391.738453837454</v>
      </c>
      <c r="H236" s="48" t="n">
        <f aca="false">((INDEX($E$12:$E$72,21+1)*SUMPRODUCT(($A$12:$A$72&gt;=21)*G$12:G$72*$B$5*$C$12:$C$72*$B$12:$B$72)/(1+Assumptions!$B$10)^21)+SUMPRODUCT(($A$12:$A$72&lt;21)*G$12:G$72*$E$12:$E$72*$D$12:$D$72*$B$12:$B$72)+INDEX($E$12:$E$72,21+1)*SUMPRODUCT(($A$12:$A$72&gt;=21)*G$12:G$72*$D$12:$D$72*$B$12:$B$72))/((SUMPRODUCT(($A$12:$A$72&lt;21)*G$12:G$72*$E$12:$E$72*$B$12:$B$72))*(1-Assumptions!$B$13-(SUMPRODUCT(($A$12:$A$72&lt;21)*G$12:G$72*$E$12:$E$72*$F$12:$F$72*$B$12:$B$72))/(SUMPRODUCT(($A$12:$A$72&lt;21)*G$12:G$72*$E$12:$E$72*$B$12:$B$72))))/12</f>
        <v>339.842509441767</v>
      </c>
      <c r="I236" s="48" t="n">
        <f aca="false">((INDEX($E$12:$E$72,22+1)*SUMPRODUCT(($A$12:$A$72&gt;=22)*G$12:G$72*$B$5*$C$12:$C$72*$B$12:$B$72)/(1+Assumptions!$B$10)^22)+SUMPRODUCT(($A$12:$A$72&lt;22)*G$12:G$72*$E$12:$E$72*$D$12:$D$72*$B$12:$B$72)+INDEX($E$12:$E$72,22+1)*SUMPRODUCT(($A$12:$A$72&gt;=22)*G$12:G$72*$D$12:$D$72*$B$12:$B$72))/((SUMPRODUCT(($A$12:$A$72&lt;22)*G$12:G$72*$E$12:$E$72*$B$12:$B$72))*(1-Assumptions!$B$13-(SUMPRODUCT(($A$12:$A$72&lt;22)*G$12:G$72*$E$12:$E$72*$F$12:$F$72*$B$12:$B$72))/(SUMPRODUCT(($A$12:$A$72&lt;22)*G$12:G$72*$E$12:$E$72*$B$12:$B$72))))/12</f>
        <v>294.359095694579</v>
      </c>
      <c r="J236" s="48" t="n">
        <f aca="false">((INDEX($E$12:$E$72,23+1)*SUMPRODUCT(($A$12:$A$72&gt;=23)*G$12:G$72*$B$5*$C$12:$C$72*$B$12:$B$72)/(1+Assumptions!$B$10)^23)+SUMPRODUCT(($A$12:$A$72&lt;23)*G$12:G$72*$E$12:$E$72*$D$12:$D$72*$B$12:$B$72)+INDEX($E$12:$E$72,23+1)*SUMPRODUCT(($A$12:$A$72&gt;=23)*G$12:G$72*$D$12:$D$72*$B$12:$B$72))/((SUMPRODUCT(($A$12:$A$72&lt;23)*G$12:G$72*$E$12:$E$72*$B$12:$B$72))*(1-Assumptions!$B$13-(SUMPRODUCT(($A$12:$A$72&lt;23)*G$12:G$72*$E$12:$E$72*$F$12:$F$72*$B$12:$B$72))/(SUMPRODUCT(($A$12:$A$72&lt;23)*G$12:G$72*$E$12:$E$72*$B$12:$B$72))))/12</f>
        <v>254.431554873249</v>
      </c>
      <c r="K236" s="48" t="n">
        <f aca="false">((INDEX($E$12:$E$72,24+1)*SUMPRODUCT(($A$12:$A$72&gt;=24)*G$12:G$72*$B$5*$C$12:$C$72*$B$12:$B$72)/(1+Assumptions!$B$10)^24)+SUMPRODUCT(($A$12:$A$72&lt;24)*G$12:G$72*$E$12:$E$72*$D$12:$D$72*$B$12:$B$72)+INDEX($E$12:$E$72,24+1)*SUMPRODUCT(($A$12:$A$72&gt;=24)*G$12:G$72*$D$12:$D$72*$B$12:$B$72))/((SUMPRODUCT(($A$12:$A$72&lt;24)*G$12:G$72*$E$12:$E$72*$B$12:$B$72))*(1-Assumptions!$B$13-(SUMPRODUCT(($A$12:$A$72&lt;24)*G$12:G$72*$E$12:$E$72*$F$12:$F$72*$B$12:$B$72))/(SUMPRODUCT(($A$12:$A$72&lt;24)*G$12:G$72*$E$12:$E$72*$B$12:$B$72))))/12</f>
        <v>219.351556940805</v>
      </c>
      <c r="L236" s="48" t="n">
        <f aca="false">((INDEX($E$12:$E$72,25+1)*SUMPRODUCT(($A$12:$A$72&gt;=25)*G$12:G$72*$B$5*$C$12:$C$72*$B$12:$B$72)/(1+Assumptions!$B$10)^25)+SUMPRODUCT(($A$12:$A$72&lt;25)*G$12:G$72*$E$12:$E$72*$D$12:$D$72*$B$12:$B$72)+INDEX($E$12:$E$72,25+1)*SUMPRODUCT(($A$12:$A$72&gt;=25)*G$12:G$72*$D$12:$D$72*$B$12:$B$72))/((SUMPRODUCT(($A$12:$A$72&lt;25)*G$12:G$72*$E$12:$E$72*$B$12:$B$72))*(1-Assumptions!$B$13-(SUMPRODUCT(($A$12:$A$72&lt;25)*G$12:G$72*$E$12:$E$72*$F$12:$F$72*$B$12:$B$72))/(SUMPRODUCT(($A$12:$A$72&lt;25)*G$12:G$72*$E$12:$E$72*$B$12:$B$72))))/12</f>
        <v>188.533466631527</v>
      </c>
      <c r="M236" s="48" t="n">
        <f aca="false">((INDEX($E$12:$E$72,26+1)*SUMPRODUCT(($A$12:$A$72&gt;=26)*G$12:G$72*$B$5*$C$12:$C$72*$B$12:$B$72)/(1+Assumptions!$B$10)^26)+SUMPRODUCT(($A$12:$A$72&lt;26)*G$12:G$72*$E$12:$E$72*$D$12:$D$72*$B$12:$B$72)+INDEX($E$12:$E$72,26+1)*SUMPRODUCT(($A$12:$A$72&gt;=26)*G$12:G$72*$D$12:$D$72*$B$12:$B$72))/((SUMPRODUCT(($A$12:$A$72&lt;26)*G$12:G$72*$E$12:$E$72*$B$12:$B$72))*(1-Assumptions!$B$13-(SUMPRODUCT(($A$12:$A$72&lt;26)*G$12:G$72*$E$12:$E$72*$F$12:$F$72*$B$12:$B$72))/(SUMPRODUCT(($A$12:$A$72&lt;26)*G$12:G$72*$E$12:$E$72*$B$12:$B$72))))/12</f>
        <v>161.472526762014</v>
      </c>
      <c r="N236" s="48" t="n">
        <f aca="false">((INDEX($E$12:$E$72,27+1)*SUMPRODUCT(($A$12:$A$72&gt;=27)*G$12:G$72*$B$5*$C$12:$C$72*$B$12:$B$72)/(1+Assumptions!$B$10)^27)+SUMPRODUCT(($A$12:$A$72&lt;27)*G$12:G$72*$E$12:$E$72*$D$12:$D$72*$B$12:$B$72)+INDEX($E$12:$E$72,27+1)*SUMPRODUCT(($A$12:$A$72&gt;=27)*G$12:G$72*$D$12:$D$72*$B$12:$B$72))/((SUMPRODUCT(($A$12:$A$72&lt;27)*G$12:G$72*$E$12:$E$72*$B$12:$B$72))*(1-Assumptions!$B$13-(SUMPRODUCT(($A$12:$A$72&lt;27)*G$12:G$72*$E$12:$E$72*$F$12:$F$72*$B$12:$B$72))/(SUMPRODUCT(($A$12:$A$72&lt;27)*G$12:G$72*$E$12:$E$72*$B$12:$B$72))))/12</f>
        <v>137.77922700622</v>
      </c>
      <c r="O236" s="48" t="n">
        <f aca="false">((INDEX($E$12:$E$72,28+1)*SUMPRODUCT(($A$12:$A$72&gt;=28)*G$12:G$72*$B$5*$C$12:$C$72*$B$12:$B$72)/(1+Assumptions!$B$10)^28)+SUMPRODUCT(($A$12:$A$72&lt;28)*G$12:G$72*$E$12:$E$72*$D$12:$D$72*$B$12:$B$72)+INDEX($E$12:$E$72,28+1)*SUMPRODUCT(($A$12:$A$72&gt;=28)*G$12:G$72*$D$12:$D$72*$B$12:$B$72))/((SUMPRODUCT(($A$12:$A$72&lt;28)*G$12:G$72*$E$12:$E$72*$B$12:$B$72))*(1-Assumptions!$B$13-(SUMPRODUCT(($A$12:$A$72&lt;28)*G$12:G$72*$E$12:$E$72*$F$12:$F$72*$B$12:$B$72))/(SUMPRODUCT(($A$12:$A$72&lt;28)*G$12:G$72*$E$12:$E$72*$B$12:$B$72))))/12</f>
        <v>117.093618494388</v>
      </c>
      <c r="P236" s="48" t="n">
        <f aca="false">((INDEX($E$12:$E$72,29+1)*SUMPRODUCT(($A$12:$A$72&gt;=29)*G$12:G$72*$B$5*$C$12:$C$72*$B$12:$B$72)/(1+Assumptions!$B$10)^29)+SUMPRODUCT(($A$12:$A$72&lt;29)*G$12:G$72*$E$12:$E$72*$D$12:$D$72*$B$12:$B$72)+INDEX($E$12:$E$72,29+1)*SUMPRODUCT(($A$12:$A$72&gt;=29)*G$12:G$72*$D$12:$D$72*$B$12:$B$72))/((SUMPRODUCT(($A$12:$A$72&lt;29)*G$12:G$72*$E$12:$E$72*$B$12:$B$72))*(1-Assumptions!$B$13-(SUMPRODUCT(($A$12:$A$72&lt;29)*G$12:G$72*$E$12:$E$72*$F$12:$F$72*$B$12:$B$72))/(SUMPRODUCT(($A$12:$A$72&lt;29)*G$12:G$72*$E$12:$E$72*$B$12:$B$72))))/12</f>
        <v>99.1127301078801</v>
      </c>
      <c r="Q236" s="48" t="n">
        <f aca="false">((INDEX($E$12:$E$72,30+1)*SUMPRODUCT(($A$12:$A$72&gt;=30)*G$12:G$72*$B$5*$C$12:$C$72*$B$12:$B$72)/(1+Assumptions!$B$10)^30)+SUMPRODUCT(($A$12:$A$72&lt;30)*G$12:G$72*$E$12:$E$72*$D$12:$D$72*$B$12:$B$72)+INDEX($E$12:$E$72,30+1)*SUMPRODUCT(($A$12:$A$72&gt;=30)*G$12:G$72*$D$12:$D$72*$B$12:$B$72))/((SUMPRODUCT(($A$12:$A$72&lt;30)*G$12:G$72*$E$12:$E$72*$B$12:$B$72))*(1-Assumptions!$B$13-(SUMPRODUCT(($A$12:$A$72&lt;30)*G$12:G$72*$E$12:$E$72*$F$12:$F$72*$B$12:$B$72))/(SUMPRODUCT(($A$12:$A$72&lt;30)*G$12:G$72*$E$12:$E$72*$B$12:$B$72))))/12</f>
        <v>83.5662983332313</v>
      </c>
    </row>
    <row r="237" customFormat="false" ht="15" hidden="false" customHeight="true" outlineLevel="0" collapsed="false">
      <c r="A237" s="3" t="n">
        <v>61</v>
      </c>
      <c r="B237" s="48" t="n">
        <f aca="false">((INDEX($E$12:$E$72,14+1)*SUMPRODUCT(($A$12:$A$72&gt;=14)*H$12:H$72*$B$5*$C$12:$C$72*$B$12:$B$72)/(1+Assumptions!$B$10)^14)+SUMPRODUCT(($A$12:$A$72&lt;14)*H$12:H$72*$E$12:$E$72*$D$12:$D$72*$B$12:$B$72)+INDEX($E$12:$E$72,14+1)*SUMPRODUCT(($A$12:$A$72&gt;=14)*H$12:H$72*$D$12:$D$72*$B$12:$B$72))/((SUMPRODUCT(($A$12:$A$72&lt;14)*H$12:H$72*$E$12:$E$72*$B$12:$B$72))*(1-Assumptions!$B$13-(SUMPRODUCT(($A$12:$A$72&lt;14)*H$12:H$72*$E$12:$E$72*$F$12:$F$72*$B$12:$B$72))/(SUMPRODUCT(($A$12:$A$72&lt;14)*H$12:H$72*$E$12:$E$72*$B$12:$B$72))))/12</f>
        <v>871.985518774937</v>
      </c>
      <c r="C237" s="48" t="n">
        <f aca="false">((INDEX($E$12:$E$72,15+1)*SUMPRODUCT(($A$12:$A$72&gt;=15)*H$12:H$72*$B$5*$C$12:$C$72*$B$12:$B$72)/(1+Assumptions!$B$10)^15)+SUMPRODUCT(($A$12:$A$72&lt;15)*H$12:H$72*$E$12:$E$72*$D$12:$D$72*$B$12:$B$72)+INDEX($E$12:$E$72,15+1)*SUMPRODUCT(($A$12:$A$72&gt;=15)*H$12:H$72*$D$12:$D$72*$B$12:$B$72))/((SUMPRODUCT(($A$12:$A$72&lt;15)*H$12:H$72*$E$12:$E$72*$B$12:$B$72))*(1-Assumptions!$B$13-(SUMPRODUCT(($A$12:$A$72&lt;15)*H$12:H$72*$E$12:$E$72*$F$12:$F$72*$B$12:$B$72))/(SUMPRODUCT(($A$12:$A$72&lt;15)*H$12:H$72*$E$12:$E$72*$B$12:$B$72))))/12</f>
        <v>750.951451526849</v>
      </c>
      <c r="D237" s="48" t="n">
        <f aca="false">((INDEX($E$12:$E$72,16+1)*SUMPRODUCT(($A$12:$A$72&gt;=16)*H$12:H$72*$B$5*$C$12:$C$72*$B$12:$B$72)/(1+Assumptions!$B$10)^16)+SUMPRODUCT(($A$12:$A$72&lt;16)*H$12:H$72*$E$12:$E$72*$D$12:$D$72*$B$12:$B$72)+INDEX($E$12:$E$72,16+1)*SUMPRODUCT(($A$12:$A$72&gt;=16)*H$12:H$72*$D$12:$D$72*$B$12:$B$72))/((SUMPRODUCT(($A$12:$A$72&lt;16)*H$12:H$72*$E$12:$E$72*$B$12:$B$72))*(1-Assumptions!$B$13-(SUMPRODUCT(($A$12:$A$72&lt;16)*H$12:H$72*$E$12:$E$72*$F$12:$F$72*$B$12:$B$72))/(SUMPRODUCT(($A$12:$A$72&lt;16)*H$12:H$72*$E$12:$E$72*$B$12:$B$72))))/12</f>
        <v>648.47677393082</v>
      </c>
      <c r="E237" s="48" t="n">
        <f aca="false">((INDEX($E$12:$E$72,17+1)*SUMPRODUCT(($A$12:$A$72&gt;=17)*H$12:H$72*$B$5*$C$12:$C$72*$B$12:$B$72)/(1+Assumptions!$B$10)^17)+SUMPRODUCT(($A$12:$A$72&lt;17)*H$12:H$72*$E$12:$E$72*$D$12:$D$72*$B$12:$B$72)+INDEX($E$12:$E$72,17+1)*SUMPRODUCT(($A$12:$A$72&gt;=17)*H$12:H$72*$D$12:$D$72*$B$12:$B$72))/((SUMPRODUCT(($A$12:$A$72&lt;17)*H$12:H$72*$E$12:$E$72*$B$12:$B$72))*(1-Assumptions!$B$13-(SUMPRODUCT(($A$12:$A$72&lt;17)*H$12:H$72*$E$12:$E$72*$F$12:$F$72*$B$12:$B$72))/(SUMPRODUCT(($A$12:$A$72&lt;17)*H$12:H$72*$E$12:$E$72*$B$12:$B$72))))/12</f>
        <v>560.947892613147</v>
      </c>
      <c r="F237" s="48" t="n">
        <f aca="false">((INDEX($E$12:$E$72,18+1)*SUMPRODUCT(($A$12:$A$72&gt;=18)*H$12:H$72*$B$5*$C$12:$C$72*$B$12:$B$72)/(1+Assumptions!$B$10)^18)+SUMPRODUCT(($A$12:$A$72&lt;18)*H$12:H$72*$E$12:$E$72*$D$12:$D$72*$B$12:$B$72)+INDEX($E$12:$E$72,18+1)*SUMPRODUCT(($A$12:$A$72&gt;=18)*H$12:H$72*$D$12:$D$72*$B$12:$B$72))/((SUMPRODUCT(($A$12:$A$72&lt;18)*H$12:H$72*$E$12:$E$72*$B$12:$B$72))*(1-Assumptions!$B$13-(SUMPRODUCT(($A$12:$A$72&lt;18)*H$12:H$72*$E$12:$E$72*$F$12:$F$72*$B$12:$B$72))/(SUMPRODUCT(($A$12:$A$72&lt;18)*H$12:H$72*$E$12:$E$72*$B$12:$B$72))))/12</f>
        <v>485.59060958781</v>
      </c>
      <c r="G237" s="48" t="n">
        <f aca="false">((INDEX($E$12:$E$72,19+1)*SUMPRODUCT(($A$12:$A$72&gt;=19)*H$12:H$72*$B$5*$C$12:$C$72*$B$12:$B$72)/(1+Assumptions!$B$10)^19)+SUMPRODUCT(($A$12:$A$72&lt;19)*H$12:H$72*$E$12:$E$72*$D$12:$D$72*$B$12:$B$72)+INDEX($E$12:$E$72,19+1)*SUMPRODUCT(($A$12:$A$72&gt;=19)*H$12:H$72*$D$12:$D$72*$B$12:$B$72))/((SUMPRODUCT(($A$12:$A$72&lt;19)*H$12:H$72*$E$12:$E$72*$B$12:$B$72))*(1-Assumptions!$B$13-(SUMPRODUCT(($A$12:$A$72&lt;19)*H$12:H$72*$E$12:$E$72*$F$12:$F$72*$B$12:$B$72))/(SUMPRODUCT(($A$12:$A$72&lt;19)*H$12:H$72*$E$12:$E$72*$B$12:$B$72))))/12</f>
        <v>420.324940340008</v>
      </c>
      <c r="H237" s="48" t="n">
        <f aca="false">((INDEX($E$12:$E$72,20+1)*SUMPRODUCT(($A$12:$A$72&gt;=20)*H$12:H$72*$B$5*$C$12:$C$72*$B$12:$B$72)/(1+Assumptions!$B$10)^20)+SUMPRODUCT(($A$12:$A$72&lt;20)*H$12:H$72*$E$12:$E$72*$D$12:$D$72*$B$12:$B$72)+INDEX($E$12:$E$72,20+1)*SUMPRODUCT(($A$12:$A$72&gt;=20)*H$12:H$72*$D$12:$D$72*$B$12:$B$72))/((SUMPRODUCT(($A$12:$A$72&lt;20)*H$12:H$72*$E$12:$E$72*$B$12:$B$72))*(1-Assumptions!$B$13-(SUMPRODUCT(($A$12:$A$72&lt;20)*H$12:H$72*$E$12:$E$72*$F$12:$F$72*$B$12:$B$72))/(SUMPRODUCT(($A$12:$A$72&lt;20)*H$12:H$72*$E$12:$E$72*$B$12:$B$72))))/12</f>
        <v>363.531741983103</v>
      </c>
      <c r="I237" s="48" t="n">
        <f aca="false">((INDEX($E$12:$E$72,21+1)*SUMPRODUCT(($A$12:$A$72&gt;=21)*H$12:H$72*$B$5*$C$12:$C$72*$B$12:$B$72)/(1+Assumptions!$B$10)^21)+SUMPRODUCT(($A$12:$A$72&lt;21)*H$12:H$72*$E$12:$E$72*$D$12:$D$72*$B$12:$B$72)+INDEX($E$12:$E$72,21+1)*SUMPRODUCT(($A$12:$A$72&gt;=21)*H$12:H$72*$D$12:$D$72*$B$12:$B$72))/((SUMPRODUCT(($A$12:$A$72&lt;21)*H$12:H$72*$E$12:$E$72*$B$12:$B$72))*(1-Assumptions!$B$13-(SUMPRODUCT(($A$12:$A$72&lt;21)*H$12:H$72*$E$12:$E$72*$F$12:$F$72*$B$12:$B$72))/(SUMPRODUCT(($A$12:$A$72&lt;21)*H$12:H$72*$E$12:$E$72*$B$12:$B$72))))/12</f>
        <v>313.982771637364</v>
      </c>
      <c r="J237" s="48" t="n">
        <f aca="false">((INDEX($E$12:$E$72,22+1)*SUMPRODUCT(($A$12:$A$72&gt;=22)*H$12:H$72*$B$5*$C$12:$C$72*$B$12:$B$72)/(1+Assumptions!$B$10)^22)+SUMPRODUCT(($A$12:$A$72&lt;22)*H$12:H$72*$E$12:$E$72*$D$12:$D$72*$B$12:$B$72)+INDEX($E$12:$E$72,22+1)*SUMPRODUCT(($A$12:$A$72&gt;=22)*H$12:H$72*$D$12:$D$72*$B$12:$B$72))/((SUMPRODUCT(($A$12:$A$72&lt;22)*H$12:H$72*$E$12:$E$72*$B$12:$B$72))*(1-Assumptions!$B$13-(SUMPRODUCT(($A$12:$A$72&lt;22)*H$12:H$72*$E$12:$E$72*$F$12:$F$72*$B$12:$B$72))/(SUMPRODUCT(($A$12:$A$72&lt;22)*H$12:H$72*$E$12:$E$72*$B$12:$B$72))))/12</f>
        <v>270.664321221489</v>
      </c>
      <c r="K237" s="48" t="n">
        <f aca="false">((INDEX($E$12:$E$72,23+1)*SUMPRODUCT(($A$12:$A$72&gt;=23)*H$12:H$72*$B$5*$C$12:$C$72*$B$12:$B$72)/(1+Assumptions!$B$10)^23)+SUMPRODUCT(($A$12:$A$72&lt;23)*H$12:H$72*$E$12:$E$72*$D$12:$D$72*$B$12:$B$72)+INDEX($E$12:$E$72,23+1)*SUMPRODUCT(($A$12:$A$72&gt;=23)*H$12:H$72*$D$12:$D$72*$B$12:$B$72))/((SUMPRODUCT(($A$12:$A$72&lt;23)*H$12:H$72*$E$12:$E$72*$B$12:$B$72))*(1-Assumptions!$B$13-(SUMPRODUCT(($A$12:$A$72&lt;23)*H$12:H$72*$E$12:$E$72*$F$12:$F$72*$B$12:$B$72))/(SUMPRODUCT(($A$12:$A$72&lt;23)*H$12:H$72*$E$12:$E$72*$B$12:$B$72))))/12</f>
        <v>232.746069091117</v>
      </c>
      <c r="L237" s="48" t="n">
        <f aca="false">((INDEX($E$12:$E$72,24+1)*SUMPRODUCT(($A$12:$A$72&gt;=24)*H$12:H$72*$B$5*$C$12:$C$72*$B$12:$B$72)/(1+Assumptions!$B$10)^24)+SUMPRODUCT(($A$12:$A$72&lt;24)*H$12:H$72*$E$12:$E$72*$D$12:$D$72*$B$12:$B$72)+INDEX($E$12:$E$72,24+1)*SUMPRODUCT(($A$12:$A$72&gt;=24)*H$12:H$72*$D$12:$D$72*$B$12:$B$72))/((SUMPRODUCT(($A$12:$A$72&lt;24)*H$12:H$72*$E$12:$E$72*$B$12:$B$72))*(1-Assumptions!$B$13-(SUMPRODUCT(($A$12:$A$72&lt;24)*H$12:H$72*$E$12:$E$72*$F$12:$F$72*$B$12:$B$72))/(SUMPRODUCT(($A$12:$A$72&lt;24)*H$12:H$72*$E$12:$E$72*$B$12:$B$72))))/12</f>
        <v>199.540823781825</v>
      </c>
      <c r="M237" s="48" t="n">
        <f aca="false">((INDEX($E$12:$E$72,25+1)*SUMPRODUCT(($A$12:$A$72&gt;=25)*H$12:H$72*$B$5*$C$12:$C$72*$B$12:$B$72)/(1+Assumptions!$B$10)^25)+SUMPRODUCT(($A$12:$A$72&lt;25)*H$12:H$72*$E$12:$E$72*$D$12:$D$72*$B$12:$B$72)+INDEX($E$12:$E$72,25+1)*SUMPRODUCT(($A$12:$A$72&gt;=25)*H$12:H$72*$D$12:$D$72*$B$12:$B$72))/((SUMPRODUCT(($A$12:$A$72&lt;25)*H$12:H$72*$E$12:$E$72*$B$12:$B$72))*(1-Assumptions!$B$13-(SUMPRODUCT(($A$12:$A$72&lt;25)*H$12:H$72*$E$12:$E$72*$F$12:$F$72*$B$12:$B$72))/(SUMPRODUCT(($A$12:$A$72&lt;25)*H$12:H$72*$E$12:$E$72*$B$12:$B$72))))/12</f>
        <v>170.47952625222</v>
      </c>
      <c r="N237" s="48" t="n">
        <f aca="false">((INDEX($E$12:$E$72,26+1)*SUMPRODUCT(($A$12:$A$72&gt;=26)*H$12:H$72*$B$5*$C$12:$C$72*$B$12:$B$72)/(1+Assumptions!$B$10)^26)+SUMPRODUCT(($A$12:$A$72&lt;26)*H$12:H$72*$E$12:$E$72*$D$12:$D$72*$B$12:$B$72)+INDEX($E$12:$E$72,26+1)*SUMPRODUCT(($A$12:$A$72&gt;=26)*H$12:H$72*$D$12:$D$72*$B$12:$B$72))/((SUMPRODUCT(($A$12:$A$72&lt;26)*H$12:H$72*$E$12:$E$72*$B$12:$B$72))*(1-Assumptions!$B$13-(SUMPRODUCT(($A$12:$A$72&lt;26)*H$12:H$72*$E$12:$E$72*$F$12:$F$72*$B$12:$B$72))/(SUMPRODUCT(($A$12:$A$72&lt;26)*H$12:H$72*$E$12:$E$72*$B$12:$B$72))))/12</f>
        <v>145.103002425448</v>
      </c>
      <c r="O237" s="48" t="n">
        <f aca="false">((INDEX($E$12:$E$72,27+1)*SUMPRODUCT(($A$12:$A$72&gt;=27)*H$12:H$72*$B$5*$C$12:$C$72*$B$12:$B$72)/(1+Assumptions!$B$10)^27)+SUMPRODUCT(($A$12:$A$72&lt;27)*H$12:H$72*$E$12:$E$72*$D$12:$D$72*$B$12:$B$72)+INDEX($E$12:$E$72,27+1)*SUMPRODUCT(($A$12:$A$72&gt;=27)*H$12:H$72*$D$12:$D$72*$B$12:$B$72))/((SUMPRODUCT(($A$12:$A$72&lt;27)*H$12:H$72*$E$12:$E$72*$B$12:$B$72))*(1-Assumptions!$B$13-(SUMPRODUCT(($A$12:$A$72&lt;27)*H$12:H$72*$E$12:$E$72*$F$12:$F$72*$B$12:$B$72))/(SUMPRODUCT(($A$12:$A$72&lt;27)*H$12:H$72*$E$12:$E$72*$B$12:$B$72))))/12</f>
        <v>123.011669000939</v>
      </c>
      <c r="P237" s="48" t="n">
        <f aca="false">((INDEX($E$12:$E$72,28+1)*SUMPRODUCT(($A$12:$A$72&gt;=28)*H$12:H$72*$B$5*$C$12:$C$72*$B$12:$B$72)/(1+Assumptions!$B$10)^28)+SUMPRODUCT(($A$12:$A$72&lt;28)*H$12:H$72*$E$12:$E$72*$D$12:$D$72*$B$12:$B$72)+INDEX($E$12:$E$72,28+1)*SUMPRODUCT(($A$12:$A$72&gt;=28)*H$12:H$72*$D$12:$D$72*$B$12:$B$72))/((SUMPRODUCT(($A$12:$A$72&lt;28)*H$12:H$72*$E$12:$E$72*$B$12:$B$72))*(1-Assumptions!$B$13-(SUMPRODUCT(($A$12:$A$72&lt;28)*H$12:H$72*$E$12:$E$72*$F$12:$F$72*$B$12:$B$72))/(SUMPRODUCT(($A$12:$A$72&lt;28)*H$12:H$72*$E$12:$E$72*$B$12:$B$72))))/12</f>
        <v>103.8525256063</v>
      </c>
      <c r="Q237" s="48" t="n">
        <f aca="false">((INDEX($E$12:$E$72,29+1)*SUMPRODUCT(($A$12:$A$72&gt;=29)*H$12:H$72*$B$5*$C$12:$C$72*$B$12:$B$72)/(1+Assumptions!$B$10)^29)+SUMPRODUCT(($A$12:$A$72&lt;29)*H$12:H$72*$E$12:$E$72*$D$12:$D$72*$B$12:$B$72)+INDEX($E$12:$E$72,29+1)*SUMPRODUCT(($A$12:$A$72&gt;=29)*H$12:H$72*$D$12:$D$72*$B$12:$B$72))/((SUMPRODUCT(($A$12:$A$72&lt;29)*H$12:H$72*$E$12:$E$72*$B$12:$B$72))*(1-Assumptions!$B$13-(SUMPRODUCT(($A$12:$A$72&lt;29)*H$12:H$72*$E$12:$E$72*$F$12:$F$72*$B$12:$B$72))/(SUMPRODUCT(($A$12:$A$72&lt;29)*H$12:H$72*$E$12:$E$72*$B$12:$B$72))))/12</f>
        <v>87.326207982529</v>
      </c>
    </row>
    <row r="238" customFormat="false" ht="15" hidden="false" customHeight="true" outlineLevel="0" collapsed="false">
      <c r="A238" s="3" t="n">
        <v>62</v>
      </c>
      <c r="B238" s="48" t="n">
        <f aca="false">((INDEX($E$12:$E$72,13+1)*SUMPRODUCT(($A$12:$A$72&gt;=13)*I$12:I$72*$B$5*$C$12:$C$72*$B$12:$B$72)/(1+Assumptions!$B$10)^13)+SUMPRODUCT(($A$12:$A$72&lt;13)*I$12:I$72*$E$12:$E$72*$D$12:$D$72*$B$12:$B$72)+INDEX($E$12:$E$72,13+1)*SUMPRODUCT(($A$12:$A$72&gt;=13)*I$12:I$72*$D$12:$D$72*$B$12:$B$72))/((SUMPRODUCT(($A$12:$A$72&lt;13)*I$12:I$72*$E$12:$E$72*$B$12:$B$72))*(1-Assumptions!$B$13-(SUMPRODUCT(($A$12:$A$72&lt;13)*I$12:I$72*$E$12:$E$72*$F$12:$F$72*$B$12:$B$72))/(SUMPRODUCT(($A$12:$A$72&lt;13)*I$12:I$72*$E$12:$E$72*$B$12:$B$72))))/12</f>
        <v>962.590975933401</v>
      </c>
      <c r="C238" s="48" t="n">
        <f aca="false">((INDEX($E$12:$E$72,14+1)*SUMPRODUCT(($A$12:$A$72&gt;=14)*I$12:I$72*$B$5*$C$12:$C$72*$B$12:$B$72)/(1+Assumptions!$B$10)^14)+SUMPRODUCT(($A$12:$A$72&lt;14)*I$12:I$72*$E$12:$E$72*$D$12:$D$72*$B$12:$B$72)+INDEX($E$12:$E$72,14+1)*SUMPRODUCT(($A$12:$A$72&gt;=14)*I$12:I$72*$D$12:$D$72*$B$12:$B$72))/((SUMPRODUCT(($A$12:$A$72&lt;14)*I$12:I$72*$E$12:$E$72*$B$12:$B$72))*(1-Assumptions!$B$13-(SUMPRODUCT(($A$12:$A$72&lt;14)*I$12:I$72*$E$12:$E$72*$F$12:$F$72*$B$12:$B$72))/(SUMPRODUCT(($A$12:$A$72&lt;14)*I$12:I$72*$E$12:$E$72*$B$12:$B$72))))/12</f>
        <v>823.800183109208</v>
      </c>
      <c r="D238" s="48" t="n">
        <f aca="false">((INDEX($E$12:$E$72,15+1)*SUMPRODUCT(($A$12:$A$72&gt;=15)*I$12:I$72*$B$5*$C$12:$C$72*$B$12:$B$72)/(1+Assumptions!$B$10)^15)+SUMPRODUCT(($A$12:$A$72&lt;15)*I$12:I$72*$E$12:$E$72*$D$12:$D$72*$B$12:$B$72)+INDEX($E$12:$E$72,15+1)*SUMPRODUCT(($A$12:$A$72&gt;=15)*I$12:I$72*$D$12:$D$72*$B$12:$B$72))/((SUMPRODUCT(($A$12:$A$72&lt;15)*I$12:I$72*$E$12:$E$72*$B$12:$B$72))*(1-Assumptions!$B$13-(SUMPRODUCT(($A$12:$A$72&lt;15)*I$12:I$72*$E$12:$E$72*$F$12:$F$72*$B$12:$B$72))/(SUMPRODUCT(($A$12:$A$72&lt;15)*I$12:I$72*$E$12:$E$72*$B$12:$B$72))))/12</f>
        <v>707.284314742157</v>
      </c>
      <c r="E238" s="48" t="n">
        <f aca="false">((INDEX($E$12:$E$72,16+1)*SUMPRODUCT(($A$12:$A$72&gt;=16)*I$12:I$72*$B$5*$C$12:$C$72*$B$12:$B$72)/(1+Assumptions!$B$10)^16)+SUMPRODUCT(($A$12:$A$72&lt;16)*I$12:I$72*$E$12:$E$72*$D$12:$D$72*$B$12:$B$72)+INDEX($E$12:$E$72,16+1)*SUMPRODUCT(($A$12:$A$72&gt;=16)*I$12:I$72*$D$12:$D$72*$B$12:$B$72))/((SUMPRODUCT(($A$12:$A$72&lt;16)*I$12:I$72*$E$12:$E$72*$B$12:$B$72))*(1-Assumptions!$B$13-(SUMPRODUCT(($A$12:$A$72&lt;16)*I$12:I$72*$E$12:$E$72*$F$12:$F$72*$B$12:$B$72))/(SUMPRODUCT(($A$12:$A$72&lt;16)*I$12:I$72*$E$12:$E$72*$B$12:$B$72))))/12</f>
        <v>608.751544328034</v>
      </c>
      <c r="F238" s="48" t="n">
        <f aca="false">((INDEX($E$12:$E$72,17+1)*SUMPRODUCT(($A$12:$A$72&gt;=17)*I$12:I$72*$B$5*$C$12:$C$72*$B$12:$B$72)/(1+Assumptions!$B$10)^17)+SUMPRODUCT(($A$12:$A$72&lt;17)*I$12:I$72*$E$12:$E$72*$D$12:$D$72*$B$12:$B$72)+INDEX($E$12:$E$72,17+1)*SUMPRODUCT(($A$12:$A$72&gt;=17)*I$12:I$72*$D$12:$D$72*$B$12:$B$72))/((SUMPRODUCT(($A$12:$A$72&lt;17)*I$12:I$72*$E$12:$E$72*$B$12:$B$72))*(1-Assumptions!$B$13-(SUMPRODUCT(($A$12:$A$72&lt;17)*I$12:I$72*$E$12:$E$72*$F$12:$F$72*$B$12:$B$72))/(SUMPRODUCT(($A$12:$A$72&lt;17)*I$12:I$72*$E$12:$E$72*$B$12:$B$72))))/12</f>
        <v>524.705258845678</v>
      </c>
      <c r="G238" s="48" t="n">
        <f aca="false">((INDEX($E$12:$E$72,18+1)*SUMPRODUCT(($A$12:$A$72&gt;=18)*I$12:I$72*$B$5*$C$12:$C$72*$B$12:$B$72)/(1+Assumptions!$B$10)^18)+SUMPRODUCT(($A$12:$A$72&lt;18)*I$12:I$72*$E$12:$E$72*$D$12:$D$72*$B$12:$B$72)+INDEX($E$12:$E$72,18+1)*SUMPRODUCT(($A$12:$A$72&gt;=18)*I$12:I$72*$D$12:$D$72*$B$12:$B$72))/((SUMPRODUCT(($A$12:$A$72&lt;18)*I$12:I$72*$E$12:$E$72*$B$12:$B$72))*(1-Assumptions!$B$13-(SUMPRODUCT(($A$12:$A$72&lt;18)*I$12:I$72*$E$12:$E$72*$F$12:$F$72*$B$12:$B$72))/(SUMPRODUCT(($A$12:$A$72&lt;18)*I$12:I$72*$E$12:$E$72*$B$12:$B$72))))/12</f>
        <v>452.461003337022</v>
      </c>
      <c r="H238" s="48" t="n">
        <f aca="false">((INDEX($E$12:$E$72,19+1)*SUMPRODUCT(($A$12:$A$72&gt;=19)*I$12:I$72*$B$5*$C$12:$C$72*$B$12:$B$72)/(1+Assumptions!$B$10)^19)+SUMPRODUCT(($A$12:$A$72&lt;19)*I$12:I$72*$E$12:$E$72*$D$12:$D$72*$B$12:$B$72)+INDEX($E$12:$E$72,19+1)*SUMPRODUCT(($A$12:$A$72&gt;=19)*I$12:I$72*$D$12:$D$72*$B$12:$B$72))/((SUMPRODUCT(($A$12:$A$72&lt;19)*I$12:I$72*$E$12:$E$72*$B$12:$B$72))*(1-Assumptions!$B$13-(SUMPRODUCT(($A$12:$A$72&lt;19)*I$12:I$72*$E$12:$E$72*$F$12:$F$72*$B$12:$B$72))/(SUMPRODUCT(($A$12:$A$72&lt;19)*I$12:I$72*$E$12:$E$72*$B$12:$B$72))))/12</f>
        <v>390.005893729578</v>
      </c>
      <c r="I238" s="48" t="n">
        <f aca="false">((INDEX($E$12:$E$72,20+1)*SUMPRODUCT(($A$12:$A$72&gt;=20)*I$12:I$72*$B$5*$C$12:$C$72*$B$12:$B$72)/(1+Assumptions!$B$10)^20)+SUMPRODUCT(($A$12:$A$72&lt;20)*I$12:I$72*$E$12:$E$72*$D$12:$D$72*$B$12:$B$72)+INDEX($E$12:$E$72,20+1)*SUMPRODUCT(($A$12:$A$72&gt;=20)*I$12:I$72*$D$12:$D$72*$B$12:$B$72))/((SUMPRODUCT(($A$12:$A$72&lt;20)*I$12:I$72*$E$12:$E$72*$B$12:$B$72))*(1-Assumptions!$B$13-(SUMPRODUCT(($A$12:$A$72&lt;20)*I$12:I$72*$E$12:$E$72*$F$12:$F$72*$B$12:$B$72))/(SUMPRODUCT(($A$12:$A$72&lt;20)*I$12:I$72*$E$12:$E$72*$B$12:$B$72))))/12</f>
        <v>335.809687843536</v>
      </c>
      <c r="J238" s="48" t="n">
        <f aca="false">((INDEX($E$12:$E$72,21+1)*SUMPRODUCT(($A$12:$A$72&gt;=21)*I$12:I$72*$B$5*$C$12:$C$72*$B$12:$B$72)/(1+Assumptions!$B$10)^21)+SUMPRODUCT(($A$12:$A$72&lt;21)*I$12:I$72*$E$12:$E$72*$D$12:$D$72*$B$12:$B$72)+INDEX($E$12:$E$72,21+1)*SUMPRODUCT(($A$12:$A$72&gt;=21)*I$12:I$72*$D$12:$D$72*$B$12:$B$72))/((SUMPRODUCT(($A$12:$A$72&lt;21)*I$12:I$72*$E$12:$E$72*$B$12:$B$72))*(1-Assumptions!$B$13-(SUMPRODUCT(($A$12:$A$72&lt;21)*I$12:I$72*$E$12:$E$72*$F$12:$F$72*$B$12:$B$72))/(SUMPRODUCT(($A$12:$A$72&lt;21)*I$12:I$72*$E$12:$E$72*$B$12:$B$72))))/12</f>
        <v>288.643148571043</v>
      </c>
      <c r="K238" s="48" t="n">
        <f aca="false">((INDEX($E$12:$E$72,22+1)*SUMPRODUCT(($A$12:$A$72&gt;=22)*I$12:I$72*$B$5*$C$12:$C$72*$B$12:$B$72)/(1+Assumptions!$B$10)^22)+SUMPRODUCT(($A$12:$A$72&lt;22)*I$12:I$72*$E$12:$E$72*$D$12:$D$72*$B$12:$B$72)+INDEX($E$12:$E$72,22+1)*SUMPRODUCT(($A$12:$A$72&gt;=22)*I$12:I$72*$D$12:$D$72*$B$12:$B$72))/((SUMPRODUCT(($A$12:$A$72&lt;22)*I$12:I$72*$E$12:$E$72*$B$12:$B$72))*(1-Assumptions!$B$13-(SUMPRODUCT(($A$12:$A$72&lt;22)*I$12:I$72*$E$12:$E$72*$F$12:$F$72*$B$12:$B$72))/(SUMPRODUCT(($A$12:$A$72&lt;22)*I$12:I$72*$E$12:$E$72*$B$12:$B$72))))/12</f>
        <v>247.524886628575</v>
      </c>
      <c r="L238" s="48" t="n">
        <f aca="false">((INDEX($E$12:$E$72,23+1)*SUMPRODUCT(($A$12:$A$72&gt;=23)*I$12:I$72*$B$5*$C$12:$C$72*$B$12:$B$72)/(1+Assumptions!$B$10)^23)+SUMPRODUCT(($A$12:$A$72&lt;23)*I$12:I$72*$E$12:$E$72*$D$12:$D$72*$B$12:$B$72)+INDEX($E$12:$E$72,23+1)*SUMPRODUCT(($A$12:$A$72&gt;=23)*I$12:I$72*$D$12:$D$72*$B$12:$B$72))/((SUMPRODUCT(($A$12:$A$72&lt;23)*I$12:I$72*$E$12:$E$72*$B$12:$B$72))*(1-Assumptions!$B$13-(SUMPRODUCT(($A$12:$A$72&lt;23)*I$12:I$72*$E$12:$E$72*$F$12:$F$72*$B$12:$B$72))/(SUMPRODUCT(($A$12:$A$72&lt;23)*I$12:I$72*$E$12:$E$72*$B$12:$B$72))))/12</f>
        <v>211.650361676981</v>
      </c>
      <c r="M238" s="48" t="n">
        <f aca="false">((INDEX($E$12:$E$72,24+1)*SUMPRODUCT(($A$12:$A$72&gt;=24)*I$12:I$72*$B$5*$C$12:$C$72*$B$12:$B$72)/(1+Assumptions!$B$10)^24)+SUMPRODUCT(($A$12:$A$72&lt;24)*I$12:I$72*$E$12:$E$72*$D$12:$D$72*$B$12:$B$72)+INDEX($E$12:$E$72,24+1)*SUMPRODUCT(($A$12:$A$72&gt;=24)*I$12:I$72*$D$12:$D$72*$B$12:$B$72))/((SUMPRODUCT(($A$12:$A$72&lt;24)*I$12:I$72*$E$12:$E$72*$B$12:$B$72))*(1-Assumptions!$B$13-(SUMPRODUCT(($A$12:$A$72&lt;24)*I$12:I$72*$E$12:$E$72*$F$12:$F$72*$B$12:$B$72))/(SUMPRODUCT(($A$12:$A$72&lt;24)*I$12:I$72*$E$12:$E$72*$B$12:$B$72))))/12</f>
        <v>180.352853410888</v>
      </c>
      <c r="N238" s="48" t="n">
        <f aca="false">((INDEX($E$12:$E$72,25+1)*SUMPRODUCT(($A$12:$A$72&gt;=25)*I$12:I$72*$B$5*$C$12:$C$72*$B$12:$B$72)/(1+Assumptions!$B$10)^25)+SUMPRODUCT(($A$12:$A$72&lt;25)*I$12:I$72*$E$12:$E$72*$D$12:$D$72*$B$12:$B$72)+INDEX($E$12:$E$72,25+1)*SUMPRODUCT(($A$12:$A$72&gt;=25)*I$12:I$72*$D$12:$D$72*$B$12:$B$72))/((SUMPRODUCT(($A$12:$A$72&lt;25)*I$12:I$72*$E$12:$E$72*$B$12:$B$72))*(1-Assumptions!$B$13-(SUMPRODUCT(($A$12:$A$72&lt;25)*I$12:I$72*$E$12:$E$72*$F$12:$F$72*$B$12:$B$72))/(SUMPRODUCT(($A$12:$A$72&lt;25)*I$12:I$72*$E$12:$E$72*$B$12:$B$72))))/12</f>
        <v>153.114091650785</v>
      </c>
      <c r="O238" s="48" t="n">
        <f aca="false">((INDEX($E$12:$E$72,26+1)*SUMPRODUCT(($A$12:$A$72&gt;=26)*I$12:I$72*$B$5*$C$12:$C$72*$B$12:$B$72)/(1+Assumptions!$B$10)^26)+SUMPRODUCT(($A$12:$A$72&lt;26)*I$12:I$72*$E$12:$E$72*$D$12:$D$72*$B$12:$B$72)+INDEX($E$12:$E$72,26+1)*SUMPRODUCT(($A$12:$A$72&gt;=26)*I$12:I$72*$D$12:$D$72*$B$12:$B$72))/((SUMPRODUCT(($A$12:$A$72&lt;26)*I$12:I$72*$E$12:$E$72*$B$12:$B$72))*(1-Assumptions!$B$13-(SUMPRODUCT(($A$12:$A$72&lt;26)*I$12:I$72*$E$12:$E$72*$F$12:$F$72*$B$12:$B$72))/(SUMPRODUCT(($A$12:$A$72&lt;26)*I$12:I$72*$E$12:$E$72*$B$12:$B$72))))/12</f>
        <v>129.464910516207</v>
      </c>
      <c r="P238" s="48" t="n">
        <f aca="false">((INDEX($E$12:$E$72,27+1)*SUMPRODUCT(($A$12:$A$72&gt;=27)*I$12:I$72*$B$5*$C$12:$C$72*$B$12:$B$72)/(1+Assumptions!$B$10)^27)+SUMPRODUCT(($A$12:$A$72&lt;27)*I$12:I$72*$E$12:$E$72*$D$12:$D$72*$B$12:$B$72)+INDEX($E$12:$E$72,27+1)*SUMPRODUCT(($A$12:$A$72&gt;=27)*I$12:I$72*$D$12:$D$72*$B$12:$B$72))/((SUMPRODUCT(($A$12:$A$72&lt;27)*I$12:I$72*$E$12:$E$72*$B$12:$B$72))*(1-Assumptions!$B$13-(SUMPRODUCT(($A$12:$A$72&lt;27)*I$12:I$72*$E$12:$E$72*$F$12:$F$72*$B$12:$B$72))/(SUMPRODUCT(($A$12:$A$72&lt;27)*I$12:I$72*$E$12:$E$72*$B$12:$B$72))))/12</f>
        <v>109.013742114183</v>
      </c>
      <c r="Q238" s="48" t="n">
        <f aca="false">((INDEX($E$12:$E$72,28+1)*SUMPRODUCT(($A$12:$A$72&gt;=28)*I$12:I$72*$B$5*$C$12:$C$72*$B$12:$B$72)/(1+Assumptions!$B$10)^28)+SUMPRODUCT(($A$12:$A$72&lt;28)*I$12:I$72*$E$12:$E$72*$D$12:$D$72*$B$12:$B$72)+INDEX($E$12:$E$72,28+1)*SUMPRODUCT(($A$12:$A$72&gt;=28)*I$12:I$72*$D$12:$D$72*$B$12:$B$72))/((SUMPRODUCT(($A$12:$A$72&lt;28)*I$12:I$72*$E$12:$E$72*$B$12:$B$72))*(1-Assumptions!$B$13-(SUMPRODUCT(($A$12:$A$72&lt;28)*I$12:I$72*$E$12:$E$72*$F$12:$F$72*$B$12:$B$72))/(SUMPRODUCT(($A$12:$A$72&lt;28)*I$12:I$72*$E$12:$E$72*$B$12:$B$72))))/12</f>
        <v>91.4130524907429</v>
      </c>
    </row>
    <row r="239" customFormat="false" ht="15" hidden="false" customHeight="true" outlineLevel="0" collapsed="false">
      <c r="A239" s="3" t="n">
        <v>63</v>
      </c>
      <c r="B239" s="48" t="n">
        <f aca="false">((INDEX($E$12:$E$72,12+1)*SUMPRODUCT(($A$12:$A$72&gt;=12)*J$12:J$72*$B$5*$C$12:$C$72*$B$12:$B$72)/(1+Assumptions!$B$10)^12)+SUMPRODUCT(($A$12:$A$72&lt;12)*J$12:J$72*$E$12:$E$72*$D$12:$D$72*$B$12:$B$72)+INDEX($E$12:$E$72,12+1)*SUMPRODUCT(($A$12:$A$72&gt;=12)*J$12:J$72*$D$12:$D$72*$B$12:$B$72))/((SUMPRODUCT(($A$12:$A$72&lt;12)*J$12:J$72*$E$12:$E$72*$B$12:$B$72))*(1-Assumptions!$B$13-(SUMPRODUCT(($A$12:$A$72&lt;12)*J$12:J$72*$E$12:$E$72*$F$12:$F$72*$B$12:$B$72))/(SUMPRODUCT(($A$12:$A$72&lt;12)*J$12:J$72*$E$12:$E$72*$B$12:$B$72))))/12</f>
        <v>1070.57722488807</v>
      </c>
      <c r="C239" s="48" t="n">
        <f aca="false">((INDEX($E$12:$E$72,13+1)*SUMPRODUCT(($A$12:$A$72&gt;=13)*J$12:J$72*$B$5*$C$12:$C$72*$B$12:$B$72)/(1+Assumptions!$B$10)^13)+SUMPRODUCT(($A$12:$A$72&lt;13)*J$12:J$72*$E$12:$E$72*$D$12:$D$72*$B$12:$B$72)+INDEX($E$12:$E$72,13+1)*SUMPRODUCT(($A$12:$A$72&gt;=13)*J$12:J$72*$D$12:$D$72*$B$12:$B$72))/((SUMPRODUCT(($A$12:$A$72&lt;13)*J$12:J$72*$E$12:$E$72*$B$12:$B$72))*(1-Assumptions!$B$13-(SUMPRODUCT(($A$12:$A$72&lt;13)*J$12:J$72*$E$12:$E$72*$F$12:$F$72*$B$12:$B$72))/(SUMPRODUCT(($A$12:$A$72&lt;13)*J$12:J$72*$E$12:$E$72*$B$12:$B$72))))/12</f>
        <v>909.456623735454</v>
      </c>
      <c r="D239" s="48" t="n">
        <f aca="false">((INDEX($E$12:$E$72,14+1)*SUMPRODUCT(($A$12:$A$72&gt;=14)*J$12:J$72*$B$5*$C$12:$C$72*$B$12:$B$72)/(1+Assumptions!$B$10)^14)+SUMPRODUCT(($A$12:$A$72&lt;14)*J$12:J$72*$E$12:$E$72*$D$12:$D$72*$B$12:$B$72)+INDEX($E$12:$E$72,14+1)*SUMPRODUCT(($A$12:$A$72&gt;=14)*J$12:J$72*$D$12:$D$72*$B$12:$B$72))/((SUMPRODUCT(($A$12:$A$72&lt;14)*J$12:J$72*$E$12:$E$72*$B$12:$B$72))*(1-Assumptions!$B$13-(SUMPRODUCT(($A$12:$A$72&lt;14)*J$12:J$72*$E$12:$E$72*$F$12:$F$72*$B$12:$B$72))/(SUMPRODUCT(($A$12:$A$72&lt;14)*J$12:J$72*$E$12:$E$72*$B$12:$B$72))))/12</f>
        <v>775.93483123583</v>
      </c>
      <c r="E239" s="48" t="n">
        <f aca="false">((INDEX($E$12:$E$72,15+1)*SUMPRODUCT(($A$12:$A$72&gt;=15)*J$12:J$72*$B$5*$C$12:$C$72*$B$12:$B$72)/(1+Assumptions!$B$10)^15)+SUMPRODUCT(($A$12:$A$72&lt;15)*J$12:J$72*$E$12:$E$72*$D$12:$D$72*$B$12:$B$72)+INDEX($E$12:$E$72,15+1)*SUMPRODUCT(($A$12:$A$72&gt;=15)*J$12:J$72*$D$12:$D$72*$B$12:$B$72))/((SUMPRODUCT(($A$12:$A$72&lt;15)*J$12:J$72*$E$12:$E$72*$B$12:$B$72))*(1-Assumptions!$B$13-(SUMPRODUCT(($A$12:$A$72&lt;15)*J$12:J$72*$E$12:$E$72*$F$12:$F$72*$B$12:$B$72))/(SUMPRODUCT(($A$12:$A$72&lt;15)*J$12:J$72*$E$12:$E$72*$B$12:$B$72))))/12</f>
        <v>663.96948944055</v>
      </c>
      <c r="F239" s="48" t="n">
        <f aca="false">((INDEX($E$12:$E$72,16+1)*SUMPRODUCT(($A$12:$A$72&gt;=16)*J$12:J$72*$B$5*$C$12:$C$72*$B$12:$B$72)/(1+Assumptions!$B$10)^16)+SUMPRODUCT(($A$12:$A$72&lt;16)*J$12:J$72*$E$12:$E$72*$D$12:$D$72*$B$12:$B$72)+INDEX($E$12:$E$72,16+1)*SUMPRODUCT(($A$12:$A$72&gt;=16)*J$12:J$72*$D$12:$D$72*$B$12:$B$72))/((SUMPRODUCT(($A$12:$A$72&lt;16)*J$12:J$72*$E$12:$E$72*$B$12:$B$72))*(1-Assumptions!$B$13-(SUMPRODUCT(($A$12:$A$72&lt;16)*J$12:J$72*$E$12:$E$72*$F$12:$F$72*$B$12:$B$72))/(SUMPRODUCT(($A$12:$A$72&lt;16)*J$12:J$72*$E$12:$E$72*$B$12:$B$72))))/12</f>
        <v>569.412147052253</v>
      </c>
      <c r="G239" s="48" t="n">
        <f aca="false">((INDEX($E$12:$E$72,17+1)*SUMPRODUCT(($A$12:$A$72&gt;=17)*J$12:J$72*$B$5*$C$12:$C$72*$B$12:$B$72)/(1+Assumptions!$B$10)^17)+SUMPRODUCT(($A$12:$A$72&lt;17)*J$12:J$72*$E$12:$E$72*$D$12:$D$72*$B$12:$B$72)+INDEX($E$12:$E$72,17+1)*SUMPRODUCT(($A$12:$A$72&gt;=17)*J$12:J$72*$D$12:$D$72*$B$12:$B$72))/((SUMPRODUCT(($A$12:$A$72&lt;17)*J$12:J$72*$E$12:$E$72*$B$12:$B$72))*(1-Assumptions!$B$13-(SUMPRODUCT(($A$12:$A$72&lt;17)*J$12:J$72*$E$12:$E$72*$F$12:$F$72*$B$12:$B$72))/(SUMPRODUCT(($A$12:$A$72&lt;17)*J$12:J$72*$E$12:$E$72*$B$12:$B$72))))/12</f>
        <v>488.882955345569</v>
      </c>
      <c r="H239" s="48" t="n">
        <f aca="false">((INDEX($E$12:$E$72,18+1)*SUMPRODUCT(($A$12:$A$72&gt;=18)*J$12:J$72*$B$5*$C$12:$C$72*$B$12:$B$72)/(1+Assumptions!$B$10)^18)+SUMPRODUCT(($A$12:$A$72&lt;18)*J$12:J$72*$E$12:$E$72*$D$12:$D$72*$B$12:$B$72)+INDEX($E$12:$E$72,18+1)*SUMPRODUCT(($A$12:$A$72&gt;=18)*J$12:J$72*$D$12:$D$72*$B$12:$B$72))/((SUMPRODUCT(($A$12:$A$72&lt;18)*J$12:J$72*$E$12:$E$72*$B$12:$B$72))*(1-Assumptions!$B$13-(SUMPRODUCT(($A$12:$A$72&lt;18)*J$12:J$72*$E$12:$E$72*$F$12:$F$72*$B$12:$B$72))/(SUMPRODUCT(($A$12:$A$72&lt;18)*J$12:J$72*$E$12:$E$72*$B$12:$B$72))))/12</f>
        <v>419.787034097755</v>
      </c>
      <c r="I239" s="48" t="n">
        <f aca="false">((INDEX($E$12:$E$72,19+1)*SUMPRODUCT(($A$12:$A$72&gt;=19)*J$12:J$72*$B$5*$C$12:$C$72*$B$12:$B$72)/(1+Assumptions!$B$10)^19)+SUMPRODUCT(($A$12:$A$72&lt;19)*J$12:J$72*$E$12:$E$72*$D$12:$D$72*$B$12:$B$72)+INDEX($E$12:$E$72,19+1)*SUMPRODUCT(($A$12:$A$72&gt;=19)*J$12:J$72*$D$12:$D$72*$B$12:$B$72))/((SUMPRODUCT(($A$12:$A$72&lt;19)*J$12:J$72*$E$12:$E$72*$B$12:$B$72))*(1-Assumptions!$B$13-(SUMPRODUCT(($A$12:$A$72&lt;19)*J$12:J$72*$E$12:$E$72*$F$12:$F$72*$B$12:$B$72))/(SUMPRODUCT(($A$12:$A$72&lt;19)*J$12:J$72*$E$12:$E$72*$B$12:$B$72))))/12</f>
        <v>360.219572356283</v>
      </c>
      <c r="J239" s="48" t="n">
        <f aca="false">((INDEX($E$12:$E$72,20+1)*SUMPRODUCT(($A$12:$A$72&gt;=20)*J$12:J$72*$B$5*$C$12:$C$72*$B$12:$B$72)/(1+Assumptions!$B$10)^20)+SUMPRODUCT(($A$12:$A$72&lt;20)*J$12:J$72*$E$12:$E$72*$D$12:$D$72*$B$12:$B$72)+INDEX($E$12:$E$72,20+1)*SUMPRODUCT(($A$12:$A$72&gt;=20)*J$12:J$72*$D$12:$D$72*$B$12:$B$72))/((SUMPRODUCT(($A$12:$A$72&lt;20)*J$12:J$72*$E$12:$E$72*$B$12:$B$72))*(1-Assumptions!$B$13-(SUMPRODUCT(($A$12:$A$72&lt;20)*J$12:J$72*$E$12:$E$72*$F$12:$F$72*$B$12:$B$72))/(SUMPRODUCT(($A$12:$A$72&lt;20)*J$12:J$72*$E$12:$E$72*$B$12:$B$72))))/12</f>
        <v>308.655624947931</v>
      </c>
      <c r="K239" s="48" t="n">
        <f aca="false">((INDEX($E$12:$E$72,21+1)*SUMPRODUCT(($A$12:$A$72&gt;=21)*J$12:J$72*$B$5*$C$12:$C$72*$B$12:$B$72)/(1+Assumptions!$B$10)^21)+SUMPRODUCT(($A$12:$A$72&lt;21)*J$12:J$72*$E$12:$E$72*$D$12:$D$72*$B$12:$B$72)+INDEX($E$12:$E$72,21+1)*SUMPRODUCT(($A$12:$A$72&gt;=21)*J$12:J$72*$D$12:$D$72*$B$12:$B$72))/((SUMPRODUCT(($A$12:$A$72&lt;21)*J$12:J$72*$E$12:$E$72*$B$12:$B$72))*(1-Assumptions!$B$13-(SUMPRODUCT(($A$12:$A$72&lt;21)*J$12:J$72*$E$12:$E$72*$F$12:$F$72*$B$12:$B$72))/(SUMPRODUCT(($A$12:$A$72&lt;21)*J$12:J$72*$E$12:$E$72*$B$12:$B$72))))/12</f>
        <v>263.906724650358</v>
      </c>
      <c r="L239" s="48" t="n">
        <f aca="false">((INDEX($E$12:$E$72,22+1)*SUMPRODUCT(($A$12:$A$72&gt;=22)*J$12:J$72*$B$5*$C$12:$C$72*$B$12:$B$72)/(1+Assumptions!$B$10)^22)+SUMPRODUCT(($A$12:$A$72&lt;22)*J$12:J$72*$E$12:$E$72*$D$12:$D$72*$B$12:$B$72)+INDEX($E$12:$E$72,22+1)*SUMPRODUCT(($A$12:$A$72&gt;=22)*J$12:J$72*$D$12:$D$72*$B$12:$B$72))/((SUMPRODUCT(($A$12:$A$72&lt;22)*J$12:J$72*$E$12:$E$72*$B$12:$B$72))*(1-Assumptions!$B$13-(SUMPRODUCT(($A$12:$A$72&lt;22)*J$12:J$72*$E$12:$E$72*$F$12:$F$72*$B$12:$B$72))/(SUMPRODUCT(($A$12:$A$72&lt;22)*J$12:J$72*$E$12:$E$72*$B$12:$B$72))))/12</f>
        <v>225.023180732087</v>
      </c>
      <c r="M239" s="48" t="n">
        <f aca="false">((INDEX($E$12:$E$72,23+1)*SUMPRODUCT(($A$12:$A$72&gt;=23)*J$12:J$72*$B$5*$C$12:$C$72*$B$12:$B$72)/(1+Assumptions!$B$10)^23)+SUMPRODUCT(($A$12:$A$72&lt;23)*J$12:J$72*$E$12:$E$72*$D$12:$D$72*$B$12:$B$72)+INDEX($E$12:$E$72,23+1)*SUMPRODUCT(($A$12:$A$72&gt;=23)*J$12:J$72*$D$12:$D$72*$B$12:$B$72))/((SUMPRODUCT(($A$12:$A$72&lt;23)*J$12:J$72*$E$12:$E$72*$B$12:$B$72))*(1-Assumptions!$B$13-(SUMPRODUCT(($A$12:$A$72&lt;23)*J$12:J$72*$E$12:$E$72*$F$12:$F$72*$B$12:$B$72))/(SUMPRODUCT(($A$12:$A$72&lt;23)*J$12:J$72*$E$12:$E$72*$B$12:$B$72))))/12</f>
        <v>191.225502307403</v>
      </c>
      <c r="N239" s="48" t="n">
        <f aca="false">((INDEX($E$12:$E$72,24+1)*SUMPRODUCT(($A$12:$A$72&gt;=24)*J$12:J$72*$B$5*$C$12:$C$72*$B$12:$B$72)/(1+Assumptions!$B$10)^24)+SUMPRODUCT(($A$12:$A$72&lt;24)*J$12:J$72*$E$12:$E$72*$D$12:$D$72*$B$12:$B$72)+INDEX($E$12:$E$72,24+1)*SUMPRODUCT(($A$12:$A$72&gt;=24)*J$12:J$72*$D$12:$D$72*$B$12:$B$72))/((SUMPRODUCT(($A$12:$A$72&lt;24)*J$12:J$72*$E$12:$E$72*$B$12:$B$72))*(1-Assumptions!$B$13-(SUMPRODUCT(($A$12:$A$72&lt;24)*J$12:J$72*$E$12:$E$72*$F$12:$F$72*$B$12:$B$72))/(SUMPRODUCT(($A$12:$A$72&lt;24)*J$12:J$72*$E$12:$E$72*$B$12:$B$72))))/12</f>
        <v>161.904917628265</v>
      </c>
      <c r="O239" s="48" t="n">
        <f aca="false">((INDEX($E$12:$E$72,25+1)*SUMPRODUCT(($A$12:$A$72&gt;=25)*J$12:J$72*$B$5*$C$12:$C$72*$B$12:$B$72)/(1+Assumptions!$B$10)^25)+SUMPRODUCT(($A$12:$A$72&lt;25)*J$12:J$72*$E$12:$E$72*$D$12:$D$72*$B$12:$B$72)+INDEX($E$12:$E$72,25+1)*SUMPRODUCT(($A$12:$A$72&gt;=25)*J$12:J$72*$D$12:$D$72*$B$12:$B$72))/((SUMPRODUCT(($A$12:$A$72&lt;25)*J$12:J$72*$E$12:$E$72*$B$12:$B$72))*(1-Assumptions!$B$13-(SUMPRODUCT(($A$12:$A$72&lt;25)*J$12:J$72*$E$12:$E$72*$F$12:$F$72*$B$12:$B$72))/(SUMPRODUCT(($A$12:$A$72&lt;25)*J$12:J$72*$E$12:$E$72*$B$12:$B$72))))/12</f>
        <v>136.532176211278</v>
      </c>
      <c r="P239" s="48" t="n">
        <f aca="false">((INDEX($E$12:$E$72,26+1)*SUMPRODUCT(($A$12:$A$72&gt;=26)*J$12:J$72*$B$5*$C$12:$C$72*$B$12:$B$72)/(1+Assumptions!$B$10)^26)+SUMPRODUCT(($A$12:$A$72&lt;26)*J$12:J$72*$E$12:$E$72*$D$12:$D$72*$B$12:$B$72)+INDEX($E$12:$E$72,26+1)*SUMPRODUCT(($A$12:$A$72&gt;=26)*J$12:J$72*$D$12:$D$72*$B$12:$B$72))/((SUMPRODUCT(($A$12:$A$72&lt;26)*J$12:J$72*$E$12:$E$72*$B$12:$B$72))*(1-Assumptions!$B$13-(SUMPRODUCT(($A$12:$A$72&lt;26)*J$12:J$72*$E$12:$E$72*$F$12:$F$72*$B$12:$B$72))/(SUMPRODUCT(($A$12:$A$72&lt;26)*J$12:J$72*$E$12:$E$72*$B$12:$B$72))))/12</f>
        <v>114.648836892632</v>
      </c>
      <c r="Q239" s="48" t="n">
        <f aca="false">((INDEX($E$12:$E$72,27+1)*SUMPRODUCT(($A$12:$A$72&gt;=27)*J$12:J$72*$B$5*$C$12:$C$72*$B$12:$B$72)/(1+Assumptions!$B$10)^27)+SUMPRODUCT(($A$12:$A$72&lt;27)*J$12:J$72*$E$12:$E$72*$D$12:$D$72*$B$12:$B$72)+INDEX($E$12:$E$72,27+1)*SUMPRODUCT(($A$12:$A$72&gt;=27)*J$12:J$72*$D$12:$D$72*$B$12:$B$72))/((SUMPRODUCT(($A$12:$A$72&lt;27)*J$12:J$72*$E$12:$E$72*$B$12:$B$72))*(1-Assumptions!$B$13-(SUMPRODUCT(($A$12:$A$72&lt;27)*J$12:J$72*$E$12:$E$72*$F$12:$F$72*$B$12:$B$72))/(SUMPRODUCT(($A$12:$A$72&lt;27)*J$12:J$72*$E$12:$E$72*$B$12:$B$72))))/12</f>
        <v>95.8697604780185</v>
      </c>
    </row>
    <row r="240" customFormat="false" ht="15" hidden="false" customHeight="true" outlineLevel="0" collapsed="false">
      <c r="A240" s="3" t="n">
        <v>64</v>
      </c>
      <c r="B240" s="48" t="n">
        <f aca="false">((INDEX($E$12:$E$72,11+1)*SUMPRODUCT(($A$12:$A$72&gt;=11)*K$12:K$72*$B$5*$C$12:$C$72*$B$12:$B$72)/(1+Assumptions!$B$10)^11)+SUMPRODUCT(($A$12:$A$72&lt;11)*K$12:K$72*$E$12:$E$72*$D$12:$D$72*$B$12:$B$72)+INDEX($E$12:$E$72,11+1)*SUMPRODUCT(($A$12:$A$72&gt;=11)*K$12:K$72*$D$12:$D$72*$B$12:$B$72))/((SUMPRODUCT(($A$12:$A$72&lt;11)*K$12:K$72*$E$12:$E$72*$B$12:$B$72))*(1-Assumptions!$B$13-(SUMPRODUCT(($A$12:$A$72&lt;11)*K$12:K$72*$E$12:$E$72*$F$12:$F$72*$B$12:$B$72))/(SUMPRODUCT(($A$12:$A$72&lt;11)*K$12:K$72*$E$12:$E$72*$B$12:$B$72))))/12</f>
        <v>1201.34806356562</v>
      </c>
      <c r="C240" s="48" t="n">
        <f aca="false">((INDEX($E$12:$E$72,12+1)*SUMPRODUCT(($A$12:$A$72&gt;=12)*K$12:K$72*$B$5*$C$12:$C$72*$B$12:$B$72)/(1+Assumptions!$B$10)^12)+SUMPRODUCT(($A$12:$A$72&lt;12)*K$12:K$72*$E$12:$E$72*$D$12:$D$72*$B$12:$B$72)+INDEX($E$12:$E$72,12+1)*SUMPRODUCT(($A$12:$A$72&gt;=12)*K$12:K$72*$D$12:$D$72*$B$12:$B$72))/((SUMPRODUCT(($A$12:$A$72&lt;12)*K$12:K$72*$E$12:$E$72*$B$12:$B$72))*(1-Assumptions!$B$13-(SUMPRODUCT(($A$12:$A$72&lt;12)*K$12:K$72*$E$12:$E$72*$F$12:$F$72*$B$12:$B$72))/(SUMPRODUCT(($A$12:$A$72&lt;12)*K$12:K$72*$E$12:$E$72*$B$12:$B$72))))/12</f>
        <v>1011.59623112903</v>
      </c>
      <c r="D240" s="48" t="n">
        <f aca="false">((INDEX($E$12:$E$72,13+1)*SUMPRODUCT(($A$12:$A$72&gt;=13)*K$12:K$72*$B$5*$C$12:$C$72*$B$12:$B$72)/(1+Assumptions!$B$10)^13)+SUMPRODUCT(($A$12:$A$72&lt;13)*K$12:K$72*$E$12:$E$72*$D$12:$D$72*$B$12:$B$72)+INDEX($E$12:$E$72,13+1)*SUMPRODUCT(($A$12:$A$72&gt;=13)*K$12:K$72*$D$12:$D$72*$B$12:$B$72))/((SUMPRODUCT(($A$12:$A$72&lt;13)*K$12:K$72*$E$12:$E$72*$B$12:$B$72))*(1-Assumptions!$B$13-(SUMPRODUCT(($A$12:$A$72&lt;13)*K$12:K$72*$E$12:$E$72*$F$12:$F$72*$B$12:$B$72))/(SUMPRODUCT(($A$12:$A$72&lt;13)*K$12:K$72*$E$12:$E$72*$B$12:$B$72))))/12</f>
        <v>856.699446579479</v>
      </c>
      <c r="E240" s="48" t="n">
        <f aca="false">((INDEX($E$12:$E$72,14+1)*SUMPRODUCT(($A$12:$A$72&gt;=14)*K$12:K$72*$B$5*$C$12:$C$72*$B$12:$B$72)/(1+Assumptions!$B$10)^14)+SUMPRODUCT(($A$12:$A$72&lt;14)*K$12:K$72*$E$12:$E$72*$D$12:$D$72*$B$12:$B$72)+INDEX($E$12:$E$72,14+1)*SUMPRODUCT(($A$12:$A$72&gt;=14)*K$12:K$72*$D$12:$D$72*$B$12:$B$72))/((SUMPRODUCT(($A$12:$A$72&lt;14)*K$12:K$72*$E$12:$E$72*$B$12:$B$72))*(1-Assumptions!$B$13-(SUMPRODUCT(($A$12:$A$72&lt;14)*K$12:K$72*$E$12:$E$72*$F$12:$F$72*$B$12:$B$72))/(SUMPRODUCT(($A$12:$A$72&lt;14)*K$12:K$72*$E$12:$E$72*$B$12:$B$72))))/12</f>
        <v>728.476149428132</v>
      </c>
      <c r="F240" s="48" t="n">
        <f aca="false">((INDEX($E$12:$E$72,15+1)*SUMPRODUCT(($A$12:$A$72&gt;=15)*K$12:K$72*$B$5*$C$12:$C$72*$B$12:$B$72)/(1+Assumptions!$B$10)^15)+SUMPRODUCT(($A$12:$A$72&lt;15)*K$12:K$72*$E$12:$E$72*$D$12:$D$72*$B$12:$B$72)+INDEX($E$12:$E$72,15+1)*SUMPRODUCT(($A$12:$A$72&gt;=15)*K$12:K$72*$D$12:$D$72*$B$12:$B$72))/((SUMPRODUCT(($A$12:$A$72&lt;15)*K$12:K$72*$E$12:$E$72*$B$12:$B$72))*(1-Assumptions!$B$13-(SUMPRODUCT(($A$12:$A$72&lt;15)*K$12:K$72*$E$12:$E$72*$F$12:$F$72*$B$12:$B$72))/(SUMPRODUCT(($A$12:$A$72&lt;15)*K$12:K$72*$E$12:$E$72*$B$12:$B$72))))/12</f>
        <v>621.092981693776</v>
      </c>
      <c r="G240" s="48" t="n">
        <f aca="false">((INDEX($E$12:$E$72,16+1)*SUMPRODUCT(($A$12:$A$72&gt;=16)*K$12:K$72*$B$5*$C$12:$C$72*$B$12:$B$72)/(1+Assumptions!$B$10)^16)+SUMPRODUCT(($A$12:$A$72&lt;16)*K$12:K$72*$E$12:$E$72*$D$12:$D$72*$B$12:$B$72)+INDEX($E$12:$E$72,16+1)*SUMPRODUCT(($A$12:$A$72&gt;=16)*K$12:K$72*$D$12:$D$72*$B$12:$B$72))/((SUMPRODUCT(($A$12:$A$72&lt;16)*K$12:K$72*$E$12:$E$72*$B$12:$B$72))*(1-Assumptions!$B$13-(SUMPRODUCT(($A$12:$A$72&lt;16)*K$12:K$72*$E$12:$E$72*$F$12:$F$72*$B$12:$B$72))/(SUMPRODUCT(($A$12:$A$72&lt;16)*K$12:K$72*$E$12:$E$72*$B$12:$B$72))))/12</f>
        <v>530.544259300095</v>
      </c>
      <c r="H240" s="48" t="n">
        <f aca="false">((INDEX($E$12:$E$72,17+1)*SUMPRODUCT(($A$12:$A$72&gt;=17)*K$12:K$72*$B$5*$C$12:$C$72*$B$12:$B$72)/(1+Assumptions!$B$10)^17)+SUMPRODUCT(($A$12:$A$72&lt;17)*K$12:K$72*$E$12:$E$72*$D$12:$D$72*$B$12:$B$72)+INDEX($E$12:$E$72,17+1)*SUMPRODUCT(($A$12:$A$72&gt;=17)*K$12:K$72*$D$12:$D$72*$B$12:$B$72))/((SUMPRODUCT(($A$12:$A$72&lt;17)*K$12:K$72*$E$12:$E$72*$B$12:$B$72))*(1-Assumptions!$B$13-(SUMPRODUCT(($A$12:$A$72&lt;17)*K$12:K$72*$E$12:$E$72*$F$12:$F$72*$B$12:$B$72))/(SUMPRODUCT(($A$12:$A$72&lt;17)*K$12:K$72*$E$12:$E$72*$B$12:$B$72))))/12</f>
        <v>453.566542683392</v>
      </c>
      <c r="I240" s="48" t="n">
        <f aca="false">((INDEX($E$12:$E$72,18+1)*SUMPRODUCT(($A$12:$A$72&gt;=18)*K$12:K$72*$B$5*$C$12:$C$72*$B$12:$B$72)/(1+Assumptions!$B$10)^18)+SUMPRODUCT(($A$12:$A$72&lt;18)*K$12:K$72*$E$12:$E$72*$D$12:$D$72*$B$12:$B$72)+INDEX($E$12:$E$72,18+1)*SUMPRODUCT(($A$12:$A$72&gt;=18)*K$12:K$72*$D$12:$D$72*$B$12:$B$72))/((SUMPRODUCT(($A$12:$A$72&lt;18)*K$12:K$72*$E$12:$E$72*$B$12:$B$72))*(1-Assumptions!$B$13-(SUMPRODUCT(($A$12:$A$72&lt;18)*K$12:K$72*$E$12:$E$72*$F$12:$F$72*$B$12:$B$72))/(SUMPRODUCT(($A$12:$A$72&lt;18)*K$12:K$72*$E$12:$E$72*$B$12:$B$72))))/12</f>
        <v>387.700596728826</v>
      </c>
      <c r="J240" s="48" t="n">
        <f aca="false">((INDEX($E$12:$E$72,19+1)*SUMPRODUCT(($A$12:$A$72&gt;=19)*K$12:K$72*$B$5*$C$12:$C$72*$B$12:$B$72)/(1+Assumptions!$B$10)^19)+SUMPRODUCT(($A$12:$A$72&lt;19)*K$12:K$72*$E$12:$E$72*$D$12:$D$72*$B$12:$B$72)+INDEX($E$12:$E$72,19+1)*SUMPRODUCT(($A$12:$A$72&gt;=19)*K$12:K$72*$D$12:$D$72*$B$12:$B$72))/((SUMPRODUCT(($A$12:$A$72&lt;19)*K$12:K$72*$E$12:$E$72*$B$12:$B$72))*(1-Assumptions!$B$13-(SUMPRODUCT(($A$12:$A$72&lt;19)*K$12:K$72*$E$12:$E$72*$F$12:$F$72*$B$12:$B$72))/(SUMPRODUCT(($A$12:$A$72&lt;19)*K$12:K$72*$E$12:$E$72*$B$12:$B$72))))/12</f>
        <v>331.055260964064</v>
      </c>
      <c r="K240" s="48" t="n">
        <f aca="false">((INDEX($E$12:$E$72,20+1)*SUMPRODUCT(($A$12:$A$72&gt;=20)*K$12:K$72*$B$5*$C$12:$C$72*$B$12:$B$72)/(1+Assumptions!$B$10)^20)+SUMPRODUCT(($A$12:$A$72&lt;20)*K$12:K$72*$E$12:$E$72*$D$12:$D$72*$B$12:$B$72)+INDEX($E$12:$E$72,20+1)*SUMPRODUCT(($A$12:$A$72&gt;=20)*K$12:K$72*$D$12:$D$72*$B$12:$B$72))/((SUMPRODUCT(($A$12:$A$72&lt;20)*K$12:K$72*$E$12:$E$72*$B$12:$B$72))*(1-Assumptions!$B$13-(SUMPRODUCT(($A$12:$A$72&lt;20)*K$12:K$72*$E$12:$E$72*$F$12:$F$72*$B$12:$B$72))/(SUMPRODUCT(($A$12:$A$72&lt;20)*K$12:K$72*$E$12:$E$72*$B$12:$B$72))))/12</f>
        <v>282.158252034207</v>
      </c>
      <c r="L240" s="48" t="n">
        <f aca="false">((INDEX($E$12:$E$72,21+1)*SUMPRODUCT(($A$12:$A$72&gt;=21)*K$12:K$72*$B$5*$C$12:$C$72*$B$12:$B$72)/(1+Assumptions!$B$10)^21)+SUMPRODUCT(($A$12:$A$72&lt;21)*K$12:K$72*$E$12:$E$72*$D$12:$D$72*$B$12:$B$72)+INDEX($E$12:$E$72,21+1)*SUMPRODUCT(($A$12:$A$72&gt;=21)*K$12:K$72*$D$12:$D$72*$B$12:$B$72))/((SUMPRODUCT(($A$12:$A$72&lt;21)*K$12:K$72*$E$12:$E$72*$B$12:$B$72))*(1-Assumptions!$B$13-(SUMPRODUCT(($A$12:$A$72&lt;21)*K$12:K$72*$E$12:$E$72*$F$12:$F$72*$B$12:$B$72))/(SUMPRODUCT(($A$12:$A$72&lt;21)*K$12:K$72*$E$12:$E$72*$B$12:$B$72))))/12</f>
        <v>239.861183870894</v>
      </c>
      <c r="M240" s="48" t="n">
        <f aca="false">((INDEX($E$12:$E$72,22+1)*SUMPRODUCT(($A$12:$A$72&gt;=22)*K$12:K$72*$B$5*$C$12:$C$72*$B$12:$B$72)/(1+Assumptions!$B$10)^22)+SUMPRODUCT(($A$12:$A$72&lt;22)*K$12:K$72*$E$12:$E$72*$D$12:$D$72*$B$12:$B$72)+INDEX($E$12:$E$72,22+1)*SUMPRODUCT(($A$12:$A$72&gt;=22)*K$12:K$72*$D$12:$D$72*$B$12:$B$72))/((SUMPRODUCT(($A$12:$A$72&lt;22)*K$12:K$72*$E$12:$E$72*$B$12:$B$72))*(1-Assumptions!$B$13-(SUMPRODUCT(($A$12:$A$72&lt;22)*K$12:K$72*$E$12:$E$72*$F$12:$F$72*$B$12:$B$72))/(SUMPRODUCT(($A$12:$A$72&lt;22)*K$12:K$72*$E$12:$E$72*$B$12:$B$72))))/12</f>
        <v>203.245250679921</v>
      </c>
      <c r="N240" s="48" t="n">
        <f aca="false">((INDEX($E$12:$E$72,23+1)*SUMPRODUCT(($A$12:$A$72&gt;=23)*K$12:K$72*$B$5*$C$12:$C$72*$B$12:$B$72)/(1+Assumptions!$B$10)^23)+SUMPRODUCT(($A$12:$A$72&lt;23)*K$12:K$72*$E$12:$E$72*$D$12:$D$72*$B$12:$B$72)+INDEX($E$12:$E$72,23+1)*SUMPRODUCT(($A$12:$A$72&gt;=23)*K$12:K$72*$D$12:$D$72*$B$12:$B$72))/((SUMPRODUCT(($A$12:$A$72&lt;23)*K$12:K$72*$E$12:$E$72*$B$12:$B$72))*(1-Assumptions!$B$13-(SUMPRODUCT(($A$12:$A$72&lt;23)*K$12:K$72*$E$12:$E$72*$F$12:$F$72*$B$12:$B$72))/(SUMPRODUCT(($A$12:$A$72&lt;23)*K$12:K$72*$E$12:$E$72*$B$12:$B$72))))/12</f>
        <v>171.597155509422</v>
      </c>
      <c r="O240" s="48" t="n">
        <f aca="false">((INDEX($E$12:$E$72,24+1)*SUMPRODUCT(($A$12:$A$72&gt;=24)*K$12:K$72*$B$5*$C$12:$C$72*$B$12:$B$72)/(1+Assumptions!$B$10)^24)+SUMPRODUCT(($A$12:$A$72&lt;24)*K$12:K$72*$E$12:$E$72*$D$12:$D$72*$B$12:$B$72)+INDEX($E$12:$E$72,24+1)*SUMPRODUCT(($A$12:$A$72&gt;=24)*K$12:K$72*$D$12:$D$72*$B$12:$B$72))/((SUMPRODUCT(($A$12:$A$72&lt;24)*K$12:K$72*$E$12:$E$72*$B$12:$B$72))*(1-Assumptions!$B$13-(SUMPRODUCT(($A$12:$A$72&lt;24)*K$12:K$72*$E$12:$E$72*$F$12:$F$72*$B$12:$B$72))/(SUMPRODUCT(($A$12:$A$72&lt;24)*K$12:K$72*$E$12:$E$72*$B$12:$B$72))))/12</f>
        <v>144.297288436653</v>
      </c>
      <c r="P240" s="48" t="n">
        <f aca="false">((INDEX($E$12:$E$72,25+1)*SUMPRODUCT(($A$12:$A$72&gt;=25)*K$12:K$72*$B$5*$C$12:$C$72*$B$12:$B$72)/(1+Assumptions!$B$10)^25)+SUMPRODUCT(($A$12:$A$72&lt;25)*K$12:K$72*$E$12:$E$72*$D$12:$D$72*$B$12:$B$72)+INDEX($E$12:$E$72,25+1)*SUMPRODUCT(($A$12:$A$72&gt;=25)*K$12:K$72*$D$12:$D$72*$B$12:$B$72))/((SUMPRODUCT(($A$12:$A$72&lt;25)*K$12:K$72*$E$12:$E$72*$B$12:$B$72))*(1-Assumptions!$B$13-(SUMPRODUCT(($A$12:$A$72&lt;25)*K$12:K$72*$E$12:$E$72*$F$12:$F$72*$B$12:$B$72))/(SUMPRODUCT(($A$12:$A$72&lt;25)*K$12:K$72*$E$12:$E$72*$B$12:$B$72))))/12</f>
        <v>120.829108702879</v>
      </c>
      <c r="Q240" s="48" t="n">
        <f aca="false">((INDEX($E$12:$E$72,26+1)*SUMPRODUCT(($A$12:$A$72&gt;=26)*K$12:K$72*$B$5*$C$12:$C$72*$B$12:$B$72)/(1+Assumptions!$B$10)^26)+SUMPRODUCT(($A$12:$A$72&lt;26)*K$12:K$72*$E$12:$E$72*$D$12:$D$72*$B$12:$B$72)+INDEX($E$12:$E$72,26+1)*SUMPRODUCT(($A$12:$A$72&gt;=26)*K$12:K$72*$D$12:$D$72*$B$12:$B$72))/((SUMPRODUCT(($A$12:$A$72&lt;26)*K$12:K$72*$E$12:$E$72*$B$12:$B$72))*(1-Assumptions!$B$13-(SUMPRODUCT(($A$12:$A$72&lt;26)*K$12:K$72*$E$12:$E$72*$F$12:$F$72*$B$12:$B$72))/(SUMPRODUCT(($A$12:$A$72&lt;26)*K$12:K$72*$E$12:$E$72*$B$12:$B$72))))/12</f>
        <v>100.743261013008</v>
      </c>
    </row>
    <row r="241" customFormat="false" ht="15" hidden="false" customHeight="true" outlineLevel="0" collapsed="false">
      <c r="A241" s="3" t="n">
        <v>65</v>
      </c>
      <c r="B241" s="48" t="n">
        <f aca="false">((INDEX($E$12:$E$72,10+1)*SUMPRODUCT(($A$12:$A$72&gt;=10)*L$12:L$72*$B$5*$C$12:$C$72*$B$12:$B$72)/(1+Assumptions!$B$10)^10)+SUMPRODUCT(($A$12:$A$72&lt;10)*L$12:L$72*$E$12:$E$72*$D$12:$D$72*$B$12:$B$72)+INDEX($E$12:$E$72,10+1)*SUMPRODUCT(($A$12:$A$72&gt;=10)*L$12:L$72*$D$12:$D$72*$B$12:$B$72))/((SUMPRODUCT(($A$12:$A$72&lt;10)*L$12:L$72*$E$12:$E$72*$B$12:$B$72))*(1-Assumptions!$B$13-(SUMPRODUCT(($A$12:$A$72&lt;10)*L$12:L$72*$E$12:$E$72*$F$12:$F$72*$B$12:$B$72))/(SUMPRODUCT(($A$12:$A$72&lt;10)*L$12:L$72*$E$12:$E$72*$B$12:$B$72))))/12</f>
        <v>1362.08662676073</v>
      </c>
      <c r="C241" s="48" t="n">
        <f aca="false">((INDEX($E$12:$E$72,11+1)*SUMPRODUCT(($A$12:$A$72&gt;=11)*L$12:L$72*$B$5*$C$12:$C$72*$B$12:$B$72)/(1+Assumptions!$B$10)^11)+SUMPRODUCT(($A$12:$A$72&lt;11)*L$12:L$72*$E$12:$E$72*$D$12:$D$72*$B$12:$B$72)+INDEX($E$12:$E$72,11+1)*SUMPRODUCT(($A$12:$A$72&gt;=11)*L$12:L$72*$D$12:$D$72*$B$12:$B$72))/((SUMPRODUCT(($A$12:$A$72&lt;11)*L$12:L$72*$E$12:$E$72*$B$12:$B$72))*(1-Assumptions!$B$13-(SUMPRODUCT(($A$12:$A$72&lt;11)*L$12:L$72*$E$12:$E$72*$F$12:$F$72*$B$12:$B$72))/(SUMPRODUCT(($A$12:$A$72&lt;11)*L$12:L$72*$E$12:$E$72*$B$12:$B$72))))/12</f>
        <v>1135.35318090034</v>
      </c>
      <c r="D241" s="48" t="n">
        <f aca="false">((INDEX($E$12:$E$72,12+1)*SUMPRODUCT(($A$12:$A$72&gt;=12)*L$12:L$72*$B$5*$C$12:$C$72*$B$12:$B$72)/(1+Assumptions!$B$10)^12)+SUMPRODUCT(($A$12:$A$72&lt;12)*L$12:L$72*$E$12:$E$72*$D$12:$D$72*$B$12:$B$72)+INDEX($E$12:$E$72,12+1)*SUMPRODUCT(($A$12:$A$72&gt;=12)*L$12:L$72*$D$12:$D$72*$B$12:$B$72))/((SUMPRODUCT(($A$12:$A$72&lt;12)*L$12:L$72*$E$12:$E$72*$B$12:$B$72))*(1-Assumptions!$B$13-(SUMPRODUCT(($A$12:$A$72&lt;12)*L$12:L$72*$E$12:$E$72*$F$12:$F$72*$B$12:$B$72))/(SUMPRODUCT(($A$12:$A$72&lt;12)*L$12:L$72*$E$12:$E$72*$B$12:$B$72))))/12</f>
        <v>953.0638091441</v>
      </c>
      <c r="E241" s="48" t="n">
        <f aca="false">((INDEX($E$12:$E$72,13+1)*SUMPRODUCT(($A$12:$A$72&gt;=13)*L$12:L$72*$B$5*$C$12:$C$72*$B$12:$B$72)/(1+Assumptions!$B$10)^13)+SUMPRODUCT(($A$12:$A$72&lt;13)*L$12:L$72*$E$12:$E$72*$D$12:$D$72*$B$12:$B$72)+INDEX($E$12:$E$72,13+1)*SUMPRODUCT(($A$12:$A$72&gt;=13)*L$12:L$72*$D$12:$D$72*$B$12:$B$72))/((SUMPRODUCT(($A$12:$A$72&lt;13)*L$12:L$72*$E$12:$E$72*$B$12:$B$72))*(1-Assumptions!$B$13-(SUMPRODUCT(($A$12:$A$72&lt;13)*L$12:L$72*$E$12:$E$72*$F$12:$F$72*$B$12:$B$72))/(SUMPRODUCT(($A$12:$A$72&lt;13)*L$12:L$72*$E$12:$E$72*$B$12:$B$72))))/12</f>
        <v>804.415163113848</v>
      </c>
      <c r="F241" s="48" t="n">
        <f aca="false">((INDEX($E$12:$E$72,14+1)*SUMPRODUCT(($A$12:$A$72&gt;=14)*L$12:L$72*$B$5*$C$12:$C$72*$B$12:$B$72)/(1+Assumptions!$B$10)^14)+SUMPRODUCT(($A$12:$A$72&lt;14)*L$12:L$72*$E$12:$E$72*$D$12:$D$72*$B$12:$B$72)+INDEX($E$12:$E$72,14+1)*SUMPRODUCT(($A$12:$A$72&gt;=14)*L$12:L$72*$D$12:$D$72*$B$12:$B$72))/((SUMPRODUCT(($A$12:$A$72&lt;14)*L$12:L$72*$E$12:$E$72*$B$12:$B$72))*(1-Assumptions!$B$13-(SUMPRODUCT(($A$12:$A$72&lt;14)*L$12:L$72*$E$12:$E$72*$F$12:$F$72*$B$12:$B$72))/(SUMPRODUCT(($A$12:$A$72&lt;14)*L$12:L$72*$E$12:$E$72*$B$12:$B$72))))/12</f>
        <v>681.518262220073</v>
      </c>
      <c r="G241" s="48" t="n">
        <f aca="false">((INDEX($E$12:$E$72,15+1)*SUMPRODUCT(($A$12:$A$72&gt;=15)*L$12:L$72*$B$5*$C$12:$C$72*$B$12:$B$72)/(1+Assumptions!$B$10)^15)+SUMPRODUCT(($A$12:$A$72&lt;15)*L$12:L$72*$E$12:$E$72*$D$12:$D$72*$B$12:$B$72)+INDEX($E$12:$E$72,15+1)*SUMPRODUCT(($A$12:$A$72&gt;=15)*L$12:L$72*$D$12:$D$72*$B$12:$B$72))/((SUMPRODUCT(($A$12:$A$72&lt;15)*L$12:L$72*$E$12:$E$72*$B$12:$B$72))*(1-Assumptions!$B$13-(SUMPRODUCT(($A$12:$A$72&lt;15)*L$12:L$72*$E$12:$E$72*$F$12:$F$72*$B$12:$B$72))/(SUMPRODUCT(($A$12:$A$72&lt;15)*L$12:L$72*$E$12:$E$72*$B$12:$B$72))))/12</f>
        <v>578.747857148236</v>
      </c>
      <c r="H241" s="48" t="n">
        <f aca="false">((INDEX($E$12:$E$72,16+1)*SUMPRODUCT(($A$12:$A$72&gt;=16)*L$12:L$72*$B$5*$C$12:$C$72*$B$12:$B$72)/(1+Assumptions!$B$10)^16)+SUMPRODUCT(($A$12:$A$72&lt;16)*L$12:L$72*$E$12:$E$72*$D$12:$D$72*$B$12:$B$72)+INDEX($E$12:$E$72,16+1)*SUMPRODUCT(($A$12:$A$72&gt;=16)*L$12:L$72*$D$12:$D$72*$B$12:$B$72))/((SUMPRODUCT(($A$12:$A$72&lt;16)*L$12:L$72*$E$12:$E$72*$B$12:$B$72))*(1-Assumptions!$B$13-(SUMPRODUCT(($A$12:$A$72&lt;16)*L$12:L$72*$E$12:$E$72*$F$12:$F$72*$B$12:$B$72))/(SUMPRODUCT(($A$12:$A$72&lt;16)*L$12:L$72*$E$12:$E$72*$B$12:$B$72))))/12</f>
        <v>492.240232989928</v>
      </c>
      <c r="I241" s="48" t="n">
        <f aca="false">((INDEX($E$12:$E$72,17+1)*SUMPRODUCT(($A$12:$A$72&gt;=17)*L$12:L$72*$B$5*$C$12:$C$72*$B$12:$B$72)/(1+Assumptions!$B$10)^17)+SUMPRODUCT(($A$12:$A$72&lt;17)*L$12:L$72*$E$12:$E$72*$D$12:$D$72*$B$12:$B$72)+INDEX($E$12:$E$72,17+1)*SUMPRODUCT(($A$12:$A$72&gt;=17)*L$12:L$72*$D$12:$D$72*$B$12:$B$72))/((SUMPRODUCT(($A$12:$A$72&lt;17)*L$12:L$72*$E$12:$E$72*$B$12:$B$72))*(1-Assumptions!$B$13-(SUMPRODUCT(($A$12:$A$72&lt;17)*L$12:L$72*$E$12:$E$72*$F$12:$F$72*$B$12:$B$72))/(SUMPRODUCT(($A$12:$A$72&lt;17)*L$12:L$72*$E$12:$E$72*$B$12:$B$72))))/12</f>
        <v>418.900386165986</v>
      </c>
      <c r="J241" s="48" t="n">
        <f aca="false">((INDEX($E$12:$E$72,18+1)*SUMPRODUCT(($A$12:$A$72&gt;=18)*L$12:L$72*$B$5*$C$12:$C$72*$B$12:$B$72)/(1+Assumptions!$B$10)^18)+SUMPRODUCT(($A$12:$A$72&lt;18)*L$12:L$72*$E$12:$E$72*$D$12:$D$72*$B$12:$B$72)+INDEX($E$12:$E$72,18+1)*SUMPRODUCT(($A$12:$A$72&gt;=18)*L$12:L$72*$D$12:$D$72*$B$12:$B$72))/((SUMPRODUCT(($A$12:$A$72&lt;18)*L$12:L$72*$E$12:$E$72*$B$12:$B$72))*(1-Assumptions!$B$13-(SUMPRODUCT(($A$12:$A$72&lt;18)*L$12:L$72*$E$12:$E$72*$F$12:$F$72*$B$12:$B$72))/(SUMPRODUCT(($A$12:$A$72&lt;18)*L$12:L$72*$E$12:$E$72*$B$12:$B$72))))/12</f>
        <v>356.29730280912</v>
      </c>
      <c r="K241" s="48" t="n">
        <f aca="false">((INDEX($E$12:$E$72,19+1)*SUMPRODUCT(($A$12:$A$72&gt;=19)*L$12:L$72*$B$5*$C$12:$C$72*$B$12:$B$72)/(1+Assumptions!$B$10)^19)+SUMPRODUCT(($A$12:$A$72&lt;19)*L$12:L$72*$E$12:$E$72*$D$12:$D$72*$B$12:$B$72)+INDEX($E$12:$E$72,19+1)*SUMPRODUCT(($A$12:$A$72&gt;=19)*L$12:L$72*$D$12:$D$72*$B$12:$B$72))/((SUMPRODUCT(($A$12:$A$72&lt;19)*L$12:L$72*$E$12:$E$72*$B$12:$B$72))*(1-Assumptions!$B$13-(SUMPRODUCT(($A$12:$A$72&lt;19)*L$12:L$72*$E$12:$E$72*$F$12:$F$72*$B$12:$B$72))/(SUMPRODUCT(($A$12:$A$72&lt;19)*L$12:L$72*$E$12:$E$72*$B$12:$B$72))))/12</f>
        <v>302.607563192588</v>
      </c>
      <c r="L241" s="48" t="n">
        <f aca="false">((INDEX($E$12:$E$72,20+1)*SUMPRODUCT(($A$12:$A$72&gt;=20)*L$12:L$72*$B$5*$C$12:$C$72*$B$12:$B$72)/(1+Assumptions!$B$10)^20)+SUMPRODUCT(($A$12:$A$72&lt;20)*L$12:L$72*$E$12:$E$72*$D$12:$D$72*$B$12:$B$72)+INDEX($E$12:$E$72,20+1)*SUMPRODUCT(($A$12:$A$72&gt;=20)*L$12:L$72*$D$12:$D$72*$B$12:$B$72))/((SUMPRODUCT(($A$12:$A$72&lt;20)*L$12:L$72*$E$12:$E$72*$B$12:$B$72))*(1-Assumptions!$B$13-(SUMPRODUCT(($A$12:$A$72&lt;20)*L$12:L$72*$E$12:$E$72*$F$12:$F$72*$B$12:$B$72))/(SUMPRODUCT(($A$12:$A$72&lt;20)*L$12:L$72*$E$12:$E$72*$B$12:$B$72))))/12</f>
        <v>256.410770014245</v>
      </c>
      <c r="M241" s="48" t="n">
        <f aca="false">((INDEX($E$12:$E$72,21+1)*SUMPRODUCT(($A$12:$A$72&gt;=21)*L$12:L$72*$B$5*$C$12:$C$72*$B$12:$B$72)/(1+Assumptions!$B$10)^21)+SUMPRODUCT(($A$12:$A$72&lt;21)*L$12:L$72*$E$12:$E$72*$D$12:$D$72*$B$12:$B$72)+INDEX($E$12:$E$72,21+1)*SUMPRODUCT(($A$12:$A$72&gt;=21)*L$12:L$72*$D$12:$D$72*$B$12:$B$72))/((SUMPRODUCT(($A$12:$A$72&lt;21)*L$12:L$72*$E$12:$E$72*$B$12:$B$72))*(1-Assumptions!$B$13-(SUMPRODUCT(($A$12:$A$72&lt;21)*L$12:L$72*$E$12:$E$72*$F$12:$F$72*$B$12:$B$72))/(SUMPRODUCT(($A$12:$A$72&lt;21)*L$12:L$72*$E$12:$E$72*$B$12:$B$72))))/12</f>
        <v>216.597716688059</v>
      </c>
      <c r="N241" s="48" t="n">
        <f aca="false">((INDEX($E$12:$E$72,22+1)*SUMPRODUCT(($A$12:$A$72&gt;=22)*L$12:L$72*$B$5*$C$12:$C$72*$B$12:$B$72)/(1+Assumptions!$B$10)^22)+SUMPRODUCT(($A$12:$A$72&lt;22)*L$12:L$72*$E$12:$E$72*$D$12:$D$72*$B$12:$B$72)+INDEX($E$12:$E$72,22+1)*SUMPRODUCT(($A$12:$A$72&gt;=22)*L$12:L$72*$D$12:$D$72*$B$12:$B$72))/((SUMPRODUCT(($A$12:$A$72&lt;22)*L$12:L$72*$E$12:$E$72*$B$12:$B$72))*(1-Assumptions!$B$13-(SUMPRODUCT(($A$12:$A$72&lt;22)*L$12:L$72*$E$12:$E$72*$F$12:$F$72*$B$12:$B$72))/(SUMPRODUCT(($A$12:$A$72&lt;22)*L$12:L$72*$E$12:$E$72*$B$12:$B$72))))/12</f>
        <v>182.325789093561</v>
      </c>
      <c r="O241" s="48" t="n">
        <f aca="false">((INDEX($E$12:$E$72,23+1)*SUMPRODUCT(($A$12:$A$72&gt;=23)*L$12:L$72*$B$5*$C$12:$C$72*$B$12:$B$72)/(1+Assumptions!$B$10)^23)+SUMPRODUCT(($A$12:$A$72&lt;23)*L$12:L$72*$E$12:$E$72*$D$12:$D$72*$B$12:$B$72)+INDEX($E$12:$E$72,23+1)*SUMPRODUCT(($A$12:$A$72&gt;=23)*L$12:L$72*$D$12:$D$72*$B$12:$B$72))/((SUMPRODUCT(($A$12:$A$72&lt;23)*L$12:L$72*$E$12:$E$72*$B$12:$B$72))*(1-Assumptions!$B$13-(SUMPRODUCT(($A$12:$A$72&lt;23)*L$12:L$72*$E$12:$E$72*$F$12:$F$72*$B$12:$B$72))/(SUMPRODUCT(($A$12:$A$72&lt;23)*L$12:L$72*$E$12:$E$72*$B$12:$B$72))))/12</f>
        <v>152.871017821419</v>
      </c>
      <c r="P241" s="48" t="n">
        <f aca="false">((INDEX($E$12:$E$72,24+1)*SUMPRODUCT(($A$12:$A$72&gt;=24)*L$12:L$72*$B$5*$C$12:$C$72*$B$12:$B$72)/(1+Assumptions!$B$10)^24)+SUMPRODUCT(($A$12:$A$72&lt;24)*L$12:L$72*$E$12:$E$72*$D$12:$D$72*$B$12:$B$72)+INDEX($E$12:$E$72,24+1)*SUMPRODUCT(($A$12:$A$72&gt;=24)*L$12:L$72*$D$12:$D$72*$B$12:$B$72))/((SUMPRODUCT(($A$12:$A$72&lt;24)*L$12:L$72*$E$12:$E$72*$B$12:$B$72))*(1-Assumptions!$B$13-(SUMPRODUCT(($A$12:$A$72&lt;24)*L$12:L$72*$E$12:$E$72*$F$12:$F$72*$B$12:$B$72))/(SUMPRODUCT(($A$12:$A$72&lt;24)*L$12:L$72*$E$12:$E$72*$B$12:$B$72))))/12</f>
        <v>127.63015449412</v>
      </c>
      <c r="Q241" s="48" t="n">
        <f aca="false">((INDEX($E$12:$E$72,25+1)*SUMPRODUCT(($A$12:$A$72&gt;=25)*L$12:L$72*$B$5*$C$12:$C$72*$B$12:$B$72)/(1+Assumptions!$B$10)^25)+SUMPRODUCT(($A$12:$A$72&lt;25)*L$12:L$72*$E$12:$E$72*$D$12:$D$72*$B$12:$B$72)+INDEX($E$12:$E$72,25+1)*SUMPRODUCT(($A$12:$A$72&gt;=25)*L$12:L$72*$D$12:$D$72*$B$12:$B$72))/((SUMPRODUCT(($A$12:$A$72&lt;25)*L$12:L$72*$E$12:$E$72*$B$12:$B$72))*(1-Assumptions!$B$13-(SUMPRODUCT(($A$12:$A$72&lt;25)*L$12:L$72*$E$12:$E$72*$F$12:$F$72*$B$12:$B$72))/(SUMPRODUCT(($A$12:$A$72&lt;25)*L$12:L$72*$E$12:$E$72*$B$12:$B$72))))/12</f>
        <v>106.097609509547</v>
      </c>
    </row>
    <row r="242" customFormat="false" ht="15" hidden="false" customHeight="true" outlineLevel="0" collapsed="false">
      <c r="A242" s="3" t="n">
        <v>66</v>
      </c>
      <c r="B242" s="48" t="n">
        <f aca="false">((INDEX($E$12:$E$72,9+1)*SUMPRODUCT(($A$12:$A$72&gt;=9)*M$12:M$72*$B$5*$C$12:$C$72*$B$12:$B$72)/(1+Assumptions!$B$10)^9)+SUMPRODUCT(($A$12:$A$72&lt;9)*M$12:M$72*$E$12:$E$72*$D$12:$D$72*$B$12:$B$72)+INDEX($E$12:$E$72,9+1)*SUMPRODUCT(($A$12:$A$72&gt;=9)*M$12:M$72*$D$12:$D$72*$B$12:$B$72))/((SUMPRODUCT(($A$12:$A$72&lt;9)*M$12:M$72*$E$12:$E$72*$B$12:$B$72))*(1-Assumptions!$B$13-(SUMPRODUCT(($A$12:$A$72&lt;9)*M$12:M$72*$E$12:$E$72*$F$12:$F$72*$B$12:$B$72))/(SUMPRODUCT(($A$12:$A$72&lt;9)*M$12:M$72*$E$12:$E$72*$B$12:$B$72))))/12</f>
        <v>1564.75063966065</v>
      </c>
      <c r="C242" s="48" t="n">
        <f aca="false">((INDEX($E$12:$E$72,10+1)*SUMPRODUCT(($A$12:$A$72&gt;=10)*M$12:M$72*$B$5*$C$12:$C$72*$B$12:$B$72)/(1+Assumptions!$B$10)^10)+SUMPRODUCT(($A$12:$A$72&lt;10)*M$12:M$72*$E$12:$E$72*$D$12:$D$72*$B$12:$B$72)+INDEX($E$12:$E$72,10+1)*SUMPRODUCT(($A$12:$A$72&gt;=10)*M$12:M$72*$D$12:$D$72*$B$12:$B$72))/((SUMPRODUCT(($A$12:$A$72&lt;10)*M$12:M$72*$E$12:$E$72*$B$12:$B$72))*(1-Assumptions!$B$13-(SUMPRODUCT(($A$12:$A$72&lt;10)*M$12:M$72*$E$12:$E$72*$F$12:$F$72*$B$12:$B$72))/(SUMPRODUCT(($A$12:$A$72&lt;10)*M$12:M$72*$E$12:$E$72*$B$12:$B$72))))/12</f>
        <v>1287.49670246961</v>
      </c>
      <c r="D242" s="48" t="n">
        <f aca="false">((INDEX($E$12:$E$72,11+1)*SUMPRODUCT(($A$12:$A$72&gt;=11)*M$12:M$72*$B$5*$C$12:$C$72*$B$12:$B$72)/(1+Assumptions!$B$10)^11)+SUMPRODUCT(($A$12:$A$72&lt;11)*M$12:M$72*$E$12:$E$72*$D$12:$D$72*$B$12:$B$72)+INDEX($E$12:$E$72,11+1)*SUMPRODUCT(($A$12:$A$72&gt;=11)*M$12:M$72*$D$12:$D$72*$B$12:$B$72))/((SUMPRODUCT(($A$12:$A$72&lt;11)*M$12:M$72*$E$12:$E$72*$B$12:$B$72))*(1-Assumptions!$B$13-(SUMPRODUCT(($A$12:$A$72&lt;11)*M$12:M$72*$E$12:$E$72*$F$12:$F$72*$B$12:$B$72))/(SUMPRODUCT(($A$12:$A$72&lt;11)*M$12:M$72*$E$12:$E$72*$B$12:$B$72))))/12</f>
        <v>1069.86002021014</v>
      </c>
      <c r="E242" s="48" t="n">
        <f aca="false">((INDEX($E$12:$E$72,12+1)*SUMPRODUCT(($A$12:$A$72&gt;=12)*M$12:M$72*$B$5*$C$12:$C$72*$B$12:$B$72)/(1+Assumptions!$B$10)^12)+SUMPRODUCT(($A$12:$A$72&lt;12)*M$12:M$72*$E$12:$E$72*$D$12:$D$72*$B$12:$B$72)+INDEX($E$12:$E$72,12+1)*SUMPRODUCT(($A$12:$A$72&gt;=12)*M$12:M$72*$D$12:$D$72*$B$12:$B$72))/((SUMPRODUCT(($A$12:$A$72&lt;12)*M$12:M$72*$E$12:$E$72*$B$12:$B$72))*(1-Assumptions!$B$13-(SUMPRODUCT(($A$12:$A$72&lt;12)*M$12:M$72*$E$12:$E$72*$F$12:$F$72*$B$12:$B$72))/(SUMPRODUCT(($A$12:$A$72&lt;12)*M$12:M$72*$E$12:$E$72*$B$12:$B$72))))/12</f>
        <v>895.056906877081</v>
      </c>
      <c r="F242" s="48" t="n">
        <f aca="false">((INDEX($E$12:$E$72,13+1)*SUMPRODUCT(($A$12:$A$72&gt;=13)*M$12:M$72*$B$5*$C$12:$C$72*$B$12:$B$72)/(1+Assumptions!$B$10)^13)+SUMPRODUCT(($A$12:$A$72&lt;13)*M$12:M$72*$E$12:$E$72*$D$12:$D$72*$B$12:$B$72)+INDEX($E$12:$E$72,13+1)*SUMPRODUCT(($A$12:$A$72&gt;=13)*M$12:M$72*$D$12:$D$72*$B$12:$B$72))/((SUMPRODUCT(($A$12:$A$72&lt;13)*M$12:M$72*$E$12:$E$72*$B$12:$B$72))*(1-Assumptions!$B$13-(SUMPRODUCT(($A$12:$A$72&lt;13)*M$12:M$72*$E$12:$E$72*$F$12:$F$72*$B$12:$B$72))/(SUMPRODUCT(($A$12:$A$72&lt;13)*M$12:M$72*$E$12:$E$72*$B$12:$B$72))))/12</f>
        <v>752.684085603831</v>
      </c>
      <c r="G242" s="48" t="n">
        <f aca="false">((INDEX($E$12:$E$72,14+1)*SUMPRODUCT(($A$12:$A$72&gt;=14)*M$12:M$72*$B$5*$C$12:$C$72*$B$12:$B$72)/(1+Assumptions!$B$10)^14)+SUMPRODUCT(($A$12:$A$72&lt;14)*M$12:M$72*$E$12:$E$72*$D$12:$D$72*$B$12:$B$72)+INDEX($E$12:$E$72,14+1)*SUMPRODUCT(($A$12:$A$72&gt;=14)*M$12:M$72*$D$12:$D$72*$B$12:$B$72))/((SUMPRODUCT(($A$12:$A$72&lt;14)*M$12:M$72*$E$12:$E$72*$B$12:$B$72))*(1-Assumptions!$B$13-(SUMPRODUCT(($A$12:$A$72&lt;14)*M$12:M$72*$E$12:$E$72*$F$12:$F$72*$B$12:$B$72))/(SUMPRODUCT(($A$12:$A$72&lt;14)*M$12:M$72*$E$12:$E$72*$B$12:$B$72))))/12</f>
        <v>635.144135374286</v>
      </c>
      <c r="H242" s="48" t="n">
        <f aca="false">((INDEX($E$12:$E$72,15+1)*SUMPRODUCT(($A$12:$A$72&gt;=15)*M$12:M$72*$B$5*$C$12:$C$72*$B$12:$B$72)/(1+Assumptions!$B$10)^15)+SUMPRODUCT(($A$12:$A$72&lt;15)*M$12:M$72*$E$12:$E$72*$D$12:$D$72*$B$12:$B$72)+INDEX($E$12:$E$72,15+1)*SUMPRODUCT(($A$12:$A$72&gt;=15)*M$12:M$72*$D$12:$D$72*$B$12:$B$72))/((SUMPRODUCT(($A$12:$A$72&lt;15)*M$12:M$72*$E$12:$E$72*$B$12:$B$72))*(1-Assumptions!$B$13-(SUMPRODUCT(($A$12:$A$72&lt;15)*M$12:M$72*$E$12:$E$72*$F$12:$F$72*$B$12:$B$72))/(SUMPRODUCT(($A$12:$A$72&lt;15)*M$12:M$72*$E$12:$E$72*$B$12:$B$72))))/12</f>
        <v>537.019205554574</v>
      </c>
      <c r="I242" s="48" t="n">
        <f aca="false">((INDEX($E$12:$E$72,16+1)*SUMPRODUCT(($A$12:$A$72&gt;=16)*M$12:M$72*$B$5*$C$12:$C$72*$B$12:$B$72)/(1+Assumptions!$B$10)^16)+SUMPRODUCT(($A$12:$A$72&lt;16)*M$12:M$72*$E$12:$E$72*$D$12:$D$72*$B$12:$B$72)+INDEX($E$12:$E$72,16+1)*SUMPRODUCT(($A$12:$A$72&gt;=16)*M$12:M$72*$D$12:$D$72*$B$12:$B$72))/((SUMPRODUCT(($A$12:$A$72&lt;16)*M$12:M$72*$E$12:$E$72*$B$12:$B$72))*(1-Assumptions!$B$13-(SUMPRODUCT(($A$12:$A$72&lt;16)*M$12:M$72*$E$12:$E$72*$F$12:$F$72*$B$12:$B$72))/(SUMPRODUCT(($A$12:$A$72&lt;16)*M$12:M$72*$E$12:$E$72*$B$12:$B$72))))/12</f>
        <v>454.646884353803</v>
      </c>
      <c r="J242" s="48" t="n">
        <f aca="false">((INDEX($E$12:$E$72,17+1)*SUMPRODUCT(($A$12:$A$72&gt;=17)*M$12:M$72*$B$5*$C$12:$C$72*$B$12:$B$72)/(1+Assumptions!$B$10)^17)+SUMPRODUCT(($A$12:$A$72&lt;17)*M$12:M$72*$E$12:$E$72*$D$12:$D$72*$B$12:$B$72)+INDEX($E$12:$E$72,17+1)*SUMPRODUCT(($A$12:$A$72&gt;=17)*M$12:M$72*$D$12:$D$72*$B$12:$B$72))/((SUMPRODUCT(($A$12:$A$72&lt;17)*M$12:M$72*$E$12:$E$72*$B$12:$B$72))*(1-Assumptions!$B$13-(SUMPRODUCT(($A$12:$A$72&lt;17)*M$12:M$72*$E$12:$E$72*$F$12:$F$72*$B$12:$B$72))/(SUMPRODUCT(($A$12:$A$72&lt;17)*M$12:M$72*$E$12:$E$72*$B$12:$B$72))))/12</f>
        <v>384.977324036436</v>
      </c>
      <c r="K242" s="48" t="n">
        <f aca="false">((INDEX($E$12:$E$72,18+1)*SUMPRODUCT(($A$12:$A$72&gt;=18)*M$12:M$72*$B$5*$C$12:$C$72*$B$12:$B$72)/(1+Assumptions!$B$10)^18)+SUMPRODUCT(($A$12:$A$72&lt;18)*M$12:M$72*$E$12:$E$72*$D$12:$D$72*$B$12:$B$72)+INDEX($E$12:$E$72,18+1)*SUMPRODUCT(($A$12:$A$72&gt;=18)*M$12:M$72*$D$12:$D$72*$B$12:$B$72))/((SUMPRODUCT(($A$12:$A$72&lt;18)*M$12:M$72*$E$12:$E$72*$B$12:$B$72))*(1-Assumptions!$B$13-(SUMPRODUCT(($A$12:$A$72&lt;18)*M$12:M$72*$E$12:$E$72*$F$12:$F$72*$B$12:$B$72))/(SUMPRODUCT(($A$12:$A$72&lt;18)*M$12:M$72*$E$12:$E$72*$B$12:$B$72))))/12</f>
        <v>325.670259237751</v>
      </c>
      <c r="L242" s="48" t="n">
        <f aca="false">((INDEX($E$12:$E$72,19+1)*SUMPRODUCT(($A$12:$A$72&gt;=19)*M$12:M$72*$B$5*$C$12:$C$72*$B$12:$B$72)/(1+Assumptions!$B$10)^19)+SUMPRODUCT(($A$12:$A$72&lt;19)*M$12:M$72*$E$12:$E$72*$D$12:$D$72*$B$12:$B$72)+INDEX($E$12:$E$72,19+1)*SUMPRODUCT(($A$12:$A$72&gt;=19)*M$12:M$72*$D$12:$D$72*$B$12:$B$72))/((SUMPRODUCT(($A$12:$A$72&lt;19)*M$12:M$72*$E$12:$E$72*$B$12:$B$72))*(1-Assumptions!$B$13-(SUMPRODUCT(($A$12:$A$72&lt;19)*M$12:M$72*$E$12:$E$72*$F$12:$F$72*$B$12:$B$72))/(SUMPRODUCT(($A$12:$A$72&lt;19)*M$12:M$72*$E$12:$E$72*$B$12:$B$72))))/12</f>
        <v>274.969171821195</v>
      </c>
      <c r="M242" s="48" t="n">
        <f aca="false">((INDEX($E$12:$E$72,20+1)*SUMPRODUCT(($A$12:$A$72&gt;=20)*M$12:M$72*$B$5*$C$12:$C$72*$B$12:$B$72)/(1+Assumptions!$B$10)^20)+SUMPRODUCT(($A$12:$A$72&lt;20)*M$12:M$72*$E$12:$E$72*$D$12:$D$72*$B$12:$B$72)+INDEX($E$12:$E$72,20+1)*SUMPRODUCT(($A$12:$A$72&gt;=20)*M$12:M$72*$D$12:$D$72*$B$12:$B$72))/((SUMPRODUCT(($A$12:$A$72&lt;20)*M$12:M$72*$E$12:$E$72*$B$12:$B$72))*(1-Assumptions!$B$13-(SUMPRODUCT(($A$12:$A$72&lt;20)*M$12:M$72*$E$12:$E$72*$F$12:$F$72*$B$12:$B$72))/(SUMPRODUCT(($A$12:$A$72&lt;20)*M$12:M$72*$E$12:$E$72*$B$12:$B$72))))/12</f>
        <v>231.504611632669</v>
      </c>
      <c r="N242" s="48" t="n">
        <f aca="false">((INDEX($E$12:$E$72,21+1)*SUMPRODUCT(($A$12:$A$72&gt;=21)*M$12:M$72*$B$5*$C$12:$C$72*$B$12:$B$72)/(1+Assumptions!$B$10)^21)+SUMPRODUCT(($A$12:$A$72&lt;21)*M$12:M$72*$E$12:$E$72*$D$12:$D$72*$B$12:$B$72)+INDEX($E$12:$E$72,21+1)*SUMPRODUCT(($A$12:$A$72&gt;=21)*M$12:M$72*$D$12:$D$72*$B$12:$B$72))/((SUMPRODUCT(($A$12:$A$72&lt;21)*M$12:M$72*$E$12:$E$72*$B$12:$B$72))*(1-Assumptions!$B$13-(SUMPRODUCT(($A$12:$A$72&lt;21)*M$12:M$72*$E$12:$E$72*$F$12:$F$72*$B$12:$B$72))/(SUMPRODUCT(($A$12:$A$72&lt;21)*M$12:M$72*$E$12:$E$72*$B$12:$B$72))))/12</f>
        <v>194.256679957306</v>
      </c>
      <c r="O242" s="48" t="n">
        <f aca="false">((INDEX($E$12:$E$72,22+1)*SUMPRODUCT(($A$12:$A$72&gt;=22)*M$12:M$72*$B$5*$C$12:$C$72*$B$12:$B$72)/(1+Assumptions!$B$10)^22)+SUMPRODUCT(($A$12:$A$72&lt;22)*M$12:M$72*$E$12:$E$72*$D$12:$D$72*$B$12:$B$72)+INDEX($E$12:$E$72,22+1)*SUMPRODUCT(($A$12:$A$72&gt;=22)*M$12:M$72*$D$12:$D$72*$B$12:$B$72))/((SUMPRODUCT(($A$12:$A$72&lt;22)*M$12:M$72*$E$12:$E$72*$B$12:$B$72))*(1-Assumptions!$B$13-(SUMPRODUCT(($A$12:$A$72&lt;22)*M$12:M$72*$E$12:$E$72*$F$12:$F$72*$B$12:$B$72))/(SUMPRODUCT(($A$12:$A$72&lt;22)*M$12:M$72*$E$12:$E$72*$B$12:$B$72))))/12</f>
        <v>162.372787543335</v>
      </c>
      <c r="P242" s="48" t="n">
        <f aca="false">((INDEX($E$12:$E$72,23+1)*SUMPRODUCT(($A$12:$A$72&gt;=23)*M$12:M$72*$B$5*$C$12:$C$72*$B$12:$B$72)/(1+Assumptions!$B$10)^23)+SUMPRODUCT(($A$12:$A$72&lt;23)*M$12:M$72*$E$12:$E$72*$D$12:$D$72*$B$12:$B$72)+INDEX($E$12:$E$72,23+1)*SUMPRODUCT(($A$12:$A$72&gt;=23)*M$12:M$72*$D$12:$D$72*$B$12:$B$72))/((SUMPRODUCT(($A$12:$A$72&lt;23)*M$12:M$72*$E$12:$E$72*$B$12:$B$72))*(1-Assumptions!$B$13-(SUMPRODUCT(($A$12:$A$72&lt;23)*M$12:M$72*$E$12:$E$72*$F$12:$F$72*$B$12:$B$72))/(SUMPRODUCT(($A$12:$A$72&lt;23)*M$12:M$72*$E$12:$E$72*$B$12:$B$72))))/12</f>
        <v>135.149613494782</v>
      </c>
      <c r="Q242" s="48" t="n">
        <f aca="false">((INDEX($E$12:$E$72,24+1)*SUMPRODUCT(($A$12:$A$72&gt;=24)*M$12:M$72*$B$5*$C$12:$C$72*$B$12:$B$72)/(1+Assumptions!$B$10)^24)+SUMPRODUCT(($A$12:$A$72&lt;24)*M$12:M$72*$E$12:$E$72*$D$12:$D$72*$B$12:$B$72)+INDEX($E$12:$E$72,24+1)*SUMPRODUCT(($A$12:$A$72&gt;=24)*M$12:M$72*$D$12:$D$72*$B$12:$B$72))/((SUMPRODUCT(($A$12:$A$72&lt;24)*M$12:M$72*$E$12:$E$72*$B$12:$B$72))*(1-Assumptions!$B$13-(SUMPRODUCT(($A$12:$A$72&lt;24)*M$12:M$72*$E$12:$E$72*$F$12:$F$72*$B$12:$B$72))/(SUMPRODUCT(($A$12:$A$72&lt;24)*M$12:M$72*$E$12:$E$72*$B$12:$B$72))))/12</f>
        <v>111.998447437351</v>
      </c>
    </row>
    <row r="243" customFormat="false" ht="15" hidden="false" customHeight="true" outlineLevel="0" collapsed="false">
      <c r="A243" s="3" t="n">
        <v>67</v>
      </c>
      <c r="B243" s="48" t="n">
        <f aca="false">((INDEX($E$12:$E$72,8+1)*SUMPRODUCT(($A$12:$A$72&gt;=8)*N$12:N$72*$B$5*$C$12:$C$72*$B$12:$B$72)/(1+Assumptions!$B$10)^8)+SUMPRODUCT(($A$12:$A$72&lt;8)*N$12:N$72*$E$12:$E$72*$D$12:$D$72*$B$12:$B$72)+INDEX($E$12:$E$72,8+1)*SUMPRODUCT(($A$12:$A$72&gt;=8)*N$12:N$72*$D$12:$D$72*$B$12:$B$72))/((SUMPRODUCT(($A$12:$A$72&lt;8)*N$12:N$72*$E$12:$E$72*$B$12:$B$72))*(1-Assumptions!$B$13-(SUMPRODUCT(($A$12:$A$72&lt;8)*N$12:N$72*$E$12:$E$72*$F$12:$F$72*$B$12:$B$72))/(SUMPRODUCT(($A$12:$A$72&lt;8)*N$12:N$72*$E$12:$E$72*$B$12:$B$72))))/12</f>
        <v>1826.93650960855</v>
      </c>
      <c r="C243" s="48" t="n">
        <f aca="false">((INDEX($E$12:$E$72,9+1)*SUMPRODUCT(($A$12:$A$72&gt;=9)*N$12:N$72*$B$5*$C$12:$C$72*$B$12:$B$72)/(1+Assumptions!$B$10)^9)+SUMPRODUCT(($A$12:$A$72&lt;9)*N$12:N$72*$E$12:$E$72*$D$12:$D$72*$B$12:$B$72)+INDEX($E$12:$E$72,9+1)*SUMPRODUCT(($A$12:$A$72&gt;=9)*N$12:N$72*$D$12:$D$72*$B$12:$B$72))/((SUMPRODUCT(($A$12:$A$72&lt;9)*N$12:N$72*$E$12:$E$72*$B$12:$B$72))*(1-Assumptions!$B$13-(SUMPRODUCT(($A$12:$A$72&lt;9)*N$12:N$72*$E$12:$E$72*$F$12:$F$72*$B$12:$B$72))/(SUMPRODUCT(($A$12:$A$72&lt;9)*N$12:N$72*$E$12:$E$72*$B$12:$B$72))))/12</f>
        <v>1479.41213998649</v>
      </c>
      <c r="D243" s="48" t="n">
        <f aca="false">((INDEX($E$12:$E$72,10+1)*SUMPRODUCT(($A$12:$A$72&gt;=10)*N$12:N$72*$B$5*$C$12:$C$72*$B$12:$B$72)/(1+Assumptions!$B$10)^10)+SUMPRODUCT(($A$12:$A$72&lt;10)*N$12:N$72*$E$12:$E$72*$D$12:$D$72*$B$12:$B$72)+INDEX($E$12:$E$72,10+1)*SUMPRODUCT(($A$12:$A$72&gt;=10)*N$12:N$72*$D$12:$D$72*$B$12:$B$72))/((SUMPRODUCT(($A$12:$A$72&lt;10)*N$12:N$72*$E$12:$E$72*$B$12:$B$72))*(1-Assumptions!$B$13-(SUMPRODUCT(($A$12:$A$72&lt;10)*N$12:N$72*$E$12:$E$72*$F$12:$F$72*$B$12:$B$72))/(SUMPRODUCT(($A$12:$A$72&lt;10)*N$12:N$72*$E$12:$E$72*$B$12:$B$72))))/12</f>
        <v>1213.51522605415</v>
      </c>
      <c r="E243" s="48" t="n">
        <f aca="false">((INDEX($E$12:$E$72,11+1)*SUMPRODUCT(($A$12:$A$72&gt;=11)*N$12:N$72*$B$5*$C$12:$C$72*$B$12:$B$72)/(1+Assumptions!$B$10)^11)+SUMPRODUCT(($A$12:$A$72&lt;11)*N$12:N$72*$E$12:$E$72*$D$12:$D$72*$B$12:$B$72)+INDEX($E$12:$E$72,11+1)*SUMPRODUCT(($A$12:$A$72&gt;=11)*N$12:N$72*$D$12:$D$72*$B$12:$B$72))/((SUMPRODUCT(($A$12:$A$72&lt;11)*N$12:N$72*$E$12:$E$72*$B$12:$B$72))*(1-Assumptions!$B$13-(SUMPRODUCT(($A$12:$A$72&lt;11)*N$12:N$72*$E$12:$E$72*$F$12:$F$72*$B$12:$B$72))/(SUMPRODUCT(($A$12:$A$72&lt;11)*N$12:N$72*$E$12:$E$72*$B$12:$B$72))))/12</f>
        <v>1004.98767053054</v>
      </c>
      <c r="F243" s="48" t="n">
        <f aca="false">((INDEX($E$12:$E$72,12+1)*SUMPRODUCT(($A$12:$A$72&gt;=12)*N$12:N$72*$B$5*$C$12:$C$72*$B$12:$B$72)/(1+Assumptions!$B$10)^12)+SUMPRODUCT(($A$12:$A$72&lt;12)*N$12:N$72*$E$12:$E$72*$D$12:$D$72*$B$12:$B$72)+INDEX($E$12:$E$72,12+1)*SUMPRODUCT(($A$12:$A$72&gt;=12)*N$12:N$72*$D$12:$D$72*$B$12:$B$72))/((SUMPRODUCT(($A$12:$A$72&lt;12)*N$12:N$72*$E$12:$E$72*$B$12:$B$72))*(1-Assumptions!$B$13-(SUMPRODUCT(($A$12:$A$72&lt;12)*N$12:N$72*$E$12:$E$72*$F$12:$F$72*$B$12:$B$72))/(SUMPRODUCT(($A$12:$A$72&lt;12)*N$12:N$72*$E$12:$E$72*$B$12:$B$72))))/12</f>
        <v>837.690326092998</v>
      </c>
      <c r="G243" s="48" t="n">
        <f aca="false">((INDEX($E$12:$E$72,13+1)*SUMPRODUCT(($A$12:$A$72&gt;=13)*N$12:N$72*$B$5*$C$12:$C$72*$B$12:$B$72)/(1+Assumptions!$B$10)^13)+SUMPRODUCT(($A$12:$A$72&lt;13)*N$12:N$72*$E$12:$E$72*$D$12:$D$72*$B$12:$B$72)+INDEX($E$12:$E$72,13+1)*SUMPRODUCT(($A$12:$A$72&gt;=13)*N$12:N$72*$D$12:$D$72*$B$12:$B$72))/((SUMPRODUCT(($A$12:$A$72&lt;13)*N$12:N$72*$E$12:$E$72*$B$12:$B$72))*(1-Assumptions!$B$13-(SUMPRODUCT(($A$12:$A$72&lt;13)*N$12:N$72*$E$12:$E$72*$F$12:$F$72*$B$12:$B$72))/(SUMPRODUCT(($A$12:$A$72&lt;13)*N$12:N$72*$E$12:$E$72*$B$12:$B$72))))/12</f>
        <v>701.617816714237</v>
      </c>
      <c r="H243" s="48" t="n">
        <f aca="false">((INDEX($E$12:$E$72,14+1)*SUMPRODUCT(($A$12:$A$72&gt;=14)*N$12:N$72*$B$5*$C$12:$C$72*$B$12:$B$72)/(1+Assumptions!$B$10)^14)+SUMPRODUCT(($A$12:$A$72&lt;14)*N$12:N$72*$E$12:$E$72*$D$12:$D$72*$B$12:$B$72)+INDEX($E$12:$E$72,14+1)*SUMPRODUCT(($A$12:$A$72&gt;=14)*N$12:N$72*$D$12:$D$72*$B$12:$B$72))/((SUMPRODUCT(($A$12:$A$72&lt;14)*N$12:N$72*$E$12:$E$72*$B$12:$B$72))*(1-Assumptions!$B$13-(SUMPRODUCT(($A$12:$A$72&lt;14)*N$12:N$72*$E$12:$E$72*$F$12:$F$72*$B$12:$B$72))/(SUMPRODUCT(($A$12:$A$72&lt;14)*N$12:N$72*$E$12:$E$72*$B$12:$B$72))))/12</f>
        <v>589.462929300306</v>
      </c>
      <c r="I243" s="48" t="n">
        <f aca="false">((INDEX($E$12:$E$72,15+1)*SUMPRODUCT(($A$12:$A$72&gt;=15)*N$12:N$72*$B$5*$C$12:$C$72*$B$12:$B$72)/(1+Assumptions!$B$10)^15)+SUMPRODUCT(($A$12:$A$72&lt;15)*N$12:N$72*$E$12:$E$72*$D$12:$D$72*$B$12:$B$72)+INDEX($E$12:$E$72,15+1)*SUMPRODUCT(($A$12:$A$72&gt;=15)*N$12:N$72*$D$12:$D$72*$B$12:$B$72))/((SUMPRODUCT(($A$12:$A$72&lt;15)*N$12:N$72*$E$12:$E$72*$B$12:$B$72))*(1-Assumptions!$B$13-(SUMPRODUCT(($A$12:$A$72&lt;15)*N$12:N$72*$E$12:$E$72*$F$12:$F$72*$B$12:$B$72))/(SUMPRODUCT(($A$12:$A$72&lt;15)*N$12:N$72*$E$12:$E$72*$B$12:$B$72))))/12</f>
        <v>496.083527488295</v>
      </c>
      <c r="J243" s="48" t="n">
        <f aca="false">((INDEX($E$12:$E$72,16+1)*SUMPRODUCT(($A$12:$A$72&gt;=16)*N$12:N$72*$B$5*$C$12:$C$72*$B$12:$B$72)/(1+Assumptions!$B$10)^16)+SUMPRODUCT(($A$12:$A$72&lt;16)*N$12:N$72*$E$12:$E$72*$D$12:$D$72*$B$12:$B$72)+INDEX($E$12:$E$72,16+1)*SUMPRODUCT(($A$12:$A$72&gt;=16)*N$12:N$72*$D$12:$D$72*$B$12:$B$72))/((SUMPRODUCT(($A$12:$A$72&lt;16)*N$12:N$72*$E$12:$E$72*$B$12:$B$72))*(1-Assumptions!$B$13-(SUMPRODUCT(($A$12:$A$72&lt;16)*N$12:N$72*$E$12:$E$72*$F$12:$F$72*$B$12:$B$72))/(SUMPRODUCT(($A$12:$A$72&lt;16)*N$12:N$72*$E$12:$E$72*$B$12:$B$72))))/12</f>
        <v>417.875274923933</v>
      </c>
      <c r="K243" s="48" t="n">
        <f aca="false">((INDEX($E$12:$E$72,17+1)*SUMPRODUCT(($A$12:$A$72&gt;=17)*N$12:N$72*$B$5*$C$12:$C$72*$B$12:$B$72)/(1+Assumptions!$B$10)^17)+SUMPRODUCT(($A$12:$A$72&lt;17)*N$12:N$72*$E$12:$E$72*$D$12:$D$72*$B$12:$B$72)+INDEX($E$12:$E$72,17+1)*SUMPRODUCT(($A$12:$A$72&gt;=17)*N$12:N$72*$D$12:$D$72*$B$12:$B$72))/((SUMPRODUCT(($A$12:$A$72&lt;17)*N$12:N$72*$E$12:$E$72*$B$12:$B$72))*(1-Assumptions!$B$13-(SUMPRODUCT(($A$12:$A$72&lt;17)*N$12:N$72*$E$12:$E$72*$F$12:$F$72*$B$12:$B$72))/(SUMPRODUCT(($A$12:$A$72&lt;17)*N$12:N$72*$E$12:$E$72*$B$12:$B$72))))/12</f>
        <v>351.906242375217</v>
      </c>
      <c r="L243" s="48" t="n">
        <f aca="false">((INDEX($E$12:$E$72,18+1)*SUMPRODUCT(($A$12:$A$72&gt;=18)*N$12:N$72*$B$5*$C$12:$C$72*$B$12:$B$72)/(1+Assumptions!$B$10)^18)+SUMPRODUCT(($A$12:$A$72&lt;18)*N$12:N$72*$E$12:$E$72*$D$12:$D$72*$B$12:$B$72)+INDEX($E$12:$E$72,18+1)*SUMPRODUCT(($A$12:$A$72&gt;=18)*N$12:N$72*$D$12:$D$72*$B$12:$B$72))/((SUMPRODUCT(($A$12:$A$72&lt;18)*N$12:N$72*$E$12:$E$72*$B$12:$B$72))*(1-Assumptions!$B$13-(SUMPRODUCT(($A$12:$A$72&lt;18)*N$12:N$72*$E$12:$E$72*$F$12:$F$72*$B$12:$B$72))/(SUMPRODUCT(($A$12:$A$72&lt;18)*N$12:N$72*$E$12:$E$72*$B$12:$B$72))))/12</f>
        <v>295.925903743415</v>
      </c>
      <c r="M243" s="48" t="n">
        <f aca="false">((INDEX($E$12:$E$72,19+1)*SUMPRODUCT(($A$12:$A$72&gt;=19)*N$12:N$72*$B$5*$C$12:$C$72*$B$12:$B$72)/(1+Assumptions!$B$10)^19)+SUMPRODUCT(($A$12:$A$72&lt;19)*N$12:N$72*$E$12:$E$72*$D$12:$D$72*$B$12:$B$72)+INDEX($E$12:$E$72,19+1)*SUMPRODUCT(($A$12:$A$72&gt;=19)*N$12:N$72*$D$12:$D$72*$B$12:$B$72))/((SUMPRODUCT(($A$12:$A$72&lt;19)*N$12:N$72*$E$12:$E$72*$B$12:$B$72))*(1-Assumptions!$B$13-(SUMPRODUCT(($A$12:$A$72&lt;19)*N$12:N$72*$E$12:$E$72*$F$12:$F$72*$B$12:$B$72))/(SUMPRODUCT(($A$12:$A$72&lt;19)*N$12:N$72*$E$12:$E$72*$B$12:$B$72))))/12</f>
        <v>248.243538263147</v>
      </c>
      <c r="N243" s="48" t="n">
        <f aca="false">((INDEX($E$12:$E$72,20+1)*SUMPRODUCT(($A$12:$A$72&gt;=20)*N$12:N$72*$B$5*$C$12:$C$72*$B$12:$B$72)/(1+Assumptions!$B$10)^20)+SUMPRODUCT(($A$12:$A$72&lt;20)*N$12:N$72*$E$12:$E$72*$D$12:$D$72*$B$12:$B$72)+INDEX($E$12:$E$72,20+1)*SUMPRODUCT(($A$12:$A$72&gt;=20)*N$12:N$72*$D$12:$D$72*$B$12:$B$72))/((SUMPRODUCT(($A$12:$A$72&lt;20)*N$12:N$72*$E$12:$E$72*$B$12:$B$72))*(1-Assumptions!$B$13-(SUMPRODUCT(($A$12:$A$72&lt;20)*N$12:N$72*$E$12:$E$72*$F$12:$F$72*$B$12:$B$72))/(SUMPRODUCT(($A$12:$A$72&lt;20)*N$12:N$72*$E$12:$E$72*$B$12:$B$72))))/12</f>
        <v>207.596272669867</v>
      </c>
      <c r="O243" s="48" t="n">
        <f aca="false">((INDEX($E$12:$E$72,21+1)*SUMPRODUCT(($A$12:$A$72&gt;=21)*N$12:N$72*$B$5*$C$12:$C$72*$B$12:$B$72)/(1+Assumptions!$B$10)^21)+SUMPRODUCT(($A$12:$A$72&lt;21)*N$12:N$72*$E$12:$E$72*$D$12:$D$72*$B$12:$B$72)+INDEX($E$12:$E$72,21+1)*SUMPRODUCT(($A$12:$A$72&gt;=21)*N$12:N$72*$D$12:$D$72*$B$12:$B$72))/((SUMPRODUCT(($A$12:$A$72&lt;21)*N$12:N$72*$E$12:$E$72*$B$12:$B$72))*(1-Assumptions!$B$13-(SUMPRODUCT(($A$12:$A$72&lt;21)*N$12:N$72*$E$12:$E$72*$F$12:$F$72*$B$12:$B$72))/(SUMPRODUCT(($A$12:$A$72&lt;21)*N$12:N$72*$E$12:$E$72*$B$12:$B$72))))/12</f>
        <v>172.956509872913</v>
      </c>
      <c r="P243" s="48" t="n">
        <f aca="false">((INDEX($E$12:$E$72,22+1)*SUMPRODUCT(($A$12:$A$72&gt;=22)*N$12:N$72*$B$5*$C$12:$C$72*$B$12:$B$72)/(1+Assumptions!$B$10)^22)+SUMPRODUCT(($A$12:$A$72&lt;22)*N$12:N$72*$E$12:$E$72*$D$12:$D$72*$B$12:$B$72)+INDEX($E$12:$E$72,22+1)*SUMPRODUCT(($A$12:$A$72&gt;=22)*N$12:N$72*$D$12:$D$72*$B$12:$B$72))/((SUMPRODUCT(($A$12:$A$72&lt;22)*N$12:N$72*$E$12:$E$72*$B$12:$B$72))*(1-Assumptions!$B$13-(SUMPRODUCT(($A$12:$A$72&lt;22)*N$12:N$72*$E$12:$E$72*$F$12:$F$72*$B$12:$B$72))/(SUMPRODUCT(($A$12:$A$72&lt;22)*N$12:N$72*$E$12:$E$72*$B$12:$B$72))))/12</f>
        <v>143.497831001937</v>
      </c>
      <c r="Q243" s="48" t="n">
        <f aca="false">((INDEX($E$12:$E$72,23+1)*SUMPRODUCT(($A$12:$A$72&gt;=23)*N$12:N$72*$B$5*$C$12:$C$72*$B$12:$B$72)/(1+Assumptions!$B$10)^23)+SUMPRODUCT(($A$12:$A$72&lt;23)*N$12:N$72*$E$12:$E$72*$D$12:$D$72*$B$12:$B$72)+INDEX($E$12:$E$72,23+1)*SUMPRODUCT(($A$12:$A$72&gt;=23)*N$12:N$72*$D$12:$D$72*$B$12:$B$72))/((SUMPRODUCT(($A$12:$A$72&lt;23)*N$12:N$72*$E$12:$E$72*$B$12:$B$72))*(1-Assumptions!$B$13-(SUMPRODUCT(($A$12:$A$72&lt;23)*N$12:N$72*$E$12:$E$72*$F$12:$F$72*$B$12:$B$72))/(SUMPRODUCT(($A$12:$A$72&lt;23)*N$12:N$72*$E$12:$E$72*$B$12:$B$72))))/12</f>
        <v>118.53562716281</v>
      </c>
    </row>
    <row r="244" customFormat="false" ht="15" hidden="false" customHeight="true" outlineLevel="0" collapsed="false">
      <c r="A244" s="3" t="n">
        <v>68</v>
      </c>
      <c r="B244" s="48" t="n">
        <f aca="false">((INDEX($E$12:$E$72,7+1)*SUMPRODUCT(($A$12:$A$72&gt;=7)*O$12:O$72*$B$5*$C$12:$C$72*$B$12:$B$72)/(1+Assumptions!$B$10)^7)+SUMPRODUCT(($A$12:$A$72&lt;7)*O$12:O$72*$E$12:$E$72*$D$12:$D$72*$B$12:$B$72)+INDEX($E$12:$E$72,7+1)*SUMPRODUCT(($A$12:$A$72&gt;=7)*O$12:O$72*$D$12:$D$72*$B$12:$B$72))/((SUMPRODUCT(($A$12:$A$72&lt;7)*O$12:O$72*$E$12:$E$72*$B$12:$B$72))*(1-Assumptions!$B$13-(SUMPRODUCT(($A$12:$A$72&lt;7)*O$12:O$72*$E$12:$E$72*$F$12:$F$72*$B$12:$B$72))/(SUMPRODUCT(($A$12:$A$72&lt;7)*O$12:O$72*$E$12:$E$72*$B$12:$B$72))))/12</f>
        <v>2178.37578671181</v>
      </c>
      <c r="C244" s="48" t="n">
        <f aca="false">((INDEX($E$12:$E$72,8+1)*SUMPRODUCT(($A$12:$A$72&gt;=8)*O$12:O$72*$B$5*$C$12:$C$72*$B$12:$B$72)/(1+Assumptions!$B$10)^8)+SUMPRODUCT(($A$12:$A$72&lt;8)*O$12:O$72*$E$12:$E$72*$D$12:$D$72*$B$12:$B$72)+INDEX($E$12:$E$72,8+1)*SUMPRODUCT(($A$12:$A$72&gt;=8)*O$12:O$72*$D$12:$D$72*$B$12:$B$72))/((SUMPRODUCT(($A$12:$A$72&lt;8)*O$12:O$72*$E$12:$E$72*$B$12:$B$72))*(1-Assumptions!$B$13-(SUMPRODUCT(($A$12:$A$72&lt;8)*O$12:O$72*$E$12:$E$72*$F$12:$F$72*$B$12:$B$72))/(SUMPRODUCT(($A$12:$A$72&lt;8)*O$12:O$72*$E$12:$E$72*$B$12:$B$72))))/12</f>
        <v>1727.79547326377</v>
      </c>
      <c r="D244" s="48" t="n">
        <f aca="false">((INDEX($E$12:$E$72,9+1)*SUMPRODUCT(($A$12:$A$72&gt;=9)*O$12:O$72*$B$5*$C$12:$C$72*$B$12:$B$72)/(1+Assumptions!$B$10)^9)+SUMPRODUCT(($A$12:$A$72&lt;9)*O$12:O$72*$E$12:$E$72*$D$12:$D$72*$B$12:$B$72)+INDEX($E$12:$E$72,9+1)*SUMPRODUCT(($A$12:$A$72&gt;=9)*O$12:O$72*$D$12:$D$72*$B$12:$B$72))/((SUMPRODUCT(($A$12:$A$72&lt;9)*O$12:O$72*$E$12:$E$72*$B$12:$B$72))*(1-Assumptions!$B$13-(SUMPRODUCT(($A$12:$A$72&lt;9)*O$12:O$72*$E$12:$E$72*$F$12:$F$72*$B$12:$B$72))/(SUMPRODUCT(($A$12:$A$72&lt;9)*O$12:O$72*$E$12:$E$72*$B$12:$B$72))))/12</f>
        <v>1394.82203358411</v>
      </c>
      <c r="E244" s="48" t="n">
        <f aca="false">((INDEX($E$12:$E$72,10+1)*SUMPRODUCT(($A$12:$A$72&gt;=10)*O$12:O$72*$B$5*$C$12:$C$72*$B$12:$B$72)/(1+Assumptions!$B$10)^10)+SUMPRODUCT(($A$12:$A$72&lt;10)*O$12:O$72*$E$12:$E$72*$D$12:$D$72*$B$12:$B$72)+INDEX($E$12:$E$72,10+1)*SUMPRODUCT(($A$12:$A$72&gt;=10)*O$12:O$72*$D$12:$D$72*$B$12:$B$72))/((SUMPRODUCT(($A$12:$A$72&lt;10)*O$12:O$72*$E$12:$E$72*$B$12:$B$72))*(1-Assumptions!$B$13-(SUMPRODUCT(($A$12:$A$72&lt;10)*O$12:O$72*$E$12:$E$72*$F$12:$F$72*$B$12:$B$72))/(SUMPRODUCT(($A$12:$A$72&lt;10)*O$12:O$72*$E$12:$E$72*$B$12:$B$72))))/12</f>
        <v>1140.27544318818</v>
      </c>
      <c r="F244" s="48" t="n">
        <f aca="false">((INDEX($E$12:$E$72,11+1)*SUMPRODUCT(($A$12:$A$72&gt;=11)*O$12:O$72*$B$5*$C$12:$C$72*$B$12:$B$72)/(1+Assumptions!$B$10)^11)+SUMPRODUCT(($A$12:$A$72&lt;11)*O$12:O$72*$E$12:$E$72*$D$12:$D$72*$B$12:$B$72)+INDEX($E$12:$E$72,11+1)*SUMPRODUCT(($A$12:$A$72&gt;=11)*O$12:O$72*$D$12:$D$72*$B$12:$B$72))/((SUMPRODUCT(($A$12:$A$72&lt;11)*O$12:O$72*$E$12:$E$72*$B$12:$B$72))*(1-Assumptions!$B$13-(SUMPRODUCT(($A$12:$A$72&lt;11)*O$12:O$72*$E$12:$E$72*$F$12:$F$72*$B$12:$B$72))/(SUMPRODUCT(($A$12:$A$72&lt;11)*O$12:O$72*$E$12:$E$72*$B$12:$B$72))))/12</f>
        <v>940.86301465507</v>
      </c>
      <c r="G244" s="48" t="n">
        <f aca="false">((INDEX($E$12:$E$72,12+1)*SUMPRODUCT(($A$12:$A$72&gt;=12)*O$12:O$72*$B$5*$C$12:$C$72*$B$12:$B$72)/(1+Assumptions!$B$10)^12)+SUMPRODUCT(($A$12:$A$72&lt;12)*O$12:O$72*$E$12:$E$72*$D$12:$D$72*$B$12:$B$72)+INDEX($E$12:$E$72,12+1)*SUMPRODUCT(($A$12:$A$72&gt;=12)*O$12:O$72*$D$12:$D$72*$B$12:$B$72))/((SUMPRODUCT(($A$12:$A$72&lt;12)*O$12:O$72*$E$12:$E$72*$B$12:$B$72))*(1-Assumptions!$B$13-(SUMPRODUCT(($A$12:$A$72&lt;12)*O$12:O$72*$E$12:$E$72*$F$12:$F$72*$B$12:$B$72))/(SUMPRODUCT(($A$12:$A$72&lt;12)*O$12:O$72*$E$12:$E$72*$B$12:$B$72))))/12</f>
        <v>781.086149320344</v>
      </c>
      <c r="H244" s="48" t="n">
        <f aca="false">((INDEX($E$12:$E$72,13+1)*SUMPRODUCT(($A$12:$A$72&gt;=13)*O$12:O$72*$B$5*$C$12:$C$72*$B$12:$B$72)/(1+Assumptions!$B$10)^13)+SUMPRODUCT(($A$12:$A$72&lt;13)*O$12:O$72*$E$12:$E$72*$D$12:$D$72*$B$12:$B$72)+INDEX($E$12:$E$72,13+1)*SUMPRODUCT(($A$12:$A$72&gt;=13)*O$12:O$72*$D$12:$D$72*$B$12:$B$72))/((SUMPRODUCT(($A$12:$A$72&lt;13)*O$12:O$72*$E$12:$E$72*$B$12:$B$72))*(1-Assumptions!$B$13-(SUMPRODUCT(($A$12:$A$72&lt;13)*O$12:O$72*$E$12:$E$72*$F$12:$F$72*$B$12:$B$72))/(SUMPRODUCT(($A$12:$A$72&lt;13)*O$12:O$72*$E$12:$E$72*$B$12:$B$72))))/12</f>
        <v>651.334739480284</v>
      </c>
      <c r="I244" s="48" t="n">
        <f aca="false">((INDEX($E$12:$E$72,14+1)*SUMPRODUCT(($A$12:$A$72&gt;=14)*O$12:O$72*$B$5*$C$12:$C$72*$B$12:$B$72)/(1+Assumptions!$B$10)^14)+SUMPRODUCT(($A$12:$A$72&lt;14)*O$12:O$72*$E$12:$E$72*$D$12:$D$72*$B$12:$B$72)+INDEX($E$12:$E$72,14+1)*SUMPRODUCT(($A$12:$A$72&gt;=14)*O$12:O$72*$D$12:$D$72*$B$12:$B$72))/((SUMPRODUCT(($A$12:$A$72&lt;14)*O$12:O$72*$E$12:$E$72*$B$12:$B$72))*(1-Assumptions!$B$13-(SUMPRODUCT(($A$12:$A$72&lt;14)*O$12:O$72*$E$12:$E$72*$F$12:$F$72*$B$12:$B$72))/(SUMPRODUCT(($A$12:$A$72&lt;14)*O$12:O$72*$E$12:$E$72*$B$12:$B$72))))/12</f>
        <v>544.670553353159</v>
      </c>
      <c r="J244" s="48" t="n">
        <f aca="false">((INDEX($E$12:$E$72,15+1)*SUMPRODUCT(($A$12:$A$72&gt;=15)*O$12:O$72*$B$5*$C$12:$C$72*$B$12:$B$72)/(1+Assumptions!$B$10)^15)+SUMPRODUCT(($A$12:$A$72&lt;15)*O$12:O$72*$E$12:$E$72*$D$12:$D$72*$B$12:$B$72)+INDEX($E$12:$E$72,15+1)*SUMPRODUCT(($A$12:$A$72&gt;=15)*O$12:O$72*$D$12:$D$72*$B$12:$B$72))/((SUMPRODUCT(($A$12:$A$72&lt;15)*O$12:O$72*$E$12:$E$72*$B$12:$B$72))*(1-Assumptions!$B$13-(SUMPRODUCT(($A$12:$A$72&lt;15)*O$12:O$72*$E$12:$E$72*$F$12:$F$72*$B$12:$B$72))/(SUMPRODUCT(($A$12:$A$72&lt;15)*O$12:O$72*$E$12:$E$72*$B$12:$B$72))))/12</f>
        <v>456.059838138435</v>
      </c>
      <c r="K244" s="48" t="n">
        <f aca="false">((INDEX($E$12:$E$72,16+1)*SUMPRODUCT(($A$12:$A$72&gt;=16)*O$12:O$72*$B$5*$C$12:$C$72*$B$12:$B$72)/(1+Assumptions!$B$10)^16)+SUMPRODUCT(($A$12:$A$72&lt;16)*O$12:O$72*$E$12:$E$72*$D$12:$D$72*$B$12:$B$72)+INDEX($E$12:$E$72,16+1)*SUMPRODUCT(($A$12:$A$72&gt;=16)*O$12:O$72*$D$12:$D$72*$B$12:$B$72))/((SUMPRODUCT(($A$12:$A$72&lt;16)*O$12:O$72*$E$12:$E$72*$B$12:$B$72))*(1-Assumptions!$B$13-(SUMPRODUCT(($A$12:$A$72&lt;16)*O$12:O$72*$E$12:$E$72*$F$12:$F$72*$B$12:$B$72))/(SUMPRODUCT(($A$12:$A$72&lt;16)*O$12:O$72*$E$12:$E$72*$B$12:$B$72))))/12</f>
        <v>382.041503057463</v>
      </c>
      <c r="L244" s="48" t="n">
        <f aca="false">((INDEX($E$12:$E$72,17+1)*SUMPRODUCT(($A$12:$A$72&gt;=17)*O$12:O$72*$B$5*$C$12:$C$72*$B$12:$B$72)/(1+Assumptions!$B$10)^17)+SUMPRODUCT(($A$12:$A$72&lt;17)*O$12:O$72*$E$12:$E$72*$D$12:$D$72*$B$12:$B$72)+INDEX($E$12:$E$72,17+1)*SUMPRODUCT(($A$12:$A$72&gt;=17)*O$12:O$72*$D$12:$D$72*$B$12:$B$72))/((SUMPRODUCT(($A$12:$A$72&lt;17)*O$12:O$72*$E$12:$E$72*$B$12:$B$72))*(1-Assumptions!$B$13-(SUMPRODUCT(($A$12:$A$72&lt;17)*O$12:O$72*$E$12:$E$72*$F$12:$F$72*$B$12:$B$72))/(SUMPRODUCT(($A$12:$A$72&lt;17)*O$12:O$72*$E$12:$E$72*$B$12:$B$72))))/12</f>
        <v>319.800153491245</v>
      </c>
      <c r="M244" s="48" t="n">
        <f aca="false">((INDEX($E$12:$E$72,18+1)*SUMPRODUCT(($A$12:$A$72&gt;=18)*O$12:O$72*$B$5*$C$12:$C$72*$B$12:$B$72)/(1+Assumptions!$B$10)^18)+SUMPRODUCT(($A$12:$A$72&lt;18)*O$12:O$72*$E$12:$E$72*$D$12:$D$72*$B$12:$B$72)+INDEX($E$12:$E$72,18+1)*SUMPRODUCT(($A$12:$A$72&gt;=18)*O$12:O$72*$D$12:$D$72*$B$12:$B$72))/((SUMPRODUCT(($A$12:$A$72&lt;18)*O$12:O$72*$E$12:$E$72*$B$12:$B$72))*(1-Assumptions!$B$13-(SUMPRODUCT(($A$12:$A$72&lt;18)*O$12:O$72*$E$12:$E$72*$F$12:$F$72*$B$12:$B$72))/(SUMPRODUCT(($A$12:$A$72&lt;18)*O$12:O$72*$E$12:$E$72*$B$12:$B$72))))/12</f>
        <v>267.173690962092</v>
      </c>
      <c r="N244" s="48" t="n">
        <f aca="false">((INDEX($E$12:$E$72,19+1)*SUMPRODUCT(($A$12:$A$72&gt;=19)*O$12:O$72*$B$5*$C$12:$C$72*$B$12:$B$72)/(1+Assumptions!$B$10)^19)+SUMPRODUCT(($A$12:$A$72&lt;19)*O$12:O$72*$E$12:$E$72*$D$12:$D$72*$B$12:$B$72)+INDEX($E$12:$E$72,19+1)*SUMPRODUCT(($A$12:$A$72&gt;=19)*O$12:O$72*$D$12:$D$72*$B$12:$B$72))/((SUMPRODUCT(($A$12:$A$72&lt;19)*O$12:O$72*$E$12:$E$72*$B$12:$B$72))*(1-Assumptions!$B$13-(SUMPRODUCT(($A$12:$A$72&lt;19)*O$12:O$72*$E$12:$E$72*$F$12:$F$72*$B$12:$B$72))/(SUMPRODUCT(($A$12:$A$72&lt;19)*O$12:O$72*$E$12:$E$72*$B$12:$B$72))))/12</f>
        <v>222.599165722693</v>
      </c>
      <c r="O244" s="48" t="n">
        <f aca="false">((INDEX($E$12:$E$72,20+1)*SUMPRODUCT(($A$12:$A$72&gt;=20)*O$12:O$72*$B$5*$C$12:$C$72*$B$12:$B$72)/(1+Assumptions!$B$10)^20)+SUMPRODUCT(($A$12:$A$72&lt;20)*O$12:O$72*$E$12:$E$72*$D$12:$D$72*$B$12:$B$72)+INDEX($E$12:$E$72,20+1)*SUMPRODUCT(($A$12:$A$72&gt;=20)*O$12:O$72*$D$12:$D$72*$B$12:$B$72))/((SUMPRODUCT(($A$12:$A$72&lt;20)*O$12:O$72*$E$12:$E$72*$B$12:$B$72))*(1-Assumptions!$B$13-(SUMPRODUCT(($A$12:$A$72&lt;20)*O$12:O$72*$E$12:$E$72*$F$12:$F$72*$B$12:$B$72))/(SUMPRODUCT(($A$12:$A$72&lt;20)*O$12:O$72*$E$12:$E$72*$B$12:$B$72))))/12</f>
        <v>184.810529446131</v>
      </c>
      <c r="P244" s="48" t="n">
        <f aca="false">((INDEX($E$12:$E$72,21+1)*SUMPRODUCT(($A$12:$A$72&gt;=21)*O$12:O$72*$B$5*$C$12:$C$72*$B$12:$B$72)/(1+Assumptions!$B$10)^21)+SUMPRODUCT(($A$12:$A$72&lt;21)*O$12:O$72*$E$12:$E$72*$D$12:$D$72*$B$12:$B$72)+INDEX($E$12:$E$72,21+1)*SUMPRODUCT(($A$12:$A$72&gt;=21)*O$12:O$72*$D$12:$D$72*$B$12:$B$72))/((SUMPRODUCT(($A$12:$A$72&lt;21)*O$12:O$72*$E$12:$E$72*$B$12:$B$72))*(1-Assumptions!$B$13-(SUMPRODUCT(($A$12:$A$72&lt;21)*O$12:O$72*$E$12:$E$72*$F$12:$F$72*$B$12:$B$72))/(SUMPRODUCT(($A$12:$A$72&lt;21)*O$12:O$72*$E$12:$E$72*$B$12:$B$72))))/12</f>
        <v>152.814396191479</v>
      </c>
      <c r="Q244" s="48" t="n">
        <f aca="false">((INDEX($E$12:$E$72,22+1)*SUMPRODUCT(($A$12:$A$72&gt;=22)*O$12:O$72*$B$5*$C$12:$C$72*$B$12:$B$72)/(1+Assumptions!$B$10)^22)+SUMPRODUCT(($A$12:$A$72&lt;22)*O$12:O$72*$E$12:$E$72*$D$12:$D$72*$B$12:$B$72)+INDEX($E$12:$E$72,22+1)*SUMPRODUCT(($A$12:$A$72&gt;=22)*O$12:O$72*$D$12:$D$72*$B$12:$B$72))/((SUMPRODUCT(($A$12:$A$72&lt;22)*O$12:O$72*$E$12:$E$72*$B$12:$B$72))*(1-Assumptions!$B$13-(SUMPRODUCT(($A$12:$A$72&lt;22)*O$12:O$72*$E$12:$E$72*$F$12:$F$72*$B$12:$B$72))/(SUMPRODUCT(($A$12:$A$72&lt;22)*O$12:O$72*$E$12:$E$72*$B$12:$B$72))))/12</f>
        <v>125.808446512156</v>
      </c>
    </row>
    <row r="245" customFormat="false" ht="15" hidden="false" customHeight="true" outlineLevel="0" collapsed="false">
      <c r="A245" s="3" t="n">
        <v>69</v>
      </c>
      <c r="B245" s="48" t="n">
        <f aca="false">((INDEX($E$12:$E$72,6+1)*SUMPRODUCT(($A$12:$A$72&gt;=6)*P$12:P$72*$B$5*$C$12:$C$72*$B$12:$B$72)/(1+Assumptions!$B$10)^6)+SUMPRODUCT(($A$12:$A$72&lt;6)*P$12:P$72*$E$12:$E$72*$D$12:$D$72*$B$12:$B$72)+INDEX($E$12:$E$72,6+1)*SUMPRODUCT(($A$12:$A$72&gt;=6)*P$12:P$72*$D$12:$D$72*$B$12:$B$72))/((SUMPRODUCT(($A$12:$A$72&lt;6)*P$12:P$72*$E$12:$E$72*$B$12:$B$72))*(1-Assumptions!$B$13-(SUMPRODUCT(($A$12:$A$72&lt;6)*P$12:P$72*$E$12:$E$72*$F$12:$F$72*$B$12:$B$72))/(SUMPRODUCT(($A$12:$A$72&lt;6)*P$12:P$72*$E$12:$E$72*$B$12:$B$72))))/12</f>
        <v>2672.46644732188</v>
      </c>
      <c r="C245" s="48" t="n">
        <f aca="false">((INDEX($E$12:$E$72,7+1)*SUMPRODUCT(($A$12:$A$72&gt;=7)*P$12:P$72*$B$5*$C$12:$C$72*$B$12:$B$72)/(1+Assumptions!$B$10)^7)+SUMPRODUCT(($A$12:$A$72&lt;7)*P$12:P$72*$E$12:$E$72*$D$12:$D$72*$B$12:$B$72)+INDEX($E$12:$E$72,7+1)*SUMPRODUCT(($A$12:$A$72&gt;=7)*P$12:P$72*$D$12:$D$72*$B$12:$B$72))/((SUMPRODUCT(($A$12:$A$72&lt;7)*P$12:P$72*$E$12:$E$72*$B$12:$B$72))*(1-Assumptions!$B$13-(SUMPRODUCT(($A$12:$A$72&lt;7)*P$12:P$72*$E$12:$E$72*$F$12:$F$72*$B$12:$B$72))/(SUMPRODUCT(($A$12:$A$72&lt;7)*P$12:P$72*$E$12:$E$72*$B$12:$B$72))))/12</f>
        <v>2060.87294592734</v>
      </c>
      <c r="D245" s="48" t="n">
        <f aca="false">((INDEX($E$12:$E$72,8+1)*SUMPRODUCT(($A$12:$A$72&gt;=8)*P$12:P$72*$B$5*$C$12:$C$72*$B$12:$B$72)/(1+Assumptions!$B$10)^8)+SUMPRODUCT(($A$12:$A$72&lt;8)*P$12:P$72*$E$12:$E$72*$D$12:$D$72*$B$12:$B$72)+INDEX($E$12:$E$72,8+1)*SUMPRODUCT(($A$12:$A$72&gt;=8)*P$12:P$72*$D$12:$D$72*$B$12:$B$72))/((SUMPRODUCT(($A$12:$A$72&lt;8)*P$12:P$72*$E$12:$E$72*$B$12:$B$72))*(1-Assumptions!$B$13-(SUMPRODUCT(($A$12:$A$72&lt;8)*P$12:P$72*$E$12:$E$72*$F$12:$F$72*$B$12:$B$72))/(SUMPRODUCT(($A$12:$A$72&lt;8)*P$12:P$72*$E$12:$E$72*$B$12:$B$72))))/12</f>
        <v>1629.59605735896</v>
      </c>
      <c r="E245" s="48" t="n">
        <f aca="false">((INDEX($E$12:$E$72,9+1)*SUMPRODUCT(($A$12:$A$72&gt;=9)*P$12:P$72*$B$5*$C$12:$C$72*$B$12:$B$72)/(1+Assumptions!$B$10)^9)+SUMPRODUCT(($A$12:$A$72&lt;9)*P$12:P$72*$E$12:$E$72*$D$12:$D$72*$B$12:$B$72)+INDEX($E$12:$E$72,9+1)*SUMPRODUCT(($A$12:$A$72&gt;=9)*P$12:P$72*$D$12:$D$72*$B$12:$B$72))/((SUMPRODUCT(($A$12:$A$72&lt;9)*P$12:P$72*$E$12:$E$72*$B$12:$B$72))*(1-Assumptions!$B$13-(SUMPRODUCT(($A$12:$A$72&lt;9)*P$12:P$72*$E$12:$E$72*$F$12:$F$72*$B$12:$B$72))/(SUMPRODUCT(($A$12:$A$72&lt;9)*P$12:P$72*$E$12:$E$72*$B$12:$B$72))))/12</f>
        <v>1311.13350928881</v>
      </c>
      <c r="F245" s="48" t="n">
        <f aca="false">((INDEX($E$12:$E$72,10+1)*SUMPRODUCT(($A$12:$A$72&gt;=10)*P$12:P$72*$B$5*$C$12:$C$72*$B$12:$B$72)/(1+Assumptions!$B$10)^10)+SUMPRODUCT(($A$12:$A$72&lt;10)*P$12:P$72*$E$12:$E$72*$D$12:$D$72*$B$12:$B$72)+INDEX($E$12:$E$72,10+1)*SUMPRODUCT(($A$12:$A$72&gt;=10)*P$12:P$72*$D$12:$D$72*$B$12:$B$72))/((SUMPRODUCT(($A$12:$A$72&lt;10)*P$12:P$72*$E$12:$E$72*$B$12:$B$72))*(1-Assumptions!$B$13-(SUMPRODUCT(($A$12:$A$72&lt;10)*P$12:P$72*$E$12:$E$72*$F$12:$F$72*$B$12:$B$72))/(SUMPRODUCT(($A$12:$A$72&lt;10)*P$12:P$72*$E$12:$E$72*$B$12:$B$72))))/12</f>
        <v>1067.92063252476</v>
      </c>
      <c r="G245" s="48" t="n">
        <f aca="false">((INDEX($E$12:$E$72,11+1)*SUMPRODUCT(($A$12:$A$72&gt;=11)*P$12:P$72*$B$5*$C$12:$C$72*$B$12:$B$72)/(1+Assumptions!$B$10)^11)+SUMPRODUCT(($A$12:$A$72&lt;11)*P$12:P$72*$E$12:$E$72*$D$12:$D$72*$B$12:$B$72)+INDEX($E$12:$E$72,11+1)*SUMPRODUCT(($A$12:$A$72&gt;=11)*P$12:P$72*$D$12:$D$72*$B$12:$B$72))/((SUMPRODUCT(($A$12:$A$72&lt;11)*P$12:P$72*$E$12:$E$72*$B$12:$B$72))*(1-Assumptions!$B$13-(SUMPRODUCT(($A$12:$A$72&lt;11)*P$12:P$72*$E$12:$E$72*$F$12:$F$72*$B$12:$B$72))/(SUMPRODUCT(($A$12:$A$72&lt;11)*P$12:P$72*$E$12:$E$72*$B$12:$B$72))))/12</f>
        <v>877.621903949248</v>
      </c>
      <c r="H245" s="48" t="n">
        <f aca="false">((INDEX($E$12:$E$72,12+1)*SUMPRODUCT(($A$12:$A$72&gt;=12)*P$12:P$72*$B$5*$C$12:$C$72*$B$12:$B$72)/(1+Assumptions!$B$10)^12)+SUMPRODUCT(($A$12:$A$72&lt;12)*P$12:P$72*$E$12:$E$72*$D$12:$D$72*$B$12:$B$72)+INDEX($E$12:$E$72,12+1)*SUMPRODUCT(($A$12:$A$72&gt;=12)*P$12:P$72*$D$12:$D$72*$B$12:$B$72))/((SUMPRODUCT(($A$12:$A$72&lt;12)*P$12:P$72*$E$12:$E$72*$B$12:$B$72))*(1-Assumptions!$B$13-(SUMPRODUCT(($A$12:$A$72&lt;12)*P$12:P$72*$E$12:$E$72*$F$12:$F$72*$B$12:$B$72))/(SUMPRODUCT(($A$12:$A$72&lt;12)*P$12:P$72*$E$12:$E$72*$B$12:$B$72))))/12</f>
        <v>725.37452076694</v>
      </c>
      <c r="I245" s="48" t="n">
        <f aca="false">((INDEX($E$12:$E$72,13+1)*SUMPRODUCT(($A$12:$A$72&gt;=13)*P$12:P$72*$B$5*$C$12:$C$72*$B$12:$B$72)/(1+Assumptions!$B$10)^13)+SUMPRODUCT(($A$12:$A$72&lt;13)*P$12:P$72*$E$12:$E$72*$D$12:$D$72*$B$12:$B$72)+INDEX($E$12:$E$72,13+1)*SUMPRODUCT(($A$12:$A$72&gt;=13)*P$12:P$72*$D$12:$D$72*$B$12:$B$72))/((SUMPRODUCT(($A$12:$A$72&lt;13)*P$12:P$72*$E$12:$E$72*$B$12:$B$72))*(1-Assumptions!$B$13-(SUMPRODUCT(($A$12:$A$72&lt;13)*P$12:P$72*$E$12:$E$72*$F$12:$F$72*$B$12:$B$72))/(SUMPRODUCT(($A$12:$A$72&lt;13)*P$12:P$72*$E$12:$E$72*$B$12:$B$72))))/12</f>
        <v>602.055055482477</v>
      </c>
      <c r="J245" s="48" t="n">
        <f aca="false">((INDEX($E$12:$E$72,14+1)*SUMPRODUCT(($A$12:$A$72&gt;=14)*P$12:P$72*$B$5*$C$12:$C$72*$B$12:$B$72)/(1+Assumptions!$B$10)^14)+SUMPRODUCT(($A$12:$A$72&lt;14)*P$12:P$72*$E$12:$E$72*$D$12:$D$72*$B$12:$B$72)+INDEX($E$12:$E$72,14+1)*SUMPRODUCT(($A$12:$A$72&gt;=14)*P$12:P$72*$D$12:$D$72*$B$12:$B$72))/((SUMPRODUCT(($A$12:$A$72&lt;14)*P$12:P$72*$E$12:$E$72*$B$12:$B$72))*(1-Assumptions!$B$13-(SUMPRODUCT(($A$12:$A$72&lt;14)*P$12:P$72*$E$12:$E$72*$F$12:$F$72*$B$12:$B$72))/(SUMPRODUCT(($A$12:$A$72&lt;14)*P$12:P$72*$E$12:$E$72*$B$12:$B$72))))/12</f>
        <v>500.895892734369</v>
      </c>
      <c r="K245" s="48" t="n">
        <f aca="false">((INDEX($E$12:$E$72,15+1)*SUMPRODUCT(($A$12:$A$72&gt;=15)*P$12:P$72*$B$5*$C$12:$C$72*$B$12:$B$72)/(1+Assumptions!$B$10)^15)+SUMPRODUCT(($A$12:$A$72&lt;15)*P$12:P$72*$E$12:$E$72*$D$12:$D$72*$B$12:$B$72)+INDEX($E$12:$E$72,15+1)*SUMPRODUCT(($A$12:$A$72&gt;=15)*P$12:P$72*$D$12:$D$72*$B$12:$B$72))/((SUMPRODUCT(($A$12:$A$72&lt;15)*P$12:P$72*$E$12:$E$72*$B$12:$B$72))*(1-Assumptions!$B$13-(SUMPRODUCT(($A$12:$A$72&lt;15)*P$12:P$72*$E$12:$E$72*$F$12:$F$72*$B$12:$B$72))/(SUMPRODUCT(($A$12:$A$72&lt;15)*P$12:P$72*$E$12:$E$72*$B$12:$B$72))))/12</f>
        <v>417.072997550921</v>
      </c>
      <c r="L245" s="48" t="n">
        <f aca="false">((INDEX($E$12:$E$72,16+1)*SUMPRODUCT(($A$12:$A$72&gt;=16)*P$12:P$72*$B$5*$C$12:$C$72*$B$12:$B$72)/(1+Assumptions!$B$10)^16)+SUMPRODUCT(($A$12:$A$72&lt;16)*P$12:P$72*$E$12:$E$72*$D$12:$D$72*$B$12:$B$72)+INDEX($E$12:$E$72,16+1)*SUMPRODUCT(($A$12:$A$72&gt;=16)*P$12:P$72*$D$12:$D$72*$B$12:$B$72))/((SUMPRODUCT(($A$12:$A$72&lt;16)*P$12:P$72*$E$12:$E$72*$B$12:$B$72))*(1-Assumptions!$B$13-(SUMPRODUCT(($A$12:$A$72&lt;16)*P$12:P$72*$E$12:$E$72*$F$12:$F$72*$B$12:$B$72))/(SUMPRODUCT(($A$12:$A$72&lt;16)*P$12:P$72*$E$12:$E$72*$B$12:$B$72))))/12</f>
        <v>347.266424305791</v>
      </c>
      <c r="M245" s="48" t="n">
        <f aca="false">((INDEX($E$12:$E$72,17+1)*SUMPRODUCT(($A$12:$A$72&gt;=17)*P$12:P$72*$B$5*$C$12:$C$72*$B$12:$B$72)/(1+Assumptions!$B$10)^17)+SUMPRODUCT(($A$12:$A$72&lt;17)*P$12:P$72*$E$12:$E$72*$D$12:$D$72*$B$12:$B$72)+INDEX($E$12:$E$72,17+1)*SUMPRODUCT(($A$12:$A$72&gt;=17)*P$12:P$72*$D$12:$D$72*$B$12:$B$72))/((SUMPRODUCT(($A$12:$A$72&lt;17)*P$12:P$72*$E$12:$E$72*$B$12:$B$72))*(1-Assumptions!$B$13-(SUMPRODUCT(($A$12:$A$72&lt;17)*P$12:P$72*$E$12:$E$72*$F$12:$F$72*$B$12:$B$72))/(SUMPRODUCT(($A$12:$A$72&lt;17)*P$12:P$72*$E$12:$E$72*$B$12:$B$72))))/12</f>
        <v>288.775566779816</v>
      </c>
      <c r="N245" s="48" t="n">
        <f aca="false">((INDEX($E$12:$E$72,18+1)*SUMPRODUCT(($A$12:$A$72&gt;=18)*P$12:P$72*$B$5*$C$12:$C$72*$B$12:$B$72)/(1+Assumptions!$B$10)^18)+SUMPRODUCT(($A$12:$A$72&lt;18)*P$12:P$72*$E$12:$E$72*$D$12:$D$72*$B$12:$B$72)+INDEX($E$12:$E$72,18+1)*SUMPRODUCT(($A$12:$A$72&gt;=18)*P$12:P$72*$D$12:$D$72*$B$12:$B$72))/((SUMPRODUCT(($A$12:$A$72&lt;18)*P$12:P$72*$E$12:$E$72*$B$12:$B$72))*(1-Assumptions!$B$13-(SUMPRODUCT(($A$12:$A$72&lt;18)*P$12:P$72*$E$12:$E$72*$F$12:$F$72*$B$12:$B$72))/(SUMPRODUCT(($A$12:$A$72&lt;18)*P$12:P$72*$E$12:$E$72*$B$12:$B$72))))/12</f>
        <v>239.59619564023</v>
      </c>
      <c r="O245" s="48" t="n">
        <f aca="false">((INDEX($E$12:$E$72,19+1)*SUMPRODUCT(($A$12:$A$72&gt;=19)*P$12:P$72*$B$5*$C$12:$C$72*$B$12:$B$72)/(1+Assumptions!$B$10)^19)+SUMPRODUCT(($A$12:$A$72&lt;19)*P$12:P$72*$E$12:$E$72*$D$12:$D$72*$B$12:$B$72)+INDEX($E$12:$E$72,19+1)*SUMPRODUCT(($A$12:$A$72&gt;=19)*P$12:P$72*$D$12:$D$72*$B$12:$B$72))/((SUMPRODUCT(($A$12:$A$72&lt;19)*P$12:P$72*$E$12:$E$72*$B$12:$B$72))*(1-Assumptions!$B$13-(SUMPRODUCT(($A$12:$A$72&lt;19)*P$12:P$72*$E$12:$E$72*$F$12:$F$72*$B$12:$B$72))/(SUMPRODUCT(($A$12:$A$72&lt;19)*P$12:P$72*$E$12:$E$72*$B$12:$B$72))))/12</f>
        <v>198.168122583212</v>
      </c>
      <c r="P245" s="48" t="n">
        <f aca="false">((INDEX($E$12:$E$72,20+1)*SUMPRODUCT(($A$12:$A$72&gt;=20)*P$12:P$72*$B$5*$C$12:$C$72*$B$12:$B$72)/(1+Assumptions!$B$10)^20)+SUMPRODUCT(($A$12:$A$72&lt;20)*P$12:P$72*$E$12:$E$72*$D$12:$D$72*$B$12:$B$72)+INDEX($E$12:$E$72,20+1)*SUMPRODUCT(($A$12:$A$72&gt;=20)*P$12:P$72*$D$12:$D$72*$B$12:$B$72))/((SUMPRODUCT(($A$12:$A$72&lt;20)*P$12:P$72*$E$12:$E$72*$B$12:$B$72))*(1-Assumptions!$B$13-(SUMPRODUCT(($A$12:$A$72&lt;20)*P$12:P$72*$E$12:$E$72*$F$12:$F$72*$B$12:$B$72))/(SUMPRODUCT(($A$12:$A$72&lt;20)*P$12:P$72*$E$12:$E$72*$B$12:$B$72))))/12</f>
        <v>163.270991898537</v>
      </c>
      <c r="Q245" s="48" t="n">
        <f aca="false">((INDEX($E$12:$E$72,21+1)*SUMPRODUCT(($A$12:$A$72&gt;=21)*P$12:P$72*$B$5*$C$12:$C$72*$B$12:$B$72)/(1+Assumptions!$B$10)^21)+SUMPRODUCT(($A$12:$A$72&lt;21)*P$12:P$72*$E$12:$E$72*$D$12:$D$72*$B$12:$B$72)+INDEX($E$12:$E$72,21+1)*SUMPRODUCT(($A$12:$A$72&gt;=21)*P$12:P$72*$D$12:$D$72*$B$12:$B$72))/((SUMPRODUCT(($A$12:$A$72&lt;21)*P$12:P$72*$E$12:$E$72*$B$12:$B$72))*(1-Assumptions!$B$13-(SUMPRODUCT(($A$12:$A$72&lt;21)*P$12:P$72*$E$12:$E$72*$F$12:$F$72*$B$12:$B$72))/(SUMPRODUCT(($A$12:$A$72&lt;21)*P$12:P$72*$E$12:$E$72*$B$12:$B$72))))/12</f>
        <v>133.943415856592</v>
      </c>
    </row>
    <row r="246" customFormat="false" ht="15" hidden="false" customHeight="true" outlineLevel="0" collapsed="false">
      <c r="A246" s="3" t="n">
        <v>70</v>
      </c>
      <c r="B246" s="48" t="n">
        <f aca="false">((INDEX($E$12:$E$72,5+1)*SUMPRODUCT(($A$12:$A$72&gt;=5)*Q$12:Q$72*$B$5*$C$12:$C$72*$B$12:$B$72)/(1+Assumptions!$B$10)^5)+SUMPRODUCT(($A$12:$A$72&lt;5)*Q$12:Q$72*$E$12:$E$72*$D$12:$D$72*$B$12:$B$72)+INDEX($E$12:$E$72,5+1)*SUMPRODUCT(($A$12:$A$72&gt;=5)*Q$12:Q$72*$D$12:$D$72*$B$12:$B$72))/((SUMPRODUCT(($A$12:$A$72&lt;5)*Q$12:Q$72*$E$12:$E$72*$B$12:$B$72))*(1-Assumptions!$B$13-(SUMPRODUCT(($A$12:$A$72&lt;5)*Q$12:Q$72*$E$12:$E$72*$F$12:$F$72*$B$12:$B$72))/(SUMPRODUCT(($A$12:$A$72&lt;5)*Q$12:Q$72*$E$12:$E$72*$B$12:$B$72))))/12</f>
        <v>3415.80353150829</v>
      </c>
      <c r="C246" s="48" t="n">
        <f aca="false">((INDEX($E$12:$E$72,6+1)*SUMPRODUCT(($A$12:$A$72&gt;=6)*Q$12:Q$72*$B$5*$C$12:$C$72*$B$12:$B$72)/(1+Assumptions!$B$10)^6)+SUMPRODUCT(($A$12:$A$72&lt;6)*Q$12:Q$72*$E$12:$E$72*$D$12:$D$72*$B$12:$B$72)+INDEX($E$12:$E$72,6+1)*SUMPRODUCT(($A$12:$A$72&gt;=6)*Q$12:Q$72*$D$12:$D$72*$B$12:$B$72))/((SUMPRODUCT(($A$12:$A$72&lt;6)*Q$12:Q$72*$E$12:$E$72*$B$12:$B$72))*(1-Assumptions!$B$13-(SUMPRODUCT(($A$12:$A$72&lt;6)*Q$12:Q$72*$E$12:$E$72*$F$12:$F$72*$B$12:$B$72))/(SUMPRODUCT(($A$12:$A$72&lt;6)*Q$12:Q$72*$E$12:$E$72*$B$12:$B$72))))/12</f>
        <v>2529.35338190793</v>
      </c>
      <c r="D246" s="48" t="n">
        <f aca="false">((INDEX($E$12:$E$72,7+1)*SUMPRODUCT(($A$12:$A$72&gt;=7)*Q$12:Q$72*$B$5*$C$12:$C$72*$B$12:$B$72)/(1+Assumptions!$B$10)^7)+SUMPRODUCT(($A$12:$A$72&lt;7)*Q$12:Q$72*$E$12:$E$72*$D$12:$D$72*$B$12:$B$72)+INDEX($E$12:$E$72,7+1)*SUMPRODUCT(($A$12:$A$72&gt;=7)*Q$12:Q$72*$D$12:$D$72*$B$12:$B$72))/((SUMPRODUCT(($A$12:$A$72&lt;7)*Q$12:Q$72*$E$12:$E$72*$B$12:$B$72))*(1-Assumptions!$B$13-(SUMPRODUCT(($A$12:$A$72&lt;7)*Q$12:Q$72*$E$12:$E$72*$F$12:$F$72*$B$12:$B$72))/(SUMPRODUCT(($A$12:$A$72&lt;7)*Q$12:Q$72*$E$12:$E$72*$B$12:$B$72))))/12</f>
        <v>1944.59133224447</v>
      </c>
      <c r="E246" s="48" t="n">
        <f aca="false">((INDEX($E$12:$E$72,8+1)*SUMPRODUCT(($A$12:$A$72&gt;=8)*Q$12:Q$72*$B$5*$C$12:$C$72*$B$12:$B$72)/(1+Assumptions!$B$10)^8)+SUMPRODUCT(($A$12:$A$72&lt;8)*Q$12:Q$72*$E$12:$E$72*$D$12:$D$72*$B$12:$B$72)+INDEX($E$12:$E$72,8+1)*SUMPRODUCT(($A$12:$A$72&gt;=8)*Q$12:Q$72*$D$12:$D$72*$B$12:$B$72))/((SUMPRODUCT(($A$12:$A$72&lt;8)*Q$12:Q$72*$E$12:$E$72*$B$12:$B$72))*(1-Assumptions!$B$13-(SUMPRODUCT(($A$12:$A$72&lt;8)*Q$12:Q$72*$E$12:$E$72*$F$12:$F$72*$B$12:$B$72))/(SUMPRODUCT(($A$12:$A$72&lt;8)*Q$12:Q$72*$E$12:$E$72*$B$12:$B$72))))/12</f>
        <v>1532.5174738184</v>
      </c>
      <c r="F246" s="48" t="n">
        <f aca="false">((INDEX($E$12:$E$72,9+1)*SUMPRODUCT(($A$12:$A$72&gt;=9)*Q$12:Q$72*$B$5*$C$12:$C$72*$B$12:$B$72)/(1+Assumptions!$B$10)^9)+SUMPRODUCT(($A$12:$A$72&lt;9)*Q$12:Q$72*$E$12:$E$72*$D$12:$D$72*$B$12:$B$72)+INDEX($E$12:$E$72,9+1)*SUMPRODUCT(($A$12:$A$72&gt;=9)*Q$12:Q$72*$D$12:$D$72*$B$12:$B$72))/((SUMPRODUCT(($A$12:$A$72&lt;9)*Q$12:Q$72*$E$12:$E$72*$B$12:$B$72))*(1-Assumptions!$B$13-(SUMPRODUCT(($A$12:$A$72&lt;9)*Q$12:Q$72*$E$12:$E$72*$F$12:$F$72*$B$12:$B$72))/(SUMPRODUCT(($A$12:$A$72&lt;9)*Q$12:Q$72*$E$12:$E$72*$B$12:$B$72))))/12</f>
        <v>1228.51036525257</v>
      </c>
      <c r="G246" s="48" t="n">
        <f aca="false">((INDEX($E$12:$E$72,10+1)*SUMPRODUCT(($A$12:$A$72&gt;=10)*Q$12:Q$72*$B$5*$C$12:$C$72*$B$12:$B$72)/(1+Assumptions!$B$10)^10)+SUMPRODUCT(($A$12:$A$72&lt;10)*Q$12:Q$72*$E$12:$E$72*$D$12:$D$72*$B$12:$B$72)+INDEX($E$12:$E$72,10+1)*SUMPRODUCT(($A$12:$A$72&gt;=10)*Q$12:Q$72*$D$12:$D$72*$B$12:$B$72))/((SUMPRODUCT(($A$12:$A$72&lt;10)*Q$12:Q$72*$E$12:$E$72*$B$12:$B$72))*(1-Assumptions!$B$13-(SUMPRODUCT(($A$12:$A$72&lt;10)*Q$12:Q$72*$E$12:$E$72*$F$12:$F$72*$B$12:$B$72))/(SUMPRODUCT(($A$12:$A$72&lt;10)*Q$12:Q$72*$E$12:$E$72*$B$12:$B$72))))/12</f>
        <v>996.603247196247</v>
      </c>
      <c r="H246" s="48" t="n">
        <f aca="false">((INDEX($E$12:$E$72,11+1)*SUMPRODUCT(($A$12:$A$72&gt;=11)*Q$12:Q$72*$B$5*$C$12:$C$72*$B$12:$B$72)/(1+Assumptions!$B$10)^11)+SUMPRODUCT(($A$12:$A$72&lt;11)*Q$12:Q$72*$E$12:$E$72*$D$12:$D$72*$B$12:$B$72)+INDEX($E$12:$E$72,11+1)*SUMPRODUCT(($A$12:$A$72&gt;=11)*Q$12:Q$72*$D$12:$D$72*$B$12:$B$72))/((SUMPRODUCT(($A$12:$A$72&lt;11)*Q$12:Q$72*$E$12:$E$72*$B$12:$B$72))*(1-Assumptions!$B$13-(SUMPRODUCT(($A$12:$A$72&lt;11)*Q$12:Q$72*$E$12:$E$72*$F$12:$F$72*$B$12:$B$72))/(SUMPRODUCT(($A$12:$A$72&lt;11)*Q$12:Q$72*$E$12:$E$72*$B$12:$B$72))))/12</f>
        <v>815.408211660911</v>
      </c>
      <c r="I246" s="48" t="n">
        <f aca="false">((INDEX($E$12:$E$72,12+1)*SUMPRODUCT(($A$12:$A$72&gt;=12)*Q$12:Q$72*$B$5*$C$12:$C$72*$B$12:$B$72)/(1+Assumptions!$B$10)^12)+SUMPRODUCT(($A$12:$A$72&lt;12)*Q$12:Q$72*$E$12:$E$72*$D$12:$D$72*$B$12:$B$72)+INDEX($E$12:$E$72,12+1)*SUMPRODUCT(($A$12:$A$72&gt;=12)*Q$12:Q$72*$D$12:$D$72*$B$12:$B$72))/((SUMPRODUCT(($A$12:$A$72&lt;12)*Q$12:Q$72*$E$12:$E$72*$B$12:$B$72))*(1-Assumptions!$B$13-(SUMPRODUCT(($A$12:$A$72&lt;12)*Q$12:Q$72*$E$12:$E$72*$F$12:$F$72*$B$12:$B$72))/(SUMPRODUCT(($A$12:$A$72&lt;12)*Q$12:Q$72*$E$12:$E$72*$B$12:$B$72))))/12</f>
        <v>670.805251053708</v>
      </c>
      <c r="J246" s="48" t="n">
        <f aca="false">((INDEX($E$12:$E$72,13+1)*SUMPRODUCT(($A$12:$A$72&gt;=13)*Q$12:Q$72*$B$5*$C$12:$C$72*$B$12:$B$72)/(1+Assumptions!$B$10)^13)+SUMPRODUCT(($A$12:$A$72&lt;13)*Q$12:Q$72*$E$12:$E$72*$D$12:$D$72*$B$12:$B$72)+INDEX($E$12:$E$72,13+1)*SUMPRODUCT(($A$12:$A$72&gt;=13)*Q$12:Q$72*$D$12:$D$72*$B$12:$B$72))/((SUMPRODUCT(($A$12:$A$72&lt;13)*Q$12:Q$72*$E$12:$E$72*$B$12:$B$72))*(1-Assumptions!$B$13-(SUMPRODUCT(($A$12:$A$72&lt;13)*Q$12:Q$72*$E$12:$E$72*$F$12:$F$72*$B$12:$B$72))/(SUMPRODUCT(($A$12:$A$72&lt;13)*Q$12:Q$72*$E$12:$E$72*$B$12:$B$72))))/12</f>
        <v>553.918620473858</v>
      </c>
      <c r="K246" s="48" t="n">
        <f aca="false">((INDEX($E$12:$E$72,14+1)*SUMPRODUCT(($A$12:$A$72&gt;=14)*Q$12:Q$72*$B$5*$C$12:$C$72*$B$12:$B$72)/(1+Assumptions!$B$10)^14)+SUMPRODUCT(($A$12:$A$72&lt;14)*Q$12:Q$72*$E$12:$E$72*$D$12:$D$72*$B$12:$B$72)+INDEX($E$12:$E$72,14+1)*SUMPRODUCT(($A$12:$A$72&gt;=14)*Q$12:Q$72*$D$12:$D$72*$B$12:$B$72))/((SUMPRODUCT(($A$12:$A$72&lt;14)*Q$12:Q$72*$E$12:$E$72*$B$12:$B$72))*(1-Assumptions!$B$13-(SUMPRODUCT(($A$12:$A$72&lt;14)*Q$12:Q$72*$E$12:$E$72*$F$12:$F$72*$B$12:$B$72))/(SUMPRODUCT(($A$12:$A$72&lt;14)*Q$12:Q$72*$E$12:$E$72*$B$12:$B$72))))/12</f>
        <v>458.273319996057</v>
      </c>
      <c r="L246" s="48" t="n">
        <f aca="false">((INDEX($E$12:$E$72,15+1)*SUMPRODUCT(($A$12:$A$72&gt;=15)*Q$12:Q$72*$B$5*$C$12:$C$72*$B$12:$B$72)/(1+Assumptions!$B$10)^15)+SUMPRODUCT(($A$12:$A$72&lt;15)*Q$12:Q$72*$E$12:$E$72*$D$12:$D$72*$B$12:$B$72)+INDEX($E$12:$E$72,15+1)*SUMPRODUCT(($A$12:$A$72&gt;=15)*Q$12:Q$72*$D$12:$D$72*$B$12:$B$72))/((SUMPRODUCT(($A$12:$A$72&lt;15)*Q$12:Q$72*$E$12:$E$72*$B$12:$B$72))*(1-Assumptions!$B$13-(SUMPRODUCT(($A$12:$A$72&lt;15)*Q$12:Q$72*$E$12:$E$72*$F$12:$F$72*$B$12:$B$72))/(SUMPRODUCT(($A$12:$A$72&lt;15)*Q$12:Q$72*$E$12:$E$72*$B$12:$B$72))))/12</f>
        <v>379.252197146983</v>
      </c>
      <c r="M246" s="48" t="n">
        <f aca="false">((INDEX($E$12:$E$72,16+1)*SUMPRODUCT(($A$12:$A$72&gt;=16)*Q$12:Q$72*$B$5*$C$12:$C$72*$B$12:$B$72)/(1+Assumptions!$B$10)^16)+SUMPRODUCT(($A$12:$A$72&lt;16)*Q$12:Q$72*$E$12:$E$72*$D$12:$D$72*$B$12:$B$72)+INDEX($E$12:$E$72,16+1)*SUMPRODUCT(($A$12:$A$72&gt;=16)*Q$12:Q$72*$D$12:$D$72*$B$12:$B$72))/((SUMPRODUCT(($A$12:$A$72&lt;16)*Q$12:Q$72*$E$12:$E$72*$B$12:$B$72))*(1-Assumptions!$B$13-(SUMPRODUCT(($A$12:$A$72&lt;16)*Q$12:Q$72*$E$12:$E$72*$F$12:$F$72*$B$12:$B$72))/(SUMPRODUCT(($A$12:$A$72&lt;16)*Q$12:Q$72*$E$12:$E$72*$B$12:$B$72))))/12</f>
        <v>313.673908400598</v>
      </c>
      <c r="N246" s="48" t="n">
        <f aca="false">((INDEX($E$12:$E$72,17+1)*SUMPRODUCT(($A$12:$A$72&gt;=17)*Q$12:Q$72*$B$5*$C$12:$C$72*$B$12:$B$72)/(1+Assumptions!$B$10)^17)+SUMPRODUCT(($A$12:$A$72&lt;17)*Q$12:Q$72*$E$12:$E$72*$D$12:$D$72*$B$12:$B$72)+INDEX($E$12:$E$72,17+1)*SUMPRODUCT(($A$12:$A$72&gt;=17)*Q$12:Q$72*$D$12:$D$72*$B$12:$B$72))/((SUMPRODUCT(($A$12:$A$72&lt;17)*Q$12:Q$72*$E$12:$E$72*$B$12:$B$72))*(1-Assumptions!$B$13-(SUMPRODUCT(($A$12:$A$72&lt;17)*Q$12:Q$72*$E$12:$E$72*$F$12:$F$72*$B$12:$B$72))/(SUMPRODUCT(($A$12:$A$72&lt;17)*Q$12:Q$72*$E$12:$E$72*$B$12:$B$72))))/12</f>
        <v>259.030798416002</v>
      </c>
      <c r="O246" s="48" t="n">
        <f aca="false">((INDEX($E$12:$E$72,18+1)*SUMPRODUCT(($A$12:$A$72&gt;=18)*Q$12:Q$72*$B$5*$C$12:$C$72*$B$12:$B$72)/(1+Assumptions!$B$10)^18)+SUMPRODUCT(($A$12:$A$72&lt;18)*Q$12:Q$72*$E$12:$E$72*$D$12:$D$72*$B$12:$B$72)+INDEX($E$12:$E$72,18+1)*SUMPRODUCT(($A$12:$A$72&gt;=18)*Q$12:Q$72*$D$12:$D$72*$B$12:$B$72))/((SUMPRODUCT(($A$12:$A$72&lt;18)*Q$12:Q$72*$E$12:$E$72*$B$12:$B$72))*(1-Assumptions!$B$13-(SUMPRODUCT(($A$12:$A$72&lt;18)*Q$12:Q$72*$E$12:$E$72*$F$12:$F$72*$B$12:$B$72))/(SUMPRODUCT(($A$12:$A$72&lt;18)*Q$12:Q$72*$E$12:$E$72*$B$12:$B$72))))/12</f>
        <v>213.333087960253</v>
      </c>
      <c r="P246" s="48" t="n">
        <f aca="false">((INDEX($E$12:$E$72,19+1)*SUMPRODUCT(($A$12:$A$72&gt;=19)*Q$12:Q$72*$B$5*$C$12:$C$72*$B$12:$B$72)/(1+Assumptions!$B$10)^19)+SUMPRODUCT(($A$12:$A$72&lt;19)*Q$12:Q$72*$E$12:$E$72*$D$12:$D$72*$B$12:$B$72)+INDEX($E$12:$E$72,19+1)*SUMPRODUCT(($A$12:$A$72&gt;=19)*Q$12:Q$72*$D$12:$D$72*$B$12:$B$72))/((SUMPRODUCT(($A$12:$A$72&lt;19)*Q$12:Q$72*$E$12:$E$72*$B$12:$B$72))*(1-Assumptions!$B$13-(SUMPRODUCT(($A$12:$A$72&lt;19)*Q$12:Q$72*$E$12:$E$72*$F$12:$F$72*$B$12:$B$72))/(SUMPRODUCT(($A$12:$A$72&lt;19)*Q$12:Q$72*$E$12:$E$72*$B$12:$B$72))))/12</f>
        <v>175.080643417394</v>
      </c>
      <c r="Q246" s="48" t="n">
        <f aca="false">((INDEX($E$12:$E$72,20+1)*SUMPRODUCT(($A$12:$A$72&gt;=20)*Q$12:Q$72*$B$5*$C$12:$C$72*$B$12:$B$72)/(1+Assumptions!$B$10)^20)+SUMPRODUCT(($A$12:$A$72&lt;20)*Q$12:Q$72*$E$12:$E$72*$D$12:$D$72*$B$12:$B$72)+INDEX($E$12:$E$72,20+1)*SUMPRODUCT(($A$12:$A$72&gt;=20)*Q$12:Q$72*$D$12:$D$72*$B$12:$B$72))/((SUMPRODUCT(($A$12:$A$72&lt;20)*Q$12:Q$72*$E$12:$E$72*$B$12:$B$72))*(1-Assumptions!$B$13-(SUMPRODUCT(($A$12:$A$72&lt;20)*Q$12:Q$72*$E$12:$E$72*$F$12:$F$72*$B$12:$B$72))/(SUMPRODUCT(($A$12:$A$72&lt;20)*Q$12:Q$72*$E$12:$E$72*$B$12:$B$72))))/12</f>
        <v>143.096417968334</v>
      </c>
    </row>
    <row r="247" customFormat="false" ht="15" hidden="false" customHeight="true" outlineLevel="0" collapsed="false">
      <c r="A247" s="3" t="n">
        <v>71</v>
      </c>
      <c r="B247" s="48" t="n">
        <f aca="false">((INDEX($E$12:$E$72,4+1)*SUMPRODUCT(($A$12:$A$72&gt;=4)*R$12:R$72*$B$5*$C$12:$C$72*$B$12:$B$72)/(1+Assumptions!$B$10)^4)+SUMPRODUCT(($A$12:$A$72&lt;4)*R$12:R$72*$E$12:$E$72*$D$12:$D$72*$B$12:$B$72)+INDEX($E$12:$E$72,4+1)*SUMPRODUCT(($A$12:$A$72&gt;=4)*R$12:R$72*$D$12:$D$72*$B$12:$B$72))/((SUMPRODUCT(($A$12:$A$72&lt;4)*R$12:R$72*$E$12:$E$72*$B$12:$B$72))*(1-Assumptions!$B$13-(SUMPRODUCT(($A$12:$A$72&lt;4)*R$12:R$72*$E$12:$E$72*$F$12:$F$72*$B$12:$B$72))/(SUMPRODUCT(($A$12:$A$72&lt;4)*R$12:R$72*$E$12:$E$72*$B$12:$B$72))))/12</f>
        <v>4682.14130807076</v>
      </c>
      <c r="C247" s="48" t="n">
        <f aca="false">((INDEX($E$12:$E$72,5+1)*SUMPRODUCT(($A$12:$A$72&gt;=5)*R$12:R$72*$B$5*$C$12:$C$72*$B$12:$B$72)/(1+Assumptions!$B$10)^5)+SUMPRODUCT(($A$12:$A$72&lt;5)*R$12:R$72*$E$12:$E$72*$D$12:$D$72*$B$12:$B$72)+INDEX($E$12:$E$72,5+1)*SUMPRODUCT(($A$12:$A$72&gt;=5)*R$12:R$72*$D$12:$D$72*$B$12:$B$72))/((SUMPRODUCT(($A$12:$A$72&lt;5)*R$12:R$72*$E$12:$E$72*$B$12:$B$72))*(1-Assumptions!$B$13-(SUMPRODUCT(($A$12:$A$72&lt;5)*R$12:R$72*$E$12:$E$72*$F$12:$F$72*$B$12:$B$72))/(SUMPRODUCT(($A$12:$A$72&lt;5)*R$12:R$72*$E$12:$E$72*$B$12:$B$72))))/12</f>
        <v>3234.17355732715</v>
      </c>
      <c r="D247" s="48" t="n">
        <f aca="false">((INDEX($E$12:$E$72,6+1)*SUMPRODUCT(($A$12:$A$72&gt;=6)*R$12:R$72*$B$5*$C$12:$C$72*$B$12:$B$72)/(1+Assumptions!$B$10)^6)+SUMPRODUCT(($A$12:$A$72&lt;6)*R$12:R$72*$E$12:$E$72*$D$12:$D$72*$B$12:$B$72)+INDEX($E$12:$E$72,6+1)*SUMPRODUCT(($A$12:$A$72&gt;=6)*R$12:R$72*$D$12:$D$72*$B$12:$B$72))/((SUMPRODUCT(($A$12:$A$72&lt;6)*R$12:R$72*$E$12:$E$72*$B$12:$B$72))*(1-Assumptions!$B$13-(SUMPRODUCT(($A$12:$A$72&lt;6)*R$12:R$72*$E$12:$E$72*$F$12:$F$72*$B$12:$B$72))/(SUMPRODUCT(($A$12:$A$72&lt;6)*R$12:R$72*$E$12:$E$72*$B$12:$B$72))))/12</f>
        <v>2387.69275628623</v>
      </c>
      <c r="E247" s="48" t="n">
        <f aca="false">((INDEX($E$12:$E$72,7+1)*SUMPRODUCT(($A$12:$A$72&gt;=7)*R$12:R$72*$B$5*$C$12:$C$72*$B$12:$B$72)/(1+Assumptions!$B$10)^7)+SUMPRODUCT(($A$12:$A$72&lt;7)*R$12:R$72*$E$12:$E$72*$D$12:$D$72*$B$12:$B$72)+INDEX($E$12:$E$72,7+1)*SUMPRODUCT(($A$12:$A$72&gt;=7)*R$12:R$72*$D$12:$D$72*$B$12:$B$72))/((SUMPRODUCT(($A$12:$A$72&lt;7)*R$12:R$72*$E$12:$E$72*$B$12:$B$72))*(1-Assumptions!$B$13-(SUMPRODUCT(($A$12:$A$72&lt;7)*R$12:R$72*$E$12:$E$72*$F$12:$F$72*$B$12:$B$72))/(SUMPRODUCT(($A$12:$A$72&lt;7)*R$12:R$72*$E$12:$E$72*$B$12:$B$72))))/12</f>
        <v>1829.61466857047</v>
      </c>
      <c r="F247" s="48" t="n">
        <f aca="false">((INDEX($E$12:$E$72,8+1)*SUMPRODUCT(($A$12:$A$72&gt;=8)*R$12:R$72*$B$5*$C$12:$C$72*$B$12:$B$72)/(1+Assumptions!$B$10)^8)+SUMPRODUCT(($A$12:$A$72&lt;8)*R$12:R$72*$E$12:$E$72*$D$12:$D$72*$B$12:$B$72)+INDEX($E$12:$E$72,8+1)*SUMPRODUCT(($A$12:$A$72&gt;=8)*R$12:R$72*$D$12:$D$72*$B$12:$B$72))/((SUMPRODUCT(($A$12:$A$72&lt;8)*R$12:R$72*$E$12:$E$72*$B$12:$B$72))*(1-Assumptions!$B$13-(SUMPRODUCT(($A$12:$A$72&lt;8)*R$12:R$72*$E$12:$E$72*$F$12:$F$72*$B$12:$B$72))/(SUMPRODUCT(($A$12:$A$72&lt;8)*R$12:R$72*$E$12:$E$72*$B$12:$B$72))))/12</f>
        <v>1436.65981239534</v>
      </c>
      <c r="G247" s="48" t="n">
        <f aca="false">((INDEX($E$12:$E$72,9+1)*SUMPRODUCT(($A$12:$A$72&gt;=9)*R$12:R$72*$B$5*$C$12:$C$72*$B$12:$B$72)/(1+Assumptions!$B$10)^9)+SUMPRODUCT(($A$12:$A$72&lt;9)*R$12:R$72*$E$12:$E$72*$D$12:$D$72*$B$12:$B$72)+INDEX($E$12:$E$72,9+1)*SUMPRODUCT(($A$12:$A$72&gt;=9)*R$12:R$72*$D$12:$D$72*$B$12:$B$72))/((SUMPRODUCT(($A$12:$A$72&lt;9)*R$12:R$72*$E$12:$E$72*$B$12:$B$72))*(1-Assumptions!$B$13-(SUMPRODUCT(($A$12:$A$72&lt;9)*R$12:R$72*$E$12:$E$72*$F$12:$F$72*$B$12:$B$72))/(SUMPRODUCT(($A$12:$A$72&lt;9)*R$12:R$72*$E$12:$E$72*$B$12:$B$72))))/12</f>
        <v>1147.06102388505</v>
      </c>
      <c r="H247" s="48" t="n">
        <f aca="false">((INDEX($E$12:$E$72,10+1)*SUMPRODUCT(($A$12:$A$72&gt;=10)*R$12:R$72*$B$5*$C$12:$C$72*$B$12:$B$72)/(1+Assumptions!$B$10)^10)+SUMPRODUCT(($A$12:$A$72&lt;10)*R$12:R$72*$E$12:$E$72*$D$12:$D$72*$B$12:$B$72)+INDEX($E$12:$E$72,10+1)*SUMPRODUCT(($A$12:$A$72&gt;=10)*R$12:R$72*$D$12:$D$72*$B$12:$B$72))/((SUMPRODUCT(($A$12:$A$72&lt;10)*R$12:R$72*$E$12:$E$72*$B$12:$B$72))*(1-Assumptions!$B$13-(SUMPRODUCT(($A$12:$A$72&lt;10)*R$12:R$72*$E$12:$E$72*$F$12:$F$72*$B$12:$B$72))/(SUMPRODUCT(($A$12:$A$72&lt;10)*R$12:R$72*$E$12:$E$72*$B$12:$B$72))))/12</f>
        <v>926.435986452638</v>
      </c>
      <c r="I247" s="48" t="n">
        <f aca="false">((INDEX($E$12:$E$72,11+1)*SUMPRODUCT(($A$12:$A$72&gt;=11)*R$12:R$72*$B$5*$C$12:$C$72*$B$12:$B$72)/(1+Assumptions!$B$10)^11)+SUMPRODUCT(($A$12:$A$72&lt;11)*R$12:R$72*$E$12:$E$72*$D$12:$D$72*$B$12:$B$72)+INDEX($E$12:$E$72,11+1)*SUMPRODUCT(($A$12:$A$72&gt;=11)*R$12:R$72*$D$12:$D$72*$B$12:$B$72))/((SUMPRODUCT(($A$12:$A$72&lt;11)*R$12:R$72*$E$12:$E$72*$B$12:$B$72))*(1-Assumptions!$B$13-(SUMPRODUCT(($A$12:$A$72&lt;11)*R$12:R$72*$E$12:$E$72*$F$12:$F$72*$B$12:$B$72))/(SUMPRODUCT(($A$12:$A$72&lt;11)*R$12:R$72*$E$12:$E$72*$B$12:$B$72))))/12</f>
        <v>754.472567330313</v>
      </c>
      <c r="J247" s="48" t="n">
        <f aca="false">((INDEX($E$12:$E$72,12+1)*SUMPRODUCT(($A$12:$A$72&gt;=12)*R$12:R$72*$B$5*$C$12:$C$72*$B$12:$B$72)/(1+Assumptions!$B$10)^12)+SUMPRODUCT(($A$12:$A$72&lt;12)*R$12:R$72*$E$12:$E$72*$D$12:$D$72*$B$12:$B$72)+INDEX($E$12:$E$72,12+1)*SUMPRODUCT(($A$12:$A$72&gt;=12)*R$12:R$72*$D$12:$D$72*$B$12:$B$72))/((SUMPRODUCT(($A$12:$A$72&lt;12)*R$12:R$72*$E$12:$E$72*$B$12:$B$72))*(1-Assumptions!$B$13-(SUMPRODUCT(($A$12:$A$72&lt;12)*R$12:R$72*$E$12:$E$72*$F$12:$F$72*$B$12:$B$72))/(SUMPRODUCT(($A$12:$A$72&lt;12)*R$12:R$72*$E$12:$E$72*$B$12:$B$72))))/12</f>
        <v>617.502954249464</v>
      </c>
      <c r="K247" s="48" t="n">
        <f aca="false">((INDEX($E$12:$E$72,13+1)*SUMPRODUCT(($A$12:$A$72&gt;=13)*R$12:R$72*$B$5*$C$12:$C$72*$B$12:$B$72)/(1+Assumptions!$B$10)^13)+SUMPRODUCT(($A$12:$A$72&lt;13)*R$12:R$72*$E$12:$E$72*$D$12:$D$72*$B$12:$B$72)+INDEX($E$12:$E$72,13+1)*SUMPRODUCT(($A$12:$A$72&gt;=13)*R$12:R$72*$D$12:$D$72*$B$12:$B$72))/((SUMPRODUCT(($A$12:$A$72&lt;13)*R$12:R$72*$E$12:$E$72*$B$12:$B$72))*(1-Assumptions!$B$13-(SUMPRODUCT(($A$12:$A$72&lt;13)*R$12:R$72*$E$12:$E$72*$F$12:$F$72*$B$12:$B$72))/(SUMPRODUCT(($A$12:$A$72&lt;13)*R$12:R$72*$E$12:$E$72*$B$12:$B$72))))/12</f>
        <v>507.048890756295</v>
      </c>
      <c r="L247" s="48" t="n">
        <f aca="false">((INDEX($E$12:$E$72,14+1)*SUMPRODUCT(($A$12:$A$72&gt;=14)*R$12:R$72*$B$5*$C$12:$C$72*$B$12:$B$72)/(1+Assumptions!$B$10)^14)+SUMPRODUCT(($A$12:$A$72&lt;14)*R$12:R$72*$E$12:$E$72*$D$12:$D$72*$B$12:$B$72)+INDEX($E$12:$E$72,14+1)*SUMPRODUCT(($A$12:$A$72&gt;=14)*R$12:R$72*$D$12:$D$72*$B$12:$B$72))/((SUMPRODUCT(($A$12:$A$72&lt;14)*R$12:R$72*$E$12:$E$72*$B$12:$B$72))*(1-Assumptions!$B$13-(SUMPRODUCT(($A$12:$A$72&lt;14)*R$12:R$72*$E$12:$E$72*$F$12:$F$72*$B$12:$B$72))/(SUMPRODUCT(($A$12:$A$72&lt;14)*R$12:R$72*$E$12:$E$72*$B$12:$B$72))))/12</f>
        <v>416.924294904712</v>
      </c>
      <c r="M247" s="48" t="n">
        <f aca="false">((INDEX($E$12:$E$72,15+1)*SUMPRODUCT(($A$12:$A$72&gt;=15)*R$12:R$72*$B$5*$C$12:$C$72*$B$12:$B$72)/(1+Assumptions!$B$10)^15)+SUMPRODUCT(($A$12:$A$72&lt;15)*R$12:R$72*$E$12:$E$72*$D$12:$D$72*$B$12:$B$72)+INDEX($E$12:$E$72,15+1)*SUMPRODUCT(($A$12:$A$72&gt;=15)*R$12:R$72*$D$12:$D$72*$B$12:$B$72))/((SUMPRODUCT(($A$12:$A$72&lt;15)*R$12:R$72*$E$12:$E$72*$B$12:$B$72))*(1-Assumptions!$B$13-(SUMPRODUCT(($A$12:$A$72&lt;15)*R$12:R$72*$E$12:$E$72*$F$12:$F$72*$B$12:$B$72))/(SUMPRODUCT(($A$12:$A$72&lt;15)*R$12:R$72*$E$12:$E$72*$B$12:$B$72))))/12</f>
        <v>342.715942120331</v>
      </c>
      <c r="N247" s="48" t="n">
        <f aca="false">((INDEX($E$12:$E$72,16+1)*SUMPRODUCT(($A$12:$A$72&gt;=16)*R$12:R$72*$B$5*$C$12:$C$72*$B$12:$B$72)/(1+Assumptions!$B$10)^16)+SUMPRODUCT(($A$12:$A$72&lt;16)*R$12:R$72*$E$12:$E$72*$D$12:$D$72*$B$12:$B$72)+INDEX($E$12:$E$72,16+1)*SUMPRODUCT(($A$12:$A$72&gt;=16)*R$12:R$72*$D$12:$D$72*$B$12:$B$72))/((SUMPRODUCT(($A$12:$A$72&lt;16)*R$12:R$72*$E$12:$E$72*$B$12:$B$72))*(1-Assumptions!$B$13-(SUMPRODUCT(($A$12:$A$72&lt;16)*R$12:R$72*$E$12:$E$72*$F$12:$F$72*$B$12:$B$72))/(SUMPRODUCT(($A$12:$A$72&lt;16)*R$12:R$72*$E$12:$E$72*$B$12:$B$72))))/12</f>
        <v>281.469871974974</v>
      </c>
      <c r="O247" s="48" t="n">
        <f aca="false">((INDEX($E$12:$E$72,17+1)*SUMPRODUCT(($A$12:$A$72&gt;=17)*R$12:R$72*$B$5*$C$12:$C$72*$B$12:$B$72)/(1+Assumptions!$B$10)^17)+SUMPRODUCT(($A$12:$A$72&lt;17)*R$12:R$72*$E$12:$E$72*$D$12:$D$72*$B$12:$B$72)+INDEX($E$12:$E$72,17+1)*SUMPRODUCT(($A$12:$A$72&gt;=17)*R$12:R$72*$D$12:$D$72*$B$12:$B$72))/((SUMPRODUCT(($A$12:$A$72&lt;17)*R$12:R$72*$E$12:$E$72*$B$12:$B$72))*(1-Assumptions!$B$13-(SUMPRODUCT(($A$12:$A$72&lt;17)*R$12:R$72*$E$12:$E$72*$F$12:$F$72*$B$12:$B$72))/(SUMPRODUCT(($A$12:$A$72&lt;17)*R$12:R$72*$E$12:$E$72*$B$12:$B$72))))/12</f>
        <v>230.70538562541</v>
      </c>
      <c r="P247" s="48" t="n">
        <f aca="false">((INDEX($E$12:$E$72,18+1)*SUMPRODUCT(($A$12:$A$72&gt;=18)*R$12:R$72*$B$5*$C$12:$C$72*$B$12:$B$72)/(1+Assumptions!$B$10)^18)+SUMPRODUCT(($A$12:$A$72&lt;18)*R$12:R$72*$E$12:$E$72*$D$12:$D$72*$B$12:$B$72)+INDEX($E$12:$E$72,18+1)*SUMPRODUCT(($A$12:$A$72&gt;=18)*R$12:R$72*$D$12:$D$72*$B$12:$B$72))/((SUMPRODUCT(($A$12:$A$72&lt;18)*R$12:R$72*$E$12:$E$72*$B$12:$B$72))*(1-Assumptions!$B$13-(SUMPRODUCT(($A$12:$A$72&lt;18)*R$12:R$72*$E$12:$E$72*$F$12:$F$72*$B$12:$B$72))/(SUMPRODUCT(($A$12:$A$72&lt;18)*R$12:R$72*$E$12:$E$72*$B$12:$B$72))))/12</f>
        <v>188.515064349372</v>
      </c>
      <c r="Q247" s="48" t="n">
        <f aca="false">((INDEX($E$12:$E$72,19+1)*SUMPRODUCT(($A$12:$A$72&gt;=19)*R$12:R$72*$B$5*$C$12:$C$72*$B$12:$B$72)/(1+Assumptions!$B$10)^19)+SUMPRODUCT(($A$12:$A$72&lt;19)*R$12:R$72*$E$12:$E$72*$D$12:$D$72*$B$12:$B$72)+INDEX($E$12:$E$72,19+1)*SUMPRODUCT(($A$12:$A$72&gt;=19)*R$12:R$72*$D$12:$D$72*$B$12:$B$72))/((SUMPRODUCT(($A$12:$A$72&lt;19)*R$12:R$72*$E$12:$E$72*$B$12:$B$72))*(1-Assumptions!$B$13-(SUMPRODUCT(($A$12:$A$72&lt;19)*R$12:R$72*$E$12:$E$72*$F$12:$F$72*$B$12:$B$72))/(SUMPRODUCT(($A$12:$A$72&lt;19)*R$12:R$72*$E$12:$E$72*$B$12:$B$72))))/12</f>
        <v>153.456269157778</v>
      </c>
    </row>
    <row r="248" customFormat="false" ht="15" hidden="false" customHeight="true" outlineLevel="0" collapsed="false">
      <c r="A248" s="3" t="n">
        <v>72</v>
      </c>
      <c r="B248" s="48" t="n">
        <f aca="false">((INDEX($E$12:$E$72,3+1)*SUMPRODUCT(($A$12:$A$72&gt;=3)*S$12:S$72*$B$5*$C$12:$C$72*$B$12:$B$72)/(1+Assumptions!$B$10)^3)+SUMPRODUCT(($A$12:$A$72&lt;3)*S$12:S$72*$E$12:$E$72*$D$12:$D$72*$B$12:$B$72)+INDEX($E$12:$E$72,3+1)*SUMPRODUCT(($A$12:$A$72&gt;=3)*S$12:S$72*$D$12:$D$72*$B$12:$B$72))/((SUMPRODUCT(($A$12:$A$72&lt;3)*S$12:S$72*$E$12:$E$72*$B$12:$B$72))*(1-Assumptions!$B$13-(SUMPRODUCT(($A$12:$A$72&lt;3)*S$12:S$72*$E$12:$E$72*$F$12:$F$72*$B$12:$B$72))/(SUMPRODUCT(($A$12:$A$72&lt;3)*S$12:S$72*$E$12:$E$72*$B$12:$B$72))))/12</f>
        <v>7236.69789821026</v>
      </c>
      <c r="C248" s="48" t="n">
        <f aca="false">((INDEX($E$12:$E$72,4+1)*SUMPRODUCT(($A$12:$A$72&gt;=4)*S$12:S$72*$B$5*$C$12:$C$72*$B$12:$B$72)/(1+Assumptions!$B$10)^4)+SUMPRODUCT(($A$12:$A$72&lt;4)*S$12:S$72*$E$12:$E$72*$D$12:$D$72*$B$12:$B$72)+INDEX($E$12:$E$72,4+1)*SUMPRODUCT(($A$12:$A$72&gt;=4)*S$12:S$72*$D$12:$D$72*$B$12:$B$72))/((SUMPRODUCT(($A$12:$A$72&lt;4)*S$12:S$72*$E$12:$E$72*$B$12:$B$72))*(1-Assumptions!$B$13-(SUMPRODUCT(($A$12:$A$72&lt;4)*S$12:S$72*$E$12:$E$72*$F$12:$F$72*$B$12:$B$72))/(SUMPRODUCT(($A$12:$A$72&lt;4)*S$12:S$72*$E$12:$E$72*$B$12:$B$72))))/12</f>
        <v>4435.15676618722</v>
      </c>
      <c r="D248" s="48" t="n">
        <f aca="false">((INDEX($E$12:$E$72,5+1)*SUMPRODUCT(($A$12:$A$72&gt;=5)*S$12:S$72*$B$5*$C$12:$C$72*$B$12:$B$72)/(1+Assumptions!$B$10)^5)+SUMPRODUCT(($A$12:$A$72&lt;5)*S$12:S$72*$E$12:$E$72*$D$12:$D$72*$B$12:$B$72)+INDEX($E$12:$E$72,5+1)*SUMPRODUCT(($A$12:$A$72&gt;=5)*S$12:S$72*$D$12:$D$72*$B$12:$B$72))/((SUMPRODUCT(($A$12:$A$72&lt;5)*S$12:S$72*$E$12:$E$72*$B$12:$B$72))*(1-Assumptions!$B$13-(SUMPRODUCT(($A$12:$A$72&lt;5)*S$12:S$72*$E$12:$E$72*$F$12:$F$72*$B$12:$B$72))/(SUMPRODUCT(($A$12:$A$72&lt;5)*S$12:S$72*$E$12:$E$72*$B$12:$B$72))))/12</f>
        <v>3054.58952104584</v>
      </c>
      <c r="E248" s="48" t="n">
        <f aca="false">((INDEX($E$12:$E$72,6+1)*SUMPRODUCT(($A$12:$A$72&gt;=6)*S$12:S$72*$B$5*$C$12:$C$72*$B$12:$B$72)/(1+Assumptions!$B$10)^6)+SUMPRODUCT(($A$12:$A$72&lt;6)*S$12:S$72*$E$12:$E$72*$D$12:$D$72*$B$12:$B$72)+INDEX($E$12:$E$72,6+1)*SUMPRODUCT(($A$12:$A$72&gt;=6)*S$12:S$72*$D$12:$D$72*$B$12:$B$72))/((SUMPRODUCT(($A$12:$A$72&lt;6)*S$12:S$72*$E$12:$E$72*$B$12:$B$72))*(1-Assumptions!$B$13-(SUMPRODUCT(($A$12:$A$72&lt;6)*S$12:S$72*$E$12:$E$72*$F$12:$F$72*$B$12:$B$72))/(SUMPRODUCT(($A$12:$A$72&lt;6)*S$12:S$72*$E$12:$E$72*$B$12:$B$72))))/12</f>
        <v>2247.7495228259</v>
      </c>
      <c r="F248" s="48" t="n">
        <f aca="false">((INDEX($E$12:$E$72,7+1)*SUMPRODUCT(($A$12:$A$72&gt;=7)*S$12:S$72*$B$5*$C$12:$C$72*$B$12:$B$72)/(1+Assumptions!$B$10)^7)+SUMPRODUCT(($A$12:$A$72&lt;7)*S$12:S$72*$E$12:$E$72*$D$12:$D$72*$B$12:$B$72)+INDEX($E$12:$E$72,7+1)*SUMPRODUCT(($A$12:$A$72&gt;=7)*S$12:S$72*$D$12:$D$72*$B$12:$B$72))/((SUMPRODUCT(($A$12:$A$72&lt;7)*S$12:S$72*$E$12:$E$72*$B$12:$B$72))*(1-Assumptions!$B$13-(SUMPRODUCT(($A$12:$A$72&lt;7)*S$12:S$72*$E$12:$E$72*$F$12:$F$72*$B$12:$B$72))/(SUMPRODUCT(($A$12:$A$72&lt;7)*S$12:S$72*$E$12:$E$72*$B$12:$B$72))))/12</f>
        <v>1716.170424343</v>
      </c>
      <c r="G248" s="48" t="n">
        <f aca="false">((INDEX($E$12:$E$72,8+1)*SUMPRODUCT(($A$12:$A$72&gt;=8)*S$12:S$72*$B$5*$C$12:$C$72*$B$12:$B$72)/(1+Assumptions!$B$10)^8)+SUMPRODUCT(($A$12:$A$72&lt;8)*S$12:S$72*$E$12:$E$72*$D$12:$D$72*$B$12:$B$72)+INDEX($E$12:$E$72,8+1)*SUMPRODUCT(($A$12:$A$72&gt;=8)*S$12:S$72*$D$12:$D$72*$B$12:$B$72))/((SUMPRODUCT(($A$12:$A$72&lt;8)*S$12:S$72*$E$12:$E$72*$B$12:$B$72))*(1-Assumptions!$B$13-(SUMPRODUCT(($A$12:$A$72&lt;8)*S$12:S$72*$E$12:$E$72*$F$12:$F$72*$B$12:$B$72))/(SUMPRODUCT(($A$12:$A$72&lt;8)*S$12:S$72*$E$12:$E$72*$B$12:$B$72))))/12</f>
        <v>1342.22466496192</v>
      </c>
      <c r="H248" s="48" t="n">
        <f aca="false">((INDEX($E$12:$E$72,9+1)*SUMPRODUCT(($A$12:$A$72&gt;=9)*S$12:S$72*$B$5*$C$12:$C$72*$B$12:$B$72)/(1+Assumptions!$B$10)^9)+SUMPRODUCT(($A$12:$A$72&lt;9)*S$12:S$72*$E$12:$E$72*$D$12:$D$72*$B$12:$B$72)+INDEX($E$12:$E$72,9+1)*SUMPRODUCT(($A$12:$A$72&gt;=9)*S$12:S$72*$D$12:$D$72*$B$12:$B$72))/((SUMPRODUCT(($A$12:$A$72&lt;9)*S$12:S$72*$E$12:$E$72*$B$12:$B$72))*(1-Assumptions!$B$13-(SUMPRODUCT(($A$12:$A$72&lt;9)*S$12:S$72*$E$12:$E$72*$F$12:$F$72*$B$12:$B$72))/(SUMPRODUCT(($A$12:$A$72&lt;9)*S$12:S$72*$E$12:$E$72*$B$12:$B$72))))/12</f>
        <v>1066.96841907479</v>
      </c>
      <c r="I248" s="48" t="n">
        <f aca="false">((INDEX($E$12:$E$72,10+1)*SUMPRODUCT(($A$12:$A$72&gt;=10)*S$12:S$72*$B$5*$C$12:$C$72*$B$12:$B$72)/(1+Assumptions!$B$10)^10)+SUMPRODUCT(($A$12:$A$72&lt;10)*S$12:S$72*$E$12:$E$72*$D$12:$D$72*$B$12:$B$72)+INDEX($E$12:$E$72,10+1)*SUMPRODUCT(($A$12:$A$72&gt;=10)*S$12:S$72*$D$12:$D$72*$B$12:$B$72))/((SUMPRODUCT(($A$12:$A$72&lt;10)*S$12:S$72*$E$12:$E$72*$B$12:$B$72))*(1-Assumptions!$B$13-(SUMPRODUCT(($A$12:$A$72&lt;10)*S$12:S$72*$E$12:$E$72*$F$12:$F$72*$B$12:$B$72))/(SUMPRODUCT(($A$12:$A$72&lt;10)*S$12:S$72*$E$12:$E$72*$B$12:$B$72))))/12</f>
        <v>857.755240006383</v>
      </c>
      <c r="J248" s="48" t="n">
        <f aca="false">((INDEX($E$12:$E$72,11+1)*SUMPRODUCT(($A$12:$A$72&gt;=11)*S$12:S$72*$B$5*$C$12:$C$72*$B$12:$B$72)/(1+Assumptions!$B$10)^11)+SUMPRODUCT(($A$12:$A$72&lt;11)*S$12:S$72*$E$12:$E$72*$D$12:$D$72*$B$12:$B$72)+INDEX($E$12:$E$72,11+1)*SUMPRODUCT(($A$12:$A$72&gt;=11)*S$12:S$72*$D$12:$D$72*$B$12:$B$72))/((SUMPRODUCT(($A$12:$A$72&lt;11)*S$12:S$72*$E$12:$E$72*$B$12:$B$72))*(1-Assumptions!$B$13-(SUMPRODUCT(($A$12:$A$72&lt;11)*S$12:S$72*$E$12:$E$72*$F$12:$F$72*$B$12:$B$72))/(SUMPRODUCT(($A$12:$A$72&lt;11)*S$12:S$72*$E$12:$E$72*$B$12:$B$72))))/12</f>
        <v>694.984144857537</v>
      </c>
      <c r="K248" s="48" t="n">
        <f aca="false">((INDEX($E$12:$E$72,12+1)*SUMPRODUCT(($A$12:$A$72&gt;=12)*S$12:S$72*$B$5*$C$12:$C$72*$B$12:$B$72)/(1+Assumptions!$B$10)^12)+SUMPRODUCT(($A$12:$A$72&lt;12)*S$12:S$72*$E$12:$E$72*$D$12:$D$72*$B$12:$B$72)+INDEX($E$12:$E$72,12+1)*SUMPRODUCT(($A$12:$A$72&gt;=12)*S$12:S$72*$D$12:$D$72*$B$12:$B$72))/((SUMPRODUCT(($A$12:$A$72&lt;12)*S$12:S$72*$E$12:$E$72*$B$12:$B$72))*(1-Assumptions!$B$13-(SUMPRODUCT(($A$12:$A$72&lt;12)*S$12:S$72*$E$12:$E$72*$F$12:$F$72*$B$12:$B$72))/(SUMPRODUCT(($A$12:$A$72&lt;12)*S$12:S$72*$E$12:$E$72*$B$12:$B$72))))/12</f>
        <v>565.626751612952</v>
      </c>
      <c r="L248" s="48" t="n">
        <f aca="false">((INDEX($E$12:$E$72,13+1)*SUMPRODUCT(($A$12:$A$72&gt;=13)*S$12:S$72*$B$5*$C$12:$C$72*$B$12:$B$72)/(1+Assumptions!$B$10)^13)+SUMPRODUCT(($A$12:$A$72&lt;13)*S$12:S$72*$E$12:$E$72*$D$12:$D$72*$B$12:$B$72)+INDEX($E$12:$E$72,13+1)*SUMPRODUCT(($A$12:$A$72&gt;=13)*S$12:S$72*$D$12:$D$72*$B$12:$B$72))/((SUMPRODUCT(($A$12:$A$72&lt;13)*S$12:S$72*$E$12:$E$72*$B$12:$B$72))*(1-Assumptions!$B$13-(SUMPRODUCT(($A$12:$A$72&lt;13)*S$12:S$72*$E$12:$E$72*$F$12:$F$72*$B$12:$B$72))/(SUMPRODUCT(($A$12:$A$72&lt;13)*S$12:S$72*$E$12:$E$72*$B$12:$B$72))))/12</f>
        <v>461.596250210283</v>
      </c>
      <c r="M248" s="48" t="n">
        <f aca="false">((INDEX($E$12:$E$72,14+1)*SUMPRODUCT(($A$12:$A$72&gt;=14)*S$12:S$72*$B$5*$C$12:$C$72*$B$12:$B$72)/(1+Assumptions!$B$10)^14)+SUMPRODUCT(($A$12:$A$72&lt;14)*S$12:S$72*$E$12:$E$72*$D$12:$D$72*$B$12:$B$72)+INDEX($E$12:$E$72,14+1)*SUMPRODUCT(($A$12:$A$72&gt;=14)*S$12:S$72*$D$12:$D$72*$B$12:$B$72))/((SUMPRODUCT(($A$12:$A$72&lt;14)*S$12:S$72*$E$12:$E$72*$B$12:$B$72))*(1-Assumptions!$B$13-(SUMPRODUCT(($A$12:$A$72&lt;14)*S$12:S$72*$E$12:$E$72*$F$12:$F$72*$B$12:$B$72))/(SUMPRODUCT(($A$12:$A$72&lt;14)*S$12:S$72*$E$12:$E$72*$B$12:$B$72))))/12</f>
        <v>376.991027188558</v>
      </c>
      <c r="N248" s="48" t="n">
        <f aca="false">((INDEX($E$12:$E$72,15+1)*SUMPRODUCT(($A$12:$A$72&gt;=15)*S$12:S$72*$B$5*$C$12:$C$72*$B$12:$B$72)/(1+Assumptions!$B$10)^15)+SUMPRODUCT(($A$12:$A$72&lt;15)*S$12:S$72*$E$12:$E$72*$D$12:$D$72*$B$12:$B$72)+INDEX($E$12:$E$72,15+1)*SUMPRODUCT(($A$12:$A$72&gt;=15)*S$12:S$72*$D$12:$D$72*$B$12:$B$72))/((SUMPRODUCT(($A$12:$A$72&lt;15)*S$12:S$72*$E$12:$E$72*$B$12:$B$72))*(1-Assumptions!$B$13-(SUMPRODUCT(($A$12:$A$72&lt;15)*S$12:S$72*$E$12:$E$72*$F$12:$F$72*$B$12:$B$72))/(SUMPRODUCT(($A$12:$A$72&lt;15)*S$12:S$72*$E$12:$E$72*$B$12:$B$72))))/12</f>
        <v>307.703438508912</v>
      </c>
      <c r="O248" s="48" t="n">
        <f aca="false">((INDEX($E$12:$E$72,16+1)*SUMPRODUCT(($A$12:$A$72&gt;=16)*S$12:S$72*$B$5*$C$12:$C$72*$B$12:$B$72)/(1+Assumptions!$B$10)^16)+SUMPRODUCT(($A$12:$A$72&lt;16)*S$12:S$72*$E$12:$E$72*$D$12:$D$72*$B$12:$B$72)+INDEX($E$12:$E$72,16+1)*SUMPRODUCT(($A$12:$A$72&gt;=16)*S$12:S$72*$D$12:$D$72*$B$12:$B$72))/((SUMPRODUCT(($A$12:$A$72&lt;16)*S$12:S$72*$E$12:$E$72*$B$12:$B$72))*(1-Assumptions!$B$13-(SUMPRODUCT(($A$12:$A$72&lt;16)*S$12:S$72*$E$12:$E$72*$F$12:$F$72*$B$12:$B$72))/(SUMPRODUCT(($A$12:$A$72&lt;16)*S$12:S$72*$E$12:$E$72*$B$12:$B$72))))/12</f>
        <v>250.812600827152</v>
      </c>
      <c r="P248" s="48" t="n">
        <f aca="false">((INDEX($E$12:$E$72,17+1)*SUMPRODUCT(($A$12:$A$72&gt;=17)*S$12:S$72*$B$5*$C$12:$C$72*$B$12:$B$72)/(1+Assumptions!$B$10)^17)+SUMPRODUCT(($A$12:$A$72&lt;17)*S$12:S$72*$E$12:$E$72*$D$12:$D$72*$B$12:$B$72)+INDEX($E$12:$E$72,17+1)*SUMPRODUCT(($A$12:$A$72&gt;=17)*S$12:S$72*$D$12:$D$72*$B$12:$B$72))/((SUMPRODUCT(($A$12:$A$72&lt;17)*S$12:S$72*$E$12:$E$72*$B$12:$B$72))*(1-Assumptions!$B$13-(SUMPRODUCT(($A$12:$A$72&lt;17)*S$12:S$72*$E$12:$E$72*$F$12:$F$72*$B$12:$B$72))/(SUMPRODUCT(($A$12:$A$72&lt;17)*S$12:S$72*$E$12:$E$72*$B$12:$B$72))))/12</f>
        <v>203.945664550791</v>
      </c>
      <c r="Q248" s="48" t="n">
        <f aca="false">((INDEX($E$12:$E$72,18+1)*SUMPRODUCT(($A$12:$A$72&gt;=18)*S$12:S$72*$B$5*$C$12:$C$72*$B$12:$B$72)/(1+Assumptions!$B$10)^18)+SUMPRODUCT(($A$12:$A$72&lt;18)*S$12:S$72*$E$12:$E$72*$D$12:$D$72*$B$12:$B$72)+INDEX($E$12:$E$72,18+1)*SUMPRODUCT(($A$12:$A$72&gt;=18)*S$12:S$72*$D$12:$D$72*$B$12:$B$72))/((SUMPRODUCT(($A$12:$A$72&lt;18)*S$12:S$72*$E$12:$E$72*$B$12:$B$72))*(1-Assumptions!$B$13-(SUMPRODUCT(($A$12:$A$72&lt;18)*S$12:S$72*$E$12:$E$72*$F$12:$F$72*$B$12:$B$72))/(SUMPRODUCT(($A$12:$A$72&lt;18)*S$12:S$72*$E$12:$E$72*$B$12:$B$72))))/12</f>
        <v>165.274684392025</v>
      </c>
    </row>
    <row r="249" customFormat="false" ht="15" hidden="false" customHeight="true" outlineLevel="0" collapsed="false">
      <c r="A249" s="3" t="n">
        <v>73</v>
      </c>
      <c r="B249" s="48" t="n">
        <f aca="false">((INDEX($E$12:$E$72,2+1)*SUMPRODUCT(($A$12:$A$72&gt;=2)*T$12:T$72*$B$5*$C$12:$C$72*$B$12:$B$72)/(1+Assumptions!$B$10)^2)+SUMPRODUCT(($A$12:$A$72&lt;2)*T$12:T$72*$E$12:$E$72*$D$12:$D$72*$B$12:$B$72)+INDEX($E$12:$E$72,2+1)*SUMPRODUCT(($A$12:$A$72&gt;=2)*T$12:T$72*$D$12:$D$72*$B$12:$B$72))/((SUMPRODUCT(($A$12:$A$72&lt;2)*T$12:T$72*$E$12:$E$72*$B$12:$B$72))*(1-Assumptions!$B$13-(SUMPRODUCT(($A$12:$A$72&lt;2)*T$12:T$72*$E$12:$E$72*$F$12:$F$72*$B$12:$B$72))/(SUMPRODUCT(($A$12:$A$72&lt;2)*T$12:T$72*$E$12:$E$72*$B$12:$B$72))))/12</f>
        <v>15046.2496526444</v>
      </c>
      <c r="C249" s="48" t="n">
        <f aca="false">((INDEX($E$12:$E$72,3+1)*SUMPRODUCT(($A$12:$A$72&gt;=3)*T$12:T$72*$B$5*$C$12:$C$72*$B$12:$B$72)/(1+Assumptions!$B$10)^3)+SUMPRODUCT(($A$12:$A$72&lt;3)*T$12:T$72*$E$12:$E$72*$D$12:$D$72*$B$12:$B$72)+INDEX($E$12:$E$72,3+1)*SUMPRODUCT(($A$12:$A$72&gt;=3)*T$12:T$72*$D$12:$D$72*$B$12:$B$72))/((SUMPRODUCT(($A$12:$A$72&lt;3)*T$12:T$72*$E$12:$E$72*$B$12:$B$72))*(1-Assumptions!$B$13-(SUMPRODUCT(($A$12:$A$72&lt;3)*T$12:T$72*$E$12:$E$72*$F$12:$F$72*$B$12:$B$72))/(SUMPRODUCT(($A$12:$A$72&lt;3)*T$12:T$72*$E$12:$E$72*$B$12:$B$72))))/12</f>
        <v>6858.37277410294</v>
      </c>
      <c r="D249" s="48" t="n">
        <f aca="false">((INDEX($E$12:$E$72,4+1)*SUMPRODUCT(($A$12:$A$72&gt;=4)*T$12:T$72*$B$5*$C$12:$C$72*$B$12:$B$72)/(1+Assumptions!$B$10)^4)+SUMPRODUCT(($A$12:$A$72&lt;4)*T$12:T$72*$E$12:$E$72*$D$12:$D$72*$B$12:$B$72)+INDEX($E$12:$E$72,4+1)*SUMPRODUCT(($A$12:$A$72&gt;=4)*T$12:T$72*$D$12:$D$72*$B$12:$B$72))/((SUMPRODUCT(($A$12:$A$72&lt;4)*T$12:T$72*$E$12:$E$72*$B$12:$B$72))*(1-Assumptions!$B$13-(SUMPRODUCT(($A$12:$A$72&lt;4)*T$12:T$72*$E$12:$E$72*$F$12:$F$72*$B$12:$B$72))/(SUMPRODUCT(($A$12:$A$72&lt;4)*T$12:T$72*$E$12:$E$72*$B$12:$B$72))))/12</f>
        <v>4191.33109052008</v>
      </c>
      <c r="E249" s="48" t="n">
        <f aca="false">((INDEX($E$12:$E$72,5+1)*SUMPRODUCT(($A$12:$A$72&gt;=5)*T$12:T$72*$B$5*$C$12:$C$72*$B$12:$B$72)/(1+Assumptions!$B$10)^5)+SUMPRODUCT(($A$12:$A$72&lt;5)*T$12:T$72*$E$12:$E$72*$D$12:$D$72*$B$12:$B$72)+INDEX($E$12:$E$72,5+1)*SUMPRODUCT(($A$12:$A$72&gt;=5)*T$12:T$72*$D$12:$D$72*$B$12:$B$72))/((SUMPRODUCT(($A$12:$A$72&lt;5)*T$12:T$72*$E$12:$E$72*$B$12:$B$72))*(1-Assumptions!$B$13-(SUMPRODUCT(($A$12:$A$72&lt;5)*T$12:T$72*$E$12:$E$72*$F$12:$F$72*$B$12:$B$72))/(SUMPRODUCT(($A$12:$A$72&lt;5)*T$12:T$72*$E$12:$E$72*$B$12:$B$72))))/12</f>
        <v>2877.38727549084</v>
      </c>
      <c r="F249" s="48" t="n">
        <f aca="false">((INDEX($E$12:$E$72,6+1)*SUMPRODUCT(($A$12:$A$72&gt;=6)*T$12:T$72*$B$5*$C$12:$C$72*$B$12:$B$72)/(1+Assumptions!$B$10)^6)+SUMPRODUCT(($A$12:$A$72&lt;6)*T$12:T$72*$E$12:$E$72*$D$12:$D$72*$B$12:$B$72)+INDEX($E$12:$E$72,6+1)*SUMPRODUCT(($A$12:$A$72&gt;=6)*T$12:T$72*$D$12:$D$72*$B$12:$B$72))/((SUMPRODUCT(($A$12:$A$72&lt;6)*T$12:T$72*$E$12:$E$72*$B$12:$B$72))*(1-Assumptions!$B$13-(SUMPRODUCT(($A$12:$A$72&lt;6)*T$12:T$72*$E$12:$E$72*$F$12:$F$72*$B$12:$B$72))/(SUMPRODUCT(($A$12:$A$72&lt;6)*T$12:T$72*$E$12:$E$72*$B$12:$B$72))))/12</f>
        <v>2109.79868211051</v>
      </c>
      <c r="G249" s="48" t="n">
        <f aca="false">((INDEX($E$12:$E$72,7+1)*SUMPRODUCT(($A$12:$A$72&gt;=7)*T$12:T$72*$B$5*$C$12:$C$72*$B$12:$B$72)/(1+Assumptions!$B$10)^7)+SUMPRODUCT(($A$12:$A$72&lt;7)*T$12:T$72*$E$12:$E$72*$D$12:$D$72*$B$12:$B$72)+INDEX($E$12:$E$72,7+1)*SUMPRODUCT(($A$12:$A$72&gt;=7)*T$12:T$72*$D$12:$D$72*$B$12:$B$72))/((SUMPRODUCT(($A$12:$A$72&lt;7)*T$12:T$72*$E$12:$E$72*$B$12:$B$72))*(1-Assumptions!$B$13-(SUMPRODUCT(($A$12:$A$72&lt;7)*T$12:T$72*$E$12:$E$72*$F$12:$F$72*$B$12:$B$72))/(SUMPRODUCT(($A$12:$A$72&lt;7)*T$12:T$72*$E$12:$E$72*$B$12:$B$72))))/12</f>
        <v>1604.49410016296</v>
      </c>
      <c r="H249" s="48" t="n">
        <f aca="false">((INDEX($E$12:$E$72,8+1)*SUMPRODUCT(($A$12:$A$72&gt;=8)*T$12:T$72*$B$5*$C$12:$C$72*$B$12:$B$72)/(1+Assumptions!$B$10)^8)+SUMPRODUCT(($A$12:$A$72&lt;8)*T$12:T$72*$E$12:$E$72*$D$12:$D$72*$B$12:$B$72)+INDEX($E$12:$E$72,8+1)*SUMPRODUCT(($A$12:$A$72&gt;=8)*T$12:T$72*$D$12:$D$72*$B$12:$B$72))/((SUMPRODUCT(($A$12:$A$72&lt;8)*T$12:T$72*$E$12:$E$72*$B$12:$B$72))*(1-Assumptions!$B$13-(SUMPRODUCT(($A$12:$A$72&lt;8)*T$12:T$72*$E$12:$E$72*$F$12:$F$72*$B$12:$B$72))/(SUMPRODUCT(($A$12:$A$72&lt;8)*T$12:T$72*$E$12:$E$72*$B$12:$B$72))))/12</f>
        <v>1249.42012264042</v>
      </c>
      <c r="I249" s="48" t="n">
        <f aca="false">((INDEX($E$12:$E$72,9+1)*SUMPRODUCT(($A$12:$A$72&gt;=9)*T$12:T$72*$B$5*$C$12:$C$72*$B$12:$B$72)/(1+Assumptions!$B$10)^9)+SUMPRODUCT(($A$12:$A$72&lt;9)*T$12:T$72*$E$12:$E$72*$D$12:$D$72*$B$12:$B$72)+INDEX($E$12:$E$72,9+1)*SUMPRODUCT(($A$12:$A$72&gt;=9)*T$12:T$72*$D$12:$D$72*$B$12:$B$72))/((SUMPRODUCT(($A$12:$A$72&lt;9)*T$12:T$72*$E$12:$E$72*$B$12:$B$72))*(1-Assumptions!$B$13-(SUMPRODUCT(($A$12:$A$72&lt;9)*T$12:T$72*$E$12:$E$72*$F$12:$F$72*$B$12:$B$72))/(SUMPRODUCT(($A$12:$A$72&lt;9)*T$12:T$72*$E$12:$E$72*$B$12:$B$72))))/12</f>
        <v>988.631620950366</v>
      </c>
      <c r="J249" s="48" t="n">
        <f aca="false">((INDEX($E$12:$E$72,10+1)*SUMPRODUCT(($A$12:$A$72&gt;=10)*T$12:T$72*$B$5*$C$12:$C$72*$B$12:$B$72)/(1+Assumptions!$B$10)^10)+SUMPRODUCT(($A$12:$A$72&lt;10)*T$12:T$72*$E$12:$E$72*$D$12:$D$72*$B$12:$B$72)+INDEX($E$12:$E$72,10+1)*SUMPRODUCT(($A$12:$A$72&gt;=10)*T$12:T$72*$D$12:$D$72*$B$12:$B$72))/((SUMPRODUCT(($A$12:$A$72&lt;10)*T$12:T$72*$E$12:$E$72*$B$12:$B$72))*(1-Assumptions!$B$13-(SUMPRODUCT(($A$12:$A$72&lt;10)*T$12:T$72*$E$12:$E$72*$F$12:$F$72*$B$12:$B$72))/(SUMPRODUCT(($A$12:$A$72&lt;10)*T$12:T$72*$E$12:$E$72*$B$12:$B$72))))/12</f>
        <v>790.747081632856</v>
      </c>
      <c r="K249" s="48" t="n">
        <f aca="false">((INDEX($E$12:$E$72,11+1)*SUMPRODUCT(($A$12:$A$72&gt;=11)*T$12:T$72*$B$5*$C$12:$C$72*$B$12:$B$72)/(1+Assumptions!$B$10)^11)+SUMPRODUCT(($A$12:$A$72&lt;11)*T$12:T$72*$E$12:$E$72*$D$12:$D$72*$B$12:$B$72)+INDEX($E$12:$E$72,11+1)*SUMPRODUCT(($A$12:$A$72&gt;=11)*T$12:T$72*$D$12:$D$72*$B$12:$B$72))/((SUMPRODUCT(($A$12:$A$72&lt;11)*T$12:T$72*$E$12:$E$72*$B$12:$B$72))*(1-Assumptions!$B$13-(SUMPRODUCT(($A$12:$A$72&lt;11)*T$12:T$72*$E$12:$E$72*$F$12:$F$72*$B$12:$B$72))/(SUMPRODUCT(($A$12:$A$72&lt;11)*T$12:T$72*$E$12:$E$72*$B$12:$B$72))))/12</f>
        <v>637.11564974908</v>
      </c>
      <c r="L249" s="48" t="n">
        <f aca="false">((INDEX($E$12:$E$72,12+1)*SUMPRODUCT(($A$12:$A$72&gt;=12)*T$12:T$72*$B$5*$C$12:$C$72*$B$12:$B$72)/(1+Assumptions!$B$10)^12)+SUMPRODUCT(($A$12:$A$72&lt;12)*T$12:T$72*$E$12:$E$72*$D$12:$D$72*$B$12:$B$72)+INDEX($E$12:$E$72,12+1)*SUMPRODUCT(($A$12:$A$72&gt;=12)*T$12:T$72*$D$12:$D$72*$B$12:$B$72))/((SUMPRODUCT(($A$12:$A$72&lt;12)*T$12:T$72*$E$12:$E$72*$B$12:$B$72))*(1-Assumptions!$B$13-(SUMPRODUCT(($A$12:$A$72&lt;12)*T$12:T$72*$E$12:$E$72*$F$12:$F$72*$B$12:$B$72))/(SUMPRODUCT(($A$12:$A$72&lt;12)*T$12:T$72*$E$12:$E$72*$B$12:$B$72))))/12</f>
        <v>515.338130076471</v>
      </c>
      <c r="M249" s="48" t="n">
        <f aca="false">((INDEX($E$12:$E$72,13+1)*SUMPRODUCT(($A$12:$A$72&gt;=13)*T$12:T$72*$B$5*$C$12:$C$72*$B$12:$B$72)/(1+Assumptions!$B$10)^13)+SUMPRODUCT(($A$12:$A$72&lt;13)*T$12:T$72*$E$12:$E$72*$D$12:$D$72*$B$12:$B$72)+INDEX($E$12:$E$72,13+1)*SUMPRODUCT(($A$12:$A$72&gt;=13)*T$12:T$72*$D$12:$D$72*$B$12:$B$72))/((SUMPRODUCT(($A$12:$A$72&lt;13)*T$12:T$72*$E$12:$E$72*$B$12:$B$72))*(1-Assumptions!$B$13-(SUMPRODUCT(($A$12:$A$72&lt;13)*T$12:T$72*$E$12:$E$72*$F$12:$F$72*$B$12:$B$72))/(SUMPRODUCT(($A$12:$A$72&lt;13)*T$12:T$72*$E$12:$E$72*$B$12:$B$72))))/12</f>
        <v>417.71211976345</v>
      </c>
      <c r="N249" s="48" t="n">
        <f aca="false">((INDEX($E$12:$E$72,14+1)*SUMPRODUCT(($A$12:$A$72&gt;=14)*T$12:T$72*$B$5*$C$12:$C$72*$B$12:$B$72)/(1+Assumptions!$B$10)^14)+SUMPRODUCT(($A$12:$A$72&lt;14)*T$12:T$72*$E$12:$E$72*$D$12:$D$72*$B$12:$B$72)+INDEX($E$12:$E$72,14+1)*SUMPRODUCT(($A$12:$A$72&gt;=14)*T$12:T$72*$D$12:$D$72*$B$12:$B$72))/((SUMPRODUCT(($A$12:$A$72&lt;14)*T$12:T$72*$E$12:$E$72*$B$12:$B$72))*(1-Assumptions!$B$13-(SUMPRODUCT(($A$12:$A$72&lt;14)*T$12:T$72*$E$12:$E$72*$F$12:$F$72*$B$12:$B$72))/(SUMPRODUCT(($A$12:$A$72&lt;14)*T$12:T$72*$E$12:$E$72*$B$12:$B$72))))/12</f>
        <v>338.737035556457</v>
      </c>
      <c r="O249" s="48" t="n">
        <f aca="false">((INDEX($E$12:$E$72,15+1)*SUMPRODUCT(($A$12:$A$72&gt;=15)*T$12:T$72*$B$5*$C$12:$C$72*$B$12:$B$72)/(1+Assumptions!$B$10)^15)+SUMPRODUCT(($A$12:$A$72&lt;15)*T$12:T$72*$E$12:$E$72*$D$12:$D$72*$B$12:$B$72)+INDEX($E$12:$E$72,15+1)*SUMPRODUCT(($A$12:$A$72&gt;=15)*T$12:T$72*$D$12:$D$72*$B$12:$B$72))/((SUMPRODUCT(($A$12:$A$72&lt;15)*T$12:T$72*$E$12:$E$72*$B$12:$B$72))*(1-Assumptions!$B$13-(SUMPRODUCT(($A$12:$A$72&lt;15)*T$12:T$72*$E$12:$E$72*$F$12:$F$72*$B$12:$B$72))/(SUMPRODUCT(($A$12:$A$72&lt;15)*T$12:T$72*$E$12:$E$72*$B$12:$B$72))))/12</f>
        <v>274.382014669831</v>
      </c>
      <c r="P249" s="48" t="n">
        <f aca="false">((INDEX($E$12:$E$72,16+1)*SUMPRODUCT(($A$12:$A$72&gt;=16)*T$12:T$72*$B$5*$C$12:$C$72*$B$12:$B$72)/(1+Assumptions!$B$10)^16)+SUMPRODUCT(($A$12:$A$72&lt;16)*T$12:T$72*$E$12:$E$72*$D$12:$D$72*$B$12:$B$72)+INDEX($E$12:$E$72,16+1)*SUMPRODUCT(($A$12:$A$72&gt;=16)*T$12:T$72*$D$12:$D$72*$B$12:$B$72))/((SUMPRODUCT(($A$12:$A$72&lt;16)*T$12:T$72*$E$12:$E$72*$B$12:$B$72))*(1-Assumptions!$B$13-(SUMPRODUCT(($A$12:$A$72&lt;16)*T$12:T$72*$E$12:$E$72*$F$12:$F$72*$B$12:$B$72))/(SUMPRODUCT(($A$12:$A$72&lt;16)*T$12:T$72*$E$12:$E$72*$B$12:$B$72))))/12</f>
        <v>221.856022521093</v>
      </c>
      <c r="Q249" s="48" t="n">
        <f aca="false">((INDEX($E$12:$E$72,17+1)*SUMPRODUCT(($A$12:$A$72&gt;=17)*T$12:T$72*$B$5*$C$12:$C$72*$B$12:$B$72)/(1+Assumptions!$B$10)^17)+SUMPRODUCT(($A$12:$A$72&lt;17)*T$12:T$72*$E$12:$E$72*$D$12:$D$72*$B$12:$B$72)+INDEX($E$12:$E$72,17+1)*SUMPRODUCT(($A$12:$A$72&gt;=17)*T$12:T$72*$D$12:$D$72*$B$12:$B$72))/((SUMPRODUCT(($A$12:$A$72&lt;17)*T$12:T$72*$E$12:$E$72*$B$12:$B$72))*(1-Assumptions!$B$13-(SUMPRODUCT(($A$12:$A$72&lt;17)*T$12:T$72*$E$12:$E$72*$F$12:$F$72*$B$12:$B$72))/(SUMPRODUCT(($A$12:$A$72&lt;17)*T$12:T$72*$E$12:$E$72*$B$12:$B$72))))/12</f>
        <v>178.890543085774</v>
      </c>
    </row>
    <row r="250" customFormat="false" ht="15" hidden="false" customHeight="true" outlineLevel="0" collapsed="false">
      <c r="A250" s="3" t="n">
        <v>74</v>
      </c>
      <c r="B250" s="48" t="n">
        <f aca="false">((INDEX($E$12:$E$72,1+1)*SUMPRODUCT(($A$12:$A$72&gt;=1)*U$12:U$72*$B$5*$C$12:$C$72*$B$12:$B$72)/(1+Assumptions!$B$10)^1)+SUMPRODUCT(($A$12:$A$72&lt;1)*U$12:U$72*$E$12:$E$72*$D$12:$D$72*$B$12:$B$72)+INDEX($E$12:$E$72,1+1)*SUMPRODUCT(($A$12:$A$72&gt;=1)*U$12:U$72*$D$12:$D$72*$B$12:$B$72))/((SUMPRODUCT(($A$12:$A$72&lt;1)*U$12:U$72*$E$12:$E$72*$B$12:$B$72))*(1-Assumptions!$B$13-(SUMPRODUCT(($A$12:$A$72&lt;1)*U$12:U$72*$E$12:$E$72*$F$12:$F$72*$B$12:$B$72))/(SUMPRODUCT(($A$12:$A$72&lt;1)*U$12:U$72*$E$12:$E$72*$B$12:$B$72))))/12</f>
        <v>-435966.723657729</v>
      </c>
      <c r="C250" s="48" t="n">
        <f aca="false">((INDEX($E$12:$E$72,2+1)*SUMPRODUCT(($A$12:$A$72&gt;=2)*U$12:U$72*$B$5*$C$12:$C$72*$B$12:$B$72)/(1+Assumptions!$B$10)^2)+SUMPRODUCT(($A$12:$A$72&lt;2)*U$12:U$72*$E$12:$E$72*$D$12:$D$72*$B$12:$B$72)+INDEX($E$12:$E$72,2+1)*SUMPRODUCT(($A$12:$A$72&gt;=2)*U$12:U$72*$D$12:$D$72*$B$12:$B$72))/((SUMPRODUCT(($A$12:$A$72&lt;2)*U$12:U$72*$E$12:$E$72*$B$12:$B$72))*(1-Assumptions!$B$13-(SUMPRODUCT(($A$12:$A$72&lt;2)*U$12:U$72*$E$12:$E$72*$F$12:$F$72*$B$12:$B$72))/(SUMPRODUCT(($A$12:$A$72&lt;2)*U$12:U$72*$E$12:$E$72*$B$12:$B$72))))/12</f>
        <v>14267.7208800134</v>
      </c>
      <c r="D250" s="48" t="n">
        <f aca="false">((INDEX($E$12:$E$72,3+1)*SUMPRODUCT(($A$12:$A$72&gt;=3)*U$12:U$72*$B$5*$C$12:$C$72*$B$12:$B$72)/(1+Assumptions!$B$10)^3)+SUMPRODUCT(($A$12:$A$72&lt;3)*U$12:U$72*$E$12:$E$72*$D$12:$D$72*$B$12:$B$72)+INDEX($E$12:$E$72,3+1)*SUMPRODUCT(($A$12:$A$72&gt;=3)*U$12:U$72*$D$12:$D$72*$B$12:$B$72))/((SUMPRODUCT(($A$12:$A$72&lt;3)*U$12:U$72*$E$12:$E$72*$B$12:$B$72))*(1-Assumptions!$B$13-(SUMPRODUCT(($A$12:$A$72&lt;3)*U$12:U$72*$E$12:$E$72*$F$12:$F$72*$B$12:$B$72))/(SUMPRODUCT(($A$12:$A$72&lt;3)*U$12:U$72*$E$12:$E$72*$B$12:$B$72))))/12</f>
        <v>6485.8606812902</v>
      </c>
      <c r="E250" s="48" t="n">
        <f aca="false">((INDEX($E$12:$E$72,4+1)*SUMPRODUCT(($A$12:$A$72&gt;=4)*U$12:U$72*$B$5*$C$12:$C$72*$B$12:$B$72)/(1+Assumptions!$B$10)^4)+SUMPRODUCT(($A$12:$A$72&lt;4)*U$12:U$72*$E$12:$E$72*$D$12:$D$72*$B$12:$B$72)+INDEX($E$12:$E$72,4+1)*SUMPRODUCT(($A$12:$A$72&gt;=4)*U$12:U$72*$D$12:$D$72*$B$12:$B$72))/((SUMPRODUCT(($A$12:$A$72&lt;4)*U$12:U$72*$E$12:$E$72*$B$12:$B$72))*(1-Assumptions!$B$13-(SUMPRODUCT(($A$12:$A$72&lt;4)*U$12:U$72*$E$12:$E$72*$F$12:$F$72*$B$12:$B$72))/(SUMPRODUCT(($A$12:$A$72&lt;4)*U$12:U$72*$E$12:$E$72*$B$12:$B$72))))/12</f>
        <v>3951.13908352413</v>
      </c>
      <c r="F250" s="48" t="n">
        <f aca="false">((INDEX($E$12:$E$72,5+1)*SUMPRODUCT(($A$12:$A$72&gt;=5)*U$12:U$72*$B$5*$C$12:$C$72*$B$12:$B$72)/(1+Assumptions!$B$10)^5)+SUMPRODUCT(($A$12:$A$72&lt;5)*U$12:U$72*$E$12:$E$72*$D$12:$D$72*$B$12:$B$72)+INDEX($E$12:$E$72,5+1)*SUMPRODUCT(($A$12:$A$72&gt;=5)*U$12:U$72*$D$12:$D$72*$B$12:$B$72))/((SUMPRODUCT(($A$12:$A$72&lt;5)*U$12:U$72*$E$12:$E$72*$B$12:$B$72))*(1-Assumptions!$B$13-(SUMPRODUCT(($A$12:$A$72&lt;5)*U$12:U$72*$E$12:$E$72*$F$12:$F$72*$B$12:$B$72))/(SUMPRODUCT(($A$12:$A$72&lt;5)*U$12:U$72*$E$12:$E$72*$B$12:$B$72))))/12</f>
        <v>2702.92249377661</v>
      </c>
      <c r="G250" s="48" t="n">
        <f aca="false">((INDEX($E$12:$E$72,6+1)*SUMPRODUCT(($A$12:$A$72&gt;=6)*U$12:U$72*$B$5*$C$12:$C$72*$B$12:$B$72)/(1+Assumptions!$B$10)^6)+SUMPRODUCT(($A$12:$A$72&lt;6)*U$12:U$72*$E$12:$E$72*$D$12:$D$72*$B$12:$B$72)+INDEX($E$12:$E$72,6+1)*SUMPRODUCT(($A$12:$A$72&gt;=6)*U$12:U$72*$D$12:$D$72*$B$12:$B$72))/((SUMPRODUCT(($A$12:$A$72&lt;6)*U$12:U$72*$E$12:$E$72*$B$12:$B$72))*(1-Assumptions!$B$13-(SUMPRODUCT(($A$12:$A$72&lt;6)*U$12:U$72*$E$12:$E$72*$F$12:$F$72*$B$12:$B$72))/(SUMPRODUCT(($A$12:$A$72&lt;6)*U$12:U$72*$E$12:$E$72*$B$12:$B$72))))/12</f>
        <v>1974.12857429647</v>
      </c>
      <c r="H250" s="48" t="n">
        <f aca="false">((INDEX($E$12:$E$72,7+1)*SUMPRODUCT(($A$12:$A$72&gt;=7)*U$12:U$72*$B$5*$C$12:$C$72*$B$12:$B$72)/(1+Assumptions!$B$10)^7)+SUMPRODUCT(($A$12:$A$72&lt;7)*U$12:U$72*$E$12:$E$72*$D$12:$D$72*$B$12:$B$72)+INDEX($E$12:$E$72,7+1)*SUMPRODUCT(($A$12:$A$72&gt;=7)*U$12:U$72*$D$12:$D$72*$B$12:$B$72))/((SUMPRODUCT(($A$12:$A$72&lt;7)*U$12:U$72*$E$12:$E$72*$B$12:$B$72))*(1-Assumptions!$B$13-(SUMPRODUCT(($A$12:$A$72&lt;7)*U$12:U$72*$E$12:$E$72*$F$12:$F$72*$B$12:$B$72))/(SUMPRODUCT(($A$12:$A$72&lt;7)*U$12:U$72*$E$12:$E$72*$B$12:$B$72))))/12</f>
        <v>1494.83062816961</v>
      </c>
      <c r="I250" s="48" t="n">
        <f aca="false">((INDEX($E$12:$E$72,8+1)*SUMPRODUCT(($A$12:$A$72&gt;=8)*U$12:U$72*$B$5*$C$12:$C$72*$B$12:$B$72)/(1+Assumptions!$B$10)^8)+SUMPRODUCT(($A$12:$A$72&lt;8)*U$12:U$72*$E$12:$E$72*$D$12:$D$72*$B$12:$B$72)+INDEX($E$12:$E$72,8+1)*SUMPRODUCT(($A$12:$A$72&gt;=8)*U$12:U$72*$D$12:$D$72*$B$12:$B$72))/((SUMPRODUCT(($A$12:$A$72&lt;8)*U$12:U$72*$E$12:$E$72*$B$12:$B$72))*(1-Assumptions!$B$13-(SUMPRODUCT(($A$12:$A$72&lt;8)*U$12:U$72*$E$12:$E$72*$F$12:$F$72*$B$12:$B$72))/(SUMPRODUCT(($A$12:$A$72&lt;8)*U$12:U$72*$E$12:$E$72*$B$12:$B$72))))/12</f>
        <v>1158.73471668009</v>
      </c>
      <c r="J250" s="48" t="n">
        <f aca="false">((INDEX($E$12:$E$72,9+1)*SUMPRODUCT(($A$12:$A$72&gt;=9)*U$12:U$72*$B$5*$C$12:$C$72*$B$12:$B$72)/(1+Assumptions!$B$10)^9)+SUMPRODUCT(($A$12:$A$72&lt;9)*U$12:U$72*$E$12:$E$72*$D$12:$D$72*$B$12:$B$72)+INDEX($E$12:$E$72,9+1)*SUMPRODUCT(($A$12:$A$72&gt;=9)*U$12:U$72*$D$12:$D$72*$B$12:$B$72))/((SUMPRODUCT(($A$12:$A$72&lt;9)*U$12:U$72*$E$12:$E$72*$B$12:$B$72))*(1-Assumptions!$B$13-(SUMPRODUCT(($A$12:$A$72&lt;9)*U$12:U$72*$E$12:$E$72*$F$12:$F$72*$B$12:$B$72))/(SUMPRODUCT(($A$12:$A$72&lt;9)*U$12:U$72*$E$12:$E$72*$B$12:$B$72))))/12</f>
        <v>912.259484555653</v>
      </c>
      <c r="K250" s="48" t="n">
        <f aca="false">((INDEX($E$12:$E$72,10+1)*SUMPRODUCT(($A$12:$A$72&gt;=10)*U$12:U$72*$B$5*$C$12:$C$72*$B$12:$B$72)/(1+Assumptions!$B$10)^10)+SUMPRODUCT(($A$12:$A$72&lt;10)*U$12:U$72*$E$12:$E$72*$D$12:$D$72*$B$12:$B$72)+INDEX($E$12:$E$72,10+1)*SUMPRODUCT(($A$12:$A$72&gt;=10)*U$12:U$72*$D$12:$D$72*$B$12:$B$72))/((SUMPRODUCT(($A$12:$A$72&lt;10)*U$12:U$72*$E$12:$E$72*$B$12:$B$72))*(1-Assumptions!$B$13-(SUMPRODUCT(($A$12:$A$72&lt;10)*U$12:U$72*$E$12:$E$72*$F$12:$F$72*$B$12:$B$72))/(SUMPRODUCT(($A$12:$A$72&lt;10)*U$12:U$72*$E$12:$E$72*$B$12:$B$72))))/12</f>
        <v>725.601824049986</v>
      </c>
      <c r="L250" s="48" t="n">
        <f aca="false">((INDEX($E$12:$E$72,11+1)*SUMPRODUCT(($A$12:$A$72&gt;=11)*U$12:U$72*$B$5*$C$12:$C$72*$B$12:$B$72)/(1+Assumptions!$B$10)^11)+SUMPRODUCT(($A$12:$A$72&lt;11)*U$12:U$72*$E$12:$E$72*$D$12:$D$72*$B$12:$B$72)+INDEX($E$12:$E$72,11+1)*SUMPRODUCT(($A$12:$A$72&gt;=11)*U$12:U$72*$D$12:$D$72*$B$12:$B$72))/((SUMPRODUCT(($A$12:$A$72&lt;11)*U$12:U$72*$E$12:$E$72*$B$12:$B$72))*(1-Assumptions!$B$13-(SUMPRODUCT(($A$12:$A$72&lt;11)*U$12:U$72*$E$12:$E$72*$F$12:$F$72*$B$12:$B$72))/(SUMPRODUCT(($A$12:$A$72&lt;11)*U$12:U$72*$E$12:$E$72*$B$12:$B$72))))/12</f>
        <v>581.042489874318</v>
      </c>
      <c r="M250" s="48" t="n">
        <f aca="false">((INDEX($E$12:$E$72,12+1)*SUMPRODUCT(($A$12:$A$72&gt;=12)*U$12:U$72*$B$5*$C$12:$C$72*$B$12:$B$72)/(1+Assumptions!$B$10)^12)+SUMPRODUCT(($A$12:$A$72&lt;12)*U$12:U$72*$E$12:$E$72*$D$12:$D$72*$B$12:$B$72)+INDEX($E$12:$E$72,12+1)*SUMPRODUCT(($A$12:$A$72&gt;=12)*U$12:U$72*$D$12:$D$72*$B$12:$B$72))/((SUMPRODUCT(($A$12:$A$72&lt;12)*U$12:U$72*$E$12:$E$72*$B$12:$B$72))*(1-Assumptions!$B$13-(SUMPRODUCT(($A$12:$A$72&lt;12)*U$12:U$72*$E$12:$E$72*$F$12:$F$72*$B$12:$B$72))/(SUMPRODUCT(($A$12:$A$72&lt;12)*U$12:U$72*$E$12:$E$72*$B$12:$B$72))))/12</f>
        <v>466.799692734275</v>
      </c>
      <c r="N250" s="48" t="n">
        <f aca="false">((INDEX($E$12:$E$72,13+1)*SUMPRODUCT(($A$12:$A$72&gt;=13)*U$12:U$72*$B$5*$C$12:$C$72*$B$12:$B$72)/(1+Assumptions!$B$10)^13)+SUMPRODUCT(($A$12:$A$72&lt;13)*U$12:U$72*$E$12:$E$72*$D$12:$D$72*$B$12:$B$72)+INDEX($E$12:$E$72,13+1)*SUMPRODUCT(($A$12:$A$72&gt;=13)*U$12:U$72*$D$12:$D$72*$B$12:$B$72))/((SUMPRODUCT(($A$12:$A$72&lt;13)*U$12:U$72*$E$12:$E$72*$B$12:$B$72))*(1-Assumptions!$B$13-(SUMPRODUCT(($A$12:$A$72&lt;13)*U$12:U$72*$E$12:$E$72*$F$12:$F$72*$B$12:$B$72))/(SUMPRODUCT(($A$12:$A$72&lt;13)*U$12:U$72*$E$12:$E$72*$B$12:$B$72))))/12</f>
        <v>375.689966128051</v>
      </c>
      <c r="O250" s="48" t="n">
        <f aca="false">((INDEX($E$12:$E$72,14+1)*SUMPRODUCT(($A$12:$A$72&gt;=14)*U$12:U$72*$B$5*$C$12:$C$72*$B$12:$B$72)/(1+Assumptions!$B$10)^14)+SUMPRODUCT(($A$12:$A$72&lt;14)*U$12:U$72*$E$12:$E$72*$D$12:$D$72*$B$12:$B$72)+INDEX($E$12:$E$72,14+1)*SUMPRODUCT(($A$12:$A$72&gt;=14)*U$12:U$72*$D$12:$D$72*$B$12:$B$72))/((SUMPRODUCT(($A$12:$A$72&lt;14)*U$12:U$72*$E$12:$E$72*$B$12:$B$72))*(1-Assumptions!$B$13-(SUMPRODUCT(($A$12:$A$72&lt;14)*U$12:U$72*$E$12:$E$72*$F$12:$F$72*$B$12:$B$72))/(SUMPRODUCT(($A$12:$A$72&lt;14)*U$12:U$72*$E$12:$E$72*$B$12:$B$72))))/12</f>
        <v>302.340405947742</v>
      </c>
      <c r="P250" s="48" t="n">
        <f aca="false">((INDEX($E$12:$E$72,15+1)*SUMPRODUCT(($A$12:$A$72&gt;=15)*U$12:U$72*$B$5*$C$12:$C$72*$B$12:$B$72)/(1+Assumptions!$B$10)^15)+SUMPRODUCT(($A$12:$A$72&lt;15)*U$12:U$72*$E$12:$E$72*$D$12:$D$72*$B$12:$B$72)+INDEX($E$12:$E$72,15+1)*SUMPRODUCT(($A$12:$A$72&gt;=15)*U$12:U$72*$D$12:$D$72*$B$12:$B$72))/((SUMPRODUCT(($A$12:$A$72&lt;15)*U$12:U$72*$E$12:$E$72*$B$12:$B$72))*(1-Assumptions!$B$13-(SUMPRODUCT(($A$12:$A$72&lt;15)*U$12:U$72*$E$12:$E$72*$F$12:$F$72*$B$12:$B$72))/(SUMPRODUCT(($A$12:$A$72&lt;15)*U$12:U$72*$E$12:$E$72*$B$12:$B$72))))/12</f>
        <v>242.914487501035</v>
      </c>
      <c r="Q250" s="48" t="n">
        <f aca="false">((INDEX($E$12:$E$72,16+1)*SUMPRODUCT(($A$12:$A$72&gt;=16)*U$12:U$72*$B$5*$C$12:$C$72*$B$12:$B$72)/(1+Assumptions!$B$10)^16)+SUMPRODUCT(($A$12:$A$72&lt;16)*U$12:U$72*$E$12:$E$72*$D$12:$D$72*$B$12:$B$72)+INDEX($E$12:$E$72,16+1)*SUMPRODUCT(($A$12:$A$72&gt;=16)*U$12:U$72*$D$12:$D$72*$B$12:$B$72))/((SUMPRODUCT(($A$12:$A$72&lt;16)*U$12:U$72*$E$12:$E$72*$B$12:$B$72))*(1-Assumptions!$B$13-(SUMPRODUCT(($A$12:$A$72&lt;16)*U$12:U$72*$E$12:$E$72*$F$12:$F$72*$B$12:$B$72))/(SUMPRODUCT(($A$12:$A$72&lt;16)*U$12:U$72*$E$12:$E$72*$B$12:$B$72))))/12</f>
        <v>194.746406984264</v>
      </c>
    </row>
    <row r="251" customFormat="false" ht="15" hidden="false" customHeight="true" outlineLevel="0" collapsed="false">
      <c r="A251" s="3" t="n">
        <v>75</v>
      </c>
      <c r="C251" s="48" t="n">
        <f aca="false">((INDEX($E$12:$E$72,1+1)*SUMPRODUCT(($A$12:$A$72&gt;=1)*V$12:V$72*$B$5*$C$12:$C$72*$B$12:$B$72)/(1+Assumptions!$B$10)^1)+SUMPRODUCT(($A$12:$A$72&lt;1)*V$12:V$72*$E$12:$E$72*$D$12:$D$72*$B$12:$B$72)+INDEX($E$12:$E$72,1+1)*SUMPRODUCT(($A$12:$A$72&gt;=1)*V$12:V$72*$D$12:$D$72*$B$12:$B$72))/((SUMPRODUCT(($A$12:$A$72&lt;1)*V$12:V$72*$E$12:$E$72*$B$12:$B$72))*(1-Assumptions!$B$13-(SUMPRODUCT(($A$12:$A$72&lt;1)*V$12:V$72*$E$12:$E$72*$F$12:$F$72*$B$12:$B$72))/(SUMPRODUCT(($A$12:$A$72&lt;1)*V$12:V$72*$E$12:$E$72*$B$12:$B$72))))/12</f>
        <v>-413238.47211438</v>
      </c>
      <c r="D251" s="48" t="n">
        <f aca="false">((INDEX($E$12:$E$72,2+1)*SUMPRODUCT(($A$12:$A$72&gt;=2)*V$12:V$72*$B$5*$C$12:$C$72*$B$12:$B$72)/(1+Assumptions!$B$10)^2)+SUMPRODUCT(($A$12:$A$72&lt;2)*V$12:V$72*$E$12:$E$72*$D$12:$D$72*$B$12:$B$72)+INDEX($E$12:$E$72,2+1)*SUMPRODUCT(($A$12:$A$72&gt;=2)*V$12:V$72*$D$12:$D$72*$B$12:$B$72))/((SUMPRODUCT(($A$12:$A$72&lt;2)*V$12:V$72*$E$12:$E$72*$B$12:$B$72))*(1-Assumptions!$B$13-(SUMPRODUCT(($A$12:$A$72&lt;2)*V$12:V$72*$E$12:$E$72*$F$12:$F$72*$B$12:$B$72))/(SUMPRODUCT(($A$12:$A$72&lt;2)*V$12:V$72*$E$12:$E$72*$B$12:$B$72))))/12</f>
        <v>13506.3809410637</v>
      </c>
      <c r="E251" s="48" t="n">
        <f aca="false">((INDEX($E$12:$E$72,3+1)*SUMPRODUCT(($A$12:$A$72&gt;=3)*V$12:V$72*$B$5*$C$12:$C$72*$B$12:$B$72)/(1+Assumptions!$B$10)^3)+SUMPRODUCT(($A$12:$A$72&lt;3)*V$12:V$72*$E$12:$E$72*$D$12:$D$72*$B$12:$B$72)+INDEX($E$12:$E$72,3+1)*SUMPRODUCT(($A$12:$A$72&gt;=3)*V$12:V$72*$D$12:$D$72*$B$12:$B$72))/((SUMPRODUCT(($A$12:$A$72&lt;3)*V$12:V$72*$E$12:$E$72*$B$12:$B$72))*(1-Assumptions!$B$13-(SUMPRODUCT(($A$12:$A$72&lt;3)*V$12:V$72*$E$12:$E$72*$F$12:$F$72*$B$12:$B$72))/(SUMPRODUCT(($A$12:$A$72&lt;3)*V$12:V$72*$E$12:$E$72*$B$12:$B$72))))/12</f>
        <v>6119.96313965461</v>
      </c>
      <c r="F251" s="48" t="n">
        <f aca="false">((INDEX($E$12:$E$72,4+1)*SUMPRODUCT(($A$12:$A$72&gt;=4)*V$12:V$72*$B$5*$C$12:$C$72*$B$12:$B$72)/(1+Assumptions!$B$10)^4)+SUMPRODUCT(($A$12:$A$72&lt;4)*V$12:V$72*$E$12:$E$72*$D$12:$D$72*$B$12:$B$72)+INDEX($E$12:$E$72,4+1)*SUMPRODUCT(($A$12:$A$72&gt;=4)*V$12:V$72*$D$12:$D$72*$B$12:$B$72))/((SUMPRODUCT(($A$12:$A$72&lt;4)*V$12:V$72*$E$12:$E$72*$B$12:$B$72))*(1-Assumptions!$B$13-(SUMPRODUCT(($A$12:$A$72&lt;4)*V$12:V$72*$E$12:$E$72*$F$12:$F$72*$B$12:$B$72))/(SUMPRODUCT(($A$12:$A$72&lt;4)*V$12:V$72*$E$12:$E$72*$B$12:$B$72))))/12</f>
        <v>3715.0899816181</v>
      </c>
      <c r="G251" s="48" t="n">
        <f aca="false">((INDEX($E$12:$E$72,5+1)*SUMPRODUCT(($A$12:$A$72&gt;=5)*V$12:V$72*$B$5*$C$12:$C$72*$B$12:$B$72)/(1+Assumptions!$B$10)^5)+SUMPRODUCT(($A$12:$A$72&lt;5)*V$12:V$72*$E$12:$E$72*$D$12:$D$72*$B$12:$B$72)+INDEX($E$12:$E$72,5+1)*SUMPRODUCT(($A$12:$A$72&gt;=5)*V$12:V$72*$D$12:$D$72*$B$12:$B$72))/((SUMPRODUCT(($A$12:$A$72&lt;5)*V$12:V$72*$E$12:$E$72*$B$12:$B$72))*(1-Assumptions!$B$13-(SUMPRODUCT(($A$12:$A$72&lt;5)*V$12:V$72*$E$12:$E$72*$F$12:$F$72*$B$12:$B$72))/(SUMPRODUCT(($A$12:$A$72&lt;5)*V$12:V$72*$E$12:$E$72*$B$12:$B$72))))/12</f>
        <v>2531.57028352976</v>
      </c>
      <c r="H251" s="48" t="n">
        <f aca="false">((INDEX($E$12:$E$72,6+1)*SUMPRODUCT(($A$12:$A$72&gt;=6)*V$12:V$72*$B$5*$C$12:$C$72*$B$12:$B$72)/(1+Assumptions!$B$10)^6)+SUMPRODUCT(($A$12:$A$72&lt;6)*V$12:V$72*$E$12:$E$72*$D$12:$D$72*$B$12:$B$72)+INDEX($E$12:$E$72,6+1)*SUMPRODUCT(($A$12:$A$72&gt;=6)*V$12:V$72*$D$12:$D$72*$B$12:$B$72))/((SUMPRODUCT(($A$12:$A$72&lt;6)*V$12:V$72*$E$12:$E$72*$B$12:$B$72))*(1-Assumptions!$B$13-(SUMPRODUCT(($A$12:$A$72&lt;6)*V$12:V$72*$E$12:$E$72*$F$12:$F$72*$B$12:$B$72))/(SUMPRODUCT(($A$12:$A$72&lt;6)*V$12:V$72*$E$12:$E$72*$B$12:$B$72))))/12</f>
        <v>1841.03960714922</v>
      </c>
      <c r="I251" s="48" t="n">
        <f aca="false">((INDEX($E$12:$E$72,7+1)*SUMPRODUCT(($A$12:$A$72&gt;=7)*V$12:V$72*$B$5*$C$12:$C$72*$B$12:$B$72)/(1+Assumptions!$B$10)^7)+SUMPRODUCT(($A$12:$A$72&lt;7)*V$12:V$72*$E$12:$E$72*$D$12:$D$72*$B$12:$B$72)+INDEX($E$12:$E$72,7+1)*SUMPRODUCT(($A$12:$A$72&gt;=7)*V$12:V$72*$D$12:$D$72*$B$12:$B$72))/((SUMPRODUCT(($A$12:$A$72&lt;7)*V$12:V$72*$E$12:$E$72*$B$12:$B$72))*(1-Assumptions!$B$13-(SUMPRODUCT(($A$12:$A$72&lt;7)*V$12:V$72*$E$12:$E$72*$F$12:$F$72*$B$12:$B$72))/(SUMPRODUCT(($A$12:$A$72&lt;7)*V$12:V$72*$E$12:$E$72*$B$12:$B$72))))/12</f>
        <v>1387.80180813593</v>
      </c>
      <c r="J251" s="48" t="n">
        <f aca="false">((INDEX($E$12:$E$72,8+1)*SUMPRODUCT(($A$12:$A$72&gt;=8)*V$12:V$72*$B$5*$C$12:$C$72*$B$12:$B$72)/(1+Assumptions!$B$10)^8)+SUMPRODUCT(($A$12:$A$72&lt;8)*V$12:V$72*$E$12:$E$72*$D$12:$D$72*$B$12:$B$72)+INDEX($E$12:$E$72,8+1)*SUMPRODUCT(($A$12:$A$72&gt;=8)*V$12:V$72*$D$12:$D$72*$B$12:$B$72))/((SUMPRODUCT(($A$12:$A$72&lt;8)*V$12:V$72*$E$12:$E$72*$B$12:$B$72))*(1-Assumptions!$B$13-(SUMPRODUCT(($A$12:$A$72&lt;8)*V$12:V$72*$E$12:$E$72*$F$12:$F$72*$B$12:$B$72))/(SUMPRODUCT(($A$12:$A$72&lt;8)*V$12:V$72*$E$12:$E$72*$B$12:$B$72))))/12</f>
        <v>1070.40792260706</v>
      </c>
      <c r="K251" s="48" t="n">
        <f aca="false">((INDEX($E$12:$E$72,9+1)*SUMPRODUCT(($A$12:$A$72&gt;=9)*V$12:V$72*$B$5*$C$12:$C$72*$B$12:$B$72)/(1+Assumptions!$B$10)^9)+SUMPRODUCT(($A$12:$A$72&lt;9)*V$12:V$72*$E$12:$E$72*$D$12:$D$72*$B$12:$B$72)+INDEX($E$12:$E$72,9+1)*SUMPRODUCT(($A$12:$A$72&gt;=9)*V$12:V$72*$D$12:$D$72*$B$12:$B$72))/((SUMPRODUCT(($A$12:$A$72&lt;9)*V$12:V$72*$E$12:$E$72*$B$12:$B$72))*(1-Assumptions!$B$13-(SUMPRODUCT(($A$12:$A$72&lt;9)*V$12:V$72*$E$12:$E$72*$F$12:$F$72*$B$12:$B$72))/(SUMPRODUCT(($A$12:$A$72&lt;9)*V$12:V$72*$E$12:$E$72*$B$12:$B$72))))/12</f>
        <v>838.064956493677</v>
      </c>
      <c r="L251" s="48" t="n">
        <f aca="false">((INDEX($E$12:$E$72,10+1)*SUMPRODUCT(($A$12:$A$72&gt;=10)*V$12:V$72*$B$5*$C$12:$C$72*$B$12:$B$72)/(1+Assumptions!$B$10)^10)+SUMPRODUCT(($A$12:$A$72&lt;10)*V$12:V$72*$E$12:$E$72*$D$12:$D$72*$B$12:$B$72)+INDEX($E$12:$E$72,10+1)*SUMPRODUCT(($A$12:$A$72&gt;=10)*V$12:V$72*$D$12:$D$72*$B$12:$B$72))/((SUMPRODUCT(($A$12:$A$72&lt;10)*V$12:V$72*$E$12:$E$72*$B$12:$B$72))*(1-Assumptions!$B$13-(SUMPRODUCT(($A$12:$A$72&lt;10)*V$12:V$72*$E$12:$E$72*$F$12:$F$72*$B$12:$B$72))/(SUMPRODUCT(($A$12:$A$72&lt;10)*V$12:V$72*$E$12:$E$72*$B$12:$B$72))))/12</f>
        <v>662.512024862227</v>
      </c>
      <c r="M251" s="48" t="n">
        <f aca="false">((INDEX($E$12:$E$72,11+1)*SUMPRODUCT(($A$12:$A$72&gt;=11)*V$12:V$72*$B$5*$C$12:$C$72*$B$12:$B$72)/(1+Assumptions!$B$10)^11)+SUMPRODUCT(($A$12:$A$72&lt;11)*V$12:V$72*$E$12:$E$72*$D$12:$D$72*$B$12:$B$72)+INDEX($E$12:$E$72,11+1)*SUMPRODUCT(($A$12:$A$72&gt;=11)*V$12:V$72*$D$12:$D$72*$B$12:$B$72))/((SUMPRODUCT(($A$12:$A$72&lt;11)*V$12:V$72*$E$12:$E$72*$B$12:$B$72))*(1-Assumptions!$B$13-(SUMPRODUCT(($A$12:$A$72&lt;11)*V$12:V$72*$E$12:$E$72*$F$12:$F$72*$B$12:$B$72))/(SUMPRODUCT(($A$12:$A$72&lt;11)*V$12:V$72*$E$12:$E$72*$B$12:$B$72))))/12</f>
        <v>526.940552775748</v>
      </c>
      <c r="N251" s="48" t="n">
        <f aca="false">((INDEX($E$12:$E$72,12+1)*SUMPRODUCT(($A$12:$A$72&gt;=12)*V$12:V$72*$B$5*$C$12:$C$72*$B$12:$B$72)/(1+Assumptions!$B$10)^12)+SUMPRODUCT(($A$12:$A$72&lt;12)*V$12:V$72*$E$12:$E$72*$D$12:$D$72*$B$12:$B$72)+INDEX($E$12:$E$72,12+1)*SUMPRODUCT(($A$12:$A$72&gt;=12)*V$12:V$72*$D$12:$D$72*$B$12:$B$72))/((SUMPRODUCT(($A$12:$A$72&lt;12)*V$12:V$72*$E$12:$E$72*$B$12:$B$72))*(1-Assumptions!$B$13-(SUMPRODUCT(($A$12:$A$72&lt;12)*V$12:V$72*$E$12:$E$72*$F$12:$F$72*$B$12:$B$72))/(SUMPRODUCT(($A$12:$A$72&lt;12)*V$12:V$72*$E$12:$E$72*$B$12:$B$72))))/12</f>
        <v>420.341979046122</v>
      </c>
      <c r="O251" s="48" t="n">
        <f aca="false">((INDEX($E$12:$E$72,13+1)*SUMPRODUCT(($A$12:$A$72&gt;=13)*V$12:V$72*$B$5*$C$12:$C$72*$B$12:$B$72)/(1+Assumptions!$B$10)^13)+SUMPRODUCT(($A$12:$A$72&lt;13)*V$12:V$72*$E$12:$E$72*$D$12:$D$72*$B$12:$B$72)+INDEX($E$12:$E$72,13+1)*SUMPRODUCT(($A$12:$A$72&gt;=13)*V$12:V$72*$D$12:$D$72*$B$12:$B$72))/((SUMPRODUCT(($A$12:$A$72&lt;13)*V$12:V$72*$E$12:$E$72*$B$12:$B$72))*(1-Assumptions!$B$13-(SUMPRODUCT(($A$12:$A$72&lt;13)*V$12:V$72*$E$12:$E$72*$F$12:$F$72*$B$12:$B$72))/(SUMPRODUCT(($A$12:$A$72&lt;13)*V$12:V$72*$E$12:$E$72*$B$12:$B$72))))/12</f>
        <v>335.720059382198</v>
      </c>
      <c r="P251" s="48" t="n">
        <f aca="false">((INDEX($E$12:$E$72,14+1)*SUMPRODUCT(($A$12:$A$72&gt;=14)*V$12:V$72*$B$5*$C$12:$C$72*$B$12:$B$72)/(1+Assumptions!$B$10)^14)+SUMPRODUCT(($A$12:$A$72&lt;14)*V$12:V$72*$E$12:$E$72*$D$12:$D$72*$B$12:$B$72)+INDEX($E$12:$E$72,14+1)*SUMPRODUCT(($A$12:$A$72&gt;=14)*V$12:V$72*$D$12:$D$72*$B$12:$B$72))/((SUMPRODUCT(($A$12:$A$72&lt;14)*V$12:V$72*$E$12:$E$72*$B$12:$B$72))*(1-Assumptions!$B$13-(SUMPRODUCT(($A$12:$A$72&lt;14)*V$12:V$72*$E$12:$E$72*$F$12:$F$72*$B$12:$B$72))/(SUMPRODUCT(($A$12:$A$72&lt;14)*V$12:V$72*$E$12:$E$72*$B$12:$B$72))))/12</f>
        <v>267.973827260345</v>
      </c>
      <c r="Q251" s="48" t="n">
        <f aca="false">((INDEX($E$12:$E$72,15+1)*SUMPRODUCT(($A$12:$A$72&gt;=15)*V$12:V$72*$B$5*$C$12:$C$72*$B$12:$B$72)/(1+Assumptions!$B$10)^15)+SUMPRODUCT(($A$12:$A$72&lt;15)*V$12:V$72*$E$12:$E$72*$D$12:$D$72*$B$12:$B$72)+INDEX($E$12:$E$72,15+1)*SUMPRODUCT(($A$12:$A$72&gt;=15)*V$12:V$72*$D$12:$D$72*$B$12:$B$72))/((SUMPRODUCT(($A$12:$A$72&lt;15)*V$12:V$72*$E$12:$E$72*$B$12:$B$72))*(1-Assumptions!$B$13-(SUMPRODUCT(($A$12:$A$72&lt;15)*V$12:V$72*$E$12:$E$72*$F$12:$F$72*$B$12:$B$72))/(SUMPRODUCT(($A$12:$A$72&lt;15)*V$12:V$72*$E$12:$E$72*$B$12:$B$72))))/12</f>
        <v>213.45516079256</v>
      </c>
    </row>
    <row r="254" customFormat="false" ht="15" hidden="false" customHeight="true" outlineLevel="0" collapsed="false">
      <c r="A254" s="3" t="s">
        <v>1700</v>
      </c>
    </row>
    <row r="255" customFormat="false" ht="15" hidden="false" customHeight="true" outlineLevel="0" collapsed="false">
      <c r="A255" s="8" t="s">
        <v>1556</v>
      </c>
      <c r="B255" s="89" t="n">
        <v>75</v>
      </c>
      <c r="C255" s="89" t="n">
        <v>76</v>
      </c>
      <c r="D255" s="89" t="n">
        <v>77</v>
      </c>
      <c r="E255" s="89" t="n">
        <v>78</v>
      </c>
      <c r="F255" s="89" t="n">
        <v>79</v>
      </c>
      <c r="G255" s="89" t="n">
        <v>80</v>
      </c>
      <c r="H255" s="89" t="n">
        <v>81</v>
      </c>
      <c r="I255" s="89" t="n">
        <v>82</v>
      </c>
      <c r="J255" s="89" t="n">
        <v>83</v>
      </c>
      <c r="K255" s="89" t="n">
        <v>84</v>
      </c>
      <c r="L255" s="89" t="n">
        <v>85</v>
      </c>
      <c r="M255" s="89" t="n">
        <v>86</v>
      </c>
      <c r="N255" s="89" t="n">
        <v>87</v>
      </c>
      <c r="O255" s="89" t="n">
        <v>88</v>
      </c>
      <c r="P255" s="89" t="n">
        <v>89</v>
      </c>
      <c r="Q255" s="89" t="n">
        <v>90</v>
      </c>
    </row>
    <row r="256" customFormat="false" ht="15" hidden="false" customHeight="true" outlineLevel="0" collapsed="false">
      <c r="A256" s="3" t="n">
        <v>60</v>
      </c>
      <c r="B256" s="48" t="n">
        <f aca="false">(INDEX($E$12:$E$72,15+1)*SUMPRODUCT(($A$12:$A$72&gt;=15)*G$12:G$72*$B$5*$C$12:$C$72*$B$12:$B$72)/(1+Assumptions!$B$10)^15)/(SUMPRODUCT(($A$12:$A$72&lt;15)*G$12:G$72*$E$12:$E$72*$B$12:$B$72))/12</f>
        <v>646.93361561231</v>
      </c>
      <c r="C256" s="48" t="n">
        <f aca="false">(INDEX($E$12:$E$72,16+1)*SUMPRODUCT(($A$12:$A$72&gt;=16)*G$12:G$72*$B$5*$C$12:$C$72*$B$12:$B$72)/(1+Assumptions!$B$10)^16)/(SUMPRODUCT(($A$12:$A$72&lt;16)*G$12:G$72*$E$12:$E$72*$B$12:$B$72))/12</f>
        <v>561.579085838225</v>
      </c>
      <c r="D256" s="48" t="n">
        <f aca="false">(INDEX($E$12:$E$72,17+1)*SUMPRODUCT(($A$12:$A$72&gt;=17)*G$12:G$72*$B$5*$C$12:$C$72*$B$12:$B$72)/(1+Assumptions!$B$10)^17)/(SUMPRODUCT(($A$12:$A$72&lt;17)*G$12:G$72*$E$12:$E$72*$B$12:$B$72))/12</f>
        <v>488.006108050445</v>
      </c>
      <c r="E256" s="48" t="n">
        <f aca="false">(INDEX($E$12:$E$72,18+1)*SUMPRODUCT(($A$12:$A$72&gt;=18)*G$12:G$72*$B$5*$C$12:$C$72*$B$12:$B$72)/(1+Assumptions!$B$10)^18)/(SUMPRODUCT(($A$12:$A$72&lt;18)*G$12:G$72*$E$12:$E$72*$B$12:$B$72))/12</f>
        <v>424.140543287778</v>
      </c>
      <c r="F256" s="48" t="n">
        <f aca="false">(INDEX($E$12:$E$72,19+1)*SUMPRODUCT(($A$12:$A$72&gt;=19)*G$12:G$72*$B$5*$C$12:$C$72*$B$12:$B$72)/(1+Assumptions!$B$10)^19)/(SUMPRODUCT(($A$12:$A$72&lt;19)*G$12:G$72*$E$12:$E$72*$B$12:$B$72))/12</f>
        <v>368.40738338143</v>
      </c>
      <c r="G256" s="48" t="n">
        <f aca="false">(INDEX($E$12:$E$72,20+1)*SUMPRODUCT(($A$12:$A$72&gt;=20)*G$12:G$72*$B$5*$C$12:$C$72*$B$12:$B$72)/(1+Assumptions!$B$10)^20)/(SUMPRODUCT(($A$12:$A$72&lt;20)*G$12:G$72*$E$12:$E$72*$B$12:$B$72))/12</f>
        <v>319.564653554028</v>
      </c>
      <c r="H256" s="48" t="n">
        <f aca="false">(INDEX($E$12:$E$72,21+1)*SUMPRODUCT(($A$12:$A$72&gt;=21)*G$12:G$72*$B$5*$C$12:$C$72*$B$12:$B$72)/(1+Assumptions!$B$10)^21)/(SUMPRODUCT(($A$12:$A$72&lt;21)*G$12:G$72*$E$12:$E$72*$B$12:$B$72))/12</f>
        <v>276.635189339181</v>
      </c>
      <c r="I256" s="48" t="n">
        <f aca="false">(INDEX($E$12:$E$72,22+1)*SUMPRODUCT(($A$12:$A$72&gt;=22)*G$12:G$72*$B$5*$C$12:$C$72*$B$12:$B$72)/(1+Assumptions!$B$10)^22)/(SUMPRODUCT(($A$12:$A$72&lt;22)*G$12:G$72*$E$12:$E$72*$B$12:$B$72))/12</f>
        <v>238.856245165756</v>
      </c>
      <c r="J256" s="48" t="n">
        <f aca="false">(INDEX($E$12:$E$72,23+1)*SUMPRODUCT(($A$12:$A$72&gt;=23)*G$12:G$72*$B$5*$C$12:$C$72*$B$12:$B$72)/(1+Assumptions!$B$10)^23)/(SUMPRODUCT(($A$12:$A$72&lt;23)*G$12:G$72*$E$12:$E$72*$B$12:$B$72))/12</f>
        <v>205.571732040817</v>
      </c>
      <c r="K256" s="48" t="n">
        <f aca="false">(INDEX($E$12:$E$72,24+1)*SUMPRODUCT(($A$12:$A$72&gt;=24)*G$12:G$72*$B$5*$C$12:$C$72*$B$12:$B$72)/(1+Assumptions!$B$10)^24)/(SUMPRODUCT(($A$12:$A$72&lt;24)*G$12:G$72*$E$12:$E$72*$B$12:$B$72))/12</f>
        <v>176.234103277263</v>
      </c>
      <c r="L256" s="48" t="n">
        <f aca="false">(INDEX($E$12:$E$72,25+1)*SUMPRODUCT(($A$12:$A$72&gt;=25)*G$12:G$72*$B$5*$C$12:$C$72*$B$12:$B$72)/(1+Assumptions!$B$10)^25)/(SUMPRODUCT(($A$12:$A$72&lt;25)*G$12:G$72*$E$12:$E$72*$B$12:$B$72))/12</f>
        <v>150.387078643961</v>
      </c>
      <c r="M256" s="48" t="n">
        <f aca="false">(INDEX($E$12:$E$72,26+1)*SUMPRODUCT(($A$12:$A$72&gt;=26)*G$12:G$72*$B$5*$C$12:$C$72*$B$12:$B$72)/(1+Assumptions!$B$10)^26)/(SUMPRODUCT(($A$12:$A$72&lt;26)*G$12:G$72*$E$12:$E$72*$B$12:$B$72))/12</f>
        <v>127.633624827887</v>
      </c>
      <c r="N256" s="48" t="n">
        <f aca="false">(INDEX($E$12:$E$72,27+1)*SUMPRODUCT(($A$12:$A$72&gt;=27)*G$12:G$72*$B$5*$C$12:$C$72*$B$12:$B$72)/(1+Assumptions!$B$10)^27)/(SUMPRODUCT(($A$12:$A$72&lt;27)*G$12:G$72*$E$12:$E$72*$B$12:$B$72))/12</f>
        <v>107.666959064163</v>
      </c>
      <c r="O256" s="48" t="n">
        <f aca="false">(INDEX($E$12:$E$72,28+1)*SUMPRODUCT(($A$12:$A$72&gt;=28)*G$12:G$72*$B$5*$C$12:$C$72*$B$12:$B$72)/(1+Assumptions!$B$10)^28)/(SUMPRODUCT(($A$12:$A$72&lt;28)*G$12:G$72*$E$12:$E$72*$B$12:$B$72))/12</f>
        <v>90.2002908732692</v>
      </c>
      <c r="P256" s="48" t="n">
        <f aca="false">(INDEX($E$12:$E$72,29+1)*SUMPRODUCT(($A$12:$A$72&gt;=29)*G$12:G$72*$B$5*$C$12:$C$72*$B$12:$B$72)/(1+Assumptions!$B$10)^29)/(SUMPRODUCT(($A$12:$A$72&lt;29)*G$12:G$72*$E$12:$E$72*$B$12:$B$72))/12</f>
        <v>74.9909085485465</v>
      </c>
      <c r="Q256" s="48" t="n">
        <f aca="false">(INDEX($E$12:$E$72,30+1)*SUMPRODUCT(($A$12:$A$72&gt;=30)*G$12:G$72*$B$5*$C$12:$C$72*$B$12:$B$72)/(1+Assumptions!$B$10)^30)/(SUMPRODUCT(($A$12:$A$72&lt;30)*G$12:G$72*$E$12:$E$72*$B$12:$B$72))/12</f>
        <v>61.8206175818036</v>
      </c>
    </row>
    <row r="257" customFormat="false" ht="15" hidden="false" customHeight="true" outlineLevel="0" collapsed="false">
      <c r="A257" s="3" t="n">
        <v>61</v>
      </c>
      <c r="B257" s="48" t="n">
        <f aca="false">(INDEX($E$12:$E$72,14+1)*SUMPRODUCT(($A$12:$A$72&gt;=14)*H$12:H$72*$B$5*$C$12:$C$72*$B$12:$B$72)/(1+Assumptions!$B$10)^14)/(SUMPRODUCT(($A$12:$A$72&lt;14)*H$12:H$72*$E$12:$E$72*$B$12:$B$72))/12</f>
        <v>706.791689357307</v>
      </c>
      <c r="C257" s="48" t="n">
        <f aca="false">(INDEX($E$12:$E$72,15+1)*SUMPRODUCT(($A$12:$A$72&gt;=15)*H$12:H$72*$B$5*$C$12:$C$72*$B$12:$B$72)/(1+Assumptions!$B$10)^15)/(SUMPRODUCT(($A$12:$A$72&lt;15)*H$12:H$72*$E$12:$E$72*$B$12:$B$72))/12</f>
        <v>610.524913062812</v>
      </c>
      <c r="D257" s="48" t="n">
        <f aca="false">(INDEX($E$12:$E$72,16+1)*SUMPRODUCT(($A$12:$A$72&gt;=16)*H$12:H$72*$B$5*$C$12:$C$72*$B$12:$B$72)/(1+Assumptions!$B$10)^16)/(SUMPRODUCT(($A$12:$A$72&lt;16)*H$12:H$72*$E$12:$E$72*$B$12:$B$72))/12</f>
        <v>528.269632314979</v>
      </c>
      <c r="E257" s="48" t="n">
        <f aca="false">(INDEX($E$12:$E$72,17+1)*SUMPRODUCT(($A$12:$A$72&gt;=17)*H$12:H$72*$B$5*$C$12:$C$72*$B$12:$B$72)/(1+Assumptions!$B$10)^17)/(SUMPRODUCT(($A$12:$A$72&lt;17)*H$12:H$72*$E$12:$E$72*$B$12:$B$72))/12</f>
        <v>457.456974868168</v>
      </c>
      <c r="F257" s="48" t="n">
        <f aca="false">(INDEX($E$12:$E$72,18+1)*SUMPRODUCT(($A$12:$A$72&gt;=18)*H$12:H$72*$B$5*$C$12:$C$72*$B$12:$B$72)/(1+Assumptions!$B$10)^18)/(SUMPRODUCT(($A$12:$A$72&lt;18)*H$12:H$72*$E$12:$E$72*$B$12:$B$72))/12</f>
        <v>396.075919655154</v>
      </c>
      <c r="G257" s="48" t="n">
        <f aca="false">(INDEX($E$12:$E$72,19+1)*SUMPRODUCT(($A$12:$A$72&gt;=19)*H$12:H$72*$B$5*$C$12:$C$72*$B$12:$B$72)/(1+Assumptions!$B$10)^19)/(SUMPRODUCT(($A$12:$A$72&lt;19)*H$12:H$72*$E$12:$E$72*$B$12:$B$72))/12</f>
        <v>342.599319644776</v>
      </c>
      <c r="H257" s="48" t="n">
        <f aca="false">(INDEX($E$12:$E$72,20+1)*SUMPRODUCT(($A$12:$A$72&gt;=20)*H$12:H$72*$B$5*$C$12:$C$72*$B$12:$B$72)/(1+Assumptions!$B$10)^20)/(SUMPRODUCT(($A$12:$A$72&lt;20)*H$12:H$72*$E$12:$E$72*$B$12:$B$72))/12</f>
        <v>295.82287573469</v>
      </c>
      <c r="I257" s="48" t="n">
        <f aca="false">(INDEX($E$12:$E$72,21+1)*SUMPRODUCT(($A$12:$A$72&gt;=21)*H$12:H$72*$B$5*$C$12:$C$72*$B$12:$B$72)/(1+Assumptions!$B$10)^21)/(SUMPRODUCT(($A$12:$A$72&lt;21)*H$12:H$72*$E$12:$E$72*$B$12:$B$72))/12</f>
        <v>254.826172714935</v>
      </c>
      <c r="J257" s="48" t="n">
        <f aca="false">(INDEX($E$12:$E$72,22+1)*SUMPRODUCT(($A$12:$A$72&gt;=22)*H$12:H$72*$B$5*$C$12:$C$72*$B$12:$B$72)/(1+Assumptions!$B$10)^22)/(SUMPRODUCT(($A$12:$A$72&lt;22)*H$12:H$72*$E$12:$E$72*$B$12:$B$72))/12</f>
        <v>218.839832939988</v>
      </c>
      <c r="K257" s="48" t="n">
        <f aca="false">(INDEX($E$12:$E$72,23+1)*SUMPRODUCT(($A$12:$A$72&gt;=23)*H$12:H$72*$B$5*$C$12:$C$72*$B$12:$B$72)/(1+Assumptions!$B$10)^23)/(SUMPRODUCT(($A$12:$A$72&lt;23)*H$12:H$72*$E$12:$E$72*$B$12:$B$72))/12</f>
        <v>187.227205419719</v>
      </c>
      <c r="L257" s="48" t="n">
        <f aca="false">(INDEX($E$12:$E$72,24+1)*SUMPRODUCT(($A$12:$A$72&gt;=24)*H$12:H$72*$B$5*$C$12:$C$72*$B$12:$B$72)/(1+Assumptions!$B$10)^24)/(SUMPRODUCT(($A$12:$A$72&lt;24)*H$12:H$72*$E$12:$E$72*$B$12:$B$72))/12</f>
        <v>159.456415576131</v>
      </c>
      <c r="M257" s="48" t="n">
        <f aca="false">(INDEX($E$12:$E$72,25+1)*SUMPRODUCT(($A$12:$A$72&gt;=25)*H$12:H$72*$B$5*$C$12:$C$72*$B$12:$B$72)/(1+Assumptions!$B$10)^25)/(SUMPRODUCT(($A$12:$A$72&lt;25)*H$12:H$72*$E$12:$E$72*$B$12:$B$72))/12</f>
        <v>135.083463629561</v>
      </c>
      <c r="N257" s="48" t="n">
        <f aca="false">(INDEX($E$12:$E$72,26+1)*SUMPRODUCT(($A$12:$A$72&gt;=26)*H$12:H$72*$B$5*$C$12:$C$72*$B$12:$B$72)/(1+Assumptions!$B$10)^26)/(SUMPRODUCT(($A$12:$A$72&lt;26)*H$12:H$72*$E$12:$E$72*$B$12:$B$72))/12</f>
        <v>113.748270508907</v>
      </c>
      <c r="O257" s="48" t="n">
        <f aca="false">(INDEX($E$12:$E$72,27+1)*SUMPRODUCT(($A$12:$A$72&gt;=27)*H$12:H$72*$B$5*$C$12:$C$72*$B$12:$B$72)/(1+Assumptions!$B$10)^27)/(SUMPRODUCT(($A$12:$A$72&lt;27)*H$12:H$72*$E$12:$E$72*$B$12:$B$72))/12</f>
        <v>95.1346588933197</v>
      </c>
      <c r="P257" s="48" t="n">
        <f aca="false">(INDEX($E$12:$E$72,28+1)*SUMPRODUCT(($A$12:$A$72&gt;=28)*H$12:H$72*$B$5*$C$12:$C$72*$B$12:$B$72)/(1+Assumptions!$B$10)^28)/(SUMPRODUCT(($A$12:$A$72&lt;28)*H$12:H$72*$E$12:$E$72*$B$12:$B$72))/12</f>
        <v>78.9607993941618</v>
      </c>
      <c r="Q257" s="48" t="n">
        <f aca="false">(INDEX($E$12:$E$72,29+1)*SUMPRODUCT(($A$12:$A$72&gt;=29)*H$12:H$72*$B$5*$C$12:$C$72*$B$12:$B$72)/(1+Assumptions!$B$10)^29)/(SUMPRODUCT(($A$12:$A$72&lt;29)*H$12:H$72*$E$12:$E$72*$B$12:$B$72))/12</f>
        <v>64.9862458634518</v>
      </c>
    </row>
    <row r="258" customFormat="false" ht="15" hidden="false" customHeight="true" outlineLevel="0" collapsed="false">
      <c r="A258" s="3" t="n">
        <v>62</v>
      </c>
      <c r="B258" s="48" t="n">
        <f aca="false">(INDEX($E$12:$E$72,13+1)*SUMPRODUCT(($A$12:$A$72&gt;=13)*I$12:I$72*$B$5*$C$12:$C$72*$B$12:$B$72)/(1+Assumptions!$B$10)^13)/(SUMPRODUCT(($A$12:$A$72&lt;13)*I$12:I$72*$E$12:$E$72*$B$12:$B$72))/12</f>
        <v>776.321167312264</v>
      </c>
      <c r="C258" s="48" t="n">
        <f aca="false">(INDEX($E$12:$E$72,14+1)*SUMPRODUCT(($A$12:$A$72&gt;=14)*I$12:I$72*$B$5*$C$12:$C$72*$B$12:$B$72)/(1+Assumptions!$B$10)^14)/(SUMPRODUCT(($A$12:$A$72&lt;14)*I$12:I$72*$E$12:$E$72*$B$12:$B$72))/12</f>
        <v>667.052346594055</v>
      </c>
      <c r="D258" s="48" t="n">
        <f aca="false">(INDEX($E$12:$E$72,15+1)*SUMPRODUCT(($A$12:$A$72&gt;=15)*I$12:I$72*$B$5*$C$12:$C$72*$B$12:$B$72)/(1+Assumptions!$B$10)^15)/(SUMPRODUCT(($A$12:$A$72&lt;15)*I$12:I$72*$E$12:$E$72*$B$12:$B$72))/12</f>
        <v>574.334937301117</v>
      </c>
      <c r="E258" s="48" t="n">
        <f aca="false">(INDEX($E$12:$E$72,16+1)*SUMPRODUCT(($A$12:$A$72&gt;=16)*I$12:I$72*$B$5*$C$12:$C$72*$B$12:$B$72)/(1+Assumptions!$B$10)^16)/(SUMPRODUCT(($A$12:$A$72&lt;16)*I$12:I$72*$E$12:$E$72*$B$12:$B$72))/12</f>
        <v>495.209869242758</v>
      </c>
      <c r="F258" s="48" t="n">
        <f aca="false">(INDEX($E$12:$E$72,17+1)*SUMPRODUCT(($A$12:$A$72&gt;=17)*I$12:I$72*$B$5*$C$12:$C$72*$B$12:$B$72)/(1+Assumptions!$B$10)^17)/(SUMPRODUCT(($A$12:$A$72&lt;17)*I$12:I$72*$E$12:$E$72*$B$12:$B$72))/12</f>
        <v>427.188915416375</v>
      </c>
      <c r="G258" s="48" t="n">
        <f aca="false">(INDEX($E$12:$E$72,18+1)*SUMPRODUCT(($A$12:$A$72&gt;=18)*I$12:I$72*$B$5*$C$12:$C$72*$B$12:$B$72)/(1+Assumptions!$B$10)^18)/(SUMPRODUCT(($A$12:$A$72&lt;18)*I$12:I$72*$E$12:$E$72*$B$12:$B$72))/12</f>
        <v>368.324175961641</v>
      </c>
      <c r="H258" s="48" t="n">
        <f aca="false">(INDEX($E$12:$E$72,19+1)*SUMPRODUCT(($A$12:$A$72&gt;=19)*I$12:I$72*$B$5*$C$12:$C$72*$B$12:$B$72)/(1+Assumptions!$B$10)^19)/(SUMPRODUCT(($A$12:$A$72&lt;19)*I$12:I$72*$E$12:$E$72*$B$12:$B$72))/12</f>
        <v>317.136295963044</v>
      </c>
      <c r="I258" s="48" t="n">
        <f aca="false">(INDEX($E$12:$E$72,20+1)*SUMPRODUCT(($A$12:$A$72&gt;=20)*I$12:I$72*$B$5*$C$12:$C$72*$B$12:$B$72)/(1+Assumptions!$B$10)^20)/(SUMPRODUCT(($A$12:$A$72&lt;20)*I$12:I$72*$E$12:$E$72*$B$12:$B$72))/12</f>
        <v>272.488794994451</v>
      </c>
      <c r="J258" s="48" t="n">
        <f aca="false">(INDEX($E$12:$E$72,21+1)*SUMPRODUCT(($A$12:$A$72&gt;=21)*I$12:I$72*$B$5*$C$12:$C$72*$B$12:$B$72)/(1+Assumptions!$B$10)^21)/(SUMPRODUCT(($A$12:$A$72&lt;21)*I$12:I$72*$E$12:$E$72*$B$12:$B$72))/12</f>
        <v>233.45691879983</v>
      </c>
      <c r="K258" s="48" t="n">
        <f aca="false">(INDEX($E$12:$E$72,22+1)*SUMPRODUCT(($A$12:$A$72&gt;=22)*I$12:I$72*$B$5*$C$12:$C$72*$B$12:$B$72)/(1+Assumptions!$B$10)^22)/(SUMPRODUCT(($A$12:$A$72&lt;22)*I$12:I$72*$E$12:$E$72*$B$12:$B$72))/12</f>
        <v>199.294928579352</v>
      </c>
      <c r="L258" s="48" t="n">
        <f aca="false">(INDEX($E$12:$E$72,23+1)*SUMPRODUCT(($A$12:$A$72&gt;=23)*I$12:I$72*$B$5*$C$12:$C$72*$B$12:$B$72)/(1+Assumptions!$B$10)^23)/(SUMPRODUCT(($A$12:$A$72&lt;23)*I$12:I$72*$E$12:$E$72*$B$12:$B$72))/12</f>
        <v>169.385138911978</v>
      </c>
      <c r="M258" s="48" t="n">
        <f aca="false">(INDEX($E$12:$E$72,24+1)*SUMPRODUCT(($A$12:$A$72&gt;=24)*I$12:I$72*$B$5*$C$12:$C$72*$B$12:$B$72)/(1+Assumptions!$B$10)^24)/(SUMPRODUCT(($A$12:$A$72&lt;24)*I$12:I$72*$E$12:$E$72*$B$12:$B$72))/12</f>
        <v>143.210772977881</v>
      </c>
      <c r="N258" s="48" t="n">
        <f aca="false">(INDEX($E$12:$E$72,25+1)*SUMPRODUCT(($A$12:$A$72&gt;=25)*I$12:I$72*$B$5*$C$12:$C$72*$B$12:$B$72)/(1+Assumptions!$B$10)^25)/(SUMPRODUCT(($A$12:$A$72&lt;25)*I$12:I$72*$E$12:$E$72*$B$12:$B$72))/12</f>
        <v>120.368744557607</v>
      </c>
      <c r="O258" s="48" t="n">
        <f aca="false">(INDEX($E$12:$E$72,26+1)*SUMPRODUCT(($A$12:$A$72&gt;=26)*I$12:I$72*$B$5*$C$12:$C$72*$B$12:$B$72)/(1+Assumptions!$B$10)^26)/(SUMPRODUCT(($A$12:$A$72&lt;26)*I$12:I$72*$E$12:$E$72*$B$12:$B$72))/12</f>
        <v>100.489455870974</v>
      </c>
      <c r="P258" s="48" t="n">
        <f aca="false">(INDEX($E$12:$E$72,27+1)*SUMPRODUCT(($A$12:$A$72&gt;=27)*I$12:I$72*$B$5*$C$12:$C$72*$B$12:$B$72)/(1+Assumptions!$B$10)^27)/(SUMPRODUCT(($A$12:$A$72&lt;27)*I$12:I$72*$E$12:$E$72*$B$12:$B$72))/12</f>
        <v>83.2623842940724</v>
      </c>
      <c r="Q258" s="48" t="n">
        <f aca="false">(INDEX($E$12:$E$72,28+1)*SUMPRODUCT(($A$12:$A$72&gt;=28)*I$12:I$72*$B$5*$C$12:$C$72*$B$12:$B$72)/(1+Assumptions!$B$10)^28)/(SUMPRODUCT(($A$12:$A$72&lt;28)*I$12:I$72*$E$12:$E$72*$B$12:$B$72))/12</f>
        <v>68.4093675534044</v>
      </c>
    </row>
    <row r="259" customFormat="false" ht="15" hidden="false" customHeight="true" outlineLevel="0" collapsed="false">
      <c r="A259" s="3" t="n">
        <v>63</v>
      </c>
      <c r="B259" s="48" t="n">
        <f aca="false">(INDEX($E$12:$E$72,12+1)*SUMPRODUCT(($A$12:$A$72&gt;=12)*J$12:J$72*$B$5*$C$12:$C$72*$B$12:$B$72)/(1+Assumptions!$B$10)^12)/(SUMPRODUCT(($A$12:$A$72&lt;12)*J$12:J$72*$E$12:$E$72*$B$12:$B$72))/12</f>
        <v>858.062644974682</v>
      </c>
      <c r="C259" s="48" t="n">
        <f aca="false">(INDEX($E$12:$E$72,13+1)*SUMPRODUCT(($A$12:$A$72&gt;=13)*J$12:J$72*$B$5*$C$12:$C$72*$B$12:$B$72)/(1+Assumptions!$B$10)^13)/(SUMPRODUCT(($A$12:$A$72&lt;13)*J$12:J$72*$E$12:$E$72*$B$12:$B$72))/12</f>
        <v>732.741248171428</v>
      </c>
      <c r="D259" s="48" t="n">
        <f aca="false">(INDEX($E$12:$E$72,14+1)*SUMPRODUCT(($A$12:$A$72&gt;=14)*J$12:J$72*$B$5*$C$12:$C$72*$B$12:$B$72)/(1+Assumptions!$B$10)^14)/(SUMPRODUCT(($A$12:$A$72&lt;14)*J$12:J$72*$E$12:$E$72*$B$12:$B$72))/12</f>
        <v>627.566811126838</v>
      </c>
      <c r="E259" s="48" t="n">
        <f aca="false">(INDEX($E$12:$E$72,15+1)*SUMPRODUCT(($A$12:$A$72&gt;=15)*J$12:J$72*$B$5*$C$12:$C$72*$B$12:$B$72)/(1+Assumptions!$B$10)^15)/(SUMPRODUCT(($A$12:$A$72&lt;15)*J$12:J$72*$E$12:$E$72*$B$12:$B$72))/12</f>
        <v>538.429499463387</v>
      </c>
      <c r="F259" s="48" t="n">
        <f aca="false">(INDEX($E$12:$E$72,16+1)*SUMPRODUCT(($A$12:$A$72&gt;=16)*J$12:J$72*$B$5*$C$12:$C$72*$B$12:$B$72)/(1+Assumptions!$B$10)^16)/(SUMPRODUCT(($A$12:$A$72&lt;16)*J$12:J$72*$E$12:$E$72*$B$12:$B$72))/12</f>
        <v>462.466018601288</v>
      </c>
      <c r="G259" s="48" t="n">
        <f aca="false">(INDEX($E$12:$E$72,17+1)*SUMPRODUCT(($A$12:$A$72&gt;=17)*J$12:J$72*$B$5*$C$12:$C$72*$B$12:$B$72)/(1+Assumptions!$B$10)^17)/(SUMPRODUCT(($A$12:$A$72&lt;17)*J$12:J$72*$E$12:$E$72*$B$12:$B$72))/12</f>
        <v>397.268700425059</v>
      </c>
      <c r="H259" s="48" t="n">
        <f aca="false">(INDEX($E$12:$E$72,18+1)*SUMPRODUCT(($A$12:$A$72&gt;=18)*J$12:J$72*$B$5*$C$12:$C$72*$B$12:$B$72)/(1+Assumptions!$B$10)^18)/(SUMPRODUCT(($A$12:$A$72&lt;18)*J$12:J$72*$E$12:$E$72*$B$12:$B$72))/12</f>
        <v>340.952687545884</v>
      </c>
      <c r="I259" s="48" t="n">
        <f aca="false">(INDEX($E$12:$E$72,19+1)*SUMPRODUCT(($A$12:$A$72&gt;=19)*J$12:J$72*$B$5*$C$12:$C$72*$B$12:$B$72)/(1+Assumptions!$B$10)^19)/(SUMPRODUCT(($A$12:$A$72&lt;19)*J$12:J$72*$E$12:$E$72*$B$12:$B$72))/12</f>
        <v>292.119954226953</v>
      </c>
      <c r="J259" s="48" t="n">
        <f aca="false">(INDEX($E$12:$E$72,20+1)*SUMPRODUCT(($A$12:$A$72&gt;=20)*J$12:J$72*$B$5*$C$12:$C$72*$B$12:$B$72)/(1+Assumptions!$B$10)^20)/(SUMPRODUCT(($A$12:$A$72&lt;20)*J$12:J$72*$E$12:$E$72*$B$12:$B$72))/12</f>
        <v>249.633677998035</v>
      </c>
      <c r="K259" s="48" t="n">
        <f aca="false">(INDEX($E$12:$E$72,21+1)*SUMPRODUCT(($A$12:$A$72&gt;=21)*J$12:J$72*$B$5*$C$12:$C$72*$B$12:$B$72)/(1+Assumptions!$B$10)^21)/(SUMPRODUCT(($A$12:$A$72&lt;21)*J$12:J$72*$E$12:$E$72*$B$12:$B$72))/12</f>
        <v>212.598684519455</v>
      </c>
      <c r="L259" s="48" t="n">
        <f aca="false">(INDEX($E$12:$E$72,22+1)*SUMPRODUCT(($A$12:$A$72&gt;=22)*J$12:J$72*$B$5*$C$12:$C$72*$B$12:$B$72)/(1+Assumptions!$B$10)^22)/(SUMPRODUCT(($A$12:$A$72&lt;22)*J$12:J$72*$E$12:$E$72*$B$12:$B$72))/12</f>
        <v>180.29235392471</v>
      </c>
      <c r="M259" s="48" t="n">
        <f aca="false">(INDEX($E$12:$E$72,23+1)*SUMPRODUCT(($A$12:$A$72&gt;=23)*J$12:J$72*$B$5*$C$12:$C$72*$B$12:$B$72)/(1+Assumptions!$B$10)^23)/(SUMPRODUCT(($A$12:$A$72&lt;23)*J$12:J$72*$E$12:$E$72*$B$12:$B$72))/12</f>
        <v>152.115342791731</v>
      </c>
      <c r="N259" s="48" t="n">
        <f aca="false">(INDEX($E$12:$E$72,24+1)*SUMPRODUCT(($A$12:$A$72&gt;=24)*J$12:J$72*$B$5*$C$12:$C$72*$B$12:$B$72)/(1+Assumptions!$B$10)^24)/(SUMPRODUCT(($A$12:$A$72&lt;24)*J$12:J$72*$E$12:$E$72*$B$12:$B$72))/12</f>
        <v>127.597253018533</v>
      </c>
      <c r="O259" s="48" t="n">
        <f aca="false">(INDEX($E$12:$E$72,25+1)*SUMPRODUCT(($A$12:$A$72&gt;=25)*J$12:J$72*$B$5*$C$12:$C$72*$B$12:$B$72)/(1+Assumptions!$B$10)^25)/(SUMPRODUCT(($A$12:$A$72&lt;25)*J$12:J$72*$E$12:$E$72*$B$12:$B$72))/12</f>
        <v>106.324411387976</v>
      </c>
      <c r="P259" s="48" t="n">
        <f aca="false">(INDEX($E$12:$E$72,26+1)*SUMPRODUCT(($A$12:$A$72&gt;=26)*J$12:J$72*$B$5*$C$12:$C$72*$B$12:$B$72)/(1+Assumptions!$B$10)^26)/(SUMPRODUCT(($A$12:$A$72&lt;26)*J$12:J$72*$E$12:$E$72*$B$12:$B$72))/12</f>
        <v>87.9348874993549</v>
      </c>
      <c r="Q259" s="48" t="n">
        <f aca="false">(INDEX($E$12:$E$72,27+1)*SUMPRODUCT(($A$12:$A$72&gt;=27)*J$12:J$72*$B$5*$C$12:$C$72*$B$12:$B$72)/(1+Assumptions!$B$10)^27)/(SUMPRODUCT(($A$12:$A$72&lt;27)*J$12:J$72*$E$12:$E$72*$B$12:$B$72))/12</f>
        <v>72.122429092919</v>
      </c>
    </row>
    <row r="260" customFormat="false" ht="15" hidden="false" customHeight="true" outlineLevel="0" collapsed="false">
      <c r="A260" s="3" t="n">
        <v>64</v>
      </c>
      <c r="B260" s="48" t="n">
        <f aca="false">(INDEX($E$12:$E$72,11+1)*SUMPRODUCT(($A$12:$A$72&gt;=11)*K$12:K$72*$B$5*$C$12:$C$72*$B$12:$B$72)/(1+Assumptions!$B$10)^11)/(SUMPRODUCT(($A$12:$A$72&lt;11)*K$12:K$72*$E$12:$E$72*$B$12:$B$72))/12</f>
        <v>955.459837118687</v>
      </c>
      <c r="C260" s="48" t="n">
        <f aca="false">(INDEX($E$12:$E$72,12+1)*SUMPRODUCT(($A$12:$A$72&gt;=12)*K$12:K$72*$B$5*$C$12:$C$72*$B$12:$B$72)/(1+Assumptions!$B$10)^12)/(SUMPRODUCT(($A$12:$A$72&lt;12)*K$12:K$72*$E$12:$E$72*$B$12:$B$72))/12</f>
        <v>810.004219617458</v>
      </c>
      <c r="D260" s="48" t="n">
        <f aca="false">(INDEX($E$12:$E$72,13+1)*SUMPRODUCT(($A$12:$A$72&gt;=13)*K$12:K$72*$B$5*$C$12:$C$72*$B$12:$B$72)/(1+Assumptions!$B$10)^13)/(SUMPRODUCT(($A$12:$A$72&lt;13)*K$12:K$72*$E$12:$E$72*$B$12:$B$72))/12</f>
        <v>689.457617809715</v>
      </c>
      <c r="E260" s="48" t="n">
        <f aca="false">(INDEX($E$12:$E$72,14+1)*SUMPRODUCT(($A$12:$A$72&gt;=14)*K$12:K$72*$B$5*$C$12:$C$72*$B$12:$B$72)/(1+Assumptions!$B$10)^14)/(SUMPRODUCT(($A$12:$A$72&lt;14)*K$12:K$72*$E$12:$E$72*$B$12:$B$72))/12</f>
        <v>588.407089209853</v>
      </c>
      <c r="F260" s="48" t="n">
        <f aca="false">(INDEX($E$12:$E$72,15+1)*SUMPRODUCT(($A$12:$A$72&gt;=15)*K$12:K$72*$B$5*$C$12:$C$72*$B$12:$B$72)/(1+Assumptions!$B$10)^15)/(SUMPRODUCT(($A$12:$A$72&lt;15)*K$12:K$72*$E$12:$E$72*$B$12:$B$72))/12</f>
        <v>502.880602714632</v>
      </c>
      <c r="G260" s="48" t="n">
        <f aca="false">(INDEX($E$12:$E$72,16+1)*SUMPRODUCT(($A$12:$A$72&gt;=16)*K$12:K$72*$B$5*$C$12:$C$72*$B$12:$B$72)/(1+Assumptions!$B$10)^16)/(SUMPRODUCT(($A$12:$A$72&lt;16)*K$12:K$72*$E$12:$E$72*$B$12:$B$72))/12</f>
        <v>430.110287948043</v>
      </c>
      <c r="H260" s="48" t="n">
        <f aca="false">(INDEX($E$12:$E$72,17+1)*SUMPRODUCT(($A$12:$A$72&gt;=17)*K$12:K$72*$B$5*$C$12:$C$72*$B$12:$B$72)/(1+Assumptions!$B$10)^17)/(SUMPRODUCT(($A$12:$A$72&lt;17)*K$12:K$72*$E$12:$E$72*$B$12:$B$72))/12</f>
        <v>367.768847806325</v>
      </c>
      <c r="I260" s="48" t="n">
        <f aca="false">(INDEX($E$12:$E$72,18+1)*SUMPRODUCT(($A$12:$A$72&gt;=18)*K$12:K$72*$B$5*$C$12:$C$72*$B$12:$B$72)/(1+Assumptions!$B$10)^18)/(SUMPRODUCT(($A$12:$A$72&lt;18)*K$12:K$72*$E$12:$E$72*$B$12:$B$72))/12</f>
        <v>314.0719994787</v>
      </c>
      <c r="J260" s="48" t="n">
        <f aca="false">(INDEX($E$12:$E$72,19+1)*SUMPRODUCT(($A$12:$A$72&gt;=19)*K$12:K$72*$B$5*$C$12:$C$72*$B$12:$B$72)/(1+Assumptions!$B$10)^19)/(SUMPRODUCT(($A$12:$A$72&lt;19)*K$12:K$72*$E$12:$E$72*$B$12:$B$72))/12</f>
        <v>267.626525276248</v>
      </c>
      <c r="K260" s="48" t="n">
        <f aca="false">(INDEX($E$12:$E$72,20+1)*SUMPRODUCT(($A$12:$A$72&gt;=20)*K$12:K$72*$B$5*$C$12:$C$72*$B$12:$B$72)/(1+Assumptions!$B$10)^20)/(SUMPRODUCT(($A$12:$A$72&lt;20)*K$12:K$72*$E$12:$E$72*$B$12:$B$72))/12</f>
        <v>227.333503284915</v>
      </c>
      <c r="L260" s="48" t="n">
        <f aca="false">(INDEX($E$12:$E$72,21+1)*SUMPRODUCT(($A$12:$A$72&gt;=21)*K$12:K$72*$B$5*$C$12:$C$72*$B$12:$B$72)/(1+Assumptions!$B$10)^21)/(SUMPRODUCT(($A$12:$A$72&lt;21)*K$12:K$72*$E$12:$E$72*$B$12:$B$72))/12</f>
        <v>192.326775515791</v>
      </c>
      <c r="M260" s="48" t="n">
        <f aca="false">(INDEX($E$12:$E$72,22+1)*SUMPRODUCT(($A$12:$A$72&gt;=22)*K$12:K$72*$B$5*$C$12:$C$72*$B$12:$B$72)/(1+Assumptions!$B$10)^22)/(SUMPRODUCT(($A$12:$A$72&lt;22)*K$12:K$72*$E$12:$E$72*$B$12:$B$72))/12</f>
        <v>161.906157351555</v>
      </c>
      <c r="N260" s="48" t="n">
        <f aca="false">(INDEX($E$12:$E$72,23+1)*SUMPRODUCT(($A$12:$A$72&gt;=23)*K$12:K$72*$B$5*$C$12:$C$72*$B$12:$B$72)/(1+Assumptions!$B$10)^23)/(SUMPRODUCT(($A$12:$A$72&lt;23)*K$12:K$72*$E$12:$E$72*$B$12:$B$72))/12</f>
        <v>135.524887441782</v>
      </c>
      <c r="O260" s="48" t="n">
        <f aca="false">(INDEX($E$12:$E$72,24+1)*SUMPRODUCT(($A$12:$A$72&gt;=24)*K$12:K$72*$B$5*$C$12:$C$72*$B$12:$B$72)/(1+Assumptions!$B$10)^24)/(SUMPRODUCT(($A$12:$A$72&lt;24)*K$12:K$72*$E$12:$E$72*$B$12:$B$72))/12</f>
        <v>112.701784847663</v>
      </c>
      <c r="P260" s="48" t="n">
        <f aca="false">(INDEX($E$12:$E$72,25+1)*SUMPRODUCT(($A$12:$A$72&gt;=25)*K$12:K$72*$B$5*$C$12:$C$72*$B$12:$B$72)/(1+Assumptions!$B$10)^25)/(SUMPRODUCT(($A$12:$A$72&lt;25)*K$12:K$72*$E$12:$E$72*$B$12:$B$72))/12</f>
        <v>93.0321764545668</v>
      </c>
      <c r="Q260" s="48" t="n">
        <f aca="false">(INDEX($E$12:$E$72,26+1)*SUMPRODUCT(($A$12:$A$72&gt;=26)*K$12:K$72*$B$5*$C$12:$C$72*$B$12:$B$72)/(1+Assumptions!$B$10)^26)/(SUMPRODUCT(($A$12:$A$72&lt;26)*K$12:K$72*$E$12:$E$72*$B$12:$B$72))/12</f>
        <v>76.160371292148</v>
      </c>
    </row>
    <row r="261" customFormat="false" ht="15" hidden="false" customHeight="true" outlineLevel="0" collapsed="false">
      <c r="A261" s="3" t="n">
        <v>65</v>
      </c>
      <c r="B261" s="48" t="n">
        <f aca="false">(INDEX($E$12:$E$72,10+1)*SUMPRODUCT(($A$12:$A$72&gt;=10)*L$12:L$72*$B$5*$C$12:$C$72*$B$12:$B$72)/(1+Assumptions!$B$10)^10)/(SUMPRODUCT(($A$12:$A$72&lt;10)*L$12:L$72*$E$12:$E$72*$B$12:$B$72))/12</f>
        <v>1072.85706273985</v>
      </c>
      <c r="C261" s="48" t="n">
        <f aca="false">(INDEX($E$12:$E$72,11+1)*SUMPRODUCT(($A$12:$A$72&gt;=11)*L$12:L$72*$B$5*$C$12:$C$72*$B$12:$B$72)/(1+Assumptions!$B$10)^11)/(SUMPRODUCT(($A$12:$A$72&lt;11)*L$12:L$72*$E$12:$E$72*$B$12:$B$72))/12</f>
        <v>902.11135747026</v>
      </c>
      <c r="D261" s="48" t="n">
        <f aca="false">(INDEX($E$12:$E$72,12+1)*SUMPRODUCT(($A$12:$A$72&gt;=12)*L$12:L$72*$B$5*$C$12:$C$72*$B$12:$B$72)/(1+Assumptions!$B$10)^12)/(SUMPRODUCT(($A$12:$A$72&lt;12)*L$12:L$72*$E$12:$E$72*$B$12:$B$72))/12</f>
        <v>762.294078544636</v>
      </c>
      <c r="E261" s="48" t="n">
        <f aca="false">(INDEX($E$12:$E$72,13+1)*SUMPRODUCT(($A$12:$A$72&gt;=13)*L$12:L$72*$B$5*$C$12:$C$72*$B$12:$B$72)/(1+Assumptions!$B$10)^13)/(SUMPRODUCT(($A$12:$A$72&lt;13)*L$12:L$72*$E$12:$E$72*$B$12:$B$72))/12</f>
        <v>646.549249158776</v>
      </c>
      <c r="F261" s="48" t="n">
        <f aca="false">(INDEX($E$12:$E$72,14+1)*SUMPRODUCT(($A$12:$A$72&gt;=14)*L$12:L$72*$B$5*$C$12:$C$72*$B$12:$B$72)/(1+Assumptions!$B$10)^14)/(SUMPRODUCT(($A$12:$A$72&lt;14)*L$12:L$72*$E$12:$E$72*$B$12:$B$72))/12</f>
        <v>549.651562731422</v>
      </c>
      <c r="G261" s="48" t="n">
        <f aca="false">(INDEX($E$12:$E$72,15+1)*SUMPRODUCT(($A$12:$A$72&gt;=15)*L$12:L$72*$B$5*$C$12:$C$72*$B$12:$B$72)/(1+Assumptions!$B$10)^15)/(SUMPRODUCT(($A$12:$A$72&lt;15)*L$12:L$72*$E$12:$E$72*$B$12:$B$72))/12</f>
        <v>467.766359292484</v>
      </c>
      <c r="H261" s="48" t="n">
        <f aca="false">(INDEX($E$12:$E$72,16+1)*SUMPRODUCT(($A$12:$A$72&gt;=16)*L$12:L$72*$B$5*$C$12:$C$72*$B$12:$B$72)/(1+Assumptions!$B$10)^16)/(SUMPRODUCT(($A$12:$A$72&lt;16)*L$12:L$72*$E$12:$E$72*$B$12:$B$72))/12</f>
        <v>398.220705962161</v>
      </c>
      <c r="I261" s="48" t="n">
        <f aca="false">(INDEX($E$12:$E$72,17+1)*SUMPRODUCT(($A$12:$A$72&gt;=17)*L$12:L$72*$B$5*$C$12:$C$72*$B$12:$B$72)/(1+Assumptions!$B$10)^17)/(SUMPRODUCT(($A$12:$A$72&lt;17)*L$12:L$72*$E$12:$E$72*$B$12:$B$72))/12</f>
        <v>338.809836484911</v>
      </c>
      <c r="J261" s="48" t="n">
        <f aca="false">(INDEX($E$12:$E$72,18+1)*SUMPRODUCT(($A$12:$A$72&gt;=18)*L$12:L$72*$B$5*$C$12:$C$72*$B$12:$B$72)/(1+Assumptions!$B$10)^18)/(SUMPRODUCT(($A$12:$A$72&lt;18)*L$12:L$72*$E$12:$E$72*$B$12:$B$72))/12</f>
        <v>287.763587597678</v>
      </c>
      <c r="K261" s="48" t="n">
        <f aca="false">(INDEX($E$12:$E$72,19+1)*SUMPRODUCT(($A$12:$A$72&gt;=19)*L$12:L$72*$B$5*$C$12:$C$72*$B$12:$B$72)/(1+Assumptions!$B$10)^19)/(SUMPRODUCT(($A$12:$A$72&lt;19)*L$12:L$72*$E$12:$E$72*$B$12:$B$72))/12</f>
        <v>243.736931429245</v>
      </c>
      <c r="L261" s="48" t="n">
        <f aca="false">(INDEX($E$12:$E$72,20+1)*SUMPRODUCT(($A$12:$A$72&gt;=20)*L$12:L$72*$B$5*$C$12:$C$72*$B$12:$B$72)/(1+Assumptions!$B$10)^20)/(SUMPRODUCT(($A$12:$A$72&lt;20)*L$12:L$72*$E$12:$E$72*$B$12:$B$72))/12</f>
        <v>205.668233996279</v>
      </c>
      <c r="M261" s="48" t="n">
        <f aca="false">(INDEX($E$12:$E$72,21+1)*SUMPRODUCT(($A$12:$A$72&gt;=21)*L$12:L$72*$B$5*$C$12:$C$72*$B$12:$B$72)/(1+Assumptions!$B$10)^21)/(SUMPRODUCT(($A$12:$A$72&lt;21)*L$12:L$72*$E$12:$E$72*$B$12:$B$72))/12</f>
        <v>172.719611760771</v>
      </c>
      <c r="N261" s="48" t="n">
        <f aca="false">(INDEX($E$12:$E$72,22+1)*SUMPRODUCT(($A$12:$A$72&gt;=22)*L$12:L$72*$B$5*$C$12:$C$72*$B$12:$B$72)/(1+Assumptions!$B$10)^22)/(SUMPRODUCT(($A$12:$A$72&lt;22)*L$12:L$72*$E$12:$E$72*$B$12:$B$72))/12</f>
        <v>144.25089733634</v>
      </c>
      <c r="O261" s="48" t="n">
        <f aca="false">(INDEX($E$12:$E$72,23+1)*SUMPRODUCT(($A$12:$A$72&gt;=23)*L$12:L$72*$B$5*$C$12:$C$72*$B$12:$B$72)/(1+Assumptions!$B$10)^23)/(SUMPRODUCT(($A$12:$A$72&lt;23)*L$12:L$72*$E$12:$E$72*$B$12:$B$72))/12</f>
        <v>119.704271093345</v>
      </c>
      <c r="P261" s="48" t="n">
        <f aca="false">(INDEX($E$12:$E$72,24+1)*SUMPRODUCT(($A$12:$A$72&gt;=24)*L$12:L$72*$B$5*$C$12:$C$72*$B$12:$B$72)/(1+Assumptions!$B$10)^24)/(SUMPRODUCT(($A$12:$A$72&lt;24)*L$12:L$72*$E$12:$E$72*$B$12:$B$72))/12</f>
        <v>98.6101776786202</v>
      </c>
      <c r="Q261" s="48" t="n">
        <f aca="false">(INDEX($E$12:$E$72,25+1)*SUMPRODUCT(($A$12:$A$72&gt;=25)*L$12:L$72*$B$5*$C$12:$C$72*$B$12:$B$72)/(1+Assumptions!$B$10)^25)/(SUMPRODUCT(($A$12:$A$72&lt;25)*L$12:L$72*$E$12:$E$72*$B$12:$B$72))/12</f>
        <v>80.5714148897399</v>
      </c>
    </row>
    <row r="262" customFormat="false" ht="15" hidden="false" customHeight="true" outlineLevel="0" collapsed="false">
      <c r="A262" s="3" t="n">
        <v>66</v>
      </c>
      <c r="B262" s="48" t="n">
        <f aca="false">(INDEX($E$12:$E$72,9+1)*SUMPRODUCT(($A$12:$A$72&gt;=9)*M$12:M$72*$B$5*$C$12:$C$72*$B$12:$B$72)/(1+Assumptions!$B$10)^9)/(SUMPRODUCT(($A$12:$A$72&lt;9)*M$12:M$72*$E$12:$E$72*$B$12:$B$72))/12</f>
        <v>1217.42044564675</v>
      </c>
      <c r="C262" s="48" t="n">
        <f aca="false">(INDEX($E$12:$E$72,10+1)*SUMPRODUCT(($A$12:$A$72&gt;=10)*M$12:M$72*$B$5*$C$12:$C$72*$B$12:$B$72)/(1+Assumptions!$B$10)^10)/(SUMPRODUCT(($A$12:$A$72&lt;10)*M$12:M$72*$E$12:$E$72*$B$12:$B$72))/12</f>
        <v>1013.18274543382</v>
      </c>
      <c r="D262" s="48" t="n">
        <f aca="false">(INDEX($E$12:$E$72,11+1)*SUMPRODUCT(($A$12:$A$72&gt;=11)*M$12:M$72*$B$5*$C$12:$C$72*$B$12:$B$72)/(1+Assumptions!$B$10)^11)/(SUMPRODUCT(($A$12:$A$72&lt;11)*M$12:M$72*$E$12:$E$72*$B$12:$B$72))/12</f>
        <v>849.176381790577</v>
      </c>
      <c r="E262" s="48" t="n">
        <f aca="false">(INDEX($E$12:$E$72,12+1)*SUMPRODUCT(($A$12:$A$72&gt;=12)*M$12:M$72*$B$5*$C$12:$C$72*$B$12:$B$72)/(1+Assumptions!$B$10)^12)/(SUMPRODUCT(($A$12:$A$72&lt;12)*M$12:M$72*$E$12:$E$72*$B$12:$B$72))/12</f>
        <v>715.019688238408</v>
      </c>
      <c r="F262" s="48" t="n">
        <f aca="false">(INDEX($E$12:$E$72,13+1)*SUMPRODUCT(($A$12:$A$72&gt;=13)*M$12:M$72*$B$5*$C$12:$C$72*$B$12:$B$72)/(1+Assumptions!$B$10)^13)/(SUMPRODUCT(($A$12:$A$72&lt;13)*M$12:M$72*$E$12:$E$72*$B$12:$B$72))/12</f>
        <v>604.102158359759</v>
      </c>
      <c r="G262" s="48" t="n">
        <f aca="false">(INDEX($E$12:$E$72,14+1)*SUMPRODUCT(($A$12:$A$72&gt;=14)*M$12:M$72*$B$5*$C$12:$C$72*$B$12:$B$72)/(1+Assumptions!$B$10)^14)/(SUMPRODUCT(($A$12:$A$72&lt;14)*M$12:M$72*$E$12:$E$72*$B$12:$B$72))/12</f>
        <v>511.38528621576</v>
      </c>
      <c r="H262" s="48" t="n">
        <f aca="false">(INDEX($E$12:$E$72,15+1)*SUMPRODUCT(($A$12:$A$72&gt;=15)*M$12:M$72*$B$5*$C$12:$C$72*$B$12:$B$72)/(1+Assumptions!$B$10)^15)/(SUMPRODUCT(($A$12:$A$72&lt;15)*M$12:M$72*$E$12:$E$72*$B$12:$B$72))/12</f>
        <v>433.171179926049</v>
      </c>
      <c r="I262" s="48" t="n">
        <f aca="false">(INDEX($E$12:$E$72,16+1)*SUMPRODUCT(($A$12:$A$72&gt;=16)*M$12:M$72*$B$5*$C$12:$C$72*$B$12:$B$72)/(1+Assumptions!$B$10)^16)/(SUMPRODUCT(($A$12:$A$72&lt;16)*M$12:M$72*$E$12:$E$72*$B$12:$B$72))/12</f>
        <v>366.929402158694</v>
      </c>
      <c r="J262" s="48" t="n">
        <f aca="false">(INDEX($E$12:$E$72,17+1)*SUMPRODUCT(($A$12:$A$72&gt;=17)*M$12:M$72*$B$5*$C$12:$C$72*$B$12:$B$72)/(1+Assumptions!$B$10)^17)/(SUMPRODUCT(($A$12:$A$72&lt;17)*M$12:M$72*$E$12:$E$72*$B$12:$B$72))/12</f>
        <v>310.479123598294</v>
      </c>
      <c r="K262" s="48" t="n">
        <f aca="false">(INDEX($E$12:$E$72,18+1)*SUMPRODUCT(($A$12:$A$72&gt;=18)*M$12:M$72*$B$5*$C$12:$C$72*$B$12:$B$72)/(1+Assumptions!$B$10)^18)/(SUMPRODUCT(($A$12:$A$72&lt;18)*M$12:M$72*$E$12:$E$72*$B$12:$B$72))/12</f>
        <v>262.113958271419</v>
      </c>
      <c r="L262" s="48" t="n">
        <f aca="false">(INDEX($E$12:$E$72,19+1)*SUMPRODUCT(($A$12:$A$72&gt;=19)*M$12:M$72*$B$5*$C$12:$C$72*$B$12:$B$72)/(1+Assumptions!$B$10)^19)/(SUMPRODUCT(($A$12:$A$72&lt;19)*M$12:M$72*$E$12:$E$72*$B$12:$B$72))/12</f>
        <v>220.536353938019</v>
      </c>
      <c r="M262" s="48" t="n">
        <f aca="false">(INDEX($E$12:$E$72,20+1)*SUMPRODUCT(($A$12:$A$72&gt;=20)*M$12:M$72*$B$5*$C$12:$C$72*$B$12:$B$72)/(1+Assumptions!$B$10)^20)/(SUMPRODUCT(($A$12:$A$72&lt;20)*M$12:M$72*$E$12:$E$72*$B$12:$B$72))/12</f>
        <v>184.721155612835</v>
      </c>
      <c r="N262" s="48" t="n">
        <f aca="false">(INDEX($E$12:$E$72,21+1)*SUMPRODUCT(($A$12:$A$72&gt;=21)*M$12:M$72*$B$5*$C$12:$C$72*$B$12:$B$72)/(1+Assumptions!$B$10)^21)/(SUMPRODUCT(($A$12:$A$72&lt;21)*M$12:M$72*$E$12:$E$72*$B$12:$B$72))/12</f>
        <v>153.900145962564</v>
      </c>
      <c r="O262" s="48" t="n">
        <f aca="false">(INDEX($E$12:$E$72,22+1)*SUMPRODUCT(($A$12:$A$72&gt;=22)*M$12:M$72*$B$5*$C$12:$C$72*$B$12:$B$72)/(1+Assumptions!$B$10)^22)/(SUMPRODUCT(($A$12:$A$72&lt;22)*M$12:M$72*$E$12:$E$72*$B$12:$B$72))/12</f>
        <v>127.422094856399</v>
      </c>
      <c r="P262" s="48" t="n">
        <f aca="false">(INDEX($E$12:$E$72,23+1)*SUMPRODUCT(($A$12:$A$72&gt;=23)*M$12:M$72*$B$5*$C$12:$C$72*$B$12:$B$72)/(1+Assumptions!$B$10)^23)/(SUMPRODUCT(($A$12:$A$72&lt;23)*M$12:M$72*$E$12:$E$72*$B$12:$B$72))/12</f>
        <v>104.743798075763</v>
      </c>
      <c r="Q262" s="48" t="n">
        <f aca="false">(INDEX($E$12:$E$72,24+1)*SUMPRODUCT(($A$12:$A$72&gt;=24)*M$12:M$72*$B$5*$C$12:$C$72*$B$12:$B$72)/(1+Assumptions!$B$10)^24)/(SUMPRODUCT(($A$12:$A$72&lt;24)*M$12:M$72*$E$12:$E$72*$B$12:$B$72))/12</f>
        <v>85.4057236126016</v>
      </c>
    </row>
    <row r="263" customFormat="false" ht="15" hidden="false" customHeight="true" outlineLevel="0" collapsed="false">
      <c r="A263" s="3" t="n">
        <v>67</v>
      </c>
      <c r="B263" s="48" t="n">
        <f aca="false">(INDEX($E$12:$E$72,8+1)*SUMPRODUCT(($A$12:$A$72&gt;=8)*N$12:N$72*$B$5*$C$12:$C$72*$B$12:$B$72)/(1+Assumptions!$B$10)^8)/(SUMPRODUCT(($A$12:$A$72&lt;8)*N$12:N$72*$E$12:$E$72*$B$12:$B$72))/12</f>
        <v>1398.91456971884</v>
      </c>
      <c r="C263" s="48" t="n">
        <f aca="false">(INDEX($E$12:$E$72,9+1)*SUMPRODUCT(($A$12:$A$72&gt;=9)*N$12:N$72*$B$5*$C$12:$C$72*$B$12:$B$72)/(1+Assumptions!$B$10)^9)/(SUMPRODUCT(($A$12:$A$72&lt;9)*N$12:N$72*$E$12:$E$72*$B$12:$B$72))/12</f>
        <v>1149.98638546965</v>
      </c>
      <c r="D263" s="48" t="n">
        <f aca="false">(INDEX($E$12:$E$72,10+1)*SUMPRODUCT(($A$12:$A$72&gt;=10)*N$12:N$72*$B$5*$C$12:$C$72*$B$12:$B$72)/(1+Assumptions!$B$10)^10)/(SUMPRODUCT(($A$12:$A$72&lt;10)*N$12:N$72*$E$12:$E$72*$B$12:$B$72))/12</f>
        <v>953.970324923411</v>
      </c>
      <c r="E263" s="48" t="n">
        <f aca="false">(INDEX($E$12:$E$72,11+1)*SUMPRODUCT(($A$12:$A$72&gt;=11)*N$12:N$72*$B$5*$C$12:$C$72*$B$12:$B$72)/(1+Assumptions!$B$10)^11)/(SUMPRODUCT(($A$12:$A$72&lt;11)*N$12:N$72*$E$12:$E$72*$B$12:$B$72))/12</f>
        <v>796.724973199416</v>
      </c>
      <c r="F263" s="48" t="n">
        <f aca="false">(INDEX($E$12:$E$72,12+1)*SUMPRODUCT(($A$12:$A$72&gt;=12)*N$12:N$72*$B$5*$C$12:$C$72*$B$12:$B$72)/(1+Assumptions!$B$10)^12)/(SUMPRODUCT(($A$12:$A$72&lt;12)*N$12:N$72*$E$12:$E$72*$B$12:$B$72))/12</f>
        <v>668.254237651109</v>
      </c>
      <c r="G263" s="48" t="n">
        <f aca="false">(INDEX($E$12:$E$72,13+1)*SUMPRODUCT(($A$12:$A$72&gt;=13)*N$12:N$72*$B$5*$C$12:$C$72*$B$12:$B$72)/(1+Assumptions!$B$10)^13)/(SUMPRODUCT(($A$12:$A$72&lt;13)*N$12:N$72*$E$12:$E$72*$B$12:$B$72))/12</f>
        <v>562.192004432244</v>
      </c>
      <c r="H263" s="48" t="n">
        <f aca="false">(INDEX($E$12:$E$72,14+1)*SUMPRODUCT(($A$12:$A$72&gt;=14)*N$12:N$72*$B$5*$C$12:$C$72*$B$12:$B$72)/(1+Assumptions!$B$10)^14)/(SUMPRODUCT(($A$12:$A$72&lt;14)*N$12:N$72*$E$12:$E$72*$B$12:$B$72))/12</f>
        <v>473.685895230811</v>
      </c>
      <c r="I263" s="48" t="n">
        <f aca="false">(INDEX($E$12:$E$72,15+1)*SUMPRODUCT(($A$12:$A$72&gt;=15)*N$12:N$72*$B$5*$C$12:$C$72*$B$12:$B$72)/(1+Assumptions!$B$10)^15)/(SUMPRODUCT(($A$12:$A$72&lt;15)*N$12:N$72*$E$12:$E$72*$B$12:$B$72))/12</f>
        <v>399.229401643666</v>
      </c>
      <c r="J263" s="48" t="n">
        <f aca="false">(INDEX($E$12:$E$72,16+1)*SUMPRODUCT(($A$12:$A$72&gt;=16)*N$12:N$72*$B$5*$C$12:$C$72*$B$12:$B$72)/(1+Assumptions!$B$10)^16)/(SUMPRODUCT(($A$12:$A$72&lt;16)*N$12:N$72*$E$12:$E$72*$B$12:$B$72))/12</f>
        <v>336.321201141193</v>
      </c>
      <c r="K263" s="48" t="n">
        <f aca="false">(INDEX($E$12:$E$72,17+1)*SUMPRODUCT(($A$12:$A$72&gt;=17)*N$12:N$72*$B$5*$C$12:$C$72*$B$12:$B$72)/(1+Assumptions!$B$10)^17)/(SUMPRODUCT(($A$12:$A$72&lt;17)*N$12:N$72*$E$12:$E$72*$B$12:$B$72))/12</f>
        <v>282.86177374386</v>
      </c>
      <c r="L263" s="48" t="n">
        <f aca="false">(INDEX($E$12:$E$72,18+1)*SUMPRODUCT(($A$12:$A$72&gt;=18)*N$12:N$72*$B$5*$C$12:$C$72*$B$12:$B$72)/(1+Assumptions!$B$10)^18)/(SUMPRODUCT(($A$12:$A$72&lt;18)*N$12:N$72*$E$12:$E$72*$B$12:$B$72))/12</f>
        <v>237.207774044656</v>
      </c>
      <c r="M263" s="48" t="n">
        <f aca="false">(INDEX($E$12:$E$72,19+1)*SUMPRODUCT(($A$12:$A$72&gt;=19)*N$12:N$72*$B$5*$C$12:$C$72*$B$12:$B$72)/(1+Assumptions!$B$10)^19)/(SUMPRODUCT(($A$12:$A$72&lt;19)*N$12:N$72*$E$12:$E$72*$B$12:$B$72))/12</f>
        <v>198.108260692954</v>
      </c>
      <c r="N263" s="48" t="n">
        <f aca="false">(INDEX($E$12:$E$72,20+1)*SUMPRODUCT(($A$12:$A$72&gt;=20)*N$12:N$72*$B$5*$C$12:$C$72*$B$12:$B$72)/(1+Assumptions!$B$10)^20)/(SUMPRODUCT(($A$12:$A$72&lt;20)*N$12:N$72*$E$12:$E$72*$B$12:$B$72))/12</f>
        <v>164.62035670453</v>
      </c>
      <c r="O263" s="48" t="n">
        <f aca="false">(INDEX($E$12:$E$72,21+1)*SUMPRODUCT(($A$12:$A$72&gt;=21)*N$12:N$72*$B$5*$C$12:$C$72*$B$12:$B$72)/(1+Assumptions!$B$10)^21)/(SUMPRODUCT(($A$12:$A$72&lt;21)*N$12:N$72*$E$12:$E$72*$B$12:$B$72))/12</f>
        <v>135.9658910113</v>
      </c>
      <c r="P263" s="48" t="n">
        <f aca="false">(INDEX($E$12:$E$72,22+1)*SUMPRODUCT(($A$12:$A$72&gt;=22)*N$12:N$72*$B$5*$C$12:$C$72*$B$12:$B$72)/(1+Assumptions!$B$10)^22)/(SUMPRODUCT(($A$12:$A$72&lt;22)*N$12:N$72*$E$12:$E$72*$B$12:$B$72))/12</f>
        <v>111.512090209339</v>
      </c>
      <c r="Q263" s="48" t="n">
        <f aca="false">(INDEX($E$12:$E$72,23+1)*SUMPRODUCT(($A$12:$A$72&gt;=23)*N$12:N$72*$B$5*$C$12:$C$72*$B$12:$B$72)/(1+Assumptions!$B$10)^23)/(SUMPRODUCT(($A$12:$A$72&lt;23)*N$12:N$72*$E$12:$E$72*$B$12:$B$72))/12</f>
        <v>90.7286890921895</v>
      </c>
    </row>
    <row r="264" customFormat="false" ht="15" hidden="false" customHeight="true" outlineLevel="0" collapsed="false">
      <c r="A264" s="3" t="n">
        <v>68</v>
      </c>
      <c r="B264" s="48" t="n">
        <f aca="false">(INDEX($E$12:$E$72,7+1)*SUMPRODUCT(($A$12:$A$72&gt;=7)*O$12:O$72*$B$5*$C$12:$C$72*$B$12:$B$72)/(1+Assumptions!$B$10)^7)/(SUMPRODUCT(($A$12:$A$72&lt;7)*O$12:O$72*$E$12:$E$72*$B$12:$B$72))/12</f>
        <v>1632.93932864291</v>
      </c>
      <c r="C264" s="48" t="n">
        <f aca="false">(INDEX($E$12:$E$72,8+1)*SUMPRODUCT(($A$12:$A$72&gt;=8)*O$12:O$72*$B$5*$C$12:$C$72*$B$12:$B$72)/(1+Assumptions!$B$10)^8)/(SUMPRODUCT(($A$12:$A$72&lt;8)*O$12:O$72*$E$12:$E$72*$B$12:$B$72))/12</f>
        <v>1321.80570725694</v>
      </c>
      <c r="D264" s="48" t="n">
        <f aca="false">(INDEX($E$12:$E$72,9+1)*SUMPRODUCT(($A$12:$A$72&gt;=9)*O$12:O$72*$B$5*$C$12:$C$72*$B$12:$B$72)/(1+Assumptions!$B$10)^9)/(SUMPRODUCT(($A$12:$A$72&lt;9)*O$12:O$72*$E$12:$E$72*$B$12:$B$72))/12</f>
        <v>1083.10930585719</v>
      </c>
      <c r="E264" s="48" t="n">
        <f aca="false">(INDEX($E$12:$E$72,10+1)*SUMPRODUCT(($A$12:$A$72&gt;=10)*O$12:O$72*$B$5*$C$12:$C$72*$B$12:$B$72)/(1+Assumptions!$B$10)^10)/(SUMPRODUCT(($A$12:$A$72&lt;10)*O$12:O$72*$E$12:$E$72*$B$12:$B$72))/12</f>
        <v>895.326647829317</v>
      </c>
      <c r="F264" s="48" t="n">
        <f aca="false">(INDEX($E$12:$E$72,11+1)*SUMPRODUCT(($A$12:$A$72&gt;=11)*O$12:O$72*$B$5*$C$12:$C$72*$B$12:$B$72)/(1+Assumptions!$B$10)^11)/(SUMPRODUCT(($A$12:$A$72&lt;11)*O$12:O$72*$E$12:$E$72*$B$12:$B$72))/12</f>
        <v>744.860443470433</v>
      </c>
      <c r="G264" s="48" t="n">
        <f aca="false">(INDEX($E$12:$E$72,12+1)*SUMPRODUCT(($A$12:$A$72&gt;=12)*O$12:O$72*$B$5*$C$12:$C$72*$B$12:$B$72)/(1+Assumptions!$B$10)^12)/(SUMPRODUCT(($A$12:$A$72&lt;12)*O$12:O$72*$E$12:$E$72*$B$12:$B$72))/12</f>
        <v>622.098405724133</v>
      </c>
      <c r="H264" s="48" t="n">
        <f aca="false">(INDEX($E$12:$E$72,13+1)*SUMPRODUCT(($A$12:$A$72&gt;=13)*O$12:O$72*$B$5*$C$12:$C$72*$B$12:$B$72)/(1+Assumptions!$B$10)^13)/(SUMPRODUCT(($A$12:$A$72&lt;13)*O$12:O$72*$E$12:$E$72*$B$12:$B$72))/12</f>
        <v>520.917458541417</v>
      </c>
      <c r="I264" s="48" t="n">
        <f aca="false">(INDEX($E$12:$E$72,14+1)*SUMPRODUCT(($A$12:$A$72&gt;=14)*O$12:O$72*$B$5*$C$12:$C$72*$B$12:$B$72)/(1+Assumptions!$B$10)^14)/(SUMPRODUCT(($A$12:$A$72&lt;14)*O$12:O$72*$E$12:$E$72*$B$12:$B$72))/12</f>
        <v>436.713892440133</v>
      </c>
      <c r="J264" s="48" t="n">
        <f aca="false">(INDEX($E$12:$E$72,15+1)*SUMPRODUCT(($A$12:$A$72&gt;=15)*O$12:O$72*$B$5*$C$12:$C$72*$B$12:$B$72)/(1+Assumptions!$B$10)^15)/(SUMPRODUCT(($A$12:$A$72&lt;15)*O$12:O$72*$E$12:$E$72*$B$12:$B$72))/12</f>
        <v>366.041595529858</v>
      </c>
      <c r="K264" s="48" t="n">
        <f aca="false">(INDEX($E$12:$E$72,16+1)*SUMPRODUCT(($A$12:$A$72&gt;=16)*O$12:O$72*$B$5*$C$12:$C$72*$B$12:$B$72)/(1+Assumptions!$B$10)^16)/(SUMPRODUCT(($A$12:$A$72&lt;16)*O$12:O$72*$E$12:$E$72*$B$12:$B$72))/12</f>
        <v>306.494793520855</v>
      </c>
      <c r="L264" s="48" t="n">
        <f aca="false">(INDEX($E$12:$E$72,17+1)*SUMPRODUCT(($A$12:$A$72&gt;=17)*O$12:O$72*$B$5*$C$12:$C$72*$B$12:$B$72)/(1+Assumptions!$B$10)^17)/(SUMPRODUCT(($A$12:$A$72&lt;17)*O$12:O$72*$E$12:$E$72*$B$12:$B$72))/12</f>
        <v>256.05430875867</v>
      </c>
      <c r="M264" s="48" t="n">
        <f aca="false">(INDEX($E$12:$E$72,18+1)*SUMPRODUCT(($A$12:$A$72&gt;=18)*O$12:O$72*$B$5*$C$12:$C$72*$B$12:$B$72)/(1+Assumptions!$B$10)^18)/(SUMPRODUCT(($A$12:$A$72&lt;18)*O$12:O$72*$E$12:$E$72*$B$12:$B$72))/12</f>
        <v>213.138860054404</v>
      </c>
      <c r="N264" s="48" t="n">
        <f aca="false">(INDEX($E$12:$E$72,19+1)*SUMPRODUCT(($A$12:$A$72&gt;=19)*O$12:O$72*$B$5*$C$12:$C$72*$B$12:$B$72)/(1+Assumptions!$B$10)^19)/(SUMPRODUCT(($A$12:$A$72&lt;19)*O$12:O$72*$E$12:$E$72*$B$12:$B$72))/12</f>
        <v>176.594924200034</v>
      </c>
      <c r="O264" s="48" t="n">
        <f aca="false">(INDEX($E$12:$E$72,20+1)*SUMPRODUCT(($A$12:$A$72&gt;=20)*O$12:O$72*$B$5*$C$12:$C$72*$B$12:$B$72)/(1+Assumptions!$B$10)^20)/(SUMPRODUCT(($A$12:$A$72&lt;20)*O$12:O$72*$E$12:$E$72*$B$12:$B$72))/12</f>
        <v>145.472295603529</v>
      </c>
      <c r="P264" s="48" t="n">
        <f aca="false">(INDEX($E$12:$E$72,21+1)*SUMPRODUCT(($A$12:$A$72&gt;=21)*O$12:O$72*$B$5*$C$12:$C$72*$B$12:$B$72)/(1+Assumptions!$B$10)^21)/(SUMPRODUCT(($A$12:$A$72&lt;21)*O$12:O$72*$E$12:$E$72*$B$12:$B$72))/12</f>
        <v>119.01690677087</v>
      </c>
      <c r="Q264" s="48" t="n">
        <f aca="false">(INDEX($E$12:$E$72,22+1)*SUMPRODUCT(($A$12:$A$72&gt;=22)*O$12:O$72*$B$5*$C$12:$C$72*$B$12:$B$72)/(1+Assumptions!$B$10)^22)/(SUMPRODUCT(($A$12:$A$72&lt;22)*O$12:O$72*$E$12:$E$72*$B$12:$B$72))/12</f>
        <v>96.612659597708</v>
      </c>
    </row>
    <row r="265" customFormat="false" ht="15" hidden="false" customHeight="true" outlineLevel="0" collapsed="false">
      <c r="A265" s="3" t="n">
        <v>69</v>
      </c>
      <c r="B265" s="48" t="n">
        <f aca="false">(INDEX($E$12:$E$72,6+1)*SUMPRODUCT(($A$12:$A$72&gt;=6)*P$12:P$72*$B$5*$C$12:$C$72*$B$12:$B$72)/(1+Assumptions!$B$10)^6)/(SUMPRODUCT(($A$12:$A$72&lt;6)*P$12:P$72*$E$12:$E$72*$B$12:$B$72))/12</f>
        <v>1945.26765013071</v>
      </c>
      <c r="C265" s="48" t="n">
        <f aca="false">(INDEX($E$12:$E$72,7+1)*SUMPRODUCT(($A$12:$A$72&gt;=7)*P$12:P$72*$B$5*$C$12:$C$72*$B$12:$B$72)/(1+Assumptions!$B$10)^7)/(SUMPRODUCT(($A$12:$A$72&lt;7)*P$12:P$72*$E$12:$E$72*$B$12:$B$72))/12</f>
        <v>1543.44209032322</v>
      </c>
      <c r="D265" s="48" t="n">
        <f aca="false">(INDEX($E$12:$E$72,8+1)*SUMPRODUCT(($A$12:$A$72&gt;=8)*P$12:P$72*$B$5*$C$12:$C$72*$B$12:$B$72)/(1+Assumptions!$B$10)^8)/(SUMPRODUCT(($A$12:$A$72&lt;8)*P$12:P$72*$E$12:$E$72*$B$12:$B$72))/12</f>
        <v>1245.38013688207</v>
      </c>
      <c r="E265" s="48" t="n">
        <f aca="false">(INDEX($E$12:$E$72,9+1)*SUMPRODUCT(($A$12:$A$72&gt;=9)*P$12:P$72*$B$5*$C$12:$C$72*$B$12:$B$72)/(1+Assumptions!$B$10)^9)/(SUMPRODUCT(($A$12:$A$72&lt;9)*P$12:P$72*$E$12:$E$72*$B$12:$B$72))/12</f>
        <v>1016.91016914248</v>
      </c>
      <c r="F265" s="48" t="n">
        <f aca="false">(INDEX($E$12:$E$72,10+1)*SUMPRODUCT(($A$12:$A$72&gt;=10)*P$12:P$72*$B$5*$C$12:$C$72*$B$12:$B$72)/(1+Assumptions!$B$10)^10)/(SUMPRODUCT(($A$12:$A$72&lt;10)*P$12:P$72*$E$12:$E$72*$B$12:$B$72))/12</f>
        <v>837.36701598974</v>
      </c>
      <c r="G265" s="48" t="n">
        <f aca="false">(INDEX($E$12:$E$72,11+1)*SUMPRODUCT(($A$12:$A$72&gt;=11)*P$12:P$72*$B$5*$C$12:$C$72*$B$12:$B$72)/(1+Assumptions!$B$10)^11)/(SUMPRODUCT(($A$12:$A$72&lt;11)*P$12:P$72*$E$12:$E$72*$B$12:$B$72))/12</f>
        <v>693.693829944059</v>
      </c>
      <c r="H265" s="48" t="n">
        <f aca="false">(INDEX($E$12:$E$72,12+1)*SUMPRODUCT(($A$12:$A$72&gt;=12)*P$12:P$72*$B$5*$C$12:$C$72*$B$12:$B$72)/(1+Assumptions!$B$10)^12)/(SUMPRODUCT(($A$12:$A$72&lt;12)*P$12:P$72*$E$12:$E$72*$B$12:$B$72))/12</f>
        <v>576.659942036509</v>
      </c>
      <c r="I265" s="48" t="n">
        <f aca="false">(INDEX($E$12:$E$72,13+1)*SUMPRODUCT(($A$12:$A$72&gt;=13)*P$12:P$72*$B$5*$C$12:$C$72*$B$12:$B$72)/(1+Assumptions!$B$10)^13)/(SUMPRODUCT(($A$12:$A$72&lt;13)*P$12:P$72*$E$12:$E$72*$B$12:$B$72))/12</f>
        <v>480.457348864015</v>
      </c>
      <c r="J265" s="48" t="n">
        <f aca="false">(INDEX($E$12:$E$72,14+1)*SUMPRODUCT(($A$12:$A$72&gt;=14)*P$12:P$72*$B$5*$C$12:$C$72*$B$12:$B$72)/(1+Assumptions!$B$10)^14)/(SUMPRODUCT(($A$12:$A$72&lt;14)*P$12:P$72*$E$12:$E$72*$B$12:$B$72))/12</f>
        <v>400.57776113964</v>
      </c>
      <c r="K265" s="48" t="n">
        <f aca="false">(INDEX($E$12:$E$72,15+1)*SUMPRODUCT(($A$12:$A$72&gt;=15)*P$12:P$72*$B$5*$C$12:$C$72*$B$12:$B$72)/(1+Assumptions!$B$10)^15)/(SUMPRODUCT(($A$12:$A$72&lt;15)*P$12:P$72*$E$12:$E$72*$B$12:$B$72))/12</f>
        <v>333.713603622118</v>
      </c>
      <c r="L265" s="48" t="n">
        <f aca="false">(INDEX($E$12:$E$72,16+1)*SUMPRODUCT(($A$12:$A$72&gt;=16)*P$12:P$72*$B$5*$C$12:$C$72*$B$12:$B$72)/(1+Assumptions!$B$10)^16)/(SUMPRODUCT(($A$12:$A$72&lt;16)*P$12:P$72*$E$12:$E$72*$B$12:$B$72))/12</f>
        <v>277.553203233402</v>
      </c>
      <c r="M265" s="48" t="n">
        <f aca="false">(INDEX($E$12:$E$72,17+1)*SUMPRODUCT(($A$12:$A$72&gt;=17)*P$12:P$72*$B$5*$C$12:$C$72*$B$12:$B$72)/(1+Assumptions!$B$10)^17)/(SUMPRODUCT(($A$12:$A$72&lt;17)*P$12:P$72*$E$12:$E$72*$B$12:$B$72))/12</f>
        <v>230.156478861278</v>
      </c>
      <c r="N265" s="48" t="n">
        <f aca="false">(INDEX($E$12:$E$72,18+1)*SUMPRODUCT(($A$12:$A$72&gt;=18)*P$12:P$72*$B$5*$C$12:$C$72*$B$12:$B$72)/(1+Assumptions!$B$10)^18)/(SUMPRODUCT(($A$12:$A$72&lt;18)*P$12:P$72*$E$12:$E$72*$B$12:$B$72))/12</f>
        <v>190.060888662539</v>
      </c>
      <c r="O265" s="48" t="n">
        <f aca="false">(INDEX($E$12:$E$72,19+1)*SUMPRODUCT(($A$12:$A$72&gt;=19)*P$12:P$72*$B$5*$C$12:$C$72*$B$12:$B$72)/(1+Assumptions!$B$10)^19)/(SUMPRODUCT(($A$12:$A$72&lt;19)*P$12:P$72*$E$12:$E$72*$B$12:$B$72))/12</f>
        <v>156.108875332504</v>
      </c>
      <c r="P265" s="48" t="n">
        <f aca="false">(INDEX($E$12:$E$72,20+1)*SUMPRODUCT(($A$12:$A$72&gt;=20)*P$12:P$72*$B$5*$C$12:$C$72*$B$12:$B$72)/(1+Assumptions!$B$10)^20)/(SUMPRODUCT(($A$12:$A$72&lt;20)*P$12:P$72*$E$12:$E$72*$B$12:$B$72))/12</f>
        <v>127.382397497705</v>
      </c>
      <c r="Q265" s="48" t="n">
        <f aca="false">(INDEX($E$12:$E$72,21+1)*SUMPRODUCT(($A$12:$A$72&gt;=21)*P$12:P$72*$B$5*$C$12:$C$72*$B$12:$B$72)/(1+Assumptions!$B$10)^21)/(SUMPRODUCT(($A$12:$A$72&lt;21)*P$12:P$72*$E$12:$E$72*$B$12:$B$72))/12</f>
        <v>103.149606952986</v>
      </c>
    </row>
    <row r="266" customFormat="false" ht="15" hidden="false" customHeight="true" outlineLevel="0" collapsed="false">
      <c r="A266" s="3" t="n">
        <v>70</v>
      </c>
      <c r="B266" s="48" t="n">
        <f aca="false">(INDEX($E$12:$E$72,5+1)*SUMPRODUCT(($A$12:$A$72&gt;=5)*Q$12:Q$72*$B$5*$C$12:$C$72*$B$12:$B$72)/(1+Assumptions!$B$10)^5)/(SUMPRODUCT(($A$12:$A$72&lt;5)*Q$12:Q$72*$E$12:$E$72*$B$12:$B$72))/12</f>
        <v>2381.82983507619</v>
      </c>
      <c r="C266" s="48" t="n">
        <f aca="false">(INDEX($E$12:$E$72,6+1)*SUMPRODUCT(($A$12:$A$72&gt;=6)*Q$12:Q$72*$B$5*$C$12:$C$72*$B$12:$B$72)/(1+Assumptions!$B$10)^6)/(SUMPRODUCT(($A$12:$A$72&lt;6)*Q$12:Q$72*$E$12:$E$72*$B$12:$B$72))/12</f>
        <v>1839.35470887246</v>
      </c>
      <c r="D266" s="48" t="n">
        <f aca="false">(INDEX($E$12:$E$72,7+1)*SUMPRODUCT(($A$12:$A$72&gt;=7)*Q$12:Q$72*$B$5*$C$12:$C$72*$B$12:$B$72)/(1+Assumptions!$B$10)^7)/(SUMPRODUCT(($A$12:$A$72&lt;7)*Q$12:Q$72*$E$12:$E$72*$B$12:$B$72))/12</f>
        <v>1454.80183916786</v>
      </c>
      <c r="E266" s="48" t="n">
        <f aca="false">(INDEX($E$12:$E$72,8+1)*SUMPRODUCT(($A$12:$A$72&gt;=8)*Q$12:Q$72*$B$5*$C$12:$C$72*$B$12:$B$72)/(1+Assumptions!$B$10)^8)/(SUMPRODUCT(($A$12:$A$72&lt;8)*Q$12:Q$72*$E$12:$E$72*$B$12:$B$72))/12</f>
        <v>1169.77643901268</v>
      </c>
      <c r="F266" s="48" t="n">
        <f aca="false">(INDEX($E$12:$E$72,9+1)*SUMPRODUCT(($A$12:$A$72&gt;=9)*Q$12:Q$72*$B$5*$C$12:$C$72*$B$12:$B$72)/(1+Assumptions!$B$10)^9)/(SUMPRODUCT(($A$12:$A$72&lt;9)*Q$12:Q$72*$E$12:$E$72*$B$12:$B$72))/12</f>
        <v>951.518739913777</v>
      </c>
      <c r="G266" s="48" t="n">
        <f aca="false">(INDEX($E$12:$E$72,10+1)*SUMPRODUCT(($A$12:$A$72&gt;=10)*Q$12:Q$72*$B$5*$C$12:$C$72*$B$12:$B$72)/(1+Assumptions!$B$10)^10)/(SUMPRODUCT(($A$12:$A$72&lt;10)*Q$12:Q$72*$E$12:$E$72*$B$12:$B$72))/12</f>
        <v>780.214582974757</v>
      </c>
      <c r="H266" s="48" t="n">
        <f aca="false">(INDEX($E$12:$E$72,11+1)*SUMPRODUCT(($A$12:$A$72&gt;=11)*Q$12:Q$72*$B$5*$C$12:$C$72*$B$12:$B$72)/(1+Assumptions!$B$10)^11)/(SUMPRODUCT(($A$12:$A$72&lt;11)*Q$12:Q$72*$E$12:$E$72*$B$12:$B$72))/12</f>
        <v>643.343212827579</v>
      </c>
      <c r="I266" s="48" t="n">
        <f aca="false">(INDEX($E$12:$E$72,12+1)*SUMPRODUCT(($A$12:$A$72&gt;=12)*Q$12:Q$72*$B$5*$C$12:$C$72*$B$12:$B$72)/(1+Assumptions!$B$10)^12)/(SUMPRODUCT(($A$12:$A$72&lt;12)*Q$12:Q$72*$E$12:$E$72*$B$12:$B$72))/12</f>
        <v>532.139506889176</v>
      </c>
      <c r="J266" s="48" t="n">
        <f aca="false">(INDEX($E$12:$E$72,13+1)*SUMPRODUCT(($A$12:$A$72&gt;=13)*Q$12:Q$72*$B$5*$C$12:$C$72*$B$12:$B$72)/(1+Assumptions!$B$10)^13)/(SUMPRODUCT(($A$12:$A$72&lt;13)*Q$12:Q$72*$E$12:$E$72*$B$12:$B$72))/12</f>
        <v>440.928804985529</v>
      </c>
      <c r="K266" s="48" t="n">
        <f aca="false">(INDEX($E$12:$E$72,14+1)*SUMPRODUCT(($A$12:$A$72&gt;=14)*Q$12:Q$72*$B$5*$C$12:$C$72*$B$12:$B$72)/(1+Assumptions!$B$10)^14)/(SUMPRODUCT(($A$12:$A$72&lt;14)*Q$12:Q$72*$E$12:$E$72*$B$12:$B$72))/12</f>
        <v>365.391005077574</v>
      </c>
      <c r="L266" s="48" t="n">
        <f aca="false">(INDEX($E$12:$E$72,15+1)*SUMPRODUCT(($A$12:$A$72&gt;=15)*Q$12:Q$72*$B$5*$C$12:$C$72*$B$12:$B$72)/(1+Assumptions!$B$10)^15)/(SUMPRODUCT(($A$12:$A$72&lt;15)*Q$12:Q$72*$E$12:$E$72*$B$12:$B$72))/12</f>
        <v>302.355295287871</v>
      </c>
      <c r="M266" s="48" t="n">
        <f aca="false">(INDEX($E$12:$E$72,16+1)*SUMPRODUCT(($A$12:$A$72&gt;=16)*Q$12:Q$72*$B$5*$C$12:$C$72*$B$12:$B$72)/(1+Assumptions!$B$10)^16)/(SUMPRODUCT(($A$12:$A$72&lt;16)*Q$12:Q$72*$E$12:$E$72*$B$12:$B$72))/12</f>
        <v>249.602325847641</v>
      </c>
      <c r="N266" s="48" t="n">
        <f aca="false">(INDEX($E$12:$E$72,17+1)*SUMPRODUCT(($A$12:$A$72&gt;=17)*Q$12:Q$72*$B$5*$C$12:$C$72*$B$12:$B$72)/(1+Assumptions!$B$10)^17)/(SUMPRODUCT(($A$12:$A$72&lt;17)*Q$12:Q$72*$E$12:$E$72*$B$12:$B$72))/12</f>
        <v>205.334585128634</v>
      </c>
      <c r="O266" s="48" t="n">
        <f aca="false">(INDEX($E$12:$E$72,18+1)*SUMPRODUCT(($A$12:$A$72&gt;=18)*Q$12:Q$72*$B$5*$C$12:$C$72*$B$12:$B$72)/(1+Assumptions!$B$10)^18)/(SUMPRODUCT(($A$12:$A$72&lt;18)*Q$12:Q$72*$E$12:$E$72*$B$12:$B$72))/12</f>
        <v>168.092688343408</v>
      </c>
      <c r="P266" s="48" t="n">
        <f aca="false">(INDEX($E$12:$E$72,19+1)*SUMPRODUCT(($A$12:$A$72&gt;=19)*Q$12:Q$72*$B$5*$C$12:$C$72*$B$12:$B$72)/(1+Assumptions!$B$10)^19)/(SUMPRODUCT(($A$12:$A$72&lt;19)*Q$12:Q$72*$E$12:$E$72*$B$12:$B$72))/12</f>
        <v>136.761054287083</v>
      </c>
      <c r="Q266" s="48" t="n">
        <f aca="false">(INDEX($E$12:$E$72,20+1)*SUMPRODUCT(($A$12:$A$72&gt;=20)*Q$12:Q$72*$B$5*$C$12:$C$72*$B$12:$B$72)/(1+Assumptions!$B$10)^20)/(SUMPRODUCT(($A$12:$A$72&lt;20)*Q$12:Q$72*$E$12:$E$72*$B$12:$B$72))/12</f>
        <v>110.451808527878</v>
      </c>
    </row>
    <row r="267" customFormat="false" ht="15" hidden="false" customHeight="true" outlineLevel="0" collapsed="false">
      <c r="A267" s="3" t="n">
        <v>71</v>
      </c>
      <c r="B267" s="48" t="n">
        <f aca="false">(INDEX($E$12:$E$72,4+1)*SUMPRODUCT(($A$12:$A$72&gt;=4)*R$12:R$72*$B$5*$C$12:$C$72*$B$12:$B$72)/(1+Assumptions!$B$10)^4)/(SUMPRODUCT(($A$12:$A$72&lt;4)*R$12:R$72*$E$12:$E$72*$B$12:$B$72))/12</f>
        <v>3049.22770777391</v>
      </c>
      <c r="C267" s="48" t="n">
        <f aca="false">(INDEX($E$12:$E$72,5+1)*SUMPRODUCT(($A$12:$A$72&gt;=5)*R$12:R$72*$B$5*$C$12:$C$72*$B$12:$B$72)/(1+Assumptions!$B$10)^5)/(SUMPRODUCT(($A$12:$A$72&lt;5)*R$12:R$72*$E$12:$E$72*$B$12:$B$72))/12</f>
        <v>2253.14993888185</v>
      </c>
      <c r="D267" s="48" t="n">
        <f aca="false">(INDEX($E$12:$E$72,6+1)*SUMPRODUCT(($A$12:$A$72&gt;=6)*R$12:R$72*$B$5*$C$12:$C$72*$B$12:$B$72)/(1+Assumptions!$B$10)^6)/(SUMPRODUCT(($A$12:$A$72&lt;6)*R$12:R$72*$E$12:$E$72*$B$12:$B$72))/12</f>
        <v>1734.55126653838</v>
      </c>
      <c r="E267" s="48" t="n">
        <f aca="false">(INDEX($E$12:$E$72,7+1)*SUMPRODUCT(($A$12:$A$72&gt;=7)*R$12:R$72*$B$5*$C$12:$C$72*$B$12:$B$72)/(1+Assumptions!$B$10)^7)/(SUMPRODUCT(($A$12:$A$72&lt;7)*R$12:R$72*$E$12:$E$72*$B$12:$B$72))/12</f>
        <v>1367.18171217003</v>
      </c>
      <c r="F267" s="48" t="n">
        <f aca="false">(INDEX($E$12:$E$72,8+1)*SUMPRODUCT(($A$12:$A$72&gt;=8)*R$12:R$72*$B$5*$C$12:$C$72*$B$12:$B$72)/(1+Assumptions!$B$10)^8)/(SUMPRODUCT(($A$12:$A$72&lt;8)*R$12:R$72*$E$12:$E$72*$B$12:$B$72))/12</f>
        <v>1095.1437332754</v>
      </c>
      <c r="G267" s="48" t="n">
        <f aca="false">(INDEX($E$12:$E$72,9+1)*SUMPRODUCT(($A$12:$A$72&gt;=9)*R$12:R$72*$B$5*$C$12:$C$72*$B$12:$B$72)/(1+Assumptions!$B$10)^9)/(SUMPRODUCT(($A$12:$A$72&lt;9)*R$12:R$72*$E$12:$E$72*$B$12:$B$72))/12</f>
        <v>887.073825132845</v>
      </c>
      <c r="H267" s="48" t="n">
        <f aca="false">(INDEX($E$12:$E$72,10+1)*SUMPRODUCT(($A$12:$A$72&gt;=10)*R$12:R$72*$B$5*$C$12:$C$72*$B$12:$B$72)/(1+Assumptions!$B$10)^10)/(SUMPRODUCT(($A$12:$A$72&lt;10)*R$12:R$72*$E$12:$E$72*$B$12:$B$72))/12</f>
        <v>724.000355214896</v>
      </c>
      <c r="I267" s="48" t="n">
        <f aca="false">(INDEX($E$12:$E$72,11+1)*SUMPRODUCT(($A$12:$A$72&gt;=11)*R$12:R$72*$B$5*$C$12:$C$72*$B$12:$B$72)/(1+Assumptions!$B$10)^11)/(SUMPRODUCT(($A$12:$A$72&lt;11)*R$12:R$72*$E$12:$E$72*$B$12:$B$72))/12</f>
        <v>594.036293593828</v>
      </c>
      <c r="J267" s="48" t="n">
        <f aca="false">(INDEX($E$12:$E$72,12+1)*SUMPRODUCT(($A$12:$A$72&gt;=12)*R$12:R$72*$B$5*$C$12:$C$72*$B$12:$B$72)/(1+Assumptions!$B$10)^12)/(SUMPRODUCT(($A$12:$A$72&lt;12)*R$12:R$72*$E$12:$E$72*$B$12:$B$72))/12</f>
        <v>488.664220965379</v>
      </c>
      <c r="K267" s="48" t="n">
        <f aca="false">(INDEX($E$12:$E$72,13+1)*SUMPRODUCT(($A$12:$A$72&gt;=13)*R$12:R$72*$B$5*$C$12:$C$72*$B$12:$B$72)/(1+Assumptions!$B$10)^13)/(SUMPRODUCT(($A$12:$A$72&lt;13)*R$12:R$72*$E$12:$E$72*$B$12:$B$72))/12</f>
        <v>402.453984534687</v>
      </c>
      <c r="L267" s="48" t="n">
        <f aca="false">(INDEX($E$12:$E$72,14+1)*SUMPRODUCT(($A$12:$A$72&gt;=14)*R$12:R$72*$B$5*$C$12:$C$72*$B$12:$B$72)/(1+Assumptions!$B$10)^14)/(SUMPRODUCT(($A$12:$A$72&lt;14)*R$12:R$72*$E$12:$E$72*$B$12:$B$72))/12</f>
        <v>331.271069729272</v>
      </c>
      <c r="M267" s="48" t="n">
        <f aca="false">(INDEX($E$12:$E$72,15+1)*SUMPRODUCT(($A$12:$A$72&gt;=15)*R$12:R$72*$B$5*$C$12:$C$72*$B$12:$B$72)/(1+Assumptions!$B$10)^15)/(SUMPRODUCT(($A$12:$A$72&lt;15)*R$12:R$72*$E$12:$E$72*$B$12:$B$72))/12</f>
        <v>272.079244467629</v>
      </c>
      <c r="N267" s="48" t="n">
        <f aca="false">(INDEX($E$12:$E$72,16+1)*SUMPRODUCT(($A$12:$A$72&gt;=16)*R$12:R$72*$B$5*$C$12:$C$72*$B$12:$B$72)/(1+Assumptions!$B$10)^16)/(SUMPRODUCT(($A$12:$A$72&lt;16)*R$12:R$72*$E$12:$E$72*$B$12:$B$72))/12</f>
        <v>222.822920568511</v>
      </c>
      <c r="O267" s="48" t="n">
        <f aca="false">(INDEX($E$12:$E$72,17+1)*SUMPRODUCT(($A$12:$A$72&gt;=17)*R$12:R$72*$B$5*$C$12:$C$72*$B$12:$B$72)/(1+Assumptions!$B$10)^17)/(SUMPRODUCT(($A$12:$A$72&lt;17)*R$12:R$72*$E$12:$E$72*$B$12:$B$72))/12</f>
        <v>181.714278609185</v>
      </c>
      <c r="P267" s="48" t="n">
        <f aca="false">(INDEX($E$12:$E$72,18+1)*SUMPRODUCT(($A$12:$A$72&gt;=18)*R$12:R$72*$B$5*$C$12:$C$72*$B$12:$B$72)/(1+Assumptions!$B$10)^18)/(SUMPRODUCT(($A$12:$A$72&lt;18)*R$12:R$72*$E$12:$E$72*$B$12:$B$72))/12</f>
        <v>147.351123758667</v>
      </c>
      <c r="Q267" s="48" t="n">
        <f aca="false">(INDEX($E$12:$E$72,19+1)*SUMPRODUCT(($A$12:$A$72&gt;=19)*R$12:R$72*$B$5*$C$12:$C$72*$B$12:$B$72)/(1+Assumptions!$B$10)^19)/(SUMPRODUCT(($A$12:$A$72&lt;19)*R$12:R$72*$E$12:$E$72*$B$12:$B$72))/12</f>
        <v>118.657666752654</v>
      </c>
    </row>
    <row r="268" customFormat="false" ht="15" hidden="false" customHeight="true" outlineLevel="0" collapsed="false">
      <c r="A268" s="3" t="n">
        <v>72</v>
      </c>
      <c r="B268" s="48" t="n">
        <f aca="false">(INDEX($E$12:$E$72,3+1)*SUMPRODUCT(($A$12:$A$72&gt;=3)*S$12:S$72*$B$5*$C$12:$C$72*$B$12:$B$72)/(1+Assumptions!$B$10)^3)/(SUMPRODUCT(($A$12:$A$72&lt;3)*S$12:S$72*$E$12:$E$72*$B$12:$B$72))/12</f>
        <v>4157.66367878303</v>
      </c>
      <c r="C268" s="48" t="n">
        <f aca="false">(INDEX($E$12:$E$72,4+1)*SUMPRODUCT(($A$12:$A$72&gt;=4)*S$12:S$72*$B$5*$C$12:$C$72*$B$12:$B$72)/(1+Assumptions!$B$10)^4)/(SUMPRODUCT(($A$12:$A$72&lt;4)*S$12:S$72*$E$12:$E$72*$B$12:$B$72))/12</f>
        <v>2885.71911423864</v>
      </c>
      <c r="D268" s="48" t="n">
        <f aca="false">(INDEX($E$12:$E$72,5+1)*SUMPRODUCT(($A$12:$A$72&gt;=5)*S$12:S$72*$B$5*$C$12:$C$72*$B$12:$B$72)/(1+Assumptions!$B$10)^5)/(SUMPRODUCT(($A$12:$A$72&lt;5)*S$12:S$72*$E$12:$E$72*$B$12:$B$72))/12</f>
        <v>2125.78809992648</v>
      </c>
      <c r="E268" s="48" t="n">
        <f aca="false">(INDEX($E$12:$E$72,6+1)*SUMPRODUCT(($A$12:$A$72&gt;=6)*S$12:S$72*$B$5*$C$12:$C$72*$B$12:$B$72)/(1+Assumptions!$B$10)^6)/(SUMPRODUCT(($A$12:$A$72&lt;6)*S$12:S$72*$E$12:$E$72*$B$12:$B$72))/12</f>
        <v>1630.93437574699</v>
      </c>
      <c r="F268" s="48" t="n">
        <f aca="false">(INDEX($E$12:$E$72,7+1)*SUMPRODUCT(($A$12:$A$72&gt;=7)*S$12:S$72*$B$5*$C$12:$C$72*$B$12:$B$72)/(1+Assumptions!$B$10)^7)/(SUMPRODUCT(($A$12:$A$72&lt;7)*S$12:S$72*$E$12:$E$72*$B$12:$B$72))/12</f>
        <v>1280.67330094117</v>
      </c>
      <c r="G268" s="48" t="n">
        <f aca="false">(INDEX($E$12:$E$72,8+1)*SUMPRODUCT(($A$12:$A$72&gt;=8)*S$12:S$72*$B$5*$C$12:$C$72*$B$12:$B$72)/(1+Assumptions!$B$10)^8)/(SUMPRODUCT(($A$12:$A$72&lt;8)*S$12:S$72*$E$12:$E$72*$B$12:$B$72))/12</f>
        <v>1021.58103863248</v>
      </c>
      <c r="H268" s="48" t="n">
        <f aca="false">(INDEX($E$12:$E$72,9+1)*SUMPRODUCT(($A$12:$A$72&gt;=9)*S$12:S$72*$B$5*$C$12:$C$72*$B$12:$B$72)/(1+Assumptions!$B$10)^9)/(SUMPRODUCT(($A$12:$A$72&lt;9)*S$12:S$72*$E$12:$E$72*$B$12:$B$72))/12</f>
        <v>823.678288133937</v>
      </c>
      <c r="I268" s="48" t="n">
        <f aca="false">(INDEX($E$12:$E$72,10+1)*SUMPRODUCT(($A$12:$A$72&gt;=10)*S$12:S$72*$B$5*$C$12:$C$72*$B$12:$B$72)/(1+Assumptions!$B$10)^10)/(SUMPRODUCT(($A$12:$A$72&lt;10)*S$12:S$72*$E$12:$E$72*$B$12:$B$72))/12</f>
        <v>668.953213993863</v>
      </c>
      <c r="J268" s="48" t="n">
        <f aca="false">(INDEX($E$12:$E$72,11+1)*SUMPRODUCT(($A$12:$A$72&gt;=11)*S$12:S$72*$B$5*$C$12:$C$72*$B$12:$B$72)/(1+Assumptions!$B$10)^11)/(SUMPRODUCT(($A$12:$A$72&lt;11)*S$12:S$72*$E$12:$E$72*$B$12:$B$72))/12</f>
        <v>545.887022014208</v>
      </c>
      <c r="K268" s="48" t="n">
        <f aca="false">(INDEX($E$12:$E$72,12+1)*SUMPRODUCT(($A$12:$A$72&gt;=12)*S$12:S$72*$B$5*$C$12:$C$72*$B$12:$B$72)/(1+Assumptions!$B$10)^12)/(SUMPRODUCT(($A$12:$A$72&lt;12)*S$12:S$72*$E$12:$E$72*$B$12:$B$72))/12</f>
        <v>446.346951403435</v>
      </c>
      <c r="L268" s="48" t="n">
        <f aca="false">(INDEX($E$12:$E$72,13+1)*SUMPRODUCT(($A$12:$A$72&gt;=13)*S$12:S$72*$B$5*$C$12:$C$72*$B$12:$B$72)/(1+Assumptions!$B$10)^13)/(SUMPRODUCT(($A$12:$A$72&lt;13)*S$12:S$72*$E$12:$E$72*$B$12:$B$72))/12</f>
        <v>365.143896966787</v>
      </c>
      <c r="M268" s="48" t="n">
        <f aca="false">(INDEX($E$12:$E$72,14+1)*SUMPRODUCT(($A$12:$A$72&gt;=14)*S$12:S$72*$B$5*$C$12:$C$72*$B$12:$B$72)/(1+Assumptions!$B$10)^14)/(SUMPRODUCT(($A$12:$A$72&lt;14)*S$12:S$72*$E$12:$E$72*$B$12:$B$72))/12</f>
        <v>298.326213940147</v>
      </c>
      <c r="N268" s="48" t="n">
        <f aca="false">(INDEX($E$12:$E$72,15+1)*SUMPRODUCT(($A$12:$A$72&gt;=15)*S$12:S$72*$B$5*$C$12:$C$72*$B$12:$B$72)/(1+Assumptions!$B$10)^15)/(SUMPRODUCT(($A$12:$A$72&lt;15)*S$12:S$72*$E$12:$E$72*$B$12:$B$72))/12</f>
        <v>243.07380272813</v>
      </c>
      <c r="O268" s="48" t="n">
        <f aca="false">(INDEX($E$12:$E$72,16+1)*SUMPRODUCT(($A$12:$A$72&gt;=16)*S$12:S$72*$B$5*$C$12:$C$72*$B$12:$B$72)/(1+Assumptions!$B$10)^16)/(SUMPRODUCT(($A$12:$A$72&lt;16)*S$12:S$72*$E$12:$E$72*$B$12:$B$72))/12</f>
        <v>197.340850207625</v>
      </c>
      <c r="P268" s="48" t="n">
        <f aca="false">(INDEX($E$12:$E$72,17+1)*SUMPRODUCT(($A$12:$A$72&gt;=17)*S$12:S$72*$B$5*$C$12:$C$72*$B$12:$B$72)/(1+Assumptions!$B$10)^17)/(SUMPRODUCT(($A$12:$A$72&lt;17)*S$12:S$72*$E$12:$E$72*$B$12:$B$72))/12</f>
        <v>159.413156367876</v>
      </c>
      <c r="Q268" s="48" t="n">
        <f aca="false">(INDEX($E$12:$E$72,18+1)*SUMPRODUCT(($A$12:$A$72&gt;=18)*S$12:S$72*$B$5*$C$12:$C$72*$B$12:$B$72)/(1+Assumptions!$B$10)^18)/(SUMPRODUCT(($A$12:$A$72&lt;18)*S$12:S$72*$E$12:$E$72*$B$12:$B$72))/12</f>
        <v>127.943405297503</v>
      </c>
    </row>
    <row r="269" customFormat="false" ht="15" hidden="false" customHeight="true" outlineLevel="0" collapsed="false">
      <c r="A269" s="3" t="n">
        <v>73</v>
      </c>
      <c r="B269" s="48" t="n">
        <f aca="false">(INDEX($E$12:$E$72,2+1)*SUMPRODUCT(($A$12:$A$72&gt;=2)*T$12:T$72*$B$5*$C$12:$C$72*$B$12:$B$72)/(1+Assumptions!$B$10)^2)/(SUMPRODUCT(($A$12:$A$72&lt;2)*T$12:T$72*$E$12:$E$72*$B$12:$B$72))/12</f>
        <v>6353.83332654524</v>
      </c>
      <c r="C269" s="48" t="n">
        <f aca="false">(INDEX($E$12:$E$72,3+1)*SUMPRODUCT(($A$12:$A$72&gt;=3)*T$12:T$72*$B$5*$C$12:$C$72*$B$12:$B$72)/(1+Assumptions!$B$10)^3)/(SUMPRODUCT(($A$12:$A$72&lt;3)*T$12:T$72*$E$12:$E$72*$B$12:$B$72))/12</f>
        <v>3936.5546463289</v>
      </c>
      <c r="D269" s="48" t="n">
        <f aca="false">(INDEX($E$12:$E$72,4+1)*SUMPRODUCT(($A$12:$A$72&gt;=4)*T$12:T$72*$B$5*$C$12:$C$72*$B$12:$B$72)/(1+Assumptions!$B$10)^4)/(SUMPRODUCT(($A$12:$A$72&lt;4)*T$12:T$72*$E$12:$E$72*$B$12:$B$72))/12</f>
        <v>2724.05852821087</v>
      </c>
      <c r="E269" s="48" t="n">
        <f aca="false">(INDEX($E$12:$E$72,5+1)*SUMPRODUCT(($A$12:$A$72&gt;=5)*T$12:T$72*$B$5*$C$12:$C$72*$B$12:$B$72)/(1+Assumptions!$B$10)^5)/(SUMPRODUCT(($A$12:$A$72&lt;5)*T$12:T$72*$E$12:$E$72*$B$12:$B$72))/12</f>
        <v>1999.97717880961</v>
      </c>
      <c r="F269" s="48" t="n">
        <f aca="false">(INDEX($E$12:$E$72,6+1)*SUMPRODUCT(($A$12:$A$72&gt;=6)*T$12:T$72*$B$5*$C$12:$C$72*$B$12:$B$72)/(1+Assumptions!$B$10)^6)/(SUMPRODUCT(($A$12:$A$72&lt;6)*T$12:T$72*$E$12:$E$72*$B$12:$B$72))/12</f>
        <v>1528.70573619556</v>
      </c>
      <c r="G269" s="48" t="n">
        <f aca="false">(INDEX($E$12:$E$72,7+1)*SUMPRODUCT(($A$12:$A$72&gt;=7)*T$12:T$72*$B$5*$C$12:$C$72*$B$12:$B$72)/(1+Assumptions!$B$10)^7)/(SUMPRODUCT(($A$12:$A$72&lt;7)*T$12:T$72*$E$12:$E$72*$B$12:$B$72))/12</f>
        <v>1195.45650064086</v>
      </c>
      <c r="H269" s="48" t="n">
        <f aca="false">(INDEX($E$12:$E$72,8+1)*SUMPRODUCT(($A$12:$A$72&gt;=8)*T$12:T$72*$B$5*$C$12:$C$72*$B$12:$B$72)/(1+Assumptions!$B$10)^8)/(SUMPRODUCT(($A$12:$A$72&lt;8)*T$12:T$72*$E$12:$E$72*$B$12:$B$72))/12</f>
        <v>949.252308195992</v>
      </c>
      <c r="I269" s="48" t="n">
        <f aca="false">(INDEX($E$12:$E$72,9+1)*SUMPRODUCT(($A$12:$A$72&gt;=9)*T$12:T$72*$B$5*$C$12:$C$72*$B$12:$B$72)/(1+Assumptions!$B$10)^9)/(SUMPRODUCT(($A$12:$A$72&lt;9)*T$12:T$72*$E$12:$E$72*$B$12:$B$72))/12</f>
        <v>761.636521398796</v>
      </c>
      <c r="J269" s="48" t="n">
        <f aca="false">(INDEX($E$12:$E$72,10+1)*SUMPRODUCT(($A$12:$A$72&gt;=10)*T$12:T$72*$B$5*$C$12:$C$72*$B$12:$B$72)/(1+Assumptions!$B$10)^10)/(SUMPRODUCT(($A$12:$A$72&lt;10)*T$12:T$72*$E$12:$E$72*$B$12:$B$72))/12</f>
        <v>615.22544130839</v>
      </c>
      <c r="K269" s="48" t="n">
        <f aca="false">(INDEX($E$12:$E$72,11+1)*SUMPRODUCT(($A$12:$A$72&gt;=11)*T$12:T$72*$B$5*$C$12:$C$72*$B$12:$B$72)/(1+Assumptions!$B$10)^11)/(SUMPRODUCT(($A$12:$A$72&lt;11)*T$12:T$72*$E$12:$E$72*$B$12:$B$72))/12</f>
        <v>499.038917149506</v>
      </c>
      <c r="L269" s="48" t="n">
        <f aca="false">(INDEX($E$12:$E$72,12+1)*SUMPRODUCT(($A$12:$A$72&gt;=12)*T$12:T$72*$B$5*$C$12:$C$72*$B$12:$B$72)/(1+Assumptions!$B$10)^12)/(SUMPRODUCT(($A$12:$A$72&lt;12)*T$12:T$72*$E$12:$E$72*$B$12:$B$72))/12</f>
        <v>405.323519776034</v>
      </c>
      <c r="M269" s="48" t="n">
        <f aca="false">(INDEX($E$12:$E$72,13+1)*SUMPRODUCT(($A$12:$A$72&gt;=13)*T$12:T$72*$B$5*$C$12:$C$72*$B$12:$B$72)/(1+Assumptions!$B$10)^13)/(SUMPRODUCT(($A$12:$A$72&lt;13)*T$12:T$72*$E$12:$E$72*$B$12:$B$72))/12</f>
        <v>329.127087934962</v>
      </c>
      <c r="N269" s="48" t="n">
        <f aca="false">(INDEX($E$12:$E$72,14+1)*SUMPRODUCT(($A$12:$A$72&gt;=14)*T$12:T$72*$B$5*$C$12:$C$72*$B$12:$B$72)/(1+Assumptions!$B$10)^14)/(SUMPRODUCT(($A$12:$A$72&lt;14)*T$12:T$72*$E$12:$E$72*$B$12:$B$72))/12</f>
        <v>266.773802868663</v>
      </c>
      <c r="O269" s="48" t="n">
        <f aca="false">(INDEX($E$12:$E$72,15+1)*SUMPRODUCT(($A$12:$A$72&gt;=15)*T$12:T$72*$B$5*$C$12:$C$72*$B$12:$B$72)/(1+Assumptions!$B$10)^15)/(SUMPRODUCT(($A$12:$A$72&lt;15)*T$12:T$72*$E$12:$E$72*$B$12:$B$72))/12</f>
        <v>215.480424879256</v>
      </c>
      <c r="P269" s="48" t="n">
        <f aca="false">(INDEX($E$12:$E$72,16+1)*SUMPRODUCT(($A$12:$A$72&gt;=16)*T$12:T$72*$B$5*$C$12:$C$72*$B$12:$B$72)/(1+Assumptions!$B$10)^16)/(SUMPRODUCT(($A$12:$A$72&lt;16)*T$12:T$72*$E$12:$E$72*$B$12:$B$72))/12</f>
        <v>173.286602713894</v>
      </c>
      <c r="Q269" s="48" t="n">
        <f aca="false">(INDEX($E$12:$E$72,17+1)*SUMPRODUCT(($A$12:$A$72&gt;=17)*T$12:T$72*$B$5*$C$12:$C$72*$B$12:$B$72)/(1+Assumptions!$B$10)^17)/(SUMPRODUCT(($A$12:$A$72&lt;17)*T$12:T$72*$E$12:$E$72*$B$12:$B$72))/12</f>
        <v>138.549042234196</v>
      </c>
    </row>
    <row r="270" customFormat="false" ht="15" hidden="false" customHeight="true" outlineLevel="0" collapsed="false">
      <c r="A270" s="3" t="n">
        <v>74</v>
      </c>
      <c r="B270" s="48" t="n">
        <f aca="false">(INDEX($E$12:$E$72,1+1)*SUMPRODUCT(($A$12:$A$72&gt;=1)*U$12:U$72*$B$5*$C$12:$C$72*$B$12:$B$72)/(1+Assumptions!$B$10)^1)/(SUMPRODUCT(($A$12:$A$72&lt;1)*U$12:U$72*$E$12:$E$72*$B$12:$B$72))/12</f>
        <v>12977.4057153743</v>
      </c>
      <c r="C270" s="48" t="n">
        <f aca="false">(INDEX($E$12:$E$72,2+1)*SUMPRODUCT(($A$12:$A$72&gt;=2)*U$12:U$72*$B$5*$C$12:$C$72*$B$12:$B$72)/(1+Assumptions!$B$10)^2)/(SUMPRODUCT(($A$12:$A$72&lt;2)*U$12:U$72*$E$12:$E$72*$B$12:$B$72))/12</f>
        <v>6019.03770328579</v>
      </c>
      <c r="D270" s="48" t="n">
        <f aca="false">(INDEX($E$12:$E$72,3+1)*SUMPRODUCT(($A$12:$A$72&gt;=3)*U$12:U$72*$B$5*$C$12:$C$72*$B$12:$B$72)/(1+Assumptions!$B$10)^3)/(SUMPRODUCT(($A$12:$A$72&lt;3)*U$12:U$72*$E$12:$E$72*$B$12:$B$72))/12</f>
        <v>3718.27659470178</v>
      </c>
      <c r="E270" s="48" t="n">
        <f aca="false">(INDEX($E$12:$E$72,4+1)*SUMPRODUCT(($A$12:$A$72&gt;=4)*U$12:U$72*$B$5*$C$12:$C$72*$B$12:$B$72)/(1+Assumptions!$B$10)^4)/(SUMPRODUCT(($A$12:$A$72&lt;4)*U$12:U$72*$E$12:$E$72*$B$12:$B$72))/12</f>
        <v>2564.54858870001</v>
      </c>
      <c r="F270" s="48" t="n">
        <f aca="false">(INDEX($E$12:$E$72,5+1)*SUMPRODUCT(($A$12:$A$72&gt;=5)*U$12:U$72*$B$5*$C$12:$C$72*$B$12:$B$72)/(1+Assumptions!$B$10)^5)/(SUMPRODUCT(($A$12:$A$72&lt;5)*U$12:U$72*$E$12:$E$72*$B$12:$B$72))/12</f>
        <v>1875.96481871295</v>
      </c>
      <c r="G270" s="48" t="n">
        <f aca="false">(INDEX($E$12:$E$72,6+1)*SUMPRODUCT(($A$12:$A$72&gt;=6)*U$12:U$72*$B$5*$C$12:$C$72*$B$12:$B$72)/(1+Assumptions!$B$10)^6)/(SUMPRODUCT(($A$12:$A$72&lt;6)*U$12:U$72*$E$12:$E$72*$B$12:$B$72))/12</f>
        <v>1428.07809546082</v>
      </c>
      <c r="H270" s="48" t="n">
        <f aca="false">(INDEX($E$12:$E$72,7+1)*SUMPRODUCT(($A$12:$A$72&gt;=7)*U$12:U$72*$B$5*$C$12:$C$72*$B$12:$B$72)/(1+Assumptions!$B$10)^7)/(SUMPRODUCT(($A$12:$A$72&lt;7)*U$12:U$72*$E$12:$E$72*$B$12:$B$72))/12</f>
        <v>1111.71972913054</v>
      </c>
      <c r="I270" s="48" t="n">
        <f aca="false">(INDEX($E$12:$E$72,8+1)*SUMPRODUCT(($A$12:$A$72&gt;=8)*U$12:U$72*$B$5*$C$12:$C$72*$B$12:$B$72)/(1+Assumptions!$B$10)^8)/(SUMPRODUCT(($A$12:$A$72&lt;8)*U$12:U$72*$E$12:$E$72*$B$12:$B$72))/12</f>
        <v>878.519744268508</v>
      </c>
      <c r="J270" s="48" t="n">
        <f aca="false">(INDEX($E$12:$E$72,9+1)*SUMPRODUCT(($A$12:$A$72&gt;=9)*U$12:U$72*$B$5*$C$12:$C$72*$B$12:$B$72)/(1+Assumptions!$B$10)^9)/(SUMPRODUCT(($A$12:$A$72&lt;9)*U$12:U$72*$E$12:$E$72*$B$12:$B$72))/12</f>
        <v>701.117308894094</v>
      </c>
      <c r="K270" s="48" t="n">
        <f aca="false">(INDEX($E$12:$E$72,10+1)*SUMPRODUCT(($A$12:$A$72&gt;=10)*U$12:U$72*$B$5*$C$12:$C$72*$B$12:$B$72)/(1+Assumptions!$B$10)^10)/(SUMPRODUCT(($A$12:$A$72&lt;10)*U$12:U$72*$E$12:$E$72*$B$12:$B$72))/12</f>
        <v>562.973829445577</v>
      </c>
      <c r="L270" s="48" t="n">
        <f aca="false">(INDEX($E$12:$E$72,11+1)*SUMPRODUCT(($A$12:$A$72&gt;=11)*U$12:U$72*$B$5*$C$12:$C$72*$B$12:$B$72)/(1+Assumptions!$B$10)^11)/(SUMPRODUCT(($A$12:$A$72&lt;11)*U$12:U$72*$E$12:$E$72*$B$12:$B$72))/12</f>
        <v>453.638678551329</v>
      </c>
      <c r="M270" s="48" t="n">
        <f aca="false">(INDEX($E$12:$E$72,12+1)*SUMPRODUCT(($A$12:$A$72&gt;=12)*U$12:U$72*$B$5*$C$12:$C$72*$B$12:$B$72)/(1+Assumptions!$B$10)^12)/(SUMPRODUCT(($A$12:$A$72&lt;12)*U$12:U$72*$E$12:$E$72*$B$12:$B$72))/12</f>
        <v>365.73150440013</v>
      </c>
      <c r="N270" s="48" t="n">
        <f aca="false">(INDEX($E$12:$E$72,13+1)*SUMPRODUCT(($A$12:$A$72&gt;=13)*U$12:U$72*$B$5*$C$12:$C$72*$B$12:$B$72)/(1+Assumptions!$B$10)^13)/(SUMPRODUCT(($A$12:$A$72&lt;13)*U$12:U$72*$E$12:$E$72*$B$12:$B$72))/12</f>
        <v>294.643706792747</v>
      </c>
      <c r="O270" s="48" t="n">
        <f aca="false">(INDEX($E$12:$E$72,14+1)*SUMPRODUCT(($A$12:$A$72&gt;=14)*U$12:U$72*$B$5*$C$12:$C$72*$B$12:$B$72)/(1+Assumptions!$B$10)^14)/(SUMPRODUCT(($A$12:$A$72&lt;14)*U$12:U$72*$E$12:$E$72*$B$12:$B$72))/12</f>
        <v>236.763969562271</v>
      </c>
      <c r="P270" s="48" t="n">
        <f aca="false">(INDEX($E$12:$E$72,15+1)*SUMPRODUCT(($A$12:$A$72&gt;=15)*U$12:U$72*$B$5*$C$12:$C$72*$B$12:$B$72)/(1+Assumptions!$B$10)^15)/(SUMPRODUCT(($A$12:$A$72&lt;15)*U$12:U$72*$E$12:$E$72*$B$12:$B$72))/12</f>
        <v>189.436872637878</v>
      </c>
      <c r="Q270" s="48" t="n">
        <f aca="false">(INDEX($E$12:$E$72,16+1)*SUMPRODUCT(($A$12:$A$72&gt;=16)*U$12:U$72*$B$5*$C$12:$C$72*$B$12:$B$72)/(1+Assumptions!$B$10)^16)/(SUMPRODUCT(($A$12:$A$72&lt;16)*U$12:U$72*$E$12:$E$72*$B$12:$B$72))/12</f>
        <v>150.784068487388</v>
      </c>
    </row>
    <row r="271" customFormat="false" ht="15" hidden="false" customHeight="true" outlineLevel="0" collapsed="false">
      <c r="A271" s="3" t="n">
        <v>75</v>
      </c>
      <c r="C271" s="48" t="n">
        <f aca="false">(INDEX($E$12:$E$72,1+1)*SUMPRODUCT(($A$12:$A$72&gt;=1)*V$12:V$72*$B$5*$C$12:$C$72*$B$12:$B$72)/(1+Assumptions!$B$10)^1)/(SUMPRODUCT(($A$12:$A$72&lt;1)*V$12:V$72*$E$12:$E$72*$B$12:$B$72))/12</f>
        <v>12300.67058823</v>
      </c>
      <c r="D271" s="48" t="n">
        <f aca="false">(INDEX($E$12:$E$72,2+1)*SUMPRODUCT(($A$12:$A$72&gt;=2)*V$12:V$72*$B$5*$C$12:$C$72*$B$12:$B$72)/(1+Assumptions!$B$10)^2)/(SUMPRODUCT(($A$12:$A$72&lt;2)*V$12:V$72*$E$12:$E$72*$B$12:$B$72))/12</f>
        <v>5689.38149130728</v>
      </c>
      <c r="E271" s="48" t="n">
        <f aca="false">(INDEX($E$12:$E$72,3+1)*SUMPRODUCT(($A$12:$A$72&gt;=3)*V$12:V$72*$B$5*$C$12:$C$72*$B$12:$B$72)/(1+Assumptions!$B$10)^3)/(SUMPRODUCT(($A$12:$A$72&lt;3)*V$12:V$72*$E$12:$E$72*$B$12:$B$72))/12</f>
        <v>3503.26209630075</v>
      </c>
      <c r="F271" s="48" t="n">
        <f aca="false">(INDEX($E$12:$E$72,4+1)*SUMPRODUCT(($A$12:$A$72&gt;=4)*V$12:V$72*$B$5*$C$12:$C$72*$B$12:$B$72)/(1+Assumptions!$B$10)^4)/(SUMPRODUCT(($A$12:$A$72&lt;4)*V$12:V$72*$E$12:$E$72*$B$12:$B$72))/12</f>
        <v>2407.51393665898</v>
      </c>
      <c r="G271" s="48" t="n">
        <f aca="false">(INDEX($E$12:$E$72,5+1)*SUMPRODUCT(($A$12:$A$72&gt;=5)*V$12:V$72*$B$5*$C$12:$C$72*$B$12:$B$72)/(1+Assumptions!$B$10)^5)/(SUMPRODUCT(($A$12:$A$72&lt;5)*V$12:V$72*$E$12:$E$72*$B$12:$B$72))/12</f>
        <v>1754.01330367844</v>
      </c>
      <c r="H271" s="48" t="n">
        <f aca="false">(INDEX($E$12:$E$72,6+1)*SUMPRODUCT(($A$12:$A$72&gt;=6)*V$12:V$72*$B$5*$C$12:$C$72*$B$12:$B$72)/(1+Assumptions!$B$10)^6)/(SUMPRODUCT(($A$12:$A$72&lt;6)*V$12:V$72*$E$12:$E$72*$B$12:$B$72))/12</f>
        <v>1329.27453724899</v>
      </c>
      <c r="I271" s="48" t="n">
        <f aca="false">(INDEX($E$12:$E$72,7+1)*SUMPRODUCT(($A$12:$A$72&gt;=7)*V$12:V$72*$B$5*$C$12:$C$72*$B$12:$B$72)/(1+Assumptions!$B$10)^7)/(SUMPRODUCT(($A$12:$A$72&lt;7)*V$12:V$72*$E$12:$E$72*$B$12:$B$72))/12</f>
        <v>1029.90652288322</v>
      </c>
      <c r="J271" s="48" t="n">
        <f aca="false">(INDEX($E$12:$E$72,8+1)*SUMPRODUCT(($A$12:$A$72&gt;=8)*V$12:V$72*$B$5*$C$12:$C$72*$B$12:$B$72)/(1+Assumptions!$B$10)^8)/(SUMPRODUCT(($A$12:$A$72&lt;8)*V$12:V$72*$E$12:$E$72*$B$12:$B$72))/12</f>
        <v>809.57347364702</v>
      </c>
      <c r="K271" s="48" t="n">
        <f aca="false">(INDEX($E$12:$E$72,9+1)*SUMPRODUCT(($A$12:$A$72&gt;=9)*V$12:V$72*$B$5*$C$12:$C$72*$B$12:$B$72)/(1+Assumptions!$B$10)^9)/(SUMPRODUCT(($A$12:$A$72&lt;9)*V$12:V$72*$E$12:$E$72*$B$12:$B$72))/12</f>
        <v>642.293978651425</v>
      </c>
      <c r="L271" s="48" t="n">
        <f aca="false">(INDEX($E$12:$E$72,10+1)*SUMPRODUCT(($A$12:$A$72&gt;=10)*V$12:V$72*$B$5*$C$12:$C$72*$B$12:$B$72)/(1+Assumptions!$B$10)^10)/(SUMPRODUCT(($A$12:$A$72&lt;10)*V$12:V$72*$E$12:$E$72*$B$12:$B$72))/12</f>
        <v>512.358151507073</v>
      </c>
      <c r="M271" s="48" t="n">
        <f aca="false">(INDEX($E$12:$E$72,11+1)*SUMPRODUCT(($A$12:$A$72&gt;=11)*V$12:V$72*$B$5*$C$12:$C$72*$B$12:$B$72)/(1+Assumptions!$B$10)^11)/(SUMPRODUCT(($A$12:$A$72&lt;11)*V$12:V$72*$E$12:$E$72*$B$12:$B$72))/12</f>
        <v>409.834413959486</v>
      </c>
      <c r="N271" s="48" t="n">
        <f aca="false">(INDEX($E$12:$E$72,12+1)*SUMPRODUCT(($A$12:$A$72&gt;=12)*V$12:V$72*$B$5*$C$12:$C$72*$B$12:$B$72)/(1+Assumptions!$B$10)^12)/(SUMPRODUCT(($A$12:$A$72&lt;12)*V$12:V$72*$E$12:$E$72*$B$12:$B$72))/12</f>
        <v>327.838677082667</v>
      </c>
      <c r="O271" s="48" t="n">
        <f aca="false">(INDEX($E$12:$E$72,13+1)*SUMPRODUCT(($A$12:$A$72&gt;=13)*V$12:V$72*$B$5*$C$12:$C$72*$B$12:$B$72)/(1+Assumptions!$B$10)^13)/(SUMPRODUCT(($A$12:$A$72&lt;13)*V$12:V$72*$E$12:$E$72*$B$12:$B$72))/12</f>
        <v>261.853584008065</v>
      </c>
      <c r="P271" s="48" t="n">
        <f aca="false">(INDEX($E$12:$E$72,14+1)*SUMPRODUCT(($A$12:$A$72&gt;=14)*V$12:V$72*$B$5*$C$12:$C$72*$B$12:$B$72)/(1+Assumptions!$B$10)^14)/(SUMPRODUCT(($A$12:$A$72&lt;14)*V$12:V$72*$E$12:$E$72*$B$12:$B$72))/12</f>
        <v>208.442477824489</v>
      </c>
      <c r="Q271" s="48" t="n">
        <f aca="false">(INDEX($E$12:$E$72,15+1)*SUMPRODUCT(($A$12:$A$72&gt;=15)*V$12:V$72*$B$5*$C$12:$C$72*$B$12:$B$72)/(1+Assumptions!$B$10)^15)/(SUMPRODUCT(($A$12:$A$72&lt;15)*V$12:V$72*$E$12:$E$72*$B$12:$B$72))/12</f>
        <v>165.07361629196</v>
      </c>
    </row>
    <row r="274" customFormat="false" ht="15" hidden="false" customHeight="true" outlineLevel="0" collapsed="false">
      <c r="A274" s="3" t="s">
        <v>1701</v>
      </c>
    </row>
    <row r="275" customFormat="false" ht="15" hidden="false" customHeight="true" outlineLevel="0" collapsed="false">
      <c r="A275" s="8" t="s">
        <v>1556</v>
      </c>
      <c r="B275" s="89" t="n">
        <v>75</v>
      </c>
      <c r="C275" s="89" t="n">
        <v>76</v>
      </c>
      <c r="D275" s="89" t="n">
        <v>77</v>
      </c>
      <c r="E275" s="89" t="n">
        <v>78</v>
      </c>
      <c r="F275" s="89" t="n">
        <v>79</v>
      </c>
      <c r="G275" s="89" t="n">
        <v>80</v>
      </c>
      <c r="H275" s="89" t="n">
        <v>81</v>
      </c>
      <c r="I275" s="89" t="n">
        <v>82</v>
      </c>
      <c r="J275" s="89" t="n">
        <v>83</v>
      </c>
      <c r="K275" s="89" t="n">
        <v>84</v>
      </c>
      <c r="L275" s="89" t="n">
        <v>85</v>
      </c>
      <c r="M275" s="89" t="n">
        <v>86</v>
      </c>
      <c r="N275" s="89" t="n">
        <v>87</v>
      </c>
      <c r="O275" s="89" t="n">
        <v>88</v>
      </c>
      <c r="P275" s="89" t="n">
        <v>89</v>
      </c>
      <c r="Q275" s="89" t="n">
        <v>90</v>
      </c>
    </row>
    <row r="276" customFormat="false" ht="15" hidden="false" customHeight="true" outlineLevel="0" collapsed="false">
      <c r="A276" s="3" t="n">
        <v>60</v>
      </c>
      <c r="B276" s="48" t="n">
        <f aca="false">IF(B256="","",B236-B256)</f>
        <v>147.958485643197</v>
      </c>
      <c r="C276" s="48" t="n">
        <f aca="false">IF(C256="","",C236-C256)</f>
        <v>126.929989026642</v>
      </c>
      <c r="D276" s="48" t="n">
        <f aca="false">IF(D256="","",D236-D256)</f>
        <v>109.52578898207</v>
      </c>
      <c r="E276" s="48" t="n">
        <f aca="false">IF(E256="","",E236-E256)</f>
        <v>94.9560235060568</v>
      </c>
      <c r="F276" s="48" t="n">
        <f aca="false">IF(F256="","",F236-F256)</f>
        <v>82.6484953474322</v>
      </c>
      <c r="G276" s="48" t="n">
        <f aca="false">IF(G256="","",G236-G256)</f>
        <v>72.1738002834265</v>
      </c>
      <c r="H276" s="48" t="n">
        <f aca="false">IF(H256="","",H236-H256)</f>
        <v>63.2073201025857</v>
      </c>
      <c r="I276" s="48" t="n">
        <f aca="false">IF(I256="","",I236-I256)</f>
        <v>55.5028505288227</v>
      </c>
      <c r="J276" s="48" t="n">
        <f aca="false">IF(J256="","",J236-J256)</f>
        <v>48.8598228324319</v>
      </c>
      <c r="K276" s="48" t="n">
        <f aca="false">IF(K256="","",K236-K256)</f>
        <v>43.1174536635427</v>
      </c>
      <c r="L276" s="48" t="n">
        <f aca="false">IF(L256="","",L236-L256)</f>
        <v>38.1463879875662</v>
      </c>
      <c r="M276" s="48" t="n">
        <f aca="false">IF(M256="","",M236-M256)</f>
        <v>33.8389019341271</v>
      </c>
      <c r="N276" s="48" t="n">
        <f aca="false">IF(N256="","",N236-N256)</f>
        <v>30.1122679420565</v>
      </c>
      <c r="O276" s="48" t="n">
        <f aca="false">IF(O256="","",O236-O256)</f>
        <v>26.8933276211188</v>
      </c>
      <c r="P276" s="48" t="n">
        <f aca="false">IF(P256="","",P236-P256)</f>
        <v>24.1218215593336</v>
      </c>
      <c r="Q276" s="48" t="n">
        <f aca="false">IF(Q256="","",Q236-Q256)</f>
        <v>21.7456807514277</v>
      </c>
    </row>
    <row r="277" customFormat="false" ht="15" hidden="false" customHeight="true" outlineLevel="0" collapsed="false">
      <c r="A277" s="3" t="n">
        <v>61</v>
      </c>
      <c r="B277" s="48" t="n">
        <f aca="false">IF(B257="","",B237-B257)</f>
        <v>165.19382941763</v>
      </c>
      <c r="C277" s="48" t="n">
        <f aca="false">IF(C257="","",C237-C257)</f>
        <v>140.426538464037</v>
      </c>
      <c r="D277" s="48" t="n">
        <f aca="false">IF(D257="","",D237-D257)</f>
        <v>120.207141615841</v>
      </c>
      <c r="E277" s="48" t="n">
        <f aca="false">IF(E257="","",E237-E257)</f>
        <v>103.490917744979</v>
      </c>
      <c r="F277" s="48" t="n">
        <f aca="false">IF(F257="","",F237-F257)</f>
        <v>89.5146899326563</v>
      </c>
      <c r="G277" s="48" t="n">
        <f aca="false">IF(G257="","",G237-G257)</f>
        <v>77.7256206952327</v>
      </c>
      <c r="H277" s="48" t="n">
        <f aca="false">IF(H257="","",H237-H257)</f>
        <v>67.7088662484129</v>
      </c>
      <c r="I277" s="48" t="n">
        <f aca="false">IF(I257="","",I237-I257)</f>
        <v>59.1565989224291</v>
      </c>
      <c r="J277" s="48" t="n">
        <f aca="false">IF(J257="","",J237-J257)</f>
        <v>51.8244882815014</v>
      </c>
      <c r="K277" s="48" t="n">
        <f aca="false">IF(K257="","",K237-K257)</f>
        <v>45.5188636713975</v>
      </c>
      <c r="L277" s="48" t="n">
        <f aca="false">IF(L257="","",L237-L257)</f>
        <v>40.0844082056937</v>
      </c>
      <c r="M277" s="48" t="n">
        <f aca="false">IF(M257="","",M237-M257)</f>
        <v>35.3960626226593</v>
      </c>
      <c r="N277" s="48" t="n">
        <f aca="false">IF(N257="","",N237-N257)</f>
        <v>31.3547319165411</v>
      </c>
      <c r="O277" s="48" t="n">
        <f aca="false">IF(O257="","",O237-O257)</f>
        <v>27.8770101076194</v>
      </c>
      <c r="P277" s="48" t="n">
        <f aca="false">IF(P257="","",P237-P257)</f>
        <v>24.8917262121385</v>
      </c>
      <c r="Q277" s="48" t="n">
        <f aca="false">IF(Q257="","",Q237-Q257)</f>
        <v>22.3399621190772</v>
      </c>
    </row>
    <row r="278" customFormat="false" ht="15" hidden="false" customHeight="true" outlineLevel="0" collapsed="false">
      <c r="A278" s="3" t="n">
        <v>62</v>
      </c>
      <c r="B278" s="48" t="n">
        <f aca="false">IF(B258="","",B238-B258)</f>
        <v>186.269808621137</v>
      </c>
      <c r="C278" s="48" t="n">
        <f aca="false">IF(C258="","",C238-C258)</f>
        <v>156.747836515153</v>
      </c>
      <c r="D278" s="48" t="n">
        <f aca="false">IF(D258="","",D238-D258)</f>
        <v>132.94937744104</v>
      </c>
      <c r="E278" s="48" t="n">
        <f aca="false">IF(E258="","",E238-E258)</f>
        <v>113.541675085275</v>
      </c>
      <c r="F278" s="48" t="n">
        <f aca="false">IF(F258="","",F238-F258)</f>
        <v>97.5163434293024</v>
      </c>
      <c r="G278" s="48" t="n">
        <f aca="false">IF(G258="","",G238-G258)</f>
        <v>84.1368273753805</v>
      </c>
      <c r="H278" s="48" t="n">
        <f aca="false">IF(H258="","",H238-H258)</f>
        <v>72.8695977665337</v>
      </c>
      <c r="I278" s="48" t="n">
        <f aca="false">IF(I258="","",I238-I258)</f>
        <v>63.3208928490849</v>
      </c>
      <c r="J278" s="48" t="n">
        <f aca="false">IF(J258="","",J238-J258)</f>
        <v>55.1862297712129</v>
      </c>
      <c r="K278" s="48" t="n">
        <f aca="false">IF(K258="","",K238-K258)</f>
        <v>48.2299580492228</v>
      </c>
      <c r="L278" s="48" t="n">
        <f aca="false">IF(L258="","",L238-L258)</f>
        <v>42.2652227650032</v>
      </c>
      <c r="M278" s="48" t="n">
        <f aca="false">IF(M258="","",M238-M258)</f>
        <v>37.1420804330065</v>
      </c>
      <c r="N278" s="48" t="n">
        <f aca="false">IF(N258="","",N238-N258)</f>
        <v>32.7453470931788</v>
      </c>
      <c r="O278" s="48" t="n">
        <f aca="false">IF(O258="","",O238-O258)</f>
        <v>28.9754546452329</v>
      </c>
      <c r="P278" s="48" t="n">
        <f aca="false">IF(P258="","",P238-P258)</f>
        <v>25.7513578201104</v>
      </c>
      <c r="Q278" s="48" t="n">
        <f aca="false">IF(Q258="","",Q238-Q258)</f>
        <v>23.0036849373385</v>
      </c>
    </row>
    <row r="279" customFormat="false" ht="15" hidden="false" customHeight="true" outlineLevel="0" collapsed="false">
      <c r="A279" s="3" t="n">
        <v>63</v>
      </c>
      <c r="B279" s="48" t="n">
        <f aca="false">IF(B259="","",B239-B259)</f>
        <v>212.51457991339</v>
      </c>
      <c r="C279" s="48" t="n">
        <f aca="false">IF(C259="","",C239-C259)</f>
        <v>176.715375564026</v>
      </c>
      <c r="D279" s="48" t="n">
        <f aca="false">IF(D259="","",D239-D259)</f>
        <v>148.368020108992</v>
      </c>
      <c r="E279" s="48" t="n">
        <f aca="false">IF(E259="","",E239-E259)</f>
        <v>125.539989977163</v>
      </c>
      <c r="F279" s="48" t="n">
        <f aca="false">IF(F259="","",F239-F259)</f>
        <v>106.946128450964</v>
      </c>
      <c r="G279" s="48" t="n">
        <f aca="false">IF(G259="","",G239-G259)</f>
        <v>91.6142549205101</v>
      </c>
      <c r="H279" s="48" t="n">
        <f aca="false">IF(H259="","",H239-H259)</f>
        <v>78.8343465518711</v>
      </c>
      <c r="I279" s="48" t="n">
        <f aca="false">IF(I259="","",I239-I259)</f>
        <v>68.0996181293299</v>
      </c>
      <c r="J279" s="48" t="n">
        <f aca="false">IF(J259="","",J239-J259)</f>
        <v>59.0219469498958</v>
      </c>
      <c r="K279" s="48" t="n">
        <f aca="false">IF(K259="","",K239-K259)</f>
        <v>51.3080401309028</v>
      </c>
      <c r="L279" s="48" t="n">
        <f aca="false">IF(L259="","",L239-L259)</f>
        <v>44.7308268073775</v>
      </c>
      <c r="M279" s="48" t="n">
        <f aca="false">IF(M259="","",M239-M259)</f>
        <v>39.1101595156719</v>
      </c>
      <c r="N279" s="48" t="n">
        <f aca="false">IF(N259="","",N239-N259)</f>
        <v>34.3076646097317</v>
      </c>
      <c r="O279" s="48" t="n">
        <f aca="false">IF(O259="","",O239-O259)</f>
        <v>30.2077648233021</v>
      </c>
      <c r="P279" s="48" t="n">
        <f aca="false">IF(P259="","",P239-P259)</f>
        <v>26.7139493932767</v>
      </c>
      <c r="Q279" s="48" t="n">
        <f aca="false">IF(Q259="","",Q239-Q259)</f>
        <v>23.7473313850996</v>
      </c>
    </row>
    <row r="280" customFormat="false" ht="15" hidden="false" customHeight="true" outlineLevel="0" collapsed="false">
      <c r="A280" s="3" t="n">
        <v>64</v>
      </c>
      <c r="B280" s="48" t="n">
        <f aca="false">IF(B260="","",B240-B260)</f>
        <v>245.888226446933</v>
      </c>
      <c r="C280" s="48" t="n">
        <f aca="false">IF(C260="","",C240-C260)</f>
        <v>201.592011511573</v>
      </c>
      <c r="D280" s="48" t="n">
        <f aca="false">IF(D260="","",D240-D260)</f>
        <v>167.241828769764</v>
      </c>
      <c r="E280" s="48" t="n">
        <f aca="false">IF(E260="","",E240-E260)</f>
        <v>140.069060218279</v>
      </c>
      <c r="F280" s="48" t="n">
        <f aca="false">IF(F260="","",F240-F260)</f>
        <v>118.212378979144</v>
      </c>
      <c r="G280" s="48" t="n">
        <f aca="false">IF(G260="","",G240-G260)</f>
        <v>100.433971352051</v>
      </c>
      <c r="H280" s="48" t="n">
        <f aca="false">IF(H260="","",H240-H260)</f>
        <v>85.7976948770664</v>
      </c>
      <c r="I280" s="48" t="n">
        <f aca="false">IF(I260="","",I240-I260)</f>
        <v>73.628597250126</v>
      </c>
      <c r="J280" s="48" t="n">
        <f aca="false">IF(J260="","",J240-J260)</f>
        <v>63.4287356878159</v>
      </c>
      <c r="K280" s="48" t="n">
        <f aca="false">IF(K260="","",K240-K260)</f>
        <v>54.8247487492916</v>
      </c>
      <c r="L280" s="48" t="n">
        <f aca="false">IF(L260="","",L240-L260)</f>
        <v>47.5344083551032</v>
      </c>
      <c r="M280" s="48" t="n">
        <f aca="false">IF(M260="","",M240-M260)</f>
        <v>41.3390933283656</v>
      </c>
      <c r="N280" s="48" t="n">
        <f aca="false">IF(N260="","",N240-N260)</f>
        <v>36.0722680676402</v>
      </c>
      <c r="O280" s="48" t="n">
        <f aca="false">IF(O260="","",O240-O260)</f>
        <v>31.5955035889905</v>
      </c>
      <c r="P280" s="48" t="n">
        <f aca="false">IF(P260="","",P240-P260)</f>
        <v>27.7969322483118</v>
      </c>
      <c r="Q280" s="48" t="n">
        <f aca="false">IF(Q260="","",Q240-Q260)</f>
        <v>24.58288972086</v>
      </c>
    </row>
    <row r="281" customFormat="false" ht="15" hidden="false" customHeight="true" outlineLevel="0" collapsed="false">
      <c r="A281" s="3" t="n">
        <v>65</v>
      </c>
      <c r="B281" s="48" t="n">
        <f aca="false">IF(B261="","",B241-B261)</f>
        <v>289.229564020885</v>
      </c>
      <c r="C281" s="48" t="n">
        <f aca="false">IF(C261="","",C241-C261)</f>
        <v>233.241823430085</v>
      </c>
      <c r="D281" s="48" t="n">
        <f aca="false">IF(D261="","",D241-D261)</f>
        <v>190.769730599463</v>
      </c>
      <c r="E281" s="48" t="n">
        <f aca="false">IF(E261="","",E241-E261)</f>
        <v>157.865913955072</v>
      </c>
      <c r="F281" s="48" t="n">
        <f aca="false">IF(F261="","",F241-F261)</f>
        <v>131.866699488651</v>
      </c>
      <c r="G281" s="48" t="n">
        <f aca="false">IF(G261="","",G241-G261)</f>
        <v>110.981497855751</v>
      </c>
      <c r="H281" s="48" t="n">
        <f aca="false">IF(H261="","",H241-H261)</f>
        <v>94.0195270277667</v>
      </c>
      <c r="I281" s="48" t="n">
        <f aca="false">IF(I261="","",I241-I261)</f>
        <v>80.0905496810742</v>
      </c>
      <c r="J281" s="48" t="n">
        <f aca="false">IF(J261="","",J241-J261)</f>
        <v>68.5337152114418</v>
      </c>
      <c r="K281" s="48" t="n">
        <f aca="false">IF(K261="","",K241-K261)</f>
        <v>58.8706317633431</v>
      </c>
      <c r="L281" s="48" t="n">
        <f aca="false">IF(L261="","",L241-L261)</f>
        <v>50.7425360179659</v>
      </c>
      <c r="M281" s="48" t="n">
        <f aca="false">IF(M261="","",M241-M261)</f>
        <v>43.8781049272888</v>
      </c>
      <c r="N281" s="48" t="n">
        <f aca="false">IF(N261="","",N241-N261)</f>
        <v>38.0748917572202</v>
      </c>
      <c r="O281" s="48" t="n">
        <f aca="false">IF(O261="","",O241-O261)</f>
        <v>33.1667467280748</v>
      </c>
      <c r="P281" s="48" t="n">
        <f aca="false">IF(P261="","",P241-P261)</f>
        <v>29.0199768154995</v>
      </c>
      <c r="Q281" s="48" t="n">
        <f aca="false">IF(Q261="","",Q241-Q261)</f>
        <v>25.5261946198068</v>
      </c>
    </row>
    <row r="282" customFormat="false" ht="15" hidden="false" customHeight="true" outlineLevel="0" collapsed="false">
      <c r="A282" s="3" t="n">
        <v>66</v>
      </c>
      <c r="B282" s="48" t="n">
        <f aca="false">IF(B262="","",B242-B262)</f>
        <v>347.330194013896</v>
      </c>
      <c r="C282" s="48" t="n">
        <f aca="false">IF(C262="","",C242-C262)</f>
        <v>274.313957035785</v>
      </c>
      <c r="D282" s="48" t="n">
        <f aca="false">IF(D262="","",D242-D262)</f>
        <v>220.68363841956</v>
      </c>
      <c r="E282" s="48" t="n">
        <f aca="false">IF(E262="","",E242-E262)</f>
        <v>180.037218638673</v>
      </c>
      <c r="F282" s="48" t="n">
        <f aca="false">IF(F262="","",F242-F262)</f>
        <v>148.581927244072</v>
      </c>
      <c r="G282" s="48" t="n">
        <f aca="false">IF(G262="","",G242-G262)</f>
        <v>123.758849158526</v>
      </c>
      <c r="H282" s="48" t="n">
        <f aca="false">IF(H262="","",H242-H262)</f>
        <v>103.848025628525</v>
      </c>
      <c r="I282" s="48" t="n">
        <f aca="false">IF(I262="","",I242-I262)</f>
        <v>87.7174821951089</v>
      </c>
      <c r="J282" s="48" t="n">
        <f aca="false">IF(J262="","",J242-J262)</f>
        <v>74.4982004381415</v>
      </c>
      <c r="K282" s="48" t="n">
        <f aca="false">IF(K262="","",K242-K262)</f>
        <v>63.5563009663312</v>
      </c>
      <c r="L282" s="48" t="n">
        <f aca="false">IF(L262="","",L242-L262)</f>
        <v>54.4328178831755</v>
      </c>
      <c r="M282" s="48" t="n">
        <f aca="false">IF(M262="","",M242-M262)</f>
        <v>46.7834560198336</v>
      </c>
      <c r="N282" s="48" t="n">
        <f aca="false">IF(N262="","",N242-N262)</f>
        <v>40.356533994742</v>
      </c>
      <c r="O282" s="48" t="n">
        <f aca="false">IF(O262="","",O242-O262)</f>
        <v>34.9506926869352</v>
      </c>
      <c r="P282" s="48" t="n">
        <f aca="false">IF(P262="","",P242-P262)</f>
        <v>30.4058154190184</v>
      </c>
      <c r="Q282" s="48" t="n">
        <f aca="false">IF(Q262="","",Q242-Q262)</f>
        <v>26.5927238247492</v>
      </c>
    </row>
    <row r="283" customFormat="false" ht="15" hidden="false" customHeight="true" outlineLevel="0" collapsed="false">
      <c r="A283" s="3" t="n">
        <v>67</v>
      </c>
      <c r="B283" s="48" t="n">
        <f aca="false">IF(B263="","",B243-B263)</f>
        <v>428.021939889707</v>
      </c>
      <c r="C283" s="48" t="n">
        <f aca="false">IF(C263="","",C243-C263)</f>
        <v>329.425754516841</v>
      </c>
      <c r="D283" s="48" t="n">
        <f aca="false">IF(D263="","",D243-D263)</f>
        <v>259.544901130737</v>
      </c>
      <c r="E283" s="48" t="n">
        <f aca="false">IF(E263="","",E243-E263)</f>
        <v>208.262697331126</v>
      </c>
      <c r="F283" s="48" t="n">
        <f aca="false">IF(F263="","",F243-F263)</f>
        <v>169.436088441889</v>
      </c>
      <c r="G283" s="48" t="n">
        <f aca="false">IF(G263="","",G243-G263)</f>
        <v>139.425812281993</v>
      </c>
      <c r="H283" s="48" t="n">
        <f aca="false">IF(H263="","",H243-H263)</f>
        <v>115.777034069495</v>
      </c>
      <c r="I283" s="48" t="n">
        <f aca="false">IF(I263="","",I243-I263)</f>
        <v>96.8541258446293</v>
      </c>
      <c r="J283" s="48" t="n">
        <f aca="false">IF(J263="","",J243-J263)</f>
        <v>81.5540737827401</v>
      </c>
      <c r="K283" s="48" t="n">
        <f aca="false">IF(K263="","",K243-K263)</f>
        <v>69.0444686313573</v>
      </c>
      <c r="L283" s="48" t="n">
        <f aca="false">IF(L263="","",L243-L263)</f>
        <v>58.7181296987598</v>
      </c>
      <c r="M283" s="48" t="n">
        <f aca="false">IF(M263="","",M243-M263)</f>
        <v>50.135277570193</v>
      </c>
      <c r="N283" s="48" t="n">
        <f aca="false">IF(N263="","",N243-N263)</f>
        <v>42.9759159653372</v>
      </c>
      <c r="O283" s="48" t="n">
        <f aca="false">IF(O263="","",O243-O263)</f>
        <v>36.9906188616137</v>
      </c>
      <c r="P283" s="48" t="n">
        <f aca="false">IF(P263="","",P243-P263)</f>
        <v>31.9857407925983</v>
      </c>
      <c r="Q283" s="48" t="n">
        <f aca="false">IF(Q263="","",Q243-Q263)</f>
        <v>27.8069380706207</v>
      </c>
    </row>
    <row r="284" customFormat="false" ht="15" hidden="false" customHeight="true" outlineLevel="0" collapsed="false">
      <c r="A284" s="3" t="n">
        <v>68</v>
      </c>
      <c r="B284" s="48" t="n">
        <f aca="false">IF(B264="","",B244-B264)</f>
        <v>545.436458068898</v>
      </c>
      <c r="C284" s="48" t="n">
        <f aca="false">IF(C264="","",C244-C264)</f>
        <v>405.989766006828</v>
      </c>
      <c r="D284" s="48" t="n">
        <f aca="false">IF(D264="","",D244-D264)</f>
        <v>311.712727726918</v>
      </c>
      <c r="E284" s="48" t="n">
        <f aca="false">IF(E264="","",E244-E264)</f>
        <v>244.948795358863</v>
      </c>
      <c r="F284" s="48" t="n">
        <f aca="false">IF(F264="","",F244-F264)</f>
        <v>196.002571184637</v>
      </c>
      <c r="G284" s="48" t="n">
        <f aca="false">IF(G264="","",G244-G264)</f>
        <v>158.987743596211</v>
      </c>
      <c r="H284" s="48" t="n">
        <f aca="false">IF(H264="","",H244-H264)</f>
        <v>130.417280938868</v>
      </c>
      <c r="I284" s="48" t="n">
        <f aca="false">IF(I264="","",I244-I264)</f>
        <v>107.956660913026</v>
      </c>
      <c r="J284" s="48" t="n">
        <f aca="false">IF(J264="","",J244-J264)</f>
        <v>90.0182426085777</v>
      </c>
      <c r="K284" s="48" t="n">
        <f aca="false">IF(K264="","",K244-K264)</f>
        <v>75.5467095366086</v>
      </c>
      <c r="L284" s="48" t="n">
        <f aca="false">IF(L264="","",L244-L264)</f>
        <v>63.7458447325749</v>
      </c>
      <c r="M284" s="48" t="n">
        <f aca="false">IF(M264="","",M244-M264)</f>
        <v>54.034830907688</v>
      </c>
      <c r="N284" s="48" t="n">
        <f aca="false">IF(N264="","",N244-N264)</f>
        <v>46.0042415226594</v>
      </c>
      <c r="O284" s="48" t="n">
        <f aca="false">IF(O264="","",O244-O264)</f>
        <v>39.3382338426019</v>
      </c>
      <c r="P284" s="48" t="n">
        <f aca="false">IF(P264="","",P244-P264)</f>
        <v>33.7974894206095</v>
      </c>
      <c r="Q284" s="48" t="n">
        <f aca="false">IF(Q264="","",Q244-Q264)</f>
        <v>29.1957869144475</v>
      </c>
    </row>
    <row r="285" customFormat="false" ht="15" hidden="false" customHeight="true" outlineLevel="0" collapsed="false">
      <c r="A285" s="3" t="n">
        <v>69</v>
      </c>
      <c r="B285" s="48" t="n">
        <f aca="false">IF(B265="","",B245-B265)</f>
        <v>727.198797191172</v>
      </c>
      <c r="C285" s="48" t="n">
        <f aca="false">IF(C265="","",C245-C265)</f>
        <v>517.43085560412</v>
      </c>
      <c r="D285" s="48" t="n">
        <f aca="false">IF(D265="","",D245-D265)</f>
        <v>384.215920476889</v>
      </c>
      <c r="E285" s="48" t="n">
        <f aca="false">IF(E265="","",E245-E265)</f>
        <v>294.223340146328</v>
      </c>
      <c r="F285" s="48" t="n">
        <f aca="false">IF(F265="","",F245-F265)</f>
        <v>230.553616535016</v>
      </c>
      <c r="G285" s="48" t="n">
        <f aca="false">IF(G265="","",G245-G265)</f>
        <v>183.92807400519</v>
      </c>
      <c r="H285" s="48" t="n">
        <f aca="false">IF(H265="","",H245-H265)</f>
        <v>148.714578730432</v>
      </c>
      <c r="I285" s="48" t="n">
        <f aca="false">IF(I265="","",I245-I265)</f>
        <v>121.597706618461</v>
      </c>
      <c r="J285" s="48" t="n">
        <f aca="false">IF(J265="","",J245-J265)</f>
        <v>100.318131594729</v>
      </c>
      <c r="K285" s="48" t="n">
        <f aca="false">IF(K265="","",K245-K265)</f>
        <v>83.3593939288033</v>
      </c>
      <c r="L285" s="48" t="n">
        <f aca="false">IF(L265="","",L245-L265)</f>
        <v>69.7132210723889</v>
      </c>
      <c r="M285" s="48" t="n">
        <f aca="false">IF(M265="","",M245-M265)</f>
        <v>58.6190879185378</v>
      </c>
      <c r="N285" s="48" t="n">
        <f aca="false">IF(N265="","",N245-N265)</f>
        <v>49.5353069776912</v>
      </c>
      <c r="O285" s="48" t="n">
        <f aca="false">IF(O265="","",O245-O265)</f>
        <v>42.0592472507084</v>
      </c>
      <c r="P285" s="48" t="n">
        <f aca="false">IF(P265="","",P245-P265)</f>
        <v>35.8885944008316</v>
      </c>
      <c r="Q285" s="48" t="n">
        <f aca="false">IF(Q265="","",Q245-Q265)</f>
        <v>30.7938089036053</v>
      </c>
    </row>
    <row r="286" customFormat="false" ht="15" hidden="false" customHeight="true" outlineLevel="0" collapsed="false">
      <c r="A286" s="3" t="n">
        <v>70</v>
      </c>
      <c r="B286" s="48" t="n">
        <f aca="false">IF(B266="","",B246-B266)</f>
        <v>1033.9736964321</v>
      </c>
      <c r="C286" s="48" t="n">
        <f aca="false">IF(C266="","",C246-C266)</f>
        <v>689.998673035468</v>
      </c>
      <c r="D286" s="48" t="n">
        <f aca="false">IF(D266="","",D246-D266)</f>
        <v>489.789493076616</v>
      </c>
      <c r="E286" s="48" t="n">
        <f aca="false">IF(E266="","",E246-E266)</f>
        <v>362.741034805719</v>
      </c>
      <c r="F286" s="48" t="n">
        <f aca="false">IF(F266="","",F246-F266)</f>
        <v>276.991625338794</v>
      </c>
      <c r="G286" s="48" t="n">
        <f aca="false">IF(G266="","",G246-G266)</f>
        <v>216.38866422149</v>
      </c>
      <c r="H286" s="48" t="n">
        <f aca="false">IF(H266="","",H246-H266)</f>
        <v>172.064998833333</v>
      </c>
      <c r="I286" s="48" t="n">
        <f aca="false">IF(I266="","",I246-I266)</f>
        <v>138.665744164531</v>
      </c>
      <c r="J286" s="48" t="n">
        <f aca="false">IF(J266="","",J246-J266)</f>
        <v>112.989815488328</v>
      </c>
      <c r="K286" s="48" t="n">
        <f aca="false">IF(K266="","",K246-K266)</f>
        <v>92.8823149184839</v>
      </c>
      <c r="L286" s="48" t="n">
        <f aca="false">IF(L266="","",L246-L266)</f>
        <v>76.8969018591113</v>
      </c>
      <c r="M286" s="48" t="n">
        <f aca="false">IF(M266="","",M246-M266)</f>
        <v>64.0715825529575</v>
      </c>
      <c r="N286" s="48" t="n">
        <f aca="false">IF(N266="","",N246-N266)</f>
        <v>53.6962132873683</v>
      </c>
      <c r="O286" s="48" t="n">
        <f aca="false">IF(O266="","",O246-O266)</f>
        <v>45.2403996168443</v>
      </c>
      <c r="P286" s="48" t="n">
        <f aca="false">IF(P266="","",P246-P266)</f>
        <v>38.3195891303112</v>
      </c>
      <c r="Q286" s="48" t="n">
        <f aca="false">IF(Q266="","",Q246-Q266)</f>
        <v>32.644609440456</v>
      </c>
    </row>
    <row r="287" customFormat="false" ht="15" hidden="false" customHeight="true" outlineLevel="0" collapsed="false">
      <c r="A287" s="3" t="n">
        <v>71</v>
      </c>
      <c r="B287" s="48" t="n">
        <f aca="false">IF(B267="","",B247-B267)</f>
        <v>1632.91360029685</v>
      </c>
      <c r="C287" s="48" t="n">
        <f aca="false">IF(C267="","",C247-C267)</f>
        <v>981.0236184453</v>
      </c>
      <c r="D287" s="48" t="n">
        <f aca="false">IF(D267="","",D247-D267)</f>
        <v>653.141489747847</v>
      </c>
      <c r="E287" s="48" t="n">
        <f aca="false">IF(E267="","",E247-E267)</f>
        <v>462.432956400447</v>
      </c>
      <c r="F287" s="48" t="n">
        <f aca="false">IF(F267="","",F247-F267)</f>
        <v>341.51607911994</v>
      </c>
      <c r="G287" s="48" t="n">
        <f aca="false">IF(G267="","",G247-G267)</f>
        <v>259.987198752205</v>
      </c>
      <c r="H287" s="48" t="n">
        <f aca="false">IF(H267="","",H247-H267)</f>
        <v>202.435631237742</v>
      </c>
      <c r="I287" s="48" t="n">
        <f aca="false">IF(I267="","",I247-I267)</f>
        <v>160.436273736486</v>
      </c>
      <c r="J287" s="48" t="n">
        <f aca="false">IF(J267="","",J247-J267)</f>
        <v>128.838733284086</v>
      </c>
      <c r="K287" s="48" t="n">
        <f aca="false">IF(K267="","",K247-K267)</f>
        <v>104.594906221608</v>
      </c>
      <c r="L287" s="48" t="n">
        <f aca="false">IF(L267="","",L247-L267)</f>
        <v>85.6532251754396</v>
      </c>
      <c r="M287" s="48" t="n">
        <f aca="false">IF(M267="","",M247-M267)</f>
        <v>70.636697652702</v>
      </c>
      <c r="N287" s="48" t="n">
        <f aca="false">IF(N267="","",N247-N267)</f>
        <v>58.6469514064625</v>
      </c>
      <c r="O287" s="48" t="n">
        <f aca="false">IF(O267="","",O247-O267)</f>
        <v>48.991107016225</v>
      </c>
      <c r="P287" s="48" t="n">
        <f aca="false">IF(P267="","",P247-P267)</f>
        <v>41.1639405907056</v>
      </c>
      <c r="Q287" s="48" t="n">
        <f aca="false">IF(Q267="","",Q247-Q267)</f>
        <v>34.7986024051247</v>
      </c>
    </row>
    <row r="288" customFormat="false" ht="15" hidden="false" customHeight="true" outlineLevel="0" collapsed="false">
      <c r="A288" s="3" t="n">
        <v>72</v>
      </c>
      <c r="B288" s="48" t="n">
        <f aca="false">IF(B268="","",B248-B268)</f>
        <v>3079.03421942723</v>
      </c>
      <c r="C288" s="48" t="n">
        <f aca="false">IF(C268="","",C248-C268)</f>
        <v>1549.43765194858</v>
      </c>
      <c r="D288" s="48" t="n">
        <f aca="false">IF(D268="","",D248-D268)</f>
        <v>928.801421119365</v>
      </c>
      <c r="E288" s="48" t="n">
        <f aca="false">IF(E268="","",E248-E268)</f>
        <v>616.815147078908</v>
      </c>
      <c r="F288" s="48" t="n">
        <f aca="false">IF(F268="","",F248-F268)</f>
        <v>435.497123401826</v>
      </c>
      <c r="G288" s="48" t="n">
        <f aca="false">IF(G268="","",G248-G268)</f>
        <v>320.643626329433</v>
      </c>
      <c r="H288" s="48" t="n">
        <f aca="false">IF(H268="","",H248-H268)</f>
        <v>243.290130940849</v>
      </c>
      <c r="I288" s="48" t="n">
        <f aca="false">IF(I268="","",I248-I268)</f>
        <v>188.802026012519</v>
      </c>
      <c r="J288" s="48" t="n">
        <f aca="false">IF(J268="","",J248-J268)</f>
        <v>149.097122843328</v>
      </c>
      <c r="K288" s="48" t="n">
        <f aca="false">IF(K268="","",K248-K268)</f>
        <v>119.279800209518</v>
      </c>
      <c r="L288" s="48" t="n">
        <f aca="false">IF(L268="","",L248-L268)</f>
        <v>96.4523532434955</v>
      </c>
      <c r="M288" s="48" t="n">
        <f aca="false">IF(M268="","",M248-M268)</f>
        <v>78.6648132484111</v>
      </c>
      <c r="N288" s="48" t="n">
        <f aca="false">IF(N268="","",N248-N268)</f>
        <v>64.6296357807825</v>
      </c>
      <c r="O288" s="48" t="n">
        <f aca="false">IF(O268="","",O248-O268)</f>
        <v>53.471750619527</v>
      </c>
      <c r="P288" s="48" t="n">
        <f aca="false">IF(P268="","",P248-P268)</f>
        <v>44.5325081829155</v>
      </c>
      <c r="Q288" s="48" t="n">
        <f aca="false">IF(Q268="","",Q248-Q268)</f>
        <v>37.3312790945216</v>
      </c>
    </row>
    <row r="289" customFormat="false" ht="15" hidden="false" customHeight="true" outlineLevel="0" collapsed="false">
      <c r="A289" s="3" t="n">
        <v>73</v>
      </c>
      <c r="B289" s="48" t="n">
        <f aca="false">IF(B269="","",B249-B269)</f>
        <v>8692.41632609912</v>
      </c>
      <c r="C289" s="48" t="n">
        <f aca="false">IF(C269="","",C249-C269)</f>
        <v>2921.81812777404</v>
      </c>
      <c r="D289" s="48" t="n">
        <f aca="false">IF(D269="","",D249-D269)</f>
        <v>1467.27256230921</v>
      </c>
      <c r="E289" s="48" t="n">
        <f aca="false">IF(E269="","",E249-E269)</f>
        <v>877.410096681235</v>
      </c>
      <c r="F289" s="48" t="n">
        <f aca="false">IF(F269="","",F249-F269)</f>
        <v>581.092945914946</v>
      </c>
      <c r="G289" s="48" t="n">
        <f aca="false">IF(G269="","",G249-G269)</f>
        <v>409.037599522109</v>
      </c>
      <c r="H289" s="48" t="n">
        <f aca="false">IF(H269="","",H249-H269)</f>
        <v>300.167814444426</v>
      </c>
      <c r="I289" s="48" t="n">
        <f aca="false">IF(I269="","",I249-I269)</f>
        <v>226.99509955157</v>
      </c>
      <c r="J289" s="48" t="n">
        <f aca="false">IF(J269="","",J249-J269)</f>
        <v>175.521640324467</v>
      </c>
      <c r="K289" s="48" t="n">
        <f aca="false">IF(K269="","",K249-K269)</f>
        <v>138.076732599575</v>
      </c>
      <c r="L289" s="48" t="n">
        <f aca="false">IF(L269="","",L249-L269)</f>
        <v>110.014610300438</v>
      </c>
      <c r="M289" s="48" t="n">
        <f aca="false">IF(M269="","",M249-M269)</f>
        <v>88.5850318284878</v>
      </c>
      <c r="N289" s="48" t="n">
        <f aca="false">IF(N269="","",N249-N269)</f>
        <v>71.9632326877938</v>
      </c>
      <c r="O289" s="48" t="n">
        <f aca="false">IF(O269="","",O249-O269)</f>
        <v>58.9015897905756</v>
      </c>
      <c r="P289" s="48" t="n">
        <f aca="false">IF(P269="","",P249-P269)</f>
        <v>48.5694198071988</v>
      </c>
      <c r="Q289" s="48" t="n">
        <f aca="false">IF(Q269="","",Q249-Q269)</f>
        <v>40.3415008515778</v>
      </c>
    </row>
    <row r="290" customFormat="false" ht="15" hidden="false" customHeight="true" outlineLevel="0" collapsed="false">
      <c r="A290" s="3" t="n">
        <v>74</v>
      </c>
      <c r="B290" s="48" t="n">
        <f aca="false">IF(B270="","",B250-B270)</f>
        <v>-448944.129373103</v>
      </c>
      <c r="C290" s="48" t="n">
        <f aca="false">IF(C270="","",C250-C270)</f>
        <v>8248.68317672761</v>
      </c>
      <c r="D290" s="48" t="n">
        <f aca="false">IF(D270="","",D250-D270)</f>
        <v>2767.58408658842</v>
      </c>
      <c r="E290" s="48" t="n">
        <f aca="false">IF(E270="","",E250-E270)</f>
        <v>1386.59049482413</v>
      </c>
      <c r="F290" s="48" t="n">
        <f aca="false">IF(F270="","",F250-F270)</f>
        <v>826.957675063655</v>
      </c>
      <c r="G290" s="48" t="n">
        <f aca="false">IF(G270="","",G250-G270)</f>
        <v>546.050478835659</v>
      </c>
      <c r="H290" s="48" t="n">
        <f aca="false">IF(H270="","",H250-H270)</f>
        <v>383.110899039069</v>
      </c>
      <c r="I290" s="48" t="n">
        <f aca="false">IF(I270="","",I250-I270)</f>
        <v>280.214972411581</v>
      </c>
      <c r="J290" s="48" t="n">
        <f aca="false">IF(J270="","",J250-J270)</f>
        <v>211.142175661558</v>
      </c>
      <c r="K290" s="48" t="n">
        <f aca="false">IF(K270="","",K250-K270)</f>
        <v>162.627994604409</v>
      </c>
      <c r="L290" s="48" t="n">
        <f aca="false">IF(L270="","",L250-L270)</f>
        <v>127.403811322989</v>
      </c>
      <c r="M290" s="48" t="n">
        <f aca="false">IF(M270="","",M250-M270)</f>
        <v>101.068188334145</v>
      </c>
      <c r="N290" s="48" t="n">
        <f aca="false">IF(N270="","",N250-N270)</f>
        <v>81.0462593353038</v>
      </c>
      <c r="O290" s="48" t="n">
        <f aca="false">IF(O270="","",O250-O270)</f>
        <v>65.5764363854707</v>
      </c>
      <c r="P290" s="48" t="n">
        <f aca="false">IF(P270="","",P250-P270)</f>
        <v>53.4776148631569</v>
      </c>
      <c r="Q290" s="48" t="n">
        <f aca="false">IF(Q270="","",Q250-Q270)</f>
        <v>43.9623384968763</v>
      </c>
    </row>
    <row r="291" customFormat="false" ht="15" hidden="false" customHeight="true" outlineLevel="0" collapsed="false">
      <c r="A291" s="3" t="n">
        <v>75</v>
      </c>
      <c r="C291" s="48" t="n">
        <f aca="false">IF(C271="","",C251-C271)</f>
        <v>-425539.14270261</v>
      </c>
      <c r="D291" s="48" t="n">
        <f aca="false">IF(D271="","",D251-D271)</f>
        <v>7816.99944975645</v>
      </c>
      <c r="E291" s="48" t="n">
        <f aca="false">IF(E271="","",E251-E271)</f>
        <v>2616.70104335386</v>
      </c>
      <c r="F291" s="48" t="n">
        <f aca="false">IF(F271="","",F251-F271)</f>
        <v>1307.57604495912</v>
      </c>
      <c r="G291" s="48" t="n">
        <f aca="false">IF(G271="","",G251-G271)</f>
        <v>777.556979851323</v>
      </c>
      <c r="H291" s="48" t="n">
        <f aca="false">IF(H271="","",H251-H271)</f>
        <v>511.765069900225</v>
      </c>
      <c r="I291" s="48" t="n">
        <f aca="false">IF(I271="","",I251-I271)</f>
        <v>357.895285252716</v>
      </c>
      <c r="J291" s="48" t="n">
        <f aca="false">IF(J271="","",J251-J271)</f>
        <v>260.834448960038</v>
      </c>
      <c r="K291" s="48" t="n">
        <f aca="false">IF(K271="","",K251-K271)</f>
        <v>195.770977842253</v>
      </c>
      <c r="L291" s="48" t="n">
        <f aca="false">IF(L271="","",L251-L271)</f>
        <v>150.153873355154</v>
      </c>
      <c r="M291" s="48" t="n">
        <f aca="false">IF(M271="","",M251-M271)</f>
        <v>117.106138816262</v>
      </c>
      <c r="N291" s="48" t="n">
        <f aca="false">IF(N271="","",N251-N271)</f>
        <v>92.5033019634552</v>
      </c>
      <c r="O291" s="48" t="n">
        <f aca="false">IF(O271="","",O251-O271)</f>
        <v>73.8664753741328</v>
      </c>
      <c r="P291" s="48" t="n">
        <f aca="false">IF(P271="","",P251-P271)</f>
        <v>59.5313494358565</v>
      </c>
      <c r="Q291" s="48" t="n">
        <f aca="false">IF(Q271="","",Q251-Q271)</f>
        <v>48.3815445005997</v>
      </c>
    </row>
    <row r="296" customFormat="false" ht="15" hidden="false" customHeight="true" outlineLevel="0" collapsed="false">
      <c r="A296" s="6" t="s">
        <v>1702</v>
      </c>
    </row>
    <row r="297" customFormat="false" ht="15" hidden="false" customHeight="true" outlineLevel="0" collapsed="false">
      <c r="A297" s="7" t="s">
        <v>1703</v>
      </c>
    </row>
    <row r="298" customFormat="false" ht="15" hidden="false" customHeight="true" outlineLevel="0" collapsed="false">
      <c r="A298" s="1" t="s">
        <v>1704</v>
      </c>
      <c r="B298" s="48" t="n">
        <f aca="false">Assumptions!$B$9</f>
        <v>16000</v>
      </c>
    </row>
    <row r="299" customFormat="false" ht="15" hidden="false" customHeight="true" outlineLevel="0" collapsed="false">
      <c r="A299" s="1" t="s">
        <v>1705</v>
      </c>
      <c r="B299" s="48" t="n">
        <f aca="false">Assumptions!$B$9*(1+Assumptions!$B$10)^Assumptions!$B$6</f>
        <v>21533.8934131861</v>
      </c>
    </row>
    <row r="300" customFormat="false" ht="15" hidden="false" customHeight="true" outlineLevel="0" collapsed="false">
      <c r="A300" s="1" t="s">
        <v>1706</v>
      </c>
      <c r="B300" s="48" t="n">
        <f aca="false">G241</f>
        <v>578.747857148236</v>
      </c>
    </row>
    <row r="301" customFormat="false" ht="15" hidden="false" customHeight="true" outlineLevel="0" collapsed="false">
      <c r="A301" s="1" t="s">
        <v>1707</v>
      </c>
      <c r="B301" s="48" t="n">
        <f aca="false">G124*Assumptions!$B$9/$B$5</f>
        <v>106683.779346131</v>
      </c>
    </row>
    <row r="302" customFormat="false" ht="15" hidden="false" customHeight="true" outlineLevel="0" collapsed="false">
      <c r="A302" s="1" t="s">
        <v>1708</v>
      </c>
      <c r="B302" s="49" t="n">
        <f aca="false">(B301+G142)/(G88*(1-Assumptions!$B$13-G106/G88))</f>
        <v>12316.0657114102</v>
      </c>
    </row>
    <row r="303" customFormat="false" ht="15" hidden="false" customHeight="true" outlineLevel="0" collapsed="false">
      <c r="A303" s="1" t="s">
        <v>1689</v>
      </c>
      <c r="B303" s="50" t="n">
        <f aca="false">Pricing!B14</f>
        <v>12316.0657114102</v>
      </c>
    </row>
    <row r="304" customFormat="false" ht="15" hidden="false" customHeight="true" outlineLevel="0" collapsed="false">
      <c r="A304" s="1" t="s">
        <v>1690</v>
      </c>
      <c r="B304" s="27" t="n">
        <f aca="false">B302-B303</f>
        <v>0</v>
      </c>
    </row>
    <row r="305" customFormat="false" ht="15" hidden="false" customHeight="true" outlineLevel="0" collapsed="false">
      <c r="A305" s="3" t="s">
        <v>458</v>
      </c>
      <c r="B305" s="28" t="str">
        <f aca="false">IF(ABS(B304)&lt;0.05,"PASS — the engine still reproduces the central case exactly","FAIL")</f>
        <v>PASS — the engine still reproduces the central case exactly</v>
      </c>
    </row>
    <row r="307" customFormat="false" ht="15" hidden="false" customHeight="true" outlineLevel="0" collapsed="false">
      <c r="A307" s="3" t="s">
        <v>1709</v>
      </c>
    </row>
    <row r="308" customFormat="false" ht="15" hidden="false" customHeight="true" outlineLevel="0" collapsed="false">
      <c r="A308" s="1" t="s">
        <v>1710</v>
      </c>
      <c r="B308" s="48" t="n">
        <f aca="false">G241</f>
        <v>578.747857148236</v>
      </c>
    </row>
    <row r="309" customFormat="false" ht="15" hidden="false" customHeight="true" outlineLevel="0" collapsed="false">
      <c r="A309" s="1" t="s">
        <v>1711</v>
      </c>
      <c r="B309" s="48" t="n">
        <f aca="false">Panel_Examples!C10</f>
        <v>773.599046044556</v>
      </c>
    </row>
    <row r="310" customFormat="false" ht="15" hidden="false" customHeight="true" outlineLevel="0" collapsed="false">
      <c r="A310" s="1" t="s">
        <v>1712</v>
      </c>
      <c r="B310" s="11" t="n">
        <f aca="false">B309/B308</f>
        <v>1.33667716690381</v>
      </c>
    </row>
    <row r="311" customFormat="false" ht="15" hidden="false" customHeight="true" outlineLevel="0" collapsed="false">
      <c r="A311" s="1" t="s">
        <v>1713</v>
      </c>
      <c r="B311" s="11" t="n">
        <f aca="false">(1+Assumptions!$B$10)^Assumptions!$B$6</f>
        <v>1.34586833832413</v>
      </c>
    </row>
    <row r="312" customFormat="false" ht="15" hidden="false" customHeight="true" outlineLevel="0" collapsed="false">
      <c r="A312" s="7" t="s">
        <v>1714</v>
      </c>
    </row>
    <row r="313" customFormat="false" ht="15" hidden="false" customHeight="true" outlineLevel="0" collapsed="false">
      <c r="A313" s="1" t="s">
        <v>1715</v>
      </c>
      <c r="B313" s="11" t="n">
        <f aca="false">B310-B311</f>
        <v>-0.009191171420317</v>
      </c>
    </row>
    <row r="323" customFormat="false" ht="15" hidden="false" customHeight="true" outlineLevel="0" collapsed="false">
      <c r="A323" s="6" t="s">
        <v>1716</v>
      </c>
    </row>
    <row r="324" customFormat="false" ht="15" hidden="false" customHeight="true" outlineLevel="0" collapsed="false">
      <c r="A324" s="7" t="s">
        <v>1717</v>
      </c>
    </row>
    <row r="325" customFormat="false" ht="15" hidden="false" customHeight="true" outlineLevel="0" collapsed="false">
      <c r="A325" s="7" t="s">
        <v>1718</v>
      </c>
    </row>
    <row r="327" customFormat="false" ht="15" hidden="false" customHeight="true" outlineLevel="0" collapsed="false">
      <c r="A327" s="8" t="s">
        <v>1544</v>
      </c>
      <c r="B327" s="8" t="s">
        <v>1545</v>
      </c>
      <c r="C327" s="8" t="s">
        <v>1719</v>
      </c>
      <c r="D327" s="8" t="s">
        <v>1720</v>
      </c>
      <c r="E327" s="8" t="s">
        <v>1721</v>
      </c>
      <c r="F327" s="8" t="s">
        <v>1722</v>
      </c>
      <c r="G327" s="8" t="s">
        <v>1723</v>
      </c>
      <c r="H327" s="8" t="s">
        <v>1724</v>
      </c>
      <c r="I327" s="8" t="s">
        <v>1725</v>
      </c>
      <c r="J327" s="8" t="s">
        <v>1726</v>
      </c>
      <c r="K327" s="8" t="s">
        <v>1727</v>
      </c>
      <c r="L327" s="8" t="s">
        <v>1728</v>
      </c>
      <c r="M327" s="8" t="s">
        <v>1729</v>
      </c>
      <c r="N327" s="8" t="s">
        <v>1730</v>
      </c>
      <c r="O327" s="8" t="s">
        <v>1731</v>
      </c>
      <c r="P327" s="8" t="s">
        <v>1732</v>
      </c>
      <c r="Q327" s="8" t="s">
        <v>1733</v>
      </c>
    </row>
    <row r="328" customFormat="false" ht="15" hidden="false" customHeight="true" outlineLevel="0" collapsed="false">
      <c r="A328" s="3" t="n">
        <v>60</v>
      </c>
      <c r="B328" s="3" t="n">
        <v>75</v>
      </c>
      <c r="C328" s="11" t="n">
        <f aca="false">SUMPRODUCT(($A$12:$A$72&lt;15)*$G$12:$G$72*$E$12:$E$72*$B$12:$B$72)</f>
        <v>10.8372760324461</v>
      </c>
      <c r="D328" s="11" t="n">
        <f aca="false">SUMPRODUCT(($A$12:$A$72=0)*$G$12:$G$72*$E$12:$E$72*$B$12:$B$72)</f>
        <v>1</v>
      </c>
      <c r="E328" s="11" t="n">
        <f aca="false">SUMPRODUCT(($A$12:$A$72&gt;=1)*($A$12:$A$72&lt;=3)*($A$12:$A$72&lt;15)*$G$12:$G$72*$E$12:$E$72*$B$12:$B$72)</f>
        <v>2.66694179541933</v>
      </c>
      <c r="F328" s="11" t="n">
        <f aca="false">SUMPRODUCT(($A$12:$A$72&gt;=4)*($A$12:$A$72&lt;15)*$G$12:$G$72*$E$12:$E$72*$B$12:$B$72)</f>
        <v>7.17033423702676</v>
      </c>
      <c r="G328" s="18" t="n">
        <f aca="false">(1*D328+0.05*(E328+F328))/C328</f>
        <v>0.137660404437034</v>
      </c>
      <c r="H328" s="100" t="n">
        <v>0</v>
      </c>
      <c r="I328" s="100" t="n">
        <v>0.2</v>
      </c>
      <c r="J328" s="18" t="n">
        <f aca="false">(1*D328+0.2*E328+0.03*F328)/C328</f>
        <v>0.161341132306659</v>
      </c>
      <c r="K328" s="18" t="n">
        <f aca="false">(Commission_Models!$B$266*D328+Commission_Models!$B$267*(E328+F328))/C328</f>
        <v>0.101351368834383</v>
      </c>
      <c r="L328" s="48" t="n">
        <f aca="false">((INDEX($E$12:$E$72,15+1)*SUMPRODUCT(($A$12:$A$72&gt;=15)*$G$12:$G$72*$B$5*$C$12:$C$72*$B$12:$B$72)/(1+Assumptions!$B$10)^15)+SUMPRODUCT(($A$12:$A$72&lt;15)*$G$12:$G$72*$E$12:$E$72*$D$12:$D$72*$B$12:$B$72)+INDEX($E$12:$E$72,15+1)*SUMPRODUCT(($A$12:$A$72&gt;=15)*$G$12:$G$72*$D$12:$D$72*$B$12:$B$72))/(C328*(1-Assumptions!$B$13-G328))/12</f>
        <v>794.892101255507</v>
      </c>
      <c r="M328" s="48" t="n">
        <f aca="false">((INDEX($E$12:$E$72,15+1)*SUMPRODUCT(($A$12:$A$72&gt;=15)*$G$12:$G$72*$B$5*$C$12:$C$72*$B$12:$B$72)/(1+Assumptions!$B$10)^15)+SUMPRODUCT(($A$12:$A$72&lt;15)*$G$12:$G$72*$E$12:$E$72*$D$12:$D$72*$B$12:$B$72)+INDEX($E$12:$E$72,15+1)*SUMPRODUCT(($A$12:$A$72&gt;=15)*$G$12:$G$72*$D$12:$D$72*$B$12:$B$72))/(C328*(1-Assumptions!$B$13-H328))/12</f>
        <v>682.082649562067</v>
      </c>
      <c r="N328" s="48" t="n">
        <f aca="false">((INDEX($E$12:$E$72,15+1)*SUMPRODUCT(($A$12:$A$72&gt;=15)*$G$12:$G$72*$B$5*$C$12:$C$72*$B$12:$B$72)/(1+Assumptions!$B$10)^15)+SUMPRODUCT(($A$12:$A$72&lt;15)*$G$12:$G$72*$E$12:$E$72*$D$12:$D$72*$B$12:$B$72)+INDEX($E$12:$E$72,15+1)*SUMPRODUCT(($A$12:$A$72&gt;=15)*$G$12:$G$72*$D$12:$D$72*$B$12:$B$72))/(C328*(1-Assumptions!$B$13-I328))/12</f>
        <v>859.246974123642</v>
      </c>
      <c r="O328" s="48" t="n">
        <f aca="false">((INDEX($E$12:$E$72,15+1)*SUMPRODUCT(($A$12:$A$72&gt;=15)*$G$12:$G$72*$B$5*$C$12:$C$72*$B$12:$B$72)/(1+Assumptions!$B$10)^15)+SUMPRODUCT(($A$12:$A$72&lt;15)*$G$12:$G$72*$E$12:$E$72*$D$12:$D$72*$B$12:$B$72)+INDEX($E$12:$E$72,15+1)*SUMPRODUCT(($A$12:$A$72&gt;=15)*$G$12:$G$72*$D$12:$D$72*$B$12:$B$72))/(C328*(1-Assumptions!$B$13-J328))/12</f>
        <v>818.169683790698</v>
      </c>
      <c r="P328" s="48" t="n">
        <f aca="false">((INDEX($E$12:$E$72,15+1)*SUMPRODUCT(($A$12:$A$72&gt;=15)*$G$12:$G$72*$B$5*$C$12:$C$72*$B$12:$B$72)/(1+Assumptions!$B$10)^15)+SUMPRODUCT(($A$12:$A$72&lt;15)*$G$12:$G$72*$E$12:$E$72*$D$12:$D$72*$B$12:$B$72)+INDEX($E$12:$E$72,15+1)*SUMPRODUCT(($A$12:$A$72&gt;=15)*$G$12:$G$72*$D$12:$D$72*$B$12:$B$72))/(C328*(1-Assumptions!$B$13-K328))/12</f>
        <v>761.666048085972</v>
      </c>
      <c r="Q328" s="48" t="n">
        <f aca="false">(INDEX($E$12:$E$72,15+1)*SUMPRODUCT(($A$12:$A$72&gt;=15)*$G$12:$G$72*$B$5*$C$12:$C$72*$B$12:$B$72)/(1+Assumptions!$B$10)^15)/C328/12</f>
        <v>646.93361561231</v>
      </c>
    </row>
    <row r="329" customFormat="false" ht="15" hidden="false" customHeight="true" outlineLevel="0" collapsed="false">
      <c r="A329" s="3" t="n">
        <v>60</v>
      </c>
      <c r="B329" s="3" t="n">
        <v>80</v>
      </c>
      <c r="C329" s="11" t="n">
        <f aca="false">SUMPRODUCT(($A$12:$A$72&lt;20)*$G$12:$G$72*$E$12:$E$72*$B$12:$B$72)</f>
        <v>12.9467364704478</v>
      </c>
      <c r="D329" s="11" t="n">
        <f aca="false">SUMPRODUCT(($A$12:$A$72=0)*$G$12:$G$72*$E$12:$E$72*$B$12:$B$72)</f>
        <v>1</v>
      </c>
      <c r="E329" s="11" t="n">
        <f aca="false">SUMPRODUCT(($A$12:$A$72&gt;=1)*($A$12:$A$72&lt;=3)*($A$12:$A$72&lt;20)*$G$12:$G$72*$E$12:$E$72*$B$12:$B$72)</f>
        <v>2.66694179541933</v>
      </c>
      <c r="F329" s="11" t="n">
        <f aca="false">SUMPRODUCT(($A$12:$A$72&gt;=4)*($A$12:$A$72&lt;20)*$G$12:$G$72*$E$12:$E$72*$B$12:$B$72)</f>
        <v>9.27979467502851</v>
      </c>
      <c r="G329" s="18" t="n">
        <f aca="false">(1*D329+0.05*(E329+F329))/C329</f>
        <v>0.123377565239585</v>
      </c>
      <c r="H329" s="100" t="n">
        <v>0</v>
      </c>
      <c r="I329" s="100" t="n">
        <v>0.2</v>
      </c>
      <c r="J329" s="18" t="n">
        <f aca="false">(1*D329+0.2*E329+0.03*F329)/C329</f>
        <v>0.139941227928002</v>
      </c>
      <c r="K329" s="18" t="n">
        <f aca="false">(Commission_Models!$B$266*D329+Commission_Models!$B$267*(E329+F329))/C329</f>
        <v>0.0864671469338833</v>
      </c>
      <c r="L329" s="48" t="n">
        <f aca="false">((INDEX($E$12:$E$72,20+1)*SUMPRODUCT(($A$12:$A$72&gt;=20)*$G$12:$G$72*$B$5*$C$12:$C$72*$B$12:$B$72)/(1+Assumptions!$B$10)^20)+SUMPRODUCT(($A$12:$A$72&lt;20)*$G$12:$G$72*$E$12:$E$72*$D$12:$D$72*$B$12:$B$72)+INDEX($E$12:$E$72,20+1)*SUMPRODUCT(($A$12:$A$72&gt;=20)*$G$12:$G$72*$D$12:$D$72*$B$12:$B$72))/(C329*(1-Assumptions!$B$13-G329))/12</f>
        <v>391.738453837454</v>
      </c>
      <c r="M329" s="48" t="n">
        <f aca="false">((INDEX($E$12:$E$72,20+1)*SUMPRODUCT(($A$12:$A$72&gt;=20)*$G$12:$G$72*$B$5*$C$12:$C$72*$B$12:$B$72)/(1+Assumptions!$B$10)^20)+SUMPRODUCT(($A$12:$A$72&lt;20)*$G$12:$G$72*$E$12:$E$72*$D$12:$D$72*$B$12:$B$72)+INDEX($E$12:$E$72,20+1)*SUMPRODUCT(($A$12:$A$72&gt;=20)*$G$12:$G$72*$D$12:$D$72*$B$12:$B$72))/(C329*(1-Assumptions!$B$13-H329))/12</f>
        <v>341.911921213553</v>
      </c>
      <c r="N329" s="48" t="n">
        <f aca="false">((INDEX($E$12:$E$72,20+1)*SUMPRODUCT(($A$12:$A$72&gt;=20)*$G$12:$G$72*$B$5*$C$12:$C$72*$B$12:$B$72)/(1+Assumptions!$B$10)^20)+SUMPRODUCT(($A$12:$A$72&lt;20)*$G$12:$G$72*$E$12:$E$72*$D$12:$D$72*$B$12:$B$72)+INDEX($E$12:$E$72,20+1)*SUMPRODUCT(($A$12:$A$72&gt;=20)*$G$12:$G$72*$D$12:$D$72*$B$12:$B$72))/(C329*(1-Assumptions!$B$13-I329))/12</f>
        <v>430.720212437852</v>
      </c>
      <c r="O329" s="48" t="n">
        <f aca="false">((INDEX($E$12:$E$72,20+1)*SUMPRODUCT(($A$12:$A$72&gt;=20)*$G$12:$G$72*$B$5*$C$12:$C$72*$B$12:$B$72)/(1+Assumptions!$B$10)^20)+SUMPRODUCT(($A$12:$A$72&lt;20)*$G$12:$G$72*$E$12:$E$72*$D$12:$D$72*$B$12:$B$72)+INDEX($E$12:$E$72,20+1)*SUMPRODUCT(($A$12:$A$72&gt;=20)*$G$12:$G$72*$D$12:$D$72*$B$12:$B$72))/(C329*(1-Assumptions!$B$13-J329))/12</f>
        <v>399.55551912218</v>
      </c>
      <c r="P329" s="48" t="n">
        <f aca="false">((INDEX($E$12:$E$72,20+1)*SUMPRODUCT(($A$12:$A$72&gt;=20)*$G$12:$G$72*$B$5*$C$12:$C$72*$B$12:$B$72)/(1+Assumptions!$B$10)^20)+SUMPRODUCT(($A$12:$A$72&lt;20)*$G$12:$G$72*$E$12:$E$72*$D$12:$D$72*$B$12:$B$72)+INDEX($E$12:$E$72,20+1)*SUMPRODUCT(($A$12:$A$72&gt;=20)*$G$12:$G$72*$D$12:$D$72*$B$12:$B$72))/(C329*(1-Assumptions!$B$13-K329))/12</f>
        <v>375.373210431517</v>
      </c>
      <c r="Q329" s="48" t="n">
        <f aca="false">(INDEX($E$12:$E$72,20+1)*SUMPRODUCT(($A$12:$A$72&gt;=20)*$G$12:$G$72*$B$5*$C$12:$C$72*$B$12:$B$72)/(1+Assumptions!$B$10)^20)/C329/12</f>
        <v>319.564653554028</v>
      </c>
    </row>
    <row r="330" customFormat="false" ht="15" hidden="false" customHeight="true" outlineLevel="0" collapsed="false">
      <c r="A330" s="3" t="n">
        <v>60</v>
      </c>
      <c r="B330" s="3" t="n">
        <v>85</v>
      </c>
      <c r="C330" s="11" t="n">
        <f aca="false">SUMPRODUCT(($A$12:$A$72&lt;25)*$G$12:$G$72*$E$12:$E$72*$B$12:$B$72)</f>
        <v>14.481040337881</v>
      </c>
      <c r="D330" s="11" t="n">
        <f aca="false">SUMPRODUCT(($A$12:$A$72=0)*$G$12:$G$72*$E$12:$E$72*$B$12:$B$72)</f>
        <v>1</v>
      </c>
      <c r="E330" s="11" t="n">
        <f aca="false">SUMPRODUCT(($A$12:$A$72&gt;=1)*($A$12:$A$72&lt;=3)*($A$12:$A$72&lt;25)*$G$12:$G$72*$E$12:$E$72*$B$12:$B$72)</f>
        <v>2.66694179541933</v>
      </c>
      <c r="F330" s="11" t="n">
        <f aca="false">SUMPRODUCT(($A$12:$A$72&gt;=4)*($A$12:$A$72&lt;25)*$G$12:$G$72*$E$12:$E$72*$B$12:$B$72)</f>
        <v>10.8140985424617</v>
      </c>
      <c r="G330" s="18" t="n">
        <f aca="false">(1*D330+0.05*(E330+F330))/C330</f>
        <v>0.115603021456607</v>
      </c>
      <c r="H330" s="100" t="n">
        <v>0</v>
      </c>
      <c r="I330" s="100" t="n">
        <v>0.2</v>
      </c>
      <c r="J330" s="18" t="n">
        <f aca="false">(1*D330+0.2*E330+0.03*F330)/C330</f>
        <v>0.128292669035516</v>
      </c>
      <c r="K330" s="18" t="n">
        <f aca="false">(Commission_Models!$B$266*D330+Commission_Models!$B$267*(E330+F330))/C330</f>
        <v>0.0783652539389906</v>
      </c>
      <c r="L330" s="48" t="n">
        <f aca="false">((INDEX($E$12:$E$72,25+1)*SUMPRODUCT(($A$12:$A$72&gt;=25)*$G$12:$G$72*$B$5*$C$12:$C$72*$B$12:$B$72)/(1+Assumptions!$B$10)^25)+SUMPRODUCT(($A$12:$A$72&lt;25)*$G$12:$G$72*$E$12:$E$72*$D$12:$D$72*$B$12:$B$72)+INDEX($E$12:$E$72,25+1)*SUMPRODUCT(($A$12:$A$72&gt;=25)*$G$12:$G$72*$D$12:$D$72*$B$12:$B$72))/(C330*(1-Assumptions!$B$13-G330))/12</f>
        <v>188.533466631527</v>
      </c>
      <c r="M330" s="48" t="n">
        <f aca="false">((INDEX($E$12:$E$72,25+1)*SUMPRODUCT(($A$12:$A$72&gt;=25)*$G$12:$G$72*$B$5*$C$12:$C$72*$B$12:$B$72)/(1+Assumptions!$B$10)^25)+SUMPRODUCT(($A$12:$A$72&lt;25)*$G$12:$G$72*$E$12:$E$72*$D$12:$D$72*$B$12:$B$72)+INDEX($E$12:$E$72,25+1)*SUMPRODUCT(($A$12:$A$72&gt;=25)*$G$12:$G$72*$D$12:$D$72*$B$12:$B$72))/(C330*(1-Assumptions!$B$13-H330))/12</f>
        <v>166.064354891019</v>
      </c>
      <c r="N330" s="48" t="n">
        <f aca="false">((INDEX($E$12:$E$72,25+1)*SUMPRODUCT(($A$12:$A$72&gt;=25)*$G$12:$G$72*$B$5*$C$12:$C$72*$B$12:$B$72)/(1+Assumptions!$B$10)^25)+SUMPRODUCT(($A$12:$A$72&lt;25)*$G$12:$G$72*$E$12:$E$72*$D$12:$D$72*$B$12:$B$72)+INDEX($E$12:$E$72,25+1)*SUMPRODUCT(($A$12:$A$72&gt;=25)*$G$12:$G$72*$D$12:$D$72*$B$12:$B$72))/(C330*(1-Assumptions!$B$13-I330))/12</f>
        <v>209.197953564011</v>
      </c>
      <c r="O330" s="48" t="n">
        <f aca="false">((INDEX($E$12:$E$72,25+1)*SUMPRODUCT(($A$12:$A$72&gt;=25)*$G$12:$G$72*$B$5*$C$12:$C$72*$B$12:$B$72)/(1+Assumptions!$B$10)^25)+SUMPRODUCT(($A$12:$A$72&lt;25)*$G$12:$G$72*$E$12:$E$72*$D$12:$D$72*$B$12:$B$72)+INDEX($E$12:$E$72,25+1)*SUMPRODUCT(($A$12:$A$72&gt;=25)*$G$12:$G$72*$D$12:$D$72*$B$12:$B$72))/(C330*(1-Assumptions!$B$13-J330))/12</f>
        <v>191.375812373773</v>
      </c>
      <c r="P330" s="48" t="n">
        <f aca="false">((INDEX($E$12:$E$72,25+1)*SUMPRODUCT(($A$12:$A$72&gt;=25)*$G$12:$G$72*$B$5*$C$12:$C$72*$B$12:$B$72)/(1+Assumptions!$B$10)^25)+SUMPRODUCT(($A$12:$A$72&lt;25)*$G$12:$G$72*$E$12:$E$72*$D$12:$D$72*$B$12:$B$72)+INDEX($E$12:$E$72,25+1)*SUMPRODUCT(($A$12:$A$72&gt;=25)*$G$12:$G$72*$D$12:$D$72*$B$12:$B$72))/(C330*(1-Assumptions!$B$13-K330))/12</f>
        <v>180.659653468985</v>
      </c>
      <c r="Q330" s="48" t="n">
        <f aca="false">(INDEX($E$12:$E$72,25+1)*SUMPRODUCT(($A$12:$A$72&gt;=25)*$G$12:$G$72*$B$5*$C$12:$C$72*$B$12:$B$72)/(1+Assumptions!$B$10)^25)/C330/12</f>
        <v>150.387078643961</v>
      </c>
    </row>
    <row r="331" customFormat="false" ht="15" hidden="false" customHeight="true" outlineLevel="0" collapsed="false">
      <c r="A331" s="3" t="n">
        <v>60</v>
      </c>
      <c r="B331" s="3" t="n">
        <v>90</v>
      </c>
      <c r="C331" s="11" t="n">
        <f aca="false">SUMPRODUCT(($A$12:$A$72&lt;30)*$G$12:$G$72*$E$12:$E$72*$B$12:$B$72)</f>
        <v>15.4963271749523</v>
      </c>
      <c r="D331" s="11" t="n">
        <f aca="false">SUMPRODUCT(($A$12:$A$72=0)*$G$12:$G$72*$E$12:$E$72*$B$12:$B$72)</f>
        <v>1</v>
      </c>
      <c r="E331" s="11" t="n">
        <f aca="false">SUMPRODUCT(($A$12:$A$72&gt;=1)*($A$12:$A$72&lt;=3)*($A$12:$A$72&lt;30)*$G$12:$G$72*$E$12:$E$72*$B$12:$B$72)</f>
        <v>2.66694179541933</v>
      </c>
      <c r="F331" s="11" t="n">
        <f aca="false">SUMPRODUCT(($A$12:$A$72&gt;=4)*($A$12:$A$72&lt;30)*$G$12:$G$72*$E$12:$E$72*$B$12:$B$72)</f>
        <v>11.829385379533</v>
      </c>
      <c r="G331" s="18" t="n">
        <f aca="false">(1*D331+0.05*(E331+F331))/C331</f>
        <v>0.111304849160358</v>
      </c>
      <c r="H331" s="100" t="n">
        <v>0</v>
      </c>
      <c r="I331" s="100" t="n">
        <v>0.2</v>
      </c>
      <c r="J331" s="18" t="n">
        <f aca="false">(1*D331+0.2*E331+0.03*F331)/C331</f>
        <v>0.121852739629942</v>
      </c>
      <c r="K331" s="18" t="n">
        <f aca="false">(Commission_Models!$B$266*D331+Commission_Models!$B$267*(E331+F331))/C331</f>
        <v>0.0738861059671095</v>
      </c>
      <c r="L331" s="48" t="n">
        <f aca="false">((INDEX($E$12:$E$72,30+1)*SUMPRODUCT(($A$12:$A$72&gt;=30)*$G$12:$G$72*$B$5*$C$12:$C$72*$B$12:$B$72)/(1+Assumptions!$B$10)^30)+SUMPRODUCT(($A$12:$A$72&lt;30)*$G$12:$G$72*$E$12:$E$72*$D$12:$D$72*$B$12:$B$72)+INDEX($E$12:$E$72,30+1)*SUMPRODUCT(($A$12:$A$72&gt;=30)*$G$12:$G$72*$D$12:$D$72*$B$12:$B$72))/(C331*(1-Assumptions!$B$13-G331))/12</f>
        <v>83.5662983332313</v>
      </c>
      <c r="M331" s="48" t="n">
        <f aca="false">((INDEX($E$12:$E$72,30+1)*SUMPRODUCT(($A$12:$A$72&gt;=30)*$G$12:$G$72*$B$5*$C$12:$C$72*$B$12:$B$72)/(1+Assumptions!$B$10)^30)+SUMPRODUCT(($A$12:$A$72&lt;30)*$G$12:$G$72*$E$12:$E$72*$D$12:$D$72*$B$12:$B$72)+INDEX($E$12:$E$72,30+1)*SUMPRODUCT(($A$12:$A$72&gt;=30)*$G$12:$G$72*$D$12:$D$72*$B$12:$B$72))/(C331*(1-Assumptions!$B$13-H331))/12</f>
        <v>73.9772939715099</v>
      </c>
      <c r="N331" s="48" t="n">
        <f aca="false">((INDEX($E$12:$E$72,30+1)*SUMPRODUCT(($A$12:$A$72&gt;=30)*$G$12:$G$72*$B$5*$C$12:$C$72*$B$12:$B$72)/(1+Assumptions!$B$10)^30)+SUMPRODUCT(($A$12:$A$72&lt;30)*$G$12:$G$72*$E$12:$E$72*$D$12:$D$72*$B$12:$B$72)+INDEX($E$12:$E$72,30+1)*SUMPRODUCT(($A$12:$A$72&gt;=30)*$G$12:$G$72*$D$12:$D$72*$B$12:$B$72))/(C331*(1-Assumptions!$B$13-I331))/12</f>
        <v>93.1921755225514</v>
      </c>
      <c r="O331" s="48" t="n">
        <f aca="false">((INDEX($E$12:$E$72,30+1)*SUMPRODUCT(($A$12:$A$72&gt;=30)*$G$12:$G$72*$B$5*$C$12:$C$72*$B$12:$B$72)/(1+Assumptions!$B$10)^30)+SUMPRODUCT(($A$12:$A$72&lt;30)*$G$12:$G$72*$E$12:$E$72*$D$12:$D$72*$B$12:$B$72)+INDEX($E$12:$E$72,30+1)*SUMPRODUCT(($A$12:$A$72&gt;=30)*$G$12:$G$72*$D$12:$D$72*$B$12:$B$72))/(C331*(1-Assumptions!$B$13-J331))/12</f>
        <v>84.6055614458456</v>
      </c>
      <c r="P331" s="48" t="n">
        <f aca="false">((INDEX($E$12:$E$72,30+1)*SUMPRODUCT(($A$12:$A$72&gt;=30)*$G$12:$G$72*$B$5*$C$12:$C$72*$B$12:$B$72)/(1+Assumptions!$B$10)^30)+SUMPRODUCT(($A$12:$A$72&lt;30)*$G$12:$G$72*$E$12:$E$72*$D$12:$D$72*$B$12:$B$72)+INDEX($E$12:$E$72,30+1)*SUMPRODUCT(($A$12:$A$72&gt;=30)*$G$12:$G$72*$D$12:$D$72*$B$12:$B$72))/(C331*(1-Assumptions!$B$13-K331))/12</f>
        <v>80.076846961298</v>
      </c>
      <c r="Q331" s="48" t="n">
        <f aca="false">(INDEX($E$12:$E$72,30+1)*SUMPRODUCT(($A$12:$A$72&gt;=30)*$G$12:$G$72*$B$5*$C$12:$C$72*$B$12:$B$72)/(1+Assumptions!$B$10)^30)/C331/12</f>
        <v>61.8206175818036</v>
      </c>
    </row>
    <row r="332" customFormat="false" ht="15" hidden="false" customHeight="true" outlineLevel="0" collapsed="false">
      <c r="A332" s="3" t="n">
        <v>63</v>
      </c>
      <c r="B332" s="3" t="n">
        <v>75</v>
      </c>
      <c r="C332" s="11" t="n">
        <f aca="false">SUMPRODUCT(($A$12:$A$72&lt;12)*$J$12:$J$72*$E$12:$E$72*$B$12:$B$72)</f>
        <v>9.17208021105075</v>
      </c>
      <c r="D332" s="11" t="n">
        <f aca="false">SUMPRODUCT(($A$12:$A$72=0)*$J$12:$J$72*$E$12:$E$72*$B$12:$B$72)</f>
        <v>1</v>
      </c>
      <c r="E332" s="11" t="n">
        <f aca="false">SUMPRODUCT(($A$12:$A$72&gt;=1)*($A$12:$A$72&lt;=3)*($A$12:$A$72&lt;12)*$J$12:$J$72*$E$12:$E$72*$B$12:$B$72)</f>
        <v>2.66073719079726</v>
      </c>
      <c r="F332" s="11" t="n">
        <f aca="false">SUMPRODUCT(($A$12:$A$72&gt;=4)*($A$12:$A$72&lt;12)*$J$12:$J$72*$E$12:$E$72*$B$12:$B$72)</f>
        <v>5.51134302025349</v>
      </c>
      <c r="G332" s="18" t="n">
        <f aca="false">(1*D332+0.05*(E332+F332))/C332</f>
        <v>0.153575195390836</v>
      </c>
      <c r="H332" s="100" t="n">
        <v>0</v>
      </c>
      <c r="I332" s="100" t="n">
        <v>0.2</v>
      </c>
      <c r="J332" s="18" t="n">
        <f aca="false">(1*D332+0.2*E332+0.03*F332)/C332</f>
        <v>0.185071182295362</v>
      </c>
      <c r="K332" s="18" t="n">
        <f aca="false">(Commission_Models!$B$266*D332+Commission_Models!$B$267*(E332+F332))/C332</f>
        <v>0.117936256249397</v>
      </c>
      <c r="L332" s="48" t="n">
        <f aca="false">((INDEX($E$12:$E$72,12+1)*SUMPRODUCT(($A$12:$A$72&gt;=12)*$J$12:$J$72*$B$5*$C$12:$C$72*$B$12:$B$72)/(1+Assumptions!$B$10)^12)+SUMPRODUCT(($A$12:$A$72&lt;12)*$J$12:$J$72*$E$12:$E$72*$D$12:$D$72*$B$12:$B$72)+INDEX($E$12:$E$72,12+1)*SUMPRODUCT(($A$12:$A$72&gt;=12)*$J$12:$J$72*$D$12:$D$72*$B$12:$B$72))/(C332*(1-Assumptions!$B$13-G332))/12</f>
        <v>1070.57722488807</v>
      </c>
      <c r="M332" s="48" t="n">
        <f aca="false">((INDEX($E$12:$E$72,12+1)*SUMPRODUCT(($A$12:$A$72&gt;=12)*$J$12:$J$72*$B$5*$C$12:$C$72*$B$12:$B$72)/(1+Assumptions!$B$10)^12)+SUMPRODUCT(($A$12:$A$72&lt;12)*$J$12:$J$72*$E$12:$E$72*$D$12:$D$72*$B$12:$B$72)+INDEX($E$12:$E$72,12+1)*SUMPRODUCT(($A$12:$A$72&gt;=12)*$J$12:$J$72*$D$12:$D$72*$B$12:$B$72))/(C332*(1-Assumptions!$B$13-H332))/12</f>
        <v>901.078146029139</v>
      </c>
      <c r="N332" s="48" t="n">
        <f aca="false">((INDEX($E$12:$E$72,12+1)*SUMPRODUCT(($A$12:$A$72&gt;=12)*$J$12:$J$72*$B$5*$C$12:$C$72*$B$12:$B$72)/(1+Assumptions!$B$10)^12)+SUMPRODUCT(($A$12:$A$72&lt;12)*$J$12:$J$72*$E$12:$E$72*$D$12:$D$72*$B$12:$B$72)+INDEX($E$12:$E$72,12+1)*SUMPRODUCT(($A$12:$A$72&gt;=12)*$J$12:$J$72*$D$12:$D$72*$B$12:$B$72))/(C332*(1-Assumptions!$B$13-I332))/12</f>
        <v>1135.12441772502</v>
      </c>
      <c r="O332" s="48" t="n">
        <f aca="false">((INDEX($E$12:$E$72,12+1)*SUMPRODUCT(($A$12:$A$72&gt;=12)*$J$12:$J$72*$B$5*$C$12:$C$72*$B$12:$B$72)/(1+Assumptions!$B$10)^12)+SUMPRODUCT(($A$12:$A$72&lt;12)*$J$12:$J$72*$E$12:$E$72*$D$12:$D$72*$B$12:$B$72)+INDEX($E$12:$E$72,12+1)*SUMPRODUCT(($A$12:$A$72&gt;=12)*$J$12:$J$72*$D$12:$D$72*$B$12:$B$72))/(C332*(1-Assumptions!$B$13-J332))/12</f>
        <v>1113.53511545701</v>
      </c>
      <c r="P332" s="48" t="n">
        <f aca="false">((INDEX($E$12:$E$72,12+1)*SUMPRODUCT(($A$12:$A$72&gt;=12)*$J$12:$J$72*$B$5*$C$12:$C$72*$B$12:$B$72)/(1+Assumptions!$B$10)^12)+SUMPRODUCT(($A$12:$A$72&lt;12)*$J$12:$J$72*$E$12:$E$72*$D$12:$D$72*$B$12:$B$72)+INDEX($E$12:$E$72,12+1)*SUMPRODUCT(($A$12:$A$72&gt;=12)*$J$12:$J$72*$D$12:$D$72*$B$12:$B$72))/(C332*(1-Assumptions!$B$13-K332))/12</f>
        <v>1025.79860727427</v>
      </c>
      <c r="Q332" s="48" t="n">
        <f aca="false">(INDEX($E$12:$E$72,12+1)*SUMPRODUCT(($A$12:$A$72&gt;=12)*$J$12:$J$72*$B$5*$C$12:$C$72*$B$12:$B$72)/(1+Assumptions!$B$10)^12)/C332/12</f>
        <v>858.062644974682</v>
      </c>
    </row>
    <row r="333" customFormat="false" ht="15" hidden="false" customHeight="true" outlineLevel="0" collapsed="false">
      <c r="A333" s="3" t="n">
        <v>63</v>
      </c>
      <c r="B333" s="3" t="n">
        <v>80</v>
      </c>
      <c r="C333" s="11" t="n">
        <f aca="false">SUMPRODUCT(($A$12:$A$72&lt;17)*$J$12:$J$72*$E$12:$E$72*$B$12:$B$72)</f>
        <v>11.5859408465138</v>
      </c>
      <c r="D333" s="11" t="n">
        <f aca="false">SUMPRODUCT(($A$12:$A$72=0)*$J$12:$J$72*$E$12:$E$72*$B$12:$B$72)</f>
        <v>1</v>
      </c>
      <c r="E333" s="11" t="n">
        <f aca="false">SUMPRODUCT(($A$12:$A$72&gt;=1)*($A$12:$A$72&lt;=3)*($A$12:$A$72&lt;17)*$J$12:$J$72*$E$12:$E$72*$B$12:$B$72)</f>
        <v>2.66073719079726</v>
      </c>
      <c r="F333" s="11" t="n">
        <f aca="false">SUMPRODUCT(($A$12:$A$72&gt;=4)*($A$12:$A$72&lt;17)*$J$12:$J$72*$E$12:$E$72*$B$12:$B$72)</f>
        <v>7.92520365571659</v>
      </c>
      <c r="G333" s="18" t="n">
        <f aca="false">(1*D333+0.05*(E333+F333))/C333</f>
        <v>0.131995930463071</v>
      </c>
      <c r="H333" s="100" t="n">
        <v>0</v>
      </c>
      <c r="I333" s="100" t="n">
        <v>0.2</v>
      </c>
      <c r="J333" s="18" t="n">
        <f aca="false">(1*D333+0.2*E333+0.03*F333)/C333</f>
        <v>0.15276304024662</v>
      </c>
      <c r="K333" s="18" t="n">
        <f aca="false">(Commission_Models!$B$266*D333+Commission_Models!$B$267*(E333+F333))/C333</f>
        <v>0.0954483906930948</v>
      </c>
      <c r="L333" s="48" t="n">
        <f aca="false">((INDEX($E$12:$E$72,17+1)*SUMPRODUCT(($A$12:$A$72&gt;=17)*$J$12:$J$72*$B$5*$C$12:$C$72*$B$12:$B$72)/(1+Assumptions!$B$10)^17)+SUMPRODUCT(($A$12:$A$72&lt;17)*$J$12:$J$72*$E$12:$E$72*$D$12:$D$72*$B$12:$B$72)+INDEX($E$12:$E$72,17+1)*SUMPRODUCT(($A$12:$A$72&gt;=17)*$J$12:$J$72*$D$12:$D$72*$B$12:$B$72))/(C333*(1-Assumptions!$B$13-G333))/12</f>
        <v>488.882955345569</v>
      </c>
      <c r="M333" s="48" t="n">
        <f aca="false">((INDEX($E$12:$E$72,17+1)*SUMPRODUCT(($A$12:$A$72&gt;=17)*$J$12:$J$72*$B$5*$C$12:$C$72*$B$12:$B$72)/(1+Assumptions!$B$10)^17)+SUMPRODUCT(($A$12:$A$72&lt;17)*$J$12:$J$72*$E$12:$E$72*$D$12:$D$72*$B$12:$B$72)+INDEX($E$12:$E$72,17+1)*SUMPRODUCT(($A$12:$A$72&gt;=17)*$J$12:$J$72*$D$12:$D$72*$B$12:$B$72))/(C333*(1-Assumptions!$B$13-H333))/12</f>
        <v>422.356604233843</v>
      </c>
      <c r="N333" s="48" t="n">
        <f aca="false">((INDEX($E$12:$E$72,17+1)*SUMPRODUCT(($A$12:$A$72&gt;=17)*$J$12:$J$72*$B$5*$C$12:$C$72*$B$12:$B$72)/(1+Assumptions!$B$10)^17)+SUMPRODUCT(($A$12:$A$72&lt;17)*$J$12:$J$72*$E$12:$E$72*$D$12:$D$72*$B$12:$B$72)+INDEX($E$12:$E$72,17+1)*SUMPRODUCT(($A$12:$A$72&gt;=17)*$J$12:$J$72*$D$12:$D$72*$B$12:$B$72))/(C333*(1-Assumptions!$B$13-I333))/12</f>
        <v>532.059618320556</v>
      </c>
      <c r="O333" s="48" t="n">
        <f aca="false">((INDEX($E$12:$E$72,17+1)*SUMPRODUCT(($A$12:$A$72&gt;=17)*$J$12:$J$72*$B$5*$C$12:$C$72*$B$12:$B$72)/(1+Assumptions!$B$10)^17)+SUMPRODUCT(($A$12:$A$72&lt;17)*$J$12:$J$72*$E$12:$E$72*$D$12:$D$72*$B$12:$B$72)+INDEX($E$12:$E$72,17+1)*SUMPRODUCT(($A$12:$A$72&gt;=17)*$J$12:$J$72*$D$12:$D$72*$B$12:$B$72))/(C333*(1-Assumptions!$B$13-J333))/12</f>
        <v>501.306140425244</v>
      </c>
      <c r="P333" s="48" t="n">
        <f aca="false">((INDEX($E$12:$E$72,17+1)*SUMPRODUCT(($A$12:$A$72&gt;=17)*$J$12:$J$72*$B$5*$C$12:$C$72*$B$12:$B$72)/(1+Assumptions!$B$10)^17)+SUMPRODUCT(($A$12:$A$72&lt;17)*$J$12:$J$72*$E$12:$E$72*$D$12:$D$72*$B$12:$B$72)+INDEX($E$12:$E$72,17+1)*SUMPRODUCT(($A$12:$A$72&gt;=17)*$J$12:$J$72*$D$12:$D$72*$B$12:$B$72))/(C333*(1-Assumptions!$B$13-K333))/12</f>
        <v>468.452520979877</v>
      </c>
      <c r="Q333" s="48" t="n">
        <f aca="false">(INDEX($E$12:$E$72,17+1)*SUMPRODUCT(($A$12:$A$72&gt;=17)*$J$12:$J$72*$B$5*$C$12:$C$72*$B$12:$B$72)/(1+Assumptions!$B$10)^17)/C333/12</f>
        <v>397.268700425059</v>
      </c>
    </row>
    <row r="334" customFormat="false" ht="15" hidden="false" customHeight="true" outlineLevel="0" collapsed="false">
      <c r="A334" s="3" t="n">
        <v>63</v>
      </c>
      <c r="B334" s="3" t="n">
        <v>85</v>
      </c>
      <c r="C334" s="11" t="n">
        <f aca="false">SUMPRODUCT(($A$12:$A$72&lt;22)*$J$12:$J$72*$E$12:$E$72*$B$12:$B$72)</f>
        <v>13.3168764843181</v>
      </c>
      <c r="D334" s="11" t="n">
        <f aca="false">SUMPRODUCT(($A$12:$A$72=0)*$J$12:$J$72*$E$12:$E$72*$B$12:$B$72)</f>
        <v>1</v>
      </c>
      <c r="E334" s="11" t="n">
        <f aca="false">SUMPRODUCT(($A$12:$A$72&gt;=1)*($A$12:$A$72&lt;=3)*($A$12:$A$72&lt;22)*$J$12:$J$72*$E$12:$E$72*$B$12:$B$72)</f>
        <v>2.66073719079726</v>
      </c>
      <c r="F334" s="11" t="n">
        <f aca="false">SUMPRODUCT(($A$12:$A$72&gt;=4)*($A$12:$A$72&lt;22)*$J$12:$J$72*$E$12:$E$72*$B$12:$B$72)</f>
        <v>9.65613929352085</v>
      </c>
      <c r="G334" s="18" t="n">
        <f aca="false">(1*D334+0.05*(E334+F334))/C334</f>
        <v>0.121338049963797</v>
      </c>
      <c r="H334" s="100" t="n">
        <v>0</v>
      </c>
      <c r="I334" s="100" t="n">
        <v>0.2</v>
      </c>
      <c r="J334" s="18" t="n">
        <f aca="false">(1*D334+0.2*E334+0.03*F334)/C334</f>
        <v>0.136806226228084</v>
      </c>
      <c r="K334" s="18" t="n">
        <f aca="false">(Commission_Models!$B$266*D334+Commission_Models!$B$267*(E334+F334))/C334</f>
        <v>0.0843417573306938</v>
      </c>
      <c r="L334" s="48" t="n">
        <f aca="false">((INDEX($E$12:$E$72,22+1)*SUMPRODUCT(($A$12:$A$72&gt;=22)*$J$12:$J$72*$B$5*$C$12:$C$72*$B$12:$B$72)/(1+Assumptions!$B$10)^22)+SUMPRODUCT(($A$12:$A$72&lt;22)*$J$12:$J$72*$E$12:$E$72*$D$12:$D$72*$B$12:$B$72)+INDEX($E$12:$E$72,22+1)*SUMPRODUCT(($A$12:$A$72&gt;=22)*$J$12:$J$72*$D$12:$D$72*$B$12:$B$72))/(C334*(1-Assumptions!$B$13-G334))/12</f>
        <v>225.023180732087</v>
      </c>
      <c r="M334" s="48" t="n">
        <f aca="false">((INDEX($E$12:$E$72,22+1)*SUMPRODUCT(($A$12:$A$72&gt;=22)*$J$12:$J$72*$B$5*$C$12:$C$72*$B$12:$B$72)/(1+Assumptions!$B$10)^22)+SUMPRODUCT(($A$12:$A$72&lt;22)*$J$12:$J$72*$E$12:$E$72*$D$12:$D$72*$B$12:$B$72)+INDEX($E$12:$E$72,22+1)*SUMPRODUCT(($A$12:$A$72&gt;=22)*$J$12:$J$72*$D$12:$D$72*$B$12:$B$72))/(C334*(1-Assumptions!$B$13-H334))/12</f>
        <v>196.874857075714</v>
      </c>
      <c r="N334" s="48" t="n">
        <f aca="false">((INDEX($E$12:$E$72,22+1)*SUMPRODUCT(($A$12:$A$72&gt;=22)*$J$12:$J$72*$B$5*$C$12:$C$72*$B$12:$B$72)/(1+Assumptions!$B$10)^22)+SUMPRODUCT(($A$12:$A$72&lt;22)*$J$12:$J$72*$E$12:$E$72*$D$12:$D$72*$B$12:$B$72)+INDEX($E$12:$E$72,22+1)*SUMPRODUCT(($A$12:$A$72&gt;=22)*$J$12:$J$72*$D$12:$D$72*$B$12:$B$72))/(C334*(1-Assumptions!$B$13-I334))/12</f>
        <v>248.011183588886</v>
      </c>
      <c r="O334" s="48" t="n">
        <f aca="false">((INDEX($E$12:$E$72,22+1)*SUMPRODUCT(($A$12:$A$72&gt;=22)*$J$12:$J$72*$B$5*$C$12:$C$72*$B$12:$B$72)/(1+Assumptions!$B$10)^22)+SUMPRODUCT(($A$12:$A$72&lt;22)*$J$12:$J$72*$E$12:$E$72*$D$12:$D$72*$B$12:$B$72)+INDEX($E$12:$E$72,22+1)*SUMPRODUCT(($A$12:$A$72&gt;=22)*$J$12:$J$72*$D$12:$D$72*$B$12:$B$72))/(C334*(1-Assumptions!$B$13-J334))/12</f>
        <v>229.200718218184</v>
      </c>
      <c r="P334" s="48" t="n">
        <f aca="false">((INDEX($E$12:$E$72,22+1)*SUMPRODUCT(($A$12:$A$72&gt;=22)*$J$12:$J$72*$B$5*$C$12:$C$72*$B$12:$B$72)/(1+Assumptions!$B$10)^22)+SUMPRODUCT(($A$12:$A$72&lt;22)*$J$12:$J$72*$E$12:$E$72*$D$12:$D$72*$B$12:$B$72)+INDEX($E$12:$E$72,22+1)*SUMPRODUCT(($A$12:$A$72&gt;=22)*$J$12:$J$72*$D$12:$D$72*$B$12:$B$72))/(C334*(1-Assumptions!$B$13-K334))/12</f>
        <v>215.623365947431</v>
      </c>
      <c r="Q334" s="48" t="n">
        <f aca="false">(INDEX($E$12:$E$72,22+1)*SUMPRODUCT(($A$12:$A$72&gt;=22)*$J$12:$J$72*$B$5*$C$12:$C$72*$B$12:$B$72)/(1+Assumptions!$B$10)^22)/C334/12</f>
        <v>180.29235392471</v>
      </c>
    </row>
    <row r="335" customFormat="false" ht="15" hidden="false" customHeight="true" outlineLevel="0" collapsed="false">
      <c r="A335" s="3" t="n">
        <v>63</v>
      </c>
      <c r="B335" s="3" t="n">
        <v>90</v>
      </c>
      <c r="C335" s="11" t="n">
        <f aca="false">SUMPRODUCT(($A$12:$A$72&lt;27)*$J$12:$J$72*$E$12:$E$72*$B$12:$B$72)</f>
        <v>14.4515783463397</v>
      </c>
      <c r="D335" s="11" t="n">
        <f aca="false">SUMPRODUCT(($A$12:$A$72=0)*$J$12:$J$72*$E$12:$E$72*$B$12:$B$72)</f>
        <v>1</v>
      </c>
      <c r="E335" s="11" t="n">
        <f aca="false">SUMPRODUCT(($A$12:$A$72&gt;=1)*($A$12:$A$72&lt;=3)*($A$12:$A$72&lt;27)*$J$12:$J$72*$E$12:$E$72*$B$12:$B$72)</f>
        <v>2.66073719079726</v>
      </c>
      <c r="F335" s="11" t="n">
        <f aca="false">SUMPRODUCT(($A$12:$A$72&gt;=4)*($A$12:$A$72&lt;27)*$J$12:$J$72*$E$12:$E$72*$B$12:$B$72)</f>
        <v>10.7908411555424</v>
      </c>
      <c r="G335" s="18" t="n">
        <f aca="false">(1*D335+0.05*(E335+F335))/C335</f>
        <v>0.115736764333469</v>
      </c>
      <c r="H335" s="100" t="n">
        <v>0</v>
      </c>
      <c r="I335" s="100" t="n">
        <v>0.2</v>
      </c>
      <c r="J335" s="18" t="n">
        <f aca="false">(1*D335+0.2*E335+0.03*F335)/C335</f>
        <v>0.1284200679226</v>
      </c>
      <c r="K335" s="18" t="n">
        <f aca="false">(Commission_Models!$B$266*D335+Commission_Models!$B$267*(E335+F335))/C335</f>
        <v>0.0785046280948784</v>
      </c>
      <c r="L335" s="48" t="n">
        <f aca="false">((INDEX($E$12:$E$72,27+1)*SUMPRODUCT(($A$12:$A$72&gt;=27)*$J$12:$J$72*$B$5*$C$12:$C$72*$B$12:$B$72)/(1+Assumptions!$B$10)^27)+SUMPRODUCT(($A$12:$A$72&lt;27)*$J$12:$J$72*$E$12:$E$72*$D$12:$D$72*$B$12:$B$72)+INDEX($E$12:$E$72,27+1)*SUMPRODUCT(($A$12:$A$72&gt;=27)*$J$12:$J$72*$D$12:$D$72*$B$12:$B$72))/(C335*(1-Assumptions!$B$13-G335))/12</f>
        <v>95.8697604780185</v>
      </c>
      <c r="M335" s="48" t="n">
        <f aca="false">((INDEX($E$12:$E$72,27+1)*SUMPRODUCT(($A$12:$A$72&gt;=27)*$J$12:$J$72*$B$5*$C$12:$C$72*$B$12:$B$72)/(1+Assumptions!$B$10)^27)+SUMPRODUCT(($A$12:$A$72&lt;27)*$J$12:$J$72*$E$12:$E$72*$D$12:$D$72*$B$12:$B$72)+INDEX($E$12:$E$72,27+1)*SUMPRODUCT(($A$12:$A$72&gt;=27)*$J$12:$J$72*$D$12:$D$72*$B$12:$B$72))/(C335*(1-Assumptions!$B$13-H335))/12</f>
        <v>84.4309399881726</v>
      </c>
      <c r="N335" s="48" t="n">
        <f aca="false">((INDEX($E$12:$E$72,27+1)*SUMPRODUCT(($A$12:$A$72&gt;=27)*$J$12:$J$72*$B$5*$C$12:$C$72*$B$12:$B$72)/(1+Assumptions!$B$10)^27)+SUMPRODUCT(($A$12:$A$72&lt;27)*$J$12:$J$72*$E$12:$E$72*$D$12:$D$72*$B$12:$B$72)+INDEX($E$12:$E$72,27+1)*SUMPRODUCT(($A$12:$A$72&gt;=27)*$J$12:$J$72*$D$12:$D$72*$B$12:$B$72))/(C335*(1-Assumptions!$B$13-I335))/12</f>
        <v>106.361054270815</v>
      </c>
      <c r="O335" s="48" t="n">
        <f aca="false">((INDEX($E$12:$E$72,27+1)*SUMPRODUCT(($A$12:$A$72&gt;=27)*$J$12:$J$72*$B$5*$C$12:$C$72*$B$12:$B$72)/(1+Assumptions!$B$10)^27)+SUMPRODUCT(($A$12:$A$72&lt;27)*$J$12:$J$72*$E$12:$E$72*$D$12:$D$72*$B$12:$B$72)+INDEX($E$12:$E$72,27+1)*SUMPRODUCT(($A$12:$A$72&gt;=27)*$J$12:$J$72*$D$12:$D$72*$B$12:$B$72))/(C335*(1-Assumptions!$B$13-J335))/12</f>
        <v>97.3145968278569</v>
      </c>
      <c r="P335" s="48" t="n">
        <f aca="false">((INDEX($E$12:$E$72,27+1)*SUMPRODUCT(($A$12:$A$72&gt;=27)*$J$12:$J$72*$B$5*$C$12:$C$72*$B$12:$B$72)/(1+Assumptions!$B$10)^27)+SUMPRODUCT(($A$12:$A$72&lt;27)*$J$12:$J$72*$E$12:$E$72*$D$12:$D$72*$B$12:$B$72)+INDEX($E$12:$E$72,27+1)*SUMPRODUCT(($A$12:$A$72&gt;=27)*$J$12:$J$72*$D$12:$D$72*$B$12:$B$72))/(C335*(1-Assumptions!$B$13-K335))/12</f>
        <v>91.8658855328791</v>
      </c>
      <c r="Q335" s="48" t="n">
        <f aca="false">(INDEX($E$12:$E$72,27+1)*SUMPRODUCT(($A$12:$A$72&gt;=27)*$J$12:$J$72*$B$5*$C$12:$C$72*$B$12:$B$72)/(1+Assumptions!$B$10)^27)/C335/12</f>
        <v>72.122429092919</v>
      </c>
    </row>
    <row r="336" customFormat="false" ht="15" hidden="false" customHeight="true" outlineLevel="0" collapsed="false">
      <c r="A336" s="3" t="n">
        <v>65</v>
      </c>
      <c r="B336" s="3" t="n">
        <v>75</v>
      </c>
      <c r="C336" s="11" t="n">
        <f aca="false">SUMPRODUCT(($A$12:$A$72&lt;10)*$L$12:$L$72*$E$12:$E$72*$B$12:$B$72)</f>
        <v>7.94418186406786</v>
      </c>
      <c r="D336" s="11" t="n">
        <f aca="false">SUMPRODUCT(($A$12:$A$72=0)*$L$12:$L$72*$E$12:$E$72*$B$12:$B$72)</f>
        <v>1</v>
      </c>
      <c r="E336" s="11" t="n">
        <f aca="false">SUMPRODUCT(($A$12:$A$72&gt;=1)*($A$12:$A$72&lt;=3)*($A$12:$A$72&lt;10)*$L$12:$L$72*$E$12:$E$72*$B$12:$B$72)</f>
        <v>2.65421524594667</v>
      </c>
      <c r="F336" s="11" t="n">
        <f aca="false">SUMPRODUCT(($A$12:$A$72&gt;=4)*($A$12:$A$72&lt;10)*$L$12:$L$72*$E$12:$E$72*$B$12:$B$72)</f>
        <v>4.28996661812119</v>
      </c>
      <c r="G336" s="18" t="n">
        <f aca="false">(1*D336+0.05*(E336+F336))/C336</f>
        <v>0.1695843720921</v>
      </c>
      <c r="H336" s="100" t="n">
        <v>0</v>
      </c>
      <c r="I336" s="100" t="n">
        <v>0.2</v>
      </c>
      <c r="J336" s="18" t="n">
        <f aca="false">(1*D336+0.2*E336+0.03*F336)/C336</f>
        <v>0.20890030919851</v>
      </c>
      <c r="K336" s="18" t="n">
        <f aca="false">(Commission_Models!$B$266*D336+Commission_Models!$B$267*(E336+F336))/C336</f>
        <v>0.134619503548609</v>
      </c>
      <c r="L336" s="48" t="n">
        <f aca="false">((INDEX($E$12:$E$72,10+1)*SUMPRODUCT(($A$12:$A$72&gt;=10)*$L$12:$L$72*$B$5*$C$12:$C$72*$B$12:$B$72)/(1+Assumptions!$B$10)^10)+SUMPRODUCT(($A$12:$A$72&lt;10)*$L$12:$L$72*$E$12:$E$72*$D$12:$D$72*$B$12:$B$72)+INDEX($E$12:$E$72,10+1)*SUMPRODUCT(($A$12:$A$72&gt;=10)*$L$12:$L$72*$D$12:$D$72*$B$12:$B$72))/(C336*(1-Assumptions!$B$13-G336))/12</f>
        <v>1362.08662676073</v>
      </c>
      <c r="M336" s="48" t="n">
        <f aca="false">((INDEX($E$12:$E$72,10+1)*SUMPRODUCT(($A$12:$A$72&gt;=10)*$L$12:$L$72*$B$5*$C$12:$C$72*$B$12:$B$72)/(1+Assumptions!$B$10)^10)+SUMPRODUCT(($A$12:$A$72&lt;10)*$L$12:$L$72*$E$12:$E$72*$D$12:$D$72*$B$12:$B$72)+INDEX($E$12:$E$72,10+1)*SUMPRODUCT(($A$12:$A$72&gt;=10)*$L$12:$L$72*$D$12:$D$72*$B$12:$B$72))/(C336*(1-Assumptions!$B$13-H336))/12</f>
        <v>1123.9540439419</v>
      </c>
      <c r="N336" s="48" t="n">
        <f aca="false">((INDEX($E$12:$E$72,10+1)*SUMPRODUCT(($A$12:$A$72&gt;=10)*$L$12:$L$72*$B$5*$C$12:$C$72*$B$12:$B$72)/(1+Assumptions!$B$10)^10)+SUMPRODUCT(($A$12:$A$72&lt;10)*$L$12:$L$72*$E$12:$E$72*$D$12:$D$72*$B$12:$B$72)+INDEX($E$12:$E$72,10+1)*SUMPRODUCT(($A$12:$A$72&gt;=10)*$L$12:$L$72*$D$12:$D$72*$B$12:$B$72))/(C336*(1-Assumptions!$B$13-I336))/12</f>
        <v>1415.89015925149</v>
      </c>
      <c r="O336" s="48" t="n">
        <f aca="false">((INDEX($E$12:$E$72,10+1)*SUMPRODUCT(($A$12:$A$72&gt;=10)*$L$12:$L$72*$B$5*$C$12:$C$72*$B$12:$B$72)/(1+Assumptions!$B$10)^10)+SUMPRODUCT(($A$12:$A$72&lt;10)*$L$12:$L$72*$E$12:$E$72*$D$12:$D$72*$B$12:$B$72)+INDEX($E$12:$E$72,10+1)*SUMPRODUCT(($A$12:$A$72&gt;=10)*$L$12:$L$72*$D$12:$D$72*$B$12:$B$72))/(C336*(1-Assumptions!$B$13-J336))/12</f>
        <v>1432.44759628736</v>
      </c>
      <c r="P336" s="48" t="n">
        <f aca="false">((INDEX($E$12:$E$72,10+1)*SUMPRODUCT(($A$12:$A$72&gt;=10)*$L$12:$L$72*$B$5*$C$12:$C$72*$B$12:$B$72)/(1+Assumptions!$B$10)^10)+SUMPRODUCT(($A$12:$A$72&lt;10)*$L$12:$L$72*$E$12:$E$72*$D$12:$D$72*$B$12:$B$72)+INDEX($E$12:$E$72,10+1)*SUMPRODUCT(($A$12:$A$72&gt;=10)*$L$12:$L$72*$D$12:$D$72*$B$12:$B$72))/(C336*(1-Assumptions!$B$13-K336))/12</f>
        <v>1305.07646186959</v>
      </c>
      <c r="Q336" s="48" t="n">
        <f aca="false">(INDEX($E$12:$E$72,10+1)*SUMPRODUCT(($A$12:$A$72&gt;=10)*$L$12:$L$72*$B$5*$C$12:$C$72*$B$12:$B$72)/(1+Assumptions!$B$10)^10)/C336/12</f>
        <v>1072.85706273985</v>
      </c>
    </row>
    <row r="337" customFormat="false" ht="15" hidden="false" customHeight="true" outlineLevel="0" collapsed="false">
      <c r="A337" s="3" t="n">
        <v>65</v>
      </c>
      <c r="B337" s="3" t="n">
        <v>80</v>
      </c>
      <c r="C337" s="11" t="n">
        <f aca="false">SUMPRODUCT(($A$12:$A$72&lt;15)*$L$12:$L$72*$E$12:$E$72*$B$12:$B$72)</f>
        <v>10.5912409489156</v>
      </c>
      <c r="D337" s="11" t="n">
        <f aca="false">SUMPRODUCT(($A$12:$A$72=0)*$L$12:$L$72*$E$12:$E$72*$B$12:$B$72)</f>
        <v>1</v>
      </c>
      <c r="E337" s="11" t="n">
        <f aca="false">SUMPRODUCT(($A$12:$A$72&gt;=1)*($A$12:$A$72&lt;=3)*($A$12:$A$72&lt;15)*$L$12:$L$72*$E$12:$E$72*$B$12:$B$72)</f>
        <v>2.65421524594667</v>
      </c>
      <c r="F337" s="11" t="n">
        <f aca="false">SUMPRODUCT(($A$12:$A$72&gt;=4)*($A$12:$A$72&lt;15)*$L$12:$L$72*$E$12:$E$72*$B$12:$B$72)</f>
        <v>6.93702570296897</v>
      </c>
      <c r="G337" s="18" t="n">
        <f aca="false">(1*D337+0.05*(E337+F337))/C337</f>
        <v>0.139696760236322</v>
      </c>
      <c r="H337" s="100" t="n">
        <v>0</v>
      </c>
      <c r="I337" s="100" t="n">
        <v>0.2</v>
      </c>
      <c r="J337" s="18" t="n">
        <f aca="false">(1*D337+0.2*E337+0.03*F337)/C337</f>
        <v>0.164187919873208</v>
      </c>
      <c r="K337" s="18" t="n">
        <f aca="false">(Commission_Models!$B$266*D337+Commission_Models!$B$267*(E337+F337))/C337</f>
        <v>0.103473465930483</v>
      </c>
      <c r="L337" s="48" t="n">
        <f aca="false">((INDEX($E$12:$E$72,15+1)*SUMPRODUCT(($A$12:$A$72&gt;=15)*$L$12:$L$72*$B$5*$C$12:$C$72*$B$12:$B$72)/(1+Assumptions!$B$10)^15)+SUMPRODUCT(($A$12:$A$72&lt;15)*$L$12:$L$72*$E$12:$E$72*$D$12:$D$72*$B$12:$B$72)+INDEX($E$12:$E$72,15+1)*SUMPRODUCT(($A$12:$A$72&gt;=15)*$L$12:$L$72*$D$12:$D$72*$B$12:$B$72))/(C337*(1-Assumptions!$B$13-G337))/12</f>
        <v>578.747857148236</v>
      </c>
      <c r="M337" s="48" t="n">
        <f aca="false">((INDEX($E$12:$E$72,15+1)*SUMPRODUCT(($A$12:$A$72&gt;=15)*$L$12:$L$72*$B$5*$C$12:$C$72*$B$12:$B$72)/(1+Assumptions!$B$10)^15)+SUMPRODUCT(($A$12:$A$72&lt;15)*$L$12:$L$72*$E$12:$E$72*$D$12:$D$72*$B$12:$B$72)+INDEX($E$12:$E$72,15+1)*SUMPRODUCT(($A$12:$A$72&gt;=15)*$L$12:$L$72*$D$12:$D$72*$B$12:$B$72))/(C337*(1-Assumptions!$B$13-H337))/12</f>
        <v>495.398165769553</v>
      </c>
      <c r="N337" s="48" t="n">
        <f aca="false">((INDEX($E$12:$E$72,15+1)*SUMPRODUCT(($A$12:$A$72&gt;=15)*$L$12:$L$72*$B$5*$C$12:$C$72*$B$12:$B$72)/(1+Assumptions!$B$10)^15)+SUMPRODUCT(($A$12:$A$72&lt;15)*$L$12:$L$72*$E$12:$E$72*$D$12:$D$72*$B$12:$B$72)+INDEX($E$12:$E$72,15+1)*SUMPRODUCT(($A$12:$A$72&gt;=15)*$L$12:$L$72*$D$12:$D$72*$B$12:$B$72))/(C337*(1-Assumptions!$B$13-I337))/12</f>
        <v>624.073014021385</v>
      </c>
      <c r="O337" s="48" t="n">
        <f aca="false">((INDEX($E$12:$E$72,15+1)*SUMPRODUCT(($A$12:$A$72&gt;=15)*$L$12:$L$72*$B$5*$C$12:$C$72*$B$12:$B$72)/(1+Assumptions!$B$10)^15)+SUMPRODUCT(($A$12:$A$72&lt;15)*$L$12:$L$72*$E$12:$E$72*$D$12:$D$72*$B$12:$B$72)+INDEX($E$12:$E$72,15+1)*SUMPRODUCT(($A$12:$A$72&gt;=15)*$L$12:$L$72*$D$12:$D$72*$B$12:$B$72))/(C337*(1-Assumptions!$B$13-J337))/12</f>
        <v>596.337821990526</v>
      </c>
      <c r="P337" s="48" t="n">
        <f aca="false">((INDEX($E$12:$E$72,15+1)*SUMPRODUCT(($A$12:$A$72&gt;=15)*$L$12:$L$72*$B$5*$C$12:$C$72*$B$12:$B$72)/(1+Assumptions!$B$10)^15)+SUMPRODUCT(($A$12:$A$72&lt;15)*$L$12:$L$72*$E$12:$E$72*$D$12:$D$72*$B$12:$B$72)+INDEX($E$12:$E$72,15+1)*SUMPRODUCT(($A$12:$A$72&gt;=15)*$L$12:$L$72*$D$12:$D$72*$B$12:$B$72))/(C337*(1-Assumptions!$B$13-K337))/12</f>
        <v>554.554536881516</v>
      </c>
      <c r="Q337" s="48" t="n">
        <f aca="false">(INDEX($E$12:$E$72,15+1)*SUMPRODUCT(($A$12:$A$72&gt;=15)*$L$12:$L$72*$B$5*$C$12:$C$72*$B$12:$B$72)/(1+Assumptions!$B$10)^15)/C337/12</f>
        <v>467.766359292484</v>
      </c>
    </row>
    <row r="338" customFormat="false" ht="15" hidden="false" customHeight="true" outlineLevel="0" collapsed="false">
      <c r="A338" s="3" t="n">
        <v>65</v>
      </c>
      <c r="B338" s="3" t="n">
        <v>85</v>
      </c>
      <c r="C338" s="11" t="n">
        <f aca="false">SUMPRODUCT(($A$12:$A$72&lt;20)*$L$12:$L$72*$E$12:$E$72*$B$12:$B$72)</f>
        <v>12.4749776079143</v>
      </c>
      <c r="D338" s="11" t="n">
        <f aca="false">SUMPRODUCT(($A$12:$A$72=0)*$L$12:$L$72*$E$12:$E$72*$B$12:$B$72)</f>
        <v>1</v>
      </c>
      <c r="E338" s="11" t="n">
        <f aca="false">SUMPRODUCT(($A$12:$A$72&gt;=1)*($A$12:$A$72&lt;=3)*($A$12:$A$72&lt;20)*$L$12:$L$72*$E$12:$E$72*$B$12:$B$72)</f>
        <v>2.65421524594667</v>
      </c>
      <c r="F338" s="11" t="n">
        <f aca="false">SUMPRODUCT(($A$12:$A$72&gt;=4)*($A$12:$A$72&lt;20)*$L$12:$L$72*$E$12:$E$72*$B$12:$B$72)</f>
        <v>8.82076236196759</v>
      </c>
      <c r="G338" s="18" t="n">
        <f aca="false">(1*D338+0.05*(E338+F338))/C338</f>
        <v>0.126152441299559</v>
      </c>
      <c r="H338" s="100" t="n">
        <v>0</v>
      </c>
      <c r="I338" s="100" t="n">
        <v>0.2</v>
      </c>
      <c r="J338" s="18" t="n">
        <f aca="false">(1*D338+0.2*E338+0.03*F338)/C338</f>
        <v>0.143925382191412</v>
      </c>
      <c r="K338" s="18" t="n">
        <f aca="false">(Commission_Models!$B$266*D338+Commission_Models!$B$267*(E338+F338))/C338</f>
        <v>0.0893588598805928</v>
      </c>
      <c r="L338" s="48" t="n">
        <f aca="false">((INDEX($E$12:$E$72,20+1)*SUMPRODUCT(($A$12:$A$72&gt;=20)*$L$12:$L$72*$B$5*$C$12:$C$72*$B$12:$B$72)/(1+Assumptions!$B$10)^20)+SUMPRODUCT(($A$12:$A$72&lt;20)*$L$12:$L$72*$E$12:$E$72*$D$12:$D$72*$B$12:$B$72)+INDEX($E$12:$E$72,20+1)*SUMPRODUCT(($A$12:$A$72&gt;=20)*$L$12:$L$72*$D$12:$D$72*$B$12:$B$72))/(C338*(1-Assumptions!$B$13-G338))/12</f>
        <v>256.410770014245</v>
      </c>
      <c r="M338" s="48" t="n">
        <f aca="false">((INDEX($E$12:$E$72,20+1)*SUMPRODUCT(($A$12:$A$72&gt;=20)*$L$12:$L$72*$B$5*$C$12:$C$72*$B$12:$B$72)/(1+Assumptions!$B$10)^20)+SUMPRODUCT(($A$12:$A$72&lt;20)*$L$12:$L$72*$E$12:$E$72*$D$12:$D$72*$B$12:$B$72)+INDEX($E$12:$E$72,20+1)*SUMPRODUCT(($A$12:$A$72&gt;=20)*$L$12:$L$72*$D$12:$D$72*$B$12:$B$72))/(C338*(1-Assumptions!$B$13-H338))/12</f>
        <v>223.063507526826</v>
      </c>
      <c r="N338" s="48" t="n">
        <f aca="false">((INDEX($E$12:$E$72,20+1)*SUMPRODUCT(($A$12:$A$72&gt;=20)*$L$12:$L$72*$B$5*$C$12:$C$72*$B$12:$B$72)/(1+Assumptions!$B$10)^20)+SUMPRODUCT(($A$12:$A$72&lt;20)*$L$12:$L$72*$E$12:$E$72*$D$12:$D$72*$B$12:$B$72)+INDEX($E$12:$E$72,20+1)*SUMPRODUCT(($A$12:$A$72&gt;=20)*$L$12:$L$72*$D$12:$D$72*$B$12:$B$72))/(C338*(1-Assumptions!$B$13-I338))/12</f>
        <v>281.002080910417</v>
      </c>
      <c r="O338" s="48" t="n">
        <f aca="false">((INDEX($E$12:$E$72,20+1)*SUMPRODUCT(($A$12:$A$72&gt;=20)*$L$12:$L$72*$B$5*$C$12:$C$72*$B$12:$B$72)/(1+Assumptions!$B$10)^20)+SUMPRODUCT(($A$12:$A$72&lt;20)*$L$12:$L$72*$E$12:$E$72*$D$12:$D$72*$B$12:$B$72)+INDEX($E$12:$E$72,20+1)*SUMPRODUCT(($A$12:$A$72&gt;=20)*$L$12:$L$72*$D$12:$D$72*$B$12:$B$72))/(C338*(1-Assumptions!$B$13-J338))/12</f>
        <v>261.927430811289</v>
      </c>
      <c r="P338" s="48" t="n">
        <f aca="false">((INDEX($E$12:$E$72,20+1)*SUMPRODUCT(($A$12:$A$72&gt;=20)*$L$12:$L$72*$B$5*$C$12:$C$72*$B$12:$B$72)/(1+Assumptions!$B$10)^20)+SUMPRODUCT(($A$12:$A$72&lt;20)*$L$12:$L$72*$E$12:$E$72*$D$12:$D$72*$B$12:$B$72)+INDEX($E$12:$E$72,20+1)*SUMPRODUCT(($A$12:$A$72&gt;=20)*$L$12:$L$72*$D$12:$D$72*$B$12:$B$72))/(C338*(1-Assumptions!$B$13-K338))/12</f>
        <v>245.69781315427</v>
      </c>
      <c r="Q338" s="48" t="n">
        <f aca="false">(INDEX($E$12:$E$72,20+1)*SUMPRODUCT(($A$12:$A$72&gt;=20)*$L$12:$L$72*$B$5*$C$12:$C$72*$B$12:$B$72)/(1+Assumptions!$B$10)^20)/C338/12</f>
        <v>205.668233996279</v>
      </c>
    </row>
    <row r="339" customFormat="false" ht="15" hidden="false" customHeight="true" outlineLevel="0" collapsed="false">
      <c r="A339" s="3" t="n">
        <v>65</v>
      </c>
      <c r="B339" s="3" t="n">
        <v>90</v>
      </c>
      <c r="C339" s="11" t="n">
        <f aca="false">SUMPRODUCT(($A$12:$A$72&lt;25)*$L$12:$L$72*$E$12:$E$72*$B$12:$B$72)</f>
        <v>13.6987288804702</v>
      </c>
      <c r="D339" s="11" t="n">
        <f aca="false">SUMPRODUCT(($A$12:$A$72=0)*$L$12:$L$72*$E$12:$E$72*$B$12:$B$72)</f>
        <v>1</v>
      </c>
      <c r="E339" s="11" t="n">
        <f aca="false">SUMPRODUCT(($A$12:$A$72&gt;=1)*($A$12:$A$72&lt;=3)*($A$12:$A$72&lt;25)*$L$12:$L$72*$E$12:$E$72*$B$12:$B$72)</f>
        <v>2.65421524594667</v>
      </c>
      <c r="F339" s="11" t="n">
        <f aca="false">SUMPRODUCT(($A$12:$A$72&gt;=4)*($A$12:$A$72&lt;25)*$L$12:$L$72*$E$12:$E$72*$B$12:$B$72)</f>
        <v>10.0445136345235</v>
      </c>
      <c r="G339" s="18" t="n">
        <f aca="false">(1*D339+0.05*(E339+F339))/C339</f>
        <v>0.119349500109779</v>
      </c>
      <c r="H339" s="100" t="n">
        <v>0</v>
      </c>
      <c r="I339" s="100" t="n">
        <v>0.2</v>
      </c>
      <c r="J339" s="18" t="n">
        <f aca="false">(1*D339+0.2*E339+0.03*F339)/C339</f>
        <v>0.133748063357697</v>
      </c>
      <c r="K339" s="18" t="n">
        <f aca="false">(Commission_Models!$B$266*D339+Commission_Models!$B$267*(E339+F339))/C339</f>
        <v>0.0822694790617697</v>
      </c>
      <c r="L339" s="48" t="n">
        <f aca="false">((INDEX($E$12:$E$72,25+1)*SUMPRODUCT(($A$12:$A$72&gt;=25)*$L$12:$L$72*$B$5*$C$12:$C$72*$B$12:$B$72)/(1+Assumptions!$B$10)^25)+SUMPRODUCT(($A$12:$A$72&lt;25)*$L$12:$L$72*$E$12:$E$72*$D$12:$D$72*$B$12:$B$72)+INDEX($E$12:$E$72,25+1)*SUMPRODUCT(($A$12:$A$72&gt;=25)*$L$12:$L$72*$D$12:$D$72*$B$12:$B$72))/(C339*(1-Assumptions!$B$13-G339))/12</f>
        <v>106.097609509547</v>
      </c>
      <c r="M339" s="48" t="n">
        <f aca="false">((INDEX($E$12:$E$72,25+1)*SUMPRODUCT(($A$12:$A$72&gt;=25)*$L$12:$L$72*$B$5*$C$12:$C$72*$B$12:$B$72)/(1+Assumptions!$B$10)^25)+SUMPRODUCT(($A$12:$A$72&lt;25)*$L$12:$L$72*$E$12:$E$72*$D$12:$D$72*$B$12:$B$72)+INDEX($E$12:$E$72,25+1)*SUMPRODUCT(($A$12:$A$72&gt;=25)*$L$12:$L$72*$D$12:$D$72*$B$12:$B$72))/(C339*(1-Assumptions!$B$13-H339))/12</f>
        <v>93.0432830581994</v>
      </c>
      <c r="N339" s="48" t="n">
        <f aca="false">((INDEX($E$12:$E$72,25+1)*SUMPRODUCT(($A$12:$A$72&gt;=25)*$L$12:$L$72*$B$5*$C$12:$C$72*$B$12:$B$72)/(1+Assumptions!$B$10)^25)+SUMPRODUCT(($A$12:$A$72&lt;25)*$L$12:$L$72*$E$12:$E$72*$D$12:$D$72*$B$12:$B$72)+INDEX($E$12:$E$72,25+1)*SUMPRODUCT(($A$12:$A$72&gt;=25)*$L$12:$L$72*$D$12:$D$72*$B$12:$B$72))/(C339*(1-Assumptions!$B$13-I339))/12</f>
        <v>117.210369566823</v>
      </c>
      <c r="O339" s="48" t="n">
        <f aca="false">((INDEX($E$12:$E$72,25+1)*SUMPRODUCT(($A$12:$A$72&gt;=25)*$L$12:$L$72*$B$5*$C$12:$C$72*$B$12:$B$72)/(1+Assumptions!$B$10)^25)+SUMPRODUCT(($A$12:$A$72&lt;25)*$L$12:$L$72*$E$12:$E$72*$D$12:$D$72*$B$12:$B$72)+INDEX($E$12:$E$72,25+1)*SUMPRODUCT(($A$12:$A$72&gt;=25)*$L$12:$L$72*$D$12:$D$72*$B$12:$B$72))/(C339*(1-Assumptions!$B$13-J339))/12</f>
        <v>107.924395283114</v>
      </c>
      <c r="P339" s="48" t="n">
        <f aca="false">((INDEX($E$12:$E$72,25+1)*SUMPRODUCT(($A$12:$A$72&gt;=25)*$L$12:$L$72*$B$5*$C$12:$C$72*$B$12:$B$72)/(1+Assumptions!$B$10)^25)+SUMPRODUCT(($A$12:$A$72&lt;25)*$L$12:$L$72*$E$12:$E$72*$D$12:$D$72*$B$12:$B$72)+INDEX($E$12:$E$72,25+1)*SUMPRODUCT(($A$12:$A$72&gt;=25)*$L$12:$L$72*$D$12:$D$72*$B$12:$B$72))/(C339*(1-Assumptions!$B$13-K339))/12</f>
        <v>101.665970063829</v>
      </c>
      <c r="Q339" s="48" t="n">
        <f aca="false">(INDEX($E$12:$E$72,25+1)*SUMPRODUCT(($A$12:$A$72&gt;=25)*$L$12:$L$72*$B$5*$C$12:$C$72*$B$12:$B$72)/(1+Assumptions!$B$10)^25)/C339/12</f>
        <v>80.5714148897399</v>
      </c>
    </row>
    <row r="340" customFormat="false" ht="15" hidden="false" customHeight="true" outlineLevel="0" collapsed="false">
      <c r="A340" s="3" t="n">
        <v>68</v>
      </c>
      <c r="B340" s="3" t="n">
        <v>75</v>
      </c>
      <c r="C340" s="11" t="n">
        <f aca="false">SUMPRODUCT(($A$12:$A$72&lt;7)*$O$12:$O$72*$E$12:$E$72*$B$12:$B$72)</f>
        <v>5.91280243024152</v>
      </c>
      <c r="D340" s="11" t="n">
        <f aca="false">SUMPRODUCT(($A$12:$A$72=0)*$O$12:$O$72*$E$12:$E$72*$B$12:$B$72)</f>
        <v>1</v>
      </c>
      <c r="E340" s="11" t="n">
        <f aca="false">SUMPRODUCT(($A$12:$A$72&gt;=1)*($A$12:$A$72&lt;=3)*($A$12:$A$72&lt;7)*$O$12:$O$72*$E$12:$E$72*$B$12:$B$72)</f>
        <v>2.6425983067702</v>
      </c>
      <c r="F340" s="11" t="n">
        <f aca="false">SUMPRODUCT(($A$12:$A$72&gt;=4)*($A$12:$A$72&lt;7)*$O$12:$O$72*$E$12:$E$72*$B$12:$B$72)</f>
        <v>2.27020412347132</v>
      </c>
      <c r="G340" s="18" t="n">
        <f aca="false">(1*D340+0.05*(E340+F340))/C340</f>
        <v>0.210668314425854</v>
      </c>
      <c r="H340" s="100" t="n">
        <v>0</v>
      </c>
      <c r="I340" s="100" t="n">
        <v>0.2</v>
      </c>
      <c r="J340" s="18" t="n">
        <f aca="false">(1*D340+0.2*E340+0.03*F340)/C340</f>
        <v>0.270028603846478</v>
      </c>
      <c r="K340" s="18" t="n">
        <f aca="false">(Commission_Models!$B$266*D340+Commission_Models!$B$267*(E340+F340))/C340</f>
        <v>0.17743329608589</v>
      </c>
      <c r="L340" s="48" t="n">
        <f aca="false">((INDEX($E$12:$E$72,7+1)*SUMPRODUCT(($A$12:$A$72&gt;=7)*$O$12:$O$72*$B$5*$C$12:$C$72*$B$12:$B$72)/(1+Assumptions!$B$10)^7)+SUMPRODUCT(($A$12:$A$72&lt;7)*$O$12:$O$72*$E$12:$E$72*$D$12:$D$72*$B$12:$B$72)+INDEX($E$12:$E$72,7+1)*SUMPRODUCT(($A$12:$A$72&gt;=7)*$O$12:$O$72*$D$12:$D$72*$B$12:$B$72))/(C340*(1-Assumptions!$B$13-G340))/12</f>
        <v>2178.37578671181</v>
      </c>
      <c r="M340" s="48" t="n">
        <f aca="false">((INDEX($E$12:$E$72,7+1)*SUMPRODUCT(($A$12:$A$72&gt;=7)*$O$12:$O$72*$B$5*$C$12:$C$72*$B$12:$B$72)/(1+Assumptions!$B$10)^7)+SUMPRODUCT(($A$12:$A$72&lt;7)*$O$12:$O$72*$E$12:$E$72*$D$12:$D$72*$B$12:$B$72)+INDEX($E$12:$E$72,7+1)*SUMPRODUCT(($A$12:$A$72&gt;=7)*$O$12:$O$72*$D$12:$D$72*$B$12:$B$72))/(C340*(1-Assumptions!$B$13-H340))/12</f>
        <v>1705.26779168844</v>
      </c>
      <c r="N340" s="48" t="n">
        <f aca="false">((INDEX($E$12:$E$72,7+1)*SUMPRODUCT(($A$12:$A$72&gt;=7)*$O$12:$O$72*$B$5*$C$12:$C$72*$B$12:$B$72)/(1+Assumptions!$B$10)^7)+SUMPRODUCT(($A$12:$A$72&lt;7)*$O$12:$O$72*$E$12:$E$72*$D$12:$D$72*$B$12:$B$72)+INDEX($E$12:$E$72,7+1)*SUMPRODUCT(($A$12:$A$72&gt;=7)*$O$12:$O$72*$D$12:$D$72*$B$12:$B$72))/(C340*(1-Assumptions!$B$13-I340))/12</f>
        <v>2148.19449082829</v>
      </c>
      <c r="O340" s="48" t="n">
        <f aca="false">((INDEX($E$12:$E$72,7+1)*SUMPRODUCT(($A$12:$A$72&gt;=7)*$O$12:$O$72*$B$5*$C$12:$C$72*$B$12:$B$72)/(1+Assumptions!$B$10)^7)+SUMPRODUCT(($A$12:$A$72&lt;7)*$O$12:$O$72*$E$12:$E$72*$D$12:$D$72*$B$12:$B$72)+INDEX($E$12:$E$72,7+1)*SUMPRODUCT(($A$12:$A$72&gt;=7)*$O$12:$O$72*$D$12:$D$72*$B$12:$B$72))/(C340*(1-Assumptions!$B$13-J340))/12</f>
        <v>2363.11050283974</v>
      </c>
      <c r="P340" s="48" t="n">
        <f aca="false">((INDEX($E$12:$E$72,7+1)*SUMPRODUCT(($A$12:$A$72&gt;=7)*$O$12:$O$72*$B$5*$C$12:$C$72*$B$12:$B$72)/(1+Assumptions!$B$10)^7)+SUMPRODUCT(($A$12:$A$72&lt;7)*$O$12:$O$72*$E$12:$E$72*$D$12:$D$72*$B$12:$B$72)+INDEX($E$12:$E$72,7+1)*SUMPRODUCT(($A$12:$A$72&gt;=7)*$O$12:$O$72*$D$12:$D$72*$B$12:$B$72))/(C340*(1-Assumptions!$B$13-K340))/12</f>
        <v>2087.02907877523</v>
      </c>
      <c r="Q340" s="48" t="n">
        <f aca="false">(INDEX($E$12:$E$72,7+1)*SUMPRODUCT(($A$12:$A$72&gt;=7)*$O$12:$O$72*$B$5*$C$12:$C$72*$B$12:$B$72)/(1+Assumptions!$B$10)^7)/C340/12</f>
        <v>1632.93932864291</v>
      </c>
    </row>
    <row r="341" customFormat="false" ht="15" hidden="false" customHeight="true" outlineLevel="0" collapsed="false">
      <c r="A341" s="3" t="n">
        <v>68</v>
      </c>
      <c r="B341" s="3" t="n">
        <v>80</v>
      </c>
      <c r="C341" s="11" t="n">
        <f aca="false">SUMPRODUCT(($A$12:$A$72&lt;12)*$O$12:$O$72*$E$12:$E$72*$B$12:$B$72)</f>
        <v>8.9560541595036</v>
      </c>
      <c r="D341" s="11" t="n">
        <f aca="false">SUMPRODUCT(($A$12:$A$72=0)*$O$12:$O$72*$E$12:$E$72*$B$12:$B$72)</f>
        <v>1</v>
      </c>
      <c r="E341" s="11" t="n">
        <f aca="false">SUMPRODUCT(($A$12:$A$72&gt;=1)*($A$12:$A$72&lt;=3)*($A$12:$A$72&lt;12)*$O$12:$O$72*$E$12:$E$72*$B$12:$B$72)</f>
        <v>2.6425983067702</v>
      </c>
      <c r="F341" s="11" t="n">
        <f aca="false">SUMPRODUCT(($A$12:$A$72&gt;=4)*($A$12:$A$72&lt;12)*$O$12:$O$72*$E$12:$E$72*$B$12:$B$72)</f>
        <v>5.3134558527334</v>
      </c>
      <c r="G341" s="18" t="n">
        <f aca="false">(1*D341+0.05*(E341+F341))/C341</f>
        <v>0.156073498784274</v>
      </c>
      <c r="H341" s="100" t="n">
        <v>0</v>
      </c>
      <c r="I341" s="100" t="n">
        <v>0.2</v>
      </c>
      <c r="J341" s="18" t="n">
        <f aca="false">(1*D341+0.2*E341+0.03*F341)/C341</f>
        <v>0.188467298977299</v>
      </c>
      <c r="K341" s="18" t="n">
        <f aca="false">(Commission_Models!$B$266*D341+Commission_Models!$B$267*(E341+F341))/C341</f>
        <v>0.120539751364665</v>
      </c>
      <c r="L341" s="48" t="n">
        <f aca="false">((INDEX($E$12:$E$72,12+1)*SUMPRODUCT(($A$12:$A$72&gt;=12)*$O$12:$O$72*$B$5*$C$12:$C$72*$B$12:$B$72)/(1+Assumptions!$B$10)^12)+SUMPRODUCT(($A$12:$A$72&lt;12)*$O$12:$O$72*$E$12:$E$72*$D$12:$D$72*$B$12:$B$72)+INDEX($E$12:$E$72,12+1)*SUMPRODUCT(($A$12:$A$72&gt;=12)*$O$12:$O$72*$D$12:$D$72*$B$12:$B$72))/(C341*(1-Assumptions!$B$13-G341))/12</f>
        <v>781.086149320344</v>
      </c>
      <c r="M341" s="48" t="n">
        <f aca="false">((INDEX($E$12:$E$72,12+1)*SUMPRODUCT(($A$12:$A$72&gt;=12)*$O$12:$O$72*$B$5*$C$12:$C$72*$B$12:$B$72)/(1+Assumptions!$B$10)^12)+SUMPRODUCT(($A$12:$A$72&lt;12)*$O$12:$O$72*$E$12:$E$72*$D$12:$D$72*$B$12:$B$72)+INDEX($E$12:$E$72,12+1)*SUMPRODUCT(($A$12:$A$72&gt;=12)*$O$12:$O$72*$D$12:$D$72*$B$12:$B$72))/(C341*(1-Assumptions!$B$13-H341))/12</f>
        <v>655.408986251929</v>
      </c>
      <c r="N341" s="48" t="n">
        <f aca="false">((INDEX($E$12:$E$72,12+1)*SUMPRODUCT(($A$12:$A$72&gt;=12)*$O$12:$O$72*$B$5*$C$12:$C$72*$B$12:$B$72)/(1+Assumptions!$B$10)^12)+SUMPRODUCT(($A$12:$A$72&lt;12)*$O$12:$O$72*$E$12:$E$72*$D$12:$D$72*$B$12:$B$72)+INDEX($E$12:$E$72,12+1)*SUMPRODUCT(($A$12:$A$72&gt;=12)*$O$12:$O$72*$D$12:$D$72*$B$12:$B$72))/(C341*(1-Assumptions!$B$13-I341))/12</f>
        <v>825.645086577105</v>
      </c>
      <c r="O341" s="48" t="n">
        <f aca="false">((INDEX($E$12:$E$72,12+1)*SUMPRODUCT(($A$12:$A$72&gt;=12)*$O$12:$O$72*$B$5*$C$12:$C$72*$B$12:$B$72)/(1+Assumptions!$B$10)^12)+SUMPRODUCT(($A$12:$A$72&lt;12)*$O$12:$O$72*$E$12:$E$72*$D$12:$D$72*$B$12:$B$72)+INDEX($E$12:$E$72,12+1)*SUMPRODUCT(($A$12:$A$72&gt;=12)*$O$12:$O$72*$D$12:$D$72*$B$12:$B$72))/(C341*(1-Assumptions!$B$13-J341))/12</f>
        <v>813.461440362563</v>
      </c>
      <c r="P341" s="48" t="n">
        <f aca="false">((INDEX($E$12:$E$72,12+1)*SUMPRODUCT(($A$12:$A$72&gt;=12)*$O$12:$O$72*$B$5*$C$12:$C$72*$B$12:$B$72)/(1+Assumptions!$B$10)^12)+SUMPRODUCT(($A$12:$A$72&lt;12)*$O$12:$O$72*$E$12:$E$72*$D$12:$D$72*$B$12:$B$72)+INDEX($E$12:$E$72,12+1)*SUMPRODUCT(($A$12:$A$72&gt;=12)*$O$12:$O$72*$D$12:$D$72*$B$12:$B$72))/(C341*(1-Assumptions!$B$13-K341))/12</f>
        <v>748.412556897987</v>
      </c>
      <c r="Q341" s="48" t="n">
        <f aca="false">(INDEX($E$12:$E$72,12+1)*SUMPRODUCT(($A$12:$A$72&gt;=12)*$O$12:$O$72*$B$5*$C$12:$C$72*$B$12:$B$72)/(1+Assumptions!$B$10)^12)/C341/12</f>
        <v>622.098405724133</v>
      </c>
    </row>
    <row r="342" customFormat="false" ht="15" hidden="false" customHeight="true" outlineLevel="0" collapsed="false">
      <c r="A342" s="3" t="n">
        <v>68</v>
      </c>
      <c r="B342" s="3" t="n">
        <v>85</v>
      </c>
      <c r="C342" s="11" t="n">
        <f aca="false">SUMPRODUCT(($A$12:$A$72&lt;17)*$O$12:$O$72*$E$12:$E$72*$B$12:$B$72)</f>
        <v>11.1173498839973</v>
      </c>
      <c r="D342" s="11" t="n">
        <f aca="false">SUMPRODUCT(($A$12:$A$72=0)*$O$12:$O$72*$E$12:$E$72*$B$12:$B$72)</f>
        <v>1</v>
      </c>
      <c r="E342" s="11" t="n">
        <f aca="false">SUMPRODUCT(($A$12:$A$72&gt;=1)*($A$12:$A$72&lt;=3)*($A$12:$A$72&lt;17)*$O$12:$O$72*$E$12:$E$72*$B$12:$B$72)</f>
        <v>2.6425983067702</v>
      </c>
      <c r="F342" s="11" t="n">
        <f aca="false">SUMPRODUCT(($A$12:$A$72&gt;=4)*($A$12:$A$72&lt;17)*$O$12:$O$72*$E$12:$E$72*$B$12:$B$72)</f>
        <v>7.47475157722713</v>
      </c>
      <c r="G342" s="18" t="n">
        <f aca="false">(1*D342+0.05*(E342+F342))/C342</f>
        <v>0.135452019583144</v>
      </c>
      <c r="H342" s="100" t="n">
        <v>0</v>
      </c>
      <c r="I342" s="100" t="n">
        <v>0.2</v>
      </c>
      <c r="J342" s="18" t="n">
        <f aca="false">(1*D342+0.2*E342+0.03*F342)/C342</f>
        <v>0.15766007429467</v>
      </c>
      <c r="K342" s="18" t="n">
        <f aca="false">(Commission_Models!$B$266*D342+Commission_Models!$B$267*(E342+F342))/C342</f>
        <v>0.0990499993550656</v>
      </c>
      <c r="L342" s="48" t="n">
        <f aca="false">((INDEX($E$12:$E$72,17+1)*SUMPRODUCT(($A$12:$A$72&gt;=17)*$O$12:$O$72*$B$5*$C$12:$C$72*$B$12:$B$72)/(1+Assumptions!$B$10)^17)+SUMPRODUCT(($A$12:$A$72&lt;17)*$O$12:$O$72*$E$12:$E$72*$D$12:$D$72*$B$12:$B$72)+INDEX($E$12:$E$72,17+1)*SUMPRODUCT(($A$12:$A$72&gt;=17)*$O$12:$O$72*$D$12:$D$72*$B$12:$B$72))/(C342*(1-Assumptions!$B$13-G342))/12</f>
        <v>319.800153491245</v>
      </c>
      <c r="M342" s="48" t="n">
        <f aca="false">((INDEX($E$12:$E$72,17+1)*SUMPRODUCT(($A$12:$A$72&gt;=17)*$O$12:$O$72*$B$5*$C$12:$C$72*$B$12:$B$72)/(1+Assumptions!$B$10)^17)+SUMPRODUCT(($A$12:$A$72&lt;17)*$O$12:$O$72*$E$12:$E$72*$D$12:$D$72*$B$12:$B$72)+INDEX($E$12:$E$72,17+1)*SUMPRODUCT(($A$12:$A$72&gt;=17)*$O$12:$O$72*$D$12:$D$72*$B$12:$B$72))/(C342*(1-Assumptions!$B$13-H342))/12</f>
        <v>275.142857972288</v>
      </c>
      <c r="N342" s="48" t="n">
        <f aca="false">((INDEX($E$12:$E$72,17+1)*SUMPRODUCT(($A$12:$A$72&gt;=17)*$O$12:$O$72*$B$5*$C$12:$C$72*$B$12:$B$72)/(1+Assumptions!$B$10)^17)+SUMPRODUCT(($A$12:$A$72&lt;17)*$O$12:$O$72*$E$12:$E$72*$D$12:$D$72*$B$12:$B$72)+INDEX($E$12:$E$72,17+1)*SUMPRODUCT(($A$12:$A$72&gt;=17)*$O$12:$O$72*$D$12:$D$72*$B$12:$B$72))/(C342*(1-Assumptions!$B$13-I342))/12</f>
        <v>346.608535367687</v>
      </c>
      <c r="O342" s="48" t="n">
        <f aca="false">((INDEX($E$12:$E$72,17+1)*SUMPRODUCT(($A$12:$A$72&gt;=17)*$O$12:$O$72*$B$5*$C$12:$C$72*$B$12:$B$72)/(1+Assumptions!$B$10)^17)+SUMPRODUCT(($A$12:$A$72&lt;17)*$O$12:$O$72*$E$12:$E$72*$D$12:$D$72*$B$12:$B$72)+INDEX($E$12:$E$72,17+1)*SUMPRODUCT(($A$12:$A$72&gt;=17)*$O$12:$O$72*$D$12:$D$72*$B$12:$B$72))/(C342*(1-Assumptions!$B$13-J342))/12</f>
        <v>328.542970482939</v>
      </c>
      <c r="P342" s="48" t="n">
        <f aca="false">((INDEX($E$12:$E$72,17+1)*SUMPRODUCT(($A$12:$A$72&gt;=17)*$O$12:$O$72*$B$5*$C$12:$C$72*$B$12:$B$72)/(1+Assumptions!$B$10)^17)+SUMPRODUCT(($A$12:$A$72&lt;17)*$O$12:$O$72*$E$12:$E$72*$D$12:$D$72*$B$12:$B$72)+INDEX($E$12:$E$72,17+1)*SUMPRODUCT(($A$12:$A$72&gt;=17)*$O$12:$O$72*$D$12:$D$72*$B$12:$B$72))/(C342*(1-Assumptions!$B$13-K342))/12</f>
        <v>306.433861915712</v>
      </c>
      <c r="Q342" s="48" t="n">
        <f aca="false">(INDEX($E$12:$E$72,17+1)*SUMPRODUCT(($A$12:$A$72&gt;=17)*$O$12:$O$72*$B$5*$C$12:$C$72*$B$12:$B$72)/(1+Assumptions!$B$10)^17)/C342/12</f>
        <v>256.05430875867</v>
      </c>
    </row>
    <row r="343" customFormat="false" ht="15" hidden="false" customHeight="true" outlineLevel="0" collapsed="false">
      <c r="A343" s="3" t="n">
        <v>68</v>
      </c>
      <c r="B343" s="3" t="n">
        <v>90</v>
      </c>
      <c r="C343" s="11" t="n">
        <f aca="false">SUMPRODUCT(($A$12:$A$72&lt;22)*$O$12:$O$72*$E$12:$E$72*$B$12:$B$72)</f>
        <v>12.4944768251113</v>
      </c>
      <c r="D343" s="11" t="n">
        <f aca="false">SUMPRODUCT(($A$12:$A$72=0)*$O$12:$O$72*$E$12:$E$72*$B$12:$B$72)</f>
        <v>1</v>
      </c>
      <c r="E343" s="11" t="n">
        <f aca="false">SUMPRODUCT(($A$12:$A$72&gt;=1)*($A$12:$A$72&lt;=3)*($A$12:$A$72&lt;22)*$O$12:$O$72*$E$12:$E$72*$B$12:$B$72)</f>
        <v>2.6425983067702</v>
      </c>
      <c r="F343" s="11" t="n">
        <f aca="false">SUMPRODUCT(($A$12:$A$72&gt;=4)*($A$12:$A$72&lt;22)*$O$12:$O$72*$E$12:$E$72*$B$12:$B$72)</f>
        <v>8.85187851834111</v>
      </c>
      <c r="G343" s="18" t="n">
        <f aca="false">(1*D343+0.05*(E343+F343))/C343</f>
        <v>0.126033595747738</v>
      </c>
      <c r="H343" s="100" t="n">
        <v>0</v>
      </c>
      <c r="I343" s="100" t="n">
        <v>0.2</v>
      </c>
      <c r="J343" s="18" t="n">
        <f aca="false">(1*D343+0.2*E343+0.03*F343)/C343</f>
        <v>0.143589526957908</v>
      </c>
      <c r="K343" s="18" t="n">
        <f aca="false">(Commission_Models!$B$266*D343+Commission_Models!$B$267*(E343+F343))/C343</f>
        <v>0.089235010305538</v>
      </c>
      <c r="L343" s="48" t="n">
        <f aca="false">((INDEX($E$12:$E$72,22+1)*SUMPRODUCT(($A$12:$A$72&gt;=22)*$O$12:$O$72*$B$5*$C$12:$C$72*$B$12:$B$72)/(1+Assumptions!$B$10)^22)+SUMPRODUCT(($A$12:$A$72&lt;22)*$O$12:$O$72*$E$12:$E$72*$D$12:$D$72*$B$12:$B$72)+INDEX($E$12:$E$72,22+1)*SUMPRODUCT(($A$12:$A$72&gt;=22)*$O$12:$O$72*$D$12:$D$72*$B$12:$B$72))/(C343*(1-Assumptions!$B$13-G343))/12</f>
        <v>125.808446512156</v>
      </c>
      <c r="M343" s="48" t="n">
        <f aca="false">((INDEX($E$12:$E$72,22+1)*SUMPRODUCT(($A$12:$A$72&gt;=22)*$O$12:$O$72*$B$5*$C$12:$C$72*$B$12:$B$72)/(1+Assumptions!$B$10)^22)+SUMPRODUCT(($A$12:$A$72&lt;22)*$O$12:$O$72*$E$12:$E$72*$D$12:$D$72*$B$12:$B$72)+INDEX($E$12:$E$72,22+1)*SUMPRODUCT(($A$12:$A$72&gt;=22)*$O$12:$O$72*$D$12:$D$72*$B$12:$B$72))/(C343*(1-Assumptions!$B$13-H343))/12</f>
        <v>109.461961059203</v>
      </c>
      <c r="N343" s="48" t="n">
        <f aca="false">((INDEX($E$12:$E$72,22+1)*SUMPRODUCT(($A$12:$A$72&gt;=22)*$O$12:$O$72*$B$5*$C$12:$C$72*$B$12:$B$72)/(1+Assumptions!$B$10)^22)+SUMPRODUCT(($A$12:$A$72&lt;22)*$O$12:$O$72*$E$12:$E$72*$D$12:$D$72*$B$12:$B$72)+INDEX($E$12:$E$72,22+1)*SUMPRODUCT(($A$12:$A$72&gt;=22)*$O$12:$O$72*$D$12:$D$72*$B$12:$B$72))/(C343*(1-Assumptions!$B$13-I343))/12</f>
        <v>137.893639256399</v>
      </c>
      <c r="O343" s="48" t="n">
        <f aca="false">((INDEX($E$12:$E$72,22+1)*SUMPRODUCT(($A$12:$A$72&gt;=22)*$O$12:$O$72*$B$5*$C$12:$C$72*$B$12:$B$72)/(1+Assumptions!$B$10)^22)+SUMPRODUCT(($A$12:$A$72&lt;22)*$O$12:$O$72*$E$12:$E$72*$D$12:$D$72*$B$12:$B$72)+INDEX($E$12:$E$72,22+1)*SUMPRODUCT(($A$12:$A$72&gt;=22)*$O$12:$O$72*$D$12:$D$72*$B$12:$B$72))/(C343*(1-Assumptions!$B$13-J343))/12</f>
        <v>128.481070474066</v>
      </c>
      <c r="P343" s="48" t="n">
        <f aca="false">((INDEX($E$12:$E$72,22+1)*SUMPRODUCT(($A$12:$A$72&gt;=22)*$O$12:$O$72*$B$5*$C$12:$C$72*$B$12:$B$72)/(1+Assumptions!$B$10)^22)+SUMPRODUCT(($A$12:$A$72&lt;22)*$O$12:$O$72*$E$12:$E$72*$D$12:$D$72*$B$12:$B$72)+INDEX($E$12:$E$72,22+1)*SUMPRODUCT(($A$12:$A$72&gt;=22)*$O$12:$O$72*$D$12:$D$72*$B$12:$B$72))/(C343*(1-Assumptions!$B$13-K343))/12</f>
        <v>120.552137596046</v>
      </c>
      <c r="Q343" s="48" t="n">
        <f aca="false">(INDEX($E$12:$E$72,22+1)*SUMPRODUCT(($A$12:$A$72&gt;=22)*$O$12:$O$72*$B$5*$C$12:$C$72*$B$12:$B$72)/(1+Assumptions!$B$10)^22)/C343/12</f>
        <v>96.612659597708</v>
      </c>
    </row>
    <row r="344" customFormat="false" ht="15" hidden="false" customHeight="true" outlineLevel="0" collapsed="false">
      <c r="A344" s="3" t="n">
        <v>70</v>
      </c>
      <c r="B344" s="3" t="n">
        <v>75</v>
      </c>
      <c r="C344" s="11" t="n">
        <f aca="false">SUMPRODUCT(($A$12:$A$72&lt;5)*$Q$12:$Q$72*$E$12:$E$72*$B$12:$B$72)</f>
        <v>4.41896949603684</v>
      </c>
      <c r="D344" s="11" t="n">
        <f aca="false">SUMPRODUCT(($A$12:$A$72=0)*$Q$12:$Q$72*$E$12:$E$72*$B$12:$B$72)</f>
        <v>1</v>
      </c>
      <c r="E344" s="11" t="n">
        <f aca="false">SUMPRODUCT(($A$12:$A$72&gt;=1)*($A$12:$A$72&lt;=3)*($A$12:$A$72&lt;5)*$Q$12:$Q$72*$E$12:$E$72*$B$12:$B$72)</f>
        <v>2.63075016516263</v>
      </c>
      <c r="F344" s="11" t="n">
        <f aca="false">SUMPRODUCT(($A$12:$A$72&gt;=4)*($A$12:$A$72&lt;5)*$Q$12:$Q$72*$E$12:$E$72*$B$12:$B$72)</f>
        <v>0.788219330874208</v>
      </c>
      <c r="G344" s="18" t="n">
        <f aca="false">(1*D344+0.05*(E344+F344))/C344</f>
        <v>0.264982248882236</v>
      </c>
      <c r="H344" s="100" t="n">
        <v>0</v>
      </c>
      <c r="I344" s="100" t="n">
        <v>0.2</v>
      </c>
      <c r="J344" s="18" t="n">
        <f aca="false">(1*D344+0.2*E344+0.03*F344)/C344</f>
        <v>0.350714485435731</v>
      </c>
      <c r="K344" s="18" t="n">
        <f aca="false">(Commission_Models!$B$266*D344+Commission_Models!$B$267*(E344+F344))/C344</f>
        <v>0.234034133045698</v>
      </c>
      <c r="L344" s="48" t="n">
        <f aca="false">((INDEX($E$12:$E$72,5+1)*SUMPRODUCT(($A$12:$A$72&gt;=5)*$Q$12:$Q$72*$B$5*$C$12:$C$72*$B$12:$B$72)/(1+Assumptions!$B$10)^5)+SUMPRODUCT(($A$12:$A$72&lt;5)*$Q$12:$Q$72*$E$12:$E$72*$D$12:$D$72*$B$12:$B$72)+INDEX($E$12:$E$72,5+1)*SUMPRODUCT(($A$12:$A$72&gt;=5)*$Q$12:$Q$72*$D$12:$D$72*$B$12:$B$72))/(C344*(1-Assumptions!$B$13-G344))/12</f>
        <v>3415.80353150829</v>
      </c>
      <c r="M344" s="48" t="n">
        <f aca="false">((INDEX($E$12:$E$72,5+1)*SUMPRODUCT(($A$12:$A$72&gt;=5)*$Q$12:$Q$72*$B$5*$C$12:$C$72*$B$12:$B$72)/(1+Assumptions!$B$10)^5)+SUMPRODUCT(($A$12:$A$72&lt;5)*$Q$12:$Q$72*$E$12:$E$72*$D$12:$D$72*$B$12:$B$72)+INDEX($E$12:$E$72,5+1)*SUMPRODUCT(($A$12:$A$72&gt;=5)*$Q$12:$Q$72*$D$12:$D$72*$B$12:$B$72))/(C344*(1-Assumptions!$B$13-H344))/12</f>
        <v>2482.68260210731</v>
      </c>
      <c r="N344" s="48" t="n">
        <f aca="false">((INDEX($E$12:$E$72,5+1)*SUMPRODUCT(($A$12:$A$72&gt;=5)*$Q$12:$Q$72*$B$5*$C$12:$C$72*$B$12:$B$72)/(1+Assumptions!$B$10)^5)+SUMPRODUCT(($A$12:$A$72&lt;5)*$Q$12:$Q$72*$E$12:$E$72*$D$12:$D$72*$B$12:$B$72)+INDEX($E$12:$E$72,5+1)*SUMPRODUCT(($A$12:$A$72&gt;=5)*$Q$12:$Q$72*$D$12:$D$72*$B$12:$B$72))/(C344*(1-Assumptions!$B$13-I344))/12</f>
        <v>3127.53522603129</v>
      </c>
      <c r="O344" s="48" t="n">
        <f aca="false">((INDEX($E$12:$E$72,5+1)*SUMPRODUCT(($A$12:$A$72&gt;=5)*$Q$12:$Q$72*$B$5*$C$12:$C$72*$B$12:$B$72)/(1+Assumptions!$B$10)^5)+SUMPRODUCT(($A$12:$A$72&lt;5)*$Q$12:$Q$72*$E$12:$E$72*$D$12:$D$72*$B$12:$B$72)+INDEX($E$12:$E$72,5+1)*SUMPRODUCT(($A$12:$A$72&gt;=5)*$Q$12:$Q$72*$D$12:$D$72*$B$12:$B$72))/(C344*(1-Assumptions!$B$13-J344))/12</f>
        <v>3888.67827102093</v>
      </c>
      <c r="P344" s="48" t="n">
        <f aca="false">((INDEX($E$12:$E$72,5+1)*SUMPRODUCT(($A$12:$A$72&gt;=5)*$Q$12:$Q$72*$B$5*$C$12:$C$72*$B$12:$B$72)/(1+Assumptions!$B$10)^5)+SUMPRODUCT(($A$12:$A$72&lt;5)*$Q$12:$Q$72*$E$12:$E$72*$D$12:$D$72*$B$12:$B$72)+INDEX($E$12:$E$72,5+1)*SUMPRODUCT(($A$12:$A$72&gt;=5)*$Q$12:$Q$72*$D$12:$D$72*$B$12:$B$72))/(C344*(1-Assumptions!$B$13-K344))/12</f>
        <v>3272.16550681911</v>
      </c>
      <c r="Q344" s="48" t="n">
        <f aca="false">(INDEX($E$12:$E$72,5+1)*SUMPRODUCT(($A$12:$A$72&gt;=5)*$Q$12:$Q$72*$B$5*$C$12:$C$72*$B$12:$B$72)/(1+Assumptions!$B$10)^5)/C344/12</f>
        <v>2381.82983507619</v>
      </c>
    </row>
    <row r="345" customFormat="false" ht="15" hidden="false" customHeight="true" outlineLevel="0" collapsed="false">
      <c r="A345" s="3" t="n">
        <v>70</v>
      </c>
      <c r="B345" s="3" t="n">
        <v>80</v>
      </c>
      <c r="C345" s="11" t="n">
        <f aca="false">SUMPRODUCT(($A$12:$A$72&lt;10)*$Q$12:$Q$72*$E$12:$E$72*$B$12:$B$72)</f>
        <v>7.75839214008567</v>
      </c>
      <c r="D345" s="11" t="n">
        <f aca="false">SUMPRODUCT(($A$12:$A$72=0)*$Q$12:$Q$72*$E$12:$E$72*$B$12:$B$72)</f>
        <v>1</v>
      </c>
      <c r="E345" s="11" t="n">
        <f aca="false">SUMPRODUCT(($A$12:$A$72&gt;=1)*($A$12:$A$72&lt;=3)*($A$12:$A$72&lt;10)*$Q$12:$Q$72*$E$12:$E$72*$B$12:$B$72)</f>
        <v>2.63075016516263</v>
      </c>
      <c r="F345" s="11" t="n">
        <f aca="false">SUMPRODUCT(($A$12:$A$72&gt;=4)*($A$12:$A$72&lt;10)*$Q$12:$Q$72*$E$12:$E$72*$B$12:$B$72)</f>
        <v>4.12764197492304</v>
      </c>
      <c r="G345" s="18" t="n">
        <f aca="false">(1*D345+0.05*(E345+F345))/C345</f>
        <v>0.172448051457929</v>
      </c>
      <c r="H345" s="100" t="n">
        <v>0</v>
      </c>
      <c r="I345" s="100" t="n">
        <v>0.2</v>
      </c>
      <c r="J345" s="18" t="n">
        <f aca="false">(1*D345+0.2*E345+0.03*F345)/C345</f>
        <v>0.212670262405942</v>
      </c>
      <c r="K345" s="18" t="n">
        <f aca="false">(Commission_Models!$B$266*D345+Commission_Models!$B$267*(E345+F345))/C345</f>
        <v>0.137603758887736</v>
      </c>
      <c r="L345" s="48" t="n">
        <f aca="false">((INDEX($E$12:$E$72,10+1)*SUMPRODUCT(($A$12:$A$72&gt;=10)*$Q$12:$Q$72*$B$5*$C$12:$C$72*$B$12:$B$72)/(1+Assumptions!$B$10)^10)+SUMPRODUCT(($A$12:$A$72&lt;10)*$Q$12:$Q$72*$E$12:$E$72*$D$12:$D$72*$B$12:$B$72)+INDEX($E$12:$E$72,10+1)*SUMPRODUCT(($A$12:$A$72&gt;=10)*$Q$12:$Q$72*$D$12:$D$72*$B$12:$B$72))/(C345*(1-Assumptions!$B$13-G345))/12</f>
        <v>996.603247196247</v>
      </c>
      <c r="M345" s="48" t="n">
        <f aca="false">((INDEX($E$12:$E$72,10+1)*SUMPRODUCT(($A$12:$A$72&gt;=10)*$Q$12:$Q$72*$B$5*$C$12:$C$72*$B$12:$B$72)/(1+Assumptions!$B$10)^10)+SUMPRODUCT(($A$12:$A$72&lt;10)*$Q$12:$Q$72*$E$12:$E$72*$D$12:$D$72*$B$12:$B$72)+INDEX($E$12:$E$72,10+1)*SUMPRODUCT(($A$12:$A$72&gt;=10)*$Q$12:$Q$72*$D$12:$D$72*$B$12:$B$72))/(C345*(1-Assumptions!$B$13-H345))/12</f>
        <v>819.425630644043</v>
      </c>
      <c r="N345" s="48" t="n">
        <f aca="false">((INDEX($E$12:$E$72,10+1)*SUMPRODUCT(($A$12:$A$72&gt;=10)*$Q$12:$Q$72*$B$5*$C$12:$C$72*$B$12:$B$72)/(1+Assumptions!$B$10)^10)+SUMPRODUCT(($A$12:$A$72&lt;10)*$Q$12:$Q$72*$E$12:$E$72*$D$12:$D$72*$B$12:$B$72)+INDEX($E$12:$E$72,10+1)*SUMPRODUCT(($A$12:$A$72&gt;=10)*$Q$12:$Q$72*$D$12:$D$72*$B$12:$B$72))/(C345*(1-Assumptions!$B$13-I345))/12</f>
        <v>1032.26345678535</v>
      </c>
      <c r="O345" s="48" t="n">
        <f aca="false">((INDEX($E$12:$E$72,10+1)*SUMPRODUCT(($A$12:$A$72&gt;=10)*$Q$12:$Q$72*$B$5*$C$12:$C$72*$B$12:$B$72)/(1+Assumptions!$B$10)^10)+SUMPRODUCT(($A$12:$A$72&lt;10)*$Q$12:$Q$72*$E$12:$E$72*$D$12:$D$72*$B$12:$B$72)+INDEX($E$12:$E$72,10+1)*SUMPRODUCT(($A$12:$A$72&gt;=10)*$Q$12:$Q$72*$D$12:$D$72*$B$12:$B$72))/(C345*(1-Assumptions!$B$13-J345))/12</f>
        <v>1049.53340964774</v>
      </c>
      <c r="P345" s="48" t="n">
        <f aca="false">((INDEX($E$12:$E$72,10+1)*SUMPRODUCT(($A$12:$A$72&gt;=10)*$Q$12:$Q$72*$B$5*$C$12:$C$72*$B$12:$B$72)/(1+Assumptions!$B$10)^10)+SUMPRODUCT(($A$12:$A$72&lt;10)*$Q$12:$Q$72*$E$12:$E$72*$D$12:$D$72*$B$12:$B$72)+INDEX($E$12:$E$72,10+1)*SUMPRODUCT(($A$12:$A$72&gt;=10)*$Q$12:$Q$72*$D$12:$D$72*$B$12:$B$72))/(C345*(1-Assumptions!$B$13-K345))/12</f>
        <v>954.885212675441</v>
      </c>
      <c r="Q345" s="48" t="n">
        <f aca="false">(INDEX($E$12:$E$72,10+1)*SUMPRODUCT(($A$12:$A$72&gt;=10)*$Q$12:$Q$72*$B$5*$C$12:$C$72*$B$12:$B$72)/(1+Assumptions!$B$10)^10)/C345/12</f>
        <v>780.214582974757</v>
      </c>
    </row>
    <row r="346" customFormat="false" ht="15" hidden="false" customHeight="true" outlineLevel="0" collapsed="false">
      <c r="A346" s="3" t="n">
        <v>70</v>
      </c>
      <c r="B346" s="3" t="n">
        <v>85</v>
      </c>
      <c r="C346" s="11" t="n">
        <f aca="false">SUMPRODUCT(($A$12:$A$72&lt;15)*$Q$12:$Q$72*$E$12:$E$72*$B$12:$B$72)</f>
        <v>10.1369379515011</v>
      </c>
      <c r="D346" s="11" t="n">
        <f aca="false">SUMPRODUCT(($A$12:$A$72=0)*$Q$12:$Q$72*$E$12:$E$72*$B$12:$B$72)</f>
        <v>1</v>
      </c>
      <c r="E346" s="11" t="n">
        <f aca="false">SUMPRODUCT(($A$12:$A$72&gt;=1)*($A$12:$A$72&lt;=3)*($A$12:$A$72&lt;15)*$Q$12:$Q$72*$E$12:$E$72*$B$12:$B$72)</f>
        <v>2.63075016516263</v>
      </c>
      <c r="F346" s="11" t="n">
        <f aca="false">SUMPRODUCT(($A$12:$A$72&gt;=4)*($A$12:$A$72&lt;15)*$Q$12:$Q$72*$E$12:$E$72*$B$12:$B$72)</f>
        <v>6.5061877863385</v>
      </c>
      <c r="G346" s="18" t="n">
        <f aca="false">(1*D346+0.05*(E346+F346))/C346</f>
        <v>0.143716663211825</v>
      </c>
      <c r="H346" s="100" t="n">
        <v>0</v>
      </c>
      <c r="I346" s="100" t="n">
        <v>0.2</v>
      </c>
      <c r="J346" s="18" t="n">
        <f aca="false">(1*D346+0.2*E346+0.03*F346)/C346</f>
        <v>0.169808247308821</v>
      </c>
      <c r="K346" s="18" t="n">
        <f aca="false">(Commission_Models!$B$266*D346+Commission_Models!$B$267*(E346+F346))/C346</f>
        <v>0.107662627978639</v>
      </c>
      <c r="L346" s="48" t="n">
        <f aca="false">((INDEX($E$12:$E$72,15+1)*SUMPRODUCT(($A$12:$A$72&gt;=15)*$Q$12:$Q$72*$B$5*$C$12:$C$72*$B$12:$B$72)/(1+Assumptions!$B$10)^15)+SUMPRODUCT(($A$12:$A$72&lt;15)*$Q$12:$Q$72*$E$12:$E$72*$D$12:$D$72*$B$12:$B$72)+INDEX($E$12:$E$72,15+1)*SUMPRODUCT(($A$12:$A$72&gt;=15)*$Q$12:$Q$72*$D$12:$D$72*$B$12:$B$72))/(C346*(1-Assumptions!$B$13-G346))/12</f>
        <v>379.252197146983</v>
      </c>
      <c r="M346" s="48" t="n">
        <f aca="false">((INDEX($E$12:$E$72,15+1)*SUMPRODUCT(($A$12:$A$72&gt;=15)*$Q$12:$Q$72*$B$5*$C$12:$C$72*$B$12:$B$72)/(1+Assumptions!$B$10)^15)+SUMPRODUCT(($A$12:$A$72&lt;15)*$Q$12:$Q$72*$E$12:$E$72*$D$12:$D$72*$B$12:$B$72)+INDEX($E$12:$E$72,15+1)*SUMPRODUCT(($A$12:$A$72&gt;=15)*$Q$12:$Q$72*$D$12:$D$72*$B$12:$B$72))/(C346*(1-Assumptions!$B$13-H346))/12</f>
        <v>323.061619528717</v>
      </c>
      <c r="N346" s="48" t="n">
        <f aca="false">((INDEX($E$12:$E$72,15+1)*SUMPRODUCT(($A$12:$A$72&gt;=15)*$Q$12:$Q$72*$B$5*$C$12:$C$72*$B$12:$B$72)/(1+Assumptions!$B$10)^15)+SUMPRODUCT(($A$12:$A$72&lt;15)*$Q$12:$Q$72*$E$12:$E$72*$D$12:$D$72*$B$12:$B$72)+INDEX($E$12:$E$72,15+1)*SUMPRODUCT(($A$12:$A$72&gt;=15)*$Q$12:$Q$72*$D$12:$D$72*$B$12:$B$72))/(C346*(1-Assumptions!$B$13-I346))/12</f>
        <v>406.973728497215</v>
      </c>
      <c r="O346" s="48" t="n">
        <f aca="false">((INDEX($E$12:$E$72,15+1)*SUMPRODUCT(($A$12:$A$72&gt;=15)*$Q$12:$Q$72*$B$5*$C$12:$C$72*$B$12:$B$72)/(1+Assumptions!$B$10)^15)+SUMPRODUCT(($A$12:$A$72&lt;15)*$Q$12:$Q$72*$E$12:$E$72*$D$12:$D$72*$B$12:$B$72)+INDEX($E$12:$E$72,15+1)*SUMPRODUCT(($A$12:$A$72&gt;=15)*$Q$12:$Q$72*$D$12:$D$72*$B$12:$B$72))/(C346*(1-Assumptions!$B$13-J346))/12</f>
        <v>391.618346338788</v>
      </c>
      <c r="P346" s="48" t="n">
        <f aca="false">((INDEX($E$12:$E$72,15+1)*SUMPRODUCT(($A$12:$A$72&gt;=15)*$Q$12:$Q$72*$B$5*$C$12:$C$72*$B$12:$B$72)/(1+Assumptions!$B$10)^15)+SUMPRODUCT(($A$12:$A$72&lt;15)*$Q$12:$Q$72*$E$12:$E$72*$D$12:$D$72*$B$12:$B$72)+INDEX($E$12:$E$72,15+1)*SUMPRODUCT(($A$12:$A$72&gt;=15)*$Q$12:$Q$72*$D$12:$D$72*$B$12:$B$72))/(C346*(1-Assumptions!$B$13-K346))/12</f>
        <v>363.395790452989</v>
      </c>
      <c r="Q346" s="48" t="n">
        <f aca="false">(INDEX($E$12:$E$72,15+1)*SUMPRODUCT(($A$12:$A$72&gt;=15)*$Q$12:$Q$72*$B$5*$C$12:$C$72*$B$12:$B$72)/(1+Assumptions!$B$10)^15)/C346/12</f>
        <v>302.355295287871</v>
      </c>
    </row>
    <row r="347" customFormat="false" ht="15" hidden="false" customHeight="true" outlineLevel="0" collapsed="false">
      <c r="A347" s="3" t="n">
        <v>70</v>
      </c>
      <c r="B347" s="3" t="n">
        <v>90</v>
      </c>
      <c r="C347" s="11" t="n">
        <f aca="false">SUMPRODUCT(($A$12:$A$72&lt;20)*$Q$12:$Q$72*$E$12:$E$72*$B$12:$B$72)</f>
        <v>11.6358795498802</v>
      </c>
      <c r="D347" s="11" t="n">
        <f aca="false">SUMPRODUCT(($A$12:$A$72=0)*$Q$12:$Q$72*$E$12:$E$72*$B$12:$B$72)</f>
        <v>1</v>
      </c>
      <c r="E347" s="11" t="n">
        <f aca="false">SUMPRODUCT(($A$12:$A$72&gt;=1)*($A$12:$A$72&lt;=3)*($A$12:$A$72&lt;20)*$Q$12:$Q$72*$E$12:$E$72*$B$12:$B$72)</f>
        <v>2.63075016516263</v>
      </c>
      <c r="F347" s="11" t="n">
        <f aca="false">SUMPRODUCT(($A$12:$A$72&gt;=4)*($A$12:$A$72&lt;20)*$Q$12:$Q$72*$E$12:$E$72*$B$12:$B$72)</f>
        <v>8.00512938471757</v>
      </c>
      <c r="G347" s="18" t="n">
        <f aca="false">(1*D347+0.05*(E347+F347))/C347</f>
        <v>0.131644021487811</v>
      </c>
      <c r="H347" s="100" t="n">
        <v>0</v>
      </c>
      <c r="I347" s="100" t="n">
        <v>0.2</v>
      </c>
      <c r="J347" s="18" t="n">
        <f aca="false">(1*D347+0.2*E347+0.03*F347)/C347</f>
        <v>0.151798057637357</v>
      </c>
      <c r="K347" s="18" t="n">
        <f aca="false">(Commission_Models!$B$266*D347+Commission_Models!$B$267*(E347+F347))/C347</f>
        <v>0.0950816644978241</v>
      </c>
      <c r="L347" s="48" t="n">
        <f aca="false">((INDEX($E$12:$E$72,20+1)*SUMPRODUCT(($A$12:$A$72&gt;=20)*$Q$12:$Q$72*$B$5*$C$12:$C$72*$B$12:$B$72)/(1+Assumptions!$B$10)^20)+SUMPRODUCT(($A$12:$A$72&lt;20)*$Q$12:$Q$72*$E$12:$E$72*$D$12:$D$72*$B$12:$B$72)+INDEX($E$12:$E$72,20+1)*SUMPRODUCT(($A$12:$A$72&gt;=20)*$Q$12:$Q$72*$D$12:$D$72*$B$12:$B$72))/(C347*(1-Assumptions!$B$13-G347))/12</f>
        <v>143.096417968334</v>
      </c>
      <c r="M347" s="48" t="n">
        <f aca="false">((INDEX($E$12:$E$72,20+1)*SUMPRODUCT(($A$12:$A$72&gt;=20)*$Q$12:$Q$72*$B$5*$C$12:$C$72*$B$12:$B$72)/(1+Assumptions!$B$10)^20)+SUMPRODUCT(($A$12:$A$72&lt;20)*$Q$12:$Q$72*$E$12:$E$72*$D$12:$D$72*$B$12:$B$72)+INDEX($E$12:$E$72,20+1)*SUMPRODUCT(($A$12:$A$72&gt;=20)*$Q$12:$Q$72*$D$12:$D$72*$B$12:$B$72))/(C347*(1-Assumptions!$B$13-H347))/12</f>
        <v>123.676018048899</v>
      </c>
      <c r="N347" s="48" t="n">
        <f aca="false">((INDEX($E$12:$E$72,20+1)*SUMPRODUCT(($A$12:$A$72&gt;=20)*$Q$12:$Q$72*$B$5*$C$12:$C$72*$B$12:$B$72)/(1+Assumptions!$B$10)^20)+SUMPRODUCT(($A$12:$A$72&lt;20)*$Q$12:$Q$72*$E$12:$E$72*$D$12:$D$72*$B$12:$B$72)+INDEX($E$12:$E$72,20+1)*SUMPRODUCT(($A$12:$A$72&gt;=20)*$Q$12:$Q$72*$D$12:$D$72*$B$12:$B$72))/(C347*(1-Assumptions!$B$13-I347))/12</f>
        <v>155.799659100561</v>
      </c>
      <c r="O347" s="48" t="n">
        <f aca="false">((INDEX($E$12:$E$72,20+1)*SUMPRODUCT(($A$12:$A$72&gt;=20)*$Q$12:$Q$72*$B$5*$C$12:$C$72*$B$12:$B$72)/(1+Assumptions!$B$10)^20)+SUMPRODUCT(($A$12:$A$72&lt;20)*$Q$12:$Q$72*$E$12:$E$72*$D$12:$D$72*$B$12:$B$72)+INDEX($E$12:$E$72,20+1)*SUMPRODUCT(($A$12:$A$72&gt;=20)*$Q$12:$Q$72*$D$12:$D$72*$B$12:$B$72))/(C347*(1-Assumptions!$B$13-J347))/12</f>
        <v>146.621183959816</v>
      </c>
      <c r="P347" s="48" t="n">
        <f aca="false">((INDEX($E$12:$E$72,20+1)*SUMPRODUCT(($A$12:$A$72&gt;=20)*$Q$12:$Q$72*$B$5*$C$12:$C$72*$B$12:$B$72)/(1+Assumptions!$B$10)^20)+SUMPRODUCT(($A$12:$A$72&lt;20)*$Q$12:$Q$72*$E$12:$E$72*$D$12:$D$72*$B$12:$B$72)+INDEX($E$12:$E$72,20+1)*SUMPRODUCT(($A$12:$A$72&gt;=20)*$Q$12:$Q$72*$D$12:$D$72*$B$12:$B$72))/(C347*(1-Assumptions!$B$13-K347))/12</f>
        <v>137.116497208365</v>
      </c>
      <c r="Q347" s="48" t="n">
        <f aca="false">(INDEX($E$12:$E$72,20+1)*SUMPRODUCT(($A$12:$A$72&gt;=20)*$Q$12:$Q$72*$B$5*$C$12:$C$72*$B$12:$B$72)/(1+Assumptions!$B$10)^20)/C347/12</f>
        <v>110.451808527878</v>
      </c>
    </row>
    <row r="348" customFormat="false" ht="15" hidden="false" customHeight="true" outlineLevel="0" collapsed="false">
      <c r="A348" s="3" t="n">
        <v>72</v>
      </c>
      <c r="B348" s="3" t="n">
        <v>75</v>
      </c>
      <c r="C348" s="11" t="n">
        <f aca="false">SUMPRODUCT(($A$12:$A$72&lt;3)*$S$12:$S$72*$E$12:$E$72*$B$12:$B$72)</f>
        <v>2.79330225709446</v>
      </c>
      <c r="D348" s="11" t="n">
        <f aca="false">SUMPRODUCT(($A$12:$A$72=0)*$S$12:$S$72*$E$12:$E$72*$B$12:$B$72)</f>
        <v>1</v>
      </c>
      <c r="E348" s="11" t="n">
        <f aca="false">SUMPRODUCT(($A$12:$A$72&gt;=1)*($A$12:$A$72&lt;=3)*($A$12:$A$72&lt;3)*$S$12:$S$72*$E$12:$E$72*$B$12:$B$72)</f>
        <v>1.79330225709446</v>
      </c>
      <c r="F348" s="11" t="n">
        <f aca="false">SUMPRODUCT(($A$12:$A$72&gt;=4)*($A$12:$A$72&lt;3)*$S$12:$S$72*$E$12:$E$72*$B$12:$B$72)</f>
        <v>0</v>
      </c>
      <c r="G348" s="18" t="n">
        <f aca="false">(1*D348+0.05*(E348+F348))/C348</f>
        <v>0.390099249047317</v>
      </c>
      <c r="H348" s="100" t="n">
        <v>0</v>
      </c>
      <c r="I348" s="100" t="n">
        <v>0.2</v>
      </c>
      <c r="J348" s="18" t="n">
        <f aca="false">(1*D348+0.2*E348+0.03*F348)/C348</f>
        <v>0.486399367618793</v>
      </c>
      <c r="K348" s="18" t="n">
        <f aca="false">(Commission_Models!$B$266*D348+Commission_Models!$B$267*(E348+F348))/C348</f>
        <v>0.364419217428257</v>
      </c>
      <c r="L348" s="48" t="n">
        <f aca="false">((INDEX($E$12:$E$72,3+1)*SUMPRODUCT(($A$12:$A$72&gt;=3)*$S$12:$S$72*$B$5*$C$12:$C$72*$B$12:$B$72)/(1+Assumptions!$B$10)^3)+SUMPRODUCT(($A$12:$A$72&lt;3)*$S$12:$S$72*$E$12:$E$72*$D$12:$D$72*$B$12:$B$72)+INDEX($E$12:$E$72,3+1)*SUMPRODUCT(($A$12:$A$72&gt;=3)*$S$12:$S$72*$D$12:$D$72*$B$12:$B$72))/(C348*(1-Assumptions!$B$13-G348))/12</f>
        <v>7236.69789821026</v>
      </c>
      <c r="M348" s="48" t="n">
        <f aca="false">((INDEX($E$12:$E$72,3+1)*SUMPRODUCT(($A$12:$A$72&gt;=3)*$S$12:$S$72*$B$5*$C$12:$C$72*$B$12:$B$72)/(1+Assumptions!$B$10)^3)+SUMPRODUCT(($A$12:$A$72&lt;3)*$S$12:$S$72*$E$12:$E$72*$D$12:$D$72*$B$12:$B$72)+INDEX($E$12:$E$72,3+1)*SUMPRODUCT(($A$12:$A$72&gt;=3)*$S$12:$S$72*$D$12:$D$72*$B$12:$B$72))/(C348*(1-Assumptions!$B$13-H348))/12</f>
        <v>4326.35726349467</v>
      </c>
      <c r="N348" s="48" t="n">
        <f aca="false">((INDEX($E$12:$E$72,3+1)*SUMPRODUCT(($A$12:$A$72&gt;=3)*$S$12:$S$72*$B$5*$C$12:$C$72*$B$12:$B$72)/(1+Assumptions!$B$10)^3)+SUMPRODUCT(($A$12:$A$72&lt;3)*$S$12:$S$72*$E$12:$E$72*$D$12:$D$72*$B$12:$B$72)+INDEX($E$12:$E$72,3+1)*SUMPRODUCT(($A$12:$A$72&gt;=3)*$S$12:$S$72*$D$12:$D$72*$B$12:$B$72))/(C348*(1-Assumptions!$B$13-I348))/12</f>
        <v>5450.08642284394</v>
      </c>
      <c r="O348" s="48" t="n">
        <f aca="false">((INDEX($E$12:$E$72,3+1)*SUMPRODUCT(($A$12:$A$72&gt;=3)*$S$12:$S$72*$B$5*$C$12:$C$72*$B$12:$B$72)/(1+Assumptions!$B$10)^3)+SUMPRODUCT(($A$12:$A$72&lt;3)*$S$12:$S$72*$E$12:$E$72*$D$12:$D$72*$B$12:$B$72)+INDEX($E$12:$E$72,3+1)*SUMPRODUCT(($A$12:$A$72&gt;=3)*$S$12:$S$72*$D$12:$D$72*$B$12:$B$72))/(C348*(1-Assumptions!$B$13-J348))/12</f>
        <v>8677.75239442163</v>
      </c>
      <c r="P348" s="48" t="n">
        <f aca="false">((INDEX($E$12:$E$72,3+1)*SUMPRODUCT(($A$12:$A$72&gt;=3)*$S$12:$S$72*$B$5*$C$12:$C$72*$B$12:$B$72)/(1+Assumptions!$B$10)^3)+SUMPRODUCT(($A$12:$A$72&lt;3)*$S$12:$S$72*$E$12:$E$72*$D$12:$D$72*$B$12:$B$72)+INDEX($E$12:$E$72,3+1)*SUMPRODUCT(($A$12:$A$72&gt;=3)*$S$12:$S$72*$D$12:$D$72*$B$12:$B$72))/(C348*(1-Assumptions!$B$13-K348))/12</f>
        <v>6929.82120034938</v>
      </c>
      <c r="Q348" s="48" t="n">
        <f aca="false">(INDEX($E$12:$E$72,3+1)*SUMPRODUCT(($A$12:$A$72&gt;=3)*$S$12:$S$72*$B$5*$C$12:$C$72*$B$12:$B$72)/(1+Assumptions!$B$10)^3)/C348/12</f>
        <v>4157.66367878303</v>
      </c>
    </row>
    <row r="349" customFormat="false" ht="15" hidden="false" customHeight="true" outlineLevel="0" collapsed="false">
      <c r="A349" s="3" t="n">
        <v>72</v>
      </c>
      <c r="B349" s="3" t="n">
        <v>80</v>
      </c>
      <c r="C349" s="11" t="n">
        <f aca="false">SUMPRODUCT(($A$12:$A$72&lt;8)*$S$12:$S$72*$E$12:$E$72*$B$12:$B$72)</f>
        <v>6.47049416571973</v>
      </c>
      <c r="D349" s="11" t="n">
        <f aca="false">SUMPRODUCT(($A$12:$A$72=0)*$S$12:$S$72*$E$12:$E$72*$B$12:$B$72)</f>
        <v>1</v>
      </c>
      <c r="E349" s="11" t="n">
        <f aca="false">SUMPRODUCT(($A$12:$A$72&gt;=1)*($A$12:$A$72&lt;=3)*($A$12:$A$72&lt;8)*$S$12:$S$72*$E$12:$E$72*$B$12:$B$72)</f>
        <v>2.61700223593839</v>
      </c>
      <c r="F349" s="11" t="n">
        <f aca="false">SUMPRODUCT(($A$12:$A$72&gt;=4)*($A$12:$A$72&lt;8)*$S$12:$S$72*$E$12:$E$72*$B$12:$B$72)</f>
        <v>2.85349192978134</v>
      </c>
      <c r="G349" s="18" t="n">
        <f aca="false">(1*D349+0.05*(E349+F349))/C349</f>
        <v>0.19682031629563</v>
      </c>
      <c r="H349" s="100" t="n">
        <v>0</v>
      </c>
      <c r="I349" s="100" t="n">
        <v>0.2</v>
      </c>
      <c r="J349" s="18" t="n">
        <f aca="false">(1*D349+0.2*E349+0.03*F349)/C349</f>
        <v>0.24866805592771</v>
      </c>
      <c r="K349" s="18" t="n">
        <f aca="false">(Commission_Models!$B$266*D349+Commission_Models!$B$267*(E349+F349))/C349</f>
        <v>0.163002224350183</v>
      </c>
      <c r="L349" s="48" t="n">
        <f aca="false">((INDEX($E$12:$E$72,8+1)*SUMPRODUCT(($A$12:$A$72&gt;=8)*$S$12:$S$72*$B$5*$C$12:$C$72*$B$12:$B$72)/(1+Assumptions!$B$10)^8)+SUMPRODUCT(($A$12:$A$72&lt;8)*$S$12:$S$72*$E$12:$E$72*$D$12:$D$72*$B$12:$B$72)+INDEX($E$12:$E$72,8+1)*SUMPRODUCT(($A$12:$A$72&gt;=8)*$S$12:$S$72*$D$12:$D$72*$B$12:$B$72))/(C349*(1-Assumptions!$B$13-G349))/12</f>
        <v>1342.22466496192</v>
      </c>
      <c r="M349" s="48" t="n">
        <f aca="false">((INDEX($E$12:$E$72,8+1)*SUMPRODUCT(($A$12:$A$72&gt;=8)*$S$12:$S$72*$B$5*$C$12:$C$72*$B$12:$B$72)/(1+Assumptions!$B$10)^8)+SUMPRODUCT(($A$12:$A$72&lt;8)*$S$12:$S$72*$E$12:$E$72*$D$12:$D$72*$B$12:$B$72)+INDEX($E$12:$E$72,8+1)*SUMPRODUCT(($A$12:$A$72&gt;=8)*$S$12:$S$72*$D$12:$D$72*$B$12:$B$72))/(C349*(1-Assumptions!$B$13-H349))/12</f>
        <v>1069.87715661388</v>
      </c>
      <c r="N349" s="48" t="n">
        <f aca="false">((INDEX($E$12:$E$72,8+1)*SUMPRODUCT(($A$12:$A$72&gt;=8)*$S$12:$S$72*$B$5*$C$12:$C$72*$B$12:$B$72)/(1+Assumptions!$B$10)^8)+SUMPRODUCT(($A$12:$A$72&lt;8)*$S$12:$S$72*$E$12:$E$72*$D$12:$D$72*$B$12:$B$72)+INDEX($E$12:$E$72,8+1)*SUMPRODUCT(($A$12:$A$72&gt;=8)*$S$12:$S$72*$D$12:$D$72*$B$12:$B$72))/(C349*(1-Assumptions!$B$13-I349))/12</f>
        <v>1347.76732716293</v>
      </c>
      <c r="O349" s="48" t="n">
        <f aca="false">((INDEX($E$12:$E$72,8+1)*SUMPRODUCT(($A$12:$A$72&gt;=8)*$S$12:$S$72*$B$5*$C$12:$C$72*$B$12:$B$72)/(1+Assumptions!$B$10)^8)+SUMPRODUCT(($A$12:$A$72&lt;8)*$S$12:$S$72*$E$12:$E$72*$D$12:$D$72*$B$12:$B$72)+INDEX($E$12:$E$72,8+1)*SUMPRODUCT(($A$12:$A$72&gt;=8)*$S$12:$S$72*$D$12:$D$72*$B$12:$B$72))/(C349*(1-Assumptions!$B$13-J349))/12</f>
        <v>1438.70079572056</v>
      </c>
      <c r="P349" s="48" t="n">
        <f aca="false">((INDEX($E$12:$E$72,8+1)*SUMPRODUCT(($A$12:$A$72&gt;=8)*$S$12:$S$72*$B$5*$C$12:$C$72*$B$12:$B$72)/(1+Assumptions!$B$10)^8)+SUMPRODUCT(($A$12:$A$72&lt;8)*$S$12:$S$72*$E$12:$E$72*$D$12:$D$72*$B$12:$B$72)+INDEX($E$12:$E$72,8+1)*SUMPRODUCT(($A$12:$A$72&gt;=8)*$S$12:$S$72*$D$12:$D$72*$B$12:$B$72))/(C349*(1-Assumptions!$B$13-K349))/12</f>
        <v>1285.97732636848</v>
      </c>
      <c r="Q349" s="48" t="n">
        <f aca="false">(INDEX($E$12:$E$72,8+1)*SUMPRODUCT(($A$12:$A$72&gt;=8)*$S$12:$S$72*$B$5*$C$12:$C$72*$B$12:$B$72)/(1+Assumptions!$B$10)^8)/C349/12</f>
        <v>1021.58103863248</v>
      </c>
    </row>
    <row r="350" customFormat="false" ht="15" hidden="false" customHeight="true" outlineLevel="0" collapsed="false">
      <c r="A350" s="3" t="n">
        <v>72</v>
      </c>
      <c r="B350" s="3" t="n">
        <v>85</v>
      </c>
      <c r="C350" s="11" t="n">
        <f aca="false">SUMPRODUCT(($A$12:$A$72&lt;13)*$S$12:$S$72*$E$12:$E$72*$B$12:$B$72)</f>
        <v>9.09595965270728</v>
      </c>
      <c r="D350" s="11" t="n">
        <f aca="false">SUMPRODUCT(($A$12:$A$72=0)*$S$12:$S$72*$E$12:$E$72*$B$12:$B$72)</f>
        <v>1</v>
      </c>
      <c r="E350" s="11" t="n">
        <f aca="false">SUMPRODUCT(($A$12:$A$72&gt;=1)*($A$12:$A$72&lt;=3)*($A$12:$A$72&lt;13)*$S$12:$S$72*$E$12:$E$72*$B$12:$B$72)</f>
        <v>2.61700223593839</v>
      </c>
      <c r="F350" s="11" t="n">
        <f aca="false">SUMPRODUCT(($A$12:$A$72&gt;=4)*($A$12:$A$72&lt;13)*$S$12:$S$72*$E$12:$E$72*$B$12:$B$72)</f>
        <v>5.47895741676889</v>
      </c>
      <c r="G350" s="18" t="n">
        <f aca="false">(1*D350+0.05*(E350+F350))/C350</f>
        <v>0.154441976028032</v>
      </c>
      <c r="H350" s="100" t="n">
        <v>0</v>
      </c>
      <c r="I350" s="100" t="n">
        <v>0.2</v>
      </c>
      <c r="J350" s="18" t="n">
        <f aca="false">(1*D350+0.2*E350+0.03*F350)/C350</f>
        <v>0.185551523328097</v>
      </c>
      <c r="K350" s="18" t="n">
        <f aca="false">(Commission_Models!$B$266*D350+Commission_Models!$B$267*(E350+F350))/C350</f>
        <v>0.118839532913423</v>
      </c>
      <c r="L350" s="48" t="n">
        <f aca="false">((INDEX($E$12:$E$72,13+1)*SUMPRODUCT(($A$12:$A$72&gt;=13)*$S$12:$S$72*$B$5*$C$12:$C$72*$B$12:$B$72)/(1+Assumptions!$B$10)^13)+SUMPRODUCT(($A$12:$A$72&lt;13)*$S$12:$S$72*$E$12:$E$72*$D$12:$D$72*$B$12:$B$72)+INDEX($E$12:$E$72,13+1)*SUMPRODUCT(($A$12:$A$72&gt;=13)*$S$12:$S$72*$D$12:$D$72*$B$12:$B$72))/(C350*(1-Assumptions!$B$13-G350))/12</f>
        <v>461.596250210283</v>
      </c>
      <c r="M350" s="48" t="n">
        <f aca="false">((INDEX($E$12:$E$72,13+1)*SUMPRODUCT(($A$12:$A$72&gt;=13)*$S$12:$S$72*$B$5*$C$12:$C$72*$B$12:$B$72)/(1+Assumptions!$B$10)^13)+SUMPRODUCT(($A$12:$A$72&lt;13)*$S$12:$S$72*$E$12:$E$72*$D$12:$D$72*$B$12:$B$72)+INDEX($E$12:$E$72,13+1)*SUMPRODUCT(($A$12:$A$72&gt;=13)*$S$12:$S$72*$D$12:$D$72*$B$12:$B$72))/(C350*(1-Assumptions!$B$13-H350))/12</f>
        <v>388.101572880792</v>
      </c>
      <c r="N350" s="48" t="n">
        <f aca="false">((INDEX($E$12:$E$72,13+1)*SUMPRODUCT(($A$12:$A$72&gt;=13)*$S$12:$S$72*$B$5*$C$12:$C$72*$B$12:$B$72)/(1+Assumptions!$B$10)^13)+SUMPRODUCT(($A$12:$A$72&lt;13)*$S$12:$S$72*$E$12:$E$72*$D$12:$D$72*$B$12:$B$72)+INDEX($E$12:$E$72,13+1)*SUMPRODUCT(($A$12:$A$72&gt;=13)*$S$12:$S$72*$D$12:$D$72*$B$12:$B$72))/(C350*(1-Assumptions!$B$13-I350))/12</f>
        <v>488.907176226452</v>
      </c>
      <c r="O350" s="48" t="n">
        <f aca="false">((INDEX($E$12:$E$72,13+1)*SUMPRODUCT(($A$12:$A$72&gt;=13)*$S$12:$S$72*$B$5*$C$12:$C$72*$B$12:$B$72)/(1+Assumptions!$B$10)^13)+SUMPRODUCT(($A$12:$A$72&lt;13)*$S$12:$S$72*$E$12:$E$72*$D$12:$D$72*$B$12:$B$72)+INDEX($E$12:$E$72,13+1)*SUMPRODUCT(($A$12:$A$72&gt;=13)*$S$12:$S$72*$D$12:$D$72*$B$12:$B$72))/(C350*(1-Assumptions!$B$13-J350))/12</f>
        <v>479.90216934518</v>
      </c>
      <c r="P350" s="48" t="n">
        <f aca="false">((INDEX($E$12:$E$72,13+1)*SUMPRODUCT(($A$12:$A$72&gt;=13)*$S$12:$S$72*$B$5*$C$12:$C$72*$B$12:$B$72)/(1+Assumptions!$B$10)^13)+SUMPRODUCT(($A$12:$A$72&lt;13)*$S$12:$S$72*$E$12:$E$72*$D$12:$D$72*$B$12:$B$72)+INDEX($E$12:$E$72,13+1)*SUMPRODUCT(($A$12:$A$72&gt;=13)*$S$12:$S$72*$D$12:$D$72*$B$12:$B$72))/(C350*(1-Assumptions!$B$13-K350))/12</f>
        <v>442.28854634537</v>
      </c>
      <c r="Q350" s="48" t="n">
        <f aca="false">(INDEX($E$12:$E$72,13+1)*SUMPRODUCT(($A$12:$A$72&gt;=13)*$S$12:$S$72*$B$5*$C$12:$C$72*$B$12:$B$72)/(1+Assumptions!$B$10)^13)/C350/12</f>
        <v>365.143896966787</v>
      </c>
    </row>
    <row r="351" customFormat="false" ht="15" hidden="false" customHeight="true" outlineLevel="0" collapsed="false">
      <c r="A351" s="3" t="n">
        <v>72</v>
      </c>
      <c r="B351" s="3" t="n">
        <v>90</v>
      </c>
      <c r="C351" s="11" t="n">
        <f aca="false">SUMPRODUCT(($A$12:$A$72&lt;18)*$S$12:$S$72*$E$12:$E$72*$B$12:$B$72)</f>
        <v>10.7409008440476</v>
      </c>
      <c r="D351" s="11" t="n">
        <f aca="false">SUMPRODUCT(($A$12:$A$72=0)*$S$12:$S$72*$E$12:$E$72*$B$12:$B$72)</f>
        <v>1</v>
      </c>
      <c r="E351" s="11" t="n">
        <f aca="false">SUMPRODUCT(($A$12:$A$72&gt;=1)*($A$12:$A$72&lt;=3)*($A$12:$A$72&lt;18)*$S$12:$S$72*$E$12:$E$72*$B$12:$B$72)</f>
        <v>2.61700223593839</v>
      </c>
      <c r="F351" s="11" t="n">
        <f aca="false">SUMPRODUCT(($A$12:$A$72&gt;=4)*($A$12:$A$72&lt;18)*$S$12:$S$72*$E$12:$E$72*$B$12:$B$72)</f>
        <v>7.12389860810923</v>
      </c>
      <c r="G351" s="18" t="n">
        <f aca="false">(1*D351+0.05*(E351+F351))/C351</f>
        <v>0.13844695745669</v>
      </c>
      <c r="H351" s="100" t="n">
        <v>0</v>
      </c>
      <c r="I351" s="100" t="n">
        <v>0.2</v>
      </c>
      <c r="J351" s="18" t="n">
        <f aca="false">(1*D351+0.2*E351+0.03*F351)/C351</f>
        <v>0.161729209742554</v>
      </c>
      <c r="K351" s="18" t="n">
        <f aca="false">(Commission_Models!$B$266*D351+Commission_Models!$B$267*(E351+F351))/C351</f>
        <v>0.102171039875919</v>
      </c>
      <c r="L351" s="48" t="n">
        <f aca="false">((INDEX($E$12:$E$72,18+1)*SUMPRODUCT(($A$12:$A$72&gt;=18)*$S$12:$S$72*$B$5*$C$12:$C$72*$B$12:$B$72)/(1+Assumptions!$B$10)^18)+SUMPRODUCT(($A$12:$A$72&lt;18)*$S$12:$S$72*$E$12:$E$72*$D$12:$D$72*$B$12:$B$72)+INDEX($E$12:$E$72,18+1)*SUMPRODUCT(($A$12:$A$72&gt;=18)*$S$12:$S$72*$D$12:$D$72*$B$12:$B$72))/(C351*(1-Assumptions!$B$13-G351))/12</f>
        <v>165.274684392025</v>
      </c>
      <c r="M351" s="48" t="n">
        <f aca="false">((INDEX($E$12:$E$72,18+1)*SUMPRODUCT(($A$12:$A$72&gt;=18)*$S$12:$S$72*$B$5*$C$12:$C$72*$B$12:$B$72)/(1+Assumptions!$B$10)^18)+SUMPRODUCT(($A$12:$A$72&lt;18)*$S$12:$S$72*$E$12:$E$72*$D$12:$D$72*$B$12:$B$72)+INDEX($E$12:$E$72,18+1)*SUMPRODUCT(($A$12:$A$72&gt;=18)*$S$12:$S$72*$D$12:$D$72*$B$12:$B$72))/(C351*(1-Assumptions!$B$13-H351))/12</f>
        <v>141.685223362447</v>
      </c>
      <c r="N351" s="48" t="n">
        <f aca="false">((INDEX($E$12:$E$72,18+1)*SUMPRODUCT(($A$12:$A$72&gt;=18)*$S$12:$S$72*$B$5*$C$12:$C$72*$B$12:$B$72)/(1+Assumptions!$B$10)^18)+SUMPRODUCT(($A$12:$A$72&lt;18)*$S$12:$S$72*$E$12:$E$72*$D$12:$D$72*$B$12:$B$72)+INDEX($E$12:$E$72,18+1)*SUMPRODUCT(($A$12:$A$72&gt;=18)*$S$12:$S$72*$D$12:$D$72*$B$12:$B$72))/(C351*(1-Assumptions!$B$13-I351))/12</f>
        <v>178.486580079966</v>
      </c>
      <c r="O351" s="48" t="n">
        <f aca="false">((INDEX($E$12:$E$72,18+1)*SUMPRODUCT(($A$12:$A$72&gt;=18)*$S$12:$S$72*$B$5*$C$12:$C$72*$B$12:$B$72)/(1+Assumptions!$B$10)^18)+SUMPRODUCT(($A$12:$A$72&lt;18)*$S$12:$S$72*$E$12:$E$72*$D$12:$D$72*$B$12:$B$72)+INDEX($E$12:$E$72,18+1)*SUMPRODUCT(($A$12:$A$72&gt;=18)*$S$12:$S$72*$D$12:$D$72*$B$12:$B$72))/(C351*(1-Assumptions!$B$13-J351))/12</f>
        <v>170.035424164962</v>
      </c>
      <c r="P351" s="48" t="n">
        <f aca="false">((INDEX($E$12:$E$72,18+1)*SUMPRODUCT(($A$12:$A$72&gt;=18)*$S$12:$S$72*$B$5*$C$12:$C$72*$B$12:$B$72)/(1+Assumptions!$B$10)^18)+SUMPRODUCT(($A$12:$A$72&lt;18)*$S$12:$S$72*$E$12:$E$72*$D$12:$D$72*$B$12:$B$72)+INDEX($E$12:$E$72,18+1)*SUMPRODUCT(($A$12:$A$72&gt;=18)*$S$12:$S$72*$D$12:$D$72*$B$12:$B$72))/(C351*(1-Assumptions!$B$13-K351))/12</f>
        <v>158.366075547794</v>
      </c>
      <c r="Q351" s="48" t="n">
        <f aca="false">(INDEX($E$12:$E$72,18+1)*SUMPRODUCT(($A$12:$A$72&gt;=18)*$S$12:$S$72*$B$5*$C$12:$C$72*$B$12:$B$72)/(1+Assumptions!$B$10)^18)/C351/12</f>
        <v>127.943405297503</v>
      </c>
    </row>
    <row r="352" customFormat="false" ht="15" hidden="false" customHeight="true" outlineLevel="0" collapsed="false">
      <c r="A352" s="3" t="n">
        <v>75</v>
      </c>
      <c r="B352" s="3" t="n">
        <v>80</v>
      </c>
      <c r="C352" s="11" t="n">
        <f aca="false">SUMPRODUCT(($A$12:$A$72&lt;5)*$V$12:$V$72*$E$12:$E$72*$B$12:$B$72)</f>
        <v>4.34226762123697</v>
      </c>
      <c r="D352" s="11" t="n">
        <f aca="false">SUMPRODUCT(($A$12:$A$72=0)*$V$12:$V$72*$E$12:$E$72*$B$12:$B$72)</f>
        <v>1</v>
      </c>
      <c r="E352" s="11" t="n">
        <f aca="false">SUMPRODUCT(($A$12:$A$72&gt;=1)*($A$12:$A$72&lt;=3)*($A$12:$A$72&lt;5)*$V$12:$V$72*$E$12:$E$72*$B$12:$B$72)</f>
        <v>2.58493249839434</v>
      </c>
      <c r="F352" s="11" t="n">
        <f aca="false">SUMPRODUCT(($A$12:$A$72&gt;=4)*($A$12:$A$72&lt;5)*$V$12:$V$72*$E$12:$E$72*$B$12:$B$72)</f>
        <v>0.757335122842631</v>
      </c>
      <c r="G352" s="18" t="n">
        <f aca="false">(1*D352+0.05*(E352+F352))/C352</f>
        <v>0.268779698274188</v>
      </c>
      <c r="H352" s="100" t="n">
        <v>0</v>
      </c>
      <c r="I352" s="100" t="n">
        <v>0.2</v>
      </c>
      <c r="J352" s="18" t="n">
        <f aca="false">(1*D352+0.2*E352+0.03*F352)/C352</f>
        <v>0.35458582650084</v>
      </c>
      <c r="K352" s="18" t="n">
        <f aca="false">(Commission_Models!$B$266*D352+Commission_Models!$B$267*(E352+F352))/C352</f>
        <v>0.237991475043627</v>
      </c>
      <c r="L352" s="48" t="n">
        <f aca="false">((INDEX($E$12:$E$72,5+1)*SUMPRODUCT(($A$12:$A$72&gt;=5)*$V$12:$V$72*$B$5*$C$12:$C$72*$B$12:$B$72)/(1+Assumptions!$B$10)^5)+SUMPRODUCT(($A$12:$A$72&lt;5)*$V$12:$V$72*$E$12:$E$72*$D$12:$D$72*$B$12:$B$72)+INDEX($E$12:$E$72,5+1)*SUMPRODUCT(($A$12:$A$72&gt;=5)*$V$12:$V$72*$D$12:$D$72*$B$12:$B$72))/(C352*(1-Assumptions!$B$13-G352))/12</f>
        <v>2531.57028352976</v>
      </c>
      <c r="M352" s="48" t="n">
        <f aca="false">((INDEX($E$12:$E$72,5+1)*SUMPRODUCT(($A$12:$A$72&gt;=5)*$V$12:$V$72*$B$5*$C$12:$C$72*$B$12:$B$72)/(1+Assumptions!$B$10)^5)+SUMPRODUCT(($A$12:$A$72&lt;5)*$V$12:$V$72*$E$12:$E$72*$D$12:$D$72*$B$12:$B$72)+INDEX($E$12:$E$72,5+1)*SUMPRODUCT(($A$12:$A$72&gt;=5)*$V$12:$V$72*$D$12:$D$72*$B$12:$B$72))/(C352*(1-Assumptions!$B$13-H352))/12</f>
        <v>1830.09121449159</v>
      </c>
      <c r="N352" s="48" t="n">
        <f aca="false">((INDEX($E$12:$E$72,5+1)*SUMPRODUCT(($A$12:$A$72&gt;=5)*$V$12:$V$72*$B$5*$C$12:$C$72*$B$12:$B$72)/(1+Assumptions!$B$10)^5)+SUMPRODUCT(($A$12:$A$72&lt;5)*$V$12:$V$72*$E$12:$E$72*$D$12:$D$72*$B$12:$B$72)+INDEX($E$12:$E$72,5+1)*SUMPRODUCT(($A$12:$A$72&gt;=5)*$V$12:$V$72*$D$12:$D$72*$B$12:$B$72))/(C352*(1-Assumptions!$B$13-I352))/12</f>
        <v>2305.439581892</v>
      </c>
      <c r="O352" s="48" t="n">
        <f aca="false">((INDEX($E$12:$E$72,5+1)*SUMPRODUCT(($A$12:$A$72&gt;=5)*$V$12:$V$72*$B$5*$C$12:$C$72*$B$12:$B$72)/(1+Assumptions!$B$10)^5)+SUMPRODUCT(($A$12:$A$72&lt;5)*$V$12:$V$72*$E$12:$E$72*$D$12:$D$72*$B$12:$B$72)+INDEX($E$12:$E$72,5+1)*SUMPRODUCT(($A$12:$A$72&gt;=5)*$V$12:$V$72*$D$12:$D$72*$B$12:$B$72))/(C352*(1-Assumptions!$B$13-J352))/12</f>
        <v>2884.54272667034</v>
      </c>
      <c r="P352" s="48" t="n">
        <f aca="false">((INDEX($E$12:$E$72,5+1)*SUMPRODUCT(($A$12:$A$72&gt;=5)*$V$12:$V$72*$B$5*$C$12:$C$72*$B$12:$B$72)/(1+Assumptions!$B$10)^5)+SUMPRODUCT(($A$12:$A$72&lt;5)*$V$12:$V$72*$E$12:$E$72*$D$12:$D$72*$B$12:$B$72)+INDEX($E$12:$E$72,5+1)*SUMPRODUCT(($A$12:$A$72&gt;=5)*$V$12:$V$72*$D$12:$D$72*$B$12:$B$72))/(C352*(1-Assumptions!$B$13-K352))/12</f>
        <v>2425.09262875407</v>
      </c>
      <c r="Q352" s="48" t="n">
        <f aca="false">(INDEX($E$12:$E$72,5+1)*SUMPRODUCT(($A$12:$A$72&gt;=5)*$V$12:$V$72*$B$5*$C$12:$C$72*$B$12:$B$72)/(1+Assumptions!$B$10)^5)/C352/12</f>
        <v>1754.01330367844</v>
      </c>
    </row>
    <row r="353" customFormat="false" ht="15" hidden="false" customHeight="true" outlineLevel="0" collapsed="false">
      <c r="A353" s="3" t="n">
        <v>75</v>
      </c>
      <c r="B353" s="3" t="n">
        <v>85</v>
      </c>
      <c r="C353" s="11" t="n">
        <f aca="false">SUMPRODUCT(($A$12:$A$72&lt;10)*$V$12:$V$72*$E$12:$E$72*$B$12:$B$72)</f>
        <v>7.40386832783268</v>
      </c>
      <c r="D353" s="11" t="n">
        <f aca="false">SUMPRODUCT(($A$12:$A$72=0)*$V$12:$V$72*$E$12:$E$72*$B$12:$B$72)</f>
        <v>1</v>
      </c>
      <c r="E353" s="11" t="n">
        <f aca="false">SUMPRODUCT(($A$12:$A$72&gt;=1)*($A$12:$A$72&lt;=3)*($A$12:$A$72&lt;10)*$V$12:$V$72*$E$12:$E$72*$B$12:$B$72)</f>
        <v>2.58493249839434</v>
      </c>
      <c r="F353" s="11" t="n">
        <f aca="false">SUMPRODUCT(($A$12:$A$72&gt;=4)*($A$12:$A$72&lt;10)*$V$12:$V$72*$E$12:$E$72*$B$12:$B$72)</f>
        <v>3.81893582943834</v>
      </c>
      <c r="G353" s="18" t="n">
        <f aca="false">(1*D353+0.05*(E353+F353))/C353</f>
        <v>0.178311304028565</v>
      </c>
      <c r="H353" s="100" t="n">
        <v>0</v>
      </c>
      <c r="I353" s="100" t="n">
        <v>0.2</v>
      </c>
      <c r="J353" s="18" t="n">
        <f aca="false">(1*D353+0.2*E353+0.03*F353)/C353</f>
        <v>0.22036515269034</v>
      </c>
      <c r="K353" s="18" t="n">
        <f aca="false">(Commission_Models!$B$266*D353+Commission_Models!$B$267*(E353+F353))/C353</f>
        <v>0.14371388525082</v>
      </c>
      <c r="L353" s="48" t="n">
        <f aca="false">((INDEX($E$12:$E$72,10+1)*SUMPRODUCT(($A$12:$A$72&gt;=10)*$V$12:$V$72*$B$5*$C$12:$C$72*$B$12:$B$72)/(1+Assumptions!$B$10)^10)+SUMPRODUCT(($A$12:$A$72&lt;10)*$V$12:$V$72*$E$12:$E$72*$D$12:$D$72*$B$12:$B$72)+INDEX($E$12:$E$72,10+1)*SUMPRODUCT(($A$12:$A$72&gt;=10)*$V$12:$V$72*$D$12:$D$72*$B$12:$B$72))/(C353*(1-Assumptions!$B$13-G353))/12</f>
        <v>662.512024862227</v>
      </c>
      <c r="M353" s="48" t="n">
        <f aca="false">((INDEX($E$12:$E$72,10+1)*SUMPRODUCT(($A$12:$A$72&gt;=10)*$V$12:$V$72*$B$5*$C$12:$C$72*$B$12:$B$72)/(1+Assumptions!$B$10)^10)+SUMPRODUCT(($A$12:$A$72&lt;10)*$V$12:$V$72*$E$12:$E$72*$D$12:$D$72*$B$12:$B$72)+INDEX($E$12:$E$72,10+1)*SUMPRODUCT(($A$12:$A$72&gt;=10)*$V$12:$V$72*$D$12:$D$72*$B$12:$B$72))/(C353*(1-Assumptions!$B$13-H353))/12</f>
        <v>540.725031988218</v>
      </c>
      <c r="N353" s="48" t="n">
        <f aca="false">((INDEX($E$12:$E$72,10+1)*SUMPRODUCT(($A$12:$A$72&gt;=10)*$V$12:$V$72*$B$5*$C$12:$C$72*$B$12:$B$72)/(1+Assumptions!$B$10)^10)+SUMPRODUCT(($A$12:$A$72&lt;10)*$V$12:$V$72*$E$12:$E$72*$D$12:$D$72*$B$12:$B$72)+INDEX($E$12:$E$72,10+1)*SUMPRODUCT(($A$12:$A$72&gt;=10)*$V$12:$V$72*$D$12:$D$72*$B$12:$B$72))/(C353*(1-Assumptions!$B$13-I353))/12</f>
        <v>681.173092244898</v>
      </c>
      <c r="O353" s="48" t="n">
        <f aca="false">((INDEX($E$12:$E$72,10+1)*SUMPRODUCT(($A$12:$A$72&gt;=10)*$V$12:$V$72*$B$5*$C$12:$C$72*$B$12:$B$72)/(1+Assumptions!$B$10)^10)+SUMPRODUCT(($A$12:$A$72&lt;10)*$V$12:$V$72*$E$12:$E$72*$D$12:$D$72*$B$12:$B$72)+INDEX($E$12:$E$72,10+1)*SUMPRODUCT(($A$12:$A$72&gt;=10)*$V$12:$V$72*$D$12:$D$72*$B$12:$B$72))/(C353*(1-Assumptions!$B$13-J353))/12</f>
        <v>699.678360619099</v>
      </c>
      <c r="P353" s="48" t="n">
        <f aca="false">((INDEX($E$12:$E$72,10+1)*SUMPRODUCT(($A$12:$A$72&gt;=10)*$V$12:$V$72*$B$5*$C$12:$C$72*$B$12:$B$72)/(1+Assumptions!$B$10)^10)+SUMPRODUCT(($A$12:$A$72&lt;10)*$V$12:$V$72*$E$12:$E$72*$D$12:$D$72*$B$12:$B$72)+INDEX($E$12:$E$72,10+1)*SUMPRODUCT(($A$12:$A$72&gt;=10)*$V$12:$V$72*$D$12:$D$72*$B$12:$B$72))/(C353*(1-Assumptions!$B$13-K353))/12</f>
        <v>634.771989588359</v>
      </c>
      <c r="Q353" s="48" t="n">
        <f aca="false">(INDEX($E$12:$E$72,10+1)*SUMPRODUCT(($A$12:$A$72&gt;=10)*$V$12:$V$72*$B$5*$C$12:$C$72*$B$12:$B$72)/(1+Assumptions!$B$10)^10)/C353/12</f>
        <v>512.358151507073</v>
      </c>
    </row>
    <row r="354" customFormat="false" ht="15" hidden="false" customHeight="true" outlineLevel="0" collapsed="false">
      <c r="A354" s="3" t="n">
        <v>75</v>
      </c>
      <c r="B354" s="3" t="n">
        <v>90</v>
      </c>
      <c r="C354" s="11" t="n">
        <f aca="false">SUMPRODUCT(($A$12:$A$72&lt;15)*$V$12:$V$72*$E$12:$E$72*$B$12:$B$72)</f>
        <v>9.31739025298848</v>
      </c>
      <c r="D354" s="11" t="n">
        <f aca="false">SUMPRODUCT(($A$12:$A$72=0)*$V$12:$V$72*$E$12:$E$72*$B$12:$B$72)</f>
        <v>1</v>
      </c>
      <c r="E354" s="11" t="n">
        <f aca="false">SUMPRODUCT(($A$12:$A$72&gt;=1)*($A$12:$A$72&lt;=3)*($A$12:$A$72&lt;15)*$V$12:$V$72*$E$12:$E$72*$B$12:$B$72)</f>
        <v>2.58493249839434</v>
      </c>
      <c r="F354" s="11" t="n">
        <f aca="false">SUMPRODUCT(($A$12:$A$72&gt;=4)*($A$12:$A$72&lt;15)*$V$12:$V$72*$E$12:$E$72*$B$12:$B$72)</f>
        <v>5.73245775459414</v>
      </c>
      <c r="G354" s="18" t="n">
        <f aca="false">(1*D354+0.05*(E354+F354))/C354</f>
        <v>0.151959880847032</v>
      </c>
      <c r="H354" s="100" t="n">
        <v>0</v>
      </c>
      <c r="I354" s="100" t="n">
        <v>0.2</v>
      </c>
      <c r="J354" s="18" t="n">
        <f aca="false">(1*D354+0.2*E354+0.03*F354)/C354</f>
        <v>0.181269667413037</v>
      </c>
      <c r="K354" s="18" t="n">
        <f aca="false">(Commission_Models!$B$266*D354+Commission_Models!$B$267*(E354+F354))/C354</f>
        <v>0.116252928461644</v>
      </c>
      <c r="L354" s="48" t="n">
        <f aca="false">((INDEX($E$12:$E$72,15+1)*SUMPRODUCT(($A$12:$A$72&gt;=15)*$V$12:$V$72*$B$5*$C$12:$C$72*$B$12:$B$72)/(1+Assumptions!$B$10)^15)+SUMPRODUCT(($A$12:$A$72&lt;15)*$V$12:$V$72*$E$12:$E$72*$D$12:$D$72*$B$12:$B$72)+INDEX($E$12:$E$72,15+1)*SUMPRODUCT(($A$12:$A$72&gt;=15)*$V$12:$V$72*$D$12:$D$72*$B$12:$B$72))/(C354*(1-Assumptions!$B$13-G354))/12</f>
        <v>213.45516079256</v>
      </c>
      <c r="M354" s="48" t="n">
        <f aca="false">((INDEX($E$12:$E$72,15+1)*SUMPRODUCT(($A$12:$A$72&gt;=15)*$V$12:$V$72*$B$5*$C$12:$C$72*$B$12:$B$72)/(1+Assumptions!$B$10)^15)+SUMPRODUCT(($A$12:$A$72&lt;15)*$V$12:$V$72*$E$12:$E$72*$D$12:$D$72*$B$12:$B$72)+INDEX($E$12:$E$72,15+1)*SUMPRODUCT(($A$12:$A$72&gt;=15)*$V$12:$V$72*$D$12:$D$72*$B$12:$B$72))/(C354*(1-Assumptions!$B$13-H354))/12</f>
        <v>180.0153455346</v>
      </c>
      <c r="N354" s="48" t="n">
        <f aca="false">((INDEX($E$12:$E$72,15+1)*SUMPRODUCT(($A$12:$A$72&gt;=15)*$V$12:$V$72*$B$5*$C$12:$C$72*$B$12:$B$72)/(1+Assumptions!$B$10)^15)+SUMPRODUCT(($A$12:$A$72&lt;15)*$V$12:$V$72*$E$12:$E$72*$D$12:$D$72*$B$12:$B$72)+INDEX($E$12:$E$72,15+1)*SUMPRODUCT(($A$12:$A$72&gt;=15)*$V$12:$V$72*$D$12:$D$72*$B$12:$B$72))/(C354*(1-Assumptions!$B$13-I354))/12</f>
        <v>226.772578140989</v>
      </c>
      <c r="O354" s="48" t="n">
        <f aca="false">((INDEX($E$12:$E$72,15+1)*SUMPRODUCT(($A$12:$A$72&gt;=15)*$V$12:$V$72*$B$5*$C$12:$C$72*$B$12:$B$72)/(1+Assumptions!$B$10)^15)+SUMPRODUCT(($A$12:$A$72&lt;15)*$V$12:$V$72*$E$12:$E$72*$D$12:$D$72*$B$12:$B$72)+INDEX($E$12:$E$72,15+1)*SUMPRODUCT(($A$12:$A$72&gt;=15)*$V$12:$V$72*$D$12:$D$72*$B$12:$B$72))/(C354*(1-Assumptions!$B$13-J354))/12</f>
        <v>221.387308125758</v>
      </c>
      <c r="P354" s="48" t="n">
        <f aca="false">((INDEX($E$12:$E$72,15+1)*SUMPRODUCT(($A$12:$A$72&gt;=15)*$V$12:$V$72*$B$5*$C$12:$C$72*$B$12:$B$72)/(1+Assumptions!$B$10)^15)+SUMPRODUCT(($A$12:$A$72&lt;15)*$V$12:$V$72*$E$12:$E$72*$D$12:$D$72*$B$12:$B$72)+INDEX($E$12:$E$72,15+1)*SUMPRODUCT(($A$12:$A$72&gt;=15)*$V$12:$V$72*$D$12:$D$72*$B$12:$B$72))/(C354*(1-Assumptions!$B$13-K354))/12</f>
        <v>204.527653434787</v>
      </c>
      <c r="Q354" s="48" t="n">
        <f aca="false">(INDEX($E$12:$E$72,15+1)*SUMPRODUCT(($A$12:$A$72&gt;=15)*$V$12:$V$72*$B$5*$C$12:$C$72*$B$12:$B$72)/(1+Assumptions!$B$10)^15)/C354/12</f>
        <v>165.07361629196</v>
      </c>
    </row>
    <row r="356" customFormat="false" ht="15" hidden="false" customHeight="true" outlineLevel="0" collapsed="false">
      <c r="A356" s="3" t="s">
        <v>1734</v>
      </c>
    </row>
    <row r="357" customFormat="false" ht="15" hidden="false" customHeight="true" outlineLevel="0" collapsed="false">
      <c r="A357" s="7" t="s">
        <v>1735</v>
      </c>
      <c r="B357" s="53" t="n">
        <f aca="false">AVERAGE(L328:L354)/AVERAGE($Q$328:$Q$354)-1</f>
        <v>0.414685132510328</v>
      </c>
      <c r="D357" s="7" t="s">
        <v>1736</v>
      </c>
    </row>
    <row r="358" customFormat="false" ht="15" hidden="false" customHeight="true" outlineLevel="0" collapsed="false">
      <c r="A358" s="7" t="s">
        <v>1737</v>
      </c>
      <c r="B358" s="53" t="n">
        <f aca="false">AVERAGE(M328:M354)/AVERAGE($Q$328:$Q$354)-1</f>
        <v>0.0518928619046521</v>
      </c>
    </row>
    <row r="359" customFormat="false" ht="15" hidden="false" customHeight="true" outlineLevel="0" collapsed="false">
      <c r="A359" s="7" t="s">
        <v>1738</v>
      </c>
      <c r="B359" s="53" t="n">
        <f aca="false">AVERAGE(N328:N354)/AVERAGE($Q$328:$Q$354)-1</f>
        <v>0.325111787074692</v>
      </c>
    </row>
    <row r="360" customFormat="false" ht="15" hidden="false" customHeight="true" outlineLevel="0" collapsed="false">
      <c r="A360" s="7" t="s">
        <v>1739</v>
      </c>
      <c r="B360" s="53" t="n">
        <f aca="false">AVERAGE(O328:O354)/AVERAGE($Q$328:$Q$354)-1</f>
        <v>0.570015886035391</v>
      </c>
    </row>
    <row r="361" customFormat="false" ht="15" hidden="false" customHeight="true" outlineLevel="0" collapsed="false">
      <c r="A361" s="7" t="s">
        <v>1740</v>
      </c>
      <c r="B361" s="53" t="n">
        <f aca="false">AVERAGE(P328:P354)/AVERAGE($Q$328:$Q$354)-1</f>
        <v>0.35520337041624</v>
      </c>
    </row>
    <row r="363" customFormat="false" ht="15" hidden="false" customHeight="true" outlineLevel="0" collapsed="false">
      <c r="A363" s="3" t="s">
        <v>1741</v>
      </c>
    </row>
    <row r="364" customFormat="false" ht="15" hidden="false" customHeight="true" outlineLevel="0" collapsed="false">
      <c r="A364" s="1" t="s">
        <v>1742</v>
      </c>
      <c r="B364" s="48" t="n">
        <f aca="false">L337</f>
        <v>578.747857148236</v>
      </c>
    </row>
    <row r="365" customFormat="false" ht="15" hidden="false" customHeight="true" outlineLevel="0" collapsed="false">
      <c r="A365" s="1" t="s">
        <v>1743</v>
      </c>
      <c r="B365" s="48" t="n">
        <f aca="false">G241</f>
        <v>578.747857148236</v>
      </c>
    </row>
    <row r="366" customFormat="false" ht="15" hidden="false" customHeight="true" outlineLevel="0" collapsed="false">
      <c r="A366" s="1" t="s">
        <v>796</v>
      </c>
      <c r="B366" s="27" t="n">
        <f aca="false">B364-B365</f>
        <v>0</v>
      </c>
    </row>
    <row r="367" customFormat="false" ht="15" hidden="false" customHeight="true" outlineLevel="0" collapsed="false">
      <c r="A367" s="3" t="s">
        <v>458</v>
      </c>
      <c r="B367" s="4" t="str">
        <f aca="false">IF(ABS(B366)&lt;0.01,"PASS — B.3 reproduces the B.1 surface at the heaped structure","FAIL")</f>
        <v>PASS — B.3 reproduces the B.1 surface at the heaped structure</v>
      </c>
    </row>
    <row r="377" customFormat="false" ht="15" hidden="false" customHeight="true" outlineLevel="0" collapsed="false">
      <c r="A377" s="1" t="s">
        <v>1744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5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8"/>
    <col collapsed="false" customWidth="true" hidden="false" outlineLevel="0" max="11" min="2" style="1" width="13"/>
  </cols>
  <sheetData>
    <row r="1" customFormat="false" ht="15.75" hidden="false" customHeight="true" outlineLevel="0" collapsed="false">
      <c r="A1" s="15" t="s">
        <v>1745</v>
      </c>
    </row>
    <row r="2" customFormat="false" ht="15" hidden="false" customHeight="true" outlineLevel="0" collapsed="false">
      <c r="A2" s="7" t="s">
        <v>1746</v>
      </c>
    </row>
    <row r="4" customFormat="false" ht="15" hidden="false" customHeight="true" outlineLevel="0" collapsed="false">
      <c r="A4" s="6" t="s">
        <v>1747</v>
      </c>
    </row>
    <row r="5" customFormat="false" ht="15" hidden="false" customHeight="true" outlineLevel="0" collapsed="false">
      <c r="A5" s="7" t="s">
        <v>1748</v>
      </c>
      <c r="B5" s="100" t="n">
        <v>0.01</v>
      </c>
    </row>
    <row r="6" customFormat="false" ht="15" hidden="false" customHeight="true" outlineLevel="0" collapsed="false">
      <c r="A6" s="7" t="s">
        <v>1749</v>
      </c>
      <c r="B6" s="100" t="n">
        <v>0.003</v>
      </c>
    </row>
    <row r="7" customFormat="false" ht="15" hidden="false" customHeight="true" outlineLevel="0" collapsed="false">
      <c r="A7" s="7" t="s">
        <v>1750</v>
      </c>
      <c r="B7" s="100" t="n">
        <v>0.045</v>
      </c>
    </row>
    <row r="8" customFormat="false" ht="15" hidden="false" customHeight="true" outlineLevel="0" collapsed="false">
      <c r="A8" s="7" t="s">
        <v>1751</v>
      </c>
      <c r="B8" s="100" t="n">
        <v>0.018</v>
      </c>
    </row>
    <row r="9" customFormat="false" ht="15" hidden="false" customHeight="true" outlineLevel="0" collapsed="false">
      <c r="A9" s="7" t="s">
        <v>1752</v>
      </c>
      <c r="B9" s="100" t="n">
        <v>0.006</v>
      </c>
    </row>
    <row r="10" customFormat="false" ht="15" hidden="false" customHeight="true" outlineLevel="0" collapsed="false">
      <c r="A10" s="7" t="s">
        <v>1753</v>
      </c>
      <c r="B10" s="100" t="n">
        <v>0</v>
      </c>
    </row>
    <row r="11" customFormat="false" ht="15" hidden="false" customHeight="true" outlineLevel="0" collapsed="false">
      <c r="A11" s="7" t="s">
        <v>1754</v>
      </c>
    </row>
    <row r="12" customFormat="false" ht="15" hidden="false" customHeight="true" outlineLevel="0" collapsed="false">
      <c r="A12" s="6" t="s">
        <v>1755</v>
      </c>
    </row>
    <row r="13" customFormat="false" ht="15" hidden="false" customHeight="true" outlineLevel="0" collapsed="false">
      <c r="A13" s="8" t="s">
        <v>688</v>
      </c>
      <c r="B13" s="8" t="s">
        <v>1756</v>
      </c>
      <c r="C13" s="8" t="s">
        <v>1757</v>
      </c>
      <c r="D13" s="8" t="s">
        <v>1758</v>
      </c>
      <c r="E13" s="8" t="s">
        <v>1759</v>
      </c>
      <c r="F13" s="8" t="s">
        <v>1760</v>
      </c>
      <c r="G13" s="8" t="s">
        <v>1761</v>
      </c>
      <c r="H13" s="8" t="s">
        <v>1762</v>
      </c>
      <c r="I13" s="8" t="s">
        <v>1763</v>
      </c>
    </row>
    <row r="14" customFormat="false" ht="15" hidden="false" customHeight="true" outlineLevel="0" collapsed="false">
      <c r="A14" s="3" t="n">
        <v>1</v>
      </c>
      <c r="B14" s="18" t="n">
        <f aca="false">$B$5</f>
        <v>0.01</v>
      </c>
      <c r="C14" s="18" t="n">
        <f aca="false">$B$6</f>
        <v>0.003</v>
      </c>
      <c r="D14" s="18" t="n">
        <f aca="false">IF(A14=1,$B$7,IF(A14=2,$B$8,IF(A14&lt;=5,$B$9,$B$10)))</f>
        <v>0.045</v>
      </c>
      <c r="E14" s="51" t="n">
        <f aca="false">B14+C14+D14</f>
        <v>0.058</v>
      </c>
      <c r="F14" s="101" t="n">
        <f aca="false">IF($A14=1,Assumptions!$B$52,IF($A14=2,Assumptions!$C$52,IF($A14&lt;=5,Assumptions!$D$52,Assumptions!$E$52)))</f>
        <v>0.058</v>
      </c>
      <c r="G14" s="18" t="n">
        <f aca="false">IF(A14=1,Assumptions!$B$16,IF(A14=2,Assumptions!$B$17,IF(A14&lt;=5,Assumptions!$B$18,Assumptions!$B$19)))</f>
        <v>0.058</v>
      </c>
      <c r="H14" s="18" t="n">
        <f aca="false">E14-F14</f>
        <v>0</v>
      </c>
      <c r="I14" s="18" t="n">
        <f aca="false">G14-F14</f>
        <v>0</v>
      </c>
    </row>
    <row r="15" customFormat="false" ht="15" hidden="false" customHeight="true" outlineLevel="0" collapsed="false">
      <c r="A15" s="3" t="n">
        <v>2</v>
      </c>
      <c r="B15" s="18" t="n">
        <f aca="false">$B$5</f>
        <v>0.01</v>
      </c>
      <c r="C15" s="18" t="n">
        <f aca="false">$B$6</f>
        <v>0.003</v>
      </c>
      <c r="D15" s="18" t="n">
        <f aca="false">IF(A15=1,$B$7,IF(A15=2,$B$8,IF(A15&lt;=5,$B$9,$B$10)))</f>
        <v>0.018</v>
      </c>
      <c r="E15" s="51" t="n">
        <f aca="false">B15+C15+D15</f>
        <v>0.031</v>
      </c>
      <c r="F15" s="101" t="n">
        <f aca="false">IF($A15=1,Assumptions!$B$52,IF($A15=2,Assumptions!$C$52,IF($A15&lt;=5,Assumptions!$D$52,Assumptions!$E$52)))</f>
        <v>0.031</v>
      </c>
      <c r="G15" s="18" t="n">
        <f aca="false">IF(A15=1,Assumptions!$B$16,IF(A15=2,Assumptions!$B$17,IF(A15&lt;=5,Assumptions!$B$18,Assumptions!$B$19)))</f>
        <v>0.031</v>
      </c>
      <c r="H15" s="18" t="n">
        <f aca="false">E15-F15</f>
        <v>0</v>
      </c>
      <c r="I15" s="18" t="n">
        <f aca="false">G15-F15</f>
        <v>0</v>
      </c>
    </row>
    <row r="16" customFormat="false" ht="15" hidden="false" customHeight="true" outlineLevel="0" collapsed="false">
      <c r="A16" s="3" t="n">
        <v>3</v>
      </c>
      <c r="B16" s="18" t="n">
        <f aca="false">$B$5</f>
        <v>0.01</v>
      </c>
      <c r="C16" s="18" t="n">
        <f aca="false">$B$6</f>
        <v>0.003</v>
      </c>
      <c r="D16" s="18" t="n">
        <f aca="false">IF(A16=1,$B$7,IF(A16=2,$B$8,IF(A16&lt;=5,$B$9,$B$10)))</f>
        <v>0.006</v>
      </c>
      <c r="E16" s="51" t="n">
        <f aca="false">B16+C16+D16</f>
        <v>0.019</v>
      </c>
      <c r="F16" s="101" t="n">
        <f aca="false">IF($A16=1,Assumptions!$B$52,IF($A16=2,Assumptions!$C$52,IF($A16&lt;=5,Assumptions!$D$52,Assumptions!$E$52)))</f>
        <v>0.019</v>
      </c>
      <c r="G16" s="18" t="n">
        <f aca="false">IF(A16=1,Assumptions!$B$16,IF(A16=2,Assumptions!$B$17,IF(A16&lt;=5,Assumptions!$B$18,Assumptions!$B$19)))</f>
        <v>0.019</v>
      </c>
      <c r="H16" s="18" t="n">
        <f aca="false">E16-F16</f>
        <v>0</v>
      </c>
      <c r="I16" s="18" t="n">
        <f aca="false">G16-F16</f>
        <v>0</v>
      </c>
    </row>
    <row r="17" customFormat="false" ht="15" hidden="false" customHeight="true" outlineLevel="0" collapsed="false">
      <c r="A17" s="3" t="n">
        <v>4</v>
      </c>
      <c r="B17" s="18" t="n">
        <f aca="false">$B$5</f>
        <v>0.01</v>
      </c>
      <c r="C17" s="18" t="n">
        <f aca="false">$B$6</f>
        <v>0.003</v>
      </c>
      <c r="D17" s="18" t="n">
        <f aca="false">IF(A17=1,$B$7,IF(A17=2,$B$8,IF(A17&lt;=5,$B$9,$B$10)))</f>
        <v>0.006</v>
      </c>
      <c r="E17" s="51" t="n">
        <f aca="false">B17+C17+D17</f>
        <v>0.019</v>
      </c>
      <c r="F17" s="101" t="n">
        <f aca="false">IF($A17=1,Assumptions!$B$52,IF($A17=2,Assumptions!$C$52,IF($A17&lt;=5,Assumptions!$D$52,Assumptions!$E$52)))</f>
        <v>0.019</v>
      </c>
      <c r="G17" s="18" t="n">
        <f aca="false">IF(A17=1,Assumptions!$B$16,IF(A17=2,Assumptions!$B$17,IF(A17&lt;=5,Assumptions!$B$18,Assumptions!$B$19)))</f>
        <v>0.019</v>
      </c>
      <c r="H17" s="18" t="n">
        <f aca="false">E17-F17</f>
        <v>0</v>
      </c>
      <c r="I17" s="18" t="n">
        <f aca="false">G17-F17</f>
        <v>0</v>
      </c>
    </row>
    <row r="18" customFormat="false" ht="15" hidden="false" customHeight="true" outlineLevel="0" collapsed="false">
      <c r="A18" s="3" t="n">
        <v>5</v>
      </c>
      <c r="B18" s="18" t="n">
        <f aca="false">$B$5</f>
        <v>0.01</v>
      </c>
      <c r="C18" s="18" t="n">
        <f aca="false">$B$6</f>
        <v>0.003</v>
      </c>
      <c r="D18" s="18" t="n">
        <f aca="false">IF(A18=1,$B$7,IF(A18=2,$B$8,IF(A18&lt;=5,$B$9,$B$10)))</f>
        <v>0.006</v>
      </c>
      <c r="E18" s="51" t="n">
        <f aca="false">B18+C18+D18</f>
        <v>0.019</v>
      </c>
      <c r="F18" s="101" t="n">
        <f aca="false">IF($A18=1,Assumptions!$B$52,IF($A18=2,Assumptions!$C$52,IF($A18&lt;=5,Assumptions!$D$52,Assumptions!$E$52)))</f>
        <v>0.019</v>
      </c>
      <c r="G18" s="18" t="n">
        <f aca="false">IF(A18=1,Assumptions!$B$16,IF(A18=2,Assumptions!$B$17,IF(A18&lt;=5,Assumptions!$B$18,Assumptions!$B$19)))</f>
        <v>0.019</v>
      </c>
      <c r="H18" s="18" t="n">
        <f aca="false">E18-F18</f>
        <v>0</v>
      </c>
      <c r="I18" s="18" t="n">
        <f aca="false">G18-F18</f>
        <v>0</v>
      </c>
    </row>
    <row r="19" customFormat="false" ht="15" hidden="false" customHeight="true" outlineLevel="0" collapsed="false">
      <c r="A19" s="3" t="n">
        <v>6</v>
      </c>
      <c r="B19" s="18" t="n">
        <f aca="false">$B$5</f>
        <v>0.01</v>
      </c>
      <c r="C19" s="18" t="n">
        <f aca="false">$B$6</f>
        <v>0.003</v>
      </c>
      <c r="D19" s="18" t="n">
        <f aca="false">IF(A19=1,$B$7,IF(A19=2,$B$8,IF(A19&lt;=5,$B$9,$B$10)))</f>
        <v>0</v>
      </c>
      <c r="E19" s="51" t="n">
        <f aca="false">B19+C19+D19</f>
        <v>0.013</v>
      </c>
      <c r="F19" s="101" t="n">
        <f aca="false">IF($A19=1,Assumptions!$B$52,IF($A19=2,Assumptions!$C$52,IF($A19&lt;=5,Assumptions!$D$52,Assumptions!$E$52)))</f>
        <v>0.013</v>
      </c>
      <c r="G19" s="18" t="n">
        <f aca="false">IF(A19=1,Assumptions!$B$16,IF(A19=2,Assumptions!$B$17,IF(A19&lt;=5,Assumptions!$B$18,Assumptions!$B$19)))</f>
        <v>0.013</v>
      </c>
      <c r="H19" s="18" t="n">
        <f aca="false">E19-F19</f>
        <v>0</v>
      </c>
      <c r="I19" s="18" t="n">
        <f aca="false">G19-F19</f>
        <v>0</v>
      </c>
    </row>
    <row r="20" customFormat="false" ht="15" hidden="false" customHeight="true" outlineLevel="0" collapsed="false">
      <c r="A20" s="3" t="n">
        <v>7</v>
      </c>
      <c r="B20" s="18" t="n">
        <f aca="false">$B$5</f>
        <v>0.01</v>
      </c>
      <c r="C20" s="18" t="n">
        <f aca="false">$B$6</f>
        <v>0.003</v>
      </c>
      <c r="D20" s="18" t="n">
        <f aca="false">IF(A20=1,$B$7,IF(A20=2,$B$8,IF(A20&lt;=5,$B$9,$B$10)))</f>
        <v>0</v>
      </c>
      <c r="E20" s="51" t="n">
        <f aca="false">B20+C20+D20</f>
        <v>0.013</v>
      </c>
      <c r="F20" s="101" t="n">
        <f aca="false">IF($A20=1,Assumptions!$B$52,IF($A20=2,Assumptions!$C$52,IF($A20&lt;=5,Assumptions!$D$52,Assumptions!$E$52)))</f>
        <v>0.013</v>
      </c>
      <c r="G20" s="18" t="n">
        <f aca="false">IF(A20=1,Assumptions!$B$16,IF(A20=2,Assumptions!$B$17,IF(A20&lt;=5,Assumptions!$B$18,Assumptions!$B$19)))</f>
        <v>0.013</v>
      </c>
      <c r="H20" s="18" t="n">
        <f aca="false">E20-F20</f>
        <v>0</v>
      </c>
      <c r="I20" s="18" t="n">
        <f aca="false">G20-F20</f>
        <v>0</v>
      </c>
    </row>
    <row r="21" customFormat="false" ht="15" hidden="false" customHeight="true" outlineLevel="0" collapsed="false">
      <c r="A21" s="3" t="n">
        <v>8</v>
      </c>
      <c r="B21" s="18" t="n">
        <f aca="false">$B$5</f>
        <v>0.01</v>
      </c>
      <c r="C21" s="18" t="n">
        <f aca="false">$B$6</f>
        <v>0.003</v>
      </c>
      <c r="D21" s="18" t="n">
        <f aca="false">IF(A21=1,$B$7,IF(A21=2,$B$8,IF(A21&lt;=5,$B$9,$B$10)))</f>
        <v>0</v>
      </c>
      <c r="E21" s="51" t="n">
        <f aca="false">B21+C21+D21</f>
        <v>0.013</v>
      </c>
      <c r="F21" s="101" t="n">
        <f aca="false">IF($A21=1,Assumptions!$B$52,IF($A21=2,Assumptions!$C$52,IF($A21&lt;=5,Assumptions!$D$52,Assumptions!$E$52)))</f>
        <v>0.013</v>
      </c>
      <c r="G21" s="18" t="n">
        <f aca="false">IF(A21=1,Assumptions!$B$16,IF(A21=2,Assumptions!$B$17,IF(A21&lt;=5,Assumptions!$B$18,Assumptions!$B$19)))</f>
        <v>0.013</v>
      </c>
      <c r="H21" s="18" t="n">
        <f aca="false">E21-F21</f>
        <v>0</v>
      </c>
      <c r="I21" s="18" t="n">
        <f aca="false">G21-F21</f>
        <v>0</v>
      </c>
    </row>
    <row r="22" customFormat="false" ht="15" hidden="false" customHeight="true" outlineLevel="0" collapsed="false">
      <c r="A22" s="3" t="n">
        <v>9</v>
      </c>
      <c r="B22" s="18" t="n">
        <f aca="false">$B$5</f>
        <v>0.01</v>
      </c>
      <c r="C22" s="18" t="n">
        <f aca="false">$B$6</f>
        <v>0.003</v>
      </c>
      <c r="D22" s="18" t="n">
        <f aca="false">IF(A22=1,$B$7,IF(A22=2,$B$8,IF(A22&lt;=5,$B$9,$B$10)))</f>
        <v>0</v>
      </c>
      <c r="E22" s="51" t="n">
        <f aca="false">B22+C22+D22</f>
        <v>0.013</v>
      </c>
      <c r="F22" s="101" t="n">
        <f aca="false">IF($A22=1,Assumptions!$B$52,IF($A22=2,Assumptions!$C$52,IF($A22&lt;=5,Assumptions!$D$52,Assumptions!$E$52)))</f>
        <v>0.013</v>
      </c>
      <c r="G22" s="18" t="n">
        <f aca="false">IF(A22=1,Assumptions!$B$16,IF(A22=2,Assumptions!$B$17,IF(A22&lt;=5,Assumptions!$B$18,Assumptions!$B$19)))</f>
        <v>0.013</v>
      </c>
      <c r="H22" s="18" t="n">
        <f aca="false">E22-F22</f>
        <v>0</v>
      </c>
      <c r="I22" s="18" t="n">
        <f aca="false">G22-F22</f>
        <v>0</v>
      </c>
    </row>
    <row r="23" customFormat="false" ht="15" hidden="false" customHeight="true" outlineLevel="0" collapsed="false">
      <c r="A23" s="3" t="n">
        <v>10</v>
      </c>
      <c r="B23" s="18" t="n">
        <f aca="false">$B$5</f>
        <v>0.01</v>
      </c>
      <c r="C23" s="18" t="n">
        <f aca="false">$B$6</f>
        <v>0.003</v>
      </c>
      <c r="D23" s="18" t="n">
        <f aca="false">IF(A23=1,$B$7,IF(A23=2,$B$8,IF(A23&lt;=5,$B$9,$B$10)))</f>
        <v>0</v>
      </c>
      <c r="E23" s="51" t="n">
        <f aca="false">B23+C23+D23</f>
        <v>0.013</v>
      </c>
      <c r="F23" s="101" t="n">
        <f aca="false">IF($A23=1,Assumptions!$B$52,IF($A23=2,Assumptions!$C$52,IF($A23&lt;=5,Assumptions!$D$52,Assumptions!$E$52)))</f>
        <v>0.013</v>
      </c>
      <c r="G23" s="18" t="n">
        <f aca="false">IF(A23=1,Assumptions!$B$16,IF(A23=2,Assumptions!$B$17,IF(A23&lt;=5,Assumptions!$B$18,Assumptions!$B$19)))</f>
        <v>0.013</v>
      </c>
      <c r="H23" s="18" t="n">
        <f aca="false">E23-F23</f>
        <v>0</v>
      </c>
      <c r="I23" s="18" t="n">
        <f aca="false">G23-F23</f>
        <v>0</v>
      </c>
    </row>
    <row r="24" customFormat="false" ht="15" hidden="false" customHeight="true" outlineLevel="0" collapsed="false">
      <c r="A24" s="3" t="n">
        <v>11</v>
      </c>
      <c r="B24" s="18" t="n">
        <f aca="false">$B$5</f>
        <v>0.01</v>
      </c>
      <c r="C24" s="18" t="n">
        <f aca="false">$B$6</f>
        <v>0.003</v>
      </c>
      <c r="D24" s="18" t="n">
        <f aca="false">IF(A24=1,$B$7,IF(A24=2,$B$8,IF(A24&lt;=5,$B$9,$B$10)))</f>
        <v>0</v>
      </c>
      <c r="E24" s="51" t="n">
        <f aca="false">B24+C24+D24</f>
        <v>0.013</v>
      </c>
      <c r="F24" s="101" t="n">
        <f aca="false">IF($A24=1,Assumptions!$B$52,IF($A24=2,Assumptions!$C$52,IF($A24&lt;=5,Assumptions!$D$52,Assumptions!$E$52)))</f>
        <v>0.013</v>
      </c>
      <c r="G24" s="18" t="n">
        <f aca="false">IF(A24=1,Assumptions!$B$16,IF(A24=2,Assumptions!$B$17,IF(A24&lt;=5,Assumptions!$B$18,Assumptions!$B$19)))</f>
        <v>0.013</v>
      </c>
      <c r="H24" s="18" t="n">
        <f aca="false">E24-F24</f>
        <v>0</v>
      </c>
      <c r="I24" s="18" t="n">
        <f aca="false">G24-F24</f>
        <v>0</v>
      </c>
    </row>
    <row r="25" customFormat="false" ht="15" hidden="false" customHeight="true" outlineLevel="0" collapsed="false">
      <c r="A25" s="3" t="n">
        <v>12</v>
      </c>
      <c r="B25" s="18" t="n">
        <f aca="false">$B$5</f>
        <v>0.01</v>
      </c>
      <c r="C25" s="18" t="n">
        <f aca="false">$B$6</f>
        <v>0.003</v>
      </c>
      <c r="D25" s="18" t="n">
        <f aca="false">IF(A25=1,$B$7,IF(A25=2,$B$8,IF(A25&lt;=5,$B$9,$B$10)))</f>
        <v>0</v>
      </c>
      <c r="E25" s="51" t="n">
        <f aca="false">B25+C25+D25</f>
        <v>0.013</v>
      </c>
      <c r="F25" s="101" t="n">
        <f aca="false">IF($A25=1,Assumptions!$B$52,IF($A25=2,Assumptions!$C$52,IF($A25&lt;=5,Assumptions!$D$52,Assumptions!$E$52)))</f>
        <v>0.013</v>
      </c>
      <c r="G25" s="18" t="n">
        <f aca="false">IF(A25=1,Assumptions!$B$16,IF(A25=2,Assumptions!$B$17,IF(A25&lt;=5,Assumptions!$B$18,Assumptions!$B$19)))</f>
        <v>0.013</v>
      </c>
      <c r="H25" s="18" t="n">
        <f aca="false">E25-F25</f>
        <v>0</v>
      </c>
      <c r="I25" s="18" t="n">
        <f aca="false">G25-F25</f>
        <v>0</v>
      </c>
    </row>
    <row r="26" customFormat="false" ht="15" hidden="false" customHeight="true" outlineLevel="0" collapsed="false">
      <c r="A26" s="3" t="n">
        <v>13</v>
      </c>
      <c r="B26" s="18" t="n">
        <f aca="false">$B$5</f>
        <v>0.01</v>
      </c>
      <c r="C26" s="18" t="n">
        <f aca="false">$B$6</f>
        <v>0.003</v>
      </c>
      <c r="D26" s="18" t="n">
        <f aca="false">IF(A26=1,$B$7,IF(A26=2,$B$8,IF(A26&lt;=5,$B$9,$B$10)))</f>
        <v>0</v>
      </c>
      <c r="E26" s="51" t="n">
        <f aca="false">B26+C26+D26</f>
        <v>0.013</v>
      </c>
      <c r="F26" s="101" t="n">
        <f aca="false">IF($A26=1,Assumptions!$B$52,IF($A26=2,Assumptions!$C$52,IF($A26&lt;=5,Assumptions!$D$52,Assumptions!$E$52)))</f>
        <v>0.013</v>
      </c>
      <c r="G26" s="18" t="n">
        <f aca="false">IF(A26=1,Assumptions!$B$16,IF(A26=2,Assumptions!$B$17,IF(A26&lt;=5,Assumptions!$B$18,Assumptions!$B$19)))</f>
        <v>0.013</v>
      </c>
      <c r="H26" s="18" t="n">
        <f aca="false">E26-F26</f>
        <v>0</v>
      </c>
      <c r="I26" s="18" t="n">
        <f aca="false">G26-F26</f>
        <v>0</v>
      </c>
    </row>
    <row r="27" customFormat="false" ht="15" hidden="false" customHeight="true" outlineLevel="0" collapsed="false">
      <c r="A27" s="3" t="n">
        <v>14</v>
      </c>
      <c r="B27" s="18" t="n">
        <f aca="false">$B$5</f>
        <v>0.01</v>
      </c>
      <c r="C27" s="18" t="n">
        <f aca="false">$B$6</f>
        <v>0.003</v>
      </c>
      <c r="D27" s="18" t="n">
        <f aca="false">IF(A27=1,$B$7,IF(A27=2,$B$8,IF(A27&lt;=5,$B$9,$B$10)))</f>
        <v>0</v>
      </c>
      <c r="E27" s="51" t="n">
        <f aca="false">B27+C27+D27</f>
        <v>0.013</v>
      </c>
      <c r="F27" s="101" t="n">
        <f aca="false">IF($A27=1,Assumptions!$B$52,IF($A27=2,Assumptions!$C$52,IF($A27&lt;=5,Assumptions!$D$52,Assumptions!$E$52)))</f>
        <v>0.013</v>
      </c>
      <c r="G27" s="18" t="n">
        <f aca="false">IF(A27=1,Assumptions!$B$16,IF(A27=2,Assumptions!$B$17,IF(A27&lt;=5,Assumptions!$B$18,Assumptions!$B$19)))</f>
        <v>0.013</v>
      </c>
      <c r="H27" s="18" t="n">
        <f aca="false">E27-F27</f>
        <v>0</v>
      </c>
      <c r="I27" s="18" t="n">
        <f aca="false">G27-F27</f>
        <v>0</v>
      </c>
    </row>
    <row r="28" customFormat="false" ht="15" hidden="false" customHeight="true" outlineLevel="0" collapsed="false">
      <c r="A28" s="3" t="n">
        <v>15</v>
      </c>
      <c r="B28" s="18" t="n">
        <f aca="false">$B$5</f>
        <v>0.01</v>
      </c>
      <c r="C28" s="18" t="n">
        <f aca="false">$B$6</f>
        <v>0.003</v>
      </c>
      <c r="D28" s="18" t="n">
        <f aca="false">IF(A28=1,$B$7,IF(A28=2,$B$8,IF(A28&lt;=5,$B$9,$B$10)))</f>
        <v>0</v>
      </c>
      <c r="E28" s="51" t="n">
        <f aca="false">B28+C28+D28</f>
        <v>0.013</v>
      </c>
      <c r="F28" s="101" t="n">
        <f aca="false">IF($A28=1,Assumptions!$B$52,IF($A28=2,Assumptions!$C$52,IF($A28&lt;=5,Assumptions!$D$52,Assumptions!$E$52)))</f>
        <v>0.013</v>
      </c>
      <c r="G28" s="18" t="n">
        <f aca="false">IF(A28=1,Assumptions!$B$16,IF(A28=2,Assumptions!$B$17,IF(A28&lt;=5,Assumptions!$B$18,Assumptions!$B$19)))</f>
        <v>0.013</v>
      </c>
      <c r="H28" s="18" t="n">
        <f aca="false">E28-F28</f>
        <v>0</v>
      </c>
      <c r="I28" s="18" t="n">
        <f aca="false">G28-F28</f>
        <v>0</v>
      </c>
    </row>
    <row r="30" customFormat="false" ht="15" hidden="false" customHeight="true" outlineLevel="0" collapsed="false">
      <c r="A30" s="6" t="s">
        <v>1764</v>
      </c>
    </row>
    <row r="31" customFormat="false" ht="15" hidden="false" customHeight="true" outlineLevel="0" collapsed="false">
      <c r="A31" s="1" t="s">
        <v>1765</v>
      </c>
      <c r="B31" s="39" t="n">
        <f aca="false">MAX(ABS(MIN(H14:H28)),ABS(MAX(H14:H28)))</f>
        <v>0</v>
      </c>
    </row>
    <row r="32" customFormat="false" ht="15" hidden="false" customHeight="true" outlineLevel="0" collapsed="false">
      <c r="A32" s="3" t="s">
        <v>458</v>
      </c>
      <c r="B32" s="51" t="str">
        <f aca="false">IF(B31&lt;0.00001,"PASS — the four routes reproduce the locked duration curve exactly","the routes explain the shape but not the arithmetic")</f>
        <v>PASS — the four routes reproduce the locked duration curve exactly</v>
      </c>
    </row>
    <row r="33" customFormat="false" ht="15" hidden="false" customHeight="true" outlineLevel="0" collapsed="false">
      <c r="A33" s="7" t="s">
        <v>1766</v>
      </c>
      <c r="B33" s="28" t="str">
        <f aca="false">IF(B31&lt;0.00001,"The four routes reproduce the locked curve arithmetically","The routes explain the shape but do not arithmetically produce it")</f>
        <v>The four routes reproduce the locked curve arithmetically</v>
      </c>
    </row>
    <row r="34" customFormat="false" ht="15" hidden="false" customHeight="true" outlineLevel="0" collapsed="false">
      <c r="A34" s="7" t="s">
        <v>1767</v>
      </c>
    </row>
    <row r="35" customFormat="false" ht="15" hidden="false" customHeight="true" outlineLevel="0" collapsed="false">
      <c r="A35" s="7"/>
    </row>
    <row r="37" customFormat="false" ht="15" hidden="false" customHeight="true" outlineLevel="0" collapsed="false">
      <c r="A37" s="6" t="s">
        <v>1768</v>
      </c>
    </row>
    <row r="38" customFormat="false" ht="15" hidden="false" customHeight="true" outlineLevel="0" collapsed="false">
      <c r="A38" s="7"/>
    </row>
    <row r="40" customFormat="false" ht="15" hidden="false" customHeight="true" outlineLevel="0" collapsed="false">
      <c r="A40" s="8"/>
      <c r="B40" s="8" t="s">
        <v>964</v>
      </c>
      <c r="C40" s="8" t="s">
        <v>1769</v>
      </c>
      <c r="D40" s="8" t="s">
        <v>1770</v>
      </c>
      <c r="E40" s="8" t="s">
        <v>1771</v>
      </c>
      <c r="F40" s="8" t="s">
        <v>1772</v>
      </c>
    </row>
    <row r="41" customFormat="false" ht="15" hidden="false" customHeight="true" outlineLevel="0" collapsed="false">
      <c r="A41" s="1" t="s">
        <v>1773</v>
      </c>
      <c r="B41" s="101" t="n">
        <f aca="false">Assumptions!$B$52</f>
        <v>0.058</v>
      </c>
      <c r="C41" s="101" t="n">
        <f aca="false">Assumptions!$C$52</f>
        <v>0.031</v>
      </c>
      <c r="D41" s="101" t="n">
        <f aca="false">Assumptions!$D$52</f>
        <v>0.019</v>
      </c>
      <c r="E41" s="101" t="n">
        <f aca="false">Assumptions!$E$52</f>
        <v>0.013</v>
      </c>
      <c r="F41" s="18" t="n">
        <f aca="false">(B41+C41+3*D41)/5</f>
        <v>0.0292</v>
      </c>
    </row>
    <row r="42" customFormat="false" ht="15" hidden="false" customHeight="true" outlineLevel="0" collapsed="false">
      <c r="A42" s="1" t="s">
        <v>1774</v>
      </c>
      <c r="B42" s="18" t="n">
        <f aca="false">Assumptions!$B$54</f>
        <v>0.0605</v>
      </c>
      <c r="C42" s="18" t="n">
        <f aca="false">Assumptions!$C$54</f>
        <v>0.0335</v>
      </c>
      <c r="D42" s="18" t="n">
        <f aca="false">Assumptions!$D$54</f>
        <v>0.0215</v>
      </c>
      <c r="E42" s="18" t="n">
        <f aca="false">Assumptions!$E$54</f>
        <v>0.0155</v>
      </c>
      <c r="F42" s="18" t="n">
        <f aca="false">(B42+C42+3*D42)/5</f>
        <v>0.0317</v>
      </c>
    </row>
    <row r="43" customFormat="false" ht="15" hidden="false" customHeight="true" outlineLevel="0" collapsed="false">
      <c r="A43" s="1" t="s">
        <v>1775</v>
      </c>
      <c r="B43" s="88" t="n">
        <f aca="false">B42/B41</f>
        <v>1.04310344827586</v>
      </c>
      <c r="C43" s="88" t="n">
        <f aca="false">C42/C41</f>
        <v>1.08064516129032</v>
      </c>
      <c r="D43" s="88" t="n">
        <f aca="false">D42/D41</f>
        <v>1.13157894736842</v>
      </c>
      <c r="E43" s="88" t="n">
        <f aca="false">E42/E41</f>
        <v>1.19230769230769</v>
      </c>
    </row>
    <row r="44" customFormat="false" ht="15" hidden="false" customHeight="true" outlineLevel="0" collapsed="false">
      <c r="A44" s="1" t="s">
        <v>1776</v>
      </c>
      <c r="B44" s="28" t="str">
        <f aca="false">IF(MAX(ABS(B43-C43),ABS(B43-D43),ABS(B43-E43))&lt;0.005,"yes","no — the ratio varies from 1.043 to 1.192")</f>
        <v>no — the ratio varies from 1.043 to 1.192</v>
      </c>
    </row>
    <row r="45" customFormat="false" ht="15" hidden="false" customHeight="true" outlineLevel="0" collapsed="false">
      <c r="A45" s="1" t="s">
        <v>1777</v>
      </c>
      <c r="B45" s="4" t="str">
        <f aca="false">IF(MAX(ABS(B46-C46),ABS(B46-D46),ABS(B46-E46))&lt;0.00001,"YES — a uniform additive offset","no")</f>
        <v>YES — a uniform additive offset</v>
      </c>
    </row>
    <row r="46" customFormat="false" ht="15" hidden="false" customHeight="true" outlineLevel="0" collapsed="false">
      <c r="A46" s="6" t="s">
        <v>1778</v>
      </c>
      <c r="B46" s="39" t="n">
        <f aca="false">B42-B41</f>
        <v>0.0025</v>
      </c>
      <c r="C46" s="39" t="n">
        <f aca="false">C42-C41</f>
        <v>0.0025</v>
      </c>
      <c r="D46" s="39" t="n">
        <f aca="false">D42-D41</f>
        <v>0.0025</v>
      </c>
      <c r="E46" s="39" t="n">
        <f aca="false">E42-E41</f>
        <v>0.0025</v>
      </c>
    </row>
    <row r="47" customFormat="false" ht="15" hidden="false" customHeight="true" outlineLevel="0" collapsed="false">
      <c r="A47" s="7" t="s">
        <v>1779</v>
      </c>
      <c r="B47" s="60" t="n">
        <f aca="false">B46</f>
        <v>0.0025</v>
      </c>
    </row>
    <row r="48" customFormat="false" ht="15" hidden="false" customHeight="true" outlineLevel="0" collapsed="false">
      <c r="A48" s="3" t="s">
        <v>488</v>
      </c>
      <c r="B48" s="79" t="str">
        <f aca="false">IF(MAX(ABS(B46-C46),ABS(B46-D46),ABS(B46-E46))&lt;0.00001,"The engine curve is the locked curve plus a uniform 25 basis points at every duration. The difference is a deliberate addition, not a recalibration.","the two curves differ irregularly")</f>
        <v>The engine curve is the locked curve plus a uniform 25 basis points at every duration. The difference is a deliberate addition, not a recalibration.</v>
      </c>
    </row>
    <row r="49" customFormat="false" ht="15" hidden="false" customHeight="true" outlineLevel="0" collapsed="false">
      <c r="A49" s="1" t="s">
        <v>1780</v>
      </c>
      <c r="B49" s="101" t="str">
        <f aca="false">IF(Assumptions!$B$50=0,"switch is at the engine setting; rows 41-47 compare the engine against the locked curve","switch is not at the engine setting, but rows 41-47 read both curves directly and remain valid")</f>
        <v>switch is not at the engine setting, but rows 41-47 read both curves directly and remain valid</v>
      </c>
    </row>
    <row r="50" customFormat="false" ht="15" hidden="false" customHeight="true" outlineLevel="0" collapsed="false">
      <c r="A50" s="6" t="s">
        <v>1781</v>
      </c>
      <c r="B50" s="65"/>
    </row>
    <row r="51" customFormat="false" ht="15" hidden="false" customHeight="true" outlineLevel="0" collapsed="false">
      <c r="A51" s="1" t="s">
        <v>1782</v>
      </c>
      <c r="B51" s="39" t="n">
        <f aca="false">F41</f>
        <v>0.0292</v>
      </c>
    </row>
    <row r="52" customFormat="false" ht="15" hidden="false" customHeight="true" outlineLevel="0" collapsed="false">
      <c r="A52" s="6" t="s">
        <v>1783</v>
      </c>
      <c r="B52" s="39" t="n">
        <f aca="false">F42</f>
        <v>0.0317</v>
      </c>
    </row>
    <row r="53" customFormat="false" ht="15" hidden="false" customHeight="true" outlineLevel="0" collapsed="false">
      <c r="A53" s="3" t="s">
        <v>1784</v>
      </c>
      <c r="B53" s="65" t="n">
        <f aca="false">B52/B51-1</f>
        <v>0.0856164383561644</v>
      </c>
    </row>
    <row r="54" customFormat="false" ht="15" hidden="false" customHeight="true" outlineLevel="0" collapsed="false">
      <c r="A54" s="7" t="s">
        <v>1785</v>
      </c>
    </row>
    <row r="55" customFormat="false" ht="15" hidden="false" customHeight="true" outlineLevel="0" collapsed="false">
      <c r="A55" s="6" t="s">
        <v>1786</v>
      </c>
    </row>
    <row r="56" customFormat="false" ht="15" hidden="false" customHeight="true" outlineLevel="0" collapsed="false">
      <c r="A56" s="3" t="s">
        <v>1787</v>
      </c>
    </row>
    <row r="57" customFormat="false" ht="15" hidden="false" customHeight="true" outlineLevel="0" collapsed="false">
      <c r="A57" s="7" t="s">
        <v>1788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26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0"/>
    <col collapsed="false" customWidth="true" hidden="false" outlineLevel="0" max="9" min="2" style="1" width="15"/>
  </cols>
  <sheetData>
    <row r="1" customFormat="false" ht="15.75" hidden="false" customHeight="true" outlineLevel="0" collapsed="false">
      <c r="A1" s="15" t="s">
        <v>1789</v>
      </c>
    </row>
    <row r="2" customFormat="false" ht="15" hidden="false" customHeight="true" outlineLevel="0" collapsed="false">
      <c r="A2" s="7" t="s">
        <v>1790</v>
      </c>
    </row>
    <row r="4" customFormat="false" ht="15" hidden="false" customHeight="true" outlineLevel="0" collapsed="false">
      <c r="A4" s="6" t="s">
        <v>1791</v>
      </c>
    </row>
    <row r="5" customFormat="false" ht="15" hidden="false" customHeight="true" outlineLevel="0" collapsed="false">
      <c r="A5" s="7" t="s">
        <v>1792</v>
      </c>
    </row>
    <row r="6" customFormat="false" ht="15" hidden="false" customHeight="true" outlineLevel="0" collapsed="false">
      <c r="A6" s="8" t="s">
        <v>1793</v>
      </c>
      <c r="B6" s="8" t="s">
        <v>1794</v>
      </c>
      <c r="C6" s="8" t="s">
        <v>1068</v>
      </c>
      <c r="D6" s="8" t="s">
        <v>1069</v>
      </c>
      <c r="E6" s="8" t="s">
        <v>1795</v>
      </c>
      <c r="F6" s="8" t="s">
        <v>1796</v>
      </c>
      <c r="G6" s="8" t="s">
        <v>1797</v>
      </c>
      <c r="H6" s="8" t="s">
        <v>1798</v>
      </c>
    </row>
    <row r="7" customFormat="false" ht="15" hidden="false" customHeight="true" outlineLevel="0" collapsed="false">
      <c r="A7" s="3" t="s">
        <v>1799</v>
      </c>
      <c r="B7" s="100" t="n">
        <v>0.0605</v>
      </c>
      <c r="C7" s="102" t="n">
        <v>12137.79</v>
      </c>
      <c r="D7" s="42" t="n">
        <v>0.9083</v>
      </c>
      <c r="E7" s="85" t="n">
        <f aca="false">Assumptions!$B$59</f>
        <v>0.9</v>
      </c>
      <c r="F7" s="103" t="n">
        <v>0.669618</v>
      </c>
      <c r="G7" s="42" t="n">
        <v>3.25</v>
      </c>
      <c r="H7" s="19" t="n">
        <v>36769.76</v>
      </c>
    </row>
    <row r="8" customFormat="false" ht="15" hidden="false" customHeight="true" outlineLevel="0" collapsed="false">
      <c r="A8" s="1" t="s">
        <v>1773</v>
      </c>
      <c r="B8" s="100" t="n">
        <v>0.058</v>
      </c>
      <c r="C8" s="102" t="n">
        <v>12316.07</v>
      </c>
      <c r="D8" s="42" t="n">
        <v>0.8952</v>
      </c>
      <c r="E8" s="85" t="n">
        <f aca="false">Assumptions!$B$59</f>
        <v>0.9</v>
      </c>
      <c r="F8" s="103" t="n">
        <v>0.687681</v>
      </c>
      <c r="G8" s="42" t="n">
        <v>3.0034</v>
      </c>
      <c r="H8" s="19" t="n">
        <v>36744.48</v>
      </c>
    </row>
    <row r="9" customFormat="false" ht="15" hidden="false" customHeight="true" outlineLevel="0" collapsed="false">
      <c r="A9" s="1" t="s">
        <v>1800</v>
      </c>
      <c r="B9" s="100" t="n">
        <v>0.117</v>
      </c>
      <c r="C9" s="102" t="n">
        <v>9961.81</v>
      </c>
      <c r="D9" s="42" t="n">
        <v>1.1067</v>
      </c>
      <c r="E9" s="85" t="n">
        <f aca="false">Assumptions!$B$59</f>
        <v>0.9</v>
      </c>
      <c r="F9" s="103" t="n">
        <v>0.44603</v>
      </c>
      <c r="H9" s="19" t="n">
        <v>38849.48</v>
      </c>
    </row>
    <row r="11" customFormat="false" ht="15" hidden="false" customHeight="true" outlineLevel="0" collapsed="false">
      <c r="A11" s="3" t="s">
        <v>1801</v>
      </c>
    </row>
    <row r="12" customFormat="false" ht="15" hidden="false" customHeight="true" outlineLevel="0" collapsed="false">
      <c r="A12" s="9" t="s">
        <v>1802</v>
      </c>
    </row>
    <row r="13" customFormat="false" ht="15" hidden="false" customHeight="true" outlineLevel="0" collapsed="false">
      <c r="A13" s="7" t="s">
        <v>1803</v>
      </c>
    </row>
    <row r="14" customFormat="false" ht="15" hidden="false" customHeight="true" outlineLevel="0" collapsed="false">
      <c r="A14" s="3" t="str">
        <f aca="false">"The capital requirement is almost unchanged either way, at about "&amp;TEXT(Trajectory!B164,"€#,##0")&amp;". The choice therefore decides whether the product is consumer-fair, not whether it is capital-efficient."</f>
        <v>The capital requirement is almost unchanged either way, at about €36,780. The choice therefore decides whether the product is consumer-fair, not whether it is capital-efficient.</v>
      </c>
    </row>
    <row r="15" customFormat="false" ht="15" hidden="false" customHeight="true" outlineLevel="0" collapsed="false">
      <c r="A15" s="7" t="s">
        <v>1804</v>
      </c>
    </row>
    <row r="17" customFormat="false" ht="15" hidden="false" customHeight="true" outlineLevel="0" collapsed="false">
      <c r="A17" s="6" t="s">
        <v>1805</v>
      </c>
    </row>
    <row r="18" customFormat="false" ht="15" hidden="false" customHeight="true" outlineLevel="0" collapsed="false">
      <c r="A18" s="7" t="s">
        <v>1806</v>
      </c>
    </row>
    <row r="19" customFormat="false" ht="15" hidden="false" customHeight="true" outlineLevel="0" collapsed="false">
      <c r="A19" s="8" t="s">
        <v>1807</v>
      </c>
      <c r="B19" s="8" t="s">
        <v>1068</v>
      </c>
      <c r="C19" s="8" t="s">
        <v>1069</v>
      </c>
      <c r="D19" s="8" t="s">
        <v>1798</v>
      </c>
      <c r="E19" s="8" t="s">
        <v>1808</v>
      </c>
      <c r="F19" s="8" t="s">
        <v>1078</v>
      </c>
      <c r="G19" s="3" t="s">
        <v>1793</v>
      </c>
    </row>
    <row r="20" customFormat="false" ht="15" hidden="false" customHeight="true" outlineLevel="0" collapsed="false">
      <c r="A20" s="26" t="n">
        <v>0.85</v>
      </c>
      <c r="B20" s="102" t="n">
        <v>12735.5</v>
      </c>
      <c r="C20" s="42" t="n">
        <v>0.8956</v>
      </c>
      <c r="D20" s="19" t="n">
        <v>37668.04</v>
      </c>
      <c r="E20" s="42" t="n">
        <v>0.5398</v>
      </c>
      <c r="F20" s="5" t="str">
        <f aca="false">IF(E20&lt;0.9,"inadequate",IF(E20&lt;1,"marginal","exceeds"))</f>
        <v>inadequate</v>
      </c>
      <c r="G20" s="7" t="s">
        <v>1809</v>
      </c>
    </row>
    <row r="21" customFormat="false" ht="15" hidden="false" customHeight="true" outlineLevel="0" collapsed="false">
      <c r="A21" s="104" t="n">
        <v>0.9</v>
      </c>
      <c r="B21" s="105" t="n">
        <f aca="false">Pricing!B14</f>
        <v>12316.0657114102</v>
      </c>
      <c r="C21" s="106" t="n">
        <f aca="false">Fairness!B3</f>
        <v>0.895188484380065</v>
      </c>
      <c r="D21" s="107" t="n">
        <f aca="false">Trajectory!$B$164</f>
        <v>36779.6909834719</v>
      </c>
      <c r="E21" s="106" t="n">
        <f aca="false">Adequacy!B179</f>
        <v>0.544995788809107</v>
      </c>
      <c r="F21" s="5" t="str">
        <f aca="false">IF(E21&lt;0.9,"inadequate",IF(E21&lt;1,"marginal","exceeds"))</f>
        <v>inadequate</v>
      </c>
      <c r="G21" s="7" t="s">
        <v>1810</v>
      </c>
    </row>
    <row r="22" customFormat="false" ht="15" hidden="false" customHeight="true" outlineLevel="0" collapsed="false">
      <c r="A22" s="26" t="n">
        <v>0.95</v>
      </c>
      <c r="B22" s="102" t="n">
        <v>11924.9</v>
      </c>
      <c r="C22" s="42" t="n">
        <v>0.8948</v>
      </c>
      <c r="D22" s="19" t="n">
        <v>35882.58</v>
      </c>
      <c r="E22" s="42" t="n">
        <v>0.5502</v>
      </c>
      <c r="F22" s="5" t="str">
        <f aca="false">IF(E22&lt;0.9,"inadequate",IF(E22&lt;1,"marginal","exceeds"))</f>
        <v>inadequate</v>
      </c>
      <c r="G22" s="7" t="s">
        <v>1809</v>
      </c>
    </row>
    <row r="24" customFormat="false" ht="15" hidden="false" customHeight="true" outlineLevel="0" collapsed="false">
      <c r="A24" s="3" t="s">
        <v>1811</v>
      </c>
    </row>
    <row r="25" customFormat="false" ht="15" hidden="false" customHeight="true" outlineLevel="0" collapsed="false">
      <c r="A25" s="7" t="s">
        <v>1812</v>
      </c>
      <c r="B25" s="27" t="n">
        <f aca="false">B21-Pricing!B14</f>
        <v>0</v>
      </c>
    </row>
    <row r="26" customFormat="false" ht="15" hidden="false" customHeight="true" outlineLevel="0" collapsed="false">
      <c r="A26" s="1" t="s">
        <v>1813</v>
      </c>
      <c r="B26" s="27" t="n">
        <f aca="false">C21-Fairness!B3</f>
        <v>0</v>
      </c>
    </row>
    <row r="27" customFormat="false" ht="15" hidden="false" customHeight="true" outlineLevel="0" collapsed="false">
      <c r="A27" s="3" t="s">
        <v>458</v>
      </c>
      <c r="B27" s="28" t="str">
        <f aca="false">IF(AND(ABS(B25)&lt;0.01,ABS(B26)&lt;0.0001),"PASS — the middle row ties to the central case, so the outer rows were observed on this basis","STALE — the basis has changed since the outer rows were observed; re-run them")</f>
        <v>PASS — the middle row ties to the central case, so the outer rows were observed on this basis</v>
      </c>
    </row>
    <row r="28" customFormat="false" ht="15" hidden="false" customHeight="true" outlineLevel="0" collapsed="false">
      <c r="A28" s="7" t="s">
        <v>1814</v>
      </c>
    </row>
    <row r="29" customFormat="false" ht="15" hidden="false" customHeight="true" outlineLevel="0" collapsed="false">
      <c r="A29" s="1" t="s">
        <v>1815</v>
      </c>
      <c r="B29" s="18" t="n">
        <f aca="false">Assumptions!B29</f>
        <v>0.06</v>
      </c>
    </row>
    <row r="30" customFormat="false" ht="15" hidden="false" customHeight="true" outlineLevel="0" collapsed="false">
      <c r="A30" s="1" t="s">
        <v>1816</v>
      </c>
      <c r="B30" s="100" t="n">
        <v>0.0475</v>
      </c>
    </row>
    <row r="31" customFormat="false" ht="15" hidden="false" customHeight="true" outlineLevel="0" collapsed="false">
      <c r="A31" s="1" t="s">
        <v>1817</v>
      </c>
      <c r="B31" s="12" t="n">
        <f aca="false">INDEX(Trajectory!$E$106:$E$161,Trajectory!$B$165+1)/INDEX(Trajectory!$F$106:$F$161,Trajectory!$B$165+1)</f>
        <v>19559.8555678276</v>
      </c>
    </row>
    <row r="32" customFormat="false" ht="15" hidden="false" customHeight="true" outlineLevel="0" collapsed="false">
      <c r="A32" s="1" t="s">
        <v>1818</v>
      </c>
      <c r="B32" s="12" t="n">
        <f aca="false">B31*B30/B29</f>
        <v>15484.8856578635</v>
      </c>
    </row>
    <row r="33" customFormat="false" ht="15" hidden="false" customHeight="true" outlineLevel="0" collapsed="false">
      <c r="A33" s="1" t="s">
        <v>1819</v>
      </c>
      <c r="B33" s="12" t="n">
        <f aca="false">B32-B31</f>
        <v>-4074.96990996408</v>
      </c>
    </row>
    <row r="34" customFormat="false" ht="15" hidden="false" customHeight="true" outlineLevel="0" collapsed="false">
      <c r="A34" s="1" t="s">
        <v>1820</v>
      </c>
      <c r="B34" s="11" t="n">
        <f aca="false">INDEX(Trajectory!$F$106:$F$161,Trajectory!$B$165+1)</f>
        <v>0.826387919730429</v>
      </c>
    </row>
    <row r="35" customFormat="false" ht="15" hidden="false" customHeight="true" outlineLevel="0" collapsed="false">
      <c r="A35" s="1" t="s">
        <v>1821</v>
      </c>
      <c r="B35" s="12" t="n">
        <f aca="false">Trajectory!B164</f>
        <v>36779.6909834719</v>
      </c>
    </row>
    <row r="36" customFormat="false" ht="15" hidden="false" customHeight="true" outlineLevel="0" collapsed="false">
      <c r="A36" s="1" t="s">
        <v>1822</v>
      </c>
      <c r="B36" s="57" t="n">
        <f aca="false">MAX(B204:B259)</f>
        <v>32837.5176221476</v>
      </c>
    </row>
    <row r="37" customFormat="false" ht="15" hidden="false" customHeight="true" outlineLevel="0" collapsed="false">
      <c r="A37" s="1" t="s">
        <v>1823</v>
      </c>
      <c r="B37" s="65" t="n">
        <f aca="false">B36/B35-1</f>
        <v>-0.107183428025422</v>
      </c>
    </row>
    <row r="38" customFormat="false" ht="15" hidden="false" customHeight="true" outlineLevel="0" collapsed="false">
      <c r="A38" s="7" t="s">
        <v>1824</v>
      </c>
    </row>
    <row r="39" customFormat="false" ht="15" hidden="false" customHeight="true" outlineLevel="0" collapsed="false">
      <c r="A39" s="6" t="s">
        <v>1825</v>
      </c>
    </row>
    <row r="40" customFormat="false" ht="15" hidden="false" customHeight="true" outlineLevel="0" collapsed="false">
      <c r="A40" s="7" t="s">
        <v>1826</v>
      </c>
    </row>
    <row r="41" customFormat="false" ht="15" hidden="false" customHeight="true" outlineLevel="0" collapsed="false">
      <c r="A41" s="8" t="s">
        <v>1827</v>
      </c>
      <c r="B41" s="8" t="s">
        <v>1828</v>
      </c>
      <c r="C41" s="8" t="s">
        <v>1829</v>
      </c>
      <c r="D41" s="8" t="s">
        <v>1070</v>
      </c>
    </row>
    <row r="42" customFormat="false" ht="15" hidden="false" customHeight="true" outlineLevel="0" collapsed="false">
      <c r="A42" s="108" t="n">
        <v>0</v>
      </c>
      <c r="B42" s="12" t="n">
        <f aca="false">A42/10000*SUMPRODUCT((Projection!$B$4:$B$59&gt;=Assumptions!$B$5)*Projection!$P$4:$P$59)</f>
        <v>0</v>
      </c>
      <c r="C42" s="12" t="n">
        <f aca="false">Trajectory!$B$164+B42/Projection!$F$19</f>
        <v>36779.6909834719</v>
      </c>
      <c r="D42" s="5" t="str">
        <f aca="false">IF(C42&lt;=0,"yes","no")</f>
        <v>no</v>
      </c>
    </row>
    <row r="43" customFormat="false" ht="15" hidden="false" customHeight="true" outlineLevel="0" collapsed="false">
      <c r="A43" s="108" t="n">
        <v>20</v>
      </c>
      <c r="B43" s="12" t="n">
        <f aca="false">A43/10000*SUMPRODUCT((Projection!$B$4:$B$59&gt;=Assumptions!$B$5)*Projection!$P$4:$P$59)</f>
        <v>214.586164924861</v>
      </c>
      <c r="C43" s="12" t="n">
        <f aca="false">Trajectory!$B$164+B43/Projection!$F$19</f>
        <v>37091.7341701416</v>
      </c>
      <c r="D43" s="5" t="str">
        <f aca="false">IF(C43&lt;=0,"yes","no")</f>
        <v>no</v>
      </c>
    </row>
    <row r="44" customFormat="false" ht="15" hidden="false" customHeight="true" outlineLevel="0" collapsed="false">
      <c r="A44" s="108" t="n">
        <v>40</v>
      </c>
      <c r="B44" s="12" t="n">
        <f aca="false">A44/10000*SUMPRODUCT((Projection!$B$4:$B$59&gt;=Assumptions!$B$5)*Projection!$P$4:$P$59)</f>
        <v>429.172329849721</v>
      </c>
      <c r="C44" s="12" t="n">
        <f aca="false">Trajectory!$B$164+B44/Projection!$F$19</f>
        <v>37403.7773568112</v>
      </c>
      <c r="D44" s="5" t="str">
        <f aca="false">IF(C44&lt;=0,"yes","no")</f>
        <v>no</v>
      </c>
    </row>
    <row r="45" customFormat="false" ht="15" hidden="false" customHeight="true" outlineLevel="0" collapsed="false">
      <c r="A45" s="108" t="n">
        <v>60</v>
      </c>
      <c r="B45" s="12" t="n">
        <f aca="false">A45/10000*SUMPRODUCT((Projection!$B$4:$B$59&gt;=Assumptions!$B$5)*Projection!$P$4:$P$59)</f>
        <v>643.758494774582</v>
      </c>
      <c r="C45" s="12" t="n">
        <f aca="false">Trajectory!$B$164+B45/Projection!$F$19</f>
        <v>37715.8205434809</v>
      </c>
      <c r="D45" s="5" t="str">
        <f aca="false">IF(C45&lt;=0,"yes","no")</f>
        <v>no</v>
      </c>
    </row>
    <row r="46" customFormat="false" ht="15" hidden="false" customHeight="true" outlineLevel="0" collapsed="false">
      <c r="A46" s="108" t="n">
        <v>80</v>
      </c>
      <c r="B46" s="12" t="n">
        <f aca="false">A46/10000*SUMPRODUCT((Projection!$B$4:$B$59&gt;=Assumptions!$B$5)*Projection!$P$4:$P$59)</f>
        <v>858.344659699442</v>
      </c>
      <c r="C46" s="12" t="n">
        <f aca="false">Trajectory!$B$164+B46/Projection!$F$19</f>
        <v>38027.8637301506</v>
      </c>
      <c r="D46" s="5" t="str">
        <f aca="false">IF(C46&lt;=0,"yes","no")</f>
        <v>no</v>
      </c>
    </row>
    <row r="48" customFormat="false" ht="15" hidden="false" customHeight="true" outlineLevel="0" collapsed="false">
      <c r="A48" s="7" t="s">
        <v>1830</v>
      </c>
    </row>
    <row r="50" customFormat="false" ht="15" hidden="false" customHeight="true" outlineLevel="0" collapsed="false">
      <c r="A50" s="6" t="s">
        <v>1831</v>
      </c>
    </row>
    <row r="51" customFormat="false" ht="15" hidden="false" customHeight="true" outlineLevel="0" collapsed="false">
      <c r="A51" s="7" t="s">
        <v>1832</v>
      </c>
    </row>
    <row r="52" customFormat="false" ht="15" hidden="false" customHeight="true" outlineLevel="0" collapsed="false">
      <c r="A52" s="8" t="s">
        <v>1833</v>
      </c>
      <c r="B52" s="8" t="s">
        <v>1834</v>
      </c>
      <c r="C52" s="8" t="s">
        <v>1829</v>
      </c>
      <c r="D52" s="8" t="s">
        <v>1835</v>
      </c>
    </row>
    <row r="53" customFormat="false" ht="15" hidden="false" customHeight="true" outlineLevel="0" collapsed="false">
      <c r="A53" s="62" t="n">
        <v>0</v>
      </c>
      <c r="B53" s="12" t="n">
        <f aca="false">A53*Reinsurance!$B$6</f>
        <v>0</v>
      </c>
      <c r="C53" s="12" t="n">
        <f aca="false">Trajectory!$B$164+A53*(Reinsurance!$B$15-Reinsurance!$B$16)</f>
        <v>36779.6909834719</v>
      </c>
      <c r="D53" s="12" t="n">
        <f aca="false">C53-Trajectory!$B$164</f>
        <v>0</v>
      </c>
    </row>
    <row r="54" customFormat="false" ht="15" hidden="false" customHeight="true" outlineLevel="0" collapsed="false">
      <c r="A54" s="62" t="n">
        <v>0.25</v>
      </c>
      <c r="B54" s="12" t="n">
        <f aca="false">A54*Reinsurance!$B$6</f>
        <v>4244.57286502317</v>
      </c>
      <c r="C54" s="12" t="n">
        <f aca="false">Trajectory!$B$164+A54*(Reinsurance!$B$15-Reinsurance!$B$16)</f>
        <v>44115.3135870069</v>
      </c>
      <c r="D54" s="12" t="n">
        <f aca="false">C54-Trajectory!$B$164</f>
        <v>7335.62260353503</v>
      </c>
    </row>
    <row r="55" customFormat="false" ht="15" hidden="false" customHeight="true" outlineLevel="0" collapsed="false">
      <c r="A55" s="62" t="n">
        <v>0.5</v>
      </c>
      <c r="B55" s="12" t="n">
        <f aca="false">A55*Reinsurance!$B$6</f>
        <v>8489.14573004635</v>
      </c>
      <c r="C55" s="12" t="n">
        <f aca="false">Trajectory!$B$164+A55*(Reinsurance!$B$15-Reinsurance!$B$16)</f>
        <v>51450.9361905419</v>
      </c>
      <c r="D55" s="12" t="n">
        <f aca="false">C55-Trajectory!$B$164</f>
        <v>14671.2452070701</v>
      </c>
    </row>
    <row r="56" customFormat="false" ht="15" hidden="false" customHeight="true" outlineLevel="0" collapsed="false">
      <c r="A56" s="62" t="n">
        <v>0.75</v>
      </c>
      <c r="B56" s="12" t="n">
        <f aca="false">A56*Reinsurance!$B$6</f>
        <v>12733.7185950695</v>
      </c>
      <c r="C56" s="12" t="n">
        <f aca="false">Trajectory!$B$164+A56*(Reinsurance!$B$15-Reinsurance!$B$16)</f>
        <v>58786.558794077</v>
      </c>
      <c r="D56" s="12" t="n">
        <f aca="false">C56-Trajectory!$B$164</f>
        <v>22006.8678106051</v>
      </c>
    </row>
    <row r="57" customFormat="false" ht="15" hidden="false" customHeight="true" outlineLevel="0" collapsed="false">
      <c r="A57" s="62" t="n">
        <v>1</v>
      </c>
      <c r="B57" s="12" t="n">
        <f aca="false">A57*Reinsurance!$B$6</f>
        <v>16978.2914600927</v>
      </c>
      <c r="C57" s="12" t="n">
        <f aca="false">Trajectory!$B$164+A57*(Reinsurance!$B$15-Reinsurance!$B$16)</f>
        <v>66122.181397612</v>
      </c>
      <c r="D57" s="12" t="n">
        <f aca="false">C57-Trajectory!$B$164</f>
        <v>29342.4904141401</v>
      </c>
    </row>
    <row r="59" customFormat="false" ht="15" hidden="false" customHeight="true" outlineLevel="0" collapsed="false">
      <c r="A59" s="7" t="s">
        <v>1836</v>
      </c>
    </row>
    <row r="62" customFormat="false" ht="15" hidden="false" customHeight="true" outlineLevel="0" collapsed="false">
      <c r="A62" s="6" t="s">
        <v>1837</v>
      </c>
    </row>
    <row r="63" customFormat="false" ht="15" hidden="false" customHeight="true" outlineLevel="0" collapsed="false">
      <c r="A63" s="7" t="s">
        <v>1838</v>
      </c>
    </row>
    <row r="64" customFormat="false" ht="15" hidden="false" customHeight="true" outlineLevel="0" collapsed="false">
      <c r="A64" s="9" t="s">
        <v>1839</v>
      </c>
    </row>
    <row r="66" customFormat="false" ht="15" hidden="false" customHeight="true" outlineLevel="0" collapsed="false">
      <c r="A66" s="3" t="s">
        <v>1840</v>
      </c>
    </row>
    <row r="67" customFormat="false" ht="15" hidden="false" customHeight="true" outlineLevel="0" collapsed="false">
      <c r="A67" s="7" t="s">
        <v>1841</v>
      </c>
    </row>
    <row r="68" customFormat="false" ht="15" hidden="false" customHeight="true" outlineLevel="0" collapsed="false">
      <c r="A68" s="7" t="s">
        <v>1842</v>
      </c>
    </row>
    <row r="69" customFormat="false" ht="15" hidden="false" customHeight="true" outlineLevel="0" collapsed="false">
      <c r="A69" s="1" t="s">
        <v>1843</v>
      </c>
      <c r="B69" s="42" t="n">
        <v>0.8952</v>
      </c>
    </row>
    <row r="70" customFormat="false" ht="15" hidden="false" customHeight="true" outlineLevel="0" collapsed="false">
      <c r="A70" s="1" t="s">
        <v>1844</v>
      </c>
      <c r="B70" s="42" t="n">
        <v>0.9083</v>
      </c>
    </row>
    <row r="71" customFormat="false" ht="15" hidden="false" customHeight="true" outlineLevel="0" collapsed="false">
      <c r="A71" s="1" t="s">
        <v>1024</v>
      </c>
      <c r="B71" s="37" t="n">
        <f aca="false">Assumptions!$B$59</f>
        <v>0.9</v>
      </c>
    </row>
    <row r="72" customFormat="false" ht="15" hidden="false" customHeight="true" outlineLevel="0" collapsed="false">
      <c r="A72" s="1" t="s">
        <v>1845</v>
      </c>
      <c r="B72" s="22" t="n">
        <v>0.0025</v>
      </c>
    </row>
    <row r="73" customFormat="false" ht="15" hidden="false" customHeight="true" outlineLevel="0" collapsed="false">
      <c r="A73" s="1" t="s">
        <v>1846</v>
      </c>
      <c r="B73" s="64" t="n">
        <f aca="false">B72*(B71-B69)/(B70-B69)</f>
        <v>0.00091603053435115</v>
      </c>
    </row>
    <row r="74" customFormat="false" ht="15" hidden="false" customHeight="true" outlineLevel="0" collapsed="false">
      <c r="A74" s="1" t="s">
        <v>1847</v>
      </c>
      <c r="B74" s="109" t="n">
        <f aca="false">B72/B73</f>
        <v>2.72916666666665</v>
      </c>
    </row>
    <row r="75" customFormat="false" ht="15" hidden="false" customHeight="true" outlineLevel="0" collapsed="false">
      <c r="A75" s="3" t="s">
        <v>511</v>
      </c>
      <c r="B75" s="9" t="str">
        <f aca="false">IF(B74&gt;2,"The addition is about three times what clearing the floor requires, so it is not a minimal buffer. Its origin is not established by the sources.","consistent with a minimal buffer")</f>
        <v>The addition is about three times what clearing the floor requires, so it is not a minimal buffer. Its origin is not established by the sources.</v>
      </c>
    </row>
    <row r="77" customFormat="false" ht="15" hidden="false" customHeight="true" outlineLevel="0" collapsed="false">
      <c r="A77" s="6" t="s">
        <v>1848</v>
      </c>
    </row>
    <row r="78" customFormat="false" ht="15" hidden="false" customHeight="true" outlineLevel="0" collapsed="false">
      <c r="A78" s="9" t="s">
        <v>1849</v>
      </c>
    </row>
    <row r="79" customFormat="false" ht="15" hidden="false" customHeight="true" outlineLevel="0" collapsed="false">
      <c r="A79" s="3" t="s">
        <v>1850</v>
      </c>
    </row>
    <row r="80" customFormat="false" ht="15" hidden="false" customHeight="true" outlineLevel="0" collapsed="false">
      <c r="A80" s="7" t="s">
        <v>1851</v>
      </c>
    </row>
    <row r="81" customFormat="false" ht="15" hidden="false" customHeight="true" outlineLevel="0" collapsed="false">
      <c r="A81" s="7" t="s">
        <v>1852</v>
      </c>
    </row>
    <row r="84" customFormat="false" ht="15" hidden="false" customHeight="true" outlineLevel="0" collapsed="false">
      <c r="A84" s="6" t="s">
        <v>1853</v>
      </c>
    </row>
    <row r="85" customFormat="false" ht="15" hidden="false" customHeight="true" outlineLevel="0" collapsed="false">
      <c r="A85" s="7" t="s">
        <v>1854</v>
      </c>
    </row>
    <row r="86" customFormat="false" ht="15" hidden="false" customHeight="true" outlineLevel="0" collapsed="false">
      <c r="A86" s="7" t="s">
        <v>1855</v>
      </c>
    </row>
    <row r="88" customFormat="false" ht="15" hidden="false" customHeight="true" outlineLevel="0" collapsed="false">
      <c r="A88" s="3" t="s">
        <v>1856</v>
      </c>
    </row>
    <row r="89" customFormat="false" ht="15" hidden="false" customHeight="true" outlineLevel="0" collapsed="false">
      <c r="A89" s="8" t="s">
        <v>1857</v>
      </c>
      <c r="B89" s="8" t="s">
        <v>1068</v>
      </c>
      <c r="C89" s="8" t="s">
        <v>1069</v>
      </c>
      <c r="D89" s="8" t="s">
        <v>1858</v>
      </c>
      <c r="E89" s="1" t="s">
        <v>1859</v>
      </c>
      <c r="F89" s="1" t="s">
        <v>1860</v>
      </c>
      <c r="G89" s="1" t="s">
        <v>1861</v>
      </c>
      <c r="H89" s="1" t="s">
        <v>1634</v>
      </c>
    </row>
    <row r="90" customFormat="false" ht="15" hidden="false" customHeight="true" outlineLevel="0" collapsed="false">
      <c r="A90" s="110" t="n">
        <v>0.03</v>
      </c>
      <c r="B90" s="48" t="n">
        <f aca="false">(Pricing!$B$8+Pricing!$B$9)/(Pricing!$B$5*(1-A90-Pricing!$B$11))</f>
        <v>12316.0657114102</v>
      </c>
      <c r="C90" s="11" t="n">
        <f aca="false">Fairness!$B$3*Pricing!$B$14/B90</f>
        <v>0.895188484380065</v>
      </c>
      <c r="D90" s="28" t="str">
        <f aca="false">IF(C90&gt;=0.9,"yes","NO")</f>
        <v>NO</v>
      </c>
      <c r="E90" s="1" t="n">
        <f aca="false">A90*B90*Pricing!$B$5</f>
        <v>3913.27258476671</v>
      </c>
      <c r="F90" s="1" t="n">
        <f aca="false">MAX(E125:E180)</f>
        <v>36779.6909834718</v>
      </c>
      <c r="G90" s="1" t="n">
        <f aca="false">IF(E90=0,"undefined — the ratio diverges as the margin goes to zero",F90/E90)</f>
        <v>9.39870407357899</v>
      </c>
      <c r="H90" s="1" t="n">
        <f aca="false">INDEX($A$125:$A$180,MATCH(MAX(E125:E180),E125:E180,0))</f>
        <v>8</v>
      </c>
    </row>
    <row r="91" customFormat="false" ht="15" hidden="false" customHeight="true" outlineLevel="0" collapsed="false">
      <c r="A91" s="111" t="n">
        <v>0.02</v>
      </c>
      <c r="B91" s="48" t="n">
        <f aca="false">(Pricing!$B$8+Pricing!$B$9)/(Pricing!$B$5*(1-A91-Pricing!$B$11))</f>
        <v>12169.4987921291</v>
      </c>
      <c r="C91" s="11" t="n">
        <f aca="false">Fairness!$B$3*Pricing!$B$14/B91</f>
        <v>0.905969948807866</v>
      </c>
      <c r="D91" s="28" t="str">
        <f aca="false">IF(C91&gt;=0.9,"yes","NO")</f>
        <v>yes</v>
      </c>
      <c r="E91" s="1" t="n">
        <f aca="false">A91*B91*Pricing!$B$5</f>
        <v>2577.80187869954</v>
      </c>
      <c r="F91" s="1" t="n">
        <f aca="false">MAX(I125:I180)</f>
        <v>38991.9922374504</v>
      </c>
      <c r="G91" s="1" t="n">
        <f aca="false">IF(E91=0,"undefined — the ratio diverges as the margin goes to zero",F91/E91)</f>
        <v>15.1260624641647</v>
      </c>
      <c r="H91" s="1" t="n">
        <f aca="false">INDEX($A$125:$A$180,MATCH(MAX(I125:I180),I125:I180,0))</f>
        <v>10</v>
      </c>
    </row>
    <row r="92" customFormat="false" ht="15" hidden="false" customHeight="true" outlineLevel="0" collapsed="false">
      <c r="A92" s="111" t="n">
        <v>0.01</v>
      </c>
      <c r="B92" s="48" t="n">
        <f aca="false">(Pricing!$B$8+Pricing!$B$9)/(Pricing!$B$5*(1-A92-Pricing!$B$11))</f>
        <v>12026.3792763724</v>
      </c>
      <c r="C92" s="11" t="n">
        <f aca="false">Fairness!$B$3*Pricing!$B$14/B92</f>
        <v>0.916751413235668</v>
      </c>
      <c r="D92" s="28" t="str">
        <f aca="false">IF(C92&gt;=0.9,"yes","NO")</f>
        <v>yes</v>
      </c>
      <c r="E92" s="1" t="n">
        <f aca="false">A92*B92*Pricing!$B$5</f>
        <v>1273.74280659106</v>
      </c>
      <c r="F92" s="1" t="n">
        <f aca="false">MAX(M125:M180)</f>
        <v>41230.9924907996</v>
      </c>
      <c r="G92" s="1" t="n">
        <f aca="false">IF(E92=0,"undefined — the ratio diverges as the margin goes to zero",F92/E92)</f>
        <v>32.3699512000753</v>
      </c>
      <c r="H92" s="1" t="n">
        <f aca="false">INDEX($A$125:$A$180,MATCH(MAX(M125:M180),M125:M180,0))</f>
        <v>12</v>
      </c>
    </row>
    <row r="93" customFormat="false" ht="15" hidden="false" customHeight="true" outlineLevel="0" collapsed="false">
      <c r="A93" s="111" t="n">
        <v>0</v>
      </c>
      <c r="B93" s="48" t="n">
        <f aca="false">(Pricing!$B$8+Pricing!$B$9)/(Pricing!$B$5*(1-A93-Pricing!$B$11))</f>
        <v>11886.5869482664</v>
      </c>
      <c r="C93" s="11" t="n">
        <f aca="false">Fairness!$B$3*Pricing!$B$14/B93</f>
        <v>0.92753287766347</v>
      </c>
      <c r="D93" s="28" t="str">
        <f aca="false">IF(C93&gt;=0.9,"yes","NO")</f>
        <v>yes</v>
      </c>
      <c r="E93" s="1" t="n">
        <f aca="false">A93*B93*Pricing!$B$5</f>
        <v>0</v>
      </c>
      <c r="F93" s="1" t="n">
        <f aca="false">MAX(Q125:Q180)</f>
        <v>43667.330478659</v>
      </c>
      <c r="G93" s="1" t="str">
        <f aca="false">IF(E93=0,"undefined — the ratio diverges as the margin goes to zero",F93/E93)</f>
        <v>undefined — the ratio diverges as the margin goes to zero</v>
      </c>
      <c r="H93" s="1" t="n">
        <f aca="false">INDEX($A$125:$A$180,MATCH(MAX(Q125:Q180),Q125:Q180,0))</f>
        <v>13</v>
      </c>
    </row>
    <row r="95" customFormat="false" ht="15" hidden="false" customHeight="true" outlineLevel="0" collapsed="false">
      <c r="A95" s="7" t="s">
        <v>1862</v>
      </c>
    </row>
    <row r="96" customFormat="false" ht="15" hidden="false" customHeight="true" outlineLevel="0" collapsed="false">
      <c r="A96" s="3" t="str">
        <f aca="false">"and it is already only "&amp;TEXT(Mutualisation!B18,"€#,##0")&amp;" per policy against a capital requirement of "&amp;TEXT(Trajectory!B164,"€#,##0")&amp;". Cutting it worsens the return on capital."</f>
        <v>and it is already only €3,913 per policy against a capital requirement of €36,780. Cutting it worsens the return on capital.</v>
      </c>
    </row>
    <row r="97" customFormat="false" ht="15" hidden="false" customHeight="true" outlineLevel="0" collapsed="false">
      <c r="A97" s="1" t="s">
        <v>1863</v>
      </c>
    </row>
    <row r="98" customFormat="false" ht="15" hidden="false" customHeight="true" outlineLevel="0" collapsed="false">
      <c r="A98" s="3" t="s">
        <v>1864</v>
      </c>
    </row>
    <row r="99" customFormat="false" ht="15" hidden="false" customHeight="true" outlineLevel="0" collapsed="false">
      <c r="A99" s="7" t="s">
        <v>1865</v>
      </c>
    </row>
    <row r="100" customFormat="false" ht="15" hidden="false" customHeight="true" outlineLevel="0" collapsed="false">
      <c r="A100" s="8" t="s">
        <v>1866</v>
      </c>
      <c r="B100" s="8" t="s">
        <v>1068</v>
      </c>
      <c r="C100" s="8" t="s">
        <v>1069</v>
      </c>
      <c r="D100" s="8" t="s">
        <v>1070</v>
      </c>
      <c r="E100" s="8" t="s">
        <v>818</v>
      </c>
    </row>
    <row r="101" customFormat="false" ht="15" hidden="false" customHeight="true" outlineLevel="0" collapsed="false">
      <c r="A101" s="1" t="str">
        <f aca="false">Commission_Models!$A$6</f>
        <v>Heaped + trail</v>
      </c>
      <c r="B101" s="48" t="n">
        <f aca="false">Commission_Models!C133</f>
        <v>12316.0657114102</v>
      </c>
      <c r="C101" s="11" t="n">
        <f aca="false">Commission_Models!C134</f>
        <v>0.895188484380065</v>
      </c>
      <c r="D101" s="5" t="str">
        <f aca="false">Commission_Models!C136</f>
        <v>NO — breaches the floor</v>
      </c>
      <c r="E101" s="12" t="n">
        <f aca="false">Commission_Models!C137</f>
        <v>36744.4760923207</v>
      </c>
    </row>
    <row r="102" customFormat="false" ht="15" hidden="false" customHeight="true" outlineLevel="0" collapsed="false">
      <c r="A102" s="1" t="str">
        <f aca="false">Commission_Models!$A$7</f>
        <v>Zero commission</v>
      </c>
      <c r="B102" s="48" t="n">
        <f aca="false">Commission_Models!D133</f>
        <v>10542.3394446662</v>
      </c>
      <c r="C102" s="11" t="n">
        <f aca="false">Commission_Models!D134</f>
        <v>1.04580204949677</v>
      </c>
      <c r="D102" s="5" t="str">
        <f aca="false">Commission_Models!D136</f>
        <v>yes</v>
      </c>
      <c r="E102" s="12" t="n">
        <f aca="false">Commission_Models!D137</f>
        <v>37692.9451221941</v>
      </c>
    </row>
    <row r="103" customFormat="false" ht="15" hidden="false" customHeight="true" outlineLevel="0" collapsed="false">
      <c r="A103" s="1" t="str">
        <f aca="false">Commission_Models!$A$8</f>
        <v>Level 20% flat</v>
      </c>
      <c r="B103" s="48" t="n">
        <f aca="false">Commission_Models!E133</f>
        <v>13280.6094302938</v>
      </c>
      <c r="C103" s="11" t="n">
        <f aca="false">Commission_Models!E134</f>
        <v>0.830172760940735</v>
      </c>
      <c r="D103" s="5" t="str">
        <f aca="false">Commission_Models!E136</f>
        <v>NO — breaches the floor</v>
      </c>
      <c r="E103" s="12" t="n">
        <f aca="false">Commission_Models!E137</f>
        <v>36228.7032459279</v>
      </c>
    </row>
    <row r="104" customFormat="false" ht="15" hidden="false" customHeight="true" outlineLevel="0" collapsed="false">
      <c r="A104" s="1" t="str">
        <f aca="false">Commission_Models!$A$9</f>
        <v>Industry reference</v>
      </c>
      <c r="B104" s="48" t="n">
        <f aca="false">Commission_Models!F133</f>
        <v>12690.3896249821</v>
      </c>
      <c r="C104" s="11" t="n">
        <f aca="false">Commission_Models!F134</f>
        <v>0.868783427737994</v>
      </c>
      <c r="D104" s="5" t="str">
        <f aca="false">Commission_Models!F136</f>
        <v>NO — breaches the floor</v>
      </c>
      <c r="E104" s="12" t="n">
        <f aca="false">Commission_Models!F137</f>
        <v>36544.3129409818</v>
      </c>
    </row>
    <row r="106" customFormat="false" ht="15" hidden="false" customHeight="true" outlineLevel="0" collapsed="false">
      <c r="A106" s="6" t="s">
        <v>1867</v>
      </c>
    </row>
    <row r="107" customFormat="false" ht="15" hidden="false" customHeight="true" outlineLevel="0" collapsed="false">
      <c r="A107" s="9" t="s">
        <v>1868</v>
      </c>
    </row>
    <row r="108" customFormat="false" ht="15" hidden="false" customHeight="true" outlineLevel="0" collapsed="false">
      <c r="A108" s="7" t="s">
        <v>1869</v>
      </c>
    </row>
    <row r="109" customFormat="false" ht="15" hidden="false" customHeight="true" outlineLevel="0" collapsed="false">
      <c r="A109" s="3" t="s">
        <v>1870</v>
      </c>
    </row>
    <row r="119" customFormat="false" ht="15" hidden="false" customHeight="true" outlineLevel="0" collapsed="false">
      <c r="A119" s="1" t="s">
        <v>1871</v>
      </c>
    </row>
    <row r="120" customFormat="false" ht="15" hidden="false" customHeight="true" outlineLevel="0" collapsed="false">
      <c r="A120" s="1" t="s">
        <v>1872</v>
      </c>
    </row>
    <row r="121" customFormat="false" ht="15" hidden="false" customHeight="true" outlineLevel="0" collapsed="false">
      <c r="A121" s="1" t="s">
        <v>1873</v>
      </c>
    </row>
    <row r="122" customFormat="false" ht="15" hidden="false" customHeight="true" outlineLevel="0" collapsed="false">
      <c r="A122" s="1" t="s">
        <v>1874</v>
      </c>
    </row>
    <row r="124" customFormat="false" ht="15" hidden="false" customHeight="true" outlineLevel="0" collapsed="false">
      <c r="A124" s="1" t="s">
        <v>1875</v>
      </c>
      <c r="B124" s="1" t="s">
        <v>1876</v>
      </c>
      <c r="C124" s="1" t="s">
        <v>1877</v>
      </c>
      <c r="D124" s="1" t="s">
        <v>1878</v>
      </c>
      <c r="E124" s="1" t="s">
        <v>1879</v>
      </c>
      <c r="F124" s="1" t="s">
        <v>1880</v>
      </c>
      <c r="G124" s="1" t="s">
        <v>1881</v>
      </c>
      <c r="H124" s="1" t="s">
        <v>1882</v>
      </c>
      <c r="I124" s="1" t="s">
        <v>1883</v>
      </c>
      <c r="J124" s="1" t="s">
        <v>1884</v>
      </c>
      <c r="K124" s="1" t="s">
        <v>1885</v>
      </c>
      <c r="L124" s="1" t="s">
        <v>1886</v>
      </c>
      <c r="M124" s="1" t="s">
        <v>1887</v>
      </c>
      <c r="N124" s="1" t="s">
        <v>1888</v>
      </c>
      <c r="O124" s="1" t="s">
        <v>1889</v>
      </c>
      <c r="P124" s="1" t="s">
        <v>1890</v>
      </c>
      <c r="Q124" s="1" t="s">
        <v>1891</v>
      </c>
      <c r="R124" s="1" t="s">
        <v>812</v>
      </c>
      <c r="S124" s="1" t="s">
        <v>1140</v>
      </c>
      <c r="T124" s="1" t="s">
        <v>693</v>
      </c>
    </row>
    <row r="125" customFormat="false" ht="15" hidden="false" customHeight="true" outlineLevel="0" collapsed="false">
      <c r="A125" s="1" t="n">
        <v>0</v>
      </c>
      <c r="B125" s="1" t="n">
        <f aca="false">($B$90*(SUMIFS(Projection!$I$4:$I$59,Projection!$B$4:$B$59,"&lt;"&amp;(Assumptions!$B$4+0))-SUMIFS(Commission_Models!$G$15:$G$70,Commission_Models!$A$15:$A$70,"&lt;"&amp;(Assumptions!$B$4+0)))-SUMIFS(Projection!$L$4:$L$59,Projection!$B$4:$B$59,"&lt;"&amp;(Assumptions!$B$4+0))-SUMIFS(Projection!$K$4:$K$59,Projection!$B$4:$B$59,"&lt;"&amp;(Assumptions!$B$4+0)))/Discount!C4</f>
        <v>0</v>
      </c>
      <c r="C125" s="1" t="n">
        <f aca="false">(SUMIFS(Projection!$L$4:$L$59,Projection!$B$4:$B$59,"&gt;="&amp;(Assumptions!$B$4+0))+$B$90*SUMIFS(Commission_Models!$G$15:$G$70,Commission_Models!$A$15:$A$70,"&gt;="&amp;(Assumptions!$B$4+0))-$B$90*SUMIFS(Projection!$I$4:$I$59,Projection!$B$4:$B$59,"&gt;="&amp;(Assumptions!$B$4+0))+SUMIFS(Projection!$K$4:$K$59,Projection!$B$4:$B$59,"&gt;="&amp;(Assumptions!$B$4+0)))/Discount!C4</f>
        <v>-3913.27258476669</v>
      </c>
      <c r="D125" s="1" t="n">
        <f aca="false">B125-C125</f>
        <v>3913.27258476669</v>
      </c>
      <c r="E125" s="1" t="n">
        <f aca="false">IF(T125&lt;=0,0,MAX(0,(R125+S125-D125)/T125))</f>
        <v>33507.0320180323</v>
      </c>
      <c r="F125" s="1" t="n">
        <f aca="false">($B$91*(SUMIFS(Projection!$I$4:$I$59,Projection!$B$4:$B$59,"&lt;"&amp;(Assumptions!$B$4+0))-SUMIFS(Commission_Models!$G$15:$G$70,Commission_Models!$A$15:$A$70,"&lt;"&amp;(Assumptions!$B$4+0)))-SUMIFS(Projection!$L$4:$L$59,Projection!$B$4:$B$59,"&lt;"&amp;(Assumptions!$B$4+0))-SUMIFS(Projection!$K$4:$K$59,Projection!$B$4:$B$59,"&lt;"&amp;(Assumptions!$B$4+0)))/Discount!C4</f>
        <v>0</v>
      </c>
      <c r="G125" s="1" t="n">
        <f aca="false">(SUMIFS(Projection!$L$4:$L$59,Projection!$B$4:$B$59,"&gt;="&amp;(Assumptions!$B$4+0))+$B$91*SUMIFS(Commission_Models!$G$15:$G$70,Commission_Models!$A$15:$A$70,"&gt;="&amp;(Assumptions!$B$4+0))-$B$91*SUMIFS(Projection!$I$4:$I$59,Projection!$B$4:$B$59,"&gt;="&amp;(Assumptions!$B$4+0))+SUMIFS(Projection!$K$4:$K$59,Projection!$B$4:$B$59,"&gt;="&amp;(Assumptions!$B$4+0)))/Discount!C4</f>
        <v>-2577.80187869955</v>
      </c>
      <c r="H125" s="1" t="n">
        <f aca="false">F125-G125</f>
        <v>2577.80187869955</v>
      </c>
      <c r="I125" s="1" t="n">
        <f aca="false">IF(T125&lt;=0,0,MAX(0,(R125+S125-H125)/T125))</f>
        <v>34842.5027240995</v>
      </c>
      <c r="J125" s="1" t="n">
        <f aca="false">($B$92*(SUMIFS(Projection!$I$4:$I$59,Projection!$B$4:$B$59,"&lt;"&amp;(Assumptions!$B$4+0))-SUMIFS(Commission_Models!$G$15:$G$70,Commission_Models!$A$15:$A$70,"&lt;"&amp;(Assumptions!$B$4+0)))-SUMIFS(Projection!$L$4:$L$59,Projection!$B$4:$B$59,"&lt;"&amp;(Assumptions!$B$4+0))-SUMIFS(Projection!$K$4:$K$59,Projection!$B$4:$B$59,"&lt;"&amp;(Assumptions!$B$4+0)))/Discount!C4</f>
        <v>0</v>
      </c>
      <c r="K125" s="1" t="n">
        <f aca="false">(SUMIFS(Projection!$L$4:$L$59,Projection!$B$4:$B$59,"&gt;="&amp;(Assumptions!$B$4+0))+$B$92*SUMIFS(Commission_Models!$G$15:$G$70,Commission_Models!$A$15:$A$70,"&gt;="&amp;(Assumptions!$B$4+0))-$B$92*SUMIFS(Projection!$I$4:$I$59,Projection!$B$4:$B$59,"&gt;="&amp;(Assumptions!$B$4+0))+SUMIFS(Projection!$K$4:$K$59,Projection!$B$4:$B$59,"&gt;="&amp;(Assumptions!$B$4+0)))/Discount!C4</f>
        <v>-1273.74280659106</v>
      </c>
      <c r="L125" s="1" t="n">
        <f aca="false">J125-K125</f>
        <v>1273.74280659106</v>
      </c>
      <c r="M125" s="1" t="n">
        <f aca="false">IF(T125&lt;=0,0,MAX(0,(R125+S125-L125)/T125))</f>
        <v>36146.561796208</v>
      </c>
      <c r="N125" s="1" t="n">
        <f aca="false">($B$93*(SUMIFS(Projection!$I$4:$I$59,Projection!$B$4:$B$59,"&lt;"&amp;(Assumptions!$B$4+0))-SUMIFS(Commission_Models!$G$15:$G$70,Commission_Models!$A$15:$A$70,"&lt;"&amp;(Assumptions!$B$4+0)))-SUMIFS(Projection!$L$4:$L$59,Projection!$B$4:$B$59,"&lt;"&amp;(Assumptions!$B$4+0))-SUMIFS(Projection!$K$4:$K$59,Projection!$B$4:$B$59,"&lt;"&amp;(Assumptions!$B$4+0)))/Discount!C4</f>
        <v>0</v>
      </c>
      <c r="O125" s="1" t="n">
        <f aca="false">(SUMIFS(Projection!$L$4:$L$59,Projection!$B$4:$B$59,"&gt;="&amp;(Assumptions!$B$4+0))+$B$93*SUMIFS(Commission_Models!$G$15:$G$70,Commission_Models!$A$15:$A$70,"&gt;="&amp;(Assumptions!$B$4+0))-$B$93*SUMIFS(Projection!$I$4:$I$59,Projection!$B$4:$B$59,"&gt;="&amp;(Assumptions!$B$4+0))+SUMIFS(Projection!$K$4:$K$59,Projection!$B$4:$B$59,"&gt;="&amp;(Assumptions!$B$4+0)))/Discount!C4</f>
        <v>0</v>
      </c>
      <c r="P125" s="1" t="n">
        <f aca="false">N125-O125</f>
        <v>0</v>
      </c>
      <c r="Q125" s="1" t="n">
        <f aca="false">IF(T125&lt;=0,0,MAX(0,(R125+S125-P125)/T125))</f>
        <v>37420.304602799</v>
      </c>
      <c r="R125" s="72" t="n">
        <f aca="false">RiskMargin!J4</f>
        <v>16652.8497463172</v>
      </c>
      <c r="S125" s="72" t="n">
        <f aca="false">RiskMargin!L4</f>
        <v>20767.4548564818</v>
      </c>
      <c r="T125" s="73" t="n">
        <f aca="false">Projection!F4</f>
        <v>1</v>
      </c>
    </row>
    <row r="126" customFormat="false" ht="15" hidden="false" customHeight="true" outlineLevel="0" collapsed="false">
      <c r="A126" s="1" t="n">
        <v>1</v>
      </c>
      <c r="B126" s="1" t="n">
        <f aca="false">($B$90*(SUMIFS(Projection!$I$4:$I$59,Projection!$B$4:$B$59,"&lt;"&amp;(Assumptions!$B$4+1))-SUMIFS(Commission_Models!$G$15:$G$70,Commission_Models!$A$15:$A$70,"&lt;"&amp;(Assumptions!$B$4+1)))-SUMIFS(Projection!$L$4:$L$59,Projection!$B$4:$B$59,"&lt;"&amp;(Assumptions!$B$4+1))-SUMIFS(Projection!$K$4:$K$59,Projection!$B$4:$B$59,"&lt;"&amp;(Assumptions!$B$4+1)))/Discount!C5</f>
        <v>-84.12872</v>
      </c>
      <c r="C126" s="1" t="n">
        <f aca="false">(SUMIFS(Projection!$L$4:$L$59,Projection!$B$4:$B$59,"&gt;="&amp;(Assumptions!$B$4+1))+$B$90*SUMIFS(Commission_Models!$G$15:$G$70,Commission_Models!$A$15:$A$70,"&gt;="&amp;(Assumptions!$B$4+1))-$B$90*SUMIFS(Projection!$I$4:$I$59,Projection!$B$4:$B$59,"&gt;="&amp;(Assumptions!$B$4+1))+SUMIFS(Projection!$K$4:$K$59,Projection!$B$4:$B$59,"&gt;="&amp;(Assumptions!$B$4+1)))/Discount!C5</f>
        <v>-4098.98986106723</v>
      </c>
      <c r="D126" s="1" t="n">
        <f aca="false">B126-C126</f>
        <v>4014.86114106723</v>
      </c>
      <c r="E126" s="1" t="n">
        <f aca="false">IF(T126&lt;=0,0,MAX(0,(R126+S126-D126)/T126))</f>
        <v>34924.1602283806</v>
      </c>
      <c r="F126" s="1" t="n">
        <f aca="false">($B$91*(SUMIFS(Projection!$I$4:$I$59,Projection!$B$4:$B$59,"&lt;"&amp;(Assumptions!$B$4+1))-SUMIFS(Commission_Models!$G$15:$G$70,Commission_Models!$A$15:$A$70,"&lt;"&amp;(Assumptions!$B$4+1)))-SUMIFS(Projection!$L$4:$L$59,Projection!$B$4:$B$59,"&lt;"&amp;(Assumptions!$B$4+1))-SUMIFS(Projection!$K$4:$K$59,Projection!$B$4:$B$59,"&lt;"&amp;(Assumptions!$B$4+1)))/Discount!C5</f>
        <v>-84.12872</v>
      </c>
      <c r="G126" s="1" t="n">
        <f aca="false">(SUMIFS(Projection!$L$4:$L$59,Projection!$B$4:$B$59,"&gt;="&amp;(Assumptions!$B$4+1))+$B$91*SUMIFS(Commission_Models!$G$15:$G$70,Commission_Models!$A$15:$A$70,"&gt;="&amp;(Assumptions!$B$4+1))-$B$91*SUMIFS(Projection!$I$4:$I$59,Projection!$B$4:$B$59,"&gt;="&amp;(Assumptions!$B$4+1))+SUMIFS(Projection!$K$4:$K$59,Projection!$B$4:$B$59,"&gt;="&amp;(Assumptions!$B$4+1)))/Discount!C5</f>
        <v>-2728.85033547059</v>
      </c>
      <c r="H126" s="1" t="n">
        <f aca="false">F126-G126</f>
        <v>2644.72161547059</v>
      </c>
      <c r="I126" s="1" t="n">
        <f aca="false">IF(T126&lt;=0,0,MAX(0,(R126+S126-H126)/T126))</f>
        <v>36359.7184519095</v>
      </c>
      <c r="J126" s="1" t="n">
        <f aca="false">($B$92*(SUMIFS(Projection!$I$4:$I$59,Projection!$B$4:$B$59,"&lt;"&amp;(Assumptions!$B$4+1))-SUMIFS(Commission_Models!$G$15:$G$70,Commission_Models!$A$15:$A$70,"&lt;"&amp;(Assumptions!$B$4+1)))-SUMIFS(Projection!$L$4:$L$59,Projection!$B$4:$B$59,"&lt;"&amp;(Assumptions!$B$4+1))-SUMIFS(Projection!$K$4:$K$59,Projection!$B$4:$B$59,"&lt;"&amp;(Assumptions!$B$4+1)))/Discount!C5</f>
        <v>-84.12872</v>
      </c>
      <c r="K126" s="1" t="n">
        <f aca="false">(SUMIFS(Projection!$L$4:$L$59,Projection!$B$4:$B$59,"&gt;="&amp;(Assumptions!$B$4+1))+$B$92*SUMIFS(Commission_Models!$G$15:$G$70,Commission_Models!$A$15:$A$70,"&gt;="&amp;(Assumptions!$B$4+1))-$B$92*SUMIFS(Projection!$I$4:$I$59,Projection!$B$4:$B$59,"&gt;="&amp;(Assumptions!$B$4+1))+SUMIFS(Projection!$K$4:$K$59,Projection!$B$4:$B$59,"&gt;="&amp;(Assumptions!$B$4+1)))/Discount!C5</f>
        <v>-1390.93788985015</v>
      </c>
      <c r="L126" s="1" t="n">
        <f aca="false">J126-K126</f>
        <v>1306.80916985015</v>
      </c>
      <c r="M126" s="1" t="n">
        <f aca="false">IF(T126&lt;=0,0,MAX(0,(R126+S126-L126)/T126))</f>
        <v>37761.510880922</v>
      </c>
      <c r="N126" s="1" t="n">
        <f aca="false">($B$93*(SUMIFS(Projection!$I$4:$I$59,Projection!$B$4:$B$59,"&lt;"&amp;(Assumptions!$B$4+1))-SUMIFS(Commission_Models!$G$15:$G$70,Commission_Models!$A$15:$A$70,"&lt;"&amp;(Assumptions!$B$4+1)))-SUMIFS(Projection!$L$4:$L$59,Projection!$B$4:$B$59,"&lt;"&amp;(Assumptions!$B$4+1))-SUMIFS(Projection!$K$4:$K$59,Projection!$B$4:$B$59,"&lt;"&amp;(Assumptions!$B$4+1)))/Discount!C5</f>
        <v>-84.12872</v>
      </c>
      <c r="O126" s="1" t="n">
        <f aca="false">(SUMIFS(Projection!$L$4:$L$59,Projection!$B$4:$B$59,"&gt;="&amp;(Assumptions!$B$4+1))+$B$93*SUMIFS(Commission_Models!$G$15:$G$70,Commission_Models!$A$15:$A$70,"&gt;="&amp;(Assumptions!$B$4+1))-$B$93*SUMIFS(Projection!$I$4:$I$59,Projection!$B$4:$B$59,"&gt;="&amp;(Assumptions!$B$4+1))+SUMIFS(Projection!$K$4:$K$59,Projection!$B$4:$B$59,"&gt;="&amp;(Assumptions!$B$4+1)))/Discount!C5</f>
        <v>-84.1287200000149</v>
      </c>
      <c r="P126" s="1" t="n">
        <f aca="false">N126-O126</f>
        <v>1.49213974509621E-011</v>
      </c>
      <c r="Q126" s="1" t="n">
        <f aca="false">IF(T126&lt;=0,0,MAX(0,(R126+S126-P126)/T126))</f>
        <v>39130.7149767928</v>
      </c>
      <c r="R126" s="72" t="n">
        <f aca="false">RiskMargin!J5</f>
        <v>17066.051332807</v>
      </c>
      <c r="S126" s="72" t="n">
        <f aca="false">RiskMargin!L5</f>
        <v>20281.4685210122</v>
      </c>
      <c r="T126" s="73" t="n">
        <f aca="false">Projection!F5</f>
        <v>0.954429784274803</v>
      </c>
    </row>
    <row r="127" customFormat="false" ht="15" hidden="false" customHeight="true" outlineLevel="0" collapsed="false">
      <c r="A127" s="1" t="n">
        <v>2</v>
      </c>
      <c r="B127" s="1" t="n">
        <f aca="false">($B$90*(SUMIFS(Projection!$I$4:$I$59,Projection!$B$4:$B$59,"&lt;"&amp;(Assumptions!$B$4+2))-SUMIFS(Commission_Models!$G$15:$G$70,Commission_Models!$A$15:$A$70,"&lt;"&amp;(Assumptions!$B$4+2)))-SUMIFS(Projection!$L$4:$L$59,Projection!$B$4:$B$59,"&lt;"&amp;(Assumptions!$B$4+2))-SUMIFS(Projection!$K$4:$K$59,Projection!$B$4:$B$59,"&lt;"&amp;(Assumptions!$B$4+2)))/Discount!C6</f>
        <v>11294.9638842895</v>
      </c>
      <c r="C127" s="1" t="n">
        <f aca="false">(SUMIFS(Projection!$L$4:$L$59,Projection!$B$4:$B$59,"&gt;="&amp;(Assumptions!$B$4+2))+$B$90*SUMIFS(Commission_Models!$G$15:$G$70,Commission_Models!$A$15:$A$70,"&gt;="&amp;(Assumptions!$B$4+2))-$B$90*SUMIFS(Projection!$I$4:$I$59,Projection!$B$4:$B$59,"&gt;="&amp;(Assumptions!$B$4+2))+SUMIFS(Projection!$K$4:$K$59,Projection!$B$4:$B$59,"&gt;="&amp;(Assumptions!$B$4+2)))/Discount!C6</f>
        <v>7173.46767912099</v>
      </c>
      <c r="D127" s="1" t="n">
        <f aca="false">B127-C127</f>
        <v>4121.49620516852</v>
      </c>
      <c r="E127" s="1" t="n">
        <f aca="false">IF(T127&lt;=0,0,MAX(0,(R127+S127-D127)/T127))</f>
        <v>35622.4800804893</v>
      </c>
      <c r="F127" s="1" t="n">
        <f aca="false">($B$91*(SUMIFS(Projection!$I$4:$I$59,Projection!$B$4:$B$59,"&lt;"&amp;(Assumptions!$B$4+2))-SUMIFS(Commission_Models!$G$15:$G$70,Commission_Models!$A$15:$A$70,"&lt;"&amp;(Assumptions!$B$4+2)))-SUMIFS(Projection!$L$4:$L$59,Projection!$B$4:$B$59,"&lt;"&amp;(Assumptions!$B$4+2))-SUMIFS(Projection!$K$4:$K$59,Projection!$B$4:$B$59,"&lt;"&amp;(Assumptions!$B$4+2)))/Discount!C6</f>
        <v>11158.5407813319</v>
      </c>
      <c r="G127" s="1" t="n">
        <f aca="false">(SUMIFS(Projection!$L$4:$L$59,Projection!$B$4:$B$59,"&gt;="&amp;(Assumptions!$B$4+2))+$B$91*SUMIFS(Commission_Models!$G$15:$G$70,Commission_Models!$A$15:$A$70,"&gt;="&amp;(Assumptions!$B$4+2))-$B$91*SUMIFS(Projection!$I$4:$I$59,Projection!$B$4:$B$59,"&gt;="&amp;(Assumptions!$B$4+2))+SUMIFS(Projection!$K$4:$K$59,Projection!$B$4:$B$59,"&gt;="&amp;(Assumptions!$B$4+2)))/Discount!C6</f>
        <v>8443.57512775228</v>
      </c>
      <c r="H127" s="1" t="n">
        <f aca="false">F127-G127</f>
        <v>2714.96565357965</v>
      </c>
      <c r="I127" s="1" t="n">
        <f aca="false">IF(T127&lt;=0,0,MAX(0,(R127+S127-H127)/T127))</f>
        <v>37137.4002605879</v>
      </c>
      <c r="J127" s="1" t="n">
        <f aca="false">($B$92*(SUMIFS(Projection!$I$4:$I$59,Projection!$B$4:$B$59,"&lt;"&amp;(Assumptions!$B$4+2))-SUMIFS(Commission_Models!$G$15:$G$70,Commission_Models!$A$15:$A$70,"&lt;"&amp;(Assumptions!$B$4+2)))-SUMIFS(Projection!$L$4:$L$59,Projection!$B$4:$B$59,"&lt;"&amp;(Assumptions!$B$4+2))-SUMIFS(Projection!$K$4:$K$59,Projection!$B$4:$B$59,"&lt;"&amp;(Assumptions!$B$4+2)))/Discount!C6</f>
        <v>11025.3264889863</v>
      </c>
      <c r="K127" s="1" t="n">
        <f aca="false">(SUMIFS(Projection!$L$4:$L$59,Projection!$B$4:$B$59,"&gt;="&amp;(Assumptions!$B$4+2))+$B$92*SUMIFS(Commission_Models!$G$15:$G$70,Commission_Models!$A$15:$A$70,"&gt;="&amp;(Assumptions!$B$4+2))-$B$92*SUMIFS(Projection!$I$4:$I$59,Projection!$B$4:$B$59,"&gt;="&amp;(Assumptions!$B$4+2))+SUMIFS(Projection!$K$4:$K$59,Projection!$B$4:$B$59,"&gt;="&amp;(Assumptions!$B$4+2)))/Discount!C6</f>
        <v>9683.8083529481</v>
      </c>
      <c r="L127" s="1" t="n">
        <f aca="false">J127-K127</f>
        <v>1341.51813603823</v>
      </c>
      <c r="M127" s="1" t="n">
        <f aca="false">IF(T127&lt;=0,0,MAX(0,(R127+S127-L127)/T127))</f>
        <v>38616.6879719564</v>
      </c>
      <c r="N127" s="1" t="n">
        <f aca="false">($B$93*(SUMIFS(Projection!$I$4:$I$59,Projection!$B$4:$B$59,"&lt;"&amp;(Assumptions!$B$4+2))-SUMIFS(Commission_Models!$G$15:$G$70,Commission_Models!$A$15:$A$70,"&lt;"&amp;(Assumptions!$B$4+2)))-SUMIFS(Projection!$L$4:$L$59,Projection!$B$4:$B$59,"&lt;"&amp;(Assumptions!$B$4+2))-SUMIFS(Projection!$K$4:$K$59,Projection!$B$4:$B$59,"&lt;"&amp;(Assumptions!$B$4+2)))/Discount!C6</f>
        <v>10895.2091114537</v>
      </c>
      <c r="O127" s="1" t="n">
        <f aca="false">(SUMIFS(Projection!$L$4:$L$59,Projection!$B$4:$B$59,"&gt;="&amp;(Assumptions!$B$4+2))+$B$93*SUMIFS(Commission_Models!$G$15:$G$70,Commission_Models!$A$15:$A$70,"&gt;="&amp;(Assumptions!$B$4+2))-$B$93*SUMIFS(Projection!$I$4:$I$59,Projection!$B$4:$B$59,"&gt;="&amp;(Assumptions!$B$4+2))+SUMIFS(Projection!$K$4:$K$59,Projection!$B$4:$B$59,"&gt;="&amp;(Assumptions!$B$4+2)))/Discount!C6</f>
        <v>10895.2091114537</v>
      </c>
      <c r="P127" s="1" t="n">
        <f aca="false">N127-O127</f>
        <v>0</v>
      </c>
      <c r="Q127" s="1" t="n">
        <f aca="false">IF(T127&lt;=0,0,MAX(0,(R127+S127-P127)/T127))</f>
        <v>40061.5857695598</v>
      </c>
      <c r="R127" s="72" t="n">
        <f aca="false">RiskMargin!J6</f>
        <v>17426.2697968519</v>
      </c>
      <c r="S127" s="72" t="n">
        <f aca="false">RiskMargin!L6</f>
        <v>19768.9864748786</v>
      </c>
      <c r="T127" s="73" t="n">
        <f aca="false">Projection!F6</f>
        <v>0.928451921141693</v>
      </c>
    </row>
    <row r="128" customFormat="false" ht="15" hidden="false" customHeight="true" outlineLevel="0" collapsed="false">
      <c r="A128" s="1" t="n">
        <v>3</v>
      </c>
      <c r="B128" s="1" t="n">
        <f aca="false">($B$90*(SUMIFS(Projection!$I$4:$I$59,Projection!$B$4:$B$59,"&lt;"&amp;(Assumptions!$B$4+3))-SUMIFS(Commission_Models!$G$15:$G$70,Commission_Models!$A$15:$A$70,"&lt;"&amp;(Assumptions!$B$4+3)))-SUMIFS(Projection!$L$4:$L$59,Projection!$B$4:$B$59,"&lt;"&amp;(Assumptions!$B$4+3))-SUMIFS(Projection!$K$4:$K$59,Projection!$B$4:$B$59,"&lt;"&amp;(Assumptions!$B$4+3)))/Discount!C7</f>
        <v>22656.5541658744</v>
      </c>
      <c r="C128" s="1" t="n">
        <f aca="false">(SUMIFS(Projection!$L$4:$L$59,Projection!$B$4:$B$59,"&gt;="&amp;(Assumptions!$B$4+3))+$B$90*SUMIFS(Commission_Models!$G$15:$G$70,Commission_Models!$A$15:$A$70,"&gt;="&amp;(Assumptions!$B$4+3))-$B$90*SUMIFS(Projection!$I$4:$I$59,Projection!$B$4:$B$59,"&gt;="&amp;(Assumptions!$B$4+3))+SUMIFS(Projection!$K$4:$K$59,Projection!$B$4:$B$59,"&gt;="&amp;(Assumptions!$B$4+3)))/Discount!C7</f>
        <v>18427.0747553113</v>
      </c>
      <c r="D128" s="1" t="n">
        <f aca="false">B128-C128</f>
        <v>4229.47941056314</v>
      </c>
      <c r="E128" s="1" t="n">
        <f aca="false">IF(T128&lt;=0,0,MAX(0,(R128+S128-D128)/T128))</f>
        <v>35966.8389814298</v>
      </c>
      <c r="F128" s="1" t="n">
        <f aca="false">($B$91*(SUMIFS(Projection!$I$4:$I$59,Projection!$B$4:$B$59,"&lt;"&amp;(Assumptions!$B$4+3))-SUMIFS(Commission_Models!$G$15:$G$70,Commission_Models!$A$15:$A$70,"&lt;"&amp;(Assumptions!$B$4+3)))-SUMIFS(Projection!$L$4:$L$59,Projection!$B$4:$B$59,"&lt;"&amp;(Assumptions!$B$4+3))-SUMIFS(Projection!$K$4:$K$59,Projection!$B$4:$B$59,"&lt;"&amp;(Assumptions!$B$4+3)))/Discount!C7</f>
        <v>22383.893416808</v>
      </c>
      <c r="G128" s="1" t="n">
        <f aca="false">(SUMIFS(Projection!$L$4:$L$59,Projection!$B$4:$B$59,"&gt;="&amp;(Assumptions!$B$4+3))+$B$91*SUMIFS(Commission_Models!$G$15:$G$70,Commission_Models!$A$15:$A$70,"&gt;="&amp;(Assumptions!$B$4+3))-$B$91*SUMIFS(Projection!$I$4:$I$59,Projection!$B$4:$B$59,"&gt;="&amp;(Assumptions!$B$4+3))+SUMIFS(Projection!$K$4:$K$59,Projection!$B$4:$B$59,"&gt;="&amp;(Assumptions!$B$4+3)))/Discount!C7</f>
        <v>19597.79565993</v>
      </c>
      <c r="H128" s="1" t="n">
        <f aca="false">F128-G128</f>
        <v>2786.09775687802</v>
      </c>
      <c r="I128" s="1" t="n">
        <f aca="false">IF(T128&lt;=0,0,MAX(0,(R128+S128-H128)/T128))</f>
        <v>37552.1739103926</v>
      </c>
      <c r="J128" s="1" t="n">
        <f aca="false">($B$92*(SUMIFS(Projection!$I$4:$I$59,Projection!$B$4:$B$59,"&lt;"&amp;(Assumptions!$B$4+3))-SUMIFS(Commission_Models!$G$15:$G$70,Commission_Models!$A$15:$A$70,"&lt;"&amp;(Assumptions!$B$4+3)))-SUMIFS(Projection!$L$4:$L$59,Projection!$B$4:$B$59,"&lt;"&amp;(Assumptions!$B$4+3))-SUMIFS(Projection!$K$4:$K$59,Projection!$B$4:$B$59,"&lt;"&amp;(Assumptions!$B$4+3)))/Discount!C7</f>
        <v>22117.6459268312</v>
      </c>
      <c r="K128" s="1" t="n">
        <f aca="false">(SUMIFS(Projection!$L$4:$L$59,Projection!$B$4:$B$59,"&gt;="&amp;(Assumptions!$B$4+3))+$B$92*SUMIFS(Commission_Models!$G$15:$G$70,Commission_Models!$A$15:$A$70,"&gt;="&amp;(Assumptions!$B$4+3))-$B$92*SUMIFS(Projection!$I$4:$I$59,Projection!$B$4:$B$59,"&gt;="&amp;(Assumptions!$B$4+3))+SUMIFS(Projection!$K$4:$K$59,Projection!$B$4:$B$59,"&gt;="&amp;(Assumptions!$B$4+3)))/Discount!C7</f>
        <v>20740.9800140602</v>
      </c>
      <c r="L128" s="1" t="n">
        <f aca="false">J128-K128</f>
        <v>1376.66591277105</v>
      </c>
      <c r="M128" s="1" t="n">
        <f aca="false">IF(T128&lt;=0,0,MAX(0,(R128+S128-L128)/T128))</f>
        <v>39100.2201438683</v>
      </c>
      <c r="N128" s="1" t="n">
        <f aca="false">($B$93*(SUMIFS(Projection!$I$4:$I$59,Projection!$B$4:$B$59,"&lt;"&amp;(Assumptions!$B$4+3))-SUMIFS(Commission_Models!$G$15:$G$70,Commission_Models!$A$15:$A$70,"&lt;"&amp;(Assumptions!$B$4+3)))-SUMIFS(Projection!$L$4:$L$59,Projection!$B$4:$B$59,"&lt;"&amp;(Assumptions!$B$4+3))-SUMIFS(Projection!$K$4:$K$59,Projection!$B$4:$B$59,"&lt;"&amp;(Assumptions!$B$4+3)))/Discount!C7</f>
        <v>21857.5880564599</v>
      </c>
      <c r="O128" s="1" t="n">
        <f aca="false">(SUMIFS(Projection!$L$4:$L$59,Projection!$B$4:$B$59,"&gt;="&amp;(Assumptions!$B$4+3))+$B$93*SUMIFS(Commission_Models!$G$15:$G$70,Commission_Models!$A$15:$A$70,"&gt;="&amp;(Assumptions!$B$4+3))-$B$93*SUMIFS(Projection!$I$4:$I$59,Projection!$B$4:$B$59,"&gt;="&amp;(Assumptions!$B$4+3))+SUMIFS(Projection!$K$4:$K$59,Projection!$B$4:$B$59,"&gt;="&amp;(Assumptions!$B$4+3)))/Discount!C7</f>
        <v>21857.5880564599</v>
      </c>
      <c r="P128" s="1" t="n">
        <f aca="false">N128-O128</f>
        <v>0</v>
      </c>
      <c r="Q128" s="1" t="n">
        <f aca="false">IF(T128&lt;=0,0,MAX(0,(R128+S128-P128)/T128))</f>
        <v>40612.2779918092</v>
      </c>
      <c r="R128" s="72" t="n">
        <f aca="false">RiskMargin!J7</f>
        <v>17761.8298453481</v>
      </c>
      <c r="S128" s="72" t="n">
        <f aca="false">RiskMargin!L7</f>
        <v>19213.9636584817</v>
      </c>
      <c r="T128" s="73" t="n">
        <f aca="false">Projection!F7</f>
        <v>0.910458495120298</v>
      </c>
    </row>
    <row r="129" customFormat="false" ht="15" hidden="false" customHeight="true" outlineLevel="0" collapsed="false">
      <c r="A129" s="1" t="n">
        <v>4</v>
      </c>
      <c r="B129" s="1" t="n">
        <f aca="false">($B$90*(SUMIFS(Projection!$I$4:$I$59,Projection!$B$4:$B$59,"&lt;"&amp;(Assumptions!$B$4+4))-SUMIFS(Commission_Models!$G$15:$G$70,Commission_Models!$A$15:$A$70,"&lt;"&amp;(Assumptions!$B$4+4)))-SUMIFS(Projection!$L$4:$L$59,Projection!$B$4:$B$59,"&lt;"&amp;(Assumptions!$B$4+4))-SUMIFS(Projection!$K$4:$K$59,Projection!$B$4:$B$59,"&lt;"&amp;(Assumptions!$B$4+4)))/Discount!C8</f>
        <v>34116.6346702511</v>
      </c>
      <c r="C129" s="1" t="n">
        <f aca="false">(SUMIFS(Projection!$L$4:$L$59,Projection!$B$4:$B$59,"&gt;="&amp;(Assumptions!$B$4+4))+$B$90*SUMIFS(Commission_Models!$G$15:$G$70,Commission_Models!$A$15:$A$70,"&gt;="&amp;(Assumptions!$B$4+4))-$B$90*SUMIFS(Projection!$I$4:$I$59,Projection!$B$4:$B$59,"&gt;="&amp;(Assumptions!$B$4+4))+SUMIFS(Projection!$K$4:$K$59,Projection!$B$4:$B$59,"&gt;="&amp;(Assumptions!$B$4+4)))/Discount!C8</f>
        <v>29774.1432137266</v>
      </c>
      <c r="D129" s="1" t="n">
        <f aca="false">B129-C129</f>
        <v>4342.49145652455</v>
      </c>
      <c r="E129" s="1" t="n">
        <f aca="false">IF(T129&lt;=0,0,MAX(0,(R129+S129-D129)/T129))</f>
        <v>36256.205951134</v>
      </c>
      <c r="F129" s="1" t="n">
        <f aca="false">($B$91*(SUMIFS(Projection!$I$4:$I$59,Projection!$B$4:$B$59,"&lt;"&amp;(Assumptions!$B$4+4))-SUMIFS(Commission_Models!$G$15:$G$70,Commission_Models!$A$15:$A$70,"&lt;"&amp;(Assumptions!$B$4+4)))-SUMIFS(Projection!$L$4:$L$59,Projection!$B$4:$B$59,"&lt;"&amp;(Assumptions!$B$4+4))-SUMIFS(Projection!$K$4:$K$59,Projection!$B$4:$B$59,"&lt;"&amp;(Assumptions!$B$4+4)))/Discount!C8</f>
        <v>33706.5301308454</v>
      </c>
      <c r="G129" s="1" t="n">
        <f aca="false">(SUMIFS(Projection!$L$4:$L$59,Projection!$B$4:$B$59,"&gt;="&amp;(Assumptions!$B$4+4))+$B$91*SUMIFS(Commission_Models!$G$15:$G$70,Commission_Models!$A$15:$A$70,"&gt;="&amp;(Assumptions!$B$4+4))-$B$91*SUMIFS(Projection!$I$4:$I$59,Projection!$B$4:$B$59,"&gt;="&amp;(Assumptions!$B$4+4))+SUMIFS(Projection!$K$4:$K$59,Projection!$B$4:$B$59,"&gt;="&amp;(Assumptions!$B$4+4)))/Discount!C8</f>
        <v>30845.9876073214</v>
      </c>
      <c r="H129" s="1" t="n">
        <f aca="false">F129-G129</f>
        <v>2860.54252352397</v>
      </c>
      <c r="I129" s="1" t="n">
        <f aca="false">IF(T129&lt;=0,0,MAX(0,(R129+S129-H129)/T129))</f>
        <v>37917.0590477196</v>
      </c>
      <c r="J129" s="1" t="n">
        <f aca="false">($B$92*(SUMIFS(Projection!$I$4:$I$59,Projection!$B$4:$B$59,"&lt;"&amp;(Assumptions!$B$4+4))-SUMIFS(Commission_Models!$G$15:$G$70,Commission_Models!$A$15:$A$70,"&lt;"&amp;(Assumptions!$B$4+4)))-SUMIFS(Projection!$L$4:$L$59,Projection!$B$4:$B$59,"&lt;"&amp;(Assumptions!$B$4+4))-SUMIFS(Projection!$K$4:$K$59,Projection!$B$4:$B$59,"&lt;"&amp;(Assumptions!$B$4+4)))/Discount!C8</f>
        <v>33306.0716687501</v>
      </c>
      <c r="K129" s="1" t="n">
        <f aca="false">(SUMIFS(Projection!$L$4:$L$59,Projection!$B$4:$B$59,"&gt;="&amp;(Assumptions!$B$4+4))+$B$92*SUMIFS(Commission_Models!$G$15:$G$70,Commission_Models!$A$15:$A$70,"&gt;="&amp;(Assumptions!$B$4+4))-$B$92*SUMIFS(Projection!$I$4:$I$59,Projection!$B$4:$B$59,"&gt;="&amp;(Assumptions!$B$4+4))+SUMIFS(Projection!$K$4:$K$59,Projection!$B$4:$B$59,"&gt;="&amp;(Assumptions!$B$4+4)))/Discount!C8</f>
        <v>31892.6211268781</v>
      </c>
      <c r="L129" s="1" t="n">
        <f aca="false">J129-K129</f>
        <v>1413.45054187197</v>
      </c>
      <c r="M129" s="1" t="n">
        <f aca="false">IF(T129&lt;=0,0,MAX(0,(R129+S129-L129)/T129))</f>
        <v>39538.8471844435</v>
      </c>
      <c r="N129" s="1" t="n">
        <f aca="false">($B$93*(SUMIFS(Projection!$I$4:$I$59,Projection!$B$4:$B$59,"&lt;"&amp;(Assumptions!$B$4+4))-SUMIFS(Commission_Models!$G$15:$G$70,Commission_Models!$A$15:$A$70,"&lt;"&amp;(Assumptions!$B$4+4)))-SUMIFS(Projection!$L$4:$L$59,Projection!$B$4:$B$59,"&lt;"&amp;(Assumptions!$B$4+4))-SUMIFS(Projection!$K$4:$K$59,Projection!$B$4:$B$59,"&lt;"&amp;(Assumptions!$B$4+4)))/Discount!C8</f>
        <v>32914.9229115028</v>
      </c>
      <c r="O129" s="1" t="n">
        <f aca="false">(SUMIFS(Projection!$L$4:$L$59,Projection!$B$4:$B$59,"&gt;="&amp;(Assumptions!$B$4+4))+$B$93*SUMIFS(Commission_Models!$G$15:$G$70,Commission_Models!$A$15:$A$70,"&gt;="&amp;(Assumptions!$B$4+4))-$B$93*SUMIFS(Projection!$I$4:$I$59,Projection!$B$4:$B$59,"&gt;="&amp;(Assumptions!$B$4+4))+SUMIFS(Projection!$K$4:$K$59,Projection!$B$4:$B$59,"&gt;="&amp;(Assumptions!$B$4+4)))/Discount!C8</f>
        <v>32914.9229115028</v>
      </c>
      <c r="P129" s="1" t="n">
        <f aca="false">N129-O129</f>
        <v>0</v>
      </c>
      <c r="Q129" s="1" t="n">
        <f aca="false">IF(T129&lt;=0,0,MAX(0,(R129+S129-P129)/T129))</f>
        <v>41122.9326121279</v>
      </c>
      <c r="R129" s="72" t="n">
        <f aca="false">RiskMargin!J8</f>
        <v>18060.0661681813</v>
      </c>
      <c r="S129" s="72" t="n">
        <f aca="false">RiskMargin!L8</f>
        <v>18633.1767391431</v>
      </c>
      <c r="T129" s="73" t="n">
        <f aca="false">Projection!F8</f>
        <v>0.89228176534528</v>
      </c>
    </row>
    <row r="130" customFormat="false" ht="15" hidden="false" customHeight="true" outlineLevel="0" collapsed="false">
      <c r="A130" s="1" t="n">
        <v>5</v>
      </c>
      <c r="B130" s="1" t="n">
        <f aca="false">($B$90*(SUMIFS(Projection!$I$4:$I$59,Projection!$B$4:$B$59,"&lt;"&amp;(Assumptions!$B$4+5))-SUMIFS(Commission_Models!$G$15:$G$70,Commission_Models!$A$15:$A$70,"&lt;"&amp;(Assumptions!$B$4+5)))-SUMIFS(Projection!$L$4:$L$59,Projection!$B$4:$B$59,"&lt;"&amp;(Assumptions!$B$4+5))-SUMIFS(Projection!$K$4:$K$59,Projection!$B$4:$B$59,"&lt;"&amp;(Assumptions!$B$4+5)))/Discount!C9</f>
        <v>45721.6171278948</v>
      </c>
      <c r="C130" s="1" t="n">
        <f aca="false">(SUMIFS(Projection!$L$4:$L$59,Projection!$B$4:$B$59,"&gt;="&amp;(Assumptions!$B$4+5))+$B$90*SUMIFS(Commission_Models!$G$15:$G$70,Commission_Models!$A$15:$A$70,"&gt;="&amp;(Assumptions!$B$4+5))-$B$90*SUMIFS(Projection!$I$4:$I$59,Projection!$B$4:$B$59,"&gt;="&amp;(Assumptions!$B$4+5))+SUMIFS(Projection!$K$4:$K$59,Projection!$B$4:$B$59,"&gt;="&amp;(Assumptions!$B$4+5)))/Discount!C9</f>
        <v>41257.4878766723</v>
      </c>
      <c r="D130" s="1" t="n">
        <f aca="false">B130-C130</f>
        <v>4464.12925122246</v>
      </c>
      <c r="E130" s="1" t="n">
        <f aca="false">IF(T130&lt;=0,0,MAX(0,(R130+S130-D130)/T130))</f>
        <v>36514.5094260948</v>
      </c>
      <c r="F130" s="1" t="n">
        <f aca="false">($B$91*(SUMIFS(Projection!$I$4:$I$59,Projection!$B$4:$B$59,"&lt;"&amp;(Assumptions!$B$4+5))-SUMIFS(Commission_Models!$G$15:$G$70,Commission_Models!$A$15:$A$70,"&lt;"&amp;(Assumptions!$B$4+5)))-SUMIFS(Projection!$L$4:$L$59,Projection!$B$4:$B$59,"&lt;"&amp;(Assumptions!$B$4+5))-SUMIFS(Projection!$K$4:$K$59,Projection!$B$4:$B$59,"&lt;"&amp;(Assumptions!$B$4+5)))/Discount!C9</f>
        <v>45172.3049896777</v>
      </c>
      <c r="G130" s="1" t="n">
        <f aca="false">(SUMIFS(Projection!$L$4:$L$59,Projection!$B$4:$B$59,"&gt;="&amp;(Assumptions!$B$4+5))+$B$91*SUMIFS(Commission_Models!$G$15:$G$70,Commission_Models!$A$15:$A$70,"&gt;="&amp;(Assumptions!$B$4+5))-$B$91*SUMIFS(Projection!$I$4:$I$59,Projection!$B$4:$B$59,"&gt;="&amp;(Assumptions!$B$4+5))+SUMIFS(Projection!$K$4:$K$59,Projection!$B$4:$B$59,"&gt;="&amp;(Assumptions!$B$4+5)))/Discount!C9</f>
        <v>42231.6356339689</v>
      </c>
      <c r="H130" s="1" t="n">
        <f aca="false">F130-G130</f>
        <v>2940.66935570881</v>
      </c>
      <c r="I130" s="1" t="n">
        <f aca="false">IF(T130&lt;=0,0,MAX(0,(R130+S130-H130)/T130))</f>
        <v>38257.8480398474</v>
      </c>
      <c r="J130" s="1" t="n">
        <f aca="false">($B$92*(SUMIFS(Projection!$I$4:$I$59,Projection!$B$4:$B$59,"&lt;"&amp;(Assumptions!$B$4+5))-SUMIFS(Commission_Models!$G$15:$G$70,Commission_Models!$A$15:$A$70,"&lt;"&amp;(Assumptions!$B$4+5)))-SUMIFS(Projection!$L$4:$L$59,Projection!$B$4:$B$59,"&lt;"&amp;(Assumptions!$B$4+5))-SUMIFS(Projection!$K$4:$K$59,Projection!$B$4:$B$59,"&lt;"&amp;(Assumptions!$B$4+5)))/Discount!C9</f>
        <v>44635.9132335673</v>
      </c>
      <c r="K130" s="1" t="n">
        <f aca="false">(SUMIFS(Projection!$L$4:$L$59,Projection!$B$4:$B$59,"&gt;="&amp;(Assumptions!$B$4+5))+$B$92*SUMIFS(Commission_Models!$G$15:$G$70,Commission_Models!$A$15:$A$70,"&gt;="&amp;(Assumptions!$B$4+5))-$B$92*SUMIFS(Projection!$I$4:$I$59,Projection!$B$4:$B$59,"&gt;="&amp;(Assumptions!$B$4+5))+SUMIFS(Projection!$K$4:$K$59,Projection!$B$4:$B$59,"&gt;="&amp;(Assumptions!$B$4+5)))/Discount!C9</f>
        <v>43182.8704418201</v>
      </c>
      <c r="L130" s="1" t="n">
        <f aca="false">J130-K130</f>
        <v>1453.04279174723</v>
      </c>
      <c r="M130" s="1" t="n">
        <f aca="false">IF(T130&lt;=0,0,MAX(0,(R130+S130-L130)/T130))</f>
        <v>39960.1815501915</v>
      </c>
      <c r="N130" s="1" t="n">
        <f aca="false">($B$93*(SUMIFS(Projection!$I$4:$I$59,Projection!$B$4:$B$59,"&lt;"&amp;(Assumptions!$B$4+5))-SUMIFS(Commission_Models!$G$15:$G$70,Commission_Models!$A$15:$A$70,"&lt;"&amp;(Assumptions!$B$4+5)))-SUMIFS(Projection!$L$4:$L$59,Projection!$B$4:$B$59,"&lt;"&amp;(Assumptions!$B$4+5))-SUMIFS(Projection!$K$4:$K$59,Projection!$B$4:$B$59,"&lt;"&amp;(Assumptions!$B$4+5)))/Discount!C9</f>
        <v>44111.9913074266</v>
      </c>
      <c r="O130" s="1" t="n">
        <f aca="false">(SUMIFS(Projection!$L$4:$L$59,Projection!$B$4:$B$59,"&gt;="&amp;(Assumptions!$B$4+5))+$B$93*SUMIFS(Commission_Models!$G$15:$G$70,Commission_Models!$A$15:$A$70,"&gt;="&amp;(Assumptions!$B$4+5))-$B$93*SUMIFS(Projection!$I$4:$I$59,Projection!$B$4:$B$59,"&gt;="&amp;(Assumptions!$B$4+5))+SUMIFS(Projection!$K$4:$K$59,Projection!$B$4:$B$59,"&gt;="&amp;(Assumptions!$B$4+5)))/Discount!C9</f>
        <v>44111.9913074266</v>
      </c>
      <c r="P130" s="1" t="n">
        <f aca="false">N130-O130</f>
        <v>0</v>
      </c>
      <c r="Q130" s="1" t="n">
        <f aca="false">IF(T130&lt;=0,0,MAX(0,(R130+S130-P130)/T130))</f>
        <v>41622.9398635199</v>
      </c>
      <c r="R130" s="72" t="n">
        <f aca="false">RiskMargin!J9</f>
        <v>18332.0884072738</v>
      </c>
      <c r="S130" s="72" t="n">
        <f aca="false">RiskMargin!L9</f>
        <v>18041.1549289459</v>
      </c>
      <c r="T130" s="73" t="n">
        <f aca="false">Projection!F9</f>
        <v>0.873874922230056</v>
      </c>
    </row>
    <row r="131" customFormat="false" ht="15" hidden="false" customHeight="true" outlineLevel="0" collapsed="false">
      <c r="A131" s="1" t="n">
        <v>6</v>
      </c>
      <c r="B131" s="1" t="n">
        <f aca="false">($B$90*(SUMIFS(Projection!$I$4:$I$59,Projection!$B$4:$B$59,"&lt;"&amp;(Assumptions!$B$4+6))-SUMIFS(Commission_Models!$G$15:$G$70,Commission_Models!$A$15:$A$70,"&lt;"&amp;(Assumptions!$B$4+6)))-SUMIFS(Projection!$L$4:$L$59,Projection!$B$4:$B$59,"&lt;"&amp;(Assumptions!$B$4+6))-SUMIFS(Projection!$K$4:$K$59,Projection!$B$4:$B$59,"&lt;"&amp;(Assumptions!$B$4+6)))/Discount!C10</f>
        <v>57480.2809740322</v>
      </c>
      <c r="C131" s="1" t="n">
        <f aca="false">(SUMIFS(Projection!$L$4:$L$59,Projection!$B$4:$B$59,"&gt;="&amp;(Assumptions!$B$4+6))+$B$90*SUMIFS(Commission_Models!$G$15:$G$70,Commission_Models!$A$15:$A$70,"&gt;="&amp;(Assumptions!$B$4+6))-$B$90*SUMIFS(Projection!$I$4:$I$59,Projection!$B$4:$B$59,"&gt;="&amp;(Assumptions!$B$4+6))+SUMIFS(Projection!$K$4:$K$59,Projection!$B$4:$B$59,"&gt;="&amp;(Assumptions!$B$4+6)))/Discount!C10</f>
        <v>52887.0848130852</v>
      </c>
      <c r="D131" s="1" t="n">
        <f aca="false">B131-C131</f>
        <v>4593.19616094707</v>
      </c>
      <c r="E131" s="1" t="n">
        <f aca="false">IF(T131&lt;=0,0,MAX(0,(R131+S131-D131)/T131))</f>
        <v>36639.4880084469</v>
      </c>
      <c r="F131" s="1" t="n">
        <f aca="false">($B$91*(SUMIFS(Projection!$I$4:$I$59,Projection!$B$4:$B$59,"&lt;"&amp;(Assumptions!$B$4+6))-SUMIFS(Commission_Models!$G$15:$G$70,Commission_Models!$A$15:$A$70,"&lt;"&amp;(Assumptions!$B$4+6)))-SUMIFS(Projection!$L$4:$L$59,Projection!$B$4:$B$59,"&lt;"&amp;(Assumptions!$B$4+6))-SUMIFS(Projection!$K$4:$K$59,Projection!$B$4:$B$59,"&lt;"&amp;(Assumptions!$B$4+6)))/Discount!C10</f>
        <v>56789.8920968818</v>
      </c>
      <c r="G131" s="1" t="n">
        <f aca="false">(SUMIFS(Projection!$L$4:$L$59,Projection!$B$4:$B$59,"&gt;="&amp;(Assumptions!$B$4+6))+$B$91*SUMIFS(Commission_Models!$G$15:$G$70,Commission_Models!$A$15:$A$70,"&gt;="&amp;(Assumptions!$B$4+6))-$B$91*SUMIFS(Projection!$I$4:$I$59,Projection!$B$4:$B$59,"&gt;="&amp;(Assumptions!$B$4+6))+SUMIFS(Projection!$K$4:$K$59,Projection!$B$4:$B$59,"&gt;="&amp;(Assumptions!$B$4+6)))/Discount!C10</f>
        <v>53764.2021055901</v>
      </c>
      <c r="H131" s="1" t="n">
        <f aca="false">F131-G131</f>
        <v>3025.68999129172</v>
      </c>
      <c r="I131" s="1" t="n">
        <f aca="false">IF(T131&lt;=0,0,MAX(0,(R131+S131-H131)/T131))</f>
        <v>38465.2103699551</v>
      </c>
      <c r="J131" s="1" t="n">
        <f aca="false">($B$92*(SUMIFS(Projection!$I$4:$I$59,Projection!$B$4:$B$59,"&lt;"&amp;(Assumptions!$B$4+6))-SUMIFS(Commission_Models!$G$15:$G$70,Commission_Models!$A$15:$A$70,"&lt;"&amp;(Assumptions!$B$4+6)))-SUMIFS(Projection!$L$4:$L$59,Projection!$B$4:$B$59,"&lt;"&amp;(Assumptions!$B$4+6))-SUMIFS(Projection!$K$4:$K$59,Projection!$B$4:$B$59,"&lt;"&amp;(Assumptions!$B$4+6)))/Discount!C10</f>
        <v>56115.7418707176</v>
      </c>
      <c r="K131" s="1" t="n">
        <f aca="false">(SUMIFS(Projection!$L$4:$L$59,Projection!$B$4:$B$59,"&gt;="&amp;(Assumptions!$B$4+6))+$B$92*SUMIFS(Commission_Models!$G$15:$G$70,Commission_Models!$A$15:$A$70,"&gt;="&amp;(Assumptions!$B$4+6))-$B$92*SUMIFS(Projection!$I$4:$I$59,Projection!$B$4:$B$59,"&gt;="&amp;(Assumptions!$B$4+6))+SUMIFS(Projection!$K$4:$K$59,Projection!$B$4:$B$59,"&gt;="&amp;(Assumptions!$B$4+6)))/Discount!C10</f>
        <v>54620.6887042087</v>
      </c>
      <c r="L131" s="1" t="n">
        <f aca="false">J131-K131</f>
        <v>1495.05316650891</v>
      </c>
      <c r="M131" s="1" t="n">
        <f aca="false">IF(T131&lt;=0,0,MAX(0,(R131+S131-L131)/T131))</f>
        <v>40247.9898782287</v>
      </c>
      <c r="N131" s="1" t="n">
        <f aca="false">($B$93*(SUMIFS(Projection!$I$4:$I$59,Projection!$B$4:$B$59,"&lt;"&amp;(Assumptions!$B$4+6))-SUMIFS(Commission_Models!$G$15:$G$70,Commission_Models!$A$15:$A$70,"&lt;"&amp;(Assumptions!$B$4+6)))-SUMIFS(Projection!$L$4:$L$59,Projection!$B$4:$B$59,"&lt;"&amp;(Assumptions!$B$4+6))-SUMIFS(Projection!$K$4:$K$59,Projection!$B$4:$B$59,"&lt;"&amp;(Assumptions!$B$4+6)))/Discount!C10</f>
        <v>55457.2640306379</v>
      </c>
      <c r="O131" s="1" t="n">
        <f aca="false">(SUMIFS(Projection!$L$4:$L$59,Projection!$B$4:$B$59,"&gt;="&amp;(Assumptions!$B$4+6))+$B$93*SUMIFS(Commission_Models!$G$15:$G$70,Commission_Models!$A$15:$A$70,"&gt;="&amp;(Assumptions!$B$4+6))-$B$93*SUMIFS(Projection!$I$4:$I$59,Projection!$B$4:$B$59,"&gt;="&amp;(Assumptions!$B$4+6))+SUMIFS(Projection!$K$4:$K$59,Projection!$B$4:$B$59,"&gt;="&amp;(Assumptions!$B$4+6)))/Discount!C10</f>
        <v>55457.2640306379</v>
      </c>
      <c r="P131" s="1" t="n">
        <f aca="false">N131-O131</f>
        <v>0</v>
      </c>
      <c r="Q131" s="1" t="n">
        <f aca="false">IF(T131&lt;=0,0,MAX(0,(R131+S131-P131)/T131))</f>
        <v>41989.3240117582</v>
      </c>
      <c r="R131" s="72" t="n">
        <f aca="false">RiskMargin!J10</f>
        <v>18619.6410483728</v>
      </c>
      <c r="S131" s="72" t="n">
        <f aca="false">RiskMargin!L10</f>
        <v>17431.0344736795</v>
      </c>
      <c r="T131" s="73" t="n">
        <f aca="false">Projection!F10</f>
        <v>0.858567656672851</v>
      </c>
    </row>
    <row r="132" customFormat="false" ht="15" hidden="false" customHeight="true" outlineLevel="0" collapsed="false">
      <c r="A132" s="1" t="n">
        <v>7</v>
      </c>
      <c r="B132" s="1" t="n">
        <f aca="false">($B$90*(SUMIFS(Projection!$I$4:$I$59,Projection!$B$4:$B$59,"&lt;"&amp;(Assumptions!$B$4+7))-SUMIFS(Commission_Models!$G$15:$G$70,Commission_Models!$A$15:$A$70,"&lt;"&amp;(Assumptions!$B$4+7)))-SUMIFS(Projection!$L$4:$L$59,Projection!$B$4:$B$59,"&lt;"&amp;(Assumptions!$B$4+7))-SUMIFS(Projection!$K$4:$K$59,Projection!$B$4:$B$59,"&lt;"&amp;(Assumptions!$B$4+7)))/Discount!C11</f>
        <v>69477.1349123797</v>
      </c>
      <c r="C132" s="1" t="n">
        <f aca="false">(SUMIFS(Projection!$L$4:$L$59,Projection!$B$4:$B$59,"&gt;="&amp;(Assumptions!$B$4+7))+$B$90*SUMIFS(Commission_Models!$G$15:$G$70,Commission_Models!$A$15:$A$70,"&gt;="&amp;(Assumptions!$B$4+7))-$B$90*SUMIFS(Projection!$I$4:$I$59,Projection!$B$4:$B$59,"&gt;="&amp;(Assumptions!$B$4+7))+SUMIFS(Projection!$K$4:$K$59,Projection!$B$4:$B$59,"&gt;="&amp;(Assumptions!$B$4+7)))/Discount!C11</f>
        <v>64745.4816240629</v>
      </c>
      <c r="D132" s="1" t="n">
        <f aca="false">B132-C132</f>
        <v>4731.65328831677</v>
      </c>
      <c r="E132" s="1" t="n">
        <f aca="false">IF(T132&lt;=0,0,MAX(0,(R132+S132-D132)/T132))</f>
        <v>36730.737838779</v>
      </c>
      <c r="F132" s="1" t="n">
        <f aca="false">($B$91*(SUMIFS(Projection!$I$4:$I$59,Projection!$B$4:$B$59,"&lt;"&amp;(Assumptions!$B$4+7))-SUMIFS(Commission_Models!$G$15:$G$70,Commission_Models!$A$15:$A$70,"&lt;"&amp;(Assumptions!$B$4+7)))-SUMIFS(Projection!$L$4:$L$59,Projection!$B$4:$B$59,"&lt;"&amp;(Assumptions!$B$4+7))-SUMIFS(Projection!$K$4:$K$59,Projection!$B$4:$B$59,"&lt;"&amp;(Assumptions!$B$4+7)))/Discount!C11</f>
        <v>68642.7856619864</v>
      </c>
      <c r="G132" s="1" t="n">
        <f aca="false">(SUMIFS(Projection!$L$4:$L$59,Projection!$B$4:$B$59,"&gt;="&amp;(Assumptions!$B$4+7))+$B$91*SUMIFS(Commission_Models!$G$15:$G$70,Commission_Models!$A$15:$A$70,"&gt;="&amp;(Assumptions!$B$4+7))-$B$91*SUMIFS(Projection!$I$4:$I$59,Projection!$B$4:$B$59,"&gt;="&amp;(Assumptions!$B$4+7))+SUMIFS(Projection!$K$4:$K$59,Projection!$B$4:$B$59,"&gt;="&amp;(Assumptions!$B$4+7)))/Discount!C11</f>
        <v>65525.8893886579</v>
      </c>
      <c r="H132" s="1" t="n">
        <f aca="false">F132-G132</f>
        <v>3116.89627332849</v>
      </c>
      <c r="I132" s="1" t="n">
        <f aca="false">IF(T132&lt;=0,0,MAX(0,(R132+S132-H132)/T132))</f>
        <v>38646.7715857847</v>
      </c>
      <c r="J132" s="1" t="n">
        <f aca="false">($B$92*(SUMIFS(Projection!$I$4:$I$59,Projection!$B$4:$B$59,"&lt;"&amp;(Assumptions!$B$4+7))-SUMIFS(Commission_Models!$G$15:$G$70,Commission_Models!$A$15:$A$70,"&lt;"&amp;(Assumptions!$B$4+7)))-SUMIFS(Projection!$L$4:$L$59,Projection!$B$4:$B$59,"&lt;"&amp;(Assumptions!$B$4+7))-SUMIFS(Projection!$K$4:$K$59,Projection!$B$4:$B$59,"&lt;"&amp;(Assumptions!$B$4+7)))/Discount!C11</f>
        <v>67828.0611574808</v>
      </c>
      <c r="K132" s="1" t="n">
        <f aca="false">(SUMIFS(Projection!$L$4:$L$59,Projection!$B$4:$B$59,"&gt;="&amp;(Assumptions!$B$4+7))+$B$92*SUMIFS(Commission_Models!$G$15:$G$70,Commission_Models!$A$15:$A$70,"&gt;="&amp;(Assumptions!$B$4+7))-$B$92*SUMIFS(Projection!$I$4:$I$59,Projection!$B$4:$B$59,"&gt;="&amp;(Assumptions!$B$4+7))+SUMIFS(Projection!$K$4:$K$59,Projection!$B$4:$B$59,"&gt;="&amp;(Assumptions!$B$4+7)))/Discount!C11</f>
        <v>66287.9411661627</v>
      </c>
      <c r="L132" s="1" t="n">
        <f aca="false">J132-K132</f>
        <v>1540.11999131815</v>
      </c>
      <c r="M132" s="1" t="n">
        <f aca="false">IF(T132&lt;=0,0,MAX(0,(R132+S132-L132)/T132))</f>
        <v>40517.738263599</v>
      </c>
      <c r="N132" s="1" t="n">
        <f aca="false">($B$93*(SUMIFS(Projection!$I$4:$I$59,Projection!$B$4:$B$59,"&lt;"&amp;(Assumptions!$B$4+7))-SUMIFS(Commission_Models!$G$15:$G$70,Commission_Models!$A$15:$A$70,"&lt;"&amp;(Assumptions!$B$4+7)))-SUMIFS(Projection!$L$4:$L$59,Projection!$B$4:$B$59,"&lt;"&amp;(Assumptions!$B$4+7))-SUMIFS(Projection!$K$4:$K$59,Projection!$B$4:$B$59,"&lt;"&amp;(Assumptions!$B$4+7)))/Discount!C11</f>
        <v>67032.2770560064</v>
      </c>
      <c r="O132" s="1" t="n">
        <f aca="false">(SUMIFS(Projection!$L$4:$L$59,Projection!$B$4:$B$59,"&gt;="&amp;(Assumptions!$B$4+7))+$B$93*SUMIFS(Commission_Models!$G$15:$G$70,Commission_Models!$A$15:$A$70,"&gt;="&amp;(Assumptions!$B$4+7))-$B$93*SUMIFS(Projection!$I$4:$I$59,Projection!$B$4:$B$59,"&gt;="&amp;(Assumptions!$B$4+7))+SUMIFS(Projection!$K$4:$K$59,Projection!$B$4:$B$59,"&gt;="&amp;(Assumptions!$B$4+7)))/Discount!C11</f>
        <v>67032.2770560063</v>
      </c>
      <c r="P132" s="1" t="n">
        <f aca="false">N132-O132</f>
        <v>0</v>
      </c>
      <c r="Q132" s="1" t="n">
        <f aca="false">IF(T132&lt;=0,0,MAX(0,(R132+S132-P132)/T132))</f>
        <v>42345.2094251502</v>
      </c>
      <c r="R132" s="72" t="n">
        <f aca="false">RiskMargin!J11</f>
        <v>18881.2375975217</v>
      </c>
      <c r="S132" s="72" t="n">
        <f aca="false">RiskMargin!L11</f>
        <v>16805.6202552002</v>
      </c>
      <c r="T132" s="73" t="n">
        <f aca="false">Projection!F11</f>
        <v>0.84276021626017</v>
      </c>
    </row>
    <row r="133" customFormat="false" ht="15" hidden="false" customHeight="true" outlineLevel="0" collapsed="false">
      <c r="A133" s="1" t="n">
        <v>8</v>
      </c>
      <c r="B133" s="1" t="n">
        <f aca="false">($B$90*(SUMIFS(Projection!$I$4:$I$59,Projection!$B$4:$B$59,"&lt;"&amp;(Assumptions!$B$4+8))-SUMIFS(Commission_Models!$G$15:$G$70,Commission_Models!$A$15:$A$70,"&lt;"&amp;(Assumptions!$B$4+8)))-SUMIFS(Projection!$L$4:$L$59,Projection!$B$4:$B$59,"&lt;"&amp;(Assumptions!$B$4+8))-SUMIFS(Projection!$K$4:$K$59,Projection!$B$4:$B$59,"&lt;"&amp;(Assumptions!$B$4+8)))/Discount!C12</f>
        <v>81739.8704827017</v>
      </c>
      <c r="C133" s="1" t="n">
        <f aca="false">(SUMIFS(Projection!$L$4:$L$59,Projection!$B$4:$B$59,"&gt;="&amp;(Assumptions!$B$4+8))+$B$90*SUMIFS(Commission_Models!$G$15:$G$70,Commission_Models!$A$15:$A$70,"&gt;="&amp;(Assumptions!$B$4+8))-$B$90*SUMIFS(Projection!$I$4:$I$59,Projection!$B$4:$B$59,"&gt;="&amp;(Assumptions!$B$4+8))+SUMIFS(Projection!$K$4:$K$59,Projection!$B$4:$B$59,"&gt;="&amp;(Assumptions!$B$4+8)))/Discount!C12</f>
        <v>76859.8974446815</v>
      </c>
      <c r="D133" s="1" t="n">
        <f aca="false">B133-C133</f>
        <v>4879.97303802021</v>
      </c>
      <c r="E133" s="1" t="n">
        <f aca="false">IF(T133&lt;=0,0,MAX(0,(R133+S133-D133)/T133))</f>
        <v>36779.6909834718</v>
      </c>
      <c r="F133" s="1" t="n">
        <f aca="false">($B$91*(SUMIFS(Projection!$I$4:$I$59,Projection!$B$4:$B$59,"&lt;"&amp;(Assumptions!$B$4+8))-SUMIFS(Commission_Models!$G$15:$G$70,Commission_Models!$A$15:$A$70,"&lt;"&amp;(Assumptions!$B$4+8)))-SUMIFS(Projection!$L$4:$L$59,Projection!$B$4:$B$59,"&lt;"&amp;(Assumptions!$B$4+8))-SUMIFS(Projection!$K$4:$K$59,Projection!$B$4:$B$59,"&lt;"&amp;(Assumptions!$B$4+8)))/Discount!C12</f>
        <v>80758.3444319626</v>
      </c>
      <c r="G133" s="1" t="n">
        <f aca="false">(SUMIFS(Projection!$L$4:$L$59,Projection!$B$4:$B$59,"&gt;="&amp;(Assumptions!$B$4+8))+$B$91*SUMIFS(Commission_Models!$G$15:$G$70,Commission_Models!$A$15:$A$70,"&gt;="&amp;(Assumptions!$B$4+8))-$B$91*SUMIFS(Projection!$I$4:$I$59,Projection!$B$4:$B$59,"&gt;="&amp;(Assumptions!$B$4+8))+SUMIFS(Projection!$K$4:$K$59,Projection!$B$4:$B$59,"&gt;="&amp;(Assumptions!$B$4+8)))/Discount!C12</f>
        <v>77543.745041575</v>
      </c>
      <c r="H133" s="1" t="n">
        <f aca="false">F133-G133</f>
        <v>3214.59939038762</v>
      </c>
      <c r="I133" s="1" t="n">
        <f aca="false">IF(T133&lt;=0,0,MAX(0,(R133+S133-H133)/T133))</f>
        <v>38794.9354078771</v>
      </c>
      <c r="J133" s="1" t="n">
        <f aca="false">($B$92*(SUMIFS(Projection!$I$4:$I$59,Projection!$B$4:$B$59,"&lt;"&amp;(Assumptions!$B$4+8))-SUMIFS(Commission_Models!$G$15:$G$70,Commission_Models!$A$15:$A$70,"&lt;"&amp;(Assumptions!$B$4+8)))-SUMIFS(Projection!$L$4:$L$59,Projection!$B$4:$B$59,"&lt;"&amp;(Assumptions!$B$4+8))-SUMIFS(Projection!$K$4:$K$59,Projection!$B$4:$B$59,"&lt;"&amp;(Assumptions!$B$4+8)))/Discount!C12</f>
        <v>79799.9048756607</v>
      </c>
      <c r="K133" s="1" t="n">
        <f aca="false">(SUMIFS(Projection!$L$4:$L$59,Projection!$B$4:$B$59,"&gt;="&amp;(Assumptions!$B$4+8))+$B$92*SUMIFS(Commission_Models!$G$15:$G$70,Commission_Models!$A$15:$A$70,"&gt;="&amp;(Assumptions!$B$4+8))-$B$92*SUMIFS(Projection!$I$4:$I$59,Projection!$B$4:$B$59,"&gt;="&amp;(Assumptions!$B$4+8))+SUMIFS(Projection!$K$4:$K$59,Projection!$B$4:$B$59,"&gt;="&amp;(Assumptions!$B$4+8)))/Discount!C12</f>
        <v>78211.5078450697</v>
      </c>
      <c r="L133" s="1" t="n">
        <f aca="false">J133-K133</f>
        <v>1588.39703059098</v>
      </c>
      <c r="M133" s="1" t="n">
        <f aca="false">IF(T133&lt;=0,0,MAX(0,(R133+S133-L133)/T133))</f>
        <v>40762.7792267063</v>
      </c>
      <c r="N133" s="1" t="n">
        <f aca="false">($B$93*(SUMIFS(Projection!$I$4:$I$59,Projection!$B$4:$B$59,"&lt;"&amp;(Assumptions!$B$4+8))-SUMIFS(Commission_Models!$G$15:$G$70,Commission_Models!$A$15:$A$70,"&lt;"&amp;(Assumptions!$B$4+8)))-SUMIFS(Projection!$L$4:$L$59,Projection!$B$4:$B$59,"&lt;"&amp;(Assumptions!$B$4+8))-SUMIFS(Projection!$K$4:$K$59,Projection!$B$4:$B$59,"&lt;"&amp;(Assumptions!$B$4+8)))/Discount!C12</f>
        <v>78863.7467548342</v>
      </c>
      <c r="O133" s="1" t="n">
        <f aca="false">(SUMIFS(Projection!$L$4:$L$59,Projection!$B$4:$B$59,"&gt;="&amp;(Assumptions!$B$4+8))+$B$93*SUMIFS(Commission_Models!$G$15:$G$70,Commission_Models!$A$15:$A$70,"&gt;="&amp;(Assumptions!$B$4+8))-$B$93*SUMIFS(Projection!$I$4:$I$59,Projection!$B$4:$B$59,"&gt;="&amp;(Assumptions!$B$4+8))+SUMIFS(Projection!$K$4:$K$59,Projection!$B$4:$B$59,"&gt;="&amp;(Assumptions!$B$4+8)))/Discount!C12</f>
        <v>78863.7467548342</v>
      </c>
      <c r="P133" s="1" t="n">
        <f aca="false">N133-O133</f>
        <v>0</v>
      </c>
      <c r="Q133" s="1" t="n">
        <f aca="false">IF(T133&lt;=0,0,MAX(0,(R133+S133-P133)/T133))</f>
        <v>42684.875366627</v>
      </c>
      <c r="R133" s="72" t="n">
        <f aca="false">RiskMargin!J12</f>
        <v>19110.2370052548</v>
      </c>
      <c r="S133" s="72" t="n">
        <f aca="false">RiskMargin!L12</f>
        <v>16164.0283529247</v>
      </c>
      <c r="T133" s="73" t="n">
        <f aca="false">Projection!F12</f>
        <v>0.826387919730429</v>
      </c>
    </row>
    <row r="134" customFormat="false" ht="15" hidden="false" customHeight="true" outlineLevel="0" collapsed="false">
      <c r="A134" s="1" t="n">
        <v>9</v>
      </c>
      <c r="B134" s="1" t="n">
        <f aca="false">($B$90*(SUMIFS(Projection!$I$4:$I$59,Projection!$B$4:$B$59,"&lt;"&amp;(Assumptions!$B$4+9))-SUMIFS(Commission_Models!$G$15:$G$70,Commission_Models!$A$15:$A$70,"&lt;"&amp;(Assumptions!$B$4+9)))-SUMIFS(Projection!$L$4:$L$59,Projection!$B$4:$B$59,"&lt;"&amp;(Assumptions!$B$4+9))-SUMIFS(Projection!$K$4:$K$59,Projection!$B$4:$B$59,"&lt;"&amp;(Assumptions!$B$4+9)))/Discount!C13</f>
        <v>94285.088782548</v>
      </c>
      <c r="C134" s="1" t="n">
        <f aca="false">(SUMIFS(Projection!$L$4:$L$59,Projection!$B$4:$B$59,"&gt;="&amp;(Assumptions!$B$4+9))+$B$90*SUMIFS(Commission_Models!$G$15:$G$70,Commission_Models!$A$15:$A$70,"&gt;="&amp;(Assumptions!$B$4+9))-$B$90*SUMIFS(Projection!$I$4:$I$59,Projection!$B$4:$B$59,"&gt;="&amp;(Assumptions!$B$4+9))+SUMIFS(Projection!$K$4:$K$59,Projection!$B$4:$B$59,"&gt;="&amp;(Assumptions!$B$4+9)))/Discount!C13</f>
        <v>89247.0123397098</v>
      </c>
      <c r="D134" s="1" t="n">
        <f aca="false">B134-C134</f>
        <v>5038.07644283827</v>
      </c>
      <c r="E134" s="1" t="n">
        <f aca="false">IF(T134&lt;=0,0,MAX(0,(R134+S134-D134)/T134))</f>
        <v>36771.3581457364</v>
      </c>
      <c r="F134" s="1" t="n">
        <f aca="false">($B$91*(SUMIFS(Projection!$I$4:$I$59,Projection!$B$4:$B$59,"&lt;"&amp;(Assumptions!$B$4+9))-SUMIFS(Commission_Models!$G$15:$G$70,Commission_Models!$A$15:$A$70,"&lt;"&amp;(Assumptions!$B$4+9)))-SUMIFS(Projection!$L$4:$L$59,Projection!$B$4:$B$59,"&lt;"&amp;(Assumptions!$B$4+9))-SUMIFS(Projection!$K$4:$K$59,Projection!$B$4:$B$59,"&lt;"&amp;(Assumptions!$B$4+9)))/Discount!C13</f>
        <v>93152.9698395303</v>
      </c>
      <c r="G134" s="1" t="n">
        <f aca="false">(SUMIFS(Projection!$L$4:$L$59,Projection!$B$4:$B$59,"&gt;="&amp;(Assumptions!$B$4+9))+$B$91*SUMIFS(Commission_Models!$G$15:$G$70,Commission_Models!$A$15:$A$70,"&gt;="&amp;(Assumptions!$B$4+9))-$B$91*SUMIFS(Projection!$I$4:$I$59,Projection!$B$4:$B$59,"&gt;="&amp;(Assumptions!$B$4+9))+SUMIFS(Projection!$K$4:$K$59,Projection!$B$4:$B$59,"&gt;="&amp;(Assumptions!$B$4+9)))/Discount!C13</f>
        <v>89834.2225153761</v>
      </c>
      <c r="H134" s="1" t="n">
        <f aca="false">F134-G134</f>
        <v>3318.74732415419</v>
      </c>
      <c r="I134" s="1" t="n">
        <f aca="false">IF(T134&lt;=0,0,MAX(0,(R134+S134-H134)/T134))</f>
        <v>38895.6023640938</v>
      </c>
      <c r="J134" s="1" t="n">
        <f aca="false">($B$92*(SUMIFS(Projection!$I$4:$I$59,Projection!$B$4:$B$59,"&lt;"&amp;(Assumptions!$B$4+9))-SUMIFS(Commission_Models!$G$15:$G$70,Commission_Models!$A$15:$A$70,"&lt;"&amp;(Assumptions!$B$4+9)))-SUMIFS(Projection!$L$4:$L$59,Projection!$B$4:$B$59,"&lt;"&amp;(Assumptions!$B$4+9))-SUMIFS(Projection!$K$4:$K$59,Projection!$B$4:$B$59,"&lt;"&amp;(Assumptions!$B$4+9)))/Discount!C13</f>
        <v>92047.479489468</v>
      </c>
      <c r="K134" s="1" t="n">
        <f aca="false">(SUMIFS(Projection!$L$4:$L$59,Projection!$B$4:$B$59,"&gt;="&amp;(Assumptions!$B$4+9))+$B$92*SUMIFS(Commission_Models!$G$15:$G$70,Commission_Models!$A$15:$A$70,"&gt;="&amp;(Assumptions!$B$4+9))-$B$92*SUMIFS(Projection!$I$4:$I$59,Projection!$B$4:$B$59,"&gt;="&amp;(Assumptions!$B$4+9))+SUMIFS(Projection!$K$4:$K$59,Projection!$B$4:$B$59,"&gt;="&amp;(Assumptions!$B$4+9)))/Discount!C13</f>
        <v>90407.620908417</v>
      </c>
      <c r="L134" s="1" t="n">
        <f aca="false">J134-K134</f>
        <v>1639.85858105095</v>
      </c>
      <c r="M134" s="1" t="n">
        <f aca="false">IF(T134&lt;=0,0,MAX(0,(R134+S134-L134)/T134))</f>
        <v>40969.8821904785</v>
      </c>
      <c r="N134" s="1" t="n">
        <f aca="false">($B$93*(SUMIFS(Projection!$I$4:$I$59,Projection!$B$4:$B$59,"&lt;"&amp;(Assumptions!$B$4+9))-SUMIFS(Commission_Models!$G$15:$G$70,Commission_Models!$A$15:$A$70,"&lt;"&amp;(Assumptions!$B$4+9)))-SUMIFS(Projection!$L$4:$L$59,Projection!$B$4:$B$59,"&lt;"&amp;(Assumptions!$B$4+9))-SUMIFS(Projection!$K$4:$K$59,Projection!$B$4:$B$59,"&lt;"&amp;(Assumptions!$B$4+9)))/Discount!C13</f>
        <v>90967.689155376</v>
      </c>
      <c r="O134" s="1" t="n">
        <f aca="false">(SUMIFS(Projection!$L$4:$L$59,Projection!$B$4:$B$59,"&gt;="&amp;(Assumptions!$B$4+9))+$B$93*SUMIFS(Commission_Models!$G$15:$G$70,Commission_Models!$A$15:$A$70,"&gt;="&amp;(Assumptions!$B$4+9))-$B$93*SUMIFS(Projection!$I$4:$I$59,Projection!$B$4:$B$59,"&gt;="&amp;(Assumptions!$B$4+9))+SUMIFS(Projection!$K$4:$K$59,Projection!$B$4:$B$59,"&gt;="&amp;(Assumptions!$B$4+9)))/Discount!C13</f>
        <v>90967.689155376</v>
      </c>
      <c r="P134" s="1" t="n">
        <f aca="false">N134-O134</f>
        <v>0</v>
      </c>
      <c r="Q134" s="1" t="n">
        <f aca="false">IF(T134&lt;=0,0,MAX(0,(R134+S134-P134)/T134))</f>
        <v>42995.9399544437</v>
      </c>
      <c r="R134" s="72" t="n">
        <f aca="false">RiskMargin!J13</f>
        <v>19296.2679614037</v>
      </c>
      <c r="S134" s="72" t="n">
        <f aca="false">RiskMargin!L13</f>
        <v>15503.9545883517</v>
      </c>
      <c r="T134" s="73" t="n">
        <f aca="false">Projection!F13</f>
        <v>0.809383922915231</v>
      </c>
    </row>
    <row r="135" customFormat="false" ht="15" hidden="false" customHeight="true" outlineLevel="0" collapsed="false">
      <c r="A135" s="1" t="n">
        <v>10</v>
      </c>
      <c r="B135" s="1" t="n">
        <f aca="false">($B$90*(SUMIFS(Projection!$I$4:$I$59,Projection!$B$4:$B$59,"&lt;"&amp;(Assumptions!$B$4+10))-SUMIFS(Commission_Models!$G$15:$G$70,Commission_Models!$A$15:$A$70,"&lt;"&amp;(Assumptions!$B$4+10)))-SUMIFS(Projection!$L$4:$L$59,Projection!$B$4:$B$59,"&lt;"&amp;(Assumptions!$B$4+10))-SUMIFS(Projection!$K$4:$K$59,Projection!$B$4:$B$59,"&lt;"&amp;(Assumptions!$B$4+10)))/Discount!C14</f>
        <v>107289.117619107</v>
      </c>
      <c r="C135" s="1" t="n">
        <f aca="false">(SUMIFS(Projection!$L$4:$L$59,Projection!$B$4:$B$59,"&gt;="&amp;(Assumptions!$B$4+10))+$B$90*SUMIFS(Commission_Models!$G$15:$G$70,Commission_Models!$A$15:$A$70,"&gt;="&amp;(Assumptions!$B$4+10))-$B$90*SUMIFS(Projection!$I$4:$I$59,Projection!$B$4:$B$59,"&gt;="&amp;(Assumptions!$B$4+10))+SUMIFS(Projection!$K$4:$K$59,Projection!$B$4:$B$59,"&gt;="&amp;(Assumptions!$B$4+10)))/Discount!C14</f>
        <v>102075.273009479</v>
      </c>
      <c r="D135" s="1" t="n">
        <f aca="false">B135-C135</f>
        <v>5213.84460962821</v>
      </c>
      <c r="E135" s="1" t="n">
        <f aca="false">IF(T135&lt;=0,0,MAX(0,(R135+S135-D135)/T135))</f>
        <v>36744.4760923207</v>
      </c>
      <c r="F135" s="1" t="n">
        <f aca="false">($B$91*(SUMIFS(Projection!$I$4:$I$59,Projection!$B$4:$B$59,"&lt;"&amp;(Assumptions!$B$4+10))-SUMIFS(Commission_Models!$G$15:$G$70,Commission_Models!$A$15:$A$70,"&lt;"&amp;(Assumptions!$B$4+10)))-SUMIFS(Projection!$L$4:$L$59,Projection!$B$4:$B$59,"&lt;"&amp;(Assumptions!$B$4+10))-SUMIFS(Projection!$K$4:$K$59,Projection!$B$4:$B$59,"&lt;"&amp;(Assumptions!$B$4+10)))/Discount!C14</f>
        <v>106000.872118959</v>
      </c>
      <c r="G135" s="1" t="n">
        <f aca="false">(SUMIFS(Projection!$L$4:$L$59,Projection!$B$4:$B$59,"&gt;="&amp;(Assumptions!$B$4+10))+$B$91*SUMIFS(Commission_Models!$G$15:$G$70,Commission_Models!$A$15:$A$70,"&gt;="&amp;(Assumptions!$B$4+10))-$B$91*SUMIFS(Projection!$I$4:$I$59,Projection!$B$4:$B$59,"&gt;="&amp;(Assumptions!$B$4+10))+SUMIFS(Projection!$K$4:$K$59,Projection!$B$4:$B$59,"&gt;="&amp;(Assumptions!$B$4+10)))/Discount!C14</f>
        <v>102566.340498987</v>
      </c>
      <c r="H135" s="1" t="n">
        <f aca="false">F135-G135</f>
        <v>3434.53161997107</v>
      </c>
      <c r="I135" s="1" t="n">
        <f aca="false">IF(T135&lt;=0,0,MAX(0,(R135+S135-H135)/T135))</f>
        <v>38991.9922374504</v>
      </c>
      <c r="J135" s="1" t="n">
        <f aca="false">($B$92*(SUMIFS(Projection!$I$4:$I$59,Projection!$B$4:$B$59,"&lt;"&amp;(Assumptions!$B$4+10))-SUMIFS(Commission_Models!$G$15:$G$70,Commission_Models!$A$15:$A$70,"&lt;"&amp;(Assumptions!$B$4+10)))-SUMIFS(Projection!$L$4:$L$59,Projection!$B$4:$B$59,"&lt;"&amp;(Assumptions!$B$4+10))-SUMIFS(Projection!$K$4:$K$59,Projection!$B$4:$B$59,"&lt;"&amp;(Assumptions!$B$4+10)))/Discount!C14</f>
        <v>104742.927467729</v>
      </c>
      <c r="K135" s="1" t="n">
        <f aca="false">(SUMIFS(Projection!$L$4:$L$59,Projection!$B$4:$B$59,"&gt;="&amp;(Assumptions!$B$4+10))+$B$92*SUMIFS(Commission_Models!$G$15:$G$70,Commission_Models!$A$15:$A$70,"&gt;="&amp;(Assumptions!$B$4+10))-$B$92*SUMIFS(Projection!$I$4:$I$59,Projection!$B$4:$B$59,"&gt;="&amp;(Assumptions!$B$4+10))+SUMIFS(Projection!$K$4:$K$59,Projection!$B$4:$B$59,"&gt;="&amp;(Assumptions!$B$4+10)))/Discount!C14</f>
        <v>103045.857579971</v>
      </c>
      <c r="L135" s="1" t="n">
        <f aca="false">J135-K135</f>
        <v>1697.06988775826</v>
      </c>
      <c r="M135" s="1" t="n">
        <f aca="false">IF(T135&lt;=0,0,MAX(0,(R135+S135-L135)/T135))</f>
        <v>41186.6445090812</v>
      </c>
      <c r="N135" s="1" t="n">
        <f aca="false">($B$93*(SUMIFS(Projection!$I$4:$I$59,Projection!$B$4:$B$59,"&lt;"&amp;(Assumptions!$B$4+10))-SUMIFS(Commission_Models!$G$15:$G$70,Commission_Models!$A$15:$A$70,"&lt;"&amp;(Assumptions!$B$4+10)))-SUMIFS(Projection!$L$4:$L$59,Projection!$B$4:$B$59,"&lt;"&amp;(Assumptions!$B$4+10))-SUMIFS(Projection!$K$4:$K$59,Projection!$B$4:$B$59,"&lt;"&amp;(Assumptions!$B$4+10)))/Discount!C14</f>
        <v>103514.227031634</v>
      </c>
      <c r="O135" s="1" t="n">
        <f aca="false">(SUMIFS(Projection!$L$4:$L$59,Projection!$B$4:$B$59,"&gt;="&amp;(Assumptions!$B$4+10))+$B$93*SUMIFS(Commission_Models!$G$15:$G$70,Commission_Models!$A$15:$A$70,"&gt;="&amp;(Assumptions!$B$4+10))-$B$93*SUMIFS(Projection!$I$4:$I$59,Projection!$B$4:$B$59,"&gt;="&amp;(Assumptions!$B$4+10))+SUMIFS(Projection!$K$4:$K$59,Projection!$B$4:$B$59,"&gt;="&amp;(Assumptions!$B$4+10)))/Discount!C14</f>
        <v>103514.227031634</v>
      </c>
      <c r="P135" s="1" t="n">
        <f aca="false">N135-O135</f>
        <v>0</v>
      </c>
      <c r="Q135" s="1" t="n">
        <f aca="false">IF(T135&lt;=0,0,MAX(0,(R135+S135-P135)/T135))</f>
        <v>43330.2763458189</v>
      </c>
      <c r="R135" s="72" t="n">
        <f aca="false">RiskMargin!J14</f>
        <v>19457.0144705602</v>
      </c>
      <c r="S135" s="72" t="n">
        <f aca="false">RiskMargin!L14</f>
        <v>14846.6872913244</v>
      </c>
      <c r="T135" s="73" t="n">
        <f aca="false">Projection!F14</f>
        <v>0.791679736545108</v>
      </c>
    </row>
    <row r="136" customFormat="false" ht="15" hidden="false" customHeight="true" outlineLevel="0" collapsed="false">
      <c r="A136" s="1" t="n">
        <v>11</v>
      </c>
      <c r="B136" s="1" t="n">
        <f aca="false">($B$90*(SUMIFS(Projection!$I$4:$I$59,Projection!$B$4:$B$59,"&lt;"&amp;(Assumptions!$B$4+11))-SUMIFS(Commission_Models!$G$15:$G$70,Commission_Models!$A$15:$A$70,"&lt;"&amp;(Assumptions!$B$4+11)))-SUMIFS(Projection!$L$4:$L$59,Projection!$B$4:$B$59,"&lt;"&amp;(Assumptions!$B$4+11))-SUMIFS(Projection!$K$4:$K$59,Projection!$B$4:$B$59,"&lt;"&amp;(Assumptions!$B$4+11)))/Discount!C15</f>
        <v>120244.195142928</v>
      </c>
      <c r="C136" s="1" t="n">
        <f aca="false">(SUMIFS(Projection!$L$4:$L$59,Projection!$B$4:$B$59,"&gt;="&amp;(Assumptions!$B$4+11))+$B$90*SUMIFS(Commission_Models!$G$15:$G$70,Commission_Models!$A$15:$A$70,"&gt;="&amp;(Assumptions!$B$4+11))-$B$90*SUMIFS(Projection!$I$4:$I$59,Projection!$B$4:$B$59,"&gt;="&amp;(Assumptions!$B$4+11))+SUMIFS(Projection!$K$4:$K$59,Projection!$B$4:$B$59,"&gt;="&amp;(Assumptions!$B$4+11)))/Discount!C15</f>
        <v>114861.344729061</v>
      </c>
      <c r="D136" s="1" t="n">
        <f aca="false">B136-C136</f>
        <v>5382.85041386707</v>
      </c>
      <c r="E136" s="1" t="n">
        <f aca="false">IF(T136&lt;=0,0,MAX(0,(R136+S136-D136)/T136))</f>
        <v>36508.3517957465</v>
      </c>
      <c r="F136" s="1" t="n">
        <f aca="false">($B$91*(SUMIFS(Projection!$I$4:$I$59,Projection!$B$4:$B$59,"&lt;"&amp;(Assumptions!$B$4+11))-SUMIFS(Commission_Models!$G$15:$G$70,Commission_Models!$A$15:$A$70,"&lt;"&amp;(Assumptions!$B$4+11)))-SUMIFS(Projection!$L$4:$L$59,Projection!$B$4:$B$59,"&lt;"&amp;(Assumptions!$B$4+11))-SUMIFS(Projection!$K$4:$K$59,Projection!$B$4:$B$59,"&lt;"&amp;(Assumptions!$B$4+11)))/Discount!C15</f>
        <v>118800.385885849</v>
      </c>
      <c r="G136" s="1" t="n">
        <f aca="false">(SUMIFS(Projection!$L$4:$L$59,Projection!$B$4:$B$59,"&gt;="&amp;(Assumptions!$B$4+11))+$B$91*SUMIFS(Commission_Models!$G$15:$G$70,Commission_Models!$A$15:$A$70,"&gt;="&amp;(Assumptions!$B$4+11))-$B$91*SUMIFS(Projection!$I$4:$I$59,Projection!$B$4:$B$59,"&gt;="&amp;(Assumptions!$B$4+11))+SUMIFS(Projection!$K$4:$K$59,Projection!$B$4:$B$59,"&gt;="&amp;(Assumptions!$B$4+11)))/Discount!C15</f>
        <v>115254.524561586</v>
      </c>
      <c r="H136" s="1" t="n">
        <f aca="false">F136-G136</f>
        <v>3545.86132426356</v>
      </c>
      <c r="I136" s="1" t="n">
        <f aca="false">IF(T136&lt;=0,0,MAX(0,(R136+S136-H136)/T136))</f>
        <v>38885.3963643081</v>
      </c>
      <c r="J136" s="1" t="n">
        <f aca="false">($B$92*(SUMIFS(Projection!$I$4:$I$59,Projection!$B$4:$B$59,"&lt;"&amp;(Assumptions!$B$4+11))-SUMIFS(Commission_Models!$G$15:$G$70,Commission_Models!$A$15:$A$70,"&lt;"&amp;(Assumptions!$B$4+11)))-SUMIFS(Projection!$L$4:$L$59,Projection!$B$4:$B$59,"&lt;"&amp;(Assumptions!$B$4+11))-SUMIFS(Projection!$K$4:$K$59,Projection!$B$4:$B$59,"&lt;"&amp;(Assumptions!$B$4+11)))/Discount!C15</f>
        <v>117390.536496017</v>
      </c>
      <c r="K136" s="1" t="n">
        <f aca="false">(SUMIFS(Projection!$L$4:$L$59,Projection!$B$4:$B$59,"&gt;="&amp;(Assumptions!$B$4+11))+$B$92*SUMIFS(Commission_Models!$G$15:$G$70,Commission_Models!$A$15:$A$70,"&gt;="&amp;(Assumptions!$B$4+11))-$B$92*SUMIFS(Projection!$I$4:$I$59,Projection!$B$4:$B$59,"&gt;="&amp;(Assumptions!$B$4+11))+SUMIFS(Projection!$K$4:$K$59,Projection!$B$4:$B$59,"&gt;="&amp;(Assumptions!$B$4+11)))/Discount!C15</f>
        <v>115638.456403178</v>
      </c>
      <c r="L136" s="1" t="n">
        <f aca="false">J136-K136</f>
        <v>1752.08009283812</v>
      </c>
      <c r="M136" s="1" t="n">
        <f aca="false">IF(T136&lt;=0,0,MAX(0,(R136+S136-L136)/T136))</f>
        <v>41206.5304186579</v>
      </c>
      <c r="N136" s="1" t="n">
        <f aca="false">($B$93*(SUMIFS(Projection!$I$4:$I$59,Projection!$B$4:$B$59,"&lt;"&amp;(Assumptions!$B$4+11))-SUMIFS(Commission_Models!$G$15:$G$70,Commission_Models!$A$15:$A$70,"&lt;"&amp;(Assumptions!$B$4+11)))-SUMIFS(Projection!$L$4:$L$59,Projection!$B$4:$B$59,"&lt;"&amp;(Assumptions!$B$4+11))-SUMIFS(Projection!$K$4:$K$59,Projection!$B$4:$B$59,"&lt;"&amp;(Assumptions!$B$4+11)))/Discount!C15</f>
        <v>116013.462744463</v>
      </c>
      <c r="O136" s="1" t="n">
        <f aca="false">(SUMIFS(Projection!$L$4:$L$59,Projection!$B$4:$B$59,"&gt;="&amp;(Assumptions!$B$4+11))+$B$93*SUMIFS(Commission_Models!$G$15:$G$70,Commission_Models!$A$15:$A$70,"&gt;="&amp;(Assumptions!$B$4+11))-$B$93*SUMIFS(Projection!$I$4:$I$59,Projection!$B$4:$B$59,"&gt;="&amp;(Assumptions!$B$4+11))+SUMIFS(Projection!$K$4:$K$59,Projection!$B$4:$B$59,"&gt;="&amp;(Assumptions!$B$4+11)))/Discount!C15</f>
        <v>116013.462744463</v>
      </c>
      <c r="P136" s="1" t="n">
        <f aca="false">N136-O136</f>
        <v>0</v>
      </c>
      <c r="Q136" s="1" t="n">
        <f aca="false">IF(T136&lt;=0,0,MAX(0,(R136+S136-P136)/T136))</f>
        <v>43473.7036381051</v>
      </c>
      <c r="R136" s="72" t="n">
        <f aca="false">RiskMargin!J15</f>
        <v>19473.9663297575</v>
      </c>
      <c r="S136" s="72" t="n">
        <f aca="false">RiskMargin!L15</f>
        <v>14122.6773024566</v>
      </c>
      <c r="T136" s="73" t="n">
        <f aca="false">Projection!F15</f>
        <v>0.77280380599472</v>
      </c>
    </row>
    <row r="137" customFormat="false" ht="15" hidden="false" customHeight="true" outlineLevel="0" collapsed="false">
      <c r="A137" s="1" t="n">
        <v>12</v>
      </c>
      <c r="B137" s="1" t="n">
        <f aca="false">($B$90*(SUMIFS(Projection!$I$4:$I$59,Projection!$B$4:$B$59,"&lt;"&amp;(Assumptions!$B$4+12))-SUMIFS(Commission_Models!$G$15:$G$70,Commission_Models!$A$15:$A$70,"&lt;"&amp;(Assumptions!$B$4+12)))-SUMIFS(Projection!$L$4:$L$59,Projection!$B$4:$B$59,"&lt;"&amp;(Assumptions!$B$4+12))-SUMIFS(Projection!$K$4:$K$59,Projection!$B$4:$B$59,"&lt;"&amp;(Assumptions!$B$4+12)))/Discount!C16</f>
        <v>133795.798400466</v>
      </c>
      <c r="C137" s="1" t="n">
        <f aca="false">(SUMIFS(Projection!$L$4:$L$59,Projection!$B$4:$B$59,"&gt;="&amp;(Assumptions!$B$4+12))+$B$90*SUMIFS(Commission_Models!$G$15:$G$70,Commission_Models!$A$15:$A$70,"&gt;="&amp;(Assumptions!$B$4+12))-$B$90*SUMIFS(Projection!$I$4:$I$59,Projection!$B$4:$B$59,"&gt;="&amp;(Assumptions!$B$4+12))+SUMIFS(Projection!$K$4:$K$59,Projection!$B$4:$B$59,"&gt;="&amp;(Assumptions!$B$4+12)))/Discount!C16</f>
        <v>128221.605397744</v>
      </c>
      <c r="D137" s="1" t="n">
        <f aca="false">B137-C137</f>
        <v>5574.19300272239</v>
      </c>
      <c r="E137" s="1" t="n">
        <f aca="false">IF(T137&lt;=0,0,MAX(0,(R137+S137-D137)/T137))</f>
        <v>36238.1790113898</v>
      </c>
      <c r="F137" s="1" t="n">
        <f aca="false">($B$91*(SUMIFS(Projection!$I$4:$I$59,Projection!$B$4:$B$59,"&lt;"&amp;(Assumptions!$B$4+12))-SUMIFS(Commission_Models!$G$15:$G$70,Commission_Models!$A$15:$A$70,"&lt;"&amp;(Assumptions!$B$4+12)))-SUMIFS(Projection!$L$4:$L$59,Projection!$B$4:$B$59,"&lt;"&amp;(Assumptions!$B$4+12))-SUMIFS(Projection!$K$4:$K$59,Projection!$B$4:$B$59,"&lt;"&amp;(Assumptions!$B$4+12)))/Discount!C16</f>
        <v>132189.237413049</v>
      </c>
      <c r="G137" s="1" t="n">
        <f aca="false">(SUMIFS(Projection!$L$4:$L$59,Projection!$B$4:$B$59,"&gt;="&amp;(Assumptions!$B$4+12))+$B$91*SUMIFS(Commission_Models!$G$15:$G$70,Commission_Models!$A$15:$A$70,"&gt;="&amp;(Assumptions!$B$4+12))-$B$91*SUMIFS(Projection!$I$4:$I$59,Projection!$B$4:$B$59,"&gt;="&amp;(Assumptions!$B$4+12))+SUMIFS(Projection!$K$4:$K$59,Projection!$B$4:$B$59,"&gt;="&amp;(Assumptions!$B$4+12)))/Discount!C16</f>
        <v>128517.332406844</v>
      </c>
      <c r="H137" s="1" t="n">
        <f aca="false">F137-G137</f>
        <v>3671.9050062055</v>
      </c>
      <c r="I137" s="1" t="n">
        <f aca="false">IF(T137&lt;=0,0,MAX(0,(R137+S137-H137)/T137))</f>
        <v>38764.2941542231</v>
      </c>
      <c r="J137" s="1" t="n">
        <f aca="false">($B$92*(SUMIFS(Projection!$I$4:$I$59,Projection!$B$4:$B$59,"&lt;"&amp;(Assumptions!$B$4+12))-SUMIFS(Commission_Models!$G$15:$G$70,Commission_Models!$A$15:$A$70,"&lt;"&amp;(Assumptions!$B$4+12)))-SUMIFS(Projection!$L$4:$L$59,Projection!$B$4:$B$59,"&lt;"&amp;(Assumptions!$B$4+12))-SUMIFS(Projection!$K$4:$K$59,Projection!$B$4:$B$59,"&lt;"&amp;(Assumptions!$B$4+12)))/Discount!C16</f>
        <v>130620.464379678</v>
      </c>
      <c r="K137" s="1" t="n">
        <f aca="false">(SUMIFS(Projection!$L$4:$L$59,Projection!$B$4:$B$59,"&gt;="&amp;(Assumptions!$B$4+12))+$B$92*SUMIFS(Commission_Models!$G$15:$G$70,Commission_Models!$A$15:$A$70,"&gt;="&amp;(Assumptions!$B$4+12))-$B$92*SUMIFS(Projection!$I$4:$I$59,Projection!$B$4:$B$59,"&gt;="&amp;(Assumptions!$B$4+12))+SUMIFS(Projection!$K$4:$K$59,Projection!$B$4:$B$59,"&gt;="&amp;(Assumptions!$B$4+12)))/Discount!C16</f>
        <v>128806.103614878</v>
      </c>
      <c r="L137" s="1" t="n">
        <f aca="false">J137-K137</f>
        <v>1814.3607647999</v>
      </c>
      <c r="M137" s="1" t="n">
        <f aca="false">IF(T137&lt;=0,0,MAX(0,(R137+S137-L137)/T137))</f>
        <v>41230.9924907996</v>
      </c>
      <c r="N137" s="1" t="n">
        <f aca="false">($B$93*(SUMIFS(Projection!$I$4:$I$59,Projection!$B$4:$B$59,"&lt;"&amp;(Assumptions!$B$4+12))-SUMIFS(Commission_Models!$G$15:$G$70,Commission_Models!$A$15:$A$70,"&lt;"&amp;(Assumptions!$B$4+12)))-SUMIFS(Projection!$L$4:$L$59,Projection!$B$4:$B$59,"&lt;"&amp;(Assumptions!$B$4+12))-SUMIFS(Projection!$K$4:$K$59,Projection!$B$4:$B$59,"&lt;"&amp;(Assumptions!$B$4+12)))/Discount!C16</f>
        <v>129088.161580541</v>
      </c>
      <c r="O137" s="1" t="n">
        <f aca="false">(SUMIFS(Projection!$L$4:$L$59,Projection!$B$4:$B$59,"&gt;="&amp;(Assumptions!$B$4+12))+$B$93*SUMIFS(Commission_Models!$G$15:$G$70,Commission_Models!$A$15:$A$70,"&gt;="&amp;(Assumptions!$B$4+12))-$B$93*SUMIFS(Projection!$I$4:$I$59,Projection!$B$4:$B$59,"&gt;="&amp;(Assumptions!$B$4+12))+SUMIFS(Projection!$K$4:$K$59,Projection!$B$4:$B$59,"&gt;="&amp;(Assumptions!$B$4+12)))/Discount!C16</f>
        <v>129088.161580541</v>
      </c>
      <c r="P137" s="1" t="n">
        <f aca="false">N137-O137</f>
        <v>0</v>
      </c>
      <c r="Q137" s="1" t="n">
        <f aca="false">IF(T137&lt;=0,0,MAX(0,(R137+S137-P137)/T137))</f>
        <v>43640.345969829</v>
      </c>
      <c r="R137" s="72" t="n">
        <f aca="false">RiskMargin!J16</f>
        <v>19448.5906719559</v>
      </c>
      <c r="S137" s="72" t="n">
        <f aca="false">RiskMargin!L16</f>
        <v>13414.7198298511</v>
      </c>
      <c r="T137" s="73" t="n">
        <f aca="false">Projection!F16</f>
        <v>0.753048807736933</v>
      </c>
    </row>
    <row r="138" customFormat="false" ht="15" hidden="false" customHeight="true" outlineLevel="0" collapsed="false">
      <c r="A138" s="1" t="n">
        <v>13</v>
      </c>
      <c r="B138" s="1" t="n">
        <f aca="false">($B$90*(SUMIFS(Projection!$I$4:$I$59,Projection!$B$4:$B$59,"&lt;"&amp;(Assumptions!$B$4+13))-SUMIFS(Commission_Models!$G$15:$G$70,Commission_Models!$A$15:$A$70,"&lt;"&amp;(Assumptions!$B$4+13)))-SUMIFS(Projection!$L$4:$L$59,Projection!$B$4:$B$59,"&lt;"&amp;(Assumptions!$B$4+13))-SUMIFS(Projection!$K$4:$K$59,Projection!$B$4:$B$59,"&lt;"&amp;(Assumptions!$B$4+13)))/Discount!C17</f>
        <v>147549.394897885</v>
      </c>
      <c r="C138" s="1" t="n">
        <f aca="false">(SUMIFS(Projection!$L$4:$L$59,Projection!$B$4:$B$59,"&gt;="&amp;(Assumptions!$B$4+13))+$B$90*SUMIFS(Commission_Models!$G$15:$G$70,Commission_Models!$A$15:$A$70,"&gt;="&amp;(Assumptions!$B$4+13))-$B$90*SUMIFS(Projection!$I$4:$I$59,Projection!$B$4:$B$59,"&gt;="&amp;(Assumptions!$B$4+13))+SUMIFS(Projection!$K$4:$K$59,Projection!$B$4:$B$59,"&gt;="&amp;(Assumptions!$B$4+13)))/Discount!C17</f>
        <v>141778.640523682</v>
      </c>
      <c r="D138" s="1" t="n">
        <f aca="false">B138-C138</f>
        <v>5770.75437420301</v>
      </c>
      <c r="E138" s="1" t="n">
        <f aca="false">IF(T138&lt;=0,0,MAX(0,(R138+S138-D138)/T138))</f>
        <v>35787.3536994565</v>
      </c>
      <c r="F138" s="1" t="n">
        <f aca="false">($B$91*(SUMIFS(Projection!$I$4:$I$59,Projection!$B$4:$B$59,"&lt;"&amp;(Assumptions!$B$4+13))-SUMIFS(Commission_Models!$G$15:$G$70,Commission_Models!$A$15:$A$70,"&lt;"&amp;(Assumptions!$B$4+13)))-SUMIFS(Projection!$L$4:$L$59,Projection!$B$4:$B$59,"&lt;"&amp;(Assumptions!$B$4+13))-SUMIFS(Projection!$K$4:$K$59,Projection!$B$4:$B$59,"&lt;"&amp;(Assumptions!$B$4+13)))/Discount!C17</f>
        <v>145777.631290551</v>
      </c>
      <c r="G138" s="1" t="n">
        <f aca="false">(SUMIFS(Projection!$L$4:$L$59,Projection!$B$4:$B$59,"&gt;="&amp;(Assumptions!$B$4+13))+$B$91*SUMIFS(Commission_Models!$G$15:$G$70,Commission_Models!$A$15:$A$70,"&gt;="&amp;(Assumptions!$B$4+13))-$B$91*SUMIFS(Projection!$I$4:$I$59,Projection!$B$4:$B$59,"&gt;="&amp;(Assumptions!$B$4+13))+SUMIFS(Projection!$K$4:$K$59,Projection!$B$4:$B$59,"&gt;="&amp;(Assumptions!$B$4+13)))/Discount!C17</f>
        <v>141976.24481795</v>
      </c>
      <c r="H138" s="1" t="n">
        <f aca="false">F138-G138</f>
        <v>3801.38647260144</v>
      </c>
      <c r="I138" s="1" t="n">
        <f aca="false">IF(T138&lt;=0,0,MAX(0,(R138+S138-H138)/T138))</f>
        <v>38476.5295555109</v>
      </c>
      <c r="J138" s="1" t="n">
        <f aca="false">($B$92*(SUMIFS(Projection!$I$4:$I$59,Projection!$B$4:$B$59,"&lt;"&amp;(Assumptions!$B$4+13))-SUMIFS(Commission_Models!$G$15:$G$70,Commission_Models!$A$15:$A$70,"&lt;"&amp;(Assumptions!$B$4+13)))-SUMIFS(Projection!$L$4:$L$59,Projection!$B$4:$B$59,"&lt;"&amp;(Assumptions!$B$4+13))-SUMIFS(Projection!$K$4:$K$59,Projection!$B$4:$B$59,"&lt;"&amp;(Assumptions!$B$4+13)))/Discount!C17</f>
        <v>144047.541371484</v>
      </c>
      <c r="K138" s="1" t="n">
        <f aca="false">(SUMIFS(Projection!$L$4:$L$59,Projection!$B$4:$B$59,"&gt;="&amp;(Assumptions!$B$4+13))+$B$92*SUMIFS(Commission_Models!$G$15:$G$70,Commission_Models!$A$15:$A$70,"&gt;="&amp;(Assumptions!$B$4+13))-$B$92*SUMIFS(Projection!$I$4:$I$59,Projection!$B$4:$B$59,"&gt;="&amp;(Assumptions!$B$4+13))+SUMIFS(Projection!$K$4:$K$59,Projection!$B$4:$B$59,"&gt;="&amp;(Assumptions!$B$4+13)))/Discount!C17</f>
        <v>142169.201257545</v>
      </c>
      <c r="L138" s="1" t="n">
        <f aca="false">J138-K138</f>
        <v>1878.34011393896</v>
      </c>
      <c r="M138" s="1" t="n">
        <f aca="false">IF(T138&lt;=0,0,MAX(0,(R138+S138-L138)/T138))</f>
        <v>41102.4532509174</v>
      </c>
      <c r="N138" s="1" t="n">
        <f aca="false">($B$93*(SUMIFS(Projection!$I$4:$I$59,Projection!$B$4:$B$59,"&lt;"&amp;(Assumptions!$B$4+13))-SUMIFS(Commission_Models!$G$15:$G$70,Commission_Models!$A$15:$A$70,"&lt;"&amp;(Assumptions!$B$4+13)))-SUMIFS(Projection!$L$4:$L$59,Projection!$B$4:$B$59,"&lt;"&amp;(Assumptions!$B$4+13))-SUMIFS(Projection!$K$4:$K$59,Projection!$B$4:$B$59,"&lt;"&amp;(Assumptions!$B$4+13)))/Discount!C17</f>
        <v>142357.671919785</v>
      </c>
      <c r="O138" s="1" t="n">
        <f aca="false">(SUMIFS(Projection!$L$4:$L$59,Projection!$B$4:$B$59,"&gt;="&amp;(Assumptions!$B$4+13))+$B$93*SUMIFS(Commission_Models!$G$15:$G$70,Commission_Models!$A$15:$A$70,"&gt;="&amp;(Assumptions!$B$4+13))-$B$93*SUMIFS(Projection!$I$4:$I$59,Projection!$B$4:$B$59,"&gt;="&amp;(Assumptions!$B$4+13))+SUMIFS(Projection!$K$4:$K$59,Projection!$B$4:$B$59,"&gt;="&amp;(Assumptions!$B$4+13)))/Discount!C17</f>
        <v>142357.671919785</v>
      </c>
      <c r="P138" s="1" t="n">
        <f aca="false">N138-O138</f>
        <v>0</v>
      </c>
      <c r="Q138" s="1" t="n">
        <f aca="false">IF(T138&lt;=0,0,MAX(0,(R138+S138-P138)/T138))</f>
        <v>43667.330478659</v>
      </c>
      <c r="R138" s="72" t="n">
        <f aca="false">RiskMargin!J17</f>
        <v>19299.2613253291</v>
      </c>
      <c r="S138" s="72" t="n">
        <f aca="false">RiskMargin!L17</f>
        <v>12679.6956475612</v>
      </c>
      <c r="T138" s="73" t="n">
        <f aca="false">Projection!F17</f>
        <v>0.732331393340358</v>
      </c>
    </row>
    <row r="139" customFormat="false" ht="15" hidden="false" customHeight="true" outlineLevel="0" collapsed="false">
      <c r="A139" s="1" t="n">
        <v>14</v>
      </c>
      <c r="B139" s="1" t="n">
        <f aca="false">($B$90*(SUMIFS(Projection!$I$4:$I$59,Projection!$B$4:$B$59,"&lt;"&amp;(Assumptions!$B$4+14))-SUMIFS(Commission_Models!$G$15:$G$70,Commission_Models!$A$15:$A$70,"&lt;"&amp;(Assumptions!$B$4+14)))-SUMIFS(Projection!$L$4:$L$59,Projection!$B$4:$B$59,"&lt;"&amp;(Assumptions!$B$4+14))-SUMIFS(Projection!$K$4:$K$59,Projection!$B$4:$B$59,"&lt;"&amp;(Assumptions!$B$4+14)))/Discount!C18</f>
        <v>161424.21635222</v>
      </c>
      <c r="C139" s="1" t="n">
        <f aca="false">(SUMIFS(Projection!$L$4:$L$59,Projection!$B$4:$B$59,"&gt;="&amp;(Assumptions!$B$4+14))+$B$90*SUMIFS(Commission_Models!$G$15:$G$70,Commission_Models!$A$15:$A$70,"&gt;="&amp;(Assumptions!$B$4+14))-$B$90*SUMIFS(Projection!$I$4:$I$59,Projection!$B$4:$B$59,"&gt;="&amp;(Assumptions!$B$4+14))+SUMIFS(Projection!$K$4:$K$59,Projection!$B$4:$B$59,"&gt;="&amp;(Assumptions!$B$4+14)))/Discount!C18</f>
        <v>155454.151904803</v>
      </c>
      <c r="D139" s="1" t="n">
        <f aca="false">B139-C139</f>
        <v>5970.06444741681</v>
      </c>
      <c r="E139" s="1" t="n">
        <f aca="false">IF(T139&lt;=0,0,MAX(0,(R139+S139-D139)/T139))</f>
        <v>35109.3637683046</v>
      </c>
      <c r="F139" s="1" t="n">
        <f aca="false">($B$91*(SUMIFS(Projection!$I$4:$I$59,Projection!$B$4:$B$59,"&lt;"&amp;(Assumptions!$B$4+14))-SUMIFS(Commission_Models!$G$15:$G$70,Commission_Models!$A$15:$A$70,"&lt;"&amp;(Assumptions!$B$4+14)))-SUMIFS(Projection!$L$4:$L$59,Projection!$B$4:$B$59,"&lt;"&amp;(Assumptions!$B$4+14))-SUMIFS(Projection!$K$4:$K$59,Projection!$B$4:$B$59,"&lt;"&amp;(Assumptions!$B$4+14)))/Discount!C18</f>
        <v>159485.769075712</v>
      </c>
      <c r="G139" s="1" t="n">
        <f aca="false">(SUMIFS(Projection!$L$4:$L$59,Projection!$B$4:$B$59,"&gt;="&amp;(Assumptions!$B$4+14))+$B$91*SUMIFS(Commission_Models!$G$15:$G$70,Commission_Models!$A$15:$A$70,"&gt;="&amp;(Assumptions!$B$4+14))-$B$91*SUMIFS(Projection!$I$4:$I$59,Projection!$B$4:$B$59,"&gt;="&amp;(Assumptions!$B$4+14))+SUMIFS(Projection!$K$4:$K$59,Projection!$B$4:$B$59,"&gt;="&amp;(Assumptions!$B$4+14)))/Discount!C18</f>
        <v>155553.090476113</v>
      </c>
      <c r="H139" s="1" t="n">
        <f aca="false">F139-G139</f>
        <v>3932.67859959873</v>
      </c>
      <c r="I139" s="1" t="n">
        <f aca="false">IF(T139&lt;=0,0,MAX(0,(R139+S139-H139)/T139))</f>
        <v>37976.6246857571</v>
      </c>
      <c r="J139" s="1" t="n">
        <f aca="false">($B$92*(SUMIFS(Projection!$I$4:$I$59,Projection!$B$4:$B$59,"&lt;"&amp;(Assumptions!$B$4+14))-SUMIFS(Commission_Models!$G$15:$G$70,Commission_Models!$A$15:$A$70,"&lt;"&amp;(Assumptions!$B$4+14)))-SUMIFS(Projection!$L$4:$L$59,Projection!$B$4:$B$59,"&lt;"&amp;(Assumptions!$B$4+14))-SUMIFS(Projection!$K$4:$K$59,Projection!$B$4:$B$59,"&lt;"&amp;(Assumptions!$B$4+14)))/Discount!C18</f>
        <v>157592.916057484</v>
      </c>
      <c r="K139" s="1" t="n">
        <f aca="false">(SUMIFS(Projection!$L$4:$L$59,Projection!$B$4:$B$59,"&gt;="&amp;(Assumptions!$B$4+14))+$B$92*SUMIFS(Commission_Models!$G$15:$G$70,Commission_Models!$A$15:$A$70,"&gt;="&amp;(Assumptions!$B$4+14))-$B$92*SUMIFS(Projection!$I$4:$I$59,Projection!$B$4:$B$59,"&gt;="&amp;(Assumptions!$B$4+14))+SUMIFS(Projection!$K$4:$K$59,Projection!$B$4:$B$59,"&gt;="&amp;(Assumptions!$B$4+14)))/Discount!C18</f>
        <v>155649.701911252</v>
      </c>
      <c r="L139" s="1" t="n">
        <f aca="false">J139-K139</f>
        <v>1943.21414623241</v>
      </c>
      <c r="M139" s="1" t="n">
        <f aca="false">IF(T139&lt;=0,0,MAX(0,(R139+S139-L139)/T139))</f>
        <v>40776.4447001679</v>
      </c>
      <c r="N139" s="1" t="n">
        <f aca="false">($B$93*(SUMIFS(Projection!$I$4:$I$59,Projection!$B$4:$B$59,"&lt;"&amp;(Assumptions!$B$4+14))-SUMIFS(Commission_Models!$G$15:$G$70,Commission_Models!$A$15:$A$70,"&lt;"&amp;(Assumptions!$B$4+14)))-SUMIFS(Projection!$L$4:$L$59,Projection!$B$4:$B$59,"&lt;"&amp;(Assumptions!$B$4+14))-SUMIFS(Projection!$K$4:$K$59,Projection!$B$4:$B$59,"&lt;"&amp;(Assumptions!$B$4+14)))/Discount!C18</f>
        <v>155744.067360773</v>
      </c>
      <c r="O139" s="1" t="n">
        <f aca="false">(SUMIFS(Projection!$L$4:$L$59,Projection!$B$4:$B$59,"&gt;="&amp;(Assumptions!$B$4+14))+$B$93*SUMIFS(Commission_Models!$G$15:$G$70,Commission_Models!$A$15:$A$70,"&gt;="&amp;(Assumptions!$B$4+14))-$B$93*SUMIFS(Projection!$I$4:$I$59,Projection!$B$4:$B$59,"&gt;="&amp;(Assumptions!$B$4+14))+SUMIFS(Projection!$K$4:$K$59,Projection!$B$4:$B$59,"&gt;="&amp;(Assumptions!$B$4+14)))/Discount!C18</f>
        <v>155744.067360773</v>
      </c>
      <c r="P139" s="1" t="n">
        <f aca="false">N139-O139</f>
        <v>0</v>
      </c>
      <c r="Q139" s="1" t="n">
        <f aca="false">IF(T139&lt;=0,0,MAX(0,(R139+S139-P139)/T139))</f>
        <v>43511.1755719368</v>
      </c>
      <c r="R139" s="72" t="n">
        <f aca="false">RiskMargin!J18</f>
        <v>18998.0018950061</v>
      </c>
      <c r="S139" s="72" t="n">
        <f aca="false">RiskMargin!L18</f>
        <v>11919.6773411596</v>
      </c>
      <c r="T139" s="73" t="n">
        <f aca="false">Projection!F18</f>
        <v>0.710568694818408</v>
      </c>
    </row>
    <row r="140" customFormat="false" ht="15" hidden="false" customHeight="true" outlineLevel="0" collapsed="false">
      <c r="A140" s="1" t="n">
        <v>15</v>
      </c>
      <c r="B140" s="1" t="n">
        <f aca="false">($B$90*(SUMIFS(Projection!$I$4:$I$59,Projection!$B$4:$B$59,"&lt;"&amp;(Assumptions!$B$4+15))-SUMIFS(Commission_Models!$G$15:$G$70,Commission_Models!$A$15:$A$70,"&lt;"&amp;(Assumptions!$B$4+15)))-SUMIFS(Projection!$L$4:$L$59,Projection!$B$4:$B$59,"&lt;"&amp;(Assumptions!$B$4+15))-SUMIFS(Projection!$K$4:$K$59,Projection!$B$4:$B$59,"&lt;"&amp;(Assumptions!$B$4+15)))/Discount!C19</f>
        <v>175975.362518548</v>
      </c>
      <c r="C140" s="1" t="n">
        <f aca="false">(SUMIFS(Projection!$L$4:$L$59,Projection!$B$4:$B$59,"&gt;="&amp;(Assumptions!$B$4+15))+$B$90*SUMIFS(Commission_Models!$G$15:$G$70,Commission_Models!$A$15:$A$70,"&gt;="&amp;(Assumptions!$B$4+15))-$B$90*SUMIFS(Projection!$I$4:$I$59,Projection!$B$4:$B$59,"&gt;="&amp;(Assumptions!$B$4+15))+SUMIFS(Projection!$K$4:$K$59,Projection!$B$4:$B$59,"&gt;="&amp;(Assumptions!$B$4+15)))/Discount!C19</f>
        <v>169782.914600927</v>
      </c>
      <c r="D140" s="1" t="n">
        <f aca="false">B140-C140</f>
        <v>6192.4479176208</v>
      </c>
      <c r="E140" s="1" t="n">
        <f aca="false">IF(T140&lt;=0,0,MAX(0,(R140+S140-D140)/T140))</f>
        <v>34280.0380054261</v>
      </c>
      <c r="F140" s="1" t="n">
        <f aca="false">($B$91*(SUMIFS(Projection!$I$4:$I$59,Projection!$B$4:$B$59,"&lt;"&amp;(Assumptions!$B$4+15))-SUMIFS(Commission_Models!$G$15:$G$70,Commission_Models!$A$15:$A$70,"&lt;"&amp;(Assumptions!$B$4+15)))-SUMIFS(Projection!$L$4:$L$59,Projection!$B$4:$B$59,"&lt;"&amp;(Assumptions!$B$4+15))-SUMIFS(Projection!$K$4:$K$59,Projection!$B$4:$B$59,"&lt;"&amp;(Assumptions!$B$4+15)))/Discount!C19</f>
        <v>173862.084536068</v>
      </c>
      <c r="G140" s="1" t="n">
        <f aca="false">(SUMIFS(Projection!$L$4:$L$59,Projection!$B$4:$B$59,"&gt;="&amp;(Assumptions!$B$4+15))+$B$91*SUMIFS(Commission_Models!$G$15:$G$70,Commission_Models!$A$15:$A$70,"&gt;="&amp;(Assumptions!$B$4+15))-$B$91*SUMIFS(Projection!$I$4:$I$59,Projection!$B$4:$B$59,"&gt;="&amp;(Assumptions!$B$4+15))+SUMIFS(Projection!$K$4:$K$59,Projection!$B$4:$B$59,"&gt;="&amp;(Assumptions!$B$4+15)))/Discount!C19</f>
        <v>169782.914600927</v>
      </c>
      <c r="H140" s="1" t="n">
        <f aca="false">F140-G140</f>
        <v>4079.16993514105</v>
      </c>
      <c r="I140" s="1" t="n">
        <f aca="false">IF(T140&lt;=0,0,MAX(0,(R140+S140-H140)/T140))</f>
        <v>37353.0879208425</v>
      </c>
      <c r="J140" s="1" t="n">
        <f aca="false">($B$92*(SUMIFS(Projection!$I$4:$I$59,Projection!$B$4:$B$59,"&lt;"&amp;(Assumptions!$B$4+15))-SUMIFS(Commission_Models!$G$15:$G$70,Commission_Models!$A$15:$A$70,"&lt;"&amp;(Assumptions!$B$4+15)))-SUMIFS(Projection!$L$4:$L$59,Projection!$B$4:$B$59,"&lt;"&amp;(Assumptions!$B$4+15))-SUMIFS(Projection!$K$4:$K$59,Projection!$B$4:$B$59,"&lt;"&amp;(Assumptions!$B$4+15)))/Discount!C19</f>
        <v>171798.513008501</v>
      </c>
      <c r="K140" s="1" t="n">
        <f aca="false">(SUMIFS(Projection!$L$4:$L$59,Projection!$B$4:$B$59,"&gt;="&amp;(Assumptions!$B$4+15))+$B$92*SUMIFS(Commission_Models!$G$15:$G$70,Commission_Models!$A$15:$A$70,"&gt;="&amp;(Assumptions!$B$4+15))-$B$92*SUMIFS(Projection!$I$4:$I$59,Projection!$B$4:$B$59,"&gt;="&amp;(Assumptions!$B$4+15))+SUMIFS(Projection!$K$4:$K$59,Projection!$B$4:$B$59,"&gt;="&amp;(Assumptions!$B$4+15)))/Discount!C19</f>
        <v>169782.914600927</v>
      </c>
      <c r="L140" s="1" t="n">
        <f aca="false">J140-K140</f>
        <v>2015.59840757411</v>
      </c>
      <c r="M140" s="1" t="n">
        <f aca="false">IF(T140&lt;=0,0,MAX(0,(R140+S140-L140)/T140))</f>
        <v>40353.8565659613</v>
      </c>
      <c r="N140" s="1" t="n">
        <f aca="false">($B$93*(SUMIFS(Projection!$I$4:$I$59,Projection!$B$4:$B$59,"&lt;"&amp;(Assumptions!$B$4+15))-SUMIFS(Commission_Models!$G$15:$G$70,Commission_Models!$A$15:$A$70,"&lt;"&amp;(Assumptions!$B$4+15)))-SUMIFS(Projection!$L$4:$L$59,Projection!$B$4:$B$59,"&lt;"&amp;(Assumptions!$B$4+15))-SUMIFS(Projection!$K$4:$K$59,Projection!$B$4:$B$59,"&lt;"&amp;(Assumptions!$B$4+15)))/Discount!C19</f>
        <v>169782.914600927</v>
      </c>
      <c r="O140" s="1" t="n">
        <f aca="false">(SUMIFS(Projection!$L$4:$L$59,Projection!$B$4:$B$59,"&gt;="&amp;(Assumptions!$B$4+15))+$B$93*SUMIFS(Commission_Models!$G$15:$G$70,Commission_Models!$A$15:$A$70,"&gt;="&amp;(Assumptions!$B$4+15))-$B$93*SUMIFS(Projection!$I$4:$I$59,Projection!$B$4:$B$59,"&gt;="&amp;(Assumptions!$B$4+15))+SUMIFS(Projection!$K$4:$K$59,Projection!$B$4:$B$59,"&gt;="&amp;(Assumptions!$B$4+15)))/Discount!C19</f>
        <v>169782.914600927</v>
      </c>
      <c r="P140" s="1" t="n">
        <f aca="false">N140-O140</f>
        <v>0</v>
      </c>
      <c r="Q140" s="1" t="n">
        <f aca="false">IF(T140&lt;=0,0,MAX(0,(R140+S140-P140)/T140))</f>
        <v>43284.8644916867</v>
      </c>
      <c r="R140" s="72" t="n">
        <f aca="false">RiskMargin!J19</f>
        <v>18584.8360127642</v>
      </c>
      <c r="S140" s="72" t="n">
        <f aca="false">RiskMargin!L19</f>
        <v>11181.3420912797</v>
      </c>
      <c r="T140" s="73" t="n">
        <f aca="false">Projection!F19</f>
        <v>0.687680981645694</v>
      </c>
    </row>
    <row r="141" customFormat="false" ht="15" hidden="false" customHeight="true" outlineLevel="0" collapsed="false">
      <c r="A141" s="1" t="n">
        <v>16</v>
      </c>
      <c r="B141" s="1" t="n">
        <f aca="false">($B$90*(SUMIFS(Projection!$I$4:$I$59,Projection!$B$4:$B$59,"&lt;"&amp;(Assumptions!$B$4+16))-SUMIFS(Commission_Models!$G$15:$G$70,Commission_Models!$A$15:$A$70,"&lt;"&amp;(Assumptions!$B$4+16)))-SUMIFS(Projection!$L$4:$L$59,Projection!$B$4:$B$59,"&lt;"&amp;(Assumptions!$B$4+16))-SUMIFS(Projection!$K$4:$K$59,Projection!$B$4:$B$59,"&lt;"&amp;(Assumptions!$B$4+16)))/Discount!C20</f>
        <v>166916.841796054</v>
      </c>
      <c r="C141" s="1" t="n">
        <f aca="false">(SUMIFS(Projection!$L$4:$L$59,Projection!$B$4:$B$59,"&gt;="&amp;(Assumptions!$B$4+16))+$B$90*SUMIFS(Commission_Models!$G$15:$G$70,Commission_Models!$A$15:$A$70,"&gt;="&amp;(Assumptions!$B$4+16))-$B$90*SUMIFS(Projection!$I$4:$I$59,Projection!$B$4:$B$59,"&gt;="&amp;(Assumptions!$B$4+16))+SUMIFS(Projection!$K$4:$K$59,Projection!$B$4:$B$59,"&gt;="&amp;(Assumptions!$B$4+16)))/Discount!C20</f>
        <v>160500.215281461</v>
      </c>
      <c r="D141" s="1" t="n">
        <f aca="false">B141-C141</f>
        <v>6416.62651459317</v>
      </c>
      <c r="E141" s="1" t="n">
        <f aca="false">IF(T141&lt;=0,0,MAX(0,(R141+S141-D141)/T141))</f>
        <v>33287.7468023815</v>
      </c>
      <c r="F141" s="1" t="n">
        <f aca="false">($B$91*(SUMIFS(Projection!$I$4:$I$59,Projection!$B$4:$B$59,"&lt;"&amp;(Assumptions!$B$4+16))-SUMIFS(Commission_Models!$G$15:$G$70,Commission_Models!$A$15:$A$70,"&lt;"&amp;(Assumptions!$B$4+16)))-SUMIFS(Projection!$L$4:$L$59,Projection!$B$4:$B$59,"&lt;"&amp;(Assumptions!$B$4+16))-SUMIFS(Projection!$K$4:$K$59,Projection!$B$4:$B$59,"&lt;"&amp;(Assumptions!$B$4+16)))/Discount!C20</f>
        <v>164727.059061427</v>
      </c>
      <c r="G141" s="1" t="n">
        <f aca="false">(SUMIFS(Projection!$L$4:$L$59,Projection!$B$4:$B$59,"&gt;="&amp;(Assumptions!$B$4+16))+$B$91*SUMIFS(Commission_Models!$G$15:$G$70,Commission_Models!$A$15:$A$70,"&gt;="&amp;(Assumptions!$B$4+16))-$B$91*SUMIFS(Projection!$I$4:$I$59,Projection!$B$4:$B$59,"&gt;="&amp;(Assumptions!$B$4+16))+SUMIFS(Projection!$K$4:$K$59,Projection!$B$4:$B$59,"&gt;="&amp;(Assumptions!$B$4+16)))/Discount!C20</f>
        <v>160500.215281461</v>
      </c>
      <c r="H141" s="1" t="n">
        <f aca="false">F141-G141</f>
        <v>4226.84377996574</v>
      </c>
      <c r="I141" s="1" t="n">
        <f aca="false">IF(T141&lt;=0,0,MAX(0,(R141+S141-H141)/T141))</f>
        <v>36560.5924094578</v>
      </c>
      <c r="J141" s="1" t="n">
        <f aca="false">($B$92*(SUMIFS(Projection!$I$4:$I$59,Projection!$B$4:$B$59,"&lt;"&amp;(Assumptions!$B$4+16))-SUMIFS(Commission_Models!$G$15:$G$70,Commission_Models!$A$15:$A$70,"&lt;"&amp;(Assumptions!$B$4+16)))-SUMIFS(Projection!$L$4:$L$59,Projection!$B$4:$B$59,"&lt;"&amp;(Assumptions!$B$4+16))-SUMIFS(Projection!$K$4:$K$59,Projection!$B$4:$B$59,"&lt;"&amp;(Assumptions!$B$4+16)))/Discount!C20</f>
        <v>162588.782251562</v>
      </c>
      <c r="K141" s="1" t="n">
        <f aca="false">(SUMIFS(Projection!$L$4:$L$59,Projection!$B$4:$B$59,"&gt;="&amp;(Assumptions!$B$4+16))+$B$92*SUMIFS(Commission_Models!$G$15:$G$70,Commission_Models!$A$15:$A$70,"&gt;="&amp;(Assumptions!$B$4+16))-$B$92*SUMIFS(Projection!$I$4:$I$59,Projection!$B$4:$B$59,"&gt;="&amp;(Assumptions!$B$4+16))+SUMIFS(Projection!$K$4:$K$59,Projection!$B$4:$B$59,"&gt;="&amp;(Assumptions!$B$4+16)))/Discount!C20</f>
        <v>160500.215281461</v>
      </c>
      <c r="L141" s="1" t="n">
        <f aca="false">J141-K141</f>
        <v>2088.56697010071</v>
      </c>
      <c r="M141" s="1" t="n">
        <f aca="false">IF(T141&lt;=0,0,MAX(0,(R141+S141-L141)/T141))</f>
        <v>39756.4573476616</v>
      </c>
      <c r="N141" s="1" t="n">
        <f aca="false">($B$93*(SUMIFS(Projection!$I$4:$I$59,Projection!$B$4:$B$59,"&lt;"&amp;(Assumptions!$B$4+16))-SUMIFS(Commission_Models!$G$15:$G$70,Commission_Models!$A$15:$A$70,"&lt;"&amp;(Assumptions!$B$4+16)))-SUMIFS(Projection!$L$4:$L$59,Projection!$B$4:$B$59,"&lt;"&amp;(Assumptions!$B$4+16))-SUMIFS(Projection!$K$4:$K$59,Projection!$B$4:$B$59,"&lt;"&amp;(Assumptions!$B$4+16)))/Discount!C20</f>
        <v>160500.215281461</v>
      </c>
      <c r="O141" s="1" t="n">
        <f aca="false">(SUMIFS(Projection!$L$4:$L$59,Projection!$B$4:$B$59,"&gt;="&amp;(Assumptions!$B$4+16))+$B$93*SUMIFS(Commission_Models!$G$15:$G$70,Commission_Models!$A$15:$A$70,"&gt;="&amp;(Assumptions!$B$4+16))-$B$93*SUMIFS(Projection!$I$4:$I$59,Projection!$B$4:$B$59,"&gt;="&amp;(Assumptions!$B$4+16))+SUMIFS(Projection!$K$4:$K$59,Projection!$B$4:$B$59,"&gt;="&amp;(Assumptions!$B$4+16)))/Discount!C20</f>
        <v>160500.215281461</v>
      </c>
      <c r="P141" s="1" t="n">
        <f aca="false">N141-O141</f>
        <v>0</v>
      </c>
      <c r="Q141" s="1" t="n">
        <f aca="false">IF(T141&lt;=0,0,MAX(0,(R141+S141-P141)/T141))</f>
        <v>42878.0260426225</v>
      </c>
      <c r="R141" s="72" t="n">
        <f aca="false">RiskMargin!J20</f>
        <v>18257.9921869559</v>
      </c>
      <c r="S141" s="72" t="n">
        <f aca="false">RiskMargin!L20</f>
        <v>10430.6697285436</v>
      </c>
      <c r="T141" s="73" t="n">
        <f aca="false">Projection!F20</f>
        <v>0.669076087760706</v>
      </c>
    </row>
    <row r="142" customFormat="false" ht="15" hidden="false" customHeight="true" outlineLevel="0" collapsed="false">
      <c r="A142" s="1" t="n">
        <v>17</v>
      </c>
      <c r="B142" s="1" t="n">
        <f aca="false">($B$90*(SUMIFS(Projection!$I$4:$I$59,Projection!$B$4:$B$59,"&lt;"&amp;(Assumptions!$B$4+17))-SUMIFS(Commission_Models!$G$15:$G$70,Commission_Models!$A$15:$A$70,"&lt;"&amp;(Assumptions!$B$4+17)))-SUMIFS(Projection!$L$4:$L$59,Projection!$B$4:$B$59,"&lt;"&amp;(Assumptions!$B$4+17))-SUMIFS(Projection!$K$4:$K$59,Projection!$B$4:$B$59,"&lt;"&amp;(Assumptions!$B$4+17)))/Discount!C21</f>
        <v>157355.345876953</v>
      </c>
      <c r="C142" s="1" t="n">
        <f aca="false">(SUMIFS(Projection!$L$4:$L$59,Projection!$B$4:$B$59,"&gt;="&amp;(Assumptions!$B$4+17))+$B$90*SUMIFS(Commission_Models!$G$15:$G$70,Commission_Models!$A$15:$A$70,"&gt;="&amp;(Assumptions!$B$4+17))-$B$90*SUMIFS(Projection!$I$4:$I$59,Projection!$B$4:$B$59,"&gt;="&amp;(Assumptions!$B$4+17))+SUMIFS(Projection!$K$4:$K$59,Projection!$B$4:$B$59,"&gt;="&amp;(Assumptions!$B$4+17)))/Discount!C21</f>
        <v>150718.732932927</v>
      </c>
      <c r="D142" s="1" t="n">
        <f aca="false">B142-C142</f>
        <v>6636.61294402662</v>
      </c>
      <c r="E142" s="1" t="n">
        <f aca="false">IF(T142&lt;=0,0,MAX(0,(R142+S142-D142)/T142))</f>
        <v>32124.8190805495</v>
      </c>
      <c r="F142" s="1" t="n">
        <f aca="false">($B$91*(SUMIFS(Projection!$I$4:$I$59,Projection!$B$4:$B$59,"&lt;"&amp;(Assumptions!$B$4+17))-SUMIFS(Commission_Models!$G$15:$G$70,Commission_Models!$A$15:$A$70,"&lt;"&amp;(Assumptions!$B$4+17)))-SUMIFS(Projection!$L$4:$L$59,Projection!$B$4:$B$59,"&lt;"&amp;(Assumptions!$B$4+17))-SUMIFS(Projection!$K$4:$K$59,Projection!$B$4:$B$59,"&lt;"&amp;(Assumptions!$B$4+17)))/Discount!C21</f>
        <v>155090.489038522</v>
      </c>
      <c r="G142" s="1" t="n">
        <f aca="false">(SUMIFS(Projection!$L$4:$L$59,Projection!$B$4:$B$59,"&gt;="&amp;(Assumptions!$B$4+17))+$B$91*SUMIFS(Commission_Models!$G$15:$G$70,Commission_Models!$A$15:$A$70,"&gt;="&amp;(Assumptions!$B$4+17))-$B$91*SUMIFS(Projection!$I$4:$I$59,Projection!$B$4:$B$59,"&gt;="&amp;(Assumptions!$B$4+17))+SUMIFS(Projection!$K$4:$K$59,Projection!$B$4:$B$59,"&gt;="&amp;(Assumptions!$B$4+17)))/Discount!C21</f>
        <v>150718.732932927</v>
      </c>
      <c r="H142" s="1" t="n">
        <f aca="false">F142-G142</f>
        <v>4371.75610559559</v>
      </c>
      <c r="I142" s="1" t="n">
        <f aca="false">IF(T142&lt;=0,0,MAX(0,(R142+S142-H142)/T142))</f>
        <v>35615.8687677386</v>
      </c>
      <c r="J142" s="1" t="n">
        <f aca="false">($B$92*(SUMIFS(Projection!$I$4:$I$59,Projection!$B$4:$B$59,"&lt;"&amp;(Assumptions!$B$4+17))-SUMIFS(Commission_Models!$G$15:$G$70,Commission_Models!$A$15:$A$70,"&lt;"&amp;(Assumptions!$B$4+17)))-SUMIFS(Projection!$L$4:$L$59,Projection!$B$4:$B$59,"&lt;"&amp;(Assumptions!$B$4+17))-SUMIFS(Projection!$K$4:$K$59,Projection!$B$4:$B$59,"&lt;"&amp;(Assumptions!$B$4+17)))/Discount!C21</f>
        <v>152878.903944394</v>
      </c>
      <c r="K142" s="1" t="n">
        <f aca="false">(SUMIFS(Projection!$L$4:$L$59,Projection!$B$4:$B$59,"&gt;="&amp;(Assumptions!$B$4+17))+$B$92*SUMIFS(Commission_Models!$G$15:$G$70,Commission_Models!$A$15:$A$70,"&gt;="&amp;(Assumptions!$B$4+17))-$B$92*SUMIFS(Projection!$I$4:$I$59,Projection!$B$4:$B$59,"&gt;="&amp;(Assumptions!$B$4+17))+SUMIFS(Projection!$K$4:$K$59,Projection!$B$4:$B$59,"&gt;="&amp;(Assumptions!$B$4+17)))/Discount!C21</f>
        <v>150718.732932927</v>
      </c>
      <c r="L142" s="1" t="n">
        <f aca="false">J142-K142</f>
        <v>2160.17101146735</v>
      </c>
      <c r="M142" s="1" t="n">
        <f aca="false">IF(T142&lt;=0,0,MAX(0,(R142+S142-L142)/T142))</f>
        <v>39024.8054033967</v>
      </c>
      <c r="N142" s="1" t="n">
        <f aca="false">($B$93*(SUMIFS(Projection!$I$4:$I$59,Projection!$B$4:$B$59,"&lt;"&amp;(Assumptions!$B$4+17))-SUMIFS(Commission_Models!$G$15:$G$70,Commission_Models!$A$15:$A$70,"&lt;"&amp;(Assumptions!$B$4+17)))-SUMIFS(Projection!$L$4:$L$59,Projection!$B$4:$B$59,"&lt;"&amp;(Assumptions!$B$4+17))-SUMIFS(Projection!$K$4:$K$59,Projection!$B$4:$B$59,"&lt;"&amp;(Assumptions!$B$4+17)))/Discount!C21</f>
        <v>150718.732932927</v>
      </c>
      <c r="O142" s="1" t="n">
        <f aca="false">(SUMIFS(Projection!$L$4:$L$59,Projection!$B$4:$B$59,"&gt;="&amp;(Assumptions!$B$4+17))+$B$93*SUMIFS(Commission_Models!$G$15:$G$70,Commission_Models!$A$15:$A$70,"&gt;="&amp;(Assumptions!$B$4+17))-$B$93*SUMIFS(Projection!$I$4:$I$59,Projection!$B$4:$B$59,"&gt;="&amp;(Assumptions!$B$4+17))+SUMIFS(Projection!$K$4:$K$59,Projection!$B$4:$B$59,"&gt;="&amp;(Assumptions!$B$4+17)))/Discount!C21</f>
        <v>150718.732932927</v>
      </c>
      <c r="P142" s="1" t="n">
        <f aca="false">N142-O142</f>
        <v>0</v>
      </c>
      <c r="Q142" s="1" t="n">
        <f aca="false">IF(T142&lt;=0,0,MAX(0,(R142+S142-P142)/T142))</f>
        <v>42354.4923866508</v>
      </c>
      <c r="R142" s="72" t="n">
        <f aca="false">RiskMargin!J21</f>
        <v>17822.7061358166</v>
      </c>
      <c r="S142" s="72" t="n">
        <f aca="false">RiskMargin!L21</f>
        <v>9655.23612097806</v>
      </c>
      <c r="T142" s="73" t="n">
        <f aca="false">Projection!F21</f>
        <v>0.648760986342387</v>
      </c>
    </row>
    <row r="143" customFormat="false" ht="15" hidden="false" customHeight="true" outlineLevel="0" collapsed="false">
      <c r="A143" s="1" t="n">
        <v>18</v>
      </c>
      <c r="B143" s="1" t="n">
        <f aca="false">($B$90*(SUMIFS(Projection!$I$4:$I$59,Projection!$B$4:$B$59,"&lt;"&amp;(Assumptions!$B$4+18))-SUMIFS(Commission_Models!$G$15:$G$70,Commission_Models!$A$15:$A$70,"&lt;"&amp;(Assumptions!$B$4+18)))-SUMIFS(Projection!$L$4:$L$59,Projection!$B$4:$B$59,"&lt;"&amp;(Assumptions!$B$4+18))-SUMIFS(Projection!$K$4:$K$59,Projection!$B$4:$B$59,"&lt;"&amp;(Assumptions!$B$4+18)))/Discount!C22</f>
        <v>147475.919175267</v>
      </c>
      <c r="C143" s="1" t="n">
        <f aca="false">(SUMIFS(Projection!$L$4:$L$59,Projection!$B$4:$B$59,"&gt;="&amp;(Assumptions!$B$4+18))+$B$90*SUMIFS(Commission_Models!$G$15:$G$70,Commission_Models!$A$15:$A$70,"&gt;="&amp;(Assumptions!$B$4+18))-$B$90*SUMIFS(Projection!$I$4:$I$59,Projection!$B$4:$B$59,"&gt;="&amp;(Assumptions!$B$4+18))+SUMIFS(Projection!$K$4:$K$59,Projection!$B$4:$B$59,"&gt;="&amp;(Assumptions!$B$4+18)))/Discount!C22</f>
        <v>140619.095436923</v>
      </c>
      <c r="D143" s="1" t="n">
        <f aca="false">B143-C143</f>
        <v>6856.82373834332</v>
      </c>
      <c r="E143" s="1" t="n">
        <f aca="false">IF(T143&lt;=0,0,MAX(0,(R143+S143-D143)/T143))</f>
        <v>30811.0858831754</v>
      </c>
      <c r="F143" s="1" t="n">
        <f aca="false">($B$91*(SUMIFS(Projection!$I$4:$I$59,Projection!$B$4:$B$59,"&lt;"&amp;(Assumptions!$B$4+18))-SUMIFS(Commission_Models!$G$15:$G$70,Commission_Models!$A$15:$A$70,"&lt;"&amp;(Assumptions!$B$4+18)))-SUMIFS(Projection!$L$4:$L$59,Projection!$B$4:$B$59,"&lt;"&amp;(Assumptions!$B$4+18))-SUMIFS(Projection!$K$4:$K$59,Projection!$B$4:$B$59,"&lt;"&amp;(Assumptions!$B$4+18)))/Discount!C22</f>
        <v>145135.911664706</v>
      </c>
      <c r="G143" s="1" t="n">
        <f aca="false">(SUMIFS(Projection!$L$4:$L$59,Projection!$B$4:$B$59,"&gt;="&amp;(Assumptions!$B$4+18))+$B$91*SUMIFS(Commission_Models!$G$15:$G$70,Commission_Models!$A$15:$A$70,"&gt;="&amp;(Assumptions!$B$4+18))-$B$91*SUMIFS(Projection!$I$4:$I$59,Projection!$B$4:$B$59,"&gt;="&amp;(Assumptions!$B$4+18))+SUMIFS(Projection!$K$4:$K$59,Projection!$B$4:$B$59,"&gt;="&amp;(Assumptions!$B$4+18)))/Discount!C22</f>
        <v>140619.095436923</v>
      </c>
      <c r="H143" s="1" t="n">
        <f aca="false">F143-G143</f>
        <v>4516.81622778313</v>
      </c>
      <c r="I143" s="1" t="n">
        <f aca="false">IF(T143&lt;=0,0,MAX(0,(R143+S143-H143)/T143))</f>
        <v>34545.2380938058</v>
      </c>
      <c r="J143" s="1" t="n">
        <f aca="false">($B$92*(SUMIFS(Projection!$I$4:$I$59,Projection!$B$4:$B$59,"&lt;"&amp;(Assumptions!$B$4+18))-SUMIFS(Commission_Models!$G$15:$G$70,Commission_Models!$A$15:$A$70,"&lt;"&amp;(Assumptions!$B$4+18)))-SUMIFS(Projection!$L$4:$L$59,Projection!$B$4:$B$59,"&lt;"&amp;(Assumptions!$B$4+18))-SUMIFS(Projection!$K$4:$K$59,Projection!$B$4:$B$59,"&lt;"&amp;(Assumptions!$B$4+18)))/Discount!C22</f>
        <v>142850.943518955</v>
      </c>
      <c r="K143" s="1" t="n">
        <f aca="false">(SUMIFS(Projection!$L$4:$L$59,Projection!$B$4:$B$59,"&gt;="&amp;(Assumptions!$B$4+18))+$B$92*SUMIFS(Commission_Models!$G$15:$G$70,Commission_Models!$A$15:$A$70,"&gt;="&amp;(Assumptions!$B$4+18))-$B$92*SUMIFS(Projection!$I$4:$I$59,Projection!$B$4:$B$59,"&gt;="&amp;(Assumptions!$B$4+18))+SUMIFS(Projection!$K$4:$K$59,Projection!$B$4:$B$59,"&gt;="&amp;(Assumptions!$B$4+18)))/Discount!C22</f>
        <v>140619.095436923</v>
      </c>
      <c r="L143" s="1" t="n">
        <f aca="false">J143-K143</f>
        <v>2231.84808203139</v>
      </c>
      <c r="M143" s="1" t="n">
        <f aca="false">IF(T143&lt;=0,0,MAX(0,(R143+S143-L143)/T143))</f>
        <v>38191.5592334487</v>
      </c>
      <c r="N143" s="1" t="n">
        <f aca="false">($B$93*(SUMIFS(Projection!$I$4:$I$59,Projection!$B$4:$B$59,"&lt;"&amp;(Assumptions!$B$4+18))-SUMIFS(Commission_Models!$G$15:$G$70,Commission_Models!$A$15:$A$70,"&lt;"&amp;(Assumptions!$B$4+18)))-SUMIFS(Projection!$L$4:$L$59,Projection!$B$4:$B$59,"&lt;"&amp;(Assumptions!$B$4+18))-SUMIFS(Projection!$K$4:$K$59,Projection!$B$4:$B$59,"&lt;"&amp;(Assumptions!$B$4+18)))/Discount!C22</f>
        <v>140619.095436923</v>
      </c>
      <c r="O143" s="1" t="n">
        <f aca="false">(SUMIFS(Projection!$L$4:$L$59,Projection!$B$4:$B$59,"&gt;="&amp;(Assumptions!$B$4+18))+$B$93*SUMIFS(Commission_Models!$G$15:$G$70,Commission_Models!$A$15:$A$70,"&gt;="&amp;(Assumptions!$B$4+18))-$B$93*SUMIFS(Projection!$I$4:$I$59,Projection!$B$4:$B$59,"&gt;="&amp;(Assumptions!$B$4+18))+SUMIFS(Projection!$K$4:$K$59,Projection!$B$4:$B$59,"&gt;="&amp;(Assumptions!$B$4+18)))/Discount!C22</f>
        <v>140619.095436923</v>
      </c>
      <c r="P143" s="1" t="n">
        <f aca="false">N143-O143</f>
        <v>0</v>
      </c>
      <c r="Q143" s="1" t="n">
        <f aca="false">IF(T143&lt;=0,0,MAX(0,(R143+S143-P143)/T143))</f>
        <v>41753.1120967186</v>
      </c>
      <c r="R143" s="72" t="n">
        <f aca="false">RiskMargin!J22</f>
        <v>17293.8358236351</v>
      </c>
      <c r="S143" s="72" t="n">
        <f aca="false">RiskMargin!L22</f>
        <v>8870.76336368321</v>
      </c>
      <c r="T143" s="73" t="n">
        <f aca="false">Projection!F22</f>
        <v>0.626650275234803</v>
      </c>
    </row>
    <row r="144" customFormat="false" ht="15" hidden="false" customHeight="true" outlineLevel="0" collapsed="false">
      <c r="A144" s="1" t="n">
        <v>19</v>
      </c>
      <c r="B144" s="1" t="n">
        <f aca="false">($B$90*(SUMIFS(Projection!$I$4:$I$59,Projection!$B$4:$B$59,"&lt;"&amp;(Assumptions!$B$4+19))-SUMIFS(Commission_Models!$G$15:$G$70,Commission_Models!$A$15:$A$70,"&lt;"&amp;(Assumptions!$B$4+19)))-SUMIFS(Projection!$L$4:$L$59,Projection!$B$4:$B$59,"&lt;"&amp;(Assumptions!$B$4+19))-SUMIFS(Projection!$K$4:$K$59,Projection!$B$4:$B$59,"&lt;"&amp;(Assumptions!$B$4+19)))/Discount!C23</f>
        <v>137363.316866717</v>
      </c>
      <c r="C144" s="1" t="n">
        <f aca="false">(SUMIFS(Projection!$L$4:$L$59,Projection!$B$4:$B$59,"&gt;="&amp;(Assumptions!$B$4+19))+$B$90*SUMIFS(Commission_Models!$G$15:$G$70,Commission_Models!$A$15:$A$70,"&gt;="&amp;(Assumptions!$B$4+19))-$B$90*SUMIFS(Projection!$I$4:$I$59,Projection!$B$4:$B$59,"&gt;="&amp;(Assumptions!$B$4+19))+SUMIFS(Projection!$K$4:$K$59,Projection!$B$4:$B$59,"&gt;="&amp;(Assumptions!$B$4+19)))/Discount!C23</f>
        <v>130285.565244465</v>
      </c>
      <c r="D144" s="1" t="n">
        <f aca="false">B144-C144</f>
        <v>7077.75162225199</v>
      </c>
      <c r="E144" s="1" t="n">
        <f aca="false">IF(T144&lt;=0,0,MAX(0,(R144+S144-D144)/T144))</f>
        <v>29341.9007742106</v>
      </c>
      <c r="F144" s="1" t="n">
        <f aca="false">($B$91*(SUMIFS(Projection!$I$4:$I$59,Projection!$B$4:$B$59,"&lt;"&amp;(Assumptions!$B$4+19))-SUMIFS(Commission_Models!$G$15:$G$70,Commission_Models!$A$15:$A$70,"&lt;"&amp;(Assumptions!$B$4+19)))-SUMIFS(Projection!$L$4:$L$59,Projection!$B$4:$B$59,"&lt;"&amp;(Assumptions!$B$4+19))-SUMIFS(Projection!$K$4:$K$59,Projection!$B$4:$B$59,"&lt;"&amp;(Assumptions!$B$4+19)))/Discount!C23</f>
        <v>134947.91396503</v>
      </c>
      <c r="G144" s="1" t="n">
        <f aca="false">(SUMIFS(Projection!$L$4:$L$59,Projection!$B$4:$B$59,"&gt;="&amp;(Assumptions!$B$4+19))+$B$91*SUMIFS(Commission_Models!$G$15:$G$70,Commission_Models!$A$15:$A$70,"&gt;="&amp;(Assumptions!$B$4+19))-$B$91*SUMIFS(Projection!$I$4:$I$59,Projection!$B$4:$B$59,"&gt;="&amp;(Assumptions!$B$4+19))+SUMIFS(Projection!$K$4:$K$59,Projection!$B$4:$B$59,"&gt;="&amp;(Assumptions!$B$4+19)))/Discount!C23</f>
        <v>130285.565244465</v>
      </c>
      <c r="H144" s="1" t="n">
        <f aca="false">F144-G144</f>
        <v>4662.34872056523</v>
      </c>
      <c r="I144" s="1" t="n">
        <f aca="false">IF(T144&lt;=0,0,MAX(0,(R144+S144-H144)/T144))</f>
        <v>33349.6627606782</v>
      </c>
      <c r="J144" s="1" t="n">
        <f aca="false">($B$92*(SUMIFS(Projection!$I$4:$I$59,Projection!$B$4:$B$59,"&lt;"&amp;(Assumptions!$B$4+19))-SUMIFS(Commission_Models!$G$15:$G$70,Commission_Models!$A$15:$A$70,"&lt;"&amp;(Assumptions!$B$4+19)))-SUMIFS(Projection!$L$4:$L$59,Projection!$B$4:$B$59,"&lt;"&amp;(Assumptions!$B$4+19))-SUMIFS(Projection!$K$4:$K$59,Projection!$B$4:$B$59,"&lt;"&amp;(Assumptions!$B$4+19)))/Discount!C23</f>
        <v>132589.323804698</v>
      </c>
      <c r="K144" s="1" t="n">
        <f aca="false">(SUMIFS(Projection!$L$4:$L$59,Projection!$B$4:$B$59,"&gt;="&amp;(Assumptions!$B$4+19))+$B$92*SUMIFS(Commission_Models!$G$15:$G$70,Commission_Models!$A$15:$A$70,"&gt;="&amp;(Assumptions!$B$4+19))-$B$92*SUMIFS(Projection!$I$4:$I$59,Projection!$B$4:$B$59,"&gt;="&amp;(Assumptions!$B$4+19))+SUMIFS(Projection!$K$4:$K$59,Projection!$B$4:$B$59,"&gt;="&amp;(Assumptions!$B$4+19)))/Discount!C23</f>
        <v>130285.565244465</v>
      </c>
      <c r="L144" s="1" t="n">
        <f aca="false">J144-K144</f>
        <v>2303.75856023305</v>
      </c>
      <c r="M144" s="1" t="n">
        <f aca="false">IF(T144&lt;=0,0,MAX(0,(R144+S144-L144)/T144))</f>
        <v>37263.1580949907</v>
      </c>
      <c r="N144" s="1" t="n">
        <f aca="false">($B$93*(SUMIFS(Projection!$I$4:$I$59,Projection!$B$4:$B$59,"&lt;"&amp;(Assumptions!$B$4+19))-SUMIFS(Commission_Models!$G$15:$G$70,Commission_Models!$A$15:$A$70,"&lt;"&amp;(Assumptions!$B$4+19)))-SUMIFS(Projection!$L$4:$L$59,Projection!$B$4:$B$59,"&lt;"&amp;(Assumptions!$B$4+19))-SUMIFS(Projection!$K$4:$K$59,Projection!$B$4:$B$59,"&lt;"&amp;(Assumptions!$B$4+19)))/Discount!C23</f>
        <v>130285.565244465</v>
      </c>
      <c r="O144" s="1" t="n">
        <f aca="false">(SUMIFS(Projection!$L$4:$L$59,Projection!$B$4:$B$59,"&gt;="&amp;(Assumptions!$B$4+19))+$B$93*SUMIFS(Commission_Models!$G$15:$G$70,Commission_Models!$A$15:$A$70,"&gt;="&amp;(Assumptions!$B$4+19))-$B$93*SUMIFS(Projection!$I$4:$I$59,Projection!$B$4:$B$59,"&gt;="&amp;(Assumptions!$B$4+19))+SUMIFS(Projection!$K$4:$K$59,Projection!$B$4:$B$59,"&gt;="&amp;(Assumptions!$B$4+19)))/Discount!C23</f>
        <v>130285.565244465</v>
      </c>
      <c r="P144" s="1" t="n">
        <f aca="false">N144-O144</f>
        <v>0</v>
      </c>
      <c r="Q144" s="1" t="n">
        <f aca="false">IF(T144&lt;=0,0,MAX(0,(R144+S144-P144)/T144))</f>
        <v>41085.673989649</v>
      </c>
      <c r="R144" s="72" t="n">
        <f aca="false">RiskMargin!J23</f>
        <v>16676.0463761568</v>
      </c>
      <c r="S144" s="72" t="n">
        <f aca="false">RiskMargin!L23</f>
        <v>8085.51793515636</v>
      </c>
      <c r="T144" s="73" t="n">
        <f aca="false">Projection!F23</f>
        <v>0.602681224544387</v>
      </c>
    </row>
    <row r="145" customFormat="false" ht="15" hidden="false" customHeight="true" outlineLevel="0" collapsed="false">
      <c r="A145" s="1" t="n">
        <v>20</v>
      </c>
      <c r="B145" s="1" t="n">
        <f aca="false">($B$90*(SUMIFS(Projection!$I$4:$I$59,Projection!$B$4:$B$59,"&lt;"&amp;(Assumptions!$B$4+20))-SUMIFS(Commission_Models!$G$15:$G$70,Commission_Models!$A$15:$A$70,"&lt;"&amp;(Assumptions!$B$4+20)))-SUMIFS(Projection!$L$4:$L$59,Projection!$B$4:$B$59,"&lt;"&amp;(Assumptions!$B$4+20))-SUMIFS(Projection!$K$4:$K$59,Projection!$B$4:$B$59,"&lt;"&amp;(Assumptions!$B$4+20)))/Discount!C24</f>
        <v>127165.207527775</v>
      </c>
      <c r="C145" s="1" t="n">
        <f aca="false">(SUMIFS(Projection!$L$4:$L$59,Projection!$B$4:$B$59,"&gt;="&amp;(Assumptions!$B$4+20))+$B$90*SUMIFS(Commission_Models!$G$15:$G$70,Commission_Models!$A$15:$A$70,"&gt;="&amp;(Assumptions!$B$4+20))-$B$90*SUMIFS(Projection!$I$4:$I$59,Projection!$B$4:$B$59,"&gt;="&amp;(Assumptions!$B$4+20))+SUMIFS(Projection!$K$4:$K$59,Projection!$B$4:$B$59,"&gt;="&amp;(Assumptions!$B$4+20)))/Discount!C24</f>
        <v>119861.817053451</v>
      </c>
      <c r="D145" s="1" t="n">
        <f aca="false">B145-C145</f>
        <v>7303.3904743248</v>
      </c>
      <c r="E145" s="1" t="n">
        <f aca="false">IF(T145&lt;=0,0,MAX(0,(R145+S145-D145)/T145))</f>
        <v>27722.4820573827</v>
      </c>
      <c r="F145" s="1" t="n">
        <f aca="false">($B$91*(SUMIFS(Projection!$I$4:$I$59,Projection!$B$4:$B$59,"&lt;"&amp;(Assumptions!$B$4+20))-SUMIFS(Commission_Models!$G$15:$G$70,Commission_Models!$A$15:$A$70,"&lt;"&amp;(Assumptions!$B$4+20)))-SUMIFS(Projection!$L$4:$L$59,Projection!$B$4:$B$59,"&lt;"&amp;(Assumptions!$B$4+20))-SUMIFS(Projection!$K$4:$K$59,Projection!$B$4:$B$59,"&lt;"&amp;(Assumptions!$B$4+20)))/Discount!C24</f>
        <v>124672.801537097</v>
      </c>
      <c r="G145" s="1" t="n">
        <f aca="false">(SUMIFS(Projection!$L$4:$L$59,Projection!$B$4:$B$59,"&gt;="&amp;(Assumptions!$B$4+20))+$B$91*SUMIFS(Commission_Models!$G$15:$G$70,Commission_Models!$A$15:$A$70,"&gt;="&amp;(Assumptions!$B$4+20))-$B$91*SUMIFS(Projection!$I$4:$I$59,Projection!$B$4:$B$59,"&gt;="&amp;(Assumptions!$B$4+20))+SUMIFS(Projection!$K$4:$K$59,Projection!$B$4:$B$59,"&gt;="&amp;(Assumptions!$B$4+20)))/Discount!C24</f>
        <v>119861.817053451</v>
      </c>
      <c r="H145" s="1" t="n">
        <f aca="false">F145-G145</f>
        <v>4810.98448364627</v>
      </c>
      <c r="I145" s="1" t="n">
        <f aca="false">IF(T145&lt;=0,0,MAX(0,(R145+S145-H145)/T145))</f>
        <v>32043.4078005508</v>
      </c>
      <c r="J145" s="1" t="n">
        <f aca="false">($B$92*(SUMIFS(Projection!$I$4:$I$59,Projection!$B$4:$B$59,"&lt;"&amp;(Assumptions!$B$4+20))-SUMIFS(Commission_Models!$G$15:$G$70,Commission_Models!$A$15:$A$70,"&lt;"&amp;(Assumptions!$B$4+20)))-SUMIFS(Projection!$L$4:$L$59,Projection!$B$4:$B$59,"&lt;"&amp;(Assumptions!$B$4+20))-SUMIFS(Projection!$K$4:$K$59,Projection!$B$4:$B$59,"&lt;"&amp;(Assumptions!$B$4+20)))/Discount!C24</f>
        <v>122239.019479014</v>
      </c>
      <c r="K145" s="1" t="n">
        <f aca="false">(SUMIFS(Projection!$L$4:$L$59,Projection!$B$4:$B$59,"&gt;="&amp;(Assumptions!$B$4+20))+$B$92*SUMIFS(Commission_Models!$G$15:$G$70,Commission_Models!$A$15:$A$70,"&gt;="&amp;(Assumptions!$B$4+20))-$B$92*SUMIFS(Projection!$I$4:$I$59,Projection!$B$4:$B$59,"&gt;="&amp;(Assumptions!$B$4+20))+SUMIFS(Projection!$K$4:$K$59,Projection!$B$4:$B$59,"&gt;="&amp;(Assumptions!$B$4+20)))/Discount!C24</f>
        <v>119861.817053451</v>
      </c>
      <c r="L145" s="1" t="n">
        <f aca="false">J145-K145</f>
        <v>2377.20242556305</v>
      </c>
      <c r="M145" s="1" t="n">
        <f aca="false">IF(T145&lt;=0,0,MAX(0,(R145+S145-L145)/T145))</f>
        <v>36262.7009603982</v>
      </c>
      <c r="N145" s="1" t="n">
        <f aca="false">($B$93*(SUMIFS(Projection!$I$4:$I$59,Projection!$B$4:$B$59,"&lt;"&amp;(Assumptions!$B$4+20))-SUMIFS(Commission_Models!$G$15:$G$70,Commission_Models!$A$15:$A$70,"&lt;"&amp;(Assumptions!$B$4+20)))-SUMIFS(Projection!$L$4:$L$59,Projection!$B$4:$B$59,"&lt;"&amp;(Assumptions!$B$4+20))-SUMIFS(Projection!$K$4:$K$59,Projection!$B$4:$B$59,"&lt;"&amp;(Assumptions!$B$4+20)))/Discount!C24</f>
        <v>119861.817053451</v>
      </c>
      <c r="O145" s="1" t="n">
        <f aca="false">(SUMIFS(Projection!$L$4:$L$59,Projection!$B$4:$B$59,"&gt;="&amp;(Assumptions!$B$4+20))+$B$93*SUMIFS(Commission_Models!$G$15:$G$70,Commission_Models!$A$15:$A$70,"&gt;="&amp;(Assumptions!$B$4+20))-$B$93*SUMIFS(Projection!$I$4:$I$59,Projection!$B$4:$B$59,"&gt;="&amp;(Assumptions!$B$4+20))+SUMIFS(Projection!$K$4:$K$59,Projection!$B$4:$B$59,"&gt;="&amp;(Assumptions!$B$4+20)))/Discount!C24</f>
        <v>119861.817053451</v>
      </c>
      <c r="P145" s="1" t="n">
        <f aca="false">N145-O145</f>
        <v>0</v>
      </c>
      <c r="Q145" s="1" t="n">
        <f aca="false">IF(T145&lt;=0,0,MAX(0,(R145+S145-P145)/T145))</f>
        <v>40383.9056099427</v>
      </c>
      <c r="R145" s="72" t="n">
        <f aca="false">RiskMargin!J24</f>
        <v>15983.5105361247</v>
      </c>
      <c r="S145" s="72" t="n">
        <f aca="false">RiskMargin!L24</f>
        <v>7310.82365333955</v>
      </c>
      <c r="T145" s="73" t="n">
        <f aca="false">Projection!F24</f>
        <v>0.576822222557124</v>
      </c>
    </row>
    <row r="146" customFormat="false" ht="15" hidden="false" customHeight="true" outlineLevel="0" collapsed="false">
      <c r="A146" s="1" t="n">
        <v>21</v>
      </c>
      <c r="B146" s="1" t="n">
        <f aca="false">($B$90*(SUMIFS(Projection!$I$4:$I$59,Projection!$B$4:$B$59,"&lt;"&amp;(Assumptions!$B$4+21))-SUMIFS(Commission_Models!$G$15:$G$70,Commission_Models!$A$15:$A$70,"&lt;"&amp;(Assumptions!$B$4+21)))-SUMIFS(Projection!$L$4:$L$59,Projection!$B$4:$B$59,"&lt;"&amp;(Assumptions!$B$4+21))-SUMIFS(Projection!$K$4:$K$59,Projection!$B$4:$B$59,"&lt;"&amp;(Assumptions!$B$4+21)))/Discount!C25</f>
        <v>116990.284377484</v>
      </c>
      <c r="C146" s="1" t="n">
        <f aca="false">(SUMIFS(Projection!$L$4:$L$59,Projection!$B$4:$B$59,"&gt;="&amp;(Assumptions!$B$4+21))+$B$90*SUMIFS(Commission_Models!$G$15:$G$70,Commission_Models!$A$15:$A$70,"&gt;="&amp;(Assumptions!$B$4+21))-$B$90*SUMIFS(Projection!$I$4:$I$59,Projection!$B$4:$B$59,"&gt;="&amp;(Assumptions!$B$4+21))+SUMIFS(Projection!$K$4:$K$59,Projection!$B$4:$B$59,"&gt;="&amp;(Assumptions!$B$4+21)))/Discount!C25</f>
        <v>109453.915598359</v>
      </c>
      <c r="D146" s="1" t="n">
        <f aca="false">B146-C146</f>
        <v>7536.36877912507</v>
      </c>
      <c r="E146" s="1" t="n">
        <f aca="false">IF(T146&lt;=0,0,MAX(0,(R146+S146-D146)/T146))</f>
        <v>25908.4280960014</v>
      </c>
      <c r="F146" s="1" t="n">
        <f aca="false">($B$91*(SUMIFS(Projection!$I$4:$I$59,Projection!$B$4:$B$59,"&lt;"&amp;(Assumptions!$B$4+21))-SUMIFS(Commission_Models!$G$15:$G$70,Commission_Models!$A$15:$A$70,"&lt;"&amp;(Assumptions!$B$4+21)))-SUMIFS(Projection!$L$4:$L$59,Projection!$B$4:$B$59,"&lt;"&amp;(Assumptions!$B$4+21))-SUMIFS(Projection!$K$4:$K$59,Projection!$B$4:$B$59,"&lt;"&amp;(Assumptions!$B$4+21)))/Discount!C25</f>
        <v>114418.370584967</v>
      </c>
      <c r="G146" s="1" t="n">
        <f aca="false">(SUMIFS(Projection!$L$4:$L$59,Projection!$B$4:$B$59,"&gt;="&amp;(Assumptions!$B$4+21))+$B$91*SUMIFS(Commission_Models!$G$15:$G$70,Commission_Models!$A$15:$A$70,"&gt;="&amp;(Assumptions!$B$4+21))-$B$91*SUMIFS(Projection!$I$4:$I$59,Projection!$B$4:$B$59,"&gt;="&amp;(Assumptions!$B$4+21))+SUMIFS(Projection!$K$4:$K$59,Projection!$B$4:$B$59,"&gt;="&amp;(Assumptions!$B$4+21)))/Discount!C25</f>
        <v>109453.915598359</v>
      </c>
      <c r="H146" s="1" t="n">
        <f aca="false">F146-G146</f>
        <v>4964.45498660795</v>
      </c>
      <c r="I146" s="1" t="n">
        <f aca="false">IF(T146&lt;=0,0,MAX(0,(R146+S146-H146)/T146))</f>
        <v>30600.2647530091</v>
      </c>
      <c r="J146" s="1" t="n">
        <f aca="false">($B$92*(SUMIFS(Projection!$I$4:$I$59,Projection!$B$4:$B$59,"&lt;"&amp;(Assumptions!$B$4+21))-SUMIFS(Commission_Models!$G$15:$G$70,Commission_Models!$A$15:$A$70,"&lt;"&amp;(Assumptions!$B$4+21)))-SUMIFS(Projection!$L$4:$L$59,Projection!$B$4:$B$59,"&lt;"&amp;(Assumptions!$B$4+21))-SUMIFS(Projection!$K$4:$K$59,Projection!$B$4:$B$59,"&lt;"&amp;(Assumptions!$B$4+21)))/Discount!C25</f>
        <v>111906.950829688</v>
      </c>
      <c r="K146" s="1" t="n">
        <f aca="false">(SUMIFS(Projection!$L$4:$L$59,Projection!$B$4:$B$59,"&gt;="&amp;(Assumptions!$B$4+21))+$B$92*SUMIFS(Commission_Models!$G$15:$G$70,Commission_Models!$A$15:$A$70,"&gt;="&amp;(Assumptions!$B$4+21))-$B$92*SUMIFS(Projection!$I$4:$I$59,Projection!$B$4:$B$59,"&gt;="&amp;(Assumptions!$B$4+21))+SUMIFS(Projection!$K$4:$K$59,Projection!$B$4:$B$59,"&gt;="&amp;(Assumptions!$B$4+21)))/Discount!C25</f>
        <v>109453.915598359</v>
      </c>
      <c r="L146" s="1" t="n">
        <f aca="false">J146-K146</f>
        <v>2453.03523132933</v>
      </c>
      <c r="M146" s="1" t="n">
        <f aca="false">IF(T146&lt;=0,0,MAX(0,(R146+S146-L146)/T146))</f>
        <v>35181.744623459</v>
      </c>
      <c r="N146" s="1" t="n">
        <f aca="false">($B$93*(SUMIFS(Projection!$I$4:$I$59,Projection!$B$4:$B$59,"&lt;"&amp;(Assumptions!$B$4+21))-SUMIFS(Commission_Models!$G$15:$G$70,Commission_Models!$A$15:$A$70,"&lt;"&amp;(Assumptions!$B$4+21)))-SUMIFS(Projection!$L$4:$L$59,Projection!$B$4:$B$59,"&lt;"&amp;(Assumptions!$B$4+21))-SUMIFS(Projection!$K$4:$K$59,Projection!$B$4:$B$59,"&lt;"&amp;(Assumptions!$B$4+21)))/Discount!C25</f>
        <v>109453.915598359</v>
      </c>
      <c r="O146" s="1" t="n">
        <f aca="false">(SUMIFS(Projection!$L$4:$L$59,Projection!$B$4:$B$59,"&gt;="&amp;(Assumptions!$B$4+21))+$B$93*SUMIFS(Commission_Models!$G$15:$G$70,Commission_Models!$A$15:$A$70,"&gt;="&amp;(Assumptions!$B$4+21))-$B$93*SUMIFS(Projection!$I$4:$I$59,Projection!$B$4:$B$59,"&gt;="&amp;(Assumptions!$B$4+21))+SUMIFS(Projection!$K$4:$K$59,Projection!$B$4:$B$59,"&gt;="&amp;(Assumptions!$B$4+21)))/Discount!C25</f>
        <v>109453.915598359</v>
      </c>
      <c r="P146" s="1" t="n">
        <f aca="false">N146-O146</f>
        <v>0</v>
      </c>
      <c r="Q146" s="1" t="n">
        <f aca="false">IF(T146&lt;=0,0,MAX(0,(R146+S146-P146)/T146))</f>
        <v>39656.716005769</v>
      </c>
      <c r="R146" s="72" t="n">
        <f aca="false">RiskMargin!J25</f>
        <v>15184.0989030088</v>
      </c>
      <c r="S146" s="72" t="n">
        <f aca="false">RiskMargin!L25</f>
        <v>6554.43598584625</v>
      </c>
      <c r="T146" s="73" t="n">
        <f aca="false">Projection!F25</f>
        <v>0.548167803044827</v>
      </c>
    </row>
    <row r="147" customFormat="false" ht="15" hidden="false" customHeight="true" outlineLevel="0" collapsed="false">
      <c r="A147" s="1" t="n">
        <v>22</v>
      </c>
      <c r="B147" s="1" t="n">
        <f aca="false">($B$90*(SUMIFS(Projection!$I$4:$I$59,Projection!$B$4:$B$59,"&lt;"&amp;(Assumptions!$B$4+22))-SUMIFS(Commission_Models!$G$15:$G$70,Commission_Models!$A$15:$A$70,"&lt;"&amp;(Assumptions!$B$4+22)))-SUMIFS(Projection!$L$4:$L$59,Projection!$B$4:$B$59,"&lt;"&amp;(Assumptions!$B$4+22))-SUMIFS(Projection!$K$4:$K$59,Projection!$B$4:$B$59,"&lt;"&amp;(Assumptions!$B$4+22)))/Discount!C26</f>
        <v>106928.951733912</v>
      </c>
      <c r="C147" s="1" t="n">
        <f aca="false">(SUMIFS(Projection!$L$4:$L$59,Projection!$B$4:$B$59,"&gt;="&amp;(Assumptions!$B$4+22))+$B$90*SUMIFS(Commission_Models!$G$15:$G$70,Commission_Models!$A$15:$A$70,"&gt;="&amp;(Assumptions!$B$4+22))-$B$90*SUMIFS(Projection!$I$4:$I$59,Projection!$B$4:$B$59,"&gt;="&amp;(Assumptions!$B$4+22))+SUMIFS(Projection!$K$4:$K$59,Projection!$B$4:$B$59,"&gt;="&amp;(Assumptions!$B$4+22)))/Discount!C26</f>
        <v>99152.0218946052</v>
      </c>
      <c r="D147" s="1" t="n">
        <f aca="false">B147-C147</f>
        <v>7776.92983930663</v>
      </c>
      <c r="E147" s="1" t="n">
        <f aca="false">IF(T147&lt;=0,0,MAX(0,(R147+S147-D147)/T147))</f>
        <v>23882.893184264</v>
      </c>
      <c r="F147" s="1" t="n">
        <f aca="false">($B$91*(SUMIFS(Projection!$I$4:$I$59,Projection!$B$4:$B$59,"&lt;"&amp;(Assumptions!$B$4+22))-SUMIFS(Commission_Models!$G$15:$G$70,Commission_Models!$A$15:$A$70,"&lt;"&amp;(Assumptions!$B$4+22)))-SUMIFS(Projection!$L$4:$L$59,Projection!$B$4:$B$59,"&lt;"&amp;(Assumptions!$B$4+22))-SUMIFS(Projection!$K$4:$K$59,Projection!$B$4:$B$59,"&lt;"&amp;(Assumptions!$B$4+22)))/Discount!C26</f>
        <v>104274.942395548</v>
      </c>
      <c r="G147" s="1" t="n">
        <f aca="false">(SUMIFS(Projection!$L$4:$L$59,Projection!$B$4:$B$59,"&gt;="&amp;(Assumptions!$B$4+22))+$B$91*SUMIFS(Commission_Models!$G$15:$G$70,Commission_Models!$A$15:$A$70,"&gt;="&amp;(Assumptions!$B$4+22))-$B$91*SUMIFS(Projection!$I$4:$I$59,Projection!$B$4:$B$59,"&gt;="&amp;(Assumptions!$B$4+22))+SUMIFS(Projection!$K$4:$K$59,Projection!$B$4:$B$59,"&gt;="&amp;(Assumptions!$B$4+22)))/Discount!C26</f>
        <v>99152.0218946052</v>
      </c>
      <c r="H147" s="1" t="n">
        <f aca="false">F147-G147</f>
        <v>5122.92050094291</v>
      </c>
      <c r="I147" s="1" t="n">
        <f aca="false">IF(T147&lt;=0,0,MAX(0,(R147+S147-H147)/T147))</f>
        <v>29013.5842489194</v>
      </c>
      <c r="J147" s="1" t="n">
        <f aca="false">($B$92*(SUMIFS(Projection!$I$4:$I$59,Projection!$B$4:$B$59,"&lt;"&amp;(Assumptions!$B$4+22))-SUMIFS(Commission_Models!$G$15:$G$70,Commission_Models!$A$15:$A$70,"&lt;"&amp;(Assumptions!$B$4+22)))-SUMIFS(Projection!$L$4:$L$59,Projection!$B$4:$B$59,"&lt;"&amp;(Assumptions!$B$4+22))-SUMIFS(Projection!$K$4:$K$59,Projection!$B$4:$B$59,"&lt;"&amp;(Assumptions!$B$4+22)))/Discount!C26</f>
        <v>101683.358065446</v>
      </c>
      <c r="K147" s="1" t="n">
        <f aca="false">(SUMIFS(Projection!$L$4:$L$59,Projection!$B$4:$B$59,"&gt;="&amp;(Assumptions!$B$4+22))+$B$92*SUMIFS(Commission_Models!$G$15:$G$70,Commission_Models!$A$15:$A$70,"&gt;="&amp;(Assumptions!$B$4+22))-$B$92*SUMIFS(Projection!$I$4:$I$59,Projection!$B$4:$B$59,"&gt;="&amp;(Assumptions!$B$4+22))+SUMIFS(Projection!$K$4:$K$59,Projection!$B$4:$B$59,"&gt;="&amp;(Assumptions!$B$4+22)))/Discount!C26</f>
        <v>99152.0218946052</v>
      </c>
      <c r="L147" s="1" t="n">
        <f aca="false">J147-K147</f>
        <v>2531.33617084091</v>
      </c>
      <c r="M147" s="1" t="n">
        <f aca="false">IF(T147&lt;=0,0,MAX(0,(R147+S147-L147)/T147))</f>
        <v>34023.5962234639</v>
      </c>
      <c r="N147" s="1" t="n">
        <f aca="false">($B$93*(SUMIFS(Projection!$I$4:$I$59,Projection!$B$4:$B$59,"&lt;"&amp;(Assumptions!$B$4+22))-SUMIFS(Commission_Models!$G$15:$G$70,Commission_Models!$A$15:$A$70,"&lt;"&amp;(Assumptions!$B$4+22)))-SUMIFS(Projection!$L$4:$L$59,Projection!$B$4:$B$59,"&lt;"&amp;(Assumptions!$B$4+22))-SUMIFS(Projection!$K$4:$K$59,Projection!$B$4:$B$59,"&lt;"&amp;(Assumptions!$B$4+22)))/Discount!C26</f>
        <v>99152.0218946052</v>
      </c>
      <c r="O147" s="1" t="n">
        <f aca="false">(SUMIFS(Projection!$L$4:$L$59,Projection!$B$4:$B$59,"&gt;="&amp;(Assumptions!$B$4+22))+$B$93*SUMIFS(Commission_Models!$G$15:$G$70,Commission_Models!$A$15:$A$70,"&gt;="&amp;(Assumptions!$B$4+22))-$B$93*SUMIFS(Projection!$I$4:$I$59,Projection!$B$4:$B$59,"&gt;="&amp;(Assumptions!$B$4+22))+SUMIFS(Projection!$K$4:$K$59,Projection!$B$4:$B$59,"&gt;="&amp;(Assumptions!$B$4+22)))/Discount!C26</f>
        <v>99152.0218946052</v>
      </c>
      <c r="P147" s="1" t="n">
        <f aca="false">N147-O147</f>
        <v>0</v>
      </c>
      <c r="Q147" s="1" t="n">
        <f aca="false">IF(T147&lt;=0,0,MAX(0,(R147+S147-P147)/T147))</f>
        <v>38917.1373597508</v>
      </c>
      <c r="R147" s="72" t="n">
        <f aca="false">RiskMargin!J26</f>
        <v>14307.5710736408</v>
      </c>
      <c r="S147" s="72" t="n">
        <f aca="false">RiskMargin!L26</f>
        <v>5823.52718847984</v>
      </c>
      <c r="T147" s="73" t="n">
        <f aca="false">Projection!F26</f>
        <v>0.517281065049269</v>
      </c>
    </row>
    <row r="148" customFormat="false" ht="15" hidden="false" customHeight="true" outlineLevel="0" collapsed="false">
      <c r="A148" s="1" t="n">
        <v>23</v>
      </c>
      <c r="B148" s="1" t="n">
        <f aca="false">($B$90*(SUMIFS(Projection!$I$4:$I$59,Projection!$B$4:$B$59,"&lt;"&amp;(Assumptions!$B$4+23))-SUMIFS(Commission_Models!$G$15:$G$70,Commission_Models!$A$15:$A$70,"&lt;"&amp;(Assumptions!$B$4+23)))-SUMIFS(Projection!$L$4:$L$59,Projection!$B$4:$B$59,"&lt;"&amp;(Assumptions!$B$4+23))-SUMIFS(Projection!$K$4:$K$59,Projection!$B$4:$B$59,"&lt;"&amp;(Assumptions!$B$4+23)))/Discount!C27</f>
        <v>97064.9304678307</v>
      </c>
      <c r="C148" s="1" t="n">
        <f aca="false">(SUMIFS(Projection!$L$4:$L$59,Projection!$B$4:$B$59,"&gt;="&amp;(Assumptions!$B$4+23))+$B$90*SUMIFS(Commission_Models!$G$15:$G$70,Commission_Models!$A$15:$A$70,"&gt;="&amp;(Assumptions!$B$4+23))-$B$90*SUMIFS(Projection!$I$4:$I$59,Projection!$B$4:$B$59,"&gt;="&amp;(Assumptions!$B$4+23))+SUMIFS(Projection!$K$4:$K$59,Projection!$B$4:$B$59,"&gt;="&amp;(Assumptions!$B$4+23)))/Discount!C27</f>
        <v>89039.6052987346</v>
      </c>
      <c r="D148" s="1" t="n">
        <f aca="false">B148-C148</f>
        <v>8025.32516909603</v>
      </c>
      <c r="E148" s="1" t="n">
        <f aca="false">IF(T148&lt;=0,0,MAX(0,(R148+S148-D148)/T148))</f>
        <v>21598.6133740322</v>
      </c>
      <c r="F148" s="1" t="n">
        <f aca="false">($B$91*(SUMIFS(Projection!$I$4:$I$59,Projection!$B$4:$B$59,"&lt;"&amp;(Assumptions!$B$4+23))-SUMIFS(Commission_Models!$G$15:$G$70,Commission_Models!$A$15:$A$70,"&lt;"&amp;(Assumptions!$B$4+23)))-SUMIFS(Projection!$L$4:$L$59,Projection!$B$4:$B$59,"&lt;"&amp;(Assumptions!$B$4+23))-SUMIFS(Projection!$K$4:$K$59,Projection!$B$4:$B$59,"&lt;"&amp;(Assumptions!$B$4+23)))/Discount!C27</f>
        <v>94326.1520061125</v>
      </c>
      <c r="G148" s="1" t="n">
        <f aca="false">(SUMIFS(Projection!$L$4:$L$59,Projection!$B$4:$B$59,"&gt;="&amp;(Assumptions!$B$4+23))+$B$91*SUMIFS(Commission_Models!$G$15:$G$70,Commission_Models!$A$15:$A$70,"&gt;="&amp;(Assumptions!$B$4+23))-$B$91*SUMIFS(Projection!$I$4:$I$59,Projection!$B$4:$B$59,"&gt;="&amp;(Assumptions!$B$4+23))+SUMIFS(Projection!$K$4:$K$59,Projection!$B$4:$B$59,"&gt;="&amp;(Assumptions!$B$4+23)))/Discount!C27</f>
        <v>89039.6052987346</v>
      </c>
      <c r="H148" s="1" t="n">
        <f aca="false">F148-G148</f>
        <v>5286.54670737789</v>
      </c>
      <c r="I148" s="1" t="n">
        <f aca="false">IF(T148&lt;=0,0,MAX(0,(R148+S148-H148)/T148))</f>
        <v>27254.597604252</v>
      </c>
      <c r="J148" s="1" t="n">
        <f aca="false">($B$92*(SUMIFS(Projection!$I$4:$I$59,Projection!$B$4:$B$59,"&lt;"&amp;(Assumptions!$B$4+23))-SUMIFS(Commission_Models!$G$15:$G$70,Commission_Models!$A$15:$A$70,"&lt;"&amp;(Assumptions!$B$4+23)))-SUMIFS(Projection!$L$4:$L$59,Projection!$B$4:$B$59,"&lt;"&amp;(Assumptions!$B$4+23))-SUMIFS(Projection!$K$4:$K$59,Projection!$B$4:$B$59,"&lt;"&amp;(Assumptions!$B$4+23)))/Discount!C27</f>
        <v>91651.7924089509</v>
      </c>
      <c r="K148" s="1" t="n">
        <f aca="false">(SUMIFS(Projection!$L$4:$L$59,Projection!$B$4:$B$59,"&gt;="&amp;(Assumptions!$B$4+23))+$B$92*SUMIFS(Commission_Models!$G$15:$G$70,Commission_Models!$A$15:$A$70,"&gt;="&amp;(Assumptions!$B$4+23))-$B$92*SUMIFS(Projection!$I$4:$I$59,Projection!$B$4:$B$59,"&gt;="&amp;(Assumptions!$B$4+23))+SUMIFS(Projection!$K$4:$K$59,Projection!$B$4:$B$59,"&gt;="&amp;(Assumptions!$B$4+23)))/Discount!C27</f>
        <v>89039.6052987346</v>
      </c>
      <c r="L148" s="1" t="n">
        <f aca="false">J148-K148</f>
        <v>2612.18711021626</v>
      </c>
      <c r="M148" s="1" t="n">
        <f aca="false">IF(T148&lt;=0,0,MAX(0,(R148+S148-L148)/T148))</f>
        <v>32777.5473130042</v>
      </c>
      <c r="N148" s="1" t="n">
        <f aca="false">($B$93*(SUMIFS(Projection!$I$4:$I$59,Projection!$B$4:$B$59,"&lt;"&amp;(Assumptions!$B$4+23))-SUMIFS(Commission_Models!$G$15:$G$70,Commission_Models!$A$15:$A$70,"&lt;"&amp;(Assumptions!$B$4+23)))-SUMIFS(Projection!$L$4:$L$59,Projection!$B$4:$B$59,"&lt;"&amp;(Assumptions!$B$4+23))-SUMIFS(Projection!$K$4:$K$59,Projection!$B$4:$B$59,"&lt;"&amp;(Assumptions!$B$4+23)))/Discount!C27</f>
        <v>89039.6052987347</v>
      </c>
      <c r="O148" s="1" t="n">
        <f aca="false">(SUMIFS(Projection!$L$4:$L$59,Projection!$B$4:$B$59,"&gt;="&amp;(Assumptions!$B$4+23))+$B$93*SUMIFS(Commission_Models!$G$15:$G$70,Commission_Models!$A$15:$A$70,"&gt;="&amp;(Assumptions!$B$4+23))-$B$93*SUMIFS(Projection!$I$4:$I$59,Projection!$B$4:$B$59,"&gt;="&amp;(Assumptions!$B$4+23))+SUMIFS(Projection!$K$4:$K$59,Projection!$B$4:$B$59,"&gt;="&amp;(Assumptions!$B$4+23)))/Discount!C27</f>
        <v>89039.6052987346</v>
      </c>
      <c r="P148" s="1" t="n">
        <f aca="false">N148-O148</f>
        <v>0</v>
      </c>
      <c r="Q148" s="1" t="n">
        <f aca="false">IF(T148&lt;=0,0,MAX(0,(R148+S148-P148)/T148))</f>
        <v>38172.1016036415</v>
      </c>
      <c r="R148" s="72" t="n">
        <f aca="false">RiskMargin!J27</f>
        <v>13360.2925246973</v>
      </c>
      <c r="S148" s="72" t="n">
        <f aca="false">RiskMargin!L27</f>
        <v>5123.65747501966</v>
      </c>
      <c r="T148" s="73" t="n">
        <f aca="false">Projection!F27</f>
        <v>0.484226679255031</v>
      </c>
    </row>
    <row r="149" customFormat="false" ht="15" hidden="false" customHeight="true" outlineLevel="0" collapsed="false">
      <c r="A149" s="1" t="n">
        <v>24</v>
      </c>
      <c r="B149" s="1" t="n">
        <f aca="false">($B$90*(SUMIFS(Projection!$I$4:$I$59,Projection!$B$4:$B$59,"&lt;"&amp;(Assumptions!$B$4+24))-SUMIFS(Commission_Models!$G$15:$G$70,Commission_Models!$A$15:$A$70,"&lt;"&amp;(Assumptions!$B$4+24)))-SUMIFS(Projection!$L$4:$L$59,Projection!$B$4:$B$59,"&lt;"&amp;(Assumptions!$B$4+24))-SUMIFS(Projection!$K$4:$K$59,Projection!$B$4:$B$59,"&lt;"&amp;(Assumptions!$B$4+24)))/Discount!C28</f>
        <v>87507.4856659585</v>
      </c>
      <c r="C149" s="1" t="n">
        <f aca="false">(SUMIFS(Projection!$L$4:$L$59,Projection!$B$4:$B$59,"&gt;="&amp;(Assumptions!$B$4+24))+$B$90*SUMIFS(Commission_Models!$G$15:$G$70,Commission_Models!$A$15:$A$70,"&gt;="&amp;(Assumptions!$B$4+24))-$B$90*SUMIFS(Projection!$I$4:$I$59,Projection!$B$4:$B$59,"&gt;="&amp;(Assumptions!$B$4+24))+SUMIFS(Projection!$K$4:$K$59,Projection!$B$4:$B$59,"&gt;="&amp;(Assumptions!$B$4+24)))/Discount!C28</f>
        <v>79223.7441675393</v>
      </c>
      <c r="D149" s="1" t="n">
        <f aca="false">B149-C149</f>
        <v>8283.74149841919</v>
      </c>
      <c r="E149" s="1" t="n">
        <f aca="false">IF(T149&lt;=0,0,MAX(0,(R149+S149-D149)/T149))</f>
        <v>18994.8407384486</v>
      </c>
      <c r="F149" s="1" t="n">
        <f aca="false">($B$91*(SUMIFS(Projection!$I$4:$I$59,Projection!$B$4:$B$59,"&lt;"&amp;(Assumptions!$B$4+24))-SUMIFS(Commission_Models!$G$15:$G$70,Commission_Models!$A$15:$A$70,"&lt;"&amp;(Assumptions!$B$4+24)))-SUMIFS(Projection!$L$4:$L$59,Projection!$B$4:$B$59,"&lt;"&amp;(Assumptions!$B$4+24))-SUMIFS(Projection!$K$4:$K$59,Projection!$B$4:$B$59,"&lt;"&amp;(Assumptions!$B$4+24)))/Discount!C28</f>
        <v>84680.5182446662</v>
      </c>
      <c r="G149" s="1" t="n">
        <f aca="false">(SUMIFS(Projection!$L$4:$L$59,Projection!$B$4:$B$59,"&gt;="&amp;(Assumptions!$B$4+24))+$B$91*SUMIFS(Commission_Models!$G$15:$G$70,Commission_Models!$A$15:$A$70,"&gt;="&amp;(Assumptions!$B$4+24))-$B$91*SUMIFS(Projection!$I$4:$I$59,Projection!$B$4:$B$59,"&gt;="&amp;(Assumptions!$B$4+24))+SUMIFS(Projection!$K$4:$K$59,Projection!$B$4:$B$59,"&gt;="&amp;(Assumptions!$B$4+24)))/Discount!C28</f>
        <v>79223.7441675393</v>
      </c>
      <c r="H149" s="1" t="n">
        <f aca="false">F149-G149</f>
        <v>5456.77407712693</v>
      </c>
      <c r="I149" s="1" t="n">
        <f aca="false">IF(T149&lt;=0,0,MAX(0,(R149+S149-H149)/T149))</f>
        <v>25288.8162529671</v>
      </c>
      <c r="J149" s="1" t="n">
        <f aca="false">($B$92*(SUMIFS(Projection!$I$4:$I$59,Projection!$B$4:$B$59,"&lt;"&amp;(Assumptions!$B$4+24))-SUMIFS(Commission_Models!$G$15:$G$70,Commission_Models!$A$15:$A$70,"&lt;"&amp;(Assumptions!$B$4+24)))-SUMIFS(Projection!$L$4:$L$59,Projection!$B$4:$B$59,"&lt;"&amp;(Assumptions!$B$4+24))-SUMIFS(Projection!$K$4:$K$59,Projection!$B$4:$B$59,"&lt;"&amp;(Assumptions!$B$4+24)))/Discount!C28</f>
        <v>81920.0439822633</v>
      </c>
      <c r="K149" s="1" t="n">
        <f aca="false">(SUMIFS(Projection!$L$4:$L$59,Projection!$B$4:$B$59,"&gt;="&amp;(Assumptions!$B$4+24))+$B$92*SUMIFS(Commission_Models!$G$15:$G$70,Commission_Models!$A$15:$A$70,"&gt;="&amp;(Assumptions!$B$4+24))-$B$92*SUMIFS(Projection!$I$4:$I$59,Projection!$B$4:$B$59,"&gt;="&amp;(Assumptions!$B$4+24))+SUMIFS(Projection!$K$4:$K$59,Projection!$B$4:$B$59,"&gt;="&amp;(Assumptions!$B$4+24)))/Discount!C28</f>
        <v>79223.7441675393</v>
      </c>
      <c r="L149" s="1" t="n">
        <f aca="false">J149-K149</f>
        <v>2696.29981472406</v>
      </c>
      <c r="M149" s="1" t="n">
        <f aca="false">IF(T149&lt;=0,0,MAX(0,(R149+S149-L149)/T149))</f>
        <v>31434.7510398916</v>
      </c>
      <c r="N149" s="1" t="n">
        <f aca="false">($B$93*(SUMIFS(Projection!$I$4:$I$59,Projection!$B$4:$B$59,"&lt;"&amp;(Assumptions!$B$4+24))-SUMIFS(Commission_Models!$G$15:$G$70,Commission_Models!$A$15:$A$70,"&lt;"&amp;(Assumptions!$B$4+24)))-SUMIFS(Projection!$L$4:$L$59,Projection!$B$4:$B$59,"&lt;"&amp;(Assumptions!$B$4+24))-SUMIFS(Projection!$K$4:$K$59,Projection!$B$4:$B$59,"&lt;"&amp;(Assumptions!$B$4+24)))/Discount!C28</f>
        <v>79223.7441675393</v>
      </c>
      <c r="O149" s="1" t="n">
        <f aca="false">(SUMIFS(Projection!$L$4:$L$59,Projection!$B$4:$B$59,"&gt;="&amp;(Assumptions!$B$4+24))+$B$93*SUMIFS(Commission_Models!$G$15:$G$70,Commission_Models!$A$15:$A$70,"&gt;="&amp;(Assumptions!$B$4+24))-$B$93*SUMIFS(Projection!$I$4:$I$59,Projection!$B$4:$B$59,"&gt;="&amp;(Assumptions!$B$4+24))+SUMIFS(Projection!$K$4:$K$59,Projection!$B$4:$B$59,"&gt;="&amp;(Assumptions!$B$4+24)))/Discount!C28</f>
        <v>79223.7441675393</v>
      </c>
      <c r="P149" s="1" t="n">
        <f aca="false">N149-O149</f>
        <v>0</v>
      </c>
      <c r="Q149" s="1" t="n">
        <f aca="false">IF(T149&lt;=0,0,MAX(0,(R149+S149-P149)/T149))</f>
        <v>37437.8074903676</v>
      </c>
      <c r="R149" s="72" t="n">
        <f aca="false">RiskMargin!J28</f>
        <v>12354.1496093505</v>
      </c>
      <c r="S149" s="72" t="n">
        <f aca="false">RiskMargin!L28</f>
        <v>4461.21007162474</v>
      </c>
      <c r="T149" s="73" t="n">
        <f aca="false">Projection!F28</f>
        <v>0.449154499373439</v>
      </c>
    </row>
    <row r="150" customFormat="false" ht="15" hidden="false" customHeight="true" outlineLevel="0" collapsed="false">
      <c r="A150" s="1" t="n">
        <v>25</v>
      </c>
      <c r="B150" s="1" t="n">
        <f aca="false">($B$90*(SUMIFS(Projection!$I$4:$I$59,Projection!$B$4:$B$59,"&lt;"&amp;(Assumptions!$B$4+25))-SUMIFS(Commission_Models!$G$15:$G$70,Commission_Models!$A$15:$A$70,"&lt;"&amp;(Assumptions!$B$4+25)))-SUMIFS(Projection!$L$4:$L$59,Projection!$B$4:$B$59,"&lt;"&amp;(Assumptions!$B$4+25))-SUMIFS(Projection!$K$4:$K$59,Projection!$B$4:$B$59,"&lt;"&amp;(Assumptions!$B$4+25)))/Discount!C29</f>
        <v>78309.3433809199</v>
      </c>
      <c r="C150" s="1" t="n">
        <f aca="false">(SUMIFS(Projection!$L$4:$L$59,Projection!$B$4:$B$59,"&gt;="&amp;(Assumptions!$B$4+25))+$B$90*SUMIFS(Commission_Models!$G$15:$G$70,Commission_Models!$A$15:$A$70,"&gt;="&amp;(Assumptions!$B$4+25))-$B$90*SUMIFS(Projection!$I$4:$I$59,Projection!$B$4:$B$59,"&gt;="&amp;(Assumptions!$B$4+25))+SUMIFS(Projection!$K$4:$K$59,Projection!$B$4:$B$59,"&gt;="&amp;(Assumptions!$B$4+25)))/Discount!C29</f>
        <v>69760.6047510813</v>
      </c>
      <c r="D150" s="1" t="n">
        <f aca="false">B150-C150</f>
        <v>8548.7386298386</v>
      </c>
      <c r="E150" s="1" t="n">
        <f aca="false">IF(T150&lt;=0,0,MAX(0,(R150+S150-D150)/T150))</f>
        <v>15971.0632076687</v>
      </c>
      <c r="F150" s="1" t="n">
        <f aca="false">($B$91*(SUMIFS(Projection!$I$4:$I$59,Projection!$B$4:$B$59,"&lt;"&amp;(Assumptions!$B$4+25))-SUMIFS(Commission_Models!$G$15:$G$70,Commission_Models!$A$15:$A$70,"&lt;"&amp;(Assumptions!$B$4+25)))-SUMIFS(Projection!$L$4:$L$59,Projection!$B$4:$B$59,"&lt;"&amp;(Assumptions!$B$4+25))-SUMIFS(Projection!$K$4:$K$59,Projection!$B$4:$B$59,"&lt;"&amp;(Assumptions!$B$4+25)))/Discount!C29</f>
        <v>75391.9411896144</v>
      </c>
      <c r="G150" s="1" t="n">
        <f aca="false">(SUMIFS(Projection!$L$4:$L$59,Projection!$B$4:$B$59,"&gt;="&amp;(Assumptions!$B$4+25))+$B$91*SUMIFS(Commission_Models!$G$15:$G$70,Commission_Models!$A$15:$A$70,"&gt;="&amp;(Assumptions!$B$4+25))-$B$91*SUMIFS(Projection!$I$4:$I$59,Projection!$B$4:$B$59,"&gt;="&amp;(Assumptions!$B$4+25))+SUMIFS(Projection!$K$4:$K$59,Projection!$B$4:$B$59,"&gt;="&amp;(Assumptions!$B$4+25)))/Discount!C29</f>
        <v>69760.6047510813</v>
      </c>
      <c r="H150" s="1" t="n">
        <f aca="false">F150-G150</f>
        <v>5631.33643853311</v>
      </c>
      <c r="I150" s="1" t="n">
        <f aca="false">IF(T150&lt;=0,0,MAX(0,(R150+S150-H150)/T150))</f>
        <v>23046.7359185218</v>
      </c>
      <c r="J150" s="1" t="n">
        <f aca="false">($B$92*(SUMIFS(Projection!$I$4:$I$59,Projection!$B$4:$B$59,"&lt;"&amp;(Assumptions!$B$4+25))-SUMIFS(Commission_Models!$G$15:$G$70,Commission_Models!$A$15:$A$70,"&lt;"&amp;(Assumptions!$B$4+25)))-SUMIFS(Projection!$L$4:$L$59,Projection!$B$4:$B$59,"&lt;"&amp;(Assumptions!$B$4+25))-SUMIFS(Projection!$K$4:$K$59,Projection!$B$4:$B$59,"&lt;"&amp;(Assumptions!$B$4+25)))/Discount!C29</f>
        <v>72543.1592752848</v>
      </c>
      <c r="K150" s="1" t="n">
        <f aca="false">(SUMIFS(Projection!$L$4:$L$59,Projection!$B$4:$B$59,"&gt;="&amp;(Assumptions!$B$4+25))+$B$92*SUMIFS(Commission_Models!$G$15:$G$70,Commission_Models!$A$15:$A$70,"&gt;="&amp;(Assumptions!$B$4+25))-$B$92*SUMIFS(Projection!$I$4:$I$59,Projection!$B$4:$B$59,"&gt;="&amp;(Assumptions!$B$4+25))+SUMIFS(Projection!$K$4:$K$59,Projection!$B$4:$B$59,"&gt;="&amp;(Assumptions!$B$4+25)))/Discount!C29</f>
        <v>69760.6047510813</v>
      </c>
      <c r="L150" s="1" t="n">
        <f aca="false">J150-K150</f>
        <v>2782.55452420346</v>
      </c>
      <c r="M150" s="1" t="n">
        <f aca="false">IF(T150&lt;=0,0,MAX(0,(R150+S150-L150)/T150))</f>
        <v>29955.9815859401</v>
      </c>
      <c r="N150" s="1" t="n">
        <f aca="false">($B$93*(SUMIFS(Projection!$I$4:$I$59,Projection!$B$4:$B$59,"&lt;"&amp;(Assumptions!$B$4+25))-SUMIFS(Commission_Models!$G$15:$G$70,Commission_Models!$A$15:$A$70,"&lt;"&amp;(Assumptions!$B$4+25)))-SUMIFS(Projection!$L$4:$L$59,Projection!$B$4:$B$59,"&lt;"&amp;(Assumptions!$B$4+25))-SUMIFS(Projection!$K$4:$K$59,Projection!$B$4:$B$59,"&lt;"&amp;(Assumptions!$B$4+25)))/Discount!C29</f>
        <v>69760.6047510813</v>
      </c>
      <c r="O150" s="1" t="n">
        <f aca="false">(SUMIFS(Projection!$L$4:$L$59,Projection!$B$4:$B$59,"&gt;="&amp;(Assumptions!$B$4+25))+$B$93*SUMIFS(Commission_Models!$G$15:$G$70,Commission_Models!$A$15:$A$70,"&gt;="&amp;(Assumptions!$B$4+25))-$B$93*SUMIFS(Projection!$I$4:$I$59,Projection!$B$4:$B$59,"&gt;="&amp;(Assumptions!$B$4+25))+SUMIFS(Projection!$K$4:$K$59,Projection!$B$4:$B$59,"&gt;="&amp;(Assumptions!$B$4+25)))/Discount!C29</f>
        <v>69760.6047510813</v>
      </c>
      <c r="P150" s="1" t="n">
        <f aca="false">N150-O150</f>
        <v>0</v>
      </c>
      <c r="Q150" s="1" t="n">
        <f aca="false">IF(T150&lt;=0,0,MAX(0,(R150+S150-P150)/T150))</f>
        <v>36704.6037581053</v>
      </c>
      <c r="R150" s="72" t="n">
        <f aca="false">RiskMargin!J29</f>
        <v>11294.876214783</v>
      </c>
      <c r="S150" s="72" t="n">
        <f aca="false">RiskMargin!L29</f>
        <v>3838.96275866848</v>
      </c>
      <c r="T150" s="73" t="n">
        <f aca="false">Projection!F29</f>
        <v>0.412314462599519</v>
      </c>
    </row>
    <row r="151" customFormat="false" ht="15" hidden="false" customHeight="true" outlineLevel="0" collapsed="false">
      <c r="A151" s="1" t="n">
        <v>26</v>
      </c>
      <c r="B151" s="1" t="n">
        <f aca="false">($B$90*(SUMIFS(Projection!$I$4:$I$59,Projection!$B$4:$B$59,"&lt;"&amp;(Assumptions!$B$4+26))-SUMIFS(Commission_Models!$G$15:$G$70,Commission_Models!$A$15:$A$70,"&lt;"&amp;(Assumptions!$B$4+26)))-SUMIFS(Projection!$L$4:$L$59,Projection!$B$4:$B$59,"&lt;"&amp;(Assumptions!$B$4+26))-SUMIFS(Projection!$K$4:$K$59,Projection!$B$4:$B$59,"&lt;"&amp;(Assumptions!$B$4+26)))/Discount!C30</f>
        <v>69599.2985604393</v>
      </c>
      <c r="C151" s="1" t="n">
        <f aca="false">(SUMIFS(Projection!$L$4:$L$59,Projection!$B$4:$B$59,"&gt;="&amp;(Assumptions!$B$4+26))+$B$90*SUMIFS(Commission_Models!$G$15:$G$70,Commission_Models!$A$15:$A$70,"&gt;="&amp;(Assumptions!$B$4+26))-$B$90*SUMIFS(Projection!$I$4:$I$59,Projection!$B$4:$B$59,"&gt;="&amp;(Assumptions!$B$4+26))+SUMIFS(Projection!$K$4:$K$59,Projection!$B$4:$B$59,"&gt;="&amp;(Assumptions!$B$4+26)))/Discount!C30</f>
        <v>60774.6910577118</v>
      </c>
      <c r="D151" s="1" t="n">
        <f aca="false">B151-C151</f>
        <v>8824.60750272749</v>
      </c>
      <c r="E151" s="1" t="n">
        <f aca="false">IF(T151&lt;=0,0,MAX(0,(R151+S151-D151)/T151))</f>
        <v>12312.5226309759</v>
      </c>
      <c r="F151" s="1" t="n">
        <f aca="false">($B$91*(SUMIFS(Projection!$I$4:$I$59,Projection!$B$4:$B$59,"&lt;"&amp;(Assumptions!$B$4+26))-SUMIFS(Commission_Models!$G$15:$G$70,Commission_Models!$A$15:$A$70,"&lt;"&amp;(Assumptions!$B$4+26)))-SUMIFS(Projection!$L$4:$L$59,Projection!$B$4:$B$59,"&lt;"&amp;(Assumptions!$B$4+26))-SUMIFS(Projection!$K$4:$K$59,Projection!$B$4:$B$59,"&lt;"&amp;(Assumptions!$B$4+26)))/Discount!C30</f>
        <v>66587.7514327721</v>
      </c>
      <c r="G151" s="1" t="n">
        <f aca="false">(SUMIFS(Projection!$L$4:$L$59,Projection!$B$4:$B$59,"&gt;="&amp;(Assumptions!$B$4+26))+$B$91*SUMIFS(Commission_Models!$G$15:$G$70,Commission_Models!$A$15:$A$70,"&gt;="&amp;(Assumptions!$B$4+26))-$B$91*SUMIFS(Projection!$I$4:$I$59,Projection!$B$4:$B$59,"&gt;="&amp;(Assumptions!$B$4+26))+SUMIFS(Projection!$K$4:$K$59,Projection!$B$4:$B$59,"&gt;="&amp;(Assumptions!$B$4+26)))/Discount!C30</f>
        <v>60774.6910577118</v>
      </c>
      <c r="H151" s="1" t="n">
        <f aca="false">F151-G151</f>
        <v>5813.06037506029</v>
      </c>
      <c r="I151" s="1" t="n">
        <f aca="false">IF(T151&lt;=0,0,MAX(0,(R151+S151-H151)/T151))</f>
        <v>20389.6793501623</v>
      </c>
      <c r="J151" s="1" t="n">
        <f aca="false">($B$92*(SUMIFS(Projection!$I$4:$I$59,Projection!$B$4:$B$59,"&lt;"&amp;(Assumptions!$B$4+26))-SUMIFS(Commission_Models!$G$15:$G$70,Commission_Models!$A$15:$A$70,"&lt;"&amp;(Assumptions!$B$4+26)))-SUMIFS(Projection!$L$4:$L$59,Projection!$B$4:$B$59,"&lt;"&amp;(Assumptions!$B$4+26))-SUMIFS(Projection!$K$4:$K$59,Projection!$B$4:$B$59,"&lt;"&amp;(Assumptions!$B$4+26)))/Discount!C30</f>
        <v>63647.0389670662</v>
      </c>
      <c r="K151" s="1" t="n">
        <f aca="false">(SUMIFS(Projection!$L$4:$L$59,Projection!$B$4:$B$59,"&gt;="&amp;(Assumptions!$B$4+26))+$B$92*SUMIFS(Commission_Models!$G$15:$G$70,Commission_Models!$A$15:$A$70,"&gt;="&amp;(Assumptions!$B$4+26))-$B$92*SUMIFS(Projection!$I$4:$I$59,Projection!$B$4:$B$59,"&gt;="&amp;(Assumptions!$B$4+26))+SUMIFS(Projection!$K$4:$K$59,Projection!$B$4:$B$59,"&gt;="&amp;(Assumptions!$B$4+26)))/Discount!C30</f>
        <v>60774.6910577118</v>
      </c>
      <c r="L151" s="1" t="n">
        <f aca="false">J151-K151</f>
        <v>2872.34790935439</v>
      </c>
      <c r="M151" s="1" t="n">
        <f aca="false">IF(T151&lt;=0,0,MAX(0,(R151+S151-L151)/T151))</f>
        <v>28276.8530999454</v>
      </c>
      <c r="N151" s="1" t="n">
        <f aca="false">($B$93*(SUMIFS(Projection!$I$4:$I$59,Projection!$B$4:$B$59,"&lt;"&amp;(Assumptions!$B$4+26))-SUMIFS(Commission_Models!$G$15:$G$70,Commission_Models!$A$15:$A$70,"&lt;"&amp;(Assumptions!$B$4+26)))-SUMIFS(Projection!$L$4:$L$59,Projection!$B$4:$B$59,"&lt;"&amp;(Assumptions!$B$4+26))-SUMIFS(Projection!$K$4:$K$59,Projection!$B$4:$B$59,"&lt;"&amp;(Assumptions!$B$4+26)))/Discount!C30</f>
        <v>60774.6910577118</v>
      </c>
      <c r="O151" s="1" t="n">
        <f aca="false">(SUMIFS(Projection!$L$4:$L$59,Projection!$B$4:$B$59,"&gt;="&amp;(Assumptions!$B$4+26))+$B$93*SUMIFS(Commission_Models!$G$15:$G$70,Commission_Models!$A$15:$A$70,"&gt;="&amp;(Assumptions!$B$4+26))-$B$93*SUMIFS(Projection!$I$4:$I$59,Projection!$B$4:$B$59,"&gt;="&amp;(Assumptions!$B$4+26))+SUMIFS(Projection!$K$4:$K$59,Projection!$B$4:$B$59,"&gt;="&amp;(Assumptions!$B$4+26)))/Discount!C30</f>
        <v>60774.6910577118</v>
      </c>
      <c r="P151" s="1" t="n">
        <f aca="false">N151-O151</f>
        <v>0</v>
      </c>
      <c r="Q151" s="1" t="n">
        <f aca="false">IF(T151&lt;=0,0,MAX(0,(R151+S151-P151)/T151))</f>
        <v>35980.6688572151</v>
      </c>
      <c r="R151" s="72" t="n">
        <f aca="false">RiskMargin!J30</f>
        <v>10152.015154342</v>
      </c>
      <c r="S151" s="72" t="n">
        <f aca="false">RiskMargin!L30</f>
        <v>3263.28477305697</v>
      </c>
      <c r="T151" s="73" t="n">
        <f aca="false">Projection!F30</f>
        <v>0.372847430397582</v>
      </c>
    </row>
    <row r="152" customFormat="false" ht="15" hidden="false" customHeight="true" outlineLevel="0" collapsed="false">
      <c r="A152" s="1" t="n">
        <v>27</v>
      </c>
      <c r="B152" s="1" t="n">
        <f aca="false">($B$90*(SUMIFS(Projection!$I$4:$I$59,Projection!$B$4:$B$59,"&lt;"&amp;(Assumptions!$B$4+27))-SUMIFS(Commission_Models!$G$15:$G$70,Commission_Models!$A$15:$A$70,"&lt;"&amp;(Assumptions!$B$4+27)))-SUMIFS(Projection!$L$4:$L$59,Projection!$B$4:$B$59,"&lt;"&amp;(Assumptions!$B$4+27))-SUMIFS(Projection!$K$4:$K$59,Projection!$B$4:$B$59,"&lt;"&amp;(Assumptions!$B$4+27)))/Discount!C31</f>
        <v>61466.5764602692</v>
      </c>
      <c r="C152" s="1" t="n">
        <f aca="false">(SUMIFS(Projection!$L$4:$L$59,Projection!$B$4:$B$59,"&gt;="&amp;(Assumptions!$B$4+27))+$B$90*SUMIFS(Commission_Models!$G$15:$G$70,Commission_Models!$A$15:$A$70,"&gt;="&amp;(Assumptions!$B$4+27))-$B$90*SUMIFS(Projection!$I$4:$I$59,Projection!$B$4:$B$59,"&gt;="&amp;(Assumptions!$B$4+27))+SUMIFS(Projection!$K$4:$K$59,Projection!$B$4:$B$59,"&gt;="&amp;(Assumptions!$B$4+27)))/Discount!C31</f>
        <v>52359.2282329239</v>
      </c>
      <c r="D152" s="1" t="n">
        <f aca="false">B152-C152</f>
        <v>9107.34822734525</v>
      </c>
      <c r="E152" s="1" t="n">
        <f aca="false">IF(T152&lt;=0,0,MAX(0,(R152+S152-D152)/T152))</f>
        <v>7876.57419915374</v>
      </c>
      <c r="F152" s="1" t="n">
        <f aca="false">($B$91*(SUMIFS(Projection!$I$4:$I$59,Projection!$B$4:$B$59,"&lt;"&amp;(Assumptions!$B$4+27))-SUMIFS(Commission_Models!$G$15:$G$70,Commission_Models!$A$15:$A$70,"&lt;"&amp;(Assumptions!$B$4+27)))-SUMIFS(Projection!$L$4:$L$59,Projection!$B$4:$B$59,"&lt;"&amp;(Assumptions!$B$4+27))-SUMIFS(Projection!$K$4:$K$59,Projection!$B$4:$B$59,"&lt;"&amp;(Assumptions!$B$4+27)))/Discount!C31</f>
        <v>58358.5392601728</v>
      </c>
      <c r="G152" s="1" t="n">
        <f aca="false">(SUMIFS(Projection!$L$4:$L$59,Projection!$B$4:$B$59,"&gt;="&amp;(Assumptions!$B$4+27))+$B$91*SUMIFS(Commission_Models!$G$15:$G$70,Commission_Models!$A$15:$A$70,"&gt;="&amp;(Assumptions!$B$4+27))-$B$91*SUMIFS(Projection!$I$4:$I$59,Projection!$B$4:$B$59,"&gt;="&amp;(Assumptions!$B$4+27))+SUMIFS(Projection!$K$4:$K$59,Projection!$B$4:$B$59,"&gt;="&amp;(Assumptions!$B$4+27)))/Discount!C31</f>
        <v>52359.2282329239</v>
      </c>
      <c r="H152" s="1" t="n">
        <f aca="false">F152-G152</f>
        <v>5999.31102724888</v>
      </c>
      <c r="I152" s="1" t="n">
        <f aca="false">IF(T152&lt;=0,0,MAX(0,(R152+S152-H152)/T152))</f>
        <v>17220.5677264384</v>
      </c>
      <c r="J152" s="1" t="n">
        <f aca="false">($B$92*(SUMIFS(Projection!$I$4:$I$59,Projection!$B$4:$B$59,"&lt;"&amp;(Assumptions!$B$4+27))-SUMIFS(Commission_Models!$G$15:$G$70,Commission_Models!$A$15:$A$70,"&lt;"&amp;(Assumptions!$B$4+27)))-SUMIFS(Projection!$L$4:$L$59,Projection!$B$4:$B$59,"&lt;"&amp;(Assumptions!$B$4+27))-SUMIFS(Projection!$K$4:$K$59,Projection!$B$4:$B$59,"&lt;"&amp;(Assumptions!$B$4+27)))/Discount!C31</f>
        <v>55323.6062670169</v>
      </c>
      <c r="K152" s="1" t="n">
        <f aca="false">(SUMIFS(Projection!$L$4:$L$59,Projection!$B$4:$B$59,"&gt;="&amp;(Assumptions!$B$4+27))+$B$92*SUMIFS(Commission_Models!$G$15:$G$70,Commission_Models!$A$15:$A$70,"&gt;="&amp;(Assumptions!$B$4+27))-$B$92*SUMIFS(Projection!$I$4:$I$59,Projection!$B$4:$B$59,"&gt;="&amp;(Assumptions!$B$4+27))+SUMIFS(Projection!$K$4:$K$59,Projection!$B$4:$B$59,"&gt;="&amp;(Assumptions!$B$4+27)))/Discount!C31</f>
        <v>52359.2282329239</v>
      </c>
      <c r="L152" s="1" t="n">
        <f aca="false">J152-K152</f>
        <v>2964.37803409299</v>
      </c>
      <c r="M152" s="1" t="n">
        <f aca="false">IF(T152&lt;=0,0,MAX(0,(R152+S152-L152)/T152))</f>
        <v>26344.7809896877</v>
      </c>
      <c r="N152" s="1" t="n">
        <f aca="false">($B$93*(SUMIFS(Projection!$I$4:$I$59,Projection!$B$4:$B$59,"&lt;"&amp;(Assumptions!$B$4+27))-SUMIFS(Commission_Models!$G$15:$G$70,Commission_Models!$A$15:$A$70,"&lt;"&amp;(Assumptions!$B$4+27)))-SUMIFS(Projection!$L$4:$L$59,Projection!$B$4:$B$59,"&lt;"&amp;(Assumptions!$B$4+27))-SUMIFS(Projection!$K$4:$K$59,Projection!$B$4:$B$59,"&lt;"&amp;(Assumptions!$B$4+27)))/Discount!C31</f>
        <v>52359.2282329239</v>
      </c>
      <c r="O152" s="1" t="n">
        <f aca="false">(SUMIFS(Projection!$L$4:$L$59,Projection!$B$4:$B$59,"&gt;="&amp;(Assumptions!$B$4+27))+$B$93*SUMIFS(Commission_Models!$G$15:$G$70,Commission_Models!$A$15:$A$70,"&gt;="&amp;(Assumptions!$B$4+27))-$B$93*SUMIFS(Projection!$I$4:$I$59,Projection!$B$4:$B$59,"&gt;="&amp;(Assumptions!$B$4+27))+SUMIFS(Projection!$K$4:$K$59,Projection!$B$4:$B$59,"&gt;="&amp;(Assumptions!$B$4+27)))/Discount!C31</f>
        <v>52359.2282329239</v>
      </c>
      <c r="P152" s="1" t="n">
        <f aca="false">N152-O152</f>
        <v>0</v>
      </c>
      <c r="Q152" s="1" t="n">
        <f aca="false">IF(T152&lt;=0,0,MAX(0,(R152+S152-P152)/T152))</f>
        <v>35256.8780399195</v>
      </c>
      <c r="R152" s="72" t="n">
        <f aca="false">RiskMargin!J31</f>
        <v>8988.08306707725</v>
      </c>
      <c r="S152" s="72" t="n">
        <f aca="false">RiskMargin!L31</f>
        <v>2739.20336429233</v>
      </c>
      <c r="T152" s="73" t="n">
        <f aca="false">Projection!F31</f>
        <v>0.332624074601597</v>
      </c>
    </row>
    <row r="153" customFormat="false" ht="15" hidden="false" customHeight="true" outlineLevel="0" collapsed="false">
      <c r="A153" s="1" t="n">
        <v>28</v>
      </c>
      <c r="B153" s="1" t="n">
        <f aca="false">($B$90*(SUMIFS(Projection!$I$4:$I$59,Projection!$B$4:$B$59,"&lt;"&amp;(Assumptions!$B$4+28))-SUMIFS(Commission_Models!$G$15:$G$70,Commission_Models!$A$15:$A$70,"&lt;"&amp;(Assumptions!$B$4+28)))-SUMIFS(Projection!$L$4:$L$59,Projection!$B$4:$B$59,"&lt;"&amp;(Assumptions!$B$4+28))-SUMIFS(Projection!$K$4:$K$59,Projection!$B$4:$B$59,"&lt;"&amp;(Assumptions!$B$4+28)))/Discount!C32</f>
        <v>54021.7666043738</v>
      </c>
      <c r="C153" s="1" t="n">
        <f aca="false">(SUMIFS(Projection!$L$4:$L$59,Projection!$B$4:$B$59,"&gt;="&amp;(Assumptions!$B$4+28))+$B$90*SUMIFS(Commission_Models!$G$15:$G$70,Commission_Models!$A$15:$A$70,"&gt;="&amp;(Assumptions!$B$4+28))-$B$90*SUMIFS(Projection!$I$4:$I$59,Projection!$B$4:$B$59,"&gt;="&amp;(Assumptions!$B$4+28))+SUMIFS(Projection!$K$4:$K$59,Projection!$B$4:$B$59,"&gt;="&amp;(Assumptions!$B$4+28)))/Discount!C32</f>
        <v>44619.885400515</v>
      </c>
      <c r="D153" s="1" t="n">
        <f aca="false">B153-C153</f>
        <v>9401.8812038588</v>
      </c>
      <c r="E153" s="1" t="n">
        <f aca="false">IF(T153&lt;=0,0,MAX(0,(R153+S153-D153)/T153))</f>
        <v>2421.57053936701</v>
      </c>
      <c r="F153" s="1" t="n">
        <f aca="false">($B$91*(SUMIFS(Projection!$I$4:$I$59,Projection!$B$4:$B$59,"&lt;"&amp;(Assumptions!$B$4+28))-SUMIFS(Commission_Models!$G$15:$G$70,Commission_Models!$A$15:$A$70,"&lt;"&amp;(Assumptions!$B$4+28)))-SUMIFS(Projection!$L$4:$L$59,Projection!$B$4:$B$59,"&lt;"&amp;(Assumptions!$B$4+28))-SUMIFS(Projection!$K$4:$K$59,Projection!$B$4:$B$59,"&lt;"&amp;(Assumptions!$B$4+28)))/Discount!C32</f>
        <v>50813.2150256891</v>
      </c>
      <c r="G153" s="1" t="n">
        <f aca="false">(SUMIFS(Projection!$L$4:$L$59,Projection!$B$4:$B$59,"&gt;="&amp;(Assumptions!$B$4+28))+$B$91*SUMIFS(Commission_Models!$G$15:$G$70,Commission_Models!$A$15:$A$70,"&gt;="&amp;(Assumptions!$B$4+28))-$B$91*SUMIFS(Projection!$I$4:$I$59,Projection!$B$4:$B$59,"&gt;="&amp;(Assumptions!$B$4+28))+SUMIFS(Projection!$K$4:$K$59,Projection!$B$4:$B$59,"&gt;="&amp;(Assumptions!$B$4+28)))/Discount!C32</f>
        <v>44619.885400515</v>
      </c>
      <c r="H153" s="1" t="n">
        <f aca="false">F153-G153</f>
        <v>6193.32962517409</v>
      </c>
      <c r="I153" s="1" t="n">
        <f aca="false">IF(T153&lt;=0,0,MAX(0,(R153+S153-H153)/T153))</f>
        <v>13386.3412385868</v>
      </c>
      <c r="J153" s="1" t="n">
        <f aca="false">($B$92*(SUMIFS(Projection!$I$4:$I$59,Projection!$B$4:$B$59,"&lt;"&amp;(Assumptions!$B$4+28))-SUMIFS(Commission_Models!$G$15:$G$70,Commission_Models!$A$15:$A$70,"&lt;"&amp;(Assumptions!$B$4+28)))-SUMIFS(Projection!$L$4:$L$59,Projection!$B$4:$B$59,"&lt;"&amp;(Assumptions!$B$4+28))-SUMIFS(Projection!$K$4:$K$59,Projection!$B$4:$B$59,"&lt;"&amp;(Assumptions!$B$4+28)))/Discount!C32</f>
        <v>47680.131854712</v>
      </c>
      <c r="K153" s="1" t="n">
        <f aca="false">(SUMIFS(Projection!$L$4:$L$59,Projection!$B$4:$B$59,"&gt;="&amp;(Assumptions!$B$4+28))+$B$92*SUMIFS(Commission_Models!$G$15:$G$70,Commission_Models!$A$15:$A$70,"&gt;="&amp;(Assumptions!$B$4+28))-$B$92*SUMIFS(Projection!$I$4:$I$59,Projection!$B$4:$B$59,"&gt;="&amp;(Assumptions!$B$4+28))+SUMIFS(Projection!$K$4:$K$59,Projection!$B$4:$B$59,"&gt;="&amp;(Assumptions!$B$4+28)))/Discount!C32</f>
        <v>44619.885400515</v>
      </c>
      <c r="L153" s="1" t="n">
        <f aca="false">J153-K153</f>
        <v>3060.24645419702</v>
      </c>
      <c r="M153" s="1" t="n">
        <f aca="false">IF(T153&lt;=0,0,MAX(0,(R153+S153-L153)/T153))</f>
        <v>24093.2093405577</v>
      </c>
      <c r="N153" s="1" t="n">
        <f aca="false">($B$93*(SUMIFS(Projection!$I$4:$I$59,Projection!$B$4:$B$59,"&lt;"&amp;(Assumptions!$B$4+28))-SUMIFS(Commission_Models!$G$15:$G$70,Commission_Models!$A$15:$A$70,"&lt;"&amp;(Assumptions!$B$4+28)))-SUMIFS(Projection!$L$4:$L$59,Projection!$B$4:$B$59,"&lt;"&amp;(Assumptions!$B$4+28))-SUMIFS(Projection!$K$4:$K$59,Projection!$B$4:$B$59,"&lt;"&amp;(Assumptions!$B$4+28)))/Discount!C32</f>
        <v>44619.885400515</v>
      </c>
      <c r="O153" s="1" t="n">
        <f aca="false">(SUMIFS(Projection!$L$4:$L$59,Projection!$B$4:$B$59,"&gt;="&amp;(Assumptions!$B$4+28))+$B$93*SUMIFS(Commission_Models!$G$15:$G$70,Commission_Models!$A$15:$A$70,"&gt;="&amp;(Assumptions!$B$4+28))-$B$93*SUMIFS(Projection!$I$4:$I$59,Projection!$B$4:$B$59,"&gt;="&amp;(Assumptions!$B$4+28))+SUMIFS(Projection!$K$4:$K$59,Projection!$B$4:$B$59,"&gt;="&amp;(Assumptions!$B$4+28)))/Discount!C32</f>
        <v>44619.885400515</v>
      </c>
      <c r="P153" s="1" t="n">
        <f aca="false">N153-O153</f>
        <v>0</v>
      </c>
      <c r="Q153" s="1" t="n">
        <f aca="false">IF(T153&lt;=0,0,MAX(0,(R153+S153-P153)/T153))</f>
        <v>34551.1682763857</v>
      </c>
      <c r="R153" s="72" t="n">
        <f aca="false">RiskMargin!J32</f>
        <v>7839.4260291593</v>
      </c>
      <c r="S153" s="72" t="n">
        <f aca="false">RiskMargin!L32</f>
        <v>2271.06406312207</v>
      </c>
      <c r="T153" s="73" t="n">
        <f aca="false">Projection!F32</f>
        <v>0.292623682400675</v>
      </c>
    </row>
    <row r="154" customFormat="false" ht="15" hidden="false" customHeight="true" outlineLevel="0" collapsed="false">
      <c r="A154" s="1" t="n">
        <v>29</v>
      </c>
      <c r="B154" s="1" t="n">
        <f aca="false">($B$90*(SUMIFS(Projection!$I$4:$I$59,Projection!$B$4:$B$59,"&lt;"&amp;(Assumptions!$B$4+29))-SUMIFS(Commission_Models!$G$15:$G$70,Commission_Models!$A$15:$A$70,"&lt;"&amp;(Assumptions!$B$4+29)))-SUMIFS(Projection!$L$4:$L$59,Projection!$B$4:$B$59,"&lt;"&amp;(Assumptions!$B$4+29))-SUMIFS(Projection!$K$4:$K$59,Projection!$B$4:$B$59,"&lt;"&amp;(Assumptions!$B$4+29)))/Discount!C33</f>
        <v>47306.1590243694</v>
      </c>
      <c r="C154" s="1" t="n">
        <f aca="false">(SUMIFS(Projection!$L$4:$L$59,Projection!$B$4:$B$59,"&gt;="&amp;(Assumptions!$B$4+29))+$B$90*SUMIFS(Commission_Models!$G$15:$G$70,Commission_Models!$A$15:$A$70,"&gt;="&amp;(Assumptions!$B$4+29))-$B$90*SUMIFS(Projection!$I$4:$I$59,Projection!$B$4:$B$59,"&gt;="&amp;(Assumptions!$B$4+29))+SUMIFS(Projection!$K$4:$K$59,Projection!$B$4:$B$59,"&gt;="&amp;(Assumptions!$B$4+29)))/Discount!C33</f>
        <v>37599.8434270638</v>
      </c>
      <c r="D154" s="1" t="n">
        <f aca="false">B154-C154</f>
        <v>9706.31559730556</v>
      </c>
      <c r="E154" s="1" t="n">
        <f aca="false">IF(T154&lt;=0,0,MAX(0,(R154+S154-D154)/T154))</f>
        <v>0</v>
      </c>
      <c r="F154" s="1" t="n">
        <f aca="false">($B$91*(SUMIFS(Projection!$I$4:$I$59,Projection!$B$4:$B$59,"&lt;"&amp;(Assumptions!$B$4+29))-SUMIFS(Commission_Models!$G$15:$G$70,Commission_Models!$A$15:$A$70,"&lt;"&amp;(Assumptions!$B$4+29)))-SUMIFS(Projection!$L$4:$L$59,Projection!$B$4:$B$59,"&lt;"&amp;(Assumptions!$B$4+29))-SUMIFS(Projection!$K$4:$K$59,Projection!$B$4:$B$59,"&lt;"&amp;(Assumptions!$B$4+29)))/Discount!C33</f>
        <v>43993.7140404693</v>
      </c>
      <c r="G154" s="1" t="n">
        <f aca="false">(SUMIFS(Projection!$L$4:$L$59,Projection!$B$4:$B$59,"&gt;="&amp;(Assumptions!$B$4+29))+$B$91*SUMIFS(Commission_Models!$G$15:$G$70,Commission_Models!$A$15:$A$70,"&gt;="&amp;(Assumptions!$B$4+29))-$B$91*SUMIFS(Projection!$I$4:$I$59,Projection!$B$4:$B$59,"&gt;="&amp;(Assumptions!$B$4+29))+SUMIFS(Projection!$K$4:$K$59,Projection!$B$4:$B$59,"&gt;="&amp;(Assumptions!$B$4+29)))/Discount!C33</f>
        <v>37599.8434270638</v>
      </c>
      <c r="H154" s="1" t="n">
        <f aca="false">F154-G154</f>
        <v>6393.87061340546</v>
      </c>
      <c r="I154" s="1" t="n">
        <f aca="false">IF(T154&lt;=0,0,MAX(0,(R154+S154-H154)/T154))</f>
        <v>8682.47030301045</v>
      </c>
      <c r="J154" s="1" t="n">
        <f aca="false">($B$92*(SUMIFS(Projection!$I$4:$I$59,Projection!$B$4:$B$59,"&lt;"&amp;(Assumptions!$B$4+29))-SUMIFS(Commission_Models!$G$15:$G$70,Commission_Models!$A$15:$A$70,"&lt;"&amp;(Assumptions!$B$4+29)))-SUMIFS(Projection!$L$4:$L$59,Projection!$B$4:$B$59,"&lt;"&amp;(Assumptions!$B$4+29))-SUMIFS(Projection!$K$4:$K$59,Projection!$B$4:$B$59,"&lt;"&amp;(Assumptions!$B$4+29)))/Discount!C33</f>
        <v>40759.1811431988</v>
      </c>
      <c r="K154" s="1" t="n">
        <f aca="false">(SUMIFS(Projection!$L$4:$L$59,Projection!$B$4:$B$59,"&gt;="&amp;(Assumptions!$B$4+29))+$B$92*SUMIFS(Commission_Models!$G$15:$G$70,Commission_Models!$A$15:$A$70,"&gt;="&amp;(Assumptions!$B$4+29))-$B$92*SUMIFS(Projection!$I$4:$I$59,Projection!$B$4:$B$59,"&gt;="&amp;(Assumptions!$B$4+29))+SUMIFS(Projection!$K$4:$K$59,Projection!$B$4:$B$59,"&gt;="&amp;(Assumptions!$B$4+29)))/Discount!C33</f>
        <v>37599.8434270638</v>
      </c>
      <c r="L154" s="1" t="n">
        <f aca="false">J154-K154</f>
        <v>3159.33771613498</v>
      </c>
      <c r="M154" s="1" t="n">
        <f aca="false">IF(T154&lt;=0,0,MAX(0,(R154+S154-L154)/T154))</f>
        <v>21416.5567262107</v>
      </c>
      <c r="N154" s="1" t="n">
        <f aca="false">($B$93*(SUMIFS(Projection!$I$4:$I$59,Projection!$B$4:$B$59,"&lt;"&amp;(Assumptions!$B$4+29))-SUMIFS(Commission_Models!$G$15:$G$70,Commission_Models!$A$15:$A$70,"&lt;"&amp;(Assumptions!$B$4+29)))-SUMIFS(Projection!$L$4:$L$59,Projection!$B$4:$B$59,"&lt;"&amp;(Assumptions!$B$4+29))-SUMIFS(Projection!$K$4:$K$59,Projection!$B$4:$B$59,"&lt;"&amp;(Assumptions!$B$4+29)))/Discount!C33</f>
        <v>37599.8434270638</v>
      </c>
      <c r="O154" s="1" t="n">
        <f aca="false">(SUMIFS(Projection!$L$4:$L$59,Projection!$B$4:$B$59,"&gt;="&amp;(Assumptions!$B$4+29))+$B$93*SUMIFS(Commission_Models!$G$15:$G$70,Commission_Models!$A$15:$A$70,"&gt;="&amp;(Assumptions!$B$4+29))-$B$93*SUMIFS(Projection!$I$4:$I$59,Projection!$B$4:$B$59,"&gt;="&amp;(Assumptions!$B$4+29))+SUMIFS(Projection!$K$4:$K$59,Projection!$B$4:$B$59,"&gt;="&amp;(Assumptions!$B$4+29)))/Discount!C33</f>
        <v>37599.8434270638</v>
      </c>
      <c r="P154" s="1" t="n">
        <f aca="false">N154-O154</f>
        <v>0</v>
      </c>
      <c r="Q154" s="1" t="n">
        <f aca="false">IF(T154&lt;=0,0,MAX(0,(R154+S154-P154)/T154))</f>
        <v>33854.6059886835</v>
      </c>
      <c r="R154" s="72" t="n">
        <f aca="false">RiskMargin!J33</f>
        <v>6740.2637682629</v>
      </c>
      <c r="S154" s="72" t="n">
        <f aca="false">RiskMargin!L33</f>
        <v>1859.00540231706</v>
      </c>
      <c r="T154" s="73" t="n">
        <f aca="false">Projection!F33</f>
        <v>0.254005885445969</v>
      </c>
    </row>
    <row r="155" customFormat="false" ht="15" hidden="false" customHeight="true" outlineLevel="0" collapsed="false">
      <c r="A155" s="1" t="n">
        <v>30</v>
      </c>
      <c r="B155" s="1" t="n">
        <f aca="false">($B$90*(SUMIFS(Projection!$I$4:$I$59,Projection!$B$4:$B$59,"&lt;"&amp;(Assumptions!$B$4+30))-SUMIFS(Commission_Models!$G$15:$G$70,Commission_Models!$A$15:$A$70,"&lt;"&amp;(Assumptions!$B$4+30)))-SUMIFS(Projection!$L$4:$L$59,Projection!$B$4:$B$59,"&lt;"&amp;(Assumptions!$B$4+30))-SUMIFS(Projection!$K$4:$K$59,Projection!$B$4:$B$59,"&lt;"&amp;(Assumptions!$B$4+30)))/Discount!C34</f>
        <v>41344.6443645608</v>
      </c>
      <c r="C155" s="1" t="n">
        <f aca="false">(SUMIFS(Projection!$L$4:$L$59,Projection!$B$4:$B$59,"&gt;="&amp;(Assumptions!$B$4+30))+$B$90*SUMIFS(Commission_Models!$G$15:$G$70,Commission_Models!$A$15:$A$70,"&gt;="&amp;(Assumptions!$B$4+30))-$B$90*SUMIFS(Projection!$I$4:$I$59,Projection!$B$4:$B$59,"&gt;="&amp;(Assumptions!$B$4+30))+SUMIFS(Projection!$K$4:$K$59,Projection!$B$4:$B$59,"&gt;="&amp;(Assumptions!$B$4+30)))/Discount!C34</f>
        <v>31323.648378479</v>
      </c>
      <c r="D155" s="1" t="n">
        <f aca="false">B155-C155</f>
        <v>10020.9959860818</v>
      </c>
      <c r="E155" s="1" t="n">
        <f aca="false">IF(T155&lt;=0,0,MAX(0,(R155+S155-D155)/T155))</f>
        <v>0</v>
      </c>
      <c r="F155" s="1" t="n">
        <f aca="false">($B$91*(SUMIFS(Projection!$I$4:$I$59,Projection!$B$4:$B$59,"&lt;"&amp;(Assumptions!$B$4+30))-SUMIFS(Commission_Models!$G$15:$G$70,Commission_Models!$A$15:$A$70,"&lt;"&amp;(Assumptions!$B$4+30)))-SUMIFS(Projection!$L$4:$L$59,Projection!$B$4:$B$59,"&lt;"&amp;(Assumptions!$B$4+30))-SUMIFS(Projection!$K$4:$K$59,Projection!$B$4:$B$59,"&lt;"&amp;(Assumptions!$B$4+30)))/Discount!C34</f>
        <v>37924.8093555905</v>
      </c>
      <c r="G155" s="1" t="n">
        <f aca="false">(SUMIFS(Projection!$L$4:$L$59,Projection!$B$4:$B$59,"&gt;="&amp;(Assumptions!$B$4+30))+$B$91*SUMIFS(Commission_Models!$G$15:$G$70,Commission_Models!$A$15:$A$70,"&gt;="&amp;(Assumptions!$B$4+30))-$B$91*SUMIFS(Projection!$I$4:$I$59,Projection!$B$4:$B$59,"&gt;="&amp;(Assumptions!$B$4+30))+SUMIFS(Projection!$K$4:$K$59,Projection!$B$4:$B$59,"&gt;="&amp;(Assumptions!$B$4+30)))/Discount!C34</f>
        <v>31323.648378479</v>
      </c>
      <c r="H155" s="1" t="n">
        <f aca="false">F155-G155</f>
        <v>6601.16097711156</v>
      </c>
      <c r="I155" s="1" t="n">
        <f aca="false">IF(T155&lt;=0,0,MAX(0,(R155+S155-H155)/T155))</f>
        <v>2845.47314597323</v>
      </c>
      <c r="J155" s="1" t="n">
        <f aca="false">($B$92*(SUMIFS(Projection!$I$4:$I$59,Projection!$B$4:$B$59,"&lt;"&amp;(Assumptions!$B$4+30))-SUMIFS(Commission_Models!$G$15:$G$70,Commission_Models!$A$15:$A$70,"&lt;"&amp;(Assumptions!$B$4+30)))-SUMIFS(Projection!$L$4:$L$59,Projection!$B$4:$B$59,"&lt;"&amp;(Assumptions!$B$4+30))-SUMIFS(Projection!$K$4:$K$59,Projection!$B$4:$B$59,"&lt;"&amp;(Assumptions!$B$4+30)))/Discount!C34</f>
        <v>34585.4123562394</v>
      </c>
      <c r="K155" s="1" t="n">
        <f aca="false">(SUMIFS(Projection!$L$4:$L$59,Projection!$B$4:$B$59,"&gt;="&amp;(Assumptions!$B$4+30))+$B$92*SUMIFS(Commission_Models!$G$15:$G$70,Commission_Models!$A$15:$A$70,"&gt;="&amp;(Assumptions!$B$4+30))-$B$92*SUMIFS(Projection!$I$4:$I$59,Projection!$B$4:$B$59,"&gt;="&amp;(Assumptions!$B$4+30))+SUMIFS(Projection!$K$4:$K$59,Projection!$B$4:$B$59,"&gt;="&amp;(Assumptions!$B$4+30)))/Discount!C34</f>
        <v>31323.648378479</v>
      </c>
      <c r="L155" s="1" t="n">
        <f aca="false">J155-K155</f>
        <v>3261.76397776045</v>
      </c>
      <c r="M155" s="1" t="n">
        <f aca="false">IF(T155&lt;=0,0,MAX(0,(R155+S155-L155)/T155))</f>
        <v>18185.0098154337</v>
      </c>
      <c r="N155" s="1" t="n">
        <f aca="false">($B$93*(SUMIFS(Projection!$I$4:$I$59,Projection!$B$4:$B$59,"&lt;"&amp;(Assumptions!$B$4+30))-SUMIFS(Commission_Models!$G$15:$G$70,Commission_Models!$A$15:$A$70,"&lt;"&amp;(Assumptions!$B$4+30)))-SUMIFS(Projection!$L$4:$L$59,Projection!$B$4:$B$59,"&lt;"&amp;(Assumptions!$B$4+30))-SUMIFS(Projection!$K$4:$K$59,Projection!$B$4:$B$59,"&lt;"&amp;(Assumptions!$B$4+30)))/Discount!C34</f>
        <v>31323.648378479</v>
      </c>
      <c r="O155" s="1" t="n">
        <f aca="false">(SUMIFS(Projection!$L$4:$L$59,Projection!$B$4:$B$59,"&gt;="&amp;(Assumptions!$B$4+30))+$B$93*SUMIFS(Commission_Models!$G$15:$G$70,Commission_Models!$A$15:$A$70,"&gt;="&amp;(Assumptions!$B$4+30))-$B$93*SUMIFS(Projection!$I$4:$I$59,Projection!$B$4:$B$59,"&gt;="&amp;(Assumptions!$B$4+30))+SUMIFS(Projection!$K$4:$K$59,Projection!$B$4:$B$59,"&gt;="&amp;(Assumptions!$B$4+30)))/Discount!C34</f>
        <v>31323.648378479</v>
      </c>
      <c r="P155" s="1" t="n">
        <f aca="false">N155-O155</f>
        <v>0</v>
      </c>
      <c r="Q155" s="1" t="n">
        <f aca="false">IF(T155&lt;=0,0,MAX(0,(R155+S155-P155)/T155))</f>
        <v>33167.9388154011</v>
      </c>
      <c r="R155" s="72" t="n">
        <f aca="false">RiskMargin!J34</f>
        <v>5718.8691306031</v>
      </c>
      <c r="S155" s="72" t="n">
        <f aca="false">RiskMargin!L34</f>
        <v>1501.74761562012</v>
      </c>
      <c r="T155" s="73" t="n">
        <f aca="false">Projection!F34</f>
        <v>0.217698687470758</v>
      </c>
    </row>
    <row r="156" customFormat="false" ht="15" hidden="false" customHeight="true" outlineLevel="0" collapsed="false">
      <c r="A156" s="1" t="n">
        <v>31</v>
      </c>
      <c r="B156" s="1" t="n">
        <f aca="false">($B$90*(SUMIFS(Projection!$I$4:$I$59,Projection!$B$4:$B$59,"&lt;"&amp;(Assumptions!$B$4+31))-SUMIFS(Commission_Models!$G$15:$G$70,Commission_Models!$A$15:$A$70,"&lt;"&amp;(Assumptions!$B$4+31)))-SUMIFS(Projection!$L$4:$L$59,Projection!$B$4:$B$59,"&lt;"&amp;(Assumptions!$B$4+31))-SUMIFS(Projection!$K$4:$K$59,Projection!$B$4:$B$59,"&lt;"&amp;(Assumptions!$B$4+31)))/Discount!C35</f>
        <v>36123.0876151242</v>
      </c>
      <c r="C156" s="1" t="n">
        <f aca="false">(SUMIFS(Projection!$L$4:$L$59,Projection!$B$4:$B$59,"&gt;="&amp;(Assumptions!$B$4+31))+$B$90*SUMIFS(Commission_Models!$G$15:$G$70,Commission_Models!$A$15:$A$70,"&gt;="&amp;(Assumptions!$B$4+31))-$B$90*SUMIFS(Projection!$I$4:$I$59,Projection!$B$4:$B$59,"&gt;="&amp;(Assumptions!$B$4+31))+SUMIFS(Projection!$K$4:$K$59,Projection!$B$4:$B$59,"&gt;="&amp;(Assumptions!$B$4+31)))/Discount!C35</f>
        <v>25779.9161564501</v>
      </c>
      <c r="D156" s="1" t="n">
        <f aca="false">B156-C156</f>
        <v>10343.1714586741</v>
      </c>
      <c r="E156" s="1" t="n">
        <f aca="false">IF(T156&lt;=0,0,MAX(0,(R156+S156-D156)/T156))</f>
        <v>0</v>
      </c>
      <c r="F156" s="1" t="n">
        <f aca="false">($B$91*(SUMIFS(Projection!$I$4:$I$59,Projection!$B$4:$B$59,"&lt;"&amp;(Assumptions!$B$4+31))-SUMIFS(Commission_Models!$G$15:$G$70,Commission_Models!$A$15:$A$70,"&lt;"&amp;(Assumptions!$B$4+31)))-SUMIFS(Projection!$L$4:$L$59,Projection!$B$4:$B$59,"&lt;"&amp;(Assumptions!$B$4+31))-SUMIFS(Projection!$K$4:$K$59,Projection!$B$4:$B$59,"&lt;"&amp;(Assumptions!$B$4+31)))/Discount!C35</f>
        <v>32593.3047564858</v>
      </c>
      <c r="G156" s="1" t="n">
        <f aca="false">(SUMIFS(Projection!$L$4:$L$59,Projection!$B$4:$B$59,"&gt;="&amp;(Assumptions!$B$4+31))+$B$91*SUMIFS(Commission_Models!$G$15:$G$70,Commission_Models!$A$15:$A$70,"&gt;="&amp;(Assumptions!$B$4+31))-$B$91*SUMIFS(Projection!$I$4:$I$59,Projection!$B$4:$B$59,"&gt;="&amp;(Assumptions!$B$4+31))+SUMIFS(Projection!$K$4:$K$59,Projection!$B$4:$B$59,"&gt;="&amp;(Assumptions!$B$4+31)))/Discount!C35</f>
        <v>25779.9161564501</v>
      </c>
      <c r="H156" s="1" t="n">
        <f aca="false">F156-G156</f>
        <v>6813.3886000357</v>
      </c>
      <c r="I156" s="1" t="n">
        <f aca="false">IF(T156&lt;=0,0,MAX(0,(R156+S156-H156)/T156))</f>
        <v>0</v>
      </c>
      <c r="J156" s="1" t="n">
        <f aca="false">($B$92*(SUMIFS(Projection!$I$4:$I$59,Projection!$B$4:$B$59,"&lt;"&amp;(Assumptions!$B$4+31))-SUMIFS(Commission_Models!$G$15:$G$70,Commission_Models!$A$15:$A$70,"&lt;"&amp;(Assumptions!$B$4+31)))-SUMIFS(Projection!$L$4:$L$59,Projection!$B$4:$B$59,"&lt;"&amp;(Assumptions!$B$4+31))-SUMIFS(Projection!$K$4:$K$59,Projection!$B$4:$B$59,"&lt;"&amp;(Assumptions!$B$4+31)))/Discount!C35</f>
        <v>29146.5459931011</v>
      </c>
      <c r="K156" s="1" t="n">
        <f aca="false">(SUMIFS(Projection!$L$4:$L$59,Projection!$B$4:$B$59,"&gt;="&amp;(Assumptions!$B$4+31))+$B$92*SUMIFS(Commission_Models!$G$15:$G$70,Commission_Models!$A$15:$A$70,"&gt;="&amp;(Assumptions!$B$4+31))-$B$92*SUMIFS(Projection!$I$4:$I$59,Projection!$B$4:$B$59,"&gt;="&amp;(Assumptions!$B$4+31))+SUMIFS(Projection!$K$4:$K$59,Projection!$B$4:$B$59,"&gt;="&amp;(Assumptions!$B$4+31)))/Discount!C35</f>
        <v>25779.9161564501</v>
      </c>
      <c r="L156" s="1" t="n">
        <f aca="false">J156-K156</f>
        <v>3366.62983665101</v>
      </c>
      <c r="M156" s="1" t="n">
        <f aca="false">IF(T156&lt;=0,0,MAX(0,(R156+S156-L156)/T156))</f>
        <v>14086.9637181742</v>
      </c>
      <c r="N156" s="1" t="n">
        <f aca="false">($B$93*(SUMIFS(Projection!$I$4:$I$59,Projection!$B$4:$B$59,"&lt;"&amp;(Assumptions!$B$4+31))-SUMIFS(Commission_Models!$G$15:$G$70,Commission_Models!$A$15:$A$70,"&lt;"&amp;(Assumptions!$B$4+31)))-SUMIFS(Projection!$L$4:$L$59,Projection!$B$4:$B$59,"&lt;"&amp;(Assumptions!$B$4+31))-SUMIFS(Projection!$K$4:$K$59,Projection!$B$4:$B$59,"&lt;"&amp;(Assumptions!$B$4+31)))/Discount!C35</f>
        <v>25779.9161564501</v>
      </c>
      <c r="O156" s="1" t="n">
        <f aca="false">(SUMIFS(Projection!$L$4:$L$59,Projection!$B$4:$B$59,"&gt;="&amp;(Assumptions!$B$4+31))+$B$93*SUMIFS(Commission_Models!$G$15:$G$70,Commission_Models!$A$15:$A$70,"&gt;="&amp;(Assumptions!$B$4+31))-$B$93*SUMIFS(Projection!$I$4:$I$59,Projection!$B$4:$B$59,"&gt;="&amp;(Assumptions!$B$4+31))+SUMIFS(Projection!$K$4:$K$59,Projection!$B$4:$B$59,"&gt;="&amp;(Assumptions!$B$4+31)))/Discount!C35</f>
        <v>25779.9161564501</v>
      </c>
      <c r="P156" s="1" t="n">
        <f aca="false">N156-O156</f>
        <v>0</v>
      </c>
      <c r="Q156" s="1" t="n">
        <f aca="false">IF(T156&lt;=0,0,MAX(0,(R156+S156-P156)/T156))</f>
        <v>32453.5643160235</v>
      </c>
      <c r="R156" s="72" t="n">
        <f aca="false">RiskMargin!J35</f>
        <v>4752.92978191932</v>
      </c>
      <c r="S156" s="72" t="n">
        <f aca="false">RiskMargin!L35</f>
        <v>1195.86500729122</v>
      </c>
      <c r="T156" s="73" t="n">
        <f aca="false">Projection!F35</f>
        <v>0.183301739410898</v>
      </c>
    </row>
    <row r="157" customFormat="false" ht="15" hidden="false" customHeight="true" outlineLevel="0" collapsed="false">
      <c r="A157" s="1" t="n">
        <v>32</v>
      </c>
      <c r="B157" s="1" t="n">
        <f aca="false">($B$90*(SUMIFS(Projection!$I$4:$I$59,Projection!$B$4:$B$59,"&lt;"&amp;(Assumptions!$B$4+32))-SUMIFS(Commission_Models!$G$15:$G$70,Commission_Models!$A$15:$A$70,"&lt;"&amp;(Assumptions!$B$4+32)))-SUMIFS(Projection!$L$4:$L$59,Projection!$B$4:$B$59,"&lt;"&amp;(Assumptions!$B$4+32))-SUMIFS(Projection!$K$4:$K$59,Projection!$B$4:$B$59,"&lt;"&amp;(Assumptions!$B$4+32)))/Discount!C36</f>
        <v>31668.6543202215</v>
      </c>
      <c r="C157" s="1" t="n">
        <f aca="false">(SUMIFS(Projection!$L$4:$L$59,Projection!$B$4:$B$59,"&gt;="&amp;(Assumptions!$B$4+32))+$B$90*SUMIFS(Commission_Models!$G$15:$G$70,Commission_Models!$A$15:$A$70,"&gt;="&amp;(Assumptions!$B$4+32))-$B$90*SUMIFS(Projection!$I$4:$I$59,Projection!$B$4:$B$59,"&gt;="&amp;(Assumptions!$B$4+32))+SUMIFS(Projection!$K$4:$K$59,Projection!$B$4:$B$59,"&gt;="&amp;(Assumptions!$B$4+32)))/Discount!C36</f>
        <v>20989.4312317258</v>
      </c>
      <c r="D157" s="1" t="n">
        <f aca="false">B157-C157</f>
        <v>10679.2230884957</v>
      </c>
      <c r="E157" s="1" t="n">
        <f aca="false">IF(T157&lt;=0,0,MAX(0,(R157+S157-D157)/T157))</f>
        <v>0</v>
      </c>
      <c r="F157" s="1" t="n">
        <f aca="false">($B$91*(SUMIFS(Projection!$I$4:$I$59,Projection!$B$4:$B$59,"&lt;"&amp;(Assumptions!$B$4+32))-SUMIFS(Commission_Models!$G$15:$G$70,Commission_Models!$A$15:$A$70,"&lt;"&amp;(Assumptions!$B$4+32)))-SUMIFS(Projection!$L$4:$L$59,Projection!$B$4:$B$59,"&lt;"&amp;(Assumptions!$B$4+32))-SUMIFS(Projection!$K$4:$K$59,Projection!$B$4:$B$59,"&lt;"&amp;(Assumptions!$B$4+32)))/Discount!C36</f>
        <v>28024.1881376818</v>
      </c>
      <c r="G157" s="1" t="n">
        <f aca="false">(SUMIFS(Projection!$L$4:$L$59,Projection!$B$4:$B$59,"&gt;="&amp;(Assumptions!$B$4+32))+$B$91*SUMIFS(Commission_Models!$G$15:$G$70,Commission_Models!$A$15:$A$70,"&gt;="&amp;(Assumptions!$B$4+32))-$B$91*SUMIFS(Projection!$I$4:$I$59,Projection!$B$4:$B$59,"&gt;="&amp;(Assumptions!$B$4+32))+SUMIFS(Projection!$K$4:$K$59,Projection!$B$4:$B$59,"&gt;="&amp;(Assumptions!$B$4+32)))/Discount!C36</f>
        <v>20989.4312317258</v>
      </c>
      <c r="H157" s="1" t="n">
        <f aca="false">F157-G157</f>
        <v>7034.75690595599</v>
      </c>
      <c r="I157" s="1" t="n">
        <f aca="false">IF(T157&lt;=0,0,MAX(0,(R157+S157-H157)/T157))</f>
        <v>0</v>
      </c>
      <c r="J157" s="1" t="n">
        <f aca="false">($B$92*(SUMIFS(Projection!$I$4:$I$59,Projection!$B$4:$B$59,"&lt;"&amp;(Assumptions!$B$4+32))-SUMIFS(Commission_Models!$G$15:$G$70,Commission_Models!$A$15:$A$70,"&lt;"&amp;(Assumptions!$B$4+32)))-SUMIFS(Projection!$L$4:$L$59,Projection!$B$4:$B$59,"&lt;"&amp;(Assumptions!$B$4+32))-SUMIFS(Projection!$K$4:$K$59,Projection!$B$4:$B$59,"&lt;"&amp;(Assumptions!$B$4+32)))/Discount!C36</f>
        <v>24465.4435192172</v>
      </c>
      <c r="K157" s="1" t="n">
        <f aca="false">(SUMIFS(Projection!$L$4:$L$59,Projection!$B$4:$B$59,"&gt;="&amp;(Assumptions!$B$4+32))+$B$92*SUMIFS(Commission_Models!$G$15:$G$70,Commission_Models!$A$15:$A$70,"&gt;="&amp;(Assumptions!$B$4+32))-$B$92*SUMIFS(Projection!$I$4:$I$59,Projection!$B$4:$B$59,"&gt;="&amp;(Assumptions!$B$4+32))+SUMIFS(Projection!$K$4:$K$59,Projection!$B$4:$B$59,"&gt;="&amp;(Assumptions!$B$4+32)))/Discount!C36</f>
        <v>20989.4312317258</v>
      </c>
      <c r="L157" s="1" t="n">
        <f aca="false">J157-K157</f>
        <v>3476.01228749143</v>
      </c>
      <c r="M157" s="1" t="n">
        <f aca="false">IF(T157&lt;=0,0,MAX(0,(R157+S157-L157)/T157))</f>
        <v>8931.48580161051</v>
      </c>
      <c r="N157" s="1" t="n">
        <f aca="false">($B$93*(SUMIFS(Projection!$I$4:$I$59,Projection!$B$4:$B$59,"&lt;"&amp;(Assumptions!$B$4+32))-SUMIFS(Commission_Models!$G$15:$G$70,Commission_Models!$A$15:$A$70,"&lt;"&amp;(Assumptions!$B$4+32)))-SUMIFS(Projection!$L$4:$L$59,Projection!$B$4:$B$59,"&lt;"&amp;(Assumptions!$B$4+32))-SUMIFS(Projection!$K$4:$K$59,Projection!$B$4:$B$59,"&lt;"&amp;(Assumptions!$B$4+32)))/Discount!C36</f>
        <v>20989.4312317258</v>
      </c>
      <c r="O157" s="1" t="n">
        <f aca="false">(SUMIFS(Projection!$L$4:$L$59,Projection!$B$4:$B$59,"&gt;="&amp;(Assumptions!$B$4+32))+$B$93*SUMIFS(Commission_Models!$G$15:$G$70,Commission_Models!$A$15:$A$70,"&gt;="&amp;(Assumptions!$B$4+32))-$B$93*SUMIFS(Projection!$I$4:$I$59,Projection!$B$4:$B$59,"&gt;="&amp;(Assumptions!$B$4+32))+SUMIFS(Projection!$K$4:$K$59,Projection!$B$4:$B$59,"&gt;="&amp;(Assumptions!$B$4+32)))/Discount!C36</f>
        <v>20989.4312317258</v>
      </c>
      <c r="P157" s="1" t="n">
        <f aca="false">N157-O157</f>
        <v>0</v>
      </c>
      <c r="Q157" s="1" t="n">
        <f aca="false">IF(T157&lt;=0,0,MAX(0,(R157+S157-P157)/T157))</f>
        <v>31728.8893927257</v>
      </c>
      <c r="R157" s="72" t="n">
        <f aca="false">RiskMargin!J36</f>
        <v>3897.55434626227</v>
      </c>
      <c r="S157" s="74" t="n">
        <f aca="false">RiskMargin!L36</f>
        <v>940.277688283721</v>
      </c>
      <c r="T157" s="73" t="n">
        <f aca="false">Projection!F36</f>
        <v>0.152474042651336</v>
      </c>
    </row>
    <row r="158" customFormat="false" ht="15" hidden="false" customHeight="true" outlineLevel="0" collapsed="false">
      <c r="A158" s="1" t="n">
        <v>33</v>
      </c>
      <c r="B158" s="1" t="n">
        <f aca="false">($B$90*(SUMIFS(Projection!$I$4:$I$59,Projection!$B$4:$B$59,"&lt;"&amp;(Assumptions!$B$4+33))-SUMIFS(Commission_Models!$G$15:$G$70,Commission_Models!$A$15:$A$70,"&lt;"&amp;(Assumptions!$B$4+33)))-SUMIFS(Projection!$L$4:$L$59,Projection!$B$4:$B$59,"&lt;"&amp;(Assumptions!$B$4+33))-SUMIFS(Projection!$K$4:$K$59,Projection!$B$4:$B$59,"&lt;"&amp;(Assumptions!$B$4+33)))/Discount!C37</f>
        <v>27923.338664704</v>
      </c>
      <c r="C158" s="1" t="n">
        <f aca="false">(SUMIFS(Projection!$L$4:$L$59,Projection!$B$4:$B$59,"&gt;="&amp;(Assumptions!$B$4+33))+$B$90*SUMIFS(Commission_Models!$G$15:$G$70,Commission_Models!$A$15:$A$70,"&gt;="&amp;(Assumptions!$B$4+33))-$B$90*SUMIFS(Projection!$I$4:$I$59,Projection!$B$4:$B$59,"&gt;="&amp;(Assumptions!$B$4+33))+SUMIFS(Projection!$K$4:$K$59,Projection!$B$4:$B$59,"&gt;="&amp;(Assumptions!$B$4+33)))/Discount!C37</f>
        <v>16896.718262911</v>
      </c>
      <c r="D158" s="1" t="n">
        <f aca="false">B158-C158</f>
        <v>11026.620401793</v>
      </c>
      <c r="E158" s="1" t="n">
        <f aca="false">IF(T158&lt;=0,0,MAX(0,(R158+S158-D158)/T158))</f>
        <v>0</v>
      </c>
      <c r="F158" s="1" t="n">
        <f aca="false">($B$91*(SUMIFS(Projection!$I$4:$I$59,Projection!$B$4:$B$59,"&lt;"&amp;(Assumptions!$B$4+33))-SUMIFS(Commission_Models!$G$15:$G$70,Commission_Models!$A$15:$A$70,"&lt;"&amp;(Assumptions!$B$4+33)))-SUMIFS(Projection!$L$4:$L$59,Projection!$B$4:$B$59,"&lt;"&amp;(Assumptions!$B$4+33))-SUMIFS(Projection!$K$4:$K$59,Projection!$B$4:$B$59,"&lt;"&amp;(Assumptions!$B$4+33)))/Discount!C37</f>
        <v>24160.3172511586</v>
      </c>
      <c r="G158" s="1" t="n">
        <f aca="false">(SUMIFS(Projection!$L$4:$L$59,Projection!$B$4:$B$59,"&gt;="&amp;(Assumptions!$B$4+33))+$B$91*SUMIFS(Commission_Models!$G$15:$G$70,Commission_Models!$A$15:$A$70,"&gt;="&amp;(Assumptions!$B$4+33))-$B$91*SUMIFS(Projection!$I$4:$I$59,Projection!$B$4:$B$59,"&gt;="&amp;(Assumptions!$B$4+33))+SUMIFS(Projection!$K$4:$K$59,Projection!$B$4:$B$59,"&gt;="&amp;(Assumptions!$B$4+33)))/Discount!C37</f>
        <v>16896.718262911</v>
      </c>
      <c r="H158" s="1" t="n">
        <f aca="false">F158-G158</f>
        <v>7263.59898824767</v>
      </c>
      <c r="I158" s="1" t="n">
        <f aca="false">IF(T158&lt;=0,0,MAX(0,(R158+S158-H158)/T158))</f>
        <v>0</v>
      </c>
      <c r="J158" s="1" t="n">
        <f aca="false">($B$92*(SUMIFS(Projection!$I$4:$I$59,Projection!$B$4:$B$59,"&lt;"&amp;(Assumptions!$B$4+33))-SUMIFS(Commission_Models!$G$15:$G$70,Commission_Models!$A$15:$A$70,"&lt;"&amp;(Assumptions!$B$4+33)))-SUMIFS(Projection!$L$4:$L$59,Projection!$B$4:$B$59,"&lt;"&amp;(Assumptions!$B$4+33))-SUMIFS(Projection!$K$4:$K$59,Projection!$B$4:$B$59,"&lt;"&amp;(Assumptions!$B$4+33)))/Discount!C37</f>
        <v>20485.8059417166</v>
      </c>
      <c r="K158" s="1" t="n">
        <f aca="false">(SUMIFS(Projection!$L$4:$L$59,Projection!$B$4:$B$59,"&gt;="&amp;(Assumptions!$B$4+33))+$B$92*SUMIFS(Commission_Models!$G$15:$G$70,Commission_Models!$A$15:$A$70,"&gt;="&amp;(Assumptions!$B$4+33))-$B$92*SUMIFS(Projection!$I$4:$I$59,Projection!$B$4:$B$59,"&gt;="&amp;(Assumptions!$B$4+33))+SUMIFS(Projection!$K$4:$K$59,Projection!$B$4:$B$59,"&gt;="&amp;(Assumptions!$B$4+33)))/Discount!C37</f>
        <v>16896.718262911</v>
      </c>
      <c r="L158" s="1" t="n">
        <f aca="false">J158-K158</f>
        <v>3589.08767880558</v>
      </c>
      <c r="M158" s="1" t="n">
        <f aca="false">IF(T158&lt;=0,0,MAX(0,(R158+S158-L158)/T158))</f>
        <v>2336.3725875616</v>
      </c>
      <c r="N158" s="1" t="n">
        <f aca="false">($B$93*(SUMIFS(Projection!$I$4:$I$59,Projection!$B$4:$B$59,"&lt;"&amp;(Assumptions!$B$4+33))-SUMIFS(Commission_Models!$G$15:$G$70,Commission_Models!$A$15:$A$70,"&lt;"&amp;(Assumptions!$B$4+33)))-SUMIFS(Projection!$L$4:$L$59,Projection!$B$4:$B$59,"&lt;"&amp;(Assumptions!$B$4+33))-SUMIFS(Projection!$K$4:$K$59,Projection!$B$4:$B$59,"&lt;"&amp;(Assumptions!$B$4+33)))/Discount!C37</f>
        <v>16896.7182629109</v>
      </c>
      <c r="O158" s="1" t="n">
        <f aca="false">(SUMIFS(Projection!$L$4:$L$59,Projection!$B$4:$B$59,"&gt;="&amp;(Assumptions!$B$4+33))+$B$93*SUMIFS(Commission_Models!$G$15:$G$70,Commission_Models!$A$15:$A$70,"&gt;="&amp;(Assumptions!$B$4+33))-$B$93*SUMIFS(Projection!$I$4:$I$59,Projection!$B$4:$B$59,"&gt;="&amp;(Assumptions!$B$4+33))+SUMIFS(Projection!$K$4:$K$59,Projection!$B$4:$B$59,"&gt;="&amp;(Assumptions!$B$4+33)))/Discount!C37</f>
        <v>16896.718262911</v>
      </c>
      <c r="P158" s="1" t="n">
        <f aca="false">N158-O158</f>
        <v>0</v>
      </c>
      <c r="Q158" s="1" t="n">
        <f aca="false">IF(T158&lt;=0,0,MAX(0,(R158+S158-P158)/T158))</f>
        <v>30975.7311932408</v>
      </c>
      <c r="R158" s="72" t="n">
        <f aca="false">RiskMargin!J37</f>
        <v>3152.47759853877</v>
      </c>
      <c r="S158" s="74" t="n">
        <f aca="false">RiskMargin!L37</f>
        <v>729.404558752574</v>
      </c>
      <c r="T158" s="73" t="n">
        <f aca="false">Projection!F37</f>
        <v>0.125320113771468</v>
      </c>
    </row>
    <row r="159" customFormat="false" ht="15" hidden="false" customHeight="true" outlineLevel="0" collapsed="false">
      <c r="A159" s="1" t="n">
        <v>34</v>
      </c>
      <c r="B159" s="1" t="n">
        <f aca="false">($B$90*(SUMIFS(Projection!$I$4:$I$59,Projection!$B$4:$B$59,"&lt;"&amp;(Assumptions!$B$4+34))-SUMIFS(Commission_Models!$G$15:$G$70,Commission_Models!$A$15:$A$70,"&lt;"&amp;(Assumptions!$B$4+34)))-SUMIFS(Projection!$L$4:$L$59,Projection!$B$4:$B$59,"&lt;"&amp;(Assumptions!$B$4+34))-SUMIFS(Projection!$K$4:$K$59,Projection!$B$4:$B$59,"&lt;"&amp;(Assumptions!$B$4+34)))/Discount!C38</f>
        <v>24828.9955413215</v>
      </c>
      <c r="C159" s="1" t="n">
        <f aca="false">(SUMIFS(Projection!$L$4:$L$59,Projection!$B$4:$B$59,"&gt;="&amp;(Assumptions!$B$4+34))+$B$90*SUMIFS(Commission_Models!$G$15:$G$70,Commission_Models!$A$15:$A$70,"&gt;="&amp;(Assumptions!$B$4+34))-$B$90*SUMIFS(Projection!$I$4:$I$59,Projection!$B$4:$B$59,"&gt;="&amp;(Assumptions!$B$4+34))+SUMIFS(Projection!$K$4:$K$59,Projection!$B$4:$B$59,"&gt;="&amp;(Assumptions!$B$4+34)))/Discount!C38</f>
        <v>13443.2357146417</v>
      </c>
      <c r="D159" s="1" t="n">
        <f aca="false">B159-C159</f>
        <v>11385.7598266798</v>
      </c>
      <c r="E159" s="1" t="n">
        <f aca="false">IF(T159&lt;=0,0,MAX(0,(R159+S159-D159)/T159))</f>
        <v>0</v>
      </c>
      <c r="F159" s="1" t="n">
        <f aca="false">($B$91*(SUMIFS(Projection!$I$4:$I$59,Projection!$B$4:$B$59,"&lt;"&amp;(Assumptions!$B$4+34))-SUMIFS(Commission_Models!$G$15:$G$70,Commission_Models!$A$15:$A$70,"&lt;"&amp;(Assumptions!$B$4+34)))-SUMIFS(Projection!$L$4:$L$59,Projection!$B$4:$B$59,"&lt;"&amp;(Assumptions!$B$4+34))-SUMIFS(Projection!$K$4:$K$59,Projection!$B$4:$B$59,"&lt;"&amp;(Assumptions!$B$4+34)))/Discount!C38</f>
        <v>20943.4117018422</v>
      </c>
      <c r="G159" s="1" t="n">
        <f aca="false">(SUMIFS(Projection!$L$4:$L$59,Projection!$B$4:$B$59,"&gt;="&amp;(Assumptions!$B$4+34))+$B$91*SUMIFS(Commission_Models!$G$15:$G$70,Commission_Models!$A$15:$A$70,"&gt;="&amp;(Assumptions!$B$4+34))-$B$91*SUMIFS(Projection!$I$4:$I$59,Projection!$B$4:$B$59,"&gt;="&amp;(Assumptions!$B$4+34))+SUMIFS(Projection!$K$4:$K$59,Projection!$B$4:$B$59,"&gt;="&amp;(Assumptions!$B$4+34)))/Discount!C38</f>
        <v>13443.2357146417</v>
      </c>
      <c r="H159" s="1" t="n">
        <f aca="false">F159-G159</f>
        <v>7500.17598720043</v>
      </c>
      <c r="I159" s="1" t="n">
        <f aca="false">IF(T159&lt;=0,0,MAX(0,(R159+S159-H159)/T159))</f>
        <v>0</v>
      </c>
      <c r="J159" s="1" t="n">
        <f aca="false">($B$92*(SUMIFS(Projection!$I$4:$I$59,Projection!$B$4:$B$59,"&lt;"&amp;(Assumptions!$B$4+34))-SUMIFS(Commission_Models!$G$15:$G$70,Commission_Models!$A$15:$A$70,"&lt;"&amp;(Assumptions!$B$4+34)))-SUMIFS(Projection!$L$4:$L$59,Projection!$B$4:$B$59,"&lt;"&amp;(Assumptions!$B$4+34))-SUMIFS(Projection!$K$4:$K$59,Projection!$B$4:$B$59,"&lt;"&amp;(Assumptions!$B$4+34)))/Discount!C38</f>
        <v>17149.2207598086</v>
      </c>
      <c r="K159" s="1" t="n">
        <f aca="false">(SUMIFS(Projection!$L$4:$L$59,Projection!$B$4:$B$59,"&gt;="&amp;(Assumptions!$B$4+34))+$B$92*SUMIFS(Commission_Models!$G$15:$G$70,Commission_Models!$A$15:$A$70,"&gt;="&amp;(Assumptions!$B$4+34))-$B$92*SUMIFS(Projection!$I$4:$I$59,Projection!$B$4:$B$59,"&gt;="&amp;(Assumptions!$B$4+34))+SUMIFS(Projection!$K$4:$K$59,Projection!$B$4:$B$59,"&gt;="&amp;(Assumptions!$B$4+34)))/Discount!C38</f>
        <v>13443.2357146417</v>
      </c>
      <c r="L159" s="1" t="n">
        <f aca="false">J159-K159</f>
        <v>3705.98504516682</v>
      </c>
      <c r="M159" s="1" t="n">
        <f aca="false">IF(T159&lt;=0,0,MAX(0,(R159+S159-L159)/T159))</f>
        <v>0</v>
      </c>
      <c r="N159" s="1" t="n">
        <f aca="false">($B$93*(SUMIFS(Projection!$I$4:$I$59,Projection!$B$4:$B$59,"&lt;"&amp;(Assumptions!$B$4+34))-SUMIFS(Commission_Models!$G$15:$G$70,Commission_Models!$A$15:$A$70,"&lt;"&amp;(Assumptions!$B$4+34)))-SUMIFS(Projection!$L$4:$L$59,Projection!$B$4:$B$59,"&lt;"&amp;(Assumptions!$B$4+34))-SUMIFS(Projection!$K$4:$K$59,Projection!$B$4:$B$59,"&lt;"&amp;(Assumptions!$B$4+34)))/Discount!C38</f>
        <v>13443.2357146417</v>
      </c>
      <c r="O159" s="1" t="n">
        <f aca="false">(SUMIFS(Projection!$L$4:$L$59,Projection!$B$4:$B$59,"&gt;="&amp;(Assumptions!$B$4+34))+$B$93*SUMIFS(Commission_Models!$G$15:$G$70,Commission_Models!$A$15:$A$70,"&gt;="&amp;(Assumptions!$B$4+34))-$B$93*SUMIFS(Projection!$I$4:$I$59,Projection!$B$4:$B$59,"&gt;="&amp;(Assumptions!$B$4+34))+SUMIFS(Projection!$K$4:$K$59,Projection!$B$4:$B$59,"&gt;="&amp;(Assumptions!$B$4+34)))/Discount!C38</f>
        <v>13443.2357146417</v>
      </c>
      <c r="P159" s="1" t="n">
        <f aca="false">N159-O159</f>
        <v>0</v>
      </c>
      <c r="Q159" s="1" t="n">
        <f aca="false">IF(T159&lt;=0,0,MAX(0,(R159+S159-P159)/T159))</f>
        <v>30184.0041820938</v>
      </c>
      <c r="R159" s="72" t="n">
        <f aca="false">RiskMargin!J38</f>
        <v>2513.79415706926</v>
      </c>
      <c r="S159" s="74" t="n">
        <f aca="false">RiskMargin!L38</f>
        <v>557.852155106822</v>
      </c>
      <c r="T159" s="73" t="n">
        <f aca="false">Projection!F38</f>
        <v>0.101764043420001</v>
      </c>
    </row>
    <row r="160" customFormat="false" ht="15" hidden="false" customHeight="true" outlineLevel="0" collapsed="false">
      <c r="A160" s="1" t="n">
        <v>35</v>
      </c>
      <c r="B160" s="1" t="n">
        <f aca="false">($B$90*(SUMIFS(Projection!$I$4:$I$59,Projection!$B$4:$B$59,"&lt;"&amp;(Assumptions!$B$4+35))-SUMIFS(Commission_Models!$G$15:$G$70,Commission_Models!$A$15:$A$70,"&lt;"&amp;(Assumptions!$B$4+35)))-SUMIFS(Projection!$L$4:$L$59,Projection!$B$4:$B$59,"&lt;"&amp;(Assumptions!$B$4+35))-SUMIFS(Projection!$K$4:$K$59,Projection!$B$4:$B$59,"&lt;"&amp;(Assumptions!$B$4+35)))/Discount!C39</f>
        <v>22322.1974861492</v>
      </c>
      <c r="C160" s="1" t="n">
        <f aca="false">(SUMIFS(Projection!$L$4:$L$59,Projection!$B$4:$B$59,"&gt;="&amp;(Assumptions!$B$4+35))+$B$90*SUMIFS(Commission_Models!$G$15:$G$70,Commission_Models!$A$15:$A$70,"&gt;="&amp;(Assumptions!$B$4+35))-$B$90*SUMIFS(Projection!$I$4:$I$59,Projection!$B$4:$B$59,"&gt;="&amp;(Assumptions!$B$4+35))+SUMIFS(Projection!$K$4:$K$59,Projection!$B$4:$B$59,"&gt;="&amp;(Assumptions!$B$4+35)))/Discount!C39</f>
        <v>10565.1454049468</v>
      </c>
      <c r="D160" s="1" t="n">
        <f aca="false">B160-C160</f>
        <v>11757.0520812024</v>
      </c>
      <c r="E160" s="1" t="n">
        <f aca="false">IF(T160&lt;=0,0,MAX(0,(R160+S160-D160)/T160))</f>
        <v>0</v>
      </c>
      <c r="F160" s="1" t="n">
        <f aca="false">($B$91*(SUMIFS(Projection!$I$4:$I$59,Projection!$B$4:$B$59,"&lt;"&amp;(Assumptions!$B$4+35))-SUMIFS(Commission_Models!$G$15:$G$70,Commission_Models!$A$15:$A$70,"&lt;"&amp;(Assumptions!$B$4+35)))-SUMIFS(Projection!$L$4:$L$59,Projection!$B$4:$B$59,"&lt;"&amp;(Assumptions!$B$4+35))-SUMIFS(Projection!$K$4:$K$59,Projection!$B$4:$B$59,"&lt;"&amp;(Assumptions!$B$4+35)))/Discount!C39</f>
        <v>18309.9038613013</v>
      </c>
      <c r="G160" s="1" t="n">
        <f aca="false">(SUMIFS(Projection!$L$4:$L$59,Projection!$B$4:$B$59,"&gt;="&amp;(Assumptions!$B$4+35))+$B$91*SUMIFS(Commission_Models!$G$15:$G$70,Commission_Models!$A$15:$A$70,"&gt;="&amp;(Assumptions!$B$4+35))-$B$91*SUMIFS(Projection!$I$4:$I$59,Projection!$B$4:$B$59,"&gt;="&amp;(Assumptions!$B$4+35))+SUMIFS(Projection!$K$4:$K$59,Projection!$B$4:$B$59,"&gt;="&amp;(Assumptions!$B$4+35)))/Discount!C39</f>
        <v>10565.1454049468</v>
      </c>
      <c r="H160" s="1" t="n">
        <f aca="false">F160-G160</f>
        <v>7744.75845635442</v>
      </c>
      <c r="I160" s="1" t="n">
        <f aca="false">IF(T160&lt;=0,0,MAX(0,(R160+S160-H160)/T160))</f>
        <v>0</v>
      </c>
      <c r="J160" s="1" t="n">
        <f aca="false">($B$92*(SUMIFS(Projection!$I$4:$I$59,Projection!$B$4:$B$59,"&lt;"&amp;(Assumptions!$B$4+35))-SUMIFS(Commission_Models!$G$15:$G$70,Commission_Models!$A$15:$A$70,"&lt;"&amp;(Assumptions!$B$4+35)))-SUMIFS(Projection!$L$4:$L$59,Projection!$B$4:$B$59,"&lt;"&amp;(Assumptions!$B$4+35))-SUMIFS(Projection!$K$4:$K$59,Projection!$B$4:$B$59,"&lt;"&amp;(Assumptions!$B$4+35)))/Discount!C39</f>
        <v>14391.9834773681</v>
      </c>
      <c r="K160" s="1" t="n">
        <f aca="false">(SUMIFS(Projection!$L$4:$L$59,Projection!$B$4:$B$59,"&gt;="&amp;(Assumptions!$B$4+35))+$B$92*SUMIFS(Commission_Models!$G$15:$G$70,Commission_Models!$A$15:$A$70,"&gt;="&amp;(Assumptions!$B$4+35))-$B$92*SUMIFS(Projection!$I$4:$I$59,Projection!$B$4:$B$59,"&gt;="&amp;(Assumptions!$B$4+35))+SUMIFS(Projection!$K$4:$K$59,Projection!$B$4:$B$59,"&gt;="&amp;(Assumptions!$B$4+35)))/Discount!C39</f>
        <v>10565.1454049468</v>
      </c>
      <c r="L160" s="1" t="n">
        <f aca="false">J160-K160</f>
        <v>3826.83807242129</v>
      </c>
      <c r="M160" s="1" t="n">
        <f aca="false">IF(T160&lt;=0,0,MAX(0,(R160+S160-L160)/T160))</f>
        <v>0</v>
      </c>
      <c r="N160" s="1" t="n">
        <f aca="false">($B$93*(SUMIFS(Projection!$I$4:$I$59,Projection!$B$4:$B$59,"&lt;"&amp;(Assumptions!$B$4+35))-SUMIFS(Commission_Models!$G$15:$G$70,Commission_Models!$A$15:$A$70,"&lt;"&amp;(Assumptions!$B$4+35)))-SUMIFS(Projection!$L$4:$L$59,Projection!$B$4:$B$59,"&lt;"&amp;(Assumptions!$B$4+35))-SUMIFS(Projection!$K$4:$K$59,Projection!$B$4:$B$59,"&lt;"&amp;(Assumptions!$B$4+35)))/Discount!C39</f>
        <v>10565.1454049468</v>
      </c>
      <c r="O160" s="1" t="n">
        <f aca="false">(SUMIFS(Projection!$L$4:$L$59,Projection!$B$4:$B$59,"&gt;="&amp;(Assumptions!$B$4+35))+$B$93*SUMIFS(Commission_Models!$G$15:$G$70,Commission_Models!$A$15:$A$70,"&gt;="&amp;(Assumptions!$B$4+35))-$B$93*SUMIFS(Projection!$I$4:$I$59,Projection!$B$4:$B$59,"&gt;="&amp;(Assumptions!$B$4+35))+SUMIFS(Projection!$K$4:$K$59,Projection!$B$4:$B$59,"&gt;="&amp;(Assumptions!$B$4+35)))/Discount!C39</f>
        <v>10565.1454049468</v>
      </c>
      <c r="P160" s="1" t="n">
        <f aca="false">N160-O160</f>
        <v>-5.27506927028298E-011</v>
      </c>
      <c r="Q160" s="1" t="n">
        <f aca="false">IF(T160&lt;=0,0,MAX(0,(R160+S160-P160)/T160))</f>
        <v>29340.4572136658</v>
      </c>
      <c r="R160" s="72" t="n">
        <f aca="false">RiskMargin!J39</f>
        <v>1974.1075306776</v>
      </c>
      <c r="S160" s="74" t="n">
        <f aca="false">RiskMargin!L39</f>
        <v>420.297668709236</v>
      </c>
      <c r="T160" s="73" t="n">
        <f aca="false">Projection!F39</f>
        <v>0.0816076307860552</v>
      </c>
    </row>
    <row r="161" customFormat="false" ht="15" hidden="false" customHeight="true" outlineLevel="0" collapsed="false">
      <c r="A161" s="1" t="n">
        <v>36</v>
      </c>
      <c r="B161" s="1" t="n">
        <f aca="false">($B$90*(SUMIFS(Projection!$I$4:$I$59,Projection!$B$4:$B$59,"&lt;"&amp;(Assumptions!$B$4+36))-SUMIFS(Commission_Models!$G$15:$G$70,Commission_Models!$A$15:$A$70,"&lt;"&amp;(Assumptions!$B$4+36)))-SUMIFS(Projection!$L$4:$L$59,Projection!$B$4:$B$59,"&lt;"&amp;(Assumptions!$B$4+36))-SUMIFS(Projection!$K$4:$K$59,Projection!$B$4:$B$59,"&lt;"&amp;(Assumptions!$B$4+36)))/Discount!C40</f>
        <v>20330.969722352</v>
      </c>
      <c r="C161" s="1" t="n">
        <f aca="false">(SUMIFS(Projection!$L$4:$L$59,Projection!$B$4:$B$59,"&gt;="&amp;(Assumptions!$B$4+36))+$B$90*SUMIFS(Commission_Models!$G$15:$G$70,Commission_Models!$A$15:$A$70,"&gt;="&amp;(Assumptions!$B$4+36))-$B$90*SUMIFS(Projection!$I$4:$I$59,Projection!$B$4:$B$59,"&gt;="&amp;(Assumptions!$B$4+36))+SUMIFS(Projection!$K$4:$K$59,Projection!$B$4:$B$59,"&gt;="&amp;(Assumptions!$B$4+36)))/Discount!C40</f>
        <v>8194.28171159302</v>
      </c>
      <c r="D161" s="1" t="n">
        <f aca="false">B161-C161</f>
        <v>12136.688010759</v>
      </c>
      <c r="E161" s="1" t="n">
        <f aca="false">IF(T161&lt;=0,0,MAX(0,(R161+S161-D161)/T161))</f>
        <v>0</v>
      </c>
      <c r="F161" s="1" t="n">
        <f aca="false">($B$91*(SUMIFS(Projection!$I$4:$I$59,Projection!$B$4:$B$59,"&lt;"&amp;(Assumptions!$B$4+36))-SUMIFS(Commission_Models!$G$15:$G$70,Commission_Models!$A$15:$A$70,"&lt;"&amp;(Assumptions!$B$4+36)))-SUMIFS(Projection!$L$4:$L$59,Projection!$B$4:$B$59,"&lt;"&amp;(Assumptions!$B$4+36))-SUMIFS(Projection!$K$4:$K$59,Projection!$B$4:$B$59,"&lt;"&amp;(Assumptions!$B$4+36)))/Discount!C40</f>
        <v>16189.1188913777</v>
      </c>
      <c r="G161" s="1" t="n">
        <f aca="false">(SUMIFS(Projection!$L$4:$L$59,Projection!$B$4:$B$59,"&gt;="&amp;(Assumptions!$B$4+36))+$B$91*SUMIFS(Commission_Models!$G$15:$G$70,Commission_Models!$A$15:$A$70,"&gt;="&amp;(Assumptions!$B$4+36))-$B$91*SUMIFS(Projection!$I$4:$I$59,Projection!$B$4:$B$59,"&gt;="&amp;(Assumptions!$B$4+36))+SUMIFS(Projection!$K$4:$K$59,Projection!$B$4:$B$59,"&gt;="&amp;(Assumptions!$B$4+36)))/Discount!C40</f>
        <v>8194.28171159302</v>
      </c>
      <c r="H161" s="1" t="n">
        <f aca="false">F161-G161</f>
        <v>7994.83717978464</v>
      </c>
      <c r="I161" s="1" t="n">
        <f aca="false">IF(T161&lt;=0,0,MAX(0,(R161+S161-H161)/T161))</f>
        <v>0</v>
      </c>
      <c r="J161" s="1" t="n">
        <f aca="false">($B$92*(SUMIFS(Projection!$I$4:$I$59,Projection!$B$4:$B$59,"&lt;"&amp;(Assumptions!$B$4+36))-SUMIFS(Commission_Models!$G$15:$G$70,Commission_Models!$A$15:$A$70,"&lt;"&amp;(Assumptions!$B$4+36)))-SUMIFS(Projection!$L$4:$L$59,Projection!$B$4:$B$59,"&lt;"&amp;(Assumptions!$B$4+36))-SUMIFS(Projection!$K$4:$K$59,Projection!$B$4:$B$59,"&lt;"&amp;(Assumptions!$B$4+36)))/Discount!C40</f>
        <v>12144.6886190295</v>
      </c>
      <c r="K161" s="1" t="n">
        <f aca="false">(SUMIFS(Projection!$L$4:$L$59,Projection!$B$4:$B$59,"&gt;="&amp;(Assumptions!$B$4+36))+$B$92*SUMIFS(Commission_Models!$G$15:$G$70,Commission_Models!$A$15:$A$70,"&gt;="&amp;(Assumptions!$B$4+36))-$B$92*SUMIFS(Projection!$I$4:$I$59,Projection!$B$4:$B$59,"&gt;="&amp;(Assumptions!$B$4+36))+SUMIFS(Projection!$K$4:$K$59,Projection!$B$4:$B$59,"&gt;="&amp;(Assumptions!$B$4+36)))/Discount!C40</f>
        <v>8194.28171159302</v>
      </c>
      <c r="L161" s="1" t="n">
        <f aca="false">J161-K161</f>
        <v>3950.40690743643</v>
      </c>
      <c r="M161" s="1" t="n">
        <f aca="false">IF(T161&lt;=0,0,MAX(0,(R161+S161-L161)/T161))</f>
        <v>0</v>
      </c>
      <c r="N161" s="1" t="n">
        <f aca="false">($B$93*(SUMIFS(Projection!$I$4:$I$59,Projection!$B$4:$B$59,"&lt;"&amp;(Assumptions!$B$4+36))-SUMIFS(Commission_Models!$G$15:$G$70,Commission_Models!$A$15:$A$70,"&lt;"&amp;(Assumptions!$B$4+36)))-SUMIFS(Projection!$L$4:$L$59,Projection!$B$4:$B$59,"&lt;"&amp;(Assumptions!$B$4+36))-SUMIFS(Projection!$K$4:$K$59,Projection!$B$4:$B$59,"&lt;"&amp;(Assumptions!$B$4+36)))/Discount!C40</f>
        <v>8194.28171159299</v>
      </c>
      <c r="O161" s="1" t="n">
        <f aca="false">(SUMIFS(Projection!$L$4:$L$59,Projection!$B$4:$B$59,"&gt;="&amp;(Assumptions!$B$4+36))+$B$93*SUMIFS(Commission_Models!$G$15:$G$70,Commission_Models!$A$15:$A$70,"&gt;="&amp;(Assumptions!$B$4+36))-$B$93*SUMIFS(Projection!$I$4:$I$59,Projection!$B$4:$B$59,"&gt;="&amp;(Assumptions!$B$4+36))+SUMIFS(Projection!$K$4:$K$59,Projection!$B$4:$B$59,"&gt;="&amp;(Assumptions!$B$4+36)))/Discount!C40</f>
        <v>8194.28171159302</v>
      </c>
      <c r="P161" s="1" t="n">
        <f aca="false">N161-O161</f>
        <v>0</v>
      </c>
      <c r="Q161" s="1" t="n">
        <f aca="false">IF(T161&lt;=0,0,MAX(0,(R161+S161-P161)/T161))</f>
        <v>28415.7154642764</v>
      </c>
      <c r="R161" s="72" t="n">
        <f aca="false">RiskMargin!J40</f>
        <v>1523.42845227198</v>
      </c>
      <c r="S161" s="74" t="n">
        <f aca="false">RiskMargin!L40</f>
        <v>311.598011091505</v>
      </c>
      <c r="T161" s="73" t="n">
        <f aca="false">Projection!F40</f>
        <v>0.0645778729615461</v>
      </c>
    </row>
    <row r="162" customFormat="false" ht="15" hidden="false" customHeight="true" outlineLevel="0" collapsed="false">
      <c r="A162" s="1" t="n">
        <v>37</v>
      </c>
      <c r="B162" s="1" t="n">
        <f aca="false">($B$90*(SUMIFS(Projection!$I$4:$I$59,Projection!$B$4:$B$59,"&lt;"&amp;(Assumptions!$B$4+37))-SUMIFS(Commission_Models!$G$15:$G$70,Commission_Models!$A$15:$A$70,"&lt;"&amp;(Assumptions!$B$4+37)))-SUMIFS(Projection!$L$4:$L$59,Projection!$B$4:$B$59,"&lt;"&amp;(Assumptions!$B$4+37))-SUMIFS(Projection!$K$4:$K$59,Projection!$B$4:$B$59,"&lt;"&amp;(Assumptions!$B$4+37)))/Discount!C41</f>
        <v>18805.5031612072</v>
      </c>
      <c r="C162" s="1" t="n">
        <f aca="false">(SUMIFS(Projection!$L$4:$L$59,Projection!$B$4:$B$59,"&gt;="&amp;(Assumptions!$B$4+37))+$B$90*SUMIFS(Commission_Models!$G$15:$G$70,Commission_Models!$A$15:$A$70,"&gt;="&amp;(Assumptions!$B$4+37))-$B$90*SUMIFS(Projection!$I$4:$I$59,Projection!$B$4:$B$59,"&gt;="&amp;(Assumptions!$B$4+37))+SUMIFS(Projection!$K$4:$K$59,Projection!$B$4:$B$59,"&gt;="&amp;(Assumptions!$B$4+37)))/Discount!C41</f>
        <v>6272.18505240699</v>
      </c>
      <c r="D162" s="1" t="n">
        <f aca="false">B162-C162</f>
        <v>12533.3181088002</v>
      </c>
      <c r="E162" s="1" t="n">
        <f aca="false">IF(T162&lt;=0,0,MAX(0,(R162+S162-D162)/T162))</f>
        <v>0</v>
      </c>
      <c r="F162" s="1" t="n">
        <f aca="false">($B$91*(SUMIFS(Projection!$I$4:$I$59,Projection!$B$4:$B$59,"&lt;"&amp;(Assumptions!$B$4+37))-SUMIFS(Commission_Models!$G$15:$G$70,Commission_Models!$A$15:$A$70,"&lt;"&amp;(Assumptions!$B$4+37)))-SUMIFS(Projection!$L$4:$L$59,Projection!$B$4:$B$59,"&lt;"&amp;(Assumptions!$B$4+37))-SUMIFS(Projection!$K$4:$K$59,Projection!$B$4:$B$59,"&lt;"&amp;(Assumptions!$B$4+37)))/Discount!C41</f>
        <v>14528.2955755972</v>
      </c>
      <c r="G162" s="1" t="n">
        <f aca="false">(SUMIFS(Projection!$L$4:$L$59,Projection!$B$4:$B$59,"&gt;="&amp;(Assumptions!$B$4+37))+$B$91*SUMIFS(Commission_Models!$G$15:$G$70,Commission_Models!$A$15:$A$70,"&gt;="&amp;(Assumptions!$B$4+37))-$B$91*SUMIFS(Projection!$I$4:$I$59,Projection!$B$4:$B$59,"&gt;="&amp;(Assumptions!$B$4+37))+SUMIFS(Projection!$K$4:$K$59,Projection!$B$4:$B$59,"&gt;="&amp;(Assumptions!$B$4+37)))/Discount!C41</f>
        <v>6272.18505240699</v>
      </c>
      <c r="H162" s="1" t="n">
        <f aca="false">F162-G162</f>
        <v>8256.11052319024</v>
      </c>
      <c r="I162" s="1" t="n">
        <f aca="false">IF(T162&lt;=0,0,MAX(0,(R162+S162-H162)/T162))</f>
        <v>0</v>
      </c>
      <c r="J162" s="1" t="n">
        <f aca="false">($B$92*(SUMIFS(Projection!$I$4:$I$59,Projection!$B$4:$B$59,"&lt;"&amp;(Assumptions!$B$4+37))-SUMIFS(Commission_Models!$G$15:$G$70,Commission_Models!$A$15:$A$70,"&lt;"&amp;(Assumptions!$B$4+37)))-SUMIFS(Projection!$L$4:$L$59,Projection!$B$4:$B$59,"&lt;"&amp;(Assumptions!$B$4+37))-SUMIFS(Projection!$K$4:$K$59,Projection!$B$4:$B$59,"&lt;"&amp;(Assumptions!$B$4+37)))/Discount!C41</f>
        <v>10351.6922776245</v>
      </c>
      <c r="K162" s="1" t="n">
        <f aca="false">(SUMIFS(Projection!$L$4:$L$59,Projection!$B$4:$B$59,"&gt;="&amp;(Assumptions!$B$4+37))+$B$92*SUMIFS(Commission_Models!$G$15:$G$70,Commission_Models!$A$15:$A$70,"&gt;="&amp;(Assumptions!$B$4+37))-$B$92*SUMIFS(Projection!$I$4:$I$59,Projection!$B$4:$B$59,"&gt;="&amp;(Assumptions!$B$4+37))+SUMIFS(Projection!$K$4:$K$59,Projection!$B$4:$B$59,"&gt;="&amp;(Assumptions!$B$4+37)))/Discount!C41</f>
        <v>6272.18505240699</v>
      </c>
      <c r="L162" s="1" t="n">
        <f aca="false">J162-K162</f>
        <v>4079.50722521754</v>
      </c>
      <c r="M162" s="1" t="n">
        <f aca="false">IF(T162&lt;=0,0,MAX(0,(R162+S162-L162)/T162))</f>
        <v>0</v>
      </c>
      <c r="N162" s="1" t="n">
        <f aca="false">($B$93*(SUMIFS(Projection!$I$4:$I$59,Projection!$B$4:$B$59,"&lt;"&amp;(Assumptions!$B$4+37))-SUMIFS(Commission_Models!$G$15:$G$70,Commission_Models!$A$15:$A$70,"&lt;"&amp;(Assumptions!$B$4+37)))-SUMIFS(Projection!$L$4:$L$59,Projection!$B$4:$B$59,"&lt;"&amp;(Assumptions!$B$4+37))-SUMIFS(Projection!$K$4:$K$59,Projection!$B$4:$B$59,"&lt;"&amp;(Assumptions!$B$4+37)))/Discount!C41</f>
        <v>6272.18505240693</v>
      </c>
      <c r="O162" s="1" t="n">
        <f aca="false">(SUMIFS(Projection!$L$4:$L$59,Projection!$B$4:$B$59,"&gt;="&amp;(Assumptions!$B$4+37))+$B$93*SUMIFS(Commission_Models!$G$15:$G$70,Commission_Models!$A$15:$A$70,"&gt;="&amp;(Assumptions!$B$4+37))-$B$93*SUMIFS(Projection!$I$4:$I$59,Projection!$B$4:$B$59,"&gt;="&amp;(Assumptions!$B$4+37))+SUMIFS(Projection!$K$4:$K$59,Projection!$B$4:$B$59,"&gt;="&amp;(Assumptions!$B$4+37)))/Discount!C41</f>
        <v>6272.18505240699</v>
      </c>
      <c r="P162" s="1" t="n">
        <f aca="false">N162-O162</f>
        <v>-5.54791768081486E-011</v>
      </c>
      <c r="Q162" s="1" t="n">
        <f aca="false">IF(T162&lt;=0,0,MAX(0,(R162+S162-P162)/T162))</f>
        <v>27399.1139879991</v>
      </c>
      <c r="R162" s="72" t="n">
        <f aca="false">RiskMargin!J41</f>
        <v>1152.50534854903</v>
      </c>
      <c r="S162" s="74" t="n">
        <f aca="false">RiskMargin!L41</f>
        <v>227.38824530494</v>
      </c>
      <c r="T162" s="73" t="n">
        <f aca="false">Projection!F41</f>
        <v>0.0503627086065056</v>
      </c>
    </row>
    <row r="163" customFormat="false" ht="15" hidden="false" customHeight="true" outlineLevel="0" collapsed="false">
      <c r="A163" s="1" t="n">
        <v>38</v>
      </c>
      <c r="B163" s="1" t="n">
        <f aca="false">($B$90*(SUMIFS(Projection!$I$4:$I$59,Projection!$B$4:$B$59,"&lt;"&amp;(Assumptions!$B$4+38))-SUMIFS(Commission_Models!$G$15:$G$70,Commission_Models!$A$15:$A$70,"&lt;"&amp;(Assumptions!$B$4+38)))-SUMIFS(Projection!$L$4:$L$59,Projection!$B$4:$B$59,"&lt;"&amp;(Assumptions!$B$4+38))-SUMIFS(Projection!$K$4:$K$59,Projection!$B$4:$B$59,"&lt;"&amp;(Assumptions!$B$4+38)))/Discount!C42</f>
        <v>17678.7079941744</v>
      </c>
      <c r="C163" s="1" t="n">
        <f aca="false">(SUMIFS(Projection!$L$4:$L$59,Projection!$B$4:$B$59,"&gt;="&amp;(Assumptions!$B$4+38))+$B$90*SUMIFS(Commission_Models!$G$15:$G$70,Commission_Models!$A$15:$A$70,"&gt;="&amp;(Assumptions!$B$4+38))-$B$90*SUMIFS(Projection!$I$4:$I$59,Projection!$B$4:$B$59,"&gt;="&amp;(Assumptions!$B$4+38))+SUMIFS(Projection!$K$4:$K$59,Projection!$B$4:$B$59,"&gt;="&amp;(Assumptions!$B$4+38)))/Discount!C42</f>
        <v>4735.29630084112</v>
      </c>
      <c r="D163" s="1" t="n">
        <f aca="false">B163-C163</f>
        <v>12943.4116933332</v>
      </c>
      <c r="E163" s="1" t="n">
        <f aca="false">IF(T163&lt;=0,0,MAX(0,(R163+S163-D163)/T163))</f>
        <v>0</v>
      </c>
      <c r="F163" s="1" t="n">
        <f aca="false">($B$91*(SUMIFS(Projection!$I$4:$I$59,Projection!$B$4:$B$59,"&lt;"&amp;(Assumptions!$B$4+38))-SUMIFS(Commission_Models!$G$15:$G$70,Commission_Models!$A$15:$A$70,"&lt;"&amp;(Assumptions!$B$4+38)))-SUMIFS(Projection!$L$4:$L$59,Projection!$B$4:$B$59,"&lt;"&amp;(Assumptions!$B$4+38))-SUMIFS(Projection!$K$4:$K$59,Projection!$B$4:$B$59,"&lt;"&amp;(Assumptions!$B$4+38)))/Discount!C42</f>
        <v>13261.5490105908</v>
      </c>
      <c r="G163" s="1" t="n">
        <f aca="false">(SUMIFS(Projection!$L$4:$L$59,Projection!$B$4:$B$59,"&gt;="&amp;(Assumptions!$B$4+38))+$B$91*SUMIFS(Commission_Models!$G$15:$G$70,Commission_Models!$A$15:$A$70,"&gt;="&amp;(Assumptions!$B$4+38))-$B$91*SUMIFS(Projection!$I$4:$I$59,Projection!$B$4:$B$59,"&gt;="&amp;(Assumptions!$B$4+38))+SUMIFS(Projection!$K$4:$K$59,Projection!$B$4:$B$59,"&gt;="&amp;(Assumptions!$B$4+38)))/Discount!C42</f>
        <v>4735.29630084112</v>
      </c>
      <c r="H163" s="1" t="n">
        <f aca="false">F163-G163</f>
        <v>8526.25270974966</v>
      </c>
      <c r="I163" s="1" t="n">
        <f aca="false">IF(T163&lt;=0,0,MAX(0,(R163+S163-H163)/T163))</f>
        <v>0</v>
      </c>
      <c r="J163" s="1" t="n">
        <f aca="false">($B$92*(SUMIFS(Projection!$I$4:$I$59,Projection!$B$4:$B$59,"&lt;"&amp;(Assumptions!$B$4+38))-SUMIFS(Commission_Models!$G$15:$G$70,Commission_Models!$A$15:$A$70,"&lt;"&amp;(Assumptions!$B$4+38)))-SUMIFS(Projection!$L$4:$L$59,Projection!$B$4:$B$59,"&lt;"&amp;(Assumptions!$B$4+38))-SUMIFS(Projection!$K$4:$K$59,Projection!$B$4:$B$59,"&lt;"&amp;(Assumptions!$B$4+38)))/Discount!C42</f>
        <v>8948.28611435613</v>
      </c>
      <c r="K163" s="1" t="n">
        <f aca="false">(SUMIFS(Projection!$L$4:$L$59,Projection!$B$4:$B$59,"&gt;="&amp;(Assumptions!$B$4+38))+$B$92*SUMIFS(Commission_Models!$G$15:$G$70,Commission_Models!$A$15:$A$70,"&gt;="&amp;(Assumptions!$B$4+38))-$B$92*SUMIFS(Projection!$I$4:$I$59,Projection!$B$4:$B$59,"&gt;="&amp;(Assumptions!$B$4+38))+SUMIFS(Projection!$K$4:$K$59,Projection!$B$4:$B$59,"&gt;="&amp;(Assumptions!$B$4+38)))/Discount!C42</f>
        <v>4735.29630084112</v>
      </c>
      <c r="L163" s="1" t="n">
        <f aca="false">J163-K163</f>
        <v>4212.98981351501</v>
      </c>
      <c r="M163" s="1" t="n">
        <f aca="false">IF(T163&lt;=0,0,MAX(0,(R163+S163-L163)/T163))</f>
        <v>0</v>
      </c>
      <c r="N163" s="1" t="n">
        <f aca="false">($B$93*(SUMIFS(Projection!$I$4:$I$59,Projection!$B$4:$B$59,"&lt;"&amp;(Assumptions!$B$4+38))-SUMIFS(Commission_Models!$G$15:$G$70,Commission_Models!$A$15:$A$70,"&lt;"&amp;(Assumptions!$B$4+38)))-SUMIFS(Projection!$L$4:$L$59,Projection!$B$4:$B$59,"&lt;"&amp;(Assumptions!$B$4+38))-SUMIFS(Projection!$K$4:$K$59,Projection!$B$4:$B$59,"&lt;"&amp;(Assumptions!$B$4+38)))/Discount!C42</f>
        <v>4735.29630084112</v>
      </c>
      <c r="O163" s="1" t="n">
        <f aca="false">(SUMIFS(Projection!$L$4:$L$59,Projection!$B$4:$B$59,"&gt;="&amp;(Assumptions!$B$4+38))+$B$93*SUMIFS(Commission_Models!$G$15:$G$70,Commission_Models!$A$15:$A$70,"&gt;="&amp;(Assumptions!$B$4+38))-$B$93*SUMIFS(Projection!$I$4:$I$59,Projection!$B$4:$B$59,"&gt;="&amp;(Assumptions!$B$4+38))+SUMIFS(Projection!$K$4:$K$59,Projection!$B$4:$B$59,"&gt;="&amp;(Assumptions!$B$4+38)))/Discount!C42</f>
        <v>4735.29630084112</v>
      </c>
      <c r="P163" s="1" t="n">
        <f aca="false">N163-O163</f>
        <v>0</v>
      </c>
      <c r="Q163" s="1" t="n">
        <f aca="false">IF(T163&lt;=0,0,MAX(0,(R163+S163-P163)/T163))</f>
        <v>26226.9773160819</v>
      </c>
      <c r="R163" s="74" t="n">
        <f aca="false">RiskMargin!J42</f>
        <v>849.90440574043</v>
      </c>
      <c r="S163" s="74" t="n">
        <f aca="false">RiskMargin!L42</f>
        <v>163.415512406572</v>
      </c>
      <c r="T163" s="73" t="n">
        <f aca="false">Projection!F42</f>
        <v>0.0386365499132701</v>
      </c>
    </row>
    <row r="164" customFormat="false" ht="15" hidden="false" customHeight="true" outlineLevel="0" collapsed="false">
      <c r="A164" s="1" t="n">
        <v>39</v>
      </c>
      <c r="B164" s="1" t="n">
        <f aca="false">($B$90*(SUMIFS(Projection!$I$4:$I$59,Projection!$B$4:$B$59,"&lt;"&amp;(Assumptions!$B$4+39))-SUMIFS(Commission_Models!$G$15:$G$70,Commission_Models!$A$15:$A$70,"&lt;"&amp;(Assumptions!$B$4+39)))-SUMIFS(Projection!$L$4:$L$59,Projection!$B$4:$B$59,"&lt;"&amp;(Assumptions!$B$4+39))-SUMIFS(Projection!$K$4:$K$59,Projection!$B$4:$B$59,"&lt;"&amp;(Assumptions!$B$4+39)))/Discount!C43</f>
        <v>16888.1685314803</v>
      </c>
      <c r="C164" s="1" t="n">
        <f aca="false">(SUMIFS(Projection!$L$4:$L$59,Projection!$B$4:$B$59,"&gt;="&amp;(Assumptions!$B$4+39))+$B$90*SUMIFS(Commission_Models!$G$15:$G$70,Commission_Models!$A$15:$A$70,"&gt;="&amp;(Assumptions!$B$4+39))-$B$90*SUMIFS(Projection!$I$4:$I$59,Projection!$B$4:$B$59,"&gt;="&amp;(Assumptions!$B$4+39))+SUMIFS(Projection!$K$4:$K$59,Projection!$B$4:$B$59,"&gt;="&amp;(Assumptions!$B$4+39)))/Discount!C43</f>
        <v>3525.77767213776</v>
      </c>
      <c r="D164" s="1" t="n">
        <f aca="false">B164-C164</f>
        <v>13362.3908593426</v>
      </c>
      <c r="E164" s="1" t="n">
        <f aca="false">IF(T164&lt;=0,0,MAX(0,(R164+S164-D164)/T164))</f>
        <v>0</v>
      </c>
      <c r="F164" s="1" t="n">
        <f aca="false">($B$91*(SUMIFS(Projection!$I$4:$I$59,Projection!$B$4:$B$59,"&lt;"&amp;(Assumptions!$B$4+39))-SUMIFS(Commission_Models!$G$15:$G$70,Commission_Models!$A$15:$A$70,"&lt;"&amp;(Assumptions!$B$4+39)))-SUMIFS(Projection!$L$4:$L$59,Projection!$B$4:$B$59,"&lt;"&amp;(Assumptions!$B$4+39))-SUMIFS(Projection!$K$4:$K$59,Projection!$B$4:$B$59,"&lt;"&amp;(Assumptions!$B$4+39)))/Discount!C43</f>
        <v>12328.0257943919</v>
      </c>
      <c r="G164" s="1" t="n">
        <f aca="false">(SUMIFS(Projection!$L$4:$L$59,Projection!$B$4:$B$59,"&gt;="&amp;(Assumptions!$B$4+39))+$B$91*SUMIFS(Commission_Models!$G$15:$G$70,Commission_Models!$A$15:$A$70,"&gt;="&amp;(Assumptions!$B$4+39))-$B$91*SUMIFS(Projection!$I$4:$I$59,Projection!$B$4:$B$59,"&gt;="&amp;(Assumptions!$B$4+39))+SUMIFS(Projection!$K$4:$K$59,Projection!$B$4:$B$59,"&gt;="&amp;(Assumptions!$B$4+39)))/Discount!C43</f>
        <v>3525.77767213776</v>
      </c>
      <c r="H164" s="1" t="n">
        <f aca="false">F164-G164</f>
        <v>8802.2481222541</v>
      </c>
      <c r="I164" s="1" t="n">
        <f aca="false">IF(T164&lt;=0,0,MAX(0,(R164+S164-H164)/T164))</f>
        <v>0</v>
      </c>
      <c r="J164" s="1" t="n">
        <f aca="false">($B$92*(SUMIFS(Projection!$I$4:$I$59,Projection!$B$4:$B$59,"&lt;"&amp;(Assumptions!$B$4+39))-SUMIFS(Commission_Models!$G$15:$G$70,Commission_Models!$A$15:$A$70,"&lt;"&amp;(Assumptions!$B$4+39)))-SUMIFS(Projection!$L$4:$L$59,Projection!$B$4:$B$59,"&lt;"&amp;(Assumptions!$B$4+39))-SUMIFS(Projection!$K$4:$K$59,Projection!$B$4:$B$59,"&lt;"&amp;(Assumptions!$B$4+39)))/Discount!C43</f>
        <v>7875.14226846075</v>
      </c>
      <c r="K164" s="1" t="n">
        <f aca="false">(SUMIFS(Projection!$L$4:$L$59,Projection!$B$4:$B$59,"&gt;="&amp;(Assumptions!$B$4+39))+$B$92*SUMIFS(Commission_Models!$G$15:$G$70,Commission_Models!$A$15:$A$70,"&gt;="&amp;(Assumptions!$B$4+39))-$B$92*SUMIFS(Projection!$I$4:$I$59,Projection!$B$4:$B$59,"&gt;="&amp;(Assumptions!$B$4+39))+SUMIFS(Projection!$K$4:$K$59,Projection!$B$4:$B$59,"&gt;="&amp;(Assumptions!$B$4+39)))/Discount!C43</f>
        <v>3525.77767213776</v>
      </c>
      <c r="L164" s="1" t="n">
        <f aca="false">J164-K164</f>
        <v>4349.364596323</v>
      </c>
      <c r="M164" s="1" t="n">
        <f aca="false">IF(T164&lt;=0,0,MAX(0,(R164+S164-L164)/T164))</f>
        <v>0</v>
      </c>
      <c r="N164" s="1" t="n">
        <f aca="false">($B$93*(SUMIFS(Projection!$I$4:$I$59,Projection!$B$4:$B$59,"&lt;"&amp;(Assumptions!$B$4+39))-SUMIFS(Commission_Models!$G$15:$G$70,Commission_Models!$A$15:$A$70,"&lt;"&amp;(Assumptions!$B$4+39)))-SUMIFS(Projection!$L$4:$L$59,Projection!$B$4:$B$59,"&lt;"&amp;(Assumptions!$B$4+39))-SUMIFS(Projection!$K$4:$K$59,Projection!$B$4:$B$59,"&lt;"&amp;(Assumptions!$B$4+39)))/Discount!C43</f>
        <v>3525.77767213771</v>
      </c>
      <c r="O164" s="1" t="n">
        <f aca="false">(SUMIFS(Projection!$L$4:$L$59,Projection!$B$4:$B$59,"&gt;="&amp;(Assumptions!$B$4+39))+$B$93*SUMIFS(Commission_Models!$G$15:$G$70,Commission_Models!$A$15:$A$70,"&gt;="&amp;(Assumptions!$B$4+39))-$B$93*SUMIFS(Projection!$I$4:$I$59,Projection!$B$4:$B$59,"&gt;="&amp;(Assumptions!$B$4+39))+SUMIFS(Projection!$K$4:$K$59,Projection!$B$4:$B$59,"&gt;="&amp;(Assumptions!$B$4+39)))/Discount!C43</f>
        <v>3525.77767213776</v>
      </c>
      <c r="P164" s="1" t="n">
        <f aca="false">N164-O164</f>
        <v>-4.54747350886464E-011</v>
      </c>
      <c r="Q164" s="1" t="n">
        <f aca="false">IF(T164&lt;=0,0,MAX(0,(R164+S164-P164)/T164))</f>
        <v>24791.2345849911</v>
      </c>
      <c r="R164" s="74" t="n">
        <f aca="false">RiskMargin!J43</f>
        <v>604.82080713681</v>
      </c>
      <c r="S164" s="74" t="n">
        <f aca="false">RiskMargin!L43</f>
        <v>116.060331935146</v>
      </c>
      <c r="T164" s="73" t="n">
        <f aca="false">Projection!F43</f>
        <v>0.0290780653379978</v>
      </c>
    </row>
    <row r="165" customFormat="false" ht="15" hidden="false" customHeight="true" outlineLevel="0" collapsed="false">
      <c r="A165" s="1" t="n">
        <v>40</v>
      </c>
      <c r="B165" s="1" t="n">
        <f aca="false">($B$90*(SUMIFS(Projection!$I$4:$I$59,Projection!$B$4:$B$59,"&lt;"&amp;(Assumptions!$B$4+40))-SUMIFS(Commission_Models!$G$15:$G$70,Commission_Models!$A$15:$A$70,"&lt;"&amp;(Assumptions!$B$4+40)))-SUMIFS(Projection!$L$4:$L$59,Projection!$B$4:$B$59,"&lt;"&amp;(Assumptions!$B$4+40))-SUMIFS(Projection!$K$4:$K$59,Projection!$B$4:$B$59,"&lt;"&amp;(Assumptions!$B$4+40)))/Discount!C44</f>
        <v>16395.3157152323</v>
      </c>
      <c r="C165" s="1" t="n">
        <f aca="false">(SUMIFS(Projection!$L$4:$L$59,Projection!$B$4:$B$59,"&gt;="&amp;(Assumptions!$B$4+40))+$B$90*SUMIFS(Commission_Models!$G$15:$G$70,Commission_Models!$A$15:$A$70,"&gt;="&amp;(Assumptions!$B$4+40))-$B$90*SUMIFS(Projection!$I$4:$I$59,Projection!$B$4:$B$59,"&gt;="&amp;(Assumptions!$B$4+40))+SUMIFS(Projection!$K$4:$K$59,Projection!$B$4:$B$59,"&gt;="&amp;(Assumptions!$B$4+40)))/Discount!C44</f>
        <v>2594.76801878814</v>
      </c>
      <c r="D165" s="1" t="n">
        <f aca="false">B165-C165</f>
        <v>13800.5476964441</v>
      </c>
      <c r="E165" s="1" t="n">
        <f aca="false">IF(T165&lt;=0,0,MAX(0,(R165+S165-D165)/T165))</f>
        <v>0</v>
      </c>
      <c r="F165" s="1" t="n">
        <f aca="false">($B$91*(SUMIFS(Projection!$I$4:$I$59,Projection!$B$4:$B$59,"&lt;"&amp;(Assumptions!$B$4+40))-SUMIFS(Commission_Models!$G$15:$G$70,Commission_Models!$A$15:$A$70,"&lt;"&amp;(Assumptions!$B$4+40)))-SUMIFS(Projection!$L$4:$L$59,Projection!$B$4:$B$59,"&lt;"&amp;(Assumptions!$B$4+40))-SUMIFS(Projection!$K$4:$K$59,Projection!$B$4:$B$59,"&lt;"&amp;(Assumptions!$B$4+40)))/Discount!C44</f>
        <v>11685.6445187949</v>
      </c>
      <c r="G165" s="1" t="n">
        <f aca="false">(SUMIFS(Projection!$L$4:$L$59,Projection!$B$4:$B$59,"&gt;="&amp;(Assumptions!$B$4+40))+$B$91*SUMIFS(Commission_Models!$G$15:$G$70,Commission_Models!$A$15:$A$70,"&gt;="&amp;(Assumptions!$B$4+40))-$B$91*SUMIFS(Projection!$I$4:$I$59,Projection!$B$4:$B$59,"&gt;="&amp;(Assumptions!$B$4+40))+SUMIFS(Projection!$K$4:$K$59,Projection!$B$4:$B$59,"&gt;="&amp;(Assumptions!$B$4+40)))/Discount!C44</f>
        <v>2594.76801878814</v>
      </c>
      <c r="H165" s="1" t="n">
        <f aca="false">F165-G165</f>
        <v>9090.87650000677</v>
      </c>
      <c r="I165" s="1" t="n">
        <f aca="false">IF(T165&lt;=0,0,MAX(0,(R165+S165-H165)/T165))</f>
        <v>0</v>
      </c>
      <c r="J165" s="1" t="n">
        <f aca="false">($B$92*(SUMIFS(Projection!$I$4:$I$59,Projection!$B$4:$B$59,"&lt;"&amp;(Assumptions!$B$4+40))-SUMIFS(Commission_Models!$G$15:$G$70,Commission_Models!$A$15:$A$70,"&lt;"&amp;(Assumptions!$B$4+40)))-SUMIFS(Projection!$L$4:$L$59,Projection!$B$4:$B$59,"&lt;"&amp;(Assumptions!$B$4+40))-SUMIFS(Projection!$K$4:$K$59,Projection!$B$4:$B$59,"&lt;"&amp;(Assumptions!$B$4+40)))/Discount!C44</f>
        <v>7086.74959548433</v>
      </c>
      <c r="K165" s="1" t="n">
        <f aca="false">(SUMIFS(Projection!$L$4:$L$59,Projection!$B$4:$B$59,"&gt;="&amp;(Assumptions!$B$4+40))+$B$92*SUMIFS(Commission_Models!$G$15:$G$70,Commission_Models!$A$15:$A$70,"&gt;="&amp;(Assumptions!$B$4+40))-$B$92*SUMIFS(Projection!$I$4:$I$59,Projection!$B$4:$B$59,"&gt;="&amp;(Assumptions!$B$4+40))+SUMIFS(Projection!$K$4:$K$59,Projection!$B$4:$B$59,"&gt;="&amp;(Assumptions!$B$4+40)))/Discount!C44</f>
        <v>2594.76801878814</v>
      </c>
      <c r="L165" s="1" t="n">
        <f aca="false">J165-K165</f>
        <v>4491.98157669619</v>
      </c>
      <c r="M165" s="1" t="n">
        <f aca="false">IF(T165&lt;=0,0,MAX(0,(R165+S165-L165)/T165))</f>
        <v>0</v>
      </c>
      <c r="N165" s="1" t="n">
        <f aca="false">($B$93*(SUMIFS(Projection!$I$4:$I$59,Projection!$B$4:$B$59,"&lt;"&amp;(Assumptions!$B$4+40))-SUMIFS(Commission_Models!$G$15:$G$70,Commission_Models!$A$15:$A$70,"&lt;"&amp;(Assumptions!$B$4+40)))-SUMIFS(Projection!$L$4:$L$59,Projection!$B$4:$B$59,"&lt;"&amp;(Assumptions!$B$4+40))-SUMIFS(Projection!$K$4:$K$59,Projection!$B$4:$B$59,"&lt;"&amp;(Assumptions!$B$4+40)))/Discount!C44</f>
        <v>2594.76801878812</v>
      </c>
      <c r="O165" s="1" t="n">
        <f aca="false">(SUMIFS(Projection!$L$4:$L$59,Projection!$B$4:$B$59,"&gt;="&amp;(Assumptions!$B$4+40))+$B$93*SUMIFS(Commission_Models!$G$15:$G$70,Commission_Models!$A$15:$A$70,"&gt;="&amp;(Assumptions!$B$4+40))-$B$93*SUMIFS(Projection!$I$4:$I$59,Projection!$B$4:$B$59,"&gt;="&amp;(Assumptions!$B$4+40))+SUMIFS(Projection!$K$4:$K$59,Projection!$B$4:$B$59,"&gt;="&amp;(Assumptions!$B$4+40)))/Discount!C44</f>
        <v>2594.76801878814</v>
      </c>
      <c r="P165" s="1" t="n">
        <f aca="false">N165-O165</f>
        <v>-2.81943357549608E-011</v>
      </c>
      <c r="Q165" s="1" t="n">
        <f aca="false">IF(T165&lt;=0,0,MAX(0,(R165+S165-P165)/T165))</f>
        <v>23333.260404897</v>
      </c>
      <c r="R165" s="74" t="n">
        <f aca="false">RiskMargin!J44</f>
        <v>434.718259312719</v>
      </c>
      <c r="S165" s="74" t="n">
        <f aca="false">RiskMargin!L44</f>
        <v>82.3868014581249</v>
      </c>
      <c r="T165" s="73" t="n">
        <f aca="false">Projection!F44</f>
        <v>0.022161714728146</v>
      </c>
    </row>
    <row r="166" customFormat="false" ht="15" hidden="false" customHeight="true" outlineLevel="0" collapsed="false">
      <c r="A166" s="1" t="n">
        <v>41</v>
      </c>
      <c r="B166" s="1" t="n">
        <f aca="false">($B$90*(SUMIFS(Projection!$I$4:$I$59,Projection!$B$4:$B$59,"&lt;"&amp;(Assumptions!$B$4+41))-SUMIFS(Commission_Models!$G$15:$G$70,Commission_Models!$A$15:$A$70,"&lt;"&amp;(Assumptions!$B$4+41)))-SUMIFS(Projection!$L$4:$L$59,Projection!$B$4:$B$59,"&lt;"&amp;(Assumptions!$B$4+41))-SUMIFS(Projection!$K$4:$K$59,Projection!$B$4:$B$59,"&lt;"&amp;(Assumptions!$B$4+41)))/Discount!C45</f>
        <v>16119.8920936123</v>
      </c>
      <c r="C166" s="1" t="n">
        <f aca="false">(SUMIFS(Projection!$L$4:$L$59,Projection!$B$4:$B$59,"&gt;="&amp;(Assumptions!$B$4+41))+$B$90*SUMIFS(Commission_Models!$G$15:$G$70,Commission_Models!$A$15:$A$70,"&gt;="&amp;(Assumptions!$B$4+41))-$B$90*SUMIFS(Projection!$I$4:$I$59,Projection!$B$4:$B$59,"&gt;="&amp;(Assumptions!$B$4+41))+SUMIFS(Projection!$K$4:$K$59,Projection!$B$4:$B$59,"&gt;="&amp;(Assumptions!$B$4+41)))/Discount!C45</f>
        <v>1866.26802901059</v>
      </c>
      <c r="D166" s="1" t="n">
        <f aca="false">B166-C166</f>
        <v>14253.6240646017</v>
      </c>
      <c r="E166" s="1" t="n">
        <f aca="false">IF(T166&lt;=0,0,MAX(0,(R166+S166-D166)/T166))</f>
        <v>0</v>
      </c>
      <c r="F166" s="1" t="n">
        <f aca="false">($B$91*(SUMIFS(Projection!$I$4:$I$59,Projection!$B$4:$B$59,"&lt;"&amp;(Assumptions!$B$4+41))-SUMIFS(Commission_Models!$G$15:$G$70,Commission_Models!$A$15:$A$70,"&lt;"&amp;(Assumptions!$B$4+41)))-SUMIFS(Projection!$L$4:$L$59,Projection!$B$4:$B$59,"&lt;"&amp;(Assumptions!$B$4+41))-SUMIFS(Projection!$K$4:$K$59,Projection!$B$4:$B$59,"&lt;"&amp;(Assumptions!$B$4+41)))/Discount!C45</f>
        <v>11255.600894561</v>
      </c>
      <c r="G166" s="1" t="n">
        <f aca="false">(SUMIFS(Projection!$L$4:$L$59,Projection!$B$4:$B$59,"&gt;="&amp;(Assumptions!$B$4+41))+$B$91*SUMIFS(Commission_Models!$G$15:$G$70,Commission_Models!$A$15:$A$70,"&gt;="&amp;(Assumptions!$B$4+41))-$B$91*SUMIFS(Projection!$I$4:$I$59,Projection!$B$4:$B$59,"&gt;="&amp;(Assumptions!$B$4+41))+SUMIFS(Projection!$K$4:$K$59,Projection!$B$4:$B$59,"&gt;="&amp;(Assumptions!$B$4+41)))/Discount!C45</f>
        <v>1866.26802901059</v>
      </c>
      <c r="H166" s="1" t="n">
        <f aca="false">F166-G166</f>
        <v>9389.33286555039</v>
      </c>
      <c r="I166" s="1" t="n">
        <f aca="false">IF(T166&lt;=0,0,MAX(0,(R166+S166-H166)/T166))</f>
        <v>0</v>
      </c>
      <c r="J166" s="1" t="n">
        <f aca="false">($B$92*(SUMIFS(Projection!$I$4:$I$59,Projection!$B$4:$B$59,"&lt;"&amp;(Assumptions!$B$4+41))-SUMIFS(Commission_Models!$G$15:$G$70,Commission_Models!$A$15:$A$70,"&lt;"&amp;(Assumptions!$B$4+41)))-SUMIFS(Projection!$L$4:$L$59,Projection!$B$4:$B$59,"&lt;"&amp;(Assumptions!$B$4+41))-SUMIFS(Projection!$K$4:$K$59,Projection!$B$4:$B$59,"&lt;"&amp;(Assumptions!$B$4+41)))/Discount!C45</f>
        <v>6505.7227888997</v>
      </c>
      <c r="K166" s="1" t="n">
        <f aca="false">(SUMIFS(Projection!$L$4:$L$59,Projection!$B$4:$B$59,"&gt;="&amp;(Assumptions!$B$4+41))+$B$92*SUMIFS(Commission_Models!$G$15:$G$70,Commission_Models!$A$15:$A$70,"&gt;="&amp;(Assumptions!$B$4+41))-$B$92*SUMIFS(Projection!$I$4:$I$59,Projection!$B$4:$B$59,"&gt;="&amp;(Assumptions!$B$4+41))+SUMIFS(Projection!$K$4:$K$59,Projection!$B$4:$B$59,"&gt;="&amp;(Assumptions!$B$4+41)))/Discount!C45</f>
        <v>1866.26802901059</v>
      </c>
      <c r="L166" s="1" t="n">
        <f aca="false">J166-K166</f>
        <v>4639.45475988911</v>
      </c>
      <c r="M166" s="1" t="n">
        <f aca="false">IF(T166&lt;=0,0,MAX(0,(R166+S166-L166)/T166))</f>
        <v>0</v>
      </c>
      <c r="N166" s="1" t="n">
        <f aca="false">($B$93*(SUMIFS(Projection!$I$4:$I$59,Projection!$B$4:$B$59,"&lt;"&amp;(Assumptions!$B$4+41))-SUMIFS(Commission_Models!$G$15:$G$70,Commission_Models!$A$15:$A$70,"&lt;"&amp;(Assumptions!$B$4+41)))-SUMIFS(Projection!$L$4:$L$59,Projection!$B$4:$B$59,"&lt;"&amp;(Assumptions!$B$4+41))-SUMIFS(Projection!$K$4:$K$59,Projection!$B$4:$B$59,"&lt;"&amp;(Assumptions!$B$4+41)))/Discount!C45</f>
        <v>1866.26802901058</v>
      </c>
      <c r="O166" s="1" t="n">
        <f aca="false">(SUMIFS(Projection!$L$4:$L$59,Projection!$B$4:$B$59,"&gt;="&amp;(Assumptions!$B$4+41))+$B$93*SUMIFS(Commission_Models!$G$15:$G$70,Commission_Models!$A$15:$A$70,"&gt;="&amp;(Assumptions!$B$4+41))-$B$93*SUMIFS(Projection!$I$4:$I$59,Projection!$B$4:$B$59,"&gt;="&amp;(Assumptions!$B$4+41))+SUMIFS(Projection!$K$4:$K$59,Projection!$B$4:$B$59,"&gt;="&amp;(Assumptions!$B$4+41)))/Discount!C45</f>
        <v>1866.26802901059</v>
      </c>
      <c r="P166" s="1" t="n">
        <f aca="false">N166-O166</f>
        <v>-8.41282599139959E-012</v>
      </c>
      <c r="Q166" s="1" t="n">
        <f aca="false">IF(T166&lt;=0,0,MAX(0,(R166+S166-P166)/T166))</f>
        <v>22807.1521195365</v>
      </c>
      <c r="R166" s="74" t="n">
        <f aca="false">RiskMargin!J45</f>
        <v>385.617905254834</v>
      </c>
      <c r="S166" s="74" t="n">
        <f aca="false">RiskMargin!L45</f>
        <v>58.1521744633497</v>
      </c>
      <c r="T166" s="73" t="n">
        <f aca="false">Projection!F45</f>
        <v>0.0194574963762381</v>
      </c>
    </row>
    <row r="167" customFormat="false" ht="15" hidden="false" customHeight="true" outlineLevel="0" collapsed="false">
      <c r="A167" s="1" t="n">
        <v>42</v>
      </c>
      <c r="B167" s="1" t="n">
        <f aca="false">($B$90*(SUMIFS(Projection!$I$4:$I$59,Projection!$B$4:$B$59,"&lt;"&amp;(Assumptions!$B$4+42))-SUMIFS(Commission_Models!$G$15:$G$70,Commission_Models!$A$15:$A$70,"&lt;"&amp;(Assumptions!$B$4+42)))-SUMIFS(Projection!$L$4:$L$59,Projection!$B$4:$B$59,"&lt;"&amp;(Assumptions!$B$4+42))-SUMIFS(Projection!$K$4:$K$59,Projection!$B$4:$B$59,"&lt;"&amp;(Assumptions!$B$4+42)))/Discount!C46</f>
        <v>15914.5428320783</v>
      </c>
      <c r="C167" s="1" t="n">
        <f aca="false">(SUMIFS(Projection!$L$4:$L$59,Projection!$B$4:$B$59,"&gt;="&amp;(Assumptions!$B$4+42))+$B$90*SUMIFS(Commission_Models!$G$15:$G$70,Commission_Models!$A$15:$A$70,"&gt;="&amp;(Assumptions!$B$4+42))-$B$90*SUMIFS(Projection!$I$4:$I$59,Projection!$B$4:$B$59,"&gt;="&amp;(Assumptions!$B$4+42))+SUMIFS(Projection!$K$4:$K$59,Projection!$B$4:$B$59,"&gt;="&amp;(Assumptions!$B$4+42)))/Discount!C46</f>
        <v>1198.387477278</v>
      </c>
      <c r="D167" s="1" t="n">
        <f aca="false">B167-C167</f>
        <v>14716.1553548003</v>
      </c>
      <c r="E167" s="1" t="n">
        <f aca="false">IF(T167&lt;=0,0,MAX(0,(R167+S167-D167)/T167))</f>
        <v>0</v>
      </c>
      <c r="F167" s="1" t="n">
        <f aca="false">($B$91*(SUMIFS(Projection!$I$4:$I$59,Projection!$B$4:$B$59,"&lt;"&amp;(Assumptions!$B$4+42))-SUMIFS(Commission_Models!$G$15:$G$70,Commission_Models!$A$15:$A$70,"&lt;"&amp;(Assumptions!$B$4+42)))-SUMIFS(Projection!$L$4:$L$59,Projection!$B$4:$B$59,"&lt;"&amp;(Assumptions!$B$4+42))-SUMIFS(Projection!$K$4:$K$59,Projection!$B$4:$B$59,"&lt;"&amp;(Assumptions!$B$4+42)))/Discount!C46</f>
        <v>10892.4049777482</v>
      </c>
      <c r="G167" s="1" t="n">
        <f aca="false">(SUMIFS(Projection!$L$4:$L$59,Projection!$B$4:$B$59,"&gt;="&amp;(Assumptions!$B$4+42))+$B$91*SUMIFS(Commission_Models!$G$15:$G$70,Commission_Models!$A$15:$A$70,"&gt;="&amp;(Assumptions!$B$4+42))-$B$91*SUMIFS(Projection!$I$4:$I$59,Projection!$B$4:$B$59,"&gt;="&amp;(Assumptions!$B$4+42))+SUMIFS(Projection!$K$4:$K$59,Projection!$B$4:$B$59,"&gt;="&amp;(Assumptions!$B$4+42)))/Discount!C46</f>
        <v>1198.387477278</v>
      </c>
      <c r="H167" s="1" t="n">
        <f aca="false">F167-G167</f>
        <v>9694.01750047018</v>
      </c>
      <c r="I167" s="1" t="n">
        <f aca="false">IF(T167&lt;=0,0,MAX(0,(R167+S167-H167)/T167))</f>
        <v>0</v>
      </c>
      <c r="J167" s="1" t="n">
        <f aca="false">($B$92*(SUMIFS(Projection!$I$4:$I$59,Projection!$B$4:$B$59,"&lt;"&amp;(Assumptions!$B$4+42))-SUMIFS(Commission_Models!$G$15:$G$70,Commission_Models!$A$15:$A$70,"&lt;"&amp;(Assumptions!$B$4+42)))-SUMIFS(Projection!$L$4:$L$59,Projection!$B$4:$B$59,"&lt;"&amp;(Assumptions!$B$4+42))-SUMIFS(Projection!$K$4:$K$59,Projection!$B$4:$B$59,"&lt;"&amp;(Assumptions!$B$4+42)))/Discount!C46</f>
        <v>5988.39293123505</v>
      </c>
      <c r="K167" s="1" t="n">
        <f aca="false">(SUMIFS(Projection!$L$4:$L$59,Projection!$B$4:$B$59,"&gt;="&amp;(Assumptions!$B$4+42))+$B$92*SUMIFS(Commission_Models!$G$15:$G$70,Commission_Models!$A$15:$A$70,"&gt;="&amp;(Assumptions!$B$4+42))-$B$92*SUMIFS(Projection!$I$4:$I$59,Projection!$B$4:$B$59,"&gt;="&amp;(Assumptions!$B$4+42))+SUMIFS(Projection!$K$4:$K$59,Projection!$B$4:$B$59,"&gt;="&amp;(Assumptions!$B$4+42)))/Discount!C46</f>
        <v>1198.387477278</v>
      </c>
      <c r="L167" s="1" t="n">
        <f aca="false">J167-K167</f>
        <v>4790.00545395706</v>
      </c>
      <c r="M167" s="1" t="n">
        <f aca="false">IF(T167&lt;=0,0,MAX(0,(R167+S167-L167)/T167))</f>
        <v>0</v>
      </c>
      <c r="N167" s="1" t="n">
        <f aca="false">($B$93*(SUMIFS(Projection!$I$4:$I$59,Projection!$B$4:$B$59,"&lt;"&amp;(Assumptions!$B$4+42))-SUMIFS(Commission_Models!$G$15:$G$70,Commission_Models!$A$15:$A$70,"&lt;"&amp;(Assumptions!$B$4+42)))-SUMIFS(Projection!$L$4:$L$59,Projection!$B$4:$B$59,"&lt;"&amp;(Assumptions!$B$4+42))-SUMIFS(Projection!$K$4:$K$59,Projection!$B$4:$B$59,"&lt;"&amp;(Assumptions!$B$4+42)))/Discount!C46</f>
        <v>1198.38747727797</v>
      </c>
      <c r="O167" s="1" t="n">
        <f aca="false">(SUMIFS(Projection!$L$4:$L$59,Projection!$B$4:$B$59,"&gt;="&amp;(Assumptions!$B$4+42))+$B$93*SUMIFS(Commission_Models!$G$15:$G$70,Commission_Models!$A$15:$A$70,"&gt;="&amp;(Assumptions!$B$4+42))-$B$93*SUMIFS(Projection!$I$4:$I$59,Projection!$B$4:$B$59,"&gt;="&amp;(Assumptions!$B$4+42))+SUMIFS(Projection!$K$4:$K$59,Projection!$B$4:$B$59,"&gt;="&amp;(Assumptions!$B$4+42)))/Discount!C46</f>
        <v>1198.387477278</v>
      </c>
      <c r="P167" s="1" t="n">
        <f aca="false">N167-O167</f>
        <v>-2.29647412197664E-011</v>
      </c>
      <c r="Q167" s="1" t="n">
        <f aca="false">IF(T167&lt;=0,0,MAX(0,(R167+S167-P167)/T167))</f>
        <v>22238.3111288992</v>
      </c>
      <c r="R167" s="74" t="n">
        <f aca="false">RiskMargin!J46</f>
        <v>252.006106973022</v>
      </c>
      <c r="S167" s="74" t="n">
        <f aca="false">RiskMargin!L46</f>
        <v>36.1513430694748</v>
      </c>
      <c r="T167" s="73" t="n">
        <f aca="false">Projection!F46</f>
        <v>0.0129577038639437</v>
      </c>
    </row>
    <row r="168" customFormat="false" ht="15" hidden="false" customHeight="true" outlineLevel="0" collapsed="false">
      <c r="A168" s="1" t="n">
        <v>43</v>
      </c>
      <c r="B168" s="1" t="n">
        <f aca="false">($B$90*(SUMIFS(Projection!$I$4:$I$59,Projection!$B$4:$B$59,"&lt;"&amp;(Assumptions!$B$4+43))-SUMIFS(Commission_Models!$G$15:$G$70,Commission_Models!$A$15:$A$70,"&lt;"&amp;(Assumptions!$B$4+43)))-SUMIFS(Projection!$L$4:$L$59,Projection!$B$4:$B$59,"&lt;"&amp;(Assumptions!$B$4+43))-SUMIFS(Projection!$K$4:$K$59,Projection!$B$4:$B$59,"&lt;"&amp;(Assumptions!$B$4+43)))/Discount!C47</f>
        <v>15943.0991117914</v>
      </c>
      <c r="C168" s="1" t="n">
        <f aca="false">(SUMIFS(Projection!$L$4:$L$59,Projection!$B$4:$B$59,"&gt;="&amp;(Assumptions!$B$4+43))+$B$90*SUMIFS(Commission_Models!$G$15:$G$70,Commission_Models!$A$15:$A$70,"&gt;="&amp;(Assumptions!$B$4+43))-$B$90*SUMIFS(Projection!$I$4:$I$59,Projection!$B$4:$B$59,"&gt;="&amp;(Assumptions!$B$4+43))+SUMIFS(Projection!$K$4:$K$59,Projection!$B$4:$B$59,"&gt;="&amp;(Assumptions!$B$4+43)))/Discount!C47</f>
        <v>742.777093999178</v>
      </c>
      <c r="D168" s="1" t="n">
        <f aca="false">B168-C168</f>
        <v>15200.3220177922</v>
      </c>
      <c r="E168" s="1" t="n">
        <f aca="false">IF(T168&lt;=0,0,MAX(0,(R168+S168-D168)/T168))</f>
        <v>0</v>
      </c>
      <c r="F168" s="1" t="n">
        <f aca="false">($B$91*(SUMIFS(Projection!$I$4:$I$59,Projection!$B$4:$B$59,"&lt;"&amp;(Assumptions!$B$4+43))-SUMIFS(Commission_Models!$G$15:$G$70,Commission_Models!$A$15:$A$70,"&lt;"&amp;(Assumptions!$B$4+43)))-SUMIFS(Projection!$L$4:$L$59,Projection!$B$4:$B$59,"&lt;"&amp;(Assumptions!$B$4+43))-SUMIFS(Projection!$K$4:$K$59,Projection!$B$4:$B$59,"&lt;"&amp;(Assumptions!$B$4+43)))/Discount!C47</f>
        <v>10755.7311639081</v>
      </c>
      <c r="G168" s="1" t="n">
        <f aca="false">(SUMIFS(Projection!$L$4:$L$59,Projection!$B$4:$B$59,"&gt;="&amp;(Assumptions!$B$4+43))+$B$91*SUMIFS(Commission_Models!$G$15:$G$70,Commission_Models!$A$15:$A$70,"&gt;="&amp;(Assumptions!$B$4+43))-$B$91*SUMIFS(Projection!$I$4:$I$59,Projection!$B$4:$B$59,"&gt;="&amp;(Assumptions!$B$4+43))+SUMIFS(Projection!$K$4:$K$59,Projection!$B$4:$B$59,"&gt;="&amp;(Assumptions!$B$4+43)))/Discount!C47</f>
        <v>742.777093999178</v>
      </c>
      <c r="H168" s="1" t="n">
        <f aca="false">F168-G168</f>
        <v>10012.9540699089</v>
      </c>
      <c r="I168" s="1" t="n">
        <f aca="false">IF(T168&lt;=0,0,MAX(0,(R168+S168-H168)/T168))</f>
        <v>0</v>
      </c>
      <c r="J168" s="1" t="n">
        <f aca="false">($B$92*(SUMIFS(Projection!$I$4:$I$59,Projection!$B$4:$B$59,"&lt;"&amp;(Assumptions!$B$4+43))-SUMIFS(Commission_Models!$G$15:$G$70,Commission_Models!$A$15:$A$70,"&lt;"&amp;(Assumptions!$B$4+43)))-SUMIFS(Projection!$L$4:$L$59,Projection!$B$4:$B$59,"&lt;"&amp;(Assumptions!$B$4+43))-SUMIFS(Projection!$K$4:$K$59,Projection!$B$4:$B$59,"&lt;"&amp;(Assumptions!$B$4+43)))/Discount!C47</f>
        <v>5690.3754042724</v>
      </c>
      <c r="K168" s="1" t="n">
        <f aca="false">(SUMIFS(Projection!$L$4:$L$59,Projection!$B$4:$B$59,"&gt;="&amp;(Assumptions!$B$4+43))+$B$92*SUMIFS(Commission_Models!$G$15:$G$70,Commission_Models!$A$15:$A$70,"&gt;="&amp;(Assumptions!$B$4+43))-$B$92*SUMIFS(Projection!$I$4:$I$59,Projection!$B$4:$B$59,"&gt;="&amp;(Assumptions!$B$4+43))+SUMIFS(Projection!$K$4:$K$59,Projection!$B$4:$B$59,"&gt;="&amp;(Assumptions!$B$4+43)))/Discount!C47</f>
        <v>742.777093999178</v>
      </c>
      <c r="L168" s="1" t="n">
        <f aca="false">J168-K168</f>
        <v>4947.59831027322</v>
      </c>
      <c r="M168" s="1" t="n">
        <f aca="false">IF(T168&lt;=0,0,MAX(0,(R168+S168-L168)/T168))</f>
        <v>0</v>
      </c>
      <c r="N168" s="1" t="n">
        <f aca="false">($B$93*(SUMIFS(Projection!$I$4:$I$59,Projection!$B$4:$B$59,"&lt;"&amp;(Assumptions!$B$4+43))-SUMIFS(Commission_Models!$G$15:$G$70,Commission_Models!$A$15:$A$70,"&lt;"&amp;(Assumptions!$B$4+43)))-SUMIFS(Projection!$L$4:$L$59,Projection!$B$4:$B$59,"&lt;"&amp;(Assumptions!$B$4+43))-SUMIFS(Projection!$K$4:$K$59,Projection!$B$4:$B$59,"&lt;"&amp;(Assumptions!$B$4+43)))/Discount!C47</f>
        <v>742.777093999132</v>
      </c>
      <c r="O168" s="1" t="n">
        <f aca="false">(SUMIFS(Projection!$L$4:$L$59,Projection!$B$4:$B$59,"&gt;="&amp;(Assumptions!$B$4+43))+$B$93*SUMIFS(Commission_Models!$G$15:$G$70,Commission_Models!$A$15:$A$70,"&gt;="&amp;(Assumptions!$B$4+43))-$B$93*SUMIFS(Projection!$I$4:$I$59,Projection!$B$4:$B$59,"&gt;="&amp;(Assumptions!$B$4+43))+SUMIFS(Projection!$K$4:$K$59,Projection!$B$4:$B$59,"&gt;="&amp;(Assumptions!$B$4+43)))/Discount!C47</f>
        <v>742.777093999178</v>
      </c>
      <c r="P168" s="1" t="n">
        <f aca="false">N168-O168</f>
        <v>-4.61568561149761E-011</v>
      </c>
      <c r="Q168" s="1" t="n">
        <f aca="false">IF(T168&lt;=0,0,MAX(0,(R168+S168-P168)/T168))</f>
        <v>21753.247019538</v>
      </c>
      <c r="R168" s="74" t="n">
        <f aca="false">RiskMargin!J47</f>
        <v>159.174615899891</v>
      </c>
      <c r="S168" s="74" t="n">
        <f aca="false">RiskMargin!L47</f>
        <v>21.7229031454207</v>
      </c>
      <c r="T168" s="73" t="n">
        <f aca="false">Projection!F47</f>
        <v>0.00831588584834634</v>
      </c>
    </row>
    <row r="169" customFormat="false" ht="15" hidden="false" customHeight="true" outlineLevel="0" collapsed="false">
      <c r="A169" s="1" t="n">
        <v>44</v>
      </c>
      <c r="B169" s="1" t="n">
        <f aca="false">($B$90*(SUMIFS(Projection!$I$4:$I$59,Projection!$B$4:$B$59,"&lt;"&amp;(Assumptions!$B$4+44))-SUMIFS(Commission_Models!$G$15:$G$70,Commission_Models!$A$15:$A$70,"&lt;"&amp;(Assumptions!$B$4+44)))-SUMIFS(Projection!$L$4:$L$59,Projection!$B$4:$B$59,"&lt;"&amp;(Assumptions!$B$4+44))-SUMIFS(Projection!$K$4:$K$59,Projection!$B$4:$B$59,"&lt;"&amp;(Assumptions!$B$4+44)))/Discount!C48</f>
        <v>16137.3117644563</v>
      </c>
      <c r="C169" s="1" t="n">
        <f aca="false">(SUMIFS(Projection!$L$4:$L$59,Projection!$B$4:$B$59,"&gt;="&amp;(Assumptions!$B$4+44))+$B$90*SUMIFS(Commission_Models!$G$15:$G$70,Commission_Models!$A$15:$A$70,"&gt;="&amp;(Assumptions!$B$4+44))-$B$90*SUMIFS(Projection!$I$4:$I$59,Projection!$B$4:$B$59,"&gt;="&amp;(Assumptions!$B$4+44))+SUMIFS(Projection!$K$4:$K$59,Projection!$B$4:$B$59,"&gt;="&amp;(Assumptions!$B$4+44)))/Discount!C48</f>
        <v>442.977887614849</v>
      </c>
      <c r="D169" s="1" t="n">
        <f aca="false">B169-C169</f>
        <v>15694.3338768414</v>
      </c>
      <c r="E169" s="1" t="n">
        <f aca="false">IF(T169&lt;=0,0,MAX(0,(R169+S169-D169)/T169))</f>
        <v>0</v>
      </c>
      <c r="F169" s="1" t="n">
        <f aca="false">($B$91*(SUMIFS(Projection!$I$4:$I$59,Projection!$B$4:$B$59,"&lt;"&amp;(Assumptions!$B$4+44))-SUMIFS(Commission_Models!$G$15:$G$70,Commission_Models!$A$15:$A$70,"&lt;"&amp;(Assumptions!$B$4+44)))-SUMIFS(Projection!$L$4:$L$59,Projection!$B$4:$B$59,"&lt;"&amp;(Assumptions!$B$4+44))-SUMIFS(Projection!$K$4:$K$59,Projection!$B$4:$B$59,"&lt;"&amp;(Assumptions!$B$4+44)))/Discount!C48</f>
        <v>10781.3538827212</v>
      </c>
      <c r="G169" s="1" t="n">
        <f aca="false">(SUMIFS(Projection!$L$4:$L$59,Projection!$B$4:$B$59,"&gt;="&amp;(Assumptions!$B$4+44))+$B$91*SUMIFS(Commission_Models!$G$15:$G$70,Commission_Models!$A$15:$A$70,"&gt;="&amp;(Assumptions!$B$4+44))-$B$91*SUMIFS(Projection!$I$4:$I$59,Projection!$B$4:$B$59,"&gt;="&amp;(Assumptions!$B$4+44))+SUMIFS(Projection!$K$4:$K$59,Projection!$B$4:$B$59,"&gt;="&amp;(Assumptions!$B$4+44)))/Discount!C48</f>
        <v>442.977887614849</v>
      </c>
      <c r="H169" s="1" t="n">
        <f aca="false">F169-G169</f>
        <v>10338.3759951064</v>
      </c>
      <c r="I169" s="1" t="n">
        <f aca="false">IF(T169&lt;=0,0,MAX(0,(R169+S169-H169)/T169))</f>
        <v>0</v>
      </c>
      <c r="J169" s="1" t="n">
        <f aca="false">($B$92*(SUMIFS(Projection!$I$4:$I$59,Projection!$B$4:$B$59,"&lt;"&amp;(Assumptions!$B$4+44))-SUMIFS(Commission_Models!$G$15:$G$70,Commission_Models!$A$15:$A$70,"&lt;"&amp;(Assumptions!$B$4+44)))-SUMIFS(Projection!$L$4:$L$59,Projection!$B$4:$B$59,"&lt;"&amp;(Assumptions!$B$4+44))-SUMIFS(Projection!$K$4:$K$59,Projection!$B$4:$B$59,"&lt;"&amp;(Assumptions!$B$4+44)))/Discount!C48</f>
        <v>5551.37359653705</v>
      </c>
      <c r="K169" s="1" t="n">
        <f aca="false">(SUMIFS(Projection!$L$4:$L$59,Projection!$B$4:$B$59,"&gt;="&amp;(Assumptions!$B$4+44))+$B$92*SUMIFS(Commission_Models!$G$15:$G$70,Commission_Models!$A$15:$A$70,"&gt;="&amp;(Assumptions!$B$4+44))-$B$92*SUMIFS(Projection!$I$4:$I$59,Projection!$B$4:$B$59,"&gt;="&amp;(Assumptions!$B$4+44))+SUMIFS(Projection!$K$4:$K$59,Projection!$B$4:$B$59,"&gt;="&amp;(Assumptions!$B$4+44)))/Discount!C48</f>
        <v>442.977887614849</v>
      </c>
      <c r="L169" s="1" t="n">
        <f aca="false">J169-K169</f>
        <v>5108.3957089222</v>
      </c>
      <c r="M169" s="1" t="n">
        <f aca="false">IF(T169&lt;=0,0,MAX(0,(R169+S169-L169)/T169))</f>
        <v>0</v>
      </c>
      <c r="N169" s="1" t="n">
        <f aca="false">($B$93*(SUMIFS(Projection!$I$4:$I$59,Projection!$B$4:$B$59,"&lt;"&amp;(Assumptions!$B$4+44))-SUMIFS(Commission_Models!$G$15:$G$70,Commission_Models!$A$15:$A$70,"&lt;"&amp;(Assumptions!$B$4+44)))-SUMIFS(Projection!$L$4:$L$59,Projection!$B$4:$B$59,"&lt;"&amp;(Assumptions!$B$4+44))-SUMIFS(Projection!$K$4:$K$59,Projection!$B$4:$B$59,"&lt;"&amp;(Assumptions!$B$4+44)))/Discount!C48</f>
        <v>442.977887614881</v>
      </c>
      <c r="O169" s="1" t="n">
        <f aca="false">(SUMIFS(Projection!$L$4:$L$59,Projection!$B$4:$B$59,"&gt;="&amp;(Assumptions!$B$4+44))+$B$93*SUMIFS(Commission_Models!$G$15:$G$70,Commission_Models!$A$15:$A$70,"&gt;="&amp;(Assumptions!$B$4+44))-$B$93*SUMIFS(Projection!$I$4:$I$59,Projection!$B$4:$B$59,"&gt;="&amp;(Assumptions!$B$4+44))+SUMIFS(Projection!$K$4:$K$59,Projection!$B$4:$B$59,"&gt;="&amp;(Assumptions!$B$4+44)))/Discount!C48</f>
        <v>442.977887614849</v>
      </c>
      <c r="P169" s="1" t="n">
        <f aca="false">N169-O169</f>
        <v>3.16049408866093E-011</v>
      </c>
      <c r="Q169" s="1" t="n">
        <f aca="false">IF(T169&lt;=0,0,MAX(0,(R169+S169-P169)/T169))</f>
        <v>21343.6163924467</v>
      </c>
      <c r="R169" s="74" t="n">
        <f aca="false">RiskMargin!J48</f>
        <v>96.7687825050688</v>
      </c>
      <c r="S169" s="74" t="n">
        <f aca="false">RiskMargin!L48</f>
        <v>12.5680311585409</v>
      </c>
      <c r="T169" s="73" t="n">
        <f aca="false">Projection!F48</f>
        <v>0.0051226939077799</v>
      </c>
    </row>
    <row r="170" customFormat="false" ht="15" hidden="false" customHeight="true" outlineLevel="0" collapsed="false">
      <c r="A170" s="1" t="n">
        <v>45</v>
      </c>
      <c r="B170" s="1" t="n">
        <f aca="false">($B$90*(SUMIFS(Projection!$I$4:$I$59,Projection!$B$4:$B$59,"&lt;"&amp;(Assumptions!$B$4+45))-SUMIFS(Commission_Models!$G$15:$G$70,Commission_Models!$A$15:$A$70,"&lt;"&amp;(Assumptions!$B$4+45)))-SUMIFS(Projection!$L$4:$L$59,Projection!$B$4:$B$59,"&lt;"&amp;(Assumptions!$B$4+45))-SUMIFS(Projection!$K$4:$K$59,Projection!$B$4:$B$59,"&lt;"&amp;(Assumptions!$B$4+45)))/Discount!C49</f>
        <v>16465.7241568117</v>
      </c>
      <c r="C170" s="1" t="n">
        <f aca="false">(SUMIFS(Projection!$L$4:$L$59,Projection!$B$4:$B$59,"&gt;="&amp;(Assumptions!$B$4+45))+$B$90*SUMIFS(Commission_Models!$G$15:$G$70,Commission_Models!$A$15:$A$70,"&gt;="&amp;(Assumptions!$B$4+45))-$B$90*SUMIFS(Projection!$I$4:$I$59,Projection!$B$4:$B$59,"&gt;="&amp;(Assumptions!$B$4+45))+SUMIFS(Projection!$K$4:$K$59,Projection!$B$4:$B$59,"&gt;="&amp;(Assumptions!$B$4+45)))/Discount!C49</f>
        <v>253.942068542003</v>
      </c>
      <c r="D170" s="1" t="n">
        <f aca="false">B170-C170</f>
        <v>16211.7820882697</v>
      </c>
      <c r="E170" s="1" t="n">
        <f aca="false">IF(T170&lt;=0,0,MAX(0,(R170+S170-D170)/T170))</f>
        <v>0</v>
      </c>
      <c r="F170" s="1" t="n">
        <f aca="false">($B$91*(SUMIFS(Projection!$I$4:$I$59,Projection!$B$4:$B$59,"&lt;"&amp;(Assumptions!$B$4+45))-SUMIFS(Commission_Models!$G$15:$G$70,Commission_Models!$A$15:$A$70,"&lt;"&amp;(Assumptions!$B$4+45)))-SUMIFS(Projection!$L$4:$L$59,Projection!$B$4:$B$59,"&lt;"&amp;(Assumptions!$B$4+45))-SUMIFS(Projection!$K$4:$K$59,Projection!$B$4:$B$59,"&lt;"&amp;(Assumptions!$B$4+45)))/Discount!C49</f>
        <v>10933.1782880912</v>
      </c>
      <c r="G170" s="1" t="n">
        <f aca="false">(SUMIFS(Projection!$L$4:$L$59,Projection!$B$4:$B$59,"&gt;="&amp;(Assumptions!$B$4+45))+$B$91*SUMIFS(Commission_Models!$G$15:$G$70,Commission_Models!$A$15:$A$70,"&gt;="&amp;(Assumptions!$B$4+45))-$B$91*SUMIFS(Projection!$I$4:$I$59,Projection!$B$4:$B$59,"&gt;="&amp;(Assumptions!$B$4+45))+SUMIFS(Projection!$K$4:$K$59,Projection!$B$4:$B$59,"&gt;="&amp;(Assumptions!$B$4+45)))/Discount!C49</f>
        <v>253.942068542003</v>
      </c>
      <c r="H170" s="1" t="n">
        <f aca="false">F170-G170</f>
        <v>10679.2362195492</v>
      </c>
      <c r="I170" s="1" t="n">
        <f aca="false">IF(T170&lt;=0,0,MAX(0,(R170+S170-H170)/T170))</f>
        <v>0</v>
      </c>
      <c r="J170" s="1" t="n">
        <f aca="false">($B$92*(SUMIFS(Projection!$I$4:$I$59,Projection!$B$4:$B$59,"&lt;"&amp;(Assumptions!$B$4+45))-SUMIFS(Commission_Models!$G$15:$G$70,Commission_Models!$A$15:$A$70,"&lt;"&amp;(Assumptions!$B$4+45)))-SUMIFS(Projection!$L$4:$L$59,Projection!$B$4:$B$59,"&lt;"&amp;(Assumptions!$B$4+45))-SUMIFS(Projection!$K$4:$K$59,Projection!$B$4:$B$59,"&lt;"&amp;(Assumptions!$B$4+45)))/Discount!C49</f>
        <v>5530.76354459727</v>
      </c>
      <c r="K170" s="1" t="n">
        <f aca="false">(SUMIFS(Projection!$L$4:$L$59,Projection!$B$4:$B$59,"&gt;="&amp;(Assumptions!$B$4+45))+$B$92*SUMIFS(Commission_Models!$G$15:$G$70,Commission_Models!$A$15:$A$70,"&gt;="&amp;(Assumptions!$B$4+45))-$B$92*SUMIFS(Projection!$I$4:$I$59,Projection!$B$4:$B$59,"&gt;="&amp;(Assumptions!$B$4+45))+SUMIFS(Projection!$K$4:$K$59,Projection!$B$4:$B$59,"&gt;="&amp;(Assumptions!$B$4+45)))/Discount!C49</f>
        <v>253.942068542003</v>
      </c>
      <c r="L170" s="1" t="n">
        <f aca="false">J170-K170</f>
        <v>5276.82147605527</v>
      </c>
      <c r="M170" s="1" t="n">
        <f aca="false">IF(T170&lt;=0,0,MAX(0,(R170+S170-L170)/T170))</f>
        <v>0</v>
      </c>
      <c r="N170" s="1" t="n">
        <f aca="false">($B$93*(SUMIFS(Projection!$I$4:$I$59,Projection!$B$4:$B$59,"&lt;"&amp;(Assumptions!$B$4+45))-SUMIFS(Commission_Models!$G$15:$G$70,Commission_Models!$A$15:$A$70,"&lt;"&amp;(Assumptions!$B$4+45)))-SUMIFS(Projection!$L$4:$L$59,Projection!$B$4:$B$59,"&lt;"&amp;(Assumptions!$B$4+45))-SUMIFS(Projection!$K$4:$K$59,Projection!$B$4:$B$59,"&lt;"&amp;(Assumptions!$B$4+45)))/Discount!C49</f>
        <v>253.942068542021</v>
      </c>
      <c r="O170" s="1" t="n">
        <f aca="false">(SUMIFS(Projection!$L$4:$L$59,Projection!$B$4:$B$59,"&gt;="&amp;(Assumptions!$B$4+45))+$B$93*SUMIFS(Commission_Models!$G$15:$G$70,Commission_Models!$A$15:$A$70,"&gt;="&amp;(Assumptions!$B$4+45))-$B$93*SUMIFS(Projection!$I$4:$I$59,Projection!$B$4:$B$59,"&gt;="&amp;(Assumptions!$B$4+45))+SUMIFS(Projection!$K$4:$K$59,Projection!$B$4:$B$59,"&gt;="&amp;(Assumptions!$B$4+45)))/Discount!C49</f>
        <v>253.942068542003</v>
      </c>
      <c r="P170" s="1" t="n">
        <f aca="false">N170-O170</f>
        <v>1.79625203600153E-011</v>
      </c>
      <c r="Q170" s="1" t="n">
        <f aca="false">IF(T170&lt;=0,0,MAX(0,(R170+S170-P170)/T170))</f>
        <v>21018.6051957502</v>
      </c>
      <c r="R170" s="74" t="n">
        <f aca="false">RiskMargin!J49</f>
        <v>56.3896320487537</v>
      </c>
      <c r="S170" s="73" t="n">
        <f aca="false">RiskMargin!L49</f>
        <v>6.98484678521129</v>
      </c>
      <c r="T170" s="73" t="n">
        <f aca="false">Projection!F49</f>
        <v>0.0030151610082462</v>
      </c>
    </row>
    <row r="171" customFormat="false" ht="15" hidden="false" customHeight="true" outlineLevel="0" collapsed="false">
      <c r="A171" s="1" t="n">
        <v>46</v>
      </c>
      <c r="B171" s="1" t="n">
        <f aca="false">($B$90*(SUMIFS(Projection!$I$4:$I$59,Projection!$B$4:$B$59,"&lt;"&amp;(Assumptions!$B$4+46))-SUMIFS(Commission_Models!$G$15:$G$70,Commission_Models!$A$15:$A$70,"&lt;"&amp;(Assumptions!$B$4+46)))-SUMIFS(Projection!$L$4:$L$59,Projection!$B$4:$B$59,"&lt;"&amp;(Assumptions!$B$4+46))-SUMIFS(Projection!$K$4:$K$59,Projection!$B$4:$B$59,"&lt;"&amp;(Assumptions!$B$4+46)))/Discount!C50</f>
        <v>16879.4730489762</v>
      </c>
      <c r="C171" s="1" t="n">
        <f aca="false">(SUMIFS(Projection!$L$4:$L$59,Projection!$B$4:$B$59,"&gt;="&amp;(Assumptions!$B$4+46))+$B$90*SUMIFS(Commission_Models!$G$15:$G$70,Commission_Models!$A$15:$A$70,"&gt;="&amp;(Assumptions!$B$4+46))-$B$90*SUMIFS(Projection!$I$4:$I$59,Projection!$B$4:$B$59,"&gt;="&amp;(Assumptions!$B$4+46))+SUMIFS(Projection!$K$4:$K$59,Projection!$B$4:$B$59,"&gt;="&amp;(Assumptions!$B$4+46)))/Discount!C50</f>
        <v>139.995827753051</v>
      </c>
      <c r="D171" s="1" t="n">
        <f aca="false">B171-C171</f>
        <v>16739.4772212231</v>
      </c>
      <c r="E171" s="1" t="n">
        <f aca="false">IF(T171&lt;=0,0,MAX(0,(R171+S171-D171)/T171))</f>
        <v>0</v>
      </c>
      <c r="F171" s="1" t="n">
        <f aca="false">($B$91*(SUMIFS(Projection!$I$4:$I$59,Projection!$B$4:$B$59,"&lt;"&amp;(Assumptions!$B$4+46))-SUMIFS(Commission_Models!$G$15:$G$70,Commission_Models!$A$15:$A$70,"&lt;"&amp;(Assumptions!$B$4+46)))-SUMIFS(Projection!$L$4:$L$59,Projection!$B$4:$B$59,"&lt;"&amp;(Assumptions!$B$4+46))-SUMIFS(Projection!$K$4:$K$59,Projection!$B$4:$B$59,"&lt;"&amp;(Assumptions!$B$4+46)))/Discount!C50</f>
        <v>11166.8422573354</v>
      </c>
      <c r="G171" s="1" t="n">
        <f aca="false">(SUMIFS(Projection!$L$4:$L$59,Projection!$B$4:$B$59,"&gt;="&amp;(Assumptions!$B$4+46))+$B$91*SUMIFS(Commission_Models!$G$15:$G$70,Commission_Models!$A$15:$A$70,"&gt;="&amp;(Assumptions!$B$4+46))-$B$91*SUMIFS(Projection!$I$4:$I$59,Projection!$B$4:$B$59,"&gt;="&amp;(Assumptions!$B$4+46))+SUMIFS(Projection!$K$4:$K$59,Projection!$B$4:$B$59,"&gt;="&amp;(Assumptions!$B$4+46)))/Discount!C50</f>
        <v>139.995827753051</v>
      </c>
      <c r="H171" s="1" t="n">
        <f aca="false">F171-G171</f>
        <v>11026.8464295824</v>
      </c>
      <c r="I171" s="1" t="n">
        <f aca="false">IF(T171&lt;=0,0,MAX(0,(R171+S171-H171)/T171))</f>
        <v>0</v>
      </c>
      <c r="J171" s="1" t="n">
        <f aca="false">($B$92*(SUMIFS(Projection!$I$4:$I$59,Projection!$B$4:$B$59,"&lt;"&amp;(Assumptions!$B$4+46))-SUMIFS(Commission_Models!$G$15:$G$70,Commission_Models!$A$15:$A$70,"&lt;"&amp;(Assumptions!$B$4+46)))-SUMIFS(Projection!$L$4:$L$59,Projection!$B$4:$B$59,"&lt;"&amp;(Assumptions!$B$4+46))-SUMIFS(Projection!$K$4:$K$59,Projection!$B$4:$B$59,"&lt;"&amp;(Assumptions!$B$4+46)))/Discount!C50</f>
        <v>5588.57837209907</v>
      </c>
      <c r="K171" s="1" t="n">
        <f aca="false">(SUMIFS(Projection!$L$4:$L$59,Projection!$B$4:$B$59,"&gt;="&amp;(Assumptions!$B$4+46))+$B$92*SUMIFS(Commission_Models!$G$15:$G$70,Commission_Models!$A$15:$A$70,"&gt;="&amp;(Assumptions!$B$4+46))-$B$92*SUMIFS(Projection!$I$4:$I$59,Projection!$B$4:$B$59,"&gt;="&amp;(Assumptions!$B$4+46))+SUMIFS(Projection!$K$4:$K$59,Projection!$B$4:$B$59,"&gt;="&amp;(Assumptions!$B$4+46)))/Discount!C50</f>
        <v>139.995827753051</v>
      </c>
      <c r="L171" s="1" t="n">
        <f aca="false">J171-K171</f>
        <v>5448.58254434602</v>
      </c>
      <c r="M171" s="1" t="n">
        <f aca="false">IF(T171&lt;=0,0,MAX(0,(R171+S171-L171)/T171))</f>
        <v>0</v>
      </c>
      <c r="N171" s="1" t="n">
        <f aca="false">($B$93*(SUMIFS(Projection!$I$4:$I$59,Projection!$B$4:$B$59,"&lt;"&amp;(Assumptions!$B$4+46))-SUMIFS(Commission_Models!$G$15:$G$70,Commission_Models!$A$15:$A$70,"&lt;"&amp;(Assumptions!$B$4+46)))-SUMIFS(Projection!$L$4:$L$59,Projection!$B$4:$B$59,"&lt;"&amp;(Assumptions!$B$4+46))-SUMIFS(Projection!$K$4:$K$59,Projection!$B$4:$B$59,"&lt;"&amp;(Assumptions!$B$4+46)))/Discount!C50</f>
        <v>139.995827753044</v>
      </c>
      <c r="O171" s="1" t="n">
        <f aca="false">(SUMIFS(Projection!$L$4:$L$59,Projection!$B$4:$B$59,"&gt;="&amp;(Assumptions!$B$4+46))+$B$93*SUMIFS(Commission_Models!$G$15:$G$70,Commission_Models!$A$15:$A$70,"&gt;="&amp;(Assumptions!$B$4+46))-$B$93*SUMIFS(Projection!$I$4:$I$59,Projection!$B$4:$B$59,"&gt;="&amp;(Assumptions!$B$4+46))+SUMIFS(Projection!$K$4:$K$59,Projection!$B$4:$B$59,"&gt;="&amp;(Assumptions!$B$4+46)))/Discount!C50</f>
        <v>139.995827753051</v>
      </c>
      <c r="P171" s="1" t="n">
        <f aca="false">N171-O171</f>
        <v>-7.105427357601E-012</v>
      </c>
      <c r="Q171" s="1" t="n">
        <f aca="false">IF(T171&lt;=0,0,MAX(0,(R171+S171-P171)/T171))</f>
        <v>20673.595068681</v>
      </c>
      <c r="R171" s="74" t="n">
        <f aca="false">RiskMargin!J50</f>
        <v>31.1516315041992</v>
      </c>
      <c r="S171" s="73" t="n">
        <f aca="false">RiskMargin!L50</f>
        <v>3.71869703496715</v>
      </c>
      <c r="T171" s="73" t="n">
        <f aca="false">Projection!F50</f>
        <v>0.0016867085005452</v>
      </c>
    </row>
    <row r="172" customFormat="false" ht="15" hidden="false" customHeight="true" outlineLevel="0" collapsed="false">
      <c r="A172" s="1" t="n">
        <v>47</v>
      </c>
      <c r="B172" s="1" t="n">
        <f aca="false">($B$90*(SUMIFS(Projection!$I$4:$I$59,Projection!$B$4:$B$59,"&lt;"&amp;(Assumptions!$B$4+47))-SUMIFS(Commission_Models!$G$15:$G$70,Commission_Models!$A$15:$A$70,"&lt;"&amp;(Assumptions!$B$4+47)))-SUMIFS(Projection!$L$4:$L$59,Projection!$B$4:$B$59,"&lt;"&amp;(Assumptions!$B$4+47))-SUMIFS(Projection!$K$4:$K$59,Projection!$B$4:$B$59,"&lt;"&amp;(Assumptions!$B$4+47)))/Discount!C51</f>
        <v>17359.5018532702</v>
      </c>
      <c r="C172" s="1" t="n">
        <f aca="false">(SUMIFS(Projection!$L$4:$L$59,Projection!$B$4:$B$59,"&gt;="&amp;(Assumptions!$B$4+47))+$B$90*SUMIFS(Commission_Models!$G$15:$G$70,Commission_Models!$A$15:$A$70,"&gt;="&amp;(Assumptions!$B$4+47))-$B$90*SUMIFS(Projection!$I$4:$I$59,Projection!$B$4:$B$59,"&gt;="&amp;(Assumptions!$B$4+47))+SUMIFS(Projection!$K$4:$K$59,Projection!$B$4:$B$59,"&gt;="&amp;(Assumptions!$B$4+47)))/Discount!C51</f>
        <v>74.8181054390519</v>
      </c>
      <c r="D172" s="1" t="n">
        <f aca="false">B172-C172</f>
        <v>17284.6837478311</v>
      </c>
      <c r="E172" s="1" t="n">
        <f aca="false">IF(T172&lt;=0,0,MAX(0,(R172+S172-D172)/T172))</f>
        <v>0</v>
      </c>
      <c r="F172" s="1" t="n">
        <f aca="false">($B$91*(SUMIFS(Projection!$I$4:$I$59,Projection!$B$4:$B$59,"&lt;"&amp;(Assumptions!$B$4+47))-SUMIFS(Commission_Models!$G$15:$G$70,Commission_Models!$A$15:$A$70,"&lt;"&amp;(Assumptions!$B$4+47)))-SUMIFS(Projection!$L$4:$L$59,Projection!$B$4:$B$59,"&lt;"&amp;(Assumptions!$B$4+47))-SUMIFS(Projection!$K$4:$K$59,Projection!$B$4:$B$59,"&lt;"&amp;(Assumptions!$B$4+47)))/Discount!C51</f>
        <v>11460.8100783297</v>
      </c>
      <c r="G172" s="1" t="n">
        <f aca="false">(SUMIFS(Projection!$L$4:$L$59,Projection!$B$4:$B$59,"&gt;="&amp;(Assumptions!$B$4+47))+$B$91*SUMIFS(Commission_Models!$G$15:$G$70,Commission_Models!$A$15:$A$70,"&gt;="&amp;(Assumptions!$B$4+47))-$B$91*SUMIFS(Projection!$I$4:$I$59,Projection!$B$4:$B$59,"&gt;="&amp;(Assumptions!$B$4+47))+SUMIFS(Projection!$K$4:$K$59,Projection!$B$4:$B$59,"&gt;="&amp;(Assumptions!$B$4+47)))/Discount!C51</f>
        <v>74.8181054390519</v>
      </c>
      <c r="H172" s="1" t="n">
        <f aca="false">F172-G172</f>
        <v>11385.9919728906</v>
      </c>
      <c r="I172" s="1" t="n">
        <f aca="false">IF(T172&lt;=0,0,MAX(0,(R172+S172-H172)/T172))</f>
        <v>0</v>
      </c>
      <c r="J172" s="1" t="n">
        <f aca="false">($B$92*(SUMIFS(Projection!$I$4:$I$59,Projection!$B$4:$B$59,"&lt;"&amp;(Assumptions!$B$4+47))-SUMIFS(Commission_Models!$G$15:$G$70,Commission_Models!$A$15:$A$70,"&lt;"&amp;(Assumptions!$B$4+47)))-SUMIFS(Projection!$L$4:$L$59,Projection!$B$4:$B$59,"&lt;"&amp;(Assumptions!$B$4+47))-SUMIFS(Projection!$K$4:$K$59,Projection!$B$4:$B$59,"&lt;"&amp;(Assumptions!$B$4+47)))/Discount!C51</f>
        <v>5700.8615540105</v>
      </c>
      <c r="K172" s="1" t="n">
        <f aca="false">(SUMIFS(Projection!$L$4:$L$59,Projection!$B$4:$B$59,"&gt;="&amp;(Assumptions!$B$4+47))+$B$92*SUMIFS(Commission_Models!$G$15:$G$70,Commission_Models!$A$15:$A$70,"&gt;="&amp;(Assumptions!$B$4+47))-$B$92*SUMIFS(Projection!$I$4:$I$59,Projection!$B$4:$B$59,"&gt;="&amp;(Assumptions!$B$4+47))+SUMIFS(Projection!$K$4:$K$59,Projection!$B$4:$B$59,"&gt;="&amp;(Assumptions!$B$4+47)))/Discount!C51</f>
        <v>74.8181054390519</v>
      </c>
      <c r="L172" s="1" t="n">
        <f aca="false">J172-K172</f>
        <v>5626.04344857145</v>
      </c>
      <c r="M172" s="1" t="n">
        <f aca="false">IF(T172&lt;=0,0,MAX(0,(R172+S172-L172)/T172))</f>
        <v>0</v>
      </c>
      <c r="N172" s="1" t="n">
        <f aca="false">($B$93*(SUMIFS(Projection!$I$4:$I$59,Projection!$B$4:$B$59,"&lt;"&amp;(Assumptions!$B$4+47))-SUMIFS(Commission_Models!$G$15:$G$70,Commission_Models!$A$15:$A$70,"&lt;"&amp;(Assumptions!$B$4+47)))-SUMIFS(Projection!$L$4:$L$59,Projection!$B$4:$B$59,"&lt;"&amp;(Assumptions!$B$4+47))-SUMIFS(Projection!$K$4:$K$59,Projection!$B$4:$B$59,"&lt;"&amp;(Assumptions!$B$4+47)))/Discount!C51</f>
        <v>74.8181054389917</v>
      </c>
      <c r="O172" s="1" t="n">
        <f aca="false">(SUMIFS(Projection!$L$4:$L$59,Projection!$B$4:$B$59,"&gt;="&amp;(Assumptions!$B$4+47))+$B$93*SUMIFS(Commission_Models!$G$15:$G$70,Commission_Models!$A$15:$A$70,"&gt;="&amp;(Assumptions!$B$4+47))-$B$93*SUMIFS(Projection!$I$4:$I$59,Projection!$B$4:$B$59,"&gt;="&amp;(Assumptions!$B$4+47))+SUMIFS(Projection!$K$4:$K$59,Projection!$B$4:$B$59,"&gt;="&amp;(Assumptions!$B$4+47)))/Discount!C51</f>
        <v>74.8181054390519</v>
      </c>
      <c r="P172" s="1" t="n">
        <f aca="false">N172-O172</f>
        <v>-6.02113914283109E-011</v>
      </c>
      <c r="Q172" s="1" t="n">
        <f aca="false">IF(T172&lt;=0,0,MAX(0,(R172+S172-P172)/T172))</f>
        <v>20288.1468838381</v>
      </c>
      <c r="R172" s="74" t="n">
        <f aca="false">RiskMargin!J51</f>
        <v>16.6293529360109</v>
      </c>
      <c r="S172" s="73" t="n">
        <f aca="false">RiskMargin!L51</f>
        <v>1.90984078260989</v>
      </c>
      <c r="T172" s="75" t="n">
        <f aca="false">Projection!F51</f>
        <v>0.000913794336408797</v>
      </c>
    </row>
    <row r="173" customFormat="false" ht="15" hidden="false" customHeight="true" outlineLevel="0" collapsed="false">
      <c r="A173" s="1" t="n">
        <v>48</v>
      </c>
      <c r="B173" s="1" t="n">
        <f aca="false">($B$90*(SUMIFS(Projection!$I$4:$I$59,Projection!$B$4:$B$59,"&lt;"&amp;(Assumptions!$B$4+48))-SUMIFS(Commission_Models!$G$15:$G$70,Commission_Models!$A$15:$A$70,"&lt;"&amp;(Assumptions!$B$4+48)))-SUMIFS(Projection!$L$4:$L$59,Projection!$B$4:$B$59,"&lt;"&amp;(Assumptions!$B$4+48))-SUMIFS(Projection!$K$4:$K$59,Projection!$B$4:$B$59,"&lt;"&amp;(Assumptions!$B$4+48)))/Discount!C52</f>
        <v>17895.0316070734</v>
      </c>
      <c r="C173" s="1" t="n">
        <f aca="false">(SUMIFS(Projection!$L$4:$L$59,Projection!$B$4:$B$59,"&gt;="&amp;(Assumptions!$B$4+48))+$B$90*SUMIFS(Commission_Models!$G$15:$G$70,Commission_Models!$A$15:$A$70,"&gt;="&amp;(Assumptions!$B$4+48))-$B$90*SUMIFS(Projection!$I$4:$I$59,Projection!$B$4:$B$59,"&gt;="&amp;(Assumptions!$B$4+48))+SUMIFS(Projection!$K$4:$K$59,Projection!$B$4:$B$59,"&gt;="&amp;(Assumptions!$B$4+48)))/Discount!C52</f>
        <v>38.7358092367186</v>
      </c>
      <c r="D173" s="1" t="n">
        <f aca="false">B173-C173</f>
        <v>17856.2957978367</v>
      </c>
      <c r="E173" s="1" t="n">
        <f aca="false">IF(T173&lt;=0,0,MAX(0,(R173+S173-D173)/T173))</f>
        <v>0</v>
      </c>
      <c r="F173" s="1" t="n">
        <f aca="false">($B$91*(SUMIFS(Projection!$I$4:$I$59,Projection!$B$4:$B$59,"&lt;"&amp;(Assumptions!$B$4+48))-SUMIFS(Commission_Models!$G$15:$G$70,Commission_Models!$A$15:$A$70,"&lt;"&amp;(Assumptions!$B$4+48)))-SUMIFS(Projection!$L$4:$L$59,Projection!$B$4:$B$59,"&lt;"&amp;(Assumptions!$B$4+48))-SUMIFS(Projection!$K$4:$K$59,Projection!$B$4:$B$59,"&lt;"&amp;(Assumptions!$B$4+48)))/Discount!C52</f>
        <v>11801.2675156812</v>
      </c>
      <c r="G173" s="1" t="n">
        <f aca="false">(SUMIFS(Projection!$L$4:$L$59,Projection!$B$4:$B$59,"&gt;="&amp;(Assumptions!$B$4+48))+$B$91*SUMIFS(Commission_Models!$G$15:$G$70,Commission_Models!$A$15:$A$70,"&gt;="&amp;(Assumptions!$B$4+48))-$B$91*SUMIFS(Projection!$I$4:$I$59,Projection!$B$4:$B$59,"&gt;="&amp;(Assumptions!$B$4+48))+SUMIFS(Projection!$K$4:$K$59,Projection!$B$4:$B$59,"&gt;="&amp;(Assumptions!$B$4+48)))/Discount!C52</f>
        <v>38.7358092367186</v>
      </c>
      <c r="H173" s="1" t="n">
        <f aca="false">F173-G173</f>
        <v>11762.5317064445</v>
      </c>
      <c r="I173" s="1" t="n">
        <f aca="false">IF(T173&lt;=0,0,MAX(0,(R173+S173-H173)/T173))</f>
        <v>0</v>
      </c>
      <c r="J173" s="1" t="n">
        <f aca="false">($B$92*(SUMIFS(Projection!$I$4:$I$59,Projection!$B$4:$B$59,"&lt;"&amp;(Assumptions!$B$4+48))-SUMIFS(Commission_Models!$G$15:$G$70,Commission_Models!$A$15:$A$70,"&lt;"&amp;(Assumptions!$B$4+48)))-SUMIFS(Projection!$L$4:$L$59,Projection!$B$4:$B$59,"&lt;"&amp;(Assumptions!$B$4+48))-SUMIFS(Projection!$K$4:$K$59,Projection!$B$4:$B$59,"&lt;"&amp;(Assumptions!$B$4+48)))/Discount!C52</f>
        <v>5850.8349748798</v>
      </c>
      <c r="K173" s="1" t="n">
        <f aca="false">(SUMIFS(Projection!$L$4:$L$59,Projection!$B$4:$B$59,"&gt;="&amp;(Assumptions!$B$4+48))+$B$92*SUMIFS(Commission_Models!$G$15:$G$70,Commission_Models!$A$15:$A$70,"&gt;="&amp;(Assumptions!$B$4+48))-$B$92*SUMIFS(Projection!$I$4:$I$59,Projection!$B$4:$B$59,"&gt;="&amp;(Assumptions!$B$4+48))+SUMIFS(Projection!$K$4:$K$59,Projection!$B$4:$B$59,"&gt;="&amp;(Assumptions!$B$4+48)))/Discount!C52</f>
        <v>38.7358092367186</v>
      </c>
      <c r="L173" s="1" t="n">
        <f aca="false">J173-K173</f>
        <v>5812.09916564308</v>
      </c>
      <c r="M173" s="1" t="n">
        <f aca="false">IF(T173&lt;=0,0,MAX(0,(R173+S173-L173)/T173))</f>
        <v>0</v>
      </c>
      <c r="N173" s="1" t="n">
        <f aca="false">($B$93*(SUMIFS(Projection!$I$4:$I$59,Projection!$B$4:$B$59,"&lt;"&amp;(Assumptions!$B$4+48))-SUMIFS(Commission_Models!$G$15:$G$70,Commission_Models!$A$15:$A$70,"&lt;"&amp;(Assumptions!$B$4+48)))-SUMIFS(Projection!$L$4:$L$59,Projection!$B$4:$B$59,"&lt;"&amp;(Assumptions!$B$4+48))-SUMIFS(Projection!$K$4:$K$59,Projection!$B$4:$B$59,"&lt;"&amp;(Assumptions!$B$4+48)))/Discount!C52</f>
        <v>38.7358092367391</v>
      </c>
      <c r="O173" s="1" t="n">
        <f aca="false">(SUMIFS(Projection!$L$4:$L$59,Projection!$B$4:$B$59,"&gt;="&amp;(Assumptions!$B$4+48))+$B$93*SUMIFS(Commission_Models!$G$15:$G$70,Commission_Models!$A$15:$A$70,"&gt;="&amp;(Assumptions!$B$4+48))-$B$93*SUMIFS(Projection!$I$4:$I$59,Projection!$B$4:$B$59,"&gt;="&amp;(Assumptions!$B$4+48))+SUMIFS(Projection!$K$4:$K$59,Projection!$B$4:$B$59,"&gt;="&amp;(Assumptions!$B$4+48)))/Discount!C52</f>
        <v>38.7358092367186</v>
      </c>
      <c r="P173" s="1" t="n">
        <f aca="false">N173-O173</f>
        <v>2.04778416446061E-011</v>
      </c>
      <c r="Q173" s="1" t="n">
        <f aca="false">IF(T173&lt;=0,0,MAX(0,(R173+S173-P173)/T173))</f>
        <v>19828.6880702532</v>
      </c>
      <c r="R173" s="73" t="n">
        <f aca="false">RiskMargin!J52</f>
        <v>8.55567104344096</v>
      </c>
      <c r="S173" s="73" t="n">
        <f aca="false">RiskMargin!L52</f>
        <v>0.942242477880193</v>
      </c>
      <c r="T173" s="75" t="n">
        <f aca="false">Projection!F52</f>
        <v>0.000478998584659233</v>
      </c>
    </row>
    <row r="174" customFormat="false" ht="15" hidden="false" customHeight="true" outlineLevel="0" collapsed="false">
      <c r="A174" s="1" t="n">
        <v>49</v>
      </c>
      <c r="B174" s="1" t="n">
        <f aca="false">($B$90*(SUMIFS(Projection!$I$4:$I$59,Projection!$B$4:$B$59,"&lt;"&amp;(Assumptions!$B$4+49))-SUMIFS(Commission_Models!$G$15:$G$70,Commission_Models!$A$15:$A$70,"&lt;"&amp;(Assumptions!$B$4+49)))-SUMIFS(Projection!$L$4:$L$59,Projection!$B$4:$B$59,"&lt;"&amp;(Assumptions!$B$4+49))-SUMIFS(Projection!$K$4:$K$59,Projection!$B$4:$B$59,"&lt;"&amp;(Assumptions!$B$4+49)))/Discount!C53</f>
        <v>18458.1628726039</v>
      </c>
      <c r="C174" s="1" t="n">
        <f aca="false">(SUMIFS(Projection!$L$4:$L$59,Projection!$B$4:$B$59,"&gt;="&amp;(Assumptions!$B$4+49))+$B$90*SUMIFS(Commission_Models!$G$15:$G$70,Commission_Models!$A$15:$A$70,"&gt;="&amp;(Assumptions!$B$4+49))-$B$90*SUMIFS(Projection!$I$4:$I$59,Projection!$B$4:$B$59,"&gt;="&amp;(Assumptions!$B$4+49))+SUMIFS(Projection!$K$4:$K$59,Projection!$B$4:$B$59,"&gt;="&amp;(Assumptions!$B$4+49)))/Discount!C53</f>
        <v>19.3926710020517</v>
      </c>
      <c r="D174" s="1" t="n">
        <f aca="false">B174-C174</f>
        <v>18438.7702016018</v>
      </c>
      <c r="E174" s="1" t="n">
        <f aca="false">IF(T174&lt;=0,0,MAX(0,(R174+S174-D174)/T174))</f>
        <v>0</v>
      </c>
      <c r="F174" s="1" t="n">
        <f aca="false">($B$91*(SUMIFS(Projection!$I$4:$I$59,Projection!$B$4:$B$59,"&lt;"&amp;(Assumptions!$B$4+49))-SUMIFS(Commission_Models!$G$15:$G$70,Commission_Models!$A$15:$A$70,"&lt;"&amp;(Assumptions!$B$4+49)))-SUMIFS(Projection!$L$4:$L$59,Projection!$B$4:$B$59,"&lt;"&amp;(Assumptions!$B$4+49))-SUMIFS(Projection!$K$4:$K$59,Projection!$B$4:$B$59,"&lt;"&amp;(Assumptions!$B$4+49)))/Discount!C53</f>
        <v>12165.6195021268</v>
      </c>
      <c r="G174" s="1" t="n">
        <f aca="false">(SUMIFS(Projection!$L$4:$L$59,Projection!$B$4:$B$59,"&gt;="&amp;(Assumptions!$B$4+49))+$B$91*SUMIFS(Commission_Models!$G$15:$G$70,Commission_Models!$A$15:$A$70,"&gt;="&amp;(Assumptions!$B$4+49))-$B$91*SUMIFS(Projection!$I$4:$I$59,Projection!$B$4:$B$59,"&gt;="&amp;(Assumptions!$B$4+49))+SUMIFS(Projection!$K$4:$K$59,Projection!$B$4:$B$59,"&gt;="&amp;(Assumptions!$B$4+49)))/Discount!C53</f>
        <v>19.3926710020517</v>
      </c>
      <c r="H174" s="1" t="n">
        <f aca="false">F174-G174</f>
        <v>12146.2268311248</v>
      </c>
      <c r="I174" s="1" t="n">
        <f aca="false">IF(T174&lt;=0,0,MAX(0,(R174+S174-H174)/T174))</f>
        <v>0</v>
      </c>
      <c r="J174" s="1" t="n">
        <f aca="false">($B$92*(SUMIFS(Projection!$I$4:$I$59,Projection!$B$4:$B$59,"&lt;"&amp;(Assumptions!$B$4+49))-SUMIFS(Commission_Models!$G$15:$G$70,Commission_Models!$A$15:$A$70,"&lt;"&amp;(Assumptions!$B$4+49)))-SUMIFS(Projection!$L$4:$L$59,Projection!$B$4:$B$59,"&lt;"&amp;(Assumptions!$B$4+49))-SUMIFS(Projection!$K$4:$K$59,Projection!$B$4:$B$59,"&lt;"&amp;(Assumptions!$B$4+49)))/Discount!C53</f>
        <v>6021.08317375442</v>
      </c>
      <c r="K174" s="1" t="n">
        <f aca="false">(SUMIFS(Projection!$L$4:$L$59,Projection!$B$4:$B$59,"&gt;="&amp;(Assumptions!$B$4+49))+$B$92*SUMIFS(Commission_Models!$G$15:$G$70,Commission_Models!$A$15:$A$70,"&gt;="&amp;(Assumptions!$B$4+49))-$B$92*SUMIFS(Projection!$I$4:$I$59,Projection!$B$4:$B$59,"&gt;="&amp;(Assumptions!$B$4+49))+SUMIFS(Projection!$K$4:$K$59,Projection!$B$4:$B$59,"&gt;="&amp;(Assumptions!$B$4+49)))/Discount!C53</f>
        <v>19.3926710020517</v>
      </c>
      <c r="L174" s="1" t="n">
        <f aca="false">J174-K174</f>
        <v>6001.69050275237</v>
      </c>
      <c r="M174" s="1" t="n">
        <f aca="false">IF(T174&lt;=0,0,MAX(0,(R174+S174-L174)/T174))</f>
        <v>0</v>
      </c>
      <c r="N174" s="1" t="n">
        <f aca="false">($B$93*(SUMIFS(Projection!$I$4:$I$59,Projection!$B$4:$B$59,"&lt;"&amp;(Assumptions!$B$4+49))-SUMIFS(Commission_Models!$G$15:$G$70,Commission_Models!$A$15:$A$70,"&lt;"&amp;(Assumptions!$B$4+49)))-SUMIFS(Projection!$L$4:$L$59,Projection!$B$4:$B$59,"&lt;"&amp;(Assumptions!$B$4+49))-SUMIFS(Projection!$K$4:$K$59,Projection!$B$4:$B$59,"&lt;"&amp;(Assumptions!$B$4+49)))/Discount!C53</f>
        <v>19.3926710019845</v>
      </c>
      <c r="O174" s="1" t="n">
        <f aca="false">(SUMIFS(Projection!$L$4:$L$59,Projection!$B$4:$B$59,"&gt;="&amp;(Assumptions!$B$4+49))+$B$93*SUMIFS(Commission_Models!$G$15:$G$70,Commission_Models!$A$15:$A$70,"&gt;="&amp;(Assumptions!$B$4+49))-$B$93*SUMIFS(Projection!$I$4:$I$59,Projection!$B$4:$B$59,"&gt;="&amp;(Assumptions!$B$4+49))+SUMIFS(Projection!$K$4:$K$59,Projection!$B$4:$B$59,"&gt;="&amp;(Assumptions!$B$4+49)))/Discount!C53</f>
        <v>19.3926710020517</v>
      </c>
      <c r="P174" s="1" t="n">
        <f aca="false">N174-O174</f>
        <v>-6.72280009439419E-011</v>
      </c>
      <c r="Q174" s="1" t="n">
        <f aca="false">IF(T174&lt;=0,0,MAX(0,(R174+S174-P174)/T174))</f>
        <v>19199.557584777</v>
      </c>
      <c r="R174" s="73" t="n">
        <f aca="false">RiskMargin!J53</f>
        <v>4.21734449125674</v>
      </c>
      <c r="S174" s="73" t="n">
        <f aca="false">RiskMargin!L53</f>
        <v>0.442893054412133</v>
      </c>
      <c r="T174" s="75" t="n">
        <f aca="false">Projection!F53</f>
        <v>0.000242726298517999</v>
      </c>
    </row>
    <row r="175" customFormat="false" ht="15" hidden="false" customHeight="true" outlineLevel="0" collapsed="false">
      <c r="A175" s="1" t="n">
        <v>50</v>
      </c>
      <c r="B175" s="1" t="n">
        <f aca="false">($B$90*(SUMIFS(Projection!$I$4:$I$59,Projection!$B$4:$B$59,"&lt;"&amp;(Assumptions!$B$4+50))-SUMIFS(Commission_Models!$G$15:$G$70,Commission_Models!$A$15:$A$70,"&lt;"&amp;(Assumptions!$B$4+50)))-SUMIFS(Projection!$L$4:$L$59,Projection!$B$4:$B$59,"&lt;"&amp;(Assumptions!$B$4+50))-SUMIFS(Projection!$K$4:$K$59,Projection!$B$4:$B$59,"&lt;"&amp;(Assumptions!$B$4+50)))/Discount!C54</f>
        <v>19059.2184291067</v>
      </c>
      <c r="C175" s="1" t="n">
        <f aca="false">(SUMIFS(Projection!$L$4:$L$59,Projection!$B$4:$B$59,"&gt;="&amp;(Assumptions!$B$4+50))+$B$90*SUMIFS(Commission_Models!$G$15:$G$70,Commission_Models!$A$15:$A$70,"&gt;="&amp;(Assumptions!$B$4+50))-$B$90*SUMIFS(Projection!$I$4:$I$59,Projection!$B$4:$B$59,"&gt;="&amp;(Assumptions!$B$4+50))+SUMIFS(Projection!$K$4:$K$59,Projection!$B$4:$B$59,"&gt;="&amp;(Assumptions!$B$4+50)))/Discount!C54</f>
        <v>9.37862665441879</v>
      </c>
      <c r="D175" s="1" t="n">
        <f aca="false">B175-C175</f>
        <v>19049.8398024523</v>
      </c>
      <c r="E175" s="1" t="n">
        <f aca="false">IF(T175&lt;=0,0,MAX(0,(R175+S175-D175)/T175))</f>
        <v>0</v>
      </c>
      <c r="F175" s="1" t="n">
        <f aca="false">($B$91*(SUMIFS(Projection!$I$4:$I$59,Projection!$B$4:$B$59,"&lt;"&amp;(Assumptions!$B$4+50))-SUMIFS(Commission_Models!$G$15:$G$70,Commission_Models!$A$15:$A$70,"&lt;"&amp;(Assumptions!$B$4+50)))-SUMIFS(Projection!$L$4:$L$59,Projection!$B$4:$B$59,"&lt;"&amp;(Assumptions!$B$4+50))-SUMIFS(Projection!$K$4:$K$59,Projection!$B$4:$B$59,"&lt;"&amp;(Assumptions!$B$4+50)))/Discount!C54</f>
        <v>12558.1371830724</v>
      </c>
      <c r="G175" s="1" t="n">
        <f aca="false">(SUMIFS(Projection!$L$4:$L$59,Projection!$B$4:$B$59,"&gt;="&amp;(Assumptions!$B$4+50))+$B$91*SUMIFS(Commission_Models!$G$15:$G$70,Commission_Models!$A$15:$A$70,"&gt;="&amp;(Assumptions!$B$4+50))-$B$91*SUMIFS(Projection!$I$4:$I$59,Projection!$B$4:$B$59,"&gt;="&amp;(Assumptions!$B$4+50))+SUMIFS(Projection!$K$4:$K$59,Projection!$B$4:$B$59,"&gt;="&amp;(Assumptions!$B$4+50)))/Discount!C54</f>
        <v>9.37862665441879</v>
      </c>
      <c r="H175" s="1" t="n">
        <f aca="false">F175-G175</f>
        <v>12548.758556418</v>
      </c>
      <c r="I175" s="1" t="n">
        <f aca="false">IF(T175&lt;=0,0,MAX(0,(R175+S175-H175)/T175))</f>
        <v>0</v>
      </c>
      <c r="J175" s="1" t="n">
        <f aca="false">($B$92*(SUMIFS(Projection!$I$4:$I$59,Projection!$B$4:$B$59,"&lt;"&amp;(Assumptions!$B$4+50))-SUMIFS(Commission_Models!$G$15:$G$70,Commission_Models!$A$15:$A$70,"&lt;"&amp;(Assumptions!$B$4+50)))-SUMIFS(Projection!$L$4:$L$59,Projection!$B$4:$B$59,"&lt;"&amp;(Assumptions!$B$4+50))-SUMIFS(Projection!$K$4:$K$59,Projection!$B$4:$B$59,"&lt;"&amp;(Assumptions!$B$4+50)))/Discount!C54</f>
        <v>6209.9680028049</v>
      </c>
      <c r="K175" s="1" t="n">
        <f aca="false">(SUMIFS(Projection!$L$4:$L$59,Projection!$B$4:$B$59,"&gt;="&amp;(Assumptions!$B$4+50))+$B$92*SUMIFS(Commission_Models!$G$15:$G$70,Commission_Models!$A$15:$A$70,"&gt;="&amp;(Assumptions!$B$4+50))-$B$92*SUMIFS(Projection!$I$4:$I$59,Projection!$B$4:$B$59,"&gt;="&amp;(Assumptions!$B$4+50))+SUMIFS(Projection!$K$4:$K$59,Projection!$B$4:$B$59,"&gt;="&amp;(Assumptions!$B$4+50)))/Discount!C54</f>
        <v>9.37862665441879</v>
      </c>
      <c r="L175" s="1" t="n">
        <f aca="false">J175-K175</f>
        <v>6200.58937615048</v>
      </c>
      <c r="M175" s="1" t="n">
        <f aca="false">IF(T175&lt;=0,0,MAX(0,(R175+S175-L175)/T175))</f>
        <v>0</v>
      </c>
      <c r="N175" s="1" t="n">
        <f aca="false">($B$93*(SUMIFS(Projection!$I$4:$I$59,Projection!$B$4:$B$59,"&lt;"&amp;(Assumptions!$B$4+50))-SUMIFS(Commission_Models!$G$15:$G$70,Commission_Models!$A$15:$A$70,"&lt;"&amp;(Assumptions!$B$4+50)))-SUMIFS(Projection!$L$4:$L$59,Projection!$B$4:$B$59,"&lt;"&amp;(Assumptions!$B$4+50))-SUMIFS(Projection!$K$4:$K$59,Projection!$B$4:$B$59,"&lt;"&amp;(Assumptions!$B$4+50)))/Discount!C54</f>
        <v>9.37862665436208</v>
      </c>
      <c r="O175" s="1" t="n">
        <f aca="false">(SUMIFS(Projection!$L$4:$L$59,Projection!$B$4:$B$59,"&gt;="&amp;(Assumptions!$B$4+50))+$B$93*SUMIFS(Commission_Models!$G$15:$G$70,Commission_Models!$A$15:$A$70,"&gt;="&amp;(Assumptions!$B$4+50))-$B$93*SUMIFS(Projection!$I$4:$I$59,Projection!$B$4:$B$59,"&gt;="&amp;(Assumptions!$B$4+50))+SUMIFS(Projection!$K$4:$K$59,Projection!$B$4:$B$59,"&gt;="&amp;(Assumptions!$B$4+50)))/Discount!C54</f>
        <v>9.37862665441879</v>
      </c>
      <c r="P175" s="1" t="n">
        <f aca="false">N175-O175</f>
        <v>-5.67084157410136E-011</v>
      </c>
      <c r="Q175" s="1" t="n">
        <f aca="false">IF(T175&lt;=0,0,MAX(0,(R175+S175-P175)/T175))</f>
        <v>18292.0029342606</v>
      </c>
      <c r="R175" s="73" t="n">
        <f aca="false">RiskMargin!J54</f>
        <v>1.9770576438495</v>
      </c>
      <c r="S175" s="73" t="n">
        <f aca="false">RiskMargin!L54</f>
        <v>0.196144183132344</v>
      </c>
      <c r="T175" s="75" t="n">
        <f aca="false">Projection!F54</f>
        <v>0.000118806116249204</v>
      </c>
    </row>
    <row r="176" customFormat="false" ht="15" hidden="false" customHeight="true" outlineLevel="0" collapsed="false">
      <c r="A176" s="1" t="n">
        <v>51</v>
      </c>
      <c r="B176" s="1" t="n">
        <f aca="false">($B$90*(SUMIFS(Projection!$I$4:$I$59,Projection!$B$4:$B$59,"&lt;"&amp;(Assumptions!$B$4+51))-SUMIFS(Commission_Models!$G$15:$G$70,Commission_Models!$A$15:$A$70,"&lt;"&amp;(Assumptions!$B$4+51)))-SUMIFS(Projection!$L$4:$L$59,Projection!$B$4:$B$59,"&lt;"&amp;(Assumptions!$B$4+51))-SUMIFS(Projection!$K$4:$K$59,Projection!$B$4:$B$59,"&lt;"&amp;(Assumptions!$B$4+51)))/Discount!C55</f>
        <v>19676.5672828303</v>
      </c>
      <c r="C176" s="1" t="n">
        <f aca="false">(SUMIFS(Projection!$L$4:$L$59,Projection!$B$4:$B$59,"&gt;="&amp;(Assumptions!$B$4+51))+$B$90*SUMIFS(Commission_Models!$G$15:$G$70,Commission_Models!$A$15:$A$70,"&gt;="&amp;(Assumptions!$B$4+51))-$B$90*SUMIFS(Projection!$I$4:$I$59,Projection!$B$4:$B$59,"&gt;="&amp;(Assumptions!$B$4+51))+SUMIFS(Projection!$K$4:$K$59,Projection!$B$4:$B$59,"&gt;="&amp;(Assumptions!$B$4+51)))/Discount!C55</f>
        <v>4.36686048288086</v>
      </c>
      <c r="D176" s="1" t="n">
        <f aca="false">B176-C176</f>
        <v>19672.2004223474</v>
      </c>
      <c r="E176" s="1" t="n">
        <f aca="false">IF(T176&lt;=0,0,MAX(0,(R176+S176-D176)/T176))</f>
        <v>0</v>
      </c>
      <c r="F176" s="1" t="n">
        <f aca="false">($B$91*(SUMIFS(Projection!$I$4:$I$59,Projection!$B$4:$B$59,"&lt;"&amp;(Assumptions!$B$4+51))-SUMIFS(Commission_Models!$G$15:$G$70,Commission_Models!$A$15:$A$70,"&lt;"&amp;(Assumptions!$B$4+51)))-SUMIFS(Projection!$L$4:$L$59,Projection!$B$4:$B$59,"&lt;"&amp;(Assumptions!$B$4+51))-SUMIFS(Projection!$K$4:$K$59,Projection!$B$4:$B$59,"&lt;"&amp;(Assumptions!$B$4+51)))/Discount!C55</f>
        <v>12963.0949092995</v>
      </c>
      <c r="G176" s="1" t="n">
        <f aca="false">(SUMIFS(Projection!$L$4:$L$59,Projection!$B$4:$B$59,"&gt;="&amp;(Assumptions!$B$4+51))+$B$91*SUMIFS(Commission_Models!$G$15:$G$70,Commission_Models!$A$15:$A$70,"&gt;="&amp;(Assumptions!$B$4+51))-$B$91*SUMIFS(Projection!$I$4:$I$59,Projection!$B$4:$B$59,"&gt;="&amp;(Assumptions!$B$4+51))+SUMIFS(Projection!$K$4:$K$59,Projection!$B$4:$B$59,"&gt;="&amp;(Assumptions!$B$4+51)))/Discount!C55</f>
        <v>4.36686048288086</v>
      </c>
      <c r="H176" s="1" t="n">
        <f aca="false">F176-G176</f>
        <v>12958.7280488166</v>
      </c>
      <c r="I176" s="1" t="n">
        <f aca="false">IF(T176&lt;=0,0,MAX(0,(R176+S176-H176)/T176))</f>
        <v>0</v>
      </c>
      <c r="J176" s="1" t="n">
        <f aca="false">($B$92*(SUMIFS(Projection!$I$4:$I$59,Projection!$B$4:$B$59,"&lt;"&amp;(Assumptions!$B$4+51))-SUMIFS(Commission_Models!$G$15:$G$70,Commission_Models!$A$15:$A$70,"&lt;"&amp;(Assumptions!$B$4+51)))-SUMIFS(Projection!$L$4:$L$59,Projection!$B$4:$B$59,"&lt;"&amp;(Assumptions!$B$4+51))-SUMIFS(Projection!$K$4:$K$59,Projection!$B$4:$B$59,"&lt;"&amp;(Assumptions!$B$4+51)))/Discount!C55</f>
        <v>6407.53025761597</v>
      </c>
      <c r="K176" s="1" t="n">
        <f aca="false">(SUMIFS(Projection!$L$4:$L$59,Projection!$B$4:$B$59,"&gt;="&amp;(Assumptions!$B$4+51))+$B$92*SUMIFS(Commission_Models!$G$15:$G$70,Commission_Models!$A$15:$A$70,"&gt;="&amp;(Assumptions!$B$4+51))-$B$92*SUMIFS(Projection!$I$4:$I$59,Projection!$B$4:$B$59,"&gt;="&amp;(Assumptions!$B$4+51))+SUMIFS(Projection!$K$4:$K$59,Projection!$B$4:$B$59,"&gt;="&amp;(Assumptions!$B$4+51)))/Discount!C55</f>
        <v>4.36686048288086</v>
      </c>
      <c r="L176" s="1" t="n">
        <f aca="false">J176-K176</f>
        <v>6403.16339713309</v>
      </c>
      <c r="M176" s="1" t="n">
        <f aca="false">IF(T176&lt;=0,0,MAX(0,(R176+S176-L176)/T176))</f>
        <v>0</v>
      </c>
      <c r="N176" s="1" t="n">
        <f aca="false">($B$93*(SUMIFS(Projection!$I$4:$I$59,Projection!$B$4:$B$59,"&lt;"&amp;(Assumptions!$B$4+51))-SUMIFS(Commission_Models!$G$15:$G$70,Commission_Models!$A$15:$A$70,"&lt;"&amp;(Assumptions!$B$4+51)))-SUMIFS(Projection!$L$4:$L$59,Projection!$B$4:$B$59,"&lt;"&amp;(Assumptions!$B$4+51))-SUMIFS(Projection!$K$4:$K$59,Projection!$B$4:$B$59,"&lt;"&amp;(Assumptions!$B$4+51)))/Discount!C55</f>
        <v>4.36686048291178</v>
      </c>
      <c r="O176" s="1" t="n">
        <f aca="false">(SUMIFS(Projection!$L$4:$L$59,Projection!$B$4:$B$59,"&gt;="&amp;(Assumptions!$B$4+51))+$B$93*SUMIFS(Commission_Models!$G$15:$G$70,Commission_Models!$A$15:$A$70,"&gt;="&amp;(Assumptions!$B$4+51))-$B$93*SUMIFS(Projection!$I$4:$I$59,Projection!$B$4:$B$59,"&gt;="&amp;(Assumptions!$B$4+51))+SUMIFS(Projection!$K$4:$K$59,Projection!$B$4:$B$59,"&gt;="&amp;(Assumptions!$B$4+51)))/Discount!C55</f>
        <v>4.36686048288086</v>
      </c>
      <c r="P176" s="1" t="n">
        <f aca="false">N176-O176</f>
        <v>3.09130498976629E-011</v>
      </c>
      <c r="Q176" s="1" t="n">
        <f aca="false">IF(T176&lt;=0,0,MAX(0,(R176+S176-P176)/T176))</f>
        <v>16872.5487544363</v>
      </c>
      <c r="R176" s="73" t="n">
        <f aca="false">RiskMargin!J55</f>
        <v>0.866942736813442</v>
      </c>
      <c r="S176" s="73" t="n">
        <f aca="false">RiskMargin!L55</f>
        <v>0.0800533361482794</v>
      </c>
      <c r="T176" s="75" t="n">
        <f aca="false">Projection!F55</f>
        <v>5.61264386734587E-005</v>
      </c>
    </row>
    <row r="177" customFormat="false" ht="15" hidden="false" customHeight="true" outlineLevel="0" collapsed="false">
      <c r="A177" s="1" t="n">
        <v>52</v>
      </c>
      <c r="B177" s="1" t="n">
        <f aca="false">($B$90*(SUMIFS(Projection!$I$4:$I$59,Projection!$B$4:$B$59,"&lt;"&amp;(Assumptions!$B$4+52))-SUMIFS(Commission_Models!$G$15:$G$70,Commission_Models!$A$15:$A$70,"&lt;"&amp;(Assumptions!$B$4+52)))-SUMIFS(Projection!$L$4:$L$59,Projection!$B$4:$B$59,"&lt;"&amp;(Assumptions!$B$4+52))-SUMIFS(Projection!$K$4:$K$59,Projection!$B$4:$B$59,"&lt;"&amp;(Assumptions!$B$4+52)))/Discount!C56</f>
        <v>20317.2340051</v>
      </c>
      <c r="C177" s="1" t="n">
        <f aca="false">(SUMIFS(Projection!$L$4:$L$59,Projection!$B$4:$B$59,"&gt;="&amp;(Assumptions!$B$4+52))+$B$90*SUMIFS(Commission_Models!$G$15:$G$70,Commission_Models!$A$15:$A$70,"&gt;="&amp;(Assumptions!$B$4+52))-$B$90*SUMIFS(Projection!$I$4:$I$59,Projection!$B$4:$B$59,"&gt;="&amp;(Assumptions!$B$4+52))+SUMIFS(Projection!$K$4:$K$59,Projection!$B$4:$B$59,"&gt;="&amp;(Assumptions!$B$4+52)))/Discount!C56</f>
        <v>1.94682330515196</v>
      </c>
      <c r="D177" s="1" t="n">
        <f aca="false">B177-C177</f>
        <v>20315.2871817948</v>
      </c>
      <c r="E177" s="1" t="n">
        <f aca="false">IF(T177&lt;=0,0,MAX(0,(R177+S177-D177)/T177))</f>
        <v>0</v>
      </c>
      <c r="F177" s="1" t="n">
        <f aca="false">($B$91*(SUMIFS(Projection!$I$4:$I$59,Projection!$B$4:$B$59,"&lt;"&amp;(Assumptions!$B$4+52))-SUMIFS(Commission_Models!$G$15:$G$70,Commission_Models!$A$15:$A$70,"&lt;"&amp;(Assumptions!$B$4+52)))-SUMIFS(Projection!$L$4:$L$59,Projection!$B$4:$B$59,"&lt;"&amp;(Assumptions!$B$4+52))-SUMIFS(Projection!$K$4:$K$59,Projection!$B$4:$B$59,"&lt;"&amp;(Assumptions!$B$4+52)))/Discount!C56</f>
        <v>13384.2973570781</v>
      </c>
      <c r="G177" s="1" t="n">
        <f aca="false">(SUMIFS(Projection!$L$4:$L$59,Projection!$B$4:$B$59,"&gt;="&amp;(Assumptions!$B$4+52))+$B$91*SUMIFS(Commission_Models!$G$15:$G$70,Commission_Models!$A$15:$A$70,"&gt;="&amp;(Assumptions!$B$4+52))-$B$91*SUMIFS(Projection!$I$4:$I$59,Projection!$B$4:$B$59,"&gt;="&amp;(Assumptions!$B$4+52))+SUMIFS(Projection!$K$4:$K$59,Projection!$B$4:$B$59,"&gt;="&amp;(Assumptions!$B$4+52)))/Discount!C56</f>
        <v>1.94682330515196</v>
      </c>
      <c r="H177" s="1" t="n">
        <f aca="false">F177-G177</f>
        <v>13382.3505337729</v>
      </c>
      <c r="I177" s="1" t="n">
        <f aca="false">IF(T177&lt;=0,0,MAX(0,(R177+S177-H177)/T177))</f>
        <v>0</v>
      </c>
      <c r="J177" s="1" t="n">
        <f aca="false">($B$92*(SUMIFS(Projection!$I$4:$I$59,Projection!$B$4:$B$59,"&lt;"&amp;(Assumptions!$B$4+52))-SUMIFS(Commission_Models!$G$15:$G$70,Commission_Models!$A$15:$A$70,"&lt;"&amp;(Assumptions!$B$4+52)))-SUMIFS(Projection!$L$4:$L$59,Projection!$B$4:$B$59,"&lt;"&amp;(Assumptions!$B$4+52))-SUMIFS(Projection!$K$4:$K$59,Projection!$B$4:$B$59,"&lt;"&amp;(Assumptions!$B$4+52)))/Discount!C56</f>
        <v>6614.43045461987</v>
      </c>
      <c r="K177" s="1" t="n">
        <f aca="false">(SUMIFS(Projection!$L$4:$L$59,Projection!$B$4:$B$59,"&gt;="&amp;(Assumptions!$B$4+52))+$B$92*SUMIFS(Commission_Models!$G$15:$G$70,Commission_Models!$A$15:$A$70,"&gt;="&amp;(Assumptions!$B$4+52))-$B$92*SUMIFS(Projection!$I$4:$I$59,Projection!$B$4:$B$59,"&gt;="&amp;(Assumptions!$B$4+52))+SUMIFS(Projection!$K$4:$K$59,Projection!$B$4:$B$59,"&gt;="&amp;(Assumptions!$B$4+52)))/Discount!C56</f>
        <v>1.94682330515196</v>
      </c>
      <c r="L177" s="1" t="n">
        <f aca="false">J177-K177</f>
        <v>6612.48363131472</v>
      </c>
      <c r="M177" s="1" t="n">
        <f aca="false">IF(T177&lt;=0,0,MAX(0,(R177+S177-L177)/T177))</f>
        <v>0</v>
      </c>
      <c r="N177" s="1" t="n">
        <f aca="false">($B$93*(SUMIFS(Projection!$I$4:$I$59,Projection!$B$4:$B$59,"&lt;"&amp;(Assumptions!$B$4+52))-SUMIFS(Commission_Models!$G$15:$G$70,Commission_Models!$A$15:$A$70,"&lt;"&amp;(Assumptions!$B$4+52)))-SUMIFS(Projection!$L$4:$L$59,Projection!$B$4:$B$59,"&lt;"&amp;(Assumptions!$B$4+52))-SUMIFS(Projection!$K$4:$K$59,Projection!$B$4:$B$59,"&lt;"&amp;(Assumptions!$B$4+52)))/Discount!C56</f>
        <v>1.94682330513191</v>
      </c>
      <c r="O177" s="1" t="n">
        <f aca="false">(SUMIFS(Projection!$L$4:$L$59,Projection!$B$4:$B$59,"&gt;="&amp;(Assumptions!$B$4+52))+$B$93*SUMIFS(Commission_Models!$G$15:$G$70,Commission_Models!$A$15:$A$70,"&gt;="&amp;(Assumptions!$B$4+52))-$B$93*SUMIFS(Projection!$I$4:$I$59,Projection!$B$4:$B$59,"&gt;="&amp;(Assumptions!$B$4+52))+SUMIFS(Projection!$K$4:$K$59,Projection!$B$4:$B$59,"&gt;="&amp;(Assumptions!$B$4+52)))/Discount!C56</f>
        <v>1.94682330515196</v>
      </c>
      <c r="P177" s="1" t="n">
        <f aca="false">N177-O177</f>
        <v>-2.00408578621136E-011</v>
      </c>
      <c r="Q177" s="1" t="n">
        <f aca="false">IF(T177&lt;=0,0,MAX(0,(R177+S177-P177)/T177))</f>
        <v>14617.4381803759</v>
      </c>
      <c r="R177" s="73" t="n">
        <f aca="false">RiskMargin!J56</f>
        <v>0.344871380463849</v>
      </c>
      <c r="S177" s="73" t="n">
        <f aca="false">RiskMargin!L56</f>
        <v>0.0289532976165618</v>
      </c>
      <c r="T177" s="75" t="n">
        <f aca="false">Projection!F56</f>
        <v>2.55738846634779E-005</v>
      </c>
    </row>
    <row r="178" customFormat="false" ht="15" hidden="false" customHeight="true" outlineLevel="0" collapsed="false">
      <c r="A178" s="1" t="n">
        <v>53</v>
      </c>
      <c r="B178" s="1" t="n">
        <f aca="false">($B$90*(SUMIFS(Projection!$I$4:$I$59,Projection!$B$4:$B$59,"&lt;"&amp;(Assumptions!$B$4+53))-SUMIFS(Commission_Models!$G$15:$G$70,Commission_Models!$A$15:$A$70,"&lt;"&amp;(Assumptions!$B$4+53)))-SUMIFS(Projection!$L$4:$L$59,Projection!$B$4:$B$59,"&lt;"&amp;(Assumptions!$B$4+53))-SUMIFS(Projection!$K$4:$K$59,Projection!$B$4:$B$59,"&lt;"&amp;(Assumptions!$B$4+53)))/Discount!C57</f>
        <v>20980.6222968226</v>
      </c>
      <c r="C178" s="1" t="n">
        <f aca="false">(SUMIFS(Projection!$L$4:$L$59,Projection!$B$4:$B$59,"&gt;="&amp;(Assumptions!$B$4+53))+$B$90*SUMIFS(Commission_Models!$G$15:$G$70,Commission_Models!$A$15:$A$70,"&gt;="&amp;(Assumptions!$B$4+53))-$B$90*SUMIFS(Projection!$I$4:$I$59,Projection!$B$4:$B$59,"&gt;="&amp;(Assumptions!$B$4+53))+SUMIFS(Projection!$K$4:$K$59,Projection!$B$4:$B$59,"&gt;="&amp;(Assumptions!$B$4+53)))/Discount!C57</f>
        <v>0.819358695652638</v>
      </c>
      <c r="D178" s="1" t="n">
        <f aca="false">B178-C178</f>
        <v>20979.8029381269</v>
      </c>
      <c r="E178" s="1" t="n">
        <f aca="false">IF(T178&lt;=0,0,MAX(0,(R178+S178-D178)/T178))</f>
        <v>0</v>
      </c>
      <c r="F178" s="1" t="n">
        <f aca="false">($B$91*(SUMIFS(Projection!$I$4:$I$59,Projection!$B$4:$B$59,"&lt;"&amp;(Assumptions!$B$4+53))-SUMIFS(Commission_Models!$G$15:$G$70,Commission_Models!$A$15:$A$70,"&lt;"&amp;(Assumptions!$B$4+53)))-SUMIFS(Projection!$L$4:$L$59,Projection!$B$4:$B$59,"&lt;"&amp;(Assumptions!$B$4+53))-SUMIFS(Projection!$K$4:$K$59,Projection!$B$4:$B$59,"&lt;"&amp;(Assumptions!$B$4+53)))/Discount!C57</f>
        <v>13820.9083653178</v>
      </c>
      <c r="G178" s="1" t="n">
        <f aca="false">(SUMIFS(Projection!$L$4:$L$59,Projection!$B$4:$B$59,"&gt;="&amp;(Assumptions!$B$4+53))+$B$91*SUMIFS(Commission_Models!$G$15:$G$70,Commission_Models!$A$15:$A$70,"&gt;="&amp;(Assumptions!$B$4+53))-$B$91*SUMIFS(Projection!$I$4:$I$59,Projection!$B$4:$B$59,"&gt;="&amp;(Assumptions!$B$4+53))+SUMIFS(Projection!$K$4:$K$59,Projection!$B$4:$B$59,"&gt;="&amp;(Assumptions!$B$4+53)))/Discount!C57</f>
        <v>0.819358695652638</v>
      </c>
      <c r="H178" s="1" t="n">
        <f aca="false">F178-G178</f>
        <v>13820.0890066221</v>
      </c>
      <c r="I178" s="1" t="n">
        <f aca="false">IF(T178&lt;=0,0,MAX(0,(R178+S178-H178)/T178))</f>
        <v>0</v>
      </c>
      <c r="J178" s="1" t="n">
        <f aca="false">($B$92*(SUMIFS(Projection!$I$4:$I$59,Projection!$B$4:$B$59,"&lt;"&amp;(Assumptions!$B$4+53))-SUMIFS(Commission_Models!$G$15:$G$70,Commission_Models!$A$15:$A$70,"&lt;"&amp;(Assumptions!$B$4+53)))-SUMIFS(Projection!$L$4:$L$59,Projection!$B$4:$B$59,"&lt;"&amp;(Assumptions!$B$4+53))-SUMIFS(Projection!$K$4:$K$59,Projection!$B$4:$B$59,"&lt;"&amp;(Assumptions!$B$4+53)))/Discount!C57</f>
        <v>6829.59821252807</v>
      </c>
      <c r="K178" s="1" t="n">
        <f aca="false">(SUMIFS(Projection!$L$4:$L$59,Projection!$B$4:$B$59,"&gt;="&amp;(Assumptions!$B$4+53))+$B$92*SUMIFS(Commission_Models!$G$15:$G$70,Commission_Models!$A$15:$A$70,"&gt;="&amp;(Assumptions!$B$4+53))-$B$92*SUMIFS(Projection!$I$4:$I$59,Projection!$B$4:$B$59,"&gt;="&amp;(Assumptions!$B$4+53))+SUMIFS(Projection!$K$4:$K$59,Projection!$B$4:$B$59,"&gt;="&amp;(Assumptions!$B$4+53)))/Discount!C57</f>
        <v>0.819358695652638</v>
      </c>
      <c r="L178" s="1" t="n">
        <f aca="false">J178-K178</f>
        <v>6828.77885383242</v>
      </c>
      <c r="M178" s="1" t="n">
        <f aca="false">IF(T178&lt;=0,0,MAX(0,(R178+S178-L178)/T178))</f>
        <v>0</v>
      </c>
      <c r="N178" s="1" t="n">
        <f aca="false">($B$93*(SUMIFS(Projection!$I$4:$I$59,Projection!$B$4:$B$59,"&lt;"&amp;(Assumptions!$B$4+53))-SUMIFS(Commission_Models!$G$15:$G$70,Commission_Models!$A$15:$A$70,"&lt;"&amp;(Assumptions!$B$4+53)))-SUMIFS(Projection!$L$4:$L$59,Projection!$B$4:$B$59,"&lt;"&amp;(Assumptions!$B$4+53))-SUMIFS(Projection!$K$4:$K$59,Projection!$B$4:$B$59,"&lt;"&amp;(Assumptions!$B$4+53)))/Discount!C57</f>
        <v>0.819358695674613</v>
      </c>
      <c r="O178" s="1" t="n">
        <f aca="false">(SUMIFS(Projection!$L$4:$L$59,Projection!$B$4:$B$59,"&gt;="&amp;(Assumptions!$B$4+53))+$B$93*SUMIFS(Commission_Models!$G$15:$G$70,Commission_Models!$A$15:$A$70,"&gt;="&amp;(Assumptions!$B$4+53))-$B$93*SUMIFS(Projection!$I$4:$I$59,Projection!$B$4:$B$59,"&gt;="&amp;(Assumptions!$B$4+53))+SUMIFS(Projection!$K$4:$K$59,Projection!$B$4:$B$59,"&gt;="&amp;(Assumptions!$B$4+53)))/Discount!C57</f>
        <v>0.819358695652638</v>
      </c>
      <c r="P178" s="1" t="n">
        <f aca="false">N178-O178</f>
        <v>2.19747553487082E-011</v>
      </c>
      <c r="Q178" s="1" t="n">
        <f aca="false">IF(T178&lt;=0,0,MAX(0,(R178+S178-P178)/T178))</f>
        <v>11080.9341475606</v>
      </c>
      <c r="R178" s="73" t="n">
        <f aca="false">RiskMargin!J57</f>
        <v>0.115927255075471</v>
      </c>
      <c r="S178" s="73" t="n">
        <f aca="false">RiskMargin!L57</f>
        <v>0.00853123368552913</v>
      </c>
      <c r="T178" s="75" t="n">
        <f aca="false">Projection!F57</f>
        <v>1.12317686470886E-005</v>
      </c>
    </row>
    <row r="179" customFormat="false" ht="15" hidden="false" customHeight="true" outlineLevel="0" collapsed="false">
      <c r="A179" s="1" t="n">
        <v>54</v>
      </c>
      <c r="B179" s="1" t="n">
        <f aca="false">($B$90*(SUMIFS(Projection!$I$4:$I$59,Projection!$B$4:$B$59,"&lt;"&amp;(Assumptions!$B$4+54))-SUMIFS(Commission_Models!$G$15:$G$70,Commission_Models!$A$15:$A$70,"&lt;"&amp;(Assumptions!$B$4+54)))-SUMIFS(Projection!$L$4:$L$59,Projection!$B$4:$B$59,"&lt;"&amp;(Assumptions!$B$4+54))-SUMIFS(Projection!$K$4:$K$59,Projection!$B$4:$B$59,"&lt;"&amp;(Assumptions!$B$4+54)))/Discount!C58</f>
        <v>21678.125331845</v>
      </c>
      <c r="C179" s="1" t="n">
        <f aca="false">(SUMIFS(Projection!$L$4:$L$59,Projection!$B$4:$B$59,"&gt;="&amp;(Assumptions!$B$4+54))+$B$90*SUMIFS(Commission_Models!$G$15:$G$70,Commission_Models!$A$15:$A$70,"&gt;="&amp;(Assumptions!$B$4+54))-$B$90*SUMIFS(Projection!$I$4:$I$59,Projection!$B$4:$B$59,"&gt;="&amp;(Assumptions!$B$4+54))+SUMIFS(Projection!$K$4:$K$59,Projection!$B$4:$B$59,"&gt;="&amp;(Assumptions!$B$4+54)))/Discount!C58</f>
        <v>0.31271172790399</v>
      </c>
      <c r="D179" s="1" t="n">
        <f aca="false">B179-C179</f>
        <v>21677.8126201171</v>
      </c>
      <c r="E179" s="1" t="n">
        <f aca="false">IF(T179&lt;=0,0,MAX(0,(R179+S179-D179)/T179))</f>
        <v>0</v>
      </c>
      <c r="F179" s="1" t="n">
        <f aca="false">($B$91*(SUMIFS(Projection!$I$4:$I$59,Projection!$B$4:$B$59,"&lt;"&amp;(Assumptions!$B$4+54))-SUMIFS(Commission_Models!$G$15:$G$70,Commission_Models!$A$15:$A$70,"&lt;"&amp;(Assumptions!$B$4+54)))-SUMIFS(Projection!$L$4:$L$59,Projection!$B$4:$B$59,"&lt;"&amp;(Assumptions!$B$4+54))-SUMIFS(Projection!$K$4:$K$59,Projection!$B$4:$B$59,"&lt;"&amp;(Assumptions!$B$4+54)))/Discount!C58</f>
        <v>14280.2037460925</v>
      </c>
      <c r="G179" s="1" t="n">
        <f aca="false">(SUMIFS(Projection!$L$4:$L$59,Projection!$B$4:$B$59,"&gt;="&amp;(Assumptions!$B$4+54))+$B$91*SUMIFS(Commission_Models!$G$15:$G$70,Commission_Models!$A$15:$A$70,"&gt;="&amp;(Assumptions!$B$4+54))-$B$91*SUMIFS(Projection!$I$4:$I$59,Projection!$B$4:$B$59,"&gt;="&amp;(Assumptions!$B$4+54))+SUMIFS(Projection!$K$4:$K$59,Projection!$B$4:$B$59,"&gt;="&amp;(Assumptions!$B$4+54)))/Discount!C58</f>
        <v>0.31271172790399</v>
      </c>
      <c r="H179" s="1" t="n">
        <f aca="false">F179-G179</f>
        <v>14279.8910343646</v>
      </c>
      <c r="I179" s="1" t="n">
        <f aca="false">IF(T179&lt;=0,0,MAX(0,(R179+S179-H179)/T179))</f>
        <v>0</v>
      </c>
      <c r="J179" s="1" t="n">
        <f aca="false">($B$92*(SUMIFS(Projection!$I$4:$I$59,Projection!$B$4:$B$59,"&lt;"&amp;(Assumptions!$B$4+54))-SUMIFS(Commission_Models!$G$15:$G$70,Commission_Models!$A$15:$A$70,"&lt;"&amp;(Assumptions!$B$4+54)))-SUMIFS(Projection!$L$4:$L$59,Projection!$B$4:$B$59,"&lt;"&amp;(Assumptions!$B$4+54))-SUMIFS(Projection!$K$4:$K$59,Projection!$B$4:$B$59,"&lt;"&amp;(Assumptions!$B$4+54)))/Discount!C58</f>
        <v>7056.28882619246</v>
      </c>
      <c r="K179" s="1" t="n">
        <f aca="false">(SUMIFS(Projection!$L$4:$L$59,Projection!$B$4:$B$59,"&gt;="&amp;(Assumptions!$B$4+54))+$B$92*SUMIFS(Commission_Models!$G$15:$G$70,Commission_Models!$A$15:$A$70,"&gt;="&amp;(Assumptions!$B$4+54))-$B$92*SUMIFS(Projection!$I$4:$I$59,Projection!$B$4:$B$59,"&gt;="&amp;(Assumptions!$B$4+54))+SUMIFS(Projection!$K$4:$K$59,Projection!$B$4:$B$59,"&gt;="&amp;(Assumptions!$B$4+54)))/Discount!C58</f>
        <v>0.31271172790399</v>
      </c>
      <c r="L179" s="1" t="n">
        <f aca="false">J179-K179</f>
        <v>7055.97611446456</v>
      </c>
      <c r="M179" s="1" t="n">
        <f aca="false">IF(T179&lt;=0,0,MAX(0,(R179+S179-L179)/T179))</f>
        <v>0</v>
      </c>
      <c r="N179" s="1" t="n">
        <f aca="false">($B$93*(SUMIFS(Projection!$I$4:$I$59,Projection!$B$4:$B$59,"&lt;"&amp;(Assumptions!$B$4+54))-SUMIFS(Commission_Models!$G$15:$G$70,Commission_Models!$A$15:$A$70,"&lt;"&amp;(Assumptions!$B$4+54)))-SUMIFS(Projection!$L$4:$L$59,Projection!$B$4:$B$59,"&lt;"&amp;(Assumptions!$B$4+54))-SUMIFS(Projection!$K$4:$K$59,Projection!$B$4:$B$59,"&lt;"&amp;(Assumptions!$B$4+54)))/Discount!C58</f>
        <v>0.31271172791565</v>
      </c>
      <c r="O179" s="1" t="n">
        <f aca="false">(SUMIFS(Projection!$L$4:$L$59,Projection!$B$4:$B$59,"&gt;="&amp;(Assumptions!$B$4+54))+$B$93*SUMIFS(Commission_Models!$G$15:$G$70,Commission_Models!$A$15:$A$70,"&gt;="&amp;(Assumptions!$B$4+54))-$B$93*SUMIFS(Projection!$I$4:$I$59,Projection!$B$4:$B$59,"&gt;="&amp;(Assumptions!$B$4+54))+SUMIFS(Projection!$K$4:$K$59,Projection!$B$4:$B$59,"&gt;="&amp;(Assumptions!$B$4+54)))/Discount!C58</f>
        <v>0.31271172790399</v>
      </c>
      <c r="P179" s="1" t="n">
        <f aca="false">N179-O179</f>
        <v>1.16601173161257E-011</v>
      </c>
      <c r="Q179" s="1" t="n">
        <f aca="false">IF(T179&lt;=0,0,MAX(0,(R179+S179-P179)/T179))</f>
        <v>5942.37535163044</v>
      </c>
      <c r="R179" s="73" t="n">
        <f aca="false">RiskMargin!J58</f>
        <v>0.0266099057336336</v>
      </c>
      <c r="S179" s="73" t="n">
        <f aca="false">RiskMargin!L58</f>
        <v>0.00162801941317691</v>
      </c>
      <c r="T179" s="75" t="n">
        <f aca="false">Projection!F58</f>
        <v>4.75195918537906E-006</v>
      </c>
    </row>
    <row r="180" customFormat="false" ht="15" hidden="false" customHeight="true" outlineLevel="0" collapsed="false">
      <c r="A180" s="1" t="n">
        <v>55</v>
      </c>
      <c r="B180" s="1" t="n">
        <f aca="false">($B$90*(SUMIFS(Projection!$I$4:$I$59,Projection!$B$4:$B$59,"&lt;"&amp;(Assumptions!$B$4+55))-SUMIFS(Commission_Models!$G$15:$G$70,Commission_Models!$A$15:$A$70,"&lt;"&amp;(Assumptions!$B$4+55)))-SUMIFS(Projection!$L$4:$L$59,Projection!$B$4:$B$59,"&lt;"&amp;(Assumptions!$B$4+55))-SUMIFS(Projection!$K$4:$K$59,Projection!$B$4:$B$59,"&lt;"&amp;(Assumptions!$B$4+55)))/Discount!C59</f>
        <v>22388.0735389811</v>
      </c>
      <c r="C180" s="1" t="n">
        <f aca="false">(SUMIFS(Projection!$L$4:$L$59,Projection!$B$4:$B$59,"&gt;="&amp;(Assumptions!$B$4+55))+$B$90*SUMIFS(Commission_Models!$G$15:$G$70,Commission_Models!$A$15:$A$70,"&gt;="&amp;(Assumptions!$B$4+55))-$B$90*SUMIFS(Projection!$I$4:$I$59,Projection!$B$4:$B$59,"&gt;="&amp;(Assumptions!$B$4+55))+SUMIFS(Projection!$K$4:$K$59,Projection!$B$4:$B$59,"&gt;="&amp;(Assumptions!$B$4+55)))/Discount!C59</f>
        <v>0.0926581936276291</v>
      </c>
      <c r="D180" s="1" t="n">
        <f aca="false">B180-C180</f>
        <v>22387.9808807875</v>
      </c>
      <c r="E180" s="1" t="n">
        <f aca="false">IF(T180&lt;=0,0,MAX(0,(R180+S180-D180)/T180))</f>
        <v>0</v>
      </c>
      <c r="F180" s="1" t="n">
        <f aca="false">($B$91*(SUMIFS(Projection!$I$4:$I$59,Projection!$B$4:$B$59,"&lt;"&amp;(Assumptions!$B$4+55))-SUMIFS(Commission_Models!$G$15:$G$70,Commission_Models!$A$15:$A$70,"&lt;"&amp;(Assumptions!$B$4+55)))-SUMIFS(Projection!$L$4:$L$59,Projection!$B$4:$B$59,"&lt;"&amp;(Assumptions!$B$4+55))-SUMIFS(Projection!$K$4:$K$59,Projection!$B$4:$B$59,"&lt;"&amp;(Assumptions!$B$4+55)))/Discount!C59</f>
        <v>14747.7949775873</v>
      </c>
      <c r="G180" s="1" t="n">
        <f aca="false">(SUMIFS(Projection!$L$4:$L$59,Projection!$B$4:$B$59,"&gt;="&amp;(Assumptions!$B$4+55))+$B$91*SUMIFS(Commission_Models!$G$15:$G$70,Commission_Models!$A$15:$A$70,"&gt;="&amp;(Assumptions!$B$4+55))-$B$91*SUMIFS(Projection!$I$4:$I$59,Projection!$B$4:$B$59,"&gt;="&amp;(Assumptions!$B$4+55))+SUMIFS(Projection!$K$4:$K$59,Projection!$B$4:$B$59,"&gt;="&amp;(Assumptions!$B$4+55)))/Discount!C59</f>
        <v>0.0926581936276291</v>
      </c>
      <c r="H180" s="1" t="n">
        <f aca="false">F180-G180</f>
        <v>14747.7023193937</v>
      </c>
      <c r="I180" s="1" t="n">
        <f aca="false">IF(T180&lt;=0,0,MAX(0,(R180+S180-H180)/T180))</f>
        <v>0</v>
      </c>
      <c r="J180" s="1" t="n">
        <f aca="false">($B$92*(SUMIFS(Projection!$I$4:$I$59,Projection!$B$4:$B$59,"&lt;"&amp;(Assumptions!$B$4+55))-SUMIFS(Commission_Models!$G$15:$G$70,Commission_Models!$A$15:$A$70,"&lt;"&amp;(Assumptions!$B$4+55)))-SUMIFS(Projection!$L$4:$L$59,Projection!$B$4:$B$59,"&lt;"&amp;(Assumptions!$B$4+55))-SUMIFS(Projection!$K$4:$K$59,Projection!$B$4:$B$59,"&lt;"&amp;(Assumptions!$B$4+55)))/Discount!C59</f>
        <v>7287.22356545728</v>
      </c>
      <c r="K180" s="1" t="n">
        <f aca="false">(SUMIFS(Projection!$L$4:$L$59,Projection!$B$4:$B$59,"&gt;="&amp;(Assumptions!$B$4+55))+$B$92*SUMIFS(Commission_Models!$G$15:$G$70,Commission_Models!$A$15:$A$70,"&gt;="&amp;(Assumptions!$B$4+55))-$B$92*SUMIFS(Projection!$I$4:$I$59,Projection!$B$4:$B$59,"&gt;="&amp;(Assumptions!$B$4+55))+SUMIFS(Projection!$K$4:$K$59,Projection!$B$4:$B$59,"&gt;="&amp;(Assumptions!$B$4+55)))/Discount!C59</f>
        <v>0.0926581936276291</v>
      </c>
      <c r="L180" s="1" t="n">
        <f aca="false">J180-K180</f>
        <v>7287.13090726365</v>
      </c>
      <c r="M180" s="1" t="n">
        <f aca="false">IF(T180&lt;=0,0,MAX(0,(R180+S180-L180)/T180))</f>
        <v>0</v>
      </c>
      <c r="N180" s="1" t="n">
        <f aca="false">($B$93*(SUMIFS(Projection!$I$4:$I$59,Projection!$B$4:$B$59,"&lt;"&amp;(Assumptions!$B$4+55))-SUMIFS(Commission_Models!$G$15:$G$70,Commission_Models!$A$15:$A$70,"&lt;"&amp;(Assumptions!$B$4+55)))-SUMIFS(Projection!$L$4:$L$59,Projection!$B$4:$B$59,"&lt;"&amp;(Assumptions!$B$4+55))-SUMIFS(Projection!$K$4:$K$59,Projection!$B$4:$B$59,"&lt;"&amp;(Assumptions!$B$4+55)))/Discount!C59</f>
        <v>0.0926581935931872</v>
      </c>
      <c r="O180" s="1" t="n">
        <f aca="false">(SUMIFS(Projection!$L$4:$L$59,Projection!$B$4:$B$59,"&gt;="&amp;(Assumptions!$B$4+55))+$B$93*SUMIFS(Commission_Models!$G$15:$G$70,Commission_Models!$A$15:$A$70,"&gt;="&amp;(Assumptions!$B$4+55))-$B$93*SUMIFS(Projection!$I$4:$I$59,Projection!$B$4:$B$59,"&gt;="&amp;(Assumptions!$B$4+55))+SUMIFS(Projection!$K$4:$K$59,Projection!$B$4:$B$59,"&gt;="&amp;(Assumptions!$B$4+55)))/Discount!C59</f>
        <v>0.0926581936276291</v>
      </c>
      <c r="P180" s="1" t="n">
        <f aca="false">N180-O180</f>
        <v>-3.44419215370095E-011</v>
      </c>
      <c r="Q180" s="1" t="n">
        <f aca="false">IF(T180&lt;=0,0,MAX(0,(R180+S180-P180)/T180))</f>
        <v>296.195756779991</v>
      </c>
      <c r="R180" s="75" t="n">
        <f aca="false">RiskMargin!J59</f>
        <v>0.00054090931577197</v>
      </c>
      <c r="S180" s="75" t="n">
        <f aca="false">RiskMargin!L59</f>
        <v>3.24545589463182E-005</v>
      </c>
      <c r="T180" s="75" t="n">
        <f aca="false">Projection!F59</f>
        <v>1.93576003719086E-006</v>
      </c>
    </row>
    <row r="182" customFormat="false" ht="15" hidden="false" customHeight="true" outlineLevel="0" collapsed="false">
      <c r="A182" s="1" t="s">
        <v>1892</v>
      </c>
    </row>
    <row r="183" customFormat="false" ht="15" hidden="false" customHeight="true" outlineLevel="0" collapsed="false">
      <c r="A183" s="1" t="s">
        <v>1893</v>
      </c>
      <c r="B183" s="1" t="n">
        <f aca="false">MAX(E125:E180)</f>
        <v>36779.6909834718</v>
      </c>
    </row>
    <row r="184" customFormat="false" ht="15" hidden="false" customHeight="true" outlineLevel="0" collapsed="false">
      <c r="A184" s="1" t="s">
        <v>1894</v>
      </c>
      <c r="B184" s="74" t="n">
        <f aca="false">Trajectory!$B$164</f>
        <v>36779.6909834719</v>
      </c>
    </row>
    <row r="185" customFormat="false" ht="15" hidden="false" customHeight="true" outlineLevel="0" collapsed="false">
      <c r="A185" s="1" t="s">
        <v>796</v>
      </c>
      <c r="B185" s="1" t="n">
        <f aca="false">B183-B184</f>
        <v>0</v>
      </c>
    </row>
    <row r="186" customFormat="false" ht="15" hidden="false" customHeight="true" outlineLevel="0" collapsed="false">
      <c r="A186" s="1" t="s">
        <v>1147</v>
      </c>
      <c r="B186" s="1" t="str">
        <f aca="false">IF(ABS(B185)&lt;0.01,"PASS — the control column reproduces the annual requirement, so the margin columns beside it are on the same basis","FAIL — the control does not reproduce the annual requirement")</f>
        <v>PASS — the control column reproduces the annual requirement, so the margin columns beside it are on the same basis</v>
      </c>
    </row>
    <row r="188" customFormat="false" ht="15" hidden="false" customHeight="true" outlineLevel="0" collapsed="false">
      <c r="A188" s="1" t="s">
        <v>1895</v>
      </c>
    </row>
    <row r="189" customFormat="false" ht="15" hidden="false" customHeight="true" outlineLevel="0" collapsed="false">
      <c r="A189" s="1" t="s">
        <v>1896</v>
      </c>
      <c r="B189" s="1" t="n">
        <f aca="false">MAX(ABS(D125-OwnFunds_SCR!B7),ABS(D130-OwnFunds_SCR!C7),ABS(D135-OwnFunds_SCR!D7),ABS(D140-OwnFunds_SCR!E7),ABS(D145-OwnFunds_SCR!F7))</f>
        <v>2.91038304567337E-011</v>
      </c>
    </row>
    <row r="190" customFormat="false" ht="15" hidden="false" customHeight="true" outlineLevel="0" collapsed="false">
      <c r="A190" s="1" t="s">
        <v>1147</v>
      </c>
      <c r="B190" s="1" t="str">
        <f aca="false">IF(B189&lt;0.000001,"PASS — own funds reproduce the published trajectory at all five dates, so the profile is the same construction","FAIL")</f>
        <v>PASS — own funds reproduce the published trajectory at all five dates, so the profile is the same construction</v>
      </c>
    </row>
    <row r="200" customFormat="false" ht="15" hidden="false" customHeight="true" outlineLevel="0" collapsed="false">
      <c r="A200" s="1" t="s">
        <v>1897</v>
      </c>
    </row>
    <row r="201" customFormat="false" ht="15" hidden="false" customHeight="true" outlineLevel="0" collapsed="false">
      <c r="A201" s="1" t="s">
        <v>1898</v>
      </c>
    </row>
    <row r="202" customFormat="false" ht="15" hidden="false" customHeight="true" outlineLevel="0" collapsed="false">
      <c r="A202" s="1" t="s">
        <v>1899</v>
      </c>
    </row>
    <row r="203" customFormat="false" ht="15" hidden="false" customHeight="true" outlineLevel="0" collapsed="false">
      <c r="A203" s="1" t="s">
        <v>611</v>
      </c>
      <c r="B203" s="1" t="s">
        <v>1900</v>
      </c>
      <c r="C203" s="1" t="s">
        <v>1901</v>
      </c>
    </row>
    <row r="204" customFormat="false" ht="15" hidden="false" customHeight="true" outlineLevel="0" collapsed="false">
      <c r="A204" s="1" t="n">
        <f aca="false">Trajectory!A106</f>
        <v>0</v>
      </c>
      <c r="B204" s="1" t="n">
        <f aca="false">IF(Trajectory!F106&lt;=0,0,MAX(0,(Trajectory!D106+Trajectory!E106*($B$30/$B$29)-Trajectory!C106)/Trajectory!F106))</f>
        <v>29180.478922932</v>
      </c>
      <c r="C204" s="1" t="n">
        <f aca="false">IF(Trajectory!F106&lt;=0,0,MAX(0,(Trajectory!D106+Trajectory!E106-Trajectory!C106)/Trajectory!F106))</f>
        <v>33507.0320180323</v>
      </c>
    </row>
    <row r="205" customFormat="false" ht="15" hidden="false" customHeight="true" outlineLevel="0" collapsed="false">
      <c r="A205" s="1" t="n">
        <f aca="false">Trajectory!A107</f>
        <v>1</v>
      </c>
      <c r="B205" s="1" t="n">
        <f aca="false">IF(Trajectory!F107&lt;=0,0,MAX(0,(Trajectory!D107+Trajectory!E107*($B$30/$B$29)-Trajectory!C107)/Trajectory!F107))</f>
        <v>30497.1127792191</v>
      </c>
      <c r="C205" s="1" t="n">
        <f aca="false">IF(Trajectory!F107&lt;=0,0,MAX(0,(Trajectory!D107+Trajectory!E107-Trajectory!C107)/Trajectory!F107))</f>
        <v>34924.1602283806</v>
      </c>
    </row>
    <row r="206" customFormat="false" ht="15" hidden="false" customHeight="true" outlineLevel="0" collapsed="false">
      <c r="A206" s="1" t="n">
        <f aca="false">Trajectory!A108</f>
        <v>2</v>
      </c>
      <c r="B206" s="1" t="n">
        <f aca="false">IF(Trajectory!F108&lt;=0,0,MAX(0,(Trajectory!D108+Trajectory!E108*($B$30/$B$29)-Trajectory!C108)/Trajectory!F108))</f>
        <v>31186.5596465388</v>
      </c>
      <c r="C206" s="1" t="n">
        <f aca="false">IF(Trajectory!F108&lt;=0,0,MAX(0,(Trajectory!D108+Trajectory!E108-Trajectory!C108)/Trajectory!F108))</f>
        <v>35622.4800804893</v>
      </c>
    </row>
    <row r="207" customFormat="false" ht="15" hidden="false" customHeight="true" outlineLevel="0" collapsed="false">
      <c r="A207" s="1" t="n">
        <f aca="false">Trajectory!A109</f>
        <v>3</v>
      </c>
      <c r="B207" s="1" t="n">
        <f aca="false">IF(Trajectory!F109&lt;=0,0,MAX(0,(Trajectory!D109+Trajectory!E109*($B$30/$B$29)-Trajectory!C109)/Trajectory!F109))</f>
        <v>31570.2529569476</v>
      </c>
      <c r="C207" s="1" t="n">
        <f aca="false">IF(Trajectory!F109&lt;=0,0,MAX(0,(Trajectory!D109+Trajectory!E109-Trajectory!C109)/Trajectory!F109))</f>
        <v>35966.8389814298</v>
      </c>
    </row>
    <row r="208" customFormat="false" ht="15" hidden="false" customHeight="true" outlineLevel="0" collapsed="false">
      <c r="A208" s="1" t="n">
        <f aca="false">Trajectory!A110</f>
        <v>4</v>
      </c>
      <c r="B208" s="1" t="n">
        <f aca="false">IF(Trajectory!F110&lt;=0,0,MAX(0,(Trajectory!D110+Trajectory!E110*($B$30/$B$29)-Trajectory!C110)/Trajectory!F110))</f>
        <v>31905.6611216623</v>
      </c>
      <c r="C208" s="1" t="n">
        <f aca="false">IF(Trajectory!F110&lt;=0,0,MAX(0,(Trajectory!D110+Trajectory!E110-Trajectory!C110)/Trajectory!F110))</f>
        <v>36256.205951134</v>
      </c>
    </row>
    <row r="209" customFormat="false" ht="15" hidden="false" customHeight="true" outlineLevel="0" collapsed="false">
      <c r="A209" s="1" t="n">
        <f aca="false">Trajectory!A111</f>
        <v>5</v>
      </c>
      <c r="B209" s="1" t="n">
        <f aca="false">IF(Trajectory!F111&lt;=0,0,MAX(0,(Trajectory!D111+Trajectory!E111*($B$30/$B$29)-Trajectory!C111)/Trajectory!F111))</f>
        <v>32213.4660525891</v>
      </c>
      <c r="C209" s="1" t="n">
        <f aca="false">IF(Trajectory!F111&lt;=0,0,MAX(0,(Trajectory!D111+Trajectory!E111-Trajectory!C111)/Trajectory!F111))</f>
        <v>36514.5094260948</v>
      </c>
    </row>
    <row r="210" customFormat="false" ht="15" hidden="false" customHeight="true" outlineLevel="0" collapsed="false">
      <c r="A210" s="1" t="n">
        <f aca="false">Trajectory!A112</f>
        <v>6</v>
      </c>
      <c r="B210" s="1" t="n">
        <f aca="false">IF(Trajectory!F112&lt;=0,0,MAX(0,(Trajectory!D112+Trajectory!E112*($B$30/$B$29)-Trajectory!C112)/Trajectory!F112))</f>
        <v>32409.809092492</v>
      </c>
      <c r="C210" s="1" t="n">
        <f aca="false">IF(Trajectory!F112&lt;=0,0,MAX(0,(Trajectory!D112+Trajectory!E112-Trajectory!C112)/Trajectory!F112))</f>
        <v>36639.4880084469</v>
      </c>
    </row>
    <row r="211" customFormat="false" ht="15" hidden="false" customHeight="true" outlineLevel="0" collapsed="false">
      <c r="A211" s="1" t="n">
        <f aca="false">Trajectory!A113</f>
        <v>7</v>
      </c>
      <c r="B211" s="1" t="n">
        <f aca="false">IF(Trajectory!F113&lt;=0,0,MAX(0,(Trajectory!D113+Trajectory!E113*($B$30/$B$29)-Trajectory!C113)/Trajectory!F113))</f>
        <v>32576.3285311864</v>
      </c>
      <c r="C211" s="1" t="n">
        <f aca="false">IF(Trajectory!F113&lt;=0,0,MAX(0,(Trajectory!D113+Trajectory!E113-Trajectory!C113)/Trajectory!F113))</f>
        <v>36730.7378387791</v>
      </c>
    </row>
    <row r="212" customFormat="false" ht="15" hidden="false" customHeight="true" outlineLevel="0" collapsed="false">
      <c r="A212" s="1" t="n">
        <f aca="false">Trajectory!A114</f>
        <v>8</v>
      </c>
      <c r="B212" s="1" t="n">
        <f aca="false">IF(Trajectory!F114&lt;=0,0,MAX(0,(Trajectory!D114+Trajectory!E114*($B$30/$B$29)-Trajectory!C114)/Trajectory!F114))</f>
        <v>32704.7210735078</v>
      </c>
      <c r="C212" s="1" t="n">
        <f aca="false">IF(Trajectory!F114&lt;=0,0,MAX(0,(Trajectory!D114+Trajectory!E114-Trajectory!C114)/Trajectory!F114))</f>
        <v>36779.6909834719</v>
      </c>
    </row>
    <row r="213" customFormat="false" ht="15" hidden="false" customHeight="true" outlineLevel="0" collapsed="false">
      <c r="A213" s="1" t="n">
        <f aca="false">Trajectory!A115</f>
        <v>9</v>
      </c>
      <c r="B213" s="1" t="n">
        <f aca="false">IF(Trajectory!F115&lt;=0,0,MAX(0,(Trajectory!D115+Trajectory!E115*($B$30/$B$29)-Trajectory!C115)/Trajectory!F115))</f>
        <v>32780.6802390069</v>
      </c>
      <c r="C213" s="1" t="n">
        <f aca="false">IF(Trajectory!F115&lt;=0,0,MAX(0,(Trajectory!D115+Trajectory!E115-Trajectory!C115)/Trajectory!F115))</f>
        <v>36771.3581457364</v>
      </c>
    </row>
    <row r="214" customFormat="false" ht="15" hidden="false" customHeight="true" outlineLevel="0" collapsed="false">
      <c r="A214" s="1" t="n">
        <f aca="false">Trajectory!A116</f>
        <v>10</v>
      </c>
      <c r="B214" s="1" t="n">
        <f aca="false">IF(Trajectory!F116&lt;=0,0,MAX(0,(Trajectory!D116+Trajectory!E116*($B$30/$B$29)-Trajectory!C116)/Trajectory!F116))</f>
        <v>32837.5176221476</v>
      </c>
      <c r="C214" s="1" t="n">
        <f aca="false">IF(Trajectory!F116&lt;=0,0,MAX(0,(Trajectory!D116+Trajectory!E116-Trajectory!C116)/Trajectory!F116))</f>
        <v>36744.4760923207</v>
      </c>
    </row>
    <row r="215" customFormat="false" ht="15" hidden="false" customHeight="true" outlineLevel="0" collapsed="false">
      <c r="A215" s="1" t="n">
        <f aca="false">Trajectory!A117</f>
        <v>11</v>
      </c>
      <c r="B215" s="1" t="n">
        <f aca="false">IF(Trajectory!F117&lt;=0,0,MAX(0,(Trajectory!D117+Trajectory!E117*($B$30/$B$29)-Trajectory!C117)/Trajectory!F117))</f>
        <v>32701.144306357</v>
      </c>
      <c r="C215" s="1" t="n">
        <f aca="false">IF(Trajectory!F117&lt;=0,0,MAX(0,(Trajectory!D117+Trajectory!E117-Trajectory!C117)/Trajectory!F117))</f>
        <v>36508.3517957465</v>
      </c>
    </row>
    <row r="216" customFormat="false" ht="15" hidden="false" customHeight="true" outlineLevel="0" collapsed="false">
      <c r="A216" s="1" t="n">
        <f aca="false">Trajectory!A118</f>
        <v>12</v>
      </c>
      <c r="B216" s="1" t="n">
        <f aca="false">IF(Trajectory!F118&lt;=0,0,MAX(0,(Trajectory!D118+Trajectory!E118*($B$30/$B$29)-Trajectory!C118)/Trajectory!F118))</f>
        <v>32526.9543614439</v>
      </c>
      <c r="C216" s="1" t="n">
        <f aca="false">IF(Trajectory!F118&lt;=0,0,MAX(0,(Trajectory!D118+Trajectory!E118-Trajectory!C118)/Trajectory!F118))</f>
        <v>36238.1790113898</v>
      </c>
    </row>
    <row r="217" customFormat="false" ht="15" hidden="false" customHeight="true" outlineLevel="0" collapsed="false">
      <c r="A217" s="1" t="n">
        <f aca="false">Trajectory!A119</f>
        <v>13</v>
      </c>
      <c r="B217" s="1" t="n">
        <f aca="false">IF(Trajectory!F119&lt;=0,0,MAX(0,(Trajectory!D119+Trajectory!E119*($B$30/$B$29)-Trajectory!C119)/Trajectory!F119))</f>
        <v>32180.2391008872</v>
      </c>
      <c r="C217" s="1" t="n">
        <f aca="false">IF(Trajectory!F119&lt;=0,0,MAX(0,(Trajectory!D119+Trajectory!E119-Trajectory!C119)/Trajectory!F119))</f>
        <v>35787.3536994565</v>
      </c>
    </row>
    <row r="218" customFormat="false" ht="15" hidden="false" customHeight="true" outlineLevel="0" collapsed="false">
      <c r="A218" s="1" t="n">
        <f aca="false">Trajectory!A120</f>
        <v>14</v>
      </c>
      <c r="B218" s="1" t="n">
        <f aca="false">IF(Trajectory!F120&lt;=0,0,MAX(0,(Trajectory!D120+Trajectory!E120*($B$30/$B$29)-Trajectory!C120)/Trajectory!F120))</f>
        <v>31614.6050900093</v>
      </c>
      <c r="C218" s="1" t="n">
        <f aca="false">IF(Trajectory!F120&lt;=0,0,MAX(0,(Trajectory!D120+Trajectory!E120-Trajectory!C120)/Trajectory!F120))</f>
        <v>35109.3637683046</v>
      </c>
    </row>
    <row r="219" customFormat="false" ht="15" hidden="false" customHeight="true" outlineLevel="0" collapsed="false">
      <c r="A219" s="1" t="n">
        <f aca="false">Trajectory!A121</f>
        <v>15</v>
      </c>
      <c r="B219" s="1" t="n">
        <f aca="false">IF(Trajectory!F121&lt;=0,0,MAX(0,(Trajectory!D121+Trajectory!E121*($B$30/$B$29)-Trajectory!C121)/Trajectory!F121))</f>
        <v>30892.644241181</v>
      </c>
      <c r="C219" s="1" t="n">
        <f aca="false">IF(Trajectory!F121&lt;=0,0,MAX(0,(Trajectory!D121+Trajectory!E121-Trajectory!C121)/Trajectory!F121))</f>
        <v>34280.0380054262</v>
      </c>
    </row>
    <row r="220" customFormat="false" ht="15" hidden="false" customHeight="true" outlineLevel="0" collapsed="false">
      <c r="A220" s="1" t="n">
        <f aca="false">Trajectory!A122</f>
        <v>16</v>
      </c>
      <c r="B220" s="1" t="n">
        <f aca="false">IF(Trajectory!F122&lt;=0,0,MAX(0,(Trajectory!D122+Trajectory!E122*($B$30/$B$29)-Trajectory!C122)/Trajectory!F122))</f>
        <v>30039.9006557355</v>
      </c>
      <c r="C220" s="1" t="n">
        <f aca="false">IF(Trajectory!F122&lt;=0,0,MAX(0,(Trajectory!D122+Trajectory!E122-Trajectory!C122)/Trajectory!F122))</f>
        <v>33287.7468023815</v>
      </c>
    </row>
    <row r="221" customFormat="false" ht="15" hidden="false" customHeight="true" outlineLevel="0" collapsed="false">
      <c r="A221" s="1" t="n">
        <f aca="false">Trajectory!A123</f>
        <v>17</v>
      </c>
      <c r="B221" s="1" t="n">
        <f aca="false">IF(Trajectory!F123&lt;=0,0,MAX(0,(Trajectory!D123+Trajectory!E123*($B$30/$B$29)-Trajectory!C123)/Trajectory!F123))</f>
        <v>29024.2819527788</v>
      </c>
      <c r="C221" s="1" t="n">
        <f aca="false">IF(Trajectory!F123&lt;=0,0,MAX(0,(Trajectory!D123+Trajectory!E123-Trajectory!C123)/Trajectory!F123))</f>
        <v>32124.8190805496</v>
      </c>
    </row>
    <row r="222" customFormat="false" ht="15" hidden="false" customHeight="true" outlineLevel="0" collapsed="false">
      <c r="A222" s="1" t="n">
        <f aca="false">Trajectory!A124</f>
        <v>18</v>
      </c>
      <c r="B222" s="1" t="n">
        <f aca="false">IF(Trajectory!F124&lt;=0,0,MAX(0,(Trajectory!D124+Trajectory!E124*($B$30/$B$29)-Trajectory!C124)/Trajectory!F124))</f>
        <v>27861.951774721</v>
      </c>
      <c r="C222" s="1" t="n">
        <f aca="false">IF(Trajectory!F124&lt;=0,0,MAX(0,(Trajectory!D124+Trajectory!E124-Trajectory!C124)/Trajectory!F124))</f>
        <v>30811.0858831754</v>
      </c>
    </row>
    <row r="223" customFormat="false" ht="15" hidden="false" customHeight="true" outlineLevel="0" collapsed="false">
      <c r="A223" s="1" t="n">
        <f aca="false">Trajectory!A125</f>
        <v>19</v>
      </c>
      <c r="B223" s="1" t="n">
        <f aca="false">IF(Trajectory!F125&lt;=0,0,MAX(0,(Trajectory!D125+Trajectory!E125*($B$30/$B$29)-Trajectory!C125)/Trajectory!F125))</f>
        <v>26546.9192241698</v>
      </c>
      <c r="C223" s="1" t="n">
        <f aca="false">IF(Trajectory!F125&lt;=0,0,MAX(0,(Trajectory!D125+Trajectory!E125-Trajectory!C125)/Trajectory!F125))</f>
        <v>29341.9007742106</v>
      </c>
    </row>
    <row r="224" customFormat="false" ht="15" hidden="false" customHeight="true" outlineLevel="0" collapsed="false">
      <c r="A224" s="1" t="n">
        <f aca="false">Trajectory!A126</f>
        <v>20</v>
      </c>
      <c r="B224" s="1" t="n">
        <f aca="false">IF(Trajectory!F126&lt;=0,0,MAX(0,(Trajectory!D126+Trajectory!E126*($B$30/$B$29)-Trajectory!C126)/Trajectory!F126))</f>
        <v>25082.0008110806</v>
      </c>
      <c r="C224" s="1" t="n">
        <f aca="false">IF(Trajectory!F126&lt;=0,0,MAX(0,(Trajectory!D126+Trajectory!E126-Trajectory!C126)/Trajectory!F126))</f>
        <v>27722.4820573827</v>
      </c>
    </row>
    <row r="225" customFormat="false" ht="15" hidden="false" customHeight="true" outlineLevel="0" collapsed="false">
      <c r="A225" s="1" t="n">
        <f aca="false">Trajectory!A127</f>
        <v>21</v>
      </c>
      <c r="B225" s="1" t="n">
        <f aca="false">IF(Trajectory!F127&lt;=0,0,MAX(0,(Trajectory!D127+Trajectory!E127*($B$30/$B$29)-Trajectory!C127)/Trajectory!F127))</f>
        <v>23417.3888750429</v>
      </c>
      <c r="C225" s="1" t="n">
        <f aca="false">IF(Trajectory!F127&lt;=0,0,MAX(0,(Trajectory!D127+Trajectory!E127-Trajectory!C127)/Trajectory!F127))</f>
        <v>25908.4280960014</v>
      </c>
    </row>
    <row r="226" customFormat="false" ht="15" hidden="false" customHeight="true" outlineLevel="0" collapsed="false">
      <c r="A226" s="1" t="n">
        <f aca="false">Trajectory!A128</f>
        <v>22</v>
      </c>
      <c r="B226" s="1" t="n">
        <f aca="false">IF(Trajectory!F128&lt;=0,0,MAX(0,(Trajectory!D128+Trajectory!E128*($B$30/$B$29)-Trajectory!C128)/Trajectory!F128))</f>
        <v>21537.4857976283</v>
      </c>
      <c r="C226" s="1" t="n">
        <f aca="false">IF(Trajectory!F128&lt;=0,0,MAX(0,(Trajectory!D128+Trajectory!E128-Trajectory!C128)/Trajectory!F128))</f>
        <v>23882.893184264</v>
      </c>
    </row>
    <row r="227" customFormat="false" ht="15" hidden="false" customHeight="true" outlineLevel="0" collapsed="false">
      <c r="A227" s="1" t="n">
        <f aca="false">Trajectory!A129</f>
        <v>23</v>
      </c>
      <c r="B227" s="1" t="n">
        <f aca="false">IF(Trajectory!F129&lt;=0,0,MAX(0,(Trajectory!D129+Trajectory!E129*($B$30/$B$29)-Trajectory!C129)/Trajectory!F129))</f>
        <v>19394.2147186933</v>
      </c>
      <c r="C227" s="1" t="n">
        <f aca="false">IF(Trajectory!F129&lt;=0,0,MAX(0,(Trajectory!D129+Trajectory!E129-Trajectory!C129)/Trajectory!F129))</f>
        <v>21598.6133740323</v>
      </c>
    </row>
    <row r="228" customFormat="false" ht="15" hidden="false" customHeight="true" outlineLevel="0" collapsed="false">
      <c r="A228" s="1" t="n">
        <f aca="false">Trajectory!A130</f>
        <v>24</v>
      </c>
      <c r="B228" s="1" t="n">
        <f aca="false">IF(Trajectory!F130&lt;=0,0,MAX(0,(Trajectory!D130+Trajectory!E130*($B$30/$B$29)-Trajectory!C130)/Trajectory!F130))</f>
        <v>16925.5777872406</v>
      </c>
      <c r="C228" s="1" t="n">
        <f aca="false">IF(Trajectory!F130&lt;=0,0,MAX(0,(Trajectory!D130+Trajectory!E130-Trajectory!C130)/Trajectory!F130))</f>
        <v>18994.8407384486</v>
      </c>
    </row>
    <row r="229" customFormat="false" ht="15" hidden="false" customHeight="true" outlineLevel="0" collapsed="false">
      <c r="A229" s="1" t="n">
        <f aca="false">Trajectory!A131</f>
        <v>25</v>
      </c>
      <c r="B229" s="1" t="n">
        <f aca="false">IF(Trajectory!F131&lt;=0,0,MAX(0,(Trajectory!D131+Trajectory!E131*($B$30/$B$29)-Trajectory!C131)/Trajectory!F131))</f>
        <v>14031.3206553131</v>
      </c>
      <c r="C229" s="1" t="n">
        <f aca="false">IF(Trajectory!F131&lt;=0,0,MAX(0,(Trajectory!D131+Trajectory!E131-Trajectory!C131)/Trajectory!F131))</f>
        <v>15971.0632076687</v>
      </c>
    </row>
    <row r="230" customFormat="false" ht="15" hidden="false" customHeight="true" outlineLevel="0" collapsed="false">
      <c r="A230" s="1" t="n">
        <f aca="false">Trajectory!A132</f>
        <v>26</v>
      </c>
      <c r="B230" s="1" t="n">
        <f aca="false">IF(Trajectory!F132&lt;=0,0,MAX(0,(Trajectory!D132+Trajectory!E132*($B$30/$B$29)-Trajectory!C132)/Trajectory!F132))</f>
        <v>10489.119976271</v>
      </c>
      <c r="C230" s="1" t="n">
        <f aca="false">IF(Trajectory!F132&lt;=0,0,MAX(0,(Trajectory!D132+Trajectory!E132-Trajectory!C132)/Trajectory!F132))</f>
        <v>12312.522630976</v>
      </c>
    </row>
    <row r="231" customFormat="false" ht="15" hidden="false" customHeight="true" outlineLevel="0" collapsed="false">
      <c r="A231" s="1" t="n">
        <f aca="false">Trajectory!A133</f>
        <v>27</v>
      </c>
      <c r="B231" s="1" t="n">
        <f aca="false">IF(Trajectory!F133&lt;=0,0,MAX(0,(Trajectory!D133+Trajectory!E133*($B$30/$B$29)-Trajectory!C133)/Trajectory!F133))</f>
        <v>6160.92157165103</v>
      </c>
      <c r="C231" s="1" t="n">
        <f aca="false">IF(Trajectory!F133&lt;=0,0,MAX(0,(Trajectory!D133+Trajectory!E133-Trajectory!C133)/Trajectory!F133))</f>
        <v>7876.57419915379</v>
      </c>
    </row>
    <row r="232" customFormat="false" ht="15" hidden="false" customHeight="true" outlineLevel="0" collapsed="false">
      <c r="A232" s="1" t="n">
        <f aca="false">Trajectory!A134</f>
        <v>28</v>
      </c>
      <c r="B232" s="1" t="n">
        <f aca="false">IF(Trajectory!F134&lt;=0,0,MAX(0,(Trajectory!D134+Trajectory!E134*($B$30/$B$29)-Trajectory!C134)/Trajectory!F134))</f>
        <v>804.687235178715</v>
      </c>
      <c r="C232" s="1" t="n">
        <f aca="false">IF(Trajectory!F134&lt;=0,0,MAX(0,(Trajectory!D134+Trajectory!E134-Trajectory!C134)/Trajectory!F134))</f>
        <v>2421.57053936706</v>
      </c>
    </row>
    <row r="233" customFormat="false" ht="15" hidden="false" customHeight="true" outlineLevel="0" collapsed="false">
      <c r="A233" s="1" t="n">
        <f aca="false">Trajectory!A135</f>
        <v>29</v>
      </c>
      <c r="B233" s="1" t="n">
        <f aca="false">IF(Trajectory!F135&lt;=0,0,MAX(0,(Trajectory!D135+Trajectory!E135*($B$30/$B$29)-Trajectory!C135)/Trajectory!F135))</f>
        <v>0</v>
      </c>
      <c r="C233" s="1" t="n">
        <f aca="false">IF(Trajectory!F135&lt;=0,0,MAX(0,(Trajectory!D135+Trajectory!E135-Trajectory!C135)/Trajectory!F135))</f>
        <v>0</v>
      </c>
    </row>
    <row r="234" customFormat="false" ht="15" hidden="false" customHeight="true" outlineLevel="0" collapsed="false">
      <c r="A234" s="1" t="n">
        <f aca="false">Trajectory!A136</f>
        <v>30</v>
      </c>
      <c r="B234" s="1" t="n">
        <f aca="false">IF(Trajectory!F136&lt;=0,0,MAX(0,(Trajectory!D136+Trajectory!E136*($B$30/$B$29)-Trajectory!C136)/Trajectory!F136))</f>
        <v>0</v>
      </c>
      <c r="C234" s="1" t="n">
        <f aca="false">IF(Trajectory!F136&lt;=0,0,MAX(0,(Trajectory!D136+Trajectory!E136-Trajectory!C136)/Trajectory!F136))</f>
        <v>0</v>
      </c>
    </row>
    <row r="235" customFormat="false" ht="15" hidden="false" customHeight="true" outlineLevel="0" collapsed="false">
      <c r="A235" s="1" t="n">
        <f aca="false">Trajectory!A137</f>
        <v>31</v>
      </c>
      <c r="B235" s="1" t="n">
        <f aca="false">IF(Trajectory!F137&lt;=0,0,MAX(0,(Trajectory!D137+Trajectory!E137*($B$30/$B$29)-Trajectory!C137)/Trajectory!F137))</f>
        <v>0</v>
      </c>
      <c r="C235" s="1" t="n">
        <f aca="false">IF(Trajectory!F137&lt;=0,0,MAX(0,(Trajectory!D137+Trajectory!E137-Trajectory!C137)/Trajectory!F137))</f>
        <v>0</v>
      </c>
    </row>
    <row r="236" customFormat="false" ht="15" hidden="false" customHeight="true" outlineLevel="0" collapsed="false">
      <c r="A236" s="1" t="n">
        <f aca="false">Trajectory!A138</f>
        <v>32</v>
      </c>
      <c r="B236" s="1" t="n">
        <f aca="false">IF(Trajectory!F138&lt;=0,0,MAX(0,(Trajectory!D138+Trajectory!E138*($B$30/$B$29)-Trajectory!C138)/Trajectory!F138))</f>
        <v>0</v>
      </c>
      <c r="C236" s="1" t="n">
        <f aca="false">IF(Trajectory!F138&lt;=0,0,MAX(0,(Trajectory!D138+Trajectory!E138-Trajectory!C138)/Trajectory!F138))</f>
        <v>0</v>
      </c>
    </row>
    <row r="237" customFormat="false" ht="15" hidden="false" customHeight="true" outlineLevel="0" collapsed="false">
      <c r="A237" s="1" t="n">
        <f aca="false">Trajectory!A139</f>
        <v>33</v>
      </c>
      <c r="B237" s="1" t="n">
        <f aca="false">IF(Trajectory!F139&lt;=0,0,MAX(0,(Trajectory!D139+Trajectory!E139*($B$30/$B$29)-Trajectory!C139)/Trajectory!F139))</f>
        <v>0</v>
      </c>
      <c r="C237" s="1" t="n">
        <f aca="false">IF(Trajectory!F139&lt;=0,0,MAX(0,(Trajectory!D139+Trajectory!E139-Trajectory!C139)/Trajectory!F139))</f>
        <v>0</v>
      </c>
    </row>
    <row r="238" customFormat="false" ht="15" hidden="false" customHeight="true" outlineLevel="0" collapsed="false">
      <c r="A238" s="1" t="n">
        <f aca="false">Trajectory!A140</f>
        <v>34</v>
      </c>
      <c r="B238" s="1" t="n">
        <f aca="false">IF(Trajectory!F140&lt;=0,0,MAX(0,(Trajectory!D140+Trajectory!E140*($B$30/$B$29)-Trajectory!C140)/Trajectory!F140))</f>
        <v>0</v>
      </c>
      <c r="C238" s="1" t="n">
        <f aca="false">IF(Trajectory!F140&lt;=0,0,MAX(0,(Trajectory!D140+Trajectory!E140-Trajectory!C140)/Trajectory!F140))</f>
        <v>0</v>
      </c>
    </row>
    <row r="239" customFormat="false" ht="15" hidden="false" customHeight="true" outlineLevel="0" collapsed="false">
      <c r="A239" s="1" t="n">
        <f aca="false">Trajectory!A141</f>
        <v>35</v>
      </c>
      <c r="B239" s="1" t="n">
        <f aca="false">IF(Trajectory!F141&lt;=0,0,MAX(0,(Trajectory!D141+Trajectory!E141*($B$30/$B$29)-Trajectory!C141)/Trajectory!F141))</f>
        <v>0</v>
      </c>
      <c r="C239" s="1" t="n">
        <f aca="false">IF(Trajectory!F141&lt;=0,0,MAX(0,(Trajectory!D141+Trajectory!E141-Trajectory!C141)/Trajectory!F141))</f>
        <v>0</v>
      </c>
    </row>
    <row r="240" customFormat="false" ht="15" hidden="false" customHeight="true" outlineLevel="0" collapsed="false">
      <c r="A240" s="1" t="n">
        <f aca="false">Trajectory!A142</f>
        <v>36</v>
      </c>
      <c r="B240" s="1" t="n">
        <f aca="false">IF(Trajectory!F142&lt;=0,0,MAX(0,(Trajectory!D142+Trajectory!E142*($B$30/$B$29)-Trajectory!C142)/Trajectory!F142))</f>
        <v>0</v>
      </c>
      <c r="C240" s="1" t="n">
        <f aca="false">IF(Trajectory!F142&lt;=0,0,MAX(0,(Trajectory!D142+Trajectory!E142-Trajectory!C142)/Trajectory!F142))</f>
        <v>0</v>
      </c>
    </row>
    <row r="241" customFormat="false" ht="15" hidden="false" customHeight="true" outlineLevel="0" collapsed="false">
      <c r="A241" s="1" t="n">
        <f aca="false">Trajectory!A143</f>
        <v>37</v>
      </c>
      <c r="B241" s="1" t="n">
        <f aca="false">IF(Trajectory!F143&lt;=0,0,MAX(0,(Trajectory!D143+Trajectory!E143*($B$30/$B$29)-Trajectory!C143)/Trajectory!F143))</f>
        <v>0</v>
      </c>
      <c r="C241" s="1" t="n">
        <f aca="false">IF(Trajectory!F143&lt;=0,0,MAX(0,(Trajectory!D143+Trajectory!E143-Trajectory!C143)/Trajectory!F143))</f>
        <v>0</v>
      </c>
    </row>
    <row r="242" customFormat="false" ht="15" hidden="false" customHeight="true" outlineLevel="0" collapsed="false">
      <c r="A242" s="1" t="n">
        <f aca="false">Trajectory!A144</f>
        <v>38</v>
      </c>
      <c r="B242" s="1" t="n">
        <f aca="false">IF(Trajectory!F144&lt;=0,0,MAX(0,(Trajectory!D144+Trajectory!E144*($B$30/$B$29)-Trajectory!C144)/Trajectory!F144))</f>
        <v>0</v>
      </c>
      <c r="C242" s="1" t="n">
        <f aca="false">IF(Trajectory!F144&lt;=0,0,MAX(0,(Trajectory!D144+Trajectory!E144-Trajectory!C144)/Trajectory!F144))</f>
        <v>0</v>
      </c>
    </row>
    <row r="243" customFormat="false" ht="15" hidden="false" customHeight="true" outlineLevel="0" collapsed="false">
      <c r="A243" s="1" t="n">
        <f aca="false">Trajectory!A145</f>
        <v>39</v>
      </c>
      <c r="B243" s="1" t="n">
        <f aca="false">IF(Trajectory!F145&lt;=0,0,MAX(0,(Trajectory!D145+Trajectory!E145*($B$30/$B$29)-Trajectory!C145)/Trajectory!F145))</f>
        <v>0</v>
      </c>
      <c r="C243" s="1" t="n">
        <f aca="false">IF(Trajectory!F145&lt;=0,0,MAX(0,(Trajectory!D145+Trajectory!E145-Trajectory!C145)/Trajectory!F145))</f>
        <v>0</v>
      </c>
    </row>
    <row r="244" customFormat="false" ht="15" hidden="false" customHeight="true" outlineLevel="0" collapsed="false">
      <c r="A244" s="1" t="n">
        <f aca="false">Trajectory!A146</f>
        <v>40</v>
      </c>
      <c r="B244" s="1" t="n">
        <f aca="false">IF(Trajectory!F146&lt;=0,0,MAX(0,(Trajectory!D146+Trajectory!E146*($B$30/$B$29)-Trajectory!C146)/Trajectory!F146))</f>
        <v>0</v>
      </c>
      <c r="C244" s="1" t="n">
        <f aca="false">IF(Trajectory!F146&lt;=0,0,MAX(0,(Trajectory!D146+Trajectory!E146-Trajectory!C146)/Trajectory!F146))</f>
        <v>0</v>
      </c>
    </row>
    <row r="245" customFormat="false" ht="15" hidden="false" customHeight="true" outlineLevel="0" collapsed="false">
      <c r="A245" s="1" t="n">
        <f aca="false">Trajectory!A147</f>
        <v>41</v>
      </c>
      <c r="B245" s="1" t="n">
        <f aca="false">IF(Trajectory!F147&lt;=0,0,MAX(0,(Trajectory!D147+Trajectory!E147*($B$30/$B$29)-Trajectory!C147)/Trajectory!F147))</f>
        <v>0</v>
      </c>
      <c r="C245" s="1" t="n">
        <f aca="false">IF(Trajectory!F147&lt;=0,0,MAX(0,(Trajectory!D147+Trajectory!E147-Trajectory!C147)/Trajectory!F147))</f>
        <v>0</v>
      </c>
    </row>
    <row r="246" customFormat="false" ht="15" hidden="false" customHeight="true" outlineLevel="0" collapsed="false">
      <c r="A246" s="1" t="n">
        <f aca="false">Trajectory!A148</f>
        <v>42</v>
      </c>
      <c r="B246" s="1" t="n">
        <f aca="false">IF(Trajectory!F148&lt;=0,0,MAX(0,(Trajectory!D148+Trajectory!E148*($B$30/$B$29)-Trajectory!C148)/Trajectory!F148))</f>
        <v>0</v>
      </c>
      <c r="C246" s="1" t="n">
        <f aca="false">IF(Trajectory!F148&lt;=0,0,MAX(0,(Trajectory!D148+Trajectory!E148-Trajectory!C148)/Trajectory!F148))</f>
        <v>0</v>
      </c>
    </row>
    <row r="247" customFormat="false" ht="15" hidden="false" customHeight="true" outlineLevel="0" collapsed="false">
      <c r="A247" s="1" t="n">
        <f aca="false">Trajectory!A149</f>
        <v>43</v>
      </c>
      <c r="B247" s="1" t="n">
        <f aca="false">IF(Trajectory!F149&lt;=0,0,MAX(0,(Trajectory!D149+Trajectory!E149*($B$30/$B$29)-Trajectory!C149)/Trajectory!F149))</f>
        <v>0</v>
      </c>
      <c r="C247" s="1" t="n">
        <f aca="false">IF(Trajectory!F149&lt;=0,0,MAX(0,(Trajectory!D149+Trajectory!E149-Trajectory!C149)/Trajectory!F149))</f>
        <v>0</v>
      </c>
    </row>
    <row r="248" customFormat="false" ht="15" hidden="false" customHeight="true" outlineLevel="0" collapsed="false">
      <c r="A248" s="1" t="n">
        <f aca="false">Trajectory!A150</f>
        <v>44</v>
      </c>
      <c r="B248" s="1" t="n">
        <f aca="false">IF(Trajectory!F150&lt;=0,0,MAX(0,(Trajectory!D150+Trajectory!E150*($B$30/$B$29)-Trajectory!C150)/Trajectory!F150))</f>
        <v>0</v>
      </c>
      <c r="C248" s="1" t="n">
        <f aca="false">IF(Trajectory!F150&lt;=0,0,MAX(0,(Trajectory!D150+Trajectory!E150-Trajectory!C150)/Trajectory!F150))</f>
        <v>0</v>
      </c>
    </row>
    <row r="249" customFormat="false" ht="15" hidden="false" customHeight="true" outlineLevel="0" collapsed="false">
      <c r="A249" s="1" t="n">
        <f aca="false">Trajectory!A151</f>
        <v>45</v>
      </c>
      <c r="B249" s="1" t="n">
        <f aca="false">IF(Trajectory!F151&lt;=0,0,MAX(0,(Trajectory!D151+Trajectory!E151*($B$30/$B$29)-Trajectory!C151)/Trajectory!F151))</f>
        <v>0</v>
      </c>
      <c r="C249" s="1" t="n">
        <f aca="false">IF(Trajectory!F151&lt;=0,0,MAX(0,(Trajectory!D151+Trajectory!E151-Trajectory!C151)/Trajectory!F151))</f>
        <v>0</v>
      </c>
    </row>
    <row r="250" customFormat="false" ht="15" hidden="false" customHeight="true" outlineLevel="0" collapsed="false">
      <c r="A250" s="1" t="n">
        <f aca="false">Trajectory!A152</f>
        <v>46</v>
      </c>
      <c r="B250" s="1" t="n">
        <f aca="false">IF(Trajectory!F152&lt;=0,0,MAX(0,(Trajectory!D152+Trajectory!E152*($B$30/$B$29)-Trajectory!C152)/Trajectory!F152))</f>
        <v>0</v>
      </c>
      <c r="C250" s="1" t="n">
        <f aca="false">IF(Trajectory!F152&lt;=0,0,MAX(0,(Trajectory!D152+Trajectory!E152-Trajectory!C152)/Trajectory!F152))</f>
        <v>0</v>
      </c>
    </row>
    <row r="251" customFormat="false" ht="15" hidden="false" customHeight="true" outlineLevel="0" collapsed="false">
      <c r="A251" s="1" t="n">
        <f aca="false">Trajectory!A153</f>
        <v>47</v>
      </c>
      <c r="B251" s="1" t="n">
        <f aca="false">IF(Trajectory!F153&lt;=0,0,MAX(0,(Trajectory!D153+Trajectory!E153*($B$30/$B$29)-Trajectory!C153)/Trajectory!F153))</f>
        <v>0</v>
      </c>
      <c r="C251" s="1" t="n">
        <f aca="false">IF(Trajectory!F153&lt;=0,0,MAX(0,(Trajectory!D153+Trajectory!E153-Trajectory!C153)/Trajectory!F153))</f>
        <v>0</v>
      </c>
    </row>
    <row r="252" customFormat="false" ht="15" hidden="false" customHeight="true" outlineLevel="0" collapsed="false">
      <c r="A252" s="1" t="n">
        <f aca="false">Trajectory!A154</f>
        <v>48</v>
      </c>
      <c r="B252" s="1" t="n">
        <f aca="false">IF(Trajectory!F154&lt;=0,0,MAX(0,(Trajectory!D154+Trajectory!E154*($B$30/$B$29)-Trajectory!C154)/Trajectory!F154))</f>
        <v>0</v>
      </c>
      <c r="C252" s="1" t="n">
        <f aca="false">IF(Trajectory!F154&lt;=0,0,MAX(0,(Trajectory!D154+Trajectory!E154-Trajectory!C154)/Trajectory!F154))</f>
        <v>0</v>
      </c>
    </row>
    <row r="253" customFormat="false" ht="15" hidden="false" customHeight="true" outlineLevel="0" collapsed="false">
      <c r="A253" s="1" t="n">
        <f aca="false">Trajectory!A155</f>
        <v>49</v>
      </c>
      <c r="B253" s="1" t="n">
        <f aca="false">IF(Trajectory!F155&lt;=0,0,MAX(0,(Trajectory!D155+Trajectory!E155*($B$30/$B$29)-Trajectory!C155)/Trajectory!F155))</f>
        <v>0</v>
      </c>
      <c r="C253" s="1" t="n">
        <f aca="false">IF(Trajectory!F155&lt;=0,0,MAX(0,(Trajectory!D155+Trajectory!E155-Trajectory!C155)/Trajectory!F155))</f>
        <v>0</v>
      </c>
    </row>
    <row r="254" customFormat="false" ht="15" hidden="false" customHeight="true" outlineLevel="0" collapsed="false">
      <c r="A254" s="1" t="n">
        <f aca="false">Trajectory!A156</f>
        <v>50</v>
      </c>
      <c r="B254" s="1" t="n">
        <f aca="false">IF(Trajectory!F156&lt;=0,0,MAX(0,(Trajectory!D156+Trajectory!E156*($B$30/$B$29)-Trajectory!C156)/Trajectory!F156))</f>
        <v>0</v>
      </c>
      <c r="C254" s="1" t="n">
        <f aca="false">IF(Trajectory!F156&lt;=0,0,MAX(0,(Trajectory!D156+Trajectory!E156-Trajectory!C156)/Trajectory!F156))</f>
        <v>0</v>
      </c>
    </row>
    <row r="255" customFormat="false" ht="15" hidden="false" customHeight="true" outlineLevel="0" collapsed="false">
      <c r="A255" s="1" t="n">
        <f aca="false">Trajectory!A157</f>
        <v>51</v>
      </c>
      <c r="B255" s="1" t="n">
        <f aca="false">IF(Trajectory!F157&lt;=0,0,MAX(0,(Trajectory!D157+Trajectory!E157*($B$30/$B$29)-Trajectory!C157)/Trajectory!F157))</f>
        <v>0</v>
      </c>
      <c r="C255" s="1" t="n">
        <f aca="false">IF(Trajectory!F157&lt;=0,0,MAX(0,(Trajectory!D157+Trajectory!E157-Trajectory!C157)/Trajectory!F157))</f>
        <v>0</v>
      </c>
    </row>
    <row r="256" customFormat="false" ht="15" hidden="false" customHeight="true" outlineLevel="0" collapsed="false">
      <c r="A256" s="1" t="n">
        <f aca="false">Trajectory!A158</f>
        <v>52</v>
      </c>
      <c r="B256" s="1" t="n">
        <f aca="false">IF(Trajectory!F158&lt;=0,0,MAX(0,(Trajectory!D158+Trajectory!E158*($B$30/$B$29)-Trajectory!C158)/Trajectory!F158))</f>
        <v>0</v>
      </c>
      <c r="C256" s="1" t="n">
        <f aca="false">IF(Trajectory!F158&lt;=0,0,MAX(0,(Trajectory!D158+Trajectory!E158-Trajectory!C158)/Trajectory!F158))</f>
        <v>0</v>
      </c>
    </row>
    <row r="257" customFormat="false" ht="15" hidden="false" customHeight="true" outlineLevel="0" collapsed="false">
      <c r="A257" s="1" t="n">
        <f aca="false">Trajectory!A159</f>
        <v>53</v>
      </c>
      <c r="B257" s="1" t="n">
        <f aca="false">IF(Trajectory!F159&lt;=0,0,MAX(0,(Trajectory!D159+Trajectory!E159*($B$30/$B$29)-Trajectory!C159)/Trajectory!F159))</f>
        <v>0</v>
      </c>
      <c r="C257" s="1" t="n">
        <f aca="false">IF(Trajectory!F159&lt;=0,0,MAX(0,(Trajectory!D159+Trajectory!E159-Trajectory!C159)/Trajectory!F159))</f>
        <v>0</v>
      </c>
    </row>
    <row r="258" customFormat="false" ht="15" hidden="false" customHeight="true" outlineLevel="0" collapsed="false">
      <c r="A258" s="1" t="n">
        <f aca="false">Trajectory!A160</f>
        <v>54</v>
      </c>
      <c r="B258" s="1" t="n">
        <f aca="false">IF(Trajectory!F160&lt;=0,0,MAX(0,(Trajectory!D160+Trajectory!E160*($B$30/$B$29)-Trajectory!C160)/Trajectory!F160))</f>
        <v>0</v>
      </c>
      <c r="C258" s="1" t="n">
        <f aca="false">IF(Trajectory!F160&lt;=0,0,MAX(0,(Trajectory!D160+Trajectory!E160-Trajectory!C160)/Trajectory!F160))</f>
        <v>0</v>
      </c>
    </row>
    <row r="259" customFormat="false" ht="15" hidden="false" customHeight="true" outlineLevel="0" collapsed="false">
      <c r="A259" s="1" t="n">
        <f aca="false">Trajectory!A161</f>
        <v>55</v>
      </c>
      <c r="B259" s="1" t="n">
        <f aca="false">IF(Trajectory!F161&lt;=0,0,MAX(0,(Trajectory!D161+Trajectory!E161*($B$30/$B$29)-Trajectory!C161)/Trajectory!F161))</f>
        <v>0</v>
      </c>
      <c r="C259" s="1" t="n">
        <f aca="false">IF(Trajectory!F161&lt;=0,0,MAX(0,(Trajectory!D161+Trajectory!E161-Trajectory!C161)/Trajectory!F161))</f>
        <v>0</v>
      </c>
    </row>
    <row r="261" customFormat="false" ht="15" hidden="false" customHeight="true" outlineLevel="0" collapsed="false">
      <c r="A261" s="1" t="s">
        <v>1902</v>
      </c>
      <c r="B261" s="1" t="n">
        <f aca="false">INDEX(A204:A259,MATCH(MAX(B204:B259),B204:B259,0))</f>
        <v>10</v>
      </c>
    </row>
    <row r="262" customFormat="false" ht="15" hidden="false" customHeight="true" outlineLevel="0" collapsed="false">
      <c r="A262" s="1" t="s">
        <v>1903</v>
      </c>
      <c r="B262" s="1" t="n">
        <f aca="false">INDEX(B204:B259,Trajectory!$B$165+1)</f>
        <v>32704.7210735078</v>
      </c>
    </row>
    <row r="263" customFormat="false" ht="15" hidden="false" customHeight="true" outlineLevel="0" collapsed="false">
      <c r="A263" s="1" t="s">
        <v>1904</v>
      </c>
      <c r="B263" s="1" t="n">
        <f aca="false">MAX(B204:B259)-B262</f>
        <v>132.796548639853</v>
      </c>
    </row>
    <row r="264" customFormat="false" ht="15" hidden="false" customHeight="true" outlineLevel="0" collapsed="false">
      <c r="A264" s="1" t="s">
        <v>1905</v>
      </c>
      <c r="B264" s="1" t="n">
        <f aca="false">MAX(C204:C259)-Trajectory!$B$164</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11" min="2" style="1" width="14"/>
  </cols>
  <sheetData>
    <row r="1" customFormat="false" ht="15.75" hidden="false" customHeight="true" outlineLevel="0" collapsed="false">
      <c r="A1" s="15" t="s">
        <v>1906</v>
      </c>
    </row>
    <row r="2" customFormat="false" ht="15" hidden="false" customHeight="true" outlineLevel="0" collapsed="false">
      <c r="A2" s="7" t="s">
        <v>1907</v>
      </c>
    </row>
    <row r="3" customFormat="false" ht="15" hidden="false" customHeight="true" outlineLevel="0" collapsed="false">
      <c r="A3" s="7" t="s">
        <v>1908</v>
      </c>
    </row>
    <row r="5" customFormat="false" ht="15" hidden="false" customHeight="true" outlineLevel="0" collapsed="false">
      <c r="A5" s="6" t="s">
        <v>1909</v>
      </c>
    </row>
    <row r="7" customFormat="false" ht="15" hidden="false" customHeight="true" outlineLevel="0" collapsed="false">
      <c r="A7" s="8" t="s">
        <v>1556</v>
      </c>
      <c r="B7" s="89" t="n">
        <v>75</v>
      </c>
      <c r="C7" s="89" t="n">
        <v>80</v>
      </c>
      <c r="D7" s="89" t="n">
        <v>85</v>
      </c>
      <c r="E7" s="89" t="n">
        <v>90</v>
      </c>
    </row>
    <row r="8" customFormat="false" ht="15" hidden="false" customHeight="true" outlineLevel="0" collapsed="false">
      <c r="A8" s="3" t="n">
        <v>60</v>
      </c>
      <c r="B8" s="48" t="n">
        <f aca="false">Surface_Engine!B173</f>
        <v>1063.7172969216</v>
      </c>
      <c r="C8" s="48" t="n">
        <f aca="false">Surface_Engine!G173</f>
        <v>575.163325262284</v>
      </c>
      <c r="D8" s="48" t="n">
        <f aca="false">Surface_Engine!L173</f>
        <v>301.290026507947</v>
      </c>
      <c r="E8" s="48" t="n">
        <f aca="false">Surface_Engine!Q173</f>
        <v>141.979198606831</v>
      </c>
    </row>
    <row r="9" customFormat="false" ht="15" hidden="false" customHeight="true" outlineLevel="0" collapsed="false">
      <c r="A9" s="3" t="n">
        <v>63</v>
      </c>
      <c r="B9" s="48" t="n">
        <f aca="false">Surface_Engine!B176</f>
        <v>1352.49940857929</v>
      </c>
      <c r="C9" s="48" t="n">
        <f aca="false">Surface_Engine!G176</f>
        <v>678.623547592</v>
      </c>
      <c r="D9" s="48" t="n">
        <f aca="false">Surface_Engine!L176</f>
        <v>341.012780636999</v>
      </c>
      <c r="E9" s="48" t="n">
        <f aca="false">Surface_Engine!Q176</f>
        <v>155.549690105931</v>
      </c>
    </row>
    <row r="10" customFormat="false" ht="15" hidden="false" customHeight="true" outlineLevel="0" collapsed="false">
      <c r="A10" s="3" t="n">
        <v>65</v>
      </c>
      <c r="B10" s="48" t="n">
        <f aca="false">Surface_Engine!B178</f>
        <v>1655.62126301727</v>
      </c>
      <c r="C10" s="48" t="n">
        <f aca="false">Surface_Engine!G178</f>
        <v>773.599046044556</v>
      </c>
      <c r="D10" s="48" t="n">
        <f aca="false">Surface_Engine!L178</f>
        <v>374.849155852413</v>
      </c>
      <c r="E10" s="48" t="n">
        <f aca="false">Surface_Engine!Q178</f>
        <v>166.774152187807</v>
      </c>
    </row>
    <row r="11" customFormat="false" ht="15" hidden="false" customHeight="true" outlineLevel="0" collapsed="false">
      <c r="A11" s="3" t="n">
        <v>68</v>
      </c>
      <c r="B11" s="48" t="n">
        <f aca="false">Surface_Engine!B181</f>
        <v>2498.12363725285</v>
      </c>
      <c r="C11" s="48" t="n">
        <f aca="false">Surface_Engine!G181</f>
        <v>986.108092329558</v>
      </c>
      <c r="D11" s="48" t="n">
        <f aca="false">Surface_Engine!L181</f>
        <v>442.60140918024</v>
      </c>
      <c r="E11" s="48" t="n">
        <f aca="false">Surface_Engine!Q181</f>
        <v>188.309214095047</v>
      </c>
    </row>
    <row r="12" customFormat="false" ht="15" hidden="false" customHeight="true" outlineLevel="0" collapsed="false">
      <c r="A12" s="3" t="n">
        <v>70</v>
      </c>
      <c r="B12" s="48" t="n">
        <f aca="false">Surface_Engine!B183</f>
        <v>3767.42980180775</v>
      </c>
      <c r="C12" s="48" t="n">
        <f aca="false">Surface_Engine!G183</f>
        <v>1210.83711670449</v>
      </c>
      <c r="D12" s="48" t="n">
        <f aca="false">Surface_Engine!L183</f>
        <v>505.813049712652</v>
      </c>
      <c r="E12" s="48" t="n">
        <f aca="false">Surface_Engine!Q183</f>
        <v>207.119064804438</v>
      </c>
    </row>
    <row r="13" customFormat="false" ht="15" hidden="false" customHeight="true" outlineLevel="0" collapsed="false">
      <c r="A13" s="3" t="n">
        <v>72</v>
      </c>
      <c r="B13" s="48" t="n">
        <f aca="false">Surface_Engine!B185</f>
        <v>7675.53554074285</v>
      </c>
      <c r="C13" s="48" t="n">
        <f aca="false">Surface_Engine!G185</f>
        <v>1569.03348111591</v>
      </c>
      <c r="D13" s="48" t="n">
        <f aca="false">Surface_Engine!L185</f>
        <v>593.050623863618</v>
      </c>
      <c r="E13" s="48" t="n">
        <f aca="false">Surface_Engine!Q185</f>
        <v>231.164988939774</v>
      </c>
    </row>
    <row r="14" customFormat="false" ht="15" hidden="false" customHeight="true" outlineLevel="0" collapsed="false">
      <c r="A14" s="3" t="n">
        <v>75</v>
      </c>
      <c r="B14" s="7" t="s">
        <v>1557</v>
      </c>
      <c r="C14" s="48" t="n">
        <f aca="false">Surface_Engine!G188</f>
        <v>2791.91516091142</v>
      </c>
      <c r="D14" s="48" t="n">
        <f aca="false">Surface_Engine!L188</f>
        <v>804.238914218907</v>
      </c>
      <c r="E14" s="48" t="n">
        <f aca="false">Surface_Engine!Q188</f>
        <v>283.248482698547</v>
      </c>
    </row>
    <row r="16" customFormat="false" ht="15" hidden="false" customHeight="true" outlineLevel="0" collapsed="false">
      <c r="A16" s="7" t="s">
        <v>1910</v>
      </c>
    </row>
    <row r="18" customFormat="false" ht="15" hidden="false" customHeight="true" outlineLevel="0" collapsed="false">
      <c r="A18" s="6" t="s">
        <v>1911</v>
      </c>
    </row>
    <row r="19" customFormat="false" ht="15" hidden="false" customHeight="true" outlineLevel="0" collapsed="false">
      <c r="A19" s="7" t="s">
        <v>1912</v>
      </c>
    </row>
    <row r="21" customFormat="false" ht="15" hidden="false" customHeight="true" outlineLevel="0" collapsed="false">
      <c r="A21" s="8" t="s">
        <v>1913</v>
      </c>
      <c r="B21" s="8" t="s">
        <v>1544</v>
      </c>
      <c r="C21" s="8" t="s">
        <v>1545</v>
      </c>
      <c r="D21" s="8" t="s">
        <v>1914</v>
      </c>
      <c r="E21" s="8" t="s">
        <v>1915</v>
      </c>
      <c r="F21" s="8" t="s">
        <v>1737</v>
      </c>
      <c r="G21" s="8" t="s">
        <v>1916</v>
      </c>
      <c r="H21" s="8" t="s">
        <v>1917</v>
      </c>
      <c r="I21" s="8" t="s">
        <v>1740</v>
      </c>
      <c r="J21" s="8" t="s">
        <v>1918</v>
      </c>
    </row>
    <row r="22" customFormat="false" ht="15" hidden="false" customHeight="true" outlineLevel="0" collapsed="false">
      <c r="A22" s="3" t="s">
        <v>1919</v>
      </c>
      <c r="B22" s="112" t="n">
        <v>60</v>
      </c>
      <c r="C22" s="112" t="n">
        <v>80</v>
      </c>
      <c r="D22" s="113" t="n">
        <v>500</v>
      </c>
      <c r="E22" s="48" t="n">
        <f aca="false">((Surface_Engine!G119)*(500*12/Surface_Engine!$B$5)+(Surface_Engine!G137))/((Surface_Engine!G83)*(1-Assumptions!$B$13-(Surface_Engine!G101/Surface_Engine!G83)))/12</f>
        <v>294.721746289886</v>
      </c>
      <c r="F22" s="48" t="n">
        <f aca="false">((Surface_Engine!G119)*(500*12/Surface_Engine!$B$5)+(Surface_Engine!G137))/((Surface_Engine!G83)*(1-Assumptions!$B$13-(0)))/12</f>
        <v>257.235095279159</v>
      </c>
      <c r="G22" s="48" t="n">
        <f aca="false">((Surface_Engine!G119)*(500*12/Surface_Engine!$B$5)+(Surface_Engine!G137))/((Surface_Engine!G83)*(1-Assumptions!$B$13-(0.2)))/12</f>
        <v>324.049405741279</v>
      </c>
      <c r="H22" s="48" t="n">
        <f aca="false">((Surface_Engine!G119)*(500*12/Surface_Engine!$B$5)+(Surface_Engine!G137))/((Surface_Engine!G83)*(1-Assumptions!$B$13-((1*Pricing!$B$10+0.2*0+0.03*0)/Pricing!$B$5*0+Commission_Models!$E$75)))/12</f>
        <v>309.6479298021</v>
      </c>
      <c r="I22" s="48" t="n">
        <f aca="false">((Surface_Engine!G119)*(500*12/Surface_Engine!$B$5)+(Surface_Engine!G137))/((Surface_Engine!G83)*(1-Assumptions!$B$13-((Commission_Models!$B$266*Pricing!$B$10+Commission_Models!$B$267*(Pricing!$B$5-Pricing!$B$10))/Pricing!$B$5)))/12</f>
        <v>287.951992940088</v>
      </c>
      <c r="J22" s="48" t="n">
        <f aca="false">((Surface_Engine!G119)*(500*12/Surface_Engine!$B$5)+(Surface_Engine!G137))/(Surface_Engine!G83)/12</f>
        <v>249.518042420785</v>
      </c>
    </row>
    <row r="23" customFormat="false" ht="15" hidden="false" customHeight="true" outlineLevel="0" collapsed="false">
      <c r="A23" s="3" t="s">
        <v>1920</v>
      </c>
      <c r="B23" s="112" t="n">
        <v>65</v>
      </c>
      <c r="C23" s="112" t="n">
        <v>85</v>
      </c>
      <c r="D23" s="113" t="n">
        <v>1000</v>
      </c>
      <c r="E23" s="48" t="n">
        <f aca="false">((Surface_Engine!L124)*(1000*12/Surface_Engine!$B$5)+(Surface_Engine!L142))/((Surface_Engine!L88)*(1-Assumptions!$B$13-(Surface_Engine!L106/Surface_Engine!L88)))/12</f>
        <v>374.849155852413</v>
      </c>
      <c r="F23" s="48" t="n">
        <f aca="false">((Surface_Engine!L124)*(1000*12/Surface_Engine!$B$5)+(Surface_Engine!L142))/((Surface_Engine!L88)*(1-Assumptions!$B$13-(0)))/12</f>
        <v>326.098500048433</v>
      </c>
      <c r="G23" s="48" t="n">
        <f aca="false">((Surface_Engine!L124)*(1000*12/Surface_Engine!$B$5)+(Surface_Engine!L142))/((Surface_Engine!L88)*(1-Assumptions!$B$13-(0.2)))/12</f>
        <v>410.799409151922</v>
      </c>
      <c r="H23" s="48" t="n">
        <f aca="false">((Surface_Engine!L124)*(1000*12/Surface_Engine!$B$5)+(Surface_Engine!L142))/((Surface_Engine!L88)*(1-Assumptions!$B$13-((1*Pricing!$B$10+0.2*0+0.03*0)/Pricing!$B$5*0+Commission_Models!$E$75)))/12</f>
        <v>392.542570219609</v>
      </c>
      <c r="I23" s="48" t="n">
        <f aca="false">((Surface_Engine!L124)*(1000*12/Surface_Engine!$B$5)+(Surface_Engine!L142))/((Surface_Engine!L88)*(1-Assumptions!$B$13-((Commission_Models!$B$266*Pricing!$B$10+Commission_Models!$B$267*(Pricing!$B$5-Pricing!$B$10))/Pricing!$B$5)))/12</f>
        <v>365.038498661373</v>
      </c>
      <c r="J23" s="48" t="n">
        <f aca="false">((Surface_Engine!L124)*(1000*12/Surface_Engine!$B$5)+(Surface_Engine!L142))/(Surface_Engine!L88)/12</f>
        <v>316.31554504698</v>
      </c>
    </row>
    <row r="24" customFormat="false" ht="15" hidden="false" customHeight="true" outlineLevel="0" collapsed="false">
      <c r="A24" s="3" t="s">
        <v>1921</v>
      </c>
      <c r="B24" s="112" t="n">
        <v>70</v>
      </c>
      <c r="C24" s="112" t="n">
        <v>85</v>
      </c>
      <c r="D24" s="113" t="n">
        <v>1000</v>
      </c>
      <c r="E24" s="48" t="n">
        <f aca="false">((Surface_Engine!L129)*(1000*12/Surface_Engine!$B$5)+(Surface_Engine!L147))/((Surface_Engine!L93)*(1-Assumptions!$B$13-(Surface_Engine!L111/Surface_Engine!L93)))/12</f>
        <v>505.813049712652</v>
      </c>
      <c r="F24" s="48" t="n">
        <f aca="false">((Surface_Engine!L129)*(1000*12/Surface_Engine!$B$5)+(Surface_Engine!L147))/((Surface_Engine!L93)*(1-Assumptions!$B$13-(0)))/12</f>
        <v>430.871025265539</v>
      </c>
      <c r="G24" s="48" t="n">
        <f aca="false">((Surface_Engine!L129)*(1000*12/Surface_Engine!$B$5)+(Surface_Engine!L147))/((Surface_Engine!L93)*(1-Assumptions!$B$13-(0.2)))/12</f>
        <v>542.785577282562</v>
      </c>
      <c r="H24" s="48" t="n">
        <f aca="false">((Surface_Engine!L129)*(1000*12/Surface_Engine!$B$5)+(Surface_Engine!L147))/((Surface_Engine!L93)*(1-Assumptions!$B$13-((1*Pricing!$B$10+0.2*0+0.03*0)/Pricing!$B$5*0+Commission_Models!$E$75)))/12</f>
        <v>518.662979638889</v>
      </c>
      <c r="I24" s="48" t="n">
        <f aca="false">((Surface_Engine!L129)*(1000*12/Surface_Engine!$B$5)+(Surface_Engine!L147))/((Surface_Engine!L93)*(1-Assumptions!$B$13-((Commission_Models!$B$266*Pricing!$B$10+Commission_Models!$B$267*(Pricing!$B$5-Pricing!$B$10))/Pricing!$B$5)))/12</f>
        <v>482.322096410314</v>
      </c>
      <c r="J24" s="48" t="n">
        <f aca="false">((Surface_Engine!L129)*(1000*12/Surface_Engine!$B$5)+(Surface_Engine!L147))/(Surface_Engine!L93)/12</f>
        <v>417.944894507573</v>
      </c>
    </row>
    <row r="25" customFormat="false" ht="15" hidden="false" customHeight="true" outlineLevel="0" collapsed="false">
      <c r="A25" s="3" t="s">
        <v>1922</v>
      </c>
      <c r="B25" s="112" t="n">
        <v>70</v>
      </c>
      <c r="C25" s="112" t="n">
        <v>75</v>
      </c>
      <c r="D25" s="113" t="n">
        <v>500</v>
      </c>
      <c r="E25" s="48" t="n">
        <f aca="false">((Surface_Engine!B129)*(500*12/Surface_Engine!$B$5)+(Surface_Engine!B147))/((Surface_Engine!B93)*(1-Assumptions!$B$13-(Surface_Engine!B111/Surface_Engine!B93)))/12</f>
        <v>1902.4181810171</v>
      </c>
      <c r="F25" s="48" t="n">
        <f aca="false">((Surface_Engine!B129)*(500*12/Surface_Engine!$B$5)+(Surface_Engine!B147))/((Surface_Engine!B93)*(1-Assumptions!$B$13-(0)))/12</f>
        <v>1382.72019347033</v>
      </c>
      <c r="G25" s="48" t="n">
        <f aca="false">((Surface_Engine!B129)*(500*12/Surface_Engine!$B$5)+(Surface_Engine!B147))/((Surface_Engine!B93)*(1-Assumptions!$B$13-(0.2)))/12</f>
        <v>1741.86829567042</v>
      </c>
      <c r="H25" s="48" t="n">
        <f aca="false">((Surface_Engine!B129)*(500*12/Surface_Engine!$B$5)+(Surface_Engine!B147))/((Surface_Engine!B93)*(1-Assumptions!$B$13-((1*Pricing!$B$10+0.2*0+0.03*0)/Pricing!$B$5*0+Commission_Models!$E$75)))/12</f>
        <v>1664.45579651174</v>
      </c>
      <c r="I25" s="48" t="n">
        <f aca="false">((Surface_Engine!B129)*(500*12/Surface_Engine!$B$5)+(Surface_Engine!B147))/((Surface_Engine!B93)*(1-Assumptions!$B$13-((Commission_Models!$B$266*Pricing!$B$10+Commission_Models!$B$267*(Pricing!$B$5-Pricing!$B$10))/Pricing!$B$5)))/12</f>
        <v>1547.8332571852</v>
      </c>
      <c r="J25" s="48" t="n">
        <f aca="false">((Surface_Engine!B129)*(500*12/Surface_Engine!$B$5)+(Surface_Engine!B147))/(Surface_Engine!B93)/12</f>
        <v>1341.23858766622</v>
      </c>
    </row>
    <row r="26" customFormat="false" ht="15" hidden="false" customHeight="true" outlineLevel="0" collapsed="false">
      <c r="A26" s="3" t="s">
        <v>1923</v>
      </c>
      <c r="B26" s="112" t="n">
        <v>60</v>
      </c>
      <c r="C26" s="112" t="n">
        <v>85</v>
      </c>
      <c r="D26" s="113" t="n">
        <v>2000</v>
      </c>
      <c r="E26" s="48" t="n">
        <f aca="false">((Surface_Engine!L119)*(2000*12/Surface_Engine!$B$5)+(Surface_Engine!L137))/((Surface_Engine!L83)*(1-Assumptions!$B$13-(Surface_Engine!L101/Surface_Engine!L83)))/12</f>
        <v>590.062048073318</v>
      </c>
      <c r="F26" s="48" t="n">
        <f aca="false">((Surface_Engine!L119)*(2000*12/Surface_Engine!$B$5)+(Surface_Engine!L137))/((Surface_Engine!L83)*(1-Assumptions!$B$13-(0)))/12</f>
        <v>519.739413429865</v>
      </c>
      <c r="G26" s="48" t="n">
        <f aca="false">((Surface_Engine!L119)*(2000*12/Surface_Engine!$B$5)+(Surface_Engine!L137))/((Surface_Engine!L83)*(1-Assumptions!$B$13-(0.2)))/12</f>
        <v>654.736663671389</v>
      </c>
      <c r="H26" s="48" t="n">
        <f aca="false">((Surface_Engine!L119)*(2000*12/Surface_Engine!$B$5)+(Surface_Engine!L137))/((Surface_Engine!L83)*(1-Assumptions!$B$13-((1*Pricing!$B$10+0.2*0+0.03*0)/Pricing!$B$5*0+Commission_Models!$E$75)))/12</f>
        <v>625.638710886096</v>
      </c>
      <c r="I26" s="48" t="n">
        <f aca="false">((Surface_Engine!L119)*(2000*12/Surface_Engine!$B$5)+(Surface_Engine!L137))/((Surface_Engine!L83)*(1-Assumptions!$B$13-((Commission_Models!$B$266*Pricing!$B$10+Commission_Models!$B$267*(Pricing!$B$5-Pricing!$B$10))/Pricing!$B$5)))/12</f>
        <v>581.802415973709</v>
      </c>
      <c r="J26" s="48" t="n">
        <f aca="false">((Surface_Engine!L119)*(2000*12/Surface_Engine!$B$5)+(Surface_Engine!L137))/(Surface_Engine!L83)/12</f>
        <v>504.147231026969</v>
      </c>
    </row>
    <row r="27" customFormat="false" ht="15" hidden="false" customHeight="true" outlineLevel="0" collapsed="false">
      <c r="A27" s="3" t="s">
        <v>1924</v>
      </c>
      <c r="B27" s="112" t="n">
        <v>60</v>
      </c>
      <c r="C27" s="112" t="n">
        <v>90</v>
      </c>
      <c r="D27" s="113" t="n">
        <v>1000</v>
      </c>
      <c r="E27" s="48" t="n">
        <f aca="false">((Surface_Engine!Q119)*(1000*12/Surface_Engine!$B$5)+(Surface_Engine!Q137))/((Surface_Engine!Q83)*(1-Assumptions!$B$13-(Surface_Engine!Q101/Surface_Engine!Q83)))/12</f>
        <v>141.979198606831</v>
      </c>
      <c r="F27" s="48" t="n">
        <f aca="false">((Surface_Engine!Q119)*(1000*12/Surface_Engine!$B$5)+(Surface_Engine!Q137))/((Surface_Engine!Q83)*(1-Assumptions!$B$13-(0)))/12</f>
        <v>125.687473570912</v>
      </c>
      <c r="G27" s="48" t="n">
        <f aca="false">((Surface_Engine!Q119)*(1000*12/Surface_Engine!$B$5)+(Surface_Engine!Q137))/((Surface_Engine!Q83)*(1-Assumptions!$B$13-(0.2)))/12</f>
        <v>158.333570602317</v>
      </c>
      <c r="H27" s="48" t="n">
        <f aca="false">((Surface_Engine!Q119)*(1000*12/Surface_Engine!$B$5)+(Surface_Engine!Q137))/((Surface_Engine!Q83)*(1-Assumptions!$B$13-((1*Pricing!$B$10+0.2*0+0.03*0)/Pricing!$B$5*0+Commission_Models!$E$75)))/12</f>
        <v>151.296874755962</v>
      </c>
      <c r="I27" s="48" t="n">
        <f aca="false">((Surface_Engine!Q119)*(1000*12/Surface_Engine!$B$5)+(Surface_Engine!Q137))/((Surface_Engine!Q83)*(1-Assumptions!$B$13-((Commission_Models!$B$266*Pricing!$B$10+Commission_Models!$B$267*(Pricing!$B$5-Pricing!$B$10))/Pricing!$B$5)))/12</f>
        <v>140.696037074848</v>
      </c>
      <c r="J27" s="48" t="n">
        <f aca="false">((Surface_Engine!Q119)*(1000*12/Surface_Engine!$B$5)+(Surface_Engine!Q137))/(Surface_Engine!Q83)/12</f>
        <v>121.916849363784</v>
      </c>
    </row>
    <row r="29" customFormat="false" ht="15" hidden="false" customHeight="true" outlineLevel="0" collapsed="false">
      <c r="A29" s="7" t="s">
        <v>1925</v>
      </c>
    </row>
    <row r="30" customFormat="false" ht="15" hidden="false" customHeight="true" outlineLevel="0" collapsed="false">
      <c r="A30" s="7" t="s">
        <v>1926</v>
      </c>
    </row>
    <row r="32" customFormat="false" ht="15" hidden="false" customHeight="true" outlineLevel="0" collapsed="false">
      <c r="A32" s="6" t="s">
        <v>1927</v>
      </c>
    </row>
    <row r="33" customFormat="false" ht="15" hidden="false" customHeight="true" outlineLevel="0" collapsed="false">
      <c r="A33" s="1" t="s">
        <v>1928</v>
      </c>
      <c r="B33" s="27" t="n">
        <f aca="false">E23-D10</f>
        <v>0</v>
      </c>
    </row>
    <row r="34" customFormat="false" ht="15" hidden="false" customHeight="true" outlineLevel="0" collapsed="false">
      <c r="A34" s="1" t="s">
        <v>1929</v>
      </c>
      <c r="B34" s="48" t="n">
        <f aca="false">D10</f>
        <v>374.849155852413</v>
      </c>
    </row>
    <row r="35" customFormat="false" ht="15" hidden="false" customHeight="true" outlineLevel="0" collapsed="false">
      <c r="A35" s="3" t="s">
        <v>458</v>
      </c>
      <c r="B35" s="28" t="str">
        <f aca="false">IF(ABS(B33)&lt;0.05,"PASS — examples and panel agree where they overlap","check")</f>
        <v>PASS — examples and panel agree where they overlap</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5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4"/>
    <col collapsed="false" customWidth="true" hidden="false" outlineLevel="0" max="2" min="2" style="1" width="12"/>
    <col collapsed="false" customWidth="true" hidden="false" outlineLevel="0" max="6" min="3" style="1" width="16"/>
  </cols>
  <sheetData>
    <row r="1" customFormat="false" ht="15.75" hidden="false" customHeight="true" outlineLevel="0" collapsed="false">
      <c r="A1" s="15" t="s">
        <v>252</v>
      </c>
    </row>
    <row r="2" customFormat="false" ht="15" hidden="false" customHeight="true" outlineLevel="0" collapsed="false">
      <c r="A2" s="7" t="s">
        <v>253</v>
      </c>
    </row>
    <row r="3" customFormat="false" ht="15" hidden="false" customHeight="true" outlineLevel="0" collapsed="false">
      <c r="A3" s="7" t="s">
        <v>254</v>
      </c>
    </row>
    <row r="5" customFormat="false" ht="15" hidden="false" customHeight="true" outlineLevel="0" collapsed="false">
      <c r="A5" s="8" t="s">
        <v>255</v>
      </c>
      <c r="B5" s="8" t="s">
        <v>256</v>
      </c>
      <c r="C5" s="8" t="s">
        <v>257</v>
      </c>
      <c r="D5" s="8" t="s">
        <v>258</v>
      </c>
      <c r="E5" s="8" t="s">
        <v>259</v>
      </c>
    </row>
    <row r="6" customFormat="false" ht="15" hidden="false" customHeight="true" outlineLevel="0" collapsed="false">
      <c r="A6" s="3" t="s">
        <v>1</v>
      </c>
      <c r="B6" s="1" t="n">
        <v>118</v>
      </c>
      <c r="C6" s="5" t="n">
        <v>128</v>
      </c>
      <c r="D6" s="7" t="s">
        <v>260</v>
      </c>
      <c r="E6" s="7"/>
    </row>
    <row r="7" customFormat="false" ht="15" hidden="false" customHeight="true" outlineLevel="0" collapsed="false">
      <c r="A7" s="3" t="s">
        <v>261</v>
      </c>
      <c r="B7" s="1" t="n">
        <v>44</v>
      </c>
      <c r="C7" s="5" t="n">
        <v>54</v>
      </c>
      <c r="D7" s="7" t="s">
        <v>262</v>
      </c>
      <c r="E7" s="7"/>
    </row>
    <row r="8" customFormat="false" ht="15" hidden="false" customHeight="true" outlineLevel="0" collapsed="false">
      <c r="A8" s="3" t="s">
        <v>263</v>
      </c>
      <c r="B8" s="1" t="n">
        <v>65</v>
      </c>
      <c r="C8" s="5" t="n">
        <v>75</v>
      </c>
      <c r="D8" s="7" t="s">
        <v>264</v>
      </c>
      <c r="E8" s="7" t="s">
        <v>265</v>
      </c>
    </row>
    <row r="9" customFormat="false" ht="15" hidden="false" customHeight="true" outlineLevel="0" collapsed="false">
      <c r="A9" s="3" t="s">
        <v>266</v>
      </c>
      <c r="B9" s="1" t="n">
        <v>57</v>
      </c>
      <c r="C9" s="5" t="n">
        <v>67</v>
      </c>
      <c r="D9" s="7" t="s">
        <v>267</v>
      </c>
      <c r="E9" s="7"/>
    </row>
    <row r="10" customFormat="false" ht="15" hidden="false" customHeight="true" outlineLevel="0" collapsed="false">
      <c r="A10" s="3" t="s">
        <v>268</v>
      </c>
      <c r="B10" s="1" t="n">
        <v>64</v>
      </c>
      <c r="C10" s="5" t="n">
        <v>74</v>
      </c>
      <c r="D10" s="7" t="s">
        <v>269</v>
      </c>
      <c r="E10" s="7"/>
    </row>
    <row r="11" customFormat="false" ht="15" hidden="false" customHeight="true" outlineLevel="0" collapsed="false">
      <c r="A11" s="3" t="s">
        <v>270</v>
      </c>
      <c r="B11" s="1" t="n">
        <v>182</v>
      </c>
      <c r="C11" s="5" t="n">
        <v>192</v>
      </c>
      <c r="D11" s="7" t="s">
        <v>271</v>
      </c>
      <c r="E11" s="7" t="s">
        <v>272</v>
      </c>
    </row>
    <row r="12" customFormat="false" ht="15" hidden="false" customHeight="true" outlineLevel="0" collapsed="false">
      <c r="A12" s="3" t="s">
        <v>273</v>
      </c>
      <c r="B12" s="1" t="n">
        <v>167</v>
      </c>
      <c r="C12" s="5" t="n">
        <v>177</v>
      </c>
      <c r="D12" s="7" t="s">
        <v>274</v>
      </c>
      <c r="E12" s="7"/>
    </row>
    <row r="13" customFormat="false" ht="15" hidden="false" customHeight="true" outlineLevel="0" collapsed="false">
      <c r="A13" s="3" t="s">
        <v>275</v>
      </c>
      <c r="B13" s="1" t="n">
        <v>81</v>
      </c>
      <c r="C13" s="5" t="n">
        <v>91</v>
      </c>
      <c r="D13" s="7" t="s">
        <v>276</v>
      </c>
      <c r="E13" s="7" t="s">
        <v>277</v>
      </c>
    </row>
    <row r="14" customFormat="false" ht="15" hidden="false" customHeight="true" outlineLevel="0" collapsed="false">
      <c r="A14" s="3" t="s">
        <v>278</v>
      </c>
      <c r="B14" s="1" t="n">
        <v>107</v>
      </c>
      <c r="C14" s="5" t="n">
        <v>117</v>
      </c>
      <c r="D14" s="7" t="s">
        <v>279</v>
      </c>
      <c r="E14" s="7"/>
    </row>
    <row r="15" customFormat="false" ht="15" hidden="false" customHeight="true" outlineLevel="0" collapsed="false">
      <c r="A15" s="3" t="s">
        <v>280</v>
      </c>
      <c r="B15" s="1" t="n">
        <v>65</v>
      </c>
      <c r="C15" s="5" t="n">
        <v>75</v>
      </c>
      <c r="D15" s="7" t="s">
        <v>281</v>
      </c>
      <c r="E15" s="7" t="s">
        <v>282</v>
      </c>
    </row>
    <row r="16" customFormat="false" ht="15" hidden="false" customHeight="true" outlineLevel="0" collapsed="false">
      <c r="A16" s="3" t="s">
        <v>283</v>
      </c>
      <c r="B16" s="1" t="n">
        <v>701</v>
      </c>
      <c r="C16" s="5" t="n">
        <v>711</v>
      </c>
      <c r="D16" s="7" t="s">
        <v>284</v>
      </c>
      <c r="E16" s="7"/>
    </row>
    <row r="17" customFormat="false" ht="15" hidden="false" customHeight="true" outlineLevel="0" collapsed="false">
      <c r="A17" s="3" t="s">
        <v>285</v>
      </c>
      <c r="B17" s="1" t="n">
        <v>21</v>
      </c>
      <c r="C17" s="5" t="n">
        <v>31</v>
      </c>
      <c r="D17" s="7" t="s">
        <v>286</v>
      </c>
      <c r="E17" s="7" t="s">
        <v>287</v>
      </c>
    </row>
    <row r="18" customFormat="false" ht="15" hidden="false" customHeight="true" outlineLevel="0" collapsed="false">
      <c r="A18" s="3" t="s">
        <v>288</v>
      </c>
      <c r="B18" s="1" t="n">
        <v>26</v>
      </c>
      <c r="C18" s="5" t="n">
        <v>36</v>
      </c>
      <c r="D18" s="7" t="s">
        <v>289</v>
      </c>
      <c r="E18" s="7"/>
    </row>
    <row r="19" customFormat="false" ht="15" hidden="false" customHeight="true" outlineLevel="0" collapsed="false">
      <c r="A19" s="3" t="s">
        <v>290</v>
      </c>
      <c r="B19" s="1" t="n">
        <v>173</v>
      </c>
      <c r="C19" s="5" t="n">
        <v>183</v>
      </c>
      <c r="D19" s="7" t="s">
        <v>291</v>
      </c>
      <c r="E19" s="7" t="s">
        <v>292</v>
      </c>
    </row>
    <row r="20" customFormat="false" ht="15" hidden="false" customHeight="true" outlineLevel="0" collapsed="false">
      <c r="A20" s="3" t="s">
        <v>293</v>
      </c>
      <c r="B20" s="1" t="n">
        <v>56</v>
      </c>
      <c r="C20" s="5" t="n">
        <v>66</v>
      </c>
      <c r="D20" s="7" t="s">
        <v>294</v>
      </c>
      <c r="E20" s="7" t="s">
        <v>295</v>
      </c>
    </row>
    <row r="21" customFormat="false" ht="15" hidden="false" customHeight="true" outlineLevel="0" collapsed="false">
      <c r="A21" s="3" t="s">
        <v>296</v>
      </c>
      <c r="B21" s="1" t="n">
        <v>190</v>
      </c>
      <c r="C21" s="5" t="n">
        <v>200</v>
      </c>
      <c r="D21" s="7" t="s">
        <v>297</v>
      </c>
      <c r="E21" s="7" t="s">
        <v>298</v>
      </c>
    </row>
    <row r="22" customFormat="false" ht="15" hidden="false" customHeight="true" outlineLevel="0" collapsed="false">
      <c r="A22" s="3" t="s">
        <v>299</v>
      </c>
      <c r="B22" s="1" t="n">
        <v>545</v>
      </c>
      <c r="C22" s="5" t="n">
        <v>555</v>
      </c>
      <c r="D22" s="7" t="s">
        <v>300</v>
      </c>
      <c r="E22" s="7" t="s">
        <v>301</v>
      </c>
    </row>
    <row r="23" customFormat="false" ht="15" hidden="false" customHeight="true" outlineLevel="0" collapsed="false">
      <c r="A23" s="3" t="s">
        <v>302</v>
      </c>
      <c r="B23" s="1" t="n">
        <v>88</v>
      </c>
      <c r="C23" s="5" t="n">
        <v>98</v>
      </c>
      <c r="D23" s="7" t="s">
        <v>303</v>
      </c>
      <c r="E23" s="7"/>
    </row>
    <row r="24" customFormat="false" ht="15" hidden="false" customHeight="true" outlineLevel="0" collapsed="false">
      <c r="A24" s="3" t="s">
        <v>304</v>
      </c>
      <c r="B24" s="1" t="n">
        <v>110</v>
      </c>
      <c r="C24" s="5" t="n">
        <v>120</v>
      </c>
      <c r="D24" s="7" t="s">
        <v>305</v>
      </c>
      <c r="E24" s="7" t="s">
        <v>306</v>
      </c>
    </row>
    <row r="25" customFormat="false" ht="15" hidden="false" customHeight="true" outlineLevel="0" collapsed="false">
      <c r="A25" s="3" t="s">
        <v>307</v>
      </c>
      <c r="B25" s="1" t="n">
        <v>199</v>
      </c>
      <c r="C25" s="5" t="n">
        <v>209</v>
      </c>
      <c r="D25" s="7" t="s">
        <v>308</v>
      </c>
      <c r="E25" s="7" t="s">
        <v>309</v>
      </c>
    </row>
    <row r="26" customFormat="false" ht="15" hidden="false" customHeight="true" outlineLevel="0" collapsed="false">
      <c r="A26" s="3" t="s">
        <v>310</v>
      </c>
      <c r="B26" s="1" t="n">
        <v>187</v>
      </c>
      <c r="C26" s="5" t="n">
        <v>197</v>
      </c>
      <c r="D26" s="7" t="s">
        <v>311</v>
      </c>
      <c r="E26" s="7"/>
    </row>
    <row r="27" customFormat="false" ht="15" hidden="false" customHeight="true" outlineLevel="0" collapsed="false">
      <c r="A27" s="3" t="s">
        <v>312</v>
      </c>
      <c r="B27" s="1" t="n">
        <v>137</v>
      </c>
      <c r="C27" s="5" t="n">
        <v>147</v>
      </c>
      <c r="D27" s="7" t="s">
        <v>313</v>
      </c>
      <c r="E27" s="7" t="s">
        <v>314</v>
      </c>
    </row>
    <row r="28" customFormat="false" ht="15" hidden="false" customHeight="true" outlineLevel="0" collapsed="false">
      <c r="A28" s="3" t="s">
        <v>315</v>
      </c>
      <c r="B28" s="1" t="n">
        <v>96</v>
      </c>
      <c r="C28" s="5" t="n">
        <v>106</v>
      </c>
      <c r="D28" s="7" t="s">
        <v>316</v>
      </c>
      <c r="E28" s="7" t="s">
        <v>317</v>
      </c>
    </row>
    <row r="29" customFormat="false" ht="15" hidden="false" customHeight="true" outlineLevel="0" collapsed="false">
      <c r="A29" s="3" t="s">
        <v>318</v>
      </c>
      <c r="B29" s="1" t="n">
        <v>1753</v>
      </c>
      <c r="C29" s="5" t="n">
        <v>1763</v>
      </c>
      <c r="D29" s="7" t="s">
        <v>319</v>
      </c>
      <c r="E29" s="7" t="s">
        <v>320</v>
      </c>
    </row>
    <row r="30" customFormat="false" ht="15" hidden="false" customHeight="true" outlineLevel="0" collapsed="false">
      <c r="A30" s="3" t="s">
        <v>321</v>
      </c>
      <c r="B30" s="1" t="n">
        <v>377</v>
      </c>
      <c r="C30" s="5" t="n">
        <v>387</v>
      </c>
      <c r="D30" s="7" t="s">
        <v>322</v>
      </c>
      <c r="E30" s="7" t="s">
        <v>323</v>
      </c>
    </row>
    <row r="31" customFormat="false" ht="15" hidden="false" customHeight="true" outlineLevel="0" collapsed="false">
      <c r="A31" s="3" t="s">
        <v>324</v>
      </c>
      <c r="B31" s="1" t="n">
        <v>57</v>
      </c>
      <c r="C31" s="5" t="n">
        <v>67</v>
      </c>
      <c r="D31" s="7" t="s">
        <v>325</v>
      </c>
      <c r="E31" s="7"/>
    </row>
    <row r="32" customFormat="false" ht="15" hidden="false" customHeight="true" outlineLevel="0" collapsed="false">
      <c r="A32" s="3" t="s">
        <v>326</v>
      </c>
      <c r="B32" s="1" t="n">
        <v>264</v>
      </c>
      <c r="C32" s="5" t="n">
        <v>274</v>
      </c>
      <c r="D32" s="7" t="s">
        <v>327</v>
      </c>
      <c r="E32" s="7" t="s">
        <v>328</v>
      </c>
    </row>
    <row r="33" customFormat="false" ht="15" hidden="false" customHeight="true" outlineLevel="0" collapsed="false">
      <c r="A33" s="3" t="s">
        <v>329</v>
      </c>
      <c r="B33" s="1" t="n">
        <v>35</v>
      </c>
      <c r="C33" s="5" t="n">
        <v>45</v>
      </c>
      <c r="D33" s="7" t="s">
        <v>330</v>
      </c>
      <c r="E33" s="7"/>
    </row>
    <row r="34" customFormat="false" ht="15" hidden="false" customHeight="true" outlineLevel="0" collapsed="false">
      <c r="A34" s="3" t="s">
        <v>331</v>
      </c>
      <c r="B34" s="1" t="n">
        <v>664</v>
      </c>
      <c r="C34" s="5" t="n">
        <v>674</v>
      </c>
      <c r="D34" s="7" t="s">
        <v>332</v>
      </c>
      <c r="E34" s="7"/>
    </row>
    <row r="35" customFormat="false" ht="15" hidden="false" customHeight="true" outlineLevel="0" collapsed="false">
      <c r="A35" s="3" t="s">
        <v>333</v>
      </c>
      <c r="B35" s="1" t="n">
        <v>64</v>
      </c>
      <c r="C35" s="5" t="n">
        <v>74</v>
      </c>
      <c r="D35" s="7" t="s">
        <v>334</v>
      </c>
      <c r="E35" s="7"/>
    </row>
    <row r="36" customFormat="false" ht="15" hidden="false" customHeight="true" outlineLevel="0" collapsed="false">
      <c r="A36" s="3" t="s">
        <v>335</v>
      </c>
      <c r="B36" s="1" t="n">
        <v>101</v>
      </c>
      <c r="C36" s="5" t="n">
        <v>111</v>
      </c>
      <c r="D36" s="7" t="s">
        <v>336</v>
      </c>
      <c r="E36" s="7" t="s">
        <v>337</v>
      </c>
    </row>
    <row r="37" customFormat="false" ht="15" hidden="false" customHeight="true" outlineLevel="0" collapsed="false">
      <c r="A37" s="3" t="s">
        <v>338</v>
      </c>
      <c r="B37" s="1" t="n">
        <v>17</v>
      </c>
      <c r="C37" s="5" t="n">
        <v>27</v>
      </c>
      <c r="D37" s="7" t="s">
        <v>339</v>
      </c>
      <c r="E37" s="7" t="s">
        <v>340</v>
      </c>
    </row>
    <row r="38" customFormat="false" ht="15" hidden="false" customHeight="true" outlineLevel="0" collapsed="false">
      <c r="A38" s="3" t="s">
        <v>341</v>
      </c>
      <c r="B38" s="1" t="n">
        <v>12</v>
      </c>
      <c r="C38" s="5" t="n">
        <v>22</v>
      </c>
      <c r="D38" s="7" t="s">
        <v>342</v>
      </c>
      <c r="E38" s="7"/>
    </row>
    <row r="39" customFormat="false" ht="15" hidden="false" customHeight="true" outlineLevel="0" collapsed="false">
      <c r="A39" s="3" t="s">
        <v>343</v>
      </c>
      <c r="B39" s="1" t="n">
        <v>18</v>
      </c>
      <c r="C39" s="5" t="n">
        <v>28</v>
      </c>
      <c r="D39" s="7" t="s">
        <v>344</v>
      </c>
      <c r="E39" s="7"/>
    </row>
    <row r="40" customFormat="false" ht="15" hidden="false" customHeight="true" outlineLevel="0" collapsed="false">
      <c r="A40" s="3" t="s">
        <v>345</v>
      </c>
      <c r="B40" s="1" t="n">
        <v>35</v>
      </c>
      <c r="C40" s="5" t="n">
        <v>45</v>
      </c>
      <c r="D40" s="7" t="s">
        <v>346</v>
      </c>
      <c r="E40" s="7" t="s">
        <v>347</v>
      </c>
    </row>
    <row r="41" customFormat="false" ht="15" hidden="false" customHeight="true" outlineLevel="0" collapsed="false">
      <c r="A41" s="3" t="s">
        <v>348</v>
      </c>
      <c r="B41" s="1" t="n">
        <v>13</v>
      </c>
      <c r="C41" s="5" t="n">
        <v>23</v>
      </c>
      <c r="D41" s="7" t="s">
        <v>349</v>
      </c>
      <c r="E41" s="7" t="s">
        <v>350</v>
      </c>
    </row>
    <row r="42" customFormat="false" ht="15" hidden="false" customHeight="true" outlineLevel="0" collapsed="false">
      <c r="A42" s="3" t="s">
        <v>351</v>
      </c>
      <c r="B42" s="1" t="n">
        <v>47</v>
      </c>
      <c r="C42" s="5" t="n">
        <v>57</v>
      </c>
      <c r="D42" s="7" t="s">
        <v>352</v>
      </c>
      <c r="E42" s="7" t="s">
        <v>353</v>
      </c>
    </row>
    <row r="43" customFormat="false" ht="15" hidden="false" customHeight="true" outlineLevel="0" collapsed="false">
      <c r="A43" s="3" t="s">
        <v>354</v>
      </c>
      <c r="B43" s="1" t="n">
        <v>59</v>
      </c>
      <c r="C43" s="5" t="n">
        <v>69</v>
      </c>
      <c r="D43" s="7" t="s">
        <v>355</v>
      </c>
      <c r="E43" s="7" t="s">
        <v>356</v>
      </c>
    </row>
    <row r="44" customFormat="false" ht="15" hidden="false" customHeight="true" outlineLevel="0" collapsed="false">
      <c r="A44" s="3" t="s">
        <v>357</v>
      </c>
      <c r="B44" s="1" t="n">
        <v>42</v>
      </c>
      <c r="C44" s="5" t="n">
        <v>52</v>
      </c>
      <c r="D44" s="7" t="s">
        <v>358</v>
      </c>
      <c r="E44" s="7"/>
    </row>
    <row r="45" customFormat="false" ht="15" hidden="false" customHeight="true" outlineLevel="0" collapsed="false">
      <c r="A45" s="1" t="s">
        <v>359</v>
      </c>
      <c r="B45" s="1" t="n">
        <v>89</v>
      </c>
      <c r="C45" s="1" t="n">
        <v>99</v>
      </c>
      <c r="D45" s="1" t="s">
        <v>360</v>
      </c>
    </row>
    <row r="46" customFormat="false" ht="15" hidden="false" customHeight="true" outlineLevel="0" collapsed="false">
      <c r="A46" s="6" t="s">
        <v>361</v>
      </c>
      <c r="B46" s="1" t="n">
        <v>256</v>
      </c>
      <c r="C46" s="1" t="n">
        <v>266</v>
      </c>
      <c r="D46" s="1" t="s">
        <v>362</v>
      </c>
    </row>
    <row r="47" customFormat="false" ht="15" hidden="false" customHeight="true" outlineLevel="0" collapsed="false">
      <c r="A47" s="7" t="s">
        <v>363</v>
      </c>
      <c r="B47" s="1" t="n">
        <v>36</v>
      </c>
      <c r="C47" s="1" t="n">
        <v>46</v>
      </c>
      <c r="D47" s="1" t="s">
        <v>364</v>
      </c>
    </row>
    <row r="48" customFormat="false" ht="15" hidden="false" customHeight="true" outlineLevel="0" collapsed="false">
      <c r="A48" s="7" t="s">
        <v>365</v>
      </c>
      <c r="B48" s="1" t="n">
        <v>58</v>
      </c>
      <c r="C48" s="1" t="n">
        <v>68</v>
      </c>
      <c r="D48" s="1" t="s">
        <v>366</v>
      </c>
      <c r="E48" s="1" t="s">
        <v>367</v>
      </c>
    </row>
    <row r="49" customFormat="false" ht="15" hidden="false" customHeight="true" outlineLevel="0" collapsed="false">
      <c r="A49" s="7" t="s">
        <v>368</v>
      </c>
      <c r="B49" s="1" t="n">
        <v>251</v>
      </c>
      <c r="C49" s="1" t="n">
        <v>261</v>
      </c>
      <c r="D49" s="1" t="s">
        <v>369</v>
      </c>
    </row>
    <row r="50" customFormat="false" ht="15" hidden="false" customHeight="true" outlineLevel="0" collapsed="false">
      <c r="A50" s="7"/>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66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7" min="1" style="1" width="15"/>
  </cols>
  <sheetData>
    <row r="1" customFormat="false" ht="15.75" hidden="false" customHeight="true" outlineLevel="0" collapsed="false">
      <c r="A1" s="15" t="s">
        <v>1930</v>
      </c>
    </row>
    <row r="2" customFormat="false" ht="15" hidden="false" customHeight="true" outlineLevel="0" collapsed="false">
      <c r="A2" s="7" t="s">
        <v>1931</v>
      </c>
    </row>
    <row r="3" customFormat="false" ht="15" hidden="false" customHeight="true" outlineLevel="0" collapsed="false">
      <c r="A3" s="8" t="s">
        <v>1932</v>
      </c>
      <c r="B3" s="8" t="s">
        <v>1933</v>
      </c>
      <c r="C3" s="8" t="s">
        <v>1934</v>
      </c>
      <c r="D3" s="8" t="s">
        <v>1935</v>
      </c>
      <c r="E3" s="8" t="s">
        <v>1936</v>
      </c>
      <c r="F3" s="8" t="s">
        <v>1937</v>
      </c>
      <c r="G3" s="8" t="s">
        <v>1938</v>
      </c>
      <c r="I3" s="6" t="s">
        <v>1939</v>
      </c>
    </row>
    <row r="4" customFormat="false" ht="15" hidden="false" customHeight="true" outlineLevel="0" collapsed="false">
      <c r="A4" s="1" t="n">
        <v>0</v>
      </c>
      <c r="B4" s="11" t="n">
        <f aca="false">A4/12</f>
        <v>0</v>
      </c>
      <c r="C4" s="34" t="n">
        <f aca="false">INT(B4)</f>
        <v>0</v>
      </c>
      <c r="D4" s="11" t="n">
        <f aca="false">B4-C4</f>
        <v>0</v>
      </c>
      <c r="E4" s="30" t="n">
        <f aca="false">INDEX(Discount!$C$4:$C$59,C4+1)</f>
        <v>1</v>
      </c>
      <c r="F4" s="30" t="n">
        <f aca="false">IF(C4+2&gt;56,INDEX(Discount!$C$4:$C$59,56),INDEX(Discount!$C$4:$C$59,C4+2))</f>
        <v>0.974696869273656</v>
      </c>
      <c r="G4" s="30" t="n">
        <f aca="false">IF(D4=0,E4,EXP((1-D4)*LN(E4)+D4*LN(F4)))</f>
        <v>1</v>
      </c>
      <c r="I4" s="1" t="s">
        <v>1940</v>
      </c>
      <c r="J4" s="30" t="n">
        <f aca="false">G4</f>
        <v>1</v>
      </c>
    </row>
    <row r="5" customFormat="false" ht="15" hidden="false" customHeight="true" outlineLevel="0" collapsed="false">
      <c r="A5" s="1" t="n">
        <v>1</v>
      </c>
      <c r="B5" s="11" t="n">
        <f aca="false">A5/12</f>
        <v>0.0833333333333333</v>
      </c>
      <c r="C5" s="34" t="n">
        <f aca="false">INT(B5)</f>
        <v>0</v>
      </c>
      <c r="D5" s="11" t="n">
        <f aca="false">B5-C5</f>
        <v>0.0833333333333333</v>
      </c>
      <c r="E5" s="30" t="n">
        <f aca="false">INDEX(Discount!$C$4:$C$59,C5+1)</f>
        <v>1</v>
      </c>
      <c r="F5" s="30" t="n">
        <f aca="false">IF(C5+2&gt;56,INDEX(Discount!$C$4:$C$59,56),INDEX(Discount!$C$4:$C$59,C5+2))</f>
        <v>0.974696869273656</v>
      </c>
      <c r="G5" s="30" t="n">
        <f aca="false">IF(D5=0,E5,EXP((1-D5)*LN(E5)+D5*LN(F5)))</f>
        <v>0.997866549079001</v>
      </c>
      <c r="I5" s="1" t="s">
        <v>1941</v>
      </c>
      <c r="J5" s="27" t="n">
        <f aca="false">G184-Discount!C19</f>
        <v>0</v>
      </c>
    </row>
    <row r="6" customFormat="false" ht="15" hidden="false" customHeight="true" outlineLevel="0" collapsed="false">
      <c r="A6" s="1" t="n">
        <v>2</v>
      </c>
      <c r="B6" s="11" t="n">
        <f aca="false">A6/12</f>
        <v>0.166666666666667</v>
      </c>
      <c r="C6" s="34" t="n">
        <f aca="false">INT(B6)</f>
        <v>0</v>
      </c>
      <c r="D6" s="11" t="n">
        <f aca="false">B6-C6</f>
        <v>0.166666666666667</v>
      </c>
      <c r="E6" s="30" t="n">
        <f aca="false">INDEX(Discount!$C$4:$C$59,C6+1)</f>
        <v>1</v>
      </c>
      <c r="F6" s="30" t="n">
        <f aca="false">IF(C6+2&gt;56,INDEX(Discount!$C$4:$C$59,56),INDEX(Discount!$C$4:$C$59,C6+2))</f>
        <v>0.974696869273656</v>
      </c>
      <c r="G6" s="30" t="n">
        <f aca="false">IF(D6=0,E6,EXP((1-D6)*LN(E6)+D6*LN(F6)))</f>
        <v>0.995737649770834</v>
      </c>
      <c r="I6" s="1" t="s">
        <v>1942</v>
      </c>
      <c r="J6" s="27" t="n">
        <f aca="false">G244-Discount!C24</f>
        <v>0</v>
      </c>
    </row>
    <row r="7" customFormat="false" ht="15" hidden="false" customHeight="true" outlineLevel="0" collapsed="false">
      <c r="A7" s="1" t="n">
        <v>3</v>
      </c>
      <c r="B7" s="11" t="n">
        <f aca="false">A7/12</f>
        <v>0.25</v>
      </c>
      <c r="C7" s="34" t="n">
        <f aca="false">INT(B7)</f>
        <v>0</v>
      </c>
      <c r="D7" s="11" t="n">
        <f aca="false">B7-C7</f>
        <v>0.25</v>
      </c>
      <c r="E7" s="30" t="n">
        <f aca="false">INDEX(Discount!$C$4:$C$59,C7+1)</f>
        <v>1</v>
      </c>
      <c r="F7" s="30" t="n">
        <f aca="false">IF(C7+2&gt;56,INDEX(Discount!$C$4:$C$59,56),INDEX(Discount!$C$4:$C$59,C7+2))</f>
        <v>0.974696869273656</v>
      </c>
      <c r="G7" s="30" t="n">
        <f aca="false">IF(D7=0,E7,EXP((1-D7)*LN(E7)+D7*LN(F7)))</f>
        <v>0.993613292364856</v>
      </c>
      <c r="I7" s="1" t="s">
        <v>1943</v>
      </c>
      <c r="J7" s="5" t="str">
        <f aca="false">IF(SUMPRODUCT(--(G5:G664&gt;=G4:G663))=0,"yes","NO")</f>
        <v>yes</v>
      </c>
    </row>
    <row r="8" customFormat="false" ht="15" hidden="false" customHeight="true" outlineLevel="0" collapsed="false">
      <c r="A8" s="1" t="n">
        <v>4</v>
      </c>
      <c r="B8" s="11" t="n">
        <f aca="false">A8/12</f>
        <v>0.333333333333333</v>
      </c>
      <c r="C8" s="34" t="n">
        <f aca="false">INT(B8)</f>
        <v>0</v>
      </c>
      <c r="D8" s="11" t="n">
        <f aca="false">B8-C8</f>
        <v>0.333333333333333</v>
      </c>
      <c r="E8" s="30" t="n">
        <f aca="false">INDEX(Discount!$C$4:$C$59,C8+1)</f>
        <v>1</v>
      </c>
      <c r="F8" s="30" t="n">
        <f aca="false">IF(C8+2&gt;56,INDEX(Discount!$C$4:$C$59,56),INDEX(Discount!$C$4:$C$59,C8+2))</f>
        <v>0.974696869273656</v>
      </c>
      <c r="G8" s="30" t="n">
        <f aca="false">IF(D8=0,E8,EXP((1-D8)*LN(E8)+D8*LN(F8)))</f>
        <v>0.991493467171143</v>
      </c>
      <c r="I8" s="3" t="s">
        <v>458</v>
      </c>
      <c r="J8" s="28" t="str">
        <f aca="false">IF(AND(ABS(J4-1)&lt;0.000000000001,ABS(J5)&lt;0.000000000001,ABS(J6)&lt;0.000000000001,J7="yes"),"PASS — monthly curve ties to the annual curve at integer years","FAIL")</f>
        <v>PASS — monthly curve ties to the annual curve at integer years</v>
      </c>
    </row>
    <row r="9" customFormat="false" ht="15" hidden="false" customHeight="true" outlineLevel="0" collapsed="false">
      <c r="A9" s="1" t="n">
        <v>5</v>
      </c>
      <c r="B9" s="11" t="n">
        <f aca="false">A9/12</f>
        <v>0.416666666666667</v>
      </c>
      <c r="C9" s="34" t="n">
        <f aca="false">INT(B9)</f>
        <v>0</v>
      </c>
      <c r="D9" s="11" t="n">
        <f aca="false">B9-C9</f>
        <v>0.416666666666667</v>
      </c>
      <c r="E9" s="30" t="n">
        <f aca="false">INDEX(Discount!$C$4:$C$59,C9+1)</f>
        <v>1</v>
      </c>
      <c r="F9" s="30" t="n">
        <f aca="false">IF(C9+2&gt;56,INDEX(Discount!$C$4:$C$59,56),INDEX(Discount!$C$4:$C$59,C9+2))</f>
        <v>0.974696869273656</v>
      </c>
      <c r="G9" s="30" t="n">
        <f aca="false">IF(D9=0,E9,EXP((1-D9)*LN(E9)+D9*LN(F9)))</f>
        <v>0.989378164520442</v>
      </c>
    </row>
    <row r="10" customFormat="false" ht="15" hidden="false" customHeight="true" outlineLevel="0" collapsed="false">
      <c r="A10" s="1" t="n">
        <v>6</v>
      </c>
      <c r="B10" s="11" t="n">
        <f aca="false">A10/12</f>
        <v>0.5</v>
      </c>
      <c r="C10" s="34" t="n">
        <f aca="false">INT(B10)</f>
        <v>0</v>
      </c>
      <c r="D10" s="11" t="n">
        <f aca="false">B10-C10</f>
        <v>0.5</v>
      </c>
      <c r="E10" s="30" t="n">
        <f aca="false">INDEX(Discount!$C$4:$C$59,C10+1)</f>
        <v>1</v>
      </c>
      <c r="F10" s="30" t="n">
        <f aca="false">IF(C10+2&gt;56,INDEX(Discount!$C$4:$C$59,56),INDEX(Discount!$C$4:$C$59,C10+2))</f>
        <v>0.974696869273656</v>
      </c>
      <c r="G10" s="30" t="n">
        <f aca="false">IF(D10=0,E10,EXP((1-D10)*LN(E10)+D10*LN(F10)))</f>
        <v>0.987267374764129</v>
      </c>
    </row>
    <row r="11" customFormat="false" ht="15" hidden="false" customHeight="true" outlineLevel="0" collapsed="false">
      <c r="A11" s="1" t="n">
        <v>7</v>
      </c>
      <c r="B11" s="11" t="n">
        <f aca="false">A11/12</f>
        <v>0.583333333333333</v>
      </c>
      <c r="C11" s="34" t="n">
        <f aca="false">INT(B11)</f>
        <v>0</v>
      </c>
      <c r="D11" s="11" t="n">
        <f aca="false">B11-C11</f>
        <v>0.583333333333333</v>
      </c>
      <c r="E11" s="30" t="n">
        <f aca="false">INDEX(Discount!$C$4:$C$59,C11+1)</f>
        <v>1</v>
      </c>
      <c r="F11" s="30" t="n">
        <f aca="false">IF(C11+2&gt;56,INDEX(Discount!$C$4:$C$59,56),INDEX(Discount!$C$4:$C$59,C11+2))</f>
        <v>0.974696869273656</v>
      </c>
      <c r="G11" s="30" t="n">
        <f aca="false">IF(D11=0,E11,EXP((1-D11)*LN(E11)+D11*LN(F11)))</f>
        <v>0.985161088274166</v>
      </c>
    </row>
    <row r="12" customFormat="false" ht="15" hidden="false" customHeight="true" outlineLevel="0" collapsed="false">
      <c r="A12" s="1" t="n">
        <v>8</v>
      </c>
      <c r="B12" s="11" t="n">
        <f aca="false">A12/12</f>
        <v>0.666666666666667</v>
      </c>
      <c r="C12" s="34" t="n">
        <f aca="false">INT(B12)</f>
        <v>0</v>
      </c>
      <c r="D12" s="11" t="n">
        <f aca="false">B12-C12</f>
        <v>0.666666666666667</v>
      </c>
      <c r="E12" s="30" t="n">
        <f aca="false">INDEX(Discount!$C$4:$C$59,C12+1)</f>
        <v>1</v>
      </c>
      <c r="F12" s="30" t="n">
        <f aca="false">IF(C12+2&gt;56,INDEX(Discount!$C$4:$C$59,56),INDEX(Discount!$C$4:$C$59,C12+2))</f>
        <v>0.974696869273656</v>
      </c>
      <c r="G12" s="30" t="n">
        <f aca="false">IF(D12=0,E12,EXP((1-D12)*LN(E12)+D12*LN(F12)))</f>
        <v>0.983059295443055</v>
      </c>
    </row>
    <row r="13" customFormat="false" ht="15" hidden="false" customHeight="true" outlineLevel="0" collapsed="false">
      <c r="A13" s="1" t="n">
        <v>9</v>
      </c>
      <c r="B13" s="11" t="n">
        <f aca="false">A13/12</f>
        <v>0.75</v>
      </c>
      <c r="C13" s="34" t="n">
        <f aca="false">INT(B13)</f>
        <v>0</v>
      </c>
      <c r="D13" s="11" t="n">
        <f aca="false">B13-C13</f>
        <v>0.75</v>
      </c>
      <c r="E13" s="30" t="n">
        <f aca="false">INDEX(Discount!$C$4:$C$59,C13+1)</f>
        <v>1</v>
      </c>
      <c r="F13" s="30" t="n">
        <f aca="false">IF(C13+2&gt;56,INDEX(Discount!$C$4:$C$59,56),INDEX(Discount!$C$4:$C$59,C13+2))</f>
        <v>0.974696869273656</v>
      </c>
      <c r="G13" s="30" t="n">
        <f aca="false">IF(D13=0,E13,EXP((1-D13)*LN(E13)+D13*LN(F13)))</f>
        <v>0.980961986683795</v>
      </c>
    </row>
    <row r="14" customFormat="false" ht="15" hidden="false" customHeight="true" outlineLevel="0" collapsed="false">
      <c r="A14" s="1" t="n">
        <v>10</v>
      </c>
      <c r="B14" s="11" t="n">
        <f aca="false">A14/12</f>
        <v>0.833333333333333</v>
      </c>
      <c r="C14" s="34" t="n">
        <f aca="false">INT(B14)</f>
        <v>0</v>
      </c>
      <c r="D14" s="11" t="n">
        <f aca="false">B14-C14</f>
        <v>0.833333333333333</v>
      </c>
      <c r="E14" s="30" t="n">
        <f aca="false">INDEX(Discount!$C$4:$C$59,C14+1)</f>
        <v>1</v>
      </c>
      <c r="F14" s="30" t="n">
        <f aca="false">IF(C14+2&gt;56,INDEX(Discount!$C$4:$C$59,56),INDEX(Discount!$C$4:$C$59,C14+2))</f>
        <v>0.974696869273656</v>
      </c>
      <c r="G14" s="30" t="n">
        <f aca="false">IF(D14=0,E14,EXP((1-D14)*LN(E14)+D14*LN(F14)))</f>
        <v>0.978869152429839</v>
      </c>
    </row>
    <row r="15" customFormat="false" ht="15" hidden="false" customHeight="true" outlineLevel="0" collapsed="false">
      <c r="A15" s="1" t="n">
        <v>11</v>
      </c>
      <c r="B15" s="11" t="n">
        <f aca="false">A15/12</f>
        <v>0.916666666666667</v>
      </c>
      <c r="C15" s="34" t="n">
        <f aca="false">INT(B15)</f>
        <v>0</v>
      </c>
      <c r="D15" s="11" t="n">
        <f aca="false">B15-C15</f>
        <v>0.916666666666667</v>
      </c>
      <c r="E15" s="30" t="n">
        <f aca="false">INDEX(Discount!$C$4:$C$59,C15+1)</f>
        <v>1</v>
      </c>
      <c r="F15" s="30" t="n">
        <f aca="false">IF(C15+2&gt;56,INDEX(Discount!$C$4:$C$59,56),INDEX(Discount!$C$4:$C$59,C15+2))</f>
        <v>0.974696869273656</v>
      </c>
      <c r="G15" s="30" t="n">
        <f aca="false">IF(D15=0,E15,EXP((1-D15)*LN(E15)+D15*LN(F15)))</f>
        <v>0.97678078313505</v>
      </c>
    </row>
    <row r="16" customFormat="false" ht="15" hidden="false" customHeight="true" outlineLevel="0" collapsed="false">
      <c r="A16" s="1" t="n">
        <v>12</v>
      </c>
      <c r="B16" s="11" t="n">
        <f aca="false">A16/12</f>
        <v>1</v>
      </c>
      <c r="C16" s="34" t="n">
        <f aca="false">INT(B16)</f>
        <v>1</v>
      </c>
      <c r="D16" s="11" t="n">
        <f aca="false">B16-C16</f>
        <v>0</v>
      </c>
      <c r="E16" s="30" t="n">
        <f aca="false">INDEX(Discount!$C$4:$C$59,C16+1)</f>
        <v>0.974696869273656</v>
      </c>
      <c r="F16" s="30" t="n">
        <f aca="false">IF(C16+2&gt;56,INDEX(Discount!$C$4:$C$59,56),INDEX(Discount!$C$4:$C$59,C16+2))</f>
        <v>0.949478633477643</v>
      </c>
      <c r="G16" s="30" t="n">
        <f aca="false">IF(D16=0,E16,EXP((1-D16)*LN(E16)+D16*LN(F16)))</f>
        <v>0.974696869273656</v>
      </c>
    </row>
    <row r="17" customFormat="false" ht="15" hidden="false" customHeight="true" outlineLevel="0" collapsed="false">
      <c r="A17" s="1" t="n">
        <v>13</v>
      </c>
      <c r="B17" s="11" t="n">
        <f aca="false">A17/12</f>
        <v>1.08333333333333</v>
      </c>
      <c r="C17" s="34" t="n">
        <f aca="false">INT(B17)</f>
        <v>1</v>
      </c>
      <c r="D17" s="11" t="n">
        <f aca="false">B17-C17</f>
        <v>0.0833333333333333</v>
      </c>
      <c r="E17" s="30" t="n">
        <f aca="false">INDEX(Discount!$C$4:$C$59,C17+1)</f>
        <v>0.974696869273656</v>
      </c>
      <c r="F17" s="30" t="n">
        <f aca="false">IF(C17+2&gt;56,INDEX(Discount!$C$4:$C$59,56),INDEX(Discount!$C$4:$C$59,C17+2))</f>
        <v>0.949478633477643</v>
      </c>
      <c r="G17" s="30" t="n">
        <f aca="false">IF(D17=0,E17,EXP((1-D17)*LN(E17)+D17*LN(F17)))</f>
        <v>0.972570009066869</v>
      </c>
    </row>
    <row r="18" customFormat="false" ht="15" hidden="false" customHeight="true" outlineLevel="0" collapsed="false">
      <c r="A18" s="1" t="n">
        <v>14</v>
      </c>
      <c r="B18" s="11" t="n">
        <f aca="false">A18/12</f>
        <v>1.16666666666667</v>
      </c>
      <c r="C18" s="34" t="n">
        <f aca="false">INT(B18)</f>
        <v>1</v>
      </c>
      <c r="D18" s="11" t="n">
        <f aca="false">B18-C18</f>
        <v>0.166666666666667</v>
      </c>
      <c r="E18" s="30" t="n">
        <f aca="false">INDEX(Discount!$C$4:$C$59,C18+1)</f>
        <v>0.974696869273656</v>
      </c>
      <c r="F18" s="30" t="n">
        <f aca="false">IF(C18+2&gt;56,INDEX(Discount!$C$4:$C$59,56),INDEX(Discount!$C$4:$C$59,C18+2))</f>
        <v>0.949478633477643</v>
      </c>
      <c r="G18" s="30" t="n">
        <f aca="false">IF(D18=0,E18,EXP((1-D18)*LN(E18)+D18*LN(F18)))</f>
        <v>0.970447789825372</v>
      </c>
    </row>
    <row r="19" customFormat="false" ht="15" hidden="false" customHeight="true" outlineLevel="0" collapsed="false">
      <c r="A19" s="1" t="n">
        <v>15</v>
      </c>
      <c r="B19" s="11" t="n">
        <f aca="false">A19/12</f>
        <v>1.25</v>
      </c>
      <c r="C19" s="34" t="n">
        <f aca="false">INT(B19)</f>
        <v>1</v>
      </c>
      <c r="D19" s="11" t="n">
        <f aca="false">B19-C19</f>
        <v>0.25</v>
      </c>
      <c r="E19" s="30" t="n">
        <f aca="false">INDEX(Discount!$C$4:$C$59,C19+1)</f>
        <v>0.974696869273656</v>
      </c>
      <c r="F19" s="30" t="n">
        <f aca="false">IF(C19+2&gt;56,INDEX(Discount!$C$4:$C$59,56),INDEX(Discount!$C$4:$C$59,C19+2))</f>
        <v>0.949478633477643</v>
      </c>
      <c r="G19" s="30" t="n">
        <f aca="false">IF(D19=0,E19,EXP((1-D19)*LN(E19)+D19*LN(F19)))</f>
        <v>0.968330201422239</v>
      </c>
    </row>
    <row r="20" customFormat="false" ht="15" hidden="false" customHeight="true" outlineLevel="0" collapsed="false">
      <c r="A20" s="1" t="n">
        <v>16</v>
      </c>
      <c r="B20" s="11" t="n">
        <f aca="false">A20/12</f>
        <v>1.33333333333333</v>
      </c>
      <c r="C20" s="34" t="n">
        <f aca="false">INT(B20)</f>
        <v>1</v>
      </c>
      <c r="D20" s="11" t="n">
        <f aca="false">B20-C20</f>
        <v>0.333333333333333</v>
      </c>
      <c r="E20" s="30" t="n">
        <f aca="false">INDEX(Discount!$C$4:$C$59,C20+1)</f>
        <v>0.974696869273656</v>
      </c>
      <c r="F20" s="30" t="n">
        <f aca="false">IF(C20+2&gt;56,INDEX(Discount!$C$4:$C$59,56),INDEX(Discount!$C$4:$C$59,C20+2))</f>
        <v>0.949478633477643</v>
      </c>
      <c r="G20" s="30" t="n">
        <f aca="false">IF(D20=0,E20,EXP((1-D20)*LN(E20)+D20*LN(F20)))</f>
        <v>0.96621723375264</v>
      </c>
    </row>
    <row r="21" customFormat="false" ht="15" hidden="false" customHeight="true" outlineLevel="0" collapsed="false">
      <c r="A21" s="1" t="n">
        <v>17</v>
      </c>
      <c r="B21" s="11" t="n">
        <f aca="false">A21/12</f>
        <v>1.41666666666667</v>
      </c>
      <c r="C21" s="34" t="n">
        <f aca="false">INT(B21)</f>
        <v>1</v>
      </c>
      <c r="D21" s="11" t="n">
        <f aca="false">B21-C21</f>
        <v>0.416666666666667</v>
      </c>
      <c r="E21" s="30" t="n">
        <f aca="false">INDEX(Discount!$C$4:$C$59,C21+1)</f>
        <v>0.974696869273656</v>
      </c>
      <c r="F21" s="30" t="n">
        <f aca="false">IF(C21+2&gt;56,INDEX(Discount!$C$4:$C$59,56),INDEX(Discount!$C$4:$C$59,C21+2))</f>
        <v>0.949478633477643</v>
      </c>
      <c r="G21" s="30" t="n">
        <f aca="false">IF(D21=0,E21,EXP((1-D21)*LN(E21)+D21*LN(F21)))</f>
        <v>0.964108876733794</v>
      </c>
    </row>
    <row r="22" customFormat="false" ht="15" hidden="false" customHeight="true" outlineLevel="0" collapsed="false">
      <c r="A22" s="1" t="n">
        <v>18</v>
      </c>
      <c r="B22" s="11" t="n">
        <f aca="false">A22/12</f>
        <v>1.5</v>
      </c>
      <c r="C22" s="34" t="n">
        <f aca="false">INT(B22)</f>
        <v>1</v>
      </c>
      <c r="D22" s="11" t="n">
        <f aca="false">B22-C22</f>
        <v>0.5</v>
      </c>
      <c r="E22" s="30" t="n">
        <f aca="false">INDEX(Discount!$C$4:$C$59,C22+1)</f>
        <v>0.974696869273656</v>
      </c>
      <c r="F22" s="30" t="n">
        <f aca="false">IF(C22+2&gt;56,INDEX(Discount!$C$4:$C$59,56),INDEX(Discount!$C$4:$C$59,C22+2))</f>
        <v>0.949478633477643</v>
      </c>
      <c r="G22" s="30" t="n">
        <f aca="false">IF(D22=0,E22,EXP((1-D22)*LN(E22)+D22*LN(F22)))</f>
        <v>0.962005120304922</v>
      </c>
    </row>
    <row r="23" customFormat="false" ht="15" hidden="false" customHeight="true" outlineLevel="0" collapsed="false">
      <c r="A23" s="1" t="n">
        <v>19</v>
      </c>
      <c r="B23" s="11" t="n">
        <f aca="false">A23/12</f>
        <v>1.58333333333333</v>
      </c>
      <c r="C23" s="34" t="n">
        <f aca="false">INT(B23)</f>
        <v>1</v>
      </c>
      <c r="D23" s="11" t="n">
        <f aca="false">B23-C23</f>
        <v>0.583333333333333</v>
      </c>
      <c r="E23" s="30" t="n">
        <f aca="false">INDEX(Discount!$C$4:$C$59,C23+1)</f>
        <v>0.974696869273656</v>
      </c>
      <c r="F23" s="30" t="n">
        <f aca="false">IF(C23+2&gt;56,INDEX(Discount!$C$4:$C$59,56),INDEX(Discount!$C$4:$C$59,C23+2))</f>
        <v>0.949478633477643</v>
      </c>
      <c r="G23" s="30" t="n">
        <f aca="false">IF(D23=0,E23,EXP((1-D23)*LN(E23)+D23*LN(F23)))</f>
        <v>0.9599059544272</v>
      </c>
    </row>
    <row r="24" customFormat="false" ht="15" hidden="false" customHeight="true" outlineLevel="0" collapsed="false">
      <c r="A24" s="1" t="n">
        <v>20</v>
      </c>
      <c r="B24" s="11" t="n">
        <f aca="false">A24/12</f>
        <v>1.66666666666667</v>
      </c>
      <c r="C24" s="34" t="n">
        <f aca="false">INT(B24)</f>
        <v>1</v>
      </c>
      <c r="D24" s="11" t="n">
        <f aca="false">B24-C24</f>
        <v>0.666666666666667</v>
      </c>
      <c r="E24" s="30" t="n">
        <f aca="false">INDEX(Discount!$C$4:$C$59,C24+1)</f>
        <v>0.974696869273656</v>
      </c>
      <c r="F24" s="30" t="n">
        <f aca="false">IF(C24+2&gt;56,INDEX(Discount!$C$4:$C$59,56),INDEX(Discount!$C$4:$C$59,C24+2))</f>
        <v>0.949478633477643</v>
      </c>
      <c r="G24" s="30" t="n">
        <f aca="false">IF(D24=0,E24,EXP((1-D24)*LN(E24)+D24*LN(F24)))</f>
        <v>0.957811369083707</v>
      </c>
    </row>
    <row r="25" customFormat="false" ht="15" hidden="false" customHeight="true" outlineLevel="0" collapsed="false">
      <c r="A25" s="1" t="n">
        <v>21</v>
      </c>
      <c r="B25" s="11" t="n">
        <f aca="false">A25/12</f>
        <v>1.75</v>
      </c>
      <c r="C25" s="34" t="n">
        <f aca="false">INT(B25)</f>
        <v>1</v>
      </c>
      <c r="D25" s="11" t="n">
        <f aca="false">B25-C25</f>
        <v>0.75</v>
      </c>
      <c r="E25" s="30" t="n">
        <f aca="false">INDEX(Discount!$C$4:$C$59,C25+1)</f>
        <v>0.974696869273656</v>
      </c>
      <c r="F25" s="30" t="n">
        <f aca="false">IF(C25+2&gt;56,INDEX(Discount!$C$4:$C$59,56),INDEX(Discount!$C$4:$C$59,C25+2))</f>
        <v>0.949478633477643</v>
      </c>
      <c r="G25" s="30" t="n">
        <f aca="false">IF(D25=0,E25,EXP((1-D25)*LN(E25)+D25*LN(F25)))</f>
        <v>0.955721354279381</v>
      </c>
    </row>
    <row r="26" customFormat="false" ht="15" hidden="false" customHeight="true" outlineLevel="0" collapsed="false">
      <c r="A26" s="1" t="n">
        <v>22</v>
      </c>
      <c r="B26" s="11" t="n">
        <f aca="false">A26/12</f>
        <v>1.83333333333333</v>
      </c>
      <c r="C26" s="34" t="n">
        <f aca="false">INT(B26)</f>
        <v>1</v>
      </c>
      <c r="D26" s="11" t="n">
        <f aca="false">B26-C26</f>
        <v>0.833333333333333</v>
      </c>
      <c r="E26" s="30" t="n">
        <f aca="false">INDEX(Discount!$C$4:$C$59,C26+1)</f>
        <v>0.974696869273656</v>
      </c>
      <c r="F26" s="30" t="n">
        <f aca="false">IF(C26+2&gt;56,INDEX(Discount!$C$4:$C$59,56),INDEX(Discount!$C$4:$C$59,C26+2))</f>
        <v>0.949478633477643</v>
      </c>
      <c r="G26" s="30" t="n">
        <f aca="false">IF(D26=0,E26,EXP((1-D26)*LN(E26)+D26*LN(F26)))</f>
        <v>0.953635900040969</v>
      </c>
    </row>
    <row r="27" customFormat="false" ht="15" hidden="false" customHeight="true" outlineLevel="0" collapsed="false">
      <c r="A27" s="1" t="n">
        <v>23</v>
      </c>
      <c r="B27" s="11" t="n">
        <f aca="false">A27/12</f>
        <v>1.91666666666667</v>
      </c>
      <c r="C27" s="34" t="n">
        <f aca="false">INT(B27)</f>
        <v>1</v>
      </c>
      <c r="D27" s="11" t="n">
        <f aca="false">B27-C27</f>
        <v>0.916666666666667</v>
      </c>
      <c r="E27" s="30" t="n">
        <f aca="false">INDEX(Discount!$C$4:$C$59,C27+1)</f>
        <v>0.974696869273656</v>
      </c>
      <c r="F27" s="30" t="n">
        <f aca="false">IF(C27+2&gt;56,INDEX(Discount!$C$4:$C$59,56),INDEX(Discount!$C$4:$C$59,C27+2))</f>
        <v>0.949478633477643</v>
      </c>
      <c r="G27" s="30" t="n">
        <f aca="false">IF(D27=0,E27,EXP((1-D27)*LN(E27)+D27*LN(F27)))</f>
        <v>0.951554996416981</v>
      </c>
    </row>
    <row r="28" customFormat="false" ht="15" hidden="false" customHeight="true" outlineLevel="0" collapsed="false">
      <c r="A28" s="1" t="n">
        <v>24</v>
      </c>
      <c r="B28" s="11" t="n">
        <f aca="false">A28/12</f>
        <v>2</v>
      </c>
      <c r="C28" s="34" t="n">
        <f aca="false">INT(B28)</f>
        <v>2</v>
      </c>
      <c r="D28" s="11" t="n">
        <f aca="false">B28-C28</f>
        <v>0</v>
      </c>
      <c r="E28" s="30" t="n">
        <f aca="false">INDEX(Discount!$C$4:$C$59,C28+1)</f>
        <v>0.949478633477643</v>
      </c>
      <c r="F28" s="30" t="n">
        <f aca="false">IF(C28+2&gt;56,INDEX(Discount!$C$4:$C$59,56),INDEX(Discount!$C$4:$C$59,C28+2))</f>
        <v>0.925237412196234</v>
      </c>
      <c r="G28" s="30" t="n">
        <f aca="false">IF(D28=0,E28,EXP((1-D28)*LN(E28)+D28*LN(F28)))</f>
        <v>0.949478633477643</v>
      </c>
    </row>
    <row r="29" customFormat="false" ht="15" hidden="false" customHeight="true" outlineLevel="0" collapsed="false">
      <c r="A29" s="1" t="n">
        <v>25</v>
      </c>
      <c r="B29" s="11" t="n">
        <f aca="false">A29/12</f>
        <v>2.08333333333333</v>
      </c>
      <c r="C29" s="34" t="n">
        <f aca="false">INT(B29)</f>
        <v>2</v>
      </c>
      <c r="D29" s="11" t="n">
        <f aca="false">B29-C29</f>
        <v>0.0833333333333335</v>
      </c>
      <c r="E29" s="30" t="n">
        <f aca="false">INDEX(Discount!$C$4:$C$59,C29+1)</f>
        <v>0.949478633477643</v>
      </c>
      <c r="F29" s="30" t="n">
        <f aca="false">IF(C29+2&gt;56,INDEX(Discount!$C$4:$C$59,56),INDEX(Discount!$C$4:$C$59,C29+2))</f>
        <v>0.925237412196234</v>
      </c>
      <c r="G29" s="30" t="n">
        <f aca="false">IF(D29=0,E29,EXP((1-D29)*LN(E29)+D29*LN(F29)))</f>
        <v>0.94743450007371</v>
      </c>
    </row>
    <row r="30" customFormat="false" ht="15" hidden="false" customHeight="true" outlineLevel="0" collapsed="false">
      <c r="A30" s="1" t="n">
        <v>26</v>
      </c>
      <c r="B30" s="11" t="n">
        <f aca="false">A30/12</f>
        <v>2.16666666666667</v>
      </c>
      <c r="C30" s="34" t="n">
        <f aca="false">INT(B30)</f>
        <v>2</v>
      </c>
      <c r="D30" s="11" t="n">
        <f aca="false">B30-C30</f>
        <v>0.166666666666667</v>
      </c>
      <c r="E30" s="30" t="n">
        <f aca="false">INDEX(Discount!$C$4:$C$59,C30+1)</f>
        <v>0.949478633477643</v>
      </c>
      <c r="F30" s="30" t="n">
        <f aca="false">IF(C30+2&gt;56,INDEX(Discount!$C$4:$C$59,56),INDEX(Discount!$C$4:$C$59,C30+2))</f>
        <v>0.925237412196234</v>
      </c>
      <c r="G30" s="30" t="n">
        <f aca="false">IF(D30=0,E30,EXP((1-D30)*LN(E30)+D30*LN(F30)))</f>
        <v>0.94539476748642</v>
      </c>
    </row>
    <row r="31" customFormat="false" ht="15" hidden="false" customHeight="true" outlineLevel="0" collapsed="false">
      <c r="A31" s="1" t="n">
        <v>27</v>
      </c>
      <c r="B31" s="11" t="n">
        <f aca="false">A31/12</f>
        <v>2.25</v>
      </c>
      <c r="C31" s="34" t="n">
        <f aca="false">INT(B31)</f>
        <v>2</v>
      </c>
      <c r="D31" s="11" t="n">
        <f aca="false">B31-C31</f>
        <v>0.25</v>
      </c>
      <c r="E31" s="30" t="n">
        <f aca="false">INDEX(Discount!$C$4:$C$59,C31+1)</f>
        <v>0.949478633477643</v>
      </c>
      <c r="F31" s="30" t="n">
        <f aca="false">IF(C31+2&gt;56,INDEX(Discount!$C$4:$C$59,56),INDEX(Discount!$C$4:$C$59,C31+2))</f>
        <v>0.925237412196234</v>
      </c>
      <c r="G31" s="30" t="n">
        <f aca="false">IF(D31=0,E31,EXP((1-D31)*LN(E31)+D31*LN(F31)))</f>
        <v>0.943359426241251</v>
      </c>
    </row>
    <row r="32" customFormat="false" ht="15" hidden="false" customHeight="true" outlineLevel="0" collapsed="false">
      <c r="A32" s="1" t="n">
        <v>28</v>
      </c>
      <c r="B32" s="11" t="n">
        <f aca="false">A32/12</f>
        <v>2.33333333333333</v>
      </c>
      <c r="C32" s="34" t="n">
        <f aca="false">INT(B32)</f>
        <v>2</v>
      </c>
      <c r="D32" s="11" t="n">
        <f aca="false">B32-C32</f>
        <v>0.333333333333334</v>
      </c>
      <c r="E32" s="30" t="n">
        <f aca="false">INDEX(Discount!$C$4:$C$59,C32+1)</f>
        <v>0.949478633477643</v>
      </c>
      <c r="F32" s="30" t="n">
        <f aca="false">IF(C32+2&gt;56,INDEX(Discount!$C$4:$C$59,56),INDEX(Discount!$C$4:$C$59,C32+2))</f>
        <v>0.925237412196234</v>
      </c>
      <c r="G32" s="30" t="n">
        <f aca="false">IF(D32=0,E32,EXP((1-D32)*LN(E32)+D32*LN(F32)))</f>
        <v>0.94132846688408</v>
      </c>
    </row>
    <row r="33" customFormat="false" ht="15" hidden="false" customHeight="true" outlineLevel="0" collapsed="false">
      <c r="A33" s="1" t="n">
        <v>29</v>
      </c>
      <c r="B33" s="11" t="n">
        <f aca="false">A33/12</f>
        <v>2.41666666666667</v>
      </c>
      <c r="C33" s="34" t="n">
        <f aca="false">INT(B33)</f>
        <v>2</v>
      </c>
      <c r="D33" s="11" t="n">
        <f aca="false">B33-C33</f>
        <v>0.416666666666667</v>
      </c>
      <c r="E33" s="30" t="n">
        <f aca="false">INDEX(Discount!$C$4:$C$59,C33+1)</f>
        <v>0.949478633477643</v>
      </c>
      <c r="F33" s="30" t="n">
        <f aca="false">IF(C33+2&gt;56,INDEX(Discount!$C$4:$C$59,56),INDEX(Discount!$C$4:$C$59,C33+2))</f>
        <v>0.925237412196234</v>
      </c>
      <c r="G33" s="30" t="n">
        <f aca="false">IF(D33=0,E33,EXP((1-D33)*LN(E33)+D33*LN(F33)))</f>
        <v>0.939301879981136</v>
      </c>
    </row>
    <row r="34" customFormat="false" ht="15" hidden="false" customHeight="true" outlineLevel="0" collapsed="false">
      <c r="A34" s="1" t="n">
        <v>30</v>
      </c>
      <c r="B34" s="11" t="n">
        <f aca="false">A34/12</f>
        <v>2.5</v>
      </c>
      <c r="C34" s="34" t="n">
        <f aca="false">INT(B34)</f>
        <v>2</v>
      </c>
      <c r="D34" s="11" t="n">
        <f aca="false">B34-C34</f>
        <v>0.5</v>
      </c>
      <c r="E34" s="30" t="n">
        <f aca="false">INDEX(Discount!$C$4:$C$59,C34+1)</f>
        <v>0.949478633477643</v>
      </c>
      <c r="F34" s="30" t="n">
        <f aca="false">IF(C34+2&gt;56,INDEX(Discount!$C$4:$C$59,56),INDEX(Discount!$C$4:$C$59,C34+2))</f>
        <v>0.925237412196234</v>
      </c>
      <c r="G34" s="30" t="n">
        <f aca="false">IF(D34=0,E34,EXP((1-D34)*LN(E34)+D34*LN(F34)))</f>
        <v>0.937279656118957</v>
      </c>
    </row>
    <row r="35" customFormat="false" ht="15" hidden="false" customHeight="true" outlineLevel="0" collapsed="false">
      <c r="A35" s="1" t="n">
        <v>31</v>
      </c>
      <c r="B35" s="11" t="n">
        <f aca="false">A35/12</f>
        <v>2.58333333333333</v>
      </c>
      <c r="C35" s="34" t="n">
        <f aca="false">INT(B35)</f>
        <v>2</v>
      </c>
      <c r="D35" s="11" t="n">
        <f aca="false">B35-C35</f>
        <v>0.583333333333334</v>
      </c>
      <c r="E35" s="30" t="n">
        <f aca="false">INDEX(Discount!$C$4:$C$59,C35+1)</f>
        <v>0.949478633477643</v>
      </c>
      <c r="F35" s="30" t="n">
        <f aca="false">IF(C35+2&gt;56,INDEX(Discount!$C$4:$C$59,56),INDEX(Discount!$C$4:$C$59,C35+2))</f>
        <v>0.925237412196234</v>
      </c>
      <c r="G35" s="30" t="n">
        <f aca="false">IF(D35=0,E35,EXP((1-D35)*LN(E35)+D35*LN(F35)))</f>
        <v>0.93526178590435</v>
      </c>
    </row>
    <row r="36" customFormat="false" ht="15" hidden="false" customHeight="true" outlineLevel="0" collapsed="false">
      <c r="A36" s="1" t="n">
        <v>32</v>
      </c>
      <c r="B36" s="11" t="n">
        <f aca="false">A36/12</f>
        <v>2.66666666666667</v>
      </c>
      <c r="C36" s="34" t="n">
        <f aca="false">INT(B36)</f>
        <v>2</v>
      </c>
      <c r="D36" s="11" t="n">
        <f aca="false">B36-C36</f>
        <v>0.666666666666667</v>
      </c>
      <c r="E36" s="30" t="n">
        <f aca="false">INDEX(Discount!$C$4:$C$59,C36+1)</f>
        <v>0.949478633477643</v>
      </c>
      <c r="F36" s="30" t="n">
        <f aca="false">IF(C36+2&gt;56,INDEX(Discount!$C$4:$C$59,56),INDEX(Discount!$C$4:$C$59,C36+2))</f>
        <v>0.925237412196234</v>
      </c>
      <c r="G36" s="30" t="n">
        <f aca="false">IF(D36=0,E36,EXP((1-D36)*LN(E36)+D36*LN(F36)))</f>
        <v>0.933248259964343</v>
      </c>
    </row>
    <row r="37" customFormat="false" ht="15" hidden="false" customHeight="true" outlineLevel="0" collapsed="false">
      <c r="A37" s="1" t="n">
        <v>33</v>
      </c>
      <c r="B37" s="11" t="n">
        <f aca="false">A37/12</f>
        <v>2.75</v>
      </c>
      <c r="C37" s="34" t="n">
        <f aca="false">INT(B37)</f>
        <v>2</v>
      </c>
      <c r="D37" s="11" t="n">
        <f aca="false">B37-C37</f>
        <v>0.75</v>
      </c>
      <c r="E37" s="30" t="n">
        <f aca="false">INDEX(Discount!$C$4:$C$59,C37+1)</f>
        <v>0.949478633477643</v>
      </c>
      <c r="F37" s="30" t="n">
        <f aca="false">IF(C37+2&gt;56,INDEX(Discount!$C$4:$C$59,56),INDEX(Discount!$C$4:$C$59,C37+2))</f>
        <v>0.925237412196234</v>
      </c>
      <c r="G37" s="30" t="n">
        <f aca="false">IF(D37=0,E37,EXP((1-D37)*LN(E37)+D37*LN(F37)))</f>
        <v>0.931239068946143</v>
      </c>
    </row>
    <row r="38" customFormat="false" ht="15" hidden="false" customHeight="true" outlineLevel="0" collapsed="false">
      <c r="A38" s="1" t="n">
        <v>34</v>
      </c>
      <c r="B38" s="11" t="n">
        <f aca="false">A38/12</f>
        <v>2.83333333333333</v>
      </c>
      <c r="C38" s="34" t="n">
        <f aca="false">INT(B38)</f>
        <v>2</v>
      </c>
      <c r="D38" s="11" t="n">
        <f aca="false">B38-C38</f>
        <v>0.833333333333334</v>
      </c>
      <c r="E38" s="30" t="n">
        <f aca="false">INDEX(Discount!$C$4:$C$59,C38+1)</f>
        <v>0.949478633477643</v>
      </c>
      <c r="F38" s="30" t="n">
        <f aca="false">IF(C38+2&gt;56,INDEX(Discount!$C$4:$C$59,56),INDEX(Discount!$C$4:$C$59,C38+2))</f>
        <v>0.925237412196234</v>
      </c>
      <c r="G38" s="30" t="n">
        <f aca="false">IF(D38=0,E38,EXP((1-D38)*LN(E38)+D38*LN(F38)))</f>
        <v>0.929234203517094</v>
      </c>
    </row>
    <row r="39" customFormat="false" ht="15" hidden="false" customHeight="true" outlineLevel="0" collapsed="false">
      <c r="A39" s="1" t="n">
        <v>35</v>
      </c>
      <c r="B39" s="11" t="n">
        <f aca="false">A39/12</f>
        <v>2.91666666666667</v>
      </c>
      <c r="C39" s="34" t="n">
        <f aca="false">INT(B39)</f>
        <v>2</v>
      </c>
      <c r="D39" s="11" t="n">
        <f aca="false">B39-C39</f>
        <v>0.916666666666667</v>
      </c>
      <c r="E39" s="30" t="n">
        <f aca="false">INDEX(Discount!$C$4:$C$59,C39+1)</f>
        <v>0.949478633477643</v>
      </c>
      <c r="F39" s="30" t="n">
        <f aca="false">IF(C39+2&gt;56,INDEX(Discount!$C$4:$C$59,56),INDEX(Discount!$C$4:$C$59,C39+2))</f>
        <v>0.925237412196234</v>
      </c>
      <c r="G39" s="30" t="n">
        <f aca="false">IF(D39=0,E39,EXP((1-D39)*LN(E39)+D39*LN(F39)))</f>
        <v>0.927233654364629</v>
      </c>
    </row>
    <row r="40" customFormat="false" ht="15" hidden="false" customHeight="true" outlineLevel="0" collapsed="false">
      <c r="A40" s="1" t="n">
        <v>36</v>
      </c>
      <c r="B40" s="11" t="n">
        <f aca="false">A40/12</f>
        <v>3</v>
      </c>
      <c r="C40" s="34" t="n">
        <f aca="false">INT(B40)</f>
        <v>3</v>
      </c>
      <c r="D40" s="11" t="n">
        <f aca="false">B40-C40</f>
        <v>0</v>
      </c>
      <c r="E40" s="30" t="n">
        <f aca="false">INDEX(Discount!$C$4:$C$59,C40+1)</f>
        <v>0.925237412196234</v>
      </c>
      <c r="F40" s="30" t="n">
        <f aca="false">IF(C40+2&gt;56,INDEX(Discount!$C$4:$C$59,56),INDEX(Discount!$C$4:$C$59,C40+2))</f>
        <v>0.901158384292743</v>
      </c>
      <c r="G40" s="30" t="n">
        <f aca="false">IF(D40=0,E40,EXP((1-D40)*LN(E40)+D40*LN(F40)))</f>
        <v>0.925237412196234</v>
      </c>
    </row>
    <row r="41" customFormat="false" ht="15" hidden="false" customHeight="true" outlineLevel="0" collapsed="false">
      <c r="A41" s="1" t="n">
        <v>37</v>
      </c>
      <c r="B41" s="11" t="n">
        <f aca="false">A41/12</f>
        <v>3.08333333333333</v>
      </c>
      <c r="C41" s="34" t="n">
        <f aca="false">INT(B41)</f>
        <v>3</v>
      </c>
      <c r="D41" s="11" t="n">
        <f aca="false">B41-C41</f>
        <v>0.0833333333333335</v>
      </c>
      <c r="E41" s="30" t="n">
        <f aca="false">INDEX(Discount!$C$4:$C$59,C41+1)</f>
        <v>0.925237412196234</v>
      </c>
      <c r="F41" s="30" t="n">
        <f aca="false">IF(C41+2&gt;56,INDEX(Discount!$C$4:$C$59,56),INDEX(Discount!$C$4:$C$59,C41+2))</f>
        <v>0.901158384292743</v>
      </c>
      <c r="G41" s="30" t="n">
        <f aca="false">IF(D41=0,E41,EXP((1-D41)*LN(E41)+D41*LN(F41)))</f>
        <v>0.923206486341195</v>
      </c>
    </row>
    <row r="42" customFormat="false" ht="15" hidden="false" customHeight="true" outlineLevel="0" collapsed="false">
      <c r="A42" s="1" t="n">
        <v>38</v>
      </c>
      <c r="B42" s="11" t="n">
        <f aca="false">A42/12</f>
        <v>3.16666666666667</v>
      </c>
      <c r="C42" s="34" t="n">
        <f aca="false">INT(B42)</f>
        <v>3</v>
      </c>
      <c r="D42" s="11" t="n">
        <f aca="false">B42-C42</f>
        <v>0.166666666666667</v>
      </c>
      <c r="E42" s="30" t="n">
        <f aca="false">INDEX(Discount!$C$4:$C$59,C42+1)</f>
        <v>0.925237412196234</v>
      </c>
      <c r="F42" s="30" t="n">
        <f aca="false">IF(C42+2&gt;56,INDEX(Discount!$C$4:$C$59,56),INDEX(Discount!$C$4:$C$59,C42+2))</f>
        <v>0.901158384292743</v>
      </c>
      <c r="G42" s="30" t="n">
        <f aca="false">IF(D42=0,E42,EXP((1-D42)*LN(E42)+D42*LN(F42)))</f>
        <v>0.921180018433677</v>
      </c>
    </row>
    <row r="43" customFormat="false" ht="15" hidden="false" customHeight="true" outlineLevel="0" collapsed="false">
      <c r="A43" s="1" t="n">
        <v>39</v>
      </c>
      <c r="B43" s="11" t="n">
        <f aca="false">A43/12</f>
        <v>3.25</v>
      </c>
      <c r="C43" s="34" t="n">
        <f aca="false">INT(B43)</f>
        <v>3</v>
      </c>
      <c r="D43" s="11" t="n">
        <f aca="false">B43-C43</f>
        <v>0.25</v>
      </c>
      <c r="E43" s="30" t="n">
        <f aca="false">INDEX(Discount!$C$4:$C$59,C43+1)</f>
        <v>0.925237412196234</v>
      </c>
      <c r="F43" s="30" t="n">
        <f aca="false">IF(C43+2&gt;56,INDEX(Discount!$C$4:$C$59,56),INDEX(Discount!$C$4:$C$59,C43+2))</f>
        <v>0.901158384292743</v>
      </c>
      <c r="G43" s="30" t="n">
        <f aca="false">IF(D43=0,E43,EXP((1-D43)*LN(E43)+D43*LN(F43)))</f>
        <v>0.919157998688344</v>
      </c>
    </row>
    <row r="44" customFormat="false" ht="15" hidden="false" customHeight="true" outlineLevel="0" collapsed="false">
      <c r="A44" s="1" t="n">
        <v>40</v>
      </c>
      <c r="B44" s="11" t="n">
        <f aca="false">A44/12</f>
        <v>3.33333333333333</v>
      </c>
      <c r="C44" s="34" t="n">
        <f aca="false">INT(B44)</f>
        <v>3</v>
      </c>
      <c r="D44" s="11" t="n">
        <f aca="false">B44-C44</f>
        <v>0.333333333333334</v>
      </c>
      <c r="E44" s="30" t="n">
        <f aca="false">INDEX(Discount!$C$4:$C$59,C44+1)</f>
        <v>0.925237412196234</v>
      </c>
      <c r="F44" s="30" t="n">
        <f aca="false">IF(C44+2&gt;56,INDEX(Discount!$C$4:$C$59,56),INDEX(Discount!$C$4:$C$59,C44+2))</f>
        <v>0.901158384292743</v>
      </c>
      <c r="G44" s="30" t="n">
        <f aca="false">IF(D44=0,E44,EXP((1-D44)*LN(E44)+D44*LN(F44)))</f>
        <v>0.917140417341334</v>
      </c>
    </row>
    <row r="45" customFormat="false" ht="15" hidden="false" customHeight="true" outlineLevel="0" collapsed="false">
      <c r="A45" s="1" t="n">
        <v>41</v>
      </c>
      <c r="B45" s="11" t="n">
        <f aca="false">A45/12</f>
        <v>3.41666666666667</v>
      </c>
      <c r="C45" s="34" t="n">
        <f aca="false">INT(B45)</f>
        <v>3</v>
      </c>
      <c r="D45" s="11" t="n">
        <f aca="false">B45-C45</f>
        <v>0.416666666666667</v>
      </c>
      <c r="E45" s="30" t="n">
        <f aca="false">INDEX(Discount!$C$4:$C$59,C45+1)</f>
        <v>0.925237412196234</v>
      </c>
      <c r="F45" s="30" t="n">
        <f aca="false">IF(C45+2&gt;56,INDEX(Discount!$C$4:$C$59,56),INDEX(Discount!$C$4:$C$59,C45+2))</f>
        <v>0.901158384292743</v>
      </c>
      <c r="G45" s="30" t="n">
        <f aca="false">IF(D45=0,E45,EXP((1-D45)*LN(E45)+D45*LN(F45)))</f>
        <v>0.915127264650223</v>
      </c>
    </row>
    <row r="46" customFormat="false" ht="15" hidden="false" customHeight="true" outlineLevel="0" collapsed="false">
      <c r="A46" s="1" t="n">
        <v>42</v>
      </c>
      <c r="B46" s="11" t="n">
        <f aca="false">A46/12</f>
        <v>3.5</v>
      </c>
      <c r="C46" s="34" t="n">
        <f aca="false">INT(B46)</f>
        <v>3</v>
      </c>
      <c r="D46" s="11" t="n">
        <f aca="false">B46-C46</f>
        <v>0.5</v>
      </c>
      <c r="E46" s="30" t="n">
        <f aca="false">INDEX(Discount!$C$4:$C$59,C46+1)</f>
        <v>0.925237412196234</v>
      </c>
      <c r="F46" s="30" t="n">
        <f aca="false">IF(C46+2&gt;56,INDEX(Discount!$C$4:$C$59,56),INDEX(Discount!$C$4:$C$59,C46+2))</f>
        <v>0.901158384292743</v>
      </c>
      <c r="G46" s="30" t="n">
        <f aca="false">IF(D46=0,E46,EXP((1-D46)*LN(E46)+D46*LN(F46)))</f>
        <v>0.913118530893967</v>
      </c>
    </row>
    <row r="47" customFormat="false" ht="15" hidden="false" customHeight="true" outlineLevel="0" collapsed="false">
      <c r="A47" s="1" t="n">
        <v>43</v>
      </c>
      <c r="B47" s="11" t="n">
        <f aca="false">A47/12</f>
        <v>3.58333333333333</v>
      </c>
      <c r="C47" s="34" t="n">
        <f aca="false">INT(B47)</f>
        <v>3</v>
      </c>
      <c r="D47" s="11" t="n">
        <f aca="false">B47-C47</f>
        <v>0.583333333333334</v>
      </c>
      <c r="E47" s="30" t="n">
        <f aca="false">INDEX(Discount!$C$4:$C$59,C47+1)</f>
        <v>0.925237412196234</v>
      </c>
      <c r="F47" s="30" t="n">
        <f aca="false">IF(C47+2&gt;56,INDEX(Discount!$C$4:$C$59,56),INDEX(Discount!$C$4:$C$59,C47+2))</f>
        <v>0.901158384292743</v>
      </c>
      <c r="G47" s="30" t="n">
        <f aca="false">IF(D47=0,E47,EXP((1-D47)*LN(E47)+D47*LN(F47)))</f>
        <v>0.911114206372863</v>
      </c>
    </row>
    <row r="48" customFormat="false" ht="15" hidden="false" customHeight="true" outlineLevel="0" collapsed="false">
      <c r="A48" s="1" t="n">
        <v>44</v>
      </c>
      <c r="B48" s="11" t="n">
        <f aca="false">A48/12</f>
        <v>3.66666666666667</v>
      </c>
      <c r="C48" s="34" t="n">
        <f aca="false">INT(B48)</f>
        <v>3</v>
      </c>
      <c r="D48" s="11" t="n">
        <f aca="false">B48-C48</f>
        <v>0.666666666666667</v>
      </c>
      <c r="E48" s="30" t="n">
        <f aca="false">INDEX(Discount!$C$4:$C$59,C48+1)</f>
        <v>0.925237412196234</v>
      </c>
      <c r="F48" s="30" t="n">
        <f aca="false">IF(C48+2&gt;56,INDEX(Discount!$C$4:$C$59,56),INDEX(Discount!$C$4:$C$59,C48+2))</f>
        <v>0.901158384292743</v>
      </c>
      <c r="G48" s="30" t="n">
        <f aca="false">IF(D48=0,E48,EXP((1-D48)*LN(E48)+D48*LN(F48)))</f>
        <v>0.909114281408498</v>
      </c>
    </row>
    <row r="49" customFormat="false" ht="15" hidden="false" customHeight="true" outlineLevel="0" collapsed="false">
      <c r="A49" s="1" t="n">
        <v>45</v>
      </c>
      <c r="B49" s="11" t="n">
        <f aca="false">A49/12</f>
        <v>3.75</v>
      </c>
      <c r="C49" s="34" t="n">
        <f aca="false">INT(B49)</f>
        <v>3</v>
      </c>
      <c r="D49" s="11" t="n">
        <f aca="false">B49-C49</f>
        <v>0.75</v>
      </c>
      <c r="E49" s="30" t="n">
        <f aca="false">INDEX(Discount!$C$4:$C$59,C49+1)</f>
        <v>0.925237412196234</v>
      </c>
      <c r="F49" s="30" t="n">
        <f aca="false">IF(C49+2&gt;56,INDEX(Discount!$C$4:$C$59,56),INDEX(Discount!$C$4:$C$59,C49+2))</f>
        <v>0.901158384292743</v>
      </c>
      <c r="G49" s="30" t="n">
        <f aca="false">IF(D49=0,E49,EXP((1-D49)*LN(E49)+D49*LN(F49)))</f>
        <v>0.907118746343702</v>
      </c>
    </row>
    <row r="50" customFormat="false" ht="15" hidden="false" customHeight="true" outlineLevel="0" collapsed="false">
      <c r="A50" s="1" t="n">
        <v>46</v>
      </c>
      <c r="B50" s="11" t="n">
        <f aca="false">A50/12</f>
        <v>3.83333333333333</v>
      </c>
      <c r="C50" s="34" t="n">
        <f aca="false">INT(B50)</f>
        <v>3</v>
      </c>
      <c r="D50" s="11" t="n">
        <f aca="false">B50-C50</f>
        <v>0.833333333333334</v>
      </c>
      <c r="E50" s="30" t="n">
        <f aca="false">INDEX(Discount!$C$4:$C$59,C50+1)</f>
        <v>0.925237412196234</v>
      </c>
      <c r="F50" s="30" t="n">
        <f aca="false">IF(C50+2&gt;56,INDEX(Discount!$C$4:$C$59,56),INDEX(Discount!$C$4:$C$59,C50+2))</f>
        <v>0.901158384292743</v>
      </c>
      <c r="G50" s="30" t="n">
        <f aca="false">IF(D50=0,E50,EXP((1-D50)*LN(E50)+D50*LN(F50)))</f>
        <v>0.905127591542507</v>
      </c>
    </row>
    <row r="51" customFormat="false" ht="15" hidden="false" customHeight="true" outlineLevel="0" collapsed="false">
      <c r="A51" s="1" t="n">
        <v>47</v>
      </c>
      <c r="B51" s="11" t="n">
        <f aca="false">A51/12</f>
        <v>3.91666666666667</v>
      </c>
      <c r="C51" s="34" t="n">
        <f aca="false">INT(B51)</f>
        <v>3</v>
      </c>
      <c r="D51" s="11" t="n">
        <f aca="false">B51-C51</f>
        <v>0.916666666666667</v>
      </c>
      <c r="E51" s="30" t="n">
        <f aca="false">INDEX(Discount!$C$4:$C$59,C51+1)</f>
        <v>0.925237412196234</v>
      </c>
      <c r="F51" s="30" t="n">
        <f aca="false">IF(C51+2&gt;56,INDEX(Discount!$C$4:$C$59,56),INDEX(Discount!$C$4:$C$59,C51+2))</f>
        <v>0.901158384292743</v>
      </c>
      <c r="G51" s="30" t="n">
        <f aca="false">IF(D51=0,E51,EXP((1-D51)*LN(E51)+D51*LN(F51)))</f>
        <v>0.903140807390092</v>
      </c>
    </row>
    <row r="52" customFormat="false" ht="15" hidden="false" customHeight="true" outlineLevel="0" collapsed="false">
      <c r="A52" s="1" t="n">
        <v>48</v>
      </c>
      <c r="B52" s="11" t="n">
        <f aca="false">A52/12</f>
        <v>4</v>
      </c>
      <c r="C52" s="34" t="n">
        <f aca="false">INT(B52)</f>
        <v>4</v>
      </c>
      <c r="D52" s="11" t="n">
        <f aca="false">B52-C52</f>
        <v>0</v>
      </c>
      <c r="E52" s="30" t="n">
        <f aca="false">INDEX(Discount!$C$4:$C$59,C52+1)</f>
        <v>0.901158384292743</v>
      </c>
      <c r="F52" s="30" t="n">
        <f aca="false">IF(C52+2&gt;56,INDEX(Discount!$C$4:$C$59,56),INDEX(Discount!$C$4:$C$59,C52+2))</f>
        <v>0.876603781957048</v>
      </c>
      <c r="G52" s="30" t="n">
        <f aca="false">IF(D52=0,E52,EXP((1-D52)*LN(E52)+D52*LN(F52)))</f>
        <v>0.901158384292743</v>
      </c>
    </row>
    <row r="53" customFormat="false" ht="15" hidden="false" customHeight="true" outlineLevel="0" collapsed="false">
      <c r="A53" s="1" t="n">
        <v>49</v>
      </c>
      <c r="B53" s="11" t="n">
        <f aca="false">A53/12</f>
        <v>4.08333333333333</v>
      </c>
      <c r="C53" s="34" t="n">
        <f aca="false">INT(B53)</f>
        <v>4</v>
      </c>
      <c r="D53" s="11" t="n">
        <f aca="false">B53-C53</f>
        <v>0.083333333333333</v>
      </c>
      <c r="E53" s="30" t="n">
        <f aca="false">INDEX(Discount!$C$4:$C$59,C53+1)</f>
        <v>0.901158384292743</v>
      </c>
      <c r="F53" s="30" t="n">
        <f aca="false">IF(C53+2&gt;56,INDEX(Discount!$C$4:$C$59,56),INDEX(Discount!$C$4:$C$59,C53+2))</f>
        <v>0.876603781957048</v>
      </c>
      <c r="G53" s="30" t="n">
        <f aca="false">IF(D53=0,E53,EXP((1-D53)*LN(E53)+D53*LN(F53)))</f>
        <v>0.899086159188909</v>
      </c>
    </row>
    <row r="54" customFormat="false" ht="15" hidden="false" customHeight="true" outlineLevel="0" collapsed="false">
      <c r="A54" s="1" t="n">
        <v>50</v>
      </c>
      <c r="B54" s="11" t="n">
        <f aca="false">A54/12</f>
        <v>4.16666666666667</v>
      </c>
      <c r="C54" s="34" t="n">
        <f aca="false">INT(B54)</f>
        <v>4</v>
      </c>
      <c r="D54" s="11" t="n">
        <f aca="false">B54-C54</f>
        <v>0.166666666666667</v>
      </c>
      <c r="E54" s="30" t="n">
        <f aca="false">INDEX(Discount!$C$4:$C$59,C54+1)</f>
        <v>0.901158384292743</v>
      </c>
      <c r="F54" s="30" t="n">
        <f aca="false">IF(C54+2&gt;56,INDEX(Discount!$C$4:$C$59,56),INDEX(Discount!$C$4:$C$59,C54+2))</f>
        <v>0.876603781957048</v>
      </c>
      <c r="G54" s="30" t="n">
        <f aca="false">IF(D54=0,E54,EXP((1-D54)*LN(E54)+D54*LN(F54)))</f>
        <v>0.897018699192914</v>
      </c>
    </row>
    <row r="55" customFormat="false" ht="15" hidden="false" customHeight="true" outlineLevel="0" collapsed="false">
      <c r="A55" s="1" t="n">
        <v>51</v>
      </c>
      <c r="B55" s="11" t="n">
        <f aca="false">A55/12</f>
        <v>4.25</v>
      </c>
      <c r="C55" s="34" t="n">
        <f aca="false">INT(B55)</f>
        <v>4</v>
      </c>
      <c r="D55" s="11" t="n">
        <f aca="false">B55-C55</f>
        <v>0.25</v>
      </c>
      <c r="E55" s="30" t="n">
        <f aca="false">INDEX(Discount!$C$4:$C$59,C55+1)</f>
        <v>0.901158384292743</v>
      </c>
      <c r="F55" s="30" t="n">
        <f aca="false">IF(C55+2&gt;56,INDEX(Discount!$C$4:$C$59,56),INDEX(Discount!$C$4:$C$59,C55+2))</f>
        <v>0.876603781957048</v>
      </c>
      <c r="G55" s="30" t="n">
        <f aca="false">IF(D55=0,E55,EXP((1-D55)*LN(E55)+D55*LN(F55)))</f>
        <v>0.894955993347331</v>
      </c>
    </row>
    <row r="56" customFormat="false" ht="15" hidden="false" customHeight="true" outlineLevel="0" collapsed="false">
      <c r="A56" s="1" t="n">
        <v>52</v>
      </c>
      <c r="B56" s="11" t="n">
        <f aca="false">A56/12</f>
        <v>4.33333333333333</v>
      </c>
      <c r="C56" s="34" t="n">
        <f aca="false">INT(B56)</f>
        <v>4</v>
      </c>
      <c r="D56" s="11" t="n">
        <f aca="false">B56-C56</f>
        <v>0.333333333333333</v>
      </c>
      <c r="E56" s="30" t="n">
        <f aca="false">INDEX(Discount!$C$4:$C$59,C56+1)</f>
        <v>0.901158384292743</v>
      </c>
      <c r="F56" s="30" t="n">
        <f aca="false">IF(C56+2&gt;56,INDEX(Discount!$C$4:$C$59,56),INDEX(Discount!$C$4:$C$59,C56+2))</f>
        <v>0.876603781957048</v>
      </c>
      <c r="G56" s="30" t="n">
        <f aca="false">IF(D56=0,E56,EXP((1-D56)*LN(E56)+D56*LN(F56)))</f>
        <v>0.892898030719933</v>
      </c>
    </row>
    <row r="57" customFormat="false" ht="15" hidden="false" customHeight="true" outlineLevel="0" collapsed="false">
      <c r="A57" s="1" t="n">
        <v>53</v>
      </c>
      <c r="B57" s="11" t="n">
        <f aca="false">A57/12</f>
        <v>4.41666666666667</v>
      </c>
      <c r="C57" s="34" t="n">
        <f aca="false">INT(B57)</f>
        <v>4</v>
      </c>
      <c r="D57" s="11" t="n">
        <f aca="false">B57-C57</f>
        <v>0.416666666666667</v>
      </c>
      <c r="E57" s="30" t="n">
        <f aca="false">INDEX(Discount!$C$4:$C$59,C57+1)</f>
        <v>0.901158384292743</v>
      </c>
      <c r="F57" s="30" t="n">
        <f aca="false">IF(C57+2&gt;56,INDEX(Discount!$C$4:$C$59,56),INDEX(Discount!$C$4:$C$59,C57+2))</f>
        <v>0.876603781957048</v>
      </c>
      <c r="G57" s="30" t="n">
        <f aca="false">IF(D57=0,E57,EXP((1-D57)*LN(E57)+D57*LN(F57)))</f>
        <v>0.890844800403629</v>
      </c>
    </row>
    <row r="58" customFormat="false" ht="15" hidden="false" customHeight="true" outlineLevel="0" collapsed="false">
      <c r="A58" s="1" t="n">
        <v>54</v>
      </c>
      <c r="B58" s="11" t="n">
        <f aca="false">A58/12</f>
        <v>4.5</v>
      </c>
      <c r="C58" s="34" t="n">
        <f aca="false">INT(B58)</f>
        <v>4</v>
      </c>
      <c r="D58" s="11" t="n">
        <f aca="false">B58-C58</f>
        <v>0.5</v>
      </c>
      <c r="E58" s="30" t="n">
        <f aca="false">INDEX(Discount!$C$4:$C$59,C58+1)</f>
        <v>0.901158384292743</v>
      </c>
      <c r="F58" s="30" t="n">
        <f aca="false">IF(C58+2&gt;56,INDEX(Discount!$C$4:$C$59,56),INDEX(Discount!$C$4:$C$59,C58+2))</f>
        <v>0.876603781957048</v>
      </c>
      <c r="G58" s="30" t="n">
        <f aca="false">IF(D58=0,E58,EXP((1-D58)*LN(E58)+D58*LN(F58)))</f>
        <v>0.888796291516409</v>
      </c>
    </row>
    <row r="59" customFormat="false" ht="15" hidden="false" customHeight="true" outlineLevel="0" collapsed="false">
      <c r="A59" s="1" t="n">
        <v>55</v>
      </c>
      <c r="B59" s="11" t="n">
        <f aca="false">A59/12</f>
        <v>4.58333333333333</v>
      </c>
      <c r="C59" s="34" t="n">
        <f aca="false">INT(B59)</f>
        <v>4</v>
      </c>
      <c r="D59" s="11" t="n">
        <f aca="false">B59-C59</f>
        <v>0.583333333333333</v>
      </c>
      <c r="E59" s="30" t="n">
        <f aca="false">INDEX(Discount!$C$4:$C$59,C59+1)</f>
        <v>0.901158384292743</v>
      </c>
      <c r="F59" s="30" t="n">
        <f aca="false">IF(C59+2&gt;56,INDEX(Discount!$C$4:$C$59,56),INDEX(Discount!$C$4:$C$59,C59+2))</f>
        <v>0.876603781957048</v>
      </c>
      <c r="G59" s="30" t="n">
        <f aca="false">IF(D59=0,E59,EXP((1-D59)*LN(E59)+D59*LN(F59)))</f>
        <v>0.886752493201288</v>
      </c>
    </row>
    <row r="60" customFormat="false" ht="15" hidden="false" customHeight="true" outlineLevel="0" collapsed="false">
      <c r="A60" s="1" t="n">
        <v>56</v>
      </c>
      <c r="B60" s="11" t="n">
        <f aca="false">A60/12</f>
        <v>4.66666666666667</v>
      </c>
      <c r="C60" s="34" t="n">
        <f aca="false">INT(B60)</f>
        <v>4</v>
      </c>
      <c r="D60" s="11" t="n">
        <f aca="false">B60-C60</f>
        <v>0.666666666666667</v>
      </c>
      <c r="E60" s="30" t="n">
        <f aca="false">INDEX(Discount!$C$4:$C$59,C60+1)</f>
        <v>0.901158384292743</v>
      </c>
      <c r="F60" s="30" t="n">
        <f aca="false">IF(C60+2&gt;56,INDEX(Discount!$C$4:$C$59,56),INDEX(Discount!$C$4:$C$59,C60+2))</f>
        <v>0.876603781957048</v>
      </c>
      <c r="G60" s="30" t="n">
        <f aca="false">IF(D60=0,E60,EXP((1-D60)*LN(E60)+D60*LN(F60)))</f>
        <v>0.884713394626245</v>
      </c>
    </row>
    <row r="61" customFormat="false" ht="15" hidden="false" customHeight="true" outlineLevel="0" collapsed="false">
      <c r="A61" s="1" t="n">
        <v>57</v>
      </c>
      <c r="B61" s="11" t="n">
        <f aca="false">A61/12</f>
        <v>4.75</v>
      </c>
      <c r="C61" s="34" t="n">
        <f aca="false">INT(B61)</f>
        <v>4</v>
      </c>
      <c r="D61" s="11" t="n">
        <f aca="false">B61-C61</f>
        <v>0.75</v>
      </c>
      <c r="E61" s="30" t="n">
        <f aca="false">INDEX(Discount!$C$4:$C$59,C61+1)</f>
        <v>0.901158384292743</v>
      </c>
      <c r="F61" s="30" t="n">
        <f aca="false">IF(C61+2&gt;56,INDEX(Discount!$C$4:$C$59,56),INDEX(Discount!$C$4:$C$59,C61+2))</f>
        <v>0.876603781957048</v>
      </c>
      <c r="G61" s="30" t="n">
        <f aca="false">IF(D61=0,E61,EXP((1-D61)*LN(E61)+D61*LN(F61)))</f>
        <v>0.882678984984169</v>
      </c>
    </row>
    <row r="62" customFormat="false" ht="15" hidden="false" customHeight="true" outlineLevel="0" collapsed="false">
      <c r="A62" s="1" t="n">
        <v>58</v>
      </c>
      <c r="B62" s="11" t="n">
        <f aca="false">A62/12</f>
        <v>4.83333333333333</v>
      </c>
      <c r="C62" s="34" t="n">
        <f aca="false">INT(B62)</f>
        <v>4</v>
      </c>
      <c r="D62" s="11" t="n">
        <f aca="false">B62-C62</f>
        <v>0.833333333333333</v>
      </c>
      <c r="E62" s="30" t="n">
        <f aca="false">INDEX(Discount!$C$4:$C$59,C62+1)</f>
        <v>0.901158384292743</v>
      </c>
      <c r="F62" s="30" t="n">
        <f aca="false">IF(C62+2&gt;56,INDEX(Discount!$C$4:$C$59,56),INDEX(Discount!$C$4:$C$59,C62+2))</f>
        <v>0.876603781957048</v>
      </c>
      <c r="G62" s="30" t="n">
        <f aca="false">IF(D62=0,E62,EXP((1-D62)*LN(E62)+D62*LN(F62)))</f>
        <v>0.880649253492799</v>
      </c>
    </row>
    <row r="63" customFormat="false" ht="15" hidden="false" customHeight="true" outlineLevel="0" collapsed="false">
      <c r="A63" s="1" t="n">
        <v>59</v>
      </c>
      <c r="B63" s="11" t="n">
        <f aca="false">A63/12</f>
        <v>4.91666666666667</v>
      </c>
      <c r="C63" s="34" t="n">
        <f aca="false">INT(B63)</f>
        <v>4</v>
      </c>
      <c r="D63" s="11" t="n">
        <f aca="false">B63-C63</f>
        <v>0.916666666666667</v>
      </c>
      <c r="E63" s="30" t="n">
        <f aca="false">INDEX(Discount!$C$4:$C$59,C63+1)</f>
        <v>0.901158384292743</v>
      </c>
      <c r="F63" s="30" t="n">
        <f aca="false">IF(C63+2&gt;56,INDEX(Discount!$C$4:$C$59,56),INDEX(Discount!$C$4:$C$59,C63+2))</f>
        <v>0.876603781957048</v>
      </c>
      <c r="G63" s="30" t="n">
        <f aca="false">IF(D63=0,E63,EXP((1-D63)*LN(E63)+D63*LN(F63)))</f>
        <v>0.878624189394669</v>
      </c>
    </row>
    <row r="64" customFormat="false" ht="15" hidden="false" customHeight="true" outlineLevel="0" collapsed="false">
      <c r="A64" s="1" t="n">
        <v>60</v>
      </c>
      <c r="B64" s="11" t="n">
        <f aca="false">A64/12</f>
        <v>5</v>
      </c>
      <c r="C64" s="34" t="n">
        <f aca="false">INT(B64)</f>
        <v>5</v>
      </c>
      <c r="D64" s="11" t="n">
        <f aca="false">B64-C64</f>
        <v>0</v>
      </c>
      <c r="E64" s="30" t="n">
        <f aca="false">INDEX(Discount!$C$4:$C$59,C64+1)</f>
        <v>0.876603781957048</v>
      </c>
      <c r="F64" s="30" t="n">
        <f aca="false">IF(C64+2&gt;56,INDEX(Discount!$C$4:$C$59,56),INDEX(Discount!$C$4:$C$59,C64+2))</f>
        <v>0.851971578753519</v>
      </c>
      <c r="G64" s="30" t="n">
        <f aca="false">IF(D64=0,E64,EXP((1-D64)*LN(E64)+D64*LN(F64)))</f>
        <v>0.876603781957048</v>
      </c>
    </row>
    <row r="65" customFormat="false" ht="15" hidden="false" customHeight="true" outlineLevel="0" collapsed="false">
      <c r="A65" s="1" t="n">
        <v>61</v>
      </c>
      <c r="B65" s="11" t="n">
        <f aca="false">A65/12</f>
        <v>5.08333333333333</v>
      </c>
      <c r="C65" s="34" t="n">
        <f aca="false">INT(B65)</f>
        <v>5</v>
      </c>
      <c r="D65" s="11" t="n">
        <f aca="false">B65-C65</f>
        <v>0.083333333333333</v>
      </c>
      <c r="E65" s="30" t="n">
        <f aca="false">INDEX(Discount!$C$4:$C$59,C65+1)</f>
        <v>0.876603781957048</v>
      </c>
      <c r="F65" s="30" t="n">
        <f aca="false">IF(C65+2&gt;56,INDEX(Discount!$C$4:$C$59,56),INDEX(Discount!$C$4:$C$59,C65+2))</f>
        <v>0.851971578753519</v>
      </c>
      <c r="G65" s="30" t="n">
        <f aca="false">IF(D65=0,E65,EXP((1-D65)*LN(E65)+D65*LN(F65)))</f>
        <v>0.874524177347913</v>
      </c>
    </row>
    <row r="66" customFormat="false" ht="15" hidden="false" customHeight="true" outlineLevel="0" collapsed="false">
      <c r="A66" s="1" t="n">
        <v>62</v>
      </c>
      <c r="B66" s="11" t="n">
        <f aca="false">A66/12</f>
        <v>5.16666666666667</v>
      </c>
      <c r="C66" s="34" t="n">
        <f aca="false">INT(B66)</f>
        <v>5</v>
      </c>
      <c r="D66" s="11" t="n">
        <f aca="false">B66-C66</f>
        <v>0.166666666666667</v>
      </c>
      <c r="E66" s="30" t="n">
        <f aca="false">INDEX(Discount!$C$4:$C$59,C66+1)</f>
        <v>0.876603781957048</v>
      </c>
      <c r="F66" s="30" t="n">
        <f aca="false">IF(C66+2&gt;56,INDEX(Discount!$C$4:$C$59,56),INDEX(Discount!$C$4:$C$59,C66+2))</f>
        <v>0.851971578753519</v>
      </c>
      <c r="G66" s="30" t="n">
        <f aca="false">IF(D66=0,E66,EXP((1-D66)*LN(E66)+D66*LN(F66)))</f>
        <v>0.872449506273653</v>
      </c>
    </row>
    <row r="67" customFormat="false" ht="15" hidden="false" customHeight="true" outlineLevel="0" collapsed="false">
      <c r="A67" s="1" t="n">
        <v>63</v>
      </c>
      <c r="B67" s="11" t="n">
        <f aca="false">A67/12</f>
        <v>5.25</v>
      </c>
      <c r="C67" s="34" t="n">
        <f aca="false">INT(B67)</f>
        <v>5</v>
      </c>
      <c r="D67" s="11" t="n">
        <f aca="false">B67-C67</f>
        <v>0.25</v>
      </c>
      <c r="E67" s="30" t="n">
        <f aca="false">INDEX(Discount!$C$4:$C$59,C67+1)</f>
        <v>0.876603781957048</v>
      </c>
      <c r="F67" s="30" t="n">
        <f aca="false">IF(C67+2&gt;56,INDEX(Discount!$C$4:$C$59,56),INDEX(Discount!$C$4:$C$59,C67+2))</f>
        <v>0.851971578753519</v>
      </c>
      <c r="G67" s="30" t="n">
        <f aca="false">IF(D67=0,E67,EXP((1-D67)*LN(E67)+D67*LN(F67)))</f>
        <v>0.870379757030234</v>
      </c>
    </row>
    <row r="68" customFormat="false" ht="15" hidden="false" customHeight="true" outlineLevel="0" collapsed="false">
      <c r="A68" s="1" t="n">
        <v>64</v>
      </c>
      <c r="B68" s="11" t="n">
        <f aca="false">A68/12</f>
        <v>5.33333333333333</v>
      </c>
      <c r="C68" s="34" t="n">
        <f aca="false">INT(B68)</f>
        <v>5</v>
      </c>
      <c r="D68" s="11" t="n">
        <f aca="false">B68-C68</f>
        <v>0.333333333333333</v>
      </c>
      <c r="E68" s="30" t="n">
        <f aca="false">INDEX(Discount!$C$4:$C$59,C68+1)</f>
        <v>0.876603781957048</v>
      </c>
      <c r="F68" s="30" t="n">
        <f aca="false">IF(C68+2&gt;56,INDEX(Discount!$C$4:$C$59,56),INDEX(Discount!$C$4:$C$59,C68+2))</f>
        <v>0.851971578753519</v>
      </c>
      <c r="G68" s="30" t="n">
        <f aca="false">IF(D68=0,E68,EXP((1-D68)*LN(E68)+D68*LN(F68)))</f>
        <v>0.868314917941385</v>
      </c>
    </row>
    <row r="69" customFormat="false" ht="15" hidden="false" customHeight="true" outlineLevel="0" collapsed="false">
      <c r="A69" s="1" t="n">
        <v>65</v>
      </c>
      <c r="B69" s="11" t="n">
        <f aca="false">A69/12</f>
        <v>5.41666666666667</v>
      </c>
      <c r="C69" s="34" t="n">
        <f aca="false">INT(B69)</f>
        <v>5</v>
      </c>
      <c r="D69" s="11" t="n">
        <f aca="false">B69-C69</f>
        <v>0.416666666666667</v>
      </c>
      <c r="E69" s="30" t="n">
        <f aca="false">INDEX(Discount!$C$4:$C$59,C69+1)</f>
        <v>0.876603781957048</v>
      </c>
      <c r="F69" s="30" t="n">
        <f aca="false">IF(C69+2&gt;56,INDEX(Discount!$C$4:$C$59,56),INDEX(Discount!$C$4:$C$59,C69+2))</f>
        <v>0.851971578753519</v>
      </c>
      <c r="G69" s="30" t="n">
        <f aca="false">IF(D69=0,E69,EXP((1-D69)*LN(E69)+D69*LN(F69)))</f>
        <v>0.866254977358536</v>
      </c>
    </row>
    <row r="70" customFormat="false" ht="15" hidden="false" customHeight="true" outlineLevel="0" collapsed="false">
      <c r="A70" s="1" t="n">
        <v>66</v>
      </c>
      <c r="B70" s="11" t="n">
        <f aca="false">A70/12</f>
        <v>5.5</v>
      </c>
      <c r="C70" s="34" t="n">
        <f aca="false">INT(B70)</f>
        <v>5</v>
      </c>
      <c r="D70" s="11" t="n">
        <f aca="false">B70-C70</f>
        <v>0.5</v>
      </c>
      <c r="E70" s="30" t="n">
        <f aca="false">INDEX(Discount!$C$4:$C$59,C70+1)</f>
        <v>0.876603781957048</v>
      </c>
      <c r="F70" s="30" t="n">
        <f aca="false">IF(C70+2&gt;56,INDEX(Discount!$C$4:$C$59,56),INDEX(Discount!$C$4:$C$59,C70+2))</f>
        <v>0.851971578753519</v>
      </c>
      <c r="G70" s="30" t="n">
        <f aca="false">IF(D70=0,E70,EXP((1-D70)*LN(E70)+D70*LN(F70)))</f>
        <v>0.864199923660753</v>
      </c>
    </row>
    <row r="71" customFormat="false" ht="15" hidden="false" customHeight="true" outlineLevel="0" collapsed="false">
      <c r="A71" s="1" t="n">
        <v>67</v>
      </c>
      <c r="B71" s="11" t="n">
        <f aca="false">A71/12</f>
        <v>5.58333333333333</v>
      </c>
      <c r="C71" s="34" t="n">
        <f aca="false">INT(B71)</f>
        <v>5</v>
      </c>
      <c r="D71" s="11" t="n">
        <f aca="false">B71-C71</f>
        <v>0.583333333333333</v>
      </c>
      <c r="E71" s="30" t="n">
        <f aca="false">INDEX(Discount!$C$4:$C$59,C71+1)</f>
        <v>0.876603781957048</v>
      </c>
      <c r="F71" s="30" t="n">
        <f aca="false">IF(C71+2&gt;56,INDEX(Discount!$C$4:$C$59,56),INDEX(Discount!$C$4:$C$59,C71+2))</f>
        <v>0.851971578753519</v>
      </c>
      <c r="G71" s="30" t="n">
        <f aca="false">IF(D71=0,E71,EXP((1-D71)*LN(E71)+D71*LN(F71)))</f>
        <v>0.86214974525467</v>
      </c>
    </row>
    <row r="72" customFormat="false" ht="15" hidden="false" customHeight="true" outlineLevel="0" collapsed="false">
      <c r="A72" s="1" t="n">
        <v>68</v>
      </c>
      <c r="B72" s="11" t="n">
        <f aca="false">A72/12</f>
        <v>5.66666666666667</v>
      </c>
      <c r="C72" s="34" t="n">
        <f aca="false">INT(B72)</f>
        <v>5</v>
      </c>
      <c r="D72" s="11" t="n">
        <f aca="false">B72-C72</f>
        <v>0.666666666666667</v>
      </c>
      <c r="E72" s="30" t="n">
        <f aca="false">INDEX(Discount!$C$4:$C$59,C72+1)</f>
        <v>0.876603781957048</v>
      </c>
      <c r="F72" s="30" t="n">
        <f aca="false">IF(C72+2&gt;56,INDEX(Discount!$C$4:$C$59,56),INDEX(Discount!$C$4:$C$59,C72+2))</f>
        <v>0.851971578753519</v>
      </c>
      <c r="G72" s="30" t="n">
        <f aca="false">IF(D72=0,E72,EXP((1-D72)*LN(E72)+D72*LN(F72)))</f>
        <v>0.860104430574424</v>
      </c>
    </row>
    <row r="73" customFormat="false" ht="15" hidden="false" customHeight="true" outlineLevel="0" collapsed="false">
      <c r="A73" s="1" t="n">
        <v>69</v>
      </c>
      <c r="B73" s="11" t="n">
        <f aca="false">A73/12</f>
        <v>5.75</v>
      </c>
      <c r="C73" s="34" t="n">
        <f aca="false">INT(B73)</f>
        <v>5</v>
      </c>
      <c r="D73" s="11" t="n">
        <f aca="false">B73-C73</f>
        <v>0.75</v>
      </c>
      <c r="E73" s="30" t="n">
        <f aca="false">INDEX(Discount!$C$4:$C$59,C73+1)</f>
        <v>0.876603781957048</v>
      </c>
      <c r="F73" s="30" t="n">
        <f aca="false">IF(C73+2&gt;56,INDEX(Discount!$C$4:$C$59,56),INDEX(Discount!$C$4:$C$59,C73+2))</f>
        <v>0.851971578753519</v>
      </c>
      <c r="G73" s="30" t="n">
        <f aca="false">IF(D73=0,E73,EXP((1-D73)*LN(E73)+D73*LN(F73)))</f>
        <v>0.858063968081589</v>
      </c>
    </row>
    <row r="74" customFormat="false" ht="15" hidden="false" customHeight="true" outlineLevel="0" collapsed="false">
      <c r="A74" s="1" t="n">
        <v>70</v>
      </c>
      <c r="B74" s="11" t="n">
        <f aca="false">A74/12</f>
        <v>5.83333333333333</v>
      </c>
      <c r="C74" s="34" t="n">
        <f aca="false">INT(B74)</f>
        <v>5</v>
      </c>
      <c r="D74" s="11" t="n">
        <f aca="false">B74-C74</f>
        <v>0.833333333333333</v>
      </c>
      <c r="E74" s="30" t="n">
        <f aca="false">INDEX(Discount!$C$4:$C$59,C74+1)</f>
        <v>0.876603781957048</v>
      </c>
      <c r="F74" s="30" t="n">
        <f aca="false">IF(C74+2&gt;56,INDEX(Discount!$C$4:$C$59,56),INDEX(Discount!$C$4:$C$59,C74+2))</f>
        <v>0.851971578753519</v>
      </c>
      <c r="G74" s="30" t="n">
        <f aca="false">IF(D74=0,E74,EXP((1-D74)*LN(E74)+D74*LN(F74)))</f>
        <v>0.856028346265116</v>
      </c>
    </row>
    <row r="75" customFormat="false" ht="15" hidden="false" customHeight="true" outlineLevel="0" collapsed="false">
      <c r="A75" s="1" t="n">
        <v>71</v>
      </c>
      <c r="B75" s="11" t="n">
        <f aca="false">A75/12</f>
        <v>5.91666666666667</v>
      </c>
      <c r="C75" s="34" t="n">
        <f aca="false">INT(B75)</f>
        <v>5</v>
      </c>
      <c r="D75" s="11" t="n">
        <f aca="false">B75-C75</f>
        <v>0.916666666666667</v>
      </c>
      <c r="E75" s="30" t="n">
        <f aca="false">INDEX(Discount!$C$4:$C$59,C75+1)</f>
        <v>0.876603781957048</v>
      </c>
      <c r="F75" s="30" t="n">
        <f aca="false">IF(C75+2&gt;56,INDEX(Discount!$C$4:$C$59,56),INDEX(Discount!$C$4:$C$59,C75+2))</f>
        <v>0.851971578753519</v>
      </c>
      <c r="G75" s="30" t="n">
        <f aca="false">IF(D75=0,E75,EXP((1-D75)*LN(E75)+D75*LN(F75)))</f>
        <v>0.853997553641259</v>
      </c>
    </row>
    <row r="76" customFormat="false" ht="15" hidden="false" customHeight="true" outlineLevel="0" collapsed="false">
      <c r="A76" s="1" t="n">
        <v>72</v>
      </c>
      <c r="B76" s="11" t="n">
        <f aca="false">A76/12</f>
        <v>6</v>
      </c>
      <c r="C76" s="34" t="n">
        <f aca="false">INT(B76)</f>
        <v>6</v>
      </c>
      <c r="D76" s="11" t="n">
        <f aca="false">B76-C76</f>
        <v>0</v>
      </c>
      <c r="E76" s="30" t="n">
        <f aca="false">INDEX(Discount!$C$4:$C$59,C76+1)</f>
        <v>0.851971578753519</v>
      </c>
      <c r="F76" s="30" t="n">
        <f aca="false">IF(C76+2&gt;56,INDEX(Discount!$C$4:$C$59,56),INDEX(Discount!$C$4:$C$59,C76+2))</f>
        <v>0.827041278453181</v>
      </c>
      <c r="G76" s="30" t="n">
        <f aca="false">IF(D76=0,E76,EXP((1-D76)*LN(E76)+D76*LN(F76)))</f>
        <v>0.851971578753519</v>
      </c>
    </row>
    <row r="77" customFormat="false" ht="15" hidden="false" customHeight="true" outlineLevel="0" collapsed="false">
      <c r="A77" s="1" t="n">
        <v>73</v>
      </c>
      <c r="B77" s="11" t="n">
        <f aca="false">A77/12</f>
        <v>6.08333333333333</v>
      </c>
      <c r="C77" s="34" t="n">
        <f aca="false">INT(B77)</f>
        <v>6</v>
      </c>
      <c r="D77" s="11" t="n">
        <f aca="false">B77-C77</f>
        <v>0.083333333333333</v>
      </c>
      <c r="E77" s="30" t="n">
        <f aca="false">INDEX(Discount!$C$4:$C$59,C77+1)</f>
        <v>0.851971578753519</v>
      </c>
      <c r="F77" s="30" t="n">
        <f aca="false">IF(C77+2&gt;56,INDEX(Discount!$C$4:$C$59,56),INDEX(Discount!$C$4:$C$59,C77+2))</f>
        <v>0.827041278453181</v>
      </c>
      <c r="G77" s="30" t="n">
        <f aca="false">IF(D77=0,E77,EXP((1-D77)*LN(E77)+D77*LN(F77)))</f>
        <v>0.849865658305462</v>
      </c>
    </row>
    <row r="78" customFormat="false" ht="15" hidden="false" customHeight="true" outlineLevel="0" collapsed="false">
      <c r="A78" s="1" t="n">
        <v>74</v>
      </c>
      <c r="B78" s="11" t="n">
        <f aca="false">A78/12</f>
        <v>6.16666666666667</v>
      </c>
      <c r="C78" s="34" t="n">
        <f aca="false">INT(B78)</f>
        <v>6</v>
      </c>
      <c r="D78" s="11" t="n">
        <f aca="false">B78-C78</f>
        <v>0.166666666666667</v>
      </c>
      <c r="E78" s="30" t="n">
        <f aca="false">INDEX(Discount!$C$4:$C$59,C78+1)</f>
        <v>0.851971578753519</v>
      </c>
      <c r="F78" s="30" t="n">
        <f aca="false">IF(C78+2&gt;56,INDEX(Discount!$C$4:$C$59,56),INDEX(Discount!$C$4:$C$59,C78+2))</f>
        <v>0.827041278453181</v>
      </c>
      <c r="G78" s="30" t="n">
        <f aca="false">IF(D78=0,E78,EXP((1-D78)*LN(E78)+D78*LN(F78)))</f>
        <v>0.847764943313835</v>
      </c>
    </row>
    <row r="79" customFormat="false" ht="15" hidden="false" customHeight="true" outlineLevel="0" collapsed="false">
      <c r="A79" s="1" t="n">
        <v>75</v>
      </c>
      <c r="B79" s="11" t="n">
        <f aca="false">A79/12</f>
        <v>6.25</v>
      </c>
      <c r="C79" s="34" t="n">
        <f aca="false">INT(B79)</f>
        <v>6</v>
      </c>
      <c r="D79" s="11" t="n">
        <f aca="false">B79-C79</f>
        <v>0.25</v>
      </c>
      <c r="E79" s="30" t="n">
        <f aca="false">INDEX(Discount!$C$4:$C$59,C79+1)</f>
        <v>0.851971578753519</v>
      </c>
      <c r="F79" s="30" t="n">
        <f aca="false">IF(C79+2&gt;56,INDEX(Discount!$C$4:$C$59,56),INDEX(Discount!$C$4:$C$59,C79+2))</f>
        <v>0.827041278453181</v>
      </c>
      <c r="G79" s="30" t="n">
        <f aca="false">IF(D79=0,E79,EXP((1-D79)*LN(E79)+D79*LN(F79)))</f>
        <v>0.845669420911687</v>
      </c>
    </row>
    <row r="80" customFormat="false" ht="15" hidden="false" customHeight="true" outlineLevel="0" collapsed="false">
      <c r="A80" s="1" t="n">
        <v>76</v>
      </c>
      <c r="B80" s="11" t="n">
        <f aca="false">A80/12</f>
        <v>6.33333333333333</v>
      </c>
      <c r="C80" s="34" t="n">
        <f aca="false">INT(B80)</f>
        <v>6</v>
      </c>
      <c r="D80" s="11" t="n">
        <f aca="false">B80-C80</f>
        <v>0.333333333333333</v>
      </c>
      <c r="E80" s="30" t="n">
        <f aca="false">INDEX(Discount!$C$4:$C$59,C80+1)</f>
        <v>0.851971578753519</v>
      </c>
      <c r="F80" s="30" t="n">
        <f aca="false">IF(C80+2&gt;56,INDEX(Discount!$C$4:$C$59,56),INDEX(Discount!$C$4:$C$59,C80+2))</f>
        <v>0.827041278453181</v>
      </c>
      <c r="G80" s="30" t="n">
        <f aca="false">IF(D80=0,E80,EXP((1-D80)*LN(E80)+D80*LN(F80)))</f>
        <v>0.843579078263872</v>
      </c>
    </row>
    <row r="81" customFormat="false" ht="15" hidden="false" customHeight="true" outlineLevel="0" collapsed="false">
      <c r="A81" s="1" t="n">
        <v>77</v>
      </c>
      <c r="B81" s="11" t="n">
        <f aca="false">A81/12</f>
        <v>6.41666666666667</v>
      </c>
      <c r="C81" s="34" t="n">
        <f aca="false">INT(B81)</f>
        <v>6</v>
      </c>
      <c r="D81" s="11" t="n">
        <f aca="false">B81-C81</f>
        <v>0.416666666666667</v>
      </c>
      <c r="E81" s="30" t="n">
        <f aca="false">INDEX(Discount!$C$4:$C$59,C81+1)</f>
        <v>0.851971578753519</v>
      </c>
      <c r="F81" s="30" t="n">
        <f aca="false">IF(C81+2&gt;56,INDEX(Discount!$C$4:$C$59,56),INDEX(Discount!$C$4:$C$59,C81+2))</f>
        <v>0.827041278453181</v>
      </c>
      <c r="G81" s="30" t="n">
        <f aca="false">IF(D81=0,E81,EXP((1-D81)*LN(E81)+D81*LN(F81)))</f>
        <v>0.841493902566968</v>
      </c>
    </row>
    <row r="82" customFormat="false" ht="15" hidden="false" customHeight="true" outlineLevel="0" collapsed="false">
      <c r="A82" s="1" t="n">
        <v>78</v>
      </c>
      <c r="B82" s="11" t="n">
        <f aca="false">A82/12</f>
        <v>6.5</v>
      </c>
      <c r="C82" s="34" t="n">
        <f aca="false">INT(B82)</f>
        <v>6</v>
      </c>
      <c r="D82" s="11" t="n">
        <f aca="false">B82-C82</f>
        <v>0.5</v>
      </c>
      <c r="E82" s="30" t="n">
        <f aca="false">INDEX(Discount!$C$4:$C$59,C82+1)</f>
        <v>0.851971578753519</v>
      </c>
      <c r="F82" s="30" t="n">
        <f aca="false">IF(C82+2&gt;56,INDEX(Discount!$C$4:$C$59,56),INDEX(Discount!$C$4:$C$59,C82+2))</f>
        <v>0.827041278453181</v>
      </c>
      <c r="G82" s="30" t="n">
        <f aca="false">IF(D82=0,E82,EXP((1-D82)*LN(E82)+D82*LN(F82)))</f>
        <v>0.839413881049203</v>
      </c>
    </row>
    <row r="83" customFormat="false" ht="15" hidden="false" customHeight="true" outlineLevel="0" collapsed="false">
      <c r="A83" s="1" t="n">
        <v>79</v>
      </c>
      <c r="B83" s="11" t="n">
        <f aca="false">A83/12</f>
        <v>6.58333333333333</v>
      </c>
      <c r="C83" s="34" t="n">
        <f aca="false">INT(B83)</f>
        <v>6</v>
      </c>
      <c r="D83" s="11" t="n">
        <f aca="false">B83-C83</f>
        <v>0.583333333333333</v>
      </c>
      <c r="E83" s="30" t="n">
        <f aca="false">INDEX(Discount!$C$4:$C$59,C83+1)</f>
        <v>0.851971578753519</v>
      </c>
      <c r="F83" s="30" t="n">
        <f aca="false">IF(C83+2&gt;56,INDEX(Discount!$C$4:$C$59,56),INDEX(Discount!$C$4:$C$59,C83+2))</f>
        <v>0.827041278453181</v>
      </c>
      <c r="G83" s="30" t="n">
        <f aca="false">IF(D83=0,E83,EXP((1-D83)*LN(E83)+D83*LN(F83)))</f>
        <v>0.837339000970373</v>
      </c>
    </row>
    <row r="84" customFormat="false" ht="15" hidden="false" customHeight="true" outlineLevel="0" collapsed="false">
      <c r="A84" s="1" t="n">
        <v>80</v>
      </c>
      <c r="B84" s="11" t="n">
        <f aca="false">A84/12</f>
        <v>6.66666666666667</v>
      </c>
      <c r="C84" s="34" t="n">
        <f aca="false">INT(B84)</f>
        <v>6</v>
      </c>
      <c r="D84" s="11" t="n">
        <f aca="false">B84-C84</f>
        <v>0.666666666666667</v>
      </c>
      <c r="E84" s="30" t="n">
        <f aca="false">INDEX(Discount!$C$4:$C$59,C84+1)</f>
        <v>0.851971578753519</v>
      </c>
      <c r="F84" s="30" t="n">
        <f aca="false">IF(C84+2&gt;56,INDEX(Discount!$C$4:$C$59,56),INDEX(Discount!$C$4:$C$59,C84+2))</f>
        <v>0.827041278453181</v>
      </c>
      <c r="G84" s="30" t="n">
        <f aca="false">IF(D84=0,E84,EXP((1-D84)*LN(E84)+D84*LN(F84)))</f>
        <v>0.835269249621766</v>
      </c>
    </row>
    <row r="85" customFormat="false" ht="15" hidden="false" customHeight="true" outlineLevel="0" collapsed="false">
      <c r="A85" s="1" t="n">
        <v>81</v>
      </c>
      <c r="B85" s="11" t="n">
        <f aca="false">A85/12</f>
        <v>6.75</v>
      </c>
      <c r="C85" s="34" t="n">
        <f aca="false">INT(B85)</f>
        <v>6</v>
      </c>
      <c r="D85" s="11" t="n">
        <f aca="false">B85-C85</f>
        <v>0.75</v>
      </c>
      <c r="E85" s="30" t="n">
        <f aca="false">INDEX(Discount!$C$4:$C$59,C85+1)</f>
        <v>0.851971578753519</v>
      </c>
      <c r="F85" s="30" t="n">
        <f aca="false">IF(C85+2&gt;56,INDEX(Discount!$C$4:$C$59,56),INDEX(Discount!$C$4:$C$59,C85+2))</f>
        <v>0.827041278453181</v>
      </c>
      <c r="G85" s="30" t="n">
        <f aca="false">IF(D85=0,E85,EXP((1-D85)*LN(E85)+D85*LN(F85)))</f>
        <v>0.833204614326085</v>
      </c>
    </row>
    <row r="86" customFormat="false" ht="15" hidden="false" customHeight="true" outlineLevel="0" collapsed="false">
      <c r="A86" s="1" t="n">
        <v>82</v>
      </c>
      <c r="B86" s="11" t="n">
        <f aca="false">A86/12</f>
        <v>6.83333333333333</v>
      </c>
      <c r="C86" s="34" t="n">
        <f aca="false">INT(B86)</f>
        <v>6</v>
      </c>
      <c r="D86" s="11" t="n">
        <f aca="false">B86-C86</f>
        <v>0.833333333333333</v>
      </c>
      <c r="E86" s="30" t="n">
        <f aca="false">INDEX(Discount!$C$4:$C$59,C86+1)</f>
        <v>0.851971578753519</v>
      </c>
      <c r="F86" s="30" t="n">
        <f aca="false">IF(C86+2&gt;56,INDEX(Discount!$C$4:$C$59,56),INDEX(Discount!$C$4:$C$59,C86+2))</f>
        <v>0.827041278453181</v>
      </c>
      <c r="G86" s="30" t="n">
        <f aca="false">IF(D86=0,E86,EXP((1-D86)*LN(E86)+D86*LN(F86)))</f>
        <v>0.831145082437366</v>
      </c>
    </row>
    <row r="87" customFormat="false" ht="15" hidden="false" customHeight="true" outlineLevel="0" collapsed="false">
      <c r="A87" s="1" t="n">
        <v>83</v>
      </c>
      <c r="B87" s="11" t="n">
        <f aca="false">A87/12</f>
        <v>6.91666666666667</v>
      </c>
      <c r="C87" s="34" t="n">
        <f aca="false">INT(B87)</f>
        <v>6</v>
      </c>
      <c r="D87" s="11" t="n">
        <f aca="false">B87-C87</f>
        <v>0.916666666666667</v>
      </c>
      <c r="E87" s="30" t="n">
        <f aca="false">INDEX(Discount!$C$4:$C$59,C87+1)</f>
        <v>0.851971578753519</v>
      </c>
      <c r="F87" s="30" t="n">
        <f aca="false">IF(C87+2&gt;56,INDEX(Discount!$C$4:$C$59,56),INDEX(Discount!$C$4:$C$59,C87+2))</f>
        <v>0.827041278453181</v>
      </c>
      <c r="G87" s="30" t="n">
        <f aca="false">IF(D87=0,E87,EXP((1-D87)*LN(E87)+D87*LN(F87)))</f>
        <v>0.829090641340905</v>
      </c>
    </row>
    <row r="88" customFormat="false" ht="15" hidden="false" customHeight="true" outlineLevel="0" collapsed="false">
      <c r="A88" s="1" t="n">
        <v>84</v>
      </c>
      <c r="B88" s="11" t="n">
        <f aca="false">A88/12</f>
        <v>7</v>
      </c>
      <c r="C88" s="34" t="n">
        <f aca="false">INT(B88)</f>
        <v>7</v>
      </c>
      <c r="D88" s="11" t="n">
        <f aca="false">B88-C88</f>
        <v>0</v>
      </c>
      <c r="E88" s="30" t="n">
        <f aca="false">INDEX(Discount!$C$4:$C$59,C88+1)</f>
        <v>0.827041278453181</v>
      </c>
      <c r="F88" s="30" t="n">
        <f aca="false">IF(C88+2&gt;56,INDEX(Discount!$C$4:$C$59,56),INDEX(Discount!$C$4:$C$59,C88+2))</f>
        <v>0.801904550348561</v>
      </c>
      <c r="G88" s="30" t="n">
        <f aca="false">IF(D88=0,E88,EXP((1-D88)*LN(E88)+D88*LN(F88)))</f>
        <v>0.827041278453181</v>
      </c>
    </row>
    <row r="89" customFormat="false" ht="15" hidden="false" customHeight="true" outlineLevel="0" collapsed="false">
      <c r="A89" s="1" t="n">
        <v>85</v>
      </c>
      <c r="B89" s="11" t="n">
        <f aca="false">A89/12</f>
        <v>7.08333333333333</v>
      </c>
      <c r="C89" s="34" t="n">
        <f aca="false">INT(B89)</f>
        <v>7</v>
      </c>
      <c r="D89" s="11" t="n">
        <f aca="false">B89-C89</f>
        <v>0.083333333333333</v>
      </c>
      <c r="E89" s="30" t="n">
        <f aca="false">INDEX(Discount!$C$4:$C$59,C89+1)</f>
        <v>0.827041278453181</v>
      </c>
      <c r="F89" s="30" t="n">
        <f aca="false">IF(C89+2&gt;56,INDEX(Discount!$C$4:$C$59,56),INDEX(Discount!$C$4:$C$59,C89+2))</f>
        <v>0.801904550348561</v>
      </c>
      <c r="G89" s="30" t="n">
        <f aca="false">IF(D89=0,E89,EXP((1-D89)*LN(E89)+D89*LN(F89)))</f>
        <v>0.824916791269109</v>
      </c>
    </row>
    <row r="90" customFormat="false" ht="15" hidden="false" customHeight="true" outlineLevel="0" collapsed="false">
      <c r="A90" s="1" t="n">
        <v>86</v>
      </c>
      <c r="B90" s="11" t="n">
        <f aca="false">A90/12</f>
        <v>7.16666666666667</v>
      </c>
      <c r="C90" s="34" t="n">
        <f aca="false">INT(B90)</f>
        <v>7</v>
      </c>
      <c r="D90" s="11" t="n">
        <f aca="false">B90-C90</f>
        <v>0.166666666666667</v>
      </c>
      <c r="E90" s="30" t="n">
        <f aca="false">INDEX(Discount!$C$4:$C$59,C90+1)</f>
        <v>0.827041278453181</v>
      </c>
      <c r="F90" s="30" t="n">
        <f aca="false">IF(C90+2&gt;56,INDEX(Discount!$C$4:$C$59,56),INDEX(Discount!$C$4:$C$59,C90+2))</f>
        <v>0.801904550348561</v>
      </c>
      <c r="G90" s="30" t="n">
        <f aca="false">IF(D90=0,E90,EXP((1-D90)*LN(E90)+D90*LN(F90)))</f>
        <v>0.822797761425453</v>
      </c>
    </row>
    <row r="91" customFormat="false" ht="15" hidden="false" customHeight="true" outlineLevel="0" collapsed="false">
      <c r="A91" s="1" t="n">
        <v>87</v>
      </c>
      <c r="B91" s="11" t="n">
        <f aca="false">A91/12</f>
        <v>7.25</v>
      </c>
      <c r="C91" s="34" t="n">
        <f aca="false">INT(B91)</f>
        <v>7</v>
      </c>
      <c r="D91" s="11" t="n">
        <f aca="false">B91-C91</f>
        <v>0.25</v>
      </c>
      <c r="E91" s="30" t="n">
        <f aca="false">INDEX(Discount!$C$4:$C$59,C91+1)</f>
        <v>0.827041278453181</v>
      </c>
      <c r="F91" s="30" t="n">
        <f aca="false">IF(C91+2&gt;56,INDEX(Discount!$C$4:$C$59,56),INDEX(Discount!$C$4:$C$59,C91+2))</f>
        <v>0.801904550348561</v>
      </c>
      <c r="G91" s="30" t="n">
        <f aca="false">IF(D91=0,E91,EXP((1-D91)*LN(E91)+D91*LN(F91)))</f>
        <v>0.820684174903507</v>
      </c>
    </row>
    <row r="92" customFormat="false" ht="15" hidden="false" customHeight="true" outlineLevel="0" collapsed="false">
      <c r="A92" s="1" t="n">
        <v>88</v>
      </c>
      <c r="B92" s="11" t="n">
        <f aca="false">A92/12</f>
        <v>7.33333333333333</v>
      </c>
      <c r="C92" s="34" t="n">
        <f aca="false">INT(B92)</f>
        <v>7</v>
      </c>
      <c r="D92" s="11" t="n">
        <f aca="false">B92-C92</f>
        <v>0.333333333333333</v>
      </c>
      <c r="E92" s="30" t="n">
        <f aca="false">INDEX(Discount!$C$4:$C$59,C92+1)</f>
        <v>0.827041278453181</v>
      </c>
      <c r="F92" s="30" t="n">
        <f aca="false">IF(C92+2&gt;56,INDEX(Discount!$C$4:$C$59,56),INDEX(Discount!$C$4:$C$59,C92+2))</f>
        <v>0.801904550348561</v>
      </c>
      <c r="G92" s="30" t="n">
        <f aca="false">IF(D92=0,E92,EXP((1-D92)*LN(E92)+D92*LN(F92)))</f>
        <v>0.818576017720573</v>
      </c>
    </row>
    <row r="93" customFormat="false" ht="15" hidden="false" customHeight="true" outlineLevel="0" collapsed="false">
      <c r="A93" s="1" t="n">
        <v>89</v>
      </c>
      <c r="B93" s="11" t="n">
        <f aca="false">A93/12</f>
        <v>7.41666666666667</v>
      </c>
      <c r="C93" s="34" t="n">
        <f aca="false">INT(B93)</f>
        <v>7</v>
      </c>
      <c r="D93" s="11" t="n">
        <f aca="false">B93-C93</f>
        <v>0.416666666666667</v>
      </c>
      <c r="E93" s="30" t="n">
        <f aca="false">INDEX(Discount!$C$4:$C$59,C93+1)</f>
        <v>0.827041278453181</v>
      </c>
      <c r="F93" s="30" t="n">
        <f aca="false">IF(C93+2&gt;56,INDEX(Discount!$C$4:$C$59,56),INDEX(Discount!$C$4:$C$59,C93+2))</f>
        <v>0.801904550348561</v>
      </c>
      <c r="G93" s="30" t="n">
        <f aca="false">IF(D93=0,E93,EXP((1-D93)*LN(E93)+D93*LN(F93)))</f>
        <v>0.816473275929874</v>
      </c>
    </row>
    <row r="94" customFormat="false" ht="15" hidden="false" customHeight="true" outlineLevel="0" collapsed="false">
      <c r="A94" s="1" t="n">
        <v>90</v>
      </c>
      <c r="B94" s="11" t="n">
        <f aca="false">A94/12</f>
        <v>7.5</v>
      </c>
      <c r="C94" s="34" t="n">
        <f aca="false">INT(B94)</f>
        <v>7</v>
      </c>
      <c r="D94" s="11" t="n">
        <f aca="false">B94-C94</f>
        <v>0.5</v>
      </c>
      <c r="E94" s="30" t="n">
        <f aca="false">INDEX(Discount!$C$4:$C$59,C94+1)</f>
        <v>0.827041278453181</v>
      </c>
      <c r="F94" s="30" t="n">
        <f aca="false">IF(C94+2&gt;56,INDEX(Discount!$C$4:$C$59,56),INDEX(Discount!$C$4:$C$59,C94+2))</f>
        <v>0.801904550348561</v>
      </c>
      <c r="G94" s="30" t="n">
        <f aca="false">IF(D94=0,E94,EXP((1-D94)*LN(E94)+D94*LN(F94)))</f>
        <v>0.814375935620458</v>
      </c>
    </row>
    <row r="95" customFormat="false" ht="15" hidden="false" customHeight="true" outlineLevel="0" collapsed="false">
      <c r="A95" s="1" t="n">
        <v>91</v>
      </c>
      <c r="B95" s="11" t="n">
        <f aca="false">A95/12</f>
        <v>7.58333333333333</v>
      </c>
      <c r="C95" s="34" t="n">
        <f aca="false">INT(B95)</f>
        <v>7</v>
      </c>
      <c r="D95" s="11" t="n">
        <f aca="false">B95-C95</f>
        <v>0.583333333333333</v>
      </c>
      <c r="E95" s="30" t="n">
        <f aca="false">INDEX(Discount!$C$4:$C$59,C95+1)</f>
        <v>0.827041278453181</v>
      </c>
      <c r="F95" s="30" t="n">
        <f aca="false">IF(C95+2&gt;56,INDEX(Discount!$C$4:$C$59,56),INDEX(Discount!$C$4:$C$59,C95+2))</f>
        <v>0.801904550348561</v>
      </c>
      <c r="G95" s="30" t="n">
        <f aca="false">IF(D95=0,E95,EXP((1-D95)*LN(E95)+D95*LN(F95)))</f>
        <v>0.812283982917108</v>
      </c>
    </row>
    <row r="96" customFormat="false" ht="15" hidden="false" customHeight="true" outlineLevel="0" collapsed="false">
      <c r="A96" s="1" t="n">
        <v>92</v>
      </c>
      <c r="B96" s="11" t="n">
        <f aca="false">A96/12</f>
        <v>7.66666666666667</v>
      </c>
      <c r="C96" s="34" t="n">
        <f aca="false">INT(B96)</f>
        <v>7</v>
      </c>
      <c r="D96" s="11" t="n">
        <f aca="false">B96-C96</f>
        <v>0.666666666666667</v>
      </c>
      <c r="E96" s="30" t="n">
        <f aca="false">INDEX(Discount!$C$4:$C$59,C96+1)</f>
        <v>0.827041278453181</v>
      </c>
      <c r="F96" s="30" t="n">
        <f aca="false">IF(C96+2&gt;56,INDEX(Discount!$C$4:$C$59,56),INDEX(Discount!$C$4:$C$59,C96+2))</f>
        <v>0.801904550348561</v>
      </c>
      <c r="G96" s="30" t="n">
        <f aca="false">IF(D96=0,E96,EXP((1-D96)*LN(E96)+D96*LN(F96)))</f>
        <v>0.810197403980247</v>
      </c>
    </row>
    <row r="97" customFormat="false" ht="15" hidden="false" customHeight="true" outlineLevel="0" collapsed="false">
      <c r="A97" s="1" t="n">
        <v>93</v>
      </c>
      <c r="B97" s="11" t="n">
        <f aca="false">A97/12</f>
        <v>7.75</v>
      </c>
      <c r="C97" s="34" t="n">
        <f aca="false">INT(B97)</f>
        <v>7</v>
      </c>
      <c r="D97" s="11" t="n">
        <f aca="false">B97-C97</f>
        <v>0.75</v>
      </c>
      <c r="E97" s="30" t="n">
        <f aca="false">INDEX(Discount!$C$4:$C$59,C97+1)</f>
        <v>0.827041278453181</v>
      </c>
      <c r="F97" s="30" t="n">
        <f aca="false">IF(C97+2&gt;56,INDEX(Discount!$C$4:$C$59,56),INDEX(Discount!$C$4:$C$59,C97+2))</f>
        <v>0.801904550348561</v>
      </c>
      <c r="G97" s="30" t="n">
        <f aca="false">IF(D97=0,E97,EXP((1-D97)*LN(E97)+D97*LN(F97)))</f>
        <v>0.808116185005852</v>
      </c>
    </row>
    <row r="98" customFormat="false" ht="15" hidden="false" customHeight="true" outlineLevel="0" collapsed="false">
      <c r="A98" s="1" t="n">
        <v>94</v>
      </c>
      <c r="B98" s="11" t="n">
        <f aca="false">A98/12</f>
        <v>7.83333333333333</v>
      </c>
      <c r="C98" s="34" t="n">
        <f aca="false">INT(B98)</f>
        <v>7</v>
      </c>
      <c r="D98" s="11" t="n">
        <f aca="false">B98-C98</f>
        <v>0.833333333333333</v>
      </c>
      <c r="E98" s="30" t="n">
        <f aca="false">INDEX(Discount!$C$4:$C$59,C98+1)</f>
        <v>0.827041278453181</v>
      </c>
      <c r="F98" s="30" t="n">
        <f aca="false">IF(C98+2&gt;56,INDEX(Discount!$C$4:$C$59,56),INDEX(Discount!$C$4:$C$59,C98+2))</f>
        <v>0.801904550348561</v>
      </c>
      <c r="G98" s="30" t="n">
        <f aca="false">IF(D98=0,E98,EXP((1-D98)*LN(E98)+D98*LN(F98)))</f>
        <v>0.806040312225357</v>
      </c>
    </row>
    <row r="99" customFormat="false" ht="15" hidden="false" customHeight="true" outlineLevel="0" collapsed="false">
      <c r="A99" s="1" t="n">
        <v>95</v>
      </c>
      <c r="B99" s="11" t="n">
        <f aca="false">A99/12</f>
        <v>7.91666666666667</v>
      </c>
      <c r="C99" s="34" t="n">
        <f aca="false">INT(B99)</f>
        <v>7</v>
      </c>
      <c r="D99" s="11" t="n">
        <f aca="false">B99-C99</f>
        <v>0.916666666666667</v>
      </c>
      <c r="E99" s="30" t="n">
        <f aca="false">INDEX(Discount!$C$4:$C$59,C99+1)</f>
        <v>0.827041278453181</v>
      </c>
      <c r="F99" s="30" t="n">
        <f aca="false">IF(C99+2&gt;56,INDEX(Discount!$C$4:$C$59,56),INDEX(Discount!$C$4:$C$59,C99+2))</f>
        <v>0.801904550348561</v>
      </c>
      <c r="G99" s="30" t="n">
        <f aca="false">IF(D99=0,E99,EXP((1-D99)*LN(E99)+D99*LN(F99)))</f>
        <v>0.803969771905566</v>
      </c>
    </row>
    <row r="100" customFormat="false" ht="15" hidden="false" customHeight="true" outlineLevel="0" collapsed="false">
      <c r="A100" s="1" t="n">
        <v>96</v>
      </c>
      <c r="B100" s="11" t="n">
        <f aca="false">A100/12</f>
        <v>8</v>
      </c>
      <c r="C100" s="34" t="n">
        <f aca="false">INT(B100)</f>
        <v>8</v>
      </c>
      <c r="D100" s="11" t="n">
        <f aca="false">B100-C100</f>
        <v>0</v>
      </c>
      <c r="E100" s="30" t="n">
        <f aca="false">INDEX(Discount!$C$4:$C$59,C100+1)</f>
        <v>0.801904550348561</v>
      </c>
      <c r="F100" s="30" t="n">
        <f aca="false">IF(C100+2&gt;56,INDEX(Discount!$C$4:$C$59,56),INDEX(Discount!$C$4:$C$59,C100+2))</f>
        <v>0.776739422112084</v>
      </c>
      <c r="G100" s="30" t="n">
        <f aca="false">IF(D100=0,E100,EXP((1-D100)*LN(E100)+D100*LN(F100)))</f>
        <v>0.801904550348561</v>
      </c>
    </row>
    <row r="101" customFormat="false" ht="15" hidden="false" customHeight="true" outlineLevel="0" collapsed="false">
      <c r="A101" s="1" t="n">
        <v>97</v>
      </c>
      <c r="B101" s="11" t="n">
        <f aca="false">A101/12</f>
        <v>8.08333333333333</v>
      </c>
      <c r="C101" s="34" t="n">
        <f aca="false">INT(B101)</f>
        <v>8</v>
      </c>
      <c r="D101" s="11" t="n">
        <f aca="false">B101-C101</f>
        <v>0.0833333333333339</v>
      </c>
      <c r="E101" s="30" t="n">
        <f aca="false">INDEX(Discount!$C$4:$C$59,C101+1)</f>
        <v>0.801904550348561</v>
      </c>
      <c r="F101" s="30" t="n">
        <f aca="false">IF(C101+2&gt;56,INDEX(Discount!$C$4:$C$59,56),INDEX(Discount!$C$4:$C$59,C101+2))</f>
        <v>0.776739422112084</v>
      </c>
      <c r="G101" s="30" t="n">
        <f aca="false">IF(D101=0,E101,EXP((1-D101)*LN(E101)+D101*LN(F101)))</f>
        <v>0.799776674300048</v>
      </c>
    </row>
    <row r="102" customFormat="false" ht="15" hidden="false" customHeight="true" outlineLevel="0" collapsed="false">
      <c r="A102" s="1" t="n">
        <v>98</v>
      </c>
      <c r="B102" s="11" t="n">
        <f aca="false">A102/12</f>
        <v>8.16666666666667</v>
      </c>
      <c r="C102" s="34" t="n">
        <f aca="false">INT(B102)</f>
        <v>8</v>
      </c>
      <c r="D102" s="11" t="n">
        <f aca="false">B102-C102</f>
        <v>0.166666666666666</v>
      </c>
      <c r="E102" s="30" t="n">
        <f aca="false">INDEX(Discount!$C$4:$C$59,C102+1)</f>
        <v>0.801904550348561</v>
      </c>
      <c r="F102" s="30" t="n">
        <f aca="false">IF(C102+2&gt;56,INDEX(Discount!$C$4:$C$59,56),INDEX(Discount!$C$4:$C$59,C102+2))</f>
        <v>0.776739422112084</v>
      </c>
      <c r="G102" s="30" t="n">
        <f aca="false">IF(D102=0,E102,EXP((1-D102)*LN(E102)+D102*LN(F102)))</f>
        <v>0.797654444629869</v>
      </c>
    </row>
    <row r="103" customFormat="false" ht="15" hidden="false" customHeight="true" outlineLevel="0" collapsed="false">
      <c r="A103" s="1" t="n">
        <v>99</v>
      </c>
      <c r="B103" s="11" t="n">
        <f aca="false">A103/12</f>
        <v>8.25</v>
      </c>
      <c r="C103" s="34" t="n">
        <f aca="false">INT(B103)</f>
        <v>8</v>
      </c>
      <c r="D103" s="11" t="n">
        <f aca="false">B103-C103</f>
        <v>0.25</v>
      </c>
      <c r="E103" s="30" t="n">
        <f aca="false">INDEX(Discount!$C$4:$C$59,C103+1)</f>
        <v>0.801904550348561</v>
      </c>
      <c r="F103" s="30" t="n">
        <f aca="false">IF(C103+2&gt;56,INDEX(Discount!$C$4:$C$59,56),INDEX(Discount!$C$4:$C$59,C103+2))</f>
        <v>0.776739422112084</v>
      </c>
      <c r="G103" s="30" t="n">
        <f aca="false">IF(D103=0,E103,EXP((1-D103)*LN(E103)+D103*LN(F103)))</f>
        <v>0.795537846355199</v>
      </c>
    </row>
    <row r="104" customFormat="false" ht="15" hidden="false" customHeight="true" outlineLevel="0" collapsed="false">
      <c r="A104" s="1" t="n">
        <v>100</v>
      </c>
      <c r="B104" s="11" t="n">
        <f aca="false">A104/12</f>
        <v>8.33333333333333</v>
      </c>
      <c r="C104" s="34" t="n">
        <f aca="false">INT(B104)</f>
        <v>8</v>
      </c>
      <c r="D104" s="11" t="n">
        <f aca="false">B104-C104</f>
        <v>0.333333333333334</v>
      </c>
      <c r="E104" s="30" t="n">
        <f aca="false">INDEX(Discount!$C$4:$C$59,C104+1)</f>
        <v>0.801904550348561</v>
      </c>
      <c r="F104" s="30" t="n">
        <f aca="false">IF(C104+2&gt;56,INDEX(Discount!$C$4:$C$59,56),INDEX(Discount!$C$4:$C$59,C104+2))</f>
        <v>0.776739422112084</v>
      </c>
      <c r="G104" s="30" t="n">
        <f aca="false">IF(D104=0,E104,EXP((1-D104)*LN(E104)+D104*LN(F104)))</f>
        <v>0.793426864532976</v>
      </c>
    </row>
    <row r="105" customFormat="false" ht="15" hidden="false" customHeight="true" outlineLevel="0" collapsed="false">
      <c r="A105" s="1" t="n">
        <v>101</v>
      </c>
      <c r="B105" s="11" t="n">
        <f aca="false">A105/12</f>
        <v>8.41666666666667</v>
      </c>
      <c r="C105" s="34" t="n">
        <f aca="false">INT(B105)</f>
        <v>8</v>
      </c>
      <c r="D105" s="11" t="n">
        <f aca="false">B105-C105</f>
        <v>0.416666666666666</v>
      </c>
      <c r="E105" s="30" t="n">
        <f aca="false">INDEX(Discount!$C$4:$C$59,C105+1)</f>
        <v>0.801904550348561</v>
      </c>
      <c r="F105" s="30" t="n">
        <f aca="false">IF(C105+2&gt;56,INDEX(Discount!$C$4:$C$59,56),INDEX(Discount!$C$4:$C$59,C105+2))</f>
        <v>0.776739422112084</v>
      </c>
      <c r="G105" s="30" t="n">
        <f aca="false">IF(D105=0,E105,EXP((1-D105)*LN(E105)+D105*LN(F105)))</f>
        <v>0.791321484259785</v>
      </c>
    </row>
    <row r="106" customFormat="false" ht="15" hidden="false" customHeight="true" outlineLevel="0" collapsed="false">
      <c r="A106" s="1" t="n">
        <v>102</v>
      </c>
      <c r="B106" s="11" t="n">
        <f aca="false">A106/12</f>
        <v>8.5</v>
      </c>
      <c r="C106" s="34" t="n">
        <f aca="false">INT(B106)</f>
        <v>8</v>
      </c>
      <c r="D106" s="11" t="n">
        <f aca="false">B106-C106</f>
        <v>0.5</v>
      </c>
      <c r="E106" s="30" t="n">
        <f aca="false">INDEX(Discount!$C$4:$C$59,C106+1)</f>
        <v>0.801904550348561</v>
      </c>
      <c r="F106" s="30" t="n">
        <f aca="false">IF(C106+2&gt;56,INDEX(Discount!$C$4:$C$59,56),INDEX(Discount!$C$4:$C$59,C106+2))</f>
        <v>0.776739422112084</v>
      </c>
      <c r="G106" s="30" t="n">
        <f aca="false">IF(D106=0,E106,EXP((1-D106)*LN(E106)+D106*LN(F106)))</f>
        <v>0.78922169067176</v>
      </c>
    </row>
    <row r="107" customFormat="false" ht="15" hidden="false" customHeight="true" outlineLevel="0" collapsed="false">
      <c r="A107" s="1" t="n">
        <v>103</v>
      </c>
      <c r="B107" s="11" t="n">
        <f aca="false">A107/12</f>
        <v>8.58333333333333</v>
      </c>
      <c r="C107" s="34" t="n">
        <f aca="false">INT(B107)</f>
        <v>8</v>
      </c>
      <c r="D107" s="11" t="n">
        <f aca="false">B107-C107</f>
        <v>0.583333333333334</v>
      </c>
      <c r="E107" s="30" t="n">
        <f aca="false">INDEX(Discount!$C$4:$C$59,C107+1)</f>
        <v>0.801904550348561</v>
      </c>
      <c r="F107" s="30" t="n">
        <f aca="false">IF(C107+2&gt;56,INDEX(Discount!$C$4:$C$59,56),INDEX(Discount!$C$4:$C$59,C107+2))</f>
        <v>0.776739422112084</v>
      </c>
      <c r="G107" s="30" t="n">
        <f aca="false">IF(D107=0,E107,EXP((1-D107)*LN(E107)+D107*LN(F107)))</f>
        <v>0.787127468944478</v>
      </c>
    </row>
    <row r="108" customFormat="false" ht="15" hidden="false" customHeight="true" outlineLevel="0" collapsed="false">
      <c r="A108" s="1" t="n">
        <v>104</v>
      </c>
      <c r="B108" s="11" t="n">
        <f aca="false">A108/12</f>
        <v>8.66666666666667</v>
      </c>
      <c r="C108" s="34" t="n">
        <f aca="false">INT(B108)</f>
        <v>8</v>
      </c>
      <c r="D108" s="11" t="n">
        <f aca="false">B108-C108</f>
        <v>0.666666666666666</v>
      </c>
      <c r="E108" s="30" t="n">
        <f aca="false">INDEX(Discount!$C$4:$C$59,C108+1)</f>
        <v>0.801904550348561</v>
      </c>
      <c r="F108" s="30" t="n">
        <f aca="false">IF(C108+2&gt;56,INDEX(Discount!$C$4:$C$59,56),INDEX(Discount!$C$4:$C$59,C108+2))</f>
        <v>0.776739422112084</v>
      </c>
      <c r="G108" s="30" t="n">
        <f aca="false">IF(D108=0,E108,EXP((1-D108)*LN(E108)+D108*LN(F108)))</f>
        <v>0.785038804292849</v>
      </c>
    </row>
    <row r="109" customFormat="false" ht="15" hidden="false" customHeight="true" outlineLevel="0" collapsed="false">
      <c r="A109" s="1" t="n">
        <v>105</v>
      </c>
      <c r="B109" s="11" t="n">
        <f aca="false">A109/12</f>
        <v>8.75</v>
      </c>
      <c r="C109" s="34" t="n">
        <f aca="false">INT(B109)</f>
        <v>8</v>
      </c>
      <c r="D109" s="11" t="n">
        <f aca="false">B109-C109</f>
        <v>0.75</v>
      </c>
      <c r="E109" s="30" t="n">
        <f aca="false">INDEX(Discount!$C$4:$C$59,C109+1)</f>
        <v>0.801904550348561</v>
      </c>
      <c r="F109" s="30" t="n">
        <f aca="false">IF(C109+2&gt;56,INDEX(Discount!$C$4:$C$59,56),INDEX(Discount!$C$4:$C$59,C109+2))</f>
        <v>0.776739422112084</v>
      </c>
      <c r="G109" s="30" t="n">
        <f aca="false">IF(D109=0,E109,EXP((1-D109)*LN(E109)+D109*LN(F109)))</f>
        <v>0.78295568197102</v>
      </c>
    </row>
    <row r="110" customFormat="false" ht="15" hidden="false" customHeight="true" outlineLevel="0" collapsed="false">
      <c r="A110" s="1" t="n">
        <v>106</v>
      </c>
      <c r="B110" s="11" t="n">
        <f aca="false">A110/12</f>
        <v>8.83333333333333</v>
      </c>
      <c r="C110" s="34" t="n">
        <f aca="false">INT(B110)</f>
        <v>8</v>
      </c>
      <c r="D110" s="11" t="n">
        <f aca="false">B110-C110</f>
        <v>0.833333333333334</v>
      </c>
      <c r="E110" s="30" t="n">
        <f aca="false">INDEX(Discount!$C$4:$C$59,C110+1)</f>
        <v>0.801904550348561</v>
      </c>
      <c r="F110" s="30" t="n">
        <f aca="false">IF(C110+2&gt;56,INDEX(Discount!$C$4:$C$59,56),INDEX(Discount!$C$4:$C$59,C110+2))</f>
        <v>0.776739422112084</v>
      </c>
      <c r="G110" s="30" t="n">
        <f aca="false">IF(D110=0,E110,EXP((1-D110)*LN(E110)+D110*LN(F110)))</f>
        <v>0.780878087272264</v>
      </c>
    </row>
    <row r="111" customFormat="false" ht="15" hidden="false" customHeight="true" outlineLevel="0" collapsed="false">
      <c r="A111" s="1" t="n">
        <v>107</v>
      </c>
      <c r="B111" s="11" t="n">
        <f aca="false">A111/12</f>
        <v>8.91666666666667</v>
      </c>
      <c r="C111" s="34" t="n">
        <f aca="false">INT(B111)</f>
        <v>8</v>
      </c>
      <c r="D111" s="11" t="n">
        <f aca="false">B111-C111</f>
        <v>0.916666666666666</v>
      </c>
      <c r="E111" s="30" t="n">
        <f aca="false">INDEX(Discount!$C$4:$C$59,C111+1)</f>
        <v>0.801904550348561</v>
      </c>
      <c r="F111" s="30" t="n">
        <f aca="false">IF(C111+2&gt;56,INDEX(Discount!$C$4:$C$59,56),INDEX(Discount!$C$4:$C$59,C111+2))</f>
        <v>0.776739422112084</v>
      </c>
      <c r="G111" s="30" t="n">
        <f aca="false">IF(D111=0,E111,EXP((1-D111)*LN(E111)+D111*LN(F111)))</f>
        <v>0.778806005528879</v>
      </c>
    </row>
    <row r="112" customFormat="false" ht="15" hidden="false" customHeight="true" outlineLevel="0" collapsed="false">
      <c r="A112" s="1" t="n">
        <v>108</v>
      </c>
      <c r="B112" s="11" t="n">
        <f aca="false">A112/12</f>
        <v>9</v>
      </c>
      <c r="C112" s="34" t="n">
        <f aca="false">INT(B112)</f>
        <v>9</v>
      </c>
      <c r="D112" s="11" t="n">
        <f aca="false">B112-C112</f>
        <v>0</v>
      </c>
      <c r="E112" s="30" t="n">
        <f aca="false">INDEX(Discount!$C$4:$C$59,C112+1)</f>
        <v>0.776739422112084</v>
      </c>
      <c r="F112" s="30" t="n">
        <f aca="false">IF(C112+2&gt;56,INDEX(Discount!$C$4:$C$59,56),INDEX(Discount!$C$4:$C$59,C112+2))</f>
        <v>0.750554126131835</v>
      </c>
      <c r="G112" s="30" t="n">
        <f aca="false">IF(D112=0,E112,EXP((1-D112)*LN(E112)+D112*LN(F112)))</f>
        <v>0.776739422112084</v>
      </c>
    </row>
    <row r="113" customFormat="false" ht="15" hidden="false" customHeight="true" outlineLevel="0" collapsed="false">
      <c r="A113" s="1" t="n">
        <v>109</v>
      </c>
      <c r="B113" s="11" t="n">
        <f aca="false">A113/12</f>
        <v>9.08333333333333</v>
      </c>
      <c r="C113" s="34" t="n">
        <f aca="false">INT(B113)</f>
        <v>9</v>
      </c>
      <c r="D113" s="11" t="n">
        <f aca="false">B113-C113</f>
        <v>0.0833333333333339</v>
      </c>
      <c r="E113" s="30" t="n">
        <f aca="false">INDEX(Discount!$C$4:$C$59,C113+1)</f>
        <v>0.776739422112084</v>
      </c>
      <c r="F113" s="30" t="n">
        <f aca="false">IF(C113+2&gt;56,INDEX(Discount!$C$4:$C$59,56),INDEX(Discount!$C$4:$C$59,C113+2))</f>
        <v>0.750554126131835</v>
      </c>
      <c r="G113" s="30" t="n">
        <f aca="false">IF(D113=0,E113,EXP((1-D113)*LN(E113)+D113*LN(F113)))</f>
        <v>0.774522853299761</v>
      </c>
    </row>
    <row r="114" customFormat="false" ht="15" hidden="false" customHeight="true" outlineLevel="0" collapsed="false">
      <c r="A114" s="1" t="n">
        <v>110</v>
      </c>
      <c r="B114" s="11" t="n">
        <f aca="false">A114/12</f>
        <v>9.16666666666667</v>
      </c>
      <c r="C114" s="34" t="n">
        <f aca="false">INT(B114)</f>
        <v>9</v>
      </c>
      <c r="D114" s="11" t="n">
        <f aca="false">B114-C114</f>
        <v>0.166666666666666</v>
      </c>
      <c r="E114" s="30" t="n">
        <f aca="false">INDEX(Discount!$C$4:$C$59,C114+1)</f>
        <v>0.776739422112084</v>
      </c>
      <c r="F114" s="30" t="n">
        <f aca="false">IF(C114+2&gt;56,INDEX(Discount!$C$4:$C$59,56),INDEX(Discount!$C$4:$C$59,C114+2))</f>
        <v>0.750554126131835</v>
      </c>
      <c r="G114" s="30" t="n">
        <f aca="false">IF(D114=0,E114,EXP((1-D114)*LN(E114)+D114*LN(F114)))</f>
        <v>0.772312609874254</v>
      </c>
    </row>
    <row r="115" customFormat="false" ht="15" hidden="false" customHeight="true" outlineLevel="0" collapsed="false">
      <c r="A115" s="1" t="n">
        <v>111</v>
      </c>
      <c r="B115" s="11" t="n">
        <f aca="false">A115/12</f>
        <v>9.25</v>
      </c>
      <c r="C115" s="34" t="n">
        <f aca="false">INT(B115)</f>
        <v>9</v>
      </c>
      <c r="D115" s="11" t="n">
        <f aca="false">B115-C115</f>
        <v>0.25</v>
      </c>
      <c r="E115" s="30" t="n">
        <f aca="false">INDEX(Discount!$C$4:$C$59,C115+1)</f>
        <v>0.776739422112084</v>
      </c>
      <c r="F115" s="30" t="n">
        <f aca="false">IF(C115+2&gt;56,INDEX(Discount!$C$4:$C$59,56),INDEX(Discount!$C$4:$C$59,C115+2))</f>
        <v>0.750554126131835</v>
      </c>
      <c r="G115" s="30" t="n">
        <f aca="false">IF(D115=0,E115,EXP((1-D115)*LN(E115)+D115*LN(F115)))</f>
        <v>0.770108673784907</v>
      </c>
    </row>
    <row r="116" customFormat="false" ht="15" hidden="false" customHeight="true" outlineLevel="0" collapsed="false">
      <c r="A116" s="1" t="n">
        <v>112</v>
      </c>
      <c r="B116" s="11" t="n">
        <f aca="false">A116/12</f>
        <v>9.33333333333333</v>
      </c>
      <c r="C116" s="34" t="n">
        <f aca="false">INT(B116)</f>
        <v>9</v>
      </c>
      <c r="D116" s="11" t="n">
        <f aca="false">B116-C116</f>
        <v>0.333333333333334</v>
      </c>
      <c r="E116" s="30" t="n">
        <f aca="false">INDEX(Discount!$C$4:$C$59,C116+1)</f>
        <v>0.776739422112084</v>
      </c>
      <c r="F116" s="30" t="n">
        <f aca="false">IF(C116+2&gt;56,INDEX(Discount!$C$4:$C$59,56),INDEX(Discount!$C$4:$C$59,C116+2))</f>
        <v>0.750554126131835</v>
      </c>
      <c r="G116" s="30" t="n">
        <f aca="false">IF(D116=0,E116,EXP((1-D116)*LN(E116)+D116*LN(F116)))</f>
        <v>0.767911027032578</v>
      </c>
    </row>
    <row r="117" customFormat="false" ht="15" hidden="false" customHeight="true" outlineLevel="0" collapsed="false">
      <c r="A117" s="1" t="n">
        <v>113</v>
      </c>
      <c r="B117" s="11" t="n">
        <f aca="false">A117/12</f>
        <v>9.41666666666667</v>
      </c>
      <c r="C117" s="34" t="n">
        <f aca="false">INT(B117)</f>
        <v>9</v>
      </c>
      <c r="D117" s="11" t="n">
        <f aca="false">B117-C117</f>
        <v>0.416666666666666</v>
      </c>
      <c r="E117" s="30" t="n">
        <f aca="false">INDEX(Discount!$C$4:$C$59,C117+1)</f>
        <v>0.776739422112084</v>
      </c>
      <c r="F117" s="30" t="n">
        <f aca="false">IF(C117+2&gt;56,INDEX(Discount!$C$4:$C$59,56),INDEX(Discount!$C$4:$C$59,C117+2))</f>
        <v>0.750554126131835</v>
      </c>
      <c r="G117" s="30" t="n">
        <f aca="false">IF(D117=0,E117,EXP((1-D117)*LN(E117)+D117*LN(F117)))</f>
        <v>0.765719651669485</v>
      </c>
    </row>
    <row r="118" customFormat="false" ht="15" hidden="false" customHeight="true" outlineLevel="0" collapsed="false">
      <c r="A118" s="1" t="n">
        <v>114</v>
      </c>
      <c r="B118" s="11" t="n">
        <f aca="false">A118/12</f>
        <v>9.5</v>
      </c>
      <c r="C118" s="34" t="n">
        <f aca="false">INT(B118)</f>
        <v>9</v>
      </c>
      <c r="D118" s="11" t="n">
        <f aca="false">B118-C118</f>
        <v>0.5</v>
      </c>
      <c r="E118" s="30" t="n">
        <f aca="false">INDEX(Discount!$C$4:$C$59,C118+1)</f>
        <v>0.776739422112084</v>
      </c>
      <c r="F118" s="30" t="n">
        <f aca="false">IF(C118+2&gt;56,INDEX(Discount!$C$4:$C$59,56),INDEX(Discount!$C$4:$C$59,C118+2))</f>
        <v>0.750554126131835</v>
      </c>
      <c r="G118" s="30" t="n">
        <f aca="false">IF(D118=0,E118,EXP((1-D118)*LN(E118)+D118*LN(F118)))</f>
        <v>0.763534529799067</v>
      </c>
    </row>
    <row r="119" customFormat="false" ht="15" hidden="false" customHeight="true" outlineLevel="0" collapsed="false">
      <c r="A119" s="1" t="n">
        <v>115</v>
      </c>
      <c r="B119" s="11" t="n">
        <f aca="false">A119/12</f>
        <v>9.58333333333333</v>
      </c>
      <c r="C119" s="34" t="n">
        <f aca="false">INT(B119)</f>
        <v>9</v>
      </c>
      <c r="D119" s="11" t="n">
        <f aca="false">B119-C119</f>
        <v>0.583333333333334</v>
      </c>
      <c r="E119" s="30" t="n">
        <f aca="false">INDEX(Discount!$C$4:$C$59,C119+1)</f>
        <v>0.776739422112084</v>
      </c>
      <c r="F119" s="30" t="n">
        <f aca="false">IF(C119+2&gt;56,INDEX(Discount!$C$4:$C$59,56),INDEX(Discount!$C$4:$C$59,C119+2))</f>
        <v>0.750554126131835</v>
      </c>
      <c r="G119" s="30" t="n">
        <f aca="false">IF(D119=0,E119,EXP((1-D119)*LN(E119)+D119*LN(F119)))</f>
        <v>0.761355643575831</v>
      </c>
    </row>
    <row r="120" customFormat="false" ht="15" hidden="false" customHeight="true" outlineLevel="0" collapsed="false">
      <c r="A120" s="1" t="n">
        <v>116</v>
      </c>
      <c r="B120" s="11" t="n">
        <f aca="false">A120/12</f>
        <v>9.66666666666667</v>
      </c>
      <c r="C120" s="34" t="n">
        <f aca="false">INT(B120)</f>
        <v>9</v>
      </c>
      <c r="D120" s="11" t="n">
        <f aca="false">B120-C120</f>
        <v>0.666666666666666</v>
      </c>
      <c r="E120" s="30" t="n">
        <f aca="false">INDEX(Discount!$C$4:$C$59,C120+1)</f>
        <v>0.776739422112084</v>
      </c>
      <c r="F120" s="30" t="n">
        <f aca="false">IF(C120+2&gt;56,INDEX(Discount!$C$4:$C$59,56),INDEX(Discount!$C$4:$C$59,C120+2))</f>
        <v>0.750554126131835</v>
      </c>
      <c r="G120" s="30" t="n">
        <f aca="false">IF(D120=0,E120,EXP((1-D120)*LN(E120)+D120*LN(F120)))</f>
        <v>0.759182975205211</v>
      </c>
    </row>
    <row r="121" customFormat="false" ht="15" hidden="false" customHeight="true" outlineLevel="0" collapsed="false">
      <c r="A121" s="1" t="n">
        <v>117</v>
      </c>
      <c r="B121" s="11" t="n">
        <f aca="false">A121/12</f>
        <v>9.75</v>
      </c>
      <c r="C121" s="34" t="n">
        <f aca="false">INT(B121)</f>
        <v>9</v>
      </c>
      <c r="D121" s="11" t="n">
        <f aca="false">B121-C121</f>
        <v>0.75</v>
      </c>
      <c r="E121" s="30" t="n">
        <f aca="false">INDEX(Discount!$C$4:$C$59,C121+1)</f>
        <v>0.776739422112084</v>
      </c>
      <c r="F121" s="30" t="n">
        <f aca="false">IF(C121+2&gt;56,INDEX(Discount!$C$4:$C$59,56),INDEX(Discount!$C$4:$C$59,C121+2))</f>
        <v>0.750554126131835</v>
      </c>
      <c r="G121" s="30" t="n">
        <f aca="false">IF(D121=0,E121,EXP((1-D121)*LN(E121)+D121*LN(F121)))</f>
        <v>0.757016506943422</v>
      </c>
    </row>
    <row r="122" customFormat="false" ht="15" hidden="false" customHeight="true" outlineLevel="0" collapsed="false">
      <c r="A122" s="1" t="n">
        <v>118</v>
      </c>
      <c r="B122" s="11" t="n">
        <f aca="false">A122/12</f>
        <v>9.83333333333333</v>
      </c>
      <c r="C122" s="34" t="n">
        <f aca="false">INT(B122)</f>
        <v>9</v>
      </c>
      <c r="D122" s="11" t="n">
        <f aca="false">B122-C122</f>
        <v>0.833333333333334</v>
      </c>
      <c r="E122" s="30" t="n">
        <f aca="false">INDEX(Discount!$C$4:$C$59,C122+1)</f>
        <v>0.776739422112084</v>
      </c>
      <c r="F122" s="30" t="n">
        <f aca="false">IF(C122+2&gt;56,INDEX(Discount!$C$4:$C$59,56),INDEX(Discount!$C$4:$C$59,C122+2))</f>
        <v>0.750554126131835</v>
      </c>
      <c r="G122" s="30" t="n">
        <f aca="false">IF(D122=0,E122,EXP((1-D122)*LN(E122)+D122*LN(F122)))</f>
        <v>0.754856221097312</v>
      </c>
    </row>
    <row r="123" customFormat="false" ht="15" hidden="false" customHeight="true" outlineLevel="0" collapsed="false">
      <c r="A123" s="1" t="n">
        <v>119</v>
      </c>
      <c r="B123" s="11" t="n">
        <f aca="false">A123/12</f>
        <v>9.91666666666667</v>
      </c>
      <c r="C123" s="34" t="n">
        <f aca="false">INT(B123)</f>
        <v>9</v>
      </c>
      <c r="D123" s="11" t="n">
        <f aca="false">B123-C123</f>
        <v>0.916666666666666</v>
      </c>
      <c r="E123" s="30" t="n">
        <f aca="false">INDEX(Discount!$C$4:$C$59,C123+1)</f>
        <v>0.776739422112084</v>
      </c>
      <c r="F123" s="30" t="n">
        <f aca="false">IF(C123+2&gt;56,INDEX(Discount!$C$4:$C$59,56),INDEX(Discount!$C$4:$C$59,C123+2))</f>
        <v>0.750554126131835</v>
      </c>
      <c r="G123" s="30" t="n">
        <f aca="false">IF(D123=0,E123,EXP((1-D123)*LN(E123)+D123*LN(F123)))</f>
        <v>0.752702100024221</v>
      </c>
    </row>
    <row r="124" customFormat="false" ht="15" hidden="false" customHeight="true" outlineLevel="0" collapsed="false">
      <c r="A124" s="1" t="n">
        <v>120</v>
      </c>
      <c r="B124" s="11" t="n">
        <f aca="false">A124/12</f>
        <v>10</v>
      </c>
      <c r="C124" s="34" t="n">
        <f aca="false">INT(B124)</f>
        <v>10</v>
      </c>
      <c r="D124" s="11" t="n">
        <f aca="false">B124-C124</f>
        <v>0</v>
      </c>
      <c r="E124" s="30" t="n">
        <f aca="false">INDEX(Discount!$C$4:$C$59,C124+1)</f>
        <v>0.750554126131835</v>
      </c>
      <c r="F124" s="30" t="n">
        <f aca="false">IF(C124+2&gt;56,INDEX(Discount!$C$4:$C$59,56),INDEX(Discount!$C$4:$C$59,C124+2))</f>
        <v>0.726988915516858</v>
      </c>
      <c r="G124" s="30" t="n">
        <f aca="false">IF(D124=0,E124,EXP((1-D124)*LN(E124)+D124*LN(F124)))</f>
        <v>0.750554126131835</v>
      </c>
    </row>
    <row r="125" customFormat="false" ht="15" hidden="false" customHeight="true" outlineLevel="0" collapsed="false">
      <c r="A125" s="1" t="n">
        <v>121</v>
      </c>
      <c r="B125" s="11" t="n">
        <f aca="false">A125/12</f>
        <v>10.0833333333333</v>
      </c>
      <c r="C125" s="34" t="n">
        <f aca="false">INT(B125)</f>
        <v>10</v>
      </c>
      <c r="D125" s="11" t="n">
        <f aca="false">B125-C125</f>
        <v>0.0833333333333339</v>
      </c>
      <c r="E125" s="30" t="n">
        <f aca="false">INDEX(Discount!$C$4:$C$59,C125+1)</f>
        <v>0.750554126131835</v>
      </c>
      <c r="F125" s="30" t="n">
        <f aca="false">IF(C125+2&gt;56,INDEX(Discount!$C$4:$C$59,56),INDEX(Discount!$C$4:$C$59,C125+2))</f>
        <v>0.726988915516858</v>
      </c>
      <c r="G125" s="30" t="n">
        <f aca="false">IF(D125=0,E125,EXP((1-D125)*LN(E125)+D125*LN(F125)))</f>
        <v>0.748561519152862</v>
      </c>
    </row>
    <row r="126" customFormat="false" ht="15" hidden="false" customHeight="true" outlineLevel="0" collapsed="false">
      <c r="A126" s="1" t="n">
        <v>122</v>
      </c>
      <c r="B126" s="11" t="n">
        <f aca="false">A126/12</f>
        <v>10.1666666666667</v>
      </c>
      <c r="C126" s="34" t="n">
        <f aca="false">INT(B126)</f>
        <v>10</v>
      </c>
      <c r="D126" s="11" t="n">
        <f aca="false">B126-C126</f>
        <v>0.166666666666666</v>
      </c>
      <c r="E126" s="30" t="n">
        <f aca="false">INDEX(Discount!$C$4:$C$59,C126+1)</f>
        <v>0.750554126131835</v>
      </c>
      <c r="F126" s="30" t="n">
        <f aca="false">IF(C126+2&gt;56,INDEX(Discount!$C$4:$C$59,56),INDEX(Discount!$C$4:$C$59,C126+2))</f>
        <v>0.726988915516858</v>
      </c>
      <c r="G126" s="30" t="n">
        <f aca="false">IF(D126=0,E126,EXP((1-D126)*LN(E126)+D126*LN(F126)))</f>
        <v>0.746574202242166</v>
      </c>
    </row>
    <row r="127" customFormat="false" ht="15" hidden="false" customHeight="true" outlineLevel="0" collapsed="false">
      <c r="A127" s="1" t="n">
        <v>123</v>
      </c>
      <c r="B127" s="11" t="n">
        <f aca="false">A127/12</f>
        <v>10.25</v>
      </c>
      <c r="C127" s="34" t="n">
        <f aca="false">INT(B127)</f>
        <v>10</v>
      </c>
      <c r="D127" s="11" t="n">
        <f aca="false">B127-C127</f>
        <v>0.25</v>
      </c>
      <c r="E127" s="30" t="n">
        <f aca="false">INDEX(Discount!$C$4:$C$59,C127+1)</f>
        <v>0.750554126131835</v>
      </c>
      <c r="F127" s="30" t="n">
        <f aca="false">IF(C127+2&gt;56,INDEX(Discount!$C$4:$C$59,56),INDEX(Discount!$C$4:$C$59,C127+2))</f>
        <v>0.726988915516858</v>
      </c>
      <c r="G127" s="30" t="n">
        <f aca="false">IF(D127=0,E127,EXP((1-D127)*LN(E127)+D127*LN(F127)))</f>
        <v>0.74459216135542</v>
      </c>
    </row>
    <row r="128" customFormat="false" ht="15" hidden="false" customHeight="true" outlineLevel="0" collapsed="false">
      <c r="A128" s="1" t="n">
        <v>124</v>
      </c>
      <c r="B128" s="11" t="n">
        <f aca="false">A128/12</f>
        <v>10.3333333333333</v>
      </c>
      <c r="C128" s="34" t="n">
        <f aca="false">INT(B128)</f>
        <v>10</v>
      </c>
      <c r="D128" s="11" t="n">
        <f aca="false">B128-C128</f>
        <v>0.333333333333334</v>
      </c>
      <c r="E128" s="30" t="n">
        <f aca="false">INDEX(Discount!$C$4:$C$59,C128+1)</f>
        <v>0.750554126131835</v>
      </c>
      <c r="F128" s="30" t="n">
        <f aca="false">IF(C128+2&gt;56,INDEX(Discount!$C$4:$C$59,56),INDEX(Discount!$C$4:$C$59,C128+2))</f>
        <v>0.726988915516858</v>
      </c>
      <c r="G128" s="30" t="n">
        <f aca="false">IF(D128=0,E128,EXP((1-D128)*LN(E128)+D128*LN(F128)))</f>
        <v>0.742615382485585</v>
      </c>
    </row>
    <row r="129" customFormat="false" ht="15" hidden="false" customHeight="true" outlineLevel="0" collapsed="false">
      <c r="A129" s="1" t="n">
        <v>125</v>
      </c>
      <c r="B129" s="11" t="n">
        <f aca="false">A129/12</f>
        <v>10.4166666666667</v>
      </c>
      <c r="C129" s="34" t="n">
        <f aca="false">INT(B129)</f>
        <v>10</v>
      </c>
      <c r="D129" s="11" t="n">
        <f aca="false">B129-C129</f>
        <v>0.416666666666666</v>
      </c>
      <c r="E129" s="30" t="n">
        <f aca="false">INDEX(Discount!$C$4:$C$59,C129+1)</f>
        <v>0.750554126131835</v>
      </c>
      <c r="F129" s="30" t="n">
        <f aca="false">IF(C129+2&gt;56,INDEX(Discount!$C$4:$C$59,56),INDEX(Discount!$C$4:$C$59,C129+2))</f>
        <v>0.726988915516858</v>
      </c>
      <c r="G129" s="30" t="n">
        <f aca="false">IF(D129=0,E129,EXP((1-D129)*LN(E129)+D129*LN(F129)))</f>
        <v>0.740643851662805</v>
      </c>
    </row>
    <row r="130" customFormat="false" ht="15" hidden="false" customHeight="true" outlineLevel="0" collapsed="false">
      <c r="A130" s="1" t="n">
        <v>126</v>
      </c>
      <c r="B130" s="11" t="n">
        <f aca="false">A130/12</f>
        <v>10.5</v>
      </c>
      <c r="C130" s="34" t="n">
        <f aca="false">INT(B130)</f>
        <v>10</v>
      </c>
      <c r="D130" s="11" t="n">
        <f aca="false">B130-C130</f>
        <v>0.5</v>
      </c>
      <c r="E130" s="30" t="n">
        <f aca="false">INDEX(Discount!$C$4:$C$59,C130+1)</f>
        <v>0.750554126131835</v>
      </c>
      <c r="F130" s="30" t="n">
        <f aca="false">IF(C130+2&gt;56,INDEX(Discount!$C$4:$C$59,56),INDEX(Discount!$C$4:$C$59,C130+2))</f>
        <v>0.726988915516858</v>
      </c>
      <c r="G130" s="30" t="n">
        <f aca="false">IF(D130=0,E130,EXP((1-D130)*LN(E130)+D130*LN(F130)))</f>
        <v>0.738677554954315</v>
      </c>
    </row>
    <row r="131" customFormat="false" ht="15" hidden="false" customHeight="true" outlineLevel="0" collapsed="false">
      <c r="A131" s="1" t="n">
        <v>127</v>
      </c>
      <c r="B131" s="11" t="n">
        <f aca="false">A131/12</f>
        <v>10.5833333333333</v>
      </c>
      <c r="C131" s="34" t="n">
        <f aca="false">INT(B131)</f>
        <v>10</v>
      </c>
      <c r="D131" s="11" t="n">
        <f aca="false">B131-C131</f>
        <v>0.583333333333334</v>
      </c>
      <c r="E131" s="30" t="n">
        <f aca="false">INDEX(Discount!$C$4:$C$59,C131+1)</f>
        <v>0.750554126131835</v>
      </c>
      <c r="F131" s="30" t="n">
        <f aca="false">IF(C131+2&gt;56,INDEX(Discount!$C$4:$C$59,56),INDEX(Discount!$C$4:$C$59,C131+2))</f>
        <v>0.726988915516858</v>
      </c>
      <c r="G131" s="30" t="n">
        <f aca="false">IF(D131=0,E131,EXP((1-D131)*LN(E131)+D131*LN(F131)))</f>
        <v>0.736716478464338</v>
      </c>
    </row>
    <row r="132" customFormat="false" ht="15" hidden="false" customHeight="true" outlineLevel="0" collapsed="false">
      <c r="A132" s="1" t="n">
        <v>128</v>
      </c>
      <c r="B132" s="11" t="n">
        <f aca="false">A132/12</f>
        <v>10.6666666666667</v>
      </c>
      <c r="C132" s="34" t="n">
        <f aca="false">INT(B132)</f>
        <v>10</v>
      </c>
      <c r="D132" s="11" t="n">
        <f aca="false">B132-C132</f>
        <v>0.666666666666666</v>
      </c>
      <c r="E132" s="30" t="n">
        <f aca="false">INDEX(Discount!$C$4:$C$59,C132+1)</f>
        <v>0.750554126131835</v>
      </c>
      <c r="F132" s="30" t="n">
        <f aca="false">IF(C132+2&gt;56,INDEX(Discount!$C$4:$C$59,56),INDEX(Discount!$C$4:$C$59,C132+2))</f>
        <v>0.726988915516858</v>
      </c>
      <c r="G132" s="30" t="n">
        <f aca="false">IF(D132=0,E132,EXP((1-D132)*LN(E132)+D132*LN(F132)))</f>
        <v>0.734760608333988</v>
      </c>
    </row>
    <row r="133" customFormat="false" ht="15" hidden="false" customHeight="true" outlineLevel="0" collapsed="false">
      <c r="A133" s="1" t="n">
        <v>129</v>
      </c>
      <c r="B133" s="11" t="n">
        <f aca="false">A133/12</f>
        <v>10.75</v>
      </c>
      <c r="C133" s="34" t="n">
        <f aca="false">INT(B133)</f>
        <v>10</v>
      </c>
      <c r="D133" s="11" t="n">
        <f aca="false">B133-C133</f>
        <v>0.75</v>
      </c>
      <c r="E133" s="30" t="n">
        <f aca="false">INDEX(Discount!$C$4:$C$59,C133+1)</f>
        <v>0.750554126131835</v>
      </c>
      <c r="F133" s="30" t="n">
        <f aca="false">IF(C133+2&gt;56,INDEX(Discount!$C$4:$C$59,56),INDEX(Discount!$C$4:$C$59,C133+2))</f>
        <v>0.726988915516858</v>
      </c>
      <c r="G133" s="30" t="n">
        <f aca="false">IF(D133=0,E133,EXP((1-D133)*LN(E133)+D133*LN(F133)))</f>
        <v>0.732809930741172</v>
      </c>
    </row>
    <row r="134" customFormat="false" ht="15" hidden="false" customHeight="true" outlineLevel="0" collapsed="false">
      <c r="A134" s="1" t="n">
        <v>130</v>
      </c>
      <c r="B134" s="11" t="n">
        <f aca="false">A134/12</f>
        <v>10.8333333333333</v>
      </c>
      <c r="C134" s="34" t="n">
        <f aca="false">INT(B134)</f>
        <v>10</v>
      </c>
      <c r="D134" s="11" t="n">
        <f aca="false">B134-C134</f>
        <v>0.833333333333334</v>
      </c>
      <c r="E134" s="30" t="n">
        <f aca="false">INDEX(Discount!$C$4:$C$59,C134+1)</f>
        <v>0.750554126131835</v>
      </c>
      <c r="F134" s="30" t="n">
        <f aca="false">IF(C134+2&gt;56,INDEX(Discount!$C$4:$C$59,56),INDEX(Discount!$C$4:$C$59,C134+2))</f>
        <v>0.726988915516858</v>
      </c>
      <c r="G134" s="30" t="n">
        <f aca="false">IF(D134=0,E134,EXP((1-D134)*LN(E134)+D134*LN(F134)))</f>
        <v>0.730864431900494</v>
      </c>
    </row>
    <row r="135" customFormat="false" ht="15" hidden="false" customHeight="true" outlineLevel="0" collapsed="false">
      <c r="A135" s="1" t="n">
        <v>131</v>
      </c>
      <c r="B135" s="11" t="n">
        <f aca="false">A135/12</f>
        <v>10.9166666666667</v>
      </c>
      <c r="C135" s="34" t="n">
        <f aca="false">INT(B135)</f>
        <v>10</v>
      </c>
      <c r="D135" s="11" t="n">
        <f aca="false">B135-C135</f>
        <v>0.916666666666666</v>
      </c>
      <c r="E135" s="30" t="n">
        <f aca="false">INDEX(Discount!$C$4:$C$59,C135+1)</f>
        <v>0.750554126131835</v>
      </c>
      <c r="F135" s="30" t="n">
        <f aca="false">IF(C135+2&gt;56,INDEX(Discount!$C$4:$C$59,56),INDEX(Discount!$C$4:$C$59,C135+2))</f>
        <v>0.726988915516858</v>
      </c>
      <c r="G135" s="30" t="n">
        <f aca="false">IF(D135=0,E135,EXP((1-D135)*LN(E135)+D135*LN(F135)))</f>
        <v>0.728924098063155</v>
      </c>
    </row>
    <row r="136" customFormat="false" ht="15" hidden="false" customHeight="true" outlineLevel="0" collapsed="false">
      <c r="A136" s="1" t="n">
        <v>132</v>
      </c>
      <c r="B136" s="11" t="n">
        <f aca="false">A136/12</f>
        <v>11</v>
      </c>
      <c r="C136" s="34" t="n">
        <f aca="false">INT(B136)</f>
        <v>11</v>
      </c>
      <c r="D136" s="11" t="n">
        <f aca="false">B136-C136</f>
        <v>0</v>
      </c>
      <c r="E136" s="30" t="n">
        <f aca="false">INDEX(Discount!$C$4:$C$59,C136+1)</f>
        <v>0.726988915516858</v>
      </c>
      <c r="F136" s="30" t="n">
        <f aca="false">IF(C136+2&gt;56,INDEX(Discount!$C$4:$C$59,56),INDEX(Discount!$C$4:$C$59,C136+2))</f>
        <v>0.702033923629033</v>
      </c>
      <c r="G136" s="30" t="n">
        <f aca="false">IF(D136=0,E136,EXP((1-D136)*LN(E136)+D136*LN(F136)))</f>
        <v>0.726988915516858</v>
      </c>
    </row>
    <row r="137" customFormat="false" ht="15" hidden="false" customHeight="true" outlineLevel="0" collapsed="false">
      <c r="A137" s="1" t="n">
        <v>133</v>
      </c>
      <c r="B137" s="11" t="n">
        <f aca="false">A137/12</f>
        <v>11.0833333333333</v>
      </c>
      <c r="C137" s="34" t="n">
        <f aca="false">INT(B137)</f>
        <v>11</v>
      </c>
      <c r="D137" s="11" t="n">
        <f aca="false">B137-C137</f>
        <v>0.0833333333333339</v>
      </c>
      <c r="E137" s="30" t="n">
        <f aca="false">INDEX(Discount!$C$4:$C$59,C137+1)</f>
        <v>0.726988915516858</v>
      </c>
      <c r="F137" s="30" t="n">
        <f aca="false">IF(C137+2&gt;56,INDEX(Discount!$C$4:$C$59,56),INDEX(Discount!$C$4:$C$59,C137+2))</f>
        <v>0.702033923629033</v>
      </c>
      <c r="G137" s="30" t="n">
        <f aca="false">IF(D137=0,E137,EXP((1-D137)*LN(E137)+D137*LN(F137)))</f>
        <v>0.724875878829684</v>
      </c>
    </row>
    <row r="138" customFormat="false" ht="15" hidden="false" customHeight="true" outlineLevel="0" collapsed="false">
      <c r="A138" s="1" t="n">
        <v>134</v>
      </c>
      <c r="B138" s="11" t="n">
        <f aca="false">A138/12</f>
        <v>11.1666666666667</v>
      </c>
      <c r="C138" s="34" t="n">
        <f aca="false">INT(B138)</f>
        <v>11</v>
      </c>
      <c r="D138" s="11" t="n">
        <f aca="false">B138-C138</f>
        <v>0.166666666666666</v>
      </c>
      <c r="E138" s="30" t="n">
        <f aca="false">INDEX(Discount!$C$4:$C$59,C138+1)</f>
        <v>0.726988915516858</v>
      </c>
      <c r="F138" s="30" t="n">
        <f aca="false">IF(C138+2&gt;56,INDEX(Discount!$C$4:$C$59,56),INDEX(Discount!$C$4:$C$59,C138+2))</f>
        <v>0.702033923629033</v>
      </c>
      <c r="G138" s="30" t="n">
        <f aca="false">IF(D138=0,E138,EXP((1-D138)*LN(E138)+D138*LN(F138)))</f>
        <v>0.7227689838098</v>
      </c>
    </row>
    <row r="139" customFormat="false" ht="15" hidden="false" customHeight="true" outlineLevel="0" collapsed="false">
      <c r="A139" s="1" t="n">
        <v>135</v>
      </c>
      <c r="B139" s="11" t="n">
        <f aca="false">A139/12</f>
        <v>11.25</v>
      </c>
      <c r="C139" s="34" t="n">
        <f aca="false">INT(B139)</f>
        <v>11</v>
      </c>
      <c r="D139" s="11" t="n">
        <f aca="false">B139-C139</f>
        <v>0.25</v>
      </c>
      <c r="E139" s="30" t="n">
        <f aca="false">INDEX(Discount!$C$4:$C$59,C139+1)</f>
        <v>0.726988915516858</v>
      </c>
      <c r="F139" s="30" t="n">
        <f aca="false">IF(C139+2&gt;56,INDEX(Discount!$C$4:$C$59,56),INDEX(Discount!$C$4:$C$59,C139+2))</f>
        <v>0.702033923629033</v>
      </c>
      <c r="G139" s="30" t="n">
        <f aca="false">IF(D139=0,E139,EXP((1-D139)*LN(E139)+D139*LN(F139)))</f>
        <v>0.72066821260608</v>
      </c>
    </row>
    <row r="140" customFormat="false" ht="15" hidden="false" customHeight="true" outlineLevel="0" collapsed="false">
      <c r="A140" s="1" t="n">
        <v>136</v>
      </c>
      <c r="B140" s="11" t="n">
        <f aca="false">A140/12</f>
        <v>11.3333333333333</v>
      </c>
      <c r="C140" s="34" t="n">
        <f aca="false">INT(B140)</f>
        <v>11</v>
      </c>
      <c r="D140" s="11" t="n">
        <f aca="false">B140-C140</f>
        <v>0.333333333333334</v>
      </c>
      <c r="E140" s="30" t="n">
        <f aca="false">INDEX(Discount!$C$4:$C$59,C140+1)</f>
        <v>0.726988915516858</v>
      </c>
      <c r="F140" s="30" t="n">
        <f aca="false">IF(C140+2&gt;56,INDEX(Discount!$C$4:$C$59,56),INDEX(Discount!$C$4:$C$59,C140+2))</f>
        <v>0.702033923629033</v>
      </c>
      <c r="G140" s="30" t="n">
        <f aca="false">IF(D140=0,E140,EXP((1-D140)*LN(E140)+D140*LN(F140)))</f>
        <v>0.718573547419289</v>
      </c>
    </row>
    <row r="141" customFormat="false" ht="15" hidden="false" customHeight="true" outlineLevel="0" collapsed="false">
      <c r="A141" s="1" t="n">
        <v>137</v>
      </c>
      <c r="B141" s="11" t="n">
        <f aca="false">A141/12</f>
        <v>11.4166666666667</v>
      </c>
      <c r="C141" s="34" t="n">
        <f aca="false">INT(B141)</f>
        <v>11</v>
      </c>
      <c r="D141" s="11" t="n">
        <f aca="false">B141-C141</f>
        <v>0.416666666666666</v>
      </c>
      <c r="E141" s="30" t="n">
        <f aca="false">INDEX(Discount!$C$4:$C$59,C141+1)</f>
        <v>0.726988915516858</v>
      </c>
      <c r="F141" s="30" t="n">
        <f aca="false">IF(C141+2&gt;56,INDEX(Discount!$C$4:$C$59,56),INDEX(Discount!$C$4:$C$59,C141+2))</f>
        <v>0.702033923629033</v>
      </c>
      <c r="G141" s="30" t="n">
        <f aca="false">IF(D141=0,E141,EXP((1-D141)*LN(E141)+D141*LN(F141)))</f>
        <v>0.716484970501923</v>
      </c>
    </row>
    <row r="142" customFormat="false" ht="15" hidden="false" customHeight="true" outlineLevel="0" collapsed="false">
      <c r="A142" s="1" t="n">
        <v>138</v>
      </c>
      <c r="B142" s="11" t="n">
        <f aca="false">A142/12</f>
        <v>11.5</v>
      </c>
      <c r="C142" s="34" t="n">
        <f aca="false">INT(B142)</f>
        <v>11</v>
      </c>
      <c r="D142" s="11" t="n">
        <f aca="false">B142-C142</f>
        <v>0.5</v>
      </c>
      <c r="E142" s="30" t="n">
        <f aca="false">INDEX(Discount!$C$4:$C$59,C142+1)</f>
        <v>0.726988915516858</v>
      </c>
      <c r="F142" s="30" t="n">
        <f aca="false">IF(C142+2&gt;56,INDEX(Discount!$C$4:$C$59,56),INDEX(Discount!$C$4:$C$59,C142+2))</f>
        <v>0.702033923629033</v>
      </c>
      <c r="G142" s="30" t="n">
        <f aca="false">IF(D142=0,E142,EXP((1-D142)*LN(E142)+D142*LN(F142)))</f>
        <v>0.714402464158065</v>
      </c>
    </row>
    <row r="143" customFormat="false" ht="15" hidden="false" customHeight="true" outlineLevel="0" collapsed="false">
      <c r="A143" s="1" t="n">
        <v>139</v>
      </c>
      <c r="B143" s="11" t="n">
        <f aca="false">A143/12</f>
        <v>11.5833333333333</v>
      </c>
      <c r="C143" s="34" t="n">
        <f aca="false">INT(B143)</f>
        <v>11</v>
      </c>
      <c r="D143" s="11" t="n">
        <f aca="false">B143-C143</f>
        <v>0.583333333333334</v>
      </c>
      <c r="E143" s="30" t="n">
        <f aca="false">INDEX(Discount!$C$4:$C$59,C143+1)</f>
        <v>0.726988915516858</v>
      </c>
      <c r="F143" s="30" t="n">
        <f aca="false">IF(C143+2&gt;56,INDEX(Discount!$C$4:$C$59,56),INDEX(Discount!$C$4:$C$59,C143+2))</f>
        <v>0.702033923629033</v>
      </c>
      <c r="G143" s="30" t="n">
        <f aca="false">IF(D143=0,E143,EXP((1-D143)*LN(E143)+D143*LN(F143)))</f>
        <v>0.712326010743229</v>
      </c>
    </row>
    <row r="144" customFormat="false" ht="15" hidden="false" customHeight="true" outlineLevel="0" collapsed="false">
      <c r="A144" s="1" t="n">
        <v>140</v>
      </c>
      <c r="B144" s="11" t="n">
        <f aca="false">A144/12</f>
        <v>11.6666666666667</v>
      </c>
      <c r="C144" s="34" t="n">
        <f aca="false">INT(B144)</f>
        <v>11</v>
      </c>
      <c r="D144" s="11" t="n">
        <f aca="false">B144-C144</f>
        <v>0.666666666666666</v>
      </c>
      <c r="E144" s="30" t="n">
        <f aca="false">INDEX(Discount!$C$4:$C$59,C144+1)</f>
        <v>0.726988915516858</v>
      </c>
      <c r="F144" s="30" t="n">
        <f aca="false">IF(C144+2&gt;56,INDEX(Discount!$C$4:$C$59,56),INDEX(Discount!$C$4:$C$59,C144+2))</f>
        <v>0.702033923629033</v>
      </c>
      <c r="G144" s="30" t="n">
        <f aca="false">IF(D144=0,E144,EXP((1-D144)*LN(E144)+D144*LN(F144)))</f>
        <v>0.710255592664216</v>
      </c>
    </row>
    <row r="145" customFormat="false" ht="15" hidden="false" customHeight="true" outlineLevel="0" collapsed="false">
      <c r="A145" s="1" t="n">
        <v>141</v>
      </c>
      <c r="B145" s="11" t="n">
        <f aca="false">A145/12</f>
        <v>11.75</v>
      </c>
      <c r="C145" s="34" t="n">
        <f aca="false">INT(B145)</f>
        <v>11</v>
      </c>
      <c r="D145" s="11" t="n">
        <f aca="false">B145-C145</f>
        <v>0.75</v>
      </c>
      <c r="E145" s="30" t="n">
        <f aca="false">INDEX(Discount!$C$4:$C$59,C145+1)</f>
        <v>0.726988915516858</v>
      </c>
      <c r="F145" s="30" t="n">
        <f aca="false">IF(C145+2&gt;56,INDEX(Discount!$C$4:$C$59,56),INDEX(Discount!$C$4:$C$59,C145+2))</f>
        <v>0.702033923629033</v>
      </c>
      <c r="G145" s="30" t="n">
        <f aca="false">IF(D145=0,E145,EXP((1-D145)*LN(E145)+D145*LN(F145)))</f>
        <v>0.708191192378962</v>
      </c>
    </row>
    <row r="146" customFormat="false" ht="15" hidden="false" customHeight="true" outlineLevel="0" collapsed="false">
      <c r="A146" s="1" t="n">
        <v>142</v>
      </c>
      <c r="B146" s="11" t="n">
        <f aca="false">A146/12</f>
        <v>11.8333333333333</v>
      </c>
      <c r="C146" s="34" t="n">
        <f aca="false">INT(B146)</f>
        <v>11</v>
      </c>
      <c r="D146" s="11" t="n">
        <f aca="false">B146-C146</f>
        <v>0.833333333333334</v>
      </c>
      <c r="E146" s="30" t="n">
        <f aca="false">INDEX(Discount!$C$4:$C$59,C146+1)</f>
        <v>0.726988915516858</v>
      </c>
      <c r="F146" s="30" t="n">
        <f aca="false">IF(C146+2&gt;56,INDEX(Discount!$C$4:$C$59,56),INDEX(Discount!$C$4:$C$59,C146+2))</f>
        <v>0.702033923629033</v>
      </c>
      <c r="G146" s="30" t="n">
        <f aca="false">IF(D146=0,E146,EXP((1-D146)*LN(E146)+D146*LN(F146)))</f>
        <v>0.70613279239639</v>
      </c>
    </row>
    <row r="147" customFormat="false" ht="15" hidden="false" customHeight="true" outlineLevel="0" collapsed="false">
      <c r="A147" s="1" t="n">
        <v>143</v>
      </c>
      <c r="B147" s="11" t="n">
        <f aca="false">A147/12</f>
        <v>11.9166666666667</v>
      </c>
      <c r="C147" s="34" t="n">
        <f aca="false">INT(B147)</f>
        <v>11</v>
      </c>
      <c r="D147" s="11" t="n">
        <f aca="false">B147-C147</f>
        <v>0.916666666666666</v>
      </c>
      <c r="E147" s="30" t="n">
        <f aca="false">INDEX(Discount!$C$4:$C$59,C147+1)</f>
        <v>0.726988915516858</v>
      </c>
      <c r="F147" s="30" t="n">
        <f aca="false">IF(C147+2&gt;56,INDEX(Discount!$C$4:$C$59,56),INDEX(Discount!$C$4:$C$59,C147+2))</f>
        <v>0.702033923629033</v>
      </c>
      <c r="G147" s="30" t="n">
        <f aca="false">IF(D147=0,E147,EXP((1-D147)*LN(E147)+D147*LN(F147)))</f>
        <v>0.704080375276263</v>
      </c>
    </row>
    <row r="148" customFormat="false" ht="15" hidden="false" customHeight="true" outlineLevel="0" collapsed="false">
      <c r="A148" s="1" t="n">
        <v>144</v>
      </c>
      <c r="B148" s="11" t="n">
        <f aca="false">A148/12</f>
        <v>12</v>
      </c>
      <c r="C148" s="34" t="n">
        <f aca="false">INT(B148)</f>
        <v>12</v>
      </c>
      <c r="D148" s="11" t="n">
        <f aca="false">B148-C148</f>
        <v>0</v>
      </c>
      <c r="E148" s="30" t="n">
        <f aca="false">INDEX(Discount!$C$4:$C$59,C148+1)</f>
        <v>0.702033923629033</v>
      </c>
      <c r="F148" s="30" t="n">
        <f aca="false">IF(C148+2&gt;56,INDEX(Discount!$C$4:$C$59,56),INDEX(Discount!$C$4:$C$59,C148+2))</f>
        <v>0.678121495217362</v>
      </c>
      <c r="G148" s="30" t="n">
        <f aca="false">IF(D148=0,E148,EXP((1-D148)*LN(E148)+D148*LN(F148)))</f>
        <v>0.702033923629033</v>
      </c>
    </row>
    <row r="149" customFormat="false" ht="15" hidden="false" customHeight="true" outlineLevel="0" collapsed="false">
      <c r="A149" s="1" t="n">
        <v>145</v>
      </c>
      <c r="B149" s="11" t="n">
        <f aca="false">A149/12</f>
        <v>12.0833333333333</v>
      </c>
      <c r="C149" s="34" t="n">
        <f aca="false">INT(B149)</f>
        <v>12</v>
      </c>
      <c r="D149" s="11" t="n">
        <f aca="false">B149-C149</f>
        <v>0.0833333333333339</v>
      </c>
      <c r="E149" s="30" t="n">
        <f aca="false">INDEX(Discount!$C$4:$C$59,C149+1)</f>
        <v>0.702033923629033</v>
      </c>
      <c r="F149" s="30" t="n">
        <f aca="false">IF(C149+2&gt;56,INDEX(Discount!$C$4:$C$59,56),INDEX(Discount!$C$4:$C$59,C149+2))</f>
        <v>0.678121495217362</v>
      </c>
      <c r="G149" s="30" t="n">
        <f aca="false">IF(D149=0,E149,EXP((1-D149)*LN(E149)+D149*LN(F149)))</f>
        <v>0.700009417754199</v>
      </c>
    </row>
    <row r="150" customFormat="false" ht="15" hidden="false" customHeight="true" outlineLevel="0" collapsed="false">
      <c r="A150" s="1" t="n">
        <v>146</v>
      </c>
      <c r="B150" s="11" t="n">
        <f aca="false">A150/12</f>
        <v>12.1666666666667</v>
      </c>
      <c r="C150" s="34" t="n">
        <f aca="false">INT(B150)</f>
        <v>12</v>
      </c>
      <c r="D150" s="11" t="n">
        <f aca="false">B150-C150</f>
        <v>0.166666666666666</v>
      </c>
      <c r="E150" s="30" t="n">
        <f aca="false">INDEX(Discount!$C$4:$C$59,C150+1)</f>
        <v>0.702033923629033</v>
      </c>
      <c r="F150" s="30" t="n">
        <f aca="false">IF(C150+2&gt;56,INDEX(Discount!$C$4:$C$59,56),INDEX(Discount!$C$4:$C$59,C150+2))</f>
        <v>0.678121495217362</v>
      </c>
      <c r="G150" s="30" t="n">
        <f aca="false">IF(D150=0,E150,EXP((1-D150)*LN(E150)+D150*LN(F150)))</f>
        <v>0.697990750093017</v>
      </c>
    </row>
    <row r="151" customFormat="false" ht="15" hidden="false" customHeight="true" outlineLevel="0" collapsed="false">
      <c r="A151" s="1" t="n">
        <v>147</v>
      </c>
      <c r="B151" s="11" t="n">
        <f aca="false">A151/12</f>
        <v>12.25</v>
      </c>
      <c r="C151" s="34" t="n">
        <f aca="false">INT(B151)</f>
        <v>12</v>
      </c>
      <c r="D151" s="11" t="n">
        <f aca="false">B151-C151</f>
        <v>0.25</v>
      </c>
      <c r="E151" s="30" t="n">
        <f aca="false">INDEX(Discount!$C$4:$C$59,C151+1)</f>
        <v>0.702033923629033</v>
      </c>
      <c r="F151" s="30" t="n">
        <f aca="false">IF(C151+2&gt;56,INDEX(Discount!$C$4:$C$59,56),INDEX(Discount!$C$4:$C$59,C151+2))</f>
        <v>0.678121495217362</v>
      </c>
      <c r="G151" s="30" t="n">
        <f aca="false">IF(D151=0,E151,EXP((1-D151)*LN(E151)+D151*LN(F151)))</f>
        <v>0.69597790380941</v>
      </c>
    </row>
    <row r="152" customFormat="false" ht="15" hidden="false" customHeight="true" outlineLevel="0" collapsed="false">
      <c r="A152" s="1" t="n">
        <v>148</v>
      </c>
      <c r="B152" s="11" t="n">
        <f aca="false">A152/12</f>
        <v>12.3333333333333</v>
      </c>
      <c r="C152" s="34" t="n">
        <f aca="false">INT(B152)</f>
        <v>12</v>
      </c>
      <c r="D152" s="11" t="n">
        <f aca="false">B152-C152</f>
        <v>0.333333333333334</v>
      </c>
      <c r="E152" s="30" t="n">
        <f aca="false">INDEX(Discount!$C$4:$C$59,C152+1)</f>
        <v>0.702033923629033</v>
      </c>
      <c r="F152" s="30" t="n">
        <f aca="false">IF(C152+2&gt;56,INDEX(Discount!$C$4:$C$59,56),INDEX(Discount!$C$4:$C$59,C152+2))</f>
        <v>0.678121495217362</v>
      </c>
      <c r="G152" s="30" t="n">
        <f aca="false">IF(D152=0,E152,EXP((1-D152)*LN(E152)+D152*LN(F152)))</f>
        <v>0.69397086211585</v>
      </c>
    </row>
    <row r="153" customFormat="false" ht="15" hidden="false" customHeight="true" outlineLevel="0" collapsed="false">
      <c r="A153" s="1" t="n">
        <v>149</v>
      </c>
      <c r="B153" s="11" t="n">
        <f aca="false">A153/12</f>
        <v>12.4166666666667</v>
      </c>
      <c r="C153" s="34" t="n">
        <f aca="false">INT(B153)</f>
        <v>12</v>
      </c>
      <c r="D153" s="11" t="n">
        <f aca="false">B153-C153</f>
        <v>0.416666666666666</v>
      </c>
      <c r="E153" s="30" t="n">
        <f aca="false">INDEX(Discount!$C$4:$C$59,C153+1)</f>
        <v>0.702033923629033</v>
      </c>
      <c r="F153" s="30" t="n">
        <f aca="false">IF(C153+2&gt;56,INDEX(Discount!$C$4:$C$59,56),INDEX(Discount!$C$4:$C$59,C153+2))</f>
        <v>0.678121495217362</v>
      </c>
      <c r="G153" s="30" t="n">
        <f aca="false">IF(D153=0,E153,EXP((1-D153)*LN(E153)+D153*LN(F153)))</f>
        <v>0.691969608273223</v>
      </c>
    </row>
    <row r="154" customFormat="false" ht="15" hidden="false" customHeight="true" outlineLevel="0" collapsed="false">
      <c r="A154" s="1" t="n">
        <v>150</v>
      </c>
      <c r="B154" s="11" t="n">
        <f aca="false">A154/12</f>
        <v>12.5</v>
      </c>
      <c r="C154" s="34" t="n">
        <f aca="false">INT(B154)</f>
        <v>12</v>
      </c>
      <c r="D154" s="11" t="n">
        <f aca="false">B154-C154</f>
        <v>0.5</v>
      </c>
      <c r="E154" s="30" t="n">
        <f aca="false">INDEX(Discount!$C$4:$C$59,C154+1)</f>
        <v>0.702033923629033</v>
      </c>
      <c r="F154" s="30" t="n">
        <f aca="false">IF(C154+2&gt;56,INDEX(Discount!$C$4:$C$59,56),INDEX(Discount!$C$4:$C$59,C154+2))</f>
        <v>0.678121495217362</v>
      </c>
      <c r="G154" s="30" t="n">
        <f aca="false">IF(D154=0,E154,EXP((1-D154)*LN(E154)+D154*LN(F154)))</f>
        <v>0.689974125590685</v>
      </c>
    </row>
    <row r="155" customFormat="false" ht="15" hidden="false" customHeight="true" outlineLevel="0" collapsed="false">
      <c r="A155" s="1" t="n">
        <v>151</v>
      </c>
      <c r="B155" s="11" t="n">
        <f aca="false">A155/12</f>
        <v>12.5833333333333</v>
      </c>
      <c r="C155" s="34" t="n">
        <f aca="false">INT(B155)</f>
        <v>12</v>
      </c>
      <c r="D155" s="11" t="n">
        <f aca="false">B155-C155</f>
        <v>0.583333333333334</v>
      </c>
      <c r="E155" s="30" t="n">
        <f aca="false">INDEX(Discount!$C$4:$C$59,C155+1)</f>
        <v>0.702033923629033</v>
      </c>
      <c r="F155" s="30" t="n">
        <f aca="false">IF(C155+2&gt;56,INDEX(Discount!$C$4:$C$59,56),INDEX(Discount!$C$4:$C$59,C155+2))</f>
        <v>0.678121495217362</v>
      </c>
      <c r="G155" s="30" t="n">
        <f aca="false">IF(D155=0,E155,EXP((1-D155)*LN(E155)+D155*LN(F155)))</f>
        <v>0.687984397425526</v>
      </c>
    </row>
    <row r="156" customFormat="false" ht="15" hidden="false" customHeight="true" outlineLevel="0" collapsed="false">
      <c r="A156" s="1" t="n">
        <v>152</v>
      </c>
      <c r="B156" s="11" t="n">
        <f aca="false">A156/12</f>
        <v>12.6666666666667</v>
      </c>
      <c r="C156" s="34" t="n">
        <f aca="false">INT(B156)</f>
        <v>12</v>
      </c>
      <c r="D156" s="11" t="n">
        <f aca="false">B156-C156</f>
        <v>0.666666666666666</v>
      </c>
      <c r="E156" s="30" t="n">
        <f aca="false">INDEX(Discount!$C$4:$C$59,C156+1)</f>
        <v>0.702033923629033</v>
      </c>
      <c r="F156" s="30" t="n">
        <f aca="false">IF(C156+2&gt;56,INDEX(Discount!$C$4:$C$59,56),INDEX(Discount!$C$4:$C$59,C156+2))</f>
        <v>0.678121495217362</v>
      </c>
      <c r="G156" s="30" t="n">
        <f aca="false">IF(D156=0,E156,EXP((1-D156)*LN(E156)+D156*LN(F156)))</f>
        <v>0.686000407183029</v>
      </c>
    </row>
    <row r="157" customFormat="false" ht="15" hidden="false" customHeight="true" outlineLevel="0" collapsed="false">
      <c r="A157" s="1" t="n">
        <v>153</v>
      </c>
      <c r="B157" s="11" t="n">
        <f aca="false">A157/12</f>
        <v>12.75</v>
      </c>
      <c r="C157" s="34" t="n">
        <f aca="false">INT(B157)</f>
        <v>12</v>
      </c>
      <c r="D157" s="11" t="n">
        <f aca="false">B157-C157</f>
        <v>0.75</v>
      </c>
      <c r="E157" s="30" t="n">
        <f aca="false">INDEX(Discount!$C$4:$C$59,C157+1)</f>
        <v>0.702033923629033</v>
      </c>
      <c r="F157" s="30" t="n">
        <f aca="false">IF(C157+2&gt;56,INDEX(Discount!$C$4:$C$59,56),INDEX(Discount!$C$4:$C$59,C157+2))</f>
        <v>0.678121495217362</v>
      </c>
      <c r="G157" s="30" t="n">
        <f aca="false">IF(D157=0,E157,EXP((1-D157)*LN(E157)+D157*LN(F157)))</f>
        <v>0.684022138316332</v>
      </c>
    </row>
    <row r="158" customFormat="false" ht="15" hidden="false" customHeight="true" outlineLevel="0" collapsed="false">
      <c r="A158" s="1" t="n">
        <v>154</v>
      </c>
      <c r="B158" s="11" t="n">
        <f aca="false">A158/12</f>
        <v>12.8333333333333</v>
      </c>
      <c r="C158" s="34" t="n">
        <f aca="false">INT(B158)</f>
        <v>12</v>
      </c>
      <c r="D158" s="11" t="n">
        <f aca="false">B158-C158</f>
        <v>0.833333333333334</v>
      </c>
      <c r="E158" s="30" t="n">
        <f aca="false">INDEX(Discount!$C$4:$C$59,C158+1)</f>
        <v>0.702033923629033</v>
      </c>
      <c r="F158" s="30" t="n">
        <f aca="false">IF(C158+2&gt;56,INDEX(Discount!$C$4:$C$59,56),INDEX(Discount!$C$4:$C$59,C158+2))</f>
        <v>0.678121495217362</v>
      </c>
      <c r="G158" s="30" t="n">
        <f aca="false">IF(D158=0,E158,EXP((1-D158)*LN(E158)+D158*LN(F158)))</f>
        <v>0.682049574326291</v>
      </c>
    </row>
    <row r="159" customFormat="false" ht="15" hidden="false" customHeight="true" outlineLevel="0" collapsed="false">
      <c r="A159" s="1" t="n">
        <v>155</v>
      </c>
      <c r="B159" s="11" t="n">
        <f aca="false">A159/12</f>
        <v>12.9166666666667</v>
      </c>
      <c r="C159" s="34" t="n">
        <f aca="false">INT(B159)</f>
        <v>12</v>
      </c>
      <c r="D159" s="11" t="n">
        <f aca="false">B159-C159</f>
        <v>0.916666666666666</v>
      </c>
      <c r="E159" s="30" t="n">
        <f aca="false">INDEX(Discount!$C$4:$C$59,C159+1)</f>
        <v>0.702033923629033</v>
      </c>
      <c r="F159" s="30" t="n">
        <f aca="false">IF(C159+2&gt;56,INDEX(Discount!$C$4:$C$59,56),INDEX(Discount!$C$4:$C$59,C159+2))</f>
        <v>0.678121495217362</v>
      </c>
      <c r="G159" s="30" t="n">
        <f aca="false">IF(D159=0,E159,EXP((1-D159)*LN(E159)+D159*LN(F159)))</f>
        <v>0.680082698761341</v>
      </c>
    </row>
    <row r="160" customFormat="false" ht="15" hidden="false" customHeight="true" outlineLevel="0" collapsed="false">
      <c r="A160" s="1" t="n">
        <v>156</v>
      </c>
      <c r="B160" s="11" t="n">
        <f aca="false">A160/12</f>
        <v>13</v>
      </c>
      <c r="C160" s="34" t="n">
        <f aca="false">INT(B160)</f>
        <v>13</v>
      </c>
      <c r="D160" s="11" t="n">
        <f aca="false">B160-C160</f>
        <v>0</v>
      </c>
      <c r="E160" s="30" t="n">
        <f aca="false">INDEX(Discount!$C$4:$C$59,C160+1)</f>
        <v>0.678121495217362</v>
      </c>
      <c r="F160" s="30" t="n">
        <f aca="false">IF(C160+2&gt;56,INDEX(Discount!$C$4:$C$59,56),INDEX(Discount!$C$4:$C$59,C160+2))</f>
        <v>0.655482469114705</v>
      </c>
      <c r="G160" s="30" t="n">
        <f aca="false">IF(D160=0,E160,EXP((1-D160)*LN(E160)+D160*LN(F160)))</f>
        <v>0.678121495217362</v>
      </c>
    </row>
    <row r="161" customFormat="false" ht="15" hidden="false" customHeight="true" outlineLevel="0" collapsed="false">
      <c r="A161" s="1" t="n">
        <v>157</v>
      </c>
      <c r="B161" s="11" t="n">
        <f aca="false">A161/12</f>
        <v>13.0833333333333</v>
      </c>
      <c r="C161" s="34" t="n">
        <f aca="false">INT(B161)</f>
        <v>13</v>
      </c>
      <c r="D161" s="11" t="n">
        <f aca="false">B161-C161</f>
        <v>0.0833333333333339</v>
      </c>
      <c r="E161" s="30" t="n">
        <f aca="false">INDEX(Discount!$C$4:$C$59,C161+1)</f>
        <v>0.678121495217362</v>
      </c>
      <c r="F161" s="30" t="n">
        <f aca="false">IF(C161+2&gt;56,INDEX(Discount!$C$4:$C$59,56),INDEX(Discount!$C$4:$C$59,C161+2))</f>
        <v>0.655482469114705</v>
      </c>
      <c r="G161" s="30" t="n">
        <f aca="false">IF(D161=0,E161,EXP((1-D161)*LN(E161)+D161*LN(F161)))</f>
        <v>0.676205411163516</v>
      </c>
    </row>
    <row r="162" customFormat="false" ht="15" hidden="false" customHeight="true" outlineLevel="0" collapsed="false">
      <c r="A162" s="1" t="n">
        <v>158</v>
      </c>
      <c r="B162" s="11" t="n">
        <f aca="false">A162/12</f>
        <v>13.1666666666667</v>
      </c>
      <c r="C162" s="34" t="n">
        <f aca="false">INT(B162)</f>
        <v>13</v>
      </c>
      <c r="D162" s="11" t="n">
        <f aca="false">B162-C162</f>
        <v>0.166666666666666</v>
      </c>
      <c r="E162" s="30" t="n">
        <f aca="false">INDEX(Discount!$C$4:$C$59,C162+1)</f>
        <v>0.678121495217362</v>
      </c>
      <c r="F162" s="30" t="n">
        <f aca="false">IF(C162+2&gt;56,INDEX(Discount!$C$4:$C$59,56),INDEX(Discount!$C$4:$C$59,C162+2))</f>
        <v>0.655482469114705</v>
      </c>
      <c r="G162" s="30" t="n">
        <f aca="false">IF(D162=0,E162,EXP((1-D162)*LN(E162)+D162*LN(F162)))</f>
        <v>0.674294741151442</v>
      </c>
    </row>
    <row r="163" customFormat="false" ht="15" hidden="false" customHeight="true" outlineLevel="0" collapsed="false">
      <c r="A163" s="1" t="n">
        <v>159</v>
      </c>
      <c r="B163" s="11" t="n">
        <f aca="false">A163/12</f>
        <v>13.25</v>
      </c>
      <c r="C163" s="34" t="n">
        <f aca="false">INT(B163)</f>
        <v>13</v>
      </c>
      <c r="D163" s="11" t="n">
        <f aca="false">B163-C163</f>
        <v>0.25</v>
      </c>
      <c r="E163" s="30" t="n">
        <f aca="false">INDEX(Discount!$C$4:$C$59,C163+1)</f>
        <v>0.678121495217362</v>
      </c>
      <c r="F163" s="30" t="n">
        <f aca="false">IF(C163+2&gt;56,INDEX(Discount!$C$4:$C$59,56),INDEX(Discount!$C$4:$C$59,C163+2))</f>
        <v>0.655482469114705</v>
      </c>
      <c r="G163" s="30" t="n">
        <f aca="false">IF(D163=0,E163,EXP((1-D163)*LN(E163)+D163*LN(F163)))</f>
        <v>0.672389469883351</v>
      </c>
    </row>
    <row r="164" customFormat="false" ht="15" hidden="false" customHeight="true" outlineLevel="0" collapsed="false">
      <c r="A164" s="1" t="n">
        <v>160</v>
      </c>
      <c r="B164" s="11" t="n">
        <f aca="false">A164/12</f>
        <v>13.3333333333333</v>
      </c>
      <c r="C164" s="34" t="n">
        <f aca="false">INT(B164)</f>
        <v>13</v>
      </c>
      <c r="D164" s="11" t="n">
        <f aca="false">B164-C164</f>
        <v>0.333333333333334</v>
      </c>
      <c r="E164" s="30" t="n">
        <f aca="false">INDEX(Discount!$C$4:$C$59,C164+1)</f>
        <v>0.678121495217362</v>
      </c>
      <c r="F164" s="30" t="n">
        <f aca="false">IF(C164+2&gt;56,INDEX(Discount!$C$4:$C$59,56),INDEX(Discount!$C$4:$C$59,C164+2))</f>
        <v>0.655482469114705</v>
      </c>
      <c r="G164" s="30" t="n">
        <f aca="false">IF(D164=0,E164,EXP((1-D164)*LN(E164)+D164*LN(F164)))</f>
        <v>0.67048958210468</v>
      </c>
    </row>
    <row r="165" customFormat="false" ht="15" hidden="false" customHeight="true" outlineLevel="0" collapsed="false">
      <c r="A165" s="1" t="n">
        <v>161</v>
      </c>
      <c r="B165" s="11" t="n">
        <f aca="false">A165/12</f>
        <v>13.4166666666667</v>
      </c>
      <c r="C165" s="34" t="n">
        <f aca="false">INT(B165)</f>
        <v>13</v>
      </c>
      <c r="D165" s="11" t="n">
        <f aca="false">B165-C165</f>
        <v>0.416666666666666</v>
      </c>
      <c r="E165" s="30" t="n">
        <f aca="false">INDEX(Discount!$C$4:$C$59,C165+1)</f>
        <v>0.678121495217362</v>
      </c>
      <c r="F165" s="30" t="n">
        <f aca="false">IF(C165+2&gt;56,INDEX(Discount!$C$4:$C$59,56),INDEX(Discount!$C$4:$C$59,C165+2))</f>
        <v>0.655482469114705</v>
      </c>
      <c r="G165" s="30" t="n">
        <f aca="false">IF(D165=0,E165,EXP((1-D165)*LN(E165)+D165*LN(F165)))</f>
        <v>0.66859506260397</v>
      </c>
    </row>
    <row r="166" customFormat="false" ht="15" hidden="false" customHeight="true" outlineLevel="0" collapsed="false">
      <c r="A166" s="1" t="n">
        <v>162</v>
      </c>
      <c r="B166" s="11" t="n">
        <f aca="false">A166/12</f>
        <v>13.5</v>
      </c>
      <c r="C166" s="34" t="n">
        <f aca="false">INT(B166)</f>
        <v>13</v>
      </c>
      <c r="D166" s="11" t="n">
        <f aca="false">B166-C166</f>
        <v>0.5</v>
      </c>
      <c r="E166" s="30" t="n">
        <f aca="false">INDEX(Discount!$C$4:$C$59,C166+1)</f>
        <v>0.678121495217362</v>
      </c>
      <c r="F166" s="30" t="n">
        <f aca="false">IF(C166+2&gt;56,INDEX(Discount!$C$4:$C$59,56),INDEX(Discount!$C$4:$C$59,C166+2))</f>
        <v>0.655482469114705</v>
      </c>
      <c r="G166" s="30" t="n">
        <f aca="false">IF(D166=0,E166,EXP((1-D166)*LN(E166)+D166*LN(F166)))</f>
        <v>0.666705896212739</v>
      </c>
    </row>
    <row r="167" customFormat="false" ht="15" hidden="false" customHeight="true" outlineLevel="0" collapsed="false">
      <c r="A167" s="1" t="n">
        <v>163</v>
      </c>
      <c r="B167" s="11" t="n">
        <f aca="false">A167/12</f>
        <v>13.5833333333333</v>
      </c>
      <c r="C167" s="34" t="n">
        <f aca="false">INT(B167)</f>
        <v>13</v>
      </c>
      <c r="D167" s="11" t="n">
        <f aca="false">B167-C167</f>
        <v>0.583333333333334</v>
      </c>
      <c r="E167" s="30" t="n">
        <f aca="false">INDEX(Discount!$C$4:$C$59,C167+1)</f>
        <v>0.678121495217362</v>
      </c>
      <c r="F167" s="30" t="n">
        <f aca="false">IF(C167+2&gt;56,INDEX(Discount!$C$4:$C$59,56),INDEX(Discount!$C$4:$C$59,C167+2))</f>
        <v>0.655482469114705</v>
      </c>
      <c r="G167" s="30" t="n">
        <f aca="false">IF(D167=0,E167,EXP((1-D167)*LN(E167)+D167*LN(F167)))</f>
        <v>0.66482206780537</v>
      </c>
    </row>
    <row r="168" customFormat="false" ht="15" hidden="false" customHeight="true" outlineLevel="0" collapsed="false">
      <c r="A168" s="1" t="n">
        <v>164</v>
      </c>
      <c r="B168" s="11" t="n">
        <f aca="false">A168/12</f>
        <v>13.6666666666667</v>
      </c>
      <c r="C168" s="34" t="n">
        <f aca="false">INT(B168)</f>
        <v>13</v>
      </c>
      <c r="D168" s="11" t="n">
        <f aca="false">B168-C168</f>
        <v>0.666666666666666</v>
      </c>
      <c r="E168" s="30" t="n">
        <f aca="false">INDEX(Discount!$C$4:$C$59,C168+1)</f>
        <v>0.678121495217362</v>
      </c>
      <c r="F168" s="30" t="n">
        <f aca="false">IF(C168+2&gt;56,INDEX(Discount!$C$4:$C$59,56),INDEX(Discount!$C$4:$C$59,C168+2))</f>
        <v>0.655482469114705</v>
      </c>
      <c r="G168" s="30" t="n">
        <f aca="false">IF(D168=0,E168,EXP((1-D168)*LN(E168)+D168*LN(F168)))</f>
        <v>0.662943562298981</v>
      </c>
    </row>
    <row r="169" customFormat="false" ht="15" hidden="false" customHeight="true" outlineLevel="0" collapsed="false">
      <c r="A169" s="1" t="n">
        <v>165</v>
      </c>
      <c r="B169" s="11" t="n">
        <f aca="false">A169/12</f>
        <v>13.75</v>
      </c>
      <c r="C169" s="34" t="n">
        <f aca="false">INT(B169)</f>
        <v>13</v>
      </c>
      <c r="D169" s="11" t="n">
        <f aca="false">B169-C169</f>
        <v>0.75</v>
      </c>
      <c r="E169" s="30" t="n">
        <f aca="false">INDEX(Discount!$C$4:$C$59,C169+1)</f>
        <v>0.678121495217362</v>
      </c>
      <c r="F169" s="30" t="n">
        <f aca="false">IF(C169+2&gt;56,INDEX(Discount!$C$4:$C$59,56),INDEX(Discount!$C$4:$C$59,C169+2))</f>
        <v>0.655482469114705</v>
      </c>
      <c r="G169" s="30" t="n">
        <f aca="false">IF(D169=0,E169,EXP((1-D169)*LN(E169)+D169*LN(F169)))</f>
        <v>0.661070364653309</v>
      </c>
    </row>
    <row r="170" customFormat="false" ht="15" hidden="false" customHeight="true" outlineLevel="0" collapsed="false">
      <c r="A170" s="1" t="n">
        <v>166</v>
      </c>
      <c r="B170" s="11" t="n">
        <f aca="false">A170/12</f>
        <v>13.8333333333333</v>
      </c>
      <c r="C170" s="34" t="n">
        <f aca="false">INT(B170)</f>
        <v>13</v>
      </c>
      <c r="D170" s="11" t="n">
        <f aca="false">B170-C170</f>
        <v>0.833333333333334</v>
      </c>
      <c r="E170" s="30" t="n">
        <f aca="false">INDEX(Discount!$C$4:$C$59,C170+1)</f>
        <v>0.678121495217362</v>
      </c>
      <c r="F170" s="30" t="n">
        <f aca="false">IF(C170+2&gt;56,INDEX(Discount!$C$4:$C$59,56),INDEX(Discount!$C$4:$C$59,C170+2))</f>
        <v>0.655482469114705</v>
      </c>
      <c r="G170" s="30" t="n">
        <f aca="false">IF(D170=0,E170,EXP((1-D170)*LN(E170)+D170*LN(F170)))</f>
        <v>0.659202459870588</v>
      </c>
    </row>
    <row r="171" customFormat="false" ht="15" hidden="false" customHeight="true" outlineLevel="0" collapsed="false">
      <c r="A171" s="1" t="n">
        <v>167</v>
      </c>
      <c r="B171" s="11" t="n">
        <f aca="false">A171/12</f>
        <v>13.9166666666667</v>
      </c>
      <c r="C171" s="34" t="n">
        <f aca="false">INT(B171)</f>
        <v>13</v>
      </c>
      <c r="D171" s="11" t="n">
        <f aca="false">B171-C171</f>
        <v>0.916666666666666</v>
      </c>
      <c r="E171" s="30" t="n">
        <f aca="false">INDEX(Discount!$C$4:$C$59,C171+1)</f>
        <v>0.678121495217362</v>
      </c>
      <c r="F171" s="30" t="n">
        <f aca="false">IF(C171+2&gt;56,INDEX(Discount!$C$4:$C$59,56),INDEX(Discount!$C$4:$C$59,C171+2))</f>
        <v>0.655482469114705</v>
      </c>
      <c r="G171" s="30" t="n">
        <f aca="false">IF(D171=0,E171,EXP((1-D171)*LN(E171)+D171*LN(F171)))</f>
        <v>0.65733983299543</v>
      </c>
    </row>
    <row r="172" customFormat="false" ht="15" hidden="false" customHeight="true" outlineLevel="0" collapsed="false">
      <c r="A172" s="1" t="n">
        <v>168</v>
      </c>
      <c r="B172" s="11" t="n">
        <f aca="false">A172/12</f>
        <v>14</v>
      </c>
      <c r="C172" s="34" t="n">
        <f aca="false">INT(B172)</f>
        <v>14</v>
      </c>
      <c r="D172" s="11" t="n">
        <f aca="false">B172-C172</f>
        <v>0</v>
      </c>
      <c r="E172" s="30" t="n">
        <f aca="false">INDEX(Discount!$C$4:$C$59,C172+1)</f>
        <v>0.655482469114705</v>
      </c>
      <c r="F172" s="30" t="n">
        <f aca="false">IF(C172+2&gt;56,INDEX(Discount!$C$4:$C$59,56),INDEX(Discount!$C$4:$C$59,C172+2))</f>
        <v>0.631942752983253</v>
      </c>
      <c r="G172" s="30" t="n">
        <f aca="false">IF(D172=0,E172,EXP((1-D172)*LN(E172)+D172*LN(F172)))</f>
        <v>0.655482469114705</v>
      </c>
    </row>
    <row r="173" customFormat="false" ht="15" hidden="false" customHeight="true" outlineLevel="0" collapsed="false">
      <c r="A173" s="1" t="n">
        <v>169</v>
      </c>
      <c r="B173" s="11" t="n">
        <f aca="false">A173/12</f>
        <v>14.0833333333333</v>
      </c>
      <c r="C173" s="34" t="n">
        <f aca="false">INT(B173)</f>
        <v>14</v>
      </c>
      <c r="D173" s="11" t="n">
        <f aca="false">B173-C173</f>
        <v>0.0833333333333339</v>
      </c>
      <c r="E173" s="30" t="n">
        <f aca="false">INDEX(Discount!$C$4:$C$59,C173+1)</f>
        <v>0.655482469114705</v>
      </c>
      <c r="F173" s="30" t="n">
        <f aca="false">IF(C173+2&gt;56,INDEX(Discount!$C$4:$C$59,56),INDEX(Discount!$C$4:$C$59,C173+2))</f>
        <v>0.631942752983253</v>
      </c>
      <c r="G173" s="30" t="n">
        <f aca="false">IF(D173=0,E173,EXP((1-D173)*LN(E173)+D173*LN(F173)))</f>
        <v>0.653487777301563</v>
      </c>
    </row>
    <row r="174" customFormat="false" ht="15" hidden="false" customHeight="true" outlineLevel="0" collapsed="false">
      <c r="A174" s="1" t="n">
        <v>170</v>
      </c>
      <c r="B174" s="11" t="n">
        <f aca="false">A174/12</f>
        <v>14.1666666666667</v>
      </c>
      <c r="C174" s="34" t="n">
        <f aca="false">INT(B174)</f>
        <v>14</v>
      </c>
      <c r="D174" s="11" t="n">
        <f aca="false">B174-C174</f>
        <v>0.166666666666666</v>
      </c>
      <c r="E174" s="30" t="n">
        <f aca="false">INDEX(Discount!$C$4:$C$59,C174+1)</f>
        <v>0.655482469114705</v>
      </c>
      <c r="F174" s="30" t="n">
        <f aca="false">IF(C174+2&gt;56,INDEX(Discount!$C$4:$C$59,56),INDEX(Discount!$C$4:$C$59,C174+2))</f>
        <v>0.631942752983253</v>
      </c>
      <c r="G174" s="30" t="n">
        <f aca="false">IF(D174=0,E174,EXP((1-D174)*LN(E174)+D174*LN(F174)))</f>
        <v>0.651499155514115</v>
      </c>
    </row>
    <row r="175" customFormat="false" ht="15" hidden="false" customHeight="true" outlineLevel="0" collapsed="false">
      <c r="A175" s="1" t="n">
        <v>171</v>
      </c>
      <c r="B175" s="11" t="n">
        <f aca="false">A175/12</f>
        <v>14.25</v>
      </c>
      <c r="C175" s="34" t="n">
        <f aca="false">INT(B175)</f>
        <v>14</v>
      </c>
      <c r="D175" s="11" t="n">
        <f aca="false">B175-C175</f>
        <v>0.25</v>
      </c>
      <c r="E175" s="30" t="n">
        <f aca="false">INDEX(Discount!$C$4:$C$59,C175+1)</f>
        <v>0.655482469114705</v>
      </c>
      <c r="F175" s="30" t="n">
        <f aca="false">IF(C175+2&gt;56,INDEX(Discount!$C$4:$C$59,56),INDEX(Discount!$C$4:$C$59,C175+2))</f>
        <v>0.631942752983253</v>
      </c>
      <c r="G175" s="30" t="n">
        <f aca="false">IF(D175=0,E175,EXP((1-D175)*LN(E175)+D175*LN(F175)))</f>
        <v>0.649516585280729</v>
      </c>
    </row>
    <row r="176" customFormat="false" ht="15" hidden="false" customHeight="true" outlineLevel="0" collapsed="false">
      <c r="A176" s="1" t="n">
        <v>172</v>
      </c>
      <c r="B176" s="11" t="n">
        <f aca="false">A176/12</f>
        <v>14.3333333333333</v>
      </c>
      <c r="C176" s="34" t="n">
        <f aca="false">INT(B176)</f>
        <v>14</v>
      </c>
      <c r="D176" s="11" t="n">
        <f aca="false">B176-C176</f>
        <v>0.333333333333334</v>
      </c>
      <c r="E176" s="30" t="n">
        <f aca="false">INDEX(Discount!$C$4:$C$59,C176+1)</f>
        <v>0.655482469114705</v>
      </c>
      <c r="F176" s="30" t="n">
        <f aca="false">IF(C176+2&gt;56,INDEX(Discount!$C$4:$C$59,56),INDEX(Discount!$C$4:$C$59,C176+2))</f>
        <v>0.631942752983253</v>
      </c>
      <c r="G176" s="30" t="n">
        <f aca="false">IF(D176=0,E176,EXP((1-D176)*LN(E176)+D176*LN(F176)))</f>
        <v>0.647540048185985</v>
      </c>
    </row>
    <row r="177" customFormat="false" ht="15" hidden="false" customHeight="true" outlineLevel="0" collapsed="false">
      <c r="A177" s="1" t="n">
        <v>173</v>
      </c>
      <c r="B177" s="11" t="n">
        <f aca="false">A177/12</f>
        <v>14.4166666666667</v>
      </c>
      <c r="C177" s="34" t="n">
        <f aca="false">INT(B177)</f>
        <v>14</v>
      </c>
      <c r="D177" s="11" t="n">
        <f aca="false">B177-C177</f>
        <v>0.416666666666666</v>
      </c>
      <c r="E177" s="30" t="n">
        <f aca="false">INDEX(Discount!$C$4:$C$59,C177+1)</f>
        <v>0.655482469114705</v>
      </c>
      <c r="F177" s="30" t="n">
        <f aca="false">IF(C177+2&gt;56,INDEX(Discount!$C$4:$C$59,56),INDEX(Discount!$C$4:$C$59,C177+2))</f>
        <v>0.631942752983253</v>
      </c>
      <c r="G177" s="30" t="n">
        <f aca="false">IF(D177=0,E177,EXP((1-D177)*LN(E177)+D177*LN(F177)))</f>
        <v>0.645569525870502</v>
      </c>
    </row>
    <row r="178" customFormat="false" ht="15" hidden="false" customHeight="true" outlineLevel="0" collapsed="false">
      <c r="A178" s="1" t="n">
        <v>174</v>
      </c>
      <c r="B178" s="11" t="n">
        <f aca="false">A178/12</f>
        <v>14.5</v>
      </c>
      <c r="C178" s="34" t="n">
        <f aca="false">INT(B178)</f>
        <v>14</v>
      </c>
      <c r="D178" s="11" t="n">
        <f aca="false">B178-C178</f>
        <v>0.5</v>
      </c>
      <c r="E178" s="30" t="n">
        <f aca="false">INDEX(Discount!$C$4:$C$59,C178+1)</f>
        <v>0.655482469114705</v>
      </c>
      <c r="F178" s="30" t="n">
        <f aca="false">IF(C178+2&gt;56,INDEX(Discount!$C$4:$C$59,56),INDEX(Discount!$C$4:$C$59,C178+2))</f>
        <v>0.631942752983253</v>
      </c>
      <c r="G178" s="30" t="n">
        <f aca="false">IF(D178=0,E178,EXP((1-D178)*LN(E178)+D178*LN(F178)))</f>
        <v>0.643605000030769</v>
      </c>
    </row>
    <row r="179" customFormat="false" ht="15" hidden="false" customHeight="true" outlineLevel="0" collapsed="false">
      <c r="A179" s="1" t="n">
        <v>175</v>
      </c>
      <c r="B179" s="11" t="n">
        <f aca="false">A179/12</f>
        <v>14.5833333333333</v>
      </c>
      <c r="C179" s="34" t="n">
        <f aca="false">INT(B179)</f>
        <v>14</v>
      </c>
      <c r="D179" s="11" t="n">
        <f aca="false">B179-C179</f>
        <v>0.583333333333334</v>
      </c>
      <c r="E179" s="30" t="n">
        <f aca="false">INDEX(Discount!$C$4:$C$59,C179+1)</f>
        <v>0.655482469114705</v>
      </c>
      <c r="F179" s="30" t="n">
        <f aca="false">IF(C179+2&gt;56,INDEX(Discount!$C$4:$C$59,56),INDEX(Discount!$C$4:$C$59,C179+2))</f>
        <v>0.631942752983253</v>
      </c>
      <c r="G179" s="30" t="n">
        <f aca="false">IF(D179=0,E179,EXP((1-D179)*LN(E179)+D179*LN(F179)))</f>
        <v>0.641646452418973</v>
      </c>
    </row>
    <row r="180" customFormat="false" ht="15" hidden="false" customHeight="true" outlineLevel="0" collapsed="false">
      <c r="A180" s="1" t="n">
        <v>176</v>
      </c>
      <c r="B180" s="11" t="n">
        <f aca="false">A180/12</f>
        <v>14.6666666666667</v>
      </c>
      <c r="C180" s="34" t="n">
        <f aca="false">INT(B180)</f>
        <v>14</v>
      </c>
      <c r="D180" s="11" t="n">
        <f aca="false">B180-C180</f>
        <v>0.666666666666666</v>
      </c>
      <c r="E180" s="30" t="n">
        <f aca="false">INDEX(Discount!$C$4:$C$59,C180+1)</f>
        <v>0.655482469114705</v>
      </c>
      <c r="F180" s="30" t="n">
        <f aca="false">IF(C180+2&gt;56,INDEX(Discount!$C$4:$C$59,56),INDEX(Discount!$C$4:$C$59,C180+2))</f>
        <v>0.631942752983253</v>
      </c>
      <c r="G180" s="30" t="n">
        <f aca="false">IF(D180=0,E180,EXP((1-D180)*LN(E180)+D180*LN(F180)))</f>
        <v>0.639693864842832</v>
      </c>
    </row>
    <row r="181" customFormat="false" ht="15" hidden="false" customHeight="true" outlineLevel="0" collapsed="false">
      <c r="A181" s="1" t="n">
        <v>177</v>
      </c>
      <c r="B181" s="11" t="n">
        <f aca="false">A181/12</f>
        <v>14.75</v>
      </c>
      <c r="C181" s="34" t="n">
        <f aca="false">INT(B181)</f>
        <v>14</v>
      </c>
      <c r="D181" s="11" t="n">
        <f aca="false">B181-C181</f>
        <v>0.75</v>
      </c>
      <c r="E181" s="30" t="n">
        <f aca="false">INDEX(Discount!$C$4:$C$59,C181+1)</f>
        <v>0.655482469114705</v>
      </c>
      <c r="F181" s="30" t="n">
        <f aca="false">IF(C181+2&gt;56,INDEX(Discount!$C$4:$C$59,56),INDEX(Discount!$C$4:$C$59,C181+2))</f>
        <v>0.631942752983253</v>
      </c>
      <c r="G181" s="30" t="n">
        <f aca="false">IF(D181=0,E181,EXP((1-D181)*LN(E181)+D181*LN(F181)))</f>
        <v>0.637747219165424</v>
      </c>
    </row>
    <row r="182" customFormat="false" ht="15" hidden="false" customHeight="true" outlineLevel="0" collapsed="false">
      <c r="A182" s="1" t="n">
        <v>178</v>
      </c>
      <c r="B182" s="11" t="n">
        <f aca="false">A182/12</f>
        <v>14.8333333333333</v>
      </c>
      <c r="C182" s="34" t="n">
        <f aca="false">INT(B182)</f>
        <v>14</v>
      </c>
      <c r="D182" s="11" t="n">
        <f aca="false">B182-C182</f>
        <v>0.833333333333334</v>
      </c>
      <c r="E182" s="30" t="n">
        <f aca="false">INDEX(Discount!$C$4:$C$59,C182+1)</f>
        <v>0.655482469114705</v>
      </c>
      <c r="F182" s="30" t="n">
        <f aca="false">IF(C182+2&gt;56,INDEX(Discount!$C$4:$C$59,56),INDEX(Discount!$C$4:$C$59,C182+2))</f>
        <v>0.631942752983253</v>
      </c>
      <c r="G182" s="30" t="n">
        <f aca="false">IF(D182=0,E182,EXP((1-D182)*LN(E182)+D182*LN(F182)))</f>
        <v>0.635806497305018</v>
      </c>
    </row>
    <row r="183" customFormat="false" ht="15" hidden="false" customHeight="true" outlineLevel="0" collapsed="false">
      <c r="A183" s="1" t="n">
        <v>179</v>
      </c>
      <c r="B183" s="11" t="n">
        <f aca="false">A183/12</f>
        <v>14.9166666666667</v>
      </c>
      <c r="C183" s="34" t="n">
        <f aca="false">INT(B183)</f>
        <v>14</v>
      </c>
      <c r="D183" s="11" t="n">
        <f aca="false">B183-C183</f>
        <v>0.916666666666666</v>
      </c>
      <c r="E183" s="30" t="n">
        <f aca="false">INDEX(Discount!$C$4:$C$59,C183+1)</f>
        <v>0.655482469114705</v>
      </c>
      <c r="F183" s="30" t="n">
        <f aca="false">IF(C183+2&gt;56,INDEX(Discount!$C$4:$C$59,56),INDEX(Discount!$C$4:$C$59,C183+2))</f>
        <v>0.631942752983253</v>
      </c>
      <c r="G183" s="30" t="n">
        <f aca="false">IF(D183=0,E183,EXP((1-D183)*LN(E183)+D183*LN(F183)))</f>
        <v>0.633871681234911</v>
      </c>
    </row>
    <row r="184" customFormat="false" ht="15" hidden="false" customHeight="true" outlineLevel="0" collapsed="false">
      <c r="A184" s="1" t="n">
        <v>180</v>
      </c>
      <c r="B184" s="11" t="n">
        <f aca="false">A184/12</f>
        <v>15</v>
      </c>
      <c r="C184" s="34" t="n">
        <f aca="false">INT(B184)</f>
        <v>15</v>
      </c>
      <c r="D184" s="11" t="n">
        <f aca="false">B184-C184</f>
        <v>0</v>
      </c>
      <c r="E184" s="30" t="n">
        <f aca="false">INDEX(Discount!$C$4:$C$59,C184+1)</f>
        <v>0.631942752983253</v>
      </c>
      <c r="F184" s="30" t="n">
        <f aca="false">IF(C184+2&gt;56,INDEX(Discount!$C$4:$C$59,56),INDEX(Discount!$C$4:$C$59,C184+2))</f>
        <v>0.609864478767281</v>
      </c>
      <c r="G184" s="30" t="n">
        <f aca="false">IF(D184=0,E184,EXP((1-D184)*LN(E184)+D184*LN(F184)))</f>
        <v>0.631942752983253</v>
      </c>
    </row>
    <row r="185" customFormat="false" ht="15" hidden="false" customHeight="true" outlineLevel="0" collapsed="false">
      <c r="A185" s="1" t="n">
        <v>181</v>
      </c>
      <c r="B185" s="11" t="n">
        <f aca="false">A185/12</f>
        <v>15.0833333333333</v>
      </c>
      <c r="C185" s="34" t="n">
        <f aca="false">INT(B185)</f>
        <v>15</v>
      </c>
      <c r="D185" s="11" t="n">
        <f aca="false">B185-C185</f>
        <v>0.0833333333333339</v>
      </c>
      <c r="E185" s="30" t="n">
        <f aca="false">INDEX(Discount!$C$4:$C$59,C185+1)</f>
        <v>0.631942752983253</v>
      </c>
      <c r="F185" s="30" t="n">
        <f aca="false">IF(C185+2&gt;56,INDEX(Discount!$C$4:$C$59,56),INDEX(Discount!$C$4:$C$59,C185+2))</f>
        <v>0.609864478767281</v>
      </c>
      <c r="G185" s="30" t="n">
        <f aca="false">IF(D185=0,E185,EXP((1-D185)*LN(E185)+D185*LN(F185)))</f>
        <v>0.630072760614388</v>
      </c>
    </row>
    <row r="186" customFormat="false" ht="15" hidden="false" customHeight="true" outlineLevel="0" collapsed="false">
      <c r="A186" s="1" t="n">
        <v>182</v>
      </c>
      <c r="B186" s="11" t="n">
        <f aca="false">A186/12</f>
        <v>15.1666666666667</v>
      </c>
      <c r="C186" s="34" t="n">
        <f aca="false">INT(B186)</f>
        <v>15</v>
      </c>
      <c r="D186" s="11" t="n">
        <f aca="false">B186-C186</f>
        <v>0.166666666666666</v>
      </c>
      <c r="E186" s="30" t="n">
        <f aca="false">INDEX(Discount!$C$4:$C$59,C186+1)</f>
        <v>0.631942752983253</v>
      </c>
      <c r="F186" s="30" t="n">
        <f aca="false">IF(C186+2&gt;56,INDEX(Discount!$C$4:$C$59,56),INDEX(Discount!$C$4:$C$59,C186+2))</f>
        <v>0.609864478767281</v>
      </c>
      <c r="G186" s="30" t="n">
        <f aca="false">IF(D186=0,E186,EXP((1-D186)*LN(E186)+D186*LN(F186)))</f>
        <v>0.628208301771216</v>
      </c>
    </row>
    <row r="187" customFormat="false" ht="15" hidden="false" customHeight="true" outlineLevel="0" collapsed="false">
      <c r="A187" s="1" t="n">
        <v>183</v>
      </c>
      <c r="B187" s="11" t="n">
        <f aca="false">A187/12</f>
        <v>15.25</v>
      </c>
      <c r="C187" s="34" t="n">
        <f aca="false">INT(B187)</f>
        <v>15</v>
      </c>
      <c r="D187" s="11" t="n">
        <f aca="false">B187-C187</f>
        <v>0.25</v>
      </c>
      <c r="E187" s="30" t="n">
        <f aca="false">INDEX(Discount!$C$4:$C$59,C187+1)</f>
        <v>0.631942752983253</v>
      </c>
      <c r="F187" s="30" t="n">
        <f aca="false">IF(C187+2&gt;56,INDEX(Discount!$C$4:$C$59,56),INDEX(Discount!$C$4:$C$59,C187+2))</f>
        <v>0.609864478767281</v>
      </c>
      <c r="G187" s="30" t="n">
        <f aca="false">IF(D187=0,E187,EXP((1-D187)*LN(E187)+D187*LN(F187)))</f>
        <v>0.626349360079388</v>
      </c>
    </row>
    <row r="188" customFormat="false" ht="15" hidden="false" customHeight="true" outlineLevel="0" collapsed="false">
      <c r="A188" s="1" t="n">
        <v>184</v>
      </c>
      <c r="B188" s="11" t="n">
        <f aca="false">A188/12</f>
        <v>15.3333333333333</v>
      </c>
      <c r="C188" s="34" t="n">
        <f aca="false">INT(B188)</f>
        <v>15</v>
      </c>
      <c r="D188" s="11" t="n">
        <f aca="false">B188-C188</f>
        <v>0.333333333333334</v>
      </c>
      <c r="E188" s="30" t="n">
        <f aca="false">INDEX(Discount!$C$4:$C$59,C188+1)</f>
        <v>0.631942752983253</v>
      </c>
      <c r="F188" s="30" t="n">
        <f aca="false">IF(C188+2&gt;56,INDEX(Discount!$C$4:$C$59,56),INDEX(Discount!$C$4:$C$59,C188+2))</f>
        <v>0.609864478767281</v>
      </c>
      <c r="G188" s="30" t="n">
        <f aca="false">IF(D188=0,E188,EXP((1-D188)*LN(E188)+D188*LN(F188)))</f>
        <v>0.624495919213008</v>
      </c>
    </row>
    <row r="189" customFormat="false" ht="15" hidden="false" customHeight="true" outlineLevel="0" collapsed="false">
      <c r="A189" s="1" t="n">
        <v>185</v>
      </c>
      <c r="B189" s="11" t="n">
        <f aca="false">A189/12</f>
        <v>15.4166666666667</v>
      </c>
      <c r="C189" s="34" t="n">
        <f aca="false">INT(B189)</f>
        <v>15</v>
      </c>
      <c r="D189" s="11" t="n">
        <f aca="false">B189-C189</f>
        <v>0.416666666666666</v>
      </c>
      <c r="E189" s="30" t="n">
        <f aca="false">INDEX(Discount!$C$4:$C$59,C189+1)</f>
        <v>0.631942752983253</v>
      </c>
      <c r="F189" s="30" t="n">
        <f aca="false">IF(C189+2&gt;56,INDEX(Discount!$C$4:$C$59,56),INDEX(Discount!$C$4:$C$59,C189+2))</f>
        <v>0.609864478767281</v>
      </c>
      <c r="G189" s="30" t="n">
        <f aca="false">IF(D189=0,E189,EXP((1-D189)*LN(E189)+D189*LN(F189)))</f>
        <v>0.622647962894493</v>
      </c>
    </row>
    <row r="190" customFormat="false" ht="15" hidden="false" customHeight="true" outlineLevel="0" collapsed="false">
      <c r="A190" s="1" t="n">
        <v>186</v>
      </c>
      <c r="B190" s="11" t="n">
        <f aca="false">A190/12</f>
        <v>15.5</v>
      </c>
      <c r="C190" s="34" t="n">
        <f aca="false">INT(B190)</f>
        <v>15</v>
      </c>
      <c r="D190" s="11" t="n">
        <f aca="false">B190-C190</f>
        <v>0.5</v>
      </c>
      <c r="E190" s="30" t="n">
        <f aca="false">INDEX(Discount!$C$4:$C$59,C190+1)</f>
        <v>0.631942752983253</v>
      </c>
      <c r="F190" s="30" t="n">
        <f aca="false">IF(C190+2&gt;56,INDEX(Discount!$C$4:$C$59,56),INDEX(Discount!$C$4:$C$59,C190+2))</f>
        <v>0.609864478767281</v>
      </c>
      <c r="G190" s="30" t="n">
        <f aca="false">IF(D190=0,E190,EXP((1-D190)*LN(E190)+D190*LN(F190)))</f>
        <v>0.620805474894425</v>
      </c>
    </row>
    <row r="191" customFormat="false" ht="15" hidden="false" customHeight="true" outlineLevel="0" collapsed="false">
      <c r="A191" s="1" t="n">
        <v>187</v>
      </c>
      <c r="B191" s="11" t="n">
        <f aca="false">A191/12</f>
        <v>15.5833333333333</v>
      </c>
      <c r="C191" s="34" t="n">
        <f aca="false">INT(B191)</f>
        <v>15</v>
      </c>
      <c r="D191" s="11" t="n">
        <f aca="false">B191-C191</f>
        <v>0.583333333333334</v>
      </c>
      <c r="E191" s="30" t="n">
        <f aca="false">INDEX(Discount!$C$4:$C$59,C191+1)</f>
        <v>0.631942752983253</v>
      </c>
      <c r="F191" s="30" t="n">
        <f aca="false">IF(C191+2&gt;56,INDEX(Discount!$C$4:$C$59,56),INDEX(Discount!$C$4:$C$59,C191+2))</f>
        <v>0.609864478767281</v>
      </c>
      <c r="G191" s="30" t="n">
        <f aca="false">IF(D191=0,E191,EXP((1-D191)*LN(E191)+D191*LN(F191)))</f>
        <v>0.618968439031411</v>
      </c>
    </row>
    <row r="192" customFormat="false" ht="15" hidden="false" customHeight="true" outlineLevel="0" collapsed="false">
      <c r="A192" s="1" t="n">
        <v>188</v>
      </c>
      <c r="B192" s="11" t="n">
        <f aca="false">A192/12</f>
        <v>15.6666666666667</v>
      </c>
      <c r="C192" s="34" t="n">
        <f aca="false">INT(B192)</f>
        <v>15</v>
      </c>
      <c r="D192" s="11" t="n">
        <f aca="false">B192-C192</f>
        <v>0.666666666666666</v>
      </c>
      <c r="E192" s="30" t="n">
        <f aca="false">INDEX(Discount!$C$4:$C$59,C192+1)</f>
        <v>0.631942752983253</v>
      </c>
      <c r="F192" s="30" t="n">
        <f aca="false">IF(C192+2&gt;56,INDEX(Discount!$C$4:$C$59,56),INDEX(Discount!$C$4:$C$59,C192+2))</f>
        <v>0.609864478767281</v>
      </c>
      <c r="G192" s="30" t="n">
        <f aca="false">IF(D192=0,E192,EXP((1-D192)*LN(E192)+D192*LN(F192)))</f>
        <v>0.617136839171942</v>
      </c>
    </row>
    <row r="193" customFormat="false" ht="15" hidden="false" customHeight="true" outlineLevel="0" collapsed="false">
      <c r="A193" s="1" t="n">
        <v>189</v>
      </c>
      <c r="B193" s="11" t="n">
        <f aca="false">A193/12</f>
        <v>15.75</v>
      </c>
      <c r="C193" s="34" t="n">
        <f aca="false">INT(B193)</f>
        <v>15</v>
      </c>
      <c r="D193" s="11" t="n">
        <f aca="false">B193-C193</f>
        <v>0.75</v>
      </c>
      <c r="E193" s="30" t="n">
        <f aca="false">INDEX(Discount!$C$4:$C$59,C193+1)</f>
        <v>0.631942752983253</v>
      </c>
      <c r="F193" s="30" t="n">
        <f aca="false">IF(C193+2&gt;56,INDEX(Discount!$C$4:$C$59,56),INDEX(Discount!$C$4:$C$59,C193+2))</f>
        <v>0.609864478767281</v>
      </c>
      <c r="G193" s="30" t="n">
        <f aca="false">IF(D193=0,E193,EXP((1-D193)*LN(E193)+D193*LN(F193)))</f>
        <v>0.615310659230248</v>
      </c>
    </row>
    <row r="194" customFormat="false" ht="15" hidden="false" customHeight="true" outlineLevel="0" collapsed="false">
      <c r="A194" s="1" t="n">
        <v>190</v>
      </c>
      <c r="B194" s="11" t="n">
        <f aca="false">A194/12</f>
        <v>15.8333333333333</v>
      </c>
      <c r="C194" s="34" t="n">
        <f aca="false">INT(B194)</f>
        <v>15</v>
      </c>
      <c r="D194" s="11" t="n">
        <f aca="false">B194-C194</f>
        <v>0.833333333333334</v>
      </c>
      <c r="E194" s="30" t="n">
        <f aca="false">INDEX(Discount!$C$4:$C$59,C194+1)</f>
        <v>0.631942752983253</v>
      </c>
      <c r="F194" s="30" t="n">
        <f aca="false">IF(C194+2&gt;56,INDEX(Discount!$C$4:$C$59,56),INDEX(Discount!$C$4:$C$59,C194+2))</f>
        <v>0.609864478767281</v>
      </c>
      <c r="G194" s="30" t="n">
        <f aca="false">IF(D194=0,E194,EXP((1-D194)*LN(E194)+D194*LN(F194)))</f>
        <v>0.613489883168161</v>
      </c>
    </row>
    <row r="195" customFormat="false" ht="15" hidden="false" customHeight="true" outlineLevel="0" collapsed="false">
      <c r="A195" s="1" t="n">
        <v>191</v>
      </c>
      <c r="B195" s="11" t="n">
        <f aca="false">A195/12</f>
        <v>15.9166666666667</v>
      </c>
      <c r="C195" s="34" t="n">
        <f aca="false">INT(B195)</f>
        <v>15</v>
      </c>
      <c r="D195" s="11" t="n">
        <f aca="false">B195-C195</f>
        <v>0.916666666666666</v>
      </c>
      <c r="E195" s="30" t="n">
        <f aca="false">INDEX(Discount!$C$4:$C$59,C195+1)</f>
        <v>0.631942752983253</v>
      </c>
      <c r="F195" s="30" t="n">
        <f aca="false">IF(C195+2&gt;56,INDEX(Discount!$C$4:$C$59,56),INDEX(Discount!$C$4:$C$59,C195+2))</f>
        <v>0.609864478767281</v>
      </c>
      <c r="G195" s="30" t="n">
        <f aca="false">IF(D195=0,E195,EXP((1-D195)*LN(E195)+D195*LN(F195)))</f>
        <v>0.611674494994969</v>
      </c>
    </row>
    <row r="196" customFormat="false" ht="15" hidden="false" customHeight="true" outlineLevel="0" collapsed="false">
      <c r="A196" s="1" t="n">
        <v>192</v>
      </c>
      <c r="B196" s="11" t="n">
        <f aca="false">A196/12</f>
        <v>16</v>
      </c>
      <c r="C196" s="34" t="n">
        <f aca="false">INT(B196)</f>
        <v>16</v>
      </c>
      <c r="D196" s="11" t="n">
        <f aca="false">B196-C196</f>
        <v>0</v>
      </c>
      <c r="E196" s="30" t="n">
        <f aca="false">INDEX(Discount!$C$4:$C$59,C196+1)</f>
        <v>0.609864478767281</v>
      </c>
      <c r="F196" s="30" t="n">
        <f aca="false">IF(C196+2&gt;56,INDEX(Discount!$C$4:$C$59,56),INDEX(Discount!$C$4:$C$59,C196+2))</f>
        <v>0.589649060111137</v>
      </c>
      <c r="G196" s="30" t="n">
        <f aca="false">IF(D196=0,E196,EXP((1-D196)*LN(E196)+D196*LN(F196)))</f>
        <v>0.609864478767281</v>
      </c>
    </row>
    <row r="197" customFormat="false" ht="15" hidden="false" customHeight="true" outlineLevel="0" collapsed="false">
      <c r="A197" s="1" t="n">
        <v>193</v>
      </c>
      <c r="B197" s="11" t="n">
        <f aca="false">A197/12</f>
        <v>16.0833333333333</v>
      </c>
      <c r="C197" s="34" t="n">
        <f aca="false">INT(B197)</f>
        <v>16</v>
      </c>
      <c r="D197" s="11" t="n">
        <f aca="false">B197-C197</f>
        <v>0.0833333333333322</v>
      </c>
      <c r="E197" s="30" t="n">
        <f aca="false">INDEX(Discount!$C$4:$C$59,C197+1)</f>
        <v>0.609864478767281</v>
      </c>
      <c r="F197" s="30" t="n">
        <f aca="false">IF(C197+2&gt;56,INDEX(Discount!$C$4:$C$59,56),INDEX(Discount!$C$4:$C$59,C197+2))</f>
        <v>0.589649060111137</v>
      </c>
      <c r="G197" s="30" t="n">
        <f aca="false">IF(D197=0,E197,EXP((1-D197)*LN(E197)+D197*LN(F197)))</f>
        <v>0.608153711429605</v>
      </c>
    </row>
    <row r="198" customFormat="false" ht="15" hidden="false" customHeight="true" outlineLevel="0" collapsed="false">
      <c r="A198" s="1" t="n">
        <v>194</v>
      </c>
      <c r="B198" s="11" t="n">
        <f aca="false">A198/12</f>
        <v>16.1666666666667</v>
      </c>
      <c r="C198" s="34" t="n">
        <f aca="false">INT(B198)</f>
        <v>16</v>
      </c>
      <c r="D198" s="11" t="n">
        <f aca="false">B198-C198</f>
        <v>0.166666666666668</v>
      </c>
      <c r="E198" s="30" t="n">
        <f aca="false">INDEX(Discount!$C$4:$C$59,C198+1)</f>
        <v>0.609864478767281</v>
      </c>
      <c r="F198" s="30" t="n">
        <f aca="false">IF(C198+2&gt;56,INDEX(Discount!$C$4:$C$59,56),INDEX(Discount!$C$4:$C$59,C198+2))</f>
        <v>0.589649060111137</v>
      </c>
      <c r="G198" s="30" t="n">
        <f aca="false">IF(D198=0,E198,EXP((1-D198)*LN(E198)+D198*LN(F198)))</f>
        <v>0.606447743067742</v>
      </c>
    </row>
    <row r="199" customFormat="false" ht="15" hidden="false" customHeight="true" outlineLevel="0" collapsed="false">
      <c r="A199" s="1" t="n">
        <v>195</v>
      </c>
      <c r="B199" s="11" t="n">
        <f aca="false">A199/12</f>
        <v>16.25</v>
      </c>
      <c r="C199" s="34" t="n">
        <f aca="false">INT(B199)</f>
        <v>16</v>
      </c>
      <c r="D199" s="11" t="n">
        <f aca="false">B199-C199</f>
        <v>0.25</v>
      </c>
      <c r="E199" s="30" t="n">
        <f aca="false">INDEX(Discount!$C$4:$C$59,C199+1)</f>
        <v>0.609864478767281</v>
      </c>
      <c r="F199" s="30" t="n">
        <f aca="false">IF(C199+2&gt;56,INDEX(Discount!$C$4:$C$59,56),INDEX(Discount!$C$4:$C$59,C199+2))</f>
        <v>0.589649060111137</v>
      </c>
      <c r="G199" s="30" t="n">
        <f aca="false">IF(D199=0,E199,EXP((1-D199)*LN(E199)+D199*LN(F199)))</f>
        <v>0.6047465602198</v>
      </c>
    </row>
    <row r="200" customFormat="false" ht="15" hidden="false" customHeight="true" outlineLevel="0" collapsed="false">
      <c r="A200" s="1" t="n">
        <v>196</v>
      </c>
      <c r="B200" s="11" t="n">
        <f aca="false">A200/12</f>
        <v>16.3333333333333</v>
      </c>
      <c r="C200" s="34" t="n">
        <f aca="false">INT(B200)</f>
        <v>16</v>
      </c>
      <c r="D200" s="11" t="n">
        <f aca="false">B200-C200</f>
        <v>0.333333333333332</v>
      </c>
      <c r="E200" s="30" t="n">
        <f aca="false">INDEX(Discount!$C$4:$C$59,C200+1)</f>
        <v>0.609864478767281</v>
      </c>
      <c r="F200" s="30" t="n">
        <f aca="false">IF(C200+2&gt;56,INDEX(Discount!$C$4:$C$59,56),INDEX(Discount!$C$4:$C$59,C200+2))</f>
        <v>0.589649060111137</v>
      </c>
      <c r="G200" s="30" t="n">
        <f aca="false">IF(D200=0,E200,EXP((1-D200)*LN(E200)+D200*LN(F200)))</f>
        <v>0.603050149461647</v>
      </c>
    </row>
    <row r="201" customFormat="false" ht="15" hidden="false" customHeight="true" outlineLevel="0" collapsed="false">
      <c r="A201" s="1" t="n">
        <v>197</v>
      </c>
      <c r="B201" s="11" t="n">
        <f aca="false">A201/12</f>
        <v>16.4166666666667</v>
      </c>
      <c r="C201" s="34" t="n">
        <f aca="false">INT(B201)</f>
        <v>16</v>
      </c>
      <c r="D201" s="11" t="n">
        <f aca="false">B201-C201</f>
        <v>0.416666666666668</v>
      </c>
      <c r="E201" s="30" t="n">
        <f aca="false">INDEX(Discount!$C$4:$C$59,C201+1)</f>
        <v>0.609864478767281</v>
      </c>
      <c r="F201" s="30" t="n">
        <f aca="false">IF(C201+2&gt;56,INDEX(Discount!$C$4:$C$59,56),INDEX(Discount!$C$4:$C$59,C201+2))</f>
        <v>0.589649060111137</v>
      </c>
      <c r="G201" s="30" t="n">
        <f aca="false">IF(D201=0,E201,EXP((1-D201)*LN(E201)+D201*LN(F201)))</f>
        <v>0.601358497406808</v>
      </c>
    </row>
    <row r="202" customFormat="false" ht="15" hidden="false" customHeight="true" outlineLevel="0" collapsed="false">
      <c r="A202" s="1" t="n">
        <v>198</v>
      </c>
      <c r="B202" s="11" t="n">
        <f aca="false">A202/12</f>
        <v>16.5</v>
      </c>
      <c r="C202" s="34" t="n">
        <f aca="false">INT(B202)</f>
        <v>16</v>
      </c>
      <c r="D202" s="11" t="n">
        <f aca="false">B202-C202</f>
        <v>0.5</v>
      </c>
      <c r="E202" s="30" t="n">
        <f aca="false">INDEX(Discount!$C$4:$C$59,C202+1)</f>
        <v>0.609864478767281</v>
      </c>
      <c r="F202" s="30" t="n">
        <f aca="false">IF(C202+2&gt;56,INDEX(Discount!$C$4:$C$59,56),INDEX(Discount!$C$4:$C$59,C202+2))</f>
        <v>0.589649060111137</v>
      </c>
      <c r="G202" s="30" t="n">
        <f aca="false">IF(D202=0,E202,EXP((1-D202)*LN(E202)+D202*LN(F202)))</f>
        <v>0.59967159070636</v>
      </c>
    </row>
    <row r="203" customFormat="false" ht="15" hidden="false" customHeight="true" outlineLevel="0" collapsed="false">
      <c r="A203" s="1" t="n">
        <v>199</v>
      </c>
      <c r="B203" s="11" t="n">
        <f aca="false">A203/12</f>
        <v>16.5833333333333</v>
      </c>
      <c r="C203" s="34" t="n">
        <f aca="false">INT(B203)</f>
        <v>16</v>
      </c>
      <c r="D203" s="11" t="n">
        <f aca="false">B203-C203</f>
        <v>0.583333333333332</v>
      </c>
      <c r="E203" s="30" t="n">
        <f aca="false">INDEX(Discount!$C$4:$C$59,C203+1)</f>
        <v>0.609864478767281</v>
      </c>
      <c r="F203" s="30" t="n">
        <f aca="false">IF(C203+2&gt;56,INDEX(Discount!$C$4:$C$59,56),INDEX(Discount!$C$4:$C$59,C203+2))</f>
        <v>0.589649060111137</v>
      </c>
      <c r="G203" s="30" t="n">
        <f aca="false">IF(D203=0,E203,EXP((1-D203)*LN(E203)+D203*LN(F203)))</f>
        <v>0.597989416048825</v>
      </c>
    </row>
    <row r="204" customFormat="false" ht="15" hidden="false" customHeight="true" outlineLevel="0" collapsed="false">
      <c r="A204" s="1" t="n">
        <v>200</v>
      </c>
      <c r="B204" s="11" t="n">
        <f aca="false">A204/12</f>
        <v>16.6666666666667</v>
      </c>
      <c r="C204" s="34" t="n">
        <f aca="false">INT(B204)</f>
        <v>16</v>
      </c>
      <c r="D204" s="11" t="n">
        <f aca="false">B204-C204</f>
        <v>0.666666666666668</v>
      </c>
      <c r="E204" s="30" t="n">
        <f aca="false">INDEX(Discount!$C$4:$C$59,C204+1)</f>
        <v>0.609864478767281</v>
      </c>
      <c r="F204" s="30" t="n">
        <f aca="false">IF(C204+2&gt;56,INDEX(Discount!$C$4:$C$59,56),INDEX(Discount!$C$4:$C$59,C204+2))</f>
        <v>0.589649060111137</v>
      </c>
      <c r="G204" s="30" t="n">
        <f aca="false">IF(D204=0,E204,EXP((1-D204)*LN(E204)+D204*LN(F204)))</f>
        <v>0.596311960160067</v>
      </c>
    </row>
    <row r="205" customFormat="false" ht="15" hidden="false" customHeight="true" outlineLevel="0" collapsed="false">
      <c r="A205" s="1" t="n">
        <v>201</v>
      </c>
      <c r="B205" s="11" t="n">
        <f aca="false">A205/12</f>
        <v>16.75</v>
      </c>
      <c r="C205" s="34" t="n">
        <f aca="false">INT(B205)</f>
        <v>16</v>
      </c>
      <c r="D205" s="11" t="n">
        <f aca="false">B205-C205</f>
        <v>0.75</v>
      </c>
      <c r="E205" s="30" t="n">
        <f aca="false">INDEX(Discount!$C$4:$C$59,C205+1)</f>
        <v>0.609864478767281</v>
      </c>
      <c r="F205" s="30" t="n">
        <f aca="false">IF(C205+2&gt;56,INDEX(Discount!$C$4:$C$59,56),INDEX(Discount!$C$4:$C$59,C205+2))</f>
        <v>0.589649060111137</v>
      </c>
      <c r="G205" s="30" t="n">
        <f aca="false">IF(D205=0,E205,EXP((1-D205)*LN(E205)+D205*LN(F205)))</f>
        <v>0.594639209803184</v>
      </c>
    </row>
    <row r="206" customFormat="false" ht="15" hidden="false" customHeight="true" outlineLevel="0" collapsed="false">
      <c r="A206" s="1" t="n">
        <v>202</v>
      </c>
      <c r="B206" s="11" t="n">
        <f aca="false">A206/12</f>
        <v>16.8333333333333</v>
      </c>
      <c r="C206" s="34" t="n">
        <f aca="false">INT(B206)</f>
        <v>16</v>
      </c>
      <c r="D206" s="11" t="n">
        <f aca="false">B206-C206</f>
        <v>0.833333333333332</v>
      </c>
      <c r="E206" s="30" t="n">
        <f aca="false">INDEX(Discount!$C$4:$C$59,C206+1)</f>
        <v>0.609864478767281</v>
      </c>
      <c r="F206" s="30" t="n">
        <f aca="false">IF(C206+2&gt;56,INDEX(Discount!$C$4:$C$59,56),INDEX(Discount!$C$4:$C$59,C206+2))</f>
        <v>0.589649060111137</v>
      </c>
      <c r="G206" s="30" t="n">
        <f aca="false">IF(D206=0,E206,EXP((1-D206)*LN(E206)+D206*LN(F206)))</f>
        <v>0.592971151778409</v>
      </c>
    </row>
    <row r="207" customFormat="false" ht="15" hidden="false" customHeight="true" outlineLevel="0" collapsed="false">
      <c r="A207" s="1" t="n">
        <v>203</v>
      </c>
      <c r="B207" s="11" t="n">
        <f aca="false">A207/12</f>
        <v>16.9166666666667</v>
      </c>
      <c r="C207" s="34" t="n">
        <f aca="false">INT(B207)</f>
        <v>16</v>
      </c>
      <c r="D207" s="11" t="n">
        <f aca="false">B207-C207</f>
        <v>0.916666666666668</v>
      </c>
      <c r="E207" s="30" t="n">
        <f aca="false">INDEX(Discount!$C$4:$C$59,C207+1)</f>
        <v>0.609864478767281</v>
      </c>
      <c r="F207" s="30" t="n">
        <f aca="false">IF(C207+2&gt;56,INDEX(Discount!$C$4:$C$59,56),INDEX(Discount!$C$4:$C$59,C207+2))</f>
        <v>0.589649060111137</v>
      </c>
      <c r="G207" s="30" t="n">
        <f aca="false">IF(D207=0,E207,EXP((1-D207)*LN(E207)+D207*LN(F207)))</f>
        <v>0.591307772922999</v>
      </c>
    </row>
    <row r="208" customFormat="false" ht="15" hidden="false" customHeight="true" outlineLevel="0" collapsed="false">
      <c r="A208" s="1" t="n">
        <v>204</v>
      </c>
      <c r="B208" s="11" t="n">
        <f aca="false">A208/12</f>
        <v>17</v>
      </c>
      <c r="C208" s="34" t="n">
        <f aca="false">INT(B208)</f>
        <v>17</v>
      </c>
      <c r="D208" s="11" t="n">
        <f aca="false">B208-C208</f>
        <v>0</v>
      </c>
      <c r="E208" s="30" t="n">
        <f aca="false">INDEX(Discount!$C$4:$C$59,C208+1)</f>
        <v>0.589649060111137</v>
      </c>
      <c r="F208" s="30" t="n">
        <f aca="false">IF(C208+2&gt;56,INDEX(Discount!$C$4:$C$59,56),INDEX(Discount!$C$4:$C$59,C208+2))</f>
        <v>0.570712145170615</v>
      </c>
      <c r="G208" s="30" t="n">
        <f aca="false">IF(D208=0,E208,EXP((1-D208)*LN(E208)+D208*LN(F208)))</f>
        <v>0.589649060111137</v>
      </c>
    </row>
    <row r="209" customFormat="false" ht="15" hidden="false" customHeight="true" outlineLevel="0" collapsed="false">
      <c r="A209" s="1" t="n">
        <v>205</v>
      </c>
      <c r="B209" s="11" t="n">
        <f aca="false">A209/12</f>
        <v>17.0833333333333</v>
      </c>
      <c r="C209" s="34" t="n">
        <f aca="false">INT(B209)</f>
        <v>17</v>
      </c>
      <c r="D209" s="11" t="n">
        <f aca="false">B209-C209</f>
        <v>0.0833333333333322</v>
      </c>
      <c r="E209" s="30" t="n">
        <f aca="false">INDEX(Discount!$C$4:$C$59,C209+1)</f>
        <v>0.589649060111137</v>
      </c>
      <c r="F209" s="30" t="n">
        <f aca="false">IF(C209+2&gt;56,INDEX(Discount!$C$4:$C$59,56),INDEX(Discount!$C$4:$C$59,C209+2))</f>
        <v>0.570712145170615</v>
      </c>
      <c r="G209" s="30" t="n">
        <f aca="false">IF(D209=0,E209,EXP((1-D209)*LN(E209)+D209*LN(F209)))</f>
        <v>0.588047267096042</v>
      </c>
    </row>
    <row r="210" customFormat="false" ht="15" hidden="false" customHeight="true" outlineLevel="0" collapsed="false">
      <c r="A210" s="1" t="n">
        <v>206</v>
      </c>
      <c r="B210" s="11" t="n">
        <f aca="false">A210/12</f>
        <v>17.1666666666667</v>
      </c>
      <c r="C210" s="34" t="n">
        <f aca="false">INT(B210)</f>
        <v>17</v>
      </c>
      <c r="D210" s="11" t="n">
        <f aca="false">B210-C210</f>
        <v>0.166666666666668</v>
      </c>
      <c r="E210" s="30" t="n">
        <f aca="false">INDEX(Discount!$C$4:$C$59,C210+1)</f>
        <v>0.589649060111137</v>
      </c>
      <c r="F210" s="30" t="n">
        <f aca="false">IF(C210+2&gt;56,INDEX(Discount!$C$4:$C$59,56),INDEX(Discount!$C$4:$C$59,C210+2))</f>
        <v>0.570712145170615</v>
      </c>
      <c r="G210" s="30" t="n">
        <f aca="false">IF(D210=0,E210,EXP((1-D210)*LN(E210)+D210*LN(F210)))</f>
        <v>0.586449825382487</v>
      </c>
    </row>
    <row r="211" customFormat="false" ht="15" hidden="false" customHeight="true" outlineLevel="0" collapsed="false">
      <c r="A211" s="1" t="n">
        <v>207</v>
      </c>
      <c r="B211" s="11" t="n">
        <f aca="false">A211/12</f>
        <v>17.25</v>
      </c>
      <c r="C211" s="34" t="n">
        <f aca="false">INT(B211)</f>
        <v>17</v>
      </c>
      <c r="D211" s="11" t="n">
        <f aca="false">B211-C211</f>
        <v>0.25</v>
      </c>
      <c r="E211" s="30" t="n">
        <f aca="false">INDEX(Discount!$C$4:$C$59,C211+1)</f>
        <v>0.589649060111137</v>
      </c>
      <c r="F211" s="30" t="n">
        <f aca="false">IF(C211+2&gt;56,INDEX(Discount!$C$4:$C$59,56),INDEX(Discount!$C$4:$C$59,C211+2))</f>
        <v>0.570712145170615</v>
      </c>
      <c r="G211" s="30" t="n">
        <f aca="false">IF(D211=0,E211,EXP((1-D211)*LN(E211)+D211*LN(F211)))</f>
        <v>0.584856723150077</v>
      </c>
    </row>
    <row r="212" customFormat="false" ht="15" hidden="false" customHeight="true" outlineLevel="0" collapsed="false">
      <c r="A212" s="1" t="n">
        <v>208</v>
      </c>
      <c r="B212" s="11" t="n">
        <f aca="false">A212/12</f>
        <v>17.3333333333333</v>
      </c>
      <c r="C212" s="34" t="n">
        <f aca="false">INT(B212)</f>
        <v>17</v>
      </c>
      <c r="D212" s="11" t="n">
        <f aca="false">B212-C212</f>
        <v>0.333333333333332</v>
      </c>
      <c r="E212" s="30" t="n">
        <f aca="false">INDEX(Discount!$C$4:$C$59,C212+1)</f>
        <v>0.589649060111137</v>
      </c>
      <c r="F212" s="30" t="n">
        <f aca="false">IF(C212+2&gt;56,INDEX(Discount!$C$4:$C$59,56),INDEX(Discount!$C$4:$C$59,C212+2))</f>
        <v>0.570712145170615</v>
      </c>
      <c r="G212" s="30" t="n">
        <f aca="false">IF(D212=0,E212,EXP((1-D212)*LN(E212)+D212*LN(F212)))</f>
        <v>0.583267948610529</v>
      </c>
    </row>
    <row r="213" customFormat="false" ht="15" hidden="false" customHeight="true" outlineLevel="0" collapsed="false">
      <c r="A213" s="1" t="n">
        <v>209</v>
      </c>
      <c r="B213" s="11" t="n">
        <f aca="false">A213/12</f>
        <v>17.4166666666667</v>
      </c>
      <c r="C213" s="34" t="n">
        <f aca="false">INT(B213)</f>
        <v>17</v>
      </c>
      <c r="D213" s="11" t="n">
        <f aca="false">B213-C213</f>
        <v>0.416666666666668</v>
      </c>
      <c r="E213" s="30" t="n">
        <f aca="false">INDEX(Discount!$C$4:$C$59,C213+1)</f>
        <v>0.589649060111137</v>
      </c>
      <c r="F213" s="30" t="n">
        <f aca="false">IF(C213+2&gt;56,INDEX(Discount!$C$4:$C$59,56),INDEX(Discount!$C$4:$C$59,C213+2))</f>
        <v>0.570712145170615</v>
      </c>
      <c r="G213" s="30" t="n">
        <f aca="false">IF(D213=0,E213,EXP((1-D213)*LN(E213)+D213*LN(F213)))</f>
        <v>0.581683490007581</v>
      </c>
    </row>
    <row r="214" customFormat="false" ht="15" hidden="false" customHeight="true" outlineLevel="0" collapsed="false">
      <c r="A214" s="1" t="n">
        <v>210</v>
      </c>
      <c r="B214" s="11" t="n">
        <f aca="false">A214/12</f>
        <v>17.5</v>
      </c>
      <c r="C214" s="34" t="n">
        <f aca="false">INT(B214)</f>
        <v>17</v>
      </c>
      <c r="D214" s="11" t="n">
        <f aca="false">B214-C214</f>
        <v>0.5</v>
      </c>
      <c r="E214" s="30" t="n">
        <f aca="false">INDEX(Discount!$C$4:$C$59,C214+1)</f>
        <v>0.589649060111137</v>
      </c>
      <c r="F214" s="30" t="n">
        <f aca="false">IF(C214+2&gt;56,INDEX(Discount!$C$4:$C$59,56),INDEX(Discount!$C$4:$C$59,C214+2))</f>
        <v>0.570712145170615</v>
      </c>
      <c r="G214" s="30" t="n">
        <f aca="false">IF(D214=0,E214,EXP((1-D214)*LN(E214)+D214*LN(F214)))</f>
        <v>0.580103335616909</v>
      </c>
    </row>
    <row r="215" customFormat="false" ht="15" hidden="false" customHeight="true" outlineLevel="0" collapsed="false">
      <c r="A215" s="1" t="n">
        <v>211</v>
      </c>
      <c r="B215" s="11" t="n">
        <f aca="false">A215/12</f>
        <v>17.5833333333333</v>
      </c>
      <c r="C215" s="34" t="n">
        <f aca="false">INT(B215)</f>
        <v>17</v>
      </c>
      <c r="D215" s="11" t="n">
        <f aca="false">B215-C215</f>
        <v>0.583333333333332</v>
      </c>
      <c r="E215" s="30" t="n">
        <f aca="false">INDEX(Discount!$C$4:$C$59,C215+1)</f>
        <v>0.589649060111137</v>
      </c>
      <c r="F215" s="30" t="n">
        <f aca="false">IF(C215+2&gt;56,INDEX(Discount!$C$4:$C$59,56),INDEX(Discount!$C$4:$C$59,C215+2))</f>
        <v>0.570712145170615</v>
      </c>
      <c r="G215" s="30" t="n">
        <f aca="false">IF(D215=0,E215,EXP((1-D215)*LN(E215)+D215*LN(F215)))</f>
        <v>0.578527473746037</v>
      </c>
    </row>
    <row r="216" customFormat="false" ht="15" hidden="false" customHeight="true" outlineLevel="0" collapsed="false">
      <c r="A216" s="1" t="n">
        <v>212</v>
      </c>
      <c r="B216" s="11" t="n">
        <f aca="false">A216/12</f>
        <v>17.6666666666667</v>
      </c>
      <c r="C216" s="34" t="n">
        <f aca="false">INT(B216)</f>
        <v>17</v>
      </c>
      <c r="D216" s="11" t="n">
        <f aca="false">B216-C216</f>
        <v>0.666666666666668</v>
      </c>
      <c r="E216" s="30" t="n">
        <f aca="false">INDEX(Discount!$C$4:$C$59,C216+1)</f>
        <v>0.589649060111137</v>
      </c>
      <c r="F216" s="30" t="n">
        <f aca="false">IF(C216+2&gt;56,INDEX(Discount!$C$4:$C$59,56),INDEX(Discount!$C$4:$C$59,C216+2))</f>
        <v>0.570712145170615</v>
      </c>
      <c r="G216" s="30" t="n">
        <f aca="false">IF(D216=0,E216,EXP((1-D216)*LN(E216)+D216*LN(F216)))</f>
        <v>0.576955892734253</v>
      </c>
    </row>
    <row r="217" customFormat="false" ht="15" hidden="false" customHeight="true" outlineLevel="0" collapsed="false">
      <c r="A217" s="1" t="n">
        <v>213</v>
      </c>
      <c r="B217" s="11" t="n">
        <f aca="false">A217/12</f>
        <v>17.75</v>
      </c>
      <c r="C217" s="34" t="n">
        <f aca="false">INT(B217)</f>
        <v>17</v>
      </c>
      <c r="D217" s="11" t="n">
        <f aca="false">B217-C217</f>
        <v>0.75</v>
      </c>
      <c r="E217" s="30" t="n">
        <f aca="false">INDEX(Discount!$C$4:$C$59,C217+1)</f>
        <v>0.589649060111137</v>
      </c>
      <c r="F217" s="30" t="n">
        <f aca="false">IF(C217+2&gt;56,INDEX(Discount!$C$4:$C$59,56),INDEX(Discount!$C$4:$C$59,C217+2))</f>
        <v>0.570712145170615</v>
      </c>
      <c r="G217" s="30" t="n">
        <f aca="false">IF(D217=0,E217,EXP((1-D217)*LN(E217)+D217*LN(F217)))</f>
        <v>0.57538858095252</v>
      </c>
    </row>
    <row r="218" customFormat="false" ht="15" hidden="false" customHeight="true" outlineLevel="0" collapsed="false">
      <c r="A218" s="1" t="n">
        <v>214</v>
      </c>
      <c r="B218" s="11" t="n">
        <f aca="false">A218/12</f>
        <v>17.8333333333333</v>
      </c>
      <c r="C218" s="34" t="n">
        <f aca="false">INT(B218)</f>
        <v>17</v>
      </c>
      <c r="D218" s="11" t="n">
        <f aca="false">B218-C218</f>
        <v>0.833333333333332</v>
      </c>
      <c r="E218" s="30" t="n">
        <f aca="false">INDEX(Discount!$C$4:$C$59,C218+1)</f>
        <v>0.589649060111137</v>
      </c>
      <c r="F218" s="30" t="n">
        <f aca="false">IF(C218+2&gt;56,INDEX(Discount!$C$4:$C$59,56),INDEX(Discount!$C$4:$C$59,C218+2))</f>
        <v>0.570712145170615</v>
      </c>
      <c r="G218" s="30" t="n">
        <f aca="false">IF(D218=0,E218,EXP((1-D218)*LN(E218)+D218*LN(F218)))</f>
        <v>0.573825526803394</v>
      </c>
    </row>
    <row r="219" customFormat="false" ht="15" hidden="false" customHeight="true" outlineLevel="0" collapsed="false">
      <c r="A219" s="1" t="n">
        <v>215</v>
      </c>
      <c r="B219" s="11" t="n">
        <f aca="false">A219/12</f>
        <v>17.9166666666667</v>
      </c>
      <c r="C219" s="34" t="n">
        <f aca="false">INT(B219)</f>
        <v>17</v>
      </c>
      <c r="D219" s="11" t="n">
        <f aca="false">B219-C219</f>
        <v>0.916666666666668</v>
      </c>
      <c r="E219" s="30" t="n">
        <f aca="false">INDEX(Discount!$C$4:$C$59,C219+1)</f>
        <v>0.589649060111137</v>
      </c>
      <c r="F219" s="30" t="n">
        <f aca="false">IF(C219+2&gt;56,INDEX(Discount!$C$4:$C$59,56),INDEX(Discount!$C$4:$C$59,C219+2))</f>
        <v>0.570712145170615</v>
      </c>
      <c r="G219" s="30" t="n">
        <f aca="false">IF(D219=0,E219,EXP((1-D219)*LN(E219)+D219*LN(F219)))</f>
        <v>0.572266718720932</v>
      </c>
    </row>
    <row r="220" customFormat="false" ht="15" hidden="false" customHeight="true" outlineLevel="0" collapsed="false">
      <c r="A220" s="1" t="n">
        <v>216</v>
      </c>
      <c r="B220" s="11" t="n">
        <f aca="false">A220/12</f>
        <v>18</v>
      </c>
      <c r="C220" s="34" t="n">
        <f aca="false">INT(B220)</f>
        <v>18</v>
      </c>
      <c r="D220" s="11" t="n">
        <f aca="false">B220-C220</f>
        <v>0</v>
      </c>
      <c r="E220" s="30" t="n">
        <f aca="false">INDEX(Discount!$C$4:$C$59,C220+1)</f>
        <v>0.570712145170615</v>
      </c>
      <c r="F220" s="30" t="n">
        <f aca="false">IF(C220+2&gt;56,INDEX(Discount!$C$4:$C$59,56),INDEX(Discount!$C$4:$C$59,C220+2))</f>
        <v>0.552897698820573</v>
      </c>
      <c r="G220" s="30" t="n">
        <f aca="false">IF(D220=0,E220,EXP((1-D220)*LN(E220)+D220*LN(F220)))</f>
        <v>0.570712145170615</v>
      </c>
    </row>
    <row r="221" customFormat="false" ht="15" hidden="false" customHeight="true" outlineLevel="0" collapsed="false">
      <c r="A221" s="1" t="n">
        <v>217</v>
      </c>
      <c r="B221" s="11" t="n">
        <f aca="false">A221/12</f>
        <v>18.0833333333333</v>
      </c>
      <c r="C221" s="34" t="n">
        <f aca="false">INT(B221)</f>
        <v>18</v>
      </c>
      <c r="D221" s="11" t="n">
        <f aca="false">B221-C221</f>
        <v>0.0833333333333322</v>
      </c>
      <c r="E221" s="30" t="n">
        <f aca="false">INDEX(Discount!$C$4:$C$59,C221+1)</f>
        <v>0.570712145170615</v>
      </c>
      <c r="F221" s="30" t="n">
        <f aca="false">IF(C221+2&gt;56,INDEX(Discount!$C$4:$C$59,56),INDEX(Discount!$C$4:$C$59,C221+2))</f>
        <v>0.552897698820573</v>
      </c>
      <c r="G221" s="30" t="n">
        <f aca="false">IF(D221=0,E221,EXP((1-D221)*LN(E221)+D221*LN(F221)))</f>
        <v>0.569205935848282</v>
      </c>
    </row>
    <row r="222" customFormat="false" ht="15" hidden="false" customHeight="true" outlineLevel="0" collapsed="false">
      <c r="A222" s="1" t="n">
        <v>218</v>
      </c>
      <c r="B222" s="11" t="n">
        <f aca="false">A222/12</f>
        <v>18.1666666666667</v>
      </c>
      <c r="C222" s="34" t="n">
        <f aca="false">INT(B222)</f>
        <v>18</v>
      </c>
      <c r="D222" s="11" t="n">
        <f aca="false">B222-C222</f>
        <v>0.166666666666668</v>
      </c>
      <c r="E222" s="30" t="n">
        <f aca="false">INDEX(Discount!$C$4:$C$59,C222+1)</f>
        <v>0.570712145170615</v>
      </c>
      <c r="F222" s="30" t="n">
        <f aca="false">IF(C222+2&gt;56,INDEX(Discount!$C$4:$C$59,56),INDEX(Discount!$C$4:$C$59,C222+2))</f>
        <v>0.552897698820573</v>
      </c>
      <c r="G222" s="30" t="n">
        <f aca="false">IF(D222=0,E222,EXP((1-D222)*LN(E222)+D222*LN(F222)))</f>
        <v>0.567703701676193</v>
      </c>
    </row>
    <row r="223" customFormat="false" ht="15" hidden="false" customHeight="true" outlineLevel="0" collapsed="false">
      <c r="A223" s="1" t="n">
        <v>219</v>
      </c>
      <c r="B223" s="11" t="n">
        <f aca="false">A223/12</f>
        <v>18.25</v>
      </c>
      <c r="C223" s="34" t="n">
        <f aca="false">INT(B223)</f>
        <v>18</v>
      </c>
      <c r="D223" s="11" t="n">
        <f aca="false">B223-C223</f>
        <v>0.25</v>
      </c>
      <c r="E223" s="30" t="n">
        <f aca="false">INDEX(Discount!$C$4:$C$59,C223+1)</f>
        <v>0.570712145170615</v>
      </c>
      <c r="F223" s="30" t="n">
        <f aca="false">IF(C223+2&gt;56,INDEX(Discount!$C$4:$C$59,56),INDEX(Discount!$C$4:$C$59,C223+2))</f>
        <v>0.552897698820573</v>
      </c>
      <c r="G223" s="30" t="n">
        <f aca="false">IF(D223=0,E223,EXP((1-D223)*LN(E223)+D223*LN(F223)))</f>
        <v>0.56620543216323</v>
      </c>
    </row>
    <row r="224" customFormat="false" ht="15" hidden="false" customHeight="true" outlineLevel="0" collapsed="false">
      <c r="A224" s="1" t="n">
        <v>220</v>
      </c>
      <c r="B224" s="11" t="n">
        <f aca="false">A224/12</f>
        <v>18.3333333333333</v>
      </c>
      <c r="C224" s="34" t="n">
        <f aca="false">INT(B224)</f>
        <v>18</v>
      </c>
      <c r="D224" s="11" t="n">
        <f aca="false">B224-C224</f>
        <v>0.333333333333332</v>
      </c>
      <c r="E224" s="30" t="n">
        <f aca="false">INDEX(Discount!$C$4:$C$59,C224+1)</f>
        <v>0.570712145170615</v>
      </c>
      <c r="F224" s="30" t="n">
        <f aca="false">IF(C224+2&gt;56,INDEX(Discount!$C$4:$C$59,56),INDEX(Discount!$C$4:$C$59,C224+2))</f>
        <v>0.552897698820573</v>
      </c>
      <c r="G224" s="30" t="n">
        <f aca="false">IF(D224=0,E224,EXP((1-D224)*LN(E224)+D224*LN(F224)))</f>
        <v>0.564711116845961</v>
      </c>
    </row>
    <row r="225" customFormat="false" ht="15" hidden="false" customHeight="true" outlineLevel="0" collapsed="false">
      <c r="A225" s="1" t="n">
        <v>221</v>
      </c>
      <c r="B225" s="11" t="n">
        <f aca="false">A225/12</f>
        <v>18.4166666666667</v>
      </c>
      <c r="C225" s="34" t="n">
        <f aca="false">INT(B225)</f>
        <v>18</v>
      </c>
      <c r="D225" s="11" t="n">
        <f aca="false">B225-C225</f>
        <v>0.416666666666668</v>
      </c>
      <c r="E225" s="30" t="n">
        <f aca="false">INDEX(Discount!$C$4:$C$59,C225+1)</f>
        <v>0.570712145170615</v>
      </c>
      <c r="F225" s="30" t="n">
        <f aca="false">IF(C225+2&gt;56,INDEX(Discount!$C$4:$C$59,56),INDEX(Discount!$C$4:$C$59,C225+2))</f>
        <v>0.552897698820573</v>
      </c>
      <c r="G225" s="30" t="n">
        <f aca="false">IF(D225=0,E225,EXP((1-D225)*LN(E225)+D225*LN(F225)))</f>
        <v>0.563220745288574</v>
      </c>
    </row>
    <row r="226" customFormat="false" ht="15" hidden="false" customHeight="true" outlineLevel="0" collapsed="false">
      <c r="A226" s="1" t="n">
        <v>222</v>
      </c>
      <c r="B226" s="11" t="n">
        <f aca="false">A226/12</f>
        <v>18.5</v>
      </c>
      <c r="C226" s="34" t="n">
        <f aca="false">INT(B226)</f>
        <v>18</v>
      </c>
      <c r="D226" s="11" t="n">
        <f aca="false">B226-C226</f>
        <v>0.5</v>
      </c>
      <c r="E226" s="30" t="n">
        <f aca="false">INDEX(Discount!$C$4:$C$59,C226+1)</f>
        <v>0.570712145170615</v>
      </c>
      <c r="F226" s="30" t="n">
        <f aca="false">IF(C226+2&gt;56,INDEX(Discount!$C$4:$C$59,56),INDEX(Discount!$C$4:$C$59,C226+2))</f>
        <v>0.552897698820573</v>
      </c>
      <c r="G226" s="30" t="n">
        <f aca="false">IF(D226=0,E226,EXP((1-D226)*LN(E226)+D226*LN(F226)))</f>
        <v>0.561734307082793</v>
      </c>
    </row>
    <row r="227" customFormat="false" ht="15" hidden="false" customHeight="true" outlineLevel="0" collapsed="false">
      <c r="A227" s="1" t="n">
        <v>223</v>
      </c>
      <c r="B227" s="11" t="n">
        <f aca="false">A227/12</f>
        <v>18.5833333333333</v>
      </c>
      <c r="C227" s="34" t="n">
        <f aca="false">INT(B227)</f>
        <v>18</v>
      </c>
      <c r="D227" s="11" t="n">
        <f aca="false">B227-C227</f>
        <v>0.583333333333332</v>
      </c>
      <c r="E227" s="30" t="n">
        <f aca="false">INDEX(Discount!$C$4:$C$59,C227+1)</f>
        <v>0.570712145170615</v>
      </c>
      <c r="F227" s="30" t="n">
        <f aca="false">IF(C227+2&gt;56,INDEX(Discount!$C$4:$C$59,56),INDEX(Discount!$C$4:$C$59,C227+2))</f>
        <v>0.552897698820573</v>
      </c>
      <c r="G227" s="30" t="n">
        <f aca="false">IF(D227=0,E227,EXP((1-D227)*LN(E227)+D227*LN(F227)))</f>
        <v>0.560251791847816</v>
      </c>
    </row>
    <row r="228" customFormat="false" ht="15" hidden="false" customHeight="true" outlineLevel="0" collapsed="false">
      <c r="A228" s="1" t="n">
        <v>224</v>
      </c>
      <c r="B228" s="11" t="n">
        <f aca="false">A228/12</f>
        <v>18.6666666666667</v>
      </c>
      <c r="C228" s="34" t="n">
        <f aca="false">INT(B228)</f>
        <v>18</v>
      </c>
      <c r="D228" s="11" t="n">
        <f aca="false">B228-C228</f>
        <v>0.666666666666668</v>
      </c>
      <c r="E228" s="30" t="n">
        <f aca="false">INDEX(Discount!$C$4:$C$59,C228+1)</f>
        <v>0.570712145170615</v>
      </c>
      <c r="F228" s="30" t="n">
        <f aca="false">IF(C228+2&gt;56,INDEX(Discount!$C$4:$C$59,56),INDEX(Discount!$C$4:$C$59,C228+2))</f>
        <v>0.552897698820573</v>
      </c>
      <c r="G228" s="30" t="n">
        <f aca="false">IF(D228=0,E228,EXP((1-D228)*LN(E228)+D228*LN(F228)))</f>
        <v>0.558773189230235</v>
      </c>
    </row>
    <row r="229" customFormat="false" ht="15" hidden="false" customHeight="true" outlineLevel="0" collapsed="false">
      <c r="A229" s="1" t="n">
        <v>225</v>
      </c>
      <c r="B229" s="11" t="n">
        <f aca="false">A229/12</f>
        <v>18.75</v>
      </c>
      <c r="C229" s="34" t="n">
        <f aca="false">INT(B229)</f>
        <v>18</v>
      </c>
      <c r="D229" s="11" t="n">
        <f aca="false">B229-C229</f>
        <v>0.75</v>
      </c>
      <c r="E229" s="30" t="n">
        <f aca="false">INDEX(Discount!$C$4:$C$59,C229+1)</f>
        <v>0.570712145170615</v>
      </c>
      <c r="F229" s="30" t="n">
        <f aca="false">IF(C229+2&gt;56,INDEX(Discount!$C$4:$C$59,56),INDEX(Discount!$C$4:$C$59,C229+2))</f>
        <v>0.552897698820573</v>
      </c>
      <c r="G229" s="30" t="n">
        <f aca="false">IF(D229=0,E229,EXP((1-D229)*LN(E229)+D229*LN(F229)))</f>
        <v>0.557298488903967</v>
      </c>
    </row>
    <row r="230" customFormat="false" ht="15" hidden="false" customHeight="true" outlineLevel="0" collapsed="false">
      <c r="A230" s="1" t="n">
        <v>226</v>
      </c>
      <c r="B230" s="11" t="n">
        <f aca="false">A230/12</f>
        <v>18.8333333333333</v>
      </c>
      <c r="C230" s="34" t="n">
        <f aca="false">INT(B230)</f>
        <v>18</v>
      </c>
      <c r="D230" s="11" t="n">
        <f aca="false">B230-C230</f>
        <v>0.833333333333332</v>
      </c>
      <c r="E230" s="30" t="n">
        <f aca="false">INDEX(Discount!$C$4:$C$59,C230+1)</f>
        <v>0.570712145170615</v>
      </c>
      <c r="F230" s="30" t="n">
        <f aca="false">IF(C230+2&gt;56,INDEX(Discount!$C$4:$C$59,56),INDEX(Discount!$C$4:$C$59,C230+2))</f>
        <v>0.552897698820573</v>
      </c>
      <c r="G230" s="30" t="n">
        <f aca="false">IF(D230=0,E230,EXP((1-D230)*LN(E230)+D230*LN(F230)))</f>
        <v>0.555827680570183</v>
      </c>
    </row>
    <row r="231" customFormat="false" ht="15" hidden="false" customHeight="true" outlineLevel="0" collapsed="false">
      <c r="A231" s="1" t="n">
        <v>227</v>
      </c>
      <c r="B231" s="11" t="n">
        <f aca="false">A231/12</f>
        <v>18.9166666666667</v>
      </c>
      <c r="C231" s="34" t="n">
        <f aca="false">INT(B231)</f>
        <v>18</v>
      </c>
      <c r="D231" s="11" t="n">
        <f aca="false">B231-C231</f>
        <v>0.916666666666668</v>
      </c>
      <c r="E231" s="30" t="n">
        <f aca="false">INDEX(Discount!$C$4:$C$59,C231+1)</f>
        <v>0.570712145170615</v>
      </c>
      <c r="F231" s="30" t="n">
        <f aca="false">IF(C231+2&gt;56,INDEX(Discount!$C$4:$C$59,56),INDEX(Discount!$C$4:$C$59,C231+2))</f>
        <v>0.552897698820573</v>
      </c>
      <c r="G231" s="30" t="n">
        <f aca="false">IF(D231=0,E231,EXP((1-D231)*LN(E231)+D231*LN(F231)))</f>
        <v>0.554360753957232</v>
      </c>
    </row>
    <row r="232" customFormat="false" ht="15" hidden="false" customHeight="true" outlineLevel="0" collapsed="false">
      <c r="A232" s="1" t="n">
        <v>228</v>
      </c>
      <c r="B232" s="11" t="n">
        <f aca="false">A232/12</f>
        <v>19</v>
      </c>
      <c r="C232" s="34" t="n">
        <f aca="false">INT(B232)</f>
        <v>19</v>
      </c>
      <c r="D232" s="11" t="n">
        <f aca="false">B232-C232</f>
        <v>0</v>
      </c>
      <c r="E232" s="30" t="n">
        <f aca="false">INDEX(Discount!$C$4:$C$59,C232+1)</f>
        <v>0.552897698820573</v>
      </c>
      <c r="F232" s="30" t="n">
        <f aca="false">IF(C232+2&gt;56,INDEX(Discount!$C$4:$C$59,56),INDEX(Discount!$C$4:$C$59,C232+2))</f>
        <v>0.535815878737946</v>
      </c>
      <c r="G232" s="30" t="n">
        <f aca="false">IF(D232=0,E232,EXP((1-D232)*LN(E232)+D232*LN(F232)))</f>
        <v>0.552897698820573</v>
      </c>
    </row>
    <row r="233" customFormat="false" ht="15" hidden="false" customHeight="true" outlineLevel="0" collapsed="false">
      <c r="A233" s="1" t="n">
        <v>229</v>
      </c>
      <c r="B233" s="11" t="n">
        <f aca="false">A233/12</f>
        <v>19.0833333333333</v>
      </c>
      <c r="C233" s="34" t="n">
        <f aca="false">INT(B233)</f>
        <v>19</v>
      </c>
      <c r="D233" s="11" t="n">
        <f aca="false">B233-C233</f>
        <v>0.0833333333333322</v>
      </c>
      <c r="E233" s="30" t="n">
        <f aca="false">INDEX(Discount!$C$4:$C$59,C233+1)</f>
        <v>0.552897698820573</v>
      </c>
      <c r="F233" s="30" t="n">
        <f aca="false">IF(C233+2&gt;56,INDEX(Discount!$C$4:$C$59,56),INDEX(Discount!$C$4:$C$59,C233+2))</f>
        <v>0.535815878737946</v>
      </c>
      <c r="G233" s="30" t="n">
        <f aca="false">IF(D233=0,E233,EXP((1-D233)*LN(E233)+D233*LN(F233)))</f>
        <v>0.551453649862513</v>
      </c>
    </row>
    <row r="234" customFormat="false" ht="15" hidden="false" customHeight="true" outlineLevel="0" collapsed="false">
      <c r="A234" s="1" t="n">
        <v>230</v>
      </c>
      <c r="B234" s="11" t="n">
        <f aca="false">A234/12</f>
        <v>19.1666666666667</v>
      </c>
      <c r="C234" s="34" t="n">
        <f aca="false">INT(B234)</f>
        <v>19</v>
      </c>
      <c r="D234" s="11" t="n">
        <f aca="false">B234-C234</f>
        <v>0.166666666666668</v>
      </c>
      <c r="E234" s="30" t="n">
        <f aca="false">INDEX(Discount!$C$4:$C$59,C234+1)</f>
        <v>0.552897698820573</v>
      </c>
      <c r="F234" s="30" t="n">
        <f aca="false">IF(C234+2&gt;56,INDEX(Discount!$C$4:$C$59,56),INDEX(Discount!$C$4:$C$59,C234+2))</f>
        <v>0.535815878737946</v>
      </c>
      <c r="G234" s="30" t="n">
        <f aca="false">IF(D234=0,E234,EXP((1-D234)*LN(E234)+D234*LN(F234)))</f>
        <v>0.550013372447359</v>
      </c>
    </row>
    <row r="235" customFormat="false" ht="15" hidden="false" customHeight="true" outlineLevel="0" collapsed="false">
      <c r="A235" s="1" t="n">
        <v>231</v>
      </c>
      <c r="B235" s="11" t="n">
        <f aca="false">A235/12</f>
        <v>19.25</v>
      </c>
      <c r="C235" s="34" t="n">
        <f aca="false">INT(B235)</f>
        <v>19</v>
      </c>
      <c r="D235" s="11" t="n">
        <f aca="false">B235-C235</f>
        <v>0.25</v>
      </c>
      <c r="E235" s="30" t="n">
        <f aca="false">INDEX(Discount!$C$4:$C$59,C235+1)</f>
        <v>0.552897698820573</v>
      </c>
      <c r="F235" s="30" t="n">
        <f aca="false">IF(C235+2&gt;56,INDEX(Discount!$C$4:$C$59,56),INDEX(Discount!$C$4:$C$59,C235+2))</f>
        <v>0.535815878737946</v>
      </c>
      <c r="G235" s="30" t="n">
        <f aca="false">IF(D235=0,E235,EXP((1-D235)*LN(E235)+D235*LN(F235)))</f>
        <v>0.548576856724657</v>
      </c>
    </row>
    <row r="236" customFormat="false" ht="15" hidden="false" customHeight="true" outlineLevel="0" collapsed="false">
      <c r="A236" s="1" t="n">
        <v>232</v>
      </c>
      <c r="B236" s="11" t="n">
        <f aca="false">A236/12</f>
        <v>19.3333333333333</v>
      </c>
      <c r="C236" s="34" t="n">
        <f aca="false">INT(B236)</f>
        <v>19</v>
      </c>
      <c r="D236" s="11" t="n">
        <f aca="false">B236-C236</f>
        <v>0.333333333333332</v>
      </c>
      <c r="E236" s="30" t="n">
        <f aca="false">INDEX(Discount!$C$4:$C$59,C236+1)</f>
        <v>0.552897698820573</v>
      </c>
      <c r="F236" s="30" t="n">
        <f aca="false">IF(C236+2&gt;56,INDEX(Discount!$C$4:$C$59,56),INDEX(Discount!$C$4:$C$59,C236+2))</f>
        <v>0.535815878737946</v>
      </c>
      <c r="G236" s="30" t="n">
        <f aca="false">IF(D236=0,E236,EXP((1-D236)*LN(E236)+D236*LN(F236)))</f>
        <v>0.547144092869682</v>
      </c>
    </row>
    <row r="237" customFormat="false" ht="15" hidden="false" customHeight="true" outlineLevel="0" collapsed="false">
      <c r="A237" s="1" t="n">
        <v>233</v>
      </c>
      <c r="B237" s="11" t="n">
        <f aca="false">A237/12</f>
        <v>19.4166666666667</v>
      </c>
      <c r="C237" s="34" t="n">
        <f aca="false">INT(B237)</f>
        <v>19</v>
      </c>
      <c r="D237" s="11" t="n">
        <f aca="false">B237-C237</f>
        <v>0.416666666666668</v>
      </c>
      <c r="E237" s="30" t="n">
        <f aca="false">INDEX(Discount!$C$4:$C$59,C237+1)</f>
        <v>0.552897698820573</v>
      </c>
      <c r="F237" s="30" t="n">
        <f aca="false">IF(C237+2&gt;56,INDEX(Discount!$C$4:$C$59,56),INDEX(Discount!$C$4:$C$59,C237+2))</f>
        <v>0.535815878737946</v>
      </c>
      <c r="G237" s="30" t="n">
        <f aca="false">IF(D237=0,E237,EXP((1-D237)*LN(E237)+D237*LN(F237)))</f>
        <v>0.545715071083369</v>
      </c>
    </row>
    <row r="238" customFormat="false" ht="15" hidden="false" customHeight="true" outlineLevel="0" collapsed="false">
      <c r="A238" s="1" t="n">
        <v>234</v>
      </c>
      <c r="B238" s="11" t="n">
        <f aca="false">A238/12</f>
        <v>19.5</v>
      </c>
      <c r="C238" s="34" t="n">
        <f aca="false">INT(B238)</f>
        <v>19</v>
      </c>
      <c r="D238" s="11" t="n">
        <f aca="false">B238-C238</f>
        <v>0.5</v>
      </c>
      <c r="E238" s="30" t="n">
        <f aca="false">INDEX(Discount!$C$4:$C$59,C238+1)</f>
        <v>0.552897698820573</v>
      </c>
      <c r="F238" s="30" t="n">
        <f aca="false">IF(C238+2&gt;56,INDEX(Discount!$C$4:$C$59,56),INDEX(Discount!$C$4:$C$59,C238+2))</f>
        <v>0.535815878737946</v>
      </c>
      <c r="G238" s="30" t="n">
        <f aca="false">IF(D238=0,E238,EXP((1-D238)*LN(E238)+D238*LN(F238)))</f>
        <v>0.544289781592245</v>
      </c>
    </row>
    <row r="239" customFormat="false" ht="15" hidden="false" customHeight="true" outlineLevel="0" collapsed="false">
      <c r="A239" s="1" t="n">
        <v>235</v>
      </c>
      <c r="B239" s="11" t="n">
        <f aca="false">A239/12</f>
        <v>19.5833333333333</v>
      </c>
      <c r="C239" s="34" t="n">
        <f aca="false">INT(B239)</f>
        <v>19</v>
      </c>
      <c r="D239" s="11" t="n">
        <f aca="false">B239-C239</f>
        <v>0.583333333333332</v>
      </c>
      <c r="E239" s="30" t="n">
        <f aca="false">INDEX(Discount!$C$4:$C$59,C239+1)</f>
        <v>0.552897698820573</v>
      </c>
      <c r="F239" s="30" t="n">
        <f aca="false">IF(C239+2&gt;56,INDEX(Discount!$C$4:$C$59,56),INDEX(Discount!$C$4:$C$59,C239+2))</f>
        <v>0.535815878737946</v>
      </c>
      <c r="G239" s="30" t="n">
        <f aca="false">IF(D239=0,E239,EXP((1-D239)*LN(E239)+D239*LN(F239)))</f>
        <v>0.542868214648364</v>
      </c>
    </row>
    <row r="240" customFormat="false" ht="15" hidden="false" customHeight="true" outlineLevel="0" collapsed="false">
      <c r="A240" s="1" t="n">
        <v>236</v>
      </c>
      <c r="B240" s="11" t="n">
        <f aca="false">A240/12</f>
        <v>19.6666666666667</v>
      </c>
      <c r="C240" s="34" t="n">
        <f aca="false">INT(B240)</f>
        <v>19</v>
      </c>
      <c r="D240" s="11" t="n">
        <f aca="false">B240-C240</f>
        <v>0.666666666666668</v>
      </c>
      <c r="E240" s="30" t="n">
        <f aca="false">INDEX(Discount!$C$4:$C$59,C240+1)</f>
        <v>0.552897698820573</v>
      </c>
      <c r="F240" s="30" t="n">
        <f aca="false">IF(C240+2&gt;56,INDEX(Discount!$C$4:$C$59,56),INDEX(Discount!$C$4:$C$59,C240+2))</f>
        <v>0.535815878737946</v>
      </c>
      <c r="G240" s="30" t="n">
        <f aca="false">IF(D240=0,E240,EXP((1-D240)*LN(E240)+D240*LN(F240)))</f>
        <v>0.541450360529241</v>
      </c>
    </row>
    <row r="241" customFormat="false" ht="15" hidden="false" customHeight="true" outlineLevel="0" collapsed="false">
      <c r="A241" s="1" t="n">
        <v>237</v>
      </c>
      <c r="B241" s="11" t="n">
        <f aca="false">A241/12</f>
        <v>19.75</v>
      </c>
      <c r="C241" s="34" t="n">
        <f aca="false">INT(B241)</f>
        <v>19</v>
      </c>
      <c r="D241" s="11" t="n">
        <f aca="false">B241-C241</f>
        <v>0.75</v>
      </c>
      <c r="E241" s="30" t="n">
        <f aca="false">INDEX(Discount!$C$4:$C$59,C241+1)</f>
        <v>0.552897698820573</v>
      </c>
      <c r="F241" s="30" t="n">
        <f aca="false">IF(C241+2&gt;56,INDEX(Discount!$C$4:$C$59,56),INDEX(Discount!$C$4:$C$59,C241+2))</f>
        <v>0.535815878737946</v>
      </c>
      <c r="G241" s="30" t="n">
        <f aca="false">IF(D241=0,E241,EXP((1-D241)*LN(E241)+D241*LN(F241)))</f>
        <v>0.54003620953778</v>
      </c>
    </row>
    <row r="242" customFormat="false" ht="15" hidden="false" customHeight="true" outlineLevel="0" collapsed="false">
      <c r="A242" s="1" t="n">
        <v>238</v>
      </c>
      <c r="B242" s="11" t="n">
        <f aca="false">A242/12</f>
        <v>19.8333333333333</v>
      </c>
      <c r="C242" s="34" t="n">
        <f aca="false">INT(B242)</f>
        <v>19</v>
      </c>
      <c r="D242" s="11" t="n">
        <f aca="false">B242-C242</f>
        <v>0.833333333333332</v>
      </c>
      <c r="E242" s="30" t="n">
        <f aca="false">INDEX(Discount!$C$4:$C$59,C242+1)</f>
        <v>0.552897698820573</v>
      </c>
      <c r="F242" s="30" t="n">
        <f aca="false">IF(C242+2&gt;56,INDEX(Discount!$C$4:$C$59,56),INDEX(Discount!$C$4:$C$59,C242+2))</f>
        <v>0.535815878737946</v>
      </c>
      <c r="G242" s="30" t="n">
        <f aca="false">IF(D242=0,E242,EXP((1-D242)*LN(E242)+D242*LN(F242)))</f>
        <v>0.538625752002216</v>
      </c>
    </row>
    <row r="243" customFormat="false" ht="15" hidden="false" customHeight="true" outlineLevel="0" collapsed="false">
      <c r="A243" s="1" t="n">
        <v>239</v>
      </c>
      <c r="B243" s="11" t="n">
        <f aca="false">A243/12</f>
        <v>19.9166666666667</v>
      </c>
      <c r="C243" s="34" t="n">
        <f aca="false">INT(B243)</f>
        <v>19</v>
      </c>
      <c r="D243" s="11" t="n">
        <f aca="false">B243-C243</f>
        <v>0.916666666666668</v>
      </c>
      <c r="E243" s="30" t="n">
        <f aca="false">INDEX(Discount!$C$4:$C$59,C243+1)</f>
        <v>0.552897698820573</v>
      </c>
      <c r="F243" s="30" t="n">
        <f aca="false">IF(C243+2&gt;56,INDEX(Discount!$C$4:$C$59,56),INDEX(Discount!$C$4:$C$59,C243+2))</f>
        <v>0.535815878737946</v>
      </c>
      <c r="G243" s="30" t="n">
        <f aca="false">IF(D243=0,E243,EXP((1-D243)*LN(E243)+D243*LN(F243)))</f>
        <v>0.537218978276042</v>
      </c>
    </row>
    <row r="244" customFormat="false" ht="15" hidden="false" customHeight="true" outlineLevel="0" collapsed="false">
      <c r="A244" s="1" t="n">
        <v>240</v>
      </c>
      <c r="B244" s="11" t="n">
        <f aca="false">A244/12</f>
        <v>20</v>
      </c>
      <c r="C244" s="34" t="n">
        <f aca="false">INT(B244)</f>
        <v>20</v>
      </c>
      <c r="D244" s="11" t="n">
        <f aca="false">B244-C244</f>
        <v>0</v>
      </c>
      <c r="E244" s="30" t="n">
        <f aca="false">INDEX(Discount!$C$4:$C$59,C244+1)</f>
        <v>0.535815878737946</v>
      </c>
      <c r="F244" s="30" t="n">
        <f aca="false">IF(C244+2&gt;56,INDEX(Discount!$C$4:$C$59,56),INDEX(Discount!$C$4:$C$59,C244+2))</f>
        <v>0.51925173773423</v>
      </c>
      <c r="G244" s="30" t="n">
        <f aca="false">IF(D244=0,E244,EXP((1-D244)*LN(E244)+D244*LN(F244)))</f>
        <v>0.535815878737946</v>
      </c>
    </row>
    <row r="245" customFormat="false" ht="15" hidden="false" customHeight="true" outlineLevel="0" collapsed="false">
      <c r="A245" s="1" t="n">
        <v>241</v>
      </c>
      <c r="B245" s="11" t="n">
        <f aca="false">A245/12</f>
        <v>20.0833333333333</v>
      </c>
      <c r="C245" s="34" t="n">
        <f aca="false">INT(B245)</f>
        <v>20</v>
      </c>
      <c r="D245" s="11" t="n">
        <f aca="false">B245-C245</f>
        <v>0.0833333333333322</v>
      </c>
      <c r="E245" s="30" t="n">
        <f aca="false">INDEX(Discount!$C$4:$C$59,C245+1)</f>
        <v>0.535815878737946</v>
      </c>
      <c r="F245" s="30" t="n">
        <f aca="false">IF(C245+2&gt;56,INDEX(Discount!$C$4:$C$59,56),INDEX(Discount!$C$4:$C$59,C245+2))</f>
        <v>0.51925173773423</v>
      </c>
      <c r="G245" s="30" t="n">
        <f aca="false">IF(D245=0,E245,EXP((1-D245)*LN(E245)+D245*LN(F245)))</f>
        <v>0.534415580541137</v>
      </c>
    </row>
    <row r="246" customFormat="false" ht="15" hidden="false" customHeight="true" outlineLevel="0" collapsed="false">
      <c r="A246" s="1" t="n">
        <v>242</v>
      </c>
      <c r="B246" s="11" t="n">
        <f aca="false">A246/12</f>
        <v>20.1666666666667</v>
      </c>
      <c r="C246" s="34" t="n">
        <f aca="false">INT(B246)</f>
        <v>20</v>
      </c>
      <c r="D246" s="11" t="n">
        <f aca="false">B246-C246</f>
        <v>0.166666666666668</v>
      </c>
      <c r="E246" s="30" t="n">
        <f aca="false">INDEX(Discount!$C$4:$C$59,C246+1)</f>
        <v>0.535815878737946</v>
      </c>
      <c r="F246" s="30" t="n">
        <f aca="false">IF(C246+2&gt;56,INDEX(Discount!$C$4:$C$59,56),INDEX(Discount!$C$4:$C$59,C246+2))</f>
        <v>0.51925173773423</v>
      </c>
      <c r="G246" s="30" t="n">
        <f aca="false">IF(D246=0,E246,EXP((1-D246)*LN(E246)+D246*LN(F246)))</f>
        <v>0.533018941875741</v>
      </c>
    </row>
    <row r="247" customFormat="false" ht="15" hidden="false" customHeight="true" outlineLevel="0" collapsed="false">
      <c r="A247" s="1" t="n">
        <v>243</v>
      </c>
      <c r="B247" s="11" t="n">
        <f aca="false">A247/12</f>
        <v>20.25</v>
      </c>
      <c r="C247" s="34" t="n">
        <f aca="false">INT(B247)</f>
        <v>20</v>
      </c>
      <c r="D247" s="11" t="n">
        <f aca="false">B247-C247</f>
        <v>0.25</v>
      </c>
      <c r="E247" s="30" t="n">
        <f aca="false">INDEX(Discount!$C$4:$C$59,C247+1)</f>
        <v>0.535815878737946</v>
      </c>
      <c r="F247" s="30" t="n">
        <f aca="false">IF(C247+2&gt;56,INDEX(Discount!$C$4:$C$59,56),INDEX(Discount!$C$4:$C$59,C247+2))</f>
        <v>0.51925173773423</v>
      </c>
      <c r="G247" s="30" t="n">
        <f aca="false">IF(D247=0,E247,EXP((1-D247)*LN(E247)+D247*LN(F247)))</f>
        <v>0.53162595317796</v>
      </c>
    </row>
    <row r="248" customFormat="false" ht="15" hidden="false" customHeight="true" outlineLevel="0" collapsed="false">
      <c r="A248" s="1" t="n">
        <v>244</v>
      </c>
      <c r="B248" s="11" t="n">
        <f aca="false">A248/12</f>
        <v>20.3333333333333</v>
      </c>
      <c r="C248" s="34" t="n">
        <f aca="false">INT(B248)</f>
        <v>20</v>
      </c>
      <c r="D248" s="11" t="n">
        <f aca="false">B248-C248</f>
        <v>0.333333333333332</v>
      </c>
      <c r="E248" s="30" t="n">
        <f aca="false">INDEX(Discount!$C$4:$C$59,C248+1)</f>
        <v>0.535815878737946</v>
      </c>
      <c r="F248" s="30" t="n">
        <f aca="false">IF(C248+2&gt;56,INDEX(Discount!$C$4:$C$59,56),INDEX(Discount!$C$4:$C$59,C248+2))</f>
        <v>0.51925173773423</v>
      </c>
      <c r="G248" s="30" t="n">
        <f aca="false">IF(D248=0,E248,EXP((1-D248)*LN(E248)+D248*LN(F248)))</f>
        <v>0.530236604908988</v>
      </c>
    </row>
    <row r="249" customFormat="false" ht="15" hidden="false" customHeight="true" outlineLevel="0" collapsed="false">
      <c r="A249" s="1" t="n">
        <v>245</v>
      </c>
      <c r="B249" s="11" t="n">
        <f aca="false">A249/12</f>
        <v>20.4166666666667</v>
      </c>
      <c r="C249" s="34" t="n">
        <f aca="false">INT(B249)</f>
        <v>20</v>
      </c>
      <c r="D249" s="11" t="n">
        <f aca="false">B249-C249</f>
        <v>0.416666666666668</v>
      </c>
      <c r="E249" s="30" t="n">
        <f aca="false">INDEX(Discount!$C$4:$C$59,C249+1)</f>
        <v>0.535815878737946</v>
      </c>
      <c r="F249" s="30" t="n">
        <f aca="false">IF(C249+2&gt;56,INDEX(Discount!$C$4:$C$59,56),INDEX(Discount!$C$4:$C$59,C249+2))</f>
        <v>0.51925173773423</v>
      </c>
      <c r="G249" s="30" t="n">
        <f aca="false">IF(D249=0,E249,EXP((1-D249)*LN(E249)+D249*LN(F249)))</f>
        <v>0.528850887554951</v>
      </c>
    </row>
    <row r="250" customFormat="false" ht="15" hidden="false" customHeight="true" outlineLevel="0" collapsed="false">
      <c r="A250" s="1" t="n">
        <v>246</v>
      </c>
      <c r="B250" s="11" t="n">
        <f aca="false">A250/12</f>
        <v>20.5</v>
      </c>
      <c r="C250" s="34" t="n">
        <f aca="false">INT(B250)</f>
        <v>20</v>
      </c>
      <c r="D250" s="11" t="n">
        <f aca="false">B250-C250</f>
        <v>0.5</v>
      </c>
      <c r="E250" s="30" t="n">
        <f aca="false">INDEX(Discount!$C$4:$C$59,C250+1)</f>
        <v>0.535815878737946</v>
      </c>
      <c r="F250" s="30" t="n">
        <f aca="false">IF(C250+2&gt;56,INDEX(Discount!$C$4:$C$59,56),INDEX(Discount!$C$4:$C$59,C250+2))</f>
        <v>0.51925173773423</v>
      </c>
      <c r="G250" s="30" t="n">
        <f aca="false">IF(D250=0,E250,EXP((1-D250)*LN(E250)+D250*LN(F250)))</f>
        <v>0.527468791626834</v>
      </c>
    </row>
    <row r="251" customFormat="false" ht="15" hidden="false" customHeight="true" outlineLevel="0" collapsed="false">
      <c r="A251" s="1" t="n">
        <v>247</v>
      </c>
      <c r="B251" s="11" t="n">
        <f aca="false">A251/12</f>
        <v>20.5833333333333</v>
      </c>
      <c r="C251" s="34" t="n">
        <f aca="false">INT(B251)</f>
        <v>20</v>
      </c>
      <c r="D251" s="11" t="n">
        <f aca="false">B251-C251</f>
        <v>0.583333333333332</v>
      </c>
      <c r="E251" s="30" t="n">
        <f aca="false">INDEX(Discount!$C$4:$C$59,C251+1)</f>
        <v>0.535815878737946</v>
      </c>
      <c r="F251" s="30" t="n">
        <f aca="false">IF(C251+2&gt;56,INDEX(Discount!$C$4:$C$59,56),INDEX(Discount!$C$4:$C$59,C251+2))</f>
        <v>0.51925173773423</v>
      </c>
      <c r="G251" s="30" t="n">
        <f aca="false">IF(D251=0,E251,EXP((1-D251)*LN(E251)+D251*LN(F251)))</f>
        <v>0.526090307660424</v>
      </c>
    </row>
    <row r="252" customFormat="false" ht="15" hidden="false" customHeight="true" outlineLevel="0" collapsed="false">
      <c r="A252" s="1" t="n">
        <v>248</v>
      </c>
      <c r="B252" s="11" t="n">
        <f aca="false">A252/12</f>
        <v>20.6666666666667</v>
      </c>
      <c r="C252" s="34" t="n">
        <f aca="false">INT(B252)</f>
        <v>20</v>
      </c>
      <c r="D252" s="11" t="n">
        <f aca="false">B252-C252</f>
        <v>0.666666666666668</v>
      </c>
      <c r="E252" s="30" t="n">
        <f aca="false">INDEX(Discount!$C$4:$C$59,C252+1)</f>
        <v>0.535815878737946</v>
      </c>
      <c r="F252" s="30" t="n">
        <f aca="false">IF(C252+2&gt;56,INDEX(Discount!$C$4:$C$59,56),INDEX(Discount!$C$4:$C$59,C252+2))</f>
        <v>0.51925173773423</v>
      </c>
      <c r="G252" s="30" t="n">
        <f aca="false">IF(D252=0,E252,EXP((1-D252)*LN(E252)+D252*LN(F252)))</f>
        <v>0.52471542621624</v>
      </c>
    </row>
    <row r="253" customFormat="false" ht="15" hidden="false" customHeight="true" outlineLevel="0" collapsed="false">
      <c r="A253" s="1" t="n">
        <v>249</v>
      </c>
      <c r="B253" s="11" t="n">
        <f aca="false">A253/12</f>
        <v>20.75</v>
      </c>
      <c r="C253" s="34" t="n">
        <f aca="false">INT(B253)</f>
        <v>20</v>
      </c>
      <c r="D253" s="11" t="n">
        <f aca="false">B253-C253</f>
        <v>0.75</v>
      </c>
      <c r="E253" s="30" t="n">
        <f aca="false">INDEX(Discount!$C$4:$C$59,C253+1)</f>
        <v>0.535815878737946</v>
      </c>
      <c r="F253" s="30" t="n">
        <f aca="false">IF(C253+2&gt;56,INDEX(Discount!$C$4:$C$59,56),INDEX(Discount!$C$4:$C$59,C253+2))</f>
        <v>0.51925173773423</v>
      </c>
      <c r="G253" s="30" t="n">
        <f aca="false">IF(D253=0,E253,EXP((1-D253)*LN(E253)+D253*LN(F253)))</f>
        <v>0.523344137879472</v>
      </c>
    </row>
    <row r="254" customFormat="false" ht="15" hidden="false" customHeight="true" outlineLevel="0" collapsed="false">
      <c r="A254" s="1" t="n">
        <v>250</v>
      </c>
      <c r="B254" s="11" t="n">
        <f aca="false">A254/12</f>
        <v>20.8333333333333</v>
      </c>
      <c r="C254" s="34" t="n">
        <f aca="false">INT(B254)</f>
        <v>20</v>
      </c>
      <c r="D254" s="11" t="n">
        <f aca="false">B254-C254</f>
        <v>0.833333333333332</v>
      </c>
      <c r="E254" s="30" t="n">
        <f aca="false">INDEX(Discount!$C$4:$C$59,C254+1)</f>
        <v>0.535815878737946</v>
      </c>
      <c r="F254" s="30" t="n">
        <f aca="false">IF(C254+2&gt;56,INDEX(Discount!$C$4:$C$59,56),INDEX(Discount!$C$4:$C$59,C254+2))</f>
        <v>0.51925173773423</v>
      </c>
      <c r="G254" s="30" t="n">
        <f aca="false">IF(D254=0,E254,EXP((1-D254)*LN(E254)+D254*LN(F254)))</f>
        <v>0.521976433259913</v>
      </c>
    </row>
    <row r="255" customFormat="false" ht="15" hidden="false" customHeight="true" outlineLevel="0" collapsed="false">
      <c r="A255" s="1" t="n">
        <v>251</v>
      </c>
      <c r="B255" s="11" t="n">
        <f aca="false">A255/12</f>
        <v>20.9166666666667</v>
      </c>
      <c r="C255" s="34" t="n">
        <f aca="false">INT(B255)</f>
        <v>20</v>
      </c>
      <c r="D255" s="11" t="n">
        <f aca="false">B255-C255</f>
        <v>0.916666666666668</v>
      </c>
      <c r="E255" s="30" t="n">
        <f aca="false">INDEX(Discount!$C$4:$C$59,C255+1)</f>
        <v>0.535815878737946</v>
      </c>
      <c r="F255" s="30" t="n">
        <f aca="false">IF(C255+2&gt;56,INDEX(Discount!$C$4:$C$59,56),INDEX(Discount!$C$4:$C$59,C255+2))</f>
        <v>0.51925173773423</v>
      </c>
      <c r="G255" s="30" t="n">
        <f aca="false">IF(D255=0,E255,EXP((1-D255)*LN(E255)+D255*LN(F255)))</f>
        <v>0.520612302991896</v>
      </c>
    </row>
    <row r="256" customFormat="false" ht="15" hidden="false" customHeight="true" outlineLevel="0" collapsed="false">
      <c r="A256" s="1" t="n">
        <v>252</v>
      </c>
      <c r="B256" s="11" t="n">
        <f aca="false">A256/12</f>
        <v>21</v>
      </c>
      <c r="C256" s="34" t="n">
        <f aca="false">INT(B256)</f>
        <v>21</v>
      </c>
      <c r="D256" s="11" t="n">
        <f aca="false">B256-C256</f>
        <v>0</v>
      </c>
      <c r="E256" s="30" t="n">
        <f aca="false">INDEX(Discount!$C$4:$C$59,C256+1)</f>
        <v>0.51925173773423</v>
      </c>
      <c r="F256" s="30" t="n">
        <f aca="false">IF(C256+2&gt;56,INDEX(Discount!$C$4:$C$59,56),INDEX(Discount!$C$4:$C$59,C256+2))</f>
        <v>0.503189904708666</v>
      </c>
      <c r="G256" s="30" t="n">
        <f aca="false">IF(D256=0,E256,EXP((1-D256)*LN(E256)+D256*LN(F256)))</f>
        <v>0.51925173773423</v>
      </c>
    </row>
    <row r="257" customFormat="false" ht="15" hidden="false" customHeight="true" outlineLevel="0" collapsed="false">
      <c r="A257" s="1" t="n">
        <v>253</v>
      </c>
      <c r="B257" s="11" t="n">
        <f aca="false">A257/12</f>
        <v>21.0833333333333</v>
      </c>
      <c r="C257" s="34" t="n">
        <f aca="false">INT(B257)</f>
        <v>21</v>
      </c>
      <c r="D257" s="11" t="n">
        <f aca="false">B257-C257</f>
        <v>0.0833333333333322</v>
      </c>
      <c r="E257" s="30" t="n">
        <f aca="false">INDEX(Discount!$C$4:$C$59,C257+1)</f>
        <v>0.51925173773423</v>
      </c>
      <c r="F257" s="30" t="n">
        <f aca="false">IF(C257+2&gt;56,INDEX(Discount!$C$4:$C$59,56),INDEX(Discount!$C$4:$C$59,C257+2))</f>
        <v>0.503189904708666</v>
      </c>
      <c r="G257" s="30" t="n">
        <f aca="false">IF(D257=0,E257,EXP((1-D257)*LN(E257)+D257*LN(F257)))</f>
        <v>0.51789389161946</v>
      </c>
    </row>
    <row r="258" customFormat="false" ht="15" hidden="false" customHeight="true" outlineLevel="0" collapsed="false">
      <c r="A258" s="1" t="n">
        <v>254</v>
      </c>
      <c r="B258" s="11" t="n">
        <f aca="false">A258/12</f>
        <v>21.1666666666667</v>
      </c>
      <c r="C258" s="34" t="n">
        <f aca="false">INT(B258)</f>
        <v>21</v>
      </c>
      <c r="D258" s="11" t="n">
        <f aca="false">B258-C258</f>
        <v>0.166666666666668</v>
      </c>
      <c r="E258" s="30" t="n">
        <f aca="false">INDEX(Discount!$C$4:$C$59,C258+1)</f>
        <v>0.51925173773423</v>
      </c>
      <c r="F258" s="30" t="n">
        <f aca="false">IF(C258+2&gt;56,INDEX(Discount!$C$4:$C$59,56),INDEX(Discount!$C$4:$C$59,C258+2))</f>
        <v>0.503189904708666</v>
      </c>
      <c r="G258" s="30" t="n">
        <f aca="false">IF(D258=0,E258,EXP((1-D258)*LN(E258)+D258*LN(F258)))</f>
        <v>0.516539596279655</v>
      </c>
    </row>
    <row r="259" customFormat="false" ht="15" hidden="false" customHeight="true" outlineLevel="0" collapsed="false">
      <c r="A259" s="1" t="n">
        <v>255</v>
      </c>
      <c r="B259" s="11" t="n">
        <f aca="false">A259/12</f>
        <v>21.25</v>
      </c>
      <c r="C259" s="34" t="n">
        <f aca="false">INT(B259)</f>
        <v>21</v>
      </c>
      <c r="D259" s="11" t="n">
        <f aca="false">B259-C259</f>
        <v>0.25</v>
      </c>
      <c r="E259" s="30" t="n">
        <f aca="false">INDEX(Discount!$C$4:$C$59,C259+1)</f>
        <v>0.51925173773423</v>
      </c>
      <c r="F259" s="30" t="n">
        <f aca="false">IF(C259+2&gt;56,INDEX(Discount!$C$4:$C$59,56),INDEX(Discount!$C$4:$C$59,C259+2))</f>
        <v>0.503189904708666</v>
      </c>
      <c r="G259" s="30" t="n">
        <f aca="false">IF(D259=0,E259,EXP((1-D259)*LN(E259)+D259*LN(F259)))</f>
        <v>0.515188842429521</v>
      </c>
    </row>
    <row r="260" customFormat="false" ht="15" hidden="false" customHeight="true" outlineLevel="0" collapsed="false">
      <c r="A260" s="1" t="n">
        <v>256</v>
      </c>
      <c r="B260" s="11" t="n">
        <f aca="false">A260/12</f>
        <v>21.3333333333333</v>
      </c>
      <c r="C260" s="34" t="n">
        <f aca="false">INT(B260)</f>
        <v>21</v>
      </c>
      <c r="D260" s="11" t="n">
        <f aca="false">B260-C260</f>
        <v>0.333333333333332</v>
      </c>
      <c r="E260" s="30" t="n">
        <f aca="false">INDEX(Discount!$C$4:$C$59,C260+1)</f>
        <v>0.51925173773423</v>
      </c>
      <c r="F260" s="30" t="n">
        <f aca="false">IF(C260+2&gt;56,INDEX(Discount!$C$4:$C$59,56),INDEX(Discount!$C$4:$C$59,C260+2))</f>
        <v>0.503189904708666</v>
      </c>
      <c r="G260" s="30" t="n">
        <f aca="false">IF(D260=0,E260,EXP((1-D260)*LN(E260)+D260*LN(F260)))</f>
        <v>0.513841620808042</v>
      </c>
    </row>
    <row r="261" customFormat="false" ht="15" hidden="false" customHeight="true" outlineLevel="0" collapsed="false">
      <c r="A261" s="1" t="n">
        <v>257</v>
      </c>
      <c r="B261" s="11" t="n">
        <f aca="false">A261/12</f>
        <v>21.4166666666667</v>
      </c>
      <c r="C261" s="34" t="n">
        <f aca="false">INT(B261)</f>
        <v>21</v>
      </c>
      <c r="D261" s="11" t="n">
        <f aca="false">B261-C261</f>
        <v>0.416666666666668</v>
      </c>
      <c r="E261" s="30" t="n">
        <f aca="false">INDEX(Discount!$C$4:$C$59,C261+1)</f>
        <v>0.51925173773423</v>
      </c>
      <c r="F261" s="30" t="n">
        <f aca="false">IF(C261+2&gt;56,INDEX(Discount!$C$4:$C$59,56),INDEX(Discount!$C$4:$C$59,C261+2))</f>
        <v>0.503189904708666</v>
      </c>
      <c r="G261" s="30" t="n">
        <f aca="false">IF(D261=0,E261,EXP((1-D261)*LN(E261)+D261*LN(F261)))</f>
        <v>0.512497922178421</v>
      </c>
    </row>
    <row r="262" customFormat="false" ht="15" hidden="false" customHeight="true" outlineLevel="0" collapsed="false">
      <c r="A262" s="1" t="n">
        <v>258</v>
      </c>
      <c r="B262" s="11" t="n">
        <f aca="false">A262/12</f>
        <v>21.5</v>
      </c>
      <c r="C262" s="34" t="n">
        <f aca="false">INT(B262)</f>
        <v>21</v>
      </c>
      <c r="D262" s="11" t="n">
        <f aca="false">B262-C262</f>
        <v>0.5</v>
      </c>
      <c r="E262" s="30" t="n">
        <f aca="false">INDEX(Discount!$C$4:$C$59,C262+1)</f>
        <v>0.51925173773423</v>
      </c>
      <c r="F262" s="30" t="n">
        <f aca="false">IF(C262+2&gt;56,INDEX(Discount!$C$4:$C$59,56),INDEX(Discount!$C$4:$C$59,C262+2))</f>
        <v>0.503189904708666</v>
      </c>
      <c r="G262" s="30" t="n">
        <f aca="false">IF(D262=0,E262,EXP((1-D262)*LN(E262)+D262*LN(F262)))</f>
        <v>0.511157737328016</v>
      </c>
    </row>
    <row r="263" customFormat="false" ht="15" hidden="false" customHeight="true" outlineLevel="0" collapsed="false">
      <c r="A263" s="1" t="n">
        <v>259</v>
      </c>
      <c r="B263" s="11" t="n">
        <f aca="false">A263/12</f>
        <v>21.5833333333333</v>
      </c>
      <c r="C263" s="34" t="n">
        <f aca="false">INT(B263)</f>
        <v>21</v>
      </c>
      <c r="D263" s="11" t="n">
        <f aca="false">B263-C263</f>
        <v>0.583333333333332</v>
      </c>
      <c r="E263" s="30" t="n">
        <f aca="false">INDEX(Discount!$C$4:$C$59,C263+1)</f>
        <v>0.51925173773423</v>
      </c>
      <c r="F263" s="30" t="n">
        <f aca="false">IF(C263+2&gt;56,INDEX(Discount!$C$4:$C$59,56),INDEX(Discount!$C$4:$C$59,C263+2))</f>
        <v>0.503189904708666</v>
      </c>
      <c r="G263" s="30" t="n">
        <f aca="false">IF(D263=0,E263,EXP((1-D263)*LN(E263)+D263*LN(F263)))</f>
        <v>0.509821057068274</v>
      </c>
    </row>
    <row r="264" customFormat="false" ht="15" hidden="false" customHeight="true" outlineLevel="0" collapsed="false">
      <c r="A264" s="1" t="n">
        <v>260</v>
      </c>
      <c r="B264" s="11" t="n">
        <f aca="false">A264/12</f>
        <v>21.6666666666667</v>
      </c>
      <c r="C264" s="34" t="n">
        <f aca="false">INT(B264)</f>
        <v>21</v>
      </c>
      <c r="D264" s="11" t="n">
        <f aca="false">B264-C264</f>
        <v>0.666666666666668</v>
      </c>
      <c r="E264" s="30" t="n">
        <f aca="false">INDEX(Discount!$C$4:$C$59,C264+1)</f>
        <v>0.51925173773423</v>
      </c>
      <c r="F264" s="30" t="n">
        <f aca="false">IF(C264+2&gt;56,INDEX(Discount!$C$4:$C$59,56),INDEX(Discount!$C$4:$C$59,C264+2))</f>
        <v>0.503189904708666</v>
      </c>
      <c r="G264" s="30" t="n">
        <f aca="false">IF(D264=0,E264,EXP((1-D264)*LN(E264)+D264*LN(F264)))</f>
        <v>0.508487872234673</v>
      </c>
    </row>
    <row r="265" customFormat="false" ht="15" hidden="false" customHeight="true" outlineLevel="0" collapsed="false">
      <c r="A265" s="1" t="n">
        <v>261</v>
      </c>
      <c r="B265" s="11" t="n">
        <f aca="false">A265/12</f>
        <v>21.75</v>
      </c>
      <c r="C265" s="34" t="n">
        <f aca="false">INT(B265)</f>
        <v>21</v>
      </c>
      <c r="D265" s="11" t="n">
        <f aca="false">B265-C265</f>
        <v>0.75</v>
      </c>
      <c r="E265" s="30" t="n">
        <f aca="false">INDEX(Discount!$C$4:$C$59,C265+1)</f>
        <v>0.51925173773423</v>
      </c>
      <c r="F265" s="30" t="n">
        <f aca="false">IF(C265+2&gt;56,INDEX(Discount!$C$4:$C$59,56),INDEX(Discount!$C$4:$C$59,C265+2))</f>
        <v>0.503189904708666</v>
      </c>
      <c r="G265" s="30" t="n">
        <f aca="false">IF(D265=0,E265,EXP((1-D265)*LN(E265)+D265*LN(F265)))</f>
        <v>0.507158173686653</v>
      </c>
    </row>
    <row r="266" customFormat="false" ht="15" hidden="false" customHeight="true" outlineLevel="0" collapsed="false">
      <c r="A266" s="1" t="n">
        <v>262</v>
      </c>
      <c r="B266" s="11" t="n">
        <f aca="false">A266/12</f>
        <v>21.8333333333333</v>
      </c>
      <c r="C266" s="34" t="n">
        <f aca="false">INT(B266)</f>
        <v>21</v>
      </c>
      <c r="D266" s="11" t="n">
        <f aca="false">B266-C266</f>
        <v>0.833333333333332</v>
      </c>
      <c r="E266" s="30" t="n">
        <f aca="false">INDEX(Discount!$C$4:$C$59,C266+1)</f>
        <v>0.51925173773423</v>
      </c>
      <c r="F266" s="30" t="n">
        <f aca="false">IF(C266+2&gt;56,INDEX(Discount!$C$4:$C$59,56),INDEX(Discount!$C$4:$C$59,C266+2))</f>
        <v>0.503189904708666</v>
      </c>
      <c r="G266" s="30" t="n">
        <f aca="false">IF(D266=0,E266,EXP((1-D266)*LN(E266)+D266*LN(F266)))</f>
        <v>0.50583195230756</v>
      </c>
    </row>
    <row r="267" customFormat="false" ht="15" hidden="false" customHeight="true" outlineLevel="0" collapsed="false">
      <c r="A267" s="1" t="n">
        <v>263</v>
      </c>
      <c r="B267" s="11" t="n">
        <f aca="false">A267/12</f>
        <v>21.9166666666667</v>
      </c>
      <c r="C267" s="34" t="n">
        <f aca="false">INT(B267)</f>
        <v>21</v>
      </c>
      <c r="D267" s="11" t="n">
        <f aca="false">B267-C267</f>
        <v>0.916666666666668</v>
      </c>
      <c r="E267" s="30" t="n">
        <f aca="false">INDEX(Discount!$C$4:$C$59,C267+1)</f>
        <v>0.51925173773423</v>
      </c>
      <c r="F267" s="30" t="n">
        <f aca="false">IF(C267+2&gt;56,INDEX(Discount!$C$4:$C$59,56),INDEX(Discount!$C$4:$C$59,C267+2))</f>
        <v>0.503189904708666</v>
      </c>
      <c r="G267" s="30" t="n">
        <f aca="false">IF(D267=0,E267,EXP((1-D267)*LN(E267)+D267*LN(F267)))</f>
        <v>0.504509199004576</v>
      </c>
    </row>
    <row r="268" customFormat="false" ht="15" hidden="false" customHeight="true" outlineLevel="0" collapsed="false">
      <c r="A268" s="1" t="n">
        <v>264</v>
      </c>
      <c r="B268" s="11" t="n">
        <f aca="false">A268/12</f>
        <v>22</v>
      </c>
      <c r="C268" s="34" t="n">
        <f aca="false">INT(B268)</f>
        <v>22</v>
      </c>
      <c r="D268" s="11" t="n">
        <f aca="false">B268-C268</f>
        <v>0</v>
      </c>
      <c r="E268" s="30" t="n">
        <f aca="false">INDEX(Discount!$C$4:$C$59,C268+1)</f>
        <v>0.503189904708666</v>
      </c>
      <c r="F268" s="30" t="n">
        <f aca="false">IF(C268+2&gt;56,INDEX(Discount!$C$4:$C$59,56),INDEX(Discount!$C$4:$C$59,C268+2))</f>
        <v>0.487615455114014</v>
      </c>
      <c r="G268" s="30" t="n">
        <f aca="false">IF(D268=0,E268,EXP((1-D268)*LN(E268)+D268*LN(F268)))</f>
        <v>0.503189904708666</v>
      </c>
    </row>
    <row r="269" customFormat="false" ht="15" hidden="false" customHeight="true" outlineLevel="0" collapsed="false">
      <c r="A269" s="1" t="n">
        <v>265</v>
      </c>
      <c r="B269" s="11" t="n">
        <f aca="false">A269/12</f>
        <v>22.0833333333333</v>
      </c>
      <c r="C269" s="34" t="n">
        <f aca="false">INT(B269)</f>
        <v>22</v>
      </c>
      <c r="D269" s="11" t="n">
        <f aca="false">B269-C269</f>
        <v>0.0833333333333322</v>
      </c>
      <c r="E269" s="30" t="n">
        <f aca="false">INDEX(Discount!$C$4:$C$59,C269+1)</f>
        <v>0.503189904708666</v>
      </c>
      <c r="F269" s="30" t="n">
        <f aca="false">IF(C269+2&gt;56,INDEX(Discount!$C$4:$C$59,56),INDEX(Discount!$C$4:$C$59,C269+2))</f>
        <v>0.487615455114014</v>
      </c>
      <c r="G269" s="30" t="n">
        <f aca="false">IF(D269=0,E269,EXP((1-D269)*LN(E269)+D269*LN(F269)))</f>
        <v>0.501873249713651</v>
      </c>
    </row>
    <row r="270" customFormat="false" ht="15" hidden="false" customHeight="true" outlineLevel="0" collapsed="false">
      <c r="A270" s="1" t="n">
        <v>266</v>
      </c>
      <c r="B270" s="11" t="n">
        <f aca="false">A270/12</f>
        <v>22.1666666666667</v>
      </c>
      <c r="C270" s="34" t="n">
        <f aca="false">INT(B270)</f>
        <v>22</v>
      </c>
      <c r="D270" s="11" t="n">
        <f aca="false">B270-C270</f>
        <v>0.166666666666668</v>
      </c>
      <c r="E270" s="30" t="n">
        <f aca="false">INDEX(Discount!$C$4:$C$59,C270+1)</f>
        <v>0.503189904708666</v>
      </c>
      <c r="F270" s="30" t="n">
        <f aca="false">IF(C270+2&gt;56,INDEX(Discount!$C$4:$C$59,56),INDEX(Discount!$C$4:$C$59,C270+2))</f>
        <v>0.487615455114014</v>
      </c>
      <c r="G270" s="30" t="n">
        <f aca="false">IF(D270=0,E270,EXP((1-D270)*LN(E270)+D270*LN(F270)))</f>
        <v>0.50056003989979</v>
      </c>
    </row>
    <row r="271" customFormat="false" ht="15" hidden="false" customHeight="true" outlineLevel="0" collapsed="false">
      <c r="A271" s="1" t="n">
        <v>267</v>
      </c>
      <c r="B271" s="11" t="n">
        <f aca="false">A271/12</f>
        <v>22.25</v>
      </c>
      <c r="C271" s="34" t="n">
        <f aca="false">INT(B271)</f>
        <v>22</v>
      </c>
      <c r="D271" s="11" t="n">
        <f aca="false">B271-C271</f>
        <v>0.25</v>
      </c>
      <c r="E271" s="30" t="n">
        <f aca="false">INDEX(Discount!$C$4:$C$59,C271+1)</f>
        <v>0.503189904708666</v>
      </c>
      <c r="F271" s="30" t="n">
        <f aca="false">IF(C271+2&gt;56,INDEX(Discount!$C$4:$C$59,56),INDEX(Discount!$C$4:$C$59,C271+2))</f>
        <v>0.487615455114014</v>
      </c>
      <c r="G271" s="30" t="n">
        <f aca="false">IF(D271=0,E271,EXP((1-D271)*LN(E271)+D271*LN(F271)))</f>
        <v>0.499250266252363</v>
      </c>
    </row>
    <row r="272" customFormat="false" ht="15" hidden="false" customHeight="true" outlineLevel="0" collapsed="false">
      <c r="A272" s="1" t="n">
        <v>268</v>
      </c>
      <c r="B272" s="11" t="n">
        <f aca="false">A272/12</f>
        <v>22.3333333333333</v>
      </c>
      <c r="C272" s="34" t="n">
        <f aca="false">INT(B272)</f>
        <v>22</v>
      </c>
      <c r="D272" s="11" t="n">
        <f aca="false">B272-C272</f>
        <v>0.333333333333332</v>
      </c>
      <c r="E272" s="30" t="n">
        <f aca="false">INDEX(Discount!$C$4:$C$59,C272+1)</f>
        <v>0.503189904708666</v>
      </c>
      <c r="F272" s="30" t="n">
        <f aca="false">IF(C272+2&gt;56,INDEX(Discount!$C$4:$C$59,56),INDEX(Discount!$C$4:$C$59,C272+2))</f>
        <v>0.487615455114014</v>
      </c>
      <c r="G272" s="30" t="n">
        <f aca="false">IF(D272=0,E272,EXP((1-D272)*LN(E272)+D272*LN(F272)))</f>
        <v>0.497943919780241</v>
      </c>
    </row>
    <row r="273" customFormat="false" ht="15" hidden="false" customHeight="true" outlineLevel="0" collapsed="false">
      <c r="A273" s="1" t="n">
        <v>269</v>
      </c>
      <c r="B273" s="11" t="n">
        <f aca="false">A273/12</f>
        <v>22.4166666666667</v>
      </c>
      <c r="C273" s="34" t="n">
        <f aca="false">INT(B273)</f>
        <v>22</v>
      </c>
      <c r="D273" s="11" t="n">
        <f aca="false">B273-C273</f>
        <v>0.416666666666668</v>
      </c>
      <c r="E273" s="30" t="n">
        <f aca="false">INDEX(Discount!$C$4:$C$59,C273+1)</f>
        <v>0.503189904708666</v>
      </c>
      <c r="F273" s="30" t="n">
        <f aca="false">IF(C273+2&gt;56,INDEX(Discount!$C$4:$C$59,56),INDEX(Discount!$C$4:$C$59,C273+2))</f>
        <v>0.487615455114014</v>
      </c>
      <c r="G273" s="30" t="n">
        <f aca="false">IF(D273=0,E273,EXP((1-D273)*LN(E273)+D273*LN(F273)))</f>
        <v>0.496640991515821</v>
      </c>
    </row>
    <row r="274" customFormat="false" ht="15" hidden="false" customHeight="true" outlineLevel="0" collapsed="false">
      <c r="A274" s="1" t="n">
        <v>270</v>
      </c>
      <c r="B274" s="11" t="n">
        <f aca="false">A274/12</f>
        <v>22.5</v>
      </c>
      <c r="C274" s="34" t="n">
        <f aca="false">INT(B274)</f>
        <v>22</v>
      </c>
      <c r="D274" s="11" t="n">
        <f aca="false">B274-C274</f>
        <v>0.5</v>
      </c>
      <c r="E274" s="30" t="n">
        <f aca="false">INDEX(Discount!$C$4:$C$59,C274+1)</f>
        <v>0.503189904708666</v>
      </c>
      <c r="F274" s="30" t="n">
        <f aca="false">IF(C274+2&gt;56,INDEX(Discount!$C$4:$C$59,56),INDEX(Discount!$C$4:$C$59,C274+2))</f>
        <v>0.487615455114014</v>
      </c>
      <c r="G274" s="30" t="n">
        <f aca="false">IF(D274=0,E274,EXP((1-D274)*LN(E274)+D274*LN(F274)))</f>
        <v>0.495341472514964</v>
      </c>
    </row>
    <row r="275" customFormat="false" ht="15" hidden="false" customHeight="true" outlineLevel="0" collapsed="false">
      <c r="A275" s="1" t="n">
        <v>271</v>
      </c>
      <c r="B275" s="11" t="n">
        <f aca="false">A275/12</f>
        <v>22.5833333333333</v>
      </c>
      <c r="C275" s="34" t="n">
        <f aca="false">INT(B275)</f>
        <v>22</v>
      </c>
      <c r="D275" s="11" t="n">
        <f aca="false">B275-C275</f>
        <v>0.583333333333332</v>
      </c>
      <c r="E275" s="30" t="n">
        <f aca="false">INDEX(Discount!$C$4:$C$59,C275+1)</f>
        <v>0.503189904708666</v>
      </c>
      <c r="F275" s="30" t="n">
        <f aca="false">IF(C275+2&gt;56,INDEX(Discount!$C$4:$C$59,56),INDEX(Discount!$C$4:$C$59,C275+2))</f>
        <v>0.487615455114014</v>
      </c>
      <c r="G275" s="30" t="n">
        <f aca="false">IF(D275=0,E275,EXP((1-D275)*LN(E275)+D275*LN(F275)))</f>
        <v>0.494045353856936</v>
      </c>
    </row>
    <row r="276" customFormat="false" ht="15" hidden="false" customHeight="true" outlineLevel="0" collapsed="false">
      <c r="A276" s="1" t="n">
        <v>272</v>
      </c>
      <c r="B276" s="11" t="n">
        <f aca="false">A276/12</f>
        <v>22.6666666666667</v>
      </c>
      <c r="C276" s="34" t="n">
        <f aca="false">INT(B276)</f>
        <v>22</v>
      </c>
      <c r="D276" s="11" t="n">
        <f aca="false">B276-C276</f>
        <v>0.666666666666668</v>
      </c>
      <c r="E276" s="30" t="n">
        <f aca="false">INDEX(Discount!$C$4:$C$59,C276+1)</f>
        <v>0.503189904708666</v>
      </c>
      <c r="F276" s="30" t="n">
        <f aca="false">IF(C276+2&gt;56,INDEX(Discount!$C$4:$C$59,56),INDEX(Discount!$C$4:$C$59,C276+2))</f>
        <v>0.487615455114014</v>
      </c>
      <c r="G276" s="30" t="n">
        <f aca="false">IF(D276=0,E276,EXP((1-D276)*LN(E276)+D276*LN(F276)))</f>
        <v>0.492752626644342</v>
      </c>
    </row>
    <row r="277" customFormat="false" ht="15" hidden="false" customHeight="true" outlineLevel="0" collapsed="false">
      <c r="A277" s="1" t="n">
        <v>273</v>
      </c>
      <c r="B277" s="11" t="n">
        <f aca="false">A277/12</f>
        <v>22.75</v>
      </c>
      <c r="C277" s="34" t="n">
        <f aca="false">INT(B277)</f>
        <v>22</v>
      </c>
      <c r="D277" s="11" t="n">
        <f aca="false">B277-C277</f>
        <v>0.75</v>
      </c>
      <c r="E277" s="30" t="n">
        <f aca="false">INDEX(Discount!$C$4:$C$59,C277+1)</f>
        <v>0.503189904708666</v>
      </c>
      <c r="F277" s="30" t="n">
        <f aca="false">IF(C277+2&gt;56,INDEX(Discount!$C$4:$C$59,56),INDEX(Discount!$C$4:$C$59,C277+2))</f>
        <v>0.487615455114014</v>
      </c>
      <c r="G277" s="30" t="n">
        <f aca="false">IF(D277=0,E277,EXP((1-D277)*LN(E277)+D277*LN(F277)))</f>
        <v>0.491463282003071</v>
      </c>
    </row>
    <row r="278" customFormat="false" ht="15" hidden="false" customHeight="true" outlineLevel="0" collapsed="false">
      <c r="A278" s="1" t="n">
        <v>274</v>
      </c>
      <c r="B278" s="11" t="n">
        <f aca="false">A278/12</f>
        <v>22.8333333333333</v>
      </c>
      <c r="C278" s="34" t="n">
        <f aca="false">INT(B278)</f>
        <v>22</v>
      </c>
      <c r="D278" s="11" t="n">
        <f aca="false">B278-C278</f>
        <v>0.833333333333332</v>
      </c>
      <c r="E278" s="30" t="n">
        <f aca="false">INDEX(Discount!$C$4:$C$59,C278+1)</f>
        <v>0.503189904708666</v>
      </c>
      <c r="F278" s="30" t="n">
        <f aca="false">IF(C278+2&gt;56,INDEX(Discount!$C$4:$C$59,56),INDEX(Discount!$C$4:$C$59,C278+2))</f>
        <v>0.487615455114014</v>
      </c>
      <c r="G278" s="30" t="n">
        <f aca="false">IF(D278=0,E278,EXP((1-D278)*LN(E278)+D278*LN(F278)))</f>
        <v>0.490177311082231</v>
      </c>
    </row>
    <row r="279" customFormat="false" ht="15" hidden="false" customHeight="true" outlineLevel="0" collapsed="false">
      <c r="A279" s="1" t="n">
        <v>275</v>
      </c>
      <c r="B279" s="11" t="n">
        <f aca="false">A279/12</f>
        <v>22.9166666666667</v>
      </c>
      <c r="C279" s="34" t="n">
        <f aca="false">INT(B279)</f>
        <v>22</v>
      </c>
      <c r="D279" s="11" t="n">
        <f aca="false">B279-C279</f>
        <v>0.916666666666668</v>
      </c>
      <c r="E279" s="30" t="n">
        <f aca="false">INDEX(Discount!$C$4:$C$59,C279+1)</f>
        <v>0.503189904708666</v>
      </c>
      <c r="F279" s="30" t="n">
        <f aca="false">IF(C279+2&gt;56,INDEX(Discount!$C$4:$C$59,56),INDEX(Discount!$C$4:$C$59,C279+2))</f>
        <v>0.487615455114014</v>
      </c>
      <c r="G279" s="30" t="n">
        <f aca="false">IF(D279=0,E279,EXP((1-D279)*LN(E279)+D279*LN(F279)))</f>
        <v>0.48889470505409</v>
      </c>
    </row>
    <row r="280" customFormat="false" ht="15" hidden="false" customHeight="true" outlineLevel="0" collapsed="false">
      <c r="A280" s="1" t="n">
        <v>276</v>
      </c>
      <c r="B280" s="11" t="n">
        <f aca="false">A280/12</f>
        <v>23</v>
      </c>
      <c r="C280" s="34" t="n">
        <f aca="false">INT(B280)</f>
        <v>23</v>
      </c>
      <c r="D280" s="11" t="n">
        <f aca="false">B280-C280</f>
        <v>0</v>
      </c>
      <c r="E280" s="30" t="n">
        <f aca="false">INDEX(Discount!$C$4:$C$59,C280+1)</f>
        <v>0.487615455114014</v>
      </c>
      <c r="F280" s="30" t="n">
        <f aca="false">IF(C280+2&gt;56,INDEX(Discount!$C$4:$C$59,56),INDEX(Discount!$C$4:$C$59,C280+2))</f>
        <v>0.472403995889235</v>
      </c>
      <c r="G280" s="30" t="n">
        <f aca="false">IF(D280=0,E280,EXP((1-D280)*LN(E280)+D280*LN(F280)))</f>
        <v>0.487615455114014</v>
      </c>
    </row>
    <row r="281" customFormat="false" ht="15" hidden="false" customHeight="true" outlineLevel="0" collapsed="false">
      <c r="A281" s="1" t="n">
        <v>277</v>
      </c>
      <c r="B281" s="11" t="n">
        <f aca="false">A281/12</f>
        <v>23.0833333333333</v>
      </c>
      <c r="C281" s="34" t="n">
        <f aca="false">INT(B281)</f>
        <v>23</v>
      </c>
      <c r="D281" s="11" t="n">
        <f aca="false">B281-C281</f>
        <v>0.0833333333333322</v>
      </c>
      <c r="E281" s="30" t="n">
        <f aca="false">INDEX(Discount!$C$4:$C$59,C281+1)</f>
        <v>0.487615455114014</v>
      </c>
      <c r="F281" s="30" t="n">
        <f aca="false">IF(C281+2&gt;56,INDEX(Discount!$C$4:$C$59,56),INDEX(Discount!$C$4:$C$59,C281+2))</f>
        <v>0.472403995889235</v>
      </c>
      <c r="G281" s="30" t="n">
        <f aca="false">IF(D281=0,E281,EXP((1-D281)*LN(E281)+D281*LN(F281)))</f>
        <v>0.486329339423989</v>
      </c>
    </row>
    <row r="282" customFormat="false" ht="15" hidden="false" customHeight="true" outlineLevel="0" collapsed="false">
      <c r="A282" s="1" t="n">
        <v>278</v>
      </c>
      <c r="B282" s="11" t="n">
        <f aca="false">A282/12</f>
        <v>23.1666666666667</v>
      </c>
      <c r="C282" s="34" t="n">
        <f aca="false">INT(B282)</f>
        <v>23</v>
      </c>
      <c r="D282" s="11" t="n">
        <f aca="false">B282-C282</f>
        <v>0.166666666666668</v>
      </c>
      <c r="E282" s="30" t="n">
        <f aca="false">INDEX(Discount!$C$4:$C$59,C282+1)</f>
        <v>0.487615455114014</v>
      </c>
      <c r="F282" s="30" t="n">
        <f aca="false">IF(C282+2&gt;56,INDEX(Discount!$C$4:$C$59,56),INDEX(Discount!$C$4:$C$59,C282+2))</f>
        <v>0.472403995889235</v>
      </c>
      <c r="G282" s="30" t="n">
        <f aca="false">IF(D282=0,E282,EXP((1-D282)*LN(E282)+D282*LN(F282)))</f>
        <v>0.485046615943031</v>
      </c>
    </row>
    <row r="283" customFormat="false" ht="15" hidden="false" customHeight="true" outlineLevel="0" collapsed="false">
      <c r="A283" s="1" t="n">
        <v>279</v>
      </c>
      <c r="B283" s="11" t="n">
        <f aca="false">A283/12</f>
        <v>23.25</v>
      </c>
      <c r="C283" s="34" t="n">
        <f aca="false">INT(B283)</f>
        <v>23</v>
      </c>
      <c r="D283" s="11" t="n">
        <f aca="false">B283-C283</f>
        <v>0.25</v>
      </c>
      <c r="E283" s="30" t="n">
        <f aca="false">INDEX(Discount!$C$4:$C$59,C283+1)</f>
        <v>0.487615455114014</v>
      </c>
      <c r="F283" s="30" t="n">
        <f aca="false">IF(C283+2&gt;56,INDEX(Discount!$C$4:$C$59,56),INDEX(Discount!$C$4:$C$59,C283+2))</f>
        <v>0.472403995889235</v>
      </c>
      <c r="G283" s="30" t="n">
        <f aca="false">IF(D283=0,E283,EXP((1-D283)*LN(E283)+D283*LN(F283)))</f>
        <v>0.48376727572398</v>
      </c>
    </row>
    <row r="284" customFormat="false" ht="15" hidden="false" customHeight="true" outlineLevel="0" collapsed="false">
      <c r="A284" s="1" t="n">
        <v>280</v>
      </c>
      <c r="B284" s="11" t="n">
        <f aca="false">A284/12</f>
        <v>23.3333333333333</v>
      </c>
      <c r="C284" s="34" t="n">
        <f aca="false">INT(B284)</f>
        <v>23</v>
      </c>
      <c r="D284" s="11" t="n">
        <f aca="false">B284-C284</f>
        <v>0.333333333333332</v>
      </c>
      <c r="E284" s="30" t="n">
        <f aca="false">INDEX(Discount!$C$4:$C$59,C284+1)</f>
        <v>0.487615455114014</v>
      </c>
      <c r="F284" s="30" t="n">
        <f aca="false">IF(C284+2&gt;56,INDEX(Discount!$C$4:$C$59,56),INDEX(Discount!$C$4:$C$59,C284+2))</f>
        <v>0.472403995889235</v>
      </c>
      <c r="G284" s="30" t="n">
        <f aca="false">IF(D284=0,E284,EXP((1-D284)*LN(E284)+D284*LN(F284)))</f>
        <v>0.482491309843277</v>
      </c>
    </row>
    <row r="285" customFormat="false" ht="15" hidden="false" customHeight="true" outlineLevel="0" collapsed="false">
      <c r="A285" s="1" t="n">
        <v>281</v>
      </c>
      <c r="B285" s="11" t="n">
        <f aca="false">A285/12</f>
        <v>23.4166666666667</v>
      </c>
      <c r="C285" s="34" t="n">
        <f aca="false">INT(B285)</f>
        <v>23</v>
      </c>
      <c r="D285" s="11" t="n">
        <f aca="false">B285-C285</f>
        <v>0.416666666666668</v>
      </c>
      <c r="E285" s="30" t="n">
        <f aca="false">INDEX(Discount!$C$4:$C$59,C285+1)</f>
        <v>0.487615455114014</v>
      </c>
      <c r="F285" s="30" t="n">
        <f aca="false">IF(C285+2&gt;56,INDEX(Discount!$C$4:$C$59,56),INDEX(Discount!$C$4:$C$59,C285+2))</f>
        <v>0.472403995889235</v>
      </c>
      <c r="G285" s="30" t="n">
        <f aca="false">IF(D285=0,E285,EXP((1-D285)*LN(E285)+D285*LN(F285)))</f>
        <v>0.481218709400895</v>
      </c>
    </row>
    <row r="286" customFormat="false" ht="15" hidden="false" customHeight="true" outlineLevel="0" collapsed="false">
      <c r="A286" s="1" t="n">
        <v>282</v>
      </c>
      <c r="B286" s="11" t="n">
        <f aca="false">A286/12</f>
        <v>23.5</v>
      </c>
      <c r="C286" s="34" t="n">
        <f aca="false">INT(B286)</f>
        <v>23</v>
      </c>
      <c r="D286" s="11" t="n">
        <f aca="false">B286-C286</f>
        <v>0.5</v>
      </c>
      <c r="E286" s="30" t="n">
        <f aca="false">INDEX(Discount!$C$4:$C$59,C286+1)</f>
        <v>0.487615455114014</v>
      </c>
      <c r="F286" s="30" t="n">
        <f aca="false">IF(C286+2&gt;56,INDEX(Discount!$C$4:$C$59,56),INDEX(Discount!$C$4:$C$59,C286+2))</f>
        <v>0.472403995889235</v>
      </c>
      <c r="G286" s="30" t="n">
        <f aca="false">IF(D286=0,E286,EXP((1-D286)*LN(E286)+D286*LN(F286)))</f>
        <v>0.479949465520286</v>
      </c>
    </row>
    <row r="287" customFormat="false" ht="15" hidden="false" customHeight="true" outlineLevel="0" collapsed="false">
      <c r="A287" s="1" t="n">
        <v>283</v>
      </c>
      <c r="B287" s="11" t="n">
        <f aca="false">A287/12</f>
        <v>23.5833333333333</v>
      </c>
      <c r="C287" s="34" t="n">
        <f aca="false">INT(B287)</f>
        <v>23</v>
      </c>
      <c r="D287" s="11" t="n">
        <f aca="false">B287-C287</f>
        <v>0.583333333333332</v>
      </c>
      <c r="E287" s="30" t="n">
        <f aca="false">INDEX(Discount!$C$4:$C$59,C287+1)</f>
        <v>0.487615455114014</v>
      </c>
      <c r="F287" s="30" t="n">
        <f aca="false">IF(C287+2&gt;56,INDEX(Discount!$C$4:$C$59,56),INDEX(Discount!$C$4:$C$59,C287+2))</f>
        <v>0.472403995889235</v>
      </c>
      <c r="G287" s="30" t="n">
        <f aca="false">IF(D287=0,E287,EXP((1-D287)*LN(E287)+D287*LN(F287)))</f>
        <v>0.478683569348311</v>
      </c>
    </row>
    <row r="288" customFormat="false" ht="15" hidden="false" customHeight="true" outlineLevel="0" collapsed="false">
      <c r="A288" s="1" t="n">
        <v>284</v>
      </c>
      <c r="B288" s="11" t="n">
        <f aca="false">A288/12</f>
        <v>23.6666666666667</v>
      </c>
      <c r="C288" s="34" t="n">
        <f aca="false">INT(B288)</f>
        <v>23</v>
      </c>
      <c r="D288" s="11" t="n">
        <f aca="false">B288-C288</f>
        <v>0.666666666666668</v>
      </c>
      <c r="E288" s="30" t="n">
        <f aca="false">INDEX(Discount!$C$4:$C$59,C288+1)</f>
        <v>0.487615455114014</v>
      </c>
      <c r="F288" s="30" t="n">
        <f aca="false">IF(C288+2&gt;56,INDEX(Discount!$C$4:$C$59,56),INDEX(Discount!$C$4:$C$59,C288+2))</f>
        <v>0.472403995889235</v>
      </c>
      <c r="G288" s="30" t="n">
        <f aca="false">IF(D288=0,E288,EXP((1-D288)*LN(E288)+D288*LN(F288)))</f>
        <v>0.477421012055183</v>
      </c>
    </row>
    <row r="289" customFormat="false" ht="15" hidden="false" customHeight="true" outlineLevel="0" collapsed="false">
      <c r="A289" s="1" t="n">
        <v>285</v>
      </c>
      <c r="B289" s="11" t="n">
        <f aca="false">A289/12</f>
        <v>23.75</v>
      </c>
      <c r="C289" s="34" t="n">
        <f aca="false">INT(B289)</f>
        <v>23</v>
      </c>
      <c r="D289" s="11" t="n">
        <f aca="false">B289-C289</f>
        <v>0.75</v>
      </c>
      <c r="E289" s="30" t="n">
        <f aca="false">INDEX(Discount!$C$4:$C$59,C289+1)</f>
        <v>0.487615455114014</v>
      </c>
      <c r="F289" s="30" t="n">
        <f aca="false">IF(C289+2&gt;56,INDEX(Discount!$C$4:$C$59,56),INDEX(Discount!$C$4:$C$59,C289+2))</f>
        <v>0.472403995889235</v>
      </c>
      <c r="G289" s="30" t="n">
        <f aca="false">IF(D289=0,E289,EXP((1-D289)*LN(E289)+D289*LN(F289)))</f>
        <v>0.476161784834405</v>
      </c>
    </row>
    <row r="290" customFormat="false" ht="15" hidden="false" customHeight="true" outlineLevel="0" collapsed="false">
      <c r="A290" s="1" t="n">
        <v>286</v>
      </c>
      <c r="B290" s="11" t="n">
        <f aca="false">A290/12</f>
        <v>23.8333333333333</v>
      </c>
      <c r="C290" s="34" t="n">
        <f aca="false">INT(B290)</f>
        <v>23</v>
      </c>
      <c r="D290" s="11" t="n">
        <f aca="false">B290-C290</f>
        <v>0.833333333333332</v>
      </c>
      <c r="E290" s="30" t="n">
        <f aca="false">INDEX(Discount!$C$4:$C$59,C290+1)</f>
        <v>0.487615455114014</v>
      </c>
      <c r="F290" s="30" t="n">
        <f aca="false">IF(C290+2&gt;56,INDEX(Discount!$C$4:$C$59,56),INDEX(Discount!$C$4:$C$59,C290+2))</f>
        <v>0.472403995889235</v>
      </c>
      <c r="G290" s="30" t="n">
        <f aca="false">IF(D290=0,E290,EXP((1-D290)*LN(E290)+D290*LN(F290)))</f>
        <v>0.474905878902706</v>
      </c>
    </row>
    <row r="291" customFormat="false" ht="15" hidden="false" customHeight="true" outlineLevel="0" collapsed="false">
      <c r="A291" s="1" t="n">
        <v>287</v>
      </c>
      <c r="B291" s="11" t="n">
        <f aca="false">A291/12</f>
        <v>23.9166666666667</v>
      </c>
      <c r="C291" s="34" t="n">
        <f aca="false">INT(B291)</f>
        <v>23</v>
      </c>
      <c r="D291" s="11" t="n">
        <f aca="false">B291-C291</f>
        <v>0.916666666666668</v>
      </c>
      <c r="E291" s="30" t="n">
        <f aca="false">INDEX(Discount!$C$4:$C$59,C291+1)</f>
        <v>0.487615455114014</v>
      </c>
      <c r="F291" s="30" t="n">
        <f aca="false">IF(C291+2&gt;56,INDEX(Discount!$C$4:$C$59,56),INDEX(Discount!$C$4:$C$59,C291+2))</f>
        <v>0.472403995889235</v>
      </c>
      <c r="G291" s="30" t="n">
        <f aca="false">IF(D291=0,E291,EXP((1-D291)*LN(E291)+D291*LN(F291)))</f>
        <v>0.473653285499982</v>
      </c>
    </row>
    <row r="292" customFormat="false" ht="15" hidden="false" customHeight="true" outlineLevel="0" collapsed="false">
      <c r="A292" s="1" t="n">
        <v>288</v>
      </c>
      <c r="B292" s="11" t="n">
        <f aca="false">A292/12</f>
        <v>24</v>
      </c>
      <c r="C292" s="34" t="n">
        <f aca="false">INT(B292)</f>
        <v>24</v>
      </c>
      <c r="D292" s="11" t="n">
        <f aca="false">B292-C292</f>
        <v>0</v>
      </c>
      <c r="E292" s="30" t="n">
        <f aca="false">INDEX(Discount!$C$4:$C$59,C292+1)</f>
        <v>0.472403995889235</v>
      </c>
      <c r="F292" s="30" t="n">
        <f aca="false">IF(C292+2&gt;56,INDEX(Discount!$C$4:$C$59,56),INDEX(Discount!$C$4:$C$59,C292+2))</f>
        <v>0.457760232732789</v>
      </c>
      <c r="G292" s="30" t="n">
        <f aca="false">IF(D292=0,E292,EXP((1-D292)*LN(E292)+D292*LN(F292)))</f>
        <v>0.472403995889235</v>
      </c>
    </row>
    <row r="293" customFormat="false" ht="15" hidden="false" customHeight="true" outlineLevel="0" collapsed="false">
      <c r="A293" s="1" t="n">
        <v>289</v>
      </c>
      <c r="B293" s="11" t="n">
        <f aca="false">A293/12</f>
        <v>24.0833333333333</v>
      </c>
      <c r="C293" s="34" t="n">
        <f aca="false">INT(B293)</f>
        <v>24</v>
      </c>
      <c r="D293" s="11" t="n">
        <f aca="false">B293-C293</f>
        <v>0.0833333333333322</v>
      </c>
      <c r="E293" s="30" t="n">
        <f aca="false">INDEX(Discount!$C$4:$C$59,C293+1)</f>
        <v>0.472403995889235</v>
      </c>
      <c r="F293" s="30" t="n">
        <f aca="false">IF(C293+2&gt;56,INDEX(Discount!$C$4:$C$59,56),INDEX(Discount!$C$4:$C$59,C293+2))</f>
        <v>0.457760232732789</v>
      </c>
      <c r="G293" s="30" t="n">
        <f aca="false">IF(D293=0,E293,EXP((1-D293)*LN(E293)+D293*LN(F293)))</f>
        <v>0.47116599325135</v>
      </c>
    </row>
    <row r="294" customFormat="false" ht="15" hidden="false" customHeight="true" outlineLevel="0" collapsed="false">
      <c r="A294" s="1" t="n">
        <v>290</v>
      </c>
      <c r="B294" s="11" t="n">
        <f aca="false">A294/12</f>
        <v>24.1666666666667</v>
      </c>
      <c r="C294" s="34" t="n">
        <f aca="false">INT(B294)</f>
        <v>24</v>
      </c>
      <c r="D294" s="11" t="n">
        <f aca="false">B294-C294</f>
        <v>0.166666666666668</v>
      </c>
      <c r="E294" s="30" t="n">
        <f aca="false">INDEX(Discount!$C$4:$C$59,C294+1)</f>
        <v>0.472403995889235</v>
      </c>
      <c r="F294" s="30" t="n">
        <f aca="false">IF(C294+2&gt;56,INDEX(Discount!$C$4:$C$59,56),INDEX(Discount!$C$4:$C$59,C294+2))</f>
        <v>0.457760232732789</v>
      </c>
      <c r="G294" s="30" t="n">
        <f aca="false">IF(D294=0,E294,EXP((1-D294)*LN(E294)+D294*LN(F294)))</f>
        <v>0.469931234977493</v>
      </c>
    </row>
    <row r="295" customFormat="false" ht="15" hidden="false" customHeight="true" outlineLevel="0" collapsed="false">
      <c r="A295" s="1" t="n">
        <v>291</v>
      </c>
      <c r="B295" s="11" t="n">
        <f aca="false">A295/12</f>
        <v>24.25</v>
      </c>
      <c r="C295" s="34" t="n">
        <f aca="false">INT(B295)</f>
        <v>24</v>
      </c>
      <c r="D295" s="11" t="n">
        <f aca="false">B295-C295</f>
        <v>0.25</v>
      </c>
      <c r="E295" s="30" t="n">
        <f aca="false">INDEX(Discount!$C$4:$C$59,C295+1)</f>
        <v>0.472403995889235</v>
      </c>
      <c r="F295" s="30" t="n">
        <f aca="false">IF(C295+2&gt;56,INDEX(Discount!$C$4:$C$59,56),INDEX(Discount!$C$4:$C$59,C295+2))</f>
        <v>0.457760232732789</v>
      </c>
      <c r="G295" s="30" t="n">
        <f aca="false">IF(D295=0,E295,EXP((1-D295)*LN(E295)+D295*LN(F295)))</f>
        <v>0.468699712565343</v>
      </c>
    </row>
    <row r="296" customFormat="false" ht="15" hidden="false" customHeight="true" outlineLevel="0" collapsed="false">
      <c r="A296" s="1" t="n">
        <v>292</v>
      </c>
      <c r="B296" s="11" t="n">
        <f aca="false">A296/12</f>
        <v>24.3333333333333</v>
      </c>
      <c r="C296" s="34" t="n">
        <f aca="false">INT(B296)</f>
        <v>24</v>
      </c>
      <c r="D296" s="11" t="n">
        <f aca="false">B296-C296</f>
        <v>0.333333333333332</v>
      </c>
      <c r="E296" s="30" t="n">
        <f aca="false">INDEX(Discount!$C$4:$C$59,C296+1)</f>
        <v>0.472403995889235</v>
      </c>
      <c r="F296" s="30" t="n">
        <f aca="false">IF(C296+2&gt;56,INDEX(Discount!$C$4:$C$59,56),INDEX(Discount!$C$4:$C$59,C296+2))</f>
        <v>0.457760232732789</v>
      </c>
      <c r="G296" s="30" t="n">
        <f aca="false">IF(D296=0,E296,EXP((1-D296)*LN(E296)+D296*LN(F296)))</f>
        <v>0.467471417534857</v>
      </c>
    </row>
    <row r="297" customFormat="false" ht="15" hidden="false" customHeight="true" outlineLevel="0" collapsed="false">
      <c r="A297" s="1" t="n">
        <v>293</v>
      </c>
      <c r="B297" s="11" t="n">
        <f aca="false">A297/12</f>
        <v>24.4166666666667</v>
      </c>
      <c r="C297" s="34" t="n">
        <f aca="false">INT(B297)</f>
        <v>24</v>
      </c>
      <c r="D297" s="11" t="n">
        <f aca="false">B297-C297</f>
        <v>0.416666666666668</v>
      </c>
      <c r="E297" s="30" t="n">
        <f aca="false">INDEX(Discount!$C$4:$C$59,C297+1)</f>
        <v>0.472403995889235</v>
      </c>
      <c r="F297" s="30" t="n">
        <f aca="false">IF(C297+2&gt;56,INDEX(Discount!$C$4:$C$59,56),INDEX(Discount!$C$4:$C$59,C297+2))</f>
        <v>0.457760232732789</v>
      </c>
      <c r="G297" s="30" t="n">
        <f aca="false">IF(D297=0,E297,EXP((1-D297)*LN(E297)+D297*LN(F297)))</f>
        <v>0.466246341428219</v>
      </c>
    </row>
    <row r="298" customFormat="false" ht="15" hidden="false" customHeight="true" outlineLevel="0" collapsed="false">
      <c r="A298" s="1" t="n">
        <v>294</v>
      </c>
      <c r="B298" s="11" t="n">
        <f aca="false">A298/12</f>
        <v>24.5</v>
      </c>
      <c r="C298" s="34" t="n">
        <f aca="false">INT(B298)</f>
        <v>24</v>
      </c>
      <c r="D298" s="11" t="n">
        <f aca="false">B298-C298</f>
        <v>0.5</v>
      </c>
      <c r="E298" s="30" t="n">
        <f aca="false">INDEX(Discount!$C$4:$C$59,C298+1)</f>
        <v>0.472403995889235</v>
      </c>
      <c r="F298" s="30" t="n">
        <f aca="false">IF(C298+2&gt;56,INDEX(Discount!$C$4:$C$59,56),INDEX(Discount!$C$4:$C$59,C298+2))</f>
        <v>0.457760232732789</v>
      </c>
      <c r="G298" s="30" t="n">
        <f aca="false">IF(D298=0,E298,EXP((1-D298)*LN(E298)+D298*LN(F298)))</f>
        <v>0.465024475809775</v>
      </c>
    </row>
    <row r="299" customFormat="false" ht="15" hidden="false" customHeight="true" outlineLevel="0" collapsed="false">
      <c r="A299" s="1" t="n">
        <v>295</v>
      </c>
      <c r="B299" s="11" t="n">
        <f aca="false">A299/12</f>
        <v>24.5833333333333</v>
      </c>
      <c r="C299" s="34" t="n">
        <f aca="false">INT(B299)</f>
        <v>24</v>
      </c>
      <c r="D299" s="11" t="n">
        <f aca="false">B299-C299</f>
        <v>0.583333333333332</v>
      </c>
      <c r="E299" s="30" t="n">
        <f aca="false">INDEX(Discount!$C$4:$C$59,C299+1)</f>
        <v>0.472403995889235</v>
      </c>
      <c r="F299" s="30" t="n">
        <f aca="false">IF(C299+2&gt;56,INDEX(Discount!$C$4:$C$59,56),INDEX(Discount!$C$4:$C$59,C299+2))</f>
        <v>0.457760232732789</v>
      </c>
      <c r="G299" s="30" t="n">
        <f aca="false">IF(D299=0,E299,EXP((1-D299)*LN(E299)+D299*LN(F299)))</f>
        <v>0.463805812265979</v>
      </c>
    </row>
    <row r="300" customFormat="false" ht="15" hidden="false" customHeight="true" outlineLevel="0" collapsed="false">
      <c r="A300" s="1" t="n">
        <v>296</v>
      </c>
      <c r="B300" s="11" t="n">
        <f aca="false">A300/12</f>
        <v>24.6666666666667</v>
      </c>
      <c r="C300" s="34" t="n">
        <f aca="false">INT(B300)</f>
        <v>24</v>
      </c>
      <c r="D300" s="11" t="n">
        <f aca="false">B300-C300</f>
        <v>0.666666666666668</v>
      </c>
      <c r="E300" s="30" t="n">
        <f aca="false">INDEX(Discount!$C$4:$C$59,C300+1)</f>
        <v>0.472403995889235</v>
      </c>
      <c r="F300" s="30" t="n">
        <f aca="false">IF(C300+2&gt;56,INDEX(Discount!$C$4:$C$59,56),INDEX(Discount!$C$4:$C$59,C300+2))</f>
        <v>0.457760232732789</v>
      </c>
      <c r="G300" s="30" t="n">
        <f aca="false">IF(D300=0,E300,EXP((1-D300)*LN(E300)+D300*LN(F300)))</f>
        <v>0.462590342405333</v>
      </c>
    </row>
    <row r="301" customFormat="false" ht="15" hidden="false" customHeight="true" outlineLevel="0" collapsed="false">
      <c r="A301" s="1" t="n">
        <v>297</v>
      </c>
      <c r="B301" s="11" t="n">
        <f aca="false">A301/12</f>
        <v>24.75</v>
      </c>
      <c r="C301" s="34" t="n">
        <f aca="false">INT(B301)</f>
        <v>24</v>
      </c>
      <c r="D301" s="11" t="n">
        <f aca="false">B301-C301</f>
        <v>0.75</v>
      </c>
      <c r="E301" s="30" t="n">
        <f aca="false">INDEX(Discount!$C$4:$C$59,C301+1)</f>
        <v>0.472403995889235</v>
      </c>
      <c r="F301" s="30" t="n">
        <f aca="false">IF(C301+2&gt;56,INDEX(Discount!$C$4:$C$59,56),INDEX(Discount!$C$4:$C$59,C301+2))</f>
        <v>0.457760232732789</v>
      </c>
      <c r="G301" s="30" t="n">
        <f aca="false">IF(D301=0,E301,EXP((1-D301)*LN(E301)+D301*LN(F301)))</f>
        <v>0.461378057858331</v>
      </c>
    </row>
    <row r="302" customFormat="false" ht="15" hidden="false" customHeight="true" outlineLevel="0" collapsed="false">
      <c r="A302" s="1" t="n">
        <v>298</v>
      </c>
      <c r="B302" s="11" t="n">
        <f aca="false">A302/12</f>
        <v>24.8333333333333</v>
      </c>
      <c r="C302" s="34" t="n">
        <f aca="false">INT(B302)</f>
        <v>24</v>
      </c>
      <c r="D302" s="11" t="n">
        <f aca="false">B302-C302</f>
        <v>0.833333333333332</v>
      </c>
      <c r="E302" s="30" t="n">
        <f aca="false">INDEX(Discount!$C$4:$C$59,C302+1)</f>
        <v>0.472403995889235</v>
      </c>
      <c r="F302" s="30" t="n">
        <f aca="false">IF(C302+2&gt;56,INDEX(Discount!$C$4:$C$59,56),INDEX(Discount!$C$4:$C$59,C302+2))</f>
        <v>0.457760232732789</v>
      </c>
      <c r="G302" s="30" t="n">
        <f aca="false">IF(D302=0,E302,EXP((1-D302)*LN(E302)+D302*LN(F302)))</f>
        <v>0.460168950277402</v>
      </c>
    </row>
    <row r="303" customFormat="false" ht="15" hidden="false" customHeight="true" outlineLevel="0" collapsed="false">
      <c r="A303" s="1" t="n">
        <v>299</v>
      </c>
      <c r="B303" s="11" t="n">
        <f aca="false">A303/12</f>
        <v>24.9166666666667</v>
      </c>
      <c r="C303" s="34" t="n">
        <f aca="false">INT(B303)</f>
        <v>24</v>
      </c>
      <c r="D303" s="11" t="n">
        <f aca="false">B303-C303</f>
        <v>0.916666666666668</v>
      </c>
      <c r="E303" s="30" t="n">
        <f aca="false">INDEX(Discount!$C$4:$C$59,C303+1)</f>
        <v>0.472403995889235</v>
      </c>
      <c r="F303" s="30" t="n">
        <f aca="false">IF(C303+2&gt;56,INDEX(Discount!$C$4:$C$59,56),INDEX(Discount!$C$4:$C$59,C303+2))</f>
        <v>0.457760232732789</v>
      </c>
      <c r="G303" s="30" t="n">
        <f aca="false">IF(D303=0,E303,EXP((1-D303)*LN(E303)+D303*LN(F303)))</f>
        <v>0.458963011336847</v>
      </c>
    </row>
    <row r="304" customFormat="false" ht="15" hidden="false" customHeight="true" outlineLevel="0" collapsed="false">
      <c r="A304" s="1" t="n">
        <v>300</v>
      </c>
      <c r="B304" s="11" t="n">
        <f aca="false">A304/12</f>
        <v>25</v>
      </c>
      <c r="C304" s="34" t="n">
        <f aca="false">INT(B304)</f>
        <v>25</v>
      </c>
      <c r="D304" s="11" t="n">
        <f aca="false">B304-C304</f>
        <v>0</v>
      </c>
      <c r="E304" s="30" t="n">
        <f aca="false">INDEX(Discount!$C$4:$C$59,C304+1)</f>
        <v>0.457760232732789</v>
      </c>
      <c r="F304" s="30" t="n">
        <f aca="false">IF(C304+2&gt;56,INDEX(Discount!$C$4:$C$59,56),INDEX(Discount!$C$4:$C$59,C304+2))</f>
        <v>0.443450043931947</v>
      </c>
      <c r="G304" s="30" t="n">
        <f aca="false">IF(D304=0,E304,EXP((1-D304)*LN(E304)+D304*LN(F304)))</f>
        <v>0.457760232732789</v>
      </c>
    </row>
    <row r="305" customFormat="false" ht="15" hidden="false" customHeight="true" outlineLevel="0" collapsed="false">
      <c r="A305" s="1" t="n">
        <v>301</v>
      </c>
      <c r="B305" s="11" t="n">
        <f aca="false">A305/12</f>
        <v>25.0833333333333</v>
      </c>
      <c r="C305" s="34" t="n">
        <f aca="false">INT(B305)</f>
        <v>25</v>
      </c>
      <c r="D305" s="11" t="n">
        <f aca="false">B305-C305</f>
        <v>0.0833333333333322</v>
      </c>
      <c r="E305" s="30" t="n">
        <f aca="false">INDEX(Discount!$C$4:$C$59,C305+1)</f>
        <v>0.457760232732789</v>
      </c>
      <c r="F305" s="30" t="n">
        <f aca="false">IF(C305+2&gt;56,INDEX(Discount!$C$4:$C$59,56),INDEX(Discount!$C$4:$C$59,C305+2))</f>
        <v>0.443450043931947</v>
      </c>
      <c r="G305" s="30" t="n">
        <f aca="false">IF(D305=0,E305,EXP((1-D305)*LN(E305)+D305*LN(F305)))</f>
        <v>0.456550281274604</v>
      </c>
    </row>
    <row r="306" customFormat="false" ht="15" hidden="false" customHeight="true" outlineLevel="0" collapsed="false">
      <c r="A306" s="1" t="n">
        <v>302</v>
      </c>
      <c r="B306" s="11" t="n">
        <f aca="false">A306/12</f>
        <v>25.1666666666667</v>
      </c>
      <c r="C306" s="34" t="n">
        <f aca="false">INT(B306)</f>
        <v>25</v>
      </c>
      <c r="D306" s="11" t="n">
        <f aca="false">B306-C306</f>
        <v>0.166666666666668</v>
      </c>
      <c r="E306" s="30" t="n">
        <f aca="false">INDEX(Discount!$C$4:$C$59,C306+1)</f>
        <v>0.457760232732789</v>
      </c>
      <c r="F306" s="30" t="n">
        <f aca="false">IF(C306+2&gt;56,INDEX(Discount!$C$4:$C$59,56),INDEX(Discount!$C$4:$C$59,C306+2))</f>
        <v>0.443450043931947</v>
      </c>
      <c r="G306" s="30" t="n">
        <f aca="false">IF(D306=0,E306,EXP((1-D306)*LN(E306)+D306*LN(F306)))</f>
        <v>0.455343527959086</v>
      </c>
    </row>
    <row r="307" customFormat="false" ht="15" hidden="false" customHeight="true" outlineLevel="0" collapsed="false">
      <c r="A307" s="1" t="n">
        <v>303</v>
      </c>
      <c r="B307" s="11" t="n">
        <f aca="false">A307/12</f>
        <v>25.25</v>
      </c>
      <c r="C307" s="34" t="n">
        <f aca="false">INT(B307)</f>
        <v>25</v>
      </c>
      <c r="D307" s="11" t="n">
        <f aca="false">B307-C307</f>
        <v>0.25</v>
      </c>
      <c r="E307" s="30" t="n">
        <f aca="false">INDEX(Discount!$C$4:$C$59,C307+1)</f>
        <v>0.457760232732789</v>
      </c>
      <c r="F307" s="30" t="n">
        <f aca="false">IF(C307+2&gt;56,INDEX(Discount!$C$4:$C$59,56),INDEX(Discount!$C$4:$C$59,C307+2))</f>
        <v>0.443450043931947</v>
      </c>
      <c r="G307" s="30" t="n">
        <f aca="false">IF(D307=0,E307,EXP((1-D307)*LN(E307)+D307*LN(F307)))</f>
        <v>0.454139964332906</v>
      </c>
    </row>
    <row r="308" customFormat="false" ht="15" hidden="false" customHeight="true" outlineLevel="0" collapsed="false">
      <c r="A308" s="1" t="n">
        <v>304</v>
      </c>
      <c r="B308" s="11" t="n">
        <f aca="false">A308/12</f>
        <v>25.3333333333333</v>
      </c>
      <c r="C308" s="34" t="n">
        <f aca="false">INT(B308)</f>
        <v>25</v>
      </c>
      <c r="D308" s="11" t="n">
        <f aca="false">B308-C308</f>
        <v>0.333333333333332</v>
      </c>
      <c r="E308" s="30" t="n">
        <f aca="false">INDEX(Discount!$C$4:$C$59,C308+1)</f>
        <v>0.457760232732789</v>
      </c>
      <c r="F308" s="30" t="n">
        <f aca="false">IF(C308+2&gt;56,INDEX(Discount!$C$4:$C$59,56),INDEX(Discount!$C$4:$C$59,C308+2))</f>
        <v>0.443450043931947</v>
      </c>
      <c r="G308" s="30" t="n">
        <f aca="false">IF(D308=0,E308,EXP((1-D308)*LN(E308)+D308*LN(F308)))</f>
        <v>0.452939581965079</v>
      </c>
    </row>
    <row r="309" customFormat="false" ht="15" hidden="false" customHeight="true" outlineLevel="0" collapsed="false">
      <c r="A309" s="1" t="n">
        <v>305</v>
      </c>
      <c r="B309" s="11" t="n">
        <f aca="false">A309/12</f>
        <v>25.4166666666667</v>
      </c>
      <c r="C309" s="34" t="n">
        <f aca="false">INT(B309)</f>
        <v>25</v>
      </c>
      <c r="D309" s="11" t="n">
        <f aca="false">B309-C309</f>
        <v>0.416666666666668</v>
      </c>
      <c r="E309" s="30" t="n">
        <f aca="false">INDEX(Discount!$C$4:$C$59,C309+1)</f>
        <v>0.457760232732789</v>
      </c>
      <c r="F309" s="30" t="n">
        <f aca="false">IF(C309+2&gt;56,INDEX(Discount!$C$4:$C$59,56),INDEX(Discount!$C$4:$C$59,C309+2))</f>
        <v>0.443450043931947</v>
      </c>
      <c r="G309" s="30" t="n">
        <f aca="false">IF(D309=0,E309,EXP((1-D309)*LN(E309)+D309*LN(F309)))</f>
        <v>0.451742372446907</v>
      </c>
    </row>
    <row r="310" customFormat="false" ht="15" hidden="false" customHeight="true" outlineLevel="0" collapsed="false">
      <c r="A310" s="1" t="n">
        <v>306</v>
      </c>
      <c r="B310" s="11" t="n">
        <f aca="false">A310/12</f>
        <v>25.5</v>
      </c>
      <c r="C310" s="34" t="n">
        <f aca="false">INT(B310)</f>
        <v>25</v>
      </c>
      <c r="D310" s="11" t="n">
        <f aca="false">B310-C310</f>
        <v>0.5</v>
      </c>
      <c r="E310" s="30" t="n">
        <f aca="false">INDEX(Discount!$C$4:$C$59,C310+1)</f>
        <v>0.457760232732789</v>
      </c>
      <c r="F310" s="30" t="n">
        <f aca="false">IF(C310+2&gt;56,INDEX(Discount!$C$4:$C$59,56),INDEX(Discount!$C$4:$C$59,C310+2))</f>
        <v>0.443450043931947</v>
      </c>
      <c r="G310" s="30" t="n">
        <f aca="false">IF(D310=0,E310,EXP((1-D310)*LN(E310)+D310*LN(F310)))</f>
        <v>0.450548327391917</v>
      </c>
    </row>
    <row r="311" customFormat="false" ht="15" hidden="false" customHeight="true" outlineLevel="0" collapsed="false">
      <c r="A311" s="1" t="n">
        <v>307</v>
      </c>
      <c r="B311" s="11" t="n">
        <f aca="false">A311/12</f>
        <v>25.5833333333333</v>
      </c>
      <c r="C311" s="34" t="n">
        <f aca="false">INT(B311)</f>
        <v>25</v>
      </c>
      <c r="D311" s="11" t="n">
        <f aca="false">B311-C311</f>
        <v>0.583333333333332</v>
      </c>
      <c r="E311" s="30" t="n">
        <f aca="false">INDEX(Discount!$C$4:$C$59,C311+1)</f>
        <v>0.457760232732789</v>
      </c>
      <c r="F311" s="30" t="n">
        <f aca="false">IF(C311+2&gt;56,INDEX(Discount!$C$4:$C$59,56),INDEX(Discount!$C$4:$C$59,C311+2))</f>
        <v>0.443450043931947</v>
      </c>
      <c r="G311" s="30" t="n">
        <f aca="false">IF(D311=0,E311,EXP((1-D311)*LN(E311)+D311*LN(F311)))</f>
        <v>0.449357438435801</v>
      </c>
    </row>
    <row r="312" customFormat="false" ht="15" hidden="false" customHeight="true" outlineLevel="0" collapsed="false">
      <c r="A312" s="1" t="n">
        <v>308</v>
      </c>
      <c r="B312" s="11" t="n">
        <f aca="false">A312/12</f>
        <v>25.6666666666667</v>
      </c>
      <c r="C312" s="34" t="n">
        <f aca="false">INT(B312)</f>
        <v>25</v>
      </c>
      <c r="D312" s="11" t="n">
        <f aca="false">B312-C312</f>
        <v>0.666666666666668</v>
      </c>
      <c r="E312" s="30" t="n">
        <f aca="false">INDEX(Discount!$C$4:$C$59,C312+1)</f>
        <v>0.457760232732789</v>
      </c>
      <c r="F312" s="30" t="n">
        <f aca="false">IF(C312+2&gt;56,INDEX(Discount!$C$4:$C$59,56),INDEX(Discount!$C$4:$C$59,C312+2))</f>
        <v>0.443450043931947</v>
      </c>
      <c r="G312" s="30" t="n">
        <f aca="false">IF(D312=0,E312,EXP((1-D312)*LN(E312)+D312*LN(F312)))</f>
        <v>0.448169697236362</v>
      </c>
    </row>
    <row r="313" customFormat="false" ht="15" hidden="false" customHeight="true" outlineLevel="0" collapsed="false">
      <c r="A313" s="1" t="n">
        <v>309</v>
      </c>
      <c r="B313" s="11" t="n">
        <f aca="false">A313/12</f>
        <v>25.75</v>
      </c>
      <c r="C313" s="34" t="n">
        <f aca="false">INT(B313)</f>
        <v>25</v>
      </c>
      <c r="D313" s="11" t="n">
        <f aca="false">B313-C313</f>
        <v>0.75</v>
      </c>
      <c r="E313" s="30" t="n">
        <f aca="false">INDEX(Discount!$C$4:$C$59,C313+1)</f>
        <v>0.457760232732789</v>
      </c>
      <c r="F313" s="30" t="n">
        <f aca="false">IF(C313+2&gt;56,INDEX(Discount!$C$4:$C$59,56),INDEX(Discount!$C$4:$C$59,C313+2))</f>
        <v>0.443450043931947</v>
      </c>
      <c r="G313" s="30" t="n">
        <f aca="false">IF(D313=0,E313,EXP((1-D313)*LN(E313)+D313*LN(F313)))</f>
        <v>0.446985095473452</v>
      </c>
    </row>
    <row r="314" customFormat="false" ht="15" hidden="false" customHeight="true" outlineLevel="0" collapsed="false">
      <c r="A314" s="1" t="n">
        <v>310</v>
      </c>
      <c r="B314" s="11" t="n">
        <f aca="false">A314/12</f>
        <v>25.8333333333333</v>
      </c>
      <c r="C314" s="34" t="n">
        <f aca="false">INT(B314)</f>
        <v>25</v>
      </c>
      <c r="D314" s="11" t="n">
        <f aca="false">B314-C314</f>
        <v>0.833333333333332</v>
      </c>
      <c r="E314" s="30" t="n">
        <f aca="false">INDEX(Discount!$C$4:$C$59,C314+1)</f>
        <v>0.457760232732789</v>
      </c>
      <c r="F314" s="30" t="n">
        <f aca="false">IF(C314+2&gt;56,INDEX(Discount!$C$4:$C$59,56),INDEX(Discount!$C$4:$C$59,C314+2))</f>
        <v>0.443450043931947</v>
      </c>
      <c r="G314" s="30" t="n">
        <f aca="false">IF(D314=0,E314,EXP((1-D314)*LN(E314)+D314*LN(F314)))</f>
        <v>0.445803624848915</v>
      </c>
    </row>
    <row r="315" customFormat="false" ht="15" hidden="false" customHeight="true" outlineLevel="0" collapsed="false">
      <c r="A315" s="1" t="n">
        <v>311</v>
      </c>
      <c r="B315" s="11" t="n">
        <f aca="false">A315/12</f>
        <v>25.9166666666667</v>
      </c>
      <c r="C315" s="34" t="n">
        <f aca="false">INT(B315)</f>
        <v>25</v>
      </c>
      <c r="D315" s="11" t="n">
        <f aca="false">B315-C315</f>
        <v>0.916666666666668</v>
      </c>
      <c r="E315" s="30" t="n">
        <f aca="false">INDEX(Discount!$C$4:$C$59,C315+1)</f>
        <v>0.457760232732789</v>
      </c>
      <c r="F315" s="30" t="n">
        <f aca="false">IF(C315+2&gt;56,INDEX(Discount!$C$4:$C$59,56),INDEX(Discount!$C$4:$C$59,C315+2))</f>
        <v>0.443450043931947</v>
      </c>
      <c r="G315" s="30" t="n">
        <f aca="false">IF(D315=0,E315,EXP((1-D315)*LN(E315)+D315*LN(F315)))</f>
        <v>0.444625277086529</v>
      </c>
    </row>
    <row r="316" customFormat="false" ht="15" hidden="false" customHeight="true" outlineLevel="0" collapsed="false">
      <c r="A316" s="1" t="n">
        <v>312</v>
      </c>
      <c r="B316" s="11" t="n">
        <f aca="false">A316/12</f>
        <v>26</v>
      </c>
      <c r="C316" s="34" t="n">
        <f aca="false">INT(B316)</f>
        <v>26</v>
      </c>
      <c r="D316" s="11" t="n">
        <f aca="false">B316-C316</f>
        <v>0</v>
      </c>
      <c r="E316" s="30" t="n">
        <f aca="false">INDEX(Discount!$C$4:$C$59,C316+1)</f>
        <v>0.443450043931947</v>
      </c>
      <c r="F316" s="30" t="n">
        <f aca="false">IF(C316+2&gt;56,INDEX(Discount!$C$4:$C$59,56),INDEX(Discount!$C$4:$C$59,C316+2))</f>
        <v>0.429682986428135</v>
      </c>
      <c r="G316" s="30" t="n">
        <f aca="false">IF(D316=0,E316,EXP((1-D316)*LN(E316)+D316*LN(F316)))</f>
        <v>0.443450043931947</v>
      </c>
    </row>
    <row r="317" customFormat="false" ht="15" hidden="false" customHeight="true" outlineLevel="0" collapsed="false">
      <c r="A317" s="1" t="n">
        <v>313</v>
      </c>
      <c r="B317" s="11" t="n">
        <f aca="false">A317/12</f>
        <v>26.0833333333333</v>
      </c>
      <c r="C317" s="34" t="n">
        <f aca="false">INT(B317)</f>
        <v>26</v>
      </c>
      <c r="D317" s="11" t="n">
        <f aca="false">B317-C317</f>
        <v>0.0833333333333322</v>
      </c>
      <c r="E317" s="30" t="n">
        <f aca="false">INDEX(Discount!$C$4:$C$59,C317+1)</f>
        <v>0.443450043931947</v>
      </c>
      <c r="F317" s="30" t="n">
        <f aca="false">IF(C317+2&gt;56,INDEX(Discount!$C$4:$C$59,56),INDEX(Discount!$C$4:$C$59,C317+2))</f>
        <v>0.429682986428135</v>
      </c>
      <c r="G317" s="30" t="n">
        <f aca="false">IF(D317=0,E317,EXP((1-D317)*LN(E317)+D317*LN(F317)))</f>
        <v>0.44228613342079</v>
      </c>
    </row>
    <row r="318" customFormat="false" ht="15" hidden="false" customHeight="true" outlineLevel="0" collapsed="false">
      <c r="A318" s="1" t="n">
        <v>314</v>
      </c>
      <c r="B318" s="11" t="n">
        <f aca="false">A318/12</f>
        <v>26.1666666666667</v>
      </c>
      <c r="C318" s="34" t="n">
        <f aca="false">INT(B318)</f>
        <v>26</v>
      </c>
      <c r="D318" s="11" t="n">
        <f aca="false">B318-C318</f>
        <v>0.166666666666668</v>
      </c>
      <c r="E318" s="30" t="n">
        <f aca="false">INDEX(Discount!$C$4:$C$59,C318+1)</f>
        <v>0.443450043931947</v>
      </c>
      <c r="F318" s="30" t="n">
        <f aca="false">IF(C318+2&gt;56,INDEX(Discount!$C$4:$C$59,56),INDEX(Discount!$C$4:$C$59,C318+2))</f>
        <v>0.429682986428135</v>
      </c>
      <c r="G318" s="30" t="n">
        <f aca="false">IF(D318=0,E318,EXP((1-D318)*LN(E318)+D318*LN(F318)))</f>
        <v>0.441125277791905</v>
      </c>
    </row>
    <row r="319" customFormat="false" ht="15" hidden="false" customHeight="true" outlineLevel="0" collapsed="false">
      <c r="A319" s="1" t="n">
        <v>315</v>
      </c>
      <c r="B319" s="11" t="n">
        <f aca="false">A319/12</f>
        <v>26.25</v>
      </c>
      <c r="C319" s="34" t="n">
        <f aca="false">INT(B319)</f>
        <v>26</v>
      </c>
      <c r="D319" s="11" t="n">
        <f aca="false">B319-C319</f>
        <v>0.25</v>
      </c>
      <c r="E319" s="30" t="n">
        <f aca="false">INDEX(Discount!$C$4:$C$59,C319+1)</f>
        <v>0.443450043931947</v>
      </c>
      <c r="F319" s="30" t="n">
        <f aca="false">IF(C319+2&gt;56,INDEX(Discount!$C$4:$C$59,56),INDEX(Discount!$C$4:$C$59,C319+2))</f>
        <v>0.429682986428135</v>
      </c>
      <c r="G319" s="30" t="n">
        <f aca="false">IF(D319=0,E319,EXP((1-D319)*LN(E319)+D319*LN(F319)))</f>
        <v>0.439967469027231</v>
      </c>
    </row>
    <row r="320" customFormat="false" ht="15" hidden="false" customHeight="true" outlineLevel="0" collapsed="false">
      <c r="A320" s="1" t="n">
        <v>316</v>
      </c>
      <c r="B320" s="11" t="n">
        <f aca="false">A320/12</f>
        <v>26.3333333333333</v>
      </c>
      <c r="C320" s="34" t="n">
        <f aca="false">INT(B320)</f>
        <v>26</v>
      </c>
      <c r="D320" s="11" t="n">
        <f aca="false">B320-C320</f>
        <v>0.333333333333332</v>
      </c>
      <c r="E320" s="30" t="n">
        <f aca="false">INDEX(Discount!$C$4:$C$59,C320+1)</f>
        <v>0.443450043931947</v>
      </c>
      <c r="F320" s="30" t="n">
        <f aca="false">IF(C320+2&gt;56,INDEX(Discount!$C$4:$C$59,56),INDEX(Discount!$C$4:$C$59,C320+2))</f>
        <v>0.429682986428135</v>
      </c>
      <c r="G320" s="30" t="n">
        <f aca="false">IF(D320=0,E320,EXP((1-D320)*LN(E320)+D320*LN(F320)))</f>
        <v>0.438812699129753</v>
      </c>
    </row>
    <row r="321" customFormat="false" ht="15" hidden="false" customHeight="true" outlineLevel="0" collapsed="false">
      <c r="A321" s="1" t="n">
        <v>317</v>
      </c>
      <c r="B321" s="11" t="n">
        <f aca="false">A321/12</f>
        <v>26.4166666666667</v>
      </c>
      <c r="C321" s="34" t="n">
        <f aca="false">INT(B321)</f>
        <v>26</v>
      </c>
      <c r="D321" s="11" t="n">
        <f aca="false">B321-C321</f>
        <v>0.416666666666668</v>
      </c>
      <c r="E321" s="30" t="n">
        <f aca="false">INDEX(Discount!$C$4:$C$59,C321+1)</f>
        <v>0.443450043931947</v>
      </c>
      <c r="F321" s="30" t="n">
        <f aca="false">IF(C321+2&gt;56,INDEX(Discount!$C$4:$C$59,56),INDEX(Discount!$C$4:$C$59,C321+2))</f>
        <v>0.429682986428135</v>
      </c>
      <c r="G321" s="30" t="n">
        <f aca="false">IF(D321=0,E321,EXP((1-D321)*LN(E321)+D321*LN(F321)))</f>
        <v>0.437660960123442</v>
      </c>
    </row>
    <row r="322" customFormat="false" ht="15" hidden="false" customHeight="true" outlineLevel="0" collapsed="false">
      <c r="A322" s="1" t="n">
        <v>318</v>
      </c>
      <c r="B322" s="11" t="n">
        <f aca="false">A322/12</f>
        <v>26.5</v>
      </c>
      <c r="C322" s="34" t="n">
        <f aca="false">INT(B322)</f>
        <v>26</v>
      </c>
      <c r="D322" s="11" t="n">
        <f aca="false">B322-C322</f>
        <v>0.5</v>
      </c>
      <c r="E322" s="30" t="n">
        <f aca="false">INDEX(Discount!$C$4:$C$59,C322+1)</f>
        <v>0.443450043931947</v>
      </c>
      <c r="F322" s="30" t="n">
        <f aca="false">IF(C322+2&gt;56,INDEX(Discount!$C$4:$C$59,56),INDEX(Discount!$C$4:$C$59,C322+2))</f>
        <v>0.429682986428135</v>
      </c>
      <c r="G322" s="30" t="n">
        <f aca="false">IF(D322=0,E322,EXP((1-D322)*LN(E322)+D322*LN(F322)))</f>
        <v>0.436512244053207</v>
      </c>
    </row>
    <row r="323" customFormat="false" ht="15" hidden="false" customHeight="true" outlineLevel="0" collapsed="false">
      <c r="A323" s="1" t="n">
        <v>319</v>
      </c>
      <c r="B323" s="11" t="n">
        <f aca="false">A323/12</f>
        <v>26.5833333333333</v>
      </c>
      <c r="C323" s="34" t="n">
        <f aca="false">INT(B323)</f>
        <v>26</v>
      </c>
      <c r="D323" s="11" t="n">
        <f aca="false">B323-C323</f>
        <v>0.583333333333332</v>
      </c>
      <c r="E323" s="30" t="n">
        <f aca="false">INDEX(Discount!$C$4:$C$59,C323+1)</f>
        <v>0.443450043931947</v>
      </c>
      <c r="F323" s="30" t="n">
        <f aca="false">IF(C323+2&gt;56,INDEX(Discount!$C$4:$C$59,56),INDEX(Discount!$C$4:$C$59,C323+2))</f>
        <v>0.429682986428135</v>
      </c>
      <c r="G323" s="30" t="n">
        <f aca="false">IF(D323=0,E323,EXP((1-D323)*LN(E323)+D323*LN(F323)))</f>
        <v>0.435366542984835</v>
      </c>
    </row>
    <row r="324" customFormat="false" ht="15" hidden="false" customHeight="true" outlineLevel="0" collapsed="false">
      <c r="A324" s="1" t="n">
        <v>320</v>
      </c>
      <c r="B324" s="11" t="n">
        <f aca="false">A324/12</f>
        <v>26.6666666666667</v>
      </c>
      <c r="C324" s="34" t="n">
        <f aca="false">INT(B324)</f>
        <v>26</v>
      </c>
      <c r="D324" s="11" t="n">
        <f aca="false">B324-C324</f>
        <v>0.666666666666668</v>
      </c>
      <c r="E324" s="30" t="n">
        <f aca="false">INDEX(Discount!$C$4:$C$59,C324+1)</f>
        <v>0.443450043931947</v>
      </c>
      <c r="F324" s="30" t="n">
        <f aca="false">IF(C324+2&gt;56,INDEX(Discount!$C$4:$C$59,56),INDEX(Discount!$C$4:$C$59,C324+2))</f>
        <v>0.429682986428135</v>
      </c>
      <c r="G324" s="30" t="n">
        <f aca="false">IF(D324=0,E324,EXP((1-D324)*LN(E324)+D324*LN(F324)))</f>
        <v>0.434223849004938</v>
      </c>
    </row>
    <row r="325" customFormat="false" ht="15" hidden="false" customHeight="true" outlineLevel="0" collapsed="false">
      <c r="A325" s="1" t="n">
        <v>321</v>
      </c>
      <c r="B325" s="11" t="n">
        <f aca="false">A325/12</f>
        <v>26.75</v>
      </c>
      <c r="C325" s="34" t="n">
        <f aca="false">INT(B325)</f>
        <v>26</v>
      </c>
      <c r="D325" s="11" t="n">
        <f aca="false">B325-C325</f>
        <v>0.75</v>
      </c>
      <c r="E325" s="30" t="n">
        <f aca="false">INDEX(Discount!$C$4:$C$59,C325+1)</f>
        <v>0.443450043931947</v>
      </c>
      <c r="F325" s="30" t="n">
        <f aca="false">IF(C325+2&gt;56,INDEX(Discount!$C$4:$C$59,56),INDEX(Discount!$C$4:$C$59,C325+2))</f>
        <v>0.429682986428135</v>
      </c>
      <c r="G325" s="30" t="n">
        <f aca="false">IF(D325=0,E325,EXP((1-D325)*LN(E325)+D325*LN(F325)))</f>
        <v>0.433084154220896</v>
      </c>
    </row>
    <row r="326" customFormat="false" ht="15" hidden="false" customHeight="true" outlineLevel="0" collapsed="false">
      <c r="A326" s="1" t="n">
        <v>322</v>
      </c>
      <c r="B326" s="11" t="n">
        <f aca="false">A326/12</f>
        <v>26.8333333333333</v>
      </c>
      <c r="C326" s="34" t="n">
        <f aca="false">INT(B326)</f>
        <v>26</v>
      </c>
      <c r="D326" s="11" t="n">
        <f aca="false">B326-C326</f>
        <v>0.833333333333332</v>
      </c>
      <c r="E326" s="30" t="n">
        <f aca="false">INDEX(Discount!$C$4:$C$59,C326+1)</f>
        <v>0.443450043931947</v>
      </c>
      <c r="F326" s="30" t="n">
        <f aca="false">IF(C326+2&gt;56,INDEX(Discount!$C$4:$C$59,56),INDEX(Discount!$C$4:$C$59,C326+2))</f>
        <v>0.429682986428135</v>
      </c>
      <c r="G326" s="30" t="n">
        <f aca="false">IF(D326=0,E326,EXP((1-D326)*LN(E326)+D326*LN(F326)))</f>
        <v>0.431947450760809</v>
      </c>
    </row>
    <row r="327" customFormat="false" ht="15" hidden="false" customHeight="true" outlineLevel="0" collapsed="false">
      <c r="A327" s="1" t="n">
        <v>323</v>
      </c>
      <c r="B327" s="11" t="n">
        <f aca="false">A327/12</f>
        <v>26.9166666666667</v>
      </c>
      <c r="C327" s="34" t="n">
        <f aca="false">INT(B327)</f>
        <v>26</v>
      </c>
      <c r="D327" s="11" t="n">
        <f aca="false">B327-C327</f>
        <v>0.916666666666668</v>
      </c>
      <c r="E327" s="30" t="n">
        <f aca="false">INDEX(Discount!$C$4:$C$59,C327+1)</f>
        <v>0.443450043931947</v>
      </c>
      <c r="F327" s="30" t="n">
        <f aca="false">IF(C327+2&gt;56,INDEX(Discount!$C$4:$C$59,56),INDEX(Discount!$C$4:$C$59,C327+2))</f>
        <v>0.429682986428135</v>
      </c>
      <c r="G327" s="30" t="n">
        <f aca="false">IF(D327=0,E327,EXP((1-D327)*LN(E327)+D327*LN(F327)))</f>
        <v>0.430813730773433</v>
      </c>
    </row>
    <row r="328" customFormat="false" ht="15" hidden="false" customHeight="true" outlineLevel="0" collapsed="false">
      <c r="A328" s="1" t="n">
        <v>324</v>
      </c>
      <c r="B328" s="11" t="n">
        <f aca="false">A328/12</f>
        <v>27</v>
      </c>
      <c r="C328" s="34" t="n">
        <f aca="false">INT(B328)</f>
        <v>27</v>
      </c>
      <c r="D328" s="11" t="n">
        <f aca="false">B328-C328</f>
        <v>0</v>
      </c>
      <c r="E328" s="30" t="n">
        <f aca="false">INDEX(Discount!$C$4:$C$59,C328+1)</f>
        <v>0.429682986428135</v>
      </c>
      <c r="F328" s="30" t="n">
        <f aca="false">IF(C328+2&gt;56,INDEX(Discount!$C$4:$C$59,56),INDEX(Discount!$C$4:$C$59,C328+2))</f>
        <v>0.41622229635922</v>
      </c>
      <c r="G328" s="30" t="n">
        <f aca="false">IF(D328=0,E328,EXP((1-D328)*LN(E328)+D328*LN(F328)))</f>
        <v>0.429682986428135</v>
      </c>
    </row>
    <row r="329" customFormat="false" ht="15" hidden="false" customHeight="true" outlineLevel="0" collapsed="false">
      <c r="A329" s="1" t="n">
        <v>325</v>
      </c>
      <c r="B329" s="11" t="n">
        <f aca="false">A329/12</f>
        <v>27.0833333333333</v>
      </c>
      <c r="C329" s="34" t="n">
        <f aca="false">INT(B329)</f>
        <v>27</v>
      </c>
      <c r="D329" s="11" t="n">
        <f aca="false">B329-C329</f>
        <v>0.0833333333333322</v>
      </c>
      <c r="E329" s="30" t="n">
        <f aca="false">INDEX(Discount!$C$4:$C$59,C329+1)</f>
        <v>0.429682986428135</v>
      </c>
      <c r="F329" s="30" t="n">
        <f aca="false">IF(C329+2&gt;56,INDEX(Discount!$C$4:$C$59,56),INDEX(Discount!$C$4:$C$59,C329+2))</f>
        <v>0.41622229635922</v>
      </c>
      <c r="G329" s="30" t="n">
        <f aca="false">IF(D329=0,E329,EXP((1-D329)*LN(E329)+D329*LN(F329)))</f>
        <v>0.428544826391573</v>
      </c>
    </row>
    <row r="330" customFormat="false" ht="15" hidden="false" customHeight="true" outlineLevel="0" collapsed="false">
      <c r="A330" s="1" t="n">
        <v>326</v>
      </c>
      <c r="B330" s="11" t="n">
        <f aca="false">A330/12</f>
        <v>27.1666666666667</v>
      </c>
      <c r="C330" s="34" t="n">
        <f aca="false">INT(B330)</f>
        <v>27</v>
      </c>
      <c r="D330" s="11" t="n">
        <f aca="false">B330-C330</f>
        <v>0.166666666666668</v>
      </c>
      <c r="E330" s="30" t="n">
        <f aca="false">INDEX(Discount!$C$4:$C$59,C330+1)</f>
        <v>0.429682986428135</v>
      </c>
      <c r="F330" s="30" t="n">
        <f aca="false">IF(C330+2&gt;56,INDEX(Discount!$C$4:$C$59,56),INDEX(Discount!$C$4:$C$59,C330+2))</f>
        <v>0.41622229635922</v>
      </c>
      <c r="G330" s="30" t="n">
        <f aca="false">IF(D330=0,E330,EXP((1-D330)*LN(E330)+D330*LN(F330)))</f>
        <v>0.427409681155014</v>
      </c>
    </row>
    <row r="331" customFormat="false" ht="15" hidden="false" customHeight="true" outlineLevel="0" collapsed="false">
      <c r="A331" s="1" t="n">
        <v>327</v>
      </c>
      <c r="B331" s="11" t="n">
        <f aca="false">A331/12</f>
        <v>27.25</v>
      </c>
      <c r="C331" s="34" t="n">
        <f aca="false">INT(B331)</f>
        <v>27</v>
      </c>
      <c r="D331" s="11" t="n">
        <f aca="false">B331-C331</f>
        <v>0.25</v>
      </c>
      <c r="E331" s="30" t="n">
        <f aca="false">INDEX(Discount!$C$4:$C$59,C331+1)</f>
        <v>0.429682986428135</v>
      </c>
      <c r="F331" s="30" t="n">
        <f aca="false">IF(C331+2&gt;56,INDEX(Discount!$C$4:$C$59,56),INDEX(Discount!$C$4:$C$59,C331+2))</f>
        <v>0.41622229635922</v>
      </c>
      <c r="G331" s="30" t="n">
        <f aca="false">IF(D331=0,E331,EXP((1-D331)*LN(E331)+D331*LN(F331)))</f>
        <v>0.426277542732745</v>
      </c>
    </row>
    <row r="332" customFormat="false" ht="15" hidden="false" customHeight="true" outlineLevel="0" collapsed="false">
      <c r="A332" s="1" t="n">
        <v>328</v>
      </c>
      <c r="B332" s="11" t="n">
        <f aca="false">A332/12</f>
        <v>27.3333333333333</v>
      </c>
      <c r="C332" s="34" t="n">
        <f aca="false">INT(B332)</f>
        <v>27</v>
      </c>
      <c r="D332" s="11" t="n">
        <f aca="false">B332-C332</f>
        <v>0.333333333333332</v>
      </c>
      <c r="E332" s="30" t="n">
        <f aca="false">INDEX(Discount!$C$4:$C$59,C332+1)</f>
        <v>0.429682986428135</v>
      </c>
      <c r="F332" s="30" t="n">
        <f aca="false">IF(C332+2&gt;56,INDEX(Discount!$C$4:$C$59,56),INDEX(Discount!$C$4:$C$59,C332+2))</f>
        <v>0.41622229635922</v>
      </c>
      <c r="G332" s="30" t="n">
        <f aca="false">IF(D332=0,E332,EXP((1-D332)*LN(E332)+D332*LN(F332)))</f>
        <v>0.425148403160207</v>
      </c>
    </row>
    <row r="333" customFormat="false" ht="15" hidden="false" customHeight="true" outlineLevel="0" collapsed="false">
      <c r="A333" s="1" t="n">
        <v>329</v>
      </c>
      <c r="B333" s="11" t="n">
        <f aca="false">A333/12</f>
        <v>27.4166666666667</v>
      </c>
      <c r="C333" s="34" t="n">
        <f aca="false">INT(B333)</f>
        <v>27</v>
      </c>
      <c r="D333" s="11" t="n">
        <f aca="false">B333-C333</f>
        <v>0.416666666666668</v>
      </c>
      <c r="E333" s="30" t="n">
        <f aca="false">INDEX(Discount!$C$4:$C$59,C333+1)</f>
        <v>0.429682986428135</v>
      </c>
      <c r="F333" s="30" t="n">
        <f aca="false">IF(C333+2&gt;56,INDEX(Discount!$C$4:$C$59,56),INDEX(Discount!$C$4:$C$59,C333+2))</f>
        <v>0.41622229635922</v>
      </c>
      <c r="G333" s="30" t="n">
        <f aca="false">IF(D333=0,E333,EXP((1-D333)*LN(E333)+D333*LN(F333)))</f>
        <v>0.424022254493936</v>
      </c>
    </row>
    <row r="334" customFormat="false" ht="15" hidden="false" customHeight="true" outlineLevel="0" collapsed="false">
      <c r="A334" s="1" t="n">
        <v>330</v>
      </c>
      <c r="B334" s="11" t="n">
        <f aca="false">A334/12</f>
        <v>27.5</v>
      </c>
      <c r="C334" s="34" t="n">
        <f aca="false">INT(B334)</f>
        <v>27</v>
      </c>
      <c r="D334" s="11" t="n">
        <f aca="false">B334-C334</f>
        <v>0.5</v>
      </c>
      <c r="E334" s="30" t="n">
        <f aca="false">INDEX(Discount!$C$4:$C$59,C334+1)</f>
        <v>0.429682986428135</v>
      </c>
      <c r="F334" s="30" t="n">
        <f aca="false">IF(C334+2&gt;56,INDEX(Discount!$C$4:$C$59,56),INDEX(Discount!$C$4:$C$59,C334+2))</f>
        <v>0.41622229635922</v>
      </c>
      <c r="G334" s="30" t="n">
        <f aca="false">IF(D334=0,E334,EXP((1-D334)*LN(E334)+D334*LN(F334)))</f>
        <v>0.422899088811511</v>
      </c>
    </row>
    <row r="335" customFormat="false" ht="15" hidden="false" customHeight="true" outlineLevel="0" collapsed="false">
      <c r="A335" s="1" t="n">
        <v>331</v>
      </c>
      <c r="B335" s="11" t="n">
        <f aca="false">A335/12</f>
        <v>27.5833333333333</v>
      </c>
      <c r="C335" s="34" t="n">
        <f aca="false">INT(B335)</f>
        <v>27</v>
      </c>
      <c r="D335" s="11" t="n">
        <f aca="false">B335-C335</f>
        <v>0.583333333333332</v>
      </c>
      <c r="E335" s="30" t="n">
        <f aca="false">INDEX(Discount!$C$4:$C$59,C335+1)</f>
        <v>0.429682986428135</v>
      </c>
      <c r="F335" s="30" t="n">
        <f aca="false">IF(C335+2&gt;56,INDEX(Discount!$C$4:$C$59,56),INDEX(Discount!$C$4:$C$59,C335+2))</f>
        <v>0.41622229635922</v>
      </c>
      <c r="G335" s="30" t="n">
        <f aca="false">IF(D335=0,E335,EXP((1-D335)*LN(E335)+D335*LN(F335)))</f>
        <v>0.421778898211494</v>
      </c>
    </row>
    <row r="336" customFormat="false" ht="15" hidden="false" customHeight="true" outlineLevel="0" collapsed="false">
      <c r="A336" s="1" t="n">
        <v>332</v>
      </c>
      <c r="B336" s="11" t="n">
        <f aca="false">A336/12</f>
        <v>27.6666666666667</v>
      </c>
      <c r="C336" s="34" t="n">
        <f aca="false">INT(B336)</f>
        <v>27</v>
      </c>
      <c r="D336" s="11" t="n">
        <f aca="false">B336-C336</f>
        <v>0.666666666666668</v>
      </c>
      <c r="E336" s="30" t="n">
        <f aca="false">INDEX(Discount!$C$4:$C$59,C336+1)</f>
        <v>0.429682986428135</v>
      </c>
      <c r="F336" s="30" t="n">
        <f aca="false">IF(C336+2&gt;56,INDEX(Discount!$C$4:$C$59,56),INDEX(Discount!$C$4:$C$59,C336+2))</f>
        <v>0.41622229635922</v>
      </c>
      <c r="G336" s="30" t="n">
        <f aca="false">IF(D336=0,E336,EXP((1-D336)*LN(E336)+D336*LN(F336)))</f>
        <v>0.420661674813378</v>
      </c>
    </row>
    <row r="337" customFormat="false" ht="15" hidden="false" customHeight="true" outlineLevel="0" collapsed="false">
      <c r="A337" s="1" t="n">
        <v>333</v>
      </c>
      <c r="B337" s="11" t="n">
        <f aca="false">A337/12</f>
        <v>27.75</v>
      </c>
      <c r="C337" s="34" t="n">
        <f aca="false">INT(B337)</f>
        <v>27</v>
      </c>
      <c r="D337" s="11" t="n">
        <f aca="false">B337-C337</f>
        <v>0.75</v>
      </c>
      <c r="E337" s="30" t="n">
        <f aca="false">INDEX(Discount!$C$4:$C$59,C337+1)</f>
        <v>0.429682986428135</v>
      </c>
      <c r="F337" s="30" t="n">
        <f aca="false">IF(C337+2&gt;56,INDEX(Discount!$C$4:$C$59,56),INDEX(Discount!$C$4:$C$59,C337+2))</f>
        <v>0.41622229635922</v>
      </c>
      <c r="G337" s="30" t="n">
        <f aca="false">IF(D337=0,E337,EXP((1-D337)*LN(E337)+D337*LN(F337)))</f>
        <v>0.419547410757531</v>
      </c>
    </row>
    <row r="338" customFormat="false" ht="15" hidden="false" customHeight="true" outlineLevel="0" collapsed="false">
      <c r="A338" s="1" t="n">
        <v>334</v>
      </c>
      <c r="B338" s="11" t="n">
        <f aca="false">A338/12</f>
        <v>27.8333333333333</v>
      </c>
      <c r="C338" s="34" t="n">
        <f aca="false">INT(B338)</f>
        <v>27</v>
      </c>
      <c r="D338" s="11" t="n">
        <f aca="false">B338-C338</f>
        <v>0.833333333333332</v>
      </c>
      <c r="E338" s="30" t="n">
        <f aca="false">INDEX(Discount!$C$4:$C$59,C338+1)</f>
        <v>0.429682986428135</v>
      </c>
      <c r="F338" s="30" t="n">
        <f aca="false">IF(C338+2&gt;56,INDEX(Discount!$C$4:$C$59,56),INDEX(Discount!$C$4:$C$59,C338+2))</f>
        <v>0.41622229635922</v>
      </c>
      <c r="G338" s="30" t="n">
        <f aca="false">IF(D338=0,E338,EXP((1-D338)*LN(E338)+D338*LN(F338)))</f>
        <v>0.418436098205138</v>
      </c>
    </row>
    <row r="339" customFormat="false" ht="15" hidden="false" customHeight="true" outlineLevel="0" collapsed="false">
      <c r="A339" s="1" t="n">
        <v>335</v>
      </c>
      <c r="B339" s="11" t="n">
        <f aca="false">A339/12</f>
        <v>27.9166666666667</v>
      </c>
      <c r="C339" s="34" t="n">
        <f aca="false">INT(B339)</f>
        <v>27</v>
      </c>
      <c r="D339" s="11" t="n">
        <f aca="false">B339-C339</f>
        <v>0.916666666666668</v>
      </c>
      <c r="E339" s="30" t="n">
        <f aca="false">INDEX(Discount!$C$4:$C$59,C339+1)</f>
        <v>0.429682986428135</v>
      </c>
      <c r="F339" s="30" t="n">
        <f aca="false">IF(C339+2&gt;56,INDEX(Discount!$C$4:$C$59,56),INDEX(Discount!$C$4:$C$59,C339+2))</f>
        <v>0.41622229635922</v>
      </c>
      <c r="G339" s="30" t="n">
        <f aca="false">IF(D339=0,E339,EXP((1-D339)*LN(E339)+D339*LN(F339)))</f>
        <v>0.417327729338148</v>
      </c>
    </row>
    <row r="340" customFormat="false" ht="15" hidden="false" customHeight="true" outlineLevel="0" collapsed="false">
      <c r="A340" s="1" t="n">
        <v>336</v>
      </c>
      <c r="B340" s="11" t="n">
        <f aca="false">A340/12</f>
        <v>28</v>
      </c>
      <c r="C340" s="34" t="n">
        <f aca="false">INT(B340)</f>
        <v>28</v>
      </c>
      <c r="D340" s="11" t="n">
        <f aca="false">B340-C340</f>
        <v>0</v>
      </c>
      <c r="E340" s="30" t="n">
        <f aca="false">INDEX(Discount!$C$4:$C$59,C340+1)</f>
        <v>0.41622229635922</v>
      </c>
      <c r="F340" s="30" t="n">
        <f aca="false">IF(C340+2&gt;56,INDEX(Discount!$C$4:$C$59,56),INDEX(Discount!$C$4:$C$59,C340+2))</f>
        <v>0.403167663933472</v>
      </c>
      <c r="G340" s="30" t="n">
        <f aca="false">IF(D340=0,E340,EXP((1-D340)*LN(E340)+D340*LN(F340)))</f>
        <v>0.41622229635922</v>
      </c>
    </row>
    <row r="341" customFormat="false" ht="15" hidden="false" customHeight="true" outlineLevel="0" collapsed="false">
      <c r="A341" s="1" t="n">
        <v>337</v>
      </c>
      <c r="B341" s="11" t="n">
        <f aca="false">A341/12</f>
        <v>28.0833333333333</v>
      </c>
      <c r="C341" s="34" t="n">
        <f aca="false">INT(B341)</f>
        <v>28</v>
      </c>
      <c r="D341" s="11" t="n">
        <f aca="false">B341-C341</f>
        <v>0.0833333333333322</v>
      </c>
      <c r="E341" s="30" t="n">
        <f aca="false">INDEX(Discount!$C$4:$C$59,C341+1)</f>
        <v>0.41622229635922</v>
      </c>
      <c r="F341" s="30" t="n">
        <f aca="false">IF(C341+2&gt;56,INDEX(Discount!$C$4:$C$59,56),INDEX(Discount!$C$4:$C$59,C341+2))</f>
        <v>0.403167663933472</v>
      </c>
      <c r="G341" s="30" t="n">
        <f aca="false">IF(D341=0,E341,EXP((1-D341)*LN(E341)+D341*LN(F341)))</f>
        <v>0.415118450771661</v>
      </c>
    </row>
    <row r="342" customFormat="false" ht="15" hidden="false" customHeight="true" outlineLevel="0" collapsed="false">
      <c r="A342" s="1" t="n">
        <v>338</v>
      </c>
      <c r="B342" s="11" t="n">
        <f aca="false">A342/12</f>
        <v>28.1666666666667</v>
      </c>
      <c r="C342" s="34" t="n">
        <f aca="false">INT(B342)</f>
        <v>28</v>
      </c>
      <c r="D342" s="11" t="n">
        <f aca="false">B342-C342</f>
        <v>0.166666666666668</v>
      </c>
      <c r="E342" s="30" t="n">
        <f aca="false">INDEX(Discount!$C$4:$C$59,C342+1)</f>
        <v>0.41622229635922</v>
      </c>
      <c r="F342" s="30" t="n">
        <f aca="false">IF(C342+2&gt;56,INDEX(Discount!$C$4:$C$59,56),INDEX(Discount!$C$4:$C$59,C342+2))</f>
        <v>0.403167663933472</v>
      </c>
      <c r="G342" s="30" t="n">
        <f aca="false">IF(D342=0,E342,EXP((1-D342)*LN(E342)+D342*LN(F342)))</f>
        <v>0.414017532646403</v>
      </c>
    </row>
    <row r="343" customFormat="false" ht="15" hidden="false" customHeight="true" outlineLevel="0" collapsed="false">
      <c r="A343" s="1" t="n">
        <v>339</v>
      </c>
      <c r="B343" s="11" t="n">
        <f aca="false">A343/12</f>
        <v>28.25</v>
      </c>
      <c r="C343" s="34" t="n">
        <f aca="false">INT(B343)</f>
        <v>28</v>
      </c>
      <c r="D343" s="11" t="n">
        <f aca="false">B343-C343</f>
        <v>0.25</v>
      </c>
      <c r="E343" s="30" t="n">
        <f aca="false">INDEX(Discount!$C$4:$C$59,C343+1)</f>
        <v>0.41622229635922</v>
      </c>
      <c r="F343" s="30" t="n">
        <f aca="false">IF(C343+2&gt;56,INDEX(Discount!$C$4:$C$59,56),INDEX(Discount!$C$4:$C$59,C343+2))</f>
        <v>0.403167663933472</v>
      </c>
      <c r="G343" s="30" t="n">
        <f aca="false">IF(D343=0,E343,EXP((1-D343)*LN(E343)+D343*LN(F343)))</f>
        <v>0.412919534219647</v>
      </c>
    </row>
    <row r="344" customFormat="false" ht="15" hidden="false" customHeight="true" outlineLevel="0" collapsed="false">
      <c r="A344" s="1" t="n">
        <v>340</v>
      </c>
      <c r="B344" s="11" t="n">
        <f aca="false">A344/12</f>
        <v>28.3333333333333</v>
      </c>
      <c r="C344" s="34" t="n">
        <f aca="false">INT(B344)</f>
        <v>28</v>
      </c>
      <c r="D344" s="11" t="n">
        <f aca="false">B344-C344</f>
        <v>0.333333333333332</v>
      </c>
      <c r="E344" s="30" t="n">
        <f aca="false">INDEX(Discount!$C$4:$C$59,C344+1)</f>
        <v>0.41622229635922</v>
      </c>
      <c r="F344" s="30" t="n">
        <f aca="false">IF(C344+2&gt;56,INDEX(Discount!$C$4:$C$59,56),INDEX(Discount!$C$4:$C$59,C344+2))</f>
        <v>0.403167663933472</v>
      </c>
      <c r="G344" s="30" t="n">
        <f aca="false">IF(D344=0,E344,EXP((1-D344)*LN(E344)+D344*LN(F344)))</f>
        <v>0.411824447748182</v>
      </c>
    </row>
    <row r="345" customFormat="false" ht="15" hidden="false" customHeight="true" outlineLevel="0" collapsed="false">
      <c r="A345" s="1" t="n">
        <v>341</v>
      </c>
      <c r="B345" s="11" t="n">
        <f aca="false">A345/12</f>
        <v>28.4166666666667</v>
      </c>
      <c r="C345" s="34" t="n">
        <f aca="false">INT(B345)</f>
        <v>28</v>
      </c>
      <c r="D345" s="11" t="n">
        <f aca="false">B345-C345</f>
        <v>0.416666666666668</v>
      </c>
      <c r="E345" s="30" t="n">
        <f aca="false">INDEX(Discount!$C$4:$C$59,C345+1)</f>
        <v>0.41622229635922</v>
      </c>
      <c r="F345" s="30" t="n">
        <f aca="false">IF(C345+2&gt;56,INDEX(Discount!$C$4:$C$59,56),INDEX(Discount!$C$4:$C$59,C345+2))</f>
        <v>0.403167663933472</v>
      </c>
      <c r="G345" s="30" t="n">
        <f aca="false">IF(D345=0,E345,EXP((1-D345)*LN(E345)+D345*LN(F345)))</f>
        <v>0.410732265509335</v>
      </c>
    </row>
    <row r="346" customFormat="false" ht="15" hidden="false" customHeight="true" outlineLevel="0" collapsed="false">
      <c r="A346" s="1" t="n">
        <v>342</v>
      </c>
      <c r="B346" s="11" t="n">
        <f aca="false">A346/12</f>
        <v>28.5</v>
      </c>
      <c r="C346" s="34" t="n">
        <f aca="false">INT(B346)</f>
        <v>28</v>
      </c>
      <c r="D346" s="11" t="n">
        <f aca="false">B346-C346</f>
        <v>0.5</v>
      </c>
      <c r="E346" s="30" t="n">
        <f aca="false">INDEX(Discount!$C$4:$C$59,C346+1)</f>
        <v>0.41622229635922</v>
      </c>
      <c r="F346" s="30" t="n">
        <f aca="false">IF(C346+2&gt;56,INDEX(Discount!$C$4:$C$59,56),INDEX(Discount!$C$4:$C$59,C346+2))</f>
        <v>0.403167663933472</v>
      </c>
      <c r="G346" s="30" t="n">
        <f aca="false">IF(D346=0,E346,EXP((1-D346)*LN(E346)+D346*LN(F346)))</f>
        <v>0.409642979800914</v>
      </c>
    </row>
    <row r="347" customFormat="false" ht="15" hidden="false" customHeight="true" outlineLevel="0" collapsed="false">
      <c r="A347" s="1" t="n">
        <v>343</v>
      </c>
      <c r="B347" s="11" t="n">
        <f aca="false">A347/12</f>
        <v>28.5833333333333</v>
      </c>
      <c r="C347" s="34" t="n">
        <f aca="false">INT(B347)</f>
        <v>28</v>
      </c>
      <c r="D347" s="11" t="n">
        <f aca="false">B347-C347</f>
        <v>0.583333333333332</v>
      </c>
      <c r="E347" s="30" t="n">
        <f aca="false">INDEX(Discount!$C$4:$C$59,C347+1)</f>
        <v>0.41622229635922</v>
      </c>
      <c r="F347" s="30" t="n">
        <f aca="false">IF(C347+2&gt;56,INDEX(Discount!$C$4:$C$59,56),INDEX(Discount!$C$4:$C$59,C347+2))</f>
        <v>0.403167663933472</v>
      </c>
      <c r="G347" s="30" t="n">
        <f aca="false">IF(D347=0,E347,EXP((1-D347)*LN(E347)+D347*LN(F347)))</f>
        <v>0.408556582941152</v>
      </c>
    </row>
    <row r="348" customFormat="false" ht="15" hidden="false" customHeight="true" outlineLevel="0" collapsed="false">
      <c r="A348" s="1" t="n">
        <v>344</v>
      </c>
      <c r="B348" s="11" t="n">
        <f aca="false">A348/12</f>
        <v>28.6666666666667</v>
      </c>
      <c r="C348" s="34" t="n">
        <f aca="false">INT(B348)</f>
        <v>28</v>
      </c>
      <c r="D348" s="11" t="n">
        <f aca="false">B348-C348</f>
        <v>0.666666666666668</v>
      </c>
      <c r="E348" s="30" t="n">
        <f aca="false">INDEX(Discount!$C$4:$C$59,C348+1)</f>
        <v>0.41622229635922</v>
      </c>
      <c r="F348" s="30" t="n">
        <f aca="false">IF(C348+2&gt;56,INDEX(Discount!$C$4:$C$59,56),INDEX(Discount!$C$4:$C$59,C348+2))</f>
        <v>0.403167663933472</v>
      </c>
      <c r="G348" s="30" t="n">
        <f aca="false">IF(D348=0,E348,EXP((1-D348)*LN(E348)+D348*LN(F348)))</f>
        <v>0.407473067268656</v>
      </c>
    </row>
    <row r="349" customFormat="false" ht="15" hidden="false" customHeight="true" outlineLevel="0" collapsed="false">
      <c r="A349" s="1" t="n">
        <v>345</v>
      </c>
      <c r="B349" s="11" t="n">
        <f aca="false">A349/12</f>
        <v>28.75</v>
      </c>
      <c r="C349" s="34" t="n">
        <f aca="false">INT(B349)</f>
        <v>28</v>
      </c>
      <c r="D349" s="11" t="n">
        <f aca="false">B349-C349</f>
        <v>0.75</v>
      </c>
      <c r="E349" s="30" t="n">
        <f aca="false">INDEX(Discount!$C$4:$C$59,C349+1)</f>
        <v>0.41622229635922</v>
      </c>
      <c r="F349" s="30" t="n">
        <f aca="false">IF(C349+2&gt;56,INDEX(Discount!$C$4:$C$59,56),INDEX(Discount!$C$4:$C$59,C349+2))</f>
        <v>0.403167663933472</v>
      </c>
      <c r="G349" s="30" t="n">
        <f aca="false">IF(D349=0,E349,EXP((1-D349)*LN(E349)+D349*LN(F349)))</f>
        <v>0.40639242514235</v>
      </c>
    </row>
    <row r="350" customFormat="false" ht="15" hidden="false" customHeight="true" outlineLevel="0" collapsed="false">
      <c r="A350" s="1" t="n">
        <v>346</v>
      </c>
      <c r="B350" s="11" t="n">
        <f aca="false">A350/12</f>
        <v>28.8333333333333</v>
      </c>
      <c r="C350" s="34" t="n">
        <f aca="false">INT(B350)</f>
        <v>28</v>
      </c>
      <c r="D350" s="11" t="n">
        <f aca="false">B350-C350</f>
        <v>0.833333333333332</v>
      </c>
      <c r="E350" s="30" t="n">
        <f aca="false">INDEX(Discount!$C$4:$C$59,C350+1)</f>
        <v>0.41622229635922</v>
      </c>
      <c r="F350" s="30" t="n">
        <f aca="false">IF(C350+2&gt;56,INDEX(Discount!$C$4:$C$59,56),INDEX(Discount!$C$4:$C$59,C350+2))</f>
        <v>0.403167663933472</v>
      </c>
      <c r="G350" s="30" t="n">
        <f aca="false">IF(D350=0,E350,EXP((1-D350)*LN(E350)+D350*LN(F350)))</f>
        <v>0.405314648941425</v>
      </c>
    </row>
    <row r="351" customFormat="false" ht="15" hidden="false" customHeight="true" outlineLevel="0" collapsed="false">
      <c r="A351" s="1" t="n">
        <v>347</v>
      </c>
      <c r="B351" s="11" t="n">
        <f aca="false">A351/12</f>
        <v>28.9166666666667</v>
      </c>
      <c r="C351" s="34" t="n">
        <f aca="false">INT(B351)</f>
        <v>28</v>
      </c>
      <c r="D351" s="11" t="n">
        <f aca="false">B351-C351</f>
        <v>0.916666666666668</v>
      </c>
      <c r="E351" s="30" t="n">
        <f aca="false">INDEX(Discount!$C$4:$C$59,C351+1)</f>
        <v>0.41622229635922</v>
      </c>
      <c r="F351" s="30" t="n">
        <f aca="false">IF(C351+2&gt;56,INDEX(Discount!$C$4:$C$59,56),INDEX(Discount!$C$4:$C$59,C351+2))</f>
        <v>0.403167663933472</v>
      </c>
      <c r="G351" s="30" t="n">
        <f aca="false">IF(D351=0,E351,EXP((1-D351)*LN(E351)+D351*LN(F351)))</f>
        <v>0.40423973106528</v>
      </c>
    </row>
    <row r="352" customFormat="false" ht="15" hidden="false" customHeight="true" outlineLevel="0" collapsed="false">
      <c r="A352" s="1" t="n">
        <v>348</v>
      </c>
      <c r="B352" s="11" t="n">
        <f aca="false">A352/12</f>
        <v>29</v>
      </c>
      <c r="C352" s="34" t="n">
        <f aca="false">INT(B352)</f>
        <v>29</v>
      </c>
      <c r="D352" s="11" t="n">
        <f aca="false">B352-C352</f>
        <v>0</v>
      </c>
      <c r="E352" s="30" t="n">
        <f aca="false">INDEX(Discount!$C$4:$C$59,C352+1)</f>
        <v>0.403167663933472</v>
      </c>
      <c r="F352" s="30" t="n">
        <f aca="false">IF(C352+2&gt;56,INDEX(Discount!$C$4:$C$59,56),INDEX(Discount!$C$4:$C$59,C352+2))</f>
        <v>0.390507349788569</v>
      </c>
      <c r="G352" s="30" t="n">
        <f aca="false">IF(D352=0,E352,EXP((1-D352)*LN(E352)+D352*LN(F352)))</f>
        <v>0.403167663933472</v>
      </c>
    </row>
    <row r="353" customFormat="false" ht="15" hidden="false" customHeight="true" outlineLevel="0" collapsed="false">
      <c r="A353" s="1" t="n">
        <v>349</v>
      </c>
      <c r="B353" s="11" t="n">
        <f aca="false">A353/12</f>
        <v>29.0833333333333</v>
      </c>
      <c r="C353" s="34" t="n">
        <f aca="false">INT(B353)</f>
        <v>29</v>
      </c>
      <c r="D353" s="11" t="n">
        <f aca="false">B353-C353</f>
        <v>0.0833333333333322</v>
      </c>
      <c r="E353" s="30" t="n">
        <f aca="false">INDEX(Discount!$C$4:$C$59,C353+1)</f>
        <v>0.403167663933472</v>
      </c>
      <c r="F353" s="30" t="n">
        <f aca="false">IF(C353+2&gt;56,INDEX(Discount!$C$4:$C$59,56),INDEX(Discount!$C$4:$C$59,C353+2))</f>
        <v>0.390507349788569</v>
      </c>
      <c r="G353" s="30" t="n">
        <f aca="false">IF(D353=0,E353,EXP((1-D353)*LN(E353)+D353*LN(F353)))</f>
        <v>0.402097141358711</v>
      </c>
    </row>
    <row r="354" customFormat="false" ht="15" hidden="false" customHeight="true" outlineLevel="0" collapsed="false">
      <c r="A354" s="1" t="n">
        <v>350</v>
      </c>
      <c r="B354" s="11" t="n">
        <f aca="false">A354/12</f>
        <v>29.1666666666667</v>
      </c>
      <c r="C354" s="34" t="n">
        <f aca="false">INT(B354)</f>
        <v>29</v>
      </c>
      <c r="D354" s="11" t="n">
        <f aca="false">B354-C354</f>
        <v>0.166666666666668</v>
      </c>
      <c r="E354" s="30" t="n">
        <f aca="false">INDEX(Discount!$C$4:$C$59,C354+1)</f>
        <v>0.403167663933472</v>
      </c>
      <c r="F354" s="30" t="n">
        <f aca="false">IF(C354+2&gt;56,INDEX(Discount!$C$4:$C$59,56),INDEX(Discount!$C$4:$C$59,C354+2))</f>
        <v>0.390507349788569</v>
      </c>
      <c r="G354" s="30" t="n">
        <f aca="false">IF(D354=0,E354,EXP((1-D354)*LN(E354)+D354*LN(F354)))</f>
        <v>0.401029461319912</v>
      </c>
    </row>
    <row r="355" customFormat="false" ht="15" hidden="false" customHeight="true" outlineLevel="0" collapsed="false">
      <c r="A355" s="1" t="n">
        <v>351</v>
      </c>
      <c r="B355" s="11" t="n">
        <f aca="false">A355/12</f>
        <v>29.25</v>
      </c>
      <c r="C355" s="34" t="n">
        <f aca="false">INT(B355)</f>
        <v>29</v>
      </c>
      <c r="D355" s="11" t="n">
        <f aca="false">B355-C355</f>
        <v>0.25</v>
      </c>
      <c r="E355" s="30" t="n">
        <f aca="false">INDEX(Discount!$C$4:$C$59,C355+1)</f>
        <v>0.403167663933472</v>
      </c>
      <c r="F355" s="30" t="n">
        <f aca="false">IF(C355+2&gt;56,INDEX(Discount!$C$4:$C$59,56),INDEX(Discount!$C$4:$C$59,C355+2))</f>
        <v>0.390507349788569</v>
      </c>
      <c r="G355" s="30" t="n">
        <f aca="false">IF(D355=0,E355,EXP((1-D355)*LN(E355)+D355*LN(F355)))</f>
        <v>0.399964616269348</v>
      </c>
    </row>
    <row r="356" customFormat="false" ht="15" hidden="false" customHeight="true" outlineLevel="0" collapsed="false">
      <c r="A356" s="1" t="n">
        <v>352</v>
      </c>
      <c r="B356" s="11" t="n">
        <f aca="false">A356/12</f>
        <v>29.3333333333333</v>
      </c>
      <c r="C356" s="34" t="n">
        <f aca="false">INT(B356)</f>
        <v>29</v>
      </c>
      <c r="D356" s="11" t="n">
        <f aca="false">B356-C356</f>
        <v>0.333333333333332</v>
      </c>
      <c r="E356" s="30" t="n">
        <f aca="false">INDEX(Discount!$C$4:$C$59,C356+1)</f>
        <v>0.403167663933472</v>
      </c>
      <c r="F356" s="30" t="n">
        <f aca="false">IF(C356+2&gt;56,INDEX(Discount!$C$4:$C$59,56),INDEX(Discount!$C$4:$C$59,C356+2))</f>
        <v>0.390507349788569</v>
      </c>
      <c r="G356" s="30" t="n">
        <f aca="false">IF(D356=0,E356,EXP((1-D356)*LN(E356)+D356*LN(F356)))</f>
        <v>0.398902598679335</v>
      </c>
    </row>
    <row r="357" customFormat="false" ht="15" hidden="false" customHeight="true" outlineLevel="0" collapsed="false">
      <c r="A357" s="1" t="n">
        <v>353</v>
      </c>
      <c r="B357" s="11" t="n">
        <f aca="false">A357/12</f>
        <v>29.4166666666667</v>
      </c>
      <c r="C357" s="34" t="n">
        <f aca="false">INT(B357)</f>
        <v>29</v>
      </c>
      <c r="D357" s="11" t="n">
        <f aca="false">B357-C357</f>
        <v>0.416666666666668</v>
      </c>
      <c r="E357" s="30" t="n">
        <f aca="false">INDEX(Discount!$C$4:$C$59,C357+1)</f>
        <v>0.403167663933472</v>
      </c>
      <c r="F357" s="30" t="n">
        <f aca="false">IF(C357+2&gt;56,INDEX(Discount!$C$4:$C$59,56),INDEX(Discount!$C$4:$C$59,C357+2))</f>
        <v>0.390507349788569</v>
      </c>
      <c r="G357" s="30" t="n">
        <f aca="false">IF(D357=0,E357,EXP((1-D357)*LN(E357)+D357*LN(F357)))</f>
        <v>0.397843401042176</v>
      </c>
    </row>
    <row r="358" customFormat="false" ht="15" hidden="false" customHeight="true" outlineLevel="0" collapsed="false">
      <c r="A358" s="1" t="n">
        <v>354</v>
      </c>
      <c r="B358" s="11" t="n">
        <f aca="false">A358/12</f>
        <v>29.5</v>
      </c>
      <c r="C358" s="34" t="n">
        <f aca="false">INT(B358)</f>
        <v>29</v>
      </c>
      <c r="D358" s="11" t="n">
        <f aca="false">B358-C358</f>
        <v>0.5</v>
      </c>
      <c r="E358" s="30" t="n">
        <f aca="false">INDEX(Discount!$C$4:$C$59,C358+1)</f>
        <v>0.403167663933472</v>
      </c>
      <c r="F358" s="30" t="n">
        <f aca="false">IF(C358+2&gt;56,INDEX(Discount!$C$4:$C$59,56),INDEX(Discount!$C$4:$C$59,C358+2))</f>
        <v>0.390507349788569</v>
      </c>
      <c r="G358" s="30" t="n">
        <f aca="false">IF(D358=0,E358,EXP((1-D358)*LN(E358)+D358*LN(F358)))</f>
        <v>0.396787015870112</v>
      </c>
    </row>
    <row r="359" customFormat="false" ht="15" hidden="false" customHeight="true" outlineLevel="0" collapsed="false">
      <c r="A359" s="1" t="n">
        <v>355</v>
      </c>
      <c r="B359" s="11" t="n">
        <f aca="false">A359/12</f>
        <v>29.5833333333333</v>
      </c>
      <c r="C359" s="34" t="n">
        <f aca="false">INT(B359)</f>
        <v>29</v>
      </c>
      <c r="D359" s="11" t="n">
        <f aca="false">B359-C359</f>
        <v>0.583333333333332</v>
      </c>
      <c r="E359" s="30" t="n">
        <f aca="false">INDEX(Discount!$C$4:$C$59,C359+1)</f>
        <v>0.403167663933472</v>
      </c>
      <c r="F359" s="30" t="n">
        <f aca="false">IF(C359+2&gt;56,INDEX(Discount!$C$4:$C$59,56),INDEX(Discount!$C$4:$C$59,C359+2))</f>
        <v>0.390507349788569</v>
      </c>
      <c r="G359" s="30" t="n">
        <f aca="false">IF(D359=0,E359,EXP((1-D359)*LN(E359)+D359*LN(F359)))</f>
        <v>0.395733435695262</v>
      </c>
    </row>
    <row r="360" customFormat="false" ht="15" hidden="false" customHeight="true" outlineLevel="0" collapsed="false">
      <c r="A360" s="1" t="n">
        <v>356</v>
      </c>
      <c r="B360" s="11" t="n">
        <f aca="false">A360/12</f>
        <v>29.6666666666667</v>
      </c>
      <c r="C360" s="34" t="n">
        <f aca="false">INT(B360)</f>
        <v>29</v>
      </c>
      <c r="D360" s="11" t="n">
        <f aca="false">B360-C360</f>
        <v>0.666666666666668</v>
      </c>
      <c r="E360" s="30" t="n">
        <f aca="false">INDEX(Discount!$C$4:$C$59,C360+1)</f>
        <v>0.403167663933472</v>
      </c>
      <c r="F360" s="30" t="n">
        <f aca="false">IF(C360+2&gt;56,INDEX(Discount!$C$4:$C$59,56),INDEX(Discount!$C$4:$C$59,C360+2))</f>
        <v>0.390507349788569</v>
      </c>
      <c r="G360" s="30" t="n">
        <f aca="false">IF(D360=0,E360,EXP((1-D360)*LN(E360)+D360*LN(F360)))</f>
        <v>0.394682653069577</v>
      </c>
    </row>
    <row r="361" customFormat="false" ht="15" hidden="false" customHeight="true" outlineLevel="0" collapsed="false">
      <c r="A361" s="1" t="n">
        <v>357</v>
      </c>
      <c r="B361" s="11" t="n">
        <f aca="false">A361/12</f>
        <v>29.75</v>
      </c>
      <c r="C361" s="34" t="n">
        <f aca="false">INT(B361)</f>
        <v>29</v>
      </c>
      <c r="D361" s="11" t="n">
        <f aca="false">B361-C361</f>
        <v>0.75</v>
      </c>
      <c r="E361" s="30" t="n">
        <f aca="false">INDEX(Discount!$C$4:$C$59,C361+1)</f>
        <v>0.403167663933472</v>
      </c>
      <c r="F361" s="30" t="n">
        <f aca="false">IF(C361+2&gt;56,INDEX(Discount!$C$4:$C$59,56),INDEX(Discount!$C$4:$C$59,C361+2))</f>
        <v>0.390507349788569</v>
      </c>
      <c r="G361" s="30" t="n">
        <f aca="false">IF(D361=0,E361,EXP((1-D361)*LN(E361)+D361*LN(F361)))</f>
        <v>0.393634660564783</v>
      </c>
    </row>
    <row r="362" customFormat="false" ht="15" hidden="false" customHeight="true" outlineLevel="0" collapsed="false">
      <c r="A362" s="1" t="n">
        <v>358</v>
      </c>
      <c r="B362" s="11" t="n">
        <f aca="false">A362/12</f>
        <v>29.8333333333333</v>
      </c>
      <c r="C362" s="34" t="n">
        <f aca="false">INT(B362)</f>
        <v>29</v>
      </c>
      <c r="D362" s="11" t="n">
        <f aca="false">B362-C362</f>
        <v>0.833333333333332</v>
      </c>
      <c r="E362" s="30" t="n">
        <f aca="false">INDEX(Discount!$C$4:$C$59,C362+1)</f>
        <v>0.403167663933472</v>
      </c>
      <c r="F362" s="30" t="n">
        <f aca="false">IF(C362+2&gt;56,INDEX(Discount!$C$4:$C$59,56),INDEX(Discount!$C$4:$C$59,C362+2))</f>
        <v>0.390507349788569</v>
      </c>
      <c r="G362" s="30" t="n">
        <f aca="false">IF(D362=0,E362,EXP((1-D362)*LN(E362)+D362*LN(F362)))</f>
        <v>0.392589450772332</v>
      </c>
    </row>
    <row r="363" customFormat="false" ht="15" hidden="false" customHeight="true" outlineLevel="0" collapsed="false">
      <c r="A363" s="1" t="n">
        <v>359</v>
      </c>
      <c r="B363" s="11" t="n">
        <f aca="false">A363/12</f>
        <v>29.9166666666667</v>
      </c>
      <c r="C363" s="34" t="n">
        <f aca="false">INT(B363)</f>
        <v>29</v>
      </c>
      <c r="D363" s="11" t="n">
        <f aca="false">B363-C363</f>
        <v>0.916666666666668</v>
      </c>
      <c r="E363" s="30" t="n">
        <f aca="false">INDEX(Discount!$C$4:$C$59,C363+1)</f>
        <v>0.403167663933472</v>
      </c>
      <c r="F363" s="30" t="n">
        <f aca="false">IF(C363+2&gt;56,INDEX(Discount!$C$4:$C$59,56),INDEX(Discount!$C$4:$C$59,C363+2))</f>
        <v>0.390507349788569</v>
      </c>
      <c r="G363" s="30" t="n">
        <f aca="false">IF(D363=0,E363,EXP((1-D363)*LN(E363)+D363*LN(F363)))</f>
        <v>0.391547016303347</v>
      </c>
    </row>
    <row r="364" customFormat="false" ht="15" hidden="false" customHeight="true" outlineLevel="0" collapsed="false">
      <c r="A364" s="1" t="n">
        <v>360</v>
      </c>
      <c r="B364" s="11" t="n">
        <f aca="false">A364/12</f>
        <v>30</v>
      </c>
      <c r="C364" s="34" t="n">
        <f aca="false">INT(B364)</f>
        <v>30</v>
      </c>
      <c r="D364" s="11" t="n">
        <f aca="false">B364-C364</f>
        <v>0</v>
      </c>
      <c r="E364" s="30" t="n">
        <f aca="false">INDEX(Discount!$C$4:$C$59,C364+1)</f>
        <v>0.390507349788569</v>
      </c>
      <c r="F364" s="30" t="n">
        <f aca="false">IF(C364+2&gt;56,INDEX(Discount!$C$4:$C$59,56),INDEX(Discount!$C$4:$C$59,C364+2))</f>
        <v>0.378343586433049</v>
      </c>
      <c r="G364" s="30" t="n">
        <f aca="false">IF(D364=0,E364,EXP((1-D364)*LN(E364)+D364*LN(F364)))</f>
        <v>0.390507349788569</v>
      </c>
    </row>
    <row r="365" customFormat="false" ht="15" hidden="false" customHeight="true" outlineLevel="0" collapsed="false">
      <c r="A365" s="1" t="n">
        <v>361</v>
      </c>
      <c r="B365" s="11" t="n">
        <f aca="false">A365/12</f>
        <v>30.0833333333333</v>
      </c>
      <c r="C365" s="34" t="n">
        <f aca="false">INT(B365)</f>
        <v>30</v>
      </c>
      <c r="D365" s="11" t="n">
        <f aca="false">B365-C365</f>
        <v>0.0833333333333322</v>
      </c>
      <c r="E365" s="30" t="n">
        <f aca="false">INDEX(Discount!$C$4:$C$59,C365+1)</f>
        <v>0.390507349788569</v>
      </c>
      <c r="F365" s="30" t="n">
        <f aca="false">IF(C365+2&gt;56,INDEX(Discount!$C$4:$C$59,56),INDEX(Discount!$C$4:$C$59,C365+2))</f>
        <v>0.378343586433049</v>
      </c>
      <c r="G365" s="30" t="n">
        <f aca="false">IF(D365=0,E365,EXP((1-D365)*LN(E365)+D365*LN(F365)))</f>
        <v>0.389478936873082</v>
      </c>
    </row>
    <row r="366" customFormat="false" ht="15" hidden="false" customHeight="true" outlineLevel="0" collapsed="false">
      <c r="A366" s="1" t="n">
        <v>362</v>
      </c>
      <c r="B366" s="11" t="n">
        <f aca="false">A366/12</f>
        <v>30.1666666666667</v>
      </c>
      <c r="C366" s="34" t="n">
        <f aca="false">INT(B366)</f>
        <v>30</v>
      </c>
      <c r="D366" s="11" t="n">
        <f aca="false">B366-C366</f>
        <v>0.166666666666668</v>
      </c>
      <c r="E366" s="30" t="n">
        <f aca="false">INDEX(Discount!$C$4:$C$59,C366+1)</f>
        <v>0.390507349788569</v>
      </c>
      <c r="F366" s="30" t="n">
        <f aca="false">IF(C366+2&gt;56,INDEX(Discount!$C$4:$C$59,56),INDEX(Discount!$C$4:$C$59,C366+2))</f>
        <v>0.378343586433049</v>
      </c>
      <c r="G366" s="30" t="n">
        <f aca="false">IF(D366=0,E366,EXP((1-D366)*LN(E366)+D366*LN(F366)))</f>
        <v>0.38845323231411</v>
      </c>
    </row>
    <row r="367" customFormat="false" ht="15" hidden="false" customHeight="true" outlineLevel="0" collapsed="false">
      <c r="A367" s="1" t="n">
        <v>363</v>
      </c>
      <c r="B367" s="11" t="n">
        <f aca="false">A367/12</f>
        <v>30.25</v>
      </c>
      <c r="C367" s="34" t="n">
        <f aca="false">INT(B367)</f>
        <v>30</v>
      </c>
      <c r="D367" s="11" t="n">
        <f aca="false">B367-C367</f>
        <v>0.25</v>
      </c>
      <c r="E367" s="30" t="n">
        <f aca="false">INDEX(Discount!$C$4:$C$59,C367+1)</f>
        <v>0.390507349788569</v>
      </c>
      <c r="F367" s="30" t="n">
        <f aca="false">IF(C367+2&gt;56,INDEX(Discount!$C$4:$C$59,56),INDEX(Discount!$C$4:$C$59,C367+2))</f>
        <v>0.378343586433049</v>
      </c>
      <c r="G367" s="30" t="n">
        <f aca="false">IF(D367=0,E367,EXP((1-D367)*LN(E367)+D367*LN(F367)))</f>
        <v>0.387430228979113</v>
      </c>
    </row>
    <row r="368" customFormat="false" ht="15" hidden="false" customHeight="true" outlineLevel="0" collapsed="false">
      <c r="A368" s="1" t="n">
        <v>364</v>
      </c>
      <c r="B368" s="11" t="n">
        <f aca="false">A368/12</f>
        <v>30.3333333333333</v>
      </c>
      <c r="C368" s="34" t="n">
        <f aca="false">INT(B368)</f>
        <v>30</v>
      </c>
      <c r="D368" s="11" t="n">
        <f aca="false">B368-C368</f>
        <v>0.333333333333332</v>
      </c>
      <c r="E368" s="30" t="n">
        <f aca="false">INDEX(Discount!$C$4:$C$59,C368+1)</f>
        <v>0.390507349788569</v>
      </c>
      <c r="F368" s="30" t="n">
        <f aca="false">IF(C368+2&gt;56,INDEX(Discount!$C$4:$C$59,56),INDEX(Discount!$C$4:$C$59,C368+2))</f>
        <v>0.378343586433049</v>
      </c>
      <c r="G368" s="30" t="n">
        <f aca="false">IF(D368=0,E368,EXP((1-D368)*LN(E368)+D368*LN(F368)))</f>
        <v>0.386409919754337</v>
      </c>
    </row>
    <row r="369" customFormat="false" ht="15" hidden="false" customHeight="true" outlineLevel="0" collapsed="false">
      <c r="A369" s="1" t="n">
        <v>365</v>
      </c>
      <c r="B369" s="11" t="n">
        <f aca="false">A369/12</f>
        <v>30.4166666666667</v>
      </c>
      <c r="C369" s="34" t="n">
        <f aca="false">INT(B369)</f>
        <v>30</v>
      </c>
      <c r="D369" s="11" t="n">
        <f aca="false">B369-C369</f>
        <v>0.416666666666668</v>
      </c>
      <c r="E369" s="30" t="n">
        <f aca="false">INDEX(Discount!$C$4:$C$59,C369+1)</f>
        <v>0.390507349788569</v>
      </c>
      <c r="F369" s="30" t="n">
        <f aca="false">IF(C369+2&gt;56,INDEX(Discount!$C$4:$C$59,56),INDEX(Discount!$C$4:$C$59,C369+2))</f>
        <v>0.378343586433049</v>
      </c>
      <c r="G369" s="30" t="n">
        <f aca="false">IF(D369=0,E369,EXP((1-D369)*LN(E369)+D369*LN(F369)))</f>
        <v>0.385392297544761</v>
      </c>
    </row>
    <row r="370" customFormat="false" ht="15" hidden="false" customHeight="true" outlineLevel="0" collapsed="false">
      <c r="A370" s="1" t="n">
        <v>366</v>
      </c>
      <c r="B370" s="11" t="n">
        <f aca="false">A370/12</f>
        <v>30.5</v>
      </c>
      <c r="C370" s="34" t="n">
        <f aca="false">INT(B370)</f>
        <v>30</v>
      </c>
      <c r="D370" s="11" t="n">
        <f aca="false">B370-C370</f>
        <v>0.5</v>
      </c>
      <c r="E370" s="30" t="n">
        <f aca="false">INDEX(Discount!$C$4:$C$59,C370+1)</f>
        <v>0.390507349788569</v>
      </c>
      <c r="F370" s="30" t="n">
        <f aca="false">IF(C370+2&gt;56,INDEX(Discount!$C$4:$C$59,56),INDEX(Discount!$C$4:$C$59,C370+2))</f>
        <v>0.378343586433049</v>
      </c>
      <c r="G370" s="30" t="n">
        <f aca="false">IF(D370=0,E370,EXP((1-D370)*LN(E370)+D370*LN(F370)))</f>
        <v>0.384377355274049</v>
      </c>
    </row>
    <row r="371" customFormat="false" ht="15" hidden="false" customHeight="true" outlineLevel="0" collapsed="false">
      <c r="A371" s="1" t="n">
        <v>367</v>
      </c>
      <c r="B371" s="11" t="n">
        <f aca="false">A371/12</f>
        <v>30.5833333333333</v>
      </c>
      <c r="C371" s="34" t="n">
        <f aca="false">INT(B371)</f>
        <v>30</v>
      </c>
      <c r="D371" s="11" t="n">
        <f aca="false">B371-C371</f>
        <v>0.583333333333332</v>
      </c>
      <c r="E371" s="30" t="n">
        <f aca="false">INDEX(Discount!$C$4:$C$59,C371+1)</f>
        <v>0.390507349788569</v>
      </c>
      <c r="F371" s="30" t="n">
        <f aca="false">IF(C371+2&gt;56,INDEX(Discount!$C$4:$C$59,56),INDEX(Discount!$C$4:$C$59,C371+2))</f>
        <v>0.378343586433049</v>
      </c>
      <c r="G371" s="30" t="n">
        <f aca="false">IF(D371=0,E371,EXP((1-D371)*LN(E371)+D371*LN(F371)))</f>
        <v>0.383365085884501</v>
      </c>
    </row>
    <row r="372" customFormat="false" ht="15" hidden="false" customHeight="true" outlineLevel="0" collapsed="false">
      <c r="A372" s="1" t="n">
        <v>368</v>
      </c>
      <c r="B372" s="11" t="n">
        <f aca="false">A372/12</f>
        <v>30.6666666666667</v>
      </c>
      <c r="C372" s="34" t="n">
        <f aca="false">INT(B372)</f>
        <v>30</v>
      </c>
      <c r="D372" s="11" t="n">
        <f aca="false">B372-C372</f>
        <v>0.666666666666668</v>
      </c>
      <c r="E372" s="30" t="n">
        <f aca="false">INDEX(Discount!$C$4:$C$59,C372+1)</f>
        <v>0.390507349788569</v>
      </c>
      <c r="F372" s="30" t="n">
        <f aca="false">IF(C372+2&gt;56,INDEX(Discount!$C$4:$C$59,56),INDEX(Discount!$C$4:$C$59,C372+2))</f>
        <v>0.378343586433049</v>
      </c>
      <c r="G372" s="30" t="n">
        <f aca="false">IF(D372=0,E372,EXP((1-D372)*LN(E372)+D372*LN(F372)))</f>
        <v>0.382355482337003</v>
      </c>
    </row>
    <row r="373" customFormat="false" ht="15" hidden="false" customHeight="true" outlineLevel="0" collapsed="false">
      <c r="A373" s="1" t="n">
        <v>369</v>
      </c>
      <c r="B373" s="11" t="n">
        <f aca="false">A373/12</f>
        <v>30.75</v>
      </c>
      <c r="C373" s="34" t="n">
        <f aca="false">INT(B373)</f>
        <v>30</v>
      </c>
      <c r="D373" s="11" t="n">
        <f aca="false">B373-C373</f>
        <v>0.75</v>
      </c>
      <c r="E373" s="30" t="n">
        <f aca="false">INDEX(Discount!$C$4:$C$59,C373+1)</f>
        <v>0.390507349788569</v>
      </c>
      <c r="F373" s="30" t="n">
        <f aca="false">IF(C373+2&gt;56,INDEX(Discount!$C$4:$C$59,56),INDEX(Discount!$C$4:$C$59,C373+2))</f>
        <v>0.378343586433049</v>
      </c>
      <c r="G373" s="30" t="n">
        <f aca="false">IF(D373=0,E373,EXP((1-D373)*LN(E373)+D373*LN(F373)))</f>
        <v>0.381348537610981</v>
      </c>
    </row>
    <row r="374" customFormat="false" ht="15" hidden="false" customHeight="true" outlineLevel="0" collapsed="false">
      <c r="A374" s="1" t="n">
        <v>370</v>
      </c>
      <c r="B374" s="11" t="n">
        <f aca="false">A374/12</f>
        <v>30.8333333333333</v>
      </c>
      <c r="C374" s="34" t="n">
        <f aca="false">INT(B374)</f>
        <v>30</v>
      </c>
      <c r="D374" s="11" t="n">
        <f aca="false">B374-C374</f>
        <v>0.833333333333332</v>
      </c>
      <c r="E374" s="30" t="n">
        <f aca="false">INDEX(Discount!$C$4:$C$59,C374+1)</f>
        <v>0.390507349788569</v>
      </c>
      <c r="F374" s="30" t="n">
        <f aca="false">IF(C374+2&gt;56,INDEX(Discount!$C$4:$C$59,56),INDEX(Discount!$C$4:$C$59,C374+2))</f>
        <v>0.378343586433049</v>
      </c>
      <c r="G374" s="30" t="n">
        <f aca="false">IF(D374=0,E374,EXP((1-D374)*LN(E374)+D374*LN(F374)))</f>
        <v>0.380344244704347</v>
      </c>
    </row>
    <row r="375" customFormat="false" ht="15" hidden="false" customHeight="true" outlineLevel="0" collapsed="false">
      <c r="A375" s="1" t="n">
        <v>371</v>
      </c>
      <c r="B375" s="11" t="n">
        <f aca="false">A375/12</f>
        <v>30.9166666666667</v>
      </c>
      <c r="C375" s="34" t="n">
        <f aca="false">INT(B375)</f>
        <v>30</v>
      </c>
      <c r="D375" s="11" t="n">
        <f aca="false">B375-C375</f>
        <v>0.916666666666668</v>
      </c>
      <c r="E375" s="30" t="n">
        <f aca="false">INDEX(Discount!$C$4:$C$59,C375+1)</f>
        <v>0.390507349788569</v>
      </c>
      <c r="F375" s="30" t="n">
        <f aca="false">IF(C375+2&gt;56,INDEX(Discount!$C$4:$C$59,56),INDEX(Discount!$C$4:$C$59,C375+2))</f>
        <v>0.378343586433049</v>
      </c>
      <c r="G375" s="30" t="n">
        <f aca="false">IF(D375=0,E375,EXP((1-D375)*LN(E375)+D375*LN(F375)))</f>
        <v>0.379342596633455</v>
      </c>
    </row>
    <row r="376" customFormat="false" ht="15" hidden="false" customHeight="true" outlineLevel="0" collapsed="false">
      <c r="A376" s="1" t="n">
        <v>372</v>
      </c>
      <c r="B376" s="11" t="n">
        <f aca="false">A376/12</f>
        <v>31</v>
      </c>
      <c r="C376" s="34" t="n">
        <f aca="false">INT(B376)</f>
        <v>31</v>
      </c>
      <c r="D376" s="11" t="n">
        <f aca="false">B376-C376</f>
        <v>0</v>
      </c>
      <c r="E376" s="30" t="n">
        <f aca="false">INDEX(Discount!$C$4:$C$59,C376+1)</f>
        <v>0.378343586433049</v>
      </c>
      <c r="F376" s="30" t="n">
        <f aca="false">IF(C376+2&gt;56,INDEX(Discount!$C$4:$C$59,56),INDEX(Discount!$C$4:$C$59,C376+2))</f>
        <v>0.366437947062115</v>
      </c>
      <c r="G376" s="30" t="n">
        <f aca="false">IF(D376=0,E376,EXP((1-D376)*LN(E376)+D376*LN(F376)))</f>
        <v>0.378343586433049</v>
      </c>
    </row>
    <row r="377" customFormat="false" ht="15" hidden="false" customHeight="true" outlineLevel="0" collapsed="false">
      <c r="A377" s="1" t="n">
        <v>373</v>
      </c>
      <c r="B377" s="11" t="n">
        <f aca="false">A377/12</f>
        <v>31.0833333333333</v>
      </c>
      <c r="C377" s="34" t="n">
        <f aca="false">INT(B377)</f>
        <v>31</v>
      </c>
      <c r="D377" s="11" t="n">
        <f aca="false">B377-C377</f>
        <v>0.0833333333333322</v>
      </c>
      <c r="E377" s="30" t="n">
        <f aca="false">INDEX(Discount!$C$4:$C$59,C377+1)</f>
        <v>0.378343586433049</v>
      </c>
      <c r="F377" s="30" t="n">
        <f aca="false">IF(C377+2&gt;56,INDEX(Discount!$C$4:$C$59,56),INDEX(Discount!$C$4:$C$59,C377+2))</f>
        <v>0.366437947062115</v>
      </c>
      <c r="G377" s="30" t="n">
        <f aca="false">IF(D377=0,E377,EXP((1-D377)*LN(E377)+D377*LN(F377)))</f>
        <v>0.377336846041063</v>
      </c>
    </row>
    <row r="378" customFormat="false" ht="15" hidden="false" customHeight="true" outlineLevel="0" collapsed="false">
      <c r="A378" s="1" t="n">
        <v>374</v>
      </c>
      <c r="B378" s="11" t="n">
        <f aca="false">A378/12</f>
        <v>31.1666666666667</v>
      </c>
      <c r="C378" s="34" t="n">
        <f aca="false">INT(B378)</f>
        <v>31</v>
      </c>
      <c r="D378" s="11" t="n">
        <f aca="false">B378-C378</f>
        <v>0.166666666666668</v>
      </c>
      <c r="E378" s="30" t="n">
        <f aca="false">INDEX(Discount!$C$4:$C$59,C378+1)</f>
        <v>0.378343586433049</v>
      </c>
      <c r="F378" s="30" t="n">
        <f aca="false">IF(C378+2&gt;56,INDEX(Discount!$C$4:$C$59,56),INDEX(Discount!$C$4:$C$59,C378+2))</f>
        <v>0.366437947062115</v>
      </c>
      <c r="G378" s="30" t="n">
        <f aca="false">IF(D378=0,E378,EXP((1-D378)*LN(E378)+D378*LN(F378)))</f>
        <v>0.376332784500399</v>
      </c>
    </row>
    <row r="379" customFormat="false" ht="15" hidden="false" customHeight="true" outlineLevel="0" collapsed="false">
      <c r="A379" s="1" t="n">
        <v>375</v>
      </c>
      <c r="B379" s="11" t="n">
        <f aca="false">A379/12</f>
        <v>31.25</v>
      </c>
      <c r="C379" s="34" t="n">
        <f aca="false">INT(B379)</f>
        <v>31</v>
      </c>
      <c r="D379" s="11" t="n">
        <f aca="false">B379-C379</f>
        <v>0.25</v>
      </c>
      <c r="E379" s="30" t="n">
        <f aca="false">INDEX(Discount!$C$4:$C$59,C379+1)</f>
        <v>0.378343586433049</v>
      </c>
      <c r="F379" s="30" t="n">
        <f aca="false">IF(C379+2&gt;56,INDEX(Discount!$C$4:$C$59,56),INDEX(Discount!$C$4:$C$59,C379+2))</f>
        <v>0.366437947062115</v>
      </c>
      <c r="G379" s="30" t="n">
        <f aca="false">IF(D379=0,E379,EXP((1-D379)*LN(E379)+D379*LN(F379)))</f>
        <v>0.375331394682861</v>
      </c>
    </row>
    <row r="380" customFormat="false" ht="15" hidden="false" customHeight="true" outlineLevel="0" collapsed="false">
      <c r="A380" s="1" t="n">
        <v>376</v>
      </c>
      <c r="B380" s="11" t="n">
        <f aca="false">A380/12</f>
        <v>31.3333333333333</v>
      </c>
      <c r="C380" s="34" t="n">
        <f aca="false">INT(B380)</f>
        <v>31</v>
      </c>
      <c r="D380" s="11" t="n">
        <f aca="false">B380-C380</f>
        <v>0.333333333333332</v>
      </c>
      <c r="E380" s="30" t="n">
        <f aca="false">INDEX(Discount!$C$4:$C$59,C380+1)</f>
        <v>0.378343586433049</v>
      </c>
      <c r="F380" s="30" t="n">
        <f aca="false">IF(C380+2&gt;56,INDEX(Discount!$C$4:$C$59,56),INDEX(Discount!$C$4:$C$59,C380+2))</f>
        <v>0.366437947062115</v>
      </c>
      <c r="G380" s="30" t="n">
        <f aca="false">IF(D380=0,E380,EXP((1-D380)*LN(E380)+D380*LN(F380)))</f>
        <v>0.374332669479217</v>
      </c>
    </row>
    <row r="381" customFormat="false" ht="15" hidden="false" customHeight="true" outlineLevel="0" collapsed="false">
      <c r="A381" s="1" t="n">
        <v>377</v>
      </c>
      <c r="B381" s="11" t="n">
        <f aca="false">A381/12</f>
        <v>31.4166666666667</v>
      </c>
      <c r="C381" s="34" t="n">
        <f aca="false">INT(B381)</f>
        <v>31</v>
      </c>
      <c r="D381" s="11" t="n">
        <f aca="false">B381-C381</f>
        <v>0.416666666666668</v>
      </c>
      <c r="E381" s="30" t="n">
        <f aca="false">INDEX(Discount!$C$4:$C$59,C381+1)</f>
        <v>0.378343586433049</v>
      </c>
      <c r="F381" s="30" t="n">
        <f aca="false">IF(C381+2&gt;56,INDEX(Discount!$C$4:$C$59,56),INDEX(Discount!$C$4:$C$59,C381+2))</f>
        <v>0.366437947062115</v>
      </c>
      <c r="G381" s="30" t="n">
        <f aca="false">IF(D381=0,E381,EXP((1-D381)*LN(E381)+D381*LN(F381)))</f>
        <v>0.373336601799155</v>
      </c>
    </row>
    <row r="382" customFormat="false" ht="15" hidden="false" customHeight="true" outlineLevel="0" collapsed="false">
      <c r="A382" s="1" t="n">
        <v>378</v>
      </c>
      <c r="B382" s="11" t="n">
        <f aca="false">A382/12</f>
        <v>31.5</v>
      </c>
      <c r="C382" s="34" t="n">
        <f aca="false">INT(B382)</f>
        <v>31</v>
      </c>
      <c r="D382" s="11" t="n">
        <f aca="false">B382-C382</f>
        <v>0.5</v>
      </c>
      <c r="E382" s="30" t="n">
        <f aca="false">INDEX(Discount!$C$4:$C$59,C382+1)</f>
        <v>0.378343586433049</v>
      </c>
      <c r="F382" s="30" t="n">
        <f aca="false">IF(C382+2&gt;56,INDEX(Discount!$C$4:$C$59,56),INDEX(Discount!$C$4:$C$59,C382+2))</f>
        <v>0.366437947062115</v>
      </c>
      <c r="G382" s="30" t="n">
        <f aca="false">IF(D382=0,E382,EXP((1-D382)*LN(E382)+D382*LN(F382)))</f>
        <v>0.372343184571229</v>
      </c>
    </row>
    <row r="383" customFormat="false" ht="15" hidden="false" customHeight="true" outlineLevel="0" collapsed="false">
      <c r="A383" s="1" t="n">
        <v>379</v>
      </c>
      <c r="B383" s="11" t="n">
        <f aca="false">A383/12</f>
        <v>31.5833333333333</v>
      </c>
      <c r="C383" s="34" t="n">
        <f aca="false">INT(B383)</f>
        <v>31</v>
      </c>
      <c r="D383" s="11" t="n">
        <f aca="false">B383-C383</f>
        <v>0.583333333333332</v>
      </c>
      <c r="E383" s="30" t="n">
        <f aca="false">INDEX(Discount!$C$4:$C$59,C383+1)</f>
        <v>0.378343586433049</v>
      </c>
      <c r="F383" s="30" t="n">
        <f aca="false">IF(C383+2&gt;56,INDEX(Discount!$C$4:$C$59,56),INDEX(Discount!$C$4:$C$59,C383+2))</f>
        <v>0.366437947062115</v>
      </c>
      <c r="G383" s="30" t="n">
        <f aca="false">IF(D383=0,E383,EXP((1-D383)*LN(E383)+D383*LN(F383)))</f>
        <v>0.371352410742809</v>
      </c>
    </row>
    <row r="384" customFormat="false" ht="15" hidden="false" customHeight="true" outlineLevel="0" collapsed="false">
      <c r="A384" s="1" t="n">
        <v>380</v>
      </c>
      <c r="B384" s="11" t="n">
        <f aca="false">A384/12</f>
        <v>31.6666666666667</v>
      </c>
      <c r="C384" s="34" t="n">
        <f aca="false">INT(B384)</f>
        <v>31</v>
      </c>
      <c r="D384" s="11" t="n">
        <f aca="false">B384-C384</f>
        <v>0.666666666666668</v>
      </c>
      <c r="E384" s="30" t="n">
        <f aca="false">INDEX(Discount!$C$4:$C$59,C384+1)</f>
        <v>0.378343586433049</v>
      </c>
      <c r="F384" s="30" t="n">
        <f aca="false">IF(C384+2&gt;56,INDEX(Discount!$C$4:$C$59,56),INDEX(Discount!$C$4:$C$59,C384+2))</f>
        <v>0.366437947062115</v>
      </c>
      <c r="G384" s="30" t="n">
        <f aca="false">IF(D384=0,E384,EXP((1-D384)*LN(E384)+D384*LN(F384)))</f>
        <v>0.370364273280031</v>
      </c>
    </row>
    <row r="385" customFormat="false" ht="15" hidden="false" customHeight="true" outlineLevel="0" collapsed="false">
      <c r="A385" s="1" t="n">
        <v>381</v>
      </c>
      <c r="B385" s="11" t="n">
        <f aca="false">A385/12</f>
        <v>31.75</v>
      </c>
      <c r="C385" s="34" t="n">
        <f aca="false">INT(B385)</f>
        <v>31</v>
      </c>
      <c r="D385" s="11" t="n">
        <f aca="false">B385-C385</f>
        <v>0.75</v>
      </c>
      <c r="E385" s="30" t="n">
        <f aca="false">INDEX(Discount!$C$4:$C$59,C385+1)</f>
        <v>0.378343586433049</v>
      </c>
      <c r="F385" s="30" t="n">
        <f aca="false">IF(C385+2&gt;56,INDEX(Discount!$C$4:$C$59,56),INDEX(Discount!$C$4:$C$59,C385+2))</f>
        <v>0.366437947062115</v>
      </c>
      <c r="G385" s="30" t="n">
        <f aca="false">IF(D385=0,E385,EXP((1-D385)*LN(E385)+D385*LN(F385)))</f>
        <v>0.369378765167749</v>
      </c>
    </row>
    <row r="386" customFormat="false" ht="15" hidden="false" customHeight="true" outlineLevel="0" collapsed="false">
      <c r="A386" s="1" t="n">
        <v>382</v>
      </c>
      <c r="B386" s="11" t="n">
        <f aca="false">A386/12</f>
        <v>31.8333333333333</v>
      </c>
      <c r="C386" s="34" t="n">
        <f aca="false">INT(B386)</f>
        <v>31</v>
      </c>
      <c r="D386" s="11" t="n">
        <f aca="false">B386-C386</f>
        <v>0.833333333333332</v>
      </c>
      <c r="E386" s="30" t="n">
        <f aca="false">INDEX(Discount!$C$4:$C$59,C386+1)</f>
        <v>0.378343586433049</v>
      </c>
      <c r="F386" s="30" t="n">
        <f aca="false">IF(C386+2&gt;56,INDEX(Discount!$C$4:$C$59,56),INDEX(Discount!$C$4:$C$59,C386+2))</f>
        <v>0.366437947062115</v>
      </c>
      <c r="G386" s="30" t="n">
        <f aca="false">IF(D386=0,E386,EXP((1-D386)*LN(E386)+D386*LN(F386)))</f>
        <v>0.368395879409483</v>
      </c>
    </row>
    <row r="387" customFormat="false" ht="15" hidden="false" customHeight="true" outlineLevel="0" collapsed="false">
      <c r="A387" s="1" t="n">
        <v>383</v>
      </c>
      <c r="B387" s="11" t="n">
        <f aca="false">A387/12</f>
        <v>31.9166666666667</v>
      </c>
      <c r="C387" s="34" t="n">
        <f aca="false">INT(B387)</f>
        <v>31</v>
      </c>
      <c r="D387" s="11" t="n">
        <f aca="false">B387-C387</f>
        <v>0.916666666666668</v>
      </c>
      <c r="E387" s="30" t="n">
        <f aca="false">INDEX(Discount!$C$4:$C$59,C387+1)</f>
        <v>0.378343586433049</v>
      </c>
      <c r="F387" s="30" t="n">
        <f aca="false">IF(C387+2&gt;56,INDEX(Discount!$C$4:$C$59,56),INDEX(Discount!$C$4:$C$59,C387+2))</f>
        <v>0.366437947062115</v>
      </c>
      <c r="G387" s="30" t="n">
        <f aca="false">IF(D387=0,E387,EXP((1-D387)*LN(E387)+D387*LN(F387)))</f>
        <v>0.36741560902737</v>
      </c>
    </row>
    <row r="388" customFormat="false" ht="15" hidden="false" customHeight="true" outlineLevel="0" collapsed="false">
      <c r="A388" s="1" t="n">
        <v>384</v>
      </c>
      <c r="B388" s="11" t="n">
        <f aca="false">A388/12</f>
        <v>32</v>
      </c>
      <c r="C388" s="34" t="n">
        <f aca="false">INT(B388)</f>
        <v>32</v>
      </c>
      <c r="D388" s="11" t="n">
        <f aca="false">B388-C388</f>
        <v>0</v>
      </c>
      <c r="E388" s="30" t="n">
        <f aca="false">INDEX(Discount!$C$4:$C$59,C388+1)</f>
        <v>0.366437947062115</v>
      </c>
      <c r="F388" s="30" t="n">
        <f aca="false">IF(C388+2&gt;56,INDEX(Discount!$C$4:$C$59,56),INDEX(Discount!$C$4:$C$59,C388+2))</f>
        <v>0.354893198656804</v>
      </c>
      <c r="G388" s="30" t="n">
        <f aca="false">IF(D388=0,E388,EXP((1-D388)*LN(E388)+D388*LN(F388)))</f>
        <v>0.366437947062115</v>
      </c>
    </row>
    <row r="389" customFormat="false" ht="15" hidden="false" customHeight="true" outlineLevel="0" collapsed="false">
      <c r="A389" s="1" t="n">
        <v>385</v>
      </c>
      <c r="B389" s="11" t="n">
        <f aca="false">A389/12</f>
        <v>32.0833333333333</v>
      </c>
      <c r="C389" s="34" t="n">
        <f aca="false">INT(B389)</f>
        <v>32</v>
      </c>
      <c r="D389" s="11" t="n">
        <f aca="false">B389-C389</f>
        <v>0.0833333333333357</v>
      </c>
      <c r="E389" s="30" t="n">
        <f aca="false">INDEX(Discount!$C$4:$C$59,C389+1)</f>
        <v>0.366437947062115</v>
      </c>
      <c r="F389" s="30" t="n">
        <f aca="false">IF(C389+2&gt;56,INDEX(Discount!$C$4:$C$59,56),INDEX(Discount!$C$4:$C$59,C389+2))</f>
        <v>0.354893198656804</v>
      </c>
      <c r="G389" s="30" t="n">
        <f aca="false">IF(D389=0,E389,EXP((1-D389)*LN(E389)+D389*LN(F389)))</f>
        <v>0.365461706356567</v>
      </c>
    </row>
    <row r="390" customFormat="false" ht="15" hidden="false" customHeight="true" outlineLevel="0" collapsed="false">
      <c r="A390" s="1" t="n">
        <v>386</v>
      </c>
      <c r="B390" s="11" t="n">
        <f aca="false">A390/12</f>
        <v>32.1666666666667</v>
      </c>
      <c r="C390" s="34" t="n">
        <f aca="false">INT(B390)</f>
        <v>32</v>
      </c>
      <c r="D390" s="11" t="n">
        <f aca="false">B390-C390</f>
        <v>0.166666666666664</v>
      </c>
      <c r="E390" s="30" t="n">
        <f aca="false">INDEX(Discount!$C$4:$C$59,C390+1)</f>
        <v>0.366437947062115</v>
      </c>
      <c r="F390" s="30" t="n">
        <f aca="false">IF(C390+2&gt;56,INDEX(Discount!$C$4:$C$59,56),INDEX(Discount!$C$4:$C$59,C390+2))</f>
        <v>0.354893198656804</v>
      </c>
      <c r="G390" s="30" t="n">
        <f aca="false">IF(D390=0,E390,EXP((1-D390)*LN(E390)+D390*LN(F390)))</f>
        <v>0.364488066489504</v>
      </c>
    </row>
    <row r="391" customFormat="false" ht="15" hidden="false" customHeight="true" outlineLevel="0" collapsed="false">
      <c r="A391" s="1" t="n">
        <v>387</v>
      </c>
      <c r="B391" s="11" t="n">
        <f aca="false">A391/12</f>
        <v>32.25</v>
      </c>
      <c r="C391" s="34" t="n">
        <f aca="false">INT(B391)</f>
        <v>32</v>
      </c>
      <c r="D391" s="11" t="n">
        <f aca="false">B391-C391</f>
        <v>0.25</v>
      </c>
      <c r="E391" s="30" t="n">
        <f aca="false">INDEX(Discount!$C$4:$C$59,C391+1)</f>
        <v>0.366437947062115</v>
      </c>
      <c r="F391" s="30" t="n">
        <f aca="false">IF(C391+2&gt;56,INDEX(Discount!$C$4:$C$59,56),INDEX(Discount!$C$4:$C$59,C391+2))</f>
        <v>0.354893198656804</v>
      </c>
      <c r="G391" s="30" t="n">
        <f aca="false">IF(D391=0,E391,EXP((1-D391)*LN(E391)+D391*LN(F391)))</f>
        <v>0.363517020531937</v>
      </c>
    </row>
    <row r="392" customFormat="false" ht="15" hidden="false" customHeight="true" outlineLevel="0" collapsed="false">
      <c r="A392" s="1" t="n">
        <v>388</v>
      </c>
      <c r="B392" s="11" t="n">
        <f aca="false">A392/12</f>
        <v>32.3333333333333</v>
      </c>
      <c r="C392" s="34" t="n">
        <f aca="false">INT(B392)</f>
        <v>32</v>
      </c>
      <c r="D392" s="11" t="n">
        <f aca="false">B392-C392</f>
        <v>0.333333333333336</v>
      </c>
      <c r="E392" s="30" t="n">
        <f aca="false">INDEX(Discount!$C$4:$C$59,C392+1)</f>
        <v>0.366437947062115</v>
      </c>
      <c r="F392" s="30" t="n">
        <f aca="false">IF(C392+2&gt;56,INDEX(Discount!$C$4:$C$59,56),INDEX(Discount!$C$4:$C$59,C392+2))</f>
        <v>0.354893198656804</v>
      </c>
      <c r="G392" s="30" t="n">
        <f aca="false">IF(D392=0,E392,EXP((1-D392)*LN(E392)+D392*LN(F392)))</f>
        <v>0.362548561573338</v>
      </c>
    </row>
    <row r="393" customFormat="false" ht="15" hidden="false" customHeight="true" outlineLevel="0" collapsed="false">
      <c r="A393" s="1" t="n">
        <v>389</v>
      </c>
      <c r="B393" s="11" t="n">
        <f aca="false">A393/12</f>
        <v>32.4166666666667</v>
      </c>
      <c r="C393" s="34" t="n">
        <f aca="false">INT(B393)</f>
        <v>32</v>
      </c>
      <c r="D393" s="11" t="n">
        <f aca="false">B393-C393</f>
        <v>0.416666666666664</v>
      </c>
      <c r="E393" s="30" t="n">
        <f aca="false">INDEX(Discount!$C$4:$C$59,C393+1)</f>
        <v>0.366437947062115</v>
      </c>
      <c r="F393" s="30" t="n">
        <f aca="false">IF(C393+2&gt;56,INDEX(Discount!$C$4:$C$59,56),INDEX(Discount!$C$4:$C$59,C393+2))</f>
        <v>0.354893198656804</v>
      </c>
      <c r="G393" s="30" t="n">
        <f aca="false">IF(D393=0,E393,EXP((1-D393)*LN(E393)+D393*LN(F393)))</f>
        <v>0.361582682721589</v>
      </c>
    </row>
    <row r="394" customFormat="false" ht="15" hidden="false" customHeight="true" outlineLevel="0" collapsed="false">
      <c r="A394" s="1" t="n">
        <v>390</v>
      </c>
      <c r="B394" s="11" t="n">
        <f aca="false">A394/12</f>
        <v>32.5</v>
      </c>
      <c r="C394" s="34" t="n">
        <f aca="false">INT(B394)</f>
        <v>32</v>
      </c>
      <c r="D394" s="11" t="n">
        <f aca="false">B394-C394</f>
        <v>0.5</v>
      </c>
      <c r="E394" s="30" t="n">
        <f aca="false">INDEX(Discount!$C$4:$C$59,C394+1)</f>
        <v>0.366437947062115</v>
      </c>
      <c r="F394" s="30" t="n">
        <f aca="false">IF(C394+2&gt;56,INDEX(Discount!$C$4:$C$59,56),INDEX(Discount!$C$4:$C$59,C394+2))</f>
        <v>0.354893198656804</v>
      </c>
      <c r="G394" s="30" t="n">
        <f aca="false">IF(D394=0,E394,EXP((1-D394)*LN(E394)+D394*LN(F394)))</f>
        <v>0.360619377102932</v>
      </c>
    </row>
    <row r="395" customFormat="false" ht="15" hidden="false" customHeight="true" outlineLevel="0" collapsed="false">
      <c r="A395" s="1" t="n">
        <v>391</v>
      </c>
      <c r="B395" s="11" t="n">
        <f aca="false">A395/12</f>
        <v>32.5833333333333</v>
      </c>
      <c r="C395" s="34" t="n">
        <f aca="false">INT(B395)</f>
        <v>32</v>
      </c>
      <c r="D395" s="11" t="n">
        <f aca="false">B395-C395</f>
        <v>0.583333333333336</v>
      </c>
      <c r="E395" s="30" t="n">
        <f aca="false">INDEX(Discount!$C$4:$C$59,C395+1)</f>
        <v>0.366437947062115</v>
      </c>
      <c r="F395" s="30" t="n">
        <f aca="false">IF(C395+2&gt;56,INDEX(Discount!$C$4:$C$59,56),INDEX(Discount!$C$4:$C$59,C395+2))</f>
        <v>0.354893198656804</v>
      </c>
      <c r="G395" s="30" t="n">
        <f aca="false">IF(D395=0,E395,EXP((1-D395)*LN(E395)+D395*LN(F395)))</f>
        <v>0.359658637861923</v>
      </c>
    </row>
    <row r="396" customFormat="false" ht="15" hidden="false" customHeight="true" outlineLevel="0" collapsed="false">
      <c r="A396" s="1" t="n">
        <v>392</v>
      </c>
      <c r="B396" s="11" t="n">
        <f aca="false">A396/12</f>
        <v>32.6666666666667</v>
      </c>
      <c r="C396" s="34" t="n">
        <f aca="false">INT(B396)</f>
        <v>32</v>
      </c>
      <c r="D396" s="11" t="n">
        <f aca="false">B396-C396</f>
        <v>0.666666666666664</v>
      </c>
      <c r="E396" s="30" t="n">
        <f aca="false">INDEX(Discount!$C$4:$C$59,C396+1)</f>
        <v>0.366437947062115</v>
      </c>
      <c r="F396" s="30" t="n">
        <f aca="false">IF(C396+2&gt;56,INDEX(Discount!$C$4:$C$59,56),INDEX(Discount!$C$4:$C$59,C396+2))</f>
        <v>0.354893198656804</v>
      </c>
      <c r="G396" s="30" t="n">
        <f aca="false">IF(D396=0,E396,EXP((1-D396)*LN(E396)+D396*LN(F396)))</f>
        <v>0.358700458161382</v>
      </c>
    </row>
    <row r="397" customFormat="false" ht="15" hidden="false" customHeight="true" outlineLevel="0" collapsed="false">
      <c r="A397" s="1" t="n">
        <v>393</v>
      </c>
      <c r="B397" s="11" t="n">
        <f aca="false">A397/12</f>
        <v>32.75</v>
      </c>
      <c r="C397" s="34" t="n">
        <f aca="false">INT(B397)</f>
        <v>32</v>
      </c>
      <c r="D397" s="11" t="n">
        <f aca="false">B397-C397</f>
        <v>0.75</v>
      </c>
      <c r="E397" s="30" t="n">
        <f aca="false">INDEX(Discount!$C$4:$C$59,C397+1)</f>
        <v>0.366437947062115</v>
      </c>
      <c r="F397" s="30" t="n">
        <f aca="false">IF(C397+2&gt;56,INDEX(Discount!$C$4:$C$59,56),INDEX(Discount!$C$4:$C$59,C397+2))</f>
        <v>0.354893198656804</v>
      </c>
      <c r="G397" s="30" t="n">
        <f aca="false">IF(D397=0,E397,EXP((1-D397)*LN(E397)+D397*LN(F397)))</f>
        <v>0.357744831182344</v>
      </c>
    </row>
    <row r="398" customFormat="false" ht="15" hidden="false" customHeight="true" outlineLevel="0" collapsed="false">
      <c r="A398" s="1" t="n">
        <v>394</v>
      </c>
      <c r="B398" s="11" t="n">
        <f aca="false">A398/12</f>
        <v>32.8333333333333</v>
      </c>
      <c r="C398" s="34" t="n">
        <f aca="false">INT(B398)</f>
        <v>32</v>
      </c>
      <c r="D398" s="11" t="n">
        <f aca="false">B398-C398</f>
        <v>0.833333333333336</v>
      </c>
      <c r="E398" s="30" t="n">
        <f aca="false">INDEX(Discount!$C$4:$C$59,C398+1)</f>
        <v>0.366437947062115</v>
      </c>
      <c r="F398" s="30" t="n">
        <f aca="false">IF(C398+2&gt;56,INDEX(Discount!$C$4:$C$59,56),INDEX(Discount!$C$4:$C$59,C398+2))</f>
        <v>0.354893198656804</v>
      </c>
      <c r="G398" s="30" t="n">
        <f aca="false">IF(D398=0,E398,EXP((1-D398)*LN(E398)+D398*LN(F398)))</f>
        <v>0.35679175012401</v>
      </c>
    </row>
    <row r="399" customFormat="false" ht="15" hidden="false" customHeight="true" outlineLevel="0" collapsed="false">
      <c r="A399" s="1" t="n">
        <v>395</v>
      </c>
      <c r="B399" s="11" t="n">
        <f aca="false">A399/12</f>
        <v>32.9166666666667</v>
      </c>
      <c r="C399" s="34" t="n">
        <f aca="false">INT(B399)</f>
        <v>32</v>
      </c>
      <c r="D399" s="11" t="n">
        <f aca="false">B399-C399</f>
        <v>0.916666666666664</v>
      </c>
      <c r="E399" s="30" t="n">
        <f aca="false">INDEX(Discount!$C$4:$C$59,C399+1)</f>
        <v>0.366437947062115</v>
      </c>
      <c r="F399" s="30" t="n">
        <f aca="false">IF(C399+2&gt;56,INDEX(Discount!$C$4:$C$59,56),INDEX(Discount!$C$4:$C$59,C399+2))</f>
        <v>0.354893198656804</v>
      </c>
      <c r="G399" s="30" t="n">
        <f aca="false">IF(D399=0,E399,EXP((1-D399)*LN(E399)+D399*LN(F399)))</f>
        <v>0.3558412082037</v>
      </c>
    </row>
    <row r="400" customFormat="false" ht="15" hidden="false" customHeight="true" outlineLevel="0" collapsed="false">
      <c r="A400" s="1" t="n">
        <v>396</v>
      </c>
      <c r="B400" s="11" t="n">
        <f aca="false">A400/12</f>
        <v>33</v>
      </c>
      <c r="C400" s="34" t="n">
        <f aca="false">INT(B400)</f>
        <v>33</v>
      </c>
      <c r="D400" s="11" t="n">
        <f aca="false">B400-C400</f>
        <v>0</v>
      </c>
      <c r="E400" s="30" t="n">
        <f aca="false">INDEX(Discount!$C$4:$C$59,C400+1)</f>
        <v>0.354893198656804</v>
      </c>
      <c r="F400" s="30" t="n">
        <f aca="false">IF(C400+2&gt;56,INDEX(Discount!$C$4:$C$59,56),INDEX(Discount!$C$4:$C$59,C400+2))</f>
        <v>0.3436988522801</v>
      </c>
      <c r="G400" s="30" t="n">
        <f aca="false">IF(D400=0,E400,EXP((1-D400)*LN(E400)+D400*LN(F400)))</f>
        <v>0.354893198656804</v>
      </c>
    </row>
    <row r="401" customFormat="false" ht="15" hidden="false" customHeight="true" outlineLevel="0" collapsed="false">
      <c r="A401" s="1" t="n">
        <v>397</v>
      </c>
      <c r="B401" s="11" t="n">
        <f aca="false">A401/12</f>
        <v>33.0833333333333</v>
      </c>
      <c r="C401" s="34" t="n">
        <f aca="false">INT(B401)</f>
        <v>33</v>
      </c>
      <c r="D401" s="11" t="n">
        <f aca="false">B401-C401</f>
        <v>0.0833333333333357</v>
      </c>
      <c r="E401" s="30" t="n">
        <f aca="false">INDEX(Discount!$C$4:$C$59,C401+1)</f>
        <v>0.354893198656804</v>
      </c>
      <c r="F401" s="30" t="n">
        <f aca="false">IF(C401+2&gt;56,INDEX(Discount!$C$4:$C$59,56),INDEX(Discount!$C$4:$C$59,C401+2))</f>
        <v>0.3436988522801</v>
      </c>
      <c r="G401" s="30" t="n">
        <f aca="false">IF(D401=0,E401,EXP((1-D401)*LN(E401)+D401*LN(F401)))</f>
        <v>0.353946571740385</v>
      </c>
    </row>
    <row r="402" customFormat="false" ht="15" hidden="false" customHeight="true" outlineLevel="0" collapsed="false">
      <c r="A402" s="1" t="n">
        <v>398</v>
      </c>
      <c r="B402" s="11" t="n">
        <f aca="false">A402/12</f>
        <v>33.1666666666667</v>
      </c>
      <c r="C402" s="34" t="n">
        <f aca="false">INT(B402)</f>
        <v>33</v>
      </c>
      <c r="D402" s="11" t="n">
        <f aca="false">B402-C402</f>
        <v>0.166666666666664</v>
      </c>
      <c r="E402" s="30" t="n">
        <f aca="false">INDEX(Discount!$C$4:$C$59,C402+1)</f>
        <v>0.354893198656804</v>
      </c>
      <c r="F402" s="30" t="n">
        <f aca="false">IF(C402+2&gt;56,INDEX(Discount!$C$4:$C$59,56),INDEX(Discount!$C$4:$C$59,C402+2))</f>
        <v>0.3436988522801</v>
      </c>
      <c r="G402" s="30" t="n">
        <f aca="false">IF(D402=0,E402,EXP((1-D402)*LN(E402)+D402*LN(F402)))</f>
        <v>0.353002469816054</v>
      </c>
    </row>
    <row r="403" customFormat="false" ht="15" hidden="false" customHeight="true" outlineLevel="0" collapsed="false">
      <c r="A403" s="1" t="n">
        <v>399</v>
      </c>
      <c r="B403" s="11" t="n">
        <f aca="false">A403/12</f>
        <v>33.25</v>
      </c>
      <c r="C403" s="34" t="n">
        <f aca="false">INT(B403)</f>
        <v>33</v>
      </c>
      <c r="D403" s="11" t="n">
        <f aca="false">B403-C403</f>
        <v>0.25</v>
      </c>
      <c r="E403" s="30" t="n">
        <f aca="false">INDEX(Discount!$C$4:$C$59,C403+1)</f>
        <v>0.354893198656804</v>
      </c>
      <c r="F403" s="30" t="n">
        <f aca="false">IF(C403+2&gt;56,INDEX(Discount!$C$4:$C$59,56),INDEX(Discount!$C$4:$C$59,C403+2))</f>
        <v>0.3436988522801</v>
      </c>
      <c r="G403" s="30" t="n">
        <f aca="false">IF(D403=0,E403,EXP((1-D403)*LN(E403)+D403*LN(F403)))</f>
        <v>0.352060886148757</v>
      </c>
    </row>
    <row r="404" customFormat="false" ht="15" hidden="false" customHeight="true" outlineLevel="0" collapsed="false">
      <c r="A404" s="1" t="n">
        <v>400</v>
      </c>
      <c r="B404" s="11" t="n">
        <f aca="false">A404/12</f>
        <v>33.3333333333333</v>
      </c>
      <c r="C404" s="34" t="n">
        <f aca="false">INT(B404)</f>
        <v>33</v>
      </c>
      <c r="D404" s="11" t="n">
        <f aca="false">B404-C404</f>
        <v>0.333333333333336</v>
      </c>
      <c r="E404" s="30" t="n">
        <f aca="false">INDEX(Discount!$C$4:$C$59,C404+1)</f>
        <v>0.354893198656804</v>
      </c>
      <c r="F404" s="30" t="n">
        <f aca="false">IF(C404+2&gt;56,INDEX(Discount!$C$4:$C$59,56),INDEX(Discount!$C$4:$C$59,C404+2))</f>
        <v>0.3436988522801</v>
      </c>
      <c r="G404" s="30" t="n">
        <f aca="false">IF(D404=0,E404,EXP((1-D404)*LN(E404)+D404*LN(F404)))</f>
        <v>0.351121814021401</v>
      </c>
    </row>
    <row r="405" customFormat="false" ht="15" hidden="false" customHeight="true" outlineLevel="0" collapsed="false">
      <c r="A405" s="1" t="n">
        <v>401</v>
      </c>
      <c r="B405" s="11" t="n">
        <f aca="false">A405/12</f>
        <v>33.4166666666667</v>
      </c>
      <c r="C405" s="34" t="n">
        <f aca="false">INT(B405)</f>
        <v>33</v>
      </c>
      <c r="D405" s="11" t="n">
        <f aca="false">B405-C405</f>
        <v>0.416666666666664</v>
      </c>
      <c r="E405" s="30" t="n">
        <f aca="false">INDEX(Discount!$C$4:$C$59,C405+1)</f>
        <v>0.354893198656804</v>
      </c>
      <c r="F405" s="30" t="n">
        <f aca="false">IF(C405+2&gt;56,INDEX(Discount!$C$4:$C$59,56),INDEX(Discount!$C$4:$C$59,C405+2))</f>
        <v>0.3436988522801</v>
      </c>
      <c r="G405" s="30" t="n">
        <f aca="false">IF(D405=0,E405,EXP((1-D405)*LN(E405)+D405*LN(F405)))</f>
        <v>0.350185246734813</v>
      </c>
    </row>
    <row r="406" customFormat="false" ht="15" hidden="false" customHeight="true" outlineLevel="0" collapsed="false">
      <c r="A406" s="1" t="n">
        <v>402</v>
      </c>
      <c r="B406" s="11" t="n">
        <f aca="false">A406/12</f>
        <v>33.5</v>
      </c>
      <c r="C406" s="34" t="n">
        <f aca="false">INT(B406)</f>
        <v>33</v>
      </c>
      <c r="D406" s="11" t="n">
        <f aca="false">B406-C406</f>
        <v>0.5</v>
      </c>
      <c r="E406" s="30" t="n">
        <f aca="false">INDEX(Discount!$C$4:$C$59,C406+1)</f>
        <v>0.354893198656804</v>
      </c>
      <c r="F406" s="30" t="n">
        <f aca="false">IF(C406+2&gt;56,INDEX(Discount!$C$4:$C$59,56),INDEX(Discount!$C$4:$C$59,C406+2))</f>
        <v>0.3436988522801</v>
      </c>
      <c r="G406" s="30" t="n">
        <f aca="false">IF(D406=0,E406,EXP((1-D406)*LN(E406)+D406*LN(F406)))</f>
        <v>0.349251177607688</v>
      </c>
    </row>
    <row r="407" customFormat="false" ht="15" hidden="false" customHeight="true" outlineLevel="0" collapsed="false">
      <c r="A407" s="1" t="n">
        <v>403</v>
      </c>
      <c r="B407" s="11" t="n">
        <f aca="false">A407/12</f>
        <v>33.5833333333333</v>
      </c>
      <c r="C407" s="34" t="n">
        <f aca="false">INT(B407)</f>
        <v>33</v>
      </c>
      <c r="D407" s="11" t="n">
        <f aca="false">B407-C407</f>
        <v>0.583333333333336</v>
      </c>
      <c r="E407" s="30" t="n">
        <f aca="false">INDEX(Discount!$C$4:$C$59,C407+1)</f>
        <v>0.354893198656804</v>
      </c>
      <c r="F407" s="30" t="n">
        <f aca="false">IF(C407+2&gt;56,INDEX(Discount!$C$4:$C$59,56),INDEX(Discount!$C$4:$C$59,C407+2))</f>
        <v>0.3436988522801</v>
      </c>
      <c r="G407" s="30" t="n">
        <f aca="false">IF(D407=0,E407,EXP((1-D407)*LN(E407)+D407*LN(F407)))</f>
        <v>0.348319599976542</v>
      </c>
    </row>
    <row r="408" customFormat="false" ht="15" hidden="false" customHeight="true" outlineLevel="0" collapsed="false">
      <c r="A408" s="1" t="n">
        <v>404</v>
      </c>
      <c r="B408" s="11" t="n">
        <f aca="false">A408/12</f>
        <v>33.6666666666667</v>
      </c>
      <c r="C408" s="34" t="n">
        <f aca="false">INT(B408)</f>
        <v>33</v>
      </c>
      <c r="D408" s="11" t="n">
        <f aca="false">B408-C408</f>
        <v>0.666666666666664</v>
      </c>
      <c r="E408" s="30" t="n">
        <f aca="false">INDEX(Discount!$C$4:$C$59,C408+1)</f>
        <v>0.354893198656804</v>
      </c>
      <c r="F408" s="30" t="n">
        <f aca="false">IF(C408+2&gt;56,INDEX(Discount!$C$4:$C$59,56),INDEX(Discount!$C$4:$C$59,C408+2))</f>
        <v>0.3436988522801</v>
      </c>
      <c r="G408" s="30" t="n">
        <f aca="false">IF(D408=0,E408,EXP((1-D408)*LN(E408)+D408*LN(F408)))</f>
        <v>0.347390507195666</v>
      </c>
    </row>
    <row r="409" customFormat="false" ht="15" hidden="false" customHeight="true" outlineLevel="0" collapsed="false">
      <c r="A409" s="1" t="n">
        <v>405</v>
      </c>
      <c r="B409" s="11" t="n">
        <f aca="false">A409/12</f>
        <v>33.75</v>
      </c>
      <c r="C409" s="34" t="n">
        <f aca="false">INT(B409)</f>
        <v>33</v>
      </c>
      <c r="D409" s="11" t="n">
        <f aca="false">B409-C409</f>
        <v>0.75</v>
      </c>
      <c r="E409" s="30" t="n">
        <f aca="false">INDEX(Discount!$C$4:$C$59,C409+1)</f>
        <v>0.354893198656804</v>
      </c>
      <c r="F409" s="30" t="n">
        <f aca="false">IF(C409+2&gt;56,INDEX(Discount!$C$4:$C$59,56),INDEX(Discount!$C$4:$C$59,C409+2))</f>
        <v>0.3436988522801</v>
      </c>
      <c r="G409" s="30" t="n">
        <f aca="false">IF(D409=0,E409,EXP((1-D409)*LN(E409)+D409*LN(F409)))</f>
        <v>0.346463892637077</v>
      </c>
    </row>
    <row r="410" customFormat="false" ht="15" hidden="false" customHeight="true" outlineLevel="0" collapsed="false">
      <c r="A410" s="1" t="n">
        <v>406</v>
      </c>
      <c r="B410" s="11" t="n">
        <f aca="false">A410/12</f>
        <v>33.8333333333333</v>
      </c>
      <c r="C410" s="34" t="n">
        <f aca="false">INT(B410)</f>
        <v>33</v>
      </c>
      <c r="D410" s="11" t="n">
        <f aca="false">B410-C410</f>
        <v>0.833333333333336</v>
      </c>
      <c r="E410" s="30" t="n">
        <f aca="false">INDEX(Discount!$C$4:$C$59,C410+1)</f>
        <v>0.354893198656804</v>
      </c>
      <c r="F410" s="30" t="n">
        <f aca="false">IF(C410+2&gt;56,INDEX(Discount!$C$4:$C$59,56),INDEX(Discount!$C$4:$C$59,C410+2))</f>
        <v>0.3436988522801</v>
      </c>
      <c r="G410" s="30" t="n">
        <f aca="false">IF(D410=0,E410,EXP((1-D410)*LN(E410)+D410*LN(F410)))</f>
        <v>0.34553974969047</v>
      </c>
    </row>
    <row r="411" customFormat="false" ht="15" hidden="false" customHeight="true" outlineLevel="0" collapsed="false">
      <c r="A411" s="1" t="n">
        <v>407</v>
      </c>
      <c r="B411" s="11" t="n">
        <f aca="false">A411/12</f>
        <v>33.9166666666667</v>
      </c>
      <c r="C411" s="34" t="n">
        <f aca="false">INT(B411)</f>
        <v>33</v>
      </c>
      <c r="D411" s="11" t="n">
        <f aca="false">B411-C411</f>
        <v>0.916666666666664</v>
      </c>
      <c r="E411" s="30" t="n">
        <f aca="false">INDEX(Discount!$C$4:$C$59,C411+1)</f>
        <v>0.354893198656804</v>
      </c>
      <c r="F411" s="30" t="n">
        <f aca="false">IF(C411+2&gt;56,INDEX(Discount!$C$4:$C$59,56),INDEX(Discount!$C$4:$C$59,C411+2))</f>
        <v>0.3436988522801</v>
      </c>
      <c r="G411" s="30" t="n">
        <f aca="false">IF(D411=0,E411,EXP((1-D411)*LN(E411)+D411*LN(F411)))</f>
        <v>0.344618071763173</v>
      </c>
    </row>
    <row r="412" customFormat="false" ht="15" hidden="false" customHeight="true" outlineLevel="0" collapsed="false">
      <c r="A412" s="1" t="n">
        <v>408</v>
      </c>
      <c r="B412" s="11" t="n">
        <f aca="false">A412/12</f>
        <v>34</v>
      </c>
      <c r="C412" s="34" t="n">
        <f aca="false">INT(B412)</f>
        <v>34</v>
      </c>
      <c r="D412" s="11" t="n">
        <f aca="false">B412-C412</f>
        <v>0</v>
      </c>
      <c r="E412" s="30" t="n">
        <f aca="false">INDEX(Discount!$C$4:$C$59,C412+1)</f>
        <v>0.3436988522801</v>
      </c>
      <c r="F412" s="30" t="n">
        <f aca="false">IF(C412+2&gt;56,INDEX(Discount!$C$4:$C$59,56),INDEX(Discount!$C$4:$C$59,C412+2))</f>
        <v>0.332844709518926</v>
      </c>
      <c r="G412" s="30" t="n">
        <f aca="false">IF(D412=0,E412,EXP((1-D412)*LN(E412)+D412*LN(F412)))</f>
        <v>0.3436988522801</v>
      </c>
    </row>
    <row r="413" customFormat="false" ht="15" hidden="false" customHeight="true" outlineLevel="0" collapsed="false">
      <c r="A413" s="1" t="n">
        <v>409</v>
      </c>
      <c r="B413" s="11" t="n">
        <f aca="false">A413/12</f>
        <v>34.0833333333333</v>
      </c>
      <c r="C413" s="34" t="n">
        <f aca="false">INT(B413)</f>
        <v>34</v>
      </c>
      <c r="D413" s="11" t="n">
        <f aca="false">B413-C413</f>
        <v>0.0833333333333357</v>
      </c>
      <c r="E413" s="30" t="n">
        <f aca="false">INDEX(Discount!$C$4:$C$59,C413+1)</f>
        <v>0.3436988522801</v>
      </c>
      <c r="F413" s="30" t="n">
        <f aca="false">IF(C413+2&gt;56,INDEX(Discount!$C$4:$C$59,56),INDEX(Discount!$C$4:$C$59,C413+2))</f>
        <v>0.332844709518926</v>
      </c>
      <c r="G413" s="30" t="n">
        <f aca="false">IF(D413=0,E413,EXP((1-D413)*LN(E413)+D413*LN(F413)))</f>
        <v>0.34278097777648</v>
      </c>
    </row>
    <row r="414" customFormat="false" ht="15" hidden="false" customHeight="true" outlineLevel="0" collapsed="false">
      <c r="A414" s="1" t="n">
        <v>410</v>
      </c>
      <c r="B414" s="11" t="n">
        <f aca="false">A414/12</f>
        <v>34.1666666666667</v>
      </c>
      <c r="C414" s="34" t="n">
        <f aca="false">INT(B414)</f>
        <v>34</v>
      </c>
      <c r="D414" s="11" t="n">
        <f aca="false">B414-C414</f>
        <v>0.166666666666664</v>
      </c>
      <c r="E414" s="30" t="n">
        <f aca="false">INDEX(Discount!$C$4:$C$59,C414+1)</f>
        <v>0.3436988522801</v>
      </c>
      <c r="F414" s="30" t="n">
        <f aca="false">IF(C414+2&gt;56,INDEX(Discount!$C$4:$C$59,56),INDEX(Discount!$C$4:$C$59,C414+2))</f>
        <v>0.332844709518926</v>
      </c>
      <c r="G414" s="30" t="n">
        <f aca="false">IF(D414=0,E414,EXP((1-D414)*LN(E414)+D414*LN(F414)))</f>
        <v>0.341865554528076</v>
      </c>
    </row>
    <row r="415" customFormat="false" ht="15" hidden="false" customHeight="true" outlineLevel="0" collapsed="false">
      <c r="A415" s="1" t="n">
        <v>411</v>
      </c>
      <c r="B415" s="11" t="n">
        <f aca="false">A415/12</f>
        <v>34.25</v>
      </c>
      <c r="C415" s="34" t="n">
        <f aca="false">INT(B415)</f>
        <v>34</v>
      </c>
      <c r="D415" s="11" t="n">
        <f aca="false">B415-C415</f>
        <v>0.25</v>
      </c>
      <c r="E415" s="30" t="n">
        <f aca="false">INDEX(Discount!$C$4:$C$59,C415+1)</f>
        <v>0.3436988522801</v>
      </c>
      <c r="F415" s="30" t="n">
        <f aca="false">IF(C415+2&gt;56,INDEX(Discount!$C$4:$C$59,56),INDEX(Discount!$C$4:$C$59,C415+2))</f>
        <v>0.332844709518926</v>
      </c>
      <c r="G415" s="30" t="n">
        <f aca="false">IF(D415=0,E415,EXP((1-D415)*LN(E415)+D415*LN(F415)))</f>
        <v>0.34095257598862</v>
      </c>
    </row>
    <row r="416" customFormat="false" ht="15" hidden="false" customHeight="true" outlineLevel="0" collapsed="false">
      <c r="A416" s="1" t="n">
        <v>412</v>
      </c>
      <c r="B416" s="11" t="n">
        <f aca="false">A416/12</f>
        <v>34.3333333333333</v>
      </c>
      <c r="C416" s="34" t="n">
        <f aca="false">INT(B416)</f>
        <v>34</v>
      </c>
      <c r="D416" s="11" t="n">
        <f aca="false">B416-C416</f>
        <v>0.333333333333336</v>
      </c>
      <c r="E416" s="30" t="n">
        <f aca="false">INDEX(Discount!$C$4:$C$59,C416+1)</f>
        <v>0.3436988522801</v>
      </c>
      <c r="F416" s="30" t="n">
        <f aca="false">IF(C416+2&gt;56,INDEX(Discount!$C$4:$C$59,56),INDEX(Discount!$C$4:$C$59,C416+2))</f>
        <v>0.332844709518926</v>
      </c>
      <c r="G416" s="30" t="n">
        <f aca="false">IF(D416=0,E416,EXP((1-D416)*LN(E416)+D416*LN(F416)))</f>
        <v>0.340042035629327</v>
      </c>
    </row>
    <row r="417" customFormat="false" ht="15" hidden="false" customHeight="true" outlineLevel="0" collapsed="false">
      <c r="A417" s="1" t="n">
        <v>413</v>
      </c>
      <c r="B417" s="11" t="n">
        <f aca="false">A417/12</f>
        <v>34.4166666666667</v>
      </c>
      <c r="C417" s="34" t="n">
        <f aca="false">INT(B417)</f>
        <v>34</v>
      </c>
      <c r="D417" s="11" t="n">
        <f aca="false">B417-C417</f>
        <v>0.416666666666664</v>
      </c>
      <c r="E417" s="30" t="n">
        <f aca="false">INDEX(Discount!$C$4:$C$59,C417+1)</f>
        <v>0.3436988522801</v>
      </c>
      <c r="F417" s="30" t="n">
        <f aca="false">IF(C417+2&gt;56,INDEX(Discount!$C$4:$C$59,56),INDEX(Discount!$C$4:$C$59,C417+2))</f>
        <v>0.332844709518926</v>
      </c>
      <c r="G417" s="30" t="n">
        <f aca="false">IF(D417=0,E417,EXP((1-D417)*LN(E417)+D417*LN(F417)))</f>
        <v>0.339133926938848</v>
      </c>
    </row>
    <row r="418" customFormat="false" ht="15" hidden="false" customHeight="true" outlineLevel="0" collapsed="false">
      <c r="A418" s="1" t="n">
        <v>414</v>
      </c>
      <c r="B418" s="11" t="n">
        <f aca="false">A418/12</f>
        <v>34.5</v>
      </c>
      <c r="C418" s="34" t="n">
        <f aca="false">INT(B418)</f>
        <v>34</v>
      </c>
      <c r="D418" s="11" t="n">
        <f aca="false">B418-C418</f>
        <v>0.5</v>
      </c>
      <c r="E418" s="30" t="n">
        <f aca="false">INDEX(Discount!$C$4:$C$59,C418+1)</f>
        <v>0.3436988522801</v>
      </c>
      <c r="F418" s="30" t="n">
        <f aca="false">IF(C418+2&gt;56,INDEX(Discount!$C$4:$C$59,56),INDEX(Discount!$C$4:$C$59,C418+2))</f>
        <v>0.332844709518926</v>
      </c>
      <c r="G418" s="30" t="n">
        <f aca="false">IF(D418=0,E418,EXP((1-D418)*LN(E418)+D418*LN(F418)))</f>
        <v>0.338228243423222</v>
      </c>
    </row>
    <row r="419" customFormat="false" ht="15" hidden="false" customHeight="true" outlineLevel="0" collapsed="false">
      <c r="A419" s="1" t="n">
        <v>415</v>
      </c>
      <c r="B419" s="11" t="n">
        <f aca="false">A419/12</f>
        <v>34.5833333333333</v>
      </c>
      <c r="C419" s="34" t="n">
        <f aca="false">INT(B419)</f>
        <v>34</v>
      </c>
      <c r="D419" s="11" t="n">
        <f aca="false">B419-C419</f>
        <v>0.583333333333336</v>
      </c>
      <c r="E419" s="30" t="n">
        <f aca="false">INDEX(Discount!$C$4:$C$59,C419+1)</f>
        <v>0.3436988522801</v>
      </c>
      <c r="F419" s="30" t="n">
        <f aca="false">IF(C419+2&gt;56,INDEX(Discount!$C$4:$C$59,56),INDEX(Discount!$C$4:$C$59,C419+2))</f>
        <v>0.332844709518926</v>
      </c>
      <c r="G419" s="30" t="n">
        <f aca="false">IF(D419=0,E419,EXP((1-D419)*LN(E419)+D419*LN(F419)))</f>
        <v>0.337324978605831</v>
      </c>
    </row>
    <row r="420" customFormat="false" ht="15" hidden="false" customHeight="true" outlineLevel="0" collapsed="false">
      <c r="A420" s="1" t="n">
        <v>416</v>
      </c>
      <c r="B420" s="11" t="n">
        <f aca="false">A420/12</f>
        <v>34.6666666666667</v>
      </c>
      <c r="C420" s="34" t="n">
        <f aca="false">INT(B420)</f>
        <v>34</v>
      </c>
      <c r="D420" s="11" t="n">
        <f aca="false">B420-C420</f>
        <v>0.666666666666664</v>
      </c>
      <c r="E420" s="30" t="n">
        <f aca="false">INDEX(Discount!$C$4:$C$59,C420+1)</f>
        <v>0.3436988522801</v>
      </c>
      <c r="F420" s="30" t="n">
        <f aca="false">IF(C420+2&gt;56,INDEX(Discount!$C$4:$C$59,56),INDEX(Discount!$C$4:$C$59,C420+2))</f>
        <v>0.332844709518926</v>
      </c>
      <c r="G420" s="30" t="n">
        <f aca="false">IF(D420=0,E420,EXP((1-D420)*LN(E420)+D420*LN(F420)))</f>
        <v>0.336424126027352</v>
      </c>
    </row>
    <row r="421" customFormat="false" ht="15" hidden="false" customHeight="true" outlineLevel="0" collapsed="false">
      <c r="A421" s="1" t="n">
        <v>417</v>
      </c>
      <c r="B421" s="11" t="n">
        <f aca="false">A421/12</f>
        <v>34.75</v>
      </c>
      <c r="C421" s="34" t="n">
        <f aca="false">INT(B421)</f>
        <v>34</v>
      </c>
      <c r="D421" s="11" t="n">
        <f aca="false">B421-C421</f>
        <v>0.75</v>
      </c>
      <c r="E421" s="30" t="n">
        <f aca="false">INDEX(Discount!$C$4:$C$59,C421+1)</f>
        <v>0.3436988522801</v>
      </c>
      <c r="F421" s="30" t="n">
        <f aca="false">IF(C421+2&gt;56,INDEX(Discount!$C$4:$C$59,56),INDEX(Discount!$C$4:$C$59,C421+2))</f>
        <v>0.332844709518926</v>
      </c>
      <c r="G421" s="30" t="n">
        <f aca="false">IF(D421=0,E421,EXP((1-D421)*LN(E421)+D421*LN(F421)))</f>
        <v>0.335525679245716</v>
      </c>
    </row>
    <row r="422" customFormat="false" ht="15" hidden="false" customHeight="true" outlineLevel="0" collapsed="false">
      <c r="A422" s="1" t="n">
        <v>418</v>
      </c>
      <c r="B422" s="11" t="n">
        <f aca="false">A422/12</f>
        <v>34.8333333333333</v>
      </c>
      <c r="C422" s="34" t="n">
        <f aca="false">INT(B422)</f>
        <v>34</v>
      </c>
      <c r="D422" s="11" t="n">
        <f aca="false">B422-C422</f>
        <v>0.833333333333336</v>
      </c>
      <c r="E422" s="30" t="n">
        <f aca="false">INDEX(Discount!$C$4:$C$59,C422+1)</f>
        <v>0.3436988522801</v>
      </c>
      <c r="F422" s="30" t="n">
        <f aca="false">IF(C422+2&gt;56,INDEX(Discount!$C$4:$C$59,56),INDEX(Discount!$C$4:$C$59,C422+2))</f>
        <v>0.332844709518926</v>
      </c>
      <c r="G422" s="30" t="n">
        <f aca="false">IF(D422=0,E422,EXP((1-D422)*LN(E422)+D422*LN(F422)))</f>
        <v>0.334629631836054</v>
      </c>
    </row>
    <row r="423" customFormat="false" ht="15" hidden="false" customHeight="true" outlineLevel="0" collapsed="false">
      <c r="A423" s="1" t="n">
        <v>419</v>
      </c>
      <c r="B423" s="11" t="n">
        <f aca="false">A423/12</f>
        <v>34.9166666666667</v>
      </c>
      <c r="C423" s="34" t="n">
        <f aca="false">INT(B423)</f>
        <v>34</v>
      </c>
      <c r="D423" s="11" t="n">
        <f aca="false">B423-C423</f>
        <v>0.916666666666664</v>
      </c>
      <c r="E423" s="30" t="n">
        <f aca="false">INDEX(Discount!$C$4:$C$59,C423+1)</f>
        <v>0.3436988522801</v>
      </c>
      <c r="F423" s="30" t="n">
        <f aca="false">IF(C423+2&gt;56,INDEX(Discount!$C$4:$C$59,56),INDEX(Discount!$C$4:$C$59,C423+2))</f>
        <v>0.332844709518926</v>
      </c>
      <c r="G423" s="30" t="n">
        <f aca="false">IF(D423=0,E423,EXP((1-D423)*LN(E423)+D423*LN(F423)))</f>
        <v>0.333735977390656</v>
      </c>
    </row>
    <row r="424" customFormat="false" ht="15" hidden="false" customHeight="true" outlineLevel="0" collapsed="false">
      <c r="A424" s="1" t="n">
        <v>420</v>
      </c>
      <c r="B424" s="11" t="n">
        <f aca="false">A424/12</f>
        <v>35</v>
      </c>
      <c r="C424" s="34" t="n">
        <f aca="false">INT(B424)</f>
        <v>35</v>
      </c>
      <c r="D424" s="11" t="n">
        <f aca="false">B424-C424</f>
        <v>0</v>
      </c>
      <c r="E424" s="30" t="n">
        <f aca="false">INDEX(Discount!$C$4:$C$59,C424+1)</f>
        <v>0.332844709518926</v>
      </c>
      <c r="F424" s="30" t="n">
        <f aca="false">IF(C424+2&gt;56,INDEX(Discount!$C$4:$C$59,56),INDEX(Discount!$C$4:$C$59,C424+2))</f>
        <v>0.322433317993974</v>
      </c>
      <c r="G424" s="30" t="n">
        <f aca="false">IF(D424=0,E424,EXP((1-D424)*LN(E424)+D424*LN(F424)))</f>
        <v>0.332844709518926</v>
      </c>
    </row>
    <row r="425" customFormat="false" ht="15" hidden="false" customHeight="true" outlineLevel="0" collapsed="false">
      <c r="A425" s="1" t="n">
        <v>421</v>
      </c>
      <c r="B425" s="11" t="n">
        <f aca="false">A425/12</f>
        <v>35.0833333333333</v>
      </c>
      <c r="C425" s="34" t="n">
        <f aca="false">INT(B425)</f>
        <v>35</v>
      </c>
      <c r="D425" s="11" t="n">
        <f aca="false">B425-C425</f>
        <v>0.0833333333333357</v>
      </c>
      <c r="E425" s="30" t="n">
        <f aca="false">INDEX(Discount!$C$4:$C$59,C425+1)</f>
        <v>0.332844709518926</v>
      </c>
      <c r="F425" s="30" t="n">
        <f aca="false">IF(C425+2&gt;56,INDEX(Discount!$C$4:$C$59,56),INDEX(Discount!$C$4:$C$59,C425+2))</f>
        <v>0.322433317993974</v>
      </c>
      <c r="G425" s="30" t="n">
        <f aca="false">IF(D425=0,E425,EXP((1-D425)*LN(E425)+D425*LN(F425)))</f>
        <v>0.331964400433261</v>
      </c>
    </row>
    <row r="426" customFormat="false" ht="15" hidden="false" customHeight="true" outlineLevel="0" collapsed="false">
      <c r="A426" s="1" t="n">
        <v>422</v>
      </c>
      <c r="B426" s="11" t="n">
        <f aca="false">A426/12</f>
        <v>35.1666666666667</v>
      </c>
      <c r="C426" s="34" t="n">
        <f aca="false">INT(B426)</f>
        <v>35</v>
      </c>
      <c r="D426" s="11" t="n">
        <f aca="false">B426-C426</f>
        <v>0.166666666666664</v>
      </c>
      <c r="E426" s="30" t="n">
        <f aca="false">INDEX(Discount!$C$4:$C$59,C426+1)</f>
        <v>0.332844709518926</v>
      </c>
      <c r="F426" s="30" t="n">
        <f aca="false">IF(C426+2&gt;56,INDEX(Discount!$C$4:$C$59,56),INDEX(Discount!$C$4:$C$59,C426+2))</f>
        <v>0.322433317993974</v>
      </c>
      <c r="G426" s="30" t="n">
        <f aca="false">IF(D426=0,E426,EXP((1-D426)*LN(E426)+D426*LN(F426)))</f>
        <v>0.331086419592762</v>
      </c>
    </row>
    <row r="427" customFormat="false" ht="15" hidden="false" customHeight="true" outlineLevel="0" collapsed="false">
      <c r="A427" s="1" t="n">
        <v>423</v>
      </c>
      <c r="B427" s="11" t="n">
        <f aca="false">A427/12</f>
        <v>35.25</v>
      </c>
      <c r="C427" s="34" t="n">
        <f aca="false">INT(B427)</f>
        <v>35</v>
      </c>
      <c r="D427" s="11" t="n">
        <f aca="false">B427-C427</f>
        <v>0.25</v>
      </c>
      <c r="E427" s="30" t="n">
        <f aca="false">INDEX(Discount!$C$4:$C$59,C427+1)</f>
        <v>0.332844709518926</v>
      </c>
      <c r="F427" s="30" t="n">
        <f aca="false">IF(C427+2&gt;56,INDEX(Discount!$C$4:$C$59,56),INDEX(Discount!$C$4:$C$59,C427+2))</f>
        <v>0.322433317993974</v>
      </c>
      <c r="G427" s="30" t="n">
        <f aca="false">IF(D427=0,E427,EXP((1-D427)*LN(E427)+D427*LN(F427)))</f>
        <v>0.330210760839677</v>
      </c>
    </row>
    <row r="428" customFormat="false" ht="15" hidden="false" customHeight="true" outlineLevel="0" collapsed="false">
      <c r="A428" s="1" t="n">
        <v>424</v>
      </c>
      <c r="B428" s="11" t="n">
        <f aca="false">A428/12</f>
        <v>35.3333333333333</v>
      </c>
      <c r="C428" s="34" t="n">
        <f aca="false">INT(B428)</f>
        <v>35</v>
      </c>
      <c r="D428" s="11" t="n">
        <f aca="false">B428-C428</f>
        <v>0.333333333333336</v>
      </c>
      <c r="E428" s="30" t="n">
        <f aca="false">INDEX(Discount!$C$4:$C$59,C428+1)</f>
        <v>0.332844709518926</v>
      </c>
      <c r="F428" s="30" t="n">
        <f aca="false">IF(C428+2&gt;56,INDEX(Discount!$C$4:$C$59,56),INDEX(Discount!$C$4:$C$59,C428+2))</f>
        <v>0.322433317993974</v>
      </c>
      <c r="G428" s="30" t="n">
        <f aca="false">IF(D428=0,E428,EXP((1-D428)*LN(E428)+D428*LN(F428)))</f>
        <v>0.329337418032541</v>
      </c>
    </row>
    <row r="429" customFormat="false" ht="15" hidden="false" customHeight="true" outlineLevel="0" collapsed="false">
      <c r="A429" s="1" t="n">
        <v>425</v>
      </c>
      <c r="B429" s="11" t="n">
        <f aca="false">A429/12</f>
        <v>35.4166666666667</v>
      </c>
      <c r="C429" s="34" t="n">
        <f aca="false">INT(B429)</f>
        <v>35</v>
      </c>
      <c r="D429" s="11" t="n">
        <f aca="false">B429-C429</f>
        <v>0.416666666666664</v>
      </c>
      <c r="E429" s="30" t="n">
        <f aca="false">INDEX(Discount!$C$4:$C$59,C429+1)</f>
        <v>0.332844709518926</v>
      </c>
      <c r="F429" s="30" t="n">
        <f aca="false">IF(C429+2&gt;56,INDEX(Discount!$C$4:$C$59,56),INDEX(Discount!$C$4:$C$59,C429+2))</f>
        <v>0.322433317993974</v>
      </c>
      <c r="G429" s="30" t="n">
        <f aca="false">IF(D429=0,E429,EXP((1-D429)*LN(E429)+D429*LN(F429)))</f>
        <v>0.328466385046128</v>
      </c>
    </row>
    <row r="430" customFormat="false" ht="15" hidden="false" customHeight="true" outlineLevel="0" collapsed="false">
      <c r="A430" s="1" t="n">
        <v>426</v>
      </c>
      <c r="B430" s="11" t="n">
        <f aca="false">A430/12</f>
        <v>35.5</v>
      </c>
      <c r="C430" s="34" t="n">
        <f aca="false">INT(B430)</f>
        <v>35</v>
      </c>
      <c r="D430" s="11" t="n">
        <f aca="false">B430-C430</f>
        <v>0.5</v>
      </c>
      <c r="E430" s="30" t="n">
        <f aca="false">INDEX(Discount!$C$4:$C$59,C430+1)</f>
        <v>0.332844709518926</v>
      </c>
      <c r="F430" s="30" t="n">
        <f aca="false">IF(C430+2&gt;56,INDEX(Discount!$C$4:$C$59,56),INDEX(Discount!$C$4:$C$59,C430+2))</f>
        <v>0.322433317993974</v>
      </c>
      <c r="G430" s="30" t="n">
        <f aca="false">IF(D430=0,E430,EXP((1-D430)*LN(E430)+D430*LN(F430)))</f>
        <v>0.327597655771417</v>
      </c>
    </row>
    <row r="431" customFormat="false" ht="15" hidden="false" customHeight="true" outlineLevel="0" collapsed="false">
      <c r="A431" s="1" t="n">
        <v>427</v>
      </c>
      <c r="B431" s="11" t="n">
        <f aca="false">A431/12</f>
        <v>35.5833333333333</v>
      </c>
      <c r="C431" s="34" t="n">
        <f aca="false">INT(B431)</f>
        <v>35</v>
      </c>
      <c r="D431" s="11" t="n">
        <f aca="false">B431-C431</f>
        <v>0.583333333333336</v>
      </c>
      <c r="E431" s="30" t="n">
        <f aca="false">INDEX(Discount!$C$4:$C$59,C431+1)</f>
        <v>0.332844709518926</v>
      </c>
      <c r="F431" s="30" t="n">
        <f aca="false">IF(C431+2&gt;56,INDEX(Discount!$C$4:$C$59,56),INDEX(Discount!$C$4:$C$59,C431+2))</f>
        <v>0.322433317993974</v>
      </c>
      <c r="G431" s="30" t="n">
        <f aca="false">IF(D431=0,E431,EXP((1-D431)*LN(E431)+D431*LN(F431)))</f>
        <v>0.32673122411554</v>
      </c>
    </row>
    <row r="432" customFormat="false" ht="15" hidden="false" customHeight="true" outlineLevel="0" collapsed="false">
      <c r="A432" s="1" t="n">
        <v>428</v>
      </c>
      <c r="B432" s="11" t="n">
        <f aca="false">A432/12</f>
        <v>35.6666666666667</v>
      </c>
      <c r="C432" s="34" t="n">
        <f aca="false">INT(B432)</f>
        <v>35</v>
      </c>
      <c r="D432" s="11" t="n">
        <f aca="false">B432-C432</f>
        <v>0.666666666666664</v>
      </c>
      <c r="E432" s="30" t="n">
        <f aca="false">INDEX(Discount!$C$4:$C$59,C432+1)</f>
        <v>0.332844709518926</v>
      </c>
      <c r="F432" s="30" t="n">
        <f aca="false">IF(C432+2&gt;56,INDEX(Discount!$C$4:$C$59,56),INDEX(Discount!$C$4:$C$59,C432+2))</f>
        <v>0.322433317993974</v>
      </c>
      <c r="G432" s="30" t="n">
        <f aca="false">IF(D432=0,E432,EXP((1-D432)*LN(E432)+D432*LN(F432)))</f>
        <v>0.325867084001745</v>
      </c>
    </row>
    <row r="433" customFormat="false" ht="15" hidden="false" customHeight="true" outlineLevel="0" collapsed="false">
      <c r="A433" s="1" t="n">
        <v>429</v>
      </c>
      <c r="B433" s="11" t="n">
        <f aca="false">A433/12</f>
        <v>35.75</v>
      </c>
      <c r="C433" s="34" t="n">
        <f aca="false">INT(B433)</f>
        <v>35</v>
      </c>
      <c r="D433" s="11" t="n">
        <f aca="false">B433-C433</f>
        <v>0.75</v>
      </c>
      <c r="E433" s="30" t="n">
        <f aca="false">INDEX(Discount!$C$4:$C$59,C433+1)</f>
        <v>0.332844709518926</v>
      </c>
      <c r="F433" s="30" t="n">
        <f aca="false">IF(C433+2&gt;56,INDEX(Discount!$C$4:$C$59,56),INDEX(Discount!$C$4:$C$59,C433+2))</f>
        <v>0.322433317993974</v>
      </c>
      <c r="G433" s="30" t="n">
        <f aca="false">IF(D433=0,E433,EXP((1-D433)*LN(E433)+D433*LN(F433)))</f>
        <v>0.325005229369353</v>
      </c>
    </row>
    <row r="434" customFormat="false" ht="15" hidden="false" customHeight="true" outlineLevel="0" collapsed="false">
      <c r="A434" s="1" t="n">
        <v>430</v>
      </c>
      <c r="B434" s="11" t="n">
        <f aca="false">A434/12</f>
        <v>35.8333333333333</v>
      </c>
      <c r="C434" s="34" t="n">
        <f aca="false">INT(B434)</f>
        <v>35</v>
      </c>
      <c r="D434" s="11" t="n">
        <f aca="false">B434-C434</f>
        <v>0.833333333333336</v>
      </c>
      <c r="E434" s="30" t="n">
        <f aca="false">INDEX(Discount!$C$4:$C$59,C434+1)</f>
        <v>0.332844709518926</v>
      </c>
      <c r="F434" s="30" t="n">
        <f aca="false">IF(C434+2&gt;56,INDEX(Discount!$C$4:$C$59,56),INDEX(Discount!$C$4:$C$59,C434+2))</f>
        <v>0.322433317993974</v>
      </c>
      <c r="G434" s="30" t="n">
        <f aca="false">IF(D434=0,E434,EXP((1-D434)*LN(E434)+D434*LN(F434)))</f>
        <v>0.324145654173712</v>
      </c>
    </row>
    <row r="435" customFormat="false" ht="15" hidden="false" customHeight="true" outlineLevel="0" collapsed="false">
      <c r="A435" s="1" t="n">
        <v>431</v>
      </c>
      <c r="B435" s="11" t="n">
        <f aca="false">A435/12</f>
        <v>35.9166666666667</v>
      </c>
      <c r="C435" s="34" t="n">
        <f aca="false">INT(B435)</f>
        <v>35</v>
      </c>
      <c r="D435" s="11" t="n">
        <f aca="false">B435-C435</f>
        <v>0.916666666666664</v>
      </c>
      <c r="E435" s="30" t="n">
        <f aca="false">INDEX(Discount!$C$4:$C$59,C435+1)</f>
        <v>0.332844709518926</v>
      </c>
      <c r="F435" s="30" t="n">
        <f aca="false">IF(C435+2&gt;56,INDEX(Discount!$C$4:$C$59,56),INDEX(Discount!$C$4:$C$59,C435+2))</f>
        <v>0.322433317993974</v>
      </c>
      <c r="G435" s="30" t="n">
        <f aca="false">IF(D435=0,E435,EXP((1-D435)*LN(E435)+D435*LN(F435)))</f>
        <v>0.323288352386159</v>
      </c>
    </row>
    <row r="436" customFormat="false" ht="15" hidden="false" customHeight="true" outlineLevel="0" collapsed="false">
      <c r="A436" s="1" t="n">
        <v>432</v>
      </c>
      <c r="B436" s="11" t="n">
        <f aca="false">A436/12</f>
        <v>36</v>
      </c>
      <c r="C436" s="34" t="n">
        <f aca="false">INT(B436)</f>
        <v>36</v>
      </c>
      <c r="D436" s="11" t="n">
        <f aca="false">B436-C436</f>
        <v>0</v>
      </c>
      <c r="E436" s="30" t="n">
        <f aca="false">INDEX(Discount!$C$4:$C$59,C436+1)</f>
        <v>0.322433317993974</v>
      </c>
      <c r="F436" s="30" t="n">
        <f aca="false">IF(C436+2&gt;56,INDEX(Discount!$C$4:$C$59,56),INDEX(Discount!$C$4:$C$59,C436+2))</f>
        <v>0.312229574865653</v>
      </c>
      <c r="G436" s="30" t="n">
        <f aca="false">IF(D436=0,E436,EXP((1-D436)*LN(E436)+D436*LN(F436)))</f>
        <v>0.322433317993974</v>
      </c>
    </row>
    <row r="437" customFormat="false" ht="15" hidden="false" customHeight="true" outlineLevel="0" collapsed="false">
      <c r="A437" s="1" t="n">
        <v>433</v>
      </c>
      <c r="B437" s="11" t="n">
        <f aca="false">A437/12</f>
        <v>36.0833333333333</v>
      </c>
      <c r="C437" s="34" t="n">
        <f aca="false">INT(B437)</f>
        <v>36</v>
      </c>
      <c r="D437" s="11" t="n">
        <f aca="false">B437-C437</f>
        <v>0.0833333333333357</v>
      </c>
      <c r="E437" s="30" t="n">
        <f aca="false">INDEX(Discount!$C$4:$C$59,C437+1)</f>
        <v>0.322433317993974</v>
      </c>
      <c r="F437" s="30" t="n">
        <f aca="false">IF(C437+2&gt;56,INDEX(Discount!$C$4:$C$59,56),INDEX(Discount!$C$4:$C$59,C437+2))</f>
        <v>0.312229574865653</v>
      </c>
      <c r="G437" s="30" t="n">
        <f aca="false">IF(D437=0,E437,EXP((1-D437)*LN(E437)+D437*LN(F437)))</f>
        <v>0.321570417506949</v>
      </c>
    </row>
    <row r="438" customFormat="false" ht="15" hidden="false" customHeight="true" outlineLevel="0" collapsed="false">
      <c r="A438" s="1" t="n">
        <v>434</v>
      </c>
      <c r="B438" s="11" t="n">
        <f aca="false">A438/12</f>
        <v>36.1666666666667</v>
      </c>
      <c r="C438" s="34" t="n">
        <f aca="false">INT(B438)</f>
        <v>36</v>
      </c>
      <c r="D438" s="11" t="n">
        <f aca="false">B438-C438</f>
        <v>0.166666666666664</v>
      </c>
      <c r="E438" s="30" t="n">
        <f aca="false">INDEX(Discount!$C$4:$C$59,C438+1)</f>
        <v>0.322433317993974</v>
      </c>
      <c r="F438" s="30" t="n">
        <f aca="false">IF(C438+2&gt;56,INDEX(Discount!$C$4:$C$59,56),INDEX(Discount!$C$4:$C$59,C438+2))</f>
        <v>0.312229574865653</v>
      </c>
      <c r="G438" s="30" t="n">
        <f aca="false">IF(D438=0,E438,EXP((1-D438)*LN(E438)+D438*LN(F438)))</f>
        <v>0.320709826326094</v>
      </c>
    </row>
    <row r="439" customFormat="false" ht="15" hidden="false" customHeight="true" outlineLevel="0" collapsed="false">
      <c r="A439" s="1" t="n">
        <v>435</v>
      </c>
      <c r="B439" s="11" t="n">
        <f aca="false">A439/12</f>
        <v>36.25</v>
      </c>
      <c r="C439" s="34" t="n">
        <f aca="false">INT(B439)</f>
        <v>36</v>
      </c>
      <c r="D439" s="11" t="n">
        <f aca="false">B439-C439</f>
        <v>0.25</v>
      </c>
      <c r="E439" s="30" t="n">
        <f aca="false">INDEX(Discount!$C$4:$C$59,C439+1)</f>
        <v>0.322433317993974</v>
      </c>
      <c r="F439" s="30" t="n">
        <f aca="false">IF(C439+2&gt;56,INDEX(Discount!$C$4:$C$59,56),INDEX(Discount!$C$4:$C$59,C439+2))</f>
        <v>0.312229574865653</v>
      </c>
      <c r="G439" s="30" t="n">
        <f aca="false">IF(D439=0,E439,EXP((1-D439)*LN(E439)+D439*LN(F439)))</f>
        <v>0.319851538271212</v>
      </c>
    </row>
    <row r="440" customFormat="false" ht="15" hidden="false" customHeight="true" outlineLevel="0" collapsed="false">
      <c r="A440" s="1" t="n">
        <v>436</v>
      </c>
      <c r="B440" s="11" t="n">
        <f aca="false">A440/12</f>
        <v>36.3333333333333</v>
      </c>
      <c r="C440" s="34" t="n">
        <f aca="false">INT(B440)</f>
        <v>36</v>
      </c>
      <c r="D440" s="11" t="n">
        <f aca="false">B440-C440</f>
        <v>0.333333333333336</v>
      </c>
      <c r="E440" s="30" t="n">
        <f aca="false">INDEX(Discount!$C$4:$C$59,C440+1)</f>
        <v>0.322433317993974</v>
      </c>
      <c r="F440" s="30" t="n">
        <f aca="false">IF(C440+2&gt;56,INDEX(Discount!$C$4:$C$59,56),INDEX(Discount!$C$4:$C$59,C440+2))</f>
        <v>0.312229574865653</v>
      </c>
      <c r="G440" s="30" t="n">
        <f aca="false">IF(D440=0,E440,EXP((1-D440)*LN(E440)+D440*LN(F440)))</f>
        <v>0.318995547178645</v>
      </c>
    </row>
    <row r="441" customFormat="false" ht="15" hidden="false" customHeight="true" outlineLevel="0" collapsed="false">
      <c r="A441" s="1" t="n">
        <v>437</v>
      </c>
      <c r="B441" s="11" t="n">
        <f aca="false">A441/12</f>
        <v>36.4166666666667</v>
      </c>
      <c r="C441" s="34" t="n">
        <f aca="false">INT(B441)</f>
        <v>36</v>
      </c>
      <c r="D441" s="11" t="n">
        <f aca="false">B441-C441</f>
        <v>0.416666666666664</v>
      </c>
      <c r="E441" s="30" t="n">
        <f aca="false">INDEX(Discount!$C$4:$C$59,C441+1)</f>
        <v>0.322433317993974</v>
      </c>
      <c r="F441" s="30" t="n">
        <f aca="false">IF(C441+2&gt;56,INDEX(Discount!$C$4:$C$59,56),INDEX(Discount!$C$4:$C$59,C441+2))</f>
        <v>0.312229574865653</v>
      </c>
      <c r="G441" s="30" t="n">
        <f aca="false">IF(D441=0,E441,EXP((1-D441)*LN(E441)+D441*LN(F441)))</f>
        <v>0.318141846901231</v>
      </c>
    </row>
    <row r="442" customFormat="false" ht="15" hidden="false" customHeight="true" outlineLevel="0" collapsed="false">
      <c r="A442" s="1" t="n">
        <v>438</v>
      </c>
      <c r="B442" s="11" t="n">
        <f aca="false">A442/12</f>
        <v>36.5</v>
      </c>
      <c r="C442" s="34" t="n">
        <f aca="false">INT(B442)</f>
        <v>36</v>
      </c>
      <c r="D442" s="11" t="n">
        <f aca="false">B442-C442</f>
        <v>0.5</v>
      </c>
      <c r="E442" s="30" t="n">
        <f aca="false">INDEX(Discount!$C$4:$C$59,C442+1)</f>
        <v>0.322433317993974</v>
      </c>
      <c r="F442" s="30" t="n">
        <f aca="false">IF(C442+2&gt;56,INDEX(Discount!$C$4:$C$59,56),INDEX(Discount!$C$4:$C$59,C442+2))</f>
        <v>0.312229574865653</v>
      </c>
      <c r="G442" s="30" t="n">
        <f aca="false">IF(D442=0,E442,EXP((1-D442)*LN(E442)+D442*LN(F442)))</f>
        <v>0.317290431308258</v>
      </c>
    </row>
    <row r="443" customFormat="false" ht="15" hidden="false" customHeight="true" outlineLevel="0" collapsed="false">
      <c r="A443" s="1" t="n">
        <v>439</v>
      </c>
      <c r="B443" s="11" t="n">
        <f aca="false">A443/12</f>
        <v>36.5833333333333</v>
      </c>
      <c r="C443" s="34" t="n">
        <f aca="false">INT(B443)</f>
        <v>36</v>
      </c>
      <c r="D443" s="11" t="n">
        <f aca="false">B443-C443</f>
        <v>0.583333333333336</v>
      </c>
      <c r="E443" s="30" t="n">
        <f aca="false">INDEX(Discount!$C$4:$C$59,C443+1)</f>
        <v>0.322433317993974</v>
      </c>
      <c r="F443" s="30" t="n">
        <f aca="false">IF(C443+2&gt;56,INDEX(Discount!$C$4:$C$59,56),INDEX(Discount!$C$4:$C$59,C443+2))</f>
        <v>0.312229574865653</v>
      </c>
      <c r="G443" s="30" t="n">
        <f aca="false">IF(D443=0,E443,EXP((1-D443)*LN(E443)+D443*LN(F443)))</f>
        <v>0.316441294285423</v>
      </c>
    </row>
    <row r="444" customFormat="false" ht="15" hidden="false" customHeight="true" outlineLevel="0" collapsed="false">
      <c r="A444" s="1" t="n">
        <v>440</v>
      </c>
      <c r="B444" s="11" t="n">
        <f aca="false">A444/12</f>
        <v>36.6666666666667</v>
      </c>
      <c r="C444" s="34" t="n">
        <f aca="false">INT(B444)</f>
        <v>36</v>
      </c>
      <c r="D444" s="11" t="n">
        <f aca="false">B444-C444</f>
        <v>0.666666666666664</v>
      </c>
      <c r="E444" s="30" t="n">
        <f aca="false">INDEX(Discount!$C$4:$C$59,C444+1)</f>
        <v>0.322433317993974</v>
      </c>
      <c r="F444" s="30" t="n">
        <f aca="false">IF(C444+2&gt;56,INDEX(Discount!$C$4:$C$59,56),INDEX(Discount!$C$4:$C$59,C444+2))</f>
        <v>0.312229574865653</v>
      </c>
      <c r="G444" s="30" t="n">
        <f aca="false">IF(D444=0,E444,EXP((1-D444)*LN(E444)+D444*LN(F444)))</f>
        <v>0.315594429734786</v>
      </c>
    </row>
    <row r="445" customFormat="false" ht="15" hidden="false" customHeight="true" outlineLevel="0" collapsed="false">
      <c r="A445" s="1" t="n">
        <v>441</v>
      </c>
      <c r="B445" s="11" t="n">
        <f aca="false">A445/12</f>
        <v>36.75</v>
      </c>
      <c r="C445" s="34" t="n">
        <f aca="false">INT(B445)</f>
        <v>36</v>
      </c>
      <c r="D445" s="11" t="n">
        <f aca="false">B445-C445</f>
        <v>0.75</v>
      </c>
      <c r="E445" s="30" t="n">
        <f aca="false">INDEX(Discount!$C$4:$C$59,C445+1)</f>
        <v>0.322433317993974</v>
      </c>
      <c r="F445" s="30" t="n">
        <f aca="false">IF(C445+2&gt;56,INDEX(Discount!$C$4:$C$59,56),INDEX(Discount!$C$4:$C$59,C445+2))</f>
        <v>0.312229574865653</v>
      </c>
      <c r="G445" s="30" t="n">
        <f aca="false">IF(D445=0,E445,EXP((1-D445)*LN(E445)+D445*LN(F445)))</f>
        <v>0.314749831574724</v>
      </c>
    </row>
    <row r="446" customFormat="false" ht="15" hidden="false" customHeight="true" outlineLevel="0" collapsed="false">
      <c r="A446" s="1" t="n">
        <v>442</v>
      </c>
      <c r="B446" s="11" t="n">
        <f aca="false">A446/12</f>
        <v>36.8333333333333</v>
      </c>
      <c r="C446" s="34" t="n">
        <f aca="false">INT(B446)</f>
        <v>36</v>
      </c>
      <c r="D446" s="11" t="n">
        <f aca="false">B446-C446</f>
        <v>0.833333333333336</v>
      </c>
      <c r="E446" s="30" t="n">
        <f aca="false">INDEX(Discount!$C$4:$C$59,C446+1)</f>
        <v>0.322433317993974</v>
      </c>
      <c r="F446" s="30" t="n">
        <f aca="false">IF(C446+2&gt;56,INDEX(Discount!$C$4:$C$59,56),INDEX(Discount!$C$4:$C$59,C446+2))</f>
        <v>0.312229574865653</v>
      </c>
      <c r="G446" s="30" t="n">
        <f aca="false">IF(D446=0,E446,EXP((1-D446)*LN(E446)+D446*LN(F446)))</f>
        <v>0.313907493739892</v>
      </c>
    </row>
    <row r="447" customFormat="false" ht="15" hidden="false" customHeight="true" outlineLevel="0" collapsed="false">
      <c r="A447" s="1" t="n">
        <v>443</v>
      </c>
      <c r="B447" s="11" t="n">
        <f aca="false">A447/12</f>
        <v>36.9166666666667</v>
      </c>
      <c r="C447" s="34" t="n">
        <f aca="false">INT(B447)</f>
        <v>36</v>
      </c>
      <c r="D447" s="11" t="n">
        <f aca="false">B447-C447</f>
        <v>0.916666666666664</v>
      </c>
      <c r="E447" s="30" t="n">
        <f aca="false">INDEX(Discount!$C$4:$C$59,C447+1)</f>
        <v>0.322433317993974</v>
      </c>
      <c r="F447" s="30" t="n">
        <f aca="false">IF(C447+2&gt;56,INDEX(Discount!$C$4:$C$59,56),INDEX(Discount!$C$4:$C$59,C447+2))</f>
        <v>0.312229574865653</v>
      </c>
      <c r="G447" s="30" t="n">
        <f aca="false">IF(D447=0,E447,EXP((1-D447)*LN(E447)+D447*LN(F447)))</f>
        <v>0.313067410181177</v>
      </c>
    </row>
    <row r="448" customFormat="false" ht="15" hidden="false" customHeight="true" outlineLevel="0" collapsed="false">
      <c r="A448" s="1" t="n">
        <v>444</v>
      </c>
      <c r="B448" s="11" t="n">
        <f aca="false">A448/12</f>
        <v>37</v>
      </c>
      <c r="C448" s="34" t="n">
        <f aca="false">INT(B448)</f>
        <v>37</v>
      </c>
      <c r="D448" s="11" t="n">
        <f aca="false">B448-C448</f>
        <v>0</v>
      </c>
      <c r="E448" s="30" t="n">
        <f aca="false">INDEX(Discount!$C$4:$C$59,C448+1)</f>
        <v>0.312229574865653</v>
      </c>
      <c r="F448" s="30" t="n">
        <f aca="false">IF(C448+2&gt;56,INDEX(Discount!$C$4:$C$59,56),INDEX(Discount!$C$4:$C$59,C448+2))</f>
        <v>0.302337025004181</v>
      </c>
      <c r="G448" s="30" t="n">
        <f aca="false">IF(D448=0,E448,EXP((1-D448)*LN(E448)+D448*LN(F448)))</f>
        <v>0.312229574865653</v>
      </c>
    </row>
    <row r="449" customFormat="false" ht="15" hidden="false" customHeight="true" outlineLevel="0" collapsed="false">
      <c r="A449" s="1" t="n">
        <v>445</v>
      </c>
      <c r="B449" s="11" t="n">
        <f aca="false">A449/12</f>
        <v>37.0833333333333</v>
      </c>
      <c r="C449" s="34" t="n">
        <f aca="false">INT(B449)</f>
        <v>37</v>
      </c>
      <c r="D449" s="11" t="n">
        <f aca="false">B449-C449</f>
        <v>0.0833333333333357</v>
      </c>
      <c r="E449" s="30" t="n">
        <f aca="false">INDEX(Discount!$C$4:$C$59,C449+1)</f>
        <v>0.312229574865653</v>
      </c>
      <c r="F449" s="30" t="n">
        <f aca="false">IF(C449+2&gt;56,INDEX(Discount!$C$4:$C$59,56),INDEX(Discount!$C$4:$C$59,C449+2))</f>
        <v>0.302337025004181</v>
      </c>
      <c r="G449" s="30" t="n">
        <f aca="false">IF(D449=0,E449,EXP((1-D449)*LN(E449)+D449*LN(F449)))</f>
        <v>0.311392976305297</v>
      </c>
    </row>
    <row r="450" customFormat="false" ht="15" hidden="false" customHeight="true" outlineLevel="0" collapsed="false">
      <c r="A450" s="1" t="n">
        <v>446</v>
      </c>
      <c r="B450" s="11" t="n">
        <f aca="false">A450/12</f>
        <v>37.1666666666667</v>
      </c>
      <c r="C450" s="34" t="n">
        <f aca="false">INT(B450)</f>
        <v>37</v>
      </c>
      <c r="D450" s="11" t="n">
        <f aca="false">B450-C450</f>
        <v>0.166666666666664</v>
      </c>
      <c r="E450" s="30" t="n">
        <f aca="false">INDEX(Discount!$C$4:$C$59,C450+1)</f>
        <v>0.312229574865653</v>
      </c>
      <c r="F450" s="30" t="n">
        <f aca="false">IF(C450+2&gt;56,INDEX(Discount!$C$4:$C$59,56),INDEX(Discount!$C$4:$C$59,C450+2))</f>
        <v>0.302337025004181</v>
      </c>
      <c r="G450" s="30" t="n">
        <f aca="false">IF(D450=0,E450,EXP((1-D450)*LN(E450)+D450*LN(F450)))</f>
        <v>0.310558619355626</v>
      </c>
    </row>
    <row r="451" customFormat="false" ht="15" hidden="false" customHeight="true" outlineLevel="0" collapsed="false">
      <c r="A451" s="1" t="n">
        <v>447</v>
      </c>
      <c r="B451" s="11" t="n">
        <f aca="false">A451/12</f>
        <v>37.25</v>
      </c>
      <c r="C451" s="34" t="n">
        <f aca="false">INT(B451)</f>
        <v>37</v>
      </c>
      <c r="D451" s="11" t="n">
        <f aca="false">B451-C451</f>
        <v>0.25</v>
      </c>
      <c r="E451" s="30" t="n">
        <f aca="false">INDEX(Discount!$C$4:$C$59,C451+1)</f>
        <v>0.312229574865653</v>
      </c>
      <c r="F451" s="30" t="n">
        <f aca="false">IF(C451+2&gt;56,INDEX(Discount!$C$4:$C$59,56),INDEX(Discount!$C$4:$C$59,C451+2))</f>
        <v>0.302337025004181</v>
      </c>
      <c r="G451" s="30" t="n">
        <f aca="false">IF(D451=0,E451,EXP((1-D451)*LN(E451)+D451*LN(F451)))</f>
        <v>0.309726498010392</v>
      </c>
    </row>
    <row r="452" customFormat="false" ht="15" hidden="false" customHeight="true" outlineLevel="0" collapsed="false">
      <c r="A452" s="1" t="n">
        <v>448</v>
      </c>
      <c r="B452" s="11" t="n">
        <f aca="false">A452/12</f>
        <v>37.3333333333333</v>
      </c>
      <c r="C452" s="34" t="n">
        <f aca="false">INT(B452)</f>
        <v>37</v>
      </c>
      <c r="D452" s="11" t="n">
        <f aca="false">B452-C452</f>
        <v>0.333333333333336</v>
      </c>
      <c r="E452" s="30" t="n">
        <f aca="false">INDEX(Discount!$C$4:$C$59,C452+1)</f>
        <v>0.312229574865653</v>
      </c>
      <c r="F452" s="30" t="n">
        <f aca="false">IF(C452+2&gt;56,INDEX(Discount!$C$4:$C$59,56),INDEX(Discount!$C$4:$C$59,C452+2))</f>
        <v>0.302337025004181</v>
      </c>
      <c r="G452" s="30" t="n">
        <f aca="false">IF(D452=0,E452,EXP((1-D452)*LN(E452)+D452*LN(F452)))</f>
        <v>0.30889660627944</v>
      </c>
    </row>
    <row r="453" customFormat="false" ht="15" hidden="false" customHeight="true" outlineLevel="0" collapsed="false">
      <c r="A453" s="1" t="n">
        <v>449</v>
      </c>
      <c r="B453" s="11" t="n">
        <f aca="false">A453/12</f>
        <v>37.4166666666667</v>
      </c>
      <c r="C453" s="34" t="n">
        <f aca="false">INT(B453)</f>
        <v>37</v>
      </c>
      <c r="D453" s="11" t="n">
        <f aca="false">B453-C453</f>
        <v>0.416666666666664</v>
      </c>
      <c r="E453" s="30" t="n">
        <f aca="false">INDEX(Discount!$C$4:$C$59,C453+1)</f>
        <v>0.312229574865653</v>
      </c>
      <c r="F453" s="30" t="n">
        <f aca="false">IF(C453+2&gt;56,INDEX(Discount!$C$4:$C$59,56),INDEX(Discount!$C$4:$C$59,C453+2))</f>
        <v>0.302337025004181</v>
      </c>
      <c r="G453" s="30" t="n">
        <f aca="false">IF(D453=0,E453,EXP((1-D453)*LN(E453)+D453*LN(F453)))</f>
        <v>0.308068938188666</v>
      </c>
    </row>
    <row r="454" customFormat="false" ht="15" hidden="false" customHeight="true" outlineLevel="0" collapsed="false">
      <c r="A454" s="1" t="n">
        <v>450</v>
      </c>
      <c r="B454" s="11" t="n">
        <f aca="false">A454/12</f>
        <v>37.5</v>
      </c>
      <c r="C454" s="34" t="n">
        <f aca="false">INT(B454)</f>
        <v>37</v>
      </c>
      <c r="D454" s="11" t="n">
        <f aca="false">B454-C454</f>
        <v>0.5</v>
      </c>
      <c r="E454" s="30" t="n">
        <f aca="false">INDEX(Discount!$C$4:$C$59,C454+1)</f>
        <v>0.312229574865653</v>
      </c>
      <c r="F454" s="30" t="n">
        <f aca="false">IF(C454+2&gt;56,INDEX(Discount!$C$4:$C$59,56),INDEX(Discount!$C$4:$C$59,C454+2))</f>
        <v>0.302337025004181</v>
      </c>
      <c r="G454" s="30" t="n">
        <f aca="false">IF(D454=0,E454,EXP((1-D454)*LN(E454)+D454*LN(F454)))</f>
        <v>0.307243487779972</v>
      </c>
    </row>
    <row r="455" customFormat="false" ht="15" hidden="false" customHeight="true" outlineLevel="0" collapsed="false">
      <c r="A455" s="1" t="n">
        <v>451</v>
      </c>
      <c r="B455" s="11" t="n">
        <f aca="false">A455/12</f>
        <v>37.5833333333333</v>
      </c>
      <c r="C455" s="34" t="n">
        <f aca="false">INT(B455)</f>
        <v>37</v>
      </c>
      <c r="D455" s="11" t="n">
        <f aca="false">B455-C455</f>
        <v>0.583333333333336</v>
      </c>
      <c r="E455" s="30" t="n">
        <f aca="false">INDEX(Discount!$C$4:$C$59,C455+1)</f>
        <v>0.312229574865653</v>
      </c>
      <c r="F455" s="30" t="n">
        <f aca="false">IF(C455+2&gt;56,INDEX(Discount!$C$4:$C$59,56),INDEX(Discount!$C$4:$C$59,C455+2))</f>
        <v>0.302337025004181</v>
      </c>
      <c r="G455" s="30" t="n">
        <f aca="false">IF(D455=0,E455,EXP((1-D455)*LN(E455)+D455*LN(F455)))</f>
        <v>0.306420249111226</v>
      </c>
    </row>
    <row r="456" customFormat="false" ht="15" hidden="false" customHeight="true" outlineLevel="0" collapsed="false">
      <c r="A456" s="1" t="n">
        <v>452</v>
      </c>
      <c r="B456" s="11" t="n">
        <f aca="false">A456/12</f>
        <v>37.6666666666667</v>
      </c>
      <c r="C456" s="34" t="n">
        <f aca="false">INT(B456)</f>
        <v>37</v>
      </c>
      <c r="D456" s="11" t="n">
        <f aca="false">B456-C456</f>
        <v>0.666666666666664</v>
      </c>
      <c r="E456" s="30" t="n">
        <f aca="false">INDEX(Discount!$C$4:$C$59,C456+1)</f>
        <v>0.312229574865653</v>
      </c>
      <c r="F456" s="30" t="n">
        <f aca="false">IF(C456+2&gt;56,INDEX(Discount!$C$4:$C$59,56),INDEX(Discount!$C$4:$C$59,C456+2))</f>
        <v>0.302337025004181</v>
      </c>
      <c r="G456" s="30" t="n">
        <f aca="false">IF(D456=0,E456,EXP((1-D456)*LN(E456)+D456*LN(F456)))</f>
        <v>0.305599216256217</v>
      </c>
    </row>
    <row r="457" customFormat="false" ht="15" hidden="false" customHeight="true" outlineLevel="0" collapsed="false">
      <c r="A457" s="1" t="n">
        <v>453</v>
      </c>
      <c r="B457" s="11" t="n">
        <f aca="false">A457/12</f>
        <v>37.75</v>
      </c>
      <c r="C457" s="34" t="n">
        <f aca="false">INT(B457)</f>
        <v>37</v>
      </c>
      <c r="D457" s="11" t="n">
        <f aca="false">B457-C457</f>
        <v>0.75</v>
      </c>
      <c r="E457" s="30" t="n">
        <f aca="false">INDEX(Discount!$C$4:$C$59,C457+1)</f>
        <v>0.312229574865653</v>
      </c>
      <c r="F457" s="30" t="n">
        <f aca="false">IF(C457+2&gt;56,INDEX(Discount!$C$4:$C$59,56),INDEX(Discount!$C$4:$C$59,C457+2))</f>
        <v>0.302337025004181</v>
      </c>
      <c r="G457" s="30" t="n">
        <f aca="false">IF(D457=0,E457,EXP((1-D457)*LN(E457)+D457*LN(F457)))</f>
        <v>0.304780383304611</v>
      </c>
    </row>
    <row r="458" customFormat="false" ht="15" hidden="false" customHeight="true" outlineLevel="0" collapsed="false">
      <c r="A458" s="1" t="n">
        <v>454</v>
      </c>
      <c r="B458" s="11" t="n">
        <f aca="false">A458/12</f>
        <v>37.8333333333333</v>
      </c>
      <c r="C458" s="34" t="n">
        <f aca="false">INT(B458)</f>
        <v>37</v>
      </c>
      <c r="D458" s="11" t="n">
        <f aca="false">B458-C458</f>
        <v>0.833333333333336</v>
      </c>
      <c r="E458" s="30" t="n">
        <f aca="false">INDEX(Discount!$C$4:$C$59,C458+1)</f>
        <v>0.312229574865653</v>
      </c>
      <c r="F458" s="30" t="n">
        <f aca="false">IF(C458+2&gt;56,INDEX(Discount!$C$4:$C$59,56),INDEX(Discount!$C$4:$C$59,C458+2))</f>
        <v>0.302337025004181</v>
      </c>
      <c r="G458" s="30" t="n">
        <f aca="false">IF(D458=0,E458,EXP((1-D458)*LN(E458)+D458*LN(F458)))</f>
        <v>0.303963744361912</v>
      </c>
    </row>
    <row r="459" customFormat="false" ht="15" hidden="false" customHeight="true" outlineLevel="0" collapsed="false">
      <c r="A459" s="1" t="n">
        <v>455</v>
      </c>
      <c r="B459" s="11" t="n">
        <f aca="false">A459/12</f>
        <v>37.9166666666667</v>
      </c>
      <c r="C459" s="34" t="n">
        <f aca="false">INT(B459)</f>
        <v>37</v>
      </c>
      <c r="D459" s="11" t="n">
        <f aca="false">B459-C459</f>
        <v>0.916666666666664</v>
      </c>
      <c r="E459" s="30" t="n">
        <f aca="false">INDEX(Discount!$C$4:$C$59,C459+1)</f>
        <v>0.312229574865653</v>
      </c>
      <c r="F459" s="30" t="n">
        <f aca="false">IF(C459+2&gt;56,INDEX(Discount!$C$4:$C$59,56),INDEX(Discount!$C$4:$C$59,C459+2))</f>
        <v>0.302337025004181</v>
      </c>
      <c r="G459" s="30" t="n">
        <f aca="false">IF(D459=0,E459,EXP((1-D459)*LN(E459)+D459*LN(F459)))</f>
        <v>0.303149293549419</v>
      </c>
    </row>
    <row r="460" customFormat="false" ht="15" hidden="false" customHeight="true" outlineLevel="0" collapsed="false">
      <c r="A460" s="1" t="n">
        <v>456</v>
      </c>
      <c r="B460" s="11" t="n">
        <f aca="false">A460/12</f>
        <v>38</v>
      </c>
      <c r="C460" s="34" t="n">
        <f aca="false">INT(B460)</f>
        <v>38</v>
      </c>
      <c r="D460" s="11" t="n">
        <f aca="false">B460-C460</f>
        <v>0</v>
      </c>
      <c r="E460" s="30" t="n">
        <f aca="false">INDEX(Discount!$C$4:$C$59,C460+1)</f>
        <v>0.302337025004181</v>
      </c>
      <c r="F460" s="30" t="n">
        <f aca="false">IF(C460+2&gt;56,INDEX(Discount!$C$4:$C$59,56),INDEX(Discount!$C$4:$C$59,C460+2))</f>
        <v>0.292857215894912</v>
      </c>
      <c r="G460" s="30" t="n">
        <f aca="false">IF(D460=0,E460,EXP((1-D460)*LN(E460)+D460*LN(F460)))</f>
        <v>0.302337025004181</v>
      </c>
    </row>
    <row r="461" customFormat="false" ht="15" hidden="false" customHeight="true" outlineLevel="0" collapsed="false">
      <c r="A461" s="1" t="n">
        <v>457</v>
      </c>
      <c r="B461" s="11" t="n">
        <f aca="false">A461/12</f>
        <v>38.0833333333333</v>
      </c>
      <c r="C461" s="34" t="n">
        <f aca="false">INT(B461)</f>
        <v>38</v>
      </c>
      <c r="D461" s="11" t="n">
        <f aca="false">B461-C461</f>
        <v>0.0833333333333357</v>
      </c>
      <c r="E461" s="30" t="n">
        <f aca="false">INDEX(Discount!$C$4:$C$59,C461+1)</f>
        <v>0.302337025004181</v>
      </c>
      <c r="F461" s="30" t="n">
        <f aca="false">IF(C461+2&gt;56,INDEX(Discount!$C$4:$C$59,56),INDEX(Discount!$C$4:$C$59,C461+2))</f>
        <v>0.292857215894912</v>
      </c>
      <c r="G461" s="30" t="n">
        <f aca="false">IF(D461=0,E461,EXP((1-D461)*LN(E461)+D461*LN(F461)))</f>
        <v>0.301535455221919</v>
      </c>
    </row>
    <row r="462" customFormat="false" ht="15" hidden="false" customHeight="true" outlineLevel="0" collapsed="false">
      <c r="A462" s="1" t="n">
        <v>458</v>
      </c>
      <c r="B462" s="11" t="n">
        <f aca="false">A462/12</f>
        <v>38.1666666666667</v>
      </c>
      <c r="C462" s="34" t="n">
        <f aca="false">INT(B462)</f>
        <v>38</v>
      </c>
      <c r="D462" s="11" t="n">
        <f aca="false">B462-C462</f>
        <v>0.166666666666664</v>
      </c>
      <c r="E462" s="30" t="n">
        <f aca="false">INDEX(Discount!$C$4:$C$59,C462+1)</f>
        <v>0.302337025004181</v>
      </c>
      <c r="F462" s="30" t="n">
        <f aca="false">IF(C462+2&gt;56,INDEX(Discount!$C$4:$C$59,56),INDEX(Discount!$C$4:$C$59,C462+2))</f>
        <v>0.292857215894912</v>
      </c>
      <c r="G462" s="30" t="n">
        <f aca="false">IF(D462=0,E462,EXP((1-D462)*LN(E462)+D462*LN(F462)))</f>
        <v>0.300736010598214</v>
      </c>
    </row>
    <row r="463" customFormat="false" ht="15" hidden="false" customHeight="true" outlineLevel="0" collapsed="false">
      <c r="A463" s="1" t="n">
        <v>459</v>
      </c>
      <c r="B463" s="11" t="n">
        <f aca="false">A463/12</f>
        <v>38.25</v>
      </c>
      <c r="C463" s="34" t="n">
        <f aca="false">INT(B463)</f>
        <v>38</v>
      </c>
      <c r="D463" s="11" t="n">
        <f aca="false">B463-C463</f>
        <v>0.25</v>
      </c>
      <c r="E463" s="30" t="n">
        <f aca="false">INDEX(Discount!$C$4:$C$59,C463+1)</f>
        <v>0.302337025004181</v>
      </c>
      <c r="F463" s="30" t="n">
        <f aca="false">IF(C463+2&gt;56,INDEX(Discount!$C$4:$C$59,56),INDEX(Discount!$C$4:$C$59,C463+2))</f>
        <v>0.292857215894912</v>
      </c>
      <c r="G463" s="30" t="n">
        <f aca="false">IF(D463=0,E463,EXP((1-D463)*LN(E463)+D463*LN(F463)))</f>
        <v>0.299938685498748</v>
      </c>
    </row>
    <row r="464" customFormat="false" ht="15" hidden="false" customHeight="true" outlineLevel="0" collapsed="false">
      <c r="A464" s="1" t="n">
        <v>460</v>
      </c>
      <c r="B464" s="11" t="n">
        <f aca="false">A464/12</f>
        <v>38.3333333333333</v>
      </c>
      <c r="C464" s="34" t="n">
        <f aca="false">INT(B464)</f>
        <v>38</v>
      </c>
      <c r="D464" s="11" t="n">
        <f aca="false">B464-C464</f>
        <v>0.333333333333336</v>
      </c>
      <c r="E464" s="30" t="n">
        <f aca="false">INDEX(Discount!$C$4:$C$59,C464+1)</f>
        <v>0.302337025004181</v>
      </c>
      <c r="F464" s="30" t="n">
        <f aca="false">IF(C464+2&gt;56,INDEX(Discount!$C$4:$C$59,56),INDEX(Discount!$C$4:$C$59,C464+2))</f>
        <v>0.292857215894912</v>
      </c>
      <c r="G464" s="30" t="n">
        <f aca="false">IF(D464=0,E464,EXP((1-D464)*LN(E464)+D464*LN(F464)))</f>
        <v>0.299143474304142</v>
      </c>
    </row>
    <row r="465" customFormat="false" ht="15" hidden="false" customHeight="true" outlineLevel="0" collapsed="false">
      <c r="A465" s="1" t="n">
        <v>461</v>
      </c>
      <c r="B465" s="11" t="n">
        <f aca="false">A465/12</f>
        <v>38.4166666666667</v>
      </c>
      <c r="C465" s="34" t="n">
        <f aca="false">INT(B465)</f>
        <v>38</v>
      </c>
      <c r="D465" s="11" t="n">
        <f aca="false">B465-C465</f>
        <v>0.416666666666664</v>
      </c>
      <c r="E465" s="30" t="n">
        <f aca="false">INDEX(Discount!$C$4:$C$59,C465+1)</f>
        <v>0.302337025004181</v>
      </c>
      <c r="F465" s="30" t="n">
        <f aca="false">IF(C465+2&gt;56,INDEX(Discount!$C$4:$C$59,56),INDEX(Discount!$C$4:$C$59,C465+2))</f>
        <v>0.292857215894912</v>
      </c>
      <c r="G465" s="30" t="n">
        <f aca="false">IF(D465=0,E465,EXP((1-D465)*LN(E465)+D465*LN(F465)))</f>
        <v>0.298350371409914</v>
      </c>
    </row>
    <row r="466" customFormat="false" ht="15" hidden="false" customHeight="true" outlineLevel="0" collapsed="false">
      <c r="A466" s="1" t="n">
        <v>462</v>
      </c>
      <c r="B466" s="11" t="n">
        <f aca="false">A466/12</f>
        <v>38.5</v>
      </c>
      <c r="C466" s="34" t="n">
        <f aca="false">INT(B466)</f>
        <v>38</v>
      </c>
      <c r="D466" s="11" t="n">
        <f aca="false">B466-C466</f>
        <v>0.5</v>
      </c>
      <c r="E466" s="30" t="n">
        <f aca="false">INDEX(Discount!$C$4:$C$59,C466+1)</f>
        <v>0.302337025004181</v>
      </c>
      <c r="F466" s="30" t="n">
        <f aca="false">IF(C466+2&gt;56,INDEX(Discount!$C$4:$C$59,56),INDEX(Discount!$C$4:$C$59,C466+2))</f>
        <v>0.292857215894912</v>
      </c>
      <c r="G466" s="30" t="n">
        <f aca="false">IF(D466=0,E466,EXP((1-D466)*LN(E466)+D466*LN(F466)))</f>
        <v>0.297559371226441</v>
      </c>
    </row>
    <row r="467" customFormat="false" ht="15" hidden="false" customHeight="true" outlineLevel="0" collapsed="false">
      <c r="A467" s="1" t="n">
        <v>463</v>
      </c>
      <c r="B467" s="11" t="n">
        <f aca="false">A467/12</f>
        <v>38.5833333333333</v>
      </c>
      <c r="C467" s="34" t="n">
        <f aca="false">INT(B467)</f>
        <v>38</v>
      </c>
      <c r="D467" s="11" t="n">
        <f aca="false">B467-C467</f>
        <v>0.583333333333336</v>
      </c>
      <c r="E467" s="30" t="n">
        <f aca="false">INDEX(Discount!$C$4:$C$59,C467+1)</f>
        <v>0.302337025004181</v>
      </c>
      <c r="F467" s="30" t="n">
        <f aca="false">IF(C467+2&gt;56,INDEX(Discount!$C$4:$C$59,56),INDEX(Discount!$C$4:$C$59,C467+2))</f>
        <v>0.292857215894912</v>
      </c>
      <c r="G467" s="30" t="n">
        <f aca="false">IF(D467=0,E467,EXP((1-D467)*LN(E467)+D467*LN(F467)))</f>
        <v>0.296770468178921</v>
      </c>
    </row>
    <row r="468" customFormat="false" ht="15" hidden="false" customHeight="true" outlineLevel="0" collapsed="false">
      <c r="A468" s="1" t="n">
        <v>464</v>
      </c>
      <c r="B468" s="11" t="n">
        <f aca="false">A468/12</f>
        <v>38.6666666666667</v>
      </c>
      <c r="C468" s="34" t="n">
        <f aca="false">INT(B468)</f>
        <v>38</v>
      </c>
      <c r="D468" s="11" t="n">
        <f aca="false">B468-C468</f>
        <v>0.666666666666664</v>
      </c>
      <c r="E468" s="30" t="n">
        <f aca="false">INDEX(Discount!$C$4:$C$59,C468+1)</f>
        <v>0.302337025004181</v>
      </c>
      <c r="F468" s="30" t="n">
        <f aca="false">IF(C468+2&gt;56,INDEX(Discount!$C$4:$C$59,56),INDEX(Discount!$C$4:$C$59,C468+2))</f>
        <v>0.292857215894912</v>
      </c>
      <c r="G468" s="30" t="n">
        <f aca="false">IF(D468=0,E468,EXP((1-D468)*LN(E468)+D468*LN(F468)))</f>
        <v>0.295983656707329</v>
      </c>
    </row>
    <row r="469" customFormat="false" ht="15" hidden="false" customHeight="true" outlineLevel="0" collapsed="false">
      <c r="A469" s="1" t="n">
        <v>465</v>
      </c>
      <c r="B469" s="11" t="n">
        <f aca="false">A469/12</f>
        <v>38.75</v>
      </c>
      <c r="C469" s="34" t="n">
        <f aca="false">INT(B469)</f>
        <v>38</v>
      </c>
      <c r="D469" s="11" t="n">
        <f aca="false">B469-C469</f>
        <v>0.75</v>
      </c>
      <c r="E469" s="30" t="n">
        <f aca="false">INDEX(Discount!$C$4:$C$59,C469+1)</f>
        <v>0.302337025004181</v>
      </c>
      <c r="F469" s="30" t="n">
        <f aca="false">IF(C469+2&gt;56,INDEX(Discount!$C$4:$C$59,56),INDEX(Discount!$C$4:$C$59,C469+2))</f>
        <v>0.292857215894912</v>
      </c>
      <c r="G469" s="30" t="n">
        <f aca="false">IF(D469=0,E469,EXP((1-D469)*LN(E469)+D469*LN(F469)))</f>
        <v>0.295198931266385</v>
      </c>
    </row>
    <row r="470" customFormat="false" ht="15" hidden="false" customHeight="true" outlineLevel="0" collapsed="false">
      <c r="A470" s="1" t="n">
        <v>466</v>
      </c>
      <c r="B470" s="11" t="n">
        <f aca="false">A470/12</f>
        <v>38.8333333333333</v>
      </c>
      <c r="C470" s="34" t="n">
        <f aca="false">INT(B470)</f>
        <v>38</v>
      </c>
      <c r="D470" s="11" t="n">
        <f aca="false">B470-C470</f>
        <v>0.833333333333336</v>
      </c>
      <c r="E470" s="30" t="n">
        <f aca="false">INDEX(Discount!$C$4:$C$59,C470+1)</f>
        <v>0.302337025004181</v>
      </c>
      <c r="F470" s="30" t="n">
        <f aca="false">IF(C470+2&gt;56,INDEX(Discount!$C$4:$C$59,56),INDEX(Discount!$C$4:$C$59,C470+2))</f>
        <v>0.292857215894912</v>
      </c>
      <c r="G470" s="30" t="n">
        <f aca="false">IF(D470=0,E470,EXP((1-D470)*LN(E470)+D470*LN(F470)))</f>
        <v>0.294416286325509</v>
      </c>
    </row>
    <row r="471" customFormat="false" ht="15" hidden="false" customHeight="true" outlineLevel="0" collapsed="false">
      <c r="A471" s="1" t="n">
        <v>467</v>
      </c>
      <c r="B471" s="11" t="n">
        <f aca="false">A471/12</f>
        <v>38.9166666666667</v>
      </c>
      <c r="C471" s="34" t="n">
        <f aca="false">INT(B471)</f>
        <v>38</v>
      </c>
      <c r="D471" s="11" t="n">
        <f aca="false">B471-C471</f>
        <v>0.916666666666664</v>
      </c>
      <c r="E471" s="30" t="n">
        <f aca="false">INDEX(Discount!$C$4:$C$59,C471+1)</f>
        <v>0.302337025004181</v>
      </c>
      <c r="F471" s="30" t="n">
        <f aca="false">IF(C471+2&gt;56,INDEX(Discount!$C$4:$C$59,56),INDEX(Discount!$C$4:$C$59,C471+2))</f>
        <v>0.292857215894912</v>
      </c>
      <c r="G471" s="30" t="n">
        <f aca="false">IF(D471=0,E471,EXP((1-D471)*LN(E471)+D471*LN(F471)))</f>
        <v>0.293635716368782</v>
      </c>
    </row>
    <row r="472" customFormat="false" ht="15" hidden="false" customHeight="true" outlineLevel="0" collapsed="false">
      <c r="A472" s="1" t="n">
        <v>468</v>
      </c>
      <c r="B472" s="11" t="n">
        <f aca="false">A472/12</f>
        <v>39</v>
      </c>
      <c r="C472" s="34" t="n">
        <f aca="false">INT(B472)</f>
        <v>39</v>
      </c>
      <c r="D472" s="11" t="n">
        <f aca="false">B472-C472</f>
        <v>0</v>
      </c>
      <c r="E472" s="30" t="n">
        <f aca="false">INDEX(Discount!$C$4:$C$59,C472+1)</f>
        <v>0.292857215894912</v>
      </c>
      <c r="F472" s="30" t="n">
        <f aca="false">IF(C472+2&gt;56,INDEX(Discount!$C$4:$C$59,56),INDEX(Discount!$C$4:$C$59,C472+2))</f>
        <v>0.283559223216554</v>
      </c>
      <c r="G472" s="30" t="n">
        <f aca="false">IF(D472=0,E472,EXP((1-D472)*LN(E472)+D472*LN(F472)))</f>
        <v>0.292857215894912</v>
      </c>
    </row>
    <row r="473" customFormat="false" ht="15" hidden="false" customHeight="true" outlineLevel="0" collapsed="false">
      <c r="A473" s="1" t="n">
        <v>469</v>
      </c>
      <c r="B473" s="11" t="n">
        <f aca="false">A473/12</f>
        <v>39.0833333333333</v>
      </c>
      <c r="C473" s="34" t="n">
        <f aca="false">INT(B473)</f>
        <v>39</v>
      </c>
      <c r="D473" s="11" t="n">
        <f aca="false">B473-C473</f>
        <v>0.0833333333333357</v>
      </c>
      <c r="E473" s="30" t="n">
        <f aca="false">INDEX(Discount!$C$4:$C$59,C473+1)</f>
        <v>0.292857215894912</v>
      </c>
      <c r="F473" s="30" t="n">
        <f aca="false">IF(C473+2&gt;56,INDEX(Discount!$C$4:$C$59,56),INDEX(Discount!$C$4:$C$59,C473+2))</f>
        <v>0.283559223216554</v>
      </c>
      <c r="G473" s="30" t="n">
        <f aca="false">IF(D473=0,E473,EXP((1-D473)*LN(E473)+D473*LN(F473)))</f>
        <v>0.292070873875044</v>
      </c>
    </row>
    <row r="474" customFormat="false" ht="15" hidden="false" customHeight="true" outlineLevel="0" collapsed="false">
      <c r="A474" s="1" t="n">
        <v>470</v>
      </c>
      <c r="B474" s="11" t="n">
        <f aca="false">A474/12</f>
        <v>39.1666666666667</v>
      </c>
      <c r="C474" s="34" t="n">
        <f aca="false">INT(B474)</f>
        <v>39</v>
      </c>
      <c r="D474" s="11" t="n">
        <f aca="false">B474-C474</f>
        <v>0.166666666666664</v>
      </c>
      <c r="E474" s="30" t="n">
        <f aca="false">INDEX(Discount!$C$4:$C$59,C474+1)</f>
        <v>0.292857215894912</v>
      </c>
      <c r="F474" s="30" t="n">
        <f aca="false">IF(C474+2&gt;56,INDEX(Discount!$C$4:$C$59,56),INDEX(Discount!$C$4:$C$59,C474+2))</f>
        <v>0.283559223216554</v>
      </c>
      <c r="G474" s="30" t="n">
        <f aca="false">IF(D474=0,E474,EXP((1-D474)*LN(E474)+D474*LN(F474)))</f>
        <v>0.291286643238262</v>
      </c>
    </row>
    <row r="475" customFormat="false" ht="15" hidden="false" customHeight="true" outlineLevel="0" collapsed="false">
      <c r="A475" s="1" t="n">
        <v>471</v>
      </c>
      <c r="B475" s="11" t="n">
        <f aca="false">A475/12</f>
        <v>39.25</v>
      </c>
      <c r="C475" s="34" t="n">
        <f aca="false">INT(B475)</f>
        <v>39</v>
      </c>
      <c r="D475" s="11" t="n">
        <f aca="false">B475-C475</f>
        <v>0.25</v>
      </c>
      <c r="E475" s="30" t="n">
        <f aca="false">INDEX(Discount!$C$4:$C$59,C475+1)</f>
        <v>0.292857215894912</v>
      </c>
      <c r="F475" s="30" t="n">
        <f aca="false">IF(C475+2&gt;56,INDEX(Discount!$C$4:$C$59,56),INDEX(Discount!$C$4:$C$59,C475+2))</f>
        <v>0.283559223216554</v>
      </c>
      <c r="G475" s="30" t="n">
        <f aca="false">IF(D475=0,E475,EXP((1-D475)*LN(E475)+D475*LN(F475)))</f>
        <v>0.290504518315355</v>
      </c>
    </row>
    <row r="476" customFormat="false" ht="15" hidden="false" customHeight="true" outlineLevel="0" collapsed="false">
      <c r="A476" s="1" t="n">
        <v>472</v>
      </c>
      <c r="B476" s="11" t="n">
        <f aca="false">A476/12</f>
        <v>39.3333333333333</v>
      </c>
      <c r="C476" s="34" t="n">
        <f aca="false">INT(B476)</f>
        <v>39</v>
      </c>
      <c r="D476" s="11" t="n">
        <f aca="false">B476-C476</f>
        <v>0.333333333333336</v>
      </c>
      <c r="E476" s="30" t="n">
        <f aca="false">INDEX(Discount!$C$4:$C$59,C476+1)</f>
        <v>0.292857215894912</v>
      </c>
      <c r="F476" s="30" t="n">
        <f aca="false">IF(C476+2&gt;56,INDEX(Discount!$C$4:$C$59,56),INDEX(Discount!$C$4:$C$59,C476+2))</f>
        <v>0.283559223216554</v>
      </c>
      <c r="G476" s="30" t="n">
        <f aca="false">IF(D476=0,E476,EXP((1-D476)*LN(E476)+D476*LN(F476)))</f>
        <v>0.289724493452334</v>
      </c>
    </row>
    <row r="477" customFormat="false" ht="15" hidden="false" customHeight="true" outlineLevel="0" collapsed="false">
      <c r="A477" s="1" t="n">
        <v>473</v>
      </c>
      <c r="B477" s="11" t="n">
        <f aca="false">A477/12</f>
        <v>39.4166666666667</v>
      </c>
      <c r="C477" s="34" t="n">
        <f aca="false">INT(B477)</f>
        <v>39</v>
      </c>
      <c r="D477" s="11" t="n">
        <f aca="false">B477-C477</f>
        <v>0.416666666666664</v>
      </c>
      <c r="E477" s="30" t="n">
        <f aca="false">INDEX(Discount!$C$4:$C$59,C477+1)</f>
        <v>0.292857215894912</v>
      </c>
      <c r="F477" s="30" t="n">
        <f aca="false">IF(C477+2&gt;56,INDEX(Discount!$C$4:$C$59,56),INDEX(Discount!$C$4:$C$59,C477+2))</f>
        <v>0.283559223216554</v>
      </c>
      <c r="G477" s="30" t="n">
        <f aca="false">IF(D477=0,E477,EXP((1-D477)*LN(E477)+D477*LN(F477)))</f>
        <v>0.288946563010394</v>
      </c>
    </row>
    <row r="478" customFormat="false" ht="15" hidden="false" customHeight="true" outlineLevel="0" collapsed="false">
      <c r="A478" s="1" t="n">
        <v>474</v>
      </c>
      <c r="B478" s="11" t="n">
        <f aca="false">A478/12</f>
        <v>39.5</v>
      </c>
      <c r="C478" s="34" t="n">
        <f aca="false">INT(B478)</f>
        <v>39</v>
      </c>
      <c r="D478" s="11" t="n">
        <f aca="false">B478-C478</f>
        <v>0.5</v>
      </c>
      <c r="E478" s="30" t="n">
        <f aca="false">INDEX(Discount!$C$4:$C$59,C478+1)</f>
        <v>0.292857215894912</v>
      </c>
      <c r="F478" s="30" t="n">
        <f aca="false">IF(C478+2&gt;56,INDEX(Discount!$C$4:$C$59,56),INDEX(Discount!$C$4:$C$59,C478+2))</f>
        <v>0.283559223216554</v>
      </c>
      <c r="G478" s="30" t="n">
        <f aca="false">IF(D478=0,E478,EXP((1-D478)*LN(E478)+D478*LN(F478)))</f>
        <v>0.288170721365867</v>
      </c>
    </row>
    <row r="479" customFormat="false" ht="15" hidden="false" customHeight="true" outlineLevel="0" collapsed="false">
      <c r="A479" s="1" t="n">
        <v>475</v>
      </c>
      <c r="B479" s="11" t="n">
        <f aca="false">A479/12</f>
        <v>39.5833333333333</v>
      </c>
      <c r="C479" s="34" t="n">
        <f aca="false">INT(B479)</f>
        <v>39</v>
      </c>
      <c r="D479" s="11" t="n">
        <f aca="false">B479-C479</f>
        <v>0.583333333333336</v>
      </c>
      <c r="E479" s="30" t="n">
        <f aca="false">INDEX(Discount!$C$4:$C$59,C479+1)</f>
        <v>0.292857215894912</v>
      </c>
      <c r="F479" s="30" t="n">
        <f aca="false">IF(C479+2&gt;56,INDEX(Discount!$C$4:$C$59,56),INDEX(Discount!$C$4:$C$59,C479+2))</f>
        <v>0.283559223216554</v>
      </c>
      <c r="G479" s="30" t="n">
        <f aca="false">IF(D479=0,E479,EXP((1-D479)*LN(E479)+D479*LN(F479)))</f>
        <v>0.287396962910186</v>
      </c>
    </row>
    <row r="480" customFormat="false" ht="15" hidden="false" customHeight="true" outlineLevel="0" collapsed="false">
      <c r="A480" s="1" t="n">
        <v>476</v>
      </c>
      <c r="B480" s="11" t="n">
        <f aca="false">A480/12</f>
        <v>39.6666666666667</v>
      </c>
      <c r="C480" s="34" t="n">
        <f aca="false">INT(B480)</f>
        <v>39</v>
      </c>
      <c r="D480" s="11" t="n">
        <f aca="false">B480-C480</f>
        <v>0.666666666666664</v>
      </c>
      <c r="E480" s="30" t="n">
        <f aca="false">INDEX(Discount!$C$4:$C$59,C480+1)</f>
        <v>0.292857215894912</v>
      </c>
      <c r="F480" s="30" t="n">
        <f aca="false">IF(C480+2&gt;56,INDEX(Discount!$C$4:$C$59,56),INDEX(Discount!$C$4:$C$59,C480+2))</f>
        <v>0.283559223216554</v>
      </c>
      <c r="G480" s="30" t="n">
        <f aca="false">IF(D480=0,E480,EXP((1-D480)*LN(E480)+D480*LN(F480)))</f>
        <v>0.286625282049846</v>
      </c>
    </row>
    <row r="481" customFormat="false" ht="15" hidden="false" customHeight="true" outlineLevel="0" collapsed="false">
      <c r="A481" s="1" t="n">
        <v>477</v>
      </c>
      <c r="B481" s="11" t="n">
        <f aca="false">A481/12</f>
        <v>39.75</v>
      </c>
      <c r="C481" s="34" t="n">
        <f aca="false">INT(B481)</f>
        <v>39</v>
      </c>
      <c r="D481" s="11" t="n">
        <f aca="false">B481-C481</f>
        <v>0.75</v>
      </c>
      <c r="E481" s="30" t="n">
        <f aca="false">INDEX(Discount!$C$4:$C$59,C481+1)</f>
        <v>0.292857215894912</v>
      </c>
      <c r="F481" s="30" t="n">
        <f aca="false">IF(C481+2&gt;56,INDEX(Discount!$C$4:$C$59,56),INDEX(Discount!$C$4:$C$59,C481+2))</f>
        <v>0.283559223216554</v>
      </c>
      <c r="G481" s="30" t="n">
        <f aca="false">IF(D481=0,E481,EXP((1-D481)*LN(E481)+D481*LN(F481)))</f>
        <v>0.285855673206356</v>
      </c>
    </row>
    <row r="482" customFormat="false" ht="15" hidden="false" customHeight="true" outlineLevel="0" collapsed="false">
      <c r="A482" s="1" t="n">
        <v>478</v>
      </c>
      <c r="B482" s="11" t="n">
        <f aca="false">A482/12</f>
        <v>39.8333333333333</v>
      </c>
      <c r="C482" s="34" t="n">
        <f aca="false">INT(B482)</f>
        <v>39</v>
      </c>
      <c r="D482" s="11" t="n">
        <f aca="false">B482-C482</f>
        <v>0.833333333333336</v>
      </c>
      <c r="E482" s="30" t="n">
        <f aca="false">INDEX(Discount!$C$4:$C$59,C482+1)</f>
        <v>0.292857215894912</v>
      </c>
      <c r="F482" s="30" t="n">
        <f aca="false">IF(C482+2&gt;56,INDEX(Discount!$C$4:$C$59,56),INDEX(Discount!$C$4:$C$59,C482+2))</f>
        <v>0.283559223216554</v>
      </c>
      <c r="G482" s="30" t="n">
        <f aca="false">IF(D482=0,E482,EXP((1-D482)*LN(E482)+D482*LN(F482)))</f>
        <v>0.285088130816209</v>
      </c>
    </row>
    <row r="483" customFormat="false" ht="15" hidden="false" customHeight="true" outlineLevel="0" collapsed="false">
      <c r="A483" s="1" t="n">
        <v>479</v>
      </c>
      <c r="B483" s="11" t="n">
        <f aca="false">A483/12</f>
        <v>39.9166666666667</v>
      </c>
      <c r="C483" s="34" t="n">
        <f aca="false">INT(B483)</f>
        <v>39</v>
      </c>
      <c r="D483" s="11" t="n">
        <f aca="false">B483-C483</f>
        <v>0.916666666666664</v>
      </c>
      <c r="E483" s="30" t="n">
        <f aca="false">INDEX(Discount!$C$4:$C$59,C483+1)</f>
        <v>0.292857215894912</v>
      </c>
      <c r="F483" s="30" t="n">
        <f aca="false">IF(C483+2&gt;56,INDEX(Discount!$C$4:$C$59,56),INDEX(Discount!$C$4:$C$59,C483+2))</f>
        <v>0.283559223216554</v>
      </c>
      <c r="G483" s="30" t="n">
        <f aca="false">IF(D483=0,E483,EXP((1-D483)*LN(E483)+D483*LN(F483)))</f>
        <v>0.284322649330832</v>
      </c>
    </row>
    <row r="484" customFormat="false" ht="15" hidden="false" customHeight="true" outlineLevel="0" collapsed="false">
      <c r="A484" s="1" t="n">
        <v>480</v>
      </c>
      <c r="B484" s="11" t="n">
        <f aca="false">A484/12</f>
        <v>40</v>
      </c>
      <c r="C484" s="34" t="n">
        <f aca="false">INT(B484)</f>
        <v>40</v>
      </c>
      <c r="D484" s="11" t="n">
        <f aca="false">B484-C484</f>
        <v>0</v>
      </c>
      <c r="E484" s="30" t="n">
        <f aca="false">INDEX(Discount!$C$4:$C$59,C484+1)</f>
        <v>0.283559223216554</v>
      </c>
      <c r="F484" s="30" t="n">
        <f aca="false">IF(C484+2&gt;56,INDEX(Discount!$C$4:$C$59,56),INDEX(Discount!$C$4:$C$59,C484+2))</f>
        <v>0.274545797407774</v>
      </c>
      <c r="G484" s="30" t="n">
        <f aca="false">IF(D484=0,E484,EXP((1-D484)*LN(E484)+D484*LN(F484)))</f>
        <v>0.283559223216554</v>
      </c>
    </row>
    <row r="485" customFormat="false" ht="15" hidden="false" customHeight="true" outlineLevel="0" collapsed="false">
      <c r="A485" s="1" t="n">
        <v>481</v>
      </c>
      <c r="B485" s="11" t="n">
        <f aca="false">A485/12</f>
        <v>40.0833333333333</v>
      </c>
      <c r="C485" s="34" t="n">
        <f aca="false">INT(B485)</f>
        <v>40</v>
      </c>
      <c r="D485" s="11" t="n">
        <f aca="false">B485-C485</f>
        <v>0.0833333333333357</v>
      </c>
      <c r="E485" s="30" t="n">
        <f aca="false">INDEX(Discount!$C$4:$C$59,C485+1)</f>
        <v>0.283559223216554</v>
      </c>
      <c r="F485" s="30" t="n">
        <f aca="false">IF(C485+2&gt;56,INDEX(Discount!$C$4:$C$59,56),INDEX(Discount!$C$4:$C$59,C485+2))</f>
        <v>0.274545797407774</v>
      </c>
      <c r="G485" s="30" t="n">
        <f aca="false">IF(D485=0,E485,EXP((1-D485)*LN(E485)+D485*LN(F485)))</f>
        <v>0.282796933889181</v>
      </c>
    </row>
    <row r="486" customFormat="false" ht="15" hidden="false" customHeight="true" outlineLevel="0" collapsed="false">
      <c r="A486" s="1" t="n">
        <v>482</v>
      </c>
      <c r="B486" s="11" t="n">
        <f aca="false">A486/12</f>
        <v>40.1666666666667</v>
      </c>
      <c r="C486" s="34" t="n">
        <f aca="false">INT(B486)</f>
        <v>40</v>
      </c>
      <c r="D486" s="11" t="n">
        <f aca="false">B486-C486</f>
        <v>0.166666666666664</v>
      </c>
      <c r="E486" s="30" t="n">
        <f aca="false">INDEX(Discount!$C$4:$C$59,C486+1)</f>
        <v>0.283559223216554</v>
      </c>
      <c r="F486" s="30" t="n">
        <f aca="false">IF(C486+2&gt;56,INDEX(Discount!$C$4:$C$59,56),INDEX(Discount!$C$4:$C$59,C486+2))</f>
        <v>0.274545797407774</v>
      </c>
      <c r="G486" s="30" t="n">
        <f aca="false">IF(D486=0,E486,EXP((1-D486)*LN(E486)+D486*LN(F486)))</f>
        <v>0.282036693816324</v>
      </c>
    </row>
    <row r="487" customFormat="false" ht="15" hidden="false" customHeight="true" outlineLevel="0" collapsed="false">
      <c r="A487" s="1" t="n">
        <v>483</v>
      </c>
      <c r="B487" s="11" t="n">
        <f aca="false">A487/12</f>
        <v>40.25</v>
      </c>
      <c r="C487" s="34" t="n">
        <f aca="false">INT(B487)</f>
        <v>40</v>
      </c>
      <c r="D487" s="11" t="n">
        <f aca="false">B487-C487</f>
        <v>0.25</v>
      </c>
      <c r="E487" s="30" t="n">
        <f aca="false">INDEX(Discount!$C$4:$C$59,C487+1)</f>
        <v>0.283559223216554</v>
      </c>
      <c r="F487" s="30" t="n">
        <f aca="false">IF(C487+2&gt;56,INDEX(Discount!$C$4:$C$59,56),INDEX(Discount!$C$4:$C$59,C487+2))</f>
        <v>0.274545797407774</v>
      </c>
      <c r="G487" s="30" t="n">
        <f aca="false">IF(D487=0,E487,EXP((1-D487)*LN(E487)+D487*LN(F487)))</f>
        <v>0.281278497488993</v>
      </c>
    </row>
    <row r="488" customFormat="false" ht="15" hidden="false" customHeight="true" outlineLevel="0" collapsed="false">
      <c r="A488" s="1" t="n">
        <v>484</v>
      </c>
      <c r="B488" s="11" t="n">
        <f aca="false">A488/12</f>
        <v>40.3333333333333</v>
      </c>
      <c r="C488" s="34" t="n">
        <f aca="false">INT(B488)</f>
        <v>40</v>
      </c>
      <c r="D488" s="11" t="n">
        <f aca="false">B488-C488</f>
        <v>0.333333333333336</v>
      </c>
      <c r="E488" s="30" t="n">
        <f aca="false">INDEX(Discount!$C$4:$C$59,C488+1)</f>
        <v>0.283559223216554</v>
      </c>
      <c r="F488" s="30" t="n">
        <f aca="false">IF(C488+2&gt;56,INDEX(Discount!$C$4:$C$59,56),INDEX(Discount!$C$4:$C$59,C488+2))</f>
        <v>0.274545797407774</v>
      </c>
      <c r="G488" s="30" t="n">
        <f aca="false">IF(D488=0,E488,EXP((1-D488)*LN(E488)+D488*LN(F488)))</f>
        <v>0.280522339413008</v>
      </c>
    </row>
    <row r="489" customFormat="false" ht="15" hidden="false" customHeight="true" outlineLevel="0" collapsed="false">
      <c r="A489" s="1" t="n">
        <v>485</v>
      </c>
      <c r="B489" s="11" t="n">
        <f aca="false">A489/12</f>
        <v>40.4166666666667</v>
      </c>
      <c r="C489" s="34" t="n">
        <f aca="false">INT(B489)</f>
        <v>40</v>
      </c>
      <c r="D489" s="11" t="n">
        <f aca="false">B489-C489</f>
        <v>0.416666666666664</v>
      </c>
      <c r="E489" s="30" t="n">
        <f aca="false">INDEX(Discount!$C$4:$C$59,C489+1)</f>
        <v>0.283559223216554</v>
      </c>
      <c r="F489" s="30" t="n">
        <f aca="false">IF(C489+2&gt;56,INDEX(Discount!$C$4:$C$59,56),INDEX(Discount!$C$4:$C$59,C489+2))</f>
        <v>0.274545797407774</v>
      </c>
      <c r="G489" s="30" t="n">
        <f aca="false">IF(D489=0,E489,EXP((1-D489)*LN(E489)+D489*LN(F489)))</f>
        <v>0.279768214108959</v>
      </c>
    </row>
    <row r="490" customFormat="false" ht="15" hidden="false" customHeight="true" outlineLevel="0" collapsed="false">
      <c r="A490" s="1" t="n">
        <v>486</v>
      </c>
      <c r="B490" s="11" t="n">
        <f aca="false">A490/12</f>
        <v>40.5</v>
      </c>
      <c r="C490" s="34" t="n">
        <f aca="false">INT(B490)</f>
        <v>40</v>
      </c>
      <c r="D490" s="11" t="n">
        <f aca="false">B490-C490</f>
        <v>0.5</v>
      </c>
      <c r="E490" s="30" t="n">
        <f aca="false">INDEX(Discount!$C$4:$C$59,C490+1)</f>
        <v>0.283559223216554</v>
      </c>
      <c r="F490" s="30" t="n">
        <f aca="false">IF(C490+2&gt;56,INDEX(Discount!$C$4:$C$59,56),INDEX(Discount!$C$4:$C$59,C490+2))</f>
        <v>0.274545797407774</v>
      </c>
      <c r="G490" s="30" t="n">
        <f aca="false">IF(D490=0,E490,EXP((1-D490)*LN(E490)+D490*LN(F490)))</f>
        <v>0.279016116112166</v>
      </c>
    </row>
    <row r="491" customFormat="false" ht="15" hidden="false" customHeight="true" outlineLevel="0" collapsed="false">
      <c r="A491" s="1" t="n">
        <v>487</v>
      </c>
      <c r="B491" s="11" t="n">
        <f aca="false">A491/12</f>
        <v>40.5833333333333</v>
      </c>
      <c r="C491" s="34" t="n">
        <f aca="false">INT(B491)</f>
        <v>40</v>
      </c>
      <c r="D491" s="11" t="n">
        <f aca="false">B491-C491</f>
        <v>0.583333333333336</v>
      </c>
      <c r="E491" s="30" t="n">
        <f aca="false">INDEX(Discount!$C$4:$C$59,C491+1)</f>
        <v>0.283559223216554</v>
      </c>
      <c r="F491" s="30" t="n">
        <f aca="false">IF(C491+2&gt;56,INDEX(Discount!$C$4:$C$59,56),INDEX(Discount!$C$4:$C$59,C491+2))</f>
        <v>0.274545797407774</v>
      </c>
      <c r="G491" s="30" t="n">
        <f aca="false">IF(D491=0,E491,EXP((1-D491)*LN(E491)+D491*LN(F491)))</f>
        <v>0.27826603997264</v>
      </c>
    </row>
    <row r="492" customFormat="false" ht="15" hidden="false" customHeight="true" outlineLevel="0" collapsed="false">
      <c r="A492" s="1" t="n">
        <v>488</v>
      </c>
      <c r="B492" s="11" t="n">
        <f aca="false">A492/12</f>
        <v>40.6666666666667</v>
      </c>
      <c r="C492" s="34" t="n">
        <f aca="false">INT(B492)</f>
        <v>40</v>
      </c>
      <c r="D492" s="11" t="n">
        <f aca="false">B492-C492</f>
        <v>0.666666666666664</v>
      </c>
      <c r="E492" s="30" t="n">
        <f aca="false">INDEX(Discount!$C$4:$C$59,C492+1)</f>
        <v>0.283559223216554</v>
      </c>
      <c r="F492" s="30" t="n">
        <f aca="false">IF(C492+2&gt;56,INDEX(Discount!$C$4:$C$59,56),INDEX(Discount!$C$4:$C$59,C492+2))</f>
        <v>0.274545797407774</v>
      </c>
      <c r="G492" s="30" t="n">
        <f aca="false">IF(D492=0,E492,EXP((1-D492)*LN(E492)+D492*LN(F492)))</f>
        <v>0.277517980255043</v>
      </c>
    </row>
    <row r="493" customFormat="false" ht="15" hidden="false" customHeight="true" outlineLevel="0" collapsed="false">
      <c r="A493" s="1" t="n">
        <v>489</v>
      </c>
      <c r="B493" s="11" t="n">
        <f aca="false">A493/12</f>
        <v>40.75</v>
      </c>
      <c r="C493" s="34" t="n">
        <f aca="false">INT(B493)</f>
        <v>40</v>
      </c>
      <c r="D493" s="11" t="n">
        <f aca="false">B493-C493</f>
        <v>0.75</v>
      </c>
      <c r="E493" s="30" t="n">
        <f aca="false">INDEX(Discount!$C$4:$C$59,C493+1)</f>
        <v>0.283559223216554</v>
      </c>
      <c r="F493" s="30" t="n">
        <f aca="false">IF(C493+2&gt;56,INDEX(Discount!$C$4:$C$59,56),INDEX(Discount!$C$4:$C$59,C493+2))</f>
        <v>0.274545797407774</v>
      </c>
      <c r="G493" s="30" t="n">
        <f aca="false">IF(D493=0,E493,EXP((1-D493)*LN(E493)+D493*LN(F493)))</f>
        <v>0.276771931538649</v>
      </c>
    </row>
    <row r="494" customFormat="false" ht="15" hidden="false" customHeight="true" outlineLevel="0" collapsed="false">
      <c r="A494" s="1" t="n">
        <v>490</v>
      </c>
      <c r="B494" s="11" t="n">
        <f aca="false">A494/12</f>
        <v>40.8333333333333</v>
      </c>
      <c r="C494" s="34" t="n">
        <f aca="false">INT(B494)</f>
        <v>40</v>
      </c>
      <c r="D494" s="11" t="n">
        <f aca="false">B494-C494</f>
        <v>0.833333333333336</v>
      </c>
      <c r="E494" s="30" t="n">
        <f aca="false">INDEX(Discount!$C$4:$C$59,C494+1)</f>
        <v>0.283559223216554</v>
      </c>
      <c r="F494" s="30" t="n">
        <f aca="false">IF(C494+2&gt;56,INDEX(Discount!$C$4:$C$59,56),INDEX(Discount!$C$4:$C$59,C494+2))</f>
        <v>0.274545797407774</v>
      </c>
      <c r="G494" s="30" t="n">
        <f aca="false">IF(D494=0,E494,EXP((1-D494)*LN(E494)+D494*LN(F494)))</f>
        <v>0.276027888417304</v>
      </c>
    </row>
    <row r="495" customFormat="false" ht="15" hidden="false" customHeight="true" outlineLevel="0" collapsed="false">
      <c r="A495" s="1" t="n">
        <v>491</v>
      </c>
      <c r="B495" s="11" t="n">
        <f aca="false">A495/12</f>
        <v>40.9166666666667</v>
      </c>
      <c r="C495" s="34" t="n">
        <f aca="false">INT(B495)</f>
        <v>40</v>
      </c>
      <c r="D495" s="11" t="n">
        <f aca="false">B495-C495</f>
        <v>0.916666666666664</v>
      </c>
      <c r="E495" s="30" t="n">
        <f aca="false">INDEX(Discount!$C$4:$C$59,C495+1)</f>
        <v>0.283559223216554</v>
      </c>
      <c r="F495" s="30" t="n">
        <f aca="false">IF(C495+2&gt;56,INDEX(Discount!$C$4:$C$59,56),INDEX(Discount!$C$4:$C$59,C495+2))</f>
        <v>0.274545797407774</v>
      </c>
      <c r="G495" s="30" t="n">
        <f aca="false">IF(D495=0,E495,EXP((1-D495)*LN(E495)+D495*LN(F495)))</f>
        <v>0.275285845499388</v>
      </c>
    </row>
    <row r="496" customFormat="false" ht="15" hidden="false" customHeight="true" outlineLevel="0" collapsed="false">
      <c r="A496" s="1" t="n">
        <v>492</v>
      </c>
      <c r="B496" s="11" t="n">
        <f aca="false">A496/12</f>
        <v>41</v>
      </c>
      <c r="C496" s="34" t="n">
        <f aca="false">INT(B496)</f>
        <v>41</v>
      </c>
      <c r="D496" s="11" t="n">
        <f aca="false">B496-C496</f>
        <v>0</v>
      </c>
      <c r="E496" s="30" t="n">
        <f aca="false">INDEX(Discount!$C$4:$C$59,C496+1)</f>
        <v>0.274545797407774</v>
      </c>
      <c r="F496" s="30" t="n">
        <f aca="false">IF(C496+2&gt;56,INDEX(Discount!$C$4:$C$59,56),INDEX(Discount!$C$4:$C$59,C496+2))</f>
        <v>0.265916775843918</v>
      </c>
      <c r="G496" s="30" t="n">
        <f aca="false">IF(D496=0,E496,EXP((1-D496)*LN(E496)+D496*LN(F496)))</f>
        <v>0.274545797407774</v>
      </c>
    </row>
    <row r="497" customFormat="false" ht="15" hidden="false" customHeight="true" outlineLevel="0" collapsed="false">
      <c r="A497" s="1" t="n">
        <v>493</v>
      </c>
      <c r="B497" s="11" t="n">
        <f aca="false">A497/12</f>
        <v>41.0833333333333</v>
      </c>
      <c r="C497" s="34" t="n">
        <f aca="false">INT(B497)</f>
        <v>41</v>
      </c>
      <c r="D497" s="11" t="n">
        <f aca="false">B497-C497</f>
        <v>0.0833333333333357</v>
      </c>
      <c r="E497" s="30" t="n">
        <f aca="false">INDEX(Discount!$C$4:$C$59,C497+1)</f>
        <v>0.274545797407774</v>
      </c>
      <c r="F497" s="30" t="n">
        <f aca="false">IF(C497+2&gt;56,INDEX(Discount!$C$4:$C$59,56),INDEX(Discount!$C$4:$C$59,C497+2))</f>
        <v>0.265916775843918</v>
      </c>
      <c r="G497" s="30" t="n">
        <f aca="false">IF(D497=0,E497,EXP((1-D497)*LN(E497)+D497*LN(F497)))</f>
        <v>0.27381614060409</v>
      </c>
    </row>
    <row r="498" customFormat="false" ht="15" hidden="false" customHeight="true" outlineLevel="0" collapsed="false">
      <c r="A498" s="1" t="n">
        <v>494</v>
      </c>
      <c r="B498" s="11" t="n">
        <f aca="false">A498/12</f>
        <v>41.1666666666667</v>
      </c>
      <c r="C498" s="34" t="n">
        <f aca="false">INT(B498)</f>
        <v>41</v>
      </c>
      <c r="D498" s="11" t="n">
        <f aca="false">B498-C498</f>
        <v>0.166666666666664</v>
      </c>
      <c r="E498" s="30" t="n">
        <f aca="false">INDEX(Discount!$C$4:$C$59,C498+1)</f>
        <v>0.274545797407774</v>
      </c>
      <c r="F498" s="30" t="n">
        <f aca="false">IF(C498+2&gt;56,INDEX(Discount!$C$4:$C$59,56),INDEX(Discount!$C$4:$C$59,C498+2))</f>
        <v>0.265916775843918</v>
      </c>
      <c r="G498" s="30" t="n">
        <f aca="false">IF(D498=0,E498,EXP((1-D498)*LN(E498)+D498*LN(F498)))</f>
        <v>0.273088422999826</v>
      </c>
    </row>
    <row r="499" customFormat="false" ht="15" hidden="false" customHeight="true" outlineLevel="0" collapsed="false">
      <c r="A499" s="1" t="n">
        <v>495</v>
      </c>
      <c r="B499" s="11" t="n">
        <f aca="false">A499/12</f>
        <v>41.25</v>
      </c>
      <c r="C499" s="34" t="n">
        <f aca="false">INT(B499)</f>
        <v>41</v>
      </c>
      <c r="D499" s="11" t="n">
        <f aca="false">B499-C499</f>
        <v>0.25</v>
      </c>
      <c r="E499" s="30" t="n">
        <f aca="false">INDEX(Discount!$C$4:$C$59,C499+1)</f>
        <v>0.274545797407774</v>
      </c>
      <c r="F499" s="30" t="n">
        <f aca="false">IF(C499+2&gt;56,INDEX(Discount!$C$4:$C$59,56),INDEX(Discount!$C$4:$C$59,C499+2))</f>
        <v>0.265916775843918</v>
      </c>
      <c r="G499" s="30" t="n">
        <f aca="false">IF(D499=0,E499,EXP((1-D499)*LN(E499)+D499*LN(F499)))</f>
        <v>0.272362639441198</v>
      </c>
    </row>
    <row r="500" customFormat="false" ht="15" hidden="false" customHeight="true" outlineLevel="0" collapsed="false">
      <c r="A500" s="1" t="n">
        <v>496</v>
      </c>
      <c r="B500" s="11" t="n">
        <f aca="false">A500/12</f>
        <v>41.3333333333333</v>
      </c>
      <c r="C500" s="34" t="n">
        <f aca="false">INT(B500)</f>
        <v>41</v>
      </c>
      <c r="D500" s="11" t="n">
        <f aca="false">B500-C500</f>
        <v>0.333333333333336</v>
      </c>
      <c r="E500" s="30" t="n">
        <f aca="false">INDEX(Discount!$C$4:$C$59,C500+1)</f>
        <v>0.274545797407774</v>
      </c>
      <c r="F500" s="30" t="n">
        <f aca="false">IF(C500+2&gt;56,INDEX(Discount!$C$4:$C$59,56),INDEX(Discount!$C$4:$C$59,C500+2))</f>
        <v>0.265916775843918</v>
      </c>
      <c r="G500" s="30" t="n">
        <f aca="false">IF(D500=0,E500,EXP((1-D500)*LN(E500)+D500*LN(F500)))</f>
        <v>0.271638784788116</v>
      </c>
    </row>
    <row r="501" customFormat="false" ht="15" hidden="false" customHeight="true" outlineLevel="0" collapsed="false">
      <c r="A501" s="1" t="n">
        <v>497</v>
      </c>
      <c r="B501" s="11" t="n">
        <f aca="false">A501/12</f>
        <v>41.4166666666667</v>
      </c>
      <c r="C501" s="34" t="n">
        <f aca="false">INT(B501)</f>
        <v>41</v>
      </c>
      <c r="D501" s="11" t="n">
        <f aca="false">B501-C501</f>
        <v>0.416666666666664</v>
      </c>
      <c r="E501" s="30" t="n">
        <f aca="false">INDEX(Discount!$C$4:$C$59,C501+1)</f>
        <v>0.274545797407774</v>
      </c>
      <c r="F501" s="30" t="n">
        <f aca="false">IF(C501+2&gt;56,INDEX(Discount!$C$4:$C$59,56),INDEX(Discount!$C$4:$C$59,C501+2))</f>
        <v>0.265916775843918</v>
      </c>
      <c r="G501" s="30" t="n">
        <f aca="false">IF(D501=0,E501,EXP((1-D501)*LN(E501)+D501*LN(F501)))</f>
        <v>0.270916853914155</v>
      </c>
    </row>
    <row r="502" customFormat="false" ht="15" hidden="false" customHeight="true" outlineLevel="0" collapsed="false">
      <c r="A502" s="1" t="n">
        <v>498</v>
      </c>
      <c r="B502" s="11" t="n">
        <f aca="false">A502/12</f>
        <v>41.5</v>
      </c>
      <c r="C502" s="34" t="n">
        <f aca="false">INT(B502)</f>
        <v>41</v>
      </c>
      <c r="D502" s="11" t="n">
        <f aca="false">B502-C502</f>
        <v>0.5</v>
      </c>
      <c r="E502" s="30" t="n">
        <f aca="false">INDEX(Discount!$C$4:$C$59,C502+1)</f>
        <v>0.274545797407774</v>
      </c>
      <c r="F502" s="30" t="n">
        <f aca="false">IF(C502+2&gt;56,INDEX(Discount!$C$4:$C$59,56),INDEX(Discount!$C$4:$C$59,C502+2))</f>
        <v>0.265916775843918</v>
      </c>
      <c r="G502" s="30" t="n">
        <f aca="false">IF(D502=0,E502,EXP((1-D502)*LN(E502)+D502*LN(F502)))</f>
        <v>0.27019684170651</v>
      </c>
    </row>
    <row r="503" customFormat="false" ht="15" hidden="false" customHeight="true" outlineLevel="0" collapsed="false">
      <c r="A503" s="1" t="n">
        <v>499</v>
      </c>
      <c r="B503" s="11" t="n">
        <f aca="false">A503/12</f>
        <v>41.5833333333333</v>
      </c>
      <c r="C503" s="34" t="n">
        <f aca="false">INT(B503)</f>
        <v>41</v>
      </c>
      <c r="D503" s="11" t="n">
        <f aca="false">B503-C503</f>
        <v>0.583333333333336</v>
      </c>
      <c r="E503" s="30" t="n">
        <f aca="false">INDEX(Discount!$C$4:$C$59,C503+1)</f>
        <v>0.274545797407774</v>
      </c>
      <c r="F503" s="30" t="n">
        <f aca="false">IF(C503+2&gt;56,INDEX(Discount!$C$4:$C$59,56),INDEX(Discount!$C$4:$C$59,C503+2))</f>
        <v>0.265916775843918</v>
      </c>
      <c r="G503" s="30" t="n">
        <f aca="false">IF(D503=0,E503,EXP((1-D503)*LN(E503)+D503*LN(F503)))</f>
        <v>0.269478743065968</v>
      </c>
    </row>
    <row r="504" customFormat="false" ht="15" hidden="false" customHeight="true" outlineLevel="0" collapsed="false">
      <c r="A504" s="1" t="n">
        <v>500</v>
      </c>
      <c r="B504" s="11" t="n">
        <f aca="false">A504/12</f>
        <v>41.6666666666667</v>
      </c>
      <c r="C504" s="34" t="n">
        <f aca="false">INT(B504)</f>
        <v>41</v>
      </c>
      <c r="D504" s="11" t="n">
        <f aca="false">B504-C504</f>
        <v>0.666666666666664</v>
      </c>
      <c r="E504" s="30" t="n">
        <f aca="false">INDEX(Discount!$C$4:$C$59,C504+1)</f>
        <v>0.274545797407774</v>
      </c>
      <c r="F504" s="30" t="n">
        <f aca="false">IF(C504+2&gt;56,INDEX(Discount!$C$4:$C$59,56),INDEX(Discount!$C$4:$C$59,C504+2))</f>
        <v>0.265916775843918</v>
      </c>
      <c r="G504" s="30" t="n">
        <f aca="false">IF(D504=0,E504,EXP((1-D504)*LN(E504)+D504*LN(F504)))</f>
        <v>0.268762552906866</v>
      </c>
    </row>
    <row r="505" customFormat="false" ht="15" hidden="false" customHeight="true" outlineLevel="0" collapsed="false">
      <c r="A505" s="1" t="n">
        <v>501</v>
      </c>
      <c r="B505" s="11" t="n">
        <f aca="false">A505/12</f>
        <v>41.75</v>
      </c>
      <c r="C505" s="34" t="n">
        <f aca="false">INT(B505)</f>
        <v>41</v>
      </c>
      <c r="D505" s="11" t="n">
        <f aca="false">B505-C505</f>
        <v>0.75</v>
      </c>
      <c r="E505" s="30" t="n">
        <f aca="false">INDEX(Discount!$C$4:$C$59,C505+1)</f>
        <v>0.274545797407774</v>
      </c>
      <c r="F505" s="30" t="n">
        <f aca="false">IF(C505+2&gt;56,INDEX(Discount!$C$4:$C$59,56),INDEX(Discount!$C$4:$C$59,C505+2))</f>
        <v>0.265916775843918</v>
      </c>
      <c r="G505" s="30" t="n">
        <f aca="false">IF(D505=0,E505,EXP((1-D505)*LN(E505)+D505*LN(F505)))</f>
        <v>0.268048266157057</v>
      </c>
    </row>
    <row r="506" customFormat="false" ht="15" hidden="false" customHeight="true" outlineLevel="0" collapsed="false">
      <c r="A506" s="1" t="n">
        <v>502</v>
      </c>
      <c r="B506" s="11" t="n">
        <f aca="false">A506/12</f>
        <v>41.8333333333333</v>
      </c>
      <c r="C506" s="34" t="n">
        <f aca="false">INT(B506)</f>
        <v>41</v>
      </c>
      <c r="D506" s="11" t="n">
        <f aca="false">B506-C506</f>
        <v>0.833333333333336</v>
      </c>
      <c r="E506" s="30" t="n">
        <f aca="false">INDEX(Discount!$C$4:$C$59,C506+1)</f>
        <v>0.274545797407774</v>
      </c>
      <c r="F506" s="30" t="n">
        <f aca="false">IF(C506+2&gt;56,INDEX(Discount!$C$4:$C$59,56),INDEX(Discount!$C$4:$C$59,C506+2))</f>
        <v>0.265916775843918</v>
      </c>
      <c r="G506" s="30" t="n">
        <f aca="false">IF(D506=0,E506,EXP((1-D506)*LN(E506)+D506*LN(F506)))</f>
        <v>0.267335877757876</v>
      </c>
    </row>
    <row r="507" customFormat="false" ht="15" hidden="false" customHeight="true" outlineLevel="0" collapsed="false">
      <c r="A507" s="1" t="n">
        <v>503</v>
      </c>
      <c r="B507" s="11" t="n">
        <f aca="false">A507/12</f>
        <v>41.9166666666667</v>
      </c>
      <c r="C507" s="34" t="n">
        <f aca="false">INT(B507)</f>
        <v>41</v>
      </c>
      <c r="D507" s="11" t="n">
        <f aca="false">B507-C507</f>
        <v>0.916666666666664</v>
      </c>
      <c r="E507" s="30" t="n">
        <f aca="false">INDEX(Discount!$C$4:$C$59,C507+1)</f>
        <v>0.274545797407774</v>
      </c>
      <c r="F507" s="30" t="n">
        <f aca="false">IF(C507+2&gt;56,INDEX(Discount!$C$4:$C$59,56),INDEX(Discount!$C$4:$C$59,C507+2))</f>
        <v>0.265916775843918</v>
      </c>
      <c r="G507" s="30" t="n">
        <f aca="false">IF(D507=0,E507,EXP((1-D507)*LN(E507)+D507*LN(F507)))</f>
        <v>0.266625382664101</v>
      </c>
    </row>
    <row r="508" customFormat="false" ht="15" hidden="false" customHeight="true" outlineLevel="0" collapsed="false">
      <c r="A508" s="1" t="n">
        <v>504</v>
      </c>
      <c r="B508" s="11" t="n">
        <f aca="false">A508/12</f>
        <v>42</v>
      </c>
      <c r="C508" s="34" t="n">
        <f aca="false">INT(B508)</f>
        <v>42</v>
      </c>
      <c r="D508" s="11" t="n">
        <f aca="false">B508-C508</f>
        <v>0</v>
      </c>
      <c r="E508" s="30" t="n">
        <f aca="false">INDEX(Discount!$C$4:$C$59,C508+1)</f>
        <v>0.265916775843918</v>
      </c>
      <c r="F508" s="30" t="n">
        <f aca="false">IF(C508+2&gt;56,INDEX(Discount!$C$4:$C$59,56),INDEX(Discount!$C$4:$C$59,C508+2))</f>
        <v>0.257446689628427</v>
      </c>
      <c r="G508" s="30" t="n">
        <f aca="false">IF(D508=0,E508,EXP((1-D508)*LN(E508)+D508*LN(F508)))</f>
        <v>0.265916775843918</v>
      </c>
    </row>
    <row r="509" customFormat="false" ht="15" hidden="false" customHeight="true" outlineLevel="0" collapsed="false">
      <c r="A509" s="1" t="n">
        <v>505</v>
      </c>
      <c r="B509" s="11" t="n">
        <f aca="false">A509/12</f>
        <v>42.0833333333333</v>
      </c>
      <c r="C509" s="34" t="n">
        <f aca="false">INT(B509)</f>
        <v>42</v>
      </c>
      <c r="D509" s="11" t="n">
        <f aca="false">B509-C509</f>
        <v>0.0833333333333357</v>
      </c>
      <c r="E509" s="30" t="n">
        <f aca="false">INDEX(Discount!$C$4:$C$59,C509+1)</f>
        <v>0.265916775843918</v>
      </c>
      <c r="F509" s="30" t="n">
        <f aca="false">IF(C509+2&gt;56,INDEX(Discount!$C$4:$C$59,56),INDEX(Discount!$C$4:$C$59,C509+2))</f>
        <v>0.257446689628427</v>
      </c>
      <c r="G509" s="30" t="n">
        <f aca="false">IF(D509=0,E509,EXP((1-D509)*LN(E509)+D509*LN(F509)))</f>
        <v>0.265200416055272</v>
      </c>
    </row>
    <row r="510" customFormat="false" ht="15" hidden="false" customHeight="true" outlineLevel="0" collapsed="false">
      <c r="A510" s="1" t="n">
        <v>506</v>
      </c>
      <c r="B510" s="11" t="n">
        <f aca="false">A510/12</f>
        <v>42.1666666666667</v>
      </c>
      <c r="C510" s="34" t="n">
        <f aca="false">INT(B510)</f>
        <v>42</v>
      </c>
      <c r="D510" s="11" t="n">
        <f aca="false">B510-C510</f>
        <v>0.166666666666664</v>
      </c>
      <c r="E510" s="30" t="n">
        <f aca="false">INDEX(Discount!$C$4:$C$59,C510+1)</f>
        <v>0.265916775843918</v>
      </c>
      <c r="F510" s="30" t="n">
        <f aca="false">IF(C510+2&gt;56,INDEX(Discount!$C$4:$C$59,56),INDEX(Discount!$C$4:$C$59,C510+2))</f>
        <v>0.257446689628427</v>
      </c>
      <c r="G510" s="30" t="n">
        <f aca="false">IF(D510=0,E510,EXP((1-D510)*LN(E510)+D510*LN(F510)))</f>
        <v>0.264485986086004</v>
      </c>
    </row>
    <row r="511" customFormat="false" ht="15" hidden="false" customHeight="true" outlineLevel="0" collapsed="false">
      <c r="A511" s="1" t="n">
        <v>507</v>
      </c>
      <c r="B511" s="11" t="n">
        <f aca="false">A511/12</f>
        <v>42.25</v>
      </c>
      <c r="C511" s="34" t="n">
        <f aca="false">INT(B511)</f>
        <v>42</v>
      </c>
      <c r="D511" s="11" t="n">
        <f aca="false">B511-C511</f>
        <v>0.25</v>
      </c>
      <c r="E511" s="30" t="n">
        <f aca="false">INDEX(Discount!$C$4:$C$59,C511+1)</f>
        <v>0.265916775843918</v>
      </c>
      <c r="F511" s="30" t="n">
        <f aca="false">IF(C511+2&gt;56,INDEX(Discount!$C$4:$C$59,56),INDEX(Discount!$C$4:$C$59,C511+2))</f>
        <v>0.257446689628427</v>
      </c>
      <c r="G511" s="30" t="n">
        <f aca="false">IF(D511=0,E511,EXP((1-D511)*LN(E511)+D511*LN(F511)))</f>
        <v>0.263773480737325</v>
      </c>
    </row>
    <row r="512" customFormat="false" ht="15" hidden="false" customHeight="true" outlineLevel="0" collapsed="false">
      <c r="A512" s="1" t="n">
        <v>508</v>
      </c>
      <c r="B512" s="11" t="n">
        <f aca="false">A512/12</f>
        <v>42.3333333333333</v>
      </c>
      <c r="C512" s="34" t="n">
        <f aca="false">INT(B512)</f>
        <v>42</v>
      </c>
      <c r="D512" s="11" t="n">
        <f aca="false">B512-C512</f>
        <v>0.333333333333336</v>
      </c>
      <c r="E512" s="30" t="n">
        <f aca="false">INDEX(Discount!$C$4:$C$59,C512+1)</f>
        <v>0.265916775843918</v>
      </c>
      <c r="F512" s="30" t="n">
        <f aca="false">IF(C512+2&gt;56,INDEX(Discount!$C$4:$C$59,56),INDEX(Discount!$C$4:$C$59,C512+2))</f>
        <v>0.257446689628427</v>
      </c>
      <c r="G512" s="30" t="n">
        <f aca="false">IF(D512=0,E512,EXP((1-D512)*LN(E512)+D512*LN(F512)))</f>
        <v>0.263062894824452</v>
      </c>
    </row>
    <row r="513" customFormat="false" ht="15" hidden="false" customHeight="true" outlineLevel="0" collapsed="false">
      <c r="A513" s="1" t="n">
        <v>509</v>
      </c>
      <c r="B513" s="11" t="n">
        <f aca="false">A513/12</f>
        <v>42.4166666666667</v>
      </c>
      <c r="C513" s="34" t="n">
        <f aca="false">INT(B513)</f>
        <v>42</v>
      </c>
      <c r="D513" s="11" t="n">
        <f aca="false">B513-C513</f>
        <v>0.416666666666664</v>
      </c>
      <c r="E513" s="30" t="n">
        <f aca="false">INDEX(Discount!$C$4:$C$59,C513+1)</f>
        <v>0.265916775843918</v>
      </c>
      <c r="F513" s="30" t="n">
        <f aca="false">IF(C513+2&gt;56,INDEX(Discount!$C$4:$C$59,56),INDEX(Discount!$C$4:$C$59,C513+2))</f>
        <v>0.257446689628427</v>
      </c>
      <c r="G513" s="30" t="n">
        <f aca="false">IF(D513=0,E513,EXP((1-D513)*LN(E513)+D513*LN(F513)))</f>
        <v>0.262354223176569</v>
      </c>
    </row>
    <row r="514" customFormat="false" ht="15" hidden="false" customHeight="true" outlineLevel="0" collapsed="false">
      <c r="A514" s="1" t="n">
        <v>510</v>
      </c>
      <c r="B514" s="11" t="n">
        <f aca="false">A514/12</f>
        <v>42.5</v>
      </c>
      <c r="C514" s="34" t="n">
        <f aca="false">INT(B514)</f>
        <v>42</v>
      </c>
      <c r="D514" s="11" t="n">
        <f aca="false">B514-C514</f>
        <v>0.5</v>
      </c>
      <c r="E514" s="30" t="n">
        <f aca="false">INDEX(Discount!$C$4:$C$59,C514+1)</f>
        <v>0.265916775843918</v>
      </c>
      <c r="F514" s="30" t="n">
        <f aca="false">IF(C514+2&gt;56,INDEX(Discount!$C$4:$C$59,56),INDEX(Discount!$C$4:$C$59,C514+2))</f>
        <v>0.257446689628427</v>
      </c>
      <c r="G514" s="30" t="n">
        <f aca="false">IF(D514=0,E514,EXP((1-D514)*LN(E514)+D514*LN(F514)))</f>
        <v>0.261647460636791</v>
      </c>
    </row>
    <row r="515" customFormat="false" ht="15" hidden="false" customHeight="true" outlineLevel="0" collapsed="false">
      <c r="A515" s="1" t="n">
        <v>511</v>
      </c>
      <c r="B515" s="11" t="n">
        <f aca="false">A515/12</f>
        <v>42.5833333333333</v>
      </c>
      <c r="C515" s="34" t="n">
        <f aca="false">INT(B515)</f>
        <v>42</v>
      </c>
      <c r="D515" s="11" t="n">
        <f aca="false">B515-C515</f>
        <v>0.583333333333336</v>
      </c>
      <c r="E515" s="30" t="n">
        <f aca="false">INDEX(Discount!$C$4:$C$59,C515+1)</f>
        <v>0.265916775843918</v>
      </c>
      <c r="F515" s="30" t="n">
        <f aca="false">IF(C515+2&gt;56,INDEX(Discount!$C$4:$C$59,56),INDEX(Discount!$C$4:$C$59,C515+2))</f>
        <v>0.257446689628427</v>
      </c>
      <c r="G515" s="30" t="n">
        <f aca="false">IF(D515=0,E515,EXP((1-D515)*LN(E515)+D515*LN(F515)))</f>
        <v>0.260942602062124</v>
      </c>
    </row>
    <row r="516" customFormat="false" ht="15" hidden="false" customHeight="true" outlineLevel="0" collapsed="false">
      <c r="A516" s="1" t="n">
        <v>512</v>
      </c>
      <c r="B516" s="11" t="n">
        <f aca="false">A516/12</f>
        <v>42.6666666666667</v>
      </c>
      <c r="C516" s="34" t="n">
        <f aca="false">INT(B516)</f>
        <v>42</v>
      </c>
      <c r="D516" s="11" t="n">
        <f aca="false">B516-C516</f>
        <v>0.666666666666664</v>
      </c>
      <c r="E516" s="30" t="n">
        <f aca="false">INDEX(Discount!$C$4:$C$59,C516+1)</f>
        <v>0.265916775843918</v>
      </c>
      <c r="F516" s="30" t="n">
        <f aca="false">IF(C516+2&gt;56,INDEX(Discount!$C$4:$C$59,56),INDEX(Discount!$C$4:$C$59,C516+2))</f>
        <v>0.257446689628427</v>
      </c>
      <c r="G516" s="30" t="n">
        <f aca="false">IF(D516=0,E516,EXP((1-D516)*LN(E516)+D516*LN(F516)))</f>
        <v>0.260239642323429</v>
      </c>
    </row>
    <row r="517" customFormat="false" ht="15" hidden="false" customHeight="true" outlineLevel="0" collapsed="false">
      <c r="A517" s="1" t="n">
        <v>513</v>
      </c>
      <c r="B517" s="11" t="n">
        <f aca="false">A517/12</f>
        <v>42.75</v>
      </c>
      <c r="C517" s="34" t="n">
        <f aca="false">INT(B517)</f>
        <v>42</v>
      </c>
      <c r="D517" s="11" t="n">
        <f aca="false">B517-C517</f>
        <v>0.75</v>
      </c>
      <c r="E517" s="30" t="n">
        <f aca="false">INDEX(Discount!$C$4:$C$59,C517+1)</f>
        <v>0.265916775843918</v>
      </c>
      <c r="F517" s="30" t="n">
        <f aca="false">IF(C517+2&gt;56,INDEX(Discount!$C$4:$C$59,56),INDEX(Discount!$C$4:$C$59,C517+2))</f>
        <v>0.257446689628427</v>
      </c>
      <c r="G517" s="30" t="n">
        <f aca="false">IF(D517=0,E517,EXP((1-D517)*LN(E517)+D517*LN(F517)))</f>
        <v>0.259538576305384</v>
      </c>
    </row>
    <row r="518" customFormat="false" ht="15" hidden="false" customHeight="true" outlineLevel="0" collapsed="false">
      <c r="A518" s="1" t="n">
        <v>514</v>
      </c>
      <c r="B518" s="11" t="n">
        <f aca="false">A518/12</f>
        <v>42.8333333333333</v>
      </c>
      <c r="C518" s="34" t="n">
        <f aca="false">INT(B518)</f>
        <v>42</v>
      </c>
      <c r="D518" s="11" t="n">
        <f aca="false">B518-C518</f>
        <v>0.833333333333336</v>
      </c>
      <c r="E518" s="30" t="n">
        <f aca="false">INDEX(Discount!$C$4:$C$59,C518+1)</f>
        <v>0.265916775843918</v>
      </c>
      <c r="F518" s="30" t="n">
        <f aca="false">IF(C518+2&gt;56,INDEX(Discount!$C$4:$C$59,56),INDEX(Discount!$C$4:$C$59,C518+2))</f>
        <v>0.257446689628427</v>
      </c>
      <c r="G518" s="30" t="n">
        <f aca="false">IF(D518=0,E518,EXP((1-D518)*LN(E518)+D518*LN(F518)))</f>
        <v>0.25883939890645</v>
      </c>
    </row>
    <row r="519" customFormat="false" ht="15" hidden="false" customHeight="true" outlineLevel="0" collapsed="false">
      <c r="A519" s="1" t="n">
        <v>515</v>
      </c>
      <c r="B519" s="11" t="n">
        <f aca="false">A519/12</f>
        <v>42.9166666666667</v>
      </c>
      <c r="C519" s="34" t="n">
        <f aca="false">INT(B519)</f>
        <v>42</v>
      </c>
      <c r="D519" s="11" t="n">
        <f aca="false">B519-C519</f>
        <v>0.916666666666664</v>
      </c>
      <c r="E519" s="30" t="n">
        <f aca="false">INDEX(Discount!$C$4:$C$59,C519+1)</f>
        <v>0.265916775843918</v>
      </c>
      <c r="F519" s="30" t="n">
        <f aca="false">IF(C519+2&gt;56,INDEX(Discount!$C$4:$C$59,56),INDEX(Discount!$C$4:$C$59,C519+2))</f>
        <v>0.257446689628427</v>
      </c>
      <c r="G519" s="30" t="n">
        <f aca="false">IF(D519=0,E519,EXP((1-D519)*LN(E519)+D519*LN(F519)))</f>
        <v>0.258142105038828</v>
      </c>
    </row>
    <row r="520" customFormat="false" ht="15" hidden="false" customHeight="true" outlineLevel="0" collapsed="false">
      <c r="A520" s="1" t="n">
        <v>516</v>
      </c>
      <c r="B520" s="11" t="n">
        <f aca="false">A520/12</f>
        <v>43</v>
      </c>
      <c r="C520" s="34" t="n">
        <f aca="false">INT(B520)</f>
        <v>43</v>
      </c>
      <c r="D520" s="11" t="n">
        <f aca="false">B520-C520</f>
        <v>0</v>
      </c>
      <c r="E520" s="30" t="n">
        <f aca="false">INDEX(Discount!$C$4:$C$59,C520+1)</f>
        <v>0.257446689628427</v>
      </c>
      <c r="F520" s="30" t="n">
        <f aca="false">IF(C520+2&gt;56,INDEX(Discount!$C$4:$C$59,56),INDEX(Discount!$C$4:$C$59,C520+2))</f>
        <v>0.249343018663642</v>
      </c>
      <c r="G520" s="30" t="n">
        <f aca="false">IF(D520=0,E520,EXP((1-D520)*LN(E520)+D520*LN(F520)))</f>
        <v>0.257446689628427</v>
      </c>
    </row>
    <row r="521" customFormat="false" ht="15" hidden="false" customHeight="true" outlineLevel="0" collapsed="false">
      <c r="A521" s="1" t="n">
        <v>517</v>
      </c>
      <c r="B521" s="11" t="n">
        <f aca="false">A521/12</f>
        <v>43.0833333333333</v>
      </c>
      <c r="C521" s="34" t="n">
        <f aca="false">INT(B521)</f>
        <v>43</v>
      </c>
      <c r="D521" s="11" t="n">
        <f aca="false">B521-C521</f>
        <v>0.0833333333333357</v>
      </c>
      <c r="E521" s="30" t="n">
        <f aca="false">INDEX(Discount!$C$4:$C$59,C521+1)</f>
        <v>0.257446689628427</v>
      </c>
      <c r="F521" s="30" t="n">
        <f aca="false">IF(C521+2&gt;56,INDEX(Discount!$C$4:$C$59,56),INDEX(Discount!$C$4:$C$59,C521+2))</f>
        <v>0.249343018663642</v>
      </c>
      <c r="G521" s="30" t="n">
        <f aca="false">IF(D521=0,E521,EXP((1-D521)*LN(E521)+D521*LN(F521)))</f>
        <v>0.256761440539873</v>
      </c>
    </row>
    <row r="522" customFormat="false" ht="15" hidden="false" customHeight="true" outlineLevel="0" collapsed="false">
      <c r="A522" s="1" t="n">
        <v>518</v>
      </c>
      <c r="B522" s="11" t="n">
        <f aca="false">A522/12</f>
        <v>43.1666666666667</v>
      </c>
      <c r="C522" s="34" t="n">
        <f aca="false">INT(B522)</f>
        <v>43</v>
      </c>
      <c r="D522" s="11" t="n">
        <f aca="false">B522-C522</f>
        <v>0.166666666666664</v>
      </c>
      <c r="E522" s="30" t="n">
        <f aca="false">INDEX(Discount!$C$4:$C$59,C522+1)</f>
        <v>0.257446689628427</v>
      </c>
      <c r="F522" s="30" t="n">
        <f aca="false">IF(C522+2&gt;56,INDEX(Discount!$C$4:$C$59,56),INDEX(Discount!$C$4:$C$59,C522+2))</f>
        <v>0.249343018663642</v>
      </c>
      <c r="G522" s="30" t="n">
        <f aca="false">IF(D522=0,E522,EXP((1-D522)*LN(E522)+D522*LN(F522)))</f>
        <v>0.256078015387429</v>
      </c>
    </row>
    <row r="523" customFormat="false" ht="15" hidden="false" customHeight="true" outlineLevel="0" collapsed="false">
      <c r="A523" s="1" t="n">
        <v>519</v>
      </c>
      <c r="B523" s="11" t="n">
        <f aca="false">A523/12</f>
        <v>43.25</v>
      </c>
      <c r="C523" s="34" t="n">
        <f aca="false">INT(B523)</f>
        <v>43</v>
      </c>
      <c r="D523" s="11" t="n">
        <f aca="false">B523-C523</f>
        <v>0.25</v>
      </c>
      <c r="E523" s="30" t="n">
        <f aca="false">INDEX(Discount!$C$4:$C$59,C523+1)</f>
        <v>0.257446689628427</v>
      </c>
      <c r="F523" s="30" t="n">
        <f aca="false">IF(C523+2&gt;56,INDEX(Discount!$C$4:$C$59,56),INDEX(Discount!$C$4:$C$59,C523+2))</f>
        <v>0.249343018663642</v>
      </c>
      <c r="G523" s="30" t="n">
        <f aca="false">IF(D523=0,E523,EXP((1-D523)*LN(E523)+D523*LN(F523)))</f>
        <v>0.2553964093163</v>
      </c>
    </row>
    <row r="524" customFormat="false" ht="15" hidden="false" customHeight="true" outlineLevel="0" collapsed="false">
      <c r="A524" s="1" t="n">
        <v>520</v>
      </c>
      <c r="B524" s="11" t="n">
        <f aca="false">A524/12</f>
        <v>43.3333333333333</v>
      </c>
      <c r="C524" s="34" t="n">
        <f aca="false">INT(B524)</f>
        <v>43</v>
      </c>
      <c r="D524" s="11" t="n">
        <f aca="false">B524-C524</f>
        <v>0.333333333333336</v>
      </c>
      <c r="E524" s="30" t="n">
        <f aca="false">INDEX(Discount!$C$4:$C$59,C524+1)</f>
        <v>0.257446689628427</v>
      </c>
      <c r="F524" s="30" t="n">
        <f aca="false">IF(C524+2&gt;56,INDEX(Discount!$C$4:$C$59,56),INDEX(Discount!$C$4:$C$59,C524+2))</f>
        <v>0.249343018663642</v>
      </c>
      <c r="G524" s="30" t="n">
        <f aca="false">IF(D524=0,E524,EXP((1-D524)*LN(E524)+D524*LN(F524)))</f>
        <v>0.254716617484614</v>
      </c>
    </row>
    <row r="525" customFormat="false" ht="15" hidden="false" customHeight="true" outlineLevel="0" collapsed="false">
      <c r="A525" s="1" t="n">
        <v>521</v>
      </c>
      <c r="B525" s="11" t="n">
        <f aca="false">A525/12</f>
        <v>43.4166666666667</v>
      </c>
      <c r="C525" s="34" t="n">
        <f aca="false">INT(B525)</f>
        <v>43</v>
      </c>
      <c r="D525" s="11" t="n">
        <f aca="false">B525-C525</f>
        <v>0.416666666666664</v>
      </c>
      <c r="E525" s="30" t="n">
        <f aca="false">INDEX(Discount!$C$4:$C$59,C525+1)</f>
        <v>0.257446689628427</v>
      </c>
      <c r="F525" s="30" t="n">
        <f aca="false">IF(C525+2&gt;56,INDEX(Discount!$C$4:$C$59,56),INDEX(Discount!$C$4:$C$59,C525+2))</f>
        <v>0.249343018663642</v>
      </c>
      <c r="G525" s="30" t="n">
        <f aca="false">IF(D525=0,E525,EXP((1-D525)*LN(E525)+D525*LN(F525)))</f>
        <v>0.254038635063389</v>
      </c>
    </row>
    <row r="526" customFormat="false" ht="15" hidden="false" customHeight="true" outlineLevel="0" collapsed="false">
      <c r="A526" s="1" t="n">
        <v>522</v>
      </c>
      <c r="B526" s="11" t="n">
        <f aca="false">A526/12</f>
        <v>43.5</v>
      </c>
      <c r="C526" s="34" t="n">
        <f aca="false">INT(B526)</f>
        <v>43</v>
      </c>
      <c r="D526" s="11" t="n">
        <f aca="false">B526-C526</f>
        <v>0.5</v>
      </c>
      <c r="E526" s="30" t="n">
        <f aca="false">INDEX(Discount!$C$4:$C$59,C526+1)</f>
        <v>0.257446689628427</v>
      </c>
      <c r="F526" s="30" t="n">
        <f aca="false">IF(C526+2&gt;56,INDEX(Discount!$C$4:$C$59,56),INDEX(Discount!$C$4:$C$59,C526+2))</f>
        <v>0.249343018663642</v>
      </c>
      <c r="G526" s="30" t="n">
        <f aca="false">IF(D526=0,E526,EXP((1-D526)*LN(E526)+D526*LN(F526)))</f>
        <v>0.253362457236493</v>
      </c>
    </row>
    <row r="527" customFormat="false" ht="15" hidden="false" customHeight="true" outlineLevel="0" collapsed="false">
      <c r="A527" s="1" t="n">
        <v>523</v>
      </c>
      <c r="B527" s="11" t="n">
        <f aca="false">A527/12</f>
        <v>43.5833333333333</v>
      </c>
      <c r="C527" s="34" t="n">
        <f aca="false">INT(B527)</f>
        <v>43</v>
      </c>
      <c r="D527" s="11" t="n">
        <f aca="false">B527-C527</f>
        <v>0.583333333333336</v>
      </c>
      <c r="E527" s="30" t="n">
        <f aca="false">INDEX(Discount!$C$4:$C$59,C527+1)</f>
        <v>0.257446689628427</v>
      </c>
      <c r="F527" s="30" t="n">
        <f aca="false">IF(C527+2&gt;56,INDEX(Discount!$C$4:$C$59,56),INDEX(Discount!$C$4:$C$59,C527+2))</f>
        <v>0.249343018663642</v>
      </c>
      <c r="G527" s="30" t="n">
        <f aca="false">IF(D527=0,E527,EXP((1-D527)*LN(E527)+D527*LN(F527)))</f>
        <v>0.252688079200615</v>
      </c>
    </row>
    <row r="528" customFormat="false" ht="15" hidden="false" customHeight="true" outlineLevel="0" collapsed="false">
      <c r="A528" s="1" t="n">
        <v>524</v>
      </c>
      <c r="B528" s="11" t="n">
        <f aca="false">A528/12</f>
        <v>43.6666666666667</v>
      </c>
      <c r="C528" s="34" t="n">
        <f aca="false">INT(B528)</f>
        <v>43</v>
      </c>
      <c r="D528" s="11" t="n">
        <f aca="false">B528-C528</f>
        <v>0.666666666666664</v>
      </c>
      <c r="E528" s="30" t="n">
        <f aca="false">INDEX(Discount!$C$4:$C$59,C528+1)</f>
        <v>0.257446689628427</v>
      </c>
      <c r="F528" s="30" t="n">
        <f aca="false">IF(C528+2&gt;56,INDEX(Discount!$C$4:$C$59,56),INDEX(Discount!$C$4:$C$59,C528+2))</f>
        <v>0.249343018663642</v>
      </c>
      <c r="G528" s="30" t="n">
        <f aca="false">IF(D528=0,E528,EXP((1-D528)*LN(E528)+D528*LN(F528)))</f>
        <v>0.252015496165228</v>
      </c>
    </row>
    <row r="529" customFormat="false" ht="15" hidden="false" customHeight="true" outlineLevel="0" collapsed="false">
      <c r="A529" s="1" t="n">
        <v>525</v>
      </c>
      <c r="B529" s="11" t="n">
        <f aca="false">A529/12</f>
        <v>43.75</v>
      </c>
      <c r="C529" s="34" t="n">
        <f aca="false">INT(B529)</f>
        <v>43</v>
      </c>
      <c r="D529" s="11" t="n">
        <f aca="false">B529-C529</f>
        <v>0.75</v>
      </c>
      <c r="E529" s="30" t="n">
        <f aca="false">INDEX(Discount!$C$4:$C$59,C529+1)</f>
        <v>0.257446689628427</v>
      </c>
      <c r="F529" s="30" t="n">
        <f aca="false">IF(C529+2&gt;56,INDEX(Discount!$C$4:$C$59,56),INDEX(Discount!$C$4:$C$59,C529+2))</f>
        <v>0.249343018663642</v>
      </c>
      <c r="G529" s="30" t="n">
        <f aca="false">IF(D529=0,E529,EXP((1-D529)*LN(E529)+D529*LN(F529)))</f>
        <v>0.251344703352558</v>
      </c>
    </row>
    <row r="530" customFormat="false" ht="15" hidden="false" customHeight="true" outlineLevel="0" collapsed="false">
      <c r="A530" s="1" t="n">
        <v>526</v>
      </c>
      <c r="B530" s="11" t="n">
        <f aca="false">A530/12</f>
        <v>43.8333333333333</v>
      </c>
      <c r="C530" s="34" t="n">
        <f aca="false">INT(B530)</f>
        <v>43</v>
      </c>
      <c r="D530" s="11" t="n">
        <f aca="false">B530-C530</f>
        <v>0.833333333333336</v>
      </c>
      <c r="E530" s="30" t="n">
        <f aca="false">INDEX(Discount!$C$4:$C$59,C530+1)</f>
        <v>0.257446689628427</v>
      </c>
      <c r="F530" s="30" t="n">
        <f aca="false">IF(C530+2&gt;56,INDEX(Discount!$C$4:$C$59,56),INDEX(Discount!$C$4:$C$59,C530+2))</f>
        <v>0.249343018663642</v>
      </c>
      <c r="G530" s="30" t="n">
        <f aca="false">IF(D530=0,E530,EXP((1-D530)*LN(E530)+D530*LN(F530)))</f>
        <v>0.250675695997545</v>
      </c>
    </row>
    <row r="531" customFormat="false" ht="15" hidden="false" customHeight="true" outlineLevel="0" collapsed="false">
      <c r="A531" s="1" t="n">
        <v>527</v>
      </c>
      <c r="B531" s="11" t="n">
        <f aca="false">A531/12</f>
        <v>43.9166666666667</v>
      </c>
      <c r="C531" s="34" t="n">
        <f aca="false">INT(B531)</f>
        <v>43</v>
      </c>
      <c r="D531" s="11" t="n">
        <f aca="false">B531-C531</f>
        <v>0.916666666666664</v>
      </c>
      <c r="E531" s="30" t="n">
        <f aca="false">INDEX(Discount!$C$4:$C$59,C531+1)</f>
        <v>0.257446689628427</v>
      </c>
      <c r="F531" s="30" t="n">
        <f aca="false">IF(C531+2&gt;56,INDEX(Discount!$C$4:$C$59,56),INDEX(Discount!$C$4:$C$59,C531+2))</f>
        <v>0.249343018663642</v>
      </c>
      <c r="G531" s="30" t="n">
        <f aca="false">IF(D531=0,E531,EXP((1-D531)*LN(E531)+D531*LN(F531)))</f>
        <v>0.250008469347815</v>
      </c>
    </row>
    <row r="532" customFormat="false" ht="15" hidden="false" customHeight="true" outlineLevel="0" collapsed="false">
      <c r="A532" s="1" t="n">
        <v>528</v>
      </c>
      <c r="B532" s="11" t="n">
        <f aca="false">A532/12</f>
        <v>44</v>
      </c>
      <c r="C532" s="34" t="n">
        <f aca="false">INT(B532)</f>
        <v>44</v>
      </c>
      <c r="D532" s="11" t="n">
        <f aca="false">B532-C532</f>
        <v>0</v>
      </c>
      <c r="E532" s="30" t="n">
        <f aca="false">INDEX(Discount!$C$4:$C$59,C532+1)</f>
        <v>0.249343018663642</v>
      </c>
      <c r="F532" s="30" t="n">
        <f aca="false">IF(C532+2&gt;56,INDEX(Discount!$C$4:$C$59,56),INDEX(Discount!$C$4:$C$59,C532+2))</f>
        <v>0.241384479723436</v>
      </c>
      <c r="G532" s="30" t="n">
        <f aca="false">IF(D532=0,E532,EXP((1-D532)*LN(E532)+D532*LN(F532)))</f>
        <v>0.249343018663642</v>
      </c>
    </row>
    <row r="533" customFormat="false" ht="15" hidden="false" customHeight="true" outlineLevel="0" collapsed="false">
      <c r="A533" s="1" t="n">
        <v>529</v>
      </c>
      <c r="B533" s="11" t="n">
        <f aca="false">A533/12</f>
        <v>44.0833333333333</v>
      </c>
      <c r="C533" s="34" t="n">
        <f aca="false">INT(B533)</f>
        <v>44</v>
      </c>
      <c r="D533" s="11" t="n">
        <f aca="false">B533-C533</f>
        <v>0.0833333333333357</v>
      </c>
      <c r="E533" s="30" t="n">
        <f aca="false">INDEX(Discount!$C$4:$C$59,C533+1)</f>
        <v>0.249343018663642</v>
      </c>
      <c r="F533" s="30" t="n">
        <f aca="false">IF(C533+2&gt;56,INDEX(Discount!$C$4:$C$59,56),INDEX(Discount!$C$4:$C$59,C533+2))</f>
        <v>0.241384479723436</v>
      </c>
      <c r="G533" s="30" t="n">
        <f aca="false">IF(D533=0,E533,EXP((1-D533)*LN(E533)+D533*LN(F533)))</f>
        <v>0.248669902326911</v>
      </c>
    </row>
    <row r="534" customFormat="false" ht="15" hidden="false" customHeight="true" outlineLevel="0" collapsed="false">
      <c r="A534" s="1" t="n">
        <v>530</v>
      </c>
      <c r="B534" s="11" t="n">
        <f aca="false">A534/12</f>
        <v>44.1666666666667</v>
      </c>
      <c r="C534" s="34" t="n">
        <f aca="false">INT(B534)</f>
        <v>44</v>
      </c>
      <c r="D534" s="11" t="n">
        <f aca="false">B534-C534</f>
        <v>0.166666666666664</v>
      </c>
      <c r="E534" s="30" t="n">
        <f aca="false">INDEX(Discount!$C$4:$C$59,C534+1)</f>
        <v>0.249343018663642</v>
      </c>
      <c r="F534" s="30" t="n">
        <f aca="false">IF(C534+2&gt;56,INDEX(Discount!$C$4:$C$59,56),INDEX(Discount!$C$4:$C$59,C534+2))</f>
        <v>0.241384479723436</v>
      </c>
      <c r="G534" s="30" t="n">
        <f aca="false">IF(D534=0,E534,EXP((1-D534)*LN(E534)+D534*LN(F534)))</f>
        <v>0.24799860310784</v>
      </c>
    </row>
    <row r="535" customFormat="false" ht="15" hidden="false" customHeight="true" outlineLevel="0" collapsed="false">
      <c r="A535" s="1" t="n">
        <v>531</v>
      </c>
      <c r="B535" s="11" t="n">
        <f aca="false">A535/12</f>
        <v>44.25</v>
      </c>
      <c r="C535" s="34" t="n">
        <f aca="false">INT(B535)</f>
        <v>44</v>
      </c>
      <c r="D535" s="11" t="n">
        <f aca="false">B535-C535</f>
        <v>0.25</v>
      </c>
      <c r="E535" s="30" t="n">
        <f aca="false">INDEX(Discount!$C$4:$C$59,C535+1)</f>
        <v>0.249343018663642</v>
      </c>
      <c r="F535" s="30" t="n">
        <f aca="false">IF(C535+2&gt;56,INDEX(Discount!$C$4:$C$59,56),INDEX(Discount!$C$4:$C$59,C535+2))</f>
        <v>0.241384479723436</v>
      </c>
      <c r="G535" s="30" t="n">
        <f aca="false">IF(D535=0,E535,EXP((1-D535)*LN(E535)+D535*LN(F535)))</f>
        <v>0.247329116101012</v>
      </c>
    </row>
    <row r="536" customFormat="false" ht="15" hidden="false" customHeight="true" outlineLevel="0" collapsed="false">
      <c r="A536" s="1" t="n">
        <v>532</v>
      </c>
      <c r="B536" s="11" t="n">
        <f aca="false">A536/12</f>
        <v>44.3333333333333</v>
      </c>
      <c r="C536" s="34" t="n">
        <f aca="false">INT(B536)</f>
        <v>44</v>
      </c>
      <c r="D536" s="11" t="n">
        <f aca="false">B536-C536</f>
        <v>0.333333333333336</v>
      </c>
      <c r="E536" s="30" t="n">
        <f aca="false">INDEX(Discount!$C$4:$C$59,C536+1)</f>
        <v>0.249343018663642</v>
      </c>
      <c r="F536" s="30" t="n">
        <f aca="false">IF(C536+2&gt;56,INDEX(Discount!$C$4:$C$59,56),INDEX(Discount!$C$4:$C$59,C536+2))</f>
        <v>0.241384479723436</v>
      </c>
      <c r="G536" s="30" t="n">
        <f aca="false">IF(D536=0,E536,EXP((1-D536)*LN(E536)+D536*LN(F536)))</f>
        <v>0.246661436414253</v>
      </c>
    </row>
    <row r="537" customFormat="false" ht="15" hidden="false" customHeight="true" outlineLevel="0" collapsed="false">
      <c r="A537" s="1" t="n">
        <v>533</v>
      </c>
      <c r="B537" s="11" t="n">
        <f aca="false">A537/12</f>
        <v>44.4166666666667</v>
      </c>
      <c r="C537" s="34" t="n">
        <f aca="false">INT(B537)</f>
        <v>44</v>
      </c>
      <c r="D537" s="11" t="n">
        <f aca="false">B537-C537</f>
        <v>0.416666666666664</v>
      </c>
      <c r="E537" s="30" t="n">
        <f aca="false">INDEX(Discount!$C$4:$C$59,C537+1)</f>
        <v>0.249343018663642</v>
      </c>
      <c r="F537" s="30" t="n">
        <f aca="false">IF(C537+2&gt;56,INDEX(Discount!$C$4:$C$59,56),INDEX(Discount!$C$4:$C$59,C537+2))</f>
        <v>0.241384479723436</v>
      </c>
      <c r="G537" s="30" t="n">
        <f aca="false">IF(D537=0,E537,EXP((1-D537)*LN(E537)+D537*LN(F537)))</f>
        <v>0.245995559168594</v>
      </c>
    </row>
    <row r="538" customFormat="false" ht="15" hidden="false" customHeight="true" outlineLevel="0" collapsed="false">
      <c r="A538" s="1" t="n">
        <v>534</v>
      </c>
      <c r="B538" s="11" t="n">
        <f aca="false">A538/12</f>
        <v>44.5</v>
      </c>
      <c r="C538" s="34" t="n">
        <f aca="false">INT(B538)</f>
        <v>44</v>
      </c>
      <c r="D538" s="11" t="n">
        <f aca="false">B538-C538</f>
        <v>0.5</v>
      </c>
      <c r="E538" s="30" t="n">
        <f aca="false">INDEX(Discount!$C$4:$C$59,C538+1)</f>
        <v>0.249343018663642</v>
      </c>
      <c r="F538" s="30" t="n">
        <f aca="false">IF(C538+2&gt;56,INDEX(Discount!$C$4:$C$59,56),INDEX(Discount!$C$4:$C$59,C538+2))</f>
        <v>0.241384479723436</v>
      </c>
      <c r="G538" s="30" t="n">
        <f aca="false">IF(D538=0,E538,EXP((1-D538)*LN(E538)+D538*LN(F538)))</f>
        <v>0.245331479498238</v>
      </c>
    </row>
    <row r="539" customFormat="false" ht="15" hidden="false" customHeight="true" outlineLevel="0" collapsed="false">
      <c r="A539" s="1" t="n">
        <v>535</v>
      </c>
      <c r="B539" s="11" t="n">
        <f aca="false">A539/12</f>
        <v>44.5833333333333</v>
      </c>
      <c r="C539" s="34" t="n">
        <f aca="false">INT(B539)</f>
        <v>44</v>
      </c>
      <c r="D539" s="11" t="n">
        <f aca="false">B539-C539</f>
        <v>0.583333333333336</v>
      </c>
      <c r="E539" s="30" t="n">
        <f aca="false">INDEX(Discount!$C$4:$C$59,C539+1)</f>
        <v>0.249343018663642</v>
      </c>
      <c r="F539" s="30" t="n">
        <f aca="false">IF(C539+2&gt;56,INDEX(Discount!$C$4:$C$59,56),INDEX(Discount!$C$4:$C$59,C539+2))</f>
        <v>0.241384479723436</v>
      </c>
      <c r="G539" s="30" t="n">
        <f aca="false">IF(D539=0,E539,EXP((1-D539)*LN(E539)+D539*LN(F539)))</f>
        <v>0.244669192550523</v>
      </c>
    </row>
    <row r="540" customFormat="false" ht="15" hidden="false" customHeight="true" outlineLevel="0" collapsed="false">
      <c r="A540" s="1" t="n">
        <v>536</v>
      </c>
      <c r="B540" s="11" t="n">
        <f aca="false">A540/12</f>
        <v>44.6666666666667</v>
      </c>
      <c r="C540" s="34" t="n">
        <f aca="false">INT(B540)</f>
        <v>44</v>
      </c>
      <c r="D540" s="11" t="n">
        <f aca="false">B540-C540</f>
        <v>0.666666666666664</v>
      </c>
      <c r="E540" s="30" t="n">
        <f aca="false">INDEX(Discount!$C$4:$C$59,C540+1)</f>
        <v>0.249343018663642</v>
      </c>
      <c r="F540" s="30" t="n">
        <f aca="false">IF(C540+2&gt;56,INDEX(Discount!$C$4:$C$59,56),INDEX(Discount!$C$4:$C$59,C540+2))</f>
        <v>0.241384479723436</v>
      </c>
      <c r="G540" s="30" t="n">
        <f aca="false">IF(D540=0,E540,EXP((1-D540)*LN(E540)+D540*LN(F540)))</f>
        <v>0.244008693485888</v>
      </c>
    </row>
    <row r="541" customFormat="false" ht="15" hidden="false" customHeight="true" outlineLevel="0" collapsed="false">
      <c r="A541" s="1" t="n">
        <v>537</v>
      </c>
      <c r="B541" s="11" t="n">
        <f aca="false">A541/12</f>
        <v>44.75</v>
      </c>
      <c r="C541" s="34" t="n">
        <f aca="false">INT(B541)</f>
        <v>44</v>
      </c>
      <c r="D541" s="11" t="n">
        <f aca="false">B541-C541</f>
        <v>0.75</v>
      </c>
      <c r="E541" s="30" t="n">
        <f aca="false">INDEX(Discount!$C$4:$C$59,C541+1)</f>
        <v>0.249343018663642</v>
      </c>
      <c r="F541" s="30" t="n">
        <f aca="false">IF(C541+2&gt;56,INDEX(Discount!$C$4:$C$59,56),INDEX(Discount!$C$4:$C$59,C541+2))</f>
        <v>0.241384479723436</v>
      </c>
      <c r="G541" s="30" t="n">
        <f aca="false">IF(D541=0,E541,EXP((1-D541)*LN(E541)+D541*LN(F541)))</f>
        <v>0.243349977477835</v>
      </c>
    </row>
    <row r="542" customFormat="false" ht="15" hidden="false" customHeight="true" outlineLevel="0" collapsed="false">
      <c r="A542" s="1" t="n">
        <v>538</v>
      </c>
      <c r="B542" s="11" t="n">
        <f aca="false">A542/12</f>
        <v>44.8333333333333</v>
      </c>
      <c r="C542" s="34" t="n">
        <f aca="false">INT(B542)</f>
        <v>44</v>
      </c>
      <c r="D542" s="11" t="n">
        <f aca="false">B542-C542</f>
        <v>0.833333333333336</v>
      </c>
      <c r="E542" s="30" t="n">
        <f aca="false">INDEX(Discount!$C$4:$C$59,C542+1)</f>
        <v>0.249343018663642</v>
      </c>
      <c r="F542" s="30" t="n">
        <f aca="false">IF(C542+2&gt;56,INDEX(Discount!$C$4:$C$59,56),INDEX(Discount!$C$4:$C$59,C542+2))</f>
        <v>0.241384479723436</v>
      </c>
      <c r="G542" s="30" t="n">
        <f aca="false">IF(D542=0,E542,EXP((1-D542)*LN(E542)+D542*LN(F542)))</f>
        <v>0.242693039712898</v>
      </c>
    </row>
    <row r="543" customFormat="false" ht="15" hidden="false" customHeight="true" outlineLevel="0" collapsed="false">
      <c r="A543" s="1" t="n">
        <v>539</v>
      </c>
      <c r="B543" s="11" t="n">
        <f aca="false">A543/12</f>
        <v>44.9166666666667</v>
      </c>
      <c r="C543" s="34" t="n">
        <f aca="false">INT(B543)</f>
        <v>44</v>
      </c>
      <c r="D543" s="11" t="n">
        <f aca="false">B543-C543</f>
        <v>0.916666666666664</v>
      </c>
      <c r="E543" s="30" t="n">
        <f aca="false">INDEX(Discount!$C$4:$C$59,C543+1)</f>
        <v>0.249343018663642</v>
      </c>
      <c r="F543" s="30" t="n">
        <f aca="false">IF(C543+2&gt;56,INDEX(Discount!$C$4:$C$59,56),INDEX(Discount!$C$4:$C$59,C543+2))</f>
        <v>0.241384479723436</v>
      </c>
      <c r="G543" s="30" t="n">
        <f aca="false">IF(D543=0,E543,EXP((1-D543)*LN(E543)+D543*LN(F543)))</f>
        <v>0.242037875390603</v>
      </c>
    </row>
    <row r="544" customFormat="false" ht="15" hidden="false" customHeight="true" outlineLevel="0" collapsed="false">
      <c r="A544" s="1" t="n">
        <v>540</v>
      </c>
      <c r="B544" s="11" t="n">
        <f aca="false">A544/12</f>
        <v>45</v>
      </c>
      <c r="C544" s="34" t="n">
        <f aca="false">INT(B544)</f>
        <v>45</v>
      </c>
      <c r="D544" s="11" t="n">
        <f aca="false">B544-C544</f>
        <v>0</v>
      </c>
      <c r="E544" s="30" t="n">
        <f aca="false">INDEX(Discount!$C$4:$C$59,C544+1)</f>
        <v>0.241384479723436</v>
      </c>
      <c r="F544" s="30" t="n">
        <f aca="false">IF(C544+2&gt;56,INDEX(Discount!$C$4:$C$59,56),INDEX(Discount!$C$4:$C$59,C544+2))</f>
        <v>0.23377507750393</v>
      </c>
      <c r="G544" s="30" t="n">
        <f aca="false">IF(D544=0,E544,EXP((1-D544)*LN(E544)+D544*LN(F544)))</f>
        <v>0.241384479723436</v>
      </c>
    </row>
    <row r="545" customFormat="false" ht="15" hidden="false" customHeight="true" outlineLevel="0" collapsed="false">
      <c r="A545" s="1" t="n">
        <v>541</v>
      </c>
      <c r="B545" s="11" t="n">
        <f aca="false">A545/12</f>
        <v>45.0833333333333</v>
      </c>
      <c r="C545" s="34" t="n">
        <f aca="false">INT(B545)</f>
        <v>45</v>
      </c>
      <c r="D545" s="11" t="n">
        <f aca="false">B545-C545</f>
        <v>0.0833333333333357</v>
      </c>
      <c r="E545" s="30" t="n">
        <f aca="false">INDEX(Discount!$C$4:$C$59,C545+1)</f>
        <v>0.241384479723436</v>
      </c>
      <c r="F545" s="30" t="n">
        <f aca="false">IF(C545+2&gt;56,INDEX(Discount!$C$4:$C$59,56),INDEX(Discount!$C$4:$C$59,C545+2))</f>
        <v>0.23377507750393</v>
      </c>
      <c r="G545" s="30" t="n">
        <f aca="false">IF(D545=0,E545,EXP((1-D545)*LN(E545)+D545*LN(F545)))</f>
        <v>0.24074101196156</v>
      </c>
    </row>
    <row r="546" customFormat="false" ht="15" hidden="false" customHeight="true" outlineLevel="0" collapsed="false">
      <c r="A546" s="1" t="n">
        <v>542</v>
      </c>
      <c r="B546" s="11" t="n">
        <f aca="false">A546/12</f>
        <v>45.1666666666667</v>
      </c>
      <c r="C546" s="34" t="n">
        <f aca="false">INT(B546)</f>
        <v>45</v>
      </c>
      <c r="D546" s="11" t="n">
        <f aca="false">B546-C546</f>
        <v>0.166666666666664</v>
      </c>
      <c r="E546" s="30" t="n">
        <f aca="false">INDEX(Discount!$C$4:$C$59,C546+1)</f>
        <v>0.241384479723436</v>
      </c>
      <c r="F546" s="30" t="n">
        <f aca="false">IF(C546+2&gt;56,INDEX(Discount!$C$4:$C$59,56),INDEX(Discount!$C$4:$C$59,C546+2))</f>
        <v>0.23377507750393</v>
      </c>
      <c r="G546" s="30" t="n">
        <f aca="false">IF(D546=0,E546,EXP((1-D546)*LN(E546)+D546*LN(F546)))</f>
        <v>0.240099259516099</v>
      </c>
    </row>
    <row r="547" customFormat="false" ht="15" hidden="false" customHeight="true" outlineLevel="0" collapsed="false">
      <c r="A547" s="1" t="n">
        <v>543</v>
      </c>
      <c r="B547" s="11" t="n">
        <f aca="false">A547/12</f>
        <v>45.25</v>
      </c>
      <c r="C547" s="34" t="n">
        <f aca="false">INT(B547)</f>
        <v>45</v>
      </c>
      <c r="D547" s="11" t="n">
        <f aca="false">B547-C547</f>
        <v>0.25</v>
      </c>
      <c r="E547" s="30" t="n">
        <f aca="false">INDEX(Discount!$C$4:$C$59,C547+1)</f>
        <v>0.241384479723436</v>
      </c>
      <c r="F547" s="30" t="n">
        <f aca="false">IF(C547+2&gt;56,INDEX(Discount!$C$4:$C$59,56),INDEX(Discount!$C$4:$C$59,C547+2))</f>
        <v>0.23377507750393</v>
      </c>
      <c r="G547" s="30" t="n">
        <f aca="false">IF(D547=0,E547,EXP((1-D547)*LN(E547)+D547*LN(F547)))</f>
        <v>0.239459217814471</v>
      </c>
    </row>
    <row r="548" customFormat="false" ht="15" hidden="false" customHeight="true" outlineLevel="0" collapsed="false">
      <c r="A548" s="1" t="n">
        <v>544</v>
      </c>
      <c r="B548" s="11" t="n">
        <f aca="false">A548/12</f>
        <v>45.3333333333333</v>
      </c>
      <c r="C548" s="34" t="n">
        <f aca="false">INT(B548)</f>
        <v>45</v>
      </c>
      <c r="D548" s="11" t="n">
        <f aca="false">B548-C548</f>
        <v>0.333333333333336</v>
      </c>
      <c r="E548" s="30" t="n">
        <f aca="false">INDEX(Discount!$C$4:$C$59,C548+1)</f>
        <v>0.241384479723436</v>
      </c>
      <c r="F548" s="30" t="n">
        <f aca="false">IF(C548+2&gt;56,INDEX(Discount!$C$4:$C$59,56),INDEX(Discount!$C$4:$C$59,C548+2))</f>
        <v>0.23377507750393</v>
      </c>
      <c r="G548" s="30" t="n">
        <f aca="false">IF(D548=0,E548,EXP((1-D548)*LN(E548)+D548*LN(F548)))</f>
        <v>0.238820882296279</v>
      </c>
    </row>
    <row r="549" customFormat="false" ht="15" hidden="false" customHeight="true" outlineLevel="0" collapsed="false">
      <c r="A549" s="1" t="n">
        <v>545</v>
      </c>
      <c r="B549" s="11" t="n">
        <f aca="false">A549/12</f>
        <v>45.4166666666667</v>
      </c>
      <c r="C549" s="34" t="n">
        <f aca="false">INT(B549)</f>
        <v>45</v>
      </c>
      <c r="D549" s="11" t="n">
        <f aca="false">B549-C549</f>
        <v>0.416666666666664</v>
      </c>
      <c r="E549" s="30" t="n">
        <f aca="false">INDEX(Discount!$C$4:$C$59,C549+1)</f>
        <v>0.241384479723436</v>
      </c>
      <c r="F549" s="30" t="n">
        <f aca="false">IF(C549+2&gt;56,INDEX(Discount!$C$4:$C$59,56),INDEX(Discount!$C$4:$C$59,C549+2))</f>
        <v>0.23377507750393</v>
      </c>
      <c r="G549" s="30" t="n">
        <f aca="false">IF(D549=0,E549,EXP((1-D549)*LN(E549)+D549*LN(F549)))</f>
        <v>0.238184248413286</v>
      </c>
    </row>
    <row r="550" customFormat="false" ht="15" hidden="false" customHeight="true" outlineLevel="0" collapsed="false">
      <c r="A550" s="1" t="n">
        <v>546</v>
      </c>
      <c r="B550" s="11" t="n">
        <f aca="false">A550/12</f>
        <v>45.5</v>
      </c>
      <c r="C550" s="34" t="n">
        <f aca="false">INT(B550)</f>
        <v>45</v>
      </c>
      <c r="D550" s="11" t="n">
        <f aca="false">B550-C550</f>
        <v>0.5</v>
      </c>
      <c r="E550" s="30" t="n">
        <f aca="false">INDEX(Discount!$C$4:$C$59,C550+1)</f>
        <v>0.241384479723436</v>
      </c>
      <c r="F550" s="30" t="n">
        <f aca="false">IF(C550+2&gt;56,INDEX(Discount!$C$4:$C$59,56),INDEX(Discount!$C$4:$C$59,C550+2))</f>
        <v>0.23377507750393</v>
      </c>
      <c r="G550" s="30" t="n">
        <f aca="false">IF(D550=0,E550,EXP((1-D550)*LN(E550)+D550*LN(F550)))</f>
        <v>0.237549311629379</v>
      </c>
    </row>
    <row r="551" customFormat="false" ht="15" hidden="false" customHeight="true" outlineLevel="0" collapsed="false">
      <c r="A551" s="1" t="n">
        <v>547</v>
      </c>
      <c r="B551" s="11" t="n">
        <f aca="false">A551/12</f>
        <v>45.5833333333333</v>
      </c>
      <c r="C551" s="34" t="n">
        <f aca="false">INT(B551)</f>
        <v>45</v>
      </c>
      <c r="D551" s="11" t="n">
        <f aca="false">B551-C551</f>
        <v>0.583333333333336</v>
      </c>
      <c r="E551" s="30" t="n">
        <f aca="false">INDEX(Discount!$C$4:$C$59,C551+1)</f>
        <v>0.241384479723436</v>
      </c>
      <c r="F551" s="30" t="n">
        <f aca="false">IF(C551+2&gt;56,INDEX(Discount!$C$4:$C$59,56),INDEX(Discount!$C$4:$C$59,C551+2))</f>
        <v>0.23377507750393</v>
      </c>
      <c r="G551" s="30" t="n">
        <f aca="false">IF(D551=0,E551,EXP((1-D551)*LN(E551)+D551*LN(F551)))</f>
        <v>0.236916067420537</v>
      </c>
    </row>
    <row r="552" customFormat="false" ht="15" hidden="false" customHeight="true" outlineLevel="0" collapsed="false">
      <c r="A552" s="1" t="n">
        <v>548</v>
      </c>
      <c r="B552" s="11" t="n">
        <f aca="false">A552/12</f>
        <v>45.6666666666667</v>
      </c>
      <c r="C552" s="34" t="n">
        <f aca="false">INT(B552)</f>
        <v>45</v>
      </c>
      <c r="D552" s="11" t="n">
        <f aca="false">B552-C552</f>
        <v>0.666666666666664</v>
      </c>
      <c r="E552" s="30" t="n">
        <f aca="false">INDEX(Discount!$C$4:$C$59,C552+1)</f>
        <v>0.241384479723436</v>
      </c>
      <c r="F552" s="30" t="n">
        <f aca="false">IF(C552+2&gt;56,INDEX(Discount!$C$4:$C$59,56),INDEX(Discount!$C$4:$C$59,C552+2))</f>
        <v>0.23377507750393</v>
      </c>
      <c r="G552" s="30" t="n">
        <f aca="false">IF(D552=0,E552,EXP((1-D552)*LN(E552)+D552*LN(F552)))</f>
        <v>0.236284511274797</v>
      </c>
    </row>
    <row r="553" customFormat="false" ht="15" hidden="false" customHeight="true" outlineLevel="0" collapsed="false">
      <c r="A553" s="1" t="n">
        <v>549</v>
      </c>
      <c r="B553" s="11" t="n">
        <f aca="false">A553/12</f>
        <v>45.75</v>
      </c>
      <c r="C553" s="34" t="n">
        <f aca="false">INT(B553)</f>
        <v>45</v>
      </c>
      <c r="D553" s="11" t="n">
        <f aca="false">B553-C553</f>
        <v>0.75</v>
      </c>
      <c r="E553" s="30" t="n">
        <f aca="false">INDEX(Discount!$C$4:$C$59,C553+1)</f>
        <v>0.241384479723436</v>
      </c>
      <c r="F553" s="30" t="n">
        <f aca="false">IF(C553+2&gt;56,INDEX(Discount!$C$4:$C$59,56),INDEX(Discount!$C$4:$C$59,C553+2))</f>
        <v>0.23377507750393</v>
      </c>
      <c r="G553" s="30" t="n">
        <f aca="false">IF(D553=0,E553,EXP((1-D553)*LN(E553)+D553*LN(F553)))</f>
        <v>0.235654638692225</v>
      </c>
    </row>
    <row r="554" customFormat="false" ht="15" hidden="false" customHeight="true" outlineLevel="0" collapsed="false">
      <c r="A554" s="1" t="n">
        <v>550</v>
      </c>
      <c r="B554" s="11" t="n">
        <f aca="false">A554/12</f>
        <v>45.8333333333333</v>
      </c>
      <c r="C554" s="34" t="n">
        <f aca="false">INT(B554)</f>
        <v>45</v>
      </c>
      <c r="D554" s="11" t="n">
        <f aca="false">B554-C554</f>
        <v>0.833333333333336</v>
      </c>
      <c r="E554" s="30" t="n">
        <f aca="false">INDEX(Discount!$C$4:$C$59,C554+1)</f>
        <v>0.241384479723436</v>
      </c>
      <c r="F554" s="30" t="n">
        <f aca="false">IF(C554+2&gt;56,INDEX(Discount!$C$4:$C$59,56),INDEX(Discount!$C$4:$C$59,C554+2))</f>
        <v>0.23377507750393</v>
      </c>
      <c r="G554" s="30" t="n">
        <f aca="false">IF(D554=0,E554,EXP((1-D554)*LN(E554)+D554*LN(F554)))</f>
        <v>0.235026445184885</v>
      </c>
    </row>
    <row r="555" customFormat="false" ht="15" hidden="false" customHeight="true" outlineLevel="0" collapsed="false">
      <c r="A555" s="1" t="n">
        <v>551</v>
      </c>
      <c r="B555" s="11" t="n">
        <f aca="false">A555/12</f>
        <v>45.9166666666667</v>
      </c>
      <c r="C555" s="34" t="n">
        <f aca="false">INT(B555)</f>
        <v>45</v>
      </c>
      <c r="D555" s="11" t="n">
        <f aca="false">B555-C555</f>
        <v>0.916666666666664</v>
      </c>
      <c r="E555" s="30" t="n">
        <f aca="false">INDEX(Discount!$C$4:$C$59,C555+1)</f>
        <v>0.241384479723436</v>
      </c>
      <c r="F555" s="30" t="n">
        <f aca="false">IF(C555+2&gt;56,INDEX(Discount!$C$4:$C$59,56),INDEX(Discount!$C$4:$C$59,C555+2))</f>
        <v>0.23377507750393</v>
      </c>
      <c r="G555" s="30" t="n">
        <f aca="false">IF(D555=0,E555,EXP((1-D555)*LN(E555)+D555*LN(F555)))</f>
        <v>0.2343999262768</v>
      </c>
    </row>
    <row r="556" customFormat="false" ht="15" hidden="false" customHeight="true" outlineLevel="0" collapsed="false">
      <c r="A556" s="1" t="n">
        <v>552</v>
      </c>
      <c r="B556" s="11" t="n">
        <f aca="false">A556/12</f>
        <v>46</v>
      </c>
      <c r="C556" s="34" t="n">
        <f aca="false">INT(B556)</f>
        <v>46</v>
      </c>
      <c r="D556" s="11" t="n">
        <f aca="false">B556-C556</f>
        <v>0</v>
      </c>
      <c r="E556" s="30" t="n">
        <f aca="false">INDEX(Discount!$C$4:$C$59,C556+1)</f>
        <v>0.23377507750393</v>
      </c>
      <c r="F556" s="30" t="n">
        <f aca="false">IF(C556+2&gt;56,INDEX(Discount!$C$4:$C$59,56),INDEX(Discount!$C$4:$C$59,C556+2))</f>
        <v>0.22640116775395</v>
      </c>
      <c r="G556" s="30" t="n">
        <f aca="false">IF(D556=0,E556,EXP((1-D556)*LN(E556)+D556*LN(F556)))</f>
        <v>0.23377507750393</v>
      </c>
    </row>
    <row r="557" customFormat="false" ht="15" hidden="false" customHeight="true" outlineLevel="0" collapsed="false">
      <c r="A557" s="1" t="n">
        <v>553</v>
      </c>
      <c r="B557" s="11" t="n">
        <f aca="false">A557/12</f>
        <v>46.0833333333333</v>
      </c>
      <c r="C557" s="34" t="n">
        <f aca="false">INT(B557)</f>
        <v>46</v>
      </c>
      <c r="D557" s="11" t="n">
        <f aca="false">B557-C557</f>
        <v>0.0833333333333357</v>
      </c>
      <c r="E557" s="30" t="n">
        <f aca="false">INDEX(Discount!$C$4:$C$59,C557+1)</f>
        <v>0.23377507750393</v>
      </c>
      <c r="F557" s="30" t="n">
        <f aca="false">IF(C557+2&gt;56,INDEX(Discount!$C$4:$C$59,56),INDEX(Discount!$C$4:$C$59,C557+2))</f>
        <v>0.22640116775395</v>
      </c>
      <c r="G557" s="30" t="n">
        <f aca="false">IF(D557=0,E557,EXP((1-D557)*LN(E557)+D557*LN(F557)))</f>
        <v>0.23315151799752</v>
      </c>
    </row>
    <row r="558" customFormat="false" ht="15" hidden="false" customHeight="true" outlineLevel="0" collapsed="false">
      <c r="A558" s="1" t="n">
        <v>554</v>
      </c>
      <c r="B558" s="11" t="n">
        <f aca="false">A558/12</f>
        <v>46.1666666666667</v>
      </c>
      <c r="C558" s="34" t="n">
        <f aca="false">INT(B558)</f>
        <v>46</v>
      </c>
      <c r="D558" s="11" t="n">
        <f aca="false">B558-C558</f>
        <v>0.166666666666664</v>
      </c>
      <c r="E558" s="30" t="n">
        <f aca="false">INDEX(Discount!$C$4:$C$59,C558+1)</f>
        <v>0.23377507750393</v>
      </c>
      <c r="F558" s="30" t="n">
        <f aca="false">IF(C558+2&gt;56,INDEX(Discount!$C$4:$C$59,56),INDEX(Discount!$C$4:$C$59,C558+2))</f>
        <v>0.22640116775395</v>
      </c>
      <c r="G558" s="30" t="n">
        <f aca="false">IF(D558=0,E558,EXP((1-D558)*LN(E558)+D558*LN(F558)))</f>
        <v>0.23252962174137</v>
      </c>
    </row>
    <row r="559" customFormat="false" ht="15" hidden="false" customHeight="true" outlineLevel="0" collapsed="false">
      <c r="A559" s="1" t="n">
        <v>555</v>
      </c>
      <c r="B559" s="11" t="n">
        <f aca="false">A559/12</f>
        <v>46.25</v>
      </c>
      <c r="C559" s="34" t="n">
        <f aca="false">INT(B559)</f>
        <v>46</v>
      </c>
      <c r="D559" s="11" t="n">
        <f aca="false">B559-C559</f>
        <v>0.25</v>
      </c>
      <c r="E559" s="30" t="n">
        <f aca="false">INDEX(Discount!$C$4:$C$59,C559+1)</f>
        <v>0.23377507750393</v>
      </c>
      <c r="F559" s="30" t="n">
        <f aca="false">IF(C559+2&gt;56,INDEX(Discount!$C$4:$C$59,56),INDEX(Discount!$C$4:$C$59,C559+2))</f>
        <v>0.22640116775395</v>
      </c>
      <c r="G559" s="30" t="n">
        <f aca="false">IF(D559=0,E559,EXP((1-D559)*LN(E559)+D559*LN(F559)))</f>
        <v>0.23190938429901</v>
      </c>
    </row>
    <row r="560" customFormat="false" ht="15" hidden="false" customHeight="true" outlineLevel="0" collapsed="false">
      <c r="A560" s="1" t="n">
        <v>556</v>
      </c>
      <c r="B560" s="11" t="n">
        <f aca="false">A560/12</f>
        <v>46.3333333333333</v>
      </c>
      <c r="C560" s="34" t="n">
        <f aca="false">INT(B560)</f>
        <v>46</v>
      </c>
      <c r="D560" s="11" t="n">
        <f aca="false">B560-C560</f>
        <v>0.333333333333336</v>
      </c>
      <c r="E560" s="30" t="n">
        <f aca="false">INDEX(Discount!$C$4:$C$59,C560+1)</f>
        <v>0.23377507750393</v>
      </c>
      <c r="F560" s="30" t="n">
        <f aca="false">IF(C560+2&gt;56,INDEX(Discount!$C$4:$C$59,56),INDEX(Discount!$C$4:$C$59,C560+2))</f>
        <v>0.22640116775395</v>
      </c>
      <c r="G560" s="30" t="n">
        <f aca="false">IF(D560=0,E560,EXP((1-D560)*LN(E560)+D560*LN(F560)))</f>
        <v>0.231290801245807</v>
      </c>
    </row>
    <row r="561" customFormat="false" ht="15" hidden="false" customHeight="true" outlineLevel="0" collapsed="false">
      <c r="A561" s="1" t="n">
        <v>557</v>
      </c>
      <c r="B561" s="11" t="n">
        <f aca="false">A561/12</f>
        <v>46.4166666666667</v>
      </c>
      <c r="C561" s="34" t="n">
        <f aca="false">INT(B561)</f>
        <v>46</v>
      </c>
      <c r="D561" s="11" t="n">
        <f aca="false">B561-C561</f>
        <v>0.416666666666664</v>
      </c>
      <c r="E561" s="30" t="n">
        <f aca="false">INDEX(Discount!$C$4:$C$59,C561+1)</f>
        <v>0.23377507750393</v>
      </c>
      <c r="F561" s="30" t="n">
        <f aca="false">IF(C561+2&gt;56,INDEX(Discount!$C$4:$C$59,56),INDEX(Discount!$C$4:$C$59,C561+2))</f>
        <v>0.22640116775395</v>
      </c>
      <c r="G561" s="30" t="n">
        <f aca="false">IF(D561=0,E561,EXP((1-D561)*LN(E561)+D561*LN(F561)))</f>
        <v>0.230673868168929</v>
      </c>
    </row>
    <row r="562" customFormat="false" ht="15" hidden="false" customHeight="true" outlineLevel="0" collapsed="false">
      <c r="A562" s="1" t="n">
        <v>558</v>
      </c>
      <c r="B562" s="11" t="n">
        <f aca="false">A562/12</f>
        <v>46.5</v>
      </c>
      <c r="C562" s="34" t="n">
        <f aca="false">INT(B562)</f>
        <v>46</v>
      </c>
      <c r="D562" s="11" t="n">
        <f aca="false">B562-C562</f>
        <v>0.5</v>
      </c>
      <c r="E562" s="30" t="n">
        <f aca="false">INDEX(Discount!$C$4:$C$59,C562+1)</f>
        <v>0.23377507750393</v>
      </c>
      <c r="F562" s="30" t="n">
        <f aca="false">IF(C562+2&gt;56,INDEX(Discount!$C$4:$C$59,56),INDEX(Discount!$C$4:$C$59,C562+2))</f>
        <v>0.22640116775395</v>
      </c>
      <c r="G562" s="30" t="n">
        <f aca="false">IF(D562=0,E562,EXP((1-D562)*LN(E562)+D562*LN(F562)))</f>
        <v>0.230058580667316</v>
      </c>
    </row>
    <row r="563" customFormat="false" ht="15" hidden="false" customHeight="true" outlineLevel="0" collapsed="false">
      <c r="A563" s="1" t="n">
        <v>559</v>
      </c>
      <c r="B563" s="11" t="n">
        <f aca="false">A563/12</f>
        <v>46.5833333333333</v>
      </c>
      <c r="C563" s="34" t="n">
        <f aca="false">INT(B563)</f>
        <v>46</v>
      </c>
      <c r="D563" s="11" t="n">
        <f aca="false">B563-C563</f>
        <v>0.583333333333336</v>
      </c>
      <c r="E563" s="30" t="n">
        <f aca="false">INDEX(Discount!$C$4:$C$59,C563+1)</f>
        <v>0.23377507750393</v>
      </c>
      <c r="F563" s="30" t="n">
        <f aca="false">IF(C563+2&gt;56,INDEX(Discount!$C$4:$C$59,56),INDEX(Discount!$C$4:$C$59,C563+2))</f>
        <v>0.22640116775395</v>
      </c>
      <c r="G563" s="30" t="n">
        <f aca="false">IF(D563=0,E563,EXP((1-D563)*LN(E563)+D563*LN(F563)))</f>
        <v>0.229444934351644</v>
      </c>
    </row>
    <row r="564" customFormat="false" ht="15" hidden="false" customHeight="true" outlineLevel="0" collapsed="false">
      <c r="A564" s="1" t="n">
        <v>560</v>
      </c>
      <c r="B564" s="11" t="n">
        <f aca="false">A564/12</f>
        <v>46.6666666666667</v>
      </c>
      <c r="C564" s="34" t="n">
        <f aca="false">INT(B564)</f>
        <v>46</v>
      </c>
      <c r="D564" s="11" t="n">
        <f aca="false">B564-C564</f>
        <v>0.666666666666664</v>
      </c>
      <c r="E564" s="30" t="n">
        <f aca="false">INDEX(Discount!$C$4:$C$59,C564+1)</f>
        <v>0.23377507750393</v>
      </c>
      <c r="F564" s="30" t="n">
        <f aca="false">IF(C564+2&gt;56,INDEX(Discount!$C$4:$C$59,56),INDEX(Discount!$C$4:$C$59,C564+2))</f>
        <v>0.22640116775395</v>
      </c>
      <c r="G564" s="30" t="n">
        <f aca="false">IF(D564=0,E564,EXP((1-D564)*LN(E564)+D564*LN(F564)))</f>
        <v>0.228832924844301</v>
      </c>
    </row>
    <row r="565" customFormat="false" ht="15" hidden="false" customHeight="true" outlineLevel="0" collapsed="false">
      <c r="A565" s="1" t="n">
        <v>561</v>
      </c>
      <c r="B565" s="11" t="n">
        <f aca="false">A565/12</f>
        <v>46.75</v>
      </c>
      <c r="C565" s="34" t="n">
        <f aca="false">INT(B565)</f>
        <v>46</v>
      </c>
      <c r="D565" s="11" t="n">
        <f aca="false">B565-C565</f>
        <v>0.75</v>
      </c>
      <c r="E565" s="30" t="n">
        <f aca="false">INDEX(Discount!$C$4:$C$59,C565+1)</f>
        <v>0.23377507750393</v>
      </c>
      <c r="F565" s="30" t="n">
        <f aca="false">IF(C565+2&gt;56,INDEX(Discount!$C$4:$C$59,56),INDEX(Discount!$C$4:$C$59,C565+2))</f>
        <v>0.22640116775395</v>
      </c>
      <c r="G565" s="30" t="n">
        <f aca="false">IF(D565=0,E565,EXP((1-D565)*LN(E565)+D565*LN(F565)))</f>
        <v>0.228222547779348</v>
      </c>
    </row>
    <row r="566" customFormat="false" ht="15" hidden="false" customHeight="true" outlineLevel="0" collapsed="false">
      <c r="A566" s="1" t="n">
        <v>562</v>
      </c>
      <c r="B566" s="11" t="n">
        <f aca="false">A566/12</f>
        <v>46.8333333333333</v>
      </c>
      <c r="C566" s="34" t="n">
        <f aca="false">INT(B566)</f>
        <v>46</v>
      </c>
      <c r="D566" s="11" t="n">
        <f aca="false">B566-C566</f>
        <v>0.833333333333336</v>
      </c>
      <c r="E566" s="30" t="n">
        <f aca="false">INDEX(Discount!$C$4:$C$59,C566+1)</f>
        <v>0.23377507750393</v>
      </c>
      <c r="F566" s="30" t="n">
        <f aca="false">IF(C566+2&gt;56,INDEX(Discount!$C$4:$C$59,56),INDEX(Discount!$C$4:$C$59,C566+2))</f>
        <v>0.22640116775395</v>
      </c>
      <c r="G566" s="30" t="n">
        <f aca="false">IF(D566=0,E566,EXP((1-D566)*LN(E566)+D566*LN(F566)))</f>
        <v>0.227613798802493</v>
      </c>
    </row>
    <row r="567" customFormat="false" ht="15" hidden="false" customHeight="true" outlineLevel="0" collapsed="false">
      <c r="A567" s="1" t="n">
        <v>563</v>
      </c>
      <c r="B567" s="11" t="n">
        <f aca="false">A567/12</f>
        <v>46.9166666666667</v>
      </c>
      <c r="C567" s="34" t="n">
        <f aca="false">INT(B567)</f>
        <v>46</v>
      </c>
      <c r="D567" s="11" t="n">
        <f aca="false">B567-C567</f>
        <v>0.916666666666664</v>
      </c>
      <c r="E567" s="30" t="n">
        <f aca="false">INDEX(Discount!$C$4:$C$59,C567+1)</f>
        <v>0.23377507750393</v>
      </c>
      <c r="F567" s="30" t="n">
        <f aca="false">IF(C567+2&gt;56,INDEX(Discount!$C$4:$C$59,56),INDEX(Discount!$C$4:$C$59,C567+2))</f>
        <v>0.22640116775395</v>
      </c>
      <c r="G567" s="30" t="n">
        <f aca="false">IF(D567=0,E567,EXP((1-D567)*LN(E567)+D567*LN(F567)))</f>
        <v>0.227006673571058</v>
      </c>
    </row>
    <row r="568" customFormat="false" ht="15" hidden="false" customHeight="true" outlineLevel="0" collapsed="false">
      <c r="A568" s="1" t="n">
        <v>564</v>
      </c>
      <c r="B568" s="11" t="n">
        <f aca="false">A568/12</f>
        <v>47</v>
      </c>
      <c r="C568" s="34" t="n">
        <f aca="false">INT(B568)</f>
        <v>47</v>
      </c>
      <c r="D568" s="11" t="n">
        <f aca="false">B568-C568</f>
        <v>0</v>
      </c>
      <c r="E568" s="30" t="n">
        <f aca="false">INDEX(Discount!$C$4:$C$59,C568+1)</f>
        <v>0.22640116775395</v>
      </c>
      <c r="F568" s="30" t="n">
        <f aca="false">IF(C568+2&gt;56,INDEX(Discount!$C$4:$C$59,56),INDEX(Discount!$C$4:$C$59,C568+2))</f>
        <v>0.219153660371196</v>
      </c>
      <c r="G568" s="30" t="n">
        <f aca="false">IF(D568=0,E568,EXP((1-D568)*LN(E568)+D568*LN(F568)))</f>
        <v>0.22640116775395</v>
      </c>
    </row>
    <row r="569" customFormat="false" ht="15" hidden="false" customHeight="true" outlineLevel="0" collapsed="false">
      <c r="A569" s="1" t="n">
        <v>565</v>
      </c>
      <c r="B569" s="11" t="n">
        <f aca="false">A569/12</f>
        <v>47.0833333333333</v>
      </c>
      <c r="C569" s="34" t="n">
        <f aca="false">INT(B569)</f>
        <v>47</v>
      </c>
      <c r="D569" s="11" t="n">
        <f aca="false">B569-C569</f>
        <v>0.0833333333333357</v>
      </c>
      <c r="E569" s="30" t="n">
        <f aca="false">INDEX(Discount!$C$4:$C$59,C569+1)</f>
        <v>0.22640116775395</v>
      </c>
      <c r="F569" s="30" t="n">
        <f aca="false">IF(C569+2&gt;56,INDEX(Discount!$C$4:$C$59,56),INDEX(Discount!$C$4:$C$59,C569+2))</f>
        <v>0.219153660371196</v>
      </c>
      <c r="G569" s="30" t="n">
        <f aca="false">IF(D569=0,E569,EXP((1-D569)*LN(E569)+D569*LN(F569)))</f>
        <v>0.2257881619053</v>
      </c>
    </row>
    <row r="570" customFormat="false" ht="15" hidden="false" customHeight="true" outlineLevel="0" collapsed="false">
      <c r="A570" s="1" t="n">
        <v>566</v>
      </c>
      <c r="B570" s="11" t="n">
        <f aca="false">A570/12</f>
        <v>47.1666666666667</v>
      </c>
      <c r="C570" s="34" t="n">
        <f aca="false">INT(B570)</f>
        <v>47</v>
      </c>
      <c r="D570" s="11" t="n">
        <f aca="false">B570-C570</f>
        <v>0.166666666666664</v>
      </c>
      <c r="E570" s="30" t="n">
        <f aca="false">INDEX(Discount!$C$4:$C$59,C570+1)</f>
        <v>0.22640116775395</v>
      </c>
      <c r="F570" s="30" t="n">
        <f aca="false">IF(C570+2&gt;56,INDEX(Discount!$C$4:$C$59,56),INDEX(Discount!$C$4:$C$59,C570+2))</f>
        <v>0.219153660371196</v>
      </c>
      <c r="G570" s="30" t="n">
        <f aca="false">IF(D570=0,E570,EXP((1-D570)*LN(E570)+D570*LN(F570)))</f>
        <v>0.225176815836827</v>
      </c>
    </row>
    <row r="571" customFormat="false" ht="15" hidden="false" customHeight="true" outlineLevel="0" collapsed="false">
      <c r="A571" s="1" t="n">
        <v>567</v>
      </c>
      <c r="B571" s="11" t="n">
        <f aca="false">A571/12</f>
        <v>47.25</v>
      </c>
      <c r="C571" s="34" t="n">
        <f aca="false">INT(B571)</f>
        <v>47</v>
      </c>
      <c r="D571" s="11" t="n">
        <f aca="false">B571-C571</f>
        <v>0.25</v>
      </c>
      <c r="E571" s="30" t="n">
        <f aca="false">INDEX(Discount!$C$4:$C$59,C571+1)</f>
        <v>0.22640116775395</v>
      </c>
      <c r="F571" s="30" t="n">
        <f aca="false">IF(C571+2&gt;56,INDEX(Discount!$C$4:$C$59,56),INDEX(Discount!$C$4:$C$59,C571+2))</f>
        <v>0.219153660371196</v>
      </c>
      <c r="G571" s="30" t="n">
        <f aca="false">IF(D571=0,E571,EXP((1-D571)*LN(E571)+D571*LN(F571)))</f>
        <v>0.224567125054496</v>
      </c>
    </row>
    <row r="572" customFormat="false" ht="15" hidden="false" customHeight="true" outlineLevel="0" collapsed="false">
      <c r="A572" s="1" t="n">
        <v>568</v>
      </c>
      <c r="B572" s="11" t="n">
        <f aca="false">A572/12</f>
        <v>47.3333333333333</v>
      </c>
      <c r="C572" s="34" t="n">
        <f aca="false">INT(B572)</f>
        <v>47</v>
      </c>
      <c r="D572" s="11" t="n">
        <f aca="false">B572-C572</f>
        <v>0.333333333333336</v>
      </c>
      <c r="E572" s="30" t="n">
        <f aca="false">INDEX(Discount!$C$4:$C$59,C572+1)</f>
        <v>0.22640116775395</v>
      </c>
      <c r="F572" s="30" t="n">
        <f aca="false">IF(C572+2&gt;56,INDEX(Discount!$C$4:$C$59,56),INDEX(Discount!$C$4:$C$59,C572+2))</f>
        <v>0.219153660371196</v>
      </c>
      <c r="G572" s="30" t="n">
        <f aca="false">IF(D572=0,E572,EXP((1-D572)*LN(E572)+D572*LN(F572)))</f>
        <v>0.22395908507644</v>
      </c>
    </row>
    <row r="573" customFormat="false" ht="15" hidden="false" customHeight="true" outlineLevel="0" collapsed="false">
      <c r="A573" s="1" t="n">
        <v>569</v>
      </c>
      <c r="B573" s="11" t="n">
        <f aca="false">A573/12</f>
        <v>47.4166666666667</v>
      </c>
      <c r="C573" s="34" t="n">
        <f aca="false">INT(B573)</f>
        <v>47</v>
      </c>
      <c r="D573" s="11" t="n">
        <f aca="false">B573-C573</f>
        <v>0.416666666666664</v>
      </c>
      <c r="E573" s="30" t="n">
        <f aca="false">INDEX(Discount!$C$4:$C$59,C573+1)</f>
        <v>0.22640116775395</v>
      </c>
      <c r="F573" s="30" t="n">
        <f aca="false">IF(C573+2&gt;56,INDEX(Discount!$C$4:$C$59,56),INDEX(Discount!$C$4:$C$59,C573+2))</f>
        <v>0.219153660371196</v>
      </c>
      <c r="G573" s="30" t="n">
        <f aca="false">IF(D573=0,E573,EXP((1-D573)*LN(E573)+D573*LN(F573)))</f>
        <v>0.223352691432925</v>
      </c>
    </row>
    <row r="574" customFormat="false" ht="15" hidden="false" customHeight="true" outlineLevel="0" collapsed="false">
      <c r="A574" s="1" t="n">
        <v>570</v>
      </c>
      <c r="B574" s="11" t="n">
        <f aca="false">A574/12</f>
        <v>47.5</v>
      </c>
      <c r="C574" s="34" t="n">
        <f aca="false">INT(B574)</f>
        <v>47</v>
      </c>
      <c r="D574" s="11" t="n">
        <f aca="false">B574-C574</f>
        <v>0.5</v>
      </c>
      <c r="E574" s="30" t="n">
        <f aca="false">INDEX(Discount!$C$4:$C$59,C574+1)</f>
        <v>0.22640116775395</v>
      </c>
      <c r="F574" s="30" t="n">
        <f aca="false">IF(C574+2&gt;56,INDEX(Discount!$C$4:$C$59,56),INDEX(Discount!$C$4:$C$59,C574+2))</f>
        <v>0.219153660371196</v>
      </c>
      <c r="G574" s="30" t="n">
        <f aca="false">IF(D574=0,E574,EXP((1-D574)*LN(E574)+D574*LN(F574)))</f>
        <v>0.222747939666322</v>
      </c>
    </row>
    <row r="575" customFormat="false" ht="15" hidden="false" customHeight="true" outlineLevel="0" collapsed="false">
      <c r="A575" s="1" t="n">
        <v>571</v>
      </c>
      <c r="B575" s="11" t="n">
        <f aca="false">A575/12</f>
        <v>47.5833333333333</v>
      </c>
      <c r="C575" s="34" t="n">
        <f aca="false">INT(B575)</f>
        <v>47</v>
      </c>
      <c r="D575" s="11" t="n">
        <f aca="false">B575-C575</f>
        <v>0.583333333333336</v>
      </c>
      <c r="E575" s="30" t="n">
        <f aca="false">INDEX(Discount!$C$4:$C$59,C575+1)</f>
        <v>0.22640116775395</v>
      </c>
      <c r="F575" s="30" t="n">
        <f aca="false">IF(C575+2&gt;56,INDEX(Discount!$C$4:$C$59,56),INDEX(Discount!$C$4:$C$59,C575+2))</f>
        <v>0.219153660371196</v>
      </c>
      <c r="G575" s="30" t="n">
        <f aca="false">IF(D575=0,E575,EXP((1-D575)*LN(E575)+D575*LN(F575)))</f>
        <v>0.222144825331069</v>
      </c>
    </row>
    <row r="576" customFormat="false" ht="15" hidden="false" customHeight="true" outlineLevel="0" collapsed="false">
      <c r="A576" s="1" t="n">
        <v>572</v>
      </c>
      <c r="B576" s="11" t="n">
        <f aca="false">A576/12</f>
        <v>47.6666666666667</v>
      </c>
      <c r="C576" s="34" t="n">
        <f aca="false">INT(B576)</f>
        <v>47</v>
      </c>
      <c r="D576" s="11" t="n">
        <f aca="false">B576-C576</f>
        <v>0.666666666666664</v>
      </c>
      <c r="E576" s="30" t="n">
        <f aca="false">INDEX(Discount!$C$4:$C$59,C576+1)</f>
        <v>0.22640116775395</v>
      </c>
      <c r="F576" s="30" t="n">
        <f aca="false">IF(C576+2&gt;56,INDEX(Discount!$C$4:$C$59,56),INDEX(Discount!$C$4:$C$59,C576+2))</f>
        <v>0.219153660371196</v>
      </c>
      <c r="G576" s="30" t="n">
        <f aca="false">IF(D576=0,E576,EXP((1-D576)*LN(E576)+D576*LN(F576)))</f>
        <v>0.221543343993644</v>
      </c>
    </row>
    <row r="577" customFormat="false" ht="15" hidden="false" customHeight="true" outlineLevel="0" collapsed="false">
      <c r="A577" s="1" t="n">
        <v>573</v>
      </c>
      <c r="B577" s="11" t="n">
        <f aca="false">A577/12</f>
        <v>47.75</v>
      </c>
      <c r="C577" s="34" t="n">
        <f aca="false">INT(B577)</f>
        <v>47</v>
      </c>
      <c r="D577" s="11" t="n">
        <f aca="false">B577-C577</f>
        <v>0.75</v>
      </c>
      <c r="E577" s="30" t="n">
        <f aca="false">INDEX(Discount!$C$4:$C$59,C577+1)</f>
        <v>0.22640116775395</v>
      </c>
      <c r="F577" s="30" t="n">
        <f aca="false">IF(C577+2&gt;56,INDEX(Discount!$C$4:$C$59,56),INDEX(Discount!$C$4:$C$59,C577+2))</f>
        <v>0.219153660371196</v>
      </c>
      <c r="G577" s="30" t="n">
        <f aca="false">IF(D577=0,E577,EXP((1-D577)*LN(E577)+D577*LN(F577)))</f>
        <v>0.220943491232525</v>
      </c>
    </row>
    <row r="578" customFormat="false" ht="15" hidden="false" customHeight="true" outlineLevel="0" collapsed="false">
      <c r="A578" s="1" t="n">
        <v>574</v>
      </c>
      <c r="B578" s="11" t="n">
        <f aca="false">A578/12</f>
        <v>47.8333333333333</v>
      </c>
      <c r="C578" s="34" t="n">
        <f aca="false">INT(B578)</f>
        <v>47</v>
      </c>
      <c r="D578" s="11" t="n">
        <f aca="false">B578-C578</f>
        <v>0.833333333333336</v>
      </c>
      <c r="E578" s="30" t="n">
        <f aca="false">INDEX(Discount!$C$4:$C$59,C578+1)</f>
        <v>0.22640116775395</v>
      </c>
      <c r="F578" s="30" t="n">
        <f aca="false">IF(C578+2&gt;56,INDEX(Discount!$C$4:$C$59,56),INDEX(Discount!$C$4:$C$59,C578+2))</f>
        <v>0.219153660371196</v>
      </c>
      <c r="G578" s="30" t="n">
        <f aca="false">IF(D578=0,E578,EXP((1-D578)*LN(E578)+D578*LN(F578)))</f>
        <v>0.220345262638165</v>
      </c>
    </row>
    <row r="579" customFormat="false" ht="15" hidden="false" customHeight="true" outlineLevel="0" collapsed="false">
      <c r="A579" s="1" t="n">
        <v>575</v>
      </c>
      <c r="B579" s="11" t="n">
        <f aca="false">A579/12</f>
        <v>47.9166666666667</v>
      </c>
      <c r="C579" s="34" t="n">
        <f aca="false">INT(B579)</f>
        <v>47</v>
      </c>
      <c r="D579" s="11" t="n">
        <f aca="false">B579-C579</f>
        <v>0.916666666666664</v>
      </c>
      <c r="E579" s="30" t="n">
        <f aca="false">INDEX(Discount!$C$4:$C$59,C579+1)</f>
        <v>0.22640116775395</v>
      </c>
      <c r="F579" s="30" t="n">
        <f aca="false">IF(C579+2&gt;56,INDEX(Discount!$C$4:$C$59,56),INDEX(Discount!$C$4:$C$59,C579+2))</f>
        <v>0.219153660371196</v>
      </c>
      <c r="G579" s="30" t="n">
        <f aca="false">IF(D579=0,E579,EXP((1-D579)*LN(E579)+D579*LN(F579)))</f>
        <v>0.219748653812956</v>
      </c>
    </row>
    <row r="580" customFormat="false" ht="15" hidden="false" customHeight="true" outlineLevel="0" collapsed="false">
      <c r="A580" s="1" t="n">
        <v>576</v>
      </c>
      <c r="B580" s="11" t="n">
        <f aca="false">A580/12</f>
        <v>48</v>
      </c>
      <c r="C580" s="34" t="n">
        <f aca="false">INT(B580)</f>
        <v>48</v>
      </c>
      <c r="D580" s="11" t="n">
        <f aca="false">B580-C580</f>
        <v>0</v>
      </c>
      <c r="E580" s="30" t="n">
        <f aca="false">INDEX(Discount!$C$4:$C$59,C580+1)</f>
        <v>0.219153660371196</v>
      </c>
      <c r="F580" s="30" t="n">
        <f aca="false">IF(C580+2&gt;56,INDEX(Discount!$C$4:$C$59,56),INDEX(Discount!$C$4:$C$59,C580+2))</f>
        <v>0.212230671676072</v>
      </c>
      <c r="G580" s="30" t="n">
        <f aca="false">IF(D580=0,E580,EXP((1-D580)*LN(E580)+D580*LN(F580)))</f>
        <v>0.219153660371196</v>
      </c>
    </row>
    <row r="581" customFormat="false" ht="15" hidden="false" customHeight="true" outlineLevel="0" collapsed="false">
      <c r="A581" s="1" t="n">
        <v>577</v>
      </c>
      <c r="B581" s="11" t="n">
        <f aca="false">A581/12</f>
        <v>48.0833333333333</v>
      </c>
      <c r="C581" s="34" t="n">
        <f aca="false">INT(B581)</f>
        <v>48</v>
      </c>
      <c r="D581" s="11" t="n">
        <f aca="false">B581-C581</f>
        <v>0.0833333333333357</v>
      </c>
      <c r="E581" s="30" t="n">
        <f aca="false">INDEX(Discount!$C$4:$C$59,C581+1)</f>
        <v>0.219153660371196</v>
      </c>
      <c r="F581" s="30" t="n">
        <f aca="false">IF(C581+2&gt;56,INDEX(Discount!$C$4:$C$59,56),INDEX(Discount!$C$4:$C$59,C581+2))</f>
        <v>0.212230671676072</v>
      </c>
      <c r="G581" s="30" t="n">
        <f aca="false">IF(D581=0,E581,EXP((1-D581)*LN(E581)+D581*LN(F581)))</f>
        <v>0.218568219156186</v>
      </c>
    </row>
    <row r="582" customFormat="false" ht="15" hidden="false" customHeight="true" outlineLevel="0" collapsed="false">
      <c r="A582" s="1" t="n">
        <v>578</v>
      </c>
      <c r="B582" s="11" t="n">
        <f aca="false">A582/12</f>
        <v>48.1666666666667</v>
      </c>
      <c r="C582" s="34" t="n">
        <f aca="false">INT(B582)</f>
        <v>48</v>
      </c>
      <c r="D582" s="11" t="n">
        <f aca="false">B582-C582</f>
        <v>0.166666666666664</v>
      </c>
      <c r="E582" s="30" t="n">
        <f aca="false">INDEX(Discount!$C$4:$C$59,C582+1)</f>
        <v>0.219153660371196</v>
      </c>
      <c r="F582" s="30" t="n">
        <f aca="false">IF(C582+2&gt;56,INDEX(Discount!$C$4:$C$59,56),INDEX(Discount!$C$4:$C$59,C582+2))</f>
        <v>0.212230671676072</v>
      </c>
      <c r="G582" s="30" t="n">
        <f aca="false">IF(D582=0,E582,EXP((1-D582)*LN(E582)+D582*LN(F582)))</f>
        <v>0.217984341873149</v>
      </c>
    </row>
    <row r="583" customFormat="false" ht="15" hidden="false" customHeight="true" outlineLevel="0" collapsed="false">
      <c r="A583" s="1" t="n">
        <v>579</v>
      </c>
      <c r="B583" s="11" t="n">
        <f aca="false">A583/12</f>
        <v>48.25</v>
      </c>
      <c r="C583" s="34" t="n">
        <f aca="false">INT(B583)</f>
        <v>48</v>
      </c>
      <c r="D583" s="11" t="n">
        <f aca="false">B583-C583</f>
        <v>0.25</v>
      </c>
      <c r="E583" s="30" t="n">
        <f aca="false">INDEX(Discount!$C$4:$C$59,C583+1)</f>
        <v>0.219153660371196</v>
      </c>
      <c r="F583" s="30" t="n">
        <f aca="false">IF(C583+2&gt;56,INDEX(Discount!$C$4:$C$59,56),INDEX(Discount!$C$4:$C$59,C583+2))</f>
        <v>0.212230671676072</v>
      </c>
      <c r="G583" s="30" t="n">
        <f aca="false">IF(D583=0,E583,EXP((1-D583)*LN(E583)+D583*LN(F583)))</f>
        <v>0.217402024344237</v>
      </c>
    </row>
    <row r="584" customFormat="false" ht="15" hidden="false" customHeight="true" outlineLevel="0" collapsed="false">
      <c r="A584" s="1" t="n">
        <v>580</v>
      </c>
      <c r="B584" s="11" t="n">
        <f aca="false">A584/12</f>
        <v>48.3333333333333</v>
      </c>
      <c r="C584" s="34" t="n">
        <f aca="false">INT(B584)</f>
        <v>48</v>
      </c>
      <c r="D584" s="11" t="n">
        <f aca="false">B584-C584</f>
        <v>0.333333333333336</v>
      </c>
      <c r="E584" s="30" t="n">
        <f aca="false">INDEX(Discount!$C$4:$C$59,C584+1)</f>
        <v>0.219153660371196</v>
      </c>
      <c r="F584" s="30" t="n">
        <f aca="false">IF(C584+2&gt;56,INDEX(Discount!$C$4:$C$59,56),INDEX(Discount!$C$4:$C$59,C584+2))</f>
        <v>0.212230671676072</v>
      </c>
      <c r="G584" s="30" t="n">
        <f aca="false">IF(D584=0,E584,EXP((1-D584)*LN(E584)+D584*LN(F584)))</f>
        <v>0.216821262402766</v>
      </c>
    </row>
    <row r="585" customFormat="false" ht="15" hidden="false" customHeight="true" outlineLevel="0" collapsed="false">
      <c r="A585" s="1" t="n">
        <v>581</v>
      </c>
      <c r="B585" s="11" t="n">
        <f aca="false">A585/12</f>
        <v>48.4166666666667</v>
      </c>
      <c r="C585" s="34" t="n">
        <f aca="false">INT(B585)</f>
        <v>48</v>
      </c>
      <c r="D585" s="11" t="n">
        <f aca="false">B585-C585</f>
        <v>0.416666666666664</v>
      </c>
      <c r="E585" s="30" t="n">
        <f aca="false">INDEX(Discount!$C$4:$C$59,C585+1)</f>
        <v>0.219153660371196</v>
      </c>
      <c r="F585" s="30" t="n">
        <f aca="false">IF(C585+2&gt;56,INDEX(Discount!$C$4:$C$59,56),INDEX(Discount!$C$4:$C$59,C585+2))</f>
        <v>0.212230671676072</v>
      </c>
      <c r="G585" s="30" t="n">
        <f aca="false">IF(D585=0,E585,EXP((1-D585)*LN(E585)+D585*LN(F585)))</f>
        <v>0.216242051893181</v>
      </c>
    </row>
    <row r="586" customFormat="false" ht="15" hidden="false" customHeight="true" outlineLevel="0" collapsed="false">
      <c r="A586" s="1" t="n">
        <v>582</v>
      </c>
      <c r="B586" s="11" t="n">
        <f aca="false">A586/12</f>
        <v>48.5</v>
      </c>
      <c r="C586" s="34" t="n">
        <f aca="false">INT(B586)</f>
        <v>48</v>
      </c>
      <c r="D586" s="11" t="n">
        <f aca="false">B586-C586</f>
        <v>0.5</v>
      </c>
      <c r="E586" s="30" t="n">
        <f aca="false">INDEX(Discount!$C$4:$C$59,C586+1)</f>
        <v>0.219153660371196</v>
      </c>
      <c r="F586" s="30" t="n">
        <f aca="false">IF(C586+2&gt;56,INDEX(Discount!$C$4:$C$59,56),INDEX(Discount!$C$4:$C$59,C586+2))</f>
        <v>0.212230671676072</v>
      </c>
      <c r="G586" s="30" t="n">
        <f aca="false">IF(D586=0,E586,EXP((1-D586)*LN(E586)+D586*LN(F586)))</f>
        <v>0.215664388671029</v>
      </c>
    </row>
    <row r="587" customFormat="false" ht="15" hidden="false" customHeight="true" outlineLevel="0" collapsed="false">
      <c r="A587" s="1" t="n">
        <v>583</v>
      </c>
      <c r="B587" s="11" t="n">
        <f aca="false">A587/12</f>
        <v>48.5833333333333</v>
      </c>
      <c r="C587" s="34" t="n">
        <f aca="false">INT(B587)</f>
        <v>48</v>
      </c>
      <c r="D587" s="11" t="n">
        <f aca="false">B587-C587</f>
        <v>0.583333333333336</v>
      </c>
      <c r="E587" s="30" t="n">
        <f aca="false">INDEX(Discount!$C$4:$C$59,C587+1)</f>
        <v>0.219153660371196</v>
      </c>
      <c r="F587" s="30" t="n">
        <f aca="false">IF(C587+2&gt;56,INDEX(Discount!$C$4:$C$59,56),INDEX(Discount!$C$4:$C$59,C587+2))</f>
        <v>0.212230671676072</v>
      </c>
      <c r="G587" s="30" t="n">
        <f aca="false">IF(D587=0,E587,EXP((1-D587)*LN(E587)+D587*LN(F587)))</f>
        <v>0.215088268602927</v>
      </c>
    </row>
    <row r="588" customFormat="false" ht="15" hidden="false" customHeight="true" outlineLevel="0" collapsed="false">
      <c r="A588" s="1" t="n">
        <v>584</v>
      </c>
      <c r="B588" s="11" t="n">
        <f aca="false">A588/12</f>
        <v>48.6666666666667</v>
      </c>
      <c r="C588" s="34" t="n">
        <f aca="false">INT(B588)</f>
        <v>48</v>
      </c>
      <c r="D588" s="11" t="n">
        <f aca="false">B588-C588</f>
        <v>0.666666666666664</v>
      </c>
      <c r="E588" s="30" t="n">
        <f aca="false">INDEX(Discount!$C$4:$C$59,C588+1)</f>
        <v>0.219153660371196</v>
      </c>
      <c r="F588" s="30" t="n">
        <f aca="false">IF(C588+2&gt;56,INDEX(Discount!$C$4:$C$59,56),INDEX(Discount!$C$4:$C$59,C588+2))</f>
        <v>0.212230671676072</v>
      </c>
      <c r="G588" s="30" t="n">
        <f aca="false">IF(D588=0,E588,EXP((1-D588)*LN(E588)+D588*LN(F588)))</f>
        <v>0.214513687566535</v>
      </c>
    </row>
    <row r="589" customFormat="false" ht="15" hidden="false" customHeight="true" outlineLevel="0" collapsed="false">
      <c r="A589" s="1" t="n">
        <v>585</v>
      </c>
      <c r="B589" s="11" t="n">
        <f aca="false">A589/12</f>
        <v>48.75</v>
      </c>
      <c r="C589" s="34" t="n">
        <f aca="false">INT(B589)</f>
        <v>48</v>
      </c>
      <c r="D589" s="11" t="n">
        <f aca="false">B589-C589</f>
        <v>0.75</v>
      </c>
      <c r="E589" s="30" t="n">
        <f aca="false">INDEX(Discount!$C$4:$C$59,C589+1)</f>
        <v>0.219153660371196</v>
      </c>
      <c r="F589" s="30" t="n">
        <f aca="false">IF(C589+2&gt;56,INDEX(Discount!$C$4:$C$59,56),INDEX(Discount!$C$4:$C$59,C589+2))</f>
        <v>0.212230671676072</v>
      </c>
      <c r="G589" s="30" t="n">
        <f aca="false">IF(D589=0,E589,EXP((1-D589)*LN(E589)+D589*LN(F589)))</f>
        <v>0.213940641450524</v>
      </c>
    </row>
    <row r="590" customFormat="false" ht="15" hidden="false" customHeight="true" outlineLevel="0" collapsed="false">
      <c r="A590" s="1" t="n">
        <v>586</v>
      </c>
      <c r="B590" s="11" t="n">
        <f aca="false">A590/12</f>
        <v>48.8333333333333</v>
      </c>
      <c r="C590" s="34" t="n">
        <f aca="false">INT(B590)</f>
        <v>48</v>
      </c>
      <c r="D590" s="11" t="n">
        <f aca="false">B590-C590</f>
        <v>0.833333333333336</v>
      </c>
      <c r="E590" s="30" t="n">
        <f aca="false">INDEX(Discount!$C$4:$C$59,C590+1)</f>
        <v>0.219153660371196</v>
      </c>
      <c r="F590" s="30" t="n">
        <f aca="false">IF(C590+2&gt;56,INDEX(Discount!$C$4:$C$59,56),INDEX(Discount!$C$4:$C$59,C590+2))</f>
        <v>0.212230671676072</v>
      </c>
      <c r="G590" s="30" t="n">
        <f aca="false">IF(D590=0,E590,EXP((1-D590)*LN(E590)+D590*LN(F590)))</f>
        <v>0.213369126154551</v>
      </c>
    </row>
    <row r="591" customFormat="false" ht="15" hidden="false" customHeight="true" outlineLevel="0" collapsed="false">
      <c r="A591" s="1" t="n">
        <v>587</v>
      </c>
      <c r="B591" s="11" t="n">
        <f aca="false">A591/12</f>
        <v>48.9166666666667</v>
      </c>
      <c r="C591" s="34" t="n">
        <f aca="false">INT(B591)</f>
        <v>48</v>
      </c>
      <c r="D591" s="11" t="n">
        <f aca="false">B591-C591</f>
        <v>0.916666666666664</v>
      </c>
      <c r="E591" s="30" t="n">
        <f aca="false">INDEX(Discount!$C$4:$C$59,C591+1)</f>
        <v>0.219153660371196</v>
      </c>
      <c r="F591" s="30" t="n">
        <f aca="false">IF(C591+2&gt;56,INDEX(Discount!$C$4:$C$59,56),INDEX(Discount!$C$4:$C$59,C591+2))</f>
        <v>0.212230671676072</v>
      </c>
      <c r="G591" s="30" t="n">
        <f aca="false">IF(D591=0,E591,EXP((1-D591)*LN(E591)+D591*LN(F591)))</f>
        <v>0.212799137589222</v>
      </c>
    </row>
    <row r="592" customFormat="false" ht="15" hidden="false" customHeight="true" outlineLevel="0" collapsed="false">
      <c r="A592" s="1" t="n">
        <v>588</v>
      </c>
      <c r="B592" s="11" t="n">
        <f aca="false">A592/12</f>
        <v>49</v>
      </c>
      <c r="C592" s="34" t="n">
        <f aca="false">INT(B592)</f>
        <v>49</v>
      </c>
      <c r="D592" s="11" t="n">
        <f aca="false">B592-C592</f>
        <v>0</v>
      </c>
      <c r="E592" s="30" t="n">
        <f aca="false">INDEX(Discount!$C$4:$C$59,C592+1)</f>
        <v>0.212230671676072</v>
      </c>
      <c r="F592" s="30" t="n">
        <f aca="false">IF(C592+2&gt;56,INDEX(Discount!$C$4:$C$59,56),INDEX(Discount!$C$4:$C$59,C592+2))</f>
        <v>0.205422860525207</v>
      </c>
      <c r="G592" s="30" t="n">
        <f aca="false">IF(D592=0,E592,EXP((1-D592)*LN(E592)+D592*LN(F592)))</f>
        <v>0.212230671676072</v>
      </c>
    </row>
    <row r="593" customFormat="false" ht="15" hidden="false" customHeight="true" outlineLevel="0" collapsed="false">
      <c r="A593" s="1" t="n">
        <v>589</v>
      </c>
      <c r="B593" s="11" t="n">
        <f aca="false">A593/12</f>
        <v>49.0833333333333</v>
      </c>
      <c r="C593" s="34" t="n">
        <f aca="false">INT(B593)</f>
        <v>49</v>
      </c>
      <c r="D593" s="11" t="n">
        <f aca="false">B593-C593</f>
        <v>0.0833333333333357</v>
      </c>
      <c r="E593" s="30" t="n">
        <f aca="false">INDEX(Discount!$C$4:$C$59,C593+1)</f>
        <v>0.212230671676072</v>
      </c>
      <c r="F593" s="30" t="n">
        <f aca="false">IF(C593+2&gt;56,INDEX(Discount!$C$4:$C$59,56),INDEX(Discount!$C$4:$C$59,C593+2))</f>
        <v>0.205422860525207</v>
      </c>
      <c r="G593" s="30" t="n">
        <f aca="false">IF(D593=0,E593,EXP((1-D593)*LN(E593)+D593*LN(F593)))</f>
        <v>0.211654838256215</v>
      </c>
    </row>
    <row r="594" customFormat="false" ht="15" hidden="false" customHeight="true" outlineLevel="0" collapsed="false">
      <c r="A594" s="1" t="n">
        <v>590</v>
      </c>
      <c r="B594" s="11" t="n">
        <f aca="false">A594/12</f>
        <v>49.1666666666667</v>
      </c>
      <c r="C594" s="34" t="n">
        <f aca="false">INT(B594)</f>
        <v>49</v>
      </c>
      <c r="D594" s="11" t="n">
        <f aca="false">B594-C594</f>
        <v>0.166666666666664</v>
      </c>
      <c r="E594" s="30" t="n">
        <f aca="false">INDEX(Discount!$C$4:$C$59,C594+1)</f>
        <v>0.212230671676072</v>
      </c>
      <c r="F594" s="30" t="n">
        <f aca="false">IF(C594+2&gt;56,INDEX(Discount!$C$4:$C$59,56),INDEX(Discount!$C$4:$C$59,C594+2))</f>
        <v>0.205422860525207</v>
      </c>
      <c r="G594" s="30" t="n">
        <f aca="false">IF(D594=0,E594,EXP((1-D594)*LN(E594)+D594*LN(F594)))</f>
        <v>0.21108056721245</v>
      </c>
    </row>
    <row r="595" customFormat="false" ht="15" hidden="false" customHeight="true" outlineLevel="0" collapsed="false">
      <c r="A595" s="1" t="n">
        <v>591</v>
      </c>
      <c r="B595" s="11" t="n">
        <f aca="false">A595/12</f>
        <v>49.25</v>
      </c>
      <c r="C595" s="34" t="n">
        <f aca="false">INT(B595)</f>
        <v>49</v>
      </c>
      <c r="D595" s="11" t="n">
        <f aca="false">B595-C595</f>
        <v>0.25</v>
      </c>
      <c r="E595" s="30" t="n">
        <f aca="false">INDEX(Discount!$C$4:$C$59,C595+1)</f>
        <v>0.212230671676072</v>
      </c>
      <c r="F595" s="30" t="n">
        <f aca="false">IF(C595+2&gt;56,INDEX(Discount!$C$4:$C$59,56),INDEX(Discount!$C$4:$C$59,C595+2))</f>
        <v>0.205422860525207</v>
      </c>
      <c r="G595" s="30" t="n">
        <f aca="false">IF(D595=0,E595,EXP((1-D595)*LN(E595)+D595*LN(F595)))</f>
        <v>0.210507854305672</v>
      </c>
    </row>
    <row r="596" customFormat="false" ht="15" hidden="false" customHeight="true" outlineLevel="0" collapsed="false">
      <c r="A596" s="1" t="n">
        <v>592</v>
      </c>
      <c r="B596" s="11" t="n">
        <f aca="false">A596/12</f>
        <v>49.3333333333333</v>
      </c>
      <c r="C596" s="34" t="n">
        <f aca="false">INT(B596)</f>
        <v>49</v>
      </c>
      <c r="D596" s="11" t="n">
        <f aca="false">B596-C596</f>
        <v>0.333333333333336</v>
      </c>
      <c r="E596" s="30" t="n">
        <f aca="false">INDEX(Discount!$C$4:$C$59,C596+1)</f>
        <v>0.212230671676072</v>
      </c>
      <c r="F596" s="30" t="n">
        <f aca="false">IF(C596+2&gt;56,INDEX(Discount!$C$4:$C$59,56),INDEX(Discount!$C$4:$C$59,C596+2))</f>
        <v>0.205422860525207</v>
      </c>
      <c r="G596" s="30" t="n">
        <f aca="false">IF(D596=0,E596,EXP((1-D596)*LN(E596)+D596*LN(F596)))</f>
        <v>0.209936695308274</v>
      </c>
    </row>
    <row r="597" customFormat="false" ht="15" hidden="false" customHeight="true" outlineLevel="0" collapsed="false">
      <c r="A597" s="1" t="n">
        <v>593</v>
      </c>
      <c r="B597" s="11" t="n">
        <f aca="false">A597/12</f>
        <v>49.4166666666667</v>
      </c>
      <c r="C597" s="34" t="n">
        <f aca="false">INT(B597)</f>
        <v>49</v>
      </c>
      <c r="D597" s="11" t="n">
        <f aca="false">B597-C597</f>
        <v>0.416666666666664</v>
      </c>
      <c r="E597" s="30" t="n">
        <f aca="false">INDEX(Discount!$C$4:$C$59,C597+1)</f>
        <v>0.212230671676072</v>
      </c>
      <c r="F597" s="30" t="n">
        <f aca="false">IF(C597+2&gt;56,INDEX(Discount!$C$4:$C$59,56),INDEX(Discount!$C$4:$C$59,C597+2))</f>
        <v>0.205422860525207</v>
      </c>
      <c r="G597" s="30" t="n">
        <f aca="false">IF(D597=0,E597,EXP((1-D597)*LN(E597)+D597*LN(F597)))</f>
        <v>0.209367086004124</v>
      </c>
    </row>
    <row r="598" customFormat="false" ht="15" hidden="false" customHeight="true" outlineLevel="0" collapsed="false">
      <c r="A598" s="1" t="n">
        <v>594</v>
      </c>
      <c r="B598" s="11" t="n">
        <f aca="false">A598/12</f>
        <v>49.5</v>
      </c>
      <c r="C598" s="34" t="n">
        <f aca="false">INT(B598)</f>
        <v>49</v>
      </c>
      <c r="D598" s="11" t="n">
        <f aca="false">B598-C598</f>
        <v>0.5</v>
      </c>
      <c r="E598" s="30" t="n">
        <f aca="false">INDEX(Discount!$C$4:$C$59,C598+1)</f>
        <v>0.212230671676072</v>
      </c>
      <c r="F598" s="30" t="n">
        <f aca="false">IF(C598+2&gt;56,INDEX(Discount!$C$4:$C$59,56),INDEX(Discount!$C$4:$C$59,C598+2))</f>
        <v>0.205422860525207</v>
      </c>
      <c r="G598" s="30" t="n">
        <f aca="false">IF(D598=0,E598,EXP((1-D598)*LN(E598)+D598*LN(F598)))</f>
        <v>0.208799022188526</v>
      </c>
    </row>
    <row r="599" customFormat="false" ht="15" hidden="false" customHeight="true" outlineLevel="0" collapsed="false">
      <c r="A599" s="1" t="n">
        <v>595</v>
      </c>
      <c r="B599" s="11" t="n">
        <f aca="false">A599/12</f>
        <v>49.5833333333333</v>
      </c>
      <c r="C599" s="34" t="n">
        <f aca="false">INT(B599)</f>
        <v>49</v>
      </c>
      <c r="D599" s="11" t="n">
        <f aca="false">B599-C599</f>
        <v>0.583333333333336</v>
      </c>
      <c r="E599" s="30" t="n">
        <f aca="false">INDEX(Discount!$C$4:$C$59,C599+1)</f>
        <v>0.212230671676072</v>
      </c>
      <c r="F599" s="30" t="n">
        <f aca="false">IF(C599+2&gt;56,INDEX(Discount!$C$4:$C$59,56),INDEX(Discount!$C$4:$C$59,C599+2))</f>
        <v>0.205422860525207</v>
      </c>
      <c r="G599" s="30" t="n">
        <f aca="false">IF(D599=0,E599,EXP((1-D599)*LN(E599)+D599*LN(F599)))</f>
        <v>0.208232499668195</v>
      </c>
    </row>
    <row r="600" customFormat="false" ht="15" hidden="false" customHeight="true" outlineLevel="0" collapsed="false">
      <c r="A600" s="1" t="n">
        <v>596</v>
      </c>
      <c r="B600" s="11" t="n">
        <f aca="false">A600/12</f>
        <v>49.6666666666667</v>
      </c>
      <c r="C600" s="34" t="n">
        <f aca="false">INT(B600)</f>
        <v>49</v>
      </c>
      <c r="D600" s="11" t="n">
        <f aca="false">B600-C600</f>
        <v>0.666666666666664</v>
      </c>
      <c r="E600" s="30" t="n">
        <f aca="false">INDEX(Discount!$C$4:$C$59,C600+1)</f>
        <v>0.212230671676072</v>
      </c>
      <c r="F600" s="30" t="n">
        <f aca="false">IF(C600+2&gt;56,INDEX(Discount!$C$4:$C$59,56),INDEX(Discount!$C$4:$C$59,C600+2))</f>
        <v>0.205422860525207</v>
      </c>
      <c r="G600" s="30" t="n">
        <f aca="false">IF(D600=0,E600,EXP((1-D600)*LN(E600)+D600*LN(F600)))</f>
        <v>0.207667514261221</v>
      </c>
    </row>
    <row r="601" customFormat="false" ht="15" hidden="false" customHeight="true" outlineLevel="0" collapsed="false">
      <c r="A601" s="1" t="n">
        <v>597</v>
      </c>
      <c r="B601" s="11" t="n">
        <f aca="false">A601/12</f>
        <v>49.75</v>
      </c>
      <c r="C601" s="34" t="n">
        <f aca="false">INT(B601)</f>
        <v>49</v>
      </c>
      <c r="D601" s="11" t="n">
        <f aca="false">B601-C601</f>
        <v>0.75</v>
      </c>
      <c r="E601" s="30" t="n">
        <f aca="false">INDEX(Discount!$C$4:$C$59,C601+1)</f>
        <v>0.212230671676072</v>
      </c>
      <c r="F601" s="30" t="n">
        <f aca="false">IF(C601+2&gt;56,INDEX(Discount!$C$4:$C$59,56),INDEX(Discount!$C$4:$C$59,C601+2))</f>
        <v>0.205422860525207</v>
      </c>
      <c r="G601" s="30" t="n">
        <f aca="false">IF(D601=0,E601,EXP((1-D601)*LN(E601)+D601*LN(F601)))</f>
        <v>0.207104061797042</v>
      </c>
    </row>
    <row r="602" customFormat="false" ht="15" hidden="false" customHeight="true" outlineLevel="0" collapsed="false">
      <c r="A602" s="1" t="n">
        <v>598</v>
      </c>
      <c r="B602" s="11" t="n">
        <f aca="false">A602/12</f>
        <v>49.8333333333333</v>
      </c>
      <c r="C602" s="34" t="n">
        <f aca="false">INT(B602)</f>
        <v>49</v>
      </c>
      <c r="D602" s="11" t="n">
        <f aca="false">B602-C602</f>
        <v>0.833333333333336</v>
      </c>
      <c r="E602" s="30" t="n">
        <f aca="false">INDEX(Discount!$C$4:$C$59,C602+1)</f>
        <v>0.212230671676072</v>
      </c>
      <c r="F602" s="30" t="n">
        <f aca="false">IF(C602+2&gt;56,INDEX(Discount!$C$4:$C$59,56),INDEX(Discount!$C$4:$C$59,C602+2))</f>
        <v>0.205422860525207</v>
      </c>
      <c r="G602" s="30" t="n">
        <f aca="false">IF(D602=0,E602,EXP((1-D602)*LN(E602)+D602*LN(F602)))</f>
        <v>0.206542138116412</v>
      </c>
    </row>
    <row r="603" customFormat="false" ht="15" hidden="false" customHeight="true" outlineLevel="0" collapsed="false">
      <c r="A603" s="1" t="n">
        <v>599</v>
      </c>
      <c r="B603" s="11" t="n">
        <f aca="false">A603/12</f>
        <v>49.9166666666667</v>
      </c>
      <c r="C603" s="34" t="n">
        <f aca="false">INT(B603)</f>
        <v>49</v>
      </c>
      <c r="D603" s="11" t="n">
        <f aca="false">B603-C603</f>
        <v>0.916666666666664</v>
      </c>
      <c r="E603" s="30" t="n">
        <f aca="false">INDEX(Discount!$C$4:$C$59,C603+1)</f>
        <v>0.212230671676072</v>
      </c>
      <c r="F603" s="30" t="n">
        <f aca="false">IF(C603+2&gt;56,INDEX(Discount!$C$4:$C$59,56),INDEX(Discount!$C$4:$C$59,C603+2))</f>
        <v>0.205422860525207</v>
      </c>
      <c r="G603" s="30" t="n">
        <f aca="false">IF(D603=0,E603,EXP((1-D603)*LN(E603)+D603*LN(F603)))</f>
        <v>0.205981739071369</v>
      </c>
    </row>
    <row r="604" customFormat="false" ht="15" hidden="false" customHeight="true" outlineLevel="0" collapsed="false">
      <c r="A604" s="1" t="n">
        <v>600</v>
      </c>
      <c r="B604" s="11" t="n">
        <f aca="false">A604/12</f>
        <v>50</v>
      </c>
      <c r="C604" s="34" t="n">
        <f aca="false">INT(B604)</f>
        <v>50</v>
      </c>
      <c r="D604" s="11" t="n">
        <f aca="false">B604-C604</f>
        <v>0</v>
      </c>
      <c r="E604" s="30" t="n">
        <f aca="false">INDEX(Discount!$C$4:$C$59,C604+1)</f>
        <v>0.205422860525207</v>
      </c>
      <c r="F604" s="30" t="n">
        <f aca="false">IF(C604+2&gt;56,INDEX(Discount!$C$4:$C$59,56),INDEX(Discount!$C$4:$C$59,C604+2))</f>
        <v>0.198923989220914</v>
      </c>
      <c r="G604" s="30" t="n">
        <f aca="false">IF(D604=0,E604,EXP((1-D604)*LN(E604)+D604*LN(F604)))</f>
        <v>0.205422860525207</v>
      </c>
    </row>
    <row r="605" customFormat="false" ht="15" hidden="false" customHeight="true" outlineLevel="0" collapsed="false">
      <c r="A605" s="1" t="n">
        <v>601</v>
      </c>
      <c r="B605" s="11" t="n">
        <f aca="false">A605/12</f>
        <v>50.0833333333333</v>
      </c>
      <c r="C605" s="34" t="n">
        <f aca="false">INT(B605)</f>
        <v>50</v>
      </c>
      <c r="D605" s="11" t="n">
        <f aca="false">B605-C605</f>
        <v>0.0833333333333357</v>
      </c>
      <c r="E605" s="30" t="n">
        <f aca="false">INDEX(Discount!$C$4:$C$59,C605+1)</f>
        <v>0.205422860525207</v>
      </c>
      <c r="F605" s="30" t="n">
        <f aca="false">IF(C605+2&gt;56,INDEX(Discount!$C$4:$C$59,56),INDEX(Discount!$C$4:$C$59,C605+2))</f>
        <v>0.198923989220914</v>
      </c>
      <c r="G605" s="30" t="n">
        <f aca="false">IF(D605=0,E605,EXP((1-D605)*LN(E605)+D605*LN(F605)))</f>
        <v>0.204873272588225</v>
      </c>
    </row>
    <row r="606" customFormat="false" ht="15" hidden="false" customHeight="true" outlineLevel="0" collapsed="false">
      <c r="A606" s="1" t="n">
        <v>602</v>
      </c>
      <c r="B606" s="11" t="n">
        <f aca="false">A606/12</f>
        <v>50.1666666666667</v>
      </c>
      <c r="C606" s="34" t="n">
        <f aca="false">INT(B606)</f>
        <v>50</v>
      </c>
      <c r="D606" s="11" t="n">
        <f aca="false">B606-C606</f>
        <v>0.166666666666664</v>
      </c>
      <c r="E606" s="30" t="n">
        <f aca="false">INDEX(Discount!$C$4:$C$59,C606+1)</f>
        <v>0.205422860525207</v>
      </c>
      <c r="F606" s="30" t="n">
        <f aca="false">IF(C606+2&gt;56,INDEX(Discount!$C$4:$C$59,56),INDEX(Discount!$C$4:$C$59,C606+2))</f>
        <v>0.198923989220914</v>
      </c>
      <c r="G606" s="30" t="n">
        <f aca="false">IF(D606=0,E606,EXP((1-D606)*LN(E606)+D606*LN(F606)))</f>
        <v>0.204325155017782</v>
      </c>
    </row>
    <row r="607" customFormat="false" ht="15" hidden="false" customHeight="true" outlineLevel="0" collapsed="false">
      <c r="A607" s="1" t="n">
        <v>603</v>
      </c>
      <c r="B607" s="11" t="n">
        <f aca="false">A607/12</f>
        <v>50.25</v>
      </c>
      <c r="C607" s="34" t="n">
        <f aca="false">INT(B607)</f>
        <v>50</v>
      </c>
      <c r="D607" s="11" t="n">
        <f aca="false">B607-C607</f>
        <v>0.25</v>
      </c>
      <c r="E607" s="30" t="n">
        <f aca="false">INDEX(Discount!$C$4:$C$59,C607+1)</f>
        <v>0.205422860525207</v>
      </c>
      <c r="F607" s="30" t="n">
        <f aca="false">IF(C607+2&gt;56,INDEX(Discount!$C$4:$C$59,56),INDEX(Discount!$C$4:$C$59,C607+2))</f>
        <v>0.198923989220914</v>
      </c>
      <c r="G607" s="30" t="n">
        <f aca="false">IF(D607=0,E607,EXP((1-D607)*LN(E607)+D607*LN(F607)))</f>
        <v>0.203778503880062</v>
      </c>
    </row>
    <row r="608" customFormat="false" ht="15" hidden="false" customHeight="true" outlineLevel="0" collapsed="false">
      <c r="A608" s="1" t="n">
        <v>604</v>
      </c>
      <c r="B608" s="11" t="n">
        <f aca="false">A608/12</f>
        <v>50.3333333333333</v>
      </c>
      <c r="C608" s="34" t="n">
        <f aca="false">INT(B608)</f>
        <v>50</v>
      </c>
      <c r="D608" s="11" t="n">
        <f aca="false">B608-C608</f>
        <v>0.333333333333336</v>
      </c>
      <c r="E608" s="30" t="n">
        <f aca="false">INDEX(Discount!$C$4:$C$59,C608+1)</f>
        <v>0.205422860525207</v>
      </c>
      <c r="F608" s="30" t="n">
        <f aca="false">IF(C608+2&gt;56,INDEX(Discount!$C$4:$C$59,56),INDEX(Discount!$C$4:$C$59,C608+2))</f>
        <v>0.198923989220914</v>
      </c>
      <c r="G608" s="30" t="n">
        <f aca="false">IF(D608=0,E608,EXP((1-D608)*LN(E608)+D608*LN(F608)))</f>
        <v>0.203233315251774</v>
      </c>
    </row>
    <row r="609" customFormat="false" ht="15" hidden="false" customHeight="true" outlineLevel="0" collapsed="false">
      <c r="A609" s="1" t="n">
        <v>605</v>
      </c>
      <c r="B609" s="11" t="n">
        <f aca="false">A609/12</f>
        <v>50.4166666666667</v>
      </c>
      <c r="C609" s="34" t="n">
        <f aca="false">INT(B609)</f>
        <v>50</v>
      </c>
      <c r="D609" s="11" t="n">
        <f aca="false">B609-C609</f>
        <v>0.416666666666664</v>
      </c>
      <c r="E609" s="30" t="n">
        <f aca="false">INDEX(Discount!$C$4:$C$59,C609+1)</f>
        <v>0.205422860525207</v>
      </c>
      <c r="F609" s="30" t="n">
        <f aca="false">IF(C609+2&gt;56,INDEX(Discount!$C$4:$C$59,56),INDEX(Discount!$C$4:$C$59,C609+2))</f>
        <v>0.198923989220914</v>
      </c>
      <c r="G609" s="30" t="n">
        <f aca="false">IF(D609=0,E609,EXP((1-D609)*LN(E609)+D609*LN(F609)))</f>
        <v>0.202689585220123</v>
      </c>
    </row>
    <row r="610" customFormat="false" ht="15" hidden="false" customHeight="true" outlineLevel="0" collapsed="false">
      <c r="A610" s="1" t="n">
        <v>606</v>
      </c>
      <c r="B610" s="11" t="n">
        <f aca="false">A610/12</f>
        <v>50.5</v>
      </c>
      <c r="C610" s="34" t="n">
        <f aca="false">INT(B610)</f>
        <v>50</v>
      </c>
      <c r="D610" s="11" t="n">
        <f aca="false">B610-C610</f>
        <v>0.5</v>
      </c>
      <c r="E610" s="30" t="n">
        <f aca="false">INDEX(Discount!$C$4:$C$59,C610+1)</f>
        <v>0.205422860525207</v>
      </c>
      <c r="F610" s="30" t="n">
        <f aca="false">IF(C610+2&gt;56,INDEX(Discount!$C$4:$C$59,56),INDEX(Discount!$C$4:$C$59,C610+2))</f>
        <v>0.198923989220914</v>
      </c>
      <c r="G610" s="30" t="n">
        <f aca="false">IF(D610=0,E610,EXP((1-D610)*LN(E610)+D610*LN(F610)))</f>
        <v>0.202147309882782</v>
      </c>
    </row>
    <row r="611" customFormat="false" ht="15" hidden="false" customHeight="true" outlineLevel="0" collapsed="false">
      <c r="A611" s="1" t="n">
        <v>607</v>
      </c>
      <c r="B611" s="11" t="n">
        <f aca="false">A611/12</f>
        <v>50.5833333333333</v>
      </c>
      <c r="C611" s="34" t="n">
        <f aca="false">INT(B611)</f>
        <v>50</v>
      </c>
      <c r="D611" s="11" t="n">
        <f aca="false">B611-C611</f>
        <v>0.583333333333336</v>
      </c>
      <c r="E611" s="30" t="n">
        <f aca="false">INDEX(Discount!$C$4:$C$59,C611+1)</f>
        <v>0.205422860525207</v>
      </c>
      <c r="F611" s="30" t="n">
        <f aca="false">IF(C611+2&gt;56,INDEX(Discount!$C$4:$C$59,56),INDEX(Discount!$C$4:$C$59,C611+2))</f>
        <v>0.198923989220914</v>
      </c>
      <c r="G611" s="30" t="n">
        <f aca="false">IF(D611=0,E611,EXP((1-D611)*LN(E611)+D611*LN(F611)))</f>
        <v>0.201606485347865</v>
      </c>
    </row>
    <row r="612" customFormat="false" ht="15" hidden="false" customHeight="true" outlineLevel="0" collapsed="false">
      <c r="A612" s="1" t="n">
        <v>608</v>
      </c>
      <c r="B612" s="11" t="n">
        <f aca="false">A612/12</f>
        <v>50.6666666666667</v>
      </c>
      <c r="C612" s="34" t="n">
        <f aca="false">INT(B612)</f>
        <v>50</v>
      </c>
      <c r="D612" s="11" t="n">
        <f aca="false">B612-C612</f>
        <v>0.666666666666664</v>
      </c>
      <c r="E612" s="30" t="n">
        <f aca="false">INDEX(Discount!$C$4:$C$59,C612+1)</f>
        <v>0.205422860525207</v>
      </c>
      <c r="F612" s="30" t="n">
        <f aca="false">IF(C612+2&gt;56,INDEX(Discount!$C$4:$C$59,56),INDEX(Discount!$C$4:$C$59,C612+2))</f>
        <v>0.198923989220914</v>
      </c>
      <c r="G612" s="30" t="n">
        <f aca="false">IF(D612=0,E612,EXP((1-D612)*LN(E612)+D612*LN(F612)))</f>
        <v>0.201067107733897</v>
      </c>
    </row>
    <row r="613" customFormat="false" ht="15" hidden="false" customHeight="true" outlineLevel="0" collapsed="false">
      <c r="A613" s="1" t="n">
        <v>609</v>
      </c>
      <c r="B613" s="11" t="n">
        <f aca="false">A613/12</f>
        <v>50.75</v>
      </c>
      <c r="C613" s="34" t="n">
        <f aca="false">INT(B613)</f>
        <v>50</v>
      </c>
      <c r="D613" s="11" t="n">
        <f aca="false">B613-C613</f>
        <v>0.75</v>
      </c>
      <c r="E613" s="30" t="n">
        <f aca="false">INDEX(Discount!$C$4:$C$59,C613+1)</f>
        <v>0.205422860525207</v>
      </c>
      <c r="F613" s="30" t="n">
        <f aca="false">IF(C613+2&gt;56,INDEX(Discount!$C$4:$C$59,56),INDEX(Discount!$C$4:$C$59,C613+2))</f>
        <v>0.198923989220914</v>
      </c>
      <c r="G613" s="30" t="n">
        <f aca="false">IF(D613=0,E613,EXP((1-D613)*LN(E613)+D613*LN(F613)))</f>
        <v>0.20052917316979</v>
      </c>
    </row>
    <row r="614" customFormat="false" ht="15" hidden="false" customHeight="true" outlineLevel="0" collapsed="false">
      <c r="A614" s="1" t="n">
        <v>610</v>
      </c>
      <c r="B614" s="11" t="n">
        <f aca="false">A614/12</f>
        <v>50.8333333333333</v>
      </c>
      <c r="C614" s="34" t="n">
        <f aca="false">INT(B614)</f>
        <v>50</v>
      </c>
      <c r="D614" s="11" t="n">
        <f aca="false">B614-C614</f>
        <v>0.833333333333336</v>
      </c>
      <c r="E614" s="30" t="n">
        <f aca="false">INDEX(Discount!$C$4:$C$59,C614+1)</f>
        <v>0.205422860525207</v>
      </c>
      <c r="F614" s="30" t="n">
        <f aca="false">IF(C614+2&gt;56,INDEX(Discount!$C$4:$C$59,56),INDEX(Discount!$C$4:$C$59,C614+2))</f>
        <v>0.198923989220914</v>
      </c>
      <c r="G614" s="30" t="n">
        <f aca="false">IF(D614=0,E614,EXP((1-D614)*LN(E614)+D614*LN(F614)))</f>
        <v>0.199992677794809</v>
      </c>
    </row>
    <row r="615" customFormat="false" ht="15" hidden="false" customHeight="true" outlineLevel="0" collapsed="false">
      <c r="A615" s="1" t="n">
        <v>611</v>
      </c>
      <c r="B615" s="11" t="n">
        <f aca="false">A615/12</f>
        <v>50.9166666666667</v>
      </c>
      <c r="C615" s="34" t="n">
        <f aca="false">INT(B615)</f>
        <v>50</v>
      </c>
      <c r="D615" s="11" t="n">
        <f aca="false">B615-C615</f>
        <v>0.916666666666664</v>
      </c>
      <c r="E615" s="30" t="n">
        <f aca="false">INDEX(Discount!$C$4:$C$59,C615+1)</f>
        <v>0.205422860525207</v>
      </c>
      <c r="F615" s="30" t="n">
        <f aca="false">IF(C615+2&gt;56,INDEX(Discount!$C$4:$C$59,56),INDEX(Discount!$C$4:$C$59,C615+2))</f>
        <v>0.198923989220914</v>
      </c>
      <c r="G615" s="30" t="n">
        <f aca="false">IF(D615=0,E615,EXP((1-D615)*LN(E615)+D615*LN(F615)))</f>
        <v>0.199457617758551</v>
      </c>
    </row>
    <row r="616" customFormat="false" ht="15" hidden="false" customHeight="true" outlineLevel="0" collapsed="false">
      <c r="A616" s="1" t="n">
        <v>612</v>
      </c>
      <c r="B616" s="11" t="n">
        <f aca="false">A616/12</f>
        <v>51</v>
      </c>
      <c r="C616" s="34" t="n">
        <f aca="false">INT(B616)</f>
        <v>51</v>
      </c>
      <c r="D616" s="11" t="n">
        <f aca="false">B616-C616</f>
        <v>0</v>
      </c>
      <c r="E616" s="30" t="n">
        <f aca="false">INDEX(Discount!$C$4:$C$59,C616+1)</f>
        <v>0.198923989220914</v>
      </c>
      <c r="F616" s="30" t="n">
        <f aca="false">IF(C616+2&gt;56,INDEX(Discount!$C$4:$C$59,56),INDEX(Discount!$C$4:$C$59,C616+2))</f>
        <v>0.192626988225572</v>
      </c>
      <c r="G616" s="30" t="n">
        <f aca="false">IF(D616=0,E616,EXP((1-D616)*LN(E616)+D616*LN(F616)))</f>
        <v>0.198923989220914</v>
      </c>
    </row>
    <row r="617" customFormat="false" ht="15" hidden="false" customHeight="true" outlineLevel="0" collapsed="false">
      <c r="A617" s="1" t="n">
        <v>613</v>
      </c>
      <c r="B617" s="11" t="n">
        <f aca="false">A617/12</f>
        <v>51.0833333333333</v>
      </c>
      <c r="C617" s="34" t="n">
        <f aca="false">INT(B617)</f>
        <v>51</v>
      </c>
      <c r="D617" s="11" t="n">
        <f aca="false">B617-C617</f>
        <v>0.0833333333333357</v>
      </c>
      <c r="E617" s="30" t="n">
        <f aca="false">INDEX(Discount!$C$4:$C$59,C617+1)</f>
        <v>0.198923989220914</v>
      </c>
      <c r="F617" s="30" t="n">
        <f aca="false">IF(C617+2&gt;56,INDEX(Discount!$C$4:$C$59,56),INDEX(Discount!$C$4:$C$59,C617+2))</f>
        <v>0.192626988225572</v>
      </c>
      <c r="G617" s="30" t="n">
        <f aca="false">IF(D617=0,E617,EXP((1-D617)*LN(E617)+D617*LN(F617)))</f>
        <v>0.198391468084066</v>
      </c>
    </row>
    <row r="618" customFormat="false" ht="15" hidden="false" customHeight="true" outlineLevel="0" collapsed="false">
      <c r="A618" s="1" t="n">
        <v>614</v>
      </c>
      <c r="B618" s="11" t="n">
        <f aca="false">A618/12</f>
        <v>51.1666666666667</v>
      </c>
      <c r="C618" s="34" t="n">
        <f aca="false">INT(B618)</f>
        <v>51</v>
      </c>
      <c r="D618" s="11" t="n">
        <f aca="false">B618-C618</f>
        <v>0.166666666666664</v>
      </c>
      <c r="E618" s="30" t="n">
        <f aca="false">INDEX(Discount!$C$4:$C$59,C618+1)</f>
        <v>0.198923989220914</v>
      </c>
      <c r="F618" s="30" t="n">
        <f aca="false">IF(C618+2&gt;56,INDEX(Discount!$C$4:$C$59,56),INDEX(Discount!$C$4:$C$59,C618+2))</f>
        <v>0.192626988225572</v>
      </c>
      <c r="G618" s="30" t="n">
        <f aca="false">IF(D618=0,E618,EXP((1-D618)*LN(E618)+D618*LN(F618)))</f>
        <v>0.197860372510631</v>
      </c>
    </row>
    <row r="619" customFormat="false" ht="15" hidden="false" customHeight="true" outlineLevel="0" collapsed="false">
      <c r="A619" s="1" t="n">
        <v>615</v>
      </c>
      <c r="B619" s="11" t="n">
        <f aca="false">A619/12</f>
        <v>51.25</v>
      </c>
      <c r="C619" s="34" t="n">
        <f aca="false">INT(B619)</f>
        <v>51</v>
      </c>
      <c r="D619" s="11" t="n">
        <f aca="false">B619-C619</f>
        <v>0.25</v>
      </c>
      <c r="E619" s="30" t="n">
        <f aca="false">INDEX(Discount!$C$4:$C$59,C619+1)</f>
        <v>0.198923989220914</v>
      </c>
      <c r="F619" s="30" t="n">
        <f aca="false">IF(C619+2&gt;56,INDEX(Discount!$C$4:$C$59,56),INDEX(Discount!$C$4:$C$59,C619+2))</f>
        <v>0.192626988225572</v>
      </c>
      <c r="G619" s="30" t="n">
        <f aca="false">IF(D619=0,E619,EXP((1-D619)*LN(E619)+D619*LN(F619)))</f>
        <v>0.197330698684366</v>
      </c>
    </row>
    <row r="620" customFormat="false" ht="15" hidden="false" customHeight="true" outlineLevel="0" collapsed="false">
      <c r="A620" s="1" t="n">
        <v>616</v>
      </c>
      <c r="B620" s="11" t="n">
        <f aca="false">A620/12</f>
        <v>51.3333333333333</v>
      </c>
      <c r="C620" s="34" t="n">
        <f aca="false">INT(B620)</f>
        <v>51</v>
      </c>
      <c r="D620" s="11" t="n">
        <f aca="false">B620-C620</f>
        <v>0.333333333333336</v>
      </c>
      <c r="E620" s="30" t="n">
        <f aca="false">INDEX(Discount!$C$4:$C$59,C620+1)</f>
        <v>0.198923989220914</v>
      </c>
      <c r="F620" s="30" t="n">
        <f aca="false">IF(C620+2&gt;56,INDEX(Discount!$C$4:$C$59,56),INDEX(Discount!$C$4:$C$59,C620+2))</f>
        <v>0.192626988225572</v>
      </c>
      <c r="G620" s="30" t="n">
        <f aca="false">IF(D620=0,E620,EXP((1-D620)*LN(E620)+D620*LN(F620)))</f>
        <v>0.196802442799241</v>
      </c>
    </row>
    <row r="621" customFormat="false" ht="15" hidden="false" customHeight="true" outlineLevel="0" collapsed="false">
      <c r="A621" s="1" t="n">
        <v>617</v>
      </c>
      <c r="B621" s="11" t="n">
        <f aca="false">A621/12</f>
        <v>51.4166666666667</v>
      </c>
      <c r="C621" s="34" t="n">
        <f aca="false">INT(B621)</f>
        <v>51</v>
      </c>
      <c r="D621" s="11" t="n">
        <f aca="false">B621-C621</f>
        <v>0.416666666666664</v>
      </c>
      <c r="E621" s="30" t="n">
        <f aca="false">INDEX(Discount!$C$4:$C$59,C621+1)</f>
        <v>0.198923989220914</v>
      </c>
      <c r="F621" s="30" t="n">
        <f aca="false">IF(C621+2&gt;56,INDEX(Discount!$C$4:$C$59,56),INDEX(Discount!$C$4:$C$59,C621+2))</f>
        <v>0.192626988225572</v>
      </c>
      <c r="G621" s="30" t="n">
        <f aca="false">IF(D621=0,E621,EXP((1-D621)*LN(E621)+D621*LN(F621)))</f>
        <v>0.196275601059416</v>
      </c>
    </row>
    <row r="622" customFormat="false" ht="15" hidden="false" customHeight="true" outlineLevel="0" collapsed="false">
      <c r="A622" s="1" t="n">
        <v>618</v>
      </c>
      <c r="B622" s="11" t="n">
        <f aca="false">A622/12</f>
        <v>51.5</v>
      </c>
      <c r="C622" s="34" t="n">
        <f aca="false">INT(B622)</f>
        <v>51</v>
      </c>
      <c r="D622" s="11" t="n">
        <f aca="false">B622-C622</f>
        <v>0.5</v>
      </c>
      <c r="E622" s="30" t="n">
        <f aca="false">INDEX(Discount!$C$4:$C$59,C622+1)</f>
        <v>0.198923989220914</v>
      </c>
      <c r="F622" s="30" t="n">
        <f aca="false">IF(C622+2&gt;56,INDEX(Discount!$C$4:$C$59,56),INDEX(Discount!$C$4:$C$59,C622+2))</f>
        <v>0.192626988225572</v>
      </c>
      <c r="G622" s="30" t="n">
        <f aca="false">IF(D622=0,E622,EXP((1-D622)*LN(E622)+D622*LN(F622)))</f>
        <v>0.195750169679213</v>
      </c>
    </row>
    <row r="623" customFormat="false" ht="15" hidden="false" customHeight="true" outlineLevel="0" collapsed="false">
      <c r="A623" s="1" t="n">
        <v>619</v>
      </c>
      <c r="B623" s="11" t="n">
        <f aca="false">A623/12</f>
        <v>51.5833333333333</v>
      </c>
      <c r="C623" s="34" t="n">
        <f aca="false">INT(B623)</f>
        <v>51</v>
      </c>
      <c r="D623" s="11" t="n">
        <f aca="false">B623-C623</f>
        <v>0.583333333333336</v>
      </c>
      <c r="E623" s="30" t="n">
        <f aca="false">INDEX(Discount!$C$4:$C$59,C623+1)</f>
        <v>0.198923989220914</v>
      </c>
      <c r="F623" s="30" t="n">
        <f aca="false">IF(C623+2&gt;56,INDEX(Discount!$C$4:$C$59,56),INDEX(Discount!$C$4:$C$59,C623+2))</f>
        <v>0.192626988225572</v>
      </c>
      <c r="G623" s="30" t="n">
        <f aca="false">IF(D623=0,E623,EXP((1-D623)*LN(E623)+D623*LN(F623)))</f>
        <v>0.195226144883088</v>
      </c>
    </row>
    <row r="624" customFormat="false" ht="15" hidden="false" customHeight="true" outlineLevel="0" collapsed="false">
      <c r="A624" s="1" t="n">
        <v>620</v>
      </c>
      <c r="B624" s="11" t="n">
        <f aca="false">A624/12</f>
        <v>51.6666666666667</v>
      </c>
      <c r="C624" s="34" t="n">
        <f aca="false">INT(B624)</f>
        <v>51</v>
      </c>
      <c r="D624" s="11" t="n">
        <f aca="false">B624-C624</f>
        <v>0.666666666666664</v>
      </c>
      <c r="E624" s="30" t="n">
        <f aca="false">INDEX(Discount!$C$4:$C$59,C624+1)</f>
        <v>0.198923989220914</v>
      </c>
      <c r="F624" s="30" t="n">
        <f aca="false">IF(C624+2&gt;56,INDEX(Discount!$C$4:$C$59,56),INDEX(Discount!$C$4:$C$59,C624+2))</f>
        <v>0.192626988225572</v>
      </c>
      <c r="G624" s="30" t="n">
        <f aca="false">IF(D624=0,E624,EXP((1-D624)*LN(E624)+D624*LN(F624)))</f>
        <v>0.194703522905604</v>
      </c>
    </row>
    <row r="625" customFormat="false" ht="15" hidden="false" customHeight="true" outlineLevel="0" collapsed="false">
      <c r="A625" s="1" t="n">
        <v>621</v>
      </c>
      <c r="B625" s="11" t="n">
        <f aca="false">A625/12</f>
        <v>51.75</v>
      </c>
      <c r="C625" s="34" t="n">
        <f aca="false">INT(B625)</f>
        <v>51</v>
      </c>
      <c r="D625" s="11" t="n">
        <f aca="false">B625-C625</f>
        <v>0.75</v>
      </c>
      <c r="E625" s="30" t="n">
        <f aca="false">INDEX(Discount!$C$4:$C$59,C625+1)</f>
        <v>0.198923989220914</v>
      </c>
      <c r="F625" s="30" t="n">
        <f aca="false">IF(C625+2&gt;56,INDEX(Discount!$C$4:$C$59,56),INDEX(Discount!$C$4:$C$59,C625+2))</f>
        <v>0.192626988225572</v>
      </c>
      <c r="G625" s="30" t="n">
        <f aca="false">IF(D625=0,E625,EXP((1-D625)*LN(E625)+D625*LN(F625)))</f>
        <v>0.194182299991404</v>
      </c>
    </row>
    <row r="626" customFormat="false" ht="15" hidden="false" customHeight="true" outlineLevel="0" collapsed="false">
      <c r="A626" s="1" t="n">
        <v>622</v>
      </c>
      <c r="B626" s="11" t="n">
        <f aca="false">A626/12</f>
        <v>51.8333333333333</v>
      </c>
      <c r="C626" s="34" t="n">
        <f aca="false">INT(B626)</f>
        <v>51</v>
      </c>
      <c r="D626" s="11" t="n">
        <f aca="false">B626-C626</f>
        <v>0.833333333333336</v>
      </c>
      <c r="E626" s="30" t="n">
        <f aca="false">INDEX(Discount!$C$4:$C$59,C626+1)</f>
        <v>0.198923989220914</v>
      </c>
      <c r="F626" s="30" t="n">
        <f aca="false">IF(C626+2&gt;56,INDEX(Discount!$C$4:$C$59,56),INDEX(Discount!$C$4:$C$59,C626+2))</f>
        <v>0.192626988225572</v>
      </c>
      <c r="G626" s="30" t="n">
        <f aca="false">IF(D626=0,E626,EXP((1-D626)*LN(E626)+D626*LN(F626)))</f>
        <v>0.193662472395183</v>
      </c>
    </row>
    <row r="627" customFormat="false" ht="15" hidden="false" customHeight="true" outlineLevel="0" collapsed="false">
      <c r="A627" s="1" t="n">
        <v>623</v>
      </c>
      <c r="B627" s="11" t="n">
        <f aca="false">A627/12</f>
        <v>51.9166666666667</v>
      </c>
      <c r="C627" s="34" t="n">
        <f aca="false">INT(B627)</f>
        <v>51</v>
      </c>
      <c r="D627" s="11" t="n">
        <f aca="false">B627-C627</f>
        <v>0.916666666666664</v>
      </c>
      <c r="E627" s="30" t="n">
        <f aca="false">INDEX(Discount!$C$4:$C$59,C627+1)</f>
        <v>0.198923989220914</v>
      </c>
      <c r="F627" s="30" t="n">
        <f aca="false">IF(C627+2&gt;56,INDEX(Discount!$C$4:$C$59,56),INDEX(Discount!$C$4:$C$59,C627+2))</f>
        <v>0.192626988225572</v>
      </c>
      <c r="G627" s="30" t="n">
        <f aca="false">IF(D627=0,E627,EXP((1-D627)*LN(E627)+D627*LN(F627)))</f>
        <v>0.193144036381666</v>
      </c>
    </row>
    <row r="628" customFormat="false" ht="15" hidden="false" customHeight="true" outlineLevel="0" collapsed="false">
      <c r="A628" s="1" t="n">
        <v>624</v>
      </c>
      <c r="B628" s="11" t="n">
        <f aca="false">A628/12</f>
        <v>52</v>
      </c>
      <c r="C628" s="34" t="n">
        <f aca="false">INT(B628)</f>
        <v>52</v>
      </c>
      <c r="D628" s="11" t="n">
        <f aca="false">B628-C628</f>
        <v>0</v>
      </c>
      <c r="E628" s="30" t="n">
        <f aca="false">INDEX(Discount!$C$4:$C$59,C628+1)</f>
        <v>0.192626988225572</v>
      </c>
      <c r="F628" s="30" t="n">
        <f aca="false">IF(C628+2&gt;56,INDEX(Discount!$C$4:$C$59,56),INDEX(Discount!$C$4:$C$59,C628+2))</f>
        <v>0.186525707429552</v>
      </c>
      <c r="G628" s="30" t="n">
        <f aca="false">IF(D628=0,E628,EXP((1-D628)*LN(E628)+D628*LN(F628)))</f>
        <v>0.192626988225572</v>
      </c>
    </row>
    <row r="629" customFormat="false" ht="15" hidden="false" customHeight="true" outlineLevel="0" collapsed="false">
      <c r="A629" s="1" t="n">
        <v>625</v>
      </c>
      <c r="B629" s="11" t="n">
        <f aca="false">A629/12</f>
        <v>52.0833333333333</v>
      </c>
      <c r="C629" s="34" t="n">
        <f aca="false">INT(B629)</f>
        <v>52</v>
      </c>
      <c r="D629" s="11" t="n">
        <f aca="false">B629-C629</f>
        <v>0.0833333333333357</v>
      </c>
      <c r="E629" s="30" t="n">
        <f aca="false">INDEX(Discount!$C$4:$C$59,C629+1)</f>
        <v>0.192626988225572</v>
      </c>
      <c r="F629" s="30" t="n">
        <f aca="false">IF(C629+2&gt;56,INDEX(Discount!$C$4:$C$59,56),INDEX(Discount!$C$4:$C$59,C629+2))</f>
        <v>0.186525707429552</v>
      </c>
      <c r="G629" s="30" t="n">
        <f aca="false">IF(D629=0,E629,EXP((1-D629)*LN(E629)+D629*LN(F629)))</f>
        <v>0.192111014086784</v>
      </c>
    </row>
    <row r="630" customFormat="false" ht="15" hidden="false" customHeight="true" outlineLevel="0" collapsed="false">
      <c r="A630" s="1" t="n">
        <v>626</v>
      </c>
      <c r="B630" s="11" t="n">
        <f aca="false">A630/12</f>
        <v>52.1666666666667</v>
      </c>
      <c r="C630" s="34" t="n">
        <f aca="false">INT(B630)</f>
        <v>52</v>
      </c>
      <c r="D630" s="11" t="n">
        <f aca="false">B630-C630</f>
        <v>0.166666666666664</v>
      </c>
      <c r="E630" s="30" t="n">
        <f aca="false">INDEX(Discount!$C$4:$C$59,C630+1)</f>
        <v>0.192626988225572</v>
      </c>
      <c r="F630" s="30" t="n">
        <f aca="false">IF(C630+2&gt;56,INDEX(Discount!$C$4:$C$59,56),INDEX(Discount!$C$4:$C$59,C630+2))</f>
        <v>0.186525707429552</v>
      </c>
      <c r="G630" s="30" t="n">
        <f aca="false">IF(D630=0,E630,EXP((1-D630)*LN(E630)+D630*LN(F630)))</f>
        <v>0.191596422045668</v>
      </c>
    </row>
    <row r="631" customFormat="false" ht="15" hidden="false" customHeight="true" outlineLevel="0" collapsed="false">
      <c r="A631" s="1" t="n">
        <v>627</v>
      </c>
      <c r="B631" s="11" t="n">
        <f aca="false">A631/12</f>
        <v>52.25</v>
      </c>
      <c r="C631" s="34" t="n">
        <f aca="false">INT(B631)</f>
        <v>52</v>
      </c>
      <c r="D631" s="11" t="n">
        <f aca="false">B631-C631</f>
        <v>0.25</v>
      </c>
      <c r="E631" s="30" t="n">
        <f aca="false">INDEX(Discount!$C$4:$C$59,C631+1)</f>
        <v>0.192626988225572</v>
      </c>
      <c r="F631" s="30" t="n">
        <f aca="false">IF(C631+2&gt;56,INDEX(Discount!$C$4:$C$59,56),INDEX(Discount!$C$4:$C$59,C631+2))</f>
        <v>0.186525707429552</v>
      </c>
      <c r="G631" s="30" t="n">
        <f aca="false">IF(D631=0,E631,EXP((1-D631)*LN(E631)+D631*LN(F631)))</f>
        <v>0.191083208400112</v>
      </c>
    </row>
    <row r="632" customFormat="false" ht="15" hidden="false" customHeight="true" outlineLevel="0" collapsed="false">
      <c r="A632" s="1" t="n">
        <v>628</v>
      </c>
      <c r="B632" s="11" t="n">
        <f aca="false">A632/12</f>
        <v>52.3333333333333</v>
      </c>
      <c r="C632" s="34" t="n">
        <f aca="false">INT(B632)</f>
        <v>52</v>
      </c>
      <c r="D632" s="11" t="n">
        <f aca="false">B632-C632</f>
        <v>0.333333333333336</v>
      </c>
      <c r="E632" s="30" t="n">
        <f aca="false">INDEX(Discount!$C$4:$C$59,C632+1)</f>
        <v>0.192626988225572</v>
      </c>
      <c r="F632" s="30" t="n">
        <f aca="false">IF(C632+2&gt;56,INDEX(Discount!$C$4:$C$59,56),INDEX(Discount!$C$4:$C$59,C632+2))</f>
        <v>0.186525707429552</v>
      </c>
      <c r="G632" s="30" t="n">
        <f aca="false">IF(D632=0,E632,EXP((1-D632)*LN(E632)+D632*LN(F632)))</f>
        <v>0.19057136945792</v>
      </c>
    </row>
    <row r="633" customFormat="false" ht="15" hidden="false" customHeight="true" outlineLevel="0" collapsed="false">
      <c r="A633" s="1" t="n">
        <v>629</v>
      </c>
      <c r="B633" s="11" t="n">
        <f aca="false">A633/12</f>
        <v>52.4166666666667</v>
      </c>
      <c r="C633" s="34" t="n">
        <f aca="false">INT(B633)</f>
        <v>52</v>
      </c>
      <c r="D633" s="11" t="n">
        <f aca="false">B633-C633</f>
        <v>0.416666666666664</v>
      </c>
      <c r="E633" s="30" t="n">
        <f aca="false">INDEX(Discount!$C$4:$C$59,C633+1)</f>
        <v>0.192626988225572</v>
      </c>
      <c r="F633" s="30" t="n">
        <f aca="false">IF(C633+2&gt;56,INDEX(Discount!$C$4:$C$59,56),INDEX(Discount!$C$4:$C$59,C633+2))</f>
        <v>0.186525707429552</v>
      </c>
      <c r="G633" s="30" t="n">
        <f aca="false">IF(D633=0,E633,EXP((1-D633)*LN(E633)+D633*LN(F633)))</f>
        <v>0.190060901536787</v>
      </c>
    </row>
    <row r="634" customFormat="false" ht="15" hidden="false" customHeight="true" outlineLevel="0" collapsed="false">
      <c r="A634" s="1" t="n">
        <v>630</v>
      </c>
      <c r="B634" s="11" t="n">
        <f aca="false">A634/12</f>
        <v>52.5</v>
      </c>
      <c r="C634" s="34" t="n">
        <f aca="false">INT(B634)</f>
        <v>52</v>
      </c>
      <c r="D634" s="11" t="n">
        <f aca="false">B634-C634</f>
        <v>0.5</v>
      </c>
      <c r="E634" s="30" t="n">
        <f aca="false">INDEX(Discount!$C$4:$C$59,C634+1)</f>
        <v>0.192626988225572</v>
      </c>
      <c r="F634" s="30" t="n">
        <f aca="false">IF(C634+2&gt;56,INDEX(Discount!$C$4:$C$59,56),INDEX(Discount!$C$4:$C$59,C634+2))</f>
        <v>0.186525707429552</v>
      </c>
      <c r="G634" s="30" t="n">
        <f aca="false">IF(D634=0,E634,EXP((1-D634)*LN(E634)+D634*LN(F634)))</f>
        <v>0.189551800964271</v>
      </c>
    </row>
    <row r="635" customFormat="false" ht="15" hidden="false" customHeight="true" outlineLevel="0" collapsed="false">
      <c r="A635" s="1" t="n">
        <v>631</v>
      </c>
      <c r="B635" s="11" t="n">
        <f aca="false">A635/12</f>
        <v>52.5833333333333</v>
      </c>
      <c r="C635" s="34" t="n">
        <f aca="false">INT(B635)</f>
        <v>52</v>
      </c>
      <c r="D635" s="11" t="n">
        <f aca="false">B635-C635</f>
        <v>0.583333333333336</v>
      </c>
      <c r="E635" s="30" t="n">
        <f aca="false">INDEX(Discount!$C$4:$C$59,C635+1)</f>
        <v>0.192626988225572</v>
      </c>
      <c r="F635" s="30" t="n">
        <f aca="false">IF(C635+2&gt;56,INDEX(Discount!$C$4:$C$59,56),INDEX(Discount!$C$4:$C$59,C635+2))</f>
        <v>0.186525707429552</v>
      </c>
      <c r="G635" s="30" t="n">
        <f aca="false">IF(D635=0,E635,EXP((1-D635)*LN(E635)+D635*LN(F635)))</f>
        <v>0.189044064077768</v>
      </c>
    </row>
    <row r="636" customFormat="false" ht="15" hidden="false" customHeight="true" outlineLevel="0" collapsed="false">
      <c r="A636" s="1" t="n">
        <v>632</v>
      </c>
      <c r="B636" s="11" t="n">
        <f aca="false">A636/12</f>
        <v>52.6666666666667</v>
      </c>
      <c r="C636" s="34" t="n">
        <f aca="false">INT(B636)</f>
        <v>52</v>
      </c>
      <c r="D636" s="11" t="n">
        <f aca="false">B636-C636</f>
        <v>0.666666666666664</v>
      </c>
      <c r="E636" s="30" t="n">
        <f aca="false">INDEX(Discount!$C$4:$C$59,C636+1)</f>
        <v>0.192626988225572</v>
      </c>
      <c r="F636" s="30" t="n">
        <f aca="false">IF(C636+2&gt;56,INDEX(Discount!$C$4:$C$59,56),INDEX(Discount!$C$4:$C$59,C636+2))</f>
        <v>0.186525707429552</v>
      </c>
      <c r="G636" s="30" t="n">
        <f aca="false">IF(D636=0,E636,EXP((1-D636)*LN(E636)+D636*LN(F636)))</f>
        <v>0.188537687224483</v>
      </c>
    </row>
    <row r="637" customFormat="false" ht="15" hidden="false" customHeight="true" outlineLevel="0" collapsed="false">
      <c r="A637" s="1" t="n">
        <v>633</v>
      </c>
      <c r="B637" s="11" t="n">
        <f aca="false">A637/12</f>
        <v>52.75</v>
      </c>
      <c r="C637" s="34" t="n">
        <f aca="false">INT(B637)</f>
        <v>52</v>
      </c>
      <c r="D637" s="11" t="n">
        <f aca="false">B637-C637</f>
        <v>0.75</v>
      </c>
      <c r="E637" s="30" t="n">
        <f aca="false">INDEX(Discount!$C$4:$C$59,C637+1)</f>
        <v>0.192626988225572</v>
      </c>
      <c r="F637" s="30" t="n">
        <f aca="false">IF(C637+2&gt;56,INDEX(Discount!$C$4:$C$59,56),INDEX(Discount!$C$4:$C$59,C637+2))</f>
        <v>0.186525707429552</v>
      </c>
      <c r="G637" s="30" t="n">
        <f aca="false">IF(D637=0,E637,EXP((1-D637)*LN(E637)+D637*LN(F637)))</f>
        <v>0.188032666761407</v>
      </c>
    </row>
    <row r="638" customFormat="false" ht="15" hidden="false" customHeight="true" outlineLevel="0" collapsed="false">
      <c r="A638" s="1" t="n">
        <v>634</v>
      </c>
      <c r="B638" s="11" t="n">
        <f aca="false">A638/12</f>
        <v>52.8333333333333</v>
      </c>
      <c r="C638" s="34" t="n">
        <f aca="false">INT(B638)</f>
        <v>52</v>
      </c>
      <c r="D638" s="11" t="n">
        <f aca="false">B638-C638</f>
        <v>0.833333333333336</v>
      </c>
      <c r="E638" s="30" t="n">
        <f aca="false">INDEX(Discount!$C$4:$C$59,C638+1)</f>
        <v>0.192626988225572</v>
      </c>
      <c r="F638" s="30" t="n">
        <f aca="false">IF(C638+2&gt;56,INDEX(Discount!$C$4:$C$59,56),INDEX(Discount!$C$4:$C$59,C638+2))</f>
        <v>0.186525707429552</v>
      </c>
      <c r="G638" s="30" t="n">
        <f aca="false">IF(D638=0,E638,EXP((1-D638)*LN(E638)+D638*LN(F638)))</f>
        <v>0.187528999055288</v>
      </c>
    </row>
    <row r="639" customFormat="false" ht="15" hidden="false" customHeight="true" outlineLevel="0" collapsed="false">
      <c r="A639" s="1" t="n">
        <v>635</v>
      </c>
      <c r="B639" s="11" t="n">
        <f aca="false">A639/12</f>
        <v>52.9166666666667</v>
      </c>
      <c r="C639" s="34" t="n">
        <f aca="false">INT(B639)</f>
        <v>52</v>
      </c>
      <c r="D639" s="11" t="n">
        <f aca="false">B639-C639</f>
        <v>0.916666666666664</v>
      </c>
      <c r="E639" s="30" t="n">
        <f aca="false">INDEX(Discount!$C$4:$C$59,C639+1)</f>
        <v>0.192626988225572</v>
      </c>
      <c r="F639" s="30" t="n">
        <f aca="false">IF(C639+2&gt;56,INDEX(Discount!$C$4:$C$59,56),INDEX(Discount!$C$4:$C$59,C639+2))</f>
        <v>0.186525707429552</v>
      </c>
      <c r="G639" s="30" t="n">
        <f aca="false">IF(D639=0,E639,EXP((1-D639)*LN(E639)+D639*LN(F639)))</f>
        <v>0.187026680482607</v>
      </c>
    </row>
    <row r="640" customFormat="false" ht="15" hidden="false" customHeight="true" outlineLevel="0" collapsed="false">
      <c r="A640" s="1" t="n">
        <v>636</v>
      </c>
      <c r="B640" s="11" t="n">
        <f aca="false">A640/12</f>
        <v>53</v>
      </c>
      <c r="C640" s="34" t="n">
        <f aca="false">INT(B640)</f>
        <v>53</v>
      </c>
      <c r="D640" s="11" t="n">
        <f aca="false">B640-C640</f>
        <v>0</v>
      </c>
      <c r="E640" s="30" t="n">
        <f aca="false">INDEX(Discount!$C$4:$C$59,C640+1)</f>
        <v>0.186525707429552</v>
      </c>
      <c r="F640" s="30" t="n">
        <f aca="false">IF(C640+2&gt;56,INDEX(Discount!$C$4:$C$59,56),INDEX(Discount!$C$4:$C$59,C640+2))</f>
        <v>0.180519716326691</v>
      </c>
      <c r="G640" s="30" t="n">
        <f aca="false">IF(D640=0,E640,EXP((1-D640)*LN(E640)+D640*LN(F640)))</f>
        <v>0.186525707429552</v>
      </c>
    </row>
    <row r="641" customFormat="false" ht="15" hidden="false" customHeight="true" outlineLevel="0" collapsed="false">
      <c r="A641" s="1" t="n">
        <v>637</v>
      </c>
      <c r="B641" s="11" t="n">
        <f aca="false">A641/12</f>
        <v>53.0833333333333</v>
      </c>
      <c r="C641" s="34" t="n">
        <f aca="false">INT(B641)</f>
        <v>53</v>
      </c>
      <c r="D641" s="11" t="n">
        <f aca="false">B641-C641</f>
        <v>0.0833333333333357</v>
      </c>
      <c r="E641" s="30" t="n">
        <f aca="false">INDEX(Discount!$C$4:$C$59,C641+1)</f>
        <v>0.186525707429552</v>
      </c>
      <c r="F641" s="30" t="n">
        <f aca="false">IF(C641+2&gt;56,INDEX(Discount!$C$4:$C$59,56),INDEX(Discount!$C$4:$C$59,C641+2))</f>
        <v>0.180519716326691</v>
      </c>
      <c r="G641" s="30" t="n">
        <f aca="false">IF(D641=0,E641,EXP((1-D641)*LN(E641)+D641*LN(F641)))</f>
        <v>0.186017666193641</v>
      </c>
    </row>
    <row r="642" customFormat="false" ht="15" hidden="false" customHeight="true" outlineLevel="0" collapsed="false">
      <c r="A642" s="1" t="n">
        <v>638</v>
      </c>
      <c r="B642" s="11" t="n">
        <f aca="false">A642/12</f>
        <v>53.1666666666667</v>
      </c>
      <c r="C642" s="34" t="n">
        <f aca="false">INT(B642)</f>
        <v>53</v>
      </c>
      <c r="D642" s="11" t="n">
        <f aca="false">B642-C642</f>
        <v>0.166666666666664</v>
      </c>
      <c r="E642" s="30" t="n">
        <f aca="false">INDEX(Discount!$C$4:$C$59,C642+1)</f>
        <v>0.186525707429552</v>
      </c>
      <c r="F642" s="30" t="n">
        <f aca="false">IF(C642+2&gt;56,INDEX(Discount!$C$4:$C$59,56),INDEX(Discount!$C$4:$C$59,C642+2))</f>
        <v>0.180519716326691</v>
      </c>
      <c r="G642" s="30" t="n">
        <f aca="false">IF(D642=0,E642,EXP((1-D642)*LN(E642)+D642*LN(F642)))</f>
        <v>0.185511008712822</v>
      </c>
    </row>
    <row r="643" customFormat="false" ht="15" hidden="false" customHeight="true" outlineLevel="0" collapsed="false">
      <c r="A643" s="1" t="n">
        <v>639</v>
      </c>
      <c r="B643" s="11" t="n">
        <f aca="false">A643/12</f>
        <v>53.25</v>
      </c>
      <c r="C643" s="34" t="n">
        <f aca="false">INT(B643)</f>
        <v>53</v>
      </c>
      <c r="D643" s="11" t="n">
        <f aca="false">B643-C643</f>
        <v>0.25</v>
      </c>
      <c r="E643" s="30" t="n">
        <f aca="false">INDEX(Discount!$C$4:$C$59,C643+1)</f>
        <v>0.186525707429552</v>
      </c>
      <c r="F643" s="30" t="n">
        <f aca="false">IF(C643+2&gt;56,INDEX(Discount!$C$4:$C$59,56),INDEX(Discount!$C$4:$C$59,C643+2))</f>
        <v>0.180519716326691</v>
      </c>
      <c r="G643" s="30" t="n">
        <f aca="false">IF(D643=0,E643,EXP((1-D643)*LN(E643)+D643*LN(F643)))</f>
        <v>0.185005731218152</v>
      </c>
    </row>
    <row r="644" customFormat="false" ht="15" hidden="false" customHeight="true" outlineLevel="0" collapsed="false">
      <c r="A644" s="1" t="n">
        <v>640</v>
      </c>
      <c r="B644" s="11" t="n">
        <f aca="false">A644/12</f>
        <v>53.3333333333333</v>
      </c>
      <c r="C644" s="34" t="n">
        <f aca="false">INT(B644)</f>
        <v>53</v>
      </c>
      <c r="D644" s="11" t="n">
        <f aca="false">B644-C644</f>
        <v>0.333333333333336</v>
      </c>
      <c r="E644" s="30" t="n">
        <f aca="false">INDEX(Discount!$C$4:$C$59,C644+1)</f>
        <v>0.186525707429552</v>
      </c>
      <c r="F644" s="30" t="n">
        <f aca="false">IF(C644+2&gt;56,INDEX(Discount!$C$4:$C$59,56),INDEX(Discount!$C$4:$C$59,C644+2))</f>
        <v>0.180519716326691</v>
      </c>
      <c r="G644" s="30" t="n">
        <f aca="false">IF(D644=0,E644,EXP((1-D644)*LN(E644)+D644*LN(F644)))</f>
        <v>0.184501829950955</v>
      </c>
    </row>
    <row r="645" customFormat="false" ht="15" hidden="false" customHeight="true" outlineLevel="0" collapsed="false">
      <c r="A645" s="1" t="n">
        <v>641</v>
      </c>
      <c r="B645" s="11" t="n">
        <f aca="false">A645/12</f>
        <v>53.4166666666667</v>
      </c>
      <c r="C645" s="34" t="n">
        <f aca="false">INT(B645)</f>
        <v>53</v>
      </c>
      <c r="D645" s="11" t="n">
        <f aca="false">B645-C645</f>
        <v>0.416666666666664</v>
      </c>
      <c r="E645" s="30" t="n">
        <f aca="false">INDEX(Discount!$C$4:$C$59,C645+1)</f>
        <v>0.186525707429552</v>
      </c>
      <c r="F645" s="30" t="n">
        <f aca="false">IF(C645+2&gt;56,INDEX(Discount!$C$4:$C$59,56),INDEX(Discount!$C$4:$C$59,C645+2))</f>
        <v>0.180519716326691</v>
      </c>
      <c r="G645" s="30" t="n">
        <f aca="false">IF(D645=0,E645,EXP((1-D645)*LN(E645)+D645*LN(F645)))</f>
        <v>0.183999301162791</v>
      </c>
    </row>
    <row r="646" customFormat="false" ht="15" hidden="false" customHeight="true" outlineLevel="0" collapsed="false">
      <c r="A646" s="1" t="n">
        <v>642</v>
      </c>
      <c r="B646" s="11" t="n">
        <f aca="false">A646/12</f>
        <v>53.5</v>
      </c>
      <c r="C646" s="34" t="n">
        <f aca="false">INT(B646)</f>
        <v>53</v>
      </c>
      <c r="D646" s="11" t="n">
        <f aca="false">B646-C646</f>
        <v>0.5</v>
      </c>
      <c r="E646" s="30" t="n">
        <f aca="false">INDEX(Discount!$C$4:$C$59,C646+1)</f>
        <v>0.186525707429552</v>
      </c>
      <c r="F646" s="30" t="n">
        <f aca="false">IF(C646+2&gt;56,INDEX(Discount!$C$4:$C$59,56),INDEX(Discount!$C$4:$C$59,C646+2))</f>
        <v>0.180519716326691</v>
      </c>
      <c r="G646" s="30" t="n">
        <f aca="false">IF(D646=0,E646,EXP((1-D646)*LN(E646)+D646*LN(F646)))</f>
        <v>0.183498141115429</v>
      </c>
    </row>
    <row r="647" customFormat="false" ht="15" hidden="false" customHeight="true" outlineLevel="0" collapsed="false">
      <c r="A647" s="1" t="n">
        <v>643</v>
      </c>
      <c r="B647" s="11" t="n">
        <f aca="false">A647/12</f>
        <v>53.5833333333333</v>
      </c>
      <c r="C647" s="34" t="n">
        <f aca="false">INT(B647)</f>
        <v>53</v>
      </c>
      <c r="D647" s="11" t="n">
        <f aca="false">B647-C647</f>
        <v>0.583333333333336</v>
      </c>
      <c r="E647" s="30" t="n">
        <f aca="false">INDEX(Discount!$C$4:$C$59,C647+1)</f>
        <v>0.186525707429552</v>
      </c>
      <c r="F647" s="30" t="n">
        <f aca="false">IF(C647+2&gt;56,INDEX(Discount!$C$4:$C$59,56),INDEX(Discount!$C$4:$C$59,C647+2))</f>
        <v>0.180519716326691</v>
      </c>
      <c r="G647" s="30" t="n">
        <f aca="false">IF(D647=0,E647,EXP((1-D647)*LN(E647)+D647*LN(F647)))</f>
        <v>0.182998346080824</v>
      </c>
    </row>
    <row r="648" customFormat="false" ht="15" hidden="false" customHeight="true" outlineLevel="0" collapsed="false">
      <c r="A648" s="1" t="n">
        <v>644</v>
      </c>
      <c r="B648" s="11" t="n">
        <f aca="false">A648/12</f>
        <v>53.6666666666667</v>
      </c>
      <c r="C648" s="34" t="n">
        <f aca="false">INT(B648)</f>
        <v>53</v>
      </c>
      <c r="D648" s="11" t="n">
        <f aca="false">B648-C648</f>
        <v>0.666666666666664</v>
      </c>
      <c r="E648" s="30" t="n">
        <f aca="false">INDEX(Discount!$C$4:$C$59,C648+1)</f>
        <v>0.186525707429552</v>
      </c>
      <c r="F648" s="30" t="n">
        <f aca="false">IF(C648+2&gt;56,INDEX(Discount!$C$4:$C$59,56),INDEX(Discount!$C$4:$C$59,C648+2))</f>
        <v>0.180519716326691</v>
      </c>
      <c r="G648" s="30" t="n">
        <f aca="false">IF(D648=0,E648,EXP((1-D648)*LN(E648)+D648*LN(F648)))</f>
        <v>0.18249991234108</v>
      </c>
    </row>
    <row r="649" customFormat="false" ht="15" hidden="false" customHeight="true" outlineLevel="0" collapsed="false">
      <c r="A649" s="1" t="n">
        <v>645</v>
      </c>
      <c r="B649" s="11" t="n">
        <f aca="false">A649/12</f>
        <v>53.75</v>
      </c>
      <c r="C649" s="34" t="n">
        <f aca="false">INT(B649)</f>
        <v>53</v>
      </c>
      <c r="D649" s="11" t="n">
        <f aca="false">B649-C649</f>
        <v>0.75</v>
      </c>
      <c r="E649" s="30" t="n">
        <f aca="false">INDEX(Discount!$C$4:$C$59,C649+1)</f>
        <v>0.186525707429552</v>
      </c>
      <c r="F649" s="30" t="n">
        <f aca="false">IF(C649+2&gt;56,INDEX(Discount!$C$4:$C$59,56),INDEX(Discount!$C$4:$C$59,C649+2))</f>
        <v>0.180519716326691</v>
      </c>
      <c r="G649" s="30" t="n">
        <f aca="false">IF(D649=0,E649,EXP((1-D649)*LN(E649)+D649*LN(F649)))</f>
        <v>0.18200283618843</v>
      </c>
    </row>
    <row r="650" customFormat="false" ht="15" hidden="false" customHeight="true" outlineLevel="0" collapsed="false">
      <c r="A650" s="1" t="n">
        <v>646</v>
      </c>
      <c r="B650" s="11" t="n">
        <f aca="false">A650/12</f>
        <v>53.8333333333333</v>
      </c>
      <c r="C650" s="34" t="n">
        <f aca="false">INT(B650)</f>
        <v>53</v>
      </c>
      <c r="D650" s="11" t="n">
        <f aca="false">B650-C650</f>
        <v>0.833333333333336</v>
      </c>
      <c r="E650" s="30" t="n">
        <f aca="false">INDEX(Discount!$C$4:$C$59,C650+1)</f>
        <v>0.186525707429552</v>
      </c>
      <c r="F650" s="30" t="n">
        <f aca="false">IF(C650+2&gt;56,INDEX(Discount!$C$4:$C$59,56),INDEX(Discount!$C$4:$C$59,C650+2))</f>
        <v>0.180519716326691</v>
      </c>
      <c r="G650" s="30" t="n">
        <f aca="false">IF(D650=0,E650,EXP((1-D650)*LN(E650)+D650*LN(F650)))</f>
        <v>0.181507113925206</v>
      </c>
    </row>
    <row r="651" customFormat="false" ht="15" hidden="false" customHeight="true" outlineLevel="0" collapsed="false">
      <c r="A651" s="1" t="n">
        <v>647</v>
      </c>
      <c r="B651" s="11" t="n">
        <f aca="false">A651/12</f>
        <v>53.9166666666667</v>
      </c>
      <c r="C651" s="34" t="n">
        <f aca="false">INT(B651)</f>
        <v>53</v>
      </c>
      <c r="D651" s="11" t="n">
        <f aca="false">B651-C651</f>
        <v>0.916666666666664</v>
      </c>
      <c r="E651" s="30" t="n">
        <f aca="false">INDEX(Discount!$C$4:$C$59,C651+1)</f>
        <v>0.186525707429552</v>
      </c>
      <c r="F651" s="30" t="n">
        <f aca="false">IF(C651+2&gt;56,INDEX(Discount!$C$4:$C$59,56),INDEX(Discount!$C$4:$C$59,C651+2))</f>
        <v>0.180519716326691</v>
      </c>
      <c r="G651" s="30" t="n">
        <f aca="false">IF(D651=0,E651,EXP((1-D651)*LN(E651)+D651*LN(F651)))</f>
        <v>0.181012741863811</v>
      </c>
    </row>
    <row r="652" customFormat="false" ht="15" hidden="false" customHeight="true" outlineLevel="0" collapsed="false">
      <c r="A652" s="1" t="n">
        <v>648</v>
      </c>
      <c r="B652" s="11" t="n">
        <f aca="false">A652/12</f>
        <v>54</v>
      </c>
      <c r="C652" s="34" t="n">
        <f aca="false">INT(B652)</f>
        <v>54</v>
      </c>
      <c r="D652" s="11" t="n">
        <f aca="false">B652-C652</f>
        <v>0</v>
      </c>
      <c r="E652" s="30" t="n">
        <f aca="false">INDEX(Discount!$C$4:$C$59,C652+1)</f>
        <v>0.180519716326691</v>
      </c>
      <c r="F652" s="30" t="n">
        <f aca="false">IF(C652+2&gt;56,INDEX(Discount!$C$4:$C$59,56),INDEX(Discount!$C$4:$C$59,C652+2))</f>
        <v>0.174793457507591</v>
      </c>
      <c r="G652" s="30" t="n">
        <f aca="false">IF(D652=0,E652,EXP((1-D652)*LN(E652)+D652*LN(F652)))</f>
        <v>0.180519716326691</v>
      </c>
    </row>
    <row r="653" customFormat="false" ht="15" hidden="false" customHeight="true" outlineLevel="0" collapsed="false">
      <c r="A653" s="1" t="n">
        <v>649</v>
      </c>
      <c r="B653" s="11" t="n">
        <f aca="false">A653/12</f>
        <v>54.0833333333333</v>
      </c>
      <c r="C653" s="34" t="n">
        <f aca="false">INT(B653)</f>
        <v>54</v>
      </c>
      <c r="D653" s="11" t="n">
        <f aca="false">B653-C653</f>
        <v>0.0833333333333357</v>
      </c>
      <c r="E653" s="30" t="n">
        <f aca="false">INDEX(Discount!$C$4:$C$59,C653+1)</f>
        <v>0.180519716326691</v>
      </c>
      <c r="F653" s="30" t="n">
        <f aca="false">IF(C653+2&gt;56,INDEX(Discount!$C$4:$C$59,56),INDEX(Discount!$C$4:$C$59,C653+2))</f>
        <v>0.174793457507591</v>
      </c>
      <c r="G653" s="30" t="n">
        <f aca="false">IF(D653=0,E653,EXP((1-D653)*LN(E653)+D653*LN(F653)))</f>
        <v>0.180035446423738</v>
      </c>
    </row>
    <row r="654" customFormat="false" ht="15" hidden="false" customHeight="true" outlineLevel="0" collapsed="false">
      <c r="A654" s="1" t="n">
        <v>650</v>
      </c>
      <c r="B654" s="11" t="n">
        <f aca="false">A654/12</f>
        <v>54.1666666666667</v>
      </c>
      <c r="C654" s="34" t="n">
        <f aca="false">INT(B654)</f>
        <v>54</v>
      </c>
      <c r="D654" s="11" t="n">
        <f aca="false">B654-C654</f>
        <v>0.166666666666664</v>
      </c>
      <c r="E654" s="30" t="n">
        <f aca="false">INDEX(Discount!$C$4:$C$59,C654+1)</f>
        <v>0.180519716326691</v>
      </c>
      <c r="F654" s="30" t="n">
        <f aca="false">IF(C654+2&gt;56,INDEX(Discount!$C$4:$C$59,56),INDEX(Discount!$C$4:$C$59,C654+2))</f>
        <v>0.174793457507591</v>
      </c>
      <c r="G654" s="30" t="n">
        <f aca="false">IF(D654=0,E654,EXP((1-D654)*LN(E654)+D654*LN(F654)))</f>
        <v>0.179552475643914</v>
      </c>
    </row>
    <row r="655" customFormat="false" ht="15" hidden="false" customHeight="true" outlineLevel="0" collapsed="false">
      <c r="A655" s="1" t="n">
        <v>651</v>
      </c>
      <c r="B655" s="11" t="n">
        <f aca="false">A655/12</f>
        <v>54.25</v>
      </c>
      <c r="C655" s="34" t="n">
        <f aca="false">INT(B655)</f>
        <v>54</v>
      </c>
      <c r="D655" s="11" t="n">
        <f aca="false">B655-C655</f>
        <v>0.25</v>
      </c>
      <c r="E655" s="30" t="n">
        <f aca="false">INDEX(Discount!$C$4:$C$59,C655+1)</f>
        <v>0.180519716326691</v>
      </c>
      <c r="F655" s="30" t="n">
        <f aca="false">IF(C655+2&gt;56,INDEX(Discount!$C$4:$C$59,56),INDEX(Discount!$C$4:$C$59,C655+2))</f>
        <v>0.174793457507591</v>
      </c>
      <c r="G655" s="30" t="n">
        <f aca="false">IF(D655=0,E655,EXP((1-D655)*LN(E655)+D655*LN(F655)))</f>
        <v>0.179070800502137</v>
      </c>
    </row>
    <row r="656" customFormat="false" ht="15" hidden="false" customHeight="true" outlineLevel="0" collapsed="false">
      <c r="A656" s="1" t="n">
        <v>652</v>
      </c>
      <c r="B656" s="11" t="n">
        <f aca="false">A656/12</f>
        <v>54.3333333333333</v>
      </c>
      <c r="C656" s="34" t="n">
        <f aca="false">INT(B656)</f>
        <v>54</v>
      </c>
      <c r="D656" s="11" t="n">
        <f aca="false">B656-C656</f>
        <v>0.333333333333336</v>
      </c>
      <c r="E656" s="30" t="n">
        <f aca="false">INDEX(Discount!$C$4:$C$59,C656+1)</f>
        <v>0.180519716326691</v>
      </c>
      <c r="F656" s="30" t="n">
        <f aca="false">IF(C656+2&gt;56,INDEX(Discount!$C$4:$C$59,56),INDEX(Discount!$C$4:$C$59,C656+2))</f>
        <v>0.174793457507591</v>
      </c>
      <c r="G656" s="30" t="n">
        <f aca="false">IF(D656=0,E656,EXP((1-D656)*LN(E656)+D656*LN(F656)))</f>
        <v>0.178590417522673</v>
      </c>
    </row>
    <row r="657" customFormat="false" ht="15" hidden="false" customHeight="true" outlineLevel="0" collapsed="false">
      <c r="A657" s="1" t="n">
        <v>653</v>
      </c>
      <c r="B657" s="11" t="n">
        <f aca="false">A657/12</f>
        <v>54.4166666666667</v>
      </c>
      <c r="C657" s="34" t="n">
        <f aca="false">INT(B657)</f>
        <v>54</v>
      </c>
      <c r="D657" s="11" t="n">
        <f aca="false">B657-C657</f>
        <v>0.416666666666664</v>
      </c>
      <c r="E657" s="30" t="n">
        <f aca="false">INDEX(Discount!$C$4:$C$59,C657+1)</f>
        <v>0.180519716326691</v>
      </c>
      <c r="F657" s="30" t="n">
        <f aca="false">IF(C657+2&gt;56,INDEX(Discount!$C$4:$C$59,56),INDEX(Discount!$C$4:$C$59,C657+2))</f>
        <v>0.174793457507591</v>
      </c>
      <c r="G657" s="30" t="n">
        <f aca="false">IF(D657=0,E657,EXP((1-D657)*LN(E657)+D657*LN(F657)))</f>
        <v>0.178111323239112</v>
      </c>
    </row>
    <row r="658" customFormat="false" ht="15" hidden="false" customHeight="true" outlineLevel="0" collapsed="false">
      <c r="A658" s="1" t="n">
        <v>654</v>
      </c>
      <c r="B658" s="11" t="n">
        <f aca="false">A658/12</f>
        <v>54.5</v>
      </c>
      <c r="C658" s="34" t="n">
        <f aca="false">INT(B658)</f>
        <v>54</v>
      </c>
      <c r="D658" s="11" t="n">
        <f aca="false">B658-C658</f>
        <v>0.5</v>
      </c>
      <c r="E658" s="30" t="n">
        <f aca="false">INDEX(Discount!$C$4:$C$59,C658+1)</f>
        <v>0.180519716326691</v>
      </c>
      <c r="F658" s="30" t="n">
        <f aca="false">IF(C658+2&gt;56,INDEX(Discount!$C$4:$C$59,56),INDEX(Discount!$C$4:$C$59,C658+2))</f>
        <v>0.174793457507591</v>
      </c>
      <c r="G658" s="30" t="n">
        <f aca="false">IF(D658=0,E658,EXP((1-D658)*LN(E658)+D658*LN(F658)))</f>
        <v>0.177633514194343</v>
      </c>
    </row>
    <row r="659" customFormat="false" ht="15" hidden="false" customHeight="true" outlineLevel="0" collapsed="false">
      <c r="A659" s="1" t="n">
        <v>655</v>
      </c>
      <c r="B659" s="11" t="n">
        <f aca="false">A659/12</f>
        <v>54.5833333333333</v>
      </c>
      <c r="C659" s="34" t="n">
        <f aca="false">INT(B659)</f>
        <v>54</v>
      </c>
      <c r="D659" s="11" t="n">
        <f aca="false">B659-C659</f>
        <v>0.583333333333336</v>
      </c>
      <c r="E659" s="30" t="n">
        <f aca="false">INDEX(Discount!$C$4:$C$59,C659+1)</f>
        <v>0.180519716326691</v>
      </c>
      <c r="F659" s="30" t="n">
        <f aca="false">IF(C659+2&gt;56,INDEX(Discount!$C$4:$C$59,56),INDEX(Discount!$C$4:$C$59,C659+2))</f>
        <v>0.174793457507591</v>
      </c>
      <c r="G659" s="30" t="n">
        <f aca="false">IF(D659=0,E659,EXP((1-D659)*LN(E659)+D659*LN(F659)))</f>
        <v>0.17715698694053</v>
      </c>
    </row>
    <row r="660" customFormat="false" ht="15" hidden="false" customHeight="true" outlineLevel="0" collapsed="false">
      <c r="A660" s="1" t="n">
        <v>656</v>
      </c>
      <c r="B660" s="11" t="n">
        <f aca="false">A660/12</f>
        <v>54.6666666666667</v>
      </c>
      <c r="C660" s="34" t="n">
        <f aca="false">INT(B660)</f>
        <v>54</v>
      </c>
      <c r="D660" s="11" t="n">
        <f aca="false">B660-C660</f>
        <v>0.666666666666664</v>
      </c>
      <c r="E660" s="30" t="n">
        <f aca="false">INDEX(Discount!$C$4:$C$59,C660+1)</f>
        <v>0.180519716326691</v>
      </c>
      <c r="F660" s="30" t="n">
        <f aca="false">IF(C660+2&gt;56,INDEX(Discount!$C$4:$C$59,56),INDEX(Discount!$C$4:$C$59,C660+2))</f>
        <v>0.174793457507591</v>
      </c>
      <c r="G660" s="30" t="n">
        <f aca="false">IF(D660=0,E660,EXP((1-D660)*LN(E660)+D660*LN(F660)))</f>
        <v>0.176681738039086</v>
      </c>
    </row>
    <row r="661" customFormat="false" ht="15" hidden="false" customHeight="true" outlineLevel="0" collapsed="false">
      <c r="A661" s="1" t="n">
        <v>657</v>
      </c>
      <c r="B661" s="11" t="n">
        <f aca="false">A661/12</f>
        <v>54.75</v>
      </c>
      <c r="C661" s="34" t="n">
        <f aca="false">INT(B661)</f>
        <v>54</v>
      </c>
      <c r="D661" s="11" t="n">
        <f aca="false">B661-C661</f>
        <v>0.75</v>
      </c>
      <c r="E661" s="30" t="n">
        <f aca="false">INDEX(Discount!$C$4:$C$59,C661+1)</f>
        <v>0.180519716326691</v>
      </c>
      <c r="F661" s="30" t="n">
        <f aca="false">IF(C661+2&gt;56,INDEX(Discount!$C$4:$C$59,56),INDEX(Discount!$C$4:$C$59,C661+2))</f>
        <v>0.174793457507591</v>
      </c>
      <c r="G661" s="30" t="n">
        <f aca="false">IF(D661=0,E661,EXP((1-D661)*LN(E661)+D661*LN(F661)))</f>
        <v>0.176207764060648</v>
      </c>
    </row>
    <row r="662" customFormat="false" ht="15" hidden="false" customHeight="true" outlineLevel="0" collapsed="false">
      <c r="A662" s="1" t="n">
        <v>658</v>
      </c>
      <c r="B662" s="11" t="n">
        <f aca="false">A662/12</f>
        <v>54.8333333333333</v>
      </c>
      <c r="C662" s="34" t="n">
        <f aca="false">INT(B662)</f>
        <v>54</v>
      </c>
      <c r="D662" s="11" t="n">
        <f aca="false">B662-C662</f>
        <v>0.833333333333336</v>
      </c>
      <c r="E662" s="30" t="n">
        <f aca="false">INDEX(Discount!$C$4:$C$59,C662+1)</f>
        <v>0.180519716326691</v>
      </c>
      <c r="F662" s="30" t="n">
        <f aca="false">IF(C662+2&gt;56,INDEX(Discount!$C$4:$C$59,56),INDEX(Discount!$C$4:$C$59,C662+2))</f>
        <v>0.174793457507591</v>
      </c>
      <c r="G662" s="30" t="n">
        <f aca="false">IF(D662=0,E662,EXP((1-D662)*LN(E662)+D662*LN(F662)))</f>
        <v>0.175735061585053</v>
      </c>
    </row>
    <row r="663" customFormat="false" ht="15" hidden="false" customHeight="true" outlineLevel="0" collapsed="false">
      <c r="A663" s="1" t="n">
        <v>659</v>
      </c>
      <c r="B663" s="11" t="n">
        <f aca="false">A663/12</f>
        <v>54.9166666666667</v>
      </c>
      <c r="C663" s="34" t="n">
        <f aca="false">INT(B663)</f>
        <v>54</v>
      </c>
      <c r="D663" s="11" t="n">
        <f aca="false">B663-C663</f>
        <v>0.916666666666664</v>
      </c>
      <c r="E663" s="30" t="n">
        <f aca="false">INDEX(Discount!$C$4:$C$59,C663+1)</f>
        <v>0.180519716326691</v>
      </c>
      <c r="F663" s="30" t="n">
        <f aca="false">IF(C663+2&gt;56,INDEX(Discount!$C$4:$C$59,56),INDEX(Discount!$C$4:$C$59,C663+2))</f>
        <v>0.174793457507591</v>
      </c>
      <c r="G663" s="30" t="n">
        <f aca="false">IF(D663=0,E663,EXP((1-D663)*LN(E663)+D663*LN(F663)))</f>
        <v>0.175263627201313</v>
      </c>
    </row>
    <row r="664" customFormat="false" ht="15" hidden="false" customHeight="true" outlineLevel="0" collapsed="false">
      <c r="A664" s="1" t="n">
        <v>660</v>
      </c>
      <c r="B664" s="11" t="n">
        <f aca="false">A664/12</f>
        <v>55</v>
      </c>
      <c r="C664" s="34" t="n">
        <f aca="false">INT(B664)</f>
        <v>55</v>
      </c>
      <c r="D664" s="11" t="n">
        <f aca="false">B664-C664</f>
        <v>0</v>
      </c>
      <c r="E664" s="30" t="n">
        <f aca="false">INDEX(Discount!$C$4:$C$59,C664+1)</f>
        <v>0.174793457507591</v>
      </c>
      <c r="F664" s="30" t="n">
        <f aca="false">IF(C664+2&gt;56,INDEX(Discount!$C$4:$C$59,56),INDEX(Discount!$C$4:$C$59,C664+2))</f>
        <v>0.174793457507591</v>
      </c>
      <c r="G664" s="30" t="n">
        <f aca="false">IF(D664=0,E664,EXP((1-D664)*LN(E664)+D664*LN(F664)))</f>
        <v>0.174793457507591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6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2"/>
    <col collapsed="false" customWidth="true" hidden="false" outlineLevel="0" max="3" min="3" style="1" width="22"/>
  </cols>
  <sheetData>
    <row r="1" customFormat="false" ht="15.75" hidden="false" customHeight="true" outlineLevel="0" collapsed="false">
      <c r="A1" s="1" t="s">
        <v>1944</v>
      </c>
      <c r="E1" s="3" t="s">
        <v>1945</v>
      </c>
    </row>
    <row r="3" customFormat="false" ht="15" hidden="false" customHeight="true" outlineLevel="0" collapsed="false">
      <c r="A3" s="1" t="s">
        <v>611</v>
      </c>
      <c r="B3" s="1" t="s">
        <v>1946</v>
      </c>
      <c r="C3" s="1" t="s">
        <v>1947</v>
      </c>
    </row>
    <row r="4" customFormat="false" ht="15" hidden="false" customHeight="true" outlineLevel="0" collapsed="false">
      <c r="A4" s="16" t="n">
        <v>0</v>
      </c>
      <c r="B4" s="16" t="n">
        <v>0</v>
      </c>
      <c r="C4" s="16" t="n">
        <v>1</v>
      </c>
    </row>
    <row r="5" customFormat="false" ht="15" hidden="false" customHeight="true" outlineLevel="0" collapsed="false">
      <c r="A5" s="16" t="n">
        <v>1</v>
      </c>
      <c r="B5" s="45" t="n">
        <f aca="false">INDEX(EIOPA_Source!$B$18:$B$167,MATCH(1,EIOPA_Source!$A$18:$A$167,0))</f>
        <v>0.02596</v>
      </c>
      <c r="C5" s="5" t="n">
        <f aca="false">(1+B5)^-A5</f>
        <v>0.974696869273656</v>
      </c>
    </row>
    <row r="6" customFormat="false" ht="15" hidden="false" customHeight="true" outlineLevel="0" collapsed="false">
      <c r="A6" s="16" t="n">
        <v>2</v>
      </c>
      <c r="B6" s="45" t="n">
        <f aca="false">INDEX(EIOPA_Source!$B$18:$B$167,MATCH(2,EIOPA_Source!$A$18:$A$167,0))</f>
        <v>0.02626</v>
      </c>
      <c r="C6" s="5" t="n">
        <f aca="false">(1+B6)^-A6</f>
        <v>0.949478633477643</v>
      </c>
    </row>
    <row r="7" customFormat="false" ht="15" hidden="false" customHeight="true" outlineLevel="0" collapsed="false">
      <c r="A7" s="16" t="n">
        <v>3</v>
      </c>
      <c r="B7" s="45" t="n">
        <f aca="false">INDEX(EIOPA_Source!$B$18:$B$167,MATCH(3,EIOPA_Source!$A$18:$A$167,0))</f>
        <v>0.02624</v>
      </c>
      <c r="C7" s="5" t="n">
        <f aca="false">(1+B7)^-A7</f>
        <v>0.925237412196234</v>
      </c>
    </row>
    <row r="8" customFormat="false" ht="15" hidden="false" customHeight="true" outlineLevel="0" collapsed="false">
      <c r="A8" s="16" t="n">
        <v>4</v>
      </c>
      <c r="B8" s="45" t="n">
        <f aca="false">INDEX(EIOPA_Source!$B$18:$B$167,MATCH(4,EIOPA_Source!$A$18:$A$167,0))</f>
        <v>0.02636</v>
      </c>
      <c r="C8" s="5" t="n">
        <f aca="false">(1+B8)^-A8</f>
        <v>0.901158384292743</v>
      </c>
    </row>
    <row r="9" customFormat="false" ht="15" hidden="false" customHeight="true" outlineLevel="0" collapsed="false">
      <c r="A9" s="16" t="n">
        <v>5</v>
      </c>
      <c r="B9" s="45" t="n">
        <f aca="false">INDEX(EIOPA_Source!$B$18:$B$167,MATCH(5,EIOPA_Source!$A$18:$A$167,0))</f>
        <v>0.02669</v>
      </c>
      <c r="C9" s="5" t="n">
        <f aca="false">(1+B9)^-A9</f>
        <v>0.876603781957048</v>
      </c>
    </row>
    <row r="10" customFormat="false" ht="15" hidden="false" customHeight="true" outlineLevel="0" collapsed="false">
      <c r="A10" s="16" t="n">
        <v>6</v>
      </c>
      <c r="B10" s="45" t="n">
        <f aca="false">INDEX(EIOPA_Source!$B$18:$B$167,MATCH(6,EIOPA_Source!$A$18:$A$167,0))</f>
        <v>0.02706</v>
      </c>
      <c r="C10" s="5" t="n">
        <f aca="false">(1+B10)^-A10</f>
        <v>0.851971578753519</v>
      </c>
    </row>
    <row r="11" customFormat="false" ht="15" hidden="false" customHeight="true" outlineLevel="0" collapsed="false">
      <c r="A11" s="16" t="n">
        <v>7</v>
      </c>
      <c r="B11" s="45" t="n">
        <f aca="false">INDEX(EIOPA_Source!$B$18:$B$167,MATCH(7,EIOPA_Source!$A$18:$A$167,0))</f>
        <v>0.0275</v>
      </c>
      <c r="C11" s="5" t="n">
        <f aca="false">(1+B11)^-A11</f>
        <v>0.827041278453181</v>
      </c>
    </row>
    <row r="12" customFormat="false" ht="15" hidden="false" customHeight="true" outlineLevel="0" collapsed="false">
      <c r="A12" s="16" t="n">
        <v>8</v>
      </c>
      <c r="B12" s="45" t="n">
        <f aca="false">INDEX(EIOPA_Source!$B$18:$B$167,MATCH(8,EIOPA_Source!$A$18:$A$167,0))</f>
        <v>0.02798</v>
      </c>
      <c r="C12" s="5" t="n">
        <f aca="false">(1+B12)^-A12</f>
        <v>0.801904550348561</v>
      </c>
    </row>
    <row r="13" customFormat="false" ht="15" hidden="false" customHeight="true" outlineLevel="0" collapsed="false">
      <c r="A13" s="16" t="n">
        <v>9</v>
      </c>
      <c r="B13" s="45" t="n">
        <f aca="false">INDEX(EIOPA_Source!$B$18:$B$167,MATCH(9,EIOPA_Source!$A$18:$A$167,0))</f>
        <v>0.02847</v>
      </c>
      <c r="C13" s="5" t="n">
        <f aca="false">(1+B13)^-A13</f>
        <v>0.776739422112084</v>
      </c>
    </row>
    <row r="14" customFormat="false" ht="15" hidden="false" customHeight="true" outlineLevel="0" collapsed="false">
      <c r="A14" s="16" t="n">
        <v>10</v>
      </c>
      <c r="B14" s="45" t="n">
        <f aca="false">INDEX(EIOPA_Source!$B$18:$B$167,MATCH(10,EIOPA_Source!$A$18:$A$167,0))</f>
        <v>0.02911</v>
      </c>
      <c r="C14" s="5" t="n">
        <f aca="false">(1+B14)^-A14</f>
        <v>0.750554126131835</v>
      </c>
    </row>
    <row r="15" customFormat="false" ht="15" hidden="false" customHeight="true" outlineLevel="0" collapsed="false">
      <c r="A15" s="16" t="n">
        <v>11</v>
      </c>
      <c r="B15" s="45" t="n">
        <f aca="false">INDEX(EIOPA_Source!$B$18:$B$167,MATCH(11,EIOPA_Source!$A$18:$A$167,0))</f>
        <v>0.02941</v>
      </c>
      <c r="C15" s="5" t="n">
        <f aca="false">(1+B15)^-A15</f>
        <v>0.726988915516858</v>
      </c>
    </row>
    <row r="16" customFormat="false" ht="15" hidden="false" customHeight="true" outlineLevel="0" collapsed="false">
      <c r="A16" s="16" t="n">
        <v>12</v>
      </c>
      <c r="B16" s="45" t="n">
        <f aca="false">INDEX(EIOPA_Source!$B$18:$B$167,MATCH(12,EIOPA_Source!$A$18:$A$167,0))</f>
        <v>0.02992</v>
      </c>
      <c r="C16" s="5" t="n">
        <f aca="false">(1+B16)^-A16</f>
        <v>0.702033923629033</v>
      </c>
    </row>
    <row r="17" customFormat="false" ht="15" hidden="false" customHeight="true" outlineLevel="0" collapsed="false">
      <c r="A17" s="16" t="n">
        <v>13</v>
      </c>
      <c r="B17" s="45" t="n">
        <f aca="false">INDEX(EIOPA_Source!$B$18:$B$167,MATCH(13,EIOPA_Source!$A$18:$A$167,0))</f>
        <v>0.03033</v>
      </c>
      <c r="C17" s="5" t="n">
        <f aca="false">(1+B17)^-A17</f>
        <v>0.678121495217362</v>
      </c>
    </row>
    <row r="18" customFormat="false" ht="15" hidden="false" customHeight="true" outlineLevel="0" collapsed="false">
      <c r="A18" s="16" t="n">
        <v>14</v>
      </c>
      <c r="B18" s="45" t="n">
        <f aca="false">INDEX(EIOPA_Source!$B$18:$B$167,MATCH(14,EIOPA_Source!$A$18:$A$167,0))</f>
        <v>0.03063</v>
      </c>
      <c r="C18" s="5" t="n">
        <f aca="false">(1+B18)^-A18</f>
        <v>0.655482469114705</v>
      </c>
    </row>
    <row r="19" customFormat="false" ht="15" hidden="false" customHeight="true" outlineLevel="0" collapsed="false">
      <c r="A19" s="16" t="n">
        <v>15</v>
      </c>
      <c r="B19" s="45" t="n">
        <f aca="false">INDEX(EIOPA_Source!$B$18:$B$167,MATCH(15,EIOPA_Source!$A$18:$A$167,0))</f>
        <v>0.03107</v>
      </c>
      <c r="C19" s="5" t="n">
        <f aca="false">(1+B19)^-A19</f>
        <v>0.631942752983253</v>
      </c>
    </row>
    <row r="20" customFormat="false" ht="15" hidden="false" customHeight="true" outlineLevel="0" collapsed="false">
      <c r="A20" s="16" t="n">
        <v>16</v>
      </c>
      <c r="B20" s="45" t="n">
        <f aca="false">INDEX(EIOPA_Source!$B$18:$B$167,MATCH(16,EIOPA_Source!$A$18:$A$167,0))</f>
        <v>0.03139</v>
      </c>
      <c r="C20" s="5" t="n">
        <f aca="false">(1+B20)^-A20</f>
        <v>0.609864478767281</v>
      </c>
    </row>
    <row r="21" customFormat="false" ht="15" hidden="false" customHeight="true" outlineLevel="0" collapsed="false">
      <c r="A21" s="16" t="n">
        <v>17</v>
      </c>
      <c r="B21" s="45" t="n">
        <f aca="false">INDEX(EIOPA_Source!$B$18:$B$167,MATCH(17,EIOPA_Source!$A$18:$A$167,0))</f>
        <v>0.03156</v>
      </c>
      <c r="C21" s="5" t="n">
        <f aca="false">(1+B21)^-A21</f>
        <v>0.589649060111137</v>
      </c>
    </row>
    <row r="22" customFormat="false" ht="15" hidden="false" customHeight="true" outlineLevel="0" collapsed="false">
      <c r="A22" s="16" t="n">
        <v>18</v>
      </c>
      <c r="B22" s="45" t="n">
        <f aca="false">INDEX(EIOPA_Source!$B$18:$B$167,MATCH(18,EIOPA_Source!$A$18:$A$167,0))</f>
        <v>0.03165</v>
      </c>
      <c r="C22" s="5" t="n">
        <f aca="false">(1+B22)^-A22</f>
        <v>0.570712145170615</v>
      </c>
    </row>
    <row r="23" customFormat="false" ht="15" hidden="false" customHeight="true" outlineLevel="0" collapsed="false">
      <c r="A23" s="16" t="n">
        <v>19</v>
      </c>
      <c r="B23" s="45" t="n">
        <f aca="false">INDEX(EIOPA_Source!$B$18:$B$167,MATCH(19,EIOPA_Source!$A$18:$A$167,0))</f>
        <v>0.03168</v>
      </c>
      <c r="C23" s="5" t="n">
        <f aca="false">(1+B23)^-A23</f>
        <v>0.552897698820573</v>
      </c>
    </row>
    <row r="24" customFormat="false" ht="15" hidden="false" customHeight="true" outlineLevel="0" collapsed="false">
      <c r="A24" s="16" t="n">
        <v>20</v>
      </c>
      <c r="B24" s="45" t="n">
        <f aca="false">INDEX(EIOPA_Source!$B$18:$B$167,MATCH(20,EIOPA_Source!$A$18:$A$167,0))</f>
        <v>0.03169</v>
      </c>
      <c r="C24" s="5" t="n">
        <f aca="false">(1+B24)^-A24</f>
        <v>0.535815878737946</v>
      </c>
    </row>
    <row r="25" customFormat="false" ht="15" hidden="false" customHeight="true" outlineLevel="0" collapsed="false">
      <c r="A25" s="16" t="n">
        <v>21</v>
      </c>
      <c r="B25" s="45" t="n">
        <f aca="false">INDEX(EIOPA_Source!$B$18:$B$167,MATCH(21,EIOPA_Source!$A$18:$A$167,0))</f>
        <v>0.0317</v>
      </c>
      <c r="C25" s="5" t="n">
        <f aca="false">(1+B25)^-A25</f>
        <v>0.51925173773423</v>
      </c>
    </row>
    <row r="26" customFormat="false" ht="15" hidden="false" customHeight="true" outlineLevel="0" collapsed="false">
      <c r="A26" s="16" t="n">
        <v>22</v>
      </c>
      <c r="B26" s="45" t="n">
        <f aca="false">INDEX(EIOPA_Source!$B$18:$B$167,MATCH(22,EIOPA_Source!$A$18:$A$167,0))</f>
        <v>0.03171</v>
      </c>
      <c r="C26" s="5" t="n">
        <f aca="false">(1+B26)^-A26</f>
        <v>0.503189904708666</v>
      </c>
    </row>
    <row r="27" customFormat="false" ht="15" hidden="false" customHeight="true" outlineLevel="0" collapsed="false">
      <c r="A27" s="16" t="n">
        <v>23</v>
      </c>
      <c r="B27" s="45" t="n">
        <f aca="false">INDEX(EIOPA_Source!$B$18:$B$167,MATCH(23,EIOPA_Source!$A$18:$A$167,0))</f>
        <v>0.03172</v>
      </c>
      <c r="C27" s="5" t="n">
        <f aca="false">(1+B27)^-A27</f>
        <v>0.487615455114014</v>
      </c>
    </row>
    <row r="28" customFormat="false" ht="15" hidden="false" customHeight="true" outlineLevel="0" collapsed="false">
      <c r="A28" s="16" t="n">
        <v>24</v>
      </c>
      <c r="B28" s="45" t="n">
        <f aca="false">INDEX(EIOPA_Source!$B$18:$B$167,MATCH(24,EIOPA_Source!$A$18:$A$167,0))</f>
        <v>0.03174</v>
      </c>
      <c r="C28" s="5" t="n">
        <f aca="false">(1+B28)^-A28</f>
        <v>0.472403995889235</v>
      </c>
    </row>
    <row r="29" customFormat="false" ht="15" hidden="false" customHeight="true" outlineLevel="0" collapsed="false">
      <c r="A29" s="16" t="n">
        <v>25</v>
      </c>
      <c r="B29" s="45" t="n">
        <f aca="false">INDEX(EIOPA_Source!$B$18:$B$167,MATCH(25,EIOPA_Source!$A$18:$A$167,0))</f>
        <v>0.03175</v>
      </c>
      <c r="C29" s="5" t="n">
        <f aca="false">(1+B29)^-A29</f>
        <v>0.457760232732789</v>
      </c>
    </row>
    <row r="30" customFormat="false" ht="15" hidden="false" customHeight="true" outlineLevel="0" collapsed="false">
      <c r="A30" s="16" t="n">
        <v>26</v>
      </c>
      <c r="B30" s="45" t="n">
        <f aca="false">INDEX(EIOPA_Source!$B$18:$B$167,MATCH(26,EIOPA_Source!$A$18:$A$167,0))</f>
        <v>0.03177</v>
      </c>
      <c r="C30" s="5" t="n">
        <f aca="false">(1+B30)^-A30</f>
        <v>0.443450043931947</v>
      </c>
    </row>
    <row r="31" customFormat="false" ht="15" hidden="false" customHeight="true" outlineLevel="0" collapsed="false">
      <c r="A31" s="16" t="n">
        <v>27</v>
      </c>
      <c r="B31" s="45" t="n">
        <f aca="false">INDEX(EIOPA_Source!$B$18:$B$167,MATCH(27,EIOPA_Source!$A$18:$A$167,0))</f>
        <v>0.03178</v>
      </c>
      <c r="C31" s="5" t="n">
        <f aca="false">(1+B31)^-A31</f>
        <v>0.429682986428135</v>
      </c>
    </row>
    <row r="32" customFormat="false" ht="15" hidden="false" customHeight="true" outlineLevel="0" collapsed="false">
      <c r="A32" s="16" t="n">
        <v>28</v>
      </c>
      <c r="B32" s="45" t="n">
        <f aca="false">INDEX(EIOPA_Source!$B$18:$B$167,MATCH(28,EIOPA_Source!$A$18:$A$167,0))</f>
        <v>0.0318</v>
      </c>
      <c r="C32" s="5" t="n">
        <f aca="false">(1+B32)^-A32</f>
        <v>0.41622229635922</v>
      </c>
    </row>
    <row r="33" customFormat="false" ht="15" hidden="false" customHeight="true" outlineLevel="0" collapsed="false">
      <c r="A33" s="16" t="n">
        <v>29</v>
      </c>
      <c r="B33" s="45" t="n">
        <f aca="false">INDEX(EIOPA_Source!$B$18:$B$167,MATCH(29,EIOPA_Source!$A$18:$A$167,0))</f>
        <v>0.03182</v>
      </c>
      <c r="C33" s="5" t="n">
        <f aca="false">(1+B33)^-A33</f>
        <v>0.403167663933472</v>
      </c>
    </row>
    <row r="34" customFormat="false" ht="15" hidden="false" customHeight="true" outlineLevel="0" collapsed="false">
      <c r="A34" s="16" t="n">
        <v>30</v>
      </c>
      <c r="B34" s="45" t="n">
        <f aca="false">INDEX(EIOPA_Source!$B$18:$B$167,MATCH(30,EIOPA_Source!$A$18:$A$167,0))</f>
        <v>0.03184</v>
      </c>
      <c r="C34" s="5" t="n">
        <f aca="false">(1+B34)^-A34</f>
        <v>0.390507349788569</v>
      </c>
    </row>
    <row r="35" customFormat="false" ht="15" hidden="false" customHeight="true" outlineLevel="0" collapsed="false">
      <c r="A35" s="16" t="n">
        <v>31</v>
      </c>
      <c r="B35" s="45" t="n">
        <f aca="false">INDEX(EIOPA_Source!$B$18:$B$167,MATCH(31,EIOPA_Source!$A$18:$A$167,0))</f>
        <v>0.03185</v>
      </c>
      <c r="C35" s="5" t="n">
        <f aca="false">(1+B35)^-A35</f>
        <v>0.378343586433049</v>
      </c>
    </row>
    <row r="36" customFormat="false" ht="15" hidden="false" customHeight="true" outlineLevel="0" collapsed="false">
      <c r="A36" s="16" t="n">
        <v>32</v>
      </c>
      <c r="B36" s="45" t="n">
        <f aca="false">INDEX(EIOPA_Source!$B$18:$B$167,MATCH(32,EIOPA_Source!$A$18:$A$167,0))</f>
        <v>0.03187</v>
      </c>
      <c r="C36" s="5" t="n">
        <f aca="false">(1+B36)^-A36</f>
        <v>0.366437947062115</v>
      </c>
    </row>
    <row r="37" customFormat="false" ht="15" hidden="false" customHeight="true" outlineLevel="0" collapsed="false">
      <c r="A37" s="16" t="n">
        <v>33</v>
      </c>
      <c r="B37" s="45" t="n">
        <f aca="false">INDEX(EIOPA_Source!$B$18:$B$167,MATCH(33,EIOPA_Source!$A$18:$A$167,0))</f>
        <v>0.03189</v>
      </c>
      <c r="C37" s="5" t="n">
        <f aca="false">(1+B37)^-A37</f>
        <v>0.354893198656804</v>
      </c>
    </row>
    <row r="38" customFormat="false" ht="15" hidden="false" customHeight="true" outlineLevel="0" collapsed="false">
      <c r="A38" s="16" t="n">
        <v>34</v>
      </c>
      <c r="B38" s="45" t="n">
        <f aca="false">INDEX(EIOPA_Source!$B$18:$B$167,MATCH(34,EIOPA_Source!$A$18:$A$167,0))</f>
        <v>0.03191</v>
      </c>
      <c r="C38" s="5" t="n">
        <f aca="false">(1+B38)^-A38</f>
        <v>0.3436988522801</v>
      </c>
    </row>
    <row r="39" customFormat="false" ht="15" hidden="false" customHeight="true" outlineLevel="0" collapsed="false">
      <c r="A39" s="16" t="n">
        <v>35</v>
      </c>
      <c r="B39" s="45" t="n">
        <f aca="false">INDEX(EIOPA_Source!$B$18:$B$167,MATCH(35,EIOPA_Source!$A$18:$A$167,0))</f>
        <v>0.03193</v>
      </c>
      <c r="C39" s="5" t="n">
        <f aca="false">(1+B39)^-A39</f>
        <v>0.332844709518926</v>
      </c>
    </row>
    <row r="40" customFormat="false" ht="15" hidden="false" customHeight="true" outlineLevel="0" collapsed="false">
      <c r="A40" s="16" t="n">
        <v>36</v>
      </c>
      <c r="B40" s="45" t="n">
        <f aca="false">INDEX(EIOPA_Source!$B$18:$B$167,MATCH(36,EIOPA_Source!$A$18:$A$167,0))</f>
        <v>0.03194</v>
      </c>
      <c r="C40" s="5" t="n">
        <f aca="false">(1+B40)^-A40</f>
        <v>0.322433317993974</v>
      </c>
    </row>
    <row r="41" customFormat="false" ht="15" hidden="false" customHeight="true" outlineLevel="0" collapsed="false">
      <c r="A41" s="16" t="n">
        <v>37</v>
      </c>
      <c r="B41" s="45" t="n">
        <f aca="false">INDEX(EIOPA_Source!$B$18:$B$167,MATCH(37,EIOPA_Source!$A$18:$A$167,0))</f>
        <v>0.03196</v>
      </c>
      <c r="C41" s="5" t="n">
        <f aca="false">(1+B41)^-A41</f>
        <v>0.312229574865653</v>
      </c>
    </row>
    <row r="42" customFormat="false" ht="15" hidden="false" customHeight="true" outlineLevel="0" collapsed="false">
      <c r="A42" s="16" t="n">
        <v>38</v>
      </c>
      <c r="B42" s="45" t="n">
        <f aca="false">INDEX(EIOPA_Source!$B$18:$B$167,MATCH(38,EIOPA_Source!$A$18:$A$167,0))</f>
        <v>0.03198</v>
      </c>
      <c r="C42" s="5" t="n">
        <f aca="false">(1+B42)^-A42</f>
        <v>0.302337025004181</v>
      </c>
    </row>
    <row r="43" customFormat="false" ht="15" hidden="false" customHeight="true" outlineLevel="0" collapsed="false">
      <c r="A43" s="16" t="n">
        <v>39</v>
      </c>
      <c r="B43" s="45" t="n">
        <f aca="false">INDEX(EIOPA_Source!$B$18:$B$167,MATCH(39,EIOPA_Source!$A$18:$A$167,0))</f>
        <v>0.03199</v>
      </c>
      <c r="C43" s="5" t="n">
        <f aca="false">(1+B43)^-A43</f>
        <v>0.292857215894912</v>
      </c>
    </row>
    <row r="44" customFormat="false" ht="15" hidden="false" customHeight="true" outlineLevel="0" collapsed="false">
      <c r="A44" s="16" t="n">
        <v>40</v>
      </c>
      <c r="B44" s="45" t="n">
        <f aca="false">INDEX(EIOPA_Source!$B$18:$B$167,MATCH(40,EIOPA_Source!$A$18:$A$167,0))</f>
        <v>0.03201</v>
      </c>
      <c r="C44" s="5" t="n">
        <f aca="false">(1+B44)^-A44</f>
        <v>0.283559223216554</v>
      </c>
    </row>
    <row r="45" customFormat="false" ht="15" hidden="false" customHeight="true" outlineLevel="0" collapsed="false">
      <c r="A45" s="16" t="n">
        <v>41</v>
      </c>
      <c r="B45" s="45" t="n">
        <f aca="false">INDEX(EIOPA_Source!$B$18:$B$167,MATCH(41,EIOPA_Source!$A$18:$A$167,0))</f>
        <v>0.03203</v>
      </c>
      <c r="C45" s="5" t="n">
        <f aca="false">(1+B45)^-A45</f>
        <v>0.274545797407774</v>
      </c>
    </row>
    <row r="46" customFormat="false" ht="15" hidden="false" customHeight="true" outlineLevel="0" collapsed="false">
      <c r="A46" s="16" t="n">
        <v>42</v>
      </c>
      <c r="B46" s="45" t="n">
        <f aca="false">INDEX(EIOPA_Source!$B$18:$B$167,MATCH(42,EIOPA_Source!$A$18:$A$167,0))</f>
        <v>0.03204</v>
      </c>
      <c r="C46" s="5" t="n">
        <f aca="false">(1+B46)^-A46</f>
        <v>0.265916775843918</v>
      </c>
    </row>
    <row r="47" customFormat="false" ht="15" hidden="false" customHeight="true" outlineLevel="0" collapsed="false">
      <c r="A47" s="16" t="n">
        <v>43</v>
      </c>
      <c r="B47" s="45" t="n">
        <f aca="false">INDEX(EIOPA_Source!$B$18:$B$167,MATCH(43,EIOPA_Source!$A$18:$A$167,0))</f>
        <v>0.03206</v>
      </c>
      <c r="C47" s="5" t="n">
        <f aca="false">(1+B47)^-A47</f>
        <v>0.257446689628427</v>
      </c>
    </row>
    <row r="48" customFormat="false" ht="15" hidden="false" customHeight="true" outlineLevel="0" collapsed="false">
      <c r="A48" s="16" t="n">
        <v>44</v>
      </c>
      <c r="B48" s="45" t="n">
        <f aca="false">INDEX(EIOPA_Source!$B$18:$B$167,MATCH(44,EIOPA_Source!$A$18:$A$167,0))</f>
        <v>0.03207</v>
      </c>
      <c r="C48" s="5" t="n">
        <f aca="false">(1+B48)^-A48</f>
        <v>0.249343018663642</v>
      </c>
    </row>
    <row r="49" customFormat="false" ht="15" hidden="false" customHeight="true" outlineLevel="0" collapsed="false">
      <c r="A49" s="16" t="n">
        <v>45</v>
      </c>
      <c r="B49" s="45" t="n">
        <f aca="false">INDEX(EIOPA_Source!$B$18:$B$167,MATCH(45,EIOPA_Source!$A$18:$A$167,0))</f>
        <v>0.03209</v>
      </c>
      <c r="C49" s="5" t="n">
        <f aca="false">(1+B49)^-A49</f>
        <v>0.241384479723436</v>
      </c>
    </row>
    <row r="50" customFormat="false" ht="15" hidden="false" customHeight="true" outlineLevel="0" collapsed="false">
      <c r="A50" s="16" t="n">
        <v>46</v>
      </c>
      <c r="B50" s="45" t="n">
        <f aca="false">INDEX(EIOPA_Source!$B$18:$B$167,MATCH(46,EIOPA_Source!$A$18:$A$167,0))</f>
        <v>0.0321</v>
      </c>
      <c r="C50" s="5" t="n">
        <f aca="false">(1+B50)^-A50</f>
        <v>0.23377507750393</v>
      </c>
    </row>
    <row r="51" customFormat="false" ht="15" hidden="false" customHeight="true" outlineLevel="0" collapsed="false">
      <c r="A51" s="16" t="n">
        <v>47</v>
      </c>
      <c r="B51" s="45" t="n">
        <f aca="false">INDEX(EIOPA_Source!$B$18:$B$167,MATCH(47,EIOPA_Source!$A$18:$A$167,0))</f>
        <v>0.03211</v>
      </c>
      <c r="C51" s="5" t="n">
        <f aca="false">(1+B51)^-A51</f>
        <v>0.22640116775395</v>
      </c>
    </row>
    <row r="52" customFormat="false" ht="15" hidden="false" customHeight="true" outlineLevel="0" collapsed="false">
      <c r="A52" s="16" t="n">
        <v>48</v>
      </c>
      <c r="B52" s="45" t="n">
        <f aca="false">INDEX(EIOPA_Source!$B$18:$B$167,MATCH(48,EIOPA_Source!$A$18:$A$167,0))</f>
        <v>0.03213</v>
      </c>
      <c r="C52" s="5" t="n">
        <f aca="false">(1+B52)^-A52</f>
        <v>0.219153660371196</v>
      </c>
    </row>
    <row r="53" customFormat="false" ht="15" hidden="false" customHeight="true" outlineLevel="0" collapsed="false">
      <c r="A53" s="16" t="n">
        <v>49</v>
      </c>
      <c r="B53" s="45" t="n">
        <f aca="false">INDEX(EIOPA_Source!$B$18:$B$167,MATCH(49,EIOPA_Source!$A$18:$A$167,0))</f>
        <v>0.03214</v>
      </c>
      <c r="C53" s="5" t="n">
        <f aca="false">(1+B53)^-A53</f>
        <v>0.212230671676072</v>
      </c>
    </row>
    <row r="54" customFormat="false" ht="15" hidden="false" customHeight="true" outlineLevel="0" collapsed="false">
      <c r="A54" s="16" t="n">
        <v>50</v>
      </c>
      <c r="B54" s="45" t="n">
        <f aca="false">INDEX(EIOPA_Source!$B$18:$B$167,MATCH(50,EIOPA_Source!$A$18:$A$167,0))</f>
        <v>0.03216</v>
      </c>
      <c r="C54" s="5" t="n">
        <f aca="false">(1+B54)^-A54</f>
        <v>0.205422860525207</v>
      </c>
    </row>
    <row r="55" customFormat="false" ht="15" hidden="false" customHeight="true" outlineLevel="0" collapsed="false">
      <c r="A55" s="16" t="n">
        <v>51</v>
      </c>
      <c r="B55" s="45" t="n">
        <f aca="false">INDEX(EIOPA_Source!$B$18:$B$167,MATCH(51,EIOPA_Source!$A$18:$A$167,0))</f>
        <v>0.03217</v>
      </c>
      <c r="C55" s="5" t="n">
        <f aca="false">(1+B55)^-A55</f>
        <v>0.198923989220914</v>
      </c>
    </row>
    <row r="56" customFormat="false" ht="15" hidden="false" customHeight="true" outlineLevel="0" collapsed="false">
      <c r="A56" s="16" t="n">
        <v>52</v>
      </c>
      <c r="B56" s="45" t="n">
        <f aca="false">INDEX(EIOPA_Source!$B$18:$B$167,MATCH(52,EIOPA_Source!$A$18:$A$167,0))</f>
        <v>0.03218</v>
      </c>
      <c r="C56" s="5" t="n">
        <f aca="false">(1+B56)^-A56</f>
        <v>0.192626988225572</v>
      </c>
    </row>
    <row r="57" customFormat="false" ht="15" hidden="false" customHeight="true" outlineLevel="0" collapsed="false">
      <c r="A57" s="16" t="n">
        <v>53</v>
      </c>
      <c r="B57" s="45" t="n">
        <f aca="false">INDEX(EIOPA_Source!$B$18:$B$167,MATCH(53,EIOPA_Source!$A$18:$A$167,0))</f>
        <v>0.03219</v>
      </c>
      <c r="C57" s="5" t="n">
        <f aca="false">(1+B57)^-A57</f>
        <v>0.186525707429552</v>
      </c>
    </row>
    <row r="58" customFormat="false" ht="15" hidden="false" customHeight="true" outlineLevel="0" collapsed="false">
      <c r="A58" s="16" t="n">
        <v>54</v>
      </c>
      <c r="B58" s="45" t="n">
        <f aca="false">INDEX(EIOPA_Source!$B$18:$B$167,MATCH(54,EIOPA_Source!$A$18:$A$167,0))</f>
        <v>0.03221</v>
      </c>
      <c r="C58" s="5" t="n">
        <f aca="false">(1+B58)^-A58</f>
        <v>0.180519716326691</v>
      </c>
    </row>
    <row r="59" customFormat="false" ht="15" hidden="false" customHeight="true" outlineLevel="0" collapsed="false">
      <c r="A59" s="16" t="n">
        <v>55</v>
      </c>
      <c r="B59" s="45" t="n">
        <f aca="false">INDEX(EIOPA_Source!$B$18:$B$167,MATCH(55,EIOPA_Source!$A$18:$A$167,0))</f>
        <v>0.03222</v>
      </c>
      <c r="C59" s="5" t="n">
        <f aca="false">(1+B59)^-A59</f>
        <v>0.174793457507591</v>
      </c>
    </row>
    <row r="60" customFormat="false" ht="15" hidden="false" customHeight="true" outlineLevel="0" collapsed="false">
      <c r="A60" s="76" t="n">
        <v>56</v>
      </c>
      <c r="B60" s="45" t="n">
        <f aca="false">INDEX(EIOPA_Source!$B$18:$B$167,MATCH(56,EIOPA_Source!$A$18:$A$167,0))</f>
        <v>0.03223</v>
      </c>
      <c r="C60" s="30" t="n">
        <f aca="false">(1+B60)^-A60</f>
        <v>0.169245562707385</v>
      </c>
    </row>
    <row r="61" customFormat="false" ht="15" hidden="false" customHeight="true" outlineLevel="0" collapsed="false">
      <c r="A61" s="76" t="n">
        <v>57</v>
      </c>
      <c r="B61" s="45" t="n">
        <f aca="false">INDEX(EIOPA_Source!$B$18:$B$167,MATCH(57,EIOPA_Source!$A$18:$A$167,0))</f>
        <v>0.03224</v>
      </c>
      <c r="C61" s="30" t="n">
        <f aca="false">(1+B61)^-A61</f>
        <v>0.163870582267385</v>
      </c>
    </row>
    <row r="62" customFormat="false" ht="15" hidden="false" customHeight="true" outlineLevel="0" collapsed="false">
      <c r="A62" s="76" t="n">
        <v>58</v>
      </c>
      <c r="B62" s="45" t="n">
        <f aca="false">INDEX(EIOPA_Source!$B$18:$B$167,MATCH(58,EIOPA_Source!$A$18:$A$167,0))</f>
        <v>0.03225</v>
      </c>
      <c r="C62" s="30" t="n">
        <f aca="false">(1+B62)^-A62</f>
        <v>0.158663229657548</v>
      </c>
    </row>
    <row r="63" customFormat="false" ht="15" hidden="false" customHeight="true" outlineLevel="0" collapsed="false">
      <c r="A63" s="76" t="n">
        <v>59</v>
      </c>
      <c r="B63" s="45" t="n">
        <f aca="false">INDEX(EIOPA_Source!$B$18:$B$167,MATCH(59,EIOPA_Source!$A$18:$A$167,0))</f>
        <v>0.03226</v>
      </c>
      <c r="C63" s="30" t="n">
        <f aca="false">(1+B63)^-A63</f>
        <v>0.153618376699136</v>
      </c>
    </row>
    <row r="64" customFormat="false" ht="15" hidden="false" customHeight="true" outlineLevel="0" collapsed="false">
      <c r="A64" s="76" t="n">
        <v>60</v>
      </c>
      <c r="B64" s="45" t="n">
        <f aca="false">INDEX(EIOPA_Source!$B$18:$B$167,MATCH(60,EIOPA_Source!$A$18:$A$167,0))</f>
        <v>0.03227</v>
      </c>
      <c r="C64" s="30" t="n">
        <f aca="false">(1+B64)^-A64</f>
        <v>0.148731048924035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D10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8" min="1" style="1" width="13"/>
    <col collapsed="false" customWidth="true" hidden="false" outlineLevel="0" max="12" min="9" style="1" width="18"/>
    <col collapsed="false" customWidth="true" hidden="false" outlineLevel="0" max="13" min="13" style="1" width="17"/>
    <col collapsed="false" customWidth="true" hidden="false" outlineLevel="0" max="14" min="14" style="1" width="24"/>
    <col collapsed="false" customWidth="true" hidden="false" outlineLevel="0" max="15" min="15" style="1" width="18"/>
    <col collapsed="false" customWidth="true" hidden="false" outlineLevel="0" max="16" min="16" style="1" width="24"/>
    <col collapsed="false" customWidth="true" hidden="false" outlineLevel="0" max="23" min="17" style="1" width="15"/>
    <col collapsed="false" customWidth="true" hidden="false" outlineLevel="0" max="25" min="24" style="1" width="16"/>
    <col collapsed="false" customWidth="true" hidden="false" outlineLevel="0" max="29" min="26" style="1" width="15"/>
    <col collapsed="false" customWidth="true" hidden="false" outlineLevel="0" max="30" min="30" style="1" width="17"/>
  </cols>
  <sheetData>
    <row r="1" customFormat="false" ht="15.75" hidden="false" customHeight="true" outlineLevel="0" collapsed="false">
      <c r="A1" s="1" t="s">
        <v>1948</v>
      </c>
    </row>
    <row r="3" customFormat="false" ht="15" hidden="false" customHeight="true" outlineLevel="0" collapsed="false">
      <c r="A3" s="1" t="s">
        <v>1949</v>
      </c>
      <c r="B3" s="1" t="s">
        <v>650</v>
      </c>
      <c r="C3" s="1" t="s">
        <v>1950</v>
      </c>
      <c r="D3" s="1" t="s">
        <v>1951</v>
      </c>
      <c r="E3" s="1" t="s">
        <v>1952</v>
      </c>
      <c r="F3" s="1" t="s">
        <v>1953</v>
      </c>
      <c r="G3" s="1" t="s">
        <v>1954</v>
      </c>
      <c r="H3" s="1" t="s">
        <v>1955</v>
      </c>
      <c r="I3" s="1" t="s">
        <v>1956</v>
      </c>
      <c r="J3" s="1" t="s">
        <v>1957</v>
      </c>
      <c r="K3" s="1" t="s">
        <v>1958</v>
      </c>
      <c r="L3" s="1" t="s">
        <v>1959</v>
      </c>
      <c r="M3" s="1" t="s">
        <v>1960</v>
      </c>
      <c r="N3" s="1" t="s">
        <v>1961</v>
      </c>
      <c r="O3" s="1" t="s">
        <v>1962</v>
      </c>
      <c r="P3" s="1" t="s">
        <v>1963</v>
      </c>
      <c r="Q3" s="1" t="s">
        <v>1964</v>
      </c>
      <c r="R3" s="1" t="s">
        <v>1965</v>
      </c>
      <c r="S3" s="1" t="s">
        <v>1966</v>
      </c>
      <c r="T3" s="1" t="s">
        <v>1967</v>
      </c>
      <c r="U3" s="1" t="s">
        <v>1968</v>
      </c>
      <c r="V3" s="1" t="s">
        <v>1969</v>
      </c>
      <c r="W3" s="1" t="s">
        <v>1970</v>
      </c>
      <c r="X3" s="1" t="s">
        <v>1971</v>
      </c>
      <c r="Y3" s="1" t="s">
        <v>1972</v>
      </c>
      <c r="Z3" s="1" t="s">
        <v>1973</v>
      </c>
      <c r="AA3" s="1" t="s">
        <v>1974</v>
      </c>
      <c r="AB3" s="1" t="s">
        <v>1975</v>
      </c>
      <c r="AC3" s="1" t="s">
        <v>1976</v>
      </c>
      <c r="AD3" s="8" t="s">
        <v>1977</v>
      </c>
    </row>
    <row r="4" customFormat="false" ht="15" hidden="false" customHeight="true" outlineLevel="0" collapsed="false">
      <c r="A4" s="73" t="n">
        <v>1</v>
      </c>
      <c r="B4" s="34" t="n">
        <f aca="false">Assumptions!$B$4</f>
        <v>65</v>
      </c>
      <c r="C4" s="32" t="n">
        <f aca="false">IFERROR(INDEX(Cohort_Survival!$B$5:$AA$65,B4-59,Assumptions!$B$4-59),1)</f>
        <v>0.00518054588826009</v>
      </c>
      <c r="D4" s="11" t="n">
        <f aca="false">IF(B4&lt;Assumptions!$B$5,IF(B4-Assumptions!$B$4+1=1,Assumptions!$B$16,IF(B4-Assumptions!$B$4+1=2,Assumptions!$B$17,IF(B4-Assumptions!$B$4+1&lt;=5,Assumptions!$B$18,Assumptions!$B$19))),0)</f>
        <v>0.058</v>
      </c>
      <c r="E4" s="11" t="n">
        <f aca="false">D4*(1-Assumptions!$B$20)</f>
        <v>0.0406</v>
      </c>
      <c r="F4" s="73" t="n">
        <v>1</v>
      </c>
      <c r="G4" s="73" t="n">
        <v>1</v>
      </c>
      <c r="H4" s="11" t="n">
        <f aca="false">Discount!C4</f>
        <v>1</v>
      </c>
      <c r="I4" s="11" t="n">
        <f aca="false">IF(B4&lt;Assumptions!$B$5,F4*H4,0)</f>
        <v>1</v>
      </c>
      <c r="J4" s="11" t="n">
        <f aca="false">IF(B4&lt;Assumptions!$B$5,F4*(1-C4)*E4*(B4-Assumptions!$B$4+1)*H4,0)</f>
        <v>0.0403896698369366</v>
      </c>
      <c r="K4" s="5" t="n">
        <f aca="false">IF(B4&gt;=Assumptions!$B$5,F4*Assumptions!$B$9*(1+Assumptions!$B$10)^(B4-Assumptions!$B$4)*H4,0)</f>
        <v>0</v>
      </c>
      <c r="L4" s="48" t="n">
        <f aca="false">F4*Assumptions!$B$12*(1+Assumptions!$B$11)^(B4-Assumptions!$B$4+1)*H4</f>
        <v>82</v>
      </c>
      <c r="M4" s="48" t="n">
        <f aca="false">IF(B4&lt;Assumptions!$B$5,F4*(Pricing!$B$14-Pricing!$B$14*IF(B4=Assumptions!$B$4,Assumptions!$B$14,Assumptions!$B$15))-F4*Assumptions!$B$12*(1+Assumptions!$B$11)^(B4-Assumptions!$B$4+1),-F4*(Assumptions!$B$9*(1+Assumptions!$B$10)^(B4-Assumptions!$B$4)+Assumptions!$B$12*(1+Assumptions!$B$11)^(B4-Assumptions!$B$4+1)))</f>
        <v>-82</v>
      </c>
      <c r="N4" s="12" t="n">
        <f aca="false">M4*H4</f>
        <v>-82</v>
      </c>
      <c r="O4" s="48" t="n">
        <f aca="false">F4*(IF(B4&lt;Assumptions!$B$5,Assumptions!$B$12*(1+Assumptions!$B$11)^(B4-Assumptions!$B$4+1)+Pricing!$B$14*IF(B4=Assumptions!$B$4,Assumptions!$B$14,Assumptions!$B$15)-Pricing!$B$14,Assumptions!$B$9*(1+Assumptions!$B$10)^(B4-Assumptions!$B$4)+Assumptions!$B$12*(1+Assumptions!$B$11)^(B4-Assumptions!$B$4+1)))</f>
        <v>82</v>
      </c>
      <c r="P4" s="48" t="n">
        <f aca="false">O4*H4</f>
        <v>82</v>
      </c>
      <c r="Q4" s="73" t="n">
        <v>1</v>
      </c>
      <c r="R4" s="48" t="n">
        <f aca="false">Q4*(IF(B4&lt;Assumptions!$B$5,Assumptions!$B$12*(1+Assumptions!$B$11)^(B4-Assumptions!$B$4+1)+Pricing!$B$14*IF(B4=Assumptions!$B$4,Assumptions!$B$14,Assumptions!$B$15)-Pricing!$B$14,Assumptions!$B$9*(1+Assumptions!$B$10)^(B4-Assumptions!$B$4)+Assumptions!$B$12*(1+Assumptions!$B$11)^(B4-Assumptions!$B$4+1)))*H4</f>
        <v>82</v>
      </c>
      <c r="S4" s="73" t="n">
        <v>1</v>
      </c>
      <c r="T4" s="48" t="n">
        <f aca="false">S4*(IF(B4&lt;Assumptions!$B$5,Assumptions!$B$12*(1+Assumptions!$B$11)^(B4-Assumptions!$B$4+1)+Pricing!$B$14*IF(B4=Assumptions!$B$4,Assumptions!$B$14,Assumptions!$B$15)-Pricing!$B$14,Assumptions!$B$9*(1+Assumptions!$B$10)^(B4-Assumptions!$B$4)+Assumptions!$B$12*(1+Assumptions!$B$11)^(B4-Assumptions!$B$4+1)))*H4</f>
        <v>82</v>
      </c>
      <c r="U4" s="73" t="n">
        <v>1</v>
      </c>
      <c r="V4" s="48" t="n">
        <f aca="false">U4*(IF(B4&lt;Assumptions!$B$5,Assumptions!$B$12*(1+Assumptions!$B$11)^(B4-Assumptions!$B$4+1)+Pricing!$B$14*IF(B4=Assumptions!$B$4,Assumptions!$B$14,Assumptions!$B$15)-Pricing!$B$14,Assumptions!$B$9*(1+Assumptions!$B$10)^(B4-Assumptions!$B$4)+Assumptions!$B$12*(1+Assumptions!$B$11)^(B4-Assumptions!$B$4+1)))*H4</f>
        <v>82</v>
      </c>
      <c r="W4" s="48" t="n">
        <f aca="false">F4*(IF(B4&lt;Assumptions!$B$5,Assumptions!$B$12*(1+Assumptions!$B$11)*(1+Assumptions!$B$24)*(1+Assumptions!$B$11+Assumptions!$B$25)^(B4-Assumptions!$B$4)+Pricing!$B$14*IF(B4=Assumptions!$B$4,Assumptions!$B$14,Assumptions!$B$15)-Pricing!$B$14,Assumptions!$B$9*(1+Assumptions!$B$10)^(B4-Assumptions!$B$4)+Assumptions!$B$12*(1+Assumptions!$B$11)*(1+Assumptions!$B$24)*(1+Assumptions!$B$11+Assumptions!$B$25)^(B4-Assumptions!$B$4)))*H4</f>
        <v>90.2000000000007</v>
      </c>
      <c r="X4" s="11" t="n">
        <f aca="false">IF(B4&lt;Assumptions!$B$5,G4*H4,0)</f>
        <v>1</v>
      </c>
      <c r="Y4" s="5" t="n">
        <f aca="false">IF(B4&gt;=Assumptions!$B$5,G4*Assumptions!$B$9*(1+Assumptions!$B$10)^(B4-Assumptions!$B$4)*H4,0)</f>
        <v>0</v>
      </c>
      <c r="Z4" s="48" t="n">
        <f aca="false">IF(B4&lt;Assumptions!$B$5,F4*Pricing!$B$14*H4,0)</f>
        <v>12316.0657114102</v>
      </c>
      <c r="AA4" s="48" t="n">
        <f aca="false">IF(B4&lt;Assumptions!$B$5,Q4*Pricing!$B$14*H4,0)</f>
        <v>12316.0657114102</v>
      </c>
      <c r="AB4" s="48" t="n">
        <f aca="false">IF(B4&lt;Assumptions!$B$5,U4*Pricing!$B$14*H4,0)</f>
        <v>12316.0657114102</v>
      </c>
      <c r="AC4" s="48" t="n">
        <f aca="false">IF(B4&lt;Assumptions!$B$5,F4*(Pricing!$B$14-Pricing!$B$14*IF(B4=Assumptions!$B$4,Assumptions!$B$14,Assumptions!$B$15))*H4,0)</f>
        <v>0</v>
      </c>
      <c r="AD4" s="48" t="n">
        <f aca="false">IF(B4&lt;Assumptions!$B$5,F4*Pricing!$B$14*IF(B4=Assumptions!$B$4,Assumptions!$B$14,Assumptions!$B$15)*H4,0)</f>
        <v>12316.0657114102</v>
      </c>
    </row>
    <row r="5" customFormat="false" ht="15" hidden="false" customHeight="true" outlineLevel="0" collapsed="false">
      <c r="A5" s="73" t="n">
        <v>2</v>
      </c>
      <c r="B5" s="34" t="n">
        <f aca="false">B4+1</f>
        <v>66</v>
      </c>
      <c r="C5" s="32" t="n">
        <f aca="false">IFERROR(INDEX(Cohort_Survival!$B$5:$AA$65,B5-59,Assumptions!$B$4-59),1)</f>
        <v>0.00564060359024671</v>
      </c>
      <c r="D5" s="11" t="n">
        <f aca="false">IF(B5&lt;Assumptions!$B$5,IF(B5-Assumptions!$B$4+1=1,Assumptions!$B$16,IF(B5-Assumptions!$B$4+1=2,Assumptions!$B$17,IF(B5-Assumptions!$B$4+1&lt;=5,Assumptions!$B$18,Assumptions!$B$19))),0)</f>
        <v>0.031</v>
      </c>
      <c r="E5" s="11" t="n">
        <f aca="false">D5*(1-Assumptions!$B$20)</f>
        <v>0.0217</v>
      </c>
      <c r="F5" s="11" t="n">
        <f aca="false">F4*(1-C4)*(1-E4)</f>
        <v>0.954429784274803</v>
      </c>
      <c r="G5" s="11" t="n">
        <f aca="false">G4*(1-C4)</f>
        <v>0.99481945411174</v>
      </c>
      <c r="H5" s="11" t="n">
        <f aca="false">Discount!C5</f>
        <v>0.974696869273656</v>
      </c>
      <c r="I5" s="11" t="n">
        <f aca="false">IF(B5&lt;Assumptions!$B$5,F5*H5,0)</f>
        <v>0.930279722674182</v>
      </c>
      <c r="J5" s="11" t="n">
        <f aca="false">IF(B5&lt;Assumptions!$B$5,F5*(1-C5)*E5*(B5-Assumptions!$B$4+1)*H5,0)</f>
        <v>0.0401464054452251</v>
      </c>
      <c r="K5" s="5" t="n">
        <f aca="false">IF(B5&gt;=Assumptions!$B$5,F5*Assumptions!$B$9*(1+Assumptions!$B$10)^(B5-Assumptions!$B$4)*H5,0)</f>
        <v>0</v>
      </c>
      <c r="L5" s="48" t="n">
        <f aca="false">F5*Assumptions!$B$12*(1+Assumptions!$B$11)^(B5-Assumptions!$B$4+1)*H5</f>
        <v>78.190010690765</v>
      </c>
      <c r="M5" s="48" t="n">
        <f aca="false">IF(B5&lt;Assumptions!$B$5,F5*(Pricing!$B$14-Pricing!$B$14*IF(B5=Assumptions!$B$4,Assumptions!$B$14,Assumptions!$B$15))-F5*Assumptions!$B$12*(1+Assumptions!$B$11)^(B5-Assumptions!$B$4+1),-F5*(Assumptions!$B$9*(1+Assumptions!$B$10)^(B5-Assumptions!$B$4)+Assumptions!$B$12*(1+Assumptions!$B$11)^(B5-Assumptions!$B$4+1)))</f>
        <v>11086.8591196845</v>
      </c>
      <c r="N5" s="12" t="n">
        <f aca="false">M5*H5</f>
        <v>10806.3268740345</v>
      </c>
      <c r="O5" s="48" t="n">
        <f aca="false">F5*(IF(B5&lt;Assumptions!$B$5,Assumptions!$B$12*(1+Assumptions!$B$11)^(B5-Assumptions!$B$4+1)+Pricing!$B$14*IF(B5=Assumptions!$B$4,Assumptions!$B$14,Assumptions!$B$15)-Pricing!$B$14,Assumptions!$B$9*(1+Assumptions!$B$10)^(B5-Assumptions!$B$4)+Assumptions!$B$12*(1+Assumptions!$B$11)^(B5-Assumptions!$B$4+1)))</f>
        <v>-11086.8591196845</v>
      </c>
      <c r="P5" s="48" t="n">
        <f aca="false">O5*H5</f>
        <v>-10806.3268740345</v>
      </c>
      <c r="Q5" s="11" t="n">
        <f aca="false">Q4*(1-MIN(1,C4*(1-Assumptions!$B$21)))*(1-IF(B4&lt;Assumptions!$B$5,E4,0))</f>
        <v>0.955423827419843</v>
      </c>
      <c r="R5" s="48" t="n">
        <f aca="false">Q5*(IF(B5&lt;Assumptions!$B$5,Assumptions!$B$12*(1+Assumptions!$B$11)^(B5-Assumptions!$B$4+1)+Pricing!$B$14*IF(B5=Assumptions!$B$4,Assumptions!$B$14,Assumptions!$B$15)-Pricing!$B$14,Assumptions!$B$9*(1+Assumptions!$B$10)^(B5-Assumptions!$B$4)+Assumptions!$B$12*(1+Assumptions!$B$11)^(B5-Assumptions!$B$4+1)))*H5</f>
        <v>-10817.581714704</v>
      </c>
      <c r="S5" s="11" t="n">
        <f aca="false">S4*(1-MIN(1,C4))*(1-IF(B4&lt;Assumptions!$B$5,E4*(1+Assumptions!$B$23),0))</f>
        <v>0.934234949356335</v>
      </c>
      <c r="T5" s="48" t="n">
        <f aca="false">S5*(IF(B5&lt;Assumptions!$B$5,Assumptions!$B$12*(1+Assumptions!$B$11)^(B5-Assumptions!$B$4+1)+Pricing!$B$14*IF(B5=Assumptions!$B$4,Assumptions!$B$14,Assumptions!$B$15)-Pricing!$B$14,Assumptions!$B$9*(1+Assumptions!$B$10)^(B5-Assumptions!$B$4)+Assumptions!$B$12*(1+Assumptions!$B$11)^(B5-Assumptions!$B$4+1)))*H5</f>
        <v>-10577.6751797017</v>
      </c>
      <c r="U5" s="11" t="n">
        <f aca="false">U4*(1-MIN(1,C4))*(1-IF(B4&lt;Assumptions!$B$5,E4*(1-Assumptions!$B$23),0))</f>
        <v>0.974624619193272</v>
      </c>
      <c r="V5" s="48" t="n">
        <f aca="false">U5*(IF(B5&lt;Assumptions!$B$5,Assumptions!$B$12*(1+Assumptions!$B$11)^(B5-Assumptions!$B$4+1)+Pricing!$B$14*IF(B5=Assumptions!$B$4,Assumptions!$B$14,Assumptions!$B$15)-Pricing!$B$14,Assumptions!$B$9*(1+Assumptions!$B$10)^(B5-Assumptions!$B$4)+Assumptions!$B$12*(1+Assumptions!$B$11)^(B5-Assumptions!$B$4+1)))*H5</f>
        <v>-11034.9785683673</v>
      </c>
      <c r="W5" s="48" t="n">
        <f aca="false">F5*(IF(B5&lt;Assumptions!$B$5,Assumptions!$B$12*(1+Assumptions!$B$11)*(1+Assumptions!$B$24)*(1+Assumptions!$B$11+Assumptions!$B$25)^(B5-Assumptions!$B$4)+Pricing!$B$14*IF(B5=Assumptions!$B$4,Assumptions!$B$14,Assumptions!$B$15)-Pricing!$B$14,Assumptions!$B$9*(1+Assumptions!$B$10)^(B5-Assumptions!$B$4)+Assumptions!$B$12*(1+Assumptions!$B$11)*(1+Assumptions!$B$24)*(1+Assumptions!$B$11+Assumptions!$B$25)^(B5-Assumptions!$B$4)))*H5</f>
        <v>-10797.6687606556</v>
      </c>
      <c r="X5" s="11" t="n">
        <f aca="false">IF(B5&lt;Assumptions!$B$5,G5*H5,0)</f>
        <v>0.96964740741524</v>
      </c>
      <c r="Y5" s="5" t="n">
        <f aca="false">IF(B5&gt;=Assumptions!$B$5,G5*Assumptions!$B$9*(1+Assumptions!$B$10)^(B5-Assumptions!$B$4)*H5,0)</f>
        <v>0</v>
      </c>
      <c r="Z5" s="48" t="n">
        <f aca="false">IF(B5&lt;Assumptions!$B$5,F5*Pricing!$B$14*H5,0)</f>
        <v>11457.3861944477</v>
      </c>
      <c r="AA5" s="48" t="n">
        <f aca="false">IF(B5&lt;Assumptions!$B$5,Q5*Pricing!$B$14*H5,0)</f>
        <v>11469.3191164859</v>
      </c>
      <c r="AB5" s="48" t="n">
        <f aca="false">IF(B5&lt;Assumptions!$B$5,U5*Pricing!$B$14*H5,0)</f>
        <v>11699.8136905362</v>
      </c>
      <c r="AC5" s="48" t="n">
        <f aca="false">IF(B5&lt;Assumptions!$B$5,F5*(Pricing!$B$14-Pricing!$B$14*IF(B5=Assumptions!$B$4,Assumptions!$B$14,Assumptions!$B$15))*H5,0)</f>
        <v>10884.5168847253</v>
      </c>
      <c r="AD5" s="48" t="n">
        <f aca="false">IF(B5&lt;Assumptions!$B$5,F5*Pricing!$B$14*IF(B5=Assumptions!$B$4,Assumptions!$B$14,Assumptions!$B$15)*H5,0)</f>
        <v>572.869309722384</v>
      </c>
    </row>
    <row r="6" customFormat="false" ht="15" hidden="false" customHeight="true" outlineLevel="0" collapsed="false">
      <c r="A6" s="73" t="n">
        <v>3</v>
      </c>
      <c r="B6" s="34" t="n">
        <f aca="false">B5+1</f>
        <v>67</v>
      </c>
      <c r="C6" s="32" t="n">
        <f aca="false">IFERROR(INDEX(Cohort_Survival!$B$5:$AA$65,B6-59,Assumptions!$B$4-59),1)</f>
        <v>0.00616198432267925</v>
      </c>
      <c r="D6" s="11" t="n">
        <f aca="false">IF(B6&lt;Assumptions!$B$5,IF(B6-Assumptions!$B$4+1=1,Assumptions!$B$16,IF(B6-Assumptions!$B$4+1=2,Assumptions!$B$17,IF(B6-Assumptions!$B$4+1&lt;=5,Assumptions!$B$18,Assumptions!$B$19))),0)</f>
        <v>0.019</v>
      </c>
      <c r="E6" s="11" t="n">
        <f aca="false">D6*(1-Assumptions!$B$20)</f>
        <v>0.0133</v>
      </c>
      <c r="F6" s="11" t="n">
        <f aca="false">F5*(1-C5)*(1-E5)</f>
        <v>0.928451921141693</v>
      </c>
      <c r="G6" s="11" t="n">
        <f aca="false">G5*(1-C5)</f>
        <v>0.98920807192723</v>
      </c>
      <c r="H6" s="11" t="n">
        <f aca="false">Discount!C6</f>
        <v>0.949478633477643</v>
      </c>
      <c r="I6" s="11" t="n">
        <f aca="false">IF(B6&lt;Assumptions!$B$5,F6*H6,0)</f>
        <v>0.881545261335307</v>
      </c>
      <c r="J6" s="11" t="n">
        <f aca="false">IF(B6&lt;Assumptions!$B$5,F6*(1-C6)*E6*(B6-Assumptions!$B$4+1)*H6,0)</f>
        <v>0.0349569164108835</v>
      </c>
      <c r="K6" s="5" t="n">
        <f aca="false">IF(B6&gt;=Assumptions!$B$5,F6*Assumptions!$B$9*(1+Assumptions!$B$10)^(B6-Assumptions!$B$4)*H6,0)</f>
        <v>0</v>
      </c>
      <c r="L6" s="48" t="n">
        <f aca="false">F6*Assumptions!$B$12*(1+Assumptions!$B$11)^(B6-Assumptions!$B$4+1)*H6</f>
        <v>75.9462261956133</v>
      </c>
      <c r="M6" s="48" t="n">
        <f aca="false">IF(B6&lt;Assumptions!$B$5,F6*(Pricing!$B$14-Pricing!$B$14*IF(B6=Assumptions!$B$4,Assumptions!$B$14,Assumptions!$B$15))-F6*Assumptions!$B$12*(1+Assumptions!$B$11)^(B6-Assumptions!$B$4+1),-F6*(Assumptions!$B$9*(1+Assumptions!$B$10)^(B6-Assumptions!$B$4)+Assumptions!$B$12*(1+Assumptions!$B$11)^(B6-Assumptions!$B$4+1)))</f>
        <v>10783.1438335616</v>
      </c>
      <c r="N6" s="12" t="n">
        <f aca="false">M6*H6</f>
        <v>10238.3646716829</v>
      </c>
      <c r="O6" s="48" t="n">
        <f aca="false">F6*(IF(B6&lt;Assumptions!$B$5,Assumptions!$B$12*(1+Assumptions!$B$11)^(B6-Assumptions!$B$4+1)+Pricing!$B$14*IF(B6=Assumptions!$B$4,Assumptions!$B$14,Assumptions!$B$15)-Pricing!$B$14,Assumptions!$B$9*(1+Assumptions!$B$10)^(B6-Assumptions!$B$4)+Assumptions!$B$12*(1+Assumptions!$B$11)^(B6-Assumptions!$B$4+1)))</f>
        <v>-10783.1438335616</v>
      </c>
      <c r="P6" s="48" t="n">
        <f aca="false">O6*H6</f>
        <v>-10238.3646716829</v>
      </c>
      <c r="Q6" s="11" t="n">
        <f aca="false">Q5*(1-MIN(1,C5*(1-Assumptions!$B$21)))*(1-IF(B5&lt;Assumptions!$B$5,E5,0))</f>
        <v>0.930473352648266</v>
      </c>
      <c r="R6" s="48" t="n">
        <f aca="false">Q6*(IF(B6&lt;Assumptions!$B$5,Assumptions!$B$12*(1+Assumptions!$B$11)^(B6-Assumptions!$B$4+1)+Pricing!$B$14*IF(B6=Assumptions!$B$4,Assumptions!$B$14,Assumptions!$B$15)-Pricing!$B$14,Assumptions!$B$9*(1+Assumptions!$B$10)^(B6-Assumptions!$B$4)+Assumptions!$B$12*(1+Assumptions!$B$11)^(B6-Assumptions!$B$4+1)))*H6</f>
        <v>-10260.6557052323</v>
      </c>
      <c r="S6" s="11" t="n">
        <f aca="false">S5*(1-MIN(1,C5))*(1-IF(B5&lt;Assumptions!$B$5,E5*(1+Assumptions!$B$23),0))</f>
        <v>0.898727479820571</v>
      </c>
      <c r="T6" s="48" t="n">
        <f aca="false">S6*(IF(B6&lt;Assumptions!$B$5,Assumptions!$B$12*(1+Assumptions!$B$11)^(B6-Assumptions!$B$4+1)+Pricing!$B$14*IF(B6=Assumptions!$B$4,Assumptions!$B$14,Assumptions!$B$15)-Pricing!$B$14,Assumptions!$B$9*(1+Assumptions!$B$10)^(B6-Assumptions!$B$4)+Assumptions!$B$12*(1+Assumptions!$B$11)^(B6-Assumptions!$B$4+1)))*H6</f>
        <v>-9910.58284154415</v>
      </c>
      <c r="U6" s="11" t="n">
        <f aca="false">U5*(1-MIN(1,C5))*(1-IF(B5&lt;Assumptions!$B$5,E5*(1-Assumptions!$B$23),0))</f>
        <v>0.958612118510579</v>
      </c>
      <c r="V6" s="48" t="n">
        <f aca="false">U6*(IF(B6&lt;Assumptions!$B$5,Assumptions!$B$12*(1+Assumptions!$B$11)^(B6-Assumptions!$B$4+1)+Pricing!$B$14*IF(B6=Assumptions!$B$4,Assumptions!$B$14,Assumptions!$B$15)-Pricing!$B$14,Assumptions!$B$9*(1+Assumptions!$B$10)^(B6-Assumptions!$B$4)+Assumptions!$B$12*(1+Assumptions!$B$11)^(B6-Assumptions!$B$4+1)))*H6</f>
        <v>-10570.9517364529</v>
      </c>
      <c r="W6" s="48" t="n">
        <f aca="false">F6*(IF(B6&lt;Assumptions!$B$5,Assumptions!$B$12*(1+Assumptions!$B$11)*(1+Assumptions!$B$24)*(1+Assumptions!$B$11+Assumptions!$B$25)^(B6-Assumptions!$B$4)+Pricing!$B$14*IF(B6=Assumptions!$B$4,Assumptions!$B$14,Assumptions!$B$15)-Pricing!$B$14,Assumptions!$B$9*(1+Assumptions!$B$10)^(B6-Assumptions!$B$4)+Assumptions!$B$12*(1+Assumptions!$B$11)*(1+Assumptions!$B$24)*(1+Assumptions!$B$11+Assumptions!$B$25)^(B6-Assumptions!$B$4)))*H6</f>
        <v>-10229.1320321824</v>
      </c>
      <c r="X6" s="11" t="n">
        <f aca="false">IF(B6&lt;Assumptions!$B$5,G6*H6,0)</f>
        <v>0.939231928358521</v>
      </c>
      <c r="Y6" s="5" t="n">
        <f aca="false">IF(B6&gt;=Assumptions!$B$5,G6*Assumptions!$B$9*(1+Assumptions!$B$10)^(B6-Assumptions!$B$4)*H6,0)</f>
        <v>0</v>
      </c>
      <c r="Z6" s="48" t="n">
        <f aca="false">IF(B6&lt;Assumptions!$B$5,F6*Pricing!$B$14*H6,0)</f>
        <v>10857.1693661879</v>
      </c>
      <c r="AA6" s="48" t="n">
        <f aca="false">IF(B6&lt;Assumptions!$B$5,Q6*Pricing!$B$14*H6,0)</f>
        <v>10880.8076653063</v>
      </c>
      <c r="AB6" s="48" t="n">
        <f aca="false">IF(B6&lt;Assumptions!$B$5,U6*Pricing!$B$14*H6,0)</f>
        <v>11209.8579260317</v>
      </c>
      <c r="AC6" s="48" t="n">
        <f aca="false">IF(B6&lt;Assumptions!$B$5,F6*(Pricing!$B$14-Pricing!$B$14*IF(B6=Assumptions!$B$4,Assumptions!$B$14,Assumptions!$B$15))*H6,0)</f>
        <v>10314.3108978785</v>
      </c>
      <c r="AD6" s="48" t="n">
        <f aca="false">IF(B6&lt;Assumptions!$B$5,F6*Pricing!$B$14*IF(B6=Assumptions!$B$4,Assumptions!$B$14,Assumptions!$B$15)*H6,0)</f>
        <v>542.858468309396</v>
      </c>
    </row>
    <row r="7" customFormat="false" ht="15" hidden="false" customHeight="true" outlineLevel="0" collapsed="false">
      <c r="A7" s="73" t="n">
        <v>4</v>
      </c>
      <c r="B7" s="34" t="n">
        <f aca="false">B6+1</f>
        <v>68</v>
      </c>
      <c r="C7" s="32" t="n">
        <f aca="false">IFERROR(INDEX(Cohort_Survival!$B$5:$AA$65,B7-59,Assumptions!$B$4-59),1)</f>
        <v>0.00675420032480476</v>
      </c>
      <c r="D7" s="11" t="n">
        <f aca="false">IF(B7&lt;Assumptions!$B$5,IF(B7-Assumptions!$B$4+1=1,Assumptions!$B$16,IF(B7-Assumptions!$B$4+1=2,Assumptions!$B$17,IF(B7-Assumptions!$B$4+1&lt;=5,Assumptions!$B$18,Assumptions!$B$19))),0)</f>
        <v>0.019</v>
      </c>
      <c r="E7" s="11" t="n">
        <f aca="false">D7*(1-Assumptions!$B$20)</f>
        <v>0.0133</v>
      </c>
      <c r="F7" s="11" t="n">
        <f aca="false">F6*(1-C6)*(1-E6)</f>
        <v>0.910458495120298</v>
      </c>
      <c r="G7" s="11" t="n">
        <f aca="false">G6*(1-C6)</f>
        <v>0.983112587296147</v>
      </c>
      <c r="H7" s="11" t="n">
        <f aca="false">Discount!C7</f>
        <v>0.925237412196234</v>
      </c>
      <c r="I7" s="11" t="n">
        <f aca="false">IF(B7&lt;Assumptions!$B$5,F7*H7,0)</f>
        <v>0.842390261937182</v>
      </c>
      <c r="J7" s="11" t="n">
        <f aca="false">IF(B7&lt;Assumptions!$B$5,F7*(1-C7)*E7*(B7-Assumptions!$B$4+1)*H7,0)</f>
        <v>0.0445124713537601</v>
      </c>
      <c r="K7" s="5" t="n">
        <f aca="false">IF(B7&gt;=Assumptions!$B$5,F7*Assumptions!$B$9*(1+Assumptions!$B$10)^(B7-Assumptions!$B$4)*H7,0)</f>
        <v>0</v>
      </c>
      <c r="L7" s="48" t="n">
        <f aca="false">F7*Assumptions!$B$12*(1+Assumptions!$B$11)^(B7-Assumptions!$B$4+1)*H7</f>
        <v>74.3872984050585</v>
      </c>
      <c r="M7" s="48" t="n">
        <f aca="false">IF(B7&lt;Assumptions!$B$5,F7*(Pricing!$B$14-Pricing!$B$14*IF(B7=Assumptions!$B$4,Assumptions!$B$14,Assumptions!$B$15))-F7*Assumptions!$B$12*(1+Assumptions!$B$11)^(B7-Assumptions!$B$4+1),-F7*(Assumptions!$B$9*(1+Assumptions!$B$10)^(B7-Assumptions!$B$4)+Assumptions!$B$12*(1+Assumptions!$B$11)^(B7-Assumptions!$B$4+1)))</f>
        <v>10572.2052548792</v>
      </c>
      <c r="N7" s="12" t="n">
        <f aca="false">M7*H7</f>
        <v>9781.79983123181</v>
      </c>
      <c r="O7" s="48" t="n">
        <f aca="false">F7*(IF(B7&lt;Assumptions!$B$5,Assumptions!$B$12*(1+Assumptions!$B$11)^(B7-Assumptions!$B$4+1)+Pricing!$B$14*IF(B7=Assumptions!$B$4,Assumptions!$B$14,Assumptions!$B$15)-Pricing!$B$14,Assumptions!$B$9*(1+Assumptions!$B$10)^(B7-Assumptions!$B$4)+Assumptions!$B$12*(1+Assumptions!$B$11)^(B7-Assumptions!$B$4+1)))</f>
        <v>-10572.2052548792</v>
      </c>
      <c r="P7" s="48" t="n">
        <f aca="false">O7*H7</f>
        <v>-9781.79983123181</v>
      </c>
      <c r="Q7" s="11" t="n">
        <f aca="false">Q6*(1-MIN(1,C6*(1-Assumptions!$B$21)))*(1-IF(B6&lt;Assumptions!$B$5,E6,0))</f>
        <v>0.913572212390625</v>
      </c>
      <c r="R7" s="48" t="n">
        <f aca="false">Q7*(IF(B7&lt;Assumptions!$B$5,Assumptions!$B$12*(1+Assumptions!$B$11)^(B7-Assumptions!$B$4+1)+Pricing!$B$14*IF(B7=Assumptions!$B$4,Assumptions!$B$14,Assumptions!$B$15)-Pricing!$B$14,Assumptions!$B$9*(1+Assumptions!$B$10)^(B7-Assumptions!$B$4)+Assumptions!$B$12*(1+Assumptions!$B$11)^(B7-Assumptions!$B$4+1)))*H7</f>
        <v>-9815.25304105151</v>
      </c>
      <c r="S7" s="11" t="n">
        <f aca="false">S6*(1-MIN(1,C6))*(1-IF(B6&lt;Assumptions!$B$5,E6*(1+Assumptions!$B$23),0))</f>
        <v>0.875370403952724</v>
      </c>
      <c r="T7" s="48" t="n">
        <f aca="false">S7*(IF(B7&lt;Assumptions!$B$5,Assumptions!$B$12*(1+Assumptions!$B$11)^(B7-Assumptions!$B$4+1)+Pricing!$B$14*IF(B7=Assumptions!$B$4,Assumptions!$B$14,Assumptions!$B$15)-Pricing!$B$14,Assumptions!$B$9*(1+Assumptions!$B$10)^(B7-Assumptions!$B$4)+Assumptions!$B$12*(1+Assumptions!$B$11)^(B7-Assumptions!$B$4+1)))*H7</f>
        <v>-9404.81978645133</v>
      </c>
      <c r="U7" s="11" t="n">
        <f aca="false">U6*(1-MIN(1,C6))*(1-IF(B6&lt;Assumptions!$B$5,E6*(1-Assumptions!$B$23),0))</f>
        <v>0.946369676313116</v>
      </c>
      <c r="V7" s="48" t="n">
        <f aca="false">U7*(IF(B7&lt;Assumptions!$B$5,Assumptions!$B$12*(1+Assumptions!$B$11)^(B7-Assumptions!$B$4+1)+Pricing!$B$14*IF(B7=Assumptions!$B$4,Assumptions!$B$14,Assumptions!$B$15)-Pricing!$B$14,Assumptions!$B$9*(1+Assumptions!$B$10)^(B7-Assumptions!$B$4)+Assumptions!$B$12*(1+Assumptions!$B$11)^(B7-Assumptions!$B$4+1)))*H7</f>
        <v>-10167.6230049558</v>
      </c>
      <c r="W7" s="48" t="n">
        <f aca="false">F7*(IF(B7&lt;Assumptions!$B$5,Assumptions!$B$12*(1+Assumptions!$B$11)*(1+Assumptions!$B$24)*(1+Assumptions!$B$11+Assumptions!$B$25)^(B7-Assumptions!$B$4)+Pricing!$B$14*IF(B7=Assumptions!$B$4,Assumptions!$B$14,Assumptions!$B$15)-Pricing!$B$14,Assumptions!$B$9*(1+Assumptions!$B$10)^(B7-Assumptions!$B$4)+Assumptions!$B$12*(1+Assumptions!$B$11)*(1+Assumptions!$B$24)*(1+Assumptions!$B$11+Assumptions!$B$25)^(B7-Assumptions!$B$4)))*H7</f>
        <v>-9771.94275230643</v>
      </c>
      <c r="X7" s="11" t="n">
        <f aca="false">IF(B7&lt;Assumptions!$B$5,G7*H7,0)</f>
        <v>0.909612546167431</v>
      </c>
      <c r="Y7" s="5" t="n">
        <f aca="false">IF(B7&gt;=Assumptions!$B$5,G7*Assumptions!$B$9*(1+Assumptions!$B$10)^(B7-Assumptions!$B$4)*H7,0)</f>
        <v>0</v>
      </c>
      <c r="Z7" s="48" t="n">
        <f aca="false">IF(B7&lt;Assumptions!$B$5,F7*Pricing!$B$14*H7,0)</f>
        <v>10374.9338206704</v>
      </c>
      <c r="AA7" s="48" t="n">
        <f aca="false">IF(B7&lt;Assumptions!$B$5,Q7*Pricing!$B$14*H7,0)</f>
        <v>10410.4155156505</v>
      </c>
      <c r="AB7" s="48" t="n">
        <f aca="false">IF(B7&lt;Assumptions!$B$5,U7*Pricing!$B$14*H7,0)</f>
        <v>10784.1519566914</v>
      </c>
      <c r="AC7" s="48" t="n">
        <f aca="false">IF(B7&lt;Assumptions!$B$5,F7*(Pricing!$B$14-Pricing!$B$14*IF(B7=Assumptions!$B$4,Assumptions!$B$14,Assumptions!$B$15))*H7,0)</f>
        <v>9856.18712963687</v>
      </c>
      <c r="AD7" s="48" t="n">
        <f aca="false">IF(B7&lt;Assumptions!$B$5,F7*Pricing!$B$14*IF(B7=Assumptions!$B$4,Assumptions!$B$14,Assumptions!$B$15)*H7,0)</f>
        <v>518.74669103352</v>
      </c>
    </row>
    <row r="8" customFormat="false" ht="15" hidden="false" customHeight="true" outlineLevel="0" collapsed="false">
      <c r="A8" s="73" t="n">
        <v>5</v>
      </c>
      <c r="B8" s="34" t="n">
        <f aca="false">B7+1</f>
        <v>69</v>
      </c>
      <c r="C8" s="32" t="n">
        <f aca="false">IFERROR(INDEX(Cohort_Survival!$B$5:$AA$65,B8-59,Assumptions!$B$4-59),1)</f>
        <v>0.00742774709662436</v>
      </c>
      <c r="D8" s="11" t="n">
        <f aca="false">IF(B8&lt;Assumptions!$B$5,IF(B8-Assumptions!$B$4+1=1,Assumptions!$B$16,IF(B8-Assumptions!$B$4+1=2,Assumptions!$B$17,IF(B8-Assumptions!$B$4+1&lt;=5,Assumptions!$B$18,Assumptions!$B$19))),0)</f>
        <v>0.019</v>
      </c>
      <c r="E8" s="11" t="n">
        <f aca="false">D8*(1-Assumptions!$B$20)</f>
        <v>0.0133</v>
      </c>
      <c r="F8" s="11" t="n">
        <f aca="false">F7*(1-C7)*(1-E7)</f>
        <v>0.89228176534528</v>
      </c>
      <c r="G8" s="11" t="n">
        <f aca="false">G7*(1-C7)</f>
        <v>0.976472447939711</v>
      </c>
      <c r="H8" s="11" t="n">
        <f aca="false">Discount!C8</f>
        <v>0.901158384292743</v>
      </c>
      <c r="I8" s="11" t="n">
        <f aca="false">IF(B8&lt;Assumptions!$B$5,F8*H8,0)</f>
        <v>0.804087193992429</v>
      </c>
      <c r="J8" s="11" t="n">
        <f aca="false">IF(B8&lt;Assumptions!$B$5,F8*(1-C8)*E8*(B8-Assumptions!$B$4+1)*H8,0)</f>
        <v>0.0530746234051759</v>
      </c>
      <c r="K8" s="5" t="n">
        <f aca="false">IF(B8&gt;=Assumptions!$B$5,F8*Assumptions!$B$9*(1+Assumptions!$B$10)^(B8-Assumptions!$B$4)*H8,0)</f>
        <v>0</v>
      </c>
      <c r="L8" s="48" t="n">
        <f aca="false">F8*Assumptions!$B$12*(1+Assumptions!$B$11)^(B8-Assumptions!$B$4+1)*H8</f>
        <v>72.7800684130568</v>
      </c>
      <c r="M8" s="48" t="n">
        <f aca="false">IF(B8&lt;Assumptions!$B$5,F8*(Pricing!$B$14-Pricing!$B$14*IF(B8=Assumptions!$B$4,Assumptions!$B$14,Assumptions!$B$15))-F8*Assumptions!$B$12*(1+Assumptions!$B$11)^(B8-Assumptions!$B$4+1),-F8*(Assumptions!$B$9*(1+Assumptions!$B$10)^(B8-Assumptions!$B$4)+Assumptions!$B$12*(1+Assumptions!$B$11)^(B8-Assumptions!$B$4+1)))</f>
        <v>10359.1680189294</v>
      </c>
      <c r="N8" s="12" t="n">
        <f aca="false">M8*H8</f>
        <v>9335.25111455543</v>
      </c>
      <c r="O8" s="48" t="n">
        <f aca="false">F8*(IF(B8&lt;Assumptions!$B$5,Assumptions!$B$12*(1+Assumptions!$B$11)^(B8-Assumptions!$B$4+1)+Pricing!$B$14*IF(B8=Assumptions!$B$4,Assumptions!$B$14,Assumptions!$B$15)-Pricing!$B$14,Assumptions!$B$9*(1+Assumptions!$B$10)^(B8-Assumptions!$B$4)+Assumptions!$B$12*(1+Assumptions!$B$11)^(B8-Assumptions!$B$4+1)))</f>
        <v>-10359.1680189294</v>
      </c>
      <c r="P8" s="48" t="n">
        <f aca="false">O8*H8</f>
        <v>-9335.25111455543</v>
      </c>
      <c r="Q8" s="11" t="n">
        <f aca="false">Q7*(1-MIN(1,C7*(1-Assumptions!$B$21)))*(1-IF(B7&lt;Assumptions!$B$5,E7,0))</f>
        <v>0.896550995764067</v>
      </c>
      <c r="R8" s="48" t="n">
        <f aca="false">Q8*(IF(B8&lt;Assumptions!$B$5,Assumptions!$B$12*(1+Assumptions!$B$11)^(B8-Assumptions!$B$4+1)+Pricing!$B$14*IF(B8=Assumptions!$B$4,Assumptions!$B$14,Assumptions!$B$15)-Pricing!$B$14,Assumptions!$B$9*(1+Assumptions!$B$10)^(B8-Assumptions!$B$4)+Assumptions!$B$12*(1+Assumptions!$B$11)^(B8-Assumptions!$B$4+1)))*H8</f>
        <v>-9379.91675670251</v>
      </c>
      <c r="S8" s="11" t="n">
        <f aca="false">S7*(1-MIN(1,C7))*(1-IF(B7&lt;Assumptions!$B$5,E7*(1+Assumptions!$B$23),0))</f>
        <v>0.852112290247146</v>
      </c>
      <c r="T8" s="48" t="n">
        <f aca="false">S8*(IF(B8&lt;Assumptions!$B$5,Assumptions!$B$12*(1+Assumptions!$B$11)^(B8-Assumptions!$B$4+1)+Pricing!$B$14*IF(B8=Assumptions!$B$4,Assumptions!$B$14,Assumptions!$B$15)-Pricing!$B$14,Assumptions!$B$9*(1+Assumptions!$B$10)^(B8-Assumptions!$B$4)+Assumptions!$B$12*(1+Assumptions!$B$11)^(B8-Assumptions!$B$4+1)))*H8</f>
        <v>-8914.98909447946</v>
      </c>
      <c r="U8" s="11" t="n">
        <f aca="false">U7*(1-MIN(1,C7))*(1-IF(B7&lt;Assumptions!$B$5,E7*(1-Assumptions!$B$23),0))</f>
        <v>0.933726854193489</v>
      </c>
      <c r="V8" s="48" t="n">
        <f aca="false">U8*(IF(B8&lt;Assumptions!$B$5,Assumptions!$B$12*(1+Assumptions!$B$11)^(B8-Assumptions!$B$4+1)+Pricing!$B$14*IF(B8=Assumptions!$B$4,Assumptions!$B$14,Assumptions!$B$15)-Pricing!$B$14,Assumptions!$B$9*(1+Assumptions!$B$10)^(B8-Assumptions!$B$4)+Assumptions!$B$12*(1+Assumptions!$B$11)^(B8-Assumptions!$B$4+1)))*H8</f>
        <v>-9768.85889058499</v>
      </c>
      <c r="W8" s="48" t="n">
        <f aca="false">F8*(IF(B8&lt;Assumptions!$B$5,Assumptions!$B$12*(1+Assumptions!$B$11)*(1+Assumptions!$B$24)*(1+Assumptions!$B$11+Assumptions!$B$25)^(B8-Assumptions!$B$4)+Pricing!$B$14*IF(B8=Assumptions!$B$4,Assumptions!$B$14,Assumptions!$B$15)-Pricing!$B$14,Assumptions!$B$9*(1+Assumptions!$B$10)^(B8-Assumptions!$B$4)+Assumptions!$B$12*(1+Assumptions!$B$11)*(1+Assumptions!$B$24)*(1+Assumptions!$B$11+Assumptions!$B$25)^(B8-Assumptions!$B$4)))*H8</f>
        <v>-9324.80287179327</v>
      </c>
      <c r="X8" s="11" t="n">
        <f aca="false">IF(B8&lt;Assumptions!$B$5,G8*H8,0)</f>
        <v>0.87995633349173</v>
      </c>
      <c r="Y8" s="5" t="n">
        <f aca="false">IF(B8&gt;=Assumptions!$B$5,G8*Assumptions!$B$9*(1+Assumptions!$B$10)^(B8-Assumptions!$B$4)*H8,0)</f>
        <v>0</v>
      </c>
      <c r="Z8" s="48" t="n">
        <f aca="false">IF(B8&lt;Assumptions!$B$5,F8*Pricing!$B$14*H8,0)</f>
        <v>9903.1907189142</v>
      </c>
      <c r="AA8" s="48" t="n">
        <f aca="false">IF(B8&lt;Assumptions!$B$5,Q8*Pricing!$B$14*H8,0)</f>
        <v>9950.5737370395</v>
      </c>
      <c r="AB8" s="48" t="n">
        <f aca="false">IF(B8&lt;Assumptions!$B$5,U8*Pricing!$B$14*H8,0)</f>
        <v>10363.1783990024</v>
      </c>
      <c r="AC8" s="48" t="n">
        <f aca="false">IF(B8&lt;Assumptions!$B$5,F8*(Pricing!$B$14-Pricing!$B$14*IF(B8=Assumptions!$B$4,Assumptions!$B$14,Assumptions!$B$15))*H8,0)</f>
        <v>9408.03118296849</v>
      </c>
      <c r="AD8" s="48" t="n">
        <f aca="false">IF(B8&lt;Assumptions!$B$5,F8*Pricing!$B$14*IF(B8=Assumptions!$B$4,Assumptions!$B$14,Assumptions!$B$15)*H8,0)</f>
        <v>495.15953594571</v>
      </c>
    </row>
    <row r="9" customFormat="false" ht="15" hidden="false" customHeight="true" outlineLevel="0" collapsed="false">
      <c r="A9" s="73" t="n">
        <v>6</v>
      </c>
      <c r="B9" s="34" t="n">
        <f aca="false">B8+1</f>
        <v>70</v>
      </c>
      <c r="C9" s="32" t="n">
        <f aca="false">IFERROR(INDEX(Cohort_Survival!$B$5:$AA$65,B9-59,Assumptions!$B$4-59),1)</f>
        <v>0.0084938344969428</v>
      </c>
      <c r="D9" s="11" t="n">
        <f aca="false">IF(B9&lt;Assumptions!$B$5,IF(B9-Assumptions!$B$4+1=1,Assumptions!$B$16,IF(B9-Assumptions!$B$4+1=2,Assumptions!$B$17,IF(B9-Assumptions!$B$4+1&lt;=5,Assumptions!$B$18,Assumptions!$B$19))),0)</f>
        <v>0.013</v>
      </c>
      <c r="E9" s="11" t="n">
        <f aca="false">D9*(1-Assumptions!$B$20)</f>
        <v>0.0091</v>
      </c>
      <c r="F9" s="11" t="n">
        <f aca="false">F8*(1-C8)*(1-E8)</f>
        <v>0.873874922230056</v>
      </c>
      <c r="G9" s="11" t="n">
        <f aca="false">G8*(1-C8)</f>
        <v>0.969219457549594</v>
      </c>
      <c r="H9" s="11" t="n">
        <f aca="false">Discount!C9</f>
        <v>0.876603781957048</v>
      </c>
      <c r="I9" s="11" t="n">
        <f aca="false">IF(B9&lt;Assumptions!$B$5,F9*H9,0)</f>
        <v>0.766042061784288</v>
      </c>
      <c r="J9" s="11" t="n">
        <f aca="false">IF(B9&lt;Assumptions!$B$5,F9*(1-C9)*E9*(B9-Assumptions!$B$4+1)*H9,0)</f>
        <v>0.0414706343302412</v>
      </c>
      <c r="K9" s="5" t="n">
        <f aca="false">IF(B9&gt;=Assumptions!$B$5,F9*Assumptions!$B$9*(1+Assumptions!$B$10)^(B9-Assumptions!$B$4)*H9,0)</f>
        <v>0</v>
      </c>
      <c r="L9" s="48" t="n">
        <f aca="false">F9*Assumptions!$B$12*(1+Assumptions!$B$11)^(B9-Assumptions!$B$4+1)*H9</f>
        <v>71.0699149700377</v>
      </c>
      <c r="M9" s="48" t="n">
        <f aca="false">IF(B9&lt;Assumptions!$B$5,F9*(Pricing!$B$14-Pricing!$B$14*IF(B9=Assumptions!$B$4,Assumptions!$B$14,Assumptions!$B$15))-F9*Assumptions!$B$12*(1+Assumptions!$B$11)^(B9-Assumptions!$B$4+1),-F9*(Assumptions!$B$9*(1+Assumptions!$B$10)^(B9-Assumptions!$B$4)+Assumptions!$B$12*(1+Assumptions!$B$11)^(B9-Assumptions!$B$4+1)))</f>
        <v>10143.4917577998</v>
      </c>
      <c r="N9" s="12" t="n">
        <f aca="false">M9*H9</f>
        <v>8891.82323713744</v>
      </c>
      <c r="O9" s="48" t="n">
        <f aca="false">F9*(IF(B9&lt;Assumptions!$B$5,Assumptions!$B$12*(1+Assumptions!$B$11)^(B9-Assumptions!$B$4+1)+Pricing!$B$14*IF(B9=Assumptions!$B$4,Assumptions!$B$14,Assumptions!$B$15)-Pricing!$B$14,Assumptions!$B$9*(1+Assumptions!$B$10)^(B9-Assumptions!$B$4)+Assumptions!$B$12*(1+Assumptions!$B$11)^(B9-Assumptions!$B$4+1)))</f>
        <v>-10143.4917577998</v>
      </c>
      <c r="P9" s="48" t="n">
        <f aca="false">O9*H9</f>
        <v>-8891.82323713744</v>
      </c>
      <c r="Q9" s="11" t="n">
        <f aca="false">Q8*(1-MIN(1,C8*(1-Assumptions!$B$21)))*(1-IF(B8&lt;Assumptions!$B$5,E8,0))</f>
        <v>0.879370239802948</v>
      </c>
      <c r="R9" s="48" t="n">
        <f aca="false">Q9*(IF(B9&lt;Assumptions!$B$5,Assumptions!$B$12*(1+Assumptions!$B$11)^(B9-Assumptions!$B$4+1)+Pricing!$B$14*IF(B9=Assumptions!$B$4,Assumptions!$B$14,Assumptions!$B$15)-Pricing!$B$14,Assumptions!$B$9*(1+Assumptions!$B$10)^(B9-Assumptions!$B$4)+Assumptions!$B$12*(1+Assumptions!$B$11)^(B9-Assumptions!$B$4+1)))*H9</f>
        <v>-8947.73901094795</v>
      </c>
      <c r="S9" s="11" t="n">
        <f aca="false">S8*(1-MIN(1,C8))*(1-IF(B8&lt;Assumptions!$B$5,E8*(1+Assumptions!$B$23),0))</f>
        <v>0.828909644494902</v>
      </c>
      <c r="T9" s="48" t="n">
        <f aca="false">S9*(IF(B9&lt;Assumptions!$B$5,Assumptions!$B$12*(1+Assumptions!$B$11)^(B9-Assumptions!$B$4+1)+Pricing!$B$14*IF(B9=Assumptions!$B$4,Assumptions!$B$14,Assumptions!$B$15)-Pricing!$B$14,Assumptions!$B$9*(1+Assumptions!$B$10)^(B9-Assumptions!$B$4)+Assumptions!$B$12*(1+Assumptions!$B$11)^(B9-Assumptions!$B$4+1)))*H9</f>
        <v>-8434.29402871312</v>
      </c>
      <c r="U9" s="11" t="n">
        <f aca="false">U8*(1-MIN(1,C8))*(1-IF(B8&lt;Assumptions!$B$5,E8*(1-Assumptions!$B$23),0))</f>
        <v>0.920628204670913</v>
      </c>
      <c r="V9" s="48" t="n">
        <f aca="false">U9*(IF(B9&lt;Assumptions!$B$5,Assumptions!$B$12*(1+Assumptions!$B$11)^(B9-Assumptions!$B$4+1)+Pricing!$B$14*IF(B9=Assumptions!$B$4,Assumptions!$B$14,Assumptions!$B$15)-Pricing!$B$14,Assumptions!$B$9*(1+Assumptions!$B$10)^(B9-Assumptions!$B$4)+Assumptions!$B$12*(1+Assumptions!$B$11)^(B9-Assumptions!$B$4+1)))*H9</f>
        <v>-9367.54569197019</v>
      </c>
      <c r="W9" s="48" t="n">
        <f aca="false">F9*(IF(B9&lt;Assumptions!$B$5,Assumptions!$B$12*(1+Assumptions!$B$11)*(1+Assumptions!$B$24)*(1+Assumptions!$B$11+Assumptions!$B$25)^(B9-Assumptions!$B$4)+Pricing!$B$14*IF(B9=Assumptions!$B$4,Assumptions!$B$14,Assumptions!$B$15)-Pricing!$B$14,Assumptions!$B$9*(1+Assumptions!$B$10)^(B9-Assumptions!$B$4)+Assumptions!$B$12*(1+Assumptions!$B$11)*(1+Assumptions!$B$24)*(1+Assumptions!$B$11+Assumptions!$B$25)^(B9-Assumptions!$B$4)))*H9</f>
        <v>-8880.82759860445</v>
      </c>
      <c r="X9" s="11" t="n">
        <f aca="false">IF(B9&lt;Assumptions!$B$5,G9*H9,0)</f>
        <v>0.849621442034332</v>
      </c>
      <c r="Y9" s="5" t="n">
        <f aca="false">IF(B9&gt;=Assumptions!$B$5,G9*Assumptions!$B$9*(1+Assumptions!$B$10)^(B9-Assumptions!$B$4)*H9,0)</f>
        <v>0</v>
      </c>
      <c r="Z9" s="48" t="n">
        <f aca="false">IF(B9&lt;Assumptions!$B$5,F9*Pricing!$B$14*H9,0)</f>
        <v>9434.62437063945</v>
      </c>
      <c r="AA9" s="48" t="n">
        <f aca="false">IF(B9&lt;Assumptions!$B$5,Q9*Pricing!$B$14*H9,0)</f>
        <v>9493.95352150386</v>
      </c>
      <c r="AB9" s="48" t="n">
        <f aca="false">IF(B9&lt;Assumptions!$B$5,U9*Pricing!$B$14*H9,0)</f>
        <v>9939.38729117074</v>
      </c>
      <c r="AC9" s="48" t="n">
        <f aca="false">IF(B9&lt;Assumptions!$B$5,F9*(Pricing!$B$14-Pricing!$B$14*IF(B9=Assumptions!$B$4,Assumptions!$B$14,Assumptions!$B$15))*H9,0)</f>
        <v>8962.89315210748</v>
      </c>
      <c r="AD9" s="48" t="n">
        <f aca="false">IF(B9&lt;Assumptions!$B$5,F9*Pricing!$B$14*IF(B9=Assumptions!$B$4,Assumptions!$B$14,Assumptions!$B$15)*H9,0)</f>
        <v>471.731218531972</v>
      </c>
    </row>
    <row r="10" customFormat="false" ht="15" hidden="false" customHeight="true" outlineLevel="0" collapsed="false">
      <c r="A10" s="73" t="n">
        <v>7</v>
      </c>
      <c r="B10" s="34" t="n">
        <f aca="false">B9+1</f>
        <v>71</v>
      </c>
      <c r="C10" s="32" t="n">
        <f aca="false">IFERROR(INDEX(Cohort_Survival!$B$5:$AA$65,B10-59,Assumptions!$B$4-59),1)</f>
        <v>0.0093969211355016</v>
      </c>
      <c r="D10" s="11" t="n">
        <f aca="false">IF(B10&lt;Assumptions!$B$5,IF(B10-Assumptions!$B$4+1=1,Assumptions!$B$16,IF(B10-Assumptions!$B$4+1=2,Assumptions!$B$17,IF(B10-Assumptions!$B$4+1&lt;=5,Assumptions!$B$18,Assumptions!$B$19))),0)</f>
        <v>0.013</v>
      </c>
      <c r="E10" s="11" t="n">
        <f aca="false">D10*(1-Assumptions!$B$20)</f>
        <v>0.0091</v>
      </c>
      <c r="F10" s="11" t="n">
        <f aca="false">F9*(1-C9)*(1-E9)</f>
        <v>0.858567656672851</v>
      </c>
      <c r="G10" s="11" t="n">
        <f aca="false">G9*(1-C9)</f>
        <v>0.960987067885951</v>
      </c>
      <c r="H10" s="11" t="n">
        <f aca="false">Discount!C10</f>
        <v>0.851971578753519</v>
      </c>
      <c r="I10" s="11" t="n">
        <f aca="false">IF(B10&lt;Assumptions!$B$5,F10*H10,0)</f>
        <v>0.731475241922279</v>
      </c>
      <c r="J10" s="11" t="n">
        <f aca="false">IF(B10&lt;Assumptions!$B$5,F10*(1-C10)*E10*(B10-Assumptions!$B$4+1)*H10,0)</f>
        <v>0.0461571236246988</v>
      </c>
      <c r="K10" s="5" t="n">
        <f aca="false">IF(B10&gt;=Assumptions!$B$5,F10*Assumptions!$B$9*(1+Assumptions!$B$10)^(B10-Assumptions!$B$4)*H10,0)</f>
        <v>0</v>
      </c>
      <c r="L10" s="48" t="n">
        <f aca="false">F10*Assumptions!$B$12*(1+Assumptions!$B$11)^(B10-Assumptions!$B$4+1)*H10</f>
        <v>69.5595359387217</v>
      </c>
      <c r="M10" s="48" t="n">
        <f aca="false">IF(B10&lt;Assumptions!$B$5,F10*(Pricing!$B$14-Pricing!$B$14*IF(B10=Assumptions!$B$4,Assumptions!$B$14,Assumptions!$B$15))-F10*Assumptions!$B$12*(1+Assumptions!$B$11)^(B10-Assumptions!$B$4+1),-F10*(Assumptions!$B$9*(1+Assumptions!$B$10)^(B10-Assumptions!$B$4)+Assumptions!$B$12*(1+Assumptions!$B$11)^(B10-Assumptions!$B$4+1)))</f>
        <v>9963.82152204682</v>
      </c>
      <c r="N10" s="12" t="n">
        <f aca="false">M10*H10</f>
        <v>8488.89275255652</v>
      </c>
      <c r="O10" s="48" t="n">
        <f aca="false">F10*(IF(B10&lt;Assumptions!$B$5,Assumptions!$B$12*(1+Assumptions!$B$11)^(B10-Assumptions!$B$4+1)+Pricing!$B$14*IF(B10=Assumptions!$B$4,Assumptions!$B$14,Assumptions!$B$15)-Pricing!$B$14,Assumptions!$B$9*(1+Assumptions!$B$10)^(B10-Assumptions!$B$4)+Assumptions!$B$12*(1+Assumptions!$B$11)^(B10-Assumptions!$B$4+1)))</f>
        <v>-9963.82152204681</v>
      </c>
      <c r="P10" s="48" t="n">
        <f aca="false">O10*H10</f>
        <v>-8488.89275255652</v>
      </c>
      <c r="Q10" s="11" t="n">
        <f aca="false">Q9*(1-MIN(1,C9*(1-Assumptions!$B$21)))*(1-IF(B9&lt;Assumptions!$B$5,E9,0))</f>
        <v>0.86544696635803</v>
      </c>
      <c r="R10" s="48" t="n">
        <f aca="false">Q10*(IF(B10&lt;Assumptions!$B$5,Assumptions!$B$12*(1+Assumptions!$B$11)^(B10-Assumptions!$B$4+1)+Pricing!$B$14*IF(B10=Assumptions!$B$4,Assumptions!$B$14,Assumptions!$B$15)-Pricing!$B$14,Assumptions!$B$9*(1+Assumptions!$B$10)^(B10-Assumptions!$B$4)+Assumptions!$B$12*(1+Assumptions!$B$11)^(B10-Assumptions!$B$4+1)))*H10</f>
        <v>-8556.91036500118</v>
      </c>
      <c r="S10" s="11" t="n">
        <f aca="false">S9*(1-MIN(1,C9))*(1-IF(B9&lt;Assumptions!$B$5,E9*(1+Assumptions!$B$23),0))</f>
        <v>0.810650510995486</v>
      </c>
      <c r="T10" s="48" t="n">
        <f aca="false">S10*(IF(B10&lt;Assumptions!$B$5,Assumptions!$B$12*(1+Assumptions!$B$11)^(B10-Assumptions!$B$4+1)+Pricing!$B$14*IF(B10=Assumptions!$B$4,Assumptions!$B$14,Assumptions!$B$15)-Pricing!$B$14,Assumptions!$B$9*(1+Assumptions!$B$10)^(B10-Assumptions!$B$4)+Assumptions!$B$12*(1+Assumptions!$B$11)^(B10-Assumptions!$B$4+1)))*H10</f>
        <v>-8015.12285509721</v>
      </c>
      <c r="U10" s="11" t="n">
        <f aca="false">U9*(1-MIN(1,C9))*(1-IF(B9&lt;Assumptions!$B$5,E9*(1-Assumptions!$B$23),0))</f>
        <v>0.908655262205364</v>
      </c>
      <c r="V10" s="48" t="n">
        <f aca="false">U10*(IF(B10&lt;Assumptions!$B$5,Assumptions!$B$12*(1+Assumptions!$B$11)^(B10-Assumptions!$B$4+1)+Pricing!$B$14*IF(B10=Assumptions!$B$4,Assumptions!$B$14,Assumptions!$B$15)-Pricing!$B$14,Assumptions!$B$9*(1+Assumptions!$B$10)^(B10-Assumptions!$B$4)+Assumptions!$B$12*(1+Assumptions!$B$11)^(B10-Assumptions!$B$4+1)))*H10</f>
        <v>-8984.12257899275</v>
      </c>
      <c r="W10" s="48" t="n">
        <f aca="false">F10*(IF(B10&lt;Assumptions!$B$5,Assumptions!$B$12*(1+Assumptions!$B$11)*(1+Assumptions!$B$24)*(1+Assumptions!$B$11+Assumptions!$B$25)^(B10-Assumptions!$B$4)+Pricing!$B$14*IF(B10=Assumptions!$B$4,Assumptions!$B$14,Assumptions!$B$15)-Pricing!$B$14,Assumptions!$B$9*(1+Assumptions!$B$10)^(B10-Assumptions!$B$4)+Assumptions!$B$12*(1+Assumptions!$B$11)*(1+Assumptions!$B$24)*(1+Assumptions!$B$11+Assumptions!$B$25)^(B10-Assumptions!$B$4)))*H10</f>
        <v>-8477.34716917781</v>
      </c>
      <c r="X10" s="11" t="n">
        <f aca="false">IF(B10&lt;Assumptions!$B$5,G10*H10,0)</f>
        <v>0.818733669388509</v>
      </c>
      <c r="Y10" s="5" t="n">
        <f aca="false">IF(B10&gt;=Assumptions!$B$5,G10*Assumptions!$B$9*(1+Assumptions!$B$10)^(B10-Assumptions!$B$4)*H10,0)</f>
        <v>0</v>
      </c>
      <c r="Z10" s="48" t="n">
        <f aca="false">IF(B10&lt;Assumptions!$B$5,F10*Pricing!$B$14*H10,0)</f>
        <v>9008.89714578446</v>
      </c>
      <c r="AA10" s="48" t="n">
        <f aca="false">IF(B10&lt;Assumptions!$B$5,Q10*Pricing!$B$14*H10,0)</f>
        <v>9081.08131543737</v>
      </c>
      <c r="AB10" s="48" t="n">
        <f aca="false">IF(B10&lt;Assumptions!$B$5,U10*Pricing!$B$14*H10,0)</f>
        <v>9534.46328261015</v>
      </c>
      <c r="AC10" s="48" t="n">
        <f aca="false">IF(B10&lt;Assumptions!$B$5,F10*(Pricing!$B$14-Pricing!$B$14*IF(B10=Assumptions!$B$4,Assumptions!$B$14,Assumptions!$B$15))*H10,0)</f>
        <v>8558.45228849524</v>
      </c>
      <c r="AD10" s="48" t="n">
        <f aca="false">IF(B10&lt;Assumptions!$B$5,F10*Pricing!$B$14*IF(B10=Assumptions!$B$4,Assumptions!$B$14,Assumptions!$B$15)*H10,0)</f>
        <v>450.444857289223</v>
      </c>
    </row>
    <row r="11" customFormat="false" ht="15" hidden="false" customHeight="true" outlineLevel="0" collapsed="false">
      <c r="A11" s="73" t="n">
        <v>8</v>
      </c>
      <c r="B11" s="34" t="n">
        <f aca="false">B10+1</f>
        <v>72</v>
      </c>
      <c r="C11" s="32" t="n">
        <f aca="false">IFERROR(INDEX(Cohort_Survival!$B$5:$AA$65,B11-59,Assumptions!$B$4-59),1)</f>
        <v>0.0104218313182508</v>
      </c>
      <c r="D11" s="11" t="n">
        <f aca="false">IF(B11&lt;Assumptions!$B$5,IF(B11-Assumptions!$B$4+1=1,Assumptions!$B$16,IF(B11-Assumptions!$B$4+1=2,Assumptions!$B$17,IF(B11-Assumptions!$B$4+1&lt;=5,Assumptions!$B$18,Assumptions!$B$19))),0)</f>
        <v>0.013</v>
      </c>
      <c r="E11" s="11" t="n">
        <f aca="false">D11*(1-Assumptions!$B$20)</f>
        <v>0.0091</v>
      </c>
      <c r="F11" s="11" t="n">
        <f aca="false">F10*(1-C10)*(1-E10)</f>
        <v>0.84276021626017</v>
      </c>
      <c r="G11" s="11" t="n">
        <f aca="false">G10*(1-C10)</f>
        <v>0.951956748196789</v>
      </c>
      <c r="H11" s="11" t="n">
        <f aca="false">Discount!C11</f>
        <v>0.827041278453181</v>
      </c>
      <c r="I11" s="11" t="n">
        <f aca="false">IF(B11&lt;Assumptions!$B$5,F11*H11,0)</f>
        <v>0.696997486685291</v>
      </c>
      <c r="J11" s="11" t="n">
        <f aca="false">IF(B11&lt;Assumptions!$B$5,F11*(1-C11)*E11*(B11-Assumptions!$B$4+1)*H11,0)</f>
        <v>0.0502125985415463</v>
      </c>
      <c r="K11" s="5" t="n">
        <f aca="false">IF(B11&gt;=Assumptions!$B$5,F11*Assumptions!$B$9*(1+Assumptions!$B$10)^(B11-Assumptions!$B$4)*H11,0)</f>
        <v>0</v>
      </c>
      <c r="L11" s="48" t="n">
        <f aca="false">F11*Assumptions!$B$12*(1+Assumptions!$B$11)^(B11-Assumptions!$B$4+1)*H11</f>
        <v>67.9379005867591</v>
      </c>
      <c r="M11" s="48" t="n">
        <f aca="false">IF(B11&lt;Assumptions!$B$5,F11*(Pricing!$B$14-Pricing!$B$14*IF(B11=Assumptions!$B$4,Assumptions!$B$14,Assumptions!$B$15))-F11*Assumptions!$B$12*(1+Assumptions!$B$11)^(B11-Assumptions!$B$4+1),-F11*(Assumptions!$B$9*(1+Assumptions!$B$10)^(B11-Assumptions!$B$4)+Assumptions!$B$12*(1+Assumptions!$B$11)^(B11-Assumptions!$B$4+1)))</f>
        <v>9778.36997314961</v>
      </c>
      <c r="N11" s="12" t="n">
        <f aca="false">M11*H11</f>
        <v>8087.11560378185</v>
      </c>
      <c r="O11" s="48" t="n">
        <f aca="false">F11*(IF(B11&lt;Assumptions!$B$5,Assumptions!$B$12*(1+Assumptions!$B$11)^(B11-Assumptions!$B$4+1)+Pricing!$B$14*IF(B11=Assumptions!$B$4,Assumptions!$B$14,Assumptions!$B$15)-Pricing!$B$14,Assumptions!$B$9*(1+Assumptions!$B$10)^(B11-Assumptions!$B$4)+Assumptions!$B$12*(1+Assumptions!$B$11)^(B11-Assumptions!$B$4+1)))</f>
        <v>-9778.36997314961</v>
      </c>
      <c r="P11" s="48" t="n">
        <f aca="false">O11*H11</f>
        <v>-8087.11560378185</v>
      </c>
      <c r="Q11" s="11" t="n">
        <f aca="false">Q10*(1-MIN(1,C10*(1-Assumptions!$B$21)))*(1-IF(B10&lt;Assumptions!$B$5,E10,0))</f>
        <v>0.851124574320869</v>
      </c>
      <c r="R11" s="48" t="n">
        <f aca="false">Q11*(IF(B11&lt;Assumptions!$B$5,Assumptions!$B$12*(1+Assumptions!$B$11)^(B11-Assumptions!$B$4+1)+Pricing!$B$14*IF(B11=Assumptions!$B$4,Assumptions!$B$14,Assumptions!$B$15)-Pricing!$B$14,Assumptions!$B$9*(1+Assumptions!$B$10)^(B11-Assumptions!$B$4)+Assumptions!$B$12*(1+Assumptions!$B$11)^(B11-Assumptions!$B$4+1)))*H11</f>
        <v>-8167.37987027567</v>
      </c>
      <c r="S11" s="11" t="n">
        <f aca="false">S10*(1-MIN(1,C10))*(1-IF(B10&lt;Assumptions!$B$5,E10*(1+Assumptions!$B$23),0))</f>
        <v>0.792071493098381</v>
      </c>
      <c r="T11" s="48" t="n">
        <f aca="false">S11*(IF(B11&lt;Assumptions!$B$5,Assumptions!$B$12*(1+Assumptions!$B$11)^(B11-Assumptions!$B$4+1)+Pricing!$B$14*IF(B11=Assumptions!$B$4,Assumptions!$B$14,Assumptions!$B$15)-Pricing!$B$14,Assumptions!$B$9*(1+Assumptions!$B$10)^(B11-Assumptions!$B$4)+Assumptions!$B$12*(1+Assumptions!$B$11)^(B11-Assumptions!$B$4+1)))*H11</f>
        <v>-7600.70730387827</v>
      </c>
      <c r="U11" s="11" t="n">
        <f aca="false">U10*(1-MIN(1,C10))*(1-IF(B10&lt;Assumptions!$B$5,E10*(1-Assumptions!$B$23),0))</f>
        <v>0.896021169380392</v>
      </c>
      <c r="V11" s="48" t="n">
        <f aca="false">U11*(IF(B11&lt;Assumptions!$B$5,Assumptions!$B$12*(1+Assumptions!$B$11)^(B11-Assumptions!$B$4+1)+Pricing!$B$14*IF(B11=Assumptions!$B$4,Assumptions!$B$14,Assumptions!$B$15)-Pricing!$B$14,Assumptions!$B$9*(1+Assumptions!$B$10)^(B11-Assumptions!$B$4)+Assumptions!$B$12*(1+Assumptions!$B$11)^(B11-Assumptions!$B$4+1)))*H11</f>
        <v>-8598.20698747606</v>
      </c>
      <c r="W11" s="48" t="n">
        <f aca="false">F11*(IF(B11&lt;Assumptions!$B$5,Assumptions!$B$12*(1+Assumptions!$B$11)*(1+Assumptions!$B$24)*(1+Assumptions!$B$11+Assumptions!$B$25)^(B11-Assumptions!$B$4)+Pricing!$B$14*IF(B11=Assumptions!$B$4,Assumptions!$B$14,Assumptions!$B$15)-Pricing!$B$14,Assumptions!$B$9*(1+Assumptions!$B$10)^(B11-Assumptions!$B$4)+Assumptions!$B$12*(1+Assumptions!$B$11)*(1+Assumptions!$B$24)*(1+Assumptions!$B$11+Assumptions!$B$25)^(B11-Assumptions!$B$4)))*H11</f>
        <v>-8075.066358913</v>
      </c>
      <c r="X11" s="11" t="n">
        <f aca="false">IF(B11&lt;Assumptions!$B$5,G11*H11,0)</f>
        <v>0.787307526060806</v>
      </c>
      <c r="Y11" s="5" t="n">
        <f aca="false">IF(B11&gt;=Assumptions!$B$5,G11*Assumptions!$B$9*(1+Assumptions!$B$10)^(B11-Assumptions!$B$4)*H11,0)</f>
        <v>0</v>
      </c>
      <c r="Z11" s="48" t="n">
        <f aca="false">IF(B11&lt;Assumptions!$B$5,F11*Pricing!$B$14*H11,0)</f>
        <v>8584.2668467038</v>
      </c>
      <c r="AA11" s="48" t="n">
        <f aca="false">IF(B11&lt;Assumptions!$B$5,Q11*Pricing!$B$14*H11,0)</f>
        <v>8669.46531740647</v>
      </c>
      <c r="AB11" s="48" t="n">
        <f aca="false">IF(B11&lt;Assumptions!$B$5,U11*Pricing!$B$14*H11,0)</f>
        <v>9126.77730848457</v>
      </c>
      <c r="AC11" s="48" t="n">
        <f aca="false">IF(B11&lt;Assumptions!$B$5,F11*(Pricing!$B$14-Pricing!$B$14*IF(B11=Assumptions!$B$4,Assumptions!$B$14,Assumptions!$B$15))*H11,0)</f>
        <v>8155.05350436861</v>
      </c>
      <c r="AD11" s="48" t="n">
        <f aca="false">IF(B11&lt;Assumptions!$B$5,F11*Pricing!$B$14*IF(B11=Assumptions!$B$4,Assumptions!$B$14,Assumptions!$B$15)*H11,0)</f>
        <v>429.21334233519</v>
      </c>
    </row>
    <row r="12" customFormat="false" ht="15" hidden="false" customHeight="true" outlineLevel="0" collapsed="false">
      <c r="A12" s="73" t="n">
        <v>9</v>
      </c>
      <c r="B12" s="34" t="n">
        <f aca="false">B11+1</f>
        <v>73</v>
      </c>
      <c r="C12" s="32" t="n">
        <f aca="false">IFERROR(INDEX(Cohort_Survival!$B$5:$AA$65,B12-59,Assumptions!$B$4-59),1)</f>
        <v>0.0115816824955086</v>
      </c>
      <c r="D12" s="11" t="n">
        <f aca="false">IF(B12&lt;Assumptions!$B$5,IF(B12-Assumptions!$B$4+1=1,Assumptions!$B$16,IF(B12-Assumptions!$B$4+1=2,Assumptions!$B$17,IF(B12-Assumptions!$B$4+1&lt;=5,Assumptions!$B$18,Assumptions!$B$19))),0)</f>
        <v>0.013</v>
      </c>
      <c r="E12" s="11" t="n">
        <f aca="false">D12*(1-Assumptions!$B$20)</f>
        <v>0.0091</v>
      </c>
      <c r="F12" s="11" t="n">
        <f aca="false">F11*(1-C11)*(1-E11)</f>
        <v>0.826387919730429</v>
      </c>
      <c r="G12" s="11" t="n">
        <f aca="false">G11*(1-C11)</f>
        <v>0.942035615544812</v>
      </c>
      <c r="H12" s="11" t="n">
        <f aca="false">Discount!C12</f>
        <v>0.801904550348561</v>
      </c>
      <c r="I12" s="11" t="n">
        <f aca="false">IF(B12&lt;Assumptions!$B$5,F12*H12,0)</f>
        <v>0.662684233184912</v>
      </c>
      <c r="J12" s="11" t="n">
        <f aca="false">IF(B12&lt;Assumptions!$B$5,F12*(1-C12)*E12*(B12-Assumptions!$B$4+1)*H12,0)</f>
        <v>0.0536452563302334</v>
      </c>
      <c r="K12" s="5" t="n">
        <f aca="false">IF(B12&gt;=Assumptions!$B$5,F12*Assumptions!$B$9*(1+Assumptions!$B$10)^(B12-Assumptions!$B$4)*H12,0)</f>
        <v>0</v>
      </c>
      <c r="L12" s="48" t="n">
        <f aca="false">F12*Assumptions!$B$12*(1+Assumptions!$B$11)^(B12-Assumptions!$B$4+1)*H12</f>
        <v>66.208143967424</v>
      </c>
      <c r="M12" s="48" t="n">
        <f aca="false">IF(B12&lt;Assumptions!$B$5,F12*(Pricing!$B$14-Pricing!$B$14*IF(B12=Assumptions!$B$4,Assumptions!$B$14,Assumptions!$B$15))-F12*Assumptions!$B$12*(1+Assumptions!$B$11)^(B12-Assumptions!$B$4+1),-F12*(Assumptions!$B$9*(1+Assumptions!$B$10)^(B12-Assumptions!$B$4)+Assumptions!$B$12*(1+Assumptions!$B$11)^(B12-Assumptions!$B$4+1)))</f>
        <v>9586.39190464869</v>
      </c>
      <c r="N12" s="12" t="n">
        <f aca="false">M12*H12</f>
        <v>7687.37128976239</v>
      </c>
      <c r="O12" s="48" t="n">
        <f aca="false">F12*(IF(B12&lt;Assumptions!$B$5,Assumptions!$B$12*(1+Assumptions!$B$11)^(B12-Assumptions!$B$4+1)+Pricing!$B$14*IF(B12=Assumptions!$B$4,Assumptions!$B$14,Assumptions!$B$15)-Pricing!$B$14,Assumptions!$B$9*(1+Assumptions!$B$10)^(B12-Assumptions!$B$4)+Assumptions!$B$12*(1+Assumptions!$B$11)^(B12-Assumptions!$B$4+1)))</f>
        <v>-9586.39190464869</v>
      </c>
      <c r="P12" s="48" t="n">
        <f aca="false">O12*H12</f>
        <v>-7687.37128976239</v>
      </c>
      <c r="Q12" s="11" t="n">
        <f aca="false">Q11*(1-MIN(1,C11*(1-Assumptions!$B$21)))*(1-IF(B11&lt;Assumptions!$B$5,E11,0))</f>
        <v>0.836347694913736</v>
      </c>
      <c r="R12" s="48" t="n">
        <f aca="false">Q12*(IF(B12&lt;Assumptions!$B$5,Assumptions!$B$12*(1+Assumptions!$B$11)^(B12-Assumptions!$B$4+1)+Pricing!$B$14*IF(B12=Assumptions!$B$4,Assumptions!$B$14,Assumptions!$B$15)-Pricing!$B$14,Assumptions!$B$9*(1+Assumptions!$B$10)^(B12-Assumptions!$B$4)+Assumptions!$B$12*(1+Assumptions!$B$11)^(B12-Assumptions!$B$4+1)))*H12</f>
        <v>-7780.02086506308</v>
      </c>
      <c r="S12" s="11" t="n">
        <f aca="false">S11*(1-MIN(1,C11))*(1-IF(B11&lt;Assumptions!$B$5,E11*(1+Assumptions!$B$23),0))</f>
        <v>0.773117560229002</v>
      </c>
      <c r="T12" s="48" t="n">
        <f aca="false">S12*(IF(B12&lt;Assumptions!$B$5,Assumptions!$B$12*(1+Assumptions!$B$11)^(B12-Assumptions!$B$4+1)+Pricing!$B$14*IF(B12=Assumptions!$B$4,Assumptions!$B$14,Assumptions!$B$15)-Pricing!$B$14,Assumptions!$B$9*(1+Assumptions!$B$10)^(B12-Assumptions!$B$4)+Assumptions!$B$12*(1+Assumptions!$B$11)^(B12-Assumptions!$B$4+1)))*H12</f>
        <v>-7191.83036709236</v>
      </c>
      <c r="U12" s="11" t="n">
        <f aca="false">U11*(1-MIN(1,C11))*(1-IF(B11&lt;Assumptions!$B$5,E11*(1-Assumptions!$B$23),0))</f>
        <v>0.882648580300603</v>
      </c>
      <c r="V12" s="48" t="n">
        <f aca="false">U12*(IF(B12&lt;Assumptions!$B$5,Assumptions!$B$12*(1+Assumptions!$B$11)^(B12-Assumptions!$B$4+1)+Pricing!$B$14*IF(B12=Assumptions!$B$4,Assumptions!$B$14,Assumptions!$B$15)-Pricing!$B$14,Assumptions!$B$9*(1+Assumptions!$B$10)^(B12-Assumptions!$B$4)+Assumptions!$B$12*(1+Assumptions!$B$11)^(B12-Assumptions!$B$4+1)))*H12</f>
        <v>-8210.72911782855</v>
      </c>
      <c r="W12" s="48" t="n">
        <f aca="false">F12*(IF(B12&lt;Assumptions!$B$5,Assumptions!$B$12*(1+Assumptions!$B$11)*(1+Assumptions!$B$24)*(1+Assumptions!$B$11+Assumptions!$B$25)^(B12-Assumptions!$B$4)+Pricing!$B$14*IF(B12=Assumptions!$B$4,Assumptions!$B$14,Assumptions!$B$15)-Pricing!$B$14,Assumptions!$B$9*(1+Assumptions!$B$10)^(B12-Assumptions!$B$4)+Assumptions!$B$12*(1+Assumptions!$B$11)*(1+Assumptions!$B$24)*(1+Assumptions!$B$11+Assumptions!$B$25)^(B12-Assumptions!$B$4)))*H12</f>
        <v>-7674.86833519044</v>
      </c>
      <c r="X12" s="11" t="n">
        <f aca="false">IF(B12&lt;Assumptions!$B$5,G12*H12,0)</f>
        <v>0.755422646695792</v>
      </c>
      <c r="Y12" s="5" t="n">
        <f aca="false">IF(B12&gt;=Assumptions!$B$5,G12*Assumptions!$B$9*(1+Assumptions!$B$10)^(B12-Assumptions!$B$4)*H12,0)</f>
        <v>0</v>
      </c>
      <c r="Z12" s="48" t="n">
        <f aca="false">IF(B12&lt;Assumptions!$B$5,F12*Pricing!$B$14*H12,0)</f>
        <v>8161.66256182086</v>
      </c>
      <c r="AA12" s="48" t="n">
        <f aca="false">IF(B12&lt;Assumptions!$B$5,Q12*Pricing!$B$14*H12,0)</f>
        <v>8260.02838045997</v>
      </c>
      <c r="AB12" s="48" t="n">
        <f aca="false">IF(B12&lt;Assumptions!$B$5,U12*Pricing!$B$14*H12,0)</f>
        <v>8717.31023782838</v>
      </c>
      <c r="AC12" s="48" t="n">
        <f aca="false">IF(B12&lt;Assumptions!$B$5,F12*(Pricing!$B$14-Pricing!$B$14*IF(B12=Assumptions!$B$4,Assumptions!$B$14,Assumptions!$B$15))*H12,0)</f>
        <v>7753.57943372982</v>
      </c>
      <c r="AD12" s="48" t="n">
        <f aca="false">IF(B12&lt;Assumptions!$B$5,F12*Pricing!$B$14*IF(B12=Assumptions!$B$4,Assumptions!$B$14,Assumptions!$B$15)*H12,0)</f>
        <v>408.083128091043</v>
      </c>
    </row>
    <row r="13" customFormat="false" ht="15" hidden="false" customHeight="true" outlineLevel="0" collapsed="false">
      <c r="A13" s="74" t="n">
        <v>10</v>
      </c>
      <c r="B13" s="34" t="n">
        <f aca="false">B12+1</f>
        <v>74</v>
      </c>
      <c r="C13" s="32" t="n">
        <f aca="false">IFERROR(INDEX(Cohort_Survival!$B$5:$AA$65,B13-59,Assumptions!$B$4-59),1)</f>
        <v>0.012890964853009</v>
      </c>
      <c r="D13" s="11" t="n">
        <f aca="false">IF(B13&lt;Assumptions!$B$5,IF(B13-Assumptions!$B$4+1=1,Assumptions!$B$16,IF(B13-Assumptions!$B$4+1=2,Assumptions!$B$17,IF(B13-Assumptions!$B$4+1&lt;=5,Assumptions!$B$18,Assumptions!$B$19))),0)</f>
        <v>0.013</v>
      </c>
      <c r="E13" s="11" t="n">
        <f aca="false">D13*(1-Assumptions!$B$20)</f>
        <v>0.0091</v>
      </c>
      <c r="F13" s="11" t="n">
        <f aca="false">F12*(1-C12)*(1-E12)</f>
        <v>0.809383922915231</v>
      </c>
      <c r="G13" s="11" t="n">
        <f aca="false">G12*(1-C12)</f>
        <v>0.931125258146111</v>
      </c>
      <c r="H13" s="11" t="n">
        <f aca="false">Discount!C13</f>
        <v>0.776739422112084</v>
      </c>
      <c r="I13" s="11" t="n">
        <f aca="false">IF(B13&lt;Assumptions!$B$5,F13*H13,0)</f>
        <v>0.628680400551988</v>
      </c>
      <c r="J13" s="11" t="n">
        <f aca="false">IF(B13&lt;Assumptions!$B$5,F13*(1-C13)*E13*(B13-Assumptions!$B$4+1)*H13,0)</f>
        <v>0.0564724254280274</v>
      </c>
      <c r="K13" s="5" t="n">
        <f aca="false">IF(B13&gt;=Assumptions!$B$5,F13*Assumptions!$B$9*(1+Assumptions!$B$10)^(B13-Assumptions!$B$4)*H13,0)</f>
        <v>0</v>
      </c>
      <c r="L13" s="48" t="n">
        <f aca="false">F13*Assumptions!$B$12*(1+Assumptions!$B$11)^(B13-Assumptions!$B$4+1)*H13</f>
        <v>64.381125118862</v>
      </c>
      <c r="M13" s="48" t="n">
        <f aca="false">IF(B13&lt;Assumptions!$B$5,F13*(Pricing!$B$14-Pricing!$B$14*IF(B13=Assumptions!$B$4,Assumptions!$B$14,Assumptions!$B$15))-F13*Assumptions!$B$12*(1+Assumptions!$B$11)^(B13-Assumptions!$B$4+1),-F13*(Assumptions!$B$9*(1+Assumptions!$B$10)^(B13-Assumptions!$B$4)+Assumptions!$B$12*(1+Assumptions!$B$11)^(B13-Assumptions!$B$4+1)))</f>
        <v>9387.11791336022</v>
      </c>
      <c r="N13" s="12" t="n">
        <f aca="false">M13*H13</f>
        <v>7291.34454332141</v>
      </c>
      <c r="O13" s="48" t="n">
        <f aca="false">F13*(IF(B13&lt;Assumptions!$B$5,Assumptions!$B$12*(1+Assumptions!$B$11)^(B13-Assumptions!$B$4+1)+Pricing!$B$14*IF(B13=Assumptions!$B$4,Assumptions!$B$14,Assumptions!$B$15)-Pricing!$B$14,Assumptions!$B$9*(1+Assumptions!$B$10)^(B13-Assumptions!$B$4)+Assumptions!$B$12*(1+Assumptions!$B$11)^(B13-Assumptions!$B$4+1)))</f>
        <v>-9387.11791336022</v>
      </c>
      <c r="P13" s="48" t="n">
        <f aca="false">O13*H13</f>
        <v>-7291.34454332141</v>
      </c>
      <c r="Q13" s="11" t="n">
        <f aca="false">Q12*(1-MIN(1,C12*(1-Assumptions!$B$21)))*(1-IF(B12&lt;Assumptions!$B$5,E12,0))</f>
        <v>0.821058396485325</v>
      </c>
      <c r="R13" s="48" t="n">
        <f aca="false">Q13*(IF(B13&lt;Assumptions!$B$5,Assumptions!$B$12*(1+Assumptions!$B$11)^(B13-Assumptions!$B$4+1)+Pricing!$B$14*IF(B13=Assumptions!$B$4,Assumptions!$B$14,Assumptions!$B$15)-Pricing!$B$14,Assumptions!$B$9*(1+Assumptions!$B$10)^(B13-Assumptions!$B$4)+Assumptions!$B$12*(1+Assumptions!$B$11)^(B13-Assumptions!$B$4+1)))*H13</f>
        <v>-7396.51417512588</v>
      </c>
      <c r="S13" s="11" t="n">
        <f aca="false">S12*(1-MIN(1,C12))*(1-IF(B12&lt;Assumptions!$B$5,E12*(1+Assumptions!$B$23),0))</f>
        <v>0.753732725546462</v>
      </c>
      <c r="T13" s="48" t="n">
        <f aca="false">S13*(IF(B13&lt;Assumptions!$B$5,Assumptions!$B$12*(1+Assumptions!$B$11)^(B13-Assumptions!$B$4+1)+Pricing!$B$14*IF(B13=Assumptions!$B$4,Assumptions!$B$14,Assumptions!$B$15)-Pricing!$B$14,Assumptions!$B$9*(1+Assumptions!$B$10)^(B13-Assumptions!$B$4)+Assumptions!$B$12*(1+Assumptions!$B$11)^(B13-Assumptions!$B$4+1)))*H13</f>
        <v>-6790.01008043442</v>
      </c>
      <c r="U13" s="11" t="n">
        <f aca="false">U12*(1-MIN(1,C12))*(1-IF(B12&lt;Assumptions!$B$5,E12*(1-Assumptions!$B$23),0))</f>
        <v>0.868456486276118</v>
      </c>
      <c r="V13" s="48" t="n">
        <f aca="false">U13*(IF(B13&lt;Assumptions!$B$5,Assumptions!$B$12*(1+Assumptions!$B$11)^(B13-Assumptions!$B$4+1)+Pricing!$B$14*IF(B13=Assumptions!$B$4,Assumptions!$B$14,Assumptions!$B$15)-Pricing!$B$14,Assumptions!$B$9*(1+Assumptions!$B$10)^(B13-Assumptions!$B$4)+Assumptions!$B$12*(1+Assumptions!$B$11)^(B13-Assumptions!$B$4+1)))*H13</f>
        <v>-7823.50042179507</v>
      </c>
      <c r="W13" s="48" t="n">
        <f aca="false">F13*(IF(B13&lt;Assumptions!$B$5,Assumptions!$B$12*(1+Assumptions!$B$11)*(1+Assumptions!$B$24)*(1+Assumptions!$B$11+Assumptions!$B$25)^(B13-Assumptions!$B$4)+Pricing!$B$14*IF(B13=Assumptions!$B$4,Assumptions!$B$14,Assumptions!$B$15)-Pricing!$B$14,Assumptions!$B$9*(1+Assumptions!$B$10)^(B13-Assumptions!$B$4)+Assumptions!$B$12*(1+Assumptions!$B$11)*(1+Assumptions!$B$24)*(1+Assumptions!$B$11+Assumptions!$B$25)^(B13-Assumptions!$B$4)))*H13</f>
        <v>-7278.43988621336</v>
      </c>
      <c r="X13" s="11" t="n">
        <f aca="false">IF(B13&lt;Assumptions!$B$5,G13*H13,0)</f>
        <v>0.723241694926376</v>
      </c>
      <c r="Y13" s="5" t="n">
        <f aca="false">IF(B13&gt;=Assumptions!$B$5,G13*Assumptions!$B$9*(1+Assumptions!$B$10)^(B13-Assumptions!$B$4)*H13,0)</f>
        <v>0</v>
      </c>
      <c r="Z13" s="48" t="n">
        <f aca="false">IF(B13&lt;Assumptions!$B$5,F13*Pricing!$B$14*H13,0)</f>
        <v>7742.86912467397</v>
      </c>
      <c r="AA13" s="48" t="n">
        <f aca="false">IF(B13&lt;Assumptions!$B$5,Q13*Pricing!$B$14*H13,0)</f>
        <v>7854.55150233614</v>
      </c>
      <c r="AB13" s="48" t="n">
        <f aca="false">IF(B13&lt;Assumptions!$B$5,U13*Pricing!$B$14*H13,0)</f>
        <v>8307.97934494488</v>
      </c>
      <c r="AC13" s="48" t="n">
        <f aca="false">IF(B13&lt;Assumptions!$B$5,F13*(Pricing!$B$14-Pricing!$B$14*IF(B13=Assumptions!$B$4,Assumptions!$B$14,Assumptions!$B$15))*H13,0)</f>
        <v>7355.72566844028</v>
      </c>
      <c r="AD13" s="48" t="n">
        <f aca="false">IF(B13&lt;Assumptions!$B$5,F13*Pricing!$B$14*IF(B13=Assumptions!$B$4,Assumptions!$B$14,Assumptions!$B$15)*H13,0)</f>
        <v>387.143456233699</v>
      </c>
    </row>
    <row r="14" customFormat="false" ht="15" hidden="false" customHeight="true" outlineLevel="0" collapsed="false">
      <c r="A14" s="74" t="n">
        <v>11</v>
      </c>
      <c r="B14" s="34" t="n">
        <f aca="false">B13+1</f>
        <v>75</v>
      </c>
      <c r="C14" s="32" t="n">
        <f aca="false">IFERROR(INDEX(Cohort_Survival!$B$5:$AA$65,B14-59,Assumptions!$B$4-59),1)</f>
        <v>0.0148782794079833</v>
      </c>
      <c r="D14" s="11" t="n">
        <f aca="false">IF(B14&lt;Assumptions!$B$5,IF(B14-Assumptions!$B$4+1=1,Assumptions!$B$16,IF(B14-Assumptions!$B$4+1=2,Assumptions!$B$17,IF(B14-Assumptions!$B$4+1&lt;=5,Assumptions!$B$18,Assumptions!$B$19))),0)</f>
        <v>0.013</v>
      </c>
      <c r="E14" s="11" t="n">
        <f aca="false">D14*(1-Assumptions!$B$20)</f>
        <v>0.0091</v>
      </c>
      <c r="F14" s="11" t="n">
        <f aca="false">F13*(1-C13)*(1-E13)</f>
        <v>0.791679736545108</v>
      </c>
      <c r="G14" s="11" t="n">
        <f aca="false">G13*(1-C13)</f>
        <v>0.919122155169601</v>
      </c>
      <c r="H14" s="11" t="n">
        <f aca="false">Discount!C14</f>
        <v>0.750554126131835</v>
      </c>
      <c r="I14" s="11" t="n">
        <f aca="false">IF(B14&lt;Assumptions!$B$5,F14*H14,0)</f>
        <v>0.594198492838895</v>
      </c>
      <c r="J14" s="11" t="n">
        <f aca="false">IF(B14&lt;Assumptions!$B$5,F14*(1-C14)*E14*(B14-Assumptions!$B$4+1)*H14,0)</f>
        <v>0.0585943199480273</v>
      </c>
      <c r="K14" s="5" t="n">
        <f aca="false">IF(B14&gt;=Assumptions!$B$5,F14*Assumptions!$B$9*(1+Assumptions!$B$10)^(B14-Assumptions!$B$4)*H14,0)</f>
        <v>0</v>
      </c>
      <c r="L14" s="48" t="n">
        <f aca="false">F14*Assumptions!$B$12*(1+Assumptions!$B$11)^(B14-Assumptions!$B$4+1)*H14</f>
        <v>62.3711931631627</v>
      </c>
      <c r="M14" s="48" t="n">
        <f aca="false">IF(B14&lt;Assumptions!$B$5,F14*(Pricing!$B$14-Pricing!$B$14*IF(B14=Assumptions!$B$4,Assumptions!$B$14,Assumptions!$B$15))-F14*Assumptions!$B$12*(1+Assumptions!$B$11)^(B14-Assumptions!$B$4+1),-F14*(Assumptions!$B$9*(1+Assumptions!$B$10)^(B14-Assumptions!$B$4)+Assumptions!$B$12*(1+Assumptions!$B$11)^(B14-Assumptions!$B$4+1)))</f>
        <v>9179.7604812316</v>
      </c>
      <c r="N14" s="12" t="n">
        <f aca="false">M14*H14</f>
        <v>6889.90710609033</v>
      </c>
      <c r="O14" s="48" t="n">
        <f aca="false">F14*(IF(B14&lt;Assumptions!$B$5,Assumptions!$B$12*(1+Assumptions!$B$11)^(B14-Assumptions!$B$4+1)+Pricing!$B$14*IF(B14=Assumptions!$B$4,Assumptions!$B$14,Assumptions!$B$15)-Pricing!$B$14,Assumptions!$B$9*(1+Assumptions!$B$10)^(B14-Assumptions!$B$4)+Assumptions!$B$12*(1+Assumptions!$B$11)^(B14-Assumptions!$B$4+1)))</f>
        <v>-9179.7604812316</v>
      </c>
      <c r="P14" s="48" t="n">
        <f aca="false">O14*H14</f>
        <v>-6889.90710609033</v>
      </c>
      <c r="Q14" s="11" t="n">
        <f aca="false">Q13*(1-MIN(1,C13*(1-Assumptions!$B$21)))*(1-IF(B13&lt;Assumptions!$B$5,E13,0))</f>
        <v>0.80519643036252</v>
      </c>
      <c r="R14" s="48" t="n">
        <f aca="false">Q14*(IF(B14&lt;Assumptions!$B$5,Assumptions!$B$12*(1+Assumptions!$B$11)^(B14-Assumptions!$B$4+1)+Pricing!$B$14*IF(B14=Assumptions!$B$4,Assumptions!$B$14,Assumptions!$B$15)-Pricing!$B$14,Assumptions!$B$9*(1+Assumptions!$B$10)^(B14-Assumptions!$B$4)+Assumptions!$B$12*(1+Assumptions!$B$11)^(B14-Assumptions!$B$4+1)))*H14</f>
        <v>-7007.54149848978</v>
      </c>
      <c r="S14" s="11" t="n">
        <f aca="false">S13*(1-MIN(1,C13))*(1-IF(B13&lt;Assumptions!$B$5,E13*(1+Assumptions!$B$23),0))</f>
        <v>0.733860559838475</v>
      </c>
      <c r="T14" s="48" t="n">
        <f aca="false">S14*(IF(B14&lt;Assumptions!$B$5,Assumptions!$B$12*(1+Assumptions!$B$11)^(B14-Assumptions!$B$4+1)+Pricing!$B$14*IF(B14=Assumptions!$B$4,Assumptions!$B$14,Assumptions!$B$15)-Pricing!$B$14,Assumptions!$B$9*(1+Assumptions!$B$10)^(B14-Assumptions!$B$4)+Assumptions!$B$12*(1+Assumptions!$B$11)^(B14-Assumptions!$B$4+1)))*H14</f>
        <v>-6386.71277374856</v>
      </c>
      <c r="U14" s="11" t="n">
        <f aca="false">U13*(1-MIN(1,C13))*(1-IF(B13&lt;Assumptions!$B$5,E13*(1-Assumptions!$B$23),0))</f>
        <v>0.853360705573894</v>
      </c>
      <c r="V14" s="48" t="n">
        <f aca="false">U14*(IF(B14&lt;Assumptions!$B$5,Assumptions!$B$12*(1+Assumptions!$B$11)^(B14-Assumptions!$B$4+1)+Pricing!$B$14*IF(B14=Assumptions!$B$4,Assumptions!$B$14,Assumptions!$B$15)-Pricing!$B$14,Assumptions!$B$9*(1+Assumptions!$B$10)^(B14-Assumptions!$B$4)+Assumptions!$B$12*(1+Assumptions!$B$11)^(B14-Assumptions!$B$4+1)))*H14</f>
        <v>-7426.71021876892</v>
      </c>
      <c r="W14" s="48" t="n">
        <f aca="false">F14*(IF(B14&lt;Assumptions!$B$5,Assumptions!$B$12*(1+Assumptions!$B$11)*(1+Assumptions!$B$24)*(1+Assumptions!$B$11+Assumptions!$B$25)^(B14-Assumptions!$B$4)+Pricing!$B$14*IF(B14=Assumptions!$B$4,Assumptions!$B$14,Assumptions!$B$15)-Pricing!$B$14,Assumptions!$B$9*(1+Assumptions!$B$10)^(B14-Assumptions!$B$4)+Assumptions!$B$12*(1+Assumptions!$B$11)*(1+Assumptions!$B$24)*(1+Assumptions!$B$11+Assumptions!$B$25)^(B14-Assumptions!$B$4)))*H14</f>
        <v>-6876.67485494145</v>
      </c>
      <c r="X14" s="11" t="n">
        <f aca="false">IF(B14&lt;Assumptions!$B$5,G14*H14,0)</f>
        <v>0.689850925981728</v>
      </c>
      <c r="Y14" s="5" t="n">
        <f aca="false">IF(B14&gt;=Assumptions!$B$5,G14*Assumptions!$B$9*(1+Assumptions!$B$10)^(B14-Assumptions!$B$4)*H14,0)</f>
        <v>0</v>
      </c>
      <c r="Z14" s="48" t="n">
        <f aca="false">IF(B14&lt;Assumptions!$B$5,F14*Pricing!$B$14*H14,0)</f>
        <v>7318.18768342473</v>
      </c>
      <c r="AA14" s="48" t="n">
        <f aca="false">IF(B14&lt;Assumptions!$B$5,Q14*Pricing!$B$14*H14,0)</f>
        <v>7443.13429712346</v>
      </c>
      <c r="AB14" s="48" t="n">
        <f aca="false">IF(B14&lt;Assumptions!$B$5,U14*Pricing!$B$14*H14,0)</f>
        <v>7888.35878546411</v>
      </c>
      <c r="AC14" s="48" t="n">
        <f aca="false">IF(B14&lt;Assumptions!$B$5,F14*(Pricing!$B$14-Pricing!$B$14*IF(B14=Assumptions!$B$4,Assumptions!$B$14,Assumptions!$B$15))*H14,0)</f>
        <v>6952.2782992535</v>
      </c>
      <c r="AD14" s="48" t="n">
        <f aca="false">IF(B14&lt;Assumptions!$B$5,F14*Pricing!$B$14*IF(B14=Assumptions!$B$4,Assumptions!$B$14,Assumptions!$B$15)*H14,0)</f>
        <v>365.909384171237</v>
      </c>
    </row>
    <row r="15" customFormat="false" ht="15" hidden="false" customHeight="true" outlineLevel="0" collapsed="false">
      <c r="A15" s="74" t="n">
        <v>12</v>
      </c>
      <c r="B15" s="34" t="n">
        <f aca="false">B14+1</f>
        <v>76</v>
      </c>
      <c r="C15" s="32" t="n">
        <f aca="false">IFERROR(INDEX(Cohort_Survival!$B$5:$AA$65,B15-59,Assumptions!$B$4-59),1)</f>
        <v>0.0166139469666426</v>
      </c>
      <c r="D15" s="11" t="n">
        <f aca="false">IF(B15&lt;Assumptions!$B$5,IF(B15-Assumptions!$B$4+1=1,Assumptions!$B$16,IF(B15-Assumptions!$B$4+1=2,Assumptions!$B$17,IF(B15-Assumptions!$B$4+1&lt;=5,Assumptions!$B$18,Assumptions!$B$19))),0)</f>
        <v>0.013</v>
      </c>
      <c r="E15" s="11" t="n">
        <f aca="false">D15*(1-Assumptions!$B$20)</f>
        <v>0.0091</v>
      </c>
      <c r="F15" s="11" t="n">
        <f aca="false">F14*(1-C14)*(1-E14)</f>
        <v>0.77280380599472</v>
      </c>
      <c r="G15" s="11" t="n">
        <f aca="false">G14*(1-C14)</f>
        <v>0.905447198934919</v>
      </c>
      <c r="H15" s="11" t="n">
        <f aca="false">Discount!C15</f>
        <v>0.726988915516858</v>
      </c>
      <c r="I15" s="11" t="n">
        <f aca="false">IF(B15&lt;Assumptions!$B$5,F15*H15,0)</f>
        <v>0.561819800827402</v>
      </c>
      <c r="J15" s="11" t="n">
        <f aca="false">IF(B15&lt;Assumptions!$B$5,F15*(1-C15)*E15*(B15-Assumptions!$B$4+1)*H15,0)</f>
        <v>0.0603314446045197</v>
      </c>
      <c r="K15" s="5" t="n">
        <f aca="false">IF(B15&gt;=Assumptions!$B$5,F15*Assumptions!$B$9*(1+Assumptions!$B$10)^(B15-Assumptions!$B$4)*H15,0)</f>
        <v>0</v>
      </c>
      <c r="L15" s="48" t="n">
        <f aca="false">F15*Assumptions!$B$12*(1+Assumptions!$B$11)^(B15-Assumptions!$B$4+1)*H15</f>
        <v>60.4468137098443</v>
      </c>
      <c r="M15" s="48" t="n">
        <f aca="false">IF(B15&lt;Assumptions!$B$5,F15*(Pricing!$B$14-Pricing!$B$14*IF(B15=Assumptions!$B$4,Assumptions!$B$14,Assumptions!$B$15))-F15*Assumptions!$B$12*(1+Assumptions!$B$11)^(B15-Assumptions!$B$4+1),-F15*(Assumptions!$B$9*(1+Assumptions!$B$10)^(B15-Assumptions!$B$4)+Assumptions!$B$12*(1+Assumptions!$B$11)^(B15-Assumptions!$B$4+1)))</f>
        <v>8958.86051766455</v>
      </c>
      <c r="N15" s="12" t="n">
        <f aca="false">M15*H15</f>
        <v>6512.99229200375</v>
      </c>
      <c r="O15" s="48" t="n">
        <f aca="false">F15*(IF(B15&lt;Assumptions!$B$5,Assumptions!$B$12*(1+Assumptions!$B$11)^(B15-Assumptions!$B$4+1)+Pricing!$B$14*IF(B15=Assumptions!$B$4,Assumptions!$B$14,Assumptions!$B$15)-Pricing!$B$14,Assumptions!$B$9*(1+Assumptions!$B$10)^(B15-Assumptions!$B$4)+Assumptions!$B$12*(1+Assumptions!$B$11)^(B15-Assumptions!$B$4+1)))</f>
        <v>-8958.86051766455</v>
      </c>
      <c r="P15" s="48" t="n">
        <f aca="false">O15*H15</f>
        <v>-6512.99229200375</v>
      </c>
      <c r="Q15" s="11" t="n">
        <f aca="false">Q14*(1-MIN(1,C14*(1-Assumptions!$B$21)))*(1-IF(B14&lt;Assumptions!$B$5,E14,0))</f>
        <v>0.788372406815602</v>
      </c>
      <c r="R15" s="48" t="n">
        <f aca="false">Q15*(IF(B15&lt;Assumptions!$B$5,Assumptions!$B$12*(1+Assumptions!$B$11)^(B15-Assumptions!$B$4+1)+Pricing!$B$14*IF(B15=Assumptions!$B$4,Assumptions!$B$14,Assumptions!$B$15)-Pricing!$B$14,Assumptions!$B$9*(1+Assumptions!$B$10)^(B15-Assumptions!$B$4)+Assumptions!$B$12*(1+Assumptions!$B$11)^(B15-Assumptions!$B$4+1)))*H15</f>
        <v>-6644.20046716687</v>
      </c>
      <c r="S15" s="11" t="n">
        <f aca="false">S14*(1-MIN(1,C14))*(1-IF(B14&lt;Assumptions!$B$5,E14*(1+Assumptions!$B$23),0))</f>
        <v>0.713073819391425</v>
      </c>
      <c r="T15" s="48" t="n">
        <f aca="false">S15*(IF(B15&lt;Assumptions!$B$5,Assumptions!$B$12*(1+Assumptions!$B$11)^(B15-Assumptions!$B$4+1)+Pricing!$B$14*IF(B15=Assumptions!$B$4,Assumptions!$B$14,Assumptions!$B$15)-Pricing!$B$14,Assumptions!$B$9*(1+Assumptions!$B$10)^(B15-Assumptions!$B$4)+Assumptions!$B$12*(1+Assumptions!$B$11)^(B15-Assumptions!$B$4+1)))*H15</f>
        <v>-6009.60328261861</v>
      </c>
      <c r="U15" s="11" t="n">
        <f aca="false">U14*(1-MIN(1,C14))*(1-IF(B14&lt;Assumptions!$B$5,E14*(1-Assumptions!$B$23),0))</f>
        <v>0.836839144602722</v>
      </c>
      <c r="V15" s="48" t="n">
        <f aca="false">U15*(IF(B15&lt;Assumptions!$B$5,Assumptions!$B$12*(1+Assumptions!$B$11)^(B15-Assumptions!$B$4+1)+Pricing!$B$14*IF(B15=Assumptions!$B$4,Assumptions!$B$14,Assumptions!$B$15)-Pricing!$B$14,Assumptions!$B$9*(1+Assumptions!$B$10)^(B15-Assumptions!$B$4)+Assumptions!$B$12*(1+Assumptions!$B$11)^(B15-Assumptions!$B$4+1)))*H15</f>
        <v>-7052.66570398046</v>
      </c>
      <c r="W15" s="48" t="n">
        <f aca="false">F15*(IF(B15&lt;Assumptions!$B$5,Assumptions!$B$12*(1+Assumptions!$B$11)*(1+Assumptions!$B$24)*(1+Assumptions!$B$11+Assumptions!$B$25)^(B15-Assumptions!$B$4)+Pricing!$B$14*IF(B15=Assumptions!$B$4,Assumptions!$B$14,Assumptions!$B$15)-Pricing!$B$14,Assumptions!$B$9*(1+Assumptions!$B$10)^(B15-Assumptions!$B$4)+Assumptions!$B$12*(1+Assumptions!$B$11)*(1+Assumptions!$B$24)*(1+Assumptions!$B$11+Assumptions!$B$25)^(B15-Assumptions!$B$4)))*H15</f>
        <v>-6499.45346711645</v>
      </c>
      <c r="X15" s="11" t="n">
        <f aca="false">IF(B15&lt;Assumptions!$B$5,G15*H15,0)</f>
        <v>0.658250077211474</v>
      </c>
      <c r="Y15" s="5" t="n">
        <f aca="false">IF(B15&gt;=Assumptions!$B$5,G15*Assumptions!$B$9*(1+Assumptions!$B$10)^(B15-Assumptions!$B$4)*H15,0)</f>
        <v>0</v>
      </c>
      <c r="Z15" s="48" t="n">
        <f aca="false">IF(B15&lt;Assumptions!$B$5,F15*Pricing!$B$14*H15,0)</f>
        <v>6919.40958496167</v>
      </c>
      <c r="AA15" s="48" t="n">
        <f aca="false">IF(B15&lt;Assumptions!$B$5,Q15*Pricing!$B$14*H15,0)</f>
        <v>7058.80528269092</v>
      </c>
      <c r="AB15" s="48" t="n">
        <f aca="false">IF(B15&lt;Assumptions!$B$5,U15*Pricing!$B$14*H15,0)</f>
        <v>7492.75916256908</v>
      </c>
      <c r="AC15" s="48" t="n">
        <f aca="false">IF(B15&lt;Assumptions!$B$5,F15*(Pricing!$B$14-Pricing!$B$14*IF(B15=Assumptions!$B$4,Assumptions!$B$14,Assumptions!$B$15))*H15,0)</f>
        <v>6573.43910571359</v>
      </c>
      <c r="AD15" s="48" t="n">
        <f aca="false">IF(B15&lt;Assumptions!$B$5,F15*Pricing!$B$14*IF(B15=Assumptions!$B$4,Assumptions!$B$14,Assumptions!$B$15)*H15,0)</f>
        <v>345.970479248084</v>
      </c>
    </row>
    <row r="16" customFormat="false" ht="15" hidden="false" customHeight="true" outlineLevel="0" collapsed="false">
      <c r="A16" s="74" t="n">
        <v>13</v>
      </c>
      <c r="B16" s="34" t="n">
        <f aca="false">B15+1</f>
        <v>77</v>
      </c>
      <c r="C16" s="32" t="n">
        <f aca="false">IFERROR(INDEX(Cohort_Survival!$B$5:$AA$65,B16-59,Assumptions!$B$4-59),1)</f>
        <v>0.0185804655408249</v>
      </c>
      <c r="D16" s="11" t="n">
        <f aca="false">IF(B16&lt;Assumptions!$B$5,IF(B16-Assumptions!$B$4+1=1,Assumptions!$B$16,IF(B16-Assumptions!$B$4+1=2,Assumptions!$B$17,IF(B16-Assumptions!$B$4+1&lt;=5,Assumptions!$B$18,Assumptions!$B$19))),0)</f>
        <v>0.013</v>
      </c>
      <c r="E16" s="11" t="n">
        <f aca="false">D16*(1-Assumptions!$B$20)</f>
        <v>0.0091</v>
      </c>
      <c r="F16" s="11" t="n">
        <f aca="false">F15*(1-C15)*(1-E15)</f>
        <v>0.753048807736933</v>
      </c>
      <c r="G16" s="11" t="n">
        <f aca="false">G15*(1-C15)</f>
        <v>0.89040414719072</v>
      </c>
      <c r="H16" s="11" t="n">
        <f aca="false">Discount!C16</f>
        <v>0.702033923629033</v>
      </c>
      <c r="I16" s="11" t="n">
        <f aca="false">IF(B16&lt;Assumptions!$B$5,F16*H16,0)</f>
        <v>0.528665809179724</v>
      </c>
      <c r="J16" s="11" t="n">
        <f aca="false">IF(B16&lt;Assumptions!$B$5,F16*(1-C16)*E16*(B16-Assumptions!$B$4+1)*H16,0)</f>
        <v>0.0613791212605974</v>
      </c>
      <c r="K16" s="5" t="n">
        <f aca="false">IF(B16&gt;=Assumptions!$B$5,F16*Assumptions!$B$9*(1+Assumptions!$B$10)^(B16-Assumptions!$B$4)*H16,0)</f>
        <v>0</v>
      </c>
      <c r="L16" s="48" t="n">
        <f aca="false">F16*Assumptions!$B$12*(1+Assumptions!$B$11)^(B16-Assumptions!$B$4+1)*H16</f>
        <v>58.3017325592088</v>
      </c>
      <c r="M16" s="48" t="n">
        <f aca="false">IF(B16&lt;Assumptions!$B$5,F16*(Pricing!$B$14-Pricing!$B$14*IF(B16=Assumptions!$B$4,Assumptions!$B$14,Assumptions!$B$15))-F16*Assumptions!$B$12*(1+Assumptions!$B$11)^(B16-Assumptions!$B$4+1),-F16*(Assumptions!$B$9*(1+Assumptions!$B$10)^(B16-Assumptions!$B$4)+Assumptions!$B$12*(1+Assumptions!$B$11)^(B16-Assumptions!$B$4+1)))</f>
        <v>8727.82178208555</v>
      </c>
      <c r="N16" s="12" t="n">
        <f aca="false">M16*H16</f>
        <v>6127.22697041246</v>
      </c>
      <c r="O16" s="48" t="n">
        <f aca="false">F16*(IF(B16&lt;Assumptions!$B$5,Assumptions!$B$12*(1+Assumptions!$B$11)^(B16-Assumptions!$B$4+1)+Pricing!$B$14*IF(B16=Assumptions!$B$4,Assumptions!$B$14,Assumptions!$B$15)-Pricing!$B$14,Assumptions!$B$9*(1+Assumptions!$B$10)^(B16-Assumptions!$B$4)+Assumptions!$B$12*(1+Assumptions!$B$11)^(B16-Assumptions!$B$4+1)))</f>
        <v>-8727.82178208555</v>
      </c>
      <c r="P16" s="48" t="n">
        <f aca="false">O16*H16</f>
        <v>-6127.22697041246</v>
      </c>
      <c r="Q16" s="11" t="n">
        <f aca="false">Q15*(1-MIN(1,C15*(1-Assumptions!$B$21)))*(1-IF(B15&lt;Assumptions!$B$5,E15,0))</f>
        <v>0.770815189303299</v>
      </c>
      <c r="R16" s="48" t="n">
        <f aca="false">Q16*(IF(B16&lt;Assumptions!$B$5,Assumptions!$B$12*(1+Assumptions!$B$11)^(B16-Assumptions!$B$4+1)+Pricing!$B$14*IF(B16=Assumptions!$B$4,Assumptions!$B$14,Assumptions!$B$15)-Pricing!$B$14,Assumptions!$B$9*(1+Assumptions!$B$10)^(B16-Assumptions!$B$4)+Assumptions!$B$12*(1+Assumptions!$B$11)^(B16-Assumptions!$B$4+1)))*H16</f>
        <v>-6271.78420386352</v>
      </c>
      <c r="S16" s="11" t="n">
        <f aca="false">S15*(1-MIN(1,C15))*(1-IF(B15&lt;Assumptions!$B$5,E15*(1+Assumptions!$B$23),0))</f>
        <v>0.691655102287006</v>
      </c>
      <c r="T16" s="48" t="n">
        <f aca="false">S16*(IF(B16&lt;Assumptions!$B$5,Assumptions!$B$12*(1+Assumptions!$B$11)^(B16-Assumptions!$B$4+1)+Pricing!$B$14*IF(B16=Assumptions!$B$4,Assumptions!$B$14,Assumptions!$B$15)-Pricing!$B$14,Assumptions!$B$9*(1+Assumptions!$B$10)^(B16-Assumptions!$B$4)+Assumptions!$B$12*(1+Assumptions!$B$11)^(B16-Assumptions!$B$4+1)))*H16</f>
        <v>-5627.69338908082</v>
      </c>
      <c r="U16" s="11" t="n">
        <f aca="false">U15*(1-MIN(1,C15))*(1-IF(B15&lt;Assumptions!$B$5,E15*(1-Assumptions!$B$23),0))</f>
        <v>0.819191584892053</v>
      </c>
      <c r="V16" s="48" t="n">
        <f aca="false">U16*(IF(B16&lt;Assumptions!$B$5,Assumptions!$B$12*(1+Assumptions!$B$11)^(B16-Assumptions!$B$4+1)+Pricing!$B$14*IF(B16=Assumptions!$B$4,Assumptions!$B$14,Assumptions!$B$15)-Pricing!$B$14,Assumptions!$B$9*(1+Assumptions!$B$10)^(B16-Assumptions!$B$4)+Assumptions!$B$12*(1+Assumptions!$B$11)^(B16-Assumptions!$B$4+1)))*H16</f>
        <v>-6665.40165964776</v>
      </c>
      <c r="W16" s="48" t="n">
        <f aca="false">F16*(IF(B16&lt;Assumptions!$B$5,Assumptions!$B$12*(1+Assumptions!$B$11)*(1+Assumptions!$B$24)*(1+Assumptions!$B$11+Assumptions!$B$25)^(B16-Assumptions!$B$4)+Pricing!$B$14*IF(B16=Assumptions!$B$4,Assumptions!$B$14,Assumptions!$B$15)-Pricing!$B$14,Assumptions!$B$9*(1+Assumptions!$B$10)^(B16-Assumptions!$B$4)+Assumptions!$B$12*(1+Assumptions!$B$11)*(1+Assumptions!$B$24)*(1+Assumptions!$B$11+Assumptions!$B$25)^(B16-Assumptions!$B$4)))*H16</f>
        <v>-6113.47240280318</v>
      </c>
      <c r="X16" s="11" t="n">
        <f aca="false">IF(B16&lt;Assumptions!$B$5,G16*H16,0)</f>
        <v>0.625093917067864</v>
      </c>
      <c r="Y16" s="5" t="n">
        <f aca="false">IF(B16&gt;=Assumptions!$B$5,G16*Assumptions!$B$9*(1+Assumptions!$B$10)^(B16-Assumptions!$B$4)*H16,0)</f>
        <v>0</v>
      </c>
      <c r="Z16" s="48" t="n">
        <f aca="false">IF(B16&lt;Assumptions!$B$5,F16*Pricing!$B$14*H16,0)</f>
        <v>6511.08284523334</v>
      </c>
      <c r="AA16" s="48" t="n">
        <f aca="false">IF(B16&lt;Assumptions!$B$5,Q16*Pricing!$B$14*H16,0)</f>
        <v>6664.69623795122</v>
      </c>
      <c r="AB16" s="48" t="n">
        <f aca="false">IF(B16&lt;Assumptions!$B$5,U16*Pricing!$B$14*H16,0)</f>
        <v>7082.97287048286</v>
      </c>
      <c r="AC16" s="48" t="n">
        <f aca="false">IF(B16&lt;Assumptions!$B$5,F16*(Pricing!$B$14-Pricing!$B$14*IF(B16=Assumptions!$B$4,Assumptions!$B$14,Assumptions!$B$15))*H16,0)</f>
        <v>6185.52870297167</v>
      </c>
      <c r="AD16" s="48" t="n">
        <f aca="false">IF(B16&lt;Assumptions!$B$5,F16*Pricing!$B$14*IF(B16=Assumptions!$B$4,Assumptions!$B$14,Assumptions!$B$15)*H16,0)</f>
        <v>325.554142261667</v>
      </c>
    </row>
    <row r="17" customFormat="false" ht="15" hidden="false" customHeight="true" outlineLevel="0" collapsed="false">
      <c r="A17" s="74" t="n">
        <v>14</v>
      </c>
      <c r="B17" s="34" t="n">
        <f aca="false">B16+1</f>
        <v>78</v>
      </c>
      <c r="C17" s="32" t="n">
        <f aca="false">IFERROR(INDEX(Cohort_Survival!$B$5:$AA$65,B17-59,Assumptions!$B$4-59),1)</f>
        <v>0.0208063466384408</v>
      </c>
      <c r="D17" s="11" t="n">
        <f aca="false">IF(B17&lt;Assumptions!$B$5,IF(B17-Assumptions!$B$4+1=1,Assumptions!$B$16,IF(B17-Assumptions!$B$4+1=2,Assumptions!$B$17,IF(B17-Assumptions!$B$4+1&lt;=5,Assumptions!$B$18,Assumptions!$B$19))),0)</f>
        <v>0.013</v>
      </c>
      <c r="E17" s="11" t="n">
        <f aca="false">D17*(1-Assumptions!$B$20)</f>
        <v>0.0091</v>
      </c>
      <c r="F17" s="11" t="n">
        <f aca="false">F16*(1-C16)*(1-E16)</f>
        <v>0.732331393340358</v>
      </c>
      <c r="G17" s="11" t="n">
        <f aca="false">G16*(1-C16)</f>
        <v>0.873860023616435</v>
      </c>
      <c r="H17" s="11" t="n">
        <f aca="false">Discount!C17</f>
        <v>0.678121495217362</v>
      </c>
      <c r="I17" s="11" t="n">
        <f aca="false">IF(B17&lt;Assumptions!$B$5,F17*H17,0)</f>
        <v>0.496609659446578</v>
      </c>
      <c r="J17" s="11" t="n">
        <f aca="false">IF(B17&lt;Assumptions!$B$5,F17*(1-C17)*E17*(B17-Assumptions!$B$4+1)*H17,0)</f>
        <v>0.0619516932051643</v>
      </c>
      <c r="K17" s="5" t="n">
        <f aca="false">IF(B17&gt;=Assumptions!$B$5,F17*Assumptions!$B$9*(1+Assumptions!$B$10)^(B17-Assumptions!$B$4)*H17,0)</f>
        <v>0</v>
      </c>
      <c r="L17" s="48" t="n">
        <f aca="false">F17*Assumptions!$B$12*(1+Assumptions!$B$11)^(B17-Assumptions!$B$4+1)*H17</f>
        <v>56.1357158432569</v>
      </c>
      <c r="M17" s="48" t="n">
        <f aca="false">IF(B17&lt;Assumptions!$B$5,F17*(Pricing!$B$14-Pricing!$B$14*IF(B17=Assumptions!$B$4,Assumptions!$B$14,Assumptions!$B$15))-F17*Assumptions!$B$12*(1+Assumptions!$B$11)^(B17-Assumptions!$B$4+1),-F17*(Assumptions!$B$9*(1+Assumptions!$B$10)^(B17-Assumptions!$B$4)+Assumptions!$B$12*(1+Assumptions!$B$11)^(B17-Assumptions!$B$4+1)))</f>
        <v>8485.68827779765</v>
      </c>
      <c r="N17" s="12" t="n">
        <f aca="false">M17*H17</f>
        <v>5754.32762288858</v>
      </c>
      <c r="O17" s="48" t="n">
        <f aca="false">F17*(IF(B17&lt;Assumptions!$B$5,Assumptions!$B$12*(1+Assumptions!$B$11)^(B17-Assumptions!$B$4+1)+Pricing!$B$14*IF(B17=Assumptions!$B$4,Assumptions!$B$14,Assumptions!$B$15)-Pricing!$B$14,Assumptions!$B$9*(1+Assumptions!$B$10)^(B17-Assumptions!$B$4)+Assumptions!$B$12*(1+Assumptions!$B$11)^(B17-Assumptions!$B$4+1)))</f>
        <v>-8485.68827779765</v>
      </c>
      <c r="P17" s="48" t="n">
        <f aca="false">O17*H17</f>
        <v>-5754.32762288858</v>
      </c>
      <c r="Q17" s="11" t="n">
        <f aca="false">Q16*(1-MIN(1,C16*(1-Assumptions!$B$21)))*(1-IF(B16&lt;Assumptions!$B$5,E16,0))</f>
        <v>0.752447351954943</v>
      </c>
      <c r="R17" s="48" t="n">
        <f aca="false">Q17*(IF(B17&lt;Assumptions!$B$5,Assumptions!$B$12*(1+Assumptions!$B$11)^(B17-Assumptions!$B$4+1)+Pricing!$B$14*IF(B17=Assumptions!$B$4,Assumptions!$B$14,Assumptions!$B$15)-Pricing!$B$14,Assumptions!$B$9*(1+Assumptions!$B$10)^(B17-Assumptions!$B$4)+Assumptions!$B$12*(1+Assumptions!$B$11)^(B17-Assumptions!$B$4+1)))*H17</f>
        <v>-5912.38969337938</v>
      </c>
      <c r="S17" s="11" t="n">
        <f aca="false">S16*(1-MIN(1,C16))*(1-IF(B16&lt;Assumptions!$B$5,E16*(1+Assumptions!$B$23),0))</f>
        <v>0.6695381562339</v>
      </c>
      <c r="T17" s="48" t="n">
        <f aca="false">S17*(IF(B17&lt;Assumptions!$B$5,Assumptions!$B$12*(1+Assumptions!$B$11)^(B17-Assumptions!$B$4+1)+Pricing!$B$14*IF(B17=Assumptions!$B$4,Assumptions!$B$14,Assumptions!$B$15)-Pricing!$B$14,Assumptions!$B$9*(1+Assumptions!$B$10)^(B17-Assumptions!$B$4)+Assumptions!$B$12*(1+Assumptions!$B$11)^(B17-Assumptions!$B$4+1)))*H17</f>
        <v>-5260.92687276622</v>
      </c>
      <c r="U17" s="11" t="n">
        <f aca="false">U16*(1-MIN(1,C16))*(1-IF(B16&lt;Assumptions!$B$5,E16*(1-Assumptions!$B$23),0))</f>
        <v>0.80031255753899</v>
      </c>
      <c r="V17" s="48" t="n">
        <f aca="false">U17*(IF(B17&lt;Assumptions!$B$5,Assumptions!$B$12*(1+Assumptions!$B$11)^(B17-Assumptions!$B$4+1)+Pricing!$B$14*IF(B17=Assumptions!$B$4,Assumptions!$B$14,Assumptions!$B$15)-Pricing!$B$14,Assumptions!$B$9*(1+Assumptions!$B$10)^(B17-Assumptions!$B$4)+Assumptions!$B$12*(1+Assumptions!$B$11)^(B17-Assumptions!$B$4+1)))*H17</f>
        <v>-6288.49274887069</v>
      </c>
      <c r="W17" s="48" t="n">
        <f aca="false">F17*(IF(B17&lt;Assumptions!$B$5,Assumptions!$B$12*(1+Assumptions!$B$11)*(1+Assumptions!$B$24)*(1+Assumptions!$B$11+Assumptions!$B$25)^(B17-Assumptions!$B$4)+Pricing!$B$14*IF(B17=Assumptions!$B$4,Assumptions!$B$14,Assumptions!$B$15)-Pricing!$B$14,Assumptions!$B$9*(1+Assumptions!$B$10)^(B17-Assumptions!$B$4)+Assumptions!$B$12*(1+Assumptions!$B$11)*(1+Assumptions!$B$24)*(1+Assumptions!$B$11+Assumptions!$B$25)^(B17-Assumptions!$B$4)))*H17</f>
        <v>-5740.40719180759</v>
      </c>
      <c r="X17" s="11" t="n">
        <f aca="false">IF(B17&lt;Assumptions!$B$5,G17*H17,0)</f>
        <v>0.592583265825456</v>
      </c>
      <c r="Y17" s="5" t="n">
        <f aca="false">IF(B17&gt;=Assumptions!$B$5,G17*Assumptions!$B$9*(1+Assumptions!$B$10)^(B17-Assumptions!$B$4)*H17,0)</f>
        <v>0</v>
      </c>
      <c r="Z17" s="48" t="n">
        <f aca="false">IF(B17&lt;Assumptions!$B$5,F17*Pricing!$B$14*H17,0)</f>
        <v>6116.27719866509</v>
      </c>
      <c r="AA17" s="48" t="n">
        <f aca="false">IF(B17&lt;Assumptions!$B$5,Q17*Pricing!$B$14*H17,0)</f>
        <v>6284.28143844305</v>
      </c>
      <c r="AB17" s="48" t="n">
        <f aca="false">IF(B17&lt;Assumptions!$B$5,U17*Pricing!$B$14*H17,0)</f>
        <v>6684.04153091673</v>
      </c>
      <c r="AC17" s="48" t="n">
        <f aca="false">IF(B17&lt;Assumptions!$B$5,F17*(Pricing!$B$14-Pricing!$B$14*IF(B17=Assumptions!$B$4,Assumptions!$B$14,Assumptions!$B$15))*H17,0)</f>
        <v>5810.46333873184</v>
      </c>
      <c r="AD17" s="48" t="n">
        <f aca="false">IF(B17&lt;Assumptions!$B$5,F17*Pricing!$B$14*IF(B17=Assumptions!$B$4,Assumptions!$B$14,Assumptions!$B$15)*H17,0)</f>
        <v>305.813859933255</v>
      </c>
    </row>
    <row r="18" customFormat="false" ht="15" hidden="false" customHeight="true" outlineLevel="0" collapsed="false">
      <c r="A18" s="74" t="n">
        <v>15</v>
      </c>
      <c r="B18" s="34" t="n">
        <f aca="false">B17+1</f>
        <v>79</v>
      </c>
      <c r="C18" s="32" t="n">
        <f aca="false">IFERROR(INDEX(Cohort_Survival!$B$5:$AA$65,B18-59,Assumptions!$B$4-59),1)</f>
        <v>0.0233226520151738</v>
      </c>
      <c r="D18" s="11" t="n">
        <f aca="false">IF(B18&lt;Assumptions!$B$5,IF(B18-Assumptions!$B$4+1=1,Assumptions!$B$16,IF(B18-Assumptions!$B$4+1=2,Assumptions!$B$17,IF(B18-Assumptions!$B$4+1&lt;=5,Assumptions!$B$18,Assumptions!$B$19))),0)</f>
        <v>0.013</v>
      </c>
      <c r="E18" s="11" t="n">
        <f aca="false">D18*(1-Assumptions!$B$20)</f>
        <v>0.0091</v>
      </c>
      <c r="F18" s="11" t="n">
        <f aca="false">F17*(1-C17)*(1-E17)</f>
        <v>0.710568694818408</v>
      </c>
      <c r="G18" s="11" t="n">
        <f aca="false">G17*(1-C17)</f>
        <v>0.855678189051595</v>
      </c>
      <c r="H18" s="11" t="n">
        <f aca="false">Discount!C18</f>
        <v>0.655482469114705</v>
      </c>
      <c r="I18" s="11" t="n">
        <f aca="false">IF(B18&lt;Assumptions!$B$5,F18*H18,0)</f>
        <v>0.465765322555183</v>
      </c>
      <c r="J18" s="11" t="n">
        <f aca="false">IF(B18&lt;Assumptions!$B$5,F18*(1-C18)*E18*(B18-Assumptions!$B$4+1)*H18,0)</f>
        <v>0.0620941830622514</v>
      </c>
      <c r="K18" s="5" t="n">
        <f aca="false">IF(B18&gt;=Assumptions!$B$5,F18*Assumptions!$B$9*(1+Assumptions!$B$10)^(B18-Assumptions!$B$4)*H18,0)</f>
        <v>0</v>
      </c>
      <c r="L18" s="48" t="n">
        <f aca="false">F18*Assumptions!$B$12*(1+Assumptions!$B$11)^(B18-Assumptions!$B$4+1)*H18</f>
        <v>53.9653650140058</v>
      </c>
      <c r="M18" s="48" t="n">
        <f aca="false">IF(B18&lt;Assumptions!$B$5,F18*(Pricing!$B$14-Pricing!$B$14*IF(B18=Assumptions!$B$4,Assumptions!$B$14,Assumptions!$B$15))-F18*Assumptions!$B$12*(1+Assumptions!$B$11)^(B18-Assumptions!$B$4+1),-F18*(Assumptions!$B$9*(1+Assumptions!$B$10)^(B18-Assumptions!$B$4)+Assumptions!$B$12*(1+Assumptions!$B$11)^(B18-Assumptions!$B$4+1)))</f>
        <v>8231.51097393166</v>
      </c>
      <c r="N18" s="12" t="n">
        <f aca="false">M18*H18</f>
        <v>5395.61113773751</v>
      </c>
      <c r="O18" s="48" t="n">
        <f aca="false">F18*(IF(B18&lt;Assumptions!$B$5,Assumptions!$B$12*(1+Assumptions!$B$11)^(B18-Assumptions!$B$4+1)+Pricing!$B$14*IF(B18=Assumptions!$B$4,Assumptions!$B$14,Assumptions!$B$15)-Pricing!$B$14,Assumptions!$B$9*(1+Assumptions!$B$10)^(B18-Assumptions!$B$4)+Assumptions!$B$12*(1+Assumptions!$B$11)^(B18-Assumptions!$B$4+1)))</f>
        <v>-8231.51097393166</v>
      </c>
      <c r="P18" s="48" t="n">
        <f aca="false">O18*H18</f>
        <v>-5395.61113773751</v>
      </c>
      <c r="Q18" s="11" t="n">
        <f aca="false">Q17*(1-MIN(1,C17*(1-Assumptions!$B$21)))*(1-IF(B17&lt;Assumptions!$B$5,E17,0))</f>
        <v>0.733189510060137</v>
      </c>
      <c r="R18" s="48" t="n">
        <f aca="false">Q18*(IF(B18&lt;Assumptions!$B$5,Assumptions!$B$12*(1+Assumptions!$B$11)^(B18-Assumptions!$B$4+1)+Pricing!$B$14*IF(B18=Assumptions!$B$4,Assumptions!$B$14,Assumptions!$B$15)-Pricing!$B$14,Assumptions!$B$9*(1+Assumptions!$B$10)^(B18-Assumptions!$B$4)+Assumptions!$B$12*(1+Assumptions!$B$11)^(B18-Assumptions!$B$4+1)))*H18</f>
        <v>-5567.37936163058</v>
      </c>
      <c r="S18" s="11" t="n">
        <f aca="false">S17*(1-MIN(1,C17))*(1-IF(B17&lt;Assumptions!$B$5,E17*(1+Assumptions!$B$23),0))</f>
        <v>0.646658470711532</v>
      </c>
      <c r="T18" s="48" t="n">
        <f aca="false">S18*(IF(B18&lt;Assumptions!$B$5,Assumptions!$B$12*(1+Assumptions!$B$11)^(B18-Assumptions!$B$4+1)+Pricing!$B$14*IF(B18=Assumptions!$B$4,Assumptions!$B$14,Assumptions!$B$15)-Pricing!$B$14,Assumptions!$B$9*(1+Assumptions!$B$10)^(B18-Assumptions!$B$4)+Assumptions!$B$12*(1+Assumptions!$B$11)^(B18-Assumptions!$B$4+1)))*H18</f>
        <v>-4910.31714783765</v>
      </c>
      <c r="U18" s="11" t="n">
        <f aca="false">U17*(1-MIN(1,C17))*(1-IF(B17&lt;Assumptions!$B$5,E17*(1-Assumptions!$B$23),0))</f>
        <v>0.780095319602169</v>
      </c>
      <c r="V18" s="48" t="n">
        <f aca="false">U18*(IF(B18&lt;Assumptions!$B$5,Assumptions!$B$12*(1+Assumptions!$B$11)^(B18-Assumptions!$B$4+1)+Pricing!$B$14*IF(B18=Assumptions!$B$4,Assumptions!$B$14,Assumptions!$B$15)-Pricing!$B$14,Assumptions!$B$9*(1+Assumptions!$B$10)^(B18-Assumptions!$B$4)+Assumptions!$B$12*(1+Assumptions!$B$11)^(B18-Assumptions!$B$4+1)))*H18</f>
        <v>-5923.55253705349</v>
      </c>
      <c r="W18" s="48" t="n">
        <f aca="false">F18*(IF(B18&lt;Assumptions!$B$5,Assumptions!$B$12*(1+Assumptions!$B$11)*(1+Assumptions!$B$24)*(1+Assumptions!$B$11+Assumptions!$B$25)^(B18-Assumptions!$B$4)+Pricing!$B$14*IF(B18=Assumptions!$B$4,Assumptions!$B$14,Assumptions!$B$15)-Pricing!$B$14,Assumptions!$B$9*(1+Assumptions!$B$10)^(B18-Assumptions!$B$4)+Assumptions!$B$12*(1+Assumptions!$B$11)*(1+Assumptions!$B$24)*(1+Assumptions!$B$11+Assumptions!$B$25)^(B18-Assumptions!$B$4)))*H18</f>
        <v>-5381.57185652253</v>
      </c>
      <c r="X18" s="11" t="n">
        <f aca="false">IF(B18&lt;Assumptions!$B$5,G18*H18,0)</f>
        <v>0.560882052127139</v>
      </c>
      <c r="Y18" s="5" t="n">
        <f aca="false">IF(B18&gt;=Assumptions!$B$5,G18*Assumptions!$B$9*(1+Assumptions!$B$10)^(B18-Assumptions!$B$4)*H18,0)</f>
        <v>0</v>
      </c>
      <c r="Z18" s="48" t="n">
        <f aca="false">IF(B18&lt;Assumptions!$B$5,F18*Pricing!$B$14*H18,0)</f>
        <v>5736.39631868581</v>
      </c>
      <c r="AA18" s="48" t="n">
        <f aca="false">IF(B18&lt;Assumptions!$B$5,Q18*Pricing!$B$14*H18,0)</f>
        <v>5919.01337207498</v>
      </c>
      <c r="AB18" s="48" t="n">
        <f aca="false">IF(B18&lt;Assumptions!$B$5,U18*Pricing!$B$14*H18,0)</f>
        <v>6297.68233841701</v>
      </c>
      <c r="AC18" s="48" t="n">
        <f aca="false">IF(B18&lt;Assumptions!$B$5,F18*(Pricing!$B$14-Pricing!$B$14*IF(B18=Assumptions!$B$4,Assumptions!$B$14,Assumptions!$B$15))*H18,0)</f>
        <v>5449.57650275152</v>
      </c>
      <c r="AD18" s="48" t="n">
        <f aca="false">IF(B18&lt;Assumptions!$B$5,F18*Pricing!$B$14*IF(B18=Assumptions!$B$4,Assumptions!$B$14,Assumptions!$B$15)*H18,0)</f>
        <v>286.819815934291</v>
      </c>
    </row>
    <row r="19" customFormat="false" ht="15" hidden="false" customHeight="true" outlineLevel="0" collapsed="false">
      <c r="B19" s="34" t="n">
        <f aca="false">B18+1</f>
        <v>80</v>
      </c>
      <c r="C19" s="32" t="n">
        <f aca="false">IFERROR(INDEX(Cohort_Survival!$B$5:$AA$65,B19-59,Assumptions!$B$4-59),1)</f>
        <v>0.027054541831976</v>
      </c>
      <c r="D19" s="5" t="n">
        <f aca="false">IF(B19&lt;Assumptions!$B$5,IF(B19-Assumptions!$B$4+1=1,Assumptions!$B$16,IF(B19-Assumptions!$B$4+1=2,Assumptions!$B$17,IF(B19-Assumptions!$B$4+1&lt;=5,Assumptions!$B$18,Assumptions!$B$19))),0)</f>
        <v>0</v>
      </c>
      <c r="E19" s="5" t="n">
        <f aca="false">D19*(1-Assumptions!$B$20)</f>
        <v>0</v>
      </c>
      <c r="F19" s="11" t="n">
        <f aca="false">F18*(1-C18)*(1-E18)</f>
        <v>0.687680981645694</v>
      </c>
      <c r="G19" s="11" t="n">
        <f aca="false">G18*(1-C18)</f>
        <v>0.835721504411371</v>
      </c>
      <c r="H19" s="11" t="n">
        <f aca="false">Discount!C19</f>
        <v>0.631942752983253</v>
      </c>
      <c r="I19" s="5" t="n">
        <f aca="false">IF(B19&lt;Assumptions!$B$5,F19*H19,0)</f>
        <v>0</v>
      </c>
      <c r="J19" s="5" t="n">
        <f aca="false">IF(B19&lt;Assumptions!$B$5,F19*(1-C19)*E19*(B19-Assumptions!$B$4+1)*H19,0)</f>
        <v>0</v>
      </c>
      <c r="K19" s="12" t="n">
        <f aca="false">IF(B19&gt;=Assumptions!$B$5,F19*Assumptions!$B$9*(1+Assumptions!$B$10)^(B19-Assumptions!$B$4)*H19,0)</f>
        <v>9358.09200384753</v>
      </c>
      <c r="L19" s="48" t="n">
        <f aca="false">F19*Assumptions!$B$12*(1+Assumptions!$B$11)^(B19-Assumptions!$B$4+1)*H19</f>
        <v>51.6103239179724</v>
      </c>
      <c r="M19" s="48" t="n">
        <f aca="false">IF(B19&lt;Assumptions!$B$5,F19*(Pricing!$B$14-Pricing!$B$14*IF(B19=Assumptions!$B$4,Assumptions!$B$14,Assumptions!$B$15))-F19*Assumptions!$B$12*(1+Assumptions!$B$11)^(B19-Assumptions!$B$4+1),-F19*(Assumptions!$B$9*(1+Assumptions!$B$10)^(B19-Assumptions!$B$4)+Assumptions!$B$12*(1+Assumptions!$B$11)^(B19-Assumptions!$B$4+1)))</f>
        <v>-14890.1182636315</v>
      </c>
      <c r="N19" s="12" t="n">
        <f aca="false">M19*H19</f>
        <v>-9409.7023277655</v>
      </c>
      <c r="O19" s="48" t="n">
        <f aca="false">F19*(IF(B19&lt;Assumptions!$B$5,Assumptions!$B$12*(1+Assumptions!$B$11)^(B19-Assumptions!$B$4+1)+Pricing!$B$14*IF(B19=Assumptions!$B$4,Assumptions!$B$14,Assumptions!$B$15)-Pricing!$B$14,Assumptions!$B$9*(1+Assumptions!$B$10)^(B19-Assumptions!$B$4)+Assumptions!$B$12*(1+Assumptions!$B$11)^(B19-Assumptions!$B$4+1)))</f>
        <v>14890.1182636315</v>
      </c>
      <c r="P19" s="48" t="n">
        <f aca="false">O19*H19</f>
        <v>9409.7023277655</v>
      </c>
      <c r="Q19" s="11" t="n">
        <f aca="false">Q18*(1-MIN(1,C18*(1-Assumptions!$B$21)))*(1-IF(B18&lt;Assumptions!$B$5,E18,0))</f>
        <v>0.712962033920438</v>
      </c>
      <c r="R19" s="48" t="n">
        <f aca="false">Q19*(IF(B19&lt;Assumptions!$B$5,Assumptions!$B$12*(1+Assumptions!$B$11)^(B19-Assumptions!$B$4+1)+Pricing!$B$14*IF(B19=Assumptions!$B$4,Assumptions!$B$14,Assumptions!$B$15)-Pricing!$B$14,Assumptions!$B$9*(1+Assumptions!$B$10)^(B19-Assumptions!$B$4)+Assumptions!$B$12*(1+Assumptions!$B$11)^(B19-Assumptions!$B$4+1)))*H19</f>
        <v>9755.62897513145</v>
      </c>
      <c r="S19" s="11" t="n">
        <f aca="false">S18*(1-MIN(1,C18))*(1-IF(B18&lt;Assumptions!$B$5,E18*(1+Assumptions!$B$23),0))</f>
        <v>0.622955658541371</v>
      </c>
      <c r="T19" s="48" t="n">
        <f aca="false">S19*(IF(B19&lt;Assumptions!$B$5,Assumptions!$B$12*(1+Assumptions!$B$11)^(B19-Assumptions!$B$4+1)+Pricing!$B$14*IF(B19=Assumptions!$B$4,Assumptions!$B$14,Assumptions!$B$15)-Pricing!$B$14,Assumptions!$B$9*(1+Assumptions!$B$10)^(B19-Assumptions!$B$4)+Assumptions!$B$12*(1+Assumptions!$B$11)^(B19-Assumptions!$B$4+1)))*H19</f>
        <v>8524.05034707147</v>
      </c>
      <c r="U19" s="11" t="n">
        <f aca="false">U18*(1-MIN(1,C18))*(1-IF(B18&lt;Assumptions!$B$5,E18*(1-Assumptions!$B$23),0))</f>
        <v>0.758434776427366</v>
      </c>
      <c r="V19" s="48" t="n">
        <f aca="false">U19*(IF(B19&lt;Assumptions!$B$5,Assumptions!$B$12*(1+Assumptions!$B$11)^(B19-Assumptions!$B$4+1)+Pricing!$B$14*IF(B19=Assumptions!$B$4,Assumptions!$B$14,Assumptions!$B$15)-Pricing!$B$14,Assumptions!$B$9*(1+Assumptions!$B$10)^(B19-Assumptions!$B$4)+Assumptions!$B$12*(1+Assumptions!$B$11)^(B19-Assumptions!$B$4+1)))*H19</f>
        <v>10377.843319337</v>
      </c>
      <c r="W19" s="48" t="n">
        <f aca="false">F19*(IF(B19&lt;Assumptions!$B$5,Assumptions!$B$12*(1+Assumptions!$B$11)*(1+Assumptions!$B$24)*(1+Assumptions!$B$11+Assumptions!$B$25)^(B19-Assumptions!$B$4)+Pricing!$B$14*IF(B19=Assumptions!$B$4,Assumptions!$B$14,Assumptions!$B$15)-Pricing!$B$14,Assumptions!$B$9*(1+Assumptions!$B$10)^(B19-Assumptions!$B$4)+Assumptions!$B$12*(1+Assumptions!$B$11)*(1+Assumptions!$B$24)*(1+Assumptions!$B$11+Assumptions!$B$25)^(B19-Assumptions!$B$4)))*H19</f>
        <v>9423.76344334383</v>
      </c>
      <c r="X19" s="5" t="n">
        <f aca="false">IF(B19&lt;Assumptions!$B$5,G19*H19,0)</f>
        <v>0</v>
      </c>
      <c r="Y19" s="12" t="n">
        <f aca="false">IF(B19&gt;=Assumptions!$B$5,G19*Assumptions!$B$9*(1+Assumptions!$B$10)^(B19-Assumptions!$B$4)*H19,0)</f>
        <v>11372.6552523811</v>
      </c>
      <c r="Z19" s="48" t="n">
        <f aca="false">IF(B19&lt;Assumptions!$B$5,F19*Pricing!$B$14*H19,0)</f>
        <v>0</v>
      </c>
      <c r="AA19" s="48" t="n">
        <f aca="false">IF(B19&lt;Assumptions!$B$5,Q19*Pricing!$B$14*H19,0)</f>
        <v>0</v>
      </c>
      <c r="AB19" s="48" t="n">
        <f aca="false">IF(B19&lt;Assumptions!$B$5,U19*Pricing!$B$14*H19,0)</f>
        <v>0</v>
      </c>
      <c r="AC19" s="48" t="n">
        <f aca="false">IF(B19&lt;Assumptions!$B$5,F19*(Pricing!$B$14-Pricing!$B$14*IF(B19=Assumptions!$B$4,Assumptions!$B$14,Assumptions!$B$15))*H19,0)</f>
        <v>0</v>
      </c>
      <c r="AD19" s="48" t="n">
        <f aca="false">IF(B19&lt;Assumptions!$B$5,F19*Pricing!$B$14*IF(B19=Assumptions!$B$4,Assumptions!$B$14,Assumptions!$B$15)*H19,0)</f>
        <v>0</v>
      </c>
    </row>
    <row r="20" customFormat="false" ht="15" hidden="false" customHeight="true" outlineLevel="0" collapsed="false">
      <c r="B20" s="34" t="n">
        <f aca="false">B19+1</f>
        <v>81</v>
      </c>
      <c r="C20" s="32" t="n">
        <f aca="false">IFERROR(INDEX(Cohort_Survival!$B$5:$AA$65,B20-59,Assumptions!$B$4-59),1)</f>
        <v>0.0303629165500609</v>
      </c>
      <c r="D20" s="5" t="n">
        <f aca="false">IF(B20&lt;Assumptions!$B$5,IF(B20-Assumptions!$B$4+1=1,Assumptions!$B$16,IF(B20-Assumptions!$B$4+1=2,Assumptions!$B$17,IF(B20-Assumptions!$B$4+1&lt;=5,Assumptions!$B$18,Assumptions!$B$19))),0)</f>
        <v>0</v>
      </c>
      <c r="E20" s="5" t="n">
        <f aca="false">D20*(1-Assumptions!$B$20)</f>
        <v>0</v>
      </c>
      <c r="F20" s="11" t="n">
        <f aca="false">F19*(1-C19)*(1-E19)</f>
        <v>0.669076087760706</v>
      </c>
      <c r="G20" s="11" t="n">
        <f aca="false">G19*(1-C19)</f>
        <v>0.813111442010391</v>
      </c>
      <c r="H20" s="11" t="n">
        <f aca="false">Discount!C20</f>
        <v>0.609864478767281</v>
      </c>
      <c r="I20" s="5" t="n">
        <f aca="false">IF(B20&lt;Assumptions!$B$5,F20*H20,0)</f>
        <v>0</v>
      </c>
      <c r="J20" s="5" t="n">
        <f aca="false">IF(B20&lt;Assumptions!$B$5,F20*(1-C20)*E20*(B20-Assumptions!$B$4+1)*H20,0)</f>
        <v>0</v>
      </c>
      <c r="K20" s="12" t="n">
        <f aca="false">IF(B20&gt;=Assumptions!$B$5,F20*Assumptions!$B$9*(1+Assumptions!$B$10)^(B20-Assumptions!$B$4)*H20,0)</f>
        <v>8962.54973173138</v>
      </c>
      <c r="L20" s="48" t="n">
        <f aca="false">F20*Assumptions!$B$12*(1+Assumptions!$B$11)^(B20-Assumptions!$B$4+1)*H20</f>
        <v>49.6711878916673</v>
      </c>
      <c r="M20" s="48" t="n">
        <f aca="false">IF(B20&lt;Assumptions!$B$5,F20*(Pricing!$B$14-Pricing!$B$14*IF(B20=Assumptions!$B$4,Assumptions!$B$14,Assumptions!$B$15))-F20*Assumptions!$B$12*(1+Assumptions!$B$11)^(B20-Assumptions!$B$4+1),-F20*(Assumptions!$B$9*(1+Assumptions!$B$10)^(B20-Assumptions!$B$4)+Assumptions!$B$12*(1+Assumptions!$B$11)^(B20-Assumptions!$B$4+1)))</f>
        <v>-14777.4156937939</v>
      </c>
      <c r="N20" s="12" t="n">
        <f aca="false">M20*H20</f>
        <v>-9012.22091962305</v>
      </c>
      <c r="O20" s="48" t="n">
        <f aca="false">F20*(IF(B20&lt;Assumptions!$B$5,Assumptions!$B$12*(1+Assumptions!$B$11)^(B20-Assumptions!$B$4+1)+Pricing!$B$14*IF(B20=Assumptions!$B$4,Assumptions!$B$14,Assumptions!$B$15)-Pricing!$B$14,Assumptions!$B$9*(1+Assumptions!$B$10)^(B20-Assumptions!$B$4)+Assumptions!$B$12*(1+Assumptions!$B$11)^(B20-Assumptions!$B$4+1)))</f>
        <v>14777.4156937939</v>
      </c>
      <c r="P20" s="48" t="n">
        <f aca="false">O20*H20</f>
        <v>9012.22091962305</v>
      </c>
      <c r="Q20" s="11" t="n">
        <f aca="false">Q19*(1-MIN(1,C19*(1-Assumptions!$B$21)))*(1-IF(B19&lt;Assumptions!$B$5,E19,0))</f>
        <v>0.697530944983389</v>
      </c>
      <c r="R20" s="48" t="n">
        <f aca="false">Q20*(IF(B20&lt;Assumptions!$B$5,Assumptions!$B$12*(1+Assumptions!$B$11)^(B20-Assumptions!$B$4+1)+Pricing!$B$14*IF(B20=Assumptions!$B$4,Assumptions!$B$14,Assumptions!$B$15)-Pricing!$B$14,Assumptions!$B$9*(1+Assumptions!$B$10)^(B20-Assumptions!$B$4)+Assumptions!$B$12*(1+Assumptions!$B$11)^(B20-Assumptions!$B$4+1)))*H20</f>
        <v>9395.49789546808</v>
      </c>
      <c r="S20" s="11" t="n">
        <f aca="false">S19*(1-MIN(1,C19))*(1-IF(B19&lt;Assumptions!$B$5,E19*(1+Assumptions!$B$23),0))</f>
        <v>0.606101878617897</v>
      </c>
      <c r="T20" s="48" t="n">
        <f aca="false">S20*(IF(B20&lt;Assumptions!$B$5,Assumptions!$B$12*(1+Assumptions!$B$11)^(B20-Assumptions!$B$4+1)+Pricing!$B$14*IF(B20=Assumptions!$B$4,Assumptions!$B$14,Assumptions!$B$15)-Pricing!$B$14,Assumptions!$B$9*(1+Assumptions!$B$10)^(B20-Assumptions!$B$4)+Assumptions!$B$12*(1+Assumptions!$B$11)^(B20-Assumptions!$B$4+1)))*H20</f>
        <v>8163.98034517209</v>
      </c>
      <c r="U20" s="11" t="n">
        <f aca="false">U19*(1-MIN(1,C19))*(1-IF(B19&lt;Assumptions!$B$5,E19*(1-Assumptions!$B$23),0))</f>
        <v>0.737915671041686</v>
      </c>
      <c r="V20" s="48" t="n">
        <f aca="false">U20*(IF(B20&lt;Assumptions!$B$5,Assumptions!$B$12*(1+Assumptions!$B$11)^(B20-Assumptions!$B$4+1)+Pricing!$B$14*IF(B20=Assumptions!$B$4,Assumptions!$B$14,Assumptions!$B$15)-Pricing!$B$14,Assumptions!$B$9*(1+Assumptions!$B$10)^(B20-Assumptions!$B$4)+Assumptions!$B$12*(1+Assumptions!$B$11)^(B20-Assumptions!$B$4+1)))*H20</f>
        <v>9939.46603253592</v>
      </c>
      <c r="W20" s="48" t="n">
        <f aca="false">F20*(IF(B20&lt;Assumptions!$B$5,Assumptions!$B$12*(1+Assumptions!$B$11)*(1+Assumptions!$B$24)*(1+Assumptions!$B$11+Assumptions!$B$25)^(B20-Assumptions!$B$4)+Pricing!$B$14*IF(B20=Assumptions!$B$4,Assumptions!$B$14,Assumptions!$B$15)-Pricing!$B$14,Assumptions!$B$9*(1+Assumptions!$B$10)^(B20-Assumptions!$B$4)+Assumptions!$B$12*(1+Assumptions!$B$11)*(1+Assumptions!$B$24)*(1+Assumptions!$B$11+Assumptions!$B$25)^(B20-Assumptions!$B$4)))*H20</f>
        <v>9026.37034628876</v>
      </c>
      <c r="X20" s="5" t="n">
        <f aca="false">IF(B20&lt;Assumptions!$B$5,G20*H20,0)</f>
        <v>0</v>
      </c>
      <c r="Y20" s="12" t="n">
        <f aca="false">IF(B20&gt;=Assumptions!$B$5,G20*Assumptions!$B$9*(1+Assumptions!$B$10)^(B20-Assumptions!$B$4)*H20,0)</f>
        <v>10891.9626179561</v>
      </c>
      <c r="Z20" s="48" t="n">
        <f aca="false">IF(B20&lt;Assumptions!$B$5,F20*Pricing!$B$14*H20,0)</f>
        <v>0</v>
      </c>
      <c r="AA20" s="48" t="n">
        <f aca="false">IF(B20&lt;Assumptions!$B$5,Q20*Pricing!$B$14*H20,0)</f>
        <v>0</v>
      </c>
      <c r="AB20" s="48" t="n">
        <f aca="false">IF(B20&lt;Assumptions!$B$5,U20*Pricing!$B$14*H20,0)</f>
        <v>0</v>
      </c>
      <c r="AC20" s="48" t="n">
        <f aca="false">IF(B20&lt;Assumptions!$B$5,F20*(Pricing!$B$14-Pricing!$B$14*IF(B20=Assumptions!$B$4,Assumptions!$B$14,Assumptions!$B$15))*H20,0)</f>
        <v>0</v>
      </c>
      <c r="AD20" s="48" t="n">
        <f aca="false">IF(B20&lt;Assumptions!$B$5,F20*Pricing!$B$14*IF(B20=Assumptions!$B$4,Assumptions!$B$14,Assumptions!$B$15)*H20,0)</f>
        <v>0</v>
      </c>
    </row>
    <row r="21" customFormat="false" ht="15" hidden="false" customHeight="true" outlineLevel="0" collapsed="false">
      <c r="B21" s="34" t="n">
        <f aca="false">B20+1</f>
        <v>82</v>
      </c>
      <c r="C21" s="32" t="n">
        <f aca="false">IFERROR(INDEX(Cohort_Survival!$B$5:$AA$65,B21-59,Assumptions!$B$4-59),1)</f>
        <v>0.0340814438183777</v>
      </c>
      <c r="D21" s="5" t="n">
        <f aca="false">IF(B21&lt;Assumptions!$B$5,IF(B21-Assumptions!$B$4+1=1,Assumptions!$B$16,IF(B21-Assumptions!$B$4+1=2,Assumptions!$B$17,IF(B21-Assumptions!$B$4+1&lt;=5,Assumptions!$B$18,Assumptions!$B$19))),0)</f>
        <v>0</v>
      </c>
      <c r="E21" s="5" t="n">
        <f aca="false">D21*(1-Assumptions!$B$20)</f>
        <v>0</v>
      </c>
      <c r="F21" s="11" t="n">
        <f aca="false">F20*(1-C20)*(1-E20)</f>
        <v>0.648760986342387</v>
      </c>
      <c r="G21" s="11" t="n">
        <f aca="false">G20*(1-C20)</f>
        <v>0.78842300715073</v>
      </c>
      <c r="H21" s="11" t="n">
        <f aca="false">Discount!C21</f>
        <v>0.589649060111137</v>
      </c>
      <c r="I21" s="5" t="n">
        <f aca="false">IF(B21&lt;Assumptions!$B$5,F21*H21,0)</f>
        <v>0</v>
      </c>
      <c r="J21" s="5" t="n">
        <f aca="false">IF(B21&lt;Assumptions!$B$5,F21*(1-C21)*E21*(B21-Assumptions!$B$4+1)*H21,0)</f>
        <v>0</v>
      </c>
      <c r="K21" s="12" t="n">
        <f aca="false">IF(B21&gt;=Assumptions!$B$5,F21*Assumptions!$B$9*(1+Assumptions!$B$10)^(B21-Assumptions!$B$4)*H21,0)</f>
        <v>8570.40289568178</v>
      </c>
      <c r="L21" s="48" t="n">
        <f aca="false">F21*Assumptions!$B$12*(1+Assumptions!$B$11)^(B21-Assumptions!$B$4+1)*H21</f>
        <v>47.7307106020916</v>
      </c>
      <c r="M21" s="48" t="n">
        <f aca="false">IF(B21&lt;Assumptions!$B$5,F21*(Pricing!$B$14-Pricing!$B$14*IF(B21=Assumptions!$B$4,Assumptions!$B$14,Assumptions!$B$15))-F21*Assumptions!$B$12*(1+Assumptions!$B$11)^(B21-Assumptions!$B$4+1),-F21*(Assumptions!$B$9*(1+Assumptions!$B$10)^(B21-Assumptions!$B$4)+Assumptions!$B$12*(1+Assumptions!$B$11)^(B21-Assumptions!$B$4+1)))</f>
        <v>-14615.6997259684</v>
      </c>
      <c r="N21" s="12" t="n">
        <f aca="false">M21*H21</f>
        <v>-8618.13360628387</v>
      </c>
      <c r="O21" s="48" t="n">
        <f aca="false">F21*(IF(B21&lt;Assumptions!$B$5,Assumptions!$B$12*(1+Assumptions!$B$11)^(B21-Assumptions!$B$4+1)+Pricing!$B$14*IF(B21=Assumptions!$B$4,Assumptions!$B$14,Assumptions!$B$15)-Pricing!$B$14,Assumptions!$B$9*(1+Assumptions!$B$10)^(B21-Assumptions!$B$4)+Assumptions!$B$12*(1+Assumptions!$B$11)^(B21-Assumptions!$B$4+1)))</f>
        <v>14615.6997259684</v>
      </c>
      <c r="P21" s="48" t="n">
        <f aca="false">O21*H21</f>
        <v>8618.13360628387</v>
      </c>
      <c r="Q21" s="11" t="n">
        <f aca="false">Q20*(1-MIN(1,C20*(1-Assumptions!$B$21)))*(1-IF(B20&lt;Assumptions!$B$5,E20,0))</f>
        <v>0.680587685884497</v>
      </c>
      <c r="R21" s="48" t="n">
        <f aca="false">Q21*(IF(B21&lt;Assumptions!$B$5,Assumptions!$B$12*(1+Assumptions!$B$11)^(B21-Assumptions!$B$4+1)+Pricing!$B$14*IF(B21=Assumptions!$B$4,Assumptions!$B$14,Assumptions!$B$15)-Pricing!$B$14,Assumptions!$B$9*(1+Assumptions!$B$10)^(B21-Assumptions!$B$4)+Assumptions!$B$12*(1+Assumptions!$B$11)^(B21-Assumptions!$B$4+1)))*H21</f>
        <v>9040.91912310007</v>
      </c>
      <c r="S21" s="11" t="n">
        <f aca="false">S20*(1-MIN(1,C20))*(1-IF(B20&lt;Assumptions!$B$5,E20*(1+Assumptions!$B$23),0))</f>
        <v>0.587698857856587</v>
      </c>
      <c r="T21" s="48" t="n">
        <f aca="false">S21*(IF(B21&lt;Assumptions!$B$5,Assumptions!$B$12*(1+Assumptions!$B$11)^(B21-Assumptions!$B$4+1)+Pricing!$B$14*IF(B21=Assumptions!$B$4,Assumptions!$B$14,Assumptions!$B$15)-Pricing!$B$14,Assumptions!$B$9*(1+Assumptions!$B$10)^(B21-Assumptions!$B$4)+Assumptions!$B$12*(1+Assumptions!$B$11)^(B21-Assumptions!$B$4+1)))*H21</f>
        <v>7806.98498197838</v>
      </c>
      <c r="U21" s="11" t="n">
        <f aca="false">U20*(1-MIN(1,C20))*(1-IF(B20&lt;Assumptions!$B$5,E20*(1-Assumptions!$B$23),0))</f>
        <v>0.715510399100865</v>
      </c>
      <c r="V21" s="48" t="n">
        <f aca="false">U21*(IF(B21&lt;Assumptions!$B$5,Assumptions!$B$12*(1+Assumptions!$B$11)^(B21-Assumptions!$B$4+1)+Pricing!$B$14*IF(B21=Assumptions!$B$4,Assumptions!$B$14,Assumptions!$B$15)-Pricing!$B$14,Assumptions!$B$9*(1+Assumptions!$B$10)^(B21-Assumptions!$B$4)+Assumptions!$B$12*(1+Assumptions!$B$11)^(B21-Assumptions!$B$4+1)))*H21</f>
        <v>9504.83205055493</v>
      </c>
      <c r="W21" s="48" t="n">
        <f aca="false">F21*(IF(B21&lt;Assumptions!$B$5,Assumptions!$B$12*(1+Assumptions!$B$11)*(1+Assumptions!$B$24)*(1+Assumptions!$B$11+Assumptions!$B$25)^(B21-Assumptions!$B$4)+Pricing!$B$14*IF(B21=Assumptions!$B$4,Assumptions!$B$14,Assumptions!$B$15)-Pricing!$B$14,Assumptions!$B$9*(1+Assumptions!$B$10)^(B21-Assumptions!$B$4)+Assumptions!$B$12*(1+Assumptions!$B$11)*(1+Assumptions!$B$24)*(1+Assumptions!$B$11+Assumptions!$B$25)^(B21-Assumptions!$B$4)))*H21</f>
        <v>8632.32858078966</v>
      </c>
      <c r="X21" s="5" t="n">
        <f aca="false">IF(B21&lt;Assumptions!$B$5,G21*H21,0)</f>
        <v>0</v>
      </c>
      <c r="Y21" s="12" t="n">
        <f aca="false">IF(B21&gt;=Assumptions!$B$5,G21*Assumptions!$B$9*(1+Assumptions!$B$10)^(B21-Assumptions!$B$4)*H21,0)</f>
        <v>10415.3963720942</v>
      </c>
      <c r="Z21" s="48" t="n">
        <f aca="false">IF(B21&lt;Assumptions!$B$5,F21*Pricing!$B$14*H21,0)</f>
        <v>0</v>
      </c>
      <c r="AA21" s="48" t="n">
        <f aca="false">IF(B21&lt;Assumptions!$B$5,Q21*Pricing!$B$14*H21,0)</f>
        <v>0</v>
      </c>
      <c r="AB21" s="48" t="n">
        <f aca="false">IF(B21&lt;Assumptions!$B$5,U21*Pricing!$B$14*H21,0)</f>
        <v>0</v>
      </c>
      <c r="AC21" s="48" t="n">
        <f aca="false">IF(B21&lt;Assumptions!$B$5,F21*(Pricing!$B$14-Pricing!$B$14*IF(B21=Assumptions!$B$4,Assumptions!$B$14,Assumptions!$B$15))*H21,0)</f>
        <v>0</v>
      </c>
      <c r="AD21" s="48" t="n">
        <f aca="false">IF(B21&lt;Assumptions!$B$5,F21*Pricing!$B$14*IF(B21=Assumptions!$B$4,Assumptions!$B$14,Assumptions!$B$15)*H21,0)</f>
        <v>0</v>
      </c>
    </row>
    <row r="22" customFormat="false" ht="15" hidden="false" customHeight="true" outlineLevel="0" collapsed="false">
      <c r="B22" s="34" t="n">
        <f aca="false">B21+1</f>
        <v>83</v>
      </c>
      <c r="C22" s="32" t="n">
        <f aca="false">IFERROR(INDEX(Cohort_Survival!$B$5:$AA$65,B22-59,Assumptions!$B$4-59),1)</f>
        <v>0.0382494856184891</v>
      </c>
      <c r="D22" s="5" t="n">
        <f aca="false">IF(B22&lt;Assumptions!$B$5,IF(B22-Assumptions!$B$4+1=1,Assumptions!$B$16,IF(B22-Assumptions!$B$4+1=2,Assumptions!$B$17,IF(B22-Assumptions!$B$4+1&lt;=5,Assumptions!$B$18,Assumptions!$B$19))),0)</f>
        <v>0</v>
      </c>
      <c r="E22" s="5" t="n">
        <f aca="false">D22*(1-Assumptions!$B$20)</f>
        <v>0</v>
      </c>
      <c r="F22" s="11" t="n">
        <f aca="false">F21*(1-C21)*(1-E21)</f>
        <v>0.626650275234803</v>
      </c>
      <c r="G22" s="11" t="n">
        <f aca="false">G21*(1-C21)</f>
        <v>0.761552412727406</v>
      </c>
      <c r="H22" s="11" t="n">
        <f aca="false">Discount!C22</f>
        <v>0.570712145170615</v>
      </c>
      <c r="I22" s="5" t="n">
        <f aca="false">IF(B22&lt;Assumptions!$B$5,F22*H22,0)</f>
        <v>0</v>
      </c>
      <c r="J22" s="5" t="n">
        <f aca="false">IF(B22&lt;Assumptions!$B$5,F22*(1-C22)*E22*(B22-Assumptions!$B$4+1)*H22,0)</f>
        <v>0</v>
      </c>
      <c r="K22" s="12" t="n">
        <f aca="false">IF(B22&gt;=Assumptions!$B$5,F22*Assumptions!$B$9*(1+Assumptions!$B$10)^(B22-Assumptions!$B$4)*H22,0)</f>
        <v>8172.6974889069</v>
      </c>
      <c r="L22" s="48" t="n">
        <f aca="false">F22*Assumptions!$B$12*(1+Assumptions!$B$11)^(B22-Assumptions!$B$4+1)*H22</f>
        <v>45.7389066488611</v>
      </c>
      <c r="M22" s="48" t="n">
        <f aca="false">IF(B22&lt;Assumptions!$B$5,F22*(Pricing!$B$14-Pricing!$B$14*IF(B22=Assumptions!$B$4,Assumptions!$B$14,Assumptions!$B$15))-F22*Assumptions!$B$12*(1+Assumptions!$B$11)^(B22-Assumptions!$B$4+1),-F22*(Assumptions!$B$9*(1+Assumptions!$B$10)^(B22-Assumptions!$B$4)+Assumptions!$B$12*(1+Assumptions!$B$11)^(B22-Assumptions!$B$4+1)))</f>
        <v>-14400.3180326552</v>
      </c>
      <c r="N22" s="12" t="n">
        <f aca="false">M22*H22</f>
        <v>-8218.43639555576</v>
      </c>
      <c r="O22" s="48" t="n">
        <f aca="false">F22*(IF(B22&lt;Assumptions!$B$5,Assumptions!$B$12*(1+Assumptions!$B$11)^(B22-Assumptions!$B$4+1)+Pricing!$B$14*IF(B22=Assumptions!$B$4,Assumptions!$B$14,Assumptions!$B$15)-Pricing!$B$14,Assumptions!$B$9*(1+Assumptions!$B$10)^(B22-Assumptions!$B$4)+Assumptions!$B$12*(1+Assumptions!$B$11)^(B22-Assumptions!$B$4+1)))</f>
        <v>14400.3180326552</v>
      </c>
      <c r="P22" s="48" t="n">
        <f aca="false">O22*H22</f>
        <v>8218.43639555576</v>
      </c>
      <c r="Q22" s="11" t="n">
        <f aca="false">Q21*(1-MIN(1,C21*(1-Assumptions!$B$21)))*(1-IF(B21&lt;Assumptions!$B$5,E21,0))</f>
        <v>0.662031357100535</v>
      </c>
      <c r="R22" s="48" t="n">
        <f aca="false">Q22*(IF(B22&lt;Assumptions!$B$5,Assumptions!$B$12*(1+Assumptions!$B$11)^(B22-Assumptions!$B$4+1)+Pricing!$B$14*IF(B22=Assumptions!$B$4,Assumptions!$B$14,Assumptions!$B$15)-Pricing!$B$14,Assumptions!$B$9*(1+Assumptions!$B$10)^(B22-Assumptions!$B$4)+Assumptions!$B$12*(1+Assumptions!$B$11)^(B22-Assumptions!$B$4+1)))*H22</f>
        <v>8682.45465647571</v>
      </c>
      <c r="S22" s="11" t="n">
        <f aca="false">S21*(1-MIN(1,C21))*(1-IF(B21&lt;Assumptions!$B$5,E21*(1+Assumptions!$B$23),0))</f>
        <v>0.567669232250423</v>
      </c>
      <c r="T22" s="48" t="n">
        <f aca="false">S22*(IF(B22&lt;Assumptions!$B$5,Assumptions!$B$12*(1+Assumptions!$B$11)^(B22-Assumptions!$B$4+1)+Pricing!$B$14*IF(B22=Assumptions!$B$4,Assumptions!$B$14,Assumptions!$B$15)-Pricing!$B$14,Assumptions!$B$9*(1+Assumptions!$B$10)^(B22-Assumptions!$B$4)+Assumptions!$B$12*(1+Assumptions!$B$11)^(B22-Assumptions!$B$4+1)))*H22</f>
        <v>7444.90773137533</v>
      </c>
      <c r="U22" s="11" t="n">
        <f aca="false">U21*(1-MIN(1,C21))*(1-IF(B21&lt;Assumptions!$B$5,E21*(1-Assumptions!$B$23),0))</f>
        <v>0.691124771632444</v>
      </c>
      <c r="V22" s="48" t="n">
        <f aca="false">U22*(IF(B22&lt;Assumptions!$B$5,Assumptions!$B$12*(1+Assumptions!$B$11)^(B22-Assumptions!$B$4+1)+Pricing!$B$14*IF(B22=Assumptions!$B$4,Assumptions!$B$14,Assumptions!$B$15)-Pricing!$B$14,Assumptions!$B$9*(1+Assumptions!$B$10)^(B22-Assumptions!$B$4)+Assumptions!$B$12*(1+Assumptions!$B$11)^(B22-Assumptions!$B$4+1)))*H22</f>
        <v>9064.01098272235</v>
      </c>
      <c r="W22" s="48" t="n">
        <f aca="false">F22*(IF(B22&lt;Assumptions!$B$5,Assumptions!$B$12*(1+Assumptions!$B$11)*(1+Assumptions!$B$24)*(1+Assumptions!$B$11+Assumptions!$B$25)^(B22-Assumptions!$B$4)+Pricing!$B$14*IF(B22=Assumptions!$B$4,Assumptions!$B$14,Assumptions!$B$15)-Pricing!$B$14,Assumptions!$B$9*(1+Assumptions!$B$10)^(B22-Assumptions!$B$4)+Assumptions!$B$12*(1+Assumptions!$B$11)*(1+Assumptions!$B$24)*(1+Assumptions!$B$11+Assumptions!$B$25)^(B22-Assumptions!$B$4)))*H22</f>
        <v>8232.6179550611</v>
      </c>
      <c r="X22" s="5" t="n">
        <f aca="false">IF(B22&lt;Assumptions!$B$5,G22*H22,0)</f>
        <v>0</v>
      </c>
      <c r="Y22" s="12" t="n">
        <f aca="false">IF(B22&gt;=Assumptions!$B$5,G22*Assumptions!$B$9*(1+Assumptions!$B$10)^(B22-Assumptions!$B$4)*H22,0)</f>
        <v>9932.07493419863</v>
      </c>
      <c r="Z22" s="48" t="n">
        <f aca="false">IF(B22&lt;Assumptions!$B$5,F22*Pricing!$B$14*H22,0)</f>
        <v>0</v>
      </c>
      <c r="AA22" s="48" t="n">
        <f aca="false">IF(B22&lt;Assumptions!$B$5,Q22*Pricing!$B$14*H22,0)</f>
        <v>0</v>
      </c>
      <c r="AB22" s="48" t="n">
        <f aca="false">IF(B22&lt;Assumptions!$B$5,U22*Pricing!$B$14*H22,0)</f>
        <v>0</v>
      </c>
      <c r="AC22" s="48" t="n">
        <f aca="false">IF(B22&lt;Assumptions!$B$5,F22*(Pricing!$B$14-Pricing!$B$14*IF(B22=Assumptions!$B$4,Assumptions!$B$14,Assumptions!$B$15))*H22,0)</f>
        <v>0</v>
      </c>
      <c r="AD22" s="48" t="n">
        <f aca="false">IF(B22&lt;Assumptions!$B$5,F22*Pricing!$B$14*IF(B22=Assumptions!$B$4,Assumptions!$B$14,Assumptions!$B$15)*H22,0)</f>
        <v>0</v>
      </c>
    </row>
    <row r="23" customFormat="false" ht="15" hidden="false" customHeight="true" outlineLevel="0" collapsed="false">
      <c r="B23" s="34" t="n">
        <f aca="false">B22+1</f>
        <v>84</v>
      </c>
      <c r="C23" s="32" t="n">
        <f aca="false">IFERROR(INDEX(Cohort_Survival!$B$5:$AA$65,B23-59,Assumptions!$B$4-59),1)</f>
        <v>0.0429065995988382</v>
      </c>
      <c r="D23" s="5" t="n">
        <f aca="false">IF(B23&lt;Assumptions!$B$5,IF(B23-Assumptions!$B$4+1=1,Assumptions!$B$16,IF(B23-Assumptions!$B$4+1=2,Assumptions!$B$17,IF(B23-Assumptions!$B$4+1&lt;=5,Assumptions!$B$18,Assumptions!$B$19))),0)</f>
        <v>0</v>
      </c>
      <c r="E23" s="5" t="n">
        <f aca="false">D23*(1-Assumptions!$B$20)</f>
        <v>0</v>
      </c>
      <c r="F23" s="11" t="n">
        <f aca="false">F22*(1-C22)*(1-E22)</f>
        <v>0.602681224544387</v>
      </c>
      <c r="G23" s="11" t="n">
        <f aca="false">G22*(1-C22)</f>
        <v>0.732423424669064</v>
      </c>
      <c r="H23" s="11" t="n">
        <f aca="false">Discount!C23</f>
        <v>0.552897698820573</v>
      </c>
      <c r="I23" s="5" t="n">
        <f aca="false">IF(B23&lt;Assumptions!$B$5,F23*H23,0)</f>
        <v>0</v>
      </c>
      <c r="J23" s="5" t="n">
        <f aca="false">IF(B23&lt;Assumptions!$B$5,F23*(1-C23)*E23*(B23-Assumptions!$B$4+1)*H23,0)</f>
        <v>0</v>
      </c>
      <c r="K23" s="12" t="n">
        <f aca="false">IF(B23&gt;=Assumptions!$B$5,F23*Assumptions!$B$9*(1+Assumptions!$B$10)^(B23-Assumptions!$B$4)*H23,0)</f>
        <v>7767.0426607223</v>
      </c>
      <c r="L23" s="48" t="n">
        <f aca="false">F23*Assumptions!$B$12*(1+Assumptions!$B$11)^(B23-Assumptions!$B$4+1)*H23</f>
        <v>43.6817208582108</v>
      </c>
      <c r="M23" s="48" t="n">
        <f aca="false">IF(B23&lt;Assumptions!$B$5,F23*(Pricing!$B$14-Pricing!$B$14*IF(B23=Assumptions!$B$4,Assumptions!$B$14,Assumptions!$B$15))-F23*Assumptions!$B$12*(1+Assumptions!$B$11)^(B23-Assumptions!$B$4+1),-F23*(Assumptions!$B$9*(1+Assumptions!$B$10)^(B23-Assumptions!$B$4)+Assumptions!$B$12*(1+Assumptions!$B$11)^(B23-Assumptions!$B$4+1)))</f>
        <v>-14126.8889312474</v>
      </c>
      <c r="N23" s="12" t="n">
        <f aca="false">M23*H23</f>
        <v>-7810.72438158051</v>
      </c>
      <c r="O23" s="48" t="n">
        <f aca="false">F23*(IF(B23&lt;Assumptions!$B$5,Assumptions!$B$12*(1+Assumptions!$B$11)^(B23-Assumptions!$B$4+1)+Pricing!$B$14*IF(B23=Assumptions!$B$4,Assumptions!$B$14,Assumptions!$B$15)-Pricing!$B$14,Assumptions!$B$9*(1+Assumptions!$B$10)^(B23-Assumptions!$B$4)+Assumptions!$B$12*(1+Assumptions!$B$11)^(B23-Assumptions!$B$4+1)))</f>
        <v>14126.8889312474</v>
      </c>
      <c r="P23" s="48" t="n">
        <f aca="false">O23*H23</f>
        <v>7810.72438158051</v>
      </c>
      <c r="Q23" s="11" t="n">
        <f aca="false">Q22*(1-MIN(1,C22*(1-Assumptions!$B$21)))*(1-IF(B22&lt;Assumptions!$B$5,E22,0))</f>
        <v>0.64177347000261</v>
      </c>
      <c r="R23" s="48" t="n">
        <f aca="false">Q23*(IF(B23&lt;Assumptions!$B$5,Assumptions!$B$12*(1+Assumptions!$B$11)^(B23-Assumptions!$B$4+1)+Pricing!$B$14*IF(B23=Assumptions!$B$4,Assumptions!$B$14,Assumptions!$B$15)-Pricing!$B$14,Assumptions!$B$9*(1+Assumptions!$B$10)^(B23-Assumptions!$B$4)+Assumptions!$B$12*(1+Assumptions!$B$11)^(B23-Assumptions!$B$4+1)))*H23</f>
        <v>8317.35830727166</v>
      </c>
      <c r="S23" s="11" t="n">
        <f aca="false">S22*(1-MIN(1,C22))*(1-IF(B22&lt;Assumptions!$B$5,E22*(1+Assumptions!$B$23),0))</f>
        <v>0.545956176115401</v>
      </c>
      <c r="T23" s="48" t="n">
        <f aca="false">S23*(IF(B23&lt;Assumptions!$B$5,Assumptions!$B$12*(1+Assumptions!$B$11)^(B23-Assumptions!$B$4+1)+Pricing!$B$14*IF(B23=Assumptions!$B$4,Assumptions!$B$14,Assumptions!$B$15)-Pricing!$B$14,Assumptions!$B$9*(1+Assumptions!$B$10)^(B23-Assumptions!$B$4)+Assumptions!$B$12*(1+Assumptions!$B$11)^(B23-Assumptions!$B$4+1)))*H23</f>
        <v>7075.57004000373</v>
      </c>
      <c r="U23" s="11" t="n">
        <f aca="false">U22*(1-MIN(1,C22))*(1-IF(B22&lt;Assumptions!$B$5,E22*(1-Assumptions!$B$23),0))</f>
        <v>0.664689604619307</v>
      </c>
      <c r="V23" s="48" t="n">
        <f aca="false">U23*(IF(B23&lt;Assumptions!$B$5,Assumptions!$B$12*(1+Assumptions!$B$11)^(B23-Assumptions!$B$4+1)+Pricing!$B$14*IF(B23=Assumptions!$B$4,Assumptions!$B$14,Assumptions!$B$15)-Pricing!$B$14,Assumptions!$B$9*(1+Assumptions!$B$10)^(B23-Assumptions!$B$4)+Assumptions!$B$12*(1+Assumptions!$B$11)^(B23-Assumptions!$B$4+1)))*H23</f>
        <v>8614.35048836628</v>
      </c>
      <c r="W23" s="48" t="n">
        <f aca="false">F23*(IF(B23&lt;Assumptions!$B$5,Assumptions!$B$12*(1+Assumptions!$B$11)*(1+Assumptions!$B$24)*(1+Assumptions!$B$11+Assumptions!$B$25)^(B23-Assumptions!$B$4)+Pricing!$B$14*IF(B23=Assumptions!$B$4,Assumptions!$B$14,Assumptions!$B$15)-Pricing!$B$14,Assumptions!$B$9*(1+Assumptions!$B$10)^(B23-Assumptions!$B$4)+Assumptions!$B$12*(1+Assumptions!$B$11)*(1+Assumptions!$B$24)*(1+Assumptions!$B$11+Assumptions!$B$25)^(B23-Assumptions!$B$4)))*H23</f>
        <v>7824.82639809842</v>
      </c>
      <c r="X23" s="5" t="n">
        <f aca="false">IF(B23&lt;Assumptions!$B$5,G23*H23,0)</f>
        <v>0</v>
      </c>
      <c r="Y23" s="12" t="n">
        <f aca="false">IF(B23&gt;=Assumptions!$B$5,G23*Assumptions!$B$9*(1+Assumptions!$B$10)^(B23-Assumptions!$B$4)*H23,0)</f>
        <v>9439.09276320581</v>
      </c>
      <c r="Z23" s="48" t="n">
        <f aca="false">IF(B23&lt;Assumptions!$B$5,F23*Pricing!$B$14*H23,0)</f>
        <v>0</v>
      </c>
      <c r="AA23" s="48" t="n">
        <f aca="false">IF(B23&lt;Assumptions!$B$5,Q23*Pricing!$B$14*H23,0)</f>
        <v>0</v>
      </c>
      <c r="AB23" s="48" t="n">
        <f aca="false">IF(B23&lt;Assumptions!$B$5,U23*Pricing!$B$14*H23,0)</f>
        <v>0</v>
      </c>
      <c r="AC23" s="48" t="n">
        <f aca="false">IF(B23&lt;Assumptions!$B$5,F23*(Pricing!$B$14-Pricing!$B$14*IF(B23=Assumptions!$B$4,Assumptions!$B$14,Assumptions!$B$15))*H23,0)</f>
        <v>0</v>
      </c>
      <c r="AD23" s="48" t="n">
        <f aca="false">IF(B23&lt;Assumptions!$B$5,F23*Pricing!$B$14*IF(B23=Assumptions!$B$4,Assumptions!$B$14,Assumptions!$B$15)*H23,0)</f>
        <v>0</v>
      </c>
    </row>
    <row r="24" customFormat="false" ht="15" hidden="false" customHeight="true" outlineLevel="0" collapsed="false">
      <c r="B24" s="34" t="n">
        <f aca="false">B23+1</f>
        <v>85</v>
      </c>
      <c r="C24" s="32" t="n">
        <f aca="false">IFERROR(INDEX(Cohort_Survival!$B$5:$AA$65,B24-59,Assumptions!$B$4-59),1)</f>
        <v>0.0496763446201301</v>
      </c>
      <c r="D24" s="5" t="n">
        <f aca="false">IF(B24&lt;Assumptions!$B$5,IF(B24-Assumptions!$B$4+1=1,Assumptions!$B$16,IF(B24-Assumptions!$B$4+1=2,Assumptions!$B$17,IF(B24-Assumptions!$B$4+1&lt;=5,Assumptions!$B$18,Assumptions!$B$19))),0)</f>
        <v>0</v>
      </c>
      <c r="E24" s="5" t="n">
        <f aca="false">D24*(1-Assumptions!$B$20)</f>
        <v>0</v>
      </c>
      <c r="F24" s="11" t="n">
        <f aca="false">F23*(1-C23)*(1-E23)</f>
        <v>0.576822222557124</v>
      </c>
      <c r="G24" s="11" t="n">
        <f aca="false">G23*(1-C23)</f>
        <v>0.700997626049978</v>
      </c>
      <c r="H24" s="11" t="n">
        <f aca="false">Discount!C24</f>
        <v>0.535815878737946</v>
      </c>
      <c r="I24" s="5" t="n">
        <f aca="false">IF(B24&lt;Assumptions!$B$5,F24*H24,0)</f>
        <v>0</v>
      </c>
      <c r="J24" s="5" t="n">
        <f aca="false">IF(B24&lt;Assumptions!$B$5,F24*(1-C24)*E24*(B24-Assumptions!$B$4+1)*H24,0)</f>
        <v>0</v>
      </c>
      <c r="K24" s="12" t="n">
        <f aca="false">IF(B24&gt;=Assumptions!$B$5,F24*Assumptions!$B$9*(1+Assumptions!$B$10)^(B24-Assumptions!$B$4)*H24,0)</f>
        <v>7348.20021833872</v>
      </c>
      <c r="L24" s="48" t="n">
        <f aca="false">F24*Assumptions!$B$12*(1+Assumptions!$B$11)^(B24-Assumptions!$B$4+1)*H24</f>
        <v>41.5287370193115</v>
      </c>
      <c r="M24" s="48" t="n">
        <f aca="false">IF(B24&lt;Assumptions!$B$5,F24*(Pricing!$B$14-Pricing!$B$14*IF(B24=Assumptions!$B$4,Assumptions!$B$14,Assumptions!$B$15))-F24*Assumptions!$B$12*(1+Assumptions!$B$11)^(B24-Assumptions!$B$4+1),-F24*(Assumptions!$B$9*(1+Assumptions!$B$10)^(B24-Assumptions!$B$4)+Assumptions!$B$12*(1+Assumptions!$B$11)^(B24-Assumptions!$B$4+1)))</f>
        <v>-13791.5452837339</v>
      </c>
      <c r="N24" s="12" t="n">
        <f aca="false">M24*H24</f>
        <v>-7389.72895535803</v>
      </c>
      <c r="O24" s="48" t="n">
        <f aca="false">F24*(IF(B24&lt;Assumptions!$B$5,Assumptions!$B$12*(1+Assumptions!$B$11)^(B24-Assumptions!$B$4+1)+Pricing!$B$14*IF(B24=Assumptions!$B$4,Assumptions!$B$14,Assumptions!$B$15)-Pricing!$B$14,Assumptions!$B$9*(1+Assumptions!$B$10)^(B24-Assumptions!$B$4)+Assumptions!$B$12*(1+Assumptions!$B$11)^(B24-Assumptions!$B$4+1)))</f>
        <v>13791.5452837339</v>
      </c>
      <c r="P24" s="48" t="n">
        <f aca="false">O24*H24</f>
        <v>7389.72895535803</v>
      </c>
      <c r="Q24" s="11" t="n">
        <f aca="false">Q23*(1-MIN(1,C23*(1-Assumptions!$B$21)))*(1-IF(B23&lt;Assumptions!$B$5,E23,0))</f>
        <v>0.619744416154163</v>
      </c>
      <c r="R24" s="48" t="n">
        <f aca="false">Q24*(IF(B24&lt;Assumptions!$B$5,Assumptions!$B$12*(1+Assumptions!$B$11)^(B24-Assumptions!$B$4+1)+Pricing!$B$14*IF(B24=Assumptions!$B$4,Assumptions!$B$14,Assumptions!$B$15)-Pricing!$B$14,Assumptions!$B$9*(1+Assumptions!$B$10)^(B24-Assumptions!$B$4)+Assumptions!$B$12*(1+Assumptions!$B$11)^(B24-Assumptions!$B$4+1)))*H24</f>
        <v>7939.60960219825</v>
      </c>
      <c r="S24" s="11" t="n">
        <f aca="false">S23*(1-MIN(1,C23))*(1-IF(B23&lt;Assumptions!$B$5,E23*(1+Assumptions!$B$23),0))</f>
        <v>0.522531053068305</v>
      </c>
      <c r="T24" s="48" t="n">
        <f aca="false">S24*(IF(B24&lt;Assumptions!$B$5,Assumptions!$B$12*(1+Assumptions!$B$11)^(B24-Assumptions!$B$4+1)+Pricing!$B$14*IF(B24=Assumptions!$B$4,Assumptions!$B$14,Assumptions!$B$15)-Pricing!$B$14,Assumptions!$B$9*(1+Assumptions!$B$10)^(B24-Assumptions!$B$4)+Assumptions!$B$12*(1+Assumptions!$B$11)^(B24-Assumptions!$B$4+1)))*H24</f>
        <v>6694.19918638828</v>
      </c>
      <c r="U24" s="11" t="n">
        <f aca="false">U23*(1-MIN(1,C23))*(1-IF(B23&lt;Assumptions!$B$5,E23*(1-Assumptions!$B$23),0))</f>
        <v>0.636170033896397</v>
      </c>
      <c r="V24" s="48" t="n">
        <f aca="false">U24*(IF(B24&lt;Assumptions!$B$5,Assumptions!$B$12*(1+Assumptions!$B$11)^(B24-Assumptions!$B$4+1)+Pricing!$B$14*IF(B24=Assumptions!$B$4,Assumptions!$B$14,Assumptions!$B$15)-Pricing!$B$14,Assumptions!$B$9*(1+Assumptions!$B$10)^(B24-Assumptions!$B$4)+Assumptions!$B$12*(1+Assumptions!$B$11)^(B24-Assumptions!$B$4+1)))*H24</f>
        <v>8150.0398843419</v>
      </c>
      <c r="W24" s="48" t="n">
        <f aca="false">F24*(IF(B24&lt;Assumptions!$B$5,Assumptions!$B$12*(1+Assumptions!$B$11)*(1+Assumptions!$B$24)*(1+Assumptions!$B$11+Assumptions!$B$25)^(B24-Assumptions!$B$4)+Pricing!$B$14*IF(B24=Assumptions!$B$4,Assumptions!$B$14,Assumptions!$B$15)-Pricing!$B$14,Assumptions!$B$9*(1+Assumptions!$B$10)^(B24-Assumptions!$B$4)+Assumptions!$B$12*(1+Assumptions!$B$11)*(1+Assumptions!$B$24)*(1+Assumptions!$B$11+Assumptions!$B$25)^(B24-Assumptions!$B$4)))*H24</f>
        <v>7403.67186993658</v>
      </c>
      <c r="X24" s="5" t="n">
        <f aca="false">IF(B24&lt;Assumptions!$B$5,G24*H24,0)</f>
        <v>0</v>
      </c>
      <c r="Y24" s="12" t="n">
        <f aca="false">IF(B24&gt;=Assumptions!$B$5,G24*Assumptions!$B$9*(1+Assumptions!$B$10)^(B24-Assumptions!$B$4)*H24,0)</f>
        <v>8930.08401437802</v>
      </c>
      <c r="Z24" s="48" t="n">
        <f aca="false">IF(B24&lt;Assumptions!$B$5,F24*Pricing!$B$14*H24,0)</f>
        <v>0</v>
      </c>
      <c r="AA24" s="48" t="n">
        <f aca="false">IF(B24&lt;Assumptions!$B$5,Q24*Pricing!$B$14*H24,0)</f>
        <v>0</v>
      </c>
      <c r="AB24" s="48" t="n">
        <f aca="false">IF(B24&lt;Assumptions!$B$5,U24*Pricing!$B$14*H24,0)</f>
        <v>0</v>
      </c>
      <c r="AC24" s="48" t="n">
        <f aca="false">IF(B24&lt;Assumptions!$B$5,F24*(Pricing!$B$14-Pricing!$B$14*IF(B24=Assumptions!$B$4,Assumptions!$B$14,Assumptions!$B$15))*H24,0)</f>
        <v>0</v>
      </c>
      <c r="AD24" s="48" t="n">
        <f aca="false">IF(B24&lt;Assumptions!$B$5,F24*Pricing!$B$14*IF(B24=Assumptions!$B$4,Assumptions!$B$14,Assumptions!$B$15)*H24,0)</f>
        <v>0</v>
      </c>
    </row>
    <row r="25" customFormat="false" ht="15" hidden="false" customHeight="true" outlineLevel="0" collapsed="false">
      <c r="B25" s="34" t="n">
        <f aca="false">B24+1</f>
        <v>86</v>
      </c>
      <c r="C25" s="32" t="n">
        <f aca="false">IFERROR(INDEX(Cohort_Survival!$B$5:$AA$65,B25-59,Assumptions!$B$4-59),1)</f>
        <v>0.056345407052358</v>
      </c>
      <c r="D25" s="5" t="n">
        <f aca="false">IF(B25&lt;Assumptions!$B$5,IF(B25-Assumptions!$B$4+1=1,Assumptions!$B$16,IF(B25-Assumptions!$B$4+1=2,Assumptions!$B$17,IF(B25-Assumptions!$B$4+1&lt;=5,Assumptions!$B$18,Assumptions!$B$19))),0)</f>
        <v>0</v>
      </c>
      <c r="E25" s="5" t="n">
        <f aca="false">D25*(1-Assumptions!$B$20)</f>
        <v>0</v>
      </c>
      <c r="F25" s="11" t="n">
        <f aca="false">F24*(1-C24)*(1-E24)</f>
        <v>0.548167803044827</v>
      </c>
      <c r="G25" s="11" t="n">
        <f aca="false">G24*(1-C24)</f>
        <v>0.666174626400427</v>
      </c>
      <c r="H25" s="11" t="n">
        <f aca="false">Discount!C25</f>
        <v>0.51925173773423</v>
      </c>
      <c r="I25" s="5" t="n">
        <f aca="false">IF(B25&lt;Assumptions!$B$5,F25*H25,0)</f>
        <v>0</v>
      </c>
      <c r="J25" s="5" t="n">
        <f aca="false">IF(B25&lt;Assumptions!$B$5,F25*(1-C25)*E25*(B25-Assumptions!$B$4+1)*H25,0)</f>
        <v>0</v>
      </c>
      <c r="K25" s="12" t="n">
        <f aca="false">IF(B25&gt;=Assumptions!$B$5,F25*Assumptions!$B$9*(1+Assumptions!$B$10)^(B25-Assumptions!$B$4)*H25,0)</f>
        <v>6902.63758240374</v>
      </c>
      <c r="L25" s="48" t="n">
        <f aca="false">F25*Assumptions!$B$12*(1+Assumptions!$B$11)^(B25-Assumptions!$B$4+1)*H25</f>
        <v>39.2018450418532</v>
      </c>
      <c r="M25" s="48" t="n">
        <f aca="false">IF(B25&lt;Assumptions!$B$5,F25*(Pricing!$B$14-Pricing!$B$14*IF(B25=Assumptions!$B$4,Assumptions!$B$14,Assumptions!$B$15))-F25*Assumptions!$B$12*(1+Assumptions!$B$11)^(B25-Assumptions!$B$4+1),-F25*(Assumptions!$B$9*(1+Assumptions!$B$10)^(B25-Assumptions!$B$4)+Assumptions!$B$12*(1+Assumptions!$B$11)^(B25-Assumptions!$B$4+1)))</f>
        <v>-13368.9286389998</v>
      </c>
      <c r="N25" s="12" t="n">
        <f aca="false">M25*H25</f>
        <v>-6941.83942744559</v>
      </c>
      <c r="O25" s="48" t="n">
        <f aca="false">F25*(IF(B25&lt;Assumptions!$B$5,Assumptions!$B$12*(1+Assumptions!$B$11)^(B25-Assumptions!$B$4+1)+Pricing!$B$14*IF(B25=Assumptions!$B$4,Assumptions!$B$14,Assumptions!$B$15)-Pricing!$B$14,Assumptions!$B$9*(1+Assumptions!$B$10)^(B25-Assumptions!$B$4)+Assumptions!$B$12*(1+Assumptions!$B$11)^(B25-Assumptions!$B$4+1)))</f>
        <v>13368.9286389998</v>
      </c>
      <c r="P25" s="48" t="n">
        <f aca="false">O25*H25</f>
        <v>6941.83942744559</v>
      </c>
      <c r="Q25" s="11" t="n">
        <f aca="false">Q24*(1-MIN(1,C24*(1-Assumptions!$B$21)))*(1-IF(B24&lt;Assumptions!$B$5,E24,0))</f>
        <v>0.595115106399543</v>
      </c>
      <c r="R25" s="48" t="n">
        <f aca="false">Q25*(IF(B25&lt;Assumptions!$B$5,Assumptions!$B$12*(1+Assumptions!$B$11)^(B25-Assumptions!$B$4+1)+Pricing!$B$14*IF(B25=Assumptions!$B$4,Assumptions!$B$14,Assumptions!$B$15)-Pricing!$B$14,Assumptions!$B$9*(1+Assumptions!$B$10)^(B25-Assumptions!$B$4)+Assumptions!$B$12*(1+Assumptions!$B$11)^(B25-Assumptions!$B$4+1)))*H25</f>
        <v>7536.36657703333</v>
      </c>
      <c r="S25" s="11" t="n">
        <f aca="false">S24*(1-MIN(1,C24))*(1-IF(B24&lt;Assumptions!$B$5,E24*(1+Assumptions!$B$23),0))</f>
        <v>0.496573620401365</v>
      </c>
      <c r="T25" s="48" t="n">
        <f aca="false">S25*(IF(B25&lt;Assumptions!$B$5,Assumptions!$B$12*(1+Assumptions!$B$11)^(B25-Assumptions!$B$4+1)+Pricing!$B$14*IF(B25=Assumptions!$B$4,Assumptions!$B$14,Assumptions!$B$15)-Pricing!$B$14,Assumptions!$B$9*(1+Assumptions!$B$10)^(B25-Assumptions!$B$4)+Assumptions!$B$12*(1+Assumptions!$B$11)^(B25-Assumptions!$B$4+1)))*H25</f>
        <v>6288.46553479483</v>
      </c>
      <c r="U25" s="11" t="n">
        <f aca="false">U24*(1-MIN(1,C24))*(1-IF(B24&lt;Assumptions!$B$5,E24*(1-Assumptions!$B$23),0))</f>
        <v>0.604567432055559</v>
      </c>
      <c r="V25" s="48" t="n">
        <f aca="false">U25*(IF(B25&lt;Assumptions!$B$5,Assumptions!$B$12*(1+Assumptions!$B$11)^(B25-Assumptions!$B$4+1)+Pricing!$B$14*IF(B25=Assumptions!$B$4,Assumptions!$B$14,Assumptions!$B$15)-Pricing!$B$14,Assumptions!$B$9*(1+Assumptions!$B$10)^(B25-Assumptions!$B$4)+Assumptions!$B$12*(1+Assumptions!$B$11)^(B25-Assumptions!$B$4+1)))*H25</f>
        <v>7656.06811104449</v>
      </c>
      <c r="W25" s="48" t="n">
        <f aca="false">F25*(IF(B25&lt;Assumptions!$B$5,Assumptions!$B$12*(1+Assumptions!$B$11)*(1+Assumptions!$B$24)*(1+Assumptions!$B$11+Assumptions!$B$25)^(B25-Assumptions!$B$4)+Pricing!$B$14*IF(B25=Assumptions!$B$4,Assumptions!$B$14,Assumptions!$B$15)-Pricing!$B$14,Assumptions!$B$9*(1+Assumptions!$B$10)^(B25-Assumptions!$B$4)+Assumptions!$B$12*(1+Assumptions!$B$11)*(1+Assumptions!$B$24)*(1+Assumptions!$B$11+Assumptions!$B$25)^(B25-Assumptions!$B$4)))*H25</f>
        <v>6955.51197181665</v>
      </c>
      <c r="X25" s="5" t="n">
        <f aca="false">IF(B25&lt;Assumptions!$B$5,G25*H25,0)</f>
        <v>0</v>
      </c>
      <c r="Y25" s="12" t="n">
        <f aca="false">IF(B25&gt;=Assumptions!$B$5,G25*Assumptions!$B$9*(1+Assumptions!$B$10)^(B25-Assumptions!$B$4)*H25,0)</f>
        <v>8388.60288235374</v>
      </c>
      <c r="Z25" s="48" t="n">
        <f aca="false">IF(B25&lt;Assumptions!$B$5,F25*Pricing!$B$14*H25,0)</f>
        <v>0</v>
      </c>
      <c r="AA25" s="48" t="n">
        <f aca="false">IF(B25&lt;Assumptions!$B$5,Q25*Pricing!$B$14*H25,0)</f>
        <v>0</v>
      </c>
      <c r="AB25" s="48" t="n">
        <f aca="false">IF(B25&lt;Assumptions!$B$5,U25*Pricing!$B$14*H25,0)</f>
        <v>0</v>
      </c>
      <c r="AC25" s="48" t="n">
        <f aca="false">IF(B25&lt;Assumptions!$B$5,F25*(Pricing!$B$14-Pricing!$B$14*IF(B25=Assumptions!$B$4,Assumptions!$B$14,Assumptions!$B$15))*H25,0)</f>
        <v>0</v>
      </c>
      <c r="AD25" s="48" t="n">
        <f aca="false">IF(B25&lt;Assumptions!$B$5,F25*Pricing!$B$14*IF(B25=Assumptions!$B$4,Assumptions!$B$14,Assumptions!$B$15)*H25,0)</f>
        <v>0</v>
      </c>
    </row>
    <row r="26" customFormat="false" ht="15" hidden="false" customHeight="true" outlineLevel="0" collapsed="false">
      <c r="B26" s="34" t="n">
        <f aca="false">B25+1</f>
        <v>87</v>
      </c>
      <c r="C26" s="32" t="n">
        <f aca="false">IFERROR(INDEX(Cohort_Survival!$B$5:$AA$65,B26-59,Assumptions!$B$4-59),1)</f>
        <v>0.063900243074023</v>
      </c>
      <c r="D26" s="5" t="n">
        <f aca="false">IF(B26&lt;Assumptions!$B$5,IF(B26-Assumptions!$B$4+1=1,Assumptions!$B$16,IF(B26-Assumptions!$B$4+1=2,Assumptions!$B$17,IF(B26-Assumptions!$B$4+1&lt;=5,Assumptions!$B$18,Assumptions!$B$19))),0)</f>
        <v>0</v>
      </c>
      <c r="E26" s="5" t="n">
        <f aca="false">D26*(1-Assumptions!$B$20)</f>
        <v>0</v>
      </c>
      <c r="F26" s="11" t="n">
        <f aca="false">F25*(1-C25)*(1-E25)</f>
        <v>0.517281065049269</v>
      </c>
      <c r="G26" s="11" t="n">
        <f aca="false">G25*(1-C25)</f>
        <v>0.628638745907942</v>
      </c>
      <c r="H26" s="11" t="n">
        <f aca="false">Discount!C26</f>
        <v>0.503189904708666</v>
      </c>
      <c r="I26" s="5" t="n">
        <f aca="false">IF(B26&lt;Assumptions!$B$5,F26*H26,0)</f>
        <v>0</v>
      </c>
      <c r="J26" s="5" t="n">
        <f aca="false">IF(B26&lt;Assumptions!$B$5,F26*(1-C26)*E26*(B26-Assumptions!$B$4+1)*H26,0)</f>
        <v>0</v>
      </c>
      <c r="K26" s="12" t="n">
        <f aca="false">IF(B26&gt;=Assumptions!$B$5,F26*Assumptions!$B$9*(1+Assumptions!$B$10)^(B26-Assumptions!$B$4)*H26,0)</f>
        <v>6438.46386065013</v>
      </c>
      <c r="L26" s="48" t="n">
        <f aca="false">F26*Assumptions!$B$12*(1+Assumptions!$B$11)^(B26-Assumptions!$B$4+1)*H26</f>
        <v>36.7449272532078</v>
      </c>
      <c r="M26" s="48" t="n">
        <f aca="false">IF(B26&lt;Assumptions!$B$5,F26*(Pricing!$B$14-Pricing!$B$14*IF(B26=Assumptions!$B$4,Assumptions!$B$14,Assumptions!$B$15))-F26*Assumptions!$B$12*(1+Assumptions!$B$11)^(B26-Assumptions!$B$4+1),-F26*(Assumptions!$B$9*(1+Assumptions!$B$10)^(B26-Assumptions!$B$4)+Assumptions!$B$12*(1+Assumptions!$B$11)^(B26-Assumptions!$B$4+1)))</f>
        <v>-12868.3201457555</v>
      </c>
      <c r="N26" s="12" t="n">
        <f aca="false">M26*H26</f>
        <v>-6475.20878790334</v>
      </c>
      <c r="O26" s="48" t="n">
        <f aca="false">F26*(IF(B26&lt;Assumptions!$B$5,Assumptions!$B$12*(1+Assumptions!$B$11)^(B26-Assumptions!$B$4+1)+Pricing!$B$14*IF(B26=Assumptions!$B$4,Assumptions!$B$14,Assumptions!$B$15)-Pricing!$B$14,Assumptions!$B$9*(1+Assumptions!$B$10)^(B26-Assumptions!$B$4)+Assumptions!$B$12*(1+Assumptions!$B$11)^(B26-Assumptions!$B$4+1)))</f>
        <v>12868.3201457555</v>
      </c>
      <c r="P26" s="48" t="n">
        <f aca="false">O26*H26</f>
        <v>6475.20878790334</v>
      </c>
      <c r="Q26" s="11" t="n">
        <f aca="false">Q25*(1-MIN(1,C25*(1-Assumptions!$B$21)))*(1-IF(B25&lt;Assumptions!$B$5,E25,0))</f>
        <v>0.568289504069071</v>
      </c>
      <c r="R26" s="48" t="n">
        <f aca="false">Q26*(IF(B26&lt;Assumptions!$B$5,Assumptions!$B$12*(1+Assumptions!$B$11)^(B26-Assumptions!$B$4+1)+Pricing!$B$14*IF(B26=Assumptions!$B$4,Assumptions!$B$14,Assumptions!$B$15)-Pricing!$B$14,Assumptions!$B$9*(1+Assumptions!$B$10)^(B26-Assumptions!$B$4)+Assumptions!$B$12*(1+Assumptions!$B$11)^(B26-Assumptions!$B$4+1)))*H26</f>
        <v>7113.72102992169</v>
      </c>
      <c r="S26" s="11" t="n">
        <f aca="false">S25*(1-MIN(1,C25))*(1-IF(B25&lt;Assumptions!$B$5,E25*(1+Assumptions!$B$23),0))</f>
        <v>0.468593977628387</v>
      </c>
      <c r="T26" s="48" t="n">
        <f aca="false">S26*(IF(B26&lt;Assumptions!$B$5,Assumptions!$B$12*(1+Assumptions!$B$11)^(B26-Assumptions!$B$4+1)+Pricing!$B$14*IF(B26=Assumptions!$B$4,Assumptions!$B$14,Assumptions!$B$15)-Pricing!$B$14,Assumptions!$B$9*(1+Assumptions!$B$10)^(B26-Assumptions!$B$4)+Assumptions!$B$12*(1+Assumptions!$B$11)^(B26-Assumptions!$B$4+1)))*H26</f>
        <v>5865.75470650353</v>
      </c>
      <c r="U26" s="11" t="n">
        <f aca="false">U25*(1-MIN(1,C25))*(1-IF(B25&lt;Assumptions!$B$5,E25*(1-Assumptions!$B$23),0))</f>
        <v>0.57050283400579</v>
      </c>
      <c r="V26" s="48" t="n">
        <f aca="false">U26*(IF(B26&lt;Assumptions!$B$5,Assumptions!$B$12*(1+Assumptions!$B$11)^(B26-Assumptions!$B$4+1)+Pricing!$B$14*IF(B26=Assumptions!$B$4,Assumptions!$B$14,Assumptions!$B$15)-Pricing!$B$14,Assumptions!$B$9*(1+Assumptions!$B$10)^(B26-Assumptions!$B$4)+Assumptions!$B$12*(1+Assumptions!$B$11)^(B26-Assumptions!$B$4+1)))*H26</f>
        <v>7141.42699950983</v>
      </c>
      <c r="W26" s="48" t="n">
        <f aca="false">F26*(IF(B26&lt;Assumptions!$B$5,Assumptions!$B$12*(1+Assumptions!$B$11)*(1+Assumptions!$B$24)*(1+Assumptions!$B$11+Assumptions!$B$25)^(B26-Assumptions!$B$4)+Pricing!$B$14*IF(B26=Assumptions!$B$4,Assumptions!$B$14,Assumptions!$B$15)-Pricing!$B$14,Assumptions!$B$9*(1+Assumptions!$B$10)^(B26-Assumptions!$B$4)+Assumptions!$B$12*(1+Assumptions!$B$11)*(1+Assumptions!$B$24)*(1+Assumptions!$B$11+Assumptions!$B$25)^(B26-Assumptions!$B$4)))*H26</f>
        <v>6488.50794344035</v>
      </c>
      <c r="X26" s="5" t="n">
        <f aca="false">IF(B26&lt;Assumptions!$B$5,G26*H26,0)</f>
        <v>0</v>
      </c>
      <c r="Y26" s="12" t="n">
        <f aca="false">IF(B26&gt;=Assumptions!$B$5,G26*Assumptions!$B$9*(1+Assumptions!$B$10)^(B26-Assumptions!$B$4)*H26,0)</f>
        <v>7824.50416302633</v>
      </c>
      <c r="Z26" s="48" t="n">
        <f aca="false">IF(B26&lt;Assumptions!$B$5,F26*Pricing!$B$14*H26,0)</f>
        <v>0</v>
      </c>
      <c r="AA26" s="48" t="n">
        <f aca="false">IF(B26&lt;Assumptions!$B$5,Q26*Pricing!$B$14*H26,0)</f>
        <v>0</v>
      </c>
      <c r="AB26" s="48" t="n">
        <f aca="false">IF(B26&lt;Assumptions!$B$5,U26*Pricing!$B$14*H26,0)</f>
        <v>0</v>
      </c>
      <c r="AC26" s="48" t="n">
        <f aca="false">IF(B26&lt;Assumptions!$B$5,F26*(Pricing!$B$14-Pricing!$B$14*IF(B26=Assumptions!$B$4,Assumptions!$B$14,Assumptions!$B$15))*H26,0)</f>
        <v>0</v>
      </c>
      <c r="AD26" s="48" t="n">
        <f aca="false">IF(B26&lt;Assumptions!$B$5,F26*Pricing!$B$14*IF(B26=Assumptions!$B$4,Assumptions!$B$14,Assumptions!$B$15)*H26,0)</f>
        <v>0</v>
      </c>
    </row>
    <row r="27" customFormat="false" ht="15" hidden="false" customHeight="true" outlineLevel="0" collapsed="false">
      <c r="B27" s="34" t="n">
        <f aca="false">B26+1</f>
        <v>88</v>
      </c>
      <c r="C27" s="32" t="n">
        <f aca="false">IFERROR(INDEX(Cohort_Survival!$B$5:$AA$65,B27-59,Assumptions!$B$4-59),1)</f>
        <v>0.0724292596507697</v>
      </c>
      <c r="D27" s="5" t="n">
        <f aca="false">IF(B27&lt;Assumptions!$B$5,IF(B27-Assumptions!$B$4+1=1,Assumptions!$B$16,IF(B27-Assumptions!$B$4+1=2,Assumptions!$B$17,IF(B27-Assumptions!$B$4+1&lt;=5,Assumptions!$B$18,Assumptions!$B$19))),0)</f>
        <v>0</v>
      </c>
      <c r="E27" s="5" t="n">
        <f aca="false">D27*(1-Assumptions!$B$20)</f>
        <v>0</v>
      </c>
      <c r="F27" s="11" t="n">
        <f aca="false">F26*(1-C26)*(1-E26)</f>
        <v>0.484226679255031</v>
      </c>
      <c r="G27" s="11" t="n">
        <f aca="false">G26*(1-C26)</f>
        <v>0.588468577238675</v>
      </c>
      <c r="H27" s="11" t="n">
        <f aca="false">Discount!C27</f>
        <v>0.487615455114014</v>
      </c>
      <c r="I27" s="5" t="n">
        <f aca="false">IF(B27&lt;Assumptions!$B$5,F27*H27,0)</f>
        <v>0</v>
      </c>
      <c r="J27" s="5" t="n">
        <f aca="false">IF(B27&lt;Assumptions!$B$5,F27*(1-C27)*E27*(B27-Assumptions!$B$4+1)*H27,0)</f>
        <v>0</v>
      </c>
      <c r="K27" s="12" t="n">
        <f aca="false">IF(B27&gt;=Assumptions!$B$5,F27*Assumptions!$B$9*(1+Assumptions!$B$10)^(B27-Assumptions!$B$4)*H27,0)</f>
        <v>5957.30875625763</v>
      </c>
      <c r="L27" s="48" t="n">
        <f aca="false">F27*Assumptions!$B$12*(1+Assumptions!$B$11)^(B27-Assumptions!$B$4+1)*H27</f>
        <v>34.1655906049395</v>
      </c>
      <c r="M27" s="48" t="n">
        <f aca="false">IF(B27&lt;Assumptions!$B$5,F27*(Pricing!$B$14-Pricing!$B$14*IF(B27=Assumptions!$B$4,Assumptions!$B$14,Assumptions!$B$15))-F27*Assumptions!$B$12*(1+Assumptions!$B$11)^(B27-Assumptions!$B$4+1),-F27*(Assumptions!$B$9*(1+Assumptions!$B$10)^(B27-Assumptions!$B$4)+Assumptions!$B$12*(1+Assumptions!$B$11)^(B27-Assumptions!$B$4+1)))</f>
        <v>-12287.2937763256</v>
      </c>
      <c r="N27" s="12" t="n">
        <f aca="false">M27*H27</f>
        <v>-5991.47434686257</v>
      </c>
      <c r="O27" s="48" t="n">
        <f aca="false">F27*(IF(B27&lt;Assumptions!$B$5,Assumptions!$B$12*(1+Assumptions!$B$11)^(B27-Assumptions!$B$4+1)+Pricing!$B$14*IF(B27=Assumptions!$B$4,Assumptions!$B$14,Assumptions!$B$15)-Pricing!$B$14,Assumptions!$B$9*(1+Assumptions!$B$10)^(B27-Assumptions!$B$4)+Assumptions!$B$12*(1+Assumptions!$B$11)^(B27-Assumptions!$B$4+1)))</f>
        <v>12287.2937763256</v>
      </c>
      <c r="P27" s="48" t="n">
        <f aca="false">O27*H27</f>
        <v>5991.47434686257</v>
      </c>
      <c r="Q27" s="11" t="n">
        <f aca="false">Q26*(1-MIN(1,C26*(1-Assumptions!$B$21)))*(1-IF(B26&lt;Assumptions!$B$5,E26,0))</f>
        <v>0.539238434111927</v>
      </c>
      <c r="R27" s="48" t="n">
        <f aca="false">Q27*(IF(B27&lt;Assumptions!$B$5,Assumptions!$B$12*(1+Assumptions!$B$11)^(B27-Assumptions!$B$4+1)+Pricing!$B$14*IF(B27=Assumptions!$B$4,Assumptions!$B$14,Assumptions!$B$15)-Pricing!$B$14,Assumptions!$B$9*(1+Assumptions!$B$10)^(B27-Assumptions!$B$4)+Assumptions!$B$12*(1+Assumptions!$B$11)^(B27-Assumptions!$B$4+1)))*H27</f>
        <v>6672.15042713982</v>
      </c>
      <c r="S27" s="11" t="n">
        <f aca="false">S26*(1-MIN(1,C26))*(1-IF(B26&lt;Assumptions!$B$5,E26*(1+Assumptions!$B$23),0))</f>
        <v>0.438650708554909</v>
      </c>
      <c r="T27" s="48" t="n">
        <f aca="false">S27*(IF(B27&lt;Assumptions!$B$5,Assumptions!$B$12*(1+Assumptions!$B$11)^(B27-Assumptions!$B$4+1)+Pricing!$B$14*IF(B27=Assumptions!$B$4,Assumptions!$B$14,Assumptions!$B$15)-Pricing!$B$14,Assumptions!$B$9*(1+Assumptions!$B$10)^(B27-Assumptions!$B$4)+Assumptions!$B$12*(1+Assumptions!$B$11)^(B27-Assumptions!$B$4+1)))*H27</f>
        <v>5427.54990613731</v>
      </c>
      <c r="U27" s="11" t="n">
        <f aca="false">U26*(1-MIN(1,C26))*(1-IF(B26&lt;Assumptions!$B$5,E26*(1-Assumptions!$B$23),0))</f>
        <v>0.534047564238401</v>
      </c>
      <c r="V27" s="48" t="n">
        <f aca="false">U27*(IF(B27&lt;Assumptions!$B$5,Assumptions!$B$12*(1+Assumptions!$B$11)^(B27-Assumptions!$B$4+1)+Pricing!$B$14*IF(B27=Assumptions!$B$4,Assumptions!$B$14,Assumptions!$B$15)-Pricing!$B$14,Assumptions!$B$9*(1+Assumptions!$B$10)^(B27-Assumptions!$B$4)+Assumptions!$B$12*(1+Assumptions!$B$11)^(B27-Assumptions!$B$4+1)))*H27</f>
        <v>6607.92231865769</v>
      </c>
      <c r="W27" s="48" t="n">
        <f aca="false">F27*(IF(B27&lt;Assumptions!$B$5,Assumptions!$B$12*(1+Assumptions!$B$11)*(1+Assumptions!$B$24)*(1+Assumptions!$B$11+Assumptions!$B$25)^(B27-Assumptions!$B$4)+Pricing!$B$14*IF(B27=Assumptions!$B$4,Assumptions!$B$14,Assumptions!$B$15)-Pricing!$B$14,Assumptions!$B$9*(1+Assumptions!$B$10)^(B27-Assumptions!$B$4)+Assumptions!$B$12*(1+Assumptions!$B$11)*(1+Assumptions!$B$24)*(1+Assumptions!$B$11+Assumptions!$B$25)^(B27-Assumptions!$B$4)))*H27</f>
        <v>6004.29392154242</v>
      </c>
      <c r="X27" s="5" t="n">
        <f aca="false">IF(B27&lt;Assumptions!$B$5,G27*H27,0)</f>
        <v>0</v>
      </c>
      <c r="Y27" s="12" t="n">
        <f aca="false">IF(B27&gt;=Assumptions!$B$5,G27*Assumptions!$B$9*(1+Assumptions!$B$10)^(B27-Assumptions!$B$4)*H27,0)</f>
        <v>7239.76839392623</v>
      </c>
      <c r="Z27" s="48" t="n">
        <f aca="false">IF(B27&lt;Assumptions!$B$5,F27*Pricing!$B$14*H27,0)</f>
        <v>0</v>
      </c>
      <c r="AA27" s="48" t="n">
        <f aca="false">IF(B27&lt;Assumptions!$B$5,Q27*Pricing!$B$14*H27,0)</f>
        <v>0</v>
      </c>
      <c r="AB27" s="48" t="n">
        <f aca="false">IF(B27&lt;Assumptions!$B$5,U27*Pricing!$B$14*H27,0)</f>
        <v>0</v>
      </c>
      <c r="AC27" s="48" t="n">
        <f aca="false">IF(B27&lt;Assumptions!$B$5,F27*(Pricing!$B$14-Pricing!$B$14*IF(B27=Assumptions!$B$4,Assumptions!$B$14,Assumptions!$B$15))*H27,0)</f>
        <v>0</v>
      </c>
      <c r="AD27" s="48" t="n">
        <f aca="false">IF(B27&lt;Assumptions!$B$5,F27*Pricing!$B$14*IF(B27=Assumptions!$B$4,Assumptions!$B$14,Assumptions!$B$15)*H27,0)</f>
        <v>0</v>
      </c>
    </row>
    <row r="28" customFormat="false" ht="15" hidden="false" customHeight="true" outlineLevel="0" collapsed="false">
      <c r="B28" s="34" t="n">
        <f aca="false">B27+1</f>
        <v>89</v>
      </c>
      <c r="C28" s="32" t="n">
        <f aca="false">IFERROR(INDEX(Cohort_Survival!$B$5:$AA$65,B28-59,Assumptions!$B$4-59),1)</f>
        <v>0.0820208565767702</v>
      </c>
      <c r="D28" s="5" t="n">
        <f aca="false">IF(B28&lt;Assumptions!$B$5,IF(B28-Assumptions!$B$4+1=1,Assumptions!$B$16,IF(B28-Assumptions!$B$4+1=2,Assumptions!$B$17,IF(B28-Assumptions!$B$4+1&lt;=5,Assumptions!$B$18,Assumptions!$B$19))),0)</f>
        <v>0</v>
      </c>
      <c r="E28" s="5" t="n">
        <f aca="false">D28*(1-Assumptions!$B$20)</f>
        <v>0</v>
      </c>
      <c r="F28" s="11" t="n">
        <f aca="false">F27*(1-C27)*(1-E27)</f>
        <v>0.449154499373439</v>
      </c>
      <c r="G28" s="11" t="n">
        <f aca="false">G27*(1-C27)</f>
        <v>0.545846233861536</v>
      </c>
      <c r="H28" s="11" t="n">
        <f aca="false">Discount!C28</f>
        <v>0.472403995889235</v>
      </c>
      <c r="I28" s="5" t="n">
        <f aca="false">IF(B28&lt;Assumptions!$B$5,F28*H28,0)</f>
        <v>0</v>
      </c>
      <c r="J28" s="5" t="n">
        <f aca="false">IF(B28&lt;Assumptions!$B$5,F28*(1-C28)*E28*(B28-Assumptions!$B$4+1)*H28,0)</f>
        <v>0</v>
      </c>
      <c r="K28" s="12" t="n">
        <f aca="false">IF(B28&gt;=Assumptions!$B$5,F28*Assumptions!$B$9*(1+Assumptions!$B$10)^(B28-Assumptions!$B$4)*H28,0)</f>
        <v>5460.51270588255</v>
      </c>
      <c r="L28" s="48" t="n">
        <f aca="false">F28*Assumptions!$B$12*(1+Assumptions!$B$11)^(B28-Assumptions!$B$4+1)*H28</f>
        <v>31.4699417343978</v>
      </c>
      <c r="M28" s="48" t="n">
        <f aca="false">IF(B28&lt;Assumptions!$B$5,F28*(Pricing!$B$14-Pricing!$B$14*IF(B28=Assumptions!$B$4,Assumptions!$B$14,Assumptions!$B$15))-F28*Assumptions!$B$12*(1+Assumptions!$B$11)^(B28-Assumptions!$B$4+1),-F28*(Assumptions!$B$9*(1+Assumptions!$B$10)^(B28-Assumptions!$B$4)+Assumptions!$B$12*(1+Assumptions!$B$11)^(B28-Assumptions!$B$4+1)))</f>
        <v>-11625.605827654</v>
      </c>
      <c r="N28" s="12" t="n">
        <f aca="false">M28*H28</f>
        <v>-5491.98264761695</v>
      </c>
      <c r="O28" s="48" t="n">
        <f aca="false">F28*(IF(B28&lt;Assumptions!$B$5,Assumptions!$B$12*(1+Assumptions!$B$11)^(B28-Assumptions!$B$4+1)+Pricing!$B$14*IF(B28=Assumptions!$B$4,Assumptions!$B$14,Assumptions!$B$15)-Pricing!$B$14,Assumptions!$B$9*(1+Assumptions!$B$10)^(B28-Assumptions!$B$4)+Assumptions!$B$12*(1+Assumptions!$B$11)^(B28-Assumptions!$B$4+1)))</f>
        <v>11625.605827654</v>
      </c>
      <c r="P28" s="48" t="n">
        <f aca="false">O28*H28</f>
        <v>5491.98264761695</v>
      </c>
      <c r="Q28" s="11" t="n">
        <f aca="false">Q27*(1-MIN(1,C27*(1-Assumptions!$B$21)))*(1-IF(B27&lt;Assumptions!$B$5,E27,0))</f>
        <v>0.507993121665554</v>
      </c>
      <c r="R28" s="48" t="n">
        <f aca="false">Q28*(IF(B28&lt;Assumptions!$B$5,Assumptions!$B$12*(1+Assumptions!$B$11)^(B28-Assumptions!$B$4+1)+Pricing!$B$14*IF(B28=Assumptions!$B$4,Assumptions!$B$14,Assumptions!$B$15)-Pricing!$B$14,Assumptions!$B$9*(1+Assumptions!$B$10)^(B28-Assumptions!$B$4)+Assumptions!$B$12*(1+Assumptions!$B$11)^(B28-Assumptions!$B$4+1)))*H28</f>
        <v>6211.42482862316</v>
      </c>
      <c r="S28" s="11" t="n">
        <f aca="false">S27*(1-MIN(1,C27))*(1-IF(B27&lt;Assumptions!$B$5,E27*(1+Assumptions!$B$23),0))</f>
        <v>0.406879562488992</v>
      </c>
      <c r="T28" s="48" t="n">
        <f aca="false">S28*(IF(B28&lt;Assumptions!$B$5,Assumptions!$B$12*(1+Assumptions!$B$11)^(B28-Assumptions!$B$4+1)+Pricing!$B$14*IF(B28=Assumptions!$B$4,Assumptions!$B$14,Assumptions!$B$15)-Pricing!$B$14,Assumptions!$B$9*(1+Assumptions!$B$10)^(B28-Assumptions!$B$4)+Assumptions!$B$12*(1+Assumptions!$B$11)^(B28-Assumptions!$B$4+1)))*H28</f>
        <v>4975.07093878989</v>
      </c>
      <c r="U28" s="11" t="n">
        <f aca="false">U27*(1-MIN(1,C27))*(1-IF(B27&lt;Assumptions!$B$5,E27*(1-Assumptions!$B$23),0))</f>
        <v>0.495366894542317</v>
      </c>
      <c r="V28" s="48" t="n">
        <f aca="false">U28*(IF(B28&lt;Assumptions!$B$5,Assumptions!$B$12*(1+Assumptions!$B$11)^(B28-Assumptions!$B$4+1)+Pricing!$B$14*IF(B28=Assumptions!$B$4,Assumptions!$B$14,Assumptions!$B$15)-Pricing!$B$14,Assumptions!$B$9*(1+Assumptions!$B$10)^(B28-Assumptions!$B$4)+Assumptions!$B$12*(1+Assumptions!$B$11)^(B28-Assumptions!$B$4+1)))*H28</f>
        <v>6057.03915428968</v>
      </c>
      <c r="W28" s="48" t="n">
        <f aca="false">F28*(IF(B28&lt;Assumptions!$B$5,Assumptions!$B$12*(1+Assumptions!$B$11)*(1+Assumptions!$B$24)*(1+Assumptions!$B$11+Assumptions!$B$25)^(B28-Assumptions!$B$4)+Pricing!$B$14*IF(B28=Assumptions!$B$4,Assumptions!$B$14,Assumptions!$B$15)-Pricing!$B$14,Assumptions!$B$9*(1+Assumptions!$B$10)^(B28-Assumptions!$B$4)+Assumptions!$B$12*(1+Assumptions!$B$11)*(1+Assumptions!$B$24)*(1+Assumptions!$B$11+Assumptions!$B$25)^(B28-Assumptions!$B$4)))*H28</f>
        <v>5504.21298890038</v>
      </c>
      <c r="X28" s="5" t="n">
        <f aca="false">IF(B28&lt;Assumptions!$B$5,G28*H28,0)</f>
        <v>0</v>
      </c>
      <c r="Y28" s="12" t="n">
        <f aca="false">IF(B28&gt;=Assumptions!$B$5,G28*Assumptions!$B$9*(1+Assumptions!$B$10)^(B28-Assumptions!$B$4)*H28,0)</f>
        <v>6636.02457420984</v>
      </c>
      <c r="Z28" s="48" t="n">
        <f aca="false">IF(B28&lt;Assumptions!$B$5,F28*Pricing!$B$14*H28,0)</f>
        <v>0</v>
      </c>
      <c r="AA28" s="48" t="n">
        <f aca="false">IF(B28&lt;Assumptions!$B$5,Q28*Pricing!$B$14*H28,0)</f>
        <v>0</v>
      </c>
      <c r="AB28" s="48" t="n">
        <f aca="false">IF(B28&lt;Assumptions!$B$5,U28*Pricing!$B$14*H28,0)</f>
        <v>0</v>
      </c>
      <c r="AC28" s="48" t="n">
        <f aca="false">IF(B28&lt;Assumptions!$B$5,F28*(Pricing!$B$14-Pricing!$B$14*IF(B28=Assumptions!$B$4,Assumptions!$B$14,Assumptions!$B$15))*H28,0)</f>
        <v>0</v>
      </c>
      <c r="AD28" s="48" t="n">
        <f aca="false">IF(B28&lt;Assumptions!$B$5,F28*Pricing!$B$14*IF(B28=Assumptions!$B$4,Assumptions!$B$14,Assumptions!$B$15)*H28,0)</f>
        <v>0</v>
      </c>
    </row>
    <row r="29" customFormat="false" ht="15" hidden="false" customHeight="true" outlineLevel="0" collapsed="false">
      <c r="B29" s="34" t="n">
        <f aca="false">B28+1</f>
        <v>90</v>
      </c>
      <c r="C29" s="32" t="n">
        <f aca="false">IFERROR(INDEX(Cohort_Survival!$B$5:$AA$65,B29-59,Assumptions!$B$4-59),1)</f>
        <v>0.0957207078139081</v>
      </c>
      <c r="D29" s="5" t="n">
        <f aca="false">IF(B29&lt;Assumptions!$B$5,IF(B29-Assumptions!$B$4+1=1,Assumptions!$B$16,IF(B29-Assumptions!$B$4+1=2,Assumptions!$B$17,IF(B29-Assumptions!$B$4+1&lt;=5,Assumptions!$B$18,Assumptions!$B$19))),0)</f>
        <v>0</v>
      </c>
      <c r="E29" s="5" t="n">
        <f aca="false">D29*(1-Assumptions!$B$20)</f>
        <v>0</v>
      </c>
      <c r="F29" s="11" t="n">
        <f aca="false">F28*(1-C28)*(1-E28)</f>
        <v>0.412314462599519</v>
      </c>
      <c r="G29" s="11" t="n">
        <f aca="false">G28*(1-C28)</f>
        <v>0.501075458201009</v>
      </c>
      <c r="H29" s="11" t="n">
        <f aca="false">Discount!C29</f>
        <v>0.457760232732789</v>
      </c>
      <c r="I29" s="5" t="n">
        <f aca="false">IF(B29&lt;Assumptions!$B$5,F29*H29,0)</f>
        <v>0</v>
      </c>
      <c r="J29" s="5" t="n">
        <f aca="false">IF(B29&lt;Assumptions!$B$5,F29*(1-C29)*E29*(B29-Assumptions!$B$4+1)*H29,0)</f>
        <v>0</v>
      </c>
      <c r="K29" s="12" t="n">
        <f aca="false">IF(B29&gt;=Assumptions!$B$5,F29*Assumptions!$B$9*(1+Assumptions!$B$10)^(B29-Assumptions!$B$4)*H29,0)</f>
        <v>4954.39817038488</v>
      </c>
      <c r="L29" s="48" t="n">
        <f aca="false">F29*Assumptions!$B$12*(1+Assumptions!$B$11)^(B29-Assumptions!$B$4+1)*H29</f>
        <v>28.6930765574001</v>
      </c>
      <c r="M29" s="48" t="n">
        <f aca="false">IF(B29&lt;Assumptions!$B$5,F29*(Pricing!$B$14-Pricing!$B$14*IF(B29=Assumptions!$B$4,Assumptions!$B$14,Assumptions!$B$15))-F29*Assumptions!$B$12*(1+Assumptions!$B$11)^(B29-Assumptions!$B$4+1),-F29*(Assumptions!$B$9*(1+Assumptions!$B$10)^(B29-Assumptions!$B$4)+Assumptions!$B$12*(1+Assumptions!$B$11)^(B29-Assumptions!$B$4+1)))</f>
        <v>-10885.8107162207</v>
      </c>
      <c r="N29" s="12" t="n">
        <f aca="false">M29*H29</f>
        <v>-4983.09124694229</v>
      </c>
      <c r="O29" s="48" t="n">
        <f aca="false">F29*(IF(B29&lt;Assumptions!$B$5,Assumptions!$B$12*(1+Assumptions!$B$11)^(B29-Assumptions!$B$4+1)+Pricing!$B$14*IF(B29=Assumptions!$B$4,Assumptions!$B$14,Assumptions!$B$15)-Pricing!$B$14,Assumptions!$B$9*(1+Assumptions!$B$10)^(B29-Assumptions!$B$4)+Assumptions!$B$12*(1+Assumptions!$B$11)^(B29-Assumptions!$B$4+1)))</f>
        <v>10885.8107162207</v>
      </c>
      <c r="P29" s="48" t="n">
        <f aca="false">O29*H29</f>
        <v>4983.09124694229</v>
      </c>
      <c r="Q29" s="11" t="n">
        <f aca="false">Q28*(1-MIN(1,C28*(1-Assumptions!$B$21)))*(1-IF(B28&lt;Assumptions!$B$5,E28,0))</f>
        <v>0.474660296886261</v>
      </c>
      <c r="R29" s="48" t="n">
        <f aca="false">Q29*(IF(B29&lt;Assumptions!$B$5,Assumptions!$B$12*(1+Assumptions!$B$11)^(B29-Assumptions!$B$4+1)+Pricing!$B$14*IF(B29=Assumptions!$B$4,Assumptions!$B$14,Assumptions!$B$15)-Pricing!$B$14,Assumptions!$B$9*(1+Assumptions!$B$10)^(B29-Assumptions!$B$4)+Assumptions!$B$12*(1+Assumptions!$B$11)^(B29-Assumptions!$B$4+1)))*H29</f>
        <v>5736.58162697616</v>
      </c>
      <c r="S29" s="11" t="n">
        <f aca="false">S28*(1-MIN(1,C28))*(1-IF(B28&lt;Assumptions!$B$5,E28*(1+Assumptions!$B$23),0))</f>
        <v>0.373506952250063</v>
      </c>
      <c r="T29" s="48" t="n">
        <f aca="false">S29*(IF(B29&lt;Assumptions!$B$5,Assumptions!$B$12*(1+Assumptions!$B$11)^(B29-Assumptions!$B$4+1)+Pricing!$B$14*IF(B29=Assumptions!$B$4,Assumptions!$B$14,Assumptions!$B$15)-Pricing!$B$14,Assumptions!$B$9*(1+Assumptions!$B$10)^(B29-Assumptions!$B$4)+Assumptions!$B$12*(1+Assumptions!$B$11)^(B29-Assumptions!$B$4+1)))*H29</f>
        <v>4514.07698069806</v>
      </c>
      <c r="U29" s="11" t="n">
        <f aca="false">U28*(1-MIN(1,C28))*(1-IF(B28&lt;Assumptions!$B$5,E28*(1-Assumptions!$B$23),0))</f>
        <v>0.454736477532182</v>
      </c>
      <c r="V29" s="48" t="n">
        <f aca="false">U29*(IF(B29&lt;Assumptions!$B$5,Assumptions!$B$12*(1+Assumptions!$B$11)^(B29-Assumptions!$B$4+1)+Pricing!$B$14*IF(B29=Assumptions!$B$4,Assumptions!$B$14,Assumptions!$B$15)-Pricing!$B$14,Assumptions!$B$9*(1+Assumptions!$B$10)^(B29-Assumptions!$B$4)+Assumptions!$B$12*(1+Assumptions!$B$11)^(B29-Assumptions!$B$4+1)))*H29</f>
        <v>5495.78917646879</v>
      </c>
      <c r="W29" s="48" t="n">
        <f aca="false">F29*(IF(B29&lt;Assumptions!$B$5,Assumptions!$B$12*(1+Assumptions!$B$11)*(1+Assumptions!$B$24)*(1+Assumptions!$B$11+Assumptions!$B$25)^(B29-Assumptions!$B$4)+Pricing!$B$14*IF(B29=Assumptions!$B$4,Assumptions!$B$14,Assumptions!$B$15)-Pricing!$B$14,Assumptions!$B$9*(1+Assumptions!$B$10)^(B29-Assumptions!$B$4)+Assumptions!$B$12*(1+Assumptions!$B$11)*(1+Assumptions!$B$24)*(1+Assumptions!$B$11+Assumptions!$B$25)^(B29-Assumptions!$B$4)))*H29</f>
        <v>4994.63112360646</v>
      </c>
      <c r="X29" s="5" t="n">
        <f aca="false">IF(B29&lt;Assumptions!$B$5,G29*H29,0)</f>
        <v>0</v>
      </c>
      <c r="Y29" s="12" t="n">
        <f aca="false">IF(B29&gt;=Assumptions!$B$5,G29*Assumptions!$B$9*(1+Assumptions!$B$10)^(B29-Assumptions!$B$4)*H29,0)</f>
        <v>6020.95623249366</v>
      </c>
      <c r="Z29" s="48" t="n">
        <f aca="false">IF(B29&lt;Assumptions!$B$5,F29*Pricing!$B$14*H29,0)</f>
        <v>0</v>
      </c>
      <c r="AA29" s="48" t="n">
        <f aca="false">IF(B29&lt;Assumptions!$B$5,Q29*Pricing!$B$14*H29,0)</f>
        <v>0</v>
      </c>
      <c r="AB29" s="48" t="n">
        <f aca="false">IF(B29&lt;Assumptions!$B$5,U29*Pricing!$B$14*H29,0)</f>
        <v>0</v>
      </c>
      <c r="AC29" s="48" t="n">
        <f aca="false">IF(B29&lt;Assumptions!$B$5,F29*(Pricing!$B$14-Pricing!$B$14*IF(B29=Assumptions!$B$4,Assumptions!$B$14,Assumptions!$B$15))*H29,0)</f>
        <v>0</v>
      </c>
      <c r="AD29" s="48" t="n">
        <f aca="false">IF(B29&lt;Assumptions!$B$5,F29*Pricing!$B$14*IF(B29=Assumptions!$B$4,Assumptions!$B$14,Assumptions!$B$15)*H29,0)</f>
        <v>0</v>
      </c>
    </row>
    <row r="30" customFormat="false" ht="15" hidden="false" customHeight="true" outlineLevel="0" collapsed="false">
      <c r="B30" s="34" t="n">
        <f aca="false">B29+1</f>
        <v>91</v>
      </c>
      <c r="C30" s="32" t="n">
        <f aca="false">IFERROR(INDEX(Cohort_Survival!$B$5:$AA$65,B30-59,Assumptions!$B$4-59),1)</f>
        <v>0.107881542198355</v>
      </c>
      <c r="D30" s="5" t="n">
        <f aca="false">IF(B30&lt;Assumptions!$B$5,IF(B30-Assumptions!$B$4+1=1,Assumptions!$B$16,IF(B30-Assumptions!$B$4+1=2,Assumptions!$B$17,IF(B30-Assumptions!$B$4+1&lt;=5,Assumptions!$B$18,Assumptions!$B$19))),0)</f>
        <v>0</v>
      </c>
      <c r="E30" s="5" t="n">
        <f aca="false">D30*(1-Assumptions!$B$20)</f>
        <v>0</v>
      </c>
      <c r="F30" s="11" t="n">
        <f aca="false">F29*(1-C29)*(1-E29)</f>
        <v>0.372847430397582</v>
      </c>
      <c r="G30" s="11" t="n">
        <f aca="false">G29*(1-C29)</f>
        <v>0.45311216067383</v>
      </c>
      <c r="H30" s="11" t="n">
        <f aca="false">Discount!C30</f>
        <v>0.443450043931947</v>
      </c>
      <c r="I30" s="5" t="n">
        <f aca="false">IF(B30&lt;Assumptions!$B$5,F30*H30,0)</f>
        <v>0</v>
      </c>
      <c r="J30" s="5" t="n">
        <f aca="false">IF(B30&lt;Assumptions!$B$5,F30*(1-C30)*E30*(B30-Assumptions!$B$4+1)*H30,0)</f>
        <v>0</v>
      </c>
      <c r="K30" s="12" t="n">
        <f aca="false">IF(B30&gt;=Assumptions!$B$5,F30*Assumptions!$B$9*(1+Assumptions!$B$10)^(B30-Assumptions!$B$4)*H30,0)</f>
        <v>4426.90604809172</v>
      </c>
      <c r="L30" s="48" t="n">
        <f aca="false">F30*Assumptions!$B$12*(1+Assumptions!$B$11)^(B30-Assumptions!$B$4+1)*H30</f>
        <v>25.7638172059967</v>
      </c>
      <c r="M30" s="48" t="n">
        <f aca="false">IF(B30&lt;Assumptions!$B$5,F30*(Pricing!$B$14-Pricing!$B$14*IF(B30=Assumptions!$B$4,Assumptions!$B$14,Assumptions!$B$15))-F30*Assumptions!$B$12*(1+Assumptions!$B$11)^(B30-Assumptions!$B$4+1),-F30*(Assumptions!$B$9*(1+Assumptions!$B$10)^(B30-Assumptions!$B$4)+Assumptions!$B$12*(1+Assumptions!$B$11)^(B30-Assumptions!$B$4+1)))</f>
        <v>-10040.9728812228</v>
      </c>
      <c r="N30" s="12" t="n">
        <f aca="false">M30*H30</f>
        <v>-4452.66986529772</v>
      </c>
      <c r="O30" s="48" t="n">
        <f aca="false">F30*(IF(B30&lt;Assumptions!$B$5,Assumptions!$B$12*(1+Assumptions!$B$11)^(B30-Assumptions!$B$4+1)+Pricing!$B$14*IF(B30=Assumptions!$B$4,Assumptions!$B$14,Assumptions!$B$15)-Pricing!$B$14,Assumptions!$B$9*(1+Assumptions!$B$10)^(B30-Assumptions!$B$4)+Assumptions!$B$12*(1+Assumptions!$B$11)^(B30-Assumptions!$B$4+1)))</f>
        <v>10040.9728812228</v>
      </c>
      <c r="P30" s="48" t="n">
        <f aca="false">O30*H30</f>
        <v>4452.66986529772</v>
      </c>
      <c r="Q30" s="11" t="n">
        <f aca="false">Q29*(1-MIN(1,C29*(1-Assumptions!$B$21)))*(1-IF(B29&lt;Assumptions!$B$5,E29,0))</f>
        <v>0.438312441214971</v>
      </c>
      <c r="R30" s="48" t="n">
        <f aca="false">Q30*(IF(B30&lt;Assumptions!$B$5,Assumptions!$B$12*(1+Assumptions!$B$11)^(B30-Assumptions!$B$4+1)+Pricing!$B$14*IF(B30=Assumptions!$B$4,Assumptions!$B$14,Assumptions!$B$15)-Pricing!$B$14,Assumptions!$B$9*(1+Assumptions!$B$10)^(B30-Assumptions!$B$4)+Assumptions!$B$12*(1+Assumptions!$B$11)^(B30-Assumptions!$B$4+1)))*H30</f>
        <v>5234.47512163848</v>
      </c>
      <c r="S30" s="11" t="n">
        <f aca="false">S29*(1-MIN(1,C29))*(1-IF(B29&lt;Assumptions!$B$5,E29*(1+Assumptions!$B$23),0))</f>
        <v>0.337754602407272</v>
      </c>
      <c r="T30" s="48" t="n">
        <f aca="false">S30*(IF(B30&lt;Assumptions!$B$5,Assumptions!$B$12*(1+Assumptions!$B$11)^(B30-Assumptions!$B$4+1)+Pricing!$B$14*IF(B30=Assumptions!$B$4,Assumptions!$B$14,Assumptions!$B$15)-Pricing!$B$14,Assumptions!$B$9*(1+Assumptions!$B$10)^(B30-Assumptions!$B$4)+Assumptions!$B$12*(1+Assumptions!$B$11)^(B30-Assumptions!$B$4+1)))*H30</f>
        <v>4033.5794681508</v>
      </c>
      <c r="U30" s="11" t="n">
        <f aca="false">U29*(1-MIN(1,C29))*(1-IF(B29&lt;Assumptions!$B$5,E29*(1-Assumptions!$B$23),0))</f>
        <v>0.411208780033998</v>
      </c>
      <c r="V30" s="48" t="n">
        <f aca="false">U30*(IF(B30&lt;Assumptions!$B$5,Assumptions!$B$12*(1+Assumptions!$B$11)^(B30-Assumptions!$B$4+1)+Pricing!$B$14*IF(B30=Assumptions!$B$4,Assumptions!$B$14,Assumptions!$B$15)-Pricing!$B$14,Assumptions!$B$9*(1+Assumptions!$B$10)^(B30-Assumptions!$B$4)+Assumptions!$B$12*(1+Assumptions!$B$11)^(B30-Assumptions!$B$4+1)))*H30</f>
        <v>4910.79405120421</v>
      </c>
      <c r="W30" s="48" t="n">
        <f aca="false">F30*(IF(B30&lt;Assumptions!$B$5,Assumptions!$B$12*(1+Assumptions!$B$11)*(1+Assumptions!$B$24)*(1+Assumptions!$B$11+Assumptions!$B$25)^(B30-Assumptions!$B$4)+Pricing!$B$14*IF(B30=Assumptions!$B$4,Assumptions!$B$14,Assumptions!$B$15)-Pricing!$B$14,Assumptions!$B$9*(1+Assumptions!$B$10)^(B30-Assumptions!$B$4)+Assumptions!$B$12*(1+Assumptions!$B$11)*(1+Assumptions!$B$24)*(1+Assumptions!$B$11+Assumptions!$B$25)^(B30-Assumptions!$B$4)))*H30</f>
        <v>4463.38408754942</v>
      </c>
      <c r="X30" s="5" t="n">
        <f aca="false">IF(B30&lt;Assumptions!$B$5,G30*H30,0)</f>
        <v>0</v>
      </c>
      <c r="Y30" s="12" t="n">
        <f aca="false">IF(B30&gt;=Assumptions!$B$5,G30*Assumptions!$B$9*(1+Assumptions!$B$10)^(B30-Assumptions!$B$4)*H30,0)</f>
        <v>5379.90824400194</v>
      </c>
      <c r="Z30" s="48" t="n">
        <f aca="false">IF(B30&lt;Assumptions!$B$5,F30*Pricing!$B$14*H30,0)</f>
        <v>0</v>
      </c>
      <c r="AA30" s="48" t="n">
        <f aca="false">IF(B30&lt;Assumptions!$B$5,Q30*Pricing!$B$14*H30,0)</f>
        <v>0</v>
      </c>
      <c r="AB30" s="48" t="n">
        <f aca="false">IF(B30&lt;Assumptions!$B$5,U30*Pricing!$B$14*H30,0)</f>
        <v>0</v>
      </c>
      <c r="AC30" s="48" t="n">
        <f aca="false">IF(B30&lt;Assumptions!$B$5,F30*(Pricing!$B$14-Pricing!$B$14*IF(B30=Assumptions!$B$4,Assumptions!$B$14,Assumptions!$B$15))*H30,0)</f>
        <v>0</v>
      </c>
      <c r="AD30" s="48" t="n">
        <f aca="false">IF(B30&lt;Assumptions!$B$5,F30*Pricing!$B$14*IF(B30=Assumptions!$B$4,Assumptions!$B$14,Assumptions!$B$15)*H30,0)</f>
        <v>0</v>
      </c>
    </row>
    <row r="31" customFormat="false" ht="15" hidden="false" customHeight="true" outlineLevel="0" collapsed="false">
      <c r="B31" s="34" t="n">
        <f aca="false">B30+1</f>
        <v>92</v>
      </c>
      <c r="C31" s="32" t="n">
        <f aca="false">IFERROR(INDEX(Cohort_Survival!$B$5:$AA$65,B31-59,Assumptions!$B$4-59),1)</f>
        <v>0.120257056705328</v>
      </c>
      <c r="D31" s="5" t="n">
        <f aca="false">IF(B31&lt;Assumptions!$B$5,IF(B31-Assumptions!$B$4+1=1,Assumptions!$B$16,IF(B31-Assumptions!$B$4+1=2,Assumptions!$B$17,IF(B31-Assumptions!$B$4+1&lt;=5,Assumptions!$B$18,Assumptions!$B$19))),0)</f>
        <v>0</v>
      </c>
      <c r="E31" s="5" t="n">
        <f aca="false">D31*(1-Assumptions!$B$20)</f>
        <v>0</v>
      </c>
      <c r="F31" s="11" t="n">
        <f aca="false">F30*(1-C30)*(1-E30)</f>
        <v>0.332624074601597</v>
      </c>
      <c r="G31" s="11" t="n">
        <f aca="false">G30*(1-C30)</f>
        <v>0.404229721991509</v>
      </c>
      <c r="H31" s="11" t="n">
        <f aca="false">Discount!C31</f>
        <v>0.429682986428135</v>
      </c>
      <c r="I31" s="5" t="n">
        <f aca="false">IF(B31&lt;Assumptions!$B$5,F31*H31,0)</f>
        <v>0</v>
      </c>
      <c r="J31" s="5" t="n">
        <f aca="false">IF(B31&lt;Assumptions!$B$5,F31*(1-C31)*E31*(B31-Assumptions!$B$4+1)*H31,0)</f>
        <v>0</v>
      </c>
      <c r="K31" s="12" t="n">
        <f aca="false">IF(B31&gt;=Assumptions!$B$5,F31*Assumptions!$B$9*(1+Assumptions!$B$10)^(B31-Assumptions!$B$4)*H31,0)</f>
        <v>3903.2507999586</v>
      </c>
      <c r="L31" s="48" t="n">
        <f aca="false">F31*Assumptions!$B$12*(1+Assumptions!$B$11)^(B31-Assumptions!$B$4+1)*H31</f>
        <v>22.8275895489327</v>
      </c>
      <c r="M31" s="48" t="n">
        <f aca="false">IF(B31&lt;Assumptions!$B$5,F31*(Pricing!$B$14-Pricing!$B$14*IF(B31=Assumptions!$B$4,Assumptions!$B$14,Assumptions!$B$15))-F31*Assumptions!$B$12*(1+Assumptions!$B$11)^(B31-Assumptions!$B$4+1),-F31*(Assumptions!$B$9*(1+Assumptions!$B$10)^(B31-Assumptions!$B$4)+Assumptions!$B$12*(1+Assumptions!$B$11)^(B31-Assumptions!$B$4+1)))</f>
        <v>-9137.15114052851</v>
      </c>
      <c r="N31" s="12" t="n">
        <f aca="false">M31*H31</f>
        <v>-3926.07838950753</v>
      </c>
      <c r="O31" s="48" t="n">
        <f aca="false">F31*(IF(B31&lt;Assumptions!$B$5,Assumptions!$B$12*(1+Assumptions!$B$11)^(B31-Assumptions!$B$4+1)+Pricing!$B$14*IF(B31=Assumptions!$B$4,Assumptions!$B$14,Assumptions!$B$15)-Pricing!$B$14,Assumptions!$B$9*(1+Assumptions!$B$10)^(B31-Assumptions!$B$4)+Assumptions!$B$12*(1+Assumptions!$B$11)^(B31-Assumptions!$B$4+1)))</f>
        <v>9137.15114052851</v>
      </c>
      <c r="P31" s="48" t="n">
        <f aca="false">O31*H31</f>
        <v>3926.07838950753</v>
      </c>
      <c r="Q31" s="11" t="n">
        <f aca="false">Q30*(1-MIN(1,C30*(1-Assumptions!$B$21)))*(1-IF(B30&lt;Assumptions!$B$5,E30,0))</f>
        <v>0.400483783516573</v>
      </c>
      <c r="R31" s="48" t="n">
        <f aca="false">Q31*(IF(B31&lt;Assumptions!$B$5,Assumptions!$B$12*(1+Assumptions!$B$11)^(B31-Assumptions!$B$4+1)+Pricing!$B$14*IF(B31=Assumptions!$B$4,Assumptions!$B$14,Assumptions!$B$15)-Pricing!$B$14,Assumptions!$B$9*(1+Assumptions!$B$10)^(B31-Assumptions!$B$4)+Assumptions!$B$12*(1+Assumptions!$B$11)^(B31-Assumptions!$B$4+1)))*H31</f>
        <v>4727.05028851535</v>
      </c>
      <c r="S31" s="11" t="n">
        <f aca="false">S30*(1-MIN(1,C30))*(1-IF(B30&lt;Assumptions!$B$5,E30*(1+Assumptions!$B$23),0))</f>
        <v>0.301317115014983</v>
      </c>
      <c r="T31" s="48" t="n">
        <f aca="false">S31*(IF(B31&lt;Assumptions!$B$5,Assumptions!$B$12*(1+Assumptions!$B$11)^(B31-Assumptions!$B$4+1)+Pricing!$B$14*IF(B31=Assumptions!$B$4,Assumptions!$B$14,Assumptions!$B$15)-Pricing!$B$14,Assumptions!$B$9*(1+Assumptions!$B$10)^(B31-Assumptions!$B$4)+Assumptions!$B$12*(1+Assumptions!$B$11)^(B31-Assumptions!$B$4+1)))*H31</f>
        <v>3556.5513863241</v>
      </c>
      <c r="U31" s="11" t="n">
        <f aca="false">U30*(1-MIN(1,C30))*(1-IF(B30&lt;Assumptions!$B$5,E30*(1-Assumptions!$B$23),0))</f>
        <v>0.366846942678426</v>
      </c>
      <c r="V31" s="48" t="n">
        <f aca="false">U31*(IF(B31&lt;Assumptions!$B$5,Assumptions!$B$12*(1+Assumptions!$B$11)^(B31-Assumptions!$B$4+1)+Pricing!$B$14*IF(B31=Assumptions!$B$4,Assumptions!$B$14,Assumptions!$B$15)-Pricing!$B$14,Assumptions!$B$9*(1+Assumptions!$B$10)^(B31-Assumptions!$B$4)+Assumptions!$B$12*(1+Assumptions!$B$11)^(B31-Assumptions!$B$4+1)))*H31</f>
        <v>4330.02288133164</v>
      </c>
      <c r="W31" s="48" t="n">
        <f aca="false">F31*(IF(B31&lt;Assumptions!$B$5,Assumptions!$B$12*(1+Assumptions!$B$11)*(1+Assumptions!$B$24)*(1+Assumptions!$B$11+Assumptions!$B$25)^(B31-Assumptions!$B$4)+Pricing!$B$14*IF(B31=Assumptions!$B$4,Assumptions!$B$14,Assumptions!$B$15)-Pricing!$B$14,Assumptions!$B$9*(1+Assumptions!$B$10)^(B31-Assumptions!$B$4)+Assumptions!$B$12*(1+Assumptions!$B$11)*(1+Assumptions!$B$24)*(1+Assumptions!$B$11+Assumptions!$B$25)^(B31-Assumptions!$B$4)))*H31</f>
        <v>3935.88686718947</v>
      </c>
      <c r="X31" s="5" t="n">
        <f aca="false">IF(B31&lt;Assumptions!$B$5,G31*H31,0)</f>
        <v>0</v>
      </c>
      <c r="Y31" s="12" t="n">
        <f aca="false">IF(B31&gt;=Assumptions!$B$5,G31*Assumptions!$B$9*(1+Assumptions!$B$10)^(B31-Assumptions!$B$4)*H31,0)</f>
        <v>4743.52311275194</v>
      </c>
      <c r="Z31" s="48" t="n">
        <f aca="false">IF(B31&lt;Assumptions!$B$5,F31*Pricing!$B$14*H31,0)</f>
        <v>0</v>
      </c>
      <c r="AA31" s="48" t="n">
        <f aca="false">IF(B31&lt;Assumptions!$B$5,Q31*Pricing!$B$14*H31,0)</f>
        <v>0</v>
      </c>
      <c r="AB31" s="48" t="n">
        <f aca="false">IF(B31&lt;Assumptions!$B$5,U31*Pricing!$B$14*H31,0)</f>
        <v>0</v>
      </c>
      <c r="AC31" s="48" t="n">
        <f aca="false">IF(B31&lt;Assumptions!$B$5,F31*(Pricing!$B$14-Pricing!$B$14*IF(B31=Assumptions!$B$4,Assumptions!$B$14,Assumptions!$B$15))*H31,0)</f>
        <v>0</v>
      </c>
      <c r="AD31" s="48" t="n">
        <f aca="false">IF(B31&lt;Assumptions!$B$5,F31*Pricing!$B$14*IF(B31=Assumptions!$B$4,Assumptions!$B$14,Assumptions!$B$15)*H31,0)</f>
        <v>0</v>
      </c>
    </row>
    <row r="32" customFormat="false" ht="15" hidden="false" customHeight="true" outlineLevel="0" collapsed="false">
      <c r="B32" s="34" t="n">
        <f aca="false">B31+1</f>
        <v>93</v>
      </c>
      <c r="C32" s="32" t="n">
        <f aca="false">IFERROR(INDEX(Cohort_Survival!$B$5:$AA$65,B32-59,Assumptions!$B$4-59),1)</f>
        <v>0.131970852932638</v>
      </c>
      <c r="D32" s="5" t="n">
        <f aca="false">IF(B32&lt;Assumptions!$B$5,IF(B32-Assumptions!$B$4+1=1,Assumptions!$B$16,IF(B32-Assumptions!$B$4+1=2,Assumptions!$B$17,IF(B32-Assumptions!$B$4+1&lt;=5,Assumptions!$B$18,Assumptions!$B$19))),0)</f>
        <v>0</v>
      </c>
      <c r="E32" s="5" t="n">
        <f aca="false">D32*(1-Assumptions!$B$20)</f>
        <v>0</v>
      </c>
      <c r="F32" s="11" t="n">
        <f aca="false">F31*(1-C31)*(1-E31)</f>
        <v>0.292623682400675</v>
      </c>
      <c r="G32" s="11" t="n">
        <f aca="false">G31*(1-C31)</f>
        <v>0.355618245391997</v>
      </c>
      <c r="H32" s="11" t="n">
        <f aca="false">Discount!C32</f>
        <v>0.41622229635922</v>
      </c>
      <c r="I32" s="5" t="n">
        <f aca="false">IF(B32&lt;Assumptions!$B$5,F32*H32,0)</f>
        <v>0</v>
      </c>
      <c r="J32" s="5" t="n">
        <f aca="false">IF(B32&lt;Assumptions!$B$5,F32*(1-C32)*E32*(B32-Assumptions!$B$4+1)*H32,0)</f>
        <v>0</v>
      </c>
      <c r="K32" s="12" t="n">
        <f aca="false">IF(B32&gt;=Assumptions!$B$5,F32*Assumptions!$B$9*(1+Assumptions!$B$10)^(B32-Assumptions!$B$4)*H32,0)</f>
        <v>3392.81050510548</v>
      </c>
      <c r="L32" s="48" t="n">
        <f aca="false">F32*Assumptions!$B$12*(1+Assumptions!$B$11)^(B32-Assumptions!$B$4+1)*H32</f>
        <v>19.9396208284606</v>
      </c>
      <c r="M32" s="48" t="n">
        <f aca="false">IF(B32&lt;Assumptions!$B$5,F32*(Pricing!$B$14-Pricing!$B$14*IF(B32=Assumptions!$B$4,Assumptions!$B$14,Assumptions!$B$15))-F32*Assumptions!$B$12*(1+Assumptions!$B$11)^(B32-Assumptions!$B$4+1),-F32*(Assumptions!$B$9*(1+Assumptions!$B$10)^(B32-Assumptions!$B$4)+Assumptions!$B$12*(1+Assumptions!$B$11)^(B32-Assumptions!$B$4+1)))</f>
        <v>-8199.34481114047</v>
      </c>
      <c r="N32" s="12" t="n">
        <f aca="false">M32*H32</f>
        <v>-3412.75012593394</v>
      </c>
      <c r="O32" s="48" t="n">
        <f aca="false">F32*(IF(B32&lt;Assumptions!$B$5,Assumptions!$B$12*(1+Assumptions!$B$11)^(B32-Assumptions!$B$4+1)+Pricing!$B$14*IF(B32=Assumptions!$B$4,Assumptions!$B$14,Assumptions!$B$15)-Pricing!$B$14,Assumptions!$B$9*(1+Assumptions!$B$10)^(B32-Assumptions!$B$4)+Assumptions!$B$12*(1+Assumptions!$B$11)^(B32-Assumptions!$B$4+1)))</f>
        <v>8199.34481114047</v>
      </c>
      <c r="P32" s="48" t="n">
        <f aca="false">O32*H32</f>
        <v>3412.75012593394</v>
      </c>
      <c r="Q32" s="11" t="n">
        <f aca="false">Q31*(1-MIN(1,C31*(1-Assumptions!$B$21)))*(1-IF(B31&lt;Assumptions!$B$5,E31,0))</f>
        <v>0.36195498266544</v>
      </c>
      <c r="R32" s="48" t="n">
        <f aca="false">Q32*(IF(B32&lt;Assumptions!$B$5,Assumptions!$B$12*(1+Assumptions!$B$11)^(B32-Assumptions!$B$4+1)+Pricing!$B$14*IF(B32=Assumptions!$B$4,Assumptions!$B$14,Assumptions!$B$15)-Pricing!$B$14,Assumptions!$B$9*(1+Assumptions!$B$10)^(B32-Assumptions!$B$4)+Assumptions!$B$12*(1+Assumptions!$B$11)^(B32-Assumptions!$B$4+1)))*H32</f>
        <v>4221.3326773139</v>
      </c>
      <c r="S32" s="11" t="n">
        <f aca="false">S31*(1-MIN(1,C31))*(1-IF(B31&lt;Assumptions!$B$5,E31*(1+Assumptions!$B$23),0))</f>
        <v>0.26508160562834</v>
      </c>
      <c r="T32" s="48" t="n">
        <f aca="false">S32*(IF(B32&lt;Assumptions!$B$5,Assumptions!$B$12*(1+Assumptions!$B$11)^(B32-Assumptions!$B$4+1)+Pricing!$B$14*IF(B32=Assumptions!$B$4,Assumptions!$B$14,Assumptions!$B$15)-Pricing!$B$14,Assumptions!$B$9*(1+Assumptions!$B$10)^(B32-Assumptions!$B$4)+Assumptions!$B$12*(1+Assumptions!$B$11)^(B32-Assumptions!$B$4+1)))*H32</f>
        <v>3091.53816796067</v>
      </c>
      <c r="U32" s="11" t="n">
        <f aca="false">U31*(1-MIN(1,C31))*(1-IF(B31&lt;Assumptions!$B$5,E31*(1-Assumptions!$B$23),0))</f>
        <v>0.32273100909057</v>
      </c>
      <c r="V32" s="48" t="n">
        <f aca="false">U32*(IF(B32&lt;Assumptions!$B$5,Assumptions!$B$12*(1+Assumptions!$B$11)^(B32-Assumptions!$B$4+1)+Pricing!$B$14*IF(B32=Assumptions!$B$4,Assumptions!$B$14,Assumptions!$B$15)-Pricing!$B$14,Assumptions!$B$9*(1+Assumptions!$B$10)^(B32-Assumptions!$B$4)+Assumptions!$B$12*(1+Assumptions!$B$11)^(B32-Assumptions!$B$4+1)))*H32</f>
        <v>3763.87954276557</v>
      </c>
      <c r="W32" s="48" t="n">
        <f aca="false">F32*(IF(B32&lt;Assumptions!$B$5,Assumptions!$B$12*(1+Assumptions!$B$11)*(1+Assumptions!$B$24)*(1+Assumptions!$B$11+Assumptions!$B$25)^(B32-Assumptions!$B$4)+Pricing!$B$14*IF(B32=Assumptions!$B$4,Assumptions!$B$14,Assumptions!$B$15)-Pricing!$B$14,Assumptions!$B$9*(1+Assumptions!$B$10)^(B32-Assumptions!$B$4)+Assumptions!$B$12*(1+Assumptions!$B$11)*(1+Assumptions!$B$24)*(1+Assumptions!$B$11+Assumptions!$B$25)^(B32-Assumptions!$B$4)))*H32</f>
        <v>3421.59583054939</v>
      </c>
      <c r="X32" s="5" t="n">
        <f aca="false">IF(B32&lt;Assumptions!$B$5,G32*H32,0)</f>
        <v>0</v>
      </c>
      <c r="Y32" s="12" t="n">
        <f aca="false">IF(B32&gt;=Assumptions!$B$5,G32*Assumptions!$B$9*(1+Assumptions!$B$10)^(B32-Assumptions!$B$4)*H32,0)</f>
        <v>4123.19778383857</v>
      </c>
      <c r="Z32" s="48" t="n">
        <f aca="false">IF(B32&lt;Assumptions!$B$5,F32*Pricing!$B$14*H32,0)</f>
        <v>0</v>
      </c>
      <c r="AA32" s="48" t="n">
        <f aca="false">IF(B32&lt;Assumptions!$B$5,Q32*Pricing!$B$14*H32,0)</f>
        <v>0</v>
      </c>
      <c r="AB32" s="48" t="n">
        <f aca="false">IF(B32&lt;Assumptions!$B$5,U32*Pricing!$B$14*H32,0)</f>
        <v>0</v>
      </c>
      <c r="AC32" s="48" t="n">
        <f aca="false">IF(B32&lt;Assumptions!$B$5,F32*(Pricing!$B$14-Pricing!$B$14*IF(B32=Assumptions!$B$4,Assumptions!$B$14,Assumptions!$B$15))*H32,0)</f>
        <v>0</v>
      </c>
      <c r="AD32" s="48" t="n">
        <f aca="false">IF(B32&lt;Assumptions!$B$5,F32*Pricing!$B$14*IF(B32=Assumptions!$B$4,Assumptions!$B$14,Assumptions!$B$15)*H32,0)</f>
        <v>0</v>
      </c>
    </row>
    <row r="33" customFormat="false" ht="15" hidden="false" customHeight="true" outlineLevel="0" collapsed="false">
      <c r="B33" s="34" t="n">
        <f aca="false">B32+1</f>
        <v>94</v>
      </c>
      <c r="C33" s="32" t="n">
        <f aca="false">IFERROR(INDEX(Cohort_Survival!$B$5:$AA$65,B33-59,Assumptions!$B$4-59),1)</f>
        <v>0.142938412279168</v>
      </c>
      <c r="D33" s="5" t="n">
        <f aca="false">IF(B33&lt;Assumptions!$B$5,IF(B33-Assumptions!$B$4+1=1,Assumptions!$B$16,IF(B33-Assumptions!$B$4+1=2,Assumptions!$B$17,IF(B33-Assumptions!$B$4+1&lt;=5,Assumptions!$B$18,Assumptions!$B$19))),0)</f>
        <v>0</v>
      </c>
      <c r="E33" s="5" t="n">
        <f aca="false">D33*(1-Assumptions!$B$20)</f>
        <v>0</v>
      </c>
      <c r="F33" s="11" t="n">
        <f aca="false">F32*(1-C32)*(1-E32)</f>
        <v>0.254005885445969</v>
      </c>
      <c r="G33" s="11" t="n">
        <f aca="false">G32*(1-C32)</f>
        <v>0.308687002229207</v>
      </c>
      <c r="H33" s="11" t="n">
        <f aca="false">Discount!C33</f>
        <v>0.403167663933472</v>
      </c>
      <c r="I33" s="5" t="n">
        <f aca="false">IF(B33&lt;Assumptions!$B$5,F33*H33,0)</f>
        <v>0</v>
      </c>
      <c r="J33" s="5" t="n">
        <f aca="false">IF(B33&lt;Assumptions!$B$5,F33*(1-C33)*E33*(B33-Assumptions!$B$4+1)*H33,0)</f>
        <v>0</v>
      </c>
      <c r="K33" s="12" t="n">
        <f aca="false">IF(B33&gt;=Assumptions!$B$5,F33*Assumptions!$B$9*(1+Assumptions!$B$10)^(B33-Assumptions!$B$4)*H33,0)</f>
        <v>2909.74168332186</v>
      </c>
      <c r="L33" s="48" t="n">
        <f aca="false">F33*Assumptions!$B$12*(1+Assumptions!$B$11)^(B33-Assumptions!$B$4+1)*H33</f>
        <v>17.1844414429525</v>
      </c>
      <c r="M33" s="48" t="n">
        <f aca="false">IF(B33&lt;Assumptions!$B$5,F33*(Pricing!$B$14-Pricing!$B$14*IF(B33=Assumptions!$B$4,Assumptions!$B$14,Assumptions!$B$15))-F33*Assumptions!$B$12*(1+Assumptions!$B$11)^(B33-Assumptions!$B$4+1),-F33*(Assumptions!$B$9*(1+Assumptions!$B$10)^(B33-Assumptions!$B$4)+Assumptions!$B$12*(1+Assumptions!$B$11)^(B33-Assumptions!$B$4+1)))</f>
        <v>-7259.82360839284</v>
      </c>
      <c r="N33" s="12" t="n">
        <f aca="false">M33*H33</f>
        <v>-2926.92612476481</v>
      </c>
      <c r="O33" s="48" t="n">
        <f aca="false">F33*(IF(B33&lt;Assumptions!$B$5,Assumptions!$B$12*(1+Assumptions!$B$11)^(B33-Assumptions!$B$4+1)+Pricing!$B$14*IF(B33=Assumptions!$B$4,Assumptions!$B$14,Assumptions!$B$15)-Pricing!$B$14,Assumptions!$B$9*(1+Assumptions!$B$10)^(B33-Assumptions!$B$4)+Assumptions!$B$12*(1+Assumptions!$B$11)^(B33-Assumptions!$B$4+1)))</f>
        <v>7259.82360839284</v>
      </c>
      <c r="P33" s="48" t="n">
        <f aca="false">O33*H33</f>
        <v>2926.92612476481</v>
      </c>
      <c r="Q33" s="11" t="n">
        <f aca="false">Q32*(1-MIN(1,C32*(1-Assumptions!$B$21)))*(1-IF(B32&lt;Assumptions!$B$5,E32,0))</f>
        <v>0.323740976436979</v>
      </c>
      <c r="R33" s="48" t="n">
        <f aca="false">Q33*(IF(B33&lt;Assumptions!$B$5,Assumptions!$B$12*(1+Assumptions!$B$11)^(B33-Assumptions!$B$4+1)+Pricing!$B$14*IF(B33=Assumptions!$B$4,Assumptions!$B$14,Assumptions!$B$15)-Pricing!$B$14,Assumptions!$B$9*(1+Assumptions!$B$10)^(B33-Assumptions!$B$4)+Assumptions!$B$12*(1+Assumptions!$B$11)^(B33-Assumptions!$B$4+1)))*H33</f>
        <v>3730.48805513534</v>
      </c>
      <c r="S33" s="11" t="n">
        <f aca="false">S32*(1-MIN(1,C32))*(1-IF(B32&lt;Assumptions!$B$5,E32*(1+Assumptions!$B$23),0))</f>
        <v>0.230098560036815</v>
      </c>
      <c r="T33" s="48" t="n">
        <f aca="false">S33*(IF(B33&lt;Assumptions!$B$5,Assumptions!$B$12*(1+Assumptions!$B$11)^(B33-Assumptions!$B$4+1)+Pricing!$B$14*IF(B33=Assumptions!$B$4,Assumptions!$B$14,Assumptions!$B$15)-Pricing!$B$14,Assumptions!$B$9*(1+Assumptions!$B$10)^(B33-Assumptions!$B$4)+Assumptions!$B$12*(1+Assumptions!$B$11)^(B33-Assumptions!$B$4+1)))*H33</f>
        <v>2651.44047926314</v>
      </c>
      <c r="U33" s="11" t="n">
        <f aca="false">U32*(1-MIN(1,C32))*(1-IF(B32&lt;Assumptions!$B$5,E32*(1-Assumptions!$B$23),0))</f>
        <v>0.280139922553077</v>
      </c>
      <c r="V33" s="48" t="n">
        <f aca="false">U33*(IF(B33&lt;Assumptions!$B$5,Assumptions!$B$12*(1+Assumptions!$B$11)^(B33-Assumptions!$B$4+1)+Pricing!$B$14*IF(B33=Assumptions!$B$4,Assumptions!$B$14,Assumptions!$B$15)-Pricing!$B$14,Assumptions!$B$9*(1+Assumptions!$B$10)^(B33-Assumptions!$B$4)+Assumptions!$B$12*(1+Assumptions!$B$11)^(B33-Assumptions!$B$4+1)))*H33</f>
        <v>3228.07031211333</v>
      </c>
      <c r="W33" s="48" t="n">
        <f aca="false">F33*(IF(B33&lt;Assumptions!$B$5,Assumptions!$B$12*(1+Assumptions!$B$11)*(1+Assumptions!$B$24)*(1+Assumptions!$B$11+Assumptions!$B$25)^(B33-Assumptions!$B$4)+Pricing!$B$14*IF(B33=Assumptions!$B$4,Assumptions!$B$14,Assumptions!$B$15)-Pricing!$B$14,Assumptions!$B$9*(1+Assumptions!$B$10)^(B33-Assumptions!$B$4)+Assumptions!$B$12*(1+Assumptions!$B$11)*(1+Assumptions!$B$24)*(1+Assumptions!$B$11+Assumptions!$B$25)^(B33-Assumptions!$B$4)))*H33</f>
        <v>2934.7915923689</v>
      </c>
      <c r="X33" s="5" t="n">
        <f aca="false">IF(B33&lt;Assumptions!$B$5,G33*H33,0)</f>
        <v>0</v>
      </c>
      <c r="Y33" s="12" t="n">
        <f aca="false">IF(B33&gt;=Assumptions!$B$5,G33*Assumptions!$B$9*(1+Assumptions!$B$10)^(B33-Assumptions!$B$4)*H33,0)</f>
        <v>3536.13632183752</v>
      </c>
      <c r="Z33" s="48" t="n">
        <f aca="false">IF(B33&lt;Assumptions!$B$5,F33*Pricing!$B$14*H33,0)</f>
        <v>0</v>
      </c>
      <c r="AA33" s="48" t="n">
        <f aca="false">IF(B33&lt;Assumptions!$B$5,Q33*Pricing!$B$14*H33,0)</f>
        <v>0</v>
      </c>
      <c r="AB33" s="48" t="n">
        <f aca="false">IF(B33&lt;Assumptions!$B$5,U33*Pricing!$B$14*H33,0)</f>
        <v>0</v>
      </c>
      <c r="AC33" s="48" t="n">
        <f aca="false">IF(B33&lt;Assumptions!$B$5,F33*(Pricing!$B$14-Pricing!$B$14*IF(B33=Assumptions!$B$4,Assumptions!$B$14,Assumptions!$B$15))*H33,0)</f>
        <v>0</v>
      </c>
      <c r="AD33" s="48" t="n">
        <f aca="false">IF(B33&lt;Assumptions!$B$5,F33*Pricing!$B$14*IF(B33=Assumptions!$B$4,Assumptions!$B$14,Assumptions!$B$15)*H33,0)</f>
        <v>0</v>
      </c>
    </row>
    <row r="34" customFormat="false" ht="15" hidden="false" customHeight="true" outlineLevel="0" collapsed="false">
      <c r="B34" s="34" t="n">
        <f aca="false">B33+1</f>
        <v>95</v>
      </c>
      <c r="C34" s="32" t="n">
        <f aca="false">IFERROR(INDEX(Cohort_Survival!$B$5:$AA$65,B34-59,Assumptions!$B$4-59),1)</f>
        <v>0.158002551414007</v>
      </c>
      <c r="D34" s="5" t="n">
        <f aca="false">IF(B34&lt;Assumptions!$B$5,IF(B34-Assumptions!$B$4+1=1,Assumptions!$B$16,IF(B34-Assumptions!$B$4+1=2,Assumptions!$B$17,IF(B34-Assumptions!$B$4+1&lt;=5,Assumptions!$B$18,Assumptions!$B$19))),0)</f>
        <v>0</v>
      </c>
      <c r="E34" s="5" t="n">
        <f aca="false">D34*(1-Assumptions!$B$20)</f>
        <v>0</v>
      </c>
      <c r="F34" s="11" t="n">
        <f aca="false">F33*(1-C33)*(1-E33)</f>
        <v>0.217698687470758</v>
      </c>
      <c r="G34" s="11" t="n">
        <f aca="false">G33*(1-C33)</f>
        <v>0.264563772239348</v>
      </c>
      <c r="H34" s="11" t="n">
        <f aca="false">Discount!C34</f>
        <v>0.390507349788569</v>
      </c>
      <c r="I34" s="5" t="n">
        <f aca="false">IF(B34&lt;Assumptions!$B$5,F34*H34,0)</f>
        <v>0</v>
      </c>
      <c r="J34" s="5" t="n">
        <f aca="false">IF(B34&lt;Assumptions!$B$5,F34*(1-C34)*E34*(B34-Assumptions!$B$4+1)*H34,0)</f>
        <v>0</v>
      </c>
      <c r="K34" s="12" t="n">
        <f aca="false">IF(B34&gt;=Assumptions!$B$5,F34*Assumptions!$B$9*(1+Assumptions!$B$10)^(B34-Assumptions!$B$4)*H34,0)</f>
        <v>2463.82670613154</v>
      </c>
      <c r="L34" s="48" t="n">
        <f aca="false">F34*Assumptions!$B$12*(1+Assumptions!$B$11)^(B34-Assumptions!$B$4+1)*H34</f>
        <v>14.6222712826303</v>
      </c>
      <c r="M34" s="48" t="n">
        <f aca="false">IF(B34&lt;Assumptions!$B$5,F34*(Pricing!$B$14-Pricing!$B$14*IF(B34=Assumptions!$B$4,Assumptions!$B$14,Assumptions!$B$15))-F34*Assumptions!$B$12*(1+Assumptions!$B$11)^(B34-Assumptions!$B$4+1),-F34*(Assumptions!$B$9*(1+Assumptions!$B$10)^(B34-Assumptions!$B$4)+Assumptions!$B$12*(1+Assumptions!$B$11)^(B34-Assumptions!$B$4+1)))</f>
        <v>-6346.74092243353</v>
      </c>
      <c r="N34" s="12" t="n">
        <f aca="false">M34*H34</f>
        <v>-2478.44897741417</v>
      </c>
      <c r="O34" s="48" t="n">
        <f aca="false">F34*(IF(B34&lt;Assumptions!$B$5,Assumptions!$B$12*(1+Assumptions!$B$11)^(B34-Assumptions!$B$4+1)+Pricing!$B$14*IF(B34=Assumptions!$B$4,Assumptions!$B$14,Assumptions!$B$15)-Pricing!$B$14,Assumptions!$B$9*(1+Assumptions!$B$10)^(B34-Assumptions!$B$4)+Assumptions!$B$12*(1+Assumptions!$B$11)^(B34-Assumptions!$B$4+1)))</f>
        <v>6346.74092243353</v>
      </c>
      <c r="P34" s="48" t="n">
        <f aca="false">O34*H34</f>
        <v>2478.44897741417</v>
      </c>
      <c r="Q34" s="11" t="n">
        <f aca="false">Q33*(1-MIN(1,C33*(1-Assumptions!$B$21)))*(1-IF(B33&lt;Assumptions!$B$5,E33,0))</f>
        <v>0.286720959507691</v>
      </c>
      <c r="R34" s="48" t="n">
        <f aca="false">Q34*(IF(B34&lt;Assumptions!$B$5,Assumptions!$B$12*(1+Assumptions!$B$11)^(B34-Assumptions!$B$4+1)+Pricing!$B$14*IF(B34=Assumptions!$B$4,Assumptions!$B$14,Assumptions!$B$15)-Pricing!$B$14,Assumptions!$B$9*(1+Assumptions!$B$10)^(B34-Assumptions!$B$4)+Assumptions!$B$12*(1+Assumptions!$B$11)^(B34-Assumptions!$B$4+1)))*H34</f>
        <v>3264.25150813324</v>
      </c>
      <c r="S34" s="11" t="n">
        <f aca="false">S33*(1-MIN(1,C33))*(1-IF(B33&lt;Assumptions!$B$5,E33*(1+Assumptions!$B$23),0))</f>
        <v>0.19720863719743</v>
      </c>
      <c r="T34" s="48" t="n">
        <f aca="false">S34*(IF(B34&lt;Assumptions!$B$5,Assumptions!$B$12*(1+Assumptions!$B$11)^(B34-Assumptions!$B$4+1)+Pricing!$B$14*IF(B34=Assumptions!$B$4,Assumptions!$B$14,Assumptions!$B$15)-Pricing!$B$14,Assumptions!$B$9*(1+Assumptions!$B$10)^(B34-Assumptions!$B$4)+Assumptions!$B$12*(1+Assumptions!$B$11)^(B34-Assumptions!$B$4+1)))*H34</f>
        <v>2245.17451564731</v>
      </c>
      <c r="U34" s="11" t="n">
        <f aca="false">U33*(1-MIN(1,C33))*(1-IF(B33&lt;Assumptions!$B$5,E33*(1-Assumptions!$B$23),0))</f>
        <v>0.240097166807331</v>
      </c>
      <c r="V34" s="48" t="n">
        <f aca="false">U34*(IF(B34&lt;Assumptions!$B$5,Assumptions!$B$12*(1+Assumptions!$B$11)^(B34-Assumptions!$B$4+1)+Pricing!$B$14*IF(B34=Assumptions!$B$4,Assumptions!$B$14,Assumptions!$B$15)-Pricing!$B$14,Assumptions!$B$9*(1+Assumptions!$B$10)^(B34-Assumptions!$B$4)+Assumptions!$B$12*(1+Assumptions!$B$11)^(B34-Assumptions!$B$4+1)))*H34</f>
        <v>2733.45046066757</v>
      </c>
      <c r="W34" s="48" t="n">
        <f aca="false">F34*(IF(B34&lt;Assumptions!$B$5,Assumptions!$B$12*(1+Assumptions!$B$11)*(1+Assumptions!$B$24)*(1+Assumptions!$B$11+Assumptions!$B$25)^(B34-Assumptions!$B$4)+Pricing!$B$14*IF(B34=Assumptions!$B$4,Assumptions!$B$14,Assumptions!$B$15)-Pricing!$B$14,Assumptions!$B$9*(1+Assumptions!$B$10)^(B34-Assumptions!$B$4)+Assumptions!$B$12*(1+Assumptions!$B$11)*(1+Assumptions!$B$24)*(1+Assumptions!$B$11+Assumptions!$B$25)^(B34-Assumptions!$B$4)))*H34</f>
        <v>2485.34966888765</v>
      </c>
      <c r="X34" s="5" t="n">
        <f aca="false">IF(B34&lt;Assumptions!$B$5,G34*H34,0)</f>
        <v>0</v>
      </c>
      <c r="Y34" s="12" t="n">
        <f aca="false">IF(B34&gt;=Assumptions!$B$5,G34*Assumptions!$B$9*(1+Assumptions!$B$10)^(B34-Assumptions!$B$4)*H34,0)</f>
        <v>2994.22699829445</v>
      </c>
      <c r="Z34" s="48" t="n">
        <f aca="false">IF(B34&lt;Assumptions!$B$5,F34*Pricing!$B$14*H34,0)</f>
        <v>0</v>
      </c>
      <c r="AA34" s="48" t="n">
        <f aca="false">IF(B34&lt;Assumptions!$B$5,Q34*Pricing!$B$14*H34,0)</f>
        <v>0</v>
      </c>
      <c r="AB34" s="48" t="n">
        <f aca="false">IF(B34&lt;Assumptions!$B$5,U34*Pricing!$B$14*H34,0)</f>
        <v>0</v>
      </c>
      <c r="AC34" s="48" t="n">
        <f aca="false">IF(B34&lt;Assumptions!$B$5,F34*(Pricing!$B$14-Pricing!$B$14*IF(B34=Assumptions!$B$4,Assumptions!$B$14,Assumptions!$B$15))*H34,0)</f>
        <v>0</v>
      </c>
      <c r="AD34" s="48" t="n">
        <f aca="false">IF(B34&lt;Assumptions!$B$5,F34*Pricing!$B$14*IF(B34=Assumptions!$B$4,Assumptions!$B$14,Assumptions!$B$15)*H34,0)</f>
        <v>0</v>
      </c>
    </row>
    <row r="35" customFormat="false" ht="15" hidden="false" customHeight="true" outlineLevel="0" collapsed="false">
      <c r="B35" s="34" t="n">
        <f aca="false">B34+1</f>
        <v>96</v>
      </c>
      <c r="C35" s="32" t="n">
        <f aca="false">IFERROR(INDEX(Cohort_Survival!$B$5:$AA$65,B35-59,Assumptions!$B$4-59),1)</f>
        <v>0.168180055784723</v>
      </c>
      <c r="D35" s="5" t="n">
        <f aca="false">IF(B35&lt;Assumptions!$B$5,IF(B35-Assumptions!$B$4+1=1,Assumptions!$B$16,IF(B35-Assumptions!$B$4+1=2,Assumptions!$B$17,IF(B35-Assumptions!$B$4+1&lt;=5,Assumptions!$B$18,Assumptions!$B$19))),0)</f>
        <v>0</v>
      </c>
      <c r="E35" s="5" t="n">
        <f aca="false">D35*(1-Assumptions!$B$20)</f>
        <v>0</v>
      </c>
      <c r="F35" s="11" t="n">
        <f aca="false">F34*(1-C34)*(1-E34)</f>
        <v>0.183301739410898</v>
      </c>
      <c r="G35" s="11" t="n">
        <f aca="false">G34*(1-C34)</f>
        <v>0.222762021213817</v>
      </c>
      <c r="H35" s="11" t="n">
        <f aca="false">Discount!C35</f>
        <v>0.378343586433049</v>
      </c>
      <c r="I35" s="5" t="n">
        <f aca="false">IF(B35&lt;Assumptions!$B$5,F35*H35,0)</f>
        <v>0</v>
      </c>
      <c r="J35" s="5" t="n">
        <f aca="false">IF(B35&lt;Assumptions!$B$5,F35*(1-C35)*E35*(B35-Assumptions!$B$4+1)*H35,0)</f>
        <v>0</v>
      </c>
      <c r="K35" s="12" t="n">
        <f aca="false">IF(B35&gt;=Assumptions!$B$5,F35*Assumptions!$B$9*(1+Assumptions!$B$10)^(B35-Assumptions!$B$4)*H35,0)</f>
        <v>2050.1152196191</v>
      </c>
      <c r="L35" s="48" t="n">
        <f aca="false">F35*Assumptions!$B$12*(1+Assumptions!$B$11)^(B35-Assumptions!$B$4+1)*H35</f>
        <v>12.2266264004976</v>
      </c>
      <c r="M35" s="48" t="n">
        <f aca="false">IF(B35&lt;Assumptions!$B$5,F35*(Pricing!$B$14-Pricing!$B$14*IF(B35=Assumptions!$B$4,Assumptions!$B$14,Assumptions!$B$15))-F35*Assumptions!$B$12*(1+Assumptions!$B$11)^(B35-Assumptions!$B$4+1),-F35*(Assumptions!$B$9*(1+Assumptions!$B$10)^(B35-Assumptions!$B$4)+Assumptions!$B$12*(1+Assumptions!$B$11)^(B35-Assumptions!$B$4+1)))</f>
        <v>-5450.97609678802</v>
      </c>
      <c r="N35" s="12" t="n">
        <f aca="false">M35*H35</f>
        <v>-2062.3418460196</v>
      </c>
      <c r="O35" s="48" t="n">
        <f aca="false">F35*(IF(B35&lt;Assumptions!$B$5,Assumptions!$B$12*(1+Assumptions!$B$11)^(B35-Assumptions!$B$4+1)+Pricing!$B$14*IF(B35=Assumptions!$B$4,Assumptions!$B$14,Assumptions!$B$15)-Pricing!$B$14,Assumptions!$B$9*(1+Assumptions!$B$10)^(B35-Assumptions!$B$4)+Assumptions!$B$12*(1+Assumptions!$B$11)^(B35-Assumptions!$B$4+1)))</f>
        <v>5450.97609678802</v>
      </c>
      <c r="P35" s="48" t="n">
        <f aca="false">O35*H35</f>
        <v>2062.3418460196</v>
      </c>
      <c r="Q35" s="11" t="n">
        <f aca="false">Q34*(1-MIN(1,C34*(1-Assumptions!$B$21)))*(1-IF(B34&lt;Assumptions!$B$5,E34,0))</f>
        <v>0.250478844990821</v>
      </c>
      <c r="R35" s="48" t="n">
        <f aca="false">Q35*(IF(B35&lt;Assumptions!$B$5,Assumptions!$B$12*(1+Assumptions!$B$11)^(B35-Assumptions!$B$4+1)+Pricing!$B$14*IF(B35=Assumptions!$B$4,Assumptions!$B$14,Assumptions!$B$15)-Pricing!$B$14,Assumptions!$B$9*(1+Assumptions!$B$10)^(B35-Assumptions!$B$4)+Assumptions!$B$12*(1+Assumptions!$B$11)^(B35-Assumptions!$B$4+1)))*H35</f>
        <v>2818.1565828421</v>
      </c>
      <c r="S35" s="11" t="n">
        <f aca="false">S34*(1-MIN(1,C34))*(1-IF(B34&lt;Assumptions!$B$5,E34*(1+Assumptions!$B$23),0))</f>
        <v>0.166049169359357</v>
      </c>
      <c r="T35" s="48" t="n">
        <f aca="false">S35*(IF(B35&lt;Assumptions!$B$5,Assumptions!$B$12*(1+Assumptions!$B$11)^(B35-Assumptions!$B$4+1)+Pricing!$B$14*IF(B35=Assumptions!$B$4,Assumptions!$B$14,Assumptions!$B$15)-Pricing!$B$14,Assumptions!$B$9*(1+Assumptions!$B$10)^(B35-Assumptions!$B$4)+Assumptions!$B$12*(1+Assumptions!$B$11)^(B35-Assumptions!$B$4+1)))*H35</f>
        <v>1868.23186494126</v>
      </c>
      <c r="U35" s="11" t="n">
        <f aca="false">U34*(1-MIN(1,C34))*(1-IF(B34&lt;Assumptions!$B$5,E34*(1-Assumptions!$B$23),0))</f>
        <v>0.202161201864498</v>
      </c>
      <c r="V35" s="48" t="n">
        <f aca="false">U35*(IF(B35&lt;Assumptions!$B$5,Assumptions!$B$12*(1+Assumptions!$B$11)^(B35-Assumptions!$B$4+1)+Pricing!$B$14*IF(B35=Assumptions!$B$4,Assumptions!$B$14,Assumptions!$B$15)-Pricing!$B$14,Assumptions!$B$9*(1+Assumptions!$B$10)^(B35-Assumptions!$B$4)+Assumptions!$B$12*(1+Assumptions!$B$11)^(B35-Assumptions!$B$4+1)))*H35</f>
        <v>2274.53109603162</v>
      </c>
      <c r="W35" s="48" t="n">
        <f aca="false">F35*(IF(B35&lt;Assumptions!$B$5,Assumptions!$B$12*(1+Assumptions!$B$11)*(1+Assumptions!$B$24)*(1+Assumptions!$B$11+Assumptions!$B$25)^(B35-Assumptions!$B$4)+Pricing!$B$14*IF(B35=Assumptions!$B$4,Assumptions!$B$14,Assumptions!$B$15)-Pricing!$B$14,Assumptions!$B$9*(1+Assumptions!$B$10)^(B35-Assumptions!$B$4)+Assumptions!$B$12*(1+Assumptions!$B$11)*(1+Assumptions!$B$24)*(1+Assumptions!$B$11+Assumptions!$B$25)^(B35-Assumptions!$B$4)))*H35</f>
        <v>2068.28753827247</v>
      </c>
      <c r="X35" s="5" t="n">
        <f aca="false">IF(B35&lt;Assumptions!$B$5,G35*H35,0)</f>
        <v>0</v>
      </c>
      <c r="Y35" s="12" t="n">
        <f aca="false">IF(B35&gt;=Assumptions!$B$5,G35*Assumptions!$B$9*(1+Assumptions!$B$10)^(B35-Assumptions!$B$4)*H35,0)</f>
        <v>2491.4537718588</v>
      </c>
      <c r="Z35" s="48" t="n">
        <f aca="false">IF(B35&lt;Assumptions!$B$5,F35*Pricing!$B$14*H35,0)</f>
        <v>0</v>
      </c>
      <c r="AA35" s="48" t="n">
        <f aca="false">IF(B35&lt;Assumptions!$B$5,Q35*Pricing!$B$14*H35,0)</f>
        <v>0</v>
      </c>
      <c r="AB35" s="48" t="n">
        <f aca="false">IF(B35&lt;Assumptions!$B$5,U35*Pricing!$B$14*H35,0)</f>
        <v>0</v>
      </c>
      <c r="AC35" s="48" t="n">
        <f aca="false">IF(B35&lt;Assumptions!$B$5,F35*(Pricing!$B$14-Pricing!$B$14*IF(B35=Assumptions!$B$4,Assumptions!$B$14,Assumptions!$B$15))*H35,0)</f>
        <v>0</v>
      </c>
      <c r="AD35" s="48" t="n">
        <f aca="false">IF(B35&lt;Assumptions!$B$5,F35*Pricing!$B$14*IF(B35=Assumptions!$B$4,Assumptions!$B$14,Assumptions!$B$15)*H35,0)</f>
        <v>0</v>
      </c>
    </row>
    <row r="36" customFormat="false" ht="15" hidden="false" customHeight="true" outlineLevel="0" collapsed="false">
      <c r="B36" s="34" t="n">
        <f aca="false">B35+1</f>
        <v>97</v>
      </c>
      <c r="C36" s="32" t="n">
        <f aca="false">IFERROR(INDEX(Cohort_Survival!$B$5:$AA$65,B36-59,Assumptions!$B$4-59),1)</f>
        <v>0.178088862915254</v>
      </c>
      <c r="D36" s="5" t="n">
        <f aca="false">IF(B36&lt;Assumptions!$B$5,IF(B36-Assumptions!$B$4+1=1,Assumptions!$B$16,IF(B36-Assumptions!$B$4+1=2,Assumptions!$B$17,IF(B36-Assumptions!$B$4+1&lt;=5,Assumptions!$B$18,Assumptions!$B$19))),0)</f>
        <v>0</v>
      </c>
      <c r="E36" s="5" t="n">
        <f aca="false">D36*(1-Assumptions!$B$20)</f>
        <v>0</v>
      </c>
      <c r="F36" s="11" t="n">
        <f aca="false">F35*(1-C35)*(1-E35)</f>
        <v>0.152474042651336</v>
      </c>
      <c r="G36" s="11" t="n">
        <f aca="false">G35*(1-C35)</f>
        <v>0.18529789205936</v>
      </c>
      <c r="H36" s="11" t="n">
        <f aca="false">Discount!C36</f>
        <v>0.366437947062115</v>
      </c>
      <c r="I36" s="5" t="n">
        <f aca="false">IF(B36&lt;Assumptions!$B$5,F36*H36,0)</f>
        <v>0</v>
      </c>
      <c r="J36" s="5" t="n">
        <f aca="false">IF(B36&lt;Assumptions!$B$5,F36*(1-C36)*E36*(B36-Assumptions!$B$4+1)*H36,0)</f>
        <v>0</v>
      </c>
      <c r="K36" s="12" t="n">
        <f aca="false">IF(B36&gt;=Assumptions!$B$5,F36*Assumptions!$B$9*(1+Assumptions!$B$10)^(B36-Assumptions!$B$4)*H36,0)</f>
        <v>1684.69712847697</v>
      </c>
      <c r="L36" s="11" t="n">
        <f aca="false">F36*Assumptions!$B$12*(1+Assumptions!$B$11)^(B36-Assumptions!$B$4+1)*H36</f>
        <v>10.0965709507678</v>
      </c>
      <c r="M36" s="48" t="n">
        <f aca="false">IF(B36&lt;Assumptions!$B$5,F36*(Pricing!$B$14-Pricing!$B$14*IF(B36=Assumptions!$B$4,Assumptions!$B$14,Assumptions!$B$15))-F36*Assumptions!$B$12*(1+Assumptions!$B$11)^(B36-Assumptions!$B$4+1),-F36*(Assumptions!$B$9*(1+Assumptions!$B$10)^(B36-Assumptions!$B$4)+Assumptions!$B$12*(1+Assumptions!$B$11)^(B36-Assumptions!$B$4+1)))</f>
        <v>-4625.04965169573</v>
      </c>
      <c r="N36" s="12" t="n">
        <f aca="false">M36*H36</f>
        <v>-1694.79369942773</v>
      </c>
      <c r="O36" s="48" t="n">
        <f aca="false">F36*(IF(B36&lt;Assumptions!$B$5,Assumptions!$B$12*(1+Assumptions!$B$11)^(B36-Assumptions!$B$4+1)+Pricing!$B$14*IF(B36=Assumptions!$B$4,Assumptions!$B$14,Assumptions!$B$15)-Pricing!$B$14,Assumptions!$B$9*(1+Assumptions!$B$10)^(B36-Assumptions!$B$4)+Assumptions!$B$12*(1+Assumptions!$B$11)^(B36-Assumptions!$B$4+1)))</f>
        <v>4625.04965169573</v>
      </c>
      <c r="P36" s="48" t="n">
        <f aca="false">O36*H36</f>
        <v>1694.79369942773</v>
      </c>
      <c r="Q36" s="11" t="n">
        <f aca="false">Q35*(1-MIN(1,C35*(1-Assumptions!$B$21)))*(1-IF(B35&lt;Assumptions!$B$5,E35,0))</f>
        <v>0.216778408092062</v>
      </c>
      <c r="R36" s="48" t="n">
        <f aca="false">Q36*(IF(B36&lt;Assumptions!$B$5,Assumptions!$B$12*(1+Assumptions!$B$11)^(B36-Assumptions!$B$4+1)+Pricing!$B$14*IF(B36=Assumptions!$B$4,Assumptions!$B$14,Assumptions!$B$15)-Pricing!$B$14,Assumptions!$B$9*(1+Assumptions!$B$10)^(B36-Assumptions!$B$4)+Assumptions!$B$12*(1+Assumptions!$B$11)^(B36-Assumptions!$B$4+1)))*H36</f>
        <v>2409.5555795456</v>
      </c>
      <c r="S36" s="11" t="n">
        <f aca="false">S35*(1-MIN(1,C35))*(1-IF(B35&lt;Assumptions!$B$5,E35*(1+Assumptions!$B$23),0))</f>
        <v>0.138123010793493</v>
      </c>
      <c r="T36" s="48" t="n">
        <f aca="false">S36*(IF(B36&lt;Assumptions!$B$5,Assumptions!$B$12*(1+Assumptions!$B$11)^(B36-Assumptions!$B$4+1)+Pricing!$B$14*IF(B36=Assumptions!$B$4,Assumptions!$B$14,Assumptions!$B$15)-Pricing!$B$14,Assumptions!$B$9*(1+Assumptions!$B$10)^(B36-Assumptions!$B$4)+Assumptions!$B$12*(1+Assumptions!$B$11)^(B36-Assumptions!$B$4+1)))*H36</f>
        <v>1535.27777166699</v>
      </c>
      <c r="U36" s="11" t="n">
        <f aca="false">U35*(1-MIN(1,C35))*(1-IF(B35&lt;Assumptions!$B$5,E35*(1-Assumptions!$B$23),0))</f>
        <v>0.16816171965742</v>
      </c>
      <c r="V36" s="48" t="n">
        <f aca="false">U36*(IF(B36&lt;Assumptions!$B$5,Assumptions!$B$12*(1+Assumptions!$B$11)^(B36-Assumptions!$B$4+1)+Pricing!$B$14*IF(B36=Assumptions!$B$4,Assumptions!$B$14,Assumptions!$B$15)-Pricing!$B$14,Assumptions!$B$9*(1+Assumptions!$B$10)^(B36-Assumptions!$B$4)+Assumptions!$B$12*(1+Assumptions!$B$11)^(B36-Assumptions!$B$4+1)))*H36</f>
        <v>1869.16683000292</v>
      </c>
      <c r="W36" s="48" t="n">
        <f aca="false">F36*(IF(B36&lt;Assumptions!$B$5,Assumptions!$B$12*(1+Assumptions!$B$11)*(1+Assumptions!$B$24)*(1+Assumptions!$B$11+Assumptions!$B$25)^(B36-Assumptions!$B$4)+Pricing!$B$14*IF(B36=Assumptions!$B$4,Assumptions!$B$14,Assumptions!$B$15)-Pricing!$B$14,Assumptions!$B$9*(1+Assumptions!$B$10)^(B36-Assumptions!$B$4)+Assumptions!$B$12*(1+Assumptions!$B$11)*(1+Assumptions!$B$24)*(1+Assumptions!$B$11+Assumptions!$B$25)^(B36-Assumptions!$B$4)))*H36</f>
        <v>1699.8499702212</v>
      </c>
      <c r="X36" s="5" t="n">
        <f aca="false">IF(B36&lt;Assumptions!$B$5,G36*H36,0)</f>
        <v>0</v>
      </c>
      <c r="Y36" s="12" t="n">
        <f aca="false">IF(B36&gt;=Assumptions!$B$5,G36*Assumptions!$B$9*(1+Assumptions!$B$10)^(B36-Assumptions!$B$4)*H36,0)</f>
        <v>2047.3703014426</v>
      </c>
      <c r="Z36" s="48" t="n">
        <f aca="false">IF(B36&lt;Assumptions!$B$5,F36*Pricing!$B$14*H36,0)</f>
        <v>0</v>
      </c>
      <c r="AA36" s="48" t="n">
        <f aca="false">IF(B36&lt;Assumptions!$B$5,Q36*Pricing!$B$14*H36,0)</f>
        <v>0</v>
      </c>
      <c r="AB36" s="48" t="n">
        <f aca="false">IF(B36&lt;Assumptions!$B$5,U36*Pricing!$B$14*H36,0)</f>
        <v>0</v>
      </c>
      <c r="AC36" s="48" t="n">
        <f aca="false">IF(B36&lt;Assumptions!$B$5,F36*(Pricing!$B$14-Pricing!$B$14*IF(B36=Assumptions!$B$4,Assumptions!$B$14,Assumptions!$B$15))*H36,0)</f>
        <v>0</v>
      </c>
      <c r="AD36" s="48" t="n">
        <f aca="false">IF(B36&lt;Assumptions!$B$5,F36*Pricing!$B$14*IF(B36=Assumptions!$B$4,Assumptions!$B$14,Assumptions!$B$15)*H36,0)</f>
        <v>0</v>
      </c>
    </row>
    <row r="37" customFormat="false" ht="15" hidden="false" customHeight="true" outlineLevel="0" collapsed="false">
      <c r="B37" s="34" t="n">
        <f aca="false">B36+1</f>
        <v>98</v>
      </c>
      <c r="C37" s="32" t="n">
        <f aca="false">IFERROR(INDEX(Cohort_Survival!$B$5:$AA$65,B37-59,Assumptions!$B$4-59),1)</f>
        <v>0.187967195708293</v>
      </c>
      <c r="D37" s="5" t="n">
        <f aca="false">IF(B37&lt;Assumptions!$B$5,IF(B37-Assumptions!$B$4+1=1,Assumptions!$B$16,IF(B37-Assumptions!$B$4+1=2,Assumptions!$B$17,IF(B37-Assumptions!$B$4+1&lt;=5,Assumptions!$B$18,Assumptions!$B$19))),0)</f>
        <v>0</v>
      </c>
      <c r="E37" s="5" t="n">
        <f aca="false">D37*(1-Assumptions!$B$20)</f>
        <v>0</v>
      </c>
      <c r="F37" s="11" t="n">
        <f aca="false">F36*(1-C36)*(1-E36)</f>
        <v>0.125320113771468</v>
      </c>
      <c r="G37" s="11" t="n">
        <f aca="false">G36*(1-C36)</f>
        <v>0.152298401161915</v>
      </c>
      <c r="H37" s="11" t="n">
        <f aca="false">Discount!C37</f>
        <v>0.354893198656804</v>
      </c>
      <c r="I37" s="5" t="n">
        <f aca="false">IF(B37&lt;Assumptions!$B$5,F37*H37,0)</f>
        <v>0</v>
      </c>
      <c r="J37" s="5" t="n">
        <f aca="false">IF(B37&lt;Assumptions!$B$5,F37*(1-C37)*E37*(B37-Assumptions!$B$4+1)*H37,0)</f>
        <v>0</v>
      </c>
      <c r="K37" s="12" t="n">
        <f aca="false">IF(B37&gt;=Assumptions!$B$5,F37*Assumptions!$B$9*(1+Assumptions!$B$10)^(B37-Assumptions!$B$4)*H37,0)</f>
        <v>1367.86774150198</v>
      </c>
      <c r="L37" s="11" t="n">
        <f aca="false">F37*Assumptions!$B$12*(1+Assumptions!$B$11)^(B37-Assumptions!$B$4+1)*H37</f>
        <v>8.23796357211266</v>
      </c>
      <c r="M37" s="48" t="n">
        <f aca="false">IF(B37&lt;Assumptions!$B$5,F37*(Pricing!$B$14-Pricing!$B$14*IF(B37=Assumptions!$B$4,Assumptions!$B$14,Assumptions!$B$15))-F37*Assumptions!$B$12*(1+Assumptions!$B$11)^(B37-Assumptions!$B$4+1),-F37*(Assumptions!$B$9*(1+Assumptions!$B$10)^(B37-Assumptions!$B$4)+Assumptions!$B$12*(1+Assumptions!$B$11)^(B37-Assumptions!$B$4+1)))</f>
        <v>-3877.52064644339</v>
      </c>
      <c r="N37" s="12" t="n">
        <f aca="false">M37*H37</f>
        <v>-1376.10570507409</v>
      </c>
      <c r="O37" s="48" t="n">
        <f aca="false">F37*(IF(B37&lt;Assumptions!$B$5,Assumptions!$B$12*(1+Assumptions!$B$11)^(B37-Assumptions!$B$4+1)+Pricing!$B$14*IF(B37=Assumptions!$B$4,Assumptions!$B$14,Assumptions!$B$15)-Pricing!$B$14,Assumptions!$B$9*(1+Assumptions!$B$10)^(B37-Assumptions!$B$4)+Assumptions!$B$12*(1+Assumptions!$B$11)^(B37-Assumptions!$B$4+1)))</f>
        <v>3877.52064644339</v>
      </c>
      <c r="P37" s="48" t="n">
        <f aca="false">O37*H37</f>
        <v>1376.10570507409</v>
      </c>
      <c r="Q37" s="11" t="n">
        <f aca="false">Q36*(1-MIN(1,C36*(1-Assumptions!$B$21)))*(1-IF(B36&lt;Assumptions!$B$5,E36,0))</f>
        <v>0.185893751930707</v>
      </c>
      <c r="R37" s="48" t="n">
        <f aca="false">Q37*(IF(B37&lt;Assumptions!$B$5,Assumptions!$B$12*(1+Assumptions!$B$11)^(B37-Assumptions!$B$4+1)+Pricing!$B$14*IF(B37=Assumptions!$B$4,Assumptions!$B$14,Assumptions!$B$15)-Pricing!$B$14,Assumptions!$B$9*(1+Assumptions!$B$10)^(B37-Assumptions!$B$4)+Assumptions!$B$12*(1+Assumptions!$B$11)^(B37-Assumptions!$B$4+1)))*H37</f>
        <v>2041.24816736094</v>
      </c>
      <c r="S37" s="11" t="n">
        <f aca="false">S36*(1-MIN(1,C36))*(1-IF(B36&lt;Assumptions!$B$5,E36*(1+Assumptions!$B$23),0))</f>
        <v>0.113524840858849</v>
      </c>
      <c r="T37" s="48" t="n">
        <f aca="false">S37*(IF(B37&lt;Assumptions!$B$5,Assumptions!$B$12*(1+Assumptions!$B$11)^(B37-Assumptions!$B$4+1)+Pricing!$B$14*IF(B37=Assumptions!$B$4,Assumptions!$B$14,Assumptions!$B$15)-Pricing!$B$14,Assumptions!$B$9*(1+Assumptions!$B$10)^(B37-Assumptions!$B$4)+Assumptions!$B$12*(1+Assumptions!$B$11)^(B37-Assumptions!$B$4+1)))*H37</f>
        <v>1246.58505703542</v>
      </c>
      <c r="U37" s="11" t="n">
        <f aca="false">U36*(1-MIN(1,C36))*(1-IF(B36&lt;Assumptions!$B$5,E36*(1-Assumptions!$B$23),0))</f>
        <v>0.138213990217757</v>
      </c>
      <c r="V37" s="48" t="n">
        <f aca="false">U37*(IF(B37&lt;Assumptions!$B$5,Assumptions!$B$12*(1+Assumptions!$B$11)^(B37-Assumptions!$B$4+1)+Pricing!$B$14*IF(B37=Assumptions!$B$4,Assumptions!$B$14,Assumptions!$B$15)-Pricing!$B$14,Assumptions!$B$9*(1+Assumptions!$B$10)^(B37-Assumptions!$B$4)+Assumptions!$B$12*(1+Assumptions!$B$11)^(B37-Assumptions!$B$4+1)))*H37</f>
        <v>1517.68981638934</v>
      </c>
      <c r="W37" s="48" t="n">
        <f aca="false">F37*(IF(B37&lt;Assumptions!$B$5,Assumptions!$B$12*(1+Assumptions!$B$11)*(1+Assumptions!$B$24)*(1+Assumptions!$B$11+Assumptions!$B$25)^(B37-Assumptions!$B$4)+Pricing!$B$14*IF(B37=Assumptions!$B$4,Assumptions!$B$14,Assumptions!$B$15)-Pricing!$B$14,Assumptions!$B$9*(1+Assumptions!$B$10)^(B37-Assumptions!$B$4)+Assumptions!$B$12*(1+Assumptions!$B$11)*(1+Assumptions!$B$24)*(1+Assumptions!$B$11+Assumptions!$B$25)^(B37-Assumptions!$B$4)))*H37</f>
        <v>1380.35182134561</v>
      </c>
      <c r="X37" s="5" t="n">
        <f aca="false">IF(B37&lt;Assumptions!$B$5,G37*H37,0)</f>
        <v>0</v>
      </c>
      <c r="Y37" s="12" t="n">
        <f aca="false">IF(B37&gt;=Assumptions!$B$5,G37*Assumptions!$B$9*(1+Assumptions!$B$10)^(B37-Assumptions!$B$4)*H37,0)</f>
        <v>1662.3354684437</v>
      </c>
      <c r="Z37" s="48" t="n">
        <f aca="false">IF(B37&lt;Assumptions!$B$5,F37*Pricing!$B$14*H37,0)</f>
        <v>0</v>
      </c>
      <c r="AA37" s="48" t="n">
        <f aca="false">IF(B37&lt;Assumptions!$B$5,Q37*Pricing!$B$14*H37,0)</f>
        <v>0</v>
      </c>
      <c r="AB37" s="48" t="n">
        <f aca="false">IF(B37&lt;Assumptions!$B$5,U37*Pricing!$B$14*H37,0)</f>
        <v>0</v>
      </c>
      <c r="AC37" s="48" t="n">
        <f aca="false">IF(B37&lt;Assumptions!$B$5,F37*(Pricing!$B$14-Pricing!$B$14*IF(B37=Assumptions!$B$4,Assumptions!$B$14,Assumptions!$B$15))*H37,0)</f>
        <v>0</v>
      </c>
      <c r="AD37" s="48" t="n">
        <f aca="false">IF(B37&lt;Assumptions!$B$5,F37*Pricing!$B$14*IF(B37=Assumptions!$B$4,Assumptions!$B$14,Assumptions!$B$15)*H37,0)</f>
        <v>0</v>
      </c>
    </row>
    <row r="38" customFormat="false" ht="15" hidden="false" customHeight="true" outlineLevel="0" collapsed="false">
      <c r="B38" s="34" t="n">
        <f aca="false">B37+1</f>
        <v>99</v>
      </c>
      <c r="C38" s="32" t="n">
        <f aca="false">IFERROR(INDEX(Cohort_Survival!$B$5:$AA$65,B38-59,Assumptions!$B$4-59),1)</f>
        <v>0.198070084054699</v>
      </c>
      <c r="D38" s="5" t="n">
        <f aca="false">IF(B38&lt;Assumptions!$B$5,IF(B38-Assumptions!$B$4+1=1,Assumptions!$B$16,IF(B38-Assumptions!$B$4+1=2,Assumptions!$B$17,IF(B38-Assumptions!$B$4+1&lt;=5,Assumptions!$B$18,Assumptions!$B$19))),0)</f>
        <v>0</v>
      </c>
      <c r="E38" s="5" t="n">
        <f aca="false">D38*(1-Assumptions!$B$20)</f>
        <v>0</v>
      </c>
      <c r="F38" s="11" t="n">
        <f aca="false">F37*(1-C37)*(1-E37)</f>
        <v>0.101764043420001</v>
      </c>
      <c r="G38" s="11" t="n">
        <f aca="false">G37*(1-C37)</f>
        <v>0.123671297784653</v>
      </c>
      <c r="H38" s="11" t="n">
        <f aca="false">Discount!C38</f>
        <v>0.3436988522801</v>
      </c>
      <c r="I38" s="5" t="n">
        <f aca="false">IF(B38&lt;Assumptions!$B$5,F38*H38,0)</f>
        <v>0</v>
      </c>
      <c r="J38" s="5" t="n">
        <f aca="false">IF(B38&lt;Assumptions!$B$5,F38*(1-C38)*E38*(B38-Assumptions!$B$4+1)*H38,0)</f>
        <v>0</v>
      </c>
      <c r="K38" s="12" t="n">
        <f aca="false">IF(B38&gt;=Assumptions!$B$5,F38*Assumptions!$B$9*(1+Assumptions!$B$10)^(B38-Assumptions!$B$4)*H38,0)</f>
        <v>1097.23147964189</v>
      </c>
      <c r="L38" s="11" t="n">
        <f aca="false">F38*Assumptions!$B$12*(1+Assumptions!$B$11)^(B38-Assumptions!$B$4+1)*H38</f>
        <v>6.64045307657441</v>
      </c>
      <c r="M38" s="48" t="n">
        <f aca="false">IF(B38&lt;Assumptions!$B$5,F38*(Pricing!$B$14-Pricing!$B$14*IF(B38=Assumptions!$B$4,Assumptions!$B$14,Assumptions!$B$15))-F38*Assumptions!$B$12*(1+Assumptions!$B$11)^(B38-Assumptions!$B$4+1),-F38*(Assumptions!$B$9*(1+Assumptions!$B$10)^(B38-Assumptions!$B$4)+Assumptions!$B$12*(1+Assumptions!$B$11)^(B38-Assumptions!$B$4+1)))</f>
        <v>-3211.74169013184</v>
      </c>
      <c r="N38" s="12" t="n">
        <f aca="false">M38*H38</f>
        <v>-1103.87193271846</v>
      </c>
      <c r="O38" s="48" t="n">
        <f aca="false">F38*(IF(B38&lt;Assumptions!$B$5,Assumptions!$B$12*(1+Assumptions!$B$11)^(B38-Assumptions!$B$4+1)+Pricing!$B$14*IF(B38=Assumptions!$B$4,Assumptions!$B$14,Assumptions!$B$15)-Pricing!$B$14,Assumptions!$B$9*(1+Assumptions!$B$10)^(B38-Assumptions!$B$4)+Assumptions!$B$12*(1+Assumptions!$B$11)^(B38-Assumptions!$B$4+1)))</f>
        <v>3211.74169013184</v>
      </c>
      <c r="P38" s="48" t="n">
        <f aca="false">O38*H38</f>
        <v>1103.87193271846</v>
      </c>
      <c r="Q38" s="11" t="n">
        <f aca="false">Q37*(1-MIN(1,C37*(1-Assumptions!$B$21)))*(1-IF(B37&lt;Assumptions!$B$5,E37,0))</f>
        <v>0.15794021013062</v>
      </c>
      <c r="R38" s="48" t="n">
        <f aca="false">Q38*(IF(B38&lt;Assumptions!$B$5,Assumptions!$B$12*(1+Assumptions!$B$11)^(B38-Assumptions!$B$4+1)+Pricing!$B$14*IF(B38=Assumptions!$B$4,Assumptions!$B$14,Assumptions!$B$15)-Pricing!$B$14,Assumptions!$B$9*(1+Assumptions!$B$10)^(B38-Assumptions!$B$4)+Assumptions!$B$12*(1+Assumptions!$B$11)^(B38-Assumptions!$B$4+1)))*H38</f>
        <v>1713.23543318034</v>
      </c>
      <c r="S38" s="11" t="n">
        <f aca="false">S37*(1-MIN(1,C37))*(1-IF(B37&lt;Assumptions!$B$5,E37*(1+Assumptions!$B$23),0))</f>
        <v>0.0921858948793806</v>
      </c>
      <c r="T38" s="48" t="n">
        <f aca="false">S38*(IF(B38&lt;Assumptions!$B$5,Assumptions!$B$12*(1+Assumptions!$B$11)^(B38-Assumptions!$B$4+1)+Pricing!$B$14*IF(B38=Assumptions!$B$4,Assumptions!$B$14,Assumptions!$B$15)-Pricing!$B$14,Assumptions!$B$9*(1+Assumptions!$B$10)^(B38-Assumptions!$B$4)+Assumptions!$B$12*(1+Assumptions!$B$11)^(B38-Assumptions!$B$4+1)))*H38</f>
        <v>999.974239721324</v>
      </c>
      <c r="U38" s="11" t="n">
        <f aca="false">U37*(1-MIN(1,C37))*(1-IF(B37&lt;Assumptions!$B$5,E37*(1-Assumptions!$B$23),0))</f>
        <v>0.112234294068871</v>
      </c>
      <c r="V38" s="48" t="n">
        <f aca="false">U38*(IF(B38&lt;Assumptions!$B$5,Assumptions!$B$12*(1+Assumptions!$B$11)^(B38-Assumptions!$B$4+1)+Pricing!$B$14*IF(B38=Assumptions!$B$4,Assumptions!$B$14,Assumptions!$B$15)-Pricing!$B$14,Assumptions!$B$9*(1+Assumptions!$B$10)^(B38-Assumptions!$B$4)+Assumptions!$B$12*(1+Assumptions!$B$11)^(B38-Assumptions!$B$4+1)))*H38</f>
        <v>1217.44658474083</v>
      </c>
      <c r="W38" s="48" t="n">
        <f aca="false">F38*(IF(B38&lt;Assumptions!$B$5,Assumptions!$B$12*(1+Assumptions!$B$11)*(1+Assumptions!$B$24)*(1+Assumptions!$B$11+Assumptions!$B$25)^(B38-Assumptions!$B$4)+Pricing!$B$14*IF(B38=Assumptions!$B$4,Assumptions!$B$14,Assumptions!$B$15)-Pricing!$B$14,Assumptions!$B$9*(1+Assumptions!$B$10)^(B38-Assumptions!$B$4)+Assumptions!$B$12*(1+Assumptions!$B$11)*(1+Assumptions!$B$24)*(1+Assumptions!$B$11+Assumptions!$B$25)^(B38-Assumptions!$B$4)))*H38</f>
        <v>1107.39281692361</v>
      </c>
      <c r="X38" s="5" t="n">
        <f aca="false">IF(B38&lt;Assumptions!$B$5,G38*H38,0)</f>
        <v>0</v>
      </c>
      <c r="Y38" s="12" t="n">
        <f aca="false">IF(B38&gt;=Assumptions!$B$5,G38*Assumptions!$B$9*(1+Assumptions!$B$10)^(B38-Assumptions!$B$4)*H38,0)</f>
        <v>1333.43798553132</v>
      </c>
      <c r="Z38" s="48" t="n">
        <f aca="false">IF(B38&lt;Assumptions!$B$5,F38*Pricing!$B$14*H38,0)</f>
        <v>0</v>
      </c>
      <c r="AA38" s="48" t="n">
        <f aca="false">IF(B38&lt;Assumptions!$B$5,Q38*Pricing!$B$14*H38,0)</f>
        <v>0</v>
      </c>
      <c r="AB38" s="48" t="n">
        <f aca="false">IF(B38&lt;Assumptions!$B$5,U38*Pricing!$B$14*H38,0)</f>
        <v>0</v>
      </c>
      <c r="AC38" s="48" t="n">
        <f aca="false">IF(B38&lt;Assumptions!$B$5,F38*(Pricing!$B$14-Pricing!$B$14*IF(B38=Assumptions!$B$4,Assumptions!$B$14,Assumptions!$B$15))*H38,0)</f>
        <v>0</v>
      </c>
      <c r="AD38" s="48" t="n">
        <f aca="false">IF(B38&lt;Assumptions!$B$5,F38*Pricing!$B$14*IF(B38=Assumptions!$B$4,Assumptions!$B$14,Assumptions!$B$15)*H38,0)</f>
        <v>0</v>
      </c>
    </row>
    <row r="39" customFormat="false" ht="15" hidden="false" customHeight="true" outlineLevel="0" collapsed="false">
      <c r="B39" s="34" t="n">
        <f aca="false">B38+1</f>
        <v>100</v>
      </c>
      <c r="C39" s="32" t="n">
        <f aca="false">IFERROR(INDEX(Cohort_Survival!$B$5:$AA$65,B39-59,Assumptions!$B$4-59),1)</f>
        <v>0.208678498082548</v>
      </c>
      <c r="D39" s="5" t="n">
        <f aca="false">IF(B39&lt;Assumptions!$B$5,IF(B39-Assumptions!$B$4+1=1,Assumptions!$B$16,IF(B39-Assumptions!$B$4+1=2,Assumptions!$B$17,IF(B39-Assumptions!$B$4+1&lt;=5,Assumptions!$B$18,Assumptions!$B$19))),0)</f>
        <v>0</v>
      </c>
      <c r="E39" s="5" t="n">
        <f aca="false">D39*(1-Assumptions!$B$20)</f>
        <v>0</v>
      </c>
      <c r="F39" s="11" t="n">
        <f aca="false">F38*(1-C38)*(1-E38)</f>
        <v>0.0816076307860552</v>
      </c>
      <c r="G39" s="11" t="n">
        <f aca="false">G38*(1-C38)</f>
        <v>0.0991757134372931</v>
      </c>
      <c r="H39" s="11" t="n">
        <f aca="false">Discount!C39</f>
        <v>0.332844709518926</v>
      </c>
      <c r="I39" s="5" t="n">
        <f aca="false">IF(B39&lt;Assumptions!$B$5,F39*H39,0)</f>
        <v>0</v>
      </c>
      <c r="J39" s="5" t="n">
        <f aca="false">IF(B39&lt;Assumptions!$B$5,F39*(1-C39)*E39*(B39-Assumptions!$B$4+1)*H39,0)</f>
        <v>0</v>
      </c>
      <c r="K39" s="48" t="n">
        <f aca="false">IF(B39&gt;=Assumptions!$B$5,F39*Assumptions!$B$9*(1+Assumptions!$B$10)^(B39-Assumptions!$B$4)*H39,0)</f>
        <v>869.157380522327</v>
      </c>
      <c r="L39" s="11" t="n">
        <f aca="false">F39*Assumptions!$B$12*(1+Assumptions!$B$11)^(B39-Assumptions!$B$4+1)*H39</f>
        <v>5.28593196614959</v>
      </c>
      <c r="M39" s="48" t="n">
        <f aca="false">IF(B39&lt;Assumptions!$B$5,F39*(Pricing!$B$14-Pricing!$B$14*IF(B39=Assumptions!$B$4,Assumptions!$B$14,Assumptions!$B$15))-F39*Assumptions!$B$12*(1+Assumptions!$B$11)^(B39-Assumptions!$B$4+1),-F39*(Assumptions!$B$9*(1+Assumptions!$B$10)^(B39-Assumptions!$B$4)+Assumptions!$B$12*(1+Assumptions!$B$11)^(B39-Assumptions!$B$4+1)))</f>
        <v>-2627.1810471386</v>
      </c>
      <c r="N39" s="48" t="n">
        <f aca="false">M39*H39</f>
        <v>-874.443312488476</v>
      </c>
      <c r="O39" s="48" t="n">
        <f aca="false">F39*(IF(B39&lt;Assumptions!$B$5,Assumptions!$B$12*(1+Assumptions!$B$11)^(B39-Assumptions!$B$4+1)+Pricing!$B$14*IF(B39=Assumptions!$B$4,Assumptions!$B$14,Assumptions!$B$15)-Pricing!$B$14,Assumptions!$B$9*(1+Assumptions!$B$10)^(B39-Assumptions!$B$4)+Assumptions!$B$12*(1+Assumptions!$B$11)^(B39-Assumptions!$B$4+1)))</f>
        <v>2627.1810471386</v>
      </c>
      <c r="P39" s="48" t="n">
        <f aca="false">O39*H39</f>
        <v>874.443312488476</v>
      </c>
      <c r="Q39" s="11" t="n">
        <f aca="false">Q38*(1-MIN(1,C38*(1-Assumptions!$B$21)))*(1-IF(B38&lt;Assumptions!$B$5,E38,0))</f>
        <v>0.132913625573669</v>
      </c>
      <c r="R39" s="48" t="n">
        <f aca="false">Q39*(IF(B39&lt;Assumptions!$B$5,Assumptions!$B$12*(1+Assumptions!$B$11)^(B39-Assumptions!$B$4+1)+Pricing!$B$14*IF(B39=Assumptions!$B$4,Assumptions!$B$14,Assumptions!$B$15)-Pricing!$B$14,Assumptions!$B$9*(1+Assumptions!$B$10)^(B39-Assumptions!$B$4)+Assumptions!$B$12*(1+Assumptions!$B$11)^(B39-Assumptions!$B$4+1)))*H39</f>
        <v>1424.19807929717</v>
      </c>
      <c r="S39" s="11" t="n">
        <f aca="false">S38*(1-MIN(1,C38))*(1-IF(B38&lt;Assumptions!$B$5,E38*(1+Assumptions!$B$23),0))</f>
        <v>0.0739266269319641</v>
      </c>
      <c r="T39" s="48" t="n">
        <f aca="false">S39*(IF(B39&lt;Assumptions!$B$5,Assumptions!$B$12*(1+Assumptions!$B$11)^(B39-Assumptions!$B$4+1)+Pricing!$B$14*IF(B39=Assumptions!$B$4,Assumptions!$B$14,Assumptions!$B$15)-Pricing!$B$14,Assumptions!$B$9*(1+Assumptions!$B$10)^(B39-Assumptions!$B$4)+Assumptions!$B$12*(1+Assumptions!$B$11)^(B39-Assumptions!$B$4+1)))*H39</f>
        <v>792.139704496026</v>
      </c>
      <c r="U39" s="11" t="n">
        <f aca="false">U38*(1-MIN(1,C38))*(1-IF(B38&lt;Assumptions!$B$5,E38*(1-Assumptions!$B$23),0))</f>
        <v>0.0900040380088303</v>
      </c>
      <c r="V39" s="48" t="n">
        <f aca="false">U39*(IF(B39&lt;Assumptions!$B$5,Assumptions!$B$12*(1+Assumptions!$B$11)^(B39-Assumptions!$B$4+1)+Pricing!$B$14*IF(B39=Assumptions!$B$4,Assumptions!$B$14,Assumptions!$B$15)-Pricing!$B$14,Assumptions!$B$9*(1+Assumptions!$B$10)^(B39-Assumptions!$B$4)+Assumptions!$B$12*(1+Assumptions!$B$11)^(B39-Assumptions!$B$4+1)))*H39</f>
        <v>964.412621414183</v>
      </c>
      <c r="W39" s="48" t="n">
        <f aca="false">F39*(IF(B39&lt;Assumptions!$B$5,Assumptions!$B$12*(1+Assumptions!$B$11)*(1+Assumptions!$B$24)*(1+Assumptions!$B$11+Assumptions!$B$25)^(B39-Assumptions!$B$4)+Pricing!$B$14*IF(B39=Assumptions!$B$4,Assumptions!$B$14,Assumptions!$B$15)-Pricing!$B$14,Assumptions!$B$9*(1+Assumptions!$B$10)^(B39-Assumptions!$B$4)+Assumptions!$B$12*(1+Assumptions!$B$11)*(1+Assumptions!$B$24)*(1+Assumptions!$B$11+Assumptions!$B$25)^(B39-Assumptions!$B$4)))*H39</f>
        <v>877.324919361175</v>
      </c>
      <c r="X39" s="5" t="n">
        <f aca="false">IF(B39&lt;Assumptions!$B$5,G39*H39,0)</f>
        <v>0</v>
      </c>
      <c r="Y39" s="12" t="n">
        <f aca="false">IF(B39&gt;=Assumptions!$B$5,G39*Assumptions!$B$9*(1+Assumptions!$B$10)^(B39-Assumptions!$B$4)*H39,0)</f>
        <v>1056.26523490889</v>
      </c>
      <c r="Z39" s="48" t="n">
        <f aca="false">IF(B39&lt;Assumptions!$B$5,F39*Pricing!$B$14*H39,0)</f>
        <v>0</v>
      </c>
      <c r="AA39" s="48" t="n">
        <f aca="false">IF(B39&lt;Assumptions!$B$5,Q39*Pricing!$B$14*H39,0)</f>
        <v>0</v>
      </c>
      <c r="AB39" s="48" t="n">
        <f aca="false">IF(B39&lt;Assumptions!$B$5,U39*Pricing!$B$14*H39,0)</f>
        <v>0</v>
      </c>
      <c r="AC39" s="48" t="n">
        <f aca="false">IF(B39&lt;Assumptions!$B$5,F39*(Pricing!$B$14-Pricing!$B$14*IF(B39=Assumptions!$B$4,Assumptions!$B$14,Assumptions!$B$15))*H39,0)</f>
        <v>0</v>
      </c>
      <c r="AD39" s="48" t="n">
        <f aca="false">IF(B39&lt;Assumptions!$B$5,F39*Pricing!$B$14*IF(B39=Assumptions!$B$4,Assumptions!$B$14,Assumptions!$B$15)*H39,0)</f>
        <v>0</v>
      </c>
    </row>
    <row r="40" customFormat="false" ht="15" hidden="false" customHeight="true" outlineLevel="0" collapsed="false">
      <c r="B40" s="34" t="n">
        <f aca="false">B39+1</f>
        <v>101</v>
      </c>
      <c r="C40" s="32" t="n">
        <f aca="false">IFERROR(INDEX(Cohort_Survival!$B$5:$AA$65,B40-59,Assumptions!$B$4-59),1)</f>
        <v>0.220124381667156</v>
      </c>
      <c r="D40" s="5" t="n">
        <f aca="false">IF(B40&lt;Assumptions!$B$5,IF(B40-Assumptions!$B$4+1=1,Assumptions!$B$16,IF(B40-Assumptions!$B$4+1=2,Assumptions!$B$17,IF(B40-Assumptions!$B$4+1&lt;=5,Assumptions!$B$18,Assumptions!$B$19))),0)</f>
        <v>0</v>
      </c>
      <c r="E40" s="5" t="n">
        <f aca="false">D40*(1-Assumptions!$B$20)</f>
        <v>0</v>
      </c>
      <c r="F40" s="11" t="n">
        <f aca="false">F39*(1-C39)*(1-E39)</f>
        <v>0.0645778729615461</v>
      </c>
      <c r="G40" s="11" t="n">
        <f aca="false">G39*(1-C39)</f>
        <v>0.0784798745109336</v>
      </c>
      <c r="H40" s="11" t="n">
        <f aca="false">Discount!C40</f>
        <v>0.322433317993974</v>
      </c>
      <c r="I40" s="5" t="n">
        <f aca="false">IF(B40&lt;Assumptions!$B$5,F40*H40,0)</f>
        <v>0</v>
      </c>
      <c r="J40" s="5" t="n">
        <f aca="false">IF(B40&lt;Assumptions!$B$5,F40*(1-C40)*E40*(B40-Assumptions!$B$4+1)*H40,0)</f>
        <v>0</v>
      </c>
      <c r="K40" s="48" t="n">
        <f aca="false">IF(B40&gt;=Assumptions!$B$5,F40*Assumptions!$B$9*(1+Assumptions!$B$10)^(B40-Assumptions!$B$4)*H40,0)</f>
        <v>679.594436387522</v>
      </c>
      <c r="L40" s="11" t="n">
        <f aca="false">F40*Assumptions!$B$12*(1+Assumptions!$B$11)^(B40-Assumptions!$B$4+1)*H40</f>
        <v>4.15333206701377</v>
      </c>
      <c r="M40" s="48" t="n">
        <f aca="false">IF(B40&lt;Assumptions!$B$5,F40*(Pricing!$B$14-Pricing!$B$14*IF(B40=Assumptions!$B$4,Assumptions!$B$14,Assumptions!$B$15))-F40*Assumptions!$B$12*(1+Assumptions!$B$11)^(B40-Assumptions!$B$4+1),-F40*(Assumptions!$B$9*(1+Assumptions!$B$10)^(B40-Assumptions!$B$4)+Assumptions!$B$12*(1+Assumptions!$B$11)^(B40-Assumptions!$B$4+1)))</f>
        <v>-2120.58658425404</v>
      </c>
      <c r="N40" s="48" t="n">
        <f aca="false">M40*H40</f>
        <v>-683.747768454536</v>
      </c>
      <c r="O40" s="48" t="n">
        <f aca="false">F40*(IF(B40&lt;Assumptions!$B$5,Assumptions!$B$12*(1+Assumptions!$B$11)^(B40-Assumptions!$B$4+1)+Pricing!$B$14*IF(B40=Assumptions!$B$4,Assumptions!$B$14,Assumptions!$B$15)-Pricing!$B$14,Assumptions!$B$9*(1+Assumptions!$B$10)^(B40-Assumptions!$B$4)+Assumptions!$B$12*(1+Assumptions!$B$11)^(B40-Assumptions!$B$4+1)))</f>
        <v>2120.58658425404</v>
      </c>
      <c r="P40" s="48" t="n">
        <f aca="false">O40*H40</f>
        <v>683.747768454536</v>
      </c>
      <c r="Q40" s="11" t="n">
        <f aca="false">Q39*(1-MIN(1,C39*(1-Assumptions!$B$21)))*(1-IF(B39&lt;Assumptions!$B$5,E39,0))</f>
        <v>0.110724652966134</v>
      </c>
      <c r="R40" s="48" t="n">
        <f aca="false">Q40*(IF(B40&lt;Assumptions!$B$5,Assumptions!$B$12*(1+Assumptions!$B$11)^(B40-Assumptions!$B$4+1)+Pricing!$B$14*IF(B40=Assumptions!$B$4,Assumptions!$B$14,Assumptions!$B$15)-Pricing!$B$14,Assumptions!$B$9*(1+Assumptions!$B$10)^(B40-Assumptions!$B$4)+Assumptions!$B$12*(1+Assumptions!$B$11)^(B40-Assumptions!$B$4+1)))*H40</f>
        <v>1172.34790968693</v>
      </c>
      <c r="S40" s="11" t="n">
        <f aca="false">S39*(1-MIN(1,C39))*(1-IF(B39&lt;Assumptions!$B$5,E39*(1+Assumptions!$B$23),0))</f>
        <v>0.058499729455493</v>
      </c>
      <c r="T40" s="48" t="n">
        <f aca="false">S40*(IF(B40&lt;Assumptions!$B$5,Assumptions!$B$12*(1+Assumptions!$B$11)^(B40-Assumptions!$B$4+1)+Pricing!$B$14*IF(B40=Assumptions!$B$4,Assumptions!$B$14,Assumptions!$B$15)-Pricing!$B$14,Assumptions!$B$9*(1+Assumptions!$B$10)^(B40-Assumptions!$B$4)+Assumptions!$B$12*(1+Assumptions!$B$11)^(B40-Assumptions!$B$4+1)))*H40</f>
        <v>619.392643889115</v>
      </c>
      <c r="U40" s="11" t="n">
        <f aca="false">U39*(1-MIN(1,C39))*(1-IF(B39&lt;Assumptions!$B$5,E39*(1-Assumptions!$B$23),0))</f>
        <v>0.0712221305357831</v>
      </c>
      <c r="V40" s="48" t="n">
        <f aca="false">U40*(IF(B40&lt;Assumptions!$B$5,Assumptions!$B$12*(1+Assumptions!$B$11)^(B40-Assumptions!$B$4+1)+Pricing!$B$14*IF(B40=Assumptions!$B$4,Assumptions!$B$14,Assumptions!$B$15)-Pricing!$B$14,Assumptions!$B$9*(1+Assumptions!$B$10)^(B40-Assumptions!$B$4)+Assumptions!$B$12*(1+Assumptions!$B$11)^(B40-Assumptions!$B$4+1)))*H40</f>
        <v>754.096884662294</v>
      </c>
      <c r="W40" s="48" t="n">
        <f aca="false">F40*(IF(B40&lt;Assumptions!$B$5,Assumptions!$B$12*(1+Assumptions!$B$11)*(1+Assumptions!$B$24)*(1+Assumptions!$B$11+Assumptions!$B$25)^(B40-Assumptions!$B$4)+Pricing!$B$14*IF(B40=Assumptions!$B$4,Assumptions!$B$14,Assumptions!$B$15)-Pricing!$B$14,Assumptions!$B$9*(1+Assumptions!$B$10)^(B40-Assumptions!$B$4)+Assumptions!$B$12*(1+Assumptions!$B$11)*(1+Assumptions!$B$24)*(1+Assumptions!$B$11+Assumptions!$B$25)^(B40-Assumptions!$B$4)))*H40</f>
        <v>686.074552366366</v>
      </c>
      <c r="X40" s="5" t="n">
        <f aca="false">IF(B40&lt;Assumptions!$B$5,G40*H40,0)</f>
        <v>0</v>
      </c>
      <c r="Y40" s="48" t="n">
        <f aca="false">IF(B40&gt;=Assumptions!$B$5,G40*Assumptions!$B$9*(1+Assumptions!$B$10)^(B40-Assumptions!$B$4)*H40,0)</f>
        <v>825.894128129309</v>
      </c>
      <c r="Z40" s="48" t="n">
        <f aca="false">IF(B40&lt;Assumptions!$B$5,F40*Pricing!$B$14*H40,0)</f>
        <v>0</v>
      </c>
      <c r="AA40" s="48" t="n">
        <f aca="false">IF(B40&lt;Assumptions!$B$5,Q40*Pricing!$B$14*H40,0)</f>
        <v>0</v>
      </c>
      <c r="AB40" s="48" t="n">
        <f aca="false">IF(B40&lt;Assumptions!$B$5,U40*Pricing!$B$14*H40,0)</f>
        <v>0</v>
      </c>
      <c r="AC40" s="48" t="n">
        <f aca="false">IF(B40&lt;Assumptions!$B$5,F40*(Pricing!$B$14-Pricing!$B$14*IF(B40=Assumptions!$B$4,Assumptions!$B$14,Assumptions!$B$15))*H40,0)</f>
        <v>0</v>
      </c>
      <c r="AD40" s="48" t="n">
        <f aca="false">IF(B40&lt;Assumptions!$B$5,F40*Pricing!$B$14*IF(B40=Assumptions!$B$4,Assumptions!$B$14,Assumptions!$B$15)*H40,0)</f>
        <v>0</v>
      </c>
    </row>
    <row r="41" customFormat="false" ht="15" hidden="false" customHeight="true" outlineLevel="0" collapsed="false">
      <c r="B41" s="34" t="n">
        <f aca="false">B40+1</f>
        <v>102</v>
      </c>
      <c r="C41" s="32" t="n">
        <f aca="false">IFERROR(INDEX(Cohort_Survival!$B$5:$AA$65,B41-59,Assumptions!$B$4-59),1)</f>
        <v>0.232834154827819</v>
      </c>
      <c r="D41" s="5" t="n">
        <f aca="false">IF(B41&lt;Assumptions!$B$5,IF(B41-Assumptions!$B$4+1=1,Assumptions!$B$16,IF(B41-Assumptions!$B$4+1=2,Assumptions!$B$17,IF(B41-Assumptions!$B$4+1&lt;=5,Assumptions!$B$18,Assumptions!$B$19))),0)</f>
        <v>0</v>
      </c>
      <c r="E41" s="5" t="n">
        <f aca="false">D41*(1-Assumptions!$B$20)</f>
        <v>0</v>
      </c>
      <c r="F41" s="11" t="n">
        <f aca="false">F40*(1-C40)*(1-E40)</f>
        <v>0.0503627086065056</v>
      </c>
      <c r="G41" s="11" t="n">
        <f aca="false">G40*(1-C40)</f>
        <v>0.0612045406608983</v>
      </c>
      <c r="H41" s="11" t="n">
        <f aca="false">Discount!C41</f>
        <v>0.312229574865653</v>
      </c>
      <c r="I41" s="5" t="n">
        <f aca="false">IF(B41&lt;Assumptions!$B$5,F41*H41,0)</f>
        <v>0</v>
      </c>
      <c r="J41" s="5" t="n">
        <f aca="false">IF(B41&lt;Assumptions!$B$5,F41*(1-C41)*E41*(B41-Assumptions!$B$4+1)*H41,0)</f>
        <v>0</v>
      </c>
      <c r="K41" s="48" t="n">
        <f aca="false">IF(B41&gt;=Assumptions!$B$5,F41*Assumptions!$B$9*(1+Assumptions!$B$10)^(B41-Assumptions!$B$4)*H41,0)</f>
        <v>523.491283598918</v>
      </c>
      <c r="L41" s="11" t="n">
        <f aca="false">F41*Assumptions!$B$12*(1+Assumptions!$B$11)^(B41-Assumptions!$B$4+1)*H41</f>
        <v>3.21499268321158</v>
      </c>
      <c r="M41" s="48" t="n">
        <f aca="false">IF(B41&lt;Assumptions!$B$5,F41*(Pricing!$B$14-Pricing!$B$14*IF(B41=Assumptions!$B$4,Assumptions!$B$14,Assumptions!$B$15))-F41*Assumptions!$B$12*(1+Assumptions!$B$11)^(B41-Assumptions!$B$4+1),-F41*(Assumptions!$B$9*(1+Assumptions!$B$10)^(B41-Assumptions!$B$4)+Assumptions!$B$12*(1+Assumptions!$B$11)^(B41-Assumptions!$B$4+1)))</f>
        <v>-1686.9198778135</v>
      </c>
      <c r="N41" s="48" t="n">
        <f aca="false">M41*H41</f>
        <v>-526.70627628213</v>
      </c>
      <c r="O41" s="48" t="n">
        <f aca="false">F41*(IF(B41&lt;Assumptions!$B$5,Assumptions!$B$12*(1+Assumptions!$B$11)^(B41-Assumptions!$B$4+1)+Pricing!$B$14*IF(B41=Assumptions!$B$4,Assumptions!$B$14,Assumptions!$B$15)-Pricing!$B$14,Assumptions!$B$9*(1+Assumptions!$B$10)^(B41-Assumptions!$B$4)+Assumptions!$B$12*(1+Assumptions!$B$11)^(B41-Assumptions!$B$4+1)))</f>
        <v>1686.9198778135</v>
      </c>
      <c r="P41" s="48" t="n">
        <f aca="false">O41*H41</f>
        <v>526.70627628213</v>
      </c>
      <c r="Q41" s="11" t="n">
        <f aca="false">Q40*(1-MIN(1,C40*(1-Assumptions!$B$21)))*(1-IF(B40&lt;Assumptions!$B$5,E40,0))</f>
        <v>0.0912260963505492</v>
      </c>
      <c r="R41" s="48" t="n">
        <f aca="false">Q41*(IF(B41&lt;Assumptions!$B$5,Assumptions!$B$12*(1+Assumptions!$B$11)^(B41-Assumptions!$B$4+1)+Pricing!$B$14*IF(B41=Assumptions!$B$4,Assumptions!$B$14,Assumptions!$B$15)-Pricing!$B$14,Assumptions!$B$9*(1+Assumptions!$B$10)^(B41-Assumptions!$B$4)+Assumptions!$B$12*(1+Assumptions!$B$11)^(B41-Assumptions!$B$4+1)))*H41</f>
        <v>954.066189806673</v>
      </c>
      <c r="S41" s="11" t="n">
        <f aca="false">S40*(1-MIN(1,C40))*(1-IF(B40&lt;Assumptions!$B$5,E40*(1+Assumptions!$B$23),0))</f>
        <v>0.0456225126814067</v>
      </c>
      <c r="T41" s="48" t="n">
        <f aca="false">S41*(IF(B41&lt;Assumptions!$B$5,Assumptions!$B$12*(1+Assumptions!$B$11)^(B41-Assumptions!$B$4+1)+Pricing!$B$14*IF(B41=Assumptions!$B$4,Assumptions!$B$14,Assumptions!$B$15)-Pricing!$B$14,Assumptions!$B$9*(1+Assumptions!$B$10)^(B41-Assumptions!$B$4)+Assumptions!$B$12*(1+Assumptions!$B$11)^(B41-Assumptions!$B$4+1)))*H41</f>
        <v>477.132077164609</v>
      </c>
      <c r="U41" s="11" t="n">
        <f aca="false">U40*(1-MIN(1,C40))*(1-IF(B40&lt;Assumptions!$B$5,E40*(1-Assumptions!$B$23),0))</f>
        <v>0.0555444030905763</v>
      </c>
      <c r="V41" s="48" t="n">
        <f aca="false">U41*(IF(B41&lt;Assumptions!$B$5,Assumptions!$B$12*(1+Assumptions!$B$11)^(B41-Assumptions!$B$4+1)+Pricing!$B$14*IF(B41=Assumptions!$B$4,Assumptions!$B$14,Assumptions!$B$15)-Pricing!$B$14,Assumptions!$B$9*(1+Assumptions!$B$10)^(B41-Assumptions!$B$4)+Assumptions!$B$12*(1+Assumptions!$B$11)^(B41-Assumptions!$B$4+1)))*H41</f>
        <v>580.897781903096</v>
      </c>
      <c r="W41" s="48" t="n">
        <f aca="false">F41*(IF(B41&lt;Assumptions!$B$5,Assumptions!$B$12*(1+Assumptions!$B$11)*(1+Assumptions!$B$24)*(1+Assumptions!$B$11+Assumptions!$B$25)^(B41-Assumptions!$B$4)+Pricing!$B$14*IF(B41=Assumptions!$B$4,Assumptions!$B$14,Assumptions!$B$15)-Pricing!$B$14,Assumptions!$B$9*(1+Assumptions!$B$10)^(B41-Assumptions!$B$4)+Assumptions!$B$12*(1+Assumptions!$B$11)*(1+Assumptions!$B$24)*(1+Assumptions!$B$11+Assumptions!$B$25)^(B41-Assumptions!$B$4)))*H41</f>
        <v>528.556320303383</v>
      </c>
      <c r="X41" s="5" t="n">
        <f aca="false">IF(B41&lt;Assumptions!$B$5,G41*H41,0)</f>
        <v>0</v>
      </c>
      <c r="Y41" s="48" t="n">
        <f aca="false">IF(B41&gt;=Assumptions!$B$5,G41*Assumptions!$B$9*(1+Assumptions!$B$10)^(B41-Assumptions!$B$4)*H41,0)</f>
        <v>636.185869250827</v>
      </c>
      <c r="Z41" s="48" t="n">
        <f aca="false">IF(B41&lt;Assumptions!$B$5,F41*Pricing!$B$14*H41,0)</f>
        <v>0</v>
      </c>
      <c r="AA41" s="48" t="n">
        <f aca="false">IF(B41&lt;Assumptions!$B$5,Q41*Pricing!$B$14*H41,0)</f>
        <v>0</v>
      </c>
      <c r="AB41" s="48" t="n">
        <f aca="false">IF(B41&lt;Assumptions!$B$5,U41*Pricing!$B$14*H41,0)</f>
        <v>0</v>
      </c>
      <c r="AC41" s="48" t="n">
        <f aca="false">IF(B41&lt;Assumptions!$B$5,F41*(Pricing!$B$14-Pricing!$B$14*IF(B41=Assumptions!$B$4,Assumptions!$B$14,Assumptions!$B$15))*H41,0)</f>
        <v>0</v>
      </c>
      <c r="AD41" s="48" t="n">
        <f aca="false">IF(B41&lt;Assumptions!$B$5,F41*Pricing!$B$14*IF(B41=Assumptions!$B$4,Assumptions!$B$14,Assumptions!$B$15)*H41,0)</f>
        <v>0</v>
      </c>
    </row>
    <row r="42" customFormat="false" ht="15" hidden="false" customHeight="true" outlineLevel="0" collapsed="false">
      <c r="B42" s="34" t="n">
        <f aca="false">B41+1</f>
        <v>103</v>
      </c>
      <c r="C42" s="32" t="n">
        <f aca="false">IFERROR(INDEX(Cohort_Survival!$B$5:$AA$65,B42-59,Assumptions!$B$4-59),1)</f>
        <v>0.247394878598862</v>
      </c>
      <c r="D42" s="5" t="n">
        <f aca="false">IF(B42&lt;Assumptions!$B$5,IF(B42-Assumptions!$B$4+1=1,Assumptions!$B$16,IF(B42-Assumptions!$B$4+1=2,Assumptions!$B$17,IF(B42-Assumptions!$B$4+1&lt;=5,Assumptions!$B$18,Assumptions!$B$19))),0)</f>
        <v>0</v>
      </c>
      <c r="E42" s="5" t="n">
        <f aca="false">D42*(1-Assumptions!$B$20)</f>
        <v>0</v>
      </c>
      <c r="F42" s="11" t="n">
        <f aca="false">F41*(1-C41)*(1-E41)</f>
        <v>0.0386365499132701</v>
      </c>
      <c r="G42" s="11" t="n">
        <f aca="false">G41*(1-C41)</f>
        <v>0.0469540331644932</v>
      </c>
      <c r="H42" s="11" t="n">
        <f aca="false">Discount!C42</f>
        <v>0.302337025004181</v>
      </c>
      <c r="I42" s="5" t="n">
        <f aca="false">IF(B42&lt;Assumptions!$B$5,F42*H42,0)</f>
        <v>0</v>
      </c>
      <c r="J42" s="5" t="n">
        <f aca="false">IF(B42&lt;Assumptions!$B$5,F42*(1-C42)*E42*(B42-Assumptions!$B$4+1)*H42,0)</f>
        <v>0</v>
      </c>
      <c r="K42" s="48" t="n">
        <f aca="false">IF(B42&gt;=Assumptions!$B$5,F42*Assumptions!$B$9*(1+Assumptions!$B$10)^(B42-Assumptions!$B$4)*H42,0)</f>
        <v>396.657968831768</v>
      </c>
      <c r="L42" s="11" t="n">
        <f aca="false">F42*Assumptions!$B$12*(1+Assumptions!$B$11)^(B42-Assumptions!$B$4+1)*H42</f>
        <v>2.44799435113324</v>
      </c>
      <c r="M42" s="48" t="n">
        <f aca="false">IF(B42&lt;Assumptions!$B$5,F42*(Pricing!$B$14-Pricing!$B$14*IF(B42=Assumptions!$B$4,Assumptions!$B$14,Assumptions!$B$15))-F42*Assumptions!$B$12*(1+Assumptions!$B$11)^(B42-Assumptions!$B$4+1),-F42*(Assumptions!$B$9*(1+Assumptions!$B$10)^(B42-Assumptions!$B$4)+Assumptions!$B$12*(1+Assumptions!$B$11)^(B42-Assumptions!$B$4+1)))</f>
        <v>-1320.06975717705</v>
      </c>
      <c r="N42" s="48" t="n">
        <f aca="false">M42*H42</f>
        <v>-399.105963182901</v>
      </c>
      <c r="O42" s="48" t="n">
        <f aca="false">F42*(IF(B42&lt;Assumptions!$B$5,Assumptions!$B$12*(1+Assumptions!$B$11)^(B42-Assumptions!$B$4+1)+Pricing!$B$14*IF(B42=Assumptions!$B$4,Assumptions!$B$14,Assumptions!$B$15)-Pricing!$B$14,Assumptions!$B$9*(1+Assumptions!$B$10)^(B42-Assumptions!$B$4)+Assumptions!$B$12*(1+Assumptions!$B$11)^(B42-Assumptions!$B$4+1)))</f>
        <v>1320.06975717705</v>
      </c>
      <c r="P42" s="48" t="n">
        <f aca="false">O42*H42</f>
        <v>399.105963182901</v>
      </c>
      <c r="Q42" s="11" t="n">
        <f aca="false">Q41*(1-MIN(1,C41*(1-Assumptions!$B$21)))*(1-IF(B41&lt;Assumptions!$B$5,E41,0))</f>
        <v>0.0742336555169321</v>
      </c>
      <c r="R42" s="48" t="n">
        <f aca="false">Q42*(IF(B42&lt;Assumptions!$B$5,Assumptions!$B$12*(1+Assumptions!$B$11)^(B42-Assumptions!$B$4+1)+Pricing!$B$14*IF(B42=Assumptions!$B$4,Assumptions!$B$14,Assumptions!$B$15)-Pricing!$B$14,Assumptions!$B$9*(1+Assumptions!$B$10)^(B42-Assumptions!$B$4)+Assumptions!$B$12*(1+Assumptions!$B$11)^(B42-Assumptions!$B$4+1)))*H42</f>
        <v>766.815221653555</v>
      </c>
      <c r="S42" s="11" t="n">
        <f aca="false">S41*(1-MIN(1,C41))*(1-IF(B41&lt;Assumptions!$B$5,E41*(1+Assumptions!$B$23),0))</f>
        <v>0.0350000335001099</v>
      </c>
      <c r="T42" s="48" t="n">
        <f aca="false">S42*(IF(B42&lt;Assumptions!$B$5,Assumptions!$B$12*(1+Assumptions!$B$11)^(B42-Assumptions!$B$4+1)+Pricing!$B$14*IF(B42=Assumptions!$B$4,Assumptions!$B$14,Assumptions!$B$15)-Pricing!$B$14,Assumptions!$B$9*(1+Assumptions!$B$10)^(B42-Assumptions!$B$4)+Assumptions!$B$12*(1+Assumptions!$B$11)^(B42-Assumptions!$B$4+1)))*H42</f>
        <v>361.541651955251</v>
      </c>
      <c r="U42" s="11" t="n">
        <f aca="false">U41*(1-MIN(1,C41))*(1-IF(B41&lt;Assumptions!$B$5,E41*(1-Assumptions!$B$23),0))</f>
        <v>0.0426117689415663</v>
      </c>
      <c r="V42" s="48" t="n">
        <f aca="false">U42*(IF(B42&lt;Assumptions!$B$5,Assumptions!$B$12*(1+Assumptions!$B$11)^(B42-Assumptions!$B$4+1)+Pricing!$B$14*IF(B42=Assumptions!$B$4,Assumptions!$B$14,Assumptions!$B$15)-Pricing!$B$14,Assumptions!$B$9*(1+Assumptions!$B$10)^(B42-Assumptions!$B$4)+Assumptions!$B$12*(1+Assumptions!$B$11)^(B42-Assumptions!$B$4+1)))*H42</f>
        <v>440.168988290281</v>
      </c>
      <c r="W42" s="48" t="n">
        <f aca="false">F42*(IF(B42&lt;Assumptions!$B$5,Assumptions!$B$12*(1+Assumptions!$B$11)*(1+Assumptions!$B$24)*(1+Assumptions!$B$11+Assumptions!$B$25)^(B42-Assumptions!$B$4)+Pricing!$B$14*IF(B42=Assumptions!$B$4,Assumptions!$B$14,Assumptions!$B$15)-Pricing!$B$14,Assumptions!$B$9*(1+Assumptions!$B$10)^(B42-Assumptions!$B$4)+Assumptions!$B$12*(1+Assumptions!$B$11)*(1+Assumptions!$B$24)*(1+Assumptions!$B$11+Assumptions!$B$25)^(B42-Assumptions!$B$4)))*H42</f>
        <v>400.552269720244</v>
      </c>
      <c r="X42" s="5" t="n">
        <f aca="false">IF(B42&lt;Assumptions!$B$5,G42*H42,0)</f>
        <v>0</v>
      </c>
      <c r="Y42" s="48" t="n">
        <f aca="false">IF(B42&gt;=Assumptions!$B$5,G42*Assumptions!$B$9*(1+Assumptions!$B$10)^(B42-Assumptions!$B$4)*H42,0)</f>
        <v>482.048512750112</v>
      </c>
      <c r="Z42" s="48" t="n">
        <f aca="false">IF(B42&lt;Assumptions!$B$5,F42*Pricing!$B$14*H42,0)</f>
        <v>0</v>
      </c>
      <c r="AA42" s="48" t="n">
        <f aca="false">IF(B42&lt;Assumptions!$B$5,Q42*Pricing!$B$14*H42,0)</f>
        <v>0</v>
      </c>
      <c r="AB42" s="48" t="n">
        <f aca="false">IF(B42&lt;Assumptions!$B$5,U42*Pricing!$B$14*H42,0)</f>
        <v>0</v>
      </c>
      <c r="AC42" s="48" t="n">
        <f aca="false">IF(B42&lt;Assumptions!$B$5,F42*(Pricing!$B$14-Pricing!$B$14*IF(B42=Assumptions!$B$4,Assumptions!$B$14,Assumptions!$B$15))*H42,0)</f>
        <v>0</v>
      </c>
      <c r="AD42" s="48" t="n">
        <f aca="false">IF(B42&lt;Assumptions!$B$5,F42*Pricing!$B$14*IF(B42=Assumptions!$B$4,Assumptions!$B$14,Assumptions!$B$15)*H42,0)</f>
        <v>0</v>
      </c>
    </row>
    <row r="43" customFormat="false" ht="15" hidden="false" customHeight="true" outlineLevel="0" collapsed="false">
      <c r="B43" s="34" t="n">
        <f aca="false">B42+1</f>
        <v>104</v>
      </c>
      <c r="C43" s="32" t="n">
        <f aca="false">IFERROR(INDEX(Cohort_Survival!$B$5:$AA$65,B43-59,Assumptions!$B$4-59),1)</f>
        <v>0.237854565957446</v>
      </c>
      <c r="D43" s="5" t="n">
        <f aca="false">IF(B43&lt;Assumptions!$B$5,IF(B43-Assumptions!$B$4+1=1,Assumptions!$B$16,IF(B43-Assumptions!$B$4+1=2,Assumptions!$B$17,IF(B43-Assumptions!$B$4+1&lt;=5,Assumptions!$B$18,Assumptions!$B$19))),0)</f>
        <v>0</v>
      </c>
      <c r="E43" s="5" t="n">
        <f aca="false">D43*(1-Assumptions!$B$20)</f>
        <v>0</v>
      </c>
      <c r="F43" s="11" t="n">
        <f aca="false">F42*(1-C42)*(1-E42)</f>
        <v>0.0290780653379978</v>
      </c>
      <c r="G43" s="11" t="n">
        <f aca="false">G42*(1-C42)</f>
        <v>0.0353378458300364</v>
      </c>
      <c r="H43" s="11" t="n">
        <f aca="false">Discount!C43</f>
        <v>0.292857215894912</v>
      </c>
      <c r="I43" s="5" t="n">
        <f aca="false">IF(B43&lt;Assumptions!$B$5,F43*H43,0)</f>
        <v>0</v>
      </c>
      <c r="J43" s="5" t="n">
        <f aca="false">IF(B43&lt;Assumptions!$B$5,F43*(1-C43)*E43*(B43-Assumptions!$B$4+1)*H43,0)</f>
        <v>0</v>
      </c>
      <c r="K43" s="48" t="n">
        <f aca="false">IF(B43&gt;=Assumptions!$B$5,F43*Assumptions!$B$9*(1+Assumptions!$B$10)^(B43-Assumptions!$B$4)*H43,0)</f>
        <v>294.949808675266</v>
      </c>
      <c r="L43" s="11" t="n">
        <f aca="false">F43*Assumptions!$B$12*(1+Assumptions!$B$11)^(B43-Assumptions!$B$4+1)*H43</f>
        <v>1.82922041671978</v>
      </c>
      <c r="M43" s="48" t="n">
        <f aca="false">IF(B43&lt;Assumptions!$B$5,F43*(Pricing!$B$14-Pricing!$B$14*IF(B43=Assumptions!$B$4,Assumptions!$B$14,Assumptions!$B$15))-F43*Assumptions!$B$12*(1+Assumptions!$B$11)^(B43-Assumptions!$B$4+1),-F43*(Assumptions!$B$9*(1+Assumptions!$B$10)^(B43-Assumptions!$B$4)+Assumptions!$B$12*(1+Assumptions!$B$11)^(B43-Assumptions!$B$4+1)))</f>
        <v>-1013.39155391848</v>
      </c>
      <c r="N43" s="48" t="n">
        <f aca="false">M43*H43</f>
        <v>-296.779029091986</v>
      </c>
      <c r="O43" s="48" t="n">
        <f aca="false">F43*(IF(B43&lt;Assumptions!$B$5,Assumptions!$B$12*(1+Assumptions!$B$11)^(B43-Assumptions!$B$4+1)+Pricing!$B$14*IF(B43=Assumptions!$B$4,Assumptions!$B$14,Assumptions!$B$15)-Pricing!$B$14,Assumptions!$B$9*(1+Assumptions!$B$10)^(B43-Assumptions!$B$4)+Assumptions!$B$12*(1+Assumptions!$B$11)^(B43-Assumptions!$B$4+1)))</f>
        <v>1013.39155391848</v>
      </c>
      <c r="P43" s="48" t="n">
        <f aca="false">O43*H43</f>
        <v>296.779029091986</v>
      </c>
      <c r="Q43" s="11" t="n">
        <f aca="false">Q42*(1-MIN(1,C42*(1-Assumptions!$B$21)))*(1-IF(B42&lt;Assumptions!$B$5,E42,0))</f>
        <v>0.0595416345612831</v>
      </c>
      <c r="R43" s="48" t="n">
        <f aca="false">Q43*(IF(B43&lt;Assumptions!$B$5,Assumptions!$B$12*(1+Assumptions!$B$11)^(B43-Assumptions!$B$4+1)+Pricing!$B$14*IF(B43=Assumptions!$B$4,Assumptions!$B$14,Assumptions!$B$15)-Pricing!$B$14,Assumptions!$B$9*(1+Assumptions!$B$10)^(B43-Assumptions!$B$4)+Assumptions!$B$12*(1+Assumptions!$B$11)^(B43-Assumptions!$B$4+1)))*H43</f>
        <v>607.698906039537</v>
      </c>
      <c r="S43" s="11" t="n">
        <f aca="false">S42*(1-MIN(1,C42))*(1-IF(B42&lt;Assumptions!$B$5,E42*(1+Assumptions!$B$23),0))</f>
        <v>0.0263412044613941</v>
      </c>
      <c r="T43" s="48" t="n">
        <f aca="false">S43*(IF(B43&lt;Assumptions!$B$5,Assumptions!$B$12*(1+Assumptions!$B$11)^(B43-Assumptions!$B$4+1)+Pricing!$B$14*IF(B43=Assumptions!$B$4,Assumptions!$B$14,Assumptions!$B$15)-Pricing!$B$14,Assumptions!$B$9*(1+Assumptions!$B$10)^(B43-Assumptions!$B$4)+Assumptions!$B$12*(1+Assumptions!$B$11)^(B43-Assumptions!$B$4+1)))*H43</f>
        <v>268.845846320817</v>
      </c>
      <c r="U43" s="11" t="n">
        <f aca="false">U42*(1-MIN(1,C42))*(1-IF(B42&lt;Assumptions!$B$5,E42*(1-Assumptions!$B$23),0))</f>
        <v>0.0320698355373847</v>
      </c>
      <c r="V43" s="48" t="n">
        <f aca="false">U43*(IF(B43&lt;Assumptions!$B$5,Assumptions!$B$12*(1+Assumptions!$B$11)^(B43-Assumptions!$B$4+1)+Pricing!$B$14*IF(B43=Assumptions!$B$4,Assumptions!$B$14,Assumptions!$B$15)-Pricing!$B$14,Assumptions!$B$9*(1+Assumptions!$B$10)^(B43-Assumptions!$B$4)+Assumptions!$B$12*(1+Assumptions!$B$11)^(B43-Assumptions!$B$4+1)))*H43</f>
        <v>327.313889122035</v>
      </c>
      <c r="W43" s="48" t="n">
        <f aca="false">F43*(IF(B43&lt;Assumptions!$B$5,Assumptions!$B$12*(1+Assumptions!$B$11)*(1+Assumptions!$B$24)*(1+Assumptions!$B$11+Assumptions!$B$25)^(B43-Assumptions!$B$4)+Pricing!$B$14*IF(B43=Assumptions!$B$4,Assumptions!$B$14,Assumptions!$B$15)-Pricing!$B$14,Assumptions!$B$9*(1+Assumptions!$B$10)^(B43-Assumptions!$B$4)+Assumptions!$B$12*(1+Assumptions!$B$11)*(1+Assumptions!$B$24)*(1+Assumptions!$B$11+Assumptions!$B$25)^(B43-Assumptions!$B$4)))*H43</f>
        <v>297.888145763411</v>
      </c>
      <c r="X43" s="5" t="n">
        <f aca="false">IF(B43&lt;Assumptions!$B$5,G43*H43,0)</f>
        <v>0</v>
      </c>
      <c r="Y43" s="48" t="n">
        <f aca="false">IF(B43&gt;=Assumptions!$B$5,G43*Assumptions!$B$9*(1+Assumptions!$B$10)^(B43-Assumptions!$B$4)*H43,0)</f>
        <v>358.445128498462</v>
      </c>
      <c r="Z43" s="48" t="n">
        <f aca="false">IF(B43&lt;Assumptions!$B$5,F43*Pricing!$B$14*H43,0)</f>
        <v>0</v>
      </c>
      <c r="AA43" s="48" t="n">
        <f aca="false">IF(B43&lt;Assumptions!$B$5,Q43*Pricing!$B$14*H43,0)</f>
        <v>0</v>
      </c>
      <c r="AB43" s="48" t="n">
        <f aca="false">IF(B43&lt;Assumptions!$B$5,U43*Pricing!$B$14*H43,0)</f>
        <v>0</v>
      </c>
      <c r="AC43" s="48" t="n">
        <f aca="false">IF(B43&lt;Assumptions!$B$5,F43*(Pricing!$B$14-Pricing!$B$14*IF(B43=Assumptions!$B$4,Assumptions!$B$14,Assumptions!$B$15))*H43,0)</f>
        <v>0</v>
      </c>
      <c r="AD43" s="48" t="n">
        <f aca="false">IF(B43&lt;Assumptions!$B$5,F43*Pricing!$B$14*IF(B43=Assumptions!$B$4,Assumptions!$B$14,Assumptions!$B$15)*H43,0)</f>
        <v>0</v>
      </c>
    </row>
    <row r="44" customFormat="false" ht="15" hidden="false" customHeight="true" outlineLevel="0" collapsed="false">
      <c r="B44" s="34" t="n">
        <f aca="false">B43+1</f>
        <v>105</v>
      </c>
      <c r="C44" s="32" t="n">
        <f aca="false">IFERROR(INDEX(Cohort_Survival!$B$5:$AA$65,B44-59,Assumptions!$B$4-59),1)</f>
        <v>0.122022072077009</v>
      </c>
      <c r="D44" s="5" t="n">
        <f aca="false">IF(B44&lt;Assumptions!$B$5,IF(B44-Assumptions!$B$4+1=1,Assumptions!$B$16,IF(B44-Assumptions!$B$4+1=2,Assumptions!$B$17,IF(B44-Assumptions!$B$4+1&lt;=5,Assumptions!$B$18,Assumptions!$B$19))),0)</f>
        <v>0</v>
      </c>
      <c r="E44" s="5" t="n">
        <f aca="false">D44*(1-Assumptions!$B$20)</f>
        <v>0</v>
      </c>
      <c r="F44" s="11" t="n">
        <f aca="false">F43*(1-C43)*(1-E43)</f>
        <v>0.022161714728146</v>
      </c>
      <c r="G44" s="11" t="n">
        <f aca="false">G43*(1-C43)</f>
        <v>0.0269325778482619</v>
      </c>
      <c r="H44" s="11" t="n">
        <f aca="false">Discount!C44</f>
        <v>0.283559223216554</v>
      </c>
      <c r="I44" s="5" t="n">
        <f aca="false">IF(B44&lt;Assumptions!$B$5,F44*H44,0)</f>
        <v>0</v>
      </c>
      <c r="J44" s="5" t="n">
        <f aca="false">IF(B44&lt;Assumptions!$B$5,F44*(1-C44)*E44*(B44-Assumptions!$B$4+1)*H44,0)</f>
        <v>0</v>
      </c>
      <c r="K44" s="48" t="n">
        <f aca="false">IF(B44&gt;=Assumptions!$B$5,F44*Assumptions!$B$9*(1+Assumptions!$B$10)^(B44-Assumptions!$B$4)*H44,0)</f>
        <v>222.010743535464</v>
      </c>
      <c r="L44" s="11" t="n">
        <f aca="false">F44*Assumptions!$B$12*(1+Assumptions!$B$11)^(B44-Assumptions!$B$4+1)*H44</f>
        <v>1.38361609791207</v>
      </c>
      <c r="M44" s="48" t="n">
        <f aca="false">IF(B44&lt;Assumptions!$B$5,F44*(Pricing!$B$14-Pricing!$B$14*IF(B44=Assumptions!$B$4,Assumptions!$B$14,Assumptions!$B$15))-F44*Assumptions!$B$12*(1+Assumptions!$B$11)^(B44-Assumptions!$B$4+1),-F44*(Assumptions!$B$9*(1+Assumptions!$B$10)^(B44-Assumptions!$B$4)+Assumptions!$B$12*(1+Assumptions!$B$11)^(B44-Assumptions!$B$4+1)))</f>
        <v>-787.82258287811</v>
      </c>
      <c r="N44" s="48" t="n">
        <f aca="false">M44*H44</f>
        <v>-223.394359633376</v>
      </c>
      <c r="O44" s="48" t="n">
        <f aca="false">F44*(IF(B44&lt;Assumptions!$B$5,Assumptions!$B$12*(1+Assumptions!$B$11)^(B44-Assumptions!$B$4+1)+Pricing!$B$14*IF(B44=Assumptions!$B$4,Assumptions!$B$14,Assumptions!$B$15)-Pricing!$B$14,Assumptions!$B$9*(1+Assumptions!$B$10)^(B44-Assumptions!$B$4)+Assumptions!$B$12*(1+Assumptions!$B$11)^(B44-Assumptions!$B$4+1)))</f>
        <v>787.82258287811</v>
      </c>
      <c r="P44" s="48" t="n">
        <f aca="false">O44*H44</f>
        <v>223.394359633376</v>
      </c>
      <c r="Q44" s="11" t="n">
        <f aca="false">Q43*(1-MIN(1,C43*(1-Assumptions!$B$21)))*(1-IF(B43&lt;Assumptions!$B$5,E43,0))</f>
        <v>0.0482118348453064</v>
      </c>
      <c r="R44" s="48" t="n">
        <f aca="false">Q44*(IF(B44&lt;Assumptions!$B$5,Assumptions!$B$12*(1+Assumptions!$B$11)^(B44-Assumptions!$B$4+1)+Pricing!$B$14*IF(B44=Assumptions!$B$4,Assumptions!$B$14,Assumptions!$B$15)-Pricing!$B$14,Assumptions!$B$9*(1+Assumptions!$B$10)^(B44-Assumptions!$B$4)+Assumptions!$B$12*(1+Assumptions!$B$11)^(B44-Assumptions!$B$4+1)))*H44</f>
        <v>485.984595692804</v>
      </c>
      <c r="S44" s="11" t="n">
        <f aca="false">S43*(1-MIN(1,C43))*(1-IF(B43&lt;Assumptions!$B$5,E43*(1+Assumptions!$B$23),0))</f>
        <v>0.0200758287074328</v>
      </c>
      <c r="T44" s="48" t="n">
        <f aca="false">S44*(IF(B44&lt;Assumptions!$B$5,Assumptions!$B$12*(1+Assumptions!$B$11)^(B44-Assumptions!$B$4+1)+Pricing!$B$14*IF(B44=Assumptions!$B$4,Assumptions!$B$14,Assumptions!$B$15)-Pricing!$B$14,Assumptions!$B$9*(1+Assumptions!$B$10)^(B44-Assumptions!$B$4)+Assumptions!$B$12*(1+Assumptions!$B$11)^(B44-Assumptions!$B$4+1)))*H44</f>
        <v>202.368226160336</v>
      </c>
      <c r="U44" s="11" t="n">
        <f aca="false">U43*(1-MIN(1,C43))*(1-IF(B43&lt;Assumptions!$B$5,E43*(1-Assumptions!$B$23),0))</f>
        <v>0.0244418787253134</v>
      </c>
      <c r="V44" s="48" t="n">
        <f aca="false">U44*(IF(B44&lt;Assumptions!$B$5,Assumptions!$B$12*(1+Assumptions!$B$11)^(B44-Assumptions!$B$4+1)+Pricing!$B$14*IF(B44=Assumptions!$B$4,Assumptions!$B$14,Assumptions!$B$15)-Pricing!$B$14,Assumptions!$B$9*(1+Assumptions!$B$10)^(B44-Assumptions!$B$4)+Assumptions!$B$12*(1+Assumptions!$B$11)^(B44-Assumptions!$B$4+1)))*H44</f>
        <v>246.378852586864</v>
      </c>
      <c r="W44" s="48" t="n">
        <f aca="false">F44*(IF(B44&lt;Assumptions!$B$5,Assumptions!$B$12*(1+Assumptions!$B$11)*(1+Assumptions!$B$24)*(1+Assumptions!$B$11+Assumptions!$B$25)^(B44-Assumptions!$B$4)+Pricing!$B$14*IF(B44=Assumptions!$B$4,Assumptions!$B$14,Assumptions!$B$15)-Pricing!$B$14,Assumptions!$B$9*(1+Assumptions!$B$10)^(B44-Assumptions!$B$4)+Assumptions!$B$12*(1+Assumptions!$B$11)*(1+Assumptions!$B$24)*(1+Assumptions!$B$11+Assumptions!$B$25)^(B44-Assumptions!$B$4)))*H44</f>
        <v>224.254975105856</v>
      </c>
      <c r="X44" s="5" t="n">
        <f aca="false">IF(B44&lt;Assumptions!$B$5,G44*H44,0)</f>
        <v>0</v>
      </c>
      <c r="Y44" s="48" t="n">
        <f aca="false">IF(B44&gt;=Assumptions!$B$5,G44*Assumptions!$B$9*(1+Assumptions!$B$10)^(B44-Assumptions!$B$4)*H44,0)</f>
        <v>269.804106169884</v>
      </c>
      <c r="Z44" s="48" t="n">
        <f aca="false">IF(B44&lt;Assumptions!$B$5,F44*Pricing!$B$14*H44,0)</f>
        <v>0</v>
      </c>
      <c r="AA44" s="48" t="n">
        <f aca="false">IF(B44&lt;Assumptions!$B$5,Q44*Pricing!$B$14*H44,0)</f>
        <v>0</v>
      </c>
      <c r="AB44" s="48" t="n">
        <f aca="false">IF(B44&lt;Assumptions!$B$5,U44*Pricing!$B$14*H44,0)</f>
        <v>0</v>
      </c>
      <c r="AC44" s="48" t="n">
        <f aca="false">IF(B44&lt;Assumptions!$B$5,F44*(Pricing!$B$14-Pricing!$B$14*IF(B44=Assumptions!$B$4,Assumptions!$B$14,Assumptions!$B$15))*H44,0)</f>
        <v>0</v>
      </c>
      <c r="AD44" s="48" t="n">
        <f aca="false">IF(B44&lt;Assumptions!$B$5,F44*Pricing!$B$14*IF(B44=Assumptions!$B$4,Assumptions!$B$14,Assumptions!$B$15)*H44,0)</f>
        <v>0</v>
      </c>
    </row>
    <row r="45" customFormat="false" ht="15" hidden="false" customHeight="true" outlineLevel="0" collapsed="false">
      <c r="B45" s="34" t="n">
        <f aca="false">B44+1</f>
        <v>106</v>
      </c>
      <c r="C45" s="32" t="n">
        <f aca="false">IFERROR(INDEX(Cohort_Survival!$B$5:$AA$65,B45-59,Assumptions!$B$4-59),1)</f>
        <v>0.334050814483618</v>
      </c>
      <c r="D45" s="5" t="n">
        <f aca="false">IF(B45&lt;Assumptions!$B$5,IF(B45-Assumptions!$B$4+1=1,Assumptions!$B$16,IF(B45-Assumptions!$B$4+1=2,Assumptions!$B$17,IF(B45-Assumptions!$B$4+1&lt;=5,Assumptions!$B$18,Assumptions!$B$19))),0)</f>
        <v>0</v>
      </c>
      <c r="E45" s="5" t="n">
        <f aca="false">D45*(1-Assumptions!$B$20)</f>
        <v>0</v>
      </c>
      <c r="F45" s="11" t="n">
        <f aca="false">F44*(1-C44)*(1-E44)</f>
        <v>0.0194574963762381</v>
      </c>
      <c r="G45" s="11" t="n">
        <f aca="false">G44*(1-C44)</f>
        <v>0.0236462088928417</v>
      </c>
      <c r="H45" s="11" t="n">
        <f aca="false">Discount!C45</f>
        <v>0.274545797407774</v>
      </c>
      <c r="I45" s="5" t="n">
        <f aca="false">IF(B45&lt;Assumptions!$B$5,F45*H45,0)</f>
        <v>0</v>
      </c>
      <c r="J45" s="5" t="n">
        <f aca="false">IF(B45&lt;Assumptions!$B$5,F45*(1-C45)*E45*(B45-Assumptions!$B$4+1)*H45,0)</f>
        <v>0</v>
      </c>
      <c r="K45" s="48" t="n">
        <f aca="false">IF(B45&gt;=Assumptions!$B$5,F45*Assumptions!$B$9*(1+Assumptions!$B$10)^(B45-Assumptions!$B$4)*H45,0)</f>
        <v>192.499135424909</v>
      </c>
      <c r="L45" s="11" t="n">
        <f aca="false">F45*Assumptions!$B$12*(1+Assumptions!$B$11)^(B45-Assumptions!$B$4+1)*H45</f>
        <v>1.20557460694685</v>
      </c>
      <c r="M45" s="48" t="n">
        <f aca="false">IF(B45&lt;Assumptions!$B$5,F45*(Pricing!$B$14-Pricing!$B$14*IF(B45=Assumptions!$B$4,Assumptions!$B$14,Assumptions!$B$15))-F45*Assumptions!$B$12*(1+Assumptions!$B$11)^(B45-Assumptions!$B$4+1),-F45*(Assumptions!$B$9*(1+Assumptions!$B$10)^(B45-Assumptions!$B$4)+Assumptions!$B$12*(1+Assumptions!$B$11)^(B45-Assumptions!$B$4+1)))</f>
        <v>-705.546075958149</v>
      </c>
      <c r="N45" s="48" t="n">
        <f aca="false">M45*H45</f>
        <v>-193.704710031856</v>
      </c>
      <c r="O45" s="48" t="n">
        <f aca="false">F45*(IF(B45&lt;Assumptions!$B$5,Assumptions!$B$12*(1+Assumptions!$B$11)^(B45-Assumptions!$B$4+1)+Pricing!$B$14*IF(B45=Assumptions!$B$4,Assumptions!$B$14,Assumptions!$B$15)-Pricing!$B$14,Assumptions!$B$9*(1+Assumptions!$B$10)^(B45-Assumptions!$B$4)+Assumptions!$B$12*(1+Assumptions!$B$11)^(B45-Assumptions!$B$4+1)))</f>
        <v>705.546075958149</v>
      </c>
      <c r="P45" s="48" t="n">
        <f aca="false">O45*H45</f>
        <v>193.704710031856</v>
      </c>
      <c r="Q45" s="11" t="n">
        <f aca="false">Q44*(1-MIN(1,C44*(1-Assumptions!$B$21)))*(1-IF(B44&lt;Assumptions!$B$5,E44,0))</f>
        <v>0.0435055084561394</v>
      </c>
      <c r="R45" s="48" t="n">
        <f aca="false">Q45*(IF(B45&lt;Assumptions!$B$5,Assumptions!$B$12*(1+Assumptions!$B$11)^(B45-Assumptions!$B$4+1)+Pricing!$B$14*IF(B45=Assumptions!$B$4,Assumptions!$B$14,Assumptions!$B$15)-Pricing!$B$14,Assumptions!$B$9*(1+Assumptions!$B$10)^(B45-Assumptions!$B$4)+Assumptions!$B$12*(1+Assumptions!$B$11)^(B45-Assumptions!$B$4+1)))*H45</f>
        <v>433.109262226379</v>
      </c>
      <c r="S45" s="11" t="n">
        <f aca="false">S44*(1-MIN(1,C44))*(1-IF(B44&lt;Assumptions!$B$5,E44*(1+Assumptions!$B$23),0))</f>
        <v>0.0176261344898888</v>
      </c>
      <c r="T45" s="48" t="n">
        <f aca="false">S45*(IF(B45&lt;Assumptions!$B$5,Assumptions!$B$12*(1+Assumptions!$B$11)^(B45-Assumptions!$B$4+1)+Pricing!$B$14*IF(B45=Assumptions!$B$4,Assumptions!$B$14,Assumptions!$B$15)-Pricing!$B$14,Assumptions!$B$9*(1+Assumptions!$B$10)^(B45-Assumptions!$B$4)+Assumptions!$B$12*(1+Assumptions!$B$11)^(B45-Assumptions!$B$4+1)))*H45</f>
        <v>175.473000448093</v>
      </c>
      <c r="U45" s="11" t="n">
        <f aca="false">U44*(1-MIN(1,C44))*(1-IF(B44&lt;Assumptions!$B$5,E44*(1-Assumptions!$B$23),0))</f>
        <v>0.0214594300377957</v>
      </c>
      <c r="V45" s="48" t="n">
        <f aca="false">U45*(IF(B45&lt;Assumptions!$B$5,Assumptions!$B$12*(1+Assumptions!$B$11)^(B45-Assumptions!$B$4+1)+Pricing!$B$14*IF(B45=Assumptions!$B$4,Assumptions!$B$14,Assumptions!$B$15)-Pricing!$B$14,Assumptions!$B$9*(1+Assumptions!$B$10)^(B45-Assumptions!$B$4)+Assumptions!$B$12*(1+Assumptions!$B$11)^(B45-Assumptions!$B$4+1)))*H45</f>
        <v>213.634508394228</v>
      </c>
      <c r="W45" s="48" t="n">
        <f aca="false">F45*(IF(B45&lt;Assumptions!$B$5,Assumptions!$B$12*(1+Assumptions!$B$11)*(1+Assumptions!$B$24)*(1+Assumptions!$B$11+Assumptions!$B$25)^(B45-Assumptions!$B$4)+Pricing!$B$14*IF(B45=Assumptions!$B$4,Assumptions!$B$14,Assumptions!$B$15)-Pricing!$B$14,Assumptions!$B$9*(1+Assumptions!$B$10)^(B45-Assumptions!$B$4)+Assumptions!$B$12*(1+Assumptions!$B$11)*(1+Assumptions!$B$24)*(1+Assumptions!$B$11+Assumptions!$B$25)^(B45-Assumptions!$B$4)))*H45</f>
        <v>194.473660427742</v>
      </c>
      <c r="X45" s="5" t="n">
        <f aca="false">IF(B45&lt;Assumptions!$B$5,G45*H45,0)</f>
        <v>0</v>
      </c>
      <c r="Y45" s="48" t="n">
        <f aca="false">IF(B45&gt;=Assumptions!$B$5,G45*Assumptions!$B$9*(1+Assumptions!$B$10)^(B45-Assumptions!$B$4)*H45,0)</f>
        <v>233.93938664728</v>
      </c>
      <c r="Z45" s="48" t="n">
        <f aca="false">IF(B45&lt;Assumptions!$B$5,F45*Pricing!$B$14*H45,0)</f>
        <v>0</v>
      </c>
      <c r="AA45" s="48" t="n">
        <f aca="false">IF(B45&lt;Assumptions!$B$5,Q45*Pricing!$B$14*H45,0)</f>
        <v>0</v>
      </c>
      <c r="AB45" s="48" t="n">
        <f aca="false">IF(B45&lt;Assumptions!$B$5,U45*Pricing!$B$14*H45,0)</f>
        <v>0</v>
      </c>
      <c r="AC45" s="48" t="n">
        <f aca="false">IF(B45&lt;Assumptions!$B$5,F45*(Pricing!$B$14-Pricing!$B$14*IF(B45=Assumptions!$B$4,Assumptions!$B$14,Assumptions!$B$15))*H45,0)</f>
        <v>0</v>
      </c>
      <c r="AD45" s="48" t="n">
        <f aca="false">IF(B45&lt;Assumptions!$B$5,F45*Pricing!$B$14*IF(B45=Assumptions!$B$4,Assumptions!$B$14,Assumptions!$B$15)*H45,0)</f>
        <v>0</v>
      </c>
    </row>
    <row r="46" customFormat="false" ht="15" hidden="false" customHeight="true" outlineLevel="0" collapsed="false">
      <c r="B46" s="34" t="n">
        <f aca="false">B45+1</f>
        <v>107</v>
      </c>
      <c r="C46" s="32" t="n">
        <f aca="false">IFERROR(INDEX(Cohort_Survival!$B$5:$AA$65,B46-59,Assumptions!$B$4-59),1)</f>
        <v>0.358228438027031</v>
      </c>
      <c r="D46" s="5" t="n">
        <f aca="false">IF(B46&lt;Assumptions!$B$5,IF(B46-Assumptions!$B$4+1=1,Assumptions!$B$16,IF(B46-Assumptions!$B$4+1=2,Assumptions!$B$17,IF(B46-Assumptions!$B$4+1&lt;=5,Assumptions!$B$18,Assumptions!$B$19))),0)</f>
        <v>0</v>
      </c>
      <c r="E46" s="5" t="n">
        <f aca="false">D46*(1-Assumptions!$B$20)</f>
        <v>0</v>
      </c>
      <c r="F46" s="11" t="n">
        <f aca="false">F45*(1-C45)*(1-E45)</f>
        <v>0.0129577038639437</v>
      </c>
      <c r="G46" s="11" t="n">
        <f aca="false">G45*(1-C45)</f>
        <v>0.0157471735527381</v>
      </c>
      <c r="H46" s="11" t="n">
        <f aca="false">Discount!C46</f>
        <v>0.265916775843918</v>
      </c>
      <c r="I46" s="5" t="n">
        <f aca="false">IF(B46&lt;Assumptions!$B$5,F46*H46,0)</f>
        <v>0</v>
      </c>
      <c r="J46" s="5" t="n">
        <f aca="false">IF(B46&lt;Assumptions!$B$5,F46*(1-C46)*E46*(B46-Assumptions!$B$4+1)*H46,0)</f>
        <v>0</v>
      </c>
      <c r="K46" s="48" t="n">
        <f aca="false">IF(B46&gt;=Assumptions!$B$5,F46*Assumptions!$B$9*(1+Assumptions!$B$10)^(B46-Assumptions!$B$4)*H46,0)</f>
        <v>126.648772076524</v>
      </c>
      <c r="L46" s="11" t="n">
        <f aca="false">F46*Assumptions!$B$12*(1+Assumptions!$B$11)^(B46-Assumptions!$B$4+1)*H46</f>
        <v>0.797058111055713</v>
      </c>
      <c r="M46" s="48" t="n">
        <f aca="false">IF(B46&lt;Assumptions!$B$5,F46*(Pricing!$B$14-Pricing!$B$14*IF(B46=Assumptions!$B$4,Assumptions!$B$14,Assumptions!$B$15))-F46*Assumptions!$B$12*(1+Assumptions!$B$11)^(B46-Assumptions!$B$4+1),-F46*(Assumptions!$B$9*(1+Assumptions!$B$10)^(B46-Assumptions!$B$4)+Assumptions!$B$12*(1+Assumptions!$B$11)^(B46-Assumptions!$B$4+1)))</f>
        <v>-479.269612769317</v>
      </c>
      <c r="N46" s="48" t="n">
        <f aca="false">M46*H46</f>
        <v>-127.44583018758</v>
      </c>
      <c r="O46" s="48" t="n">
        <f aca="false">F46*(IF(B46&lt;Assumptions!$B$5,Assumptions!$B$12*(1+Assumptions!$B$11)^(B46-Assumptions!$B$4+1)+Pricing!$B$14*IF(B46=Assumptions!$B$4,Assumptions!$B$14,Assumptions!$B$15)-Pricing!$B$14,Assumptions!$B$9*(1+Assumptions!$B$10)^(B46-Assumptions!$B$4)+Assumptions!$B$12*(1+Assumptions!$B$11)^(B46-Assumptions!$B$4+1)))</f>
        <v>479.269612769317</v>
      </c>
      <c r="P46" s="48" t="n">
        <f aca="false">O46*H46</f>
        <v>127.44583018758</v>
      </c>
      <c r="Q46" s="11" t="n">
        <f aca="false">Q45*(1-MIN(1,C45*(1-Assumptions!$B$21)))*(1-IF(B45&lt;Assumptions!$B$5,E45,0))</f>
        <v>0.0318790680287015</v>
      </c>
      <c r="R46" s="48" t="n">
        <f aca="false">Q46*(IF(B46&lt;Assumptions!$B$5,Assumptions!$B$12*(1+Assumptions!$B$11)^(B46-Assumptions!$B$4+1)+Pricing!$B$14*IF(B46=Assumptions!$B$4,Assumptions!$B$14,Assumptions!$B$15)-Pricing!$B$14,Assumptions!$B$9*(1+Assumptions!$B$10)^(B46-Assumptions!$B$4)+Assumptions!$B$12*(1+Assumptions!$B$11)^(B46-Assumptions!$B$4+1)))*H46</f>
        <v>313.547394907639</v>
      </c>
      <c r="S46" s="11" t="n">
        <f aca="false">S45*(1-MIN(1,C45))*(1-IF(B45&lt;Assumptions!$B$5,E45*(1+Assumptions!$B$23),0))</f>
        <v>0.0117381099073437</v>
      </c>
      <c r="T46" s="48" t="n">
        <f aca="false">S46*(IF(B46&lt;Assumptions!$B$5,Assumptions!$B$12*(1+Assumptions!$B$11)^(B46-Assumptions!$B$4+1)+Pricing!$B$14*IF(B46=Assumptions!$B$4,Assumptions!$B$14,Assumptions!$B$15)-Pricing!$B$14,Assumptions!$B$9*(1+Assumptions!$B$10)^(B46-Assumptions!$B$4)+Assumptions!$B$12*(1+Assumptions!$B$11)^(B46-Assumptions!$B$4+1)))*H46</f>
        <v>115.450482406623</v>
      </c>
      <c r="U46" s="11" t="n">
        <f aca="false">U45*(1-MIN(1,C45))*(1-IF(B45&lt;Assumptions!$B$5,E45*(1-Assumptions!$B$23),0))</f>
        <v>0.0142908899553158</v>
      </c>
      <c r="V46" s="48" t="n">
        <f aca="false">U46*(IF(B46&lt;Assumptions!$B$5,Assumptions!$B$12*(1+Assumptions!$B$11)^(B46-Assumptions!$B$4+1)+Pricing!$B$14*IF(B46=Assumptions!$B$4,Assumptions!$B$14,Assumptions!$B$15)-Pricing!$B$14,Assumptions!$B$9*(1+Assumptions!$B$10)^(B46-Assumptions!$B$4)+Assumptions!$B$12*(1+Assumptions!$B$11)^(B46-Assumptions!$B$4+1)))*H46</f>
        <v>140.5584163366</v>
      </c>
      <c r="W46" s="48" t="n">
        <f aca="false">F46*(IF(B46&lt;Assumptions!$B$5,Assumptions!$B$12*(1+Assumptions!$B$11)*(1+Assumptions!$B$24)*(1+Assumptions!$B$11+Assumptions!$B$25)^(B46-Assumptions!$B$4)+Pricing!$B$14*IF(B46=Assumptions!$B$4,Assumptions!$B$14,Assumptions!$B$15)-Pricing!$B$14,Assumptions!$B$9*(1+Assumptions!$B$10)^(B46-Assumptions!$B$4)+Assumptions!$B$12*(1+Assumptions!$B$11)*(1+Assumptions!$B$24)*(1+Assumptions!$B$11+Assumptions!$B$25)^(B46-Assumptions!$B$4)))*H46</f>
        <v>127.966952979755</v>
      </c>
      <c r="X46" s="5" t="n">
        <f aca="false">IF(B46&lt;Assumptions!$B$5,G46*H46,0)</f>
        <v>0</v>
      </c>
      <c r="Y46" s="48" t="n">
        <f aca="false">IF(B46&gt;=Assumptions!$B$5,G46*Assumptions!$B$9*(1+Assumptions!$B$10)^(B46-Assumptions!$B$4)*H46,0)</f>
        <v>153.913086382514</v>
      </c>
      <c r="Z46" s="48" t="n">
        <f aca="false">IF(B46&lt;Assumptions!$B$5,F46*Pricing!$B$14*H46,0)</f>
        <v>0</v>
      </c>
      <c r="AA46" s="48" t="n">
        <f aca="false">IF(B46&lt;Assumptions!$B$5,Q46*Pricing!$B$14*H46,0)</f>
        <v>0</v>
      </c>
      <c r="AB46" s="48" t="n">
        <f aca="false">IF(B46&lt;Assumptions!$B$5,U46*Pricing!$B$14*H46,0)</f>
        <v>0</v>
      </c>
      <c r="AC46" s="48" t="n">
        <f aca="false">IF(B46&lt;Assumptions!$B$5,F46*(Pricing!$B$14-Pricing!$B$14*IF(B46=Assumptions!$B$4,Assumptions!$B$14,Assumptions!$B$15))*H46,0)</f>
        <v>0</v>
      </c>
      <c r="AD46" s="48" t="n">
        <f aca="false">IF(B46&lt;Assumptions!$B$5,F46*Pricing!$B$14*IF(B46=Assumptions!$B$4,Assumptions!$B$14,Assumptions!$B$15)*H46,0)</f>
        <v>0</v>
      </c>
    </row>
    <row r="47" customFormat="false" ht="15" hidden="false" customHeight="true" outlineLevel="0" collapsed="false">
      <c r="B47" s="34" t="n">
        <f aca="false">B46+1</f>
        <v>108</v>
      </c>
      <c r="C47" s="32" t="n">
        <f aca="false">IFERROR(INDEX(Cohort_Survival!$B$5:$AA$65,B47-59,Assumptions!$B$4-59),1)</f>
        <v>0.383986985728216</v>
      </c>
      <c r="D47" s="5" t="n">
        <f aca="false">IF(B47&lt;Assumptions!$B$5,IF(B47-Assumptions!$B$4+1=1,Assumptions!$B$16,IF(B47-Assumptions!$B$4+1=2,Assumptions!$B$17,IF(B47-Assumptions!$B$4+1&lt;=5,Assumptions!$B$18,Assumptions!$B$19))),0)</f>
        <v>0</v>
      </c>
      <c r="E47" s="5" t="n">
        <f aca="false">D47*(1-Assumptions!$B$20)</f>
        <v>0</v>
      </c>
      <c r="F47" s="11" t="n">
        <f aca="false">F46*(1-C46)*(1-E46)</f>
        <v>0.00831588584834634</v>
      </c>
      <c r="G47" s="11" t="n">
        <f aca="false">G46*(1-C46)</f>
        <v>0.0101060881676002</v>
      </c>
      <c r="H47" s="11" t="n">
        <f aca="false">Discount!C47</f>
        <v>0.257446689628427</v>
      </c>
      <c r="I47" s="5" t="n">
        <f aca="false">IF(B47&lt;Assumptions!$B$5,F47*H47,0)</f>
        <v>0</v>
      </c>
      <c r="J47" s="5" t="n">
        <f aca="false">IF(B47&lt;Assumptions!$B$5,F47*(1-C47)*E47*(B47-Assumptions!$B$4+1)*H47,0)</f>
        <v>0</v>
      </c>
      <c r="K47" s="48" t="n">
        <f aca="false">IF(B47&gt;=Assumptions!$B$5,F47*Assumptions!$B$9*(1+Assumptions!$B$10)^(B47-Assumptions!$B$4)*H47,0)</f>
        <v>80.2644435900399</v>
      </c>
      <c r="L47" s="11" t="n">
        <f aca="false">F47*Assumptions!$B$12*(1+Assumptions!$B$11)^(B47-Assumptions!$B$4+1)*H47</f>
        <v>0.507616692741136</v>
      </c>
      <c r="M47" s="48" t="n">
        <f aca="false">IF(B47&lt;Assumptions!$B$5,F47*(Pricing!$B$14-Pricing!$B$14*IF(B47=Assumptions!$B$4,Assumptions!$B$14,Assumptions!$B$15))-F47*Assumptions!$B$12*(1+Assumptions!$B$11)^(B47-Assumptions!$B$4+1),-F47*(Assumptions!$B$9*(1+Assumptions!$B$10)^(B47-Assumptions!$B$4)+Assumptions!$B$12*(1+Assumptions!$B$11)^(B47-Assumptions!$B$4+1)))</f>
        <v>-313.742858373357</v>
      </c>
      <c r="N47" s="48" t="n">
        <f aca="false">M47*H47</f>
        <v>-80.772060282781</v>
      </c>
      <c r="O47" s="48" t="n">
        <f aca="false">F47*(IF(B47&lt;Assumptions!$B$5,Assumptions!$B$12*(1+Assumptions!$B$11)^(B47-Assumptions!$B$4+1)+Pricing!$B$14*IF(B47=Assumptions!$B$4,Assumptions!$B$14,Assumptions!$B$15)-Pricing!$B$14,Assumptions!$B$9*(1+Assumptions!$B$10)^(B47-Assumptions!$B$4)+Assumptions!$B$12*(1+Assumptions!$B$11)^(B47-Assumptions!$B$4+1)))</f>
        <v>313.742858373357</v>
      </c>
      <c r="P47" s="48" t="n">
        <f aca="false">O47*H47</f>
        <v>80.772060282781</v>
      </c>
      <c r="Q47" s="11" t="n">
        <f aca="false">Q46*(1-MIN(1,C46*(1-Assumptions!$B$21)))*(1-IF(B46&lt;Assumptions!$B$5,E46,0))</f>
        <v>0.0227430770321582</v>
      </c>
      <c r="R47" s="48" t="n">
        <f aca="false">Q47*(IF(B47&lt;Assumptions!$B$5,Assumptions!$B$12*(1+Assumptions!$B$11)^(B47-Assumptions!$B$4+1)+Pricing!$B$14*IF(B47=Assumptions!$B$4,Assumptions!$B$14,Assumptions!$B$15)-Pricing!$B$14,Assumptions!$B$9*(1+Assumptions!$B$10)^(B47-Assumptions!$B$4)+Assumptions!$B$12*(1+Assumptions!$B$11)^(B47-Assumptions!$B$4+1)))*H47</f>
        <v>220.903127166267</v>
      </c>
      <c r="S47" s="11" t="n">
        <f aca="false">S46*(1-MIN(1,C46))*(1-IF(B46&lt;Assumptions!$B$5,E46*(1+Assumptions!$B$23),0))</f>
        <v>0.00753318512984632</v>
      </c>
      <c r="T47" s="48" t="n">
        <f aca="false">S47*(IF(B47&lt;Assumptions!$B$5,Assumptions!$B$12*(1+Assumptions!$B$11)^(B47-Assumptions!$B$4+1)+Pricing!$B$14*IF(B47=Assumptions!$B$4,Assumptions!$B$14,Assumptions!$B$15)-Pricing!$B$14,Assumptions!$B$9*(1+Assumptions!$B$10)^(B47-Assumptions!$B$4)+Assumptions!$B$12*(1+Assumptions!$B$11)^(B47-Assumptions!$B$4+1)))*H47</f>
        <v>73.1697012832727</v>
      </c>
      <c r="U47" s="11" t="n">
        <f aca="false">U46*(1-MIN(1,C46))*(1-IF(B46&lt;Assumptions!$B$5,E46*(1-Assumptions!$B$23),0))</f>
        <v>0.00917148676860684</v>
      </c>
      <c r="V47" s="48" t="n">
        <f aca="false">U47*(IF(B47&lt;Assumptions!$B$5,Assumptions!$B$12*(1+Assumptions!$B$11)^(B47-Assumptions!$B$4+1)+Pricing!$B$14*IF(B47=Assumptions!$B$4,Assumptions!$B$14,Assumptions!$B$15)-Pricing!$B$14,Assumptions!$B$9*(1+Assumptions!$B$10)^(B47-Assumptions!$B$4)+Assumptions!$B$12*(1+Assumptions!$B$11)^(B47-Assumptions!$B$4+1)))*H47</f>
        <v>89.0824977237936</v>
      </c>
      <c r="W47" s="48" t="n">
        <f aca="false">F47*(IF(B47&lt;Assumptions!$B$5,Assumptions!$B$12*(1+Assumptions!$B$11)*(1+Assumptions!$B$24)*(1+Assumptions!$B$11+Assumptions!$B$25)^(B47-Assumptions!$B$4)+Pricing!$B$14*IF(B47=Assumptions!$B$4,Assumptions!$B$14,Assumptions!$B$15)-Pricing!$B$14,Assumptions!$B$9*(1+Assumptions!$B$10)^(B47-Assumptions!$B$4)+Assumptions!$B$12*(1+Assumptions!$B$11)*(1+Assumptions!$B$24)*(1+Assumptions!$B$11+Assumptions!$B$25)^(B47-Assumptions!$B$4)))*H47</f>
        <v>81.1121342726555</v>
      </c>
      <c r="X47" s="5" t="n">
        <f aca="false">IF(B47&lt;Assumptions!$B$5,G47*H47,0)</f>
        <v>0</v>
      </c>
      <c r="Y47" s="48" t="n">
        <f aca="false">IF(B47&gt;=Assumptions!$B$5,G47*Assumptions!$B$9*(1+Assumptions!$B$10)^(B47-Assumptions!$B$4)*H47,0)</f>
        <v>97.5433716187456</v>
      </c>
      <c r="Z47" s="48" t="n">
        <f aca="false">IF(B47&lt;Assumptions!$B$5,F47*Pricing!$B$14*H47,0)</f>
        <v>0</v>
      </c>
      <c r="AA47" s="48" t="n">
        <f aca="false">IF(B47&lt;Assumptions!$B$5,Q47*Pricing!$B$14*H47,0)</f>
        <v>0</v>
      </c>
      <c r="AB47" s="48" t="n">
        <f aca="false">IF(B47&lt;Assumptions!$B$5,U47*Pricing!$B$14*H47,0)</f>
        <v>0</v>
      </c>
      <c r="AC47" s="48" t="n">
        <f aca="false">IF(B47&lt;Assumptions!$B$5,F47*(Pricing!$B$14-Pricing!$B$14*IF(B47=Assumptions!$B$4,Assumptions!$B$14,Assumptions!$B$15))*H47,0)</f>
        <v>0</v>
      </c>
      <c r="AD47" s="48" t="n">
        <f aca="false">IF(B47&lt;Assumptions!$B$5,F47*Pricing!$B$14*IF(B47=Assumptions!$B$4,Assumptions!$B$14,Assumptions!$B$15)*H47,0)</f>
        <v>0</v>
      </c>
    </row>
    <row r="48" customFormat="false" ht="15" hidden="false" customHeight="true" outlineLevel="0" collapsed="false">
      <c r="B48" s="34" t="n">
        <f aca="false">B47+1</f>
        <v>109</v>
      </c>
      <c r="C48" s="32" t="n">
        <f aca="false">IFERROR(INDEX(Cohort_Survival!$B$5:$AA$65,B48-59,Assumptions!$B$4-59),1)</f>
        <v>0.411411053924766</v>
      </c>
      <c r="D48" s="5" t="n">
        <f aca="false">IF(B48&lt;Assumptions!$B$5,IF(B48-Assumptions!$B$4+1=1,Assumptions!$B$16,IF(B48-Assumptions!$B$4+1=2,Assumptions!$B$17,IF(B48-Assumptions!$B$4+1&lt;=5,Assumptions!$B$18,Assumptions!$B$19))),0)</f>
        <v>0</v>
      </c>
      <c r="E48" s="5" t="n">
        <f aca="false">D48*(1-Assumptions!$B$20)</f>
        <v>0</v>
      </c>
      <c r="F48" s="11" t="n">
        <f aca="false">F47*(1-C47)*(1-E47)</f>
        <v>0.0051226939077799</v>
      </c>
      <c r="G48" s="11" t="n">
        <f aca="false">G47*(1-C47)</f>
        <v>0.0062254818346198</v>
      </c>
      <c r="H48" s="11" t="n">
        <f aca="false">Discount!C48</f>
        <v>0.249343018663642</v>
      </c>
      <c r="I48" s="5" t="n">
        <f aca="false">IF(B48&lt;Assumptions!$B$5,F48*H48,0)</f>
        <v>0</v>
      </c>
      <c r="J48" s="5" t="n">
        <f aca="false">IF(B48&lt;Assumptions!$B$5,F48*(1-C48)*E48*(B48-Assumptions!$B$4+1)*H48,0)</f>
        <v>0</v>
      </c>
      <c r="K48" s="48" t="n">
        <f aca="false">IF(B48&gt;=Assumptions!$B$5,F48*Assumptions!$B$9*(1+Assumptions!$B$10)^(B48-Assumptions!$B$4)*H48,0)</f>
        <v>48.8453425603933</v>
      </c>
      <c r="L48" s="11" t="n">
        <f aca="false">F48*Assumptions!$B$12*(1+Assumptions!$B$11)^(B48-Assumptions!$B$4+1)*H48</f>
        <v>0.310427043832325</v>
      </c>
      <c r="M48" s="48" t="n">
        <f aca="false">IF(B48&lt;Assumptions!$B$5,F48*(Pricing!$B$14-Pricing!$B$14*IF(B48=Assumptions!$B$4,Assumptions!$B$14,Assumptions!$B$15))-F48*Assumptions!$B$12*(1+Assumptions!$B$11)^(B48-Assumptions!$B$4+1),-F48*(Assumptions!$B$9*(1+Assumptions!$B$10)^(B48-Assumptions!$B$4)+Assumptions!$B$12*(1+Assumptions!$B$11)^(B48-Assumptions!$B$4+1)))</f>
        <v>-197.141150643305</v>
      </c>
      <c r="N48" s="48" t="n">
        <f aca="false">M48*H48</f>
        <v>-49.1557696042256</v>
      </c>
      <c r="O48" s="48" t="n">
        <f aca="false">F48*(IF(B48&lt;Assumptions!$B$5,Assumptions!$B$12*(1+Assumptions!$B$11)^(B48-Assumptions!$B$4+1)+Pricing!$B$14*IF(B48=Assumptions!$B$4,Assumptions!$B$14,Assumptions!$B$15)-Pricing!$B$14,Assumptions!$B$9*(1+Assumptions!$B$10)^(B48-Assumptions!$B$4)+Assumptions!$B$12*(1+Assumptions!$B$11)^(B48-Assumptions!$B$4+1)))</f>
        <v>197.141150643305</v>
      </c>
      <c r="P48" s="48" t="n">
        <f aca="false">O48*H48</f>
        <v>49.1557696042256</v>
      </c>
      <c r="Q48" s="11" t="n">
        <f aca="false">Q47*(1-MIN(1,C47*(1-Assumptions!$B$21)))*(1-IF(B47&lt;Assumptions!$B$5,E47,0))</f>
        <v>0.0157566405555477</v>
      </c>
      <c r="R48" s="48" t="n">
        <f aca="false">Q48*(IF(B48&lt;Assumptions!$B$5,Assumptions!$B$12*(1+Assumptions!$B$11)^(B48-Assumptions!$B$4+1)+Pricing!$B$14*IF(B48=Assumptions!$B$4,Assumptions!$B$14,Assumptions!$B$15)-Pricing!$B$14,Assumptions!$B$9*(1+Assumptions!$B$10)^(B48-Assumptions!$B$4)+Assumptions!$B$12*(1+Assumptions!$B$11)^(B48-Assumptions!$B$4+1)))*H48</f>
        <v>151.195797919687</v>
      </c>
      <c r="S48" s="11" t="n">
        <f aca="false">S47*(1-MIN(1,C47))*(1-IF(B47&lt;Assumptions!$B$5,E47*(1+Assumptions!$B$23),0))</f>
        <v>0.00464054007890401</v>
      </c>
      <c r="T48" s="48" t="n">
        <f aca="false">S48*(IF(B48&lt;Assumptions!$B$5,Assumptions!$B$12*(1+Assumptions!$B$11)^(B48-Assumptions!$B$4+1)+Pricing!$B$14*IF(B48=Assumptions!$B$4,Assumptions!$B$14,Assumptions!$B$15)-Pricing!$B$14,Assumptions!$B$9*(1+Assumptions!$B$10)^(B48-Assumptions!$B$4)+Assumptions!$B$12*(1+Assumptions!$B$11)^(B48-Assumptions!$B$4+1)))*H48</f>
        <v>44.5291721629801</v>
      </c>
      <c r="U48" s="11" t="n">
        <f aca="false">U47*(1-MIN(1,C47))*(1-IF(B47&lt;Assumptions!$B$5,E47*(1-Assumptions!$B$23),0))</f>
        <v>0.00564975520968329</v>
      </c>
      <c r="V48" s="48" t="n">
        <f aca="false">U48*(IF(B48&lt;Assumptions!$B$5,Assumptions!$B$12*(1+Assumptions!$B$11)^(B48-Assumptions!$B$4+1)+Pricing!$B$14*IF(B48=Assumptions!$B$4,Assumptions!$B$14,Assumptions!$B$15)-Pricing!$B$14,Assumptions!$B$9*(1+Assumptions!$B$10)^(B48-Assumptions!$B$4)+Assumptions!$B$12*(1+Assumptions!$B$11)^(B48-Assumptions!$B$4+1)))*H48</f>
        <v>54.2132851204892</v>
      </c>
      <c r="W48" s="48" t="n">
        <f aca="false">F48*(IF(B48&lt;Assumptions!$B$5,Assumptions!$B$12*(1+Assumptions!$B$11)*(1+Assumptions!$B$24)*(1+Assumptions!$B$11+Assumptions!$B$25)^(B48-Assumptions!$B$4)+Pricing!$B$14*IF(B48=Assumptions!$B$4,Assumptions!$B$14,Assumptions!$B$15)-Pricing!$B$14,Assumptions!$B$9*(1+Assumptions!$B$10)^(B48-Assumptions!$B$4)+Assumptions!$B$12*(1+Assumptions!$B$11)*(1+Assumptions!$B$24)*(1+Assumptions!$B$11+Assumptions!$B$25)^(B48-Assumptions!$B$4)))*H48</f>
        <v>49.3687953854017</v>
      </c>
      <c r="X48" s="5" t="n">
        <f aca="false">IF(B48&lt;Assumptions!$B$5,G48*H48,0)</f>
        <v>0</v>
      </c>
      <c r="Y48" s="48" t="n">
        <f aca="false">IF(B48&gt;=Assumptions!$B$5,G48*Assumptions!$B$9*(1+Assumptions!$B$10)^(B48-Assumptions!$B$4)*H48,0)</f>
        <v>59.3605236404406</v>
      </c>
      <c r="Z48" s="48" t="n">
        <f aca="false">IF(B48&lt;Assumptions!$B$5,F48*Pricing!$B$14*H48,0)</f>
        <v>0</v>
      </c>
      <c r="AA48" s="48" t="n">
        <f aca="false">IF(B48&lt;Assumptions!$B$5,Q48*Pricing!$B$14*H48,0)</f>
        <v>0</v>
      </c>
      <c r="AB48" s="48" t="n">
        <f aca="false">IF(B48&lt;Assumptions!$B$5,U48*Pricing!$B$14*H48,0)</f>
        <v>0</v>
      </c>
      <c r="AC48" s="48" t="n">
        <f aca="false">IF(B48&lt;Assumptions!$B$5,F48*(Pricing!$B$14-Pricing!$B$14*IF(B48=Assumptions!$B$4,Assumptions!$B$14,Assumptions!$B$15))*H48,0)</f>
        <v>0</v>
      </c>
      <c r="AD48" s="48" t="n">
        <f aca="false">IF(B48&lt;Assumptions!$B$5,F48*Pricing!$B$14*IF(B48=Assumptions!$B$4,Assumptions!$B$14,Assumptions!$B$15)*H48,0)</f>
        <v>0</v>
      </c>
    </row>
    <row r="49" customFormat="false" ht="15" hidden="false" customHeight="true" outlineLevel="0" collapsed="false">
      <c r="B49" s="34" t="n">
        <f aca="false">B48+1</f>
        <v>110</v>
      </c>
      <c r="C49" s="32" t="n">
        <f aca="false">IFERROR(INDEX(Cohort_Survival!$B$5:$AA$65,B49-59,Assumptions!$B$4-59),1)</f>
        <v>0.440590901801861</v>
      </c>
      <c r="D49" s="5" t="n">
        <f aca="false">IF(B49&lt;Assumptions!$B$5,IF(B49-Assumptions!$B$4+1=1,Assumptions!$B$16,IF(B49-Assumptions!$B$4+1=2,Assumptions!$B$17,IF(B49-Assumptions!$B$4+1&lt;=5,Assumptions!$B$18,Assumptions!$B$19))),0)</f>
        <v>0</v>
      </c>
      <c r="E49" s="5" t="n">
        <f aca="false">D49*(1-Assumptions!$B$20)</f>
        <v>0</v>
      </c>
      <c r="F49" s="11" t="n">
        <f aca="false">F48*(1-C48)*(1-E48)</f>
        <v>0.0030151610082462</v>
      </c>
      <c r="G49" s="11" t="n">
        <f aca="false">G48*(1-C48)</f>
        <v>0.00366424979184939</v>
      </c>
      <c r="H49" s="11" t="n">
        <f aca="false">Discount!C49</f>
        <v>0.241384479723436</v>
      </c>
      <c r="I49" s="5" t="n">
        <f aca="false">IF(B49&lt;Assumptions!$B$5,F49*H49,0)</f>
        <v>0</v>
      </c>
      <c r="J49" s="5" t="n">
        <f aca="false">IF(B49&lt;Assumptions!$B$5,F49*(1-C49)*E49*(B49-Assumptions!$B$4+1)*H49,0)</f>
        <v>0</v>
      </c>
      <c r="K49" s="48" t="n">
        <f aca="false">IF(B49&gt;=Assumptions!$B$5,F49*Assumptions!$B$9*(1+Assumptions!$B$10)^(B49-Assumptions!$B$4)*H49,0)</f>
        <v>28.3888345030297</v>
      </c>
      <c r="L49" s="11" t="n">
        <f aca="false">F49*Assumptions!$B$12*(1+Assumptions!$B$11)^(B49-Assumptions!$B$4+1)*H49</f>
        <v>0.181304108678658</v>
      </c>
      <c r="M49" s="48" t="n">
        <f aca="false">IF(B49&lt;Assumptions!$B$5,F49*(Pricing!$B$14-Pricing!$B$14*IF(B49=Assumptions!$B$4,Assumptions!$B$14,Assumptions!$B$15))-F49*Assumptions!$B$12*(1+Assumptions!$B$11)^(B49-Assumptions!$B$4+1),-F49*(Assumptions!$B$9*(1+Assumptions!$B$10)^(B49-Assumptions!$B$4)+Assumptions!$B$12*(1+Assumptions!$B$11)^(B49-Assumptions!$B$4+1)))</f>
        <v>-118.359468033911</v>
      </c>
      <c r="N49" s="48" t="n">
        <f aca="false">M49*H49</f>
        <v>-28.5701386117084</v>
      </c>
      <c r="O49" s="48" t="n">
        <f aca="false">F49*(IF(B49&lt;Assumptions!$B$5,Assumptions!$B$12*(1+Assumptions!$B$11)^(B49-Assumptions!$B$4+1)+Pricing!$B$14*IF(B49=Assumptions!$B$4,Assumptions!$B$14,Assumptions!$B$15)-Pricing!$B$14,Assumptions!$B$9*(1+Assumptions!$B$10)^(B49-Assumptions!$B$4)+Assumptions!$B$12*(1+Assumptions!$B$11)^(B49-Assumptions!$B$4+1)))</f>
        <v>118.359468033911</v>
      </c>
      <c r="P49" s="48" t="n">
        <f aca="false">O49*H49</f>
        <v>28.5701386117084</v>
      </c>
      <c r="Q49" s="11" t="n">
        <f aca="false">Q48*(1-MIN(1,C48*(1-Assumptions!$B$21)))*(1-IF(B48&lt;Assumptions!$B$5,E48,0))</f>
        <v>0.0105706756777305</v>
      </c>
      <c r="R49" s="48" t="n">
        <f aca="false">Q49*(IF(B49&lt;Assumptions!$B$5,Assumptions!$B$12*(1+Assumptions!$B$11)^(B49-Assumptions!$B$4+1)+Pricing!$B$14*IF(B49=Assumptions!$B$4,Assumptions!$B$14,Assumptions!$B$15)-Pricing!$B$14,Assumptions!$B$9*(1+Assumptions!$B$10)^(B49-Assumptions!$B$4)+Assumptions!$B$12*(1+Assumptions!$B$11)^(B49-Assumptions!$B$4+1)))*H49</f>
        <v>100.162368943554</v>
      </c>
      <c r="S49" s="11" t="n">
        <f aca="false">S48*(1-MIN(1,C48))*(1-IF(B48&lt;Assumptions!$B$5,E48*(1+Assumptions!$B$23),0))</f>
        <v>0.002731370594262</v>
      </c>
      <c r="T49" s="48" t="n">
        <f aca="false">S49*(IF(B49&lt;Assumptions!$B$5,Assumptions!$B$12*(1+Assumptions!$B$11)^(B49-Assumptions!$B$4+1)+Pricing!$B$14*IF(B49=Assumptions!$B$4,Assumptions!$B$14,Assumptions!$B$15)-Pricing!$B$14,Assumptions!$B$9*(1+Assumptions!$B$10)^(B49-Assumptions!$B$4)+Assumptions!$B$12*(1+Assumptions!$B$11)^(B49-Assumptions!$B$4+1)))*H49</f>
        <v>25.8810843814274</v>
      </c>
      <c r="U49" s="11" t="n">
        <f aca="false">U48*(1-MIN(1,C48))*(1-IF(B48&lt;Assumptions!$B$5,E48*(1-Assumptions!$B$23),0))</f>
        <v>0.00332538346445055</v>
      </c>
      <c r="V49" s="48" t="n">
        <f aca="false">U49*(IF(B49&lt;Assumptions!$B$5,Assumptions!$B$12*(1+Assumptions!$B$11)^(B49-Assumptions!$B$4+1)+Pricing!$B$14*IF(B49=Assumptions!$B$4,Assumptions!$B$14,Assumptions!$B$15)-Pricing!$B$14,Assumptions!$B$9*(1+Assumptions!$B$10)^(B49-Assumptions!$B$4)+Assumptions!$B$12*(1+Assumptions!$B$11)^(B49-Assumptions!$B$4+1)))*H49</f>
        <v>31.5096494869098</v>
      </c>
      <c r="W49" s="48" t="n">
        <f aca="false">F49*(IF(B49&lt;Assumptions!$B$5,Assumptions!$B$12*(1+Assumptions!$B$11)*(1+Assumptions!$B$24)*(1+Assumptions!$B$11+Assumptions!$B$25)^(B49-Assumptions!$B$4)+Pricing!$B$14*IF(B49=Assumptions!$B$4,Assumptions!$B$14,Assumptions!$B$15)-Pricing!$B$14,Assumptions!$B$9*(1+Assumptions!$B$10)^(B49-Assumptions!$B$4)+Assumptions!$B$12*(1+Assumptions!$B$11)*(1+Assumptions!$B$24)*(1+Assumptions!$B$11+Assumptions!$B$25)^(B49-Assumptions!$B$4)))*H49</f>
        <v>28.6975384123799</v>
      </c>
      <c r="X49" s="5" t="n">
        <f aca="false">IF(B49&lt;Assumptions!$B$5,G49*H49,0)</f>
        <v>0</v>
      </c>
      <c r="Y49" s="48" t="n">
        <f aca="false">IF(B49&gt;=Assumptions!$B$5,G49*Assumptions!$B$9*(1+Assumptions!$B$10)^(B49-Assumptions!$B$4)*H49,0)</f>
        <v>34.5002408276299</v>
      </c>
      <c r="Z49" s="48" t="n">
        <f aca="false">IF(B49&lt;Assumptions!$B$5,F49*Pricing!$B$14*H49,0)</f>
        <v>0</v>
      </c>
      <c r="AA49" s="48" t="n">
        <f aca="false">IF(B49&lt;Assumptions!$B$5,Q49*Pricing!$B$14*H49,0)</f>
        <v>0</v>
      </c>
      <c r="AB49" s="48" t="n">
        <f aca="false">IF(B49&lt;Assumptions!$B$5,U49*Pricing!$B$14*H49,0)</f>
        <v>0</v>
      </c>
      <c r="AC49" s="48" t="n">
        <f aca="false">IF(B49&lt;Assumptions!$B$5,F49*(Pricing!$B$14-Pricing!$B$14*IF(B49=Assumptions!$B$4,Assumptions!$B$14,Assumptions!$B$15))*H49,0)</f>
        <v>0</v>
      </c>
      <c r="AD49" s="48" t="n">
        <f aca="false">IF(B49&lt;Assumptions!$B$5,F49*Pricing!$B$14*IF(B49=Assumptions!$B$4,Assumptions!$B$14,Assumptions!$B$15)*H49,0)</f>
        <v>0</v>
      </c>
    </row>
    <row r="50" customFormat="false" ht="15" hidden="false" customHeight="true" outlineLevel="0" collapsed="false">
      <c r="B50" s="34" t="n">
        <f aca="false">B49+1</f>
        <v>111</v>
      </c>
      <c r="C50" s="32" t="n">
        <f aca="false">IFERROR(INDEX(Cohort_Survival!$B$5:$AA$65,B50-59,Assumptions!$B$4-59),1)</f>
        <v>0.458238138888</v>
      </c>
      <c r="D50" s="5" t="n">
        <f aca="false">IF(B50&lt;Assumptions!$B$5,IF(B50-Assumptions!$B$4+1=1,Assumptions!$B$16,IF(B50-Assumptions!$B$4+1=2,Assumptions!$B$17,IF(B50-Assumptions!$B$4+1&lt;=5,Assumptions!$B$18,Assumptions!$B$19))),0)</f>
        <v>0</v>
      </c>
      <c r="E50" s="5" t="n">
        <f aca="false">D50*(1-Assumptions!$B$20)</f>
        <v>0</v>
      </c>
      <c r="F50" s="11" t="n">
        <f aca="false">F49*(1-C49)*(1-E49)</f>
        <v>0.0016867085005452</v>
      </c>
      <c r="G50" s="11" t="n">
        <f aca="false">G49*(1-C49)</f>
        <v>0.00204981467163119</v>
      </c>
      <c r="H50" s="11" t="n">
        <f aca="false">Discount!C50</f>
        <v>0.23377507750393</v>
      </c>
      <c r="I50" s="5" t="n">
        <f aca="false">IF(B50&lt;Assumptions!$B$5,F50*H50,0)</f>
        <v>0</v>
      </c>
      <c r="J50" s="5" t="n">
        <f aca="false">IF(B50&lt;Assumptions!$B$5,F50*(1-C50)*E50*(B50-Assumptions!$B$4+1)*H50,0)</f>
        <v>0</v>
      </c>
      <c r="K50" s="48" t="n">
        <f aca="false">IF(B50&gt;=Assumptions!$B$5,F50*Assumptions!$B$9*(1+Assumptions!$B$10)^(B50-Assumptions!$B$4)*H50,0)</f>
        <v>15.6879474901546</v>
      </c>
      <c r="L50" s="11" t="n">
        <f aca="false">F50*Assumptions!$B$12*(1+Assumptions!$B$11)^(B50-Assumptions!$B$4+1)*H50</f>
        <v>0.100681552502016</v>
      </c>
      <c r="M50" s="48" t="n">
        <f aca="false">IF(B50&lt;Assumptions!$B$5,F50*(Pricing!$B$14-Pricing!$B$14*IF(B50=Assumptions!$B$4,Assumptions!$B$14,Assumptions!$B$15))-F50*Assumptions!$B$12*(1+Assumptions!$B$11)^(B50-Assumptions!$B$4+1),-F50*(Assumptions!$B$9*(1+Assumptions!$B$10)^(B50-Assumptions!$B$4)+Assumptions!$B$12*(1+Assumptions!$B$11)^(B50-Assumptions!$B$4+1)))</f>
        <v>-67.5376914050697</v>
      </c>
      <c r="N50" s="48" t="n">
        <f aca="false">M50*H50</f>
        <v>-15.7886290426566</v>
      </c>
      <c r="O50" s="48" t="n">
        <f aca="false">F50*(IF(B50&lt;Assumptions!$B$5,Assumptions!$B$12*(1+Assumptions!$B$11)^(B50-Assumptions!$B$4+1)+Pricing!$B$14*IF(B50=Assumptions!$B$4,Assumptions!$B$14,Assumptions!$B$15)-Pricing!$B$14,Assumptions!$B$9*(1+Assumptions!$B$10)^(B50-Assumptions!$B$4)+Assumptions!$B$12*(1+Assumptions!$B$11)^(B50-Assumptions!$B$4+1)))</f>
        <v>67.5376914050697</v>
      </c>
      <c r="P50" s="48" t="n">
        <f aca="false">O50*H50</f>
        <v>15.7886290426566</v>
      </c>
      <c r="Q50" s="11" t="n">
        <f aca="false">Q49*(1-MIN(1,C49*(1-Assumptions!$B$21)))*(1-IF(B49&lt;Assumptions!$B$5,E49,0))</f>
        <v>0.00684480085412546</v>
      </c>
      <c r="R50" s="48" t="n">
        <f aca="false">Q50*(IF(B50&lt;Assumptions!$B$5,Assumptions!$B$12*(1+Assumptions!$B$11)^(B50-Assumptions!$B$4+1)+Pricing!$B$14*IF(B50=Assumptions!$B$4,Assumptions!$B$14,Assumptions!$B$15)-Pricing!$B$14,Assumptions!$B$9*(1+Assumptions!$B$10)^(B50-Assumptions!$B$4)+Assumptions!$B$12*(1+Assumptions!$B$11)^(B50-Assumptions!$B$4+1)))*H50</f>
        <v>64.0715461632609</v>
      </c>
      <c r="S50" s="11" t="n">
        <f aca="false">S49*(1-MIN(1,C49))*(1-IF(B49&lt;Assumptions!$B$5,E49*(1+Assumptions!$B$23),0))</f>
        <v>0.00152795356098102</v>
      </c>
      <c r="T50" s="48" t="n">
        <f aca="false">S50*(IF(B50&lt;Assumptions!$B$5,Assumptions!$B$12*(1+Assumptions!$B$11)^(B50-Assumptions!$B$4+1)+Pricing!$B$14*IF(B50=Assumptions!$B$4,Assumptions!$B$14,Assumptions!$B$15)-Pricing!$B$14,Assumptions!$B$9*(1+Assumptions!$B$10)^(B50-Assumptions!$B$4)+Assumptions!$B$12*(1+Assumptions!$B$11)^(B50-Assumptions!$B$4+1)))*H50</f>
        <v>14.3025851597581</v>
      </c>
      <c r="U50" s="11" t="n">
        <f aca="false">U49*(1-MIN(1,C49))*(1-IF(B49&lt;Assumptions!$B$5,E49*(1-Assumptions!$B$23),0))</f>
        <v>0.00186024976501129</v>
      </c>
      <c r="V50" s="48" t="n">
        <f aca="false">U50*(IF(B50&lt;Assumptions!$B$5,Assumptions!$B$12*(1+Assumptions!$B$11)^(B50-Assumptions!$B$4+1)+Pricing!$B$14*IF(B50=Assumptions!$B$4,Assumptions!$B$14,Assumptions!$B$15)-Pricing!$B$14,Assumptions!$B$9*(1+Assumptions!$B$10)^(B50-Assumptions!$B$4)+Assumptions!$B$12*(1+Assumptions!$B$11)^(B50-Assumptions!$B$4+1)))*H50</f>
        <v>17.4130820215579</v>
      </c>
      <c r="W50" s="48" t="n">
        <f aca="false">F50*(IF(B50&lt;Assumptions!$B$5,Assumptions!$B$12*(1+Assumptions!$B$11)*(1+Assumptions!$B$24)*(1+Assumptions!$B$11+Assumptions!$B$25)^(B50-Assumptions!$B$4)+Pricing!$B$14*IF(B50=Assumptions!$B$4,Assumptions!$B$14,Assumptions!$B$15)-Pricing!$B$14,Assumptions!$B$9*(1+Assumptions!$B$10)^(B50-Assumptions!$B$4)+Assumptions!$B$12*(1+Assumptions!$B$11)*(1+Assumptions!$B$24)*(1+Assumptions!$B$11+Assumptions!$B$25)^(B50-Assumptions!$B$4)))*H50</f>
        <v>15.8610490061319</v>
      </c>
      <c r="X50" s="5" t="n">
        <f aca="false">IF(B50&lt;Assumptions!$B$5,G50*H50,0)</f>
        <v>0</v>
      </c>
      <c r="Y50" s="48" t="n">
        <f aca="false">IF(B50&gt;=Assumptions!$B$5,G50*Assumptions!$B$9*(1+Assumptions!$B$10)^(B50-Assumptions!$B$4)*H50,0)</f>
        <v>19.0651703733658</v>
      </c>
      <c r="Z50" s="48" t="n">
        <f aca="false">IF(B50&lt;Assumptions!$B$5,F50*Pricing!$B$14*H50,0)</f>
        <v>0</v>
      </c>
      <c r="AA50" s="48" t="n">
        <f aca="false">IF(B50&lt;Assumptions!$B$5,Q50*Pricing!$B$14*H50,0)</f>
        <v>0</v>
      </c>
      <c r="AB50" s="48" t="n">
        <f aca="false">IF(B50&lt;Assumptions!$B$5,U50*Pricing!$B$14*H50,0)</f>
        <v>0</v>
      </c>
      <c r="AC50" s="48" t="n">
        <f aca="false">IF(B50&lt;Assumptions!$B$5,F50*(Pricing!$B$14-Pricing!$B$14*IF(B50=Assumptions!$B$4,Assumptions!$B$14,Assumptions!$B$15))*H50,0)</f>
        <v>0</v>
      </c>
      <c r="AD50" s="48" t="n">
        <f aca="false">IF(B50&lt;Assumptions!$B$5,F50*Pricing!$B$14*IF(B50=Assumptions!$B$4,Assumptions!$B$14,Assumptions!$B$15)*H50,0)</f>
        <v>0</v>
      </c>
    </row>
    <row r="51" customFormat="false" ht="15" hidden="false" customHeight="true" outlineLevel="0" collapsed="false">
      <c r="B51" s="34" t="n">
        <f aca="false">B50+1</f>
        <v>112</v>
      </c>
      <c r="C51" s="32" t="n">
        <f aca="false">IFERROR(INDEX(Cohort_Survival!$B$5:$AA$65,B51-59,Assumptions!$B$4-59),1)</f>
        <v>0.475813576891172</v>
      </c>
      <c r="D51" s="5" t="n">
        <f aca="false">IF(B51&lt;Assumptions!$B$5,IF(B51-Assumptions!$B$4+1=1,Assumptions!$B$16,IF(B51-Assumptions!$B$4+1=2,Assumptions!$B$17,IF(B51-Assumptions!$B$4+1&lt;=5,Assumptions!$B$18,Assumptions!$B$19))),0)</f>
        <v>0</v>
      </c>
      <c r="E51" s="5" t="n">
        <f aca="false">D51*(1-Assumptions!$B$20)</f>
        <v>0</v>
      </c>
      <c r="F51" s="27" t="n">
        <f aca="false">F50*(1-C50)*(1-E50)</f>
        <v>0.000913794336408797</v>
      </c>
      <c r="G51" s="11" t="n">
        <f aca="false">G50*(1-C50)</f>
        <v>0.00111051141143759</v>
      </c>
      <c r="H51" s="11" t="n">
        <f aca="false">Discount!C51</f>
        <v>0.22640116775395</v>
      </c>
      <c r="I51" s="5" t="n">
        <f aca="false">IF(B51&lt;Assumptions!$B$5,F51*H51,0)</f>
        <v>0</v>
      </c>
      <c r="J51" s="5" t="n">
        <f aca="false">IF(B51&lt;Assumptions!$B$5,F51*(1-C51)*E51*(B51-Assumptions!$B$4+1)*H51,0)</f>
        <v>0</v>
      </c>
      <c r="K51" s="11" t="n">
        <f aca="false">IF(B51&gt;=Assumptions!$B$5,F51*Assumptions!$B$9*(1+Assumptions!$B$10)^(B51-Assumptions!$B$4)*H51,0)</f>
        <v>8.39566652372908</v>
      </c>
      <c r="L51" s="11" t="n">
        <f aca="false">F51*Assumptions!$B$12*(1+Assumptions!$B$11)^(B51-Assumptions!$B$4+1)*H51</f>
        <v>0.0541455351431876</v>
      </c>
      <c r="M51" s="48" t="n">
        <f aca="false">IF(B51&lt;Assumptions!$B$5,F51*(Pricing!$B$14-Pricing!$B$14*IF(B51=Assumptions!$B$4,Assumptions!$B$14,Assumptions!$B$15))-F51*Assumptions!$B$12*(1+Assumptions!$B$11)^(B51-Assumptions!$B$4+1),-F51*(Assumptions!$B$9*(1+Assumptions!$B$10)^(B51-Assumptions!$B$4)+Assumptions!$B$12*(1+Assumptions!$B$11)^(B51-Assumptions!$B$4+1)))</f>
        <v>-37.3222989205401</v>
      </c>
      <c r="N51" s="11" t="n">
        <f aca="false">M51*H51</f>
        <v>-8.44981205887227</v>
      </c>
      <c r="O51" s="48" t="n">
        <f aca="false">F51*(IF(B51&lt;Assumptions!$B$5,Assumptions!$B$12*(1+Assumptions!$B$11)^(B51-Assumptions!$B$4+1)+Pricing!$B$14*IF(B51=Assumptions!$B$4,Assumptions!$B$14,Assumptions!$B$15)-Pricing!$B$14,Assumptions!$B$9*(1+Assumptions!$B$10)^(B51-Assumptions!$B$4)+Assumptions!$B$12*(1+Assumptions!$B$11)^(B51-Assumptions!$B$4+1)))</f>
        <v>37.3222989205401</v>
      </c>
      <c r="P51" s="48" t="n">
        <f aca="false">O51*H51</f>
        <v>8.44981205887227</v>
      </c>
      <c r="Q51" s="11" t="n">
        <f aca="false">Q50*(1-MIN(1,C50*(1-Assumptions!$B$21)))*(1-IF(B50&lt;Assumptions!$B$5,E50,0))</f>
        <v>0.0043355618105627</v>
      </c>
      <c r="R51" s="48" t="n">
        <f aca="false">Q51*(IF(B51&lt;Assumptions!$B$5,Assumptions!$B$12*(1+Assumptions!$B$11)^(B51-Assumptions!$B$4+1)+Pricing!$B$14*IF(B51=Assumptions!$B$4,Assumptions!$B$14,Assumptions!$B$15)-Pricing!$B$14,Assumptions!$B$9*(1+Assumptions!$B$10)^(B51-Assumptions!$B$4)+Assumptions!$B$12*(1+Assumptions!$B$11)^(B51-Assumptions!$B$4+1)))*H51</f>
        <v>40.0907304950617</v>
      </c>
      <c r="S51" s="27" t="n">
        <f aca="false">S50*(1-MIN(1,C50))*(1-IF(B50&lt;Assumptions!$B$5,E50*(1+Assumptions!$B$23),0))</f>
        <v>0.000827786964889785</v>
      </c>
      <c r="T51" s="48" t="n">
        <f aca="false">S51*(IF(B51&lt;Assumptions!$B$5,Assumptions!$B$12*(1+Assumptions!$B$11)^(B51-Assumptions!$B$4+1)+Pricing!$B$14*IF(B51=Assumptions!$B$4,Assumptions!$B$14,Assumptions!$B$15)-Pricing!$B$14,Assumptions!$B$9*(1+Assumptions!$B$10)^(B51-Assumptions!$B$4)+Assumptions!$B$12*(1+Assumptions!$B$11)^(B51-Assumptions!$B$4+1)))*H51</f>
        <v>7.65450605175763</v>
      </c>
      <c r="U51" s="27" t="n">
        <f aca="false">U50*(1-MIN(1,C50))*(1-IF(B50&lt;Assumptions!$B$5,E50*(1-Assumptions!$B$23),0))</f>
        <v>0.00100781237482568</v>
      </c>
      <c r="V51" s="48" t="n">
        <f aca="false">U51*(IF(B51&lt;Assumptions!$B$5,Assumptions!$B$12*(1+Assumptions!$B$11)^(B51-Assumptions!$B$4+1)+Pricing!$B$14*IF(B51=Assumptions!$B$4,Assumptions!$B$14,Assumptions!$B$15)-Pricing!$B$14,Assumptions!$B$9*(1+Assumptions!$B$10)^(B51-Assumptions!$B$4)+Assumptions!$B$12*(1+Assumptions!$B$11)^(B51-Assumptions!$B$4+1)))*H51</f>
        <v>9.31919231558143</v>
      </c>
      <c r="W51" s="48" t="n">
        <f aca="false">F51*(IF(B51&lt;Assumptions!$B$5,Assumptions!$B$12*(1+Assumptions!$B$11)*(1+Assumptions!$B$24)*(1+Assumptions!$B$11+Assumptions!$B$25)^(B51-Assumptions!$B$4)+Pricing!$B$14*IF(B51=Assumptions!$B$4,Assumptions!$B$14,Assumptions!$B$15)-Pricing!$B$14,Assumptions!$B$9*(1+Assumptions!$B$10)^(B51-Assumptions!$B$4)+Assumptions!$B$12*(1+Assumptions!$B$11)*(1+Assumptions!$B$24)*(1+Assumptions!$B$11+Assumptions!$B$25)^(B51-Assumptions!$B$4)))*H51</f>
        <v>8.48966701046732</v>
      </c>
      <c r="X51" s="5" t="n">
        <f aca="false">IF(B51&lt;Assumptions!$B$5,G51*H51,0)</f>
        <v>0</v>
      </c>
      <c r="Y51" s="48" t="n">
        <f aca="false">IF(B51&gt;=Assumptions!$B$5,G51*Assumptions!$B$9*(1+Assumptions!$B$10)^(B51-Assumptions!$B$4)*H51,0)</f>
        <v>10.2030436278112</v>
      </c>
      <c r="Z51" s="48" t="n">
        <f aca="false">IF(B51&lt;Assumptions!$B$5,F51*Pricing!$B$14*H51,0)</f>
        <v>0</v>
      </c>
      <c r="AA51" s="48" t="n">
        <f aca="false">IF(B51&lt;Assumptions!$B$5,Q51*Pricing!$B$14*H51,0)</f>
        <v>0</v>
      </c>
      <c r="AB51" s="48" t="n">
        <f aca="false">IF(B51&lt;Assumptions!$B$5,U51*Pricing!$B$14*H51,0)</f>
        <v>0</v>
      </c>
      <c r="AC51" s="48" t="n">
        <f aca="false">IF(B51&lt;Assumptions!$B$5,F51*(Pricing!$B$14-Pricing!$B$14*IF(B51=Assumptions!$B$4,Assumptions!$B$14,Assumptions!$B$15))*H51,0)</f>
        <v>0</v>
      </c>
      <c r="AD51" s="48" t="n">
        <f aca="false">IF(B51&lt;Assumptions!$B$5,F51*Pricing!$B$14*IF(B51=Assumptions!$B$4,Assumptions!$B$14,Assumptions!$B$15)*H51,0)</f>
        <v>0</v>
      </c>
    </row>
    <row r="52" customFormat="false" ht="15" hidden="false" customHeight="true" outlineLevel="0" collapsed="false">
      <c r="B52" s="34" t="n">
        <f aca="false">B51+1</f>
        <v>113</v>
      </c>
      <c r="C52" s="32" t="n">
        <f aca="false">IFERROR(INDEX(Cohort_Survival!$B$5:$AA$65,B52-59,Assumptions!$B$4-59),1)</f>
        <v>0.493263015190997</v>
      </c>
      <c r="D52" s="5" t="n">
        <f aca="false">IF(B52&lt;Assumptions!$B$5,IF(B52-Assumptions!$B$4+1=1,Assumptions!$B$16,IF(B52-Assumptions!$B$4+1=2,Assumptions!$B$17,IF(B52-Assumptions!$B$4+1&lt;=5,Assumptions!$B$18,Assumptions!$B$19))),0)</f>
        <v>0</v>
      </c>
      <c r="E52" s="5" t="n">
        <f aca="false">D52*(1-Assumptions!$B$20)</f>
        <v>0</v>
      </c>
      <c r="F52" s="27" t="n">
        <f aca="false">F51*(1-C51)*(1-E51)</f>
        <v>0.000478998584659233</v>
      </c>
      <c r="G52" s="27" t="n">
        <f aca="false">G51*(1-C51)</f>
        <v>0.000582115004583009</v>
      </c>
      <c r="H52" s="11" t="n">
        <f aca="false">Discount!C52</f>
        <v>0.219153660371196</v>
      </c>
      <c r="I52" s="5" t="n">
        <f aca="false">IF(B52&lt;Assumptions!$B$5,F52*H52,0)</f>
        <v>0</v>
      </c>
      <c r="J52" s="5" t="n">
        <f aca="false">IF(B52&lt;Assumptions!$B$5,F52*(1-C52)*E52*(B52-Assumptions!$B$4+1)*H52,0)</f>
        <v>0</v>
      </c>
      <c r="K52" s="11" t="n">
        <f aca="false">IF(B52&gt;=Assumptions!$B$5,F52*Assumptions!$B$9*(1+Assumptions!$B$10)^(B52-Assumptions!$B$4)*H52,0)</f>
        <v>4.34521416036837</v>
      </c>
      <c r="L52" s="11" t="n">
        <f aca="false">F52*Assumptions!$B$12*(1+Assumptions!$B$11)^(B52-Assumptions!$B$4+1)*H52</f>
        <v>0.0281606289403778</v>
      </c>
      <c r="M52" s="48" t="n">
        <f aca="false">IF(B52&lt;Assumptions!$B$5,F52*(Pricing!$B$14-Pricing!$B$14*IF(B52=Assumptions!$B$4,Assumptions!$B$14,Assumptions!$B$15))-F52*Assumptions!$B$12*(1+Assumptions!$B$11)^(B52-Assumptions!$B$4+1),-F52*(Assumptions!$B$9*(1+Assumptions!$B$10)^(B52-Assumptions!$B$4)+Assumptions!$B$12*(1+Assumptions!$B$11)^(B52-Assumptions!$B$4+1)))</f>
        <v>-19.9557460363713</v>
      </c>
      <c r="N52" s="11" t="n">
        <f aca="false">M52*H52</f>
        <v>-4.37337478930875</v>
      </c>
      <c r="O52" s="48" t="n">
        <f aca="false">F52*(IF(B52&lt;Assumptions!$B$5,Assumptions!$B$12*(1+Assumptions!$B$11)^(B52-Assumptions!$B$4+1)+Pricing!$B$14*IF(B52=Assumptions!$B$4,Assumptions!$B$14,Assumptions!$B$15)-Pricing!$B$14,Assumptions!$B$9*(1+Assumptions!$B$10)^(B52-Assumptions!$B$4)+Assumptions!$B$12*(1+Assumptions!$B$11)^(B52-Assumptions!$B$4+1)))</f>
        <v>19.9557460363713</v>
      </c>
      <c r="P52" s="48" t="n">
        <f aca="false">O52*H52</f>
        <v>4.37337478930875</v>
      </c>
      <c r="Q52" s="11" t="n">
        <f aca="false">Q51*(1-MIN(1,C51*(1-Assumptions!$B$21)))*(1-IF(B51&lt;Assumptions!$B$5,E51,0))</f>
        <v>0.00268522647222942</v>
      </c>
      <c r="R52" s="48" t="n">
        <f aca="false">Q52*(IF(B52&lt;Assumptions!$B$5,Assumptions!$B$12*(1+Assumptions!$B$11)^(B52-Assumptions!$B$4+1)+Pricing!$B$14*IF(B52=Assumptions!$B$4,Assumptions!$B$14,Assumptions!$B$15)-Pricing!$B$14,Assumptions!$B$9*(1+Assumptions!$B$10)^(B52-Assumptions!$B$4)+Assumptions!$B$12*(1+Assumptions!$B$11)^(B52-Assumptions!$B$4+1)))*H52</f>
        <v>24.5167775716647</v>
      </c>
      <c r="S52" s="27" t="n">
        <f aca="false">S51*(1-MIN(1,C51))*(1-IF(B51&lt;Assumptions!$B$5,E51*(1+Assumptions!$B$23),0))</f>
        <v>0.00043391468822169</v>
      </c>
      <c r="T52" s="48" t="n">
        <f aca="false">S52*(IF(B52&lt;Assumptions!$B$5,Assumptions!$B$12*(1+Assumptions!$B$11)^(B52-Assumptions!$B$4+1)+Pricing!$B$14*IF(B52=Assumptions!$B$4,Assumptions!$B$14,Assumptions!$B$15)-Pricing!$B$14,Assumptions!$B$9*(1+Assumptions!$B$10)^(B52-Assumptions!$B$4)+Assumptions!$B$12*(1+Assumptions!$B$11)^(B52-Assumptions!$B$4+1)))*H52</f>
        <v>3.96174773570477</v>
      </c>
      <c r="U52" s="27" t="n">
        <f aca="false">U51*(1-MIN(1,C51))*(1-IF(B51&lt;Assumptions!$B$5,E51*(1-Assumptions!$B$23),0))</f>
        <v>0.000528281563924685</v>
      </c>
      <c r="V52" s="48" t="n">
        <f aca="false">U52*(IF(B52&lt;Assumptions!$B$5,Assumptions!$B$12*(1+Assumptions!$B$11)^(B52-Assumptions!$B$4+1)+Pricing!$B$14*IF(B52=Assumptions!$B$4,Assumptions!$B$14,Assumptions!$B$15)-Pricing!$B$14,Assumptions!$B$9*(1+Assumptions!$B$10)^(B52-Assumptions!$B$4)+Assumptions!$B$12*(1+Assumptions!$B$11)^(B52-Assumptions!$B$4+1)))*H52</f>
        <v>4.82334050103394</v>
      </c>
      <c r="W52" s="48" t="n">
        <f aca="false">F52*(IF(B52&lt;Assumptions!$B$5,Assumptions!$B$12*(1+Assumptions!$B$11)*(1+Assumptions!$B$24)*(1+Assumptions!$B$11+Assumptions!$B$25)^(B52-Assumptions!$B$4)+Pricing!$B$14*IF(B52=Assumptions!$B$4,Assumptions!$B$14,Assumptions!$B$15)-Pricing!$B$14,Assumptions!$B$9*(1+Assumptions!$B$10)^(B52-Assumptions!$B$4)+Assumptions!$B$12*(1+Assumptions!$B$11)*(1+Assumptions!$B$24)*(1+Assumptions!$B$11+Assumptions!$B$25)^(B52-Assumptions!$B$4)))*H52</f>
        <v>4.39457997254807</v>
      </c>
      <c r="X52" s="5" t="n">
        <f aca="false">IF(B52&lt;Assumptions!$B$5,G52*H52,0)</f>
        <v>0</v>
      </c>
      <c r="Y52" s="11" t="n">
        <f aca="false">IF(B52&gt;=Assumptions!$B$5,G52*Assumptions!$B$9*(1+Assumptions!$B$10)^(B52-Assumptions!$B$4)*H52,0)</f>
        <v>5.28063013521523</v>
      </c>
      <c r="Z52" s="48" t="n">
        <f aca="false">IF(B52&lt;Assumptions!$B$5,F52*Pricing!$B$14*H52,0)</f>
        <v>0</v>
      </c>
      <c r="AA52" s="48" t="n">
        <f aca="false">IF(B52&lt;Assumptions!$B$5,Q52*Pricing!$B$14*H52,0)</f>
        <v>0</v>
      </c>
      <c r="AB52" s="48" t="n">
        <f aca="false">IF(B52&lt;Assumptions!$B$5,U52*Pricing!$B$14*H52,0)</f>
        <v>0</v>
      </c>
      <c r="AC52" s="48" t="n">
        <f aca="false">IF(B52&lt;Assumptions!$B$5,F52*(Pricing!$B$14-Pricing!$B$14*IF(B52=Assumptions!$B$4,Assumptions!$B$14,Assumptions!$B$15))*H52,0)</f>
        <v>0</v>
      </c>
      <c r="AD52" s="48" t="n">
        <f aca="false">IF(B52&lt;Assumptions!$B$5,F52*Pricing!$B$14*IF(B52=Assumptions!$B$4,Assumptions!$B$14,Assumptions!$B$15)*H52,0)</f>
        <v>0</v>
      </c>
    </row>
    <row r="53" customFormat="false" ht="15" hidden="false" customHeight="true" outlineLevel="0" collapsed="false">
      <c r="B53" s="34" t="n">
        <f aca="false">B52+1</f>
        <v>114</v>
      </c>
      <c r="C53" s="32" t="n">
        <f aca="false">IFERROR(INDEX(Cohort_Survival!$B$5:$AA$65,B53-59,Assumptions!$B$4-59),1)</f>
        <v>0.510534635206023</v>
      </c>
      <c r="D53" s="5" t="n">
        <f aca="false">IF(B53&lt;Assumptions!$B$5,IF(B53-Assumptions!$B$4+1=1,Assumptions!$B$16,IF(B53-Assumptions!$B$4+1=2,Assumptions!$B$17,IF(B53-Assumptions!$B$4+1&lt;=5,Assumptions!$B$18,Assumptions!$B$19))),0)</f>
        <v>0</v>
      </c>
      <c r="E53" s="5" t="n">
        <f aca="false">D53*(1-Assumptions!$B$20)</f>
        <v>0</v>
      </c>
      <c r="F53" s="27" t="n">
        <f aca="false">F52*(1-C52)*(1-E52)</f>
        <v>0.000242726298517999</v>
      </c>
      <c r="G53" s="27" t="n">
        <f aca="false">G52*(1-C52)</f>
        <v>0.000294979202234473</v>
      </c>
      <c r="H53" s="11" t="n">
        <f aca="false">Discount!C53</f>
        <v>0.212230671676072</v>
      </c>
      <c r="I53" s="5" t="n">
        <f aca="false">IF(B53&lt;Assumptions!$B$5,F53*H53,0)</f>
        <v>0</v>
      </c>
      <c r="J53" s="5" t="n">
        <f aca="false">IF(B53&lt;Assumptions!$B$5,F53*(1-C53)*E53*(B53-Assumptions!$B$4+1)*H53,0)</f>
        <v>0</v>
      </c>
      <c r="K53" s="11" t="n">
        <f aca="false">IF(B53&gt;=Assumptions!$B$5,F53*Assumptions!$B$9*(1+Assumptions!$B$10)^(B53-Assumptions!$B$4)*H53,0)</f>
        <v>2.17497054924565</v>
      </c>
      <c r="L53" s="11" t="n">
        <f aca="false">F53*Assumptions!$B$12*(1+Assumptions!$B$11)^(B53-Assumptions!$B$4+1)*H53</f>
        <v>0.0141647279642072</v>
      </c>
      <c r="M53" s="48" t="n">
        <f aca="false">IF(B53&lt;Assumptions!$B$5,F53*(Pricing!$B$14-Pricing!$B$14*IF(B53=Assumptions!$B$4,Assumptions!$B$14,Assumptions!$B$15))-F53*Assumptions!$B$12*(1+Assumptions!$B$11)^(B53-Assumptions!$B$4+1),-F53*(Assumptions!$B$9*(1+Assumptions!$B$10)^(B53-Assumptions!$B$4)+Assumptions!$B$12*(1+Assumptions!$B$11)^(B53-Assumptions!$B$4+1)))</f>
        <v>-10.3148864389929</v>
      </c>
      <c r="N53" s="11" t="n">
        <f aca="false">M53*H53</f>
        <v>-2.18913527720986</v>
      </c>
      <c r="O53" s="48" t="n">
        <f aca="false">F53*(IF(B53&lt;Assumptions!$B$5,Assumptions!$B$12*(1+Assumptions!$B$11)^(B53-Assumptions!$B$4+1)+Pricing!$B$14*IF(B53=Assumptions!$B$4,Assumptions!$B$14,Assumptions!$B$15)-Pricing!$B$14,Assumptions!$B$9*(1+Assumptions!$B$10)^(B53-Assumptions!$B$4)+Assumptions!$B$12*(1+Assumptions!$B$11)^(B53-Assumptions!$B$4+1)))</f>
        <v>10.3148864389929</v>
      </c>
      <c r="P53" s="48" t="n">
        <f aca="false">O53*H53</f>
        <v>2.18913527720986</v>
      </c>
      <c r="Q53" s="11" t="n">
        <f aca="false">Q52*(1-MIN(1,C52*(1-Assumptions!$B$21)))*(1-IF(B52&lt;Assumptions!$B$5,E52,0))</f>
        <v>0.00162560814729937</v>
      </c>
      <c r="R53" s="48" t="n">
        <f aca="false">Q53*(IF(B53&lt;Assumptions!$B$5,Assumptions!$B$12*(1+Assumptions!$B$11)^(B53-Assumptions!$B$4+1)+Pricing!$B$14*IF(B53=Assumptions!$B$4,Assumptions!$B$14,Assumptions!$B$15)-Pricing!$B$14,Assumptions!$B$9*(1+Assumptions!$B$10)^(B53-Assumptions!$B$4)+Assumptions!$B$12*(1+Assumptions!$B$11)^(B53-Assumptions!$B$4+1)))*H53</f>
        <v>14.6612714151735</v>
      </c>
      <c r="S53" s="27" t="n">
        <f aca="false">S52*(1-MIN(1,C52))*(1-IF(B52&lt;Assumptions!$B$5,E52*(1+Assumptions!$B$23),0))</f>
        <v>0.000219880620773798</v>
      </c>
      <c r="T53" s="48" t="n">
        <f aca="false">S53*(IF(B53&lt;Assumptions!$B$5,Assumptions!$B$12*(1+Assumptions!$B$11)^(B53-Assumptions!$B$4+1)+Pricing!$B$14*IF(B53=Assumptions!$B$4,Assumptions!$B$14,Assumptions!$B$15)-Pricing!$B$14,Assumptions!$B$9*(1+Assumptions!$B$10)^(B53-Assumptions!$B$4)+Assumptions!$B$12*(1+Assumptions!$B$11)^(B53-Assumptions!$B$4+1)))*H53</f>
        <v>1.98309135289281</v>
      </c>
      <c r="U53" s="27" t="n">
        <f aca="false">U52*(1-MIN(1,C52))*(1-IF(B52&lt;Assumptions!$B$5,E52*(1-Assumptions!$B$23),0))</f>
        <v>0.000267699806833379</v>
      </c>
      <c r="V53" s="48" t="n">
        <f aca="false">U53*(IF(B53&lt;Assumptions!$B$5,Assumptions!$B$12*(1+Assumptions!$B$11)^(B53-Assumptions!$B$4+1)+Pricing!$B$14*IF(B53=Assumptions!$B$4,Assumptions!$B$14,Assumptions!$B$15)-Pricing!$B$14,Assumptions!$B$9*(1+Assumptions!$B$10)^(B53-Assumptions!$B$4)+Assumptions!$B$12*(1+Assumptions!$B$11)^(B53-Assumptions!$B$4+1)))*H53</f>
        <v>2.41436998965219</v>
      </c>
      <c r="W53" s="48" t="n">
        <f aca="false">F53*(IF(B53&lt;Assumptions!$B$5,Assumptions!$B$12*(1+Assumptions!$B$11)*(1+Assumptions!$B$24)*(1+Assumptions!$B$11+Assumptions!$B$25)^(B53-Assumptions!$B$4)+Pricing!$B$14*IF(B53=Assumptions!$B$4,Assumptions!$B$14,Assumptions!$B$15)-Pricing!$B$14,Assumptions!$B$9*(1+Assumptions!$B$10)^(B53-Assumptions!$B$4)+Assumptions!$B$12*(1+Assumptions!$B$11)*(1+Assumptions!$B$24)*(1+Assumptions!$B$11+Assumptions!$B$25)^(B53-Assumptions!$B$4)))*H53</f>
        <v>2.20004368540215</v>
      </c>
      <c r="X53" s="5" t="n">
        <f aca="false">IF(B53&lt;Assumptions!$B$5,G53*H53,0)</f>
        <v>0</v>
      </c>
      <c r="Y53" s="11" t="n">
        <f aca="false">IF(B53&gt;=Assumptions!$B$5,G53*Assumptions!$B$9*(1+Assumptions!$B$10)^(B53-Assumptions!$B$4)*H53,0)</f>
        <v>2.64318733246938</v>
      </c>
      <c r="Z53" s="48" t="n">
        <f aca="false">IF(B53&lt;Assumptions!$B$5,F53*Pricing!$B$14*H53,0)</f>
        <v>0</v>
      </c>
      <c r="AA53" s="48" t="n">
        <f aca="false">IF(B53&lt;Assumptions!$B$5,Q53*Pricing!$B$14*H53,0)</f>
        <v>0</v>
      </c>
      <c r="AB53" s="48" t="n">
        <f aca="false">IF(B53&lt;Assumptions!$B$5,U53*Pricing!$B$14*H53,0)</f>
        <v>0</v>
      </c>
      <c r="AC53" s="48" t="n">
        <f aca="false">IF(B53&lt;Assumptions!$B$5,F53*(Pricing!$B$14-Pricing!$B$14*IF(B53=Assumptions!$B$4,Assumptions!$B$14,Assumptions!$B$15))*H53,0)</f>
        <v>0</v>
      </c>
      <c r="AD53" s="48" t="n">
        <f aca="false">IF(B53&lt;Assumptions!$B$5,F53*Pricing!$B$14*IF(B53=Assumptions!$B$4,Assumptions!$B$14,Assumptions!$B$15)*H53,0)</f>
        <v>0</v>
      </c>
    </row>
    <row r="54" customFormat="false" ht="15" hidden="false" customHeight="true" outlineLevel="0" collapsed="false">
      <c r="B54" s="34" t="n">
        <f aca="false">B53+1</f>
        <v>115</v>
      </c>
      <c r="C54" s="32" t="n">
        <f aca="false">IFERROR(INDEX(Cohort_Survival!$B$5:$AA$65,B54-59,Assumptions!$B$4-59),1)</f>
        <v>0.527579551916928</v>
      </c>
      <c r="D54" s="5" t="n">
        <f aca="false">IF(B54&lt;Assumptions!$B$5,IF(B54-Assumptions!$B$4+1=1,Assumptions!$B$16,IF(B54-Assumptions!$B$4+1=2,Assumptions!$B$17,IF(B54-Assumptions!$B$4+1&lt;=5,Assumptions!$B$18,Assumptions!$B$19))),0)</f>
        <v>0</v>
      </c>
      <c r="E54" s="5" t="n">
        <f aca="false">D54*(1-Assumptions!$B$20)</f>
        <v>0</v>
      </c>
      <c r="F54" s="27" t="n">
        <f aca="false">F53*(1-C53)*(1-E53)</f>
        <v>0.000118806116249204</v>
      </c>
      <c r="G54" s="27" t="n">
        <f aca="false">G53*(1-C53)</f>
        <v>0.000144382102828333</v>
      </c>
      <c r="H54" s="11" t="n">
        <f aca="false">Discount!C54</f>
        <v>0.205422860525207</v>
      </c>
      <c r="I54" s="5" t="n">
        <f aca="false">IF(B54&lt;Assumptions!$B$5,F54*H54,0)</f>
        <v>0</v>
      </c>
      <c r="J54" s="5" t="n">
        <f aca="false">IF(B54&lt;Assumptions!$B$5,F54*(1-C54)*E54*(B54-Assumptions!$B$4+1)*H54,0)</f>
        <v>0</v>
      </c>
      <c r="K54" s="11" t="n">
        <f aca="false">IF(B54&gt;=Assumptions!$B$5,F54*Assumptions!$B$9*(1+Assumptions!$B$10)^(B54-Assumptions!$B$4)*H54,0)</f>
        <v>1.05103249244531</v>
      </c>
      <c r="L54" s="11" t="n">
        <f aca="false">F54*Assumptions!$B$12*(1+Assumptions!$B$11)^(B54-Assumptions!$B$4+1)*H54</f>
        <v>0.00687851507751328</v>
      </c>
      <c r="M54" s="48" t="n">
        <f aca="false">IF(B54&lt;Assumptions!$B$5,F54*(Pricing!$B$14-Pricing!$B$14*IF(B54=Assumptions!$B$4,Assumptions!$B$14,Assumptions!$B$15))-F54*Assumptions!$B$12*(1+Assumptions!$B$11)^(B54-Assumptions!$B$4+1),-F54*(Assumptions!$B$9*(1+Assumptions!$B$10)^(B54-Assumptions!$B$4)+Assumptions!$B$12*(1+Assumptions!$B$11)^(B54-Assumptions!$B$4+1)))</f>
        <v>-5.14991858655874</v>
      </c>
      <c r="N54" s="11" t="n">
        <f aca="false">M54*H54</f>
        <v>-1.05791100752283</v>
      </c>
      <c r="O54" s="48" t="n">
        <f aca="false">F54*(IF(B54&lt;Assumptions!$B$5,Assumptions!$B$12*(1+Assumptions!$B$11)^(B54-Assumptions!$B$4+1)+Pricing!$B$14*IF(B54=Assumptions!$B$4,Assumptions!$B$14,Assumptions!$B$15)-Pricing!$B$14,Assumptions!$B$9*(1+Assumptions!$B$10)^(B54-Assumptions!$B$4)+Assumptions!$B$12*(1+Assumptions!$B$11)^(B54-Assumptions!$B$4+1)))</f>
        <v>5.14991858655874</v>
      </c>
      <c r="P54" s="48" t="n">
        <f aca="false">O54*H54</f>
        <v>1.05791100752283</v>
      </c>
      <c r="Q54" s="27" t="n">
        <f aca="false">Q53*(1-MIN(1,C53*(1-Assumptions!$B$21)))*(1-IF(B53&lt;Assumptions!$B$5,E53,0))</f>
        <v>0.000961664737323829</v>
      </c>
      <c r="R54" s="48" t="n">
        <f aca="false">Q54*(IF(B54&lt;Assumptions!$B$5,Assumptions!$B$12*(1+Assumptions!$B$11)^(B54-Assumptions!$B$4+1)+Pricing!$B$14*IF(B54=Assumptions!$B$4,Assumptions!$B$14,Assumptions!$B$15)-Pricing!$B$14,Assumptions!$B$9*(1+Assumptions!$B$10)^(B54-Assumptions!$B$4)+Assumptions!$B$12*(1+Assumptions!$B$11)^(B54-Assumptions!$B$4+1)))*H54</f>
        <v>8.5631594002067</v>
      </c>
      <c r="S54" s="27" t="n">
        <f aca="false">S53*(1-MIN(1,C53))*(1-IF(B53&lt;Assumptions!$B$5,E53*(1+Assumptions!$B$23),0))</f>
        <v>0.000107623948258173</v>
      </c>
      <c r="T54" s="48" t="n">
        <f aca="false">S54*(IF(B54&lt;Assumptions!$B$5,Assumptions!$B$12*(1+Assumptions!$B$11)^(B54-Assumptions!$B$4+1)+Pricing!$B$14*IF(B54=Assumptions!$B$4,Assumptions!$B$14,Assumptions!$B$15)-Pricing!$B$14,Assumptions!$B$9*(1+Assumptions!$B$10)^(B54-Assumptions!$B$4)+Assumptions!$B$12*(1+Assumptions!$B$11)^(B54-Assumptions!$B$4+1)))*H54</f>
        <v>0.958339209545121</v>
      </c>
      <c r="U54" s="27" t="n">
        <f aca="false">U53*(1-MIN(1,C53))*(1-IF(B53&lt;Assumptions!$B$5,E53*(1-Assumptions!$B$23),0))</f>
        <v>0.000131029783606977</v>
      </c>
      <c r="V54" s="48" t="n">
        <f aca="false">U54*(IF(B54&lt;Assumptions!$B$5,Assumptions!$B$12*(1+Assumptions!$B$11)^(B54-Assumptions!$B$4+1)+Pricing!$B$14*IF(B54=Assumptions!$B$4,Assumptions!$B$14,Assumptions!$B$15)-Pricing!$B$14,Assumptions!$B$9*(1+Assumptions!$B$10)^(B54-Assumptions!$B$4)+Assumptions!$B$12*(1+Assumptions!$B$11)^(B54-Assumptions!$B$4+1)))*H54</f>
        <v>1.16675685366563</v>
      </c>
      <c r="W54" s="48" t="n">
        <f aca="false">F54*(IF(B54&lt;Assumptions!$B$5,Assumptions!$B$12*(1+Assumptions!$B$11)*(1+Assumptions!$B$24)*(1+Assumptions!$B$11+Assumptions!$B$25)^(B54-Assumptions!$B$4)+Pricing!$B$14*IF(B54=Assumptions!$B$4,Assumptions!$B$14,Assumptions!$B$15)-Pricing!$B$14,Assumptions!$B$9*(1+Assumptions!$B$10)^(B54-Assumptions!$B$4)+Assumptions!$B$12*(1+Assumptions!$B$11)*(1+Assumptions!$B$24)*(1+Assumptions!$B$11+Assumptions!$B$25)^(B54-Assumptions!$B$4)))*H54</f>
        <v>1.06332701304037</v>
      </c>
      <c r="X54" s="5" t="n">
        <f aca="false">IF(B54&lt;Assumptions!$B$5,G54*H54,0)</f>
        <v>0</v>
      </c>
      <c r="Y54" s="11" t="n">
        <f aca="false">IF(B54&gt;=Assumptions!$B$5,G54*Assumptions!$B$9*(1+Assumptions!$B$10)^(B54-Assumptions!$B$4)*H54,0)</f>
        <v>1.27729351140349</v>
      </c>
      <c r="Z54" s="48" t="n">
        <f aca="false">IF(B54&lt;Assumptions!$B$5,F54*Pricing!$B$14*H54,0)</f>
        <v>0</v>
      </c>
      <c r="AA54" s="48" t="n">
        <f aca="false">IF(B54&lt;Assumptions!$B$5,Q54*Pricing!$B$14*H54,0)</f>
        <v>0</v>
      </c>
      <c r="AB54" s="48" t="n">
        <f aca="false">IF(B54&lt;Assumptions!$B$5,U54*Pricing!$B$14*H54,0)</f>
        <v>0</v>
      </c>
      <c r="AC54" s="48" t="n">
        <f aca="false">IF(B54&lt;Assumptions!$B$5,F54*(Pricing!$B$14-Pricing!$B$14*IF(B54=Assumptions!$B$4,Assumptions!$B$14,Assumptions!$B$15))*H54,0)</f>
        <v>0</v>
      </c>
      <c r="AD54" s="48" t="n">
        <f aca="false">IF(B54&lt;Assumptions!$B$5,F54*Pricing!$B$14*IF(B54=Assumptions!$B$4,Assumptions!$B$14,Assumptions!$B$15)*H54,0)</f>
        <v>0</v>
      </c>
    </row>
    <row r="55" customFormat="false" ht="15" hidden="false" customHeight="true" outlineLevel="0" collapsed="false">
      <c r="B55" s="34" t="n">
        <f aca="false">B54+1</f>
        <v>116</v>
      </c>
      <c r="C55" s="32" t="n">
        <f aca="false">IFERROR(INDEX(Cohort_Survival!$B$5:$AA$65,B55-59,Assumptions!$B$4-59),1)</f>
        <v>0.544352264852119</v>
      </c>
      <c r="D55" s="5" t="n">
        <f aca="false">IF(B55&lt;Assumptions!$B$5,IF(B55-Assumptions!$B$4+1=1,Assumptions!$B$16,IF(B55-Assumptions!$B$4+1=2,Assumptions!$B$17,IF(B55-Assumptions!$B$4+1&lt;=5,Assumptions!$B$18,Assumptions!$B$19))),0)</f>
        <v>0</v>
      </c>
      <c r="E55" s="5" t="n">
        <f aca="false">D55*(1-Assumptions!$B$20)</f>
        <v>0</v>
      </c>
      <c r="F55" s="27" t="n">
        <f aca="false">F54*(1-C54)*(1-E54)</f>
        <v>5.61264386734587E-005</v>
      </c>
      <c r="G55" s="27" t="n">
        <f aca="false">G54*(1-C54)</f>
        <v>6.82090577133371E-005</v>
      </c>
      <c r="H55" s="11" t="n">
        <f aca="false">Discount!C55</f>
        <v>0.198923989220914</v>
      </c>
      <c r="I55" s="5" t="n">
        <f aca="false">IF(B55&lt;Assumptions!$B$5,F55*H55,0)</f>
        <v>0</v>
      </c>
      <c r="J55" s="5" t="n">
        <f aca="false">IF(B55&lt;Assumptions!$B$5,F55*(1-C55)*E55*(B55-Assumptions!$B$4+1)*H55,0)</f>
        <v>0</v>
      </c>
      <c r="K55" s="11" t="n">
        <f aca="false">IF(B55&gt;=Assumptions!$B$5,F55*Assumptions!$B$9*(1+Assumptions!$B$10)^(B55-Assumptions!$B$4)*H55,0)</f>
        <v>0.490437182506997</v>
      </c>
      <c r="L55" s="11" t="n">
        <f aca="false">F55*Assumptions!$B$12*(1+Assumptions!$B$11)^(B55-Assumptions!$B$4+1)*H55</f>
        <v>0.0032254152400588</v>
      </c>
      <c r="M55" s="48" t="n">
        <f aca="false">IF(B55&lt;Assumptions!$B$5,F55*(Pricing!$B$14-Pricing!$B$14*IF(B55=Assumptions!$B$4,Assumptions!$B$14,Assumptions!$B$15))-F55*Assumptions!$B$12*(1+Assumptions!$B$11)^(B55-Assumptions!$B$4+1),-F55*(Assumptions!$B$9*(1+Assumptions!$B$10)^(B55-Assumptions!$B$4)+Assumptions!$B$12*(1+Assumptions!$B$11)^(B55-Assumptions!$B$4+1)))</f>
        <v>-2.48166447737392</v>
      </c>
      <c r="N55" s="11" t="n">
        <f aca="false">M55*H55</f>
        <v>-0.493662597747056</v>
      </c>
      <c r="O55" s="48" t="n">
        <f aca="false">F55*(IF(B55&lt;Assumptions!$B$5,Assumptions!$B$12*(1+Assumptions!$B$11)^(B55-Assumptions!$B$4+1)+Pricing!$B$14*IF(B55=Assumptions!$B$4,Assumptions!$B$14,Assumptions!$B$15)-Pricing!$B$14,Assumptions!$B$9*(1+Assumptions!$B$10)^(B55-Assumptions!$B$4)+Assumptions!$B$12*(1+Assumptions!$B$11)^(B55-Assumptions!$B$4+1)))</f>
        <v>2.48166447737392</v>
      </c>
      <c r="P55" s="48" t="n">
        <f aca="false">O55*H55</f>
        <v>0.493662597747056</v>
      </c>
      <c r="Q55" s="27" t="n">
        <f aca="false">Q54*(1-MIN(1,C54*(1-Assumptions!$B$21)))*(1-IF(B54&lt;Assumptions!$B$5,E54,0))</f>
        <v>0.000555781016354536</v>
      </c>
      <c r="R55" s="48" t="n">
        <f aca="false">Q55*(IF(B55&lt;Assumptions!$B$5,Assumptions!$B$12*(1+Assumptions!$B$11)^(B55-Assumptions!$B$4+1)+Pricing!$B$14*IF(B55=Assumptions!$B$4,Assumptions!$B$14,Assumptions!$B$15)-Pricing!$B$14,Assumptions!$B$9*(1+Assumptions!$B$10)^(B55-Assumptions!$B$4)+Assumptions!$B$12*(1+Assumptions!$B$11)^(B55-Assumptions!$B$4+1)))*H55</f>
        <v>4.88839674842622</v>
      </c>
      <c r="S55" s="27" t="n">
        <f aca="false">S54*(1-MIN(1,C54))*(1-IF(B54&lt;Assumptions!$B$5,E54*(1+Assumptions!$B$23),0))</f>
        <v>5.08437538605955E-005</v>
      </c>
      <c r="T55" s="48" t="n">
        <f aca="false">S55*(IF(B55&lt;Assumptions!$B$5,Assumptions!$B$12*(1+Assumptions!$B$11)^(B55-Assumptions!$B$4+1)+Pricing!$B$14*IF(B55=Assumptions!$B$4,Assumptions!$B$14,Assumptions!$B$15)-Pricing!$B$14,Assumptions!$B$9*(1+Assumptions!$B$10)^(B55-Assumptions!$B$4)+Assumptions!$B$12*(1+Assumptions!$B$11)^(B55-Assumptions!$B$4+1)))*H55</f>
        <v>0.447198507570777</v>
      </c>
      <c r="U55" s="27" t="n">
        <f aca="false">U54*(1-MIN(1,C54))*(1-IF(B54&lt;Assumptions!$B$5,E54*(1-Assumptions!$B$23),0))</f>
        <v>6.19011490838362E-005</v>
      </c>
      <c r="V55" s="48" t="n">
        <f aca="false">U55*(IF(B55&lt;Assumptions!$B$5,Assumptions!$B$12*(1+Assumptions!$B$11)^(B55-Assumptions!$B$4+1)+Pricing!$B$14*IF(B55=Assumptions!$B$4,Assumptions!$B$14,Assumptions!$B$15)-Pricing!$B$14,Assumptions!$B$9*(1+Assumptions!$B$10)^(B55-Assumptions!$B$4)+Assumptions!$B$12*(1+Assumptions!$B$11)^(B55-Assumptions!$B$4+1)))*H55</f>
        <v>0.544454321038275</v>
      </c>
      <c r="W55" s="48" t="n">
        <f aca="false">F55*(IF(B55&lt;Assumptions!$B$5,Assumptions!$B$12*(1+Assumptions!$B$11)*(1+Assumptions!$B$24)*(1+Assumptions!$B$11+Assumptions!$B$25)^(B55-Assumptions!$B$4)+Pricing!$B$14*IF(B55=Assumptions!$B$4,Assumptions!$B$14,Assumptions!$B$15)-Pricing!$B$14,Assumptions!$B$9*(1+Assumptions!$B$10)^(B55-Assumptions!$B$4)+Assumptions!$B$12*(1+Assumptions!$B$11)*(1+Assumptions!$B$24)*(1+Assumptions!$B$11+Assumptions!$B$25)^(B55-Assumptions!$B$4)))*H55</f>
        <v>0.496258469667249</v>
      </c>
      <c r="X55" s="5" t="n">
        <f aca="false">IF(B55&lt;Assumptions!$B$5,G55*H55,0)</f>
        <v>0</v>
      </c>
      <c r="Y55" s="11" t="n">
        <f aca="false">IF(B55&gt;=Assumptions!$B$5,G55*Assumptions!$B$9*(1+Assumptions!$B$10)^(B55-Assumptions!$B$4)*H55,0)</f>
        <v>0.596016046573168</v>
      </c>
      <c r="Z55" s="48" t="n">
        <f aca="false">IF(B55&lt;Assumptions!$B$5,F55*Pricing!$B$14*H55,0)</f>
        <v>0</v>
      </c>
      <c r="AA55" s="48" t="n">
        <f aca="false">IF(B55&lt;Assumptions!$B$5,Q55*Pricing!$B$14*H55,0)</f>
        <v>0</v>
      </c>
      <c r="AB55" s="48" t="n">
        <f aca="false">IF(B55&lt;Assumptions!$B$5,U55*Pricing!$B$14*H55,0)</f>
        <v>0</v>
      </c>
      <c r="AC55" s="48" t="n">
        <f aca="false">IF(B55&lt;Assumptions!$B$5,F55*(Pricing!$B$14-Pricing!$B$14*IF(B55=Assumptions!$B$4,Assumptions!$B$14,Assumptions!$B$15))*H55,0)</f>
        <v>0</v>
      </c>
      <c r="AD55" s="48" t="n">
        <f aca="false">IF(B55&lt;Assumptions!$B$5,F55*Pricing!$B$14*IF(B55=Assumptions!$B$4,Assumptions!$B$14,Assumptions!$B$15)*H55,0)</f>
        <v>0</v>
      </c>
    </row>
    <row r="56" customFormat="false" ht="15" hidden="false" customHeight="true" outlineLevel="0" collapsed="false">
      <c r="B56" s="34" t="n">
        <f aca="false">B55+1</f>
        <v>117</v>
      </c>
      <c r="C56" s="32" t="n">
        <f aca="false">IFERROR(INDEX(Cohort_Survival!$B$5:$AA$65,B56-59,Assumptions!$B$4-59),1)</f>
        <v>0.560811007209681</v>
      </c>
      <c r="D56" s="5" t="n">
        <f aca="false">IF(B56&lt;Assumptions!$B$5,IF(B56-Assumptions!$B$4+1=1,Assumptions!$B$16,IF(B56-Assumptions!$B$4+1=2,Assumptions!$B$17,IF(B56-Assumptions!$B$4+1&lt;=5,Assumptions!$B$18,Assumptions!$B$19))),0)</f>
        <v>0</v>
      </c>
      <c r="E56" s="5" t="n">
        <f aca="false">D56*(1-Assumptions!$B$20)</f>
        <v>0</v>
      </c>
      <c r="F56" s="27" t="n">
        <f aca="false">F55*(1-C55)*(1-E55)</f>
        <v>2.55738846634779E-005</v>
      </c>
      <c r="G56" s="27" t="n">
        <f aca="false">G55*(1-C55)</f>
        <v>3.10793026636531E-005</v>
      </c>
      <c r="H56" s="11" t="n">
        <f aca="false">Discount!C56</f>
        <v>0.192626988225572</v>
      </c>
      <c r="I56" s="5" t="n">
        <f aca="false">IF(B56&lt;Assumptions!$B$5,F56*H56,0)</f>
        <v>0</v>
      </c>
      <c r="J56" s="5" t="n">
        <f aca="false">IF(B56&lt;Assumptions!$B$5,F56*(1-C56)*E56*(B56-Assumptions!$B$4+1)*H56,0)</f>
        <v>0</v>
      </c>
      <c r="K56" s="11" t="n">
        <f aca="false">IF(B56&gt;=Assumptions!$B$5,F56*Assumptions!$B$9*(1+Assumptions!$B$10)^(B56-Assumptions!$B$4)*H56,0)</f>
        <v>0.220720540443426</v>
      </c>
      <c r="L56" s="11" t="n">
        <f aca="false">F56*Assumptions!$B$12*(1+Assumptions!$B$11)^(B56-Assumptions!$B$4+1)*H56</f>
        <v>0.00145870909018563</v>
      </c>
      <c r="M56" s="48" t="n">
        <f aca="false">IF(B56&lt;Assumptions!$B$5,F56*(Pricing!$B$14-Pricing!$B$14*IF(B56=Assumptions!$B$4,Assumptions!$B$14,Assumptions!$B$15))-F56*Assumptions!$B$12*(1+Assumptions!$B$11)^(B56-Assumptions!$B$4+1),-F56*(Assumptions!$B$9*(1+Assumptions!$B$10)^(B56-Assumptions!$B$4)+Assumptions!$B$12*(1+Assumptions!$B$11)^(B56-Assumptions!$B$4+1)))</f>
        <v>-1.15341703455091</v>
      </c>
      <c r="N56" s="11" t="n">
        <f aca="false">M56*H56</f>
        <v>-0.222179249533612</v>
      </c>
      <c r="O56" s="48" t="n">
        <f aca="false">F56*(IF(B56&lt;Assumptions!$B$5,Assumptions!$B$12*(1+Assumptions!$B$11)^(B56-Assumptions!$B$4+1)+Pricing!$B$14*IF(B56=Assumptions!$B$4,Assumptions!$B$14,Assumptions!$B$15)-Pricing!$B$14,Assumptions!$B$9*(1+Assumptions!$B$10)^(B56-Assumptions!$B$4)+Assumptions!$B$12*(1+Assumptions!$B$11)^(B56-Assumptions!$B$4+1)))</f>
        <v>1.15341703455091</v>
      </c>
      <c r="P56" s="48" t="n">
        <f aca="false">O56*H56</f>
        <v>0.222179249533612</v>
      </c>
      <c r="Q56" s="27" t="n">
        <f aca="false">Q55*(1-MIN(1,C55*(1-Assumptions!$B$21)))*(1-IF(B55&lt;Assumptions!$B$5,E55,0))</f>
        <v>0.000313748492343013</v>
      </c>
      <c r="R56" s="48" t="n">
        <f aca="false">Q56*(IF(B56&lt;Assumptions!$B$5,Assumptions!$B$12*(1+Assumptions!$B$11)^(B56-Assumptions!$B$4+1)+Pricing!$B$14*IF(B56=Assumptions!$B$4,Assumptions!$B$14,Assumptions!$B$15)-Pricing!$B$14,Assumptions!$B$9*(1+Assumptions!$B$10)^(B56-Assumptions!$B$4)+Assumptions!$B$12*(1+Assumptions!$B$11)^(B56-Assumptions!$B$4+1)))*H56</f>
        <v>2.72576518930749</v>
      </c>
      <c r="S56" s="27" t="n">
        <f aca="false">S55*(1-MIN(1,C55))*(1-IF(B55&lt;Assumptions!$B$5,E55*(1+Assumptions!$B$23),0))</f>
        <v>2.31668412929967E-005</v>
      </c>
      <c r="T56" s="48" t="n">
        <f aca="false">S56*(IF(B56&lt;Assumptions!$B$5,Assumptions!$B$12*(1+Assumptions!$B$11)^(B56-Assumptions!$B$4+1)+Pricing!$B$14*IF(B56=Assumptions!$B$4,Assumptions!$B$14,Assumptions!$B$15)-Pricing!$B$14,Assumptions!$B$9*(1+Assumptions!$B$10)^(B56-Assumptions!$B$4)+Assumptions!$B$12*(1+Assumptions!$B$11)^(B56-Assumptions!$B$4+1)))*H56</f>
        <v>0.201267483617496</v>
      </c>
      <c r="U56" s="27" t="n">
        <f aca="false">U55*(1-MIN(1,C55))*(1-IF(B55&lt;Assumptions!$B$5,E55*(1-Assumptions!$B$23),0))</f>
        <v>2.82051183831013E-005</v>
      </c>
      <c r="V56" s="48" t="n">
        <f aca="false">U56*(IF(B56&lt;Assumptions!$B$5,Assumptions!$B$12*(1+Assumptions!$B$11)^(B56-Assumptions!$B$4+1)+Pricing!$B$14*IF(B56=Assumptions!$B$4,Assumptions!$B$14,Assumptions!$B$15)-Pricing!$B$14,Assumptions!$B$9*(1+Assumptions!$B$10)^(B56-Assumptions!$B$4)+Assumptions!$B$12*(1+Assumptions!$B$11)^(B56-Assumptions!$B$4+1)))*H56</f>
        <v>0.245038722815288</v>
      </c>
      <c r="W56" s="48" t="n">
        <f aca="false">F56*(IF(B56&lt;Assumptions!$B$5,Assumptions!$B$12*(1+Assumptions!$B$11)*(1+Assumptions!$B$24)*(1+Assumptions!$B$11+Assumptions!$B$25)^(B56-Assumptions!$B$4)+Pricing!$B$14*IF(B56=Assumptions!$B$4,Assumptions!$B$14,Assumptions!$B$15)-Pricing!$B$14,Assumptions!$B$9*(1+Assumptions!$B$10)^(B56-Assumptions!$B$4)+Assumptions!$B$12*(1+Assumptions!$B$11)*(1+Assumptions!$B$24)*(1+Assumptions!$B$11+Assumptions!$B$25)^(B56-Assumptions!$B$4)))*H56</f>
        <v>0.223378929640088</v>
      </c>
      <c r="X56" s="5" t="n">
        <f aca="false">IF(B56&lt;Assumptions!$B$5,G56*H56,0)</f>
        <v>0</v>
      </c>
      <c r="Y56" s="11" t="n">
        <f aca="false">IF(B56&gt;=Assumptions!$B$5,G56*Assumptions!$B$9*(1+Assumptions!$B$10)^(B56-Assumptions!$B$4)*H56,0)</f>
        <v>0.268236154608255</v>
      </c>
      <c r="Z56" s="48" t="n">
        <f aca="false">IF(B56&lt;Assumptions!$B$5,F56*Pricing!$B$14*H56,0)</f>
        <v>0</v>
      </c>
      <c r="AA56" s="48" t="n">
        <f aca="false">IF(B56&lt;Assumptions!$B$5,Q56*Pricing!$B$14*H56,0)</f>
        <v>0</v>
      </c>
      <c r="AB56" s="48" t="n">
        <f aca="false">IF(B56&lt;Assumptions!$B$5,U56*Pricing!$B$14*H56,0)</f>
        <v>0</v>
      </c>
      <c r="AC56" s="48" t="n">
        <f aca="false">IF(B56&lt;Assumptions!$B$5,F56*(Pricing!$B$14-Pricing!$B$14*IF(B56=Assumptions!$B$4,Assumptions!$B$14,Assumptions!$B$15))*H56,0)</f>
        <v>0</v>
      </c>
      <c r="AD56" s="48" t="n">
        <f aca="false">IF(B56&lt;Assumptions!$B$5,F56*Pricing!$B$14*IF(B56=Assumptions!$B$4,Assumptions!$B$14,Assumptions!$B$15)*H56,0)</f>
        <v>0</v>
      </c>
    </row>
    <row r="57" customFormat="false" ht="15" hidden="false" customHeight="true" outlineLevel="0" collapsed="false">
      <c r="B57" s="34" t="n">
        <f aca="false">B56+1</f>
        <v>118</v>
      </c>
      <c r="C57" s="32" t="n">
        <f aca="false">IFERROR(INDEX(Cohort_Survival!$B$5:$AA$65,B57-59,Assumptions!$B$4-59),1)</f>
        <v>0.576917996204382</v>
      </c>
      <c r="D57" s="5" t="n">
        <f aca="false">IF(B57&lt;Assumptions!$B$5,IF(B57-Assumptions!$B$4+1=1,Assumptions!$B$16,IF(B57-Assumptions!$B$4+1=2,Assumptions!$B$17,IF(B57-Assumptions!$B$4+1&lt;=5,Assumptions!$B$18,Assumptions!$B$19))),0)</f>
        <v>0</v>
      </c>
      <c r="E57" s="5" t="n">
        <f aca="false">D57*(1-Assumptions!$B$20)</f>
        <v>0</v>
      </c>
      <c r="F57" s="27" t="n">
        <f aca="false">F56*(1-C56)*(1-E56)</f>
        <v>1.12317686470886E-005</v>
      </c>
      <c r="G57" s="27" t="n">
        <f aca="false">G56*(1-C56)</f>
        <v>1.36496876334753E-005</v>
      </c>
      <c r="H57" s="11" t="n">
        <f aca="false">Discount!C57</f>
        <v>0.186525707429552</v>
      </c>
      <c r="I57" s="5" t="n">
        <f aca="false">IF(B57&lt;Assumptions!$B$5,F57*H57,0)</f>
        <v>0</v>
      </c>
      <c r="J57" s="5" t="n">
        <f aca="false">IF(B57&lt;Assumptions!$B$5,F57*(1-C57)*E57*(B57-Assumptions!$B$4+1)*H57,0)</f>
        <v>0</v>
      </c>
      <c r="K57" s="11" t="n">
        <f aca="false">IF(B57&gt;=Assumptions!$B$5,F57*Assumptions!$B$9*(1+Assumptions!$B$10)^(B57-Assumptions!$B$4)*H57,0)</f>
        <v>0.095744961991234</v>
      </c>
      <c r="L57" s="27" t="n">
        <f aca="false">F57*Assumptions!$B$12*(1+Assumptions!$B$11)^(B57-Assumptions!$B$4+1)*H57</f>
        <v>0.000635865940671148</v>
      </c>
      <c r="M57" s="48" t="n">
        <f aca="false">IF(B57&lt;Assumptions!$B$5,F57*(Pricing!$B$14-Pricing!$B$14*IF(B57=Assumptions!$B$4,Assumptions!$B$14,Assumptions!$B$15))-F57*Assumptions!$B$12*(1+Assumptions!$B$11)^(B57-Assumptions!$B$4+1),-F57*(Assumptions!$B$9*(1+Assumptions!$B$10)^(B57-Assumptions!$B$4)+Assumptions!$B$12*(1+Assumptions!$B$11)^(B57-Assumptions!$B$4+1)))</f>
        <v>-0.516716056248209</v>
      </c>
      <c r="N57" s="11" t="n">
        <f aca="false">M57*H57</f>
        <v>-0.0963808279319052</v>
      </c>
      <c r="O57" s="48" t="n">
        <f aca="false">F57*(IF(B57&lt;Assumptions!$B$5,Assumptions!$B$12*(1+Assumptions!$B$11)^(B57-Assumptions!$B$4+1)+Pricing!$B$14*IF(B57=Assumptions!$B$4,Assumptions!$B$14,Assumptions!$B$15)-Pricing!$B$14,Assumptions!$B$9*(1+Assumptions!$B$10)^(B57-Assumptions!$B$4)+Assumptions!$B$12*(1+Assumptions!$B$11)^(B57-Assumptions!$B$4+1)))</f>
        <v>0.516716056248209</v>
      </c>
      <c r="P57" s="48" t="n">
        <f aca="false">O57*H57</f>
        <v>0.0963808279319052</v>
      </c>
      <c r="Q57" s="27" t="n">
        <f aca="false">Q56*(1-MIN(1,C56*(1-Assumptions!$B$21)))*(1-IF(B56&lt;Assumptions!$B$5,E56,0))</f>
        <v>0.00017298560594189</v>
      </c>
      <c r="R57" s="48" t="n">
        <f aca="false">Q57*(IF(B57&lt;Assumptions!$B$5,Assumptions!$B$12*(1+Assumptions!$B$11)^(B57-Assumptions!$B$4+1)+Pricing!$B$14*IF(B57=Assumptions!$B$4,Assumptions!$B$14,Assumptions!$B$15)-Pricing!$B$14,Assumptions!$B$9*(1+Assumptions!$B$10)^(B57-Assumptions!$B$4)+Assumptions!$B$12*(1+Assumptions!$B$11)^(B57-Assumptions!$B$4+1)))*H57</f>
        <v>1.48440521211263</v>
      </c>
      <c r="S57" s="27" t="n">
        <f aca="false">S56*(1-MIN(1,C56))*(1-IF(B56&lt;Assumptions!$B$5,E56*(1+Assumptions!$B$23),0))</f>
        <v>1.01746216936044E-005</v>
      </c>
      <c r="T57" s="48" t="n">
        <f aca="false">S57*(IF(B57&lt;Assumptions!$B$5,Assumptions!$B$12*(1+Assumptions!$B$11)^(B57-Assumptions!$B$4+1)+Pricing!$B$14*IF(B57=Assumptions!$B$4,Assumptions!$B$14,Assumptions!$B$15)-Pricing!$B$14,Assumptions!$B$9*(1+Assumptions!$B$10)^(B57-Assumptions!$B$4)+Assumptions!$B$12*(1+Assumptions!$B$11)^(B57-Assumptions!$B$4+1)))*H57</f>
        <v>0.087309353810248</v>
      </c>
      <c r="U57" s="27" t="n">
        <f aca="false">U56*(1-MIN(1,C56))*(1-IF(B56&lt;Assumptions!$B$5,E56*(1-Assumptions!$B$23),0))</f>
        <v>1.23873775342059E-005</v>
      </c>
      <c r="V57" s="48" t="n">
        <f aca="false">U57*(IF(B57&lt;Assumptions!$B$5,Assumptions!$B$12*(1+Assumptions!$B$11)^(B57-Assumptions!$B$4+1)+Pricing!$B$14*IF(B57=Assumptions!$B$4,Assumptions!$B$14,Assumptions!$B$15)-Pricing!$B$14,Assumptions!$B$9*(1+Assumptions!$B$10)^(B57-Assumptions!$B$4)+Assumptions!$B$12*(1+Assumptions!$B$11)^(B57-Assumptions!$B$4+1)))*H57</f>
        <v>0.106297212858041</v>
      </c>
      <c r="W57" s="48" t="n">
        <f aca="false">F57*(IF(B57&lt;Assumptions!$B$5,Assumptions!$B$12*(1+Assumptions!$B$11)*(1+Assumptions!$B$24)*(1+Assumptions!$B$11+Assumptions!$B$25)^(B57-Assumptions!$B$4)+Pricing!$B$14*IF(B57=Assumptions!$B$4,Assumptions!$B$14,Assumptions!$B$15)-Pricing!$B$14,Assumptions!$B$9*(1+Assumptions!$B$10)^(B57-Assumptions!$B$4)+Assumptions!$B$12*(1+Assumptions!$B$11)*(1+Assumptions!$B$24)*(1+Assumptions!$B$11+Assumptions!$B$25)^(B57-Assumptions!$B$4)))*H57</f>
        <v>0.0969150860842177</v>
      </c>
      <c r="X57" s="5" t="n">
        <f aca="false">IF(B57&lt;Assumptions!$B$5,G57*H57,0)</f>
        <v>0</v>
      </c>
      <c r="Y57" s="11" t="n">
        <f aca="false">IF(B57&gt;=Assumptions!$B$5,G57*Assumptions!$B$9*(1+Assumptions!$B$10)^(B57-Assumptions!$B$4)*H57,0)</f>
        <v>0.116356458606193</v>
      </c>
      <c r="Z57" s="48" t="n">
        <f aca="false">IF(B57&lt;Assumptions!$B$5,F57*Pricing!$B$14*H57,0)</f>
        <v>0</v>
      </c>
      <c r="AA57" s="48" t="n">
        <f aca="false">IF(B57&lt;Assumptions!$B$5,Q57*Pricing!$B$14*H57,0)</f>
        <v>0</v>
      </c>
      <c r="AB57" s="48" t="n">
        <f aca="false">IF(B57&lt;Assumptions!$B$5,U57*Pricing!$B$14*H57,0)</f>
        <v>0</v>
      </c>
      <c r="AC57" s="48" t="n">
        <f aca="false">IF(B57&lt;Assumptions!$B$5,F57*(Pricing!$B$14-Pricing!$B$14*IF(B57=Assumptions!$B$4,Assumptions!$B$14,Assumptions!$B$15))*H57,0)</f>
        <v>0</v>
      </c>
      <c r="AD57" s="48" t="n">
        <f aca="false">IF(B57&lt;Assumptions!$B$5,F57*Pricing!$B$14*IF(B57=Assumptions!$B$4,Assumptions!$B$14,Assumptions!$B$15)*H57,0)</f>
        <v>0</v>
      </c>
    </row>
    <row r="58" customFormat="false" ht="15" hidden="false" customHeight="true" outlineLevel="0" collapsed="false">
      <c r="B58" s="34" t="n">
        <f aca="false">B57+1</f>
        <v>119</v>
      </c>
      <c r="C58" s="32" t="n">
        <f aca="false">IFERROR(INDEX(Cohort_Survival!$B$5:$AA$65,B58-59,Assumptions!$B$4-59),1)</f>
        <v>0.592639591024509</v>
      </c>
      <c r="D58" s="5" t="n">
        <f aca="false">IF(B58&lt;Assumptions!$B$5,IF(B58-Assumptions!$B$4+1=1,Assumptions!$B$16,IF(B58-Assumptions!$B$4+1=2,Assumptions!$B$17,IF(B58-Assumptions!$B$4+1&lt;=5,Assumptions!$B$18,Assumptions!$B$19))),0)</f>
        <v>0</v>
      </c>
      <c r="E58" s="5" t="n">
        <f aca="false">D58*(1-Assumptions!$B$20)</f>
        <v>0</v>
      </c>
      <c r="F58" s="27" t="n">
        <f aca="false">F57*(1-C57)*(1-E57)</f>
        <v>4.75195918537906E-006</v>
      </c>
      <c r="G58" s="27" t="n">
        <f aca="false">G57*(1-C57)</f>
        <v>5.774937195155E-006</v>
      </c>
      <c r="H58" s="11" t="n">
        <f aca="false">Discount!C58</f>
        <v>0.180519716326691</v>
      </c>
      <c r="I58" s="5" t="n">
        <f aca="false">IF(B58&lt;Assumptions!$B$5,F58*H58,0)</f>
        <v>0</v>
      </c>
      <c r="J58" s="5" t="n">
        <f aca="false">IF(B58&lt;Assumptions!$B$5,F58*(1-C58)*E58*(B58-Assumptions!$B$4+1)*H58,0)</f>
        <v>0</v>
      </c>
      <c r="K58" s="11" t="n">
        <f aca="false">IF(B58&gt;=Assumptions!$B$5,F58*Assumptions!$B$9*(1+Assumptions!$B$10)^(B58-Assumptions!$B$4)*H58,0)</f>
        <v>0.0399877162769053</v>
      </c>
      <c r="L58" s="27" t="n">
        <f aca="false">F58*Assumptions!$B$12*(1+Assumptions!$B$11)^(B58-Assumptions!$B$4+1)*H58</f>
        <v>0.00026687010577135</v>
      </c>
      <c r="M58" s="48" t="n">
        <f aca="false">IF(B58&lt;Assumptions!$B$5,F58*(Pricing!$B$14-Pricing!$B$14*IF(B58=Assumptions!$B$4,Assumptions!$B$14,Assumptions!$B$15))-F58*Assumptions!$B$12*(1+Assumptions!$B$11)^(B58-Assumptions!$B$4+1),-F58*(Assumptions!$B$9*(1+Assumptions!$B$10)^(B58-Assumptions!$B$4)+Assumptions!$B$12*(1+Assumptions!$B$11)^(B58-Assumptions!$B$4+1)))</f>
        <v>-0.222992741190811</v>
      </c>
      <c r="N58" s="11" t="n">
        <f aca="false">M58*H58</f>
        <v>-0.0402545863826766</v>
      </c>
      <c r="O58" s="48" t="n">
        <f aca="false">F58*(IF(B58&lt;Assumptions!$B$5,Assumptions!$B$12*(1+Assumptions!$B$11)^(B58-Assumptions!$B$4+1)+Pricing!$B$14*IF(B58=Assumptions!$B$4,Assumptions!$B$14,Assumptions!$B$15)-Pricing!$B$14,Assumptions!$B$9*(1+Assumptions!$B$10)^(B58-Assumptions!$B$4)+Assumptions!$B$12*(1+Assumptions!$B$11)^(B58-Assumptions!$B$4+1)))</f>
        <v>0.222992741190811</v>
      </c>
      <c r="P58" s="48" t="n">
        <f aca="false">O58*H58</f>
        <v>0.0402545863826766</v>
      </c>
      <c r="Q58" s="27" t="n">
        <f aca="false">Q57*(1-MIN(1,C57*(1-Assumptions!$B$21)))*(1-IF(B57&lt;Assumptions!$B$5,E57,0))</f>
        <v>9.3146798620133E-005</v>
      </c>
      <c r="R58" s="48" t="n">
        <f aca="false">Q58*(IF(B58&lt;Assumptions!$B$5,Assumptions!$B$12*(1+Assumptions!$B$11)^(B58-Assumptions!$B$4+1)+Pricing!$B$14*IF(B58=Assumptions!$B$4,Assumptions!$B$14,Assumptions!$B$15)-Pricing!$B$14,Assumptions!$B$9*(1+Assumptions!$B$10)^(B58-Assumptions!$B$4)+Assumptions!$B$12*(1+Assumptions!$B$11)^(B58-Assumptions!$B$4+1)))*H58</f>
        <v>0.789061038836516</v>
      </c>
      <c r="S58" s="27" t="n">
        <f aca="false">S57*(1-MIN(1,C57))*(1-IF(B57&lt;Assumptions!$B$5,E57*(1+Assumptions!$B$23),0))</f>
        <v>4.3046993339925E-006</v>
      </c>
      <c r="T58" s="48" t="n">
        <f aca="false">S58*(IF(B58&lt;Assumptions!$B$5,Assumptions!$B$12*(1+Assumptions!$B$11)^(B58-Assumptions!$B$4+1)+Pricing!$B$14*IF(B58=Assumptions!$B$4,Assumptions!$B$14,Assumptions!$B$15)-Pricing!$B$14,Assumptions!$B$9*(1+Assumptions!$B$10)^(B58-Assumptions!$B$4)+Assumptions!$B$12*(1+Assumptions!$B$11)^(B58-Assumptions!$B$4+1)))*H58</f>
        <v>0.0364657785203239</v>
      </c>
      <c r="U58" s="27" t="n">
        <f aca="false">U57*(1-MIN(1,C57))*(1-IF(B57&lt;Assumptions!$B$5,E57*(1-Assumptions!$B$23),0))</f>
        <v>5.24087650894468E-006</v>
      </c>
      <c r="V58" s="48" t="n">
        <f aca="false">U58*(IF(B58&lt;Assumptions!$B$5,Assumptions!$B$12*(1+Assumptions!$B$11)^(B58-Assumptions!$B$4+1)+Pricing!$B$14*IF(B58=Assumptions!$B$4,Assumptions!$B$14,Assumptions!$B$15)-Pricing!$B$14,Assumptions!$B$9*(1+Assumptions!$B$10)^(B58-Assumptions!$B$4)+Assumptions!$B$12*(1+Assumptions!$B$11)^(B58-Assumptions!$B$4+1)))*H58</f>
        <v>0.0443962811800593</v>
      </c>
      <c r="W58" s="48" t="n">
        <f aca="false">F58*(IF(B58&lt;Assumptions!$B$5,Assumptions!$B$12*(1+Assumptions!$B$11)*(1+Assumptions!$B$24)*(1+Assumptions!$B$11+Assumptions!$B$25)^(B58-Assumptions!$B$4)+Pricing!$B$14*IF(B58=Assumptions!$B$4,Assumptions!$B$14,Assumptions!$B$15)-Pricing!$B$14,Assumptions!$B$9*(1+Assumptions!$B$10)^(B58-Assumptions!$B$4)+Assumptions!$B$12*(1+Assumptions!$B$11)*(1+Assumptions!$B$24)*(1+Assumptions!$B$11+Assumptions!$B$25)^(B58-Assumptions!$B$4)))*H58</f>
        <v>0.0404836033310839</v>
      </c>
      <c r="X58" s="5" t="n">
        <f aca="false">IF(B58&lt;Assumptions!$B$5,G58*H58,0)</f>
        <v>0</v>
      </c>
      <c r="Y58" s="11" t="n">
        <f aca="false">IF(B58&gt;=Assumptions!$B$5,G58*Assumptions!$B$9*(1+Assumptions!$B$10)^(B58-Assumptions!$B$4)*H58,0)</f>
        <v>0.0485960718659633</v>
      </c>
      <c r="Z58" s="48" t="n">
        <f aca="false">IF(B58&lt;Assumptions!$B$5,F58*Pricing!$B$14*H58,0)</f>
        <v>0</v>
      </c>
      <c r="AA58" s="48" t="n">
        <f aca="false">IF(B58&lt;Assumptions!$B$5,Q58*Pricing!$B$14*H58,0)</f>
        <v>0</v>
      </c>
      <c r="AB58" s="48" t="n">
        <f aca="false">IF(B58&lt;Assumptions!$B$5,U58*Pricing!$B$14*H58,0)</f>
        <v>0</v>
      </c>
      <c r="AC58" s="48" t="n">
        <f aca="false">IF(B58&lt;Assumptions!$B$5,F58*(Pricing!$B$14-Pricing!$B$14*IF(B58=Assumptions!$B$4,Assumptions!$B$14,Assumptions!$B$15))*H58,0)</f>
        <v>0</v>
      </c>
      <c r="AD58" s="48" t="n">
        <f aca="false">IF(B58&lt;Assumptions!$B$5,F58*Pricing!$B$14*IF(B58=Assumptions!$B$4,Assumptions!$B$14,Assumptions!$B$15)*H58,0)</f>
        <v>0</v>
      </c>
    </row>
    <row r="59" customFormat="false" ht="15" hidden="false" customHeight="true" outlineLevel="0" collapsed="false">
      <c r="B59" s="34" t="n">
        <f aca="false">B58+1</f>
        <v>120</v>
      </c>
      <c r="C59" s="32" t="n">
        <f aca="false">IFERROR(INDEX(Cohort_Survival!$B$5:$AA$65,B59-59,Assumptions!$B$4-59),1)</f>
        <v>0.607946366970808</v>
      </c>
      <c r="D59" s="5" t="n">
        <f aca="false">IF(B59&lt;Assumptions!$B$5,IF(B59-Assumptions!$B$4+1=1,Assumptions!$B$16,IF(B59-Assumptions!$B$4+1=2,Assumptions!$B$17,IF(B59-Assumptions!$B$4+1&lt;=5,Assumptions!$B$18,Assumptions!$B$19))),0)</f>
        <v>0</v>
      </c>
      <c r="E59" s="5" t="n">
        <f aca="false">D59*(1-Assumptions!$B$20)</f>
        <v>0</v>
      </c>
      <c r="F59" s="27" t="n">
        <f aca="false">F58*(1-C58)*(1-E58)</f>
        <v>1.93576003719086E-006</v>
      </c>
      <c r="G59" s="27" t="n">
        <f aca="false">G58*(1-C58)</f>
        <v>2.35248077762612E-006</v>
      </c>
      <c r="H59" s="11" t="n">
        <f aca="false">Discount!C59</f>
        <v>0.174793457507591</v>
      </c>
      <c r="I59" s="5" t="n">
        <f aca="false">IF(B59&lt;Assumptions!$B$5,F59*H59,0)</f>
        <v>0</v>
      </c>
      <c r="J59" s="5" t="n">
        <f aca="false">IF(B59&lt;Assumptions!$B$5,F59*(1-C59)*E59*(B59-Assumptions!$B$4+1)*H59,0)</f>
        <v>0</v>
      </c>
      <c r="K59" s="11" t="n">
        <f aca="false">IF(B59&gt;=Assumptions!$B$5,F59*Assumptions!$B$9*(1+Assumptions!$B$10)^(B59-Assumptions!$B$4)*H59,0)</f>
        <v>0.0160881505778226</v>
      </c>
      <c r="L59" s="27" t="n">
        <f aca="false">F59*Assumptions!$B$12*(1+Assumptions!$B$11)^(B59-Assumptions!$B$4+1)*H59</f>
        <v>0.000107895452758586</v>
      </c>
      <c r="M59" s="48" t="n">
        <f aca="false">IF(B59&lt;Assumptions!$B$5,F59*(Pricing!$B$14-Pricing!$B$14*IF(B59=Assumptions!$B$4,Assumptions!$B$14,Assumptions!$B$15))-F59*Assumptions!$B$12*(1+Assumptions!$B$11)^(B59-Assumptions!$B$4+1),-F59*(Assumptions!$B$9*(1+Assumptions!$B$10)^(B59-Assumptions!$B$4)+Assumptions!$B$12*(1+Assumptions!$B$11)^(B59-Assumptions!$B$4+1)))</f>
        <v>-0.0926581936276291</v>
      </c>
      <c r="N59" s="11" t="n">
        <f aca="false">M59*H59</f>
        <v>-0.0161960460305812</v>
      </c>
      <c r="O59" s="48" t="n">
        <f aca="false">F59*(IF(B59&lt;Assumptions!$B$5,Assumptions!$B$12*(1+Assumptions!$B$11)^(B59-Assumptions!$B$4+1)+Pricing!$B$14*IF(B59=Assumptions!$B$4,Assumptions!$B$14,Assumptions!$B$15)-Pricing!$B$14,Assumptions!$B$9*(1+Assumptions!$B$10)^(B59-Assumptions!$B$4)+Assumptions!$B$12*(1+Assumptions!$B$11)^(B59-Assumptions!$B$4+1)))</f>
        <v>0.0926581936276291</v>
      </c>
      <c r="P59" s="48" t="n">
        <f aca="false">O59*H59</f>
        <v>0.0161960460305812</v>
      </c>
      <c r="Q59" s="27" t="n">
        <f aca="false">Q58*(1-MIN(1,C58*(1-Assumptions!$B$21)))*(1-IF(B58&lt;Assumptions!$B$5,E58,0))</f>
        <v>4.89848141085507E-005</v>
      </c>
      <c r="R59" s="48" t="n">
        <f aca="false">Q59*(IF(B59&lt;Assumptions!$B$5,Assumptions!$B$12*(1+Assumptions!$B$11)^(B59-Assumptions!$B$4+1)+Pricing!$B$14*IF(B59=Assumptions!$B$4,Assumptions!$B$14,Assumptions!$B$15)-Pricing!$B$14,Assumptions!$B$9*(1+Assumptions!$B$10)^(B59-Assumptions!$B$4)+Assumptions!$B$12*(1+Assumptions!$B$11)^(B59-Assumptions!$B$4+1)))*H59</f>
        <v>0.409844344784005</v>
      </c>
      <c r="S59" s="27" t="n">
        <f aca="false">S58*(1-MIN(1,C58))*(1-IF(B58&lt;Assumptions!$B$5,E58*(1+Assumptions!$B$23),0))</f>
        <v>1.75356408121171E-006</v>
      </c>
      <c r="T59" s="48" t="n">
        <f aca="false">S59*(IF(B59&lt;Assumptions!$B$5,Assumptions!$B$12*(1+Assumptions!$B$11)^(B59-Assumptions!$B$4+1)+Pricing!$B$14*IF(B59=Assumptions!$B$4,Assumptions!$B$14,Assumptions!$B$15)-Pricing!$B$14,Assumptions!$B$9*(1+Assumptions!$B$10)^(B59-Assumptions!$B$4)+Assumptions!$B$12*(1+Assumptions!$B$11)^(B59-Assumptions!$B$4+1)))*H59</f>
        <v>0.0146716555932694</v>
      </c>
      <c r="U59" s="27" t="n">
        <f aca="false">U58*(1-MIN(1,C58))*(1-IF(B58&lt;Assumptions!$B$5,E58*(1-Assumptions!$B$23),0))</f>
        <v>2.13492559807375E-006</v>
      </c>
      <c r="V59" s="48" t="n">
        <f aca="false">U59*(IF(B59&lt;Assumptions!$B$5,Assumptions!$B$12*(1+Assumptions!$B$11)^(B59-Assumptions!$B$4+1)+Pricing!$B$14*IF(B59=Assumptions!$B$4,Assumptions!$B$14,Assumptions!$B$15)-Pricing!$B$14,Assumptions!$B$9*(1+Assumptions!$B$10)^(B59-Assumptions!$B$4)+Assumptions!$B$12*(1+Assumptions!$B$11)^(B59-Assumptions!$B$4+1)))*H59</f>
        <v>0.0178624171353628</v>
      </c>
      <c r="W59" s="48" t="n">
        <f aca="false">F59*(IF(B59&lt;Assumptions!$B$5,Assumptions!$B$12*(1+Assumptions!$B$11)*(1+Assumptions!$B$24)*(1+Assumptions!$B$11+Assumptions!$B$25)^(B59-Assumptions!$B$4)+Pricing!$B$14*IF(B59=Assumptions!$B$4,Assumptions!$B$14,Assumptions!$B$15)-Pricing!$B$14,Assumptions!$B$9*(1+Assumptions!$B$10)^(B59-Assumptions!$B$4)+Assumptions!$B$12*(1+Assumptions!$B$11)*(1+Assumptions!$B$24)*(1+Assumptions!$B$11+Assumptions!$B$25)^(B59-Assumptions!$B$4)))*H59</f>
        <v>0.016290593440083</v>
      </c>
      <c r="X59" s="5" t="n">
        <f aca="false">IF(B59&lt;Assumptions!$B$5,G59*H59,0)</f>
        <v>0</v>
      </c>
      <c r="Y59" s="11" t="n">
        <f aca="false">IF(B59&gt;=Assumptions!$B$5,G59*Assumptions!$B$9*(1+Assumptions!$B$10)^(B59-Assumptions!$B$4)*H59,0)</f>
        <v>0.0195515271804067</v>
      </c>
      <c r="Z59" s="48" t="n">
        <f aca="false">IF(B59&lt;Assumptions!$B$5,F59*Pricing!$B$14*H59,0)</f>
        <v>0</v>
      </c>
      <c r="AA59" s="48" t="n">
        <f aca="false">IF(B59&lt;Assumptions!$B$5,Q59*Pricing!$B$14*H59,0)</f>
        <v>0</v>
      </c>
      <c r="AB59" s="48" t="n">
        <f aca="false">IF(B59&lt;Assumptions!$B$5,U59*Pricing!$B$14*H59,0)</f>
        <v>0</v>
      </c>
      <c r="AC59" s="48" t="n">
        <f aca="false">IF(B59&lt;Assumptions!$B$5,F59*(Pricing!$B$14-Pricing!$B$14*IF(B59=Assumptions!$B$4,Assumptions!$B$14,Assumptions!$B$15))*H59,0)</f>
        <v>0</v>
      </c>
      <c r="AD59" s="48" t="n">
        <f aca="false">IF(B59&lt;Assumptions!$B$5,F59*Pricing!$B$14*IF(B59=Assumptions!$B$4,Assumptions!$B$14,Assumptions!$B$15)*H59,0)</f>
        <v>0</v>
      </c>
    </row>
    <row r="61" customFormat="false" ht="15" hidden="false" customHeight="true" outlineLevel="0" collapsed="false">
      <c r="A61" s="1" t="s">
        <v>1978</v>
      </c>
      <c r="F61" s="11" t="n">
        <f aca="false">F19</f>
        <v>0.687680981645694</v>
      </c>
    </row>
    <row r="71" customFormat="false" ht="15" hidden="false" customHeight="true" outlineLevel="0" collapsed="false">
      <c r="A71" s="1" t="s">
        <v>1979</v>
      </c>
    </row>
    <row r="72" customFormat="false" ht="15" hidden="false" customHeight="true" outlineLevel="0" collapsed="false">
      <c r="A72" s="1" t="s">
        <v>710</v>
      </c>
      <c r="B72" s="1" t="s">
        <v>1980</v>
      </c>
    </row>
    <row r="73" customFormat="false" ht="15" hidden="false" customHeight="true" outlineLevel="0" collapsed="false">
      <c r="A73" s="1" t="s">
        <v>712</v>
      </c>
      <c r="B73" s="1" t="s">
        <v>1981</v>
      </c>
    </row>
    <row r="74" customFormat="false" ht="15" hidden="false" customHeight="true" outlineLevel="0" collapsed="false">
      <c r="A74" s="1" t="s">
        <v>714</v>
      </c>
      <c r="B74" s="1" t="s">
        <v>1982</v>
      </c>
    </row>
    <row r="75" customFormat="false" ht="15" hidden="false" customHeight="true" outlineLevel="0" collapsed="false">
      <c r="A75" s="1" t="s">
        <v>716</v>
      </c>
      <c r="B75" s="1" t="s">
        <v>1983</v>
      </c>
    </row>
    <row r="76" customFormat="false" ht="15" hidden="false" customHeight="true" outlineLevel="0" collapsed="false">
      <c r="A76" s="1" t="s">
        <v>717</v>
      </c>
      <c r="B76" s="1" t="s">
        <v>1984</v>
      </c>
    </row>
    <row r="77" customFormat="false" ht="15" hidden="false" customHeight="true" outlineLevel="0" collapsed="false">
      <c r="A77" s="1" t="s">
        <v>719</v>
      </c>
      <c r="B77" s="1" t="s">
        <v>1985</v>
      </c>
    </row>
    <row r="78" customFormat="false" ht="15" hidden="false" customHeight="true" outlineLevel="0" collapsed="false">
      <c r="A78" s="1" t="s">
        <v>721</v>
      </c>
      <c r="B78" s="1" t="s">
        <v>1986</v>
      </c>
    </row>
    <row r="79" customFormat="false" ht="15" hidden="false" customHeight="true" outlineLevel="0" collapsed="false">
      <c r="A79" s="1" t="s">
        <v>723</v>
      </c>
      <c r="B79" s="1" t="s">
        <v>1987</v>
      </c>
    </row>
    <row r="80" customFormat="false" ht="15" hidden="false" customHeight="true" outlineLevel="0" collapsed="false">
      <c r="A80" s="1" t="s">
        <v>725</v>
      </c>
      <c r="B80" s="1" t="s">
        <v>1988</v>
      </c>
    </row>
    <row r="81" customFormat="false" ht="15" hidden="false" customHeight="true" outlineLevel="0" collapsed="false">
      <c r="A81" s="1" t="s">
        <v>727</v>
      </c>
      <c r="B81" s="1" t="s">
        <v>1989</v>
      </c>
    </row>
    <row r="82" customFormat="false" ht="15" hidden="false" customHeight="true" outlineLevel="0" collapsed="false">
      <c r="A82" s="1" t="s">
        <v>729</v>
      </c>
      <c r="B82" s="1" t="s">
        <v>1990</v>
      </c>
    </row>
    <row r="83" customFormat="false" ht="15" hidden="false" customHeight="true" outlineLevel="0" collapsed="false">
      <c r="A83" s="1" t="s">
        <v>731</v>
      </c>
      <c r="B83" s="1" t="s">
        <v>1991</v>
      </c>
    </row>
    <row r="84" customFormat="false" ht="15" hidden="false" customHeight="true" outlineLevel="0" collapsed="false">
      <c r="A84" s="1" t="s">
        <v>733</v>
      </c>
      <c r="B84" s="1" t="s">
        <v>1992</v>
      </c>
    </row>
    <row r="85" customFormat="false" ht="15" hidden="false" customHeight="true" outlineLevel="0" collapsed="false">
      <c r="A85" s="1" t="s">
        <v>735</v>
      </c>
      <c r="B85" s="1" t="s">
        <v>1993</v>
      </c>
    </row>
    <row r="86" customFormat="false" ht="15" hidden="false" customHeight="true" outlineLevel="0" collapsed="false">
      <c r="A86" s="1" t="s">
        <v>737</v>
      </c>
      <c r="B86" s="1" t="s">
        <v>1994</v>
      </c>
    </row>
    <row r="87" customFormat="false" ht="15" hidden="false" customHeight="true" outlineLevel="0" collapsed="false">
      <c r="A87" s="1" t="s">
        <v>739</v>
      </c>
      <c r="B87" s="1" t="s">
        <v>1995</v>
      </c>
    </row>
    <row r="88" customFormat="false" ht="15" hidden="false" customHeight="true" outlineLevel="0" collapsed="false">
      <c r="A88" s="1" t="s">
        <v>741</v>
      </c>
      <c r="B88" s="1" t="s">
        <v>1996</v>
      </c>
    </row>
    <row r="89" customFormat="false" ht="15" hidden="false" customHeight="true" outlineLevel="0" collapsed="false">
      <c r="A89" s="1" t="s">
        <v>743</v>
      </c>
      <c r="B89" s="1" t="s">
        <v>1997</v>
      </c>
    </row>
    <row r="90" customFormat="false" ht="15" hidden="false" customHeight="true" outlineLevel="0" collapsed="false">
      <c r="A90" s="1" t="s">
        <v>745</v>
      </c>
      <c r="B90" s="1" t="s">
        <v>1998</v>
      </c>
    </row>
    <row r="91" customFormat="false" ht="15" hidden="false" customHeight="true" outlineLevel="0" collapsed="false">
      <c r="A91" s="1" t="s">
        <v>747</v>
      </c>
      <c r="B91" s="1" t="s">
        <v>1999</v>
      </c>
    </row>
    <row r="92" customFormat="false" ht="15" hidden="false" customHeight="true" outlineLevel="0" collapsed="false">
      <c r="A92" s="1" t="s">
        <v>749</v>
      </c>
      <c r="B92" s="1" t="s">
        <v>2000</v>
      </c>
    </row>
    <row r="93" customFormat="false" ht="15" hidden="false" customHeight="true" outlineLevel="0" collapsed="false">
      <c r="A93" s="1" t="s">
        <v>751</v>
      </c>
      <c r="B93" s="1" t="s">
        <v>2001</v>
      </c>
    </row>
    <row r="94" customFormat="false" ht="15" hidden="false" customHeight="true" outlineLevel="0" collapsed="false">
      <c r="A94" s="1" t="s">
        <v>753</v>
      </c>
      <c r="B94" s="1" t="s">
        <v>756</v>
      </c>
    </row>
    <row r="95" customFormat="false" ht="15" hidden="false" customHeight="true" outlineLevel="0" collapsed="false">
      <c r="A95" s="1" t="s">
        <v>755</v>
      </c>
      <c r="B95" s="1" t="s">
        <v>2002</v>
      </c>
    </row>
    <row r="96" customFormat="false" ht="15" hidden="false" customHeight="true" outlineLevel="0" collapsed="false">
      <c r="A96" s="1" t="s">
        <v>2003</v>
      </c>
      <c r="B96" s="1" t="s">
        <v>2004</v>
      </c>
    </row>
    <row r="97" customFormat="false" ht="15" hidden="false" customHeight="true" outlineLevel="0" collapsed="false">
      <c r="A97" s="1" t="s">
        <v>2005</v>
      </c>
      <c r="B97" s="1" t="s">
        <v>2006</v>
      </c>
    </row>
    <row r="98" customFormat="false" ht="15" hidden="false" customHeight="true" outlineLevel="0" collapsed="false">
      <c r="A98" s="1" t="s">
        <v>2007</v>
      </c>
      <c r="B98" s="1" t="s">
        <v>2008</v>
      </c>
    </row>
    <row r="99" customFormat="false" ht="15" hidden="false" customHeight="true" outlineLevel="0" collapsed="false">
      <c r="A99" s="1" t="s">
        <v>2009</v>
      </c>
      <c r="B99" s="1" t="s">
        <v>2010</v>
      </c>
    </row>
    <row r="100" customFormat="false" ht="15" hidden="false" customHeight="true" outlineLevel="0" collapsed="false">
      <c r="A100" s="1" t="s">
        <v>2011</v>
      </c>
      <c r="B100" s="1" t="s">
        <v>2012</v>
      </c>
    </row>
    <row r="101" customFormat="false" ht="15" hidden="false" customHeight="true" outlineLevel="0" collapsed="false">
      <c r="A101" s="1" t="s">
        <v>2013</v>
      </c>
      <c r="B101" s="1" t="s">
        <v>2014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0"/>
    <col collapsed="false" customWidth="true" hidden="false" outlineLevel="0" max="2" min="2" style="1" width="18"/>
    <col collapsed="false" customWidth="true" hidden="false" outlineLevel="0" max="3" min="3" style="1" width="34"/>
  </cols>
  <sheetData>
    <row r="1" customFormat="false" ht="15.75" hidden="false" customHeight="true" outlineLevel="0" collapsed="false">
      <c r="A1" s="1" t="s">
        <v>2015</v>
      </c>
    </row>
    <row r="2" customFormat="false" ht="15" hidden="false" customHeight="true" outlineLevel="0" collapsed="false">
      <c r="A2" s="1" t="s">
        <v>758</v>
      </c>
    </row>
    <row r="4" customFormat="false" ht="15" hidden="false" customHeight="true" outlineLevel="0" collapsed="false">
      <c r="A4" s="1" t="s">
        <v>2016</v>
      </c>
      <c r="B4" s="1" t="s">
        <v>372</v>
      </c>
      <c r="C4" s="1" t="s">
        <v>2017</v>
      </c>
    </row>
    <row r="5" customFormat="false" ht="15" hidden="false" customHeight="true" outlineLevel="0" collapsed="false">
      <c r="A5" s="1" t="s">
        <v>2018</v>
      </c>
      <c r="B5" s="48" t="n">
        <f aca="false">SUM(Projection!I4:I59)</f>
        <v>10.5912409489156</v>
      </c>
      <c r="C5" s="1" t="s">
        <v>2019</v>
      </c>
    </row>
    <row r="6" customFormat="false" ht="15" hidden="false" customHeight="true" outlineLevel="0" collapsed="false">
      <c r="A6" s="1" t="s">
        <v>2020</v>
      </c>
      <c r="B6" s="11" t="n">
        <f aca="false">SUM(Projection!J4:J59)</f>
        <v>0.765388886787288</v>
      </c>
      <c r="C6" s="1" t="s">
        <v>2021</v>
      </c>
    </row>
    <row r="7" customFormat="false" ht="15" hidden="false" customHeight="true" outlineLevel="0" collapsed="false">
      <c r="A7" s="1" t="s">
        <v>2022</v>
      </c>
      <c r="B7" s="48" t="n">
        <f aca="false">B5</f>
        <v>10.5912409489156</v>
      </c>
      <c r="C7" s="7" t="s">
        <v>2023</v>
      </c>
    </row>
    <row r="8" customFormat="false" ht="15" hidden="false" customHeight="true" outlineLevel="0" collapsed="false">
      <c r="A8" s="1" t="s">
        <v>769</v>
      </c>
      <c r="B8" s="12" t="n">
        <f aca="false">SUM(Projection!K4:K59)</f>
        <v>106683.779346131</v>
      </c>
      <c r="C8" s="1" t="s">
        <v>2024</v>
      </c>
    </row>
    <row r="9" customFormat="false" ht="15" hidden="false" customHeight="true" outlineLevel="0" collapsed="false">
      <c r="A9" s="1" t="s">
        <v>771</v>
      </c>
      <c r="B9" s="12" t="n">
        <f aca="false">SUM(Projection!L4:L59)</f>
        <v>1622.98416087547</v>
      </c>
      <c r="C9" s="1" t="s">
        <v>2025</v>
      </c>
    </row>
    <row r="10" customFormat="false" ht="15" hidden="false" customHeight="true" outlineLevel="0" collapsed="false">
      <c r="A10" s="1" t="s">
        <v>2026</v>
      </c>
      <c r="B10" s="11" t="n">
        <f aca="false">Projection!I4</f>
        <v>1</v>
      </c>
      <c r="C10" s="1" t="s">
        <v>2027</v>
      </c>
    </row>
    <row r="11" customFormat="false" ht="15" hidden="false" customHeight="true" outlineLevel="0" collapsed="false">
      <c r="A11" s="1" t="s">
        <v>2028</v>
      </c>
      <c r="B11" s="45" t="n">
        <f aca="false">(Assumptions!B14*B10+Assumptions!B15*(B5-B10))/B5</f>
        <v>0.139696760236322</v>
      </c>
      <c r="C11" s="1" t="s">
        <v>2029</v>
      </c>
    </row>
    <row r="12" customFormat="false" ht="15" hidden="false" customHeight="true" outlineLevel="0" collapsed="false">
      <c r="A12" s="1" t="s">
        <v>392</v>
      </c>
      <c r="B12" s="18" t="n">
        <f aca="false">Assumptions!B13</f>
        <v>0.03</v>
      </c>
      <c r="C12" s="1" t="s">
        <v>2030</v>
      </c>
    </row>
    <row r="14" customFormat="false" ht="15" hidden="false" customHeight="true" outlineLevel="0" collapsed="false">
      <c r="A14" s="1" t="s">
        <v>2031</v>
      </c>
      <c r="B14" s="12" t="n">
        <f aca="false">(B8+B9)/(B7*(1-B12-B11))</f>
        <v>12316.0657114102</v>
      </c>
    </row>
    <row r="15" customFormat="false" ht="15" hidden="false" customHeight="true" outlineLevel="0" collapsed="false">
      <c r="A15" s="1" t="s">
        <v>2032</v>
      </c>
      <c r="B15" s="72" t="n">
        <v>11195.72</v>
      </c>
    </row>
    <row r="16" customFormat="false" ht="15" hidden="false" customHeight="true" outlineLevel="0" collapsed="false">
      <c r="A16" s="1" t="s">
        <v>2033</v>
      </c>
      <c r="B16" s="12" t="n">
        <f aca="false">B8/B7</f>
        <v>10072.8309232785</v>
      </c>
    </row>
    <row r="17" customFormat="false" ht="15" hidden="false" customHeight="true" outlineLevel="0" collapsed="false">
      <c r="A17" s="1" t="s">
        <v>2034</v>
      </c>
      <c r="B17" s="18" t="n">
        <f aca="false">B6/B5</f>
        <v>0.072266214174426</v>
      </c>
      <c r="C17" s="7" t="s">
        <v>2035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6"/>
    <col collapsed="false" customWidth="true" hidden="false" outlineLevel="0" max="6" min="2" style="1" width="14"/>
  </cols>
  <sheetData>
    <row r="1" customFormat="false" ht="15.75" hidden="false" customHeight="true" outlineLevel="0" collapsed="false">
      <c r="A1" s="1" t="s">
        <v>2036</v>
      </c>
    </row>
    <row r="2" customFormat="false" ht="15" hidden="false" customHeight="true" outlineLevel="0" collapsed="false">
      <c r="A2" s="1" t="s">
        <v>2037</v>
      </c>
    </row>
    <row r="4" customFormat="false" ht="15" hidden="false" customHeight="true" outlineLevel="0" collapsed="false">
      <c r="A4" s="1" t="s">
        <v>611</v>
      </c>
      <c r="B4" s="1" t="n">
        <v>0</v>
      </c>
      <c r="C4" s="73" t="n">
        <v>5</v>
      </c>
      <c r="D4" s="74" t="n">
        <v>10</v>
      </c>
      <c r="E4" s="74" t="n">
        <v>15</v>
      </c>
      <c r="F4" s="74" t="n">
        <v>20</v>
      </c>
    </row>
    <row r="5" customFormat="false" ht="15" hidden="false" customHeight="true" outlineLevel="0" collapsed="false">
      <c r="A5" s="1" t="s">
        <v>2038</v>
      </c>
      <c r="B5" s="5" t="n">
        <f aca="false">SUMIFS(Projection!$N$4:$N$59,Projection!$B$4:$B$59,"&lt;"&amp;(Assumptions!$B$4+0))/Discount!C4</f>
        <v>0</v>
      </c>
      <c r="C5" s="12" t="n">
        <f aca="false">SUMIFS(Projection!$N$4:$N$59,Projection!$B$4:$B$59,"&lt;"&amp;(Assumptions!$B$4+5))/Discount!C9</f>
        <v>45721.6171278948</v>
      </c>
      <c r="D5" s="12" t="n">
        <f aca="false">SUMIFS(Projection!$N$4:$N$59,Projection!$B$4:$B$59,"&lt;"&amp;(Assumptions!$B$4+10))/Discount!C14</f>
        <v>107289.117619107</v>
      </c>
      <c r="E5" s="12" t="n">
        <f aca="false">SUMIFS(Projection!$N$4:$N$59,Projection!$B$4:$B$59,"&lt;"&amp;(Assumptions!$B$4+15))/Discount!C19</f>
        <v>175975.362518548</v>
      </c>
      <c r="F5" s="12" t="n">
        <f aca="false">SUMIFS(Projection!$N$4:$N$59,Projection!$B$4:$B$59,"&lt;"&amp;(Assumptions!$B$4+20))/Discount!C24</f>
        <v>127165.207527775</v>
      </c>
    </row>
    <row r="7" customFormat="false" ht="15" hidden="false" customHeight="true" outlineLevel="0" collapsed="false">
      <c r="A7" s="1" t="s">
        <v>2039</v>
      </c>
      <c r="B7" s="1" t="n">
        <v>0</v>
      </c>
      <c r="C7" s="72" t="n">
        <v>41068.28</v>
      </c>
      <c r="D7" s="72" t="n">
        <v>71136.35</v>
      </c>
      <c r="E7" s="72" t="n">
        <v>91396.02</v>
      </c>
      <c r="F7" s="72" t="n">
        <v>13129.83</v>
      </c>
    </row>
    <row r="8" customFormat="false" ht="15" hidden="false" customHeight="true" outlineLevel="0" collapsed="false">
      <c r="A8" s="1" t="s">
        <v>2040</v>
      </c>
      <c r="B8" s="5" t="n">
        <f aca="false">B5-B7</f>
        <v>0</v>
      </c>
      <c r="C8" s="12" t="n">
        <f aca="false">C5-C7</f>
        <v>4653.33712789476</v>
      </c>
      <c r="D8" s="12" t="n">
        <f aca="false">D5-D7</f>
        <v>36152.7676191068</v>
      </c>
      <c r="E8" s="12" t="n">
        <f aca="false">E5-E7</f>
        <v>84579.3425185477</v>
      </c>
      <c r="F8" s="12" t="n">
        <f aca="false">F5-F7</f>
        <v>114035.377527775</v>
      </c>
    </row>
    <row r="10" customFormat="false" ht="15" hidden="false" customHeight="true" outlineLevel="0" collapsed="false">
      <c r="A10" s="1" t="s">
        <v>2041</v>
      </c>
      <c r="B10" s="12" t="n">
        <f aca="false">SUMIFS(Projection!$M$4:$M$59,Projection!$B$4:$B$59,"&lt;"&amp;Assumptions!$B$5)</f>
        <v>135162.211330771</v>
      </c>
    </row>
    <row r="11" customFormat="false" ht="15" hidden="false" customHeight="true" outlineLevel="0" collapsed="false">
      <c r="A11" s="1" t="s">
        <v>2042</v>
      </c>
      <c r="B11" s="5" t="str">
        <f aca="false">IF(E5&gt;=B10,"PASS — fund exceeds net cash in","FAIL")</f>
        <v>PASS — fund exceeds net cash in</v>
      </c>
    </row>
    <row r="12" customFormat="false" ht="15" hidden="false" customHeight="true" outlineLevel="0" collapsed="false">
      <c r="A12" s="1" t="s">
        <v>2043</v>
      </c>
      <c r="B12" s="5" t="str">
        <f aca="false">IF(E7&gt;=B10,"pass","FAILS — fund below net cash in (impossible)")</f>
        <v>FAILS — fund below net cash in (impossible)</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6"/>
    <col collapsed="false" customWidth="true" hidden="false" outlineLevel="0" max="6" min="2" style="1" width="14"/>
  </cols>
  <sheetData>
    <row r="1" customFormat="false" ht="15.75" hidden="false" customHeight="true" outlineLevel="0" collapsed="false">
      <c r="A1" s="1" t="s">
        <v>2044</v>
      </c>
    </row>
    <row r="2" customFormat="false" ht="15" hidden="false" customHeight="true" outlineLevel="0" collapsed="false">
      <c r="A2" s="1" t="s">
        <v>2045</v>
      </c>
    </row>
    <row r="4" customFormat="false" ht="15" hidden="false" customHeight="true" outlineLevel="0" collapsed="false">
      <c r="A4" s="1" t="s">
        <v>611</v>
      </c>
      <c r="B4" s="1" t="n">
        <v>0</v>
      </c>
      <c r="C4" s="73" t="n">
        <v>5</v>
      </c>
      <c r="D4" s="74" t="n">
        <v>10</v>
      </c>
      <c r="E4" s="74" t="n">
        <v>15</v>
      </c>
      <c r="F4" s="74" t="n">
        <v>20</v>
      </c>
    </row>
    <row r="5" customFormat="false" ht="15" hidden="false" customHeight="true" outlineLevel="0" collapsed="false">
      <c r="A5" s="1" t="s">
        <v>2046</v>
      </c>
      <c r="B5" s="12" t="n">
        <f aca="false">SUMIFS(Projection!$P$4:$P$59,Projection!$B$4:$B$59,"&gt;="&amp;(Assumptions!$B$4+0))/Discount!C4</f>
        <v>-3913.27258476668</v>
      </c>
      <c r="C5" s="12" t="n">
        <f aca="false">SUMIFS(Projection!$P$4:$P$59,Projection!$B$4:$B$59,"&gt;="&amp;(Assumptions!$B$4+5))/Discount!C9</f>
        <v>41257.4878766723</v>
      </c>
      <c r="D5" s="12" t="n">
        <f aca="false">SUMIFS(Projection!$P$4:$P$59,Projection!$B$4:$B$59,"&gt;="&amp;(Assumptions!$B$4+10))/Discount!C14</f>
        <v>102075.273009479</v>
      </c>
      <c r="E5" s="12" t="n">
        <f aca="false">SUMIFS(Projection!$P$4:$P$59,Projection!$B$4:$B$59,"&gt;="&amp;(Assumptions!$B$4+15))/Discount!C19</f>
        <v>169782.914600927</v>
      </c>
      <c r="F5" s="12" t="n">
        <f aca="false">SUMIFS(Projection!$P$4:$P$59,Projection!$B$4:$B$59,"&gt;="&amp;(Assumptions!$B$4+20))/Discount!C24</f>
        <v>119861.817053451</v>
      </c>
    </row>
    <row r="7" customFormat="false" ht="15" hidden="false" customHeight="true" outlineLevel="0" collapsed="false">
      <c r="A7" s="1" t="s">
        <v>2047</v>
      </c>
      <c r="B7" s="72" t="n">
        <v>-21744.4</v>
      </c>
      <c r="C7" s="72" t="n">
        <v>34512.2</v>
      </c>
      <c r="D7" s="72" t="n">
        <v>95588.85</v>
      </c>
      <c r="E7" s="72" t="n">
        <v>165300.33</v>
      </c>
      <c r="F7" s="72" t="n">
        <v>97884.63</v>
      </c>
    </row>
    <row r="8" customFormat="false" ht="15" hidden="false" customHeight="true" outlineLevel="0" collapsed="false">
      <c r="A8" s="3" t="s">
        <v>2048</v>
      </c>
      <c r="B8" s="12" t="n">
        <f aca="false">B5-B7</f>
        <v>17831.1274152333</v>
      </c>
      <c r="C8" s="12" t="n">
        <f aca="false">C5-C7</f>
        <v>6745.28787667231</v>
      </c>
      <c r="D8" s="12" t="n">
        <f aca="false">D5-D7</f>
        <v>6486.42300947853</v>
      </c>
      <c r="E8" s="48" t="n">
        <f aca="false">E5-E7</f>
        <v>4482.58460092696</v>
      </c>
      <c r="F8" s="12" t="n">
        <f aca="false">F5-F7</f>
        <v>21977.1870534507</v>
      </c>
    </row>
    <row r="10" customFormat="false" ht="15" hidden="false" customHeight="true" outlineLevel="0" collapsed="false">
      <c r="A10" s="3" t="s">
        <v>2049</v>
      </c>
    </row>
    <row r="11" customFormat="false" ht="15" hidden="false" customHeight="true" outlineLevel="0" collapsed="false">
      <c r="A11" s="1" t="s">
        <v>2050</v>
      </c>
      <c r="B11" s="12" t="n">
        <f aca="false">SUMIFS(Projection!$AD$4:$AD$59,Projection!$B$4:$B$59,"&gt;="&amp;(Assumptions!$B$4+0))/Discount!C4</f>
        <v>18222.3834004509</v>
      </c>
      <c r="C11" s="12" t="n">
        <f aca="false">SUMIFS(Projection!$AD$4:$AD$59,Projection!$B$4:$B$59,"&gt;="&amp;(Assumptions!$B$4+5))/Discount!C9</f>
        <v>4308.3132445517</v>
      </c>
      <c r="D11" s="12" t="n">
        <f aca="false">SUMIFS(Projection!$AD$4:$AD$59,Projection!$B$4:$B$59,"&gt;="&amp;(Assumptions!$B$4+10))/Discount!C14</f>
        <v>2171.818959879</v>
      </c>
      <c r="E11" s="12" t="n">
        <f aca="false">SUMIFS(Projection!$AD$4:$AD$59,Projection!$B$4:$B$59,"&gt;="&amp;(Assumptions!$B$4+15))/Discount!C19</f>
        <v>0</v>
      </c>
      <c r="F11" s="12" t="n">
        <f aca="false">SUMIFS(Projection!$AD$4:$AD$59,Projection!$B$4:$B$59,"&gt;="&amp;(Assumptions!$B$4+20))/Discount!C24</f>
        <v>0</v>
      </c>
    </row>
    <row r="12" customFormat="false" ht="15" hidden="false" customHeight="true" outlineLevel="0" collapsed="false">
      <c r="A12" s="1" t="s">
        <v>2051</v>
      </c>
      <c r="B12" s="12" t="n">
        <f aca="false">B8-B11</f>
        <v>-391.255985217558</v>
      </c>
      <c r="C12" s="12" t="n">
        <f aca="false">C8-C11</f>
        <v>2436.97463212061</v>
      </c>
      <c r="D12" s="12" t="n">
        <f aca="false">D8-D11</f>
        <v>4314.60404959953</v>
      </c>
      <c r="E12" s="12" t="n">
        <f aca="false">E8-E11</f>
        <v>4482.58460092696</v>
      </c>
      <c r="F12" s="12" t="n">
        <f aca="false">F8-F11</f>
        <v>21977.1870534507</v>
      </c>
    </row>
    <row r="14" customFormat="false" ht="15" hidden="false" customHeight="true" outlineLevel="0" collapsed="false">
      <c r="A14" s="3" t="s">
        <v>2052</v>
      </c>
    </row>
    <row r="15" customFormat="false" ht="15" hidden="false" customHeight="true" outlineLevel="0" collapsed="false">
      <c r="A15" s="7" t="s">
        <v>2053</v>
      </c>
    </row>
    <row r="16" customFormat="false" ht="15" hidden="false" customHeight="true" outlineLevel="0" collapsed="false">
      <c r="A16" s="7" t="s">
        <v>2054</v>
      </c>
    </row>
    <row r="17" customFormat="false" ht="15" hidden="false" customHeight="true" outlineLevel="0" collapsed="false">
      <c r="A17" s="7" t="s">
        <v>2055</v>
      </c>
    </row>
    <row r="18" customFormat="false" ht="15" hidden="false" customHeight="true" outlineLevel="0" collapsed="false">
      <c r="A18" s="7" t="s">
        <v>2056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8"/>
    <col collapsed="false" customWidth="true" hidden="false" outlineLevel="0" max="6" min="2" style="1" width="13"/>
  </cols>
  <sheetData>
    <row r="1" customFormat="false" ht="15.75" hidden="false" customHeight="true" outlineLevel="0" collapsed="false">
      <c r="A1" s="1" t="s">
        <v>2057</v>
      </c>
    </row>
    <row r="2" customFormat="false" ht="15" hidden="false" customHeight="true" outlineLevel="0" collapsed="false">
      <c r="A2" s="1" t="s">
        <v>2058</v>
      </c>
    </row>
    <row r="3" customFormat="false" ht="15" hidden="false" customHeight="true" outlineLevel="0" collapsed="false">
      <c r="A3" s="1" t="s">
        <v>2059</v>
      </c>
    </row>
    <row r="4" customFormat="false" ht="15" hidden="false" customHeight="true" outlineLevel="0" collapsed="false">
      <c r="A4" s="1" t="s">
        <v>2060</v>
      </c>
      <c r="B4" s="1" t="n">
        <v>0</v>
      </c>
      <c r="C4" s="73" t="n">
        <v>5</v>
      </c>
      <c r="D4" s="74" t="n">
        <v>10</v>
      </c>
      <c r="E4" s="74" t="n">
        <v>15</v>
      </c>
      <c r="F4" s="74" t="n">
        <v>20</v>
      </c>
    </row>
    <row r="5" customFormat="false" ht="15" hidden="false" customHeight="true" outlineLevel="0" collapsed="false">
      <c r="A5" s="1" t="s">
        <v>2061</v>
      </c>
      <c r="B5" s="5" t="n">
        <f aca="false">ANAV!B5</f>
        <v>0</v>
      </c>
      <c r="C5" s="12" t="n">
        <f aca="false">ANAV!C5</f>
        <v>45721.6171278948</v>
      </c>
      <c r="D5" s="12" t="n">
        <f aca="false">ANAV!D5</f>
        <v>107289.117619107</v>
      </c>
      <c r="E5" s="12" t="n">
        <f aca="false">ANAV!E5</f>
        <v>175975.362518548</v>
      </c>
      <c r="F5" s="12" t="n">
        <f aca="false">ANAV!F5</f>
        <v>127165.207527775</v>
      </c>
    </row>
    <row r="6" customFormat="false" ht="15" hidden="false" customHeight="true" outlineLevel="0" collapsed="false">
      <c r="A6" s="1" t="s">
        <v>2062</v>
      </c>
      <c r="B6" s="12" t="n">
        <f aca="false">Reserving!B5</f>
        <v>-3913.27258476668</v>
      </c>
      <c r="C6" s="12" t="n">
        <f aca="false">Reserving!C5</f>
        <v>41257.4878766723</v>
      </c>
      <c r="D6" s="12" t="n">
        <f aca="false">Reserving!D5</f>
        <v>102075.273009479</v>
      </c>
      <c r="E6" s="12" t="n">
        <f aca="false">Reserving!E5</f>
        <v>169782.914600927</v>
      </c>
      <c r="F6" s="12" t="n">
        <f aca="false">Reserving!F5</f>
        <v>119861.817053451</v>
      </c>
    </row>
    <row r="7" customFormat="false" ht="15" hidden="false" customHeight="true" outlineLevel="0" collapsed="false">
      <c r="A7" s="1" t="s">
        <v>2063</v>
      </c>
      <c r="B7" s="12" t="n">
        <f aca="false">B5-B6</f>
        <v>3913.27258476668</v>
      </c>
      <c r="C7" s="12" t="n">
        <f aca="false">C5-C6</f>
        <v>4464.12925122245</v>
      </c>
      <c r="D7" s="12" t="n">
        <f aca="false">D5-D6</f>
        <v>5213.84460962823</v>
      </c>
      <c r="E7" s="12" t="n">
        <f aca="false">E5-E6</f>
        <v>6192.44791762077</v>
      </c>
      <c r="F7" s="12" t="n">
        <f aca="false">F5-F6</f>
        <v>7303.39047432478</v>
      </c>
    </row>
    <row r="8" customFormat="false" ht="15" hidden="false" customHeight="true" outlineLevel="0" collapsed="false">
      <c r="A8" s="1" t="s">
        <v>2064</v>
      </c>
      <c r="B8" s="12" t="n">
        <f aca="false">Assumptions!$B$13*Pricing!$B$14*SUMIFS(Projection!$I$4:$I$59,Projection!$B$4:$B$59,"&gt;="&amp;(Assumptions!$B$4+0))/Discount!C4</f>
        <v>3913.27258476671</v>
      </c>
      <c r="C8" s="12" t="n">
        <f aca="false">Assumptions!$B$13*Pricing!$B$14*SUMIFS(Projection!$I$4:$I$59,Projection!$B$4:$B$59,"&gt;="&amp;(Assumptions!$B$4+5))/Discount!C9</f>
        <v>2584.98794673102</v>
      </c>
      <c r="D8" s="12" t="n">
        <f aca="false">Assumptions!$B$13*Pricing!$B$14*SUMIFS(Projection!$I$4:$I$59,Projection!$B$4:$B$59,"&gt;="&amp;(Assumptions!$B$4+10))/Discount!C14</f>
        <v>1303.0913759274</v>
      </c>
      <c r="E8" s="5" t="n">
        <f aca="false">Assumptions!$B$13*Pricing!$B$14*SUMIFS(Projection!$I$4:$I$59,Projection!$B$4:$B$59,"&gt;="&amp;(Assumptions!$B$4+15))/Discount!C19</f>
        <v>0</v>
      </c>
      <c r="F8" s="5" t="n">
        <f aca="false">Assumptions!$B$13*Pricing!$B$14*SUMIFS(Projection!$I$4:$I$59,Projection!$B$4:$B$59,"&gt;="&amp;(Assumptions!$B$4+20))/Discount!C24</f>
        <v>0</v>
      </c>
    </row>
    <row r="10" customFormat="false" ht="15" hidden="false" customHeight="true" outlineLevel="0" collapsed="false">
      <c r="A10" s="1" t="s">
        <v>2065</v>
      </c>
      <c r="B10" s="12" t="n">
        <f aca="false">(Projection!F4/Projection!Q4)*SUMIFS(Projection!$R$4:$R$59,Projection!$B$4:$B$59,"&gt;="&amp;(Assumptions!$B$4+0))/Discount!C4</f>
        <v>10910.4695452896</v>
      </c>
      <c r="C10" s="12" t="n">
        <f aca="false">(Projection!F9/Projection!Q9)*SUMIFS(Projection!$R$4:$R$59,Projection!$B$4:$B$59,"&gt;="&amp;(Assumptions!$B$4+5))/Discount!C9</f>
        <v>57930.9996770313</v>
      </c>
      <c r="D10" s="12" t="n">
        <f aca="false">(Projection!F14/Projection!Q14)*SUMIFS(Projection!$R$4:$R$59,Projection!$B$4:$B$59,"&gt;="&amp;(Assumptions!$B$4+10))/Discount!C14</f>
        <v>120453.517850583</v>
      </c>
      <c r="E10" s="12" t="n">
        <f aca="false">(Projection!F19/Projection!Q19)*SUMIFS(Projection!$R$4:$R$59,Projection!$B$4:$B$59,"&gt;="&amp;(Assumptions!$B$4+15))/Discount!C19</f>
        <v>188276.094351444</v>
      </c>
      <c r="F10" s="12" t="n">
        <f aca="false">(Projection!F24/Projection!Q24)*SUMIFS(Projection!$R$4:$R$59,Projection!$B$4:$B$59,"&gt;="&amp;(Assumptions!$B$4+20))/Discount!C24</f>
        <v>135771.546018255</v>
      </c>
    </row>
    <row r="11" customFormat="false" ht="15" hidden="false" customHeight="true" outlineLevel="0" collapsed="false">
      <c r="A11" s="1" t="s">
        <v>2066</v>
      </c>
      <c r="B11" s="12" t="n">
        <f aca="false">(Projection!F4/Projection!S4)*SUMIFS(Projection!$T$4:$T$59,Projection!$B$4:$B$59,"&gt;="&amp;(Assumptions!$B$4+0))/Discount!C4</f>
        <v>-7758.75058086266</v>
      </c>
      <c r="C11" s="12" t="n">
        <f aca="false">(Projection!F9/Projection!S9)*SUMIFS(Projection!$T$4:$T$59,Projection!$B$4:$B$59,"&gt;="&amp;(Assumptions!$B$4+5))/Discount!C9</f>
        <v>37242.7990768487</v>
      </c>
      <c r="D11" s="12" t="n">
        <f aca="false">(Projection!F14/Projection!S14)*SUMIFS(Projection!$T$4:$T$59,Projection!$B$4:$B$59,"&gt;="&amp;(Assumptions!$B$4+10))/Discount!C14</f>
        <v>99174.1596963008</v>
      </c>
      <c r="E11" s="12" t="n">
        <f aca="false">(Projection!F19/Projection!S19)*SUMIFS(Projection!$T$4:$T$59,Projection!$B$4:$B$59,"&gt;="&amp;(Assumptions!$B$4+15))/Discount!C19</f>
        <v>169782.914600927</v>
      </c>
      <c r="F11" s="12" t="n">
        <f aca="false">(Projection!F24/Projection!S24)*SUMIFS(Projection!$T$4:$T$59,Projection!$B$4:$B$59,"&gt;="&amp;(Assumptions!$B$4+20))/Discount!C24</f>
        <v>119861.817053451</v>
      </c>
    </row>
    <row r="12" customFormat="false" ht="15" hidden="false" customHeight="true" outlineLevel="0" collapsed="false">
      <c r="A12" s="1" t="s">
        <v>2067</v>
      </c>
      <c r="B12" s="12" t="n">
        <f aca="false">(Projection!F4/Projection!U4)*SUMIFS(Projection!$V$4:$V$59,Projection!$B$4:$B$59,"&gt;="&amp;(Assumptions!$B$4+0))/Discount!C4</f>
        <v>530.862392008262</v>
      </c>
      <c r="C12" s="12" t="n">
        <f aca="false">(Projection!F9/Projection!U9)*SUMIFS(Projection!$V$4:$V$59,Projection!$B$4:$B$59,"&gt;="&amp;(Assumptions!$B$4+5))/Discount!C9</f>
        <v>45469.5564594168</v>
      </c>
      <c r="D12" s="12" t="n">
        <f aca="false">(Projection!F14/Projection!U14)*SUMIFS(Projection!$V$4:$V$59,Projection!$B$4:$B$59,"&gt;="&amp;(Assumptions!$B$4+10))/Discount!C14</f>
        <v>105033.535256914</v>
      </c>
      <c r="E12" s="12" t="n">
        <f aca="false">(Projection!F19/Projection!U19)*SUMIFS(Projection!$V$4:$V$59,Projection!$B$4:$B$59,"&gt;="&amp;(Assumptions!$B$4+15))/Discount!C19</f>
        <v>169782.914600927</v>
      </c>
      <c r="F12" s="12" t="n">
        <f aca="false">(Projection!F24/Projection!U24)*SUMIFS(Projection!$V$4:$V$59,Projection!$B$4:$B$59,"&gt;="&amp;(Assumptions!$B$4+20))/Discount!C24</f>
        <v>119861.817053451</v>
      </c>
    </row>
    <row r="13" customFormat="false" ht="15" hidden="false" customHeight="true" outlineLevel="0" collapsed="false">
      <c r="A13" s="1" t="s">
        <v>2068</v>
      </c>
      <c r="B13" s="12" t="n">
        <f aca="false">(1-Assumptions!$B$22)*B6</f>
        <v>-2347.96355086001</v>
      </c>
      <c r="C13" s="12" t="n">
        <f aca="false">(1-Assumptions!$B$22)*C6</f>
        <v>24754.4927260034</v>
      </c>
      <c r="D13" s="12" t="n">
        <f aca="false">(1-Assumptions!$B$22)*D6</f>
        <v>61245.1638056871</v>
      </c>
      <c r="E13" s="12" t="n">
        <f aca="false">(1-Assumptions!$B$22)*E6</f>
        <v>101869.748760556</v>
      </c>
      <c r="F13" s="12" t="n">
        <f aca="false">(1-Assumptions!$B$22)*F6</f>
        <v>71917.0902320704</v>
      </c>
    </row>
    <row r="14" customFormat="false" ht="15" hidden="false" customHeight="true" outlineLevel="0" collapsed="false">
      <c r="A14" s="1" t="s">
        <v>2069</v>
      </c>
      <c r="B14" s="12" t="n">
        <f aca="false">SUMIFS(Projection!$W$4:$W$59,Projection!$B$4:$B$59,"&gt;="&amp;(Assumptions!$B$4+0))/Discount!C4</f>
        <v>-3514.69654462751</v>
      </c>
      <c r="C14" s="12" t="n">
        <f aca="false">SUMIFS(Projection!$W$4:$W$59,Projection!$B$4:$B$59,"&gt;="&amp;(Assumptions!$B$4+5))/Discount!C9</f>
        <v>41659.2428916757</v>
      </c>
      <c r="D14" s="12" t="n">
        <f aca="false">SUMIFS(Projection!$W$4:$W$59,Projection!$B$4:$B$59,"&gt;="&amp;(Assumptions!$B$4+10))/Discount!C14</f>
        <v>102464.561239253</v>
      </c>
      <c r="E14" s="12" t="n">
        <f aca="false">SUMIFS(Projection!$W$4:$W$59,Projection!$B$4:$B$59,"&gt;="&amp;(Assumptions!$B$4+15))/Discount!C19</f>
        <v>170136.896872445</v>
      </c>
      <c r="F14" s="12" t="n">
        <f aca="false">SUMIFS(Projection!$W$4:$W$59,Projection!$B$4:$B$59,"&gt;="&amp;(Assumptions!$B$4+20))/Discount!C24</f>
        <v>120147.376784822</v>
      </c>
    </row>
    <row r="16" customFormat="false" ht="15" hidden="false" customHeight="true" outlineLevel="0" collapsed="false">
      <c r="A16" s="1" t="s">
        <v>2070</v>
      </c>
      <c r="B16" s="12" t="n">
        <f aca="false">MAX(0,B10-B6)</f>
        <v>14823.7421300562</v>
      </c>
      <c r="C16" s="12" t="n">
        <f aca="false">MAX(0,C10-C6)</f>
        <v>16673.511800359</v>
      </c>
      <c r="D16" s="12" t="n">
        <f aca="false">MAX(0,D10-D6)</f>
        <v>18378.2448411043</v>
      </c>
      <c r="E16" s="12" t="n">
        <f aca="false">MAX(0,E10-E6)</f>
        <v>18493.1797505175</v>
      </c>
      <c r="F16" s="12" t="n">
        <f aca="false">MAX(0,F10-F6)</f>
        <v>15909.7289648044</v>
      </c>
    </row>
    <row r="17" customFormat="false" ht="15" hidden="false" customHeight="true" outlineLevel="0" collapsed="false">
      <c r="A17" s="1" t="s">
        <v>2071</v>
      </c>
      <c r="B17" s="5" t="n">
        <f aca="false">MAX(0,B11-B6)</f>
        <v>0</v>
      </c>
      <c r="C17" s="5" t="n">
        <f aca="false">MAX(0,C11-C6)</f>
        <v>0</v>
      </c>
      <c r="D17" s="5" t="n">
        <f aca="false">MAX(0,D11-D6)</f>
        <v>0</v>
      </c>
      <c r="E17" s="5" t="n">
        <f aca="false">MAX(0,E11-E6)</f>
        <v>0</v>
      </c>
      <c r="F17" s="5" t="n">
        <f aca="false">MAX(0,F11-F6)</f>
        <v>0</v>
      </c>
    </row>
    <row r="18" customFormat="false" ht="15" hidden="false" customHeight="true" outlineLevel="0" collapsed="false">
      <c r="A18" s="1" t="s">
        <v>2072</v>
      </c>
      <c r="B18" s="12" t="n">
        <f aca="false">MAX(0,B12-B6)</f>
        <v>4444.13497677495</v>
      </c>
      <c r="C18" s="12" t="n">
        <f aca="false">MAX(0,C12-C6)</f>
        <v>4212.06858274451</v>
      </c>
      <c r="D18" s="12" t="n">
        <f aca="false">MAX(0,D12-D6)</f>
        <v>2958.26224743547</v>
      </c>
      <c r="E18" s="5" t="n">
        <f aca="false">MAX(0,E12-E6)</f>
        <v>0</v>
      </c>
      <c r="F18" s="5" t="n">
        <f aca="false">MAX(0,F12-F6)</f>
        <v>0</v>
      </c>
    </row>
    <row r="19" customFormat="false" ht="15" hidden="false" customHeight="true" outlineLevel="0" collapsed="false">
      <c r="A19" s="1" t="s">
        <v>2073</v>
      </c>
      <c r="B19" s="12" t="n">
        <f aca="false">MAX(0,B13-B6)</f>
        <v>1565.30903390667</v>
      </c>
      <c r="C19" s="5" t="n">
        <f aca="false">MAX(0,C13-C6)</f>
        <v>0</v>
      </c>
      <c r="D19" s="5" t="n">
        <f aca="false">MAX(0,D13-D6)</f>
        <v>0</v>
      </c>
      <c r="E19" s="5" t="n">
        <f aca="false">MAX(0,E13-E6)</f>
        <v>0</v>
      </c>
      <c r="F19" s="5" t="n">
        <f aca="false">MAX(0,F13-F6)</f>
        <v>0</v>
      </c>
    </row>
    <row r="20" customFormat="false" ht="15" hidden="false" customHeight="true" outlineLevel="0" collapsed="false">
      <c r="A20" s="1" t="s">
        <v>2074</v>
      </c>
      <c r="B20" s="12" t="n">
        <f aca="false">MAX(B17,B18,B19)</f>
        <v>4444.13497677495</v>
      </c>
      <c r="C20" s="12" t="n">
        <f aca="false">MAX(C17,C18,C19)</f>
        <v>4212.06858274451</v>
      </c>
      <c r="D20" s="12" t="n">
        <f aca="false">MAX(D17,D18,D19)</f>
        <v>2958.26224743547</v>
      </c>
      <c r="E20" s="5" t="n">
        <f aca="false">MAX(E17,E18,E19)</f>
        <v>0</v>
      </c>
      <c r="F20" s="5" t="n">
        <f aca="false">MAX(F17,F18,F19)</f>
        <v>0</v>
      </c>
    </row>
    <row r="21" customFormat="false" ht="15" hidden="false" customHeight="true" outlineLevel="0" collapsed="false">
      <c r="A21" s="1" t="s">
        <v>2075</v>
      </c>
      <c r="B21" s="48" t="n">
        <f aca="false">MAX(0,B14-B6)</f>
        <v>398.576040139176</v>
      </c>
      <c r="C21" s="48" t="n">
        <f aca="false">MAX(0,C14-C6)</f>
        <v>401.755015003364</v>
      </c>
      <c r="D21" s="48" t="n">
        <f aca="false">MAX(0,D14-D6)</f>
        <v>389.288229774218</v>
      </c>
      <c r="E21" s="48" t="n">
        <f aca="false">MAX(0,E14-E6)</f>
        <v>353.982271517714</v>
      </c>
      <c r="F21" s="48" t="n">
        <f aca="false">MAX(0,F14-F6)</f>
        <v>285.559731371701</v>
      </c>
    </row>
    <row r="23" customFormat="false" ht="15" hidden="false" customHeight="true" outlineLevel="0" collapsed="false">
      <c r="A23" s="1" t="s">
        <v>2076</v>
      </c>
      <c r="B23" s="12" t="n">
        <f aca="false">SQRT(B16^2+B20^2+B21^2+2*Assumptions!$B$26*B16*B20+2*Assumptions!$B$27*B16*B21+2*Assumptions!$B$28*B20*B21)</f>
        <v>16652.8497463172</v>
      </c>
      <c r="C23" s="12" t="n">
        <f aca="false">SQRT(C16^2+C20^2+C21^2+2*Assumptions!$B$26*C16*C20+2*Assumptions!$B$27*C16*C21+2*Assumptions!$B$28*C20*C21)</f>
        <v>18332.0884072738</v>
      </c>
      <c r="D23" s="12" t="n">
        <f aca="false">SQRT(D16^2+D20^2+D21^2+2*Assumptions!$B$26*D16*D20+2*Assumptions!$B$27*D16*D21+2*Assumptions!$B$28*D20*D21)</f>
        <v>19457.0144705602</v>
      </c>
      <c r="E23" s="12" t="n">
        <f aca="false">SQRT(E16^2+E20^2+E21^2+2*Assumptions!$B$26*E16*E20+2*Assumptions!$B$27*E16*E21+2*Assumptions!$B$28*E20*E21)</f>
        <v>18584.8360127642</v>
      </c>
      <c r="F23" s="12" t="n">
        <f aca="false">SQRT(F16^2+F20^2+F21^2+2*Assumptions!$B$26*F16*F20+2*Assumptions!$B$27*F16*F21+2*Assumptions!$B$28*F20*F21)</f>
        <v>15983.5105361247</v>
      </c>
    </row>
    <row r="24" customFormat="false" ht="15" hidden="false" customHeight="true" outlineLevel="0" collapsed="false">
      <c r="A24" s="1" t="s">
        <v>2077</v>
      </c>
      <c r="B24" s="53" t="n">
        <f aca="false">B7/B23</f>
        <v>0.234991166339689</v>
      </c>
      <c r="C24" s="53" t="n">
        <f aca="false">C7/C23</f>
        <v>0.243514495023446</v>
      </c>
      <c r="D24" s="53" t="n">
        <f aca="false">D7/D23</f>
        <v>0.26796735015627</v>
      </c>
      <c r="E24" s="53" t="n">
        <f aca="false">E7/E23</f>
        <v>0.333198953887338</v>
      </c>
      <c r="F24" s="53" t="n">
        <f aca="false">F7/F23</f>
        <v>0.456932815717687</v>
      </c>
    </row>
    <row r="26" customFormat="false" ht="15" hidden="false" customHeight="true" outlineLevel="0" collapsed="false">
      <c r="A26" s="1" t="s">
        <v>2078</v>
      </c>
      <c r="B26" s="73" t="n">
        <v>1.2915</v>
      </c>
      <c r="C26" s="73" t="n">
        <v>0.4322</v>
      </c>
      <c r="D26" s="73" t="n">
        <v>-1.1428</v>
      </c>
      <c r="E26" s="73" t="n">
        <v>-4.0851</v>
      </c>
      <c r="F26" s="73" t="n">
        <v>-4.9632</v>
      </c>
    </row>
    <row r="27" customFormat="false" ht="15" hidden="false" customHeight="true" outlineLevel="0" collapsed="false">
      <c r="A27" s="1" t="s">
        <v>2079</v>
      </c>
    </row>
    <row r="28" customFormat="false" ht="15" hidden="false" customHeight="true" outlineLevel="0" collapsed="false">
      <c r="A28" s="1" t="s">
        <v>2080</v>
      </c>
    </row>
    <row r="30" customFormat="false" ht="15" hidden="false" customHeight="true" outlineLevel="0" collapsed="false">
      <c r="A30" s="1" t="s">
        <v>2081</v>
      </c>
      <c r="B30" s="12" t="n">
        <f aca="false">RiskMargin!L4</f>
        <v>20767.4548564818</v>
      </c>
      <c r="C30" s="12" t="n">
        <f aca="false">RiskMargin!L9</f>
        <v>18041.1549289459</v>
      </c>
      <c r="D30" s="12" t="n">
        <f aca="false">RiskMargin!L14</f>
        <v>14846.6872913244</v>
      </c>
      <c r="E30" s="12" t="n">
        <f aca="false">RiskMargin!L19</f>
        <v>11181.3420912797</v>
      </c>
      <c r="F30" s="12" t="n">
        <f aca="false">RiskMargin!L24</f>
        <v>7310.82365333955</v>
      </c>
    </row>
    <row r="31" customFormat="false" ht="15" hidden="false" customHeight="true" outlineLevel="0" collapsed="false">
      <c r="A31" s="1" t="s">
        <v>2082</v>
      </c>
      <c r="B31" s="12" t="n">
        <f aca="false">B7-B30</f>
        <v>-16854.1822717151</v>
      </c>
      <c r="C31" s="12" t="n">
        <f aca="false">C7-C30</f>
        <v>-13577.0256777234</v>
      </c>
      <c r="D31" s="12" t="n">
        <f aca="false">D7-D30</f>
        <v>-9632.8426816962</v>
      </c>
      <c r="E31" s="12" t="n">
        <f aca="false">E7-E30</f>
        <v>-4988.89417365894</v>
      </c>
      <c r="F31" s="12" t="n">
        <f aca="false">F7-F30</f>
        <v>-7.43317901476439</v>
      </c>
    </row>
    <row r="32" customFormat="false" ht="15" hidden="false" customHeight="true" outlineLevel="0" collapsed="false">
      <c r="A32" s="1" t="s">
        <v>2083</v>
      </c>
      <c r="B32" s="53" t="n">
        <f aca="false">B31/B23</f>
        <v>-1.01208997429659</v>
      </c>
      <c r="C32" s="53" t="n">
        <f aca="false">C31/C23</f>
        <v>-0.740615328493417</v>
      </c>
      <c r="D32" s="53" t="n">
        <f aca="false">D31/D23</f>
        <v>-0.49508328712359</v>
      </c>
      <c r="E32" s="53" t="n">
        <f aca="false">E31/E23</f>
        <v>-0.268438966597958</v>
      </c>
      <c r="F32" s="53" t="n">
        <f aca="false">F31/F23</f>
        <v>-0.000465052968055077</v>
      </c>
    </row>
    <row r="33" customFormat="false" ht="15" hidden="false" customHeight="true" outlineLevel="0" collapsed="false">
      <c r="A33" s="1" t="s">
        <v>2084</v>
      </c>
      <c r="B33" s="12" t="n">
        <f aca="false">MAX(0,(B23-B31)/Projection!F4)</f>
        <v>33507.0320180323</v>
      </c>
      <c r="C33" s="12" t="n">
        <f aca="false">MAX(0,(C23-C31)/Projection!F9)</f>
        <v>36514.5094260948</v>
      </c>
      <c r="D33" s="12" t="n">
        <f aca="false">MAX(0,(D23-D31)/Projection!F14)</f>
        <v>36744.4760923207</v>
      </c>
      <c r="E33" s="12" t="n">
        <f aca="false">MAX(0,(E23-E31)/Projection!F19)</f>
        <v>34280.0380054262</v>
      </c>
      <c r="F33" s="12" t="n">
        <f aca="false">MAX(0,(F23-F31)/Projection!F24)</f>
        <v>27722.4820573827</v>
      </c>
    </row>
    <row r="35" customFormat="false" ht="15" hidden="false" customHeight="true" outlineLevel="0" collapsed="false">
      <c r="A35" s="1" t="s">
        <v>2085</v>
      </c>
      <c r="B35" s="12" t="n">
        <f aca="false">MAX(B33:F33)</f>
        <v>36744.4760923207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4"/>
    <col collapsed="false" customWidth="true" hidden="false" outlineLevel="0" max="5" min="2" style="1" width="16"/>
  </cols>
  <sheetData>
    <row r="1" customFormat="false" ht="15.75" hidden="false" customHeight="true" outlineLevel="0" collapsed="false">
      <c r="A1" s="1" t="s">
        <v>2086</v>
      </c>
    </row>
    <row r="3" customFormat="false" ht="15" hidden="false" customHeight="true" outlineLevel="0" collapsed="false">
      <c r="A3" s="1" t="s">
        <v>2087</v>
      </c>
      <c r="B3" s="11" t="n">
        <f aca="false">SUM(Projection!Y4:Y59)/(Pricing!B14*SUM(Projection!X4:X59))</f>
        <v>0.895188484380065</v>
      </c>
      <c r="C3" s="1" t="s">
        <v>2088</v>
      </c>
      <c r="D3" s="31" t="n">
        <f aca="false">Assumptions!$B$59</f>
        <v>0.9</v>
      </c>
    </row>
    <row r="4" customFormat="false" ht="15" hidden="false" customHeight="true" outlineLevel="0" collapsed="false">
      <c r="A4" s="1" t="s">
        <v>2089</v>
      </c>
      <c r="B4" s="18" t="n">
        <f aca="false">Pricing!B14/Assumptions!B7</f>
        <v>0.0307901642785255</v>
      </c>
      <c r="C4" s="1" t="s">
        <v>2090</v>
      </c>
      <c r="D4" s="5" t="str">
        <f aca="false">IF(B4&lt;=0.5,"PASS","FAIL")</f>
        <v>PASS</v>
      </c>
    </row>
    <row r="6" customFormat="false" ht="15" hidden="false" customHeight="true" outlineLevel="0" collapsed="false">
      <c r="A6" s="1" t="s">
        <v>2091</v>
      </c>
    </row>
    <row r="7" customFormat="false" ht="15" hidden="false" customHeight="true" outlineLevel="0" collapsed="false">
      <c r="A7" s="1" t="s">
        <v>650</v>
      </c>
      <c r="B7" s="1" t="s">
        <v>2092</v>
      </c>
      <c r="C7" s="1" t="s">
        <v>2093</v>
      </c>
      <c r="D7" s="1" t="s">
        <v>2094</v>
      </c>
    </row>
    <row r="8" customFormat="false" ht="15" hidden="false" customHeight="true" outlineLevel="0" collapsed="false">
      <c r="A8" s="1" t="n">
        <v>85</v>
      </c>
      <c r="B8" s="12" t="n">
        <f aca="false">Test_C!C27</f>
        <v>43763.7099153093</v>
      </c>
      <c r="C8" s="12" t="n">
        <f aca="false">Test_C!L27</f>
        <v>32711.3486506401</v>
      </c>
      <c r="D8" s="5" t="str">
        <f aca="false">IF(B8&gt;=C8,"PASS","FAIL")</f>
        <v>PASS</v>
      </c>
    </row>
    <row r="9" customFormat="false" ht="15" hidden="false" customHeight="true" outlineLevel="0" collapsed="false">
      <c r="A9" s="1" t="n">
        <v>90</v>
      </c>
      <c r="B9" s="12" t="n">
        <f aca="false">Test_C!C32</f>
        <v>45923.9246332779</v>
      </c>
      <c r="C9" s="12" t="n">
        <f aca="false">Test_C!L32</f>
        <v>32012.2079134974</v>
      </c>
      <c r="D9" s="5" t="str">
        <f aca="false">IF(B9&gt;=C9,"PASS","FAIL")</f>
        <v>PASS</v>
      </c>
    </row>
    <row r="10" customFormat="false" ht="15" hidden="false" customHeight="true" outlineLevel="0" collapsed="false">
      <c r="A10" s="1" t="n">
        <v>95</v>
      </c>
      <c r="B10" s="12" t="n">
        <f aca="false">Test_C!C37</f>
        <v>48346.6339819764</v>
      </c>
      <c r="C10" s="12" t="n">
        <f aca="false">Test_C!L37</f>
        <v>32171.1909921544</v>
      </c>
      <c r="D10" s="5" t="str">
        <f aca="false">IF(B10&gt;=C10,"PASS","FAIL")</f>
        <v>PASS</v>
      </c>
    </row>
    <row r="11" customFormat="false" ht="15" hidden="false" customHeight="true" outlineLevel="0" collapsed="false">
      <c r="A11" s="1" t="n">
        <v>100</v>
      </c>
      <c r="B11" s="12" t="n">
        <f aca="false">Test_C!C42</f>
        <v>51058.5664398889</v>
      </c>
      <c r="C11" s="12" t="n">
        <f aca="false">Test_C!L42</f>
        <v>19060.3335972896</v>
      </c>
      <c r="D11" s="5" t="str">
        <f aca="false">IF(B11&gt;=C11,"PASS","FAIL")</f>
        <v>PASS</v>
      </c>
    </row>
    <row r="13" customFormat="false" ht="15" hidden="false" customHeight="true" outlineLevel="0" collapsed="false">
      <c r="A13" s="1" t="s">
        <v>2095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4"/>
    <col collapsed="false" customWidth="true" hidden="false" outlineLevel="0" max="6" min="2" style="1" width="15"/>
  </cols>
  <sheetData>
    <row r="1" customFormat="false" ht="15.75" hidden="false" customHeight="true" outlineLevel="0" collapsed="false">
      <c r="A1" s="1" t="s">
        <v>2096</v>
      </c>
    </row>
    <row r="2" customFormat="false" ht="15" hidden="false" customHeight="true" outlineLevel="0" collapsed="false">
      <c r="A2" s="1" t="s">
        <v>2097</v>
      </c>
    </row>
    <row r="4" customFormat="false" ht="15" hidden="false" customHeight="true" outlineLevel="0" collapsed="false">
      <c r="A4" s="1" t="s">
        <v>2098</v>
      </c>
      <c r="B4" s="18" t="n">
        <f aca="false">D4</f>
        <v>-0.00534612846659499</v>
      </c>
      <c r="C4" s="43" t="s">
        <v>2099</v>
      </c>
      <c r="D4" s="18" t="n">
        <f aca="false">Fairness!B3/Assumptions!$B$59-1</f>
        <v>-0.00534612846659499</v>
      </c>
    </row>
    <row r="5" customFormat="false" ht="15" hidden="false" customHeight="true" outlineLevel="0" collapsed="false"/>
    <row r="6" customFormat="false" ht="15" hidden="false" customHeight="true" outlineLevel="0" collapsed="false">
      <c r="A6" s="1" t="s">
        <v>611</v>
      </c>
      <c r="B6" s="1" t="n">
        <v>0</v>
      </c>
      <c r="C6" s="73" t="n">
        <v>5</v>
      </c>
      <c r="D6" s="74" t="n">
        <v>10</v>
      </c>
      <c r="E6" s="74" t="n">
        <v>15</v>
      </c>
      <c r="F6" s="74" t="n">
        <v>20</v>
      </c>
    </row>
    <row r="7" customFormat="false" ht="15" hidden="false" customHeight="true" outlineLevel="0" collapsed="false">
      <c r="A7" s="1" t="s">
        <v>2100</v>
      </c>
      <c r="B7" s="12" t="n">
        <f aca="false">OwnFunds_SCR!B7+$B$4*(SUMIFS(Projection!$AC$4:$AC$59,Projection!$B$4:$B$59,"&lt;"&amp;(Assumptions!$B$4+0))/Discount!C4+SUMIFS(Projection!$Z$4:$Z$59,Projection!$B$4:$B$59,"&gt;="&amp;(Assumptions!$B$4+0))/Discount!C4)-RiskMargin!L4</f>
        <v>-17551.544203814</v>
      </c>
      <c r="C7" s="12" t="n">
        <f aca="false">OwnFunds_SCR!C7+$B$4*(SUMIFS(Projection!$AC$4:$AC$59,Projection!$B$4:$B$59,"&lt;"&amp;(Assumptions!$B$4+5))/Discount!C9+SUMIFS(Projection!$Z$4:$Z$59,Projection!$B$4:$B$59,"&gt;="&amp;(Assumptions!$B$4+5))/Discount!C9)-RiskMargin!L9</f>
        <v>-14284.4528853047</v>
      </c>
      <c r="D7" s="12" t="n">
        <f aca="false">OwnFunds_SCR!D7+$B$4*(SUMIFS(Projection!$AC$4:$AC$59,Projection!$B$4:$B$59,"&lt;"&amp;(Assumptions!$B$4+10))/Discount!C14+SUMIFS(Projection!$Z$4:$Z$59,Projection!$B$4:$B$59,"&gt;="&amp;(Assumptions!$B$4+10))/Discount!C14)-RiskMargin!L14</f>
        <v>-10443.7865690401</v>
      </c>
      <c r="E7" s="12" t="n">
        <f aca="false">OwnFunds_SCR!E7+$B$4*(SUMIFS(Projection!$AC$4:$AC$59,Projection!$B$4:$B$59,"&lt;"&amp;(Assumptions!$B$4+15))/Discount!C19+SUMIFS(Projection!$Z$4:$Z$59,Projection!$B$4:$B$59,"&gt;="&amp;(Assumptions!$B$4+15))/Discount!C19)-RiskMargin!L19</f>
        <v>-5938.2566382815</v>
      </c>
      <c r="F7" s="12" t="n">
        <f aca="false">OwnFunds_SCR!F7+$B$4*(SUMIFS(Projection!$AC$4:$AC$59,Projection!$B$4:$B$59,"&lt;"&amp;(Assumptions!$B$4+20))/Discount!C24+SUMIFS(Projection!$Z$4:$Z$59,Projection!$B$4:$B$59,"&gt;="&amp;(Assumptions!$B$4+20))/Discount!C24)-RiskMargin!L24</f>
        <v>-1127.11393742312</v>
      </c>
    </row>
    <row r="8" customFormat="false" ht="15" hidden="false" customHeight="true" outlineLevel="0" collapsed="false">
      <c r="A8" s="1" t="s">
        <v>2101</v>
      </c>
      <c r="B8" s="12" t="n">
        <f aca="false">OwnFunds_SCR!B8*(1+$B$4)</f>
        <v>3892.35172680374</v>
      </c>
      <c r="C8" s="12" t="n">
        <f aca="false">OwnFunds_SCR!C8*(1+$B$4)</f>
        <v>2571.1682690832</v>
      </c>
      <c r="D8" s="12" t="n">
        <f aca="false">OwnFunds_SCR!D8*(1+$B$4)</f>
        <v>1296.12488202798</v>
      </c>
      <c r="E8" s="5" t="n">
        <f aca="false">OwnFunds_SCR!E8*(1+$B$4)</f>
        <v>0</v>
      </c>
      <c r="F8" s="5" t="n">
        <f aca="false">OwnFunds_SCR!F8*(1+$B$4)</f>
        <v>0</v>
      </c>
    </row>
    <row r="9" customFormat="false" ht="15" hidden="false" customHeight="true" outlineLevel="0" collapsed="false">
      <c r="A9" s="1" t="s">
        <v>2102</v>
      </c>
      <c r="B9" s="12" t="n">
        <f aca="false">MAX(0,OwnFunds_SCR!B16-$B$4*((Projection!F4/Projection!Q4)*SUMIFS(Projection!$AA$4:$AA$59,Projection!$B$4:$B$59,"&gt;="&amp;(Assumptions!$B$4+0))/Discount!C4-SUMIFS(Projection!$Z$4:$Z$59,Projection!$B$4:$B$59,"&gt;="&amp;(Assumptions!$B$4+0))/Discount!C4))</f>
        <v>14830.7657288577</v>
      </c>
      <c r="C9" s="12" t="n">
        <f aca="false">MAX(0,OwnFunds_SCR!C16-$B$4*((Projection!F9/Projection!Q9)*SUMIFS(Projection!$AA$4:$AA$59,Projection!$B$4:$B$59,"&gt;="&amp;(Assumptions!$B$4+5))/Discount!C9-SUMIFS(Projection!$Z$4:$Z$59,Projection!$B$4:$B$59,"&gt;="&amp;(Assumptions!$B$4+5))/Discount!C9))</f>
        <v>16677.8775168581</v>
      </c>
      <c r="D9" s="12" t="n">
        <f aca="false">MAX(0,OwnFunds_SCR!D16-$B$4*((Projection!F14/Projection!Q14)*SUMIFS(Projection!$AA$4:$AA$59,Projection!$B$4:$B$59,"&gt;="&amp;(Assumptions!$B$4+10))/Discount!C14-SUMIFS(Projection!$Z$4:$Z$59,Projection!$B$4:$B$59,"&gt;="&amp;(Assumptions!$B$4+10))/Discount!C14))</f>
        <v>18379.7292675035</v>
      </c>
      <c r="E9" s="12" t="n">
        <f aca="false">MAX(0,OwnFunds_SCR!E16-$B$4*((Projection!F19/Projection!Q19)*SUMIFS(Projection!$AA$4:$AA$59,Projection!$B$4:$B$59,"&gt;="&amp;(Assumptions!$B$4+15))/Discount!C19-SUMIFS(Projection!$Z$4:$Z$59,Projection!$B$4:$B$59,"&gt;="&amp;(Assumptions!$B$4+15))/Discount!C19))</f>
        <v>18493.1797505175</v>
      </c>
      <c r="F9" s="12" t="n">
        <f aca="false">MAX(0,OwnFunds_SCR!F16-$B$4*((Projection!F24/Projection!Q24)*SUMIFS(Projection!$AA$4:$AA$59,Projection!$B$4:$B$59,"&gt;="&amp;(Assumptions!$B$4+20))/Discount!C24-SUMIFS(Projection!$Z$4:$Z$59,Projection!$B$4:$B$59,"&gt;="&amp;(Assumptions!$B$4+20))/Discount!C24))</f>
        <v>15909.7289648044</v>
      </c>
    </row>
    <row r="10" customFormat="false" ht="15" hidden="false" customHeight="true" outlineLevel="0" collapsed="false">
      <c r="A10" s="1" t="s">
        <v>2103</v>
      </c>
      <c r="B10" s="12" t="n">
        <f aca="false">MAX(0,OwnFunds_SCR!B20-$B$4*((Projection!F4/Projection!U4)*SUMIFS(Projection!$AB$4:$AB$59,Projection!$B$4:$B$59,"&gt;="&amp;(Assumptions!$B$4+0))/Discount!C4-SUMIFS(Projection!$Z$4:$Z$59,Projection!$B$4:$B$59,"&gt;="&amp;(Assumptions!$B$4+0))/Discount!C4))</f>
        <v>4481.57060166773</v>
      </c>
      <c r="C10" s="12" t="n">
        <f aca="false">MAX(0,OwnFunds_SCR!C20-$B$4*((Projection!F9/Projection!U9)*SUMIFS(Projection!$AB$4:$AB$59,Projection!$B$4:$B$59,"&gt;="&amp;(Assumptions!$B$4+5))/Discount!C9-SUMIFS(Projection!$Z$4:$Z$59,Projection!$B$4:$B$59,"&gt;="&amp;(Assumptions!$B$4+5))/Discount!C9))</f>
        <v>4220.7342185962</v>
      </c>
      <c r="D10" s="12" t="n">
        <f aca="false">MAX(0,OwnFunds_SCR!D20-$B$4*((Projection!F14/Projection!U14)*SUMIFS(Projection!$AB$4:$AB$59,Projection!$B$4:$B$59,"&gt;="&amp;(Assumptions!$B$4+10))/Discount!C14-SUMIFS(Projection!$Z$4:$Z$59,Projection!$B$4:$B$59,"&gt;="&amp;(Assumptions!$B$4+10))/Discount!C14))</f>
        <v>2960.27400751854</v>
      </c>
      <c r="E10" s="5" t="n">
        <f aca="false">MAX(0,OwnFunds_SCR!E20-$B$4*((Projection!F19/Projection!U19)*SUMIFS(Projection!$AB$4:$AB$59,Projection!$B$4:$B$59,"&gt;="&amp;(Assumptions!$B$4+15))/Discount!C19-SUMIFS(Projection!$Z$4:$Z$59,Projection!$B$4:$B$59,"&gt;="&amp;(Assumptions!$B$4+15))/Discount!C19))</f>
        <v>0</v>
      </c>
      <c r="F10" s="5" t="n">
        <f aca="false">MAX(0,OwnFunds_SCR!F20-$B$4*((Projection!F24/Projection!U24)*SUMIFS(Projection!$AB$4:$AB$59,Projection!$B$4:$B$59,"&gt;="&amp;(Assumptions!$B$4+20))/Discount!C24-SUMIFS(Projection!$Z$4:$Z$59,Projection!$B$4:$B$59,"&gt;="&amp;(Assumptions!$B$4+20))/Discount!C24))</f>
        <v>0</v>
      </c>
    </row>
    <row r="11" customFormat="false" ht="15" hidden="false" customHeight="true" outlineLevel="0" collapsed="false">
      <c r="A11" s="1" t="s">
        <v>2104</v>
      </c>
      <c r="B11" s="48" t="n">
        <f aca="false">OwnFunds_SCR!B21</f>
        <v>398.576040139176</v>
      </c>
      <c r="C11" s="48" t="n">
        <f aca="false">OwnFunds_SCR!C21</f>
        <v>401.755015003364</v>
      </c>
      <c r="D11" s="48" t="n">
        <f aca="false">OwnFunds_SCR!D21</f>
        <v>389.288229774218</v>
      </c>
      <c r="E11" s="48" t="n">
        <f aca="false">OwnFunds_SCR!E21</f>
        <v>353.982271517714</v>
      </c>
      <c r="F11" s="48" t="n">
        <f aca="false">OwnFunds_SCR!F21</f>
        <v>285.559731371701</v>
      </c>
    </row>
    <row r="12" customFormat="false" ht="15" hidden="false" customHeight="true" outlineLevel="0" collapsed="false">
      <c r="A12" s="1" t="s">
        <v>2105</v>
      </c>
      <c r="B12" s="12" t="n">
        <f aca="false">SQRT(B9^2+B10^2+B11^2+2*Assumptions!$B$26*B9*B10+2*Assumptions!$B$27*B9*B11+2*Assumptions!$B$28*B10*B11)</f>
        <v>16678.4097703989</v>
      </c>
      <c r="C12" s="12" t="n">
        <f aca="false">SQRT(C9^2+C10^2+C11^2+2*Assumptions!$B$26*C9*C10+2*Assumptions!$B$27*C9*C11+2*Assumptions!$B$28*C10*C11)</f>
        <v>18340.3914536531</v>
      </c>
      <c r="D12" s="12" t="n">
        <f aca="false">SQRT(D9^2+D10^2+D11^2+2*Assumptions!$B$26*D9*D10+2*Assumptions!$B$27*D9*D11+2*Assumptions!$B$28*D10*D11)</f>
        <v>19459.2815603053</v>
      </c>
      <c r="E12" s="12" t="n">
        <f aca="false">SQRT(E9^2+E10^2+E11^2+2*Assumptions!$B$26*E9*E10+2*Assumptions!$B$27*E9*E11+2*Assumptions!$B$28*E10*E11)</f>
        <v>18584.8360127642</v>
      </c>
      <c r="F12" s="12" t="n">
        <f aca="false">SQRT(F9^2+F10^2+F11^2+2*Assumptions!$B$26*F9*F10+2*Assumptions!$B$27*F9*F11+2*Assumptions!$B$28*F10*F11)</f>
        <v>15983.5105361247</v>
      </c>
    </row>
    <row r="13" customFormat="false" ht="15" hidden="false" customHeight="true" outlineLevel="0" collapsed="false">
      <c r="A13" s="1" t="s">
        <v>2106</v>
      </c>
      <c r="B13" s="11" t="n">
        <f aca="false">Projection!F4</f>
        <v>1</v>
      </c>
      <c r="C13" s="11" t="n">
        <f aca="false">Projection!F9</f>
        <v>0.873874922230056</v>
      </c>
      <c r="D13" s="11" t="n">
        <f aca="false">Projection!F14</f>
        <v>0.791679736545108</v>
      </c>
      <c r="E13" s="11" t="n">
        <f aca="false">Projection!F19</f>
        <v>0.687680981645694</v>
      </c>
      <c r="F13" s="11" t="n">
        <f aca="false">Projection!F24</f>
        <v>0.576822222557124</v>
      </c>
    </row>
    <row r="14" customFormat="false" ht="15" hidden="false" customHeight="true" outlineLevel="0" collapsed="false">
      <c r="A14" s="1" t="s">
        <v>2107</v>
      </c>
      <c r="B14" s="12" t="n">
        <f aca="false">MAX(0,(B12-B7)/B13)</f>
        <v>34229.9539742129</v>
      </c>
      <c r="C14" s="12" t="n">
        <f aca="false">MAX(0,(C12-C7)/C13)</f>
        <v>37333.5399712604</v>
      </c>
      <c r="D14" s="12" t="n">
        <f aca="false">MAX(0,(D12-D7)/D13)</f>
        <v>37771.6729997947</v>
      </c>
      <c r="E14" s="12" t="n">
        <f aca="false">MAX(0,(E12-E7)/E13)</f>
        <v>35660.5654446911</v>
      </c>
      <c r="F14" s="12" t="n">
        <f aca="false">MAX(0,(F12-F7)/F13)</f>
        <v>29663.6013739109</v>
      </c>
    </row>
    <row r="16" customFormat="false" ht="15" hidden="false" customHeight="true" outlineLevel="0" collapsed="false">
      <c r="A16" s="1" t="s">
        <v>2108</v>
      </c>
      <c r="B16" s="12" t="n">
        <f aca="false">MAX(B14:F14)</f>
        <v>37771.6729997947</v>
      </c>
    </row>
    <row r="17" customFormat="false" ht="15" hidden="false" customHeight="true" outlineLevel="0" collapsed="false">
      <c r="A17" s="1" t="s">
        <v>2109</v>
      </c>
      <c r="B17" s="48" t="n">
        <f aca="false">INDEX(B6:F6,MATCH(B16,B14:F14,0))</f>
        <v>10</v>
      </c>
    </row>
    <row r="18" customFormat="false" ht="15" hidden="false" customHeight="true" outlineLevel="0" collapsed="false">
      <c r="A18" s="3" t="s">
        <v>2110</v>
      </c>
      <c r="B18" s="11" t="n">
        <f aca="false">Fairness!B3/(1+B4)</f>
        <v>0.9</v>
      </c>
    </row>
    <row r="19" customFormat="false" ht="15" hidden="false" customHeight="true" outlineLevel="0" collapsed="false">
      <c r="A19" s="7" t="s">
        <v>2111</v>
      </c>
      <c r="B19" s="50" t="n">
        <f aca="false">Pricing!B14*(1+B4)</f>
        <v>12250.222441914</v>
      </c>
    </row>
    <row r="20" customFormat="false" ht="15" hidden="false" customHeight="true" outlineLevel="0" collapsed="false">
      <c r="A20" s="7" t="s">
        <v>2112</v>
      </c>
    </row>
    <row r="21" customFormat="false" ht="15" hidden="false" customHeight="true" outlineLevel="0" collapsed="false">
      <c r="A21" s="7" t="s">
        <v>2113</v>
      </c>
    </row>
    <row r="22" customFormat="false" ht="15" hidden="false" customHeight="true" outlineLevel="0" collapsed="false">
      <c r="A22" s="1" t="s">
        <v>2114</v>
      </c>
      <c r="B22" s="12" t="n">
        <f aca="false">MAX(0,(OwnFunds_SCR!B23-(OwnFunds_SCR!B7-RiskMargin!L4))/Projection!F4)</f>
        <v>33507.0320180323</v>
      </c>
      <c r="C22" s="12" t="n">
        <f aca="false">MAX(0,(OwnFunds_SCR!C23-(OwnFunds_SCR!C7-RiskMargin!L9))/Projection!F9)</f>
        <v>36514.5094260948</v>
      </c>
      <c r="D22" s="12" t="n">
        <f aca="false">MAX(0,(OwnFunds_SCR!D23-(OwnFunds_SCR!D7-RiskMargin!L14))/Projection!F14)</f>
        <v>36744.4760923207</v>
      </c>
      <c r="E22" s="12" t="n">
        <f aca="false">MAX(0,(OwnFunds_SCR!E23-(OwnFunds_SCR!E7-RiskMargin!L19))/Projection!F19)</f>
        <v>34280.0380054262</v>
      </c>
      <c r="F22" s="12" t="n">
        <f aca="false">MAX(0,(OwnFunds_SCR!F23-(OwnFunds_SCR!F7-RiskMargin!L24))/Projection!F24)</f>
        <v>27722.4820573827</v>
      </c>
    </row>
    <row r="23" customFormat="false" ht="15" hidden="false" customHeight="true" outlineLevel="0" collapsed="false">
      <c r="A23" s="1" t="s">
        <v>2115</v>
      </c>
      <c r="B23" s="12" t="n">
        <f aca="false">MAX(B22:F22)</f>
        <v>36744.4760923207</v>
      </c>
    </row>
    <row r="25" customFormat="false" ht="15" hidden="false" customHeight="true" outlineLevel="0" collapsed="false">
      <c r="A25" s="3" t="s">
        <v>2116</v>
      </c>
    </row>
    <row r="26" customFormat="false" ht="15" hidden="false" customHeight="true" outlineLevel="0" collapsed="false">
      <c r="B26" s="12" t="n">
        <f aca="false">MAX(0,(OwnFunds_SCR!B23-OwnFunds_SCR!B7)/Projection!F4)</f>
        <v>12739.5771615505</v>
      </c>
      <c r="C26" s="12" t="n">
        <f aca="false">MAX(0,(OwnFunds_SCR!C23-OwnFunds_SCR!C7)/Projection!F9)</f>
        <v>15869.5012332674</v>
      </c>
      <c r="D26" s="12" t="n">
        <f aca="false">MAX(0,(OwnFunds_SCR!D23-OwnFunds_SCR!D7)/Projection!F14)</f>
        <v>17991.0754354901</v>
      </c>
      <c r="E26" s="12" t="n">
        <f aca="false">MAX(0,(OwnFunds_SCR!E23-OwnFunds_SCR!E7)/Projection!F19)</f>
        <v>18020.5479370494</v>
      </c>
      <c r="F26" s="12" t="n">
        <f aca="false">MAX(0,(OwnFunds_SCR!F23-OwnFunds_SCR!F7)/Projection!F24)</f>
        <v>15048.1720751324</v>
      </c>
    </row>
    <row r="27" customFormat="false" ht="15" hidden="false" customHeight="true" outlineLevel="0" collapsed="false">
      <c r="A27" s="3" t="s">
        <v>2117</v>
      </c>
      <c r="B27" s="58" t="n">
        <f aca="false">MAX(B26:F26)</f>
        <v>18020.5479370494</v>
      </c>
    </row>
    <row r="28" customFormat="false" ht="15" hidden="false" customHeight="true" outlineLevel="0" collapsed="false">
      <c r="A28" s="7" t="s">
        <v>2118</v>
      </c>
    </row>
    <row r="30" customFormat="false" ht="15" hidden="false" customHeight="true" outlineLevel="0" collapsed="false">
      <c r="A30" s="6" t="s">
        <v>2119</v>
      </c>
    </row>
    <row r="31" customFormat="false" ht="15" hidden="false" customHeight="true" outlineLevel="0" collapsed="false">
      <c r="A31" s="1" t="s">
        <v>2120</v>
      </c>
      <c r="B31" s="12" t="n">
        <f aca="false">B23*Assumptions!B47</f>
        <v>36744476.0923207</v>
      </c>
    </row>
    <row r="32" customFormat="false" ht="15" hidden="false" customHeight="true" outlineLevel="0" collapsed="false">
      <c r="A32" s="1" t="s">
        <v>2121</v>
      </c>
      <c r="B32" s="12" t="n">
        <f aca="false">B16*Assumptions!B47</f>
        <v>37771672.9997947</v>
      </c>
    </row>
    <row r="33" customFormat="false" ht="15" hidden="false" customHeight="true" outlineLevel="0" collapsed="false">
      <c r="A33" s="1" t="s">
        <v>2122</v>
      </c>
      <c r="B33" s="12" t="n">
        <f aca="false">Pricing!B14*Assumptions!B47</f>
        <v>12316065.7114102</v>
      </c>
    </row>
    <row r="34" customFormat="false" ht="15" hidden="false" customHeight="true" outlineLevel="0" collapsed="false">
      <c r="A34" s="1" t="s">
        <v>2123</v>
      </c>
      <c r="B34" s="12" t="n">
        <f aca="false">Proofs!B38</f>
        <v>3913.27258476671</v>
      </c>
    </row>
    <row r="35" customFormat="false" ht="15" hidden="false" customHeight="true" outlineLevel="0" collapsed="false">
      <c r="A35" s="1" t="s">
        <v>2124</v>
      </c>
      <c r="B35" s="12" t="n">
        <f aca="false">B34*Assumptions!B47</f>
        <v>3913272.58476671</v>
      </c>
    </row>
    <row r="36" customFormat="false" ht="15" hidden="false" customHeight="true" outlineLevel="0" collapsed="false">
      <c r="A36" s="1" t="s">
        <v>2125</v>
      </c>
      <c r="B36" s="114" t="n">
        <f aca="false">Reconciliation!B49</f>
        <v>9.39870407357901</v>
      </c>
    </row>
    <row r="37" customFormat="false" ht="15" hidden="false" customHeight="true" outlineLevel="0" collapsed="false">
      <c r="A37" s="1" t="s">
        <v>2126</v>
      </c>
    </row>
    <row r="38" customFormat="false" ht="15" hidden="false" customHeight="true" outlineLevel="0" collapsed="false">
      <c r="A38" s="3" t="s">
        <v>2127</v>
      </c>
    </row>
    <row r="39" customFormat="false" ht="15" hidden="false" customHeight="true" outlineLevel="0" collapsed="false">
      <c r="A39" s="7" t="s">
        <v>2128</v>
      </c>
    </row>
    <row r="40" customFormat="false" ht="15" hidden="false" customHeight="true" outlineLevel="0" collapsed="false">
      <c r="A40" s="3" t="s">
        <v>2129</v>
      </c>
    </row>
    <row r="41" customFormat="false" ht="15" hidden="false" customHeight="true" outlineLevel="0" collapsed="false">
      <c r="A41" s="1" t="s">
        <v>2130</v>
      </c>
      <c r="B41" s="48" t="n">
        <f aca="false">Trajectory!B164</f>
        <v>36779.6909834719</v>
      </c>
    </row>
    <row r="42" customFormat="false" ht="15" hidden="false" customHeight="true" outlineLevel="0" collapsed="false">
      <c r="A42" s="1" t="s">
        <v>821</v>
      </c>
      <c r="B42" s="34" t="n">
        <f aca="false">Trajectory!B165</f>
        <v>8</v>
      </c>
    </row>
    <row r="44" customFormat="false" ht="15" hidden="false" customHeight="true" outlineLevel="0" collapsed="false">
      <c r="A44" s="7" t="s">
        <v>2131</v>
      </c>
    </row>
    <row r="45" customFormat="false" ht="15" hidden="false" customHeight="true" outlineLevel="0" collapsed="false">
      <c r="A45" s="1" t="s">
        <v>2132</v>
      </c>
      <c r="B45" s="48" t="n">
        <f aca="false">B23</f>
        <v>36744.4760923207</v>
      </c>
    </row>
    <row r="46" customFormat="false" ht="15" hidden="false" customHeight="true" outlineLevel="0" collapsed="false">
      <c r="A46" s="1" t="s">
        <v>2133</v>
      </c>
      <c r="B46" s="115" t="n">
        <f aca="false">Trajectory!B164</f>
        <v>36779.6909834719</v>
      </c>
    </row>
    <row r="47" customFormat="false" ht="15" hidden="false" customHeight="true" outlineLevel="0" collapsed="false">
      <c r="A47" s="1" t="s">
        <v>2134</v>
      </c>
      <c r="B47" s="48" t="n">
        <f aca="false">B45-B46</f>
        <v>-35.2148911512049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5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6" min="2" style="1" width="15"/>
  </cols>
  <sheetData>
    <row r="1" customFormat="false" ht="15.75" hidden="false" customHeight="true" outlineLevel="0" collapsed="false">
      <c r="A1" s="1" t="s">
        <v>2135</v>
      </c>
    </row>
    <row r="2" customFormat="false" ht="15" hidden="false" customHeight="true" outlineLevel="0" collapsed="false">
      <c r="A2" s="1" t="s">
        <v>2136</v>
      </c>
    </row>
    <row r="3" customFormat="false" ht="15" hidden="false" customHeight="true" outlineLevel="0" collapsed="false"/>
    <row r="4" customFormat="false" ht="15" hidden="false" customHeight="true" outlineLevel="0" collapsed="false">
      <c r="A4" s="1" t="s">
        <v>2137</v>
      </c>
      <c r="B4" s="1" t="s">
        <v>828</v>
      </c>
      <c r="C4" s="1" t="s">
        <v>829</v>
      </c>
      <c r="D4" s="1" t="s">
        <v>830</v>
      </c>
      <c r="E4" s="1" t="s">
        <v>831</v>
      </c>
      <c r="F4" s="1" t="s">
        <v>832</v>
      </c>
    </row>
    <row r="5" customFormat="false" ht="15" hidden="false" customHeight="true" outlineLevel="0" collapsed="false">
      <c r="A5" s="1" t="s">
        <v>2138</v>
      </c>
      <c r="B5" s="12" t="n">
        <f aca="false">OwnFunds_SCR!B7</f>
        <v>3913.27258476668</v>
      </c>
      <c r="C5" s="12" t="n">
        <f aca="false">OwnFunds_SCR!C7</f>
        <v>4464.12925122245</v>
      </c>
      <c r="D5" s="12" t="n">
        <f aca="false">OwnFunds_SCR!D7</f>
        <v>5213.84460962823</v>
      </c>
      <c r="E5" s="12" t="n">
        <f aca="false">OwnFunds_SCR!E7</f>
        <v>6192.44791762077</v>
      </c>
      <c r="F5" s="12" t="n">
        <f aca="false">OwnFunds_SCR!F7</f>
        <v>7303.39047432478</v>
      </c>
    </row>
    <row r="6" customFormat="false" ht="15" hidden="false" customHeight="true" outlineLevel="0" collapsed="false">
      <c r="A6" s="1" t="s">
        <v>2139</v>
      </c>
      <c r="B6" s="72" t="n">
        <v>21744</v>
      </c>
      <c r="C6" s="72" t="n">
        <v>6556</v>
      </c>
      <c r="D6" s="72" t="n">
        <v>-24452</v>
      </c>
      <c r="E6" s="72" t="n">
        <v>-73904</v>
      </c>
      <c r="F6" s="72" t="n">
        <v>-84755</v>
      </c>
    </row>
    <row r="7" customFormat="false" ht="15" hidden="false" customHeight="true" outlineLevel="0" collapsed="false">
      <c r="A7" s="1" t="s">
        <v>2140</v>
      </c>
      <c r="B7" s="12" t="n">
        <f aca="false">B5-B6</f>
        <v>-17830.7274152333</v>
      </c>
      <c r="C7" s="12" t="n">
        <f aca="false">C5-C6</f>
        <v>-2091.87074877755</v>
      </c>
      <c r="D7" s="12" t="n">
        <f aca="false">D5-D6</f>
        <v>29665.8446096282</v>
      </c>
      <c r="E7" s="12" t="n">
        <f aca="false">E5-E6</f>
        <v>80096.4479176208</v>
      </c>
      <c r="F7" s="12" t="n">
        <f aca="false">F5-F6</f>
        <v>92058.3904743248</v>
      </c>
    </row>
    <row r="8" customFormat="false" ht="15" hidden="false" customHeight="true" outlineLevel="0" collapsed="false">
      <c r="A8" s="1" t="s">
        <v>2141</v>
      </c>
      <c r="B8" s="53" t="n">
        <f aca="false">OwnFunds_SCR!B24</f>
        <v>0.234991166339689</v>
      </c>
      <c r="C8" s="53" t="n">
        <f aca="false">OwnFunds_SCR!C24</f>
        <v>0.243514495023446</v>
      </c>
      <c r="D8" s="53" t="n">
        <f aca="false">OwnFunds_SCR!D24</f>
        <v>0.26796735015627</v>
      </c>
      <c r="E8" s="53" t="n">
        <f aca="false">OwnFunds_SCR!E24</f>
        <v>0.333198953887338</v>
      </c>
      <c r="F8" s="53" t="n">
        <f aca="false">OwnFunds_SCR!F24</f>
        <v>0.456932815717687</v>
      </c>
    </row>
    <row r="9" customFormat="false" ht="15" hidden="false" customHeight="true" outlineLevel="0" collapsed="false">
      <c r="A9" s="1" t="s">
        <v>2142</v>
      </c>
      <c r="B9" s="116" t="n">
        <v>1.2915</v>
      </c>
      <c r="C9" s="116" t="n">
        <v>0.4322</v>
      </c>
      <c r="D9" s="116" t="n">
        <v>-1.1428</v>
      </c>
      <c r="E9" s="116" t="n">
        <v>-4.0851</v>
      </c>
      <c r="F9" s="116" t="n">
        <v>-4.9632</v>
      </c>
    </row>
    <row r="10" customFormat="false" ht="15" hidden="false" customHeight="true" outlineLevel="0" collapsed="false"/>
    <row r="11" customFormat="false" ht="15" hidden="false" customHeight="true" outlineLevel="0" collapsed="false">
      <c r="A11" s="1" t="s">
        <v>2143</v>
      </c>
    </row>
    <row r="12" customFormat="false" ht="15" hidden="false" customHeight="true" outlineLevel="0" collapsed="false">
      <c r="A12" s="1" t="s">
        <v>2144</v>
      </c>
      <c r="B12" s="1" t="s">
        <v>2145</v>
      </c>
      <c r="C12" s="1" t="s">
        <v>2146</v>
      </c>
      <c r="D12" s="1" t="s">
        <v>2147</v>
      </c>
    </row>
    <row r="13" customFormat="false" ht="15" hidden="false" customHeight="true" outlineLevel="0" collapsed="false">
      <c r="A13" s="1" t="s">
        <v>241</v>
      </c>
      <c r="B13" s="12" t="n">
        <f aca="false">Pricing!B14</f>
        <v>12316.0657114102</v>
      </c>
      <c r="C13" s="72" t="n">
        <v>11195.72</v>
      </c>
      <c r="D13" s="1" t="s">
        <v>2148</v>
      </c>
    </row>
    <row r="14" customFormat="false" ht="15" hidden="false" customHeight="true" outlineLevel="0" collapsed="false">
      <c r="A14" s="1" t="s">
        <v>1069</v>
      </c>
      <c r="B14" s="11" t="n">
        <f aca="false">Fairness!B3</f>
        <v>0.895188484380065</v>
      </c>
      <c r="C14" s="73" t="n">
        <v>0.9848</v>
      </c>
      <c r="D14" s="1" t="s">
        <v>2149</v>
      </c>
    </row>
    <row r="15" customFormat="false" ht="15" hidden="false" customHeight="true" outlineLevel="0" collapsed="false">
      <c r="A15" s="1" t="s">
        <v>2150</v>
      </c>
      <c r="B15" s="11" t="n">
        <f aca="false">OwnFunds_SCR!E24</f>
        <v>0.333198953887338</v>
      </c>
      <c r="C15" s="73" t="n">
        <v>-4.0851</v>
      </c>
      <c r="D15" s="1" t="s">
        <v>2151</v>
      </c>
    </row>
    <row r="16" customFormat="false" ht="15" hidden="false" customHeight="true" outlineLevel="0" collapsed="false">
      <c r="A16" s="1" t="s">
        <v>2152</v>
      </c>
      <c r="B16" s="12" t="n">
        <f aca="false">Frontier!B16</f>
        <v>37771.6729997947</v>
      </c>
      <c r="C16" s="72" t="n">
        <v>168310</v>
      </c>
      <c r="D16" s="1" t="s">
        <v>2153</v>
      </c>
    </row>
    <row r="17" customFormat="false" ht="15" hidden="false" customHeight="true" outlineLevel="0" collapsed="false">
      <c r="A17" s="1" t="s">
        <v>2154</v>
      </c>
      <c r="B17" s="12" t="n">
        <f aca="false">Trajectory!$B$164</f>
        <v>36779.6909834719</v>
      </c>
      <c r="D17" s="1" t="s">
        <v>2155</v>
      </c>
    </row>
    <row r="18" customFormat="false" ht="15" hidden="false" customHeight="true" outlineLevel="0" collapsed="false"/>
    <row r="19" customFormat="false" ht="15" hidden="false" customHeight="true" outlineLevel="0" collapsed="false">
      <c r="A19" s="1" t="s">
        <v>2156</v>
      </c>
    </row>
    <row r="20" customFormat="false" ht="15" hidden="false" customHeight="true" outlineLevel="0" collapsed="false">
      <c r="A20" s="1" t="s">
        <v>2157</v>
      </c>
    </row>
    <row r="21" customFormat="false" ht="15" hidden="false" customHeight="true" outlineLevel="0" collapsed="false"/>
    <row r="22" customFormat="false" ht="15" hidden="false" customHeight="true" outlineLevel="0" collapsed="false">
      <c r="A22" s="1" t="s">
        <v>2158</v>
      </c>
    </row>
    <row r="23" customFormat="false" ht="15" hidden="false" customHeight="true" outlineLevel="0" collapsed="false">
      <c r="B23" s="1" t="s">
        <v>828</v>
      </c>
      <c r="C23" s="1" t="s">
        <v>829</v>
      </c>
      <c r="D23" s="1" t="s">
        <v>830</v>
      </c>
      <c r="E23" s="1" t="s">
        <v>831</v>
      </c>
      <c r="F23" s="1" t="s">
        <v>832</v>
      </c>
    </row>
    <row r="24" customFormat="false" ht="15" hidden="false" customHeight="true" outlineLevel="0" collapsed="false">
      <c r="A24" s="1" t="s">
        <v>2159</v>
      </c>
      <c r="B24" s="12" t="n">
        <f aca="false">OwnFunds_SCR!B30</f>
        <v>20767.4548564818</v>
      </c>
      <c r="C24" s="12" t="n">
        <f aca="false">OwnFunds_SCR!C30</f>
        <v>18041.1549289459</v>
      </c>
      <c r="D24" s="12" t="n">
        <f aca="false">OwnFunds_SCR!D30</f>
        <v>14846.6872913244</v>
      </c>
      <c r="E24" s="12" t="n">
        <f aca="false">OwnFunds_SCR!E30</f>
        <v>11181.3420912797</v>
      </c>
      <c r="F24" s="12" t="n">
        <f aca="false">OwnFunds_SCR!F30</f>
        <v>7310.82365333955</v>
      </c>
    </row>
    <row r="25" customFormat="false" ht="15" hidden="false" customHeight="true" outlineLevel="0" collapsed="false">
      <c r="A25" s="1" t="s">
        <v>2160</v>
      </c>
      <c r="B25" s="12" t="n">
        <f aca="false">OwnFunds_SCR!B31</f>
        <v>-16854.1822717151</v>
      </c>
      <c r="C25" s="12" t="n">
        <f aca="false">OwnFunds_SCR!C31</f>
        <v>-13577.0256777234</v>
      </c>
      <c r="D25" s="12" t="n">
        <f aca="false">OwnFunds_SCR!D31</f>
        <v>-9632.8426816962</v>
      </c>
      <c r="E25" s="12" t="n">
        <f aca="false">OwnFunds_SCR!E31</f>
        <v>-4988.89417365894</v>
      </c>
      <c r="F25" s="12" t="n">
        <f aca="false">OwnFunds_SCR!F31</f>
        <v>-7.43317901476439</v>
      </c>
    </row>
    <row r="26" customFormat="false" ht="15" hidden="false" customHeight="true" outlineLevel="0" collapsed="false">
      <c r="A26" s="1" t="s">
        <v>2161</v>
      </c>
      <c r="B26" s="53" t="n">
        <f aca="false">OwnFunds_SCR!B32</f>
        <v>-1.01208997429659</v>
      </c>
      <c r="C26" s="53" t="n">
        <f aca="false">OwnFunds_SCR!C32</f>
        <v>-0.740615328493417</v>
      </c>
      <c r="D26" s="53" t="n">
        <f aca="false">OwnFunds_SCR!D32</f>
        <v>-0.49508328712359</v>
      </c>
      <c r="E26" s="53" t="n">
        <f aca="false">OwnFunds_SCR!E32</f>
        <v>-0.268438966597958</v>
      </c>
      <c r="F26" s="53" t="n">
        <f aca="false">OwnFunds_SCR!F32</f>
        <v>-0.000465052968055077</v>
      </c>
    </row>
    <row r="27" customFormat="false" ht="15" hidden="false" customHeight="true" outlineLevel="0" collapsed="false">
      <c r="A27" s="1" t="s">
        <v>2162</v>
      </c>
      <c r="B27" s="12" t="n">
        <f aca="false">Frontier!B22</f>
        <v>33507.0320180323</v>
      </c>
      <c r="C27" s="12" t="n">
        <f aca="false">Frontier!C22</f>
        <v>36514.5094260948</v>
      </c>
      <c r="D27" s="12" t="n">
        <f aca="false">Frontier!D22</f>
        <v>36744.4760923207</v>
      </c>
      <c r="E27" s="12" t="n">
        <f aca="false">Frontier!E22</f>
        <v>34280.0380054262</v>
      </c>
      <c r="F27" s="12" t="n">
        <f aca="false">Frontier!F22</f>
        <v>27722.4820573827</v>
      </c>
    </row>
    <row r="29" customFormat="false" ht="15" hidden="false" customHeight="true" outlineLevel="0" collapsed="false">
      <c r="A29" s="1" t="s">
        <v>2163</v>
      </c>
      <c r="B29" s="12" t="n">
        <f aca="false">Trajectory!$B$164</f>
        <v>36779.6909834719</v>
      </c>
    </row>
    <row r="30" customFormat="false" ht="15" hidden="false" customHeight="true" outlineLevel="0" collapsed="false">
      <c r="A30" s="1" t="s">
        <v>2164</v>
      </c>
      <c r="B30" s="12" t="n">
        <f aca="false">Frontier!B16</f>
        <v>37771.6729997947</v>
      </c>
    </row>
    <row r="31" customFormat="false" ht="15" hidden="false" customHeight="true" outlineLevel="0" collapsed="false">
      <c r="A31" s="84" t="s">
        <v>2165</v>
      </c>
      <c r="B31" s="48" t="n">
        <f aca="false">Frontier!B17</f>
        <v>10</v>
      </c>
    </row>
    <row r="32" customFormat="false" ht="15" hidden="false" customHeight="true" outlineLevel="0" collapsed="false">
      <c r="A32" s="1" t="s">
        <v>2109</v>
      </c>
      <c r="B32" s="117" t="str">
        <f aca="false">INDEX(B23:F23,MATCH(Frontier!$B$23,B27:F27,0))</f>
        <v>t=10</v>
      </c>
    </row>
    <row r="33" customFormat="false" ht="15" hidden="false" customHeight="true" outlineLevel="0" collapsed="false">
      <c r="A33" s="3" t="s">
        <v>2166</v>
      </c>
    </row>
    <row r="34" customFormat="false" ht="15" hidden="false" customHeight="true" outlineLevel="0" collapsed="false">
      <c r="A34" s="1" t="s">
        <v>2167</v>
      </c>
      <c r="B34" s="113" t="n">
        <f aca="false">INDEX(OwnFunds_SCR!$B$23:$F$23,MATCH(Frontier!$B$23,Frontier!$B$22:$F$22,0))/INDEX(Frontier!$B$13:$F$13,MATCH(Frontier!$B$23,Frontier!$B$22:$F$22,0))</f>
        <v>24576.8756889884</v>
      </c>
    </row>
    <row r="35" customFormat="false" ht="15" hidden="false" customHeight="true" outlineLevel="0" collapsed="false">
      <c r="A35" s="1" t="s">
        <v>2168</v>
      </c>
      <c r="B35" s="113" t="n">
        <f aca="false">INDEX(OwnFunds_SCR!$B$30:$F$30,MATCH(Frontier!$B$23,Frontier!$B$22:$F$22,0))/INDEX(Frontier!$B$13:$F$13,MATCH(Frontier!$B$23,Frontier!$B$22:$F$22,0))</f>
        <v>18753.4006568305</v>
      </c>
    </row>
    <row r="36" customFormat="false" ht="15" hidden="false" customHeight="true" outlineLevel="0" collapsed="false">
      <c r="A36" s="1" t="s">
        <v>2169</v>
      </c>
      <c r="B36" s="113" t="n">
        <f aca="false">-INDEX(OwnFunds_SCR!$B$7:$F$7,MATCH(Frontier!$B$23,Frontier!$B$22:$F$22,0))/INDEX(Frontier!$B$13:$F$13,MATCH(Frontier!$B$23,Frontier!$B$22:$F$22,0))</f>
        <v>-6585.80025349829</v>
      </c>
    </row>
    <row r="37" customFormat="false" ht="15" hidden="false" customHeight="true" outlineLevel="0" collapsed="false">
      <c r="A37" s="3" t="s">
        <v>2170</v>
      </c>
      <c r="B37" s="118" t="n">
        <f aca="false">SUM(B34:B36)</f>
        <v>36744.4760923207</v>
      </c>
    </row>
    <row r="38" customFormat="false" ht="15" hidden="false" customHeight="true" outlineLevel="0" collapsed="false">
      <c r="A38" s="1" t="s">
        <v>2171</v>
      </c>
      <c r="B38" s="119" t="n">
        <f aca="false">B37-Frontier!$B$23</f>
        <v>0</v>
      </c>
    </row>
    <row r="39" customFormat="false" ht="15" hidden="false" customHeight="true" outlineLevel="0" collapsed="false">
      <c r="A39" s="7" t="s">
        <v>2172</v>
      </c>
    </row>
    <row r="40" customFormat="false" ht="15" hidden="false" customHeight="true" outlineLevel="0" collapsed="false">
      <c r="A40" s="6" t="s">
        <v>2173</v>
      </c>
    </row>
    <row r="41" customFormat="false" ht="15" hidden="false" customHeight="true" outlineLevel="0" collapsed="false">
      <c r="A41" s="1" t="s">
        <v>821</v>
      </c>
      <c r="B41" s="34" t="n">
        <f aca="false">Trajectory!B165</f>
        <v>8</v>
      </c>
    </row>
    <row r="42" customFormat="false" ht="15" hidden="false" customHeight="true" outlineLevel="0" collapsed="false">
      <c r="A42" s="1" t="s">
        <v>2174</v>
      </c>
      <c r="B42" s="34" t="n">
        <f aca="false">Trajectory!B166</f>
        <v>73</v>
      </c>
    </row>
    <row r="43" customFormat="false" ht="15" hidden="false" customHeight="true" outlineLevel="0" collapsed="false">
      <c r="A43" s="1" t="s">
        <v>2175</v>
      </c>
      <c r="B43" s="11" t="n">
        <f aca="false">INDEX(Trajectory!$F$106:$F$161,Trajectory!$B$165+1)</f>
        <v>0.826387919730429</v>
      </c>
    </row>
    <row r="44" customFormat="false" ht="15" hidden="false" customHeight="true" outlineLevel="0" collapsed="false">
      <c r="A44" s="1" t="s">
        <v>2176</v>
      </c>
      <c r="B44" s="12" t="n">
        <f aca="false">INDEX(Trajectory!$D$106:$D$161,Trajectory!$B$165+1)/B43</f>
        <v>23125.0197987994</v>
      </c>
    </row>
    <row r="45" customFormat="false" ht="15" hidden="false" customHeight="true" outlineLevel="0" collapsed="false">
      <c r="A45" s="1" t="s">
        <v>2177</v>
      </c>
      <c r="B45" s="12" t="n">
        <f aca="false">INDEX(Trajectory!$E$106:$E$161,Trajectory!$B$165+1)/B43</f>
        <v>19559.8555678276</v>
      </c>
    </row>
    <row r="46" customFormat="false" ht="15" hidden="false" customHeight="true" outlineLevel="0" collapsed="false">
      <c r="A46" s="1" t="s">
        <v>2178</v>
      </c>
      <c r="B46" s="12" t="n">
        <f aca="false">-INDEX(Trajectory!$C$106:$C$161,Trajectory!$B$165+1)/B43</f>
        <v>-5905.18438315514</v>
      </c>
    </row>
    <row r="47" customFormat="false" ht="15" hidden="false" customHeight="true" outlineLevel="0" collapsed="false">
      <c r="A47" s="1" t="s">
        <v>2179</v>
      </c>
      <c r="B47" s="57" t="n">
        <f aca="false">B44+B45+B46</f>
        <v>36779.6909834719</v>
      </c>
    </row>
    <row r="48" customFormat="false" ht="15" hidden="false" customHeight="true" outlineLevel="0" collapsed="false">
      <c r="A48" s="1" t="s">
        <v>2180</v>
      </c>
      <c r="B48" s="27" t="n">
        <f aca="false">B47-Trajectory!B164</f>
        <v>0</v>
      </c>
    </row>
    <row r="49" customFormat="false" ht="15" hidden="false" customHeight="true" outlineLevel="0" collapsed="false">
      <c r="A49" s="1" t="s">
        <v>2181</v>
      </c>
      <c r="B49" s="104" t="n">
        <f aca="false">Trajectory!B164/Mutualisation!B18</f>
        <v>9.39870407357901</v>
      </c>
    </row>
    <row r="51" customFormat="false" ht="15" hidden="false" customHeight="true" outlineLevel="0" collapsed="false">
      <c r="A51" s="6" t="s">
        <v>2182</v>
      </c>
    </row>
    <row r="52" customFormat="false" ht="15" hidden="false" customHeight="true" outlineLevel="0" collapsed="false">
      <c r="A52" s="1" t="s">
        <v>2183</v>
      </c>
      <c r="B52" s="57" t="n">
        <f aca="false">B44+B46</f>
        <v>17219.8354156443</v>
      </c>
    </row>
    <row r="53" customFormat="false" ht="15" hidden="false" customHeight="true" outlineLevel="0" collapsed="false">
      <c r="A53" s="1" t="s">
        <v>2184</v>
      </c>
      <c r="B53" s="12" t="n">
        <f aca="false">OwnFunds_SCR!B7/Discount!C59</f>
        <v>22387.9808807874</v>
      </c>
    </row>
    <row r="54" customFormat="false" ht="15" hidden="false" customHeight="true" outlineLevel="0" collapsed="false">
      <c r="A54" s="1" t="s">
        <v>2185</v>
      </c>
      <c r="B54" s="48" t="n">
        <f aca="false">Trajectory!B164*Assumptions!B47/1000000</f>
        <v>36.7796909834719</v>
      </c>
    </row>
    <row r="55" customFormat="false" ht="15" hidden="false" customHeight="true" outlineLevel="0" collapsed="false">
      <c r="A55" s="1" t="s">
        <v>2186</v>
      </c>
      <c r="B55" s="48" t="n">
        <f aca="false">Pricing!B14*Assumptions!B47/1000000</f>
        <v>12.3160657114102</v>
      </c>
    </row>
    <row r="56" customFormat="false" ht="15" hidden="false" customHeight="true" outlineLevel="0" collapsed="false">
      <c r="A56" s="1" t="s">
        <v>2187</v>
      </c>
      <c r="B56" s="12" t="n">
        <f aca="false">Pricing!B11*Pricing!B14*Pricing!B5</f>
        <v>18222.3834004509</v>
      </c>
    </row>
    <row r="57" customFormat="false" ht="15" hidden="false" customHeight="true" outlineLevel="0" collapsed="false">
      <c r="A57" s="1" t="s">
        <v>2188</v>
      </c>
      <c r="B57" s="48" t="n">
        <f aca="false">Pricing!B11*Pricing!B14</f>
        <v>1720.51447874166</v>
      </c>
    </row>
    <row r="58" customFormat="false" ht="15" hidden="false" customHeight="true" outlineLevel="0" collapsed="false">
      <c r="A58" s="1" t="s">
        <v>2189</v>
      </c>
      <c r="B58" s="48" t="n">
        <f aca="false">Mutualisation!B18</f>
        <v>3913.2725847667</v>
      </c>
    </row>
    <row r="59" customFormat="false" ht="15" hidden="false" customHeight="true" outlineLevel="0" collapsed="false">
      <c r="A59" s="1" t="s">
        <v>2190</v>
      </c>
      <c r="B59" s="38" t="n">
        <f aca="false">Pricing!B11*Pricing!B14*Pricing!B5/Mutualisation!B18</f>
        <v>4.65655867454407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6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2"/>
    <col collapsed="false" customWidth="true" hidden="false" outlineLevel="0" max="2" min="2" style="1" width="16"/>
    <col collapsed="false" customWidth="true" hidden="false" outlineLevel="0" max="3" min="3" style="1" width="44"/>
  </cols>
  <sheetData>
    <row r="1" customFormat="false" ht="15.75" hidden="false" customHeight="true" outlineLevel="0" collapsed="false">
      <c r="A1" s="1" t="s">
        <v>370</v>
      </c>
    </row>
    <row r="3" customFormat="false" ht="15" hidden="false" customHeight="true" outlineLevel="0" collapsed="false">
      <c r="A3" s="1" t="s">
        <v>371</v>
      </c>
      <c r="B3" s="1" t="s">
        <v>372</v>
      </c>
      <c r="C3" s="1" t="s">
        <v>373</v>
      </c>
    </row>
    <row r="4" customFormat="false" ht="15" hidden="false" customHeight="true" outlineLevel="0" collapsed="false">
      <c r="A4" s="1" t="s">
        <v>374</v>
      </c>
      <c r="B4" s="16" t="n">
        <v>65</v>
      </c>
      <c r="C4" s="1" t="s">
        <v>375</v>
      </c>
    </row>
    <row r="5" customFormat="false" ht="15" hidden="false" customHeight="true" outlineLevel="0" collapsed="false">
      <c r="A5" s="1" t="s">
        <v>376</v>
      </c>
      <c r="B5" s="16" t="n">
        <v>80</v>
      </c>
      <c r="C5" s="1" t="s">
        <v>377</v>
      </c>
    </row>
    <row r="6" customFormat="false" ht="15" hidden="false" customHeight="true" outlineLevel="0" collapsed="false">
      <c r="A6" s="1" t="s">
        <v>378</v>
      </c>
      <c r="B6" s="5" t="n">
        <f aca="false">B5-B4</f>
        <v>15</v>
      </c>
      <c r="C6" s="7" t="s">
        <v>379</v>
      </c>
    </row>
    <row r="7" customFormat="false" ht="15" hidden="false" customHeight="true" outlineLevel="0" collapsed="false">
      <c r="A7" s="1" t="s">
        <v>380</v>
      </c>
      <c r="B7" s="16" t="n">
        <v>400000</v>
      </c>
      <c r="C7" s="1" t="s">
        <v>381</v>
      </c>
    </row>
    <row r="8" customFormat="false" ht="15" hidden="false" customHeight="true" outlineLevel="0" collapsed="false">
      <c r="A8" s="1" t="s">
        <v>382</v>
      </c>
      <c r="B8" s="17" t="n">
        <v>0.04</v>
      </c>
      <c r="C8" s="1" t="s">
        <v>383</v>
      </c>
    </row>
    <row r="9" customFormat="false" ht="15" hidden="false" customHeight="true" outlineLevel="0" collapsed="false">
      <c r="A9" s="1" t="s">
        <v>384</v>
      </c>
      <c r="B9" s="5" t="n">
        <f aca="false">B7*B8</f>
        <v>16000</v>
      </c>
      <c r="C9" s="1" t="s">
        <v>385</v>
      </c>
    </row>
    <row r="10" customFormat="false" ht="15" hidden="false" customHeight="true" outlineLevel="0" collapsed="false">
      <c r="A10" s="1" t="s">
        <v>386</v>
      </c>
      <c r="B10" s="17" t="n">
        <v>0.02</v>
      </c>
      <c r="C10" s="1" t="s">
        <v>387</v>
      </c>
    </row>
    <row r="11" customFormat="false" ht="15" hidden="false" customHeight="true" outlineLevel="0" collapsed="false">
      <c r="A11" s="1" t="s">
        <v>388</v>
      </c>
      <c r="B11" s="17" t="n">
        <v>0.025</v>
      </c>
      <c r="C11" s="1" t="s">
        <v>389</v>
      </c>
    </row>
    <row r="12" customFormat="false" ht="15" hidden="false" customHeight="true" outlineLevel="0" collapsed="false">
      <c r="A12" s="1" t="s">
        <v>390</v>
      </c>
      <c r="B12" s="16" t="n">
        <v>80</v>
      </c>
      <c r="C12" s="1" t="s">
        <v>391</v>
      </c>
    </row>
    <row r="13" customFormat="false" ht="15" hidden="false" customHeight="true" outlineLevel="0" collapsed="false">
      <c r="A13" s="1" t="s">
        <v>392</v>
      </c>
      <c r="B13" s="17" t="n">
        <v>0.03</v>
      </c>
      <c r="C13" s="1" t="s">
        <v>393</v>
      </c>
    </row>
    <row r="14" customFormat="false" ht="15" hidden="false" customHeight="true" outlineLevel="0" collapsed="false">
      <c r="A14" s="1" t="s">
        <v>394</v>
      </c>
      <c r="B14" s="17" t="n">
        <v>1</v>
      </c>
      <c r="C14" s="1" t="s">
        <v>395</v>
      </c>
    </row>
    <row r="15" customFormat="false" ht="15" hidden="false" customHeight="true" outlineLevel="0" collapsed="false">
      <c r="A15" s="1" t="s">
        <v>396</v>
      </c>
      <c r="B15" s="17" t="n">
        <v>0.05</v>
      </c>
      <c r="C15" s="1" t="s">
        <v>397</v>
      </c>
    </row>
    <row r="16" customFormat="false" ht="15" hidden="false" customHeight="true" outlineLevel="0" collapsed="false">
      <c r="A16" s="1" t="s">
        <v>398</v>
      </c>
      <c r="B16" s="18" t="n">
        <f aca="false">IF($B$50=2,MIN($B$56*B54,$B$57),IF($B$50=1,B52,B54))</f>
        <v>0.058</v>
      </c>
      <c r="C16" s="7" t="s">
        <v>399</v>
      </c>
    </row>
    <row r="17" customFormat="false" ht="15" hidden="false" customHeight="true" outlineLevel="0" collapsed="false">
      <c r="A17" s="1" t="s">
        <v>400</v>
      </c>
      <c r="B17" s="18" t="n">
        <f aca="false">IF($B$50=2,MIN($B$56*C54,$B$57),IF($B$50=1,C52,C54))</f>
        <v>0.031</v>
      </c>
      <c r="C17" s="1" t="s">
        <v>401</v>
      </c>
    </row>
    <row r="18" customFormat="false" ht="15" hidden="false" customHeight="true" outlineLevel="0" collapsed="false">
      <c r="A18" s="1" t="s">
        <v>402</v>
      </c>
      <c r="B18" s="18" t="n">
        <f aca="false">IF($B$50=2,MIN($B$56*D54,$B$57),IF($B$50=1,D52,D54))</f>
        <v>0.019</v>
      </c>
      <c r="C18" s="1" t="s">
        <v>401</v>
      </c>
    </row>
    <row r="19" customFormat="false" ht="15" hidden="false" customHeight="true" outlineLevel="0" collapsed="false">
      <c r="A19" s="1" t="s">
        <v>403</v>
      </c>
      <c r="B19" s="18" t="n">
        <f aca="false">IF($B$50=2,MIN($B$56*E54,$B$57),IF($B$50=1,E52,E54))</f>
        <v>0.013</v>
      </c>
      <c r="C19" s="1" t="s">
        <v>404</v>
      </c>
    </row>
    <row r="20" customFormat="false" ht="15" hidden="false" customHeight="true" outlineLevel="0" collapsed="false">
      <c r="A20" s="1" t="s">
        <v>405</v>
      </c>
      <c r="B20" s="18" t="n">
        <f aca="false">B38*B40+B39*B41</f>
        <v>0.3</v>
      </c>
      <c r="C20" s="1" t="s">
        <v>406</v>
      </c>
    </row>
    <row r="21" customFormat="false" ht="15" hidden="false" customHeight="true" outlineLevel="0" collapsed="false">
      <c r="A21" s="1" t="s">
        <v>407</v>
      </c>
      <c r="B21" s="17" t="n">
        <v>0.2</v>
      </c>
      <c r="C21" s="1" t="s">
        <v>408</v>
      </c>
    </row>
    <row r="22" customFormat="false" ht="15" hidden="false" customHeight="true" outlineLevel="0" collapsed="false">
      <c r="A22" s="1" t="s">
        <v>409</v>
      </c>
      <c r="B22" s="17" t="n">
        <v>0.4</v>
      </c>
      <c r="C22" s="1" t="s">
        <v>410</v>
      </c>
    </row>
    <row r="23" customFormat="false" ht="15" hidden="false" customHeight="true" outlineLevel="0" collapsed="false">
      <c r="A23" s="1" t="s">
        <v>411</v>
      </c>
      <c r="B23" s="17" t="n">
        <v>0.5</v>
      </c>
      <c r="C23" s="1" t="s">
        <v>412</v>
      </c>
    </row>
    <row r="24" customFormat="false" ht="15" hidden="false" customHeight="true" outlineLevel="0" collapsed="false">
      <c r="A24" s="1" t="s">
        <v>413</v>
      </c>
      <c r="B24" s="17" t="n">
        <v>0.1</v>
      </c>
    </row>
    <row r="25" customFormat="false" ht="15" hidden="false" customHeight="true" outlineLevel="0" collapsed="false">
      <c r="A25" s="1" t="s">
        <v>414</v>
      </c>
      <c r="B25" s="17" t="n">
        <v>0.01</v>
      </c>
    </row>
    <row r="26" customFormat="false" ht="15" hidden="false" customHeight="true" outlineLevel="0" collapsed="false">
      <c r="A26" s="1" t="s">
        <v>415</v>
      </c>
      <c r="B26" s="17" t="n">
        <v>0.25</v>
      </c>
      <c r="C26" s="1" t="s">
        <v>416</v>
      </c>
    </row>
    <row r="27" customFormat="false" ht="15" hidden="false" customHeight="true" outlineLevel="0" collapsed="false">
      <c r="A27" s="1" t="s">
        <v>417</v>
      </c>
      <c r="B27" s="17" t="n">
        <v>0.25</v>
      </c>
      <c r="C27" s="1" t="s">
        <v>418</v>
      </c>
    </row>
    <row r="28" customFormat="false" ht="15" hidden="false" customHeight="true" outlineLevel="0" collapsed="false">
      <c r="A28" s="1" t="s">
        <v>419</v>
      </c>
      <c r="B28" s="17" t="n">
        <v>0.5</v>
      </c>
      <c r="C28" s="1" t="s">
        <v>418</v>
      </c>
    </row>
    <row r="29" customFormat="false" ht="15" hidden="false" customHeight="true" outlineLevel="0" collapsed="false">
      <c r="A29" s="1" t="s">
        <v>420</v>
      </c>
      <c r="B29" s="17" t="n">
        <v>0.06</v>
      </c>
      <c r="C29" s="1" t="s">
        <v>421</v>
      </c>
    </row>
    <row r="31" customFormat="false" ht="15" hidden="false" customHeight="true" outlineLevel="0" collapsed="false">
      <c r="A31" s="1" t="s">
        <v>422</v>
      </c>
    </row>
    <row r="32" customFormat="false" ht="15" hidden="false" customHeight="true" outlineLevel="0" collapsed="false">
      <c r="A32" s="1" t="s">
        <v>423</v>
      </c>
    </row>
    <row r="33" customFormat="false" ht="15" hidden="false" customHeight="true" outlineLevel="0" collapsed="false">
      <c r="A33" s="1" t="s">
        <v>424</v>
      </c>
    </row>
    <row r="35" customFormat="false" ht="15" hidden="false" customHeight="true" outlineLevel="0" collapsed="false">
      <c r="A35" s="1" t="s">
        <v>425</v>
      </c>
      <c r="B35" s="17" t="n">
        <v>0.0493</v>
      </c>
      <c r="C35" s="1" t="s">
        <v>426</v>
      </c>
    </row>
    <row r="36" customFormat="false" ht="15" hidden="false" customHeight="true" outlineLevel="0" collapsed="false">
      <c r="A36" s="1" t="s">
        <v>427</v>
      </c>
      <c r="B36" s="17" t="n">
        <v>0.04</v>
      </c>
    </row>
    <row r="37" customFormat="false" ht="15" hidden="false" customHeight="true" outlineLevel="0" collapsed="false">
      <c r="A37" s="1" t="s">
        <v>428</v>
      </c>
      <c r="B37" s="17" t="n">
        <v>0.05</v>
      </c>
    </row>
    <row r="38" customFormat="false" ht="15" hidden="false" customHeight="true" outlineLevel="0" collapsed="false">
      <c r="A38" s="1" t="s">
        <v>429</v>
      </c>
      <c r="B38" s="17" t="n">
        <v>0.6</v>
      </c>
    </row>
    <row r="39" customFormat="false" ht="15" hidden="false" customHeight="true" outlineLevel="0" collapsed="false">
      <c r="A39" s="1" t="s">
        <v>430</v>
      </c>
      <c r="B39" s="17" t="n">
        <v>0.4</v>
      </c>
    </row>
    <row r="40" customFormat="false" ht="15" hidden="false" customHeight="true" outlineLevel="0" collapsed="false">
      <c r="A40" s="1" t="s">
        <v>431</v>
      </c>
      <c r="B40" s="17" t="n">
        <v>0.4</v>
      </c>
    </row>
    <row r="41" customFormat="false" ht="15" hidden="false" customHeight="true" outlineLevel="0" collapsed="false">
      <c r="A41" s="1" t="s">
        <v>432</v>
      </c>
      <c r="B41" s="17" t="n">
        <v>0.15</v>
      </c>
    </row>
    <row r="42" customFormat="false" ht="15" hidden="false" customHeight="true" outlineLevel="0" collapsed="false">
      <c r="A42" s="1" t="s">
        <v>433</v>
      </c>
      <c r="B42" s="16" t="n">
        <v>0</v>
      </c>
      <c r="C42" s="1" t="s">
        <v>434</v>
      </c>
    </row>
    <row r="44" customFormat="false" ht="15" hidden="false" customHeight="true" outlineLevel="0" collapsed="false">
      <c r="A44" s="1" t="s">
        <v>435</v>
      </c>
      <c r="B44" s="17" t="n">
        <v>0.1</v>
      </c>
      <c r="C44" s="1" t="s">
        <v>436</v>
      </c>
    </row>
    <row r="45" customFormat="false" ht="15" hidden="false" customHeight="true" outlineLevel="0" collapsed="false">
      <c r="A45" s="1" t="s">
        <v>437</v>
      </c>
      <c r="B45" s="17" t="n">
        <v>0.04</v>
      </c>
    </row>
    <row r="47" customFormat="false" ht="15" hidden="false" customHeight="true" outlineLevel="0" collapsed="false">
      <c r="A47" s="1" t="s">
        <v>438</v>
      </c>
      <c r="B47" s="19" t="n">
        <v>1000</v>
      </c>
    </row>
    <row r="49" customFormat="false" ht="15" hidden="false" customHeight="true" outlineLevel="0" collapsed="false">
      <c r="A49" s="1" t="s">
        <v>439</v>
      </c>
      <c r="B49" s="20" t="n">
        <v>0.9</v>
      </c>
      <c r="C49" s="7" t="s">
        <v>440</v>
      </c>
    </row>
    <row r="50" customFormat="false" ht="15" hidden="false" customHeight="true" outlineLevel="0" collapsed="false">
      <c r="A50" s="3" t="s">
        <v>441</v>
      </c>
      <c r="B50" s="21" t="n">
        <v>1</v>
      </c>
      <c r="C50" s="1" t="s">
        <v>442</v>
      </c>
    </row>
    <row r="51" customFormat="false" ht="15" hidden="false" customHeight="true" outlineLevel="0" collapsed="false">
      <c r="A51" s="7" t="s">
        <v>443</v>
      </c>
    </row>
    <row r="52" customFormat="false" ht="15" hidden="false" customHeight="true" outlineLevel="0" collapsed="false">
      <c r="A52" s="7" t="s">
        <v>444</v>
      </c>
      <c r="B52" s="22" t="n">
        <v>0.058</v>
      </c>
      <c r="C52" s="22" t="n">
        <v>0.031</v>
      </c>
      <c r="D52" s="22" t="n">
        <v>0.019</v>
      </c>
      <c r="E52" s="22" t="n">
        <v>0.013</v>
      </c>
    </row>
    <row r="53" customFormat="false" ht="15" hidden="false" customHeight="true" outlineLevel="0" collapsed="false">
      <c r="A53" s="7" t="s">
        <v>445</v>
      </c>
    </row>
    <row r="54" customFormat="false" ht="15" hidden="false" customHeight="true" outlineLevel="0" collapsed="false">
      <c r="A54" s="7" t="s">
        <v>446</v>
      </c>
      <c r="B54" s="22" t="n">
        <v>0.0605</v>
      </c>
      <c r="C54" s="22" t="n">
        <v>0.0335</v>
      </c>
      <c r="D54" s="22" t="n">
        <v>0.0215</v>
      </c>
      <c r="E54" s="22" t="n">
        <v>0.0155</v>
      </c>
    </row>
    <row r="55" customFormat="false" ht="15" hidden="false" customHeight="true" outlineLevel="0" collapsed="false">
      <c r="A55" s="1" t="s">
        <v>447</v>
      </c>
      <c r="B55" s="23" t="n">
        <f aca="false">B54-B52</f>
        <v>0.0025</v>
      </c>
    </row>
    <row r="56" customFormat="false" ht="15" hidden="false" customHeight="true" outlineLevel="0" collapsed="false">
      <c r="A56" s="7" t="s">
        <v>448</v>
      </c>
      <c r="B56" s="24" t="n">
        <v>3</v>
      </c>
    </row>
    <row r="57" customFormat="false" ht="15" hidden="false" customHeight="true" outlineLevel="0" collapsed="false">
      <c r="A57" s="7" t="s">
        <v>449</v>
      </c>
      <c r="B57" s="25" t="n">
        <v>0.117</v>
      </c>
    </row>
    <row r="58" customFormat="false" ht="15" hidden="false" customHeight="true" outlineLevel="0" collapsed="false">
      <c r="A58" s="7" t="s">
        <v>450</v>
      </c>
      <c r="B58" s="26" t="n">
        <v>0.9</v>
      </c>
      <c r="C58" s="7" t="s">
        <v>451</v>
      </c>
    </row>
    <row r="59" customFormat="false" ht="15" hidden="false" customHeight="true" outlineLevel="0" collapsed="false">
      <c r="A59" s="7" t="s">
        <v>452</v>
      </c>
      <c r="B59" s="26" t="n">
        <v>0.9</v>
      </c>
      <c r="C59" s="7" t="s">
        <v>453</v>
      </c>
    </row>
    <row r="61" customFormat="false" ht="15" hidden="false" customHeight="true" outlineLevel="0" collapsed="false">
      <c r="A61" s="6" t="s">
        <v>454</v>
      </c>
    </row>
    <row r="62" customFormat="false" ht="15" hidden="false" customHeight="true" outlineLevel="0" collapsed="false">
      <c r="A62" s="7" t="s">
        <v>455</v>
      </c>
    </row>
    <row r="63" customFormat="false" ht="15" hidden="false" customHeight="true" outlineLevel="0" collapsed="false">
      <c r="A63" s="7" t="s">
        <v>456</v>
      </c>
    </row>
    <row r="64" customFormat="false" ht="15" hidden="false" customHeight="true" outlineLevel="0" collapsed="false">
      <c r="A64" s="1" t="s">
        <v>457</v>
      </c>
      <c r="B64" s="27" t="n">
        <f aca="false">CMI_Projection!B153</f>
        <v>4.27121694339155E-008</v>
      </c>
    </row>
    <row r="65" customFormat="false" ht="15" hidden="false" customHeight="true" outlineLevel="0" collapsed="false">
      <c r="A65" s="3" t="s">
        <v>458</v>
      </c>
      <c r="B65" s="28" t="str">
        <f aca="false">IF(B64&lt;0.000001,"PASS — the derived surface and the supplied matrix agree to CSV rounding precision","FAIL — the derivation and the supplied matrix have diverged")</f>
        <v>PASS — the derived surface and the supplied matrix agree to CSV rounding precision</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4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3" min="1" style="1" width="11"/>
  </cols>
  <sheetData>
    <row r="1" customFormat="false" ht="15.75" hidden="false" customHeight="true" outlineLevel="0" collapsed="false">
      <c r="A1" s="1" t="s">
        <v>2191</v>
      </c>
    </row>
    <row r="2" customFormat="false" ht="15" hidden="false" customHeight="true" outlineLevel="0" collapsed="false">
      <c r="A2" s="1" t="s">
        <v>2192</v>
      </c>
    </row>
    <row r="3" customFormat="false" ht="15" hidden="false" customHeight="true" outlineLevel="0" collapsed="false">
      <c r="C3" s="1" t="s">
        <v>2193</v>
      </c>
      <c r="D3" s="1" t="s">
        <v>2194</v>
      </c>
      <c r="E3" s="1" t="s">
        <v>2195</v>
      </c>
    </row>
    <row r="4" customFormat="false" ht="15" hidden="false" customHeight="true" outlineLevel="0" collapsed="false">
      <c r="A4" s="1" t="s">
        <v>2196</v>
      </c>
      <c r="C4" s="12" t="n">
        <f aca="false">Assumptions!$B$7/((1-((1+Assumptions!$B$10)/(1+Assumptions!$B$35))^25)/(1-((1+Assumptions!$B$10)/(1+Assumptions!$B$35))))</f>
        <v>22013.7999091837</v>
      </c>
      <c r="D4" s="12" t="n">
        <f aca="false">Assumptions!$B$7/((1-((1+Assumptions!$B$10)/(1+Assumptions!$B$35))^30)/(1-((1+Assumptions!$B$10)/(1+Assumptions!$B$35))))</f>
        <v>19512.4289570463</v>
      </c>
      <c r="E4" s="12" t="n">
        <f aca="false">Assumptions!$B$7/((1-((1+Assumptions!$B$10)/(1+Assumptions!$B$35))^35)/(1-((1+Assumptions!$B$10)/(1+Assumptions!$B$35))))</f>
        <v>17760.7780105812</v>
      </c>
    </row>
    <row r="6" customFormat="false" ht="15" hidden="false" customHeight="true" outlineLevel="0" collapsed="false">
      <c r="A6" s="1" t="s">
        <v>650</v>
      </c>
      <c r="B6" s="1" t="s">
        <v>2197</v>
      </c>
      <c r="C6" s="1" t="s">
        <v>2198</v>
      </c>
      <c r="D6" s="1" t="s">
        <v>2199</v>
      </c>
      <c r="E6" s="1" t="s">
        <v>2200</v>
      </c>
      <c r="F6" s="1" t="s">
        <v>2201</v>
      </c>
      <c r="G6" s="1" t="s">
        <v>2202</v>
      </c>
      <c r="H6" s="1" t="s">
        <v>2203</v>
      </c>
      <c r="I6" s="1" t="s">
        <v>2204</v>
      </c>
      <c r="J6" s="1" t="s">
        <v>2205</v>
      </c>
      <c r="K6" s="1" t="s">
        <v>2206</v>
      </c>
      <c r="L6" s="1" t="s">
        <v>2207</v>
      </c>
      <c r="M6" s="1" t="s">
        <v>2094</v>
      </c>
    </row>
    <row r="7" customFormat="false" ht="15" hidden="false" customHeight="true" outlineLevel="0" collapsed="false">
      <c r="A7" s="74" t="n">
        <v>65</v>
      </c>
      <c r="B7" s="12" t="n">
        <f aca="false">Assumptions!$B$7</f>
        <v>400000</v>
      </c>
      <c r="C7" s="12" t="n">
        <f aca="false">IF(A7&lt;Assumptions!$B$5,MAX(0,MAX(IF(A7&lt;=70,Assumptions!$B$36,Assumptions!$B$37)*B7,Pricing!$B$14)-Pricing!$B$14),IF(B7&gt;0,IF(A7&lt;=70,Assumptions!$B$36,Assumptions!$B$37)*B7,0)+Assumptions!$B$9*(1+Assumptions!$B$10)^0)</f>
        <v>3683.93428858979</v>
      </c>
      <c r="D7" s="12" t="n">
        <f aca="false">Assumptions!$B$7</f>
        <v>400000</v>
      </c>
      <c r="E7" s="12" t="n">
        <f aca="false">IF(A7&lt;=70,Assumptions!$B$36,Assumptions!$B$37)*D7</f>
        <v>16000</v>
      </c>
      <c r="F7" s="12" t="n">
        <f aca="false">Assumptions!$B$7</f>
        <v>400000</v>
      </c>
      <c r="G7" s="12" t="n">
        <f aca="false">MIN(MAX(IF(0&lt;25,$C$4*(1+Assumptions!$B$10)^0,0),IF(A7&lt;=70,Assumptions!$B$36,Assumptions!$B$37)*F7),F7)</f>
        <v>22013.7999091837</v>
      </c>
      <c r="H7" s="12" t="n">
        <f aca="false">Assumptions!$B$7</f>
        <v>400000</v>
      </c>
      <c r="I7" s="12" t="n">
        <f aca="false">MIN(MAX(IF(0&lt;30,$D$4*(1+Assumptions!$B$10)^0,0),IF(A7&lt;=70,Assumptions!$B$36,Assumptions!$B$37)*H7),H7)</f>
        <v>19512.4289570463</v>
      </c>
      <c r="J7" s="12" t="n">
        <f aca="false">Assumptions!$B$7</f>
        <v>400000</v>
      </c>
      <c r="K7" s="12" t="n">
        <f aca="false">MIN(MAX(IF(0&lt;35,$E$4*(1+Assumptions!$B$10)^0,0),IF(A7&lt;=70,Assumptions!$B$36,Assumptions!$B$37)*J7),J7)</f>
        <v>17760.7780105812</v>
      </c>
      <c r="L7" s="12" t="n">
        <f aca="false">MAX(E7,G7,I7,K7)</f>
        <v>22013.7999091837</v>
      </c>
      <c r="M7" s="5" t="str">
        <f aca="false">IF(A7&gt;=85,IF(C7&gt;=L7,"PASS","FAIL"),"")</f>
        <v/>
      </c>
    </row>
    <row r="8" customFormat="false" ht="15" hidden="false" customHeight="true" outlineLevel="0" collapsed="false">
      <c r="A8" s="74" t="n">
        <v>66</v>
      </c>
      <c r="B8" s="12" t="n">
        <f aca="false">MAX(0,(B7-IF(A7&lt;Assumptions!$B$5,MAX(IF(A7&lt;=70,Assumptions!$B$36,Assumptions!$B$37)*B7,Pricing!$B$14),IF(A7&lt;=70,Assumptions!$B$36,Assumptions!$B$37)*B7))*(1+Assumptions!$B$35))</f>
        <v>402931.2</v>
      </c>
      <c r="C8" s="12" t="n">
        <f aca="false">IF(A8&lt;Assumptions!$B$5,MAX(0,MAX(IF(A8&lt;=70,Assumptions!$B$36,Assumptions!$B$37)*B8,Pricing!$B$14)-Pricing!$B$14),IF(B8&gt;0,IF(A8&lt;=70,Assumptions!$B$36,Assumptions!$B$37)*B8,0)+Assumptions!$B$9*(1+Assumptions!$B$10)^1)</f>
        <v>3801.18228858979</v>
      </c>
      <c r="D8" s="12" t="n">
        <f aca="false">MAX(0,(D7-IF(A7&lt;=70,Assumptions!$B$36,Assumptions!$B$37)*D7)*(1+Assumptions!$B$35))</f>
        <v>402931.2</v>
      </c>
      <c r="E8" s="12" t="n">
        <f aca="false">IF(A8&lt;=70,Assumptions!$B$36,Assumptions!$B$37)*D8</f>
        <v>16117.248</v>
      </c>
      <c r="F8" s="12" t="n">
        <f aca="false">MAX(0,(F7-MIN(MAX(IF(0&lt;25,$C$4*(1+Assumptions!$B$10)^0,0),IF(A7&lt;=70,Assumptions!$B$36,Assumptions!$B$37)*F7),F7))*(1+Assumptions!$B$35))</f>
        <v>396620.919755294</v>
      </c>
      <c r="G8" s="12" t="n">
        <f aca="false">MIN(MAX(IF(1&lt;25,$C$4*(1+Assumptions!$B$10)^1,0),IF(A8&lt;=70,Assumptions!$B$36,Assumptions!$B$37)*F8),F8)</f>
        <v>22454.0759073674</v>
      </c>
      <c r="H8" s="12" t="n">
        <f aca="false">MAX(0,(H7-MIN(MAX(IF(0&lt;30,$D$4*(1+Assumptions!$B$10)^0,0),IF(A7&lt;=70,Assumptions!$B$36,Assumptions!$B$37)*H7),H7))*(1+Assumptions!$B$35))</f>
        <v>399245.608295371</v>
      </c>
      <c r="I8" s="12" t="n">
        <f aca="false">MIN(MAX(IF(1&lt;30,$D$4*(1+Assumptions!$B$10)^1,0),IF(A8&lt;=70,Assumptions!$B$36,Assumptions!$B$37)*H8),H8)</f>
        <v>19902.6775361873</v>
      </c>
      <c r="J8" s="12" t="n">
        <f aca="false">MAX(0,(J7-MIN(MAX(IF(0&lt;35,$E$4*(1+Assumptions!$B$10)^0,0),IF(A7&lt;=70,Assumptions!$B$36,Assumptions!$B$37)*J7),J7))*(1+Assumptions!$B$35))</f>
        <v>401083.615633497</v>
      </c>
      <c r="K8" s="12" t="n">
        <f aca="false">MIN(MAX(IF(1&lt;35,$E$4*(1+Assumptions!$B$10)^1,0),IF(A8&lt;=70,Assumptions!$B$36,Assumptions!$B$37)*J8),J8)</f>
        <v>18115.9935707928</v>
      </c>
      <c r="L8" s="12" t="n">
        <f aca="false">MAX(E8,G8,I8,K8)</f>
        <v>22454.0759073674</v>
      </c>
      <c r="M8" s="5" t="str">
        <f aca="false">IF(A8&gt;=85,IF(C8&gt;=L8,"PASS","FAIL"),"")</f>
        <v/>
      </c>
    </row>
    <row r="9" customFormat="false" ht="15" hidden="false" customHeight="true" outlineLevel="0" collapsed="false">
      <c r="A9" s="74" t="n">
        <v>67</v>
      </c>
      <c r="B9" s="12" t="n">
        <f aca="false">MAX(0,(B8-IF(A8&lt;Assumptions!$B$5,MAX(IF(A8&lt;=70,Assumptions!$B$36,Assumptions!$B$37)*B8,Pricing!$B$14),IF(A8&lt;=70,Assumptions!$B$36,Assumptions!$B$37)*B8))*(1+Assumptions!$B$35))</f>
        <v>405883.8798336</v>
      </c>
      <c r="C9" s="12" t="n">
        <f aca="false">IF(A9&lt;Assumptions!$B$5,MAX(0,MAX(IF(A9&lt;=70,Assumptions!$B$36,Assumptions!$B$37)*B9,Pricing!$B$14)-Pricing!$B$14),IF(B9&gt;0,IF(A9&lt;=70,Assumptions!$B$36,Assumptions!$B$37)*B9,0)+Assumptions!$B$9*(1+Assumptions!$B$10)^2)</f>
        <v>3919.28948193379</v>
      </c>
      <c r="D9" s="12" t="n">
        <f aca="false">MAX(0,(D8-IF(A8&lt;=70,Assumptions!$B$36,Assumptions!$B$37)*D8)*(1+Assumptions!$B$35))</f>
        <v>405883.8798336</v>
      </c>
      <c r="E9" s="12" t="n">
        <f aca="false">IF(A9&lt;=70,Assumptions!$B$36,Assumptions!$B$37)*D9</f>
        <v>16235.355193344</v>
      </c>
      <c r="F9" s="12" t="n">
        <f aca="false">MAX(0,(F8-MIN(MAX(IF(1&lt;25,$C$4*(1+Assumptions!$B$10)^1,0),IF(A8&lt;=70,Assumptions!$B$36,Assumptions!$B$37)*F8),F8))*(1+Assumptions!$B$35))</f>
        <v>392613.269249629</v>
      </c>
      <c r="G9" s="12" t="n">
        <f aca="false">MIN(MAX(IF(2&lt;25,$C$4*(1+Assumptions!$B$10)^2,0),IF(A9&lt;=70,Assumptions!$B$36,Assumptions!$B$37)*F9),F9)</f>
        <v>22903.1574255147</v>
      </c>
      <c r="H9" s="12" t="n">
        <f aca="false">MAX(0,(H8-MIN(MAX(IF(1&lt;30,$D$4*(1+Assumptions!$B$10)^1,0),IF(A8&lt;=70,Assumptions!$B$36,Assumptions!$B$37)*H8),H8))*(1+Assumptions!$B$35))</f>
        <v>398044.537245612</v>
      </c>
      <c r="I9" s="12" t="n">
        <f aca="false">MIN(MAX(IF(2&lt;30,$D$4*(1+Assumptions!$B$10)^2,0),IF(A9&lt;=70,Assumptions!$B$36,Assumptions!$B$37)*H9),H9)</f>
        <v>20300.731086911</v>
      </c>
      <c r="J9" s="12" t="n">
        <f aca="false">MAX(0,(J8-MIN(MAX(IF(1&lt;35,$E$4*(1+Assumptions!$B$10)^1,0),IF(A8&lt;=70,Assumptions!$B$36,Assumptions!$B$37)*J8),J8))*(1+Assumptions!$B$35))</f>
        <v>401847.925830396</v>
      </c>
      <c r="K9" s="12" t="n">
        <f aca="false">MIN(MAX(IF(2&lt;35,$E$4*(1+Assumptions!$B$10)^2,0),IF(A9&lt;=70,Assumptions!$B$36,Assumptions!$B$37)*J9),J9)</f>
        <v>18478.3134422087</v>
      </c>
      <c r="L9" s="12" t="n">
        <f aca="false">MAX(E9,G9,I9,K9)</f>
        <v>22903.1574255147</v>
      </c>
      <c r="M9" s="5" t="str">
        <f aca="false">IF(A9&gt;=85,IF(C9&gt;=L9,"PASS","FAIL"),"")</f>
        <v/>
      </c>
    </row>
    <row r="10" customFormat="false" ht="15" hidden="false" customHeight="true" outlineLevel="0" collapsed="false">
      <c r="A10" s="74" t="n">
        <v>68</v>
      </c>
      <c r="B10" s="12" t="n">
        <f aca="false">MAX(0,(B9-IF(A9&lt;Assumptions!$B$5,MAX(IF(A9&lt;=70,Assumptions!$B$36,Assumptions!$B$37)*B9,Pricing!$B$14),IF(A9&lt;=70,Assumptions!$B$36,Assumptions!$B$37)*B9))*(1+Assumptions!$B$35))</f>
        <v>408858.19690502</v>
      </c>
      <c r="C10" s="12" t="n">
        <f aca="false">IF(A10&lt;Assumptions!$B$5,MAX(0,MAX(IF(A10&lt;=70,Assumptions!$B$36,Assumptions!$B$37)*B10,Pricing!$B$14)-Pricing!$B$14),IF(B10&gt;0,IF(A10&lt;=70,Assumptions!$B$36,Assumptions!$B$37)*B10,0)+Assumptions!$B$9*(1+Assumptions!$B$10)^3)</f>
        <v>4038.26216479061</v>
      </c>
      <c r="D10" s="12" t="n">
        <f aca="false">MAX(0,(D9-IF(A9&lt;=70,Assumptions!$B$36,Assumptions!$B$37)*D9)*(1+Assumptions!$B$35))</f>
        <v>408858.19690502</v>
      </c>
      <c r="E10" s="12" t="n">
        <f aca="false">IF(A10&lt;=70,Assumptions!$B$36,Assumptions!$B$37)*D10</f>
        <v>16354.3278762008</v>
      </c>
      <c r="F10" s="12" t="n">
        <f aca="false">MAX(0,(F9-MIN(MAX(IF(2&lt;25,$C$4*(1+Assumptions!$B$10)^2,0),IF(A9&lt;=70,Assumptions!$B$36,Assumptions!$B$37)*F9),F9))*(1+Assumptions!$B$35))</f>
        <v>387936.820337043</v>
      </c>
      <c r="G10" s="12" t="n">
        <f aca="false">MIN(MAX(IF(3&lt;25,$C$4*(1+Assumptions!$B$10)^3,0),IF(A10&lt;=70,Assumptions!$B$36,Assumptions!$B$37)*F10),F10)</f>
        <v>23361.220574025</v>
      </c>
      <c r="H10" s="12" t="n">
        <f aca="false">MAX(0,(H9-MIN(MAX(IF(2&lt;30,$D$4*(1+Assumptions!$B$10)^2,0),IF(A9&lt;=70,Assumptions!$B$36,Assumptions!$B$37)*H9),H9))*(1+Assumptions!$B$35))</f>
        <v>396366.575802325</v>
      </c>
      <c r="I10" s="12" t="n">
        <f aca="false">MIN(MAX(IF(3&lt;30,$D$4*(1+Assumptions!$B$10)^3,0),IF(A10&lt;=70,Assumptions!$B$36,Assumptions!$B$37)*H10),H10)</f>
        <v>20706.7457086492</v>
      </c>
      <c r="J10" s="12" t="n">
        <f aca="false">MAX(0,(J9-MIN(MAX(IF(2&lt;35,$E$4*(1+Assumptions!$B$10)^2,0),IF(A9&lt;=70,Assumptions!$B$36,Assumptions!$B$37)*J9),J9))*(1+Assumptions!$B$35))</f>
        <v>402269.734278924</v>
      </c>
      <c r="K10" s="12" t="n">
        <f aca="false">MIN(MAX(IF(3&lt;35,$E$4*(1+Assumptions!$B$10)^3,0),IF(A10&lt;=70,Assumptions!$B$36,Assumptions!$B$37)*J10),J10)</f>
        <v>18847.8797110529</v>
      </c>
      <c r="L10" s="12" t="n">
        <f aca="false">MAX(E10,G10,I10,K10)</f>
        <v>23361.220574025</v>
      </c>
      <c r="M10" s="5" t="str">
        <f aca="false">IF(A10&gt;=85,IF(C10&gt;=L10,"PASS","FAIL"),"")</f>
        <v/>
      </c>
    </row>
    <row r="11" customFormat="false" ht="15" hidden="false" customHeight="true" outlineLevel="0" collapsed="false">
      <c r="A11" s="74" t="n">
        <v>69</v>
      </c>
      <c r="B11" s="12" t="n">
        <f aca="false">MAX(0,(B10-IF(A10&lt;Assumptions!$B$5,MAX(IF(A10&lt;=70,Assumptions!$B$36,Assumptions!$B$37)*B10,Pricing!$B$14),IF(A10&lt;=70,Assumptions!$B$36,Assumptions!$B$37)*B10))*(1+Assumptions!$B$35))</f>
        <v>411854.30977194</v>
      </c>
      <c r="C11" s="12" t="n">
        <f aca="false">IF(A11&lt;Assumptions!$B$5,MAX(0,MAX(IF(A11&lt;=70,Assumptions!$B$36,Assumptions!$B$37)*B11,Pricing!$B$14)-Pricing!$B$14),IF(B11&gt;0,IF(A11&lt;=70,Assumptions!$B$36,Assumptions!$B$37)*B11,0)+Assumptions!$B$9*(1+Assumptions!$B$10)^4)</f>
        <v>4158.10667946741</v>
      </c>
      <c r="D11" s="12" t="n">
        <f aca="false">MAX(0,(D10-IF(A10&lt;=70,Assumptions!$B$36,Assumptions!$B$37)*D10)*(1+Assumptions!$B$35))</f>
        <v>411854.30977194</v>
      </c>
      <c r="E11" s="12" t="n">
        <f aca="false">IF(A11&lt;=70,Assumptions!$B$36,Assumptions!$B$37)*D11</f>
        <v>16474.1723908776</v>
      </c>
      <c r="F11" s="12" t="n">
        <f aca="false">MAX(0,(F10-MIN(MAX(IF(3&lt;25,$C$4*(1+Assumptions!$B$10)^3,0),IF(A10&lt;=70,Assumptions!$B$36,Assumptions!$B$37)*F10),F10))*(1+Assumptions!$B$35))</f>
        <v>382549.176831335</v>
      </c>
      <c r="G11" s="12" t="n">
        <f aca="false">MIN(MAX(IF(4&lt;25,$C$4*(1+Assumptions!$B$10)^4,0),IF(A11&lt;=70,Assumptions!$B$36,Assumptions!$B$37)*F11),F11)</f>
        <v>23828.4449855055</v>
      </c>
      <c r="H11" s="12" t="n">
        <f aca="false">MAX(0,(H10-MIN(MAX(IF(3&lt;30,$D$4*(1+Assumptions!$B$10)^3,0),IF(A10&lt;=70,Assumptions!$B$36,Assumptions!$B$37)*H10),H10))*(1+Assumptions!$B$35))</f>
        <v>394179.859717294</v>
      </c>
      <c r="I11" s="12" t="n">
        <f aca="false">MIN(MAX(IF(4&lt;30,$D$4*(1+Assumptions!$B$10)^4,0),IF(A11&lt;=70,Assumptions!$B$36,Assumptions!$B$37)*H11),H11)</f>
        <v>21120.8806228222</v>
      </c>
      <c r="J11" s="12" t="n">
        <f aca="false">MAX(0,(J10-MIN(MAX(IF(3&lt;35,$E$4*(1+Assumptions!$B$10)^3,0),IF(A10&lt;=70,Assumptions!$B$36,Assumptions!$B$37)*J10),J10))*(1+Assumptions!$B$35))</f>
        <v>402324.551998068</v>
      </c>
      <c r="K11" s="12" t="n">
        <f aca="false">MIN(MAX(IF(4&lt;35,$E$4*(1+Assumptions!$B$10)^4,0),IF(A11&lt;=70,Assumptions!$B$36,Assumptions!$B$37)*J11),J11)</f>
        <v>19224.8373052739</v>
      </c>
      <c r="L11" s="12" t="n">
        <f aca="false">MAX(E11,G11,I11,K11)</f>
        <v>23828.4449855055</v>
      </c>
      <c r="M11" s="5" t="str">
        <f aca="false">IF(A11&gt;=85,IF(C11&gt;=L11,"PASS","FAIL"),"")</f>
        <v/>
      </c>
    </row>
    <row r="12" customFormat="false" ht="15" hidden="false" customHeight="true" outlineLevel="0" collapsed="false">
      <c r="A12" s="74" t="n">
        <v>70</v>
      </c>
      <c r="B12" s="12" t="n">
        <f aca="false">MAX(0,(B11-IF(A11&lt;Assumptions!$B$5,MAX(IF(A11&lt;=70,Assumptions!$B$36,Assumptions!$B$37)*B11,Pricing!$B$14),IF(A11&lt;=70,Assumptions!$B$36,Assumptions!$B$37)*B11))*(1+Assumptions!$B$35))</f>
        <v>414872.378153949</v>
      </c>
      <c r="C12" s="12" t="n">
        <f aca="false">IF(A12&lt;Assumptions!$B$5,MAX(0,MAX(IF(A12&lt;=70,Assumptions!$B$36,Assumptions!$B$37)*B12,Pricing!$B$14)-Pricing!$B$14),IF(B12&gt;0,IF(A12&lt;=70,Assumptions!$B$36,Assumptions!$B$37)*B12,0)+Assumptions!$B$9*(1+Assumptions!$B$10)^5)</f>
        <v>4278.82941474776</v>
      </c>
      <c r="D12" s="12" t="n">
        <f aca="false">MAX(0,(D11-IF(A11&lt;=70,Assumptions!$B$36,Assumptions!$B$37)*D11)*(1+Assumptions!$B$35))</f>
        <v>414872.378153949</v>
      </c>
      <c r="E12" s="12" t="n">
        <f aca="false">IF(A12&lt;=70,Assumptions!$B$36,Assumptions!$B$37)*D12</f>
        <v>16594.895126158</v>
      </c>
      <c r="F12" s="12" t="n">
        <f aca="false">MAX(0,(F11-MIN(MAX(IF(4&lt;25,$C$4*(1+Assumptions!$B$10)^4,0),IF(A11&lt;=70,Assumptions!$B$36,Assumptions!$B$37)*F11),F11))*(1+Assumptions!$B$35))</f>
        <v>376405.663925828</v>
      </c>
      <c r="G12" s="12" t="n">
        <f aca="false">MIN(MAX(IF(5&lt;25,$C$4*(1+Assumptions!$B$10)^5,0),IF(A12&lt;=70,Assumptions!$B$36,Assumptions!$B$37)*F12),F12)</f>
        <v>24305.0138852156</v>
      </c>
      <c r="H12" s="12" t="n">
        <f aca="false">MAX(0,(H11-MIN(MAX(IF(4&lt;30,$D$4*(1+Assumptions!$B$10)^4,0),IF(A11&lt;=70,Assumptions!$B$36,Assumptions!$B$37)*H11),H11))*(1+Assumptions!$B$35))</f>
        <v>391450.786763829</v>
      </c>
      <c r="I12" s="12" t="n">
        <f aca="false">MIN(MAX(IF(5&lt;30,$D$4*(1+Assumptions!$B$10)^5,0),IF(A12&lt;=70,Assumptions!$B$36,Assumptions!$B$37)*H12),H12)</f>
        <v>21543.2982352787</v>
      </c>
      <c r="J12" s="12" t="n">
        <f aca="false">MAX(0,(J11-MIN(MAX(IF(4&lt;35,$E$4*(1+Assumptions!$B$10)^4,0),IF(A11&lt;=70,Assumptions!$B$36,Assumptions!$B$37)*J11),J11))*(1+Assumptions!$B$35))</f>
        <v>401986.530627148</v>
      </c>
      <c r="K12" s="12" t="n">
        <f aca="false">MIN(MAX(IF(5&lt;35,$E$4*(1+Assumptions!$B$10)^5,0),IF(A12&lt;=70,Assumptions!$B$36,Assumptions!$B$37)*J12),J12)</f>
        <v>19609.3340513794</v>
      </c>
      <c r="L12" s="12" t="n">
        <f aca="false">MAX(E12,G12,I12,K12)</f>
        <v>24305.0138852156</v>
      </c>
      <c r="M12" s="5" t="str">
        <f aca="false">IF(A12&gt;=85,IF(C12&gt;=L12,"PASS","FAIL"),"")</f>
        <v/>
      </c>
    </row>
    <row r="13" customFormat="false" ht="15" hidden="false" customHeight="true" outlineLevel="0" collapsed="false">
      <c r="A13" s="74" t="n">
        <v>71</v>
      </c>
      <c r="B13" s="12" t="n">
        <f aca="false">MAX(0,(B12-IF(A12&lt;Assumptions!$B$5,MAX(IF(A12&lt;=70,Assumptions!$B$36,Assumptions!$B$37)*B12,Pricing!$B$14),IF(A12&lt;=70,Assumptions!$B$36,Assumptions!$B$37)*B12))*(1+Assumptions!$B$35))</f>
        <v>417912.562941061</v>
      </c>
      <c r="C13" s="12" t="n">
        <f aca="false">IF(A13&lt;Assumptions!$B$5,MAX(0,MAX(IF(A13&lt;=70,Assumptions!$B$36,Assumptions!$B$37)*B13,Pricing!$B$14)-Pricing!$B$14),IF(B13&gt;0,IF(A13&lt;=70,Assumptions!$B$36,Assumptions!$B$37)*B13,0)+Assumptions!$B$9*(1+Assumptions!$B$10)^6)</f>
        <v>8579.56243564286</v>
      </c>
      <c r="D13" s="12" t="n">
        <f aca="false">MAX(0,(D12-IF(A12&lt;=70,Assumptions!$B$36,Assumptions!$B$37)*D12)*(1+Assumptions!$B$35))</f>
        <v>417912.562941061</v>
      </c>
      <c r="E13" s="12" t="n">
        <f aca="false">IF(A13&lt;=70,Assumptions!$B$36,Assumptions!$B$37)*D13</f>
        <v>20895.6281470531</v>
      </c>
      <c r="F13" s="12" t="n">
        <f aca="false">MAX(0,(F12-MIN(MAX(IF(5&lt;25,$C$4*(1+Assumptions!$B$10)^5,0),IF(A12&lt;=70,Assumptions!$B$36,Assumptions!$B$37)*F12),F12))*(1+Assumptions!$B$35))</f>
        <v>369459.212087615</v>
      </c>
      <c r="G13" s="12" t="n">
        <f aca="false">MIN(MAX(IF(6&lt;25,$C$4*(1+Assumptions!$B$10)^6,0),IF(A13&lt;=70,Assumptions!$B$36,Assumptions!$B$37)*F13),F13)</f>
        <v>24791.1141629199</v>
      </c>
      <c r="H13" s="12" t="n">
        <f aca="false">MAX(0,(H12-MIN(MAX(IF(5&lt;30,$D$4*(1+Assumptions!$B$10)^5,0),IF(A12&lt;=70,Assumptions!$B$36,Assumptions!$B$37)*H12),H12))*(1+Assumptions!$B$35))</f>
        <v>388143.927713008</v>
      </c>
      <c r="I13" s="12" t="n">
        <f aca="false">MIN(MAX(IF(6&lt;30,$D$4*(1+Assumptions!$B$10)^6,0),IF(A13&lt;=70,Assumptions!$B$36,Assumptions!$B$37)*H13),H13)</f>
        <v>21974.1641999842</v>
      </c>
      <c r="J13" s="12" t="n">
        <f aca="false">MAX(0,(J12-MIN(MAX(IF(5&lt;35,$E$4*(1+Assumptions!$B$10)^5,0),IF(A12&lt;=70,Assumptions!$B$36,Assumptions!$B$37)*J12),J12))*(1+Assumptions!$B$35))</f>
        <v>401228.392366954</v>
      </c>
      <c r="K13" s="12" t="n">
        <f aca="false">MIN(MAX(IF(6&lt;35,$E$4*(1+Assumptions!$B$10)^6,0),IF(A13&lt;=70,Assumptions!$B$36,Assumptions!$B$37)*J13),J13)</f>
        <v>20061.4196183477</v>
      </c>
      <c r="L13" s="12" t="n">
        <f aca="false">MAX(E13,G13,I13,K13)</f>
        <v>24791.1141629199</v>
      </c>
      <c r="M13" s="5" t="str">
        <f aca="false">IF(A13&gt;=85,IF(C13&gt;=L13,"PASS","FAIL"),"")</f>
        <v/>
      </c>
    </row>
    <row r="14" customFormat="false" ht="15" hidden="false" customHeight="true" outlineLevel="0" collapsed="false">
      <c r="A14" s="74" t="n">
        <v>72</v>
      </c>
      <c r="B14" s="12" t="n">
        <f aca="false">MAX(0,(B13-IF(A13&lt;Assumptions!$B$5,MAX(IF(A13&lt;=70,Assumptions!$B$36,Assumptions!$B$37)*B13,Pricing!$B$14),IF(A13&lt;=70,Assumptions!$B$36,Assumptions!$B$37)*B13))*(1+Assumptions!$B$35))</f>
        <v>416589.869679353</v>
      </c>
      <c r="C14" s="12" t="n">
        <f aca="false">IF(A14&lt;Assumptions!$B$5,MAX(0,MAX(IF(A14&lt;=70,Assumptions!$B$36,Assumptions!$B$37)*B14,Pricing!$B$14)-Pricing!$B$14),IF(B14&gt;0,IF(A14&lt;=70,Assumptions!$B$36,Assumptions!$B$37)*B14,0)+Assumptions!$B$9*(1+Assumptions!$B$10)^7)</f>
        <v>8513.42777255744</v>
      </c>
      <c r="D14" s="12" t="n">
        <f aca="false">MAX(0,(D13-IF(A13&lt;=70,Assumptions!$B$36,Assumptions!$B$37)*D13)*(1+Assumptions!$B$35))</f>
        <v>416589.869679353</v>
      </c>
      <c r="E14" s="12" t="n">
        <f aca="false">IF(A14&lt;=70,Assumptions!$B$36,Assumptions!$B$37)*D14</f>
        <v>20829.4934839676</v>
      </c>
      <c r="F14" s="12" t="n">
        <f aca="false">MAX(0,(F13-MIN(MAX(IF(6&lt;25,$C$4*(1+Assumptions!$B$10)^6,0),IF(A13&lt;=70,Assumptions!$B$36,Assumptions!$B$37)*F13),F13))*(1+Assumptions!$B$35))</f>
        <v>361660.235152383</v>
      </c>
      <c r="G14" s="12" t="n">
        <f aca="false">MIN(MAX(IF(7&lt;25,$C$4*(1+Assumptions!$B$10)^7,0),IF(A14&lt;=70,Assumptions!$B$36,Assumptions!$B$37)*F14),F14)</f>
        <v>25286.9364461783</v>
      </c>
      <c r="H14" s="12" t="n">
        <f aca="false">MAX(0,(H13-MIN(MAX(IF(6&lt;30,$D$4*(1+Assumptions!$B$10)^6,0),IF(A13&lt;=70,Assumptions!$B$36,Assumptions!$B$37)*H13),H13))*(1+Assumptions!$B$35))</f>
        <v>384221.932854215</v>
      </c>
      <c r="I14" s="12" t="n">
        <f aca="false">MIN(MAX(IF(7&lt;30,$D$4*(1+Assumptions!$B$10)^7,0),IF(A14&lt;=70,Assumptions!$B$36,Assumptions!$B$37)*H14),H14)</f>
        <v>22413.6474839839</v>
      </c>
      <c r="J14" s="12" t="n">
        <f aca="false">MAX(0,(J13-MIN(MAX(IF(6&lt;35,$E$4*(1+Assumptions!$B$10)^6,0),IF(A13&lt;=70,Assumptions!$B$36,Assumptions!$B$37)*J13),J13))*(1+Assumptions!$B$35))</f>
        <v>399958.504505113</v>
      </c>
      <c r="K14" s="12" t="n">
        <f aca="false">MIN(MAX(IF(7&lt;35,$E$4*(1+Assumptions!$B$10)^7,0),IF(A14&lt;=70,Assumptions!$B$36,Assumptions!$B$37)*J14),J14)</f>
        <v>20401.5511470551</v>
      </c>
      <c r="L14" s="12" t="n">
        <f aca="false">MAX(E14,G14,I14,K14)</f>
        <v>25286.9364461783</v>
      </c>
      <c r="M14" s="5" t="str">
        <f aca="false">IF(A14&gt;=85,IF(C14&gt;=L14,"PASS","FAIL"),"")</f>
        <v/>
      </c>
    </row>
    <row r="15" customFormat="false" ht="15" hidden="false" customHeight="true" outlineLevel="0" collapsed="false">
      <c r="A15" s="74" t="n">
        <v>73</v>
      </c>
      <c r="B15" s="12" t="n">
        <f aca="false">MAX(0,(B14-IF(A14&lt;Assumptions!$B$5,MAX(IF(A14&lt;=70,Assumptions!$B$36,Assumptions!$B$37)*B14,Pricing!$B$14),IF(A14&lt;=70,Assumptions!$B$36,Assumptions!$B$37)*B14))*(1+Assumptions!$B$35))</f>
        <v>415271.362741818</v>
      </c>
      <c r="C15" s="12" t="n">
        <f aca="false">IF(A15&lt;Assumptions!$B$5,MAX(0,MAX(IF(A15&lt;=70,Assumptions!$B$36,Assumptions!$B$37)*B15,Pricing!$B$14)-Pricing!$B$14),IF(B15&gt;0,IF(A15&lt;=70,Assumptions!$B$36,Assumptions!$B$37)*B15,0)+Assumptions!$B$9*(1+Assumptions!$B$10)^8)</f>
        <v>8447.50242568067</v>
      </c>
      <c r="D15" s="12" t="n">
        <f aca="false">MAX(0,(D14-IF(A14&lt;=70,Assumptions!$B$36,Assumptions!$B$37)*D14)*(1+Assumptions!$B$35))</f>
        <v>415271.362741818</v>
      </c>
      <c r="E15" s="12" t="n">
        <f aca="false">IF(A15&lt;=70,Assumptions!$B$36,Assumptions!$B$37)*D15</f>
        <v>20763.5681370909</v>
      </c>
      <c r="F15" s="12" t="n">
        <f aca="false">MAX(0,(F14-MIN(MAX(IF(7&lt;25,$C$4*(1+Assumptions!$B$10)^7,0),IF(A14&lt;=70,Assumptions!$B$36,Assumptions!$B$37)*F14),F14))*(1+Assumptions!$B$35))</f>
        <v>352956.50233242</v>
      </c>
      <c r="G15" s="12" t="n">
        <f aca="false">MIN(MAX(IF(8&lt;25,$C$4*(1+Assumptions!$B$10)^8,0),IF(A15&lt;=70,Assumptions!$B$36,Assumptions!$B$37)*F15),F15)</f>
        <v>25792.6751751019</v>
      </c>
      <c r="H15" s="12" t="n">
        <f aca="false">MAX(0,(H14-MIN(MAX(IF(7&lt;30,$D$4*(1+Assumptions!$B$10)^7,0),IF(A14&lt;=70,Assumptions!$B$36,Assumptions!$B$37)*H14),H14))*(1+Assumptions!$B$35))</f>
        <v>379645.433838984</v>
      </c>
      <c r="I15" s="12" t="n">
        <f aca="false">MIN(MAX(IF(8&lt;30,$D$4*(1+Assumptions!$B$10)^8,0),IF(A15&lt;=70,Assumptions!$B$36,Assumptions!$B$37)*H15),H15)</f>
        <v>22861.9204336636</v>
      </c>
      <c r="J15" s="12" t="n">
        <f aca="false">MAX(0,(J14-MIN(MAX(IF(7&lt;35,$E$4*(1+Assumptions!$B$10)^7,0),IF(A14&lt;=70,Assumptions!$B$36,Assumptions!$B$37)*J14),J14))*(1+Assumptions!$B$35))</f>
        <v>398269.11115861</v>
      </c>
      <c r="K15" s="12" t="n">
        <f aca="false">MIN(MAX(IF(8&lt;35,$E$4*(1+Assumptions!$B$10)^8,0),IF(A15&lt;=70,Assumptions!$B$36,Assumptions!$B$37)*J15),J15)</f>
        <v>20809.5821699962</v>
      </c>
      <c r="L15" s="12" t="n">
        <f aca="false">MAX(E15,G15,I15,K15)</f>
        <v>25792.6751751019</v>
      </c>
      <c r="M15" s="5" t="str">
        <f aca="false">IF(A15&gt;=85,IF(C15&gt;=L15,"PASS","FAIL"),"")</f>
        <v/>
      </c>
    </row>
    <row r="16" customFormat="false" ht="15" hidden="false" customHeight="true" outlineLevel="0" collapsed="false">
      <c r="A16" s="74" t="n">
        <v>74</v>
      </c>
      <c r="B16" s="12" t="n">
        <f aca="false">MAX(0,(B15-IF(A15&lt;Assumptions!$B$5,MAX(IF(A15&lt;=70,Assumptions!$B$36,Assumptions!$B$37)*B15,Pricing!$B$14),IF(A15&lt;=70,Assumptions!$B$36,Assumptions!$B$37)*B15))*(1+Assumptions!$B$35))</f>
        <v>413957.02887874</v>
      </c>
      <c r="C16" s="12" t="n">
        <f aca="false">IF(A16&lt;Assumptions!$B$5,MAX(0,MAX(IF(A16&lt;=70,Assumptions!$B$36,Assumptions!$B$37)*B16,Pricing!$B$14)-Pricing!$B$14),IF(B16&gt;0,IF(A16&lt;=70,Assumptions!$B$36,Assumptions!$B$37)*B16,0)+Assumptions!$B$9*(1+Assumptions!$B$10)^9)</f>
        <v>8381.78573252678</v>
      </c>
      <c r="D16" s="12" t="n">
        <f aca="false">MAX(0,(D15-IF(A15&lt;=70,Assumptions!$B$36,Assumptions!$B$37)*D15)*(1+Assumptions!$B$35))</f>
        <v>413957.02887874</v>
      </c>
      <c r="E16" s="12" t="n">
        <f aca="false">IF(A16&lt;=70,Assumptions!$B$36,Assumptions!$B$37)*D16</f>
        <v>20697.851443937</v>
      </c>
      <c r="F16" s="12" t="n">
        <f aca="false">MAX(0,(F15-MIN(MAX(IF(8&lt;25,$C$4*(1+Assumptions!$B$10)^8,0),IF(A15&lt;=70,Assumptions!$B$36,Assumptions!$B$37)*F15),F15))*(1+Assumptions!$B$35))</f>
        <v>343293.003836174</v>
      </c>
      <c r="G16" s="12" t="n">
        <f aca="false">MIN(MAX(IF(9&lt;25,$C$4*(1+Assumptions!$B$10)^9,0),IF(A16&lt;=70,Assumptions!$B$36,Assumptions!$B$37)*F16),F16)</f>
        <v>26308.5286786039</v>
      </c>
      <c r="H16" s="12" t="n">
        <f aca="false">MAX(0,(H15-MIN(MAX(IF(8&lt;30,$D$4*(1+Assumptions!$B$10)^8,0),IF(A15&lt;=70,Assumptions!$B$36,Assumptions!$B$37)*H15),H15))*(1+Assumptions!$B$35))</f>
        <v>374372.940616203</v>
      </c>
      <c r="I16" s="12" t="n">
        <f aca="false">MIN(MAX(IF(9&lt;30,$D$4*(1+Assumptions!$B$10)^9,0),IF(A16&lt;=70,Assumptions!$B$36,Assumptions!$B$37)*H16),H16)</f>
        <v>23319.1588423369</v>
      </c>
      <c r="J16" s="12" t="n">
        <f aca="false">MAX(0,(J15-MIN(MAX(IF(8&lt;35,$E$4*(1+Assumptions!$B$10)^8,0),IF(A15&lt;=70,Assumptions!$B$36,Assumptions!$B$37)*J15),J15))*(1+Assumptions!$B$35))</f>
        <v>396068.283767752</v>
      </c>
      <c r="K16" s="12" t="n">
        <f aca="false">MIN(MAX(IF(9&lt;35,$E$4*(1+Assumptions!$B$10)^9,0),IF(A16&lt;=70,Assumptions!$B$36,Assumptions!$B$37)*J16),J16)</f>
        <v>21225.7738133962</v>
      </c>
      <c r="L16" s="12" t="n">
        <f aca="false">MAX(E16,G16,I16,K16)</f>
        <v>26308.5286786039</v>
      </c>
      <c r="M16" s="5" t="str">
        <f aca="false">IF(A16&gt;=85,IF(C16&gt;=L16,"PASS","FAIL"),"")</f>
        <v/>
      </c>
    </row>
    <row r="17" customFormat="false" ht="15" hidden="false" customHeight="true" outlineLevel="0" collapsed="false">
      <c r="A17" s="74" t="n">
        <v>75</v>
      </c>
      <c r="B17" s="12" t="n">
        <f aca="false">MAX(0,(B16-IF(A16&lt;Assumptions!$B$5,MAX(IF(A16&lt;=70,Assumptions!$B$36,Assumptions!$B$37)*B16,Pricing!$B$14),IF(A16&lt;=70,Assumptions!$B$36,Assumptions!$B$37)*B16))*(1+Assumptions!$B$35))</f>
        <v>412646.854882338</v>
      </c>
      <c r="C17" s="12" t="n">
        <f aca="false">IF(A17&lt;Assumptions!$B$5,MAX(0,MAX(IF(A17&lt;=70,Assumptions!$B$36,Assumptions!$B$37)*B17,Pricing!$B$14)-Pricing!$B$14),IF(B17&gt;0,IF(A17&lt;=70,Assumptions!$B$36,Assumptions!$B$37)*B17,0)+Assumptions!$B$9*(1+Assumptions!$B$10)^10)</f>
        <v>8316.27703270671</v>
      </c>
      <c r="D17" s="12" t="n">
        <f aca="false">MAX(0,(D16-IF(A16&lt;=70,Assumptions!$B$36,Assumptions!$B$37)*D16)*(1+Assumptions!$B$35))</f>
        <v>412646.854882338</v>
      </c>
      <c r="E17" s="12" t="n">
        <f aca="false">IF(A17&lt;=70,Assumptions!$B$36,Assumptions!$B$37)*D17</f>
        <v>20632.3427441169</v>
      </c>
      <c r="F17" s="12" t="n">
        <f aca="false">MAX(0,(F16-MIN(MAX(IF(9&lt;25,$C$4*(1+Assumptions!$B$10)^9,0),IF(A16&lt;=70,Assumptions!$B$36,Assumptions!$B$37)*F16),F16))*(1+Assumptions!$B$35))</f>
        <v>332611.809782838</v>
      </c>
      <c r="G17" s="12" t="n">
        <f aca="false">MIN(MAX(IF(10&lt;25,$C$4*(1+Assumptions!$B$10)^10,0),IF(A17&lt;=70,Assumptions!$B$36,Assumptions!$B$37)*F17),F17)</f>
        <v>26834.699252176</v>
      </c>
      <c r="H17" s="12" t="n">
        <f aca="false">MAX(0,(H16-MIN(MAX(IF(9&lt;30,$D$4*(1+Assumptions!$B$10)^9,0),IF(A16&lt;=70,Assumptions!$B$36,Assumptions!$B$37)*H16),H16))*(1+Assumptions!$B$35))</f>
        <v>368360.733215317</v>
      </c>
      <c r="I17" s="12" t="n">
        <f aca="false">MIN(MAX(IF(10&lt;30,$D$4*(1+Assumptions!$B$10)^10,0),IF(A17&lt;=70,Assumptions!$B$36,Assumptions!$B$37)*H17),H17)</f>
        <v>23785.5420191836</v>
      </c>
      <c r="J17" s="12" t="n">
        <f aca="false">MAX(0,(J16-MIN(MAX(IF(9&lt;35,$E$4*(1+Assumptions!$B$10)^9,0),IF(A16&lt;=70,Assumptions!$B$36,Assumptions!$B$37)*J16),J16))*(1+Assumptions!$B$35))</f>
        <v>393322.245695106</v>
      </c>
      <c r="K17" s="12" t="n">
        <f aca="false">MIN(MAX(IF(10&lt;35,$E$4*(1+Assumptions!$B$10)^10,0),IF(A17&lt;=70,Assumptions!$B$36,Assumptions!$B$37)*J17),J17)</f>
        <v>21650.2892896641</v>
      </c>
      <c r="L17" s="12" t="n">
        <f aca="false">MAX(E17,G17,I17,K17)</f>
        <v>26834.699252176</v>
      </c>
      <c r="M17" s="5" t="str">
        <f aca="false">IF(A17&gt;=85,IF(C17&gt;=L17,"PASS","FAIL"),"")</f>
        <v/>
      </c>
    </row>
    <row r="18" customFormat="false" ht="15" hidden="false" customHeight="true" outlineLevel="0" collapsed="false">
      <c r="A18" s="74" t="n">
        <v>76</v>
      </c>
      <c r="B18" s="12" t="n">
        <f aca="false">MAX(0,(B17-IF(A17&lt;Assumptions!$B$5,MAX(IF(A17&lt;=70,Assumptions!$B$36,Assumptions!$B$37)*B17,Pricing!$B$14),IF(A17&lt;=70,Assumptions!$B$36,Assumptions!$B$37)*B17))*(1+Assumptions!$B$35))</f>
        <v>411340.827586636</v>
      </c>
      <c r="C18" s="12" t="n">
        <f aca="false">IF(A18&lt;Assumptions!$B$5,MAX(0,MAX(IF(A18&lt;=70,Assumptions!$B$36,Assumptions!$B$37)*B18,Pricing!$B$14)-Pricing!$B$14),IF(B18&gt;0,IF(A18&lt;=70,Assumptions!$B$36,Assumptions!$B$37)*B18,0)+Assumptions!$B$9*(1+Assumptions!$B$10)^11)</f>
        <v>8250.97566792158</v>
      </c>
      <c r="D18" s="12" t="n">
        <f aca="false">MAX(0,(D17-IF(A17&lt;=70,Assumptions!$B$36,Assumptions!$B$37)*D17)*(1+Assumptions!$B$35))</f>
        <v>411340.827586636</v>
      </c>
      <c r="E18" s="12" t="n">
        <f aca="false">IF(A18&lt;=70,Assumptions!$B$36,Assumptions!$B$37)*D18</f>
        <v>20567.0413793318</v>
      </c>
      <c r="F18" s="12" t="n">
        <f aca="false">MAX(0,(F17-MIN(MAX(IF(10&lt;25,$C$4*(1+Assumptions!$B$10)^10,0),IF(A17&lt;=70,Assumptions!$B$36,Assumptions!$B$37)*F17),F17))*(1+Assumptions!$B$35))</f>
        <v>320851.922079824</v>
      </c>
      <c r="G18" s="12" t="n">
        <f aca="false">MIN(MAX(IF(11&lt;25,$C$4*(1+Assumptions!$B$10)^11,0),IF(A18&lt;=70,Assumptions!$B$36,Assumptions!$B$37)*F18),F18)</f>
        <v>27371.3932372196</v>
      </c>
      <c r="H18" s="12" t="n">
        <f aca="false">MAX(0,(H17-MIN(MAX(IF(10&lt;30,$D$4*(1+Assumptions!$B$10)^10,0),IF(A17&lt;=70,Assumptions!$B$36,Assumptions!$B$37)*H17),H17))*(1+Assumptions!$B$35))</f>
        <v>361562.748122103</v>
      </c>
      <c r="I18" s="12" t="n">
        <f aca="false">MIN(MAX(IF(11&lt;30,$D$4*(1+Assumptions!$B$10)^11,0),IF(A18&lt;=70,Assumptions!$B$36,Assumptions!$B$37)*H18),H18)</f>
        <v>24261.2528595673</v>
      </c>
      <c r="J18" s="12" t="n">
        <f aca="false">MAX(0,(J17-MIN(MAX(IF(10&lt;35,$E$4*(1+Assumptions!$B$10)^10,0),IF(A17&lt;=70,Assumptions!$B$36,Assumptions!$B$37)*J17),J17))*(1+Assumptions!$B$35))</f>
        <v>389995.38385623</v>
      </c>
      <c r="K18" s="12" t="n">
        <f aca="false">MIN(MAX(IF(11&lt;35,$E$4*(1+Assumptions!$B$10)^11,0),IF(A18&lt;=70,Assumptions!$B$36,Assumptions!$B$37)*J18),J18)</f>
        <v>22083.2950754574</v>
      </c>
      <c r="L18" s="12" t="n">
        <f aca="false">MAX(E18,G18,I18,K18)</f>
        <v>27371.3932372196</v>
      </c>
      <c r="M18" s="5" t="str">
        <f aca="false">IF(A18&gt;=85,IF(C18&gt;=L18,"PASS","FAIL"),"")</f>
        <v/>
      </c>
    </row>
    <row r="19" customFormat="false" ht="15" hidden="false" customHeight="true" outlineLevel="0" collapsed="false">
      <c r="A19" s="74" t="n">
        <v>77</v>
      </c>
      <c r="B19" s="12" t="n">
        <f aca="false">MAX(0,(B18-IF(A18&lt;Assumptions!$B$5,MAX(IF(A18&lt;=70,Assumptions!$B$36,Assumptions!$B$37)*B18,Pricing!$B$14),IF(A18&lt;=70,Assumptions!$B$36,Assumptions!$B$37)*B18))*(1+Assumptions!$B$35))</f>
        <v>410038.933867324</v>
      </c>
      <c r="C19" s="12" t="n">
        <f aca="false">IF(A19&lt;Assumptions!$B$5,MAX(0,MAX(IF(A19&lt;=70,Assumptions!$B$36,Assumptions!$B$37)*B19,Pricing!$B$14)-Pricing!$B$14),IF(B19&gt;0,IF(A19&lt;=70,Assumptions!$B$36,Assumptions!$B$37)*B19,0)+Assumptions!$B$9*(1+Assumptions!$B$10)^12)</f>
        <v>8185.880981956</v>
      </c>
      <c r="D19" s="12" t="n">
        <f aca="false">MAX(0,(D18-IF(A18&lt;=70,Assumptions!$B$36,Assumptions!$B$37)*D18)*(1+Assumptions!$B$35))</f>
        <v>410038.933867324</v>
      </c>
      <c r="E19" s="12" t="n">
        <f aca="false">IF(A19&lt;=70,Assumptions!$B$36,Assumptions!$B$37)*D19</f>
        <v>20501.9466933662</v>
      </c>
      <c r="F19" s="12" t="n">
        <f aca="false">MAX(0,(F18-MIN(MAX(IF(11&lt;25,$C$4*(1+Assumptions!$B$10)^11,0),IF(A18&lt;=70,Assumptions!$B$36,Assumptions!$B$37)*F18),F18))*(1+Assumptions!$B$35))</f>
        <v>307949.118914544</v>
      </c>
      <c r="G19" s="12" t="n">
        <f aca="false">MIN(MAX(IF(12&lt;25,$C$4*(1+Assumptions!$B$10)^12,0),IF(A19&lt;=70,Assumptions!$B$36,Assumptions!$B$37)*F19),F19)</f>
        <v>27918.8211019639</v>
      </c>
      <c r="H19" s="12" t="n">
        <f aca="false">MAX(0,(H18-MIN(MAX(IF(11&lt;30,$D$4*(1+Assumptions!$B$10)^11,0),IF(A18&lt;=70,Assumptions!$B$36,Assumptions!$B$37)*H18),H18))*(1+Assumptions!$B$35))</f>
        <v>353930.458978979</v>
      </c>
      <c r="I19" s="12" t="n">
        <f aca="false">MIN(MAX(IF(12&lt;30,$D$4*(1+Assumptions!$B$10)^12,0),IF(A19&lt;=70,Assumptions!$B$36,Assumptions!$B$37)*H19),H19)</f>
        <v>24746.4779167586</v>
      </c>
      <c r="J19" s="12" t="n">
        <f aca="false">MAX(0,(J18-MIN(MAX(IF(11&lt;35,$E$4*(1+Assumptions!$B$10)^11,0),IF(A18&lt;=70,Assumptions!$B$36,Assumptions!$B$37)*J18),J18))*(1+Assumptions!$B$35))</f>
        <v>386050.154757665</v>
      </c>
      <c r="K19" s="12" t="n">
        <f aca="false">MIN(MAX(IF(12&lt;35,$E$4*(1+Assumptions!$B$10)^12,0),IF(A19&lt;=70,Assumptions!$B$36,Assumptions!$B$37)*J19),J19)</f>
        <v>22524.9609769665</v>
      </c>
      <c r="L19" s="12" t="n">
        <f aca="false">MAX(E19,G19,I19,K19)</f>
        <v>27918.8211019639</v>
      </c>
      <c r="M19" s="5" t="str">
        <f aca="false">IF(A19&gt;=85,IF(C19&gt;=L19,"PASS","FAIL"),"")</f>
        <v/>
      </c>
    </row>
    <row r="20" customFormat="false" ht="15" hidden="false" customHeight="true" outlineLevel="0" collapsed="false">
      <c r="A20" s="74" t="n">
        <v>78</v>
      </c>
      <c r="B20" s="12" t="n">
        <f aca="false">MAX(0,(B19-IF(A19&lt;Assumptions!$B$5,MAX(IF(A19&lt;=70,Assumptions!$B$36,Assumptions!$B$37)*B19,Pricing!$B$14),IF(A19&lt;=70,Assumptions!$B$36,Assumptions!$B$37)*B19))*(1+Assumptions!$B$35))</f>
        <v>408741.160641634</v>
      </c>
      <c r="C20" s="12" t="n">
        <f aca="false">IF(A20&lt;Assumptions!$B$5,MAX(0,MAX(IF(A20&lt;=70,Assumptions!$B$36,Assumptions!$B$37)*B20,Pricing!$B$14)-Pricing!$B$14),IF(B20&gt;0,IF(A20&lt;=70,Assumptions!$B$36,Assumptions!$B$37)*B20,0)+Assumptions!$B$9*(1+Assumptions!$B$10)^13)</f>
        <v>8120.99232067149</v>
      </c>
      <c r="D20" s="12" t="n">
        <f aca="false">MAX(0,(D19-IF(A19&lt;=70,Assumptions!$B$36,Assumptions!$B$37)*D19)*(1+Assumptions!$B$35))</f>
        <v>408741.160641634</v>
      </c>
      <c r="E20" s="12" t="n">
        <f aca="false">IF(A20&lt;=70,Assumptions!$B$36,Assumptions!$B$37)*D20</f>
        <v>20437.0580320817</v>
      </c>
      <c r="F20" s="12" t="n">
        <f aca="false">MAX(0,(F19-MIN(MAX(IF(12&lt;25,$C$4*(1+Assumptions!$B$10)^12,0),IF(A19&lt;=70,Assumptions!$B$36,Assumptions!$B$37)*F19),F19))*(1+Assumptions!$B$35))</f>
        <v>293835.791494741</v>
      </c>
      <c r="G20" s="12" t="n">
        <f aca="false">MIN(MAX(IF(13&lt;25,$C$4*(1+Assumptions!$B$10)^13,0),IF(A20&lt;=70,Assumptions!$B$36,Assumptions!$B$37)*F20),F20)</f>
        <v>28477.1975240032</v>
      </c>
      <c r="H20" s="12" t="n">
        <f aca="false">MAX(0,(H19-MIN(MAX(IF(12&lt;30,$D$4*(1+Assumptions!$B$10)^12,0),IF(A19&lt;=70,Assumptions!$B$36,Assumptions!$B$37)*H19),H19))*(1+Assumptions!$B$35))</f>
        <v>345412.751328588</v>
      </c>
      <c r="I20" s="12" t="n">
        <f aca="false">MIN(MAX(IF(13&lt;30,$D$4*(1+Assumptions!$B$10)^13,0),IF(A20&lt;=70,Assumptions!$B$36,Assumptions!$B$37)*H20),H20)</f>
        <v>25241.4074750938</v>
      </c>
      <c r="J20" s="12" t="n">
        <f aca="false">MAX(0,(J19-MIN(MAX(IF(12&lt;35,$E$4*(1+Assumptions!$B$10)^12,0),IF(A19&lt;=70,Assumptions!$B$36,Assumptions!$B$37)*J19),J19))*(1+Assumptions!$B$35))</f>
        <v>381446.985834087</v>
      </c>
      <c r="K20" s="12" t="n">
        <f aca="false">MIN(MAX(IF(13&lt;35,$E$4*(1+Assumptions!$B$10)^13,0),IF(A20&lt;=70,Assumptions!$B$36,Assumptions!$B$37)*J20),J20)</f>
        <v>22975.4601965058</v>
      </c>
      <c r="L20" s="12" t="n">
        <f aca="false">MAX(E20,G20,I20,K20)</f>
        <v>28477.1975240032</v>
      </c>
      <c r="M20" s="5" t="str">
        <f aca="false">IF(A20&gt;=85,IF(C20&gt;=L20,"PASS","FAIL"),"")</f>
        <v/>
      </c>
    </row>
    <row r="21" customFormat="false" ht="15" hidden="false" customHeight="true" outlineLevel="0" collapsed="false">
      <c r="A21" s="74" t="n">
        <v>79</v>
      </c>
      <c r="B21" s="12" t="n">
        <f aca="false">MAX(0,(B20-IF(A20&lt;Assumptions!$B$5,MAX(IF(A20&lt;=70,Assumptions!$B$36,Assumptions!$B$37)*B20,Pricing!$B$14),IF(A20&lt;=70,Assumptions!$B$36,Assumptions!$B$37)*B20))*(1+Assumptions!$B$35))</f>
        <v>407447.494868203</v>
      </c>
      <c r="C21" s="12" t="n">
        <f aca="false">IF(A21&lt;Assumptions!$B$5,MAX(0,MAX(IF(A21&lt;=70,Assumptions!$B$36,Assumptions!$B$37)*B21,Pricing!$B$14)-Pricing!$B$14),IF(B21&gt;0,IF(A21&lt;=70,Assumptions!$B$36,Assumptions!$B$37)*B21,0)+Assumptions!$B$9*(1+Assumptions!$B$10)^14)</f>
        <v>8056.30903199995</v>
      </c>
      <c r="D21" s="12" t="n">
        <f aca="false">MAX(0,(D20-IF(A20&lt;=70,Assumptions!$B$36,Assumptions!$B$37)*D20)*(1+Assumptions!$B$35))</f>
        <v>407447.494868203</v>
      </c>
      <c r="E21" s="12" t="n">
        <f aca="false">IF(A21&lt;=70,Assumptions!$B$36,Assumptions!$B$37)*D21</f>
        <v>20372.3747434102</v>
      </c>
      <c r="F21" s="12" t="n">
        <f aca="false">MAX(0,(F20-MIN(MAX(IF(13&lt;25,$C$4*(1+Assumptions!$B$10)^13,0),IF(A20&lt;=70,Assumptions!$B$36,Assumptions!$B$37)*F20),F20))*(1+Assumptions!$B$35))</f>
        <v>278440.772653495</v>
      </c>
      <c r="G21" s="12" t="n">
        <f aca="false">MIN(MAX(IF(14&lt;25,$C$4*(1+Assumptions!$B$10)^14,0),IF(A21&lt;=70,Assumptions!$B$36,Assumptions!$B$37)*F21),F21)</f>
        <v>29046.7414744833</v>
      </c>
      <c r="H21" s="12" t="n">
        <f aca="false">MAX(0,(H20-MIN(MAX(IF(13&lt;30,$D$4*(1+Assumptions!$B$10)^13,0),IF(A20&lt;=70,Assumptions!$B$36,Assumptions!$B$37)*H20),H20))*(1+Assumptions!$B$35))</f>
        <v>335955.791105471</v>
      </c>
      <c r="I21" s="12" t="n">
        <f aca="false">MIN(MAX(IF(14&lt;30,$D$4*(1+Assumptions!$B$10)^14,0),IF(A21&lt;=70,Assumptions!$B$36,Assumptions!$B$37)*H21),H21)</f>
        <v>25746.2356245957</v>
      </c>
      <c r="J21" s="12" t="n">
        <f aca="false">MAX(0,(J20-MIN(MAX(IF(13&lt;35,$E$4*(1+Assumptions!$B$10)^13,0),IF(A20&lt;=70,Assumptions!$B$36,Assumptions!$B$37)*J20),J20))*(1+Assumptions!$B$35))</f>
        <v>376144.171851514</v>
      </c>
      <c r="K21" s="12" t="n">
        <f aca="false">MIN(MAX(IF(14&lt;35,$E$4*(1+Assumptions!$B$10)^14,0),IF(A21&lt;=70,Assumptions!$B$36,Assumptions!$B$37)*J21),J21)</f>
        <v>23434.969400436</v>
      </c>
      <c r="L21" s="12" t="n">
        <f aca="false">MAX(E21,G21,I21,K21)</f>
        <v>29046.7414744833</v>
      </c>
      <c r="M21" s="5" t="str">
        <f aca="false">IF(A21&gt;=85,IF(C21&gt;=L21,"PASS","FAIL"),"")</f>
        <v/>
      </c>
    </row>
    <row r="22" customFormat="false" ht="15" hidden="false" customHeight="true" outlineLevel="0" collapsed="false">
      <c r="A22" s="74" t="n">
        <v>80</v>
      </c>
      <c r="B22" s="12" t="n">
        <f aca="false">MAX(0,(B21-IF(A21&lt;Assumptions!$B$5,MAX(IF(A21&lt;=70,Assumptions!$B$36,Assumptions!$B$37)*B21,Pricing!$B$14),IF(A21&lt;=70,Assumptions!$B$36,Assumptions!$B$37)*B21))*(1+Assumptions!$B$35))</f>
        <v>406157.923546945</v>
      </c>
      <c r="C22" s="12" t="n">
        <f aca="false">IF(A22&lt;Assumptions!$B$5,MAX(0,MAX(IF(A22&lt;=70,Assumptions!$B$36,Assumptions!$B$37)*B22,Pricing!$B$14)-Pricing!$B$14),IF(B22&gt;0,IF(A22&lt;=70,Assumptions!$B$36,Assumptions!$B$37)*B22,0)+Assumptions!$B$9*(1+Assumptions!$B$10)^15)</f>
        <v>41841.7895905333</v>
      </c>
      <c r="D22" s="12" t="n">
        <f aca="false">MAX(0,(D21-IF(A21&lt;=70,Assumptions!$B$36,Assumptions!$B$37)*D21)*(1+Assumptions!$B$35))</f>
        <v>406157.923546945</v>
      </c>
      <c r="E22" s="12" t="n">
        <f aca="false">IF(A22&lt;=70,Assumptions!$B$36,Assumptions!$B$37)*D22</f>
        <v>20307.8961773473</v>
      </c>
      <c r="F22" s="12" t="n">
        <f aca="false">MAX(0,(F21-MIN(MAX(IF(14&lt;25,$C$4*(1+Assumptions!$B$10)^14,0),IF(A21&lt;=70,Assumptions!$B$36,Assumptions!$B$37)*F21),F21))*(1+Assumptions!$B$35))</f>
        <v>261689.156916137</v>
      </c>
      <c r="G22" s="12" t="n">
        <f aca="false">MIN(MAX(IF(15&lt;25,$C$4*(1+Assumptions!$B$10)^15,0),IF(A22&lt;=70,Assumptions!$B$36,Assumptions!$B$37)*F22),F22)</f>
        <v>29627.676303973</v>
      </c>
      <c r="H22" s="12" t="n">
        <f aca="false">MAX(0,(H21-MIN(MAX(IF(14&lt;30,$D$4*(1+Assumptions!$B$10)^14,0),IF(A21&lt;=70,Assumptions!$B$36,Assumptions!$B$37)*H21),H21))*(1+Assumptions!$B$35))</f>
        <v>325502.886566082</v>
      </c>
      <c r="I22" s="12" t="n">
        <f aca="false">MIN(MAX(IF(15&lt;30,$D$4*(1+Assumptions!$B$10)^15,0),IF(A22&lt;=70,Assumptions!$B$36,Assumptions!$B$37)*H22),H22)</f>
        <v>26261.1603370876</v>
      </c>
      <c r="J22" s="12" t="n">
        <f aca="false">MAX(0,(J21-MIN(MAX(IF(14&lt;35,$E$4*(1+Assumptions!$B$10)^14,0),IF(A21&lt;=70,Assumptions!$B$36,Assumptions!$B$37)*J21),J21))*(1+Assumptions!$B$35))</f>
        <v>370097.766131916</v>
      </c>
      <c r="K22" s="12" t="n">
        <f aca="false">MIN(MAX(IF(15&lt;35,$E$4*(1+Assumptions!$B$10)^15,0),IF(A22&lt;=70,Assumptions!$B$36,Assumptions!$B$37)*J22),J22)</f>
        <v>23903.6687884447</v>
      </c>
      <c r="L22" s="12" t="n">
        <f aca="false">MAX(E22,G22,I22,K22)</f>
        <v>29627.676303973</v>
      </c>
      <c r="M22" s="5" t="str">
        <f aca="false">IF(A22&gt;=85,IF(C22&gt;=L22,"PASS","FAIL"),"")</f>
        <v/>
      </c>
    </row>
    <row r="23" customFormat="false" ht="15" hidden="false" customHeight="true" outlineLevel="0" collapsed="false">
      <c r="A23" s="74" t="n">
        <v>81</v>
      </c>
      <c r="B23" s="12" t="n">
        <f aca="false">MAX(0,(B22-IF(A22&lt;Assumptions!$B$5,MAX(IF(A22&lt;=70,Assumptions!$B$36,Assumptions!$B$37)*B22,Pricing!$B$14),IF(A22&lt;=70,Assumptions!$B$36,Assumptions!$B$37)*B22))*(1+Assumptions!$B$35))</f>
        <v>404872.433718919</v>
      </c>
      <c r="C23" s="12" t="n">
        <f aca="false">IF(A23&lt;Assumptions!$B$5,MAX(0,MAX(IF(A23&lt;=70,Assumptions!$B$36,Assumptions!$B$37)*B23,Pricing!$B$14)-Pricing!$B$14),IF(B23&gt;0,IF(A23&lt;=70,Assumptions!$B$36,Assumptions!$B$37)*B23,0)+Assumptions!$B$9*(1+Assumptions!$B$10)^16)</f>
        <v>42208.1929673958</v>
      </c>
      <c r="D23" s="12" t="n">
        <f aca="false">MAX(0,(D22-IF(A22&lt;=70,Assumptions!$B$36,Assumptions!$B$37)*D22)*(1+Assumptions!$B$35))</f>
        <v>404872.433718919</v>
      </c>
      <c r="E23" s="12" t="n">
        <f aca="false">IF(A23&lt;=70,Assumptions!$B$36,Assumptions!$B$37)*D23</f>
        <v>20243.621685946</v>
      </c>
      <c r="F23" s="12" t="n">
        <f aca="false">MAX(0,(F22-MIN(MAX(IF(15&lt;25,$C$4*(1+Assumptions!$B$10)^15,0),IF(A22&lt;=70,Assumptions!$B$36,Assumptions!$B$37)*F22),F22))*(1+Assumptions!$B$35))</f>
        <v>243502.111606344</v>
      </c>
      <c r="G23" s="12" t="n">
        <f aca="false">MIN(MAX(IF(16&lt;25,$C$4*(1+Assumptions!$B$10)^16,0),IF(A23&lt;=70,Assumptions!$B$36,Assumptions!$B$37)*F23),F23)</f>
        <v>30220.2298300524</v>
      </c>
      <c r="H23" s="12" t="n">
        <f aca="false">MAX(0,(H22-MIN(MAX(IF(15&lt;30,$D$4*(1+Assumptions!$B$10)^15,0),IF(A22&lt;=70,Assumptions!$B$36,Assumptions!$B$37)*H22),H22))*(1+Assumptions!$B$35))</f>
        <v>313994.343332084</v>
      </c>
      <c r="I23" s="12" t="n">
        <f aca="false">MIN(MAX(IF(16&lt;30,$D$4*(1+Assumptions!$B$10)^16,0),IF(A23&lt;=70,Assumptions!$B$36,Assumptions!$B$37)*H23),H23)</f>
        <v>26786.3835438293</v>
      </c>
      <c r="J23" s="12" t="n">
        <f aca="false">MAX(0,(J22-MIN(MAX(IF(15&lt;35,$E$4*(1+Assumptions!$B$10)^15,0),IF(A22&lt;=70,Assumptions!$B$36,Assumptions!$B$37)*J22),J22))*(1+Assumptions!$B$35))</f>
        <v>363261.466342504</v>
      </c>
      <c r="K23" s="12" t="n">
        <f aca="false">MIN(MAX(IF(16&lt;35,$E$4*(1+Assumptions!$B$10)^16,0),IF(A23&lt;=70,Assumptions!$B$36,Assumptions!$B$37)*J23),J23)</f>
        <v>24381.7421642136</v>
      </c>
      <c r="L23" s="12" t="n">
        <f aca="false">MAX(E23,G23,I23,K23)</f>
        <v>30220.2298300524</v>
      </c>
      <c r="M23" s="5" t="str">
        <f aca="false">IF(A23&gt;=85,IF(C23&gt;=L23,"PASS","FAIL"),"")</f>
        <v/>
      </c>
    </row>
    <row r="24" customFormat="false" ht="15" hidden="false" customHeight="true" outlineLevel="0" collapsed="false">
      <c r="A24" s="74" t="n">
        <v>82</v>
      </c>
      <c r="B24" s="12" t="n">
        <f aca="false">MAX(0,(B23-IF(A23&lt;Assumptions!$B$5,MAX(IF(A23&lt;=70,Assumptions!$B$36,Assumptions!$B$37)*B23,Pricing!$B$14),IF(A23&lt;=70,Assumptions!$B$36,Assumptions!$B$37)*B23))*(1+Assumptions!$B$35))</f>
        <v>403591.012466199</v>
      </c>
      <c r="C24" s="12" t="n">
        <f aca="false">IF(A24&lt;Assumptions!$B$5,MAX(0,MAX(IF(A24&lt;=70,Assumptions!$B$36,Assumptions!$B$37)*B24,Pricing!$B$14)-Pricing!$B$14),IF(B24&gt;0,IF(A24&lt;=70,Assumptions!$B$36,Assumptions!$B$37)*B24,0)+Assumptions!$B$9*(1+Assumptions!$B$10)^17)</f>
        <v>42583.4133303887</v>
      </c>
      <c r="D24" s="12" t="n">
        <f aca="false">MAX(0,(D23-IF(A23&lt;=70,Assumptions!$B$36,Assumptions!$B$37)*D23)*(1+Assumptions!$B$35))</f>
        <v>403591.012466199</v>
      </c>
      <c r="E24" s="12" t="n">
        <f aca="false">IF(A24&lt;=70,Assumptions!$B$36,Assumptions!$B$37)*D24</f>
        <v>20179.5506233099</v>
      </c>
      <c r="F24" s="12" t="n">
        <f aca="false">MAX(0,(F23-MIN(MAX(IF(16&lt;25,$C$4*(1+Assumptions!$B$10)^16,0),IF(A23&lt;=70,Assumptions!$B$36,Assumptions!$B$37)*F23),F23))*(1+Assumptions!$B$35))</f>
        <v>223796.678547862</v>
      </c>
      <c r="G24" s="12" t="n">
        <f aca="false">MIN(MAX(IF(17&lt;25,$C$4*(1+Assumptions!$B$10)^17,0),IF(A24&lt;=70,Assumptions!$B$36,Assumptions!$B$37)*F24),F24)</f>
        <v>30824.6344266535</v>
      </c>
      <c r="H24" s="12" t="n">
        <f aca="false">MAX(0,(H23-MIN(MAX(IF(16&lt;30,$D$4*(1+Assumptions!$B$10)^16,0),IF(A23&lt;=70,Assumptions!$B$36,Assumptions!$B$37)*H23),H23))*(1+Assumptions!$B$35))</f>
        <v>301367.312205816</v>
      </c>
      <c r="I24" s="12" t="n">
        <f aca="false">MIN(MAX(IF(17&lt;30,$D$4*(1+Assumptions!$B$10)^17,0),IF(A24&lt;=70,Assumptions!$B$36,Assumptions!$B$37)*H24),H24)</f>
        <v>27322.1112147059</v>
      </c>
      <c r="J24" s="12" t="n">
        <f aca="false">MAX(0,(J23-MIN(MAX(IF(16&lt;35,$E$4*(1+Assumptions!$B$10)^16,0),IF(A23&lt;=70,Assumptions!$B$36,Assumptions!$B$37)*J23),J23))*(1+Assumptions!$B$35))</f>
        <v>355586.49458028</v>
      </c>
      <c r="K24" s="12" t="n">
        <f aca="false">MIN(MAX(IF(17&lt;35,$E$4*(1+Assumptions!$B$10)^17,0),IF(A24&lt;=70,Assumptions!$B$36,Assumptions!$B$37)*J24),J24)</f>
        <v>24869.3770074978</v>
      </c>
      <c r="L24" s="12" t="n">
        <f aca="false">MAX(E24,G24,I24,K24)</f>
        <v>30824.6344266535</v>
      </c>
      <c r="M24" s="5" t="str">
        <f aca="false">IF(A24&gt;=85,IF(C24&gt;=L24,"PASS","FAIL"),"")</f>
        <v/>
      </c>
    </row>
    <row r="25" customFormat="false" ht="15" hidden="false" customHeight="true" outlineLevel="0" collapsed="false">
      <c r="A25" s="74" t="n">
        <v>83</v>
      </c>
      <c r="B25" s="12" t="n">
        <f aca="false">MAX(0,(B24-IF(A24&lt;Assumptions!$B$5,MAX(IF(A24&lt;=70,Assumptions!$B$36,Assumptions!$B$37)*B24,Pricing!$B$14),IF(A24&lt;=70,Assumptions!$B$36,Assumptions!$B$37)*B24))*(1+Assumptions!$B$35))</f>
        <v>402313.646911743</v>
      </c>
      <c r="C25" s="12" t="n">
        <f aca="false">IF(A25&lt;Assumptions!$B$5,MAX(0,MAX(IF(A25&lt;=70,Assumptions!$B$36,Assumptions!$B$37)*B25,Pricing!$B$14)-Pricing!$B$14),IF(B25&gt;0,IF(A25&lt;=70,Assumptions!$B$36,Assumptions!$B$37)*B25,0)+Assumptions!$B$9*(1+Assumptions!$B$10)^18)</f>
        <v>42967.6223068075</v>
      </c>
      <c r="D25" s="12" t="n">
        <f aca="false">MAX(0,(D24-IF(A24&lt;=70,Assumptions!$B$36,Assumptions!$B$37)*D24)*(1+Assumptions!$B$35))</f>
        <v>402313.646911743</v>
      </c>
      <c r="E25" s="12" t="n">
        <f aca="false">IF(A25&lt;=70,Assumptions!$B$36,Assumptions!$B$37)*D25</f>
        <v>20115.6823455872</v>
      </c>
      <c r="F25" s="12" t="n">
        <f aca="false">MAX(0,(F24-MIN(MAX(IF(17&lt;25,$C$4*(1+Assumptions!$B$10)^17,0),IF(A24&lt;=70,Assumptions!$B$36,Assumptions!$B$37)*F24),F24))*(1+Assumptions!$B$35))</f>
        <v>202485.565896384</v>
      </c>
      <c r="G25" s="12" t="n">
        <f aca="false">MIN(MAX(IF(18&lt;25,$C$4*(1+Assumptions!$B$10)^18,0),IF(A25&lt;=70,Assumptions!$B$36,Assumptions!$B$37)*F25),F25)</f>
        <v>31441.1271151865</v>
      </c>
      <c r="H25" s="12" t="n">
        <f aca="false">MAX(0,(H24-MIN(MAX(IF(17&lt;30,$D$4*(1+Assumptions!$B$10)^17,0),IF(A24&lt;=70,Assumptions!$B$36,Assumptions!$B$37)*H24),H24))*(1+Assumptions!$B$35))</f>
        <v>287555.629399972</v>
      </c>
      <c r="I25" s="12" t="n">
        <f aca="false">MIN(MAX(IF(18&lt;30,$D$4*(1+Assumptions!$B$10)^18,0),IF(A25&lt;=70,Assumptions!$B$36,Assumptions!$B$37)*H25),H25)</f>
        <v>27868.553439</v>
      </c>
      <c r="J25" s="12" t="n">
        <f aca="false">MAX(0,(J24-MIN(MAX(IF(17&lt;35,$E$4*(1+Assumptions!$B$10)^17,0),IF(A24&lt;=70,Assumptions!$B$36,Assumptions!$B$37)*J24),J24))*(1+Assumptions!$B$35))</f>
        <v>347021.471469121</v>
      </c>
      <c r="K25" s="12" t="n">
        <f aca="false">MIN(MAX(IF(18&lt;35,$E$4*(1+Assumptions!$B$10)^18,0),IF(A25&lt;=70,Assumptions!$B$36,Assumptions!$B$37)*J25),J25)</f>
        <v>25366.7645476478</v>
      </c>
      <c r="L25" s="12" t="n">
        <f aca="false">MAX(E25,G25,I25,K25)</f>
        <v>31441.1271151865</v>
      </c>
      <c r="M25" s="5" t="str">
        <f aca="false">IF(A25&gt;=85,IF(C25&gt;=L25,"PASS","FAIL"),"")</f>
        <v/>
      </c>
    </row>
    <row r="26" customFormat="false" ht="15" hidden="false" customHeight="true" outlineLevel="0" collapsed="false">
      <c r="A26" s="74" t="n">
        <v>84</v>
      </c>
      <c r="B26" s="12" t="n">
        <f aca="false">MAX(0,(B25-IF(A25&lt;Assumptions!$B$5,MAX(IF(A25&lt;=70,Assumptions!$B$36,Assumptions!$B$37)*B25,Pricing!$B$14),IF(A25&lt;=70,Assumptions!$B$36,Assumptions!$B$37)*B25))*(1+Assumptions!$B$35))</f>
        <v>401040.324219267</v>
      </c>
      <c r="C26" s="12" t="n">
        <f aca="false">IF(A26&lt;Assumptions!$B$5,MAX(0,MAX(IF(A26&lt;=70,Assumptions!$B$36,Assumptions!$B$37)*B26,Pricing!$B$14)-Pricing!$B$14),IF(B26&gt;0,IF(A26&lt;=70,Assumptions!$B$36,Assumptions!$B$37)*B26,0)+Assumptions!$B$9*(1+Assumptions!$B$10)^19)</f>
        <v>43360.9949714081</v>
      </c>
      <c r="D26" s="12" t="n">
        <f aca="false">MAX(0,(D25-IF(A25&lt;=70,Assumptions!$B$36,Assumptions!$B$37)*D25)*(1+Assumptions!$B$35))</f>
        <v>401040.324219267</v>
      </c>
      <c r="E26" s="12" t="n">
        <f aca="false">IF(A26&lt;=70,Assumptions!$B$36,Assumptions!$B$37)*D26</f>
        <v>20052.0162109634</v>
      </c>
      <c r="F26" s="12" t="n">
        <f aca="false">MAX(0,(F25-MIN(MAX(IF(18&lt;25,$C$4*(1+Assumptions!$B$10)^18,0),IF(A25&lt;=70,Assumptions!$B$36,Assumptions!$B$37)*F25),F25))*(1+Assumptions!$B$35))</f>
        <v>179476.929613111</v>
      </c>
      <c r="G26" s="12" t="n">
        <f aca="false">MIN(MAX(IF(19&lt;25,$C$4*(1+Assumptions!$B$10)^19,0),IF(A26&lt;=70,Assumptions!$B$36,Assumptions!$B$37)*F26),F26)</f>
        <v>32069.9496574903</v>
      </c>
      <c r="H26" s="12" t="n">
        <f aca="false">MAX(0,(H25-MIN(MAX(IF(18&lt;30,$D$4*(1+Assumptions!$B$10)^18,0),IF(A25&lt;=70,Assumptions!$B$36,Assumptions!$B$37)*H25),H25))*(1+Assumptions!$B$35))</f>
        <v>272489.648805847</v>
      </c>
      <c r="I26" s="12" t="n">
        <f aca="false">MIN(MAX(IF(19&lt;30,$D$4*(1+Assumptions!$B$10)^19,0),IF(A26&lt;=70,Assumptions!$B$36,Assumptions!$B$37)*H26),H26)</f>
        <v>28425.92450778</v>
      </c>
      <c r="J26" s="12" t="n">
        <f aca="false">MAX(0,(J25-MIN(MAX(IF(18&lt;35,$E$4*(1+Assumptions!$B$10)^18,0),IF(A25&lt;=70,Assumptions!$B$36,Assumptions!$B$37)*J25),J25))*(1+Assumptions!$B$35))</f>
        <v>337512.283972701</v>
      </c>
      <c r="K26" s="12" t="n">
        <f aca="false">MIN(MAX(IF(19&lt;35,$E$4*(1+Assumptions!$B$10)^19,0),IF(A26&lt;=70,Assumptions!$B$36,Assumptions!$B$37)*J26),J26)</f>
        <v>25874.0998386008</v>
      </c>
      <c r="L26" s="12" t="n">
        <f aca="false">MAX(E26,G26,I26,K26)</f>
        <v>32069.9496574903</v>
      </c>
      <c r="M26" s="5" t="str">
        <f aca="false">IF(A26&gt;=85,IF(C26&gt;=L26,"PASS","FAIL"),"")</f>
        <v/>
      </c>
    </row>
    <row r="27" customFormat="false" ht="15" hidden="false" customHeight="true" outlineLevel="0" collapsed="false">
      <c r="A27" s="74" t="n">
        <v>85</v>
      </c>
      <c r="B27" s="12" t="n">
        <f aca="false">MAX(0,(B26-IF(A26&lt;Assumptions!$B$5,MAX(IF(A26&lt;=70,Assumptions!$B$36,Assumptions!$B$37)*B26,Pricing!$B$14),IF(A26&lt;=70,Assumptions!$B$36,Assumptions!$B$37)*B26))*(1+Assumptions!$B$35))</f>
        <v>399771.031593113</v>
      </c>
      <c r="C27" s="12" t="n">
        <f aca="false">IF(A27&lt;Assumptions!$B$5,MAX(0,MAX(IF(A27&lt;=70,Assumptions!$B$36,Assumptions!$B$37)*B27,Pricing!$B$14)-Pricing!$B$14),IF(B27&gt;0,IF(A27&lt;=70,Assumptions!$B$36,Assumptions!$B$37)*B27,0)+Assumptions!$B$9*(1+Assumptions!$B$10)^20)</f>
        <v>43763.7099153093</v>
      </c>
      <c r="D27" s="12" t="n">
        <f aca="false">MAX(0,(D26-IF(A26&lt;=70,Assumptions!$B$36,Assumptions!$B$37)*D26)*(1+Assumptions!$B$35))</f>
        <v>399771.031593113</v>
      </c>
      <c r="E27" s="12" t="n">
        <f aca="false">IF(A27&lt;=70,Assumptions!$B$36,Assumptions!$B$37)*D27</f>
        <v>19988.5515796557</v>
      </c>
      <c r="F27" s="12" t="n">
        <f aca="false">MAX(0,(F26-MIN(MAX(IF(19&lt;25,$C$4*(1+Assumptions!$B$10)^19,0),IF(A26&lt;=70,Assumptions!$B$36,Assumptions!$B$37)*F26),F26))*(1+Assumptions!$B$35))</f>
        <v>154674.144067433</v>
      </c>
      <c r="G27" s="12" t="n">
        <f aca="false">MIN(MAX(IF(20&lt;25,$C$4*(1+Assumptions!$B$10)^20,0),IF(A27&lt;=70,Assumptions!$B$36,Assumptions!$B$37)*F27),F27)</f>
        <v>32711.3486506401</v>
      </c>
      <c r="H27" s="12" t="n">
        <f aca="false">MAX(0,(H26-MIN(MAX(IF(19&lt;30,$D$4*(1+Assumptions!$B$10)^19,0),IF(A26&lt;=70,Assumptions!$B$36,Assumptions!$B$37)*H26),H26))*(1+Assumptions!$B$35))</f>
        <v>256096.065905962</v>
      </c>
      <c r="I27" s="12" t="n">
        <f aca="false">MIN(MAX(IF(20&lt;30,$D$4*(1+Assumptions!$B$10)^20,0),IF(A27&lt;=70,Assumptions!$B$36,Assumptions!$B$37)*H27),H27)</f>
        <v>28994.4429979356</v>
      </c>
      <c r="J27" s="12" t="n">
        <f aca="false">MAX(0,(J26-MIN(MAX(IF(19&lt;35,$E$4*(1+Assumptions!$B$10)^19,0),IF(A26&lt;=70,Assumptions!$B$36,Assumptions!$B$37)*J26),J26))*(1+Assumptions!$B$35))</f>
        <v>327001.946611912</v>
      </c>
      <c r="K27" s="12" t="n">
        <f aca="false">MIN(MAX(IF(20&lt;35,$E$4*(1+Assumptions!$B$10)^20,0),IF(A27&lt;=70,Assumptions!$B$36,Assumptions!$B$37)*J27),J27)</f>
        <v>26391.5818353728</v>
      </c>
      <c r="L27" s="12" t="n">
        <f aca="false">MAX(E27,G27,I27,K27)</f>
        <v>32711.3486506401</v>
      </c>
      <c r="M27" s="5" t="str">
        <f aca="false">IF(A27&gt;=85,IF(C27&gt;=L27,"PASS","FAIL"),"")</f>
        <v>PASS</v>
      </c>
    </row>
    <row r="28" customFormat="false" ht="15" hidden="false" customHeight="true" outlineLevel="0" collapsed="false">
      <c r="A28" s="74" t="n">
        <v>86</v>
      </c>
      <c r="B28" s="12" t="n">
        <f aca="false">MAX(0,(B27-IF(A27&lt;Assumptions!$B$5,MAX(IF(A27&lt;=70,Assumptions!$B$36,Assumptions!$B$37)*B27,Pricing!$B$14),IF(A27&lt;=70,Assumptions!$B$36,Assumptions!$B$37)*B27))*(1+Assumptions!$B$35))</f>
        <v>398505.756278121</v>
      </c>
      <c r="C28" s="12" t="n">
        <f aca="false">IF(A28&lt;Assumptions!$B$5,MAX(0,MAX(IF(A28&lt;=70,Assumptions!$B$36,Assumptions!$B$37)*B28,Pricing!$B$14)-Pricing!$B$14),IF(B28&gt;0,IF(A28&lt;=70,Assumptions!$B$36,Assumptions!$B$37)*B28,0)+Assumptions!$B$9*(1+Assumptions!$B$10)^21)</f>
        <v>44175.9493162728</v>
      </c>
      <c r="D28" s="12" t="n">
        <f aca="false">MAX(0,(D27-IF(A27&lt;=70,Assumptions!$B$36,Assumptions!$B$37)*D27)*(1+Assumptions!$B$35))</f>
        <v>398505.756278121</v>
      </c>
      <c r="E28" s="12" t="n">
        <f aca="false">IF(A28&lt;=70,Assumptions!$B$36,Assumptions!$B$37)*D28</f>
        <v>19925.2878139061</v>
      </c>
      <c r="F28" s="12" t="n">
        <f aca="false">MAX(0,(F27-MIN(MAX(IF(20&lt;25,$C$4*(1+Assumptions!$B$10)^20,0),IF(A27&lt;=70,Assumptions!$B$36,Assumptions!$B$37)*F27),F27))*(1+Assumptions!$B$35))</f>
        <v>127975.56123084</v>
      </c>
      <c r="G28" s="12" t="n">
        <f aca="false">MIN(MAX(IF(21&lt;25,$C$4*(1+Assumptions!$B$10)^21,0),IF(A28&lt;=70,Assumptions!$B$36,Assumptions!$B$37)*F28),F28)</f>
        <v>33365.5756236529</v>
      </c>
      <c r="H28" s="12" t="n">
        <f aca="false">MAX(0,(H27-MIN(MAX(IF(20&lt;30,$D$4*(1+Assumptions!$B$10)^20,0),IF(A27&lt;=70,Assumptions!$B$36,Assumptions!$B$37)*H27),H27))*(1+Assumptions!$B$35))</f>
        <v>238297.732917392</v>
      </c>
      <c r="I28" s="12" t="n">
        <f aca="false">MIN(MAX(IF(21&lt;30,$D$4*(1+Assumptions!$B$10)^21,0),IF(A28&lt;=70,Assumptions!$B$36,Assumptions!$B$37)*H28),H28)</f>
        <v>29574.3318578944</v>
      </c>
      <c r="J28" s="12" t="n">
        <f aca="false">MAX(0,(J27-MIN(MAX(IF(20&lt;35,$E$4*(1+Assumptions!$B$10)^20,0),IF(A27&lt;=70,Assumptions!$B$36,Assumptions!$B$37)*J27),J27))*(1+Assumptions!$B$35))</f>
        <v>315430.455760022</v>
      </c>
      <c r="K28" s="12" t="n">
        <f aca="false">MIN(MAX(IF(21&lt;35,$E$4*(1+Assumptions!$B$10)^21,0),IF(A28&lt;=70,Assumptions!$B$36,Assumptions!$B$37)*J28),J28)</f>
        <v>26919.4134720802</v>
      </c>
      <c r="L28" s="12" t="n">
        <f aca="false">MAX(E28,G28,I28,K28)</f>
        <v>33365.5756236529</v>
      </c>
      <c r="M28" s="5" t="str">
        <f aca="false">IF(A28&gt;=85,IF(C28&gt;=L28,"PASS","FAIL"),"")</f>
        <v>PASS</v>
      </c>
    </row>
    <row r="29" customFormat="false" ht="15" hidden="false" customHeight="true" outlineLevel="0" collapsed="false">
      <c r="A29" s="74" t="n">
        <v>87</v>
      </c>
      <c r="B29" s="12" t="n">
        <f aca="false">MAX(0,(B28-IF(A28&lt;Assumptions!$B$5,MAX(IF(A28&lt;=70,Assumptions!$B$36,Assumptions!$B$37)*B28,Pricing!$B$14),IF(A28&lt;=70,Assumptions!$B$36,Assumptions!$B$37)*B28))*(1+Assumptions!$B$35))</f>
        <v>397244.485559501</v>
      </c>
      <c r="C29" s="12" t="n">
        <f aca="false">IF(A29&lt;Assumptions!$B$5,MAX(0,MAX(IF(A29&lt;=70,Assumptions!$B$36,Assumptions!$B$37)*B29,Pricing!$B$14)-Pricing!$B$14),IF(B29&gt;0,IF(A29&lt;=70,Assumptions!$B$36,Assumptions!$B$37)*B29,0)+Assumptions!$B$9*(1+Assumptions!$B$10)^22)</f>
        <v>44597.8990103891</v>
      </c>
      <c r="D29" s="12" t="n">
        <f aca="false">MAX(0,(D28-IF(A28&lt;=70,Assumptions!$B$36,Assumptions!$B$37)*D28)*(1+Assumptions!$B$35))</f>
        <v>397244.485559501</v>
      </c>
      <c r="E29" s="12" t="n">
        <f aca="false">IF(A29&lt;=70,Assumptions!$B$36,Assumptions!$B$37)*D29</f>
        <v>19862.224277975</v>
      </c>
      <c r="F29" s="12" t="n">
        <f aca="false">MAX(0,(F28-MIN(MAX(IF(21&lt;25,$C$4*(1+Assumptions!$B$10)^21,0),IF(A28&lt;=70,Assumptions!$B$36,Assumptions!$B$37)*F28),F28))*(1+Assumptions!$B$35))</f>
        <v>99274.257897622</v>
      </c>
      <c r="G29" s="12" t="n">
        <f aca="false">MIN(MAX(IF(22&lt;25,$C$4*(1+Assumptions!$B$10)^22,0),IF(A29&lt;=70,Assumptions!$B$36,Assumptions!$B$37)*F29),F29)</f>
        <v>34032.8871361259</v>
      </c>
      <c r="H29" s="12" t="n">
        <f aca="false">MAX(0,(H28-MIN(MAX(IF(21&lt;30,$D$4*(1+Assumptions!$B$10)^21,0),IF(A28&lt;=70,Assumptions!$B$36,Assumptions!$B$37)*H28),H28))*(1+Assumptions!$B$35))</f>
        <v>219013.464731731</v>
      </c>
      <c r="I29" s="12" t="n">
        <f aca="false">MIN(MAX(IF(22&lt;30,$D$4*(1+Assumptions!$B$10)^22,0),IF(A29&lt;=70,Assumptions!$B$36,Assumptions!$B$37)*H29),H29)</f>
        <v>30165.8184950522</v>
      </c>
      <c r="J29" s="12" t="n">
        <f aca="false">MAX(0,(J28-MIN(MAX(IF(21&lt;35,$E$4*(1+Assumptions!$B$10)^21,0),IF(A28&lt;=70,Assumptions!$B$36,Assumptions!$B$37)*J28),J28))*(1+Assumptions!$B$35))</f>
        <v>302734.636672738</v>
      </c>
      <c r="K29" s="12" t="n">
        <f aca="false">MIN(MAX(IF(22&lt;35,$E$4*(1+Assumptions!$B$10)^22,0),IF(A29&lt;=70,Assumptions!$B$36,Assumptions!$B$37)*J29),J29)</f>
        <v>27457.8017415218</v>
      </c>
      <c r="L29" s="12" t="n">
        <f aca="false">MAX(E29,G29,I29,K29)</f>
        <v>34032.8871361259</v>
      </c>
      <c r="M29" s="5" t="str">
        <f aca="false">IF(A29&gt;=85,IF(C29&gt;=L29,"PASS","FAIL"),"")</f>
        <v>PASS</v>
      </c>
    </row>
    <row r="30" customFormat="false" ht="15" hidden="false" customHeight="true" outlineLevel="0" collapsed="false">
      <c r="A30" s="74" t="n">
        <v>88</v>
      </c>
      <c r="B30" s="12" t="n">
        <f aca="false">MAX(0,(B29-IF(A29&lt;Assumptions!$B$5,MAX(IF(A29&lt;=70,Assumptions!$B$36,Assumptions!$B$37)*B29,Pricing!$B$14),IF(A29&lt;=70,Assumptions!$B$36,Assumptions!$B$37)*B29))*(1+Assumptions!$B$35))</f>
        <v>395987.206762705</v>
      </c>
      <c r="C30" s="12" t="n">
        <f aca="false">IF(A30&lt;Assumptions!$B$5,MAX(0,MAX(IF(A30&lt;=70,Assumptions!$B$36,Assumptions!$B$37)*B30,Pricing!$B$14)-Pricing!$B$14),IF(B30&gt;0,IF(A30&lt;=70,Assumptions!$B$36,Assumptions!$B$37)*B30,0)+Assumptions!$B$9*(1+Assumptions!$B$10)^23)</f>
        <v>45029.7485651976</v>
      </c>
      <c r="D30" s="12" t="n">
        <f aca="false">MAX(0,(D29-IF(A29&lt;=70,Assumptions!$B$36,Assumptions!$B$37)*D29)*(1+Assumptions!$B$35))</f>
        <v>395987.206762705</v>
      </c>
      <c r="E30" s="12" t="n">
        <f aca="false">IF(A30&lt;=70,Assumptions!$B$36,Assumptions!$B$37)*D30</f>
        <v>19799.3603381352</v>
      </c>
      <c r="F30" s="12" t="n">
        <f aca="false">MAX(0,(F29-MIN(MAX(IF(22&lt;25,$C$4*(1+Assumptions!$B$10)^22,0),IF(A29&lt;=70,Assumptions!$B$36,Assumptions!$B$37)*F29),F29))*(1+Assumptions!$B$35))</f>
        <v>68457.7703400378</v>
      </c>
      <c r="G30" s="12" t="n">
        <f aca="false">MIN(MAX(IF(23&lt;25,$C$4*(1+Assumptions!$B$10)^23,0),IF(A30&lt;=70,Assumptions!$B$36,Assumptions!$B$37)*F30),F30)</f>
        <v>34713.5448788484</v>
      </c>
      <c r="H30" s="12" t="n">
        <f aca="false">MAX(0,(H29-MIN(MAX(IF(22&lt;30,$D$4*(1+Assumptions!$B$10)^22,0),IF(A29&lt;=70,Assumptions!$B$36,Assumptions!$B$37)*H29),H29))*(1+Assumptions!$B$35))</f>
        <v>198157.835196147</v>
      </c>
      <c r="I30" s="12" t="n">
        <f aca="false">MIN(MAX(IF(23&lt;30,$D$4*(1+Assumptions!$B$10)^23,0),IF(A30&lt;=70,Assumptions!$B$36,Assumptions!$B$37)*H30),H30)</f>
        <v>30769.1348649533</v>
      </c>
      <c r="J30" s="12" t="n">
        <f aca="false">MAX(0,(J29-MIN(MAX(IF(22&lt;35,$E$4*(1+Assumptions!$B$10)^22,0),IF(A29&lt;=70,Assumptions!$B$36,Assumptions!$B$37)*J29),J29))*(1+Assumptions!$B$35))</f>
        <v>288847.982893325</v>
      </c>
      <c r="K30" s="12" t="n">
        <f aca="false">MIN(MAX(IF(23&lt;35,$E$4*(1+Assumptions!$B$10)^23,0),IF(A30&lt;=70,Assumptions!$B$36,Assumptions!$B$37)*J30),J30)</f>
        <v>28006.9577763523</v>
      </c>
      <c r="L30" s="12" t="n">
        <f aca="false">MAX(E30,G30,I30,K30)</f>
        <v>34713.5448788484</v>
      </c>
      <c r="M30" s="5" t="str">
        <f aca="false">IF(A30&gt;=85,IF(C30&gt;=L30,"PASS","FAIL"),"")</f>
        <v>PASS</v>
      </c>
    </row>
    <row r="31" customFormat="false" ht="15" hidden="false" customHeight="true" outlineLevel="0" collapsed="false">
      <c r="A31" s="74" t="n">
        <v>89</v>
      </c>
      <c r="B31" s="12" t="n">
        <f aca="false">MAX(0,(B30-IF(A30&lt;Assumptions!$B$5,MAX(IF(A30&lt;=70,Assumptions!$B$36,Assumptions!$B$37)*B30,Pricing!$B$14),IF(A30&lt;=70,Assumptions!$B$36,Assumptions!$B$37)*B30))*(1+Assumptions!$B$35))</f>
        <v>394733.907253301</v>
      </c>
      <c r="C31" s="12" t="n">
        <f aca="false">IF(A31&lt;Assumptions!$B$5,MAX(0,MAX(IF(A31&lt;=70,Assumptions!$B$36,Assumptions!$B$37)*B31,Pricing!$B$14)-Pricing!$B$14),IF(B31&gt;0,IF(A31&lt;=70,Assumptions!$B$36,Assumptions!$B$37)*B31,0)+Assumptions!$B$9*(1+Assumptions!$B$10)^24)</f>
        <v>45471.6913542687</v>
      </c>
      <c r="D31" s="12" t="n">
        <f aca="false">MAX(0,(D30-IF(A30&lt;=70,Assumptions!$B$36,Assumptions!$B$37)*D30)*(1+Assumptions!$B$35))</f>
        <v>394733.907253301</v>
      </c>
      <c r="E31" s="12" t="n">
        <f aca="false">IF(A31&lt;=70,Assumptions!$B$36,Assumptions!$B$37)*D31</f>
        <v>19736.695362665</v>
      </c>
      <c r="F31" s="12" t="n">
        <f aca="false">MAX(0,(F30-MIN(MAX(IF(23&lt;25,$C$4*(1+Assumptions!$B$10)^23,0),IF(A30&lt;=70,Assumptions!$B$36,Assumptions!$B$37)*F30),F30))*(1+Assumptions!$B$35))</f>
        <v>35407.815776426</v>
      </c>
      <c r="G31" s="12" t="n">
        <f aca="false">MIN(MAX(IF(24&lt;25,$C$4*(1+Assumptions!$B$10)^24,0),IF(A31&lt;=70,Assumptions!$B$36,Assumptions!$B$37)*F31),F31)</f>
        <v>35407.8157764254</v>
      </c>
      <c r="H31" s="12" t="n">
        <f aca="false">MAX(0,(H30-MIN(MAX(IF(23&lt;30,$D$4*(1+Assumptions!$B$10)^23,0),IF(A30&lt;=70,Assumptions!$B$36,Assumptions!$B$37)*H30),H30))*(1+Assumptions!$B$35))</f>
        <v>175640.963257522</v>
      </c>
      <c r="I31" s="12" t="n">
        <f aca="false">MIN(MAX(IF(24&lt;30,$D$4*(1+Assumptions!$B$10)^24,0),IF(A31&lt;=70,Assumptions!$B$36,Assumptions!$B$37)*H31),H31)</f>
        <v>31384.5175622524</v>
      </c>
      <c r="J31" s="12" t="n">
        <f aca="false">MAX(0,(J30-MIN(MAX(IF(23&lt;35,$E$4*(1+Assumptions!$B$10)^23,0),IF(A30&lt;=70,Assumptions!$B$36,Assumptions!$B$37)*J30),J30))*(1+Assumptions!$B$35))</f>
        <v>273700.487655239</v>
      </c>
      <c r="K31" s="12" t="n">
        <f aca="false">MIN(MAX(IF(24&lt;35,$E$4*(1+Assumptions!$B$10)^24,0),IF(A31&lt;=70,Assumptions!$B$36,Assumptions!$B$37)*J31),J31)</f>
        <v>28567.0969318793</v>
      </c>
      <c r="L31" s="12" t="n">
        <f aca="false">MAX(E31,G31,I31,K31)</f>
        <v>35407.8157764254</v>
      </c>
      <c r="M31" s="5" t="str">
        <f aca="false">IF(A31&gt;=85,IF(C31&gt;=L31,"PASS","FAIL"),"")</f>
        <v>PASS</v>
      </c>
    </row>
    <row r="32" customFormat="false" ht="15" hidden="false" customHeight="true" outlineLevel="0" collapsed="false">
      <c r="A32" s="74" t="n">
        <v>90</v>
      </c>
      <c r="B32" s="12" t="n">
        <f aca="false">MAX(0,(B31-IF(A31&lt;Assumptions!$B$5,MAX(IF(A31&lt;=70,Assumptions!$B$36,Assumptions!$B$37)*B31,Pricing!$B$14),IF(A31&lt;=70,Assumptions!$B$36,Assumptions!$B$37)*B31))*(1+Assumptions!$B$35))</f>
        <v>393484.574436844</v>
      </c>
      <c r="C32" s="12" t="n">
        <f aca="false">IF(A32&lt;Assumptions!$B$5,MAX(0,MAX(IF(A32&lt;=70,Assumptions!$B$36,Assumptions!$B$37)*B32,Pricing!$B$14)-Pricing!$B$14),IF(B32&gt;0,IF(A32&lt;=70,Assumptions!$B$36,Assumptions!$B$37)*B32,0)+Assumptions!$B$9*(1+Assumptions!$B$10)^25)</f>
        <v>45923.9246332779</v>
      </c>
      <c r="D32" s="12" t="n">
        <f aca="false">MAX(0,(D31-IF(A31&lt;=70,Assumptions!$B$36,Assumptions!$B$37)*D31)*(1+Assumptions!$B$35))</f>
        <v>393484.574436844</v>
      </c>
      <c r="E32" s="12" t="n">
        <f aca="false">IF(A32&lt;=70,Assumptions!$B$36,Assumptions!$B$37)*D32</f>
        <v>19674.2287218422</v>
      </c>
      <c r="F32" s="27" t="n">
        <f aca="false">MAX(0,(F31-MIN(MAX(IF(24&lt;25,$C$4*(1+Assumptions!$B$10)^24,0),IF(A31&lt;=70,Assumptions!$B$36,Assumptions!$B$37)*F31),F31))*(1+Assumptions!$B$35))</f>
        <v>5.80234336666763E-010</v>
      </c>
      <c r="G32" s="27" t="n">
        <f aca="false">MIN(MAX(IF(25&lt;25,$C$4*(1+Assumptions!$B$10)^25,0),IF(A32&lt;=70,Assumptions!$B$36,Assumptions!$B$37)*F32),F32)</f>
        <v>2.90117168333381E-011</v>
      </c>
      <c r="H32" s="12" t="n">
        <f aca="false">MAX(0,(H31-MIN(MAX(IF(24&lt;30,$D$4*(1+Assumptions!$B$10)^24,0),IF(A31&lt;=70,Assumptions!$B$36,Assumptions!$B$37)*H31),H31))*(1+Assumptions!$B$35))</f>
        <v>151368.288468046</v>
      </c>
      <c r="I32" s="12" t="n">
        <f aca="false">MIN(MAX(IF(25&lt;30,$D$4*(1+Assumptions!$B$10)^25,0),IF(A32&lt;=70,Assumptions!$B$36,Assumptions!$B$37)*H32),H32)</f>
        <v>32012.2079134974</v>
      </c>
      <c r="J32" s="12" t="n">
        <f aca="false">MAX(0,(J31-MIN(MAX(IF(24&lt;35,$E$4*(1+Assumptions!$B$10)^24,0),IF(A31&lt;=70,Assumptions!$B$36,Assumptions!$B$37)*J31),J31))*(1+Assumptions!$B$35))</f>
        <v>257218.466886021</v>
      </c>
      <c r="K32" s="12" t="n">
        <f aca="false">MIN(MAX(IF(25&lt;35,$E$4*(1+Assumptions!$B$10)^25,0),IF(A32&lt;=70,Assumptions!$B$36,Assumptions!$B$37)*J32),J32)</f>
        <v>29138.4388705169</v>
      </c>
      <c r="L32" s="12" t="n">
        <f aca="false">MAX(E32,G32,I32,K32)</f>
        <v>32012.2079134974</v>
      </c>
      <c r="M32" s="5" t="str">
        <f aca="false">IF(A32&gt;=85,IF(C32&gt;=L32,"PASS","FAIL"),"")</f>
        <v>PASS</v>
      </c>
    </row>
    <row r="33" customFormat="false" ht="15" hidden="false" customHeight="true" outlineLevel="0" collapsed="false">
      <c r="A33" s="74" t="n">
        <v>91</v>
      </c>
      <c r="B33" s="12" t="n">
        <f aca="false">MAX(0,(B32-IF(A32&lt;Assumptions!$B$5,MAX(IF(A32&lt;=70,Assumptions!$B$36,Assumptions!$B$37)*B32,Pricing!$B$14),IF(A32&lt;=70,Assumptions!$B$36,Assumptions!$B$37)*B32))*(1+Assumptions!$B$35))</f>
        <v>392239.195758751</v>
      </c>
      <c r="C33" s="12" t="n">
        <f aca="false">IF(A33&lt;Assumptions!$B$5,MAX(0,MAX(IF(A33&lt;=70,Assumptions!$B$36,Assumptions!$B$37)*B33,Pricing!$B$14)-Pricing!$B$14),IF(B33&gt;0,IF(A33&lt;=70,Assumptions!$B$36,Assumptions!$B$37)*B33,0)+Assumptions!$B$9*(1+Assumptions!$B$10)^26)</f>
        <v>46386.649617602</v>
      </c>
      <c r="D33" s="12" t="n">
        <f aca="false">MAX(0,(D32-IF(A32&lt;=70,Assumptions!$B$36,Assumptions!$B$37)*D32)*(1+Assumptions!$B$35))</f>
        <v>392239.195758751</v>
      </c>
      <c r="E33" s="12" t="n">
        <f aca="false">IF(A33&lt;=70,Assumptions!$B$36,Assumptions!$B$37)*D33</f>
        <v>19611.9597879376</v>
      </c>
      <c r="F33" s="27" t="n">
        <f aca="false">MAX(0,(F32-MIN(MAX(IF(25&lt;25,$C$4*(1+Assumptions!$B$10)^25,0),IF(A32&lt;=70,Assumptions!$B$36,Assumptions!$B$37)*F32),F32))*(1+Assumptions!$B$35))</f>
        <v>5.78397894991212E-010</v>
      </c>
      <c r="G33" s="27" t="n">
        <f aca="false">MIN(MAX(IF(26&lt;25,$C$4*(1+Assumptions!$B$10)^26,0),IF(A33&lt;=70,Assumptions!$B$36,Assumptions!$B$37)*F33),F33)</f>
        <v>2.89198947495606E-011</v>
      </c>
      <c r="H33" s="12" t="n">
        <f aca="false">MAX(0,(H32-MIN(MAX(IF(25&lt;30,$D$4*(1+Assumptions!$B$10)^25,0),IF(A32&lt;=70,Assumptions!$B$36,Assumptions!$B$37)*H32),H32))*(1+Assumptions!$B$35))</f>
        <v>125240.335325888</v>
      </c>
      <c r="I33" s="12" t="n">
        <f aca="false">MIN(MAX(IF(26&lt;30,$D$4*(1+Assumptions!$B$10)^26,0),IF(A33&lt;=70,Assumptions!$B$36,Assumptions!$B$37)*H33),H33)</f>
        <v>32652.4520717673</v>
      </c>
      <c r="J33" s="12" t="n">
        <f aca="false">MAX(0,(J32-MIN(MAX(IF(25&lt;35,$E$4*(1+Assumptions!$B$10)^25,0),IF(A32&lt;=70,Assumptions!$B$36,Assumptions!$B$37)*J32),J32))*(1+Assumptions!$B$35))</f>
        <v>239324.373396669</v>
      </c>
      <c r="K33" s="12" t="n">
        <f aca="false">MIN(MAX(IF(26&lt;35,$E$4*(1+Assumptions!$B$10)^26,0),IF(A33&lt;=70,Assumptions!$B$36,Assumptions!$B$37)*J33),J33)</f>
        <v>29721.2076479272</v>
      </c>
      <c r="L33" s="12" t="n">
        <f aca="false">MAX(E33,G33,I33,K33)</f>
        <v>32652.4520717673</v>
      </c>
      <c r="M33" s="5" t="str">
        <f aca="false">IF(A33&gt;=85,IF(C33&gt;=L33,"PASS","FAIL"),"")</f>
        <v>PASS</v>
      </c>
    </row>
    <row r="34" customFormat="false" ht="15" hidden="false" customHeight="true" outlineLevel="0" collapsed="false">
      <c r="A34" s="74" t="n">
        <v>92</v>
      </c>
      <c r="B34" s="12" t="n">
        <f aca="false">MAX(0,(B33-IF(A33&lt;Assumptions!$B$5,MAX(IF(A33&lt;=70,Assumptions!$B$36,Assumptions!$B$37)*B33,Pricing!$B$14),IF(A33&lt;=70,Assumptions!$B$36,Assumptions!$B$37)*B33))*(1+Assumptions!$B$35))</f>
        <v>390997.758704175</v>
      </c>
      <c r="C34" s="12" t="n">
        <f aca="false">IF(A34&lt;Assumptions!$B$5,MAX(0,MAX(IF(A34&lt;=70,Assumptions!$B$36,Assumptions!$B$37)*B34,Pricing!$B$14)-Pricing!$B$14),IF(B34&gt;0,IF(A34&lt;=70,Assumptions!$B$36,Assumptions!$B$37)*B34,0)+Assumptions!$B$9*(1+Assumptions!$B$10)^27)</f>
        <v>46860.0715614664</v>
      </c>
      <c r="D34" s="12" t="n">
        <f aca="false">MAX(0,(D33-IF(A33&lt;=70,Assumptions!$B$36,Assumptions!$B$37)*D33)*(1+Assumptions!$B$35))</f>
        <v>390997.758704175</v>
      </c>
      <c r="E34" s="12" t="n">
        <f aca="false">IF(A34&lt;=70,Assumptions!$B$36,Assumptions!$B$37)*D34</f>
        <v>19549.8879352088</v>
      </c>
      <c r="F34" s="27" t="n">
        <f aca="false">MAX(0,(F33-MIN(MAX(IF(26&lt;25,$C$4*(1+Assumptions!$B$10)^26,0),IF(A33&lt;=70,Assumptions!$B$36,Assumptions!$B$37)*F33),F33))*(1+Assumptions!$B$35))</f>
        <v>5.76567265653565E-010</v>
      </c>
      <c r="G34" s="27" t="n">
        <f aca="false">MIN(MAX(IF(27&lt;25,$C$4*(1+Assumptions!$B$10)^27,0),IF(A34&lt;=70,Assumptions!$B$36,Assumptions!$B$37)*F34),F34)</f>
        <v>2.88283632826783E-011</v>
      </c>
      <c r="H34" s="12" t="n">
        <f aca="false">MAX(0,(H33-MIN(MAX(IF(26&lt;30,$D$4*(1+Assumptions!$B$10)^26,0),IF(A33&lt;=70,Assumptions!$B$36,Assumptions!$B$37)*H33),H33))*(1+Assumptions!$B$35))</f>
        <v>97152.4658985485</v>
      </c>
      <c r="I34" s="12" t="n">
        <f aca="false">MIN(MAX(IF(27&lt;30,$D$4*(1+Assumptions!$B$10)^27,0),IF(A34&lt;=70,Assumptions!$B$36,Assumptions!$B$37)*H34),H34)</f>
        <v>33305.5011132027</v>
      </c>
      <c r="J34" s="12" t="n">
        <f aca="false">MAX(0,(J33-MIN(MAX(IF(26&lt;35,$E$4*(1+Assumptions!$B$10)^26,0),IF(A33&lt;=70,Assumptions!$B$36,Assumptions!$B$37)*J33),J33))*(1+Assumptions!$B$35))</f>
        <v>219936.601820155</v>
      </c>
      <c r="K34" s="12" t="n">
        <f aca="false">MIN(MAX(IF(27&lt;35,$E$4*(1+Assumptions!$B$10)^27,0),IF(A34&lt;=70,Assumptions!$B$36,Assumptions!$B$37)*J34),J34)</f>
        <v>30315.6318008858</v>
      </c>
      <c r="L34" s="12" t="n">
        <f aca="false">MAX(E34,G34,I34,K34)</f>
        <v>33305.5011132027</v>
      </c>
      <c r="M34" s="5" t="str">
        <f aca="false">IF(A34&gt;=85,IF(C34&gt;=L34,"PASS","FAIL"),"")</f>
        <v>PASS</v>
      </c>
    </row>
    <row r="35" customFormat="false" ht="15" hidden="false" customHeight="true" outlineLevel="0" collapsed="false">
      <c r="A35" s="74" t="n">
        <v>93</v>
      </c>
      <c r="B35" s="12" t="n">
        <f aca="false">MAX(0,(B34-IF(A34&lt;Assumptions!$B$5,MAX(IF(A34&lt;=70,Assumptions!$B$36,Assumptions!$B$37)*B34,Pricing!$B$14),IF(A34&lt;=70,Assumptions!$B$36,Assumptions!$B$37)*B34))*(1+Assumptions!$B$35))</f>
        <v>389760.250797876</v>
      </c>
      <c r="C35" s="12" t="n">
        <f aca="false">IF(A35&lt;Assumptions!$B$5,MAX(0,MAX(IF(A35&lt;=70,Assumptions!$B$36,Assumptions!$B$37)*B35,Pricing!$B$14)-Pricing!$B$14),IF(B35&gt;0,IF(A35&lt;=70,Assumptions!$B$36,Assumptions!$B$37)*B35,0)+Assumptions!$B$9*(1+Assumptions!$B$10)^28)</f>
        <v>47344.3998386767</v>
      </c>
      <c r="D35" s="12" t="n">
        <f aca="false">MAX(0,(D34-IF(A34&lt;=70,Assumptions!$B$36,Assumptions!$B$37)*D34)*(1+Assumptions!$B$35))</f>
        <v>389760.250797876</v>
      </c>
      <c r="E35" s="12" t="n">
        <f aca="false">IF(A35&lt;=70,Assumptions!$B$36,Assumptions!$B$37)*D35</f>
        <v>19488.0125398938</v>
      </c>
      <c r="F35" s="27" t="n">
        <f aca="false">MAX(0,(F34-MIN(MAX(IF(27&lt;25,$C$4*(1+Assumptions!$B$10)^27,0),IF(A34&lt;=70,Assumptions!$B$36,Assumptions!$B$37)*F34),F34))*(1+Assumptions!$B$35))</f>
        <v>5.74742430257772E-010</v>
      </c>
      <c r="G35" s="27" t="n">
        <f aca="false">MIN(MAX(IF(28&lt;25,$C$4*(1+Assumptions!$B$10)^28,0),IF(A35&lt;=70,Assumptions!$B$36,Assumptions!$B$37)*F35),F35)</f>
        <v>2.87371215128886E-011</v>
      </c>
      <c r="H35" s="12" t="n">
        <f aca="false">MAX(0,(H34-MIN(MAX(IF(27&lt;30,$D$4*(1+Assumptions!$B$10)^27,0),IF(A34&lt;=70,Assumptions!$B$36,Assumptions!$B$37)*H34),H34))*(1+Assumptions!$B$35))</f>
        <v>66994.6201492634</v>
      </c>
      <c r="I35" s="12" t="n">
        <f aca="false">MIN(MAX(IF(28&lt;30,$D$4*(1+Assumptions!$B$10)^28,0),IF(A35&lt;=70,Assumptions!$B$36,Assumptions!$B$37)*H35),H35)</f>
        <v>33971.6111354668</v>
      </c>
      <c r="J35" s="12" t="n">
        <f aca="false">MAX(0,(J34-MIN(MAX(IF(27&lt;35,$E$4*(1+Assumptions!$B$10)^27,0),IF(A34&lt;=70,Assumptions!$B$36,Assumptions!$B$37)*J34),J34))*(1+Assumptions!$B$35))</f>
        <v>198969.283841219</v>
      </c>
      <c r="K35" s="12" t="n">
        <f aca="false">MIN(MAX(IF(28&lt;35,$E$4*(1+Assumptions!$B$10)^28,0),IF(A35&lt;=70,Assumptions!$B$36,Assumptions!$B$37)*J35),J35)</f>
        <v>30921.9444369035</v>
      </c>
      <c r="L35" s="12" t="n">
        <f aca="false">MAX(E35,G35,I35,K35)</f>
        <v>33971.6111354668</v>
      </c>
      <c r="M35" s="5" t="str">
        <f aca="false">IF(A35&gt;=85,IF(C35&gt;=L35,"PASS","FAIL"),"")</f>
        <v>PASS</v>
      </c>
    </row>
    <row r="36" customFormat="false" ht="15" hidden="false" customHeight="true" outlineLevel="0" collapsed="false">
      <c r="A36" s="74" t="n">
        <v>94</v>
      </c>
      <c r="B36" s="12" t="n">
        <f aca="false">MAX(0,(B35-IF(A35&lt;Assumptions!$B$5,MAX(IF(A35&lt;=70,Assumptions!$B$36,Assumptions!$B$37)*B35,Pricing!$B$14),IF(A35&lt;=70,Assumptions!$B$36,Assumptions!$B$37)*B35))*(1+Assumptions!$B$35))</f>
        <v>388526.659604101</v>
      </c>
      <c r="C36" s="12" t="n">
        <f aca="false">IF(A36&lt;Assumptions!$B$5,MAX(0,MAX(IF(A36&lt;=70,Assumptions!$B$36,Assumptions!$B$37)*B36,Pricing!$B$14)-Pricing!$B$14),IF(B36&gt;0,IF(A36&lt;=70,Assumptions!$B$36,Assumptions!$B$37)*B36,0)+Assumptions!$B$9*(1+Assumptions!$B$10)^29)</f>
        <v>47839.8480249636</v>
      </c>
      <c r="D36" s="12" t="n">
        <f aca="false">MAX(0,(D35-IF(A35&lt;=70,Assumptions!$B$36,Assumptions!$B$37)*D35)*(1+Assumptions!$B$35))</f>
        <v>388526.659604101</v>
      </c>
      <c r="E36" s="12" t="n">
        <f aca="false">IF(A36&lt;=70,Assumptions!$B$36,Assumptions!$B$37)*D36</f>
        <v>19426.332980205</v>
      </c>
      <c r="F36" s="27" t="n">
        <f aca="false">MAX(0,(F35-MIN(MAX(IF(28&lt;25,$C$4*(1+Assumptions!$B$10)^28,0),IF(A35&lt;=70,Assumptions!$B$36,Assumptions!$B$37)*F35),F35))*(1+Assumptions!$B$35))</f>
        <v>5.72923370466006E-010</v>
      </c>
      <c r="G36" s="27" t="n">
        <f aca="false">MIN(MAX(IF(29&lt;25,$C$4*(1+Assumptions!$B$10)^29,0),IF(A36&lt;=70,Assumptions!$B$36,Assumptions!$B$37)*F36),F36)</f>
        <v>2.86461685233003E-011</v>
      </c>
      <c r="H36" s="12" t="n">
        <f aca="false">MAX(0,(H35-MIN(MAX(IF(28&lt;30,$D$4*(1+Assumptions!$B$10)^28,0),IF(A35&lt;=70,Assumptions!$B$36,Assumptions!$B$37)*H35),H35))*(1+Assumptions!$B$35))</f>
        <v>34651.0433581768</v>
      </c>
      <c r="I36" s="12" t="n">
        <f aca="false">MIN(MAX(IF(29&lt;30,$D$4*(1+Assumptions!$B$10)^29,0),IF(A36&lt;=70,Assumptions!$B$36,Assumptions!$B$37)*H36),H36)</f>
        <v>34651.0433581761</v>
      </c>
      <c r="J36" s="12" t="n">
        <f aca="false">MAX(0,(J35-MIN(MAX(IF(28&lt;35,$E$4*(1+Assumptions!$B$10)^28,0),IF(A35&lt;=70,Assumptions!$B$36,Assumptions!$B$37)*J35),J35))*(1+Assumptions!$B$35))</f>
        <v>176332.073236948</v>
      </c>
      <c r="K36" s="12" t="n">
        <f aca="false">MIN(MAX(IF(29&lt;35,$E$4*(1+Assumptions!$B$10)^29,0),IF(A36&lt;=70,Assumptions!$B$36,Assumptions!$B$37)*J36),J36)</f>
        <v>31540.3833256416</v>
      </c>
      <c r="L36" s="12" t="n">
        <f aca="false">MAX(E36,G36,I36,K36)</f>
        <v>34651.0433581761</v>
      </c>
      <c r="M36" s="5" t="str">
        <f aca="false">IF(A36&gt;=85,IF(C36&gt;=L36,"PASS","FAIL"),"")</f>
        <v>PASS</v>
      </c>
    </row>
    <row r="37" customFormat="false" ht="15" hidden="false" customHeight="true" outlineLevel="0" collapsed="false">
      <c r="A37" s="74" t="n">
        <v>95</v>
      </c>
      <c r="B37" s="12" t="n">
        <f aca="false">MAX(0,(B36-IF(A36&lt;Assumptions!$B$5,MAX(IF(A36&lt;=70,Assumptions!$B$36,Assumptions!$B$37)*B36,Pricing!$B$14),IF(A36&lt;=70,Assumptions!$B$36,Assumptions!$B$37)*B36))*(1+Assumptions!$B$35))</f>
        <v>387296.972726454</v>
      </c>
      <c r="C37" s="12" t="n">
        <f aca="false">IF(A37&lt;Assumptions!$B$5,MAX(0,MAX(IF(A37&lt;=70,Assumptions!$B$36,Assumptions!$B$37)*B37,Pricing!$B$14)-Pricing!$B$14),IF(B37&gt;0,IF(A37&lt;=70,Assumptions!$B$36,Assumptions!$B$37)*B37,0)+Assumptions!$B$9*(1+Assumptions!$B$10)^30)</f>
        <v>48346.6339819764</v>
      </c>
      <c r="D37" s="12" t="n">
        <f aca="false">MAX(0,(D36-IF(A36&lt;=70,Assumptions!$B$36,Assumptions!$B$37)*D36)*(1+Assumptions!$B$35))</f>
        <v>387296.972726454</v>
      </c>
      <c r="E37" s="12" t="n">
        <f aca="false">IF(A37&lt;=70,Assumptions!$B$36,Assumptions!$B$37)*D37</f>
        <v>19364.8486363227</v>
      </c>
      <c r="F37" s="27" t="n">
        <f aca="false">MAX(0,(F36-MIN(MAX(IF(29&lt;25,$C$4*(1+Assumptions!$B$10)^29,0),IF(A36&lt;=70,Assumptions!$B$36,Assumptions!$B$37)*F36),F36))*(1+Assumptions!$B$35))</f>
        <v>5.71110067998481E-010</v>
      </c>
      <c r="G37" s="27" t="n">
        <f aca="false">MIN(MAX(IF(30&lt;25,$C$4*(1+Assumptions!$B$10)^30,0),IF(A37&lt;=70,Assumptions!$B$36,Assumptions!$B$37)*F37),F37)</f>
        <v>2.8555503399924E-011</v>
      </c>
      <c r="H37" s="27" t="n">
        <f aca="false">MAX(0,(H36-MIN(MAX(IF(29&lt;30,$D$4*(1+Assumptions!$B$10)^29,0),IF(A36&lt;=70,Assumptions!$B$36,Assumptions!$B$37)*H36),H36))*(1+Assumptions!$B$35))</f>
        <v>7.48196907807142E-010</v>
      </c>
      <c r="I37" s="27" t="n">
        <f aca="false">MIN(MAX(IF(30&lt;30,$D$4*(1+Assumptions!$B$10)^30,0),IF(A37&lt;=70,Assumptions!$B$36,Assumptions!$B$37)*H37),H37)</f>
        <v>3.74098453903571E-011</v>
      </c>
      <c r="J37" s="12" t="n">
        <f aca="false">MAX(0,(J36-MIN(MAX(IF(29&lt;35,$E$4*(1+Assumptions!$B$10)^29,0),IF(A36&lt;=70,Assumptions!$B$36,Assumptions!$B$37)*J36),J36))*(1+Assumptions!$B$35))</f>
        <v>151929.920223934</v>
      </c>
      <c r="K37" s="12" t="n">
        <f aca="false">MIN(MAX(IF(30&lt;35,$E$4*(1+Assumptions!$B$10)^30,0),IF(A37&lt;=70,Assumptions!$B$36,Assumptions!$B$37)*J37),J37)</f>
        <v>32171.1909921544</v>
      </c>
      <c r="L37" s="12" t="n">
        <f aca="false">MAX(E37,G37,I37,K37)</f>
        <v>32171.1909921544</v>
      </c>
      <c r="M37" s="5" t="str">
        <f aca="false">IF(A37&gt;=85,IF(C37&gt;=L37,"PASS","FAIL"),"")</f>
        <v>PASS</v>
      </c>
    </row>
    <row r="38" customFormat="false" ht="15" hidden="false" customHeight="true" outlineLevel="0" collapsed="false">
      <c r="A38" s="74" t="n">
        <v>96</v>
      </c>
      <c r="B38" s="12" t="n">
        <f aca="false">MAX(0,(B37-IF(A37&lt;Assumptions!$B$5,MAX(IF(A37&lt;=70,Assumptions!$B$36,Assumptions!$B$37)*B37,Pricing!$B$14),IF(A37&lt;=70,Assumptions!$B$36,Assumptions!$B$37)*B37))*(1+Assumptions!$B$35))</f>
        <v>386071.177807775</v>
      </c>
      <c r="C38" s="12" t="n">
        <f aca="false">IF(A38&lt;Assumptions!$B$5,MAX(0,MAX(IF(A38&lt;=70,Assumptions!$B$36,Assumptions!$B$37)*B38,Pricing!$B$14)-Pricing!$B$14),IF(B38&gt;0,IF(A38&lt;=70,Assumptions!$B$36,Assumptions!$B$37)*B38,0)+Assumptions!$B$9*(1+Assumptions!$B$10)^31)</f>
        <v>48864.9799429555</v>
      </c>
      <c r="D38" s="12" t="n">
        <f aca="false">MAX(0,(D37-IF(A37&lt;=70,Assumptions!$B$36,Assumptions!$B$37)*D37)*(1+Assumptions!$B$35))</f>
        <v>386071.177807775</v>
      </c>
      <c r="E38" s="12" t="n">
        <f aca="false">IF(A38&lt;=70,Assumptions!$B$36,Assumptions!$B$37)*D38</f>
        <v>19303.5588903887</v>
      </c>
      <c r="F38" s="27" t="n">
        <f aca="false">MAX(0,(F37-MIN(MAX(IF(30&lt;25,$C$4*(1+Assumptions!$B$10)^30,0),IF(A37&lt;=70,Assumptions!$B$36,Assumptions!$B$37)*F37),F37))*(1+Assumptions!$B$35))</f>
        <v>5.69302504633265E-010</v>
      </c>
      <c r="G38" s="27" t="n">
        <f aca="false">MIN(MAX(IF(31&lt;25,$C$4*(1+Assumptions!$B$10)^31,0),IF(A38&lt;=70,Assumptions!$B$36,Assumptions!$B$37)*F38),F38)</f>
        <v>2.84651252316633E-011</v>
      </c>
      <c r="H38" s="27" t="n">
        <f aca="false">MAX(0,(H37-MIN(MAX(IF(30&lt;30,$D$4*(1+Assumptions!$B$10)^30,0),IF(A37&lt;=70,Assumptions!$B$36,Assumptions!$B$37)*H37),H37))*(1+Assumptions!$B$35))</f>
        <v>7.45828864593932E-010</v>
      </c>
      <c r="I38" s="27" t="n">
        <f aca="false">MIN(MAX(IF(31&lt;30,$D$4*(1+Assumptions!$B$10)^31,0),IF(A38&lt;=70,Assumptions!$B$36,Assumptions!$B$37)*H38),H38)</f>
        <v>3.72914432296966E-011</v>
      </c>
      <c r="J38" s="12" t="n">
        <f aca="false">MAX(0,(J37-MIN(MAX(IF(30&lt;35,$E$4*(1+Assumptions!$B$10)^30,0),IF(A37&lt;=70,Assumptions!$B$36,Assumptions!$B$37)*J37),J37))*(1+Assumptions!$B$35))</f>
        <v>125662.834582906</v>
      </c>
      <c r="K38" s="12" t="n">
        <f aca="false">MIN(MAX(IF(31&lt;35,$E$4*(1+Assumptions!$B$10)^31,0),IF(A38&lt;=70,Assumptions!$B$36,Assumptions!$B$37)*J38),J38)</f>
        <v>32814.6148119975</v>
      </c>
      <c r="L38" s="12" t="n">
        <f aca="false">MAX(E38,G38,I38,K38)</f>
        <v>32814.6148119975</v>
      </c>
      <c r="M38" s="5" t="str">
        <f aca="false">IF(A38&gt;=85,IF(C38&gt;=L38,"PASS","FAIL"),"")</f>
        <v>PASS</v>
      </c>
    </row>
    <row r="39" customFormat="false" ht="15" hidden="false" customHeight="true" outlineLevel="0" collapsed="false">
      <c r="A39" s="74" t="n">
        <v>97</v>
      </c>
      <c r="B39" s="12" t="n">
        <f aca="false">MAX(0,(B38-IF(A38&lt;Assumptions!$B$5,MAX(IF(A38&lt;=70,Assumptions!$B$36,Assumptions!$B$37)*B38,Pricing!$B$14),IF(A38&lt;=70,Assumptions!$B$36,Assumptions!$B$37)*B38))*(1+Assumptions!$B$35))</f>
        <v>384849.262530013</v>
      </c>
      <c r="C39" s="12" t="n">
        <f aca="false">IF(A39&lt;Assumptions!$B$5,MAX(0,MAX(IF(A39&lt;=70,Assumptions!$B$36,Assumptions!$B$37)*B39,Pricing!$B$14)-Pricing!$B$14),IF(B39&gt;0,IF(A39&lt;=70,Assumptions!$B$36,Assumptions!$B$37)*B39,0)+Assumptions!$B$9*(1+Assumptions!$B$10)^32)</f>
        <v>49395.1126001187</v>
      </c>
      <c r="D39" s="12" t="n">
        <f aca="false">MAX(0,(D38-IF(A38&lt;=70,Assumptions!$B$36,Assumptions!$B$37)*D38)*(1+Assumptions!$B$35))</f>
        <v>384849.262530013</v>
      </c>
      <c r="E39" s="12" t="n">
        <f aca="false">IF(A39&lt;=70,Assumptions!$B$36,Assumptions!$B$37)*D39</f>
        <v>19242.4631265006</v>
      </c>
      <c r="F39" s="27" t="n">
        <f aca="false">MAX(0,(F38-MIN(MAX(IF(31&lt;25,$C$4*(1+Assumptions!$B$10)^31,0),IF(A38&lt;=70,Assumptions!$B$36,Assumptions!$B$37)*F38),F38))*(1+Assumptions!$B$35))</f>
        <v>5.67500662206101E-010</v>
      </c>
      <c r="G39" s="27" t="n">
        <f aca="false">MIN(MAX(IF(32&lt;25,$C$4*(1+Assumptions!$B$10)^32,0),IF(A39&lt;=70,Assumptions!$B$36,Assumptions!$B$37)*F39),F39)</f>
        <v>2.8375033110305E-011</v>
      </c>
      <c r="H39" s="27" t="n">
        <f aca="false">MAX(0,(H38-MIN(MAX(IF(31&lt;30,$D$4*(1+Assumptions!$B$10)^31,0),IF(A38&lt;=70,Assumptions!$B$36,Assumptions!$B$37)*H38),H38))*(1+Assumptions!$B$35))</f>
        <v>7.43468316237492E-010</v>
      </c>
      <c r="I39" s="27" t="n">
        <f aca="false">MIN(MAX(IF(32&lt;30,$D$4*(1+Assumptions!$B$10)^32,0),IF(A39&lt;=70,Assumptions!$B$36,Assumptions!$B$37)*H39),H39)</f>
        <v>3.71734158118746E-011</v>
      </c>
      <c r="J39" s="12" t="n">
        <f aca="false">MAX(0,(J38-MIN(MAX(IF(31&lt;35,$E$4*(1+Assumptions!$B$10)^31,0),IF(A38&lt;=70,Assumptions!$B$36,Assumptions!$B$37)*J38),J38))*(1+Assumptions!$B$35))</f>
        <v>97425.6370056143</v>
      </c>
      <c r="K39" s="12" t="n">
        <f aca="false">MIN(MAX(IF(32&lt;35,$E$4*(1+Assumptions!$B$10)^32,0),IF(A39&lt;=70,Assumptions!$B$36,Assumptions!$B$37)*J39),J39)</f>
        <v>33470.9071082374</v>
      </c>
      <c r="L39" s="12" t="n">
        <f aca="false">MAX(E39,G39,I39,K39)</f>
        <v>33470.9071082374</v>
      </c>
      <c r="M39" s="5" t="str">
        <f aca="false">IF(A39&gt;=85,IF(C39&gt;=L39,"PASS","FAIL"),"")</f>
        <v>PASS</v>
      </c>
    </row>
    <row r="40" customFormat="false" ht="15" hidden="false" customHeight="true" outlineLevel="0" collapsed="false">
      <c r="A40" s="74" t="n">
        <v>98</v>
      </c>
      <c r="B40" s="12" t="n">
        <f aca="false">MAX(0,(B39-IF(A39&lt;Assumptions!$B$5,MAX(IF(A39&lt;=70,Assumptions!$B$36,Assumptions!$B$37)*B39,Pricing!$B$14),IF(A39&lt;=70,Assumptions!$B$36,Assumptions!$B$37)*B39))*(1+Assumptions!$B$35))</f>
        <v>383631.214614105</v>
      </c>
      <c r="C40" s="12" t="n">
        <f aca="false">IF(A40&lt;Assumptions!$B$5,MAX(0,MAX(IF(A40&lt;=70,Assumptions!$B$36,Assumptions!$B$37)*B40,Pricing!$B$14)-Pricing!$B$14),IF(B40&gt;0,IF(A40&lt;=70,Assumptions!$B$36,Assumptions!$B$37)*B40,0)+Assumptions!$B$9*(1+Assumptions!$B$10)^33)</f>
        <v>49937.2631937957</v>
      </c>
      <c r="D40" s="12" t="n">
        <f aca="false">MAX(0,(D39-IF(A39&lt;=70,Assumptions!$B$36,Assumptions!$B$37)*D39)*(1+Assumptions!$B$35))</f>
        <v>383631.214614105</v>
      </c>
      <c r="E40" s="12" t="n">
        <f aca="false">IF(A40&lt;=70,Assumptions!$B$36,Assumptions!$B$37)*D40</f>
        <v>19181.5607307053</v>
      </c>
      <c r="F40" s="27" t="n">
        <f aca="false">MAX(0,(F39-MIN(MAX(IF(32&lt;25,$C$4*(1+Assumptions!$B$10)^32,0),IF(A39&lt;=70,Assumptions!$B$36,Assumptions!$B$37)*F39),F39))*(1+Assumptions!$B$35))</f>
        <v>5.65704522610219E-010</v>
      </c>
      <c r="G40" s="27" t="n">
        <f aca="false">MIN(MAX(IF(33&lt;25,$C$4*(1+Assumptions!$B$10)^33,0),IF(A40&lt;=70,Assumptions!$B$36,Assumptions!$B$37)*F40),F40)</f>
        <v>2.82852261305109E-011</v>
      </c>
      <c r="H40" s="27" t="n">
        <f aca="false">MAX(0,(H39-MIN(MAX(IF(32&lt;30,$D$4*(1+Assumptions!$B$10)^32,0),IF(A39&lt;=70,Assumptions!$B$36,Assumptions!$B$37)*H39),H39))*(1+Assumptions!$B$35))</f>
        <v>7.411152390166E-010</v>
      </c>
      <c r="I40" s="27" t="n">
        <f aca="false">MIN(MAX(IF(33&lt;30,$D$4*(1+Assumptions!$B$10)^33,0),IF(A40&lt;=70,Assumptions!$B$36,Assumptions!$B$37)*H40),H40)</f>
        <v>3.705576195083E-011</v>
      </c>
      <c r="J40" s="12" t="n">
        <f aca="false">MAX(0,(J39-MIN(MAX(IF(32&lt;35,$E$4*(1+Assumptions!$B$10)^32,0),IF(A39&lt;=70,Assumptions!$B$36,Assumptions!$B$37)*J39),J39))*(1+Assumptions!$B$35))</f>
        <v>67107.6980813176</v>
      </c>
      <c r="K40" s="12" t="n">
        <f aca="false">MIN(MAX(IF(33&lt;35,$E$4*(1+Assumptions!$B$10)^33,0),IF(A40&lt;=70,Assumptions!$B$36,Assumptions!$B$37)*J40),J40)</f>
        <v>34140.3252504022</v>
      </c>
      <c r="L40" s="12" t="n">
        <f aca="false">MAX(E40,G40,I40,K40)</f>
        <v>34140.3252504022</v>
      </c>
      <c r="M40" s="5" t="str">
        <f aca="false">IF(A40&gt;=85,IF(C40&gt;=L40,"PASS","FAIL"),"")</f>
        <v>PASS</v>
      </c>
    </row>
    <row r="41" customFormat="false" ht="15" hidden="false" customHeight="true" outlineLevel="0" collapsed="false">
      <c r="A41" s="74" t="n">
        <v>99</v>
      </c>
      <c r="B41" s="12" t="n">
        <f aca="false">MAX(0,(B40-IF(A40&lt;Assumptions!$B$5,MAX(IF(A40&lt;=70,Assumptions!$B$36,Assumptions!$B$37)*B40,Pricing!$B$14),IF(A40&lt;=70,Assumptions!$B$36,Assumptions!$B$37)*B40))*(1+Assumptions!$B$35))</f>
        <v>382417.021819852</v>
      </c>
      <c r="C41" s="12" t="n">
        <f aca="false">IF(A41&lt;Assumptions!$B$5,MAX(0,MAX(IF(A41&lt;=70,Assumptions!$B$36,Assumptions!$B$37)*B41,Pricing!$B$14)-Pricing!$B$14),IF(B41&gt;0,IF(A41&lt;=70,Assumptions!$B$36,Assumptions!$B$37)*B41,0)+Assumptions!$B$9*(1+Assumptions!$B$10)^34)</f>
        <v>50491.6676033448</v>
      </c>
      <c r="D41" s="12" t="n">
        <f aca="false">MAX(0,(D40-IF(A40&lt;=70,Assumptions!$B$36,Assumptions!$B$37)*D40)*(1+Assumptions!$B$35))</f>
        <v>382417.021819852</v>
      </c>
      <c r="E41" s="12" t="n">
        <f aca="false">IF(A41&lt;=70,Assumptions!$B$36,Assumptions!$B$37)*D41</f>
        <v>19120.8510909926</v>
      </c>
      <c r="F41" s="27" t="n">
        <f aca="false">MAX(0,(F40-MIN(MAX(IF(33&lt;25,$C$4*(1+Assumptions!$B$10)^33,0),IF(A40&lt;=70,Assumptions!$B$36,Assumptions!$B$37)*F40),F40))*(1+Assumptions!$B$35))</f>
        <v>5.63914067796157E-010</v>
      </c>
      <c r="G41" s="27" t="n">
        <f aca="false">MIN(MAX(IF(34&lt;25,$C$4*(1+Assumptions!$B$10)^34,0),IF(A41&lt;=70,Assumptions!$B$36,Assumptions!$B$37)*F41),F41)</f>
        <v>2.81957033898079E-011</v>
      </c>
      <c r="H41" s="27" t="n">
        <f aca="false">MAX(0,(H40-MIN(MAX(IF(33&lt;30,$D$4*(1+Assumptions!$B$10)^33,0),IF(A40&lt;=70,Assumptions!$B$36,Assumptions!$B$37)*H40),H40))*(1+Assumptions!$B$35))</f>
        <v>7.38769609285113E-010</v>
      </c>
      <c r="I41" s="27" t="n">
        <f aca="false">MIN(MAX(IF(34&lt;30,$D$4*(1+Assumptions!$B$10)^34,0),IF(A41&lt;=70,Assumptions!$B$36,Assumptions!$B$37)*H41),H41)</f>
        <v>3.69384804642556E-011</v>
      </c>
      <c r="J41" s="12" t="n">
        <f aca="false">MAX(0,(J40-MIN(MAX(IF(33&lt;35,$E$4*(1+Assumptions!$B$10)^33,0),IF(A40&lt;=70,Assumptions!$B$36,Assumptions!$B$37)*J40),J40))*(1+Assumptions!$B$35))</f>
        <v>34592.6643114795</v>
      </c>
      <c r="K41" s="12" t="n">
        <f aca="false">MIN(MAX(IF(34&lt;35,$E$4*(1+Assumptions!$B$10)^34,0),IF(A41&lt;=70,Assumptions!$B$36,Assumptions!$B$37)*J41),J41)</f>
        <v>34592.6643114795</v>
      </c>
      <c r="L41" s="12" t="n">
        <f aca="false">MAX(E41,G41,I41,K41)</f>
        <v>34592.6643114795</v>
      </c>
      <c r="M41" s="5" t="str">
        <f aca="false">IF(A41&gt;=85,IF(C41&gt;=L41,"PASS","FAIL"),"")</f>
        <v>PASS</v>
      </c>
    </row>
    <row r="42" customFormat="false" ht="15" hidden="false" customHeight="true" outlineLevel="0" collapsed="false">
      <c r="A42" s="74" t="n">
        <v>100</v>
      </c>
      <c r="B42" s="12" t="n">
        <f aca="false">MAX(0,(B41-IF(A41&lt;Assumptions!$B$5,MAX(IF(A41&lt;=70,Assumptions!$B$36,Assumptions!$B$37)*B41,Pricing!$B$14),IF(A41&lt;=70,Assumptions!$B$36,Assumptions!$B$37)*B41))*(1+Assumptions!$B$35))</f>
        <v>381206.671945792</v>
      </c>
      <c r="C42" s="12" t="n">
        <f aca="false">IF(A42&lt;Assumptions!$B$5,MAX(0,MAX(IF(A42&lt;=70,Assumptions!$B$36,Assumptions!$B$37)*B42,Pricing!$B$14)-Pricing!$B$14),IF(B42&gt;0,IF(A42&lt;=70,Assumptions!$B$36,Assumptions!$B$37)*B42,0)+Assumptions!$B$9*(1+Assumptions!$B$10)^35)</f>
        <v>51058.5664398889</v>
      </c>
      <c r="D42" s="12" t="n">
        <f aca="false">MAX(0,(D41-IF(A41&lt;=70,Assumptions!$B$36,Assumptions!$B$37)*D41)*(1+Assumptions!$B$35))</f>
        <v>381206.671945792</v>
      </c>
      <c r="E42" s="12" t="n">
        <f aca="false">IF(A42&lt;=70,Assumptions!$B$36,Assumptions!$B$37)*D42</f>
        <v>19060.3335972896</v>
      </c>
      <c r="F42" s="27" t="n">
        <f aca="false">MAX(0,(F41-MIN(MAX(IF(34&lt;25,$C$4*(1+Assumptions!$B$10)^34,0),IF(A41&lt;=70,Assumptions!$B$36,Assumptions!$B$37)*F41),F41))*(1+Assumptions!$B$35))</f>
        <v>5.62129279771582E-010</v>
      </c>
      <c r="G42" s="27" t="n">
        <f aca="false">MIN(MAX(IF(35&lt;25,$C$4*(1+Assumptions!$B$10)^35,0),IF(A42&lt;=70,Assumptions!$B$36,Assumptions!$B$37)*F42),F42)</f>
        <v>2.81064639885791E-011</v>
      </c>
      <c r="H42" s="27" t="n">
        <f aca="false">MAX(0,(H41-MIN(MAX(IF(34&lt;30,$D$4*(1+Assumptions!$B$10)^34,0),IF(A41&lt;=70,Assumptions!$B$36,Assumptions!$B$37)*H41),H41))*(1+Assumptions!$B$35))</f>
        <v>7.36431403471725E-010</v>
      </c>
      <c r="I42" s="27" t="n">
        <f aca="false">MIN(MAX(IF(35&lt;30,$D$4*(1+Assumptions!$B$10)^35,0),IF(A42&lt;=70,Assumptions!$B$36,Assumptions!$B$37)*H42),H42)</f>
        <v>3.68215701735863E-011</v>
      </c>
      <c r="J42" s="5" t="n">
        <f aca="false">MAX(0,(J41-MIN(MAX(IF(34&lt;35,$E$4*(1+Assumptions!$B$10)^34,0),IF(A41&lt;=70,Assumptions!$B$36,Assumptions!$B$37)*J41),J41))*(1+Assumptions!$B$35))</f>
        <v>0</v>
      </c>
      <c r="K42" s="5" t="n">
        <f aca="false">MIN(MAX(IF(35&lt;35,$E$4*(1+Assumptions!$B$10)^35,0),IF(A42&lt;=70,Assumptions!$B$36,Assumptions!$B$37)*J42),J42)</f>
        <v>0</v>
      </c>
      <c r="L42" s="12" t="n">
        <f aca="false">MAX(E42,G42,I42,K42)</f>
        <v>19060.3335972896</v>
      </c>
      <c r="M42" s="5" t="str">
        <f aca="false">IF(A42&gt;=85,IF(C42&gt;=L42,"PASS","FAIL"),"")</f>
        <v>PASS</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8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2" min="1" style="1" width="12"/>
    <col collapsed="false" customWidth="true" hidden="false" outlineLevel="0" max="20" min="13" style="1" width="15"/>
  </cols>
  <sheetData>
    <row r="1" customFormat="false" ht="15.75" hidden="false" customHeight="true" outlineLevel="0" collapsed="false">
      <c r="A1" s="1" t="s">
        <v>2208</v>
      </c>
    </row>
    <row r="2" customFormat="false" ht="15" hidden="false" customHeight="true" outlineLevel="0" collapsed="false">
      <c r="A2" s="1" t="s">
        <v>2209</v>
      </c>
    </row>
    <row r="3" customFormat="false" ht="15" hidden="false" customHeight="true" outlineLevel="0" collapsed="false">
      <c r="A3" s="1" t="s">
        <v>802</v>
      </c>
      <c r="B3" s="1" t="s">
        <v>804</v>
      </c>
      <c r="C3" s="1" t="s">
        <v>805</v>
      </c>
      <c r="D3" s="1" t="s">
        <v>806</v>
      </c>
      <c r="E3" s="1" t="s">
        <v>807</v>
      </c>
      <c r="F3" s="1" t="s">
        <v>808</v>
      </c>
      <c r="G3" s="1" t="s">
        <v>809</v>
      </c>
      <c r="H3" s="1" t="s">
        <v>810</v>
      </c>
      <c r="I3" s="1" t="s">
        <v>811</v>
      </c>
      <c r="J3" s="1" t="s">
        <v>812</v>
      </c>
      <c r="K3" s="1" t="s">
        <v>813</v>
      </c>
      <c r="L3" s="1" t="s">
        <v>814</v>
      </c>
      <c r="M3" s="1" t="s">
        <v>2210</v>
      </c>
      <c r="N3" s="1" t="s">
        <v>2211</v>
      </c>
      <c r="O3" s="1" t="s">
        <v>2212</v>
      </c>
      <c r="P3" s="1" t="s">
        <v>2213</v>
      </c>
      <c r="Q3" s="1" t="s">
        <v>2214</v>
      </c>
      <c r="R3" s="1" t="s">
        <v>2215</v>
      </c>
      <c r="S3" s="1" t="s">
        <v>2216</v>
      </c>
      <c r="T3" s="1" t="s">
        <v>2217</v>
      </c>
    </row>
    <row r="4" customFormat="false" ht="15" hidden="false" customHeight="true" outlineLevel="0" collapsed="false">
      <c r="A4" s="5" t="n">
        <f aca="false">ROW()-4</f>
        <v>0</v>
      </c>
      <c r="B4" s="12" t="n">
        <f aca="false">SUMIFS(Projection!$P$4:$P$59,Projection!$B$4:$B$59,"&gt;="&amp;(Assumptions!$B$4+A4))/Discount!C4</f>
        <v>-3913.27258476668</v>
      </c>
      <c r="C4" s="12" t="n">
        <f aca="false">(Projection!F4/Projection!Q4)*SUMIFS(Projection!$R$4:$R$59,Projection!$B$4:$B$59,"&gt;="&amp;(Assumptions!$B$4+A4))/Discount!C4</f>
        <v>10910.4695452896</v>
      </c>
      <c r="D4" s="12" t="n">
        <f aca="false">(Projection!F4/Projection!S4)*SUMIFS(Projection!$T$4:$T$59,Projection!$B$4:$B$59,"&gt;="&amp;(Assumptions!$B$4+A4))/Discount!C4</f>
        <v>-7758.75058086266</v>
      </c>
      <c r="E4" s="12" t="n">
        <f aca="false">(Projection!F4/Projection!U4)*SUMIFS(Projection!$V$4:$V$59,Projection!$B$4:$B$59,"&gt;="&amp;(Assumptions!$B$4+A4))/Discount!C4</f>
        <v>530.862392008262</v>
      </c>
      <c r="F4" s="12" t="n">
        <f aca="false">SUMIFS(Projection!$W$4:$W$59,Projection!$B$4:$B$59,"&gt;="&amp;(Assumptions!$B$4+A4))/Discount!C4</f>
        <v>-3514.69654462751</v>
      </c>
      <c r="G4" s="12" t="n">
        <f aca="false">MAX(0,C4-B4)</f>
        <v>14823.7421300562</v>
      </c>
      <c r="H4" s="12" t="n">
        <f aca="false">MAX(MAX(0,D4-B4),MAX(0,E4-B4),IF(A4&lt;Assumptions!$B$6,MAX(0,-Assumptions!$B$22*B4),0))</f>
        <v>4444.13497677495</v>
      </c>
      <c r="I4" s="48" t="n">
        <f aca="false">MAX(0,F4-B4)</f>
        <v>398.576040139176</v>
      </c>
      <c r="J4" s="12" t="n">
        <f aca="false">SQRT(G4^2+H4^2+I4^2+2*Assumptions!$B$26*G4*H4+2*Assumptions!$B$27*G4*I4+2*Assumptions!$B$28*H4*I4)</f>
        <v>16652.8497463172</v>
      </c>
      <c r="K4" s="12" t="n">
        <f aca="false">J4*Discount!C4</f>
        <v>16652.8497463172</v>
      </c>
      <c r="L4" s="12" t="n">
        <f aca="false">Assumptions!$B$29*SUM(K4:K59)/Discount!C4</f>
        <v>20767.4548564818</v>
      </c>
      <c r="M4" s="12" t="n">
        <f aca="false">IF(A4&gt;=Assumptions!$B$6,Assumptions!$B$45*Reserving!$E$5*Discount!$C$19/Discount!C4,G4)</f>
        <v>14823.7421300562</v>
      </c>
      <c r="N4" s="12" t="n">
        <f aca="false">SQRT(M4^2+H4^2+I4^2+2*Assumptions!$B$26*M4*H4+2*Assumptions!$B$27*M4*I4+2*Assumptions!$B$28*H4*I4)</f>
        <v>16652.8497463172</v>
      </c>
      <c r="O4" s="12" t="n">
        <f aca="false">N4*Discount!C4</f>
        <v>16652.8497463172</v>
      </c>
      <c r="P4" s="12" t="n">
        <f aca="false">Assumptions!$B$29*SUM(O4:O59)/Discount!C4</f>
        <v>24292.7831709885</v>
      </c>
      <c r="Q4" s="12" t="n">
        <f aca="false">IF(A4&gt;=Assumptions!$B$6,0,G4)</f>
        <v>14823.7421300562</v>
      </c>
      <c r="R4" s="12" t="n">
        <f aca="false">SQRT(Q4^2+H4^2+I4^2+2*Assumptions!$B$26*Q4*H4+2*Assumptions!$B$27*Q4*I4+2*Assumptions!$B$28*H4*I4)</f>
        <v>16652.8497463172</v>
      </c>
      <c r="S4" s="12" t="n">
        <f aca="false">R4*Discount!C4</f>
        <v>16652.8497463172</v>
      </c>
      <c r="T4" s="12" t="n">
        <f aca="false">Assumptions!$B$29*SUM(S4:S59)/Discount!C4</f>
        <v>13828.3139094647</v>
      </c>
    </row>
    <row r="5" customFormat="false" ht="15" hidden="false" customHeight="true" outlineLevel="0" collapsed="false">
      <c r="A5" s="11" t="n">
        <f aca="false">ROW()-4</f>
        <v>1</v>
      </c>
      <c r="B5" s="12" t="n">
        <f aca="false">SUMIFS(Projection!$P$4:$P$59,Projection!$B$4:$B$59,"&gt;="&amp;(Assumptions!$B$4+A5))/Discount!C5</f>
        <v>-4098.98986106723</v>
      </c>
      <c r="C5" s="12" t="n">
        <f aca="false">(Projection!F5/Projection!Q5)*SUMIFS(Projection!$R$4:$R$59,Projection!$B$4:$B$59,"&gt;="&amp;(Assumptions!$B$4+A5))/Discount!C5</f>
        <v>11098.0179763499</v>
      </c>
      <c r="D5" s="12" t="n">
        <f aca="false">(Projection!F5/Projection!S5)*SUMIFS(Projection!$T$4:$T$59,Projection!$B$4:$B$59,"&gt;="&amp;(Assumptions!$B$4+A5))/Discount!C5</f>
        <v>-8218.18552808499</v>
      </c>
      <c r="E5" s="12" t="n">
        <f aca="false">(Projection!F5/Projection!U5)*SUMIFS(Projection!$V$4:$V$59,Projection!$B$4:$B$59,"&gt;="&amp;(Assumptions!$B$4+A5))/Discount!C5</f>
        <v>450.97270225659</v>
      </c>
      <c r="F5" s="12" t="n">
        <f aca="false">SUMIFS(Projection!$W$4:$W$59,Projection!$B$4:$B$59,"&gt;="&amp;(Assumptions!$B$4+A5))/Discount!C5</f>
        <v>-3698.47965892604</v>
      </c>
      <c r="G5" s="12" t="n">
        <f aca="false">MAX(0,C5-B5)</f>
        <v>15197.0078374171</v>
      </c>
      <c r="H5" s="12" t="n">
        <f aca="false">MAX(MAX(0,D5-B5),MAX(0,E5-B5),IF(A5&lt;Assumptions!$B$6,MAX(0,-Assumptions!$B$22*B5),0))</f>
        <v>4549.96256332382</v>
      </c>
      <c r="I5" s="48" t="n">
        <f aca="false">MAX(0,F5-B5)</f>
        <v>400.510202141188</v>
      </c>
      <c r="J5" s="12" t="n">
        <f aca="false">SQRT(G5^2+H5^2+I5^2+2*Assumptions!$B$26*G5*H5+2*Assumptions!$B$27*G5*I5+2*Assumptions!$B$28*H5*I5)</f>
        <v>17066.051332807</v>
      </c>
      <c r="K5" s="12" t="n">
        <f aca="false">J5*Discount!C5</f>
        <v>16634.2268049505</v>
      </c>
      <c r="L5" s="12" t="n">
        <f aca="false">Assumptions!$B$29*SUM(K5:K59)/Discount!C5</f>
        <v>20281.4685210122</v>
      </c>
      <c r="M5" s="12" t="n">
        <f aca="false">IF(A5&gt;=Assumptions!$B$6,Assumptions!$B$45*Reserving!$E$5*Discount!$C$19/Discount!C5,G5)</f>
        <v>15197.0078374171</v>
      </c>
      <c r="N5" s="12" t="n">
        <f aca="false">SQRT(M5^2+H5^2+I5^2+2*Assumptions!$B$26*M5*H5+2*Assumptions!$B$27*M5*I5+2*Assumptions!$B$28*H5*I5)</f>
        <v>17066.051332807</v>
      </c>
      <c r="O5" s="12" t="n">
        <f aca="false">N5*Discount!C5</f>
        <v>16634.2268049505</v>
      </c>
      <c r="P5" s="12" t="n">
        <f aca="false">Assumptions!$B$29*SUM(O5:O59)/Discount!C5</f>
        <v>23898.3143585635</v>
      </c>
      <c r="Q5" s="12" t="n">
        <f aca="false">IF(A5&gt;=Assumptions!$B$6,0,G5)</f>
        <v>15197.0078374171</v>
      </c>
      <c r="R5" s="12" t="n">
        <f aca="false">SQRT(Q5^2+H5^2+I5^2+2*Assumptions!$B$26*Q5*H5+2*Assumptions!$B$27*Q5*I5+2*Assumptions!$B$28*H5*I5)</f>
        <v>17066.051332807</v>
      </c>
      <c r="S5" s="12" t="n">
        <f aca="false">R5*Discount!C5</f>
        <v>16634.2268049505</v>
      </c>
      <c r="T5" s="12" t="n">
        <f aca="false">Assumptions!$B$29*SUM(S5:S59)/Discount!C5</f>
        <v>13162.1874750105</v>
      </c>
    </row>
    <row r="6" customFormat="false" ht="15" hidden="false" customHeight="true" outlineLevel="0" collapsed="false">
      <c r="A6" s="11" t="n">
        <f aca="false">ROW()-4</f>
        <v>2</v>
      </c>
      <c r="B6" s="12" t="n">
        <f aca="false">SUMIFS(Projection!$P$4:$P$59,Projection!$B$4:$B$59,"&gt;="&amp;(Assumptions!$B$4+A6))/Discount!C6</f>
        <v>7173.467679121</v>
      </c>
      <c r="C6" s="12" t="n">
        <f aca="false">(Projection!F6/Projection!Q6)*SUMIFS(Projection!$R$4:$R$59,Projection!$B$4:$B$59,"&gt;="&amp;(Assumptions!$B$4+A6))/Discount!C6</f>
        <v>22748.3009732148</v>
      </c>
      <c r="D6" s="12" t="n">
        <f aca="false">(Projection!F6/Projection!S6)*SUMIFS(Projection!$T$4:$T$59,Projection!$B$4:$B$59,"&gt;="&amp;(Assumptions!$B$4+A6))/Discount!C6</f>
        <v>2977.89263081283</v>
      </c>
      <c r="E6" s="12" t="n">
        <f aca="false">(Projection!F6/Projection!U6)*SUMIFS(Projection!$V$4:$V$59,Projection!$B$4:$B$59,"&gt;="&amp;(Assumptions!$B$4+A6))/Discount!C6</f>
        <v>11714.3576023012</v>
      </c>
      <c r="F6" s="12" t="n">
        <f aca="false">SUMIFS(Projection!$W$4:$W$59,Projection!$B$4:$B$59,"&gt;="&amp;(Assumptions!$B$4+A6))/Discount!C6</f>
        <v>7575.49665934369</v>
      </c>
      <c r="G6" s="12" t="n">
        <f aca="false">MAX(0,C6-B6)</f>
        <v>15574.8332940938</v>
      </c>
      <c r="H6" s="12" t="n">
        <f aca="false">MAX(MAX(0,D6-B6),MAX(0,E6-B6),IF(A6&lt;Assumptions!$B$6,MAX(0,-Assumptions!$B$22*B6),0))</f>
        <v>4540.88992318017</v>
      </c>
      <c r="I6" s="48" t="n">
        <f aca="false">MAX(0,F6-B6)</f>
        <v>402.028980222688</v>
      </c>
      <c r="J6" s="12" t="n">
        <f aca="false">SQRT(G6^2+H6^2+I6^2+2*Assumptions!$B$26*G6*H6+2*Assumptions!$B$27*G6*I6+2*Assumptions!$B$28*H6*I6)</f>
        <v>17426.2697968519</v>
      </c>
      <c r="K6" s="12" t="n">
        <f aca="false">J6*Discount!C6</f>
        <v>16545.8708333277</v>
      </c>
      <c r="L6" s="12" t="n">
        <f aca="false">Assumptions!$B$29*SUM(K6:K59)/Discount!C6</f>
        <v>19768.9864748786</v>
      </c>
      <c r="M6" s="12" t="n">
        <f aca="false">IF(A6&gt;=Assumptions!$B$6,Assumptions!$B$45*Reserving!$E$5*Discount!$C$19/Discount!C6,G6)</f>
        <v>15574.8332940938</v>
      </c>
      <c r="N6" s="12" t="n">
        <f aca="false">SQRT(M6^2+H6^2+I6^2+2*Assumptions!$B$26*M6*H6+2*Assumptions!$B$27*M6*I6+2*Assumptions!$B$28*H6*I6)</f>
        <v>17426.2697968519</v>
      </c>
      <c r="O6" s="12" t="n">
        <f aca="false">N6*Discount!C6</f>
        <v>16545.8708333277</v>
      </c>
      <c r="P6" s="12" t="n">
        <f aca="false">Assumptions!$B$29*SUM(O6:O59)/Discount!C6</f>
        <v>23481.8960551548</v>
      </c>
      <c r="Q6" s="12" t="n">
        <f aca="false">IF(A6&gt;=Assumptions!$B$6,0,G6)</f>
        <v>15574.8332940938</v>
      </c>
      <c r="R6" s="12" t="n">
        <f aca="false">SQRT(Q6^2+H6^2+I6^2+2*Assumptions!$B$26*Q6*H6+2*Assumptions!$B$27*Q6*I6+2*Assumptions!$B$28*H6*I6)</f>
        <v>17426.2697968519</v>
      </c>
      <c r="S6" s="12" t="n">
        <f aca="false">R6*Discount!C6</f>
        <v>16545.8708333277</v>
      </c>
      <c r="T6" s="12" t="n">
        <f aca="false">Assumptions!$B$29*SUM(S6:S59)/Discount!C6</f>
        <v>12460.6166997724</v>
      </c>
    </row>
    <row r="7" customFormat="false" ht="15" hidden="false" customHeight="true" outlineLevel="0" collapsed="false">
      <c r="A7" s="11" t="n">
        <f aca="false">ROW()-4</f>
        <v>3</v>
      </c>
      <c r="B7" s="12" t="n">
        <f aca="false">SUMIFS(Projection!$P$4:$P$59,Projection!$B$4:$B$59,"&gt;="&amp;(Assumptions!$B$4+A7))/Discount!C7</f>
        <v>18427.0747553113</v>
      </c>
      <c r="C7" s="12" t="n">
        <f aca="false">(Projection!F7/Projection!Q7)*SUMIFS(Projection!$R$4:$R$59,Projection!$B$4:$B$59,"&gt;="&amp;(Assumptions!$B$4+A7))/Discount!C7</f>
        <v>34367.3518790415</v>
      </c>
      <c r="D7" s="12" t="n">
        <f aca="false">(Projection!F7/Projection!S7)*SUMIFS(Projection!$T$4:$T$59,Projection!$B$4:$B$59,"&gt;="&amp;(Assumptions!$B$4+A7))/Discount!C7</f>
        <v>14217.3957245804</v>
      </c>
      <c r="E7" s="12" t="n">
        <f aca="false">(Projection!F7/Projection!U7)*SUMIFS(Projection!$V$4:$V$59,Projection!$B$4:$B$59,"&gt;="&amp;(Assumptions!$B$4+A7))/Discount!C7</f>
        <v>22932.3800785133</v>
      </c>
      <c r="F7" s="12" t="n">
        <f aca="false">SUMIFS(Projection!$W$4:$W$59,Projection!$B$4:$B$59,"&gt;="&amp;(Assumptions!$B$4+A7))/Discount!C7</f>
        <v>18829.6582245373</v>
      </c>
      <c r="G7" s="12" t="n">
        <f aca="false">MAX(0,C7-B7)</f>
        <v>15940.2771237302</v>
      </c>
      <c r="H7" s="12" t="n">
        <f aca="false">MAX(MAX(0,D7-B7),MAX(0,E7-B7),IF(A7&lt;Assumptions!$B$6,MAX(0,-Assumptions!$B$22*B7),0))</f>
        <v>4505.30532320202</v>
      </c>
      <c r="I7" s="48" t="n">
        <f aca="false">MAX(0,F7-B7)</f>
        <v>402.583469226054</v>
      </c>
      <c r="J7" s="12" t="n">
        <f aca="false">SQRT(G7^2+H7^2+I7^2+2*Assumptions!$B$26*G7*H7+2*Assumptions!$B$27*G7*I7+2*Assumptions!$B$28*H7*I7)</f>
        <v>17761.8298453481</v>
      </c>
      <c r="K7" s="12" t="n">
        <f aca="false">J7*Discount!C7</f>
        <v>16433.9094819797</v>
      </c>
      <c r="L7" s="12" t="n">
        <f aca="false">Assumptions!$B$29*SUM(K7:K59)/Discount!C7</f>
        <v>19213.9636584817</v>
      </c>
      <c r="M7" s="12" t="n">
        <f aca="false">IF(A7&gt;=Assumptions!$B$6,Assumptions!$B$45*Reserving!$E$5*Discount!$C$19/Discount!C7,G7)</f>
        <v>15940.2771237302</v>
      </c>
      <c r="N7" s="12" t="n">
        <f aca="false">SQRT(M7^2+H7^2+I7^2+2*Assumptions!$B$26*M7*H7+2*Assumptions!$B$27*M7*I7+2*Assumptions!$B$28*H7*I7)</f>
        <v>17761.8298453481</v>
      </c>
      <c r="O7" s="12" t="n">
        <f aca="false">N7*Discount!C7</f>
        <v>16433.9094819797</v>
      </c>
      <c r="P7" s="12" t="n">
        <f aca="false">Assumptions!$B$29*SUM(O7:O59)/Discount!C7</f>
        <v>23024.1514741026</v>
      </c>
      <c r="Q7" s="12" t="n">
        <f aca="false">IF(A7&gt;=Assumptions!$B$6,0,G7)</f>
        <v>15940.2771237302</v>
      </c>
      <c r="R7" s="12" t="n">
        <f aca="false">SQRT(Q7^2+H7^2+I7^2+2*Assumptions!$B$26*Q7*H7+2*Assumptions!$B$27*Q7*I7+2*Assumptions!$B$28*H7*I7)</f>
        <v>17761.8298453481</v>
      </c>
      <c r="S7" s="12" t="n">
        <f aca="false">R7*Discount!C7</f>
        <v>16433.9094819797</v>
      </c>
      <c r="T7" s="12" t="n">
        <f aca="false">Assumptions!$B$29*SUM(S7:S59)/Discount!C7</f>
        <v>11714.1145867222</v>
      </c>
    </row>
    <row r="8" customFormat="false" ht="15" hidden="false" customHeight="true" outlineLevel="0" collapsed="false">
      <c r="A8" s="11" t="n">
        <f aca="false">ROW()-4</f>
        <v>4</v>
      </c>
      <c r="B8" s="12" t="n">
        <f aca="false">SUMIFS(Projection!$P$4:$P$59,Projection!$B$4:$B$59,"&gt;="&amp;(Assumptions!$B$4+A8))/Discount!C8</f>
        <v>29774.1432137266</v>
      </c>
      <c r="C8" s="12" t="n">
        <f aca="false">(Projection!F8/Projection!Q8)*SUMIFS(Projection!$R$4:$R$59,Projection!$B$4:$B$59,"&gt;="&amp;(Assumptions!$B$4+A8))/Discount!C8</f>
        <v>46077.6790449917</v>
      </c>
      <c r="D8" s="12" t="n">
        <f aca="false">(Projection!F8/Projection!S8)*SUMIFS(Projection!$T$4:$T$59,Projection!$B$4:$B$59,"&gt;="&amp;(Assumptions!$B$4+A8))/Discount!C8</f>
        <v>25624.6822660334</v>
      </c>
      <c r="E8" s="12" t="n">
        <f aca="false">(Projection!F8/Projection!U8)*SUMIFS(Projection!$V$4:$V$59,Projection!$B$4:$B$59,"&gt;="&amp;(Assumptions!$B$4+A8))/Discount!C8</f>
        <v>34169.5403699891</v>
      </c>
      <c r="F8" s="12" t="n">
        <f aca="false">SUMIFS(Projection!$W$4:$W$59,Projection!$B$4:$B$59,"&gt;="&amp;(Assumptions!$B$4+A8))/Discount!C8</f>
        <v>30176.545515758</v>
      </c>
      <c r="G8" s="12" t="n">
        <f aca="false">MAX(0,C8-B8)</f>
        <v>16303.5358312651</v>
      </c>
      <c r="H8" s="12" t="n">
        <f aca="false">MAX(MAX(0,D8-B8),MAX(0,E8-B8),IF(A8&lt;Assumptions!$B$6,MAX(0,-Assumptions!$B$22*B8),0))</f>
        <v>4395.39715626255</v>
      </c>
      <c r="I8" s="48" t="n">
        <f aca="false">MAX(0,F8-B8)</f>
        <v>402.402302031423</v>
      </c>
      <c r="J8" s="12" t="n">
        <f aca="false">SQRT(G8^2+H8^2+I8^2+2*Assumptions!$B$26*G8*H8+2*Assumptions!$B$27*G8*I8+2*Assumptions!$B$28*H8*I8)</f>
        <v>18060.0661681813</v>
      </c>
      <c r="K8" s="12" t="n">
        <f aca="false">J8*Discount!C8</f>
        <v>16274.9800483383</v>
      </c>
      <c r="L8" s="12" t="n">
        <f aca="false">Assumptions!$B$29*SUM(K8:K59)/Discount!C8</f>
        <v>18633.1767391431</v>
      </c>
      <c r="M8" s="12" t="n">
        <f aca="false">IF(A8&gt;=Assumptions!$B$6,Assumptions!$B$45*Reserving!$E$5*Discount!$C$19/Discount!C8,G8)</f>
        <v>16303.5358312651</v>
      </c>
      <c r="N8" s="12" t="n">
        <f aca="false">SQRT(M8^2+H8^2+I8^2+2*Assumptions!$B$26*M8*H8+2*Assumptions!$B$27*M8*I8+2*Assumptions!$B$28*H8*I8)</f>
        <v>18060.0661681813</v>
      </c>
      <c r="O8" s="12" t="n">
        <f aca="false">N8*Discount!C8</f>
        <v>16274.9800483383</v>
      </c>
      <c r="P8" s="12" t="n">
        <f aca="false">Assumptions!$B$29*SUM(O8:O59)/Discount!C8</f>
        <v>22545.1730940053</v>
      </c>
      <c r="Q8" s="12" t="n">
        <f aca="false">IF(A8&gt;=Assumptions!$B$6,0,G8)</f>
        <v>16303.5358312651</v>
      </c>
      <c r="R8" s="12" t="n">
        <f aca="false">SQRT(Q8^2+H8^2+I8^2+2*Assumptions!$B$26*Q8*H8+2*Assumptions!$B$27*Q8*I8+2*Assumptions!$B$28*H8*I8)</f>
        <v>18060.0661681813</v>
      </c>
      <c r="S8" s="12" t="n">
        <f aca="false">R8*Discount!C8</f>
        <v>16274.9800483383</v>
      </c>
      <c r="T8" s="12" t="n">
        <f aca="false">Assumptions!$B$29*SUM(S8:S59)/Discount!C8</f>
        <v>10932.9310687184</v>
      </c>
    </row>
    <row r="9" customFormat="false" ht="15" hidden="false" customHeight="true" outlineLevel="0" collapsed="false">
      <c r="A9" s="11" t="n">
        <f aca="false">ROW()-4</f>
        <v>5</v>
      </c>
      <c r="B9" s="12" t="n">
        <f aca="false">SUMIFS(Projection!$P$4:$P$59,Projection!$B$4:$B$59,"&gt;="&amp;(Assumptions!$B$4+A9))/Discount!C9</f>
        <v>41257.4878766723</v>
      </c>
      <c r="C9" s="12" t="n">
        <f aca="false">(Projection!F9/Projection!Q9)*SUMIFS(Projection!$R$4:$R$59,Projection!$B$4:$B$59,"&gt;="&amp;(Assumptions!$B$4+A9))/Discount!C9</f>
        <v>57930.9996770313</v>
      </c>
      <c r="D9" s="12" t="n">
        <f aca="false">(Projection!F9/Projection!S9)*SUMIFS(Projection!$T$4:$T$59,Projection!$B$4:$B$59,"&gt;="&amp;(Assumptions!$B$4+A9))/Discount!C9</f>
        <v>37242.7990768487</v>
      </c>
      <c r="E9" s="12" t="n">
        <f aca="false">(Projection!F9/Projection!U9)*SUMIFS(Projection!$V$4:$V$59,Projection!$B$4:$B$59,"&gt;="&amp;(Assumptions!$B$4+A9))/Discount!C9</f>
        <v>45469.5564594168</v>
      </c>
      <c r="F9" s="12" t="n">
        <f aca="false">SUMIFS(Projection!$W$4:$W$59,Projection!$B$4:$B$59,"&gt;="&amp;(Assumptions!$B$4+A9))/Discount!C9</f>
        <v>41659.2428916757</v>
      </c>
      <c r="G9" s="12" t="n">
        <f aca="false">MAX(0,C9-B9)</f>
        <v>16673.511800359</v>
      </c>
      <c r="H9" s="12" t="n">
        <f aca="false">MAX(MAX(0,D9-B9),MAX(0,E9-B9),IF(A9&lt;Assumptions!$B$6,MAX(0,-Assumptions!$B$22*B9),0))</f>
        <v>4212.06858274451</v>
      </c>
      <c r="I9" s="48" t="n">
        <f aca="false">MAX(0,F9-B9)</f>
        <v>401.755015003364</v>
      </c>
      <c r="J9" s="12" t="n">
        <f aca="false">SQRT(G9^2+H9^2+I9^2+2*Assumptions!$B$26*G9*H9+2*Assumptions!$B$27*G9*I9+2*Assumptions!$B$28*H9*I9)</f>
        <v>18332.0884072738</v>
      </c>
      <c r="K9" s="12" t="n">
        <f aca="false">J9*Discount!C9</f>
        <v>16069.9780289872</v>
      </c>
      <c r="L9" s="12" t="n">
        <f aca="false">Assumptions!$B$29*SUM(K9:K59)/Discount!C9</f>
        <v>18041.1549289459</v>
      </c>
      <c r="M9" s="12" t="n">
        <f aca="false">IF(A9&gt;=Assumptions!$B$6,Assumptions!$B$45*Reserving!$E$5*Discount!$C$19/Discount!C9,G9)</f>
        <v>16673.511800359</v>
      </c>
      <c r="N9" s="12" t="n">
        <f aca="false">SQRT(M9^2+H9^2+I9^2+2*Assumptions!$B$26*M9*H9+2*Assumptions!$B$27*M9*I9+2*Assumptions!$B$28*H9*I9)</f>
        <v>18332.0884072738</v>
      </c>
      <c r="O9" s="12" t="n">
        <f aca="false">N9*Discount!C9</f>
        <v>16069.9780289872</v>
      </c>
      <c r="P9" s="12" t="n">
        <f aca="false">Assumptions!$B$29*SUM(O9:O59)/Discount!C9</f>
        <v>22062.7304537928</v>
      </c>
      <c r="Q9" s="12" t="n">
        <f aca="false">IF(A9&gt;=Assumptions!$B$6,0,G9)</f>
        <v>16673.511800359</v>
      </c>
      <c r="R9" s="12" t="n">
        <f aca="false">SQRT(Q9^2+H9^2+I9^2+2*Assumptions!$B$26*Q9*H9+2*Assumptions!$B$27*Q9*I9+2*Assumptions!$B$28*H9*I9)</f>
        <v>18332.0884072738</v>
      </c>
      <c r="S9" s="12" t="n">
        <f aca="false">R9*Discount!C9</f>
        <v>16069.9780289872</v>
      </c>
      <c r="T9" s="12" t="n">
        <f aca="false">Assumptions!$B$29*SUM(S9:S59)/Discount!C9</f>
        <v>10125.2172044642</v>
      </c>
    </row>
    <row r="10" customFormat="false" ht="15" hidden="false" customHeight="true" outlineLevel="0" collapsed="false">
      <c r="A10" s="11" t="n">
        <f aca="false">ROW()-4</f>
        <v>6</v>
      </c>
      <c r="B10" s="12" t="n">
        <f aca="false">SUMIFS(Projection!$P$4:$P$59,Projection!$B$4:$B$59,"&gt;="&amp;(Assumptions!$B$4+A10))/Discount!C10</f>
        <v>52887.0848130852</v>
      </c>
      <c r="C10" s="12" t="n">
        <f aca="false">(Projection!F10/Projection!Q10)*SUMIFS(Projection!$R$4:$R$59,Projection!$B$4:$B$59,"&gt;="&amp;(Assumptions!$B$4+A10))/Discount!C10</f>
        <v>69922.8609997039</v>
      </c>
      <c r="D10" s="12" t="n">
        <f aca="false">(Projection!F10/Projection!S10)*SUMIFS(Projection!$T$4:$T$59,Projection!$B$4:$B$59,"&gt;="&amp;(Assumptions!$B$4+A10))/Discount!C10</f>
        <v>48981.2346368759</v>
      </c>
      <c r="E10" s="12" t="n">
        <f aca="false">(Projection!F10/Projection!U10)*SUMIFS(Projection!$V$4:$V$59,Projection!$B$4:$B$59,"&gt;="&amp;(Assumptions!$B$4+A10))/Discount!C10</f>
        <v>56959.3874523258</v>
      </c>
      <c r="F10" s="12" t="n">
        <f aca="false">SUMIFS(Projection!$W$4:$W$59,Projection!$B$4:$B$59,"&gt;="&amp;(Assumptions!$B$4+A10))/Discount!C10</f>
        <v>53287.5492599607</v>
      </c>
      <c r="G10" s="12" t="n">
        <f aca="false">MAX(0,C10-B10)</f>
        <v>17035.7761866187</v>
      </c>
      <c r="H10" s="12" t="n">
        <f aca="false">MAX(MAX(0,D10-B10),MAX(0,E10-B10),IF(A10&lt;Assumptions!$B$6,MAX(0,-Assumptions!$B$22*B10),0))</f>
        <v>4072.30263924057</v>
      </c>
      <c r="I10" s="48" t="n">
        <f aca="false">MAX(0,F10-B10)</f>
        <v>400.464446875492</v>
      </c>
      <c r="J10" s="12" t="n">
        <f aca="false">SQRT(G10^2+H10^2+I10^2+2*Assumptions!$B$26*G10*H10+2*Assumptions!$B$27*G10*I10+2*Assumptions!$B$28*H10*I10)</f>
        <v>18619.6410483728</v>
      </c>
      <c r="K10" s="12" t="n">
        <f aca="false">J10*Discount!C10</f>
        <v>15863.404979806</v>
      </c>
      <c r="L10" s="12" t="n">
        <f aca="false">Assumptions!$B$29*SUM(K10:K59)/Discount!C10</f>
        <v>17431.0344736795</v>
      </c>
      <c r="M10" s="12" t="n">
        <f aca="false">IF(A10&gt;=Assumptions!$B$6,Assumptions!$B$45*Reserving!$E$5*Discount!$C$19/Discount!C10,G10)</f>
        <v>17035.7761866187</v>
      </c>
      <c r="N10" s="12" t="n">
        <f aca="false">SQRT(M10^2+H10^2+I10^2+2*Assumptions!$B$26*M10*H10+2*Assumptions!$B$27*M10*I10+2*Assumptions!$B$28*H10*I10)</f>
        <v>18619.6410483728</v>
      </c>
      <c r="O10" s="12" t="n">
        <f aca="false">N10*Discount!C10</f>
        <v>15863.404979806</v>
      </c>
      <c r="P10" s="12" t="n">
        <f aca="false">Assumptions!$B$29*SUM(O10:O59)/Discount!C10</f>
        <v>21568.881794437</v>
      </c>
      <c r="Q10" s="12" t="n">
        <f aca="false">IF(A10&gt;=Assumptions!$B$6,0,G10)</f>
        <v>17035.7761866187</v>
      </c>
      <c r="R10" s="12" t="n">
        <f aca="false">SQRT(Q10^2+H10^2+I10^2+2*Assumptions!$B$26*Q10*H10+2*Assumptions!$B$27*Q10*I10+2*Assumptions!$B$28*H10*I10)</f>
        <v>18619.6410483728</v>
      </c>
      <c r="S10" s="12" t="n">
        <f aca="false">R10*Discount!C10</f>
        <v>15863.404979806</v>
      </c>
      <c r="T10" s="12" t="n">
        <f aca="false">Assumptions!$B$29*SUM(S10:S59)/Discount!C10</f>
        <v>9286.23114917259</v>
      </c>
    </row>
    <row r="11" customFormat="false" ht="15" hidden="false" customHeight="true" outlineLevel="0" collapsed="false">
      <c r="A11" s="11" t="n">
        <f aca="false">ROW()-4</f>
        <v>7</v>
      </c>
      <c r="B11" s="12" t="n">
        <f aca="false">SUMIFS(Projection!$P$4:$P$59,Projection!$B$4:$B$59,"&gt;="&amp;(Assumptions!$B$4+A11))/Discount!C11</f>
        <v>64745.4816240629</v>
      </c>
      <c r="C11" s="12" t="n">
        <f aca="false">(Projection!F11/Projection!Q11)*SUMIFS(Projection!$R$4:$R$59,Projection!$B$4:$B$59,"&gt;="&amp;(Assumptions!$B$4+A11))/Discount!C11</f>
        <v>82138.9485752379</v>
      </c>
      <c r="D11" s="12" t="n">
        <f aca="false">(Projection!F11/Projection!S11)*SUMIFS(Projection!$T$4:$T$59,Projection!$B$4:$B$59,"&gt;="&amp;(Assumptions!$B$4+A11))/Discount!C11</f>
        <v>61002.0017428183</v>
      </c>
      <c r="E11" s="12" t="n">
        <f aca="false">(Projection!F11/Projection!U11)*SUMIFS(Projection!$V$4:$V$59,Projection!$B$4:$B$59,"&gt;="&amp;(Assumptions!$B$4+A11))/Discount!C11</f>
        <v>68625.4263761911</v>
      </c>
      <c r="F11" s="12" t="n">
        <f aca="false">SUMIFS(Projection!$W$4:$W$59,Projection!$B$4:$B$59,"&gt;="&amp;(Assumptions!$B$4+A11))/Discount!C11</f>
        <v>65144.0575503782</v>
      </c>
      <c r="G11" s="12" t="n">
        <f aca="false">MAX(0,C11-B11)</f>
        <v>17393.466951175</v>
      </c>
      <c r="H11" s="12" t="n">
        <f aca="false">MAX(MAX(0,D11-B11),MAX(0,E11-B11),IF(A11&lt;Assumptions!$B$6,MAX(0,-Assumptions!$B$22*B11),0))</f>
        <v>3879.94475212819</v>
      </c>
      <c r="I11" s="48" t="n">
        <f aca="false">MAX(0,F11-B11)</f>
        <v>398.575926315294</v>
      </c>
      <c r="J11" s="12" t="n">
        <f aca="false">SQRT(G11^2+H11^2+I11^2+2*Assumptions!$B$26*G11*H11+2*Assumptions!$B$27*G11*I11+2*Assumptions!$B$28*H11*I11)</f>
        <v>18881.2375975217</v>
      </c>
      <c r="K11" s="12" t="n">
        <f aca="false">J11*Discount!C11</f>
        <v>15615.5628814326</v>
      </c>
      <c r="L11" s="12" t="n">
        <f aca="false">Assumptions!$B$29*SUM(K11:K59)/Discount!C11</f>
        <v>16805.6202552002</v>
      </c>
      <c r="M11" s="12" t="n">
        <f aca="false">IF(A11&gt;=Assumptions!$B$6,Assumptions!$B$45*Reserving!$E$5*Discount!$C$19/Discount!C11,G11)</f>
        <v>17393.466951175</v>
      </c>
      <c r="N11" s="12" t="n">
        <f aca="false">SQRT(M11^2+H11^2+I11^2+2*Assumptions!$B$26*M11*H11+2*Assumptions!$B$27*M11*I11+2*Assumptions!$B$28*H11*I11)</f>
        <v>18881.2375975217</v>
      </c>
      <c r="O11" s="12" t="n">
        <f aca="false">N11*Discount!C11</f>
        <v>15615.5628814326</v>
      </c>
      <c r="P11" s="12" t="n">
        <f aca="false">Assumptions!$B$29*SUM(O11:O59)/Discount!C11</f>
        <v>21068.1986855056</v>
      </c>
      <c r="Q11" s="12" t="n">
        <f aca="false">IF(A11&gt;=Assumptions!$B$6,0,G11)</f>
        <v>17393.466951175</v>
      </c>
      <c r="R11" s="12" t="n">
        <f aca="false">SQRT(Q11^2+H11^2+I11^2+2*Assumptions!$B$26*Q11*H11+2*Assumptions!$B$27*Q11*I11+2*Assumptions!$B$28*H11*I11)</f>
        <v>18881.2375975217</v>
      </c>
      <c r="S11" s="12" t="n">
        <f aca="false">R11*Discount!C11</f>
        <v>15615.5628814326</v>
      </c>
      <c r="T11" s="12" t="n">
        <f aca="false">Assumptions!$B$29*SUM(S11:S59)/Discount!C11</f>
        <v>8415.30029439312</v>
      </c>
    </row>
    <row r="12" customFormat="false" ht="15" hidden="false" customHeight="true" outlineLevel="0" collapsed="false">
      <c r="A12" s="11" t="n">
        <f aca="false">ROW()-4</f>
        <v>8</v>
      </c>
      <c r="B12" s="12" t="n">
        <f aca="false">SUMIFS(Projection!$P$4:$P$59,Projection!$B$4:$B$59,"&gt;="&amp;(Assumptions!$B$4+A12))/Discount!C12</f>
        <v>76859.8974446815</v>
      </c>
      <c r="C12" s="12" t="n">
        <f aca="false">(Projection!F12/Projection!Q12)*SUMIFS(Projection!$R$4:$R$59,Projection!$B$4:$B$59,"&gt;="&amp;(Assumptions!$B$4+A12))/Discount!C12</f>
        <v>94599.3286933082</v>
      </c>
      <c r="D12" s="12" t="n">
        <f aca="false">(Projection!F12/Projection!S12)*SUMIFS(Projection!$T$4:$T$59,Projection!$B$4:$B$59,"&gt;="&amp;(Assumptions!$B$4+A12))/Discount!C12</f>
        <v>73335.8156948893</v>
      </c>
      <c r="E12" s="12" t="n">
        <f aca="false">(Projection!F12/Projection!U12)*SUMIFS(Projection!$V$4:$V$59,Projection!$B$4:$B$59,"&gt;="&amp;(Assumptions!$B$4+A12))/Discount!C12</f>
        <v>80491.8627009516</v>
      </c>
      <c r="F12" s="12" t="n">
        <f aca="false">SUMIFS(Projection!$W$4:$W$59,Projection!$B$4:$B$59,"&gt;="&amp;(Assumptions!$B$4+A12))/Discount!C12</f>
        <v>77255.9414609595</v>
      </c>
      <c r="G12" s="12" t="n">
        <f aca="false">MAX(0,C12-B12)</f>
        <v>17739.4312486267</v>
      </c>
      <c r="H12" s="12" t="n">
        <f aca="false">MAX(MAX(0,D12-B12),MAX(0,E12-B12),IF(A12&lt;Assumptions!$B$6,MAX(0,-Assumptions!$B$22*B12),0))</f>
        <v>3631.96525627009</v>
      </c>
      <c r="I12" s="48" t="n">
        <f aca="false">MAX(0,F12-B12)</f>
        <v>396.044016277956</v>
      </c>
      <c r="J12" s="12" t="n">
        <f aca="false">SQRT(G12^2+H12^2+I12^2+2*Assumptions!$B$26*G12*H12+2*Assumptions!$B$27*G12*I12+2*Assumptions!$B$28*H12*I12)</f>
        <v>19110.2370052548</v>
      </c>
      <c r="K12" s="12" t="n">
        <f aca="false">J12*Discount!C12</f>
        <v>15324.5860127533</v>
      </c>
      <c r="L12" s="12" t="n">
        <f aca="false">Assumptions!$B$29*SUM(K12:K59)/Discount!C12</f>
        <v>16164.0283529247</v>
      </c>
      <c r="M12" s="12" t="n">
        <f aca="false">IF(A12&gt;=Assumptions!$B$6,Assumptions!$B$45*Reserving!$E$5*Discount!$C$19/Discount!C12,G12)</f>
        <v>17739.4312486267</v>
      </c>
      <c r="N12" s="12" t="n">
        <f aca="false">SQRT(M12^2+H12^2+I12^2+2*Assumptions!$B$26*M12*H12+2*Assumptions!$B$27*M12*I12+2*Assumptions!$B$28*H12*I12)</f>
        <v>19110.2370052548</v>
      </c>
      <c r="O12" s="12" t="n">
        <f aca="false">N12*Discount!C12</f>
        <v>15324.5860127533</v>
      </c>
      <c r="P12" s="12" t="n">
        <f aca="false">Assumptions!$B$29*SUM(O12:O59)/Discount!C12</f>
        <v>20560.2227790249</v>
      </c>
      <c r="Q12" s="12" t="n">
        <f aca="false">IF(A12&gt;=Assumptions!$B$6,0,G12)</f>
        <v>17739.4312486267</v>
      </c>
      <c r="R12" s="12" t="n">
        <f aca="false">SQRT(Q12^2+H12^2+I12^2+2*Assumptions!$B$26*Q12*H12+2*Assumptions!$B$27*Q12*I12+2*Assumptions!$B$28*H12*I12)</f>
        <v>19110.2370052548</v>
      </c>
      <c r="S12" s="12" t="n">
        <f aca="false">R12*Discount!C12</f>
        <v>15324.5860127533</v>
      </c>
      <c r="T12" s="12" t="n">
        <f aca="false">Assumptions!$B$29*SUM(S12:S59)/Discount!C12</f>
        <v>7510.70303633821</v>
      </c>
    </row>
    <row r="13" customFormat="false" ht="15" hidden="false" customHeight="true" outlineLevel="0" collapsed="false">
      <c r="A13" s="11" t="n">
        <f aca="false">ROW()-4</f>
        <v>9</v>
      </c>
      <c r="B13" s="12" t="n">
        <f aca="false">SUMIFS(Projection!$P$4:$P$59,Projection!$B$4:$B$59,"&gt;="&amp;(Assumptions!$B$4+A13))/Discount!C13</f>
        <v>89247.0123397098</v>
      </c>
      <c r="C13" s="12" t="n">
        <f aca="false">(Projection!F13/Projection!Q13)*SUMIFS(Projection!$R$4:$R$59,Projection!$B$4:$B$59,"&gt;="&amp;(Assumptions!$B$4+A13))/Discount!C13</f>
        <v>107309.695190692</v>
      </c>
      <c r="D13" s="12" t="n">
        <f aca="false">(Projection!F13/Projection!S13)*SUMIFS(Projection!$T$4:$T$59,Projection!$B$4:$B$59,"&gt;="&amp;(Assumptions!$B$4+A13))/Discount!C13</f>
        <v>86003.6662833213</v>
      </c>
      <c r="E13" s="12" t="n">
        <f aca="false">(Projection!F13/Projection!U13)*SUMIFS(Projection!$V$4:$V$59,Projection!$B$4:$B$59,"&gt;="&amp;(Assumptions!$B$4+A13))/Discount!C13</f>
        <v>92571.5787140864</v>
      </c>
      <c r="F13" s="12" t="n">
        <f aca="false">SUMIFS(Projection!$W$4:$W$59,Projection!$B$4:$B$59,"&gt;="&amp;(Assumptions!$B$4+A13))/Discount!C13</f>
        <v>89639.790838566</v>
      </c>
      <c r="G13" s="12" t="n">
        <f aca="false">MAX(0,C13-B13)</f>
        <v>18062.6828509819</v>
      </c>
      <c r="H13" s="12" t="n">
        <f aca="false">MAX(MAX(0,D13-B13),MAX(0,E13-B13),IF(A13&lt;Assumptions!$B$6,MAX(0,-Assumptions!$B$22*B13),0))</f>
        <v>3324.56637437662</v>
      </c>
      <c r="I13" s="48" t="n">
        <f aca="false">MAX(0,F13-B13)</f>
        <v>392.778498856249</v>
      </c>
      <c r="J13" s="12" t="n">
        <f aca="false">SQRT(G13^2+H13^2+I13^2+2*Assumptions!$B$26*G13*H13+2*Assumptions!$B$27*G13*I13+2*Assumptions!$B$28*H13*I13)</f>
        <v>19296.2679614037</v>
      </c>
      <c r="K13" s="12" t="n">
        <f aca="false">J13*Discount!C13</f>
        <v>14988.1720252606</v>
      </c>
      <c r="L13" s="12" t="n">
        <f aca="false">Assumptions!$B$29*SUM(K13:K59)/Discount!C13</f>
        <v>15503.9545883517</v>
      </c>
      <c r="M13" s="12" t="n">
        <f aca="false">IF(A13&gt;=Assumptions!$B$6,Assumptions!$B$45*Reserving!$E$5*Discount!$C$19/Discount!C13,G13)</f>
        <v>18062.6828509819</v>
      </c>
      <c r="N13" s="12" t="n">
        <f aca="false">SQRT(M13^2+H13^2+I13^2+2*Assumptions!$B$26*M13*H13+2*Assumptions!$B$27*M13*I13+2*Assumptions!$B$28*H13*I13)</f>
        <v>19296.2679614037</v>
      </c>
      <c r="O13" s="12" t="n">
        <f aca="false">N13*Discount!C13</f>
        <v>14988.1720252606</v>
      </c>
      <c r="P13" s="12" t="n">
        <f aca="false">Assumptions!$B$29*SUM(O13:O59)/Discount!C13</f>
        <v>20042.5787577298</v>
      </c>
      <c r="Q13" s="12" t="n">
        <f aca="false">IF(A13&gt;=Assumptions!$B$6,0,G13)</f>
        <v>18062.6828509819</v>
      </c>
      <c r="R13" s="12" t="n">
        <f aca="false">SQRT(Q13^2+H13^2+I13^2+2*Assumptions!$B$26*Q13*H13+2*Assumptions!$B$27*Q13*I13+2*Assumptions!$B$28*H13*I13)</f>
        <v>19296.2679614037</v>
      </c>
      <c r="S13" s="12" t="n">
        <f aca="false">R13*Discount!C13</f>
        <v>14988.1720252606</v>
      </c>
      <c r="T13" s="12" t="n">
        <f aca="false">Assumptions!$B$29*SUM(S13:S59)/Discount!C13</f>
        <v>6570.27522372199</v>
      </c>
    </row>
    <row r="14" customFormat="false" ht="15" hidden="false" customHeight="true" outlineLevel="0" collapsed="false">
      <c r="A14" s="48" t="n">
        <f aca="false">ROW()-4</f>
        <v>10</v>
      </c>
      <c r="B14" s="12" t="n">
        <f aca="false">SUMIFS(Projection!$P$4:$P$59,Projection!$B$4:$B$59,"&gt;="&amp;(Assumptions!$B$4+A14))/Discount!C14</f>
        <v>102075.273009479</v>
      </c>
      <c r="C14" s="12" t="n">
        <f aca="false">(Projection!F14/Projection!Q14)*SUMIFS(Projection!$R$4:$R$59,Projection!$B$4:$B$59,"&gt;="&amp;(Assumptions!$B$4+A14))/Discount!C14</f>
        <v>120453.517850583</v>
      </c>
      <c r="D14" s="12" t="n">
        <f aca="false">(Projection!F14/Projection!S14)*SUMIFS(Projection!$T$4:$T$59,Projection!$B$4:$B$59,"&gt;="&amp;(Assumptions!$B$4+A14))/Discount!C14</f>
        <v>99174.1596963008</v>
      </c>
      <c r="E14" s="12" t="n">
        <f aca="false">(Projection!F14/Projection!U14)*SUMIFS(Projection!$V$4:$V$59,Projection!$B$4:$B$59,"&gt;="&amp;(Assumptions!$B$4+A14))/Discount!C14</f>
        <v>105033.535256914</v>
      </c>
      <c r="F14" s="12" t="n">
        <f aca="false">SUMIFS(Projection!$W$4:$W$59,Projection!$B$4:$B$59,"&gt;="&amp;(Assumptions!$B$4+A14))/Discount!C14</f>
        <v>102464.561239253</v>
      </c>
      <c r="G14" s="12" t="n">
        <f aca="false">MAX(0,C14-B14)</f>
        <v>18378.2448411043</v>
      </c>
      <c r="H14" s="12" t="n">
        <f aca="false">MAX(MAX(0,D14-B14),MAX(0,E14-B14),IF(A14&lt;Assumptions!$B$6,MAX(0,-Assumptions!$B$22*B14),0))</f>
        <v>2958.26224743547</v>
      </c>
      <c r="I14" s="48" t="n">
        <f aca="false">MAX(0,F14-B14)</f>
        <v>389.288229774218</v>
      </c>
      <c r="J14" s="12" t="n">
        <f aca="false">SQRT(G14^2+H14^2+I14^2+2*Assumptions!$B$26*G14*H14+2*Assumptions!$B$27*G14*I14+2*Assumptions!$B$28*H14*I14)</f>
        <v>19457.0144705602</v>
      </c>
      <c r="K14" s="12" t="n">
        <f aca="false">J14*Discount!C14</f>
        <v>14603.5424930858</v>
      </c>
      <c r="L14" s="12" t="n">
        <f aca="false">Assumptions!$B$29*SUM(K14:K59)/Discount!C14</f>
        <v>14846.6872913244</v>
      </c>
      <c r="M14" s="12" t="n">
        <f aca="false">IF(A14&gt;=Assumptions!$B$6,Assumptions!$B$45*Reserving!$E$5*Discount!$C$19/Discount!C14,G14)</f>
        <v>18378.2448411043</v>
      </c>
      <c r="N14" s="12" t="n">
        <f aca="false">SQRT(M14^2+H14^2+I14^2+2*Assumptions!$B$26*M14*H14+2*Assumptions!$B$27*M14*I14+2*Assumptions!$B$28*H14*I14)</f>
        <v>19457.0144705602</v>
      </c>
      <c r="O14" s="12" t="n">
        <f aca="false">N14*Discount!C14</f>
        <v>14603.5424930858</v>
      </c>
      <c r="P14" s="12" t="n">
        <f aca="false">Assumptions!$B$29*SUM(O14:O59)/Discount!C14</f>
        <v>19543.6547607798</v>
      </c>
      <c r="Q14" s="12" t="n">
        <f aca="false">IF(A14&gt;=Assumptions!$B$6,0,G14)</f>
        <v>18378.2448411043</v>
      </c>
      <c r="R14" s="12" t="n">
        <f aca="false">SQRT(Q14^2+H14^2+I14^2+2*Assumptions!$B$26*Q14*H14+2*Assumptions!$B$27*Q14*I14+2*Assumptions!$B$28*H14*I14)</f>
        <v>19457.0144705602</v>
      </c>
      <c r="S14" s="12" t="n">
        <f aca="false">R14*Discount!C14</f>
        <v>14603.5424930858</v>
      </c>
      <c r="T14" s="12" t="n">
        <f aca="false">Assumptions!$B$29*SUM(S14:S59)/Discount!C14</f>
        <v>5601.33015395225</v>
      </c>
    </row>
    <row r="15" customFormat="false" ht="15" hidden="false" customHeight="true" outlineLevel="0" collapsed="false">
      <c r="A15" s="48" t="n">
        <f aca="false">ROW()-4</f>
        <v>11</v>
      </c>
      <c r="B15" s="12" t="n">
        <f aca="false">SUMIFS(Projection!$P$4:$P$59,Projection!$B$4:$B$59,"&gt;="&amp;(Assumptions!$B$4+A15))/Discount!C15</f>
        <v>114861.344729061</v>
      </c>
      <c r="C15" s="12" t="n">
        <f aca="false">(Projection!F15/Projection!Q15)*SUMIFS(Projection!$R$4:$R$59,Projection!$B$4:$B$59,"&gt;="&amp;(Assumptions!$B$4+A15))/Discount!C15</f>
        <v>133432.271819156</v>
      </c>
      <c r="D15" s="12" t="n">
        <f aca="false">(Projection!F15/Projection!S15)*SUMIFS(Projection!$T$4:$T$59,Projection!$B$4:$B$59,"&gt;="&amp;(Assumptions!$B$4+A15))/Discount!C15</f>
        <v>112382.227420644</v>
      </c>
      <c r="E15" s="12" t="n">
        <f aca="false">(Projection!F15/Projection!U15)*SUMIFS(Projection!$V$4:$V$59,Projection!$B$4:$B$59,"&gt;="&amp;(Assumptions!$B$4+A15))/Discount!C15</f>
        <v>117376.530675821</v>
      </c>
      <c r="F15" s="12" t="n">
        <f aca="false">SUMIFS(Projection!$W$4:$W$59,Projection!$B$4:$B$59,"&gt;="&amp;(Assumptions!$B$4+A15))/Discount!C15</f>
        <v>115245.050216186</v>
      </c>
      <c r="G15" s="12" t="n">
        <f aca="false">MAX(0,C15-B15)</f>
        <v>18570.9270900945</v>
      </c>
      <c r="H15" s="12" t="n">
        <f aca="false">MAX(MAX(0,D15-B15),MAX(0,E15-B15),IF(A15&lt;Assumptions!$B$6,MAX(0,-Assumptions!$B$22*B15),0))</f>
        <v>2515.18594675972</v>
      </c>
      <c r="I15" s="48" t="n">
        <f aca="false">MAX(0,F15-B15)</f>
        <v>383.705487124797</v>
      </c>
      <c r="J15" s="12" t="n">
        <f aca="false">SQRT(G15^2+H15^2+I15^2+2*Assumptions!$B$26*G15*H15+2*Assumptions!$B$27*G15*I15+2*Assumptions!$B$28*H15*I15)</f>
        <v>19473.9663297575</v>
      </c>
      <c r="K15" s="12" t="n">
        <f aca="false">J15*Discount!C15</f>
        <v>14157.3576628822</v>
      </c>
      <c r="L15" s="12" t="n">
        <f aca="false">Assumptions!$B$29*SUM(K15:K59)/Discount!C15</f>
        <v>14122.6773024566</v>
      </c>
      <c r="M15" s="12" t="n">
        <f aca="false">IF(A15&gt;=Assumptions!$B$6,Assumptions!$B$45*Reserving!$E$5*Discount!$C$19/Discount!C15,G15)</f>
        <v>18570.9270900945</v>
      </c>
      <c r="N15" s="12" t="n">
        <f aca="false">SQRT(M15^2+H15^2+I15^2+2*Assumptions!$B$26*M15*H15+2*Assumptions!$B$27*M15*I15+2*Assumptions!$B$28*H15*I15)</f>
        <v>19473.9663297575</v>
      </c>
      <c r="O15" s="12" t="n">
        <f aca="false">N15*Discount!C15</f>
        <v>14157.3576628822</v>
      </c>
      <c r="P15" s="12" t="n">
        <f aca="false">Assumptions!$B$29*SUM(O15:O59)/Discount!C15</f>
        <v>18971.8960996928</v>
      </c>
      <c r="Q15" s="12" t="n">
        <f aca="false">IF(A15&gt;=Assumptions!$B$6,0,G15)</f>
        <v>18570.9270900945</v>
      </c>
      <c r="R15" s="12" t="n">
        <f aca="false">SQRT(Q15^2+H15^2+I15^2+2*Assumptions!$B$26*Q15*H15+2*Assumptions!$B$27*Q15*I15+2*Assumptions!$B$28*H15*I15)</f>
        <v>19473.9663297575</v>
      </c>
      <c r="S15" s="12" t="n">
        <f aca="false">R15*Discount!C15</f>
        <v>14157.3576628822</v>
      </c>
      <c r="T15" s="12" t="n">
        <f aca="false">Assumptions!$B$29*SUM(S15:S59)/Discount!C15</f>
        <v>4577.6336313524</v>
      </c>
    </row>
    <row r="16" customFormat="false" ht="15" hidden="false" customHeight="true" outlineLevel="0" collapsed="false">
      <c r="A16" s="48" t="n">
        <f aca="false">ROW()-4</f>
        <v>12</v>
      </c>
      <c r="B16" s="12" t="n">
        <f aca="false">SUMIFS(Projection!$P$4:$P$59,Projection!$B$4:$B$59,"&gt;="&amp;(Assumptions!$B$4+A16))/Discount!C16</f>
        <v>128221.605397744</v>
      </c>
      <c r="C16" s="12" t="n">
        <f aca="false">(Projection!F16/Projection!Q16)*SUMIFS(Projection!$R$4:$R$59,Projection!$B$4:$B$59,"&gt;="&amp;(Assumptions!$B$4+A16))/Discount!C16</f>
        <v>146956.113794026</v>
      </c>
      <c r="D16" s="12" t="n">
        <f aca="false">(Projection!F16/Projection!S16)*SUMIFS(Projection!$T$4:$T$59,Projection!$B$4:$B$59,"&gt;="&amp;(Assumptions!$B$4+A16))/Discount!C16</f>
        <v>126234.00307369</v>
      </c>
      <c r="E16" s="12" t="n">
        <f aca="false">(Projection!F16/Projection!U16)*SUMIFS(Projection!$V$4:$V$59,Projection!$B$4:$B$59,"&gt;="&amp;(Assumptions!$B$4+A16))/Discount!C16</f>
        <v>130228.217904612</v>
      </c>
      <c r="F16" s="12" t="n">
        <f aca="false">SUMIFS(Projection!$W$4:$W$59,Projection!$B$4:$B$59,"&gt;="&amp;(Assumptions!$B$4+A16))/Discount!C16</f>
        <v>128599.665206739</v>
      </c>
      <c r="G16" s="12" t="n">
        <f aca="false">MAX(0,C16-B16)</f>
        <v>18734.5083962818</v>
      </c>
      <c r="H16" s="12" t="n">
        <f aca="false">MAX(MAX(0,D16-B16),MAX(0,E16-B16),IF(A16&lt;Assumptions!$B$6,MAX(0,-Assumptions!$B$22*B16),0))</f>
        <v>2006.61250686845</v>
      </c>
      <c r="I16" s="48" t="n">
        <f aca="false">MAX(0,F16-B16)</f>
        <v>378.059808995298</v>
      </c>
      <c r="J16" s="12" t="n">
        <f aca="false">SQRT(G16^2+H16^2+I16^2+2*Assumptions!$B$26*G16*H16+2*Assumptions!$B$27*G16*I16+2*Assumptions!$B$28*H16*I16)</f>
        <v>19448.5906719559</v>
      </c>
      <c r="K16" s="12" t="n">
        <f aca="false">J16*Discount!C16</f>
        <v>13653.5704184882</v>
      </c>
      <c r="L16" s="12" t="n">
        <f aca="false">Assumptions!$B$29*SUM(K16:K59)/Discount!C16</f>
        <v>13414.7198298511</v>
      </c>
      <c r="M16" s="12" t="n">
        <f aca="false">IF(A16&gt;=Assumptions!$B$6,Assumptions!$B$45*Reserving!$E$5*Discount!$C$19/Discount!C16,G16)</f>
        <v>18734.5083962818</v>
      </c>
      <c r="N16" s="12" t="n">
        <f aca="false">SQRT(M16^2+H16^2+I16^2+2*Assumptions!$B$26*M16*H16+2*Assumptions!$B$27*M16*I16+2*Assumptions!$B$28*H16*I16)</f>
        <v>19448.5906719559</v>
      </c>
      <c r="O16" s="12" t="n">
        <f aca="false">N16*Discount!C16</f>
        <v>13653.5704184882</v>
      </c>
      <c r="P16" s="12" t="n">
        <f aca="false">Assumptions!$B$29*SUM(O16:O59)/Discount!C16</f>
        <v>18436.3123709682</v>
      </c>
      <c r="Q16" s="12" t="n">
        <f aca="false">IF(A16&gt;=Assumptions!$B$6,0,G16)</f>
        <v>18734.5083962818</v>
      </c>
      <c r="R16" s="12" t="n">
        <f aca="false">SQRT(Q16^2+H16^2+I16^2+2*Assumptions!$B$26*Q16*H16+2*Assumptions!$B$27*Q16*I16+2*Assumptions!$B$28*H16*I16)</f>
        <v>19448.5906719559</v>
      </c>
      <c r="S16" s="12" t="n">
        <f aca="false">R16*Discount!C16</f>
        <v>13653.5704184882</v>
      </c>
      <c r="T16" s="12" t="n">
        <f aca="false">Assumptions!$B$29*SUM(S16:S59)/Discount!C16</f>
        <v>3530.38131933223</v>
      </c>
    </row>
    <row r="17" customFormat="false" ht="15" hidden="false" customHeight="true" outlineLevel="0" collapsed="false">
      <c r="A17" s="48" t="n">
        <f aca="false">ROW()-4</f>
        <v>13</v>
      </c>
      <c r="B17" s="12" t="n">
        <f aca="false">SUMIFS(Projection!$P$4:$P$59,Projection!$B$4:$B$59,"&gt;="&amp;(Assumptions!$B$4+A17))/Discount!C17</f>
        <v>141778.640523682</v>
      </c>
      <c r="C17" s="12" t="n">
        <f aca="false">(Projection!F17/Projection!Q17)*SUMIFS(Projection!$R$4:$R$59,Projection!$B$4:$B$59,"&gt;="&amp;(Assumptions!$B$4+A17))/Discount!C17</f>
        <v>160565.805275539</v>
      </c>
      <c r="D17" s="12" t="n">
        <f aca="false">(Projection!F17/Projection!S17)*SUMIFS(Projection!$T$4:$T$59,Projection!$B$4:$B$59,"&gt;="&amp;(Assumptions!$B$4+A17))/Discount!C17</f>
        <v>140365.478007711</v>
      </c>
      <c r="E17" s="12" t="n">
        <f aca="false">(Projection!F17/Projection!U17)*SUMIFS(Projection!$V$4:$V$59,Projection!$B$4:$B$59,"&gt;="&amp;(Assumptions!$B$4+A17))/Discount!C17</f>
        <v>143198.475059719</v>
      </c>
      <c r="F17" s="12" t="n">
        <f aca="false">SUMIFS(Projection!$W$4:$W$59,Projection!$B$4:$B$59,"&gt;="&amp;(Assumptions!$B$4+A17))/Discount!C17</f>
        <v>142149.748422843</v>
      </c>
      <c r="G17" s="12" t="n">
        <f aca="false">MAX(0,C17-B17)</f>
        <v>18787.1647518565</v>
      </c>
      <c r="H17" s="12" t="n">
        <f aca="false">MAX(MAX(0,D17-B17),MAX(0,E17-B17),IF(A17&lt;Assumptions!$B$6,MAX(0,-Assumptions!$B$22*B17),0))</f>
        <v>1419.83453603656</v>
      </c>
      <c r="I17" s="48" t="n">
        <f aca="false">MAX(0,F17-B17)</f>
        <v>371.107899161172</v>
      </c>
      <c r="J17" s="12" t="n">
        <f aca="false">SQRT(G17^2+H17^2+I17^2+2*Assumptions!$B$26*G17*H17+2*Assumptions!$B$27*G17*I17+2*Assumptions!$B$28*H17*I17)</f>
        <v>19299.2613253291</v>
      </c>
      <c r="K17" s="12" t="n">
        <f aca="false">J17*Discount!C17</f>
        <v>13087.2439465227</v>
      </c>
      <c r="L17" s="12" t="n">
        <f aca="false">Assumptions!$B$29*SUM(K17:K59)/Discount!C17</f>
        <v>12679.6956475612</v>
      </c>
      <c r="M17" s="12" t="n">
        <f aca="false">IF(A17&gt;=Assumptions!$B$6,Assumptions!$B$45*Reserving!$E$5*Discount!$C$19/Discount!C17,G17)</f>
        <v>18787.1647518565</v>
      </c>
      <c r="N17" s="12" t="n">
        <f aca="false">SQRT(M17^2+H17^2+I17^2+2*Assumptions!$B$26*M17*H17+2*Assumptions!$B$27*M17*I17+2*Assumptions!$B$28*H17*I17)</f>
        <v>19299.2613253291</v>
      </c>
      <c r="O17" s="12" t="n">
        <f aca="false">N17*Discount!C17</f>
        <v>13087.2439465227</v>
      </c>
      <c r="P17" s="12" t="n">
        <f aca="false">Assumptions!$B$29*SUM(O17:O59)/Discount!C17</f>
        <v>17878.3633485116</v>
      </c>
      <c r="Q17" s="12" t="n">
        <f aca="false">IF(A17&gt;=Assumptions!$B$6,0,G17)</f>
        <v>18787.1647518565</v>
      </c>
      <c r="R17" s="12" t="n">
        <f aca="false">SQRT(Q17^2+H17^2+I17^2+2*Assumptions!$B$26*Q17*H17+2*Assumptions!$B$27*Q17*I17+2*Assumptions!$B$28*H17*I17)</f>
        <v>19299.2613253291</v>
      </c>
      <c r="S17" s="12" t="n">
        <f aca="false">R17*Discount!C17</f>
        <v>13087.2439465227</v>
      </c>
      <c r="T17" s="12" t="n">
        <f aca="false">Assumptions!$B$29*SUM(S17:S59)/Discount!C17</f>
        <v>2446.80818424183</v>
      </c>
    </row>
    <row r="18" customFormat="false" ht="15" hidden="false" customHeight="true" outlineLevel="0" collapsed="false">
      <c r="A18" s="48" t="n">
        <f aca="false">ROW()-4</f>
        <v>14</v>
      </c>
      <c r="B18" s="12" t="n">
        <f aca="false">SUMIFS(Projection!$P$4:$P$59,Projection!$B$4:$B$59,"&gt;="&amp;(Assumptions!$B$4+A18))/Discount!C18</f>
        <v>155454.151904803</v>
      </c>
      <c r="C18" s="12" t="n">
        <f aca="false">(Projection!F18/Projection!Q18)*SUMIFS(Projection!$R$4:$R$59,Projection!$B$4:$B$59,"&gt;="&amp;(Assumptions!$B$4+A18))/Discount!C18</f>
        <v>174150.103042198</v>
      </c>
      <c r="D18" s="12" t="n">
        <f aca="false">(Projection!F18/Projection!S18)*SUMIFS(Projection!$T$4:$T$59,Projection!$B$4:$B$59,"&gt;="&amp;(Assumptions!$B$4+A18))/Discount!C18</f>
        <v>154702.542493058</v>
      </c>
      <c r="E18" s="12" t="n">
        <f aca="false">(Projection!F18/Projection!U18)*SUMIFS(Projection!$V$4:$V$59,Projection!$B$4:$B$59,"&gt;="&amp;(Assumptions!$B$4+A18))/Discount!C18</f>
        <v>156205.761316548</v>
      </c>
      <c r="F18" s="12" t="n">
        <f aca="false">SUMIFS(Projection!$W$4:$W$59,Projection!$B$4:$B$59,"&gt;="&amp;(Assumptions!$B$4+A18))/Discount!C18</f>
        <v>155816.84018952</v>
      </c>
      <c r="G18" s="12" t="n">
        <f aca="false">MAX(0,C18-B18)</f>
        <v>18695.9511373949</v>
      </c>
      <c r="H18" s="12" t="n">
        <f aca="false">MAX(MAX(0,D18-B18),MAX(0,E18-B18),IF(A18&lt;Assumptions!$B$6,MAX(0,-Assumptions!$B$22*B18),0))</f>
        <v>751.609411745129</v>
      </c>
      <c r="I18" s="48" t="n">
        <f aca="false">MAX(0,F18-B18)</f>
        <v>362.688284716802</v>
      </c>
      <c r="J18" s="12" t="n">
        <f aca="false">SQRT(G18^2+H18^2+I18^2+2*Assumptions!$B$26*G18*H18+2*Assumptions!$B$27*G18*I18+2*Assumptions!$B$28*H18*I18)</f>
        <v>18998.0018950061</v>
      </c>
      <c r="K18" s="12" t="n">
        <f aca="false">J18*Discount!C18</f>
        <v>12452.8571903845</v>
      </c>
      <c r="L18" s="12" t="n">
        <f aca="false">Assumptions!$B$29*SUM(K18:K59)/Discount!C18</f>
        <v>11919.6773411596</v>
      </c>
      <c r="M18" s="12" t="n">
        <f aca="false">IF(A18&gt;=Assumptions!$B$6,Assumptions!$B$45*Reserving!$E$5*Discount!$C$19/Discount!C18,G18)</f>
        <v>18695.9511373949</v>
      </c>
      <c r="N18" s="12" t="n">
        <f aca="false">SQRT(M18^2+H18^2+I18^2+2*Assumptions!$B$26*M18*H18+2*Assumptions!$B$27*M18*I18+2*Assumptions!$B$28*H18*I18)</f>
        <v>18998.0018950061</v>
      </c>
      <c r="O18" s="12" t="n">
        <f aca="false">N18*Discount!C18</f>
        <v>12452.8571903845</v>
      </c>
      <c r="P18" s="12" t="n">
        <f aca="false">Assumptions!$B$29*SUM(O18:O59)/Discount!C18</f>
        <v>17297.8964097306</v>
      </c>
      <c r="Q18" s="12" t="n">
        <f aca="false">IF(A18&gt;=Assumptions!$B$6,0,G18)</f>
        <v>18695.9511373949</v>
      </c>
      <c r="R18" s="12" t="n">
        <f aca="false">SQRT(Q18^2+H18^2+I18^2+2*Assumptions!$B$26*Q18*H18+2*Assumptions!$B$27*Q18*I18+2*Assumptions!$B$28*H18*I18)</f>
        <v>18998.0018950061</v>
      </c>
      <c r="S18" s="12" t="n">
        <f aca="false">R18*Discount!C18</f>
        <v>12452.8571903845</v>
      </c>
      <c r="T18" s="12" t="n">
        <f aca="false">Assumptions!$B$29*SUM(S18:S59)/Discount!C18</f>
        <v>1333.36683862378</v>
      </c>
    </row>
    <row r="19" customFormat="false" ht="15" hidden="false" customHeight="true" outlineLevel="0" collapsed="false">
      <c r="A19" s="48" t="n">
        <f aca="false">ROW()-4</f>
        <v>15</v>
      </c>
      <c r="B19" s="12" t="n">
        <f aca="false">SUMIFS(Projection!$P$4:$P$59,Projection!$B$4:$B$59,"&gt;="&amp;(Assumptions!$B$4+A19))/Discount!C19</f>
        <v>169782.914600927</v>
      </c>
      <c r="C19" s="12" t="n">
        <f aca="false">(Projection!F19/Projection!Q19)*SUMIFS(Projection!$R$4:$R$59,Projection!$B$4:$B$59,"&gt;="&amp;(Assumptions!$B$4+A19))/Discount!C19</f>
        <v>188276.094351444</v>
      </c>
      <c r="D19" s="12" t="n">
        <f aca="false">(Projection!F19/Projection!S19)*SUMIFS(Projection!$T$4:$T$59,Projection!$B$4:$B$59,"&gt;="&amp;(Assumptions!$B$4+A19))/Discount!C19</f>
        <v>169782.914600927</v>
      </c>
      <c r="E19" s="12" t="n">
        <f aca="false">(Projection!F19/Projection!U19)*SUMIFS(Projection!$V$4:$V$59,Projection!$B$4:$B$59,"&gt;="&amp;(Assumptions!$B$4+A19))/Discount!C19</f>
        <v>169782.914600927</v>
      </c>
      <c r="F19" s="12" t="n">
        <f aca="false">SUMIFS(Projection!$W$4:$W$59,Projection!$B$4:$B$59,"&gt;="&amp;(Assumptions!$B$4+A19))/Discount!C19</f>
        <v>170136.896872445</v>
      </c>
      <c r="G19" s="12" t="n">
        <f aca="false">MAX(0,C19-B19)</f>
        <v>18493.1797505175</v>
      </c>
      <c r="H19" s="5" t="n">
        <f aca="false">MAX(MAX(0,D19-B19),MAX(0,E19-B19),IF(A19&lt;Assumptions!$B$6,MAX(0,-Assumptions!$B$22*B19),0))</f>
        <v>0</v>
      </c>
      <c r="I19" s="48" t="n">
        <f aca="false">MAX(0,F19-B19)</f>
        <v>353.982271517714</v>
      </c>
      <c r="J19" s="12" t="n">
        <f aca="false">SQRT(G19^2+H19^2+I19^2+2*Assumptions!$B$26*G19*H19+2*Assumptions!$B$27*G19*I19+2*Assumptions!$B$28*H19*I19)</f>
        <v>18584.8360127642</v>
      </c>
      <c r="K19" s="12" t="n">
        <f aca="false">J19*Discount!C19</f>
        <v>11744.5524336485</v>
      </c>
      <c r="L19" s="12" t="n">
        <f aca="false">Assumptions!$B$29*SUM(K19:K59)/Discount!C19</f>
        <v>11181.3420912797</v>
      </c>
      <c r="M19" s="12" t="n">
        <f aca="false">IF(A19&gt;=Assumptions!$B$6,Assumptions!$B$45*Reserving!$E$5*Discount!$C$19/Discount!C19,G19)</f>
        <v>6791.31658403708</v>
      </c>
      <c r="N19" s="12" t="n">
        <f aca="false">SQRT(M19^2+H19^2+I19^2+2*Assumptions!$B$26*M19*H19+2*Assumptions!$B$27*M19*I19+2*Assumptions!$B$28*H19*I19)</f>
        <v>6888.34430241931</v>
      </c>
      <c r="O19" s="12" t="n">
        <f aca="false">N19*Discount!C19</f>
        <v>4353.03926196736</v>
      </c>
      <c r="P19" s="12" t="n">
        <f aca="false">Assumptions!$B$29*SUM(O19:O59)/Discount!C19</f>
        <v>16759.8985315023</v>
      </c>
      <c r="Q19" s="5" t="n">
        <f aca="false">IF(A19&gt;=Assumptions!$B$6,0,G19)</f>
        <v>0</v>
      </c>
      <c r="R19" s="48" t="n">
        <f aca="false">SQRT(Q19^2+H19^2+I19^2+2*Assumptions!$B$26*Q19*H19+2*Assumptions!$B$27*Q19*I19+2*Assumptions!$B$28*H19*I19)</f>
        <v>353.982271517714</v>
      </c>
      <c r="S19" s="48" t="n">
        <f aca="false">R19*Discount!C19</f>
        <v>223.69653117017</v>
      </c>
      <c r="T19" s="48" t="n">
        <f aca="false">Assumptions!$B$29*SUM(S19:S59)/Discount!C19</f>
        <v>200.694059066264</v>
      </c>
    </row>
    <row r="20" customFormat="false" ht="15" hidden="false" customHeight="true" outlineLevel="0" collapsed="false">
      <c r="A20" s="48" t="n">
        <f aca="false">ROW()-4</f>
        <v>16</v>
      </c>
      <c r="B20" s="12" t="n">
        <f aca="false">SUMIFS(Projection!$P$4:$P$59,Projection!$B$4:$B$59,"&gt;="&amp;(Assumptions!$B$4+A20))/Discount!C20</f>
        <v>160500.215281461</v>
      </c>
      <c r="C20" s="12" t="n">
        <f aca="false">(Projection!F20/Projection!Q20)*SUMIFS(Projection!$R$4:$R$59,Projection!$B$4:$B$59,"&gt;="&amp;(Assumptions!$B$4+A20))/Discount!C20</f>
        <v>178669.23842239</v>
      </c>
      <c r="D20" s="12" t="n">
        <f aca="false">(Projection!F20/Projection!S20)*SUMIFS(Projection!$T$4:$T$59,Projection!$B$4:$B$59,"&gt;="&amp;(Assumptions!$B$4+A20))/Discount!C20</f>
        <v>160500.215281461</v>
      </c>
      <c r="E20" s="12" t="n">
        <f aca="false">(Projection!F20/Projection!U20)*SUMIFS(Projection!$V$4:$V$59,Projection!$B$4:$B$59,"&gt;="&amp;(Assumptions!$B$4+A20))/Discount!C20</f>
        <v>160500.215281461</v>
      </c>
      <c r="F20" s="12" t="n">
        <f aca="false">SUMIFS(Projection!$W$4:$W$59,Projection!$B$4:$B$59,"&gt;="&amp;(Assumptions!$B$4+A20))/Discount!C20</f>
        <v>160843.956264729</v>
      </c>
      <c r="G20" s="12" t="n">
        <f aca="false">MAX(0,C20-B20)</f>
        <v>18169.0231409292</v>
      </c>
      <c r="H20" s="5" t="n">
        <f aca="false">MAX(MAX(0,D20-B20),MAX(0,E20-B20),IF(A20&lt;Assumptions!$B$6,MAX(0,-Assumptions!$B$22*B20),0))</f>
        <v>0</v>
      </c>
      <c r="I20" s="48" t="n">
        <f aca="false">MAX(0,F20-B20)</f>
        <v>343.740983268275</v>
      </c>
      <c r="J20" s="12" t="n">
        <f aca="false">SQRT(G20^2+H20^2+I20^2+2*Assumptions!$B$26*G20*H20+2*Assumptions!$B$27*G20*I20+2*Assumptions!$B$28*H20*I20)</f>
        <v>18257.9921869559</v>
      </c>
      <c r="K20" s="12" t="n">
        <f aca="false">J20*Discount!C20</f>
        <v>11134.900888435</v>
      </c>
      <c r="L20" s="12" t="n">
        <f aca="false">Assumptions!$B$29*SUM(K20:K59)/Discount!C20</f>
        <v>10430.6697285436</v>
      </c>
      <c r="M20" s="12" t="n">
        <f aca="false">IF(A20&gt;=Assumptions!$B$6,Assumptions!$B$45*Reserving!$E$5*Discount!$C$19/Discount!C20,G20)</f>
        <v>7037.1753855415</v>
      </c>
      <c r="N20" s="12" t="n">
        <f aca="false">SQRT(M20^2+H20^2+I20^2+2*Assumptions!$B$26*M20*H20+2*Assumptions!$B$27*M20*I20+2*Assumptions!$B$28*H20*I20)</f>
        <v>7130.88199759876</v>
      </c>
      <c r="O20" s="12" t="n">
        <f aca="false">N20*Discount!C20</f>
        <v>4348.87163261656</v>
      </c>
      <c r="P20" s="12" t="n">
        <f aca="false">Assumptions!$B$29*SUM(O20:O59)/Discount!C20</f>
        <v>16938.3763469546</v>
      </c>
      <c r="Q20" s="5" t="n">
        <f aca="false">IF(A20&gt;=Assumptions!$B$6,0,G20)</f>
        <v>0</v>
      </c>
      <c r="R20" s="48" t="n">
        <f aca="false">SQRT(Q20^2+H20^2+I20^2+2*Assumptions!$B$26*Q20*H20+2*Assumptions!$B$27*Q20*I20+2*Assumptions!$B$28*H20*I20)</f>
        <v>343.740983268275</v>
      </c>
      <c r="S20" s="48" t="n">
        <f aca="false">R20*Discount!C20</f>
        <v>209.635415591859</v>
      </c>
      <c r="T20" s="48" t="n">
        <f aca="false">Assumptions!$B$29*SUM(S20:S59)/Discount!C20</f>
        <v>185.951745464393</v>
      </c>
    </row>
    <row r="21" customFormat="false" ht="15" hidden="false" customHeight="true" outlineLevel="0" collapsed="false">
      <c r="A21" s="48" t="n">
        <f aca="false">ROW()-4</f>
        <v>17</v>
      </c>
      <c r="B21" s="12" t="n">
        <f aca="false">SUMIFS(Projection!$P$4:$P$59,Projection!$B$4:$B$59,"&gt;="&amp;(Assumptions!$B$4+A21))/Discount!C21</f>
        <v>150718.732932927</v>
      </c>
      <c r="C21" s="12" t="n">
        <f aca="false">(Projection!F21/Projection!Q21)*SUMIFS(Projection!$R$4:$R$59,Projection!$B$4:$B$59,"&gt;="&amp;(Assumptions!$B$4+A21))/Discount!C21</f>
        <v>168455.665730934</v>
      </c>
      <c r="D21" s="12" t="n">
        <f aca="false">(Projection!F21/Projection!S21)*SUMIFS(Projection!$T$4:$T$59,Projection!$B$4:$B$59,"&gt;="&amp;(Assumptions!$B$4+A21))/Discount!C21</f>
        <v>150718.732932927</v>
      </c>
      <c r="E21" s="12" t="n">
        <f aca="false">(Projection!F21/Projection!U21)*SUMIFS(Projection!$V$4:$V$59,Projection!$B$4:$B$59,"&gt;="&amp;(Assumptions!$B$4+A21))/Discount!C21</f>
        <v>150718.732932927</v>
      </c>
      <c r="F21" s="12" t="n">
        <f aca="false">SUMIFS(Projection!$W$4:$W$59,Projection!$B$4:$B$59,"&gt;="&amp;(Assumptions!$B$4+A21))/Discount!C21</f>
        <v>151050.262315657</v>
      </c>
      <c r="G21" s="12" t="n">
        <f aca="false">MAX(0,C21-B21)</f>
        <v>17736.9327980075</v>
      </c>
      <c r="H21" s="5" t="n">
        <f aca="false">MAX(MAX(0,D21-B21),MAX(0,E21-B21),IF(A21&lt;Assumptions!$B$6,MAX(0,-Assumptions!$B$22*B21),0))</f>
        <v>0</v>
      </c>
      <c r="I21" s="48" t="n">
        <f aca="false">MAX(0,F21-B21)</f>
        <v>331.529382730281</v>
      </c>
      <c r="J21" s="12" t="n">
        <f aca="false">SQRT(G21^2+H21^2+I21^2+2*Assumptions!$B$26*G21*H21+2*Assumptions!$B$27*G21*I21+2*Assumptions!$B$28*H21*I21)</f>
        <v>17822.7061358166</v>
      </c>
      <c r="K21" s="12" t="n">
        <f aca="false">J21*Discount!C21</f>
        <v>10509.1419216213</v>
      </c>
      <c r="L21" s="12" t="n">
        <f aca="false">Assumptions!$B$29*SUM(K21:K59)/Discount!C21</f>
        <v>9655.23612097806</v>
      </c>
      <c r="M21" s="12" t="n">
        <f aca="false">IF(A21&gt;=Assumptions!$B$6,Assumptions!$B$45*Reserving!$E$5*Discount!$C$19/Discount!C21,G21)</f>
        <v>7278.43659699603</v>
      </c>
      <c r="N21" s="12" t="n">
        <f aca="false">SQRT(M21^2+H21^2+I21^2+2*Assumptions!$B$26*M21*H21+2*Assumptions!$B$27*M21*I21+2*Assumptions!$B$28*H21*I21)</f>
        <v>7368.31451718956</v>
      </c>
      <c r="O21" s="12" t="n">
        <f aca="false">N21*Discount!C21</f>
        <v>4344.71972966407</v>
      </c>
      <c r="P21" s="12" t="n">
        <f aca="false">Assumptions!$B$29*SUM(O21:O59)/Discount!C21</f>
        <v>17076.5671400285</v>
      </c>
      <c r="Q21" s="5" t="n">
        <f aca="false">IF(A21&gt;=Assumptions!$B$6,0,G21)</f>
        <v>0</v>
      </c>
      <c r="R21" s="48" t="n">
        <f aca="false">SQRT(Q21^2+H21^2+I21^2+2*Assumptions!$B$26*Q21*H21+2*Assumptions!$B$27*Q21*I21+2*Assumptions!$B$28*H21*I21)</f>
        <v>331.529382730281</v>
      </c>
      <c r="S21" s="48" t="n">
        <f aca="false">R21*Discount!C21</f>
        <v>195.485988926136</v>
      </c>
      <c r="T21" s="48" t="n">
        <f aca="false">Assumptions!$B$29*SUM(S21:S59)/Discount!C21</f>
        <v>170.995336393808</v>
      </c>
    </row>
    <row r="22" customFormat="false" ht="15" hidden="false" customHeight="true" outlineLevel="0" collapsed="false">
      <c r="A22" s="48" t="n">
        <f aca="false">ROW()-4</f>
        <v>18</v>
      </c>
      <c r="B22" s="12" t="n">
        <f aca="false">SUMIFS(Projection!$P$4:$P$59,Projection!$B$4:$B$59,"&gt;="&amp;(Assumptions!$B$4+A22))/Discount!C22</f>
        <v>140619.095436923</v>
      </c>
      <c r="C22" s="12" t="n">
        <f aca="false">(Projection!F22/Projection!Q22)*SUMIFS(Projection!$R$4:$R$59,Projection!$B$4:$B$59,"&gt;="&amp;(Assumptions!$B$4+A22))/Discount!C22</f>
        <v>157830.781591033</v>
      </c>
      <c r="D22" s="12" t="n">
        <f aca="false">(Projection!F22/Projection!S22)*SUMIFS(Projection!$T$4:$T$59,Projection!$B$4:$B$59,"&gt;="&amp;(Assumptions!$B$4+A22))/Discount!C22</f>
        <v>140619.095436923</v>
      </c>
      <c r="E22" s="12" t="n">
        <f aca="false">(Projection!F22/Projection!U22)*SUMIFS(Projection!$V$4:$V$59,Projection!$B$4:$B$59,"&gt;="&amp;(Assumptions!$B$4+A22))/Discount!C22</f>
        <v>140619.095436923</v>
      </c>
      <c r="F22" s="12" t="n">
        <f aca="false">SUMIFS(Projection!$W$4:$W$59,Projection!$B$4:$B$59,"&gt;="&amp;(Assumptions!$B$4+A22))/Discount!C22</f>
        <v>140936.75297401</v>
      </c>
      <c r="G22" s="12" t="n">
        <f aca="false">MAX(0,C22-B22)</f>
        <v>17211.6861541095</v>
      </c>
      <c r="H22" s="5" t="n">
        <f aca="false">MAX(MAX(0,D22-B22),MAX(0,E22-B22),IF(A22&lt;Assumptions!$B$6,MAX(0,-Assumptions!$B$22*B22),0))</f>
        <v>0</v>
      </c>
      <c r="I22" s="48" t="n">
        <f aca="false">MAX(0,F22-B22)</f>
        <v>317.657537086634</v>
      </c>
      <c r="J22" s="12" t="n">
        <f aca="false">SQRT(G22^2+H22^2+I22^2+2*Assumptions!$B$26*G22*H22+2*Assumptions!$B$27*G22*I22+2*Assumptions!$B$28*H22*I22)</f>
        <v>17293.8358236351</v>
      </c>
      <c r="K22" s="12" t="n">
        <f aca="false">J22*Discount!C22</f>
        <v>9869.80214113522</v>
      </c>
      <c r="L22" s="12" t="n">
        <f aca="false">Assumptions!$B$29*SUM(K22:K59)/Discount!C22</f>
        <v>8870.76336368321</v>
      </c>
      <c r="M22" s="12" t="n">
        <f aca="false">IF(A22&gt;=Assumptions!$B$6,Assumptions!$B$45*Reserving!$E$5*Discount!$C$19/Discount!C22,G22)</f>
        <v>7519.94387155402</v>
      </c>
      <c r="N22" s="12" t="n">
        <f aca="false">SQRT(M22^2+H22^2+I22^2+2*Assumptions!$B$26*M22*H22+2*Assumptions!$B$27*M22*I22+2*Assumptions!$B$28*H22*I22)</f>
        <v>7605.57989681422</v>
      </c>
      <c r="O22" s="12" t="n">
        <f aca="false">N22*Discount!C22</f>
        <v>4340.59681817734</v>
      </c>
      <c r="P22" s="12" t="n">
        <f aca="false">Assumptions!$B$29*SUM(O22:O59)/Discount!C22</f>
        <v>17186.4199198537</v>
      </c>
      <c r="Q22" s="5" t="n">
        <f aca="false">IF(A22&gt;=Assumptions!$B$6,0,G22)</f>
        <v>0</v>
      </c>
      <c r="R22" s="48" t="n">
        <f aca="false">SQRT(Q22^2+H22^2+I22^2+2*Assumptions!$B$26*Q22*H22+2*Assumptions!$B$27*Q22*I22+2*Assumptions!$B$28*H22*I22)</f>
        <v>317.657537086634</v>
      </c>
      <c r="S22" s="48" t="n">
        <f aca="false">R22*Discount!C22</f>
        <v>181.291014420327</v>
      </c>
      <c r="T22" s="48" t="n">
        <f aca="false">Assumptions!$B$29*SUM(S22:S59)/Discount!C22</f>
        <v>156.117371614359</v>
      </c>
    </row>
    <row r="23" customFormat="false" ht="15" hidden="false" customHeight="true" outlineLevel="0" collapsed="false">
      <c r="A23" s="48" t="n">
        <f aca="false">ROW()-4</f>
        <v>19</v>
      </c>
      <c r="B23" s="12" t="n">
        <f aca="false">SUMIFS(Projection!$P$4:$P$59,Projection!$B$4:$B$59,"&gt;="&amp;(Assumptions!$B$4+A23))/Discount!C23</f>
        <v>130285.565244465</v>
      </c>
      <c r="C23" s="12" t="n">
        <f aca="false">(Projection!F23/Projection!Q23)*SUMIFS(Projection!$R$4:$R$59,Projection!$B$4:$B$59,"&gt;="&amp;(Assumptions!$B$4+A23))/Discount!C23</f>
        <v>146883.482877945</v>
      </c>
      <c r="D23" s="12" t="n">
        <f aca="false">(Projection!F23/Projection!S23)*SUMIFS(Projection!$T$4:$T$59,Projection!$B$4:$B$59,"&gt;="&amp;(Assumptions!$B$4+A23))/Discount!C23</f>
        <v>130285.565244465</v>
      </c>
      <c r="E23" s="12" t="n">
        <f aca="false">(Projection!F23/Projection!U23)*SUMIFS(Projection!$V$4:$V$59,Projection!$B$4:$B$59,"&gt;="&amp;(Assumptions!$B$4+A23))/Discount!C23</f>
        <v>130285.565244465</v>
      </c>
      <c r="F23" s="12" t="n">
        <f aca="false">SUMIFS(Projection!$W$4:$W$59,Projection!$B$4:$B$59,"&gt;="&amp;(Assumptions!$B$4+A23))/Discount!C23</f>
        <v>130587.808236742</v>
      </c>
      <c r="G23" s="12" t="n">
        <f aca="false">MAX(0,C23-B23)</f>
        <v>16597.9176334801</v>
      </c>
      <c r="H23" s="5" t="n">
        <f aca="false">MAX(MAX(0,D23-B23),MAX(0,E23-B23),IF(A23&lt;Assumptions!$B$6,MAX(0,-Assumptions!$B$22*B23),0))</f>
        <v>0</v>
      </c>
      <c r="I23" s="48" t="n">
        <f aca="false">MAX(0,F23-B23)</f>
        <v>302.242992277752</v>
      </c>
      <c r="J23" s="12" t="n">
        <f aca="false">SQRT(G23^2+H23^2+I23^2+2*Assumptions!$B$26*G23*H23+2*Assumptions!$B$27*G23*I23+2*Assumptions!$B$28*H23*I23)</f>
        <v>16676.0463761568</v>
      </c>
      <c r="K23" s="12" t="n">
        <f aca="false">J23*Discount!C23</f>
        <v>9220.14766680223</v>
      </c>
      <c r="L23" s="12" t="n">
        <f aca="false">Assumptions!$B$29*SUM(K23:K59)/Discount!C23</f>
        <v>8085.51793515636</v>
      </c>
      <c r="M23" s="12" t="n">
        <f aca="false">IF(A23&gt;=Assumptions!$B$6,Assumptions!$B$45*Reserving!$E$5*Discount!$C$19/Discount!C23,G23)</f>
        <v>7762.23758509432</v>
      </c>
      <c r="N23" s="12" t="n">
        <f aca="false">SQRT(M23^2+H23^2+I23^2+2*Assumptions!$B$26*M23*H23+2*Assumptions!$B$27*M23*I23+2*Assumptions!$B$28*H23*I23)</f>
        <v>7843.25978857495</v>
      </c>
      <c r="O23" s="12" t="n">
        <f aca="false">N23*Discount!C23</f>
        <v>4336.52028835502</v>
      </c>
      <c r="P23" s="12" t="n">
        <f aca="false">Assumptions!$B$29*SUM(O23:O59)/Discount!C23</f>
        <v>17269.1309649863</v>
      </c>
      <c r="Q23" s="5" t="n">
        <f aca="false">IF(A23&gt;=Assumptions!$B$6,0,G23)</f>
        <v>0</v>
      </c>
      <c r="R23" s="48" t="n">
        <f aca="false">SQRT(Q23^2+H23^2+I23^2+2*Assumptions!$B$26*Q23*H23+2*Assumptions!$B$27*Q23*I23+2*Assumptions!$B$28*H23*I23)</f>
        <v>302.242992277752</v>
      </c>
      <c r="S23" s="48" t="n">
        <f aca="false">R23*Discount!C23</f>
        <v>167.109454915013</v>
      </c>
      <c r="T23" s="48" t="n">
        <f aca="false">Assumptions!$B$29*SUM(S23:S59)/Discount!C23</f>
        <v>141.473946001344</v>
      </c>
    </row>
    <row r="24" customFormat="false" ht="15" hidden="false" customHeight="true" outlineLevel="0" collapsed="false">
      <c r="A24" s="48" t="n">
        <f aca="false">ROW()-4</f>
        <v>20</v>
      </c>
      <c r="B24" s="12" t="n">
        <f aca="false">SUMIFS(Projection!$P$4:$P$59,Projection!$B$4:$B$59,"&gt;="&amp;(Assumptions!$B$4+A24))/Discount!C24</f>
        <v>119861.817053451</v>
      </c>
      <c r="C24" s="12" t="n">
        <f aca="false">(Projection!F24/Projection!Q24)*SUMIFS(Projection!$R$4:$R$59,Projection!$B$4:$B$59,"&gt;="&amp;(Assumptions!$B$4+A24))/Discount!C24</f>
        <v>135771.546018255</v>
      </c>
      <c r="D24" s="12" t="n">
        <f aca="false">(Projection!F24/Projection!S24)*SUMIFS(Projection!$T$4:$T$59,Projection!$B$4:$B$59,"&gt;="&amp;(Assumptions!$B$4+A24))/Discount!C24</f>
        <v>119861.817053451</v>
      </c>
      <c r="E24" s="12" t="n">
        <f aca="false">(Projection!F24/Projection!U24)*SUMIFS(Projection!$V$4:$V$59,Projection!$B$4:$B$59,"&gt;="&amp;(Assumptions!$B$4+A24))/Discount!C24</f>
        <v>119861.817053451</v>
      </c>
      <c r="F24" s="12" t="n">
        <f aca="false">SUMIFS(Projection!$W$4:$W$59,Projection!$B$4:$B$59,"&gt;="&amp;(Assumptions!$B$4+A24))/Discount!C24</f>
        <v>120147.376784822</v>
      </c>
      <c r="G24" s="12" t="n">
        <f aca="false">MAX(0,C24-B24)</f>
        <v>15909.7289648044</v>
      </c>
      <c r="H24" s="5" t="n">
        <f aca="false">MAX(MAX(0,D24-B24),MAX(0,E24-B24),IF(A24&lt;Assumptions!$B$6,MAX(0,-Assumptions!$B$22*B24),0))</f>
        <v>0</v>
      </c>
      <c r="I24" s="48" t="n">
        <f aca="false">MAX(0,F24-B24)</f>
        <v>285.559731371701</v>
      </c>
      <c r="J24" s="12" t="n">
        <f aca="false">SQRT(G24^2+H24^2+I24^2+2*Assumptions!$B$26*G24*H24+2*Assumptions!$B$27*G24*I24+2*Assumptions!$B$28*H24*I24)</f>
        <v>15983.5105361247</v>
      </c>
      <c r="K24" s="12" t="n">
        <f aca="false">J24*Discount!C24</f>
        <v>8564.21874323089</v>
      </c>
      <c r="L24" s="12" t="n">
        <f aca="false">Assumptions!$B$29*SUM(K24:K59)/Discount!C24</f>
        <v>7310.82365333955</v>
      </c>
      <c r="M24" s="12" t="n">
        <f aca="false">IF(A24&gt;=Assumptions!$B$6,Assumptions!$B$45*Reserving!$E$5*Discount!$C$19/Discount!C24,G24)</f>
        <v>8009.69786226919</v>
      </c>
      <c r="N24" s="12" t="n">
        <f aca="false">SQRT(M24^2+H24^2+I24^2+2*Assumptions!$B$26*M24*H24+2*Assumptions!$B$27*M24*I24+2*Assumptions!$B$28*H24*I24)</f>
        <v>8085.8164578464</v>
      </c>
      <c r="O24" s="12" t="n">
        <f aca="false">N24*Discount!C24</f>
        <v>4332.50885067471</v>
      </c>
      <c r="P24" s="12" t="n">
        <f aca="false">Assumptions!$B$29*SUM(O24:O59)/Discount!C24</f>
        <v>17334.0729949013</v>
      </c>
      <c r="Q24" s="5" t="n">
        <f aca="false">IF(A24&gt;=Assumptions!$B$6,0,G24)</f>
        <v>0</v>
      </c>
      <c r="R24" s="48" t="n">
        <f aca="false">SQRT(Q24^2+H24^2+I24^2+2*Assumptions!$B$26*Q24*H24+2*Assumptions!$B$27*Q24*I24+2*Assumptions!$B$28*H24*I24)</f>
        <v>285.559731371701</v>
      </c>
      <c r="S24" s="48" t="n">
        <f aca="false">R24*Discount!C24</f>
        <v>153.0074383971</v>
      </c>
      <c r="T24" s="48" t="n">
        <f aca="false">Assumptions!$B$29*SUM(S24:S59)/Discount!C24</f>
        <v>127.271427739192</v>
      </c>
    </row>
    <row r="25" customFormat="false" ht="15" hidden="false" customHeight="true" outlineLevel="0" collapsed="false">
      <c r="A25" s="48" t="n">
        <f aca="false">ROW()-4</f>
        <v>21</v>
      </c>
      <c r="B25" s="12" t="n">
        <f aca="false">SUMIFS(Projection!$P$4:$P$59,Projection!$B$4:$B$59,"&gt;="&amp;(Assumptions!$B$4+A25))/Discount!C25</f>
        <v>109453.915598359</v>
      </c>
      <c r="C25" s="12" t="n">
        <f aca="false">(Projection!F25/Projection!Q25)*SUMIFS(Projection!$R$4:$R$59,Projection!$B$4:$B$59,"&gt;="&amp;(Assumptions!$B$4+A25))/Discount!C25</f>
        <v>124568.845788614</v>
      </c>
      <c r="D25" s="12" t="n">
        <f aca="false">(Projection!F25/Projection!S25)*SUMIFS(Projection!$T$4:$T$59,Projection!$B$4:$B$59,"&gt;="&amp;(Assumptions!$B$4+A25))/Discount!C25</f>
        <v>109453.915598359</v>
      </c>
      <c r="E25" s="12" t="n">
        <f aca="false">(Projection!F25/Projection!U25)*SUMIFS(Projection!$V$4:$V$59,Projection!$B$4:$B$59,"&gt;="&amp;(Assumptions!$B$4+A25))/Discount!C25</f>
        <v>109453.915598359</v>
      </c>
      <c r="F25" s="12" t="n">
        <f aca="false">SUMIFS(Projection!$W$4:$W$59,Projection!$B$4:$B$59,"&gt;="&amp;(Assumptions!$B$4+A25))/Discount!C25</f>
        <v>109721.732754687</v>
      </c>
      <c r="G25" s="12" t="n">
        <f aca="false">MAX(0,C25-B25)</f>
        <v>15114.9301902556</v>
      </c>
      <c r="H25" s="5" t="n">
        <f aca="false">MAX(MAX(0,D25-B25),MAX(0,E25-B25),IF(A25&lt;Assumptions!$B$6,MAX(0,-Assumptions!$B$22*B25),0))</f>
        <v>0</v>
      </c>
      <c r="I25" s="48" t="n">
        <f aca="false">MAX(0,F25-B25)</f>
        <v>267.817156328398</v>
      </c>
      <c r="J25" s="12" t="n">
        <f aca="false">SQRT(G25^2+H25^2+I25^2+2*Assumptions!$B$26*G25*H25+2*Assumptions!$B$27*G25*I25+2*Assumptions!$B$28*H25*I25)</f>
        <v>15184.0989030088</v>
      </c>
      <c r="K25" s="12" t="n">
        <f aca="false">J25*Discount!C25</f>
        <v>7884.36974131572</v>
      </c>
      <c r="L25" s="12" t="n">
        <f aca="false">Assumptions!$B$29*SUM(K25:K59)/Discount!C25</f>
        <v>6554.43598584625</v>
      </c>
      <c r="M25" s="12" t="n">
        <f aca="false">IF(A25&gt;=Assumptions!$B$6,Assumptions!$B$45*Reserving!$E$5*Discount!$C$19/Discount!C25,G25)</f>
        <v>8265.20738712261</v>
      </c>
      <c r="N25" s="12" t="n">
        <f aca="false">SQRT(M25^2+H25^2+I25^2+2*Assumptions!$B$26*M25*H25+2*Assumptions!$B$27*M25*I25+2*Assumptions!$B$28*H25*I25)</f>
        <v>8336.19585607318</v>
      </c>
      <c r="O25" s="12" t="n">
        <f aca="false">N25*Discount!C25</f>
        <v>4328.58418435889</v>
      </c>
      <c r="P25" s="12" t="n">
        <f aca="false">Assumptions!$B$29*SUM(O25:O59)/Discount!C25</f>
        <v>17386.4050262476</v>
      </c>
      <c r="Q25" s="5" t="n">
        <f aca="false">IF(A25&gt;=Assumptions!$B$6,0,G25)</f>
        <v>0</v>
      </c>
      <c r="R25" s="48" t="n">
        <f aca="false">SQRT(Q25^2+H25^2+I25^2+2*Assumptions!$B$26*Q25*H25+2*Assumptions!$B$27*Q25*I25+2*Assumptions!$B$28*H25*I25)</f>
        <v>267.817156328398</v>
      </c>
      <c r="S25" s="48" t="n">
        <f aca="false">R25*Discount!C25</f>
        <v>139.064523818561</v>
      </c>
      <c r="T25" s="48" t="n">
        <f aca="false">Assumptions!$B$29*SUM(S25:S59)/Discount!C25</f>
        <v>113.651243317913</v>
      </c>
    </row>
    <row r="26" customFormat="false" ht="15" hidden="false" customHeight="true" outlineLevel="0" collapsed="false">
      <c r="A26" s="48" t="n">
        <f aca="false">ROW()-4</f>
        <v>22</v>
      </c>
      <c r="B26" s="12" t="n">
        <f aca="false">SUMIFS(Projection!$P$4:$P$59,Projection!$B$4:$B$59,"&gt;="&amp;(Assumptions!$B$4+A26))/Discount!C26</f>
        <v>99152.0218946052</v>
      </c>
      <c r="C26" s="12" t="n">
        <f aca="false">(Projection!F26/Projection!Q26)*SUMIFS(Projection!$R$4:$R$59,Projection!$B$4:$B$59,"&gt;="&amp;(Assumptions!$B$4+A26))/Discount!C26</f>
        <v>113395.259817791</v>
      </c>
      <c r="D26" s="12" t="n">
        <f aca="false">(Projection!F26/Projection!S26)*SUMIFS(Projection!$T$4:$T$59,Projection!$B$4:$B$59,"&gt;="&amp;(Assumptions!$B$4+A26))/Discount!C26</f>
        <v>99152.0218946053</v>
      </c>
      <c r="E26" s="12" t="n">
        <f aca="false">(Projection!F26/Projection!U26)*SUMIFS(Projection!$V$4:$V$59,Projection!$B$4:$B$59,"&gt;="&amp;(Assumptions!$B$4+A26))/Discount!C26</f>
        <v>99152.0218946052</v>
      </c>
      <c r="F26" s="12" t="n">
        <f aca="false">SUMIFS(Projection!$W$4:$W$59,Projection!$B$4:$B$59,"&gt;="&amp;(Assumptions!$B$4+A26))/Discount!C26</f>
        <v>99401.2160423298</v>
      </c>
      <c r="G26" s="12" t="n">
        <f aca="false">MAX(0,C26-B26)</f>
        <v>14243.2379231855</v>
      </c>
      <c r="H26" s="5" t="n">
        <f aca="false">MAX(MAX(0,D26-B26),MAX(0,E26-B26),IF(A26&lt;Assumptions!$B$6,MAX(0,-Assumptions!$B$22*B26),0))</f>
        <v>0</v>
      </c>
      <c r="I26" s="48" t="n">
        <f aca="false">MAX(0,F26-B26)</f>
        <v>249.194147724586</v>
      </c>
      <c r="J26" s="12" t="n">
        <f aca="false">SQRT(G26^2+H26^2+I26^2+2*Assumptions!$B$26*G26*H26+2*Assumptions!$B$27*G26*I26+2*Assumptions!$B$28*H26*I26)</f>
        <v>14307.5710736408</v>
      </c>
      <c r="K26" s="12" t="n">
        <f aca="false">J26*Discount!C26</f>
        <v>7199.42532515777</v>
      </c>
      <c r="L26" s="12" t="n">
        <f aca="false">Assumptions!$B$29*SUM(K26:K59)/Discount!C26</f>
        <v>5823.52718847984</v>
      </c>
      <c r="M26" s="12" t="n">
        <f aca="false">IF(A26&gt;=Assumptions!$B$6,Assumptions!$B$45*Reserving!$E$5*Discount!$C$19/Discount!C26,G26)</f>
        <v>8529.03299199138</v>
      </c>
      <c r="N26" s="12" t="n">
        <f aca="false">SQRT(M26^2+H26^2+I26^2+2*Assumptions!$B$26*M26*H26+2*Assumptions!$B$27*M26*I26+2*Assumptions!$B$28*H26*I26)</f>
        <v>8594.71896314328</v>
      </c>
      <c r="O26" s="12" t="n">
        <f aca="false">N26*Discount!C26</f>
        <v>4324.77581606183</v>
      </c>
      <c r="P26" s="12" t="n">
        <f aca="false">Assumptions!$B$29*SUM(O26:O59)/Discount!C26</f>
        <v>17425.2422191285</v>
      </c>
      <c r="Q26" s="5" t="n">
        <f aca="false">IF(A26&gt;=Assumptions!$B$6,0,G26)</f>
        <v>0</v>
      </c>
      <c r="R26" s="48" t="n">
        <f aca="false">SQRT(Q26^2+H26^2+I26^2+2*Assumptions!$B$26*Q26*H26+2*Assumptions!$B$27*Q26*I26+2*Assumptions!$B$28*H26*I26)</f>
        <v>249.194147724586</v>
      </c>
      <c r="S26" s="48" t="n">
        <f aca="false">R26*Discount!C26</f>
        <v>125.391979447491</v>
      </c>
      <c r="T26" s="48" t="n">
        <f aca="false">Assumptions!$B$29*SUM(S26:S59)/Discount!C26</f>
        <v>100.697040392146</v>
      </c>
    </row>
    <row r="27" customFormat="false" ht="15" hidden="false" customHeight="true" outlineLevel="0" collapsed="false">
      <c r="A27" s="48" t="n">
        <f aca="false">ROW()-4</f>
        <v>23</v>
      </c>
      <c r="B27" s="12" t="n">
        <f aca="false">SUMIFS(Projection!$P$4:$P$59,Projection!$B$4:$B$59,"&gt;="&amp;(Assumptions!$B$4+A27))/Discount!C27</f>
        <v>89039.6052987347</v>
      </c>
      <c r="C27" s="12" t="n">
        <f aca="false">(Projection!F27/Projection!Q27)*SUMIFS(Projection!$R$4:$R$59,Projection!$B$4:$B$59,"&gt;="&amp;(Assumptions!$B$4+A27))/Discount!C27</f>
        <v>102340.573736475</v>
      </c>
      <c r="D27" s="12" t="n">
        <f aca="false">(Projection!F27/Projection!S27)*SUMIFS(Projection!$T$4:$T$59,Projection!$B$4:$B$59,"&gt;="&amp;(Assumptions!$B$4+A27))/Discount!C27</f>
        <v>89039.6052987347</v>
      </c>
      <c r="E27" s="12" t="n">
        <f aca="false">(Projection!F27/Projection!U27)*SUMIFS(Projection!$V$4:$V$59,Projection!$B$4:$B$59,"&gt;="&amp;(Assumptions!$B$4+A27))/Discount!C27</f>
        <v>89039.6052987346</v>
      </c>
      <c r="F27" s="12" t="n">
        <f aca="false">SUMIFS(Projection!$W$4:$W$59,Projection!$B$4:$B$59,"&gt;="&amp;(Assumptions!$B$4+A27))/Discount!C27</f>
        <v>89269.4848538941</v>
      </c>
      <c r="G27" s="12" t="n">
        <f aca="false">MAX(0,C27-B27)</f>
        <v>13300.9684377407</v>
      </c>
      <c r="H27" s="5" t="n">
        <f aca="false">MAX(MAX(0,D27-B27),MAX(0,E27-B27),IF(A27&lt;Assumptions!$B$6,MAX(0,-Assumptions!$B$22*B27),0))</f>
        <v>0</v>
      </c>
      <c r="I27" s="48" t="n">
        <f aca="false">MAX(0,F27-B27)</f>
        <v>229.879555159438</v>
      </c>
      <c r="J27" s="12" t="n">
        <f aca="false">SQRT(G27^2+H27^2+I27^2+2*Assumptions!$B$26*G27*H27+2*Assumptions!$B$27*G27*I27+2*Assumptions!$B$28*H27*I27)</f>
        <v>13360.2925246973</v>
      </c>
      <c r="K27" s="12" t="n">
        <f aca="false">J27*Discount!C27</f>
        <v>6514.68511988663</v>
      </c>
      <c r="L27" s="12" t="n">
        <f aca="false">Assumptions!$B$29*SUM(K27:K59)/Discount!C27</f>
        <v>5123.65747501966</v>
      </c>
      <c r="M27" s="12" t="n">
        <f aca="false">IF(A27&gt;=Assumptions!$B$6,Assumptions!$B$45*Reserving!$E$5*Discount!$C$19/Discount!C27,G27)</f>
        <v>8801.4505149221</v>
      </c>
      <c r="N27" s="12" t="n">
        <f aca="false">SQRT(M27^2+H27^2+I27^2+2*Assumptions!$B$26*M27*H27+2*Assumptions!$B$27*M27*I27+2*Assumptions!$B$28*H27*I27)</f>
        <v>8861.71611715626</v>
      </c>
      <c r="O27" s="12" t="n">
        <f aca="false">N27*Discount!C27</f>
        <v>4321.10973755834</v>
      </c>
      <c r="P27" s="12" t="n">
        <f aca="false">Assumptions!$B$29*SUM(O27:O59)/Discount!C27</f>
        <v>17449.650813089</v>
      </c>
      <c r="Q27" s="5" t="n">
        <f aca="false">IF(A27&gt;=Assumptions!$B$6,0,G27)</f>
        <v>0</v>
      </c>
      <c r="R27" s="48" t="n">
        <f aca="false">SQRT(Q27^2+H27^2+I27^2+2*Assumptions!$B$26*Q27*H27+2*Assumptions!$B$27*Q27*I27+2*Assumptions!$B$28*H27*I27)</f>
        <v>229.879555159438</v>
      </c>
      <c r="S27" s="48" t="n">
        <f aca="false">R27*Discount!C27</f>
        <v>112.092823910476</v>
      </c>
      <c r="T27" s="48" t="n">
        <f aca="false">Assumptions!$B$29*SUM(S27:S59)/Discount!C27</f>
        <v>88.4841014369218</v>
      </c>
    </row>
    <row r="28" customFormat="false" ht="15" hidden="false" customHeight="true" outlineLevel="0" collapsed="false">
      <c r="A28" s="48" t="n">
        <f aca="false">ROW()-4</f>
        <v>24</v>
      </c>
      <c r="B28" s="12" t="n">
        <f aca="false">SUMIFS(Projection!$P$4:$P$59,Projection!$B$4:$B$59,"&gt;="&amp;(Assumptions!$B$4+A28))/Discount!C28</f>
        <v>79223.7441675393</v>
      </c>
      <c r="C28" s="12" t="n">
        <f aca="false">(Projection!F28/Projection!Q28)*SUMIFS(Projection!$R$4:$R$59,Projection!$B$4:$B$59,"&gt;="&amp;(Assumptions!$B$4+A28))/Discount!C28</f>
        <v>91523.6818777394</v>
      </c>
      <c r="D28" s="12" t="n">
        <f aca="false">(Projection!F28/Projection!S28)*SUMIFS(Projection!$T$4:$T$59,Projection!$B$4:$B$59,"&gt;="&amp;(Assumptions!$B$4+A28))/Discount!C28</f>
        <v>79223.7441675393</v>
      </c>
      <c r="E28" s="12" t="n">
        <f aca="false">(Projection!F28/Projection!U28)*SUMIFS(Projection!$V$4:$V$59,Projection!$B$4:$B$59,"&gt;="&amp;(Assumptions!$B$4+A28))/Discount!C28</f>
        <v>79223.7441675393</v>
      </c>
      <c r="F28" s="12" t="n">
        <f aca="false">SUMIFS(Projection!$W$4:$W$59,Projection!$B$4:$B$59,"&gt;="&amp;(Assumptions!$B$4+A28))/Discount!C28</f>
        <v>79433.8889802303</v>
      </c>
      <c r="G28" s="12" t="n">
        <f aca="false">MAX(0,C28-B28)</f>
        <v>12299.9377102001</v>
      </c>
      <c r="H28" s="5" t="n">
        <f aca="false">MAX(MAX(0,D28-B28),MAX(0,E28-B28),IF(A28&lt;Assumptions!$B$6,MAX(0,-Assumptions!$B$22*B28),0))</f>
        <v>0</v>
      </c>
      <c r="I28" s="48" t="n">
        <f aca="false">MAX(0,F28-B28)</f>
        <v>210.144812691025</v>
      </c>
      <c r="J28" s="12" t="n">
        <f aca="false">SQRT(G28^2+H28^2+I28^2+2*Assumptions!$B$26*G28*H28+2*Assumptions!$B$27*G28*I28+2*Assumptions!$B$28*H28*I28)</f>
        <v>12354.1496093505</v>
      </c>
      <c r="K28" s="12" t="n">
        <f aca="false">J28*Discount!C28</f>
        <v>5836.14964127061</v>
      </c>
      <c r="L28" s="12" t="n">
        <f aca="false">Assumptions!$B$29*SUM(K28:K59)/Discount!C28</f>
        <v>4461.21007162474</v>
      </c>
      <c r="M28" s="12" t="n">
        <f aca="false">IF(A28&gt;=Assumptions!$B$6,Assumptions!$B$45*Reserving!$E$5*Discount!$C$19/Discount!C28,G28)</f>
        <v>9084.85816344257</v>
      </c>
      <c r="N28" s="12" t="n">
        <f aca="false">SQRT(M28^2+H28^2+I28^2+2*Assumptions!$B$26*M28*H28+2*Assumptions!$B$27*M28*I28+2*Assumptions!$B$28*H28*I28)</f>
        <v>9139.65954512041</v>
      </c>
      <c r="O28" s="12" t="n">
        <f aca="false">N28*Discount!C28</f>
        <v>4317.61169018207</v>
      </c>
      <c r="P28" s="12" t="n">
        <f aca="false">Assumptions!$B$29*SUM(O28:O59)/Discount!C28</f>
        <v>17462.7075772783</v>
      </c>
      <c r="Q28" s="5" t="n">
        <f aca="false">IF(A28&gt;=Assumptions!$B$6,0,G28)</f>
        <v>0</v>
      </c>
      <c r="R28" s="48" t="n">
        <f aca="false">SQRT(Q28^2+H28^2+I28^2+2*Assumptions!$B$26*Q28*H28+2*Assumptions!$B$27*Q28*I28+2*Assumptions!$B$28*H28*I28)</f>
        <v>210.144812691025</v>
      </c>
      <c r="S28" s="48" t="n">
        <f aca="false">R28*Discount!C28</f>
        <v>99.2732492306353</v>
      </c>
      <c r="T28" s="48" t="n">
        <f aca="false">Assumptions!$B$29*SUM(S28:S59)/Discount!C28</f>
        <v>77.0963968865965</v>
      </c>
    </row>
    <row r="29" customFormat="false" ht="15" hidden="false" customHeight="true" outlineLevel="0" collapsed="false">
      <c r="A29" s="48" t="n">
        <f aca="false">ROW()-4</f>
        <v>25</v>
      </c>
      <c r="B29" s="12" t="n">
        <f aca="false">SUMIFS(Projection!$P$4:$P$59,Projection!$B$4:$B$59,"&gt;="&amp;(Assumptions!$B$4+A29))/Discount!C29</f>
        <v>69760.6047510813</v>
      </c>
      <c r="C29" s="12" t="n">
        <f aca="false">(Projection!F29/Projection!Q29)*SUMIFS(Projection!$R$4:$R$59,Projection!$B$4:$B$59,"&gt;="&amp;(Assumptions!$B$4+A29))/Discount!C29</f>
        <v>81006.4429255893</v>
      </c>
      <c r="D29" s="12" t="n">
        <f aca="false">(Projection!F29/Projection!S29)*SUMIFS(Projection!$T$4:$T$59,Projection!$B$4:$B$59,"&gt;="&amp;(Assumptions!$B$4+A29))/Discount!C29</f>
        <v>69760.6047510813</v>
      </c>
      <c r="E29" s="12" t="n">
        <f aca="false">(Projection!F29/Projection!U29)*SUMIFS(Projection!$V$4:$V$59,Projection!$B$4:$B$59,"&gt;="&amp;(Assumptions!$B$4+A29))/Discount!C29</f>
        <v>69760.6047510813</v>
      </c>
      <c r="F29" s="12" t="n">
        <f aca="false">SUMIFS(Projection!$W$4:$W$59,Projection!$B$4:$B$59,"&gt;="&amp;(Assumptions!$B$4+A29))/Discount!C29</f>
        <v>69950.7543135009</v>
      </c>
      <c r="G29" s="12" t="n">
        <f aca="false">MAX(0,C29-B29)</f>
        <v>11245.8381745079</v>
      </c>
      <c r="H29" s="5" t="n">
        <f aca="false">MAX(MAX(0,D29-B29),MAX(0,E29-B29),IF(A29&lt;Assumptions!$B$6,MAX(0,-Assumptions!$B$22*B29),0))</f>
        <v>0</v>
      </c>
      <c r="I29" s="48" t="n">
        <f aca="false">MAX(0,F29-B29)</f>
        <v>190.149562419523</v>
      </c>
      <c r="J29" s="12" t="n">
        <f aca="false">SQRT(G29^2+H29^2+I29^2+2*Assumptions!$B$26*G29*H29+2*Assumptions!$B$27*G29*I29+2*Assumptions!$B$28*H29*I29)</f>
        <v>11294.876214783</v>
      </c>
      <c r="K29" s="12" t="n">
        <f aca="false">J29*Discount!C29</f>
        <v>5170.3451647671</v>
      </c>
      <c r="L29" s="12" t="n">
        <f aca="false">Assumptions!$B$29*SUM(K29:K59)/Discount!C29</f>
        <v>3838.96275866848</v>
      </c>
      <c r="M29" s="12" t="n">
        <f aca="false">IF(A29&gt;=Assumptions!$B$6,Assumptions!$B$45*Reserving!$E$5*Discount!$C$19/Discount!C29,G29)</f>
        <v>9375.48304027196</v>
      </c>
      <c r="N29" s="12" t="n">
        <f aca="false">SQRT(M29^2+H29^2+I29^2+2*Assumptions!$B$26*M29*H29+2*Assumptions!$B$27*M29*I29+2*Assumptions!$B$28*H29*I29)</f>
        <v>9424.81888915141</v>
      </c>
      <c r="O29" s="12" t="n">
        <f aca="false">N29*Discount!C29</f>
        <v>4314.30728816234</v>
      </c>
      <c r="P29" s="12" t="n">
        <f aca="false">Assumptions!$B$29*SUM(O29:O59)/Discount!C29</f>
        <v>17455.4178492933</v>
      </c>
      <c r="Q29" s="5" t="n">
        <f aca="false">IF(A29&gt;=Assumptions!$B$6,0,G29)</f>
        <v>0</v>
      </c>
      <c r="R29" s="48" t="n">
        <f aca="false">SQRT(Q29^2+H29^2+I29^2+2*Assumptions!$B$26*Q29*H29+2*Assumptions!$B$27*Q29*I29+2*Assumptions!$B$28*H29*I29)</f>
        <v>190.149562419523</v>
      </c>
      <c r="S29" s="48" t="n">
        <f aca="false">R29*Discount!C29</f>
        <v>87.0429079471989</v>
      </c>
      <c r="T29" s="48" t="n">
        <f aca="false">Assumptions!$B$29*SUM(S29:S59)/Discount!C29</f>
        <v>66.5506717833122</v>
      </c>
    </row>
    <row r="30" customFormat="false" ht="15" hidden="false" customHeight="true" outlineLevel="0" collapsed="false">
      <c r="A30" s="48" t="n">
        <f aca="false">ROW()-4</f>
        <v>26</v>
      </c>
      <c r="B30" s="12" t="n">
        <f aca="false">SUMIFS(Projection!$P$4:$P$59,Projection!$B$4:$B$59,"&gt;="&amp;(Assumptions!$B$4+A30))/Discount!C30</f>
        <v>60774.6910577118</v>
      </c>
      <c r="C30" s="12" t="n">
        <f aca="false">(Projection!F30/Projection!Q30)*SUMIFS(Projection!$R$4:$R$59,Projection!$B$4:$B$59,"&gt;="&amp;(Assumptions!$B$4+A30))/Discount!C30</f>
        <v>70882.8019012963</v>
      </c>
      <c r="D30" s="12" t="n">
        <f aca="false">(Projection!F30/Projection!S30)*SUMIFS(Projection!$T$4:$T$59,Projection!$B$4:$B$59,"&gt;="&amp;(Assumptions!$B$4+A30))/Discount!C30</f>
        <v>60774.6910577118</v>
      </c>
      <c r="E30" s="12" t="n">
        <f aca="false">(Projection!F30/Projection!U30)*SUMIFS(Projection!$V$4:$V$59,Projection!$B$4:$B$59,"&gt;="&amp;(Assumptions!$B$4+A30))/Discount!C30</f>
        <v>60774.6910577118</v>
      </c>
      <c r="F30" s="12" t="n">
        <f aca="false">SUMIFS(Projection!$W$4:$W$59,Projection!$B$4:$B$59,"&gt;="&amp;(Assumptions!$B$4+A30))/Discount!C30</f>
        <v>60944.9538242087</v>
      </c>
      <c r="G30" s="12" t="n">
        <f aca="false">MAX(0,C30-B30)</f>
        <v>10108.1108435845</v>
      </c>
      <c r="H30" s="5" t="n">
        <f aca="false">MAX(MAX(0,D30-B30),MAX(0,E30-B30),IF(A30&lt;Assumptions!$B$6,MAX(0,-Assumptions!$B$22*B30),0))</f>
        <v>0</v>
      </c>
      <c r="I30" s="48" t="n">
        <f aca="false">MAX(0,F30-B30)</f>
        <v>170.26276649689</v>
      </c>
      <c r="J30" s="12" t="n">
        <f aca="false">SQRT(G30^2+H30^2+I30^2+2*Assumptions!$B$26*G30*H30+2*Assumptions!$B$27*G30*I30+2*Assumptions!$B$28*H30*I30)</f>
        <v>10152.015154342</v>
      </c>
      <c r="K30" s="12" t="n">
        <f aca="false">J30*Discount!C30</f>
        <v>4501.91156619074</v>
      </c>
      <c r="L30" s="12" t="n">
        <f aca="false">Assumptions!$B$29*SUM(K30:K59)/Discount!C30</f>
        <v>3263.28477305697</v>
      </c>
      <c r="M30" s="12" t="n">
        <f aca="false">IF(A30&gt;=Assumptions!$B$6,Assumptions!$B$45*Reserving!$E$5*Discount!$C$19/Discount!C30,G30)</f>
        <v>9678.0310594711</v>
      </c>
      <c r="N30" s="12" t="n">
        <f aca="false">SQRT(M30^2+H30^2+I30^2+2*Assumptions!$B$26*M30*H30+2*Assumptions!$B$27*M30*I30+2*Assumptions!$B$28*H30*I30)</f>
        <v>9721.99458799256</v>
      </c>
      <c r="O30" s="12" t="n">
        <f aca="false">N30*Discount!C30</f>
        <v>4311.21892715146</v>
      </c>
      <c r="P30" s="12" t="n">
        <f aca="false">Assumptions!$B$29*SUM(O30:O59)/Discount!C30</f>
        <v>17434.9688440607</v>
      </c>
      <c r="Q30" s="5" t="n">
        <f aca="false">IF(A30&gt;=Assumptions!$B$6,0,G30)</f>
        <v>0</v>
      </c>
      <c r="R30" s="48" t="n">
        <f aca="false">SQRT(Q30^2+H30^2+I30^2+2*Assumptions!$B$26*Q30*H30+2*Assumptions!$B$27*Q30*I30+2*Assumptions!$B$28*H30*I30)</f>
        <v>170.26276649689</v>
      </c>
      <c r="S30" s="48" t="n">
        <f aca="false">R30*Discount!C30</f>
        <v>75.5030312830206</v>
      </c>
      <c r="T30" s="48" t="n">
        <f aca="false">Assumptions!$B$29*SUM(S30:S59)/Discount!C30</f>
        <v>56.9211275827366</v>
      </c>
    </row>
    <row r="31" customFormat="false" ht="15" hidden="false" customHeight="true" outlineLevel="0" collapsed="false">
      <c r="A31" s="48" t="n">
        <f aca="false">ROW()-4</f>
        <v>27</v>
      </c>
      <c r="B31" s="12" t="n">
        <f aca="false">SUMIFS(Projection!$P$4:$P$59,Projection!$B$4:$B$59,"&gt;="&amp;(Assumptions!$B$4+A31))/Discount!C31</f>
        <v>52359.2282329239</v>
      </c>
      <c r="C31" s="12" t="n">
        <f aca="false">(Projection!F31/Projection!Q31)*SUMIFS(Projection!$R$4:$R$59,Projection!$B$4:$B$59,"&gt;="&amp;(Assumptions!$B$4+A31))/Discount!C31</f>
        <v>61308.4298103841</v>
      </c>
      <c r="D31" s="12" t="n">
        <f aca="false">(Projection!F31/Projection!S31)*SUMIFS(Projection!$T$4:$T$59,Projection!$B$4:$B$59,"&gt;="&amp;(Assumptions!$B$4+A31))/Discount!C31</f>
        <v>52359.2282329239</v>
      </c>
      <c r="E31" s="12" t="n">
        <f aca="false">(Projection!F31/Projection!U31)*SUMIFS(Projection!$V$4:$V$59,Projection!$B$4:$B$59,"&gt;="&amp;(Assumptions!$B$4+A31))/Discount!C31</f>
        <v>52359.2282329239</v>
      </c>
      <c r="F31" s="12" t="n">
        <f aca="false">SUMIFS(Projection!$W$4:$W$59,Projection!$B$4:$B$59,"&gt;="&amp;(Assumptions!$B$4+A31))/Discount!C31</f>
        <v>52510.0110450848</v>
      </c>
      <c r="G31" s="12" t="n">
        <f aca="false">MAX(0,C31-B31)</f>
        <v>8949.20157746018</v>
      </c>
      <c r="H31" s="5" t="n">
        <f aca="false">MAX(MAX(0,D31-B31),MAX(0,E31-B31),IF(A31&lt;Assumptions!$B$6,MAX(0,-Assumptions!$B$22*B31),0))</f>
        <v>0</v>
      </c>
      <c r="I31" s="48" t="n">
        <f aca="false">MAX(0,F31-B31)</f>
        <v>150.782812160884</v>
      </c>
      <c r="J31" s="12" t="n">
        <f aca="false">SQRT(G31^2+H31^2+I31^2+2*Assumptions!$B$26*G31*H31+2*Assumptions!$B$27*G31*I31+2*Assumptions!$B$28*H31*I31)</f>
        <v>8988.08306707725</v>
      </c>
      <c r="K31" s="12" t="n">
        <f aca="false">J31*Discount!C31</f>
        <v>3862.02637452591</v>
      </c>
      <c r="L31" s="12" t="n">
        <f aca="false">Assumptions!$B$29*SUM(K31:K59)/Discount!C31</f>
        <v>2739.20336429233</v>
      </c>
      <c r="M31" s="12" t="n">
        <f aca="false">IF(A31&gt;=Assumptions!$B$6,Assumptions!$B$45*Reserving!$E$5*Discount!$C$19/Discount!C31,G31)</f>
        <v>9988.11550388208</v>
      </c>
      <c r="N31" s="12" t="n">
        <f aca="false">SQRT(M31^2+H31^2+I31^2+2*Assumptions!$B$26*M31*H31+2*Assumptions!$B$27*M31*I31+2*Assumptions!$B$28*H31*I31)</f>
        <v>10026.8741314162</v>
      </c>
      <c r="O31" s="12" t="n">
        <f aca="false">N31*Discount!C31</f>
        <v>4308.37722132595</v>
      </c>
      <c r="P31" s="12" t="n">
        <f aca="false">Assumptions!$B$29*SUM(O31:O59)/Discount!C31</f>
        <v>17391.5765814749</v>
      </c>
      <c r="Q31" s="5" t="n">
        <f aca="false">IF(A31&gt;=Assumptions!$B$6,0,G31)</f>
        <v>0</v>
      </c>
      <c r="R31" s="48" t="n">
        <f aca="false">SQRT(Q31^2+H31^2+I31^2+2*Assumptions!$B$26*Q31*H31+2*Assumptions!$B$27*Q31*I31+2*Assumptions!$B$28*H31*I31)</f>
        <v>150.782812160884</v>
      </c>
      <c r="S31" s="48" t="n">
        <f aca="false">R31*Discount!C31</f>
        <v>64.788809031321</v>
      </c>
      <c r="T31" s="48" t="n">
        <f aca="false">Assumptions!$B$29*SUM(S31:S59)/Discount!C31</f>
        <v>48.2018029673681</v>
      </c>
    </row>
    <row r="32" customFormat="false" ht="15" hidden="false" customHeight="true" outlineLevel="0" collapsed="false">
      <c r="A32" s="48" t="n">
        <f aca="false">ROW()-4</f>
        <v>28</v>
      </c>
      <c r="B32" s="12" t="n">
        <f aca="false">SUMIFS(Projection!$P$4:$P$59,Projection!$B$4:$B$59,"&gt;="&amp;(Assumptions!$B$4+A32))/Discount!C32</f>
        <v>44619.885400515</v>
      </c>
      <c r="C32" s="12" t="n">
        <f aca="false">(Projection!F32/Projection!Q32)*SUMIFS(Projection!$R$4:$R$59,Projection!$B$4:$B$59,"&gt;="&amp;(Assumptions!$B$4+A32))/Discount!C32</f>
        <v>52425.2446139043</v>
      </c>
      <c r="D32" s="12" t="n">
        <f aca="false">(Projection!F32/Projection!S32)*SUMIFS(Projection!$T$4:$T$59,Projection!$B$4:$B$59,"&gt;="&amp;(Assumptions!$B$4+A32))/Discount!C32</f>
        <v>44619.885400515</v>
      </c>
      <c r="E32" s="12" t="n">
        <f aca="false">(Projection!F32/Projection!U32)*SUMIFS(Projection!$V$4:$V$59,Projection!$B$4:$B$59,"&gt;="&amp;(Assumptions!$B$4+A32))/Discount!C32</f>
        <v>44619.885400515</v>
      </c>
      <c r="F32" s="12" t="n">
        <f aca="false">SUMIFS(Projection!$W$4:$W$59,Projection!$B$4:$B$59,"&gt;="&amp;(Assumptions!$B$4+A32))/Discount!C32</f>
        <v>44751.9790721666</v>
      </c>
      <c r="G32" s="12" t="n">
        <f aca="false">MAX(0,C32-B32)</f>
        <v>7805.35921338931</v>
      </c>
      <c r="H32" s="5" t="n">
        <f aca="false">MAX(MAX(0,D32-B32),MAX(0,E32-B32),IF(A32&lt;Assumptions!$B$6,MAX(0,-Assumptions!$B$22*B32),0))</f>
        <v>0</v>
      </c>
      <c r="I32" s="48" t="n">
        <f aca="false">MAX(0,F32-B32)</f>
        <v>132.093671651681</v>
      </c>
      <c r="J32" s="12" t="n">
        <f aca="false">SQRT(G32^2+H32^2+I32^2+2*Assumptions!$B$26*G32*H32+2*Assumptions!$B$27*G32*I32+2*Assumptions!$B$28*H32*I32)</f>
        <v>7839.4260291593</v>
      </c>
      <c r="K32" s="12" t="n">
        <f aca="false">J32*Discount!C32</f>
        <v>3262.94390399492</v>
      </c>
      <c r="L32" s="12" t="n">
        <f aca="false">Assumptions!$B$29*SUM(K32:K59)/Discount!C32</f>
        <v>2271.06406312207</v>
      </c>
      <c r="M32" s="12" t="n">
        <f aca="false">IF(A32&gt;=Assumptions!$B$6,Assumptions!$B$45*Reserving!$E$5*Discount!$C$19/Discount!C32,G32)</f>
        <v>10311.1326232107</v>
      </c>
      <c r="N32" s="12" t="n">
        <f aca="false">SQRT(M32^2+H32^2+I32^2+2*Assumptions!$B$26*M32*H32+2*Assumptions!$B$27*M32*I32+2*Assumptions!$B$28*H32*I32)</f>
        <v>10344.9467081795</v>
      </c>
      <c r="O32" s="12" t="n">
        <f aca="false">N32*Discount!C32</f>
        <v>4305.79747459222</v>
      </c>
      <c r="P32" s="12" t="n">
        <f aca="false">Assumptions!$B$29*SUM(O32:O59)/Discount!C32</f>
        <v>17332.9540345331</v>
      </c>
      <c r="Q32" s="5" t="n">
        <f aca="false">IF(A32&gt;=Assumptions!$B$6,0,G32)</f>
        <v>0</v>
      </c>
      <c r="R32" s="48" t="n">
        <f aca="false">SQRT(Q32^2+H32^2+I32^2+2*Assumptions!$B$26*Q32*H32+2*Assumptions!$B$27*Q32*I32+2*Assumptions!$B$28*H32*I32)</f>
        <v>132.093671651681</v>
      </c>
      <c r="S32" s="48" t="n">
        <f aca="false">R32*Discount!C32</f>
        <v>54.9803313493834</v>
      </c>
      <c r="T32" s="48" t="n">
        <f aca="false">Assumptions!$B$29*SUM(S32:S59)/Discount!C32</f>
        <v>40.4211073157887</v>
      </c>
    </row>
    <row r="33" customFormat="false" ht="15" hidden="false" customHeight="true" outlineLevel="0" collapsed="false">
      <c r="A33" s="48" t="n">
        <f aca="false">ROW()-4</f>
        <v>29</v>
      </c>
      <c r="B33" s="12" t="n">
        <f aca="false">SUMIFS(Projection!$P$4:$P$59,Projection!$B$4:$B$59,"&gt;="&amp;(Assumptions!$B$4+A33))/Discount!C33</f>
        <v>37599.8434270638</v>
      </c>
      <c r="C33" s="12" t="n">
        <f aca="false">(Projection!F33/Projection!Q33)*SUMIFS(Projection!$R$4:$R$59,Projection!$B$4:$B$59,"&gt;="&amp;(Assumptions!$B$4+A33))/Discount!C33</f>
        <v>44310.5888995635</v>
      </c>
      <c r="D33" s="12" t="n">
        <f aca="false">(Projection!F33/Projection!S33)*SUMIFS(Projection!$T$4:$T$59,Projection!$B$4:$B$59,"&gt;="&amp;(Assumptions!$B$4+A33))/Discount!C33</f>
        <v>37599.8434270638</v>
      </c>
      <c r="E33" s="12" t="n">
        <f aca="false">(Projection!F33/Projection!U33)*SUMIFS(Projection!$V$4:$V$59,Projection!$B$4:$B$59,"&gt;="&amp;(Assumptions!$B$4+A33))/Discount!C33</f>
        <v>37599.8434270638</v>
      </c>
      <c r="F33" s="12" t="n">
        <f aca="false">SUMIFS(Projection!$W$4:$W$59,Projection!$B$4:$B$59,"&gt;="&amp;(Assumptions!$B$4+A33))/Discount!C33</f>
        <v>37714.2738014739</v>
      </c>
      <c r="G33" s="12" t="n">
        <f aca="false">MAX(0,C33-B33)</f>
        <v>6710.74547249973</v>
      </c>
      <c r="H33" s="5" t="n">
        <f aca="false">MAX(MAX(0,D33-B33),MAX(0,E33-B33),IF(A33&lt;Assumptions!$B$6,MAX(0,-Assumptions!$B$22*B33),0))</f>
        <v>0</v>
      </c>
      <c r="I33" s="48" t="n">
        <f aca="false">MAX(0,F33-B33)</f>
        <v>114.430374410047</v>
      </c>
      <c r="J33" s="12" t="n">
        <f aca="false">SQRT(G33^2+H33^2+I33^2+2*Assumptions!$B$26*G33*H33+2*Assumptions!$B$27*G33*I33+2*Assumptions!$B$28*H33*I33)</f>
        <v>6740.2637682629</v>
      </c>
      <c r="K33" s="12" t="n">
        <f aca="false">J33*Discount!C33</f>
        <v>2717.45639774597</v>
      </c>
      <c r="L33" s="12" t="n">
        <f aca="false">Assumptions!$B$29*SUM(K33:K59)/Discount!C33</f>
        <v>1859.00540231706</v>
      </c>
      <c r="M33" s="12" t="n">
        <f aca="false">IF(A33&gt;=Assumptions!$B$6,Assumptions!$B$45*Reserving!$E$5*Discount!$C$19/Discount!C33,G33)</f>
        <v>10645.0087207525</v>
      </c>
      <c r="N33" s="12" t="n">
        <f aca="false">SQRT(M33^2+H33^2+I33^2+2*Assumptions!$B$26*M33*H33+2*Assumptions!$B$27*M33*I33+2*Assumptions!$B$28*H33*I33)</f>
        <v>10674.1913577676</v>
      </c>
      <c r="O33" s="12" t="n">
        <f aca="false">N33*Discount!C33</f>
        <v>4303.48879409002</v>
      </c>
      <c r="P33" s="12" t="n">
        <f aca="false">Assumptions!$B$29*SUM(O33:O59)/Discount!C33</f>
        <v>17253.4027520979</v>
      </c>
      <c r="Q33" s="5" t="n">
        <f aca="false">IF(A33&gt;=Assumptions!$B$6,0,G33)</f>
        <v>0</v>
      </c>
      <c r="R33" s="48" t="n">
        <f aca="false">SQRT(Q33^2+H33^2+I33^2+2*Assumptions!$B$26*Q33*H33+2*Assumptions!$B$27*Q33*I33+2*Assumptions!$B$28*H33*I33)</f>
        <v>114.430374410047</v>
      </c>
      <c r="S33" s="48" t="n">
        <f aca="false">R33*Discount!C33</f>
        <v>46.1346267339312</v>
      </c>
      <c r="T33" s="48" t="n">
        <f aca="false">Assumptions!$B$29*SUM(S33:S59)/Discount!C33</f>
        <v>33.5476960018026</v>
      </c>
    </row>
    <row r="34" customFormat="false" ht="15" hidden="false" customHeight="true" outlineLevel="0" collapsed="false">
      <c r="A34" s="48" t="n">
        <f aca="false">ROW()-4</f>
        <v>30</v>
      </c>
      <c r="B34" s="12" t="n">
        <f aca="false">SUMIFS(Projection!$P$4:$P$59,Projection!$B$4:$B$59,"&gt;="&amp;(Assumptions!$B$4+A34))/Discount!C34</f>
        <v>31323.648378479</v>
      </c>
      <c r="C34" s="12" t="n">
        <f aca="false">(Projection!F34/Projection!Q34)*SUMIFS(Projection!$R$4:$R$59,Projection!$B$4:$B$59,"&gt;="&amp;(Assumptions!$B$4+A34))/Discount!C34</f>
        <v>37017.2306405122</v>
      </c>
      <c r="D34" s="12" t="n">
        <f aca="false">(Projection!F34/Projection!S34)*SUMIFS(Projection!$T$4:$T$59,Projection!$B$4:$B$59,"&gt;="&amp;(Assumptions!$B$4+A34))/Discount!C34</f>
        <v>31323.648378479</v>
      </c>
      <c r="E34" s="12" t="n">
        <f aca="false">(Projection!F34/Projection!U34)*SUMIFS(Projection!$V$4:$V$59,Projection!$B$4:$B$59,"&gt;="&amp;(Assumptions!$B$4+A34))/Discount!C34</f>
        <v>31323.648378479</v>
      </c>
      <c r="F34" s="12" t="n">
        <f aca="false">SUMIFS(Projection!$W$4:$W$59,Projection!$B$4:$B$59,"&gt;="&amp;(Assumptions!$B$4+A34))/Discount!C34</f>
        <v>31421.6469415036</v>
      </c>
      <c r="G34" s="12" t="n">
        <f aca="false">MAX(0,C34-B34)</f>
        <v>5693.58226203322</v>
      </c>
      <c r="H34" s="5" t="n">
        <f aca="false">MAX(MAX(0,D34-B34),MAX(0,E34-B34),IF(A34&lt;Assumptions!$B$6,MAX(0,-Assumptions!$B$22*B34),0))</f>
        <v>0</v>
      </c>
      <c r="I34" s="48" t="n">
        <f aca="false">MAX(0,F34-B34)</f>
        <v>97.998563024652</v>
      </c>
      <c r="J34" s="12" t="n">
        <f aca="false">SQRT(G34^2+H34^2+I34^2+2*Assumptions!$B$26*G34*H34+2*Assumptions!$B$27*G34*I34+2*Assumptions!$B$28*H34*I34)</f>
        <v>5718.8691306031</v>
      </c>
      <c r="K34" s="12" t="n">
        <f aca="false">J34*Discount!C34</f>
        <v>2233.26042797947</v>
      </c>
      <c r="L34" s="12" t="n">
        <f aca="false">Assumptions!$B$29*SUM(K34:K59)/Discount!C34</f>
        <v>1501.74761562012</v>
      </c>
      <c r="M34" s="12" t="n">
        <f aca="false">IF(A34&gt;=Assumptions!$B$6,Assumptions!$B$45*Reserving!$E$5*Discount!$C$19/Discount!C34,G34)</f>
        <v>10990.1216989152</v>
      </c>
      <c r="N34" s="12" t="n">
        <f aca="false">SQRT(M34^2+H34^2+I34^2+2*Assumptions!$B$26*M34*H34+2*Assumptions!$B$27*M34*I34+2*Assumptions!$B$28*H34*I34)</f>
        <v>11015.0300381933</v>
      </c>
      <c r="O34" s="12" t="n">
        <f aca="false">N34*Discount!C34</f>
        <v>4301.45018805635</v>
      </c>
      <c r="P34" s="12" t="n">
        <f aca="false">Assumptions!$B$29*SUM(O34:O59)/Discount!C34</f>
        <v>17151.5459528422</v>
      </c>
      <c r="Q34" s="5" t="n">
        <f aca="false">IF(A34&gt;=Assumptions!$B$6,0,G34)</f>
        <v>0</v>
      </c>
      <c r="R34" s="48" t="n">
        <f aca="false">SQRT(Q34^2+H34^2+I34^2+2*Assumptions!$B$26*Q34*H34+2*Assumptions!$B$27*Q34*I34+2*Assumptions!$B$28*H34*I34)</f>
        <v>97.998563024652</v>
      </c>
      <c r="S34" s="48" t="n">
        <f aca="false">R34*Discount!C34</f>
        <v>38.2691591298448</v>
      </c>
      <c r="T34" s="48" t="n">
        <f aca="false">Assumptions!$B$29*SUM(S34:S59)/Discount!C34</f>
        <v>27.5469043775627</v>
      </c>
    </row>
    <row r="35" customFormat="false" ht="15" hidden="false" customHeight="true" outlineLevel="0" collapsed="false">
      <c r="A35" s="48" t="n">
        <f aca="false">ROW()-4</f>
        <v>31</v>
      </c>
      <c r="B35" s="12" t="n">
        <f aca="false">SUMIFS(Projection!$P$4:$P$59,Projection!$B$4:$B$59,"&gt;="&amp;(Assumptions!$B$4+A35))/Discount!C35</f>
        <v>25779.9161564501</v>
      </c>
      <c r="C35" s="12" t="n">
        <f aca="false">(Projection!F35/Projection!Q35)*SUMIFS(Projection!$R$4:$R$59,Projection!$B$4:$B$59,"&gt;="&amp;(Assumptions!$B$4+A35))/Discount!C35</f>
        <v>30511.4404455449</v>
      </c>
      <c r="D35" s="12" t="n">
        <f aca="false">(Projection!F35/Projection!S35)*SUMIFS(Projection!$T$4:$T$59,Projection!$B$4:$B$59,"&gt;="&amp;(Assumptions!$B$4+A35))/Discount!C35</f>
        <v>25779.9161564501</v>
      </c>
      <c r="E35" s="12" t="n">
        <f aca="false">(Projection!F35/Projection!U35)*SUMIFS(Projection!$V$4:$V$59,Projection!$B$4:$B$59,"&gt;="&amp;(Assumptions!$B$4+A35))/Discount!C35</f>
        <v>25779.9161564501</v>
      </c>
      <c r="F35" s="12" t="n">
        <f aca="false">SUMIFS(Projection!$W$4:$W$59,Projection!$B$4:$B$59,"&gt;="&amp;(Assumptions!$B$4+A35))/Discount!C35</f>
        <v>25862.8261588427</v>
      </c>
      <c r="G35" s="12" t="n">
        <f aca="false">MAX(0,C35-B35)</f>
        <v>4731.52428909482</v>
      </c>
      <c r="H35" s="5" t="n">
        <f aca="false">MAX(MAX(0,D35-B35),MAX(0,E35-B35),IF(A35&lt;Assumptions!$B$6,MAX(0,-Assumptions!$B$22*B35),0))</f>
        <v>0</v>
      </c>
      <c r="I35" s="48" t="n">
        <f aca="false">MAX(0,F35-B35)</f>
        <v>82.9100023925494</v>
      </c>
      <c r="J35" s="12" t="n">
        <f aca="false">SQRT(G35^2+H35^2+I35^2+2*Assumptions!$B$26*G35*H35+2*Assumptions!$B$27*G35*I35+2*Assumptions!$B$28*H35*I35)</f>
        <v>4752.92978191932</v>
      </c>
      <c r="K35" s="12" t="n">
        <f aca="false">J35*Discount!C35</f>
        <v>1798.2404997558</v>
      </c>
      <c r="L35" s="12" t="n">
        <f aca="false">Assumptions!$B$29*SUM(K35:K59)/Discount!C35</f>
        <v>1195.86500729122</v>
      </c>
      <c r="M35" s="12" t="n">
        <f aca="false">IF(A35&gt;=Assumptions!$B$6,Assumptions!$B$45*Reserving!$E$5*Discount!$C$19/Discount!C35,G35)</f>
        <v>11343.4546068529</v>
      </c>
      <c r="N35" s="12" t="n">
        <f aca="false">SQRT(M35^2+H35^2+I35^2+2*Assumptions!$B$26*M35*H35+2*Assumptions!$B$27*M35*I35+2*Assumptions!$B$28*H35*I35)</f>
        <v>11364.4656456221</v>
      </c>
      <c r="O35" s="12" t="n">
        <f aca="false">N35*Discount!C35</f>
        <v>4299.67269025985</v>
      </c>
      <c r="P35" s="12" t="n">
        <f aca="false">Assumptions!$B$29*SUM(O35:O59)/Discount!C35</f>
        <v>17020.8191032133</v>
      </c>
      <c r="Q35" s="5" t="n">
        <f aca="false">IF(A35&gt;=Assumptions!$B$6,0,G35)</f>
        <v>0</v>
      </c>
      <c r="R35" s="48" t="n">
        <f aca="false">SQRT(Q35^2+H35^2+I35^2+2*Assumptions!$B$26*Q35*H35+2*Assumptions!$B$27*Q35*I35+2*Assumptions!$B$28*H35*I35)</f>
        <v>82.9100023925494</v>
      </c>
      <c r="S35" s="48" t="n">
        <f aca="false">R35*Discount!C35</f>
        <v>31.3684676563698</v>
      </c>
      <c r="T35" s="48" t="n">
        <f aca="false">Assumptions!$B$29*SUM(S35:S59)/Discount!C35</f>
        <v>22.3635853202648</v>
      </c>
    </row>
    <row r="36" customFormat="false" ht="15" hidden="false" customHeight="true" outlineLevel="0" collapsed="false">
      <c r="A36" s="48" t="n">
        <f aca="false">ROW()-4</f>
        <v>32</v>
      </c>
      <c r="B36" s="12" t="n">
        <f aca="false">SUMIFS(Projection!$P$4:$P$59,Projection!$B$4:$B$59,"&gt;="&amp;(Assumptions!$B$4+A36))/Discount!C36</f>
        <v>20989.4312317258</v>
      </c>
      <c r="C36" s="12" t="n">
        <f aca="false">(Projection!F36/Projection!Q36)*SUMIFS(Projection!$R$4:$R$59,Projection!$B$4:$B$59,"&gt;="&amp;(Assumptions!$B$4+A36))/Discount!C36</f>
        <v>24869.0621178486</v>
      </c>
      <c r="D36" s="12" t="n">
        <f aca="false">(Projection!F36/Projection!S36)*SUMIFS(Projection!$T$4:$T$59,Projection!$B$4:$B$59,"&gt;="&amp;(Assumptions!$B$4+A36))/Discount!C36</f>
        <v>20989.4312317258</v>
      </c>
      <c r="E36" s="12" t="n">
        <f aca="false">(Projection!F36/Projection!U36)*SUMIFS(Projection!$V$4:$V$59,Projection!$B$4:$B$59,"&gt;="&amp;(Assumptions!$B$4+A36))/Discount!C36</f>
        <v>20989.4312317258</v>
      </c>
      <c r="F36" s="12" t="n">
        <f aca="false">SUMIFS(Projection!$W$4:$W$59,Projection!$B$4:$B$59,"&gt;="&amp;(Assumptions!$B$4+A36))/Discount!C36</f>
        <v>21058.8093504696</v>
      </c>
      <c r="G36" s="12" t="n">
        <f aca="false">MAX(0,C36-B36)</f>
        <v>3879.63088612277</v>
      </c>
      <c r="H36" s="5" t="n">
        <f aca="false">MAX(MAX(0,D36-B36),MAX(0,E36-B36),IF(A36&lt;Assumptions!$B$6,MAX(0,-Assumptions!$B$22*B36),0))</f>
        <v>0</v>
      </c>
      <c r="I36" s="48" t="n">
        <f aca="false">MAX(0,F36-B36)</f>
        <v>69.3781187437744</v>
      </c>
      <c r="J36" s="12" t="n">
        <f aca="false">SQRT(G36^2+H36^2+I36^2+2*Assumptions!$B$26*G36*H36+2*Assumptions!$B$27*G36*I36+2*Assumptions!$B$28*H36*I36)</f>
        <v>3897.55434626227</v>
      </c>
      <c r="K36" s="12" t="n">
        <f aca="false">J36*Discount!C36</f>
        <v>1428.21181320737</v>
      </c>
      <c r="L36" s="48" t="n">
        <f aca="false">Assumptions!$B$29*SUM(K36:K59)/Discount!C36</f>
        <v>940.277688283721</v>
      </c>
      <c r="M36" s="12" t="n">
        <f aca="false">IF(A36&gt;=Assumptions!$B$6,Assumptions!$B$45*Reserving!$E$5*Discount!$C$19/Discount!C36,G36)</f>
        <v>11712.0056285266</v>
      </c>
      <c r="N36" s="12" t="n">
        <f aca="false">SQRT(M36^2+H36^2+I36^2+2*Assumptions!$B$26*M36*H36+2*Assumptions!$B$27*M36*I36+2*Assumptions!$B$28*H36*I36)</f>
        <v>11729.542515572</v>
      </c>
      <c r="O36" s="12" t="n">
        <f aca="false">N36*Discount!C36</f>
        <v>4298.14947938399</v>
      </c>
      <c r="P36" s="12" t="n">
        <f aca="false">Assumptions!$B$29*SUM(O36:O59)/Discount!C36</f>
        <v>16869.8068300072</v>
      </c>
      <c r="Q36" s="5" t="n">
        <f aca="false">IF(A36&gt;=Assumptions!$B$6,0,G36)</f>
        <v>0</v>
      </c>
      <c r="R36" s="48" t="n">
        <f aca="false">SQRT(Q36^2+H36^2+I36^2+2*Assumptions!$B$26*Q36*H36+2*Assumptions!$B$27*Q36*I36+2*Assumptions!$B$28*H36*I36)</f>
        <v>69.3781187437744</v>
      </c>
      <c r="S36" s="48" t="n">
        <f aca="false">R36*Discount!C36</f>
        <v>25.4227754035003</v>
      </c>
      <c r="T36" s="48" t="n">
        <f aca="false">Assumptions!$B$29*SUM(S36:S59)/Discount!C36</f>
        <v>17.9539566492361</v>
      </c>
    </row>
    <row r="37" customFormat="false" ht="15" hidden="false" customHeight="true" outlineLevel="0" collapsed="false">
      <c r="A37" s="48" t="n">
        <f aca="false">ROW()-4</f>
        <v>33</v>
      </c>
      <c r="B37" s="12" t="n">
        <f aca="false">SUMIFS(Projection!$P$4:$P$59,Projection!$B$4:$B$59,"&gt;="&amp;(Assumptions!$B$4+A37))/Discount!C37</f>
        <v>16896.718262911</v>
      </c>
      <c r="C37" s="12" t="n">
        <f aca="false">(Projection!F37/Projection!Q37)*SUMIFS(Projection!$R$4:$R$59,Projection!$B$4:$B$59,"&gt;="&amp;(Assumptions!$B$4+A37))/Discount!C37</f>
        <v>20034.3592018655</v>
      </c>
      <c r="D37" s="12" t="n">
        <f aca="false">(Projection!F37/Projection!S37)*SUMIFS(Projection!$T$4:$T$59,Projection!$B$4:$B$59,"&gt;="&amp;(Assumptions!$B$4+A37))/Discount!C37</f>
        <v>16896.718262911</v>
      </c>
      <c r="E37" s="12" t="n">
        <f aca="false">(Projection!F37/Projection!U37)*SUMIFS(Projection!$V$4:$V$59,Projection!$B$4:$B$59,"&gt;="&amp;(Assumptions!$B$4+A37))/Discount!C37</f>
        <v>16896.718262911</v>
      </c>
      <c r="F37" s="12" t="n">
        <f aca="false">SUMIFS(Projection!$W$4:$W$59,Projection!$B$4:$B$59,"&gt;="&amp;(Assumptions!$B$4+A37))/Discount!C37</f>
        <v>16954.1059634561</v>
      </c>
      <c r="G37" s="12" t="n">
        <f aca="false">MAX(0,C37-B37)</f>
        <v>3137.64093895452</v>
      </c>
      <c r="H37" s="5" t="n">
        <f aca="false">MAX(MAX(0,D37-B37),MAX(0,E37-B37),IF(A37&lt;Assumptions!$B$6,MAX(0,-Assumptions!$B$22*B37),0))</f>
        <v>0</v>
      </c>
      <c r="I37" s="48" t="n">
        <f aca="false">MAX(0,F37-B37)</f>
        <v>57.3877005451541</v>
      </c>
      <c r="J37" s="12" t="n">
        <f aca="false">SQRT(G37^2+H37^2+I37^2+2*Assumptions!$B$26*G37*H37+2*Assumptions!$B$27*G37*I37+2*Assumptions!$B$28*H37*I37)</f>
        <v>3152.47759853877</v>
      </c>
      <c r="K37" s="12" t="n">
        <f aca="false">J37*Discount!C37</f>
        <v>1118.79285863934</v>
      </c>
      <c r="L37" s="48" t="n">
        <f aca="false">Assumptions!$B$29*SUM(K37:K59)/Discount!C37</f>
        <v>729.404558752574</v>
      </c>
      <c r="M37" s="12" t="n">
        <f aca="false">IF(A37&gt;=Assumptions!$B$6,Assumptions!$B$45*Reserving!$E$5*Discount!$C$19/Discount!C37,G37)</f>
        <v>12092.9995692802</v>
      </c>
      <c r="N37" s="12" t="n">
        <f aca="false">SQRT(M37^2+H37^2+I37^2+2*Assumptions!$B$26*M37*H37+2*Assumptions!$B$27*M37*I37+2*Assumptions!$B$28*H37*I37)</f>
        <v>12107.4739995497</v>
      </c>
      <c r="O37" s="12" t="n">
        <f aca="false">N37*Discount!C37</f>
        <v>4296.86017535429</v>
      </c>
      <c r="P37" s="12" t="n">
        <f aca="false">Assumptions!$B$29*SUM(O37:O59)/Discount!C37</f>
        <v>16691.9186836484</v>
      </c>
      <c r="Q37" s="5" t="n">
        <f aca="false">IF(A37&gt;=Assumptions!$B$6,0,G37)</f>
        <v>0</v>
      </c>
      <c r="R37" s="48" t="n">
        <f aca="false">SQRT(Q37^2+H37^2+I37^2+2*Assumptions!$B$26*Q37*H37+2*Assumptions!$B$27*Q37*I37+2*Assumptions!$B$28*H37*I37)</f>
        <v>57.3877005451541</v>
      </c>
      <c r="S37" s="48" t="n">
        <f aca="false">R37*Discount!C37</f>
        <v>20.3665046100285</v>
      </c>
      <c r="T37" s="48" t="n">
        <f aca="false">Assumptions!$B$29*SUM(S37:S59)/Discount!C37</f>
        <v>14.2399023455655</v>
      </c>
    </row>
    <row r="38" customFormat="false" ht="15" hidden="false" customHeight="true" outlineLevel="0" collapsed="false">
      <c r="A38" s="48" t="n">
        <f aca="false">ROW()-4</f>
        <v>34</v>
      </c>
      <c r="B38" s="12" t="n">
        <f aca="false">SUMIFS(Projection!$P$4:$P$59,Projection!$B$4:$B$59,"&gt;="&amp;(Assumptions!$B$4+A38))/Discount!C38</f>
        <v>13443.2357146417</v>
      </c>
      <c r="C38" s="12" t="n">
        <f aca="false">(Projection!F38/Projection!Q38)*SUMIFS(Projection!$R$4:$R$59,Projection!$B$4:$B$59,"&gt;="&amp;(Assumptions!$B$4+A38))/Discount!C38</f>
        <v>15944.8939645914</v>
      </c>
      <c r="D38" s="12" t="n">
        <f aca="false">(Projection!F38/Projection!S38)*SUMIFS(Projection!$T$4:$T$59,Projection!$B$4:$B$59,"&gt;="&amp;(Assumptions!$B$4+A38))/Discount!C38</f>
        <v>13443.2357146417</v>
      </c>
      <c r="E38" s="12" t="n">
        <f aca="false">(Projection!F38/Projection!U38)*SUMIFS(Projection!$V$4:$V$59,Projection!$B$4:$B$59,"&gt;="&amp;(Assumptions!$B$4+A38))/Discount!C38</f>
        <v>13443.2357146417</v>
      </c>
      <c r="F38" s="12" t="n">
        <f aca="false">SUMIFS(Projection!$W$4:$W$59,Projection!$B$4:$B$59,"&gt;="&amp;(Assumptions!$B$4+A38))/Discount!C38</f>
        <v>13490.1383686121</v>
      </c>
      <c r="G38" s="12" t="n">
        <f aca="false">MAX(0,C38-B38)</f>
        <v>2501.65824994968</v>
      </c>
      <c r="H38" s="5" t="n">
        <f aca="false">MAX(MAX(0,D38-B38),MAX(0,E38-B38),IF(A38&lt;Assumptions!$B$6,MAX(0,-Assumptions!$B$22*B38),0))</f>
        <v>0</v>
      </c>
      <c r="I38" s="48" t="n">
        <f aca="false">MAX(0,F38-B38)</f>
        <v>46.9026539703918</v>
      </c>
      <c r="J38" s="12" t="n">
        <f aca="false">SQRT(G38^2+H38^2+I38^2+2*Assumptions!$B$26*G38*H38+2*Assumptions!$B$27*G38*I38+2*Assumptions!$B$28*H38*I38)</f>
        <v>2513.79415706926</v>
      </c>
      <c r="K38" s="48" t="n">
        <f aca="false">J38*Discount!C38</f>
        <v>863.988166653126</v>
      </c>
      <c r="L38" s="48" t="n">
        <f aca="false">Assumptions!$B$29*SUM(K38:K59)/Discount!C38</f>
        <v>557.852155106822</v>
      </c>
      <c r="M38" s="12" t="n">
        <f aca="false">IF(A38&gt;=Assumptions!$B$6,Assumptions!$B$45*Reserving!$E$5*Discount!$C$19/Discount!C38,G38)</f>
        <v>12486.8711956001</v>
      </c>
      <c r="N38" s="12" t="n">
        <f aca="false">SQRT(M38^2+H38^2+I38^2+2*Assumptions!$B$26*M38*H38+2*Assumptions!$B$27*M38*I38+2*Assumptions!$B$28*H38*I38)</f>
        <v>12498.6793627922</v>
      </c>
      <c r="O38" s="12" t="n">
        <f aca="false">N38*Discount!C38</f>
        <v>4295.78175200866</v>
      </c>
      <c r="P38" s="12" t="n">
        <f aca="false">Assumptions!$B$29*SUM(O38:O59)/Discount!C38</f>
        <v>16485.4690821615</v>
      </c>
      <c r="Q38" s="5" t="n">
        <f aca="false">IF(A38&gt;=Assumptions!$B$6,0,G38)</f>
        <v>0</v>
      </c>
      <c r="R38" s="48" t="n">
        <f aca="false">SQRT(Q38^2+H38^2+I38^2+2*Assumptions!$B$26*Q38*H38+2*Assumptions!$B$27*Q38*I38+2*Assumptions!$B$28*H38*I38)</f>
        <v>46.9026539703918</v>
      </c>
      <c r="S38" s="48" t="n">
        <f aca="false">R38*Discount!C38</f>
        <v>16.1203883385144</v>
      </c>
      <c r="T38" s="48" t="n">
        <f aca="false">Assumptions!$B$29*SUM(S38:S59)/Discount!C38</f>
        <v>11.1482892362233</v>
      </c>
    </row>
    <row r="39" customFormat="false" ht="15" hidden="false" customHeight="true" outlineLevel="0" collapsed="false">
      <c r="A39" s="48" t="n">
        <f aca="false">ROW()-4</f>
        <v>35</v>
      </c>
      <c r="B39" s="12" t="n">
        <f aca="false">SUMIFS(Projection!$P$4:$P$59,Projection!$B$4:$B$59,"&gt;="&amp;(Assumptions!$B$4+A39))/Discount!C39</f>
        <v>10565.1454049468</v>
      </c>
      <c r="C39" s="12" t="n">
        <f aca="false">(Projection!F39/Projection!Q39)*SUMIFS(Projection!$R$4:$R$59,Projection!$B$4:$B$59,"&gt;="&amp;(Assumptions!$B$4+A39))/Discount!C39</f>
        <v>12529.4491591102</v>
      </c>
      <c r="D39" s="12" t="n">
        <f aca="false">(Projection!F39/Projection!S39)*SUMIFS(Projection!$T$4:$T$59,Projection!$B$4:$B$59,"&gt;="&amp;(Assumptions!$B$4+A39))/Discount!C39</f>
        <v>10565.1454049468</v>
      </c>
      <c r="E39" s="12" t="n">
        <f aca="false">(Projection!F39/Projection!U39)*SUMIFS(Projection!$V$4:$V$59,Projection!$B$4:$B$59,"&gt;="&amp;(Assumptions!$B$4+A39))/Discount!C39</f>
        <v>10565.1454049468</v>
      </c>
      <c r="F39" s="12" t="n">
        <f aca="false">SUMIFS(Projection!$W$4:$W$59,Projection!$B$4:$B$59,"&gt;="&amp;(Assumptions!$B$4+A39))/Discount!C39</f>
        <v>10602.9994064468</v>
      </c>
      <c r="G39" s="12" t="n">
        <f aca="false">MAX(0,C39-B39)</f>
        <v>1964.30375416336</v>
      </c>
      <c r="H39" s="5" t="n">
        <f aca="false">MAX(MAX(0,D39-B39),MAX(0,E39-B39),IF(A39&lt;Assumptions!$B$6,MAX(0,-Assumptions!$B$22*B39),0))</f>
        <v>0</v>
      </c>
      <c r="I39" s="48" t="n">
        <f aca="false">MAX(0,F39-B39)</f>
        <v>37.8540014999198</v>
      </c>
      <c r="J39" s="12" t="n">
        <f aca="false">SQRT(G39^2+H39^2+I39^2+2*Assumptions!$B$26*G39*H39+2*Assumptions!$B$27*G39*I39+2*Assumptions!$B$28*H39*I39)</f>
        <v>1974.1075306776</v>
      </c>
      <c r="K39" s="48" t="n">
        <f aca="false">J39*Discount!C39</f>
        <v>657.071247607511</v>
      </c>
      <c r="L39" s="48" t="n">
        <f aca="false">Assumptions!$B$29*SUM(K39:K59)/Discount!C39</f>
        <v>420.297668709236</v>
      </c>
      <c r="M39" s="12" t="n">
        <f aca="false">IF(A39&gt;=Assumptions!$B$6,Assumptions!$B$45*Reserving!$E$5*Discount!$C$19/Discount!C39,G39)</f>
        <v>12894.0709458781</v>
      </c>
      <c r="N39" s="12" t="n">
        <f aca="false">SQRT(M39^2+H39^2+I39^2+2*Assumptions!$B$26*M39*H39+2*Assumptions!$B$27*M39*I39+2*Assumptions!$B$28*H39*I39)</f>
        <v>12903.586500397</v>
      </c>
      <c r="O39" s="12" t="n">
        <f aca="false">N39*Discount!C39</f>
        <v>4294.890500477</v>
      </c>
      <c r="P39" s="12" t="n">
        <f aca="false">Assumptions!$B$29*SUM(O39:O59)/Discount!C39</f>
        <v>16248.6881811469</v>
      </c>
      <c r="Q39" s="5" t="n">
        <f aca="false">IF(A39&gt;=Assumptions!$B$6,0,G39)</f>
        <v>0</v>
      </c>
      <c r="R39" s="48" t="n">
        <f aca="false">SQRT(Q39^2+H39^2+I39^2+2*Assumptions!$B$26*Q39*H39+2*Assumptions!$B$27*Q39*I39+2*Assumptions!$B$28*H39*I39)</f>
        <v>37.8540014999198</v>
      </c>
      <c r="S39" s="48" t="n">
        <f aca="false">R39*Discount!C39</f>
        <v>12.5995041333698</v>
      </c>
      <c r="T39" s="11" t="n">
        <f aca="false">Assumptions!$B$29*SUM(S39:S59)/Discount!C39</f>
        <v>8.60590789983038</v>
      </c>
    </row>
    <row r="40" customFormat="false" ht="15" hidden="false" customHeight="true" outlineLevel="0" collapsed="false">
      <c r="A40" s="48" t="n">
        <f aca="false">ROW()-4</f>
        <v>36</v>
      </c>
      <c r="B40" s="12" t="n">
        <f aca="false">SUMIFS(Projection!$P$4:$P$59,Projection!$B$4:$B$59,"&gt;="&amp;(Assumptions!$B$4+A40))/Discount!C40</f>
        <v>8194.28171159302</v>
      </c>
      <c r="C40" s="12" t="n">
        <f aca="false">(Projection!F40/Projection!Q40)*SUMIFS(Projection!$R$4:$R$59,Projection!$B$4:$B$59,"&gt;="&amp;(Assumptions!$B$4+A40))/Discount!C40</f>
        <v>9709.89582517969</v>
      </c>
      <c r="D40" s="12" t="n">
        <f aca="false">(Projection!F40/Projection!S40)*SUMIFS(Projection!$T$4:$T$59,Projection!$B$4:$B$59,"&gt;="&amp;(Assumptions!$B$4+A40))/Discount!C40</f>
        <v>8194.28171159302</v>
      </c>
      <c r="E40" s="12" t="n">
        <f aca="false">(Projection!F40/Projection!U40)*SUMIFS(Projection!$V$4:$V$59,Projection!$B$4:$B$59,"&gt;="&amp;(Assumptions!$B$4+A40))/Discount!C40</f>
        <v>8194.28171159302</v>
      </c>
      <c r="F40" s="12" t="n">
        <f aca="false">SUMIFS(Projection!$W$4:$W$59,Projection!$B$4:$B$59,"&gt;="&amp;(Assumptions!$B$4+A40))/Discount!C40</f>
        <v>8224.42095812353</v>
      </c>
      <c r="G40" s="12" t="n">
        <f aca="false">MAX(0,C40-B40)</f>
        <v>1515.61411358667</v>
      </c>
      <c r="H40" s="5" t="n">
        <f aca="false">MAX(MAX(0,D40-B40),MAX(0,E40-B40),IF(A40&lt;Assumptions!$B$6,MAX(0,-Assumptions!$B$22*B40),0))</f>
        <v>0</v>
      </c>
      <c r="I40" s="48" t="n">
        <f aca="false">MAX(0,F40-B40)</f>
        <v>30.1392465305107</v>
      </c>
      <c r="J40" s="12" t="n">
        <f aca="false">SQRT(G40^2+H40^2+I40^2+2*Assumptions!$B$26*G40*H40+2*Assumptions!$B$27*G40*I40+2*Assumptions!$B$28*H40*I40)</f>
        <v>1523.42845227198</v>
      </c>
      <c r="K40" s="48" t="n">
        <f aca="false">J40*Discount!C40</f>
        <v>491.204090592478</v>
      </c>
      <c r="L40" s="48" t="n">
        <f aca="false">Assumptions!$B$29*SUM(K40:K59)/Discount!C40</f>
        <v>311.598011091505</v>
      </c>
      <c r="M40" s="12" t="n">
        <f aca="false">IF(A40&gt;=Assumptions!$B$6,Assumptions!$B$45*Reserving!$E$5*Discount!$C$19/Discount!C40,G40)</f>
        <v>13310.4212839984</v>
      </c>
      <c r="N40" s="12" t="n">
        <f aca="false">SQRT(M40^2+H40^2+I40^2+2*Assumptions!$B$26*M40*H40+2*Assumptions!$B$27*M40*I40+2*Assumptions!$B$28*H40*I40)</f>
        <v>13317.9880674954</v>
      </c>
      <c r="O40" s="12" t="n">
        <f aca="false">N40*Discount!C40</f>
        <v>4294.1630816067</v>
      </c>
      <c r="P40" s="12" t="n">
        <f aca="false">Assumptions!$B$29*SUM(O40:O59)/Discount!C40</f>
        <v>15974.144668837</v>
      </c>
      <c r="Q40" s="5" t="n">
        <f aca="false">IF(A40&gt;=Assumptions!$B$6,0,G40)</f>
        <v>0</v>
      </c>
      <c r="R40" s="48" t="n">
        <f aca="false">SQRT(Q40^2+H40^2+I40^2+2*Assumptions!$B$26*Q40*H40+2*Assumptions!$B$27*Q40*I40+2*Assumptions!$B$28*H40*I40)</f>
        <v>30.1392465305107</v>
      </c>
      <c r="S40" s="11" t="n">
        <f aca="false">R40*Discount!C40</f>
        <v>9.71789726067093</v>
      </c>
      <c r="T40" s="11" t="n">
        <f aca="false">Assumptions!$B$29*SUM(S40:S59)/Discount!C40</f>
        <v>6.53921462019287</v>
      </c>
    </row>
    <row r="41" customFormat="false" ht="15" hidden="false" customHeight="true" outlineLevel="0" collapsed="false">
      <c r="A41" s="48" t="n">
        <f aca="false">ROW()-4</f>
        <v>37</v>
      </c>
      <c r="B41" s="12" t="n">
        <f aca="false">SUMIFS(Projection!$P$4:$P$59,Projection!$B$4:$B$59,"&gt;="&amp;(Assumptions!$B$4+A41))/Discount!C41</f>
        <v>6272.18505240699</v>
      </c>
      <c r="C41" s="12" t="n">
        <f aca="false">(Projection!F41/Projection!Q41)*SUMIFS(Projection!$R$4:$R$59,Projection!$B$4:$B$59,"&gt;="&amp;(Assumptions!$B$4+A41))/Discount!C41</f>
        <v>7418.54445306019</v>
      </c>
      <c r="D41" s="12" t="n">
        <f aca="false">(Projection!F41/Projection!S41)*SUMIFS(Projection!$T$4:$T$59,Projection!$B$4:$B$59,"&gt;="&amp;(Assumptions!$B$4+A41))/Discount!C41</f>
        <v>6272.18505240699</v>
      </c>
      <c r="E41" s="12" t="n">
        <f aca="false">(Projection!F41/Projection!U41)*SUMIFS(Projection!$V$4:$V$59,Projection!$B$4:$B$59,"&gt;="&amp;(Assumptions!$B$4+A41))/Discount!C41</f>
        <v>6272.18505240699</v>
      </c>
      <c r="F41" s="12" t="n">
        <f aca="false">SUMIFS(Projection!$W$4:$W$59,Projection!$B$4:$B$59,"&gt;="&amp;(Assumptions!$B$4+A41))/Discount!C41</f>
        <v>6295.85709997654</v>
      </c>
      <c r="G41" s="12" t="n">
        <f aca="false">MAX(0,C41-B41)</f>
        <v>1146.3594006532</v>
      </c>
      <c r="H41" s="5" t="n">
        <f aca="false">MAX(MAX(0,D41-B41),MAX(0,E41-B41),IF(A41&lt;Assumptions!$B$6,MAX(0,-Assumptions!$B$22*B41),0))</f>
        <v>0</v>
      </c>
      <c r="I41" s="48" t="n">
        <f aca="false">MAX(0,F41-B41)</f>
        <v>23.6720475695529</v>
      </c>
      <c r="J41" s="12" t="n">
        <f aca="false">SQRT(G41^2+H41^2+I41^2+2*Assumptions!$B$26*G41*H41+2*Assumptions!$B$27*G41*I41+2*Assumptions!$B$28*H41*I41)</f>
        <v>1152.50534854903</v>
      </c>
      <c r="K41" s="48" t="n">
        <f aca="false">J41*Discount!C41</f>
        <v>359.846255007856</v>
      </c>
      <c r="L41" s="48" t="n">
        <f aca="false">Assumptions!$B$29*SUM(K41:K59)/Discount!C41</f>
        <v>227.38824530494</v>
      </c>
      <c r="M41" s="12" t="n">
        <f aca="false">IF(A41&gt;=Assumptions!$B$6,Assumptions!$B$45*Reserving!$E$5*Discount!$C$19/Discount!C41,G41)</f>
        <v>13745.4092884822</v>
      </c>
      <c r="N41" s="12" t="n">
        <f aca="false">SQRT(M41^2+H41^2+I41^2+2*Assumptions!$B$26*M41*H41+2*Assumptions!$B$27*M41*I41+2*Assumptions!$B$28*H41*I41)</f>
        <v>13751.3464018982</v>
      </c>
      <c r="O41" s="12" t="n">
        <f aca="false">N41*Discount!C41</f>
        <v>4293.57704089502</v>
      </c>
      <c r="P41" s="12" t="n">
        <f aca="false">Assumptions!$B$29*SUM(O41:O59)/Discount!C41</f>
        <v>15670.9904399601</v>
      </c>
      <c r="Q41" s="5" t="n">
        <f aca="false">IF(A41&gt;=Assumptions!$B$6,0,G41)</f>
        <v>0</v>
      </c>
      <c r="R41" s="48" t="n">
        <f aca="false">SQRT(Q41^2+H41^2+I41^2+2*Assumptions!$B$26*Q41*H41+2*Assumptions!$B$27*Q41*I41+2*Assumptions!$B$28*H41*I41)</f>
        <v>23.6720475695529</v>
      </c>
      <c r="S41" s="11" t="n">
        <f aca="false">R41*Discount!C41</f>
        <v>7.39111334884102</v>
      </c>
      <c r="T41" s="11" t="n">
        <f aca="false">Assumptions!$B$29*SUM(S41:S59)/Discount!C41</f>
        <v>4.88546554912224</v>
      </c>
    </row>
    <row r="42" customFormat="false" ht="15" hidden="false" customHeight="true" outlineLevel="0" collapsed="false">
      <c r="A42" s="48" t="n">
        <f aca="false">ROW()-4</f>
        <v>38</v>
      </c>
      <c r="B42" s="12" t="n">
        <f aca="false">SUMIFS(Projection!$P$4:$P$59,Projection!$B$4:$B$59,"&gt;="&amp;(Assumptions!$B$4+A42))/Discount!C42</f>
        <v>4735.29630084112</v>
      </c>
      <c r="C42" s="12" t="n">
        <f aca="false">(Projection!F42/Projection!Q42)*SUMIFS(Projection!$R$4:$R$59,Projection!$B$4:$B$59,"&gt;="&amp;(Assumptions!$B$4+A42))/Discount!C42</f>
        <v>5580.43356426446</v>
      </c>
      <c r="D42" s="12" t="n">
        <f aca="false">(Projection!F42/Projection!S42)*SUMIFS(Projection!$T$4:$T$59,Projection!$B$4:$B$59,"&gt;="&amp;(Assumptions!$B$4+A42))/Discount!C42</f>
        <v>4735.29630084113</v>
      </c>
      <c r="E42" s="12" t="n">
        <f aca="false">(Projection!F42/Projection!U42)*SUMIFS(Projection!$V$4:$V$59,Projection!$B$4:$B$59,"&gt;="&amp;(Assumptions!$B$4+A42))/Discount!C42</f>
        <v>4735.29630084112</v>
      </c>
      <c r="F42" s="12" t="n">
        <f aca="false">SUMIFS(Projection!$W$4:$W$59,Projection!$B$4:$B$59,"&gt;="&amp;(Assumptions!$B$4+A42))/Discount!C42</f>
        <v>4753.62375950257</v>
      </c>
      <c r="G42" s="48" t="n">
        <f aca="false">MAX(0,C42-B42)</f>
        <v>845.137263423338</v>
      </c>
      <c r="H42" s="5" t="n">
        <f aca="false">MAX(MAX(0,D42-B42),MAX(0,E42-B42),IF(A42&lt;Assumptions!$B$6,MAX(0,-Assumptions!$B$22*B42),0))</f>
        <v>0</v>
      </c>
      <c r="I42" s="48" t="n">
        <f aca="false">MAX(0,F42-B42)</f>
        <v>18.3274586614425</v>
      </c>
      <c r="J42" s="48" t="n">
        <f aca="false">SQRT(G42^2+H42^2+I42^2+2*Assumptions!$B$26*G42*H42+2*Assumptions!$B$27*G42*I42+2*Assumptions!$B$28*H42*I42)</f>
        <v>849.90440574043</v>
      </c>
      <c r="K42" s="48" t="n">
        <f aca="false">J42*Discount!C42</f>
        <v>256.957569569508</v>
      </c>
      <c r="L42" s="48" t="n">
        <f aca="false">Assumptions!$B$29*SUM(K42:K59)/Discount!C42</f>
        <v>163.415512406572</v>
      </c>
      <c r="M42" s="12" t="n">
        <f aca="false">IF(A42&gt;=Assumptions!$B$6,Assumptions!$B$45*Reserving!$E$5*Discount!$C$19/Discount!C42,G42)</f>
        <v>14195.1628267754</v>
      </c>
      <c r="N42" s="12" t="n">
        <f aca="false">SQRT(M42^2+H42^2+I42^2+2*Assumptions!$B$26*M42*H42+2*Assumptions!$B$27*M42*I42+2*Assumptions!$B$28*H42*I42)</f>
        <v>14199.7557797434</v>
      </c>
      <c r="O42" s="12" t="n">
        <f aca="false">N42*Discount!C42</f>
        <v>4293.11191823355</v>
      </c>
      <c r="P42" s="12" t="n">
        <f aca="false">Assumptions!$B$29*SUM(O42:O59)/Discount!C42</f>
        <v>15331.6718661058</v>
      </c>
      <c r="Q42" s="5" t="n">
        <f aca="false">IF(A42&gt;=Assumptions!$B$6,0,G42)</f>
        <v>0</v>
      </c>
      <c r="R42" s="48" t="n">
        <f aca="false">SQRT(Q42^2+H42^2+I42^2+2*Assumptions!$B$26*Q42*H42+2*Assumptions!$B$27*Q42*I42+2*Assumptions!$B$28*H42*I42)</f>
        <v>18.3274586614425</v>
      </c>
      <c r="S42" s="11" t="n">
        <f aca="false">R42*Discount!C42</f>
        <v>5.54106932758764</v>
      </c>
      <c r="T42" s="11" t="n">
        <f aca="false">Assumptions!$B$29*SUM(S42:S59)/Discount!C42</f>
        <v>3.57852310836825</v>
      </c>
    </row>
    <row r="43" customFormat="false" ht="15" hidden="false" customHeight="true" outlineLevel="0" collapsed="false">
      <c r="A43" s="48" t="n">
        <f aca="false">ROW()-4</f>
        <v>39</v>
      </c>
      <c r="B43" s="12" t="n">
        <f aca="false">SUMIFS(Projection!$P$4:$P$59,Projection!$B$4:$B$59,"&gt;="&amp;(Assumptions!$B$4+A43))/Discount!C43</f>
        <v>3525.77767213776</v>
      </c>
      <c r="C43" s="12" t="n">
        <f aca="false">(Projection!F43/Projection!Q43)*SUMIFS(Projection!$R$4:$R$59,Projection!$B$4:$B$59,"&gt;="&amp;(Assumptions!$B$4+A43))/Discount!C43</f>
        <v>4126.9514153593</v>
      </c>
      <c r="D43" s="12" t="n">
        <f aca="false">(Projection!F43/Projection!S43)*SUMIFS(Projection!$T$4:$T$59,Projection!$B$4:$B$59,"&gt;="&amp;(Assumptions!$B$4+A43))/Discount!C43</f>
        <v>3525.77767213776</v>
      </c>
      <c r="E43" s="12" t="n">
        <f aca="false">(Projection!F43/Projection!U43)*SUMIFS(Projection!$V$4:$V$59,Projection!$B$4:$B$59,"&gt;="&amp;(Assumptions!$B$4+A43))/Discount!C43</f>
        <v>3525.77767213776</v>
      </c>
      <c r="F43" s="12" t="n">
        <f aca="false">SUMIFS(Projection!$W$4:$W$59,Projection!$B$4:$B$59,"&gt;="&amp;(Assumptions!$B$4+A43))/Discount!C43</f>
        <v>3539.7597854954</v>
      </c>
      <c r="G43" s="48" t="n">
        <f aca="false">MAX(0,C43-B43)</f>
        <v>601.173743221539</v>
      </c>
      <c r="H43" s="5" t="n">
        <f aca="false">MAX(MAX(0,D43-B43),MAX(0,E43-B43),IF(A43&lt;Assumptions!$B$6,MAX(0,-Assumptions!$B$22*B43),0))</f>
        <v>0</v>
      </c>
      <c r="I43" s="48" t="n">
        <f aca="false">MAX(0,F43-B43)</f>
        <v>13.9821133576379</v>
      </c>
      <c r="J43" s="48" t="n">
        <f aca="false">SQRT(G43^2+H43^2+I43^2+2*Assumptions!$B$26*G43*H43+2*Assumptions!$B$27*G43*I43+2*Assumptions!$B$28*H43*I43)</f>
        <v>604.82080713681</v>
      </c>
      <c r="K43" s="48" t="n">
        <f aca="false">J43*Discount!C43</f>
        <v>177.1261376934</v>
      </c>
      <c r="L43" s="48" t="n">
        <f aca="false">Assumptions!$B$29*SUM(K43:K59)/Discount!C43</f>
        <v>116.060331935146</v>
      </c>
      <c r="M43" s="12" t="n">
        <f aca="false">IF(A43&gt;=Assumptions!$B$6,Assumptions!$B$45*Reserving!$E$5*Discount!$C$19/Discount!C43,G43)</f>
        <v>14654.6612668654</v>
      </c>
      <c r="N43" s="12" t="n">
        <f aca="false">SQRT(M43^2+H43^2+I43^2+2*Assumptions!$B$26*M43*H43+2*Assumptions!$B$27*M43*I43+2*Assumptions!$B$28*H43*I43)</f>
        <v>14658.1630470392</v>
      </c>
      <c r="O43" s="12" t="n">
        <f aca="false">N43*Discount!C43</f>
        <v>4292.74882008958</v>
      </c>
      <c r="P43" s="12" t="n">
        <f aca="false">Assumptions!$B$29*SUM(O43:O59)/Discount!C43</f>
        <v>14948.3950117713</v>
      </c>
      <c r="Q43" s="5" t="n">
        <f aca="false">IF(A43&gt;=Assumptions!$B$6,0,G43)</f>
        <v>0</v>
      </c>
      <c r="R43" s="48" t="n">
        <f aca="false">SQRT(Q43^2+H43^2+I43^2+2*Assumptions!$B$26*Q43*H43+2*Assumptions!$B$27*Q43*I43+2*Assumptions!$B$28*H43*I43)</f>
        <v>13.9821133576379</v>
      </c>
      <c r="S43" s="11" t="n">
        <f aca="false">R43*Discount!C43</f>
        <v>4.0947627902449</v>
      </c>
      <c r="T43" s="11" t="n">
        <f aca="false">Assumptions!$B$29*SUM(S43:S59)/Discount!C43</f>
        <v>2.55911696950109</v>
      </c>
    </row>
    <row r="44" customFormat="false" ht="15" hidden="false" customHeight="true" outlineLevel="0" collapsed="false">
      <c r="A44" s="48" t="n">
        <f aca="false">ROW()-4</f>
        <v>40</v>
      </c>
      <c r="B44" s="12" t="n">
        <f aca="false">SUMIFS(Projection!$P$4:$P$59,Projection!$B$4:$B$59,"&gt;="&amp;(Assumptions!$B$4+A44))/Discount!C44</f>
        <v>2594.76801878815</v>
      </c>
      <c r="C44" s="12" t="n">
        <f aca="false">(Projection!F44/Projection!Q44)*SUMIFS(Projection!$R$4:$R$59,Projection!$B$4:$B$59,"&gt;="&amp;(Assumptions!$B$4+A44))/Discount!C44</f>
        <v>3026.73442409825</v>
      </c>
      <c r="D44" s="12" t="n">
        <f aca="false">(Projection!F44/Projection!S44)*SUMIFS(Projection!$T$4:$T$59,Projection!$B$4:$B$59,"&gt;="&amp;(Assumptions!$B$4+A44))/Discount!C44</f>
        <v>2594.76801878814</v>
      </c>
      <c r="E44" s="12" t="n">
        <f aca="false">(Projection!F44/Projection!U44)*SUMIFS(Projection!$V$4:$V$59,Projection!$B$4:$B$59,"&gt;="&amp;(Assumptions!$B$4+A44))/Discount!C44</f>
        <v>2594.76801878815</v>
      </c>
      <c r="F44" s="12" t="n">
        <f aca="false">SUMIFS(Projection!$W$4:$W$59,Projection!$B$4:$B$59,"&gt;="&amp;(Assumptions!$B$4+A44))/Discount!C44</f>
        <v>2605.29719884779</v>
      </c>
      <c r="G44" s="48" t="n">
        <f aca="false">MAX(0,C44-B44)</f>
        <v>431.96640531011</v>
      </c>
      <c r="H44" s="5" t="n">
        <f aca="false">MAX(MAX(0,D44-B44),MAX(0,E44-B44),IF(A44&lt;Assumptions!$B$6,MAX(0,-Assumptions!$B$22*B44),0))</f>
        <v>0</v>
      </c>
      <c r="I44" s="48" t="n">
        <f aca="false">MAX(0,F44-B44)</f>
        <v>10.5291800596442</v>
      </c>
      <c r="J44" s="48" t="n">
        <f aca="false">SQRT(G44^2+H44^2+I44^2+2*Assumptions!$B$26*G44*H44+2*Assumptions!$B$27*G44*I44+2*Assumptions!$B$28*H44*I44)</f>
        <v>434.718259312719</v>
      </c>
      <c r="K44" s="48" t="n">
        <f aca="false">J44*Discount!C44</f>
        <v>123.268371928767</v>
      </c>
      <c r="L44" s="48" t="n">
        <f aca="false">Assumptions!$B$29*SUM(K44:K59)/Discount!C44</f>
        <v>82.3868014581249</v>
      </c>
      <c r="M44" s="12" t="n">
        <f aca="false">IF(A44&gt;=Assumptions!$B$6,Assumptions!$B$45*Reserving!$E$5*Discount!$C$19/Discount!C44,G44)</f>
        <v>15135.1920414157</v>
      </c>
      <c r="N44" s="12" t="n">
        <f aca="false">SQRT(M44^2+H44^2+I44^2+2*Assumptions!$B$26*M44*H44+2*Assumptions!$B$27*M44*I44+2*Assumptions!$B$28*H44*I44)</f>
        <v>15137.8277693759</v>
      </c>
      <c r="O44" s="12" t="n">
        <f aca="false">N44*Discount!C44</f>
        <v>4292.4706834702</v>
      </c>
      <c r="P44" s="12" t="n">
        <f aca="false">Assumptions!$B$29*SUM(O44:O59)/Discount!C44</f>
        <v>14530.2288858817</v>
      </c>
      <c r="Q44" s="5" t="n">
        <f aca="false">IF(A44&gt;=Assumptions!$B$6,0,G44)</f>
        <v>0</v>
      </c>
      <c r="R44" s="48" t="n">
        <f aca="false">SQRT(Q44^2+H44^2+I44^2+2*Assumptions!$B$26*Q44*H44+2*Assumptions!$B$27*Q44*I44+2*Assumptions!$B$28*H44*I44)</f>
        <v>10.5291800596442</v>
      </c>
      <c r="S44" s="11" t="n">
        <f aca="false">R44*Discount!C44</f>
        <v>2.98564611881994</v>
      </c>
      <c r="T44" s="11" t="n">
        <f aca="false">Assumptions!$B$29*SUM(S44:S59)/Discount!C44</f>
        <v>1.77659572384317</v>
      </c>
    </row>
    <row r="45" customFormat="false" ht="15" hidden="false" customHeight="true" outlineLevel="0" collapsed="false">
      <c r="A45" s="48" t="n">
        <f aca="false">ROW()-4</f>
        <v>41</v>
      </c>
      <c r="B45" s="12" t="n">
        <f aca="false">SUMIFS(Projection!$P$4:$P$59,Projection!$B$4:$B$59,"&gt;="&amp;(Assumptions!$B$4+A45))/Discount!C45</f>
        <v>1866.26802901059</v>
      </c>
      <c r="C45" s="12" t="n">
        <f aca="false">(Projection!F45/Projection!Q45)*SUMIFS(Projection!$R$4:$R$59,Projection!$B$4:$B$59,"&gt;="&amp;(Assumptions!$B$4+A45))/Discount!C45</f>
        <v>2249.87805960485</v>
      </c>
      <c r="D45" s="12" t="n">
        <f aca="false">(Projection!F45/Projection!S45)*SUMIFS(Projection!$T$4:$T$59,Projection!$B$4:$B$59,"&gt;="&amp;(Assumptions!$B$4+A45))/Discount!C45</f>
        <v>1866.26802901059</v>
      </c>
      <c r="E45" s="12" t="n">
        <f aca="false">(Projection!F45/Projection!U45)*SUMIFS(Projection!$V$4:$V$59,Projection!$B$4:$B$59,"&gt;="&amp;(Assumptions!$B$4+A45))/Discount!C45</f>
        <v>1866.26802901059</v>
      </c>
      <c r="F45" s="12" t="n">
        <f aca="false">SUMIFS(Projection!$W$4:$W$59,Projection!$B$4:$B$59,"&gt;="&amp;(Assumptions!$B$4+A45))/Discount!C45</f>
        <v>1874.00819719529</v>
      </c>
      <c r="G45" s="48" t="n">
        <f aca="false">MAX(0,C45-B45)</f>
        <v>383.610030594259</v>
      </c>
      <c r="H45" s="5" t="n">
        <f aca="false">MAX(MAX(0,D45-B45),MAX(0,E45-B45),IF(A45&lt;Assumptions!$B$6,MAX(0,-Assumptions!$B$22*B45),0))</f>
        <v>0</v>
      </c>
      <c r="I45" s="11" t="n">
        <f aca="false">MAX(0,F45-B45)</f>
        <v>7.74016818470523</v>
      </c>
      <c r="J45" s="48" t="n">
        <f aca="false">SQRT(G45^2+H45^2+I45^2+2*Assumptions!$B$26*G45*H45+2*Assumptions!$B$27*G45*I45+2*Assumptions!$B$28*H45*I45)</f>
        <v>385.617905254834</v>
      </c>
      <c r="K45" s="48" t="n">
        <f aca="false">J45*Discount!C45</f>
        <v>105.869775292904</v>
      </c>
      <c r="L45" s="48" t="n">
        <f aca="false">Assumptions!$B$29*SUM(K45:K59)/Discount!C45</f>
        <v>58.1521744633497</v>
      </c>
      <c r="M45" s="12" t="n">
        <f aca="false">IF(A45&gt;=Assumptions!$B$6,Assumptions!$B$45*Reserving!$E$5*Discount!$C$19/Discount!C45,G45)</f>
        <v>15632.0852077107</v>
      </c>
      <c r="N45" s="12" t="n">
        <f aca="false">SQRT(M45^2+H45^2+I45^2+2*Assumptions!$B$26*M45*H45+2*Assumptions!$B$27*M45*I45+2*Assumptions!$B$28*H45*I45)</f>
        <v>15634.0220460259</v>
      </c>
      <c r="O45" s="12" t="n">
        <f aca="false">N45*Discount!C45</f>
        <v>4292.25504931691</v>
      </c>
      <c r="P45" s="12" t="n">
        <f aca="false">Assumptions!$B$29*SUM(O45:O59)/Discount!C45</f>
        <v>14069.1724714114</v>
      </c>
      <c r="Q45" s="5" t="n">
        <f aca="false">IF(A45&gt;=Assumptions!$B$6,0,G45)</f>
        <v>0</v>
      </c>
      <c r="R45" s="11" t="n">
        <f aca="false">SQRT(Q45^2+H45^2+I45^2+2*Assumptions!$B$26*Q45*H45+2*Assumptions!$B$27*Q45*I45+2*Assumptions!$B$28*H45*I45)</f>
        <v>7.74016818470523</v>
      </c>
      <c r="S45" s="11" t="n">
        <f aca="false">R45*Discount!C45</f>
        <v>2.12503064634018</v>
      </c>
      <c r="T45" s="11" t="n">
        <f aca="false">Assumptions!$B$29*SUM(S45:S59)/Discount!C45</f>
        <v>1.18243054295039</v>
      </c>
    </row>
    <row r="46" customFormat="false" ht="15" hidden="false" customHeight="true" outlineLevel="0" collapsed="false">
      <c r="A46" s="48" t="n">
        <f aca="false">ROW()-4</f>
        <v>42</v>
      </c>
      <c r="B46" s="12" t="n">
        <f aca="false">SUMIFS(Projection!$P$4:$P$59,Projection!$B$4:$B$59,"&gt;="&amp;(Assumptions!$B$4+A46))/Discount!C46</f>
        <v>1198.387477278</v>
      </c>
      <c r="C46" s="12" t="n">
        <f aca="false">(Projection!F46/Projection!Q46)*SUMIFS(Projection!$R$4:$R$59,Projection!$B$4:$B$59,"&gt;="&amp;(Assumptions!$B$4+A46))/Discount!C46</f>
        <v>1449.07029548477</v>
      </c>
      <c r="D46" s="12" t="n">
        <f aca="false">(Projection!F46/Projection!S46)*SUMIFS(Projection!$T$4:$T$59,Projection!$B$4:$B$59,"&gt;="&amp;(Assumptions!$B$4+A46))/Discount!C46</f>
        <v>1198.387477278</v>
      </c>
      <c r="E46" s="12" t="n">
        <f aca="false">(Projection!F46/Projection!U46)*SUMIFS(Projection!$V$4:$V$59,Projection!$B$4:$B$59,"&gt;="&amp;(Assumptions!$B$4+A46))/Discount!C46</f>
        <v>1198.38747727799</v>
      </c>
      <c r="F46" s="12" t="n">
        <f aca="false">SUMIFS(Projection!$W$4:$W$59,Projection!$B$4:$B$59,"&gt;="&amp;(Assumptions!$B$4+A46))/Discount!C46</f>
        <v>1203.48711887131</v>
      </c>
      <c r="G46" s="48" t="n">
        <f aca="false">MAX(0,C46-B46)</f>
        <v>250.682818206772</v>
      </c>
      <c r="H46" s="5" t="n">
        <f aca="false">MAX(MAX(0,D46-B46),MAX(0,E46-B46),IF(A46&lt;Assumptions!$B$6,MAX(0,-Assumptions!$B$22*B46),0))</f>
        <v>0</v>
      </c>
      <c r="I46" s="11" t="n">
        <f aca="false">MAX(0,F46-B46)</f>
        <v>5.09964159331526</v>
      </c>
      <c r="J46" s="48" t="n">
        <f aca="false">SQRT(G46^2+H46^2+I46^2+2*Assumptions!$B$26*G46*H46+2*Assumptions!$B$27*G46*I46+2*Assumptions!$B$28*H46*I46)</f>
        <v>252.006106973022</v>
      </c>
      <c r="K46" s="48" t="n">
        <f aca="false">J46*Discount!C46</f>
        <v>67.0126514592436</v>
      </c>
      <c r="L46" s="48" t="n">
        <f aca="false">Assumptions!$B$29*SUM(K46:K59)/Discount!C46</f>
        <v>36.1513430694748</v>
      </c>
      <c r="M46" s="12" t="n">
        <f aca="false">IF(A46&gt;=Assumptions!$B$6,Assumptions!$B$45*Reserving!$E$5*Discount!$C$19/Discount!C46,G46)</f>
        <v>16139.3476770201</v>
      </c>
      <c r="N46" s="12" t="n">
        <f aca="false">SQRT(M46^2+H46^2+I46^2+2*Assumptions!$B$26*M46*H46+2*Assumptions!$B$27*M46*I46+2*Assumptions!$B$28*H46*I46)</f>
        <v>16140.6233426851</v>
      </c>
      <c r="O46" s="12" t="n">
        <f aca="false">N46*Discount!C46</f>
        <v>4292.06251939789</v>
      </c>
      <c r="P46" s="12" t="n">
        <f aca="false">Assumptions!$B$29*SUM(O46:O59)/Discount!C46</f>
        <v>13557.2374500666</v>
      </c>
      <c r="Q46" s="5" t="n">
        <f aca="false">IF(A46&gt;=Assumptions!$B$6,0,G46)</f>
        <v>0</v>
      </c>
      <c r="R46" s="11" t="n">
        <f aca="false">SQRT(Q46^2+H46^2+I46^2+2*Assumptions!$B$26*Q46*H46+2*Assumptions!$B$27*Q46*I46+2*Assumptions!$B$28*H46*I46)</f>
        <v>5.09964159331526</v>
      </c>
      <c r="S46" s="11" t="n">
        <f aca="false">R46*Discount!C46</f>
        <v>1.35608025045393</v>
      </c>
      <c r="T46" s="11" t="n">
        <f aca="false">Assumptions!$B$29*SUM(S46:S59)/Discount!C46</f>
        <v>0.741320275441813</v>
      </c>
    </row>
    <row r="47" customFormat="false" ht="15" hidden="false" customHeight="true" outlineLevel="0" collapsed="false">
      <c r="A47" s="48" t="n">
        <f aca="false">ROW()-4</f>
        <v>43</v>
      </c>
      <c r="B47" s="48" t="n">
        <f aca="false">SUMIFS(Projection!$P$4:$P$59,Projection!$B$4:$B$59,"&gt;="&amp;(Assumptions!$B$4+A47))/Discount!C47</f>
        <v>742.777093999178</v>
      </c>
      <c r="C47" s="48" t="n">
        <f aca="false">(Projection!F47/Projection!Q47)*SUMIFS(Projection!$R$4:$R$59,Projection!$B$4:$B$59,"&gt;="&amp;(Assumptions!$B$4+A47))/Discount!C47</f>
        <v>901.109924984323</v>
      </c>
      <c r="D47" s="48" t="n">
        <f aca="false">(Projection!F47/Projection!S47)*SUMIFS(Projection!$T$4:$T$59,Projection!$B$4:$B$59,"&gt;="&amp;(Assumptions!$B$4+A47))/Discount!C47</f>
        <v>742.777093999178</v>
      </c>
      <c r="E47" s="48" t="n">
        <f aca="false">(Projection!F47/Projection!U47)*SUMIFS(Projection!$V$4:$V$59,Projection!$B$4:$B$59,"&gt;="&amp;(Assumptions!$B$4+A47))/Discount!C47</f>
        <v>742.777093999178</v>
      </c>
      <c r="F47" s="48" t="n">
        <f aca="false">SUMIFS(Projection!$W$4:$W$59,Projection!$B$4:$B$59,"&gt;="&amp;(Assumptions!$B$4+A47))/Discount!C47</f>
        <v>746.020318681864</v>
      </c>
      <c r="G47" s="48" t="n">
        <f aca="false">MAX(0,C47-B47)</f>
        <v>158.332830985144</v>
      </c>
      <c r="H47" s="5" t="n">
        <f aca="false">MAX(MAX(0,D47-B47),MAX(0,E47-B47),IF(A47&lt;Assumptions!$B$6,MAX(0,-Assumptions!$B$22*B47),0))</f>
        <v>0</v>
      </c>
      <c r="I47" s="11" t="n">
        <f aca="false">MAX(0,F47-B47)</f>
        <v>3.24322468268531</v>
      </c>
      <c r="J47" s="48" t="n">
        <f aca="false">SQRT(G47^2+H47^2+I47^2+2*Assumptions!$B$26*G47*H47+2*Assumptions!$B$27*G47*I47+2*Assumptions!$B$28*H47*I47)</f>
        <v>159.174615899891</v>
      </c>
      <c r="K47" s="48" t="n">
        <f aca="false">J47*Discount!C47</f>
        <v>40.9789779363033</v>
      </c>
      <c r="L47" s="48" t="n">
        <f aca="false">Assumptions!$B$29*SUM(K47:K59)/Discount!C47</f>
        <v>21.7229031454207</v>
      </c>
      <c r="M47" s="12" t="n">
        <f aca="false">IF(A47&gt;=Assumptions!$B$6,Assumptions!$B$45*Reserving!$E$5*Discount!$C$19/Discount!C47,G47)</f>
        <v>16670.337865643</v>
      </c>
      <c r="N47" s="12" t="n">
        <f aca="false">SQRT(M47^2+H47^2+I47^2+2*Assumptions!$B$26*M47*H47+2*Assumptions!$B$27*M47*I47+2*Assumptions!$B$28*H47*I47)</f>
        <v>16671.1489675672</v>
      </c>
      <c r="O47" s="12" t="n">
        <f aca="false">N47*Discount!C47</f>
        <v>4291.93211400253</v>
      </c>
      <c r="P47" s="12" t="n">
        <f aca="false">Assumptions!$B$29*SUM(O47:O59)/Discount!C47</f>
        <v>13002.9759782105</v>
      </c>
      <c r="Q47" s="5" t="n">
        <f aca="false">IF(A47&gt;=Assumptions!$B$6,0,G47)</f>
        <v>0</v>
      </c>
      <c r="R47" s="11" t="n">
        <f aca="false">SQRT(Q47^2+H47^2+I47^2+2*Assumptions!$B$26*Q47*H47+2*Assumptions!$B$27*Q47*I47+2*Assumptions!$B$28*H47*I47)</f>
        <v>3.24322468268531</v>
      </c>
      <c r="S47" s="11" t="n">
        <f aca="false">R47*Discount!C47</f>
        <v>0.834957458278537</v>
      </c>
      <c r="T47" s="11" t="n">
        <f aca="false">Assumptions!$B$29*SUM(S47:S59)/Discount!C47</f>
        <v>0.449664676803806</v>
      </c>
    </row>
    <row r="48" customFormat="false" ht="15" hidden="false" customHeight="true" outlineLevel="0" collapsed="false">
      <c r="A48" s="48" t="n">
        <f aca="false">ROW()-4</f>
        <v>44</v>
      </c>
      <c r="B48" s="48" t="n">
        <f aca="false">SUMIFS(Projection!$P$4:$P$59,Projection!$B$4:$B$59,"&gt;="&amp;(Assumptions!$B$4+A48))/Discount!C48</f>
        <v>442.977887614849</v>
      </c>
      <c r="C48" s="48" t="n">
        <f aca="false">(Projection!F48/Projection!Q48)*SUMIFS(Projection!$R$4:$R$59,Projection!$B$4:$B$59,"&gt;="&amp;(Assumptions!$B$4+A48))/Discount!C48</f>
        <v>539.231399108432</v>
      </c>
      <c r="D48" s="48" t="n">
        <f aca="false">(Projection!F48/Projection!S48)*SUMIFS(Projection!$T$4:$T$59,Projection!$B$4:$B$59,"&gt;="&amp;(Assumptions!$B$4+A48))/Discount!C48</f>
        <v>442.977887614849</v>
      </c>
      <c r="E48" s="48" t="n">
        <f aca="false">(Projection!F48/Projection!U48)*SUMIFS(Projection!$V$4:$V$59,Projection!$B$4:$B$59,"&gt;="&amp;(Assumptions!$B$4+A48))/Discount!C48</f>
        <v>442.977887614849</v>
      </c>
      <c r="F48" s="48" t="n">
        <f aca="false">SUMIFS(Projection!$W$4:$W$59,Projection!$B$4:$B$59,"&gt;="&amp;(Assumptions!$B$4+A48))/Discount!C48</f>
        <v>444.962637262368</v>
      </c>
      <c r="G48" s="48" t="n">
        <f aca="false">MAX(0,C48-B48)</f>
        <v>96.253511493583</v>
      </c>
      <c r="H48" s="5" t="n">
        <f aca="false">MAX(MAX(0,D48-B48),MAX(0,E48-B48),IF(A48&lt;Assumptions!$B$6,MAX(0,-Assumptions!$B$22*B48),0))</f>
        <v>0</v>
      </c>
      <c r="I48" s="11" t="n">
        <f aca="false">MAX(0,F48-B48)</f>
        <v>1.98474964751898</v>
      </c>
      <c r="J48" s="48" t="n">
        <f aca="false">SQRT(G48^2+H48^2+I48^2+2*Assumptions!$B$26*G48*H48+2*Assumptions!$B$27*G48*I48+2*Assumptions!$B$28*H48*I48)</f>
        <v>96.7687825050688</v>
      </c>
      <c r="K48" s="48" t="n">
        <f aca="false">J48*Discount!C48</f>
        <v>24.1286203422193</v>
      </c>
      <c r="L48" s="48" t="n">
        <f aca="false">Assumptions!$B$29*SUM(K48:K59)/Discount!C48</f>
        <v>12.5680311585409</v>
      </c>
      <c r="M48" s="12" t="n">
        <f aca="false">IF(A48&gt;=Assumptions!$B$6,Assumptions!$B$45*Reserving!$E$5*Discount!$C$19/Discount!C48,G48)</f>
        <v>17212.1253745092</v>
      </c>
      <c r="N48" s="12" t="n">
        <f aca="false">SQRT(M48^2+H48^2+I48^2+2*Assumptions!$B$26*M48*H48+2*Assumptions!$B$27*M48*I48+2*Assumptions!$B$28*H48*I48)</f>
        <v>17212.6216691979</v>
      </c>
      <c r="O48" s="12" t="n">
        <f aca="false">N48*Discount!C48</f>
        <v>4291.84704611303</v>
      </c>
      <c r="P48" s="12" t="n">
        <f aca="false">Assumptions!$B$29*SUM(O48:O59)/Discount!C48</f>
        <v>12392.7961192951</v>
      </c>
      <c r="Q48" s="5" t="n">
        <f aca="false">IF(A48&gt;=Assumptions!$B$6,0,G48)</f>
        <v>0</v>
      </c>
      <c r="R48" s="11" t="n">
        <f aca="false">SQRT(Q48^2+H48^2+I48^2+2*Assumptions!$B$26*Q48*H48+2*Assumptions!$B$27*Q48*I48+2*Assumptions!$B$28*H48*I48)</f>
        <v>1.98474964751898</v>
      </c>
      <c r="S48" s="11" t="n">
        <f aca="false">R48*Discount!C48</f>
        <v>0.494883468403983</v>
      </c>
      <c r="T48" s="11" t="n">
        <f aca="false">Assumptions!$B$29*SUM(S48:S59)/Discount!C48</f>
        <v>0.263361033090914</v>
      </c>
    </row>
    <row r="49" customFormat="false" ht="15" hidden="false" customHeight="true" outlineLevel="0" collapsed="false">
      <c r="A49" s="48" t="n">
        <f aca="false">ROW()-4</f>
        <v>45</v>
      </c>
      <c r="B49" s="48" t="n">
        <f aca="false">SUMIFS(Projection!$P$4:$P$59,Projection!$B$4:$B$59,"&gt;="&amp;(Assumptions!$B$4+A49))/Discount!C49</f>
        <v>253.942068542003</v>
      </c>
      <c r="C49" s="48" t="n">
        <f aca="false">(Projection!F49/Projection!Q49)*SUMIFS(Projection!$R$4:$R$59,Projection!$B$4:$B$59,"&gt;="&amp;(Assumptions!$B$4+A49))/Discount!C49</f>
        <v>310.02844767277</v>
      </c>
      <c r="D49" s="48" t="n">
        <f aca="false">(Projection!F49/Projection!S49)*SUMIFS(Projection!$T$4:$T$59,Projection!$B$4:$B$59,"&gt;="&amp;(Assumptions!$B$4+A49))/Discount!C49</f>
        <v>253.942068542003</v>
      </c>
      <c r="E49" s="48" t="n">
        <f aca="false">(Projection!F49/Projection!U49)*SUMIFS(Projection!$V$4:$V$59,Projection!$B$4:$B$59,"&gt;="&amp;(Assumptions!$B$4+A49))/Discount!C49</f>
        <v>253.942068542003</v>
      </c>
      <c r="F49" s="48" t="n">
        <f aca="false">SUMIFS(Projection!$W$4:$W$59,Projection!$B$4:$B$59,"&gt;="&amp;(Assumptions!$B$4+A49))/Discount!C49</f>
        <v>255.109739667963</v>
      </c>
      <c r="G49" s="48" t="n">
        <f aca="false">MAX(0,C49-B49)</f>
        <v>56.0863791307667</v>
      </c>
      <c r="H49" s="5" t="n">
        <f aca="false">MAX(MAX(0,D49-B49),MAX(0,E49-B49),IF(A49&lt;Assumptions!$B$6,MAX(0,-Assumptions!$B$22*B49),0))</f>
        <v>0</v>
      </c>
      <c r="I49" s="11" t="n">
        <f aca="false">MAX(0,F49-B49)</f>
        <v>1.16767112595986</v>
      </c>
      <c r="J49" s="48" t="n">
        <f aca="false">SQRT(G49^2+H49^2+I49^2+2*Assumptions!$B$26*G49*H49+2*Assumptions!$B$27*G49*I49+2*Assumptions!$B$28*H49*I49)</f>
        <v>56.3896320487537</v>
      </c>
      <c r="K49" s="48" t="n">
        <f aca="false">J49*Discount!C49</f>
        <v>13.6115819938844</v>
      </c>
      <c r="L49" s="11" t="n">
        <f aca="false">Assumptions!$B$29*SUM(K49:K59)/Discount!C49</f>
        <v>6.98484678521129</v>
      </c>
      <c r="M49" s="12" t="n">
        <f aca="false">IF(A49&gt;=Assumptions!$B$6,Assumptions!$B$45*Reserving!$E$5*Discount!$C$19/Discount!C49,G49)</f>
        <v>17779.6157541463</v>
      </c>
      <c r="N49" s="12" t="n">
        <f aca="false">SQRT(M49^2+H49^2+I49^2+2*Assumptions!$B$26*M49*H49+2*Assumptions!$B$27*M49*I49+2*Assumptions!$B$28*H49*I49)</f>
        <v>17779.907707874</v>
      </c>
      <c r="O49" s="12" t="n">
        <f aca="false">N49*Discount!C49</f>
        <v>4291.79377159587</v>
      </c>
      <c r="P49" s="12" t="n">
        <f aca="false">Assumptions!$B$29*SUM(O49:O59)/Discount!C49</f>
        <v>11734.5836590102</v>
      </c>
      <c r="Q49" s="5" t="n">
        <f aca="false">IF(A49&gt;=Assumptions!$B$6,0,G49)</f>
        <v>0</v>
      </c>
      <c r="R49" s="11" t="n">
        <f aca="false">SQRT(Q49^2+H49^2+I49^2+2*Assumptions!$B$26*Q49*H49+2*Assumptions!$B$27*Q49*I49+2*Assumptions!$B$28*H49*I49)</f>
        <v>1.16767112595986</v>
      </c>
      <c r="S49" s="11" t="n">
        <f aca="false">R49*Discount!C49</f>
        <v>0.281857687227899</v>
      </c>
      <c r="T49" s="11" t="n">
        <f aca="false">Assumptions!$B$29*SUM(S49:S59)/Discount!C49</f>
        <v>0.149032891121426</v>
      </c>
    </row>
    <row r="50" customFormat="false" ht="15" hidden="false" customHeight="true" outlineLevel="0" collapsed="false">
      <c r="A50" s="48" t="n">
        <f aca="false">ROW()-4</f>
        <v>46</v>
      </c>
      <c r="B50" s="48" t="n">
        <f aca="false">SUMIFS(Projection!$P$4:$P$59,Projection!$B$4:$B$59,"&gt;="&amp;(Assumptions!$B$4+A50))/Discount!C50</f>
        <v>139.995827753051</v>
      </c>
      <c r="C50" s="48" t="n">
        <f aca="false">IF(Projection!Q50=0,0,(Projection!F50/Projection!Q50)*SUMIFS(Projection!$R$4:$R$59,Projection!$B$4:$B$59,"&gt;="&amp;(Assumptions!$B$4+A50))/Discount!C50)</f>
        <v>170.975711912</v>
      </c>
      <c r="D50" s="48" t="n">
        <f aca="false">IF(Projection!S50=0,0,(Projection!F50/Projection!S50)*SUMIFS(Projection!$T$4:$T$59,Projection!$B$4:$B$59,"&gt;="&amp;(Assumptions!$B$4+A50))/Discount!C50)</f>
        <v>139.995827753051</v>
      </c>
      <c r="E50" s="48" t="n">
        <f aca="false">IF(Projection!U50=0,0,(Projection!F50/Projection!U50)*SUMIFS(Projection!$V$4:$V$59,Projection!$B$4:$B$59,"&gt;="&amp;(Assumptions!$B$4+A50))/Discount!C50)</f>
        <v>139.995827753051</v>
      </c>
      <c r="F50" s="48" t="n">
        <f aca="false">SUMIFS(Projection!$W$4:$W$59,Projection!$B$4:$B$59,"&gt;="&amp;(Assumptions!$B$4+A50))/Discount!C50</f>
        <v>140.656539272027</v>
      </c>
      <c r="G50" s="48" t="n">
        <f aca="false">MAX(0,C50-B50)</f>
        <v>30.9798841589495</v>
      </c>
      <c r="H50" s="5" t="n">
        <f aca="false">MAX(MAX(0,D50-B50),MAX(0,E50-B50),IF(A50&lt;Assumptions!$B$6,MAX(0,-Assumptions!$B$22*B50),0))</f>
        <v>0</v>
      </c>
      <c r="I50" s="11" t="n">
        <f aca="false">MAX(0,F50-B50)</f>
        <v>0.660711518975916</v>
      </c>
      <c r="J50" s="48" t="n">
        <f aca="false">SQRT(G50^2+H50^2+I50^2+2*Assumptions!$B$26*G50*H50+2*Assumptions!$B$27*G50*I50+2*Assumptions!$B$28*H50*I50)</f>
        <v>31.1516315041992</v>
      </c>
      <c r="K50" s="11" t="n">
        <f aca="false">J50*Discount!C50</f>
        <v>7.28247506926803</v>
      </c>
      <c r="L50" s="11" t="n">
        <f aca="false">Assumptions!$B$29*SUM(K50:K59)/Discount!C50</f>
        <v>3.71869703496715</v>
      </c>
      <c r="M50" s="12" t="n">
        <f aca="false">IF(A50&gt;=Assumptions!$B$6,Assumptions!$B$45*Reserving!$E$5*Discount!$C$19/Discount!C50,G50)</f>
        <v>18358.3440301718</v>
      </c>
      <c r="N50" s="12" t="n">
        <f aca="false">SQRT(M50^2+H50^2+I50^2+2*Assumptions!$B$26*M50*H50+2*Assumptions!$B$27*M50*I50+2*Assumptions!$B$28*H50*I50)</f>
        <v>18358.5092191978</v>
      </c>
      <c r="O50" s="12" t="n">
        <f aca="false">N50*Discount!C50</f>
        <v>4291.76191557456</v>
      </c>
      <c r="P50" s="12" t="n">
        <f aca="false">Assumptions!$B$29*SUM(O50:O59)/Discount!C50</f>
        <v>11015.0268048239</v>
      </c>
      <c r="Q50" s="5" t="n">
        <f aca="false">IF(A50&gt;=Assumptions!$B$6,0,G50)</f>
        <v>0</v>
      </c>
      <c r="R50" s="11" t="n">
        <f aca="false">SQRT(Q50^2+H50^2+I50^2+2*Assumptions!$B$26*Q50*H50+2*Assumptions!$B$27*Q50*I50+2*Assumptions!$B$28*H50*I50)</f>
        <v>0.660711518975916</v>
      </c>
      <c r="S50" s="11" t="n">
        <f aca="false">R50*Discount!C50</f>
        <v>0.154457886556334</v>
      </c>
      <c r="T50" s="11" t="n">
        <f aca="false">Assumptions!$B$29*SUM(S50:S59)/Discount!C50</f>
        <v>0.0815431903814924</v>
      </c>
    </row>
    <row r="51" customFormat="false" ht="15" hidden="false" customHeight="true" outlineLevel="0" collapsed="false">
      <c r="A51" s="48" t="n">
        <f aca="false">ROW()-4</f>
        <v>47</v>
      </c>
      <c r="B51" s="48" t="n">
        <f aca="false">SUMIFS(Projection!$P$4:$P$59,Projection!$B$4:$B$59,"&gt;="&amp;(Assumptions!$B$4+A51))/Discount!C51</f>
        <v>74.8181054390519</v>
      </c>
      <c r="C51" s="48" t="n">
        <f aca="false">IF(Projection!Q51=0,0,(Projection!F51/Projection!Q51)*SUMIFS(Projection!$R$4:$R$59,Projection!$B$4:$B$59,"&gt;="&amp;(Assumptions!$B$4+A51))/Discount!C51)</f>
        <v>91.353167690467</v>
      </c>
      <c r="D51" s="48" t="n">
        <f aca="false">IF(Projection!S51=0,0,(Projection!F51/Projection!S51)*SUMIFS(Projection!$T$4:$T$59,Projection!$B$4:$B$59,"&gt;="&amp;(Assumptions!$B$4+A51))/Discount!C51)</f>
        <v>74.8181054390519</v>
      </c>
      <c r="E51" s="48" t="n">
        <f aca="false">IF(Projection!U51=0,0,(Projection!F51/Projection!U51)*SUMIFS(Projection!$V$4:$V$59,Projection!$B$4:$B$59,"&gt;="&amp;(Assumptions!$B$4+A51))/Discount!C51)</f>
        <v>74.8181054390519</v>
      </c>
      <c r="F51" s="48" t="n">
        <f aca="false">SUMIFS(Projection!$W$4:$W$59,Projection!$B$4:$B$59,"&gt;="&amp;(Assumptions!$B$4+A51))/Discount!C51</f>
        <v>75.180461887541</v>
      </c>
      <c r="G51" s="48" t="n">
        <f aca="false">MAX(0,C51-B51)</f>
        <v>16.535062251415</v>
      </c>
      <c r="H51" s="5" t="n">
        <f aca="false">MAX(MAX(0,D51-B51),MAX(0,E51-B51),IF(A51&lt;Assumptions!$B$6,MAX(0,-Assumptions!$B$22*B51),0))</f>
        <v>0</v>
      </c>
      <c r="I51" s="11" t="n">
        <f aca="false">MAX(0,F51-B51)</f>
        <v>0.362356448489052</v>
      </c>
      <c r="J51" s="48" t="n">
        <f aca="false">SQRT(G51^2+H51^2+I51^2+2*Assumptions!$B$26*G51*H51+2*Assumptions!$B$27*G51*I51+2*Assumptions!$B$28*H51*I51)</f>
        <v>16.6293529360109</v>
      </c>
      <c r="K51" s="11" t="n">
        <f aca="false">J51*Discount!C51</f>
        <v>3.76490492370546</v>
      </c>
      <c r="L51" s="11" t="n">
        <f aca="false">Assumptions!$B$29*SUM(K51:K59)/Discount!C51</f>
        <v>1.90984078260989</v>
      </c>
      <c r="M51" s="12" t="n">
        <f aca="false">IF(A51&gt;=Assumptions!$B$6,Assumptions!$B$45*Reserving!$E$5*Discount!$C$19/Discount!C51,G51)</f>
        <v>18956.2772183287</v>
      </c>
      <c r="N51" s="12" t="n">
        <f aca="false">SQRT(M51^2+H51^2+I51^2+2*Assumptions!$B$26*M51*H51+2*Assumptions!$B$27*M51*I51+2*Assumptions!$B$28*H51*I51)</f>
        <v>18956.3678106876</v>
      </c>
      <c r="O51" s="12" t="n">
        <f aca="false">N51*Discount!C51</f>
        <v>4291.74380871306</v>
      </c>
      <c r="P51" s="12" t="n">
        <f aca="false">Assumptions!$B$29*SUM(O51:O59)/Discount!C51</f>
        <v>10236.400514461</v>
      </c>
      <c r="Q51" s="5" t="n">
        <f aca="false">IF(A51&gt;=Assumptions!$B$6,0,G51)</f>
        <v>0</v>
      </c>
      <c r="R51" s="11" t="n">
        <f aca="false">SQRT(Q51^2+H51^2+I51^2+2*Assumptions!$B$26*Q51*H51+2*Assumptions!$B$27*Q51*I51+2*Assumptions!$B$28*H51*I51)</f>
        <v>0.362356448489052</v>
      </c>
      <c r="S51" s="11" t="n">
        <f aca="false">R51*Discount!C51</f>
        <v>0.0820379230810955</v>
      </c>
      <c r="T51" s="11" t="n">
        <f aca="false">Assumptions!$B$29*SUM(S51:S59)/Discount!C51</f>
        <v>0.0432652028924888</v>
      </c>
    </row>
    <row r="52" customFormat="false" ht="15" hidden="false" customHeight="true" outlineLevel="0" collapsed="false">
      <c r="A52" s="48" t="n">
        <f aca="false">ROW()-4</f>
        <v>48</v>
      </c>
      <c r="B52" s="48" t="n">
        <f aca="false">SUMIFS(Projection!$P$4:$P$59,Projection!$B$4:$B$59,"&gt;="&amp;(Assumptions!$B$4+A52))/Discount!C52</f>
        <v>38.7358092367186</v>
      </c>
      <c r="C52" s="48" t="n">
        <f aca="false">IF(Projection!Q52=0,0,(Projection!F52/Projection!Q52)*SUMIFS(Projection!$R$4:$R$59,Projection!$B$4:$B$59,"&gt;="&amp;(Assumptions!$B$4+A52))/Discount!C52)</f>
        <v>47.2413298750287</v>
      </c>
      <c r="D52" s="48" t="n">
        <f aca="false">IF(Projection!S52=0,0,(Projection!F52/Projection!S52)*SUMIFS(Projection!$T$4:$T$59,Projection!$B$4:$B$59,"&gt;="&amp;(Assumptions!$B$4+A52))/Discount!C52)</f>
        <v>38.7358092367186</v>
      </c>
      <c r="E52" s="48" t="n">
        <f aca="false">IF(Projection!U52=0,0,(Projection!F52/Projection!U52)*SUMIFS(Projection!$V$4:$V$59,Projection!$B$4:$B$59,"&gt;="&amp;(Assumptions!$B$4+A52))/Discount!C52)</f>
        <v>38.7358092367186</v>
      </c>
      <c r="F52" s="48" t="n">
        <f aca="false">SUMIFS(Projection!$W$4:$W$59,Projection!$B$4:$B$59,"&gt;="&amp;(Assumptions!$B$4+A52))/Discount!C52</f>
        <v>38.9282904912621</v>
      </c>
      <c r="G52" s="11" t="n">
        <f aca="false">MAX(0,C52-B52)</f>
        <v>8.50552063831014</v>
      </c>
      <c r="H52" s="5" t="n">
        <f aca="false">MAX(MAX(0,D52-B52),MAX(0,E52-B52),IF(A52&lt;Assumptions!$B$6,MAX(0,-Assumptions!$B$22*B52),0))</f>
        <v>0</v>
      </c>
      <c r="I52" s="11" t="n">
        <f aca="false">MAX(0,F52-B52)</f>
        <v>0.192481254543488</v>
      </c>
      <c r="J52" s="11" t="n">
        <f aca="false">SQRT(G52^2+H52^2+I52^2+2*Assumptions!$B$26*G52*H52+2*Assumptions!$B$27*G52*I52+2*Assumptions!$B$28*H52*I52)</f>
        <v>8.55567104344096</v>
      </c>
      <c r="K52" s="11" t="n">
        <f aca="false">J52*Discount!C52</f>
        <v>1.87500662610194</v>
      </c>
      <c r="L52" s="11" t="n">
        <f aca="false">Assumptions!$B$29*SUM(K52:K59)/Discount!C52</f>
        <v>0.942242477880193</v>
      </c>
      <c r="M52" s="12" t="n">
        <f aca="false">IF(A52&gt;=Assumptions!$B$6,Assumptions!$B$45*Reserving!$E$5*Discount!$C$19/Discount!C52,G52)</f>
        <v>19583.169595379</v>
      </c>
      <c r="N52" s="12" t="n">
        <f aca="false">SQRT(M52^2+H52^2+I52^2+2*Assumptions!$B$26*M52*H52+2*Assumptions!$B$27*M52*I52+2*Assumptions!$B$28*H52*I52)</f>
        <v>19583.2177165794</v>
      </c>
      <c r="O52" s="12" t="n">
        <f aca="false">N52*Discount!C52</f>
        <v>4291.73384443443</v>
      </c>
      <c r="P52" s="12" t="n">
        <f aca="false">Assumptions!$B$29*SUM(O52:O59)/Discount!C52</f>
        <v>9399.92696475659</v>
      </c>
      <c r="Q52" s="5" t="n">
        <f aca="false">IF(A52&gt;=Assumptions!$B$6,0,G52)</f>
        <v>0</v>
      </c>
      <c r="R52" s="11" t="n">
        <f aca="false">SQRT(Q52^2+H52^2+I52^2+2*Assumptions!$B$26*Q52*H52+2*Assumptions!$B$27*Q52*I52+2*Assumptions!$B$28*H52*I52)</f>
        <v>0.192481254543488</v>
      </c>
      <c r="S52" s="11" t="n">
        <f aca="false">R52*Discount!C52</f>
        <v>0.0421829714860452</v>
      </c>
      <c r="T52" s="11" t="n">
        <f aca="false">Assumptions!$B$29*SUM(S52:S59)/Discount!C52</f>
        <v>0.0222356179899142</v>
      </c>
    </row>
    <row r="53" customFormat="false" ht="15" hidden="false" customHeight="true" outlineLevel="0" collapsed="false">
      <c r="A53" s="48" t="n">
        <f aca="false">ROW()-4</f>
        <v>49</v>
      </c>
      <c r="B53" s="48" t="n">
        <f aca="false">SUMIFS(Projection!$P$4:$P$59,Projection!$B$4:$B$59,"&gt;="&amp;(Assumptions!$B$4+A53))/Discount!C53</f>
        <v>19.3926710020517</v>
      </c>
      <c r="C53" s="48" t="n">
        <f aca="false">IF(Projection!Q53=0,0,(Projection!F53/Projection!Q53)*SUMIFS(Projection!$R$4:$R$59,Projection!$B$4:$B$59,"&gt;="&amp;(Assumptions!$B$4+A53))/Discount!C53)</f>
        <v>23.5842183444198</v>
      </c>
      <c r="D53" s="48" t="n">
        <f aca="false">IF(Projection!S53=0,0,(Projection!F53/Projection!S53)*SUMIFS(Projection!$T$4:$T$59,Projection!$B$4:$B$59,"&gt;="&amp;(Assumptions!$B$4+A53))/Discount!C53)</f>
        <v>19.3926710020517</v>
      </c>
      <c r="E53" s="48" t="n">
        <f aca="false">IF(Projection!U53=0,0,(Projection!F53/Projection!U53)*SUMIFS(Projection!$V$4:$V$59,Projection!$B$4:$B$59,"&gt;="&amp;(Assumptions!$B$4+A53))/Discount!C53)</f>
        <v>19.3926710020517</v>
      </c>
      <c r="F53" s="48" t="n">
        <f aca="false">SUMIFS(Projection!$W$4:$W$59,Projection!$B$4:$B$59,"&gt;="&amp;(Assumptions!$B$4+A53))/Discount!C53</f>
        <v>19.4915152835171</v>
      </c>
      <c r="G53" s="11" t="n">
        <f aca="false">MAX(0,C53-B53)</f>
        <v>4.1915473423681</v>
      </c>
      <c r="H53" s="5" t="n">
        <f aca="false">MAX(MAX(0,D53-B53),MAX(0,E53-B53),IF(A53&lt;Assumptions!$B$6,MAX(0,-Assumptions!$B$22*B53),0))</f>
        <v>0</v>
      </c>
      <c r="I53" s="11" t="n">
        <f aca="false">MAX(0,F53-B53)</f>
        <v>0.0988442814653183</v>
      </c>
      <c r="J53" s="11" t="n">
        <f aca="false">SQRT(G53^2+H53^2+I53^2+2*Assumptions!$B$26*G53*H53+2*Assumptions!$B$27*G53*I53+2*Assumptions!$B$28*H53*I53)</f>
        <v>4.21734449125674</v>
      </c>
      <c r="K53" s="11" t="n">
        <f aca="false">J53*Discount!C53</f>
        <v>0.895049854068799</v>
      </c>
      <c r="L53" s="11" t="n">
        <f aca="false">Assumptions!$B$29*SUM(K53:K59)/Discount!C53</f>
        <v>0.442893054412133</v>
      </c>
      <c r="M53" s="12" t="n">
        <f aca="false">IF(A53&gt;=Assumptions!$B$6,Assumptions!$B$45*Reserving!$E$5*Discount!$C$19/Discount!C53,G53)</f>
        <v>20221.9748192084</v>
      </c>
      <c r="N53" s="12" t="n">
        <f aca="false">SQRT(M53^2+H53^2+I53^2+2*Assumptions!$B$26*M53*H53+2*Assumptions!$B$27*M53*I53+2*Assumptions!$B$28*H53*I53)</f>
        <v>20221.9995305053</v>
      </c>
      <c r="O53" s="12" t="n">
        <f aca="false">N53*Discount!C53</f>
        <v>4291.72854299234</v>
      </c>
      <c r="P53" s="12" t="n">
        <f aca="false">Assumptions!$B$29*SUM(O53:O59)/Discount!C53</f>
        <v>8493.23218292145</v>
      </c>
      <c r="Q53" s="5" t="n">
        <f aca="false">IF(A53&gt;=Assumptions!$B$6,0,G53)</f>
        <v>0</v>
      </c>
      <c r="R53" s="11" t="n">
        <f aca="false">SQRT(Q53^2+H53^2+I53^2+2*Assumptions!$B$26*Q53*H53+2*Assumptions!$B$27*Q53*I53+2*Assumptions!$B$28*H53*I53)</f>
        <v>0.0988442814653183</v>
      </c>
      <c r="S53" s="11" t="n">
        <f aca="false">R53*Discount!C53</f>
        <v>0.0209777882467232</v>
      </c>
      <c r="T53" s="11" t="n">
        <f aca="false">Assumptions!$B$29*SUM(S53:S59)/Discount!C53</f>
        <v>0.0110353454825666</v>
      </c>
    </row>
    <row r="54" customFormat="false" ht="15" hidden="false" customHeight="true" outlineLevel="0" collapsed="false">
      <c r="A54" s="48" t="n">
        <f aca="false">ROW()-4</f>
        <v>50</v>
      </c>
      <c r="B54" s="11" t="n">
        <f aca="false">SUMIFS(Projection!$P$4:$P$59,Projection!$B$4:$B$59,"&gt;="&amp;(Assumptions!$B$4+A54))/Discount!C54</f>
        <v>9.37862665441879</v>
      </c>
      <c r="C54" s="48" t="n">
        <f aca="false">IF(Projection!Q54=0,0,(Projection!F54/Projection!Q54)*SUMIFS(Projection!$R$4:$R$59,Projection!$B$4:$B$59,"&gt;="&amp;(Assumptions!$B$4+A54))/Discount!C54)</f>
        <v>11.3428600835253</v>
      </c>
      <c r="D54" s="11" t="n">
        <f aca="false">IF(Projection!S54=0,0,(Projection!F54/Projection!S54)*SUMIFS(Projection!$T$4:$T$59,Projection!$B$4:$B$59,"&gt;="&amp;(Assumptions!$B$4+A54))/Discount!C54)</f>
        <v>9.37862665441879</v>
      </c>
      <c r="E54" s="11" t="n">
        <f aca="false">IF(Projection!U54=0,0,(Projection!F54/Projection!U54)*SUMIFS(Projection!$V$4:$V$59,Projection!$B$4:$B$59,"&gt;="&amp;(Assumptions!$B$4+A54))/Discount!C54)</f>
        <v>9.37862665441879</v>
      </c>
      <c r="F54" s="11" t="n">
        <f aca="false">SUMIFS(Projection!$W$4:$W$59,Projection!$B$4:$B$59,"&gt;="&amp;(Assumptions!$B$4+A54))/Discount!C54</f>
        <v>9.42764447078396</v>
      </c>
      <c r="G54" s="11" t="n">
        <f aca="false">MAX(0,C54-B54)</f>
        <v>1.96423342910648</v>
      </c>
      <c r="H54" s="5" t="n">
        <f aca="false">MAX(MAX(0,D54-B54),MAX(0,E54-B54),IF(A54&lt;Assumptions!$B$6,MAX(0,-Assumptions!$B$22*B54),0))</f>
        <v>0</v>
      </c>
      <c r="I54" s="11" t="n">
        <f aca="false">MAX(0,F54-B54)</f>
        <v>0.0490178163651684</v>
      </c>
      <c r="J54" s="11" t="n">
        <f aca="false">SQRT(G54^2+H54^2+I54^2+2*Assumptions!$B$26*G54*H54+2*Assumptions!$B$27*G54*I54+2*Assumptions!$B$28*H54*I54)</f>
        <v>1.9770576438495</v>
      </c>
      <c r="K54" s="11" t="n">
        <f aca="false">J54*Discount!C54</f>
        <v>0.40613283662279</v>
      </c>
      <c r="L54" s="11" t="n">
        <f aca="false">Assumptions!$B$29*SUM(K54:K59)/Discount!C54</f>
        <v>0.196144183132344</v>
      </c>
      <c r="M54" s="12" t="n">
        <f aca="false">IF(A54&gt;=Assumptions!$B$6,Assumptions!$B$45*Reserving!$E$5*Discount!$C$19/Discount!C54,G54)</f>
        <v>20892.1406679107</v>
      </c>
      <c r="N54" s="12" t="n">
        <f aca="false">SQRT(M54^2+H54^2+I54^2+2*Assumptions!$B$26*M54*H54+2*Assumptions!$B$27*M54*I54+2*Assumptions!$B$28*H54*I54)</f>
        <v>20892.1529224187</v>
      </c>
      <c r="O54" s="12" t="n">
        <f aca="false">N54*Discount!C54</f>
        <v>4291.7258158533</v>
      </c>
      <c r="P54" s="12" t="n">
        <f aca="false">Assumptions!$B$29*SUM(O54:O59)/Discount!C54</f>
        <v>7521.17195891703</v>
      </c>
      <c r="Q54" s="5" t="n">
        <f aca="false">IF(A54&gt;=Assumptions!$B$6,0,G54)</f>
        <v>0</v>
      </c>
      <c r="R54" s="11" t="n">
        <f aca="false">SQRT(Q54^2+H54^2+I54^2+2*Assumptions!$B$26*Q54*H54+2*Assumptions!$B$27*Q54*I54+2*Assumptions!$B$28*H54*I54)</f>
        <v>0.0490178163651684</v>
      </c>
      <c r="S54" s="11" t="n">
        <f aca="false">R54*Discount!C54</f>
        <v>0.0100693800544322</v>
      </c>
      <c r="T54" s="11" t="n">
        <f aca="false">Assumptions!$B$29*SUM(S54:S59)/Discount!C54</f>
        <v>0.00527386039883464</v>
      </c>
    </row>
    <row r="55" customFormat="false" ht="15" hidden="false" customHeight="true" outlineLevel="0" collapsed="false">
      <c r="A55" s="48" t="n">
        <f aca="false">ROW()-4</f>
        <v>51</v>
      </c>
      <c r="B55" s="11" t="n">
        <f aca="false">SUMIFS(Projection!$P$4:$P$59,Projection!$B$4:$B$59,"&gt;="&amp;(Assumptions!$B$4+A55))/Discount!C55</f>
        <v>4.36686048288086</v>
      </c>
      <c r="C55" s="11" t="n">
        <f aca="false">IF(Projection!Q55=0,0,(Projection!F55/Projection!Q55)*SUMIFS(Projection!$R$4:$R$59,Projection!$B$4:$B$59,"&gt;="&amp;(Assumptions!$B$4+A55))/Discount!C55)</f>
        <v>5.22765910955683</v>
      </c>
      <c r="D55" s="11" t="n">
        <f aca="false">IF(Projection!S55=0,0,(Projection!F55/Projection!S55)*SUMIFS(Projection!$T$4:$T$59,Projection!$B$4:$B$59,"&gt;="&amp;(Assumptions!$B$4+A55))/Discount!C55)</f>
        <v>4.36686048288086</v>
      </c>
      <c r="E55" s="11" t="n">
        <f aca="false">IF(Projection!U55=0,0,(Projection!F55/Projection!U55)*SUMIFS(Projection!$V$4:$V$59,Projection!$B$4:$B$59,"&gt;="&amp;(Assumptions!$B$4+A55))/Discount!C55)</f>
        <v>4.36686048288086</v>
      </c>
      <c r="F55" s="11" t="n">
        <f aca="false">SUMIFS(Projection!$W$4:$W$59,Projection!$B$4:$B$59,"&gt;="&amp;(Assumptions!$B$4+A55))/Discount!C55</f>
        <v>4.39025320969635</v>
      </c>
      <c r="G55" s="11" t="n">
        <f aca="false">MAX(0,C55-B55)</f>
        <v>0.860798626675967</v>
      </c>
      <c r="H55" s="5" t="n">
        <f aca="false">MAX(MAX(0,D55-B55),MAX(0,E55-B55),IF(A55&lt;Assumptions!$B$6,MAX(0,-Assumptions!$B$22*B55),0))</f>
        <v>0</v>
      </c>
      <c r="I55" s="11" t="n">
        <f aca="false">MAX(0,F55-B55)</f>
        <v>0.0233927268154828</v>
      </c>
      <c r="J55" s="11" t="n">
        <f aca="false">SQRT(G55^2+H55^2+I55^2+2*Assumptions!$B$26*G55*H55+2*Assumptions!$B$27*G55*I55+2*Assumptions!$B$28*H55*I55)</f>
        <v>0.866942736813442</v>
      </c>
      <c r="K55" s="11" t="n">
        <f aca="false">J55*Discount!C55</f>
        <v>0.172455707633027</v>
      </c>
      <c r="L55" s="11" t="n">
        <f aca="false">Assumptions!$B$29*SUM(K55:K59)/Discount!C55</f>
        <v>0.0800533361482794</v>
      </c>
      <c r="M55" s="12" t="n">
        <f aca="false">IF(A55&gt;=Assumptions!$B$6,Assumptions!$B$45*Reserving!$E$5*Discount!$C$19/Discount!C55,G55)</f>
        <v>21574.6894846908</v>
      </c>
      <c r="N55" s="12" t="n">
        <f aca="false">SQRT(M55^2+H55^2+I55^2+2*Assumptions!$B$26*M55*H55+2*Assumptions!$B$27*M55*I55+2*Assumptions!$B$28*H55*I55)</f>
        <v>21574.6953328844</v>
      </c>
      <c r="O55" s="12" t="n">
        <f aca="false">N55*Discount!C55</f>
        <v>4291.72446184321</v>
      </c>
      <c r="P55" s="12" t="n">
        <f aca="false">Assumptions!$B$29*SUM(O55:O59)/Discount!C55</f>
        <v>6472.40744765912</v>
      </c>
      <c r="Q55" s="5" t="n">
        <f aca="false">IF(A55&gt;=Assumptions!$B$6,0,G55)</f>
        <v>0</v>
      </c>
      <c r="R55" s="11" t="n">
        <f aca="false">SQRT(Q55^2+H55^2+I55^2+2*Assumptions!$B$26*Q55*H55+2*Assumptions!$B$27*Q55*I55+2*Assumptions!$B$28*H55*I55)</f>
        <v>0.0233927268154828</v>
      </c>
      <c r="S55" s="11" t="n">
        <f aca="false">R55*Discount!C55</f>
        <v>0.00465337453689089</v>
      </c>
      <c r="T55" s="11" t="n">
        <f aca="false">Assumptions!$B$29*SUM(S55:S59)/Discount!C55</f>
        <v>0.00240900400072464</v>
      </c>
    </row>
    <row r="56" customFormat="false" ht="15" hidden="false" customHeight="true" outlineLevel="0" collapsed="false">
      <c r="A56" s="48" t="n">
        <f aca="false">ROW()-4</f>
        <v>52</v>
      </c>
      <c r="B56" s="11" t="n">
        <f aca="false">SUMIFS(Projection!$P$4:$P$59,Projection!$B$4:$B$59,"&gt;="&amp;(Assumptions!$B$4+A56))/Discount!C56</f>
        <v>1.94682330515196</v>
      </c>
      <c r="C56" s="11" t="n">
        <f aca="false">IF(Projection!Q56=0,0,(Projection!F56/Projection!Q56)*SUMIFS(Projection!$R$4:$R$59,Projection!$B$4:$B$59,"&gt;="&amp;(Assumptions!$B$4+A56))/Discount!C56)</f>
        <v>2.28886925994816</v>
      </c>
      <c r="D56" s="11" t="n">
        <f aca="false">IF(Projection!S56=0,0,(Projection!F56/Projection!S56)*SUMIFS(Projection!$T$4:$T$59,Projection!$B$4:$B$59,"&gt;="&amp;(Assumptions!$B$4+A56))/Discount!C56)</f>
        <v>1.94682330515196</v>
      </c>
      <c r="E56" s="11" t="n">
        <f aca="false">IF(Projection!U56=0,0,(Projection!F56/Projection!U56)*SUMIFS(Projection!$V$4:$V$59,Projection!$B$4:$B$59,"&gt;="&amp;(Assumptions!$B$4+A56))/Discount!C56)</f>
        <v>1.94682330515196</v>
      </c>
      <c r="F56" s="11" t="n">
        <f aca="false">SUMIFS(Projection!$W$4:$W$59,Projection!$B$4:$B$59,"&gt;="&amp;(Assumptions!$B$4+A56))/Discount!C56</f>
        <v>1.95750458421701</v>
      </c>
      <c r="G56" s="11" t="n">
        <f aca="false">MAX(0,C56-B56)</f>
        <v>0.342045954796209</v>
      </c>
      <c r="H56" s="5" t="n">
        <f aca="false">MAX(MAX(0,D56-B56),MAX(0,E56-B56),IF(A56&lt;Assumptions!$B$6,MAX(0,-Assumptions!$B$22*B56),0))</f>
        <v>0</v>
      </c>
      <c r="I56" s="11" t="n">
        <f aca="false">MAX(0,F56-B56)</f>
        <v>0.0106812790650521</v>
      </c>
      <c r="J56" s="11" t="n">
        <f aca="false">SQRT(G56^2+H56^2+I56^2+2*Assumptions!$B$26*G56*H56+2*Assumptions!$B$27*G56*I56+2*Assumptions!$B$28*H56*I56)</f>
        <v>0.344871380463849</v>
      </c>
      <c r="K56" s="11" t="n">
        <f aca="false">J56*Discount!C56</f>
        <v>0.0664315353439466</v>
      </c>
      <c r="L56" s="11" t="n">
        <f aca="false">Assumptions!$B$29*SUM(K56:K59)/Discount!C56</f>
        <v>0.0289532976165618</v>
      </c>
      <c r="M56" s="12" t="n">
        <f aca="false">IF(A56&gt;=Assumptions!$B$6,Assumptions!$B$45*Reserving!$E$5*Discount!$C$19/Discount!C56,G56)</f>
        <v>22279.9688560332</v>
      </c>
      <c r="N56" s="12" t="n">
        <f aca="false">SQRT(M56^2+H56^2+I56^2+2*Assumptions!$B$26*M56*H56+2*Assumptions!$B$27*M56*I56+2*Assumptions!$B$28*H56*I56)</f>
        <v>22279.9715263553</v>
      </c>
      <c r="O56" s="12" t="n">
        <f aca="false">N56*Discount!C56</f>
        <v>4291.72381287333</v>
      </c>
      <c r="P56" s="12" t="n">
        <f aca="false">Assumptions!$B$29*SUM(O56:O59)/Discount!C56</f>
        <v>5347.19278502523</v>
      </c>
      <c r="Q56" s="5" t="n">
        <f aca="false">IF(A56&gt;=Assumptions!$B$6,0,G56)</f>
        <v>0</v>
      </c>
      <c r="R56" s="11" t="n">
        <f aca="false">SQRT(Q56^2+H56^2+I56^2+2*Assumptions!$B$26*Q56*H56+2*Assumptions!$B$27*Q56*I56+2*Assumptions!$B$28*H56*I56)</f>
        <v>0.0106812790650521</v>
      </c>
      <c r="S56" s="11" t="n">
        <f aca="false">R56*Discount!C56</f>
        <v>0.00205750261669784</v>
      </c>
      <c r="T56" s="11" t="n">
        <f aca="false">Assumptions!$B$29*SUM(S56:S59)/Discount!C56</f>
        <v>0.00103830836739046</v>
      </c>
    </row>
    <row r="57" customFormat="false" ht="15" hidden="false" customHeight="true" outlineLevel="0" collapsed="false">
      <c r="A57" s="48" t="n">
        <f aca="false">ROW()-4</f>
        <v>53</v>
      </c>
      <c r="B57" s="11" t="n">
        <f aca="false">SUMIFS(Projection!$P$4:$P$59,Projection!$B$4:$B$59,"&gt;="&amp;(Assumptions!$B$4+A57))/Discount!C57</f>
        <v>0.819358695652638</v>
      </c>
      <c r="C57" s="11" t="n">
        <f aca="false">IF(Projection!Q57=0,0,(Projection!F57/Projection!Q57)*SUMIFS(Projection!$R$4:$R$59,Projection!$B$4:$B$59,"&gt;="&amp;(Assumptions!$B$4+A57))/Discount!C57)</f>
        <v>0.934050660427797</v>
      </c>
      <c r="D57" s="11" t="n">
        <f aca="false">IF(Projection!S57=0,0,(Projection!F57/Projection!S57)*SUMIFS(Projection!$T$4:$T$59,Projection!$B$4:$B$59,"&gt;="&amp;(Assumptions!$B$4+A57))/Discount!C57)</f>
        <v>0.819358695652638</v>
      </c>
      <c r="E57" s="11" t="n">
        <f aca="false">IF(Projection!U57=0,0,(Projection!F57/Projection!U57)*SUMIFS(Projection!$V$4:$V$59,Projection!$B$4:$B$59,"&gt;="&amp;(Assumptions!$B$4+A57))/Discount!C57)</f>
        <v>0.819358695652638</v>
      </c>
      <c r="F57" s="11" t="n">
        <f aca="false">SUMIFS(Projection!$W$4:$W$59,Projection!$B$4:$B$59,"&gt;="&amp;(Assumptions!$B$4+A57))/Discount!C57</f>
        <v>0.823957646231854</v>
      </c>
      <c r="G57" s="11" t="n">
        <f aca="false">MAX(0,C57-B57)</f>
        <v>0.114691964775159</v>
      </c>
      <c r="H57" s="5" t="n">
        <f aca="false">MAX(MAX(0,D57-B57),MAX(0,E57-B57),IF(A57&lt;Assumptions!$B$6,MAX(0,-Assumptions!$B$22*B57),0))</f>
        <v>0</v>
      </c>
      <c r="I57" s="11" t="n">
        <f aca="false">MAX(0,F57-B57)</f>
        <v>0.00459895057921544</v>
      </c>
      <c r="J57" s="11" t="n">
        <f aca="false">SQRT(G57^2+H57^2+I57^2+2*Assumptions!$B$26*G57*H57+2*Assumptions!$B$27*G57*I57+2*Assumptions!$B$28*H57*I57)</f>
        <v>0.115927255075471</v>
      </c>
      <c r="K57" s="11" t="n">
        <f aca="false">J57*Discount!C57</f>
        <v>0.0216234132633183</v>
      </c>
      <c r="L57" s="11" t="n">
        <f aca="false">Assumptions!$B$29*SUM(K57:K59)/Discount!C57</f>
        <v>0.00853123368552913</v>
      </c>
      <c r="M57" s="12" t="n">
        <f aca="false">IF(A57&gt;=Assumptions!$B$6,Assumptions!$B$45*Reserving!$E$5*Discount!$C$19/Discount!C57,G57)</f>
        <v>23008.7496122653</v>
      </c>
      <c r="N57" s="12" t="n">
        <f aca="false">SQRT(M57^2+H57^2+I57^2+2*Assumptions!$B$26*M57*H57+2*Assumptions!$B$27*M57*I57+2*Assumptions!$B$28*H57*I57)</f>
        <v>23008.7507620034</v>
      </c>
      <c r="O57" s="12" t="n">
        <f aca="false">N57*Discount!C57</f>
        <v>4291.72351295292</v>
      </c>
      <c r="P57" s="12" t="n">
        <f aca="false">Assumptions!$B$29*SUM(O57:O59)/Discount!C57</f>
        <v>4141.57503281571</v>
      </c>
      <c r="Q57" s="5" t="n">
        <f aca="false">IF(A57&gt;=Assumptions!$B$6,0,G57)</f>
        <v>0</v>
      </c>
      <c r="R57" s="11" t="n">
        <f aca="false">SQRT(Q57^2+H57^2+I57^2+2*Assumptions!$B$26*Q57*H57+2*Assumptions!$B$27*Q57*I57+2*Assumptions!$B$28*H57*I57)</f>
        <v>0.00459895057921544</v>
      </c>
      <c r="S57" s="27" t="n">
        <f aca="false">R57*Discount!C57</f>
        <v>0.000857822510221706</v>
      </c>
      <c r="T57" s="27" t="n">
        <f aca="false">Assumptions!$B$29*SUM(S57:S59)/Discount!C57</f>
        <v>0.000410431664958989</v>
      </c>
    </row>
    <row r="58" customFormat="false" ht="15" hidden="false" customHeight="true" outlineLevel="0" collapsed="false">
      <c r="A58" s="48" t="n">
        <f aca="false">ROW()-4</f>
        <v>54</v>
      </c>
      <c r="B58" s="11" t="n">
        <f aca="false">SUMIFS(Projection!$P$4:$P$59,Projection!$B$4:$B$59,"&gt;="&amp;(Assumptions!$B$4+A58))/Discount!C58</f>
        <v>0.31271172790399</v>
      </c>
      <c r="C58" s="11" t="n">
        <f aca="false">IF(Projection!Q58=0,0,(Projection!F58/Projection!Q58)*SUMIFS(Projection!$R$4:$R$59,Projection!$B$4:$B$59,"&gt;="&amp;(Assumptions!$B$4+A58))/Discount!C58)</f>
        <v>0.338816878243246</v>
      </c>
      <c r="D58" s="11" t="n">
        <f aca="false">IF(Projection!S58=0,0,(Projection!F58/Projection!S58)*SUMIFS(Projection!$T$4:$T$59,Projection!$B$4:$B$59,"&gt;="&amp;(Assumptions!$B$4+A58))/Discount!C58)</f>
        <v>0.31271172790399</v>
      </c>
      <c r="E58" s="11" t="n">
        <f aca="false">IF(Projection!U58=0,0,(Projection!F58/Projection!U58)*SUMIFS(Projection!$V$4:$V$59,Projection!$B$4:$B$59,"&gt;="&amp;(Assumptions!$B$4+A58))/Discount!C58)</f>
        <v>0.31271172790399</v>
      </c>
      <c r="F58" s="11" t="n">
        <f aca="false">SUMIFS(Projection!$W$4:$W$59,Projection!$B$4:$B$59,"&gt;="&amp;(Assumptions!$B$4+A58))/Discount!C58</f>
        <v>0.314504132437374</v>
      </c>
      <c r="G58" s="11" t="n">
        <f aca="false">MAX(0,C58-B58)</f>
        <v>0.0261051503392566</v>
      </c>
      <c r="H58" s="5" t="n">
        <f aca="false">MAX(MAX(0,D58-B58),MAX(0,E58-B58),IF(A58&lt;Assumptions!$B$6,MAX(0,-Assumptions!$B$22*B58),0))</f>
        <v>0</v>
      </c>
      <c r="I58" s="11" t="n">
        <f aca="false">MAX(0,F58-B58)</f>
        <v>0.00179240453338414</v>
      </c>
      <c r="J58" s="11" t="n">
        <f aca="false">SQRT(G58^2+H58^2+I58^2+2*Assumptions!$B$26*G58*H58+2*Assumptions!$B$27*G58*I58+2*Assumptions!$B$28*H58*I58)</f>
        <v>0.0266099057336336</v>
      </c>
      <c r="K58" s="11" t="n">
        <f aca="false">J58*Discount!C58</f>
        <v>0.00480361263451554</v>
      </c>
      <c r="L58" s="11" t="n">
        <f aca="false">Assumptions!$B$29*SUM(K58:K59)/Discount!C58</f>
        <v>0.00162801941317691</v>
      </c>
      <c r="M58" s="12" t="n">
        <f aca="false">IF(A58&gt;=Assumptions!$B$6,Assumptions!$B$45*Reserving!$E$5*Discount!$C$19/Discount!C58,G58)</f>
        <v>23774.2634756326</v>
      </c>
      <c r="N58" s="12" t="n">
        <f aca="false">SQRT(M58^2+H58^2+I58^2+2*Assumptions!$B$26*M58*H58+2*Assumptions!$B$27*M58*I58+2*Assumptions!$B$28*H58*I58)</f>
        <v>23774.2639237338</v>
      </c>
      <c r="O58" s="12" t="n">
        <f aca="false">N58*Discount!C58</f>
        <v>4291.72337938831</v>
      </c>
      <c r="P58" s="12" t="n">
        <f aca="false">Assumptions!$B$29*SUM(O58:O59)/Discount!C58</f>
        <v>2852.91165181825</v>
      </c>
      <c r="Q58" s="5" t="n">
        <f aca="false">IF(A58&gt;=Assumptions!$B$6,0,G58)</f>
        <v>0</v>
      </c>
      <c r="R58" s="11" t="n">
        <f aca="false">SQRT(Q58^2+H58^2+I58^2+2*Assumptions!$B$26*Q58*H58+2*Assumptions!$B$27*Q58*I58+2*Assumptions!$B$28*H58*I58)</f>
        <v>0.00179240453338414</v>
      </c>
      <c r="S58" s="27" t="n">
        <f aca="false">R58*Discount!C58</f>
        <v>0.000323564357909181</v>
      </c>
      <c r="T58" s="27" t="n">
        <f aca="false">Assumptions!$B$29*SUM(S58:S59)/Discount!C58</f>
        <v>0.000138969341161946</v>
      </c>
    </row>
    <row r="59" customFormat="false" ht="15" hidden="false" customHeight="true" outlineLevel="0" collapsed="false">
      <c r="A59" s="48" t="n">
        <f aca="false">ROW()-4</f>
        <v>55</v>
      </c>
      <c r="B59" s="11" t="n">
        <f aca="false">SUMIFS(Projection!$P$4:$P$59,Projection!$B$4:$B$59,"&gt;="&amp;(Assumptions!$B$4+A59))/Discount!C59</f>
        <v>0.0926581936276291</v>
      </c>
      <c r="C59" s="11" t="n">
        <f aca="false">IF(Projection!Q59=0,0,(Projection!F59/Projection!Q59)*SUMIFS(Projection!$R$4:$R$59,Projection!$B$4:$B$59,"&gt;="&amp;(Assumptions!$B$4+A59))/Discount!C59)</f>
        <v>0.0926581936276291</v>
      </c>
      <c r="D59" s="11" t="n">
        <f aca="false">IF(Projection!S59=0,0,(Projection!F59/Projection!S59)*SUMIFS(Projection!$T$4:$T$59,Projection!$B$4:$B$59,"&gt;="&amp;(Assumptions!$B$4+A59))/Discount!C59)</f>
        <v>0.0926581936276291</v>
      </c>
      <c r="E59" s="11" t="n">
        <f aca="false">IF(Projection!U59=0,0,(Projection!F59/Projection!U59)*SUMIFS(Projection!$V$4:$V$59,Projection!$B$4:$B$59,"&gt;="&amp;(Assumptions!$B$4+A59))/Discount!C59)</f>
        <v>0.0926581936276291</v>
      </c>
      <c r="F59" s="11" t="n">
        <f aca="false">SUMIFS(Projection!$W$4:$W$59,Projection!$B$4:$B$59,"&gt;="&amp;(Assumptions!$B$4+A59))/Discount!C59</f>
        <v>0.0931991029434011</v>
      </c>
      <c r="G59" s="5" t="n">
        <f aca="false">MAX(0,C59-B59)</f>
        <v>0</v>
      </c>
      <c r="H59" s="5" t="n">
        <f aca="false">MAX(MAX(0,D59-B59),MAX(0,E59-B59),IF(A59&lt;Assumptions!$B$6,MAX(0,-Assumptions!$B$22*B59),0))</f>
        <v>0</v>
      </c>
      <c r="I59" s="27" t="n">
        <f aca="false">MAX(0,F59-B59)</f>
        <v>0.00054090931577197</v>
      </c>
      <c r="J59" s="27" t="n">
        <f aca="false">SQRT(G59^2+H59^2+I59^2+2*Assumptions!$B$26*G59*H59+2*Assumptions!$B$27*G59*I59+2*Assumptions!$B$28*H59*I59)</f>
        <v>0.00054090931577197</v>
      </c>
      <c r="K59" s="27" t="n">
        <f aca="false">J59*Discount!C59</f>
        <v>9.45474095018481E-005</v>
      </c>
      <c r="L59" s="27" t="n">
        <f aca="false">Assumptions!$B$29*SUM(K59:K59)/Discount!C59</f>
        <v>3.24545589463182E-005</v>
      </c>
      <c r="M59" s="12" t="n">
        <f aca="false">IF(A59&gt;=Assumptions!$B$6,Assumptions!$B$45*Reserving!$E$5*Discount!$C$19/Discount!C59,G59)</f>
        <v>24553.1117679895</v>
      </c>
      <c r="N59" s="12" t="n">
        <f aca="false">SQRT(M59^2+H59^2+I59^2+2*Assumptions!$B$26*M59*H59+2*Assumptions!$B$27*M59*I59+2*Assumptions!$B$28*H59*I59)</f>
        <v>24553.1119032168</v>
      </c>
      <c r="O59" s="12" t="n">
        <f aca="false">N59*Discount!C59</f>
        <v>4291.72332213406</v>
      </c>
      <c r="P59" s="12" t="n">
        <f aca="false">Assumptions!$B$29*SUM(O59:O59)/Discount!C59</f>
        <v>1473.18671419301</v>
      </c>
      <c r="Q59" s="5" t="n">
        <f aca="false">IF(A59&gt;=Assumptions!$B$6,0,G59)</f>
        <v>0</v>
      </c>
      <c r="R59" s="27" t="n">
        <f aca="false">SQRT(Q59^2+H59^2+I59^2+2*Assumptions!$B$26*Q59*H59+2*Assumptions!$B$27*Q59*I59+2*Assumptions!$B$28*H59*I59)</f>
        <v>0.00054090931577197</v>
      </c>
      <c r="S59" s="27" t="n">
        <f aca="false">R59*Discount!C59</f>
        <v>9.45474095018481E-005</v>
      </c>
      <c r="T59" s="27" t="n">
        <f aca="false">Assumptions!$B$29*SUM(S59:S59)/Discount!C59</f>
        <v>3.24545589463182E-005</v>
      </c>
    </row>
    <row r="69" customFormat="false" ht="15" hidden="false" customHeight="true" outlineLevel="0" collapsed="false">
      <c r="A69" s="1" t="s">
        <v>2218</v>
      </c>
    </row>
    <row r="70" customFormat="false" ht="15" hidden="false" customHeight="true" outlineLevel="0" collapsed="false">
      <c r="A70" s="1" t="s">
        <v>710</v>
      </c>
      <c r="B70" s="1" t="s">
        <v>2219</v>
      </c>
    </row>
    <row r="71" customFormat="false" ht="15" hidden="false" customHeight="true" outlineLevel="0" collapsed="false">
      <c r="A71" s="1" t="s">
        <v>712</v>
      </c>
      <c r="B71" s="1" t="s">
        <v>2220</v>
      </c>
    </row>
    <row r="72" customFormat="false" ht="15" hidden="false" customHeight="true" outlineLevel="0" collapsed="false">
      <c r="A72" s="1" t="s">
        <v>714</v>
      </c>
      <c r="B72" s="1" t="s">
        <v>2221</v>
      </c>
    </row>
    <row r="73" customFormat="false" ht="15" hidden="false" customHeight="true" outlineLevel="0" collapsed="false">
      <c r="A73" s="1" t="s">
        <v>716</v>
      </c>
      <c r="B73" s="1" t="s">
        <v>855</v>
      </c>
    </row>
    <row r="74" customFormat="false" ht="15" hidden="false" customHeight="true" outlineLevel="0" collapsed="false">
      <c r="A74" s="1" t="s">
        <v>717</v>
      </c>
      <c r="B74" s="1" t="s">
        <v>856</v>
      </c>
    </row>
    <row r="75" customFormat="false" ht="15" hidden="false" customHeight="true" outlineLevel="0" collapsed="false">
      <c r="A75" s="1" t="s">
        <v>719</v>
      </c>
      <c r="B75" s="1" t="s">
        <v>857</v>
      </c>
    </row>
    <row r="76" customFormat="false" ht="15" hidden="false" customHeight="true" outlineLevel="0" collapsed="false">
      <c r="A76" s="1" t="s">
        <v>721</v>
      </c>
      <c r="B76" s="1" t="s">
        <v>2222</v>
      </c>
    </row>
    <row r="77" customFormat="false" ht="15" hidden="false" customHeight="true" outlineLevel="0" collapsed="false">
      <c r="A77" s="1" t="s">
        <v>723</v>
      </c>
      <c r="B77" s="1" t="s">
        <v>2223</v>
      </c>
    </row>
    <row r="78" customFormat="false" ht="15" hidden="false" customHeight="true" outlineLevel="0" collapsed="false">
      <c r="A78" s="1" t="s">
        <v>725</v>
      </c>
      <c r="B78" s="1" t="s">
        <v>2224</v>
      </c>
    </row>
    <row r="79" customFormat="false" ht="15" hidden="false" customHeight="true" outlineLevel="0" collapsed="false">
      <c r="A79" s="1" t="s">
        <v>727</v>
      </c>
      <c r="B79" s="1" t="s">
        <v>2225</v>
      </c>
    </row>
    <row r="80" customFormat="false" ht="15" hidden="false" customHeight="true" outlineLevel="0" collapsed="false">
      <c r="A80" s="1" t="s">
        <v>729</v>
      </c>
      <c r="B80" s="1" t="s">
        <v>2226</v>
      </c>
    </row>
    <row r="81" customFormat="false" ht="15" hidden="false" customHeight="true" outlineLevel="0" collapsed="false">
      <c r="A81" s="1" t="s">
        <v>731</v>
      </c>
      <c r="B81" s="1" t="s">
        <v>2227</v>
      </c>
    </row>
    <row r="82" customFormat="false" ht="15" hidden="false" customHeight="true" outlineLevel="0" collapsed="false">
      <c r="A82" s="1" t="s">
        <v>733</v>
      </c>
      <c r="B82" s="1" t="s">
        <v>2228</v>
      </c>
    </row>
    <row r="83" customFormat="false" ht="15" hidden="false" customHeight="true" outlineLevel="0" collapsed="false">
      <c r="A83" s="1" t="s">
        <v>735</v>
      </c>
      <c r="B83" s="1" t="s">
        <v>2229</v>
      </c>
    </row>
    <row r="84" customFormat="false" ht="15" hidden="false" customHeight="true" outlineLevel="0" collapsed="false">
      <c r="A84" s="1" t="s">
        <v>737</v>
      </c>
      <c r="B84" s="1" t="s">
        <v>2230</v>
      </c>
    </row>
    <row r="85" customFormat="false" ht="15" hidden="false" customHeight="true" outlineLevel="0" collapsed="false">
      <c r="A85" s="1" t="s">
        <v>739</v>
      </c>
      <c r="B85" s="1" t="s">
        <v>2231</v>
      </c>
    </row>
    <row r="86" customFormat="false" ht="15" hidden="false" customHeight="true" outlineLevel="0" collapsed="false">
      <c r="A86" s="1" t="s">
        <v>741</v>
      </c>
      <c r="B86" s="1" t="s">
        <v>2232</v>
      </c>
    </row>
    <row r="87" customFormat="false" ht="15" hidden="false" customHeight="true" outlineLevel="0" collapsed="false">
      <c r="A87" s="1" t="s">
        <v>743</v>
      </c>
      <c r="B87" s="1" t="s">
        <v>2233</v>
      </c>
    </row>
    <row r="88" customFormat="false" ht="15" hidden="false" customHeight="true" outlineLevel="0" collapsed="false">
      <c r="A88" s="1" t="s">
        <v>745</v>
      </c>
      <c r="B88" s="1" t="s">
        <v>2234</v>
      </c>
    </row>
    <row r="89" customFormat="false" ht="15" hidden="false" customHeight="true" outlineLevel="0" collapsed="false">
      <c r="A89" s="1" t="s">
        <v>747</v>
      </c>
      <c r="B89" s="1" t="s">
        <v>2235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25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6"/>
    <col collapsed="false" customWidth="true" hidden="false" outlineLevel="0" max="10" min="2" style="1" width="14"/>
  </cols>
  <sheetData>
    <row r="1" customFormat="false" ht="15.75" hidden="false" customHeight="true" outlineLevel="0" collapsed="false">
      <c r="A1" s="1" t="s">
        <v>2236</v>
      </c>
    </row>
    <row r="2" customFormat="false" ht="15" hidden="false" customHeight="true" outlineLevel="0" collapsed="false">
      <c r="A2" s="1" t="s">
        <v>2237</v>
      </c>
    </row>
    <row r="4" customFormat="false" ht="15" hidden="false" customHeight="true" outlineLevel="0" collapsed="false">
      <c r="A4" s="1" t="s">
        <v>2238</v>
      </c>
    </row>
    <row r="5" customFormat="false" ht="15" hidden="false" customHeight="true" outlineLevel="0" collapsed="false">
      <c r="A5" s="1" t="s">
        <v>2239</v>
      </c>
    </row>
    <row r="6" customFormat="false" ht="15" hidden="false" customHeight="true" outlineLevel="0" collapsed="false">
      <c r="A6" s="1" t="s">
        <v>2240</v>
      </c>
      <c r="B6" s="1" t="s">
        <v>1951</v>
      </c>
      <c r="C6" s="1" t="s">
        <v>2241</v>
      </c>
      <c r="D6" s="1" t="s">
        <v>2242</v>
      </c>
      <c r="E6" s="1" t="s">
        <v>2243</v>
      </c>
      <c r="F6" s="1" t="s">
        <v>2244</v>
      </c>
      <c r="G6" s="1" t="s">
        <v>2245</v>
      </c>
      <c r="H6" s="1" t="s">
        <v>2246</v>
      </c>
      <c r="I6" s="1" t="s">
        <v>2247</v>
      </c>
      <c r="J6" s="1" t="s">
        <v>2248</v>
      </c>
    </row>
    <row r="7" customFormat="false" ht="15" hidden="false" customHeight="true" outlineLevel="0" collapsed="false">
      <c r="A7" s="73" t="n">
        <v>1</v>
      </c>
      <c r="B7" s="11" t="n">
        <f aca="false">Projection!D4</f>
        <v>0.058</v>
      </c>
      <c r="C7" s="11" t="n">
        <f aca="false">B7*Assumptions!$B$38</f>
        <v>0.0348</v>
      </c>
      <c r="D7" s="11" t="n">
        <f aca="false">B7*Assumptions!$B$39</f>
        <v>0.0232</v>
      </c>
      <c r="E7" s="11" t="n">
        <f aca="false">C7*Assumptions!$B$40</f>
        <v>0.01392</v>
      </c>
      <c r="F7" s="11" t="n">
        <f aca="false">D7*Assumptions!$B$41</f>
        <v>0.00348</v>
      </c>
      <c r="G7" s="11" t="n">
        <f aca="false">E7+F7</f>
        <v>0.0174</v>
      </c>
      <c r="H7" s="11" t="n">
        <f aca="false">B7-G7</f>
        <v>0.0406</v>
      </c>
      <c r="I7" s="11" t="n">
        <f aca="false">Projection!E4</f>
        <v>0.0406</v>
      </c>
      <c r="J7" s="5" t="n">
        <f aca="false">H7-I7</f>
        <v>0</v>
      </c>
    </row>
    <row r="8" customFormat="false" ht="15" hidden="false" customHeight="true" outlineLevel="0" collapsed="false">
      <c r="A8" s="73" t="n">
        <v>2</v>
      </c>
      <c r="B8" s="11" t="n">
        <f aca="false">Projection!D5</f>
        <v>0.031</v>
      </c>
      <c r="C8" s="11" t="n">
        <f aca="false">B8*Assumptions!$B$38</f>
        <v>0.0186</v>
      </c>
      <c r="D8" s="11" t="n">
        <f aca="false">B8*Assumptions!$B$39</f>
        <v>0.0124</v>
      </c>
      <c r="E8" s="11" t="n">
        <f aca="false">C8*Assumptions!$B$40</f>
        <v>0.00744</v>
      </c>
      <c r="F8" s="11" t="n">
        <f aca="false">D8*Assumptions!$B$41</f>
        <v>0.00186</v>
      </c>
      <c r="G8" s="11" t="n">
        <f aca="false">E8+F8</f>
        <v>0.0093</v>
      </c>
      <c r="H8" s="11" t="n">
        <f aca="false">B8-G8</f>
        <v>0.0217</v>
      </c>
      <c r="I8" s="11" t="n">
        <f aca="false">Projection!E5</f>
        <v>0.0217</v>
      </c>
      <c r="J8" s="5" t="n">
        <f aca="false">H8-I8</f>
        <v>0</v>
      </c>
    </row>
    <row r="9" customFormat="false" ht="15" hidden="false" customHeight="true" outlineLevel="0" collapsed="false">
      <c r="A9" s="73" t="n">
        <v>3</v>
      </c>
      <c r="B9" s="11" t="n">
        <f aca="false">Projection!D6</f>
        <v>0.019</v>
      </c>
      <c r="C9" s="11" t="n">
        <f aca="false">B9*Assumptions!$B$38</f>
        <v>0.0114</v>
      </c>
      <c r="D9" s="11" t="n">
        <f aca="false">B9*Assumptions!$B$39</f>
        <v>0.0076</v>
      </c>
      <c r="E9" s="11" t="n">
        <f aca="false">C9*Assumptions!$B$40</f>
        <v>0.00456</v>
      </c>
      <c r="F9" s="11" t="n">
        <f aca="false">D9*Assumptions!$B$41</f>
        <v>0.00114</v>
      </c>
      <c r="G9" s="11" t="n">
        <f aca="false">E9+F9</f>
        <v>0.0057</v>
      </c>
      <c r="H9" s="11" t="n">
        <f aca="false">B9-G9</f>
        <v>0.0133</v>
      </c>
      <c r="I9" s="11" t="n">
        <f aca="false">Projection!E6</f>
        <v>0.0133</v>
      </c>
      <c r="J9" s="5" t="n">
        <f aca="false">H9-I9</f>
        <v>0</v>
      </c>
    </row>
    <row r="10" customFormat="false" ht="15" hidden="false" customHeight="true" outlineLevel="0" collapsed="false">
      <c r="A10" s="73" t="n">
        <v>4</v>
      </c>
      <c r="B10" s="11" t="n">
        <f aca="false">Projection!D7</f>
        <v>0.019</v>
      </c>
      <c r="C10" s="11" t="n">
        <f aca="false">B10*Assumptions!$B$38</f>
        <v>0.0114</v>
      </c>
      <c r="D10" s="11" t="n">
        <f aca="false">B10*Assumptions!$B$39</f>
        <v>0.0076</v>
      </c>
      <c r="E10" s="11" t="n">
        <f aca="false">C10*Assumptions!$B$40</f>
        <v>0.00456</v>
      </c>
      <c r="F10" s="11" t="n">
        <f aca="false">D10*Assumptions!$B$41</f>
        <v>0.00114</v>
      </c>
      <c r="G10" s="11" t="n">
        <f aca="false">E10+F10</f>
        <v>0.0057</v>
      </c>
      <c r="H10" s="11" t="n">
        <f aca="false">B10-G10</f>
        <v>0.0133</v>
      </c>
      <c r="I10" s="11" t="n">
        <f aca="false">Projection!E7</f>
        <v>0.0133</v>
      </c>
      <c r="J10" s="5" t="n">
        <f aca="false">H10-I10</f>
        <v>0</v>
      </c>
    </row>
    <row r="11" customFormat="false" ht="15" hidden="false" customHeight="true" outlineLevel="0" collapsed="false">
      <c r="A11" s="73" t="n">
        <v>5</v>
      </c>
      <c r="B11" s="11" t="n">
        <f aca="false">Projection!D8</f>
        <v>0.019</v>
      </c>
      <c r="C11" s="11" t="n">
        <f aca="false">B11*Assumptions!$B$38</f>
        <v>0.0114</v>
      </c>
      <c r="D11" s="11" t="n">
        <f aca="false">B11*Assumptions!$B$39</f>
        <v>0.0076</v>
      </c>
      <c r="E11" s="11" t="n">
        <f aca="false">C11*Assumptions!$B$40</f>
        <v>0.00456</v>
      </c>
      <c r="F11" s="11" t="n">
        <f aca="false">D11*Assumptions!$B$41</f>
        <v>0.00114</v>
      </c>
      <c r="G11" s="11" t="n">
        <f aca="false">E11+F11</f>
        <v>0.0057</v>
      </c>
      <c r="H11" s="11" t="n">
        <f aca="false">B11-G11</f>
        <v>0.0133</v>
      </c>
      <c r="I11" s="11" t="n">
        <f aca="false">Projection!E8</f>
        <v>0.0133</v>
      </c>
      <c r="J11" s="5" t="n">
        <f aca="false">H11-I11</f>
        <v>0</v>
      </c>
    </row>
    <row r="12" customFormat="false" ht="15" hidden="false" customHeight="true" outlineLevel="0" collapsed="false">
      <c r="A12" s="73" t="n">
        <v>6</v>
      </c>
      <c r="B12" s="11" t="n">
        <f aca="false">Projection!D9</f>
        <v>0.013</v>
      </c>
      <c r="C12" s="11" t="n">
        <f aca="false">B12*Assumptions!$B$38</f>
        <v>0.0078</v>
      </c>
      <c r="D12" s="11" t="n">
        <f aca="false">B12*Assumptions!$B$39</f>
        <v>0.0052</v>
      </c>
      <c r="E12" s="11" t="n">
        <f aca="false">C12*Assumptions!$B$40</f>
        <v>0.00312</v>
      </c>
      <c r="F12" s="27" t="n">
        <f aca="false">D12*Assumptions!$B$41</f>
        <v>0.00078</v>
      </c>
      <c r="G12" s="11" t="n">
        <f aca="false">E12+F12</f>
        <v>0.0039</v>
      </c>
      <c r="H12" s="11" t="n">
        <f aca="false">B12-G12</f>
        <v>0.0091</v>
      </c>
      <c r="I12" s="11" t="n">
        <f aca="false">Projection!E9</f>
        <v>0.0091</v>
      </c>
      <c r="J12" s="5" t="n">
        <f aca="false">H12-I12</f>
        <v>0</v>
      </c>
    </row>
    <row r="13" customFormat="false" ht="15" hidden="false" customHeight="true" outlineLevel="0" collapsed="false">
      <c r="A13" s="73" t="n">
        <v>7</v>
      </c>
      <c r="B13" s="11" t="n">
        <f aca="false">Projection!D10</f>
        <v>0.013</v>
      </c>
      <c r="C13" s="11" t="n">
        <f aca="false">B13*Assumptions!$B$38</f>
        <v>0.0078</v>
      </c>
      <c r="D13" s="11" t="n">
        <f aca="false">B13*Assumptions!$B$39</f>
        <v>0.0052</v>
      </c>
      <c r="E13" s="11" t="n">
        <f aca="false">C13*Assumptions!$B$40</f>
        <v>0.00312</v>
      </c>
      <c r="F13" s="27" t="n">
        <f aca="false">D13*Assumptions!$B$41</f>
        <v>0.00078</v>
      </c>
      <c r="G13" s="11" t="n">
        <f aca="false">E13+F13</f>
        <v>0.0039</v>
      </c>
      <c r="H13" s="11" t="n">
        <f aca="false">B13-G13</f>
        <v>0.0091</v>
      </c>
      <c r="I13" s="11" t="n">
        <f aca="false">Projection!E10</f>
        <v>0.0091</v>
      </c>
      <c r="J13" s="5" t="n">
        <f aca="false">H13-I13</f>
        <v>0</v>
      </c>
    </row>
    <row r="14" customFormat="false" ht="15" hidden="false" customHeight="true" outlineLevel="0" collapsed="false">
      <c r="A14" s="73" t="n">
        <v>8</v>
      </c>
      <c r="B14" s="11" t="n">
        <f aca="false">Projection!D11</f>
        <v>0.013</v>
      </c>
      <c r="C14" s="11" t="n">
        <f aca="false">B14*Assumptions!$B$38</f>
        <v>0.0078</v>
      </c>
      <c r="D14" s="11" t="n">
        <f aca="false">B14*Assumptions!$B$39</f>
        <v>0.0052</v>
      </c>
      <c r="E14" s="11" t="n">
        <f aca="false">C14*Assumptions!$B$40</f>
        <v>0.00312</v>
      </c>
      <c r="F14" s="27" t="n">
        <f aca="false">D14*Assumptions!$B$41</f>
        <v>0.00078</v>
      </c>
      <c r="G14" s="11" t="n">
        <f aca="false">E14+F14</f>
        <v>0.0039</v>
      </c>
      <c r="H14" s="11" t="n">
        <f aca="false">B14-G14</f>
        <v>0.0091</v>
      </c>
      <c r="I14" s="11" t="n">
        <f aca="false">Projection!E11</f>
        <v>0.0091</v>
      </c>
      <c r="J14" s="5" t="n">
        <f aca="false">H14-I14</f>
        <v>0</v>
      </c>
    </row>
    <row r="15" customFormat="false" ht="15" hidden="false" customHeight="true" outlineLevel="0" collapsed="false">
      <c r="A15" s="73" t="n">
        <v>9</v>
      </c>
      <c r="B15" s="11" t="n">
        <f aca="false">Projection!D12</f>
        <v>0.013</v>
      </c>
      <c r="C15" s="11" t="n">
        <f aca="false">B15*Assumptions!$B$38</f>
        <v>0.0078</v>
      </c>
      <c r="D15" s="11" t="n">
        <f aca="false">B15*Assumptions!$B$39</f>
        <v>0.0052</v>
      </c>
      <c r="E15" s="11" t="n">
        <f aca="false">C15*Assumptions!$B$40</f>
        <v>0.00312</v>
      </c>
      <c r="F15" s="27" t="n">
        <f aca="false">D15*Assumptions!$B$41</f>
        <v>0.00078</v>
      </c>
      <c r="G15" s="11" t="n">
        <f aca="false">E15+F15</f>
        <v>0.0039</v>
      </c>
      <c r="H15" s="11" t="n">
        <f aca="false">B15-G15</f>
        <v>0.0091</v>
      </c>
      <c r="I15" s="11" t="n">
        <f aca="false">Projection!E12</f>
        <v>0.0091</v>
      </c>
      <c r="J15" s="5" t="n">
        <f aca="false">H15-I15</f>
        <v>0</v>
      </c>
    </row>
    <row r="16" customFormat="false" ht="15" hidden="false" customHeight="true" outlineLevel="0" collapsed="false">
      <c r="A16" s="74" t="n">
        <v>10</v>
      </c>
      <c r="B16" s="11" t="n">
        <f aca="false">Projection!D13</f>
        <v>0.013</v>
      </c>
      <c r="C16" s="11" t="n">
        <f aca="false">B16*Assumptions!$B$38</f>
        <v>0.0078</v>
      </c>
      <c r="D16" s="11" t="n">
        <f aca="false">B16*Assumptions!$B$39</f>
        <v>0.0052</v>
      </c>
      <c r="E16" s="11" t="n">
        <f aca="false">C16*Assumptions!$B$40</f>
        <v>0.00312</v>
      </c>
      <c r="F16" s="27" t="n">
        <f aca="false">D16*Assumptions!$B$41</f>
        <v>0.00078</v>
      </c>
      <c r="G16" s="11" t="n">
        <f aca="false">E16+F16</f>
        <v>0.0039</v>
      </c>
      <c r="H16" s="11" t="n">
        <f aca="false">B16-G16</f>
        <v>0.0091</v>
      </c>
      <c r="I16" s="11" t="n">
        <f aca="false">Projection!E13</f>
        <v>0.0091</v>
      </c>
      <c r="J16" s="5" t="n">
        <f aca="false">H16-I16</f>
        <v>0</v>
      </c>
    </row>
    <row r="17" customFormat="false" ht="15" hidden="false" customHeight="true" outlineLevel="0" collapsed="false">
      <c r="A17" s="74" t="n">
        <v>11</v>
      </c>
      <c r="B17" s="11" t="n">
        <f aca="false">Projection!D14</f>
        <v>0.013</v>
      </c>
      <c r="C17" s="11" t="n">
        <f aca="false">B17*Assumptions!$B$38</f>
        <v>0.0078</v>
      </c>
      <c r="D17" s="11" t="n">
        <f aca="false">B17*Assumptions!$B$39</f>
        <v>0.0052</v>
      </c>
      <c r="E17" s="11" t="n">
        <f aca="false">C17*Assumptions!$B$40</f>
        <v>0.00312</v>
      </c>
      <c r="F17" s="27" t="n">
        <f aca="false">D17*Assumptions!$B$41</f>
        <v>0.00078</v>
      </c>
      <c r="G17" s="11" t="n">
        <f aca="false">E17+F17</f>
        <v>0.0039</v>
      </c>
      <c r="H17" s="11" t="n">
        <f aca="false">B17-G17</f>
        <v>0.0091</v>
      </c>
      <c r="I17" s="11" t="n">
        <f aca="false">Projection!E14</f>
        <v>0.0091</v>
      </c>
      <c r="J17" s="5" t="n">
        <f aca="false">H17-I17</f>
        <v>0</v>
      </c>
    </row>
    <row r="18" customFormat="false" ht="15" hidden="false" customHeight="true" outlineLevel="0" collapsed="false">
      <c r="A18" s="74" t="n">
        <v>12</v>
      </c>
      <c r="B18" s="11" t="n">
        <f aca="false">Projection!D15</f>
        <v>0.013</v>
      </c>
      <c r="C18" s="11" t="n">
        <f aca="false">B18*Assumptions!$B$38</f>
        <v>0.0078</v>
      </c>
      <c r="D18" s="11" t="n">
        <f aca="false">B18*Assumptions!$B$39</f>
        <v>0.0052</v>
      </c>
      <c r="E18" s="11" t="n">
        <f aca="false">C18*Assumptions!$B$40</f>
        <v>0.00312</v>
      </c>
      <c r="F18" s="27" t="n">
        <f aca="false">D18*Assumptions!$B$41</f>
        <v>0.00078</v>
      </c>
      <c r="G18" s="11" t="n">
        <f aca="false">E18+F18</f>
        <v>0.0039</v>
      </c>
      <c r="H18" s="11" t="n">
        <f aca="false">B18-G18</f>
        <v>0.0091</v>
      </c>
      <c r="I18" s="11" t="n">
        <f aca="false">Projection!E15</f>
        <v>0.0091</v>
      </c>
      <c r="J18" s="5" t="n">
        <f aca="false">H18-I18</f>
        <v>0</v>
      </c>
    </row>
    <row r="19" customFormat="false" ht="15" hidden="false" customHeight="true" outlineLevel="0" collapsed="false">
      <c r="A19" s="74" t="n">
        <v>13</v>
      </c>
      <c r="B19" s="11" t="n">
        <f aca="false">Projection!D16</f>
        <v>0.013</v>
      </c>
      <c r="C19" s="11" t="n">
        <f aca="false">B19*Assumptions!$B$38</f>
        <v>0.0078</v>
      </c>
      <c r="D19" s="11" t="n">
        <f aca="false">B19*Assumptions!$B$39</f>
        <v>0.0052</v>
      </c>
      <c r="E19" s="11" t="n">
        <f aca="false">C19*Assumptions!$B$40</f>
        <v>0.00312</v>
      </c>
      <c r="F19" s="27" t="n">
        <f aca="false">D19*Assumptions!$B$41</f>
        <v>0.00078</v>
      </c>
      <c r="G19" s="11" t="n">
        <f aca="false">E19+F19</f>
        <v>0.0039</v>
      </c>
      <c r="H19" s="11" t="n">
        <f aca="false">B19-G19</f>
        <v>0.0091</v>
      </c>
      <c r="I19" s="11" t="n">
        <f aca="false">Projection!E16</f>
        <v>0.0091</v>
      </c>
      <c r="J19" s="5" t="n">
        <f aca="false">H19-I19</f>
        <v>0</v>
      </c>
    </row>
    <row r="20" customFormat="false" ht="15" hidden="false" customHeight="true" outlineLevel="0" collapsed="false">
      <c r="A20" s="74" t="n">
        <v>14</v>
      </c>
      <c r="B20" s="11" t="n">
        <f aca="false">Projection!D17</f>
        <v>0.013</v>
      </c>
      <c r="C20" s="11" t="n">
        <f aca="false">B20*Assumptions!$B$38</f>
        <v>0.0078</v>
      </c>
      <c r="D20" s="11" t="n">
        <f aca="false">B20*Assumptions!$B$39</f>
        <v>0.0052</v>
      </c>
      <c r="E20" s="11" t="n">
        <f aca="false">C20*Assumptions!$B$40</f>
        <v>0.00312</v>
      </c>
      <c r="F20" s="27" t="n">
        <f aca="false">D20*Assumptions!$B$41</f>
        <v>0.00078</v>
      </c>
      <c r="G20" s="11" t="n">
        <f aca="false">E20+F20</f>
        <v>0.0039</v>
      </c>
      <c r="H20" s="11" t="n">
        <f aca="false">B20-G20</f>
        <v>0.0091</v>
      </c>
      <c r="I20" s="11" t="n">
        <f aca="false">Projection!E17</f>
        <v>0.0091</v>
      </c>
      <c r="J20" s="5" t="n">
        <f aca="false">H20-I20</f>
        <v>0</v>
      </c>
    </row>
    <row r="21" customFormat="false" ht="15" hidden="false" customHeight="true" outlineLevel="0" collapsed="false">
      <c r="A21" s="74" t="n">
        <v>15</v>
      </c>
      <c r="B21" s="11" t="n">
        <f aca="false">Projection!D18</f>
        <v>0.013</v>
      </c>
      <c r="C21" s="11" t="n">
        <f aca="false">B21*Assumptions!$B$38</f>
        <v>0.0078</v>
      </c>
      <c r="D21" s="11" t="n">
        <f aca="false">B21*Assumptions!$B$39</f>
        <v>0.0052</v>
      </c>
      <c r="E21" s="11" t="n">
        <f aca="false">C21*Assumptions!$B$40</f>
        <v>0.00312</v>
      </c>
      <c r="F21" s="27" t="n">
        <f aca="false">D21*Assumptions!$B$41</f>
        <v>0.00078</v>
      </c>
      <c r="G21" s="11" t="n">
        <f aca="false">E21+F21</f>
        <v>0.0039</v>
      </c>
      <c r="H21" s="11" t="n">
        <f aca="false">B21-G21</f>
        <v>0.0091</v>
      </c>
      <c r="I21" s="11" t="n">
        <f aca="false">Projection!E18</f>
        <v>0.0091</v>
      </c>
      <c r="J21" s="5" t="n">
        <f aca="false">H21-I21</f>
        <v>0</v>
      </c>
    </row>
    <row r="23" customFormat="false" ht="15" hidden="false" customHeight="true" outlineLevel="0" collapsed="false">
      <c r="A23" s="1" t="s">
        <v>2249</v>
      </c>
      <c r="B23" s="5" t="n">
        <f aca="false">SUMPRODUCT(MAX(ABS(J7:J21)))</f>
        <v>0</v>
      </c>
    </row>
    <row r="24" customFormat="false" ht="15" hidden="false" customHeight="true" outlineLevel="0" collapsed="false">
      <c r="A24" s="1" t="s">
        <v>2250</v>
      </c>
      <c r="B24" s="11" t="n">
        <f aca="false">G7/B7</f>
        <v>0.3</v>
      </c>
    </row>
    <row r="25" customFormat="false" ht="15" hidden="false" customHeight="true" outlineLevel="0" collapsed="false">
      <c r="A25" s="1" t="s">
        <v>2251</v>
      </c>
      <c r="B25" s="11" t="n">
        <f aca="false">Assumptions!B20</f>
        <v>0.3</v>
      </c>
    </row>
    <row r="26" customFormat="false" ht="15" hidden="false" customHeight="true" outlineLevel="0" collapsed="false">
      <c r="A26" s="1" t="s">
        <v>458</v>
      </c>
      <c r="B26" s="5" t="str">
        <f aca="false">IF(AND(B23&lt;0.0000001,ABS(B24-B25)&lt;0.0000001),"PASS — 30% credit is derived, not assumed","FAIL")</f>
        <v>PASS — 30% credit is derived, not assumed</v>
      </c>
    </row>
    <row r="28" customFormat="false" ht="15" hidden="false" customHeight="true" outlineLevel="0" collapsed="false">
      <c r="A28" s="1" t="s">
        <v>2252</v>
      </c>
    </row>
    <row r="29" customFormat="false" ht="15" hidden="false" customHeight="true" outlineLevel="0" collapsed="false">
      <c r="A29" s="1" t="s">
        <v>2253</v>
      </c>
    </row>
    <row r="30" customFormat="false" ht="15" hidden="false" customHeight="true" outlineLevel="0" collapsed="false">
      <c r="A30" s="1" t="s">
        <v>2254</v>
      </c>
      <c r="B30" s="12" t="n">
        <f aca="false">Pricing!B14*Pricing!B7*(1-Pricing!B12-Pricing!B11)</f>
        <v>108306.763507006</v>
      </c>
    </row>
    <row r="31" customFormat="false" ht="15" hidden="false" customHeight="true" outlineLevel="0" collapsed="false">
      <c r="A31" s="1" t="s">
        <v>2255</v>
      </c>
      <c r="B31" s="12" t="n">
        <f aca="false">Pricing!B8+Pricing!B9</f>
        <v>108306.763507006</v>
      </c>
    </row>
    <row r="32" customFormat="false" ht="15" hidden="false" customHeight="true" outlineLevel="0" collapsed="false">
      <c r="A32" s="1" t="s">
        <v>2256</v>
      </c>
      <c r="B32" s="5" t="n">
        <f aca="false">B30-B31</f>
        <v>0</v>
      </c>
    </row>
    <row r="33" customFormat="false" ht="15" hidden="false" customHeight="true" outlineLevel="0" collapsed="false">
      <c r="A33" s="1" t="s">
        <v>458</v>
      </c>
      <c r="B33" s="5" t="str">
        <f aca="false">IF(ABS(B32)&lt;0.01,"PASS — premium solves the equivalence exactly","FAIL")</f>
        <v>PASS — premium solves the equivalence exactly</v>
      </c>
    </row>
    <row r="35" customFormat="false" ht="15" hidden="false" customHeight="true" outlineLevel="0" collapsed="false">
      <c r="A35" s="1" t="s">
        <v>2257</v>
      </c>
    </row>
    <row r="36" customFormat="false" ht="15" hidden="false" customHeight="true" outlineLevel="0" collapsed="false">
      <c r="A36" s="1" t="s">
        <v>2258</v>
      </c>
    </row>
    <row r="37" customFormat="false" ht="15" hidden="false" customHeight="true" outlineLevel="0" collapsed="false">
      <c r="A37" s="1" t="s">
        <v>2259</v>
      </c>
      <c r="B37" s="12" t="n">
        <f aca="false">Pricing!B14*Pricing!B7</f>
        <v>130442.419492224</v>
      </c>
    </row>
    <row r="38" customFormat="false" ht="15" hidden="false" customHeight="true" outlineLevel="0" collapsed="false">
      <c r="A38" s="1" t="s">
        <v>2260</v>
      </c>
      <c r="B38" s="12" t="n">
        <f aca="false">Assumptions!B13*B37</f>
        <v>3913.27258476671</v>
      </c>
    </row>
    <row r="39" customFormat="false" ht="15" hidden="false" customHeight="true" outlineLevel="0" collapsed="false">
      <c r="A39" s="1" t="s">
        <v>2261</v>
      </c>
      <c r="B39" s="12" t="n">
        <f aca="false">Pricing!B11*B37</f>
        <v>18222.3834004509</v>
      </c>
    </row>
    <row r="40" customFormat="false" ht="15" hidden="false" customHeight="true" outlineLevel="0" collapsed="false">
      <c r="A40" s="1" t="s">
        <v>2262</v>
      </c>
      <c r="B40" s="12" t="n">
        <f aca="false">Pricing!B14*(Assumptions!B14*Pricing!B10+Assumptions!B15*(Pricing!B5-Pricing!B10))</f>
        <v>18222.3834004509</v>
      </c>
    </row>
    <row r="41" customFormat="false" ht="15" hidden="false" customHeight="true" outlineLevel="0" collapsed="false">
      <c r="A41" s="1" t="s">
        <v>2263</v>
      </c>
      <c r="B41" s="12" t="n">
        <f aca="false">B38+B39-B40</f>
        <v>3913.2725847667</v>
      </c>
    </row>
    <row r="42" customFormat="false" ht="15" hidden="false" customHeight="true" outlineLevel="0" collapsed="false">
      <c r="A42" s="1" t="s">
        <v>2264</v>
      </c>
      <c r="B42" s="12" t="n">
        <f aca="false">OwnFunds_SCR!B7</f>
        <v>3913.27258476668</v>
      </c>
    </row>
    <row r="43" customFormat="false" ht="15" hidden="false" customHeight="true" outlineLevel="0" collapsed="false">
      <c r="A43" s="1" t="s">
        <v>2256</v>
      </c>
      <c r="B43" s="5" t="n">
        <f aca="false">B41-B42</f>
        <v>1.90993887372315E-011</v>
      </c>
    </row>
    <row r="44" customFormat="false" ht="15" hidden="false" customHeight="true" outlineLevel="0" collapsed="false">
      <c r="A44" s="1" t="s">
        <v>458</v>
      </c>
      <c r="B44" s="5" t="str">
        <f aca="false">IF(ABS(B43)&lt;0.05,"PASS — balance sheet consistent with the premium basis","FAIL")</f>
        <v>PASS — balance sheet consistent with the premium basis</v>
      </c>
    </row>
    <row r="46" customFormat="false" ht="15" hidden="false" customHeight="true" outlineLevel="0" collapsed="false">
      <c r="A46" s="1" t="s">
        <v>2265</v>
      </c>
    </row>
    <row r="47" customFormat="false" ht="15" hidden="false" customHeight="true" outlineLevel="0" collapsed="false">
      <c r="A47" s="1" t="str">
        <f aca="false">"PV at the level-equivalent factor of "&amp;TEXT(Pricing!B11,"0.0000%")&amp;" of all premiums (€)"</f>
        <v>PV at the level-equivalent factor of 13.9697% of all premiums (€)</v>
      </c>
      <c r="B47" s="12" t="n">
        <f aca="false">Pricing!B11*Pricing!B5*Pricing!B14</f>
        <v>18222.3834004509</v>
      </c>
    </row>
    <row r="48" customFormat="false" ht="15" hidden="false" customHeight="true" outlineLevel="0" collapsed="false">
      <c r="A48" s="1" t="s">
        <v>2266</v>
      </c>
      <c r="B48" s="12" t="n">
        <f aca="false">B40</f>
        <v>18222.3834004509</v>
      </c>
    </row>
    <row r="49" customFormat="false" ht="15" hidden="false" customHeight="true" outlineLevel="0" collapsed="false">
      <c r="A49" s="1" t="s">
        <v>2256</v>
      </c>
      <c r="B49" s="5" t="n">
        <f aca="false">B47-B48</f>
        <v>0</v>
      </c>
    </row>
    <row r="50" customFormat="false" ht="15" hidden="false" customHeight="true" outlineLevel="0" collapsed="false">
      <c r="A50" s="1" t="s">
        <v>458</v>
      </c>
      <c r="B50" s="5" t="str">
        <f aca="false">IF(ABS(B49)&lt;0.01,"PASS — present values identical. Timing is NOT immaterial at intermediate dates: both sides of the balance sheet must use the same schedule, and now do.","FAIL")</f>
        <v>PASS — present values identical. Timing is NOT immaterial at intermediate dates: both sides of the balance sheet must use the same schedule, and now do.</v>
      </c>
    </row>
    <row r="52" customFormat="false" ht="15" hidden="false" customHeight="true" outlineLevel="0" collapsed="false">
      <c r="A52" s="1" t="s">
        <v>2267</v>
      </c>
    </row>
    <row r="53" customFormat="false" ht="15" hidden="false" customHeight="true" outlineLevel="0" collapsed="false">
      <c r="A53" s="1" t="s">
        <v>2268</v>
      </c>
      <c r="B53" s="12" t="n">
        <f aca="false">Pricing!B14*Pricing!B6</f>
        <v>9426.57982445535</v>
      </c>
    </row>
    <row r="54" customFormat="false" ht="15" hidden="false" customHeight="true" outlineLevel="0" collapsed="false">
      <c r="A54" s="1" t="s">
        <v>2269</v>
      </c>
      <c r="B54" s="12" t="n">
        <f aca="false">B53*(1-Pricing!B11)</f>
        <v>8109.71716286986</v>
      </c>
    </row>
    <row r="55" customFormat="false" ht="15" hidden="false" customHeight="true" outlineLevel="0" collapsed="false">
      <c r="A55" s="1" t="s">
        <v>2270</v>
      </c>
      <c r="B55" s="12" t="n">
        <f aca="false">-(B53-B54)</f>
        <v>-1316.86266158549</v>
      </c>
    </row>
    <row r="56" customFormat="false" ht="15" hidden="false" customHeight="true" outlineLevel="0" collapsed="false">
      <c r="A56" s="1" t="s">
        <v>2271</v>
      </c>
      <c r="B56" s="5" t="n">
        <f aca="false">Pricing!B14*SUMIFS(Projection!$J$4:$J$59,Projection!$B$4:$B$59,"&gt;="&amp;Assumptions!$B$5)/Discount!C19</f>
        <v>0</v>
      </c>
    </row>
    <row r="57" customFormat="false" ht="15" hidden="false" customHeight="true" outlineLevel="0" collapsed="false">
      <c r="A57" s="1" t="s">
        <v>458</v>
      </c>
      <c r="B57" s="5" t="str">
        <f aca="false">IF(ABS(B56)&lt;0.01,"Pre-vesting only — no forfeiture remains at vesting, so cannot move the binding requirement","review")</f>
        <v>Pre-vesting only — no forfeiture remains at vesting, so cannot move the binding requirement</v>
      </c>
    </row>
    <row r="59" customFormat="false" ht="15" hidden="false" customHeight="true" outlineLevel="0" collapsed="false">
      <c r="A59" s="1" t="s">
        <v>2272</v>
      </c>
    </row>
    <row r="60" customFormat="false" ht="15" hidden="false" customHeight="true" outlineLevel="0" collapsed="false">
      <c r="A60" s="1" t="s">
        <v>2273</v>
      </c>
    </row>
    <row r="61" customFormat="false" ht="15" hidden="false" customHeight="true" outlineLevel="0" collapsed="false">
      <c r="A61" s="1" t="s">
        <v>2274</v>
      </c>
    </row>
    <row r="62" customFormat="false" ht="15" hidden="false" customHeight="true" outlineLevel="0" collapsed="false">
      <c r="A62" s="1" t="s">
        <v>2275</v>
      </c>
    </row>
    <row r="63" customFormat="false" ht="15" hidden="false" customHeight="true" outlineLevel="0" collapsed="false">
      <c r="A63" s="1" t="s">
        <v>2276</v>
      </c>
    </row>
    <row r="64" customFormat="false" ht="15" hidden="false" customHeight="true" outlineLevel="0" collapsed="false"/>
    <row r="65" customFormat="false" ht="15" hidden="false" customHeight="true" outlineLevel="0" collapsed="false">
      <c r="A65" s="1" t="s">
        <v>2277</v>
      </c>
      <c r="B65" s="5" t="n">
        <f aca="false">SUMPRODUCT(MAX(ABS(K101:K156)))</f>
        <v>0</v>
      </c>
    </row>
    <row r="66" customFormat="false" ht="15" hidden="false" customHeight="true" outlineLevel="0" collapsed="false">
      <c r="A66" s="1" t="s">
        <v>458</v>
      </c>
      <c r="B66" s="5" t="str">
        <f aca="false">IF(B65&lt;0.000000001,"PASS — the two decrement recursions agree at every age","FAIL")</f>
        <v>PASS — the two decrement recursions agree at every age</v>
      </c>
    </row>
    <row r="67" customFormat="false" ht="15" hidden="false" customHeight="true" outlineLevel="0" collapsed="false"/>
    <row r="68" customFormat="false" ht="15" hidden="false" customHeight="true" outlineLevel="0" collapsed="false"/>
    <row r="69" customFormat="false" ht="15" hidden="false" customHeight="true" outlineLevel="0" collapsed="false"/>
    <row r="70" customFormat="false" ht="15" hidden="false" customHeight="true" outlineLevel="0" collapsed="false">
      <c r="A70" s="1" t="s">
        <v>2278</v>
      </c>
    </row>
    <row r="71" customFormat="false" ht="15" hidden="false" customHeight="true" outlineLevel="0" collapsed="false">
      <c r="A71" s="1" t="s">
        <v>2279</v>
      </c>
      <c r="B71" s="48" t="n">
        <f aca="false">100/Discount!C19</f>
        <v>158.242181792454</v>
      </c>
    </row>
    <row r="72" customFormat="false" ht="15" hidden="false" customHeight="true" outlineLevel="0" collapsed="false">
      <c r="A72" s="1" t="s">
        <v>2280</v>
      </c>
      <c r="B72" s="48" t="n">
        <f aca="false">100*Discount!C19</f>
        <v>63.1942752983253</v>
      </c>
    </row>
    <row r="73" customFormat="false" ht="15" hidden="false" customHeight="true" outlineLevel="0" collapsed="false">
      <c r="A73" s="1" t="s">
        <v>458</v>
      </c>
      <c r="B73" s="5" t="str">
        <f aca="false">IF(B71&gt;100,"PASS — premiums accumulate forward at 1/DF","FAIL — roll-forward inverted")</f>
        <v>PASS — premiums accumulate forward at 1/DF</v>
      </c>
    </row>
    <row r="74" customFormat="false" ht="15" hidden="false" customHeight="true" outlineLevel="0" collapsed="false">
      <c r="A74" s="1" t="s">
        <v>2281</v>
      </c>
      <c r="B74" s="48" t="n">
        <f aca="false">Trajectory!B176</f>
        <v>175975.362518548</v>
      </c>
    </row>
    <row r="75" customFormat="false" ht="15" hidden="false" customHeight="true" outlineLevel="0" collapsed="false">
      <c r="A75" s="7" t="s">
        <v>2282</v>
      </c>
      <c r="B75" s="12" t="n">
        <f aca="false">ANAV!E5</f>
        <v>175975.362518548</v>
      </c>
    </row>
    <row r="76" customFormat="false" ht="15" hidden="false" customHeight="true" outlineLevel="0" collapsed="false">
      <c r="A76" s="1" t="s">
        <v>2283</v>
      </c>
      <c r="B76" s="12" t="n">
        <f aca="false">ANAV!B10</f>
        <v>135162.211330771</v>
      </c>
    </row>
    <row r="77" customFormat="false" ht="15" hidden="false" customHeight="true" outlineLevel="0" collapsed="false">
      <c r="A77" s="3" t="s">
        <v>458</v>
      </c>
      <c r="B77" s="28" t="str">
        <f aca="false">IF(B74&gt;=B76,"PASS — fund exceeds net cash received","FAIL — fund below net cash paid in")</f>
        <v>PASS — fund exceeds net cash received</v>
      </c>
    </row>
    <row r="78" customFormat="false" ht="15" hidden="false" customHeight="true" outlineLevel="0" collapsed="false">
      <c r="A78" s="7" t="s">
        <v>2284</v>
      </c>
    </row>
    <row r="79" customFormat="false" ht="15" hidden="false" customHeight="true" outlineLevel="0" collapsed="false">
      <c r="A79" s="1" t="s">
        <v>2285</v>
      </c>
    </row>
    <row r="80" customFormat="false" ht="15" hidden="false" customHeight="true" outlineLevel="0" collapsed="false">
      <c r="A80" s="1" t="s">
        <v>2286</v>
      </c>
      <c r="B80" s="27" t="n">
        <f aca="false">Projection!F59</f>
        <v>1.93576003719086E-006</v>
      </c>
    </row>
    <row r="81" customFormat="false" ht="15" hidden="false" customHeight="true" outlineLevel="0" collapsed="false">
      <c r="A81" s="1" t="s">
        <v>2287</v>
      </c>
      <c r="B81" s="11" t="n">
        <f aca="false">Projection!K59</f>
        <v>0.0160881505778226</v>
      </c>
    </row>
    <row r="82" customFormat="false" ht="15" hidden="false" customHeight="true" outlineLevel="0" collapsed="false">
      <c r="A82" s="1" t="s">
        <v>2288</v>
      </c>
      <c r="B82" s="27" t="n">
        <f aca="false">Projection!F59*(1-Projection!C59)</f>
        <v>7.58921755253399E-007</v>
      </c>
    </row>
    <row r="83" customFormat="false" ht="15" hidden="false" customHeight="true" outlineLevel="0" collapsed="false">
      <c r="A83" s="1" t="s">
        <v>458</v>
      </c>
      <c r="B83" s="5" t="str">
        <f aca="false">IF(B81&lt;1,"PASS — truncated residual under €1 per policy; horizon immaterial","review")</f>
        <v>PASS — truncated residual under €1 per policy; horizon immaterial</v>
      </c>
    </row>
    <row r="84" customFormat="false" ht="15" hidden="false" customHeight="true" outlineLevel="0" collapsed="false"/>
    <row r="85" customFormat="false" ht="15" hidden="false" customHeight="true" outlineLevel="0" collapsed="false">
      <c r="A85" s="1" t="s">
        <v>2289</v>
      </c>
    </row>
    <row r="86" customFormat="false" ht="15" hidden="false" customHeight="true" outlineLevel="0" collapsed="false">
      <c r="A86" s="1" t="s">
        <v>2290</v>
      </c>
      <c r="B86" s="48" t="n">
        <f aca="false">COUNT(Mortality!D6:D60)</f>
        <v>55</v>
      </c>
    </row>
    <row r="87" customFormat="false" ht="15" hidden="false" customHeight="true" outlineLevel="0" collapsed="false">
      <c r="A87" s="1" t="s">
        <v>2291</v>
      </c>
      <c r="B87" s="11" t="n">
        <f aca="false">COUNTIF(Mortality!E5:E60,"NON-MONOTONE")</f>
        <v>2</v>
      </c>
    </row>
    <row r="88" customFormat="false" ht="15" hidden="false" customHeight="true" outlineLevel="0" collapsed="false">
      <c r="A88" s="1" t="s">
        <v>2292</v>
      </c>
      <c r="B88" s="48" t="n">
        <f aca="false">INDEX(Mortality!A5:A60,MATCH("NON-MONOTONE",Mortality!E5:E60,0))</f>
        <v>104</v>
      </c>
    </row>
    <row r="89" customFormat="false" ht="15" hidden="false" customHeight="true" outlineLevel="0" collapsed="false">
      <c r="A89" s="1" t="s">
        <v>2293</v>
      </c>
      <c r="B89" s="48" t="n">
        <f aca="false">INDEX(Mortality!A5:A60,MATCH("NON-MONOTONE",Mortality!E5:E60,0)+1)</f>
        <v>105</v>
      </c>
    </row>
    <row r="90" customFormat="false" ht="15" hidden="false" customHeight="true" outlineLevel="0" collapsed="false">
      <c r="A90" s="1" t="s">
        <v>488</v>
      </c>
      <c r="B90" s="5" t="str">
        <f aca="false">IF(B87=0,"No anomaly","Splice anomaly at ages "&amp;B88&amp;"–"&amp;B89&amp;" — retained as published (conservative); set Assumptions!B42=1 to graduate")</f>
        <v>Splice anomaly at ages 104–105 — retained as published (conservative); set Assumptions!B42=1 to graduate</v>
      </c>
    </row>
    <row r="91" customFormat="false" ht="15" hidden="false" customHeight="true" outlineLevel="0" collapsed="false">
      <c r="A91" s="1" t="s">
        <v>2294</v>
      </c>
      <c r="B91" s="48" t="n">
        <f aca="false">SUMIFS(Projection!$K$4:$K$59,Projection!$B$4:$B$59,"&gt;="&amp;106)/Discount!C19</f>
        <v>805.712757237884</v>
      </c>
    </row>
    <row r="92" customFormat="false" ht="15" hidden="false" customHeight="true" outlineLevel="0" collapsed="false"/>
    <row r="93" customFormat="false" ht="15" hidden="false" customHeight="true" outlineLevel="0" collapsed="false">
      <c r="A93" s="1" t="s">
        <v>2295</v>
      </c>
    </row>
    <row r="94" customFormat="false" ht="15" hidden="false" customHeight="true" outlineLevel="0" collapsed="false">
      <c r="A94" s="1" t="s">
        <v>2296</v>
      </c>
      <c r="B94" s="12" t="n">
        <f aca="false">Pricing!B14</f>
        <v>12316.0657114102</v>
      </c>
    </row>
    <row r="95" customFormat="false" ht="15" hidden="false" customHeight="true" outlineLevel="0" collapsed="false">
      <c r="A95" s="1" t="s">
        <v>2297</v>
      </c>
      <c r="B95" s="5" t="n">
        <f aca="false">Assumptions!B42</f>
        <v>0</v>
      </c>
    </row>
    <row r="96" customFormat="false" ht="15" hidden="false" customHeight="true" outlineLevel="0" collapsed="false">
      <c r="A96" s="1" t="s">
        <v>2298</v>
      </c>
    </row>
    <row r="97" customFormat="false" ht="15" hidden="false" customHeight="true" outlineLevel="0" collapsed="false">
      <c r="A97" s="1" t="s">
        <v>2299</v>
      </c>
    </row>
    <row r="98" customFormat="false" ht="15" hidden="false" customHeight="true" outlineLevel="0" collapsed="false"/>
    <row r="100" customFormat="false" ht="15" hidden="false" customHeight="true" outlineLevel="0" collapsed="false">
      <c r="G100" s="1" t="s">
        <v>650</v>
      </c>
      <c r="H100" s="1" t="s">
        <v>2300</v>
      </c>
      <c r="I100" s="1" t="s">
        <v>2301</v>
      </c>
      <c r="J100" s="1" t="s">
        <v>2302</v>
      </c>
      <c r="K100" s="1" t="s">
        <v>2248</v>
      </c>
    </row>
    <row r="101" customFormat="false" ht="15" hidden="false" customHeight="true" outlineLevel="0" collapsed="false">
      <c r="G101" s="74" t="n">
        <v>65</v>
      </c>
      <c r="H101" s="73" t="n">
        <v>1</v>
      </c>
      <c r="I101" s="11" t="n">
        <f aca="false">Projection!G4*H101</f>
        <v>1</v>
      </c>
      <c r="J101" s="11" t="n">
        <f aca="false">Projection!F4</f>
        <v>1</v>
      </c>
      <c r="K101" s="5" t="n">
        <f aca="false">I101-J101</f>
        <v>0</v>
      </c>
    </row>
    <row r="102" customFormat="false" ht="15" hidden="false" customHeight="true" outlineLevel="0" collapsed="false">
      <c r="G102" s="74" t="n">
        <v>66</v>
      </c>
      <c r="H102" s="11" t="n">
        <f aca="false">H101*(1-Projection!E4)</f>
        <v>0.9594</v>
      </c>
      <c r="I102" s="11" t="n">
        <f aca="false">Projection!G5*H102</f>
        <v>0.954429784274803</v>
      </c>
      <c r="J102" s="11" t="n">
        <f aca="false">Projection!F5</f>
        <v>0.954429784274803</v>
      </c>
      <c r="K102" s="5" t="n">
        <f aca="false">I102-J102</f>
        <v>0</v>
      </c>
    </row>
    <row r="103" customFormat="false" ht="15" hidden="false" customHeight="true" outlineLevel="0" collapsed="false">
      <c r="G103" s="74" t="n">
        <v>67</v>
      </c>
      <c r="H103" s="11" t="n">
        <f aca="false">H102*(1-Projection!E5)</f>
        <v>0.93858102</v>
      </c>
      <c r="I103" s="11" t="n">
        <f aca="false">Projection!G6*H103</f>
        <v>0.928451921141693</v>
      </c>
      <c r="J103" s="11" t="n">
        <f aca="false">Projection!F6</f>
        <v>0.928451921141693</v>
      </c>
      <c r="K103" s="5" t="n">
        <f aca="false">I103-J103</f>
        <v>0</v>
      </c>
    </row>
    <row r="104" customFormat="false" ht="15" hidden="false" customHeight="true" outlineLevel="0" collapsed="false">
      <c r="G104" s="74" t="n">
        <v>68</v>
      </c>
      <c r="H104" s="11" t="n">
        <f aca="false">H103*(1-Projection!E6)</f>
        <v>0.926097892434</v>
      </c>
      <c r="I104" s="11" t="n">
        <f aca="false">Projection!G7*H104</f>
        <v>0.910458495120298</v>
      </c>
      <c r="J104" s="11" t="n">
        <f aca="false">Projection!F7</f>
        <v>0.910458495120298</v>
      </c>
      <c r="K104" s="5" t="n">
        <f aca="false">I104-J104</f>
        <v>0</v>
      </c>
    </row>
    <row r="105" customFormat="false" ht="15" hidden="false" customHeight="true" outlineLevel="0" collapsed="false">
      <c r="G105" s="74" t="n">
        <v>69</v>
      </c>
      <c r="H105" s="11" t="n">
        <f aca="false">H104*(1-Projection!E7)</f>
        <v>0.913780790464628</v>
      </c>
      <c r="I105" s="11" t="n">
        <f aca="false">Projection!G8*H105</f>
        <v>0.89228176534528</v>
      </c>
      <c r="J105" s="11" t="n">
        <f aca="false">Projection!F8</f>
        <v>0.89228176534528</v>
      </c>
      <c r="K105" s="5" t="n">
        <f aca="false">I105-J105</f>
        <v>0</v>
      </c>
    </row>
    <row r="106" customFormat="false" ht="15" hidden="false" customHeight="true" outlineLevel="0" collapsed="false">
      <c r="G106" s="74" t="n">
        <v>70</v>
      </c>
      <c r="H106" s="11" t="n">
        <f aca="false">H105*(1-Projection!E8)</f>
        <v>0.901627505951448</v>
      </c>
      <c r="I106" s="11" t="n">
        <f aca="false">Projection!G9*H106</f>
        <v>0.873874922230056</v>
      </c>
      <c r="J106" s="11" t="n">
        <f aca="false">Projection!F9</f>
        <v>0.873874922230056</v>
      </c>
      <c r="K106" s="5" t="n">
        <f aca="false">I106-J106</f>
        <v>0</v>
      </c>
    </row>
    <row r="107" customFormat="false" ht="15" hidden="false" customHeight="true" outlineLevel="0" collapsed="false">
      <c r="G107" s="74" t="n">
        <v>71</v>
      </c>
      <c r="H107" s="11" t="n">
        <f aca="false">H106*(1-Projection!E9)</f>
        <v>0.89342269564729</v>
      </c>
      <c r="I107" s="11" t="n">
        <f aca="false">Projection!G10*H107</f>
        <v>0.858567656672851</v>
      </c>
      <c r="J107" s="11" t="n">
        <f aca="false">Projection!F10</f>
        <v>0.858567656672851</v>
      </c>
      <c r="K107" s="5" t="n">
        <f aca="false">I107-J107</f>
        <v>0</v>
      </c>
    </row>
    <row r="108" customFormat="false" ht="15" hidden="false" customHeight="true" outlineLevel="0" collapsed="false">
      <c r="G108" s="74" t="n">
        <v>72</v>
      </c>
      <c r="H108" s="11" t="n">
        <f aca="false">H107*(1-Projection!E10)</f>
        <v>0.8852925491169</v>
      </c>
      <c r="I108" s="11" t="n">
        <f aca="false">Projection!G11*H108</f>
        <v>0.84276021626017</v>
      </c>
      <c r="J108" s="11" t="n">
        <f aca="false">Projection!F11</f>
        <v>0.84276021626017</v>
      </c>
      <c r="K108" s="5" t="n">
        <f aca="false">I108-J108</f>
        <v>0</v>
      </c>
    </row>
    <row r="109" customFormat="false" ht="15" hidden="false" customHeight="true" outlineLevel="0" collapsed="false">
      <c r="G109" s="74" t="n">
        <v>73</v>
      </c>
      <c r="H109" s="11" t="n">
        <f aca="false">H108*(1-Projection!E11)</f>
        <v>0.877236386919936</v>
      </c>
      <c r="I109" s="11" t="n">
        <f aca="false">Projection!G12*H109</f>
        <v>0.826387919730429</v>
      </c>
      <c r="J109" s="11" t="n">
        <f aca="false">Projection!F12</f>
        <v>0.826387919730429</v>
      </c>
      <c r="K109" s="5" t="n">
        <f aca="false">I109-J109</f>
        <v>0</v>
      </c>
    </row>
    <row r="110" customFormat="false" ht="15" hidden="false" customHeight="true" outlineLevel="0" collapsed="false">
      <c r="G110" s="74" t="n">
        <v>74</v>
      </c>
      <c r="H110" s="11" t="n">
        <f aca="false">H109*(1-Projection!E12)</f>
        <v>0.869253535798965</v>
      </c>
      <c r="I110" s="11" t="n">
        <f aca="false">Projection!G13*H110</f>
        <v>0.809383922915231</v>
      </c>
      <c r="J110" s="11" t="n">
        <f aca="false">Projection!F13</f>
        <v>0.809383922915231</v>
      </c>
      <c r="K110" s="5" t="n">
        <f aca="false">I110-J110</f>
        <v>0</v>
      </c>
    </row>
    <row r="111" customFormat="false" ht="15" hidden="false" customHeight="true" outlineLevel="0" collapsed="false">
      <c r="G111" s="74" t="n">
        <v>75</v>
      </c>
      <c r="H111" s="11" t="n">
        <f aca="false">H110*(1-Projection!E13)</f>
        <v>0.861343328623194</v>
      </c>
      <c r="I111" s="11" t="n">
        <f aca="false">Projection!G14*H111</f>
        <v>0.791679736545108</v>
      </c>
      <c r="J111" s="11" t="n">
        <f aca="false">Projection!F14</f>
        <v>0.791679736545108</v>
      </c>
      <c r="K111" s="5" t="n">
        <f aca="false">I111-J111</f>
        <v>0</v>
      </c>
    </row>
    <row r="112" customFormat="false" ht="15" hidden="false" customHeight="true" outlineLevel="0" collapsed="false">
      <c r="G112" s="74" t="n">
        <v>76</v>
      </c>
      <c r="H112" s="11" t="n">
        <f aca="false">H111*(1-Projection!E14)</f>
        <v>0.853505104332723</v>
      </c>
      <c r="I112" s="11" t="n">
        <f aca="false">Projection!G15*H112</f>
        <v>0.77280380599472</v>
      </c>
      <c r="J112" s="11" t="n">
        <f aca="false">Projection!F15</f>
        <v>0.77280380599472</v>
      </c>
      <c r="K112" s="5" t="n">
        <f aca="false">I112-J112</f>
        <v>0</v>
      </c>
    </row>
    <row r="113" customFormat="false" ht="15" hidden="false" customHeight="true" outlineLevel="0" collapsed="false">
      <c r="G113" s="74" t="n">
        <v>77</v>
      </c>
      <c r="H113" s="11" t="n">
        <f aca="false">H112*(1-Projection!E15)</f>
        <v>0.845738207883295</v>
      </c>
      <c r="I113" s="11" t="n">
        <f aca="false">Projection!G16*H113</f>
        <v>0.753048807736933</v>
      </c>
      <c r="J113" s="11" t="n">
        <f aca="false">Projection!F16</f>
        <v>0.753048807736933</v>
      </c>
      <c r="K113" s="5" t="n">
        <f aca="false">I113-J113</f>
        <v>0</v>
      </c>
    </row>
    <row r="114" customFormat="false" ht="15" hidden="false" customHeight="true" outlineLevel="0" collapsed="false">
      <c r="G114" s="74" t="n">
        <v>78</v>
      </c>
      <c r="H114" s="11" t="n">
        <f aca="false">H113*(1-Projection!E16)</f>
        <v>0.838041990191557</v>
      </c>
      <c r="I114" s="11" t="n">
        <f aca="false">Projection!G17*H114</f>
        <v>0.732331393340358</v>
      </c>
      <c r="J114" s="11" t="n">
        <f aca="false">Projection!F17</f>
        <v>0.732331393340358</v>
      </c>
      <c r="K114" s="5" t="n">
        <f aca="false">I114-J114</f>
        <v>0</v>
      </c>
    </row>
    <row r="115" customFormat="false" ht="15" hidden="false" customHeight="true" outlineLevel="0" collapsed="false">
      <c r="G115" s="74" t="n">
        <v>79</v>
      </c>
      <c r="H115" s="11" t="n">
        <f aca="false">H114*(1-Projection!E17)</f>
        <v>0.830415808080814</v>
      </c>
      <c r="I115" s="11" t="n">
        <f aca="false">Projection!G18*H115</f>
        <v>0.710568694818408</v>
      </c>
      <c r="J115" s="11" t="n">
        <f aca="false">Projection!F18</f>
        <v>0.710568694818408</v>
      </c>
      <c r="K115" s="5" t="n">
        <f aca="false">I115-J115</f>
        <v>0</v>
      </c>
    </row>
    <row r="116" customFormat="false" ht="15" hidden="false" customHeight="true" outlineLevel="0" collapsed="false">
      <c r="G116" s="74" t="n">
        <v>80</v>
      </c>
      <c r="H116" s="11" t="n">
        <f aca="false">H115*(1-Projection!E18)</f>
        <v>0.822859024227278</v>
      </c>
      <c r="I116" s="11" t="n">
        <f aca="false">Projection!G19*H116</f>
        <v>0.687680981645694</v>
      </c>
      <c r="J116" s="11" t="n">
        <f aca="false">Projection!F19</f>
        <v>0.687680981645694</v>
      </c>
      <c r="K116" s="5" t="n">
        <f aca="false">I116-J116</f>
        <v>0</v>
      </c>
    </row>
    <row r="117" customFormat="false" ht="15" hidden="false" customHeight="true" outlineLevel="0" collapsed="false">
      <c r="G117" s="74" t="n">
        <v>81</v>
      </c>
      <c r="H117" s="11" t="n">
        <f aca="false">H116*(1-Projection!E19)</f>
        <v>0.822859024227278</v>
      </c>
      <c r="I117" s="11" t="n">
        <f aca="false">Projection!G20*H117</f>
        <v>0.669076087760706</v>
      </c>
      <c r="J117" s="11" t="n">
        <f aca="false">Projection!F20</f>
        <v>0.669076087760706</v>
      </c>
      <c r="K117" s="5" t="n">
        <f aca="false">I117-J117</f>
        <v>0</v>
      </c>
    </row>
    <row r="118" customFormat="false" ht="15" hidden="false" customHeight="true" outlineLevel="0" collapsed="false">
      <c r="G118" s="74" t="n">
        <v>82</v>
      </c>
      <c r="H118" s="11" t="n">
        <f aca="false">H117*(1-Projection!E20)</f>
        <v>0.822859024227278</v>
      </c>
      <c r="I118" s="11" t="n">
        <f aca="false">Projection!G21*H118</f>
        <v>0.648760986342386</v>
      </c>
      <c r="J118" s="11" t="n">
        <f aca="false">Projection!F21</f>
        <v>0.648760986342387</v>
      </c>
      <c r="K118" s="5" t="n">
        <f aca="false">I118-J118</f>
        <v>0</v>
      </c>
    </row>
    <row r="119" customFormat="false" ht="15" hidden="false" customHeight="true" outlineLevel="0" collapsed="false">
      <c r="G119" s="74" t="n">
        <v>83</v>
      </c>
      <c r="H119" s="11" t="n">
        <f aca="false">H118*(1-Projection!E21)</f>
        <v>0.822859024227278</v>
      </c>
      <c r="I119" s="11" t="n">
        <f aca="false">Projection!G22*H119</f>
        <v>0.626650275234803</v>
      </c>
      <c r="J119" s="11" t="n">
        <f aca="false">Projection!F22</f>
        <v>0.626650275234803</v>
      </c>
      <c r="K119" s="5" t="n">
        <f aca="false">I119-J119</f>
        <v>0</v>
      </c>
    </row>
    <row r="120" customFormat="false" ht="15" hidden="false" customHeight="true" outlineLevel="0" collapsed="false">
      <c r="G120" s="74" t="n">
        <v>84</v>
      </c>
      <c r="H120" s="11" t="n">
        <f aca="false">H119*(1-Projection!E22)</f>
        <v>0.822859024227278</v>
      </c>
      <c r="I120" s="11" t="n">
        <f aca="false">Projection!G23*H120</f>
        <v>0.602681224544387</v>
      </c>
      <c r="J120" s="11" t="n">
        <f aca="false">Projection!F23</f>
        <v>0.602681224544387</v>
      </c>
      <c r="K120" s="5" t="n">
        <f aca="false">I120-J120</f>
        <v>0</v>
      </c>
    </row>
    <row r="121" customFormat="false" ht="15" hidden="false" customHeight="true" outlineLevel="0" collapsed="false">
      <c r="G121" s="74" t="n">
        <v>85</v>
      </c>
      <c r="H121" s="11" t="n">
        <f aca="false">H120*(1-Projection!E23)</f>
        <v>0.822859024227278</v>
      </c>
      <c r="I121" s="11" t="n">
        <f aca="false">Projection!G24*H121</f>
        <v>0.576822222557124</v>
      </c>
      <c r="J121" s="11" t="n">
        <f aca="false">Projection!F24</f>
        <v>0.576822222557124</v>
      </c>
      <c r="K121" s="5" t="n">
        <f aca="false">I121-J121</f>
        <v>0</v>
      </c>
    </row>
    <row r="122" customFormat="false" ht="15" hidden="false" customHeight="true" outlineLevel="0" collapsed="false">
      <c r="G122" s="74" t="n">
        <v>86</v>
      </c>
      <c r="H122" s="11" t="n">
        <f aca="false">H121*(1-Projection!E24)</f>
        <v>0.822859024227278</v>
      </c>
      <c r="I122" s="11" t="n">
        <f aca="false">Projection!G25*H122</f>
        <v>0.548167803044827</v>
      </c>
      <c r="J122" s="11" t="n">
        <f aca="false">Projection!F25</f>
        <v>0.548167803044827</v>
      </c>
      <c r="K122" s="5" t="n">
        <f aca="false">I122-J122</f>
        <v>0</v>
      </c>
    </row>
    <row r="123" customFormat="false" ht="15" hidden="false" customHeight="true" outlineLevel="0" collapsed="false">
      <c r="G123" s="74" t="n">
        <v>87</v>
      </c>
      <c r="H123" s="11" t="n">
        <f aca="false">H122*(1-Projection!E25)</f>
        <v>0.822859024227278</v>
      </c>
      <c r="I123" s="11" t="n">
        <f aca="false">Projection!G26*H123</f>
        <v>0.517281065049269</v>
      </c>
      <c r="J123" s="11" t="n">
        <f aca="false">Projection!F26</f>
        <v>0.517281065049269</v>
      </c>
      <c r="K123" s="5" t="n">
        <f aca="false">I123-J123</f>
        <v>0</v>
      </c>
    </row>
    <row r="124" customFormat="false" ht="15" hidden="false" customHeight="true" outlineLevel="0" collapsed="false">
      <c r="G124" s="74" t="n">
        <v>88</v>
      </c>
      <c r="H124" s="11" t="n">
        <f aca="false">H123*(1-Projection!E26)</f>
        <v>0.822859024227278</v>
      </c>
      <c r="I124" s="11" t="n">
        <f aca="false">Projection!G27*H124</f>
        <v>0.484226679255031</v>
      </c>
      <c r="J124" s="11" t="n">
        <f aca="false">Projection!F27</f>
        <v>0.484226679255031</v>
      </c>
      <c r="K124" s="5" t="n">
        <f aca="false">I124-J124</f>
        <v>0</v>
      </c>
    </row>
    <row r="125" customFormat="false" ht="15" hidden="false" customHeight="true" outlineLevel="0" collapsed="false">
      <c r="G125" s="74" t="n">
        <v>89</v>
      </c>
      <c r="H125" s="11" t="n">
        <f aca="false">H124*(1-Projection!E27)</f>
        <v>0.822859024227278</v>
      </c>
      <c r="I125" s="11" t="n">
        <f aca="false">Projection!G28*H125</f>
        <v>0.449154499373439</v>
      </c>
      <c r="J125" s="11" t="n">
        <f aca="false">Projection!F28</f>
        <v>0.449154499373439</v>
      </c>
      <c r="K125" s="5" t="n">
        <f aca="false">I125-J125</f>
        <v>0</v>
      </c>
    </row>
    <row r="126" customFormat="false" ht="15" hidden="false" customHeight="true" outlineLevel="0" collapsed="false">
      <c r="G126" s="74" t="n">
        <v>90</v>
      </c>
      <c r="H126" s="11" t="n">
        <f aca="false">H125*(1-Projection!E28)</f>
        <v>0.822859024227278</v>
      </c>
      <c r="I126" s="11" t="n">
        <f aca="false">Projection!G29*H126</f>
        <v>0.412314462599519</v>
      </c>
      <c r="J126" s="11" t="n">
        <f aca="false">Projection!F29</f>
        <v>0.412314462599519</v>
      </c>
      <c r="K126" s="5" t="n">
        <f aca="false">I126-J126</f>
        <v>0</v>
      </c>
    </row>
    <row r="127" customFormat="false" ht="15" hidden="false" customHeight="true" outlineLevel="0" collapsed="false">
      <c r="G127" s="74" t="n">
        <v>91</v>
      </c>
      <c r="H127" s="11" t="n">
        <f aca="false">H126*(1-Projection!E29)</f>
        <v>0.822859024227278</v>
      </c>
      <c r="I127" s="11" t="n">
        <f aca="false">Projection!G30*H127</f>
        <v>0.372847430397582</v>
      </c>
      <c r="J127" s="11" t="n">
        <f aca="false">Projection!F30</f>
        <v>0.372847430397582</v>
      </c>
      <c r="K127" s="5" t="n">
        <f aca="false">I127-J127</f>
        <v>0</v>
      </c>
    </row>
    <row r="128" customFormat="false" ht="15" hidden="false" customHeight="true" outlineLevel="0" collapsed="false">
      <c r="G128" s="74" t="n">
        <v>92</v>
      </c>
      <c r="H128" s="11" t="n">
        <f aca="false">H127*(1-Projection!E30)</f>
        <v>0.822859024227278</v>
      </c>
      <c r="I128" s="11" t="n">
        <f aca="false">Projection!G31*H128</f>
        <v>0.332624074601597</v>
      </c>
      <c r="J128" s="11" t="n">
        <f aca="false">Projection!F31</f>
        <v>0.332624074601597</v>
      </c>
      <c r="K128" s="5" t="n">
        <f aca="false">I128-J128</f>
        <v>0</v>
      </c>
    </row>
    <row r="129" customFormat="false" ht="15" hidden="false" customHeight="true" outlineLevel="0" collapsed="false">
      <c r="G129" s="74" t="n">
        <v>93</v>
      </c>
      <c r="H129" s="11" t="n">
        <f aca="false">H128*(1-Projection!E31)</f>
        <v>0.822859024227278</v>
      </c>
      <c r="I129" s="11" t="n">
        <f aca="false">Projection!G32*H129</f>
        <v>0.292623682400675</v>
      </c>
      <c r="J129" s="11" t="n">
        <f aca="false">Projection!F32</f>
        <v>0.292623682400675</v>
      </c>
      <c r="K129" s="5" t="n">
        <f aca="false">I129-J129</f>
        <v>0</v>
      </c>
    </row>
    <row r="130" customFormat="false" ht="15" hidden="false" customHeight="true" outlineLevel="0" collapsed="false">
      <c r="G130" s="74" t="n">
        <v>94</v>
      </c>
      <c r="H130" s="11" t="n">
        <f aca="false">H129*(1-Projection!E32)</f>
        <v>0.822859024227278</v>
      </c>
      <c r="I130" s="11" t="n">
        <f aca="false">Projection!G33*H130</f>
        <v>0.254005885445969</v>
      </c>
      <c r="J130" s="11" t="n">
        <f aca="false">Projection!F33</f>
        <v>0.254005885445969</v>
      </c>
      <c r="K130" s="5" t="n">
        <f aca="false">I130-J130</f>
        <v>0</v>
      </c>
    </row>
    <row r="131" customFormat="false" ht="15" hidden="false" customHeight="true" outlineLevel="0" collapsed="false">
      <c r="G131" s="74" t="n">
        <v>95</v>
      </c>
      <c r="H131" s="11" t="n">
        <f aca="false">H130*(1-Projection!E33)</f>
        <v>0.822859024227278</v>
      </c>
      <c r="I131" s="11" t="n">
        <f aca="false">Projection!G34*H131</f>
        <v>0.217698687470758</v>
      </c>
      <c r="J131" s="11" t="n">
        <f aca="false">Projection!F34</f>
        <v>0.217698687470758</v>
      </c>
      <c r="K131" s="5" t="n">
        <f aca="false">I131-J131</f>
        <v>0</v>
      </c>
    </row>
    <row r="132" customFormat="false" ht="15" hidden="false" customHeight="true" outlineLevel="0" collapsed="false">
      <c r="G132" s="74" t="n">
        <v>96</v>
      </c>
      <c r="H132" s="11" t="n">
        <f aca="false">H131*(1-Projection!E34)</f>
        <v>0.822859024227278</v>
      </c>
      <c r="I132" s="11" t="n">
        <f aca="false">Projection!G35*H132</f>
        <v>0.183301739410898</v>
      </c>
      <c r="J132" s="11" t="n">
        <f aca="false">Projection!F35</f>
        <v>0.183301739410898</v>
      </c>
      <c r="K132" s="5" t="n">
        <f aca="false">I132-J132</f>
        <v>0</v>
      </c>
    </row>
    <row r="133" customFormat="false" ht="15" hidden="false" customHeight="true" outlineLevel="0" collapsed="false">
      <c r="G133" s="74" t="n">
        <v>97</v>
      </c>
      <c r="H133" s="11" t="n">
        <f aca="false">H132*(1-Projection!E35)</f>
        <v>0.822859024227278</v>
      </c>
      <c r="I133" s="11" t="n">
        <f aca="false">Projection!G36*H133</f>
        <v>0.152474042651336</v>
      </c>
      <c r="J133" s="11" t="n">
        <f aca="false">Projection!F36</f>
        <v>0.152474042651336</v>
      </c>
      <c r="K133" s="5" t="n">
        <f aca="false">I133-J133</f>
        <v>0</v>
      </c>
    </row>
    <row r="134" customFormat="false" ht="15" hidden="false" customHeight="true" outlineLevel="0" collapsed="false">
      <c r="G134" s="74" t="n">
        <v>98</v>
      </c>
      <c r="H134" s="11" t="n">
        <f aca="false">H133*(1-Projection!E36)</f>
        <v>0.822859024227278</v>
      </c>
      <c r="I134" s="11" t="n">
        <f aca="false">Projection!G37*H134</f>
        <v>0.125320113771468</v>
      </c>
      <c r="J134" s="11" t="n">
        <f aca="false">Projection!F37</f>
        <v>0.125320113771468</v>
      </c>
      <c r="K134" s="5" t="n">
        <f aca="false">I134-J134</f>
        <v>0</v>
      </c>
    </row>
    <row r="135" customFormat="false" ht="15" hidden="false" customHeight="true" outlineLevel="0" collapsed="false">
      <c r="G135" s="74" t="n">
        <v>99</v>
      </c>
      <c r="H135" s="11" t="n">
        <f aca="false">H134*(1-Projection!E37)</f>
        <v>0.822859024227278</v>
      </c>
      <c r="I135" s="11" t="n">
        <f aca="false">Projection!G38*H135</f>
        <v>0.101764043420001</v>
      </c>
      <c r="J135" s="11" t="n">
        <f aca="false">Projection!F38</f>
        <v>0.101764043420001</v>
      </c>
      <c r="K135" s="5" t="n">
        <f aca="false">I135-J135</f>
        <v>0</v>
      </c>
    </row>
    <row r="136" customFormat="false" ht="15" hidden="false" customHeight="true" outlineLevel="0" collapsed="false">
      <c r="G136" s="74" t="n">
        <v>100</v>
      </c>
      <c r="H136" s="11" t="n">
        <f aca="false">H135*(1-Projection!E38)</f>
        <v>0.822859024227278</v>
      </c>
      <c r="I136" s="11" t="n">
        <f aca="false">Projection!G39*H136</f>
        <v>0.0816076307860552</v>
      </c>
      <c r="J136" s="11" t="n">
        <f aca="false">Projection!F39</f>
        <v>0.0816076307860552</v>
      </c>
      <c r="K136" s="5" t="n">
        <f aca="false">I136-J136</f>
        <v>0</v>
      </c>
    </row>
    <row r="137" customFormat="false" ht="15" hidden="false" customHeight="true" outlineLevel="0" collapsed="false">
      <c r="G137" s="74" t="n">
        <v>101</v>
      </c>
      <c r="H137" s="11" t="n">
        <f aca="false">H136*(1-Projection!E39)</f>
        <v>0.822859024227278</v>
      </c>
      <c r="I137" s="11" t="n">
        <f aca="false">Projection!G40*H137</f>
        <v>0.0645778729615461</v>
      </c>
      <c r="J137" s="11" t="n">
        <f aca="false">Projection!F40</f>
        <v>0.0645778729615461</v>
      </c>
      <c r="K137" s="5" t="n">
        <f aca="false">I137-J137</f>
        <v>0</v>
      </c>
    </row>
    <row r="138" customFormat="false" ht="15" hidden="false" customHeight="true" outlineLevel="0" collapsed="false">
      <c r="G138" s="74" t="n">
        <v>102</v>
      </c>
      <c r="H138" s="11" t="n">
        <f aca="false">H137*(1-Projection!E40)</f>
        <v>0.822859024227278</v>
      </c>
      <c r="I138" s="11" t="n">
        <f aca="false">Projection!G41*H138</f>
        <v>0.0503627086065056</v>
      </c>
      <c r="J138" s="11" t="n">
        <f aca="false">Projection!F41</f>
        <v>0.0503627086065056</v>
      </c>
      <c r="K138" s="5" t="n">
        <f aca="false">I138-J138</f>
        <v>0</v>
      </c>
    </row>
    <row r="139" customFormat="false" ht="15" hidden="false" customHeight="true" outlineLevel="0" collapsed="false">
      <c r="G139" s="74" t="n">
        <v>103</v>
      </c>
      <c r="H139" s="11" t="n">
        <f aca="false">H138*(1-Projection!E41)</f>
        <v>0.822859024227278</v>
      </c>
      <c r="I139" s="11" t="n">
        <f aca="false">Projection!G42*H139</f>
        <v>0.0386365499132701</v>
      </c>
      <c r="J139" s="11" t="n">
        <f aca="false">Projection!F42</f>
        <v>0.0386365499132701</v>
      </c>
      <c r="K139" s="5" t="n">
        <f aca="false">I139-J139</f>
        <v>0</v>
      </c>
    </row>
    <row r="140" customFormat="false" ht="15" hidden="false" customHeight="true" outlineLevel="0" collapsed="false">
      <c r="G140" s="74" t="n">
        <v>104</v>
      </c>
      <c r="H140" s="11" t="n">
        <f aca="false">H139*(1-Projection!E42)</f>
        <v>0.822859024227278</v>
      </c>
      <c r="I140" s="11" t="n">
        <f aca="false">Projection!G43*H140</f>
        <v>0.0290780653379978</v>
      </c>
      <c r="J140" s="11" t="n">
        <f aca="false">Projection!F43</f>
        <v>0.0290780653379978</v>
      </c>
      <c r="K140" s="5" t="n">
        <f aca="false">I140-J140</f>
        <v>0</v>
      </c>
    </row>
    <row r="141" customFormat="false" ht="15" hidden="false" customHeight="true" outlineLevel="0" collapsed="false">
      <c r="G141" s="74" t="n">
        <v>105</v>
      </c>
      <c r="H141" s="11" t="n">
        <f aca="false">H140*(1-Projection!E43)</f>
        <v>0.822859024227278</v>
      </c>
      <c r="I141" s="11" t="n">
        <f aca="false">Projection!G44*H141</f>
        <v>0.022161714728146</v>
      </c>
      <c r="J141" s="11" t="n">
        <f aca="false">Projection!F44</f>
        <v>0.022161714728146</v>
      </c>
      <c r="K141" s="5" t="n">
        <f aca="false">I141-J141</f>
        <v>0</v>
      </c>
    </row>
    <row r="142" customFormat="false" ht="15" hidden="false" customHeight="true" outlineLevel="0" collapsed="false">
      <c r="G142" s="74" t="n">
        <v>106</v>
      </c>
      <c r="H142" s="11" t="n">
        <f aca="false">H141*(1-Projection!E44)</f>
        <v>0.822859024227278</v>
      </c>
      <c r="I142" s="11" t="n">
        <f aca="false">Projection!G45*H142</f>
        <v>0.0194574963762381</v>
      </c>
      <c r="J142" s="11" t="n">
        <f aca="false">Projection!F45</f>
        <v>0.0194574963762381</v>
      </c>
      <c r="K142" s="5" t="n">
        <f aca="false">I142-J142</f>
        <v>0</v>
      </c>
    </row>
    <row r="143" customFormat="false" ht="15" hidden="false" customHeight="true" outlineLevel="0" collapsed="false">
      <c r="G143" s="74" t="n">
        <v>107</v>
      </c>
      <c r="H143" s="11" t="n">
        <f aca="false">H142*(1-Projection!E45)</f>
        <v>0.822859024227278</v>
      </c>
      <c r="I143" s="11" t="n">
        <f aca="false">Projection!G46*H143</f>
        <v>0.0129577038639437</v>
      </c>
      <c r="J143" s="11" t="n">
        <f aca="false">Projection!F46</f>
        <v>0.0129577038639437</v>
      </c>
      <c r="K143" s="5" t="n">
        <f aca="false">I143-J143</f>
        <v>0</v>
      </c>
    </row>
    <row r="144" customFormat="false" ht="15" hidden="false" customHeight="true" outlineLevel="0" collapsed="false">
      <c r="G144" s="74" t="n">
        <v>108</v>
      </c>
      <c r="H144" s="11" t="n">
        <f aca="false">H143*(1-Projection!E46)</f>
        <v>0.822859024227278</v>
      </c>
      <c r="I144" s="11" t="n">
        <f aca="false">Projection!G47*H144</f>
        <v>0.00831588584834633</v>
      </c>
      <c r="J144" s="11" t="n">
        <f aca="false">Projection!F47</f>
        <v>0.00831588584834634</v>
      </c>
      <c r="K144" s="5" t="n">
        <f aca="false">I144-J144</f>
        <v>0</v>
      </c>
    </row>
    <row r="145" customFormat="false" ht="15" hidden="false" customHeight="true" outlineLevel="0" collapsed="false">
      <c r="G145" s="74" t="n">
        <v>109</v>
      </c>
      <c r="H145" s="11" t="n">
        <f aca="false">H144*(1-Projection!E47)</f>
        <v>0.822859024227278</v>
      </c>
      <c r="I145" s="11" t="n">
        <f aca="false">Projection!G48*H145</f>
        <v>0.0051226939077799</v>
      </c>
      <c r="J145" s="11" t="n">
        <f aca="false">Projection!F48</f>
        <v>0.0051226939077799</v>
      </c>
      <c r="K145" s="5" t="n">
        <f aca="false">I145-J145</f>
        <v>0</v>
      </c>
    </row>
    <row r="146" customFormat="false" ht="15" hidden="false" customHeight="true" outlineLevel="0" collapsed="false">
      <c r="G146" s="74" t="n">
        <v>110</v>
      </c>
      <c r="H146" s="11" t="n">
        <f aca="false">H145*(1-Projection!E48)</f>
        <v>0.822859024227278</v>
      </c>
      <c r="I146" s="11" t="n">
        <f aca="false">Projection!G49*H146</f>
        <v>0.00301516100824619</v>
      </c>
      <c r="J146" s="11" t="n">
        <f aca="false">Projection!F49</f>
        <v>0.0030151610082462</v>
      </c>
      <c r="K146" s="5" t="n">
        <f aca="false">I146-J146</f>
        <v>0</v>
      </c>
    </row>
    <row r="147" customFormat="false" ht="15" hidden="false" customHeight="true" outlineLevel="0" collapsed="false">
      <c r="G147" s="74" t="n">
        <v>111</v>
      </c>
      <c r="H147" s="11" t="n">
        <f aca="false">H146*(1-Projection!E49)</f>
        <v>0.822859024227278</v>
      </c>
      <c r="I147" s="11" t="n">
        <f aca="false">Projection!G50*H147</f>
        <v>0.0016867085005452</v>
      </c>
      <c r="J147" s="11" t="n">
        <f aca="false">Projection!F50</f>
        <v>0.0016867085005452</v>
      </c>
      <c r="K147" s="5" t="n">
        <f aca="false">I147-J147</f>
        <v>0</v>
      </c>
    </row>
    <row r="148" customFormat="false" ht="15" hidden="false" customHeight="true" outlineLevel="0" collapsed="false">
      <c r="G148" s="74" t="n">
        <v>112</v>
      </c>
      <c r="H148" s="11" t="n">
        <f aca="false">H147*(1-Projection!E50)</f>
        <v>0.822859024227278</v>
      </c>
      <c r="I148" s="27" t="n">
        <f aca="false">Projection!G51*H148</f>
        <v>0.000913794336408796</v>
      </c>
      <c r="J148" s="27" t="n">
        <f aca="false">Projection!F51</f>
        <v>0.000913794336408797</v>
      </c>
      <c r="K148" s="5" t="n">
        <f aca="false">I148-J148</f>
        <v>0</v>
      </c>
    </row>
    <row r="149" customFormat="false" ht="15" hidden="false" customHeight="true" outlineLevel="0" collapsed="false">
      <c r="G149" s="74" t="n">
        <v>113</v>
      </c>
      <c r="H149" s="11" t="n">
        <f aca="false">H148*(1-Projection!E51)</f>
        <v>0.822859024227278</v>
      </c>
      <c r="I149" s="27" t="n">
        <f aca="false">Projection!G52*H149</f>
        <v>0.000478998584659233</v>
      </c>
      <c r="J149" s="27" t="n">
        <f aca="false">Projection!F52</f>
        <v>0.000478998584659233</v>
      </c>
      <c r="K149" s="5" t="n">
        <f aca="false">I149-J149</f>
        <v>0</v>
      </c>
    </row>
    <row r="150" customFormat="false" ht="15" hidden="false" customHeight="true" outlineLevel="0" collapsed="false">
      <c r="G150" s="74" t="n">
        <v>114</v>
      </c>
      <c r="H150" s="11" t="n">
        <f aca="false">H149*(1-Projection!E52)</f>
        <v>0.822859024227278</v>
      </c>
      <c r="I150" s="27" t="n">
        <f aca="false">Projection!G53*H150</f>
        <v>0.000242726298517999</v>
      </c>
      <c r="J150" s="27" t="n">
        <f aca="false">Projection!F53</f>
        <v>0.000242726298517999</v>
      </c>
      <c r="K150" s="5" t="n">
        <f aca="false">I150-J150</f>
        <v>0</v>
      </c>
    </row>
    <row r="151" customFormat="false" ht="15" hidden="false" customHeight="true" outlineLevel="0" collapsed="false">
      <c r="G151" s="74" t="n">
        <v>115</v>
      </c>
      <c r="H151" s="11" t="n">
        <f aca="false">H150*(1-Projection!E53)</f>
        <v>0.822859024227278</v>
      </c>
      <c r="I151" s="27" t="n">
        <f aca="false">Projection!G54*H151</f>
        <v>0.000118806116249204</v>
      </c>
      <c r="J151" s="27" t="n">
        <f aca="false">Projection!F54</f>
        <v>0.000118806116249204</v>
      </c>
      <c r="K151" s="5" t="n">
        <f aca="false">I151-J151</f>
        <v>0</v>
      </c>
    </row>
    <row r="152" customFormat="false" ht="15" hidden="false" customHeight="true" outlineLevel="0" collapsed="false">
      <c r="G152" s="74" t="n">
        <v>116</v>
      </c>
      <c r="H152" s="11" t="n">
        <f aca="false">H151*(1-Projection!E54)</f>
        <v>0.822859024227278</v>
      </c>
      <c r="I152" s="27" t="n">
        <f aca="false">Projection!G55*H152</f>
        <v>5.61264386734587E-005</v>
      </c>
      <c r="J152" s="27" t="n">
        <f aca="false">Projection!F55</f>
        <v>5.61264386734587E-005</v>
      </c>
      <c r="K152" s="5" t="n">
        <f aca="false">I152-J152</f>
        <v>0</v>
      </c>
    </row>
    <row r="153" customFormat="false" ht="15" hidden="false" customHeight="true" outlineLevel="0" collapsed="false">
      <c r="G153" s="74" t="n">
        <v>117</v>
      </c>
      <c r="H153" s="11" t="n">
        <f aca="false">H152*(1-Projection!E55)</f>
        <v>0.822859024227278</v>
      </c>
      <c r="I153" s="27" t="n">
        <f aca="false">Projection!G56*H153</f>
        <v>2.55738846634779E-005</v>
      </c>
      <c r="J153" s="27" t="n">
        <f aca="false">Projection!F56</f>
        <v>2.55738846634779E-005</v>
      </c>
      <c r="K153" s="5" t="n">
        <f aca="false">I153-J153</f>
        <v>0</v>
      </c>
    </row>
    <row r="154" customFormat="false" ht="15" hidden="false" customHeight="true" outlineLevel="0" collapsed="false">
      <c r="G154" s="74" t="n">
        <v>118</v>
      </c>
      <c r="H154" s="11" t="n">
        <f aca="false">H153*(1-Projection!E56)</f>
        <v>0.822859024227278</v>
      </c>
      <c r="I154" s="27" t="n">
        <f aca="false">Projection!G57*H154</f>
        <v>1.12317686470886E-005</v>
      </c>
      <c r="J154" s="27" t="n">
        <f aca="false">Projection!F57</f>
        <v>1.12317686470886E-005</v>
      </c>
      <c r="K154" s="5" t="n">
        <f aca="false">I154-J154</f>
        <v>0</v>
      </c>
    </row>
    <row r="155" customFormat="false" ht="15" hidden="false" customHeight="true" outlineLevel="0" collapsed="false">
      <c r="G155" s="74" t="n">
        <v>119</v>
      </c>
      <c r="H155" s="11" t="n">
        <f aca="false">H154*(1-Projection!E57)</f>
        <v>0.822859024227278</v>
      </c>
      <c r="I155" s="27" t="n">
        <f aca="false">Projection!G58*H155</f>
        <v>4.75195918537906E-006</v>
      </c>
      <c r="J155" s="27" t="n">
        <f aca="false">Projection!F58</f>
        <v>4.75195918537906E-006</v>
      </c>
      <c r="K155" s="5" t="n">
        <f aca="false">I155-J155</f>
        <v>0</v>
      </c>
    </row>
    <row r="156" customFormat="false" ht="15" hidden="false" customHeight="true" outlineLevel="0" collapsed="false">
      <c r="G156" s="74" t="n">
        <v>120</v>
      </c>
      <c r="H156" s="11" t="n">
        <f aca="false">H155*(1-Projection!E58)</f>
        <v>0.822859024227278</v>
      </c>
      <c r="I156" s="27" t="n">
        <f aca="false">Projection!G59*H156</f>
        <v>1.93576003719086E-006</v>
      </c>
      <c r="J156" s="27" t="n">
        <f aca="false">Projection!F59</f>
        <v>1.93576003719086E-006</v>
      </c>
      <c r="K156" s="5" t="n">
        <f aca="false">I156-J156</f>
        <v>0</v>
      </c>
    </row>
    <row r="158" customFormat="false" ht="15" hidden="false" customHeight="true" outlineLevel="0" collapsed="false">
      <c r="A158" s="1" t="s">
        <v>2303</v>
      </c>
    </row>
    <row r="159" customFormat="false" ht="15" hidden="false" customHeight="true" outlineLevel="0" collapsed="false">
      <c r="A159" s="1" t="s">
        <v>2304</v>
      </c>
    </row>
    <row r="160" customFormat="false" ht="15" hidden="false" customHeight="true" outlineLevel="0" collapsed="false">
      <c r="A160" s="1" t="s">
        <v>2305</v>
      </c>
      <c r="B160" s="48" t="n">
        <f aca="false">INDEX(Projection!$K$4:$K$59,Assumptions!$B$6+1)/(INDEX(Projection!$F$4:$F$59,Assumptions!$B$6+1)*INDEX(Projection!$H$4:$H$59,Assumptions!$B$6+1))</f>
        <v>21533.8934131861</v>
      </c>
    </row>
    <row r="161" customFormat="false" ht="15" hidden="false" customHeight="true" outlineLevel="0" collapsed="false">
      <c r="A161" s="1" t="s">
        <v>2306</v>
      </c>
      <c r="B161" s="12" t="n">
        <f aca="false">Assumptions!B9*(1+Assumptions!B10)^(Assumptions!B5-Assumptions!B4)</f>
        <v>21533.8934131861</v>
      </c>
    </row>
    <row r="162" customFormat="false" ht="15" hidden="false" customHeight="true" outlineLevel="0" collapsed="false">
      <c r="A162" s="1" t="s">
        <v>2307</v>
      </c>
      <c r="B162" s="12" t="n">
        <f aca="false">Assumptions!B9</f>
        <v>16000</v>
      </c>
    </row>
    <row r="163" customFormat="false" ht="15" hidden="false" customHeight="true" outlineLevel="0" collapsed="false">
      <c r="A163" s="1" t="s">
        <v>2308</v>
      </c>
      <c r="B163" s="5" t="n">
        <f aca="false">B160-B161</f>
        <v>0</v>
      </c>
    </row>
    <row r="164" customFormat="false" ht="15" hidden="false" customHeight="true" outlineLevel="0" collapsed="false">
      <c r="A164" s="1" t="s">
        <v>458</v>
      </c>
      <c r="B164" s="5" t="str">
        <f aca="false">IF(ABS(B163)&lt;0.01,"PASS — escalation runs from inception (policy year 0), matching the stated basis","FAIL")</f>
        <v>PASS — escalation runs from inception (policy year 0), matching the stated basis</v>
      </c>
    </row>
    <row r="165" customFormat="false" ht="15" hidden="false" customHeight="true" outlineLevel="0" collapsed="false">
      <c r="A165" s="7" t="s">
        <v>2309</v>
      </c>
    </row>
    <row r="166" customFormat="false" ht="15" hidden="false" customHeight="true" outlineLevel="0" collapsed="false">
      <c r="A166" s="1" t="s">
        <v>2310</v>
      </c>
    </row>
    <row r="167" customFormat="false" ht="15" hidden="false" customHeight="true" outlineLevel="0" collapsed="false">
      <c r="A167" s="1" t="s">
        <v>2311</v>
      </c>
      <c r="B167" s="48" t="n">
        <f aca="false">Projection!L4/(Projection!F4*Projection!H4)</f>
        <v>82</v>
      </c>
    </row>
    <row r="168" customFormat="false" ht="15" hidden="false" customHeight="true" outlineLevel="0" collapsed="false">
      <c r="A168" s="1" t="s">
        <v>2312</v>
      </c>
      <c r="B168" s="48" t="n">
        <f aca="false">Assumptions!B12*(1+Assumptions!B11)</f>
        <v>82</v>
      </c>
    </row>
    <row r="169" customFormat="false" ht="15" hidden="false" customHeight="true" outlineLevel="0" collapsed="false">
      <c r="A169" s="1" t="s">
        <v>2256</v>
      </c>
      <c r="B169" s="5" t="n">
        <f aca="false">B167-B168</f>
        <v>0</v>
      </c>
    </row>
    <row r="170" customFormat="false" ht="15" hidden="false" customHeight="true" outlineLevel="0" collapsed="false">
      <c r="A170" s="1" t="s">
        <v>458</v>
      </c>
      <c r="B170" s="5" t="str">
        <f aca="false">IF(ABS(B169)&lt;0.005,"PASS — single basis; asset and liability columns reference the same two cells","FAIL")</f>
        <v>PASS — single basis; asset and liability columns reference the same two cells</v>
      </c>
    </row>
    <row r="172" customFormat="false" ht="15" hidden="false" customHeight="true" outlineLevel="0" collapsed="false">
      <c r="A172" s="1" t="s">
        <v>2313</v>
      </c>
    </row>
    <row r="173" customFormat="false" ht="15" hidden="false" customHeight="true" outlineLevel="0" collapsed="false">
      <c r="A173" s="1" t="s">
        <v>2314</v>
      </c>
      <c r="B173" s="12" t="n">
        <f aca="false">Reinsurance!B15</f>
        <v>66122.181397612</v>
      </c>
    </row>
    <row r="174" customFormat="false" ht="15" hidden="false" customHeight="true" outlineLevel="0" collapsed="false">
      <c r="A174" s="1" t="s">
        <v>2315</v>
      </c>
      <c r="B174" s="12" t="n">
        <f aca="false">Reinsurance!B16</f>
        <v>36779.6909834719</v>
      </c>
    </row>
    <row r="175" customFormat="false" ht="15" hidden="false" customHeight="true" outlineLevel="0" collapsed="false">
      <c r="A175" s="1" t="s">
        <v>2316</v>
      </c>
      <c r="B175" s="12" t="n">
        <f aca="false">Reinsurance!B26</f>
        <v>27456.0760930031</v>
      </c>
    </row>
    <row r="176" customFormat="false" ht="15" hidden="false" customHeight="true" outlineLevel="0" collapsed="false">
      <c r="A176" s="1" t="s">
        <v>458</v>
      </c>
      <c r="B176" s="5" t="str">
        <f aca="false">IF(AND(B173&gt;B174,B175&gt;0),"PASS — reinsurance raises the requirement at cost, and a positive uncedable floor remains","review")</f>
        <v>PASS — reinsurance raises the requirement at cost, and a positive uncedable floor remains</v>
      </c>
    </row>
    <row r="178" customFormat="false" ht="15" hidden="false" customHeight="true" outlineLevel="0" collapsed="false">
      <c r="A178" s="1" t="s">
        <v>2317</v>
      </c>
    </row>
    <row r="179" customFormat="false" ht="15" hidden="false" customHeight="true" outlineLevel="0" collapsed="false">
      <c r="A179" s="1" t="s">
        <v>2318</v>
      </c>
    </row>
    <row r="180" customFormat="false" ht="15" hidden="false" customHeight="true" outlineLevel="0" collapsed="false">
      <c r="A180" s="1" t="s">
        <v>2319</v>
      </c>
      <c r="B180" s="1" t="s">
        <v>20</v>
      </c>
      <c r="C180" s="1" t="s">
        <v>2320</v>
      </c>
    </row>
    <row r="181" customFormat="false" ht="15" hidden="false" customHeight="true" outlineLevel="0" collapsed="false">
      <c r="A181" s="1" t="s">
        <v>2321</v>
      </c>
      <c r="B181" s="1" t="s">
        <v>2322</v>
      </c>
      <c r="C181" s="1" t="s">
        <v>2323</v>
      </c>
    </row>
    <row r="182" customFormat="false" ht="15" hidden="false" customHeight="true" outlineLevel="0" collapsed="false">
      <c r="A182" s="1" t="s">
        <v>2324</v>
      </c>
      <c r="B182" s="1" t="s">
        <v>2322</v>
      </c>
      <c r="C182" s="1" t="s">
        <v>2325</v>
      </c>
    </row>
    <row r="183" customFormat="false" ht="15" hidden="false" customHeight="true" outlineLevel="0" collapsed="false">
      <c r="A183" s="1" t="s">
        <v>2326</v>
      </c>
      <c r="B183" s="1" t="s">
        <v>2322</v>
      </c>
      <c r="C183" s="1" t="s">
        <v>2327</v>
      </c>
    </row>
    <row r="184" customFormat="false" ht="15" hidden="false" customHeight="true" outlineLevel="0" collapsed="false">
      <c r="A184" s="1" t="s">
        <v>2328</v>
      </c>
      <c r="B184" s="1" t="s">
        <v>2322</v>
      </c>
      <c r="C184" s="1" t="s">
        <v>2329</v>
      </c>
    </row>
    <row r="185" customFormat="false" ht="15" hidden="false" customHeight="true" outlineLevel="0" collapsed="false">
      <c r="A185" s="1" t="s">
        <v>2330</v>
      </c>
      <c r="B185" s="1" t="s">
        <v>2322</v>
      </c>
      <c r="C185" s="1" t="s">
        <v>2331</v>
      </c>
    </row>
    <row r="186" customFormat="false" ht="15" hidden="false" customHeight="true" outlineLevel="0" collapsed="false">
      <c r="A186" s="1" t="s">
        <v>2332</v>
      </c>
      <c r="B186" s="1" t="s">
        <v>2322</v>
      </c>
      <c r="C186" s="1" t="s">
        <v>2333</v>
      </c>
    </row>
    <row r="187" customFormat="false" ht="15" hidden="false" customHeight="true" outlineLevel="0" collapsed="false">
      <c r="A187" s="1" t="s">
        <v>2334</v>
      </c>
      <c r="B187" s="1" t="s">
        <v>2335</v>
      </c>
      <c r="C187" s="1" t="s">
        <v>2336</v>
      </c>
    </row>
    <row r="188" customFormat="false" ht="15" hidden="false" customHeight="true" outlineLevel="0" collapsed="false">
      <c r="A188" s="1" t="s">
        <v>2337</v>
      </c>
      <c r="B188" s="1" t="s">
        <v>2338</v>
      </c>
      <c r="C188" s="1" t="s">
        <v>2339</v>
      </c>
    </row>
    <row r="189" customFormat="false" ht="15" hidden="false" customHeight="true" outlineLevel="0" collapsed="false">
      <c r="A189" s="1" t="s">
        <v>2340</v>
      </c>
      <c r="B189" s="1" t="s">
        <v>2338</v>
      </c>
      <c r="C189" s="1" t="s">
        <v>2341</v>
      </c>
    </row>
    <row r="190" customFormat="false" ht="15" hidden="false" customHeight="true" outlineLevel="0" collapsed="false">
      <c r="A190" s="1" t="s">
        <v>2342</v>
      </c>
      <c r="B190" s="1" t="s">
        <v>2343</v>
      </c>
      <c r="C190" s="1" t="s">
        <v>2344</v>
      </c>
    </row>
    <row r="192" customFormat="false" ht="15" hidden="false" customHeight="true" outlineLevel="0" collapsed="false">
      <c r="A192" s="1" t="s">
        <v>2345</v>
      </c>
      <c r="B192" s="3" t="s">
        <v>2322</v>
      </c>
      <c r="C192" s="7" t="s">
        <v>2346</v>
      </c>
    </row>
    <row r="193" customFormat="false" ht="15" hidden="false" customHeight="true" outlineLevel="0" collapsed="false">
      <c r="A193" s="1" t="s">
        <v>2347</v>
      </c>
      <c r="B193" s="3" t="s">
        <v>2322</v>
      </c>
      <c r="C193" s="7" t="s">
        <v>2348</v>
      </c>
    </row>
    <row r="195" customFormat="false" ht="15" hidden="false" customHeight="true" outlineLevel="0" collapsed="false">
      <c r="A195" s="1" t="s">
        <v>2349</v>
      </c>
    </row>
    <row r="196" customFormat="false" ht="15" hidden="false" customHeight="true" outlineLevel="0" collapsed="false">
      <c r="A196" s="6" t="s">
        <v>2350</v>
      </c>
    </row>
    <row r="197" customFormat="false" ht="15" hidden="false" customHeight="true" outlineLevel="0" collapsed="false">
      <c r="A197" s="7" t="s">
        <v>2351</v>
      </c>
    </row>
    <row r="198" customFormat="false" ht="15" hidden="false" customHeight="true" outlineLevel="0" collapsed="false">
      <c r="A198" s="7" t="s">
        <v>2352</v>
      </c>
    </row>
    <row r="200" customFormat="false" ht="15" hidden="false" customHeight="true" outlineLevel="0" collapsed="false">
      <c r="M200" s="8" t="s">
        <v>650</v>
      </c>
      <c r="N200" s="8" t="s">
        <v>2353</v>
      </c>
      <c r="O200" s="8" t="s">
        <v>2354</v>
      </c>
      <c r="P200" s="8" t="s">
        <v>2355</v>
      </c>
    </row>
    <row r="201" customFormat="false" ht="15" hidden="false" customHeight="true" outlineLevel="0" collapsed="false">
      <c r="A201" s="1" t="s">
        <v>2356</v>
      </c>
      <c r="B201" s="11" t="n">
        <f aca="false">INDEX(Cohort_Survival!$B$71:$AA$71,Assumptions!$B$4-59)</f>
        <v>24.0878991126351</v>
      </c>
      <c r="M201" s="1" t="n">
        <v>65</v>
      </c>
      <c r="N201" s="30" t="n">
        <v>1</v>
      </c>
      <c r="O201" s="30" t="n">
        <f aca="false">1-Projection!C4/2</f>
        <v>0.99740972705587</v>
      </c>
      <c r="P201" s="30" t="n">
        <f aca="false">N201*O201</f>
        <v>0.99740972705587</v>
      </c>
    </row>
    <row r="202" customFormat="false" ht="15" hidden="false" customHeight="true" outlineLevel="0" collapsed="false">
      <c r="A202" s="1" t="s">
        <v>2357</v>
      </c>
      <c r="B202" s="106" t="n">
        <f aca="false">IFERROR(INDEX(Cohort_Survival!$B$74:$AA$74,Assumptions!$B$4-59),"")</f>
        <v>24.0878991126351</v>
      </c>
      <c r="M202" s="1" t="n">
        <v>66</v>
      </c>
      <c r="N202" s="30" t="n">
        <f aca="false">N201*(1-Projection!C4)</f>
        <v>0.99481945411174</v>
      </c>
      <c r="O202" s="30" t="n">
        <f aca="false">1-Projection!C5/2</f>
        <v>0.997179698204877</v>
      </c>
      <c r="P202" s="30" t="n">
        <f aca="false">N202*O202</f>
        <v>0.992013763019485</v>
      </c>
    </row>
    <row r="203" customFormat="false" ht="15" hidden="false" customHeight="true" outlineLevel="0" collapsed="false">
      <c r="A203" s="1" t="s">
        <v>2358</v>
      </c>
      <c r="B203" s="32" t="n">
        <f aca="false">IF(N(B202)=0,"",B201-B202)</f>
        <v>0</v>
      </c>
      <c r="M203" s="1" t="n">
        <v>67</v>
      </c>
      <c r="N203" s="30" t="n">
        <f aca="false">N202*(1-Projection!C5)</f>
        <v>0.98920807192723</v>
      </c>
      <c r="O203" s="30" t="n">
        <f aca="false">1-Projection!C6/2</f>
        <v>0.99691900783866</v>
      </c>
      <c r="P203" s="30" t="n">
        <f aca="false">N203*O203</f>
        <v>0.986160329611688</v>
      </c>
    </row>
    <row r="204" customFormat="false" ht="15" hidden="false" customHeight="true" outlineLevel="0" collapsed="false">
      <c r="A204" s="1" t="s">
        <v>2359</v>
      </c>
      <c r="B204" s="20" t="n">
        <v>22.4</v>
      </c>
      <c r="M204" s="1" t="n">
        <v>68</v>
      </c>
      <c r="N204" s="30" t="n">
        <f aca="false">N203*(1-Projection!C6)</f>
        <v>0.983112587296147</v>
      </c>
      <c r="O204" s="30" t="n">
        <f aca="false">1-Projection!C7/2</f>
        <v>0.996622899837598</v>
      </c>
      <c r="P204" s="30" t="n">
        <f aca="false">N204*O204</f>
        <v>0.979792517617929</v>
      </c>
    </row>
    <row r="205" customFormat="false" ht="15" hidden="false" customHeight="true" outlineLevel="0" collapsed="false">
      <c r="A205" s="1" t="s">
        <v>2360</v>
      </c>
      <c r="B205" s="11" t="n">
        <f aca="false">B201-B204</f>
        <v>1.6878991126351</v>
      </c>
      <c r="M205" s="1" t="n">
        <v>69</v>
      </c>
      <c r="N205" s="30" t="n">
        <f aca="false">N204*(1-Projection!C7)</f>
        <v>0.976472447939711</v>
      </c>
      <c r="O205" s="30" t="n">
        <f aca="false">1-Projection!C8/2</f>
        <v>0.996286126451688</v>
      </c>
      <c r="P205" s="30" t="n">
        <f aca="false">N205*O205</f>
        <v>0.972845952744653</v>
      </c>
    </row>
    <row r="206" customFormat="false" ht="15" hidden="false" customHeight="true" outlineLevel="0" collapsed="false">
      <c r="A206" s="1" t="s">
        <v>2361</v>
      </c>
      <c r="B206" s="106" t="n">
        <f aca="false">B202-B204</f>
        <v>1.6878991126351</v>
      </c>
      <c r="M206" s="1" t="n">
        <v>70</v>
      </c>
      <c r="N206" s="30" t="n">
        <f aca="false">N205*(1-Projection!C8)</f>
        <v>0.969219457549594</v>
      </c>
      <c r="O206" s="30" t="n">
        <f aca="false">1-Projection!C9/2</f>
        <v>0.995753082751529</v>
      </c>
      <c r="P206" s="30" t="n">
        <f aca="false">N206*O206</f>
        <v>0.965103262717772</v>
      </c>
    </row>
    <row r="207" customFormat="false" ht="15" hidden="false" customHeight="true" outlineLevel="0" collapsed="false">
      <c r="A207" s="3" t="s">
        <v>458</v>
      </c>
      <c r="B207" s="28" t="str">
        <f aca="false">IF(N(B202)=0,"PASS — no published anchor at this entry age; the check is not applicable",IF(AND(ABS(B203)&lt;0.001,ABS(B205-B206)&lt;0.001),"PASS — table reproduces the documented basis end to end","FAIL"))</f>
        <v>PASS — table reproduces the documented basis end to end</v>
      </c>
      <c r="M207" s="1" t="n">
        <v>71</v>
      </c>
      <c r="N207" s="30" t="n">
        <f aca="false">N206*(1-Projection!C9)</f>
        <v>0.960987067885951</v>
      </c>
      <c r="O207" s="30" t="n">
        <f aca="false">1-Projection!C10/2</f>
        <v>0.995301539432249</v>
      </c>
      <c r="P207" s="30" t="n">
        <f aca="false">N207*O207</f>
        <v>0.95647190804137</v>
      </c>
    </row>
    <row r="208" customFormat="false" ht="15" hidden="false" customHeight="true" outlineLevel="0" collapsed="false">
      <c r="A208" s="7" t="s">
        <v>2362</v>
      </c>
      <c r="M208" s="1" t="n">
        <v>72</v>
      </c>
      <c r="N208" s="30" t="n">
        <f aca="false">N207*(1-Projection!C10)</f>
        <v>0.951956748196789</v>
      </c>
      <c r="O208" s="30" t="n">
        <f aca="false">1-Projection!C11/2</f>
        <v>0.994789084340875</v>
      </c>
      <c r="P208" s="30" t="n">
        <f aca="false">N208*O208</f>
        <v>0.946996181870801</v>
      </c>
    </row>
    <row r="209" customFormat="false" ht="15" hidden="false" customHeight="true" outlineLevel="0" collapsed="false">
      <c r="A209" s="7" t="s">
        <v>2363</v>
      </c>
      <c r="M209" s="1" t="n">
        <v>73</v>
      </c>
      <c r="N209" s="30" t="n">
        <f aca="false">N208*(1-Projection!C11)</f>
        <v>0.942035615544812</v>
      </c>
      <c r="O209" s="30" t="n">
        <f aca="false">1-Projection!C12/2</f>
        <v>0.994209158752246</v>
      </c>
      <c r="P209" s="30" t="n">
        <f aca="false">N209*O209</f>
        <v>0.936580436845462</v>
      </c>
    </row>
    <row r="210" customFormat="false" ht="15" hidden="false" customHeight="true" outlineLevel="0" collapsed="false">
      <c r="A210" s="7" t="s">
        <v>2364</v>
      </c>
      <c r="M210" s="1" t="n">
        <v>74</v>
      </c>
      <c r="N210" s="30" t="n">
        <f aca="false">N209*(1-Projection!C12)</f>
        <v>0.931125258146111</v>
      </c>
      <c r="O210" s="30" t="n">
        <f aca="false">1-Projection!C13/2</f>
        <v>0.993554517573495</v>
      </c>
      <c r="P210" s="30" t="n">
        <f aca="false">N210*O210</f>
        <v>0.925123706657856</v>
      </c>
    </row>
    <row r="211" customFormat="false" ht="15" hidden="false" customHeight="true" outlineLevel="0" collapsed="false">
      <c r="A211" s="7" t="s">
        <v>2365</v>
      </c>
      <c r="M211" s="1" t="n">
        <v>75</v>
      </c>
      <c r="N211" s="30" t="n">
        <f aca="false">N210*(1-Projection!C13)</f>
        <v>0.919122155169601</v>
      </c>
      <c r="O211" s="30" t="n">
        <f aca="false">1-Projection!C14/2</f>
        <v>0.992560860296008</v>
      </c>
      <c r="P211" s="30" t="n">
        <f aca="false">N211*O211</f>
        <v>0.91228467705226</v>
      </c>
    </row>
    <row r="212" customFormat="false" ht="15" hidden="false" customHeight="true" outlineLevel="0" collapsed="false">
      <c r="A212" s="1" t="s">
        <v>2366</v>
      </c>
      <c r="B212" s="12" t="n">
        <f aca="false">Trajectory!H5</f>
        <v>3913.27258476668</v>
      </c>
      <c r="M212" s="1" t="n">
        <v>76</v>
      </c>
      <c r="N212" s="30" t="n">
        <f aca="false">N211*(1-Projection!C14)</f>
        <v>0.905447198934919</v>
      </c>
      <c r="O212" s="30" t="n">
        <f aca="false">1-Projection!C15/2</f>
        <v>0.991693026516679</v>
      </c>
      <c r="P212" s="30" t="n">
        <f aca="false">N212*O212</f>
        <v>0.89792567306282</v>
      </c>
    </row>
    <row r="213" customFormat="false" ht="15" hidden="false" customHeight="true" outlineLevel="0" collapsed="false">
      <c r="A213" s="1" t="s">
        <v>2367</v>
      </c>
      <c r="B213" s="12" t="n">
        <f aca="false">Trajectory!H6</f>
        <v>4014.86114106723</v>
      </c>
      <c r="M213" s="1" t="n">
        <v>77</v>
      </c>
      <c r="N213" s="30" t="n">
        <f aca="false">N212*(1-Projection!C15)</f>
        <v>0.89040414719072</v>
      </c>
      <c r="O213" s="30" t="n">
        <f aca="false">1-Projection!C16/2</f>
        <v>0.990709767229588</v>
      </c>
      <c r="P213" s="30" t="n">
        <f aca="false">N213*O213</f>
        <v>0.882132085403577</v>
      </c>
    </row>
    <row r="214" customFormat="false" ht="15" hidden="false" customHeight="true" outlineLevel="0" collapsed="false">
      <c r="A214" s="1" t="s">
        <v>2368</v>
      </c>
      <c r="B214" s="12" t="n">
        <f aca="false">B213-B212</f>
        <v>101.588556300543</v>
      </c>
      <c r="M214" s="1" t="n">
        <v>78</v>
      </c>
      <c r="N214" s="30" t="n">
        <f aca="false">N213*(1-Projection!C16)</f>
        <v>0.873860023616435</v>
      </c>
      <c r="O214" s="30" t="n">
        <f aca="false">1-Projection!C17/2</f>
        <v>0.98959682668078</v>
      </c>
      <c r="P214" s="30" t="n">
        <f aca="false">N214*O214</f>
        <v>0.864769106334015</v>
      </c>
    </row>
    <row r="215" customFormat="false" ht="15" hidden="false" customHeight="true" outlineLevel="0" collapsed="false">
      <c r="A215" s="1" t="s">
        <v>2369</v>
      </c>
      <c r="B215" s="12" t="n">
        <f aca="false">Trajectory!H7-Trajectory!H6</f>
        <v>106.63506410128</v>
      </c>
      <c r="M215" s="1" t="n">
        <v>79</v>
      </c>
      <c r="N215" s="30" t="n">
        <f aca="false">N214*(1-Projection!C17)</f>
        <v>0.855678189051595</v>
      </c>
      <c r="O215" s="30" t="n">
        <f aca="false">1-Projection!C18/2</f>
        <v>0.988338673992413</v>
      </c>
      <c r="P215" s="30" t="n">
        <f aca="false">N215*O215</f>
        <v>0.845699846731483</v>
      </c>
    </row>
    <row r="216" customFormat="false" ht="15" hidden="false" customHeight="true" outlineLevel="0" collapsed="false">
      <c r="A216" s="3" t="s">
        <v>2370</v>
      </c>
      <c r="B216" s="58" t="n">
        <f aca="false">Assumptions!B14*Pricing!B14</f>
        <v>12316.0657114102</v>
      </c>
      <c r="M216" s="1" t="n">
        <v>80</v>
      </c>
      <c r="N216" s="30" t="n">
        <f aca="false">N215*(1-Projection!C18)</f>
        <v>0.835721504411371</v>
      </c>
      <c r="O216" s="30" t="n">
        <f aca="false">1-Projection!C19/2</f>
        <v>0.986472729084012</v>
      </c>
      <c r="P216" s="30" t="n">
        <f aca="false">N216*O216</f>
        <v>0.824416473210881</v>
      </c>
    </row>
    <row r="217" customFormat="false" ht="15" hidden="false" customHeight="true" outlineLevel="0" collapsed="false">
      <c r="A217" s="1" t="s">
        <v>2371</v>
      </c>
      <c r="B217" s="31" t="n">
        <f aca="false">IF(B215=0,"n/a",ABS(B214/B215))</f>
        <v>0.952674968189223</v>
      </c>
      <c r="M217" s="1" t="n">
        <v>81</v>
      </c>
      <c r="N217" s="30" t="n">
        <f aca="false">N216*(1-Projection!C19)</f>
        <v>0.813111442010391</v>
      </c>
      <c r="O217" s="30" t="n">
        <f aca="false">1-Projection!C20/2</f>
        <v>0.98481854172497</v>
      </c>
      <c r="P217" s="30" t="n">
        <f aca="false">N217*O217</f>
        <v>0.800767224580561</v>
      </c>
    </row>
    <row r="218" customFormat="false" ht="15" hidden="false" customHeight="true" outlineLevel="0" collapsed="false">
      <c r="A218" s="3" t="s">
        <v>458</v>
      </c>
      <c r="B218" s="28" t="str">
        <f aca="false">IF(AND(ABS(B214)&lt;0.25*B216,ABS(B214/B215)&lt;3),"PASS — own funds move smoothly through year one. No discontinuity of the order of the heaped commission.","FAIL — a year-one jump indicates the asset and liability sides disagree on commission timing")</f>
        <v>PASS — own funds move smoothly through year one. No discontinuity of the order of the heaped commission.</v>
      </c>
      <c r="M218" s="1" t="n">
        <v>82</v>
      </c>
      <c r="N218" s="30" t="n">
        <f aca="false">N217*(1-Projection!C20)</f>
        <v>0.78842300715073</v>
      </c>
      <c r="O218" s="30" t="n">
        <f aca="false">1-Projection!C21/2</f>
        <v>0.982959278090811</v>
      </c>
      <c r="P218" s="30" t="n">
        <f aca="false">N218*O218</f>
        <v>0.774987709939068</v>
      </c>
    </row>
    <row r="219" customFormat="false" ht="15" hidden="false" customHeight="true" outlineLevel="0" collapsed="false">
      <c r="M219" s="1" t="n">
        <v>83</v>
      </c>
      <c r="N219" s="30" t="n">
        <f aca="false">N218*(1-Projection!C21)</f>
        <v>0.761552412727406</v>
      </c>
      <c r="O219" s="30" t="n">
        <f aca="false">1-Projection!C22/2</f>
        <v>0.980875257190755</v>
      </c>
      <c r="P219" s="30" t="n">
        <f aca="false">N219*O219</f>
        <v>0.746987918698235</v>
      </c>
    </row>
    <row r="220" customFormat="false" ht="15" hidden="false" customHeight="true" outlineLevel="0" collapsed="false">
      <c r="M220" s="1" t="n">
        <v>84</v>
      </c>
      <c r="N220" s="30" t="n">
        <f aca="false">N219*(1-Projection!C22)</f>
        <v>0.732423424669064</v>
      </c>
      <c r="O220" s="30" t="n">
        <f aca="false">1-Projection!C23/2</f>
        <v>0.978546700200581</v>
      </c>
      <c r="P220" s="30" t="n">
        <f aca="false">N220*O220</f>
        <v>0.716710525359521</v>
      </c>
    </row>
    <row r="221" customFormat="false" ht="15" hidden="false" customHeight="true" outlineLevel="0" collapsed="false">
      <c r="M221" s="1" t="n">
        <v>85</v>
      </c>
      <c r="N221" s="30" t="n">
        <f aca="false">N220*(1-Projection!C23)</f>
        <v>0.700997626049978</v>
      </c>
      <c r="O221" s="30" t="n">
        <f aca="false">1-Projection!C24/2</f>
        <v>0.975161827689935</v>
      </c>
      <c r="P221" s="30" t="n">
        <f aca="false">N221*O221</f>
        <v>0.683586126225202</v>
      </c>
    </row>
    <row r="222" customFormat="false" ht="15" hidden="false" customHeight="true" outlineLevel="0" collapsed="false">
      <c r="M222" s="1" t="n">
        <v>86</v>
      </c>
      <c r="N222" s="30" t="n">
        <f aca="false">N221*(1-Projection!C24)</f>
        <v>0.666174626400427</v>
      </c>
      <c r="O222" s="30" t="n">
        <f aca="false">1-Projection!C25/2</f>
        <v>0.971827296473821</v>
      </c>
      <c r="P222" s="30" t="n">
        <f aca="false">N222*O222</f>
        <v>0.647406686154184</v>
      </c>
    </row>
    <row r="223" customFormat="false" ht="15" hidden="false" customHeight="true" outlineLevel="0" collapsed="false">
      <c r="M223" s="1" t="n">
        <v>87</v>
      </c>
      <c r="N223" s="30" t="n">
        <f aca="false">N222*(1-Projection!C25)</f>
        <v>0.628638745907942</v>
      </c>
      <c r="O223" s="30" t="n">
        <f aca="false">1-Projection!C26/2</f>
        <v>0.968049878462989</v>
      </c>
      <c r="P223" s="30" t="n">
        <f aca="false">N223*O223</f>
        <v>0.608553661573309</v>
      </c>
    </row>
    <row r="224" customFormat="false" ht="15" hidden="false" customHeight="true" outlineLevel="0" collapsed="false">
      <c r="M224" s="1" t="n">
        <v>88</v>
      </c>
      <c r="N224" s="30" t="n">
        <f aca="false">N223*(1-Projection!C26)</f>
        <v>0.588468577238675</v>
      </c>
      <c r="O224" s="30" t="n">
        <f aca="false">1-Projection!C27/2</f>
        <v>0.963785370174615</v>
      </c>
      <c r="P224" s="30" t="n">
        <f aca="false">N224*O224</f>
        <v>0.567157405550106</v>
      </c>
    </row>
    <row r="225" customFormat="false" ht="15" hidden="false" customHeight="true" outlineLevel="0" collapsed="false">
      <c r="M225" s="1" t="n">
        <v>89</v>
      </c>
      <c r="N225" s="30" t="n">
        <f aca="false">N224*(1-Projection!C27)</f>
        <v>0.545846233861536</v>
      </c>
      <c r="O225" s="30" t="n">
        <f aca="false">1-Projection!C28/2</f>
        <v>0.958989571711615</v>
      </c>
      <c r="P225" s="30" t="n">
        <f aca="false">N225*O225</f>
        <v>0.523460846031273</v>
      </c>
    </row>
    <row r="226" customFormat="false" ht="15" hidden="false" customHeight="true" outlineLevel="0" collapsed="false">
      <c r="M226" s="1" t="n">
        <v>90</v>
      </c>
      <c r="N226" s="30" t="n">
        <f aca="false">N225*(1-Projection!C28)</f>
        <v>0.501075458201009</v>
      </c>
      <c r="O226" s="30" t="n">
        <f aca="false">1-Projection!C29/2</f>
        <v>0.952139646093046</v>
      </c>
      <c r="P226" s="30" t="n">
        <f aca="false">N226*O226</f>
        <v>0.47709380943742</v>
      </c>
    </row>
    <row r="227" customFormat="false" ht="15" hidden="false" customHeight="true" outlineLevel="0" collapsed="false">
      <c r="M227" s="1" t="n">
        <v>91</v>
      </c>
      <c r="N227" s="30" t="n">
        <f aca="false">N226*(1-Projection!C29)</f>
        <v>0.45311216067383</v>
      </c>
      <c r="O227" s="30" t="n">
        <f aca="false">1-Projection!C30/2</f>
        <v>0.946059228900822</v>
      </c>
      <c r="P227" s="30" t="n">
        <f aca="false">N227*O227</f>
        <v>0.428670941332669</v>
      </c>
    </row>
    <row r="228" customFormat="false" ht="15" hidden="false" customHeight="true" outlineLevel="0" collapsed="false">
      <c r="M228" s="1" t="n">
        <v>92</v>
      </c>
      <c r="N228" s="30" t="n">
        <f aca="false">N227*(1-Projection!C30)</f>
        <v>0.404229721991509</v>
      </c>
      <c r="O228" s="30" t="n">
        <f aca="false">1-Projection!C31/2</f>
        <v>0.939871471647336</v>
      </c>
      <c r="P228" s="30" t="n">
        <f aca="false">N228*O228</f>
        <v>0.379923983691753</v>
      </c>
    </row>
    <row r="229" customFormat="false" ht="15" hidden="false" customHeight="true" outlineLevel="0" collapsed="false">
      <c r="M229" s="1" t="n">
        <v>93</v>
      </c>
      <c r="N229" s="30" t="n">
        <f aca="false">N228*(1-Projection!C31)</f>
        <v>0.355618245391997</v>
      </c>
      <c r="O229" s="30" t="n">
        <f aca="false">1-Projection!C32/2</f>
        <v>0.934014573533681</v>
      </c>
      <c r="P229" s="30" t="n">
        <f aca="false">N229*O229</f>
        <v>0.332152623810602</v>
      </c>
    </row>
    <row r="230" customFormat="false" ht="15" hidden="false" customHeight="true" outlineLevel="0" collapsed="false">
      <c r="M230" s="1" t="n">
        <v>94</v>
      </c>
      <c r="N230" s="30" t="n">
        <f aca="false">N229*(1-Projection!C32)</f>
        <v>0.308687002229207</v>
      </c>
      <c r="O230" s="30" t="n">
        <f aca="false">1-Projection!C33/2</f>
        <v>0.928530793860416</v>
      </c>
      <c r="P230" s="30" t="n">
        <f aca="false">N230*O230</f>
        <v>0.286625387234277</v>
      </c>
    </row>
    <row r="231" customFormat="false" ht="15" hidden="false" customHeight="true" outlineLevel="0" collapsed="false">
      <c r="M231" s="1" t="n">
        <v>95</v>
      </c>
      <c r="N231" s="30" t="n">
        <f aca="false">N230*(1-Projection!C33)</f>
        <v>0.264563772239348</v>
      </c>
      <c r="O231" s="30" t="n">
        <f aca="false">1-Projection!C34/2</f>
        <v>0.920998724292997</v>
      </c>
      <c r="P231" s="30" t="n">
        <f aca="false">N231*O231</f>
        <v>0.243662896726582</v>
      </c>
    </row>
    <row r="232" customFormat="false" ht="15" hidden="false" customHeight="true" outlineLevel="0" collapsed="false">
      <c r="M232" s="1" t="n">
        <v>96</v>
      </c>
      <c r="N232" s="30" t="n">
        <f aca="false">N231*(1-Projection!C34)</f>
        <v>0.222762021213817</v>
      </c>
      <c r="O232" s="30" t="n">
        <f aca="false">1-Projection!C35/2</f>
        <v>0.915909972107639</v>
      </c>
      <c r="P232" s="30" t="n">
        <f aca="false">N232*O232</f>
        <v>0.204029956636588</v>
      </c>
    </row>
    <row r="233" customFormat="false" ht="15" hidden="false" customHeight="true" outlineLevel="0" collapsed="false">
      <c r="M233" s="1" t="n">
        <v>97</v>
      </c>
      <c r="N233" s="30" t="n">
        <f aca="false">N232*(1-Projection!C35)</f>
        <v>0.18529789205936</v>
      </c>
      <c r="O233" s="30" t="n">
        <f aca="false">1-Projection!C36/2</f>
        <v>0.910955568542373</v>
      </c>
      <c r="P233" s="30" t="n">
        <f aca="false">N233*O233</f>
        <v>0.168798146610637</v>
      </c>
    </row>
    <row r="234" customFormat="false" ht="15" hidden="false" customHeight="true" outlineLevel="0" collapsed="false">
      <c r="M234" s="1" t="n">
        <v>98</v>
      </c>
      <c r="N234" s="30" t="n">
        <f aca="false">N233*(1-Projection!C36)</f>
        <v>0.152298401161915</v>
      </c>
      <c r="O234" s="30" t="n">
        <f aca="false">1-Projection!C37/2</f>
        <v>0.906016402145853</v>
      </c>
      <c r="P234" s="30" t="n">
        <f aca="false">N234*O234</f>
        <v>0.137984849473284</v>
      </c>
    </row>
    <row r="235" customFormat="false" ht="15" hidden="false" customHeight="true" outlineLevel="0" collapsed="false">
      <c r="M235" s="1" t="n">
        <v>99</v>
      </c>
      <c r="N235" s="30" t="n">
        <f aca="false">N234*(1-Projection!C37)</f>
        <v>0.123671297784653</v>
      </c>
      <c r="O235" s="30" t="n">
        <f aca="false">1-Projection!C38/2</f>
        <v>0.900964957972651</v>
      </c>
      <c r="P235" s="30" t="n">
        <f aca="false">N235*O235</f>
        <v>0.111423505610973</v>
      </c>
    </row>
    <row r="236" customFormat="false" ht="15" hidden="false" customHeight="true" outlineLevel="0" collapsed="false">
      <c r="M236" s="1" t="n">
        <v>100</v>
      </c>
      <c r="N236" s="30" t="n">
        <f aca="false">N235*(1-Projection!C38)</f>
        <v>0.0991757134372931</v>
      </c>
      <c r="O236" s="30" t="n">
        <f aca="false">1-Projection!C39/2</f>
        <v>0.895660750958726</v>
      </c>
      <c r="P236" s="30" t="n">
        <f aca="false">N236*O236</f>
        <v>0.0888277939741133</v>
      </c>
    </row>
    <row r="237" customFormat="false" ht="15" hidden="false" customHeight="true" outlineLevel="0" collapsed="false">
      <c r="M237" s="1" t="n">
        <v>101</v>
      </c>
      <c r="N237" s="30" t="n">
        <f aca="false">N236*(1-Projection!C39)</f>
        <v>0.0784798745109336</v>
      </c>
      <c r="O237" s="30" t="n">
        <f aca="false">1-Projection!C40/2</f>
        <v>0.889937809166422</v>
      </c>
      <c r="P237" s="30" t="n">
        <f aca="false">N237*O237</f>
        <v>0.069842207585916</v>
      </c>
    </row>
    <row r="238" customFormat="false" ht="15" hidden="false" customHeight="true" outlineLevel="0" collapsed="false">
      <c r="M238" s="1" t="n">
        <v>102</v>
      </c>
      <c r="N238" s="30" t="n">
        <f aca="false">N237*(1-Projection!C40)</f>
        <v>0.0612045406608983</v>
      </c>
      <c r="O238" s="30" t="n">
        <f aca="false">1-Projection!C41/2</f>
        <v>0.88358292258609</v>
      </c>
      <c r="P238" s="30" t="n">
        <f aca="false">N238*O238</f>
        <v>0.0540792869126957</v>
      </c>
    </row>
    <row r="239" customFormat="false" ht="15" hidden="false" customHeight="true" outlineLevel="0" collapsed="false">
      <c r="M239" s="1" t="n">
        <v>103</v>
      </c>
      <c r="N239" s="30" t="n">
        <f aca="false">N238*(1-Projection!C41)</f>
        <v>0.0469540331644932</v>
      </c>
      <c r="O239" s="30" t="n">
        <f aca="false">1-Projection!C42/2</f>
        <v>0.876302560700569</v>
      </c>
      <c r="P239" s="30" t="n">
        <f aca="false">N239*O239</f>
        <v>0.0411459394972648</v>
      </c>
    </row>
    <row r="240" customFormat="false" ht="15" hidden="false" customHeight="true" outlineLevel="0" collapsed="false">
      <c r="M240" s="1" t="n">
        <v>104</v>
      </c>
      <c r="N240" s="30" t="n">
        <f aca="false">N239*(1-Projection!C42)</f>
        <v>0.0353378458300364</v>
      </c>
      <c r="O240" s="30" t="n">
        <f aca="false">1-Projection!C43/2</f>
        <v>0.881072717021277</v>
      </c>
      <c r="P240" s="30" t="n">
        <f aca="false">N240*O240</f>
        <v>0.0311352118391492</v>
      </c>
    </row>
    <row r="241" customFormat="false" ht="15" hidden="false" customHeight="true" outlineLevel="0" collapsed="false">
      <c r="M241" s="1" t="n">
        <v>105</v>
      </c>
      <c r="N241" s="30" t="n">
        <f aca="false">N240*(1-Projection!C43)</f>
        <v>0.0269325778482619</v>
      </c>
      <c r="O241" s="30" t="n">
        <f aca="false">1-Projection!C44/2</f>
        <v>0.938988963961495</v>
      </c>
      <c r="P241" s="30" t="n">
        <f aca="false">N241*O241</f>
        <v>0.0252893933705518</v>
      </c>
    </row>
    <row r="242" customFormat="false" ht="15" hidden="false" customHeight="true" outlineLevel="0" collapsed="false">
      <c r="M242" s="1" t="n">
        <v>106</v>
      </c>
      <c r="N242" s="30" t="n">
        <f aca="false">N241*(1-Projection!C44)</f>
        <v>0.0236462088928417</v>
      </c>
      <c r="O242" s="30" t="n">
        <f aca="false">1-Projection!C45/2</f>
        <v>0.832974592758191</v>
      </c>
      <c r="P242" s="30" t="n">
        <f aca="false">N242*O242</f>
        <v>0.0196966912227899</v>
      </c>
    </row>
    <row r="243" customFormat="false" ht="15" hidden="false" customHeight="true" outlineLevel="0" collapsed="false">
      <c r="M243" s="1" t="n">
        <v>107</v>
      </c>
      <c r="N243" s="30" t="n">
        <f aca="false">N242*(1-Projection!C45)</f>
        <v>0.0157471735527381</v>
      </c>
      <c r="O243" s="30" t="n">
        <f aca="false">1-Projection!C46/2</f>
        <v>0.820885780986485</v>
      </c>
      <c r="P243" s="30" t="n">
        <f aca="false">N243*O243</f>
        <v>0.0129266308601692</v>
      </c>
    </row>
    <row r="244" customFormat="false" ht="15" hidden="false" customHeight="true" outlineLevel="0" collapsed="false">
      <c r="M244" s="1" t="n">
        <v>108</v>
      </c>
      <c r="N244" s="30" t="n">
        <f aca="false">N243*(1-Projection!C46)</f>
        <v>0.0101060881676002</v>
      </c>
      <c r="O244" s="30" t="n">
        <f aca="false">1-Projection!C47/2</f>
        <v>0.808006507135892</v>
      </c>
      <c r="P244" s="30" t="n">
        <f aca="false">N244*O244</f>
        <v>0.00816578500111</v>
      </c>
    </row>
    <row r="245" customFormat="false" ht="15" hidden="false" customHeight="true" outlineLevel="0" collapsed="false">
      <c r="M245" s="1" t="n">
        <v>109</v>
      </c>
      <c r="N245" s="30" t="n">
        <f aca="false">N244*(1-Projection!C47)</f>
        <v>0.0062254818346198</v>
      </c>
      <c r="O245" s="30" t="n">
        <f aca="false">1-Projection!C48/2</f>
        <v>0.794294473037617</v>
      </c>
      <c r="P245" s="30" t="n">
        <f aca="false">N245*O245</f>
        <v>0.0049448658132346</v>
      </c>
    </row>
    <row r="246" customFormat="false" ht="15" hidden="false" customHeight="true" outlineLevel="0" collapsed="false">
      <c r="M246" s="1" t="n">
        <v>110</v>
      </c>
      <c r="N246" s="30" t="n">
        <f aca="false">N245*(1-Projection!C48)</f>
        <v>0.00366424979184939</v>
      </c>
      <c r="O246" s="30" t="n">
        <f aca="false">1-Projection!C49/2</f>
        <v>0.77970454909907</v>
      </c>
      <c r="P246" s="30" t="n">
        <f aca="false">N246*O246</f>
        <v>0.00285703223174029</v>
      </c>
    </row>
    <row r="247" customFormat="false" ht="15" hidden="false" customHeight="true" outlineLevel="0" collapsed="false">
      <c r="M247" s="1" t="n">
        <v>111</v>
      </c>
      <c r="N247" s="30" t="n">
        <f aca="false">N246*(1-Projection!C49)</f>
        <v>0.00204981467163119</v>
      </c>
      <c r="O247" s="30" t="n">
        <f aca="false">1-Projection!C50/2</f>
        <v>0.770880930556</v>
      </c>
      <c r="P247" s="30" t="n">
        <f aca="false">N247*O247</f>
        <v>0.00158016304153439</v>
      </c>
    </row>
    <row r="248" customFormat="false" ht="15" hidden="false" customHeight="true" outlineLevel="0" collapsed="false">
      <c r="M248" s="1" t="n">
        <v>112</v>
      </c>
      <c r="N248" s="30" t="n">
        <f aca="false">N247*(1-Projection!C50)</f>
        <v>0.00111051141143759</v>
      </c>
      <c r="O248" s="30" t="n">
        <f aca="false">1-Projection!C51/2</f>
        <v>0.762093211554414</v>
      </c>
      <c r="P248" s="30" t="n">
        <f aca="false">N248*O248</f>
        <v>0.000846313208010302</v>
      </c>
    </row>
    <row r="249" customFormat="false" ht="15" hidden="false" customHeight="true" outlineLevel="0" collapsed="false">
      <c r="M249" s="1" t="n">
        <v>113</v>
      </c>
      <c r="N249" s="30" t="n">
        <f aca="false">N248*(1-Projection!C51)</f>
        <v>0.000582115004583009</v>
      </c>
      <c r="O249" s="30" t="n">
        <f aca="false">1-Projection!C52/2</f>
        <v>0.753368492404501</v>
      </c>
      <c r="P249" s="30" t="n">
        <f aca="false">N249*O249</f>
        <v>0.000438547103408741</v>
      </c>
    </row>
    <row r="250" customFormat="false" ht="15" hidden="false" customHeight="true" outlineLevel="0" collapsed="false">
      <c r="M250" s="1" t="n">
        <v>114</v>
      </c>
      <c r="N250" s="30" t="n">
        <f aca="false">N249*(1-Projection!C52)</f>
        <v>0.000294979202234473</v>
      </c>
      <c r="O250" s="30" t="n">
        <f aca="false">1-Projection!C53/2</f>
        <v>0.744732682396989</v>
      </c>
      <c r="P250" s="30" t="n">
        <f aca="false">N250*O250</f>
        <v>0.000219680652531403</v>
      </c>
    </row>
    <row r="251" customFormat="false" ht="15" hidden="false" customHeight="true" outlineLevel="0" collapsed="false">
      <c r="M251" s="1" t="n">
        <v>115</v>
      </c>
      <c r="N251" s="30" t="n">
        <f aca="false">N250*(1-Projection!C53)</f>
        <v>0.000144382102828333</v>
      </c>
      <c r="O251" s="30" t="n">
        <f aca="false">1-Projection!C54/2</f>
        <v>0.736210224041536</v>
      </c>
      <c r="P251" s="30" t="n">
        <f aca="false">N251*O251</f>
        <v>0.000106295580270835</v>
      </c>
    </row>
    <row r="252" customFormat="false" ht="15" hidden="false" customHeight="true" outlineLevel="0" collapsed="false">
      <c r="M252" s="1" t="n">
        <v>116</v>
      </c>
      <c r="N252" s="30" t="n">
        <f aca="false">N251*(1-Projection!C54)</f>
        <v>6.82090577133371E-005</v>
      </c>
      <c r="O252" s="30" t="n">
        <f aca="false">1-Projection!C55/2</f>
        <v>0.72782386757394</v>
      </c>
      <c r="P252" s="30" t="n">
        <f aca="false">N252*O252</f>
        <v>4.96441801884951E-005</v>
      </c>
    </row>
    <row r="253" customFormat="false" ht="15" hidden="false" customHeight="true" outlineLevel="0" collapsed="false">
      <c r="M253" s="1" t="n">
        <v>117</v>
      </c>
      <c r="N253" s="30" t="n">
        <f aca="false">N252*(1-Projection!C55)</f>
        <v>3.10793026636531E-005</v>
      </c>
      <c r="O253" s="30" t="n">
        <f aca="false">1-Projection!C56/2</f>
        <v>0.719594496395159</v>
      </c>
      <c r="P253" s="30" t="n">
        <f aca="false">N253*O253</f>
        <v>2.23644951485642E-005</v>
      </c>
    </row>
    <row r="254" customFormat="false" ht="15" hidden="false" customHeight="true" outlineLevel="0" collapsed="false">
      <c r="M254" s="1" t="n">
        <v>118</v>
      </c>
      <c r="N254" s="30" t="n">
        <f aca="false">N253*(1-Projection!C56)</f>
        <v>1.36496876334753E-005</v>
      </c>
      <c r="O254" s="30" t="n">
        <f aca="false">1-Projection!C57/2</f>
        <v>0.711541001897809</v>
      </c>
      <c r="P254" s="30" t="n">
        <f aca="false">N254*O254</f>
        <v>9.71231241431515E-006</v>
      </c>
    </row>
    <row r="255" customFormat="false" ht="15" hidden="false" customHeight="true" outlineLevel="0" collapsed="false">
      <c r="M255" s="1" t="n">
        <v>119</v>
      </c>
      <c r="N255" s="30" t="n">
        <f aca="false">N254*(1-Projection!C57)</f>
        <v>5.774937195155E-006</v>
      </c>
      <c r="O255" s="30" t="n">
        <f aca="false">1-Projection!C58/2</f>
        <v>0.703680204487746</v>
      </c>
      <c r="P255" s="30" t="n">
        <f aca="false">N255*O255</f>
        <v>4.06370898639056E-006</v>
      </c>
    </row>
    <row r="256" customFormat="false" ht="15" hidden="false" customHeight="true" outlineLevel="0" collapsed="false">
      <c r="M256" s="1" t="n">
        <v>120</v>
      </c>
      <c r="N256" s="30" t="n">
        <f aca="false">N255*(1-Projection!C58)</f>
        <v>2.35248077762612E-006</v>
      </c>
      <c r="O256" s="30" t="n">
        <f aca="false">1-Projection!C59/2</f>
        <v>0.696026816514596</v>
      </c>
      <c r="P256" s="30" t="n">
        <f aca="false">N256*O256</f>
        <v>1.63738970656289E-006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0"/>
    <col collapsed="false" customWidth="true" hidden="false" outlineLevel="0" max="7" min="2" style="1" width="14"/>
    <col collapsed="false" customWidth="true" hidden="false" outlineLevel="0" max="8" min="8" style="1" width="16"/>
    <col collapsed="false" customWidth="true" hidden="false" outlineLevel="0" max="9" min="9" style="1" width="22"/>
  </cols>
  <sheetData>
    <row r="1" customFormat="false" ht="15.75" hidden="false" customHeight="true" outlineLevel="0" collapsed="false">
      <c r="A1" s="1" t="s">
        <v>2372</v>
      </c>
    </row>
    <row r="2" customFormat="false" ht="15" hidden="false" customHeight="true" outlineLevel="0" collapsed="false">
      <c r="A2" s="1" t="s">
        <v>2373</v>
      </c>
    </row>
    <row r="3" customFormat="false" ht="15" hidden="false" customHeight="true" outlineLevel="0" collapsed="false">
      <c r="A3" s="1" t="s">
        <v>2374</v>
      </c>
    </row>
    <row r="5" customFormat="false" ht="15" hidden="false" customHeight="true" outlineLevel="0" collapsed="false">
      <c r="A5" s="1" t="s">
        <v>2375</v>
      </c>
      <c r="B5" s="12" t="n">
        <f aca="false">Reserving!E5</f>
        <v>169782.914600927</v>
      </c>
    </row>
    <row r="6" customFormat="false" ht="15" hidden="false" customHeight="true" outlineLevel="0" collapsed="false">
      <c r="A6" s="1" t="s">
        <v>2376</v>
      </c>
      <c r="B6" s="12" t="n">
        <f aca="false">Assumptions!B44*B5</f>
        <v>16978.2914600927</v>
      </c>
    </row>
    <row r="8" customFormat="false" ht="15" hidden="false" customHeight="true" outlineLevel="0" collapsed="false">
      <c r="A8" s="1" t="s">
        <v>2377</v>
      </c>
    </row>
    <row r="9" customFormat="false" ht="15" hidden="false" customHeight="true" outlineLevel="0" collapsed="false">
      <c r="B9" s="1" t="s">
        <v>828</v>
      </c>
      <c r="C9" s="1" t="s">
        <v>829</v>
      </c>
      <c r="D9" s="1" t="s">
        <v>830</v>
      </c>
      <c r="E9" s="1" t="s">
        <v>831</v>
      </c>
      <c r="F9" s="1" t="s">
        <v>832</v>
      </c>
    </row>
    <row r="10" customFormat="false" ht="15" hidden="false" customHeight="true" outlineLevel="0" collapsed="false">
      <c r="A10" s="1" t="s">
        <v>2378</v>
      </c>
      <c r="B10" s="12" t="n">
        <f aca="false">OwnFunds_SCR!B7-IF(0&gt;=Assumptions!$B$6,$B$6*Discount!$C$19/Discount!C4,0)</f>
        <v>3913.27258476668</v>
      </c>
      <c r="C10" s="12" t="n">
        <f aca="false">OwnFunds_SCR!C7-IF(5&gt;=Assumptions!$B$6,$B$6*Discount!$C$19/Discount!C9,0)</f>
        <v>4464.12925122245</v>
      </c>
      <c r="D10" s="12" t="n">
        <f aca="false">OwnFunds_SCR!D7-IF(10&gt;=Assumptions!$B$6,$B$6*Discount!$C$19/Discount!C14,0)</f>
        <v>5213.84460962823</v>
      </c>
      <c r="E10" s="12" t="n">
        <f aca="false">OwnFunds_SCR!E7-IF(15&gt;=Assumptions!$B$6,$B$6*Discount!$C$19/Discount!C19,0)</f>
        <v>-10785.8435424719</v>
      </c>
      <c r="F10" s="12" t="n">
        <f aca="false">OwnFunds_SCR!F7-IF(20&gt;=Assumptions!$B$6,$B$6*Discount!$C$19/Discount!C24,0)</f>
        <v>-12720.8541813482</v>
      </c>
    </row>
    <row r="11" customFormat="false" ht="15" hidden="false" customHeight="true" outlineLevel="0" collapsed="false">
      <c r="A11" s="1" t="s">
        <v>2379</v>
      </c>
      <c r="B11" s="12" t="n">
        <f aca="false">RiskMargin!N4</f>
        <v>16652.8497463172</v>
      </c>
      <c r="C11" s="12" t="n">
        <f aca="false">RiskMargin!N9</f>
        <v>18332.0884072738</v>
      </c>
      <c r="D11" s="12" t="n">
        <f aca="false">RiskMargin!N14</f>
        <v>19457.0144705602</v>
      </c>
      <c r="E11" s="12" t="n">
        <f aca="false">RiskMargin!N19</f>
        <v>6888.34430241931</v>
      </c>
      <c r="F11" s="12" t="n">
        <f aca="false">RiskMargin!N24</f>
        <v>8085.8164578464</v>
      </c>
    </row>
    <row r="12" customFormat="false" ht="15" hidden="false" customHeight="true" outlineLevel="0" collapsed="false">
      <c r="A12" s="1" t="s">
        <v>2380</v>
      </c>
      <c r="B12" s="12" t="n">
        <f aca="false">RiskMargin!P4</f>
        <v>24292.7831709885</v>
      </c>
      <c r="C12" s="12" t="n">
        <f aca="false">RiskMargin!P9</f>
        <v>22062.7304537928</v>
      </c>
      <c r="D12" s="12" t="n">
        <f aca="false">RiskMargin!P14</f>
        <v>19543.6547607798</v>
      </c>
      <c r="E12" s="12" t="n">
        <f aca="false">RiskMargin!P19</f>
        <v>16759.8985315023</v>
      </c>
      <c r="F12" s="12" t="n">
        <f aca="false">RiskMargin!P24</f>
        <v>17334.0729949013</v>
      </c>
    </row>
    <row r="13" customFormat="false" ht="15" hidden="false" customHeight="true" outlineLevel="0" collapsed="false">
      <c r="A13" s="1" t="s">
        <v>1104</v>
      </c>
      <c r="B13" s="12" t="n">
        <f aca="false">MAX(0,(B11-(B10-B12))/Projection!F4)</f>
        <v>37032.3603325391</v>
      </c>
      <c r="C13" s="12" t="n">
        <f aca="false">MAX(0,(C11-(C10-C12))/Projection!F9)</f>
        <v>41116.5130109834</v>
      </c>
      <c r="D13" s="12" t="n">
        <f aca="false">MAX(0,(D11-(D10-D12))/Projection!F14)</f>
        <v>42677.3896843155</v>
      </c>
      <c r="E13" s="12" t="n">
        <f aca="false">MAX(0,(E11-(E10-E12))/Projection!F19)</f>
        <v>50072.7623643002</v>
      </c>
      <c r="F13" s="12" t="n">
        <f aca="false">MAX(0,(F11-(F10-F12))/Projection!F24)</f>
        <v>66122.181397612</v>
      </c>
    </row>
    <row r="15" customFormat="false" ht="15" hidden="false" customHeight="true" outlineLevel="0" collapsed="false">
      <c r="A15" s="1" t="s">
        <v>2381</v>
      </c>
      <c r="B15" s="12" t="n">
        <f aca="false">MAX(B13:F13)</f>
        <v>66122.181397612</v>
      </c>
    </row>
    <row r="16" customFormat="false" ht="15" hidden="false" customHeight="true" outlineLevel="0" collapsed="false">
      <c r="A16" s="1" t="s">
        <v>2382</v>
      </c>
      <c r="B16" s="12" t="n">
        <f aca="false">Trajectory!$B$164</f>
        <v>36779.6909834719</v>
      </c>
    </row>
    <row r="17" customFormat="false" ht="15" hidden="false" customHeight="true" outlineLevel="0" collapsed="false">
      <c r="A17" s="1" t="s">
        <v>2383</v>
      </c>
      <c r="B17" s="12" t="n">
        <f aca="false">B15-B16</f>
        <v>29342.4904141401</v>
      </c>
    </row>
    <row r="19" customFormat="false" ht="15" hidden="false" customHeight="true" outlineLevel="0" collapsed="false">
      <c r="A19" s="1" t="s">
        <v>2384</v>
      </c>
    </row>
    <row r="20" customFormat="false" ht="15" hidden="false" customHeight="true" outlineLevel="0" collapsed="false">
      <c r="B20" s="1" t="s">
        <v>828</v>
      </c>
      <c r="C20" s="1" t="s">
        <v>829</v>
      </c>
      <c r="D20" s="1" t="s">
        <v>830</v>
      </c>
      <c r="E20" s="1" t="s">
        <v>831</v>
      </c>
      <c r="F20" s="1" t="s">
        <v>832</v>
      </c>
    </row>
    <row r="21" customFormat="false" ht="15" hidden="false" customHeight="true" outlineLevel="0" collapsed="false">
      <c r="A21" s="1" t="s">
        <v>2385</v>
      </c>
      <c r="B21" s="12" t="n">
        <f aca="false">OwnFunds_SCR!B7</f>
        <v>3913.27258476668</v>
      </c>
      <c r="C21" s="12" t="n">
        <f aca="false">OwnFunds_SCR!C7</f>
        <v>4464.12925122245</v>
      </c>
      <c r="D21" s="12" t="n">
        <f aca="false">OwnFunds_SCR!D7</f>
        <v>5213.84460962823</v>
      </c>
      <c r="E21" s="12" t="n">
        <f aca="false">OwnFunds_SCR!E7</f>
        <v>6192.44791762077</v>
      </c>
      <c r="F21" s="12" t="n">
        <f aca="false">OwnFunds_SCR!F7</f>
        <v>7303.39047432478</v>
      </c>
    </row>
    <row r="22" customFormat="false" ht="15" hidden="false" customHeight="true" outlineLevel="0" collapsed="false">
      <c r="A22" s="1" t="s">
        <v>2386</v>
      </c>
      <c r="B22" s="12" t="n">
        <f aca="false">RiskMargin!R4</f>
        <v>16652.8497463172</v>
      </c>
      <c r="C22" s="12" t="n">
        <f aca="false">RiskMargin!R9</f>
        <v>18332.0884072738</v>
      </c>
      <c r="D22" s="12" t="n">
        <f aca="false">RiskMargin!R14</f>
        <v>19457.0144705602</v>
      </c>
      <c r="E22" s="48" t="n">
        <f aca="false">RiskMargin!R19</f>
        <v>353.982271517714</v>
      </c>
      <c r="F22" s="48" t="n">
        <f aca="false">RiskMargin!R24</f>
        <v>285.559731371701</v>
      </c>
    </row>
    <row r="23" customFormat="false" ht="15" hidden="false" customHeight="true" outlineLevel="0" collapsed="false">
      <c r="A23" s="1" t="s">
        <v>2387</v>
      </c>
      <c r="B23" s="12" t="n">
        <f aca="false">RiskMargin!T4</f>
        <v>13828.3139094647</v>
      </c>
      <c r="C23" s="12" t="n">
        <f aca="false">RiskMargin!T9</f>
        <v>10125.2172044642</v>
      </c>
      <c r="D23" s="12" t="n">
        <f aca="false">RiskMargin!T14</f>
        <v>5601.33015395225</v>
      </c>
      <c r="E23" s="48" t="n">
        <f aca="false">RiskMargin!T19</f>
        <v>200.694059066264</v>
      </c>
      <c r="F23" s="48" t="n">
        <f aca="false">RiskMargin!T24</f>
        <v>127.271427739192</v>
      </c>
    </row>
    <row r="24" customFormat="false" ht="15" hidden="false" customHeight="true" outlineLevel="0" collapsed="false">
      <c r="A24" s="1" t="s">
        <v>1104</v>
      </c>
      <c r="B24" s="12" t="n">
        <f aca="false">MAX(0,(B22-(B21-B23))/Projection!F4)</f>
        <v>26567.8910710152</v>
      </c>
      <c r="C24" s="12" t="n">
        <f aca="false">MAX(0,(C22-(C21-C23))/Projection!F9)</f>
        <v>27456.0760930031</v>
      </c>
      <c r="D24" s="12" t="n">
        <f aca="false">MAX(0,(D22-(D21-D23))/Projection!F14)</f>
        <v>25066.3230329548</v>
      </c>
      <c r="E24" s="12" t="n">
        <f aca="false">MAX(0,(E22-(E21-E23))/Projection!F19)</f>
        <v>0</v>
      </c>
      <c r="F24" s="12" t="n">
        <f aca="false">MAX(0,(F22-(F21-F23))/Projection!F24)</f>
        <v>0</v>
      </c>
    </row>
    <row r="26" customFormat="false" ht="15" hidden="false" customHeight="true" outlineLevel="0" collapsed="false">
      <c r="A26" s="1" t="s">
        <v>2388</v>
      </c>
      <c r="B26" s="12" t="n">
        <f aca="false">MAX(B24:F24)</f>
        <v>27456.0760930031</v>
      </c>
    </row>
    <row r="28" customFormat="false" ht="15" hidden="false" customHeight="true" outlineLevel="0" collapsed="false">
      <c r="A28" s="1" t="s">
        <v>2389</v>
      </c>
    </row>
    <row r="29" customFormat="false" ht="15" hidden="false" customHeight="true" outlineLevel="0" collapsed="false">
      <c r="B29" s="1" t="s">
        <v>828</v>
      </c>
      <c r="C29" s="1" t="s">
        <v>829</v>
      </c>
      <c r="D29" s="1" t="s">
        <v>830</v>
      </c>
      <c r="E29" s="1" t="s">
        <v>831</v>
      </c>
      <c r="F29" s="1" t="s">
        <v>832</v>
      </c>
      <c r="G29" s="1" t="s">
        <v>1012</v>
      </c>
      <c r="H29" s="8" t="s">
        <v>2390</v>
      </c>
      <c r="I29" s="8" t="s">
        <v>2391</v>
      </c>
    </row>
    <row r="30" customFormat="false" ht="15" hidden="false" customHeight="true" outlineLevel="0" collapsed="false">
      <c r="A30" s="1" t="s">
        <v>2392</v>
      </c>
      <c r="B30" s="12" t="n">
        <f aca="false">MAX(0,(RiskMargin!N4-((OwnFunds_SCR!B7-IF(0&gt;=Assumptions!$B$6,0.08*$B$5*Discount!$C$19/Discount!C4,0))-RiskMargin!P4))/Projection!F4)</f>
        <v>37032.3603325391</v>
      </c>
      <c r="C30" s="12" t="n">
        <f aca="false">MAX(0,(RiskMargin!N9-((OwnFunds_SCR!C7-IF(5&gt;=Assumptions!$B$6,0.08*$B$5*Discount!$C$19/Discount!C9,0))-RiskMargin!P9))/Projection!F9)</f>
        <v>41116.5130109834</v>
      </c>
      <c r="D30" s="12" t="n">
        <f aca="false">MAX(0,(RiskMargin!N14-((OwnFunds_SCR!D7-IF(10&gt;=Assumptions!$B$6,0.08*$B$5*Discount!$C$19/Discount!C14,0))-RiskMargin!P14))/Projection!F14)</f>
        <v>42677.3896843155</v>
      </c>
      <c r="E30" s="12" t="n">
        <f aca="false">MAX(0,(RiskMargin!N19-((OwnFunds_SCR!E7-IF(15&gt;=Assumptions!$B$6,0.08*$B$5*Discount!$C$19/Discount!C19,0))-RiskMargin!P19))/Projection!F19)</f>
        <v>45134.9228970921</v>
      </c>
      <c r="F30" s="12" t="n">
        <f aca="false">MAX(0,(RiskMargin!N24-((OwnFunds_SCR!F7-IF(20&gt;=Assumptions!$B$6,0.08*$B$5*Discount!$C$19/Discount!C24,0))-RiskMargin!P24))/Projection!F24)</f>
        <v>59179.2295234962</v>
      </c>
      <c r="G30" s="12" t="n">
        <f aca="false">MAX(B30:F30)</f>
        <v>59179.2295234962</v>
      </c>
      <c r="H30" s="12" t="n">
        <f aca="false">0.08*$B$5</f>
        <v>13582.6331680742</v>
      </c>
      <c r="I30" s="12" t="n">
        <f aca="false">G30-$B$16</f>
        <v>22399.5385400244</v>
      </c>
    </row>
    <row r="31" customFormat="false" ht="15" hidden="false" customHeight="true" outlineLevel="0" collapsed="false">
      <c r="A31" s="1" t="s">
        <v>2393</v>
      </c>
      <c r="B31" s="12" t="n">
        <f aca="false">MAX(0,(RiskMargin!N4-((OwnFunds_SCR!B7-IF(0&gt;=Assumptions!$B$6,0.1*$B$5*Discount!$C$19/Discount!C4,0))-RiskMargin!P4))/Projection!F4)</f>
        <v>37032.3603325391</v>
      </c>
      <c r="C31" s="12" t="n">
        <f aca="false">MAX(0,(RiskMargin!N9-((OwnFunds_SCR!C7-IF(5&gt;=Assumptions!$B$6,0.1*$B$5*Discount!$C$19/Discount!C9,0))-RiskMargin!P9))/Projection!F9)</f>
        <v>41116.5130109834</v>
      </c>
      <c r="D31" s="12" t="n">
        <f aca="false">MAX(0,(RiskMargin!N14-((OwnFunds_SCR!D7-IF(10&gt;=Assumptions!$B$6,0.1*$B$5*Discount!$C$19/Discount!C14,0))-RiskMargin!P14))/Projection!F14)</f>
        <v>42677.3896843155</v>
      </c>
      <c r="E31" s="12" t="n">
        <f aca="false">MAX(0,(RiskMargin!N19-((OwnFunds_SCR!E7-IF(15&gt;=Assumptions!$B$6,0.1*$B$5*Discount!$C$19/Discount!C19,0))-RiskMargin!P19))/Projection!F19)</f>
        <v>50072.7623643002</v>
      </c>
      <c r="F31" s="12" t="n">
        <f aca="false">MAX(0,(RiskMargin!N24-((OwnFunds_SCR!F7-IF(20&gt;=Assumptions!$B$6,0.1*$B$5*Discount!$C$19/Discount!C24,0))-RiskMargin!P24))/Projection!F24)</f>
        <v>66122.181397612</v>
      </c>
      <c r="G31" s="12" t="n">
        <f aca="false">MAX(B31:F31)</f>
        <v>66122.181397612</v>
      </c>
      <c r="H31" s="12" t="n">
        <f aca="false">0.1*$B$5</f>
        <v>16978.2914600927</v>
      </c>
      <c r="I31" s="12" t="n">
        <f aca="false">G31-$B$16</f>
        <v>29342.4904141401</v>
      </c>
    </row>
    <row r="32" customFormat="false" ht="15" hidden="false" customHeight="true" outlineLevel="0" collapsed="false">
      <c r="A32" s="1" t="s">
        <v>2394</v>
      </c>
      <c r="B32" s="12" t="n">
        <f aca="false">MAX(0,(RiskMargin!N4-((OwnFunds_SCR!B7-IF(0&gt;=Assumptions!$B$6,0.12*$B$5*Discount!$C$19/Discount!C4,0))-RiskMargin!P4))/Projection!F4)</f>
        <v>37032.3603325391</v>
      </c>
      <c r="C32" s="12" t="n">
        <f aca="false">MAX(0,(RiskMargin!N9-((OwnFunds_SCR!C7-IF(5&gt;=Assumptions!$B$6,0.12*$B$5*Discount!$C$19/Discount!C9,0))-RiskMargin!P9))/Projection!F9)</f>
        <v>41116.5130109834</v>
      </c>
      <c r="D32" s="12" t="n">
        <f aca="false">MAX(0,(RiskMargin!N14-((OwnFunds_SCR!D7-IF(10&gt;=Assumptions!$B$6,0.12*$B$5*Discount!$C$19/Discount!C14,0))-RiskMargin!P14))/Projection!F14)</f>
        <v>42677.3896843155</v>
      </c>
      <c r="E32" s="12" t="n">
        <f aca="false">MAX(0,(RiskMargin!N19-((OwnFunds_SCR!E7-IF(15&gt;=Assumptions!$B$6,0.12*$B$5*Discount!$C$19/Discount!C19,0))-RiskMargin!P19))/Projection!F19)</f>
        <v>55010.6018315084</v>
      </c>
      <c r="F32" s="12" t="n">
        <f aca="false">MAX(0,(RiskMargin!N24-((OwnFunds_SCR!F7-IF(20&gt;=Assumptions!$B$6,0.12*$B$5*Discount!$C$19/Discount!C24,0))-RiskMargin!P24))/Projection!F24)</f>
        <v>73065.1332717277</v>
      </c>
      <c r="G32" s="12" t="n">
        <f aca="false">MAX(B32:F32)</f>
        <v>73065.1332717277</v>
      </c>
      <c r="H32" s="12" t="n">
        <f aca="false">0.12*$B$5</f>
        <v>20373.9497521112</v>
      </c>
      <c r="I32" s="12" t="n">
        <f aca="false">G32-$B$16</f>
        <v>36285.4422882559</v>
      </c>
    </row>
    <row r="34" customFormat="false" ht="15" hidden="false" customHeight="true" outlineLevel="0" collapsed="false">
      <c r="A34" s="1" t="s">
        <v>2395</v>
      </c>
      <c r="B34" s="5" t="str">
        <f aca="false">IF(B15&gt;=B16,"Reinsurance does not reduce the requirement at the assumed cost","Reinsurance reduces the requirement")</f>
        <v>Reinsurance does not reduce the requirement at the assumed cost</v>
      </c>
    </row>
    <row r="36" customFormat="false" ht="15" hidden="false" customHeight="true" outlineLevel="0" collapsed="false">
      <c r="A36" s="3" t="s">
        <v>2396</v>
      </c>
      <c r="B36" s="58" t="n">
        <f aca="false">MIN(I30:I32)</f>
        <v>22399.5385400244</v>
      </c>
      <c r="C36" s="58" t="n">
        <f aca="false">MAX(I30:I32)</f>
        <v>36285.4422882559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G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1"/>
    <col collapsed="false" customWidth="true" hidden="false" outlineLevel="0" max="12" min="2" style="1" width="13"/>
    <col collapsed="false" customWidth="true" hidden="false" outlineLevel="0" max="33" min="14" style="1" width="12"/>
  </cols>
  <sheetData>
    <row r="1" customFormat="false" ht="15.75" hidden="false" customHeight="true" outlineLevel="0" collapsed="false">
      <c r="A1" s="15" t="s">
        <v>2397</v>
      </c>
    </row>
    <row r="2" customFormat="false" ht="15" hidden="false" customHeight="true" outlineLevel="0" collapsed="false">
      <c r="A2" s="7" t="s">
        <v>2398</v>
      </c>
    </row>
    <row r="3" customFormat="false" ht="15" hidden="false" customHeight="true" outlineLevel="0" collapsed="false">
      <c r="A3" s="8" t="s">
        <v>2399</v>
      </c>
      <c r="B3" s="8" t="s">
        <v>2400</v>
      </c>
      <c r="C3" s="8" t="s">
        <v>2401</v>
      </c>
      <c r="D3" s="8" t="s">
        <v>2402</v>
      </c>
      <c r="E3" s="8" t="s">
        <v>2403</v>
      </c>
      <c r="F3" s="8" t="s">
        <v>2404</v>
      </c>
      <c r="G3" s="8" t="s">
        <v>2405</v>
      </c>
      <c r="H3" s="8" t="s">
        <v>2406</v>
      </c>
      <c r="I3" s="8" t="s">
        <v>1012</v>
      </c>
      <c r="J3" s="8" t="s">
        <v>348</v>
      </c>
      <c r="K3" s="8" t="s">
        <v>2407</v>
      </c>
      <c r="L3" s="1" t="s">
        <v>2408</v>
      </c>
      <c r="N3" s="120" t="s">
        <v>2409</v>
      </c>
      <c r="O3" s="120" t="s">
        <v>2410</v>
      </c>
      <c r="P3" s="120" t="s">
        <v>2411</v>
      </c>
      <c r="Q3" s="120" t="s">
        <v>2412</v>
      </c>
      <c r="R3" s="120" t="s">
        <v>2413</v>
      </c>
      <c r="S3" s="120" t="s">
        <v>2414</v>
      </c>
      <c r="T3" s="120" t="s">
        <v>2415</v>
      </c>
      <c r="U3" s="120" t="s">
        <v>2416</v>
      </c>
      <c r="V3" s="120" t="s">
        <v>2417</v>
      </c>
      <c r="W3" s="120" t="s">
        <v>2418</v>
      </c>
      <c r="X3" s="120" t="s">
        <v>2419</v>
      </c>
      <c r="Y3" s="120" t="s">
        <v>2420</v>
      </c>
      <c r="Z3" s="120" t="s">
        <v>2421</v>
      </c>
      <c r="AA3" s="120" t="s">
        <v>2422</v>
      </c>
      <c r="AB3" s="120" t="s">
        <v>2423</v>
      </c>
      <c r="AC3" s="120" t="s">
        <v>2424</v>
      </c>
      <c r="AD3" s="120" t="s">
        <v>2425</v>
      </c>
      <c r="AE3" s="120" t="s">
        <v>2426</v>
      </c>
      <c r="AF3" s="120" t="s">
        <v>2427</v>
      </c>
      <c r="AG3" s="120" t="s">
        <v>2428</v>
      </c>
    </row>
    <row r="4" customFormat="false" ht="15" hidden="false" customHeight="true" outlineLevel="0" collapsed="false">
      <c r="A4" s="121" t="n">
        <v>0</v>
      </c>
      <c r="B4" s="11" t="n">
        <f aca="false">Fairness!$B$3/(1+$A4)</f>
        <v>0.895188484380065</v>
      </c>
      <c r="C4" s="48" t="n">
        <f aca="false">Pricing!$B$14*(1+$A4)</f>
        <v>12316.0657114102</v>
      </c>
      <c r="D4" s="12" t="n">
        <f aca="false">MAX(0,(AC4-N4)/Projection!F4)</f>
        <v>33507.0320180323</v>
      </c>
      <c r="E4" s="12" t="n">
        <f aca="false">MAX(0,(AD4-O4)/Projection!F9)</f>
        <v>36514.5094260948</v>
      </c>
      <c r="F4" s="12" t="n">
        <f aca="false">MAX(0,(AE4-P4)/Projection!F14)</f>
        <v>36744.4760923207</v>
      </c>
      <c r="G4" s="12" t="n">
        <f aca="false">MAX(0,(AF4-Q4)/Projection!F19)</f>
        <v>34280.0380054262</v>
      </c>
      <c r="H4" s="58" t="n">
        <f aca="false">MAX(0,(AG4-R4)/Projection!F24)</f>
        <v>27722.4820573827</v>
      </c>
      <c r="I4" s="69" t="n">
        <f aca="false">MAX(D4:H4)</f>
        <v>36744.4760923207</v>
      </c>
      <c r="J4" s="5" t="str">
        <f aca="false">IF(B4&gt;=0.9,"fair","BREACHES FLOOR")</f>
        <v>BREACHES FLOOR</v>
      </c>
      <c r="K4" s="18" t="n">
        <f aca="false">IF(I4&lt;=0,$A4,9)</f>
        <v>9</v>
      </c>
      <c r="N4" s="12" t="n">
        <f aca="false">OwnFunds_SCR!B7+$A4*(SUMIFS(Projection!$AC$4:$AC$59,Projection!$B$4:$B$59,"&lt;"&amp;(Assumptions!$B$4+0))/Discount!C4+SUMIFS(Projection!$Z$4:$Z$59,Projection!$B$4:$B$59,"&gt;="&amp;(Assumptions!$B$4+0))/Discount!C4)-RiskMargin!L4</f>
        <v>-16854.1822717151</v>
      </c>
      <c r="O4" s="12" t="n">
        <f aca="false">OwnFunds_SCR!C7+$A4*(SUMIFS(Projection!$AC$4:$AC$59,Projection!$B$4:$B$59,"&lt;"&amp;(Assumptions!$B$4+5))/Discount!C9+SUMIFS(Projection!$Z$4:$Z$59,Projection!$B$4:$B$59,"&gt;="&amp;(Assumptions!$B$4+5))/Discount!C9)-RiskMargin!L9</f>
        <v>-13577.0256777234</v>
      </c>
      <c r="P4" s="12" t="n">
        <f aca="false">OwnFunds_SCR!D7+$A4*(SUMIFS(Projection!$AC$4:$AC$59,Projection!$B$4:$B$59,"&lt;"&amp;(Assumptions!$B$4+10))/Discount!C14+SUMIFS(Projection!$Z$4:$Z$59,Projection!$B$4:$B$59,"&gt;="&amp;(Assumptions!$B$4+10))/Discount!C14)-RiskMargin!L14</f>
        <v>-9632.8426816962</v>
      </c>
      <c r="Q4" s="12" t="n">
        <f aca="false">OwnFunds_SCR!E7+$A4*(SUMIFS(Projection!$AC$4:$AC$59,Projection!$B$4:$B$59,"&lt;"&amp;(Assumptions!$B$4+15))/Discount!C19+SUMIFS(Projection!$Z$4:$Z$59,Projection!$B$4:$B$59,"&gt;="&amp;(Assumptions!$B$4+15))/Discount!C19)-RiskMargin!L19</f>
        <v>-4988.89417365894</v>
      </c>
      <c r="R4" s="12" t="n">
        <f aca="false">OwnFunds_SCR!F7+$A4*(SUMIFS(Projection!$AC$4:$AC$59,Projection!$B$4:$B$59,"&lt;"&amp;(Assumptions!$B$4+20))/Discount!C24+SUMIFS(Projection!$Z$4:$Z$59,Projection!$B$4:$B$59,"&gt;="&amp;(Assumptions!$B$4+20))/Discount!C24)-RiskMargin!L24</f>
        <v>-7.43317901476439</v>
      </c>
      <c r="S4" s="12" t="n">
        <f aca="false">MAX(0,OwnFunds_SCR!B16-$A4*(IF(Projection!Q4=0,0,(Projection!F4/Projection!Q4)*SUMIFS(Projection!$AA$4:$AA$59,Projection!$B$4:$B$59,"&gt;="&amp;(Assumptions!$B$4+0))/Discount!C4)-SUMIFS(Projection!$Z$4:$Z$59,Projection!$B$4:$B$59,"&gt;="&amp;(Assumptions!$B$4+0))/Discount!C4))</f>
        <v>14823.7421300562</v>
      </c>
      <c r="T4" s="12" t="n">
        <f aca="false">MAX(0,OwnFunds_SCR!C16-$A4*(IF(Projection!Q9=0,0,(Projection!F9/Projection!Q9)*SUMIFS(Projection!$AA$4:$AA$59,Projection!$B$4:$B$59,"&gt;="&amp;(Assumptions!$B$4+5))/Discount!C9)-SUMIFS(Projection!$Z$4:$Z$59,Projection!$B$4:$B$59,"&gt;="&amp;(Assumptions!$B$4+5))/Discount!C9))</f>
        <v>16673.511800359</v>
      </c>
      <c r="U4" s="12" t="n">
        <f aca="false">MAX(0,OwnFunds_SCR!D16-$A4*(IF(Projection!Q14=0,0,(Projection!F14/Projection!Q14)*SUMIFS(Projection!$AA$4:$AA$59,Projection!$B$4:$B$59,"&gt;="&amp;(Assumptions!$B$4+10))/Discount!C14)-SUMIFS(Projection!$Z$4:$Z$59,Projection!$B$4:$B$59,"&gt;="&amp;(Assumptions!$B$4+10))/Discount!C14))</f>
        <v>18378.2448411043</v>
      </c>
      <c r="V4" s="12" t="n">
        <f aca="false">MAX(0,OwnFunds_SCR!E16-$A4*(IF(Projection!Q19=0,0,(Projection!F19/Projection!Q19)*SUMIFS(Projection!$AA$4:$AA$59,Projection!$B$4:$B$59,"&gt;="&amp;(Assumptions!$B$4+15))/Discount!C19)-SUMIFS(Projection!$Z$4:$Z$59,Projection!$B$4:$B$59,"&gt;="&amp;(Assumptions!$B$4+15))/Discount!C19))</f>
        <v>18493.1797505175</v>
      </c>
      <c r="W4" s="12" t="n">
        <f aca="false">MAX(0,OwnFunds_SCR!F16-$A4*(IF(Projection!Q24=0,0,(Projection!F24/Projection!Q24)*SUMIFS(Projection!$AA$4:$AA$59,Projection!$B$4:$B$59,"&gt;="&amp;(Assumptions!$B$4+20))/Discount!C24)-SUMIFS(Projection!$Z$4:$Z$59,Projection!$B$4:$B$59,"&gt;="&amp;(Assumptions!$B$4+20))/Discount!C24))</f>
        <v>15909.7289648044</v>
      </c>
      <c r="X4" s="12" t="n">
        <f aca="false">MAX(0,OwnFunds_SCR!B20-$A4*(IF(Projection!U4=0,0,(Projection!F4/Projection!U4)*SUMIFS(Projection!$AB$4:$AB$59,Projection!$B$4:$B$59,"&gt;="&amp;(Assumptions!$B$4+0))/Discount!C4)-SUMIFS(Projection!$Z$4:$Z$59,Projection!$B$4:$B$59,"&gt;="&amp;(Assumptions!$B$4+0))/Discount!C4))</f>
        <v>4444.13497677495</v>
      </c>
      <c r="Y4" s="12" t="n">
        <f aca="false">MAX(0,OwnFunds_SCR!C20-$A4*(IF(Projection!U9=0,0,(Projection!F9/Projection!U9)*SUMIFS(Projection!$AB$4:$AB$59,Projection!$B$4:$B$59,"&gt;="&amp;(Assumptions!$B$4+5))/Discount!C9)-SUMIFS(Projection!$Z$4:$Z$59,Projection!$B$4:$B$59,"&gt;="&amp;(Assumptions!$B$4+5))/Discount!C9))</f>
        <v>4212.06858274451</v>
      </c>
      <c r="Z4" s="12" t="n">
        <f aca="false">MAX(0,OwnFunds_SCR!D20-$A4*(IF(Projection!U14=0,0,(Projection!F14/Projection!U14)*SUMIFS(Projection!$AB$4:$AB$59,Projection!$B$4:$B$59,"&gt;="&amp;(Assumptions!$B$4+10))/Discount!C14)-SUMIFS(Projection!$Z$4:$Z$59,Projection!$B$4:$B$59,"&gt;="&amp;(Assumptions!$B$4+10))/Discount!C14))</f>
        <v>2958.26224743547</v>
      </c>
      <c r="AA4" s="12" t="n">
        <f aca="false">MAX(0,OwnFunds_SCR!E20-$A4*(IF(Projection!U19=0,0,(Projection!F19/Projection!U19)*SUMIFS(Projection!$AB$4:$AB$59,Projection!$B$4:$B$59,"&gt;="&amp;(Assumptions!$B$4+15))/Discount!C19)-SUMIFS(Projection!$Z$4:$Z$59,Projection!$B$4:$B$59,"&gt;="&amp;(Assumptions!$B$4+15))/Discount!C19))</f>
        <v>0</v>
      </c>
      <c r="AB4" s="12" t="n">
        <f aca="false">MAX(0,OwnFunds_SCR!F20-$A4*(IF(Projection!U24=0,0,(Projection!F24/Projection!U24)*SUMIFS(Projection!$AB$4:$AB$59,Projection!$B$4:$B$59,"&gt;="&amp;(Assumptions!$B$4+20))/Discount!C24)-SUMIFS(Projection!$Z$4:$Z$59,Projection!$B$4:$B$59,"&gt;="&amp;(Assumptions!$B$4+20))/Discount!C24))</f>
        <v>0</v>
      </c>
      <c r="AC4" s="12" t="n">
        <f aca="false">SQRT(S4^2+X4^2+OwnFunds_SCR!B21^2+2*Assumptions!$B$26*S4*X4+2*Assumptions!$B$27*S4*OwnFunds_SCR!B21+2*Assumptions!$B$28*X4*OwnFunds_SCR!B21)</f>
        <v>16652.8497463172</v>
      </c>
      <c r="AD4" s="12" t="n">
        <f aca="false">SQRT(T4^2+Y4^2+OwnFunds_SCR!C21^2+2*Assumptions!$B$26*T4*Y4+2*Assumptions!$B$27*T4*OwnFunds_SCR!C21+2*Assumptions!$B$28*Y4*OwnFunds_SCR!C21)</f>
        <v>18332.0884072738</v>
      </c>
      <c r="AE4" s="12" t="n">
        <f aca="false">SQRT(U4^2+Z4^2+OwnFunds_SCR!D21^2+2*Assumptions!$B$26*U4*Z4+2*Assumptions!$B$27*U4*OwnFunds_SCR!D21+2*Assumptions!$B$28*Z4*OwnFunds_SCR!D21)</f>
        <v>19457.0144705602</v>
      </c>
      <c r="AF4" s="12" t="n">
        <f aca="false">SQRT(V4^2+AA4^2+OwnFunds_SCR!E21^2+2*Assumptions!$B$26*V4*AA4+2*Assumptions!$B$27*V4*OwnFunds_SCR!E21+2*Assumptions!$B$28*AA4*OwnFunds_SCR!E21)</f>
        <v>18584.8360127642</v>
      </c>
      <c r="AG4" s="12" t="n">
        <f aca="false">SQRT(W4^2+AB4^2+OwnFunds_SCR!F21^2+2*Assumptions!$B$26*W4*AB4+2*Assumptions!$B$27*W4*OwnFunds_SCR!F21+2*Assumptions!$B$28*AB4*OwnFunds_SCR!F21)</f>
        <v>15983.5105361247</v>
      </c>
    </row>
    <row r="5" customFormat="false" ht="15" hidden="false" customHeight="true" outlineLevel="0" collapsed="false">
      <c r="A5" s="121" t="n">
        <v>0.025</v>
      </c>
      <c r="B5" s="11" t="n">
        <f aca="false">Fairness!$B$3/(1+$A5)</f>
        <v>0.87335461890738</v>
      </c>
      <c r="C5" s="48" t="n">
        <f aca="false">Pricing!$B$14*(1+$A5)</f>
        <v>12623.9673541955</v>
      </c>
      <c r="D5" s="12" t="n">
        <f aca="false">MAX(0,(AC5-N5)/Projection!F4)</f>
        <v>30127.1913251029</v>
      </c>
      <c r="E5" s="12" t="n">
        <f aca="false">MAX(0,(AD5-O5)/Projection!F9)</f>
        <v>32684.5289278062</v>
      </c>
      <c r="F5" s="12" t="n">
        <f aca="false">MAX(0,(AE5-P5)/Projection!F14)</f>
        <v>31941.016758086</v>
      </c>
      <c r="G5" s="12" t="n">
        <f aca="false">MAX(0,(AF5-Q5)/Projection!F19)</f>
        <v>27824.3035057264</v>
      </c>
      <c r="H5" s="107" t="n">
        <f aca="false">MAX(0,(AG5-R5)/Projection!F24)</f>
        <v>18645.2623054764</v>
      </c>
      <c r="I5" s="58" t="n">
        <f aca="false">MAX(D5:H5)</f>
        <v>32684.5289278062</v>
      </c>
      <c r="J5" s="5" t="str">
        <f aca="false">IF(B5&gt;=0.9,"fair","BREACHES FLOOR")</f>
        <v>BREACHES FLOOR</v>
      </c>
      <c r="K5" s="18" t="n">
        <f aca="false">IF(I5&lt;=0,$A5,9)</f>
        <v>9</v>
      </c>
      <c r="N5" s="12" t="n">
        <f aca="false">OwnFunds_SCR!B7+$A5*(SUMIFS(Projection!$AC$4:$AC$59,Projection!$B$4:$B$59,"&lt;"&amp;(Assumptions!$B$4+0))/Discount!C4+SUMIFS(Projection!$Z$4:$Z$59,Projection!$B$4:$B$59,"&gt;="&amp;(Assumptions!$B$4+0))/Discount!C4)-RiskMargin!L4</f>
        <v>-13593.1217844095</v>
      </c>
      <c r="O5" s="12" t="n">
        <f aca="false">OwnFunds_SCR!C7+$A5*(SUMIFS(Projection!$AC$4:$AC$59,Projection!$B$4:$B$59,"&lt;"&amp;(Assumptions!$B$4+5))/Discount!C9+SUMIFS(Projection!$Z$4:$Z$59,Projection!$B$4:$B$59,"&gt;="&amp;(Assumptions!$B$4+5))/Discount!C9)-RiskMargin!L9</f>
        <v>-10268.8971319842</v>
      </c>
      <c r="P5" s="12" t="n">
        <f aca="false">OwnFunds_SCR!D7+$A5*(SUMIFS(Projection!$AC$4:$AC$59,Projection!$B$4:$B$59,"&lt;"&amp;(Assumptions!$B$4+10))/Discount!C14+SUMIFS(Projection!$Z$4:$Z$59,Projection!$B$4:$B$59,"&gt;="&amp;(Assumptions!$B$4+10))/Discount!C14)-RiskMargin!L14</f>
        <v>-5840.64103329292</v>
      </c>
      <c r="Q5" s="12" t="n">
        <f aca="false">OwnFunds_SCR!E7+$A5*(SUMIFS(Projection!$AC$4:$AC$59,Projection!$B$4:$B$59,"&lt;"&amp;(Assumptions!$B$4+15))/Discount!C19+SUMIFS(Projection!$Z$4:$Z$59,Projection!$B$4:$B$59,"&gt;="&amp;(Assumptions!$B$4+15))/Discount!C19)-RiskMargin!L19</f>
        <v>-549.408335661419</v>
      </c>
      <c r="R5" s="12" t="n">
        <f aca="false">OwnFunds_SCR!F7+$A5*(SUMIFS(Projection!$AC$4:$AC$59,Projection!$B$4:$B$59,"&lt;"&amp;(Assumptions!$B$4+20))/Discount!C24+SUMIFS(Projection!$Z$4:$Z$59,Projection!$B$4:$B$59,"&gt;="&amp;(Assumptions!$B$4+20))/Discount!C24)-RiskMargin!L24</f>
        <v>5228.50889291927</v>
      </c>
      <c r="S5" s="12" t="n">
        <f aca="false">MAX(0,OwnFunds_SCR!B16-$A5*(IF(Projection!Q4=0,0,(Projection!F4/Projection!Q4)*SUMIFS(Projection!$AA$4:$AA$59,Projection!$B$4:$B$59,"&gt;="&amp;(Assumptions!$B$4+0))/Discount!C4)-SUMIFS(Projection!$Z$4:$Z$59,Projection!$B$4:$B$59,"&gt;="&amp;(Assumptions!$B$4+0))/Discount!C4))</f>
        <v>14790.8978070788</v>
      </c>
      <c r="T5" s="12" t="n">
        <f aca="false">MAX(0,OwnFunds_SCR!C16-$A5*(IF(Projection!Q9=0,0,(Projection!F9/Projection!Q9)*SUMIFS(Projection!$AA$4:$AA$59,Projection!$B$4:$B$59,"&gt;="&amp;(Assumptions!$B$4+5))/Discount!C9)-SUMIFS(Projection!$Z$4:$Z$59,Projection!$B$4:$B$59,"&gt;="&amp;(Assumptions!$B$4+5))/Discount!C9))</f>
        <v>16653.0964824033</v>
      </c>
      <c r="U5" s="12" t="n">
        <f aca="false">MAX(0,OwnFunds_SCR!D16-$A5*(IF(Projection!Q14=0,0,(Projection!F14/Projection!Q14)*SUMIFS(Projection!$AA$4:$AA$59,Projection!$B$4:$B$59,"&gt;="&amp;(Assumptions!$B$4+10))/Discount!C14)-SUMIFS(Projection!$Z$4:$Z$59,Projection!$B$4:$B$59,"&gt;="&amp;(Assumptions!$B$4+10))/Discount!C14))</f>
        <v>18371.3032458523</v>
      </c>
      <c r="V5" s="12" t="n">
        <f aca="false">MAX(0,OwnFunds_SCR!E16-$A5*(IF(Projection!Q19=0,0,(Projection!F19/Projection!Q19)*SUMIFS(Projection!$AA$4:$AA$59,Projection!$B$4:$B$59,"&gt;="&amp;(Assumptions!$B$4+15))/Discount!C19)-SUMIFS(Projection!$Z$4:$Z$59,Projection!$B$4:$B$59,"&gt;="&amp;(Assumptions!$B$4+15))/Discount!C19))</f>
        <v>18493.1797505175</v>
      </c>
      <c r="W5" s="12" t="n">
        <f aca="false">MAX(0,OwnFunds_SCR!F16-$A5*(IF(Projection!Q24=0,0,(Projection!F24/Projection!Q24)*SUMIFS(Projection!$AA$4:$AA$59,Projection!$B$4:$B$59,"&gt;="&amp;(Assumptions!$B$4+20))/Discount!C24)-SUMIFS(Projection!$Z$4:$Z$59,Projection!$B$4:$B$59,"&gt;="&amp;(Assumptions!$B$4+20))/Discount!C24))</f>
        <v>15909.7289648044</v>
      </c>
      <c r="X5" s="12" t="n">
        <f aca="false">MAX(0,OwnFunds_SCR!B20-$A5*(IF(Projection!U4=0,0,(Projection!F4/Projection!U4)*SUMIFS(Projection!$AB$4:$AB$59,Projection!$B$4:$B$59,"&gt;="&amp;(Assumptions!$B$4+0))/Discount!C4)-SUMIFS(Projection!$Z$4:$Z$59,Projection!$B$4:$B$59,"&gt;="&amp;(Assumptions!$B$4+0))/Discount!C4))</f>
        <v>4269.07546816653</v>
      </c>
      <c r="Y5" s="12" t="n">
        <f aca="false">MAX(0,OwnFunds_SCR!C20-$A5*(IF(Projection!U9=0,0,(Projection!F9/Projection!U9)*SUMIFS(Projection!$AB$4:$AB$59,Projection!$B$4:$B$59,"&gt;="&amp;(Assumptions!$B$4+5))/Discount!C9)-SUMIFS(Projection!$Z$4:$Z$59,Projection!$B$4:$B$59,"&gt;="&amp;(Assumptions!$B$4+5))/Discount!C9))</f>
        <v>4171.54563279182</v>
      </c>
      <c r="Z5" s="12" t="n">
        <f aca="false">MAX(0,OwnFunds_SCR!D20-$A5*(IF(Projection!U14=0,0,(Projection!F14/Projection!U14)*SUMIFS(Projection!$AB$4:$AB$59,Projection!$B$4:$B$59,"&gt;="&amp;(Assumptions!$B$4+10))/Discount!C14)-SUMIFS(Projection!$Z$4:$Z$59,Projection!$B$4:$B$59,"&gt;="&amp;(Assumptions!$B$4+10))/Discount!C14))</f>
        <v>2948.85469159557</v>
      </c>
      <c r="AA5" s="12" t="n">
        <f aca="false">MAX(0,OwnFunds_SCR!E20-$A5*(IF(Projection!U19=0,0,(Projection!F19/Projection!U19)*SUMIFS(Projection!$AB$4:$AB$59,Projection!$B$4:$B$59,"&gt;="&amp;(Assumptions!$B$4+15))/Discount!C19)-SUMIFS(Projection!$Z$4:$Z$59,Projection!$B$4:$B$59,"&gt;="&amp;(Assumptions!$B$4+15))/Discount!C19))</f>
        <v>0</v>
      </c>
      <c r="AB5" s="12" t="n">
        <f aca="false">MAX(0,OwnFunds_SCR!F20-$A5*(IF(Projection!U24=0,0,(Projection!F24/Projection!U24)*SUMIFS(Projection!$AB$4:$AB$59,Projection!$B$4:$B$59,"&gt;="&amp;(Assumptions!$B$4+20))/Discount!C24)-SUMIFS(Projection!$Z$4:$Z$59,Projection!$B$4:$B$59,"&gt;="&amp;(Assumptions!$B$4+20))/Discount!C24))</f>
        <v>0</v>
      </c>
      <c r="AC5" s="12" t="n">
        <f aca="false">SQRT(S5^2+X5^2+OwnFunds_SCR!B21^2+2*Assumptions!$B$26*S5*X5+2*Assumptions!$B$27*S5*OwnFunds_SCR!B21+2*Assumptions!$B$28*X5*OwnFunds_SCR!B21)</f>
        <v>16534.0695406934</v>
      </c>
      <c r="AD5" s="12" t="n">
        <f aca="false">SQRT(T5^2+Y5^2+OwnFunds_SCR!C21^2+2*Assumptions!$B$26*T5*Y5+2*Assumptions!$B$27*T5*OwnFunds_SCR!C21+2*Assumptions!$B$28*Y5*OwnFunds_SCR!C21)</f>
        <v>18293.2930429284</v>
      </c>
      <c r="AE5" s="12" t="n">
        <f aca="false">SQRT(U5^2+Z5^2+OwnFunds_SCR!D21^2+2*Assumptions!$B$26*U5*Z5+2*Assumptions!$B$27*U5*OwnFunds_SCR!D21+2*Assumptions!$B$28*Z5*OwnFunds_SCR!D21)</f>
        <v>19446.4146987315</v>
      </c>
      <c r="AF5" s="12" t="n">
        <f aca="false">SQRT(V5^2+AA5^2+OwnFunds_SCR!E21^2+2*Assumptions!$B$26*V5*AA5+2*Assumptions!$B$27*V5*OwnFunds_SCR!E21+2*Assumptions!$B$28*AA5*OwnFunds_SCR!E21)</f>
        <v>18584.8360127642</v>
      </c>
      <c r="AG5" s="12" t="n">
        <f aca="false">SQRT(W5^2+AB5^2+OwnFunds_SCR!F21^2+2*Assumptions!$B$26*W5*AB5+2*Assumptions!$B$27*W5*OwnFunds_SCR!F21+2*Assumptions!$B$28*AB5*OwnFunds_SCR!F21)</f>
        <v>15983.5105361247</v>
      </c>
    </row>
    <row r="6" customFormat="false" ht="15" hidden="false" customHeight="true" outlineLevel="0" collapsed="false">
      <c r="A6" s="121" t="n">
        <v>0.05</v>
      </c>
      <c r="B6" s="11" t="n">
        <f aca="false">Fairness!$B$3/(1+$A6)</f>
        <v>0.852560461314347</v>
      </c>
      <c r="C6" s="48" t="n">
        <f aca="false">Pricing!$B$14*(1+$A6)</f>
        <v>12931.8689969807</v>
      </c>
      <c r="D6" s="12" t="n">
        <f aca="false">MAX(0,(AC6-N6)/Projection!F4)</f>
        <v>26748.5988538729</v>
      </c>
      <c r="E6" s="12" t="n">
        <f aca="false">MAX(0,(AD6-O6)/Projection!F9)</f>
        <v>28854.6090769897</v>
      </c>
      <c r="F6" s="12" t="n">
        <f aca="false">MAX(0,(AE6-P6)/Projection!F14)</f>
        <v>27137.5611272781</v>
      </c>
      <c r="G6" s="12" t="n">
        <f aca="false">MAX(0,(AF6-Q6)/Projection!F19)</f>
        <v>21368.5690060266</v>
      </c>
      <c r="H6" s="12" t="n">
        <f aca="false">MAX(0,(AG6-R6)/Projection!F24)</f>
        <v>9568.04255357005</v>
      </c>
      <c r="I6" s="58" t="n">
        <f aca="false">MAX(D6:H6)</f>
        <v>28854.6090769897</v>
      </c>
      <c r="J6" s="5" t="str">
        <f aca="false">IF(B6&gt;=0.9,"fair","BREACHES FLOOR")</f>
        <v>BREACHES FLOOR</v>
      </c>
      <c r="K6" s="18" t="n">
        <f aca="false">IF(I6&lt;=0,$A6,9)</f>
        <v>9</v>
      </c>
      <c r="N6" s="12" t="n">
        <f aca="false">OwnFunds_SCR!B7+$A6*(SUMIFS(Projection!$AC$4:$AC$59,Projection!$B$4:$B$59,"&lt;"&amp;(Assumptions!$B$4+0))/Discount!C4+SUMIFS(Projection!$Z$4:$Z$59,Projection!$B$4:$B$59,"&gt;="&amp;(Assumptions!$B$4+0))/Discount!C4)-RiskMargin!L4</f>
        <v>-10332.0612971039</v>
      </c>
      <c r="O6" s="12" t="n">
        <f aca="false">OwnFunds_SCR!C7+$A6*(SUMIFS(Projection!$AC$4:$AC$59,Projection!$B$4:$B$59,"&lt;"&amp;(Assumptions!$B$4+5))/Discount!C9+SUMIFS(Projection!$Z$4:$Z$59,Projection!$B$4:$B$59,"&gt;="&amp;(Assumptions!$B$4+5))/Discount!C9)-RiskMargin!L9</f>
        <v>-6960.76858624502</v>
      </c>
      <c r="P6" s="12" t="n">
        <f aca="false">OwnFunds_SCR!D7+$A6*(SUMIFS(Projection!$AC$4:$AC$59,Projection!$B$4:$B$59,"&lt;"&amp;(Assumptions!$B$4+10))/Discount!C14+SUMIFS(Projection!$Z$4:$Z$59,Projection!$B$4:$B$59,"&gt;="&amp;(Assumptions!$B$4+10))/Discount!C14)-RiskMargin!L14</f>
        <v>-2048.43938488963</v>
      </c>
      <c r="Q6" s="12" t="n">
        <f aca="false">OwnFunds_SCR!E7+$A6*(SUMIFS(Projection!$AC$4:$AC$59,Projection!$B$4:$B$59,"&lt;"&amp;(Assumptions!$B$4+15))/Discount!C19+SUMIFS(Projection!$Z$4:$Z$59,Projection!$B$4:$B$59,"&gt;="&amp;(Assumptions!$B$4+15))/Discount!C19)-RiskMargin!L19</f>
        <v>3890.07750233611</v>
      </c>
      <c r="R6" s="12" t="n">
        <f aca="false">OwnFunds_SCR!F7+$A6*(SUMIFS(Projection!$AC$4:$AC$59,Projection!$B$4:$B$59,"&lt;"&amp;(Assumptions!$B$4+20))/Discount!C24+SUMIFS(Projection!$Z$4:$Z$59,Projection!$B$4:$B$59,"&gt;="&amp;(Assumptions!$B$4+20))/Discount!C24)-RiskMargin!L24</f>
        <v>10464.4509648533</v>
      </c>
      <c r="S6" s="12" t="n">
        <f aca="false">MAX(0,OwnFunds_SCR!B16-$A6*(IF(Projection!Q4=0,0,(Projection!F4/Projection!Q4)*SUMIFS(Projection!$AA$4:$AA$59,Projection!$B$4:$B$59,"&gt;="&amp;(Assumptions!$B$4+0))/Discount!C4)-SUMIFS(Projection!$Z$4:$Z$59,Projection!$B$4:$B$59,"&gt;="&amp;(Assumptions!$B$4+0))/Discount!C4))</f>
        <v>14758.0534841014</v>
      </c>
      <c r="T6" s="12" t="n">
        <f aca="false">MAX(0,OwnFunds_SCR!C16-$A6*(IF(Projection!Q9=0,0,(Projection!F9/Projection!Q9)*SUMIFS(Projection!$AA$4:$AA$59,Projection!$B$4:$B$59,"&gt;="&amp;(Assumptions!$B$4+5))/Discount!C9)-SUMIFS(Projection!$Z$4:$Z$59,Projection!$B$4:$B$59,"&gt;="&amp;(Assumptions!$B$4+5))/Discount!C9))</f>
        <v>16632.6811644477</v>
      </c>
      <c r="U6" s="12" t="n">
        <f aca="false">MAX(0,OwnFunds_SCR!D16-$A6*(IF(Projection!Q14=0,0,(Projection!F14/Projection!Q14)*SUMIFS(Projection!$AA$4:$AA$59,Projection!$B$4:$B$59,"&gt;="&amp;(Assumptions!$B$4+10))/Discount!C14)-SUMIFS(Projection!$Z$4:$Z$59,Projection!$B$4:$B$59,"&gt;="&amp;(Assumptions!$B$4+10))/Discount!C14))</f>
        <v>18364.3616506002</v>
      </c>
      <c r="V6" s="12" t="n">
        <f aca="false">MAX(0,OwnFunds_SCR!E16-$A6*(IF(Projection!Q19=0,0,(Projection!F19/Projection!Q19)*SUMIFS(Projection!$AA$4:$AA$59,Projection!$B$4:$B$59,"&gt;="&amp;(Assumptions!$B$4+15))/Discount!C19)-SUMIFS(Projection!$Z$4:$Z$59,Projection!$B$4:$B$59,"&gt;="&amp;(Assumptions!$B$4+15))/Discount!C19))</f>
        <v>18493.1797505175</v>
      </c>
      <c r="W6" s="12" t="n">
        <f aca="false">MAX(0,OwnFunds_SCR!F16-$A6*(IF(Projection!Q24=0,0,(Projection!F24/Projection!Q24)*SUMIFS(Projection!$AA$4:$AA$59,Projection!$B$4:$B$59,"&gt;="&amp;(Assumptions!$B$4+20))/Discount!C24)-SUMIFS(Projection!$Z$4:$Z$59,Projection!$B$4:$B$59,"&gt;="&amp;(Assumptions!$B$4+20))/Discount!C24))</f>
        <v>15909.7289648044</v>
      </c>
      <c r="X6" s="12" t="n">
        <f aca="false">MAX(0,OwnFunds_SCR!B20-$A6*(IF(Projection!U4=0,0,(Projection!F4/Projection!U4)*SUMIFS(Projection!$AB$4:$AB$59,Projection!$B$4:$B$59,"&gt;="&amp;(Assumptions!$B$4+0))/Discount!C4)-SUMIFS(Projection!$Z$4:$Z$59,Projection!$B$4:$B$59,"&gt;="&amp;(Assumptions!$B$4+0))/Discount!C4))</f>
        <v>4094.01595955811</v>
      </c>
      <c r="Y6" s="12" t="n">
        <f aca="false">MAX(0,OwnFunds_SCR!C20-$A6*(IF(Projection!U9=0,0,(Projection!F9/Projection!U9)*SUMIFS(Projection!$AB$4:$AB$59,Projection!$B$4:$B$59,"&gt;="&amp;(Assumptions!$B$4+5))/Discount!C9)-SUMIFS(Projection!$Z$4:$Z$59,Projection!$B$4:$B$59,"&gt;="&amp;(Assumptions!$B$4+5))/Discount!C9))</f>
        <v>4131.02268283913</v>
      </c>
      <c r="Z6" s="12" t="n">
        <f aca="false">MAX(0,OwnFunds_SCR!D20-$A6*(IF(Projection!U14=0,0,(Projection!F14/Projection!U14)*SUMIFS(Projection!$AB$4:$AB$59,Projection!$B$4:$B$59,"&gt;="&amp;(Assumptions!$B$4+10))/Discount!C14)-SUMIFS(Projection!$Z$4:$Z$59,Projection!$B$4:$B$59,"&gt;="&amp;(Assumptions!$B$4+10))/Discount!C14))</f>
        <v>2939.44713575567</v>
      </c>
      <c r="AA6" s="12" t="n">
        <f aca="false">MAX(0,OwnFunds_SCR!E20-$A6*(IF(Projection!U19=0,0,(Projection!F19/Projection!U19)*SUMIFS(Projection!$AB$4:$AB$59,Projection!$B$4:$B$59,"&gt;="&amp;(Assumptions!$B$4+15))/Discount!C19)-SUMIFS(Projection!$Z$4:$Z$59,Projection!$B$4:$B$59,"&gt;="&amp;(Assumptions!$B$4+15))/Discount!C19))</f>
        <v>0</v>
      </c>
      <c r="AB6" s="12" t="n">
        <f aca="false">MAX(0,OwnFunds_SCR!F20-$A6*(IF(Projection!U24=0,0,(Projection!F24/Projection!U24)*SUMIFS(Projection!$AB$4:$AB$59,Projection!$B$4:$B$59,"&gt;="&amp;(Assumptions!$B$4+20))/Discount!C24)-SUMIFS(Projection!$Z$4:$Z$59,Projection!$B$4:$B$59,"&gt;="&amp;(Assumptions!$B$4+20))/Discount!C24))</f>
        <v>0</v>
      </c>
      <c r="AC6" s="12" t="n">
        <f aca="false">SQRT(S6^2+X6^2+OwnFunds_SCR!B21^2+2*Assumptions!$B$26*S6*X6+2*Assumptions!$B$27*S6*OwnFunds_SCR!B21+2*Assumptions!$B$28*X6*OwnFunds_SCR!B21)</f>
        <v>16416.5375567689</v>
      </c>
      <c r="AD6" s="12" t="n">
        <f aca="false">SQRT(T6^2+Y6^2+OwnFunds_SCR!C21^2+2*Assumptions!$B$26*T6*Y6+2*Assumptions!$B$27*T6*OwnFunds_SCR!C21+2*Assumptions!$B$28*Y6*OwnFunds_SCR!C21)</f>
        <v>18254.550676888</v>
      </c>
      <c r="AE6" s="12" t="n">
        <f aca="false">SQRT(U6^2+Z6^2+OwnFunds_SCR!D21^2+2*Assumptions!$B$26*U6*Z6+2*Assumptions!$B$27*U6*OwnFunds_SCR!D21+2*Assumptions!$B$28*Z6*OwnFunds_SCR!D21)</f>
        <v>19435.8178588306</v>
      </c>
      <c r="AF6" s="12" t="n">
        <f aca="false">SQRT(V6^2+AA6^2+OwnFunds_SCR!E21^2+2*Assumptions!$B$26*V6*AA6+2*Assumptions!$B$27*V6*OwnFunds_SCR!E21+2*Assumptions!$B$28*AA6*OwnFunds_SCR!E21)</f>
        <v>18584.8360127642</v>
      </c>
      <c r="AG6" s="12" t="n">
        <f aca="false">SQRT(W6^2+AB6^2+OwnFunds_SCR!F21^2+2*Assumptions!$B$26*W6*AB6+2*Assumptions!$B$27*W6*OwnFunds_SCR!F21+2*Assumptions!$B$28*AB6*OwnFunds_SCR!F21)</f>
        <v>15983.5105361247</v>
      </c>
    </row>
    <row r="7" customFormat="false" ht="15" hidden="false" customHeight="true" outlineLevel="0" collapsed="false">
      <c r="A7" s="121" t="n">
        <v>0.075</v>
      </c>
      <c r="B7" s="11" t="n">
        <f aca="false">Fairness!$B$3/(1+$A7)</f>
        <v>0.832733473841921</v>
      </c>
      <c r="C7" s="48" t="n">
        <f aca="false">Pricing!$B$14*(1+$A7)</f>
        <v>13239.770639766</v>
      </c>
      <c r="D7" s="12" t="n">
        <f aca="false">MAX(0,(AC7-N7)/Projection!F4)</f>
        <v>23371.2816049987</v>
      </c>
      <c r="E7" s="12" t="n">
        <f aca="false">MAX(0,(AD7-O7)/Projection!F9)</f>
        <v>25024.7502606092</v>
      </c>
      <c r="F7" s="12" t="n">
        <f aca="false">MAX(0,(AE7-P7)/Projection!F14)</f>
        <v>22334.1092059576</v>
      </c>
      <c r="G7" s="12" t="n">
        <f aca="false">MAX(0,(AF7-Q7)/Projection!F19)</f>
        <v>14912.8345063268</v>
      </c>
      <c r="H7" s="12" t="n">
        <f aca="false">MAX(0,(AG7-R7)/Projection!F24)</f>
        <v>490.822801663703</v>
      </c>
      <c r="I7" s="58" t="n">
        <f aca="false">MAX(D7:H7)</f>
        <v>25024.7502606092</v>
      </c>
      <c r="J7" s="5" t="str">
        <f aca="false">IF(B7&gt;=0.9,"fair","BREACHES FLOOR")</f>
        <v>BREACHES FLOOR</v>
      </c>
      <c r="K7" s="18" t="n">
        <f aca="false">IF(I7&lt;=0,$A7,9)</f>
        <v>9</v>
      </c>
      <c r="N7" s="12" t="n">
        <f aca="false">OwnFunds_SCR!B7+$A7*(SUMIFS(Projection!$AC$4:$AC$59,Projection!$B$4:$B$59,"&lt;"&amp;(Assumptions!$B$4+0))/Discount!C4+SUMIFS(Projection!$Z$4:$Z$59,Projection!$B$4:$B$59,"&gt;="&amp;(Assumptions!$B$4+0))/Discount!C4)-RiskMargin!L4</f>
        <v>-7071.00080979836</v>
      </c>
      <c r="O7" s="12" t="n">
        <f aca="false">OwnFunds_SCR!C7+$A7*(SUMIFS(Projection!$AC$4:$AC$59,Projection!$B$4:$B$59,"&lt;"&amp;(Assumptions!$B$4+5))/Discount!C9+SUMIFS(Projection!$Z$4:$Z$59,Projection!$B$4:$B$59,"&gt;="&amp;(Assumptions!$B$4+5))/Discount!C9)-RiskMargin!L9</f>
        <v>-3652.64004050581</v>
      </c>
      <c r="P7" s="12" t="n">
        <f aca="false">OwnFunds_SCR!D7+$A7*(SUMIFS(Projection!$AC$4:$AC$59,Projection!$B$4:$B$59,"&lt;"&amp;(Assumptions!$B$4+10))/Discount!C14+SUMIFS(Projection!$Z$4:$Z$59,Projection!$B$4:$B$59,"&gt;="&amp;(Assumptions!$B$4+10))/Discount!C14)-RiskMargin!L14</f>
        <v>1743.76226351365</v>
      </c>
      <c r="Q7" s="12" t="n">
        <f aca="false">OwnFunds_SCR!E7+$A7*(SUMIFS(Projection!$AC$4:$AC$59,Projection!$B$4:$B$59,"&lt;"&amp;(Assumptions!$B$4+15))/Discount!C19+SUMIFS(Projection!$Z$4:$Z$59,Projection!$B$4:$B$59,"&gt;="&amp;(Assumptions!$B$4+15))/Discount!C19)-RiskMargin!L19</f>
        <v>8329.56334033363</v>
      </c>
      <c r="R7" s="12" t="n">
        <f aca="false">OwnFunds_SCR!F7+$A7*(SUMIFS(Projection!$AC$4:$AC$59,Projection!$B$4:$B$59,"&lt;"&amp;(Assumptions!$B$4+20))/Discount!C24+SUMIFS(Projection!$Z$4:$Z$59,Projection!$B$4:$B$59,"&gt;="&amp;(Assumptions!$B$4+20))/Discount!C24)-RiskMargin!L24</f>
        <v>15700.3930367874</v>
      </c>
      <c r="S7" s="12" t="n">
        <f aca="false">MAX(0,OwnFunds_SCR!B16-$A7*(IF(Projection!Q4=0,0,(Projection!F4/Projection!Q4)*SUMIFS(Projection!$AA$4:$AA$59,Projection!$B$4:$B$59,"&gt;="&amp;(Assumptions!$B$4+0))/Discount!C4)-SUMIFS(Projection!$Z$4:$Z$59,Projection!$B$4:$B$59,"&gt;="&amp;(Assumptions!$B$4+0))/Discount!C4))</f>
        <v>14725.209161124</v>
      </c>
      <c r="T7" s="12" t="n">
        <f aca="false">MAX(0,OwnFunds_SCR!C16-$A7*(IF(Projection!Q9=0,0,(Projection!F9/Projection!Q9)*SUMIFS(Projection!$AA$4:$AA$59,Projection!$B$4:$B$59,"&gt;="&amp;(Assumptions!$B$4+5))/Discount!C9)-SUMIFS(Projection!$Z$4:$Z$59,Projection!$B$4:$B$59,"&gt;="&amp;(Assumptions!$B$4+5))/Discount!C9))</f>
        <v>16612.265846492</v>
      </c>
      <c r="U7" s="12" t="n">
        <f aca="false">MAX(0,OwnFunds_SCR!D16-$A7*(IF(Projection!Q14=0,0,(Projection!F14/Projection!Q14)*SUMIFS(Projection!$AA$4:$AA$59,Projection!$B$4:$B$59,"&gt;="&amp;(Assumptions!$B$4+10))/Discount!C14)-SUMIFS(Projection!$Z$4:$Z$59,Projection!$B$4:$B$59,"&gt;="&amp;(Assumptions!$B$4+10))/Discount!C14))</f>
        <v>18357.4200553482</v>
      </c>
      <c r="V7" s="12" t="n">
        <f aca="false">MAX(0,OwnFunds_SCR!E16-$A7*(IF(Projection!Q19=0,0,(Projection!F19/Projection!Q19)*SUMIFS(Projection!$AA$4:$AA$59,Projection!$B$4:$B$59,"&gt;="&amp;(Assumptions!$B$4+15))/Discount!C19)-SUMIFS(Projection!$Z$4:$Z$59,Projection!$B$4:$B$59,"&gt;="&amp;(Assumptions!$B$4+15))/Discount!C19))</f>
        <v>18493.1797505175</v>
      </c>
      <c r="W7" s="12" t="n">
        <f aca="false">MAX(0,OwnFunds_SCR!F16-$A7*(IF(Projection!Q24=0,0,(Projection!F24/Projection!Q24)*SUMIFS(Projection!$AA$4:$AA$59,Projection!$B$4:$B$59,"&gt;="&amp;(Assumptions!$B$4+20))/Discount!C24)-SUMIFS(Projection!$Z$4:$Z$59,Projection!$B$4:$B$59,"&gt;="&amp;(Assumptions!$B$4+20))/Discount!C24))</f>
        <v>15909.7289648044</v>
      </c>
      <c r="X7" s="12" t="n">
        <f aca="false">MAX(0,OwnFunds_SCR!B20-$A7*(IF(Projection!U4=0,0,(Projection!F4/Projection!U4)*SUMIFS(Projection!$AB$4:$AB$59,Projection!$B$4:$B$59,"&gt;="&amp;(Assumptions!$B$4+0))/Discount!C4)-SUMIFS(Projection!$Z$4:$Z$59,Projection!$B$4:$B$59,"&gt;="&amp;(Assumptions!$B$4+0))/Discount!C4))</f>
        <v>3918.95645094969</v>
      </c>
      <c r="Y7" s="12" t="n">
        <f aca="false">MAX(0,OwnFunds_SCR!C20-$A7*(IF(Projection!U9=0,0,(Projection!F9/Projection!U9)*SUMIFS(Projection!$AB$4:$AB$59,Projection!$B$4:$B$59,"&gt;="&amp;(Assumptions!$B$4+5))/Discount!C9)-SUMIFS(Projection!$Z$4:$Z$59,Projection!$B$4:$B$59,"&gt;="&amp;(Assumptions!$B$4+5))/Discount!C9))</f>
        <v>4090.49973288644</v>
      </c>
      <c r="Z7" s="12" t="n">
        <f aca="false">MAX(0,OwnFunds_SCR!D20-$A7*(IF(Projection!U14=0,0,(Projection!F14/Projection!U14)*SUMIFS(Projection!$AB$4:$AB$59,Projection!$B$4:$B$59,"&gt;="&amp;(Assumptions!$B$4+10))/Discount!C14)-SUMIFS(Projection!$Z$4:$Z$59,Projection!$B$4:$B$59,"&gt;="&amp;(Assumptions!$B$4+10))/Discount!C14))</f>
        <v>2930.03957991577</v>
      </c>
      <c r="AA7" s="12" t="n">
        <f aca="false">MAX(0,OwnFunds_SCR!E20-$A7*(IF(Projection!U19=0,0,(Projection!F19/Projection!U19)*SUMIFS(Projection!$AB$4:$AB$59,Projection!$B$4:$B$59,"&gt;="&amp;(Assumptions!$B$4+15))/Discount!C19)-SUMIFS(Projection!$Z$4:$Z$59,Projection!$B$4:$B$59,"&gt;="&amp;(Assumptions!$B$4+15))/Discount!C19))</f>
        <v>0</v>
      </c>
      <c r="AB7" s="12" t="n">
        <f aca="false">MAX(0,OwnFunds_SCR!F20-$A7*(IF(Projection!U24=0,0,(Projection!F24/Projection!U24)*SUMIFS(Projection!$AB$4:$AB$59,Projection!$B$4:$B$59,"&gt;="&amp;(Assumptions!$B$4+20))/Discount!C24)-SUMIFS(Projection!$Z$4:$Z$59,Projection!$B$4:$B$59,"&gt;="&amp;(Assumptions!$B$4+20))/Discount!C24))</f>
        <v>0</v>
      </c>
      <c r="AC7" s="12" t="n">
        <f aca="false">SQRT(S7^2+X7^2+OwnFunds_SCR!B21^2+2*Assumptions!$B$26*S7*X7+2*Assumptions!$B$27*S7*OwnFunds_SCR!B21+2*Assumptions!$B$28*X7*OwnFunds_SCR!B21)</f>
        <v>16300.2807952004</v>
      </c>
      <c r="AD7" s="12" t="n">
        <f aca="false">SQRT(T7^2+Y7^2+OwnFunds_SCR!C21^2+2*Assumptions!$B$26*T7*Y7+2*Assumptions!$B$27*T7*OwnFunds_SCR!C21+2*Assumptions!$B$28*Y7*OwnFunds_SCR!C21)</f>
        <v>18215.8616473106</v>
      </c>
      <c r="AE7" s="12" t="n">
        <f aca="false">SQRT(U7^2+Z7^2+OwnFunds_SCR!D21^2+2*Assumptions!$B$26*U7*Z7+2*Assumptions!$B$27*U7*OwnFunds_SCR!D21+2*Assumptions!$B$28*Z7*OwnFunds_SCR!D21)</f>
        <v>19425.2239556558</v>
      </c>
      <c r="AF7" s="12" t="n">
        <f aca="false">SQRT(V7^2+AA7^2+OwnFunds_SCR!E21^2+2*Assumptions!$B$26*V7*AA7+2*Assumptions!$B$27*V7*OwnFunds_SCR!E21+2*Assumptions!$B$28*AA7*OwnFunds_SCR!E21)</f>
        <v>18584.8360127642</v>
      </c>
      <c r="AG7" s="12" t="n">
        <f aca="false">SQRT(W7^2+AB7^2+OwnFunds_SCR!F21^2+2*Assumptions!$B$26*W7*AB7+2*Assumptions!$B$27*W7*OwnFunds_SCR!F21+2*Assumptions!$B$28*AB7*OwnFunds_SCR!F21)</f>
        <v>15983.5105361247</v>
      </c>
    </row>
    <row r="8" customFormat="false" ht="15" hidden="false" customHeight="true" outlineLevel="0" collapsed="false">
      <c r="A8" s="122" t="n">
        <v>0.0875</v>
      </c>
      <c r="B8" s="11" t="n">
        <f aca="false">Fairness!$B$3/(1+$A8)</f>
        <v>0.823161824717301</v>
      </c>
      <c r="C8" s="48" t="n">
        <f aca="false">Pricing!$B$14*(1+$A8)</f>
        <v>13393.7214611586</v>
      </c>
      <c r="D8" s="12" t="n">
        <f aca="false">MAX(0,(AC8-N8)/Projection!F4)</f>
        <v>21683.1097576265</v>
      </c>
      <c r="E8" s="12" t="n">
        <f aca="false">MAX(0,(AD8-O8)/Projection!F9)</f>
        <v>23109.8438620126</v>
      </c>
      <c r="F8" s="12" t="n">
        <f aca="false">MAX(0,(AE8-P8)/Projection!F14)</f>
        <v>19932.3846382524</v>
      </c>
      <c r="G8" s="12" t="n">
        <f aca="false">MAX(0,(AF8-Q8)/Projection!F19)</f>
        <v>11684.9672564769</v>
      </c>
      <c r="H8" s="12" t="n">
        <f aca="false">MAX(0,(AG8-R8)/Projection!F24)</f>
        <v>0</v>
      </c>
      <c r="I8" s="58" t="n">
        <f aca="false">MAX(D8:H8)</f>
        <v>23109.8438620126</v>
      </c>
      <c r="J8" s="5" t="str">
        <f aca="false">IF(B8&gt;=0.9,"fair","BREACHES FLOOR")</f>
        <v>BREACHES FLOOR</v>
      </c>
      <c r="K8" s="18" t="n">
        <f aca="false">IF(I8&lt;=0,$A8,9)</f>
        <v>9</v>
      </c>
      <c r="N8" s="12" t="n">
        <f aca="false">OwnFunds_SCR!B7+$A8*(SUMIFS(Projection!$AC$4:$AC$59,Projection!$B$4:$B$59,"&lt;"&amp;(Assumptions!$B$4+0))/Discount!C4+SUMIFS(Projection!$Z$4:$Z$59,Projection!$B$4:$B$59,"&gt;="&amp;(Assumptions!$B$4+0))/Discount!C4)-RiskMargin!L4</f>
        <v>-5440.47056614556</v>
      </c>
      <c r="O8" s="12" t="n">
        <f aca="false">OwnFunds_SCR!C7+$A8*(SUMIFS(Projection!$AC$4:$AC$59,Projection!$B$4:$B$59,"&lt;"&amp;(Assumptions!$B$4+5))/Discount!C9+SUMIFS(Projection!$Z$4:$Z$59,Projection!$B$4:$B$59,"&gt;="&amp;(Assumptions!$B$4+5))/Discount!C9)-RiskMargin!L9</f>
        <v>-1998.57576763621</v>
      </c>
      <c r="P8" s="12" t="n">
        <f aca="false">OwnFunds_SCR!D7+$A8*(SUMIFS(Projection!$AC$4:$AC$59,Projection!$B$4:$B$59,"&lt;"&amp;(Assumptions!$B$4+10))/Discount!C14+SUMIFS(Projection!$Z$4:$Z$59,Projection!$B$4:$B$59,"&gt;="&amp;(Assumptions!$B$4+10))/Discount!C14)-RiskMargin!L14</f>
        <v>3639.8630877153</v>
      </c>
      <c r="Q8" s="12" t="n">
        <f aca="false">OwnFunds_SCR!E7+$A8*(SUMIFS(Projection!$AC$4:$AC$59,Projection!$B$4:$B$59,"&lt;"&amp;(Assumptions!$B$4+15))/Discount!C19+SUMIFS(Projection!$Z$4:$Z$59,Projection!$B$4:$B$59,"&gt;="&amp;(Assumptions!$B$4+15))/Discount!C19)-RiskMargin!L19</f>
        <v>10549.3062593324</v>
      </c>
      <c r="R8" s="12" t="n">
        <f aca="false">OwnFunds_SCR!F7+$A8*(SUMIFS(Projection!$AC$4:$AC$59,Projection!$B$4:$B$59,"&lt;"&amp;(Assumptions!$B$4+20))/Discount!C24+SUMIFS(Projection!$Z$4:$Z$59,Projection!$B$4:$B$59,"&gt;="&amp;(Assumptions!$B$4+20))/Discount!C24)-RiskMargin!L24</f>
        <v>18318.3640727544</v>
      </c>
      <c r="S8" s="12" t="n">
        <f aca="false">MAX(0,OwnFunds_SCR!B16-$A8*(IF(Projection!Q4=0,0,(Projection!F4/Projection!Q4)*SUMIFS(Projection!$AA$4:$AA$59,Projection!$B$4:$B$59,"&gt;="&amp;(Assumptions!$B$4+0))/Discount!C4)-SUMIFS(Projection!$Z$4:$Z$59,Projection!$B$4:$B$59,"&gt;="&amp;(Assumptions!$B$4+0))/Discount!C4))</f>
        <v>14708.7869996353</v>
      </c>
      <c r="T8" s="12" t="n">
        <f aca="false">MAX(0,OwnFunds_SCR!C16-$A8*(IF(Projection!Q9=0,0,(Projection!F9/Projection!Q9)*SUMIFS(Projection!$AA$4:$AA$59,Projection!$B$4:$B$59,"&gt;="&amp;(Assumptions!$B$4+5))/Discount!C9)-SUMIFS(Projection!$Z$4:$Z$59,Projection!$B$4:$B$59,"&gt;="&amp;(Assumptions!$B$4+5))/Discount!C9))</f>
        <v>16602.0581875141</v>
      </c>
      <c r="U8" s="12" t="n">
        <f aca="false">MAX(0,OwnFunds_SCR!D16-$A8*(IF(Projection!Q14=0,0,(Projection!F14/Projection!Q14)*SUMIFS(Projection!$AA$4:$AA$59,Projection!$B$4:$B$59,"&gt;="&amp;(Assumptions!$B$4+10))/Discount!C14)-SUMIFS(Projection!$Z$4:$Z$59,Projection!$B$4:$B$59,"&gt;="&amp;(Assumptions!$B$4+10))/Discount!C14))</f>
        <v>18353.9492577221</v>
      </c>
      <c r="V8" s="12" t="n">
        <f aca="false">MAX(0,OwnFunds_SCR!E16-$A8*(IF(Projection!Q19=0,0,(Projection!F19/Projection!Q19)*SUMIFS(Projection!$AA$4:$AA$59,Projection!$B$4:$B$59,"&gt;="&amp;(Assumptions!$B$4+15))/Discount!C19)-SUMIFS(Projection!$Z$4:$Z$59,Projection!$B$4:$B$59,"&gt;="&amp;(Assumptions!$B$4+15))/Discount!C19))</f>
        <v>18493.1797505175</v>
      </c>
      <c r="W8" s="12" t="n">
        <f aca="false">MAX(0,OwnFunds_SCR!F16-$A8*(IF(Projection!Q24=0,0,(Projection!F24/Projection!Q24)*SUMIFS(Projection!$AA$4:$AA$59,Projection!$B$4:$B$59,"&gt;="&amp;(Assumptions!$B$4+20))/Discount!C24)-SUMIFS(Projection!$Z$4:$Z$59,Projection!$B$4:$B$59,"&gt;="&amp;(Assumptions!$B$4+20))/Discount!C24))</f>
        <v>15909.7289648044</v>
      </c>
      <c r="X8" s="12" t="n">
        <f aca="false">MAX(0,OwnFunds_SCR!B20-$A8*(IF(Projection!U4=0,0,(Projection!F4/Projection!U4)*SUMIFS(Projection!$AB$4:$AB$59,Projection!$B$4:$B$59,"&gt;="&amp;(Assumptions!$B$4+0))/Discount!C4)-SUMIFS(Projection!$Z$4:$Z$59,Projection!$B$4:$B$59,"&gt;="&amp;(Assumptions!$B$4+0))/Discount!C4))</f>
        <v>3831.42669664548</v>
      </c>
      <c r="Y8" s="12" t="n">
        <f aca="false">MAX(0,OwnFunds_SCR!C20-$A8*(IF(Projection!U9=0,0,(Projection!F9/Projection!U9)*SUMIFS(Projection!$AB$4:$AB$59,Projection!$B$4:$B$59,"&gt;="&amp;(Assumptions!$B$4+5))/Discount!C9)-SUMIFS(Projection!$Z$4:$Z$59,Projection!$B$4:$B$59,"&gt;="&amp;(Assumptions!$B$4+5))/Discount!C9))</f>
        <v>4070.2382579101</v>
      </c>
      <c r="Z8" s="12" t="n">
        <f aca="false">MAX(0,OwnFunds_SCR!D20-$A8*(IF(Projection!U14=0,0,(Projection!F14/Projection!U14)*SUMIFS(Projection!$AB$4:$AB$59,Projection!$B$4:$B$59,"&gt;="&amp;(Assumptions!$B$4+10))/Discount!C14)-SUMIFS(Projection!$Z$4:$Z$59,Projection!$B$4:$B$59,"&gt;="&amp;(Assumptions!$B$4+10))/Discount!C14))</f>
        <v>2925.33580199582</v>
      </c>
      <c r="AA8" s="12" t="n">
        <f aca="false">MAX(0,OwnFunds_SCR!E20-$A8*(IF(Projection!U19=0,0,(Projection!F19/Projection!U19)*SUMIFS(Projection!$AB$4:$AB$59,Projection!$B$4:$B$59,"&gt;="&amp;(Assumptions!$B$4+15))/Discount!C19)-SUMIFS(Projection!$Z$4:$Z$59,Projection!$B$4:$B$59,"&gt;="&amp;(Assumptions!$B$4+15))/Discount!C19))</f>
        <v>0</v>
      </c>
      <c r="AB8" s="12" t="n">
        <f aca="false">MAX(0,OwnFunds_SCR!F20-$A8*(IF(Projection!U24=0,0,(Projection!F24/Projection!U24)*SUMIFS(Projection!$AB$4:$AB$59,Projection!$B$4:$B$59,"&gt;="&amp;(Assumptions!$B$4+20))/Discount!C24)-SUMIFS(Projection!$Z$4:$Z$59,Projection!$B$4:$B$59,"&gt;="&amp;(Assumptions!$B$4+20))/Discount!C24))</f>
        <v>0</v>
      </c>
      <c r="AC8" s="12" t="n">
        <f aca="false">SQRT(S8^2+X8^2+OwnFunds_SCR!B21^2+2*Assumptions!$B$26*S8*X8+2*Assumptions!$B$27*S8*OwnFunds_SCR!B21+2*Assumptions!$B$28*X8*OwnFunds_SCR!B21)</f>
        <v>16242.639191481</v>
      </c>
      <c r="AD8" s="12" t="n">
        <f aca="false">SQRT(T8^2+Y8^2+OwnFunds_SCR!C21^2+2*Assumptions!$B$26*T8*Y8+2*Assumptions!$B$27*T8*OwnFunds_SCR!C21+2*Assumptions!$B$28*Y8*OwnFunds_SCR!C21)</f>
        <v>18196.5372400288</v>
      </c>
      <c r="AE8" s="12" t="n">
        <f aca="false">SQRT(U8^2+Z8^2+OwnFunds_SCR!D21^2+2*Assumptions!$B$26*U8*Z8+2*Assumptions!$B$27*U8*OwnFunds_SCR!D21+2*Assumptions!$B$28*Z8*OwnFunds_SCR!D21)</f>
        <v>19419.9281068427</v>
      </c>
      <c r="AF8" s="12" t="n">
        <f aca="false">SQRT(V8^2+AA8^2+OwnFunds_SCR!E21^2+2*Assumptions!$B$26*V8*AA8+2*Assumptions!$B$27*V8*OwnFunds_SCR!E21+2*Assumptions!$B$28*AA8*OwnFunds_SCR!E21)</f>
        <v>18584.8360127642</v>
      </c>
      <c r="AG8" s="12" t="n">
        <f aca="false">SQRT(W8^2+AB8^2+OwnFunds_SCR!F21^2+2*Assumptions!$B$26*W8*AB8+2*Assumptions!$B$27*W8*OwnFunds_SCR!F21+2*Assumptions!$B$28*AB8*OwnFunds_SCR!F21)</f>
        <v>15983.5105361247</v>
      </c>
    </row>
    <row r="9" customFormat="false" ht="15" hidden="false" customHeight="true" outlineLevel="0" collapsed="false">
      <c r="A9" s="121" t="n">
        <v>0.1</v>
      </c>
      <c r="B9" s="11" t="n">
        <f aca="false">Fairness!$B$3/(1+$A9)</f>
        <v>0.813807713072786</v>
      </c>
      <c r="C9" s="48" t="n">
        <f aca="false">Pricing!$B$14*(1+$A9)</f>
        <v>13547.6722825512</v>
      </c>
      <c r="D9" s="12" t="n">
        <f aca="false">MAX(0,(AC9-N9)/Projection!F4)</f>
        <v>19995.2670576935</v>
      </c>
      <c r="E9" s="12" t="n">
        <f aca="false">MAX(0,(AD9-O9)/Projection!F9)</f>
        <v>21194.9528683879</v>
      </c>
      <c r="F9" s="12" t="n">
        <f aca="false">MAX(0,(AE9-P9)/Projection!F14)</f>
        <v>17530.6610001971</v>
      </c>
      <c r="G9" s="12" t="n">
        <f aca="false">MAX(0,(AF9-Q9)/Projection!F19)</f>
        <v>8457.10000662699</v>
      </c>
      <c r="H9" s="12" t="n">
        <f aca="false">MAX(0,(AG9-R9)/Projection!F24)</f>
        <v>0</v>
      </c>
      <c r="I9" s="58" t="n">
        <f aca="false">MAX(D9:H9)</f>
        <v>21194.9528683879</v>
      </c>
      <c r="J9" s="5" t="str">
        <f aca="false">IF(B9&gt;=0.9,"fair","BREACHES FLOOR")</f>
        <v>BREACHES FLOOR</v>
      </c>
      <c r="K9" s="18" t="n">
        <f aca="false">IF(I9&lt;=0,$A9,9)</f>
        <v>9</v>
      </c>
      <c r="N9" s="12" t="n">
        <f aca="false">OwnFunds_SCR!B7+$A9*(SUMIFS(Projection!$AC$4:$AC$59,Projection!$B$4:$B$59,"&lt;"&amp;(Assumptions!$B$4+0))/Discount!C4+SUMIFS(Projection!$Z$4:$Z$59,Projection!$B$4:$B$59,"&gt;="&amp;(Assumptions!$B$4+0))/Discount!C4)-RiskMargin!L4</f>
        <v>-3809.94032249276</v>
      </c>
      <c r="O9" s="12" t="n">
        <f aca="false">OwnFunds_SCR!C7+$A9*(SUMIFS(Projection!$AC$4:$AC$59,Projection!$B$4:$B$59,"&lt;"&amp;(Assumptions!$B$4+5))/Discount!C9+SUMIFS(Projection!$Z$4:$Z$59,Projection!$B$4:$B$59,"&gt;="&amp;(Assumptions!$B$4+5))/Discount!C9)-RiskMargin!L9</f>
        <v>-344.511494766604</v>
      </c>
      <c r="P9" s="12" t="n">
        <f aca="false">OwnFunds_SCR!D7+$A9*(SUMIFS(Projection!$AC$4:$AC$59,Projection!$B$4:$B$59,"&lt;"&amp;(Assumptions!$B$4+10))/Discount!C14+SUMIFS(Projection!$Z$4:$Z$59,Projection!$B$4:$B$59,"&gt;="&amp;(Assumptions!$B$4+10))/Discount!C14)-RiskMargin!L14</f>
        <v>5535.96391191694</v>
      </c>
      <c r="Q9" s="12" t="n">
        <f aca="false">OwnFunds_SCR!E7+$A9*(SUMIFS(Projection!$AC$4:$AC$59,Projection!$B$4:$B$59,"&lt;"&amp;(Assumptions!$B$4+15))/Discount!C19+SUMIFS(Projection!$Z$4:$Z$59,Projection!$B$4:$B$59,"&gt;="&amp;(Assumptions!$B$4+15))/Discount!C19)-RiskMargin!L19</f>
        <v>12769.0491783312</v>
      </c>
      <c r="R9" s="12" t="n">
        <f aca="false">OwnFunds_SCR!F7+$A9*(SUMIFS(Projection!$AC$4:$AC$59,Projection!$B$4:$B$59,"&lt;"&amp;(Assumptions!$B$4+20))/Discount!C24+SUMIFS(Projection!$Z$4:$Z$59,Projection!$B$4:$B$59,"&gt;="&amp;(Assumptions!$B$4+20))/Discount!C24)-RiskMargin!L24</f>
        <v>20936.3351087214</v>
      </c>
      <c r="S9" s="12" t="n">
        <f aca="false">MAX(0,OwnFunds_SCR!B16-$A9*(IF(Projection!Q4=0,0,(Projection!F4/Projection!Q4)*SUMIFS(Projection!$AA$4:$AA$59,Projection!$B$4:$B$59,"&gt;="&amp;(Assumptions!$B$4+0))/Discount!C4)-SUMIFS(Projection!$Z$4:$Z$59,Projection!$B$4:$B$59,"&gt;="&amp;(Assumptions!$B$4+0))/Discount!C4))</f>
        <v>14692.3648381466</v>
      </c>
      <c r="T9" s="12" t="n">
        <f aca="false">MAX(0,OwnFunds_SCR!C16-$A9*(IF(Projection!Q9=0,0,(Projection!F9/Projection!Q9)*SUMIFS(Projection!$AA$4:$AA$59,Projection!$B$4:$B$59,"&gt;="&amp;(Assumptions!$B$4+5))/Discount!C9)-SUMIFS(Projection!$Z$4:$Z$59,Projection!$B$4:$B$59,"&gt;="&amp;(Assumptions!$B$4+5))/Discount!C9))</f>
        <v>16591.8505285363</v>
      </c>
      <c r="U9" s="12" t="n">
        <f aca="false">MAX(0,OwnFunds_SCR!D16-$A9*(IF(Projection!Q14=0,0,(Projection!F14/Projection!Q14)*SUMIFS(Projection!$AA$4:$AA$59,Projection!$B$4:$B$59,"&gt;="&amp;(Assumptions!$B$4+10))/Discount!C14)-SUMIFS(Projection!$Z$4:$Z$59,Projection!$B$4:$B$59,"&gt;="&amp;(Assumptions!$B$4+10))/Discount!C14))</f>
        <v>18350.4784600961</v>
      </c>
      <c r="V9" s="12" t="n">
        <f aca="false">MAX(0,OwnFunds_SCR!E16-$A9*(IF(Projection!Q19=0,0,(Projection!F19/Projection!Q19)*SUMIFS(Projection!$AA$4:$AA$59,Projection!$B$4:$B$59,"&gt;="&amp;(Assumptions!$B$4+15))/Discount!C19)-SUMIFS(Projection!$Z$4:$Z$59,Projection!$B$4:$B$59,"&gt;="&amp;(Assumptions!$B$4+15))/Discount!C19))</f>
        <v>18493.1797505175</v>
      </c>
      <c r="W9" s="12" t="n">
        <f aca="false">MAX(0,OwnFunds_SCR!F16-$A9*(IF(Projection!Q24=0,0,(Projection!F24/Projection!Q24)*SUMIFS(Projection!$AA$4:$AA$59,Projection!$B$4:$B$59,"&gt;="&amp;(Assumptions!$B$4+20))/Discount!C24)-SUMIFS(Projection!$Z$4:$Z$59,Projection!$B$4:$B$59,"&gt;="&amp;(Assumptions!$B$4+20))/Discount!C24))</f>
        <v>15909.7289648044</v>
      </c>
      <c r="X9" s="12" t="n">
        <f aca="false">MAX(0,OwnFunds_SCR!B20-$A9*(IF(Projection!U4=0,0,(Projection!F4/Projection!U4)*SUMIFS(Projection!$AB$4:$AB$59,Projection!$B$4:$B$59,"&gt;="&amp;(Assumptions!$B$4+0))/Discount!C4)-SUMIFS(Projection!$Z$4:$Z$59,Projection!$B$4:$B$59,"&gt;="&amp;(Assumptions!$B$4+0))/Discount!C4))</f>
        <v>3743.89694234127</v>
      </c>
      <c r="Y9" s="12" t="n">
        <f aca="false">MAX(0,OwnFunds_SCR!C20-$A9*(IF(Projection!U9=0,0,(Projection!F9/Projection!U9)*SUMIFS(Projection!$AB$4:$AB$59,Projection!$B$4:$B$59,"&gt;="&amp;(Assumptions!$B$4+5))/Discount!C9)-SUMIFS(Projection!$Z$4:$Z$59,Projection!$B$4:$B$59,"&gt;="&amp;(Assumptions!$B$4+5))/Discount!C9))</f>
        <v>4049.97678293376</v>
      </c>
      <c r="Z9" s="12" t="n">
        <f aca="false">MAX(0,OwnFunds_SCR!D20-$A9*(IF(Projection!U14=0,0,(Projection!F14/Projection!U14)*SUMIFS(Projection!$AB$4:$AB$59,Projection!$B$4:$B$59,"&gt;="&amp;(Assumptions!$B$4+10))/Discount!C14)-SUMIFS(Projection!$Z$4:$Z$59,Projection!$B$4:$B$59,"&gt;="&amp;(Assumptions!$B$4+10))/Discount!C14))</f>
        <v>2920.63202407587</v>
      </c>
      <c r="AA9" s="12" t="n">
        <f aca="false">MAX(0,OwnFunds_SCR!E20-$A9*(IF(Projection!U19=0,0,(Projection!F19/Projection!U19)*SUMIFS(Projection!$AB$4:$AB$59,Projection!$B$4:$B$59,"&gt;="&amp;(Assumptions!$B$4+15))/Discount!C19)-SUMIFS(Projection!$Z$4:$Z$59,Projection!$B$4:$B$59,"&gt;="&amp;(Assumptions!$B$4+15))/Discount!C19))</f>
        <v>0</v>
      </c>
      <c r="AB9" s="12" t="n">
        <f aca="false">MAX(0,OwnFunds_SCR!F20-$A9*(IF(Projection!U24=0,0,(Projection!F24/Projection!U24)*SUMIFS(Projection!$AB$4:$AB$59,Projection!$B$4:$B$59,"&gt;="&amp;(Assumptions!$B$4+20))/Discount!C24)-SUMIFS(Projection!$Z$4:$Z$59,Projection!$B$4:$B$59,"&gt;="&amp;(Assumptions!$B$4+20))/Discount!C24))</f>
        <v>0</v>
      </c>
      <c r="AC9" s="12" t="n">
        <f aca="false">SQRT(S9^2+X9^2+OwnFunds_SCR!B21^2+2*Assumptions!$B$26*S9*X9+2*Assumptions!$B$27*S9*OwnFunds_SCR!B21+2*Assumptions!$B$28*X9*OwnFunds_SCR!B21)</f>
        <v>16185.3267352007</v>
      </c>
      <c r="AD9" s="12" t="n">
        <f aca="false">SQRT(T9^2+Y9^2+OwnFunds_SCR!C21^2+2*Assumptions!$B$26*T9*Y9+2*Assumptions!$B$27*T9*OwnFunds_SCR!C21+2*Assumptions!$B$28*Y9*OwnFunds_SCR!C21)</f>
        <v>18177.2262947656</v>
      </c>
      <c r="AE9" s="12" t="n">
        <f aca="false">SQRT(U9^2+Z9^2+OwnFunds_SCR!D21^2+2*Assumptions!$B$26*U9*Z9+2*Assumptions!$B$27*U9*OwnFunds_SCR!D21+2*Assumptions!$B$28*Z9*OwnFunds_SCR!D21)</f>
        <v>19414.6329940146</v>
      </c>
      <c r="AF9" s="12" t="n">
        <f aca="false">SQRT(V9^2+AA9^2+OwnFunds_SCR!E21^2+2*Assumptions!$B$26*V9*AA9+2*Assumptions!$B$27*V9*OwnFunds_SCR!E21+2*Assumptions!$B$28*AA9*OwnFunds_SCR!E21)</f>
        <v>18584.8360127642</v>
      </c>
      <c r="AG9" s="12" t="n">
        <f aca="false">SQRT(W9^2+AB9^2+OwnFunds_SCR!F21^2+2*Assumptions!$B$26*W9*AB9+2*Assumptions!$B$27*W9*OwnFunds_SCR!F21+2*Assumptions!$B$28*AB9*OwnFunds_SCR!F21)</f>
        <v>15983.5105361247</v>
      </c>
    </row>
    <row r="10" customFormat="false" ht="15" hidden="false" customHeight="true" outlineLevel="0" collapsed="false">
      <c r="A10" s="121" t="n">
        <v>0.125</v>
      </c>
      <c r="B10" s="11" t="n">
        <f aca="false">Fairness!$B$3/(1+$A10)</f>
        <v>0.795723097226724</v>
      </c>
      <c r="C10" s="48" t="n">
        <f aca="false">Pricing!$B$14*(1+$A10)</f>
        <v>13855.5739253365</v>
      </c>
      <c r="D10" s="12" t="n">
        <f aca="false">MAX(0,(AC10-N10)/Projection!F4)</f>
        <v>16620.5831649927</v>
      </c>
      <c r="E10" s="12" t="n">
        <f aca="false">MAX(0,(AD10-O10)/Projection!F9)</f>
        <v>17365.2172928267</v>
      </c>
      <c r="F10" s="12" t="n">
        <f aca="false">MAX(0,(AE10-P10)/Projection!F14)</f>
        <v>12727.2165160806</v>
      </c>
      <c r="G10" s="12" t="n">
        <f aca="false">MAX(0,(AF10-Q10)/Projection!F19)</f>
        <v>2001.3655069272</v>
      </c>
      <c r="H10" s="12" t="n">
        <f aca="false">MAX(0,(AG10-R10)/Projection!F24)</f>
        <v>0</v>
      </c>
      <c r="I10" s="58" t="n">
        <f aca="false">MAX(D10:H10)</f>
        <v>17365.2172928267</v>
      </c>
      <c r="J10" s="5" t="str">
        <f aca="false">IF(B10&gt;=0.9,"fair","BREACHES FLOOR")</f>
        <v>BREACHES FLOOR</v>
      </c>
      <c r="K10" s="18" t="n">
        <f aca="false">IF(I10&lt;=0,$A10,9)</f>
        <v>9</v>
      </c>
      <c r="N10" s="12" t="n">
        <f aca="false">OwnFunds_SCR!B7+$A10*(SUMIFS(Projection!$AC$4:$AC$59,Projection!$B$4:$B$59,"&lt;"&amp;(Assumptions!$B$4+0))/Discount!C4+SUMIFS(Projection!$Z$4:$Z$59,Projection!$B$4:$B$59,"&gt;="&amp;(Assumptions!$B$4+0))/Discount!C4)-RiskMargin!L4</f>
        <v>-548.879835187174</v>
      </c>
      <c r="O10" s="12" t="n">
        <f aca="false">OwnFunds_SCR!C7+$A10*(SUMIFS(Projection!$AC$4:$AC$59,Projection!$B$4:$B$59,"&lt;"&amp;(Assumptions!$B$4+5))/Discount!C9+SUMIFS(Projection!$Z$4:$Z$59,Projection!$B$4:$B$59,"&gt;="&amp;(Assumptions!$B$4+5))/Discount!C9)-RiskMargin!L9</f>
        <v>2963.6170509726</v>
      </c>
      <c r="P10" s="12" t="n">
        <f aca="false">OwnFunds_SCR!D7+$A10*(SUMIFS(Projection!$AC$4:$AC$59,Projection!$B$4:$B$59,"&lt;"&amp;(Assumptions!$B$4+10))/Discount!C14+SUMIFS(Projection!$Z$4:$Z$59,Projection!$B$4:$B$59,"&gt;="&amp;(Assumptions!$B$4+10))/Discount!C14)-RiskMargin!L14</f>
        <v>9328.16556032022</v>
      </c>
      <c r="Q10" s="12" t="n">
        <f aca="false">OwnFunds_SCR!E7+$A10*(SUMIFS(Projection!$AC$4:$AC$59,Projection!$B$4:$B$59,"&lt;"&amp;(Assumptions!$B$4+15))/Discount!C19+SUMIFS(Projection!$Z$4:$Z$59,Projection!$B$4:$B$59,"&gt;="&amp;(Assumptions!$B$4+15))/Discount!C19)-RiskMargin!L19</f>
        <v>17208.5350163287</v>
      </c>
      <c r="R10" s="12" t="n">
        <f aca="false">OwnFunds_SCR!F7+$A10*(SUMIFS(Projection!$AC$4:$AC$59,Projection!$B$4:$B$59,"&lt;"&amp;(Assumptions!$B$4+20))/Discount!C24+SUMIFS(Projection!$Z$4:$Z$59,Projection!$B$4:$B$59,"&gt;="&amp;(Assumptions!$B$4+20))/Discount!C24)-RiskMargin!L24</f>
        <v>26172.2771806554</v>
      </c>
      <c r="S10" s="12" t="n">
        <f aca="false">MAX(0,OwnFunds_SCR!B16-$A10*(IF(Projection!Q4=0,0,(Projection!F4/Projection!Q4)*SUMIFS(Projection!$AA$4:$AA$59,Projection!$B$4:$B$59,"&gt;="&amp;(Assumptions!$B$4+0))/Discount!C4)-SUMIFS(Projection!$Z$4:$Z$59,Projection!$B$4:$B$59,"&gt;="&amp;(Assumptions!$B$4+0))/Discount!C4))</f>
        <v>14659.5205151692</v>
      </c>
      <c r="T10" s="12" t="n">
        <f aca="false">MAX(0,OwnFunds_SCR!C16-$A10*(IF(Projection!Q9=0,0,(Projection!F9/Projection!Q9)*SUMIFS(Projection!$AA$4:$AA$59,Projection!$B$4:$B$59,"&gt;="&amp;(Assumptions!$B$4+5))/Discount!C9)-SUMIFS(Projection!$Z$4:$Z$59,Projection!$B$4:$B$59,"&gt;="&amp;(Assumptions!$B$4+5))/Discount!C9))</f>
        <v>16571.4352105806</v>
      </c>
      <c r="U10" s="12" t="n">
        <f aca="false">MAX(0,OwnFunds_SCR!D16-$A10*(IF(Projection!Q14=0,0,(Projection!F14/Projection!Q14)*SUMIFS(Projection!$AA$4:$AA$59,Projection!$B$4:$B$59,"&gt;="&amp;(Assumptions!$B$4+10))/Discount!C14)-SUMIFS(Projection!$Z$4:$Z$59,Projection!$B$4:$B$59,"&gt;="&amp;(Assumptions!$B$4+10))/Discount!C14))</f>
        <v>18343.5368648441</v>
      </c>
      <c r="V10" s="12" t="n">
        <f aca="false">MAX(0,OwnFunds_SCR!E16-$A10*(IF(Projection!Q19=0,0,(Projection!F19/Projection!Q19)*SUMIFS(Projection!$AA$4:$AA$59,Projection!$B$4:$B$59,"&gt;="&amp;(Assumptions!$B$4+15))/Discount!C19)-SUMIFS(Projection!$Z$4:$Z$59,Projection!$B$4:$B$59,"&gt;="&amp;(Assumptions!$B$4+15))/Discount!C19))</f>
        <v>18493.1797505175</v>
      </c>
      <c r="W10" s="12" t="n">
        <f aca="false">MAX(0,OwnFunds_SCR!F16-$A10*(IF(Projection!Q24=0,0,(Projection!F24/Projection!Q24)*SUMIFS(Projection!$AA$4:$AA$59,Projection!$B$4:$B$59,"&gt;="&amp;(Assumptions!$B$4+20))/Discount!C24)-SUMIFS(Projection!$Z$4:$Z$59,Projection!$B$4:$B$59,"&gt;="&amp;(Assumptions!$B$4+20))/Discount!C24))</f>
        <v>15909.7289648044</v>
      </c>
      <c r="X10" s="12" t="n">
        <f aca="false">MAX(0,OwnFunds_SCR!B20-$A10*(IF(Projection!U4=0,0,(Projection!F4/Projection!U4)*SUMIFS(Projection!$AB$4:$AB$59,Projection!$B$4:$B$59,"&gt;="&amp;(Assumptions!$B$4+0))/Discount!C4)-SUMIFS(Projection!$Z$4:$Z$59,Projection!$B$4:$B$59,"&gt;="&amp;(Assumptions!$B$4+0))/Discount!C4))</f>
        <v>3568.83743373286</v>
      </c>
      <c r="Y10" s="12" t="n">
        <f aca="false">MAX(0,OwnFunds_SCR!C20-$A10*(IF(Projection!U9=0,0,(Projection!F9/Projection!U9)*SUMIFS(Projection!$AB$4:$AB$59,Projection!$B$4:$B$59,"&gt;="&amp;(Assumptions!$B$4+5))/Discount!C9)-SUMIFS(Projection!$Z$4:$Z$59,Projection!$B$4:$B$59,"&gt;="&amp;(Assumptions!$B$4+5))/Discount!C9))</f>
        <v>4009.45383298107</v>
      </c>
      <c r="Z10" s="12" t="n">
        <f aca="false">MAX(0,OwnFunds_SCR!D20-$A10*(IF(Projection!U14=0,0,(Projection!F14/Projection!U14)*SUMIFS(Projection!$AB$4:$AB$59,Projection!$B$4:$B$59,"&gt;="&amp;(Assumptions!$B$4+10))/Discount!C14)-SUMIFS(Projection!$Z$4:$Z$59,Projection!$B$4:$B$59,"&gt;="&amp;(Assumptions!$B$4+10))/Discount!C14))</f>
        <v>2911.22446823597</v>
      </c>
      <c r="AA10" s="12" t="n">
        <f aca="false">MAX(0,OwnFunds_SCR!E20-$A10*(IF(Projection!U19=0,0,(Projection!F19/Projection!U19)*SUMIFS(Projection!$AB$4:$AB$59,Projection!$B$4:$B$59,"&gt;="&amp;(Assumptions!$B$4+15))/Discount!C19)-SUMIFS(Projection!$Z$4:$Z$59,Projection!$B$4:$B$59,"&gt;="&amp;(Assumptions!$B$4+15))/Discount!C19))</f>
        <v>0</v>
      </c>
      <c r="AB10" s="12" t="n">
        <f aca="false">MAX(0,OwnFunds_SCR!F20-$A10*(IF(Projection!U24=0,0,(Projection!F24/Projection!U24)*SUMIFS(Projection!$AB$4:$AB$59,Projection!$B$4:$B$59,"&gt;="&amp;(Assumptions!$B$4+20))/Discount!C24)-SUMIFS(Projection!$Z$4:$Z$59,Projection!$B$4:$B$59,"&gt;="&amp;(Assumptions!$B$4+20))/Discount!C24))</f>
        <v>0</v>
      </c>
      <c r="AC10" s="12" t="n">
        <f aca="false">SQRT(S10^2+X10^2+OwnFunds_SCR!B21^2+2*Assumptions!$B$26*S10*X10+2*Assumptions!$B$27*S10*OwnFunds_SCR!B21+2*Assumptions!$B$28*X10*OwnFunds_SCR!B21)</f>
        <v>16071.7033298056</v>
      </c>
      <c r="AD10" s="12" t="n">
        <f aca="false">SQRT(T10^2+Y10^2+OwnFunds_SCR!C21^2+2*Assumptions!$B$26*T10*Y10+2*Assumptions!$B$27*T10*OwnFunds_SCR!C21+2*Assumptions!$B$28*Y10*OwnFunds_SCR!C21)</f>
        <v>18138.6449622495</v>
      </c>
      <c r="AE10" s="12" t="n">
        <f aca="false">SQRT(U10^2+Z10^2+OwnFunds_SCR!D21^2+2*Assumptions!$B$26*U10*Z10+2*Assumptions!$B$27*U10*OwnFunds_SCR!D21+2*Assumptions!$B$28*Z10*OwnFunds_SCR!D21)</f>
        <v>19404.0449787235</v>
      </c>
      <c r="AF10" s="12" t="n">
        <f aca="false">SQRT(V10^2+AA10^2+OwnFunds_SCR!E21^2+2*Assumptions!$B$26*V10*AA10+2*Assumptions!$B$27*V10*OwnFunds_SCR!E21+2*Assumptions!$B$28*AA10*OwnFunds_SCR!E21)</f>
        <v>18584.8360127642</v>
      </c>
      <c r="AG10" s="12" t="n">
        <f aca="false">SQRT(W10^2+AB10^2+OwnFunds_SCR!F21^2+2*Assumptions!$B$26*W10*AB10+2*Assumptions!$B$27*W10*OwnFunds_SCR!F21+2*Assumptions!$B$28*AB10*OwnFunds_SCR!F21)</f>
        <v>15983.5105361247</v>
      </c>
    </row>
    <row r="11" customFormat="false" ht="15" hidden="false" customHeight="true" outlineLevel="0" collapsed="false">
      <c r="A11" s="121" t="n">
        <v>0.15</v>
      </c>
      <c r="B11" s="11" t="n">
        <f aca="false">Fairness!$B$3/(1+$A11)</f>
        <v>0.778424769026143</v>
      </c>
      <c r="C11" s="48" t="n">
        <f aca="false">Pricing!$B$14*(1+$A11)</f>
        <v>14163.4755681217</v>
      </c>
      <c r="D11" s="12" t="n">
        <f aca="false">MAX(0,(AC11-N11)/Projection!F4)</f>
        <v>13247.258347753</v>
      </c>
      <c r="E11" s="12" t="n">
        <f aca="false">MAX(0,(AD11-O11)/Projection!F9)</f>
        <v>13535.5439292217</v>
      </c>
      <c r="F11" s="12" t="n">
        <f aca="false">MAX(0,(AE11-P11)/Projection!F14)</f>
        <v>7923.7757597036</v>
      </c>
      <c r="G11" s="12" t="n">
        <f aca="false">MAX(0,(AF11-Q11)/Projection!F19)</f>
        <v>0</v>
      </c>
      <c r="H11" s="12" t="n">
        <f aca="false">MAX(0,(AG11-R11)/Projection!F24)</f>
        <v>0</v>
      </c>
      <c r="I11" s="58" t="n">
        <f aca="false">MAX(D11:H11)</f>
        <v>13535.5439292217</v>
      </c>
      <c r="J11" s="5" t="str">
        <f aca="false">IF(B11&gt;=0.9,"fair","BREACHES FLOOR")</f>
        <v>BREACHES FLOOR</v>
      </c>
      <c r="K11" s="18" t="n">
        <f aca="false">IF(I11&lt;=0,$A11,9)</f>
        <v>9</v>
      </c>
      <c r="N11" s="12" t="n">
        <f aca="false">OwnFunds_SCR!B7+$A11*(SUMIFS(Projection!$AC$4:$AC$59,Projection!$B$4:$B$59,"&lt;"&amp;(Assumptions!$B$4+0))/Discount!C4+SUMIFS(Projection!$Z$4:$Z$59,Projection!$B$4:$B$59,"&gt;="&amp;(Assumptions!$B$4+0))/Discount!C4)-RiskMargin!L4</f>
        <v>2712.18065211842</v>
      </c>
      <c r="O11" s="12" t="n">
        <f aca="false">OwnFunds_SCR!C7+$A11*(SUMIFS(Projection!$AC$4:$AC$59,Projection!$B$4:$B$59,"&lt;"&amp;(Assumptions!$B$4+5))/Discount!C9+SUMIFS(Projection!$Z$4:$Z$59,Projection!$B$4:$B$59,"&gt;="&amp;(Assumptions!$B$4+5))/Discount!C9)-RiskMargin!L9</f>
        <v>6271.74559671181</v>
      </c>
      <c r="P11" s="12" t="n">
        <f aca="false">OwnFunds_SCR!D7+$A11*(SUMIFS(Projection!$AC$4:$AC$59,Projection!$B$4:$B$59,"&lt;"&amp;(Assumptions!$B$4+10))/Discount!C14+SUMIFS(Projection!$Z$4:$Z$59,Projection!$B$4:$B$59,"&gt;="&amp;(Assumptions!$B$4+10))/Discount!C14)-RiskMargin!L14</f>
        <v>13120.3672087235</v>
      </c>
      <c r="Q11" s="12" t="n">
        <f aca="false">OwnFunds_SCR!E7+$A11*(SUMIFS(Projection!$AC$4:$AC$59,Projection!$B$4:$B$59,"&lt;"&amp;(Assumptions!$B$4+15))/Discount!C19+SUMIFS(Projection!$Z$4:$Z$59,Projection!$B$4:$B$59,"&gt;="&amp;(Assumptions!$B$4+15))/Discount!C19)-RiskMargin!L19</f>
        <v>21648.0208543262</v>
      </c>
      <c r="R11" s="12" t="n">
        <f aca="false">OwnFunds_SCR!F7+$A11*(SUMIFS(Projection!$AC$4:$AC$59,Projection!$B$4:$B$59,"&lt;"&amp;(Assumptions!$B$4+20))/Discount!C24+SUMIFS(Projection!$Z$4:$Z$59,Projection!$B$4:$B$59,"&gt;="&amp;(Assumptions!$B$4+20))/Discount!C24)-RiskMargin!L24</f>
        <v>31408.2192525895</v>
      </c>
      <c r="S11" s="12" t="n">
        <f aca="false">MAX(0,OwnFunds_SCR!B16-$A11*(IF(Projection!Q4=0,0,(Projection!F4/Projection!Q4)*SUMIFS(Projection!$AA$4:$AA$59,Projection!$B$4:$B$59,"&gt;="&amp;(Assumptions!$B$4+0))/Discount!C4)-SUMIFS(Projection!$Z$4:$Z$59,Projection!$B$4:$B$59,"&gt;="&amp;(Assumptions!$B$4+0))/Discount!C4))</f>
        <v>14626.6761921918</v>
      </c>
      <c r="T11" s="12" t="n">
        <f aca="false">MAX(0,OwnFunds_SCR!C16-$A11*(IF(Projection!Q9=0,0,(Projection!F9/Projection!Q9)*SUMIFS(Projection!$AA$4:$AA$59,Projection!$B$4:$B$59,"&gt;="&amp;(Assumptions!$B$4+5))/Discount!C9)-SUMIFS(Projection!$Z$4:$Z$59,Projection!$B$4:$B$59,"&gt;="&amp;(Assumptions!$B$4+5))/Discount!C9))</f>
        <v>16551.019892625</v>
      </c>
      <c r="U11" s="12" t="n">
        <f aca="false">MAX(0,OwnFunds_SCR!D16-$A11*(IF(Projection!Q14=0,0,(Projection!F14/Projection!Q14)*SUMIFS(Projection!$AA$4:$AA$59,Projection!$B$4:$B$59,"&gt;="&amp;(Assumptions!$B$4+10))/Discount!C14)-SUMIFS(Projection!$Z$4:$Z$59,Projection!$B$4:$B$59,"&gt;="&amp;(Assumptions!$B$4+10))/Discount!C14))</f>
        <v>18336.595269592</v>
      </c>
      <c r="V11" s="12" t="n">
        <f aca="false">MAX(0,OwnFunds_SCR!E16-$A11*(IF(Projection!Q19=0,0,(Projection!F19/Projection!Q19)*SUMIFS(Projection!$AA$4:$AA$59,Projection!$B$4:$B$59,"&gt;="&amp;(Assumptions!$B$4+15))/Discount!C19)-SUMIFS(Projection!$Z$4:$Z$59,Projection!$B$4:$B$59,"&gt;="&amp;(Assumptions!$B$4+15))/Discount!C19))</f>
        <v>18493.1797505175</v>
      </c>
      <c r="W11" s="12" t="n">
        <f aca="false">MAX(0,OwnFunds_SCR!F16-$A11*(IF(Projection!Q24=0,0,(Projection!F24/Projection!Q24)*SUMIFS(Projection!$AA$4:$AA$59,Projection!$B$4:$B$59,"&gt;="&amp;(Assumptions!$B$4+20))/Discount!C24)-SUMIFS(Projection!$Z$4:$Z$59,Projection!$B$4:$B$59,"&gt;="&amp;(Assumptions!$B$4+20))/Discount!C24))</f>
        <v>15909.7289648044</v>
      </c>
      <c r="X11" s="12" t="n">
        <f aca="false">MAX(0,OwnFunds_SCR!B20-$A11*(IF(Projection!U4=0,0,(Projection!F4/Projection!U4)*SUMIFS(Projection!$AB$4:$AB$59,Projection!$B$4:$B$59,"&gt;="&amp;(Assumptions!$B$4+0))/Discount!C4)-SUMIFS(Projection!$Z$4:$Z$59,Projection!$B$4:$B$59,"&gt;="&amp;(Assumptions!$B$4+0))/Discount!C4))</f>
        <v>3393.77792512444</v>
      </c>
      <c r="Y11" s="12" t="n">
        <f aca="false">MAX(0,OwnFunds_SCR!C20-$A11*(IF(Projection!U9=0,0,(Projection!F9/Projection!U9)*SUMIFS(Projection!$AB$4:$AB$59,Projection!$B$4:$B$59,"&gt;="&amp;(Assumptions!$B$4+5))/Discount!C9)-SUMIFS(Projection!$Z$4:$Z$59,Projection!$B$4:$B$59,"&gt;="&amp;(Assumptions!$B$4+5))/Discount!C9))</f>
        <v>3968.93088302838</v>
      </c>
      <c r="Z11" s="12" t="n">
        <f aca="false">MAX(0,OwnFunds_SCR!D20-$A11*(IF(Projection!U14=0,0,(Projection!F14/Projection!U14)*SUMIFS(Projection!$AB$4:$AB$59,Projection!$B$4:$B$59,"&gt;="&amp;(Assumptions!$B$4+10))/Discount!C14)-SUMIFS(Projection!$Z$4:$Z$59,Projection!$B$4:$B$59,"&gt;="&amp;(Assumptions!$B$4+10))/Discount!C14))</f>
        <v>2901.81691239607</v>
      </c>
      <c r="AA11" s="12" t="n">
        <f aca="false">MAX(0,OwnFunds_SCR!E20-$A11*(IF(Projection!U19=0,0,(Projection!F19/Projection!U19)*SUMIFS(Projection!$AB$4:$AB$59,Projection!$B$4:$B$59,"&gt;="&amp;(Assumptions!$B$4+15))/Discount!C19)-SUMIFS(Projection!$Z$4:$Z$59,Projection!$B$4:$B$59,"&gt;="&amp;(Assumptions!$B$4+15))/Discount!C19))</f>
        <v>0</v>
      </c>
      <c r="AB11" s="12" t="n">
        <f aca="false">MAX(0,OwnFunds_SCR!F20-$A11*(IF(Projection!U24=0,0,(Projection!F24/Projection!U24)*SUMIFS(Projection!$AB$4:$AB$59,Projection!$B$4:$B$59,"&gt;="&amp;(Assumptions!$B$4+20))/Discount!C24)-SUMIFS(Projection!$Z$4:$Z$59,Projection!$B$4:$B$59,"&gt;="&amp;(Assumptions!$B$4+20))/Discount!C24))</f>
        <v>0</v>
      </c>
      <c r="AC11" s="12" t="n">
        <f aca="false">SQRT(S11^2+X11^2+OwnFunds_SCR!B21^2+2*Assumptions!$B$26*S11*X11+2*Assumptions!$B$27*S11*OwnFunds_SCR!B21+2*Assumptions!$B$28*X11*OwnFunds_SCR!B21)</f>
        <v>15959.4389998714</v>
      </c>
      <c r="AD11" s="12" t="n">
        <f aca="false">SQRT(T11^2+Y11^2+OwnFunds_SCR!C21^2+2*Assumptions!$B$26*T11*Y11+2*Assumptions!$B$27*T11*OwnFunds_SCR!C21+2*Assumptions!$B$28*Y11*OwnFunds_SCR!C21)</f>
        <v>18100.1179952019</v>
      </c>
      <c r="AE11" s="12" t="n">
        <f aca="false">SQRT(U11^2+Z11^2+OwnFunds_SCR!D21^2+2*Assumptions!$B$26*U11*Z11+2*Assumptions!$B$27*U11*OwnFunds_SCR!D21+2*Assumptions!$B$28*Z11*OwnFunds_SCR!D21)</f>
        <v>19393.4599146082</v>
      </c>
      <c r="AF11" s="12" t="n">
        <f aca="false">SQRT(V11^2+AA11^2+OwnFunds_SCR!E21^2+2*Assumptions!$B$26*V11*AA11+2*Assumptions!$B$27*V11*OwnFunds_SCR!E21+2*Assumptions!$B$28*AA11*OwnFunds_SCR!E21)</f>
        <v>18584.8360127642</v>
      </c>
      <c r="AG11" s="12" t="n">
        <f aca="false">SQRT(W11^2+AB11^2+OwnFunds_SCR!F21^2+2*Assumptions!$B$26*W11*AB11+2*Assumptions!$B$27*W11*OwnFunds_SCR!F21+2*Assumptions!$B$28*AB11*OwnFunds_SCR!F21)</f>
        <v>15983.5105361247</v>
      </c>
    </row>
    <row r="12" customFormat="false" ht="15" hidden="false" customHeight="true" outlineLevel="0" collapsed="false">
      <c r="A12" s="121" t="n">
        <v>0.175</v>
      </c>
      <c r="B12" s="11" t="n">
        <f aca="false">Fairness!$B$3/(1+$A12)</f>
        <v>0.761862539897927</v>
      </c>
      <c r="C12" s="48" t="n">
        <f aca="false">Pricing!$B$14*(1+$A12)</f>
        <v>14471.377210907</v>
      </c>
      <c r="D12" s="12" t="n">
        <f aca="false">MAX(0,(AC12-N12)/Projection!F4)</f>
        <v>9875.32148730027</v>
      </c>
      <c r="E12" s="12" t="n">
        <f aca="false">MAX(0,(AD12-O12)/Projection!F9)</f>
        <v>9705.93317568247</v>
      </c>
      <c r="F12" s="12" t="n">
        <f aca="false">MAX(0,(AE12-P12)/Projection!F14)</f>
        <v>3120.33873717332</v>
      </c>
      <c r="G12" s="12" t="n">
        <f aca="false">MAX(0,(AF12-Q12)/Projection!F19)</f>
        <v>0</v>
      </c>
      <c r="H12" s="12" t="n">
        <f aca="false">MAX(0,(AG12-R12)/Projection!F24)</f>
        <v>0</v>
      </c>
      <c r="I12" s="58" t="n">
        <f aca="false">MAX(D12:H12)</f>
        <v>9875.32148730027</v>
      </c>
      <c r="J12" s="5" t="str">
        <f aca="false">IF(B12&gt;=0.9,"fair","BREACHES FLOOR")</f>
        <v>BREACHES FLOOR</v>
      </c>
      <c r="K12" s="18" t="n">
        <f aca="false">IF(I12&lt;=0,$A12,9)</f>
        <v>9</v>
      </c>
      <c r="N12" s="12" t="n">
        <f aca="false">OwnFunds_SCR!B7+$A12*(SUMIFS(Projection!$AC$4:$AC$59,Projection!$B$4:$B$59,"&lt;"&amp;(Assumptions!$B$4+0))/Discount!C4+SUMIFS(Projection!$Z$4:$Z$59,Projection!$B$4:$B$59,"&gt;="&amp;(Assumptions!$B$4+0))/Discount!C4)-RiskMargin!L4</f>
        <v>5973.241139424</v>
      </c>
      <c r="O12" s="12" t="n">
        <f aca="false">OwnFunds_SCR!C7+$A12*(SUMIFS(Projection!$AC$4:$AC$59,Projection!$B$4:$B$59,"&lt;"&amp;(Assumptions!$B$4+5))/Discount!C9+SUMIFS(Projection!$Z$4:$Z$59,Projection!$B$4:$B$59,"&gt;="&amp;(Assumptions!$B$4+5))/Discount!C9)-RiskMargin!L9</f>
        <v>9579.87414245102</v>
      </c>
      <c r="P12" s="12" t="n">
        <f aca="false">OwnFunds_SCR!D7+$A12*(SUMIFS(Projection!$AC$4:$AC$59,Projection!$B$4:$B$59,"&lt;"&amp;(Assumptions!$B$4+10))/Discount!C14+SUMIFS(Projection!$Z$4:$Z$59,Projection!$B$4:$B$59,"&gt;="&amp;(Assumptions!$B$4+10))/Discount!C14)-RiskMargin!L14</f>
        <v>16912.5688571268</v>
      </c>
      <c r="Q12" s="12" t="n">
        <f aca="false">OwnFunds_SCR!E7+$A12*(SUMIFS(Projection!$AC$4:$AC$59,Projection!$B$4:$B$59,"&lt;"&amp;(Assumptions!$B$4+15))/Discount!C19+SUMIFS(Projection!$Z$4:$Z$59,Projection!$B$4:$B$59,"&gt;="&amp;(Assumptions!$B$4+15))/Discount!C19)-RiskMargin!L19</f>
        <v>26087.5066923237</v>
      </c>
      <c r="R12" s="12" t="n">
        <f aca="false">OwnFunds_SCR!F7+$A12*(SUMIFS(Projection!$AC$4:$AC$59,Projection!$B$4:$B$59,"&lt;"&amp;(Assumptions!$B$4+20))/Discount!C24+SUMIFS(Projection!$Z$4:$Z$59,Projection!$B$4:$B$59,"&gt;="&amp;(Assumptions!$B$4+20))/Discount!C24)-RiskMargin!L24</f>
        <v>36644.1613245235</v>
      </c>
      <c r="S12" s="12" t="n">
        <f aca="false">MAX(0,OwnFunds_SCR!B16-$A12*(IF(Projection!Q4=0,0,(Projection!F4/Projection!Q4)*SUMIFS(Projection!$AA$4:$AA$59,Projection!$B$4:$B$59,"&gt;="&amp;(Assumptions!$B$4+0))/Discount!C4)-SUMIFS(Projection!$Z$4:$Z$59,Projection!$B$4:$B$59,"&gt;="&amp;(Assumptions!$B$4+0))/Discount!C4))</f>
        <v>14593.8318692144</v>
      </c>
      <c r="T12" s="12" t="n">
        <f aca="false">MAX(0,OwnFunds_SCR!C16-$A12*(IF(Projection!Q9=0,0,(Projection!F9/Projection!Q9)*SUMIFS(Projection!$AA$4:$AA$59,Projection!$B$4:$B$59,"&gt;="&amp;(Assumptions!$B$4+5))/Discount!C9)-SUMIFS(Projection!$Z$4:$Z$59,Projection!$B$4:$B$59,"&gt;="&amp;(Assumptions!$B$4+5))/Discount!C9))</f>
        <v>16530.6045746693</v>
      </c>
      <c r="U12" s="12" t="n">
        <f aca="false">MAX(0,OwnFunds_SCR!D16-$A12*(IF(Projection!Q14=0,0,(Projection!F14/Projection!Q14)*SUMIFS(Projection!$AA$4:$AA$59,Projection!$B$4:$B$59,"&gt;="&amp;(Assumptions!$B$4+10))/Discount!C14)-SUMIFS(Projection!$Z$4:$Z$59,Projection!$B$4:$B$59,"&gt;="&amp;(Assumptions!$B$4+10))/Discount!C14))</f>
        <v>18329.65367434</v>
      </c>
      <c r="V12" s="12" t="n">
        <f aca="false">MAX(0,OwnFunds_SCR!E16-$A12*(IF(Projection!Q19=0,0,(Projection!F19/Projection!Q19)*SUMIFS(Projection!$AA$4:$AA$59,Projection!$B$4:$B$59,"&gt;="&amp;(Assumptions!$B$4+15))/Discount!C19)-SUMIFS(Projection!$Z$4:$Z$59,Projection!$B$4:$B$59,"&gt;="&amp;(Assumptions!$B$4+15))/Discount!C19))</f>
        <v>18493.1797505175</v>
      </c>
      <c r="W12" s="12" t="n">
        <f aca="false">MAX(0,OwnFunds_SCR!F16-$A12*(IF(Projection!Q24=0,0,(Projection!F24/Projection!Q24)*SUMIFS(Projection!$AA$4:$AA$59,Projection!$B$4:$B$59,"&gt;="&amp;(Assumptions!$B$4+20))/Discount!C24)-SUMIFS(Projection!$Z$4:$Z$59,Projection!$B$4:$B$59,"&gt;="&amp;(Assumptions!$B$4+20))/Discount!C24))</f>
        <v>15909.7289648044</v>
      </c>
      <c r="X12" s="12" t="n">
        <f aca="false">MAX(0,OwnFunds_SCR!B20-$A12*(IF(Projection!U4=0,0,(Projection!F4/Projection!U4)*SUMIFS(Projection!$AB$4:$AB$59,Projection!$B$4:$B$59,"&gt;="&amp;(Assumptions!$B$4+0))/Discount!C4)-SUMIFS(Projection!$Z$4:$Z$59,Projection!$B$4:$B$59,"&gt;="&amp;(Assumptions!$B$4+0))/Discount!C4))</f>
        <v>3218.71841651602</v>
      </c>
      <c r="Y12" s="12" t="n">
        <f aca="false">MAX(0,OwnFunds_SCR!C20-$A12*(IF(Projection!U9=0,0,(Projection!F9/Projection!U9)*SUMIFS(Projection!$AB$4:$AB$59,Projection!$B$4:$B$59,"&gt;="&amp;(Assumptions!$B$4+5))/Discount!C9)-SUMIFS(Projection!$Z$4:$Z$59,Projection!$B$4:$B$59,"&gt;="&amp;(Assumptions!$B$4+5))/Discount!C9))</f>
        <v>3928.40793307569</v>
      </c>
      <c r="Z12" s="12" t="n">
        <f aca="false">MAX(0,OwnFunds_SCR!D20-$A12*(IF(Projection!U14=0,0,(Projection!F14/Projection!U14)*SUMIFS(Projection!$AB$4:$AB$59,Projection!$B$4:$B$59,"&gt;="&amp;(Assumptions!$B$4+10))/Discount!C14)-SUMIFS(Projection!$Z$4:$Z$59,Projection!$B$4:$B$59,"&gt;="&amp;(Assumptions!$B$4+10))/Discount!C14))</f>
        <v>2892.40935655617</v>
      </c>
      <c r="AA12" s="12" t="n">
        <f aca="false">MAX(0,OwnFunds_SCR!E20-$A12*(IF(Projection!U19=0,0,(Projection!F19/Projection!U19)*SUMIFS(Projection!$AB$4:$AB$59,Projection!$B$4:$B$59,"&gt;="&amp;(Assumptions!$B$4+15))/Discount!C19)-SUMIFS(Projection!$Z$4:$Z$59,Projection!$B$4:$B$59,"&gt;="&amp;(Assumptions!$B$4+15))/Discount!C19))</f>
        <v>0</v>
      </c>
      <c r="AB12" s="12" t="n">
        <f aca="false">MAX(0,OwnFunds_SCR!F20-$A12*(IF(Projection!U24=0,0,(Projection!F24/Projection!U24)*SUMIFS(Projection!$AB$4:$AB$59,Projection!$B$4:$B$59,"&gt;="&amp;(Assumptions!$B$4+20))/Discount!C24)-SUMIFS(Projection!$Z$4:$Z$59,Projection!$B$4:$B$59,"&gt;="&amp;(Assumptions!$B$4+20))/Discount!C24))</f>
        <v>0</v>
      </c>
      <c r="AC12" s="12" t="n">
        <f aca="false">SQRT(S12^2+X12^2+OwnFunds_SCR!B21^2+2*Assumptions!$B$26*S12*X12+2*Assumptions!$B$27*S12*OwnFunds_SCR!B21+2*Assumptions!$B$28*X12*OwnFunds_SCR!B21)</f>
        <v>15848.5626267243</v>
      </c>
      <c r="AD12" s="12" t="n">
        <f aca="false">SQRT(T12^2+Y12^2+OwnFunds_SCR!C21^2+2*Assumptions!$B$26*T12*Y12+2*Assumptions!$B$27*T12*OwnFunds_SCR!C21+2*Assumptions!$B$28*Y12*OwnFunds_SCR!C21)</f>
        <v>18061.6457415207</v>
      </c>
      <c r="AE12" s="12" t="n">
        <f aca="false">SQRT(U12^2+Z12^2+OwnFunds_SCR!D21^2+2*Assumptions!$B$26*U12*Z12+2*Assumptions!$B$27*U12*OwnFunds_SCR!D21+2*Assumptions!$B$28*Z12*OwnFunds_SCR!D21)</f>
        <v>19382.8778065037</v>
      </c>
      <c r="AF12" s="12" t="n">
        <f aca="false">SQRT(V12^2+AA12^2+OwnFunds_SCR!E21^2+2*Assumptions!$B$26*V12*AA12+2*Assumptions!$B$27*V12*OwnFunds_SCR!E21+2*Assumptions!$B$28*AA12*OwnFunds_SCR!E21)</f>
        <v>18584.8360127642</v>
      </c>
      <c r="AG12" s="12" t="n">
        <f aca="false">SQRT(W12^2+AB12^2+OwnFunds_SCR!F21^2+2*Assumptions!$B$26*W12*AB12+2*Assumptions!$B$27*W12*OwnFunds_SCR!F21+2*Assumptions!$B$28*AB12*OwnFunds_SCR!F21)</f>
        <v>15983.5105361247</v>
      </c>
    </row>
    <row r="13" customFormat="false" ht="15" hidden="false" customHeight="true" outlineLevel="0" collapsed="false">
      <c r="A13" s="121" t="n">
        <v>0.2</v>
      </c>
      <c r="B13" s="11" t="n">
        <f aca="false">Fairness!$B$3/(1+$A13)</f>
        <v>0.745990403650054</v>
      </c>
      <c r="C13" s="48" t="n">
        <f aca="false">Pricing!$B$14*(1+$A13)</f>
        <v>14779.2788536922</v>
      </c>
      <c r="D13" s="12" t="n">
        <f aca="false">MAX(0,(AC13-N13)/Projection!F4)</f>
        <v>6504.80191664416</v>
      </c>
      <c r="E13" s="12" t="n">
        <f aca="false">MAX(0,(AD13-O13)/Projection!F9)</f>
        <v>5876.38543315005</v>
      </c>
      <c r="F13" s="12" t="n">
        <f aca="false">MAX(0,(AE13-P13)/Projection!F14)</f>
        <v>0</v>
      </c>
      <c r="G13" s="12" t="n">
        <f aca="false">MAX(0,(AF13-Q13)/Projection!F19)</f>
        <v>0</v>
      </c>
      <c r="H13" s="12" t="n">
        <f aca="false">MAX(0,(AG13-R13)/Projection!F24)</f>
        <v>0</v>
      </c>
      <c r="I13" s="58" t="n">
        <f aca="false">MAX(D13:H13)</f>
        <v>6504.80191664416</v>
      </c>
      <c r="J13" s="5" t="str">
        <f aca="false">IF(B13&gt;=0.9,"fair","BREACHES FLOOR")</f>
        <v>BREACHES FLOOR</v>
      </c>
      <c r="K13" s="18" t="n">
        <f aca="false">IF(I13&lt;=0,$A13,9)</f>
        <v>9</v>
      </c>
      <c r="N13" s="12" t="n">
        <f aca="false">OwnFunds_SCR!B7+$A13*(SUMIFS(Projection!$AC$4:$AC$59,Projection!$B$4:$B$59,"&lt;"&amp;(Assumptions!$B$4+0))/Discount!C4+SUMIFS(Projection!$Z$4:$Z$59,Projection!$B$4:$B$59,"&gt;="&amp;(Assumptions!$B$4+0))/Discount!C4)-RiskMargin!L4</f>
        <v>9234.3016267296</v>
      </c>
      <c r="O13" s="12" t="n">
        <f aca="false">OwnFunds_SCR!C7+$A13*(SUMIFS(Projection!$AC$4:$AC$59,Projection!$B$4:$B$59,"&lt;"&amp;(Assumptions!$B$4+5))/Discount!C9+SUMIFS(Projection!$Z$4:$Z$59,Projection!$B$4:$B$59,"&gt;="&amp;(Assumptions!$B$4+5))/Discount!C9)-RiskMargin!L9</f>
        <v>12888.0026881902</v>
      </c>
      <c r="P13" s="12" t="n">
        <f aca="false">OwnFunds_SCR!D7+$A13*(SUMIFS(Projection!$AC$4:$AC$59,Projection!$B$4:$B$59,"&lt;"&amp;(Assumptions!$B$4+10))/Discount!C14+SUMIFS(Projection!$Z$4:$Z$59,Projection!$B$4:$B$59,"&gt;="&amp;(Assumptions!$B$4+10))/Discount!C14)-RiskMargin!L14</f>
        <v>20704.7705055301</v>
      </c>
      <c r="Q13" s="12" t="n">
        <f aca="false">OwnFunds_SCR!E7+$A13*(SUMIFS(Projection!$AC$4:$AC$59,Projection!$B$4:$B$59,"&lt;"&amp;(Assumptions!$B$4+15))/Discount!C19+SUMIFS(Projection!$Z$4:$Z$59,Projection!$B$4:$B$59,"&gt;="&amp;(Assumptions!$B$4+15))/Discount!C19)-RiskMargin!L19</f>
        <v>30526.9925303213</v>
      </c>
      <c r="R13" s="12" t="n">
        <f aca="false">OwnFunds_SCR!F7+$A13*(SUMIFS(Projection!$AC$4:$AC$59,Projection!$B$4:$B$59,"&lt;"&amp;(Assumptions!$B$4+20))/Discount!C24+SUMIFS(Projection!$Z$4:$Z$59,Projection!$B$4:$B$59,"&gt;="&amp;(Assumptions!$B$4+20))/Discount!C24)-RiskMargin!L24</f>
        <v>41880.1033964576</v>
      </c>
      <c r="S13" s="12" t="n">
        <f aca="false">MAX(0,OwnFunds_SCR!B16-$A13*(IF(Projection!Q4=0,0,(Projection!F4/Projection!Q4)*SUMIFS(Projection!$AA$4:$AA$59,Projection!$B$4:$B$59,"&gt;="&amp;(Assumptions!$B$4+0))/Discount!C4)-SUMIFS(Projection!$Z$4:$Z$59,Projection!$B$4:$B$59,"&gt;="&amp;(Assumptions!$B$4+0))/Discount!C4))</f>
        <v>14560.987546237</v>
      </c>
      <c r="T13" s="12" t="n">
        <f aca="false">MAX(0,OwnFunds_SCR!C16-$A13*(IF(Projection!Q9=0,0,(Projection!F9/Projection!Q9)*SUMIFS(Projection!$AA$4:$AA$59,Projection!$B$4:$B$59,"&gt;="&amp;(Assumptions!$B$4+5))/Discount!C9)-SUMIFS(Projection!$Z$4:$Z$59,Projection!$B$4:$B$59,"&gt;="&amp;(Assumptions!$B$4+5))/Discount!C9))</f>
        <v>16510.1892567136</v>
      </c>
      <c r="U13" s="12" t="n">
        <f aca="false">MAX(0,OwnFunds_SCR!D16-$A13*(IF(Projection!Q14=0,0,(Projection!F14/Projection!Q14)*SUMIFS(Projection!$AA$4:$AA$59,Projection!$B$4:$B$59,"&gt;="&amp;(Assumptions!$B$4+10))/Discount!C14)-SUMIFS(Projection!$Z$4:$Z$59,Projection!$B$4:$B$59,"&gt;="&amp;(Assumptions!$B$4+10))/Discount!C14))</f>
        <v>18322.7120790879</v>
      </c>
      <c r="V13" s="12" t="n">
        <f aca="false">MAX(0,OwnFunds_SCR!E16-$A13*(IF(Projection!Q19=0,0,(Projection!F19/Projection!Q19)*SUMIFS(Projection!$AA$4:$AA$59,Projection!$B$4:$B$59,"&gt;="&amp;(Assumptions!$B$4+15))/Discount!C19)-SUMIFS(Projection!$Z$4:$Z$59,Projection!$B$4:$B$59,"&gt;="&amp;(Assumptions!$B$4+15))/Discount!C19))</f>
        <v>18493.1797505175</v>
      </c>
      <c r="W13" s="12" t="n">
        <f aca="false">MAX(0,OwnFunds_SCR!F16-$A13*(IF(Projection!Q24=0,0,(Projection!F24/Projection!Q24)*SUMIFS(Projection!$AA$4:$AA$59,Projection!$B$4:$B$59,"&gt;="&amp;(Assumptions!$B$4+20))/Discount!C24)-SUMIFS(Projection!$Z$4:$Z$59,Projection!$B$4:$B$59,"&gt;="&amp;(Assumptions!$B$4+20))/Discount!C24))</f>
        <v>15909.7289648044</v>
      </c>
      <c r="X13" s="12" t="n">
        <f aca="false">MAX(0,OwnFunds_SCR!B20-$A13*(IF(Projection!U4=0,0,(Projection!F4/Projection!U4)*SUMIFS(Projection!$AB$4:$AB$59,Projection!$B$4:$B$59,"&gt;="&amp;(Assumptions!$B$4+0))/Discount!C4)-SUMIFS(Projection!$Z$4:$Z$59,Projection!$B$4:$B$59,"&gt;="&amp;(Assumptions!$B$4+0))/Discount!C4))</f>
        <v>3043.6589079076</v>
      </c>
      <c r="Y13" s="12" t="n">
        <f aca="false">MAX(0,OwnFunds_SCR!C20-$A13*(IF(Projection!U9=0,0,(Projection!F9/Projection!U9)*SUMIFS(Projection!$AB$4:$AB$59,Projection!$B$4:$B$59,"&gt;="&amp;(Assumptions!$B$4+5))/Discount!C9)-SUMIFS(Projection!$Z$4:$Z$59,Projection!$B$4:$B$59,"&gt;="&amp;(Assumptions!$B$4+5))/Discount!C9))</f>
        <v>3887.88498312301</v>
      </c>
      <c r="Z13" s="12" t="n">
        <f aca="false">MAX(0,OwnFunds_SCR!D20-$A13*(IF(Projection!U14=0,0,(Projection!F14/Projection!U14)*SUMIFS(Projection!$AB$4:$AB$59,Projection!$B$4:$B$59,"&gt;="&amp;(Assumptions!$B$4+10))/Discount!C14)-SUMIFS(Projection!$Z$4:$Z$59,Projection!$B$4:$B$59,"&gt;="&amp;(Assumptions!$B$4+10))/Discount!C14))</f>
        <v>2883.00180071627</v>
      </c>
      <c r="AA13" s="12" t="n">
        <f aca="false">MAX(0,OwnFunds_SCR!E20-$A13*(IF(Projection!U19=0,0,(Projection!F19/Projection!U19)*SUMIFS(Projection!$AB$4:$AB$59,Projection!$B$4:$B$59,"&gt;="&amp;(Assumptions!$B$4+15))/Discount!C19)-SUMIFS(Projection!$Z$4:$Z$59,Projection!$B$4:$B$59,"&gt;="&amp;(Assumptions!$B$4+15))/Discount!C19))</f>
        <v>0</v>
      </c>
      <c r="AB13" s="12" t="n">
        <f aca="false">MAX(0,OwnFunds_SCR!F20-$A13*(IF(Projection!U24=0,0,(Projection!F24/Projection!U24)*SUMIFS(Projection!$AB$4:$AB$59,Projection!$B$4:$B$59,"&gt;="&amp;(Assumptions!$B$4+20))/Discount!C24)-SUMIFS(Projection!$Z$4:$Z$59,Projection!$B$4:$B$59,"&gt;="&amp;(Assumptions!$B$4+20))/Discount!C24))</f>
        <v>0</v>
      </c>
      <c r="AC13" s="12" t="n">
        <f aca="false">SQRT(S13^2+X13^2+OwnFunds_SCR!B21^2+2*Assumptions!$B$26*S13*X13+2*Assumptions!$B$27*S13*OwnFunds_SCR!B21+2*Assumptions!$B$28*X13*OwnFunds_SCR!B21)</f>
        <v>15739.1035433738</v>
      </c>
      <c r="AD13" s="12" t="n">
        <f aca="false">SQRT(T13^2+Y13^2+OwnFunds_SCR!C21^2+2*Assumptions!$B$26*T13*Y13+2*Assumptions!$B$27*T13*OwnFunds_SCR!C21+2*Assumptions!$B$28*Y13*OwnFunds_SCR!C21)</f>
        <v>18023.2285515781</v>
      </c>
      <c r="AE13" s="12" t="n">
        <f aca="false">SQRT(U13^2+Z13^2+OwnFunds_SCR!D21^2+2*Assumptions!$B$26*U13*Z13+2*Assumptions!$B$27*U13*OwnFunds_SCR!D21+2*Assumptions!$B$28*Z13*OwnFunds_SCR!D21)</f>
        <v>19372.2986592541</v>
      </c>
      <c r="AF13" s="12" t="n">
        <f aca="false">SQRT(V13^2+AA13^2+OwnFunds_SCR!E21^2+2*Assumptions!$B$26*V13*AA13+2*Assumptions!$B$27*V13*OwnFunds_SCR!E21+2*Assumptions!$B$28*AA13*OwnFunds_SCR!E21)</f>
        <v>18584.8360127642</v>
      </c>
      <c r="AG13" s="12" t="n">
        <f aca="false">SQRT(W13^2+AB13^2+OwnFunds_SCR!F21^2+2*Assumptions!$B$26*W13*AB13+2*Assumptions!$B$27*W13*OwnFunds_SCR!F21+2*Assumptions!$B$28*AB13*OwnFunds_SCR!F21)</f>
        <v>15983.5105361247</v>
      </c>
    </row>
    <row r="14" customFormat="false" ht="15" hidden="false" customHeight="true" outlineLevel="0" collapsed="false">
      <c r="A14" s="121" t="n">
        <v>0.225</v>
      </c>
      <c r="B14" s="11" t="n">
        <f aca="false">Fairness!$B$3/(1+$A14)</f>
        <v>0.730766109698012</v>
      </c>
      <c r="C14" s="48" t="n">
        <f aca="false">Pricing!$B$14*(1+$A14)</f>
        <v>15087.1804964775</v>
      </c>
      <c r="D14" s="12" t="n">
        <f aca="false">MAX(0,(AC14-N14)/Projection!F4)</f>
        <v>3135.7294101717</v>
      </c>
      <c r="E14" s="12" t="n">
        <f aca="false">MAX(0,(AD14-O14)/Projection!F9)</f>
        <v>2046.90110541488</v>
      </c>
      <c r="F14" s="12" t="n">
        <f aca="false">MAX(0,(AE14-P14)/Projection!F14)</f>
        <v>0</v>
      </c>
      <c r="G14" s="12" t="n">
        <f aca="false">MAX(0,(AF14-Q14)/Projection!F19)</f>
        <v>0</v>
      </c>
      <c r="H14" s="12" t="n">
        <f aca="false">MAX(0,(AG14-R14)/Projection!F24)</f>
        <v>0</v>
      </c>
      <c r="I14" s="58" t="n">
        <f aca="false">MAX(D14:H14)</f>
        <v>3135.7294101717</v>
      </c>
      <c r="J14" s="5" t="str">
        <f aca="false">IF(B14&gt;=0.9,"fair","BREACHES FLOOR")</f>
        <v>BREACHES FLOOR</v>
      </c>
      <c r="K14" s="18" t="n">
        <f aca="false">IF(I14&lt;=0,$A14,9)</f>
        <v>9</v>
      </c>
      <c r="N14" s="12" t="n">
        <f aca="false">OwnFunds_SCR!B7+$A14*(SUMIFS(Projection!$AC$4:$AC$59,Projection!$B$4:$B$59,"&lt;"&amp;(Assumptions!$B$4+0))/Discount!C4+SUMIFS(Projection!$Z$4:$Z$59,Projection!$B$4:$B$59,"&gt;="&amp;(Assumptions!$B$4+0))/Discount!C4)-RiskMargin!L4</f>
        <v>12495.3621140352</v>
      </c>
      <c r="O14" s="12" t="n">
        <f aca="false">OwnFunds_SCR!C7+$A14*(SUMIFS(Projection!$AC$4:$AC$59,Projection!$B$4:$B$59,"&lt;"&amp;(Assumptions!$B$4+5))/Discount!C9+SUMIFS(Projection!$Z$4:$Z$59,Projection!$B$4:$B$59,"&gt;="&amp;(Assumptions!$B$4+5))/Discount!C9)-RiskMargin!L9</f>
        <v>16196.1312339294</v>
      </c>
      <c r="P14" s="12" t="n">
        <f aca="false">OwnFunds_SCR!D7+$A14*(SUMIFS(Projection!$AC$4:$AC$59,Projection!$B$4:$B$59,"&lt;"&amp;(Assumptions!$B$4+10))/Discount!C14+SUMIFS(Projection!$Z$4:$Z$59,Projection!$B$4:$B$59,"&gt;="&amp;(Assumptions!$B$4+10))/Discount!C14)-RiskMargin!L14</f>
        <v>24496.9721539334</v>
      </c>
      <c r="Q14" s="12" t="n">
        <f aca="false">OwnFunds_SCR!E7+$A14*(SUMIFS(Projection!$AC$4:$AC$59,Projection!$B$4:$B$59,"&lt;"&amp;(Assumptions!$B$4+15))/Discount!C19+SUMIFS(Projection!$Z$4:$Z$59,Projection!$B$4:$B$59,"&gt;="&amp;(Assumptions!$B$4+15))/Discount!C19)-RiskMargin!L19</f>
        <v>34966.4783683188</v>
      </c>
      <c r="R14" s="12" t="n">
        <f aca="false">OwnFunds_SCR!F7+$A14*(SUMIFS(Projection!$AC$4:$AC$59,Projection!$B$4:$B$59,"&lt;"&amp;(Assumptions!$B$4+20))/Discount!C24+SUMIFS(Projection!$Z$4:$Z$59,Projection!$B$4:$B$59,"&gt;="&amp;(Assumptions!$B$4+20))/Discount!C24)-RiskMargin!L24</f>
        <v>47116.0454683916</v>
      </c>
      <c r="S14" s="12" t="n">
        <f aca="false">MAX(0,OwnFunds_SCR!B16-$A14*(IF(Projection!Q4=0,0,(Projection!F4/Projection!Q4)*SUMIFS(Projection!$AA$4:$AA$59,Projection!$B$4:$B$59,"&gt;="&amp;(Assumptions!$B$4+0))/Discount!C4)-SUMIFS(Projection!$Z$4:$Z$59,Projection!$B$4:$B$59,"&gt;="&amp;(Assumptions!$B$4+0))/Discount!C4))</f>
        <v>14528.1432232596</v>
      </c>
      <c r="T14" s="12" t="n">
        <f aca="false">MAX(0,OwnFunds_SCR!C16-$A14*(IF(Projection!Q9=0,0,(Projection!F9/Projection!Q9)*SUMIFS(Projection!$AA$4:$AA$59,Projection!$B$4:$B$59,"&gt;="&amp;(Assumptions!$B$4+5))/Discount!C9)-SUMIFS(Projection!$Z$4:$Z$59,Projection!$B$4:$B$59,"&gt;="&amp;(Assumptions!$B$4+5))/Discount!C9))</f>
        <v>16489.7739387579</v>
      </c>
      <c r="U14" s="12" t="n">
        <f aca="false">MAX(0,OwnFunds_SCR!D16-$A14*(IF(Projection!Q14=0,0,(Projection!F14/Projection!Q14)*SUMIFS(Projection!$AA$4:$AA$59,Projection!$B$4:$B$59,"&gt;="&amp;(Assumptions!$B$4+10))/Discount!C14)-SUMIFS(Projection!$Z$4:$Z$59,Projection!$B$4:$B$59,"&gt;="&amp;(Assumptions!$B$4+10))/Discount!C14))</f>
        <v>18315.7704838359</v>
      </c>
      <c r="V14" s="12" t="n">
        <f aca="false">MAX(0,OwnFunds_SCR!E16-$A14*(IF(Projection!Q19=0,0,(Projection!F19/Projection!Q19)*SUMIFS(Projection!$AA$4:$AA$59,Projection!$B$4:$B$59,"&gt;="&amp;(Assumptions!$B$4+15))/Discount!C19)-SUMIFS(Projection!$Z$4:$Z$59,Projection!$B$4:$B$59,"&gt;="&amp;(Assumptions!$B$4+15))/Discount!C19))</f>
        <v>18493.1797505175</v>
      </c>
      <c r="W14" s="12" t="n">
        <f aca="false">MAX(0,OwnFunds_SCR!F16-$A14*(IF(Projection!Q24=0,0,(Projection!F24/Projection!Q24)*SUMIFS(Projection!$AA$4:$AA$59,Projection!$B$4:$B$59,"&gt;="&amp;(Assumptions!$B$4+20))/Discount!C24)-SUMIFS(Projection!$Z$4:$Z$59,Projection!$B$4:$B$59,"&gt;="&amp;(Assumptions!$B$4+20))/Discount!C24))</f>
        <v>15909.7289648044</v>
      </c>
      <c r="X14" s="12" t="n">
        <f aca="false">MAX(0,OwnFunds_SCR!B20-$A14*(IF(Projection!U4=0,0,(Projection!F4/Projection!U4)*SUMIFS(Projection!$AB$4:$AB$59,Projection!$B$4:$B$59,"&gt;="&amp;(Assumptions!$B$4+0))/Discount!C4)-SUMIFS(Projection!$Z$4:$Z$59,Projection!$B$4:$B$59,"&gt;="&amp;(Assumptions!$B$4+0))/Discount!C4))</f>
        <v>2868.59939929919</v>
      </c>
      <c r="Y14" s="12" t="n">
        <f aca="false">MAX(0,OwnFunds_SCR!C20-$A14*(IF(Projection!U9=0,0,(Projection!F9/Projection!U9)*SUMIFS(Projection!$AB$4:$AB$59,Projection!$B$4:$B$59,"&gt;="&amp;(Assumptions!$B$4+5))/Discount!C9)-SUMIFS(Projection!$Z$4:$Z$59,Projection!$B$4:$B$59,"&gt;="&amp;(Assumptions!$B$4+5))/Discount!C9))</f>
        <v>3847.36203317032</v>
      </c>
      <c r="Z14" s="12" t="n">
        <f aca="false">MAX(0,OwnFunds_SCR!D20-$A14*(IF(Projection!U14=0,0,(Projection!F14/Projection!U14)*SUMIFS(Projection!$AB$4:$AB$59,Projection!$B$4:$B$59,"&gt;="&amp;(Assumptions!$B$4+10))/Discount!C14)-SUMIFS(Projection!$Z$4:$Z$59,Projection!$B$4:$B$59,"&gt;="&amp;(Assumptions!$B$4+10))/Discount!C14))</f>
        <v>2873.59424487637</v>
      </c>
      <c r="AA14" s="12" t="n">
        <f aca="false">MAX(0,OwnFunds_SCR!E20-$A14*(IF(Projection!U19=0,0,(Projection!F19/Projection!U19)*SUMIFS(Projection!$AB$4:$AB$59,Projection!$B$4:$B$59,"&gt;="&amp;(Assumptions!$B$4+15))/Discount!C19)-SUMIFS(Projection!$Z$4:$Z$59,Projection!$B$4:$B$59,"&gt;="&amp;(Assumptions!$B$4+15))/Discount!C19))</f>
        <v>0</v>
      </c>
      <c r="AB14" s="12" t="n">
        <f aca="false">MAX(0,OwnFunds_SCR!F20-$A14*(IF(Projection!U24=0,0,(Projection!F24/Projection!U24)*SUMIFS(Projection!$AB$4:$AB$59,Projection!$B$4:$B$59,"&gt;="&amp;(Assumptions!$B$4+20))/Discount!C24)-SUMIFS(Projection!$Z$4:$Z$59,Projection!$B$4:$B$59,"&gt;="&amp;(Assumptions!$B$4+20))/Discount!C24))</f>
        <v>0</v>
      </c>
      <c r="AC14" s="12" t="n">
        <f aca="false">SQRT(S14^2+X14^2+OwnFunds_SCR!B21^2+2*Assumptions!$B$26*S14*X14+2*Assumptions!$B$27*S14*OwnFunds_SCR!B21+2*Assumptions!$B$28*X14*OwnFunds_SCR!B21)</f>
        <v>15631.0915242069</v>
      </c>
      <c r="AD14" s="12" t="n">
        <f aca="false">SQRT(T14^2+Y14^2+OwnFunds_SCR!C21^2+2*Assumptions!$B$26*T14*Y14+2*Assumptions!$B$27*T14*OwnFunds_SCR!C21+2*Assumptions!$B$28*Y14*OwnFunds_SCR!C21)</f>
        <v>17984.8667782365</v>
      </c>
      <c r="AE14" s="12" t="n">
        <f aca="false">SQRT(U14^2+Z14^2+OwnFunds_SCR!D21^2+2*Assumptions!$B$26*U14*Z14+2*Assumptions!$B$27*U14*OwnFunds_SCR!D21+2*Assumptions!$B$28*Z14*OwnFunds_SCR!D21)</f>
        <v>19361.7224777129</v>
      </c>
      <c r="AF14" s="12" t="n">
        <f aca="false">SQRT(V14^2+AA14^2+OwnFunds_SCR!E21^2+2*Assumptions!$B$26*V14*AA14+2*Assumptions!$B$27*V14*OwnFunds_SCR!E21+2*Assumptions!$B$28*AA14*OwnFunds_SCR!E21)</f>
        <v>18584.8360127642</v>
      </c>
      <c r="AG14" s="12" t="n">
        <f aca="false">SQRT(W14^2+AB14^2+OwnFunds_SCR!F21^2+2*Assumptions!$B$26*W14*AB14+2*Assumptions!$B$27*W14*OwnFunds_SCR!F21+2*Assumptions!$B$28*AB14*OwnFunds_SCR!F21)</f>
        <v>15983.5105361247</v>
      </c>
    </row>
    <row r="15" customFormat="false" ht="15" hidden="false" customHeight="true" outlineLevel="0" collapsed="false">
      <c r="A15" s="121" t="n">
        <v>0.25</v>
      </c>
      <c r="B15" s="11" t="n">
        <f aca="false">Fairness!$B$3/(1+$A15)</f>
        <v>0.716150787504052</v>
      </c>
      <c r="C15" s="48" t="n">
        <f aca="false">Pricing!$B$14*(1+$A15)</f>
        <v>15395.0821392628</v>
      </c>
      <c r="D15" s="12" t="n">
        <f aca="false">MAX(0,(AC15-N15)/Projection!F4)</f>
        <v>0</v>
      </c>
      <c r="E15" s="12" t="n">
        <f aca="false">MAX(0,(AD15-O15)/Projection!F9)</f>
        <v>0</v>
      </c>
      <c r="F15" s="12" t="n">
        <f aca="false">MAX(0,(AE15-P15)/Projection!F14)</f>
        <v>0</v>
      </c>
      <c r="G15" s="12" t="n">
        <f aca="false">MAX(0,(AF15-Q15)/Projection!F19)</f>
        <v>0</v>
      </c>
      <c r="H15" s="12" t="n">
        <f aca="false">MAX(0,(AG15-R15)/Projection!F24)</f>
        <v>0</v>
      </c>
      <c r="I15" s="58" t="n">
        <f aca="false">MAX(D15:H15)</f>
        <v>0</v>
      </c>
      <c r="J15" s="5" t="str">
        <f aca="false">IF(B15&gt;=0.9,"fair","BREACHES FLOOR")</f>
        <v>BREACHES FLOOR</v>
      </c>
      <c r="K15" s="18" t="n">
        <f aca="false">IF(I15&lt;=0,$A15,9)</f>
        <v>0.25</v>
      </c>
      <c r="N15" s="12" t="n">
        <f aca="false">OwnFunds_SCR!B7+$A15*(SUMIFS(Projection!$AC$4:$AC$59,Projection!$B$4:$B$59,"&lt;"&amp;(Assumptions!$B$4+0))/Discount!C4+SUMIFS(Projection!$Z$4:$Z$59,Projection!$B$4:$B$59,"&gt;="&amp;(Assumptions!$B$4+0))/Discount!C4)-RiskMargin!L4</f>
        <v>15756.4226013408</v>
      </c>
      <c r="O15" s="12" t="n">
        <f aca="false">OwnFunds_SCR!C7+$A15*(SUMIFS(Projection!$AC$4:$AC$59,Projection!$B$4:$B$59,"&lt;"&amp;(Assumptions!$B$4+5))/Discount!C9+SUMIFS(Projection!$Z$4:$Z$59,Projection!$B$4:$B$59,"&gt;="&amp;(Assumptions!$B$4+5))/Discount!C9)-RiskMargin!L9</f>
        <v>19504.2597796686</v>
      </c>
      <c r="P15" s="12" t="n">
        <f aca="false">OwnFunds_SCR!D7+$A15*(SUMIFS(Projection!$AC$4:$AC$59,Projection!$B$4:$B$59,"&lt;"&amp;(Assumptions!$B$4+10))/Discount!C14+SUMIFS(Projection!$Z$4:$Z$59,Projection!$B$4:$B$59,"&gt;="&amp;(Assumptions!$B$4+10))/Discount!C14)-RiskMargin!L14</f>
        <v>28289.1738023367</v>
      </c>
      <c r="Q15" s="12" t="n">
        <f aca="false">OwnFunds_SCR!E7+$A15*(SUMIFS(Projection!$AC$4:$AC$59,Projection!$B$4:$B$59,"&lt;"&amp;(Assumptions!$B$4+15))/Discount!C19+SUMIFS(Projection!$Z$4:$Z$59,Projection!$B$4:$B$59,"&gt;="&amp;(Assumptions!$B$4+15))/Discount!C19)-RiskMargin!L19</f>
        <v>39405.9642063163</v>
      </c>
      <c r="R15" s="12" t="n">
        <f aca="false">OwnFunds_SCR!F7+$A15*(SUMIFS(Projection!$AC$4:$AC$59,Projection!$B$4:$B$59,"&lt;"&amp;(Assumptions!$B$4+20))/Discount!C24+SUMIFS(Projection!$Z$4:$Z$59,Projection!$B$4:$B$59,"&gt;="&amp;(Assumptions!$B$4+20))/Discount!C24)-RiskMargin!L24</f>
        <v>52351.9875403256</v>
      </c>
      <c r="S15" s="12" t="n">
        <f aca="false">MAX(0,OwnFunds_SCR!B16-$A15*(IF(Projection!Q4=0,0,(Projection!F4/Projection!Q4)*SUMIFS(Projection!$AA$4:$AA$59,Projection!$B$4:$B$59,"&gt;="&amp;(Assumptions!$B$4+0))/Discount!C4)-SUMIFS(Projection!$Z$4:$Z$59,Projection!$B$4:$B$59,"&gt;="&amp;(Assumptions!$B$4+0))/Discount!C4))</f>
        <v>14495.2989002822</v>
      </c>
      <c r="T15" s="12" t="n">
        <f aca="false">MAX(0,OwnFunds_SCR!C16-$A15*(IF(Projection!Q9=0,0,(Projection!F9/Projection!Q9)*SUMIFS(Projection!$AA$4:$AA$59,Projection!$B$4:$B$59,"&gt;="&amp;(Assumptions!$B$4+5))/Discount!C9)-SUMIFS(Projection!$Z$4:$Z$59,Projection!$B$4:$B$59,"&gt;="&amp;(Assumptions!$B$4+5))/Discount!C9))</f>
        <v>16469.3586208023</v>
      </c>
      <c r="U15" s="12" t="n">
        <f aca="false">MAX(0,OwnFunds_SCR!D16-$A15*(IF(Projection!Q14=0,0,(Projection!F14/Projection!Q14)*SUMIFS(Projection!$AA$4:$AA$59,Projection!$B$4:$B$59,"&gt;="&amp;(Assumptions!$B$4+10))/Discount!C14)-SUMIFS(Projection!$Z$4:$Z$59,Projection!$B$4:$B$59,"&gt;="&amp;(Assumptions!$B$4+10))/Discount!C14))</f>
        <v>18308.8288885838</v>
      </c>
      <c r="V15" s="12" t="n">
        <f aca="false">MAX(0,OwnFunds_SCR!E16-$A15*(IF(Projection!Q19=0,0,(Projection!F19/Projection!Q19)*SUMIFS(Projection!$AA$4:$AA$59,Projection!$B$4:$B$59,"&gt;="&amp;(Assumptions!$B$4+15))/Discount!C19)-SUMIFS(Projection!$Z$4:$Z$59,Projection!$B$4:$B$59,"&gt;="&amp;(Assumptions!$B$4+15))/Discount!C19))</f>
        <v>18493.1797505175</v>
      </c>
      <c r="W15" s="12" t="n">
        <f aca="false">MAX(0,OwnFunds_SCR!F16-$A15*(IF(Projection!Q24=0,0,(Projection!F24/Projection!Q24)*SUMIFS(Projection!$AA$4:$AA$59,Projection!$B$4:$B$59,"&gt;="&amp;(Assumptions!$B$4+20))/Discount!C24)-SUMIFS(Projection!$Z$4:$Z$59,Projection!$B$4:$B$59,"&gt;="&amp;(Assumptions!$B$4+20))/Discount!C24))</f>
        <v>15909.7289648044</v>
      </c>
      <c r="X15" s="12" t="n">
        <f aca="false">MAX(0,OwnFunds_SCR!B20-$A15*(IF(Projection!U4=0,0,(Projection!F4/Projection!U4)*SUMIFS(Projection!$AB$4:$AB$59,Projection!$B$4:$B$59,"&gt;="&amp;(Assumptions!$B$4+0))/Discount!C4)-SUMIFS(Projection!$Z$4:$Z$59,Projection!$B$4:$B$59,"&gt;="&amp;(Assumptions!$B$4+0))/Discount!C4))</f>
        <v>2693.53989069077</v>
      </c>
      <c r="Y15" s="12" t="n">
        <f aca="false">MAX(0,OwnFunds_SCR!C20-$A15*(IF(Projection!U9=0,0,(Projection!F9/Projection!U9)*SUMIFS(Projection!$AB$4:$AB$59,Projection!$B$4:$B$59,"&gt;="&amp;(Assumptions!$B$4+5))/Discount!C9)-SUMIFS(Projection!$Z$4:$Z$59,Projection!$B$4:$B$59,"&gt;="&amp;(Assumptions!$B$4+5))/Discount!C9))</f>
        <v>3806.83908321763</v>
      </c>
      <c r="Z15" s="12" t="n">
        <f aca="false">MAX(0,OwnFunds_SCR!D20-$A15*(IF(Projection!U14=0,0,(Projection!F14/Projection!U14)*SUMIFS(Projection!$AB$4:$AB$59,Projection!$B$4:$B$59,"&gt;="&amp;(Assumptions!$B$4+10))/Discount!C14)-SUMIFS(Projection!$Z$4:$Z$59,Projection!$B$4:$B$59,"&gt;="&amp;(Assumptions!$B$4+10))/Discount!C14))</f>
        <v>2864.18668903647</v>
      </c>
      <c r="AA15" s="12" t="n">
        <f aca="false">MAX(0,OwnFunds_SCR!E20-$A15*(IF(Projection!U19=0,0,(Projection!F19/Projection!U19)*SUMIFS(Projection!$AB$4:$AB$59,Projection!$B$4:$B$59,"&gt;="&amp;(Assumptions!$B$4+15))/Discount!C19)-SUMIFS(Projection!$Z$4:$Z$59,Projection!$B$4:$B$59,"&gt;="&amp;(Assumptions!$B$4+15))/Discount!C19))</f>
        <v>0</v>
      </c>
      <c r="AB15" s="12" t="n">
        <f aca="false">MAX(0,OwnFunds_SCR!F20-$A15*(IF(Projection!U24=0,0,(Projection!F24/Projection!U24)*SUMIFS(Projection!$AB$4:$AB$59,Projection!$B$4:$B$59,"&gt;="&amp;(Assumptions!$B$4+20))/Discount!C24)-SUMIFS(Projection!$Z$4:$Z$59,Projection!$B$4:$B$59,"&gt;="&amp;(Assumptions!$B$4+20))/Discount!C24))</f>
        <v>0</v>
      </c>
      <c r="AC15" s="12" t="n">
        <f aca="false">SQRT(S15^2+X15^2+OwnFunds_SCR!B21^2+2*Assumptions!$B$26*S15*X15+2*Assumptions!$B$27*S15*OwnFunds_SCR!B21+2*Assumptions!$B$28*X15*OwnFunds_SCR!B21)</f>
        <v>15524.5567730766</v>
      </c>
      <c r="AD15" s="12" t="n">
        <f aca="false">SQRT(T15^2+Y15^2+OwnFunds_SCR!C21^2+2*Assumptions!$B$26*T15*Y15+2*Assumptions!$B$27*T15*OwnFunds_SCR!C21+2*Assumptions!$B$28*Y15*OwnFunds_SCR!C21)</f>
        <v>17946.5607768641</v>
      </c>
      <c r="AE15" s="12" t="n">
        <f aca="false">SQRT(U15^2+Z15^2+OwnFunds_SCR!D21^2+2*Assumptions!$B$26*U15*Z15+2*Assumptions!$B$27*U15*OwnFunds_SCR!D21+2*Assumptions!$B$28*Z15*OwnFunds_SCR!D21)</f>
        <v>19351.1492667427</v>
      </c>
      <c r="AF15" s="12" t="n">
        <f aca="false">SQRT(V15^2+AA15^2+OwnFunds_SCR!E21^2+2*Assumptions!$B$26*V15*AA15+2*Assumptions!$B$27*V15*OwnFunds_SCR!E21+2*Assumptions!$B$28*AA15*OwnFunds_SCR!E21)</f>
        <v>18584.8360127642</v>
      </c>
      <c r="AG15" s="12" t="n">
        <f aca="false">SQRT(W15^2+AB15^2+OwnFunds_SCR!F21^2+2*Assumptions!$B$26*W15*AB15+2*Assumptions!$B$27*W15*OwnFunds_SCR!F21+2*Assumptions!$B$28*AB15*OwnFunds_SCR!F21)</f>
        <v>15983.5105361247</v>
      </c>
    </row>
    <row r="16" customFormat="false" ht="15" hidden="false" customHeight="true" outlineLevel="0" collapsed="false">
      <c r="A16" s="121" t="n">
        <v>0.275</v>
      </c>
      <c r="B16" s="11" t="n">
        <f aca="false">Fairness!$B$3/(1+$A16)</f>
        <v>0.702108615200051</v>
      </c>
      <c r="C16" s="48" t="n">
        <f aca="false">Pricing!$B$14*(1+$A16)</f>
        <v>15702.983782048</v>
      </c>
      <c r="D16" s="12" t="n">
        <f aca="false">MAX(0,(AC16-N16)/Projection!F4)</f>
        <v>0</v>
      </c>
      <c r="E16" s="12" t="n">
        <f aca="false">MAX(0,(AD16-O16)/Projection!F9)</f>
        <v>0</v>
      </c>
      <c r="F16" s="12" t="n">
        <f aca="false">MAX(0,(AE16-P16)/Projection!F14)</f>
        <v>0</v>
      </c>
      <c r="G16" s="12" t="n">
        <f aca="false">MAX(0,(AF16-Q16)/Projection!F19)</f>
        <v>0</v>
      </c>
      <c r="H16" s="12" t="n">
        <f aca="false">MAX(0,(AG16-R16)/Projection!F24)</f>
        <v>0</v>
      </c>
      <c r="I16" s="58" t="n">
        <f aca="false">MAX(D16:H16)</f>
        <v>0</v>
      </c>
      <c r="J16" s="5" t="str">
        <f aca="false">IF(B16&gt;=0.9,"fair","BREACHES FLOOR")</f>
        <v>BREACHES FLOOR</v>
      </c>
      <c r="K16" s="18" t="n">
        <f aca="false">IF(I16&lt;=0,$A16,9)</f>
        <v>0.275</v>
      </c>
      <c r="N16" s="12" t="n">
        <f aca="false">OwnFunds_SCR!B7+$A16*(SUMIFS(Projection!$AC$4:$AC$59,Projection!$B$4:$B$59,"&lt;"&amp;(Assumptions!$B$4+0))/Discount!C4+SUMIFS(Projection!$Z$4:$Z$59,Projection!$B$4:$B$59,"&gt;="&amp;(Assumptions!$B$4+0))/Discount!C4)-RiskMargin!L4</f>
        <v>19017.4830886464</v>
      </c>
      <c r="O16" s="12" t="n">
        <f aca="false">OwnFunds_SCR!C7+$A16*(SUMIFS(Projection!$AC$4:$AC$59,Projection!$B$4:$B$59,"&lt;"&amp;(Assumptions!$B$4+5))/Discount!C9+SUMIFS(Projection!$Z$4:$Z$59,Projection!$B$4:$B$59,"&gt;="&amp;(Assumptions!$B$4+5))/Discount!C9)-RiskMargin!L9</f>
        <v>22812.3883254079</v>
      </c>
      <c r="P16" s="12" t="n">
        <f aca="false">OwnFunds_SCR!D7+$A16*(SUMIFS(Projection!$AC$4:$AC$59,Projection!$B$4:$B$59,"&lt;"&amp;(Assumptions!$B$4+10))/Discount!C14+SUMIFS(Projection!$Z$4:$Z$59,Projection!$B$4:$B$59,"&gt;="&amp;(Assumptions!$B$4+10))/Discount!C14)-RiskMargin!L14</f>
        <v>32081.3754507399</v>
      </c>
      <c r="Q16" s="12" t="n">
        <f aca="false">OwnFunds_SCR!E7+$A16*(SUMIFS(Projection!$AC$4:$AC$59,Projection!$B$4:$B$59,"&lt;"&amp;(Assumptions!$B$4+15))/Discount!C19+SUMIFS(Projection!$Z$4:$Z$59,Projection!$B$4:$B$59,"&gt;="&amp;(Assumptions!$B$4+15))/Discount!C19)-RiskMargin!L19</f>
        <v>43845.4500443138</v>
      </c>
      <c r="R16" s="12" t="n">
        <f aca="false">OwnFunds_SCR!F7+$A16*(SUMIFS(Projection!$AC$4:$AC$59,Projection!$B$4:$B$59,"&lt;"&amp;(Assumptions!$B$4+20))/Discount!C24+SUMIFS(Projection!$Z$4:$Z$59,Projection!$B$4:$B$59,"&gt;="&amp;(Assumptions!$B$4+20))/Discount!C24)-RiskMargin!L24</f>
        <v>57587.9296122597</v>
      </c>
      <c r="S16" s="12" t="n">
        <f aca="false">MAX(0,OwnFunds_SCR!B16-$A16*(IF(Projection!Q4=0,0,(Projection!F4/Projection!Q4)*SUMIFS(Projection!$AA$4:$AA$59,Projection!$B$4:$B$59,"&gt;="&amp;(Assumptions!$B$4+0))/Discount!C4)-SUMIFS(Projection!$Z$4:$Z$59,Projection!$B$4:$B$59,"&gt;="&amp;(Assumptions!$B$4+0))/Discount!C4))</f>
        <v>14462.4545773048</v>
      </c>
      <c r="T16" s="12" t="n">
        <f aca="false">MAX(0,OwnFunds_SCR!C16-$A16*(IF(Projection!Q9=0,0,(Projection!F9/Projection!Q9)*SUMIFS(Projection!$AA$4:$AA$59,Projection!$B$4:$B$59,"&gt;="&amp;(Assumptions!$B$4+5))/Discount!C9)-SUMIFS(Projection!$Z$4:$Z$59,Projection!$B$4:$B$59,"&gt;="&amp;(Assumptions!$B$4+5))/Discount!C9))</f>
        <v>16448.9433028466</v>
      </c>
      <c r="U16" s="12" t="n">
        <f aca="false">MAX(0,OwnFunds_SCR!D16-$A16*(IF(Projection!Q14=0,0,(Projection!F14/Projection!Q14)*SUMIFS(Projection!$AA$4:$AA$59,Projection!$B$4:$B$59,"&gt;="&amp;(Assumptions!$B$4+10))/Discount!C14)-SUMIFS(Projection!$Z$4:$Z$59,Projection!$B$4:$B$59,"&gt;="&amp;(Assumptions!$B$4+10))/Discount!C14))</f>
        <v>18301.8872933318</v>
      </c>
      <c r="V16" s="12" t="n">
        <f aca="false">MAX(0,OwnFunds_SCR!E16-$A16*(IF(Projection!Q19=0,0,(Projection!F19/Projection!Q19)*SUMIFS(Projection!$AA$4:$AA$59,Projection!$B$4:$B$59,"&gt;="&amp;(Assumptions!$B$4+15))/Discount!C19)-SUMIFS(Projection!$Z$4:$Z$59,Projection!$B$4:$B$59,"&gt;="&amp;(Assumptions!$B$4+15))/Discount!C19))</f>
        <v>18493.1797505175</v>
      </c>
      <c r="W16" s="12" t="n">
        <f aca="false">MAX(0,OwnFunds_SCR!F16-$A16*(IF(Projection!Q24=0,0,(Projection!F24/Projection!Q24)*SUMIFS(Projection!$AA$4:$AA$59,Projection!$B$4:$B$59,"&gt;="&amp;(Assumptions!$B$4+20))/Discount!C24)-SUMIFS(Projection!$Z$4:$Z$59,Projection!$B$4:$B$59,"&gt;="&amp;(Assumptions!$B$4+20))/Discount!C24))</f>
        <v>15909.7289648044</v>
      </c>
      <c r="X16" s="12" t="n">
        <f aca="false">MAX(0,OwnFunds_SCR!B20-$A16*(IF(Projection!U4=0,0,(Projection!F4/Projection!U4)*SUMIFS(Projection!$AB$4:$AB$59,Projection!$B$4:$B$59,"&gt;="&amp;(Assumptions!$B$4+0))/Discount!C4)-SUMIFS(Projection!$Z$4:$Z$59,Projection!$B$4:$B$59,"&gt;="&amp;(Assumptions!$B$4+0))/Discount!C4))</f>
        <v>2518.48038208235</v>
      </c>
      <c r="Y16" s="12" t="n">
        <f aca="false">MAX(0,OwnFunds_SCR!C20-$A16*(IF(Projection!U9=0,0,(Projection!F9/Projection!U9)*SUMIFS(Projection!$AB$4:$AB$59,Projection!$B$4:$B$59,"&gt;="&amp;(Assumptions!$B$4+5))/Discount!C9)-SUMIFS(Projection!$Z$4:$Z$59,Projection!$B$4:$B$59,"&gt;="&amp;(Assumptions!$B$4+5))/Discount!C9))</f>
        <v>3766.31613326494</v>
      </c>
      <c r="Z16" s="12" t="n">
        <f aca="false">MAX(0,OwnFunds_SCR!D20-$A16*(IF(Projection!U14=0,0,(Projection!F14/Projection!U14)*SUMIFS(Projection!$AB$4:$AB$59,Projection!$B$4:$B$59,"&gt;="&amp;(Assumptions!$B$4+10))/Discount!C14)-SUMIFS(Projection!$Z$4:$Z$59,Projection!$B$4:$B$59,"&gt;="&amp;(Assumptions!$B$4+10))/Discount!C14))</f>
        <v>2854.77913319657</v>
      </c>
      <c r="AA16" s="12" t="n">
        <f aca="false">MAX(0,OwnFunds_SCR!E20-$A16*(IF(Projection!U19=0,0,(Projection!F19/Projection!U19)*SUMIFS(Projection!$AB$4:$AB$59,Projection!$B$4:$B$59,"&gt;="&amp;(Assumptions!$B$4+15))/Discount!C19)-SUMIFS(Projection!$Z$4:$Z$59,Projection!$B$4:$B$59,"&gt;="&amp;(Assumptions!$B$4+15))/Discount!C19))</f>
        <v>0</v>
      </c>
      <c r="AB16" s="12" t="n">
        <f aca="false">MAX(0,OwnFunds_SCR!F20-$A16*(IF(Projection!U24=0,0,(Projection!F24/Projection!U24)*SUMIFS(Projection!$AB$4:$AB$59,Projection!$B$4:$B$59,"&gt;="&amp;(Assumptions!$B$4+20))/Discount!C24)-SUMIFS(Projection!$Z$4:$Z$59,Projection!$B$4:$B$59,"&gt;="&amp;(Assumptions!$B$4+20))/Discount!C24))</f>
        <v>0</v>
      </c>
      <c r="AC16" s="12" t="n">
        <f aca="false">SQRT(S16^2+X16^2+OwnFunds_SCR!B21^2+2*Assumptions!$B$26*S16*X16+2*Assumptions!$B$27*S16*OwnFunds_SCR!B21+2*Assumptions!$B$28*X16*OwnFunds_SCR!B21)</f>
        <v>15419.5299096981</v>
      </c>
      <c r="AD16" s="12" t="n">
        <f aca="false">SQRT(T16^2+Y16^2+OwnFunds_SCR!C21^2+2*Assumptions!$B$26*T16*Y16+2*Assumptions!$B$27*T16*OwnFunds_SCR!C21+2*Assumptions!$B$28*Y16*OwnFunds_SCR!C21)</f>
        <v>17908.3109053509</v>
      </c>
      <c r="AE16" s="12" t="n">
        <f aca="false">SQRT(U16^2+Z16^2+OwnFunds_SCR!D21^2+2*Assumptions!$B$26*U16*Z16+2*Assumptions!$B$27*U16*OwnFunds_SCR!D21+2*Assumptions!$B$28*Z16*OwnFunds_SCR!D21)</f>
        <v>19340.5790312153</v>
      </c>
      <c r="AF16" s="12" t="n">
        <f aca="false">SQRT(V16^2+AA16^2+OwnFunds_SCR!E21^2+2*Assumptions!$B$26*V16*AA16+2*Assumptions!$B$27*V16*OwnFunds_SCR!E21+2*Assumptions!$B$28*AA16*OwnFunds_SCR!E21)</f>
        <v>18584.8360127642</v>
      </c>
      <c r="AG16" s="12" t="n">
        <f aca="false">SQRT(W16^2+AB16^2+OwnFunds_SCR!F21^2+2*Assumptions!$B$26*W16*AB16+2*Assumptions!$B$27*W16*OwnFunds_SCR!F21+2*Assumptions!$B$28*AB16*OwnFunds_SCR!F21)</f>
        <v>15983.5105361247</v>
      </c>
    </row>
    <row r="17" customFormat="false" ht="15" hidden="false" customHeight="true" outlineLevel="0" collapsed="false">
      <c r="A17" s="121" t="n">
        <v>0.3</v>
      </c>
      <c r="B17" s="11" t="n">
        <f aca="false">Fairness!$B$3/(1+$A17)</f>
        <v>0.688606526446204</v>
      </c>
      <c r="C17" s="48" t="n">
        <f aca="false">Pricing!$B$14*(1+$A17)</f>
        <v>16010.8854248333</v>
      </c>
      <c r="D17" s="12" t="n">
        <f aca="false">MAX(0,(AC17-N17)/Projection!F4)</f>
        <v>0</v>
      </c>
      <c r="E17" s="12" t="n">
        <f aca="false">MAX(0,(AD17-O17)/Projection!F9)</f>
        <v>0</v>
      </c>
      <c r="F17" s="12" t="n">
        <f aca="false">MAX(0,(AE17-P17)/Projection!F14)</f>
        <v>0</v>
      </c>
      <c r="G17" s="12" t="n">
        <f aca="false">MAX(0,(AF17-Q17)/Projection!F19)</f>
        <v>0</v>
      </c>
      <c r="H17" s="12" t="n">
        <f aca="false">MAX(0,(AG17-R17)/Projection!F24)</f>
        <v>0</v>
      </c>
      <c r="I17" s="58" t="n">
        <f aca="false">MAX(D17:H17)</f>
        <v>0</v>
      </c>
      <c r="J17" s="5" t="str">
        <f aca="false">IF(B17&gt;=0.9,"fair","BREACHES FLOOR")</f>
        <v>BREACHES FLOOR</v>
      </c>
      <c r="K17" s="18" t="n">
        <f aca="false">IF(I17&lt;=0,$A17,9)</f>
        <v>0.3</v>
      </c>
      <c r="N17" s="12" t="n">
        <f aca="false">OwnFunds_SCR!B7+$A17*(SUMIFS(Projection!$AC$4:$AC$59,Projection!$B$4:$B$59,"&lt;"&amp;(Assumptions!$B$4+0))/Discount!C4+SUMIFS(Projection!$Z$4:$Z$59,Projection!$B$4:$B$59,"&gt;="&amp;(Assumptions!$B$4+0))/Discount!C4)-RiskMargin!L4</f>
        <v>22278.543575952</v>
      </c>
      <c r="O17" s="12" t="n">
        <f aca="false">OwnFunds_SCR!C7+$A17*(SUMIFS(Projection!$AC$4:$AC$59,Projection!$B$4:$B$59,"&lt;"&amp;(Assumptions!$B$4+5))/Discount!C9+SUMIFS(Projection!$Z$4:$Z$59,Projection!$B$4:$B$59,"&gt;="&amp;(Assumptions!$B$4+5))/Discount!C9)-RiskMargin!L9</f>
        <v>26120.5168711471</v>
      </c>
      <c r="P17" s="12" t="n">
        <f aca="false">OwnFunds_SCR!D7+$A17*(SUMIFS(Projection!$AC$4:$AC$59,Projection!$B$4:$B$59,"&lt;"&amp;(Assumptions!$B$4+10))/Discount!C14+SUMIFS(Projection!$Z$4:$Z$59,Projection!$B$4:$B$59,"&gt;="&amp;(Assumptions!$B$4+10))/Discount!C14)-RiskMargin!L14</f>
        <v>35873.5770991432</v>
      </c>
      <c r="Q17" s="12" t="n">
        <f aca="false">OwnFunds_SCR!E7+$A17*(SUMIFS(Projection!$AC$4:$AC$59,Projection!$B$4:$B$59,"&lt;"&amp;(Assumptions!$B$4+15))/Discount!C19+SUMIFS(Projection!$Z$4:$Z$59,Projection!$B$4:$B$59,"&gt;="&amp;(Assumptions!$B$4+15))/Discount!C19)-RiskMargin!L19</f>
        <v>48284.9358823113</v>
      </c>
      <c r="R17" s="12" t="n">
        <f aca="false">OwnFunds_SCR!F7+$A17*(SUMIFS(Projection!$AC$4:$AC$59,Projection!$B$4:$B$59,"&lt;"&amp;(Assumptions!$B$4+20))/Discount!C24+SUMIFS(Projection!$Z$4:$Z$59,Projection!$B$4:$B$59,"&gt;="&amp;(Assumptions!$B$4+20))/Discount!C24)-RiskMargin!L24</f>
        <v>62823.8716841937</v>
      </c>
      <c r="S17" s="12" t="n">
        <f aca="false">MAX(0,OwnFunds_SCR!B16-$A17*(IF(Projection!Q4=0,0,(Projection!F4/Projection!Q4)*SUMIFS(Projection!$AA$4:$AA$59,Projection!$B$4:$B$59,"&gt;="&amp;(Assumptions!$B$4+0))/Discount!C4)-SUMIFS(Projection!$Z$4:$Z$59,Projection!$B$4:$B$59,"&gt;="&amp;(Assumptions!$B$4+0))/Discount!C4))</f>
        <v>14429.6102543274</v>
      </c>
      <c r="T17" s="12" t="n">
        <f aca="false">MAX(0,OwnFunds_SCR!C16-$A17*(IF(Projection!Q9=0,0,(Projection!F9/Projection!Q9)*SUMIFS(Projection!$AA$4:$AA$59,Projection!$B$4:$B$59,"&gt;="&amp;(Assumptions!$B$4+5))/Discount!C9)-SUMIFS(Projection!$Z$4:$Z$59,Projection!$B$4:$B$59,"&gt;="&amp;(Assumptions!$B$4+5))/Discount!C9))</f>
        <v>16428.5279848909</v>
      </c>
      <c r="U17" s="12" t="n">
        <f aca="false">MAX(0,OwnFunds_SCR!D16-$A17*(IF(Projection!Q14=0,0,(Projection!F14/Projection!Q14)*SUMIFS(Projection!$AA$4:$AA$59,Projection!$B$4:$B$59,"&gt;="&amp;(Assumptions!$B$4+10))/Discount!C14)-SUMIFS(Projection!$Z$4:$Z$59,Projection!$B$4:$B$59,"&gt;="&amp;(Assumptions!$B$4+10))/Discount!C14))</f>
        <v>18294.9456980797</v>
      </c>
      <c r="V17" s="12" t="n">
        <f aca="false">MAX(0,OwnFunds_SCR!E16-$A17*(IF(Projection!Q19=0,0,(Projection!F19/Projection!Q19)*SUMIFS(Projection!$AA$4:$AA$59,Projection!$B$4:$B$59,"&gt;="&amp;(Assumptions!$B$4+15))/Discount!C19)-SUMIFS(Projection!$Z$4:$Z$59,Projection!$B$4:$B$59,"&gt;="&amp;(Assumptions!$B$4+15))/Discount!C19))</f>
        <v>18493.1797505175</v>
      </c>
      <c r="W17" s="12" t="n">
        <f aca="false">MAX(0,OwnFunds_SCR!F16-$A17*(IF(Projection!Q24=0,0,(Projection!F24/Projection!Q24)*SUMIFS(Projection!$AA$4:$AA$59,Projection!$B$4:$B$59,"&gt;="&amp;(Assumptions!$B$4+20))/Discount!C24)-SUMIFS(Projection!$Z$4:$Z$59,Projection!$B$4:$B$59,"&gt;="&amp;(Assumptions!$B$4+20))/Discount!C24))</f>
        <v>15909.7289648044</v>
      </c>
      <c r="X17" s="12" t="n">
        <f aca="false">MAX(0,OwnFunds_SCR!B20-$A17*(IF(Projection!U4=0,0,(Projection!F4/Projection!U4)*SUMIFS(Projection!$AB$4:$AB$59,Projection!$B$4:$B$59,"&gt;="&amp;(Assumptions!$B$4+0))/Discount!C4)-SUMIFS(Projection!$Z$4:$Z$59,Projection!$B$4:$B$59,"&gt;="&amp;(Assumptions!$B$4+0))/Discount!C4))</f>
        <v>2343.42087347393</v>
      </c>
      <c r="Y17" s="12" t="n">
        <f aca="false">MAX(0,OwnFunds_SCR!C20-$A17*(IF(Projection!U9=0,0,(Projection!F9/Projection!U9)*SUMIFS(Projection!$AB$4:$AB$59,Projection!$B$4:$B$59,"&gt;="&amp;(Assumptions!$B$4+5))/Discount!C9)-SUMIFS(Projection!$Z$4:$Z$59,Projection!$B$4:$B$59,"&gt;="&amp;(Assumptions!$B$4+5))/Discount!C9))</f>
        <v>3725.79318331226</v>
      </c>
      <c r="Z17" s="12" t="n">
        <f aca="false">MAX(0,OwnFunds_SCR!D20-$A17*(IF(Projection!U14=0,0,(Projection!F14/Projection!U14)*SUMIFS(Projection!$AB$4:$AB$59,Projection!$B$4:$B$59,"&gt;="&amp;(Assumptions!$B$4+10))/Discount!C14)-SUMIFS(Projection!$Z$4:$Z$59,Projection!$B$4:$B$59,"&gt;="&amp;(Assumptions!$B$4+10))/Discount!C14))</f>
        <v>2845.37157735667</v>
      </c>
      <c r="AA17" s="12" t="n">
        <f aca="false">MAX(0,OwnFunds_SCR!E20-$A17*(IF(Projection!U19=0,0,(Projection!F19/Projection!U19)*SUMIFS(Projection!$AB$4:$AB$59,Projection!$B$4:$B$59,"&gt;="&amp;(Assumptions!$B$4+15))/Discount!C19)-SUMIFS(Projection!$Z$4:$Z$59,Projection!$B$4:$B$59,"&gt;="&amp;(Assumptions!$B$4+15))/Discount!C19))</f>
        <v>0</v>
      </c>
      <c r="AB17" s="12" t="n">
        <f aca="false">MAX(0,OwnFunds_SCR!F20-$A17*(IF(Projection!U24=0,0,(Projection!F24/Projection!U24)*SUMIFS(Projection!$AB$4:$AB$59,Projection!$B$4:$B$59,"&gt;="&amp;(Assumptions!$B$4+20))/Discount!C24)-SUMIFS(Projection!$Z$4:$Z$59,Projection!$B$4:$B$59,"&gt;="&amp;(Assumptions!$B$4+20))/Discount!C24))</f>
        <v>0</v>
      </c>
      <c r="AC17" s="12" t="n">
        <f aca="false">SQRT(S17^2+X17^2+OwnFunds_SCR!B21^2+2*Assumptions!$B$26*S17*X17+2*Assumptions!$B$27*S17*OwnFunds_SCR!B21+2*Assumptions!$B$28*X17*OwnFunds_SCR!B21)</f>
        <v>15316.041954269</v>
      </c>
      <c r="AD17" s="12" t="n">
        <f aca="false">SQRT(T17^2+Y17^2+OwnFunds_SCR!C21^2+2*Assumptions!$B$26*T17*Y17+2*Assumptions!$B$27*T17*OwnFunds_SCR!C21+2*Assumptions!$B$28*Y17*OwnFunds_SCR!C21)</f>
        <v>17870.1175241241</v>
      </c>
      <c r="AE17" s="12" t="n">
        <f aca="false">SQRT(U17^2+Z17^2+OwnFunds_SCR!D21^2+2*Assumptions!$B$26*U17*Z17+2*Assumptions!$B$27*U17*OwnFunds_SCR!D21+2*Assumptions!$B$28*Z17*OwnFunds_SCR!D21)</f>
        <v>19330.0117760121</v>
      </c>
      <c r="AF17" s="12" t="n">
        <f aca="false">SQRT(V17^2+AA17^2+OwnFunds_SCR!E21^2+2*Assumptions!$B$26*V17*AA17+2*Assumptions!$B$27*V17*OwnFunds_SCR!E21+2*Assumptions!$B$28*AA17*OwnFunds_SCR!E21)</f>
        <v>18584.8360127642</v>
      </c>
      <c r="AG17" s="12" t="n">
        <f aca="false">SQRT(W17^2+AB17^2+OwnFunds_SCR!F21^2+2*Assumptions!$B$26*W17*AB17+2*Assumptions!$B$27*W17*OwnFunds_SCR!F21+2*Assumptions!$B$28*AB17*OwnFunds_SCR!F21)</f>
        <v>15983.5105361247</v>
      </c>
    </row>
    <row r="18" customFormat="false" ht="15" hidden="false" customHeight="true" outlineLevel="0" collapsed="false">
      <c r="A18" s="123" t="n">
        <v>0.325</v>
      </c>
      <c r="B18" s="11" t="n">
        <f aca="false">Fairness!$B$3/(1+$A18)</f>
        <v>0.67561395047552</v>
      </c>
      <c r="C18" s="48" t="n">
        <f aca="false">Pricing!$B$14*(1+$A18)</f>
        <v>16318.7870676185</v>
      </c>
      <c r="D18" s="12" t="n">
        <f aca="false">MAX(0,(AC18-N18)/Projection!F4)</f>
        <v>0</v>
      </c>
      <c r="E18" s="12" t="n">
        <f aca="false">MAX(0,(AD18-O18)/Projection!F9)</f>
        <v>0</v>
      </c>
      <c r="F18" s="12" t="n">
        <f aca="false">MAX(0,(AE18-P18)/Projection!F14)</f>
        <v>0</v>
      </c>
      <c r="G18" s="12" t="n">
        <f aca="false">MAX(0,(AF18-Q18)/Projection!F19)</f>
        <v>0</v>
      </c>
      <c r="H18" s="12" t="n">
        <f aca="false">MAX(0,(AG18-R18)/Projection!F24)</f>
        <v>0</v>
      </c>
      <c r="I18" s="58" t="n">
        <f aca="false">MAX(D18:H18)</f>
        <v>0</v>
      </c>
      <c r="J18" s="5" t="str">
        <f aca="false">IF(B18&gt;=0.9,"fair","BREACHES FLOOR")</f>
        <v>BREACHES FLOOR</v>
      </c>
      <c r="K18" s="18" t="n">
        <f aca="false">IF(I18&lt;=0,$A18,9)</f>
        <v>0.325</v>
      </c>
      <c r="N18" s="12" t="n">
        <f aca="false">OwnFunds_SCR!B7+$A18*(SUMIFS(Projection!$AC$4:$AC$59,Projection!$B$4:$B$59,"&lt;"&amp;(Assumptions!$B$4+0))/Discount!C4+SUMIFS(Projection!$Z$4:$Z$59,Projection!$B$4:$B$59,"&gt;="&amp;(Assumptions!$B$4+0))/Discount!C4)-RiskMargin!L4</f>
        <v>25539.6040632575</v>
      </c>
      <c r="O18" s="12" t="n">
        <f aca="false">OwnFunds_SCR!C7+$A18*(SUMIFS(Projection!$AC$4:$AC$59,Projection!$B$4:$B$59,"&lt;"&amp;(Assumptions!$B$4+5))/Discount!C9+SUMIFS(Projection!$Z$4:$Z$59,Projection!$B$4:$B$59,"&gt;="&amp;(Assumptions!$B$4+5))/Discount!C9)-RiskMargin!L9</f>
        <v>29428.6454168863</v>
      </c>
      <c r="P18" s="12" t="n">
        <f aca="false">OwnFunds_SCR!D7+$A18*(SUMIFS(Projection!$AC$4:$AC$59,Projection!$B$4:$B$59,"&lt;"&amp;(Assumptions!$B$4+10))/Discount!C14+SUMIFS(Projection!$Z$4:$Z$59,Projection!$B$4:$B$59,"&gt;="&amp;(Assumptions!$B$4+10))/Discount!C14)-RiskMargin!L14</f>
        <v>39665.7787475465</v>
      </c>
      <c r="Q18" s="12" t="n">
        <f aca="false">OwnFunds_SCR!E7+$A18*(SUMIFS(Projection!$AC$4:$AC$59,Projection!$B$4:$B$59,"&lt;"&amp;(Assumptions!$B$4+15))/Discount!C19+SUMIFS(Projection!$Z$4:$Z$59,Projection!$B$4:$B$59,"&gt;="&amp;(Assumptions!$B$4+15))/Discount!C19)-RiskMargin!L19</f>
        <v>52724.4217203089</v>
      </c>
      <c r="R18" s="12" t="n">
        <f aca="false">OwnFunds_SCR!F7+$A18*(SUMIFS(Projection!$AC$4:$AC$59,Projection!$B$4:$B$59,"&lt;"&amp;(Assumptions!$B$4+20))/Discount!C24+SUMIFS(Projection!$Z$4:$Z$59,Projection!$B$4:$B$59,"&gt;="&amp;(Assumptions!$B$4+20))/Discount!C24)-RiskMargin!L24</f>
        <v>68059.8137561277</v>
      </c>
      <c r="S18" s="12" t="n">
        <f aca="false">MAX(0,OwnFunds_SCR!B16-$A18*(IF(Projection!Q4=0,0,(Projection!F4/Projection!Q4)*SUMIFS(Projection!$AA$4:$AA$59,Projection!$B$4:$B$59,"&gt;="&amp;(Assumptions!$B$4+0))/Discount!C4)-SUMIFS(Projection!$Z$4:$Z$59,Projection!$B$4:$B$59,"&gt;="&amp;(Assumptions!$B$4+0))/Discount!C4))</f>
        <v>14396.76593135</v>
      </c>
      <c r="T18" s="12" t="n">
        <f aca="false">MAX(0,OwnFunds_SCR!C16-$A18*(IF(Projection!Q9=0,0,(Projection!F9/Projection!Q9)*SUMIFS(Projection!$AA$4:$AA$59,Projection!$B$4:$B$59,"&gt;="&amp;(Assumptions!$B$4+5))/Discount!C9)-SUMIFS(Projection!$Z$4:$Z$59,Projection!$B$4:$B$59,"&gt;="&amp;(Assumptions!$B$4+5))/Discount!C9))</f>
        <v>16408.1126669352</v>
      </c>
      <c r="U18" s="12" t="n">
        <f aca="false">MAX(0,OwnFunds_SCR!D16-$A18*(IF(Projection!Q14=0,0,(Projection!F14/Projection!Q14)*SUMIFS(Projection!$AA$4:$AA$59,Projection!$B$4:$B$59,"&gt;="&amp;(Assumptions!$B$4+10))/Discount!C14)-SUMIFS(Projection!$Z$4:$Z$59,Projection!$B$4:$B$59,"&gt;="&amp;(Assumptions!$B$4+10))/Discount!C14))</f>
        <v>18288.0041028277</v>
      </c>
      <c r="V18" s="12" t="n">
        <f aca="false">MAX(0,OwnFunds_SCR!E16-$A18*(IF(Projection!Q19=0,0,(Projection!F19/Projection!Q19)*SUMIFS(Projection!$AA$4:$AA$59,Projection!$B$4:$B$59,"&gt;="&amp;(Assumptions!$B$4+15))/Discount!C19)-SUMIFS(Projection!$Z$4:$Z$59,Projection!$B$4:$B$59,"&gt;="&amp;(Assumptions!$B$4+15))/Discount!C19))</f>
        <v>18493.1797505175</v>
      </c>
      <c r="W18" s="12" t="n">
        <f aca="false">MAX(0,OwnFunds_SCR!F16-$A18*(IF(Projection!Q24=0,0,(Projection!F24/Projection!Q24)*SUMIFS(Projection!$AA$4:$AA$59,Projection!$B$4:$B$59,"&gt;="&amp;(Assumptions!$B$4+20))/Discount!C24)-SUMIFS(Projection!$Z$4:$Z$59,Projection!$B$4:$B$59,"&gt;="&amp;(Assumptions!$B$4+20))/Discount!C24))</f>
        <v>15909.7289648044</v>
      </c>
      <c r="X18" s="12" t="n">
        <f aca="false">MAX(0,OwnFunds_SCR!B20-$A18*(IF(Projection!U4=0,0,(Projection!F4/Projection!U4)*SUMIFS(Projection!$AB$4:$AB$59,Projection!$B$4:$B$59,"&gt;="&amp;(Assumptions!$B$4+0))/Discount!C4)-SUMIFS(Projection!$Z$4:$Z$59,Projection!$B$4:$B$59,"&gt;="&amp;(Assumptions!$B$4+0))/Discount!C4))</f>
        <v>2168.36136486552</v>
      </c>
      <c r="Y18" s="12" t="n">
        <f aca="false">MAX(0,OwnFunds_SCR!C20-$A18*(IF(Projection!U9=0,0,(Projection!F9/Projection!U9)*SUMIFS(Projection!$AB$4:$AB$59,Projection!$B$4:$B$59,"&gt;="&amp;(Assumptions!$B$4+5))/Discount!C9)-SUMIFS(Projection!$Z$4:$Z$59,Projection!$B$4:$B$59,"&gt;="&amp;(Assumptions!$B$4+5))/Discount!C9))</f>
        <v>3685.27023335957</v>
      </c>
      <c r="Z18" s="12" t="n">
        <f aca="false">MAX(0,OwnFunds_SCR!D20-$A18*(IF(Projection!U14=0,0,(Projection!F14/Projection!U14)*SUMIFS(Projection!$AB$4:$AB$59,Projection!$B$4:$B$59,"&gt;="&amp;(Assumptions!$B$4+10))/Discount!C14)-SUMIFS(Projection!$Z$4:$Z$59,Projection!$B$4:$B$59,"&gt;="&amp;(Assumptions!$B$4+10))/Discount!C14))</f>
        <v>2835.96402151677</v>
      </c>
      <c r="AA18" s="12" t="n">
        <f aca="false">MAX(0,OwnFunds_SCR!E20-$A18*(IF(Projection!U19=0,0,(Projection!F19/Projection!U19)*SUMIFS(Projection!$AB$4:$AB$59,Projection!$B$4:$B$59,"&gt;="&amp;(Assumptions!$B$4+15))/Discount!C19)-SUMIFS(Projection!$Z$4:$Z$59,Projection!$B$4:$B$59,"&gt;="&amp;(Assumptions!$B$4+15))/Discount!C19))</f>
        <v>0</v>
      </c>
      <c r="AB18" s="12" t="n">
        <f aca="false">MAX(0,OwnFunds_SCR!F20-$A18*(IF(Projection!U24=0,0,(Projection!F24/Projection!U24)*SUMIFS(Projection!$AB$4:$AB$59,Projection!$B$4:$B$59,"&gt;="&amp;(Assumptions!$B$4+20))/Discount!C24)-SUMIFS(Projection!$Z$4:$Z$59,Projection!$B$4:$B$59,"&gt;="&amp;(Assumptions!$B$4+20))/Discount!C24))</f>
        <v>0</v>
      </c>
      <c r="AC18" s="12" t="n">
        <f aca="false">SQRT(S18^2+X18^2+OwnFunds_SCR!B21^2+2*Assumptions!$B$26*S18*X18+2*Assumptions!$B$27*S18*OwnFunds_SCR!B21+2*Assumptions!$B$28*X18*OwnFunds_SCR!B21)</f>
        <v>15214.1243102267</v>
      </c>
      <c r="AD18" s="12" t="n">
        <f aca="false">SQRT(T18^2+Y18^2+OwnFunds_SCR!C21^2+2*Assumptions!$B$26*T18*Y18+2*Assumptions!$B$27*T18*OwnFunds_SCR!C21+2*Assumptions!$B$28*Y18*OwnFunds_SCR!C21)</f>
        <v>17831.9809961646</v>
      </c>
      <c r="AE18" s="12" t="n">
        <f aca="false">SQRT(U18^2+Z18^2+OwnFunds_SCR!D21^2+2*Assumptions!$B$26*U18*Z18+2*Assumptions!$B$27*U18*OwnFunds_SCR!D21+2*Assumptions!$B$28*Z18*OwnFunds_SCR!D21)</f>
        <v>19319.4475060234</v>
      </c>
      <c r="AF18" s="12" t="n">
        <f aca="false">SQRT(V18^2+AA18^2+OwnFunds_SCR!E21^2+2*Assumptions!$B$26*V18*AA18+2*Assumptions!$B$27*V18*OwnFunds_SCR!E21+2*Assumptions!$B$28*AA18*OwnFunds_SCR!E21)</f>
        <v>18584.8360127642</v>
      </c>
      <c r="AG18" s="12" t="n">
        <f aca="false">SQRT(W18^2+AB18^2+OwnFunds_SCR!F21^2+2*Assumptions!$B$26*W18*AB18+2*Assumptions!$B$27*W18*OwnFunds_SCR!F21+2*Assumptions!$B$28*AB18*OwnFunds_SCR!F21)</f>
        <v>15983.5105361247</v>
      </c>
    </row>
    <row r="19" customFormat="false" ht="15" hidden="false" customHeight="true" outlineLevel="0" collapsed="false">
      <c r="A19" s="121" t="n">
        <v>0.35</v>
      </c>
      <c r="B19" s="11" t="n">
        <f aca="false">Fairness!$B$3/(1+$A19)</f>
        <v>0.66310258102227</v>
      </c>
      <c r="C19" s="48" t="n">
        <f aca="false">Pricing!$B$14*(1+$A19)</f>
        <v>16626.6887104038</v>
      </c>
      <c r="D19" s="12" t="n">
        <f aca="false">MAX(0,(AC19-N19)/Projection!F4)</f>
        <v>0</v>
      </c>
      <c r="E19" s="12" t="n">
        <f aca="false">MAX(0,(AD19-O19)/Projection!F9)</f>
        <v>0</v>
      </c>
      <c r="F19" s="12" t="n">
        <f aca="false">MAX(0,(AE19-P19)/Projection!F14)</f>
        <v>0</v>
      </c>
      <c r="G19" s="12" t="n">
        <f aca="false">MAX(0,(AF19-Q19)/Projection!F19)</f>
        <v>0</v>
      </c>
      <c r="H19" s="12" t="n">
        <f aca="false">MAX(0,(AG19-R19)/Projection!F24)</f>
        <v>0</v>
      </c>
      <c r="I19" s="58" t="n">
        <f aca="false">MAX(D19:H19)</f>
        <v>0</v>
      </c>
      <c r="J19" s="5" t="str">
        <f aca="false">IF(B19&gt;=0.9,"fair","BREACHES FLOOR")</f>
        <v>BREACHES FLOOR</v>
      </c>
      <c r="K19" s="18" t="n">
        <f aca="false">IF(I19&lt;=0,$A19,9)</f>
        <v>0.35</v>
      </c>
      <c r="N19" s="12" t="n">
        <f aca="false">OwnFunds_SCR!B7+$A19*(SUMIFS(Projection!$AC$4:$AC$59,Projection!$B$4:$B$59,"&lt;"&amp;(Assumptions!$B$4+0))/Discount!C4+SUMIFS(Projection!$Z$4:$Z$59,Projection!$B$4:$B$59,"&gt;="&amp;(Assumptions!$B$4+0))/Discount!C4)-RiskMargin!L4</f>
        <v>28800.6645505631</v>
      </c>
      <c r="O19" s="12" t="n">
        <f aca="false">OwnFunds_SCR!C7+$A19*(SUMIFS(Projection!$AC$4:$AC$59,Projection!$B$4:$B$59,"&lt;"&amp;(Assumptions!$B$4+5))/Discount!C9+SUMIFS(Projection!$Z$4:$Z$59,Projection!$B$4:$B$59,"&gt;="&amp;(Assumptions!$B$4+5))/Discount!C9)-RiskMargin!L9</f>
        <v>32736.7739626255</v>
      </c>
      <c r="P19" s="12" t="n">
        <f aca="false">OwnFunds_SCR!D7+$A19*(SUMIFS(Projection!$AC$4:$AC$59,Projection!$B$4:$B$59,"&lt;"&amp;(Assumptions!$B$4+10))/Discount!C14+SUMIFS(Projection!$Z$4:$Z$59,Projection!$B$4:$B$59,"&gt;="&amp;(Assumptions!$B$4+10))/Discount!C14)-RiskMargin!L14</f>
        <v>43457.9803959498</v>
      </c>
      <c r="Q19" s="12" t="n">
        <f aca="false">OwnFunds_SCR!E7+$A19*(SUMIFS(Projection!$AC$4:$AC$59,Projection!$B$4:$B$59,"&lt;"&amp;(Assumptions!$B$4+15))/Discount!C19+SUMIFS(Projection!$Z$4:$Z$59,Projection!$B$4:$B$59,"&gt;="&amp;(Assumptions!$B$4+15))/Discount!C19)-RiskMargin!L19</f>
        <v>57163.9075583064</v>
      </c>
      <c r="R19" s="12" t="n">
        <f aca="false">OwnFunds_SCR!F7+$A19*(SUMIFS(Projection!$AC$4:$AC$59,Projection!$B$4:$B$59,"&lt;"&amp;(Assumptions!$B$4+20))/Discount!C24+SUMIFS(Projection!$Z$4:$Z$59,Projection!$B$4:$B$59,"&gt;="&amp;(Assumptions!$B$4+20))/Discount!C24)-RiskMargin!L24</f>
        <v>73295.7558280618</v>
      </c>
      <c r="S19" s="12" t="n">
        <f aca="false">MAX(0,OwnFunds_SCR!B16-$A19*(IF(Projection!Q4=0,0,(Projection!F4/Projection!Q4)*SUMIFS(Projection!$AA$4:$AA$59,Projection!$B$4:$B$59,"&gt;="&amp;(Assumptions!$B$4+0))/Discount!C4)-SUMIFS(Projection!$Z$4:$Z$59,Projection!$B$4:$B$59,"&gt;="&amp;(Assumptions!$B$4+0))/Discount!C4))</f>
        <v>14363.9216083725</v>
      </c>
      <c r="T19" s="12" t="n">
        <f aca="false">MAX(0,OwnFunds_SCR!C16-$A19*(IF(Projection!Q9=0,0,(Projection!F9/Projection!Q9)*SUMIFS(Projection!$AA$4:$AA$59,Projection!$B$4:$B$59,"&gt;="&amp;(Assumptions!$B$4+5))/Discount!C9)-SUMIFS(Projection!$Z$4:$Z$59,Projection!$B$4:$B$59,"&gt;="&amp;(Assumptions!$B$4+5))/Discount!C9))</f>
        <v>16387.6973489796</v>
      </c>
      <c r="U19" s="12" t="n">
        <f aca="false">MAX(0,OwnFunds_SCR!D16-$A19*(IF(Projection!Q14=0,0,(Projection!F14/Projection!Q14)*SUMIFS(Projection!$AA$4:$AA$59,Projection!$B$4:$B$59,"&gt;="&amp;(Assumptions!$B$4+10))/Discount!C14)-SUMIFS(Projection!$Z$4:$Z$59,Projection!$B$4:$B$59,"&gt;="&amp;(Assumptions!$B$4+10))/Discount!C14))</f>
        <v>18281.0625075756</v>
      </c>
      <c r="V19" s="12" t="n">
        <f aca="false">MAX(0,OwnFunds_SCR!E16-$A19*(IF(Projection!Q19=0,0,(Projection!F19/Projection!Q19)*SUMIFS(Projection!$AA$4:$AA$59,Projection!$B$4:$B$59,"&gt;="&amp;(Assumptions!$B$4+15))/Discount!C19)-SUMIFS(Projection!$Z$4:$Z$59,Projection!$B$4:$B$59,"&gt;="&amp;(Assumptions!$B$4+15))/Discount!C19))</f>
        <v>18493.1797505175</v>
      </c>
      <c r="W19" s="12" t="n">
        <f aca="false">MAX(0,OwnFunds_SCR!F16-$A19*(IF(Projection!Q24=0,0,(Projection!F24/Projection!Q24)*SUMIFS(Projection!$AA$4:$AA$59,Projection!$B$4:$B$59,"&gt;="&amp;(Assumptions!$B$4+20))/Discount!C24)-SUMIFS(Projection!$Z$4:$Z$59,Projection!$B$4:$B$59,"&gt;="&amp;(Assumptions!$B$4+20))/Discount!C24))</f>
        <v>15909.7289648044</v>
      </c>
      <c r="X19" s="12" t="n">
        <f aca="false">MAX(0,OwnFunds_SCR!B20-$A19*(IF(Projection!U4=0,0,(Projection!F4/Projection!U4)*SUMIFS(Projection!$AB$4:$AB$59,Projection!$B$4:$B$59,"&gt;="&amp;(Assumptions!$B$4+0))/Discount!C4)-SUMIFS(Projection!$Z$4:$Z$59,Projection!$B$4:$B$59,"&gt;="&amp;(Assumptions!$B$4+0))/Discount!C4))</f>
        <v>1993.3018562571</v>
      </c>
      <c r="Y19" s="12" t="n">
        <f aca="false">MAX(0,OwnFunds_SCR!C20-$A19*(IF(Projection!U9=0,0,(Projection!F9/Projection!U9)*SUMIFS(Projection!$AB$4:$AB$59,Projection!$B$4:$B$59,"&gt;="&amp;(Assumptions!$B$4+5))/Discount!C9)-SUMIFS(Projection!$Z$4:$Z$59,Projection!$B$4:$B$59,"&gt;="&amp;(Assumptions!$B$4+5))/Discount!C9))</f>
        <v>3644.74728340688</v>
      </c>
      <c r="Z19" s="12" t="n">
        <f aca="false">MAX(0,OwnFunds_SCR!D20-$A19*(IF(Projection!U14=0,0,(Projection!F14/Projection!U14)*SUMIFS(Projection!$AB$4:$AB$59,Projection!$B$4:$B$59,"&gt;="&amp;(Assumptions!$B$4+10))/Discount!C14)-SUMIFS(Projection!$Z$4:$Z$59,Projection!$B$4:$B$59,"&gt;="&amp;(Assumptions!$B$4+10))/Discount!C14))</f>
        <v>2826.55646567687</v>
      </c>
      <c r="AA19" s="12" t="n">
        <f aca="false">MAX(0,OwnFunds_SCR!E20-$A19*(IF(Projection!U19=0,0,(Projection!F19/Projection!U19)*SUMIFS(Projection!$AB$4:$AB$59,Projection!$B$4:$B$59,"&gt;="&amp;(Assumptions!$B$4+15))/Discount!C19)-SUMIFS(Projection!$Z$4:$Z$59,Projection!$B$4:$B$59,"&gt;="&amp;(Assumptions!$B$4+15))/Discount!C19))</f>
        <v>0</v>
      </c>
      <c r="AB19" s="12" t="n">
        <f aca="false">MAX(0,OwnFunds_SCR!F20-$A19*(IF(Projection!U24=0,0,(Projection!F24/Projection!U24)*SUMIFS(Projection!$AB$4:$AB$59,Projection!$B$4:$B$59,"&gt;="&amp;(Assumptions!$B$4+20))/Discount!C24)-SUMIFS(Projection!$Z$4:$Z$59,Projection!$B$4:$B$59,"&gt;="&amp;(Assumptions!$B$4+20))/Discount!C24))</f>
        <v>0</v>
      </c>
      <c r="AC19" s="12" t="n">
        <f aca="false">SQRT(S19^2+X19^2+OwnFunds_SCR!B21^2+2*Assumptions!$B$26*S19*X19+2*Assumptions!$B$27*S19*OwnFunds_SCR!B21+2*Assumptions!$B$28*X19*OwnFunds_SCR!B21)</f>
        <v>15113.8087450645</v>
      </c>
      <c r="AD19" s="12" t="n">
        <f aca="false">SQRT(T19^2+Y19^2+OwnFunds_SCR!C21^2+2*Assumptions!$B$26*T19*Y19+2*Assumptions!$B$27*T19*OwnFunds_SCR!C21+2*Assumptions!$B$28*Y19*OwnFunds_SCR!C21)</f>
        <v>17793.9016870222</v>
      </c>
      <c r="AE19" s="12" t="n">
        <f aca="false">SQRT(U19^2+Z19^2+OwnFunds_SCR!D21^2+2*Assumptions!$B$26*U19*Z19+2*Assumptions!$B$27*U19*OwnFunds_SCR!D21+2*Assumptions!$B$28*Z19*OwnFunds_SCR!D21)</f>
        <v>19308.886226149</v>
      </c>
      <c r="AF19" s="12" t="n">
        <f aca="false">SQRT(V19^2+AA19^2+OwnFunds_SCR!E21^2+2*Assumptions!$B$26*V19*AA19+2*Assumptions!$B$27*V19*OwnFunds_SCR!E21+2*Assumptions!$B$28*AA19*OwnFunds_SCR!E21)</f>
        <v>18584.8360127642</v>
      </c>
      <c r="AG19" s="12" t="n">
        <f aca="false">SQRT(W19^2+AB19^2+OwnFunds_SCR!F21^2+2*Assumptions!$B$26*W19*AB19+2*Assumptions!$B$27*W19*OwnFunds_SCR!F21+2*Assumptions!$B$28*AB19*OwnFunds_SCR!F21)</f>
        <v>15983.5105361247</v>
      </c>
    </row>
    <row r="20" customFormat="false" ht="15" hidden="false" customHeight="true" outlineLevel="0" collapsed="false">
      <c r="A20" s="121" t="n">
        <v>0.375</v>
      </c>
      <c r="B20" s="11" t="n">
        <f aca="false">Fairness!$B$3/(1+$A20)</f>
        <v>0.651046170458229</v>
      </c>
      <c r="C20" s="48" t="n">
        <f aca="false">Pricing!$B$14*(1+$A20)</f>
        <v>16934.590353189</v>
      </c>
      <c r="D20" s="12" t="n">
        <f aca="false">MAX(0,(AC20-N20)/Projection!F4)</f>
        <v>0</v>
      </c>
      <c r="E20" s="12" t="n">
        <f aca="false">MAX(0,(AD20-O20)/Projection!F9)</f>
        <v>0</v>
      </c>
      <c r="F20" s="12" t="n">
        <f aca="false">MAX(0,(AE20-P20)/Projection!F14)</f>
        <v>0</v>
      </c>
      <c r="G20" s="12" t="n">
        <f aca="false">MAX(0,(AF20-Q20)/Projection!F19)</f>
        <v>0</v>
      </c>
      <c r="H20" s="12" t="n">
        <f aca="false">MAX(0,(AG20-R20)/Projection!F24)</f>
        <v>0</v>
      </c>
      <c r="I20" s="58" t="n">
        <f aca="false">MAX(D20:H20)</f>
        <v>0</v>
      </c>
      <c r="J20" s="5" t="str">
        <f aca="false">IF(B20&gt;=0.9,"fair","BREACHES FLOOR")</f>
        <v>BREACHES FLOOR</v>
      </c>
      <c r="K20" s="18" t="n">
        <f aca="false">IF(I20&lt;=0,$A20,9)</f>
        <v>0.375</v>
      </c>
      <c r="N20" s="12" t="n">
        <f aca="false">OwnFunds_SCR!B7+$A20*(SUMIFS(Projection!$AC$4:$AC$59,Projection!$B$4:$B$59,"&lt;"&amp;(Assumptions!$B$4+0))/Discount!C4+SUMIFS(Projection!$Z$4:$Z$59,Projection!$B$4:$B$59,"&gt;="&amp;(Assumptions!$B$4+0))/Discount!C4)-RiskMargin!L4</f>
        <v>32061.7250378687</v>
      </c>
      <c r="O20" s="12" t="n">
        <f aca="false">OwnFunds_SCR!C7+$A20*(SUMIFS(Projection!$AC$4:$AC$59,Projection!$B$4:$B$59,"&lt;"&amp;(Assumptions!$B$4+5))/Discount!C9+SUMIFS(Projection!$Z$4:$Z$59,Projection!$B$4:$B$59,"&gt;="&amp;(Assumptions!$B$4+5))/Discount!C9)-RiskMargin!L9</f>
        <v>36044.9025083647</v>
      </c>
      <c r="P20" s="12" t="n">
        <f aca="false">OwnFunds_SCR!D7+$A20*(SUMIFS(Projection!$AC$4:$AC$59,Projection!$B$4:$B$59,"&lt;"&amp;(Assumptions!$B$4+10))/Discount!C14+SUMIFS(Projection!$Z$4:$Z$59,Projection!$B$4:$B$59,"&gt;="&amp;(Assumptions!$B$4+10))/Discount!C14)-RiskMargin!L14</f>
        <v>47250.1820443531</v>
      </c>
      <c r="Q20" s="12" t="n">
        <f aca="false">OwnFunds_SCR!E7+$A20*(SUMIFS(Projection!$AC$4:$AC$59,Projection!$B$4:$B$59,"&lt;"&amp;(Assumptions!$B$4+15))/Discount!C19+SUMIFS(Projection!$Z$4:$Z$59,Projection!$B$4:$B$59,"&gt;="&amp;(Assumptions!$B$4+15))/Discount!C19)-RiskMargin!L19</f>
        <v>61603.3933963039</v>
      </c>
      <c r="R20" s="12" t="n">
        <f aca="false">OwnFunds_SCR!F7+$A20*(SUMIFS(Projection!$AC$4:$AC$59,Projection!$B$4:$B$59,"&lt;"&amp;(Assumptions!$B$4+20))/Discount!C24+SUMIFS(Projection!$Z$4:$Z$59,Projection!$B$4:$B$59,"&gt;="&amp;(Assumptions!$B$4+20))/Discount!C24)-RiskMargin!L24</f>
        <v>78531.6978999958</v>
      </c>
      <c r="S20" s="12" t="n">
        <f aca="false">MAX(0,OwnFunds_SCR!B16-$A20*(IF(Projection!Q4=0,0,(Projection!F4/Projection!Q4)*SUMIFS(Projection!$AA$4:$AA$59,Projection!$B$4:$B$59,"&gt;="&amp;(Assumptions!$B$4+0))/Discount!C4)-SUMIFS(Projection!$Z$4:$Z$59,Projection!$B$4:$B$59,"&gt;="&amp;(Assumptions!$B$4+0))/Discount!C4))</f>
        <v>14331.0772853951</v>
      </c>
      <c r="T20" s="12" t="n">
        <f aca="false">MAX(0,OwnFunds_SCR!C16-$A20*(IF(Projection!Q9=0,0,(Projection!F9/Projection!Q9)*SUMIFS(Projection!$AA$4:$AA$59,Projection!$B$4:$B$59,"&gt;="&amp;(Assumptions!$B$4+5))/Discount!C9)-SUMIFS(Projection!$Z$4:$Z$59,Projection!$B$4:$B$59,"&gt;="&amp;(Assumptions!$B$4+5))/Discount!C9))</f>
        <v>16367.2820310239</v>
      </c>
      <c r="U20" s="12" t="n">
        <f aca="false">MAX(0,OwnFunds_SCR!D16-$A20*(IF(Projection!Q14=0,0,(Projection!F14/Projection!Q14)*SUMIFS(Projection!$AA$4:$AA$59,Projection!$B$4:$B$59,"&gt;="&amp;(Assumptions!$B$4+10))/Discount!C14)-SUMIFS(Projection!$Z$4:$Z$59,Projection!$B$4:$B$59,"&gt;="&amp;(Assumptions!$B$4+10))/Discount!C14))</f>
        <v>18274.1209123236</v>
      </c>
      <c r="V20" s="12" t="n">
        <f aca="false">MAX(0,OwnFunds_SCR!E16-$A20*(IF(Projection!Q19=0,0,(Projection!F19/Projection!Q19)*SUMIFS(Projection!$AA$4:$AA$59,Projection!$B$4:$B$59,"&gt;="&amp;(Assumptions!$B$4+15))/Discount!C19)-SUMIFS(Projection!$Z$4:$Z$59,Projection!$B$4:$B$59,"&gt;="&amp;(Assumptions!$B$4+15))/Discount!C19))</f>
        <v>18493.1797505175</v>
      </c>
      <c r="W20" s="12" t="n">
        <f aca="false">MAX(0,OwnFunds_SCR!F16-$A20*(IF(Projection!Q24=0,0,(Projection!F24/Projection!Q24)*SUMIFS(Projection!$AA$4:$AA$59,Projection!$B$4:$B$59,"&gt;="&amp;(Assumptions!$B$4+20))/Discount!C24)-SUMIFS(Projection!$Z$4:$Z$59,Projection!$B$4:$B$59,"&gt;="&amp;(Assumptions!$B$4+20))/Discount!C24))</f>
        <v>15909.7289648044</v>
      </c>
      <c r="X20" s="12" t="n">
        <f aca="false">MAX(0,OwnFunds_SCR!B20-$A20*(IF(Projection!U4=0,0,(Projection!F4/Projection!U4)*SUMIFS(Projection!$AB$4:$AB$59,Projection!$B$4:$B$59,"&gt;="&amp;(Assumptions!$B$4+0))/Discount!C4)-SUMIFS(Projection!$Z$4:$Z$59,Projection!$B$4:$B$59,"&gt;="&amp;(Assumptions!$B$4+0))/Discount!C4))</f>
        <v>1818.24234764868</v>
      </c>
      <c r="Y20" s="12" t="n">
        <f aca="false">MAX(0,OwnFunds_SCR!C20-$A20*(IF(Projection!U9=0,0,(Projection!F9/Projection!U9)*SUMIFS(Projection!$AB$4:$AB$59,Projection!$B$4:$B$59,"&gt;="&amp;(Assumptions!$B$4+5))/Discount!C9)-SUMIFS(Projection!$Z$4:$Z$59,Projection!$B$4:$B$59,"&gt;="&amp;(Assumptions!$B$4+5))/Discount!C9))</f>
        <v>3604.22433345419</v>
      </c>
      <c r="Z20" s="12" t="n">
        <f aca="false">MAX(0,OwnFunds_SCR!D20-$A20*(IF(Projection!U14=0,0,(Projection!F14/Projection!U14)*SUMIFS(Projection!$AB$4:$AB$59,Projection!$B$4:$B$59,"&gt;="&amp;(Assumptions!$B$4+10))/Discount!C14)-SUMIFS(Projection!$Z$4:$Z$59,Projection!$B$4:$B$59,"&gt;="&amp;(Assumptions!$B$4+10))/Discount!C14))</f>
        <v>2817.14890983697</v>
      </c>
      <c r="AA20" s="12" t="n">
        <f aca="false">MAX(0,OwnFunds_SCR!E20-$A20*(IF(Projection!U19=0,0,(Projection!F19/Projection!U19)*SUMIFS(Projection!$AB$4:$AB$59,Projection!$B$4:$B$59,"&gt;="&amp;(Assumptions!$B$4+15))/Discount!C19)-SUMIFS(Projection!$Z$4:$Z$59,Projection!$B$4:$B$59,"&gt;="&amp;(Assumptions!$B$4+15))/Discount!C19))</f>
        <v>0</v>
      </c>
      <c r="AB20" s="12" t="n">
        <f aca="false">MAX(0,OwnFunds_SCR!F20-$A20*(IF(Projection!U24=0,0,(Projection!F24/Projection!U24)*SUMIFS(Projection!$AB$4:$AB$59,Projection!$B$4:$B$59,"&gt;="&amp;(Assumptions!$B$4+20))/Discount!C24)-SUMIFS(Projection!$Z$4:$Z$59,Projection!$B$4:$B$59,"&gt;="&amp;(Assumptions!$B$4+20))/Discount!C24))</f>
        <v>0</v>
      </c>
      <c r="AC20" s="12" t="n">
        <f aca="false">SQRT(S20^2+X20^2+OwnFunds_SCR!B21^2+2*Assumptions!$B$26*S20*X20+2*Assumptions!$B$27*S20*OwnFunds_SCR!B21+2*Assumptions!$B$28*X20*OwnFunds_SCR!B21)</f>
        <v>15015.1273691235</v>
      </c>
      <c r="AD20" s="12" t="n">
        <f aca="false">SQRT(T20^2+Y20^2+OwnFunds_SCR!C21^2+2*Assumptions!$B$26*T20*Y20+2*Assumptions!$B$27*T20*OwnFunds_SCR!C21+2*Assumptions!$B$28*Y20*OwnFunds_SCR!C21)</f>
        <v>17755.8799648318</v>
      </c>
      <c r="AE20" s="12" t="n">
        <f aca="false">SQRT(U20^2+Z20^2+OwnFunds_SCR!D21^2+2*Assumptions!$B$26*U20*Z20+2*Assumptions!$B$27*U20*OwnFunds_SCR!D21+2*Assumptions!$B$28*Z20*OwnFunds_SCR!D21)</f>
        <v>19298.3279412982</v>
      </c>
      <c r="AF20" s="12" t="n">
        <f aca="false">SQRT(V20^2+AA20^2+OwnFunds_SCR!E21^2+2*Assumptions!$B$26*V20*AA20+2*Assumptions!$B$27*V20*OwnFunds_SCR!E21+2*Assumptions!$B$28*AA20*OwnFunds_SCR!E21)</f>
        <v>18584.8360127642</v>
      </c>
      <c r="AG20" s="12" t="n">
        <f aca="false">SQRT(W20^2+AB20^2+OwnFunds_SCR!F21^2+2*Assumptions!$B$26*W20*AB20+2*Assumptions!$B$27*W20*OwnFunds_SCR!F21+2*Assumptions!$B$28*AB20*OwnFunds_SCR!F21)</f>
        <v>15983.5105361247</v>
      </c>
    </row>
    <row r="21" customFormat="false" ht="15" hidden="false" customHeight="true" outlineLevel="0" collapsed="false">
      <c r="A21" s="121" t="n">
        <v>0.4</v>
      </c>
      <c r="B21" s="11" t="n">
        <f aca="false">Fairness!$B$3/(1+$A21)</f>
        <v>0.63942034598576</v>
      </c>
      <c r="C21" s="48" t="n">
        <f aca="false">Pricing!$B$14*(1+$A21)</f>
        <v>17242.4919959743</v>
      </c>
      <c r="D21" s="12" t="n">
        <f aca="false">MAX(0,(AC21-N21)/Projection!F4)</f>
        <v>0</v>
      </c>
      <c r="E21" s="12" t="n">
        <f aca="false">MAX(0,(AD21-O21)/Projection!F9)</f>
        <v>0</v>
      </c>
      <c r="F21" s="12" t="n">
        <f aca="false">MAX(0,(AE21-P21)/Projection!F14)</f>
        <v>0</v>
      </c>
      <c r="G21" s="12" t="n">
        <f aca="false">MAX(0,(AF21-Q21)/Projection!F19)</f>
        <v>0</v>
      </c>
      <c r="H21" s="12" t="n">
        <f aca="false">MAX(0,(AG21-R21)/Projection!F24)</f>
        <v>0</v>
      </c>
      <c r="I21" s="58" t="n">
        <f aca="false">MAX(D21:H21)</f>
        <v>0</v>
      </c>
      <c r="J21" s="5" t="str">
        <f aca="false">IF(B21&gt;=0.9,"fair","BREACHES FLOOR")</f>
        <v>BREACHES FLOOR</v>
      </c>
      <c r="K21" s="18" t="n">
        <f aca="false">IF(I21&lt;=0,$A21,9)</f>
        <v>0.4</v>
      </c>
      <c r="N21" s="12" t="n">
        <f aca="false">OwnFunds_SCR!B7+$A21*(SUMIFS(Projection!$AC$4:$AC$59,Projection!$B$4:$B$59,"&lt;"&amp;(Assumptions!$B$4+0))/Discount!C4+SUMIFS(Projection!$Z$4:$Z$59,Projection!$B$4:$B$59,"&gt;="&amp;(Assumptions!$B$4+0))/Discount!C4)-RiskMargin!L4</f>
        <v>35322.7855251743</v>
      </c>
      <c r="O21" s="12" t="n">
        <f aca="false">OwnFunds_SCR!C7+$A21*(SUMIFS(Projection!$AC$4:$AC$59,Projection!$B$4:$B$59,"&lt;"&amp;(Assumptions!$B$4+5))/Discount!C9+SUMIFS(Projection!$Z$4:$Z$59,Projection!$B$4:$B$59,"&gt;="&amp;(Assumptions!$B$4+5))/Discount!C9)-RiskMargin!L9</f>
        <v>39353.0310541039</v>
      </c>
      <c r="P21" s="12" t="n">
        <f aca="false">OwnFunds_SCR!D7+$A21*(SUMIFS(Projection!$AC$4:$AC$59,Projection!$B$4:$B$59,"&lt;"&amp;(Assumptions!$B$4+10))/Discount!C14+SUMIFS(Projection!$Z$4:$Z$59,Projection!$B$4:$B$59,"&gt;="&amp;(Assumptions!$B$4+10))/Discount!C14)-RiskMargin!L14</f>
        <v>51042.3836927564</v>
      </c>
      <c r="Q21" s="12" t="n">
        <f aca="false">OwnFunds_SCR!E7+$A21*(SUMIFS(Projection!$AC$4:$AC$59,Projection!$B$4:$B$59,"&lt;"&amp;(Assumptions!$B$4+15))/Discount!C19+SUMIFS(Projection!$Z$4:$Z$59,Projection!$B$4:$B$59,"&gt;="&amp;(Assumptions!$B$4+15))/Discount!C19)-RiskMargin!L19</f>
        <v>66042.8792343015</v>
      </c>
      <c r="R21" s="12" t="n">
        <f aca="false">OwnFunds_SCR!F7+$A21*(SUMIFS(Projection!$AC$4:$AC$59,Projection!$B$4:$B$59,"&lt;"&amp;(Assumptions!$B$4+20))/Discount!C24+SUMIFS(Projection!$Z$4:$Z$59,Projection!$B$4:$B$59,"&gt;="&amp;(Assumptions!$B$4+20))/Discount!C24)-RiskMargin!L24</f>
        <v>83767.6399719299</v>
      </c>
      <c r="S21" s="12" t="n">
        <f aca="false">MAX(0,OwnFunds_SCR!B16-$A21*(IF(Projection!Q4=0,0,(Projection!F4/Projection!Q4)*SUMIFS(Projection!$AA$4:$AA$59,Projection!$B$4:$B$59,"&gt;="&amp;(Assumptions!$B$4+0))/Discount!C4)-SUMIFS(Projection!$Z$4:$Z$59,Projection!$B$4:$B$59,"&gt;="&amp;(Assumptions!$B$4+0))/Discount!C4))</f>
        <v>14298.2329624177</v>
      </c>
      <c r="T21" s="12" t="n">
        <f aca="false">MAX(0,OwnFunds_SCR!C16-$A21*(IF(Projection!Q9=0,0,(Projection!F9/Projection!Q9)*SUMIFS(Projection!$AA$4:$AA$59,Projection!$B$4:$B$59,"&gt;="&amp;(Assumptions!$B$4+5))/Discount!C9)-SUMIFS(Projection!$Z$4:$Z$59,Projection!$B$4:$B$59,"&gt;="&amp;(Assumptions!$B$4+5))/Discount!C9))</f>
        <v>16346.8667130682</v>
      </c>
      <c r="U21" s="12" t="n">
        <f aca="false">MAX(0,OwnFunds_SCR!D16-$A21*(IF(Projection!Q14=0,0,(Projection!F14/Projection!Q14)*SUMIFS(Projection!$AA$4:$AA$59,Projection!$B$4:$B$59,"&gt;="&amp;(Assumptions!$B$4+10))/Discount!C14)-SUMIFS(Projection!$Z$4:$Z$59,Projection!$B$4:$B$59,"&gt;="&amp;(Assumptions!$B$4+10))/Discount!C14))</f>
        <v>18267.1793170715</v>
      </c>
      <c r="V21" s="12" t="n">
        <f aca="false">MAX(0,OwnFunds_SCR!E16-$A21*(IF(Projection!Q19=0,0,(Projection!F19/Projection!Q19)*SUMIFS(Projection!$AA$4:$AA$59,Projection!$B$4:$B$59,"&gt;="&amp;(Assumptions!$B$4+15))/Discount!C19)-SUMIFS(Projection!$Z$4:$Z$59,Projection!$B$4:$B$59,"&gt;="&amp;(Assumptions!$B$4+15))/Discount!C19))</f>
        <v>18493.1797505175</v>
      </c>
      <c r="W21" s="12" t="n">
        <f aca="false">MAX(0,OwnFunds_SCR!F16-$A21*(IF(Projection!Q24=0,0,(Projection!F24/Projection!Q24)*SUMIFS(Projection!$AA$4:$AA$59,Projection!$B$4:$B$59,"&gt;="&amp;(Assumptions!$B$4+20))/Discount!C24)-SUMIFS(Projection!$Z$4:$Z$59,Projection!$B$4:$B$59,"&gt;="&amp;(Assumptions!$B$4+20))/Discount!C24))</f>
        <v>15909.7289648044</v>
      </c>
      <c r="X21" s="12" t="n">
        <f aca="false">MAX(0,OwnFunds_SCR!B20-$A21*(IF(Projection!U4=0,0,(Projection!F4/Projection!U4)*SUMIFS(Projection!$AB$4:$AB$59,Projection!$B$4:$B$59,"&gt;="&amp;(Assumptions!$B$4+0))/Discount!C4)-SUMIFS(Projection!$Z$4:$Z$59,Projection!$B$4:$B$59,"&gt;="&amp;(Assumptions!$B$4+0))/Discount!C4))</f>
        <v>1643.18283904026</v>
      </c>
      <c r="Y21" s="12" t="n">
        <f aca="false">MAX(0,OwnFunds_SCR!C20-$A21*(IF(Projection!U9=0,0,(Projection!F9/Projection!U9)*SUMIFS(Projection!$AB$4:$AB$59,Projection!$B$4:$B$59,"&gt;="&amp;(Assumptions!$B$4+5))/Discount!C9)-SUMIFS(Projection!$Z$4:$Z$59,Projection!$B$4:$B$59,"&gt;="&amp;(Assumptions!$B$4+5))/Discount!C9))</f>
        <v>3563.70138350151</v>
      </c>
      <c r="Z21" s="12" t="n">
        <f aca="false">MAX(0,OwnFunds_SCR!D20-$A21*(IF(Projection!U14=0,0,(Projection!F14/Projection!U14)*SUMIFS(Projection!$AB$4:$AB$59,Projection!$B$4:$B$59,"&gt;="&amp;(Assumptions!$B$4+10))/Discount!C14)-SUMIFS(Projection!$Z$4:$Z$59,Projection!$B$4:$B$59,"&gt;="&amp;(Assumptions!$B$4+10))/Discount!C14))</f>
        <v>2807.74135399706</v>
      </c>
      <c r="AA21" s="12" t="n">
        <f aca="false">MAX(0,OwnFunds_SCR!E20-$A21*(IF(Projection!U19=0,0,(Projection!F19/Projection!U19)*SUMIFS(Projection!$AB$4:$AB$59,Projection!$B$4:$B$59,"&gt;="&amp;(Assumptions!$B$4+15))/Discount!C19)-SUMIFS(Projection!$Z$4:$Z$59,Projection!$B$4:$B$59,"&gt;="&amp;(Assumptions!$B$4+15))/Discount!C19))</f>
        <v>0</v>
      </c>
      <c r="AB21" s="12" t="n">
        <f aca="false">MAX(0,OwnFunds_SCR!F20-$A21*(IF(Projection!U24=0,0,(Projection!F24/Projection!U24)*SUMIFS(Projection!$AB$4:$AB$59,Projection!$B$4:$B$59,"&gt;="&amp;(Assumptions!$B$4+20))/Discount!C24)-SUMIFS(Projection!$Z$4:$Z$59,Projection!$B$4:$B$59,"&gt;="&amp;(Assumptions!$B$4+20))/Discount!C24))</f>
        <v>0</v>
      </c>
      <c r="AC21" s="12" t="n">
        <f aca="false">SQRT(S21^2+X21^2+OwnFunds_SCR!B21^2+2*Assumptions!$B$26*S21*X21+2*Assumptions!$B$27*S21*OwnFunds_SCR!B21+2*Assumptions!$B$28*X21*OwnFunds_SCR!B21)</f>
        <v>14918.1126122866</v>
      </c>
      <c r="AD21" s="12" t="n">
        <f aca="false">SQRT(T21^2+Y21^2+OwnFunds_SCR!C21^2+2*Assumptions!$B$26*T21*Y21+2*Assumptions!$B$27*T21*OwnFunds_SCR!C21+2*Assumptions!$B$28*Y21*OwnFunds_SCR!C21)</f>
        <v>17717.9162003291</v>
      </c>
      <c r="AE21" s="12" t="n">
        <f aca="false">SQRT(U21^2+Z21^2+OwnFunds_SCR!D21^2+2*Assumptions!$B$26*U21*Z21+2*Assumptions!$B$27*U21*OwnFunds_SCR!D21+2*Assumptions!$B$28*Z21*OwnFunds_SCR!D21)</f>
        <v>19287.7726563893</v>
      </c>
      <c r="AF21" s="12" t="n">
        <f aca="false">SQRT(V21^2+AA21^2+OwnFunds_SCR!E21^2+2*Assumptions!$B$26*V21*AA21+2*Assumptions!$B$27*V21*OwnFunds_SCR!E21+2*Assumptions!$B$28*AA21*OwnFunds_SCR!E21)</f>
        <v>18584.8360127642</v>
      </c>
      <c r="AG21" s="12" t="n">
        <f aca="false">SQRT(W21^2+AB21^2+OwnFunds_SCR!F21^2+2*Assumptions!$B$26*W21*AB21+2*Assumptions!$B$27*W21*OwnFunds_SCR!F21+2*Assumptions!$B$28*AB21*OwnFunds_SCR!F21)</f>
        <v>15983.5105361247</v>
      </c>
    </row>
    <row r="22" customFormat="false" ht="15" hidden="false" customHeight="true" outlineLevel="0" collapsed="false">
      <c r="B22" s="11"/>
    </row>
    <row r="23" customFormat="false" ht="15" hidden="false" customHeight="true" outlineLevel="0" collapsed="false">
      <c r="A23" s="6" t="s">
        <v>2429</v>
      </c>
      <c r="B23" s="28"/>
    </row>
    <row r="24" customFormat="false" ht="15" hidden="false" customHeight="true" outlineLevel="0" collapsed="false">
      <c r="A24" s="1" t="s">
        <v>2430</v>
      </c>
      <c r="B24" s="18" t="n">
        <f aca="false">Fairness!B3/Assumptions!$B$59-1</f>
        <v>-0.00534612846659499</v>
      </c>
    </row>
    <row r="25" customFormat="false" ht="15" hidden="false" customHeight="true" outlineLevel="0" collapsed="false">
      <c r="A25" s="7" t="s">
        <v>2431</v>
      </c>
      <c r="B25" s="12" t="n">
        <f aca="false">Frontier!B16</f>
        <v>37771.6729997947</v>
      </c>
    </row>
    <row r="26" customFormat="false" ht="15" hidden="false" customHeight="true" outlineLevel="0" collapsed="false">
      <c r="A26" s="1" t="s">
        <v>2432</v>
      </c>
      <c r="B26" s="18" t="n">
        <f aca="false">MIN(K4:K21)</f>
        <v>0.25</v>
      </c>
    </row>
    <row r="27" customFormat="false" ht="15" hidden="false" customHeight="true" outlineLevel="0" collapsed="false">
      <c r="A27" s="1" t="s">
        <v>2433</v>
      </c>
      <c r="B27" s="5" t="str">
        <f aca="false">IF(B26&lt;9,"yes","NO — requirement is still positive at a 40% uplift")</f>
        <v>yes</v>
      </c>
    </row>
    <row r="28" customFormat="false" ht="15" hidden="false" customHeight="true" outlineLevel="0" collapsed="false">
      <c r="A28" s="1" t="s">
        <v>2434</v>
      </c>
      <c r="B28" s="11" t="n">
        <f aca="false">IF(B26&lt;9,Fairness!B3/(1+B26),"n/a")</f>
        <v>0.716150787504052</v>
      </c>
    </row>
    <row r="29" customFormat="false" ht="15" hidden="false" customHeight="true" outlineLevel="0" collapsed="false">
      <c r="A29" s="3" t="s">
        <v>458</v>
      </c>
      <c r="B29" s="28" t="str">
        <f aca="false">IF(B25&gt;0,IF(OR(B26&gt;=9,B28&lt;0.9),"CONFIRMED — the product cannot be both consumer-fair and self-funding","not confirmed"),"not confirmed")</f>
        <v>CONFIRMED — the product cannot be both consumer-fair and self-funding</v>
      </c>
    </row>
    <row r="31" customFormat="false" ht="15" hidden="false" customHeight="true" outlineLevel="0" collapsed="false">
      <c r="A31" s="7" t="s">
        <v>2435</v>
      </c>
    </row>
    <row r="33" customFormat="false" ht="15" hidden="false" customHeight="true" outlineLevel="0" collapsed="false">
      <c r="A33" s="1" t="s">
        <v>2436</v>
      </c>
    </row>
    <row r="41" customFormat="false" ht="15" hidden="false" customHeight="true" outlineLevel="0" collapsed="false">
      <c r="A41" s="1" t="s">
        <v>2437</v>
      </c>
    </row>
    <row r="42" customFormat="false" ht="15" hidden="false" customHeight="true" outlineLevel="0" collapsed="false">
      <c r="A42" s="1" t="s">
        <v>2438</v>
      </c>
    </row>
    <row r="43" customFormat="false" ht="15" hidden="false" customHeight="true" outlineLevel="0" collapsed="false">
      <c r="A43" s="1" t="s">
        <v>2439</v>
      </c>
      <c r="B43" s="1" t="n">
        <f aca="false">Commission_Models!$B$172/Pricing!$B$14-1</f>
        <v>-0.00534612846659499</v>
      </c>
    </row>
    <row r="44" customFormat="false" ht="15" hidden="false" customHeight="true" outlineLevel="0" collapsed="false">
      <c r="A44" s="1" t="s">
        <v>2440</v>
      </c>
      <c r="B44" s="1" t="n">
        <f aca="false">Fairness!B3/Assumptions!$B$59-1</f>
        <v>-0.00534612846659499</v>
      </c>
    </row>
    <row r="45" customFormat="false" ht="15" hidden="false" customHeight="true" outlineLevel="0" collapsed="false">
      <c r="A45" s="1" t="s">
        <v>2441</v>
      </c>
      <c r="B45" s="1" t="n">
        <f aca="false">B43-B44</f>
        <v>0</v>
      </c>
    </row>
    <row r="46" customFormat="false" ht="15" hidden="false" customHeight="true" outlineLevel="0" collapsed="false">
      <c r="A46" s="1" t="s">
        <v>1147</v>
      </c>
      <c r="B46" s="1" t="str">
        <f aca="false">IF(ABS(B45)&lt;0.0000001,"PASS — the two routes to the fairness-binding uplift agree","FAIL — the two routes disagree")</f>
        <v>PASS — the two routes to the fairness-binding uplift agree</v>
      </c>
    </row>
    <row r="47" customFormat="false" ht="15" hidden="false" customHeight="true" outlineLevel="0" collapsed="false">
      <c r="A47" s="1" t="s">
        <v>2442</v>
      </c>
    </row>
    <row r="49" customFormat="false" ht="15" hidden="false" customHeight="true" outlineLevel="0" collapsed="false">
      <c r="A49" s="1" t="s">
        <v>2443</v>
      </c>
    </row>
    <row r="50" customFormat="false" ht="15" hidden="false" customHeight="true" outlineLevel="0" collapsed="false">
      <c r="A50" s="1" t="s">
        <v>2444</v>
      </c>
      <c r="B50" s="121" t="n">
        <f aca="false">I4</f>
        <v>36744.4760923207</v>
      </c>
    </row>
    <row r="51" customFormat="false" ht="15" hidden="false" customHeight="true" outlineLevel="0" collapsed="false">
      <c r="A51" s="1" t="s">
        <v>2445</v>
      </c>
      <c r="B51" s="72" t="n">
        <f aca="false">Frontier!B23</f>
        <v>36744.4760923207</v>
      </c>
    </row>
    <row r="52" customFormat="false" ht="15" hidden="false" customHeight="true" outlineLevel="0" collapsed="false">
      <c r="A52" s="1" t="s">
        <v>796</v>
      </c>
      <c r="B52" s="121" t="n">
        <f aca="false">B50-B51</f>
        <v>0</v>
      </c>
    </row>
    <row r="53" customFormat="false" ht="15" hidden="false" customHeight="true" outlineLevel="0" collapsed="false">
      <c r="A53" s="1" t="s">
        <v>1147</v>
      </c>
      <c r="B53" s="1" t="str">
        <f aca="false">IF(ABS(B52)&lt;0.01,"PASS — the curve reproduces the as-priced requirement at a zero uplift","FAIL — the u=0 column does not reproduce the as-priced requirement")</f>
        <v>PASS — the curve reproduces the as-priced requirement at a zero uplift</v>
      </c>
    </row>
    <row r="54" customFormat="false" ht="15" hidden="false" customHeight="true" outlineLevel="0" collapsed="false">
      <c r="A54" s="1" t="s">
        <v>2446</v>
      </c>
    </row>
    <row r="56" customFormat="false" ht="15" hidden="false" customHeight="true" outlineLevel="0" collapsed="false">
      <c r="A56" s="1" t="s">
        <v>2447</v>
      </c>
    </row>
    <row r="57" customFormat="false" ht="15" hidden="false" customHeight="true" outlineLevel="0" collapsed="false">
      <c r="A57" s="1" t="s">
        <v>2448</v>
      </c>
      <c r="B57" s="1" t="n">
        <f aca="false">MAX(I5-I4,I6-I5,I7-I6,I8-I7,I9-I8,I10-I9,I11-I10,I12-I11,I13-I12,I14-I13,I15-I14,I16-I15,I17-I16,I18-I17,I19-I18,I20-I19,I21-I20)</f>
        <v>0</v>
      </c>
    </row>
    <row r="58" customFormat="false" ht="15" hidden="false" customHeight="true" outlineLevel="0" collapsed="false">
      <c r="A58" s="1" t="s">
        <v>1147</v>
      </c>
      <c r="B58" s="1" t="str">
        <f aca="false">IF(B57&lt;=0.01,"PASS — the requirement decreases monotonically in the uplift, as stated at A31","FAIL — the requirement is not monotone")</f>
        <v>PASS — the requirement decreases monotonically in the uplift, as stated at A31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5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sheetData>
    <row r="1" customFormat="false" ht="15" hidden="false" customHeight="true" outlineLevel="0" collapsed="false">
      <c r="A1" s="1" t="s">
        <v>2449</v>
      </c>
    </row>
    <row r="2" customFormat="false" ht="15" hidden="false" customHeight="true" outlineLevel="0" collapsed="false">
      <c r="A2" s="1" t="s">
        <v>2450</v>
      </c>
    </row>
    <row r="3" customFormat="false" ht="15" hidden="false" customHeight="true" outlineLevel="0" collapsed="false">
      <c r="A3" s="1" t="s">
        <v>2451</v>
      </c>
    </row>
    <row r="4" customFormat="false" ht="15" hidden="false" customHeight="true" outlineLevel="0" collapsed="false">
      <c r="A4" s="1" t="s">
        <v>2452</v>
      </c>
    </row>
    <row r="6" customFormat="false" ht="15" hidden="false" customHeight="true" outlineLevel="0" collapsed="false">
      <c r="A6" s="1" t="s">
        <v>2453</v>
      </c>
    </row>
    <row r="7" customFormat="false" ht="15" hidden="false" customHeight="true" outlineLevel="0" collapsed="false">
      <c r="A7" s="1" t="s">
        <v>2454</v>
      </c>
      <c r="B7" s="1" t="s">
        <v>2455</v>
      </c>
      <c r="C7" s="1" t="s">
        <v>2456</v>
      </c>
      <c r="D7" s="1" t="s">
        <v>2457</v>
      </c>
      <c r="E7" s="1" t="s">
        <v>2458</v>
      </c>
      <c r="F7" s="1" t="s">
        <v>2459</v>
      </c>
      <c r="G7" s="1" t="s">
        <v>2460</v>
      </c>
    </row>
    <row r="8" customFormat="false" ht="15" hidden="false" customHeight="true" outlineLevel="0" collapsed="false">
      <c r="A8" s="1" t="s">
        <v>2461</v>
      </c>
      <c r="B8" s="1" t="s">
        <v>2462</v>
      </c>
      <c r="C8" s="1" t="s">
        <v>947</v>
      </c>
      <c r="D8" s="1" t="s">
        <v>2463</v>
      </c>
      <c r="E8" s="76" t="n">
        <f aca="false">Trajectory!B165</f>
        <v>8</v>
      </c>
      <c r="G8" s="1" t="s">
        <v>2464</v>
      </c>
    </row>
    <row r="9" customFormat="false" ht="15" hidden="false" customHeight="true" outlineLevel="0" collapsed="false">
      <c r="A9" s="1" t="s">
        <v>2465</v>
      </c>
      <c r="B9" s="1" t="s">
        <v>2466</v>
      </c>
      <c r="C9" s="1" t="s">
        <v>821</v>
      </c>
      <c r="D9" s="1" t="s">
        <v>2463</v>
      </c>
      <c r="E9" s="76" t="n">
        <f aca="false">Capital_M!B126</f>
        <v>10</v>
      </c>
      <c r="G9" s="1" t="s">
        <v>2464</v>
      </c>
    </row>
    <row r="10" customFormat="false" ht="15" hidden="false" customHeight="true" outlineLevel="0" collapsed="false">
      <c r="A10" s="1" t="s">
        <v>2467</v>
      </c>
      <c r="B10" s="1" t="s">
        <v>2468</v>
      </c>
      <c r="C10" s="1" t="s">
        <v>1107</v>
      </c>
      <c r="D10" s="1" t="s">
        <v>2469</v>
      </c>
      <c r="E10" s="72" t="n">
        <f aca="false">Commission_Models!B284</f>
        <v>251.872533851551</v>
      </c>
      <c r="G10" s="1" t="s">
        <v>2470</v>
      </c>
    </row>
    <row r="11" customFormat="false" ht="15" hidden="false" customHeight="true" outlineLevel="0" collapsed="false">
      <c r="A11" s="1" t="s">
        <v>2471</v>
      </c>
      <c r="B11" s="1" t="s">
        <v>2472</v>
      </c>
      <c r="C11" s="1" t="s">
        <v>1176</v>
      </c>
      <c r="D11" s="1" t="s">
        <v>2469</v>
      </c>
      <c r="E11" s="1" t="n">
        <f aca="false">Commission_Models!B542</f>
        <v>253.05471592609</v>
      </c>
      <c r="G11" s="1" t="s">
        <v>2470</v>
      </c>
    </row>
    <row r="12" customFormat="false" ht="15" hidden="false" customHeight="true" outlineLevel="0" collapsed="false">
      <c r="A12" s="1" t="s">
        <v>2473</v>
      </c>
      <c r="B12" s="1" t="s">
        <v>2474</v>
      </c>
      <c r="C12" s="1" t="s">
        <v>2475</v>
      </c>
      <c r="D12" s="1" t="s">
        <v>2463</v>
      </c>
      <c r="E12" s="1" t="n">
        <f aca="false">Sensitivities!G91</f>
        <v>15.1260624641647</v>
      </c>
      <c r="G12" s="1" t="s">
        <v>2470</v>
      </c>
    </row>
    <row r="13" customFormat="false" ht="15" hidden="false" customHeight="true" outlineLevel="0" collapsed="false">
      <c r="A13" s="1" t="s">
        <v>2476</v>
      </c>
      <c r="B13" s="1" t="s">
        <v>2477</v>
      </c>
      <c r="C13" s="1" t="s">
        <v>1603</v>
      </c>
      <c r="D13" s="1" t="s">
        <v>2478</v>
      </c>
      <c r="E13" s="74" t="n">
        <f aca="false">Capital_Cell!B77</f>
        <v>20498.8328088221</v>
      </c>
      <c r="F13" s="1" t="s">
        <v>2479</v>
      </c>
      <c r="G13" s="1" t="s">
        <v>2480</v>
      </c>
    </row>
    <row r="14" customFormat="false" ht="15" hidden="false" customHeight="true" outlineLevel="0" collapsed="false">
      <c r="A14" s="1" t="s">
        <v>2481</v>
      </c>
      <c r="B14" s="1" t="s">
        <v>2482</v>
      </c>
      <c r="C14" s="1" t="s">
        <v>582</v>
      </c>
      <c r="D14" s="1" t="s">
        <v>2463</v>
      </c>
      <c r="E14" s="73" t="n">
        <f aca="false">Cohort_Survival!G71</f>
        <v>24.0878991126351</v>
      </c>
      <c r="F14" s="1" t="s">
        <v>2483</v>
      </c>
      <c r="G14" s="1" t="s">
        <v>2480</v>
      </c>
    </row>
    <row r="15" customFormat="false" ht="15" hidden="false" customHeight="true" outlineLevel="0" collapsed="false">
      <c r="A15" s="1" t="s">
        <v>2484</v>
      </c>
      <c r="B15" s="1" t="s">
        <v>2485</v>
      </c>
      <c r="C15" s="1" t="s">
        <v>2187</v>
      </c>
      <c r="D15" s="1" t="s">
        <v>2486</v>
      </c>
      <c r="E15" s="72" t="n">
        <f aca="false">Reconciliation!B56</f>
        <v>18222.3834004509</v>
      </c>
      <c r="F15" s="1" t="s">
        <v>2487</v>
      </c>
      <c r="G15" s="1" t="s">
        <v>2480</v>
      </c>
    </row>
    <row r="16" customFormat="false" ht="15" hidden="false" customHeight="true" outlineLevel="0" collapsed="false">
      <c r="A16" s="1" t="s">
        <v>353</v>
      </c>
      <c r="B16" s="1" t="s">
        <v>2488</v>
      </c>
      <c r="C16" s="1" t="s">
        <v>2115</v>
      </c>
      <c r="D16" s="1" t="s">
        <v>2463</v>
      </c>
      <c r="E16" s="72" t="n">
        <f aca="false">Frontier!B23</f>
        <v>36744.4760923207</v>
      </c>
      <c r="F16" s="1" t="s">
        <v>2489</v>
      </c>
      <c r="G16" s="1" t="s">
        <v>2480</v>
      </c>
    </row>
    <row r="17" customFormat="false" ht="15" hidden="false" customHeight="true" outlineLevel="0" collapsed="false">
      <c r="A17" s="1" t="s">
        <v>2490</v>
      </c>
      <c r="B17" s="1" t="s">
        <v>2491</v>
      </c>
      <c r="C17" s="1" t="s">
        <v>946</v>
      </c>
      <c r="D17" s="1" t="s">
        <v>2469</v>
      </c>
      <c r="E17" s="74" t="n">
        <f aca="false">Trajectory!B164</f>
        <v>36779.6909834719</v>
      </c>
      <c r="F17" s="1" t="s">
        <v>2492</v>
      </c>
      <c r="G17" s="1" t="s">
        <v>2480</v>
      </c>
    </row>
    <row r="18" customFormat="false" ht="15" hidden="false" customHeight="true" outlineLevel="0" collapsed="false">
      <c r="A18" s="1" t="s">
        <v>2493</v>
      </c>
      <c r="B18" s="1" t="s">
        <v>2494</v>
      </c>
      <c r="C18" s="1" t="s">
        <v>820</v>
      </c>
      <c r="D18" s="1" t="s">
        <v>2469</v>
      </c>
      <c r="E18" s="74" t="n">
        <f aca="false">Capital_M!B125</f>
        <v>36317.9168989264</v>
      </c>
      <c r="F18" s="1" t="s">
        <v>2495</v>
      </c>
      <c r="G18" s="1" t="s">
        <v>2480</v>
      </c>
    </row>
    <row r="19" customFormat="false" ht="15" hidden="false" customHeight="true" outlineLevel="0" collapsed="false">
      <c r="A19" s="1" t="s">
        <v>2496</v>
      </c>
      <c r="B19" s="1" t="s">
        <v>2497</v>
      </c>
      <c r="C19" s="1" t="s">
        <v>378</v>
      </c>
      <c r="D19" s="1" t="s">
        <v>2463</v>
      </c>
      <c r="E19" s="1" t="n">
        <f aca="false">Assumptions!B6</f>
        <v>15</v>
      </c>
      <c r="G19" s="1" t="s">
        <v>2464</v>
      </c>
    </row>
    <row r="20" customFormat="false" ht="15" hidden="false" customHeight="true" outlineLevel="0" collapsed="false">
      <c r="A20" s="1" t="s">
        <v>2498</v>
      </c>
      <c r="B20" s="1" t="s">
        <v>2499</v>
      </c>
      <c r="C20" s="1" t="s">
        <v>1052</v>
      </c>
      <c r="D20" s="1" t="s">
        <v>2486</v>
      </c>
      <c r="E20" s="74" t="n">
        <f aca="false">Commission_Models!B172</f>
        <v>12250.222441914</v>
      </c>
      <c r="F20" s="1" t="s">
        <v>2500</v>
      </c>
      <c r="G20" s="1" t="s">
        <v>2480</v>
      </c>
    </row>
    <row r="21" customFormat="false" ht="15" hidden="false" customHeight="true" outlineLevel="0" collapsed="false">
      <c r="A21" s="1" t="s">
        <v>2501</v>
      </c>
      <c r="B21" s="1" t="s">
        <v>2502</v>
      </c>
      <c r="C21" s="1" t="s">
        <v>2087</v>
      </c>
      <c r="D21" s="1" t="s">
        <v>2463</v>
      </c>
      <c r="E21" s="73" t="n">
        <f aca="false">Fairness!B3</f>
        <v>0.895188484380065</v>
      </c>
      <c r="F21" s="1" t="s">
        <v>2503</v>
      </c>
      <c r="G21" s="1" t="s">
        <v>2480</v>
      </c>
    </row>
    <row r="22" customFormat="false" ht="15" hidden="false" customHeight="true" outlineLevel="0" collapsed="false">
      <c r="A22" s="1" t="s">
        <v>2504</v>
      </c>
      <c r="B22" s="1" t="s">
        <v>2505</v>
      </c>
      <c r="C22" s="1" t="s">
        <v>2184</v>
      </c>
      <c r="D22" s="1" t="s">
        <v>2486</v>
      </c>
      <c r="E22" s="72" t="n">
        <f aca="false">Reconciliation!B53</f>
        <v>22387.9808807874</v>
      </c>
      <c r="F22" s="1" t="s">
        <v>2506</v>
      </c>
      <c r="G22" s="1" t="s">
        <v>2480</v>
      </c>
    </row>
    <row r="23" customFormat="false" ht="15" hidden="false" customHeight="true" outlineLevel="0" collapsed="false">
      <c r="A23" s="1" t="s">
        <v>2507</v>
      </c>
      <c r="B23" s="1" t="s">
        <v>2508</v>
      </c>
      <c r="C23" s="1" t="s">
        <v>2063</v>
      </c>
      <c r="D23" s="1" t="s">
        <v>2486</v>
      </c>
      <c r="E23" s="72" t="n">
        <f aca="false">OwnFunds_SCR!B7</f>
        <v>3913.27258476668</v>
      </c>
      <c r="F23" s="1" t="s">
        <v>2509</v>
      </c>
      <c r="G23" s="1" t="s">
        <v>2480</v>
      </c>
    </row>
    <row r="24" customFormat="false" ht="15" hidden="false" customHeight="true" outlineLevel="0" collapsed="false">
      <c r="A24" s="1" t="s">
        <v>2510</v>
      </c>
      <c r="B24" s="1" t="s">
        <v>2511</v>
      </c>
      <c r="C24" s="1" t="s">
        <v>2063</v>
      </c>
      <c r="D24" s="1" t="s">
        <v>2486</v>
      </c>
      <c r="E24" s="72" t="n">
        <f aca="false">OwnFunds_SCR!E7</f>
        <v>6192.44791762077</v>
      </c>
      <c r="F24" s="1" t="s">
        <v>2512</v>
      </c>
      <c r="G24" s="1" t="s">
        <v>2480</v>
      </c>
    </row>
    <row r="25" customFormat="false" ht="15" hidden="false" customHeight="true" outlineLevel="0" collapsed="false">
      <c r="A25" s="1" t="s">
        <v>2513</v>
      </c>
      <c r="B25" s="1" t="s">
        <v>2514</v>
      </c>
      <c r="C25" s="1" t="s">
        <v>1559</v>
      </c>
      <c r="D25" s="1" t="s">
        <v>2463</v>
      </c>
      <c r="E25" s="76" t="n">
        <f aca="false">Panel_Reserving!B115</f>
        <v>27</v>
      </c>
      <c r="G25" s="1" t="s">
        <v>2464</v>
      </c>
    </row>
    <row r="26" customFormat="false" ht="15" hidden="false" customHeight="true" outlineLevel="0" collapsed="false">
      <c r="A26" s="1" t="s">
        <v>2515</v>
      </c>
      <c r="B26" s="1" t="s">
        <v>2516</v>
      </c>
      <c r="C26" s="1" t="s">
        <v>1643</v>
      </c>
      <c r="D26" s="1" t="s">
        <v>2486</v>
      </c>
      <c r="E26" s="72" t="n">
        <f aca="false">Capital_Panel!B1738</f>
        <v>18577.0756328223</v>
      </c>
      <c r="F26" s="1" t="s">
        <v>2479</v>
      </c>
      <c r="G26" s="1" t="s">
        <v>2480</v>
      </c>
    </row>
    <row r="27" customFormat="false" ht="15" hidden="false" customHeight="true" outlineLevel="0" collapsed="false">
      <c r="A27" s="1" t="s">
        <v>2517</v>
      </c>
      <c r="B27" s="1" t="s">
        <v>2518</v>
      </c>
      <c r="C27" s="1" t="s">
        <v>1644</v>
      </c>
      <c r="D27" s="1" t="s">
        <v>2486</v>
      </c>
      <c r="E27" s="72" t="n">
        <f aca="false">Capital_Panel!B1739</f>
        <v>20498.8328088221</v>
      </c>
      <c r="F27" s="1" t="s">
        <v>2479</v>
      </c>
      <c r="G27" s="1" t="s">
        <v>2480</v>
      </c>
    </row>
    <row r="28" customFormat="false" ht="15" hidden="false" customHeight="true" outlineLevel="0" collapsed="false">
      <c r="A28" s="1" t="s">
        <v>2519</v>
      </c>
      <c r="B28" s="1" t="s">
        <v>2520</v>
      </c>
      <c r="C28" s="1" t="s">
        <v>1640</v>
      </c>
      <c r="D28" s="1" t="s">
        <v>2486</v>
      </c>
      <c r="E28" s="72" t="n">
        <f aca="false">Capital_Panel!B1735</f>
        <v>23250.7785519585</v>
      </c>
      <c r="F28" s="1" t="s">
        <v>2521</v>
      </c>
      <c r="G28" s="1" t="s">
        <v>2480</v>
      </c>
    </row>
    <row r="29" customFormat="false" ht="15" hidden="false" customHeight="true" outlineLevel="0" collapsed="false">
      <c r="A29" s="1" t="s">
        <v>2522</v>
      </c>
      <c r="B29" s="1" t="s">
        <v>2523</v>
      </c>
      <c r="C29" s="1" t="s">
        <v>1641</v>
      </c>
      <c r="D29" s="1" t="s">
        <v>2486</v>
      </c>
      <c r="E29" s="72" t="n">
        <f aca="false">Capital_Panel!B1736</f>
        <v>14154.1795633064</v>
      </c>
      <c r="F29" s="1" t="s">
        <v>2521</v>
      </c>
      <c r="G29" s="1" t="s">
        <v>2480</v>
      </c>
    </row>
    <row r="30" customFormat="false" ht="15" hidden="false" customHeight="true" outlineLevel="0" collapsed="false">
      <c r="A30" s="1" t="s">
        <v>337</v>
      </c>
      <c r="B30" s="1" t="s">
        <v>2524</v>
      </c>
      <c r="D30" s="1" t="s">
        <v>2463</v>
      </c>
      <c r="E30" s="73" t="n">
        <f aca="false">Projection!F19</f>
        <v>0.687680981645694</v>
      </c>
      <c r="F30" s="1" t="s">
        <v>2525</v>
      </c>
      <c r="G30" s="1" t="s">
        <v>2480</v>
      </c>
    </row>
    <row r="31" customFormat="false" ht="15" hidden="false" customHeight="true" outlineLevel="0" collapsed="false">
      <c r="A31" s="1" t="s">
        <v>2526</v>
      </c>
      <c r="B31" s="1" t="s">
        <v>2527</v>
      </c>
      <c r="C31" s="1" t="s">
        <v>2089</v>
      </c>
      <c r="D31" s="1" t="s">
        <v>2463</v>
      </c>
      <c r="E31" s="121" t="n">
        <f aca="false">Fairness!B4</f>
        <v>0.0307901642785255</v>
      </c>
      <c r="F31" s="1" t="s">
        <v>2528</v>
      </c>
      <c r="G31" s="1" t="s">
        <v>2480</v>
      </c>
    </row>
    <row r="32" customFormat="false" ht="15" hidden="false" customHeight="true" outlineLevel="0" collapsed="false">
      <c r="A32" s="1" t="s">
        <v>340</v>
      </c>
      <c r="B32" s="1" t="s">
        <v>2529</v>
      </c>
      <c r="C32" s="1" t="s">
        <v>2031</v>
      </c>
      <c r="D32" s="1" t="s">
        <v>2463</v>
      </c>
      <c r="E32" s="72" t="n">
        <f aca="false">Pricing!B14</f>
        <v>12316.0657114102</v>
      </c>
      <c r="F32" s="1" t="s">
        <v>2530</v>
      </c>
      <c r="G32" s="1" t="s">
        <v>2480</v>
      </c>
    </row>
    <row r="33" customFormat="false" ht="15" hidden="false" customHeight="true" outlineLevel="0" collapsed="false">
      <c r="A33" s="1" t="s">
        <v>287</v>
      </c>
      <c r="B33" s="1" t="s">
        <v>2531</v>
      </c>
      <c r="C33" s="1" t="s">
        <v>773</v>
      </c>
      <c r="D33" s="1" t="s">
        <v>2532</v>
      </c>
      <c r="E33" s="74" t="n">
        <f aca="false">Pricing_M!B13</f>
        <v>1003.26394475892</v>
      </c>
      <c r="F33" s="1" t="s">
        <v>2533</v>
      </c>
      <c r="G33" s="1" t="s">
        <v>2480</v>
      </c>
    </row>
    <row r="34" customFormat="false" ht="15" hidden="false" customHeight="true" outlineLevel="0" collapsed="false">
      <c r="A34" s="1" t="s">
        <v>309</v>
      </c>
      <c r="B34" s="1" t="s">
        <v>2534</v>
      </c>
      <c r="C34" s="1" t="s">
        <v>1392</v>
      </c>
      <c r="D34" s="1" t="s">
        <v>2463</v>
      </c>
      <c r="E34" s="73" t="n">
        <f aca="false">Adequacy!B179</f>
        <v>0.544995788809107</v>
      </c>
      <c r="F34" s="1" t="s">
        <v>2535</v>
      </c>
      <c r="G34" s="1" t="s">
        <v>2480</v>
      </c>
    </row>
    <row r="35" customFormat="false" ht="15" hidden="false" customHeight="true" outlineLevel="0" collapsed="false">
      <c r="A35" s="1" t="s">
        <v>2536</v>
      </c>
      <c r="B35" s="1" t="s">
        <v>2537</v>
      </c>
      <c r="C35" s="1" t="s">
        <v>2183</v>
      </c>
      <c r="D35" s="1" t="s">
        <v>2486</v>
      </c>
      <c r="E35" s="72" t="n">
        <f aca="false">Reconciliation!B52</f>
        <v>17219.8354156443</v>
      </c>
      <c r="F35" s="1" t="s">
        <v>2538</v>
      </c>
      <c r="G35" s="1" t="s">
        <v>2480</v>
      </c>
    </row>
    <row r="36" customFormat="false" ht="15" hidden="false" customHeight="true" outlineLevel="0" collapsed="false">
      <c r="A36" s="1" t="s">
        <v>2539</v>
      </c>
      <c r="B36" s="1" t="s">
        <v>2540</v>
      </c>
      <c r="C36" s="1" t="s">
        <v>2081</v>
      </c>
      <c r="D36" s="1" t="s">
        <v>2486</v>
      </c>
      <c r="E36" s="72" t="n">
        <f aca="false">OwnFunds_SCR!B30</f>
        <v>20767.4548564818</v>
      </c>
      <c r="F36" s="1" t="s">
        <v>2541</v>
      </c>
      <c r="G36" s="1" t="s">
        <v>2480</v>
      </c>
    </row>
    <row r="37" customFormat="false" ht="15" hidden="false" customHeight="true" outlineLevel="0" collapsed="false">
      <c r="A37" s="1" t="s">
        <v>2542</v>
      </c>
      <c r="B37" s="1" t="s">
        <v>2543</v>
      </c>
      <c r="C37" s="1" t="s">
        <v>2185</v>
      </c>
      <c r="D37" s="1" t="s">
        <v>2544</v>
      </c>
      <c r="E37" s="74" t="n">
        <f aca="false">Reconciliation!B54</f>
        <v>36.7796909834719</v>
      </c>
      <c r="F37" s="1" t="s">
        <v>2545</v>
      </c>
      <c r="G37" s="1" t="s">
        <v>2480</v>
      </c>
    </row>
    <row r="38" customFormat="false" ht="15" hidden="false" customHeight="true" outlineLevel="0" collapsed="false">
      <c r="A38" s="1" t="s">
        <v>2546</v>
      </c>
      <c r="B38" s="1" t="s">
        <v>2547</v>
      </c>
      <c r="C38" s="1" t="s">
        <v>2076</v>
      </c>
      <c r="D38" s="1" t="s">
        <v>2463</v>
      </c>
      <c r="E38" s="72" t="n">
        <f aca="false">OwnFunds_SCR!D23</f>
        <v>19457.0144705602</v>
      </c>
      <c r="F38" s="1" t="s">
        <v>2548</v>
      </c>
      <c r="G38" s="1" t="s">
        <v>2480</v>
      </c>
    </row>
    <row r="39" customFormat="false" ht="15" hidden="false" customHeight="true" outlineLevel="0" collapsed="false">
      <c r="A39" s="1" t="s">
        <v>306</v>
      </c>
      <c r="B39" s="1" t="s">
        <v>2549</v>
      </c>
      <c r="C39" s="1" t="s">
        <v>1274</v>
      </c>
      <c r="D39" s="1" t="s">
        <v>2463</v>
      </c>
      <c r="E39" s="116" t="n">
        <f aca="false">Mutualisation!B41</f>
        <v>0.242246416778097</v>
      </c>
      <c r="F39" s="1" t="s">
        <v>2550</v>
      </c>
      <c r="G39" s="1" t="s">
        <v>2480</v>
      </c>
    </row>
    <row r="41" customFormat="false" ht="15" hidden="false" customHeight="true" outlineLevel="0" collapsed="false">
      <c r="A41" s="1" t="s">
        <v>2551</v>
      </c>
    </row>
    <row r="42" customFormat="false" ht="15" hidden="false" customHeight="true" outlineLevel="0" collapsed="false">
      <c r="A42" s="1" t="s">
        <v>2454</v>
      </c>
      <c r="B42" s="1" t="s">
        <v>2455</v>
      </c>
      <c r="C42" s="1" t="s">
        <v>2552</v>
      </c>
      <c r="D42" s="1" t="s">
        <v>2458</v>
      </c>
    </row>
    <row r="43" customFormat="false" ht="15" hidden="false" customHeight="true" outlineLevel="0" collapsed="false">
      <c r="A43" s="1" t="s">
        <v>323</v>
      </c>
      <c r="B43" s="1" t="s">
        <v>2553</v>
      </c>
      <c r="C43" s="1" t="s">
        <v>1690</v>
      </c>
      <c r="D43" s="75" t="n">
        <f aca="false">Surface_Engine!B304</f>
        <v>0</v>
      </c>
    </row>
    <row r="44" customFormat="false" ht="15" hidden="false" customHeight="true" outlineLevel="0" collapsed="false">
      <c r="A44" s="1" t="s">
        <v>2554</v>
      </c>
      <c r="B44" s="1" t="s">
        <v>2555</v>
      </c>
      <c r="C44" s="1" t="s">
        <v>1146</v>
      </c>
      <c r="D44" s="1" t="n">
        <f aca="false">Commission_Models!B388</f>
        <v>0</v>
      </c>
    </row>
    <row r="45" customFormat="false" ht="15" hidden="false" customHeight="true" outlineLevel="0" collapsed="false">
      <c r="A45" s="1" t="s">
        <v>2556</v>
      </c>
      <c r="B45" s="1" t="s">
        <v>2557</v>
      </c>
      <c r="C45" s="1" t="s">
        <v>796</v>
      </c>
      <c r="D45" s="74" t="n">
        <f aca="false">Capital_Cell!B85</f>
        <v>5.28241651949065</v>
      </c>
    </row>
    <row r="46" customFormat="false" ht="15" hidden="false" customHeight="true" outlineLevel="0" collapsed="false">
      <c r="A46" s="1" t="s">
        <v>272</v>
      </c>
      <c r="B46" s="1" t="s">
        <v>2558</v>
      </c>
      <c r="C46" s="1" t="s">
        <v>549</v>
      </c>
      <c r="D46" s="75" t="n">
        <f aca="false">CMI_Projection!B153</f>
        <v>4.27121694339155E-008</v>
      </c>
    </row>
    <row r="47" customFormat="false" ht="15" hidden="false" customHeight="true" outlineLevel="0" collapsed="false">
      <c r="A47" s="1" t="s">
        <v>2559</v>
      </c>
      <c r="B47" s="1" t="s">
        <v>2560</v>
      </c>
      <c r="C47" s="1" t="s">
        <v>457</v>
      </c>
      <c r="D47" s="75" t="n">
        <f aca="false">Assumptions!B64</f>
        <v>4.27121694339155E-008</v>
      </c>
    </row>
    <row r="48" customFormat="false" ht="15" hidden="false" customHeight="true" outlineLevel="0" collapsed="false">
      <c r="A48" s="1" t="s">
        <v>2561</v>
      </c>
      <c r="B48" s="1" t="s">
        <v>2562</v>
      </c>
      <c r="C48" s="1" t="s">
        <v>2448</v>
      </c>
      <c r="D48" s="1" t="n">
        <f aca="false">Frontier_Curve!B57</f>
        <v>0</v>
      </c>
    </row>
    <row r="49" customFormat="false" ht="15" hidden="false" customHeight="true" outlineLevel="0" collapsed="false">
      <c r="A49" s="1" t="s">
        <v>2563</v>
      </c>
      <c r="B49" s="1" t="s">
        <v>2564</v>
      </c>
      <c r="C49" s="1" t="s">
        <v>2441</v>
      </c>
      <c r="D49" s="1" t="n">
        <f aca="false">Frontier_Curve!B45</f>
        <v>0</v>
      </c>
    </row>
    <row r="50" customFormat="false" ht="15" hidden="false" customHeight="true" outlineLevel="0" collapsed="false">
      <c r="A50" s="1" t="s">
        <v>2565</v>
      </c>
      <c r="B50" s="1" t="s">
        <v>2566</v>
      </c>
      <c r="C50" s="1" t="s">
        <v>796</v>
      </c>
      <c r="D50" s="121" t="n">
        <f aca="false">Frontier_Curve!B52</f>
        <v>0</v>
      </c>
    </row>
    <row r="51" customFormat="false" ht="15" hidden="false" customHeight="true" outlineLevel="0" collapsed="false">
      <c r="A51" s="1" t="s">
        <v>2567</v>
      </c>
      <c r="B51" s="1" t="s">
        <v>2568</v>
      </c>
      <c r="C51" s="1" t="s">
        <v>587</v>
      </c>
      <c r="D51" s="75" t="n">
        <f aca="false">Cohort_Survival!B78</f>
        <v>0</v>
      </c>
    </row>
    <row r="52" customFormat="false" ht="15" hidden="false" customHeight="true" outlineLevel="0" collapsed="false">
      <c r="A52" s="1" t="s">
        <v>2569</v>
      </c>
      <c r="B52" s="1" t="s">
        <v>2570</v>
      </c>
      <c r="C52" s="1" t="s">
        <v>796</v>
      </c>
      <c r="D52" s="1" t="n">
        <f aca="false">Sensitivities!B185</f>
        <v>0</v>
      </c>
    </row>
    <row r="53" customFormat="false" ht="15" hidden="false" customHeight="true" outlineLevel="0" collapsed="false">
      <c r="A53" s="1" t="s">
        <v>2571</v>
      </c>
      <c r="B53" s="1" t="s">
        <v>2572</v>
      </c>
      <c r="C53" s="1" t="s">
        <v>1896</v>
      </c>
      <c r="D53" s="1" t="n">
        <f aca="false">Sensitivities!B189</f>
        <v>2.91038304567337E-011</v>
      </c>
    </row>
    <row r="54" customFormat="false" ht="15" hidden="false" customHeight="true" outlineLevel="0" collapsed="false">
      <c r="A54" s="1" t="s">
        <v>295</v>
      </c>
      <c r="B54" s="1" t="s">
        <v>2573</v>
      </c>
      <c r="C54" s="1" t="s">
        <v>866</v>
      </c>
      <c r="D54" s="75" t="n">
        <f aca="false">Validation_M!B9</f>
        <v>0</v>
      </c>
    </row>
    <row r="55" customFormat="false" ht="15" hidden="false" customHeight="true" outlineLevel="0" collapsed="false">
      <c r="A55" s="1" t="s">
        <v>2574</v>
      </c>
      <c r="B55" s="1" t="s">
        <v>2575</v>
      </c>
      <c r="C55" s="1" t="s">
        <v>796</v>
      </c>
      <c r="D55" s="75" t="n">
        <f aca="false">Capital_Panel!B1745</f>
        <v>0</v>
      </c>
    </row>
    <row r="56" customFormat="false" ht="15" hidden="false" customHeight="true" outlineLevel="0" collapsed="false">
      <c r="A56" s="1" t="s">
        <v>2576</v>
      </c>
      <c r="B56" s="1" t="s">
        <v>2577</v>
      </c>
      <c r="C56" s="1" t="s">
        <v>796</v>
      </c>
      <c r="D56" s="75" t="n">
        <f aca="false">Panel_Reserving!B130</f>
        <v>-4.11189638672704E-005</v>
      </c>
    </row>
    <row r="57" customFormat="false" ht="15" hidden="false" customHeight="true" outlineLevel="0" collapsed="false">
      <c r="A57" s="1" t="s">
        <v>282</v>
      </c>
      <c r="B57" s="1" t="s">
        <v>2578</v>
      </c>
      <c r="C57" s="1" t="s">
        <v>681</v>
      </c>
      <c r="D57" s="75" t="n">
        <f aca="false">Mortality!B64</f>
        <v>0</v>
      </c>
    </row>
    <row r="58" customFormat="false" ht="15" hidden="false" customHeight="true" outlineLevel="0" collapsed="false">
      <c r="A58" s="1" t="s">
        <v>2579</v>
      </c>
      <c r="B58" s="1" t="s">
        <v>2580</v>
      </c>
      <c r="C58" s="1" t="s">
        <v>1171</v>
      </c>
      <c r="D58" s="1" t="n">
        <f aca="false">Commission_Models!B533</f>
        <v>0</v>
      </c>
    </row>
    <row r="60" customFormat="false" ht="15" hidden="false" customHeight="true" outlineLevel="0" collapsed="false">
      <c r="A60" s="1" t="s">
        <v>2581</v>
      </c>
    </row>
    <row r="61" customFormat="false" ht="15" hidden="false" customHeight="true" outlineLevel="0" collapsed="false">
      <c r="A61" s="1" t="s">
        <v>255</v>
      </c>
      <c r="B61" s="1" t="s">
        <v>2582</v>
      </c>
      <c r="C61" s="1" t="s">
        <v>2583</v>
      </c>
      <c r="D61" s="1" t="s">
        <v>256</v>
      </c>
      <c r="E61" s="1" t="s">
        <v>257</v>
      </c>
    </row>
    <row r="62" customFormat="false" ht="15" hidden="false" customHeight="true" outlineLevel="0" collapsed="false">
      <c r="A62" s="1" t="s">
        <v>1</v>
      </c>
      <c r="B62" s="1" t="n">
        <v>1</v>
      </c>
      <c r="C62" s="1" t="s">
        <v>2584</v>
      </c>
      <c r="D62" s="1" t="n">
        <v>110</v>
      </c>
      <c r="E62" s="1" t="n">
        <v>120</v>
      </c>
    </row>
    <row r="63" customFormat="false" ht="15" hidden="false" customHeight="true" outlineLevel="0" collapsed="false">
      <c r="A63" s="1" t="s">
        <v>1</v>
      </c>
      <c r="B63" s="1" t="n">
        <v>8</v>
      </c>
      <c r="C63" s="1" t="s">
        <v>8</v>
      </c>
      <c r="D63" s="1" t="n">
        <v>110</v>
      </c>
      <c r="E63" s="1" t="n">
        <v>120</v>
      </c>
    </row>
    <row r="64" customFormat="false" ht="15" hidden="false" customHeight="true" outlineLevel="0" collapsed="false">
      <c r="A64" s="1" t="s">
        <v>1</v>
      </c>
      <c r="B64" s="1" t="n">
        <v>9</v>
      </c>
      <c r="C64" s="1" t="s">
        <v>9</v>
      </c>
      <c r="D64" s="1" t="n">
        <v>110</v>
      </c>
      <c r="E64" s="1" t="n">
        <v>120</v>
      </c>
    </row>
    <row r="65" customFormat="false" ht="15" hidden="false" customHeight="true" outlineLevel="0" collapsed="false">
      <c r="A65" s="1" t="s">
        <v>1</v>
      </c>
      <c r="B65" s="1" t="n">
        <v>15</v>
      </c>
      <c r="C65" s="1" t="s">
        <v>19</v>
      </c>
      <c r="D65" s="1" t="n">
        <v>110</v>
      </c>
      <c r="E65" s="1" t="n">
        <v>120</v>
      </c>
    </row>
    <row r="66" customFormat="false" ht="15" hidden="false" customHeight="true" outlineLevel="0" collapsed="false">
      <c r="A66" s="1" t="s">
        <v>1</v>
      </c>
      <c r="B66" s="1" t="n">
        <v>50</v>
      </c>
      <c r="C66" s="1" t="s">
        <v>108</v>
      </c>
      <c r="D66" s="1" t="n">
        <v>110</v>
      </c>
      <c r="E66" s="1" t="n">
        <v>120</v>
      </c>
    </row>
    <row r="67" customFormat="false" ht="15" hidden="false" customHeight="true" outlineLevel="0" collapsed="false">
      <c r="A67" s="1" t="s">
        <v>261</v>
      </c>
      <c r="B67" s="1" t="n">
        <v>1</v>
      </c>
      <c r="C67" s="1" t="s">
        <v>2585</v>
      </c>
      <c r="D67" s="1" t="n">
        <v>32</v>
      </c>
      <c r="E67" s="1" t="n">
        <v>42</v>
      </c>
    </row>
    <row r="68" customFormat="false" ht="15" hidden="false" customHeight="true" outlineLevel="0" collapsed="false">
      <c r="A68" s="1" t="s">
        <v>261</v>
      </c>
      <c r="B68" s="1" t="n">
        <v>9</v>
      </c>
      <c r="C68" s="1" t="s">
        <v>229</v>
      </c>
      <c r="D68" s="1" t="n">
        <v>32</v>
      </c>
      <c r="E68" s="1" t="n">
        <v>42</v>
      </c>
    </row>
    <row r="69" customFormat="false" ht="15" hidden="false" customHeight="true" outlineLevel="0" collapsed="false">
      <c r="A69" s="1" t="s">
        <v>2586</v>
      </c>
      <c r="B69" s="1" t="n">
        <v>1</v>
      </c>
      <c r="C69" s="1" t="s">
        <v>2587</v>
      </c>
    </row>
    <row r="70" customFormat="false" ht="15" hidden="false" customHeight="true" outlineLevel="0" collapsed="false">
      <c r="A70" s="1" t="s">
        <v>2586</v>
      </c>
      <c r="B70" s="1" t="n">
        <v>7</v>
      </c>
      <c r="C70" s="1" t="s">
        <v>261</v>
      </c>
    </row>
    <row r="71" customFormat="false" ht="15" hidden="false" customHeight="true" outlineLevel="0" collapsed="false">
      <c r="A71" s="1" t="s">
        <v>263</v>
      </c>
      <c r="B71" s="1" t="n">
        <v>1</v>
      </c>
      <c r="C71" s="1" t="s">
        <v>2588</v>
      </c>
      <c r="D71" s="1" t="n">
        <v>65</v>
      </c>
      <c r="E71" s="1" t="n">
        <v>75</v>
      </c>
    </row>
    <row r="72" customFormat="false" ht="15" hidden="false" customHeight="true" outlineLevel="0" collapsed="false">
      <c r="A72" s="1" t="s">
        <v>263</v>
      </c>
      <c r="B72" s="1" t="n">
        <v>61</v>
      </c>
      <c r="C72" s="1" t="s">
        <v>454</v>
      </c>
      <c r="D72" s="1" t="n">
        <v>65</v>
      </c>
      <c r="E72" s="1" t="n">
        <v>75</v>
      </c>
    </row>
    <row r="73" customFormat="false" ht="15" hidden="false" customHeight="true" outlineLevel="0" collapsed="false">
      <c r="A73" s="1" t="s">
        <v>266</v>
      </c>
      <c r="B73" s="1" t="n">
        <v>1</v>
      </c>
      <c r="C73" s="1" t="s">
        <v>2589</v>
      </c>
      <c r="D73" s="1" t="n">
        <v>57</v>
      </c>
      <c r="E73" s="1" t="n">
        <v>67</v>
      </c>
    </row>
    <row r="74" customFormat="false" ht="15" hidden="false" customHeight="true" outlineLevel="0" collapsed="false">
      <c r="A74" s="1" t="s">
        <v>268</v>
      </c>
      <c r="B74" s="1" t="n">
        <v>1</v>
      </c>
      <c r="C74" s="1" t="s">
        <v>2590</v>
      </c>
      <c r="D74" s="1" t="n">
        <v>64</v>
      </c>
      <c r="E74" s="1" t="n">
        <v>74</v>
      </c>
    </row>
    <row r="75" customFormat="false" ht="15" hidden="false" customHeight="true" outlineLevel="0" collapsed="false">
      <c r="A75" s="1" t="s">
        <v>270</v>
      </c>
      <c r="B75" s="1" t="n">
        <v>1</v>
      </c>
      <c r="C75" s="1" t="s">
        <v>2591</v>
      </c>
      <c r="D75" s="1" t="n">
        <v>162</v>
      </c>
      <c r="E75" s="1" t="n">
        <v>172</v>
      </c>
    </row>
    <row r="76" customFormat="false" ht="15" hidden="false" customHeight="true" outlineLevel="0" collapsed="false">
      <c r="A76" s="1" t="s">
        <v>270</v>
      </c>
      <c r="B76" s="1" t="n">
        <v>5</v>
      </c>
      <c r="C76" s="1" t="s">
        <v>521</v>
      </c>
      <c r="D76" s="1" t="n">
        <v>162</v>
      </c>
      <c r="E76" s="1" t="n">
        <v>172</v>
      </c>
    </row>
    <row r="77" customFormat="false" ht="15" hidden="false" customHeight="true" outlineLevel="0" collapsed="false">
      <c r="A77" s="1" t="s">
        <v>273</v>
      </c>
      <c r="B77" s="1" t="n">
        <v>1</v>
      </c>
      <c r="C77" s="1" t="s">
        <v>2592</v>
      </c>
      <c r="D77" s="1" t="n">
        <v>167</v>
      </c>
      <c r="E77" s="1" t="n">
        <v>177</v>
      </c>
    </row>
    <row r="78" customFormat="false" ht="15" hidden="false" customHeight="true" outlineLevel="0" collapsed="false">
      <c r="A78" s="1" t="s">
        <v>273</v>
      </c>
      <c r="B78" s="1" t="n">
        <v>5</v>
      </c>
      <c r="C78" s="1" t="s">
        <v>562</v>
      </c>
      <c r="D78" s="1" t="n">
        <v>167</v>
      </c>
      <c r="E78" s="1" t="n">
        <v>177</v>
      </c>
    </row>
    <row r="79" customFormat="false" ht="15" hidden="false" customHeight="true" outlineLevel="0" collapsed="false">
      <c r="A79" s="1" t="s">
        <v>273</v>
      </c>
      <c r="B79" s="1" t="n">
        <v>16</v>
      </c>
      <c r="C79" s="1" t="s">
        <v>572</v>
      </c>
      <c r="D79" s="1" t="n">
        <v>167</v>
      </c>
      <c r="E79" s="1" t="n">
        <v>177</v>
      </c>
    </row>
    <row r="80" customFormat="false" ht="15" hidden="false" customHeight="true" outlineLevel="0" collapsed="false">
      <c r="A80" s="1" t="s">
        <v>275</v>
      </c>
      <c r="B80" s="1" t="n">
        <v>1</v>
      </c>
      <c r="C80" s="1" t="s">
        <v>2593</v>
      </c>
      <c r="D80" s="1" t="n">
        <v>81</v>
      </c>
      <c r="E80" s="1" t="n">
        <v>91</v>
      </c>
    </row>
    <row r="81" customFormat="false" ht="15" hidden="false" customHeight="true" outlineLevel="0" collapsed="false">
      <c r="A81" s="1" t="s">
        <v>275</v>
      </c>
      <c r="B81" s="1" t="n">
        <v>73</v>
      </c>
      <c r="C81" s="1" t="s">
        <v>583</v>
      </c>
      <c r="D81" s="1" t="n">
        <v>81</v>
      </c>
      <c r="E81" s="1" t="n">
        <v>91</v>
      </c>
    </row>
    <row r="82" customFormat="false" ht="15" hidden="false" customHeight="true" outlineLevel="0" collapsed="false">
      <c r="A82" s="1" t="s">
        <v>278</v>
      </c>
      <c r="B82" s="1" t="n">
        <v>1</v>
      </c>
      <c r="C82" s="1" t="s">
        <v>2594</v>
      </c>
      <c r="D82" s="1" t="n">
        <v>107</v>
      </c>
      <c r="E82" s="1" t="n">
        <v>117</v>
      </c>
    </row>
    <row r="83" customFormat="false" ht="15" hidden="false" customHeight="true" outlineLevel="0" collapsed="false">
      <c r="A83" s="1" t="s">
        <v>278</v>
      </c>
      <c r="B83" s="1" t="n">
        <v>4</v>
      </c>
      <c r="C83" s="1" t="s">
        <v>591</v>
      </c>
      <c r="D83" s="1" t="n">
        <v>107</v>
      </c>
      <c r="E83" s="1" t="n">
        <v>117</v>
      </c>
    </row>
    <row r="84" customFormat="false" ht="15" hidden="false" customHeight="true" outlineLevel="0" collapsed="false">
      <c r="A84" s="1" t="s">
        <v>278</v>
      </c>
      <c r="B84" s="1" t="n">
        <v>15</v>
      </c>
      <c r="C84" s="1" t="s">
        <v>606</v>
      </c>
      <c r="D84" s="1" t="n">
        <v>107</v>
      </c>
      <c r="E84" s="1" t="n">
        <v>117</v>
      </c>
    </row>
    <row r="85" customFormat="false" ht="15" hidden="false" customHeight="true" outlineLevel="0" collapsed="false">
      <c r="A85" s="1" t="s">
        <v>278</v>
      </c>
      <c r="B85" s="1" t="n">
        <v>22</v>
      </c>
      <c r="C85" s="1" t="s">
        <v>608</v>
      </c>
      <c r="D85" s="1" t="n">
        <v>107</v>
      </c>
      <c r="E85" s="1" t="n">
        <v>117</v>
      </c>
    </row>
    <row r="86" customFormat="false" ht="15" hidden="false" customHeight="true" outlineLevel="0" collapsed="false">
      <c r="A86" s="1" t="s">
        <v>278</v>
      </c>
      <c r="B86" s="1" t="n">
        <v>83</v>
      </c>
      <c r="C86" s="1" t="s">
        <v>633</v>
      </c>
      <c r="D86" s="1" t="n">
        <v>107</v>
      </c>
      <c r="E86" s="1" t="n">
        <v>117</v>
      </c>
    </row>
    <row r="87" customFormat="false" ht="15" hidden="false" customHeight="true" outlineLevel="0" collapsed="false">
      <c r="A87" s="1" t="s">
        <v>278</v>
      </c>
      <c r="B87" s="1" t="n">
        <v>106</v>
      </c>
      <c r="C87" s="1" t="s">
        <v>646</v>
      </c>
      <c r="D87" s="1" t="n">
        <v>107</v>
      </c>
      <c r="E87" s="1" t="n">
        <v>117</v>
      </c>
    </row>
    <row r="88" customFormat="false" ht="15" hidden="false" customHeight="true" outlineLevel="0" collapsed="false">
      <c r="A88" s="1" t="s">
        <v>280</v>
      </c>
      <c r="B88" s="1" t="n">
        <v>1</v>
      </c>
      <c r="C88" s="1" t="s">
        <v>2595</v>
      </c>
      <c r="D88" s="1" t="n">
        <v>65</v>
      </c>
      <c r="E88" s="1" t="n">
        <v>75</v>
      </c>
    </row>
    <row r="89" customFormat="false" ht="15" hidden="false" customHeight="true" outlineLevel="0" collapsed="false">
      <c r="A89" s="1" t="s">
        <v>280</v>
      </c>
      <c r="B89" s="1" t="n">
        <v>63</v>
      </c>
      <c r="C89" s="1" t="s">
        <v>680</v>
      </c>
      <c r="D89" s="1" t="n">
        <v>65</v>
      </c>
      <c r="E89" s="1" t="n">
        <v>75</v>
      </c>
    </row>
    <row r="90" customFormat="false" ht="15" hidden="false" customHeight="true" outlineLevel="0" collapsed="false">
      <c r="A90" s="1" t="s">
        <v>283</v>
      </c>
      <c r="B90" s="1" t="n">
        <v>1</v>
      </c>
      <c r="C90" s="1" t="s">
        <v>2596</v>
      </c>
      <c r="D90" s="1" t="n">
        <v>667</v>
      </c>
      <c r="E90" s="1" t="n">
        <v>677</v>
      </c>
    </row>
    <row r="91" customFormat="false" ht="15" hidden="false" customHeight="true" outlineLevel="0" collapsed="false">
      <c r="A91" s="1" t="s">
        <v>285</v>
      </c>
      <c r="B91" s="1" t="n">
        <v>1</v>
      </c>
      <c r="C91" s="1" t="s">
        <v>2597</v>
      </c>
      <c r="D91" s="1" t="n">
        <v>21</v>
      </c>
      <c r="E91" s="1" t="n">
        <v>31</v>
      </c>
    </row>
    <row r="92" customFormat="false" ht="15" hidden="false" customHeight="true" outlineLevel="0" collapsed="false">
      <c r="A92" s="1" t="s">
        <v>288</v>
      </c>
      <c r="B92" s="1" t="n">
        <v>1</v>
      </c>
      <c r="C92" s="1" t="s">
        <v>2598</v>
      </c>
      <c r="D92" s="1" t="n">
        <v>26</v>
      </c>
      <c r="E92" s="1" t="n">
        <v>36</v>
      </c>
    </row>
    <row r="93" customFormat="false" ht="15" hidden="false" customHeight="true" outlineLevel="0" collapsed="false">
      <c r="A93" s="1" t="s">
        <v>288</v>
      </c>
      <c r="B93" s="1" t="n">
        <v>19</v>
      </c>
      <c r="C93" s="1" t="s">
        <v>793</v>
      </c>
      <c r="D93" s="1" t="n">
        <v>26</v>
      </c>
      <c r="E93" s="1" t="n">
        <v>36</v>
      </c>
    </row>
    <row r="94" customFormat="false" ht="15" hidden="false" customHeight="true" outlineLevel="0" collapsed="false">
      <c r="A94" s="1" t="s">
        <v>290</v>
      </c>
      <c r="B94" s="1" t="n">
        <v>1</v>
      </c>
      <c r="C94" s="1" t="s">
        <v>2599</v>
      </c>
      <c r="D94" s="1" t="n">
        <v>153</v>
      </c>
      <c r="E94" s="1" t="n">
        <v>163</v>
      </c>
    </row>
    <row r="95" customFormat="false" ht="15" hidden="false" customHeight="true" outlineLevel="0" collapsed="false">
      <c r="A95" s="1" t="s">
        <v>290</v>
      </c>
      <c r="B95" s="1" t="n">
        <v>64</v>
      </c>
      <c r="C95" s="1" t="s">
        <v>816</v>
      </c>
      <c r="D95" s="1" t="n">
        <v>153</v>
      </c>
      <c r="E95" s="1" t="n">
        <v>163</v>
      </c>
    </row>
    <row r="96" customFormat="false" ht="15" hidden="false" customHeight="true" outlineLevel="0" collapsed="false">
      <c r="A96" s="1" t="s">
        <v>290</v>
      </c>
      <c r="B96" s="1" t="n">
        <v>124</v>
      </c>
      <c r="C96" s="1" t="s">
        <v>819</v>
      </c>
      <c r="D96" s="1" t="n">
        <v>153</v>
      </c>
      <c r="E96" s="1" t="n">
        <v>163</v>
      </c>
    </row>
    <row r="97" customFormat="false" ht="15" hidden="false" customHeight="true" outlineLevel="0" collapsed="false">
      <c r="A97" s="1" t="s">
        <v>290</v>
      </c>
      <c r="B97" s="1" t="n">
        <v>132</v>
      </c>
      <c r="C97" s="1" t="s">
        <v>826</v>
      </c>
      <c r="D97" s="1" t="n">
        <v>153</v>
      </c>
      <c r="E97" s="1" t="n">
        <v>163</v>
      </c>
    </row>
    <row r="98" customFormat="false" ht="15" hidden="false" customHeight="true" outlineLevel="0" collapsed="false">
      <c r="A98" s="1" t="s">
        <v>290</v>
      </c>
      <c r="B98" s="1" t="n">
        <v>141</v>
      </c>
      <c r="C98" s="1" t="s">
        <v>837</v>
      </c>
      <c r="D98" s="1" t="n">
        <v>153</v>
      </c>
      <c r="E98" s="1" t="n">
        <v>163</v>
      </c>
    </row>
    <row r="99" customFormat="false" ht="15" hidden="false" customHeight="true" outlineLevel="0" collapsed="false">
      <c r="A99" s="1" t="s">
        <v>293</v>
      </c>
      <c r="B99" s="1" t="n">
        <v>1</v>
      </c>
      <c r="C99" s="1" t="s">
        <v>2600</v>
      </c>
      <c r="D99" s="1" t="n">
        <v>56</v>
      </c>
      <c r="E99" s="1" t="n">
        <v>66</v>
      </c>
    </row>
    <row r="100" customFormat="false" ht="15" hidden="false" customHeight="true" outlineLevel="0" collapsed="false">
      <c r="A100" s="1" t="s">
        <v>293</v>
      </c>
      <c r="B100" s="1" t="n">
        <v>4</v>
      </c>
      <c r="C100" s="1" t="s">
        <v>864</v>
      </c>
      <c r="D100" s="1" t="n">
        <v>56</v>
      </c>
      <c r="E100" s="1" t="n">
        <v>66</v>
      </c>
    </row>
    <row r="101" customFormat="false" ht="15" hidden="false" customHeight="true" outlineLevel="0" collapsed="false">
      <c r="A101" s="1" t="s">
        <v>293</v>
      </c>
      <c r="B101" s="1" t="n">
        <v>22</v>
      </c>
      <c r="C101" s="1" t="s">
        <v>873</v>
      </c>
      <c r="D101" s="1" t="n">
        <v>56</v>
      </c>
      <c r="E101" s="1" t="n">
        <v>66</v>
      </c>
    </row>
    <row r="102" customFormat="false" ht="15" hidden="false" customHeight="true" outlineLevel="0" collapsed="false">
      <c r="A102" s="1" t="s">
        <v>293</v>
      </c>
      <c r="B102" s="1" t="n">
        <v>44</v>
      </c>
      <c r="C102" s="1" t="s">
        <v>891</v>
      </c>
      <c r="D102" s="1" t="n">
        <v>56</v>
      </c>
      <c r="E102" s="1" t="n">
        <v>66</v>
      </c>
    </row>
    <row r="103" customFormat="false" ht="15" hidden="false" customHeight="true" outlineLevel="0" collapsed="false">
      <c r="A103" s="1" t="s">
        <v>293</v>
      </c>
      <c r="B103" s="1" t="n">
        <v>53</v>
      </c>
      <c r="C103" s="1" t="s">
        <v>899</v>
      </c>
      <c r="D103" s="1" t="n">
        <v>56</v>
      </c>
      <c r="E103" s="1" t="n">
        <v>66</v>
      </c>
    </row>
    <row r="104" customFormat="false" ht="15" hidden="false" customHeight="true" outlineLevel="0" collapsed="false">
      <c r="A104" s="1" t="s">
        <v>296</v>
      </c>
      <c r="B104" s="1" t="n">
        <v>1</v>
      </c>
      <c r="C104" s="1" t="s">
        <v>2601</v>
      </c>
      <c r="D104" s="1" t="n">
        <v>180</v>
      </c>
      <c r="E104" s="1" t="n">
        <v>190</v>
      </c>
    </row>
    <row r="105" customFormat="false" ht="15" hidden="false" customHeight="true" outlineLevel="0" collapsed="false">
      <c r="A105" s="1" t="s">
        <v>296</v>
      </c>
      <c r="B105" s="1" t="n">
        <v>62</v>
      </c>
      <c r="C105" s="1" t="s">
        <v>915</v>
      </c>
      <c r="D105" s="1" t="n">
        <v>180</v>
      </c>
      <c r="E105" s="1" t="n">
        <v>190</v>
      </c>
    </row>
    <row r="106" customFormat="false" ht="15" hidden="false" customHeight="true" outlineLevel="0" collapsed="false">
      <c r="A106" s="1" t="s">
        <v>296</v>
      </c>
      <c r="B106" s="1" t="n">
        <v>80</v>
      </c>
      <c r="C106" s="1" t="s">
        <v>929</v>
      </c>
      <c r="D106" s="1" t="n">
        <v>180</v>
      </c>
      <c r="E106" s="1" t="n">
        <v>190</v>
      </c>
    </row>
    <row r="107" customFormat="false" ht="15" hidden="false" customHeight="true" outlineLevel="0" collapsed="false">
      <c r="A107" s="1" t="s">
        <v>296</v>
      </c>
      <c r="B107" s="1" t="n">
        <v>163</v>
      </c>
      <c r="C107" s="1" t="s">
        <v>945</v>
      </c>
      <c r="D107" s="1" t="n">
        <v>180</v>
      </c>
      <c r="E107" s="1" t="n">
        <v>190</v>
      </c>
    </row>
    <row r="108" customFormat="false" ht="15" hidden="false" customHeight="true" outlineLevel="0" collapsed="false">
      <c r="A108" s="1" t="s">
        <v>299</v>
      </c>
      <c r="B108" s="1" t="n">
        <v>1</v>
      </c>
      <c r="C108" s="1" t="s">
        <v>2602</v>
      </c>
      <c r="D108" s="1" t="n">
        <v>545</v>
      </c>
      <c r="E108" s="1" t="n">
        <v>555</v>
      </c>
    </row>
    <row r="109" customFormat="false" ht="15" hidden="false" customHeight="true" outlineLevel="0" collapsed="false">
      <c r="A109" s="1" t="s">
        <v>299</v>
      </c>
      <c r="B109" s="1" t="n">
        <v>13</v>
      </c>
      <c r="C109" s="1" t="s">
        <v>977</v>
      </c>
      <c r="D109" s="1" t="n">
        <v>545</v>
      </c>
      <c r="E109" s="1" t="n">
        <v>555</v>
      </c>
    </row>
    <row r="110" customFormat="false" ht="15" hidden="false" customHeight="true" outlineLevel="0" collapsed="false">
      <c r="A110" s="1" t="s">
        <v>299</v>
      </c>
      <c r="B110" s="1" t="n">
        <v>72</v>
      </c>
      <c r="C110" s="1" t="s">
        <v>988</v>
      </c>
      <c r="D110" s="1" t="n">
        <v>545</v>
      </c>
      <c r="E110" s="1" t="n">
        <v>555</v>
      </c>
    </row>
    <row r="111" customFormat="false" ht="15" hidden="false" customHeight="true" outlineLevel="0" collapsed="false">
      <c r="A111" s="1" t="s">
        <v>299</v>
      </c>
      <c r="B111" s="1" t="n">
        <v>85</v>
      </c>
      <c r="C111" s="1" t="s">
        <v>997</v>
      </c>
      <c r="D111" s="1" t="n">
        <v>545</v>
      </c>
      <c r="E111" s="1" t="n">
        <v>555</v>
      </c>
    </row>
    <row r="112" customFormat="false" ht="15" hidden="false" customHeight="true" outlineLevel="0" collapsed="false">
      <c r="A112" s="1" t="s">
        <v>299</v>
      </c>
      <c r="B112" s="1" t="n">
        <v>103</v>
      </c>
      <c r="C112" s="1" t="s">
        <v>1002</v>
      </c>
      <c r="D112" s="1" t="n">
        <v>545</v>
      </c>
      <c r="E112" s="1" t="n">
        <v>555</v>
      </c>
    </row>
    <row r="113" customFormat="false" ht="15" hidden="false" customHeight="true" outlineLevel="0" collapsed="false">
      <c r="A113" s="1" t="s">
        <v>299</v>
      </c>
      <c r="B113" s="1" t="n">
        <v>109</v>
      </c>
      <c r="C113" s="1" t="s">
        <v>1006</v>
      </c>
      <c r="D113" s="1" t="n">
        <v>545</v>
      </c>
      <c r="E113" s="1" t="n">
        <v>555</v>
      </c>
    </row>
    <row r="114" customFormat="false" ht="15" hidden="false" customHeight="true" outlineLevel="0" collapsed="false">
      <c r="A114" s="1" t="s">
        <v>299</v>
      </c>
      <c r="B114" s="1" t="n">
        <v>122</v>
      </c>
      <c r="C114" s="1" t="s">
        <v>1016</v>
      </c>
      <c r="D114" s="1" t="n">
        <v>545</v>
      </c>
      <c r="E114" s="1" t="n">
        <v>555</v>
      </c>
    </row>
    <row r="115" customFormat="false" ht="15" hidden="false" customHeight="true" outlineLevel="0" collapsed="false">
      <c r="A115" s="1" t="s">
        <v>299</v>
      </c>
      <c r="B115" s="1" t="n">
        <v>129</v>
      </c>
      <c r="C115" s="1" t="s">
        <v>1018</v>
      </c>
      <c r="D115" s="1" t="n">
        <v>545</v>
      </c>
      <c r="E115" s="1" t="n">
        <v>555</v>
      </c>
    </row>
    <row r="116" customFormat="false" ht="15" hidden="false" customHeight="true" outlineLevel="0" collapsed="false">
      <c r="A116" s="1" t="s">
        <v>299</v>
      </c>
      <c r="B116" s="1" t="n">
        <v>142</v>
      </c>
      <c r="C116" s="1" t="s">
        <v>1031</v>
      </c>
      <c r="D116" s="1" t="n">
        <v>545</v>
      </c>
      <c r="E116" s="1" t="n">
        <v>555</v>
      </c>
    </row>
    <row r="117" customFormat="false" ht="15" hidden="false" customHeight="true" outlineLevel="0" collapsed="false">
      <c r="A117" s="1" t="s">
        <v>299</v>
      </c>
      <c r="B117" s="1" t="n">
        <v>143</v>
      </c>
      <c r="C117" s="1" t="s">
        <v>1032</v>
      </c>
      <c r="D117" s="1" t="n">
        <v>545</v>
      </c>
      <c r="E117" s="1" t="n">
        <v>555</v>
      </c>
    </row>
    <row r="118" customFormat="false" ht="15" hidden="false" customHeight="true" outlineLevel="0" collapsed="false">
      <c r="A118" s="1" t="s">
        <v>299</v>
      </c>
      <c r="B118" s="1" t="n">
        <v>153</v>
      </c>
      <c r="C118" s="1" t="s">
        <v>1039</v>
      </c>
      <c r="D118" s="1" t="n">
        <v>545</v>
      </c>
      <c r="E118" s="1" t="n">
        <v>555</v>
      </c>
    </row>
    <row r="119" customFormat="false" ht="15" hidden="false" customHeight="true" outlineLevel="0" collapsed="false">
      <c r="A119" s="1" t="s">
        <v>299</v>
      </c>
      <c r="B119" s="1" t="n">
        <v>160</v>
      </c>
      <c r="C119" s="1" t="s">
        <v>1042</v>
      </c>
      <c r="D119" s="1" t="n">
        <v>545</v>
      </c>
      <c r="E119" s="1" t="n">
        <v>555</v>
      </c>
    </row>
    <row r="120" customFormat="false" ht="15" hidden="false" customHeight="true" outlineLevel="0" collapsed="false">
      <c r="A120" s="1" t="s">
        <v>299</v>
      </c>
      <c r="B120" s="1" t="n">
        <v>165</v>
      </c>
      <c r="C120" s="1" t="s">
        <v>1046</v>
      </c>
      <c r="D120" s="1" t="n">
        <v>545</v>
      </c>
      <c r="E120" s="1" t="n">
        <v>555</v>
      </c>
    </row>
    <row r="121" customFormat="false" ht="15" hidden="false" customHeight="true" outlineLevel="0" collapsed="false">
      <c r="A121" s="1" t="s">
        <v>299</v>
      </c>
      <c r="B121" s="1" t="n">
        <v>176</v>
      </c>
      <c r="C121" s="1" t="s">
        <v>1055</v>
      </c>
      <c r="D121" s="1" t="n">
        <v>545</v>
      </c>
      <c r="E121" s="1" t="n">
        <v>555</v>
      </c>
    </row>
    <row r="122" customFormat="false" ht="15" hidden="false" customHeight="true" outlineLevel="0" collapsed="false">
      <c r="A122" s="1" t="s">
        <v>299</v>
      </c>
      <c r="B122" s="1" t="n">
        <v>185</v>
      </c>
      <c r="C122" s="1" t="s">
        <v>1063</v>
      </c>
      <c r="D122" s="1" t="n">
        <v>545</v>
      </c>
      <c r="E122" s="1" t="n">
        <v>555</v>
      </c>
    </row>
    <row r="123" customFormat="false" ht="15" hidden="false" customHeight="true" outlineLevel="0" collapsed="false">
      <c r="A123" s="1" t="s">
        <v>299</v>
      </c>
      <c r="B123" s="1" t="n">
        <v>196</v>
      </c>
      <c r="C123" s="1" t="s">
        <v>1072</v>
      </c>
      <c r="D123" s="1" t="n">
        <v>545</v>
      </c>
      <c r="E123" s="1" t="n">
        <v>555</v>
      </c>
    </row>
    <row r="124" customFormat="false" ht="15" hidden="false" customHeight="true" outlineLevel="0" collapsed="false">
      <c r="A124" s="1" t="s">
        <v>299</v>
      </c>
      <c r="B124" s="1" t="n">
        <v>200</v>
      </c>
      <c r="C124" s="1" t="s">
        <v>1075</v>
      </c>
      <c r="D124" s="1" t="n">
        <v>545</v>
      </c>
      <c r="E124" s="1" t="n">
        <v>555</v>
      </c>
    </row>
    <row r="125" customFormat="false" ht="15" hidden="false" customHeight="true" outlineLevel="0" collapsed="false">
      <c r="A125" s="1" t="s">
        <v>299</v>
      </c>
      <c r="B125" s="1" t="n">
        <v>207</v>
      </c>
      <c r="C125" s="1" t="s">
        <v>1079</v>
      </c>
      <c r="D125" s="1" t="n">
        <v>545</v>
      </c>
      <c r="E125" s="1" t="n">
        <v>555</v>
      </c>
    </row>
    <row r="126" customFormat="false" ht="15" hidden="false" customHeight="true" outlineLevel="0" collapsed="false">
      <c r="A126" s="1" t="s">
        <v>299</v>
      </c>
      <c r="B126" s="1" t="n">
        <v>220</v>
      </c>
      <c r="C126" s="1" t="s">
        <v>1086</v>
      </c>
      <c r="D126" s="1" t="n">
        <v>545</v>
      </c>
      <c r="E126" s="1" t="n">
        <v>555</v>
      </c>
    </row>
    <row r="127" customFormat="false" ht="15" hidden="false" customHeight="true" outlineLevel="0" collapsed="false">
      <c r="A127" s="1" t="s">
        <v>299</v>
      </c>
      <c r="B127" s="1" t="n">
        <v>229</v>
      </c>
      <c r="C127" s="1" t="s">
        <v>1091</v>
      </c>
      <c r="D127" s="1" t="n">
        <v>545</v>
      </c>
      <c r="E127" s="1" t="n">
        <v>555</v>
      </c>
    </row>
    <row r="128" customFormat="false" ht="15" hidden="false" customHeight="true" outlineLevel="0" collapsed="false">
      <c r="A128" s="1" t="s">
        <v>299</v>
      </c>
      <c r="B128" s="1" t="n">
        <v>246</v>
      </c>
      <c r="C128" s="1" t="s">
        <v>1093</v>
      </c>
      <c r="D128" s="1" t="n">
        <v>545</v>
      </c>
      <c r="E128" s="1" t="n">
        <v>555</v>
      </c>
    </row>
    <row r="129" customFormat="false" ht="15" hidden="false" customHeight="true" outlineLevel="0" collapsed="false">
      <c r="A129" s="1" t="s">
        <v>299</v>
      </c>
      <c r="B129" s="1" t="n">
        <v>274</v>
      </c>
      <c r="C129" s="1" t="s">
        <v>1100</v>
      </c>
      <c r="D129" s="1" t="n">
        <v>545</v>
      </c>
      <c r="E129" s="1" t="n">
        <v>555</v>
      </c>
    </row>
    <row r="130" customFormat="false" ht="15" hidden="false" customHeight="true" outlineLevel="0" collapsed="false">
      <c r="A130" s="1" t="s">
        <v>299</v>
      </c>
      <c r="B130" s="1" t="n">
        <v>286</v>
      </c>
      <c r="C130" s="1" t="s">
        <v>1108</v>
      </c>
      <c r="D130" s="1" t="n">
        <v>545</v>
      </c>
      <c r="E130" s="1" t="n">
        <v>555</v>
      </c>
    </row>
    <row r="131" customFormat="false" ht="15" hidden="false" customHeight="true" outlineLevel="0" collapsed="false">
      <c r="A131" s="1" t="s">
        <v>299</v>
      </c>
      <c r="B131" s="1" t="n">
        <v>289</v>
      </c>
      <c r="C131" s="1" t="s">
        <v>1110</v>
      </c>
      <c r="D131" s="1" t="n">
        <v>545</v>
      </c>
      <c r="E131" s="1" t="n">
        <v>555</v>
      </c>
    </row>
    <row r="132" customFormat="false" ht="15" hidden="false" customHeight="true" outlineLevel="0" collapsed="false">
      <c r="A132" s="1" t="s">
        <v>299</v>
      </c>
      <c r="B132" s="1" t="n">
        <v>305</v>
      </c>
      <c r="C132" s="1" t="s">
        <v>1123</v>
      </c>
      <c r="D132" s="1" t="n">
        <v>545</v>
      </c>
      <c r="E132" s="1" t="n">
        <v>555</v>
      </c>
    </row>
    <row r="133" customFormat="false" ht="15" hidden="false" customHeight="true" outlineLevel="0" collapsed="false">
      <c r="A133" s="1" t="s">
        <v>299</v>
      </c>
      <c r="B133" s="1" t="n">
        <v>320</v>
      </c>
      <c r="C133" s="1" t="s">
        <v>1128</v>
      </c>
      <c r="D133" s="1" t="n">
        <v>545</v>
      </c>
      <c r="E133" s="1" t="n">
        <v>555</v>
      </c>
    </row>
    <row r="134" customFormat="false" ht="15" hidden="false" customHeight="true" outlineLevel="0" collapsed="false">
      <c r="A134" s="1" t="s">
        <v>299</v>
      </c>
      <c r="B134" s="1" t="n">
        <v>383</v>
      </c>
      <c r="C134" s="1" t="s">
        <v>1141</v>
      </c>
      <c r="D134" s="1" t="n">
        <v>545</v>
      </c>
      <c r="E134" s="1" t="n">
        <v>555</v>
      </c>
    </row>
    <row r="135" customFormat="false" ht="15" hidden="false" customHeight="true" outlineLevel="0" collapsed="false">
      <c r="A135" s="1" t="s">
        <v>299</v>
      </c>
      <c r="B135" s="1" t="n">
        <v>391</v>
      </c>
      <c r="C135" s="1" t="s">
        <v>1148</v>
      </c>
      <c r="D135" s="1" t="n">
        <v>545</v>
      </c>
      <c r="E135" s="1" t="n">
        <v>555</v>
      </c>
    </row>
    <row r="136" customFormat="false" ht="15" hidden="false" customHeight="true" outlineLevel="0" collapsed="false">
      <c r="A136" s="1" t="s">
        <v>299</v>
      </c>
      <c r="B136" s="1" t="n">
        <v>398</v>
      </c>
      <c r="C136" s="1" t="s">
        <v>1154</v>
      </c>
      <c r="D136" s="1" t="n">
        <v>545</v>
      </c>
      <c r="E136" s="1" t="n">
        <v>555</v>
      </c>
    </row>
    <row r="137" customFormat="false" ht="15" hidden="false" customHeight="true" outlineLevel="0" collapsed="false">
      <c r="A137" s="1" t="s">
        <v>299</v>
      </c>
      <c r="B137" s="1" t="n">
        <v>410</v>
      </c>
      <c r="C137" s="1" t="s">
        <v>1156</v>
      </c>
      <c r="D137" s="1" t="n">
        <v>545</v>
      </c>
      <c r="E137" s="1" t="n">
        <v>555</v>
      </c>
    </row>
    <row r="138" customFormat="false" ht="15" hidden="false" customHeight="true" outlineLevel="0" collapsed="false">
      <c r="A138" s="1" t="s">
        <v>299</v>
      </c>
      <c r="B138" s="1" t="n">
        <v>537</v>
      </c>
      <c r="C138" s="1" t="s">
        <v>1173</v>
      </c>
      <c r="D138" s="1" t="n">
        <v>545</v>
      </c>
      <c r="E138" s="1" t="n">
        <v>555</v>
      </c>
    </row>
    <row r="139" customFormat="false" ht="15" hidden="false" customHeight="true" outlineLevel="0" collapsed="false">
      <c r="A139" s="1" t="s">
        <v>302</v>
      </c>
      <c r="B139" s="1" t="n">
        <v>1</v>
      </c>
      <c r="C139" s="1" t="s">
        <v>2603</v>
      </c>
      <c r="D139" s="1" t="n">
        <v>88</v>
      </c>
      <c r="E139" s="1" t="n">
        <v>98</v>
      </c>
    </row>
    <row r="140" customFormat="false" ht="15" hidden="false" customHeight="true" outlineLevel="0" collapsed="false">
      <c r="A140" s="1" t="s">
        <v>302</v>
      </c>
      <c r="B140" s="1" t="n">
        <v>4</v>
      </c>
      <c r="C140" s="1" t="s">
        <v>1182</v>
      </c>
      <c r="D140" s="1" t="n">
        <v>88</v>
      </c>
      <c r="E140" s="1" t="n">
        <v>98</v>
      </c>
    </row>
    <row r="141" customFormat="false" ht="15" hidden="false" customHeight="true" outlineLevel="0" collapsed="false">
      <c r="A141" s="1" t="s">
        <v>302</v>
      </c>
      <c r="B141" s="1" t="n">
        <v>31</v>
      </c>
      <c r="C141" s="1" t="s">
        <v>1205</v>
      </c>
      <c r="D141" s="1" t="n">
        <v>88</v>
      </c>
      <c r="E141" s="1" t="n">
        <v>98</v>
      </c>
    </row>
    <row r="142" customFormat="false" ht="15" hidden="false" customHeight="true" outlineLevel="0" collapsed="false">
      <c r="A142" s="1" t="s">
        <v>302</v>
      </c>
      <c r="B142" s="1" t="n">
        <v>38</v>
      </c>
      <c r="C142" s="1" t="s">
        <v>1211</v>
      </c>
      <c r="D142" s="1" t="n">
        <v>88</v>
      </c>
      <c r="E142" s="1" t="n">
        <v>98</v>
      </c>
    </row>
    <row r="143" customFormat="false" ht="15" hidden="false" customHeight="true" outlineLevel="0" collapsed="false">
      <c r="A143" s="1" t="s">
        <v>302</v>
      </c>
      <c r="B143" s="1" t="n">
        <v>60</v>
      </c>
      <c r="C143" s="1" t="s">
        <v>1225</v>
      </c>
      <c r="D143" s="1" t="n">
        <v>88</v>
      </c>
      <c r="E143" s="1" t="n">
        <v>98</v>
      </c>
    </row>
    <row r="144" customFormat="false" ht="15" hidden="false" customHeight="true" outlineLevel="0" collapsed="false">
      <c r="A144" s="1" t="s">
        <v>302</v>
      </c>
      <c r="B144" s="1" t="n">
        <v>64</v>
      </c>
      <c r="C144" s="1" t="s">
        <v>1228</v>
      </c>
      <c r="D144" s="1" t="n">
        <v>88</v>
      </c>
      <c r="E144" s="1" t="n">
        <v>98</v>
      </c>
    </row>
    <row r="145" customFormat="false" ht="15" hidden="false" customHeight="true" outlineLevel="0" collapsed="false">
      <c r="A145" s="1" t="s">
        <v>302</v>
      </c>
      <c r="B145" s="1" t="n">
        <v>78</v>
      </c>
      <c r="C145" s="1" t="s">
        <v>1238</v>
      </c>
      <c r="D145" s="1" t="n">
        <v>88</v>
      </c>
      <c r="E145" s="1" t="n">
        <v>98</v>
      </c>
    </row>
    <row r="146" customFormat="false" ht="15" hidden="false" customHeight="true" outlineLevel="0" collapsed="false">
      <c r="A146" s="1" t="s">
        <v>302</v>
      </c>
      <c r="B146" s="1" t="n">
        <v>84</v>
      </c>
      <c r="C146" s="1" t="s">
        <v>1242</v>
      </c>
      <c r="D146" s="1" t="n">
        <v>88</v>
      </c>
      <c r="E146" s="1" t="n">
        <v>98</v>
      </c>
    </row>
    <row r="147" customFormat="false" ht="15" hidden="false" customHeight="true" outlineLevel="0" collapsed="false">
      <c r="A147" s="1" t="s">
        <v>304</v>
      </c>
      <c r="B147" s="1" t="n">
        <v>1</v>
      </c>
      <c r="C147" s="1" t="s">
        <v>2604</v>
      </c>
      <c r="D147" s="1" t="n">
        <v>110</v>
      </c>
      <c r="E147" s="1" t="n">
        <v>120</v>
      </c>
    </row>
    <row r="148" customFormat="false" ht="15" hidden="false" customHeight="true" outlineLevel="0" collapsed="false">
      <c r="A148" s="1" t="s">
        <v>304</v>
      </c>
      <c r="B148" s="1" t="n">
        <v>4</v>
      </c>
      <c r="C148" s="1" t="s">
        <v>1249</v>
      </c>
      <c r="D148" s="1" t="n">
        <v>110</v>
      </c>
      <c r="E148" s="1" t="n">
        <v>120</v>
      </c>
    </row>
    <row r="149" customFormat="false" ht="15" hidden="false" customHeight="true" outlineLevel="0" collapsed="false">
      <c r="A149" s="1" t="s">
        <v>304</v>
      </c>
      <c r="B149" s="1" t="n">
        <v>30</v>
      </c>
      <c r="C149" s="1" t="s">
        <v>1265</v>
      </c>
      <c r="D149" s="1" t="n">
        <v>110</v>
      </c>
      <c r="E149" s="1" t="n">
        <v>120</v>
      </c>
    </row>
    <row r="150" customFormat="false" ht="15" hidden="false" customHeight="true" outlineLevel="0" collapsed="false">
      <c r="A150" s="1" t="s">
        <v>304</v>
      </c>
      <c r="B150" s="1" t="n">
        <v>46</v>
      </c>
      <c r="C150" s="1" t="s">
        <v>1277</v>
      </c>
      <c r="D150" s="1" t="n">
        <v>110</v>
      </c>
      <c r="E150" s="1" t="n">
        <v>120</v>
      </c>
    </row>
    <row r="151" customFormat="false" ht="15" hidden="false" customHeight="true" outlineLevel="0" collapsed="false">
      <c r="A151" s="1" t="s">
        <v>304</v>
      </c>
      <c r="B151" s="1" t="n">
        <v>55</v>
      </c>
      <c r="C151" s="1" t="s">
        <v>646</v>
      </c>
      <c r="D151" s="1" t="n">
        <v>110</v>
      </c>
      <c r="E151" s="1" t="n">
        <v>120</v>
      </c>
    </row>
    <row r="152" customFormat="false" ht="15" hidden="false" customHeight="true" outlineLevel="0" collapsed="false">
      <c r="A152" s="1" t="s">
        <v>304</v>
      </c>
      <c r="B152" s="1" t="n">
        <v>60</v>
      </c>
      <c r="C152" s="1" t="s">
        <v>1287</v>
      </c>
      <c r="D152" s="1" t="n">
        <v>110</v>
      </c>
      <c r="E152" s="1" t="n">
        <v>120</v>
      </c>
    </row>
    <row r="153" customFormat="false" ht="15" hidden="false" customHeight="true" outlineLevel="0" collapsed="false">
      <c r="A153" s="1" t="s">
        <v>304</v>
      </c>
      <c r="B153" s="1" t="n">
        <v>89</v>
      </c>
      <c r="C153" s="1" t="s">
        <v>1303</v>
      </c>
      <c r="D153" s="1" t="n">
        <v>110</v>
      </c>
      <c r="E153" s="1" t="n">
        <v>120</v>
      </c>
    </row>
    <row r="154" customFormat="false" ht="15" hidden="false" customHeight="true" outlineLevel="0" collapsed="false">
      <c r="A154" s="1" t="s">
        <v>304</v>
      </c>
      <c r="B154" s="1" t="n">
        <v>97</v>
      </c>
      <c r="C154" s="1" t="s">
        <v>1308</v>
      </c>
      <c r="D154" s="1" t="n">
        <v>110</v>
      </c>
      <c r="E154" s="1" t="n">
        <v>120</v>
      </c>
    </row>
    <row r="155" customFormat="false" ht="15" hidden="false" customHeight="true" outlineLevel="0" collapsed="false">
      <c r="A155" s="1" t="s">
        <v>304</v>
      </c>
      <c r="B155" s="1" t="n">
        <v>105</v>
      </c>
      <c r="C155" s="1" t="s">
        <v>1315</v>
      </c>
      <c r="D155" s="1" t="n">
        <v>110</v>
      </c>
      <c r="E155" s="1" t="n">
        <v>120</v>
      </c>
    </row>
    <row r="156" customFormat="false" ht="15" hidden="false" customHeight="true" outlineLevel="0" collapsed="false">
      <c r="A156" s="1" t="s">
        <v>307</v>
      </c>
      <c r="B156" s="1" t="n">
        <v>1</v>
      </c>
      <c r="C156" s="1" t="s">
        <v>2605</v>
      </c>
      <c r="D156" s="1" t="n">
        <v>199</v>
      </c>
      <c r="E156" s="1" t="n">
        <v>209</v>
      </c>
    </row>
    <row r="157" customFormat="false" ht="15" hidden="false" customHeight="true" outlineLevel="0" collapsed="false">
      <c r="A157" s="1" t="s">
        <v>307</v>
      </c>
      <c r="B157" s="1" t="n">
        <v>4</v>
      </c>
      <c r="C157" s="1" t="s">
        <v>1323</v>
      </c>
      <c r="D157" s="1" t="n">
        <v>199</v>
      </c>
      <c r="E157" s="1" t="n">
        <v>209</v>
      </c>
    </row>
    <row r="158" customFormat="false" ht="15" hidden="false" customHeight="true" outlineLevel="0" collapsed="false">
      <c r="A158" s="1" t="s">
        <v>307</v>
      </c>
      <c r="B158" s="1" t="n">
        <v>71</v>
      </c>
      <c r="C158" s="1" t="s">
        <v>1339</v>
      </c>
      <c r="D158" s="1" t="n">
        <v>199</v>
      </c>
      <c r="E158" s="1" t="n">
        <v>209</v>
      </c>
    </row>
    <row r="159" customFormat="false" ht="15" hidden="false" customHeight="true" outlineLevel="0" collapsed="false">
      <c r="A159" s="1" t="s">
        <v>307</v>
      </c>
      <c r="B159" s="1" t="n">
        <v>89</v>
      </c>
      <c r="C159" s="1" t="s">
        <v>1355</v>
      </c>
      <c r="D159" s="1" t="n">
        <v>199</v>
      </c>
      <c r="E159" s="1" t="n">
        <v>209</v>
      </c>
    </row>
    <row r="160" customFormat="false" ht="15" hidden="false" customHeight="true" outlineLevel="0" collapsed="false">
      <c r="A160" s="1" t="s">
        <v>307</v>
      </c>
      <c r="B160" s="1" t="n">
        <v>112</v>
      </c>
      <c r="C160" s="1" t="s">
        <v>1373</v>
      </c>
      <c r="D160" s="1" t="n">
        <v>199</v>
      </c>
      <c r="E160" s="1" t="n">
        <v>209</v>
      </c>
    </row>
    <row r="161" customFormat="false" ht="15" hidden="false" customHeight="true" outlineLevel="0" collapsed="false">
      <c r="A161" s="1" t="s">
        <v>307</v>
      </c>
      <c r="B161" s="1" t="n">
        <v>190</v>
      </c>
      <c r="C161" s="1" t="s">
        <v>1398</v>
      </c>
      <c r="D161" s="1" t="n">
        <v>199</v>
      </c>
      <c r="E161" s="1" t="n">
        <v>209</v>
      </c>
    </row>
    <row r="162" customFormat="false" ht="15" hidden="false" customHeight="true" outlineLevel="0" collapsed="false">
      <c r="A162" s="1" t="s">
        <v>307</v>
      </c>
      <c r="B162" s="1" t="n">
        <v>195</v>
      </c>
      <c r="C162" s="1" t="s">
        <v>1402</v>
      </c>
      <c r="D162" s="1" t="n">
        <v>199</v>
      </c>
      <c r="E162" s="1" t="n">
        <v>209</v>
      </c>
    </row>
    <row r="163" customFormat="false" ht="15" hidden="false" customHeight="true" outlineLevel="0" collapsed="false">
      <c r="A163" s="1" t="s">
        <v>310</v>
      </c>
      <c r="B163" s="1" t="n">
        <v>1</v>
      </c>
      <c r="C163" s="1" t="s">
        <v>2606</v>
      </c>
      <c r="D163" s="1" t="n">
        <v>167</v>
      </c>
      <c r="E163" s="1" t="n">
        <v>177</v>
      </c>
    </row>
    <row r="164" customFormat="false" ht="15" hidden="false" customHeight="true" outlineLevel="0" collapsed="false">
      <c r="A164" s="1" t="s">
        <v>310</v>
      </c>
      <c r="B164" s="1" t="n">
        <v>5</v>
      </c>
      <c r="C164" s="1" t="s">
        <v>1410</v>
      </c>
      <c r="D164" s="1" t="n">
        <v>167</v>
      </c>
      <c r="E164" s="1" t="n">
        <v>177</v>
      </c>
    </row>
    <row r="165" customFormat="false" ht="15" hidden="false" customHeight="true" outlineLevel="0" collapsed="false">
      <c r="A165" s="1" t="s">
        <v>310</v>
      </c>
      <c r="B165" s="1" t="n">
        <v>105</v>
      </c>
      <c r="C165" s="1" t="s">
        <v>1463</v>
      </c>
      <c r="D165" s="1" t="n">
        <v>167</v>
      </c>
      <c r="E165" s="1" t="n">
        <v>177</v>
      </c>
    </row>
    <row r="166" customFormat="false" ht="15" hidden="false" customHeight="true" outlineLevel="0" collapsed="false">
      <c r="A166" s="1" t="s">
        <v>310</v>
      </c>
      <c r="B166" s="1" t="n">
        <v>109</v>
      </c>
      <c r="C166" s="1" t="s">
        <v>1466</v>
      </c>
      <c r="D166" s="1" t="n">
        <v>167</v>
      </c>
      <c r="E166" s="1" t="n">
        <v>177</v>
      </c>
    </row>
    <row r="167" customFormat="false" ht="15" hidden="false" customHeight="true" outlineLevel="0" collapsed="false">
      <c r="A167" s="1" t="s">
        <v>310</v>
      </c>
      <c r="B167" s="1" t="n">
        <v>115</v>
      </c>
      <c r="C167" s="1" t="s">
        <v>1475</v>
      </c>
      <c r="D167" s="1" t="n">
        <v>167</v>
      </c>
      <c r="E167" s="1" t="n">
        <v>177</v>
      </c>
    </row>
    <row r="168" customFormat="false" ht="15" hidden="false" customHeight="true" outlineLevel="0" collapsed="false">
      <c r="A168" s="1" t="s">
        <v>310</v>
      </c>
      <c r="B168" s="1" t="n">
        <v>123</v>
      </c>
      <c r="C168" s="1" t="s">
        <v>1483</v>
      </c>
      <c r="D168" s="1" t="n">
        <v>167</v>
      </c>
      <c r="E168" s="1" t="n">
        <v>177</v>
      </c>
    </row>
    <row r="169" customFormat="false" ht="15" hidden="false" customHeight="true" outlineLevel="0" collapsed="false">
      <c r="A169" s="1" t="s">
        <v>310</v>
      </c>
      <c r="B169" s="1" t="n">
        <v>128</v>
      </c>
      <c r="C169" s="1" t="s">
        <v>1487</v>
      </c>
      <c r="D169" s="1" t="n">
        <v>167</v>
      </c>
      <c r="E169" s="1" t="n">
        <v>177</v>
      </c>
    </row>
    <row r="170" customFormat="false" ht="15" hidden="false" customHeight="true" outlineLevel="0" collapsed="false">
      <c r="A170" s="1" t="s">
        <v>310</v>
      </c>
      <c r="B170" s="1" t="n">
        <v>131</v>
      </c>
      <c r="C170" s="1" t="s">
        <v>1489</v>
      </c>
      <c r="D170" s="1" t="n">
        <v>167</v>
      </c>
      <c r="E170" s="1" t="n">
        <v>177</v>
      </c>
    </row>
    <row r="171" customFormat="false" ht="15" hidden="false" customHeight="true" outlineLevel="0" collapsed="false">
      <c r="A171" s="1" t="s">
        <v>310</v>
      </c>
      <c r="B171" s="1" t="n">
        <v>143</v>
      </c>
      <c r="C171" s="1" t="s">
        <v>1493</v>
      </c>
      <c r="D171" s="1" t="n">
        <v>167</v>
      </c>
      <c r="E171" s="1" t="n">
        <v>177</v>
      </c>
    </row>
    <row r="172" customFormat="false" ht="15" hidden="false" customHeight="true" outlineLevel="0" collapsed="false">
      <c r="A172" s="1" t="s">
        <v>310</v>
      </c>
      <c r="B172" s="1" t="n">
        <v>154</v>
      </c>
      <c r="C172" s="1" t="s">
        <v>1499</v>
      </c>
      <c r="D172" s="1" t="n">
        <v>167</v>
      </c>
      <c r="E172" s="1" t="n">
        <v>177</v>
      </c>
    </row>
    <row r="173" customFormat="false" ht="15" hidden="false" customHeight="true" outlineLevel="0" collapsed="false">
      <c r="A173" s="1" t="s">
        <v>312</v>
      </c>
      <c r="B173" s="1" t="n">
        <v>1</v>
      </c>
      <c r="C173" s="1" t="s">
        <v>2607</v>
      </c>
      <c r="D173" s="1" t="n">
        <v>137</v>
      </c>
      <c r="E173" s="1" t="n">
        <v>147</v>
      </c>
    </row>
    <row r="174" customFormat="false" ht="15" hidden="false" customHeight="true" outlineLevel="0" collapsed="false">
      <c r="A174" s="1" t="s">
        <v>312</v>
      </c>
      <c r="B174" s="1" t="n">
        <v>103</v>
      </c>
      <c r="C174" s="1" t="s">
        <v>1555</v>
      </c>
      <c r="D174" s="1" t="n">
        <v>137</v>
      </c>
      <c r="E174" s="1" t="n">
        <v>147</v>
      </c>
    </row>
    <row r="175" customFormat="false" ht="15" hidden="false" customHeight="true" outlineLevel="0" collapsed="false">
      <c r="A175" s="1" t="s">
        <v>312</v>
      </c>
      <c r="B175" s="1" t="n">
        <v>114</v>
      </c>
      <c r="C175" s="1" t="s">
        <v>1558</v>
      </c>
      <c r="D175" s="1" t="n">
        <v>137</v>
      </c>
      <c r="E175" s="1" t="n">
        <v>147</v>
      </c>
    </row>
    <row r="176" customFormat="false" ht="15" hidden="false" customHeight="true" outlineLevel="0" collapsed="false">
      <c r="A176" s="1" t="s">
        <v>312</v>
      </c>
      <c r="B176" s="1" t="n">
        <v>133</v>
      </c>
      <c r="C176" s="1" t="s">
        <v>1571</v>
      </c>
      <c r="D176" s="1" t="n">
        <v>137</v>
      </c>
      <c r="E176" s="1" t="n">
        <v>147</v>
      </c>
    </row>
    <row r="177" customFormat="false" ht="15" hidden="false" customHeight="true" outlineLevel="0" collapsed="false">
      <c r="A177" s="1" t="s">
        <v>315</v>
      </c>
      <c r="B177" s="1" t="n">
        <v>1</v>
      </c>
      <c r="C177" s="1" t="s">
        <v>2608</v>
      </c>
      <c r="D177" s="1" t="n">
        <v>96</v>
      </c>
      <c r="E177" s="1" t="n">
        <v>106</v>
      </c>
    </row>
    <row r="178" customFormat="false" ht="15" hidden="false" customHeight="true" outlineLevel="0" collapsed="false">
      <c r="A178" s="1" t="s">
        <v>315</v>
      </c>
      <c r="B178" s="1" t="n">
        <v>76</v>
      </c>
      <c r="C178" s="1" t="s">
        <v>1602</v>
      </c>
      <c r="D178" s="1" t="n">
        <v>96</v>
      </c>
      <c r="E178" s="1" t="n">
        <v>106</v>
      </c>
    </row>
    <row r="179" customFormat="false" ht="15" hidden="false" customHeight="true" outlineLevel="0" collapsed="false">
      <c r="A179" s="1" t="s">
        <v>315</v>
      </c>
      <c r="B179" s="1" t="n">
        <v>80</v>
      </c>
      <c r="C179" s="1" t="s">
        <v>1604</v>
      </c>
      <c r="D179" s="1" t="n">
        <v>96</v>
      </c>
      <c r="E179" s="1" t="n">
        <v>106</v>
      </c>
    </row>
    <row r="180" customFormat="false" ht="15" hidden="false" customHeight="true" outlineLevel="0" collapsed="false">
      <c r="A180" s="1" t="s">
        <v>315</v>
      </c>
      <c r="B180" s="1" t="n">
        <v>87</v>
      </c>
      <c r="C180" s="1" t="s">
        <v>1610</v>
      </c>
      <c r="D180" s="1" t="n">
        <v>96</v>
      </c>
      <c r="E180" s="1" t="n">
        <v>106</v>
      </c>
    </row>
    <row r="181" customFormat="false" ht="15" hidden="false" customHeight="true" outlineLevel="0" collapsed="false">
      <c r="A181" s="1" t="s">
        <v>315</v>
      </c>
      <c r="B181" s="1" t="n">
        <v>93</v>
      </c>
      <c r="C181" s="1" t="s">
        <v>1615</v>
      </c>
      <c r="D181" s="1" t="n">
        <v>96</v>
      </c>
      <c r="E181" s="1" t="n">
        <v>106</v>
      </c>
    </row>
    <row r="182" customFormat="false" ht="15" hidden="false" customHeight="true" outlineLevel="0" collapsed="false">
      <c r="A182" s="1" t="s">
        <v>318</v>
      </c>
      <c r="B182" s="1" t="n">
        <v>1</v>
      </c>
      <c r="C182" s="1" t="s">
        <v>2609</v>
      </c>
      <c r="D182" s="1" t="n">
        <v>1753</v>
      </c>
      <c r="E182" s="1" t="n">
        <v>1763</v>
      </c>
    </row>
    <row r="183" customFormat="false" ht="15" hidden="false" customHeight="true" outlineLevel="0" collapsed="false">
      <c r="A183" s="1" t="s">
        <v>318</v>
      </c>
      <c r="B183" s="1" t="n">
        <v>1723</v>
      </c>
      <c r="C183" s="1" t="s">
        <v>1637</v>
      </c>
      <c r="D183" s="1" t="n">
        <v>1753</v>
      </c>
      <c r="E183" s="1" t="n">
        <v>1763</v>
      </c>
    </row>
    <row r="184" customFormat="false" ht="15" hidden="false" customHeight="true" outlineLevel="0" collapsed="false">
      <c r="A184" s="1" t="s">
        <v>318</v>
      </c>
      <c r="B184" s="1" t="n">
        <v>1734</v>
      </c>
      <c r="C184" s="1" t="s">
        <v>1639</v>
      </c>
      <c r="D184" s="1" t="n">
        <v>1753</v>
      </c>
      <c r="E184" s="1" t="n">
        <v>1763</v>
      </c>
    </row>
    <row r="185" customFormat="false" ht="15" hidden="false" customHeight="true" outlineLevel="0" collapsed="false">
      <c r="A185" s="1" t="s">
        <v>318</v>
      </c>
      <c r="B185" s="1" t="n">
        <v>1742</v>
      </c>
      <c r="C185" s="1" t="s">
        <v>1646</v>
      </c>
      <c r="D185" s="1" t="n">
        <v>1753</v>
      </c>
      <c r="E185" s="1" t="n">
        <v>1763</v>
      </c>
    </row>
    <row r="186" customFormat="false" ht="15" hidden="false" customHeight="true" outlineLevel="0" collapsed="false">
      <c r="A186" s="1" t="s">
        <v>318</v>
      </c>
      <c r="B186" s="1" t="n">
        <v>1748</v>
      </c>
      <c r="C186" s="1" t="s">
        <v>1571</v>
      </c>
      <c r="D186" s="1" t="n">
        <v>1753</v>
      </c>
      <c r="E186" s="1" t="n">
        <v>1763</v>
      </c>
    </row>
    <row r="187" customFormat="false" ht="15" hidden="false" customHeight="true" outlineLevel="0" collapsed="false">
      <c r="A187" s="1" t="s">
        <v>321</v>
      </c>
      <c r="B187" s="1" t="n">
        <v>1</v>
      </c>
      <c r="C187" s="1" t="s">
        <v>2610</v>
      </c>
      <c r="D187" s="1" t="n">
        <v>367</v>
      </c>
      <c r="E187" s="1" t="n">
        <v>377</v>
      </c>
    </row>
    <row r="188" customFormat="false" ht="15" hidden="false" customHeight="true" outlineLevel="0" collapsed="false">
      <c r="A188" s="1" t="s">
        <v>321</v>
      </c>
      <c r="B188" s="1" t="n">
        <v>10</v>
      </c>
      <c r="C188" s="1" t="s">
        <v>1664</v>
      </c>
      <c r="D188" s="1" t="n">
        <v>367</v>
      </c>
      <c r="E188" s="1" t="n">
        <v>377</v>
      </c>
    </row>
    <row r="189" customFormat="false" ht="15" hidden="false" customHeight="true" outlineLevel="0" collapsed="false">
      <c r="A189" s="1" t="s">
        <v>321</v>
      </c>
      <c r="B189" s="1" t="n">
        <v>78</v>
      </c>
      <c r="C189" s="1" t="s">
        <v>1675</v>
      </c>
      <c r="D189" s="1" t="n">
        <v>367</v>
      </c>
      <c r="E189" s="1" t="n">
        <v>377</v>
      </c>
    </row>
    <row r="190" customFormat="false" ht="15" hidden="false" customHeight="true" outlineLevel="0" collapsed="false">
      <c r="A190" s="1" t="s">
        <v>321</v>
      </c>
      <c r="B190" s="1" t="n">
        <v>153</v>
      </c>
      <c r="C190" s="1" t="s">
        <v>1681</v>
      </c>
      <c r="D190" s="1" t="n">
        <v>367</v>
      </c>
      <c r="E190" s="1" t="n">
        <v>377</v>
      </c>
    </row>
    <row r="191" customFormat="false" ht="15" hidden="false" customHeight="true" outlineLevel="0" collapsed="false">
      <c r="A191" s="1" t="s">
        <v>321</v>
      </c>
      <c r="B191" s="1" t="n">
        <v>171</v>
      </c>
      <c r="C191" s="1" t="s">
        <v>1682</v>
      </c>
      <c r="D191" s="1" t="n">
        <v>367</v>
      </c>
      <c r="E191" s="1" t="n">
        <v>377</v>
      </c>
    </row>
    <row r="192" customFormat="false" ht="15" hidden="false" customHeight="true" outlineLevel="0" collapsed="false">
      <c r="A192" s="1" t="s">
        <v>321</v>
      </c>
      <c r="B192" s="1" t="n">
        <v>190</v>
      </c>
      <c r="C192" s="1" t="s">
        <v>1683</v>
      </c>
      <c r="D192" s="1" t="n">
        <v>367</v>
      </c>
      <c r="E192" s="1" t="n">
        <v>377</v>
      </c>
    </row>
    <row r="193" customFormat="false" ht="15" hidden="false" customHeight="true" outlineLevel="0" collapsed="false">
      <c r="A193" s="1" t="s">
        <v>321</v>
      </c>
      <c r="B193" s="1" t="n">
        <v>206</v>
      </c>
      <c r="C193" s="1" t="s">
        <v>1693</v>
      </c>
      <c r="D193" s="1" t="n">
        <v>367</v>
      </c>
      <c r="E193" s="1" t="n">
        <v>377</v>
      </c>
    </row>
    <row r="194" customFormat="false" ht="15" hidden="false" customHeight="true" outlineLevel="0" collapsed="false">
      <c r="A194" s="1" t="s">
        <v>321</v>
      </c>
      <c r="B194" s="1" t="n">
        <v>296</v>
      </c>
      <c r="C194" s="1" t="s">
        <v>1702</v>
      </c>
      <c r="D194" s="1" t="n">
        <v>367</v>
      </c>
      <c r="E194" s="1" t="n">
        <v>377</v>
      </c>
    </row>
    <row r="195" customFormat="false" ht="15" hidden="false" customHeight="true" outlineLevel="0" collapsed="false">
      <c r="A195" s="1" t="s">
        <v>321</v>
      </c>
      <c r="B195" s="1" t="n">
        <v>323</v>
      </c>
      <c r="C195" s="1" t="s">
        <v>1716</v>
      </c>
      <c r="D195" s="1" t="n">
        <v>367</v>
      </c>
      <c r="E195" s="1" t="n">
        <v>377</v>
      </c>
    </row>
    <row r="196" customFormat="false" ht="15" hidden="false" customHeight="true" outlineLevel="0" collapsed="false">
      <c r="A196" s="1" t="s">
        <v>321</v>
      </c>
      <c r="B196" s="1" t="n">
        <v>363</v>
      </c>
      <c r="C196" s="1" t="s">
        <v>1741</v>
      </c>
      <c r="D196" s="1" t="n">
        <v>367</v>
      </c>
      <c r="E196" s="1" t="n">
        <v>377</v>
      </c>
    </row>
    <row r="197" customFormat="false" ht="15" hidden="false" customHeight="true" outlineLevel="0" collapsed="false">
      <c r="A197" s="1" t="s">
        <v>324</v>
      </c>
      <c r="B197" s="1" t="n">
        <v>1</v>
      </c>
      <c r="C197" s="1" t="s">
        <v>2611</v>
      </c>
      <c r="D197" s="1" t="n">
        <v>57</v>
      </c>
      <c r="E197" s="1" t="n">
        <v>67</v>
      </c>
    </row>
    <row r="198" customFormat="false" ht="15" hidden="false" customHeight="true" outlineLevel="0" collapsed="false">
      <c r="A198" s="1" t="s">
        <v>324</v>
      </c>
      <c r="B198" s="1" t="n">
        <v>12</v>
      </c>
      <c r="C198" s="1" t="s">
        <v>1755</v>
      </c>
      <c r="D198" s="1" t="n">
        <v>57</v>
      </c>
      <c r="E198" s="1" t="n">
        <v>67</v>
      </c>
    </row>
    <row r="199" customFormat="false" ht="15" hidden="false" customHeight="true" outlineLevel="0" collapsed="false">
      <c r="A199" s="1" t="s">
        <v>324</v>
      </c>
      <c r="B199" s="1" t="n">
        <v>30</v>
      </c>
      <c r="C199" s="1" t="s">
        <v>1764</v>
      </c>
      <c r="D199" s="1" t="n">
        <v>57</v>
      </c>
      <c r="E199" s="1" t="n">
        <v>67</v>
      </c>
    </row>
    <row r="200" customFormat="false" ht="15" hidden="false" customHeight="true" outlineLevel="0" collapsed="false">
      <c r="A200" s="1" t="s">
        <v>324</v>
      </c>
      <c r="B200" s="1" t="n">
        <v>37</v>
      </c>
      <c r="C200" s="1" t="s">
        <v>1768</v>
      </c>
      <c r="D200" s="1" t="n">
        <v>57</v>
      </c>
      <c r="E200" s="1" t="n">
        <v>67</v>
      </c>
    </row>
    <row r="201" customFormat="false" ht="15" hidden="false" customHeight="true" outlineLevel="0" collapsed="false">
      <c r="A201" s="1" t="s">
        <v>324</v>
      </c>
      <c r="B201" s="1" t="n">
        <v>50</v>
      </c>
      <c r="C201" s="1" t="s">
        <v>1781</v>
      </c>
      <c r="D201" s="1" t="n">
        <v>57</v>
      </c>
      <c r="E201" s="1" t="n">
        <v>67</v>
      </c>
    </row>
    <row r="202" customFormat="false" ht="15" hidden="false" customHeight="true" outlineLevel="0" collapsed="false">
      <c r="A202" s="1" t="s">
        <v>324</v>
      </c>
      <c r="B202" s="1" t="n">
        <v>55</v>
      </c>
      <c r="C202" s="1" t="s">
        <v>1786</v>
      </c>
      <c r="D202" s="1" t="n">
        <v>57</v>
      </c>
      <c r="E202" s="1" t="n">
        <v>67</v>
      </c>
    </row>
    <row r="203" customFormat="false" ht="15" hidden="false" customHeight="true" outlineLevel="0" collapsed="false">
      <c r="A203" s="1" t="s">
        <v>326</v>
      </c>
      <c r="B203" s="1" t="n">
        <v>1</v>
      </c>
      <c r="C203" s="1" t="s">
        <v>2612</v>
      </c>
      <c r="D203" s="1" t="n">
        <v>190</v>
      </c>
      <c r="E203" s="1" t="n">
        <v>200</v>
      </c>
    </row>
    <row r="204" customFormat="false" ht="15" hidden="false" customHeight="true" outlineLevel="0" collapsed="false">
      <c r="A204" s="1" t="s">
        <v>326</v>
      </c>
      <c r="B204" s="1" t="n">
        <v>11</v>
      </c>
      <c r="C204" s="1" t="s">
        <v>1801</v>
      </c>
      <c r="D204" s="1" t="n">
        <v>190</v>
      </c>
      <c r="E204" s="1" t="n">
        <v>200</v>
      </c>
    </row>
    <row r="205" customFormat="false" ht="15" hidden="false" customHeight="true" outlineLevel="0" collapsed="false">
      <c r="A205" s="1" t="s">
        <v>326</v>
      </c>
      <c r="B205" s="1" t="n">
        <v>62</v>
      </c>
      <c r="C205" s="1" t="s">
        <v>1837</v>
      </c>
      <c r="D205" s="1" t="n">
        <v>190</v>
      </c>
      <c r="E205" s="1" t="n">
        <v>200</v>
      </c>
    </row>
    <row r="206" customFormat="false" ht="15" hidden="false" customHeight="true" outlineLevel="0" collapsed="false">
      <c r="A206" s="1" t="s">
        <v>326</v>
      </c>
      <c r="B206" s="1" t="n">
        <v>77</v>
      </c>
      <c r="C206" s="1" t="s">
        <v>1848</v>
      </c>
      <c r="D206" s="1" t="n">
        <v>190</v>
      </c>
      <c r="E206" s="1" t="n">
        <v>200</v>
      </c>
    </row>
    <row r="207" customFormat="false" ht="15" hidden="false" customHeight="true" outlineLevel="0" collapsed="false">
      <c r="A207" s="1" t="s">
        <v>326</v>
      </c>
      <c r="B207" s="1" t="n">
        <v>84</v>
      </c>
      <c r="C207" s="1" t="s">
        <v>1853</v>
      </c>
      <c r="D207" s="1" t="n">
        <v>190</v>
      </c>
      <c r="E207" s="1" t="n">
        <v>200</v>
      </c>
    </row>
    <row r="208" customFormat="false" ht="15" hidden="false" customHeight="true" outlineLevel="0" collapsed="false">
      <c r="A208" s="1" t="s">
        <v>326</v>
      </c>
      <c r="B208" s="1" t="n">
        <v>106</v>
      </c>
      <c r="C208" s="1" t="s">
        <v>1867</v>
      </c>
      <c r="D208" s="1" t="n">
        <v>190</v>
      </c>
      <c r="E208" s="1" t="n">
        <v>200</v>
      </c>
    </row>
    <row r="209" customFormat="false" ht="15" hidden="false" customHeight="true" outlineLevel="0" collapsed="false">
      <c r="A209" s="1" t="s">
        <v>326</v>
      </c>
      <c r="B209" s="1" t="n">
        <v>119</v>
      </c>
      <c r="C209" s="1" t="s">
        <v>1871</v>
      </c>
      <c r="D209" s="1" t="n">
        <v>190</v>
      </c>
      <c r="E209" s="1" t="n">
        <v>200</v>
      </c>
    </row>
    <row r="210" customFormat="false" ht="15" hidden="false" customHeight="true" outlineLevel="0" collapsed="false">
      <c r="A210" s="1" t="s">
        <v>326</v>
      </c>
      <c r="B210" s="1" t="n">
        <v>182</v>
      </c>
      <c r="C210" s="1" t="s">
        <v>1892</v>
      </c>
      <c r="D210" s="1" t="n">
        <v>190</v>
      </c>
      <c r="E210" s="1" t="n">
        <v>200</v>
      </c>
    </row>
    <row r="211" customFormat="false" ht="15" hidden="false" customHeight="true" outlineLevel="0" collapsed="false">
      <c r="A211" s="1" t="s">
        <v>326</v>
      </c>
      <c r="B211" s="1" t="n">
        <v>188</v>
      </c>
      <c r="C211" s="1" t="s">
        <v>1895</v>
      </c>
      <c r="D211" s="1" t="n">
        <v>190</v>
      </c>
      <c r="E211" s="1" t="n">
        <v>200</v>
      </c>
    </row>
    <row r="212" customFormat="false" ht="15" hidden="false" customHeight="true" outlineLevel="0" collapsed="false">
      <c r="A212" s="1" t="s">
        <v>329</v>
      </c>
      <c r="B212" s="1" t="n">
        <v>1</v>
      </c>
      <c r="C212" s="1" t="s">
        <v>2613</v>
      </c>
      <c r="D212" s="1" t="n">
        <v>35</v>
      </c>
      <c r="E212" s="1" t="n">
        <v>45</v>
      </c>
    </row>
    <row r="213" customFormat="false" ht="15" hidden="false" customHeight="true" outlineLevel="0" collapsed="false">
      <c r="A213" s="1" t="s">
        <v>329</v>
      </c>
      <c r="B213" s="1" t="n">
        <v>32</v>
      </c>
      <c r="C213" s="1" t="s">
        <v>1927</v>
      </c>
      <c r="D213" s="1" t="n">
        <v>35</v>
      </c>
      <c r="E213" s="1" t="n">
        <v>45</v>
      </c>
    </row>
    <row r="214" customFormat="false" ht="15" hidden="false" customHeight="true" outlineLevel="0" collapsed="false">
      <c r="A214" s="1" t="s">
        <v>331</v>
      </c>
      <c r="B214" s="1" t="n">
        <v>1</v>
      </c>
      <c r="C214" s="1" t="s">
        <v>2614</v>
      </c>
      <c r="D214" s="1" t="n">
        <v>664</v>
      </c>
      <c r="E214" s="1" t="n">
        <v>674</v>
      </c>
    </row>
    <row r="215" customFormat="false" ht="15" hidden="false" customHeight="true" outlineLevel="0" collapsed="false">
      <c r="A215" s="1" t="s">
        <v>333</v>
      </c>
      <c r="B215" s="1" t="n">
        <v>1</v>
      </c>
      <c r="C215" s="1" t="s">
        <v>2615</v>
      </c>
      <c r="D215" s="1" t="n">
        <v>64</v>
      </c>
      <c r="E215" s="1" t="n">
        <v>74</v>
      </c>
    </row>
    <row r="216" customFormat="false" ht="15" hidden="false" customHeight="true" outlineLevel="0" collapsed="false">
      <c r="A216" s="1" t="s">
        <v>335</v>
      </c>
      <c r="B216" s="1" t="n">
        <v>1</v>
      </c>
      <c r="C216" s="1" t="s">
        <v>2616</v>
      </c>
      <c r="D216" s="1" t="n">
        <v>61</v>
      </c>
      <c r="E216" s="1" t="n">
        <v>71</v>
      </c>
    </row>
    <row r="217" customFormat="false" ht="15" hidden="false" customHeight="true" outlineLevel="0" collapsed="false">
      <c r="A217" s="1" t="s">
        <v>338</v>
      </c>
      <c r="B217" s="1" t="n">
        <v>1</v>
      </c>
      <c r="C217" s="1" t="s">
        <v>2617</v>
      </c>
      <c r="D217" s="1" t="n">
        <v>17</v>
      </c>
      <c r="E217" s="1" t="n">
        <v>27</v>
      </c>
    </row>
    <row r="218" customFormat="false" ht="15" hidden="false" customHeight="true" outlineLevel="0" collapsed="false">
      <c r="A218" s="1" t="s">
        <v>341</v>
      </c>
      <c r="B218" s="1" t="n">
        <v>1</v>
      </c>
      <c r="C218" s="1" t="s">
        <v>2618</v>
      </c>
      <c r="D218" s="1" t="n">
        <v>12</v>
      </c>
      <c r="E218" s="1" t="n">
        <v>22</v>
      </c>
    </row>
    <row r="219" customFormat="false" ht="15" hidden="false" customHeight="true" outlineLevel="0" collapsed="false">
      <c r="A219" s="1" t="s">
        <v>343</v>
      </c>
      <c r="B219" s="1" t="n">
        <v>1</v>
      </c>
      <c r="C219" s="1" t="s">
        <v>2619</v>
      </c>
      <c r="D219" s="1" t="n">
        <v>18</v>
      </c>
      <c r="E219" s="1" t="n">
        <v>28</v>
      </c>
    </row>
    <row r="220" customFormat="false" ht="15" hidden="false" customHeight="true" outlineLevel="0" collapsed="false">
      <c r="A220" s="1" t="s">
        <v>343</v>
      </c>
      <c r="B220" s="1" t="n">
        <v>10</v>
      </c>
      <c r="C220" s="1" t="s">
        <v>2049</v>
      </c>
      <c r="D220" s="1" t="n">
        <v>18</v>
      </c>
      <c r="E220" s="1" t="n">
        <v>28</v>
      </c>
    </row>
    <row r="221" customFormat="false" ht="15" hidden="false" customHeight="true" outlineLevel="0" collapsed="false">
      <c r="A221" s="1" t="s">
        <v>345</v>
      </c>
      <c r="B221" s="1" t="n">
        <v>1</v>
      </c>
      <c r="C221" s="1" t="s">
        <v>2620</v>
      </c>
      <c r="D221" s="1" t="n">
        <v>35</v>
      </c>
      <c r="E221" s="1" t="n">
        <v>45</v>
      </c>
    </row>
    <row r="222" customFormat="false" ht="15" hidden="false" customHeight="true" outlineLevel="0" collapsed="false">
      <c r="A222" s="1" t="s">
        <v>348</v>
      </c>
      <c r="B222" s="1" t="n">
        <v>1</v>
      </c>
      <c r="C222" s="1" t="s">
        <v>2621</v>
      </c>
      <c r="D222" s="1" t="n">
        <v>13</v>
      </c>
      <c r="E222" s="1" t="n">
        <v>23</v>
      </c>
    </row>
    <row r="223" customFormat="false" ht="15" hidden="false" customHeight="true" outlineLevel="0" collapsed="false">
      <c r="A223" s="1" t="s">
        <v>351</v>
      </c>
      <c r="B223" s="1" t="n">
        <v>1</v>
      </c>
      <c r="C223" s="1" t="s">
        <v>2622</v>
      </c>
      <c r="D223" s="1" t="n">
        <v>47</v>
      </c>
      <c r="E223" s="1" t="n">
        <v>57</v>
      </c>
    </row>
    <row r="224" customFormat="false" ht="15" hidden="false" customHeight="true" outlineLevel="0" collapsed="false">
      <c r="A224" s="1" t="s">
        <v>351</v>
      </c>
      <c r="B224" s="1" t="n">
        <v>30</v>
      </c>
      <c r="C224" s="1" t="s">
        <v>2119</v>
      </c>
      <c r="D224" s="1" t="n">
        <v>47</v>
      </c>
      <c r="E224" s="1" t="n">
        <v>57</v>
      </c>
    </row>
    <row r="225" customFormat="false" ht="15" hidden="false" customHeight="true" outlineLevel="0" collapsed="false">
      <c r="A225" s="1" t="s">
        <v>351</v>
      </c>
      <c r="B225" s="1" t="n">
        <v>38</v>
      </c>
      <c r="C225" s="1" t="s">
        <v>2127</v>
      </c>
      <c r="D225" s="1" t="n">
        <v>47</v>
      </c>
      <c r="E225" s="1" t="n">
        <v>57</v>
      </c>
    </row>
    <row r="226" customFormat="false" ht="15" hidden="false" customHeight="true" outlineLevel="0" collapsed="false">
      <c r="A226" s="1" t="s">
        <v>354</v>
      </c>
      <c r="B226" s="1" t="n">
        <v>1</v>
      </c>
      <c r="C226" s="1" t="s">
        <v>2623</v>
      </c>
      <c r="D226" s="1" t="n">
        <v>59</v>
      </c>
      <c r="E226" s="1" t="n">
        <v>69</v>
      </c>
    </row>
    <row r="227" customFormat="false" ht="15" hidden="false" customHeight="true" outlineLevel="0" collapsed="false">
      <c r="A227" s="1" t="s">
        <v>354</v>
      </c>
      <c r="B227" s="1" t="n">
        <v>40</v>
      </c>
      <c r="C227" s="1" t="s">
        <v>2173</v>
      </c>
      <c r="D227" s="1" t="n">
        <v>59</v>
      </c>
      <c r="E227" s="1" t="n">
        <v>69</v>
      </c>
    </row>
    <row r="228" customFormat="false" ht="15" hidden="false" customHeight="true" outlineLevel="0" collapsed="false">
      <c r="A228" s="1" t="s">
        <v>357</v>
      </c>
      <c r="B228" s="1" t="n">
        <v>1</v>
      </c>
      <c r="C228" s="1" t="s">
        <v>2624</v>
      </c>
      <c r="D228" s="1" t="n">
        <v>42</v>
      </c>
      <c r="E228" s="1" t="n">
        <v>52</v>
      </c>
    </row>
    <row r="229" customFormat="false" ht="15" hidden="false" customHeight="true" outlineLevel="0" collapsed="false">
      <c r="A229" s="1" t="s">
        <v>359</v>
      </c>
      <c r="B229" s="1" t="n">
        <v>1</v>
      </c>
      <c r="C229" s="1" t="s">
        <v>2625</v>
      </c>
      <c r="D229" s="1" t="n">
        <v>59</v>
      </c>
      <c r="E229" s="1" t="n">
        <v>69</v>
      </c>
    </row>
    <row r="230" customFormat="false" ht="15" hidden="false" customHeight="true" outlineLevel="0" collapsed="false">
      <c r="A230" s="1" t="s">
        <v>361</v>
      </c>
      <c r="B230" s="1" t="n">
        <v>1</v>
      </c>
      <c r="C230" s="1" t="s">
        <v>2626</v>
      </c>
      <c r="D230" s="1" t="n">
        <v>256</v>
      </c>
      <c r="E230" s="1" t="n">
        <v>266</v>
      </c>
    </row>
    <row r="231" customFormat="false" ht="15" hidden="false" customHeight="true" outlineLevel="0" collapsed="false">
      <c r="A231" s="1" t="s">
        <v>361</v>
      </c>
      <c r="B231" s="1" t="n">
        <v>4</v>
      </c>
      <c r="C231" s="1" t="s">
        <v>2238</v>
      </c>
      <c r="D231" s="1" t="n">
        <v>256</v>
      </c>
      <c r="E231" s="1" t="n">
        <v>266</v>
      </c>
    </row>
    <row r="232" customFormat="false" ht="15" hidden="false" customHeight="true" outlineLevel="0" collapsed="false">
      <c r="A232" s="1" t="s">
        <v>361</v>
      </c>
      <c r="B232" s="1" t="n">
        <v>28</v>
      </c>
      <c r="C232" s="1" t="s">
        <v>2252</v>
      </c>
      <c r="D232" s="1" t="n">
        <v>256</v>
      </c>
      <c r="E232" s="1" t="n">
        <v>266</v>
      </c>
    </row>
    <row r="233" customFormat="false" ht="15" hidden="false" customHeight="true" outlineLevel="0" collapsed="false">
      <c r="A233" s="1" t="s">
        <v>361</v>
      </c>
      <c r="B233" s="1" t="n">
        <v>35</v>
      </c>
      <c r="C233" s="1" t="s">
        <v>2257</v>
      </c>
      <c r="D233" s="1" t="n">
        <v>256</v>
      </c>
      <c r="E233" s="1" t="n">
        <v>266</v>
      </c>
    </row>
    <row r="234" customFormat="false" ht="15" hidden="false" customHeight="true" outlineLevel="0" collapsed="false">
      <c r="A234" s="1" t="s">
        <v>361</v>
      </c>
      <c r="B234" s="1" t="n">
        <v>46</v>
      </c>
      <c r="C234" s="1" t="s">
        <v>2265</v>
      </c>
      <c r="D234" s="1" t="n">
        <v>256</v>
      </c>
      <c r="E234" s="1" t="n">
        <v>266</v>
      </c>
    </row>
    <row r="235" customFormat="false" ht="15" hidden="false" customHeight="true" outlineLevel="0" collapsed="false">
      <c r="A235" s="1" t="s">
        <v>361</v>
      </c>
      <c r="B235" s="1" t="n">
        <v>52</v>
      </c>
      <c r="C235" s="1" t="s">
        <v>2267</v>
      </c>
      <c r="D235" s="1" t="n">
        <v>256</v>
      </c>
      <c r="E235" s="1" t="n">
        <v>266</v>
      </c>
    </row>
    <row r="236" customFormat="false" ht="15" hidden="false" customHeight="true" outlineLevel="0" collapsed="false">
      <c r="A236" s="1" t="s">
        <v>361</v>
      </c>
      <c r="B236" s="1" t="n">
        <v>59</v>
      </c>
      <c r="C236" s="1" t="s">
        <v>2272</v>
      </c>
      <c r="D236" s="1" t="n">
        <v>256</v>
      </c>
      <c r="E236" s="1" t="n">
        <v>266</v>
      </c>
    </row>
    <row r="237" customFormat="false" ht="15" hidden="false" customHeight="true" outlineLevel="0" collapsed="false">
      <c r="A237" s="1" t="s">
        <v>361</v>
      </c>
      <c r="B237" s="1" t="n">
        <v>70</v>
      </c>
      <c r="C237" s="1" t="s">
        <v>2278</v>
      </c>
      <c r="D237" s="1" t="n">
        <v>256</v>
      </c>
      <c r="E237" s="1" t="n">
        <v>266</v>
      </c>
    </row>
    <row r="238" customFormat="false" ht="15" hidden="false" customHeight="true" outlineLevel="0" collapsed="false">
      <c r="A238" s="1" t="s">
        <v>361</v>
      </c>
      <c r="B238" s="1" t="n">
        <v>79</v>
      </c>
      <c r="C238" s="1" t="s">
        <v>2285</v>
      </c>
      <c r="D238" s="1" t="n">
        <v>256</v>
      </c>
      <c r="E238" s="1" t="n">
        <v>266</v>
      </c>
    </row>
    <row r="239" customFormat="false" ht="15" hidden="false" customHeight="true" outlineLevel="0" collapsed="false">
      <c r="A239" s="1" t="s">
        <v>361</v>
      </c>
      <c r="B239" s="1" t="n">
        <v>85</v>
      </c>
      <c r="C239" s="1" t="s">
        <v>2289</v>
      </c>
      <c r="D239" s="1" t="n">
        <v>256</v>
      </c>
      <c r="E239" s="1" t="n">
        <v>266</v>
      </c>
    </row>
    <row r="240" customFormat="false" ht="15" hidden="false" customHeight="true" outlineLevel="0" collapsed="false">
      <c r="A240" s="1" t="s">
        <v>361</v>
      </c>
      <c r="B240" s="1" t="n">
        <v>93</v>
      </c>
      <c r="C240" s="1" t="s">
        <v>2295</v>
      </c>
      <c r="D240" s="1" t="n">
        <v>256</v>
      </c>
      <c r="E240" s="1" t="n">
        <v>266</v>
      </c>
    </row>
    <row r="241" customFormat="false" ht="15" hidden="false" customHeight="true" outlineLevel="0" collapsed="false">
      <c r="A241" s="1" t="s">
        <v>361</v>
      </c>
      <c r="B241" s="1" t="n">
        <v>158</v>
      </c>
      <c r="C241" s="1" t="s">
        <v>2303</v>
      </c>
      <c r="D241" s="1" t="n">
        <v>256</v>
      </c>
      <c r="E241" s="1" t="n">
        <v>266</v>
      </c>
    </row>
    <row r="242" customFormat="false" ht="15" hidden="false" customHeight="true" outlineLevel="0" collapsed="false">
      <c r="A242" s="1" t="s">
        <v>361</v>
      </c>
      <c r="B242" s="1" t="n">
        <v>166</v>
      </c>
      <c r="C242" s="1" t="s">
        <v>2310</v>
      </c>
      <c r="D242" s="1" t="n">
        <v>256</v>
      </c>
      <c r="E242" s="1" t="n">
        <v>266</v>
      </c>
    </row>
    <row r="243" customFormat="false" ht="15" hidden="false" customHeight="true" outlineLevel="0" collapsed="false">
      <c r="A243" s="1" t="s">
        <v>361</v>
      </c>
      <c r="B243" s="1" t="n">
        <v>172</v>
      </c>
      <c r="C243" s="1" t="s">
        <v>2313</v>
      </c>
      <c r="D243" s="1" t="n">
        <v>256</v>
      </c>
      <c r="E243" s="1" t="n">
        <v>266</v>
      </c>
    </row>
    <row r="244" customFormat="false" ht="15" hidden="false" customHeight="true" outlineLevel="0" collapsed="false">
      <c r="A244" s="1" t="s">
        <v>361</v>
      </c>
      <c r="B244" s="1" t="n">
        <v>178</v>
      </c>
      <c r="C244" s="1" t="s">
        <v>2317</v>
      </c>
      <c r="D244" s="1" t="n">
        <v>256</v>
      </c>
      <c r="E244" s="1" t="n">
        <v>266</v>
      </c>
    </row>
    <row r="245" customFormat="false" ht="15" hidden="false" customHeight="true" outlineLevel="0" collapsed="false">
      <c r="A245" s="1" t="s">
        <v>361</v>
      </c>
      <c r="B245" s="1" t="n">
        <v>196</v>
      </c>
      <c r="C245" s="1" t="s">
        <v>2350</v>
      </c>
      <c r="D245" s="1" t="n">
        <v>256</v>
      </c>
      <c r="E245" s="1" t="n">
        <v>266</v>
      </c>
    </row>
    <row r="246" customFormat="false" ht="15" hidden="false" customHeight="true" outlineLevel="0" collapsed="false">
      <c r="A246" s="1" t="s">
        <v>363</v>
      </c>
      <c r="B246" s="1" t="n">
        <v>1</v>
      </c>
      <c r="C246" s="1" t="s">
        <v>2627</v>
      </c>
      <c r="D246" s="1" t="n">
        <v>36</v>
      </c>
      <c r="E246" s="1" t="n">
        <v>46</v>
      </c>
    </row>
    <row r="247" customFormat="false" ht="15" hidden="false" customHeight="true" outlineLevel="0" collapsed="false">
      <c r="A247" s="1" t="s">
        <v>365</v>
      </c>
      <c r="B247" s="1" t="n">
        <v>1</v>
      </c>
      <c r="C247" s="1" t="s">
        <v>2628</v>
      </c>
      <c r="D247" s="1" t="n">
        <v>58</v>
      </c>
      <c r="E247" s="1" t="n">
        <v>68</v>
      </c>
    </row>
    <row r="248" customFormat="false" ht="15" hidden="false" customHeight="true" outlineLevel="0" collapsed="false">
      <c r="A248" s="1" t="s">
        <v>365</v>
      </c>
      <c r="B248" s="1" t="n">
        <v>23</v>
      </c>
      <c r="C248" s="1" t="s">
        <v>2429</v>
      </c>
      <c r="D248" s="1" t="n">
        <v>58</v>
      </c>
      <c r="E248" s="1" t="n">
        <v>68</v>
      </c>
    </row>
    <row r="249" customFormat="false" ht="15" hidden="false" customHeight="true" outlineLevel="0" collapsed="false">
      <c r="A249" s="1" t="s">
        <v>365</v>
      </c>
      <c r="B249" s="1" t="n">
        <v>41</v>
      </c>
      <c r="C249" s="1" t="s">
        <v>2437</v>
      </c>
      <c r="D249" s="1" t="n">
        <v>58</v>
      </c>
      <c r="E249" s="1" t="n">
        <v>68</v>
      </c>
    </row>
    <row r="250" customFormat="false" ht="15" hidden="false" customHeight="true" outlineLevel="0" collapsed="false">
      <c r="A250" s="1" t="s">
        <v>365</v>
      </c>
      <c r="B250" s="1" t="n">
        <v>49</v>
      </c>
      <c r="C250" s="1" t="s">
        <v>2443</v>
      </c>
      <c r="D250" s="1" t="n">
        <v>58</v>
      </c>
      <c r="E250" s="1" t="n">
        <v>68</v>
      </c>
    </row>
    <row r="251" customFormat="false" ht="15" hidden="false" customHeight="true" outlineLevel="0" collapsed="false">
      <c r="A251" s="1" t="s">
        <v>365</v>
      </c>
      <c r="B251" s="1" t="n">
        <v>56</v>
      </c>
      <c r="C251" s="1" t="s">
        <v>2447</v>
      </c>
      <c r="D251" s="1" t="n">
        <v>58</v>
      </c>
      <c r="E251" s="1" t="n">
        <v>68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5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7"/>
    <col collapsed="false" customWidth="true" hidden="false" outlineLevel="0" max="10" min="2" style="1" width="19"/>
    <col collapsed="false" customWidth="true" hidden="false" outlineLevel="0" max="15" min="12" style="1" width="16"/>
  </cols>
  <sheetData>
    <row r="1" customFormat="false" ht="15.75" hidden="false" customHeight="true" outlineLevel="0" collapsed="false">
      <c r="A1" s="15" t="s">
        <v>459</v>
      </c>
    </row>
    <row r="2" customFormat="false" ht="15" hidden="false" customHeight="true" outlineLevel="0" collapsed="false">
      <c r="A2" s="7" t="s">
        <v>460</v>
      </c>
    </row>
    <row r="3" customFormat="false" ht="15" hidden="false" customHeight="true" outlineLevel="0" collapsed="false">
      <c r="A3" s="7" t="s">
        <v>461</v>
      </c>
    </row>
    <row r="4" customFormat="false" ht="15" hidden="false" customHeight="true" outlineLevel="0" collapsed="false">
      <c r="A4" s="7" t="s">
        <v>462</v>
      </c>
    </row>
    <row r="6" customFormat="false" ht="15" hidden="false" customHeight="true" outlineLevel="0" collapsed="false">
      <c r="A6" s="8" t="s">
        <v>463</v>
      </c>
      <c r="B6" s="8" t="s">
        <v>464</v>
      </c>
      <c r="C6" s="8" t="s">
        <v>465</v>
      </c>
      <c r="D6" s="8" t="s">
        <v>466</v>
      </c>
      <c r="E6" s="8" t="s">
        <v>467</v>
      </c>
      <c r="F6" s="8" t="s">
        <v>468</v>
      </c>
      <c r="G6" s="8" t="s">
        <v>469</v>
      </c>
      <c r="H6" s="8" t="s">
        <v>470</v>
      </c>
      <c r="I6" s="8" t="s">
        <v>471</v>
      </c>
      <c r="J6" s="8" t="s">
        <v>472</v>
      </c>
      <c r="L6" s="6" t="s">
        <v>473</v>
      </c>
    </row>
    <row r="7" customFormat="false" ht="15" hidden="false" customHeight="true" outlineLevel="0" collapsed="false">
      <c r="A7" s="3" t="n">
        <v>60</v>
      </c>
      <c r="B7" s="29" t="n">
        <v>0.00653895</v>
      </c>
      <c r="C7" s="29" t="n">
        <v>0.00456726</v>
      </c>
      <c r="D7" s="30" t="n">
        <f aca="false">(B7+C7)/2</f>
        <v>0.005553105</v>
      </c>
      <c r="E7" s="31" t="n">
        <f aca="false">LOOKUP($A7,{60,65,70,75,80,85,90,95},{0.78,0.82,0.85,0.88,0.91,0.94,0.97,1})</f>
        <v>0.78</v>
      </c>
      <c r="F7" s="31" t="n">
        <f aca="false">Assumptions!$B$49</f>
        <v>0.9</v>
      </c>
      <c r="G7" s="30" t="n">
        <f aca="false">D7*E7*F7</f>
        <v>0.00389827971</v>
      </c>
      <c r="H7" s="30" t="n">
        <f aca="false">INDEX(Mortality_Matrix!$B$4:$BS$64,MATCH($A7,Mortality_Matrix!$A$4:$A$64,0),MATCH(2026,Mortality_Matrix!$B$3:$BS$3,0))</f>
        <v>0.0029124473</v>
      </c>
      <c r="I7" s="32" t="n">
        <f aca="false">H7/G7</f>
        <v>0.747110909596582</v>
      </c>
      <c r="J7" s="5"/>
      <c r="L7" s="7" t="s">
        <v>474</v>
      </c>
    </row>
    <row r="8" customFormat="false" ht="15" hidden="false" customHeight="true" outlineLevel="0" collapsed="false">
      <c r="A8" s="3" t="n">
        <v>61</v>
      </c>
      <c r="B8" s="29" t="n">
        <v>0.00723827</v>
      </c>
      <c r="C8" s="29" t="n">
        <v>0.00500927</v>
      </c>
      <c r="D8" s="30" t="n">
        <f aca="false">(B8+C8)/2</f>
        <v>0.00612377</v>
      </c>
      <c r="E8" s="31" t="n">
        <f aca="false">LOOKUP($A8,{60,65,70,75,80,85,90,95},{0.78,0.82,0.85,0.88,0.91,0.94,0.97,1})</f>
        <v>0.78</v>
      </c>
      <c r="F8" s="31" t="n">
        <f aca="false">Assumptions!$B$49</f>
        <v>0.9</v>
      </c>
      <c r="G8" s="30" t="n">
        <f aca="false">D8*E8*F8</f>
        <v>0.00429888654</v>
      </c>
      <c r="H8" s="30" t="n">
        <f aca="false">INDEX(Mortality_Matrix!$B$4:$BS$64,MATCH($A8,Mortality_Matrix!$A$4:$A$64,0),MATCH(2026,Mortality_Matrix!$B$3:$BS$3,0))</f>
        <v>0.0032298368</v>
      </c>
      <c r="I8" s="32" t="n">
        <f aca="false">H8/G8</f>
        <v>0.751319386996429</v>
      </c>
      <c r="J8" s="5" t="str">
        <f aca="false">IF(D8&lt;D7,"NON-MONOTONE","ok")</f>
        <v>ok</v>
      </c>
      <c r="L8" s="7" t="s">
        <v>475</v>
      </c>
    </row>
    <row r="9" customFormat="false" ht="15" hidden="false" customHeight="true" outlineLevel="0" collapsed="false">
      <c r="A9" s="3" t="n">
        <v>62</v>
      </c>
      <c r="B9" s="29" t="n">
        <v>0.00802233</v>
      </c>
      <c r="C9" s="29" t="n">
        <v>0.00549415</v>
      </c>
      <c r="D9" s="30" t="n">
        <f aca="false">(B9+C9)/2</f>
        <v>0.00675824</v>
      </c>
      <c r="E9" s="31" t="n">
        <f aca="false">LOOKUP($A9,{60,65,70,75,80,85,90,95},{0.78,0.82,0.85,0.88,0.91,0.94,0.97,1})</f>
        <v>0.78</v>
      </c>
      <c r="F9" s="31" t="n">
        <f aca="false">Assumptions!$B$49</f>
        <v>0.9</v>
      </c>
      <c r="G9" s="30" t="n">
        <f aca="false">D9*E9*F9</f>
        <v>0.00474428448</v>
      </c>
      <c r="H9" s="30" t="n">
        <f aca="false">INDEX(Mortality_Matrix!$B$4:$BS$64,MATCH($A9,Mortality_Matrix!$A$4:$A$64,0),MATCH(2026,Mortality_Matrix!$B$3:$BS$3,0))</f>
        <v>0.0035845904</v>
      </c>
      <c r="I9" s="32" t="n">
        <f aca="false">H9/G9</f>
        <v>0.75555975091949</v>
      </c>
      <c r="J9" s="5" t="str">
        <f aca="false">IF(D9&lt;D8,"NON-MONOTONE","ok")</f>
        <v>ok</v>
      </c>
    </row>
    <row r="10" customFormat="false" ht="15" hidden="false" customHeight="true" outlineLevel="0" collapsed="false">
      <c r="A10" s="3" t="n">
        <v>63</v>
      </c>
      <c r="B10" s="29" t="n">
        <v>0.00890193</v>
      </c>
      <c r="C10" s="29" t="n">
        <v>0.00602782</v>
      </c>
      <c r="D10" s="30" t="n">
        <f aca="false">(B10+C10)/2</f>
        <v>0.007464875</v>
      </c>
      <c r="E10" s="31" t="n">
        <f aca="false">LOOKUP($A10,{60,65,70,75,80,85,90,95},{0.78,0.82,0.85,0.88,0.91,0.94,0.97,1})</f>
        <v>0.78</v>
      </c>
      <c r="F10" s="31" t="n">
        <f aca="false">Assumptions!$B$49</f>
        <v>0.9</v>
      </c>
      <c r="G10" s="30" t="n">
        <f aca="false">D10*E10*F10</f>
        <v>0.00524034225</v>
      </c>
      <c r="H10" s="30" t="n">
        <f aca="false">INDEX(Mortality_Matrix!$B$4:$BS$64,MATCH($A10,Mortality_Matrix!$A$4:$A$64,0),MATCH(2026,Mortality_Matrix!$B$3:$BS$3,0))</f>
        <v>0.0039817842</v>
      </c>
      <c r="I10" s="32" t="n">
        <f aca="false">H10/G10</f>
        <v>0.759832852520272</v>
      </c>
      <c r="J10" s="5" t="str">
        <f aca="false">IF(D10&lt;D9,"NON-MONOTONE","ok")</f>
        <v>ok</v>
      </c>
      <c r="L10" s="1" t="s">
        <v>476</v>
      </c>
      <c r="M10" s="33" t="n">
        <v>0.000261159450505231</v>
      </c>
    </row>
    <row r="11" customFormat="false" ht="15" hidden="false" customHeight="true" outlineLevel="0" collapsed="false">
      <c r="A11" s="3" t="n">
        <v>64</v>
      </c>
      <c r="B11" s="29" t="n">
        <v>0.00988932</v>
      </c>
      <c r="C11" s="29" t="n">
        <v>0.00661725</v>
      </c>
      <c r="D11" s="30" t="n">
        <f aca="false">(B11+C11)/2</f>
        <v>0.008253285</v>
      </c>
      <c r="E11" s="31" t="n">
        <f aca="false">LOOKUP($A11,{60,65,70,75,80,85,90,95},{0.78,0.82,0.85,0.88,0.91,0.94,0.97,1})</f>
        <v>0.78</v>
      </c>
      <c r="F11" s="31" t="n">
        <f aca="false">Assumptions!$B$49</f>
        <v>0.9</v>
      </c>
      <c r="G11" s="30" t="n">
        <f aca="false">D11*E11*F11</f>
        <v>0.00579380607</v>
      </c>
      <c r="H11" s="30" t="n">
        <f aca="false">INDEX(Mortality_Matrix!$B$4:$BS$64,MATCH($A11,Mortality_Matrix!$A$4:$A$64,0),MATCH(2026,Mortality_Matrix!$B$3:$BS$3,0))</f>
        <v>0.0044272762</v>
      </c>
      <c r="I11" s="32" t="n">
        <f aca="false">H11/G11</f>
        <v>0.764139521846302</v>
      </c>
      <c r="J11" s="5" t="str">
        <f aca="false">IF(D11&lt;D10,"NON-MONOTONE","ok")</f>
        <v>ok</v>
      </c>
      <c r="L11" s="1" t="s">
        <v>477</v>
      </c>
      <c r="M11" s="29" t="n">
        <v>0.0747561308802937</v>
      </c>
    </row>
    <row r="12" customFormat="false" ht="15" hidden="false" customHeight="true" outlineLevel="0" collapsed="false">
      <c r="A12" s="3" t="n">
        <v>65</v>
      </c>
      <c r="B12" s="29" t="n">
        <v>0.01099831</v>
      </c>
      <c r="C12" s="29" t="n">
        <v>0.00727075</v>
      </c>
      <c r="D12" s="30" t="n">
        <f aca="false">(B12+C12)/2</f>
        <v>0.00913453</v>
      </c>
      <c r="E12" s="31" t="n">
        <f aca="false">LOOKUP($A12,{60,65,70,75,80,85,90,95},{0.78,0.82,0.85,0.88,0.91,0.94,0.97,1})</f>
        <v>0.82</v>
      </c>
      <c r="F12" s="31" t="n">
        <f aca="false">Assumptions!$B$49</f>
        <v>0.9</v>
      </c>
      <c r="G12" s="30" t="n">
        <f aca="false">D12*E12*F12</f>
        <v>0.00674128314</v>
      </c>
      <c r="H12" s="30" t="n">
        <f aca="false">INDEX(Mortality_Matrix!$B$4:$BS$64,MATCH($A12,Mortality_Matrix!$A$4:$A$64,0),MATCH(2026,Mortality_Matrix!$B$3:$BS$3,0))</f>
        <v>0.0051805459</v>
      </c>
      <c r="I12" s="32" t="n">
        <f aca="false">H12/G12</f>
        <v>0.768480687194515</v>
      </c>
      <c r="J12" s="5" t="str">
        <f aca="false">IF(D12&lt;D11,"NON-MONOTONE","ok")</f>
        <v>ok</v>
      </c>
    </row>
    <row r="13" customFormat="false" ht="15" hidden="false" customHeight="true" outlineLevel="0" collapsed="false">
      <c r="A13" s="3" t="n">
        <v>66</v>
      </c>
      <c r="B13" s="29" t="n">
        <v>0.01224452</v>
      </c>
      <c r="C13" s="29" t="n">
        <v>0.00799812</v>
      </c>
      <c r="D13" s="30" t="n">
        <f aca="false">(B13+C13)/2</f>
        <v>0.01012132</v>
      </c>
      <c r="E13" s="31" t="n">
        <f aca="false">LOOKUP($A13,{60,65,70,75,80,85,90,95},{0.78,0.82,0.85,0.88,0.91,0.94,0.97,1})</f>
        <v>0.82</v>
      </c>
      <c r="F13" s="31" t="n">
        <f aca="false">Assumptions!$B$49</f>
        <v>0.9</v>
      </c>
      <c r="G13" s="30" t="n">
        <f aca="false">D13*E13*F13</f>
        <v>0.00746953416</v>
      </c>
      <c r="H13" s="30" t="n">
        <f aca="false">INDEX(Mortality_Matrix!$B$4:$BS$64,MATCH($A13,Mortality_Matrix!$A$4:$A$64,0),MATCH(2026,Mortality_Matrix!$B$3:$BS$3,0))</f>
        <v>0.0057728834</v>
      </c>
      <c r="I13" s="32" t="n">
        <f aca="false">H13/G13</f>
        <v>0.772857219251274</v>
      </c>
      <c r="J13" s="5" t="str">
        <f aca="false">IF(D13&lt;D12,"NON-MONOTONE","ok")</f>
        <v>ok</v>
      </c>
      <c r="L13" s="8" t="s">
        <v>463</v>
      </c>
      <c r="M13" s="8" t="s">
        <v>478</v>
      </c>
      <c r="N13" s="8" t="s">
        <v>479</v>
      </c>
      <c r="O13" s="8" t="s">
        <v>480</v>
      </c>
    </row>
    <row r="14" customFormat="false" ht="15" hidden="false" customHeight="true" outlineLevel="0" collapsed="false">
      <c r="A14" s="3" t="n">
        <v>67</v>
      </c>
      <c r="B14" s="29" t="n">
        <v>0.01364559</v>
      </c>
      <c r="C14" s="29" t="n">
        <v>0.00881107</v>
      </c>
      <c r="D14" s="30" t="n">
        <f aca="false">(B14+C14)/2</f>
        <v>0.01122833</v>
      </c>
      <c r="E14" s="31" t="n">
        <f aca="false">LOOKUP($A14,{60,65,70,75,80,85,90,95},{0.78,0.82,0.85,0.88,0.91,0.94,0.97,1})</f>
        <v>0.82</v>
      </c>
      <c r="F14" s="31" t="n">
        <f aca="false">Assumptions!$B$49</f>
        <v>0.9</v>
      </c>
      <c r="G14" s="30" t="n">
        <f aca="false">D14*E14*F14</f>
        <v>0.00828650754</v>
      </c>
      <c r="H14" s="30" t="n">
        <f aca="false">INDEX(Mortality_Matrix!$B$4:$BS$64,MATCH($A14,Mortality_Matrix!$A$4:$A$64,0),MATCH(2026,Mortality_Matrix!$B$3:$BS$3,0))</f>
        <v>0.0064408541</v>
      </c>
      <c r="I14" s="32" t="n">
        <f aca="false">H14/G14</f>
        <v>0.777270046386756</v>
      </c>
      <c r="J14" s="5" t="str">
        <f aca="false">IF(D14&lt;D13,"NON-MONOTONE","ok")</f>
        <v>ok</v>
      </c>
      <c r="L14" s="3" t="n">
        <v>90</v>
      </c>
      <c r="M14" s="30" t="n">
        <f aca="false">D37</f>
        <v>0.16636143</v>
      </c>
      <c r="N14" s="30" t="n">
        <f aca="false">($M$10*EXP($M$11*L14))/(1+$M$10*EXP($M$11*L14))</f>
        <v>0.179119018799491</v>
      </c>
      <c r="O14" s="11" t="n">
        <f aca="false">N14/M14</f>
        <v>1.076685977029</v>
      </c>
    </row>
    <row r="15" customFormat="false" ht="15" hidden="false" customHeight="true" outlineLevel="0" collapsed="false">
      <c r="A15" s="3" t="n">
        <v>68</v>
      </c>
      <c r="B15" s="29" t="n">
        <v>0.01522143</v>
      </c>
      <c r="C15" s="29" t="n">
        <v>0.00972357</v>
      </c>
      <c r="D15" s="30" t="n">
        <f aca="false">(B15+C15)/2</f>
        <v>0.0124725</v>
      </c>
      <c r="E15" s="31" t="n">
        <f aca="false">LOOKUP($A15,{60,65,70,75,80,85,90,95},{0.78,0.82,0.85,0.88,0.91,0.94,0.97,1})</f>
        <v>0.82</v>
      </c>
      <c r="F15" s="31" t="n">
        <f aca="false">Assumptions!$B$49</f>
        <v>0.9</v>
      </c>
      <c r="G15" s="30" t="n">
        <f aca="false">D15*E15*F15</f>
        <v>0.009204705</v>
      </c>
      <c r="H15" s="30" t="n">
        <f aca="false">INDEX(Mortality_Matrix!$B$4:$BS$64,MATCH($A15,Mortality_Matrix!$A$4:$A$64,0),MATCH(2026,Mortality_Matrix!$B$3:$BS$3,0))</f>
        <v>0.0071955025</v>
      </c>
      <c r="I15" s="32" t="n">
        <f aca="false">H15/G15</f>
        <v>0.781720055123983</v>
      </c>
      <c r="J15" s="5" t="str">
        <f aca="false">IF(D15&lt;D14,"NON-MONOTONE","ok")</f>
        <v>ok</v>
      </c>
      <c r="L15" s="3" t="n">
        <v>91</v>
      </c>
      <c r="M15" s="30" t="n">
        <f aca="false">D38</f>
        <v>0.1856182</v>
      </c>
      <c r="N15" s="30" t="n">
        <f aca="false">($M$10*EXP($M$11*L15))/(1+$M$10*EXP($M$11*L15))</f>
        <v>0.190375595058328</v>
      </c>
      <c r="O15" s="11" t="n">
        <f aca="false">N15/M15</f>
        <v>1.02563000319111</v>
      </c>
    </row>
    <row r="16" customFormat="false" ht="15" hidden="false" customHeight="true" outlineLevel="0" collapsed="false">
      <c r="A16" s="3" t="n">
        <v>69</v>
      </c>
      <c r="B16" s="29" t="n">
        <v>0.0169945</v>
      </c>
      <c r="C16" s="29" t="n">
        <v>0.01075229</v>
      </c>
      <c r="D16" s="30" t="n">
        <f aca="false">(B16+C16)/2</f>
        <v>0.013873395</v>
      </c>
      <c r="E16" s="31" t="n">
        <f aca="false">LOOKUP($A16,{60,65,70,75,80,85,90,95},{0.78,0.82,0.85,0.88,0.91,0.94,0.97,1})</f>
        <v>0.82</v>
      </c>
      <c r="F16" s="31" t="n">
        <f aca="false">Assumptions!$B$49</f>
        <v>0.9</v>
      </c>
      <c r="G16" s="30" t="n">
        <f aca="false">D16*E16*F16</f>
        <v>0.01023856551</v>
      </c>
      <c r="H16" s="30" t="n">
        <f aca="false">INDEX(Mortality_Matrix!$B$4:$BS$64,MATCH($A16,Mortality_Matrix!$A$4:$A$64,0),MATCH(2026,Mortality_Matrix!$B$3:$BS$3,0))</f>
        <v>0.0080496433</v>
      </c>
      <c r="I16" s="32" t="n">
        <f aca="false">H16/G16</f>
        <v>0.786208115984404</v>
      </c>
      <c r="J16" s="5" t="str">
        <f aca="false">IF(D16&lt;D15,"NON-MONOTONE","ok")</f>
        <v>ok</v>
      </c>
      <c r="L16" s="3" t="n">
        <v>92</v>
      </c>
      <c r="M16" s="30" t="n">
        <f aca="false">D39</f>
        <v>0.204597085</v>
      </c>
      <c r="N16" s="30" t="n">
        <f aca="false">($M$10*EXP($M$11*L16))/(1+$M$10*EXP($M$11*L16))</f>
        <v>0.202165361102597</v>
      </c>
      <c r="O16" s="11" t="n">
        <f aca="false">N16/M16</f>
        <v>0.988114572124022</v>
      </c>
    </row>
    <row r="17" customFormat="false" ht="15" hidden="false" customHeight="true" outlineLevel="0" collapsed="false">
      <c r="A17" s="3" t="n">
        <v>70</v>
      </c>
      <c r="B17" s="29" t="n">
        <v>0.01899014</v>
      </c>
      <c r="C17" s="29" t="n">
        <v>0.01191729</v>
      </c>
      <c r="D17" s="30" t="n">
        <f aca="false">(B17+C17)/2</f>
        <v>0.015453715</v>
      </c>
      <c r="E17" s="31" t="n">
        <f aca="false">LOOKUP($A17,{60,65,70,75,80,85,90,95},{0.78,0.82,0.85,0.88,0.91,0.94,0.97,1})</f>
        <v>0.85</v>
      </c>
      <c r="F17" s="31" t="n">
        <f aca="false">Assumptions!$B$49</f>
        <v>0.9</v>
      </c>
      <c r="G17" s="30" t="n">
        <f aca="false">D17*E17*F17</f>
        <v>0.011822091975</v>
      </c>
      <c r="H17" s="30" t="n">
        <f aca="false">INDEX(Mortality_Matrix!$B$4:$BS$64,MATCH($A17,Mortality_Matrix!$A$4:$A$64,0),MATCH(2026,Mortality_Matrix!$B$3:$BS$3,0))</f>
        <v>0.0093481424</v>
      </c>
      <c r="I17" s="32" t="n">
        <f aca="false">H17/G17</f>
        <v>0.790735042475425</v>
      </c>
      <c r="J17" s="5" t="str">
        <f aca="false">IF(D17&lt;D16,"NON-MONOTONE","ok")</f>
        <v>ok</v>
      </c>
      <c r="L17" s="3" t="n">
        <v>93</v>
      </c>
      <c r="M17" s="30" t="n">
        <f aca="false">D40</f>
        <v>0.221756995</v>
      </c>
      <c r="N17" s="30" t="n">
        <f aca="false">($M$10*EXP($M$11*L17))/(1+$M$10*EXP($M$11*L17))</f>
        <v>0.214491824231173</v>
      </c>
      <c r="O17" s="11" t="n">
        <f aca="false">N17/M17</f>
        <v>0.967238143857304</v>
      </c>
    </row>
    <row r="18" customFormat="false" ht="15" hidden="false" customHeight="true" outlineLevel="0" collapsed="false">
      <c r="A18" s="3" t="n">
        <v>71</v>
      </c>
      <c r="B18" s="29" t="n">
        <v>0.02123685</v>
      </c>
      <c r="C18" s="29" t="n">
        <v>0.0132427</v>
      </c>
      <c r="D18" s="30" t="n">
        <f aca="false">(B18+C18)/2</f>
        <v>0.017239775</v>
      </c>
      <c r="E18" s="31" t="n">
        <f aca="false">LOOKUP($A18,{60,65,70,75,80,85,90,95},{0.78,0.82,0.85,0.88,0.91,0.94,0.97,1})</f>
        <v>0.85</v>
      </c>
      <c r="F18" s="31" t="n">
        <f aca="false">Assumptions!$B$49</f>
        <v>0.9</v>
      </c>
      <c r="G18" s="30" t="n">
        <f aca="false">D18*E18*F18</f>
        <v>0.013188427875</v>
      </c>
      <c r="H18" s="30" t="n">
        <f aca="false">INDEX(Mortality_Matrix!$B$4:$BS$64,MATCH($A18,Mortality_Matrix!$A$4:$A$64,0),MATCH(2026,Mortality_Matrix!$B$3:$BS$3,0))</f>
        <v>0.0104887775</v>
      </c>
      <c r="I18" s="32" t="n">
        <f aca="false">H18/G18</f>
        <v>0.795301577975229</v>
      </c>
      <c r="J18" s="5" t="str">
        <f aca="false">IF(D18&lt;D17,"NON-MONOTONE","ok")</f>
        <v>ok</v>
      </c>
      <c r="L18" s="3" t="n">
        <v>94</v>
      </c>
      <c r="M18" s="30" t="n">
        <f aca="false">D41</f>
        <v>0.236952315</v>
      </c>
      <c r="N18" s="30" t="n">
        <f aca="false">($M$10*EXP($M$11*L18))/(1+$M$10*EXP($M$11*L18))</f>
        <v>0.227355686483837</v>
      </c>
      <c r="O18" s="11" t="n">
        <f aca="false">N18/M18</f>
        <v>0.959499747803</v>
      </c>
    </row>
    <row r="19" customFormat="false" ht="15" hidden="false" customHeight="true" outlineLevel="0" collapsed="false">
      <c r="A19" s="3" t="n">
        <v>72</v>
      </c>
      <c r="B19" s="29" t="n">
        <v>0.02376674</v>
      </c>
      <c r="C19" s="29" t="n">
        <v>0.0147577</v>
      </c>
      <c r="D19" s="30" t="n">
        <f aca="false">(B19+C19)/2</f>
        <v>0.01926222</v>
      </c>
      <c r="E19" s="31" t="n">
        <f aca="false">LOOKUP($A19,{60,65,70,75,80,85,90,95},{0.78,0.82,0.85,0.88,0.91,0.94,0.97,1})</f>
        <v>0.85</v>
      </c>
      <c r="F19" s="31" t="n">
        <f aca="false">Assumptions!$B$49</f>
        <v>0.9</v>
      </c>
      <c r="G19" s="30" t="n">
        <f aca="false">D19*E19*F19</f>
        <v>0.0147355983</v>
      </c>
      <c r="H19" s="30" t="n">
        <f aca="false">INDEX(Mortality_Matrix!$B$4:$BS$64,MATCH($A19,Mortality_Matrix!$A$4:$A$64,0),MATCH(2026,Mortality_Matrix!$B$3:$BS$3,0))</f>
        <v>0.0117871282</v>
      </c>
      <c r="I19" s="32" t="n">
        <f aca="false">H19/G19</f>
        <v>0.799908355265086</v>
      </c>
      <c r="J19" s="5" t="str">
        <f aca="false">IF(D19&lt;D18,"NON-MONOTONE","ok")</f>
        <v>ok</v>
      </c>
      <c r="L19" s="3" t="n">
        <v>95</v>
      </c>
      <c r="M19" s="30" t="n">
        <f aca="false">D42</f>
        <v>0.250360905</v>
      </c>
      <c r="N19" s="30" t="n">
        <f aca="false">($M$10*EXP($M$11*L19))/(1+$M$10*EXP($M$11*L19))</f>
        <v>0.240754582775464</v>
      </c>
      <c r="O19" s="11" t="n">
        <f aca="false">N19/M19</f>
        <v>0.961630102653064</v>
      </c>
    </row>
    <row r="20" customFormat="false" ht="15" hidden="false" customHeight="true" outlineLevel="0" collapsed="false">
      <c r="A20" s="3" t="n">
        <v>73</v>
      </c>
      <c r="B20" s="29" t="n">
        <v>0.02661587</v>
      </c>
      <c r="C20" s="29" t="n">
        <v>0.01649767</v>
      </c>
      <c r="D20" s="30" t="n">
        <f aca="false">(B20+C20)/2</f>
        <v>0.02155677</v>
      </c>
      <c r="E20" s="31" t="n">
        <f aca="false">LOOKUP($A20,{60,65,70,75,80,85,90,95},{0.78,0.82,0.85,0.88,0.91,0.94,0.97,1})</f>
        <v>0.85</v>
      </c>
      <c r="F20" s="31" t="n">
        <f aca="false">Assumptions!$B$49</f>
        <v>0.9</v>
      </c>
      <c r="G20" s="30" t="n">
        <f aca="false">D20*E20*F20</f>
        <v>0.01649092905</v>
      </c>
      <c r="H20" s="30" t="n">
        <f aca="false">INDEX(Mortality_Matrix!$B$4:$BS$64,MATCH($A20,Mortality_Matrix!$A$4:$A$64,0),MATCH(2026,Mortality_Matrix!$B$3:$BS$3,0))</f>
        <v>0.0132678733</v>
      </c>
      <c r="I20" s="32" t="n">
        <f aca="false">H20/G20</f>
        <v>0.804555841564305</v>
      </c>
      <c r="J20" s="5" t="str">
        <f aca="false">IF(D20&lt;D19,"NON-MONOTONE","ok")</f>
        <v>ok</v>
      </c>
      <c r="L20" s="3" t="n">
        <v>96</v>
      </c>
      <c r="M20" s="30" t="n">
        <f aca="false">D43</f>
        <v>0.26227059</v>
      </c>
      <c r="N20" s="30" t="n">
        <f aca="false">($M$10*EXP($M$11*L20))/(1+$M$10*EXP($M$11*L20))</f>
        <v>0.254682837794085</v>
      </c>
      <c r="O20" s="11" t="n">
        <f aca="false">N20/M20</f>
        <v>0.971068993264113</v>
      </c>
    </row>
    <row r="21" customFormat="false" ht="15" hidden="false" customHeight="true" outlineLevel="0" collapsed="false">
      <c r="A21" s="3" t="n">
        <v>74</v>
      </c>
      <c r="B21" s="29" t="n">
        <v>0.02982471</v>
      </c>
      <c r="C21" s="29" t="n">
        <v>0.01850572</v>
      </c>
      <c r="D21" s="30" t="n">
        <f aca="false">(B21+C21)/2</f>
        <v>0.024165215</v>
      </c>
      <c r="E21" s="31" t="n">
        <f aca="false">LOOKUP($A21,{60,65,70,75,80,85,90,95},{0.78,0.82,0.85,0.88,0.91,0.94,0.97,1})</f>
        <v>0.85</v>
      </c>
      <c r="F21" s="31" t="n">
        <f aca="false">Assumptions!$B$49</f>
        <v>0.9</v>
      </c>
      <c r="G21" s="30" t="n">
        <f aca="false">D21*E21*F21</f>
        <v>0.018486389475</v>
      </c>
      <c r="H21" s="30" t="n">
        <f aca="false">INDEX(Mortality_Matrix!$B$4:$BS$64,MATCH($A21,Mortality_Matrix!$A$4:$A$64,0),MATCH(2026,Mortality_Matrix!$B$3:$BS$3,0))</f>
        <v>0.0149600053</v>
      </c>
      <c r="I21" s="32" t="n">
        <f aca="false">H21/G21</f>
        <v>0.809244299446958</v>
      </c>
      <c r="J21" s="5" t="str">
        <f aca="false">IF(D21&lt;D20,"NON-MONOTONE","ok")</f>
        <v>ok</v>
      </c>
      <c r="L21" s="3" t="n">
        <v>97</v>
      </c>
      <c r="M21" s="30" t="n">
        <f aca="false">D44</f>
        <v>0.273024695</v>
      </c>
      <c r="N21" s="30" t="n">
        <f aca="false">($M$10*EXP($M$11*L21))/(1+$M$10*EXP($M$11*L21))</f>
        <v>0.269131249198973</v>
      </c>
      <c r="O21" s="11" t="n">
        <f aca="false">N21/M21</f>
        <v>0.98573958373609</v>
      </c>
    </row>
    <row r="22" customFormat="false" ht="15" hidden="false" customHeight="true" outlineLevel="0" collapsed="false">
      <c r="A22" s="3" t="n">
        <v>75</v>
      </c>
      <c r="B22" s="29" t="n">
        <v>0.0334386</v>
      </c>
      <c r="C22" s="29" t="n">
        <v>0.02083453</v>
      </c>
      <c r="D22" s="30" t="n">
        <f aca="false">(B22+C22)/2</f>
        <v>0.027136565</v>
      </c>
      <c r="E22" s="31" t="n">
        <f aca="false">LOOKUP($A22,{60,65,70,75,80,85,90,95},{0.78,0.82,0.85,0.88,0.91,0.94,0.97,1})</f>
        <v>0.88</v>
      </c>
      <c r="F22" s="31" t="n">
        <f aca="false">Assumptions!$B$49</f>
        <v>0.9</v>
      </c>
      <c r="G22" s="30" t="n">
        <f aca="false">D22*E22*F22</f>
        <v>0.02149215948</v>
      </c>
      <c r="H22" s="30" t="n">
        <f aca="false">INDEX(Mortality_Matrix!$B$4:$BS$64,MATCH($A22,Mortality_Matrix!$A$4:$A$64,0),MATCH(2026,Mortality_Matrix!$B$3:$BS$3,0))</f>
        <v>0.0174940528</v>
      </c>
      <c r="I22" s="32" t="n">
        <f aca="false">H22/G22</f>
        <v>0.813973710565449</v>
      </c>
      <c r="J22" s="5" t="str">
        <f aca="false">IF(D22&lt;D21,"NON-MONOTONE","ok")</f>
        <v>ok</v>
      </c>
      <c r="L22" s="3" t="n">
        <v>98</v>
      </c>
      <c r="M22" s="30" t="n">
        <f aca="false">D45</f>
        <v>0.282984855</v>
      </c>
      <c r="N22" s="30" t="n">
        <f aca="false">($M$10*EXP($M$11*L22))/(1+$M$10*EXP($M$11*L22))</f>
        <v>0.284086904916516</v>
      </c>
      <c r="O22" s="11" t="n">
        <f aca="false">N22/M22</f>
        <v>1.00389437772744</v>
      </c>
    </row>
    <row r="23" customFormat="false" ht="15" hidden="false" customHeight="true" outlineLevel="0" collapsed="false">
      <c r="A23" s="3" t="n">
        <v>76</v>
      </c>
      <c r="B23" s="29" t="n">
        <v>0.03750824</v>
      </c>
      <c r="C23" s="29" t="n">
        <v>0.02354813</v>
      </c>
      <c r="D23" s="30" t="n">
        <f aca="false">(B23+C23)/2</f>
        <v>0.030528185</v>
      </c>
      <c r="E23" s="31" t="n">
        <f aca="false">LOOKUP($A23,{60,65,70,75,80,85,90,95},{0.78,0.82,0.85,0.88,0.91,0.94,0.97,1})</f>
        <v>0.88</v>
      </c>
      <c r="F23" s="31" t="n">
        <f aca="false">Assumptions!$B$49</f>
        <v>0.9</v>
      </c>
      <c r="G23" s="30" t="n">
        <f aca="false">D23*E23*F23</f>
        <v>0.02417832252</v>
      </c>
      <c r="H23" s="30" t="n">
        <f aca="false">INDEX(Mortality_Matrix!$B$4:$BS$64,MATCH($A23,Mortality_Matrix!$A$4:$A$64,0),MATCH(2026,Mortality_Matrix!$B$3:$BS$3,0))</f>
        <v>0.0197958499</v>
      </c>
      <c r="I23" s="32" t="n">
        <f aca="false">H23/G23</f>
        <v>0.818743727304701</v>
      </c>
      <c r="J23" s="5" t="str">
        <f aca="false">IF(D23&lt;D22,"NON-MONOTONE","ok")</f>
        <v>ok</v>
      </c>
      <c r="L23" s="3" t="n">
        <v>99</v>
      </c>
      <c r="M23" s="30" t="n">
        <f aca="false">D46</f>
        <v>0.292516695</v>
      </c>
      <c r="N23" s="30" t="n">
        <f aca="false">($M$10*EXP($M$11*L23))/(1+$M$10*EXP($M$11*L23))</f>
        <v>0.299533042336373</v>
      </c>
      <c r="O23" s="11" t="n">
        <f aca="false">N23/M23</f>
        <v>1.02398614320585</v>
      </c>
    </row>
    <row r="24" customFormat="false" ht="15" hidden="false" customHeight="true" outlineLevel="0" collapsed="false">
      <c r="A24" s="3" t="n">
        <v>77</v>
      </c>
      <c r="B24" s="29" t="n">
        <v>0.04209018</v>
      </c>
      <c r="C24" s="29" t="n">
        <v>0.02671326</v>
      </c>
      <c r="D24" s="30" t="n">
        <f aca="false">(B24+C24)/2</f>
        <v>0.03440172</v>
      </c>
      <c r="E24" s="31" t="n">
        <f aca="false">LOOKUP($A24,{60,65,70,75,80,85,90,95},{0.78,0.82,0.85,0.88,0.91,0.94,0.97,1})</f>
        <v>0.88</v>
      </c>
      <c r="F24" s="31" t="n">
        <f aca="false">Assumptions!$B$49</f>
        <v>0.9</v>
      </c>
      <c r="G24" s="30" t="n">
        <f aca="false">D24*E24*F24</f>
        <v>0.02724616224</v>
      </c>
      <c r="H24" s="30" t="n">
        <f aca="false">INDEX(Mortality_Matrix!$B$4:$BS$64,MATCH($A24,Mortality_Matrix!$A$4:$A$64,0),MATCH(2026,Mortality_Matrix!$B$3:$BS$3,0))</f>
        <v>0.0224386733</v>
      </c>
      <c r="I24" s="32" t="n">
        <f aca="false">H24/G24</f>
        <v>0.823553537644941</v>
      </c>
      <c r="J24" s="5" t="str">
        <f aca="false">IF(D24&lt;D23,"NON-MONOTONE","ok")</f>
        <v>ok</v>
      </c>
      <c r="L24" s="3" t="n">
        <v>100</v>
      </c>
      <c r="M24" s="30" t="n">
        <f aca="false">D47</f>
        <v>0.301997735</v>
      </c>
      <c r="N24" s="30" t="n">
        <f aca="false">($M$10*EXP($M$11*L24))/(1+$M$10*EXP($M$11*L24))</f>
        <v>0.315448956915962</v>
      </c>
      <c r="O24" s="11" t="n">
        <f aca="false">N24/M24</f>
        <v>1.04454080397643</v>
      </c>
    </row>
    <row r="25" customFormat="false" ht="15" hidden="false" customHeight="true" outlineLevel="0" collapsed="false">
      <c r="A25" s="3" t="n">
        <v>78</v>
      </c>
      <c r="B25" s="29" t="n">
        <v>0.04724736</v>
      </c>
      <c r="C25" s="29" t="n">
        <v>0.03039745</v>
      </c>
      <c r="D25" s="30" t="n">
        <f aca="false">(B25+C25)/2</f>
        <v>0.038822405</v>
      </c>
      <c r="E25" s="31" t="n">
        <f aca="false">LOOKUP($A25,{60,65,70,75,80,85,90,95},{0.78,0.82,0.85,0.88,0.91,0.94,0.97,1})</f>
        <v>0.88</v>
      </c>
      <c r="F25" s="31" t="n">
        <f aca="false">Assumptions!$B$49</f>
        <v>0.9</v>
      </c>
      <c r="G25" s="30" t="n">
        <f aca="false">D25*E25*F25</f>
        <v>0.03074734476</v>
      </c>
      <c r="H25" s="30" t="n">
        <f aca="false">INDEX(Mortality_Matrix!$B$4:$BS$64,MATCH($A25,Mortality_Matrix!$A$4:$A$64,0),MATCH(2026,Mortality_Matrix!$B$3:$BS$3,0))</f>
        <v>0.0254711555</v>
      </c>
      <c r="I25" s="32" t="n">
        <f aca="false">H25/G25</f>
        <v>0.828401792051198</v>
      </c>
      <c r="J25" s="5" t="str">
        <f aca="false">IF(D25&lt;D24,"NON-MONOTONE","ok")</f>
        <v>ok</v>
      </c>
    </row>
    <row r="26" customFormat="false" ht="15" hidden="false" customHeight="true" outlineLevel="0" collapsed="false">
      <c r="A26" s="3" t="n">
        <v>79</v>
      </c>
      <c r="B26" s="29" t="n">
        <v>0.05304958</v>
      </c>
      <c r="C26" s="29" t="n">
        <v>0.03467553</v>
      </c>
      <c r="D26" s="30" t="n">
        <f aca="false">(B26+C26)/2</f>
        <v>0.043862555</v>
      </c>
      <c r="E26" s="31" t="n">
        <f aca="false">LOOKUP($A26,{60,65,70,75,80,85,90,95},{0.78,0.82,0.85,0.88,0.91,0.94,0.97,1})</f>
        <v>0.88</v>
      </c>
      <c r="F26" s="31" t="n">
        <f aca="false">Assumptions!$B$49</f>
        <v>0.9</v>
      </c>
      <c r="G26" s="30" t="n">
        <f aca="false">D26*E26*F26</f>
        <v>0.03473914356</v>
      </c>
      <c r="H26" s="30" t="n">
        <f aca="false">INDEX(Mortality_Matrix!$B$4:$BS$64,MATCH($A26,Mortality_Matrix!$A$4:$A$64,0),MATCH(2026,Mortality_Matrix!$B$3:$BS$3,0))</f>
        <v>0.0289476574</v>
      </c>
      <c r="I26" s="32" t="n">
        <f aca="false">H26/G26</f>
        <v>0.833286443864191</v>
      </c>
      <c r="J26" s="5" t="str">
        <f aca="false">IF(D26&lt;D25,"NON-MONOTONE","ok")</f>
        <v>ok</v>
      </c>
      <c r="L26" s="1" t="s">
        <v>481</v>
      </c>
      <c r="M26" s="11" t="n">
        <f aca="false">AVERAGE(O14:O24)</f>
        <v>1.00072985896068</v>
      </c>
    </row>
    <row r="27" customFormat="false" ht="15" hidden="false" customHeight="true" outlineLevel="0" collapsed="false">
      <c r="A27" s="3" t="n">
        <v>80</v>
      </c>
      <c r="B27" s="29" t="n">
        <v>0.05957403</v>
      </c>
      <c r="C27" s="29" t="n">
        <v>0.03962946</v>
      </c>
      <c r="D27" s="30" t="n">
        <f aca="false">(B27+C27)/2</f>
        <v>0.049601745</v>
      </c>
      <c r="E27" s="31" t="n">
        <f aca="false">LOOKUP($A27,{60,65,70,75,80,85,90,95},{0.78,0.82,0.85,0.88,0.91,0.94,0.97,1})</f>
        <v>0.91</v>
      </c>
      <c r="F27" s="31" t="n">
        <f aca="false">Assumptions!$B$49</f>
        <v>0.9</v>
      </c>
      <c r="G27" s="30" t="n">
        <f aca="false">D27*E27*F27</f>
        <v>0.040623829155</v>
      </c>
      <c r="H27" s="30" t="n">
        <f aca="false">INDEX(Mortality_Matrix!$B$4:$BS$64,MATCH($A27,Mortality_Matrix!$A$4:$A$64,0),MATCH(2026,Mortality_Matrix!$B$3:$BS$3,0))</f>
        <v>0.0340510811</v>
      </c>
      <c r="I27" s="32" t="n">
        <f aca="false">H27/G27</f>
        <v>0.838204615573738</v>
      </c>
      <c r="J27" s="5" t="str">
        <f aca="false">IF(D27&lt;D26,"NON-MONOTONE","ok")</f>
        <v>ok</v>
      </c>
      <c r="L27" s="1" t="s">
        <v>482</v>
      </c>
      <c r="M27" s="11" t="n">
        <f aca="false">SUMPRODUCT(MAX(ABS(O14:O24-1)))</f>
        <v>0.0766859770289976</v>
      </c>
    </row>
    <row r="28" customFormat="false" ht="15" hidden="false" customHeight="true" outlineLevel="0" collapsed="false">
      <c r="A28" s="3" t="n">
        <v>81</v>
      </c>
      <c r="B28" s="29" t="n">
        <v>0.06690568</v>
      </c>
      <c r="C28" s="29" t="n">
        <v>0.04534759</v>
      </c>
      <c r="D28" s="30" t="n">
        <f aca="false">(B28+C28)/2</f>
        <v>0.056126635</v>
      </c>
      <c r="E28" s="31" t="n">
        <f aca="false">LOOKUP($A28,{60,65,70,75,80,85,90,95},{0.78,0.82,0.85,0.88,0.91,0.94,0.97,1})</f>
        <v>0.91</v>
      </c>
      <c r="F28" s="31" t="n">
        <f aca="false">Assumptions!$B$49</f>
        <v>0.9</v>
      </c>
      <c r="G28" s="30" t="n">
        <f aca="false">D28*E28*F28</f>
        <v>0.045967714065</v>
      </c>
      <c r="H28" s="30" t="n">
        <f aca="false">INDEX(Mortality_Matrix!$B$4:$BS$64,MATCH($A28,Mortality_Matrix!$A$4:$A$64,0),MATCH(2026,Mortality_Matrix!$B$3:$BS$3,0))</f>
        <v>0.0387577885</v>
      </c>
      <c r="I28" s="32" t="n">
        <f aca="false">H28/G28</f>
        <v>0.843152401383177</v>
      </c>
      <c r="J28" s="5" t="str">
        <f aca="false">IF(D28&lt;D27,"NON-MONOTONE","ok")</f>
        <v>ok</v>
      </c>
      <c r="L28" s="3" t="s">
        <v>458</v>
      </c>
      <c r="M28" s="28" t="str">
        <f aca="false">IF(M27&lt;0.15,"PASS — documented Kannisto parameters reproduce the source over the stated fitting range","REVIEW")</f>
        <v>PASS — documented Kannisto parameters reproduce the source over the stated fitting range</v>
      </c>
    </row>
    <row r="29" customFormat="false" ht="15" hidden="false" customHeight="true" outlineLevel="0" collapsed="false">
      <c r="A29" s="3" t="n">
        <v>82</v>
      </c>
      <c r="B29" s="29" t="n">
        <v>0.07513766</v>
      </c>
      <c r="C29" s="29" t="n">
        <v>0.05192313</v>
      </c>
      <c r="D29" s="30" t="n">
        <f aca="false">(B29+C29)/2</f>
        <v>0.063530395</v>
      </c>
      <c r="E29" s="31" t="n">
        <f aca="false">LOOKUP($A29,{60,65,70,75,80,85,90,95},{0.78,0.82,0.85,0.88,0.91,0.94,0.97,1})</f>
        <v>0.91</v>
      </c>
      <c r="F29" s="31" t="n">
        <f aca="false">Assumptions!$B$49</f>
        <v>0.9</v>
      </c>
      <c r="G29" s="30" t="n">
        <f aca="false">D29*E29*F29</f>
        <v>0.052031393505</v>
      </c>
      <c r="H29" s="30" t="n">
        <f aca="false">INDEX(Mortality_Matrix!$B$4:$BS$64,MATCH($A29,Mortality_Matrix!$A$4:$A$64,0),MATCH(2026,Mortality_Matrix!$B$3:$BS$3,0))</f>
        <v>0.0441291084</v>
      </c>
      <c r="I29" s="32" t="n">
        <f aca="false">H29/G29</f>
        <v>0.848124669114606</v>
      </c>
      <c r="J29" s="5" t="str">
        <f aca="false">IF(D29&lt;D28,"NON-MONOTONE","ok")</f>
        <v>ok</v>
      </c>
    </row>
    <row r="30" customFormat="false" ht="15" hidden="false" customHeight="true" outlineLevel="0" collapsed="false">
      <c r="A30" s="3" t="n">
        <v>83</v>
      </c>
      <c r="B30" s="29" t="n">
        <v>0.08437146</v>
      </c>
      <c r="C30" s="29" t="n">
        <v>0.05945201</v>
      </c>
      <c r="D30" s="30" t="n">
        <f aca="false">(B30+C30)/2</f>
        <v>0.071911735</v>
      </c>
      <c r="E30" s="31" t="n">
        <f aca="false">LOOKUP($A30,{60,65,70,75,80,85,90,95},{0.78,0.82,0.85,0.88,0.91,0.94,0.97,1})</f>
        <v>0.91</v>
      </c>
      <c r="F30" s="31" t="n">
        <f aca="false">Assumptions!$B$49</f>
        <v>0.9</v>
      </c>
      <c r="G30" s="30" t="n">
        <f aca="false">D30*E30*F30</f>
        <v>0.058895710965</v>
      </c>
      <c r="H30" s="30" t="n">
        <f aca="false">INDEX(Mortality_Matrix!$B$4:$BS$64,MATCH($A30,Mortality_Matrix!$A$4:$A$64,0),MATCH(2026,Mortality_Matrix!$B$3:$BS$3,0))</f>
        <v>0.0502448027</v>
      </c>
      <c r="I30" s="32" t="n">
        <f aca="false">H30/G30</f>
        <v>0.853114800326615</v>
      </c>
      <c r="J30" s="5" t="str">
        <f aca="false">IF(D30&lt;D29,"NON-MONOTONE","ok")</f>
        <v>ok</v>
      </c>
    </row>
    <row r="31" customFormat="false" ht="15" hidden="false" customHeight="true" outlineLevel="0" collapsed="false">
      <c r="A31" s="3" t="n">
        <v>84</v>
      </c>
      <c r="B31" s="29" t="n">
        <v>0.09471695</v>
      </c>
      <c r="C31" s="29" t="n">
        <v>0.06802964</v>
      </c>
      <c r="D31" s="30" t="n">
        <f aca="false">(B31+C31)/2</f>
        <v>0.081373295</v>
      </c>
      <c r="E31" s="31" t="n">
        <f aca="false">LOOKUP($A31,{60,65,70,75,80,85,90,95},{0.78,0.82,0.85,0.88,0.91,0.94,0.97,1})</f>
        <v>0.91</v>
      </c>
      <c r="F31" s="31" t="n">
        <f aca="false">Assumptions!$B$49</f>
        <v>0.9</v>
      </c>
      <c r="G31" s="30" t="n">
        <f aca="false">D31*E31*F31</f>
        <v>0.066644728605</v>
      </c>
      <c r="H31" s="30" t="n">
        <f aca="false">INDEX(Mortality_Matrix!$B$4:$BS$64,MATCH($A31,Mortality_Matrix!$A$4:$A$64,0),MATCH(2026,Mortality_Matrix!$B$3:$BS$3,0))</f>
        <v>0.0571888032</v>
      </c>
      <c r="I31" s="32" t="n">
        <f aca="false">H31/G31</f>
        <v>0.858114428508745</v>
      </c>
      <c r="J31" s="5" t="str">
        <f aca="false">IF(D31&lt;D30,"NON-MONOTONE","ok")</f>
        <v>ok</v>
      </c>
      <c r="L31" s="6" t="s">
        <v>483</v>
      </c>
    </row>
    <row r="32" customFormat="false" ht="15" hidden="false" customHeight="true" outlineLevel="0" collapsed="false">
      <c r="A32" s="3" t="n">
        <v>85</v>
      </c>
      <c r="B32" s="29" t="n">
        <v>0.10629219</v>
      </c>
      <c r="C32" s="29" t="n">
        <v>0.07774677</v>
      </c>
      <c r="D32" s="30" t="n">
        <f aca="false">(B32+C32)/2</f>
        <v>0.09201948</v>
      </c>
      <c r="E32" s="31" t="n">
        <f aca="false">LOOKUP($A32,{60,65,70,75,80,85,90,95},{0.78,0.82,0.85,0.88,0.91,0.94,0.97,1})</f>
        <v>0.94</v>
      </c>
      <c r="F32" s="31" t="n">
        <f aca="false">Assumptions!$B$49</f>
        <v>0.9</v>
      </c>
      <c r="G32" s="30" t="n">
        <f aca="false">D32*E32*F32</f>
        <v>0.07784848008</v>
      </c>
      <c r="H32" s="30" t="n">
        <f aca="false">INDEX(Mortality_Matrix!$B$4:$BS$64,MATCH($A32,Mortality_Matrix!$A$4:$A$64,0),MATCH(2026,Mortality_Matrix!$B$3:$BS$3,0))</f>
        <v>0.0671920441</v>
      </c>
      <c r="I32" s="32" t="n">
        <f aca="false">H32/G32</f>
        <v>0.863113114487925</v>
      </c>
      <c r="J32" s="5" t="str">
        <f aca="false">IF(D32&lt;D31,"NON-MONOTONE","ok")</f>
        <v>ok</v>
      </c>
      <c r="L32" s="1" t="s">
        <v>484</v>
      </c>
      <c r="M32" s="34" t="n">
        <f aca="false">COUNTIF(J7:J52,"NON-MONOTONE")</f>
        <v>2</v>
      </c>
    </row>
    <row r="33" customFormat="false" ht="15" hidden="false" customHeight="true" outlineLevel="0" collapsed="false">
      <c r="A33" s="3" t="n">
        <v>86</v>
      </c>
      <c r="B33" s="29" t="n">
        <v>0.11922282</v>
      </c>
      <c r="C33" s="29" t="n">
        <v>0.08868416</v>
      </c>
      <c r="D33" s="30" t="n">
        <f aca="false">(B33+C33)/2</f>
        <v>0.10395349</v>
      </c>
      <c r="E33" s="31" t="n">
        <f aca="false">LOOKUP($A33,{60,65,70,75,80,85,90,95},{0.78,0.82,0.85,0.88,0.91,0.94,0.97,1})</f>
        <v>0.94</v>
      </c>
      <c r="F33" s="31" t="n">
        <f aca="false">Assumptions!$B$49</f>
        <v>0.9</v>
      </c>
      <c r="G33" s="30" t="n">
        <f aca="false">D33*E33*F33</f>
        <v>0.08794465254</v>
      </c>
      <c r="H33" s="30" t="n">
        <f aca="false">INDEX(Mortality_Matrix!$B$4:$BS$64,MATCH($A33,Mortality_Matrix!$A$4:$A$64,0),MATCH(2026,Mortality_Matrix!$B$3:$BS$3,0))</f>
        <v>0.0763917862</v>
      </c>
      <c r="I33" s="32" t="n">
        <f aca="false">H33/G33</f>
        <v>0.868634806024785</v>
      </c>
      <c r="J33" s="5" t="str">
        <f aca="false">IF(D33&lt;D32,"NON-MONOTONE","ok")</f>
        <v>ok</v>
      </c>
      <c r="L33" s="1" t="s">
        <v>485</v>
      </c>
      <c r="M33" s="34" t="n">
        <f aca="false">INDEX(A7:A52,MATCH("NON-MONOTONE",J7:J52,0))</f>
        <v>104</v>
      </c>
    </row>
    <row r="34" customFormat="false" ht="15" hidden="false" customHeight="true" outlineLevel="0" collapsed="false">
      <c r="A34" s="3" t="n">
        <v>87</v>
      </c>
      <c r="B34" s="29" t="n">
        <v>0.13364105</v>
      </c>
      <c r="C34" s="29" t="n">
        <v>0.10090621</v>
      </c>
      <c r="D34" s="30" t="n">
        <f aca="false">(B34+C34)/2</f>
        <v>0.11727363</v>
      </c>
      <c r="E34" s="31" t="n">
        <f aca="false">LOOKUP($A34,{60,65,70,75,80,85,90,95},{0.78,0.82,0.85,0.88,0.91,0.94,0.97,1})</f>
        <v>0.94</v>
      </c>
      <c r="F34" s="31" t="n">
        <f aca="false">Assumptions!$B$49</f>
        <v>0.9</v>
      </c>
      <c r="G34" s="30" t="n">
        <f aca="false">D34*E34*F34</f>
        <v>0.09921349098</v>
      </c>
      <c r="H34" s="30" t="n">
        <f aca="false">INDEX(Mortality_Matrix!$B$4:$BS$64,MATCH($A34,Mortality_Matrix!$A$4:$A$64,0),MATCH(2026,Mortality_Matrix!$B$3:$BS$3,0))</f>
        <v>0.0867333554</v>
      </c>
      <c r="I34" s="32" t="n">
        <f aca="false">H34/G34</f>
        <v>0.874209288910963</v>
      </c>
      <c r="J34" s="5" t="str">
        <f aca="false">IF(D34&lt;D33,"NON-MONOTONE","ok")</f>
        <v>ok</v>
      </c>
      <c r="L34" s="1" t="s">
        <v>486</v>
      </c>
      <c r="M34" s="30" t="n">
        <f aca="false">B50</f>
        <v>0.30201049</v>
      </c>
      <c r="N34" s="30" t="n">
        <f aca="false">B51</f>
        <v>0.28089033</v>
      </c>
      <c r="O34" s="30" t="n">
        <f aca="false">B52</f>
        <v>0.10389884</v>
      </c>
    </row>
    <row r="35" customFormat="false" ht="15" hidden="false" customHeight="true" outlineLevel="0" collapsed="false">
      <c r="A35" s="3" t="n">
        <v>88</v>
      </c>
      <c r="B35" s="29" t="n">
        <v>0.14968404</v>
      </c>
      <c r="C35" s="29" t="n">
        <v>0.11445357</v>
      </c>
      <c r="D35" s="30" t="n">
        <f aca="false">(B35+C35)/2</f>
        <v>0.132068805</v>
      </c>
      <c r="E35" s="31" t="n">
        <f aca="false">LOOKUP($A35,{60,65,70,75,80,85,90,95},{0.78,0.82,0.85,0.88,0.91,0.94,0.97,1})</f>
        <v>0.94</v>
      </c>
      <c r="F35" s="31" t="n">
        <f aca="false">Assumptions!$B$49</f>
        <v>0.9</v>
      </c>
      <c r="G35" s="30" t="n">
        <f aca="false">D35*E35*F35</f>
        <v>0.11173020903</v>
      </c>
      <c r="H35" s="30" t="n">
        <f aca="false">INDEX(Mortality_Matrix!$B$4:$BS$64,MATCH($A35,Mortality_Matrix!$A$4:$A$64,0),MATCH(2026,Mortality_Matrix!$B$3:$BS$3,0))</f>
        <v>0.0983036721</v>
      </c>
      <c r="I35" s="32" t="n">
        <f aca="false">H35/G35</f>
        <v>0.879830736498534</v>
      </c>
      <c r="J35" s="5" t="str">
        <f aca="false">IF(D35&lt;D34,"NON-MONOTONE","ok")</f>
        <v>ok</v>
      </c>
      <c r="L35" s="1" t="s">
        <v>487</v>
      </c>
      <c r="M35" s="30" t="n">
        <f aca="false">C50</f>
        <v>0.36768442</v>
      </c>
      <c r="N35" s="30" t="n">
        <f aca="false">C51</f>
        <v>0.34752987</v>
      </c>
      <c r="O35" s="30" t="n">
        <f aca="false">C52</f>
        <v>0.21044991</v>
      </c>
    </row>
    <row r="36" customFormat="false" ht="15" hidden="false" customHeight="true" outlineLevel="0" collapsed="false">
      <c r="A36" s="3" t="n">
        <v>89</v>
      </c>
      <c r="B36" s="29" t="n">
        <v>0.16749159</v>
      </c>
      <c r="C36" s="29" t="n">
        <v>0.12933523</v>
      </c>
      <c r="D36" s="30" t="n">
        <f aca="false">(B36+C36)/2</f>
        <v>0.14841341</v>
      </c>
      <c r="E36" s="31" t="n">
        <f aca="false">LOOKUP($A36,{60,65,70,75,80,85,90,95},{0.78,0.82,0.85,0.88,0.91,0.94,0.97,1})</f>
        <v>0.94</v>
      </c>
      <c r="F36" s="31" t="n">
        <f aca="false">Assumptions!$B$49</f>
        <v>0.9</v>
      </c>
      <c r="G36" s="30" t="n">
        <f aca="false">D36*E36*F36</f>
        <v>0.12555774486</v>
      </c>
      <c r="H36" s="30" t="n">
        <f aca="false">INDEX(Mortality_Matrix!$B$4:$BS$64,MATCH($A36,Mortality_Matrix!$A$4:$A$64,0),MATCH(2026,Mortality_Matrix!$B$3:$BS$3,0))</f>
        <v>0.1111803625</v>
      </c>
      <c r="I36" s="32" t="n">
        <f aca="false">H36/G36</f>
        <v>0.88549187167999</v>
      </c>
      <c r="J36" s="5" t="str">
        <f aca="false">IF(D36&lt;D35,"NON-MONOTONE","ok")</f>
        <v>ok</v>
      </c>
      <c r="L36" s="3" t="s">
        <v>488</v>
      </c>
      <c r="M36" s="28" t="str">
        <f aca="false">IF(M32&gt;0,"The high-age anomaly is present in the published CSO table for both sexes. It is inherited from the source, not introduced by the splice.","No source anomaly")</f>
        <v>The high-age anomaly is present in the published CSO table for both sexes. It is inherited from the source, not introduced by the splice.</v>
      </c>
    </row>
    <row r="37" customFormat="false" ht="15" hidden="false" customHeight="true" outlineLevel="0" collapsed="false">
      <c r="A37" s="3" t="n">
        <v>90</v>
      </c>
      <c r="B37" s="29" t="n">
        <v>0.18720261</v>
      </c>
      <c r="C37" s="29" t="n">
        <v>0.14552025</v>
      </c>
      <c r="D37" s="30" t="n">
        <f aca="false">(B37+C37)/2</f>
        <v>0.16636143</v>
      </c>
      <c r="E37" s="31" t="n">
        <f aca="false">LOOKUP($A37,{60,65,70,75,80,85,90,95},{0.78,0.82,0.85,0.88,0.91,0.94,0.97,1})</f>
        <v>0.97</v>
      </c>
      <c r="F37" s="31" t="n">
        <f aca="false">Assumptions!$B$49</f>
        <v>0.9</v>
      </c>
      <c r="G37" s="30" t="n">
        <f aca="false">D37*E37*F37</f>
        <v>0.14523352839</v>
      </c>
      <c r="H37" s="30" t="n">
        <f aca="false">INDEX(Mortality_Matrix!$B$4:$BS$64,MATCH($A37,Mortality_Matrix!$A$4:$A$64,0),MATCH(2026,Mortality_Matrix!$B$3:$BS$3,0))</f>
        <v>0.1294297797</v>
      </c>
      <c r="I37" s="32" t="n">
        <f aca="false">H37/G37</f>
        <v>0.891183882501555</v>
      </c>
      <c r="J37" s="5" t="str">
        <f aca="false">IF(D37&lt;D36,"NON-MONOTONE","ok")</f>
        <v>ok</v>
      </c>
    </row>
    <row r="38" customFormat="false" ht="15" hidden="false" customHeight="true" outlineLevel="0" collapsed="false">
      <c r="A38" s="3" t="n">
        <v>91</v>
      </c>
      <c r="B38" s="29" t="n">
        <v>0.20830632</v>
      </c>
      <c r="C38" s="29" t="n">
        <v>0.16293008</v>
      </c>
      <c r="D38" s="30" t="n">
        <f aca="false">(B38+C38)/2</f>
        <v>0.1856182</v>
      </c>
      <c r="E38" s="31" t="n">
        <f aca="false">LOOKUP($A38,{60,65,70,75,80,85,90,95},{0.78,0.82,0.85,0.88,0.91,0.94,0.97,1})</f>
        <v>0.97</v>
      </c>
      <c r="F38" s="31" t="n">
        <f aca="false">Assumptions!$B$49</f>
        <v>0.9</v>
      </c>
      <c r="G38" s="30" t="n">
        <f aca="false">D38*E38*F38</f>
        <v>0.1620446886</v>
      </c>
      <c r="H38" s="30" t="n">
        <f aca="false">INDEX(Mortality_Matrix!$B$4:$BS$64,MATCH($A38,Mortality_Matrix!$A$4:$A$64,0),MATCH(2026,Mortality_Matrix!$B$3:$BS$3,0))</f>
        <v>0.1453372978</v>
      </c>
      <c r="I38" s="32" t="n">
        <f aca="false">H38/G38</f>
        <v>0.896896399725625</v>
      </c>
      <c r="J38" s="5" t="str">
        <f aca="false">IF(D38&lt;D37,"NON-MONOTONE","ok")</f>
        <v>ok</v>
      </c>
      <c r="L38" s="7" t="s">
        <v>489</v>
      </c>
    </row>
    <row r="39" customFormat="false" ht="15" hidden="false" customHeight="true" outlineLevel="0" collapsed="false">
      <c r="A39" s="3" t="n">
        <v>92</v>
      </c>
      <c r="B39" s="29" t="n">
        <v>0.22776219</v>
      </c>
      <c r="C39" s="29" t="n">
        <v>0.18143198</v>
      </c>
      <c r="D39" s="30" t="n">
        <f aca="false">(B39+C39)/2</f>
        <v>0.204597085</v>
      </c>
      <c r="E39" s="31" t="n">
        <f aca="false">LOOKUP($A39,{60,65,70,75,80,85,90,95},{0.78,0.82,0.85,0.88,0.91,0.94,0.97,1})</f>
        <v>0.97</v>
      </c>
      <c r="F39" s="31" t="n">
        <f aca="false">Assumptions!$B$49</f>
        <v>0.9</v>
      </c>
      <c r="G39" s="30" t="n">
        <f aca="false">D39*E39*F39</f>
        <v>0.178613255205</v>
      </c>
      <c r="H39" s="30" t="n">
        <f aca="false">INDEX(Mortality_Matrix!$B$4:$BS$64,MATCH($A39,Mortality_Matrix!$A$4:$A$64,0),MATCH(2026,Mortality_Matrix!$B$3:$BS$3,0))</f>
        <v>0.1612194632</v>
      </c>
      <c r="I39" s="32" t="n">
        <f aca="false">H39/G39</f>
        <v>0.902617574574538</v>
      </c>
      <c r="J39" s="5" t="str">
        <f aca="false">IF(D39&lt;D38,"NON-MONOTONE","ok")</f>
        <v>ok</v>
      </c>
      <c r="L39" s="7" t="s">
        <v>490</v>
      </c>
    </row>
    <row r="40" customFormat="false" ht="15" hidden="false" customHeight="true" outlineLevel="0" collapsed="false">
      <c r="A40" s="3" t="n">
        <v>93</v>
      </c>
      <c r="B40" s="29" t="n">
        <v>0.24267951</v>
      </c>
      <c r="C40" s="29" t="n">
        <v>0.20083448</v>
      </c>
      <c r="D40" s="30" t="n">
        <f aca="false">(B40+C40)/2</f>
        <v>0.221756995</v>
      </c>
      <c r="E40" s="31" t="n">
        <f aca="false">LOOKUP($A40,{60,65,70,75,80,85,90,95},{0.78,0.82,0.85,0.88,0.91,0.94,0.97,1})</f>
        <v>0.97</v>
      </c>
      <c r="F40" s="31" t="n">
        <f aca="false">Assumptions!$B$49</f>
        <v>0.9</v>
      </c>
      <c r="G40" s="30" t="n">
        <f aca="false">D40*E40*F40</f>
        <v>0.193593856635</v>
      </c>
      <c r="H40" s="30" t="n">
        <f aca="false">INDEX(Mortality_Matrix!$B$4:$BS$64,MATCH($A40,Mortality_Matrix!$A$4:$A$64,0),MATCH(2026,Mortality_Matrix!$B$3:$BS$3,0))</f>
        <v>0.1758479387</v>
      </c>
      <c r="I40" s="32" t="n">
        <f aca="false">H40/G40</f>
        <v>0.908334291989141</v>
      </c>
      <c r="J40" s="5" t="str">
        <f aca="false">IF(D40&lt;D39,"NON-MONOTONE","ok")</f>
        <v>ok</v>
      </c>
    </row>
    <row r="41" customFormat="false" ht="15" hidden="false" customHeight="true" outlineLevel="0" collapsed="false">
      <c r="A41" s="3" t="n">
        <v>94</v>
      </c>
      <c r="B41" s="29" t="n">
        <v>0.25301883</v>
      </c>
      <c r="C41" s="29" t="n">
        <v>0.2208858</v>
      </c>
      <c r="D41" s="30" t="n">
        <f aca="false">(B41+C41)/2</f>
        <v>0.236952315</v>
      </c>
      <c r="E41" s="31" t="n">
        <f aca="false">LOOKUP($A41,{60,65,70,75,80,85,90,95},{0.78,0.82,0.85,0.88,0.91,0.94,0.97,1})</f>
        <v>0.97</v>
      </c>
      <c r="F41" s="31" t="n">
        <f aca="false">Assumptions!$B$49</f>
        <v>0.9</v>
      </c>
      <c r="G41" s="30" t="n">
        <f aca="false">D41*E41*F41</f>
        <v>0.206859370995</v>
      </c>
      <c r="H41" s="30" t="n">
        <f aca="false">INDEX(Mortality_Matrix!$B$4:$BS$64,MATCH($A41,Mortality_Matrix!$A$4:$A$64,0),MATCH(2026,Mortality_Matrix!$B$3:$BS$3,0))</f>
        <v>0.1890762082</v>
      </c>
      <c r="I41" s="32" t="n">
        <f aca="false">H41/G41</f>
        <v>0.914032597559094</v>
      </c>
      <c r="J41" s="5" t="str">
        <f aca="false">IF(D41&lt;D40,"NON-MONOTONE","ok")</f>
        <v>ok</v>
      </c>
      <c r="L41" s="6" t="s">
        <v>491</v>
      </c>
    </row>
    <row r="42" customFormat="false" ht="15" hidden="false" customHeight="true" outlineLevel="0" collapsed="false">
      <c r="A42" s="3" t="n">
        <v>95</v>
      </c>
      <c r="B42" s="29" t="n">
        <v>0.25944618</v>
      </c>
      <c r="C42" s="29" t="n">
        <v>0.24127563</v>
      </c>
      <c r="D42" s="30" t="n">
        <f aca="false">(B42+C42)/2</f>
        <v>0.250360905</v>
      </c>
      <c r="E42" s="31" t="n">
        <f aca="false">LOOKUP($A42,{60,65,70,75,80,85,90,95},{0.78,0.82,0.85,0.88,0.91,0.94,0.97,1})</f>
        <v>1</v>
      </c>
      <c r="F42" s="31" t="n">
        <f aca="false">Assumptions!$B$49</f>
        <v>0.9</v>
      </c>
      <c r="G42" s="30" t="n">
        <f aca="false">D42*E42*F42</f>
        <v>0.2253248145</v>
      </c>
      <c r="H42" s="30" t="n">
        <f aca="false">INDEX(Mortality_Matrix!$B$4:$BS$64,MATCH($A42,Mortality_Matrix!$A$4:$A$64,0),MATCH(2026,Mortality_Matrix!$B$3:$BS$3,0))</f>
        <v>0.2072308772</v>
      </c>
      <c r="I42" s="32" t="n">
        <f aca="false">H42/G42</f>
        <v>0.919698425847367</v>
      </c>
      <c r="J42" s="5" t="str">
        <f aca="false">IF(D42&lt;D41,"NON-MONOTONE","ok")</f>
        <v>ok</v>
      </c>
    </row>
    <row r="43" customFormat="false" ht="15" hidden="false" customHeight="true" outlineLevel="0" collapsed="false">
      <c r="A43" s="3" t="n">
        <v>96</v>
      </c>
      <c r="B43" s="29" t="n">
        <v>0.26290017</v>
      </c>
      <c r="C43" s="29" t="n">
        <v>0.26164101</v>
      </c>
      <c r="D43" s="30" t="n">
        <f aca="false">(B43+C43)/2</f>
        <v>0.26227059</v>
      </c>
      <c r="E43" s="31" t="n">
        <f aca="false">LOOKUP($A43,{60,65,70,75,80,85,90,95},{0.78,0.82,0.85,0.88,0.91,0.94,0.97,1})</f>
        <v>1</v>
      </c>
      <c r="F43" s="31" t="n">
        <f aca="false">Assumptions!$B$49</f>
        <v>0.9</v>
      </c>
      <c r="G43" s="30" t="n">
        <f aca="false">D43*E43*F43</f>
        <v>0.236043531</v>
      </c>
      <c r="H43" s="30" t="n">
        <f aca="false">INDEX(Mortality_Matrix!$B$4:$BS$64,MATCH($A43,Mortality_Matrix!$A$4:$A$64,0),MATCH(2026,Mortality_Matrix!$B$3:$BS$3,0))</f>
        <v>0.2184451623</v>
      </c>
      <c r="I43" s="32" t="n">
        <f aca="false">H43/G43</f>
        <v>0.925444393136112</v>
      </c>
      <c r="J43" s="5" t="str">
        <f aca="false">IF(D43&lt;D42,"NON-MONOTONE","ok")</f>
        <v>ok</v>
      </c>
      <c r="L43" s="1" t="s">
        <v>492</v>
      </c>
      <c r="M43" s="7" t="s">
        <v>493</v>
      </c>
      <c r="P43" s="1" t="s">
        <v>494</v>
      </c>
    </row>
    <row r="44" customFormat="false" ht="15" hidden="false" customHeight="true" outlineLevel="0" collapsed="false">
      <c r="A44" s="3" t="n">
        <v>97</v>
      </c>
      <c r="B44" s="29" t="n">
        <v>0.26447343</v>
      </c>
      <c r="C44" s="29" t="n">
        <v>0.28157596</v>
      </c>
      <c r="D44" s="30" t="n">
        <f aca="false">(B44+C44)/2</f>
        <v>0.273024695</v>
      </c>
      <c r="E44" s="31" t="n">
        <f aca="false">LOOKUP($A44,{60,65,70,75,80,85,90,95},{0.78,0.82,0.85,0.88,0.91,0.94,0.97,1})</f>
        <v>1</v>
      </c>
      <c r="F44" s="31" t="n">
        <f aca="false">Assumptions!$B$49</f>
        <v>0.9</v>
      </c>
      <c r="G44" s="30" t="n">
        <f aca="false">D44*E44*F44</f>
        <v>0.2457222255</v>
      </c>
      <c r="H44" s="30" t="n">
        <f aca="false">INDEX(Mortality_Matrix!$B$4:$BS$64,MATCH($A44,Mortality_Matrix!$A$4:$A$64,0),MATCH(2026,Mortality_Matrix!$B$3:$BS$3,0))</f>
        <v>0.2288029579</v>
      </c>
      <c r="I44" s="32" t="n">
        <f aca="false">H44/G44</f>
        <v>0.931144740507</v>
      </c>
      <c r="J44" s="5" t="str">
        <f aca="false">IF(D44&lt;D43,"NON-MONOTONE","ok")</f>
        <v>ok</v>
      </c>
      <c r="L44" s="1" t="s">
        <v>495</v>
      </c>
      <c r="M44" s="7" t="s">
        <v>496</v>
      </c>
      <c r="P44" s="1" t="s">
        <v>497</v>
      </c>
    </row>
    <row r="45" customFormat="false" ht="15" hidden="false" customHeight="true" outlineLevel="0" collapsed="false">
      <c r="A45" s="3" t="n">
        <v>98</v>
      </c>
      <c r="B45" s="29" t="n">
        <v>0.26532494</v>
      </c>
      <c r="C45" s="29" t="n">
        <v>0.30064477</v>
      </c>
      <c r="D45" s="30" t="n">
        <f aca="false">(B45+C45)/2</f>
        <v>0.282984855</v>
      </c>
      <c r="E45" s="31" t="n">
        <f aca="false">LOOKUP($A45,{60,65,70,75,80,85,90,95},{0.78,0.82,0.85,0.88,0.91,0.94,0.97,1})</f>
        <v>1</v>
      </c>
      <c r="F45" s="31" t="n">
        <f aca="false">Assumptions!$B$49</f>
        <v>0.9</v>
      </c>
      <c r="G45" s="30" t="n">
        <f aca="false">D45*E45*F45</f>
        <v>0.2546863695</v>
      </c>
      <c r="H45" s="30" t="n">
        <f aca="false">INDEX(Mortality_Matrix!$B$4:$BS$64,MATCH($A45,Mortality_Matrix!$A$4:$A$64,0),MATCH(2026,Mortality_Matrix!$B$3:$BS$3,0))</f>
        <v>0.2385853111</v>
      </c>
      <c r="I45" s="32" t="n">
        <f aca="false">H45/G45</f>
        <v>0.936780839777136</v>
      </c>
      <c r="J45" s="5" t="str">
        <f aca="false">IF(D45&lt;D44,"NON-MONOTONE","ok")</f>
        <v>ok</v>
      </c>
      <c r="L45" s="1" t="s">
        <v>498</v>
      </c>
      <c r="M45" s="7" t="s">
        <v>499</v>
      </c>
      <c r="P45" s="1" t="s">
        <v>500</v>
      </c>
    </row>
    <row r="46" customFormat="false" ht="15" hidden="false" customHeight="true" outlineLevel="0" collapsed="false">
      <c r="A46" s="3" t="n">
        <v>99</v>
      </c>
      <c r="B46" s="29" t="n">
        <v>0.2666358</v>
      </c>
      <c r="C46" s="29" t="n">
        <v>0.31839759</v>
      </c>
      <c r="D46" s="30" t="n">
        <f aca="false">(B46+C46)/2</f>
        <v>0.292516695</v>
      </c>
      <c r="E46" s="31" t="n">
        <f aca="false">LOOKUP($A46,{60,65,70,75,80,85,90,95},{0.78,0.82,0.85,0.88,0.91,0.94,0.97,1})</f>
        <v>1</v>
      </c>
      <c r="F46" s="31" t="n">
        <f aca="false">Assumptions!$B$49</f>
        <v>0.9</v>
      </c>
      <c r="G46" s="30" t="n">
        <f aca="false">D46*E46*F46</f>
        <v>0.2632650255</v>
      </c>
      <c r="H46" s="30" t="n">
        <f aca="false">INDEX(Mortality_Matrix!$B$4:$BS$64,MATCH($A46,Mortality_Matrix!$A$4:$A$64,0),MATCH(2026,Mortality_Matrix!$B$3:$BS$3,0))</f>
        <v>0.2480833361</v>
      </c>
      <c r="I46" s="32" t="n">
        <f aca="false">H46/G46</f>
        <v>0.942333056314007</v>
      </c>
      <c r="J46" s="5" t="str">
        <f aca="false">IF(D46&lt;D45,"NON-MONOTONE","ok")</f>
        <v>ok</v>
      </c>
      <c r="L46" s="1" t="s">
        <v>501</v>
      </c>
      <c r="M46" s="7" t="s">
        <v>502</v>
      </c>
      <c r="P46" s="1" t="s">
        <v>500</v>
      </c>
    </row>
    <row r="47" customFormat="false" ht="15" hidden="false" customHeight="true" outlineLevel="0" collapsed="false">
      <c r="A47" s="3" t="n">
        <v>100</v>
      </c>
      <c r="B47" s="29" t="n">
        <v>0.26960804</v>
      </c>
      <c r="C47" s="29" t="n">
        <v>0.33438743</v>
      </c>
      <c r="D47" s="30" t="n">
        <f aca="false">(B47+C47)/2</f>
        <v>0.301997735</v>
      </c>
      <c r="E47" s="31" t="n">
        <f aca="false">LOOKUP($A47,{60,65,70,75,80,85,90,95},{0.78,0.82,0.85,0.88,0.91,0.94,0.97,1})</f>
        <v>1</v>
      </c>
      <c r="F47" s="31" t="n">
        <f aca="false">Assumptions!$B$49</f>
        <v>0.9</v>
      </c>
      <c r="G47" s="30" t="n">
        <f aca="false">D47*E47*F47</f>
        <v>0.2717979615</v>
      </c>
      <c r="H47" s="30" t="n">
        <f aca="false">INDEX(Mortality_Matrix!$B$4:$BS$64,MATCH($A47,Mortality_Matrix!$A$4:$A$64,0),MATCH(2026,Mortality_Matrix!$B$3:$BS$3,0))</f>
        <v>0.2576049764</v>
      </c>
      <c r="I47" s="32" t="n">
        <f aca="false">H47/G47</f>
        <v>0.947781120131764</v>
      </c>
      <c r="J47" s="5" t="str">
        <f aca="false">IF(D47&lt;D46,"NON-MONOTONE","ok")</f>
        <v>ok</v>
      </c>
      <c r="L47" s="1" t="s">
        <v>503</v>
      </c>
      <c r="M47" s="7" t="s">
        <v>504</v>
      </c>
      <c r="P47" s="1" t="s">
        <v>505</v>
      </c>
    </row>
    <row r="48" customFormat="false" ht="15" hidden="false" customHeight="true" outlineLevel="0" collapsed="false">
      <c r="A48" s="3" t="n">
        <v>101</v>
      </c>
      <c r="B48" s="29" t="n">
        <v>0.27550611</v>
      </c>
      <c r="C48" s="29" t="n">
        <v>0.34818666</v>
      </c>
      <c r="D48" s="30" t="n">
        <f aca="false">(B48+C48)/2</f>
        <v>0.311846385</v>
      </c>
      <c r="E48" s="31" t="n">
        <f aca="false">LOOKUP($A48,{60,65,70,75,80,85,90,95},{0.78,0.82,0.85,0.88,0.91,0.94,0.97,1})</f>
        <v>1</v>
      </c>
      <c r="F48" s="31" t="n">
        <f aca="false">Assumptions!$B$49</f>
        <v>0.9</v>
      </c>
      <c r="G48" s="30" t="n">
        <f aca="false">D48*E48*F48</f>
        <v>0.2806617465</v>
      </c>
      <c r="H48" s="30" t="n">
        <f aca="false">INDEX(Mortality_Matrix!$B$4:$BS$64,MATCH($A48,Mortality_Matrix!$A$4:$A$64,0),MATCH(2026,Mortality_Matrix!$B$3:$BS$3,0))</f>
        <v>0.2674999916</v>
      </c>
      <c r="I48" s="32" t="n">
        <f aca="false">H48/G48</f>
        <v>0.953104564251687</v>
      </c>
      <c r="J48" s="5" t="str">
        <f aca="false">IF(D48&lt;D47,"NON-MONOTONE","ok")</f>
        <v>ok</v>
      </c>
      <c r="L48" s="1" t="s">
        <v>506</v>
      </c>
      <c r="M48" s="7" t="s">
        <v>507</v>
      </c>
      <c r="P48" s="3" t="s">
        <v>508</v>
      </c>
    </row>
    <row r="49" customFormat="false" ht="15" hidden="false" customHeight="true" outlineLevel="0" collapsed="false">
      <c r="A49" s="3" t="n">
        <v>102</v>
      </c>
      <c r="B49" s="29" t="n">
        <v>0.2857424</v>
      </c>
      <c r="C49" s="29" t="n">
        <v>0.35940165</v>
      </c>
      <c r="D49" s="30" t="n">
        <f aca="false">(B49+C49)/2</f>
        <v>0.322572025</v>
      </c>
      <c r="E49" s="31" t="n">
        <f aca="false">LOOKUP($A49,{60,65,70,75,80,85,90,95},{0.78,0.82,0.85,0.88,0.91,0.94,0.97,1})</f>
        <v>1</v>
      </c>
      <c r="F49" s="31" t="n">
        <f aca="false">Assumptions!$B$49</f>
        <v>0.9</v>
      </c>
      <c r="G49" s="30" t="n">
        <f aca="false">D49*E49*F49</f>
        <v>0.2903148225</v>
      </c>
      <c r="H49" s="30" t="n">
        <f aca="false">INDEX(Mortality_Matrix!$B$4:$BS$64,MATCH($A49,Mortality_Matrix!$A$4:$A$64,0),MATCH(2026,Mortality_Matrix!$B$3:$BS$3,0))</f>
        <v>0.2782038246</v>
      </c>
      <c r="I49" s="32" t="n">
        <f aca="false">H49/G49</f>
        <v>0.958283225790168</v>
      </c>
      <c r="J49" s="5" t="str">
        <f aca="false">IF(D49&lt;D48,"NON-MONOTONE","ok")</f>
        <v>ok</v>
      </c>
    </row>
    <row r="50" customFormat="false" ht="15" hidden="false" customHeight="true" outlineLevel="0" collapsed="false">
      <c r="A50" s="3" t="n">
        <v>103</v>
      </c>
      <c r="B50" s="29" t="n">
        <v>0.30201049</v>
      </c>
      <c r="C50" s="29" t="n">
        <v>0.36768442</v>
      </c>
      <c r="D50" s="30" t="n">
        <f aca="false">(B50+C50)/2</f>
        <v>0.334847455</v>
      </c>
      <c r="E50" s="31" t="n">
        <f aca="false">LOOKUP($A50,{60,65,70,75,80,85,90,95},{0.78,0.82,0.85,0.88,0.91,0.94,0.97,1})</f>
        <v>1</v>
      </c>
      <c r="F50" s="31" t="n">
        <f aca="false">Assumptions!$B$49</f>
        <v>0.9</v>
      </c>
      <c r="G50" s="30" t="n">
        <f aca="false">D50*E50*F50</f>
        <v>0.3013627095</v>
      </c>
      <c r="H50" s="30" t="n">
        <f aca="false">INDEX(Mortality_Matrix!$B$4:$BS$64,MATCH($A50,Mortality_Matrix!$A$4:$A$64,0),MATCH(2026,Mortality_Matrix!$B$3:$BS$3,0))</f>
        <v>0.290302029</v>
      </c>
      <c r="I50" s="32" t="n">
        <f aca="false">H50/G50</f>
        <v>0.963297779880095</v>
      </c>
      <c r="J50" s="5" t="str">
        <f aca="false">IF(D50&lt;D49,"NON-MONOTONE","ok")</f>
        <v>ok</v>
      </c>
      <c r="L50" s="1" t="s">
        <v>509</v>
      </c>
      <c r="M50" s="5" t="str">
        <f aca="false">IF(SUMPRODUCT(--(I8:I52&lt;I7:I51))=0,"yes — rises monotonically with age","NO")</f>
        <v>yes — rises monotonically with age</v>
      </c>
    </row>
    <row r="51" customFormat="false" ht="15" hidden="false" customHeight="true" outlineLevel="0" collapsed="false">
      <c r="A51" s="3" t="n">
        <v>104</v>
      </c>
      <c r="B51" s="29" t="n">
        <v>0.28089033</v>
      </c>
      <c r="C51" s="29" t="n">
        <v>0.34752987</v>
      </c>
      <c r="D51" s="30" t="n">
        <f aca="false">(B51+C51)/2</f>
        <v>0.3142101</v>
      </c>
      <c r="E51" s="31" t="n">
        <f aca="false">LOOKUP($A51,{60,65,70,75,80,85,90,95},{0.78,0.82,0.85,0.88,0.91,0.94,0.97,1})</f>
        <v>1</v>
      </c>
      <c r="F51" s="31" t="n">
        <f aca="false">Assumptions!$B$49</f>
        <v>0.9</v>
      </c>
      <c r="G51" s="30" t="n">
        <f aca="false">D51*E51*F51</f>
        <v>0.28278909</v>
      </c>
      <c r="H51" s="30" t="n">
        <f aca="false">INDEX(Mortality_Matrix!$B$4:$BS$64,MATCH($A51,Mortality_Matrix!$A$4:$A$64,0),MATCH(2026,Mortality_Matrix!$B$3:$BS$3,0))</f>
        <v>0.2737766828</v>
      </c>
      <c r="I51" s="32" t="n">
        <f aca="false">H51/G51</f>
        <v>0.968130286780158</v>
      </c>
      <c r="J51" s="5" t="str">
        <f aca="false">IF(D51&lt;D50,"NON-MONOTONE","ok")</f>
        <v>NON-MONOTONE</v>
      </c>
      <c r="L51" s="1" t="s">
        <v>510</v>
      </c>
      <c r="M51" s="11" t="n">
        <f aca="false">I7</f>
        <v>0.747110909596582</v>
      </c>
      <c r="N51" s="11" t="n">
        <f aca="false">I32</f>
        <v>0.863113114487925</v>
      </c>
      <c r="O51" s="11" t="n">
        <f aca="false">I52</f>
        <v>0.972764720712266</v>
      </c>
    </row>
    <row r="52" customFormat="false" ht="15" hidden="false" customHeight="true" outlineLevel="0" collapsed="false">
      <c r="A52" s="3" t="n">
        <v>105</v>
      </c>
      <c r="B52" s="29" t="n">
        <v>0.10389884</v>
      </c>
      <c r="C52" s="29" t="n">
        <v>0.21044991</v>
      </c>
      <c r="D52" s="30" t="n">
        <f aca="false">(B52+C52)/2</f>
        <v>0.157174375</v>
      </c>
      <c r="E52" s="31" t="n">
        <f aca="false">LOOKUP($A52,{60,65,70,75,80,85,90,95},{0.78,0.82,0.85,0.88,0.91,0.94,0.97,1})</f>
        <v>1</v>
      </c>
      <c r="F52" s="31" t="n">
        <f aca="false">Assumptions!$B$49</f>
        <v>0.9</v>
      </c>
      <c r="G52" s="30" t="n">
        <f aca="false">D52*E52*F52</f>
        <v>0.1414569375</v>
      </c>
      <c r="H52" s="30" t="n">
        <f aca="false">INDEX(Mortality_Matrix!$B$4:$BS$64,MATCH($A52,Mortality_Matrix!$A$4:$A$64,0),MATCH(2026,Mortality_Matrix!$B$3:$BS$3,0))</f>
        <v>0.1376043183</v>
      </c>
      <c r="I52" s="32" t="n">
        <f aca="false">H52/G52</f>
        <v>0.972764720712266</v>
      </c>
      <c r="J52" s="5" t="str">
        <f aca="false">IF(D52&lt;D51,"NON-MONOTONE","ok")</f>
        <v>NON-MONOTONE</v>
      </c>
      <c r="L52" s="3" t="s">
        <v>511</v>
      </c>
      <c r="M52" s="28" t="str">
        <f aca="false">IF(CMI_Projection!B153&lt;0.000001,"Every layer of the mortality stack is now verified against citable source or rebuilt from documented parameters. The supplied matrix is confirmed as the stated methodology applied to primary-source data.","Projection layer not reproduced — investigate")</f>
        <v>Every layer of the mortality stack is now verified against citable source or rebuilt from documented parameters. The supplied matrix is confirmed as the stated methodology applied to primary-source data.</v>
      </c>
    </row>
    <row r="54" customFormat="false" ht="15" hidden="false" customHeight="true" outlineLevel="0" collapsed="false">
      <c r="L54" s="3" t="s">
        <v>512</v>
      </c>
    </row>
    <row r="55" customFormat="false" ht="15" hidden="false" customHeight="true" outlineLevel="0" collapsed="false">
      <c r="L55" s="7" t="s">
        <v>513</v>
      </c>
    </row>
    <row r="56" customFormat="false" ht="15" hidden="false" customHeight="true" outlineLevel="0" collapsed="false">
      <c r="L56" s="7" t="s">
        <v>514</v>
      </c>
    </row>
    <row r="57" customFormat="false" ht="15" hidden="false" customHeight="true" outlineLevel="0" collapsed="false">
      <c r="L57" s="7" t="s">
        <v>515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S6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7"/>
  </cols>
  <sheetData>
    <row r="1" customFormat="false" ht="15.75" hidden="false" customHeight="true" outlineLevel="0" collapsed="false">
      <c r="A1" s="15" t="s">
        <v>516</v>
      </c>
    </row>
    <row r="2" customFormat="false" ht="15" hidden="false" customHeight="true" outlineLevel="0" collapsed="false">
      <c r="A2" s="7" t="s">
        <v>517</v>
      </c>
    </row>
    <row r="3" customFormat="false" ht="15" hidden="false" customHeight="true" outlineLevel="0" collapsed="false">
      <c r="A3" s="8" t="s">
        <v>463</v>
      </c>
      <c r="B3" s="8" t="n">
        <v>2022</v>
      </c>
      <c r="C3" s="8" t="n">
        <v>2023</v>
      </c>
      <c r="D3" s="8" t="n">
        <v>2024</v>
      </c>
      <c r="E3" s="8" t="n">
        <v>2025</v>
      </c>
      <c r="F3" s="8" t="n">
        <v>2026</v>
      </c>
      <c r="G3" s="8" t="n">
        <v>2027</v>
      </c>
      <c r="H3" s="8" t="n">
        <v>2028</v>
      </c>
      <c r="I3" s="8" t="n">
        <v>2029</v>
      </c>
      <c r="J3" s="8" t="n">
        <v>2030</v>
      </c>
      <c r="K3" s="8" t="n">
        <v>2031</v>
      </c>
      <c r="L3" s="8" t="n">
        <v>2032</v>
      </c>
      <c r="M3" s="8" t="n">
        <v>2033</v>
      </c>
      <c r="N3" s="8" t="n">
        <v>2034</v>
      </c>
      <c r="O3" s="8" t="n">
        <v>2035</v>
      </c>
      <c r="P3" s="8" t="n">
        <v>2036</v>
      </c>
      <c r="Q3" s="8" t="n">
        <v>2037</v>
      </c>
      <c r="R3" s="8" t="n">
        <v>2038</v>
      </c>
      <c r="S3" s="8" t="n">
        <v>2039</v>
      </c>
      <c r="T3" s="8" t="n">
        <v>2040</v>
      </c>
      <c r="U3" s="8" t="n">
        <v>2041</v>
      </c>
      <c r="V3" s="8" t="n">
        <v>2042</v>
      </c>
      <c r="W3" s="8" t="n">
        <v>2043</v>
      </c>
      <c r="X3" s="8" t="n">
        <v>2044</v>
      </c>
      <c r="Y3" s="8" t="n">
        <v>2045</v>
      </c>
      <c r="Z3" s="8" t="n">
        <v>2046</v>
      </c>
      <c r="AA3" s="8" t="n">
        <v>2047</v>
      </c>
      <c r="AB3" s="8" t="n">
        <v>2048</v>
      </c>
      <c r="AC3" s="8" t="n">
        <v>2049</v>
      </c>
      <c r="AD3" s="8" t="n">
        <v>2050</v>
      </c>
      <c r="AE3" s="8" t="n">
        <v>2051</v>
      </c>
      <c r="AF3" s="8" t="n">
        <v>2052</v>
      </c>
      <c r="AG3" s="8" t="n">
        <v>2053</v>
      </c>
      <c r="AH3" s="8" t="n">
        <v>2054</v>
      </c>
      <c r="AI3" s="8" t="n">
        <v>2055</v>
      </c>
      <c r="AJ3" s="8" t="n">
        <v>2056</v>
      </c>
      <c r="AK3" s="8" t="n">
        <v>2057</v>
      </c>
      <c r="AL3" s="8" t="n">
        <v>2058</v>
      </c>
      <c r="AM3" s="8" t="n">
        <v>2059</v>
      </c>
      <c r="AN3" s="8" t="n">
        <v>2060</v>
      </c>
      <c r="AO3" s="8" t="n">
        <v>2061</v>
      </c>
      <c r="AP3" s="8" t="n">
        <v>2062</v>
      </c>
      <c r="AQ3" s="8" t="n">
        <v>2063</v>
      </c>
      <c r="AR3" s="8" t="n">
        <v>2064</v>
      </c>
      <c r="AS3" s="8" t="n">
        <v>2065</v>
      </c>
      <c r="AT3" s="8" t="n">
        <v>2066</v>
      </c>
      <c r="AU3" s="8" t="n">
        <v>2067</v>
      </c>
      <c r="AV3" s="8" t="n">
        <v>2068</v>
      </c>
      <c r="AW3" s="8" t="n">
        <v>2069</v>
      </c>
      <c r="AX3" s="8" t="n">
        <v>2070</v>
      </c>
      <c r="AY3" s="8" t="n">
        <v>2071</v>
      </c>
      <c r="AZ3" s="8" t="n">
        <v>2072</v>
      </c>
      <c r="BA3" s="8" t="n">
        <v>2073</v>
      </c>
      <c r="BB3" s="8" t="n">
        <v>2074</v>
      </c>
      <c r="BC3" s="8" t="n">
        <v>2075</v>
      </c>
      <c r="BD3" s="8" t="n">
        <v>2076</v>
      </c>
      <c r="BE3" s="8" t="n">
        <v>2077</v>
      </c>
      <c r="BF3" s="8" t="n">
        <v>2078</v>
      </c>
      <c r="BG3" s="8" t="n">
        <v>2079</v>
      </c>
      <c r="BH3" s="8" t="n">
        <v>2080</v>
      </c>
      <c r="BI3" s="8" t="n">
        <v>2081</v>
      </c>
      <c r="BJ3" s="8" t="n">
        <v>2082</v>
      </c>
      <c r="BK3" s="8" t="n">
        <v>2083</v>
      </c>
      <c r="BL3" s="8" t="n">
        <v>2084</v>
      </c>
      <c r="BM3" s="8" t="n">
        <v>2085</v>
      </c>
      <c r="BN3" s="8" t="n">
        <v>2086</v>
      </c>
      <c r="BO3" s="8" t="n">
        <v>2087</v>
      </c>
      <c r="BP3" s="8" t="n">
        <v>2088</v>
      </c>
      <c r="BQ3" s="8" t="n">
        <v>2089</v>
      </c>
      <c r="BR3" s="8" t="n">
        <v>2090</v>
      </c>
      <c r="BS3" s="8" t="n">
        <v>2091</v>
      </c>
    </row>
    <row r="4" customFormat="false" ht="15" hidden="false" customHeight="true" outlineLevel="0" collapsed="false">
      <c r="A4" s="3" t="n">
        <v>60</v>
      </c>
      <c r="B4" s="29" t="n">
        <v>0.0032647677</v>
      </c>
      <c r="C4" s="29" t="n">
        <v>0.00317012</v>
      </c>
      <c r="D4" s="29" t="n">
        <v>0.0030795327</v>
      </c>
      <c r="E4" s="29" t="n">
        <v>0.0029935275</v>
      </c>
      <c r="F4" s="29" t="n">
        <v>0.0029124473</v>
      </c>
      <c r="G4" s="29" t="n">
        <v>0.0028364802</v>
      </c>
      <c r="H4" s="29" t="n">
        <v>0.0027656821</v>
      </c>
      <c r="I4" s="29" t="n">
        <v>0.0026999955</v>
      </c>
      <c r="J4" s="29" t="n">
        <v>0.0026392659</v>
      </c>
      <c r="K4" s="29" t="n">
        <v>0.0025832549</v>
      </c>
      <c r="L4" s="29" t="n">
        <v>0.002531651</v>
      </c>
      <c r="M4" s="29" t="n">
        <v>0.0024840775</v>
      </c>
      <c r="N4" s="29" t="n">
        <v>0.0024400984</v>
      </c>
      <c r="O4" s="29" t="n">
        <v>0.0023992227</v>
      </c>
      <c r="P4" s="29" t="n">
        <v>0.0023609073</v>
      </c>
      <c r="Q4" s="29" t="n">
        <v>0.0023245591</v>
      </c>
      <c r="R4" s="29" t="n">
        <v>0.0022895372</v>
      </c>
      <c r="S4" s="29" t="n">
        <v>0.0022551942</v>
      </c>
      <c r="T4" s="29" t="n">
        <v>0.0022213662</v>
      </c>
      <c r="U4" s="29" t="n">
        <v>0.0021880457</v>
      </c>
      <c r="V4" s="29" t="n">
        <v>0.0021552251</v>
      </c>
      <c r="W4" s="29" t="n">
        <v>0.0021228967</v>
      </c>
      <c r="X4" s="29" t="n">
        <v>0.0020910532</v>
      </c>
      <c r="Y4" s="29" t="n">
        <v>0.0020596874</v>
      </c>
      <c r="Z4" s="29" t="n">
        <v>0.0020287921</v>
      </c>
      <c r="AA4" s="29" t="n">
        <v>0.0019983602</v>
      </c>
      <c r="AB4" s="29" t="n">
        <v>0.0019683848</v>
      </c>
      <c r="AC4" s="29" t="n">
        <v>0.0019388591</v>
      </c>
      <c r="AD4" s="29" t="n">
        <v>0.0019097762</v>
      </c>
      <c r="AE4" s="29" t="n">
        <v>0.0018811295</v>
      </c>
      <c r="AF4" s="29" t="n">
        <v>0.0018529126</v>
      </c>
      <c r="AG4" s="29" t="n">
        <v>0.0018251189</v>
      </c>
      <c r="AH4" s="29" t="n">
        <v>0.0017977421</v>
      </c>
      <c r="AI4" s="29" t="n">
        <v>0.001770776</v>
      </c>
      <c r="AJ4" s="29" t="n">
        <v>0.0017442143</v>
      </c>
      <c r="AK4" s="29" t="n">
        <v>0.0017180511</v>
      </c>
      <c r="AL4" s="29" t="n">
        <v>0.0016922804</v>
      </c>
      <c r="AM4" s="29" t="n">
        <v>0.0016668962</v>
      </c>
      <c r="AN4" s="29" t="n">
        <v>0.0016418927</v>
      </c>
      <c r="AO4" s="29" t="n">
        <v>0.0016172643</v>
      </c>
      <c r="AP4" s="29" t="n">
        <v>0.0015930054</v>
      </c>
      <c r="AQ4" s="29" t="n">
        <v>0.0015691103</v>
      </c>
      <c r="AR4" s="29" t="n">
        <v>0.0015455736</v>
      </c>
      <c r="AS4" s="29" t="n">
        <v>0.00152239</v>
      </c>
      <c r="AT4" s="29" t="n">
        <v>0.0014995542</v>
      </c>
      <c r="AU4" s="29" t="n">
        <v>0.0014770609</v>
      </c>
      <c r="AV4" s="29" t="n">
        <v>0.0014549049</v>
      </c>
      <c r="AW4" s="29" t="n">
        <v>0.0014330814</v>
      </c>
      <c r="AX4" s="29" t="n">
        <v>0.0014115852</v>
      </c>
      <c r="AY4" s="29" t="n">
        <v>0.0013904114</v>
      </c>
      <c r="AZ4" s="29" t="n">
        <v>0.0013695552</v>
      </c>
      <c r="BA4" s="29" t="n">
        <v>0.0013490119</v>
      </c>
      <c r="BB4" s="29" t="n">
        <v>0.0013287767</v>
      </c>
      <c r="BC4" s="29" t="n">
        <v>0.001308845</v>
      </c>
      <c r="BD4" s="29" t="n">
        <v>0.0012892124</v>
      </c>
      <c r="BE4" s="29" t="n">
        <v>0.0012698742</v>
      </c>
      <c r="BF4" s="29" t="n">
        <v>0.0012508261</v>
      </c>
      <c r="BG4" s="29" t="n">
        <v>0.0012320637</v>
      </c>
      <c r="BH4" s="29" t="n">
        <v>0.0012135827</v>
      </c>
      <c r="BI4" s="29" t="n">
        <v>0.001195379</v>
      </c>
      <c r="BJ4" s="29" t="n">
        <v>0.0011774483</v>
      </c>
      <c r="BK4" s="29" t="n">
        <v>0.0011597866</v>
      </c>
      <c r="BL4" s="29" t="n">
        <v>0.0011423898</v>
      </c>
      <c r="BM4" s="29" t="n">
        <v>0.0011252539</v>
      </c>
      <c r="BN4" s="29" t="n">
        <v>0.0011083751</v>
      </c>
      <c r="BO4" s="29" t="n">
        <v>0.0010917495</v>
      </c>
      <c r="BP4" s="29" t="n">
        <v>0.0010753733</v>
      </c>
      <c r="BQ4" s="29" t="n">
        <v>0.0010592427</v>
      </c>
      <c r="BR4" s="29" t="n">
        <v>0.001043354</v>
      </c>
      <c r="BS4" s="29" t="n">
        <v>0.0010277037</v>
      </c>
    </row>
    <row r="5" customFormat="false" ht="15" hidden="false" customHeight="true" outlineLevel="0" collapsed="false">
      <c r="A5" s="3" t="n">
        <v>61</v>
      </c>
      <c r="B5" s="29" t="n">
        <v>0.0036124582</v>
      </c>
      <c r="C5" s="29" t="n">
        <v>0.0035097033</v>
      </c>
      <c r="D5" s="29" t="n">
        <v>0.0034113271</v>
      </c>
      <c r="E5" s="29" t="n">
        <v>0.003317911</v>
      </c>
      <c r="F5" s="29" t="n">
        <v>0.0032298368</v>
      </c>
      <c r="G5" s="29" t="n">
        <v>0.0031473143</v>
      </c>
      <c r="H5" s="29" t="n">
        <v>0.0030704049</v>
      </c>
      <c r="I5" s="29" t="n">
        <v>0.0029990428</v>
      </c>
      <c r="J5" s="29" t="n">
        <v>0.0029330531</v>
      </c>
      <c r="K5" s="29" t="n">
        <v>0.0028721656</v>
      </c>
      <c r="L5" s="29" t="n">
        <v>0.0028160271</v>
      </c>
      <c r="M5" s="29" t="n">
        <v>0.0027642093</v>
      </c>
      <c r="N5" s="29" t="n">
        <v>0.0027162162</v>
      </c>
      <c r="O5" s="29" t="n">
        <v>0.0026714879</v>
      </c>
      <c r="P5" s="29" t="n">
        <v>0.0026294043</v>
      </c>
      <c r="Q5" s="29" t="n">
        <v>0.0025892877</v>
      </c>
      <c r="R5" s="29" t="n">
        <v>0.002550405</v>
      </c>
      <c r="S5" s="29" t="n">
        <v>0.0025121489</v>
      </c>
      <c r="T5" s="29" t="n">
        <v>0.0024744667</v>
      </c>
      <c r="U5" s="29" t="n">
        <v>0.0024373497</v>
      </c>
      <c r="V5" s="29" t="n">
        <v>0.0024007894</v>
      </c>
      <c r="W5" s="29" t="n">
        <v>0.0023647776</v>
      </c>
      <c r="X5" s="29" t="n">
        <v>0.0023293059</v>
      </c>
      <c r="Y5" s="29" t="n">
        <v>0.0022943663</v>
      </c>
      <c r="Z5" s="29" t="n">
        <v>0.0022599508</v>
      </c>
      <c r="AA5" s="29" t="n">
        <v>0.0022260516</v>
      </c>
      <c r="AB5" s="29" t="n">
        <v>0.0021926608</v>
      </c>
      <c r="AC5" s="29" t="n">
        <v>0.0021597709</v>
      </c>
      <c r="AD5" s="29" t="n">
        <v>0.0021273743</v>
      </c>
      <c r="AE5" s="29" t="n">
        <v>0.0020954637</v>
      </c>
      <c r="AF5" s="29" t="n">
        <v>0.0020640317</v>
      </c>
      <c r="AG5" s="29" t="n">
        <v>0.0020330713</v>
      </c>
      <c r="AH5" s="29" t="n">
        <v>0.0020025752</v>
      </c>
      <c r="AI5" s="29" t="n">
        <v>0.0019725366</v>
      </c>
      <c r="AJ5" s="29" t="n">
        <v>0.0019429485</v>
      </c>
      <c r="AK5" s="29" t="n">
        <v>0.0019138043</v>
      </c>
      <c r="AL5" s="29" t="n">
        <v>0.0018850972</v>
      </c>
      <c r="AM5" s="29" t="n">
        <v>0.0018568208</v>
      </c>
      <c r="AN5" s="29" t="n">
        <v>0.0018289685</v>
      </c>
      <c r="AO5" s="29" t="n">
        <v>0.0018015339</v>
      </c>
      <c r="AP5" s="29" t="n">
        <v>0.0017745109</v>
      </c>
      <c r="AQ5" s="29" t="n">
        <v>0.0017478933</v>
      </c>
      <c r="AR5" s="29" t="n">
        <v>0.0017216749</v>
      </c>
      <c r="AS5" s="29" t="n">
        <v>0.0016958497</v>
      </c>
      <c r="AT5" s="29" t="n">
        <v>0.001670412</v>
      </c>
      <c r="AU5" s="29" t="n">
        <v>0.0016453558</v>
      </c>
      <c r="AV5" s="29" t="n">
        <v>0.0016206755</v>
      </c>
      <c r="AW5" s="29" t="n">
        <v>0.0015963653</v>
      </c>
      <c r="AX5" s="29" t="n">
        <v>0.0015724199</v>
      </c>
      <c r="AY5" s="29" t="n">
        <v>0.0015488336</v>
      </c>
      <c r="AZ5" s="29" t="n">
        <v>0.0015256011</v>
      </c>
      <c r="BA5" s="29" t="n">
        <v>0.001502717</v>
      </c>
      <c r="BB5" s="29" t="n">
        <v>0.0014801763</v>
      </c>
      <c r="BC5" s="29" t="n">
        <v>0.0014579736</v>
      </c>
      <c r="BD5" s="29" t="n">
        <v>0.001436104</v>
      </c>
      <c r="BE5" s="29" t="n">
        <v>0.0014145625</v>
      </c>
      <c r="BF5" s="29" t="n">
        <v>0.001393344</v>
      </c>
      <c r="BG5" s="29" t="n">
        <v>0.0013724439</v>
      </c>
      <c r="BH5" s="29" t="n">
        <v>0.0013518572</v>
      </c>
      <c r="BI5" s="29" t="n">
        <v>0.0013315794</v>
      </c>
      <c r="BJ5" s="29" t="n">
        <v>0.0013116057</v>
      </c>
      <c r="BK5" s="29" t="n">
        <v>0.0012919316</v>
      </c>
      <c r="BL5" s="29" t="n">
        <v>0.0012725526</v>
      </c>
      <c r="BM5" s="29" t="n">
        <v>0.0012534643</v>
      </c>
      <c r="BN5" s="29" t="n">
        <v>0.0012346624</v>
      </c>
      <c r="BO5" s="29" t="n">
        <v>0.0012161424</v>
      </c>
      <c r="BP5" s="29" t="n">
        <v>0.0011979003</v>
      </c>
      <c r="BQ5" s="29" t="n">
        <v>0.0011799318</v>
      </c>
      <c r="BR5" s="29" t="n">
        <v>0.0011622328</v>
      </c>
      <c r="BS5" s="29" t="n">
        <v>0.0011447993</v>
      </c>
    </row>
    <row r="6" customFormat="false" ht="15" hidden="false" customHeight="true" outlineLevel="0" collapsed="false">
      <c r="A6" s="3" t="n">
        <v>62</v>
      </c>
      <c r="B6" s="29" t="n">
        <v>0.0040002684</v>
      </c>
      <c r="C6" s="29" t="n">
        <v>0.003888673</v>
      </c>
      <c r="D6" s="29" t="n">
        <v>0.0037818006</v>
      </c>
      <c r="E6" s="29" t="n">
        <v>0.0036802981</v>
      </c>
      <c r="F6" s="29" t="n">
        <v>0.0035845904</v>
      </c>
      <c r="G6" s="29" t="n">
        <v>0.0034949103</v>
      </c>
      <c r="H6" s="29" t="n">
        <v>0.0034113245</v>
      </c>
      <c r="I6" s="29" t="n">
        <v>0.0033337572</v>
      </c>
      <c r="J6" s="29" t="n">
        <v>0.003262009</v>
      </c>
      <c r="K6" s="29" t="n">
        <v>0.003195773</v>
      </c>
      <c r="L6" s="29" t="n">
        <v>0.0031346474</v>
      </c>
      <c r="M6" s="29" t="n">
        <v>0.0030781447</v>
      </c>
      <c r="N6" s="29" t="n">
        <v>0.0030256991</v>
      </c>
      <c r="O6" s="29" t="n">
        <v>0.0029766716</v>
      </c>
      <c r="P6" s="29" t="n">
        <v>0.0029303532</v>
      </c>
      <c r="Q6" s="29" t="n">
        <v>0.0028859686</v>
      </c>
      <c r="R6" s="29" t="n">
        <v>0.0028426791</v>
      </c>
      <c r="S6" s="29" t="n">
        <v>0.0028000389</v>
      </c>
      <c r="T6" s="29" t="n">
        <v>0.0027580383</v>
      </c>
      <c r="U6" s="29" t="n">
        <v>0.0027166678</v>
      </c>
      <c r="V6" s="29" t="n">
        <v>0.0026759178</v>
      </c>
      <c r="W6" s="29" t="n">
        <v>0.002635779</v>
      </c>
      <c r="X6" s="29" t="n">
        <v>0.0025962423</v>
      </c>
      <c r="Y6" s="29" t="n">
        <v>0.0025572987</v>
      </c>
      <c r="Z6" s="29" t="n">
        <v>0.0025189392</v>
      </c>
      <c r="AA6" s="29" t="n">
        <v>0.0024811551</v>
      </c>
      <c r="AB6" s="29" t="n">
        <v>0.0024439378</v>
      </c>
      <c r="AC6" s="29" t="n">
        <v>0.0024072787</v>
      </c>
      <c r="AD6" s="29" t="n">
        <v>0.0023711695</v>
      </c>
      <c r="AE6" s="29" t="n">
        <v>0.002335602</v>
      </c>
      <c r="AF6" s="29" t="n">
        <v>0.002300568</v>
      </c>
      <c r="AG6" s="29" t="n">
        <v>0.0022660594</v>
      </c>
      <c r="AH6" s="29" t="n">
        <v>0.0022320685</v>
      </c>
      <c r="AI6" s="29" t="n">
        <v>0.0021985875</v>
      </c>
      <c r="AJ6" s="29" t="n">
        <v>0.0021656087</v>
      </c>
      <c r="AK6" s="29" t="n">
        <v>0.0021331246</v>
      </c>
      <c r="AL6" s="29" t="n">
        <v>0.0021011277</v>
      </c>
      <c r="AM6" s="29" t="n">
        <v>0.0020696108</v>
      </c>
      <c r="AN6" s="29" t="n">
        <v>0.0020385666</v>
      </c>
      <c r="AO6" s="29" t="n">
        <v>0.0020079881</v>
      </c>
      <c r="AP6" s="29" t="n">
        <v>0.0019778683</v>
      </c>
      <c r="AQ6" s="29" t="n">
        <v>0.0019482003</v>
      </c>
      <c r="AR6" s="29" t="n">
        <v>0.0019189773</v>
      </c>
      <c r="AS6" s="29" t="n">
        <v>0.0018901926</v>
      </c>
      <c r="AT6" s="29" t="n">
        <v>0.0018618397</v>
      </c>
      <c r="AU6" s="29" t="n">
        <v>0.0018339121</v>
      </c>
      <c r="AV6" s="29" t="n">
        <v>0.0018064034</v>
      </c>
      <c r="AW6" s="29" t="n">
        <v>0.0017793074</v>
      </c>
      <c r="AX6" s="29" t="n">
        <v>0.0017526178</v>
      </c>
      <c r="AY6" s="29" t="n">
        <v>0.0017263285</v>
      </c>
      <c r="AZ6" s="29" t="n">
        <v>0.0017004336</v>
      </c>
      <c r="BA6" s="29" t="n">
        <v>0.0016749271</v>
      </c>
      <c r="BB6" s="29" t="n">
        <v>0.0016498032</v>
      </c>
      <c r="BC6" s="29" t="n">
        <v>0.0016250561</v>
      </c>
      <c r="BD6" s="29" t="n">
        <v>0.0016006803</v>
      </c>
      <c r="BE6" s="29" t="n">
        <v>0.0015766701</v>
      </c>
      <c r="BF6" s="29" t="n">
        <v>0.00155302</v>
      </c>
      <c r="BG6" s="29" t="n">
        <v>0.0015297247</v>
      </c>
      <c r="BH6" s="29" t="n">
        <v>0.0015067789</v>
      </c>
      <c r="BI6" s="29" t="n">
        <v>0.0014841772</v>
      </c>
      <c r="BJ6" s="29" t="n">
        <v>0.0014619145</v>
      </c>
      <c r="BK6" s="29" t="n">
        <v>0.0014399858</v>
      </c>
      <c r="BL6" s="29" t="n">
        <v>0.001418386</v>
      </c>
      <c r="BM6" s="29" t="n">
        <v>0.0013971102</v>
      </c>
      <c r="BN6" s="29" t="n">
        <v>0.0013761536</v>
      </c>
      <c r="BO6" s="29" t="n">
        <v>0.0013555113</v>
      </c>
      <c r="BP6" s="29" t="n">
        <v>0.0013351786</v>
      </c>
      <c r="BQ6" s="29" t="n">
        <v>0.0013151509</v>
      </c>
      <c r="BR6" s="29" t="n">
        <v>0.0012954237</v>
      </c>
      <c r="BS6" s="29" t="n">
        <v>0.0012759923</v>
      </c>
    </row>
    <row r="7" customFormat="false" ht="15" hidden="false" customHeight="true" outlineLevel="0" collapsed="false">
      <c r="A7" s="3" t="n">
        <v>63</v>
      </c>
      <c r="B7" s="29" t="n">
        <v>0.0044335738</v>
      </c>
      <c r="C7" s="29" t="n">
        <v>0.0043123261</v>
      </c>
      <c r="D7" s="29" t="n">
        <v>0.0041961736</v>
      </c>
      <c r="E7" s="29" t="n">
        <v>0.0040858356</v>
      </c>
      <c r="F7" s="29" t="n">
        <v>0.0039817842</v>
      </c>
      <c r="G7" s="29" t="n">
        <v>0.0038842767</v>
      </c>
      <c r="H7" s="29" t="n">
        <v>0.0037933848</v>
      </c>
      <c r="I7" s="29" t="n">
        <v>0.0037090199</v>
      </c>
      <c r="J7" s="29" t="n">
        <v>0.003630954</v>
      </c>
      <c r="K7" s="29" t="n">
        <v>0.0035588373</v>
      </c>
      <c r="L7" s="29" t="n">
        <v>0.0034922116</v>
      </c>
      <c r="M7" s="29" t="n">
        <v>0.0034305208</v>
      </c>
      <c r="N7" s="29" t="n">
        <v>0.0033731188</v>
      </c>
      <c r="O7" s="29" t="n">
        <v>0.0033192747</v>
      </c>
      <c r="P7" s="29" t="n">
        <v>0.0032681774</v>
      </c>
      <c r="Q7" s="29" t="n">
        <v>0.0032189392</v>
      </c>
      <c r="R7" s="29" t="n">
        <v>0.0031706551</v>
      </c>
      <c r="S7" s="29" t="n">
        <v>0.0031230953</v>
      </c>
      <c r="T7" s="29" t="n">
        <v>0.0030762489</v>
      </c>
      <c r="U7" s="29" t="n">
        <v>0.0030301052</v>
      </c>
      <c r="V7" s="29" t="n">
        <v>0.0029846536</v>
      </c>
      <c r="W7" s="29" t="n">
        <v>0.0029398838</v>
      </c>
      <c r="X7" s="29" t="n">
        <v>0.0028957855</v>
      </c>
      <c r="Y7" s="29" t="n">
        <v>0.0028523487</v>
      </c>
      <c r="Z7" s="29" t="n">
        <v>0.0028095635</v>
      </c>
      <c r="AA7" s="29" t="n">
        <v>0.00276742</v>
      </c>
      <c r="AB7" s="29" t="n">
        <v>0.0027259087</v>
      </c>
      <c r="AC7" s="29" t="n">
        <v>0.0026850201</v>
      </c>
      <c r="AD7" s="29" t="n">
        <v>0.0026447448</v>
      </c>
      <c r="AE7" s="29" t="n">
        <v>0.0026050736</v>
      </c>
      <c r="AF7" s="29" t="n">
        <v>0.0025659975</v>
      </c>
      <c r="AG7" s="29" t="n">
        <v>0.0025275076</v>
      </c>
      <c r="AH7" s="29" t="n">
        <v>0.002489595</v>
      </c>
      <c r="AI7" s="29" t="n">
        <v>0.002452251</v>
      </c>
      <c r="AJ7" s="29" t="n">
        <v>0.0024154673</v>
      </c>
      <c r="AK7" s="29" t="n">
        <v>0.0023792353</v>
      </c>
      <c r="AL7" s="29" t="n">
        <v>0.0023435467</v>
      </c>
      <c r="AM7" s="29" t="n">
        <v>0.0023083935</v>
      </c>
      <c r="AN7" s="29" t="n">
        <v>0.0022737676</v>
      </c>
      <c r="AO7" s="29" t="n">
        <v>0.0022396611</v>
      </c>
      <c r="AP7" s="29" t="n">
        <v>0.0022060662</v>
      </c>
      <c r="AQ7" s="29" t="n">
        <v>0.0021729752</v>
      </c>
      <c r="AR7" s="29" t="n">
        <v>0.0021403806</v>
      </c>
      <c r="AS7" s="29" t="n">
        <v>0.0021082749</v>
      </c>
      <c r="AT7" s="29" t="n">
        <v>0.0020766507</v>
      </c>
      <c r="AU7" s="29" t="n">
        <v>0.002045501</v>
      </c>
      <c r="AV7" s="29" t="n">
        <v>0.0020148185</v>
      </c>
      <c r="AW7" s="29" t="n">
        <v>0.0019845962</v>
      </c>
      <c r="AX7" s="29" t="n">
        <v>0.0019548272</v>
      </c>
      <c r="AY7" s="29" t="n">
        <v>0.0019255048</v>
      </c>
      <c r="AZ7" s="29" t="n">
        <v>0.0018966223</v>
      </c>
      <c r="BA7" s="29" t="n">
        <v>0.0018681729</v>
      </c>
      <c r="BB7" s="29" t="n">
        <v>0.0018401503</v>
      </c>
      <c r="BC7" s="29" t="n">
        <v>0.0018125481</v>
      </c>
      <c r="BD7" s="29" t="n">
        <v>0.0017853599</v>
      </c>
      <c r="BE7" s="29" t="n">
        <v>0.0017585795</v>
      </c>
      <c r="BF7" s="29" t="n">
        <v>0.0017322008</v>
      </c>
      <c r="BG7" s="29" t="n">
        <v>0.0017062178</v>
      </c>
      <c r="BH7" s="29" t="n">
        <v>0.0016806245</v>
      </c>
      <c r="BI7" s="29" t="n">
        <v>0.0016554151</v>
      </c>
      <c r="BJ7" s="29" t="n">
        <v>0.0016305839</v>
      </c>
      <c r="BK7" s="29" t="n">
        <v>0.0016061251</v>
      </c>
      <c r="BL7" s="29" t="n">
        <v>0.0015820333</v>
      </c>
      <c r="BM7" s="29" t="n">
        <v>0.0015583028</v>
      </c>
      <c r="BN7" s="29" t="n">
        <v>0.0015349282</v>
      </c>
      <c r="BO7" s="29" t="n">
        <v>0.0015119043</v>
      </c>
      <c r="BP7" s="29" t="n">
        <v>0.0014892257</v>
      </c>
      <c r="BQ7" s="29" t="n">
        <v>0.0014668874</v>
      </c>
      <c r="BR7" s="29" t="n">
        <v>0.001444884</v>
      </c>
      <c r="BS7" s="29" t="n">
        <v>0.0014232108</v>
      </c>
    </row>
    <row r="8" customFormat="false" ht="15" hidden="false" customHeight="true" outlineLevel="0" collapsed="false">
      <c r="A8" s="3" t="n">
        <v>64</v>
      </c>
      <c r="B8" s="29" t="n">
        <v>0.0049185695</v>
      </c>
      <c r="C8" s="29" t="n">
        <v>0.0047867692</v>
      </c>
      <c r="D8" s="29" t="n">
        <v>0.0046604669</v>
      </c>
      <c r="E8" s="29" t="n">
        <v>0.0045404615</v>
      </c>
      <c r="F8" s="29" t="n">
        <v>0.0044272762</v>
      </c>
      <c r="G8" s="29" t="n">
        <v>0.004321195</v>
      </c>
      <c r="H8" s="29" t="n">
        <v>0.0042222935</v>
      </c>
      <c r="I8" s="29" t="n">
        <v>0.0041304671</v>
      </c>
      <c r="J8" s="29" t="n">
        <v>0.0040454541</v>
      </c>
      <c r="K8" s="29" t="n">
        <v>0.0039668544</v>
      </c>
      <c r="L8" s="29" t="n">
        <v>0.0038941446</v>
      </c>
      <c r="M8" s="29" t="n">
        <v>0.0038266891</v>
      </c>
      <c r="N8" s="29" t="n">
        <v>0.0037637487</v>
      </c>
      <c r="O8" s="29" t="n">
        <v>0.0037044867</v>
      </c>
      <c r="P8" s="29" t="n">
        <v>0.003647974</v>
      </c>
      <c r="Q8" s="29" t="n">
        <v>0.0035931935</v>
      </c>
      <c r="R8" s="29" t="n">
        <v>0.0035392956</v>
      </c>
      <c r="S8" s="29" t="n">
        <v>0.0034862062</v>
      </c>
      <c r="T8" s="29" t="n">
        <v>0.0034339131</v>
      </c>
      <c r="U8" s="29" t="n">
        <v>0.0033824044</v>
      </c>
      <c r="V8" s="29" t="n">
        <v>0.0033316683</v>
      </c>
      <c r="W8" s="29" t="n">
        <v>0.0032816933</v>
      </c>
      <c r="X8" s="29" t="n">
        <v>0.0032324679</v>
      </c>
      <c r="Y8" s="29" t="n">
        <v>0.0031839809</v>
      </c>
      <c r="Z8" s="29" t="n">
        <v>0.0031362212</v>
      </c>
      <c r="AA8" s="29" t="n">
        <v>0.0030891779</v>
      </c>
      <c r="AB8" s="29" t="n">
        <v>0.0030428402</v>
      </c>
      <c r="AC8" s="29" t="n">
        <v>0.0029971976</v>
      </c>
      <c r="AD8" s="29" t="n">
        <v>0.0029522396</v>
      </c>
      <c r="AE8" s="29" t="n">
        <v>0.002907956</v>
      </c>
      <c r="AF8" s="29" t="n">
        <v>0.0028643367</v>
      </c>
      <c r="AG8" s="29" t="n">
        <v>0.0028213716</v>
      </c>
      <c r="AH8" s="29" t="n">
        <v>0.0027790511</v>
      </c>
      <c r="AI8" s="29" t="n">
        <v>0.0027373653</v>
      </c>
      <c r="AJ8" s="29" t="n">
        <v>0.0026963048</v>
      </c>
      <c r="AK8" s="29" t="n">
        <v>0.0026558602</v>
      </c>
      <c r="AL8" s="29" t="n">
        <v>0.0026160223</v>
      </c>
      <c r="AM8" s="29" t="n">
        <v>0.002576782</v>
      </c>
      <c r="AN8" s="29" t="n">
        <v>0.0025381303</v>
      </c>
      <c r="AO8" s="29" t="n">
        <v>0.0025000583</v>
      </c>
      <c r="AP8" s="29" t="n">
        <v>0.0024625574</v>
      </c>
      <c r="AQ8" s="29" t="n">
        <v>0.0024256191</v>
      </c>
      <c r="AR8" s="29" t="n">
        <v>0.0023892348</v>
      </c>
      <c r="AS8" s="29" t="n">
        <v>0.0023533963</v>
      </c>
      <c r="AT8" s="29" t="n">
        <v>0.0023180953</v>
      </c>
      <c r="AU8" s="29" t="n">
        <v>0.0022833239</v>
      </c>
      <c r="AV8" s="29" t="n">
        <v>0.002249074</v>
      </c>
      <c r="AW8" s="29" t="n">
        <v>0.0022153379</v>
      </c>
      <c r="AX8" s="29" t="n">
        <v>0.0021821079</v>
      </c>
      <c r="AY8" s="29" t="n">
        <v>0.0021493762</v>
      </c>
      <c r="AZ8" s="29" t="n">
        <v>0.0021171356</v>
      </c>
      <c r="BA8" s="29" t="n">
        <v>0.0020853786</v>
      </c>
      <c r="BB8" s="29" t="n">
        <v>0.0020540979</v>
      </c>
      <c r="BC8" s="29" t="n">
        <v>0.0020232864</v>
      </c>
      <c r="BD8" s="29" t="n">
        <v>0.0019929371</v>
      </c>
      <c r="BE8" s="29" t="n">
        <v>0.0019630431</v>
      </c>
      <c r="BF8" s="29" t="n">
        <v>0.0019335974</v>
      </c>
      <c r="BG8" s="29" t="n">
        <v>0.0019045935</v>
      </c>
      <c r="BH8" s="29" t="n">
        <v>0.0018760246</v>
      </c>
      <c r="BI8" s="29" t="n">
        <v>0.0018478842</v>
      </c>
      <c r="BJ8" s="29" t="n">
        <v>0.0018201659</v>
      </c>
      <c r="BK8" s="29" t="n">
        <v>0.0017928634</v>
      </c>
      <c r="BL8" s="29" t="n">
        <v>0.0017659705</v>
      </c>
      <c r="BM8" s="29" t="n">
        <v>0.0017394809</v>
      </c>
      <c r="BN8" s="29" t="n">
        <v>0.0017133887</v>
      </c>
      <c r="BO8" s="29" t="n">
        <v>0.0016876879</v>
      </c>
      <c r="BP8" s="29" t="n">
        <v>0.0016623726</v>
      </c>
      <c r="BQ8" s="29" t="n">
        <v>0.001637437</v>
      </c>
      <c r="BR8" s="29" t="n">
        <v>0.0016128754</v>
      </c>
      <c r="BS8" s="29" t="n">
        <v>0.0015886823</v>
      </c>
    </row>
    <row r="9" customFormat="false" ht="15" hidden="false" customHeight="true" outlineLevel="0" collapsed="false">
      <c r="A9" s="3" t="n">
        <v>65</v>
      </c>
      <c r="B9" s="29" t="n">
        <v>0.005742527</v>
      </c>
      <c r="C9" s="29" t="n">
        <v>0.0055918237</v>
      </c>
      <c r="D9" s="29" t="n">
        <v>0.0054473585</v>
      </c>
      <c r="E9" s="29" t="n">
        <v>0.0053100628</v>
      </c>
      <c r="F9" s="29" t="n">
        <v>0.0051805459</v>
      </c>
      <c r="G9" s="29" t="n">
        <v>0.0050591351</v>
      </c>
      <c r="H9" s="29" t="n">
        <v>0.004945913</v>
      </c>
      <c r="I9" s="29" t="n">
        <v>0.004840749</v>
      </c>
      <c r="J9" s="29" t="n">
        <v>0.0047433257</v>
      </c>
      <c r="K9" s="29" t="n">
        <v>0.0046531611</v>
      </c>
      <c r="L9" s="29" t="n">
        <v>0.0045696249</v>
      </c>
      <c r="M9" s="29" t="n">
        <v>0.0044919521</v>
      </c>
      <c r="N9" s="29" t="n">
        <v>0.0044192526</v>
      </c>
      <c r="O9" s="29" t="n">
        <v>0.0043505182</v>
      </c>
      <c r="P9" s="29" t="n">
        <v>0.0042846292</v>
      </c>
      <c r="Q9" s="29" t="n">
        <v>0.0042203597</v>
      </c>
      <c r="R9" s="29" t="n">
        <v>0.0041570543</v>
      </c>
      <c r="S9" s="29" t="n">
        <v>0.0040946985</v>
      </c>
      <c r="T9" s="29" t="n">
        <v>0.004033278</v>
      </c>
      <c r="U9" s="29" t="n">
        <v>0.0039727789</v>
      </c>
      <c r="V9" s="29" t="n">
        <v>0.0039131872</v>
      </c>
      <c r="W9" s="29" t="n">
        <v>0.0038544894</v>
      </c>
      <c r="X9" s="29" t="n">
        <v>0.003796672</v>
      </c>
      <c r="Y9" s="29" t="n">
        <v>0.0037397219</v>
      </c>
      <c r="Z9" s="29" t="n">
        <v>0.0036836261</v>
      </c>
      <c r="AA9" s="29" t="n">
        <v>0.0036283717</v>
      </c>
      <c r="AB9" s="29" t="n">
        <v>0.0035739462</v>
      </c>
      <c r="AC9" s="29" t="n">
        <v>0.003520337</v>
      </c>
      <c r="AD9" s="29" t="n">
        <v>0.0034675319</v>
      </c>
      <c r="AE9" s="29" t="n">
        <v>0.0034155189</v>
      </c>
      <c r="AF9" s="29" t="n">
        <v>0.0033642861</v>
      </c>
      <c r="AG9" s="29" t="n">
        <v>0.0033138219</v>
      </c>
      <c r="AH9" s="29" t="n">
        <v>0.0032641145</v>
      </c>
      <c r="AI9" s="29" t="n">
        <v>0.0032151528</v>
      </c>
      <c r="AJ9" s="29" t="n">
        <v>0.0031669255</v>
      </c>
      <c r="AK9" s="29" t="n">
        <v>0.0031194216</v>
      </c>
      <c r="AL9" s="29" t="n">
        <v>0.0030726303</v>
      </c>
      <c r="AM9" s="29" t="n">
        <v>0.0030265409</v>
      </c>
      <c r="AN9" s="29" t="n">
        <v>0.0029811427</v>
      </c>
      <c r="AO9" s="29" t="n">
        <v>0.0029364256</v>
      </c>
      <c r="AP9" s="29" t="n">
        <v>0.0028923792</v>
      </c>
      <c r="AQ9" s="29" t="n">
        <v>0.0028489935</v>
      </c>
      <c r="AR9" s="29" t="n">
        <v>0.0028062586</v>
      </c>
      <c r="AS9" s="29" t="n">
        <v>0.0027641647</v>
      </c>
      <c r="AT9" s="29" t="n">
        <v>0.0027227023</v>
      </c>
      <c r="AU9" s="29" t="n">
        <v>0.0026818617</v>
      </c>
      <c r="AV9" s="29" t="n">
        <v>0.0026416338</v>
      </c>
      <c r="AW9" s="29" t="n">
        <v>0.0026020093</v>
      </c>
      <c r="AX9" s="29" t="n">
        <v>0.0025629792</v>
      </c>
      <c r="AY9" s="29" t="n">
        <v>0.0025245345</v>
      </c>
      <c r="AZ9" s="29" t="n">
        <v>0.0024866665</v>
      </c>
      <c r="BA9" s="29" t="n">
        <v>0.0024493665</v>
      </c>
      <c r="BB9" s="29" t="n">
        <v>0.002412626</v>
      </c>
      <c r="BC9" s="29" t="n">
        <v>0.0023764366</v>
      </c>
      <c r="BD9" s="29" t="n">
        <v>0.00234079</v>
      </c>
      <c r="BE9" s="29" t="n">
        <v>0.0023056782</v>
      </c>
      <c r="BF9" s="29" t="n">
        <v>0.002271093</v>
      </c>
      <c r="BG9" s="29" t="n">
        <v>0.0022370266</v>
      </c>
      <c r="BH9" s="29" t="n">
        <v>0.0022034712</v>
      </c>
      <c r="BI9" s="29" t="n">
        <v>0.0021704191</v>
      </c>
      <c r="BJ9" s="29" t="n">
        <v>0.0021378629</v>
      </c>
      <c r="BK9" s="29" t="n">
        <v>0.0021057949</v>
      </c>
      <c r="BL9" s="29" t="n">
        <v>0.002074208</v>
      </c>
      <c r="BM9" s="29" t="n">
        <v>0.0020430949</v>
      </c>
      <c r="BN9" s="29" t="n">
        <v>0.0020124484</v>
      </c>
      <c r="BO9" s="29" t="n">
        <v>0.0019822617</v>
      </c>
      <c r="BP9" s="29" t="n">
        <v>0.0019525278</v>
      </c>
      <c r="BQ9" s="29" t="n">
        <v>0.0019232399</v>
      </c>
      <c r="BR9" s="29" t="n">
        <v>0.0018943913</v>
      </c>
      <c r="BS9" s="29" t="n">
        <v>0.0018659754</v>
      </c>
    </row>
    <row r="10" customFormat="false" ht="15" hidden="false" customHeight="true" outlineLevel="0" collapsed="false">
      <c r="A10" s="3" t="n">
        <v>66</v>
      </c>
      <c r="B10" s="29" t="n">
        <v>0.0063847671</v>
      </c>
      <c r="C10" s="29" t="n">
        <v>0.0062207537</v>
      </c>
      <c r="D10" s="29" t="n">
        <v>0.0060634739</v>
      </c>
      <c r="E10" s="29" t="n">
        <v>0.0059139595</v>
      </c>
      <c r="F10" s="29" t="n">
        <v>0.0057728834</v>
      </c>
      <c r="G10" s="29" t="n">
        <v>0.0056406036</v>
      </c>
      <c r="H10" s="29" t="n">
        <v>0.0055172036</v>
      </c>
      <c r="I10" s="29" t="n">
        <v>0.0054025271</v>
      </c>
      <c r="J10" s="29" t="n">
        <v>0.0052962071</v>
      </c>
      <c r="K10" s="29" t="n">
        <v>0.0051976893</v>
      </c>
      <c r="L10" s="29" t="n">
        <v>0.0051062509</v>
      </c>
      <c r="M10" s="29" t="n">
        <v>0.0050210144</v>
      </c>
      <c r="N10" s="29" t="n">
        <v>0.004940959</v>
      </c>
      <c r="O10" s="29" t="n">
        <v>0.0048649283</v>
      </c>
      <c r="P10" s="29" t="n">
        <v>0.0047916376</v>
      </c>
      <c r="Q10" s="29" t="n">
        <v>0.004719763</v>
      </c>
      <c r="R10" s="29" t="n">
        <v>0.0046489666</v>
      </c>
      <c r="S10" s="29" t="n">
        <v>0.0045792321</v>
      </c>
      <c r="T10" s="29" t="n">
        <v>0.0045105436</v>
      </c>
      <c r="U10" s="29" t="n">
        <v>0.0044428854</v>
      </c>
      <c r="V10" s="29" t="n">
        <v>0.0043762422</v>
      </c>
      <c r="W10" s="29" t="n">
        <v>0.0043105985</v>
      </c>
      <c r="X10" s="29" t="n">
        <v>0.0042459396</v>
      </c>
      <c r="Y10" s="29" t="n">
        <v>0.0041822505</v>
      </c>
      <c r="Z10" s="29" t="n">
        <v>0.0041195167</v>
      </c>
      <c r="AA10" s="29" t="n">
        <v>0.004057724</v>
      </c>
      <c r="AB10" s="29" t="n">
        <v>0.0039968581</v>
      </c>
      <c r="AC10" s="29" t="n">
        <v>0.0039369052</v>
      </c>
      <c r="AD10" s="29" t="n">
        <v>0.0038778516</v>
      </c>
      <c r="AE10" s="29" t="n">
        <v>0.0038196839</v>
      </c>
      <c r="AF10" s="29" t="n">
        <v>0.0037623886</v>
      </c>
      <c r="AG10" s="29" t="n">
        <v>0.0037059528</v>
      </c>
      <c r="AH10" s="29" t="n">
        <v>0.0036503635</v>
      </c>
      <c r="AI10" s="29" t="n">
        <v>0.003595608</v>
      </c>
      <c r="AJ10" s="29" t="n">
        <v>0.0035416739</v>
      </c>
      <c r="AK10" s="29" t="n">
        <v>0.0034885488</v>
      </c>
      <c r="AL10" s="29" t="n">
        <v>0.0034362206</v>
      </c>
      <c r="AM10" s="29" t="n">
        <v>0.0033846773</v>
      </c>
      <c r="AN10" s="29" t="n">
        <v>0.0033339071</v>
      </c>
      <c r="AO10" s="29" t="n">
        <v>0.0032838985</v>
      </c>
      <c r="AP10" s="29" t="n">
        <v>0.00323464</v>
      </c>
      <c r="AQ10" s="29" t="n">
        <v>0.0031861204</v>
      </c>
      <c r="AR10" s="29" t="n">
        <v>0.0031383286</v>
      </c>
      <c r="AS10" s="29" t="n">
        <v>0.0030912537</v>
      </c>
      <c r="AT10" s="29" t="n">
        <v>0.0030448849</v>
      </c>
      <c r="AU10" s="29" t="n">
        <v>0.0029992116</v>
      </c>
      <c r="AV10" s="29" t="n">
        <v>0.0029542234</v>
      </c>
      <c r="AW10" s="29" t="n">
        <v>0.0029099101</v>
      </c>
      <c r="AX10" s="29" t="n">
        <v>0.0028662614</v>
      </c>
      <c r="AY10" s="29" t="n">
        <v>0.0028232675</v>
      </c>
      <c r="AZ10" s="29" t="n">
        <v>0.0027809185</v>
      </c>
      <c r="BA10" s="29" t="n">
        <v>0.0027392047</v>
      </c>
      <c r="BB10" s="29" t="n">
        <v>0.0026981167</v>
      </c>
      <c r="BC10" s="29" t="n">
        <v>0.0026576449</v>
      </c>
      <c r="BD10" s="29" t="n">
        <v>0.0026177802</v>
      </c>
      <c r="BE10" s="29" t="n">
        <v>0.0025785135</v>
      </c>
      <c r="BF10" s="29" t="n">
        <v>0.0025398358</v>
      </c>
      <c r="BG10" s="29" t="n">
        <v>0.0025017383</v>
      </c>
      <c r="BH10" s="29" t="n">
        <v>0.0024642122</v>
      </c>
      <c r="BI10" s="29" t="n">
        <v>0.002427249</v>
      </c>
      <c r="BJ10" s="29" t="n">
        <v>0.0023908403</v>
      </c>
      <c r="BK10" s="29" t="n">
        <v>0.0023549777</v>
      </c>
      <c r="BL10" s="29" t="n">
        <v>0.002319653</v>
      </c>
      <c r="BM10" s="29" t="n">
        <v>0.0022848582</v>
      </c>
      <c r="BN10" s="29" t="n">
        <v>0.0022505854</v>
      </c>
      <c r="BO10" s="29" t="n">
        <v>0.0022168266</v>
      </c>
      <c r="BP10" s="29" t="n">
        <v>0.0021835742</v>
      </c>
      <c r="BQ10" s="29" t="n">
        <v>0.0021508206</v>
      </c>
      <c r="BR10" s="29" t="n">
        <v>0.0021185583</v>
      </c>
      <c r="BS10" s="29" t="n">
        <v>0.0020867799</v>
      </c>
    </row>
    <row r="11" customFormat="false" ht="15" hidden="false" customHeight="true" outlineLevel="0" collapsed="false">
      <c r="A11" s="3" t="n">
        <v>67</v>
      </c>
      <c r="B11" s="29" t="n">
        <v>0.0071075513</v>
      </c>
      <c r="C11" s="29" t="n">
        <v>0.0069289321</v>
      </c>
      <c r="D11" s="29" t="n">
        <v>0.0067575818</v>
      </c>
      <c r="E11" s="29" t="n">
        <v>0.0065946421</v>
      </c>
      <c r="F11" s="29" t="n">
        <v>0.0064408541</v>
      </c>
      <c r="G11" s="29" t="n">
        <v>0.0062966075</v>
      </c>
      <c r="H11" s="29" t="n">
        <v>0.0061619843</v>
      </c>
      <c r="I11" s="29" t="n">
        <v>0.0060367966</v>
      </c>
      <c r="J11" s="29" t="n">
        <v>0.0059206182</v>
      </c>
      <c r="K11" s="29" t="n">
        <v>0.0058128108</v>
      </c>
      <c r="L11" s="29" t="n">
        <v>0.0057125436</v>
      </c>
      <c r="M11" s="29" t="n">
        <v>0.0056188093</v>
      </c>
      <c r="N11" s="29" t="n">
        <v>0.0055304358</v>
      </c>
      <c r="O11" s="29" t="n">
        <v>0.0054460957</v>
      </c>
      <c r="P11" s="29" t="n">
        <v>0.0053643149</v>
      </c>
      <c r="Q11" s="29" t="n">
        <v>0.0052838501</v>
      </c>
      <c r="R11" s="29" t="n">
        <v>0.0052045924</v>
      </c>
      <c r="S11" s="29" t="n">
        <v>0.0051265235</v>
      </c>
      <c r="T11" s="29" t="n">
        <v>0.0050496257</v>
      </c>
      <c r="U11" s="29" t="n">
        <v>0.0049738813</v>
      </c>
      <c r="V11" s="29" t="n">
        <v>0.004899273</v>
      </c>
      <c r="W11" s="29" t="n">
        <v>0.004825784</v>
      </c>
      <c r="X11" s="29" t="n">
        <v>0.0047533972</v>
      </c>
      <c r="Y11" s="29" t="n">
        <v>0.0046820962</v>
      </c>
      <c r="Z11" s="29" t="n">
        <v>0.0046118648</v>
      </c>
      <c r="AA11" s="29" t="n">
        <v>0.0045426868</v>
      </c>
      <c r="AB11" s="29" t="n">
        <v>0.0044745465</v>
      </c>
      <c r="AC11" s="29" t="n">
        <v>0.0044074283</v>
      </c>
      <c r="AD11" s="29" t="n">
        <v>0.0043413169</v>
      </c>
      <c r="AE11" s="29" t="n">
        <v>0.0042761971</v>
      </c>
      <c r="AF11" s="29" t="n">
        <v>0.0042120542</v>
      </c>
      <c r="AG11" s="29" t="n">
        <v>0.0041488734</v>
      </c>
      <c r="AH11" s="29" t="n">
        <v>0.0040866403</v>
      </c>
      <c r="AI11" s="29" t="n">
        <v>0.0040253407</v>
      </c>
      <c r="AJ11" s="29" t="n">
        <v>0.0039649606</v>
      </c>
      <c r="AK11" s="29" t="n">
        <v>0.0039054862</v>
      </c>
      <c r="AL11" s="29" t="n">
        <v>0.0038469039</v>
      </c>
      <c r="AM11" s="29" t="n">
        <v>0.0037892003</v>
      </c>
      <c r="AN11" s="29" t="n">
        <v>0.0037323623</v>
      </c>
      <c r="AO11" s="29" t="n">
        <v>0.0036763769</v>
      </c>
      <c r="AP11" s="29" t="n">
        <v>0.0036212312</v>
      </c>
      <c r="AQ11" s="29" t="n">
        <v>0.0035669127</v>
      </c>
      <c r="AR11" s="29" t="n">
        <v>0.003513409</v>
      </c>
      <c r="AS11" s="29" t="n">
        <v>0.0034607079</v>
      </c>
      <c r="AT11" s="29" t="n">
        <v>0.0034087973</v>
      </c>
      <c r="AU11" s="29" t="n">
        <v>0.0033576653</v>
      </c>
      <c r="AV11" s="29" t="n">
        <v>0.0033073004</v>
      </c>
      <c r="AW11" s="29" t="n">
        <v>0.0032576908</v>
      </c>
      <c r="AX11" s="29" t="n">
        <v>0.0032088255</v>
      </c>
      <c r="AY11" s="29" t="n">
        <v>0.0031606931</v>
      </c>
      <c r="AZ11" s="29" t="n">
        <v>0.0031132827</v>
      </c>
      <c r="BA11" s="29" t="n">
        <v>0.0030665835</v>
      </c>
      <c r="BB11" s="29" t="n">
        <v>0.0030205847</v>
      </c>
      <c r="BC11" s="29" t="n">
        <v>0.0029752759</v>
      </c>
      <c r="BD11" s="29" t="n">
        <v>0.0029306468</v>
      </c>
      <c r="BE11" s="29" t="n">
        <v>0.0028866871</v>
      </c>
      <c r="BF11" s="29" t="n">
        <v>0.0028433868</v>
      </c>
      <c r="BG11" s="29" t="n">
        <v>0.002800736</v>
      </c>
      <c r="BH11" s="29" t="n">
        <v>0.002758725</v>
      </c>
      <c r="BI11" s="29" t="n">
        <v>0.0027173441</v>
      </c>
      <c r="BJ11" s="29" t="n">
        <v>0.0026765839</v>
      </c>
      <c r="BK11" s="29" t="n">
        <v>0.0026364352</v>
      </c>
      <c r="BL11" s="29" t="n">
        <v>0.0025968886</v>
      </c>
      <c r="BM11" s="29" t="n">
        <v>0.0025579353</v>
      </c>
      <c r="BN11" s="29" t="n">
        <v>0.0025195663</v>
      </c>
      <c r="BO11" s="29" t="n">
        <v>0.0024817728</v>
      </c>
      <c r="BP11" s="29" t="n">
        <v>0.0024445462</v>
      </c>
      <c r="BQ11" s="29" t="n">
        <v>0.002407878</v>
      </c>
      <c r="BR11" s="29" t="n">
        <v>0.0023717598</v>
      </c>
      <c r="BS11" s="29" t="n">
        <v>0.0023361834</v>
      </c>
    </row>
    <row r="12" customFormat="false" ht="15" hidden="false" customHeight="true" outlineLevel="0" collapsed="false">
      <c r="A12" s="3" t="n">
        <v>68</v>
      </c>
      <c r="B12" s="29" t="n">
        <v>0.0079224878</v>
      </c>
      <c r="C12" s="29" t="n">
        <v>0.0077278221</v>
      </c>
      <c r="D12" s="29" t="n">
        <v>0.0075410033</v>
      </c>
      <c r="E12" s="29" t="n">
        <v>0.0073632919</v>
      </c>
      <c r="F12" s="29" t="n">
        <v>0.0071955025</v>
      </c>
      <c r="G12" s="29" t="n">
        <v>0.0070380568</v>
      </c>
      <c r="H12" s="29" t="n">
        <v>0.0068910316</v>
      </c>
      <c r="I12" s="29" t="n">
        <v>0.0067542003</v>
      </c>
      <c r="J12" s="29" t="n">
        <v>0.006627067</v>
      </c>
      <c r="K12" s="29" t="n">
        <v>0.0065088949</v>
      </c>
      <c r="L12" s="29" t="n">
        <v>0.0063987281</v>
      </c>
      <c r="M12" s="29" t="n">
        <v>0.0062954087</v>
      </c>
      <c r="N12" s="29" t="n">
        <v>0.0061975905</v>
      </c>
      <c r="O12" s="29" t="n">
        <v>0.0061037491</v>
      </c>
      <c r="P12" s="29" t="n">
        <v>0.0060121929</v>
      </c>
      <c r="Q12" s="29" t="n">
        <v>0.00592201</v>
      </c>
      <c r="R12" s="29" t="n">
        <v>0.0058331798</v>
      </c>
      <c r="S12" s="29" t="n">
        <v>0.0057456821</v>
      </c>
      <c r="T12" s="29" t="n">
        <v>0.0056594969</v>
      </c>
      <c r="U12" s="29" t="n">
        <v>0.0055746045</v>
      </c>
      <c r="V12" s="29" t="n">
        <v>0.0054909854</v>
      </c>
      <c r="W12" s="29" t="n">
        <v>0.0054086206</v>
      </c>
      <c r="X12" s="29" t="n">
        <v>0.0053274913</v>
      </c>
      <c r="Y12" s="29" t="n">
        <v>0.0052475789</v>
      </c>
      <c r="Z12" s="29" t="n">
        <v>0.0051688652</v>
      </c>
      <c r="AA12" s="29" t="n">
        <v>0.0050913323</v>
      </c>
      <c r="AB12" s="29" t="n">
        <v>0.0050149623</v>
      </c>
      <c r="AC12" s="29" t="n">
        <v>0.0049397378</v>
      </c>
      <c r="AD12" s="29" t="n">
        <v>0.0048656418</v>
      </c>
      <c r="AE12" s="29" t="n">
        <v>0.0047926572</v>
      </c>
      <c r="AF12" s="29" t="n">
        <v>0.0047207673</v>
      </c>
      <c r="AG12" s="29" t="n">
        <v>0.0046499558</v>
      </c>
      <c r="AH12" s="29" t="n">
        <v>0.0045802064</v>
      </c>
      <c r="AI12" s="29" t="n">
        <v>0.0045115034</v>
      </c>
      <c r="AJ12" s="29" t="n">
        <v>0.0044438308</v>
      </c>
      <c r="AK12" s="29" t="n">
        <v>0.0043771733</v>
      </c>
      <c r="AL12" s="29" t="n">
        <v>0.0043115157</v>
      </c>
      <c r="AM12" s="29" t="n">
        <v>0.004246843</v>
      </c>
      <c r="AN12" s="29" t="n">
        <v>0.0041831404</v>
      </c>
      <c r="AO12" s="29" t="n">
        <v>0.0041203933</v>
      </c>
      <c r="AP12" s="29" t="n">
        <v>0.0040585874</v>
      </c>
      <c r="AQ12" s="29" t="n">
        <v>0.0039977085</v>
      </c>
      <c r="AR12" s="29" t="n">
        <v>0.0039377429</v>
      </c>
      <c r="AS12" s="29" t="n">
        <v>0.0038786768</v>
      </c>
      <c r="AT12" s="29" t="n">
        <v>0.0038204966</v>
      </c>
      <c r="AU12" s="29" t="n">
        <v>0.0037631892</v>
      </c>
      <c r="AV12" s="29" t="n">
        <v>0.0037067413</v>
      </c>
      <c r="AW12" s="29" t="n">
        <v>0.0036511402</v>
      </c>
      <c r="AX12" s="29" t="n">
        <v>0.0035963731</v>
      </c>
      <c r="AY12" s="29" t="n">
        <v>0.0035424275</v>
      </c>
      <c r="AZ12" s="29" t="n">
        <v>0.0034892911</v>
      </c>
      <c r="BA12" s="29" t="n">
        <v>0.0034369517</v>
      </c>
      <c r="BB12" s="29" t="n">
        <v>0.0033853975</v>
      </c>
      <c r="BC12" s="29" t="n">
        <v>0.0033346165</v>
      </c>
      <c r="BD12" s="29" t="n">
        <v>0.0032845972</v>
      </c>
      <c r="BE12" s="29" t="n">
        <v>0.0032353283</v>
      </c>
      <c r="BF12" s="29" t="n">
        <v>0.0031867984</v>
      </c>
      <c r="BG12" s="29" t="n">
        <v>0.0031389964</v>
      </c>
      <c r="BH12" s="29" t="n">
        <v>0.0030919114</v>
      </c>
      <c r="BI12" s="29" t="n">
        <v>0.0030455328</v>
      </c>
      <c r="BJ12" s="29" t="n">
        <v>0.0029998498</v>
      </c>
      <c r="BK12" s="29" t="n">
        <v>0.002954852</v>
      </c>
      <c r="BL12" s="29" t="n">
        <v>0.0029105293</v>
      </c>
      <c r="BM12" s="29" t="n">
        <v>0.0028668713</v>
      </c>
      <c r="BN12" s="29" t="n">
        <v>0.0028238682</v>
      </c>
      <c r="BO12" s="29" t="n">
        <v>0.0027815102</v>
      </c>
      <c r="BP12" s="29" t="n">
        <v>0.0027397876</v>
      </c>
      <c r="BQ12" s="29" t="n">
        <v>0.0026986908</v>
      </c>
      <c r="BR12" s="29" t="n">
        <v>0.0026582104</v>
      </c>
      <c r="BS12" s="29" t="n">
        <v>0.0026183372</v>
      </c>
    </row>
    <row r="13" customFormat="false" ht="15" hidden="false" customHeight="true" outlineLevel="0" collapsed="false">
      <c r="A13" s="3" t="n">
        <v>69</v>
      </c>
      <c r="B13" s="29" t="n">
        <v>0.008843024</v>
      </c>
      <c r="C13" s="29" t="n">
        <v>0.00863071</v>
      </c>
      <c r="D13" s="29" t="n">
        <v>0.0084268652</v>
      </c>
      <c r="E13" s="29" t="n">
        <v>0.0082328789</v>
      </c>
      <c r="F13" s="29" t="n">
        <v>0.0080496433</v>
      </c>
      <c r="G13" s="29" t="n">
        <v>0.0078776121</v>
      </c>
      <c r="H13" s="29" t="n">
        <v>0.0077168525</v>
      </c>
      <c r="I13" s="29" t="n">
        <v>0.0075670902</v>
      </c>
      <c r="J13" s="29" t="n">
        <v>0.0074277471</v>
      </c>
      <c r="K13" s="29" t="n">
        <v>0.0072979715</v>
      </c>
      <c r="L13" s="29" t="n">
        <v>0.0071766625</v>
      </c>
      <c r="M13" s="29" t="n">
        <v>0.0070624886</v>
      </c>
      <c r="N13" s="29" t="n">
        <v>0.0069539028</v>
      </c>
      <c r="O13" s="29" t="n">
        <v>0.0068491549</v>
      </c>
      <c r="P13" s="29" t="n">
        <v>0.0067464176</v>
      </c>
      <c r="Q13" s="29" t="n">
        <v>0.0066452213</v>
      </c>
      <c r="R13" s="29" t="n">
        <v>0.006545543</v>
      </c>
      <c r="S13" s="29" t="n">
        <v>0.0064473598</v>
      </c>
      <c r="T13" s="29" t="n">
        <v>0.0063506494</v>
      </c>
      <c r="U13" s="29" t="n">
        <v>0.0062553897</v>
      </c>
      <c r="V13" s="29" t="n">
        <v>0.0061615589</v>
      </c>
      <c r="W13" s="29" t="n">
        <v>0.0060691355</v>
      </c>
      <c r="X13" s="29" t="n">
        <v>0.0059780984</v>
      </c>
      <c r="Y13" s="29" t="n">
        <v>0.005888427</v>
      </c>
      <c r="Z13" s="29" t="n">
        <v>0.0058001006</v>
      </c>
      <c r="AA13" s="29" t="n">
        <v>0.005713099</v>
      </c>
      <c r="AB13" s="29" t="n">
        <v>0.0056274026</v>
      </c>
      <c r="AC13" s="29" t="n">
        <v>0.0055429915</v>
      </c>
      <c r="AD13" s="29" t="n">
        <v>0.0054598467</v>
      </c>
      <c r="AE13" s="29" t="n">
        <v>0.005377949</v>
      </c>
      <c r="AF13" s="29" t="n">
        <v>0.0052972797</v>
      </c>
      <c r="AG13" s="29" t="n">
        <v>0.0052178205</v>
      </c>
      <c r="AH13" s="29" t="n">
        <v>0.0051395532</v>
      </c>
      <c r="AI13" s="29" t="n">
        <v>0.0050624599</v>
      </c>
      <c r="AJ13" s="29" t="n">
        <v>0.004986523</v>
      </c>
      <c r="AK13" s="29" t="n">
        <v>0.0049117252</v>
      </c>
      <c r="AL13" s="29" t="n">
        <v>0.0048380493</v>
      </c>
      <c r="AM13" s="29" t="n">
        <v>0.0047654786</v>
      </c>
      <c r="AN13" s="29" t="n">
        <v>0.0046939964</v>
      </c>
      <c r="AO13" s="29" t="n">
        <v>0.0046235864</v>
      </c>
      <c r="AP13" s="29" t="n">
        <v>0.0045542326</v>
      </c>
      <c r="AQ13" s="29" t="n">
        <v>0.0044859191</v>
      </c>
      <c r="AR13" s="29" t="n">
        <v>0.0044186304</v>
      </c>
      <c r="AS13" s="29" t="n">
        <v>0.0043523509</v>
      </c>
      <c r="AT13" s="29" t="n">
        <v>0.0042870656</v>
      </c>
      <c r="AU13" s="29" t="n">
        <v>0.0042227597</v>
      </c>
      <c r="AV13" s="29" t="n">
        <v>0.0041594183</v>
      </c>
      <c r="AW13" s="29" t="n">
        <v>0.004097027</v>
      </c>
      <c r="AX13" s="29" t="n">
        <v>0.0040355716</v>
      </c>
      <c r="AY13" s="29" t="n">
        <v>0.003975038</v>
      </c>
      <c r="AZ13" s="29" t="n">
        <v>0.0039154124</v>
      </c>
      <c r="BA13" s="29" t="n">
        <v>0.0038566813</v>
      </c>
      <c r="BB13" s="29" t="n">
        <v>0.003798831</v>
      </c>
      <c r="BC13" s="29" t="n">
        <v>0.0037418486</v>
      </c>
      <c r="BD13" s="29" t="n">
        <v>0.0036857208</v>
      </c>
      <c r="BE13" s="29" t="n">
        <v>0.003630435</v>
      </c>
      <c r="BF13" s="29" t="n">
        <v>0.0035759785</v>
      </c>
      <c r="BG13" s="29" t="n">
        <v>0.0035223388</v>
      </c>
      <c r="BH13" s="29" t="n">
        <v>0.0034695037</v>
      </c>
      <c r="BI13" s="29" t="n">
        <v>0.0034174612</v>
      </c>
      <c r="BJ13" s="29" t="n">
        <v>0.0033661993</v>
      </c>
      <c r="BK13" s="29" t="n">
        <v>0.0033157063</v>
      </c>
      <c r="BL13" s="29" t="n">
        <v>0.0032659707</v>
      </c>
      <c r="BM13" s="29" t="n">
        <v>0.0032169811</v>
      </c>
      <c r="BN13" s="29" t="n">
        <v>0.0031687264</v>
      </c>
      <c r="BO13" s="29" t="n">
        <v>0.0031211955</v>
      </c>
      <c r="BP13" s="29" t="n">
        <v>0.0030743776</v>
      </c>
      <c r="BQ13" s="29" t="n">
        <v>0.0030282619</v>
      </c>
      <c r="BR13" s="29" t="n">
        <v>0.002982838</v>
      </c>
      <c r="BS13" s="29" t="n">
        <v>0.0029380954</v>
      </c>
    </row>
    <row r="14" customFormat="false" ht="15" hidden="false" customHeight="true" outlineLevel="0" collapsed="false">
      <c r="A14" s="3" t="n">
        <v>70</v>
      </c>
      <c r="B14" s="29" t="n">
        <v>0.0102464453</v>
      </c>
      <c r="C14" s="29" t="n">
        <v>0.0100062218</v>
      </c>
      <c r="D14" s="29" t="n">
        <v>0.0097754705</v>
      </c>
      <c r="E14" s="29" t="n">
        <v>0.0095557741</v>
      </c>
      <c r="F14" s="29" t="n">
        <v>0.0093481424</v>
      </c>
      <c r="G14" s="29" t="n">
        <v>0.0091530775</v>
      </c>
      <c r="H14" s="29" t="n">
        <v>0.0089706329</v>
      </c>
      <c r="I14" s="29" t="n">
        <v>0.0088004644</v>
      </c>
      <c r="J14" s="29" t="n">
        <v>0.0086418719</v>
      </c>
      <c r="K14" s="29" t="n">
        <v>0.0084938345</v>
      </c>
      <c r="L14" s="29" t="n">
        <v>0.0083550371</v>
      </c>
      <c r="M14" s="29" t="n">
        <v>0.0082238923</v>
      </c>
      <c r="N14" s="29" t="n">
        <v>0.0080985577</v>
      </c>
      <c r="O14" s="29" t="n">
        <v>0.0079769512</v>
      </c>
      <c r="P14" s="29" t="n">
        <v>0.0078572969</v>
      </c>
      <c r="Q14" s="29" t="n">
        <v>0.0077394375</v>
      </c>
      <c r="R14" s="29" t="n">
        <v>0.0076233459</v>
      </c>
      <c r="S14" s="29" t="n">
        <v>0.0075089957</v>
      </c>
      <c r="T14" s="29" t="n">
        <v>0.0073963608</v>
      </c>
      <c r="U14" s="29" t="n">
        <v>0.0072854154</v>
      </c>
      <c r="V14" s="29" t="n">
        <v>0.0071761341</v>
      </c>
      <c r="W14" s="29" t="n">
        <v>0.0070684921</v>
      </c>
      <c r="X14" s="29" t="n">
        <v>0.0069624647</v>
      </c>
      <c r="Y14" s="29" t="n">
        <v>0.0068580278</v>
      </c>
      <c r="Z14" s="29" t="n">
        <v>0.0067551573</v>
      </c>
      <c r="AA14" s="29" t="n">
        <v>0.00665383</v>
      </c>
      <c r="AB14" s="29" t="n">
        <v>0.0065540225</v>
      </c>
      <c r="AC14" s="29" t="n">
        <v>0.0064557122</v>
      </c>
      <c r="AD14" s="29" t="n">
        <v>0.0063588765</v>
      </c>
      <c r="AE14" s="29" t="n">
        <v>0.0062634934</v>
      </c>
      <c r="AF14" s="29" t="n">
        <v>0.006169541</v>
      </c>
      <c r="AG14" s="29" t="n">
        <v>0.0060769979</v>
      </c>
      <c r="AH14" s="29" t="n">
        <v>0.0059858429</v>
      </c>
      <c r="AI14" s="29" t="n">
        <v>0.0058960552</v>
      </c>
      <c r="AJ14" s="29" t="n">
        <v>0.0058076144</v>
      </c>
      <c r="AK14" s="29" t="n">
        <v>0.0057205002</v>
      </c>
      <c r="AL14" s="29" t="n">
        <v>0.0056346927</v>
      </c>
      <c r="AM14" s="29" t="n">
        <v>0.0055501723</v>
      </c>
      <c r="AN14" s="29" t="n">
        <v>0.0054669197</v>
      </c>
      <c r="AO14" s="29" t="n">
        <v>0.0053849159</v>
      </c>
      <c r="AP14" s="29" t="n">
        <v>0.0053041422</v>
      </c>
      <c r="AQ14" s="29" t="n">
        <v>0.0052245801</v>
      </c>
      <c r="AR14" s="29" t="n">
        <v>0.0051462114</v>
      </c>
      <c r="AS14" s="29" t="n">
        <v>0.0050690182</v>
      </c>
      <c r="AT14" s="29" t="n">
        <v>0.0049929829</v>
      </c>
      <c r="AU14" s="29" t="n">
        <v>0.0049180882</v>
      </c>
      <c r="AV14" s="29" t="n">
        <v>0.0048443168</v>
      </c>
      <c r="AW14" s="29" t="n">
        <v>0.0047716521</v>
      </c>
      <c r="AX14" s="29" t="n">
        <v>0.0047000773</v>
      </c>
      <c r="AY14" s="29" t="n">
        <v>0.0046295761</v>
      </c>
      <c r="AZ14" s="29" t="n">
        <v>0.0045601325</v>
      </c>
      <c r="BA14" s="29" t="n">
        <v>0.0044917305</v>
      </c>
      <c r="BB14" s="29" t="n">
        <v>0.0044243546</v>
      </c>
      <c r="BC14" s="29" t="n">
        <v>0.0043579892</v>
      </c>
      <c r="BD14" s="29" t="n">
        <v>0.0042926194</v>
      </c>
      <c r="BE14" s="29" t="n">
        <v>0.0042282301</v>
      </c>
      <c r="BF14" s="29" t="n">
        <v>0.0041648067</v>
      </c>
      <c r="BG14" s="29" t="n">
        <v>0.0041023346</v>
      </c>
      <c r="BH14" s="29" t="n">
        <v>0.0040407995</v>
      </c>
      <c r="BI14" s="29" t="n">
        <v>0.0039801876</v>
      </c>
      <c r="BJ14" s="29" t="n">
        <v>0.0039204847</v>
      </c>
      <c r="BK14" s="29" t="n">
        <v>0.0038616775</v>
      </c>
      <c r="BL14" s="29" t="n">
        <v>0.0038037523</v>
      </c>
      <c r="BM14" s="29" t="n">
        <v>0.003746696</v>
      </c>
      <c r="BN14" s="29" t="n">
        <v>0.0036904956</v>
      </c>
      <c r="BO14" s="29" t="n">
        <v>0.0036351381</v>
      </c>
      <c r="BP14" s="29" t="n">
        <v>0.0035806111</v>
      </c>
      <c r="BQ14" s="29" t="n">
        <v>0.0035269019</v>
      </c>
      <c r="BR14" s="29" t="n">
        <v>0.0034739984</v>
      </c>
      <c r="BS14" s="29" t="n">
        <v>0.0034218884</v>
      </c>
    </row>
    <row r="15" customFormat="false" ht="15" hidden="false" customHeight="true" outlineLevel="0" collapsed="false">
      <c r="A15" s="3" t="n">
        <v>71</v>
      </c>
      <c r="B15" s="29" t="n">
        <v>0.0114708823</v>
      </c>
      <c r="C15" s="29" t="n">
        <v>0.0112084604</v>
      </c>
      <c r="D15" s="29" t="n">
        <v>0.0109562522</v>
      </c>
      <c r="E15" s="29" t="n">
        <v>0.0107159921</v>
      </c>
      <c r="F15" s="29" t="n">
        <v>0.0104887775</v>
      </c>
      <c r="G15" s="29" t="n">
        <v>0.0102751402</v>
      </c>
      <c r="H15" s="29" t="n">
        <v>0.0100751099</v>
      </c>
      <c r="I15" s="29" t="n">
        <v>0.0098882695</v>
      </c>
      <c r="J15" s="29" t="n">
        <v>0.0097138011</v>
      </c>
      <c r="K15" s="29" t="n">
        <v>0.0095505233</v>
      </c>
      <c r="L15" s="29" t="n">
        <v>0.0093969211</v>
      </c>
      <c r="M15" s="29" t="n">
        <v>0.0092511696</v>
      </c>
      <c r="N15" s="29" t="n">
        <v>0.0091111538</v>
      </c>
      <c r="O15" s="29" t="n">
        <v>0.0089744865</v>
      </c>
      <c r="P15" s="29" t="n">
        <v>0.0088398692</v>
      </c>
      <c r="Q15" s="29" t="n">
        <v>0.0087072711</v>
      </c>
      <c r="R15" s="29" t="n">
        <v>0.0085766621</v>
      </c>
      <c r="S15" s="29" t="n">
        <v>0.0084480121</v>
      </c>
      <c r="T15" s="29" t="n">
        <v>0.008321292</v>
      </c>
      <c r="U15" s="29" t="n">
        <v>0.0081964726</v>
      </c>
      <c r="V15" s="29" t="n">
        <v>0.0080735255</v>
      </c>
      <c r="W15" s="29" t="n">
        <v>0.0079524226</v>
      </c>
      <c r="X15" s="29" t="n">
        <v>0.0078331363</v>
      </c>
      <c r="Y15" s="29" t="n">
        <v>0.0077156392</v>
      </c>
      <c r="Z15" s="29" t="n">
        <v>0.0075999046</v>
      </c>
      <c r="AA15" s="29" t="n">
        <v>0.0074859061</v>
      </c>
      <c r="AB15" s="29" t="n">
        <v>0.0073736175</v>
      </c>
      <c r="AC15" s="29" t="n">
        <v>0.0072630132</v>
      </c>
      <c r="AD15" s="29" t="n">
        <v>0.007154068</v>
      </c>
      <c r="AE15" s="29" t="n">
        <v>0.007046757</v>
      </c>
      <c r="AF15" s="29" t="n">
        <v>0.0069410556</v>
      </c>
      <c r="AG15" s="29" t="n">
        <v>0.0068369398</v>
      </c>
      <c r="AH15" s="29" t="n">
        <v>0.0067343857</v>
      </c>
      <c r="AI15" s="29" t="n">
        <v>0.0066333699</v>
      </c>
      <c r="AJ15" s="29" t="n">
        <v>0.0065338694</v>
      </c>
      <c r="AK15" s="29" t="n">
        <v>0.0064358613</v>
      </c>
      <c r="AL15" s="29" t="n">
        <v>0.0063393234</v>
      </c>
      <c r="AM15" s="29" t="n">
        <v>0.0062442336</v>
      </c>
      <c r="AN15" s="29" t="n">
        <v>0.0061505701</v>
      </c>
      <c r="AO15" s="29" t="n">
        <v>0.0060583115</v>
      </c>
      <c r="AP15" s="29" t="n">
        <v>0.0059674368</v>
      </c>
      <c r="AQ15" s="29" t="n">
        <v>0.0058779253</v>
      </c>
      <c r="AR15" s="29" t="n">
        <v>0.0057897564</v>
      </c>
      <c r="AS15" s="29" t="n">
        <v>0.0057029101</v>
      </c>
      <c r="AT15" s="29" t="n">
        <v>0.0056173664</v>
      </c>
      <c r="AU15" s="29" t="n">
        <v>0.0055331059</v>
      </c>
      <c r="AV15" s="29" t="n">
        <v>0.0054501093</v>
      </c>
      <c r="AW15" s="29" t="n">
        <v>0.0053683577</v>
      </c>
      <c r="AX15" s="29" t="n">
        <v>0.0052878323</v>
      </c>
      <c r="AY15" s="29" t="n">
        <v>0.0052085148</v>
      </c>
      <c r="AZ15" s="29" t="n">
        <v>0.0051303871</v>
      </c>
      <c r="BA15" s="29" t="n">
        <v>0.0050534313</v>
      </c>
      <c r="BB15" s="29" t="n">
        <v>0.0049776298</v>
      </c>
      <c r="BC15" s="29" t="n">
        <v>0.0049029654</v>
      </c>
      <c r="BD15" s="29" t="n">
        <v>0.0048294209</v>
      </c>
      <c r="BE15" s="29" t="n">
        <v>0.0047569796</v>
      </c>
      <c r="BF15" s="29" t="n">
        <v>0.0046856249</v>
      </c>
      <c r="BG15" s="29" t="n">
        <v>0.0046153405</v>
      </c>
      <c r="BH15" s="29" t="n">
        <v>0.0045461104</v>
      </c>
      <c r="BI15" s="29" t="n">
        <v>0.0044779188</v>
      </c>
      <c r="BJ15" s="29" t="n">
        <v>0.00441075</v>
      </c>
      <c r="BK15" s="29" t="n">
        <v>0.0043445887</v>
      </c>
      <c r="BL15" s="29" t="n">
        <v>0.0042794199</v>
      </c>
      <c r="BM15" s="29" t="n">
        <v>0.0042152286</v>
      </c>
      <c r="BN15" s="29" t="n">
        <v>0.0041520002</v>
      </c>
      <c r="BO15" s="29" t="n">
        <v>0.0040897202</v>
      </c>
      <c r="BP15" s="29" t="n">
        <v>0.0040283744</v>
      </c>
      <c r="BQ15" s="29" t="n">
        <v>0.0039679487</v>
      </c>
      <c r="BR15" s="29" t="n">
        <v>0.0039084295</v>
      </c>
      <c r="BS15" s="29" t="n">
        <v>0.0038498031</v>
      </c>
    </row>
    <row r="16" customFormat="false" ht="15" hidden="false" customHeight="true" outlineLevel="0" collapsed="false">
      <c r="A16" s="3" t="n">
        <v>72</v>
      </c>
      <c r="B16" s="29" t="n">
        <v>0.0128618862</v>
      </c>
      <c r="C16" s="29" t="n">
        <v>0.0125749755</v>
      </c>
      <c r="D16" s="29" t="n">
        <v>0.0122990677</v>
      </c>
      <c r="E16" s="29" t="n">
        <v>0.0120360564</v>
      </c>
      <c r="F16" s="29" t="n">
        <v>0.0117871282</v>
      </c>
      <c r="G16" s="29" t="n">
        <v>0.0115528401</v>
      </c>
      <c r="H16" s="29" t="n">
        <v>0.0113331886</v>
      </c>
      <c r="I16" s="29" t="n">
        <v>0.0111276691</v>
      </c>
      <c r="J16" s="29" t="n">
        <v>0.0109353261</v>
      </c>
      <c r="K16" s="29" t="n">
        <v>0.0107547933</v>
      </c>
      <c r="L16" s="29" t="n">
        <v>0.0105843269</v>
      </c>
      <c r="M16" s="29" t="n">
        <v>0.0104218313</v>
      </c>
      <c r="N16" s="29" t="n">
        <v>0.0102648822</v>
      </c>
      <c r="O16" s="29" t="n">
        <v>0.010110909</v>
      </c>
      <c r="P16" s="29" t="n">
        <v>0.0099592453</v>
      </c>
      <c r="Q16" s="29" t="n">
        <v>0.0098098566</v>
      </c>
      <c r="R16" s="29" t="n">
        <v>0.0096627088</v>
      </c>
      <c r="S16" s="29" t="n">
        <v>0.0095177682</v>
      </c>
      <c r="T16" s="29" t="n">
        <v>0.0093750016</v>
      </c>
      <c r="U16" s="29" t="n">
        <v>0.0092343766</v>
      </c>
      <c r="V16" s="29" t="n">
        <v>0.009095861</v>
      </c>
      <c r="W16" s="29" t="n">
        <v>0.0089594231</v>
      </c>
      <c r="X16" s="29" t="n">
        <v>0.0088250317</v>
      </c>
      <c r="Y16" s="29" t="n">
        <v>0.0086926562</v>
      </c>
      <c r="Z16" s="29" t="n">
        <v>0.0085622664</v>
      </c>
      <c r="AA16" s="29" t="n">
        <v>0.0084338324</v>
      </c>
      <c r="AB16" s="29" t="n">
        <v>0.0083073249</v>
      </c>
      <c r="AC16" s="29" t="n">
        <v>0.008182715</v>
      </c>
      <c r="AD16" s="29" t="n">
        <v>0.0080599743</v>
      </c>
      <c r="AE16" s="29" t="n">
        <v>0.0079390747</v>
      </c>
      <c r="AF16" s="29" t="n">
        <v>0.0078199886</v>
      </c>
      <c r="AG16" s="29" t="n">
        <v>0.0077026887</v>
      </c>
      <c r="AH16" s="29" t="n">
        <v>0.0075871484</v>
      </c>
      <c r="AI16" s="29" t="n">
        <v>0.0074733412</v>
      </c>
      <c r="AJ16" s="29" t="n">
        <v>0.0073612411</v>
      </c>
      <c r="AK16" s="29" t="n">
        <v>0.0072508225</v>
      </c>
      <c r="AL16" s="29" t="n">
        <v>0.0071420601</v>
      </c>
      <c r="AM16" s="29" t="n">
        <v>0.0070349292</v>
      </c>
      <c r="AN16" s="29" t="n">
        <v>0.0069294053</v>
      </c>
      <c r="AO16" s="29" t="n">
        <v>0.0068254642</v>
      </c>
      <c r="AP16" s="29" t="n">
        <v>0.0067230822</v>
      </c>
      <c r="AQ16" s="29" t="n">
        <v>0.006622236</v>
      </c>
      <c r="AR16" s="29" t="n">
        <v>0.0065229025</v>
      </c>
      <c r="AS16" s="29" t="n">
        <v>0.0064250589</v>
      </c>
      <c r="AT16" s="29" t="n">
        <v>0.006328683</v>
      </c>
      <c r="AU16" s="29" t="n">
        <v>0.0062337528</v>
      </c>
      <c r="AV16" s="29" t="n">
        <v>0.0061402465</v>
      </c>
      <c r="AW16" s="29" t="n">
        <v>0.0060481428</v>
      </c>
      <c r="AX16" s="29" t="n">
        <v>0.0059574207</v>
      </c>
      <c r="AY16" s="29" t="n">
        <v>0.0058680594</v>
      </c>
      <c r="AZ16" s="29" t="n">
        <v>0.0057800385</v>
      </c>
      <c r="BA16" s="29" t="n">
        <v>0.0056933379</v>
      </c>
      <c r="BB16" s="29" t="n">
        <v>0.0056079378</v>
      </c>
      <c r="BC16" s="29" t="n">
        <v>0.0055238187</v>
      </c>
      <c r="BD16" s="29" t="n">
        <v>0.0054409615</v>
      </c>
      <c r="BE16" s="29" t="n">
        <v>0.005359347</v>
      </c>
      <c r="BF16" s="29" t="n">
        <v>0.0052789568</v>
      </c>
      <c r="BG16" s="29" t="n">
        <v>0.0051997725</v>
      </c>
      <c r="BH16" s="29" t="n">
        <v>0.0051217759</v>
      </c>
      <c r="BI16" s="29" t="n">
        <v>0.0050449493</v>
      </c>
      <c r="BJ16" s="29" t="n">
        <v>0.004969275</v>
      </c>
      <c r="BK16" s="29" t="n">
        <v>0.0048947359</v>
      </c>
      <c r="BL16" s="29" t="n">
        <v>0.0048213149</v>
      </c>
      <c r="BM16" s="29" t="n">
        <v>0.0047489951</v>
      </c>
      <c r="BN16" s="29" t="n">
        <v>0.0046777602</v>
      </c>
      <c r="BO16" s="29" t="n">
        <v>0.0046075938</v>
      </c>
      <c r="BP16" s="29" t="n">
        <v>0.0045384799</v>
      </c>
      <c r="BQ16" s="29" t="n">
        <v>0.0044704027</v>
      </c>
      <c r="BR16" s="29" t="n">
        <v>0.0044033467</v>
      </c>
      <c r="BS16" s="29" t="n">
        <v>0.0043372965</v>
      </c>
    </row>
    <row r="17" customFormat="false" ht="15" hidden="false" customHeight="true" outlineLevel="0" collapsed="false">
      <c r="A17" s="3" t="n">
        <v>73</v>
      </c>
      <c r="B17" s="29" t="n">
        <v>0.0144452074</v>
      </c>
      <c r="C17" s="29" t="n">
        <v>0.0141312564</v>
      </c>
      <c r="D17" s="29" t="n">
        <v>0.0138291424</v>
      </c>
      <c r="E17" s="29" t="n">
        <v>0.013540923</v>
      </c>
      <c r="F17" s="29" t="n">
        <v>0.0132678733</v>
      </c>
      <c r="G17" s="29" t="n">
        <v>0.0130105693</v>
      </c>
      <c r="H17" s="29" t="n">
        <v>0.0127689627</v>
      </c>
      <c r="I17" s="29" t="n">
        <v>0.0125424446</v>
      </c>
      <c r="J17" s="29" t="n">
        <v>0.0123299001</v>
      </c>
      <c r="K17" s="29" t="n">
        <v>0.0121297516</v>
      </c>
      <c r="L17" s="29" t="n">
        <v>0.0119399951</v>
      </c>
      <c r="M17" s="29" t="n">
        <v>0.0117582296</v>
      </c>
      <c r="N17" s="29" t="n">
        <v>0.0115816825</v>
      </c>
      <c r="O17" s="29" t="n">
        <v>0.0114079573</v>
      </c>
      <c r="P17" s="29" t="n">
        <v>0.0112368379</v>
      </c>
      <c r="Q17" s="29" t="n">
        <v>0.0110682853</v>
      </c>
      <c r="R17" s="29" t="n">
        <v>0.0109022611</v>
      </c>
      <c r="S17" s="29" t="n">
        <v>0.0107387271</v>
      </c>
      <c r="T17" s="29" t="n">
        <v>0.0105776462</v>
      </c>
      <c r="U17" s="29" t="n">
        <v>0.0104189815</v>
      </c>
      <c r="V17" s="29" t="n">
        <v>0.0102626968</v>
      </c>
      <c r="W17" s="29" t="n">
        <v>0.0101087564</v>
      </c>
      <c r="X17" s="29" t="n">
        <v>0.009957125</v>
      </c>
      <c r="Y17" s="29" t="n">
        <v>0.0098077681</v>
      </c>
      <c r="Z17" s="29" t="n">
        <v>0.0096606516</v>
      </c>
      <c r="AA17" s="29" t="n">
        <v>0.0095157418</v>
      </c>
      <c r="AB17" s="29" t="n">
        <v>0.0093730057</v>
      </c>
      <c r="AC17" s="29" t="n">
        <v>0.0092324106</v>
      </c>
      <c r="AD17" s="29" t="n">
        <v>0.0090939245</v>
      </c>
      <c r="AE17" s="29" t="n">
        <v>0.0089575156</v>
      </c>
      <c r="AF17" s="29" t="n">
        <v>0.0088231529</v>
      </c>
      <c r="AG17" s="29" t="n">
        <v>0.0086908056</v>
      </c>
      <c r="AH17" s="29" t="n">
        <v>0.0085604435</v>
      </c>
      <c r="AI17" s="29" t="n">
        <v>0.0084320368</v>
      </c>
      <c r="AJ17" s="29" t="n">
        <v>0.0083055563</v>
      </c>
      <c r="AK17" s="29" t="n">
        <v>0.0081809729</v>
      </c>
      <c r="AL17" s="29" t="n">
        <v>0.0080582583</v>
      </c>
      <c r="AM17" s="29" t="n">
        <v>0.0079373845</v>
      </c>
      <c r="AN17" s="29" t="n">
        <v>0.0078183237</v>
      </c>
      <c r="AO17" s="29" t="n">
        <v>0.0077010489</v>
      </c>
      <c r="AP17" s="29" t="n">
        <v>0.0075855331</v>
      </c>
      <c r="AQ17" s="29" t="n">
        <v>0.0074717501</v>
      </c>
      <c r="AR17" s="29" t="n">
        <v>0.0073596739</v>
      </c>
      <c r="AS17" s="29" t="n">
        <v>0.0072492788</v>
      </c>
      <c r="AT17" s="29" t="n">
        <v>0.0071405396</v>
      </c>
      <c r="AU17" s="29" t="n">
        <v>0.0070334315</v>
      </c>
      <c r="AV17" s="29" t="n">
        <v>0.00692793</v>
      </c>
      <c r="AW17" s="29" t="n">
        <v>0.0068240111</v>
      </c>
      <c r="AX17" s="29" t="n">
        <v>0.0067216509</v>
      </c>
      <c r="AY17" s="29" t="n">
        <v>0.0066208261</v>
      </c>
      <c r="AZ17" s="29" t="n">
        <v>0.0065215137</v>
      </c>
      <c r="BA17" s="29" t="n">
        <v>0.006423691</v>
      </c>
      <c r="BB17" s="29" t="n">
        <v>0.0063273357</v>
      </c>
      <c r="BC17" s="29" t="n">
        <v>0.0062324256</v>
      </c>
      <c r="BD17" s="29" t="n">
        <v>0.0061389393</v>
      </c>
      <c r="BE17" s="29" t="n">
        <v>0.0060468552</v>
      </c>
      <c r="BF17" s="29" t="n">
        <v>0.0059561523</v>
      </c>
      <c r="BG17" s="29" t="n">
        <v>0.00586681</v>
      </c>
      <c r="BH17" s="29" t="n">
        <v>0.0057788079</v>
      </c>
      <c r="BI17" s="29" t="n">
        <v>0.0056921258</v>
      </c>
      <c r="BJ17" s="29" t="n">
        <v>0.0056067439</v>
      </c>
      <c r="BK17" s="29" t="n">
        <v>0.0055226427</v>
      </c>
      <c r="BL17" s="29" t="n">
        <v>0.0054398031</v>
      </c>
      <c r="BM17" s="29" t="n">
        <v>0.005358206</v>
      </c>
      <c r="BN17" s="29" t="n">
        <v>0.005277833</v>
      </c>
      <c r="BO17" s="29" t="n">
        <v>0.0051986655</v>
      </c>
      <c r="BP17" s="29" t="n">
        <v>0.0051206855</v>
      </c>
      <c r="BQ17" s="29" t="n">
        <v>0.0050438752</v>
      </c>
      <c r="BR17" s="29" t="n">
        <v>0.0049682171</v>
      </c>
      <c r="BS17" s="29" t="n">
        <v>0.0048936938</v>
      </c>
    </row>
    <row r="18" customFormat="false" ht="15" hidden="false" customHeight="true" outlineLevel="0" collapsed="false">
      <c r="A18" s="3" t="n">
        <v>74</v>
      </c>
      <c r="B18" s="29" t="n">
        <v>0.0162510599</v>
      </c>
      <c r="C18" s="29" t="n">
        <v>0.0159072242</v>
      </c>
      <c r="D18" s="29" t="n">
        <v>0.0155760986</v>
      </c>
      <c r="E18" s="29" t="n">
        <v>0.0152599057</v>
      </c>
      <c r="F18" s="29" t="n">
        <v>0.0149600053</v>
      </c>
      <c r="G18" s="29" t="n">
        <v>0.0146769835</v>
      </c>
      <c r="H18" s="29" t="n">
        <v>0.0144107332</v>
      </c>
      <c r="I18" s="29" t="n">
        <v>0.0141605229</v>
      </c>
      <c r="J18" s="29" t="n">
        <v>0.0139250548</v>
      </c>
      <c r="K18" s="29" t="n">
        <v>0.0137025121</v>
      </c>
      <c r="L18" s="29" t="n">
        <v>0.0134905989</v>
      </c>
      <c r="M18" s="29" t="n">
        <v>0.0132865726</v>
      </c>
      <c r="N18" s="29" t="n">
        <v>0.013087274</v>
      </c>
      <c r="O18" s="29" t="n">
        <v>0.0128909649</v>
      </c>
      <c r="P18" s="29" t="n">
        <v>0.0126976004</v>
      </c>
      <c r="Q18" s="29" t="n">
        <v>0.0125071364</v>
      </c>
      <c r="R18" s="29" t="n">
        <v>0.0123195293</v>
      </c>
      <c r="S18" s="29" t="n">
        <v>0.0121347364</v>
      </c>
      <c r="T18" s="29" t="n">
        <v>0.0119527153</v>
      </c>
      <c r="U18" s="29" t="n">
        <v>0.0117734246</v>
      </c>
      <c r="V18" s="29" t="n">
        <v>0.0115968232</v>
      </c>
      <c r="W18" s="29" t="n">
        <v>0.0114228709</v>
      </c>
      <c r="X18" s="29" t="n">
        <v>0.0112515278</v>
      </c>
      <c r="Y18" s="29" t="n">
        <v>0.0110827549</v>
      </c>
      <c r="Z18" s="29" t="n">
        <v>0.0109165136</v>
      </c>
      <c r="AA18" s="29" t="n">
        <v>0.0107527659</v>
      </c>
      <c r="AB18" s="29" t="n">
        <v>0.0105914744</v>
      </c>
      <c r="AC18" s="29" t="n">
        <v>0.0104326023</v>
      </c>
      <c r="AD18" s="29" t="n">
        <v>0.0102761132</v>
      </c>
      <c r="AE18" s="29" t="n">
        <v>0.0101219715</v>
      </c>
      <c r="AF18" s="29" t="n">
        <v>0.009970142</v>
      </c>
      <c r="AG18" s="29" t="n">
        <v>0.0098205898</v>
      </c>
      <c r="AH18" s="29" t="n">
        <v>0.009673281</v>
      </c>
      <c r="AI18" s="29" t="n">
        <v>0.0095281818</v>
      </c>
      <c r="AJ18" s="29" t="n">
        <v>0.0093852591</v>
      </c>
      <c r="AK18" s="29" t="n">
        <v>0.0092444802</v>
      </c>
      <c r="AL18" s="29" t="n">
        <v>0.009105813</v>
      </c>
      <c r="AM18" s="29" t="n">
        <v>0.0089692258</v>
      </c>
      <c r="AN18" s="29" t="n">
        <v>0.0088346874</v>
      </c>
      <c r="AO18" s="29" t="n">
        <v>0.0087021671</v>
      </c>
      <c r="AP18" s="29" t="n">
        <v>0.0085716346</v>
      </c>
      <c r="AQ18" s="29" t="n">
        <v>0.0084430601</v>
      </c>
      <c r="AR18" s="29" t="n">
        <v>0.0083164142</v>
      </c>
      <c r="AS18" s="29" t="n">
        <v>0.0081916679</v>
      </c>
      <c r="AT18" s="29" t="n">
        <v>0.0080687929</v>
      </c>
      <c r="AU18" s="29" t="n">
        <v>0.007947761</v>
      </c>
      <c r="AV18" s="29" t="n">
        <v>0.0078285446</v>
      </c>
      <c r="AW18" s="29" t="n">
        <v>0.0077111164</v>
      </c>
      <c r="AX18" s="29" t="n">
        <v>0.0075954497</v>
      </c>
      <c r="AY18" s="29" t="n">
        <v>0.0074815179</v>
      </c>
      <c r="AZ18" s="29" t="n">
        <v>0.0073692952</v>
      </c>
      <c r="BA18" s="29" t="n">
        <v>0.0072587558</v>
      </c>
      <c r="BB18" s="29" t="n">
        <v>0.0071498744</v>
      </c>
      <c r="BC18" s="29" t="n">
        <v>0.0070426263</v>
      </c>
      <c r="BD18" s="29" t="n">
        <v>0.0069369869</v>
      </c>
      <c r="BE18" s="29" t="n">
        <v>0.0068329321</v>
      </c>
      <c r="BF18" s="29" t="n">
        <v>0.0067304381</v>
      </c>
      <c r="BG18" s="29" t="n">
        <v>0.0066294815</v>
      </c>
      <c r="BH18" s="29" t="n">
        <v>0.0065300393</v>
      </c>
      <c r="BI18" s="29" t="n">
        <v>0.0064320887</v>
      </c>
      <c r="BJ18" s="29" t="n">
        <v>0.0063356074</v>
      </c>
      <c r="BK18" s="29" t="n">
        <v>0.0062405733</v>
      </c>
      <c r="BL18" s="29" t="n">
        <v>0.0061469647</v>
      </c>
      <c r="BM18" s="29" t="n">
        <v>0.0060547602</v>
      </c>
      <c r="BN18" s="29" t="n">
        <v>0.0059639388</v>
      </c>
      <c r="BO18" s="29" t="n">
        <v>0.0058744797</v>
      </c>
      <c r="BP18" s="29" t="n">
        <v>0.0057863625</v>
      </c>
      <c r="BQ18" s="29" t="n">
        <v>0.0056995671</v>
      </c>
      <c r="BR18" s="29" t="n">
        <v>0.0056140736</v>
      </c>
      <c r="BS18" s="29" t="n">
        <v>0.0055298625</v>
      </c>
    </row>
    <row r="19" customFormat="false" ht="15" hidden="false" customHeight="true" outlineLevel="0" collapsed="false">
      <c r="A19" s="3" t="n">
        <v>75</v>
      </c>
      <c r="B19" s="29" t="n">
        <v>0.0189613921</v>
      </c>
      <c r="C19" s="29" t="n">
        <v>0.0185711967</v>
      </c>
      <c r="D19" s="29" t="n">
        <v>0.0181950937</v>
      </c>
      <c r="E19" s="29" t="n">
        <v>0.0178355502</v>
      </c>
      <c r="F19" s="29" t="n">
        <v>0.0174940528</v>
      </c>
      <c r="G19" s="29" t="n">
        <v>0.0171712068</v>
      </c>
      <c r="H19" s="29" t="n">
        <v>0.0168668238</v>
      </c>
      <c r="I19" s="29" t="n">
        <v>0.0165799988</v>
      </c>
      <c r="J19" s="29" t="n">
        <v>0.0163091743</v>
      </c>
      <c r="K19" s="29" t="n">
        <v>0.0160521934</v>
      </c>
      <c r="L19" s="29" t="n">
        <v>0.015806345</v>
      </c>
      <c r="M19" s="29" t="n">
        <v>0.0155684013</v>
      </c>
      <c r="N19" s="29" t="n">
        <v>0.0153348753</v>
      </c>
      <c r="O19" s="29" t="n">
        <v>0.0151048522</v>
      </c>
      <c r="P19" s="29" t="n">
        <v>0.0148782794</v>
      </c>
      <c r="Q19" s="29" t="n">
        <v>0.0146551052</v>
      </c>
      <c r="R19" s="29" t="n">
        <v>0.0144352786</v>
      </c>
      <c r="S19" s="29" t="n">
        <v>0.0142187495</v>
      </c>
      <c r="T19" s="29" t="n">
        <v>0.0140054682</v>
      </c>
      <c r="U19" s="29" t="n">
        <v>0.0137953862</v>
      </c>
      <c r="V19" s="29" t="n">
        <v>0.0135884554</v>
      </c>
      <c r="W19" s="29" t="n">
        <v>0.0133846286</v>
      </c>
      <c r="X19" s="29" t="n">
        <v>0.0131838591</v>
      </c>
      <c r="Y19" s="29" t="n">
        <v>0.0129861013</v>
      </c>
      <c r="Z19" s="29" t="n">
        <v>0.0127913097</v>
      </c>
      <c r="AA19" s="29" t="n">
        <v>0.0125994401</v>
      </c>
      <c r="AB19" s="29" t="n">
        <v>0.0124104485</v>
      </c>
      <c r="AC19" s="29" t="n">
        <v>0.0122242918</v>
      </c>
      <c r="AD19" s="29" t="n">
        <v>0.0120409274</v>
      </c>
      <c r="AE19" s="29" t="n">
        <v>0.0118603135</v>
      </c>
      <c r="AF19" s="29" t="n">
        <v>0.0116824088</v>
      </c>
      <c r="AG19" s="29" t="n">
        <v>0.0115071726</v>
      </c>
      <c r="AH19" s="29" t="n">
        <v>0.0113345651</v>
      </c>
      <c r="AI19" s="29" t="n">
        <v>0.0111645466</v>
      </c>
      <c r="AJ19" s="29" t="n">
        <v>0.0109970784</v>
      </c>
      <c r="AK19" s="29" t="n">
        <v>0.0108321222</v>
      </c>
      <c r="AL19" s="29" t="n">
        <v>0.0106696404</v>
      </c>
      <c r="AM19" s="29" t="n">
        <v>0.0105095958</v>
      </c>
      <c r="AN19" s="29" t="n">
        <v>0.0103519518</v>
      </c>
      <c r="AO19" s="29" t="n">
        <v>0.0101966725</v>
      </c>
      <c r="AP19" s="29" t="n">
        <v>0.0100437225</v>
      </c>
      <c r="AQ19" s="29" t="n">
        <v>0.0098930666</v>
      </c>
      <c r="AR19" s="29" t="n">
        <v>0.0097446706</v>
      </c>
      <c r="AS19" s="29" t="n">
        <v>0.0095985006</v>
      </c>
      <c r="AT19" s="29" t="n">
        <v>0.0094545231</v>
      </c>
      <c r="AU19" s="29" t="n">
        <v>0.0093127052</v>
      </c>
      <c r="AV19" s="29" t="n">
        <v>0.0091730146</v>
      </c>
      <c r="AW19" s="29" t="n">
        <v>0.0090354194</v>
      </c>
      <c r="AX19" s="29" t="n">
        <v>0.0088998881</v>
      </c>
      <c r="AY19" s="29" t="n">
        <v>0.0087663898</v>
      </c>
      <c r="AZ19" s="29" t="n">
        <v>0.008634894</v>
      </c>
      <c r="BA19" s="29" t="n">
        <v>0.0085053705</v>
      </c>
      <c r="BB19" s="29" t="n">
        <v>0.00837779</v>
      </c>
      <c r="BC19" s="29" t="n">
        <v>0.0082521231</v>
      </c>
      <c r="BD19" s="29" t="n">
        <v>0.0081283413</v>
      </c>
      <c r="BE19" s="29" t="n">
        <v>0.0080064162</v>
      </c>
      <c r="BF19" s="29" t="n">
        <v>0.0078863199</v>
      </c>
      <c r="BG19" s="29" t="n">
        <v>0.0077680251</v>
      </c>
      <c r="BH19" s="29" t="n">
        <v>0.0076515048</v>
      </c>
      <c r="BI19" s="29" t="n">
        <v>0.0075367322</v>
      </c>
      <c r="BJ19" s="29" t="n">
        <v>0.0074236812</v>
      </c>
      <c r="BK19" s="29" t="n">
        <v>0.007312326</v>
      </c>
      <c r="BL19" s="29" t="n">
        <v>0.0072026411</v>
      </c>
      <c r="BM19" s="29" t="n">
        <v>0.0070946015</v>
      </c>
      <c r="BN19" s="29" t="n">
        <v>0.0069881825</v>
      </c>
      <c r="BO19" s="29" t="n">
        <v>0.0068833597</v>
      </c>
      <c r="BP19" s="29" t="n">
        <v>0.0067801093</v>
      </c>
      <c r="BQ19" s="29" t="n">
        <v>0.0066784077</v>
      </c>
      <c r="BR19" s="29" t="n">
        <v>0.0065782316</v>
      </c>
      <c r="BS19" s="29" t="n">
        <v>0.0064795581</v>
      </c>
    </row>
    <row r="20" customFormat="false" ht="15" hidden="false" customHeight="true" outlineLevel="0" collapsed="false">
      <c r="A20" s="3" t="n">
        <v>76</v>
      </c>
      <c r="B20" s="29" t="n">
        <v>0.021408537</v>
      </c>
      <c r="C20" s="29" t="n">
        <v>0.0209804547</v>
      </c>
      <c r="D20" s="29" t="n">
        <v>0.020567411</v>
      </c>
      <c r="E20" s="29" t="n">
        <v>0.0201720257</v>
      </c>
      <c r="F20" s="29" t="n">
        <v>0.0197958499</v>
      </c>
      <c r="G20" s="29" t="n">
        <v>0.0194394708</v>
      </c>
      <c r="H20" s="29" t="n">
        <v>0.0191026046</v>
      </c>
      <c r="I20" s="29" t="n">
        <v>0.018784178</v>
      </c>
      <c r="J20" s="29" t="n">
        <v>0.0184823967</v>
      </c>
      <c r="K20" s="29" t="n">
        <v>0.0181948031</v>
      </c>
      <c r="L20" s="29" t="n">
        <v>0.0179183245</v>
      </c>
      <c r="M20" s="29" t="n">
        <v>0.0176493168</v>
      </c>
      <c r="N20" s="29" t="n">
        <v>0.017384577</v>
      </c>
      <c r="O20" s="29" t="n">
        <v>0.0171238084</v>
      </c>
      <c r="P20" s="29" t="n">
        <v>0.0168669512</v>
      </c>
      <c r="Q20" s="29" t="n">
        <v>0.016613947</v>
      </c>
      <c r="R20" s="29" t="n">
        <v>0.0163647378</v>
      </c>
      <c r="S20" s="29" t="n">
        <v>0.0161192667</v>
      </c>
      <c r="T20" s="29" t="n">
        <v>0.0158774777</v>
      </c>
      <c r="U20" s="29" t="n">
        <v>0.0156393155</v>
      </c>
      <c r="V20" s="29" t="n">
        <v>0.0154047258</v>
      </c>
      <c r="W20" s="29" t="n">
        <v>0.0151736549</v>
      </c>
      <c r="X20" s="29" t="n">
        <v>0.0149460501</v>
      </c>
      <c r="Y20" s="29" t="n">
        <v>0.0147218593</v>
      </c>
      <c r="Z20" s="29" t="n">
        <v>0.0145010314</v>
      </c>
      <c r="AA20" s="29" t="n">
        <v>0.014283516</v>
      </c>
      <c r="AB20" s="29" t="n">
        <v>0.0140692632</v>
      </c>
      <c r="AC20" s="29" t="n">
        <v>0.0138582243</v>
      </c>
      <c r="AD20" s="29" t="n">
        <v>0.0136503509</v>
      </c>
      <c r="AE20" s="29" t="n">
        <v>0.0134455957</v>
      </c>
      <c r="AF20" s="29" t="n">
        <v>0.0132439117</v>
      </c>
      <c r="AG20" s="29" t="n">
        <v>0.013045253</v>
      </c>
      <c r="AH20" s="29" t="n">
        <v>0.0128495743</v>
      </c>
      <c r="AI20" s="29" t="n">
        <v>0.0126568306</v>
      </c>
      <c r="AJ20" s="29" t="n">
        <v>0.0124669782</v>
      </c>
      <c r="AK20" s="29" t="n">
        <v>0.0122799735</v>
      </c>
      <c r="AL20" s="29" t="n">
        <v>0.0120957739</v>
      </c>
      <c r="AM20" s="29" t="n">
        <v>0.0119143373</v>
      </c>
      <c r="AN20" s="29" t="n">
        <v>0.0117356222</v>
      </c>
      <c r="AO20" s="29" t="n">
        <v>0.0115595879</v>
      </c>
      <c r="AP20" s="29" t="n">
        <v>0.0113861941</v>
      </c>
      <c r="AQ20" s="29" t="n">
        <v>0.0112154012</v>
      </c>
      <c r="AR20" s="29" t="n">
        <v>0.0110471702</v>
      </c>
      <c r="AS20" s="29" t="n">
        <v>0.0108814626</v>
      </c>
      <c r="AT20" s="29" t="n">
        <v>0.0107182407</v>
      </c>
      <c r="AU20" s="29" t="n">
        <v>0.0105574671</v>
      </c>
      <c r="AV20" s="29" t="n">
        <v>0.010399105</v>
      </c>
      <c r="AW20" s="29" t="n">
        <v>0.0102431185</v>
      </c>
      <c r="AX20" s="29" t="n">
        <v>0.0100894717</v>
      </c>
      <c r="AY20" s="29" t="n">
        <v>0.0099381296</v>
      </c>
      <c r="AZ20" s="29" t="n">
        <v>0.0097890577</v>
      </c>
      <c r="BA20" s="29" t="n">
        <v>0.0096422218</v>
      </c>
      <c r="BB20" s="29" t="n">
        <v>0.0094975885</v>
      </c>
      <c r="BC20" s="29" t="n">
        <v>0.0093551247</v>
      </c>
      <c r="BD20" s="29" t="n">
        <v>0.0092147978</v>
      </c>
      <c r="BE20" s="29" t="n">
        <v>0.0090765758</v>
      </c>
      <c r="BF20" s="29" t="n">
        <v>0.0089404272</v>
      </c>
      <c r="BG20" s="29" t="n">
        <v>0.0088063208</v>
      </c>
      <c r="BH20" s="29" t="n">
        <v>0.008674226</v>
      </c>
      <c r="BI20" s="29" t="n">
        <v>0.0085441126</v>
      </c>
      <c r="BJ20" s="29" t="n">
        <v>0.0084159509</v>
      </c>
      <c r="BK20" s="29" t="n">
        <v>0.0082897116</v>
      </c>
      <c r="BL20" s="29" t="n">
        <v>0.0081653659</v>
      </c>
      <c r="BM20" s="29" t="n">
        <v>0.0080428855</v>
      </c>
      <c r="BN20" s="29" t="n">
        <v>0.0079222422</v>
      </c>
      <c r="BO20" s="29" t="n">
        <v>0.0078034085</v>
      </c>
      <c r="BP20" s="29" t="n">
        <v>0.0076863574</v>
      </c>
      <c r="BQ20" s="29" t="n">
        <v>0.0075710621</v>
      </c>
      <c r="BR20" s="29" t="n">
        <v>0.0074574961</v>
      </c>
      <c r="BS20" s="29" t="n">
        <v>0.0073456337</v>
      </c>
    </row>
    <row r="21" customFormat="false" ht="15" hidden="false" customHeight="true" outlineLevel="0" collapsed="false">
      <c r="A21" s="3" t="n">
        <v>77</v>
      </c>
      <c r="B21" s="29" t="n">
        <v>0.0242129286</v>
      </c>
      <c r="C21" s="29" t="n">
        <v>0.0237429539</v>
      </c>
      <c r="D21" s="29" t="n">
        <v>0.0232889478</v>
      </c>
      <c r="E21" s="29" t="n">
        <v>0.0228536567</v>
      </c>
      <c r="F21" s="29" t="n">
        <v>0.0224386733</v>
      </c>
      <c r="G21" s="29" t="n">
        <v>0.0220445464</v>
      </c>
      <c r="H21" s="29" t="n">
        <v>0.021670878</v>
      </c>
      <c r="I21" s="29" t="n">
        <v>0.0213164086</v>
      </c>
      <c r="J21" s="29" t="n">
        <v>0.0209790904</v>
      </c>
      <c r="K21" s="29" t="n">
        <v>0.0206561485</v>
      </c>
      <c r="L21" s="29" t="n">
        <v>0.020344134</v>
      </c>
      <c r="M21" s="29" t="n">
        <v>0.020038972</v>
      </c>
      <c r="N21" s="29" t="n">
        <v>0.0197383874</v>
      </c>
      <c r="O21" s="29" t="n">
        <v>0.0194423116</v>
      </c>
      <c r="P21" s="29" t="n">
        <v>0.0191506769</v>
      </c>
      <c r="Q21" s="29" t="n">
        <v>0.0188634168</v>
      </c>
      <c r="R21" s="29" t="n">
        <v>0.0185804655</v>
      </c>
      <c r="S21" s="29" t="n">
        <v>0.0183017586</v>
      </c>
      <c r="T21" s="29" t="n">
        <v>0.0180272322</v>
      </c>
      <c r="U21" s="29" t="n">
        <v>0.0177568237</v>
      </c>
      <c r="V21" s="29" t="n">
        <v>0.0174904713</v>
      </c>
      <c r="W21" s="29" t="n">
        <v>0.0172281143</v>
      </c>
      <c r="X21" s="29" t="n">
        <v>0.0169696926</v>
      </c>
      <c r="Y21" s="29" t="n">
        <v>0.0167151472</v>
      </c>
      <c r="Z21" s="29" t="n">
        <v>0.01646442</v>
      </c>
      <c r="AA21" s="29" t="n">
        <v>0.0162174537</v>
      </c>
      <c r="AB21" s="29" t="n">
        <v>0.0159741919</v>
      </c>
      <c r="AC21" s="29" t="n">
        <v>0.015734579</v>
      </c>
      <c r="AD21" s="29" t="n">
        <v>0.0154985603</v>
      </c>
      <c r="AE21" s="29" t="n">
        <v>0.0152660819</v>
      </c>
      <c r="AF21" s="29" t="n">
        <v>0.0150370907</v>
      </c>
      <c r="AG21" s="29" t="n">
        <v>0.0148115343</v>
      </c>
      <c r="AH21" s="29" t="n">
        <v>0.0145893613</v>
      </c>
      <c r="AI21" s="29" t="n">
        <v>0.0143705209</v>
      </c>
      <c r="AJ21" s="29" t="n">
        <v>0.0141549631</v>
      </c>
      <c r="AK21" s="29" t="n">
        <v>0.0139426386</v>
      </c>
      <c r="AL21" s="29" t="n">
        <v>0.013733499</v>
      </c>
      <c r="AM21" s="29" t="n">
        <v>0.0135274965</v>
      </c>
      <c r="AN21" s="29" t="n">
        <v>0.0133245841</v>
      </c>
      <c r="AO21" s="29" t="n">
        <v>0.0131247153</v>
      </c>
      <c r="AP21" s="29" t="n">
        <v>0.0129278446</v>
      </c>
      <c r="AQ21" s="29" t="n">
        <v>0.0127339269</v>
      </c>
      <c r="AR21" s="29" t="n">
        <v>0.012542918</v>
      </c>
      <c r="AS21" s="29" t="n">
        <v>0.0123547743</v>
      </c>
      <c r="AT21" s="29" t="n">
        <v>0.0121694526</v>
      </c>
      <c r="AU21" s="29" t="n">
        <v>0.0119869109</v>
      </c>
      <c r="AV21" s="29" t="n">
        <v>0.0118071072</v>
      </c>
      <c r="AW21" s="29" t="n">
        <v>0.0116300006</v>
      </c>
      <c r="AX21" s="29" t="n">
        <v>0.0114555506</v>
      </c>
      <c r="AY21" s="29" t="n">
        <v>0.0112837173</v>
      </c>
      <c r="AZ21" s="29" t="n">
        <v>0.0111144616</v>
      </c>
      <c r="BA21" s="29" t="n">
        <v>0.0109477446</v>
      </c>
      <c r="BB21" s="29" t="n">
        <v>0.0107835285</v>
      </c>
      <c r="BC21" s="29" t="n">
        <v>0.0106217755</v>
      </c>
      <c r="BD21" s="29" t="n">
        <v>0.0104624489</v>
      </c>
      <c r="BE21" s="29" t="n">
        <v>0.0103055122</v>
      </c>
      <c r="BF21" s="29" t="n">
        <v>0.0101509295</v>
      </c>
      <c r="BG21" s="29" t="n">
        <v>0.0099986655</v>
      </c>
      <c r="BH21" s="29" t="n">
        <v>0.0098486856</v>
      </c>
      <c r="BI21" s="29" t="n">
        <v>0.0097009553</v>
      </c>
      <c r="BJ21" s="29" t="n">
        <v>0.009555441</v>
      </c>
      <c r="BK21" s="29" t="n">
        <v>0.0094121093</v>
      </c>
      <c r="BL21" s="29" t="n">
        <v>0.0092709277</v>
      </c>
      <c r="BM21" s="29" t="n">
        <v>0.0091318638</v>
      </c>
      <c r="BN21" s="29" t="n">
        <v>0.0089948858</v>
      </c>
      <c r="BO21" s="29" t="n">
        <v>0.0088599625</v>
      </c>
      <c r="BP21" s="29" t="n">
        <v>0.0087270631</v>
      </c>
      <c r="BQ21" s="29" t="n">
        <v>0.0085961572</v>
      </c>
      <c r="BR21" s="29" t="n">
        <v>0.0084672148</v>
      </c>
      <c r="BS21" s="29" t="n">
        <v>0.0083402066</v>
      </c>
    </row>
    <row r="22" customFormat="false" ht="15" hidden="false" customHeight="true" outlineLevel="0" collapsed="false">
      <c r="A22" s="3" t="n">
        <v>78</v>
      </c>
      <c r="B22" s="29" t="n">
        <v>0.0274246835</v>
      </c>
      <c r="C22" s="29" t="n">
        <v>0.026908523</v>
      </c>
      <c r="D22" s="29" t="n">
        <v>0.0264092001</v>
      </c>
      <c r="E22" s="29" t="n">
        <v>0.025929544</v>
      </c>
      <c r="F22" s="29" t="n">
        <v>0.0254711555</v>
      </c>
      <c r="G22" s="29" t="n">
        <v>0.0250345202</v>
      </c>
      <c r="H22" s="29" t="n">
        <v>0.0246191087</v>
      </c>
      <c r="I22" s="29" t="n">
        <v>0.0242234654</v>
      </c>
      <c r="J22" s="29" t="n">
        <v>0.0238452846</v>
      </c>
      <c r="K22" s="29" t="n">
        <v>0.0234814756</v>
      </c>
      <c r="L22" s="29" t="n">
        <v>0.0231282203</v>
      </c>
      <c r="M22" s="29" t="n">
        <v>0.022781297</v>
      </c>
      <c r="N22" s="29" t="n">
        <v>0.0224395776</v>
      </c>
      <c r="O22" s="29" t="n">
        <v>0.0221029839</v>
      </c>
      <c r="P22" s="29" t="n">
        <v>0.0217714392</v>
      </c>
      <c r="Q22" s="29" t="n">
        <v>0.0214448676</v>
      </c>
      <c r="R22" s="29" t="n">
        <v>0.0211231946</v>
      </c>
      <c r="S22" s="29" t="n">
        <v>0.0208063466</v>
      </c>
      <c r="T22" s="29" t="n">
        <v>0.0204942514</v>
      </c>
      <c r="U22" s="29" t="n">
        <v>0.0201868377</v>
      </c>
      <c r="V22" s="29" t="n">
        <v>0.0198840351</v>
      </c>
      <c r="W22" s="29" t="n">
        <v>0.0195857746</v>
      </c>
      <c r="X22" s="29" t="n">
        <v>0.019291988</v>
      </c>
      <c r="Y22" s="29" t="n">
        <v>0.0190026081</v>
      </c>
      <c r="Z22" s="29" t="n">
        <v>0.018717569</v>
      </c>
      <c r="AA22" s="29" t="n">
        <v>0.0184368055</v>
      </c>
      <c r="AB22" s="29" t="n">
        <v>0.0181602534</v>
      </c>
      <c r="AC22" s="29" t="n">
        <v>0.0178878496</v>
      </c>
      <c r="AD22" s="29" t="n">
        <v>0.0176195319</v>
      </c>
      <c r="AE22" s="29" t="n">
        <v>0.0173552389</v>
      </c>
      <c r="AF22" s="29" t="n">
        <v>0.0170949103</v>
      </c>
      <c r="AG22" s="29" t="n">
        <v>0.0168384866</v>
      </c>
      <c r="AH22" s="29" t="n">
        <v>0.0165859093</v>
      </c>
      <c r="AI22" s="29" t="n">
        <v>0.0163371207</v>
      </c>
      <c r="AJ22" s="29" t="n">
        <v>0.0160920639</v>
      </c>
      <c r="AK22" s="29" t="n">
        <v>0.0158506829</v>
      </c>
      <c r="AL22" s="29" t="n">
        <v>0.0156129227</v>
      </c>
      <c r="AM22" s="29" t="n">
        <v>0.0153787288</v>
      </c>
      <c r="AN22" s="29" t="n">
        <v>0.0151480479</v>
      </c>
      <c r="AO22" s="29" t="n">
        <v>0.0149208272</v>
      </c>
      <c r="AP22" s="29" t="n">
        <v>0.0146970148</v>
      </c>
      <c r="AQ22" s="29" t="n">
        <v>0.0144765596</v>
      </c>
      <c r="AR22" s="29" t="n">
        <v>0.0142594112</v>
      </c>
      <c r="AS22" s="29" t="n">
        <v>0.01404552</v>
      </c>
      <c r="AT22" s="29" t="n">
        <v>0.0138348372</v>
      </c>
      <c r="AU22" s="29" t="n">
        <v>0.0136273146</v>
      </c>
      <c r="AV22" s="29" t="n">
        <v>0.0134229049</v>
      </c>
      <c r="AW22" s="29" t="n">
        <v>0.0132215614</v>
      </c>
      <c r="AX22" s="29" t="n">
        <v>0.0130232379</v>
      </c>
      <c r="AY22" s="29" t="n">
        <v>0.0128278894</v>
      </c>
      <c r="AZ22" s="29" t="n">
        <v>0.012635471</v>
      </c>
      <c r="BA22" s="29" t="n">
        <v>0.012445939</v>
      </c>
      <c r="BB22" s="29" t="n">
        <v>0.0122592499</v>
      </c>
      <c r="BC22" s="29" t="n">
        <v>0.0120753611</v>
      </c>
      <c r="BD22" s="29" t="n">
        <v>0.0118942307</v>
      </c>
      <c r="BE22" s="29" t="n">
        <v>0.0117158172</v>
      </c>
      <c r="BF22" s="29" t="n">
        <v>0.01154008</v>
      </c>
      <c r="BG22" s="29" t="n">
        <v>0.0113669788</v>
      </c>
      <c r="BH22" s="29" t="n">
        <v>0.0111964741</v>
      </c>
      <c r="BI22" s="29" t="n">
        <v>0.011028527</v>
      </c>
      <c r="BJ22" s="29" t="n">
        <v>0.0108630991</v>
      </c>
      <c r="BK22" s="29" t="n">
        <v>0.0107001526</v>
      </c>
      <c r="BL22" s="29" t="n">
        <v>0.0105396503</v>
      </c>
      <c r="BM22" s="29" t="n">
        <v>0.0103815556</v>
      </c>
      <c r="BN22" s="29" t="n">
        <v>0.0102258322</v>
      </c>
      <c r="BO22" s="29" t="n">
        <v>0.0100724447</v>
      </c>
      <c r="BP22" s="29" t="n">
        <v>0.0099213581</v>
      </c>
      <c r="BQ22" s="29" t="n">
        <v>0.0097725377</v>
      </c>
      <c r="BR22" s="29" t="n">
        <v>0.0096259496</v>
      </c>
      <c r="BS22" s="29" t="n">
        <v>0.0094815604</v>
      </c>
    </row>
    <row r="23" customFormat="false" ht="15" hidden="false" customHeight="true" outlineLevel="0" collapsed="false">
      <c r="A23" s="3" t="n">
        <v>79</v>
      </c>
      <c r="B23" s="29" t="n">
        <v>0.0310997071</v>
      </c>
      <c r="C23" s="29" t="n">
        <v>0.0305327975</v>
      </c>
      <c r="D23" s="29" t="n">
        <v>0.029983471</v>
      </c>
      <c r="E23" s="29" t="n">
        <v>0.0294545702</v>
      </c>
      <c r="F23" s="29" t="n">
        <v>0.0289476574</v>
      </c>
      <c r="G23" s="29" t="n">
        <v>0.0284631269</v>
      </c>
      <c r="H23" s="29" t="n">
        <v>0.0280003073</v>
      </c>
      <c r="I23" s="29" t="n">
        <v>0.0275575514</v>
      </c>
      <c r="J23" s="29" t="n">
        <v>0.0271323145</v>
      </c>
      <c r="K23" s="29" t="n">
        <v>0.0267212225</v>
      </c>
      <c r="L23" s="29" t="n">
        <v>0.0263201335</v>
      </c>
      <c r="M23" s="29" t="n">
        <v>0.0259253315</v>
      </c>
      <c r="N23" s="29" t="n">
        <v>0.0255364516</v>
      </c>
      <c r="O23" s="29" t="n">
        <v>0.0251534048</v>
      </c>
      <c r="P23" s="29" t="n">
        <v>0.0247761037</v>
      </c>
      <c r="Q23" s="29" t="n">
        <v>0.0244044622</v>
      </c>
      <c r="R23" s="29" t="n">
        <v>0.0240383952</v>
      </c>
      <c r="S23" s="29" t="n">
        <v>0.0236778193</v>
      </c>
      <c r="T23" s="29" t="n">
        <v>0.023322652</v>
      </c>
      <c r="U23" s="29" t="n">
        <v>0.0229728122</v>
      </c>
      <c r="V23" s="29" t="n">
        <v>0.0226282201</v>
      </c>
      <c r="W23" s="29" t="n">
        <v>0.0222887968</v>
      </c>
      <c r="X23" s="29" t="n">
        <v>0.0219544648</v>
      </c>
      <c r="Y23" s="29" t="n">
        <v>0.0216251478</v>
      </c>
      <c r="Z23" s="29" t="n">
        <v>0.0213007706</v>
      </c>
      <c r="AA23" s="29" t="n">
        <v>0.0209812591</v>
      </c>
      <c r="AB23" s="29" t="n">
        <v>0.0206665402</v>
      </c>
      <c r="AC23" s="29" t="n">
        <v>0.0203565421</v>
      </c>
      <c r="AD23" s="29" t="n">
        <v>0.0200511939</v>
      </c>
      <c r="AE23" s="29" t="n">
        <v>0.019750426</v>
      </c>
      <c r="AF23" s="29" t="n">
        <v>0.0194541696</v>
      </c>
      <c r="AG23" s="29" t="n">
        <v>0.0191623571</v>
      </c>
      <c r="AH23" s="29" t="n">
        <v>0.0188749217</v>
      </c>
      <c r="AI23" s="29" t="n">
        <v>0.0185917979</v>
      </c>
      <c r="AJ23" s="29" t="n">
        <v>0.0183129209</v>
      </c>
      <c r="AK23" s="29" t="n">
        <v>0.0180382271</v>
      </c>
      <c r="AL23" s="29" t="n">
        <v>0.0177676537</v>
      </c>
      <c r="AM23" s="29" t="n">
        <v>0.0175011389</v>
      </c>
      <c r="AN23" s="29" t="n">
        <v>0.0172386218</v>
      </c>
      <c r="AO23" s="29" t="n">
        <v>0.0169800425</v>
      </c>
      <c r="AP23" s="29" t="n">
        <v>0.0167253419</v>
      </c>
      <c r="AQ23" s="29" t="n">
        <v>0.0164744617</v>
      </c>
      <c r="AR23" s="29" t="n">
        <v>0.0162273448</v>
      </c>
      <c r="AS23" s="29" t="n">
        <v>0.0159839346</v>
      </c>
      <c r="AT23" s="29" t="n">
        <v>0.0157441756</v>
      </c>
      <c r="AU23" s="29" t="n">
        <v>0.015508013</v>
      </c>
      <c r="AV23" s="29" t="n">
        <v>0.0152753928</v>
      </c>
      <c r="AW23" s="29" t="n">
        <v>0.0150462619</v>
      </c>
      <c r="AX23" s="29" t="n">
        <v>0.014820568</v>
      </c>
      <c r="AY23" s="29" t="n">
        <v>0.0145982594</v>
      </c>
      <c r="AZ23" s="29" t="n">
        <v>0.0143792856</v>
      </c>
      <c r="BA23" s="29" t="n">
        <v>0.0141635963</v>
      </c>
      <c r="BB23" s="29" t="n">
        <v>0.0139511423</v>
      </c>
      <c r="BC23" s="29" t="n">
        <v>0.0137418752</v>
      </c>
      <c r="BD23" s="29" t="n">
        <v>0.0135357471</v>
      </c>
      <c r="BE23" s="29" t="n">
        <v>0.0133327109</v>
      </c>
      <c r="BF23" s="29" t="n">
        <v>0.0131327202</v>
      </c>
      <c r="BG23" s="29" t="n">
        <v>0.0129357294</v>
      </c>
      <c r="BH23" s="29" t="n">
        <v>0.0127416935</v>
      </c>
      <c r="BI23" s="29" t="n">
        <v>0.0125505681</v>
      </c>
      <c r="BJ23" s="29" t="n">
        <v>0.0123623095</v>
      </c>
      <c r="BK23" s="29" t="n">
        <v>0.0121768749</v>
      </c>
      <c r="BL23" s="29" t="n">
        <v>0.0119942218</v>
      </c>
      <c r="BM23" s="29" t="n">
        <v>0.0118143084</v>
      </c>
      <c r="BN23" s="29" t="n">
        <v>0.0116370938</v>
      </c>
      <c r="BO23" s="29" t="n">
        <v>0.0114625374</v>
      </c>
      <c r="BP23" s="29" t="n">
        <v>0.0112905993</v>
      </c>
      <c r="BQ23" s="29" t="n">
        <v>0.0111212404</v>
      </c>
      <c r="BR23" s="29" t="n">
        <v>0.0109544217</v>
      </c>
      <c r="BS23" s="29" t="n">
        <v>0.0107901054</v>
      </c>
    </row>
    <row r="24" customFormat="false" ht="15" hidden="false" customHeight="true" outlineLevel="0" collapsed="false">
      <c r="A24" s="3" t="n">
        <v>80</v>
      </c>
      <c r="B24" s="29" t="n">
        <v>0.0365033396</v>
      </c>
      <c r="C24" s="29" t="n">
        <v>0.0358596598</v>
      </c>
      <c r="D24" s="29" t="n">
        <v>0.0352347141</v>
      </c>
      <c r="E24" s="29" t="n">
        <v>0.0346313513</v>
      </c>
      <c r="F24" s="29" t="n">
        <v>0.0340510811</v>
      </c>
      <c r="G24" s="29" t="n">
        <v>0.0334941874</v>
      </c>
      <c r="H24" s="29" t="n">
        <v>0.0329598319</v>
      </c>
      <c r="I24" s="29" t="n">
        <v>0.032446146</v>
      </c>
      <c r="J24" s="29" t="n">
        <v>0.0319503115</v>
      </c>
      <c r="K24" s="29" t="n">
        <v>0.0314686331</v>
      </c>
      <c r="L24" s="29" t="n">
        <v>0.0309966036</v>
      </c>
      <c r="M24" s="29" t="n">
        <v>0.0305316545</v>
      </c>
      <c r="N24" s="29" t="n">
        <v>0.0300736797</v>
      </c>
      <c r="O24" s="29" t="n">
        <v>0.0296225745</v>
      </c>
      <c r="P24" s="29" t="n">
        <v>0.0291782359</v>
      </c>
      <c r="Q24" s="29" t="n">
        <v>0.0287405624</v>
      </c>
      <c r="R24" s="29" t="n">
        <v>0.0283094539</v>
      </c>
      <c r="S24" s="29" t="n">
        <v>0.0278848121</v>
      </c>
      <c r="T24" s="29" t="n">
        <v>0.0274665399</v>
      </c>
      <c r="U24" s="29" t="n">
        <v>0.0270545418</v>
      </c>
      <c r="V24" s="29" t="n">
        <v>0.0266487237</v>
      </c>
      <c r="W24" s="29" t="n">
        <v>0.0262489928</v>
      </c>
      <c r="X24" s="29" t="n">
        <v>0.025855258</v>
      </c>
      <c r="Y24" s="29" t="n">
        <v>0.0254674291</v>
      </c>
      <c r="Z24" s="29" t="n">
        <v>0.0250854177</v>
      </c>
      <c r="AA24" s="29" t="n">
        <v>0.0247091364</v>
      </c>
      <c r="AB24" s="29" t="n">
        <v>0.0243384993</v>
      </c>
      <c r="AC24" s="29" t="n">
        <v>0.0239734218</v>
      </c>
      <c r="AD24" s="29" t="n">
        <v>0.0236138205</v>
      </c>
      <c r="AE24" s="29" t="n">
        <v>0.0232596132</v>
      </c>
      <c r="AF24" s="29" t="n">
        <v>0.022910719</v>
      </c>
      <c r="AG24" s="29" t="n">
        <v>0.0225670582</v>
      </c>
      <c r="AH24" s="29" t="n">
        <v>0.0222285524</v>
      </c>
      <c r="AI24" s="29" t="n">
        <v>0.0218951241</v>
      </c>
      <c r="AJ24" s="29" t="n">
        <v>0.0215666972</v>
      </c>
      <c r="AK24" s="29" t="n">
        <v>0.0212431968</v>
      </c>
      <c r="AL24" s="29" t="n">
        <v>0.0209245488</v>
      </c>
      <c r="AM24" s="29" t="n">
        <v>0.0206106806</v>
      </c>
      <c r="AN24" s="29" t="n">
        <v>0.0203015204</v>
      </c>
      <c r="AO24" s="29" t="n">
        <v>0.0199969976</v>
      </c>
      <c r="AP24" s="29" t="n">
        <v>0.0196970426</v>
      </c>
      <c r="AQ24" s="29" t="n">
        <v>0.019401587</v>
      </c>
      <c r="AR24" s="29" t="n">
        <v>0.0191105631</v>
      </c>
      <c r="AS24" s="29" t="n">
        <v>0.0188239047</v>
      </c>
      <c r="AT24" s="29" t="n">
        <v>0.0185415461</v>
      </c>
      <c r="AU24" s="29" t="n">
        <v>0.0182634229</v>
      </c>
      <c r="AV24" s="29" t="n">
        <v>0.0179894716</v>
      </c>
      <c r="AW24" s="29" t="n">
        <v>0.0177196295</v>
      </c>
      <c r="AX24" s="29" t="n">
        <v>0.0174538351</v>
      </c>
      <c r="AY24" s="29" t="n">
        <v>0.0171920276</v>
      </c>
      <c r="AZ24" s="29" t="n">
        <v>0.0169341471</v>
      </c>
      <c r="BA24" s="29" t="n">
        <v>0.0166801349</v>
      </c>
      <c r="BB24" s="29" t="n">
        <v>0.0164299329</v>
      </c>
      <c r="BC24" s="29" t="n">
        <v>0.0161834839</v>
      </c>
      <c r="BD24" s="29" t="n">
        <v>0.0159407317</v>
      </c>
      <c r="BE24" s="29" t="n">
        <v>0.0157016207</v>
      </c>
      <c r="BF24" s="29" t="n">
        <v>0.0154660964</v>
      </c>
      <c r="BG24" s="29" t="n">
        <v>0.0152341049</v>
      </c>
      <c r="BH24" s="29" t="n">
        <v>0.0150055934</v>
      </c>
      <c r="BI24" s="29" t="n">
        <v>0.0147805095</v>
      </c>
      <c r="BJ24" s="29" t="n">
        <v>0.0145588018</v>
      </c>
      <c r="BK24" s="29" t="n">
        <v>0.0143404198</v>
      </c>
      <c r="BL24" s="29" t="n">
        <v>0.0141253135</v>
      </c>
      <c r="BM24" s="29" t="n">
        <v>0.0139134338</v>
      </c>
      <c r="BN24" s="29" t="n">
        <v>0.0137047323</v>
      </c>
      <c r="BO24" s="29" t="n">
        <v>0.0134991613</v>
      </c>
      <c r="BP24" s="29" t="n">
        <v>0.0132966739</v>
      </c>
      <c r="BQ24" s="29" t="n">
        <v>0.0130972238</v>
      </c>
      <c r="BR24" s="29" t="n">
        <v>0.0129007654</v>
      </c>
      <c r="BS24" s="29" t="n">
        <v>0.0127072539</v>
      </c>
    </row>
    <row r="25" customFormat="false" ht="15" hidden="false" customHeight="true" outlineLevel="0" collapsed="false">
      <c r="A25" s="3" t="n">
        <v>81</v>
      </c>
      <c r="B25" s="29" t="n">
        <v>0.0414601301</v>
      </c>
      <c r="C25" s="29" t="n">
        <v>0.0407538468</v>
      </c>
      <c r="D25" s="29" t="n">
        <v>0.0400665049</v>
      </c>
      <c r="E25" s="29" t="n">
        <v>0.0394007125</v>
      </c>
      <c r="F25" s="29" t="n">
        <v>0.0387577885</v>
      </c>
      <c r="G25" s="29" t="n">
        <v>0.0381378678</v>
      </c>
      <c r="H25" s="29" t="n">
        <v>0.0375399977</v>
      </c>
      <c r="I25" s="29" t="n">
        <v>0.0369622242</v>
      </c>
      <c r="J25" s="29" t="n">
        <v>0.0364016703</v>
      </c>
      <c r="K25" s="29" t="n">
        <v>0.0358546057</v>
      </c>
      <c r="L25" s="29" t="n">
        <v>0.0353167866</v>
      </c>
      <c r="M25" s="29" t="n">
        <v>0.0347870348</v>
      </c>
      <c r="N25" s="29" t="n">
        <v>0.0342652293</v>
      </c>
      <c r="O25" s="29" t="n">
        <v>0.0337512508</v>
      </c>
      <c r="P25" s="29" t="n">
        <v>0.0332449821</v>
      </c>
      <c r="Q25" s="29" t="n">
        <v>0.0327463073</v>
      </c>
      <c r="R25" s="29" t="n">
        <v>0.0322551127</v>
      </c>
      <c r="S25" s="29" t="n">
        <v>0.031771286</v>
      </c>
      <c r="T25" s="29" t="n">
        <v>0.0312947167</v>
      </c>
      <c r="U25" s="29" t="n">
        <v>0.030825296</v>
      </c>
      <c r="V25" s="29" t="n">
        <v>0.0303629166</v>
      </c>
      <c r="W25" s="29" t="n">
        <v>0.0299074728</v>
      </c>
      <c r="X25" s="29" t="n">
        <v>0.0294588607</v>
      </c>
      <c r="Y25" s="29" t="n">
        <v>0.0290169778</v>
      </c>
      <c r="Z25" s="29" t="n">
        <v>0.0285817231</v>
      </c>
      <c r="AA25" s="29" t="n">
        <v>0.0281529973</v>
      </c>
      <c r="AB25" s="29" t="n">
        <v>0.0277307023</v>
      </c>
      <c r="AC25" s="29" t="n">
        <v>0.0273147418</v>
      </c>
      <c r="AD25" s="29" t="n">
        <v>0.0269050207</v>
      </c>
      <c r="AE25" s="29" t="n">
        <v>0.0265014454</v>
      </c>
      <c r="AF25" s="29" t="n">
        <v>0.0261039237</v>
      </c>
      <c r="AG25" s="29" t="n">
        <v>0.0257123648</v>
      </c>
      <c r="AH25" s="29" t="n">
        <v>0.0253266793</v>
      </c>
      <c r="AI25" s="29" t="n">
        <v>0.0249467792</v>
      </c>
      <c r="AJ25" s="29" t="n">
        <v>0.0245725775</v>
      </c>
      <c r="AK25" s="29" t="n">
        <v>0.0242039888</v>
      </c>
      <c r="AL25" s="29" t="n">
        <v>0.023840929</v>
      </c>
      <c r="AM25" s="29" t="n">
        <v>0.023483315</v>
      </c>
      <c r="AN25" s="29" t="n">
        <v>0.0231310653</v>
      </c>
      <c r="AO25" s="29" t="n">
        <v>0.0227840993</v>
      </c>
      <c r="AP25" s="29" t="n">
        <v>0.0224423378</v>
      </c>
      <c r="AQ25" s="29" t="n">
        <v>0.0221057028</v>
      </c>
      <c r="AR25" s="29" t="n">
        <v>0.0217741172</v>
      </c>
      <c r="AS25" s="29" t="n">
        <v>0.0214475055</v>
      </c>
      <c r="AT25" s="29" t="n">
        <v>0.0211257929</v>
      </c>
      <c r="AU25" s="29" t="n">
        <v>0.020808906</v>
      </c>
      <c r="AV25" s="29" t="n">
        <v>0.0204967724</v>
      </c>
      <c r="AW25" s="29" t="n">
        <v>0.0201893208</v>
      </c>
      <c r="AX25" s="29" t="n">
        <v>0.019886481</v>
      </c>
      <c r="AY25" s="29" t="n">
        <v>0.0195881838</v>
      </c>
      <c r="AZ25" s="29" t="n">
        <v>0.019294361</v>
      </c>
      <c r="BA25" s="29" t="n">
        <v>0.0190049456</v>
      </c>
      <c r="BB25" s="29" t="n">
        <v>0.0187198714</v>
      </c>
      <c r="BC25" s="29" t="n">
        <v>0.0184390734</v>
      </c>
      <c r="BD25" s="29" t="n">
        <v>0.0181624873</v>
      </c>
      <c r="BE25" s="29" t="n">
        <v>0.01789005</v>
      </c>
      <c r="BF25" s="29" t="n">
        <v>0.0176216992</v>
      </c>
      <c r="BG25" s="29" t="n">
        <v>0.0173573737</v>
      </c>
      <c r="BH25" s="29" t="n">
        <v>0.0170970131</v>
      </c>
      <c r="BI25" s="29" t="n">
        <v>0.0168405579</v>
      </c>
      <c r="BJ25" s="29" t="n">
        <v>0.0165879496</v>
      </c>
      <c r="BK25" s="29" t="n">
        <v>0.0163391303</v>
      </c>
      <c r="BL25" s="29" t="n">
        <v>0.0160940434</v>
      </c>
      <c r="BM25" s="29" t="n">
        <v>0.0158526327</v>
      </c>
      <c r="BN25" s="29" t="n">
        <v>0.0156148432</v>
      </c>
      <c r="BO25" s="29" t="n">
        <v>0.0153806206</v>
      </c>
      <c r="BP25" s="29" t="n">
        <v>0.0151499113</v>
      </c>
      <c r="BQ25" s="29" t="n">
        <v>0.0149226626</v>
      </c>
      <c r="BR25" s="29" t="n">
        <v>0.0146988226</v>
      </c>
      <c r="BS25" s="29" t="n">
        <v>0.0144783403</v>
      </c>
    </row>
    <row r="26" customFormat="false" ht="15" hidden="false" customHeight="true" outlineLevel="0" collapsed="false">
      <c r="A26" s="3" t="n">
        <v>82</v>
      </c>
      <c r="B26" s="29" t="n">
        <v>0.0471064785</v>
      </c>
      <c r="C26" s="29" t="n">
        <v>0.0463323098</v>
      </c>
      <c r="D26" s="29" t="n">
        <v>0.0455767753</v>
      </c>
      <c r="E26" s="29" t="n">
        <v>0.044842034</v>
      </c>
      <c r="F26" s="29" t="n">
        <v>0.0441291084</v>
      </c>
      <c r="G26" s="29" t="n">
        <v>0.043437973</v>
      </c>
      <c r="H26" s="29" t="n">
        <v>0.0427676374</v>
      </c>
      <c r="I26" s="29" t="n">
        <v>0.0421162206</v>
      </c>
      <c r="J26" s="29" t="n">
        <v>0.0414810202</v>
      </c>
      <c r="K26" s="29" t="n">
        <v>0.0408585753</v>
      </c>
      <c r="L26" s="29" t="n">
        <v>0.0402456966</v>
      </c>
      <c r="M26" s="29" t="n">
        <v>0.0396420112</v>
      </c>
      <c r="N26" s="29" t="n">
        <v>0.039047381</v>
      </c>
      <c r="O26" s="29" t="n">
        <v>0.0384616703</v>
      </c>
      <c r="P26" s="29" t="n">
        <v>0.0378847453</v>
      </c>
      <c r="Q26" s="29" t="n">
        <v>0.0373164741</v>
      </c>
      <c r="R26" s="29" t="n">
        <v>0.036756727</v>
      </c>
      <c r="S26" s="29" t="n">
        <v>0.0362053761</v>
      </c>
      <c r="T26" s="29" t="n">
        <v>0.0356622954</v>
      </c>
      <c r="U26" s="29" t="n">
        <v>0.035127361</v>
      </c>
      <c r="V26" s="29" t="n">
        <v>0.0346004506</v>
      </c>
      <c r="W26" s="29" t="n">
        <v>0.0340814438</v>
      </c>
      <c r="X26" s="29" t="n">
        <v>0.0335702222</v>
      </c>
      <c r="Y26" s="29" t="n">
        <v>0.0330666688</v>
      </c>
      <c r="Z26" s="29" t="n">
        <v>0.0325706688</v>
      </c>
      <c r="AA26" s="29" t="n">
        <v>0.0320821088</v>
      </c>
      <c r="AB26" s="29" t="n">
        <v>0.0316008771</v>
      </c>
      <c r="AC26" s="29" t="n">
        <v>0.031126864</v>
      </c>
      <c r="AD26" s="29" t="n">
        <v>0.030659961</v>
      </c>
      <c r="AE26" s="29" t="n">
        <v>0.0302000616</v>
      </c>
      <c r="AF26" s="29" t="n">
        <v>0.0297470607</v>
      </c>
      <c r="AG26" s="29" t="n">
        <v>0.0293008548</v>
      </c>
      <c r="AH26" s="29" t="n">
        <v>0.0288613419</v>
      </c>
      <c r="AI26" s="29" t="n">
        <v>0.0284284218</v>
      </c>
      <c r="AJ26" s="29" t="n">
        <v>0.0280019955</v>
      </c>
      <c r="AK26" s="29" t="n">
        <v>0.0275819656</v>
      </c>
      <c r="AL26" s="29" t="n">
        <v>0.0271682361</v>
      </c>
      <c r="AM26" s="29" t="n">
        <v>0.0267607125</v>
      </c>
      <c r="AN26" s="29" t="n">
        <v>0.0263593018</v>
      </c>
      <c r="AO26" s="29" t="n">
        <v>0.0259639123</v>
      </c>
      <c r="AP26" s="29" t="n">
        <v>0.0255744536</v>
      </c>
      <c r="AQ26" s="29" t="n">
        <v>0.0251908368</v>
      </c>
      <c r="AR26" s="29" t="n">
        <v>0.0248129743</v>
      </c>
      <c r="AS26" s="29" t="n">
        <v>0.0244407797</v>
      </c>
      <c r="AT26" s="29" t="n">
        <v>0.024074168</v>
      </c>
      <c r="AU26" s="29" t="n">
        <v>0.0237130554</v>
      </c>
      <c r="AV26" s="29" t="n">
        <v>0.0233573596</v>
      </c>
      <c r="AW26" s="29" t="n">
        <v>0.0230069992</v>
      </c>
      <c r="AX26" s="29" t="n">
        <v>0.0226618942</v>
      </c>
      <c r="AY26" s="29" t="n">
        <v>0.0223219658</v>
      </c>
      <c r="AZ26" s="29" t="n">
        <v>0.0219871363</v>
      </c>
      <c r="BA26" s="29" t="n">
        <v>0.0216573293</v>
      </c>
      <c r="BB26" s="29" t="n">
        <v>0.0213324693</v>
      </c>
      <c r="BC26" s="29" t="n">
        <v>0.0210124823</v>
      </c>
      <c r="BD26" s="29" t="n">
        <v>0.0206972951</v>
      </c>
      <c r="BE26" s="29" t="n">
        <v>0.0203868356</v>
      </c>
      <c r="BF26" s="29" t="n">
        <v>0.0200810331</v>
      </c>
      <c r="BG26" s="29" t="n">
        <v>0.0197798176</v>
      </c>
      <c r="BH26" s="29" t="n">
        <v>0.0194831204</v>
      </c>
      <c r="BI26" s="29" t="n">
        <v>0.0191908735</v>
      </c>
      <c r="BJ26" s="29" t="n">
        <v>0.0189030104</v>
      </c>
      <c r="BK26" s="29" t="n">
        <v>0.0186194653</v>
      </c>
      <c r="BL26" s="29" t="n">
        <v>0.0183401733</v>
      </c>
      <c r="BM26" s="29" t="n">
        <v>0.0180650707</v>
      </c>
      <c r="BN26" s="29" t="n">
        <v>0.0177940946</v>
      </c>
      <c r="BO26" s="29" t="n">
        <v>0.0175271832</v>
      </c>
      <c r="BP26" s="29" t="n">
        <v>0.0172642755</v>
      </c>
      <c r="BQ26" s="29" t="n">
        <v>0.0170053113</v>
      </c>
      <c r="BR26" s="29" t="n">
        <v>0.0167502317</v>
      </c>
      <c r="BS26" s="29" t="n">
        <v>0.0164989782</v>
      </c>
    </row>
    <row r="27" customFormat="false" ht="15" hidden="false" customHeight="true" outlineLevel="0" collapsed="false">
      <c r="A27" s="3" t="n">
        <v>83</v>
      </c>
      <c r="B27" s="29" t="n">
        <v>0.0535238669</v>
      </c>
      <c r="C27" s="29" t="n">
        <v>0.0526765054</v>
      </c>
      <c r="D27" s="29" t="n">
        <v>0.0518467273</v>
      </c>
      <c r="E27" s="29" t="n">
        <v>0.0510359598</v>
      </c>
      <c r="F27" s="29" t="n">
        <v>0.0502448027</v>
      </c>
      <c r="G27" s="29" t="n">
        <v>0.0494730906</v>
      </c>
      <c r="H27" s="29" t="n">
        <v>0.0487199508</v>
      </c>
      <c r="I27" s="29" t="n">
        <v>0.0479838577</v>
      </c>
      <c r="J27" s="29" t="n">
        <v>0.047262683</v>
      </c>
      <c r="K27" s="29" t="n">
        <v>0.0465537428</v>
      </c>
      <c r="L27" s="29" t="n">
        <v>0.0458554366</v>
      </c>
      <c r="M27" s="29" t="n">
        <v>0.0451676051</v>
      </c>
      <c r="N27" s="29" t="n">
        <v>0.044490091</v>
      </c>
      <c r="O27" s="29" t="n">
        <v>0.0438227396</v>
      </c>
      <c r="P27" s="29" t="n">
        <v>0.0431653985</v>
      </c>
      <c r="Q27" s="29" t="n">
        <v>0.0425179176</v>
      </c>
      <c r="R27" s="29" t="n">
        <v>0.0418801488</v>
      </c>
      <c r="S27" s="29" t="n">
        <v>0.0412519466</v>
      </c>
      <c r="T27" s="29" t="n">
        <v>0.0406331674</v>
      </c>
      <c r="U27" s="29" t="n">
        <v>0.0400236699</v>
      </c>
      <c r="V27" s="29" t="n">
        <v>0.0394233148</v>
      </c>
      <c r="W27" s="29" t="n">
        <v>0.0388319651</v>
      </c>
      <c r="X27" s="29" t="n">
        <v>0.0382494856</v>
      </c>
      <c r="Y27" s="29" t="n">
        <v>0.0376757433</v>
      </c>
      <c r="Z27" s="29" t="n">
        <v>0.0371106072</v>
      </c>
      <c r="AA27" s="29" t="n">
        <v>0.0365539481</v>
      </c>
      <c r="AB27" s="29" t="n">
        <v>0.0360056389</v>
      </c>
      <c r="AC27" s="29" t="n">
        <v>0.0354655543</v>
      </c>
      <c r="AD27" s="29" t="n">
        <v>0.034933571</v>
      </c>
      <c r="AE27" s="29" t="n">
        <v>0.0344095674</v>
      </c>
      <c r="AF27" s="29" t="n">
        <v>0.0338934239</v>
      </c>
      <c r="AG27" s="29" t="n">
        <v>0.0333850225</v>
      </c>
      <c r="AH27" s="29" t="n">
        <v>0.0328842472</v>
      </c>
      <c r="AI27" s="29" t="n">
        <v>0.0323909835</v>
      </c>
      <c r="AJ27" s="29" t="n">
        <v>0.0319051187</v>
      </c>
      <c r="AK27" s="29" t="n">
        <v>0.0314265419</v>
      </c>
      <c r="AL27" s="29" t="n">
        <v>0.0309551438</v>
      </c>
      <c r="AM27" s="29" t="n">
        <v>0.0304908167</v>
      </c>
      <c r="AN27" s="29" t="n">
        <v>0.0300334544</v>
      </c>
      <c r="AO27" s="29" t="n">
        <v>0.0295829526</v>
      </c>
      <c r="AP27" s="29" t="n">
        <v>0.0291392083</v>
      </c>
      <c r="AQ27" s="29" t="n">
        <v>0.0287021202</v>
      </c>
      <c r="AR27" s="29" t="n">
        <v>0.0282715884</v>
      </c>
      <c r="AS27" s="29" t="n">
        <v>0.0278475146</v>
      </c>
      <c r="AT27" s="29" t="n">
        <v>0.0274298018</v>
      </c>
      <c r="AU27" s="29" t="n">
        <v>0.0270183548</v>
      </c>
      <c r="AV27" s="29" t="n">
        <v>0.0266130795</v>
      </c>
      <c r="AW27" s="29" t="n">
        <v>0.0262138833</v>
      </c>
      <c r="AX27" s="29" t="n">
        <v>0.025820675</v>
      </c>
      <c r="AY27" s="29" t="n">
        <v>0.0254333649</v>
      </c>
      <c r="AZ27" s="29" t="n">
        <v>0.0250518644</v>
      </c>
      <c r="BA27" s="29" t="n">
        <v>0.0246760865</v>
      </c>
      <c r="BB27" s="29" t="n">
        <v>0.0243059452</v>
      </c>
      <c r="BC27" s="29" t="n">
        <v>0.023941356</v>
      </c>
      <c r="BD27" s="29" t="n">
        <v>0.0235822357</v>
      </c>
      <c r="BE27" s="29" t="n">
        <v>0.0232285021</v>
      </c>
      <c r="BF27" s="29" t="n">
        <v>0.0228800746</v>
      </c>
      <c r="BG27" s="29" t="n">
        <v>0.0225368735</v>
      </c>
      <c r="BH27" s="29" t="n">
        <v>0.0221988204</v>
      </c>
      <c r="BI27" s="29" t="n">
        <v>0.0218658381</v>
      </c>
      <c r="BJ27" s="29" t="n">
        <v>0.0215378505</v>
      </c>
      <c r="BK27" s="29" t="n">
        <v>0.0212147827</v>
      </c>
      <c r="BL27" s="29" t="n">
        <v>0.020896561</v>
      </c>
      <c r="BM27" s="29" t="n">
        <v>0.0205831126</v>
      </c>
      <c r="BN27" s="29" t="n">
        <v>0.0202743659</v>
      </c>
      <c r="BO27" s="29" t="n">
        <v>0.0199702504</v>
      </c>
      <c r="BP27" s="29" t="n">
        <v>0.0196706967</v>
      </c>
      <c r="BQ27" s="29" t="n">
        <v>0.0193756362</v>
      </c>
      <c r="BR27" s="29" t="n">
        <v>0.0190850017</v>
      </c>
      <c r="BS27" s="29" t="n">
        <v>0.0187987266</v>
      </c>
    </row>
    <row r="28" customFormat="false" ht="15" hidden="false" customHeight="true" outlineLevel="0" collapsed="false">
      <c r="A28" s="3" t="n">
        <v>84</v>
      </c>
      <c r="B28" s="29" t="n">
        <v>0.0607979644</v>
      </c>
      <c r="C28" s="29" t="n">
        <v>0.0598722006</v>
      </c>
      <c r="D28" s="29" t="n">
        <v>0.05896192</v>
      </c>
      <c r="E28" s="29" t="n">
        <v>0.058067442</v>
      </c>
      <c r="F28" s="29" t="n">
        <v>0.0571888032</v>
      </c>
      <c r="G28" s="29" t="n">
        <v>0.0563257773</v>
      </c>
      <c r="H28" s="29" t="n">
        <v>0.055477895</v>
      </c>
      <c r="I28" s="29" t="n">
        <v>0.0546444625</v>
      </c>
      <c r="J28" s="29" t="n">
        <v>0.0538245788</v>
      </c>
      <c r="K28" s="29" t="n">
        <v>0.0530172101</v>
      </c>
      <c r="L28" s="29" t="n">
        <v>0.052221952</v>
      </c>
      <c r="M28" s="29" t="n">
        <v>0.0514386227</v>
      </c>
      <c r="N28" s="29" t="n">
        <v>0.0506670434</v>
      </c>
      <c r="O28" s="29" t="n">
        <v>0.0499070377</v>
      </c>
      <c r="P28" s="29" t="n">
        <v>0.0491584321</v>
      </c>
      <c r="Q28" s="29" t="n">
        <v>0.0484210557</v>
      </c>
      <c r="R28" s="29" t="n">
        <v>0.0476947398</v>
      </c>
      <c r="S28" s="29" t="n">
        <v>0.0469793187</v>
      </c>
      <c r="T28" s="29" t="n">
        <v>0.0462746289</v>
      </c>
      <c r="U28" s="29" t="n">
        <v>0.0455805095</v>
      </c>
      <c r="V28" s="29" t="n">
        <v>0.0448968019</v>
      </c>
      <c r="W28" s="29" t="n">
        <v>0.0442233498</v>
      </c>
      <c r="X28" s="29" t="n">
        <v>0.0435599996</v>
      </c>
      <c r="Y28" s="29" t="n">
        <v>0.0429065996</v>
      </c>
      <c r="Z28" s="29" t="n">
        <v>0.0422630006</v>
      </c>
      <c r="AA28" s="29" t="n">
        <v>0.0416290556</v>
      </c>
      <c r="AB28" s="29" t="n">
        <v>0.0410046198</v>
      </c>
      <c r="AC28" s="29" t="n">
        <v>0.0403895505</v>
      </c>
      <c r="AD28" s="29" t="n">
        <v>0.0397837072</v>
      </c>
      <c r="AE28" s="29" t="n">
        <v>0.0391869516</v>
      </c>
      <c r="AF28" s="29" t="n">
        <v>0.0385991473</v>
      </c>
      <c r="AG28" s="29" t="n">
        <v>0.0380201601</v>
      </c>
      <c r="AH28" s="29" t="n">
        <v>0.0374498577</v>
      </c>
      <c r="AI28" s="29" t="n">
        <v>0.0368881098</v>
      </c>
      <c r="AJ28" s="29" t="n">
        <v>0.0363347882</v>
      </c>
      <c r="AK28" s="29" t="n">
        <v>0.0357897664</v>
      </c>
      <c r="AL28" s="29" t="n">
        <v>0.0352529199</v>
      </c>
      <c r="AM28" s="29" t="n">
        <v>0.0347241261</v>
      </c>
      <c r="AN28" s="29" t="n">
        <v>0.0342032642</v>
      </c>
      <c r="AO28" s="29" t="n">
        <v>0.0336902152</v>
      </c>
      <c r="AP28" s="29" t="n">
        <v>0.033184862</v>
      </c>
      <c r="AQ28" s="29" t="n">
        <v>0.0326870891</v>
      </c>
      <c r="AR28" s="29" t="n">
        <v>0.0321967827</v>
      </c>
      <c r="AS28" s="29" t="n">
        <v>0.031713831</v>
      </c>
      <c r="AT28" s="29" t="n">
        <v>0.0312381235</v>
      </c>
      <c r="AU28" s="29" t="n">
        <v>0.0307695517</v>
      </c>
      <c r="AV28" s="29" t="n">
        <v>0.0303080084</v>
      </c>
      <c r="AW28" s="29" t="n">
        <v>0.0298533883</v>
      </c>
      <c r="AX28" s="29" t="n">
        <v>0.0294055875</v>
      </c>
      <c r="AY28" s="29" t="n">
        <v>0.0289645036</v>
      </c>
      <c r="AZ28" s="29" t="n">
        <v>0.0285300361</v>
      </c>
      <c r="BA28" s="29" t="n">
        <v>0.0281020855</v>
      </c>
      <c r="BB28" s="29" t="n">
        <v>0.0276805543</v>
      </c>
      <c r="BC28" s="29" t="n">
        <v>0.0272653459</v>
      </c>
      <c r="BD28" s="29" t="n">
        <v>0.0268563658</v>
      </c>
      <c r="BE28" s="29" t="n">
        <v>0.0264535203</v>
      </c>
      <c r="BF28" s="29" t="n">
        <v>0.0260567175</v>
      </c>
      <c r="BG28" s="29" t="n">
        <v>0.0256658667</v>
      </c>
      <c r="BH28" s="29" t="n">
        <v>0.0252808787</v>
      </c>
      <c r="BI28" s="29" t="n">
        <v>0.0249016655</v>
      </c>
      <c r="BJ28" s="29" t="n">
        <v>0.0245281405</v>
      </c>
      <c r="BK28" s="29" t="n">
        <v>0.0241602184</v>
      </c>
      <c r="BL28" s="29" t="n">
        <v>0.0237978152</v>
      </c>
      <c r="BM28" s="29" t="n">
        <v>0.0234408479</v>
      </c>
      <c r="BN28" s="29" t="n">
        <v>0.0230892352</v>
      </c>
      <c r="BO28" s="29" t="n">
        <v>0.0227428967</v>
      </c>
      <c r="BP28" s="29" t="n">
        <v>0.0224017532</v>
      </c>
      <c r="BQ28" s="29" t="n">
        <v>0.0220657269</v>
      </c>
      <c r="BR28" s="29" t="n">
        <v>0.021734741</v>
      </c>
      <c r="BS28" s="29" t="n">
        <v>0.0214087199</v>
      </c>
    </row>
    <row r="29" customFormat="false" ht="15" hidden="false" customHeight="true" outlineLevel="0" collapsed="false">
      <c r="A29" s="3" t="n">
        <v>85</v>
      </c>
      <c r="B29" s="29" t="n">
        <v>0.0712923501</v>
      </c>
      <c r="C29" s="29" t="n">
        <v>0.0702499536</v>
      </c>
      <c r="D29" s="29" t="n">
        <v>0.0692198793</v>
      </c>
      <c r="E29" s="29" t="n">
        <v>0.0682008064</v>
      </c>
      <c r="F29" s="29" t="n">
        <v>0.0671920441</v>
      </c>
      <c r="G29" s="29" t="n">
        <v>0.0661934877</v>
      </c>
      <c r="H29" s="29" t="n">
        <v>0.0652055774</v>
      </c>
      <c r="I29" s="29" t="n">
        <v>0.0642292574</v>
      </c>
      <c r="J29" s="29" t="n">
        <v>0.0632659368</v>
      </c>
      <c r="K29" s="29" t="n">
        <v>0.0623169478</v>
      </c>
      <c r="L29" s="29" t="n">
        <v>0.0613821935</v>
      </c>
      <c r="M29" s="29" t="n">
        <v>0.0604614606</v>
      </c>
      <c r="N29" s="29" t="n">
        <v>0.0595545387</v>
      </c>
      <c r="O29" s="29" t="n">
        <v>0.0586612207</v>
      </c>
      <c r="P29" s="29" t="n">
        <v>0.0577813023</v>
      </c>
      <c r="Q29" s="29" t="n">
        <v>0.0569145828</v>
      </c>
      <c r="R29" s="29" t="n">
        <v>0.0560608641</v>
      </c>
      <c r="S29" s="29" t="n">
        <v>0.0552199511</v>
      </c>
      <c r="T29" s="29" t="n">
        <v>0.0543916518</v>
      </c>
      <c r="U29" s="29" t="n">
        <v>0.0535757771</v>
      </c>
      <c r="V29" s="29" t="n">
        <v>0.0527721404</v>
      </c>
      <c r="W29" s="29" t="n">
        <v>0.0519805583</v>
      </c>
      <c r="X29" s="29" t="n">
        <v>0.0512008499</v>
      </c>
      <c r="Y29" s="29" t="n">
        <v>0.0504328372</v>
      </c>
      <c r="Z29" s="29" t="n">
        <v>0.0496763446</v>
      </c>
      <c r="AA29" s="29" t="n">
        <v>0.0489311995</v>
      </c>
      <c r="AB29" s="29" t="n">
        <v>0.0481972315</v>
      </c>
      <c r="AC29" s="29" t="n">
        <v>0.047474273</v>
      </c>
      <c r="AD29" s="29" t="n">
        <v>0.0467621589</v>
      </c>
      <c r="AE29" s="29" t="n">
        <v>0.0460607265</v>
      </c>
      <c r="AF29" s="29" t="n">
        <v>0.0453698156</v>
      </c>
      <c r="AG29" s="29" t="n">
        <v>0.0446892684</v>
      </c>
      <c r="AH29" s="29" t="n">
        <v>0.0440189294</v>
      </c>
      <c r="AI29" s="29" t="n">
        <v>0.0433586454</v>
      </c>
      <c r="AJ29" s="29" t="n">
        <v>0.0427082657</v>
      </c>
      <c r="AK29" s="29" t="n">
        <v>0.0420676417</v>
      </c>
      <c r="AL29" s="29" t="n">
        <v>0.0414366271</v>
      </c>
      <c r="AM29" s="29" t="n">
        <v>0.0408150777</v>
      </c>
      <c r="AN29" s="29" t="n">
        <v>0.0402028515</v>
      </c>
      <c r="AO29" s="29" t="n">
        <v>0.0395998088</v>
      </c>
      <c r="AP29" s="29" t="n">
        <v>0.0390058116</v>
      </c>
      <c r="AQ29" s="29" t="n">
        <v>0.0384207245</v>
      </c>
      <c r="AR29" s="29" t="n">
        <v>0.0378444136</v>
      </c>
      <c r="AS29" s="29" t="n">
        <v>0.0372767474</v>
      </c>
      <c r="AT29" s="29" t="n">
        <v>0.0367175962</v>
      </c>
      <c r="AU29" s="29" t="n">
        <v>0.0361668322</v>
      </c>
      <c r="AV29" s="29" t="n">
        <v>0.0356243298</v>
      </c>
      <c r="AW29" s="29" t="n">
        <v>0.0350899648</v>
      </c>
      <c r="AX29" s="29" t="n">
        <v>0.0345636153</v>
      </c>
      <c r="AY29" s="29" t="n">
        <v>0.0340451611</v>
      </c>
      <c r="AZ29" s="29" t="n">
        <v>0.0335344837</v>
      </c>
      <c r="BA29" s="29" t="n">
        <v>0.0330314664</v>
      </c>
      <c r="BB29" s="29" t="n">
        <v>0.0325359944</v>
      </c>
      <c r="BC29" s="29" t="n">
        <v>0.0320479545</v>
      </c>
      <c r="BD29" s="29" t="n">
        <v>0.0315672352</v>
      </c>
      <c r="BE29" s="29" t="n">
        <v>0.0310937267</v>
      </c>
      <c r="BF29" s="29" t="n">
        <v>0.0306273208</v>
      </c>
      <c r="BG29" s="29" t="n">
        <v>0.030167911</v>
      </c>
      <c r="BH29" s="29" t="n">
        <v>0.0297153923</v>
      </c>
      <c r="BI29" s="29" t="n">
        <v>0.0292696614</v>
      </c>
      <c r="BJ29" s="29" t="n">
        <v>0.0288306165</v>
      </c>
      <c r="BK29" s="29" t="n">
        <v>0.0283981572</v>
      </c>
      <c r="BL29" s="29" t="n">
        <v>0.0279721849</v>
      </c>
      <c r="BM29" s="29" t="n">
        <v>0.0275526021</v>
      </c>
      <c r="BN29" s="29" t="n">
        <v>0.0271393131</v>
      </c>
      <c r="BO29" s="29" t="n">
        <v>0.0267322234</v>
      </c>
      <c r="BP29" s="29" t="n">
        <v>0.02633124</v>
      </c>
      <c r="BQ29" s="29" t="n">
        <v>0.0259362714</v>
      </c>
      <c r="BR29" s="29" t="n">
        <v>0.0255472274</v>
      </c>
      <c r="BS29" s="29" t="n">
        <v>0.025164019</v>
      </c>
    </row>
    <row r="30" customFormat="false" ht="15" hidden="false" customHeight="true" outlineLevel="0" collapsed="false">
      <c r="A30" s="3" t="n">
        <v>86</v>
      </c>
      <c r="B30" s="29" t="n">
        <v>0.0808501811</v>
      </c>
      <c r="C30" s="29" t="n">
        <v>0.0797190643</v>
      </c>
      <c r="D30" s="29" t="n">
        <v>0.078599906</v>
      </c>
      <c r="E30" s="29" t="n">
        <v>0.0774910701</v>
      </c>
      <c r="F30" s="29" t="n">
        <v>0.0763917862</v>
      </c>
      <c r="G30" s="29" t="n">
        <v>0.0753020924</v>
      </c>
      <c r="H30" s="29" t="n">
        <v>0.0742227794</v>
      </c>
      <c r="I30" s="29" t="n">
        <v>0.0731553368</v>
      </c>
      <c r="J30" s="29" t="n">
        <v>0.0721018999</v>
      </c>
      <c r="K30" s="29" t="n">
        <v>0.0710636326</v>
      </c>
      <c r="L30" s="29" t="n">
        <v>0.0700403163</v>
      </c>
      <c r="M30" s="29" t="n">
        <v>0.0690317357</v>
      </c>
      <c r="N30" s="29" t="n">
        <v>0.0680376787</v>
      </c>
      <c r="O30" s="29" t="n">
        <v>0.0670579361</v>
      </c>
      <c r="P30" s="29" t="n">
        <v>0.0660923018</v>
      </c>
      <c r="Q30" s="29" t="n">
        <v>0.0651405727</v>
      </c>
      <c r="R30" s="29" t="n">
        <v>0.0642025485</v>
      </c>
      <c r="S30" s="29" t="n">
        <v>0.0632780318</v>
      </c>
      <c r="T30" s="29" t="n">
        <v>0.0623668281</v>
      </c>
      <c r="U30" s="29" t="n">
        <v>0.0614687458</v>
      </c>
      <c r="V30" s="29" t="n">
        <v>0.0605835958</v>
      </c>
      <c r="W30" s="29" t="n">
        <v>0.0597111921</v>
      </c>
      <c r="X30" s="29" t="n">
        <v>0.0588513509</v>
      </c>
      <c r="Y30" s="29" t="n">
        <v>0.0580038914</v>
      </c>
      <c r="Z30" s="29" t="n">
        <v>0.0571686354</v>
      </c>
      <c r="AA30" s="29" t="n">
        <v>0.0563454071</v>
      </c>
      <c r="AB30" s="29" t="n">
        <v>0.0555340332</v>
      </c>
      <c r="AC30" s="29" t="n">
        <v>0.0547343431</v>
      </c>
      <c r="AD30" s="29" t="n">
        <v>0.0539461686</v>
      </c>
      <c r="AE30" s="29" t="n">
        <v>0.0531693437</v>
      </c>
      <c r="AF30" s="29" t="n">
        <v>0.0524037052</v>
      </c>
      <c r="AG30" s="29" t="n">
        <v>0.0516490918</v>
      </c>
      <c r="AH30" s="29" t="n">
        <v>0.0509053449</v>
      </c>
      <c r="AI30" s="29" t="n">
        <v>0.050172308</v>
      </c>
      <c r="AJ30" s="29" t="n">
        <v>0.0494498267</v>
      </c>
      <c r="AK30" s="29" t="n">
        <v>0.0487377492</v>
      </c>
      <c r="AL30" s="29" t="n">
        <v>0.0480359256</v>
      </c>
      <c r="AM30" s="29" t="n">
        <v>0.0473442083</v>
      </c>
      <c r="AN30" s="29" t="n">
        <v>0.0466624517</v>
      </c>
      <c r="AO30" s="29" t="n">
        <v>0.0459905124</v>
      </c>
      <c r="AP30" s="29" t="n">
        <v>0.045328249</v>
      </c>
      <c r="AQ30" s="29" t="n">
        <v>0.0446755222</v>
      </c>
      <c r="AR30" s="29" t="n">
        <v>0.0440321947</v>
      </c>
      <c r="AS30" s="29" t="n">
        <v>0.0433981311</v>
      </c>
      <c r="AT30" s="29" t="n">
        <v>0.042773198</v>
      </c>
      <c r="AU30" s="29" t="n">
        <v>0.042157264</v>
      </c>
      <c r="AV30" s="29" t="n">
        <v>0.0415501994</v>
      </c>
      <c r="AW30" s="29" t="n">
        <v>0.0409518765</v>
      </c>
      <c r="AX30" s="29" t="n">
        <v>0.0403621695</v>
      </c>
      <c r="AY30" s="29" t="n">
        <v>0.0397809542</v>
      </c>
      <c r="AZ30" s="29" t="n">
        <v>0.0392081085</v>
      </c>
      <c r="BA30" s="29" t="n">
        <v>0.0386435117</v>
      </c>
      <c r="BB30" s="29" t="n">
        <v>0.0380870452</v>
      </c>
      <c r="BC30" s="29" t="n">
        <v>0.0375385917</v>
      </c>
      <c r="BD30" s="29" t="n">
        <v>0.036998036</v>
      </c>
      <c r="BE30" s="29" t="n">
        <v>0.0364652643</v>
      </c>
      <c r="BF30" s="29" t="n">
        <v>0.0359401645</v>
      </c>
      <c r="BG30" s="29" t="n">
        <v>0.0354226261</v>
      </c>
      <c r="BH30" s="29" t="n">
        <v>0.0349125403</v>
      </c>
      <c r="BI30" s="29" t="n">
        <v>0.0344097997</v>
      </c>
      <c r="BJ30" s="29" t="n">
        <v>0.0339142986</v>
      </c>
      <c r="BK30" s="29" t="n">
        <v>0.0334259327</v>
      </c>
      <c r="BL30" s="29" t="n">
        <v>0.0329445993</v>
      </c>
      <c r="BM30" s="29" t="n">
        <v>0.032470197</v>
      </c>
      <c r="BN30" s="29" t="n">
        <v>0.0320026262</v>
      </c>
      <c r="BO30" s="29" t="n">
        <v>0.0315417884</v>
      </c>
      <c r="BP30" s="29" t="n">
        <v>0.0310875866</v>
      </c>
      <c r="BQ30" s="29" t="n">
        <v>0.0306399254</v>
      </c>
      <c r="BR30" s="29" t="n">
        <v>0.0301987104</v>
      </c>
      <c r="BS30" s="29" t="n">
        <v>0.029763849</v>
      </c>
    </row>
    <row r="31" customFormat="false" ht="15" hidden="false" customHeight="true" outlineLevel="0" collapsed="false">
      <c r="A31" s="3" t="n">
        <v>87</v>
      </c>
      <c r="B31" s="29" t="n">
        <v>0.091564899</v>
      </c>
      <c r="C31" s="29" t="n">
        <v>0.0903419524</v>
      </c>
      <c r="D31" s="29" t="n">
        <v>0.0891302053</v>
      </c>
      <c r="E31" s="29" t="n">
        <v>0.0879276197</v>
      </c>
      <c r="F31" s="29" t="n">
        <v>0.0867333554</v>
      </c>
      <c r="G31" s="29" t="n">
        <v>0.0855476942</v>
      </c>
      <c r="H31" s="29" t="n">
        <v>0.0843719651</v>
      </c>
      <c r="I31" s="29" t="n">
        <v>0.0832084715</v>
      </c>
      <c r="J31" s="29" t="n">
        <v>0.0820601946</v>
      </c>
      <c r="K31" s="29" t="n">
        <v>0.0809277639</v>
      </c>
      <c r="L31" s="29" t="n">
        <v>0.0798109608</v>
      </c>
      <c r="M31" s="29" t="n">
        <v>0.0787095695</v>
      </c>
      <c r="N31" s="29" t="n">
        <v>0.0776233775</v>
      </c>
      <c r="O31" s="29" t="n">
        <v>0.0765521749</v>
      </c>
      <c r="P31" s="29" t="n">
        <v>0.0754957549</v>
      </c>
      <c r="Q31" s="29" t="n">
        <v>0.0744539134</v>
      </c>
      <c r="R31" s="29" t="n">
        <v>0.0734264494</v>
      </c>
      <c r="S31" s="29" t="n">
        <v>0.0724131644</v>
      </c>
      <c r="T31" s="29" t="n">
        <v>0.0714138628</v>
      </c>
      <c r="U31" s="29" t="n">
        <v>0.0704283515</v>
      </c>
      <c r="V31" s="29" t="n">
        <v>0.0694564402</v>
      </c>
      <c r="W31" s="29" t="n">
        <v>0.0684979413</v>
      </c>
      <c r="X31" s="29" t="n">
        <v>0.0675526697</v>
      </c>
      <c r="Y31" s="29" t="n">
        <v>0.0666204429</v>
      </c>
      <c r="Z31" s="29" t="n">
        <v>0.0657010808</v>
      </c>
      <c r="AA31" s="29" t="n">
        <v>0.0647944059</v>
      </c>
      <c r="AB31" s="29" t="n">
        <v>0.0639002431</v>
      </c>
      <c r="AC31" s="29" t="n">
        <v>0.0630184197</v>
      </c>
      <c r="AD31" s="29" t="n">
        <v>0.0621487655</v>
      </c>
      <c r="AE31" s="29" t="n">
        <v>0.0612911126</v>
      </c>
      <c r="AF31" s="29" t="n">
        <v>0.0604452952</v>
      </c>
      <c r="AG31" s="29" t="n">
        <v>0.0596111501</v>
      </c>
      <c r="AH31" s="29" t="n">
        <v>0.0587885163</v>
      </c>
      <c r="AI31" s="29" t="n">
        <v>0.0579772347</v>
      </c>
      <c r="AJ31" s="29" t="n">
        <v>0.0571771489</v>
      </c>
      <c r="AK31" s="29" t="n">
        <v>0.0563881042</v>
      </c>
      <c r="AL31" s="29" t="n">
        <v>0.0556099484</v>
      </c>
      <c r="AM31" s="29" t="n">
        <v>0.0548425311</v>
      </c>
      <c r="AN31" s="29" t="n">
        <v>0.0540857042</v>
      </c>
      <c r="AO31" s="29" t="n">
        <v>0.0533393215</v>
      </c>
      <c r="AP31" s="29" t="n">
        <v>0.0526032388</v>
      </c>
      <c r="AQ31" s="29" t="n">
        <v>0.0518773141</v>
      </c>
      <c r="AR31" s="29" t="n">
        <v>0.0511614072</v>
      </c>
      <c r="AS31" s="29" t="n">
        <v>0.0504553798</v>
      </c>
      <c r="AT31" s="29" t="n">
        <v>0.0497590955</v>
      </c>
      <c r="AU31" s="29" t="n">
        <v>0.04907242</v>
      </c>
      <c r="AV31" s="29" t="n">
        <v>0.0483952206</v>
      </c>
      <c r="AW31" s="29" t="n">
        <v>0.0477273666</v>
      </c>
      <c r="AX31" s="29" t="n">
        <v>0.0470687289</v>
      </c>
      <c r="AY31" s="29" t="n">
        <v>0.0464191805</v>
      </c>
      <c r="AZ31" s="29" t="n">
        <v>0.0457785958</v>
      </c>
      <c r="BA31" s="29" t="n">
        <v>0.0451468512</v>
      </c>
      <c r="BB31" s="29" t="n">
        <v>0.0445238246</v>
      </c>
      <c r="BC31" s="29" t="n">
        <v>0.0439093958</v>
      </c>
      <c r="BD31" s="29" t="n">
        <v>0.0433034462</v>
      </c>
      <c r="BE31" s="29" t="n">
        <v>0.0427058586</v>
      </c>
      <c r="BF31" s="29" t="n">
        <v>0.0421165178</v>
      </c>
      <c r="BG31" s="29" t="n">
        <v>0.0415353098</v>
      </c>
      <c r="BH31" s="29" t="n">
        <v>0.0409621225</v>
      </c>
      <c r="BI31" s="29" t="n">
        <v>0.0403968452</v>
      </c>
      <c r="BJ31" s="29" t="n">
        <v>0.0398393688</v>
      </c>
      <c r="BK31" s="29" t="n">
        <v>0.0392895855</v>
      </c>
      <c r="BL31" s="29" t="n">
        <v>0.0387473892</v>
      </c>
      <c r="BM31" s="29" t="n">
        <v>0.0382126752</v>
      </c>
      <c r="BN31" s="29" t="n">
        <v>0.0376853403</v>
      </c>
      <c r="BO31" s="29" t="n">
        <v>0.0371652826</v>
      </c>
      <c r="BP31" s="29" t="n">
        <v>0.0366524017</v>
      </c>
      <c r="BQ31" s="29" t="n">
        <v>0.0361465986</v>
      </c>
      <c r="BR31" s="29" t="n">
        <v>0.0356477755</v>
      </c>
      <c r="BS31" s="29" t="n">
        <v>0.0351558362</v>
      </c>
    </row>
    <row r="32" customFormat="false" ht="15" hidden="false" customHeight="true" outlineLevel="0" collapsed="false">
      <c r="A32" s="3" t="n">
        <v>88</v>
      </c>
      <c r="B32" s="29" t="n">
        <v>0.1035194588</v>
      </c>
      <c r="C32" s="29" t="n">
        <v>0.1022027492</v>
      </c>
      <c r="D32" s="29" t="n">
        <v>0.1008959655</v>
      </c>
      <c r="E32" s="29" t="n">
        <v>0.0995965655</v>
      </c>
      <c r="F32" s="29" t="n">
        <v>0.0983036721</v>
      </c>
      <c r="G32" s="29" t="n">
        <v>0.097017972</v>
      </c>
      <c r="H32" s="29" t="n">
        <v>0.0957416152</v>
      </c>
      <c r="I32" s="29" t="n">
        <v>0.0944781171</v>
      </c>
      <c r="J32" s="29" t="n">
        <v>0.093231006</v>
      </c>
      <c r="K32" s="29" t="n">
        <v>0.0920003567</v>
      </c>
      <c r="L32" s="29" t="n">
        <v>0.090785952</v>
      </c>
      <c r="M32" s="29" t="n">
        <v>0.0895875774</v>
      </c>
      <c r="N32" s="29" t="n">
        <v>0.0884050214</v>
      </c>
      <c r="O32" s="29" t="n">
        <v>0.0872380751</v>
      </c>
      <c r="P32" s="29" t="n">
        <v>0.0860865325</v>
      </c>
      <c r="Q32" s="29" t="n">
        <v>0.0849501903</v>
      </c>
      <c r="R32" s="29" t="n">
        <v>0.0838288478</v>
      </c>
      <c r="S32" s="29" t="n">
        <v>0.082722307</v>
      </c>
      <c r="T32" s="29" t="n">
        <v>0.0816303726</v>
      </c>
      <c r="U32" s="29" t="n">
        <v>0.0805528516</v>
      </c>
      <c r="V32" s="29" t="n">
        <v>0.079489554</v>
      </c>
      <c r="W32" s="29" t="n">
        <v>0.0784402919</v>
      </c>
      <c r="X32" s="29" t="n">
        <v>0.07740488</v>
      </c>
      <c r="Y32" s="29" t="n">
        <v>0.0763831356</v>
      </c>
      <c r="Z32" s="29" t="n">
        <v>0.0753748782</v>
      </c>
      <c r="AA32" s="29" t="n">
        <v>0.0743799298</v>
      </c>
      <c r="AB32" s="29" t="n">
        <v>0.0733981148</v>
      </c>
      <c r="AC32" s="29" t="n">
        <v>0.0724292597</v>
      </c>
      <c r="AD32" s="29" t="n">
        <v>0.0714731934</v>
      </c>
      <c r="AE32" s="29" t="n">
        <v>0.0705297473</v>
      </c>
      <c r="AF32" s="29" t="n">
        <v>0.0695987546</v>
      </c>
      <c r="AG32" s="29" t="n">
        <v>0.068680051</v>
      </c>
      <c r="AH32" s="29" t="n">
        <v>0.0677734744</v>
      </c>
      <c r="AI32" s="29" t="n">
        <v>0.0668788645</v>
      </c>
      <c r="AJ32" s="29" t="n">
        <v>0.0659960635</v>
      </c>
      <c r="AK32" s="29" t="n">
        <v>0.0651249155</v>
      </c>
      <c r="AL32" s="29" t="n">
        <v>0.0642652666</v>
      </c>
      <c r="AM32" s="29" t="n">
        <v>0.0634169651</v>
      </c>
      <c r="AN32" s="29" t="n">
        <v>0.0625798611</v>
      </c>
      <c r="AO32" s="29" t="n">
        <v>0.061753807</v>
      </c>
      <c r="AP32" s="29" t="n">
        <v>0.0609386567</v>
      </c>
      <c r="AQ32" s="29" t="n">
        <v>0.0601342664</v>
      </c>
      <c r="AR32" s="29" t="n">
        <v>0.0593404941</v>
      </c>
      <c r="AS32" s="29" t="n">
        <v>0.0585571996</v>
      </c>
      <c r="AT32" s="29" t="n">
        <v>0.0577842446</v>
      </c>
      <c r="AU32" s="29" t="n">
        <v>0.0570214925</v>
      </c>
      <c r="AV32" s="29" t="n">
        <v>0.0562688088</v>
      </c>
      <c r="AW32" s="29" t="n">
        <v>0.0555260606</v>
      </c>
      <c r="AX32" s="29" t="n">
        <v>0.0547931166</v>
      </c>
      <c r="AY32" s="29" t="n">
        <v>0.0540698474</v>
      </c>
      <c r="AZ32" s="29" t="n">
        <v>0.0533561254</v>
      </c>
      <c r="BA32" s="29" t="n">
        <v>0.0526518246</v>
      </c>
      <c r="BB32" s="29" t="n">
        <v>0.0519568205</v>
      </c>
      <c r="BC32" s="29" t="n">
        <v>0.0512709905</v>
      </c>
      <c r="BD32" s="29" t="n">
        <v>0.0505942134</v>
      </c>
      <c r="BE32" s="29" t="n">
        <v>0.0499263698</v>
      </c>
      <c r="BF32" s="29" t="n">
        <v>0.0492673417</v>
      </c>
      <c r="BG32" s="29" t="n">
        <v>0.0486170128</v>
      </c>
      <c r="BH32" s="29" t="n">
        <v>0.0479752682</v>
      </c>
      <c r="BI32" s="29" t="n">
        <v>0.0473419947</v>
      </c>
      <c r="BJ32" s="29" t="n">
        <v>0.0467170803</v>
      </c>
      <c r="BK32" s="29" t="n">
        <v>0.0461004149</v>
      </c>
      <c r="BL32" s="29" t="n">
        <v>0.0454918894</v>
      </c>
      <c r="BM32" s="29" t="n">
        <v>0.0448913965</v>
      </c>
      <c r="BN32" s="29" t="n">
        <v>0.04429883</v>
      </c>
      <c r="BO32" s="29" t="n">
        <v>0.0437140855</v>
      </c>
      <c r="BP32" s="29" t="n">
        <v>0.0431370595</v>
      </c>
      <c r="BQ32" s="29" t="n">
        <v>0.0425676504</v>
      </c>
      <c r="BR32" s="29" t="n">
        <v>0.0420057574</v>
      </c>
      <c r="BS32" s="29" t="n">
        <v>0.0414512814</v>
      </c>
    </row>
    <row r="33" customFormat="false" ht="15" hidden="false" customHeight="true" outlineLevel="0" collapsed="false">
      <c r="A33" s="3" t="n">
        <v>89</v>
      </c>
      <c r="B33" s="29" t="n">
        <v>0.1167864197</v>
      </c>
      <c r="C33" s="29" t="n">
        <v>0.1153754955</v>
      </c>
      <c r="D33" s="29" t="n">
        <v>0.1139725652</v>
      </c>
      <c r="E33" s="29" t="n">
        <v>0.1125744676</v>
      </c>
      <c r="F33" s="29" t="n">
        <v>0.1111803625</v>
      </c>
      <c r="G33" s="29" t="n">
        <v>0.1097915949</v>
      </c>
      <c r="H33" s="29" t="n">
        <v>0.1084115608</v>
      </c>
      <c r="I33" s="29" t="n">
        <v>0.1070455751</v>
      </c>
      <c r="J33" s="29" t="n">
        <v>0.1056968009</v>
      </c>
      <c r="K33" s="29" t="n">
        <v>0.1043650212</v>
      </c>
      <c r="L33" s="29" t="n">
        <v>0.1030500219</v>
      </c>
      <c r="M33" s="29" t="n">
        <v>0.1017515917</v>
      </c>
      <c r="N33" s="29" t="n">
        <v>0.1004695216</v>
      </c>
      <c r="O33" s="29" t="n">
        <v>0.0992036056</v>
      </c>
      <c r="P33" s="29" t="n">
        <v>0.0979536402</v>
      </c>
      <c r="Q33" s="29" t="n">
        <v>0.0967194243</v>
      </c>
      <c r="R33" s="29" t="n">
        <v>0.0955007596</v>
      </c>
      <c r="S33" s="29" t="n">
        <v>0.09429745</v>
      </c>
      <c r="T33" s="29" t="n">
        <v>0.0931093022</v>
      </c>
      <c r="U33" s="29" t="n">
        <v>0.0919361249</v>
      </c>
      <c r="V33" s="29" t="n">
        <v>0.0907777298</v>
      </c>
      <c r="W33" s="29" t="n">
        <v>0.0896339304</v>
      </c>
      <c r="X33" s="29" t="n">
        <v>0.0885045429</v>
      </c>
      <c r="Y33" s="29" t="n">
        <v>0.0873893856</v>
      </c>
      <c r="Z33" s="29" t="n">
        <v>0.0862882794</v>
      </c>
      <c r="AA33" s="29" t="n">
        <v>0.085201047</v>
      </c>
      <c r="AB33" s="29" t="n">
        <v>0.0841275138</v>
      </c>
      <c r="AC33" s="29" t="n">
        <v>0.0830675072</v>
      </c>
      <c r="AD33" s="29" t="n">
        <v>0.0820208566</v>
      </c>
      <c r="AE33" s="29" t="n">
        <v>0.0809873938</v>
      </c>
      <c r="AF33" s="29" t="n">
        <v>0.0799669526</v>
      </c>
      <c r="AG33" s="29" t="n">
        <v>0.078959369</v>
      </c>
      <c r="AH33" s="29" t="n">
        <v>0.077964481</v>
      </c>
      <c r="AI33" s="29" t="n">
        <v>0.0769821285</v>
      </c>
      <c r="AJ33" s="29" t="n">
        <v>0.0760121537</v>
      </c>
      <c r="AK33" s="29" t="n">
        <v>0.0750544006</v>
      </c>
      <c r="AL33" s="29" t="n">
        <v>0.0741087151</v>
      </c>
      <c r="AM33" s="29" t="n">
        <v>0.0731749453</v>
      </c>
      <c r="AN33" s="29" t="n">
        <v>0.072252941</v>
      </c>
      <c r="AO33" s="29" t="n">
        <v>0.0713425539</v>
      </c>
      <c r="AP33" s="29" t="n">
        <v>0.0704436377</v>
      </c>
      <c r="AQ33" s="29" t="n">
        <v>0.0695560479</v>
      </c>
      <c r="AR33" s="29" t="n">
        <v>0.0686796417</v>
      </c>
      <c r="AS33" s="29" t="n">
        <v>0.0678142782</v>
      </c>
      <c r="AT33" s="29" t="n">
        <v>0.0669598183</v>
      </c>
      <c r="AU33" s="29" t="n">
        <v>0.0661161246</v>
      </c>
      <c r="AV33" s="29" t="n">
        <v>0.0652830614</v>
      </c>
      <c r="AW33" s="29" t="n">
        <v>0.0644604949</v>
      </c>
      <c r="AX33" s="29" t="n">
        <v>0.0636482926</v>
      </c>
      <c r="AY33" s="29" t="n">
        <v>0.0628463241</v>
      </c>
      <c r="AZ33" s="29" t="n">
        <v>0.0620544605</v>
      </c>
      <c r="BA33" s="29" t="n">
        <v>0.0612725743</v>
      </c>
      <c r="BB33" s="29" t="n">
        <v>0.0605005398</v>
      </c>
      <c r="BC33" s="29" t="n">
        <v>0.059738233</v>
      </c>
      <c r="BD33" s="29" t="n">
        <v>0.0589855313</v>
      </c>
      <c r="BE33" s="29" t="n">
        <v>0.0582423136</v>
      </c>
      <c r="BF33" s="29" t="n">
        <v>0.0575084604</v>
      </c>
      <c r="BG33" s="29" t="n">
        <v>0.0567838538</v>
      </c>
      <c r="BH33" s="29" t="n">
        <v>0.0560683773</v>
      </c>
      <c r="BI33" s="29" t="n">
        <v>0.0553619157</v>
      </c>
      <c r="BJ33" s="29" t="n">
        <v>0.0546643556</v>
      </c>
      <c r="BK33" s="29" t="n">
        <v>0.0539755847</v>
      </c>
      <c r="BL33" s="29" t="n">
        <v>0.0532954923</v>
      </c>
      <c r="BM33" s="29" t="n">
        <v>0.0526239691</v>
      </c>
      <c r="BN33" s="29" t="n">
        <v>0.0519609071</v>
      </c>
      <c r="BO33" s="29" t="n">
        <v>0.0513061997</v>
      </c>
      <c r="BP33" s="29" t="n">
        <v>0.0506597416</v>
      </c>
      <c r="BQ33" s="29" t="n">
        <v>0.0500214288</v>
      </c>
      <c r="BR33" s="29" t="n">
        <v>0.0493911588</v>
      </c>
      <c r="BS33" s="29" t="n">
        <v>0.0487688302</v>
      </c>
    </row>
    <row r="34" customFormat="false" ht="15" hidden="false" customHeight="true" outlineLevel="0" collapsed="false">
      <c r="A34" s="3" t="n">
        <v>90</v>
      </c>
      <c r="B34" s="29" t="n">
        <v>0.1356173067</v>
      </c>
      <c r="C34" s="29" t="n">
        <v>0.1340655122</v>
      </c>
      <c r="D34" s="29" t="n">
        <v>0.1325191187</v>
      </c>
      <c r="E34" s="29" t="n">
        <v>0.1309741018</v>
      </c>
      <c r="F34" s="29" t="n">
        <v>0.1294297797</v>
      </c>
      <c r="G34" s="29" t="n">
        <v>0.1278886271</v>
      </c>
      <c r="H34" s="29" t="n">
        <v>0.1263560892</v>
      </c>
      <c r="I34" s="29" t="n">
        <v>0.1248398162</v>
      </c>
      <c r="J34" s="29" t="n">
        <v>0.1233417384</v>
      </c>
      <c r="K34" s="29" t="n">
        <v>0.1218616375</v>
      </c>
      <c r="L34" s="29" t="n">
        <v>0.1203992979</v>
      </c>
      <c r="M34" s="29" t="n">
        <v>0.1189545063</v>
      </c>
      <c r="N34" s="29" t="n">
        <v>0.1175270522</v>
      </c>
      <c r="O34" s="29" t="n">
        <v>0.1161167276</v>
      </c>
      <c r="P34" s="29" t="n">
        <v>0.1147233268</v>
      </c>
      <c r="Q34" s="29" t="n">
        <v>0.1133466469</v>
      </c>
      <c r="R34" s="29" t="n">
        <v>0.1119864872</v>
      </c>
      <c r="S34" s="29" t="n">
        <v>0.1106426493</v>
      </c>
      <c r="T34" s="29" t="n">
        <v>0.1093149375</v>
      </c>
      <c r="U34" s="29" t="n">
        <v>0.1080031583</v>
      </c>
      <c r="V34" s="29" t="n">
        <v>0.1067071204</v>
      </c>
      <c r="W34" s="29" t="n">
        <v>0.1054266349</v>
      </c>
      <c r="X34" s="29" t="n">
        <v>0.1041615153</v>
      </c>
      <c r="Y34" s="29" t="n">
        <v>0.1029115771</v>
      </c>
      <c r="Z34" s="29" t="n">
        <v>0.1016766382</v>
      </c>
      <c r="AA34" s="29" t="n">
        <v>0.1004565185</v>
      </c>
      <c r="AB34" s="29" t="n">
        <v>0.0992510403</v>
      </c>
      <c r="AC34" s="29" t="n">
        <v>0.0980600278</v>
      </c>
      <c r="AD34" s="29" t="n">
        <v>0.0968833075</v>
      </c>
      <c r="AE34" s="29" t="n">
        <v>0.0957207078</v>
      </c>
      <c r="AF34" s="29" t="n">
        <v>0.0945720593</v>
      </c>
      <c r="AG34" s="29" t="n">
        <v>0.0934371946</v>
      </c>
      <c r="AH34" s="29" t="n">
        <v>0.0923159483</v>
      </c>
      <c r="AI34" s="29" t="n">
        <v>0.0912081569</v>
      </c>
      <c r="AJ34" s="29" t="n">
        <v>0.090113659</v>
      </c>
      <c r="AK34" s="29" t="n">
        <v>0.0890322951</v>
      </c>
      <c r="AL34" s="29" t="n">
        <v>0.0879639076</v>
      </c>
      <c r="AM34" s="29" t="n">
        <v>0.0869083407</v>
      </c>
      <c r="AN34" s="29" t="n">
        <v>0.0858654406</v>
      </c>
      <c r="AO34" s="29" t="n">
        <v>0.0848350553</v>
      </c>
      <c r="AP34" s="29" t="n">
        <v>0.0838170346</v>
      </c>
      <c r="AQ34" s="29" t="n">
        <v>0.0828112302</v>
      </c>
      <c r="AR34" s="29" t="n">
        <v>0.0818174955</v>
      </c>
      <c r="AS34" s="29" t="n">
        <v>0.0808356855</v>
      </c>
      <c r="AT34" s="29" t="n">
        <v>0.0798656573</v>
      </c>
      <c r="AU34" s="29" t="n">
        <v>0.0789072694</v>
      </c>
      <c r="AV34" s="29" t="n">
        <v>0.0779603822</v>
      </c>
      <c r="AW34" s="29" t="n">
        <v>0.0770248576</v>
      </c>
      <c r="AX34" s="29" t="n">
        <v>0.0761005593</v>
      </c>
      <c r="AY34" s="29" t="n">
        <v>0.0751873526</v>
      </c>
      <c r="AZ34" s="29" t="n">
        <v>0.0742851043</v>
      </c>
      <c r="BA34" s="29" t="n">
        <v>0.0733936831</v>
      </c>
      <c r="BB34" s="29" t="n">
        <v>0.0725129589</v>
      </c>
      <c r="BC34" s="29" t="n">
        <v>0.0716428034</v>
      </c>
      <c r="BD34" s="29" t="n">
        <v>0.0707830897</v>
      </c>
      <c r="BE34" s="29" t="n">
        <v>0.0699336927</v>
      </c>
      <c r="BF34" s="29" t="n">
        <v>0.0690944884</v>
      </c>
      <c r="BG34" s="29" t="n">
        <v>0.0682653545</v>
      </c>
      <c r="BH34" s="29" t="n">
        <v>0.0674461702</v>
      </c>
      <c r="BI34" s="29" t="n">
        <v>0.0666368162</v>
      </c>
      <c r="BJ34" s="29" t="n">
        <v>0.0658371744</v>
      </c>
      <c r="BK34" s="29" t="n">
        <v>0.0650471283</v>
      </c>
      <c r="BL34" s="29" t="n">
        <v>0.0642665628</v>
      </c>
      <c r="BM34" s="29" t="n">
        <v>0.063495364</v>
      </c>
      <c r="BN34" s="29" t="n">
        <v>0.0627334197</v>
      </c>
      <c r="BO34" s="29" t="n">
        <v>0.0619806186</v>
      </c>
      <c r="BP34" s="29" t="n">
        <v>0.0612368512</v>
      </c>
      <c r="BQ34" s="29" t="n">
        <v>0.060502009</v>
      </c>
      <c r="BR34" s="29" t="n">
        <v>0.0597759849</v>
      </c>
      <c r="BS34" s="29" t="n">
        <v>0.0590586731</v>
      </c>
    </row>
    <row r="35" customFormat="false" ht="15" hidden="false" customHeight="true" outlineLevel="0" collapsed="false">
      <c r="A35" s="3" t="n">
        <v>91</v>
      </c>
      <c r="B35" s="29" t="n">
        <v>0.1519082825</v>
      </c>
      <c r="C35" s="29" t="n">
        <v>0.1502670214</v>
      </c>
      <c r="D35" s="29" t="n">
        <v>0.1486272543</v>
      </c>
      <c r="E35" s="29" t="n">
        <v>0.1469840901</v>
      </c>
      <c r="F35" s="29" t="n">
        <v>0.1453372978</v>
      </c>
      <c r="G35" s="29" t="n">
        <v>0.1436910585</v>
      </c>
      <c r="H35" s="29" t="n">
        <v>0.1420537161</v>
      </c>
      <c r="I35" s="29" t="n">
        <v>0.1404343037</v>
      </c>
      <c r="J35" s="29" t="n">
        <v>0.1388333526</v>
      </c>
      <c r="K35" s="29" t="n">
        <v>0.1372506524</v>
      </c>
      <c r="L35" s="29" t="n">
        <v>0.135685995</v>
      </c>
      <c r="M35" s="29" t="n">
        <v>0.1341391746</v>
      </c>
      <c r="N35" s="29" t="n">
        <v>0.1326099881</v>
      </c>
      <c r="O35" s="29" t="n">
        <v>0.1310982342</v>
      </c>
      <c r="P35" s="29" t="n">
        <v>0.1296037143</v>
      </c>
      <c r="Q35" s="29" t="n">
        <v>0.128126232</v>
      </c>
      <c r="R35" s="29" t="n">
        <v>0.1266655929</v>
      </c>
      <c r="S35" s="29" t="n">
        <v>0.1252216052</v>
      </c>
      <c r="T35" s="29" t="n">
        <v>0.1237940789</v>
      </c>
      <c r="U35" s="29" t="n">
        <v>0.1223828264</v>
      </c>
      <c r="V35" s="29" t="n">
        <v>0.1209876622</v>
      </c>
      <c r="W35" s="29" t="n">
        <v>0.1196084028</v>
      </c>
      <c r="X35" s="29" t="n">
        <v>0.118244867</v>
      </c>
      <c r="Y35" s="29" t="n">
        <v>0.1168968755</v>
      </c>
      <c r="Z35" s="29" t="n">
        <v>0.1155642512</v>
      </c>
      <c r="AA35" s="29" t="n">
        <v>0.1142468187</v>
      </c>
      <c r="AB35" s="29" t="n">
        <v>0.112944405</v>
      </c>
      <c r="AC35" s="29" t="n">
        <v>0.1116568387</v>
      </c>
      <c r="AD35" s="29" t="n">
        <v>0.1103839508</v>
      </c>
      <c r="AE35" s="29" t="n">
        <v>0.1091255737</v>
      </c>
      <c r="AF35" s="29" t="n">
        <v>0.1078815422</v>
      </c>
      <c r="AG35" s="29" t="n">
        <v>0.1066516926</v>
      </c>
      <c r="AH35" s="29" t="n">
        <v>0.1054358633</v>
      </c>
      <c r="AI35" s="29" t="n">
        <v>0.1042338945</v>
      </c>
      <c r="AJ35" s="29" t="n">
        <v>0.1030456281</v>
      </c>
      <c r="AK35" s="29" t="n">
        <v>0.1018709079</v>
      </c>
      <c r="AL35" s="29" t="n">
        <v>0.1007095796</v>
      </c>
      <c r="AM35" s="29" t="n">
        <v>0.0995614904</v>
      </c>
      <c r="AN35" s="29" t="n">
        <v>0.0984264894</v>
      </c>
      <c r="AO35" s="29" t="n">
        <v>0.0973044274</v>
      </c>
      <c r="AP35" s="29" t="n">
        <v>0.0961951569</v>
      </c>
      <c r="AQ35" s="29" t="n">
        <v>0.0950985321</v>
      </c>
      <c r="AR35" s="29" t="n">
        <v>0.0940144089</v>
      </c>
      <c r="AS35" s="29" t="n">
        <v>0.0929426446</v>
      </c>
      <c r="AT35" s="29" t="n">
        <v>0.0918830985</v>
      </c>
      <c r="AU35" s="29" t="n">
        <v>0.0908356311</v>
      </c>
      <c r="AV35" s="29" t="n">
        <v>0.0898001049</v>
      </c>
      <c r="AW35" s="29" t="n">
        <v>0.0887763837</v>
      </c>
      <c r="AX35" s="29" t="n">
        <v>0.087764333</v>
      </c>
      <c r="AY35" s="29" t="n">
        <v>0.0867638196</v>
      </c>
      <c r="AZ35" s="29" t="n">
        <v>0.085774712</v>
      </c>
      <c r="BA35" s="29" t="n">
        <v>0.0847968803</v>
      </c>
      <c r="BB35" s="29" t="n">
        <v>0.0838301959</v>
      </c>
      <c r="BC35" s="29" t="n">
        <v>0.0828745316</v>
      </c>
      <c r="BD35" s="29" t="n">
        <v>0.081929762</v>
      </c>
      <c r="BE35" s="29" t="n">
        <v>0.0809957627</v>
      </c>
      <c r="BF35" s="29" t="n">
        <v>0.080072411</v>
      </c>
      <c r="BG35" s="29" t="n">
        <v>0.0791595855</v>
      </c>
      <c r="BH35" s="29" t="n">
        <v>0.0782571662</v>
      </c>
      <c r="BI35" s="29" t="n">
        <v>0.0773650345</v>
      </c>
      <c r="BJ35" s="29" t="n">
        <v>0.0764830732</v>
      </c>
      <c r="BK35" s="29" t="n">
        <v>0.0756111661</v>
      </c>
      <c r="BL35" s="29" t="n">
        <v>0.0747491988</v>
      </c>
      <c r="BM35" s="29" t="n">
        <v>0.073897058</v>
      </c>
      <c r="BN35" s="29" t="n">
        <v>0.0730546315</v>
      </c>
      <c r="BO35" s="29" t="n">
        <v>0.0722218087</v>
      </c>
      <c r="BP35" s="29" t="n">
        <v>0.0713984801</v>
      </c>
      <c r="BQ35" s="29" t="n">
        <v>0.0705845374</v>
      </c>
      <c r="BR35" s="29" t="n">
        <v>0.0697798737</v>
      </c>
      <c r="BS35" s="29" t="n">
        <v>0.0689843831</v>
      </c>
    </row>
    <row r="36" customFormat="false" ht="15" hidden="false" customHeight="true" outlineLevel="0" collapsed="false">
      <c r="A36" s="3" t="n">
        <v>92</v>
      </c>
      <c r="B36" s="29" t="n">
        <v>0.1680948535</v>
      </c>
      <c r="C36" s="29" t="n">
        <v>0.1663856398</v>
      </c>
      <c r="D36" s="29" t="n">
        <v>0.1646727795</v>
      </c>
      <c r="E36" s="29" t="n">
        <v>0.1629504997</v>
      </c>
      <c r="F36" s="29" t="n">
        <v>0.1612194632</v>
      </c>
      <c r="G36" s="29" t="n">
        <v>0.1594864423</v>
      </c>
      <c r="H36" s="29" t="n">
        <v>0.1577639888</v>
      </c>
      <c r="I36" s="29" t="n">
        <v>0.1560601377</v>
      </c>
      <c r="J36" s="29" t="n">
        <v>0.1543746882</v>
      </c>
      <c r="K36" s="29" t="n">
        <v>0.1527074416</v>
      </c>
      <c r="L36" s="29" t="n">
        <v>0.1510582012</v>
      </c>
      <c r="M36" s="29" t="n">
        <v>0.1494267726</v>
      </c>
      <c r="N36" s="29" t="n">
        <v>0.1478129635</v>
      </c>
      <c r="O36" s="29" t="n">
        <v>0.1462165835</v>
      </c>
      <c r="P36" s="29" t="n">
        <v>0.1446374444</v>
      </c>
      <c r="Q36" s="29" t="n">
        <v>0.14307536</v>
      </c>
      <c r="R36" s="29" t="n">
        <v>0.1415301461</v>
      </c>
      <c r="S36" s="29" t="n">
        <v>0.1400016205</v>
      </c>
      <c r="T36" s="29" t="n">
        <v>0.138489603</v>
      </c>
      <c r="U36" s="29" t="n">
        <v>0.1369939153</v>
      </c>
      <c r="V36" s="29" t="n">
        <v>0.135514381</v>
      </c>
      <c r="W36" s="29" t="n">
        <v>0.1340508257</v>
      </c>
      <c r="X36" s="29" t="n">
        <v>0.1326030768</v>
      </c>
      <c r="Y36" s="29" t="n">
        <v>0.1311709635</v>
      </c>
      <c r="Z36" s="29" t="n">
        <v>0.1297543171</v>
      </c>
      <c r="AA36" s="29" t="n">
        <v>0.1283529705</v>
      </c>
      <c r="AB36" s="29" t="n">
        <v>0.1269667584</v>
      </c>
      <c r="AC36" s="29" t="n">
        <v>0.1255955174</v>
      </c>
      <c r="AD36" s="29" t="n">
        <v>0.1242390859</v>
      </c>
      <c r="AE36" s="29" t="n">
        <v>0.1228973037</v>
      </c>
      <c r="AF36" s="29" t="n">
        <v>0.1215700128</v>
      </c>
      <c r="AG36" s="29" t="n">
        <v>0.1202570567</v>
      </c>
      <c r="AH36" s="29" t="n">
        <v>0.1189582805</v>
      </c>
      <c r="AI36" s="29" t="n">
        <v>0.1176735311</v>
      </c>
      <c r="AJ36" s="29" t="n">
        <v>0.1164026569</v>
      </c>
      <c r="AK36" s="29" t="n">
        <v>0.1151455082</v>
      </c>
      <c r="AL36" s="29" t="n">
        <v>0.1139019367</v>
      </c>
      <c r="AM36" s="29" t="n">
        <v>0.1126717958</v>
      </c>
      <c r="AN36" s="29" t="n">
        <v>0.1114549404</v>
      </c>
      <c r="AO36" s="29" t="n">
        <v>0.1102512271</v>
      </c>
      <c r="AP36" s="29" t="n">
        <v>0.1090605138</v>
      </c>
      <c r="AQ36" s="29" t="n">
        <v>0.1078826603</v>
      </c>
      <c r="AR36" s="29" t="n">
        <v>0.1067175275</v>
      </c>
      <c r="AS36" s="29" t="n">
        <v>0.1055649782</v>
      </c>
      <c r="AT36" s="29" t="n">
        <v>0.1044248765</v>
      </c>
      <c r="AU36" s="29" t="n">
        <v>0.1032970878</v>
      </c>
      <c r="AV36" s="29" t="n">
        <v>0.1021814793</v>
      </c>
      <c r="AW36" s="29" t="n">
        <v>0.1010779193</v>
      </c>
      <c r="AX36" s="29" t="n">
        <v>0.0999862778</v>
      </c>
      <c r="AY36" s="29" t="n">
        <v>0.098906426</v>
      </c>
      <c r="AZ36" s="29" t="n">
        <v>0.0978382366</v>
      </c>
      <c r="BA36" s="29" t="n">
        <v>0.0967815836</v>
      </c>
      <c r="BB36" s="29" t="n">
        <v>0.0957363425</v>
      </c>
      <c r="BC36" s="29" t="n">
        <v>0.09470239</v>
      </c>
      <c r="BD36" s="29" t="n">
        <v>0.0936796042</v>
      </c>
      <c r="BE36" s="29" t="n">
        <v>0.0926678645</v>
      </c>
      <c r="BF36" s="29" t="n">
        <v>0.0916670515</v>
      </c>
      <c r="BG36" s="29" t="n">
        <v>0.0906770474</v>
      </c>
      <c r="BH36" s="29" t="n">
        <v>0.0896977353</v>
      </c>
      <c r="BI36" s="29" t="n">
        <v>0.0887289997</v>
      </c>
      <c r="BJ36" s="29" t="n">
        <v>0.0877707265</v>
      </c>
      <c r="BK36" s="29" t="n">
        <v>0.0868228027</v>
      </c>
      <c r="BL36" s="29" t="n">
        <v>0.0858851164</v>
      </c>
      <c r="BM36" s="29" t="n">
        <v>0.0849575572</v>
      </c>
      <c r="BN36" s="29" t="n">
        <v>0.0840400155</v>
      </c>
      <c r="BO36" s="29" t="n">
        <v>0.0831323834</v>
      </c>
      <c r="BP36" s="29" t="n">
        <v>0.0822345536</v>
      </c>
      <c r="BQ36" s="29" t="n">
        <v>0.0813464204</v>
      </c>
      <c r="BR36" s="29" t="n">
        <v>0.0804678791</v>
      </c>
      <c r="BS36" s="29" t="n">
        <v>0.079598826</v>
      </c>
    </row>
    <row r="37" customFormat="false" ht="15" hidden="false" customHeight="true" outlineLevel="0" collapsed="false">
      <c r="A37" s="3" t="n">
        <v>93</v>
      </c>
      <c r="B37" s="29" t="n">
        <v>0.1829018705</v>
      </c>
      <c r="C37" s="29" t="n">
        <v>0.1811577832</v>
      </c>
      <c r="D37" s="29" t="n">
        <v>0.1794036559</v>
      </c>
      <c r="E37" s="29" t="n">
        <v>0.1776329623</v>
      </c>
      <c r="F37" s="29" t="n">
        <v>0.1758479387</v>
      </c>
      <c r="G37" s="29" t="n">
        <v>0.1740591618</v>
      </c>
      <c r="H37" s="29" t="n">
        <v>0.1722837583</v>
      </c>
      <c r="I37" s="29" t="n">
        <v>0.170526464</v>
      </c>
      <c r="J37" s="29" t="n">
        <v>0.1687870941</v>
      </c>
      <c r="K37" s="29" t="n">
        <v>0.1670654657</v>
      </c>
      <c r="L37" s="29" t="n">
        <v>0.1653613979</v>
      </c>
      <c r="M37" s="29" t="n">
        <v>0.1636747117</v>
      </c>
      <c r="N37" s="29" t="n">
        <v>0.1620052296</v>
      </c>
      <c r="O37" s="29" t="n">
        <v>0.1603527763</v>
      </c>
      <c r="P37" s="29" t="n">
        <v>0.158717178</v>
      </c>
      <c r="Q37" s="29" t="n">
        <v>0.1570982628</v>
      </c>
      <c r="R37" s="29" t="n">
        <v>0.1554958605</v>
      </c>
      <c r="S37" s="29" t="n">
        <v>0.1539098027</v>
      </c>
      <c r="T37" s="29" t="n">
        <v>0.1523399227</v>
      </c>
      <c r="U37" s="29" t="n">
        <v>0.1507860555</v>
      </c>
      <c r="V37" s="29" t="n">
        <v>0.1492480377</v>
      </c>
      <c r="W37" s="29" t="n">
        <v>0.1477257077</v>
      </c>
      <c r="X37" s="29" t="n">
        <v>0.1462189055</v>
      </c>
      <c r="Y37" s="29" t="n">
        <v>0.1447274727</v>
      </c>
      <c r="Z37" s="29" t="n">
        <v>0.1432512525</v>
      </c>
      <c r="AA37" s="29" t="n">
        <v>0.1417900897</v>
      </c>
      <c r="AB37" s="29" t="n">
        <v>0.1403438308</v>
      </c>
      <c r="AC37" s="29" t="n">
        <v>0.1389123237</v>
      </c>
      <c r="AD37" s="29" t="n">
        <v>0.137495418</v>
      </c>
      <c r="AE37" s="29" t="n">
        <v>0.1360929647</v>
      </c>
      <c r="AF37" s="29" t="n">
        <v>0.1347048165</v>
      </c>
      <c r="AG37" s="29" t="n">
        <v>0.1333308274</v>
      </c>
      <c r="AH37" s="29" t="n">
        <v>0.1319708529</v>
      </c>
      <c r="AI37" s="29" t="n">
        <v>0.1306247502</v>
      </c>
      <c r="AJ37" s="29" t="n">
        <v>0.1292923778</v>
      </c>
      <c r="AK37" s="29" t="n">
        <v>0.1279735955</v>
      </c>
      <c r="AL37" s="29" t="n">
        <v>0.1266682649</v>
      </c>
      <c r="AM37" s="29" t="n">
        <v>0.1253762486</v>
      </c>
      <c r="AN37" s="29" t="n">
        <v>0.1240974108</v>
      </c>
      <c r="AO37" s="29" t="n">
        <v>0.1228316172</v>
      </c>
      <c r="AP37" s="29" t="n">
        <v>0.1215787347</v>
      </c>
      <c r="AQ37" s="29" t="n">
        <v>0.1203386316</v>
      </c>
      <c r="AR37" s="29" t="n">
        <v>0.1191111776</v>
      </c>
      <c r="AS37" s="29" t="n">
        <v>0.1178962436</v>
      </c>
      <c r="AT37" s="29" t="n">
        <v>0.1166937019</v>
      </c>
      <c r="AU37" s="29" t="n">
        <v>0.1155034261</v>
      </c>
      <c r="AV37" s="29" t="n">
        <v>0.1143252912</v>
      </c>
      <c r="AW37" s="29" t="n">
        <v>0.1131591732</v>
      </c>
      <c r="AX37" s="29" t="n">
        <v>0.1120049497</v>
      </c>
      <c r="AY37" s="29" t="n">
        <v>0.1108624992</v>
      </c>
      <c r="AZ37" s="29" t="n">
        <v>0.1097317017</v>
      </c>
      <c r="BA37" s="29" t="n">
        <v>0.1086124383</v>
      </c>
      <c r="BB37" s="29" t="n">
        <v>0.1075045914</v>
      </c>
      <c r="BC37" s="29" t="n">
        <v>0.1064080446</v>
      </c>
      <c r="BD37" s="29" t="n">
        <v>0.1053226826</v>
      </c>
      <c r="BE37" s="29" t="n">
        <v>0.1042483912</v>
      </c>
      <c r="BF37" s="29" t="n">
        <v>0.1031850576</v>
      </c>
      <c r="BG37" s="29" t="n">
        <v>0.10213257</v>
      </c>
      <c r="BH37" s="29" t="n">
        <v>0.1010908178</v>
      </c>
      <c r="BI37" s="29" t="n">
        <v>0.1000596915</v>
      </c>
      <c r="BJ37" s="29" t="n">
        <v>0.0990390826</v>
      </c>
      <c r="BK37" s="29" t="n">
        <v>0.098028884</v>
      </c>
      <c r="BL37" s="29" t="n">
        <v>0.0970289894</v>
      </c>
      <c r="BM37" s="29" t="n">
        <v>0.0960392937</v>
      </c>
      <c r="BN37" s="29" t="n">
        <v>0.0950596929</v>
      </c>
      <c r="BO37" s="29" t="n">
        <v>0.094090084</v>
      </c>
      <c r="BP37" s="29" t="n">
        <v>0.0931303651</v>
      </c>
      <c r="BQ37" s="29" t="n">
        <v>0.0921804354</v>
      </c>
      <c r="BR37" s="29" t="n">
        <v>0.091240195</v>
      </c>
      <c r="BS37" s="29" t="n">
        <v>0.090309545</v>
      </c>
    </row>
    <row r="38" customFormat="false" ht="15" hidden="false" customHeight="true" outlineLevel="0" collapsed="false">
      <c r="A38" s="3" t="n">
        <v>94</v>
      </c>
      <c r="B38" s="29" t="n">
        <v>0.1961891549</v>
      </c>
      <c r="C38" s="29" t="n">
        <v>0.194441385</v>
      </c>
      <c r="D38" s="29" t="n">
        <v>0.1926759917</v>
      </c>
      <c r="E38" s="29" t="n">
        <v>0.1908859954</v>
      </c>
      <c r="F38" s="29" t="n">
        <v>0.1890762082</v>
      </c>
      <c r="G38" s="29" t="n">
        <v>0.187262694</v>
      </c>
      <c r="H38" s="29" t="n">
        <v>0.1854649721</v>
      </c>
      <c r="I38" s="29" t="n">
        <v>0.1836845084</v>
      </c>
      <c r="J38" s="29" t="n">
        <v>0.1819211371</v>
      </c>
      <c r="K38" s="29" t="n">
        <v>0.1801746942</v>
      </c>
      <c r="L38" s="29" t="n">
        <v>0.1784450171</v>
      </c>
      <c r="M38" s="29" t="n">
        <v>0.1767319449</v>
      </c>
      <c r="N38" s="29" t="n">
        <v>0.1750353183</v>
      </c>
      <c r="O38" s="29" t="n">
        <v>0.1733549792</v>
      </c>
      <c r="P38" s="29" t="n">
        <v>0.1716907714</v>
      </c>
      <c r="Q38" s="29" t="n">
        <v>0.17004254</v>
      </c>
      <c r="R38" s="29" t="n">
        <v>0.1684101316</v>
      </c>
      <c r="S38" s="29" t="n">
        <v>0.1667933944</v>
      </c>
      <c r="T38" s="29" t="n">
        <v>0.1651921778</v>
      </c>
      <c r="U38" s="29" t="n">
        <v>0.1636063329</v>
      </c>
      <c r="V38" s="29" t="n">
        <v>0.1620357121</v>
      </c>
      <c r="W38" s="29" t="n">
        <v>0.1604801692</v>
      </c>
      <c r="X38" s="29" t="n">
        <v>0.1589395596</v>
      </c>
      <c r="Y38" s="29" t="n">
        <v>0.1574137398</v>
      </c>
      <c r="Z38" s="29" t="n">
        <v>0.1559025679</v>
      </c>
      <c r="AA38" s="29" t="n">
        <v>0.1544059033</v>
      </c>
      <c r="AB38" s="29" t="n">
        <v>0.1529236066</v>
      </c>
      <c r="AC38" s="29" t="n">
        <v>0.15145554</v>
      </c>
      <c r="AD38" s="29" t="n">
        <v>0.1500015668</v>
      </c>
      <c r="AE38" s="29" t="n">
        <v>0.1485615518</v>
      </c>
      <c r="AF38" s="29" t="n">
        <v>0.1471353609</v>
      </c>
      <c r="AG38" s="29" t="n">
        <v>0.1457228614</v>
      </c>
      <c r="AH38" s="29" t="n">
        <v>0.1443239219</v>
      </c>
      <c r="AI38" s="29" t="n">
        <v>0.1429384123</v>
      </c>
      <c r="AJ38" s="29" t="n">
        <v>0.1415662035</v>
      </c>
      <c r="AK38" s="29" t="n">
        <v>0.140207168</v>
      </c>
      <c r="AL38" s="29" t="n">
        <v>0.1388611792</v>
      </c>
      <c r="AM38" s="29" t="n">
        <v>0.1375281118</v>
      </c>
      <c r="AN38" s="29" t="n">
        <v>0.136207842</v>
      </c>
      <c r="AO38" s="29" t="n">
        <v>0.1349002467</v>
      </c>
      <c r="AP38" s="29" t="n">
        <v>0.1336052043</v>
      </c>
      <c r="AQ38" s="29" t="n">
        <v>0.1323225943</v>
      </c>
      <c r="AR38" s="29" t="n">
        <v>0.1310522974</v>
      </c>
      <c r="AS38" s="29" t="n">
        <v>0.1297941954</v>
      </c>
      <c r="AT38" s="29" t="n">
        <v>0.1285481711</v>
      </c>
      <c r="AU38" s="29" t="n">
        <v>0.1273141087</v>
      </c>
      <c r="AV38" s="29" t="n">
        <v>0.1260918932</v>
      </c>
      <c r="AW38" s="29" t="n">
        <v>0.1248814111</v>
      </c>
      <c r="AX38" s="29" t="n">
        <v>0.1236825495</v>
      </c>
      <c r="AY38" s="29" t="n">
        <v>0.122495197</v>
      </c>
      <c r="AZ38" s="29" t="n">
        <v>0.1213192431</v>
      </c>
      <c r="BA38" s="29" t="n">
        <v>0.1201545784</v>
      </c>
      <c r="BB38" s="29" t="n">
        <v>0.1190010945</v>
      </c>
      <c r="BC38" s="29" t="n">
        <v>0.1178586839</v>
      </c>
      <c r="BD38" s="29" t="n">
        <v>0.1167272406</v>
      </c>
      <c r="BE38" s="29" t="n">
        <v>0.1156066591</v>
      </c>
      <c r="BF38" s="29" t="n">
        <v>0.1144968351</v>
      </c>
      <c r="BG38" s="29" t="n">
        <v>0.1133976655</v>
      </c>
      <c r="BH38" s="29" t="n">
        <v>0.1123090479</v>
      </c>
      <c r="BI38" s="29" t="n">
        <v>0.1112308811</v>
      </c>
      <c r="BJ38" s="29" t="n">
        <v>0.1101630646</v>
      </c>
      <c r="BK38" s="29" t="n">
        <v>0.1091054992</v>
      </c>
      <c r="BL38" s="29" t="n">
        <v>0.1080580864</v>
      </c>
      <c r="BM38" s="29" t="n">
        <v>0.1070207288</v>
      </c>
      <c r="BN38" s="29" t="n">
        <v>0.1059933298</v>
      </c>
      <c r="BO38" s="29" t="n">
        <v>0.1049757938</v>
      </c>
      <c r="BP38" s="29" t="n">
        <v>0.1039680262</v>
      </c>
      <c r="BQ38" s="29" t="n">
        <v>0.1029699331</v>
      </c>
      <c r="BR38" s="29" t="n">
        <v>0.1019814218</v>
      </c>
      <c r="BS38" s="29" t="n">
        <v>0.1010024001</v>
      </c>
    </row>
    <row r="39" customFormat="false" ht="15" hidden="false" customHeight="true" outlineLevel="0" collapsed="false">
      <c r="A39" s="3" t="n">
        <v>95</v>
      </c>
      <c r="B39" s="29" t="n">
        <v>0.2145183984</v>
      </c>
      <c r="C39" s="29" t="n">
        <v>0.2127402515</v>
      </c>
      <c r="D39" s="29" t="n">
        <v>0.2109349787</v>
      </c>
      <c r="E39" s="29" t="n">
        <v>0.209095481</v>
      </c>
      <c r="F39" s="29" t="n">
        <v>0.2072308772</v>
      </c>
      <c r="G39" s="29" t="n">
        <v>0.2053657993</v>
      </c>
      <c r="H39" s="29" t="n">
        <v>0.2035175071</v>
      </c>
      <c r="I39" s="29" t="n">
        <v>0.2016858496</v>
      </c>
      <c r="J39" s="29" t="n">
        <v>0.1998706769</v>
      </c>
      <c r="K39" s="29" t="n">
        <v>0.1980718408</v>
      </c>
      <c r="L39" s="29" t="n">
        <v>0.1962891943</v>
      </c>
      <c r="M39" s="29" t="n">
        <v>0.1945225915</v>
      </c>
      <c r="N39" s="29" t="n">
        <v>0.1927718882</v>
      </c>
      <c r="O39" s="29" t="n">
        <v>0.1910369412</v>
      </c>
      <c r="P39" s="29" t="n">
        <v>0.1893176087</v>
      </c>
      <c r="Q39" s="29" t="n">
        <v>0.1876137503</v>
      </c>
      <c r="R39" s="29" t="n">
        <v>0.1859252265</v>
      </c>
      <c r="S39" s="29" t="n">
        <v>0.1842518995</v>
      </c>
      <c r="T39" s="29" t="n">
        <v>0.1825936324</v>
      </c>
      <c r="U39" s="29" t="n">
        <v>0.1809502897</v>
      </c>
      <c r="V39" s="29" t="n">
        <v>0.1793217371</v>
      </c>
      <c r="W39" s="29" t="n">
        <v>0.1777078414</v>
      </c>
      <c r="X39" s="29" t="n">
        <v>0.1761084709</v>
      </c>
      <c r="Y39" s="29" t="n">
        <v>0.1745234946</v>
      </c>
      <c r="Z39" s="29" t="n">
        <v>0.1729527832</v>
      </c>
      <c r="AA39" s="29" t="n">
        <v>0.1713962081</v>
      </c>
      <c r="AB39" s="29" t="n">
        <v>0.1698536423</v>
      </c>
      <c r="AC39" s="29" t="n">
        <v>0.1683249595</v>
      </c>
      <c r="AD39" s="29" t="n">
        <v>0.1668100348</v>
      </c>
      <c r="AE39" s="29" t="n">
        <v>0.1653087445</v>
      </c>
      <c r="AF39" s="29" t="n">
        <v>0.1638209658</v>
      </c>
      <c r="AG39" s="29" t="n">
        <v>0.1623465771</v>
      </c>
      <c r="AH39" s="29" t="n">
        <v>0.1608854579</v>
      </c>
      <c r="AI39" s="29" t="n">
        <v>0.1594374888</v>
      </c>
      <c r="AJ39" s="29" t="n">
        <v>0.1580025514</v>
      </c>
      <c r="AK39" s="29" t="n">
        <v>0.1565805285</v>
      </c>
      <c r="AL39" s="29" t="n">
        <v>0.1551713037</v>
      </c>
      <c r="AM39" s="29" t="n">
        <v>0.153774762</v>
      </c>
      <c r="AN39" s="29" t="n">
        <v>0.1523907891</v>
      </c>
      <c r="AO39" s="29" t="n">
        <v>0.151019272</v>
      </c>
      <c r="AP39" s="29" t="n">
        <v>0.1496600986</v>
      </c>
      <c r="AQ39" s="29" t="n">
        <v>0.1483131577</v>
      </c>
      <c r="AR39" s="29" t="n">
        <v>0.1469783392</v>
      </c>
      <c r="AS39" s="29" t="n">
        <v>0.1456555342</v>
      </c>
      <c r="AT39" s="29" t="n">
        <v>0.1443446344</v>
      </c>
      <c r="AU39" s="29" t="n">
        <v>0.1430455327</v>
      </c>
      <c r="AV39" s="29" t="n">
        <v>0.1417581229</v>
      </c>
      <c r="AW39" s="29" t="n">
        <v>0.1404822998</v>
      </c>
      <c r="AX39" s="29" t="n">
        <v>0.1392179591</v>
      </c>
      <c r="AY39" s="29" t="n">
        <v>0.1379649974</v>
      </c>
      <c r="AZ39" s="29" t="n">
        <v>0.1367233125</v>
      </c>
      <c r="BA39" s="29" t="n">
        <v>0.1354928027</v>
      </c>
      <c r="BB39" s="29" t="n">
        <v>0.1342733674</v>
      </c>
      <c r="BC39" s="29" t="n">
        <v>0.1330649071</v>
      </c>
      <c r="BD39" s="29" t="n">
        <v>0.131867323</v>
      </c>
      <c r="BE39" s="29" t="n">
        <v>0.1306805171</v>
      </c>
      <c r="BF39" s="29" t="n">
        <v>0.1295043924</v>
      </c>
      <c r="BG39" s="29" t="n">
        <v>0.1283388529</v>
      </c>
      <c r="BH39" s="29" t="n">
        <v>0.1271838032</v>
      </c>
      <c r="BI39" s="29" t="n">
        <v>0.126039149</v>
      </c>
      <c r="BJ39" s="29" t="n">
        <v>0.1249047966</v>
      </c>
      <c r="BK39" s="29" t="n">
        <v>0.1237806535</v>
      </c>
      <c r="BL39" s="29" t="n">
        <v>0.1226666276</v>
      </c>
      <c r="BM39" s="29" t="n">
        <v>0.1215626279</v>
      </c>
      <c r="BN39" s="29" t="n">
        <v>0.1204685643</v>
      </c>
      <c r="BO39" s="29" t="n">
        <v>0.1193843472</v>
      </c>
      <c r="BP39" s="29" t="n">
        <v>0.1183098881</v>
      </c>
      <c r="BQ39" s="29" t="n">
        <v>0.1172450991</v>
      </c>
      <c r="BR39" s="29" t="n">
        <v>0.1161898932</v>
      </c>
      <c r="BS39" s="29" t="n">
        <v>0.1151441842</v>
      </c>
    </row>
    <row r="40" customFormat="false" ht="15" hidden="false" customHeight="true" outlineLevel="0" collapsed="false">
      <c r="A40" s="3" t="n">
        <v>96</v>
      </c>
      <c r="B40" s="29" t="n">
        <v>0.2255695853</v>
      </c>
      <c r="C40" s="29" t="n">
        <v>0.2238400101</v>
      </c>
      <c r="D40" s="29" t="n">
        <v>0.2220783197</v>
      </c>
      <c r="E40" s="29" t="n">
        <v>0.2202767609</v>
      </c>
      <c r="F40" s="29" t="n">
        <v>0.2184451623</v>
      </c>
      <c r="G40" s="29" t="n">
        <v>0.2166102229</v>
      </c>
      <c r="H40" s="29" t="n">
        <v>0.2147906971</v>
      </c>
      <c r="I40" s="29" t="n">
        <v>0.2129864552</v>
      </c>
      <c r="J40" s="29" t="n">
        <v>0.211197369</v>
      </c>
      <c r="K40" s="29" t="n">
        <v>0.2094233111</v>
      </c>
      <c r="L40" s="29" t="n">
        <v>0.2076641553</v>
      </c>
      <c r="M40" s="29" t="n">
        <v>0.2059197764</v>
      </c>
      <c r="N40" s="29" t="n">
        <v>0.2041900502</v>
      </c>
      <c r="O40" s="29" t="n">
        <v>0.2024748538</v>
      </c>
      <c r="P40" s="29" t="n">
        <v>0.200774065</v>
      </c>
      <c r="Q40" s="29" t="n">
        <v>0.1990875629</v>
      </c>
      <c r="R40" s="29" t="n">
        <v>0.1974152274</v>
      </c>
      <c r="S40" s="29" t="n">
        <v>0.1957569395</v>
      </c>
      <c r="T40" s="29" t="n">
        <v>0.1941125812</v>
      </c>
      <c r="U40" s="29" t="n">
        <v>0.1924820355</v>
      </c>
      <c r="V40" s="29" t="n">
        <v>0.1908651864</v>
      </c>
      <c r="W40" s="29" t="n">
        <v>0.1892619188</v>
      </c>
      <c r="X40" s="29" t="n">
        <v>0.1876721187</v>
      </c>
      <c r="Y40" s="29" t="n">
        <v>0.1860956729</v>
      </c>
      <c r="Z40" s="29" t="n">
        <v>0.1845324693</v>
      </c>
      <c r="AA40" s="29" t="n">
        <v>0.1829823965</v>
      </c>
      <c r="AB40" s="29" t="n">
        <v>0.1814453444</v>
      </c>
      <c r="AC40" s="29" t="n">
        <v>0.1799212035</v>
      </c>
      <c r="AD40" s="29" t="n">
        <v>0.1784098654</v>
      </c>
      <c r="AE40" s="29" t="n">
        <v>0.1769112225</v>
      </c>
      <c r="AF40" s="29" t="n">
        <v>0.1754251682</v>
      </c>
      <c r="AG40" s="29" t="n">
        <v>0.1739515968</v>
      </c>
      <c r="AH40" s="29" t="n">
        <v>0.1724904034</v>
      </c>
      <c r="AI40" s="29" t="n">
        <v>0.171041484</v>
      </c>
      <c r="AJ40" s="29" t="n">
        <v>0.1696047356</v>
      </c>
      <c r="AK40" s="29" t="n">
        <v>0.1681800558</v>
      </c>
      <c r="AL40" s="29" t="n">
        <v>0.1667673433</v>
      </c>
      <c r="AM40" s="29" t="n">
        <v>0.1653664976</v>
      </c>
      <c r="AN40" s="29" t="n">
        <v>0.1639774191</v>
      </c>
      <c r="AO40" s="29" t="n">
        <v>0.1626000087</v>
      </c>
      <c r="AP40" s="29" t="n">
        <v>0.1612341687</v>
      </c>
      <c r="AQ40" s="29" t="n">
        <v>0.1598798016</v>
      </c>
      <c r="AR40" s="29" t="n">
        <v>0.1585368113</v>
      </c>
      <c r="AS40" s="29" t="n">
        <v>0.1572051021</v>
      </c>
      <c r="AT40" s="29" t="n">
        <v>0.1558845792</v>
      </c>
      <c r="AU40" s="29" t="n">
        <v>0.1545751488</v>
      </c>
      <c r="AV40" s="29" t="n">
        <v>0.1532767175</v>
      </c>
      <c r="AW40" s="29" t="n">
        <v>0.1519891931</v>
      </c>
      <c r="AX40" s="29" t="n">
        <v>0.1507124839</v>
      </c>
      <c r="AY40" s="29" t="n">
        <v>0.149446499</v>
      </c>
      <c r="AZ40" s="29" t="n">
        <v>0.1481911484</v>
      </c>
      <c r="BA40" s="29" t="n">
        <v>0.1469463428</v>
      </c>
      <c r="BB40" s="29" t="n">
        <v>0.1457119935</v>
      </c>
      <c r="BC40" s="29" t="n">
        <v>0.1444880127</v>
      </c>
      <c r="BD40" s="29" t="n">
        <v>0.1432743134</v>
      </c>
      <c r="BE40" s="29" t="n">
        <v>0.1420708092</v>
      </c>
      <c r="BF40" s="29" t="n">
        <v>0.1408774144</v>
      </c>
      <c r="BG40" s="29" t="n">
        <v>0.1396940441</v>
      </c>
      <c r="BH40" s="29" t="n">
        <v>0.1385206142</v>
      </c>
      <c r="BI40" s="29" t="n">
        <v>0.137357041</v>
      </c>
      <c r="BJ40" s="29" t="n">
        <v>0.1362032419</v>
      </c>
      <c r="BK40" s="29" t="n">
        <v>0.1350591346</v>
      </c>
      <c r="BL40" s="29" t="n">
        <v>0.1339246379</v>
      </c>
      <c r="BM40" s="29" t="n">
        <v>0.1327996709</v>
      </c>
      <c r="BN40" s="29" t="n">
        <v>0.1316841537</v>
      </c>
      <c r="BO40" s="29" t="n">
        <v>0.1305780068</v>
      </c>
      <c r="BP40" s="29" t="n">
        <v>0.1294811515</v>
      </c>
      <c r="BQ40" s="29" t="n">
        <v>0.1283935099</v>
      </c>
      <c r="BR40" s="29" t="n">
        <v>0.1273150044</v>
      </c>
      <c r="BS40" s="29" t="n">
        <v>0.1262455584</v>
      </c>
    </row>
    <row r="41" customFormat="false" ht="15" hidden="false" customHeight="true" outlineLevel="0" collapsed="false">
      <c r="A41" s="3" t="n">
        <v>97</v>
      </c>
      <c r="B41" s="29" t="n">
        <v>0.2356878942</v>
      </c>
      <c r="C41" s="29" t="n">
        <v>0.2340250651</v>
      </c>
      <c r="D41" s="29" t="n">
        <v>0.2323257244</v>
      </c>
      <c r="E41" s="29" t="n">
        <v>0.2305815607</v>
      </c>
      <c r="F41" s="29" t="n">
        <v>0.2288029579</v>
      </c>
      <c r="G41" s="29" t="n">
        <v>0.2270182948</v>
      </c>
      <c r="H41" s="29" t="n">
        <v>0.2252475521</v>
      </c>
      <c r="I41" s="29" t="n">
        <v>0.2234906212</v>
      </c>
      <c r="J41" s="29" t="n">
        <v>0.2217473944</v>
      </c>
      <c r="K41" s="29" t="n">
        <v>0.2200177647</v>
      </c>
      <c r="L41" s="29" t="n">
        <v>0.2183016261</v>
      </c>
      <c r="M41" s="29" t="n">
        <v>0.2165988734</v>
      </c>
      <c r="N41" s="29" t="n">
        <v>0.2149094022</v>
      </c>
      <c r="O41" s="29" t="n">
        <v>0.2132331089</v>
      </c>
      <c r="P41" s="29" t="n">
        <v>0.2115698906</v>
      </c>
      <c r="Q41" s="29" t="n">
        <v>0.2099196455</v>
      </c>
      <c r="R41" s="29" t="n">
        <v>0.2082822723</v>
      </c>
      <c r="S41" s="29" t="n">
        <v>0.2066576705</v>
      </c>
      <c r="T41" s="29" t="n">
        <v>0.2050457407</v>
      </c>
      <c r="U41" s="29" t="n">
        <v>0.2034463839</v>
      </c>
      <c r="V41" s="29" t="n">
        <v>0.2018595021</v>
      </c>
      <c r="W41" s="29" t="n">
        <v>0.200284998</v>
      </c>
      <c r="X41" s="29" t="n">
        <v>0.198722775</v>
      </c>
      <c r="Y41" s="29" t="n">
        <v>0.1971727374</v>
      </c>
      <c r="Z41" s="29" t="n">
        <v>0.19563479</v>
      </c>
      <c r="AA41" s="29" t="n">
        <v>0.1941088387</v>
      </c>
      <c r="AB41" s="29" t="n">
        <v>0.1925947897</v>
      </c>
      <c r="AC41" s="29" t="n">
        <v>0.1910925504</v>
      </c>
      <c r="AD41" s="29" t="n">
        <v>0.1896020285</v>
      </c>
      <c r="AE41" s="29" t="n">
        <v>0.1881231327</v>
      </c>
      <c r="AF41" s="29" t="n">
        <v>0.1866557722</v>
      </c>
      <c r="AG41" s="29" t="n">
        <v>0.1851998572</v>
      </c>
      <c r="AH41" s="29" t="n">
        <v>0.1837552983</v>
      </c>
      <c r="AI41" s="29" t="n">
        <v>0.182322007</v>
      </c>
      <c r="AJ41" s="29" t="n">
        <v>0.1808998953</v>
      </c>
      <c r="AK41" s="29" t="n">
        <v>0.1794888761</v>
      </c>
      <c r="AL41" s="29" t="n">
        <v>0.1780888629</v>
      </c>
      <c r="AM41" s="29" t="n">
        <v>0.1766997698</v>
      </c>
      <c r="AN41" s="29" t="n">
        <v>0.1753215116</v>
      </c>
      <c r="AO41" s="29" t="n">
        <v>0.1739540038</v>
      </c>
      <c r="AP41" s="29" t="n">
        <v>0.1725971626</v>
      </c>
      <c r="AQ41" s="29" t="n">
        <v>0.1712509047</v>
      </c>
      <c r="AR41" s="29" t="n">
        <v>0.1699151476</v>
      </c>
      <c r="AS41" s="29" t="n">
        <v>0.1685898095</v>
      </c>
      <c r="AT41" s="29" t="n">
        <v>0.167274809</v>
      </c>
      <c r="AU41" s="29" t="n">
        <v>0.1659700655</v>
      </c>
      <c r="AV41" s="29" t="n">
        <v>0.1646754989</v>
      </c>
      <c r="AW41" s="29" t="n">
        <v>0.1633910301</v>
      </c>
      <c r="AX41" s="29" t="n">
        <v>0.16211658</v>
      </c>
      <c r="AY41" s="29" t="n">
        <v>0.1608520707</v>
      </c>
      <c r="AZ41" s="29" t="n">
        <v>0.1595974245</v>
      </c>
      <c r="BA41" s="29" t="n">
        <v>0.1583525646</v>
      </c>
      <c r="BB41" s="29" t="n">
        <v>0.1571174146</v>
      </c>
      <c r="BC41" s="29" t="n">
        <v>0.1558918988</v>
      </c>
      <c r="BD41" s="29" t="n">
        <v>0.154675942</v>
      </c>
      <c r="BE41" s="29" t="n">
        <v>0.1534694696</v>
      </c>
      <c r="BF41" s="29" t="n">
        <v>0.1522724078</v>
      </c>
      <c r="BG41" s="29" t="n">
        <v>0.151084683</v>
      </c>
      <c r="BH41" s="29" t="n">
        <v>0.1499062225</v>
      </c>
      <c r="BI41" s="29" t="n">
        <v>0.1487369539</v>
      </c>
      <c r="BJ41" s="29" t="n">
        <v>0.1475768057</v>
      </c>
      <c r="BK41" s="29" t="n">
        <v>0.1464257066</v>
      </c>
      <c r="BL41" s="29" t="n">
        <v>0.1452835861</v>
      </c>
      <c r="BM41" s="29" t="n">
        <v>0.1441503741</v>
      </c>
      <c r="BN41" s="29" t="n">
        <v>0.1430260012</v>
      </c>
      <c r="BO41" s="29" t="n">
        <v>0.1419103984</v>
      </c>
      <c r="BP41" s="29" t="n">
        <v>0.1408034973</v>
      </c>
      <c r="BQ41" s="29" t="n">
        <v>0.13970523</v>
      </c>
      <c r="BR41" s="29" t="n">
        <v>0.1386155292</v>
      </c>
      <c r="BS41" s="29" t="n">
        <v>0.1375343281</v>
      </c>
    </row>
    <row r="42" customFormat="false" ht="15" hidden="false" customHeight="true" outlineLevel="0" collapsed="false">
      <c r="A42" s="3" t="n">
        <v>98</v>
      </c>
      <c r="B42" s="29" t="n">
        <v>0.2451706116</v>
      </c>
      <c r="C42" s="29" t="n">
        <v>0.2435882811</v>
      </c>
      <c r="D42" s="29" t="n">
        <v>0.2419658661</v>
      </c>
      <c r="E42" s="29" t="n">
        <v>0.2402946254</v>
      </c>
      <c r="F42" s="29" t="n">
        <v>0.2385853111</v>
      </c>
      <c r="G42" s="29" t="n">
        <v>0.2368674968</v>
      </c>
      <c r="H42" s="29" t="n">
        <v>0.2351620508</v>
      </c>
      <c r="I42" s="29" t="n">
        <v>0.2334688841</v>
      </c>
      <c r="J42" s="29" t="n">
        <v>0.2317879081</v>
      </c>
      <c r="K42" s="29" t="n">
        <v>0.2301190352</v>
      </c>
      <c r="L42" s="29" t="n">
        <v>0.2284621781</v>
      </c>
      <c r="M42" s="29" t="n">
        <v>0.2268172504</v>
      </c>
      <c r="N42" s="29" t="n">
        <v>0.2251841662</v>
      </c>
      <c r="O42" s="29" t="n">
        <v>0.2235628402</v>
      </c>
      <c r="P42" s="29" t="n">
        <v>0.2219531878</v>
      </c>
      <c r="Q42" s="29" t="n">
        <v>0.2203551248</v>
      </c>
      <c r="R42" s="29" t="n">
        <v>0.2187685679</v>
      </c>
      <c r="S42" s="29" t="n">
        <v>0.2171934342</v>
      </c>
      <c r="T42" s="29" t="n">
        <v>0.2156296415</v>
      </c>
      <c r="U42" s="29" t="n">
        <v>0.2140771081</v>
      </c>
      <c r="V42" s="29" t="n">
        <v>0.2125357529</v>
      </c>
      <c r="W42" s="29" t="n">
        <v>0.2110054955</v>
      </c>
      <c r="X42" s="29" t="n">
        <v>0.2094862559</v>
      </c>
      <c r="Y42" s="29" t="n">
        <v>0.2079779549</v>
      </c>
      <c r="Z42" s="29" t="n">
        <v>0.2064805136</v>
      </c>
      <c r="AA42" s="29" t="n">
        <v>0.2049938539</v>
      </c>
      <c r="AB42" s="29" t="n">
        <v>0.2035178982</v>
      </c>
      <c r="AC42" s="29" t="n">
        <v>0.2020525693</v>
      </c>
      <c r="AD42" s="29" t="n">
        <v>0.2005977908</v>
      </c>
      <c r="AE42" s="29" t="n">
        <v>0.1991534867</v>
      </c>
      <c r="AF42" s="29" t="n">
        <v>0.1977195816</v>
      </c>
      <c r="AG42" s="29" t="n">
        <v>0.1962960006</v>
      </c>
      <c r="AH42" s="29" t="n">
        <v>0.1948826694</v>
      </c>
      <c r="AI42" s="29" t="n">
        <v>0.1934795142</v>
      </c>
      <c r="AJ42" s="29" t="n">
        <v>0.1920864617</v>
      </c>
      <c r="AK42" s="29" t="n">
        <v>0.1907034392</v>
      </c>
      <c r="AL42" s="29" t="n">
        <v>0.1893303744</v>
      </c>
      <c r="AM42" s="29" t="n">
        <v>0.1879671957</v>
      </c>
      <c r="AN42" s="29" t="n">
        <v>0.1866138319</v>
      </c>
      <c r="AO42" s="29" t="n">
        <v>0.1852702123</v>
      </c>
      <c r="AP42" s="29" t="n">
        <v>0.1839362668</v>
      </c>
      <c r="AQ42" s="29" t="n">
        <v>0.1826119257</v>
      </c>
      <c r="AR42" s="29" t="n">
        <v>0.1812971198</v>
      </c>
      <c r="AS42" s="29" t="n">
        <v>0.1799917805</v>
      </c>
      <c r="AT42" s="29" t="n">
        <v>0.1786958397</v>
      </c>
      <c r="AU42" s="29" t="n">
        <v>0.1774092297</v>
      </c>
      <c r="AV42" s="29" t="n">
        <v>0.1761318832</v>
      </c>
      <c r="AW42" s="29" t="n">
        <v>0.1748637337</v>
      </c>
      <c r="AX42" s="29" t="n">
        <v>0.1736047148</v>
      </c>
      <c r="AY42" s="29" t="n">
        <v>0.1723547608</v>
      </c>
      <c r="AZ42" s="29" t="n">
        <v>0.1711138065</v>
      </c>
      <c r="BA42" s="29" t="n">
        <v>0.1698817871</v>
      </c>
      <c r="BB42" s="29" t="n">
        <v>0.1686586383</v>
      </c>
      <c r="BC42" s="29" t="n">
        <v>0.1674442961</v>
      </c>
      <c r="BD42" s="29" t="n">
        <v>0.1662386971</v>
      </c>
      <c r="BE42" s="29" t="n">
        <v>0.1650417785</v>
      </c>
      <c r="BF42" s="29" t="n">
        <v>0.1638534777</v>
      </c>
      <c r="BG42" s="29" t="n">
        <v>0.1626737327</v>
      </c>
      <c r="BH42" s="29" t="n">
        <v>0.1615024818</v>
      </c>
      <c r="BI42" s="29" t="n">
        <v>0.1603396639</v>
      </c>
      <c r="BJ42" s="29" t="n">
        <v>0.1591852184</v>
      </c>
      <c r="BK42" s="29" t="n">
        <v>0.1580390848</v>
      </c>
      <c r="BL42" s="29" t="n">
        <v>0.1569012034</v>
      </c>
      <c r="BM42" s="29" t="n">
        <v>0.1557715147</v>
      </c>
      <c r="BN42" s="29" t="n">
        <v>0.1546499598</v>
      </c>
      <c r="BO42" s="29" t="n">
        <v>0.1535364801</v>
      </c>
      <c r="BP42" s="29" t="n">
        <v>0.1524310174</v>
      </c>
      <c r="BQ42" s="29" t="n">
        <v>0.1513335141</v>
      </c>
      <c r="BR42" s="29" t="n">
        <v>0.1502439128</v>
      </c>
      <c r="BS42" s="29" t="n">
        <v>0.1491621566</v>
      </c>
    </row>
    <row r="43" customFormat="false" ht="15" hidden="false" customHeight="true" outlineLevel="0" collapsed="false">
      <c r="A43" s="3" t="n">
        <v>99</v>
      </c>
      <c r="B43" s="29" t="n">
        <v>0.2543226344</v>
      </c>
      <c r="C43" s="29" t="n">
        <v>0.2528307479</v>
      </c>
      <c r="D43" s="29" t="n">
        <v>0.251296256</v>
      </c>
      <c r="E43" s="29" t="n">
        <v>0.2497101521</v>
      </c>
      <c r="F43" s="29" t="n">
        <v>0.2480833361</v>
      </c>
      <c r="G43" s="29" t="n">
        <v>0.2464459861</v>
      </c>
      <c r="H43" s="29" t="n">
        <v>0.2448194426</v>
      </c>
      <c r="I43" s="29" t="n">
        <v>0.2432036343</v>
      </c>
      <c r="J43" s="29" t="n">
        <v>0.2415984903</v>
      </c>
      <c r="K43" s="29" t="n">
        <v>0.2400039402</v>
      </c>
      <c r="L43" s="29" t="n">
        <v>0.2384199142</v>
      </c>
      <c r="M43" s="29" t="n">
        <v>0.2368463428</v>
      </c>
      <c r="N43" s="29" t="n">
        <v>0.2352831569</v>
      </c>
      <c r="O43" s="29" t="n">
        <v>0.2337302881</v>
      </c>
      <c r="P43" s="29" t="n">
        <v>0.2321876682</v>
      </c>
      <c r="Q43" s="29" t="n">
        <v>0.2306552296</v>
      </c>
      <c r="R43" s="29" t="n">
        <v>0.2291329051</v>
      </c>
      <c r="S43" s="29" t="n">
        <v>0.2276206279</v>
      </c>
      <c r="T43" s="29" t="n">
        <v>0.2261183318</v>
      </c>
      <c r="U43" s="29" t="n">
        <v>0.2246259508</v>
      </c>
      <c r="V43" s="29" t="n">
        <v>0.2231434195</v>
      </c>
      <c r="W43" s="29" t="n">
        <v>0.2216706729</v>
      </c>
      <c r="X43" s="29" t="n">
        <v>0.2202076465</v>
      </c>
      <c r="Y43" s="29" t="n">
        <v>0.218754276</v>
      </c>
      <c r="Z43" s="29" t="n">
        <v>0.2173104978</v>
      </c>
      <c r="AA43" s="29" t="n">
        <v>0.2158762485</v>
      </c>
      <c r="AB43" s="29" t="n">
        <v>0.2144514653</v>
      </c>
      <c r="AC43" s="29" t="n">
        <v>0.2130360856</v>
      </c>
      <c r="AD43" s="29" t="n">
        <v>0.2116300474</v>
      </c>
      <c r="AE43" s="29" t="n">
        <v>0.2102332891</v>
      </c>
      <c r="AF43" s="29" t="n">
        <v>0.2088457494</v>
      </c>
      <c r="AG43" s="29" t="n">
        <v>0.2074673675</v>
      </c>
      <c r="AH43" s="29" t="n">
        <v>0.2060980828</v>
      </c>
      <c r="AI43" s="29" t="n">
        <v>0.2047378355</v>
      </c>
      <c r="AJ43" s="29" t="n">
        <v>0.2033865658</v>
      </c>
      <c r="AK43" s="29" t="n">
        <v>0.2020442144</v>
      </c>
      <c r="AL43" s="29" t="n">
        <v>0.2007107226</v>
      </c>
      <c r="AM43" s="29" t="n">
        <v>0.1993860319</v>
      </c>
      <c r="AN43" s="29" t="n">
        <v>0.1980700841</v>
      </c>
      <c r="AO43" s="29" t="n">
        <v>0.1967628215</v>
      </c>
      <c r="AP43" s="29" t="n">
        <v>0.1954641869</v>
      </c>
      <c r="AQ43" s="29" t="n">
        <v>0.1941741232</v>
      </c>
      <c r="AR43" s="29" t="n">
        <v>0.192892574</v>
      </c>
      <c r="AS43" s="29" t="n">
        <v>0.191619483</v>
      </c>
      <c r="AT43" s="29" t="n">
        <v>0.1903547945</v>
      </c>
      <c r="AU43" s="29" t="n">
        <v>0.1890984528</v>
      </c>
      <c r="AV43" s="29" t="n">
        <v>0.187850403</v>
      </c>
      <c r="AW43" s="29" t="n">
        <v>0.1866105904</v>
      </c>
      <c r="AX43" s="29" t="n">
        <v>0.1853789605</v>
      </c>
      <c r="AY43" s="29" t="n">
        <v>0.1841554593</v>
      </c>
      <c r="AZ43" s="29" t="n">
        <v>0.1829400333</v>
      </c>
      <c r="BA43" s="29" t="n">
        <v>0.1817326291</v>
      </c>
      <c r="BB43" s="29" t="n">
        <v>0.1805331937</v>
      </c>
      <c r="BC43" s="29" t="n">
        <v>0.1793416746</v>
      </c>
      <c r="BD43" s="29" t="n">
        <v>0.1781580196</v>
      </c>
      <c r="BE43" s="29" t="n">
        <v>0.1769821767</v>
      </c>
      <c r="BF43" s="29" t="n">
        <v>0.1758140943</v>
      </c>
      <c r="BG43" s="29" t="n">
        <v>0.1746537213</v>
      </c>
      <c r="BH43" s="29" t="n">
        <v>0.1735010067</v>
      </c>
      <c r="BI43" s="29" t="n">
        <v>0.1723559001</v>
      </c>
      <c r="BJ43" s="29" t="n">
        <v>0.1712183511</v>
      </c>
      <c r="BK43" s="29" t="n">
        <v>0.17008831</v>
      </c>
      <c r="BL43" s="29" t="n">
        <v>0.1689657272</v>
      </c>
      <c r="BM43" s="29" t="n">
        <v>0.1678505534</v>
      </c>
      <c r="BN43" s="29" t="n">
        <v>0.1667427397</v>
      </c>
      <c r="BO43" s="29" t="n">
        <v>0.1656422376</v>
      </c>
      <c r="BP43" s="29" t="n">
        <v>0.1645489989</v>
      </c>
      <c r="BQ43" s="29" t="n">
        <v>0.1634629755</v>
      </c>
      <c r="BR43" s="29" t="n">
        <v>0.1623841198</v>
      </c>
      <c r="BS43" s="29" t="n">
        <v>0.1613123846</v>
      </c>
    </row>
    <row r="44" customFormat="false" ht="15" hidden="false" customHeight="true" outlineLevel="0" collapsed="false">
      <c r="A44" s="3" t="n">
        <v>100</v>
      </c>
      <c r="B44" s="29" t="n">
        <v>0.2634633249</v>
      </c>
      <c r="C44" s="29" t="n">
        <v>0.2620686027</v>
      </c>
      <c r="D44" s="29" t="n">
        <v>0.2606300384</v>
      </c>
      <c r="E44" s="29" t="n">
        <v>0.2591385663</v>
      </c>
      <c r="F44" s="29" t="n">
        <v>0.2576049764</v>
      </c>
      <c r="G44" s="29" t="n">
        <v>0.2560593465</v>
      </c>
      <c r="H44" s="29" t="n">
        <v>0.2545229904</v>
      </c>
      <c r="I44" s="29" t="n">
        <v>0.2529958525</v>
      </c>
      <c r="J44" s="29" t="n">
        <v>0.2514778774</v>
      </c>
      <c r="K44" s="29" t="n">
        <v>0.2499690101</v>
      </c>
      <c r="L44" s="29" t="n">
        <v>0.2484691961</v>
      </c>
      <c r="M44" s="29" t="n">
        <v>0.2469783809</v>
      </c>
      <c r="N44" s="29" t="n">
        <v>0.2454965106</v>
      </c>
      <c r="O44" s="29" t="n">
        <v>0.2440235315</v>
      </c>
      <c r="P44" s="29" t="n">
        <v>0.2425593903</v>
      </c>
      <c r="Q44" s="29" t="n">
        <v>0.241104034</v>
      </c>
      <c r="R44" s="29" t="n">
        <v>0.2396574098</v>
      </c>
      <c r="S44" s="29" t="n">
        <v>0.2382194653</v>
      </c>
      <c r="T44" s="29" t="n">
        <v>0.2367901486</v>
      </c>
      <c r="U44" s="29" t="n">
        <v>0.2353694077</v>
      </c>
      <c r="V44" s="29" t="n">
        <v>0.2339571912</v>
      </c>
      <c r="W44" s="29" t="n">
        <v>0.2325534481</v>
      </c>
      <c r="X44" s="29" t="n">
        <v>0.2311581274</v>
      </c>
      <c r="Y44" s="29" t="n">
        <v>0.2297711786</v>
      </c>
      <c r="Z44" s="29" t="n">
        <v>0.2283925515</v>
      </c>
      <c r="AA44" s="29" t="n">
        <v>0.2270221962</v>
      </c>
      <c r="AB44" s="29" t="n">
        <v>0.2256600631</v>
      </c>
      <c r="AC44" s="29" t="n">
        <v>0.2243061027</v>
      </c>
      <c r="AD44" s="29" t="n">
        <v>0.2229602661</v>
      </c>
      <c r="AE44" s="29" t="n">
        <v>0.2216225045</v>
      </c>
      <c r="AF44" s="29" t="n">
        <v>0.2202927694</v>
      </c>
      <c r="AG44" s="29" t="n">
        <v>0.2189710128</v>
      </c>
      <c r="AH44" s="29" t="n">
        <v>0.2176571867</v>
      </c>
      <c r="AI44" s="29" t="n">
        <v>0.2163512436</v>
      </c>
      <c r="AJ44" s="29" t="n">
        <v>0.2150531362</v>
      </c>
      <c r="AK44" s="29" t="n">
        <v>0.2137628173</v>
      </c>
      <c r="AL44" s="29" t="n">
        <v>0.2124802404</v>
      </c>
      <c r="AM44" s="29" t="n">
        <v>0.211205359</v>
      </c>
      <c r="AN44" s="29" t="n">
        <v>0.2099381268</v>
      </c>
      <c r="AO44" s="29" t="n">
        <v>0.2086784981</v>
      </c>
      <c r="AP44" s="29" t="n">
        <v>0.2074264271</v>
      </c>
      <c r="AQ44" s="29" t="n">
        <v>0.2061818685</v>
      </c>
      <c r="AR44" s="29" t="n">
        <v>0.2049447773</v>
      </c>
      <c r="AS44" s="29" t="n">
        <v>0.2037151087</v>
      </c>
      <c r="AT44" s="29" t="n">
        <v>0.202492818</v>
      </c>
      <c r="AU44" s="29" t="n">
        <v>0.2012778611</v>
      </c>
      <c r="AV44" s="29" t="n">
        <v>0.2000701939</v>
      </c>
      <c r="AW44" s="29" t="n">
        <v>0.1988697728</v>
      </c>
      <c r="AX44" s="29" t="n">
        <v>0.1976765541</v>
      </c>
      <c r="AY44" s="29" t="n">
        <v>0.1964904948</v>
      </c>
      <c r="AZ44" s="29" t="n">
        <v>0.1953115518</v>
      </c>
      <c r="BA44" s="29" t="n">
        <v>0.1941396825</v>
      </c>
      <c r="BB44" s="29" t="n">
        <v>0.1929748444</v>
      </c>
      <c r="BC44" s="29" t="n">
        <v>0.1918169954</v>
      </c>
      <c r="BD44" s="29" t="n">
        <v>0.1906660934</v>
      </c>
      <c r="BE44" s="29" t="n">
        <v>0.1895220968</v>
      </c>
      <c r="BF44" s="29" t="n">
        <v>0.1883849642</v>
      </c>
      <c r="BG44" s="29" t="n">
        <v>0.1872546545</v>
      </c>
      <c r="BH44" s="29" t="n">
        <v>0.1861311265</v>
      </c>
      <c r="BI44" s="29" t="n">
        <v>0.1850143398</v>
      </c>
      <c r="BJ44" s="29" t="n">
        <v>0.1839042537</v>
      </c>
      <c r="BK44" s="29" t="n">
        <v>0.1828008282</v>
      </c>
      <c r="BL44" s="29" t="n">
        <v>0.1817040232</v>
      </c>
      <c r="BM44" s="29" t="n">
        <v>0.1806137991</v>
      </c>
      <c r="BN44" s="29" t="n">
        <v>0.1795301163</v>
      </c>
      <c r="BO44" s="29" t="n">
        <v>0.1784529356</v>
      </c>
      <c r="BP44" s="29" t="n">
        <v>0.177382218</v>
      </c>
      <c r="BQ44" s="29" t="n">
        <v>0.1763179247</v>
      </c>
      <c r="BR44" s="29" t="n">
        <v>0.1752600171</v>
      </c>
      <c r="BS44" s="29" t="n">
        <v>0.174208457</v>
      </c>
    </row>
    <row r="45" customFormat="false" ht="15" hidden="false" customHeight="true" outlineLevel="0" collapsed="false">
      <c r="A45" s="3" t="n">
        <v>101</v>
      </c>
      <c r="B45" s="29" t="n">
        <v>0.2729518909</v>
      </c>
      <c r="C45" s="29" t="n">
        <v>0.2716583021</v>
      </c>
      <c r="D45" s="29" t="n">
        <v>0.2703211618</v>
      </c>
      <c r="E45" s="29" t="n">
        <v>0.2689315969</v>
      </c>
      <c r="F45" s="29" t="n">
        <v>0.2674999916</v>
      </c>
      <c r="G45" s="29" t="n">
        <v>0.2660554917</v>
      </c>
      <c r="H45" s="29" t="n">
        <v>0.264618792</v>
      </c>
      <c r="I45" s="29" t="n">
        <v>0.2631898505</v>
      </c>
      <c r="J45" s="29" t="n">
        <v>0.2617686254</v>
      </c>
      <c r="K45" s="29" t="n">
        <v>0.2603550748</v>
      </c>
      <c r="L45" s="29" t="n">
        <v>0.2589491574</v>
      </c>
      <c r="M45" s="29" t="n">
        <v>0.2575508319</v>
      </c>
      <c r="N45" s="29" t="n">
        <v>0.2561600574</v>
      </c>
      <c r="O45" s="29" t="n">
        <v>0.2547767931</v>
      </c>
      <c r="P45" s="29" t="n">
        <v>0.2534009984</v>
      </c>
      <c r="Q45" s="29" t="n">
        <v>0.252032633</v>
      </c>
      <c r="R45" s="29" t="n">
        <v>0.2506716568</v>
      </c>
      <c r="S45" s="29" t="n">
        <v>0.2493180299</v>
      </c>
      <c r="T45" s="29" t="n">
        <v>0.2479717125</v>
      </c>
      <c r="U45" s="29" t="n">
        <v>0.2466326653</v>
      </c>
      <c r="V45" s="29" t="n">
        <v>0.2453008489</v>
      </c>
      <c r="W45" s="29" t="n">
        <v>0.2439762243</v>
      </c>
      <c r="X45" s="29" t="n">
        <v>0.2426587527</v>
      </c>
      <c r="Y45" s="29" t="n">
        <v>0.2413483954</v>
      </c>
      <c r="Z45" s="29" t="n">
        <v>0.2400451141</v>
      </c>
      <c r="AA45" s="29" t="n">
        <v>0.2387488705</v>
      </c>
      <c r="AB45" s="29" t="n">
        <v>0.2374596266</v>
      </c>
      <c r="AC45" s="29" t="n">
        <v>0.2361773446</v>
      </c>
      <c r="AD45" s="29" t="n">
        <v>0.2349019869</v>
      </c>
      <c r="AE45" s="29" t="n">
        <v>0.2336335162</v>
      </c>
      <c r="AF45" s="29" t="n">
        <v>0.2323718952</v>
      </c>
      <c r="AG45" s="29" t="n">
        <v>0.231117087</v>
      </c>
      <c r="AH45" s="29" t="n">
        <v>0.2298690547</v>
      </c>
      <c r="AI45" s="29" t="n">
        <v>0.2286277618</v>
      </c>
      <c r="AJ45" s="29" t="n">
        <v>0.2273931719</v>
      </c>
      <c r="AK45" s="29" t="n">
        <v>0.2261652488</v>
      </c>
      <c r="AL45" s="29" t="n">
        <v>0.2249439564</v>
      </c>
      <c r="AM45" s="29" t="n">
        <v>0.2237292591</v>
      </c>
      <c r="AN45" s="29" t="n">
        <v>0.2225211211</v>
      </c>
      <c r="AO45" s="29" t="n">
        <v>0.221319507</v>
      </c>
      <c r="AP45" s="29" t="n">
        <v>0.2201243817</v>
      </c>
      <c r="AQ45" s="29" t="n">
        <v>0.21893571</v>
      </c>
      <c r="AR45" s="29" t="n">
        <v>0.2177534572</v>
      </c>
      <c r="AS45" s="29" t="n">
        <v>0.2165775885</v>
      </c>
      <c r="AT45" s="29" t="n">
        <v>0.2154080695</v>
      </c>
      <c r="AU45" s="29" t="n">
        <v>0.214244866</v>
      </c>
      <c r="AV45" s="29" t="n">
        <v>0.2130879437</v>
      </c>
      <c r="AW45" s="29" t="n">
        <v>0.2119372688</v>
      </c>
      <c r="AX45" s="29" t="n">
        <v>0.2107928075</v>
      </c>
      <c r="AY45" s="29" t="n">
        <v>0.2096545264</v>
      </c>
      <c r="AZ45" s="29" t="n">
        <v>0.2085223919</v>
      </c>
      <c r="BA45" s="29" t="n">
        <v>0.207396371</v>
      </c>
      <c r="BB45" s="29" t="n">
        <v>0.2062764306</v>
      </c>
      <c r="BC45" s="29" t="n">
        <v>0.2051625379</v>
      </c>
      <c r="BD45" s="29" t="n">
        <v>0.2040546602</v>
      </c>
      <c r="BE45" s="29" t="n">
        <v>0.202952765</v>
      </c>
      <c r="BF45" s="29" t="n">
        <v>0.2018568201</v>
      </c>
      <c r="BG45" s="29" t="n">
        <v>0.2007667932</v>
      </c>
      <c r="BH45" s="29" t="n">
        <v>0.1996826526</v>
      </c>
      <c r="BI45" s="29" t="n">
        <v>0.1986043662</v>
      </c>
      <c r="BJ45" s="29" t="n">
        <v>0.1975319027</v>
      </c>
      <c r="BK45" s="29" t="n">
        <v>0.1964652304</v>
      </c>
      <c r="BL45" s="29" t="n">
        <v>0.1954043181</v>
      </c>
      <c r="BM45" s="29" t="n">
        <v>0.1943491348</v>
      </c>
      <c r="BN45" s="29" t="n">
        <v>0.1932996495</v>
      </c>
      <c r="BO45" s="29" t="n">
        <v>0.1922558314</v>
      </c>
      <c r="BP45" s="29" t="n">
        <v>0.1912176499</v>
      </c>
      <c r="BQ45" s="29" t="n">
        <v>0.1901850746</v>
      </c>
      <c r="BR45" s="29" t="n">
        <v>0.1891580752</v>
      </c>
      <c r="BS45" s="29" t="n">
        <v>0.1881366216</v>
      </c>
    </row>
    <row r="46" customFormat="false" ht="15" hidden="false" customHeight="true" outlineLevel="0" collapsed="false">
      <c r="A46" s="3" t="n">
        <v>102</v>
      </c>
      <c r="B46" s="29" t="n">
        <v>0.2832316721</v>
      </c>
      <c r="C46" s="29" t="n">
        <v>0.2820407883</v>
      </c>
      <c r="D46" s="29" t="n">
        <v>0.2808084341</v>
      </c>
      <c r="E46" s="29" t="n">
        <v>0.2795262337</v>
      </c>
      <c r="F46" s="29" t="n">
        <v>0.2782038246</v>
      </c>
      <c r="G46" s="29" t="n">
        <v>0.2768684463</v>
      </c>
      <c r="H46" s="29" t="n">
        <v>0.2755394777</v>
      </c>
      <c r="I46" s="29" t="n">
        <v>0.2742168882</v>
      </c>
      <c r="J46" s="29" t="n">
        <v>0.2729006472</v>
      </c>
      <c r="K46" s="29" t="n">
        <v>0.2715907241</v>
      </c>
      <c r="L46" s="29" t="n">
        <v>0.2702870886</v>
      </c>
      <c r="M46" s="29" t="n">
        <v>0.2689897106</v>
      </c>
      <c r="N46" s="29" t="n">
        <v>0.26769856</v>
      </c>
      <c r="O46" s="29" t="n">
        <v>0.2664136069</v>
      </c>
      <c r="P46" s="29" t="n">
        <v>0.2651348216</v>
      </c>
      <c r="Q46" s="29" t="n">
        <v>0.2638621744</v>
      </c>
      <c r="R46" s="29" t="n">
        <v>0.262595636</v>
      </c>
      <c r="S46" s="29" t="n">
        <v>0.2613351769</v>
      </c>
      <c r="T46" s="29" t="n">
        <v>0.2600807681</v>
      </c>
      <c r="U46" s="29" t="n">
        <v>0.2588323804</v>
      </c>
      <c r="V46" s="29" t="n">
        <v>0.257589985</v>
      </c>
      <c r="W46" s="29" t="n">
        <v>0.256353553</v>
      </c>
      <c r="X46" s="29" t="n">
        <v>0.255123056</v>
      </c>
      <c r="Y46" s="29" t="n">
        <v>0.2538984653</v>
      </c>
      <c r="Z46" s="29" t="n">
        <v>0.2526797527</v>
      </c>
      <c r="AA46" s="29" t="n">
        <v>0.2514668899</v>
      </c>
      <c r="AB46" s="29" t="n">
        <v>0.2502598488</v>
      </c>
      <c r="AC46" s="29" t="n">
        <v>0.2490586015</v>
      </c>
      <c r="AD46" s="29" t="n">
        <v>0.2478631202</v>
      </c>
      <c r="AE46" s="29" t="n">
        <v>0.2466733773</v>
      </c>
      <c r="AF46" s="29" t="n">
        <v>0.245489345</v>
      </c>
      <c r="AG46" s="29" t="n">
        <v>0.2443109962</v>
      </c>
      <c r="AH46" s="29" t="n">
        <v>0.2431383034</v>
      </c>
      <c r="AI46" s="29" t="n">
        <v>0.2419712395</v>
      </c>
      <c r="AJ46" s="29" t="n">
        <v>0.2408097776</v>
      </c>
      <c r="AK46" s="29" t="n">
        <v>0.2396538907</v>
      </c>
      <c r="AL46" s="29" t="n">
        <v>0.238503552</v>
      </c>
      <c r="AM46" s="29" t="n">
        <v>0.2373587349</v>
      </c>
      <c r="AN46" s="29" t="n">
        <v>0.236219413</v>
      </c>
      <c r="AO46" s="29" t="n">
        <v>0.2350855598</v>
      </c>
      <c r="AP46" s="29" t="n">
        <v>0.2339571491</v>
      </c>
      <c r="AQ46" s="29" t="n">
        <v>0.2328341548</v>
      </c>
      <c r="AR46" s="29" t="n">
        <v>0.2317165509</v>
      </c>
      <c r="AS46" s="29" t="n">
        <v>0.2306043114</v>
      </c>
      <c r="AT46" s="29" t="n">
        <v>0.2294974107</v>
      </c>
      <c r="AU46" s="29" t="n">
        <v>0.2283958232</v>
      </c>
      <c r="AV46" s="29" t="n">
        <v>0.2272995232</v>
      </c>
      <c r="AW46" s="29" t="n">
        <v>0.2262084855</v>
      </c>
      <c r="AX46" s="29" t="n">
        <v>0.2251226848</v>
      </c>
      <c r="AY46" s="29" t="n">
        <v>0.2240420959</v>
      </c>
      <c r="AZ46" s="29" t="n">
        <v>0.2229666938</v>
      </c>
      <c r="BA46" s="29" t="n">
        <v>0.2218964537</v>
      </c>
      <c r="BB46" s="29" t="n">
        <v>0.2208313507</v>
      </c>
      <c r="BC46" s="29" t="n">
        <v>0.2197713602</v>
      </c>
      <c r="BD46" s="29" t="n">
        <v>0.2187164577</v>
      </c>
      <c r="BE46" s="29" t="n">
        <v>0.2176666187</v>
      </c>
      <c r="BF46" s="29" t="n">
        <v>0.2166218189</v>
      </c>
      <c r="BG46" s="29" t="n">
        <v>0.2155820342</v>
      </c>
      <c r="BH46" s="29" t="n">
        <v>0.2145472405</v>
      </c>
      <c r="BI46" s="29" t="n">
        <v>0.2135174137</v>
      </c>
      <c r="BJ46" s="29" t="n">
        <v>0.2124925301</v>
      </c>
      <c r="BK46" s="29" t="n">
        <v>0.211472566</v>
      </c>
      <c r="BL46" s="29" t="n">
        <v>0.2104574976</v>
      </c>
      <c r="BM46" s="29" t="n">
        <v>0.2094473017</v>
      </c>
      <c r="BN46" s="29" t="n">
        <v>0.2084419546</v>
      </c>
      <c r="BO46" s="29" t="n">
        <v>0.2074414332</v>
      </c>
      <c r="BP46" s="29" t="n">
        <v>0.2064457144</v>
      </c>
      <c r="BQ46" s="29" t="n">
        <v>0.2054547749</v>
      </c>
      <c r="BR46" s="29" t="n">
        <v>0.204468592</v>
      </c>
      <c r="BS46" s="29" t="n">
        <v>0.2034871428</v>
      </c>
    </row>
    <row r="47" customFormat="false" ht="15" hidden="false" customHeight="true" outlineLevel="0" collapsed="false">
      <c r="A47" s="3" t="n">
        <v>103</v>
      </c>
      <c r="B47" s="29" t="n">
        <v>0.2948947733</v>
      </c>
      <c r="C47" s="29" t="n">
        <v>0.2938060424</v>
      </c>
      <c r="D47" s="29" t="n">
        <v>0.292680014</v>
      </c>
      <c r="E47" s="29" t="n">
        <v>0.2915091765</v>
      </c>
      <c r="F47" s="29" t="n">
        <v>0.290302029</v>
      </c>
      <c r="G47" s="29" t="n">
        <v>0.2890827605</v>
      </c>
      <c r="H47" s="29" t="n">
        <v>0.2878686129</v>
      </c>
      <c r="I47" s="29" t="n">
        <v>0.2866595647</v>
      </c>
      <c r="J47" s="29" t="n">
        <v>0.2854555945</v>
      </c>
      <c r="K47" s="29" t="n">
        <v>0.284256681</v>
      </c>
      <c r="L47" s="29" t="n">
        <v>0.283062803</v>
      </c>
      <c r="M47" s="29" t="n">
        <v>0.2818739392</v>
      </c>
      <c r="N47" s="29" t="n">
        <v>0.2806900686</v>
      </c>
      <c r="O47" s="29" t="n">
        <v>0.2795111704</v>
      </c>
      <c r="P47" s="29" t="n">
        <v>0.2783372234</v>
      </c>
      <c r="Q47" s="29" t="n">
        <v>0.2771682071</v>
      </c>
      <c r="R47" s="29" t="n">
        <v>0.2760041006</v>
      </c>
      <c r="S47" s="29" t="n">
        <v>0.2748448834</v>
      </c>
      <c r="T47" s="29" t="n">
        <v>0.2736905349</v>
      </c>
      <c r="U47" s="29" t="n">
        <v>0.2725410347</v>
      </c>
      <c r="V47" s="29" t="n">
        <v>0.2713963623</v>
      </c>
      <c r="W47" s="29" t="n">
        <v>0.2702564976</v>
      </c>
      <c r="X47" s="29" t="n">
        <v>0.2691214203</v>
      </c>
      <c r="Y47" s="29" t="n">
        <v>0.2679911103</v>
      </c>
      <c r="Z47" s="29" t="n">
        <v>0.2668655477</v>
      </c>
      <c r="AA47" s="29" t="n">
        <v>0.2657447124</v>
      </c>
      <c r="AB47" s="29" t="n">
        <v>0.2646285846</v>
      </c>
      <c r="AC47" s="29" t="n">
        <v>0.2635171445</v>
      </c>
      <c r="AD47" s="29" t="n">
        <v>0.2624103725</v>
      </c>
      <c r="AE47" s="29" t="n">
        <v>0.2613082489</v>
      </c>
      <c r="AF47" s="29" t="n">
        <v>0.2602107543</v>
      </c>
      <c r="AG47" s="29" t="n">
        <v>0.2591178691</v>
      </c>
      <c r="AH47" s="29" t="n">
        <v>0.2580295741</v>
      </c>
      <c r="AI47" s="29" t="n">
        <v>0.2569458499</v>
      </c>
      <c r="AJ47" s="29" t="n">
        <v>0.2558666773</v>
      </c>
      <c r="AK47" s="29" t="n">
        <v>0.2547920373</v>
      </c>
      <c r="AL47" s="29" t="n">
        <v>0.2537219107</v>
      </c>
      <c r="AM47" s="29" t="n">
        <v>0.2526562787</v>
      </c>
      <c r="AN47" s="29" t="n">
        <v>0.2515951223</v>
      </c>
      <c r="AO47" s="29" t="n">
        <v>0.2505384228</v>
      </c>
      <c r="AP47" s="29" t="n">
        <v>0.2494861614</v>
      </c>
      <c r="AQ47" s="29" t="n">
        <v>0.2484383195</v>
      </c>
      <c r="AR47" s="29" t="n">
        <v>0.2473948786</v>
      </c>
      <c r="AS47" s="29" t="n">
        <v>0.2463558201</v>
      </c>
      <c r="AT47" s="29" t="n">
        <v>0.2453211257</v>
      </c>
      <c r="AU47" s="29" t="n">
        <v>0.2442907769</v>
      </c>
      <c r="AV47" s="29" t="n">
        <v>0.2432647557</v>
      </c>
      <c r="AW47" s="29" t="n">
        <v>0.2422430437</v>
      </c>
      <c r="AX47" s="29" t="n">
        <v>0.2412256229</v>
      </c>
      <c r="AY47" s="29" t="n">
        <v>0.2402124753</v>
      </c>
      <c r="AZ47" s="29" t="n">
        <v>0.2392035829</v>
      </c>
      <c r="BA47" s="29" t="n">
        <v>0.2381989279</v>
      </c>
      <c r="BB47" s="29" t="n">
        <v>0.2371984924</v>
      </c>
      <c r="BC47" s="29" t="n">
        <v>0.2362022587</v>
      </c>
      <c r="BD47" s="29" t="n">
        <v>0.2352102092</v>
      </c>
      <c r="BE47" s="29" t="n">
        <v>0.2342223263</v>
      </c>
      <c r="BF47" s="29" t="n">
        <v>0.2332385926</v>
      </c>
      <c r="BG47" s="29" t="n">
        <v>0.2322589905</v>
      </c>
      <c r="BH47" s="29" t="n">
        <v>0.2312835027</v>
      </c>
      <c r="BI47" s="29" t="n">
        <v>0.230312112</v>
      </c>
      <c r="BJ47" s="29" t="n">
        <v>0.2293448011</v>
      </c>
      <c r="BK47" s="29" t="n">
        <v>0.228381553</v>
      </c>
      <c r="BL47" s="29" t="n">
        <v>0.2274223504</v>
      </c>
      <c r="BM47" s="29" t="n">
        <v>0.2264671766</v>
      </c>
      <c r="BN47" s="29" t="n">
        <v>0.2255160144</v>
      </c>
      <c r="BO47" s="29" t="n">
        <v>0.2245688472</v>
      </c>
      <c r="BP47" s="29" t="n">
        <v>0.223625658</v>
      </c>
      <c r="BQ47" s="29" t="n">
        <v>0.2226864302</v>
      </c>
      <c r="BR47" s="29" t="n">
        <v>0.2217511472</v>
      </c>
      <c r="BS47" s="29" t="n">
        <v>0.2208197924</v>
      </c>
    </row>
    <row r="48" customFormat="false" ht="15" hidden="false" customHeight="true" outlineLevel="0" collapsed="false">
      <c r="A48" s="3" t="n">
        <v>104</v>
      </c>
      <c r="B48" s="29" t="n">
        <v>0.2775079224</v>
      </c>
      <c r="C48" s="29" t="n">
        <v>0.276619067</v>
      </c>
      <c r="D48" s="29" t="n">
        <v>0.2757026619</v>
      </c>
      <c r="E48" s="29" t="n">
        <v>0.274753133</v>
      </c>
      <c r="F48" s="29" t="n">
        <v>0.2737766828</v>
      </c>
      <c r="G48" s="29" t="n">
        <v>0.2727910867</v>
      </c>
      <c r="H48" s="29" t="n">
        <v>0.2718090388</v>
      </c>
      <c r="I48" s="29" t="n">
        <v>0.2708305263</v>
      </c>
      <c r="J48" s="29" t="n">
        <v>0.2698555364</v>
      </c>
      <c r="K48" s="29" t="n">
        <v>0.2688840564</v>
      </c>
      <c r="L48" s="29" t="n">
        <v>0.2679160738</v>
      </c>
      <c r="M48" s="29" t="n">
        <v>0.266951576</v>
      </c>
      <c r="N48" s="29" t="n">
        <v>0.2659905503</v>
      </c>
      <c r="O48" s="29" t="n">
        <v>0.2650329843</v>
      </c>
      <c r="P48" s="29" t="n">
        <v>0.2640788656</v>
      </c>
      <c r="Q48" s="29" t="n">
        <v>0.2631281816</v>
      </c>
      <c r="R48" s="29" t="n">
        <v>0.2621809202</v>
      </c>
      <c r="S48" s="29" t="n">
        <v>0.2612370689</v>
      </c>
      <c r="T48" s="29" t="n">
        <v>0.2602966154</v>
      </c>
      <c r="U48" s="29" t="n">
        <v>0.2593595476</v>
      </c>
      <c r="V48" s="29" t="n">
        <v>0.2584258532</v>
      </c>
      <c r="W48" s="29" t="n">
        <v>0.2574955202</v>
      </c>
      <c r="X48" s="29" t="n">
        <v>0.2565685363</v>
      </c>
      <c r="Y48" s="29" t="n">
        <v>0.2556448896</v>
      </c>
      <c r="Z48" s="29" t="n">
        <v>0.254724568</v>
      </c>
      <c r="AA48" s="29" t="n">
        <v>0.2538075595</v>
      </c>
      <c r="AB48" s="29" t="n">
        <v>0.2528938523</v>
      </c>
      <c r="AC48" s="29" t="n">
        <v>0.2519834344</v>
      </c>
      <c r="AD48" s="29" t="n">
        <v>0.2510762941</v>
      </c>
      <c r="AE48" s="29" t="n">
        <v>0.2501724194</v>
      </c>
      <c r="AF48" s="29" t="n">
        <v>0.2492717987</v>
      </c>
      <c r="AG48" s="29" t="n">
        <v>0.2483744202</v>
      </c>
      <c r="AH48" s="29" t="n">
        <v>0.2474802723</v>
      </c>
      <c r="AI48" s="29" t="n">
        <v>0.2465893433</v>
      </c>
      <c r="AJ48" s="29" t="n">
        <v>0.2457016217</v>
      </c>
      <c r="AK48" s="29" t="n">
        <v>0.2448170959</v>
      </c>
      <c r="AL48" s="29" t="n">
        <v>0.2439357543</v>
      </c>
      <c r="AM48" s="29" t="n">
        <v>0.2430575856</v>
      </c>
      <c r="AN48" s="29" t="n">
        <v>0.2421825783</v>
      </c>
      <c r="AO48" s="29" t="n">
        <v>0.241310721</v>
      </c>
      <c r="AP48" s="29" t="n">
        <v>0.2404420024</v>
      </c>
      <c r="AQ48" s="29" t="n">
        <v>0.2395764112</v>
      </c>
      <c r="AR48" s="29" t="n">
        <v>0.2387139361</v>
      </c>
      <c r="AS48" s="29" t="n">
        <v>0.237854566</v>
      </c>
      <c r="AT48" s="29" t="n">
        <v>0.2369982895</v>
      </c>
      <c r="AU48" s="29" t="n">
        <v>0.2361450957</v>
      </c>
      <c r="AV48" s="29" t="n">
        <v>0.2352949733</v>
      </c>
      <c r="AW48" s="29" t="n">
        <v>0.2344479114</v>
      </c>
      <c r="AX48" s="29" t="n">
        <v>0.2336038989</v>
      </c>
      <c r="AY48" s="29" t="n">
        <v>0.2327629249</v>
      </c>
      <c r="AZ48" s="29" t="n">
        <v>0.2319249784</v>
      </c>
      <c r="BA48" s="29" t="n">
        <v>0.2310900485</v>
      </c>
      <c r="BB48" s="29" t="n">
        <v>0.2302581243</v>
      </c>
      <c r="BC48" s="29" t="n">
        <v>0.229429195</v>
      </c>
      <c r="BD48" s="29" t="n">
        <v>0.2286032499</v>
      </c>
      <c r="BE48" s="29" t="n">
        <v>0.2277802782</v>
      </c>
      <c r="BF48" s="29" t="n">
        <v>0.2269602692</v>
      </c>
      <c r="BG48" s="29" t="n">
        <v>0.2261432123</v>
      </c>
      <c r="BH48" s="29" t="n">
        <v>0.2253290967</v>
      </c>
      <c r="BI48" s="29" t="n">
        <v>0.224517912</v>
      </c>
      <c r="BJ48" s="29" t="n">
        <v>0.2237096475</v>
      </c>
      <c r="BK48" s="29" t="n">
        <v>0.2229042927</v>
      </c>
      <c r="BL48" s="29" t="n">
        <v>0.2221018373</v>
      </c>
      <c r="BM48" s="29" t="n">
        <v>0.2213022707</v>
      </c>
      <c r="BN48" s="29" t="n">
        <v>0.2205055825</v>
      </c>
      <c r="BO48" s="29" t="n">
        <v>0.2197117624</v>
      </c>
      <c r="BP48" s="29" t="n">
        <v>0.2189208001</v>
      </c>
      <c r="BQ48" s="29" t="n">
        <v>0.2181326852</v>
      </c>
      <c r="BR48" s="29" t="n">
        <v>0.2173474075</v>
      </c>
      <c r="BS48" s="29" t="n">
        <v>0.2165649568</v>
      </c>
    </row>
    <row r="49" customFormat="false" ht="15" hidden="false" customHeight="true" outlineLevel="0" collapsed="false">
      <c r="A49" s="3" t="n">
        <v>105</v>
      </c>
      <c r="B49" s="29" t="n">
        <v>0.1391868038</v>
      </c>
      <c r="C49" s="29" t="n">
        <v>0.1388055162</v>
      </c>
      <c r="D49" s="29" t="n">
        <v>0.1384152608</v>
      </c>
      <c r="E49" s="29" t="n">
        <v>0.1380141861</v>
      </c>
      <c r="F49" s="29" t="n">
        <v>0.1376043183</v>
      </c>
      <c r="G49" s="29" t="n">
        <v>0.1371915053</v>
      </c>
      <c r="H49" s="29" t="n">
        <v>0.1367799308</v>
      </c>
      <c r="I49" s="29" t="n">
        <v>0.136369591</v>
      </c>
      <c r="J49" s="29" t="n">
        <v>0.1359604822</v>
      </c>
      <c r="K49" s="29" t="n">
        <v>0.1355526008</v>
      </c>
      <c r="L49" s="29" t="n">
        <v>0.135145943</v>
      </c>
      <c r="M49" s="29" t="n">
        <v>0.1347405052</v>
      </c>
      <c r="N49" s="29" t="n">
        <v>0.1343362836</v>
      </c>
      <c r="O49" s="29" t="n">
        <v>0.1339332748</v>
      </c>
      <c r="P49" s="29" t="n">
        <v>0.133531475</v>
      </c>
      <c r="Q49" s="29" t="n">
        <v>0.1331308805</v>
      </c>
      <c r="R49" s="29" t="n">
        <v>0.1327314879</v>
      </c>
      <c r="S49" s="29" t="n">
        <v>0.1323332934</v>
      </c>
      <c r="T49" s="29" t="n">
        <v>0.1319362936</v>
      </c>
      <c r="U49" s="29" t="n">
        <v>0.1315404847</v>
      </c>
      <c r="V49" s="29" t="n">
        <v>0.1311458632</v>
      </c>
      <c r="W49" s="29" t="n">
        <v>0.1307524256</v>
      </c>
      <c r="X49" s="29" t="n">
        <v>0.1303601684</v>
      </c>
      <c r="Y49" s="29" t="n">
        <v>0.1299690879</v>
      </c>
      <c r="Z49" s="29" t="n">
        <v>0.1295791806</v>
      </c>
      <c r="AA49" s="29" t="n">
        <v>0.1291904431</v>
      </c>
      <c r="AB49" s="29" t="n">
        <v>0.1288028717</v>
      </c>
      <c r="AC49" s="29" t="n">
        <v>0.1284164631</v>
      </c>
      <c r="AD49" s="29" t="n">
        <v>0.1280312137</v>
      </c>
      <c r="AE49" s="29" t="n">
        <v>0.1276471201</v>
      </c>
      <c r="AF49" s="29" t="n">
        <v>0.1272641787</v>
      </c>
      <c r="AG49" s="29" t="n">
        <v>0.1268823862</v>
      </c>
      <c r="AH49" s="29" t="n">
        <v>0.126501739</v>
      </c>
      <c r="AI49" s="29" t="n">
        <v>0.1261222338</v>
      </c>
      <c r="AJ49" s="29" t="n">
        <v>0.1257438671</v>
      </c>
      <c r="AK49" s="29" t="n">
        <v>0.1253666355</v>
      </c>
      <c r="AL49" s="29" t="n">
        <v>0.1249905356</v>
      </c>
      <c r="AM49" s="29" t="n">
        <v>0.124615564</v>
      </c>
      <c r="AN49" s="29" t="n">
        <v>0.1242417173</v>
      </c>
      <c r="AO49" s="29" t="n">
        <v>0.1238689921</v>
      </c>
      <c r="AP49" s="29" t="n">
        <v>0.1234973852</v>
      </c>
      <c r="AQ49" s="29" t="n">
        <v>0.123126893</v>
      </c>
      <c r="AR49" s="29" t="n">
        <v>0.1227575123</v>
      </c>
      <c r="AS49" s="29" t="n">
        <v>0.1223892398</v>
      </c>
      <c r="AT49" s="29" t="n">
        <v>0.1220220721</v>
      </c>
      <c r="AU49" s="29" t="n">
        <v>0.1216560059</v>
      </c>
      <c r="AV49" s="29" t="n">
        <v>0.1212910378</v>
      </c>
      <c r="AW49" s="29" t="n">
        <v>0.1209271647</v>
      </c>
      <c r="AX49" s="29" t="n">
        <v>0.1205643832</v>
      </c>
      <c r="AY49" s="29" t="n">
        <v>0.1202026901</v>
      </c>
      <c r="AZ49" s="29" t="n">
        <v>0.119842082</v>
      </c>
      <c r="BA49" s="29" t="n">
        <v>0.1194825558</v>
      </c>
      <c r="BB49" s="29" t="n">
        <v>0.1191241081</v>
      </c>
      <c r="BC49" s="29" t="n">
        <v>0.1187667358</v>
      </c>
      <c r="BD49" s="29" t="n">
        <v>0.1184104356</v>
      </c>
      <c r="BE49" s="29" t="n">
        <v>0.1180552043</v>
      </c>
      <c r="BF49" s="29" t="n">
        <v>0.1177010387</v>
      </c>
      <c r="BG49" s="29" t="n">
        <v>0.1173479355</v>
      </c>
      <c r="BH49" s="29" t="n">
        <v>0.1169958917</v>
      </c>
      <c r="BI49" s="29" t="n">
        <v>0.1166449041</v>
      </c>
      <c r="BJ49" s="29" t="n">
        <v>0.1162949693</v>
      </c>
      <c r="BK49" s="29" t="n">
        <v>0.1159460844</v>
      </c>
      <c r="BL49" s="29" t="n">
        <v>0.1155982462</v>
      </c>
      <c r="BM49" s="29" t="n">
        <v>0.1152514514</v>
      </c>
      <c r="BN49" s="29" t="n">
        <v>0.1149056971</v>
      </c>
      <c r="BO49" s="29" t="n">
        <v>0.11456098</v>
      </c>
      <c r="BP49" s="29" t="n">
        <v>0.1142172971</v>
      </c>
      <c r="BQ49" s="29" t="n">
        <v>0.1138746452</v>
      </c>
      <c r="BR49" s="29" t="n">
        <v>0.1135330212</v>
      </c>
      <c r="BS49" s="29" t="n">
        <v>0.1131924222</v>
      </c>
    </row>
    <row r="50" customFormat="false" ht="15" hidden="false" customHeight="true" outlineLevel="0" collapsed="false">
      <c r="A50" s="3" t="n">
        <v>106</v>
      </c>
      <c r="B50" s="29" t="n">
        <v>0.3721156267</v>
      </c>
      <c r="C50" s="29" t="n">
        <v>0.3712588551</v>
      </c>
      <c r="D50" s="29" t="n">
        <v>0.3703940304</v>
      </c>
      <c r="E50" s="29" t="n">
        <v>0.3695192818</v>
      </c>
      <c r="F50" s="29" t="n">
        <v>0.3686366202</v>
      </c>
      <c r="G50" s="29" t="n">
        <v>0.3677518924</v>
      </c>
      <c r="H50" s="29" t="n">
        <v>0.3668692878</v>
      </c>
      <c r="I50" s="29" t="n">
        <v>0.3659888015</v>
      </c>
      <c r="J50" s="29" t="n">
        <v>0.3651104284</v>
      </c>
      <c r="K50" s="29" t="n">
        <v>0.3642341634</v>
      </c>
      <c r="L50" s="29" t="n">
        <v>0.3633600014</v>
      </c>
      <c r="M50" s="29" t="n">
        <v>0.3624879374</v>
      </c>
      <c r="N50" s="29" t="n">
        <v>0.3616179663</v>
      </c>
      <c r="O50" s="29" t="n">
        <v>0.3607500832</v>
      </c>
      <c r="P50" s="29" t="n">
        <v>0.359884283</v>
      </c>
      <c r="Q50" s="29" t="n">
        <v>0.3590205607</v>
      </c>
      <c r="R50" s="29" t="n">
        <v>0.3581589114</v>
      </c>
      <c r="S50" s="29" t="n">
        <v>0.35729933</v>
      </c>
      <c r="T50" s="29" t="n">
        <v>0.3564418116</v>
      </c>
      <c r="U50" s="29" t="n">
        <v>0.3555863513</v>
      </c>
      <c r="V50" s="29" t="n">
        <v>0.354732944</v>
      </c>
      <c r="W50" s="29" t="n">
        <v>0.3538815849</v>
      </c>
      <c r="X50" s="29" t="n">
        <v>0.3530322691</v>
      </c>
      <c r="Y50" s="29" t="n">
        <v>0.3521849917</v>
      </c>
      <c r="Z50" s="29" t="n">
        <v>0.3513397477</v>
      </c>
      <c r="AA50" s="29" t="n">
        <v>0.3504965323</v>
      </c>
      <c r="AB50" s="29" t="n">
        <v>0.3496553406</v>
      </c>
      <c r="AC50" s="29" t="n">
        <v>0.3488161678</v>
      </c>
      <c r="AD50" s="29" t="n">
        <v>0.347979009</v>
      </c>
      <c r="AE50" s="29" t="n">
        <v>0.3471438594</v>
      </c>
      <c r="AF50" s="29" t="n">
        <v>0.3463107141</v>
      </c>
      <c r="AG50" s="29" t="n">
        <v>0.3454795684</v>
      </c>
      <c r="AH50" s="29" t="n">
        <v>0.3446504175</v>
      </c>
      <c r="AI50" s="29" t="n">
        <v>0.3438232565</v>
      </c>
      <c r="AJ50" s="29" t="n">
        <v>0.3429980806</v>
      </c>
      <c r="AK50" s="29" t="n">
        <v>0.3421748852</v>
      </c>
      <c r="AL50" s="29" t="n">
        <v>0.3413536655</v>
      </c>
      <c r="AM50" s="29" t="n">
        <v>0.3405344167</v>
      </c>
      <c r="AN50" s="29" t="n">
        <v>0.3397171341</v>
      </c>
      <c r="AO50" s="29" t="n">
        <v>0.338901813</v>
      </c>
      <c r="AP50" s="29" t="n">
        <v>0.3380884487</v>
      </c>
      <c r="AQ50" s="29" t="n">
        <v>0.3372770364</v>
      </c>
      <c r="AR50" s="29" t="n">
        <v>0.3364675715</v>
      </c>
      <c r="AS50" s="29" t="n">
        <v>0.3356600493</v>
      </c>
      <c r="AT50" s="29" t="n">
        <v>0.3348544652</v>
      </c>
      <c r="AU50" s="29" t="n">
        <v>0.3340508145</v>
      </c>
      <c r="AV50" s="29" t="n">
        <v>0.3332490925</v>
      </c>
      <c r="AW50" s="29" t="n">
        <v>0.3324492947</v>
      </c>
      <c r="AX50" s="29" t="n">
        <v>0.3316514164</v>
      </c>
      <c r="AY50" s="29" t="n">
        <v>0.330855453</v>
      </c>
      <c r="AZ50" s="29" t="n">
        <v>0.3300613999</v>
      </c>
      <c r="BA50" s="29" t="n">
        <v>0.3292692526</v>
      </c>
      <c r="BB50" s="29" t="n">
        <v>0.3284790063</v>
      </c>
      <c r="BC50" s="29" t="n">
        <v>0.3276906567</v>
      </c>
      <c r="BD50" s="29" t="n">
        <v>0.3269041992</v>
      </c>
      <c r="BE50" s="29" t="n">
        <v>0.3261196291</v>
      </c>
      <c r="BF50" s="29" t="n">
        <v>0.325336942</v>
      </c>
      <c r="BG50" s="29" t="n">
        <v>0.3245561333</v>
      </c>
      <c r="BH50" s="29" t="n">
        <v>0.3237771986</v>
      </c>
      <c r="BI50" s="29" t="n">
        <v>0.3230001333</v>
      </c>
      <c r="BJ50" s="29" t="n">
        <v>0.322224933</v>
      </c>
      <c r="BK50" s="29" t="n">
        <v>0.3214515932</v>
      </c>
      <c r="BL50" s="29" t="n">
        <v>0.3206801093</v>
      </c>
      <c r="BM50" s="29" t="n">
        <v>0.3199104771</v>
      </c>
      <c r="BN50" s="29" t="n">
        <v>0.3191426919</v>
      </c>
      <c r="BO50" s="29" t="n">
        <v>0.3183767495</v>
      </c>
      <c r="BP50" s="29" t="n">
        <v>0.3176126453</v>
      </c>
      <c r="BQ50" s="29" t="n">
        <v>0.3168503749</v>
      </c>
      <c r="BR50" s="29" t="n">
        <v>0.316089934</v>
      </c>
      <c r="BS50" s="29" t="n">
        <v>0.3153313182</v>
      </c>
    </row>
    <row r="51" customFormat="false" ht="15" hidden="false" customHeight="true" outlineLevel="0" collapsed="false">
      <c r="A51" s="3" t="n">
        <v>107</v>
      </c>
      <c r="B51" s="29" t="n">
        <v>0.38926238</v>
      </c>
      <c r="C51" s="29" t="n">
        <v>0.3885254791</v>
      </c>
      <c r="D51" s="29" t="n">
        <v>0.3877999817</v>
      </c>
      <c r="E51" s="29" t="n">
        <v>0.3870877626</v>
      </c>
      <c r="F51" s="29" t="n">
        <v>0.386386823</v>
      </c>
      <c r="G51" s="29" t="n">
        <v>0.3856913267</v>
      </c>
      <c r="H51" s="29" t="n">
        <v>0.3849970823</v>
      </c>
      <c r="I51" s="29" t="n">
        <v>0.3843040876</v>
      </c>
      <c r="J51" s="29" t="n">
        <v>0.3836123402</v>
      </c>
      <c r="K51" s="29" t="n">
        <v>0.382921838</v>
      </c>
      <c r="L51" s="29" t="n">
        <v>0.3822325787</v>
      </c>
      <c r="M51" s="29" t="n">
        <v>0.38154456</v>
      </c>
      <c r="N51" s="29" t="n">
        <v>0.3808577798</v>
      </c>
      <c r="O51" s="29" t="n">
        <v>0.3801722358</v>
      </c>
      <c r="P51" s="29" t="n">
        <v>0.3794879258</v>
      </c>
      <c r="Q51" s="29" t="n">
        <v>0.3788048475</v>
      </c>
      <c r="R51" s="29" t="n">
        <v>0.3781229988</v>
      </c>
      <c r="S51" s="29" t="n">
        <v>0.3774423774</v>
      </c>
      <c r="T51" s="29" t="n">
        <v>0.3767629811</v>
      </c>
      <c r="U51" s="29" t="n">
        <v>0.3760848078</v>
      </c>
      <c r="V51" s="29" t="n">
        <v>0.3754078551</v>
      </c>
      <c r="W51" s="29" t="n">
        <v>0.374732121</v>
      </c>
      <c r="X51" s="29" t="n">
        <v>0.3740576031</v>
      </c>
      <c r="Y51" s="29" t="n">
        <v>0.3733842995</v>
      </c>
      <c r="Z51" s="29" t="n">
        <v>0.3727122077</v>
      </c>
      <c r="AA51" s="29" t="n">
        <v>0.3720413258</v>
      </c>
      <c r="AB51" s="29" t="n">
        <v>0.3713716514</v>
      </c>
      <c r="AC51" s="29" t="n">
        <v>0.3707031824</v>
      </c>
      <c r="AD51" s="29" t="n">
        <v>0.3700359167</v>
      </c>
      <c r="AE51" s="29" t="n">
        <v>0.369369852</v>
      </c>
      <c r="AF51" s="29" t="n">
        <v>0.3687049863</v>
      </c>
      <c r="AG51" s="29" t="n">
        <v>0.3680413173</v>
      </c>
      <c r="AH51" s="29" t="n">
        <v>0.3673788429</v>
      </c>
      <c r="AI51" s="29" t="n">
        <v>0.366717561</v>
      </c>
      <c r="AJ51" s="29" t="n">
        <v>0.3660574694</v>
      </c>
      <c r="AK51" s="29" t="n">
        <v>0.365398566</v>
      </c>
      <c r="AL51" s="29" t="n">
        <v>0.3647408485</v>
      </c>
      <c r="AM51" s="29" t="n">
        <v>0.364084315</v>
      </c>
      <c r="AN51" s="29" t="n">
        <v>0.3634289632</v>
      </c>
      <c r="AO51" s="29" t="n">
        <v>0.3627747911</v>
      </c>
      <c r="AP51" s="29" t="n">
        <v>0.3621217965</v>
      </c>
      <c r="AQ51" s="29" t="n">
        <v>0.3614699773</v>
      </c>
      <c r="AR51" s="29" t="n">
        <v>0.3608193313</v>
      </c>
      <c r="AS51" s="29" t="n">
        <v>0.3601698565</v>
      </c>
      <c r="AT51" s="29" t="n">
        <v>0.3595215508</v>
      </c>
      <c r="AU51" s="29" t="n">
        <v>0.358874412</v>
      </c>
      <c r="AV51" s="29" t="n">
        <v>0.358228438</v>
      </c>
      <c r="AW51" s="29" t="n">
        <v>0.3575836268</v>
      </c>
      <c r="AX51" s="29" t="n">
        <v>0.3569399763</v>
      </c>
      <c r="AY51" s="29" t="n">
        <v>0.3562974844</v>
      </c>
      <c r="AZ51" s="29" t="n">
        <v>0.3556561489</v>
      </c>
      <c r="BA51" s="29" t="n">
        <v>0.3550159678</v>
      </c>
      <c r="BB51" s="29" t="n">
        <v>0.3543769391</v>
      </c>
      <c r="BC51" s="29" t="n">
        <v>0.3537390606</v>
      </c>
      <c r="BD51" s="29" t="n">
        <v>0.3531023303</v>
      </c>
      <c r="BE51" s="29" t="n">
        <v>0.3524667461</v>
      </c>
      <c r="BF51" s="29" t="n">
        <v>0.3518323059</v>
      </c>
      <c r="BG51" s="29" t="n">
        <v>0.3511990078</v>
      </c>
      <c r="BH51" s="29" t="n">
        <v>0.3505668496</v>
      </c>
      <c r="BI51" s="29" t="n">
        <v>0.3499358292</v>
      </c>
      <c r="BJ51" s="29" t="n">
        <v>0.3493059447</v>
      </c>
      <c r="BK51" s="29" t="n">
        <v>0.348677194</v>
      </c>
      <c r="BL51" s="29" t="n">
        <v>0.3480495751</v>
      </c>
      <c r="BM51" s="29" t="n">
        <v>0.3474230859</v>
      </c>
      <c r="BN51" s="29" t="n">
        <v>0.3467977243</v>
      </c>
      <c r="BO51" s="29" t="n">
        <v>0.3461734884</v>
      </c>
      <c r="BP51" s="29" t="n">
        <v>0.3455503761</v>
      </c>
      <c r="BQ51" s="29" t="n">
        <v>0.3449283854</v>
      </c>
      <c r="BR51" s="29" t="n">
        <v>0.3443075144</v>
      </c>
      <c r="BS51" s="29" t="n">
        <v>0.3436877608</v>
      </c>
    </row>
    <row r="52" customFormat="false" ht="15" hidden="false" customHeight="true" outlineLevel="0" collapsed="false">
      <c r="A52" s="3" t="n">
        <v>108</v>
      </c>
      <c r="B52" s="29" t="n">
        <v>0.4065633131</v>
      </c>
      <c r="C52" s="29" t="n">
        <v>0.405948627</v>
      </c>
      <c r="D52" s="29" t="n">
        <v>0.4053699164</v>
      </c>
      <c r="E52" s="29" t="n">
        <v>0.4048338005</v>
      </c>
      <c r="F52" s="29" t="n">
        <v>0.4043333435</v>
      </c>
      <c r="G52" s="29" t="n">
        <v>0.4038481435</v>
      </c>
      <c r="H52" s="29" t="n">
        <v>0.4033635257</v>
      </c>
      <c r="I52" s="29" t="n">
        <v>0.4028794895</v>
      </c>
      <c r="J52" s="29" t="n">
        <v>0.4023960341</v>
      </c>
      <c r="K52" s="29" t="n">
        <v>0.4019131589</v>
      </c>
      <c r="L52" s="29" t="n">
        <v>0.4014308631</v>
      </c>
      <c r="M52" s="29" t="n">
        <v>0.4009491461</v>
      </c>
      <c r="N52" s="29" t="n">
        <v>0.4004680071</v>
      </c>
      <c r="O52" s="29" t="n">
        <v>0.3999874455</v>
      </c>
      <c r="P52" s="29" t="n">
        <v>0.3995074605</v>
      </c>
      <c r="Q52" s="29" t="n">
        <v>0.3990280516</v>
      </c>
      <c r="R52" s="29" t="n">
        <v>0.3985492179</v>
      </c>
      <c r="S52" s="29" t="n">
        <v>0.3980709589</v>
      </c>
      <c r="T52" s="29" t="n">
        <v>0.3975932737</v>
      </c>
      <c r="U52" s="29" t="n">
        <v>0.3971161618</v>
      </c>
      <c r="V52" s="29" t="n">
        <v>0.3966396224</v>
      </c>
      <c r="W52" s="29" t="n">
        <v>0.3961636548</v>
      </c>
      <c r="X52" s="29" t="n">
        <v>0.3956882585</v>
      </c>
      <c r="Y52" s="29" t="n">
        <v>0.3952134325</v>
      </c>
      <c r="Z52" s="29" t="n">
        <v>0.3947391764</v>
      </c>
      <c r="AA52" s="29" t="n">
        <v>0.3942654894</v>
      </c>
      <c r="AB52" s="29" t="n">
        <v>0.3937923708</v>
      </c>
      <c r="AC52" s="29" t="n">
        <v>0.39331982</v>
      </c>
      <c r="AD52" s="29" t="n">
        <v>0.3928478362</v>
      </c>
      <c r="AE52" s="29" t="n">
        <v>0.3923764188</v>
      </c>
      <c r="AF52" s="29" t="n">
        <v>0.3919055671</v>
      </c>
      <c r="AG52" s="29" t="n">
        <v>0.3914352804</v>
      </c>
      <c r="AH52" s="29" t="n">
        <v>0.3909655581</v>
      </c>
      <c r="AI52" s="29" t="n">
        <v>0.3904963994</v>
      </c>
      <c r="AJ52" s="29" t="n">
        <v>0.3900278037</v>
      </c>
      <c r="AK52" s="29" t="n">
        <v>0.3895597704</v>
      </c>
      <c r="AL52" s="29" t="n">
        <v>0.3890922986</v>
      </c>
      <c r="AM52" s="29" t="n">
        <v>0.3886253879</v>
      </c>
      <c r="AN52" s="29" t="n">
        <v>0.3881590374</v>
      </c>
      <c r="AO52" s="29" t="n">
        <v>0.3876932466</v>
      </c>
      <c r="AP52" s="29" t="n">
        <v>0.3872280147</v>
      </c>
      <c r="AQ52" s="29" t="n">
        <v>0.3867633411</v>
      </c>
      <c r="AR52" s="29" t="n">
        <v>0.386299225</v>
      </c>
      <c r="AS52" s="29" t="n">
        <v>0.385835666</v>
      </c>
      <c r="AT52" s="29" t="n">
        <v>0.3853726632</v>
      </c>
      <c r="AU52" s="29" t="n">
        <v>0.384910216</v>
      </c>
      <c r="AV52" s="29" t="n">
        <v>0.3844483237</v>
      </c>
      <c r="AW52" s="29" t="n">
        <v>0.3839869857</v>
      </c>
      <c r="AX52" s="29" t="n">
        <v>0.3835262013</v>
      </c>
      <c r="AY52" s="29" t="n">
        <v>0.3830659699</v>
      </c>
      <c r="AZ52" s="29" t="n">
        <v>0.3826062907</v>
      </c>
      <c r="BA52" s="29" t="n">
        <v>0.3821471632</v>
      </c>
      <c r="BB52" s="29" t="n">
        <v>0.3816885866</v>
      </c>
      <c r="BC52" s="29" t="n">
        <v>0.3812305603</v>
      </c>
      <c r="BD52" s="29" t="n">
        <v>0.3807730836</v>
      </c>
      <c r="BE52" s="29" t="n">
        <v>0.3803161559</v>
      </c>
      <c r="BF52" s="29" t="n">
        <v>0.3798597765</v>
      </c>
      <c r="BG52" s="29" t="n">
        <v>0.3794039448</v>
      </c>
      <c r="BH52" s="29" t="n">
        <v>0.3789486601</v>
      </c>
      <c r="BI52" s="29" t="n">
        <v>0.3784939217</v>
      </c>
      <c r="BJ52" s="29" t="n">
        <v>0.378039729</v>
      </c>
      <c r="BK52" s="29" t="n">
        <v>0.3775860813</v>
      </c>
      <c r="BL52" s="29" t="n">
        <v>0.377132978</v>
      </c>
      <c r="BM52" s="29" t="n">
        <v>0.3766804184</v>
      </c>
      <c r="BN52" s="29" t="n">
        <v>0.3762284019</v>
      </c>
      <c r="BO52" s="29" t="n">
        <v>0.3757769278</v>
      </c>
      <c r="BP52" s="29" t="n">
        <v>0.3753259955</v>
      </c>
      <c r="BQ52" s="29" t="n">
        <v>0.3748756043</v>
      </c>
      <c r="BR52" s="29" t="n">
        <v>0.3744257536</v>
      </c>
      <c r="BS52" s="29" t="n">
        <v>0.3739764427</v>
      </c>
    </row>
    <row r="53" customFormat="false" ht="15" hidden="false" customHeight="true" outlineLevel="0" collapsed="false">
      <c r="A53" s="3" t="n">
        <v>109</v>
      </c>
      <c r="B53" s="29" t="n">
        <v>0.4239649005</v>
      </c>
      <c r="C53" s="29" t="n">
        <v>0.4234734495</v>
      </c>
      <c r="D53" s="29" t="n">
        <v>0.4230481102</v>
      </c>
      <c r="E53" s="29" t="n">
        <v>0.4227013473</v>
      </c>
      <c r="F53" s="29" t="n">
        <v>0.4224202912</v>
      </c>
      <c r="G53" s="29" t="n">
        <v>0.422166839</v>
      </c>
      <c r="H53" s="29" t="n">
        <v>0.4219135389</v>
      </c>
      <c r="I53" s="29" t="n">
        <v>0.4216603908</v>
      </c>
      <c r="J53" s="29" t="n">
        <v>0.4214073945</v>
      </c>
      <c r="K53" s="29" t="n">
        <v>0.4211545501</v>
      </c>
      <c r="L53" s="29" t="n">
        <v>0.4209018574</v>
      </c>
      <c r="M53" s="29" t="n">
        <v>0.4206493163</v>
      </c>
      <c r="N53" s="29" t="n">
        <v>0.4203969267</v>
      </c>
      <c r="O53" s="29" t="n">
        <v>0.4201446885</v>
      </c>
      <c r="P53" s="29" t="n">
        <v>0.4198926017</v>
      </c>
      <c r="Q53" s="29" t="n">
        <v>0.4196406661</v>
      </c>
      <c r="R53" s="29" t="n">
        <v>0.4193888817</v>
      </c>
      <c r="S53" s="29" t="n">
        <v>0.4191372484</v>
      </c>
      <c r="T53" s="29" t="n">
        <v>0.4188857661</v>
      </c>
      <c r="U53" s="29" t="n">
        <v>0.4186344346</v>
      </c>
      <c r="V53" s="29" t="n">
        <v>0.4183832539</v>
      </c>
      <c r="W53" s="29" t="n">
        <v>0.418132224</v>
      </c>
      <c r="X53" s="29" t="n">
        <v>0.4178813447</v>
      </c>
      <c r="Y53" s="29" t="n">
        <v>0.4176306159</v>
      </c>
      <c r="Z53" s="29" t="n">
        <v>0.4173800375</v>
      </c>
      <c r="AA53" s="29" t="n">
        <v>0.4171296095</v>
      </c>
      <c r="AB53" s="29" t="n">
        <v>0.4168793317</v>
      </c>
      <c r="AC53" s="29" t="n">
        <v>0.4166292041</v>
      </c>
      <c r="AD53" s="29" t="n">
        <v>0.4163792266</v>
      </c>
      <c r="AE53" s="29" t="n">
        <v>0.416129399</v>
      </c>
      <c r="AF53" s="29" t="n">
        <v>0.4158797214</v>
      </c>
      <c r="AG53" s="29" t="n">
        <v>0.4156301936</v>
      </c>
      <c r="AH53" s="29" t="n">
        <v>0.4153808154</v>
      </c>
      <c r="AI53" s="29" t="n">
        <v>0.415131587</v>
      </c>
      <c r="AJ53" s="29" t="n">
        <v>0.414882508</v>
      </c>
      <c r="AK53" s="29" t="n">
        <v>0.4146335785</v>
      </c>
      <c r="AL53" s="29" t="n">
        <v>0.4143847984</v>
      </c>
      <c r="AM53" s="29" t="n">
        <v>0.4141361675</v>
      </c>
      <c r="AN53" s="29" t="n">
        <v>0.4138876858</v>
      </c>
      <c r="AO53" s="29" t="n">
        <v>0.4136393532</v>
      </c>
      <c r="AP53" s="29" t="n">
        <v>0.4133911696</v>
      </c>
      <c r="AQ53" s="29" t="n">
        <v>0.4131431349</v>
      </c>
      <c r="AR53" s="29" t="n">
        <v>0.412895249</v>
      </c>
      <c r="AS53" s="29" t="n">
        <v>0.4126475118</v>
      </c>
      <c r="AT53" s="29" t="n">
        <v>0.4123999233</v>
      </c>
      <c r="AU53" s="29" t="n">
        <v>0.4121524834</v>
      </c>
      <c r="AV53" s="29" t="n">
        <v>0.4119051919</v>
      </c>
      <c r="AW53" s="29" t="n">
        <v>0.4116580488</v>
      </c>
      <c r="AX53" s="29" t="n">
        <v>0.4114110539</v>
      </c>
      <c r="AY53" s="29" t="n">
        <v>0.4111642073</v>
      </c>
      <c r="AZ53" s="29" t="n">
        <v>0.4109175088</v>
      </c>
      <c r="BA53" s="29" t="n">
        <v>0.4106709583</v>
      </c>
      <c r="BB53" s="29" t="n">
        <v>0.4104245557</v>
      </c>
      <c r="BC53" s="29" t="n">
        <v>0.410178301</v>
      </c>
      <c r="BD53" s="29" t="n">
        <v>0.409932194</v>
      </c>
      <c r="BE53" s="29" t="n">
        <v>0.4096862347</v>
      </c>
      <c r="BF53" s="29" t="n">
        <v>0.4094404229</v>
      </c>
      <c r="BG53" s="29" t="n">
        <v>0.4091947587</v>
      </c>
      <c r="BH53" s="29" t="n">
        <v>0.4089492418</v>
      </c>
      <c r="BI53" s="29" t="n">
        <v>0.4087038723</v>
      </c>
      <c r="BJ53" s="29" t="n">
        <v>0.4084586499</v>
      </c>
      <c r="BK53" s="29" t="n">
        <v>0.4082135747</v>
      </c>
      <c r="BL53" s="29" t="n">
        <v>0.4079686466</v>
      </c>
      <c r="BM53" s="29" t="n">
        <v>0.4077238654</v>
      </c>
      <c r="BN53" s="29" t="n">
        <v>0.4074792311</v>
      </c>
      <c r="BO53" s="29" t="n">
        <v>0.4072347436</v>
      </c>
      <c r="BP53" s="29" t="n">
        <v>0.4069904027</v>
      </c>
      <c r="BQ53" s="29" t="n">
        <v>0.4067462085</v>
      </c>
      <c r="BR53" s="29" t="n">
        <v>0.4065021607</v>
      </c>
      <c r="BS53" s="29" t="n">
        <v>0.4062582594</v>
      </c>
    </row>
    <row r="54" customFormat="false" ht="15" hidden="false" customHeight="true" outlineLevel="0" collapsed="false">
      <c r="A54" s="3" t="n">
        <v>110</v>
      </c>
      <c r="B54" s="29" t="n">
        <v>0.441412868</v>
      </c>
      <c r="C54" s="29" t="n">
        <v>0.4410444004</v>
      </c>
      <c r="D54" s="29" t="n">
        <v>0.4407781418</v>
      </c>
      <c r="E54" s="29" t="n">
        <v>0.4406335949</v>
      </c>
      <c r="F54" s="29" t="n">
        <v>0.4405909018</v>
      </c>
      <c r="G54" s="29" t="n">
        <v>0.4405909018</v>
      </c>
      <c r="H54" s="29" t="n">
        <v>0.4405909018</v>
      </c>
      <c r="I54" s="29" t="n">
        <v>0.4405909018</v>
      </c>
      <c r="J54" s="29" t="n">
        <v>0.4405909018</v>
      </c>
      <c r="K54" s="29" t="n">
        <v>0.4405909018</v>
      </c>
      <c r="L54" s="29" t="n">
        <v>0.4405909018</v>
      </c>
      <c r="M54" s="29" t="n">
        <v>0.4405909018</v>
      </c>
      <c r="N54" s="29" t="n">
        <v>0.4405909018</v>
      </c>
      <c r="O54" s="29" t="n">
        <v>0.4405909018</v>
      </c>
      <c r="P54" s="29" t="n">
        <v>0.4405909018</v>
      </c>
      <c r="Q54" s="29" t="n">
        <v>0.4405909018</v>
      </c>
      <c r="R54" s="29" t="n">
        <v>0.4405909018</v>
      </c>
      <c r="S54" s="29" t="n">
        <v>0.4405909018</v>
      </c>
      <c r="T54" s="29" t="n">
        <v>0.4405909018</v>
      </c>
      <c r="U54" s="29" t="n">
        <v>0.4405909018</v>
      </c>
      <c r="V54" s="29" t="n">
        <v>0.4405909018</v>
      </c>
      <c r="W54" s="29" t="n">
        <v>0.4405909018</v>
      </c>
      <c r="X54" s="29" t="n">
        <v>0.4405909018</v>
      </c>
      <c r="Y54" s="29" t="n">
        <v>0.4405909018</v>
      </c>
      <c r="Z54" s="29" t="n">
        <v>0.4405909018</v>
      </c>
      <c r="AA54" s="29" t="n">
        <v>0.4405909018</v>
      </c>
      <c r="AB54" s="29" t="n">
        <v>0.4405909018</v>
      </c>
      <c r="AC54" s="29" t="n">
        <v>0.4405909018</v>
      </c>
      <c r="AD54" s="29" t="n">
        <v>0.4405909018</v>
      </c>
      <c r="AE54" s="29" t="n">
        <v>0.4405909018</v>
      </c>
      <c r="AF54" s="29" t="n">
        <v>0.4405909018</v>
      </c>
      <c r="AG54" s="29" t="n">
        <v>0.4405909018</v>
      </c>
      <c r="AH54" s="29" t="n">
        <v>0.4405909018</v>
      </c>
      <c r="AI54" s="29" t="n">
        <v>0.4405909018</v>
      </c>
      <c r="AJ54" s="29" t="n">
        <v>0.4405909018</v>
      </c>
      <c r="AK54" s="29" t="n">
        <v>0.4405909018</v>
      </c>
      <c r="AL54" s="29" t="n">
        <v>0.4405909018</v>
      </c>
      <c r="AM54" s="29" t="n">
        <v>0.4405909018</v>
      </c>
      <c r="AN54" s="29" t="n">
        <v>0.4405909018</v>
      </c>
      <c r="AO54" s="29" t="n">
        <v>0.4405909018</v>
      </c>
      <c r="AP54" s="29" t="n">
        <v>0.4405909018</v>
      </c>
      <c r="AQ54" s="29" t="n">
        <v>0.4405909018</v>
      </c>
      <c r="AR54" s="29" t="n">
        <v>0.4405909018</v>
      </c>
      <c r="AS54" s="29" t="n">
        <v>0.4405909018</v>
      </c>
      <c r="AT54" s="29" t="n">
        <v>0.4405909018</v>
      </c>
      <c r="AU54" s="29" t="n">
        <v>0.4405909018</v>
      </c>
      <c r="AV54" s="29" t="n">
        <v>0.4405909018</v>
      </c>
      <c r="AW54" s="29" t="n">
        <v>0.4405909018</v>
      </c>
      <c r="AX54" s="29" t="n">
        <v>0.4405909018</v>
      </c>
      <c r="AY54" s="29" t="n">
        <v>0.4405909018</v>
      </c>
      <c r="AZ54" s="29" t="n">
        <v>0.4405909018</v>
      </c>
      <c r="BA54" s="29" t="n">
        <v>0.4405909018</v>
      </c>
      <c r="BB54" s="29" t="n">
        <v>0.4405909018</v>
      </c>
      <c r="BC54" s="29" t="n">
        <v>0.4405909018</v>
      </c>
      <c r="BD54" s="29" t="n">
        <v>0.4405909018</v>
      </c>
      <c r="BE54" s="29" t="n">
        <v>0.4405909018</v>
      </c>
      <c r="BF54" s="29" t="n">
        <v>0.4405909018</v>
      </c>
      <c r="BG54" s="29" t="n">
        <v>0.4405909018</v>
      </c>
      <c r="BH54" s="29" t="n">
        <v>0.4405909018</v>
      </c>
      <c r="BI54" s="29" t="n">
        <v>0.4405909018</v>
      </c>
      <c r="BJ54" s="29" t="n">
        <v>0.4405909018</v>
      </c>
      <c r="BK54" s="29" t="n">
        <v>0.4405909018</v>
      </c>
      <c r="BL54" s="29" t="n">
        <v>0.4405909018</v>
      </c>
      <c r="BM54" s="29" t="n">
        <v>0.4405909018</v>
      </c>
      <c r="BN54" s="29" t="n">
        <v>0.4405909018</v>
      </c>
      <c r="BO54" s="29" t="n">
        <v>0.4405909018</v>
      </c>
      <c r="BP54" s="29" t="n">
        <v>0.4405909018</v>
      </c>
      <c r="BQ54" s="29" t="n">
        <v>0.4405909018</v>
      </c>
      <c r="BR54" s="29" t="n">
        <v>0.4405909018</v>
      </c>
      <c r="BS54" s="29" t="n">
        <v>0.4405909018</v>
      </c>
    </row>
    <row r="55" customFormat="false" ht="15" hidden="false" customHeight="true" outlineLevel="0" collapsed="false">
      <c r="A55" s="3" t="n">
        <v>111</v>
      </c>
      <c r="B55" s="29" t="n">
        <v>0.4588529313</v>
      </c>
      <c r="C55" s="29" t="n">
        <v>0.4585773823</v>
      </c>
      <c r="D55" s="29" t="n">
        <v>0.458378221</v>
      </c>
      <c r="E55" s="29" t="n">
        <v>0.4582700816</v>
      </c>
      <c r="F55" s="29" t="n">
        <v>0.4582381389</v>
      </c>
      <c r="G55" s="29" t="n">
        <v>0.4582381389</v>
      </c>
      <c r="H55" s="29" t="n">
        <v>0.4582381389</v>
      </c>
      <c r="I55" s="29" t="n">
        <v>0.4582381389</v>
      </c>
      <c r="J55" s="29" t="n">
        <v>0.4582381389</v>
      </c>
      <c r="K55" s="29" t="n">
        <v>0.4582381389</v>
      </c>
      <c r="L55" s="29" t="n">
        <v>0.4582381389</v>
      </c>
      <c r="M55" s="29" t="n">
        <v>0.4582381389</v>
      </c>
      <c r="N55" s="29" t="n">
        <v>0.4582381389</v>
      </c>
      <c r="O55" s="29" t="n">
        <v>0.4582381389</v>
      </c>
      <c r="P55" s="29" t="n">
        <v>0.4582381389</v>
      </c>
      <c r="Q55" s="29" t="n">
        <v>0.4582381389</v>
      </c>
      <c r="R55" s="29" t="n">
        <v>0.4582381389</v>
      </c>
      <c r="S55" s="29" t="n">
        <v>0.4582381389</v>
      </c>
      <c r="T55" s="29" t="n">
        <v>0.4582381389</v>
      </c>
      <c r="U55" s="29" t="n">
        <v>0.4582381389</v>
      </c>
      <c r="V55" s="29" t="n">
        <v>0.4582381389</v>
      </c>
      <c r="W55" s="29" t="n">
        <v>0.4582381389</v>
      </c>
      <c r="X55" s="29" t="n">
        <v>0.4582381389</v>
      </c>
      <c r="Y55" s="29" t="n">
        <v>0.4582381389</v>
      </c>
      <c r="Z55" s="29" t="n">
        <v>0.4582381389</v>
      </c>
      <c r="AA55" s="29" t="n">
        <v>0.4582381389</v>
      </c>
      <c r="AB55" s="29" t="n">
        <v>0.4582381389</v>
      </c>
      <c r="AC55" s="29" t="n">
        <v>0.4582381389</v>
      </c>
      <c r="AD55" s="29" t="n">
        <v>0.4582381389</v>
      </c>
      <c r="AE55" s="29" t="n">
        <v>0.4582381389</v>
      </c>
      <c r="AF55" s="29" t="n">
        <v>0.4582381389</v>
      </c>
      <c r="AG55" s="29" t="n">
        <v>0.4582381389</v>
      </c>
      <c r="AH55" s="29" t="n">
        <v>0.4582381389</v>
      </c>
      <c r="AI55" s="29" t="n">
        <v>0.4582381389</v>
      </c>
      <c r="AJ55" s="29" t="n">
        <v>0.4582381389</v>
      </c>
      <c r="AK55" s="29" t="n">
        <v>0.4582381389</v>
      </c>
      <c r="AL55" s="29" t="n">
        <v>0.4582381389</v>
      </c>
      <c r="AM55" s="29" t="n">
        <v>0.4582381389</v>
      </c>
      <c r="AN55" s="29" t="n">
        <v>0.4582381389</v>
      </c>
      <c r="AO55" s="29" t="n">
        <v>0.4582381389</v>
      </c>
      <c r="AP55" s="29" t="n">
        <v>0.4582381389</v>
      </c>
      <c r="AQ55" s="29" t="n">
        <v>0.4582381389</v>
      </c>
      <c r="AR55" s="29" t="n">
        <v>0.4582381389</v>
      </c>
      <c r="AS55" s="29" t="n">
        <v>0.4582381389</v>
      </c>
      <c r="AT55" s="29" t="n">
        <v>0.4582381389</v>
      </c>
      <c r="AU55" s="29" t="n">
        <v>0.4582381389</v>
      </c>
      <c r="AV55" s="29" t="n">
        <v>0.4582381389</v>
      </c>
      <c r="AW55" s="29" t="n">
        <v>0.4582381389</v>
      </c>
      <c r="AX55" s="29" t="n">
        <v>0.4582381389</v>
      </c>
      <c r="AY55" s="29" t="n">
        <v>0.4582381389</v>
      </c>
      <c r="AZ55" s="29" t="n">
        <v>0.4582381389</v>
      </c>
      <c r="BA55" s="29" t="n">
        <v>0.4582381389</v>
      </c>
      <c r="BB55" s="29" t="n">
        <v>0.4582381389</v>
      </c>
      <c r="BC55" s="29" t="n">
        <v>0.4582381389</v>
      </c>
      <c r="BD55" s="29" t="n">
        <v>0.4582381389</v>
      </c>
      <c r="BE55" s="29" t="n">
        <v>0.4582381389</v>
      </c>
      <c r="BF55" s="29" t="n">
        <v>0.4582381389</v>
      </c>
      <c r="BG55" s="29" t="n">
        <v>0.4582381389</v>
      </c>
      <c r="BH55" s="29" t="n">
        <v>0.4582381389</v>
      </c>
      <c r="BI55" s="29" t="n">
        <v>0.4582381389</v>
      </c>
      <c r="BJ55" s="29" t="n">
        <v>0.4582381389</v>
      </c>
      <c r="BK55" s="29" t="n">
        <v>0.4582381389</v>
      </c>
      <c r="BL55" s="29" t="n">
        <v>0.4582381389</v>
      </c>
      <c r="BM55" s="29" t="n">
        <v>0.4582381389</v>
      </c>
      <c r="BN55" s="29" t="n">
        <v>0.4582381389</v>
      </c>
      <c r="BO55" s="29" t="n">
        <v>0.4582381389</v>
      </c>
      <c r="BP55" s="29" t="n">
        <v>0.4582381389</v>
      </c>
      <c r="BQ55" s="29" t="n">
        <v>0.4582381389</v>
      </c>
      <c r="BR55" s="29" t="n">
        <v>0.4582381389</v>
      </c>
      <c r="BS55" s="29" t="n">
        <v>0.4582381389</v>
      </c>
    </row>
    <row r="56" customFormat="false" ht="15" hidden="false" customHeight="true" outlineLevel="0" collapsed="false">
      <c r="A56" s="3" t="n">
        <v>112</v>
      </c>
      <c r="B56" s="29" t="n">
        <v>0.4762315103</v>
      </c>
      <c r="C56" s="29" t="n">
        <v>0.4760442219</v>
      </c>
      <c r="D56" s="29" t="n">
        <v>0.4759088254</v>
      </c>
      <c r="E56" s="29" t="n">
        <v>0.4758352976</v>
      </c>
      <c r="F56" s="29" t="n">
        <v>0.4758135769</v>
      </c>
      <c r="G56" s="29" t="n">
        <v>0.4758135769</v>
      </c>
      <c r="H56" s="29" t="n">
        <v>0.4758135769</v>
      </c>
      <c r="I56" s="29" t="n">
        <v>0.4758135769</v>
      </c>
      <c r="J56" s="29" t="n">
        <v>0.4758135769</v>
      </c>
      <c r="K56" s="29" t="n">
        <v>0.4758135769</v>
      </c>
      <c r="L56" s="29" t="n">
        <v>0.4758135769</v>
      </c>
      <c r="M56" s="29" t="n">
        <v>0.4758135769</v>
      </c>
      <c r="N56" s="29" t="n">
        <v>0.4758135769</v>
      </c>
      <c r="O56" s="29" t="n">
        <v>0.4758135769</v>
      </c>
      <c r="P56" s="29" t="n">
        <v>0.4758135769</v>
      </c>
      <c r="Q56" s="29" t="n">
        <v>0.4758135769</v>
      </c>
      <c r="R56" s="29" t="n">
        <v>0.4758135769</v>
      </c>
      <c r="S56" s="29" t="n">
        <v>0.4758135769</v>
      </c>
      <c r="T56" s="29" t="n">
        <v>0.4758135769</v>
      </c>
      <c r="U56" s="29" t="n">
        <v>0.4758135769</v>
      </c>
      <c r="V56" s="29" t="n">
        <v>0.4758135769</v>
      </c>
      <c r="W56" s="29" t="n">
        <v>0.4758135769</v>
      </c>
      <c r="X56" s="29" t="n">
        <v>0.4758135769</v>
      </c>
      <c r="Y56" s="29" t="n">
        <v>0.4758135769</v>
      </c>
      <c r="Z56" s="29" t="n">
        <v>0.4758135769</v>
      </c>
      <c r="AA56" s="29" t="n">
        <v>0.4758135769</v>
      </c>
      <c r="AB56" s="29" t="n">
        <v>0.4758135769</v>
      </c>
      <c r="AC56" s="29" t="n">
        <v>0.4758135769</v>
      </c>
      <c r="AD56" s="29" t="n">
        <v>0.4758135769</v>
      </c>
      <c r="AE56" s="29" t="n">
        <v>0.4758135769</v>
      </c>
      <c r="AF56" s="29" t="n">
        <v>0.4758135769</v>
      </c>
      <c r="AG56" s="29" t="n">
        <v>0.4758135769</v>
      </c>
      <c r="AH56" s="29" t="n">
        <v>0.4758135769</v>
      </c>
      <c r="AI56" s="29" t="n">
        <v>0.4758135769</v>
      </c>
      <c r="AJ56" s="29" t="n">
        <v>0.4758135769</v>
      </c>
      <c r="AK56" s="29" t="n">
        <v>0.4758135769</v>
      </c>
      <c r="AL56" s="29" t="n">
        <v>0.4758135769</v>
      </c>
      <c r="AM56" s="29" t="n">
        <v>0.4758135769</v>
      </c>
      <c r="AN56" s="29" t="n">
        <v>0.4758135769</v>
      </c>
      <c r="AO56" s="29" t="n">
        <v>0.4758135769</v>
      </c>
      <c r="AP56" s="29" t="n">
        <v>0.4758135769</v>
      </c>
      <c r="AQ56" s="29" t="n">
        <v>0.4758135769</v>
      </c>
      <c r="AR56" s="29" t="n">
        <v>0.4758135769</v>
      </c>
      <c r="AS56" s="29" t="n">
        <v>0.4758135769</v>
      </c>
      <c r="AT56" s="29" t="n">
        <v>0.4758135769</v>
      </c>
      <c r="AU56" s="29" t="n">
        <v>0.4758135769</v>
      </c>
      <c r="AV56" s="29" t="n">
        <v>0.4758135769</v>
      </c>
      <c r="AW56" s="29" t="n">
        <v>0.4758135769</v>
      </c>
      <c r="AX56" s="29" t="n">
        <v>0.4758135769</v>
      </c>
      <c r="AY56" s="29" t="n">
        <v>0.4758135769</v>
      </c>
      <c r="AZ56" s="29" t="n">
        <v>0.4758135769</v>
      </c>
      <c r="BA56" s="29" t="n">
        <v>0.4758135769</v>
      </c>
      <c r="BB56" s="29" t="n">
        <v>0.4758135769</v>
      </c>
      <c r="BC56" s="29" t="n">
        <v>0.4758135769</v>
      </c>
      <c r="BD56" s="29" t="n">
        <v>0.4758135769</v>
      </c>
      <c r="BE56" s="29" t="n">
        <v>0.4758135769</v>
      </c>
      <c r="BF56" s="29" t="n">
        <v>0.4758135769</v>
      </c>
      <c r="BG56" s="29" t="n">
        <v>0.4758135769</v>
      </c>
      <c r="BH56" s="29" t="n">
        <v>0.4758135769</v>
      </c>
      <c r="BI56" s="29" t="n">
        <v>0.4758135769</v>
      </c>
      <c r="BJ56" s="29" t="n">
        <v>0.4758135769</v>
      </c>
      <c r="BK56" s="29" t="n">
        <v>0.4758135769</v>
      </c>
      <c r="BL56" s="29" t="n">
        <v>0.4758135769</v>
      </c>
      <c r="BM56" s="29" t="n">
        <v>0.4758135769</v>
      </c>
      <c r="BN56" s="29" t="n">
        <v>0.4758135769</v>
      </c>
      <c r="BO56" s="29" t="n">
        <v>0.4758135769</v>
      </c>
      <c r="BP56" s="29" t="n">
        <v>0.4758135769</v>
      </c>
      <c r="BQ56" s="29" t="n">
        <v>0.4758135769</v>
      </c>
      <c r="BR56" s="29" t="n">
        <v>0.4758135769</v>
      </c>
      <c r="BS56" s="29" t="n">
        <v>0.4758135769</v>
      </c>
    </row>
    <row r="57" customFormat="false" ht="15" hidden="false" customHeight="true" outlineLevel="0" collapsed="false">
      <c r="A57" s="3" t="n">
        <v>113</v>
      </c>
      <c r="B57" s="29" t="n">
        <v>0.4934963999</v>
      </c>
      <c r="C57" s="29" t="n">
        <v>0.4933918272</v>
      </c>
      <c r="D57" s="29" t="n">
        <v>0.4933162148</v>
      </c>
      <c r="E57" s="29" t="n">
        <v>0.4932751476</v>
      </c>
      <c r="F57" s="29" t="n">
        <v>0.4932630152</v>
      </c>
      <c r="G57" s="29" t="n">
        <v>0.4932630152</v>
      </c>
      <c r="H57" s="29" t="n">
        <v>0.4932630152</v>
      </c>
      <c r="I57" s="29" t="n">
        <v>0.4932630152</v>
      </c>
      <c r="J57" s="29" t="n">
        <v>0.4932630152</v>
      </c>
      <c r="K57" s="29" t="n">
        <v>0.4932630152</v>
      </c>
      <c r="L57" s="29" t="n">
        <v>0.4932630152</v>
      </c>
      <c r="M57" s="29" t="n">
        <v>0.4932630152</v>
      </c>
      <c r="N57" s="29" t="n">
        <v>0.4932630152</v>
      </c>
      <c r="O57" s="29" t="n">
        <v>0.4932630152</v>
      </c>
      <c r="P57" s="29" t="n">
        <v>0.4932630152</v>
      </c>
      <c r="Q57" s="29" t="n">
        <v>0.4932630152</v>
      </c>
      <c r="R57" s="29" t="n">
        <v>0.4932630152</v>
      </c>
      <c r="S57" s="29" t="n">
        <v>0.4932630152</v>
      </c>
      <c r="T57" s="29" t="n">
        <v>0.4932630152</v>
      </c>
      <c r="U57" s="29" t="n">
        <v>0.4932630152</v>
      </c>
      <c r="V57" s="29" t="n">
        <v>0.4932630152</v>
      </c>
      <c r="W57" s="29" t="n">
        <v>0.4932630152</v>
      </c>
      <c r="X57" s="29" t="n">
        <v>0.4932630152</v>
      </c>
      <c r="Y57" s="29" t="n">
        <v>0.4932630152</v>
      </c>
      <c r="Z57" s="29" t="n">
        <v>0.4932630152</v>
      </c>
      <c r="AA57" s="29" t="n">
        <v>0.4932630152</v>
      </c>
      <c r="AB57" s="29" t="n">
        <v>0.4932630152</v>
      </c>
      <c r="AC57" s="29" t="n">
        <v>0.4932630152</v>
      </c>
      <c r="AD57" s="29" t="n">
        <v>0.4932630152</v>
      </c>
      <c r="AE57" s="29" t="n">
        <v>0.4932630152</v>
      </c>
      <c r="AF57" s="29" t="n">
        <v>0.4932630152</v>
      </c>
      <c r="AG57" s="29" t="n">
        <v>0.4932630152</v>
      </c>
      <c r="AH57" s="29" t="n">
        <v>0.4932630152</v>
      </c>
      <c r="AI57" s="29" t="n">
        <v>0.4932630152</v>
      </c>
      <c r="AJ57" s="29" t="n">
        <v>0.4932630152</v>
      </c>
      <c r="AK57" s="29" t="n">
        <v>0.4932630152</v>
      </c>
      <c r="AL57" s="29" t="n">
        <v>0.4932630152</v>
      </c>
      <c r="AM57" s="29" t="n">
        <v>0.4932630152</v>
      </c>
      <c r="AN57" s="29" t="n">
        <v>0.4932630152</v>
      </c>
      <c r="AO57" s="29" t="n">
        <v>0.4932630152</v>
      </c>
      <c r="AP57" s="29" t="n">
        <v>0.4932630152</v>
      </c>
      <c r="AQ57" s="29" t="n">
        <v>0.4932630152</v>
      </c>
      <c r="AR57" s="29" t="n">
        <v>0.4932630152</v>
      </c>
      <c r="AS57" s="29" t="n">
        <v>0.4932630152</v>
      </c>
      <c r="AT57" s="29" t="n">
        <v>0.4932630152</v>
      </c>
      <c r="AU57" s="29" t="n">
        <v>0.4932630152</v>
      </c>
      <c r="AV57" s="29" t="n">
        <v>0.4932630152</v>
      </c>
      <c r="AW57" s="29" t="n">
        <v>0.4932630152</v>
      </c>
      <c r="AX57" s="29" t="n">
        <v>0.4932630152</v>
      </c>
      <c r="AY57" s="29" t="n">
        <v>0.4932630152</v>
      </c>
      <c r="AZ57" s="29" t="n">
        <v>0.4932630152</v>
      </c>
      <c r="BA57" s="29" t="n">
        <v>0.4932630152</v>
      </c>
      <c r="BB57" s="29" t="n">
        <v>0.4932630152</v>
      </c>
      <c r="BC57" s="29" t="n">
        <v>0.4932630152</v>
      </c>
      <c r="BD57" s="29" t="n">
        <v>0.4932630152</v>
      </c>
      <c r="BE57" s="29" t="n">
        <v>0.4932630152</v>
      </c>
      <c r="BF57" s="29" t="n">
        <v>0.4932630152</v>
      </c>
      <c r="BG57" s="29" t="n">
        <v>0.4932630152</v>
      </c>
      <c r="BH57" s="29" t="n">
        <v>0.4932630152</v>
      </c>
      <c r="BI57" s="29" t="n">
        <v>0.4932630152</v>
      </c>
      <c r="BJ57" s="29" t="n">
        <v>0.4932630152</v>
      </c>
      <c r="BK57" s="29" t="n">
        <v>0.4932630152</v>
      </c>
      <c r="BL57" s="29" t="n">
        <v>0.4932630152</v>
      </c>
      <c r="BM57" s="29" t="n">
        <v>0.4932630152</v>
      </c>
      <c r="BN57" s="29" t="n">
        <v>0.4932630152</v>
      </c>
      <c r="BO57" s="29" t="n">
        <v>0.4932630152</v>
      </c>
      <c r="BP57" s="29" t="n">
        <v>0.4932630152</v>
      </c>
      <c r="BQ57" s="29" t="n">
        <v>0.4932630152</v>
      </c>
      <c r="BR57" s="29" t="n">
        <v>0.4932630152</v>
      </c>
      <c r="BS57" s="29" t="n">
        <v>0.4932630152</v>
      </c>
    </row>
    <row r="58" customFormat="false" ht="15" hidden="false" customHeight="true" outlineLevel="0" collapsed="false">
      <c r="A58" s="3" t="n">
        <v>114</v>
      </c>
      <c r="B58" s="29" t="n">
        <v>0.5105973779</v>
      </c>
      <c r="C58" s="29" t="n">
        <v>0.5105692681</v>
      </c>
      <c r="D58" s="29" t="n">
        <v>0.5105489397</v>
      </c>
      <c r="E58" s="29" t="n">
        <v>0.5105378976</v>
      </c>
      <c r="F58" s="29" t="n">
        <v>0.5105346352</v>
      </c>
      <c r="G58" s="29" t="n">
        <v>0.5105346352</v>
      </c>
      <c r="H58" s="29" t="n">
        <v>0.5105346352</v>
      </c>
      <c r="I58" s="29" t="n">
        <v>0.5105346352</v>
      </c>
      <c r="J58" s="29" t="n">
        <v>0.5105346352</v>
      </c>
      <c r="K58" s="29" t="n">
        <v>0.5105346352</v>
      </c>
      <c r="L58" s="29" t="n">
        <v>0.5105346352</v>
      </c>
      <c r="M58" s="29" t="n">
        <v>0.5105346352</v>
      </c>
      <c r="N58" s="29" t="n">
        <v>0.5105346352</v>
      </c>
      <c r="O58" s="29" t="n">
        <v>0.5105346352</v>
      </c>
      <c r="P58" s="29" t="n">
        <v>0.5105346352</v>
      </c>
      <c r="Q58" s="29" t="n">
        <v>0.5105346352</v>
      </c>
      <c r="R58" s="29" t="n">
        <v>0.5105346352</v>
      </c>
      <c r="S58" s="29" t="n">
        <v>0.5105346352</v>
      </c>
      <c r="T58" s="29" t="n">
        <v>0.5105346352</v>
      </c>
      <c r="U58" s="29" t="n">
        <v>0.5105346352</v>
      </c>
      <c r="V58" s="29" t="n">
        <v>0.5105346352</v>
      </c>
      <c r="W58" s="29" t="n">
        <v>0.5105346352</v>
      </c>
      <c r="X58" s="29" t="n">
        <v>0.5105346352</v>
      </c>
      <c r="Y58" s="29" t="n">
        <v>0.5105346352</v>
      </c>
      <c r="Z58" s="29" t="n">
        <v>0.5105346352</v>
      </c>
      <c r="AA58" s="29" t="n">
        <v>0.5105346352</v>
      </c>
      <c r="AB58" s="29" t="n">
        <v>0.5105346352</v>
      </c>
      <c r="AC58" s="29" t="n">
        <v>0.5105346352</v>
      </c>
      <c r="AD58" s="29" t="n">
        <v>0.5105346352</v>
      </c>
      <c r="AE58" s="29" t="n">
        <v>0.5105346352</v>
      </c>
      <c r="AF58" s="29" t="n">
        <v>0.5105346352</v>
      </c>
      <c r="AG58" s="29" t="n">
        <v>0.5105346352</v>
      </c>
      <c r="AH58" s="29" t="n">
        <v>0.5105346352</v>
      </c>
      <c r="AI58" s="29" t="n">
        <v>0.5105346352</v>
      </c>
      <c r="AJ58" s="29" t="n">
        <v>0.5105346352</v>
      </c>
      <c r="AK58" s="29" t="n">
        <v>0.5105346352</v>
      </c>
      <c r="AL58" s="29" t="n">
        <v>0.5105346352</v>
      </c>
      <c r="AM58" s="29" t="n">
        <v>0.5105346352</v>
      </c>
      <c r="AN58" s="29" t="n">
        <v>0.5105346352</v>
      </c>
      <c r="AO58" s="29" t="n">
        <v>0.5105346352</v>
      </c>
      <c r="AP58" s="29" t="n">
        <v>0.5105346352</v>
      </c>
      <c r="AQ58" s="29" t="n">
        <v>0.5105346352</v>
      </c>
      <c r="AR58" s="29" t="n">
        <v>0.5105346352</v>
      </c>
      <c r="AS58" s="29" t="n">
        <v>0.5105346352</v>
      </c>
      <c r="AT58" s="29" t="n">
        <v>0.5105346352</v>
      </c>
      <c r="AU58" s="29" t="n">
        <v>0.5105346352</v>
      </c>
      <c r="AV58" s="29" t="n">
        <v>0.5105346352</v>
      </c>
      <c r="AW58" s="29" t="n">
        <v>0.5105346352</v>
      </c>
      <c r="AX58" s="29" t="n">
        <v>0.5105346352</v>
      </c>
      <c r="AY58" s="29" t="n">
        <v>0.5105346352</v>
      </c>
      <c r="AZ58" s="29" t="n">
        <v>0.5105346352</v>
      </c>
      <c r="BA58" s="29" t="n">
        <v>0.5105346352</v>
      </c>
      <c r="BB58" s="29" t="n">
        <v>0.5105346352</v>
      </c>
      <c r="BC58" s="29" t="n">
        <v>0.5105346352</v>
      </c>
      <c r="BD58" s="29" t="n">
        <v>0.5105346352</v>
      </c>
      <c r="BE58" s="29" t="n">
        <v>0.5105346352</v>
      </c>
      <c r="BF58" s="29" t="n">
        <v>0.5105346352</v>
      </c>
      <c r="BG58" s="29" t="n">
        <v>0.5105346352</v>
      </c>
      <c r="BH58" s="29" t="n">
        <v>0.5105346352</v>
      </c>
      <c r="BI58" s="29" t="n">
        <v>0.5105346352</v>
      </c>
      <c r="BJ58" s="29" t="n">
        <v>0.5105346352</v>
      </c>
      <c r="BK58" s="29" t="n">
        <v>0.5105346352</v>
      </c>
      <c r="BL58" s="29" t="n">
        <v>0.5105346352</v>
      </c>
      <c r="BM58" s="29" t="n">
        <v>0.5105346352</v>
      </c>
      <c r="BN58" s="29" t="n">
        <v>0.5105346352</v>
      </c>
      <c r="BO58" s="29" t="n">
        <v>0.5105346352</v>
      </c>
      <c r="BP58" s="29" t="n">
        <v>0.5105346352</v>
      </c>
      <c r="BQ58" s="29" t="n">
        <v>0.5105346352</v>
      </c>
      <c r="BR58" s="29" t="n">
        <v>0.5105346352</v>
      </c>
      <c r="BS58" s="29" t="n">
        <v>0.5105346352</v>
      </c>
    </row>
    <row r="59" customFormat="false" ht="15" hidden="false" customHeight="true" outlineLevel="0" collapsed="false">
      <c r="A59" s="3" t="n">
        <v>115</v>
      </c>
      <c r="B59" s="29" t="n">
        <v>0.5274867411</v>
      </c>
      <c r="C59" s="29" t="n">
        <v>0.527528318</v>
      </c>
      <c r="D59" s="29" t="n">
        <v>0.5275583893</v>
      </c>
      <c r="E59" s="29" t="n">
        <v>0.5275747252</v>
      </c>
      <c r="F59" s="29" t="n">
        <v>0.5275795519</v>
      </c>
      <c r="G59" s="29" t="n">
        <v>0.5275795519</v>
      </c>
      <c r="H59" s="29" t="n">
        <v>0.5275795519</v>
      </c>
      <c r="I59" s="29" t="n">
        <v>0.5275795519</v>
      </c>
      <c r="J59" s="29" t="n">
        <v>0.5275795519</v>
      </c>
      <c r="K59" s="29" t="n">
        <v>0.5275795519</v>
      </c>
      <c r="L59" s="29" t="n">
        <v>0.5275795519</v>
      </c>
      <c r="M59" s="29" t="n">
        <v>0.5275795519</v>
      </c>
      <c r="N59" s="29" t="n">
        <v>0.5275795519</v>
      </c>
      <c r="O59" s="29" t="n">
        <v>0.5275795519</v>
      </c>
      <c r="P59" s="29" t="n">
        <v>0.5275795519</v>
      </c>
      <c r="Q59" s="29" t="n">
        <v>0.5275795519</v>
      </c>
      <c r="R59" s="29" t="n">
        <v>0.5275795519</v>
      </c>
      <c r="S59" s="29" t="n">
        <v>0.5275795519</v>
      </c>
      <c r="T59" s="29" t="n">
        <v>0.5275795519</v>
      </c>
      <c r="U59" s="29" t="n">
        <v>0.5275795519</v>
      </c>
      <c r="V59" s="29" t="n">
        <v>0.5275795519</v>
      </c>
      <c r="W59" s="29" t="n">
        <v>0.5275795519</v>
      </c>
      <c r="X59" s="29" t="n">
        <v>0.5275795519</v>
      </c>
      <c r="Y59" s="29" t="n">
        <v>0.5275795519</v>
      </c>
      <c r="Z59" s="29" t="n">
        <v>0.5275795519</v>
      </c>
      <c r="AA59" s="29" t="n">
        <v>0.5275795519</v>
      </c>
      <c r="AB59" s="29" t="n">
        <v>0.5275795519</v>
      </c>
      <c r="AC59" s="29" t="n">
        <v>0.5275795519</v>
      </c>
      <c r="AD59" s="29" t="n">
        <v>0.5275795519</v>
      </c>
      <c r="AE59" s="29" t="n">
        <v>0.5275795519</v>
      </c>
      <c r="AF59" s="29" t="n">
        <v>0.5275795519</v>
      </c>
      <c r="AG59" s="29" t="n">
        <v>0.5275795519</v>
      </c>
      <c r="AH59" s="29" t="n">
        <v>0.5275795519</v>
      </c>
      <c r="AI59" s="29" t="n">
        <v>0.5275795519</v>
      </c>
      <c r="AJ59" s="29" t="n">
        <v>0.5275795519</v>
      </c>
      <c r="AK59" s="29" t="n">
        <v>0.5275795519</v>
      </c>
      <c r="AL59" s="29" t="n">
        <v>0.5275795519</v>
      </c>
      <c r="AM59" s="29" t="n">
        <v>0.5275795519</v>
      </c>
      <c r="AN59" s="29" t="n">
        <v>0.5275795519</v>
      </c>
      <c r="AO59" s="29" t="n">
        <v>0.5275795519</v>
      </c>
      <c r="AP59" s="29" t="n">
        <v>0.5275795519</v>
      </c>
      <c r="AQ59" s="29" t="n">
        <v>0.5275795519</v>
      </c>
      <c r="AR59" s="29" t="n">
        <v>0.5275795519</v>
      </c>
      <c r="AS59" s="29" t="n">
        <v>0.5275795519</v>
      </c>
      <c r="AT59" s="29" t="n">
        <v>0.5275795519</v>
      </c>
      <c r="AU59" s="29" t="n">
        <v>0.5275795519</v>
      </c>
      <c r="AV59" s="29" t="n">
        <v>0.5275795519</v>
      </c>
      <c r="AW59" s="29" t="n">
        <v>0.5275795519</v>
      </c>
      <c r="AX59" s="29" t="n">
        <v>0.5275795519</v>
      </c>
      <c r="AY59" s="29" t="n">
        <v>0.5275795519</v>
      </c>
      <c r="AZ59" s="29" t="n">
        <v>0.5275795519</v>
      </c>
      <c r="BA59" s="29" t="n">
        <v>0.5275795519</v>
      </c>
      <c r="BB59" s="29" t="n">
        <v>0.5275795519</v>
      </c>
      <c r="BC59" s="29" t="n">
        <v>0.5275795519</v>
      </c>
      <c r="BD59" s="29" t="n">
        <v>0.5275795519</v>
      </c>
      <c r="BE59" s="29" t="n">
        <v>0.5275795519</v>
      </c>
      <c r="BF59" s="29" t="n">
        <v>0.5275795519</v>
      </c>
      <c r="BG59" s="29" t="n">
        <v>0.5275795519</v>
      </c>
      <c r="BH59" s="29" t="n">
        <v>0.5275795519</v>
      </c>
      <c r="BI59" s="29" t="n">
        <v>0.5275795519</v>
      </c>
      <c r="BJ59" s="29" t="n">
        <v>0.5275795519</v>
      </c>
      <c r="BK59" s="29" t="n">
        <v>0.5275795519</v>
      </c>
      <c r="BL59" s="29" t="n">
        <v>0.5275795519</v>
      </c>
      <c r="BM59" s="29" t="n">
        <v>0.5275795519</v>
      </c>
      <c r="BN59" s="29" t="n">
        <v>0.5275795519</v>
      </c>
      <c r="BO59" s="29" t="n">
        <v>0.5275795519</v>
      </c>
      <c r="BP59" s="29" t="n">
        <v>0.5275795519</v>
      </c>
      <c r="BQ59" s="29" t="n">
        <v>0.5275795519</v>
      </c>
      <c r="BR59" s="29" t="n">
        <v>0.5275795519</v>
      </c>
      <c r="BS59" s="29" t="n">
        <v>0.5275795519</v>
      </c>
    </row>
    <row r="60" customFormat="false" ht="15" hidden="false" customHeight="true" outlineLevel="0" collapsed="false">
      <c r="A60" s="3" t="n">
        <v>116</v>
      </c>
      <c r="B60" s="29" t="n">
        <v>0.544119758</v>
      </c>
      <c r="C60" s="29" t="n">
        <v>0.5442239064</v>
      </c>
      <c r="D60" s="29" t="n">
        <v>0.5442992424</v>
      </c>
      <c r="E60" s="29" t="n">
        <v>0.5443401713</v>
      </c>
      <c r="F60" s="29" t="n">
        <v>0.5443522649</v>
      </c>
      <c r="G60" s="29" t="n">
        <v>0.5443522649</v>
      </c>
      <c r="H60" s="29" t="n">
        <v>0.5443522649</v>
      </c>
      <c r="I60" s="29" t="n">
        <v>0.5443522649</v>
      </c>
      <c r="J60" s="29" t="n">
        <v>0.5443522649</v>
      </c>
      <c r="K60" s="29" t="n">
        <v>0.5443522649</v>
      </c>
      <c r="L60" s="29" t="n">
        <v>0.5443522649</v>
      </c>
      <c r="M60" s="29" t="n">
        <v>0.5443522649</v>
      </c>
      <c r="N60" s="29" t="n">
        <v>0.5443522649</v>
      </c>
      <c r="O60" s="29" t="n">
        <v>0.5443522649</v>
      </c>
      <c r="P60" s="29" t="n">
        <v>0.5443522649</v>
      </c>
      <c r="Q60" s="29" t="n">
        <v>0.5443522649</v>
      </c>
      <c r="R60" s="29" t="n">
        <v>0.5443522649</v>
      </c>
      <c r="S60" s="29" t="n">
        <v>0.5443522649</v>
      </c>
      <c r="T60" s="29" t="n">
        <v>0.5443522649</v>
      </c>
      <c r="U60" s="29" t="n">
        <v>0.5443522649</v>
      </c>
      <c r="V60" s="29" t="n">
        <v>0.5443522649</v>
      </c>
      <c r="W60" s="29" t="n">
        <v>0.5443522649</v>
      </c>
      <c r="X60" s="29" t="n">
        <v>0.5443522649</v>
      </c>
      <c r="Y60" s="29" t="n">
        <v>0.5443522649</v>
      </c>
      <c r="Z60" s="29" t="n">
        <v>0.5443522649</v>
      </c>
      <c r="AA60" s="29" t="n">
        <v>0.5443522649</v>
      </c>
      <c r="AB60" s="29" t="n">
        <v>0.5443522649</v>
      </c>
      <c r="AC60" s="29" t="n">
        <v>0.5443522649</v>
      </c>
      <c r="AD60" s="29" t="n">
        <v>0.5443522649</v>
      </c>
      <c r="AE60" s="29" t="n">
        <v>0.5443522649</v>
      </c>
      <c r="AF60" s="29" t="n">
        <v>0.5443522649</v>
      </c>
      <c r="AG60" s="29" t="n">
        <v>0.5443522649</v>
      </c>
      <c r="AH60" s="29" t="n">
        <v>0.5443522649</v>
      </c>
      <c r="AI60" s="29" t="n">
        <v>0.5443522649</v>
      </c>
      <c r="AJ60" s="29" t="n">
        <v>0.5443522649</v>
      </c>
      <c r="AK60" s="29" t="n">
        <v>0.5443522649</v>
      </c>
      <c r="AL60" s="29" t="n">
        <v>0.5443522649</v>
      </c>
      <c r="AM60" s="29" t="n">
        <v>0.5443522649</v>
      </c>
      <c r="AN60" s="29" t="n">
        <v>0.5443522649</v>
      </c>
      <c r="AO60" s="29" t="n">
        <v>0.5443522649</v>
      </c>
      <c r="AP60" s="29" t="n">
        <v>0.5443522649</v>
      </c>
      <c r="AQ60" s="29" t="n">
        <v>0.5443522649</v>
      </c>
      <c r="AR60" s="29" t="n">
        <v>0.5443522649</v>
      </c>
      <c r="AS60" s="29" t="n">
        <v>0.5443522649</v>
      </c>
      <c r="AT60" s="29" t="n">
        <v>0.5443522649</v>
      </c>
      <c r="AU60" s="29" t="n">
        <v>0.5443522649</v>
      </c>
      <c r="AV60" s="29" t="n">
        <v>0.5443522649</v>
      </c>
      <c r="AW60" s="29" t="n">
        <v>0.5443522649</v>
      </c>
      <c r="AX60" s="29" t="n">
        <v>0.5443522649</v>
      </c>
      <c r="AY60" s="29" t="n">
        <v>0.5443522649</v>
      </c>
      <c r="AZ60" s="29" t="n">
        <v>0.5443522649</v>
      </c>
      <c r="BA60" s="29" t="n">
        <v>0.5443522649</v>
      </c>
      <c r="BB60" s="29" t="n">
        <v>0.5443522649</v>
      </c>
      <c r="BC60" s="29" t="n">
        <v>0.5443522649</v>
      </c>
      <c r="BD60" s="29" t="n">
        <v>0.5443522649</v>
      </c>
      <c r="BE60" s="29" t="n">
        <v>0.5443522649</v>
      </c>
      <c r="BF60" s="29" t="n">
        <v>0.5443522649</v>
      </c>
      <c r="BG60" s="29" t="n">
        <v>0.5443522649</v>
      </c>
      <c r="BH60" s="29" t="n">
        <v>0.5443522649</v>
      </c>
      <c r="BI60" s="29" t="n">
        <v>0.5443522649</v>
      </c>
      <c r="BJ60" s="29" t="n">
        <v>0.5443522649</v>
      </c>
      <c r="BK60" s="29" t="n">
        <v>0.5443522649</v>
      </c>
      <c r="BL60" s="29" t="n">
        <v>0.5443522649</v>
      </c>
      <c r="BM60" s="29" t="n">
        <v>0.5443522649</v>
      </c>
      <c r="BN60" s="29" t="n">
        <v>0.5443522649</v>
      </c>
      <c r="BO60" s="29" t="n">
        <v>0.5443522649</v>
      </c>
      <c r="BP60" s="29" t="n">
        <v>0.5443522649</v>
      </c>
      <c r="BQ60" s="29" t="n">
        <v>0.5443522649</v>
      </c>
      <c r="BR60" s="29" t="n">
        <v>0.5443522649</v>
      </c>
      <c r="BS60" s="29" t="n">
        <v>0.5443522649</v>
      </c>
    </row>
    <row r="61" customFormat="false" ht="15" hidden="false" customHeight="true" outlineLevel="0" collapsed="false">
      <c r="A61" s="3" t="n">
        <v>117</v>
      </c>
      <c r="B61" s="29" t="n">
        <v>0.5604550371</v>
      </c>
      <c r="C61" s="29" t="n">
        <v>0.5606144783</v>
      </c>
      <c r="D61" s="29" t="n">
        <v>0.5607298212</v>
      </c>
      <c r="E61" s="29" t="n">
        <v>0.5607924895</v>
      </c>
      <c r="F61" s="29" t="n">
        <v>0.5608110072</v>
      </c>
      <c r="G61" s="29" t="n">
        <v>0.5608110072</v>
      </c>
      <c r="H61" s="29" t="n">
        <v>0.5608110072</v>
      </c>
      <c r="I61" s="29" t="n">
        <v>0.5608110072</v>
      </c>
      <c r="J61" s="29" t="n">
        <v>0.5608110072</v>
      </c>
      <c r="K61" s="29" t="n">
        <v>0.5608110072</v>
      </c>
      <c r="L61" s="29" t="n">
        <v>0.5608110072</v>
      </c>
      <c r="M61" s="29" t="n">
        <v>0.5608110072</v>
      </c>
      <c r="N61" s="29" t="n">
        <v>0.5608110072</v>
      </c>
      <c r="O61" s="29" t="n">
        <v>0.5608110072</v>
      </c>
      <c r="P61" s="29" t="n">
        <v>0.5608110072</v>
      </c>
      <c r="Q61" s="29" t="n">
        <v>0.5608110072</v>
      </c>
      <c r="R61" s="29" t="n">
        <v>0.5608110072</v>
      </c>
      <c r="S61" s="29" t="n">
        <v>0.5608110072</v>
      </c>
      <c r="T61" s="29" t="n">
        <v>0.5608110072</v>
      </c>
      <c r="U61" s="29" t="n">
        <v>0.5608110072</v>
      </c>
      <c r="V61" s="29" t="n">
        <v>0.5608110072</v>
      </c>
      <c r="W61" s="29" t="n">
        <v>0.5608110072</v>
      </c>
      <c r="X61" s="29" t="n">
        <v>0.5608110072</v>
      </c>
      <c r="Y61" s="29" t="n">
        <v>0.5608110072</v>
      </c>
      <c r="Z61" s="29" t="n">
        <v>0.5608110072</v>
      </c>
      <c r="AA61" s="29" t="n">
        <v>0.5608110072</v>
      </c>
      <c r="AB61" s="29" t="n">
        <v>0.5608110072</v>
      </c>
      <c r="AC61" s="29" t="n">
        <v>0.5608110072</v>
      </c>
      <c r="AD61" s="29" t="n">
        <v>0.5608110072</v>
      </c>
      <c r="AE61" s="29" t="n">
        <v>0.5608110072</v>
      </c>
      <c r="AF61" s="29" t="n">
        <v>0.5608110072</v>
      </c>
      <c r="AG61" s="29" t="n">
        <v>0.5608110072</v>
      </c>
      <c r="AH61" s="29" t="n">
        <v>0.5608110072</v>
      </c>
      <c r="AI61" s="29" t="n">
        <v>0.5608110072</v>
      </c>
      <c r="AJ61" s="29" t="n">
        <v>0.5608110072</v>
      </c>
      <c r="AK61" s="29" t="n">
        <v>0.5608110072</v>
      </c>
      <c r="AL61" s="29" t="n">
        <v>0.5608110072</v>
      </c>
      <c r="AM61" s="29" t="n">
        <v>0.5608110072</v>
      </c>
      <c r="AN61" s="29" t="n">
        <v>0.5608110072</v>
      </c>
      <c r="AO61" s="29" t="n">
        <v>0.5608110072</v>
      </c>
      <c r="AP61" s="29" t="n">
        <v>0.5608110072</v>
      </c>
      <c r="AQ61" s="29" t="n">
        <v>0.5608110072</v>
      </c>
      <c r="AR61" s="29" t="n">
        <v>0.5608110072</v>
      </c>
      <c r="AS61" s="29" t="n">
        <v>0.5608110072</v>
      </c>
      <c r="AT61" s="29" t="n">
        <v>0.5608110072</v>
      </c>
      <c r="AU61" s="29" t="n">
        <v>0.5608110072</v>
      </c>
      <c r="AV61" s="29" t="n">
        <v>0.5608110072</v>
      </c>
      <c r="AW61" s="29" t="n">
        <v>0.5608110072</v>
      </c>
      <c r="AX61" s="29" t="n">
        <v>0.5608110072</v>
      </c>
      <c r="AY61" s="29" t="n">
        <v>0.5608110072</v>
      </c>
      <c r="AZ61" s="29" t="n">
        <v>0.5608110072</v>
      </c>
      <c r="BA61" s="29" t="n">
        <v>0.5608110072</v>
      </c>
      <c r="BB61" s="29" t="n">
        <v>0.5608110072</v>
      </c>
      <c r="BC61" s="29" t="n">
        <v>0.5608110072</v>
      </c>
      <c r="BD61" s="29" t="n">
        <v>0.5608110072</v>
      </c>
      <c r="BE61" s="29" t="n">
        <v>0.5608110072</v>
      </c>
      <c r="BF61" s="29" t="n">
        <v>0.5608110072</v>
      </c>
      <c r="BG61" s="29" t="n">
        <v>0.5608110072</v>
      </c>
      <c r="BH61" s="29" t="n">
        <v>0.5608110072</v>
      </c>
      <c r="BI61" s="29" t="n">
        <v>0.5608110072</v>
      </c>
      <c r="BJ61" s="29" t="n">
        <v>0.5608110072</v>
      </c>
      <c r="BK61" s="29" t="n">
        <v>0.5608110072</v>
      </c>
      <c r="BL61" s="29" t="n">
        <v>0.5608110072</v>
      </c>
      <c r="BM61" s="29" t="n">
        <v>0.5608110072</v>
      </c>
      <c r="BN61" s="29" t="n">
        <v>0.5608110072</v>
      </c>
      <c r="BO61" s="29" t="n">
        <v>0.5608110072</v>
      </c>
      <c r="BP61" s="29" t="n">
        <v>0.5608110072</v>
      </c>
      <c r="BQ61" s="29" t="n">
        <v>0.5608110072</v>
      </c>
      <c r="BR61" s="29" t="n">
        <v>0.5608110072</v>
      </c>
      <c r="BS61" s="29" t="n">
        <v>0.5608110072</v>
      </c>
    </row>
    <row r="62" customFormat="false" ht="15" hidden="false" customHeight="true" outlineLevel="0" collapsed="false">
      <c r="A62" s="3" t="n">
        <v>118</v>
      </c>
      <c r="B62" s="29" t="n">
        <v>0.5764548096</v>
      </c>
      <c r="C62" s="29" t="n">
        <v>0.5766622621</v>
      </c>
      <c r="D62" s="29" t="n">
        <v>0.5768123488</v>
      </c>
      <c r="E62" s="29" t="n">
        <v>0.5768938985</v>
      </c>
      <c r="F62" s="29" t="n">
        <v>0.5769179962</v>
      </c>
      <c r="G62" s="29" t="n">
        <v>0.5769179962</v>
      </c>
      <c r="H62" s="29" t="n">
        <v>0.5769179962</v>
      </c>
      <c r="I62" s="29" t="n">
        <v>0.5769179962</v>
      </c>
      <c r="J62" s="29" t="n">
        <v>0.5769179962</v>
      </c>
      <c r="K62" s="29" t="n">
        <v>0.5769179962</v>
      </c>
      <c r="L62" s="29" t="n">
        <v>0.5769179962</v>
      </c>
      <c r="M62" s="29" t="n">
        <v>0.5769179962</v>
      </c>
      <c r="N62" s="29" t="n">
        <v>0.5769179962</v>
      </c>
      <c r="O62" s="29" t="n">
        <v>0.5769179962</v>
      </c>
      <c r="P62" s="29" t="n">
        <v>0.5769179962</v>
      </c>
      <c r="Q62" s="29" t="n">
        <v>0.5769179962</v>
      </c>
      <c r="R62" s="29" t="n">
        <v>0.5769179962</v>
      </c>
      <c r="S62" s="29" t="n">
        <v>0.5769179962</v>
      </c>
      <c r="T62" s="29" t="n">
        <v>0.5769179962</v>
      </c>
      <c r="U62" s="29" t="n">
        <v>0.5769179962</v>
      </c>
      <c r="V62" s="29" t="n">
        <v>0.5769179962</v>
      </c>
      <c r="W62" s="29" t="n">
        <v>0.5769179962</v>
      </c>
      <c r="X62" s="29" t="n">
        <v>0.5769179962</v>
      </c>
      <c r="Y62" s="29" t="n">
        <v>0.5769179962</v>
      </c>
      <c r="Z62" s="29" t="n">
        <v>0.5769179962</v>
      </c>
      <c r="AA62" s="29" t="n">
        <v>0.5769179962</v>
      </c>
      <c r="AB62" s="29" t="n">
        <v>0.5769179962</v>
      </c>
      <c r="AC62" s="29" t="n">
        <v>0.5769179962</v>
      </c>
      <c r="AD62" s="29" t="n">
        <v>0.5769179962</v>
      </c>
      <c r="AE62" s="29" t="n">
        <v>0.5769179962</v>
      </c>
      <c r="AF62" s="29" t="n">
        <v>0.5769179962</v>
      </c>
      <c r="AG62" s="29" t="n">
        <v>0.5769179962</v>
      </c>
      <c r="AH62" s="29" t="n">
        <v>0.5769179962</v>
      </c>
      <c r="AI62" s="29" t="n">
        <v>0.5769179962</v>
      </c>
      <c r="AJ62" s="29" t="n">
        <v>0.5769179962</v>
      </c>
      <c r="AK62" s="29" t="n">
        <v>0.5769179962</v>
      </c>
      <c r="AL62" s="29" t="n">
        <v>0.5769179962</v>
      </c>
      <c r="AM62" s="29" t="n">
        <v>0.5769179962</v>
      </c>
      <c r="AN62" s="29" t="n">
        <v>0.5769179962</v>
      </c>
      <c r="AO62" s="29" t="n">
        <v>0.5769179962</v>
      </c>
      <c r="AP62" s="29" t="n">
        <v>0.5769179962</v>
      </c>
      <c r="AQ62" s="29" t="n">
        <v>0.5769179962</v>
      </c>
      <c r="AR62" s="29" t="n">
        <v>0.5769179962</v>
      </c>
      <c r="AS62" s="29" t="n">
        <v>0.5769179962</v>
      </c>
      <c r="AT62" s="29" t="n">
        <v>0.5769179962</v>
      </c>
      <c r="AU62" s="29" t="n">
        <v>0.5769179962</v>
      </c>
      <c r="AV62" s="29" t="n">
        <v>0.5769179962</v>
      </c>
      <c r="AW62" s="29" t="n">
        <v>0.5769179962</v>
      </c>
      <c r="AX62" s="29" t="n">
        <v>0.5769179962</v>
      </c>
      <c r="AY62" s="29" t="n">
        <v>0.5769179962</v>
      </c>
      <c r="AZ62" s="29" t="n">
        <v>0.5769179962</v>
      </c>
      <c r="BA62" s="29" t="n">
        <v>0.5769179962</v>
      </c>
      <c r="BB62" s="29" t="n">
        <v>0.5769179962</v>
      </c>
      <c r="BC62" s="29" t="n">
        <v>0.5769179962</v>
      </c>
      <c r="BD62" s="29" t="n">
        <v>0.5769179962</v>
      </c>
      <c r="BE62" s="29" t="n">
        <v>0.5769179962</v>
      </c>
      <c r="BF62" s="29" t="n">
        <v>0.5769179962</v>
      </c>
      <c r="BG62" s="29" t="n">
        <v>0.5769179962</v>
      </c>
      <c r="BH62" s="29" t="n">
        <v>0.5769179962</v>
      </c>
      <c r="BI62" s="29" t="n">
        <v>0.5769179962</v>
      </c>
      <c r="BJ62" s="29" t="n">
        <v>0.5769179962</v>
      </c>
      <c r="BK62" s="29" t="n">
        <v>0.5769179962</v>
      </c>
      <c r="BL62" s="29" t="n">
        <v>0.5769179962</v>
      </c>
      <c r="BM62" s="29" t="n">
        <v>0.5769179962</v>
      </c>
      <c r="BN62" s="29" t="n">
        <v>0.5769179962</v>
      </c>
      <c r="BO62" s="29" t="n">
        <v>0.5769179962</v>
      </c>
      <c r="BP62" s="29" t="n">
        <v>0.5769179962</v>
      </c>
      <c r="BQ62" s="29" t="n">
        <v>0.5769179962</v>
      </c>
      <c r="BR62" s="29" t="n">
        <v>0.5769179962</v>
      </c>
      <c r="BS62" s="29" t="n">
        <v>0.5769179962</v>
      </c>
    </row>
    <row r="63" customFormat="false" ht="15" hidden="false" customHeight="true" outlineLevel="0" collapsed="false">
      <c r="A63" s="3" t="n">
        <v>119</v>
      </c>
      <c r="B63" s="29" t="n">
        <v>0.5920851297</v>
      </c>
      <c r="C63" s="29" t="n">
        <v>0.5923334516</v>
      </c>
      <c r="D63" s="29" t="n">
        <v>0.5925131168</v>
      </c>
      <c r="E63" s="29" t="n">
        <v>0.5926107424</v>
      </c>
      <c r="F63" s="29" t="n">
        <v>0.592639591</v>
      </c>
      <c r="G63" s="29" t="n">
        <v>0.592639591</v>
      </c>
      <c r="H63" s="29" t="n">
        <v>0.592639591</v>
      </c>
      <c r="I63" s="29" t="n">
        <v>0.592639591</v>
      </c>
      <c r="J63" s="29" t="n">
        <v>0.592639591</v>
      </c>
      <c r="K63" s="29" t="n">
        <v>0.592639591</v>
      </c>
      <c r="L63" s="29" t="n">
        <v>0.592639591</v>
      </c>
      <c r="M63" s="29" t="n">
        <v>0.592639591</v>
      </c>
      <c r="N63" s="29" t="n">
        <v>0.592639591</v>
      </c>
      <c r="O63" s="29" t="n">
        <v>0.592639591</v>
      </c>
      <c r="P63" s="29" t="n">
        <v>0.592639591</v>
      </c>
      <c r="Q63" s="29" t="n">
        <v>0.592639591</v>
      </c>
      <c r="R63" s="29" t="n">
        <v>0.592639591</v>
      </c>
      <c r="S63" s="29" t="n">
        <v>0.592639591</v>
      </c>
      <c r="T63" s="29" t="n">
        <v>0.592639591</v>
      </c>
      <c r="U63" s="29" t="n">
        <v>0.592639591</v>
      </c>
      <c r="V63" s="29" t="n">
        <v>0.592639591</v>
      </c>
      <c r="W63" s="29" t="n">
        <v>0.592639591</v>
      </c>
      <c r="X63" s="29" t="n">
        <v>0.592639591</v>
      </c>
      <c r="Y63" s="29" t="n">
        <v>0.592639591</v>
      </c>
      <c r="Z63" s="29" t="n">
        <v>0.592639591</v>
      </c>
      <c r="AA63" s="29" t="n">
        <v>0.592639591</v>
      </c>
      <c r="AB63" s="29" t="n">
        <v>0.592639591</v>
      </c>
      <c r="AC63" s="29" t="n">
        <v>0.592639591</v>
      </c>
      <c r="AD63" s="29" t="n">
        <v>0.592639591</v>
      </c>
      <c r="AE63" s="29" t="n">
        <v>0.592639591</v>
      </c>
      <c r="AF63" s="29" t="n">
        <v>0.592639591</v>
      </c>
      <c r="AG63" s="29" t="n">
        <v>0.592639591</v>
      </c>
      <c r="AH63" s="29" t="n">
        <v>0.592639591</v>
      </c>
      <c r="AI63" s="29" t="n">
        <v>0.592639591</v>
      </c>
      <c r="AJ63" s="29" t="n">
        <v>0.592639591</v>
      </c>
      <c r="AK63" s="29" t="n">
        <v>0.592639591</v>
      </c>
      <c r="AL63" s="29" t="n">
        <v>0.592639591</v>
      </c>
      <c r="AM63" s="29" t="n">
        <v>0.592639591</v>
      </c>
      <c r="AN63" s="29" t="n">
        <v>0.592639591</v>
      </c>
      <c r="AO63" s="29" t="n">
        <v>0.592639591</v>
      </c>
      <c r="AP63" s="29" t="n">
        <v>0.592639591</v>
      </c>
      <c r="AQ63" s="29" t="n">
        <v>0.592639591</v>
      </c>
      <c r="AR63" s="29" t="n">
        <v>0.592639591</v>
      </c>
      <c r="AS63" s="29" t="n">
        <v>0.592639591</v>
      </c>
      <c r="AT63" s="29" t="n">
        <v>0.592639591</v>
      </c>
      <c r="AU63" s="29" t="n">
        <v>0.592639591</v>
      </c>
      <c r="AV63" s="29" t="n">
        <v>0.592639591</v>
      </c>
      <c r="AW63" s="29" t="n">
        <v>0.592639591</v>
      </c>
      <c r="AX63" s="29" t="n">
        <v>0.592639591</v>
      </c>
      <c r="AY63" s="29" t="n">
        <v>0.592639591</v>
      </c>
      <c r="AZ63" s="29" t="n">
        <v>0.592639591</v>
      </c>
      <c r="BA63" s="29" t="n">
        <v>0.592639591</v>
      </c>
      <c r="BB63" s="29" t="n">
        <v>0.592639591</v>
      </c>
      <c r="BC63" s="29" t="n">
        <v>0.592639591</v>
      </c>
      <c r="BD63" s="29" t="n">
        <v>0.592639591</v>
      </c>
      <c r="BE63" s="29" t="n">
        <v>0.592639591</v>
      </c>
      <c r="BF63" s="29" t="n">
        <v>0.592639591</v>
      </c>
      <c r="BG63" s="29" t="n">
        <v>0.592639591</v>
      </c>
      <c r="BH63" s="29" t="n">
        <v>0.592639591</v>
      </c>
      <c r="BI63" s="29" t="n">
        <v>0.592639591</v>
      </c>
      <c r="BJ63" s="29" t="n">
        <v>0.592639591</v>
      </c>
      <c r="BK63" s="29" t="n">
        <v>0.592639591</v>
      </c>
      <c r="BL63" s="29" t="n">
        <v>0.592639591</v>
      </c>
      <c r="BM63" s="29" t="n">
        <v>0.592639591</v>
      </c>
      <c r="BN63" s="29" t="n">
        <v>0.592639591</v>
      </c>
      <c r="BO63" s="29" t="n">
        <v>0.592639591</v>
      </c>
      <c r="BP63" s="29" t="n">
        <v>0.592639591</v>
      </c>
      <c r="BQ63" s="29" t="n">
        <v>0.592639591</v>
      </c>
      <c r="BR63" s="29" t="n">
        <v>0.592639591</v>
      </c>
      <c r="BS63" s="29" t="n">
        <v>0.592639591</v>
      </c>
    </row>
    <row r="64" customFormat="false" ht="15" hidden="false" customHeight="true" outlineLevel="0" collapsed="false">
      <c r="A64" s="3" t="n">
        <v>120</v>
      </c>
      <c r="B64" s="29" t="n">
        <v>0.607315997</v>
      </c>
      <c r="C64" s="29" t="n">
        <v>0.607598306</v>
      </c>
      <c r="D64" s="29" t="n">
        <v>0.6078025708</v>
      </c>
      <c r="E64" s="29" t="n">
        <v>0.6079135667</v>
      </c>
      <c r="F64" s="29" t="n">
        <v>0.607946367</v>
      </c>
      <c r="G64" s="29" t="n">
        <v>0.607946367</v>
      </c>
      <c r="H64" s="29" t="n">
        <v>0.607946367</v>
      </c>
      <c r="I64" s="29" t="n">
        <v>0.607946367</v>
      </c>
      <c r="J64" s="29" t="n">
        <v>0.607946367</v>
      </c>
      <c r="K64" s="29" t="n">
        <v>0.607946367</v>
      </c>
      <c r="L64" s="29" t="n">
        <v>0.607946367</v>
      </c>
      <c r="M64" s="29" t="n">
        <v>0.607946367</v>
      </c>
      <c r="N64" s="29" t="n">
        <v>0.607946367</v>
      </c>
      <c r="O64" s="29" t="n">
        <v>0.607946367</v>
      </c>
      <c r="P64" s="29" t="n">
        <v>0.607946367</v>
      </c>
      <c r="Q64" s="29" t="n">
        <v>0.607946367</v>
      </c>
      <c r="R64" s="29" t="n">
        <v>0.607946367</v>
      </c>
      <c r="S64" s="29" t="n">
        <v>0.607946367</v>
      </c>
      <c r="T64" s="29" t="n">
        <v>0.607946367</v>
      </c>
      <c r="U64" s="29" t="n">
        <v>0.607946367</v>
      </c>
      <c r="V64" s="29" t="n">
        <v>0.607946367</v>
      </c>
      <c r="W64" s="29" t="n">
        <v>0.607946367</v>
      </c>
      <c r="X64" s="29" t="n">
        <v>0.607946367</v>
      </c>
      <c r="Y64" s="29" t="n">
        <v>0.607946367</v>
      </c>
      <c r="Z64" s="29" t="n">
        <v>0.607946367</v>
      </c>
      <c r="AA64" s="29" t="n">
        <v>0.607946367</v>
      </c>
      <c r="AB64" s="29" t="n">
        <v>0.607946367</v>
      </c>
      <c r="AC64" s="29" t="n">
        <v>0.607946367</v>
      </c>
      <c r="AD64" s="29" t="n">
        <v>0.607946367</v>
      </c>
      <c r="AE64" s="29" t="n">
        <v>0.607946367</v>
      </c>
      <c r="AF64" s="29" t="n">
        <v>0.607946367</v>
      </c>
      <c r="AG64" s="29" t="n">
        <v>0.607946367</v>
      </c>
      <c r="AH64" s="29" t="n">
        <v>0.607946367</v>
      </c>
      <c r="AI64" s="29" t="n">
        <v>0.607946367</v>
      </c>
      <c r="AJ64" s="29" t="n">
        <v>0.607946367</v>
      </c>
      <c r="AK64" s="29" t="n">
        <v>0.607946367</v>
      </c>
      <c r="AL64" s="29" t="n">
        <v>0.607946367</v>
      </c>
      <c r="AM64" s="29" t="n">
        <v>0.607946367</v>
      </c>
      <c r="AN64" s="29" t="n">
        <v>0.607946367</v>
      </c>
      <c r="AO64" s="29" t="n">
        <v>0.607946367</v>
      </c>
      <c r="AP64" s="29" t="n">
        <v>0.607946367</v>
      </c>
      <c r="AQ64" s="29" t="n">
        <v>0.607946367</v>
      </c>
      <c r="AR64" s="29" t="n">
        <v>0.607946367</v>
      </c>
      <c r="AS64" s="29" t="n">
        <v>0.607946367</v>
      </c>
      <c r="AT64" s="29" t="n">
        <v>0.607946367</v>
      </c>
      <c r="AU64" s="29" t="n">
        <v>0.607946367</v>
      </c>
      <c r="AV64" s="29" t="n">
        <v>0.607946367</v>
      </c>
      <c r="AW64" s="29" t="n">
        <v>0.607946367</v>
      </c>
      <c r="AX64" s="29" t="n">
        <v>0.607946367</v>
      </c>
      <c r="AY64" s="29" t="n">
        <v>0.607946367</v>
      </c>
      <c r="AZ64" s="29" t="n">
        <v>0.607946367</v>
      </c>
      <c r="BA64" s="29" t="n">
        <v>0.607946367</v>
      </c>
      <c r="BB64" s="29" t="n">
        <v>0.607946367</v>
      </c>
      <c r="BC64" s="29" t="n">
        <v>0.607946367</v>
      </c>
      <c r="BD64" s="29" t="n">
        <v>0.607946367</v>
      </c>
      <c r="BE64" s="29" t="n">
        <v>0.607946367</v>
      </c>
      <c r="BF64" s="29" t="n">
        <v>0.607946367</v>
      </c>
      <c r="BG64" s="29" t="n">
        <v>0.607946367</v>
      </c>
      <c r="BH64" s="29" t="n">
        <v>0.607946367</v>
      </c>
      <c r="BI64" s="29" t="n">
        <v>0.607946367</v>
      </c>
      <c r="BJ64" s="29" t="n">
        <v>0.607946367</v>
      </c>
      <c r="BK64" s="29" t="n">
        <v>0.607946367</v>
      </c>
      <c r="BL64" s="29" t="n">
        <v>0.607946367</v>
      </c>
      <c r="BM64" s="29" t="n">
        <v>0.607946367</v>
      </c>
      <c r="BN64" s="29" t="n">
        <v>0.607946367</v>
      </c>
      <c r="BO64" s="29" t="n">
        <v>0.607946367</v>
      </c>
      <c r="BP64" s="29" t="n">
        <v>0.607946367</v>
      </c>
      <c r="BQ64" s="29" t="n">
        <v>0.607946367</v>
      </c>
      <c r="BR64" s="29" t="n">
        <v>0.607946367</v>
      </c>
      <c r="BS64" s="29" t="n">
        <v>0.607946367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C18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1" min="1" style="1" width="15"/>
  </cols>
  <sheetData>
    <row r="1" customFormat="false" ht="15.75" hidden="false" customHeight="true" outlineLevel="0" collapsed="false">
      <c r="A1" s="15" t="s">
        <v>518</v>
      </c>
    </row>
    <row r="2" customFormat="false" ht="15" hidden="false" customHeight="true" outlineLevel="0" collapsed="false">
      <c r="A2" s="7" t="s">
        <v>519</v>
      </c>
    </row>
    <row r="3" customFormat="false" ht="15" hidden="false" customHeight="true" outlineLevel="0" collapsed="false">
      <c r="A3" s="7" t="s">
        <v>520</v>
      </c>
    </row>
    <row r="5" customFormat="false" ht="15" hidden="false" customHeight="true" outlineLevel="0" collapsed="false">
      <c r="A5" s="6" t="s">
        <v>521</v>
      </c>
    </row>
    <row r="6" customFormat="false" ht="15" hidden="false" customHeight="true" outlineLevel="0" collapsed="false">
      <c r="A6" s="7" t="s">
        <v>522</v>
      </c>
      <c r="B6" s="35" t="n">
        <v>-3.5927770715366</v>
      </c>
    </row>
    <row r="7" customFormat="false" ht="15" hidden="false" customHeight="true" outlineLevel="0" collapsed="false">
      <c r="A7" s="7" t="s">
        <v>523</v>
      </c>
      <c r="B7" s="35" t="n">
        <v>0.113969668432575</v>
      </c>
    </row>
    <row r="8" customFormat="false" ht="15" hidden="false" customHeight="true" outlineLevel="0" collapsed="false">
      <c r="A8" s="7" t="s">
        <v>524</v>
      </c>
      <c r="B8" s="35" t="n">
        <v>-0.0218032117150198</v>
      </c>
    </row>
    <row r="9" customFormat="false" ht="15" hidden="false" customHeight="true" outlineLevel="0" collapsed="false">
      <c r="A9" s="7" t="s">
        <v>525</v>
      </c>
      <c r="B9" s="35" t="n">
        <v>0.000546563300327847</v>
      </c>
    </row>
    <row r="10" customFormat="false" ht="15" hidden="false" customHeight="true" outlineLevel="0" collapsed="false">
      <c r="A10" s="7" t="s">
        <v>526</v>
      </c>
      <c r="B10" s="24" t="n">
        <v>74.5</v>
      </c>
    </row>
    <row r="11" customFormat="false" ht="15" hidden="false" customHeight="true" outlineLevel="0" collapsed="false">
      <c r="A11" s="7" t="s">
        <v>527</v>
      </c>
      <c r="B11" s="22" t="n">
        <v>0.015</v>
      </c>
    </row>
    <row r="12" customFormat="false" ht="15" hidden="false" customHeight="true" outlineLevel="0" collapsed="false">
      <c r="A12" s="7" t="s">
        <v>528</v>
      </c>
      <c r="B12" s="36" t="n">
        <v>85</v>
      </c>
    </row>
    <row r="13" customFormat="false" ht="15" hidden="false" customHeight="true" outlineLevel="0" collapsed="false">
      <c r="A13" s="7" t="s">
        <v>529</v>
      </c>
      <c r="B13" s="36" t="n">
        <v>110</v>
      </c>
    </row>
    <row r="14" customFormat="false" ht="15" hidden="false" customHeight="true" outlineLevel="0" collapsed="false">
      <c r="A14" s="7" t="s">
        <v>530</v>
      </c>
      <c r="B14" s="36" t="n">
        <v>20</v>
      </c>
    </row>
    <row r="15" customFormat="false" ht="15" hidden="false" customHeight="true" outlineLevel="0" collapsed="false">
      <c r="A15" s="7" t="s">
        <v>531</v>
      </c>
      <c r="B15" s="36" t="n">
        <v>5</v>
      </c>
    </row>
    <row r="16" customFormat="false" ht="15" hidden="false" customHeight="true" outlineLevel="0" collapsed="false">
      <c r="A16" s="7" t="s">
        <v>532</v>
      </c>
      <c r="B16" s="33" t="n">
        <v>0.000261159450505231</v>
      </c>
    </row>
    <row r="17" customFormat="false" ht="15" hidden="false" customHeight="true" outlineLevel="0" collapsed="false">
      <c r="A17" s="7" t="s">
        <v>533</v>
      </c>
      <c r="B17" s="29" t="n">
        <v>0.0747561308802937</v>
      </c>
    </row>
    <row r="18" customFormat="false" ht="15" hidden="false" customHeight="true" outlineLevel="0" collapsed="false">
      <c r="A18" s="7" t="s">
        <v>534</v>
      </c>
      <c r="B18" s="36" t="n">
        <v>2016</v>
      </c>
    </row>
    <row r="19" customFormat="false" ht="15" hidden="false" customHeight="true" outlineLevel="0" collapsed="false">
      <c r="A19" s="7" t="s">
        <v>535</v>
      </c>
      <c r="B19" s="37" t="n">
        <f aca="false">Assumptions!B49</f>
        <v>0.9</v>
      </c>
    </row>
    <row r="22" customFormat="false" ht="15" hidden="false" customHeight="true" outlineLevel="0" collapsed="false">
      <c r="A22" s="8" t="s">
        <v>463</v>
      </c>
      <c r="B22" s="8" t="s">
        <v>536</v>
      </c>
      <c r="C22" s="8" t="s">
        <v>537</v>
      </c>
      <c r="D22" s="8" t="s">
        <v>538</v>
      </c>
      <c r="E22" s="8" t="s">
        <v>539</v>
      </c>
      <c r="F22" s="8" t="s">
        <v>540</v>
      </c>
      <c r="G22" s="8" t="s">
        <v>541</v>
      </c>
      <c r="H22" s="8" t="s">
        <v>542</v>
      </c>
      <c r="I22" s="8" t="s">
        <v>543</v>
      </c>
      <c r="J22" s="8" t="s">
        <v>544</v>
      </c>
      <c r="K22" s="8" t="s">
        <v>545</v>
      </c>
      <c r="L22" s="8" t="n">
        <v>2022</v>
      </c>
      <c r="M22" s="8" t="n">
        <v>2023</v>
      </c>
      <c r="N22" s="8" t="n">
        <v>2024</v>
      </c>
      <c r="O22" s="8" t="n">
        <v>2025</v>
      </c>
      <c r="P22" s="8" t="n">
        <v>2026</v>
      </c>
      <c r="Q22" s="8" t="n">
        <v>2027</v>
      </c>
      <c r="R22" s="8" t="n">
        <v>2028</v>
      </c>
      <c r="S22" s="8" t="n">
        <v>2029</v>
      </c>
      <c r="T22" s="8" t="n">
        <v>2030</v>
      </c>
      <c r="U22" s="8" t="n">
        <v>2031</v>
      </c>
      <c r="V22" s="8" t="n">
        <v>2032</v>
      </c>
      <c r="W22" s="8" t="n">
        <v>2033</v>
      </c>
      <c r="X22" s="8" t="n">
        <v>2034</v>
      </c>
      <c r="Y22" s="8" t="n">
        <v>2035</v>
      </c>
      <c r="Z22" s="8" t="n">
        <v>2036</v>
      </c>
      <c r="AA22" s="8" t="n">
        <v>2037</v>
      </c>
      <c r="AB22" s="8" t="n">
        <v>2038</v>
      </c>
      <c r="AC22" s="8" t="n">
        <v>2039</v>
      </c>
      <c r="AD22" s="8" t="n">
        <v>2040</v>
      </c>
      <c r="AE22" s="8" t="n">
        <v>2041</v>
      </c>
      <c r="AF22" s="8" t="n">
        <v>2042</v>
      </c>
      <c r="AG22" s="8" t="n">
        <v>2043</v>
      </c>
      <c r="AH22" s="8" t="n">
        <v>2044</v>
      </c>
      <c r="AI22" s="8" t="n">
        <v>2045</v>
      </c>
      <c r="AJ22" s="8" t="n">
        <v>2046</v>
      </c>
      <c r="AK22" s="8" t="n">
        <v>2047</v>
      </c>
      <c r="AL22" s="8" t="n">
        <v>2048</v>
      </c>
      <c r="AM22" s="8" t="n">
        <v>2049</v>
      </c>
      <c r="AN22" s="8" t="n">
        <v>2050</v>
      </c>
      <c r="AO22" s="8" t="n">
        <v>2051</v>
      </c>
      <c r="AP22" s="8" t="n">
        <v>2052</v>
      </c>
      <c r="AQ22" s="8" t="n">
        <v>2053</v>
      </c>
      <c r="AR22" s="8" t="n">
        <v>2054</v>
      </c>
      <c r="AS22" s="8" t="n">
        <v>2055</v>
      </c>
      <c r="AT22" s="8" t="n">
        <v>2056</v>
      </c>
      <c r="AU22" s="8" t="n">
        <v>2057</v>
      </c>
      <c r="AV22" s="8" t="n">
        <v>2058</v>
      </c>
      <c r="AW22" s="8" t="n">
        <v>2059</v>
      </c>
      <c r="AX22" s="8" t="n">
        <v>2060</v>
      </c>
      <c r="AY22" s="8" t="n">
        <v>2061</v>
      </c>
      <c r="AZ22" s="8" t="n">
        <v>2062</v>
      </c>
      <c r="BA22" s="8" t="n">
        <v>2063</v>
      </c>
      <c r="BB22" s="8" t="n">
        <v>2064</v>
      </c>
      <c r="BC22" s="8" t="n">
        <v>2065</v>
      </c>
      <c r="BD22" s="8" t="n">
        <v>2066</v>
      </c>
      <c r="BE22" s="8" t="n">
        <v>2067</v>
      </c>
      <c r="BF22" s="8" t="n">
        <v>2068</v>
      </c>
      <c r="BG22" s="8" t="n">
        <v>2069</v>
      </c>
      <c r="BH22" s="8" t="n">
        <v>2070</v>
      </c>
      <c r="BI22" s="8" t="n">
        <v>2071</v>
      </c>
      <c r="BJ22" s="8" t="n">
        <v>2072</v>
      </c>
      <c r="BK22" s="8" t="n">
        <v>2073</v>
      </c>
      <c r="BL22" s="8" t="n">
        <v>2074</v>
      </c>
      <c r="BM22" s="8" t="n">
        <v>2075</v>
      </c>
      <c r="BN22" s="8" t="n">
        <v>2076</v>
      </c>
      <c r="BO22" s="8" t="n">
        <v>2077</v>
      </c>
      <c r="BP22" s="8" t="n">
        <v>2078</v>
      </c>
      <c r="BQ22" s="8" t="n">
        <v>2079</v>
      </c>
      <c r="BR22" s="8" t="n">
        <v>2080</v>
      </c>
      <c r="BS22" s="8" t="n">
        <v>2081</v>
      </c>
      <c r="BT22" s="8" t="n">
        <v>2082</v>
      </c>
      <c r="BU22" s="8" t="n">
        <v>2083</v>
      </c>
      <c r="BV22" s="8" t="n">
        <v>2084</v>
      </c>
      <c r="BW22" s="8" t="n">
        <v>2085</v>
      </c>
      <c r="BX22" s="8" t="n">
        <v>2086</v>
      </c>
      <c r="BY22" s="8" t="n">
        <v>2087</v>
      </c>
      <c r="BZ22" s="8" t="n">
        <v>2088</v>
      </c>
      <c r="CA22" s="8" t="n">
        <v>2089</v>
      </c>
      <c r="CB22" s="8" t="n">
        <v>2090</v>
      </c>
      <c r="CC22" s="8" t="n">
        <v>2091</v>
      </c>
    </row>
    <row r="23" customFormat="false" ht="15" hidden="false" customHeight="true" outlineLevel="0" collapsed="false">
      <c r="A23" s="3" t="n">
        <v>60</v>
      </c>
      <c r="B23" s="30" t="n">
        <f aca="false">IF($A23&lt;=105,INDEX(ILT17_Source!$D$7:$D$52,MATCH($A23,ILT17_Source!$A$7:$A$52,0)),($B$16*EXP($B$17*$A23))/(1+$B$16*EXP($B$17*$A23)))</f>
        <v>0.005553105</v>
      </c>
      <c r="C23" s="31" t="n">
        <f aca="false">LOOKUP($A23,{60,65,70,75,80,85,90,95},{0.78,0.82,0.85,0.88,0.91,0.94,0.97,1})</f>
        <v>0.78</v>
      </c>
      <c r="D23" s="30" t="n">
        <f aca="false">B23*C23</f>
        <v>0.0043314219</v>
      </c>
      <c r="E23" s="30" t="n">
        <f aca="false">1/(1+EXP(-(($B$6+$B$8*(2016-2022))+($B$7+$B$9*(2016-2022))*($A23-$B$10))))</f>
        <v>0.00626204344223365</v>
      </c>
      <c r="F23" s="30" t="n">
        <f aca="false">1/(1+EXP(-(($B$6+$B$8*(2021-2022))+($B$7+$B$9*(2021-2022))*($A23-$B$10))))</f>
        <v>0.00540178775531037</v>
      </c>
      <c r="G23" s="30" t="n">
        <f aca="false">1/(1+EXP(-(($B$6+$B$8*(2022-2022))+($B$7+$B$9*(2022-2022))*($A23-$B$10))))</f>
        <v>0.00524439464952422</v>
      </c>
      <c r="H23" s="32" t="n">
        <f aca="false">(F23-G23)/F23</f>
        <v>0.0291372251031931</v>
      </c>
      <c r="I23" s="38" t="n">
        <f aca="false">IF($A23&lt;=50,$B$14,IF($A23&gt;=95,$B$15,$B$14+($B$15-$B$14)*($A23-50)/(95-50)))</f>
        <v>16.6666666666667</v>
      </c>
      <c r="J23" s="39" t="n">
        <f aca="false">IF($A23&lt;=$B$12,$B$11,IF($A23&gt;=$B$13,0,$B$11*($B$13-$A23)/($B$13-$B$12)))</f>
        <v>0.015</v>
      </c>
      <c r="K23" s="30" t="n">
        <f aca="false">D23*G23/E23</f>
        <v>0.00362751968215177</v>
      </c>
      <c r="L23" s="30" t="n">
        <f aca="false">K23*$B$19</f>
        <v>0.0032647677139366</v>
      </c>
      <c r="M23" s="30" t="n">
        <f aca="false">L23*(1-IF((2023-2022)/I23&gt;=1,J23,H23+(J23-H23)*(3*((2023-2022)/I23)^2-2*((2023-2022)/I23)^3)))</f>
        <v>0.00317011997465704</v>
      </c>
      <c r="N23" s="30" t="n">
        <f aca="false">M23*(1-IF((2024-2022)/I23&gt;=1,J23,H23+(J23-H23)*(3*((2024-2022)/I23)^2-2*((2024-2022)/I23)^3)))</f>
        <v>0.00307953267026365</v>
      </c>
      <c r="O23" s="30" t="n">
        <f aca="false">N23*(1-IF((2025-2022)/I23&gt;=1,J23,H23+(J23-H23)*(3*((2025-2022)/I23)^2-2*((2025-2022)/I23)^3)))</f>
        <v>0.00299352753291713</v>
      </c>
      <c r="P23" s="30" t="n">
        <f aca="false">O23*(1-IF((2026-2022)/I23&gt;=1,J23,H23+(J23-H23)*(3*((2026-2022)/I23)^2-2*((2026-2022)/I23)^3)))</f>
        <v>0.00291244730502904</v>
      </c>
      <c r="Q23" s="30" t="n">
        <f aca="false">P23*(1-IF((2027-2022)/I23&gt;=1,J23,H23+(J23-H23)*(3*((2027-2022)/I23)^2-2*((2027-2022)/I23)^3)))</f>
        <v>0.00283648023970214</v>
      </c>
      <c r="R23" s="30" t="n">
        <f aca="false">Q23*(1-IF((2028-2022)/I23&gt;=1,J23,H23+(J23-H23)*(3*((2028-2022)/I23)^2-2*((2028-2022)/I23)^3)))</f>
        <v>0.00276568213333407</v>
      </c>
      <c r="S23" s="30" t="n">
        <f aca="false">R23*(1-IF((2029-2022)/I23&gt;=1,J23,H23+(J23-H23)*(3*((2029-2022)/I23)^2-2*((2029-2022)/I23)^3)))</f>
        <v>0.00269999551483529</v>
      </c>
      <c r="T23" s="30" t="n">
        <f aca="false">S23*(1-IF((2030-2022)/I23&gt;=1,J23,H23+(J23-H23)*(3*((2030-2022)/I23)^2-2*((2030-2022)/I23)^3)))</f>
        <v>0.00263926585732333</v>
      </c>
      <c r="U23" s="30" t="n">
        <f aca="false">T23*(1-IF((2031-2022)/I23&gt;=1,J23,H23+(J23-H23)*(3*((2031-2022)/I23)^2-2*((2031-2022)/I23)^3)))</f>
        <v>0.0025832548595067</v>
      </c>
      <c r="V23" s="30" t="n">
        <f aca="false">U23*(1-IF((2032-2022)/I23&gt;=1,J23,H23+(J23-H23)*(3*((2032-2022)/I23)^2-2*((2032-2022)/I23)^3)))</f>
        <v>0.00253165097709649</v>
      </c>
      <c r="W23" s="30" t="n">
        <f aca="false">V23*(1-IF((2033-2022)/I23&gt;=1,J23,H23+(J23-H23)*(3*((2033-2022)/I23)^2-2*((2033-2022)/I23)^3)))</f>
        <v>0.00248407748136834</v>
      </c>
      <c r="X23" s="30" t="n">
        <f aca="false">W23*(1-IF((2034-2022)/I23&gt;=1,J23,H23+(J23-H23)*(3*((2034-2022)/I23)^2-2*((2034-2022)/I23)^3)))</f>
        <v>0.00244009839338808</v>
      </c>
      <c r="Y23" s="30" t="n">
        <f aca="false">X23*(1-IF((2035-2022)/I23&gt;=1,J23,H23+(J23-H23)*(3*((2035-2022)/I23)^2-2*((2035-2022)/I23)^3)))</f>
        <v>0.00239922269781201</v>
      </c>
      <c r="Z23" s="30" t="n">
        <f aca="false">Y23*(1-IF((2036-2022)/I23&gt;=1,J23,H23+(J23-H23)*(3*((2036-2022)/I23)^2-2*((2036-2022)/I23)^3)))</f>
        <v>0.0023609072870953</v>
      </c>
      <c r="AA23" s="30" t="n">
        <f aca="false">Z23*(1-IF((2037-2022)/I23&gt;=1,J23,H23+(J23-H23)*(3*((2037-2022)/I23)^2-2*((2037-2022)/I23)^3)))</f>
        <v>0.00232455913081143</v>
      </c>
      <c r="AB23" s="30" t="n">
        <f aca="false">AA23*(1-IF((2038-2022)/I23&gt;=1,J23,H23+(J23-H23)*(3*((2038-2022)/I23)^2-2*((2038-2022)/I23)^3)))</f>
        <v>0.00228953720877432</v>
      </c>
      <c r="AC23" s="30" t="n">
        <f aca="false">AB23*(1-IF((2039-2022)/I23&gt;=1,J23,H23+(J23-H23)*(3*((2039-2022)/I23)^2-2*((2039-2022)/I23)^3)))</f>
        <v>0.00225519415064271</v>
      </c>
      <c r="AD23" s="30" t="n">
        <f aca="false">AC23*(1-IF((2040-2022)/I23&gt;=1,J23,H23+(J23-H23)*(3*((2040-2022)/I23)^2-2*((2040-2022)/I23)^3)))</f>
        <v>0.00222136623838307</v>
      </c>
      <c r="AE23" s="30" t="n">
        <f aca="false">AD23*(1-IF((2041-2022)/I23&gt;=1,J23,H23+(J23-H23)*(3*((2041-2022)/I23)^2-2*((2041-2022)/I23)^3)))</f>
        <v>0.00218804574480732</v>
      </c>
      <c r="AF23" s="30" t="n">
        <f aca="false">AE23*(1-IF((2042-2022)/I23&gt;=1,J23,H23+(J23-H23)*(3*((2042-2022)/I23)^2-2*((2042-2022)/I23)^3)))</f>
        <v>0.00215522505863521</v>
      </c>
      <c r="AG23" s="30" t="n">
        <f aca="false">AF23*(1-IF((2043-2022)/I23&gt;=1,J23,H23+(J23-H23)*(3*((2043-2022)/I23)^2-2*((2043-2022)/I23)^3)))</f>
        <v>0.00212289668275568</v>
      </c>
      <c r="AH23" s="30" t="n">
        <f aca="false">AG23*(1-IF((2044-2022)/I23&gt;=1,J23,H23+(J23-H23)*(3*((2044-2022)/I23)^2-2*((2044-2022)/I23)^3)))</f>
        <v>0.00209105323251435</v>
      </c>
      <c r="AI23" s="30" t="n">
        <f aca="false">AH23*(1-IF((2045-2022)/I23&gt;=1,J23,H23+(J23-H23)*(3*((2045-2022)/I23)^2-2*((2045-2022)/I23)^3)))</f>
        <v>0.00205968743402663</v>
      </c>
      <c r="AJ23" s="30" t="n">
        <f aca="false">AI23*(1-IF((2046-2022)/I23&gt;=1,J23,H23+(J23-H23)*(3*((2046-2022)/I23)^2-2*((2046-2022)/I23)^3)))</f>
        <v>0.00202879212251623</v>
      </c>
      <c r="AK23" s="30" t="n">
        <f aca="false">AJ23*(1-IF((2047-2022)/I23&gt;=1,J23,H23+(J23-H23)*(3*((2047-2022)/I23)^2-2*((2047-2022)/I23)^3)))</f>
        <v>0.00199836024067849</v>
      </c>
      <c r="AL23" s="30" t="n">
        <f aca="false">AK23*(1-IF((2048-2022)/I23&gt;=1,J23,H23+(J23-H23)*(3*((2048-2022)/I23)^2-2*((2048-2022)/I23)^3)))</f>
        <v>0.00196838483706831</v>
      </c>
      <c r="AM23" s="30" t="n">
        <f aca="false">AL23*(1-IF((2049-2022)/I23&gt;=1,J23,H23+(J23-H23)*(3*((2049-2022)/I23)^2-2*((2049-2022)/I23)^3)))</f>
        <v>0.00193885906451229</v>
      </c>
      <c r="AN23" s="30" t="n">
        <f aca="false">AM23*(1-IF((2050-2022)/I23&gt;=1,J23,H23+(J23-H23)*(3*((2050-2022)/I23)^2-2*((2050-2022)/I23)^3)))</f>
        <v>0.0019097761785446</v>
      </c>
      <c r="AO23" s="30" t="n">
        <f aca="false">AN23*(1-IF((2051-2022)/I23&gt;=1,J23,H23+(J23-H23)*(3*((2051-2022)/I23)^2-2*((2051-2022)/I23)^3)))</f>
        <v>0.00188112953586643</v>
      </c>
      <c r="AP23" s="30" t="n">
        <f aca="false">AO23*(1-IF((2052-2022)/I23&gt;=1,J23,H23+(J23-H23)*(3*((2052-2022)/I23)^2-2*((2052-2022)/I23)^3)))</f>
        <v>0.00185291259282844</v>
      </c>
      <c r="AQ23" s="30" t="n">
        <f aca="false">AP23*(1-IF((2053-2022)/I23&gt;=1,J23,H23+(J23-H23)*(3*((2053-2022)/I23)^2-2*((2053-2022)/I23)^3)))</f>
        <v>0.00182511890393601</v>
      </c>
      <c r="AR23" s="30" t="n">
        <f aca="false">AQ23*(1-IF((2054-2022)/I23&gt;=1,J23,H23+(J23-H23)*(3*((2054-2022)/I23)^2-2*((2054-2022)/I23)^3)))</f>
        <v>0.00179774212037697</v>
      </c>
      <c r="AS23" s="30" t="n">
        <f aca="false">AR23*(1-IF((2055-2022)/I23&gt;=1,J23,H23+(J23-H23)*(3*((2055-2022)/I23)^2-2*((2055-2022)/I23)^3)))</f>
        <v>0.00177077598857131</v>
      </c>
      <c r="AT23" s="30" t="n">
        <f aca="false">AS23*(1-IF((2056-2022)/I23&gt;=1,J23,H23+(J23-H23)*(3*((2056-2022)/I23)^2-2*((2056-2022)/I23)^3)))</f>
        <v>0.00174421434874275</v>
      </c>
      <c r="AU23" s="30" t="n">
        <f aca="false">AT23*(1-IF((2057-2022)/I23&gt;=1,J23,H23+(J23-H23)*(3*((2057-2022)/I23)^2-2*((2057-2022)/I23)^3)))</f>
        <v>0.0017180511335116</v>
      </c>
      <c r="AV23" s="30" t="n">
        <f aca="false">AU23*(1-IF((2058-2022)/I23&gt;=1,J23,H23+(J23-H23)*(3*((2058-2022)/I23)^2-2*((2058-2022)/I23)^3)))</f>
        <v>0.00169228036650893</v>
      </c>
      <c r="AW23" s="30" t="n">
        <f aca="false">AV23*(1-IF((2059-2022)/I23&gt;=1,J23,H23+(J23-H23)*(3*((2059-2022)/I23)^2-2*((2059-2022)/I23)^3)))</f>
        <v>0.0016668961610113</v>
      </c>
      <c r="AX23" s="30" t="n">
        <f aca="false">AW23*(1-IF((2060-2022)/I23&gt;=1,J23,H23+(J23-H23)*(3*((2060-2022)/I23)^2-2*((2060-2022)/I23)^3)))</f>
        <v>0.00164189271859613</v>
      </c>
      <c r="AY23" s="30" t="n">
        <f aca="false">AX23*(1-IF((2061-2022)/I23&gt;=1,J23,H23+(J23-H23)*(3*((2061-2022)/I23)^2-2*((2061-2022)/I23)^3)))</f>
        <v>0.00161726432781718</v>
      </c>
      <c r="AZ23" s="30" t="n">
        <f aca="false">AY23*(1-IF((2062-2022)/I23&gt;=1,J23,H23+(J23-H23)*(3*((2062-2022)/I23)^2-2*((2062-2022)/I23)^3)))</f>
        <v>0.00159300536289993</v>
      </c>
      <c r="BA23" s="30" t="n">
        <f aca="false">AZ23*(1-IF((2063-2022)/I23&gt;=1,J23,H23+(J23-H23)*(3*((2063-2022)/I23)^2-2*((2063-2022)/I23)^3)))</f>
        <v>0.00156911028245643</v>
      </c>
      <c r="BB23" s="30" t="n">
        <f aca="false">BA23*(1-IF((2064-2022)/I23&gt;=1,J23,H23+(J23-H23)*(3*((2064-2022)/I23)^2-2*((2064-2022)/I23)^3)))</f>
        <v>0.00154557362821958</v>
      </c>
      <c r="BC23" s="30" t="n">
        <f aca="false">BB23*(1-IF((2065-2022)/I23&gt;=1,J23,H23+(J23-H23)*(3*((2065-2022)/I23)^2-2*((2065-2022)/I23)^3)))</f>
        <v>0.00152239002379629</v>
      </c>
      <c r="BD23" s="30" t="n">
        <f aca="false">BC23*(1-IF((2066-2022)/I23&gt;=1,J23,H23+(J23-H23)*(3*((2066-2022)/I23)^2-2*((2066-2022)/I23)^3)))</f>
        <v>0.00149955417343934</v>
      </c>
      <c r="BE23" s="30" t="n">
        <f aca="false">BD23*(1-IF((2067-2022)/I23&gt;=1,J23,H23+(J23-H23)*(3*((2067-2022)/I23)^2-2*((2067-2022)/I23)^3)))</f>
        <v>0.00147706086083775</v>
      </c>
      <c r="BF23" s="30" t="n">
        <f aca="false">BE23*(1-IF((2068-2022)/I23&gt;=1,J23,H23+(J23-H23)*(3*((2068-2022)/I23)^2-2*((2068-2022)/I23)^3)))</f>
        <v>0.00145490494792519</v>
      </c>
      <c r="BG23" s="30" t="n">
        <f aca="false">BF23*(1-IF((2069-2022)/I23&gt;=1,J23,H23+(J23-H23)*(3*((2069-2022)/I23)^2-2*((2069-2022)/I23)^3)))</f>
        <v>0.00143308137370631</v>
      </c>
      <c r="BH23" s="30" t="n">
        <f aca="false">BG23*(1-IF((2070-2022)/I23&gt;=1,J23,H23+(J23-H23)*(3*((2070-2022)/I23)^2-2*((2070-2022)/I23)^3)))</f>
        <v>0.00141158515310071</v>
      </c>
      <c r="BI23" s="30" t="n">
        <f aca="false">BH23*(1-IF((2071-2022)/I23&gt;=1,J23,H23+(J23-H23)*(3*((2071-2022)/I23)^2-2*((2071-2022)/I23)^3)))</f>
        <v>0.0013904113758042</v>
      </c>
      <c r="BJ23" s="30" t="n">
        <f aca="false">BI23*(1-IF((2072-2022)/I23&gt;=1,J23,H23+(J23-H23)*(3*((2072-2022)/I23)^2-2*((2072-2022)/I23)^3)))</f>
        <v>0.00136955520516714</v>
      </c>
      <c r="BK23" s="30" t="n">
        <f aca="false">BJ23*(1-IF((2073-2022)/I23&gt;=1,J23,H23+(J23-H23)*(3*((2073-2022)/I23)^2-2*((2073-2022)/I23)^3)))</f>
        <v>0.00134901187708963</v>
      </c>
      <c r="BL23" s="30" t="n">
        <f aca="false">BK23*(1-IF((2074-2022)/I23&gt;=1,J23,H23+(J23-H23)*(3*((2074-2022)/I23)^2-2*((2074-2022)/I23)^3)))</f>
        <v>0.00132877669893329</v>
      </c>
      <c r="BM23" s="30" t="n">
        <f aca="false">BL23*(1-IF((2075-2022)/I23&gt;=1,J23,H23+(J23-H23)*(3*((2075-2022)/I23)^2-2*((2075-2022)/I23)^3)))</f>
        <v>0.00130884504844929</v>
      </c>
      <c r="BN23" s="30" t="n">
        <f aca="false">BM23*(1-IF((2076-2022)/I23&gt;=1,J23,H23+(J23-H23)*(3*((2076-2022)/I23)^2-2*((2076-2022)/I23)^3)))</f>
        <v>0.00128921237272255</v>
      </c>
      <c r="BO23" s="30" t="n">
        <f aca="false">BN23*(1-IF((2077-2022)/I23&gt;=1,J23,H23+(J23-H23)*(3*((2077-2022)/I23)^2-2*((2077-2022)/I23)^3)))</f>
        <v>0.00126987418713171</v>
      </c>
      <c r="BP23" s="30" t="n">
        <f aca="false">BO23*(1-IF((2078-2022)/I23&gt;=1,J23,H23+(J23-H23)*(3*((2078-2022)/I23)^2-2*((2078-2022)/I23)^3)))</f>
        <v>0.00125082607432474</v>
      </c>
      <c r="BQ23" s="30" t="n">
        <f aca="false">BP23*(1-IF((2079-2022)/I23&gt;=1,J23,H23+(J23-H23)*(3*((2079-2022)/I23)^2-2*((2079-2022)/I23)^3)))</f>
        <v>0.00123206368320987</v>
      </c>
      <c r="BR23" s="30" t="n">
        <f aca="false">BQ23*(1-IF((2080-2022)/I23&gt;=1,J23,H23+(J23-H23)*(3*((2080-2022)/I23)^2-2*((2080-2022)/I23)^3)))</f>
        <v>0.00121358272796172</v>
      </c>
      <c r="BS23" s="30" t="n">
        <f aca="false">BR23*(1-IF((2081-2022)/I23&gt;=1,J23,H23+(J23-H23)*(3*((2081-2022)/I23)^2-2*((2081-2022)/I23)^3)))</f>
        <v>0.00119537898704229</v>
      </c>
      <c r="BT23" s="30" t="n">
        <f aca="false">BS23*(1-IF((2082-2022)/I23&gt;=1,J23,H23+(J23-H23)*(3*((2082-2022)/I23)^2-2*((2082-2022)/I23)^3)))</f>
        <v>0.00117744830223666</v>
      </c>
      <c r="BU23" s="30" t="n">
        <f aca="false">BT23*(1-IF((2083-2022)/I23&gt;=1,J23,H23+(J23-H23)*(3*((2083-2022)/I23)^2-2*((2083-2022)/I23)^3)))</f>
        <v>0.00115978657770311</v>
      </c>
      <c r="BV23" s="30" t="n">
        <f aca="false">BU23*(1-IF((2084-2022)/I23&gt;=1,J23,H23+(J23-H23)*(3*((2084-2022)/I23)^2-2*((2084-2022)/I23)^3)))</f>
        <v>0.00114238977903756</v>
      </c>
      <c r="BW23" s="30" t="n">
        <f aca="false">BV23*(1-IF((2085-2022)/I23&gt;=1,J23,H23+(J23-H23)*(3*((2085-2022)/I23)^2-2*((2085-2022)/I23)^3)))</f>
        <v>0.001125253932352</v>
      </c>
      <c r="BX23" s="30" t="n">
        <f aca="false">BW23*(1-IF((2086-2022)/I23&gt;=1,J23,H23+(J23-H23)*(3*((2086-2022)/I23)^2-2*((2086-2022)/I23)^3)))</f>
        <v>0.00110837512336672</v>
      </c>
      <c r="BY23" s="30" t="n">
        <f aca="false">BX23*(1-IF((2087-2022)/I23&gt;=1,J23,H23+(J23-H23)*(3*((2087-2022)/I23)^2-2*((2087-2022)/I23)^3)))</f>
        <v>0.00109174949651622</v>
      </c>
      <c r="BZ23" s="30" t="n">
        <f aca="false">BY23*(1-IF((2088-2022)/I23&gt;=1,J23,H23+(J23-H23)*(3*((2088-2022)/I23)^2-2*((2088-2022)/I23)^3)))</f>
        <v>0.00107537325406847</v>
      </c>
      <c r="CA23" s="30" t="n">
        <f aca="false">BZ23*(1-IF((2089-2022)/I23&gt;=1,J23,H23+(J23-H23)*(3*((2089-2022)/I23)^2-2*((2089-2022)/I23)^3)))</f>
        <v>0.00105924265525745</v>
      </c>
      <c r="CB23" s="30" t="n">
        <f aca="false">CA23*(1-IF((2090-2022)/I23&gt;=1,J23,H23+(J23-H23)*(3*((2090-2022)/I23)^2-2*((2090-2022)/I23)^3)))</f>
        <v>0.00104335401542858</v>
      </c>
      <c r="CC23" s="30" t="n">
        <f aca="false">CB23*(1-IF((2091-2022)/I23&gt;=1,J23,H23+(J23-H23)*(3*((2091-2022)/I23)^2-2*((2091-2022)/I23)^3)))</f>
        <v>0.00102770370519716</v>
      </c>
    </row>
    <row r="24" customFormat="false" ht="15" hidden="false" customHeight="true" outlineLevel="0" collapsed="false">
      <c r="A24" s="3" t="n">
        <v>61</v>
      </c>
      <c r="B24" s="30" t="n">
        <f aca="false">IF($A24&lt;=105,INDEX(ILT17_Source!$D$7:$D$52,MATCH($A24,ILT17_Source!$A$7:$A$52,0)),($B$16*EXP($B$17*$A24))/(1+$B$16*EXP($B$17*$A24)))</f>
        <v>0.00612377</v>
      </c>
      <c r="C24" s="31" t="n">
        <f aca="false">LOOKUP($A24,{60,65,70,75,80,85,90,95},{0.78,0.82,0.85,0.88,0.91,0.94,0.97,1})</f>
        <v>0.78</v>
      </c>
      <c r="D24" s="30" t="n">
        <f aca="false">B24*C24</f>
        <v>0.0047765406</v>
      </c>
      <c r="E24" s="30" t="n">
        <f aca="false">1/(1+EXP(-(($B$6+$B$8*(2016-2022))+($B$7+$B$9*(2016-2022))*($A24-$B$10))))</f>
        <v>0.00698988533665189</v>
      </c>
      <c r="F24" s="30" t="n">
        <f aca="false">1/(1+EXP(-(($B$6+$B$8*(2021-2022))+($B$7+$B$9*(2021-2022))*($A24-$B$10))))</f>
        <v>0.00604665057206003</v>
      </c>
      <c r="G24" s="30" t="n">
        <f aca="false">1/(1+EXP(-(($B$6+$B$8*(2022-2022))+($B$7+$B$9*(2022-2022))*($A24-$B$10))))</f>
        <v>0.00587376952561929</v>
      </c>
      <c r="H24" s="32" t="n">
        <f aca="false">(F24-G24)/F24</f>
        <v>0.0285912083690717</v>
      </c>
      <c r="I24" s="38" t="n">
        <f aca="false">IF($A24&lt;=50,$B$14,IF($A24&gt;=95,$B$15,$B$14+($B$15-$B$14)*($A24-50)/(95-50)))</f>
        <v>16.3333333333333</v>
      </c>
      <c r="J24" s="39" t="n">
        <f aca="false">IF($A24&lt;=$B$12,$B$11,IF($A24&gt;=$B$13,0,$B$11*($B$13-$A24)/($B$13-$B$12)))</f>
        <v>0.015</v>
      </c>
      <c r="K24" s="30" t="n">
        <f aca="false">D24*G24/E24</f>
        <v>0.00401384246849492</v>
      </c>
      <c r="L24" s="30" t="n">
        <f aca="false">K24*$B$19</f>
        <v>0.00361245822164543</v>
      </c>
      <c r="M24" s="30" t="n">
        <f aca="false">L24*(1-IF((2023-2022)/I24&gt;=1,J24,H24+(J24-H24)*(3*((2023-2022)/I24)^2-2*((2023-2022)/I24)^3)))</f>
        <v>0.00350970325921118</v>
      </c>
      <c r="N24" s="30" t="n">
        <f aca="false">M24*(1-IF((2024-2022)/I24&gt;=1,J24,H24+(J24-H24)*(3*((2024-2022)/I24)^2-2*((2024-2022)/I24)^3)))</f>
        <v>0.00341132710228447</v>
      </c>
      <c r="O24" s="30" t="n">
        <f aca="false">N24*(1-IF((2025-2022)/I24&gt;=1,J24,H24+(J24-H24)*(3*((2025-2022)/I24)^2-2*((2025-2022)/I24)^3)))</f>
        <v>0.00331791096365347</v>
      </c>
      <c r="P24" s="30" t="n">
        <f aca="false">O24*(1-IF((2026-2022)/I24&gt;=1,J24,H24+(J24-H24)*(3*((2026-2022)/I24)^2-2*((2026-2022)/I24)^3)))</f>
        <v>0.00322983682293205</v>
      </c>
      <c r="Q24" s="30" t="n">
        <f aca="false">P24*(1-IF((2027-2022)/I24&gt;=1,J24,H24+(J24-H24)*(3*((2027-2022)/I24)^2-2*((2027-2022)/I24)^3)))</f>
        <v>0.00314731431192838</v>
      </c>
      <c r="R24" s="30" t="n">
        <f aca="false">Q24*(1-IF((2028-2022)/I24&gt;=1,J24,H24+(J24-H24)*(3*((2028-2022)/I24)^2-2*((2028-2022)/I24)^3)))</f>
        <v>0.00307040488369398</v>
      </c>
      <c r="S24" s="30" t="n">
        <f aca="false">R24*(1-IF((2029-2022)/I24&gt;=1,J24,H24+(J24-H24)*(3*((2029-2022)/I24)^2-2*((2029-2022)/I24)^3)))</f>
        <v>0.00299904284364337</v>
      </c>
      <c r="T24" s="30" t="n">
        <f aca="false">S24*(1-IF((2030-2022)/I24&gt;=1,J24,H24+(J24-H24)*(3*((2030-2022)/I24)^2-2*((2030-2022)/I24)^3)))</f>
        <v>0.00293305309252314</v>
      </c>
      <c r="U24" s="30" t="n">
        <f aca="false">T24*(1-IF((2031-2022)/I24&gt;=1,J24,H24+(J24-H24)*(3*((2031-2022)/I24)^2-2*((2031-2022)/I24)^3)))</f>
        <v>0.00287216563573859</v>
      </c>
      <c r="V24" s="30" t="n">
        <f aca="false">U24*(1-IF((2032-2022)/I24&gt;=1,J24,H24+(J24-H24)*(3*((2032-2022)/I24)^2-2*((2032-2022)/I24)^3)))</f>
        <v>0.00281602706489685</v>
      </c>
      <c r="W24" s="30" t="n">
        <f aca="false">V24*(1-IF((2033-2022)/I24&gt;=1,J24,H24+(J24-H24)*(3*((2033-2022)/I24)^2-2*((2033-2022)/I24)^3)))</f>
        <v>0.00276420932872581</v>
      </c>
      <c r="X24" s="30" t="n">
        <f aca="false">W24*(1-IF((2034-2022)/I24&gt;=1,J24,H24+(J24-H24)*(3*((2034-2022)/I24)^2-2*((2034-2022)/I24)^3)))</f>
        <v>0.00271621619401778</v>
      </c>
      <c r="Y24" s="30" t="n">
        <f aca="false">X24*(1-IF((2035-2022)/I24&gt;=1,J24,H24+(J24-H24)*(3*((2035-2022)/I24)^2-2*((2035-2022)/I24)^3)))</f>
        <v>0.00267148786338549</v>
      </c>
      <c r="Z24" s="30" t="n">
        <f aca="false">Y24*(1-IF((2036-2022)/I24&gt;=1,J24,H24+(J24-H24)*(3*((2036-2022)/I24)^2-2*((2036-2022)/I24)^3)))</f>
        <v>0.00262940427366815</v>
      </c>
      <c r="AA24" s="30" t="n">
        <f aca="false">Z24*(1-IF((2037-2022)/I24&gt;=1,J24,H24+(J24-H24)*(3*((2037-2022)/I24)^2-2*((2037-2022)/I24)^3)))</f>
        <v>0.0025892876525948</v>
      </c>
      <c r="AB24" s="30" t="n">
        <f aca="false">AA24*(1-IF((2038-2022)/I24&gt;=1,J24,H24+(J24-H24)*(3*((2038-2022)/I24)^2-2*((2038-2022)/I24)^3)))</f>
        <v>0.00255040496493861</v>
      </c>
      <c r="AC24" s="30" t="n">
        <f aca="false">AB24*(1-IF((2039-2022)/I24&gt;=1,J24,H24+(J24-H24)*(3*((2039-2022)/I24)^2-2*((2039-2022)/I24)^3)))</f>
        <v>0.00251214889046453</v>
      </c>
      <c r="AD24" s="30" t="n">
        <f aca="false">AC24*(1-IF((2040-2022)/I24&gt;=1,J24,H24+(J24-H24)*(3*((2040-2022)/I24)^2-2*((2040-2022)/I24)^3)))</f>
        <v>0.00247446665710756</v>
      </c>
      <c r="AE24" s="30" t="n">
        <f aca="false">AD24*(1-IF((2041-2022)/I24&gt;=1,J24,H24+(J24-H24)*(3*((2041-2022)/I24)^2-2*((2041-2022)/I24)^3)))</f>
        <v>0.00243734965725095</v>
      </c>
      <c r="AF24" s="30" t="n">
        <f aca="false">AE24*(1-IF((2042-2022)/I24&gt;=1,J24,H24+(J24-H24)*(3*((2042-2022)/I24)^2-2*((2042-2022)/I24)^3)))</f>
        <v>0.00240078941239218</v>
      </c>
      <c r="AG24" s="30" t="n">
        <f aca="false">AF24*(1-IF((2043-2022)/I24&gt;=1,J24,H24+(J24-H24)*(3*((2043-2022)/I24)^2-2*((2043-2022)/I24)^3)))</f>
        <v>0.0023647775712063</v>
      </c>
      <c r="AH24" s="30" t="n">
        <f aca="false">AG24*(1-IF((2044-2022)/I24&gt;=1,J24,H24+(J24-H24)*(3*((2044-2022)/I24)^2-2*((2044-2022)/I24)^3)))</f>
        <v>0.0023293059076382</v>
      </c>
      <c r="AI24" s="30" t="n">
        <f aca="false">AH24*(1-IF((2045-2022)/I24&gt;=1,J24,H24+(J24-H24)*(3*((2045-2022)/I24)^2-2*((2045-2022)/I24)^3)))</f>
        <v>0.00229436631902363</v>
      </c>
      <c r="AJ24" s="30" t="n">
        <f aca="false">AI24*(1-IF((2046-2022)/I24&gt;=1,J24,H24+(J24-H24)*(3*((2046-2022)/I24)^2-2*((2046-2022)/I24)^3)))</f>
        <v>0.00225995082423828</v>
      </c>
      <c r="AK24" s="30" t="n">
        <f aca="false">AJ24*(1-IF((2047-2022)/I24&gt;=1,J24,H24+(J24-H24)*(3*((2047-2022)/I24)^2-2*((2047-2022)/I24)^3)))</f>
        <v>0.0022260515618747</v>
      </c>
      <c r="AL24" s="30" t="n">
        <f aca="false">AK24*(1-IF((2048-2022)/I24&gt;=1,J24,H24+(J24-H24)*(3*((2048-2022)/I24)^2-2*((2048-2022)/I24)^3)))</f>
        <v>0.00219266078844658</v>
      </c>
      <c r="AM24" s="30" t="n">
        <f aca="false">AL24*(1-IF((2049-2022)/I24&gt;=1,J24,H24+(J24-H24)*(3*((2049-2022)/I24)^2-2*((2049-2022)/I24)^3)))</f>
        <v>0.00215977087661988</v>
      </c>
      <c r="AN24" s="30" t="n">
        <f aca="false">AM24*(1-IF((2050-2022)/I24&gt;=1,J24,H24+(J24-H24)*(3*((2050-2022)/I24)^2-2*((2050-2022)/I24)^3)))</f>
        <v>0.00212737431347058</v>
      </c>
      <c r="AO24" s="30" t="n">
        <f aca="false">AN24*(1-IF((2051-2022)/I24&gt;=1,J24,H24+(J24-H24)*(3*((2051-2022)/I24)^2-2*((2051-2022)/I24)^3)))</f>
        <v>0.00209546369876853</v>
      </c>
      <c r="AP24" s="30" t="n">
        <f aca="false">AO24*(1-IF((2052-2022)/I24&gt;=1,J24,H24+(J24-H24)*(3*((2052-2022)/I24)^2-2*((2052-2022)/I24)^3)))</f>
        <v>0.002064031743287</v>
      </c>
      <c r="AQ24" s="30" t="n">
        <f aca="false">AP24*(1-IF((2053-2022)/I24&gt;=1,J24,H24+(J24-H24)*(3*((2053-2022)/I24)^2-2*((2053-2022)/I24)^3)))</f>
        <v>0.00203307126713769</v>
      </c>
      <c r="AR24" s="30" t="n">
        <f aca="false">AQ24*(1-IF((2054-2022)/I24&gt;=1,J24,H24+(J24-H24)*(3*((2054-2022)/I24)^2-2*((2054-2022)/I24)^3)))</f>
        <v>0.00200257519813063</v>
      </c>
      <c r="AS24" s="30" t="n">
        <f aca="false">AR24*(1-IF((2055-2022)/I24&gt;=1,J24,H24+(J24-H24)*(3*((2055-2022)/I24)^2-2*((2055-2022)/I24)^3)))</f>
        <v>0.00197253657015867</v>
      </c>
      <c r="AT24" s="30" t="n">
        <f aca="false">AS24*(1-IF((2056-2022)/I24&gt;=1,J24,H24+(J24-H24)*(3*((2056-2022)/I24)^2-2*((2056-2022)/I24)^3)))</f>
        <v>0.00194294852160629</v>
      </c>
      <c r="AU24" s="30" t="n">
        <f aca="false">AT24*(1-IF((2057-2022)/I24&gt;=1,J24,H24+(J24-H24)*(3*((2057-2022)/I24)^2-2*((2057-2022)/I24)^3)))</f>
        <v>0.00191380429378219</v>
      </c>
      <c r="AV24" s="30" t="n">
        <f aca="false">AU24*(1-IF((2058-2022)/I24&gt;=1,J24,H24+(J24-H24)*(3*((2058-2022)/I24)^2-2*((2058-2022)/I24)^3)))</f>
        <v>0.00188509722937546</v>
      </c>
      <c r="AW24" s="30" t="n">
        <f aca="false">AV24*(1-IF((2059-2022)/I24&gt;=1,J24,H24+(J24-H24)*(3*((2059-2022)/I24)^2-2*((2059-2022)/I24)^3)))</f>
        <v>0.00185682077093483</v>
      </c>
      <c r="AX24" s="30" t="n">
        <f aca="false">AW24*(1-IF((2060-2022)/I24&gt;=1,J24,H24+(J24-H24)*(3*((2060-2022)/I24)^2-2*((2060-2022)/I24)^3)))</f>
        <v>0.00182896845937081</v>
      </c>
      <c r="AY24" s="30" t="n">
        <f aca="false">AX24*(1-IF((2061-2022)/I24&gt;=1,J24,H24+(J24-H24)*(3*((2061-2022)/I24)^2-2*((2061-2022)/I24)^3)))</f>
        <v>0.00180153393248024</v>
      </c>
      <c r="AZ24" s="30" t="n">
        <f aca="false">AY24*(1-IF((2062-2022)/I24&gt;=1,J24,H24+(J24-H24)*(3*((2062-2022)/I24)^2-2*((2062-2022)/I24)^3)))</f>
        <v>0.00177451092349304</v>
      </c>
      <c r="BA24" s="30" t="n">
        <f aca="false">AZ24*(1-IF((2063-2022)/I24&gt;=1,J24,H24+(J24-H24)*(3*((2063-2022)/I24)^2-2*((2063-2022)/I24)^3)))</f>
        <v>0.00174789325964064</v>
      </c>
      <c r="BB24" s="30" t="n">
        <f aca="false">BA24*(1-IF((2064-2022)/I24&gt;=1,J24,H24+(J24-H24)*(3*((2064-2022)/I24)^2-2*((2064-2022)/I24)^3)))</f>
        <v>0.00172167486074604</v>
      </c>
      <c r="BC24" s="30" t="n">
        <f aca="false">BB24*(1-IF((2065-2022)/I24&gt;=1,J24,H24+(J24-H24)*(3*((2065-2022)/I24)^2-2*((2065-2022)/I24)^3)))</f>
        <v>0.00169584973783484</v>
      </c>
      <c r="BD24" s="30" t="n">
        <f aca="false">BC24*(1-IF((2066-2022)/I24&gt;=1,J24,H24+(J24-H24)*(3*((2066-2022)/I24)^2-2*((2066-2022)/I24)^3)))</f>
        <v>0.00167041199176732</v>
      </c>
      <c r="BE24" s="30" t="n">
        <f aca="false">BD24*(1-IF((2067-2022)/I24&gt;=1,J24,H24+(J24-H24)*(3*((2067-2022)/I24)^2-2*((2067-2022)/I24)^3)))</f>
        <v>0.00164535581189081</v>
      </c>
      <c r="BF24" s="30" t="n">
        <f aca="false">BE24*(1-IF((2068-2022)/I24&gt;=1,J24,H24+(J24-H24)*(3*((2068-2022)/I24)^2-2*((2068-2022)/I24)^3)))</f>
        <v>0.00162067547471245</v>
      </c>
      <c r="BG24" s="30" t="n">
        <f aca="false">BF24*(1-IF((2069-2022)/I24&gt;=1,J24,H24+(J24-H24)*(3*((2069-2022)/I24)^2-2*((2069-2022)/I24)^3)))</f>
        <v>0.00159636534259176</v>
      </c>
      <c r="BH24" s="30" t="n">
        <f aca="false">BG24*(1-IF((2070-2022)/I24&gt;=1,J24,H24+(J24-H24)*(3*((2070-2022)/I24)^2-2*((2070-2022)/I24)^3)))</f>
        <v>0.00157241986245289</v>
      </c>
      <c r="BI24" s="30" t="n">
        <f aca="false">BH24*(1-IF((2071-2022)/I24&gt;=1,J24,H24+(J24-H24)*(3*((2071-2022)/I24)^2-2*((2071-2022)/I24)^3)))</f>
        <v>0.00154883356451609</v>
      </c>
      <c r="BJ24" s="30" t="n">
        <f aca="false">BI24*(1-IF((2072-2022)/I24&gt;=1,J24,H24+(J24-H24)*(3*((2072-2022)/I24)^2-2*((2072-2022)/I24)^3)))</f>
        <v>0.00152560106104835</v>
      </c>
      <c r="BK24" s="30" t="n">
        <f aca="false">BJ24*(1-IF((2073-2022)/I24&gt;=1,J24,H24+(J24-H24)*(3*((2073-2022)/I24)^2-2*((2073-2022)/I24)^3)))</f>
        <v>0.00150271704513263</v>
      </c>
      <c r="BL24" s="30" t="n">
        <f aca="false">BK24*(1-IF((2074-2022)/I24&gt;=1,J24,H24+(J24-H24)*(3*((2074-2022)/I24)^2-2*((2074-2022)/I24)^3)))</f>
        <v>0.00148017628945564</v>
      </c>
      <c r="BM24" s="30" t="n">
        <f aca="false">BL24*(1-IF((2075-2022)/I24&gt;=1,J24,H24+(J24-H24)*(3*((2075-2022)/I24)^2-2*((2075-2022)/I24)^3)))</f>
        <v>0.0014579736451138</v>
      </c>
      <c r="BN24" s="30" t="n">
        <f aca="false">BM24*(1-IF((2076-2022)/I24&gt;=1,J24,H24+(J24-H24)*(3*((2076-2022)/I24)^2-2*((2076-2022)/I24)^3)))</f>
        <v>0.0014361040404371</v>
      </c>
      <c r="BO24" s="30" t="n">
        <f aca="false">BN24*(1-IF((2077-2022)/I24&gt;=1,J24,H24+(J24-H24)*(3*((2077-2022)/I24)^2-2*((2077-2022)/I24)^3)))</f>
        <v>0.00141456247983054</v>
      </c>
      <c r="BP24" s="30" t="n">
        <f aca="false">BO24*(1-IF((2078-2022)/I24&gt;=1,J24,H24+(J24-H24)*(3*((2078-2022)/I24)^2-2*((2078-2022)/I24)^3)))</f>
        <v>0.00139334404263308</v>
      </c>
      <c r="BQ24" s="30" t="n">
        <f aca="false">BP24*(1-IF((2079-2022)/I24&gt;=1,J24,H24+(J24-H24)*(3*((2079-2022)/I24)^2-2*((2079-2022)/I24)^3)))</f>
        <v>0.00137244388199358</v>
      </c>
      <c r="BR24" s="30" t="n">
        <f aca="false">BQ24*(1-IF((2080-2022)/I24&gt;=1,J24,H24+(J24-H24)*(3*((2080-2022)/I24)^2-2*((2080-2022)/I24)^3)))</f>
        <v>0.00135185722376368</v>
      </c>
      <c r="BS24" s="30" t="n">
        <f aca="false">BR24*(1-IF((2081-2022)/I24&gt;=1,J24,H24+(J24-H24)*(3*((2081-2022)/I24)^2-2*((2081-2022)/I24)^3)))</f>
        <v>0.00133157936540723</v>
      </c>
      <c r="BT24" s="30" t="n">
        <f aca="false">BS24*(1-IF((2082-2022)/I24&gt;=1,J24,H24+(J24-H24)*(3*((2082-2022)/I24)^2-2*((2082-2022)/I24)^3)))</f>
        <v>0.00131160567492612</v>
      </c>
      <c r="BU24" s="30" t="n">
        <f aca="false">BT24*(1-IF((2083-2022)/I24&gt;=1,J24,H24+(J24-H24)*(3*((2083-2022)/I24)^2-2*((2083-2022)/I24)^3)))</f>
        <v>0.00129193158980223</v>
      </c>
      <c r="BV24" s="30" t="n">
        <f aca="false">BU24*(1-IF((2084-2022)/I24&gt;=1,J24,H24+(J24-H24)*(3*((2084-2022)/I24)^2-2*((2084-2022)/I24)^3)))</f>
        <v>0.00127255261595519</v>
      </c>
      <c r="BW24" s="30" t="n">
        <f aca="false">BV24*(1-IF((2085-2022)/I24&gt;=1,J24,H24+(J24-H24)*(3*((2085-2022)/I24)^2-2*((2085-2022)/I24)^3)))</f>
        <v>0.00125346432671586</v>
      </c>
      <c r="BX24" s="30" t="n">
        <f aca="false">BW24*(1-IF((2086-2022)/I24&gt;=1,J24,H24+(J24-H24)*(3*((2086-2022)/I24)^2-2*((2086-2022)/I24)^3)))</f>
        <v>0.00123466236181513</v>
      </c>
      <c r="BY24" s="30" t="n">
        <f aca="false">BX24*(1-IF((2087-2022)/I24&gt;=1,J24,H24+(J24-H24)*(3*((2087-2022)/I24)^2-2*((2087-2022)/I24)^3)))</f>
        <v>0.0012161424263879</v>
      </c>
      <c r="BZ24" s="30" t="n">
        <f aca="false">BY24*(1-IF((2088-2022)/I24&gt;=1,J24,H24+(J24-H24)*(3*((2088-2022)/I24)^2-2*((2088-2022)/I24)^3)))</f>
        <v>0.00119790028999208</v>
      </c>
      <c r="CA24" s="30" t="n">
        <f aca="false">BZ24*(1-IF((2089-2022)/I24&gt;=1,J24,H24+(J24-H24)*(3*((2089-2022)/I24)^2-2*((2089-2022)/I24)^3)))</f>
        <v>0.0011799317856422</v>
      </c>
      <c r="CB24" s="30" t="n">
        <f aca="false">CA24*(1-IF((2090-2022)/I24&gt;=1,J24,H24+(J24-H24)*(3*((2090-2022)/I24)^2-2*((2090-2022)/I24)^3)))</f>
        <v>0.00116223280885757</v>
      </c>
      <c r="CC24" s="30" t="n">
        <f aca="false">CB24*(1-IF((2091-2022)/I24&gt;=1,J24,H24+(J24-H24)*(3*((2091-2022)/I24)^2-2*((2091-2022)/I24)^3)))</f>
        <v>0.0011447993167247</v>
      </c>
    </row>
    <row r="25" customFormat="false" ht="15" hidden="false" customHeight="true" outlineLevel="0" collapsed="false">
      <c r="A25" s="3" t="n">
        <v>62</v>
      </c>
      <c r="B25" s="30" t="n">
        <f aca="false">IF($A25&lt;=105,INDEX(ILT17_Source!$D$7:$D$52,MATCH($A25,ILT17_Source!$A$7:$A$52,0)),($B$16*EXP($B$17*$A25))/(1+$B$16*EXP($B$17*$A25)))</f>
        <v>0.00675824</v>
      </c>
      <c r="C25" s="31" t="n">
        <f aca="false">LOOKUP($A25,{60,65,70,75,80,85,90,95},{0.78,0.82,0.85,0.88,0.91,0.94,0.97,1})</f>
        <v>0.78</v>
      </c>
      <c r="D25" s="30" t="n">
        <f aca="false">B25*C25</f>
        <v>0.0052714272</v>
      </c>
      <c r="E25" s="30" t="n">
        <f aca="false">1/(1+EXP(-(($B$6+$B$8*(2016-2022))+($B$7+$B$9*(2016-2022))*($A25-$B$10))))</f>
        <v>0.00780166066664795</v>
      </c>
      <c r="F25" s="30" t="n">
        <f aca="false">1/(1+EXP(-(($B$6+$B$8*(2021-2022))+($B$7+$B$9*(2021-2022))*($A25-$B$10))))</f>
        <v>0.00676797294944828</v>
      </c>
      <c r="G25" s="30" t="n">
        <f aca="false">1/(1+EXP(-(($B$6+$B$8*(2022-2022))+($B$7+$B$9*(2022-2022))*($A25-$B$10))))</f>
        <v>0.00657817561588975</v>
      </c>
      <c r="H25" s="32" t="n">
        <f aca="false">(F25-G25)/F25</f>
        <v>0.0280434533317682</v>
      </c>
      <c r="I25" s="38" t="n">
        <f aca="false">IF($A25&lt;=50,$B$14,IF($A25&gt;=95,$B$15,$B$14+($B$15-$B$14)*($A25-50)/(95-50)))</f>
        <v>16</v>
      </c>
      <c r="J25" s="39" t="n">
        <f aca="false">IF($A25&lt;=$B$12,$B$11,IF($A25&gt;=$B$13,0,$B$11*($B$13-$A25)/($B$13-$B$12)))</f>
        <v>0.015</v>
      </c>
      <c r="K25" s="30" t="n">
        <f aca="false">D25*G25/E25</f>
        <v>0.00444474264514211</v>
      </c>
      <c r="L25" s="30" t="n">
        <f aca="false">K25*$B$19</f>
        <v>0.0040002683806279</v>
      </c>
      <c r="M25" s="30" t="n">
        <f aca="false">L25*(1-IF((2023-2022)/I25&gt;=1,J25,H25+(J25-H25)*(3*((2023-2022)/I25)^2-2*((2023-2022)/I25)^3)))</f>
        <v>0.00388867301667485</v>
      </c>
      <c r="N25" s="30" t="n">
        <f aca="false">M25*(1-IF((2024-2022)/I25&gt;=1,J25,H25+(J25-H25)*(3*((2024-2022)/I25)^2-2*((2024-2022)/I25)^3)))</f>
        <v>0.00378180064553098</v>
      </c>
      <c r="O25" s="30" t="n">
        <f aca="false">N25*(1-IF((2025-2022)/I25&gt;=1,J25,H25+(J25-H25)*(3*((2025-2022)/I25)^2-2*((2025-2022)/I25)^3)))</f>
        <v>0.00368029811383257</v>
      </c>
      <c r="P25" s="30" t="n">
        <f aca="false">O25*(1-IF((2026-2022)/I25&gt;=1,J25,H25+(J25-H25)*(3*((2026-2022)/I25)^2-2*((2026-2022)/I25)^3)))</f>
        <v>0.00358459043866387</v>
      </c>
      <c r="Q25" s="30" t="n">
        <f aca="false">P25*(1-IF((2027-2022)/I25&gt;=1,J25,H25+(J25-H25)*(3*((2027-2022)/I25)^2-2*((2027-2022)/I25)^3)))</f>
        <v>0.00349491030076963</v>
      </c>
      <c r="R25" s="30" t="n">
        <f aca="false">Q25*(1-IF((2028-2022)/I25&gt;=1,J25,H25+(J25-H25)*(3*((2028-2022)/I25)^2-2*((2028-2022)/I25)^3)))</f>
        <v>0.00341132454705422</v>
      </c>
      <c r="S25" s="30" t="n">
        <f aca="false">R25*(1-IF((2029-2022)/I25&gt;=1,J25,H25+(J25-H25)*(3*((2029-2022)/I25)^2-2*((2029-2022)/I25)^3)))</f>
        <v>0.00333375723020448</v>
      </c>
      <c r="T25" s="30" t="n">
        <f aca="false">S25*(1-IF((2030-2022)/I25&gt;=1,J25,H25+(J25-H25)*(3*((2030-2022)/I25)^2-2*((2030-2022)/I25)^3)))</f>
        <v>0.00326200901832561</v>
      </c>
      <c r="U25" s="30" t="n">
        <f aca="false">T25*(1-IF((2031-2022)/I25&gt;=1,J25,H25+(J25-H25)*(3*((2031-2022)/I25)^2-2*((2031-2022)/I25)^3)))</f>
        <v>0.00319577303862796</v>
      </c>
      <c r="V25" s="30" t="n">
        <f aca="false">U25*(1-IF((2032-2022)/I25&gt;=1,J25,H25+(J25-H25)*(3*((2032-2022)/I25)^2-2*((2032-2022)/I25)^3)))</f>
        <v>0.00313464739134718</v>
      </c>
      <c r="W25" s="30" t="n">
        <f aca="false">V25*(1-IF((2033-2022)/I25&gt;=1,J25,H25+(J25-H25)*(3*((2033-2022)/I25)^2-2*((2033-2022)/I25)^3)))</f>
        <v>0.00307814469814968</v>
      </c>
      <c r="X25" s="30" t="n">
        <f aca="false">W25*(1-IF((2034-2022)/I25&gt;=1,J25,H25+(J25-H25)*(3*((2034-2022)/I25)^2-2*((2034-2022)/I25)^3)))</f>
        <v>0.00302569914694014</v>
      </c>
      <c r="Y25" s="30" t="n">
        <f aca="false">X25*(1-IF((2035-2022)/I25&gt;=1,J25,H25+(J25-H25)*(3*((2035-2022)/I25)^2-2*((2035-2022)/I25)^3)))</f>
        <v>0.00297667157384638</v>
      </c>
      <c r="Z25" s="30" t="n">
        <f aca="false">Y25*(1-IF((2036-2022)/I25&gt;=1,J25,H25+(J25-H25)*(3*((2036-2022)/I25)^2-2*((2036-2022)/I25)^3)))</f>
        <v>0.00293035319225301</v>
      </c>
      <c r="AA25" s="30" t="n">
        <f aca="false">Z25*(1-IF((2037-2022)/I25&gt;=1,J25,H25+(J25-H25)*(3*((2037-2022)/I25)^2-2*((2037-2022)/I25)^3)))</f>
        <v>0.00288596864423372</v>
      </c>
      <c r="AB25" s="30" t="n">
        <f aca="false">AA25*(1-IF((2038-2022)/I25&gt;=1,J25,H25+(J25-H25)*(3*((2038-2022)/I25)^2-2*((2038-2022)/I25)^3)))</f>
        <v>0.00284267911457021</v>
      </c>
      <c r="AC25" s="30" t="n">
        <f aca="false">AB25*(1-IF((2039-2022)/I25&gt;=1,J25,H25+(J25-H25)*(3*((2039-2022)/I25)^2-2*((2039-2022)/I25)^3)))</f>
        <v>0.00280003892785166</v>
      </c>
      <c r="AD25" s="30" t="n">
        <f aca="false">AC25*(1-IF((2040-2022)/I25&gt;=1,J25,H25+(J25-H25)*(3*((2040-2022)/I25)^2-2*((2040-2022)/I25)^3)))</f>
        <v>0.00275803834393389</v>
      </c>
      <c r="AE25" s="30" t="n">
        <f aca="false">AD25*(1-IF((2041-2022)/I25&gt;=1,J25,H25+(J25-H25)*(3*((2041-2022)/I25)^2-2*((2041-2022)/I25)^3)))</f>
        <v>0.00271666776877488</v>
      </c>
      <c r="AF25" s="30" t="n">
        <f aca="false">AE25*(1-IF((2042-2022)/I25&gt;=1,J25,H25+(J25-H25)*(3*((2042-2022)/I25)^2-2*((2042-2022)/I25)^3)))</f>
        <v>0.00267591775224325</v>
      </c>
      <c r="AG25" s="30" t="n">
        <f aca="false">AF25*(1-IF((2043-2022)/I25&gt;=1,J25,H25+(J25-H25)*(3*((2043-2022)/I25)^2-2*((2043-2022)/I25)^3)))</f>
        <v>0.00263577898595961</v>
      </c>
      <c r="AH25" s="30" t="n">
        <f aca="false">AG25*(1-IF((2044-2022)/I25&gt;=1,J25,H25+(J25-H25)*(3*((2044-2022)/I25)^2-2*((2044-2022)/I25)^3)))</f>
        <v>0.00259624230117021</v>
      </c>
      <c r="AI25" s="30" t="n">
        <f aca="false">AH25*(1-IF((2045-2022)/I25&gt;=1,J25,H25+(J25-H25)*(3*((2045-2022)/I25)^2-2*((2045-2022)/I25)^3)))</f>
        <v>0.00255729866665266</v>
      </c>
      <c r="AJ25" s="30" t="n">
        <f aca="false">AI25*(1-IF((2046-2022)/I25&gt;=1,J25,H25+(J25-H25)*(3*((2046-2022)/I25)^2-2*((2046-2022)/I25)^3)))</f>
        <v>0.00251893918665287</v>
      </c>
      <c r="AK25" s="30" t="n">
        <f aca="false">AJ25*(1-IF((2047-2022)/I25&gt;=1,J25,H25+(J25-H25)*(3*((2047-2022)/I25)^2-2*((2047-2022)/I25)^3)))</f>
        <v>0.00248115509885307</v>
      </c>
      <c r="AL25" s="30" t="n">
        <f aca="false">AK25*(1-IF((2048-2022)/I25&gt;=1,J25,H25+(J25-H25)*(3*((2048-2022)/I25)^2-2*((2048-2022)/I25)^3)))</f>
        <v>0.00244393777237028</v>
      </c>
      <c r="AM25" s="30" t="n">
        <f aca="false">AL25*(1-IF((2049-2022)/I25&gt;=1,J25,H25+(J25-H25)*(3*((2049-2022)/I25)^2-2*((2049-2022)/I25)^3)))</f>
        <v>0.00240727870578472</v>
      </c>
      <c r="AN25" s="30" t="n">
        <f aca="false">AM25*(1-IF((2050-2022)/I25&gt;=1,J25,H25+(J25-H25)*(3*((2050-2022)/I25)^2-2*((2050-2022)/I25)^3)))</f>
        <v>0.00237116952519795</v>
      </c>
      <c r="AO25" s="30" t="n">
        <f aca="false">AN25*(1-IF((2051-2022)/I25&gt;=1,J25,H25+(J25-H25)*(3*((2051-2022)/I25)^2-2*((2051-2022)/I25)^3)))</f>
        <v>0.00233560198231998</v>
      </c>
      <c r="AP25" s="30" t="n">
        <f aca="false">AO25*(1-IF((2052-2022)/I25&gt;=1,J25,H25+(J25-H25)*(3*((2052-2022)/I25)^2-2*((2052-2022)/I25)^3)))</f>
        <v>0.00230056795258518</v>
      </c>
      <c r="AQ25" s="30" t="n">
        <f aca="false">AP25*(1-IF((2053-2022)/I25&gt;=1,J25,H25+(J25-H25)*(3*((2053-2022)/I25)^2-2*((2053-2022)/I25)^3)))</f>
        <v>0.00226605943329641</v>
      </c>
      <c r="AR25" s="30" t="n">
        <f aca="false">AQ25*(1-IF((2054-2022)/I25&gt;=1,J25,H25+(J25-H25)*(3*((2054-2022)/I25)^2-2*((2054-2022)/I25)^3)))</f>
        <v>0.00223206854179696</v>
      </c>
      <c r="AS25" s="30" t="n">
        <f aca="false">AR25*(1-IF((2055-2022)/I25&gt;=1,J25,H25+(J25-H25)*(3*((2055-2022)/I25)^2-2*((2055-2022)/I25)^3)))</f>
        <v>0.00219858751367001</v>
      </c>
      <c r="AT25" s="30" t="n">
        <f aca="false">AS25*(1-IF((2056-2022)/I25&gt;=1,J25,H25+(J25-H25)*(3*((2056-2022)/I25)^2-2*((2056-2022)/I25)^3)))</f>
        <v>0.00216560870096496</v>
      </c>
      <c r="AU25" s="30" t="n">
        <f aca="false">AT25*(1-IF((2057-2022)/I25&gt;=1,J25,H25+(J25-H25)*(3*((2057-2022)/I25)^2-2*((2057-2022)/I25)^3)))</f>
        <v>0.00213312457045048</v>
      </c>
      <c r="AV25" s="30" t="n">
        <f aca="false">AU25*(1-IF((2058-2022)/I25&gt;=1,J25,H25+(J25-H25)*(3*((2058-2022)/I25)^2-2*((2058-2022)/I25)^3)))</f>
        <v>0.00210112770189372</v>
      </c>
      <c r="AW25" s="30" t="n">
        <f aca="false">AV25*(1-IF((2059-2022)/I25&gt;=1,J25,H25+(J25-H25)*(3*((2059-2022)/I25)^2-2*((2059-2022)/I25)^3)))</f>
        <v>0.00206961078636532</v>
      </c>
      <c r="AX25" s="30" t="n">
        <f aca="false">AW25*(1-IF((2060-2022)/I25&gt;=1,J25,H25+(J25-H25)*(3*((2060-2022)/I25)^2-2*((2060-2022)/I25)^3)))</f>
        <v>0.00203856662456984</v>
      </c>
      <c r="AY25" s="30" t="n">
        <f aca="false">AX25*(1-IF((2061-2022)/I25&gt;=1,J25,H25+(J25-H25)*(3*((2061-2022)/I25)^2-2*((2061-2022)/I25)^3)))</f>
        <v>0.00200798812520129</v>
      </c>
      <c r="AZ25" s="30" t="n">
        <f aca="false">AY25*(1-IF((2062-2022)/I25&gt;=1,J25,H25+(J25-H25)*(3*((2062-2022)/I25)^2-2*((2062-2022)/I25)^3)))</f>
        <v>0.00197786830332327</v>
      </c>
      <c r="BA25" s="30" t="n">
        <f aca="false">AZ25*(1-IF((2063-2022)/I25&gt;=1,J25,H25+(J25-H25)*(3*((2063-2022)/I25)^2-2*((2063-2022)/I25)^3)))</f>
        <v>0.00194820027877342</v>
      </c>
      <c r="BB25" s="30" t="n">
        <f aca="false">BA25*(1-IF((2064-2022)/I25&gt;=1,J25,H25+(J25-H25)*(3*((2064-2022)/I25)^2-2*((2064-2022)/I25)^3)))</f>
        <v>0.00191897727459182</v>
      </c>
      <c r="BC25" s="30" t="n">
        <f aca="false">BB25*(1-IF((2065-2022)/I25&gt;=1,J25,H25+(J25-H25)*(3*((2065-2022)/I25)^2-2*((2065-2022)/I25)^3)))</f>
        <v>0.00189019261547294</v>
      </c>
      <c r="BD25" s="30" t="n">
        <f aca="false">BC25*(1-IF((2066-2022)/I25&gt;=1,J25,H25+(J25-H25)*(3*((2066-2022)/I25)^2-2*((2066-2022)/I25)^3)))</f>
        <v>0.00186183972624085</v>
      </c>
      <c r="BE25" s="30" t="n">
        <f aca="false">BD25*(1-IF((2067-2022)/I25&gt;=1,J25,H25+(J25-H25)*(3*((2067-2022)/I25)^2-2*((2067-2022)/I25)^3)))</f>
        <v>0.00183391213034724</v>
      </c>
      <c r="BF25" s="30" t="n">
        <f aca="false">BE25*(1-IF((2068-2022)/I25&gt;=1,J25,H25+(J25-H25)*(3*((2068-2022)/I25)^2-2*((2068-2022)/I25)^3)))</f>
        <v>0.00180640344839203</v>
      </c>
      <c r="BG25" s="30" t="n">
        <f aca="false">BF25*(1-IF((2069-2022)/I25&gt;=1,J25,H25+(J25-H25)*(3*((2069-2022)/I25)^2-2*((2069-2022)/I25)^3)))</f>
        <v>0.00177930739666615</v>
      </c>
      <c r="BH25" s="30" t="n">
        <f aca="false">BG25*(1-IF((2070-2022)/I25&gt;=1,J25,H25+(J25-H25)*(3*((2070-2022)/I25)^2-2*((2070-2022)/I25)^3)))</f>
        <v>0.00175261778571616</v>
      </c>
      <c r="BI25" s="30" t="n">
        <f aca="false">BH25*(1-IF((2071-2022)/I25&gt;=1,J25,H25+(J25-H25)*(3*((2071-2022)/I25)^2-2*((2071-2022)/I25)^3)))</f>
        <v>0.00172632851893041</v>
      </c>
      <c r="BJ25" s="30" t="n">
        <f aca="false">BI25*(1-IF((2072-2022)/I25&gt;=1,J25,H25+(J25-H25)*(3*((2072-2022)/I25)^2-2*((2072-2022)/I25)^3)))</f>
        <v>0.00170043359114646</v>
      </c>
      <c r="BK25" s="30" t="n">
        <f aca="false">BJ25*(1-IF((2073-2022)/I25&gt;=1,J25,H25+(J25-H25)*(3*((2073-2022)/I25)^2-2*((2073-2022)/I25)^3)))</f>
        <v>0.00167492708727926</v>
      </c>
      <c r="BL25" s="30" t="n">
        <f aca="false">BK25*(1-IF((2074-2022)/I25&gt;=1,J25,H25+(J25-H25)*(3*((2074-2022)/I25)^2-2*((2074-2022)/I25)^3)))</f>
        <v>0.00164980318097007</v>
      </c>
      <c r="BM25" s="30" t="n">
        <f aca="false">BL25*(1-IF((2075-2022)/I25&gt;=1,J25,H25+(J25-H25)*(3*((2075-2022)/I25)^2-2*((2075-2022)/I25)^3)))</f>
        <v>0.00162505613325552</v>
      </c>
      <c r="BN25" s="30" t="n">
        <f aca="false">BM25*(1-IF((2076-2022)/I25&gt;=1,J25,H25+(J25-H25)*(3*((2076-2022)/I25)^2-2*((2076-2022)/I25)^3)))</f>
        <v>0.00160068029125669</v>
      </c>
      <c r="BO25" s="30" t="n">
        <f aca="false">BN25*(1-IF((2077-2022)/I25&gt;=1,J25,H25+(J25-H25)*(3*((2077-2022)/I25)^2-2*((2077-2022)/I25)^3)))</f>
        <v>0.00157667008688784</v>
      </c>
      <c r="BP25" s="30" t="n">
        <f aca="false">BO25*(1-IF((2078-2022)/I25&gt;=1,J25,H25+(J25-H25)*(3*((2078-2022)/I25)^2-2*((2078-2022)/I25)^3)))</f>
        <v>0.00155302003558452</v>
      </c>
      <c r="BQ25" s="30" t="n">
        <f aca="false">BP25*(1-IF((2079-2022)/I25&gt;=1,J25,H25+(J25-H25)*(3*((2079-2022)/I25)^2-2*((2079-2022)/I25)^3)))</f>
        <v>0.00152972473505075</v>
      </c>
      <c r="BR25" s="30" t="n">
        <f aca="false">BQ25*(1-IF((2080-2022)/I25&gt;=1,J25,H25+(J25-H25)*(3*((2080-2022)/I25)^2-2*((2080-2022)/I25)^3)))</f>
        <v>0.00150677886402499</v>
      </c>
      <c r="BS25" s="30" t="n">
        <f aca="false">BR25*(1-IF((2081-2022)/I25&gt;=1,J25,H25+(J25-H25)*(3*((2081-2022)/I25)^2-2*((2081-2022)/I25)^3)))</f>
        <v>0.00148417718106462</v>
      </c>
      <c r="BT25" s="30" t="n">
        <f aca="false">BS25*(1-IF((2082-2022)/I25&gt;=1,J25,H25+(J25-H25)*(3*((2082-2022)/I25)^2-2*((2082-2022)/I25)^3)))</f>
        <v>0.00146191452334865</v>
      </c>
      <c r="BU25" s="30" t="n">
        <f aca="false">BT25*(1-IF((2083-2022)/I25&gt;=1,J25,H25+(J25-H25)*(3*((2083-2022)/I25)^2-2*((2083-2022)/I25)^3)))</f>
        <v>0.00143998580549842</v>
      </c>
      <c r="BV25" s="30" t="n">
        <f aca="false">BU25*(1-IF((2084-2022)/I25&gt;=1,J25,H25+(J25-H25)*(3*((2084-2022)/I25)^2-2*((2084-2022)/I25)^3)))</f>
        <v>0.00141838601841594</v>
      </c>
      <c r="BW25" s="30" t="n">
        <f aca="false">BV25*(1-IF((2085-2022)/I25&gt;=1,J25,H25+(J25-H25)*(3*((2085-2022)/I25)^2-2*((2085-2022)/I25)^3)))</f>
        <v>0.0013971102281397</v>
      </c>
      <c r="BX25" s="30" t="n">
        <f aca="false">BW25*(1-IF((2086-2022)/I25&gt;=1,J25,H25+(J25-H25)*(3*((2086-2022)/I25)^2-2*((2086-2022)/I25)^3)))</f>
        <v>0.00137615357471761</v>
      </c>
      <c r="BY25" s="30" t="n">
        <f aca="false">BX25*(1-IF((2087-2022)/I25&gt;=1,J25,H25+(J25-H25)*(3*((2087-2022)/I25)^2-2*((2087-2022)/I25)^3)))</f>
        <v>0.00135551127109684</v>
      </c>
      <c r="BZ25" s="30" t="n">
        <f aca="false">BY25*(1-IF((2088-2022)/I25&gt;=1,J25,H25+(J25-H25)*(3*((2088-2022)/I25)^2-2*((2088-2022)/I25)^3)))</f>
        <v>0.00133517860203039</v>
      </c>
      <c r="CA25" s="30" t="n">
        <f aca="false">BZ25*(1-IF((2089-2022)/I25&gt;=1,J25,H25+(J25-H25)*(3*((2089-2022)/I25)^2-2*((2089-2022)/I25)^3)))</f>
        <v>0.00131515092299993</v>
      </c>
      <c r="CB25" s="30" t="n">
        <f aca="false">CA25*(1-IF((2090-2022)/I25&gt;=1,J25,H25+(J25-H25)*(3*((2090-2022)/I25)^2-2*((2090-2022)/I25)^3)))</f>
        <v>0.00129542365915493</v>
      </c>
      <c r="CC25" s="30" t="n">
        <f aca="false">CB25*(1-IF((2091-2022)/I25&gt;=1,J25,H25+(J25-H25)*(3*((2091-2022)/I25)^2-2*((2091-2022)/I25)^3)))</f>
        <v>0.00127599230426761</v>
      </c>
    </row>
    <row r="26" customFormat="false" ht="15" hidden="false" customHeight="true" outlineLevel="0" collapsed="false">
      <c r="A26" s="3" t="n">
        <v>63</v>
      </c>
      <c r="B26" s="30" t="n">
        <f aca="false">IF($A26&lt;=105,INDEX(ILT17_Source!$D$7:$D$52,MATCH($A26,ILT17_Source!$A$7:$A$52,0)),($B$16*EXP($B$17*$A26))/(1+$B$16*EXP($B$17*$A26)))</f>
        <v>0.007464875</v>
      </c>
      <c r="C26" s="31" t="n">
        <f aca="false">LOOKUP($A26,{60,65,70,75,80,85,90,95},{0.78,0.82,0.85,0.88,0.91,0.94,0.97,1})</f>
        <v>0.78</v>
      </c>
      <c r="D26" s="30" t="n">
        <f aca="false">B26*C26</f>
        <v>0.0058226025</v>
      </c>
      <c r="E26" s="30" t="n">
        <f aca="false">1/(1+EXP(-(($B$6+$B$8*(2016-2022))+($B$7+$B$9*(2016-2022))*($A26-$B$10))))</f>
        <v>0.00870688547553491</v>
      </c>
      <c r="F26" s="30" t="n">
        <f aca="false">1/(1+EXP(-(($B$6+$B$8*(2021-2022))+($B$7+$B$9*(2021-2022))*($A26-$B$10))))</f>
        <v>0.0075746881959463</v>
      </c>
      <c r="G26" s="30" t="n">
        <f aca="false">1/(1+EXP(-(($B$6+$B$8*(2022-2022))+($B$7+$B$9*(2022-2022))*($A26-$B$10))))</f>
        <v>0.00736643096299431</v>
      </c>
      <c r="H26" s="32" t="n">
        <f aca="false">(F26-G26)/F26</f>
        <v>0.0274938357282402</v>
      </c>
      <c r="I26" s="38" t="n">
        <f aca="false">IF($A26&lt;=50,$B$14,IF($A26&gt;=95,$B$15,$B$14+($B$15-$B$14)*($A26-50)/(95-50)))</f>
        <v>15.6666666666667</v>
      </c>
      <c r="J26" s="39" t="n">
        <f aca="false">IF($A26&lt;=$B$12,$B$11,IF($A26&gt;=$B$13,0,$B$11*($B$13-$A26)/($B$13-$B$12)))</f>
        <v>0.015</v>
      </c>
      <c r="K26" s="30" t="n">
        <f aca="false">D26*G26/E26</f>
        <v>0.00492619312172279</v>
      </c>
      <c r="L26" s="30" t="n">
        <f aca="false">K26*$B$19</f>
        <v>0.00443357380955051</v>
      </c>
      <c r="M26" s="30" t="n">
        <f aca="false">L26*(1-IF((2023-2022)/I26&gt;=1,J26,H26+(J26-H26)*(3*((2023-2022)/I26)^2-2*((2023-2022)/I26)^3)))</f>
        <v>0.00431232609448561</v>
      </c>
      <c r="N26" s="30" t="n">
        <f aca="false">M26*(1-IF((2024-2022)/I26&gt;=1,J26,H26+(J26-H26)*(3*((2024-2022)/I26)^2-2*((2024-2022)/I26)^3)))</f>
        <v>0.00419617364808845</v>
      </c>
      <c r="O26" s="30" t="n">
        <f aca="false">N26*(1-IF((2025-2022)/I26&gt;=1,J26,H26+(J26-H26)*(3*((2025-2022)/I26)^2-2*((2025-2022)/I26)^3)))</f>
        <v>0.00408583564045481</v>
      </c>
      <c r="P26" s="30" t="n">
        <f aca="false">O26*(1-IF((2026-2022)/I26&gt;=1,J26,H26+(J26-H26)*(3*((2026-2022)/I26)^2-2*((2026-2022)/I26)^3)))</f>
        <v>0.0039817841820016</v>
      </c>
      <c r="Q26" s="30" t="n">
        <f aca="false">P26*(1-IF((2027-2022)/I26&gt;=1,J26,H26+(J26-H26)*(3*((2027-2022)/I26)^2-2*((2027-2022)/I26)^3)))</f>
        <v>0.00388427666566778</v>
      </c>
      <c r="R26" s="30" t="n">
        <f aca="false">Q26*(1-IF((2028-2022)/I26&gt;=1,J26,H26+(J26-H26)*(3*((2028-2022)/I26)^2-2*((2028-2022)/I26)^3)))</f>
        <v>0.00379338481559223</v>
      </c>
      <c r="S26" s="30" t="n">
        <f aca="false">R26*(1-IF((2029-2022)/I26&gt;=1,J26,H26+(J26-H26)*(3*((2029-2022)/I26)^2-2*((2029-2022)/I26)^3)))</f>
        <v>0.00370901991490525</v>
      </c>
      <c r="T26" s="30" t="n">
        <f aca="false">S26*(1-IF((2030-2022)/I26&gt;=1,J26,H26+(J26-H26)*(3*((2030-2022)/I26)^2-2*((2030-2022)/I26)^3)))</f>
        <v>0.00363095402809146</v>
      </c>
      <c r="U26" s="30" t="n">
        <f aca="false">T26*(1-IF((2031-2022)/I26&gt;=1,J26,H26+(J26-H26)*(3*((2031-2022)/I26)^2-2*((2031-2022)/I26)^3)))</f>
        <v>0.00355883729437452</v>
      </c>
      <c r="V26" s="30" t="n">
        <f aca="false">U26*(1-IF((2032-2022)/I26&gt;=1,J26,H26+(J26-H26)*(3*((2032-2022)/I26)^2-2*((2032-2022)/I26)^3)))</f>
        <v>0.00349221156443767</v>
      </c>
      <c r="W26" s="30" t="n">
        <f aca="false">V26*(1-IF((2033-2022)/I26&gt;=1,J26,H26+(J26-H26)*(3*((2033-2022)/I26)^2-2*((2033-2022)/I26)^3)))</f>
        <v>0.0034305208002357</v>
      </c>
      <c r="X26" s="30" t="n">
        <f aca="false">W26*(1-IF((2034-2022)/I26&gt;=1,J26,H26+(J26-H26)*(3*((2034-2022)/I26)^2-2*((2034-2022)/I26)^3)))</f>
        <v>0.00337311877190496</v>
      </c>
      <c r="Y26" s="30" t="n">
        <f aca="false">X26*(1-IF((2035-2022)/I26&gt;=1,J26,H26+(J26-H26)*(3*((2035-2022)/I26)^2-2*((2035-2022)/I26)^3)))</f>
        <v>0.00331927467966666</v>
      </c>
      <c r="Z26" s="30" t="n">
        <f aca="false">Y26*(1-IF((2036-2022)/I26&gt;=1,J26,H26+(J26-H26)*(3*((2036-2022)/I26)^2-2*((2036-2022)/I26)^3)))</f>
        <v>0.00326817741197337</v>
      </c>
      <c r="AA26" s="30" t="n">
        <f aca="false">Z26*(1-IF((2037-2022)/I26&gt;=1,J26,H26+(J26-H26)*(3*((2037-2022)/I26)^2-2*((2037-2022)/I26)^3)))</f>
        <v>0.00321893923038596</v>
      </c>
      <c r="AB26" s="30" t="n">
        <f aca="false">AA26*(1-IF((2038-2022)/I26&gt;=1,J26,H26+(J26-H26)*(3*((2038-2022)/I26)^2-2*((2038-2022)/I26)^3)))</f>
        <v>0.00317065514193017</v>
      </c>
      <c r="AC26" s="30" t="n">
        <f aca="false">AB26*(1-IF((2039-2022)/I26&gt;=1,J26,H26+(J26-H26)*(3*((2039-2022)/I26)^2-2*((2039-2022)/I26)^3)))</f>
        <v>0.00312309531480122</v>
      </c>
      <c r="AD26" s="30" t="n">
        <f aca="false">AC26*(1-IF((2040-2022)/I26&gt;=1,J26,H26+(J26-H26)*(3*((2040-2022)/I26)^2-2*((2040-2022)/I26)^3)))</f>
        <v>0.0030762488850792</v>
      </c>
      <c r="AE26" s="30" t="n">
        <f aca="false">AD26*(1-IF((2041-2022)/I26&gt;=1,J26,H26+(J26-H26)*(3*((2041-2022)/I26)^2-2*((2041-2022)/I26)^3)))</f>
        <v>0.00303010515180301</v>
      </c>
      <c r="AF26" s="30" t="n">
        <f aca="false">AE26*(1-IF((2042-2022)/I26&gt;=1,J26,H26+(J26-H26)*(3*((2042-2022)/I26)^2-2*((2042-2022)/I26)^3)))</f>
        <v>0.00298465357452597</v>
      </c>
      <c r="AG26" s="30" t="n">
        <f aca="false">AF26*(1-IF((2043-2022)/I26&gt;=1,J26,H26+(J26-H26)*(3*((2043-2022)/I26)^2-2*((2043-2022)/I26)^3)))</f>
        <v>0.00293988377090808</v>
      </c>
      <c r="AH26" s="30" t="n">
        <f aca="false">AG26*(1-IF((2044-2022)/I26&gt;=1,J26,H26+(J26-H26)*(3*((2044-2022)/I26)^2-2*((2044-2022)/I26)^3)))</f>
        <v>0.00289578551434446</v>
      </c>
      <c r="AI26" s="30" t="n">
        <f aca="false">AH26*(1-IF((2045-2022)/I26&gt;=1,J26,H26+(J26-H26)*(3*((2045-2022)/I26)^2-2*((2045-2022)/I26)^3)))</f>
        <v>0.00285234873162929</v>
      </c>
      <c r="AJ26" s="30" t="n">
        <f aca="false">AI26*(1-IF((2046-2022)/I26&gt;=1,J26,H26+(J26-H26)*(3*((2046-2022)/I26)^2-2*((2046-2022)/I26)^3)))</f>
        <v>0.00280956350065485</v>
      </c>
      <c r="AK26" s="30" t="n">
        <f aca="false">AJ26*(1-IF((2047-2022)/I26&gt;=1,J26,H26+(J26-H26)*(3*((2047-2022)/I26)^2-2*((2047-2022)/I26)^3)))</f>
        <v>0.00276742004814503</v>
      </c>
      <c r="AL26" s="30" t="n">
        <f aca="false">AK26*(1-IF((2048-2022)/I26&gt;=1,J26,H26+(J26-H26)*(3*((2048-2022)/I26)^2-2*((2048-2022)/I26)^3)))</f>
        <v>0.00272590874742285</v>
      </c>
      <c r="AM26" s="30" t="n">
        <f aca="false">AL26*(1-IF((2049-2022)/I26&gt;=1,J26,H26+(J26-H26)*(3*((2049-2022)/I26)^2-2*((2049-2022)/I26)^3)))</f>
        <v>0.00268502011621151</v>
      </c>
      <c r="AN26" s="30" t="n">
        <f aca="false">AM26*(1-IF((2050-2022)/I26&gt;=1,J26,H26+(J26-H26)*(3*((2050-2022)/I26)^2-2*((2050-2022)/I26)^3)))</f>
        <v>0.00264474481446834</v>
      </c>
      <c r="AO26" s="30" t="n">
        <f aca="false">AN26*(1-IF((2051-2022)/I26&gt;=1,J26,H26+(J26-H26)*(3*((2051-2022)/I26)^2-2*((2051-2022)/I26)^3)))</f>
        <v>0.00260507364225131</v>
      </c>
      <c r="AP26" s="30" t="n">
        <f aca="false">AO26*(1-IF((2052-2022)/I26&gt;=1,J26,H26+(J26-H26)*(3*((2052-2022)/I26)^2-2*((2052-2022)/I26)^3)))</f>
        <v>0.00256599753761754</v>
      </c>
      <c r="AQ26" s="30" t="n">
        <f aca="false">AP26*(1-IF((2053-2022)/I26&gt;=1,J26,H26+(J26-H26)*(3*((2053-2022)/I26)^2-2*((2053-2022)/I26)^3)))</f>
        <v>0.00252750757455328</v>
      </c>
      <c r="AR26" s="30" t="n">
        <f aca="false">AQ26*(1-IF((2054-2022)/I26&gt;=1,J26,H26+(J26-H26)*(3*((2054-2022)/I26)^2-2*((2054-2022)/I26)^3)))</f>
        <v>0.00248959496093498</v>
      </c>
      <c r="AS26" s="30" t="n">
        <f aca="false">AR26*(1-IF((2055-2022)/I26&gt;=1,J26,H26+(J26-H26)*(3*((2055-2022)/I26)^2-2*((2055-2022)/I26)^3)))</f>
        <v>0.00245225103652095</v>
      </c>
      <c r="AT26" s="30" t="n">
        <f aca="false">AS26*(1-IF((2056-2022)/I26&gt;=1,J26,H26+(J26-H26)*(3*((2056-2022)/I26)^2-2*((2056-2022)/I26)^3)))</f>
        <v>0.00241546727097314</v>
      </c>
      <c r="AU26" s="30" t="n">
        <f aca="false">AT26*(1-IF((2057-2022)/I26&gt;=1,J26,H26+(J26-H26)*(3*((2057-2022)/I26)^2-2*((2057-2022)/I26)^3)))</f>
        <v>0.00237923526190854</v>
      </c>
      <c r="AV26" s="30" t="n">
        <f aca="false">AU26*(1-IF((2058-2022)/I26&gt;=1,J26,H26+(J26-H26)*(3*((2058-2022)/I26)^2-2*((2058-2022)/I26)^3)))</f>
        <v>0.00234354673297991</v>
      </c>
      <c r="AW26" s="30" t="n">
        <f aca="false">AV26*(1-IF((2059-2022)/I26&gt;=1,J26,H26+(J26-H26)*(3*((2059-2022)/I26)^2-2*((2059-2022)/I26)^3)))</f>
        <v>0.00230839353198522</v>
      </c>
      <c r="AX26" s="30" t="n">
        <f aca="false">AW26*(1-IF((2060-2022)/I26&gt;=1,J26,H26+(J26-H26)*(3*((2060-2022)/I26)^2-2*((2060-2022)/I26)^3)))</f>
        <v>0.00227376762900544</v>
      </c>
      <c r="AY26" s="30" t="n">
        <f aca="false">AX26*(1-IF((2061-2022)/I26&gt;=1,J26,H26+(J26-H26)*(3*((2061-2022)/I26)^2-2*((2061-2022)/I26)^3)))</f>
        <v>0.00223966111457036</v>
      </c>
      <c r="AZ26" s="30" t="n">
        <f aca="false">AY26*(1-IF((2062-2022)/I26&gt;=1,J26,H26+(J26-H26)*(3*((2062-2022)/I26)^2-2*((2062-2022)/I26)^3)))</f>
        <v>0.0022060661978518</v>
      </c>
      <c r="BA26" s="30" t="n">
        <f aca="false">AZ26*(1-IF((2063-2022)/I26&gt;=1,J26,H26+(J26-H26)*(3*((2063-2022)/I26)^2-2*((2063-2022)/I26)^3)))</f>
        <v>0.00217297520488402</v>
      </c>
      <c r="BB26" s="30" t="n">
        <f aca="false">BA26*(1-IF((2064-2022)/I26&gt;=1,J26,H26+(J26-H26)*(3*((2064-2022)/I26)^2-2*((2064-2022)/I26)^3)))</f>
        <v>0.00214038057681076</v>
      </c>
      <c r="BC26" s="30" t="n">
        <f aca="false">BB26*(1-IF((2065-2022)/I26&gt;=1,J26,H26+(J26-H26)*(3*((2065-2022)/I26)^2-2*((2065-2022)/I26)^3)))</f>
        <v>0.0021082748681586</v>
      </c>
      <c r="BD26" s="30" t="n">
        <f aca="false">BC26*(1-IF((2066-2022)/I26&gt;=1,J26,H26+(J26-H26)*(3*((2066-2022)/I26)^2-2*((2066-2022)/I26)^3)))</f>
        <v>0.00207665074513622</v>
      </c>
      <c r="BE26" s="30" t="n">
        <f aca="false">BD26*(1-IF((2067-2022)/I26&gt;=1,J26,H26+(J26-H26)*(3*((2067-2022)/I26)^2-2*((2067-2022)/I26)^3)))</f>
        <v>0.00204550098395918</v>
      </c>
      <c r="BF26" s="30" t="n">
        <f aca="false">BE26*(1-IF((2068-2022)/I26&gt;=1,J26,H26+(J26-H26)*(3*((2068-2022)/I26)^2-2*((2068-2022)/I26)^3)))</f>
        <v>0.00201481846919979</v>
      </c>
      <c r="BG26" s="30" t="n">
        <f aca="false">BF26*(1-IF((2069-2022)/I26&gt;=1,J26,H26+(J26-H26)*(3*((2069-2022)/I26)^2-2*((2069-2022)/I26)^3)))</f>
        <v>0.00198459619216179</v>
      </c>
      <c r="BH26" s="30" t="n">
        <f aca="false">BG26*(1-IF((2070-2022)/I26&gt;=1,J26,H26+(J26-H26)*(3*((2070-2022)/I26)^2-2*((2070-2022)/I26)^3)))</f>
        <v>0.00195482724927937</v>
      </c>
      <c r="BI26" s="30" t="n">
        <f aca="false">BH26*(1-IF((2071-2022)/I26&gt;=1,J26,H26+(J26-H26)*(3*((2071-2022)/I26)^2-2*((2071-2022)/I26)^3)))</f>
        <v>0.00192550484054018</v>
      </c>
      <c r="BJ26" s="30" t="n">
        <f aca="false">BI26*(1-IF((2072-2022)/I26&gt;=1,J26,H26+(J26-H26)*(3*((2072-2022)/I26)^2-2*((2072-2022)/I26)^3)))</f>
        <v>0.00189662226793207</v>
      </c>
      <c r="BK26" s="30" t="n">
        <f aca="false">BJ26*(1-IF((2073-2022)/I26&gt;=1,J26,H26+(J26-H26)*(3*((2073-2022)/I26)^2-2*((2073-2022)/I26)^3)))</f>
        <v>0.00186817293391309</v>
      </c>
      <c r="BL26" s="30" t="n">
        <f aca="false">BK26*(1-IF((2074-2022)/I26&gt;=1,J26,H26+(J26-H26)*(3*((2074-2022)/I26)^2-2*((2074-2022)/I26)^3)))</f>
        <v>0.0018401503399044</v>
      </c>
      <c r="BM26" s="30" t="n">
        <f aca="false">BL26*(1-IF((2075-2022)/I26&gt;=1,J26,H26+(J26-H26)*(3*((2075-2022)/I26)^2-2*((2075-2022)/I26)^3)))</f>
        <v>0.00181254808480583</v>
      </c>
      <c r="BN26" s="30" t="n">
        <f aca="false">BM26*(1-IF((2076-2022)/I26&gt;=1,J26,H26+(J26-H26)*(3*((2076-2022)/I26)^2-2*((2076-2022)/I26)^3)))</f>
        <v>0.00178535986353374</v>
      </c>
      <c r="BO26" s="30" t="n">
        <f aca="false">BN26*(1-IF((2077-2022)/I26&gt;=1,J26,H26+(J26-H26)*(3*((2077-2022)/I26)^2-2*((2077-2022)/I26)^3)))</f>
        <v>0.00175857946558074</v>
      </c>
      <c r="BP26" s="30" t="n">
        <f aca="false">BO26*(1-IF((2078-2022)/I26&gt;=1,J26,H26+(J26-H26)*(3*((2078-2022)/I26)^2-2*((2078-2022)/I26)^3)))</f>
        <v>0.00173220077359703</v>
      </c>
      <c r="BQ26" s="30" t="n">
        <f aca="false">BP26*(1-IF((2079-2022)/I26&gt;=1,J26,H26+(J26-H26)*(3*((2079-2022)/I26)^2-2*((2079-2022)/I26)^3)))</f>
        <v>0.00170621776199307</v>
      </c>
      <c r="BR26" s="30" t="n">
        <f aca="false">BQ26*(1-IF((2080-2022)/I26&gt;=1,J26,H26+(J26-H26)*(3*((2080-2022)/I26)^2-2*((2080-2022)/I26)^3)))</f>
        <v>0.00168062449556317</v>
      </c>
      <c r="BS26" s="30" t="n">
        <f aca="false">BR26*(1-IF((2081-2022)/I26&gt;=1,J26,H26+(J26-H26)*(3*((2081-2022)/I26)^2-2*((2081-2022)/I26)^3)))</f>
        <v>0.00165541512812973</v>
      </c>
      <c r="BT26" s="30" t="n">
        <f aca="false">BS26*(1-IF((2082-2022)/I26&gt;=1,J26,H26+(J26-H26)*(3*((2082-2022)/I26)^2-2*((2082-2022)/I26)^3)))</f>
        <v>0.00163058390120778</v>
      </c>
      <c r="BU26" s="30" t="n">
        <f aca="false">BT26*(1-IF((2083-2022)/I26&gt;=1,J26,H26+(J26-H26)*(3*((2083-2022)/I26)^2-2*((2083-2022)/I26)^3)))</f>
        <v>0.00160612514268966</v>
      </c>
      <c r="BV26" s="30" t="n">
        <f aca="false">BU26*(1-IF((2084-2022)/I26&gt;=1,J26,H26+(J26-H26)*(3*((2084-2022)/I26)^2-2*((2084-2022)/I26)^3)))</f>
        <v>0.00158203326554932</v>
      </c>
      <c r="BW26" s="30" t="n">
        <f aca="false">BV26*(1-IF((2085-2022)/I26&gt;=1,J26,H26+(J26-H26)*(3*((2085-2022)/I26)^2-2*((2085-2022)/I26)^3)))</f>
        <v>0.00155830276656608</v>
      </c>
      <c r="BX26" s="30" t="n">
        <f aca="false">BW26*(1-IF((2086-2022)/I26&gt;=1,J26,H26+(J26-H26)*(3*((2086-2022)/I26)^2-2*((2086-2022)/I26)^3)))</f>
        <v>0.00153492822506759</v>
      </c>
      <c r="BY26" s="30" t="n">
        <f aca="false">BX26*(1-IF((2087-2022)/I26&gt;=1,J26,H26+(J26-H26)*(3*((2087-2022)/I26)^2-2*((2087-2022)/I26)^3)))</f>
        <v>0.00151190430169157</v>
      </c>
      <c r="BZ26" s="30" t="n">
        <f aca="false">BY26*(1-IF((2088-2022)/I26&gt;=1,J26,H26+(J26-H26)*(3*((2088-2022)/I26)^2-2*((2088-2022)/I26)^3)))</f>
        <v>0.0014892257371662</v>
      </c>
      <c r="CA26" s="30" t="n">
        <f aca="false">BZ26*(1-IF((2089-2022)/I26&gt;=1,J26,H26+(J26-H26)*(3*((2089-2022)/I26)^2-2*((2089-2022)/I26)^3)))</f>
        <v>0.00146688735110871</v>
      </c>
      <c r="CB26" s="30" t="n">
        <f aca="false">CA26*(1-IF((2090-2022)/I26&gt;=1,J26,H26+(J26-H26)*(3*((2090-2022)/I26)^2-2*((2090-2022)/I26)^3)))</f>
        <v>0.00144488404084208</v>
      </c>
      <c r="CC26" s="30" t="n">
        <f aca="false">CB26*(1-IF((2091-2022)/I26&gt;=1,J26,H26+(J26-H26)*(3*((2091-2022)/I26)^2-2*((2091-2022)/I26)^3)))</f>
        <v>0.00142321078022945</v>
      </c>
    </row>
    <row r="27" customFormat="false" ht="15" hidden="false" customHeight="true" outlineLevel="0" collapsed="false">
      <c r="A27" s="3" t="n">
        <v>64</v>
      </c>
      <c r="B27" s="30" t="n">
        <f aca="false">IF($A27&lt;=105,INDEX(ILT17_Source!$D$7:$D$52,MATCH($A27,ILT17_Source!$A$7:$A$52,0)),($B$16*EXP($B$17*$A27))/(1+$B$16*EXP($B$17*$A27)))</f>
        <v>0.008253285</v>
      </c>
      <c r="C27" s="31" t="n">
        <f aca="false">LOOKUP($A27,{60,65,70,75,80,85,90,95},{0.78,0.82,0.85,0.88,0.91,0.94,0.97,1})</f>
        <v>0.78</v>
      </c>
      <c r="D27" s="30" t="n">
        <f aca="false">B27*C27</f>
        <v>0.0064375623</v>
      </c>
      <c r="E27" s="30" t="n">
        <f aca="false">1/(1+EXP(-(($B$6+$B$8*(2016-2022))+($B$7+$B$9*(2016-2022))*($A27-$B$10))))</f>
        <v>0.00971611476392105</v>
      </c>
      <c r="F27" s="30" t="n">
        <f aca="false">1/(1+EXP(-(($B$6+$B$8*(2021-2022))+($B$7+$B$9*(2021-2022))*($A27-$B$10))))</f>
        <v>0.00847674001220038</v>
      </c>
      <c r="G27" s="30" t="n">
        <f aca="false">1/(1+EXP(-(($B$6+$B$8*(2022-2022))+($B$7+$B$9*(2022-2022))*($A27-$B$10))))</f>
        <v>0.00824835779335867</v>
      </c>
      <c r="H27" s="32" t="n">
        <f aca="false">(F27-G27)/F27</f>
        <v>0.0269422228961842</v>
      </c>
      <c r="I27" s="38" t="n">
        <f aca="false">IF($A27&lt;=50,$B$14,IF($A27&gt;=95,$B$15,$B$14+($B$15-$B$14)*($A27-50)/(95-50)))</f>
        <v>15.3333333333333</v>
      </c>
      <c r="J27" s="39" t="n">
        <f aca="false">IF($A27&lt;=$B$12,$B$11,IF($A27&gt;=$B$13,0,$B$11*($B$13-$A27)/($B$13-$B$12)))</f>
        <v>0.015</v>
      </c>
      <c r="K27" s="30" t="n">
        <f aca="false">D27*G27/E27</f>
        <v>0.00546507718955845</v>
      </c>
      <c r="L27" s="30" t="n">
        <f aca="false">K27*$B$19</f>
        <v>0.0049185694706026</v>
      </c>
      <c r="M27" s="30" t="n">
        <f aca="false">L27*(1-IF((2023-2022)/I27&gt;=1,J27,H27+(J27-H27)*(3*((2023-2022)/I27)^2-2*((2023-2022)/I27)^3)))</f>
        <v>0.00478676918937539</v>
      </c>
      <c r="N27" s="30" t="n">
        <f aca="false">M27*(1-IF((2024-2022)/I27&gt;=1,J27,H27+(J27-H27)*(3*((2024-2022)/I27)^2-2*((2024-2022)/I27)^3)))</f>
        <v>0.00466046694392397</v>
      </c>
      <c r="O27" s="30" t="n">
        <f aca="false">N27*(1-IF((2025-2022)/I27&gt;=1,J27,H27+(J27-H27)*(3*((2025-2022)/I27)^2-2*((2025-2022)/I27)^3)))</f>
        <v>0.0045404614617994</v>
      </c>
      <c r="P27" s="30" t="n">
        <f aca="false">O27*(1-IF((2026-2022)/I27&gt;=1,J27,H27+(J27-H27)*(3*((2026-2022)/I27)^2-2*((2026-2022)/I27)^3)))</f>
        <v>0.0044272762381868</v>
      </c>
      <c r="Q27" s="30" t="n">
        <f aca="false">P27*(1-IF((2027-2022)/I27&gt;=1,J27,H27+(J27-H27)*(3*((2027-2022)/I27)^2-2*((2027-2022)/I27)^3)))</f>
        <v>0.00432119498655692</v>
      </c>
      <c r="R27" s="30" t="n">
        <f aca="false">Q27*(1-IF((2028-2022)/I27&gt;=1,J27,H27+(J27-H27)*(3*((2028-2022)/I27)^2-2*((2028-2022)/I27)^3)))</f>
        <v>0.00422229346202879</v>
      </c>
      <c r="S27" s="30" t="n">
        <f aca="false">R27*(1-IF((2029-2022)/I27&gt;=1,J27,H27+(J27-H27)*(3*((2029-2022)/I27)^2-2*((2029-2022)/I27)^3)))</f>
        <v>0.00413046707017566</v>
      </c>
      <c r="T27" s="30" t="n">
        <f aca="false">S27*(1-IF((2030-2022)/I27&gt;=1,J27,H27+(J27-H27)*(3*((2030-2022)/I27)^2-2*((2030-2022)/I27)^3)))</f>
        <v>0.00404545405914894</v>
      </c>
      <c r="U27" s="30" t="n">
        <f aca="false">T27*(1-IF((2031-2022)/I27&gt;=1,J27,H27+(J27-H27)*(3*((2031-2022)/I27)^2-2*((2031-2022)/I27)^3)))</f>
        <v>0.00396685438766879</v>
      </c>
      <c r="V27" s="30" t="n">
        <f aca="false">U27*(1-IF((2032-2022)/I27&gt;=1,J27,H27+(J27-H27)*(3*((2032-2022)/I27)^2-2*((2032-2022)/I27)^3)))</f>
        <v>0.00389414458433621</v>
      </c>
      <c r="W27" s="30" t="n">
        <f aca="false">V27*(1-IF((2033-2022)/I27&gt;=1,J27,H27+(J27-H27)*(3*((2033-2022)/I27)^2-2*((2033-2022)/I27)^3)))</f>
        <v>0.00382668908352302</v>
      </c>
      <c r="X27" s="30" t="n">
        <f aca="false">W27*(1-IF((2034-2022)/I27&gt;=1,J27,H27+(J27-H27)*(3*((2034-2022)/I27)^2-2*((2034-2022)/I27)^3)))</f>
        <v>0.00376374865672732</v>
      </c>
      <c r="Y27" s="30" t="n">
        <f aca="false">X27*(1-IF((2035-2022)/I27&gt;=1,J27,H27+(J27-H27)*(3*((2035-2022)/I27)^2-2*((2035-2022)/I27)^3)))</f>
        <v>0.00370448666986736</v>
      </c>
      <c r="Z27" s="30" t="n">
        <f aca="false">Y27*(1-IF((2036-2022)/I27&gt;=1,J27,H27+(J27-H27)*(3*((2036-2022)/I27)^2-2*((2036-2022)/I27)^3)))</f>
        <v>0.0036479739971361</v>
      </c>
      <c r="AA27" s="30" t="n">
        <f aca="false">Z27*(1-IF((2037-2022)/I27&gt;=1,J27,H27+(J27-H27)*(3*((2037-2022)/I27)^2-2*((2037-2022)/I27)^3)))</f>
        <v>0.00359319351731664</v>
      </c>
      <c r="AB27" s="30" t="n">
        <f aca="false">AA27*(1-IF((2038-2022)/I27&gt;=1,J27,H27+(J27-H27)*(3*((2038-2022)/I27)^2-2*((2038-2022)/I27)^3)))</f>
        <v>0.00353929561455689</v>
      </c>
      <c r="AC27" s="30" t="n">
        <f aca="false">AB27*(1-IF((2039-2022)/I27&gt;=1,J27,H27+(J27-H27)*(3*((2039-2022)/I27)^2-2*((2039-2022)/I27)^3)))</f>
        <v>0.00348620618033853</v>
      </c>
      <c r="AD27" s="30" t="n">
        <f aca="false">AC27*(1-IF((2040-2022)/I27&gt;=1,J27,H27+(J27-H27)*(3*((2040-2022)/I27)^2-2*((2040-2022)/I27)^3)))</f>
        <v>0.00343391308763346</v>
      </c>
      <c r="AE27" s="30" t="n">
        <f aca="false">AD27*(1-IF((2041-2022)/I27&gt;=1,J27,H27+(J27-H27)*(3*((2041-2022)/I27)^2-2*((2041-2022)/I27)^3)))</f>
        <v>0.00338240439131895</v>
      </c>
      <c r="AF27" s="30" t="n">
        <f aca="false">AE27*(1-IF((2042-2022)/I27&gt;=1,J27,H27+(J27-H27)*(3*((2042-2022)/I27)^2-2*((2042-2022)/I27)^3)))</f>
        <v>0.00333166832544917</v>
      </c>
      <c r="AG27" s="30" t="n">
        <f aca="false">AF27*(1-IF((2043-2022)/I27&gt;=1,J27,H27+(J27-H27)*(3*((2043-2022)/I27)^2-2*((2043-2022)/I27)^3)))</f>
        <v>0.00328169330056743</v>
      </c>
      <c r="AH27" s="30" t="n">
        <f aca="false">AG27*(1-IF((2044-2022)/I27&gt;=1,J27,H27+(J27-H27)*(3*((2044-2022)/I27)^2-2*((2044-2022)/I27)^3)))</f>
        <v>0.00323246790105892</v>
      </c>
      <c r="AI27" s="30" t="n">
        <f aca="false">AH27*(1-IF((2045-2022)/I27&gt;=1,J27,H27+(J27-H27)*(3*((2045-2022)/I27)^2-2*((2045-2022)/I27)^3)))</f>
        <v>0.00318398088254304</v>
      </c>
      <c r="AJ27" s="30" t="n">
        <f aca="false">AI27*(1-IF((2046-2022)/I27&gt;=1,J27,H27+(J27-H27)*(3*((2046-2022)/I27)^2-2*((2046-2022)/I27)^3)))</f>
        <v>0.00313622116930489</v>
      </c>
      <c r="AK27" s="30" t="n">
        <f aca="false">AJ27*(1-IF((2047-2022)/I27&gt;=1,J27,H27+(J27-H27)*(3*((2047-2022)/I27)^2-2*((2047-2022)/I27)^3)))</f>
        <v>0.00308917785176532</v>
      </c>
      <c r="AL27" s="30" t="n">
        <f aca="false">AK27*(1-IF((2048-2022)/I27&gt;=1,J27,H27+(J27-H27)*(3*((2048-2022)/I27)^2-2*((2048-2022)/I27)^3)))</f>
        <v>0.00304284018398884</v>
      </c>
      <c r="AM27" s="30" t="n">
        <f aca="false">AL27*(1-IF((2049-2022)/I27&gt;=1,J27,H27+(J27-H27)*(3*((2049-2022)/I27)^2-2*((2049-2022)/I27)^3)))</f>
        <v>0.002997197581229</v>
      </c>
      <c r="AN27" s="30" t="n">
        <f aca="false">AM27*(1-IF((2050-2022)/I27&gt;=1,J27,H27+(J27-H27)*(3*((2050-2022)/I27)^2-2*((2050-2022)/I27)^3)))</f>
        <v>0.00295223961751057</v>
      </c>
      <c r="AO27" s="30" t="n">
        <f aca="false">AN27*(1-IF((2051-2022)/I27&gt;=1,J27,H27+(J27-H27)*(3*((2051-2022)/I27)^2-2*((2051-2022)/I27)^3)))</f>
        <v>0.00290795602324791</v>
      </c>
      <c r="AP27" s="30" t="n">
        <f aca="false">AO27*(1-IF((2052-2022)/I27&gt;=1,J27,H27+(J27-H27)*(3*((2052-2022)/I27)^2-2*((2052-2022)/I27)^3)))</f>
        <v>0.00286433668289919</v>
      </c>
      <c r="AQ27" s="30" t="n">
        <f aca="false">AP27*(1-IF((2053-2022)/I27&gt;=1,J27,H27+(J27-H27)*(3*((2053-2022)/I27)^2-2*((2053-2022)/I27)^3)))</f>
        <v>0.0028213716326557</v>
      </c>
      <c r="AR27" s="30" t="n">
        <f aca="false">AQ27*(1-IF((2054-2022)/I27&gt;=1,J27,H27+(J27-H27)*(3*((2054-2022)/I27)^2-2*((2054-2022)/I27)^3)))</f>
        <v>0.00277905105816587</v>
      </c>
      <c r="AS27" s="30" t="n">
        <f aca="false">AR27*(1-IF((2055-2022)/I27&gt;=1,J27,H27+(J27-H27)*(3*((2055-2022)/I27)^2-2*((2055-2022)/I27)^3)))</f>
        <v>0.00273736529229338</v>
      </c>
      <c r="AT27" s="30" t="n">
        <f aca="false">AS27*(1-IF((2056-2022)/I27&gt;=1,J27,H27+(J27-H27)*(3*((2056-2022)/I27)^2-2*((2056-2022)/I27)^3)))</f>
        <v>0.00269630481290898</v>
      </c>
      <c r="AU27" s="30" t="n">
        <f aca="false">AT27*(1-IF((2057-2022)/I27&gt;=1,J27,H27+(J27-H27)*(3*((2057-2022)/I27)^2-2*((2057-2022)/I27)^3)))</f>
        <v>0.00265586024071535</v>
      </c>
      <c r="AV27" s="30" t="n">
        <f aca="false">AU27*(1-IF((2058-2022)/I27&gt;=1,J27,H27+(J27-H27)*(3*((2058-2022)/I27)^2-2*((2058-2022)/I27)^3)))</f>
        <v>0.00261602233710462</v>
      </c>
      <c r="AW27" s="30" t="n">
        <f aca="false">AV27*(1-IF((2059-2022)/I27&gt;=1,J27,H27+(J27-H27)*(3*((2059-2022)/I27)^2-2*((2059-2022)/I27)^3)))</f>
        <v>0.00257678200204805</v>
      </c>
      <c r="AX27" s="30" t="n">
        <f aca="false">AW27*(1-IF((2060-2022)/I27&gt;=1,J27,H27+(J27-H27)*(3*((2060-2022)/I27)^2-2*((2060-2022)/I27)^3)))</f>
        <v>0.00253813027201733</v>
      </c>
      <c r="AY27" s="30" t="n">
        <f aca="false">AX27*(1-IF((2061-2022)/I27&gt;=1,J27,H27+(J27-H27)*(3*((2061-2022)/I27)^2-2*((2061-2022)/I27)^3)))</f>
        <v>0.00250005831793707</v>
      </c>
      <c r="AZ27" s="30" t="n">
        <f aca="false">AY27*(1-IF((2062-2022)/I27&gt;=1,J27,H27+(J27-H27)*(3*((2062-2022)/I27)^2-2*((2062-2022)/I27)^3)))</f>
        <v>0.00246255744316801</v>
      </c>
      <c r="BA27" s="30" t="n">
        <f aca="false">AZ27*(1-IF((2063-2022)/I27&gt;=1,J27,H27+(J27-H27)*(3*((2063-2022)/I27)^2-2*((2063-2022)/I27)^3)))</f>
        <v>0.00242561908152049</v>
      </c>
      <c r="BB27" s="30" t="n">
        <f aca="false">BA27*(1-IF((2064-2022)/I27&gt;=1,J27,H27+(J27-H27)*(3*((2064-2022)/I27)^2-2*((2064-2022)/I27)^3)))</f>
        <v>0.00238923479529768</v>
      </c>
      <c r="BC27" s="30" t="n">
        <f aca="false">BB27*(1-IF((2065-2022)/I27&gt;=1,J27,H27+(J27-H27)*(3*((2065-2022)/I27)^2-2*((2065-2022)/I27)^3)))</f>
        <v>0.00235339627336822</v>
      </c>
      <c r="BD27" s="30" t="n">
        <f aca="false">BC27*(1-IF((2066-2022)/I27&gt;=1,J27,H27+(J27-H27)*(3*((2066-2022)/I27)^2-2*((2066-2022)/I27)^3)))</f>
        <v>0.00231809532926769</v>
      </c>
      <c r="BE27" s="30" t="n">
        <f aca="false">BD27*(1-IF((2067-2022)/I27&gt;=1,J27,H27+(J27-H27)*(3*((2067-2022)/I27)^2-2*((2067-2022)/I27)^3)))</f>
        <v>0.00228332389932868</v>
      </c>
      <c r="BF27" s="30" t="n">
        <f aca="false">BE27*(1-IF((2068-2022)/I27&gt;=1,J27,H27+(J27-H27)*(3*((2068-2022)/I27)^2-2*((2068-2022)/I27)^3)))</f>
        <v>0.00224907404083875</v>
      </c>
      <c r="BG27" s="30" t="n">
        <f aca="false">BF27*(1-IF((2069-2022)/I27&gt;=1,J27,H27+(J27-H27)*(3*((2069-2022)/I27)^2-2*((2069-2022)/I27)^3)))</f>
        <v>0.00221533793022617</v>
      </c>
      <c r="BH27" s="30" t="n">
        <f aca="false">BG27*(1-IF((2070-2022)/I27&gt;=1,J27,H27+(J27-H27)*(3*((2070-2022)/I27)^2-2*((2070-2022)/I27)^3)))</f>
        <v>0.00218210786127277</v>
      </c>
      <c r="BI27" s="30" t="n">
        <f aca="false">BH27*(1-IF((2071-2022)/I27&gt;=1,J27,H27+(J27-H27)*(3*((2071-2022)/I27)^2-2*((2071-2022)/I27)^3)))</f>
        <v>0.00214937624335368</v>
      </c>
      <c r="BJ27" s="30" t="n">
        <f aca="false">BI27*(1-IF((2072-2022)/I27&gt;=1,J27,H27+(J27-H27)*(3*((2072-2022)/I27)^2-2*((2072-2022)/I27)^3)))</f>
        <v>0.00211713559970338</v>
      </c>
      <c r="BK27" s="30" t="n">
        <f aca="false">BJ27*(1-IF((2073-2022)/I27&gt;=1,J27,H27+(J27-H27)*(3*((2073-2022)/I27)^2-2*((2073-2022)/I27)^3)))</f>
        <v>0.00208537856570783</v>
      </c>
      <c r="BL27" s="30" t="n">
        <f aca="false">BK27*(1-IF((2074-2022)/I27&gt;=1,J27,H27+(J27-H27)*(3*((2074-2022)/I27)^2-2*((2074-2022)/I27)^3)))</f>
        <v>0.00205409788722221</v>
      </c>
      <c r="BM27" s="30" t="n">
        <f aca="false">BL27*(1-IF((2075-2022)/I27&gt;=1,J27,H27+(J27-H27)*(3*((2075-2022)/I27)^2-2*((2075-2022)/I27)^3)))</f>
        <v>0.00202328641891388</v>
      </c>
      <c r="BN27" s="30" t="n">
        <f aca="false">BM27*(1-IF((2076-2022)/I27&gt;=1,J27,H27+(J27-H27)*(3*((2076-2022)/I27)^2-2*((2076-2022)/I27)^3)))</f>
        <v>0.00199293712263017</v>
      </c>
      <c r="BO27" s="30" t="n">
        <f aca="false">BN27*(1-IF((2077-2022)/I27&gt;=1,J27,H27+(J27-H27)*(3*((2077-2022)/I27)^2-2*((2077-2022)/I27)^3)))</f>
        <v>0.00196304306579072</v>
      </c>
      <c r="BP27" s="30" t="n">
        <f aca="false">BO27*(1-IF((2078-2022)/I27&gt;=1,J27,H27+(J27-H27)*(3*((2078-2022)/I27)^2-2*((2078-2022)/I27)^3)))</f>
        <v>0.00193359741980386</v>
      </c>
      <c r="BQ27" s="30" t="n">
        <f aca="false">BP27*(1-IF((2079-2022)/I27&gt;=1,J27,H27+(J27-H27)*(3*((2079-2022)/I27)^2-2*((2079-2022)/I27)^3)))</f>
        <v>0.0019045934585068</v>
      </c>
      <c r="BR27" s="30" t="n">
        <f aca="false">BQ27*(1-IF((2080-2022)/I27&gt;=1,J27,H27+(J27-H27)*(3*((2080-2022)/I27)^2-2*((2080-2022)/I27)^3)))</f>
        <v>0.0018760245566292</v>
      </c>
      <c r="BS27" s="30" t="n">
        <f aca="false">BR27*(1-IF((2081-2022)/I27&gt;=1,J27,H27+(J27-H27)*(3*((2081-2022)/I27)^2-2*((2081-2022)/I27)^3)))</f>
        <v>0.00184788418827976</v>
      </c>
      <c r="BT27" s="30" t="n">
        <f aca="false">BS27*(1-IF((2082-2022)/I27&gt;=1,J27,H27+(J27-H27)*(3*((2082-2022)/I27)^2-2*((2082-2022)/I27)^3)))</f>
        <v>0.00182016592545556</v>
      </c>
      <c r="BU27" s="30" t="n">
        <f aca="false">BT27*(1-IF((2083-2022)/I27&gt;=1,J27,H27+(J27-H27)*(3*((2083-2022)/I27)^2-2*((2083-2022)/I27)^3)))</f>
        <v>0.00179286343657373</v>
      </c>
      <c r="BV27" s="30" t="n">
        <f aca="false">BU27*(1-IF((2084-2022)/I27&gt;=1,J27,H27+(J27-H27)*(3*((2084-2022)/I27)^2-2*((2084-2022)/I27)^3)))</f>
        <v>0.00176597048502512</v>
      </c>
      <c r="BW27" s="30" t="n">
        <f aca="false">BV27*(1-IF((2085-2022)/I27&gt;=1,J27,H27+(J27-H27)*(3*((2085-2022)/I27)^2-2*((2085-2022)/I27)^3)))</f>
        <v>0.00173948092774975</v>
      </c>
      <c r="BX27" s="30" t="n">
        <f aca="false">BW27*(1-IF((2086-2022)/I27&gt;=1,J27,H27+(J27-H27)*(3*((2086-2022)/I27)^2-2*((2086-2022)/I27)^3)))</f>
        <v>0.0017133887138335</v>
      </c>
      <c r="BY27" s="30" t="n">
        <f aca="false">BX27*(1-IF((2087-2022)/I27&gt;=1,J27,H27+(J27-H27)*(3*((2087-2022)/I27)^2-2*((2087-2022)/I27)^3)))</f>
        <v>0.001687687883126</v>
      </c>
      <c r="BZ27" s="30" t="n">
        <f aca="false">BY27*(1-IF((2088-2022)/I27&gt;=1,J27,H27+(J27-H27)*(3*((2088-2022)/I27)^2-2*((2088-2022)/I27)^3)))</f>
        <v>0.00166237256487911</v>
      </c>
      <c r="CA27" s="30" t="n">
        <f aca="false">BZ27*(1-IF((2089-2022)/I27&gt;=1,J27,H27+(J27-H27)*(3*((2089-2022)/I27)^2-2*((2089-2022)/I27)^3)))</f>
        <v>0.00163743697640592</v>
      </c>
      <c r="CB27" s="30" t="n">
        <f aca="false">CA27*(1-IF((2090-2022)/I27&gt;=1,J27,H27+(J27-H27)*(3*((2090-2022)/I27)^2-2*((2090-2022)/I27)^3)))</f>
        <v>0.00161287542175983</v>
      </c>
      <c r="CC27" s="30" t="n">
        <f aca="false">CB27*(1-IF((2091-2022)/I27&gt;=1,J27,H27+(J27-H27)*(3*((2091-2022)/I27)^2-2*((2091-2022)/I27)^3)))</f>
        <v>0.00158868229043343</v>
      </c>
    </row>
    <row r="28" customFormat="false" ht="15" hidden="false" customHeight="true" outlineLevel="0" collapsed="false">
      <c r="A28" s="3" t="n">
        <v>65</v>
      </c>
      <c r="B28" s="30" t="n">
        <f aca="false">IF($A28&lt;=105,INDEX(ILT17_Source!$D$7:$D$52,MATCH($A28,ILT17_Source!$A$7:$A$52,0)),($B$16*EXP($B$17*$A28))/(1+$B$16*EXP($B$17*$A28)))</f>
        <v>0.00913453</v>
      </c>
      <c r="C28" s="31" t="n">
        <f aca="false">LOOKUP($A28,{60,65,70,75,80,85,90,95},{0.78,0.82,0.85,0.88,0.91,0.94,0.97,1})</f>
        <v>0.82</v>
      </c>
      <c r="D28" s="30" t="n">
        <f aca="false">B28*C28</f>
        <v>0.0074903146</v>
      </c>
      <c r="E28" s="30" t="n">
        <f aca="false">1/(1+EXP(-(($B$6+$B$8*(2016-2022))+($B$7+$B$9*(2016-2022))*($A28-$B$10))))</f>
        <v>0.0108410461242992</v>
      </c>
      <c r="F28" s="30" t="n">
        <f aca="false">1/(1+EXP(-(($B$6+$B$8*(2021-2022))+($B$7+$B$9*(2021-2022))*($A28-$B$10))))</f>
        <v>0.00948518835281196</v>
      </c>
      <c r="G28" s="30" t="n">
        <f aca="false">1/(1+EXP(-(($B$6+$B$8*(2022-2022))+($B$7+$B$9*(2022-2022))*($A28-$B$10))))</f>
        <v>0.00923488870997602</v>
      </c>
      <c r="H28" s="32" t="n">
        <f aca="false">(F28-G28)/F28</f>
        <v>0.0263884736418265</v>
      </c>
      <c r="I28" s="38" t="n">
        <f aca="false">IF($A28&lt;=50,$B$14,IF($A28&gt;=95,$B$15,$B$14+($B$15-$B$14)*($A28-50)/(95-50)))</f>
        <v>15</v>
      </c>
      <c r="J28" s="39" t="n">
        <f aca="false">IF($A28&lt;=$B$12,$B$11,IF($A28&gt;=$B$13,0,$B$11*($B$13-$A28)/($B$13-$B$12)))</f>
        <v>0.015</v>
      </c>
      <c r="K28" s="30" t="n">
        <f aca="false">D28*G28/E28</f>
        <v>0.00638058550259882</v>
      </c>
      <c r="L28" s="30" t="n">
        <f aca="false">K28*$B$19</f>
        <v>0.00574252695233894</v>
      </c>
      <c r="M28" s="30" t="n">
        <f aca="false">L28*(1-IF((2023-2022)/I28&gt;=1,J28,H28+(J28-H28)*(3*((2023-2022)/I28)^2-2*((2023-2022)/I28)^3)))</f>
        <v>0.00559182365804155</v>
      </c>
      <c r="N28" s="30" t="n">
        <f aca="false">M28*(1-IF((2024-2022)/I28&gt;=1,J28,H28+(J28-H28)*(3*((2024-2022)/I28)^2-2*((2024-2022)/I28)^3)))</f>
        <v>0.00544735845665667</v>
      </c>
      <c r="O28" s="30" t="n">
        <f aca="false">N28*(1-IF((2025-2022)/I28&gt;=1,J28,H28+(J28-H28)*(3*((2025-2022)/I28)^2-2*((2025-2022)/I28)^3)))</f>
        <v>0.00531006283981853</v>
      </c>
      <c r="P28" s="30" t="n">
        <f aca="false">O28*(1-IF((2026-2022)/I28&gt;=1,J28,H28+(J28-H28)*(3*((2026-2022)/I28)^2-2*((2026-2022)/I28)^3)))</f>
        <v>0.00518054588826009</v>
      </c>
      <c r="Q28" s="30" t="n">
        <f aca="false">P28*(1-IF((2027-2022)/I28&gt;=1,J28,H28+(J28-H28)*(3*((2027-2022)/I28)^2-2*((2027-2022)/I28)^3)))</f>
        <v>0.00505913509971491</v>
      </c>
      <c r="R28" s="30" t="n">
        <f aca="false">Q28*(1-IF((2028-2022)/I28&gt;=1,J28,H28+(J28-H28)*(3*((2028-2022)/I28)^2-2*((2028-2022)/I28)^3)))</f>
        <v>0.00494591301749585</v>
      </c>
      <c r="S28" s="30" t="n">
        <f aca="false">R28*(1-IF((2029-2022)/I28&gt;=1,J28,H28+(J28-H28)*(3*((2029-2022)/I28)^2-2*((2029-2022)/I28)^3)))</f>
        <v>0.00484074897454036</v>
      </c>
      <c r="T28" s="30" t="n">
        <f aca="false">S28*(1-IF((2030-2022)/I28&gt;=1,J28,H28+(J28-H28)*(3*((2030-2022)/I28)^2-2*((2030-2022)/I28)^3)))</f>
        <v>0.00474332572236526</v>
      </c>
      <c r="U28" s="30" t="n">
        <f aca="false">T28*(1-IF((2031-2022)/I28&gt;=1,J28,H28+(J28-H28)*(3*((2031-2022)/I28)^2-2*((2031-2022)/I28)^3)))</f>
        <v>0.00465316106406254</v>
      </c>
      <c r="V28" s="30" t="n">
        <f aca="false">U28*(1-IF((2032-2022)/I28&gt;=1,J28,H28+(J28-H28)*(3*((2032-2022)/I28)^2-2*((2032-2022)/I28)^3)))</f>
        <v>0.00456962487717921</v>
      </c>
      <c r="W28" s="30" t="n">
        <f aca="false">V28*(1-IF((2033-2022)/I28&gt;=1,J28,H28+(J28-H28)*(3*((2033-2022)/I28)^2-2*((2033-2022)/I28)^3)))</f>
        <v>0.00449195211792957</v>
      </c>
      <c r="X28" s="30" t="n">
        <f aca="false">W28*(1-IF((2034-2022)/I28&gt;=1,J28,H28+(J28-H28)*(3*((2034-2022)/I28)^2-2*((2034-2022)/I28)^3)))</f>
        <v>0.0044192525624179</v>
      </c>
      <c r="Y28" s="30" t="n">
        <f aca="false">X28*(1-IF((2035-2022)/I28&gt;=1,J28,H28+(J28-H28)*(3*((2035-2022)/I28)^2-2*((2035-2022)/I28)^3)))</f>
        <v>0.00435051817967731</v>
      </c>
      <c r="Z28" s="30" t="n">
        <f aca="false">Y28*(1-IF((2036-2022)/I28&gt;=1,J28,H28+(J28-H28)*(3*((2036-2022)/I28)^2-2*((2036-2022)/I28)^3)))</f>
        <v>0.00428462915727858</v>
      </c>
      <c r="AA28" s="30" t="n">
        <f aca="false">Z28*(1-IF((2037-2022)/I28&gt;=1,J28,H28+(J28-H28)*(3*((2037-2022)/I28)^2-2*((2037-2022)/I28)^3)))</f>
        <v>0.0042203597199194</v>
      </c>
      <c r="AB28" s="30" t="n">
        <f aca="false">AA28*(1-IF((2038-2022)/I28&gt;=1,J28,H28+(J28-H28)*(3*((2038-2022)/I28)^2-2*((2038-2022)/I28)^3)))</f>
        <v>0.00415705432412061</v>
      </c>
      <c r="AC28" s="30" t="n">
        <f aca="false">AB28*(1-IF((2039-2022)/I28&gt;=1,J28,H28+(J28-H28)*(3*((2039-2022)/I28)^2-2*((2039-2022)/I28)^3)))</f>
        <v>0.0040946985092588</v>
      </c>
      <c r="AD28" s="30" t="n">
        <f aca="false">AC28*(1-IF((2040-2022)/I28&gt;=1,J28,H28+(J28-H28)*(3*((2040-2022)/I28)^2-2*((2040-2022)/I28)^3)))</f>
        <v>0.00403327803161992</v>
      </c>
      <c r="AE28" s="30" t="n">
        <f aca="false">AD28*(1-IF((2041-2022)/I28&gt;=1,J28,H28+(J28-H28)*(3*((2041-2022)/I28)^2-2*((2041-2022)/I28)^3)))</f>
        <v>0.00397277886114562</v>
      </c>
      <c r="AF28" s="30" t="n">
        <f aca="false">AE28*(1-IF((2042-2022)/I28&gt;=1,J28,H28+(J28-H28)*(3*((2042-2022)/I28)^2-2*((2042-2022)/I28)^3)))</f>
        <v>0.00391318717822844</v>
      </c>
      <c r="AG28" s="30" t="n">
        <f aca="false">AF28*(1-IF((2043-2022)/I28&gt;=1,J28,H28+(J28-H28)*(3*((2043-2022)/I28)^2-2*((2043-2022)/I28)^3)))</f>
        <v>0.00385448937055501</v>
      </c>
      <c r="AH28" s="30" t="n">
        <f aca="false">AG28*(1-IF((2044-2022)/I28&gt;=1,J28,H28+(J28-H28)*(3*((2044-2022)/I28)^2-2*((2044-2022)/I28)^3)))</f>
        <v>0.00379667202999668</v>
      </c>
      <c r="AI28" s="30" t="n">
        <f aca="false">AH28*(1-IF((2045-2022)/I28&gt;=1,J28,H28+(J28-H28)*(3*((2045-2022)/I28)^2-2*((2045-2022)/I28)^3)))</f>
        <v>0.00373972194954673</v>
      </c>
      <c r="AJ28" s="30" t="n">
        <f aca="false">AI28*(1-IF((2046-2022)/I28&gt;=1,J28,H28+(J28-H28)*(3*((2046-2022)/I28)^2-2*((2046-2022)/I28)^3)))</f>
        <v>0.00368362612030353</v>
      </c>
      <c r="AK28" s="30" t="n">
        <f aca="false">AJ28*(1-IF((2047-2022)/I28&gt;=1,J28,H28+(J28-H28)*(3*((2047-2022)/I28)^2-2*((2047-2022)/I28)^3)))</f>
        <v>0.00362837172849898</v>
      </c>
      <c r="AL28" s="30" t="n">
        <f aca="false">AK28*(1-IF((2048-2022)/I28&gt;=1,J28,H28+(J28-H28)*(3*((2048-2022)/I28)^2-2*((2048-2022)/I28)^3)))</f>
        <v>0.0035739461525715</v>
      </c>
      <c r="AM28" s="30" t="n">
        <f aca="false">AL28*(1-IF((2049-2022)/I28&gt;=1,J28,H28+(J28-H28)*(3*((2049-2022)/I28)^2-2*((2049-2022)/I28)^3)))</f>
        <v>0.00352033696028292</v>
      </c>
      <c r="AN28" s="30" t="n">
        <f aca="false">AM28*(1-IF((2050-2022)/I28&gt;=1,J28,H28+(J28-H28)*(3*((2050-2022)/I28)^2-2*((2050-2022)/I28)^3)))</f>
        <v>0.00346753190587868</v>
      </c>
      <c r="AO28" s="30" t="n">
        <f aca="false">AN28*(1-IF((2051-2022)/I28&gt;=1,J28,H28+(J28-H28)*(3*((2051-2022)/I28)^2-2*((2051-2022)/I28)^3)))</f>
        <v>0.0034155189272905</v>
      </c>
      <c r="AP28" s="30" t="n">
        <f aca="false">AO28*(1-IF((2052-2022)/I28&gt;=1,J28,H28+(J28-H28)*(3*((2052-2022)/I28)^2-2*((2052-2022)/I28)^3)))</f>
        <v>0.00336428614338114</v>
      </c>
      <c r="AQ28" s="30" t="n">
        <f aca="false">AP28*(1-IF((2053-2022)/I28&gt;=1,J28,H28+(J28-H28)*(3*((2053-2022)/I28)^2-2*((2053-2022)/I28)^3)))</f>
        <v>0.00331382185123042</v>
      </c>
      <c r="AR28" s="30" t="n">
        <f aca="false">AQ28*(1-IF((2054-2022)/I28&gt;=1,J28,H28+(J28-H28)*(3*((2054-2022)/I28)^2-2*((2054-2022)/I28)^3)))</f>
        <v>0.00326411452346197</v>
      </c>
      <c r="AS28" s="30" t="n">
        <f aca="false">AR28*(1-IF((2055-2022)/I28&gt;=1,J28,H28+(J28-H28)*(3*((2055-2022)/I28)^2-2*((2055-2022)/I28)^3)))</f>
        <v>0.00321515280561004</v>
      </c>
      <c r="AT28" s="30" t="n">
        <f aca="false">AS28*(1-IF((2056-2022)/I28&gt;=1,J28,H28+(J28-H28)*(3*((2056-2022)/I28)^2-2*((2056-2022)/I28)^3)))</f>
        <v>0.00316692551352589</v>
      </c>
      <c r="AU28" s="30" t="n">
        <f aca="false">AT28*(1-IF((2057-2022)/I28&gt;=1,J28,H28+(J28-H28)*(3*((2057-2022)/I28)^2-2*((2057-2022)/I28)^3)))</f>
        <v>0.003119421630823</v>
      </c>
      <c r="AV28" s="30" t="n">
        <f aca="false">AU28*(1-IF((2058-2022)/I28&gt;=1,J28,H28+(J28-H28)*(3*((2058-2022)/I28)^2-2*((2058-2022)/I28)^3)))</f>
        <v>0.00307263030636065</v>
      </c>
      <c r="AW28" s="30" t="n">
        <f aca="false">AV28*(1-IF((2059-2022)/I28&gt;=1,J28,H28+(J28-H28)*(3*((2059-2022)/I28)^2-2*((2059-2022)/I28)^3)))</f>
        <v>0.00302654085176524</v>
      </c>
      <c r="AX28" s="30" t="n">
        <f aca="false">AW28*(1-IF((2060-2022)/I28&gt;=1,J28,H28+(J28-H28)*(3*((2060-2022)/I28)^2-2*((2060-2022)/I28)^3)))</f>
        <v>0.00298114273898877</v>
      </c>
      <c r="AY28" s="30" t="n">
        <f aca="false">AX28*(1-IF((2061-2022)/I28&gt;=1,J28,H28+(J28-H28)*(3*((2061-2022)/I28)^2-2*((2061-2022)/I28)^3)))</f>
        <v>0.00293642559790393</v>
      </c>
      <c r="AZ28" s="30" t="n">
        <f aca="false">AY28*(1-IF((2062-2022)/I28&gt;=1,J28,H28+(J28-H28)*(3*((2062-2022)/I28)^2-2*((2062-2022)/I28)^3)))</f>
        <v>0.00289237921393537</v>
      </c>
      <c r="BA28" s="30" t="n">
        <f aca="false">AZ28*(1-IF((2063-2022)/I28&gt;=1,J28,H28+(J28-H28)*(3*((2063-2022)/I28)^2-2*((2063-2022)/I28)^3)))</f>
        <v>0.00284899352572634</v>
      </c>
      <c r="BB28" s="30" t="n">
        <f aca="false">BA28*(1-IF((2064-2022)/I28&gt;=1,J28,H28+(J28-H28)*(3*((2064-2022)/I28)^2-2*((2064-2022)/I28)^3)))</f>
        <v>0.00280625862284045</v>
      </c>
      <c r="BC28" s="30" t="n">
        <f aca="false">BB28*(1-IF((2065-2022)/I28&gt;=1,J28,H28+(J28-H28)*(3*((2065-2022)/I28)^2-2*((2065-2022)/I28)^3)))</f>
        <v>0.00276416474349784</v>
      </c>
      <c r="BD28" s="30" t="n">
        <f aca="false">BC28*(1-IF((2066-2022)/I28&gt;=1,J28,H28+(J28-H28)*(3*((2066-2022)/I28)^2-2*((2066-2022)/I28)^3)))</f>
        <v>0.00272270227234537</v>
      </c>
      <c r="BE28" s="30" t="n">
        <f aca="false">BD28*(1-IF((2067-2022)/I28&gt;=1,J28,H28+(J28-H28)*(3*((2067-2022)/I28)^2-2*((2067-2022)/I28)^3)))</f>
        <v>0.00268186173826019</v>
      </c>
      <c r="BF28" s="30" t="n">
        <f aca="false">BE28*(1-IF((2068-2022)/I28&gt;=1,J28,H28+(J28-H28)*(3*((2068-2022)/I28)^2-2*((2068-2022)/I28)^3)))</f>
        <v>0.00264163381218629</v>
      </c>
      <c r="BG28" s="30" t="n">
        <f aca="false">BF28*(1-IF((2069-2022)/I28&gt;=1,J28,H28+(J28-H28)*(3*((2069-2022)/I28)^2-2*((2069-2022)/I28)^3)))</f>
        <v>0.0026020093050035</v>
      </c>
      <c r="BH28" s="30" t="n">
        <f aca="false">BG28*(1-IF((2070-2022)/I28&gt;=1,J28,H28+(J28-H28)*(3*((2070-2022)/I28)^2-2*((2070-2022)/I28)^3)))</f>
        <v>0.00256297916542844</v>
      </c>
      <c r="BI28" s="30" t="n">
        <f aca="false">BH28*(1-IF((2071-2022)/I28&gt;=1,J28,H28+(J28-H28)*(3*((2071-2022)/I28)^2-2*((2071-2022)/I28)^3)))</f>
        <v>0.00252453447794702</v>
      </c>
      <c r="BJ28" s="30" t="n">
        <f aca="false">BI28*(1-IF((2072-2022)/I28&gt;=1,J28,H28+(J28-H28)*(3*((2072-2022)/I28)^2-2*((2072-2022)/I28)^3)))</f>
        <v>0.00248666646077781</v>
      </c>
      <c r="BK28" s="30" t="n">
        <f aca="false">BJ28*(1-IF((2073-2022)/I28&gt;=1,J28,H28+(J28-H28)*(3*((2073-2022)/I28)^2-2*((2073-2022)/I28)^3)))</f>
        <v>0.00244936646386615</v>
      </c>
      <c r="BL28" s="30" t="n">
        <f aca="false">BK28*(1-IF((2074-2022)/I28&gt;=1,J28,H28+(J28-H28)*(3*((2074-2022)/I28)^2-2*((2074-2022)/I28)^3)))</f>
        <v>0.00241262596690815</v>
      </c>
      <c r="BM28" s="30" t="n">
        <f aca="false">BL28*(1-IF((2075-2022)/I28&gt;=1,J28,H28+(J28-H28)*(3*((2075-2022)/I28)^2-2*((2075-2022)/I28)^3)))</f>
        <v>0.00237643657740453</v>
      </c>
      <c r="BN28" s="30" t="n">
        <f aca="false">BM28*(1-IF((2076-2022)/I28&gt;=1,J28,H28+(J28-H28)*(3*((2076-2022)/I28)^2-2*((2076-2022)/I28)^3)))</f>
        <v>0.00234079002874346</v>
      </c>
      <c r="BO28" s="30" t="n">
        <f aca="false">BN28*(1-IF((2077-2022)/I28&gt;=1,J28,H28+(J28-H28)*(3*((2077-2022)/I28)^2-2*((2077-2022)/I28)^3)))</f>
        <v>0.00230567817831231</v>
      </c>
      <c r="BP28" s="30" t="n">
        <f aca="false">BO28*(1-IF((2078-2022)/I28&gt;=1,J28,H28+(J28-H28)*(3*((2078-2022)/I28)^2-2*((2078-2022)/I28)^3)))</f>
        <v>0.00227109300563763</v>
      </c>
      <c r="BQ28" s="30" t="n">
        <f aca="false">BP28*(1-IF((2079-2022)/I28&gt;=1,J28,H28+(J28-H28)*(3*((2079-2022)/I28)^2-2*((2079-2022)/I28)^3)))</f>
        <v>0.00223702661055306</v>
      </c>
      <c r="BR28" s="30" t="n">
        <f aca="false">BQ28*(1-IF((2080-2022)/I28&gt;=1,J28,H28+(J28-H28)*(3*((2080-2022)/I28)^2-2*((2080-2022)/I28)^3)))</f>
        <v>0.00220347121139477</v>
      </c>
      <c r="BS28" s="30" t="n">
        <f aca="false">BR28*(1-IF((2081-2022)/I28&gt;=1,J28,H28+(J28-H28)*(3*((2081-2022)/I28)^2-2*((2081-2022)/I28)^3)))</f>
        <v>0.00217041914322384</v>
      </c>
      <c r="BT28" s="30" t="n">
        <f aca="false">BS28*(1-IF((2082-2022)/I28&gt;=1,J28,H28+(J28-H28)*(3*((2082-2022)/I28)^2-2*((2082-2022)/I28)^3)))</f>
        <v>0.00213786285607549</v>
      </c>
      <c r="BU28" s="30" t="n">
        <f aca="false">BT28*(1-IF((2083-2022)/I28&gt;=1,J28,H28+(J28-H28)*(3*((2083-2022)/I28)^2-2*((2083-2022)/I28)^3)))</f>
        <v>0.00210579491323435</v>
      </c>
      <c r="BV28" s="30" t="n">
        <f aca="false">BU28*(1-IF((2084-2022)/I28&gt;=1,J28,H28+(J28-H28)*(3*((2084-2022)/I28)^2-2*((2084-2022)/I28)^3)))</f>
        <v>0.00207420798953584</v>
      </c>
      <c r="BW28" s="30" t="n">
        <f aca="false">BV28*(1-IF((2085-2022)/I28&gt;=1,J28,H28+(J28-H28)*(3*((2085-2022)/I28)^2-2*((2085-2022)/I28)^3)))</f>
        <v>0.0020430948696928</v>
      </c>
      <c r="BX28" s="30" t="n">
        <f aca="false">BW28*(1-IF((2086-2022)/I28&gt;=1,J28,H28+(J28-H28)*(3*((2086-2022)/I28)^2-2*((2086-2022)/I28)^3)))</f>
        <v>0.00201244844664741</v>
      </c>
      <c r="BY28" s="30" t="n">
        <f aca="false">BX28*(1-IF((2087-2022)/I28&gt;=1,J28,H28+(J28-H28)*(3*((2087-2022)/I28)^2-2*((2087-2022)/I28)^3)))</f>
        <v>0.0019822617199477</v>
      </c>
      <c r="BZ28" s="30" t="n">
        <f aca="false">BY28*(1-IF((2088-2022)/I28&gt;=1,J28,H28+(J28-H28)*(3*((2088-2022)/I28)^2-2*((2088-2022)/I28)^3)))</f>
        <v>0.00195252779414848</v>
      </c>
      <c r="CA28" s="30" t="n">
        <f aca="false">BZ28*(1-IF((2089-2022)/I28&gt;=1,J28,H28+(J28-H28)*(3*((2089-2022)/I28)^2-2*((2089-2022)/I28)^3)))</f>
        <v>0.00192323987723626</v>
      </c>
      <c r="CB28" s="30" t="n">
        <f aca="false">CA28*(1-IF((2090-2022)/I28&gt;=1,J28,H28+(J28-H28)*(3*((2090-2022)/I28)^2-2*((2090-2022)/I28)^3)))</f>
        <v>0.00189439127907771</v>
      </c>
      <c r="CC28" s="30" t="n">
        <f aca="false">CB28*(1-IF((2091-2022)/I28&gt;=1,J28,H28+(J28-H28)*(3*((2091-2022)/I28)^2-2*((2091-2022)/I28)^3)))</f>
        <v>0.00186597540989155</v>
      </c>
    </row>
    <row r="29" customFormat="false" ht="15" hidden="false" customHeight="true" outlineLevel="0" collapsed="false">
      <c r="A29" s="3" t="n">
        <v>66</v>
      </c>
      <c r="B29" s="30" t="n">
        <f aca="false">IF($A29&lt;=105,INDEX(ILT17_Source!$D$7:$D$52,MATCH($A29,ILT17_Source!$A$7:$A$52,0)),($B$16*EXP($B$17*$A29))/(1+$B$16*EXP($B$17*$A29)))</f>
        <v>0.01012132</v>
      </c>
      <c r="C29" s="31" t="n">
        <f aca="false">LOOKUP($A29,{60,65,70,75,80,85,90,95},{0.78,0.82,0.85,0.88,0.91,0.94,0.97,1})</f>
        <v>0.82</v>
      </c>
      <c r="D29" s="30" t="n">
        <f aca="false">B29*C29</f>
        <v>0.0082994824</v>
      </c>
      <c r="E29" s="30" t="n">
        <f aca="false">1/(1+EXP(-(($B$6+$B$8*(2016-2022))+($B$7+$B$9*(2016-2022))*($A29-$B$10))))</f>
        <v>0.0120946312756197</v>
      </c>
      <c r="F29" s="30" t="n">
        <f aca="false">1/(1+EXP(-(($B$6+$B$8*(2021-2022))+($B$7+$B$9*(2021-2022))*($A29-$B$10))))</f>
        <v>0.0106123242305018</v>
      </c>
      <c r="G29" s="30" t="n">
        <f aca="false">1/(1+EXP(-(($B$6+$B$8*(2022-2022))+($B$7+$B$9*(2022-2022))*($A29-$B$10))))</f>
        <v>0.0103381820205238</v>
      </c>
      <c r="H29" s="32" t="n">
        <f aca="false">(F29-G29)/F29</f>
        <v>0.0258324382127321</v>
      </c>
      <c r="I29" s="38" t="n">
        <f aca="false">IF($A29&lt;=50,$B$14,IF($A29&gt;=95,$B$15,$B$14+($B$15-$B$14)*($A29-50)/(95-50)))</f>
        <v>14.6666666666667</v>
      </c>
      <c r="J29" s="39" t="n">
        <f aca="false">IF($A29&lt;=$B$12,$B$11,IF($A29&gt;=$B$13,0,$B$11*($B$13-$A29)/($B$13-$B$12)))</f>
        <v>0.015</v>
      </c>
      <c r="K29" s="30" t="n">
        <f aca="false">D29*G29/E29</f>
        <v>0.00709418565742408</v>
      </c>
      <c r="L29" s="30" t="n">
        <f aca="false">K29*$B$19</f>
        <v>0.00638476709168168</v>
      </c>
      <c r="M29" s="30" t="n">
        <f aca="false">L29*(1-IF((2023-2022)/I29&gt;=1,J29,H29+(J29-H29)*(3*((2023-2022)/I29)^2-2*((2023-2022)/I29)^3)))</f>
        <v>0.00622075370758633</v>
      </c>
      <c r="N29" s="30" t="n">
        <f aca="false">M29*(1-IF((2024-2022)/I29&gt;=1,J29,H29+(J29-H29)*(3*((2024-2022)/I29)^2-2*((2024-2022)/I29)^3)))</f>
        <v>0.00606347386495156</v>
      </c>
      <c r="O29" s="30" t="n">
        <f aca="false">N29*(1-IF((2025-2022)/I29&gt;=1,J29,H29+(J29-H29)*(3*((2025-2022)/I29)^2-2*((2025-2022)/I29)^3)))</f>
        <v>0.00591395954405653</v>
      </c>
      <c r="P29" s="30" t="n">
        <f aca="false">O29*(1-IF((2026-2022)/I29&gt;=1,J29,H29+(J29-H29)*(3*((2026-2022)/I29)^2-2*((2026-2022)/I29)^3)))</f>
        <v>0.00577288342642332</v>
      </c>
      <c r="Q29" s="30" t="n">
        <f aca="false">P29*(1-IF((2027-2022)/I29&gt;=1,J29,H29+(J29-H29)*(3*((2027-2022)/I29)^2-2*((2027-2022)/I29)^3)))</f>
        <v>0.00564060359024671</v>
      </c>
      <c r="R29" s="30" t="n">
        <f aca="false">Q29*(1-IF((2028-2022)/I29&gt;=1,J29,H29+(J29-H29)*(3*((2028-2022)/I29)^2-2*((2028-2022)/I29)^3)))</f>
        <v>0.00551720358301704</v>
      </c>
      <c r="S29" s="30" t="n">
        <f aca="false">R29*(1-IF((2029-2022)/I29&gt;=1,J29,H29+(J29-H29)*(3*((2029-2022)/I29)^2-2*((2029-2022)/I29)^3)))</f>
        <v>0.00540252711376813</v>
      </c>
      <c r="T29" s="30" t="n">
        <f aca="false">S29*(1-IF((2030-2022)/I29&gt;=1,J29,H29+(J29-H29)*(3*((2030-2022)/I29)^2-2*((2030-2022)/I29)^3)))</f>
        <v>0.00529620711753292</v>
      </c>
      <c r="U29" s="30" t="n">
        <f aca="false">T29*(1-IF((2031-2022)/I29&gt;=1,J29,H29+(J29-H29)*(3*((2031-2022)/I29)^2-2*((2031-2022)/I29)^3)))</f>
        <v>0.0051976893391478</v>
      </c>
      <c r="V29" s="30" t="n">
        <f aca="false">U29*(1-IF((2032-2022)/I29&gt;=1,J29,H29+(J29-H29)*(3*((2032-2022)/I29)^2-2*((2032-2022)/I29)^3)))</f>
        <v>0.00510625088705159</v>
      </c>
      <c r="W29" s="30" t="n">
        <f aca="false">V29*(1-IF((2033-2022)/I29&gt;=1,J29,H29+(J29-H29)*(3*((2033-2022)/I29)^2-2*((2033-2022)/I29)^3)))</f>
        <v>0.00502101444449071</v>
      </c>
      <c r="X29" s="30" t="n">
        <f aca="false">W29*(1-IF((2034-2022)/I29&gt;=1,J29,H29+(J29-H29)*(3*((2034-2022)/I29)^2-2*((2034-2022)/I29)^3)))</f>
        <v>0.00494095901735507</v>
      </c>
      <c r="Y29" s="30" t="n">
        <f aca="false">X29*(1-IF((2035-2022)/I29&gt;=1,J29,H29+(J29-H29)*(3*((2035-2022)/I29)^2-2*((2035-2022)/I29)^3)))</f>
        <v>0.00486492826245414</v>
      </c>
      <c r="Z29" s="30" t="n">
        <f aca="false">Y29*(1-IF((2036-2022)/I29&gt;=1,J29,H29+(J29-H29)*(3*((2036-2022)/I29)^2-2*((2036-2022)/I29)^3)))</f>
        <v>0.00479163758999855</v>
      </c>
      <c r="AA29" s="30" t="n">
        <f aca="false">Z29*(1-IF((2037-2022)/I29&gt;=1,J29,H29+(J29-H29)*(3*((2037-2022)/I29)^2-2*((2037-2022)/I29)^3)))</f>
        <v>0.00471976302614857</v>
      </c>
      <c r="AB29" s="30" t="n">
        <f aca="false">AA29*(1-IF((2038-2022)/I29&gt;=1,J29,H29+(J29-H29)*(3*((2038-2022)/I29)^2-2*((2038-2022)/I29)^3)))</f>
        <v>0.00464896658075634</v>
      </c>
      <c r="AC29" s="30" t="n">
        <f aca="false">AB29*(1-IF((2039-2022)/I29&gt;=1,J29,H29+(J29-H29)*(3*((2039-2022)/I29)^2-2*((2039-2022)/I29)^3)))</f>
        <v>0.004579232082045</v>
      </c>
      <c r="AD29" s="30" t="n">
        <f aca="false">AC29*(1-IF((2040-2022)/I29&gt;=1,J29,H29+(J29-H29)*(3*((2040-2022)/I29)^2-2*((2040-2022)/I29)^3)))</f>
        <v>0.00451054360081432</v>
      </c>
      <c r="AE29" s="30" t="n">
        <f aca="false">AD29*(1-IF((2041-2022)/I29&gt;=1,J29,H29+(J29-H29)*(3*((2041-2022)/I29)^2-2*((2041-2022)/I29)^3)))</f>
        <v>0.00444288544680211</v>
      </c>
      <c r="AF29" s="30" t="n">
        <f aca="false">AE29*(1-IF((2042-2022)/I29&gt;=1,J29,H29+(J29-H29)*(3*((2042-2022)/I29)^2-2*((2042-2022)/I29)^3)))</f>
        <v>0.00437624216510007</v>
      </c>
      <c r="AG29" s="30" t="n">
        <f aca="false">AF29*(1-IF((2043-2022)/I29&gt;=1,J29,H29+(J29-H29)*(3*((2043-2022)/I29)^2-2*((2043-2022)/I29)^3)))</f>
        <v>0.00431059853262357</v>
      </c>
      <c r="AH29" s="30" t="n">
        <f aca="false">AG29*(1-IF((2044-2022)/I29&gt;=1,J29,H29+(J29-H29)*(3*((2044-2022)/I29)^2-2*((2044-2022)/I29)^3)))</f>
        <v>0.00424593955463422</v>
      </c>
      <c r="AI29" s="30" t="n">
        <f aca="false">AH29*(1-IF((2045-2022)/I29&gt;=1,J29,H29+(J29-H29)*(3*((2045-2022)/I29)^2-2*((2045-2022)/I29)^3)))</f>
        <v>0.0041822504613147</v>
      </c>
      <c r="AJ29" s="30" t="n">
        <f aca="false">AI29*(1-IF((2046-2022)/I29&gt;=1,J29,H29+(J29-H29)*(3*((2046-2022)/I29)^2-2*((2046-2022)/I29)^3)))</f>
        <v>0.00411951670439498</v>
      </c>
      <c r="AK29" s="30" t="n">
        <f aca="false">AJ29*(1-IF((2047-2022)/I29&gt;=1,J29,H29+(J29-H29)*(3*((2047-2022)/I29)^2-2*((2047-2022)/I29)^3)))</f>
        <v>0.00405772395382906</v>
      </c>
      <c r="AL29" s="30" t="n">
        <f aca="false">AK29*(1-IF((2048-2022)/I29&gt;=1,J29,H29+(J29-H29)*(3*((2048-2022)/I29)^2-2*((2048-2022)/I29)^3)))</f>
        <v>0.00399685809452162</v>
      </c>
      <c r="AM29" s="30" t="n">
        <f aca="false">AL29*(1-IF((2049-2022)/I29&gt;=1,J29,H29+(J29-H29)*(3*((2049-2022)/I29)^2-2*((2049-2022)/I29)^3)))</f>
        <v>0.0039369052231038</v>
      </c>
      <c r="AN29" s="30" t="n">
        <f aca="false">AM29*(1-IF((2050-2022)/I29&gt;=1,J29,H29+(J29-H29)*(3*((2050-2022)/I29)^2-2*((2050-2022)/I29)^3)))</f>
        <v>0.00387785164475724</v>
      </c>
      <c r="AO29" s="30" t="n">
        <f aca="false">AN29*(1-IF((2051-2022)/I29&gt;=1,J29,H29+(J29-H29)*(3*((2051-2022)/I29)^2-2*((2051-2022)/I29)^3)))</f>
        <v>0.00381968387008588</v>
      </c>
      <c r="AP29" s="30" t="n">
        <f aca="false">AO29*(1-IF((2052-2022)/I29&gt;=1,J29,H29+(J29-H29)*(3*((2052-2022)/I29)^2-2*((2052-2022)/I29)^3)))</f>
        <v>0.00376238861203459</v>
      </c>
      <c r="AQ29" s="30" t="n">
        <f aca="false">AP29*(1-IF((2053-2022)/I29&gt;=1,J29,H29+(J29-H29)*(3*((2053-2022)/I29)^2-2*((2053-2022)/I29)^3)))</f>
        <v>0.00370595278285408</v>
      </c>
      <c r="AR29" s="30" t="n">
        <f aca="false">AQ29*(1-IF((2054-2022)/I29&gt;=1,J29,H29+(J29-H29)*(3*((2054-2022)/I29)^2-2*((2054-2022)/I29)^3)))</f>
        <v>0.00365036349111126</v>
      </c>
      <c r="AS29" s="30" t="n">
        <f aca="false">AR29*(1-IF((2055-2022)/I29&gt;=1,J29,H29+(J29-H29)*(3*((2055-2022)/I29)^2-2*((2055-2022)/I29)^3)))</f>
        <v>0.0035956080387446</v>
      </c>
      <c r="AT29" s="30" t="n">
        <f aca="false">AS29*(1-IF((2056-2022)/I29&gt;=1,J29,H29+(J29-H29)*(3*((2056-2022)/I29)^2-2*((2056-2022)/I29)^3)))</f>
        <v>0.00354167391816343</v>
      </c>
      <c r="AU29" s="30" t="n">
        <f aca="false">AT29*(1-IF((2057-2022)/I29&gt;=1,J29,H29+(J29-H29)*(3*((2057-2022)/I29)^2-2*((2057-2022)/I29)^3)))</f>
        <v>0.00348854880939097</v>
      </c>
      <c r="AV29" s="30" t="n">
        <f aca="false">AU29*(1-IF((2058-2022)/I29&gt;=1,J29,H29+(J29-H29)*(3*((2058-2022)/I29)^2-2*((2058-2022)/I29)^3)))</f>
        <v>0.00343622057725011</v>
      </c>
      <c r="AW29" s="30" t="n">
        <f aca="false">AV29*(1-IF((2059-2022)/I29&gt;=1,J29,H29+(J29-H29)*(3*((2059-2022)/I29)^2-2*((2059-2022)/I29)^3)))</f>
        <v>0.00338467726859136</v>
      </c>
      <c r="AX29" s="30" t="n">
        <f aca="false">AW29*(1-IF((2060-2022)/I29&gt;=1,J29,H29+(J29-H29)*(3*((2060-2022)/I29)^2-2*((2060-2022)/I29)^3)))</f>
        <v>0.00333390710956249</v>
      </c>
      <c r="AY29" s="30" t="n">
        <f aca="false">AX29*(1-IF((2061-2022)/I29&gt;=1,J29,H29+(J29-H29)*(3*((2061-2022)/I29)^2-2*((2061-2022)/I29)^3)))</f>
        <v>0.00328389850291905</v>
      </c>
      <c r="AZ29" s="30" t="n">
        <f aca="false">AY29*(1-IF((2062-2022)/I29&gt;=1,J29,H29+(J29-H29)*(3*((2062-2022)/I29)^2-2*((2062-2022)/I29)^3)))</f>
        <v>0.00323464002537527</v>
      </c>
      <c r="BA29" s="30" t="n">
        <f aca="false">AZ29*(1-IF((2063-2022)/I29&gt;=1,J29,H29+(J29-H29)*(3*((2063-2022)/I29)^2-2*((2063-2022)/I29)^3)))</f>
        <v>0.00318612042499464</v>
      </c>
      <c r="BB29" s="30" t="n">
        <f aca="false">BA29*(1-IF((2064-2022)/I29&gt;=1,J29,H29+(J29-H29)*(3*((2064-2022)/I29)^2-2*((2064-2022)/I29)^3)))</f>
        <v>0.00313832861861972</v>
      </c>
      <c r="BC29" s="30" t="n">
        <f aca="false">BB29*(1-IF((2065-2022)/I29&gt;=1,J29,H29+(J29-H29)*(3*((2065-2022)/I29)^2-2*((2065-2022)/I29)^3)))</f>
        <v>0.00309125368934042</v>
      </c>
      <c r="BD29" s="30" t="n">
        <f aca="false">BC29*(1-IF((2066-2022)/I29&gt;=1,J29,H29+(J29-H29)*(3*((2066-2022)/I29)^2-2*((2066-2022)/I29)^3)))</f>
        <v>0.00304488488400031</v>
      </c>
      <c r="BE29" s="30" t="n">
        <f aca="false">BD29*(1-IF((2067-2022)/I29&gt;=1,J29,H29+(J29-H29)*(3*((2067-2022)/I29)^2-2*((2067-2022)/I29)^3)))</f>
        <v>0.00299921161074031</v>
      </c>
      <c r="BF29" s="30" t="n">
        <f aca="false">BE29*(1-IF((2068-2022)/I29&gt;=1,J29,H29+(J29-H29)*(3*((2068-2022)/I29)^2-2*((2068-2022)/I29)^3)))</f>
        <v>0.00295422343657921</v>
      </c>
      <c r="BG29" s="30" t="n">
        <f aca="false">BF29*(1-IF((2069-2022)/I29&gt;=1,J29,H29+(J29-H29)*(3*((2069-2022)/I29)^2-2*((2069-2022)/I29)^3)))</f>
        <v>0.00290991008503052</v>
      </c>
      <c r="BH29" s="30" t="n">
        <f aca="false">BG29*(1-IF((2070-2022)/I29&gt;=1,J29,H29+(J29-H29)*(3*((2070-2022)/I29)^2-2*((2070-2022)/I29)^3)))</f>
        <v>0.00286626143375506</v>
      </c>
      <c r="BI29" s="30" t="n">
        <f aca="false">BH29*(1-IF((2071-2022)/I29&gt;=1,J29,H29+(J29-H29)*(3*((2071-2022)/I29)^2-2*((2071-2022)/I29)^3)))</f>
        <v>0.00282326751224873</v>
      </c>
      <c r="BJ29" s="30" t="n">
        <f aca="false">BI29*(1-IF((2072-2022)/I29&gt;=1,J29,H29+(J29-H29)*(3*((2072-2022)/I29)^2-2*((2072-2022)/I29)^3)))</f>
        <v>0.002780918499565</v>
      </c>
      <c r="BK29" s="30" t="n">
        <f aca="false">BJ29*(1-IF((2073-2022)/I29&gt;=1,J29,H29+(J29-H29)*(3*((2073-2022)/I29)^2-2*((2073-2022)/I29)^3)))</f>
        <v>0.00273920472207153</v>
      </c>
      <c r="BL29" s="30" t="n">
        <f aca="false">BK29*(1-IF((2074-2022)/I29&gt;=1,J29,H29+(J29-H29)*(3*((2074-2022)/I29)^2-2*((2074-2022)/I29)^3)))</f>
        <v>0.00269811665124045</v>
      </c>
      <c r="BM29" s="30" t="n">
        <f aca="false">BL29*(1-IF((2075-2022)/I29&gt;=1,J29,H29+(J29-H29)*(3*((2075-2022)/I29)^2-2*((2075-2022)/I29)^3)))</f>
        <v>0.00265764490147185</v>
      </c>
      <c r="BN29" s="30" t="n">
        <f aca="false">BM29*(1-IF((2076-2022)/I29&gt;=1,J29,H29+(J29-H29)*(3*((2076-2022)/I29)^2-2*((2076-2022)/I29)^3)))</f>
        <v>0.00261778022794977</v>
      </c>
      <c r="BO29" s="30" t="n">
        <f aca="false">BN29*(1-IF((2077-2022)/I29&gt;=1,J29,H29+(J29-H29)*(3*((2077-2022)/I29)^2-2*((2077-2022)/I29)^3)))</f>
        <v>0.00257851352453052</v>
      </c>
      <c r="BP29" s="30" t="n">
        <f aca="false">BO29*(1-IF((2078-2022)/I29&gt;=1,J29,H29+(J29-H29)*(3*((2078-2022)/I29)^2-2*((2078-2022)/I29)^3)))</f>
        <v>0.00253983582166257</v>
      </c>
      <c r="BQ29" s="30" t="n">
        <f aca="false">BP29*(1-IF((2079-2022)/I29&gt;=1,J29,H29+(J29-H29)*(3*((2079-2022)/I29)^2-2*((2079-2022)/I29)^3)))</f>
        <v>0.00250173828433763</v>
      </c>
      <c r="BR29" s="30" t="n">
        <f aca="false">BQ29*(1-IF((2080-2022)/I29&gt;=1,J29,H29+(J29-H29)*(3*((2080-2022)/I29)^2-2*((2080-2022)/I29)^3)))</f>
        <v>0.00246421221007256</v>
      </c>
      <c r="BS29" s="30" t="n">
        <f aca="false">BR29*(1-IF((2081-2022)/I29&gt;=1,J29,H29+(J29-H29)*(3*((2081-2022)/I29)^2-2*((2081-2022)/I29)^3)))</f>
        <v>0.00242724902692147</v>
      </c>
      <c r="BT29" s="30" t="n">
        <f aca="false">BS29*(1-IF((2082-2022)/I29&gt;=1,J29,H29+(J29-H29)*(3*((2082-2022)/I29)^2-2*((2082-2022)/I29)^3)))</f>
        <v>0.00239084029151765</v>
      </c>
      <c r="BU29" s="30" t="n">
        <f aca="false">BT29*(1-IF((2083-2022)/I29&gt;=1,J29,H29+(J29-H29)*(3*((2083-2022)/I29)^2-2*((2083-2022)/I29)^3)))</f>
        <v>0.00235497768714489</v>
      </c>
      <c r="BV29" s="30" t="n">
        <f aca="false">BU29*(1-IF((2084-2022)/I29&gt;=1,J29,H29+(J29-H29)*(3*((2084-2022)/I29)^2-2*((2084-2022)/I29)^3)))</f>
        <v>0.00231965302183771</v>
      </c>
      <c r="BW29" s="30" t="n">
        <f aca="false">BV29*(1-IF((2085-2022)/I29&gt;=1,J29,H29+(J29-H29)*(3*((2085-2022)/I29)^2-2*((2085-2022)/I29)^3)))</f>
        <v>0.00228485822651015</v>
      </c>
      <c r="BX29" s="30" t="n">
        <f aca="false">BW29*(1-IF((2086-2022)/I29&gt;=1,J29,H29+(J29-H29)*(3*((2086-2022)/I29)^2-2*((2086-2022)/I29)^3)))</f>
        <v>0.0022505853531125</v>
      </c>
      <c r="BY29" s="30" t="n">
        <f aca="false">BX29*(1-IF((2087-2022)/I29&gt;=1,J29,H29+(J29-H29)*(3*((2087-2022)/I29)^2-2*((2087-2022)/I29)^3)))</f>
        <v>0.00221682657281581</v>
      </c>
      <c r="BZ29" s="30" t="n">
        <f aca="false">BY29*(1-IF((2088-2022)/I29&gt;=1,J29,H29+(J29-H29)*(3*((2088-2022)/I29)^2-2*((2088-2022)/I29)^3)))</f>
        <v>0.00218357417422357</v>
      </c>
      <c r="CA29" s="30" t="n">
        <f aca="false">BZ29*(1-IF((2089-2022)/I29&gt;=1,J29,H29+(J29-H29)*(3*((2089-2022)/I29)^2-2*((2089-2022)/I29)^3)))</f>
        <v>0.00215082056161022</v>
      </c>
      <c r="CB29" s="30" t="n">
        <f aca="false">CA29*(1-IF((2090-2022)/I29&gt;=1,J29,H29+(J29-H29)*(3*((2090-2022)/I29)^2-2*((2090-2022)/I29)^3)))</f>
        <v>0.00211855825318606</v>
      </c>
      <c r="CC29" s="30" t="n">
        <f aca="false">CB29*(1-IF((2091-2022)/I29&gt;=1,J29,H29+(J29-H29)*(3*((2091-2022)/I29)^2-2*((2091-2022)/I29)^3)))</f>
        <v>0.00208677987938827</v>
      </c>
    </row>
    <row r="30" customFormat="false" ht="15" hidden="false" customHeight="true" outlineLevel="0" collapsed="false">
      <c r="A30" s="3" t="n">
        <v>67</v>
      </c>
      <c r="B30" s="30" t="n">
        <f aca="false">IF($A30&lt;=105,INDEX(ILT17_Source!$D$7:$D$52,MATCH($A30,ILT17_Source!$A$7:$A$52,0)),($B$16*EXP($B$17*$A30))/(1+$B$16*EXP($B$17*$A30)))</f>
        <v>0.01122833</v>
      </c>
      <c r="C30" s="31" t="n">
        <f aca="false">LOOKUP($A30,{60,65,70,75,80,85,90,95},{0.78,0.82,0.85,0.88,0.91,0.94,0.97,1})</f>
        <v>0.82</v>
      </c>
      <c r="D30" s="30" t="n">
        <f aca="false">B30*C30</f>
        <v>0.0092072306</v>
      </c>
      <c r="E30" s="30" t="n">
        <f aca="false">1/(1+EXP(-(($B$6+$B$8*(2016-2022))+($B$7+$B$9*(2016-2022))*($A30-$B$10))))</f>
        <v>0.0134911954592766</v>
      </c>
      <c r="F30" s="30" t="n">
        <f aca="false">1/(1+EXP(-(($B$6+$B$8*(2021-2022))+($B$7+$B$9*(2021-2022))*($A30-$B$10))))</f>
        <v>0.0118717936439845</v>
      </c>
      <c r="G30" s="30" t="n">
        <f aca="false">1/(1+EXP(-(($B$6+$B$8*(2022-2022))+($B$7+$B$9*(2022-2022))*($A30-$B$10))))</f>
        <v>0.0115717464252386</v>
      </c>
      <c r="H30" s="32" t="n">
        <f aca="false">(F30-G30)/F30</f>
        <v>0.0252739584045883</v>
      </c>
      <c r="I30" s="38" t="n">
        <f aca="false">IF($A30&lt;=50,$B$14,IF($A30&gt;=95,$B$15,$B$14+($B$15-$B$14)*($A30-50)/(95-50)))</f>
        <v>14.3333333333333</v>
      </c>
      <c r="J30" s="39" t="n">
        <f aca="false">IF($A30&lt;=$B$12,$B$11,IF($A30&gt;=$B$13,0,$B$11*($B$13-$A30)/($B$13-$B$12)))</f>
        <v>0.015</v>
      </c>
      <c r="K30" s="30" t="n">
        <f aca="false">D30*G30/E30</f>
        <v>0.00789727923692911</v>
      </c>
      <c r="L30" s="30" t="n">
        <f aca="false">K30*$B$19</f>
        <v>0.0071075513132362</v>
      </c>
      <c r="M30" s="30" t="n">
        <f aca="false">L30*(1-IF((2023-2022)/I30&gt;=1,J30,H30+(J30-H30)*(3*((2023-2022)/I30)^2-2*((2023-2022)/I30)^3)))</f>
        <v>0.0069289320739303</v>
      </c>
      <c r="N30" s="30" t="n">
        <f aca="false">M30*(1-IF((2024-2022)/I30&gt;=1,J30,H30+(J30-H30)*(3*((2024-2022)/I30)^2-2*((2024-2022)/I30)^3)))</f>
        <v>0.00675758179835848</v>
      </c>
      <c r="O30" s="30" t="n">
        <f aca="false">N30*(1-IF((2025-2022)/I30&gt;=1,J30,H30+(J30-H30)*(3*((2025-2022)/I30)^2-2*((2025-2022)/I30)^3)))</f>
        <v>0.00659464207942239</v>
      </c>
      <c r="P30" s="30" t="n">
        <f aca="false">O30*(1-IF((2026-2022)/I30&gt;=1,J30,H30+(J30-H30)*(3*((2026-2022)/I30)^2-2*((2026-2022)/I30)^3)))</f>
        <v>0.006440854103808</v>
      </c>
      <c r="Q30" s="30" t="n">
        <f aca="false">P30*(1-IF((2027-2022)/I30&gt;=1,J30,H30+(J30-H30)*(3*((2027-2022)/I30)^2-2*((2027-2022)/I30)^3)))</f>
        <v>0.00629660753699317</v>
      </c>
      <c r="R30" s="30" t="n">
        <f aca="false">Q30*(1-IF((2028-2022)/I30&gt;=1,J30,H30+(J30-H30)*(3*((2028-2022)/I30)^2-2*((2028-2022)/I30)^3)))</f>
        <v>0.00616198432267925</v>
      </c>
      <c r="S30" s="30" t="n">
        <f aca="false">R30*(1-IF((2029-2022)/I30&gt;=1,J30,H30+(J30-H30)*(3*((2029-2022)/I30)^2-2*((2029-2022)/I30)^3)))</f>
        <v>0.00603679656280284</v>
      </c>
      <c r="T30" s="30" t="n">
        <f aca="false">S30*(1-IF((2030-2022)/I30&gt;=1,J30,H30+(J30-H30)*(3*((2030-2022)/I30)^2-2*((2030-2022)/I30)^3)))</f>
        <v>0.00592061821610498</v>
      </c>
      <c r="U30" s="30" t="n">
        <f aca="false">T30*(1-IF((2031-2022)/I30&gt;=1,J30,H30+(J30-H30)*(3*((2031-2022)/I30)^2-2*((2031-2022)/I30)^3)))</f>
        <v>0.00581281079808477</v>
      </c>
      <c r="V30" s="30" t="n">
        <f aca="false">U30*(1-IF((2032-2022)/I30&gt;=1,J30,H30+(J30-H30)*(3*((2032-2022)/I30)^2-2*((2032-2022)/I30)^3)))</f>
        <v>0.00571254361036002</v>
      </c>
      <c r="W30" s="30" t="n">
        <f aca="false">V30*(1-IF((2033-2022)/I30&gt;=1,J30,H30+(J30-H30)*(3*((2033-2022)/I30)^2-2*((2033-2022)/I30)^3)))</f>
        <v>0.00561880929993831</v>
      </c>
      <c r="X30" s="30" t="n">
        <f aca="false">W30*(1-IF((2034-2022)/I30&gt;=1,J30,H30+(J30-H30)*(3*((2034-2022)/I30)^2-2*((2034-2022)/I30)^3)))</f>
        <v>0.00553043577260635</v>
      </c>
      <c r="Y30" s="30" t="n">
        <f aca="false">X30*(1-IF((2035-2022)/I30&gt;=1,J30,H30+(J30-H30)*(3*((2035-2022)/I30)^2-2*((2035-2022)/I30)^3)))</f>
        <v>0.00544609567874204</v>
      </c>
      <c r="Z30" s="30" t="n">
        <f aca="false">Y30*(1-IF((2036-2022)/I30&gt;=1,J30,H30+(J30-H30)*(3*((2036-2022)/I30)^2-2*((2036-2022)/I30)^3)))</f>
        <v>0.00536431486745592</v>
      </c>
      <c r="AA30" s="30" t="n">
        <f aca="false">Z30*(1-IF((2037-2022)/I30&gt;=1,J30,H30+(J30-H30)*(3*((2037-2022)/I30)^2-2*((2037-2022)/I30)^3)))</f>
        <v>0.00528385014444408</v>
      </c>
      <c r="AB30" s="30" t="n">
        <f aca="false">AA30*(1-IF((2038-2022)/I30&gt;=1,J30,H30+(J30-H30)*(3*((2038-2022)/I30)^2-2*((2038-2022)/I30)^3)))</f>
        <v>0.00520459239227742</v>
      </c>
      <c r="AC30" s="30" t="n">
        <f aca="false">AB30*(1-IF((2039-2022)/I30&gt;=1,J30,H30+(J30-H30)*(3*((2039-2022)/I30)^2-2*((2039-2022)/I30)^3)))</f>
        <v>0.00512652350639326</v>
      </c>
      <c r="AD30" s="30" t="n">
        <f aca="false">AC30*(1-IF((2040-2022)/I30&gt;=1,J30,H30+(J30-H30)*(3*((2040-2022)/I30)^2-2*((2040-2022)/I30)^3)))</f>
        <v>0.00504962565379736</v>
      </c>
      <c r="AE30" s="30" t="n">
        <f aca="false">AD30*(1-IF((2041-2022)/I30&gt;=1,J30,H30+(J30-H30)*(3*((2041-2022)/I30)^2-2*((2041-2022)/I30)^3)))</f>
        <v>0.0049738812689904</v>
      </c>
      <c r="AF30" s="30" t="n">
        <f aca="false">AE30*(1-IF((2042-2022)/I30&gt;=1,J30,H30+(J30-H30)*(3*((2042-2022)/I30)^2-2*((2042-2022)/I30)^3)))</f>
        <v>0.00489927304995554</v>
      </c>
      <c r="AG30" s="30" t="n">
        <f aca="false">AF30*(1-IF((2043-2022)/I30&gt;=1,J30,H30+(J30-H30)*(3*((2043-2022)/I30)^2-2*((2043-2022)/I30)^3)))</f>
        <v>0.00482578395420621</v>
      </c>
      <c r="AH30" s="30" t="n">
        <f aca="false">AG30*(1-IF((2044-2022)/I30&gt;=1,J30,H30+(J30-H30)*(3*((2044-2022)/I30)^2-2*((2044-2022)/I30)^3)))</f>
        <v>0.00475339719489311</v>
      </c>
      <c r="AI30" s="30" t="n">
        <f aca="false">AH30*(1-IF((2045-2022)/I30&gt;=1,J30,H30+(J30-H30)*(3*((2045-2022)/I30)^2-2*((2045-2022)/I30)^3)))</f>
        <v>0.00468209623696972</v>
      </c>
      <c r="AJ30" s="30" t="n">
        <f aca="false">AI30*(1-IF((2046-2022)/I30&gt;=1,J30,H30+(J30-H30)*(3*((2046-2022)/I30)^2-2*((2046-2022)/I30)^3)))</f>
        <v>0.00461186479341517</v>
      </c>
      <c r="AK30" s="30" t="n">
        <f aca="false">AJ30*(1-IF((2047-2022)/I30&gt;=1,J30,H30+(J30-H30)*(3*((2047-2022)/I30)^2-2*((2047-2022)/I30)^3)))</f>
        <v>0.00454268682151394</v>
      </c>
      <c r="AL30" s="30" t="n">
        <f aca="false">AK30*(1-IF((2048-2022)/I30&gt;=1,J30,H30+(J30-H30)*(3*((2048-2022)/I30)^2-2*((2048-2022)/I30)^3)))</f>
        <v>0.00447454651919123</v>
      </c>
      <c r="AM30" s="30" t="n">
        <f aca="false">AL30*(1-IF((2049-2022)/I30&gt;=1,J30,H30+(J30-H30)*(3*((2049-2022)/I30)^2-2*((2049-2022)/I30)^3)))</f>
        <v>0.00440742832140337</v>
      </c>
      <c r="AN30" s="30" t="n">
        <f aca="false">AM30*(1-IF((2050-2022)/I30&gt;=1,J30,H30+(J30-H30)*(3*((2050-2022)/I30)^2-2*((2050-2022)/I30)^3)))</f>
        <v>0.00434131689658232</v>
      </c>
      <c r="AO30" s="30" t="n">
        <f aca="false">AN30*(1-IF((2051-2022)/I30&gt;=1,J30,H30+(J30-H30)*(3*((2051-2022)/I30)^2-2*((2051-2022)/I30)^3)))</f>
        <v>0.00427619714313358</v>
      </c>
      <c r="AP30" s="30" t="n">
        <f aca="false">AO30*(1-IF((2052-2022)/I30&gt;=1,J30,H30+(J30-H30)*(3*((2052-2022)/I30)^2-2*((2052-2022)/I30)^3)))</f>
        <v>0.00421205418598658</v>
      </c>
      <c r="AQ30" s="30" t="n">
        <f aca="false">AP30*(1-IF((2053-2022)/I30&gt;=1,J30,H30+(J30-H30)*(3*((2053-2022)/I30)^2-2*((2053-2022)/I30)^3)))</f>
        <v>0.00414887337319678</v>
      </c>
      <c r="AR30" s="30" t="n">
        <f aca="false">AQ30*(1-IF((2054-2022)/I30&gt;=1,J30,H30+(J30-H30)*(3*((2054-2022)/I30)^2-2*((2054-2022)/I30)^3)))</f>
        <v>0.00408664027259883</v>
      </c>
      <c r="AS30" s="30" t="n">
        <f aca="false">AR30*(1-IF((2055-2022)/I30&gt;=1,J30,H30+(J30-H30)*(3*((2055-2022)/I30)^2-2*((2055-2022)/I30)^3)))</f>
        <v>0.00402534066850984</v>
      </c>
      <c r="AT30" s="30" t="n">
        <f aca="false">AS30*(1-IF((2056-2022)/I30&gt;=1,J30,H30+(J30-H30)*(3*((2056-2022)/I30)^2-2*((2056-2022)/I30)^3)))</f>
        <v>0.0039649605584822</v>
      </c>
      <c r="AU30" s="30" t="n">
        <f aca="false">AT30*(1-IF((2057-2022)/I30&gt;=1,J30,H30+(J30-H30)*(3*((2057-2022)/I30)^2-2*((2057-2022)/I30)^3)))</f>
        <v>0.00390548615010496</v>
      </c>
      <c r="AV30" s="30" t="n">
        <f aca="false">AU30*(1-IF((2058-2022)/I30&gt;=1,J30,H30+(J30-H30)*(3*((2058-2022)/I30)^2-2*((2058-2022)/I30)^3)))</f>
        <v>0.00384690385785339</v>
      </c>
      <c r="AW30" s="30" t="n">
        <f aca="false">AV30*(1-IF((2059-2022)/I30&gt;=1,J30,H30+(J30-H30)*(3*((2059-2022)/I30)^2-2*((2059-2022)/I30)^3)))</f>
        <v>0.00378920029998559</v>
      </c>
      <c r="AX30" s="30" t="n">
        <f aca="false">AW30*(1-IF((2060-2022)/I30&gt;=1,J30,H30+(J30-H30)*(3*((2060-2022)/I30)^2-2*((2060-2022)/I30)^3)))</f>
        <v>0.0037323622954858</v>
      </c>
      <c r="AY30" s="30" t="n">
        <f aca="false">AX30*(1-IF((2061-2022)/I30&gt;=1,J30,H30+(J30-H30)*(3*((2061-2022)/I30)^2-2*((2061-2022)/I30)^3)))</f>
        <v>0.00367637686105352</v>
      </c>
      <c r="AZ30" s="30" t="n">
        <f aca="false">AY30*(1-IF((2062-2022)/I30&gt;=1,J30,H30+(J30-H30)*(3*((2062-2022)/I30)^2-2*((2062-2022)/I30)^3)))</f>
        <v>0.00362123120813771</v>
      </c>
      <c r="BA30" s="30" t="n">
        <f aca="false">AZ30*(1-IF((2063-2022)/I30&gt;=1,J30,H30+(J30-H30)*(3*((2063-2022)/I30)^2-2*((2063-2022)/I30)^3)))</f>
        <v>0.00356691274001565</v>
      </c>
      <c r="BB30" s="30" t="n">
        <f aca="false">BA30*(1-IF((2064-2022)/I30&gt;=1,J30,H30+(J30-H30)*(3*((2064-2022)/I30)^2-2*((2064-2022)/I30)^3)))</f>
        <v>0.00351340904891541</v>
      </c>
      <c r="BC30" s="30" t="n">
        <f aca="false">BB30*(1-IF((2065-2022)/I30&gt;=1,J30,H30+(J30-H30)*(3*((2065-2022)/I30)^2-2*((2065-2022)/I30)^3)))</f>
        <v>0.00346070791318168</v>
      </c>
      <c r="BD30" s="30" t="n">
        <f aca="false">BC30*(1-IF((2066-2022)/I30&gt;=1,J30,H30+(J30-H30)*(3*((2066-2022)/I30)^2-2*((2066-2022)/I30)^3)))</f>
        <v>0.00340879729448396</v>
      </c>
      <c r="BE30" s="30" t="n">
        <f aca="false">BD30*(1-IF((2067-2022)/I30&gt;=1,J30,H30+(J30-H30)*(3*((2067-2022)/I30)^2-2*((2067-2022)/I30)^3)))</f>
        <v>0.0033576653350667</v>
      </c>
      <c r="BF30" s="30" t="n">
        <f aca="false">BE30*(1-IF((2068-2022)/I30&gt;=1,J30,H30+(J30-H30)*(3*((2068-2022)/I30)^2-2*((2068-2022)/I30)^3)))</f>
        <v>0.0033073003550407</v>
      </c>
      <c r="BG30" s="30" t="n">
        <f aca="false">BF30*(1-IF((2069-2022)/I30&gt;=1,J30,H30+(J30-H30)*(3*((2069-2022)/I30)^2-2*((2069-2022)/I30)^3)))</f>
        <v>0.00325769084971509</v>
      </c>
      <c r="BH30" s="30" t="n">
        <f aca="false">BG30*(1-IF((2070-2022)/I30&gt;=1,J30,H30+(J30-H30)*(3*((2070-2022)/I30)^2-2*((2070-2022)/I30)^3)))</f>
        <v>0.00320882548696936</v>
      </c>
      <c r="BI30" s="30" t="n">
        <f aca="false">BH30*(1-IF((2071-2022)/I30&gt;=1,J30,H30+(J30-H30)*(3*((2071-2022)/I30)^2-2*((2071-2022)/I30)^3)))</f>
        <v>0.00316069310466482</v>
      </c>
      <c r="BJ30" s="30" t="n">
        <f aca="false">BI30*(1-IF((2072-2022)/I30&gt;=1,J30,H30+(J30-H30)*(3*((2072-2022)/I30)^2-2*((2072-2022)/I30)^3)))</f>
        <v>0.00311328270809485</v>
      </c>
      <c r="BK30" s="30" t="n">
        <f aca="false">BJ30*(1-IF((2073-2022)/I30&gt;=1,J30,H30+(J30-H30)*(3*((2073-2022)/I30)^2-2*((2073-2022)/I30)^3)))</f>
        <v>0.00306658346747342</v>
      </c>
      <c r="BL30" s="30" t="n">
        <f aca="false">BK30*(1-IF((2074-2022)/I30&gt;=1,J30,H30+(J30-H30)*(3*((2074-2022)/I30)^2-2*((2074-2022)/I30)^3)))</f>
        <v>0.00302058471546132</v>
      </c>
      <c r="BM30" s="30" t="n">
        <f aca="false">BL30*(1-IF((2075-2022)/I30&gt;=1,J30,H30+(J30-H30)*(3*((2075-2022)/I30)^2-2*((2075-2022)/I30)^3)))</f>
        <v>0.0029752759447294</v>
      </c>
      <c r="BN30" s="30" t="n">
        <f aca="false">BM30*(1-IF((2076-2022)/I30&gt;=1,J30,H30+(J30-H30)*(3*((2076-2022)/I30)^2-2*((2076-2022)/I30)^3)))</f>
        <v>0.00293064680555846</v>
      </c>
      <c r="BO30" s="30" t="n">
        <f aca="false">BN30*(1-IF((2077-2022)/I30&gt;=1,J30,H30+(J30-H30)*(3*((2077-2022)/I30)^2-2*((2077-2022)/I30)^3)))</f>
        <v>0.00288668710347509</v>
      </c>
      <c r="BP30" s="30" t="n">
        <f aca="false">BO30*(1-IF((2078-2022)/I30&gt;=1,J30,H30+(J30-H30)*(3*((2078-2022)/I30)^2-2*((2078-2022)/I30)^3)))</f>
        <v>0.00284338679692296</v>
      </c>
      <c r="BQ30" s="30" t="n">
        <f aca="false">BP30*(1-IF((2079-2022)/I30&gt;=1,J30,H30+(J30-H30)*(3*((2079-2022)/I30)^2-2*((2079-2022)/I30)^3)))</f>
        <v>0.00280073599496912</v>
      </c>
      <c r="BR30" s="30" t="n">
        <f aca="false">BQ30*(1-IF((2080-2022)/I30&gt;=1,J30,H30+(J30-H30)*(3*((2080-2022)/I30)^2-2*((2080-2022)/I30)^3)))</f>
        <v>0.00275872495504458</v>
      </c>
      <c r="BS30" s="30" t="n">
        <f aca="false">BR30*(1-IF((2081-2022)/I30&gt;=1,J30,H30+(J30-H30)*(3*((2081-2022)/I30)^2-2*((2081-2022)/I30)^3)))</f>
        <v>0.00271734408071891</v>
      </c>
      <c r="BT30" s="30" t="n">
        <f aca="false">BS30*(1-IF((2082-2022)/I30&gt;=1,J30,H30+(J30-H30)*(3*((2082-2022)/I30)^2-2*((2082-2022)/I30)^3)))</f>
        <v>0.00267658391950813</v>
      </c>
      <c r="BU30" s="30" t="n">
        <f aca="false">BT30*(1-IF((2083-2022)/I30&gt;=1,J30,H30+(J30-H30)*(3*((2083-2022)/I30)^2-2*((2083-2022)/I30)^3)))</f>
        <v>0.0026364351607155</v>
      </c>
      <c r="BV30" s="30" t="n">
        <f aca="false">BU30*(1-IF((2084-2022)/I30&gt;=1,J30,H30+(J30-H30)*(3*((2084-2022)/I30)^2-2*((2084-2022)/I30)^3)))</f>
        <v>0.00259688863330477</v>
      </c>
      <c r="BW30" s="30" t="n">
        <f aca="false">BV30*(1-IF((2085-2022)/I30&gt;=1,J30,H30+(J30-H30)*(3*((2085-2022)/I30)^2-2*((2085-2022)/I30)^3)))</f>
        <v>0.0025579353038052</v>
      </c>
      <c r="BX30" s="30" t="n">
        <f aca="false">BW30*(1-IF((2086-2022)/I30&gt;=1,J30,H30+(J30-H30)*(3*((2086-2022)/I30)^2-2*((2086-2022)/I30)^3)))</f>
        <v>0.00251956627424812</v>
      </c>
      <c r="BY30" s="30" t="n">
        <f aca="false">BX30*(1-IF((2087-2022)/I30&gt;=1,J30,H30+(J30-H30)*(3*((2087-2022)/I30)^2-2*((2087-2022)/I30)^3)))</f>
        <v>0.0024817727801344</v>
      </c>
      <c r="BZ30" s="30" t="n">
        <f aca="false">BY30*(1-IF((2088-2022)/I30&gt;=1,J30,H30+(J30-H30)*(3*((2088-2022)/I30)^2-2*((2088-2022)/I30)^3)))</f>
        <v>0.00244454618843238</v>
      </c>
      <c r="CA30" s="30" t="n">
        <f aca="false">BZ30*(1-IF((2089-2022)/I30&gt;=1,J30,H30+(J30-H30)*(3*((2089-2022)/I30)^2-2*((2089-2022)/I30)^3)))</f>
        <v>0.0024078779956059</v>
      </c>
      <c r="CB30" s="30" t="n">
        <f aca="false">CA30*(1-IF((2090-2022)/I30&gt;=1,J30,H30+(J30-H30)*(3*((2090-2022)/I30)^2-2*((2090-2022)/I30)^3)))</f>
        <v>0.00237175982567181</v>
      </c>
      <c r="CC30" s="30" t="n">
        <f aca="false">CB30*(1-IF((2091-2022)/I30&gt;=1,J30,H30+(J30-H30)*(3*((2091-2022)/I30)^2-2*((2091-2022)/I30)^3)))</f>
        <v>0.00233618342828673</v>
      </c>
    </row>
    <row r="31" customFormat="false" ht="15" hidden="false" customHeight="true" outlineLevel="0" collapsed="false">
      <c r="A31" s="3" t="n">
        <v>68</v>
      </c>
      <c r="B31" s="30" t="n">
        <f aca="false">IF($A31&lt;=105,INDEX(ILT17_Source!$D$7:$D$52,MATCH($A31,ILT17_Source!$A$7:$A$52,0)),($B$16*EXP($B$17*$A31))/(1+$B$16*EXP($B$17*$A31)))</f>
        <v>0.0124725</v>
      </c>
      <c r="C31" s="31" t="n">
        <f aca="false">LOOKUP($A31,{60,65,70,75,80,85,90,95},{0.78,0.82,0.85,0.88,0.91,0.94,0.97,1})</f>
        <v>0.82</v>
      </c>
      <c r="D31" s="30" t="n">
        <f aca="false">B31*C31</f>
        <v>0.01022745</v>
      </c>
      <c r="E31" s="30" t="n">
        <f aca="false">1/(1+EXP(-(($B$6+$B$8*(2016-2022))+($B$7+$B$9*(2016-2022))*($A31-$B$10))))</f>
        <v>0.0150465644465532</v>
      </c>
      <c r="F31" s="30" t="n">
        <f aca="false">1/(1+EXP(-(($B$6+$B$8*(2021-2022))+($B$7+$B$9*(2021-2022))*($A31-$B$10))))</f>
        <v>0.0132787306316496</v>
      </c>
      <c r="G31" s="30" t="n">
        <f aca="false">1/(1+EXP(-(($B$6+$B$8*(2022-2022))+($B$7+$B$9*(2022-2022))*($A31-$B$10))))</f>
        <v>0.0129505751165157</v>
      </c>
      <c r="H31" s="32" t="n">
        <f aca="false">(F31-G31)/F31</f>
        <v>0.0247128678363068</v>
      </c>
      <c r="I31" s="38" t="n">
        <f aca="false">IF($A31&lt;=50,$B$14,IF($A31&gt;=95,$B$15,$B$14+($B$15-$B$14)*($A31-50)/(95-50)))</f>
        <v>14</v>
      </c>
      <c r="J31" s="39" t="n">
        <f aca="false">IF($A31&lt;=$B$12,$B$11,IF($A31&gt;=$B$13,0,$B$11*($B$13-$A31)/($B$13-$B$12)))</f>
        <v>0.015</v>
      </c>
      <c r="K31" s="30" t="n">
        <f aca="false">D31*G31/E31</f>
        <v>0.00880276424202269</v>
      </c>
      <c r="L31" s="30" t="n">
        <f aca="false">K31*$B$19</f>
        <v>0.00792248781782042</v>
      </c>
      <c r="M31" s="30" t="n">
        <f aca="false">L31*(1-IF((2023-2022)/I31&gt;=1,J31,H31+(J31-H31)*(3*((2023-2022)/I31)^2-2*((2023-2022)/I31)^3)))</f>
        <v>0.00772782214468453</v>
      </c>
      <c r="N31" s="30" t="n">
        <f aca="false">M31*(1-IF((2024-2022)/I31&gt;=1,J31,H31+(J31-H31)*(3*((2024-2022)/I31)^2-2*((2024-2022)/I31)^3)))</f>
        <v>0.00754100330198997</v>
      </c>
      <c r="O31" s="30" t="n">
        <f aca="false">N31*(1-IF((2025-2022)/I31&gt;=1,J31,H31+(J31-H31)*(3*((2025-2022)/I31)^2-2*((2025-2022)/I31)^3)))</f>
        <v>0.00736329191879051</v>
      </c>
      <c r="P31" s="30" t="n">
        <f aca="false">O31*(1-IF((2026-2022)/I31&gt;=1,J31,H31+(J31-H31)*(3*((2026-2022)/I31)^2-2*((2026-2022)/I31)^3)))</f>
        <v>0.0071955024894459</v>
      </c>
      <c r="Q31" s="30" t="n">
        <f aca="false">P31*(1-IF((2027-2022)/I31&gt;=1,J31,H31+(J31-H31)*(3*((2027-2022)/I31)^2-2*((2027-2022)/I31)^3)))</f>
        <v>0.00703805677886491</v>
      </c>
      <c r="R31" s="30" t="n">
        <f aca="false">Q31*(1-IF((2028-2022)/I31&gt;=1,J31,H31+(J31-H31)*(3*((2028-2022)/I31)^2-2*((2028-2022)/I31)^3)))</f>
        <v>0.00689103163917596</v>
      </c>
      <c r="S31" s="30" t="n">
        <f aca="false">R31*(1-IF((2029-2022)/I31&gt;=1,J31,H31+(J31-H31)*(3*((2029-2022)/I31)^2-2*((2029-2022)/I31)^3)))</f>
        <v>0.00675420032480476</v>
      </c>
      <c r="T31" s="30" t="n">
        <f aca="false">S31*(1-IF((2030-2022)/I31&gt;=1,J31,H31+(J31-H31)*(3*((2030-2022)/I31)^2-2*((2030-2022)/I31)^3)))</f>
        <v>0.00662706703294204</v>
      </c>
      <c r="U31" s="30" t="n">
        <f aca="false">T31*(1-IF((2031-2022)/I31&gt;=1,J31,H31+(J31-H31)*(3*((2031-2022)/I31)^2-2*((2031-2022)/I31)^3)))</f>
        <v>0.00650889489735073</v>
      </c>
      <c r="V31" s="30" t="n">
        <f aca="false">U31*(1-IF((2032-2022)/I31&gt;=1,J31,H31+(J31-H31)*(3*((2032-2022)/I31)^2-2*((2032-2022)/I31)^3)))</f>
        <v>0.00639872805569487</v>
      </c>
      <c r="W31" s="30" t="n">
        <f aca="false">V31*(1-IF((2033-2022)/I31&gt;=1,J31,H31+(J31-H31)*(3*((2033-2022)/I31)^2-2*((2033-2022)/I31)^3)))</f>
        <v>0.00629540872378954</v>
      </c>
      <c r="X31" s="30" t="n">
        <f aca="false">W31*(1-IF((2034-2022)/I31&gt;=1,J31,H31+(J31-H31)*(3*((2034-2022)/I31)^2-2*((2034-2022)/I31)^3)))</f>
        <v>0.00619759047052662</v>
      </c>
      <c r="Y31" s="30" t="n">
        <f aca="false">X31*(1-IF((2035-2022)/I31&gt;=1,J31,H31+(J31-H31)*(3*((2035-2022)/I31)^2-2*((2035-2022)/I31)^3)))</f>
        <v>0.00610374911525963</v>
      </c>
      <c r="Z31" s="30" t="n">
        <f aca="false">Y31*(1-IF((2036-2022)/I31&gt;=1,J31,H31+(J31-H31)*(3*((2036-2022)/I31)^2-2*((2036-2022)/I31)^3)))</f>
        <v>0.00601219287853073</v>
      </c>
      <c r="AA31" s="30" t="n">
        <f aca="false">Z31*(1-IF((2037-2022)/I31&gt;=1,J31,H31+(J31-H31)*(3*((2037-2022)/I31)^2-2*((2037-2022)/I31)^3)))</f>
        <v>0.00592200998535277</v>
      </c>
      <c r="AB31" s="30" t="n">
        <f aca="false">AA31*(1-IF((2038-2022)/I31&gt;=1,J31,H31+(J31-H31)*(3*((2038-2022)/I31)^2-2*((2038-2022)/I31)^3)))</f>
        <v>0.00583317983557248</v>
      </c>
      <c r="AC31" s="30" t="n">
        <f aca="false">AB31*(1-IF((2039-2022)/I31&gt;=1,J31,H31+(J31-H31)*(3*((2039-2022)/I31)^2-2*((2039-2022)/I31)^3)))</f>
        <v>0.00574568213803889</v>
      </c>
      <c r="AD31" s="30" t="n">
        <f aca="false">AC31*(1-IF((2040-2022)/I31&gt;=1,J31,H31+(J31-H31)*(3*((2040-2022)/I31)^2-2*((2040-2022)/I31)^3)))</f>
        <v>0.00565949690596831</v>
      </c>
      <c r="AE31" s="30" t="n">
        <f aca="false">AD31*(1-IF((2041-2022)/I31&gt;=1,J31,H31+(J31-H31)*(3*((2041-2022)/I31)^2-2*((2041-2022)/I31)^3)))</f>
        <v>0.00557460445237878</v>
      </c>
      <c r="AF31" s="30" t="n">
        <f aca="false">AE31*(1-IF((2042-2022)/I31&gt;=1,J31,H31+(J31-H31)*(3*((2042-2022)/I31)^2-2*((2042-2022)/I31)^3)))</f>
        <v>0.0054909853855931</v>
      </c>
      <c r="AG31" s="30" t="n">
        <f aca="false">AF31*(1-IF((2043-2022)/I31&gt;=1,J31,H31+(J31-H31)*(3*((2043-2022)/I31)^2-2*((2043-2022)/I31)^3)))</f>
        <v>0.00540862060480921</v>
      </c>
      <c r="AH31" s="30" t="n">
        <f aca="false">AG31*(1-IF((2044-2022)/I31&gt;=1,J31,H31+(J31-H31)*(3*((2044-2022)/I31)^2-2*((2044-2022)/I31)^3)))</f>
        <v>0.00532749129573707</v>
      </c>
      <c r="AI31" s="30" t="n">
        <f aca="false">AH31*(1-IF((2045-2022)/I31&gt;=1,J31,H31+(J31-H31)*(3*((2045-2022)/I31)^2-2*((2045-2022)/I31)^3)))</f>
        <v>0.00524757892630101</v>
      </c>
      <c r="AJ31" s="30" t="n">
        <f aca="false">AI31*(1-IF((2046-2022)/I31&gt;=1,J31,H31+(J31-H31)*(3*((2046-2022)/I31)^2-2*((2046-2022)/I31)^3)))</f>
        <v>0.0051688652424065</v>
      </c>
      <c r="AK31" s="30" t="n">
        <f aca="false">AJ31*(1-IF((2047-2022)/I31&gt;=1,J31,H31+(J31-H31)*(3*((2047-2022)/I31)^2-2*((2047-2022)/I31)^3)))</f>
        <v>0.0050913322637704</v>
      </c>
      <c r="AL31" s="30" t="n">
        <f aca="false">AK31*(1-IF((2048-2022)/I31&gt;=1,J31,H31+(J31-H31)*(3*((2048-2022)/I31)^2-2*((2048-2022)/I31)^3)))</f>
        <v>0.00501496227981384</v>
      </c>
      <c r="AM31" s="30" t="n">
        <f aca="false">AL31*(1-IF((2049-2022)/I31&gt;=1,J31,H31+(J31-H31)*(3*((2049-2022)/I31)^2-2*((2049-2022)/I31)^3)))</f>
        <v>0.00493973784561664</v>
      </c>
      <c r="AN31" s="30" t="n">
        <f aca="false">AM31*(1-IF((2050-2022)/I31&gt;=1,J31,H31+(J31-H31)*(3*((2050-2022)/I31)^2-2*((2050-2022)/I31)^3)))</f>
        <v>0.00486564177793239</v>
      </c>
      <c r="AO31" s="30" t="n">
        <f aca="false">AN31*(1-IF((2051-2022)/I31&gt;=1,J31,H31+(J31-H31)*(3*((2051-2022)/I31)^2-2*((2051-2022)/I31)^3)))</f>
        <v>0.0047926571512634</v>
      </c>
      <c r="AP31" s="30" t="n">
        <f aca="false">AO31*(1-IF((2052-2022)/I31&gt;=1,J31,H31+(J31-H31)*(3*((2052-2022)/I31)^2-2*((2052-2022)/I31)^3)))</f>
        <v>0.00472076729399445</v>
      </c>
      <c r="AQ31" s="30" t="n">
        <f aca="false">AP31*(1-IF((2053-2022)/I31&gt;=1,J31,H31+(J31-H31)*(3*((2053-2022)/I31)^2-2*((2053-2022)/I31)^3)))</f>
        <v>0.00464995578458453</v>
      </c>
      <c r="AR31" s="30" t="n">
        <f aca="false">AQ31*(1-IF((2054-2022)/I31&gt;=1,J31,H31+(J31-H31)*(3*((2054-2022)/I31)^2-2*((2054-2022)/I31)^3)))</f>
        <v>0.00458020644781576</v>
      </c>
      <c r="AS31" s="30" t="n">
        <f aca="false">AR31*(1-IF((2055-2022)/I31&gt;=1,J31,H31+(J31-H31)*(3*((2055-2022)/I31)^2-2*((2055-2022)/I31)^3)))</f>
        <v>0.00451150335109853</v>
      </c>
      <c r="AT31" s="30" t="n">
        <f aca="false">AS31*(1-IF((2056-2022)/I31&gt;=1,J31,H31+(J31-H31)*(3*((2056-2022)/I31)^2-2*((2056-2022)/I31)^3)))</f>
        <v>0.00444383080083205</v>
      </c>
      <c r="AU31" s="30" t="n">
        <f aca="false">AT31*(1-IF((2057-2022)/I31&gt;=1,J31,H31+(J31-H31)*(3*((2057-2022)/I31)^2-2*((2057-2022)/I31)^3)))</f>
        <v>0.00437717333881957</v>
      </c>
      <c r="AV31" s="30" t="n">
        <f aca="false">AU31*(1-IF((2058-2022)/I31&gt;=1,J31,H31+(J31-H31)*(3*((2058-2022)/I31)^2-2*((2058-2022)/I31)^3)))</f>
        <v>0.00431151573873728</v>
      </c>
      <c r="AW31" s="30" t="n">
        <f aca="false">AV31*(1-IF((2059-2022)/I31&gt;=1,J31,H31+(J31-H31)*(3*((2059-2022)/I31)^2-2*((2059-2022)/I31)^3)))</f>
        <v>0.00424684300265622</v>
      </c>
      <c r="AX31" s="30" t="n">
        <f aca="false">AW31*(1-IF((2060-2022)/I31&gt;=1,J31,H31+(J31-H31)*(3*((2060-2022)/I31)^2-2*((2060-2022)/I31)^3)))</f>
        <v>0.00418314035761637</v>
      </c>
      <c r="AY31" s="30" t="n">
        <f aca="false">AX31*(1-IF((2061-2022)/I31&gt;=1,J31,H31+(J31-H31)*(3*((2061-2022)/I31)^2-2*((2061-2022)/I31)^3)))</f>
        <v>0.00412039325225213</v>
      </c>
      <c r="AZ31" s="30" t="n">
        <f aca="false">AY31*(1-IF((2062-2022)/I31&gt;=1,J31,H31+(J31-H31)*(3*((2062-2022)/I31)^2-2*((2062-2022)/I31)^3)))</f>
        <v>0.00405858735346835</v>
      </c>
      <c r="BA31" s="30" t="n">
        <f aca="false">AZ31*(1-IF((2063-2022)/I31&gt;=1,J31,H31+(J31-H31)*(3*((2063-2022)/I31)^2-2*((2063-2022)/I31)^3)))</f>
        <v>0.00399770854316632</v>
      </c>
      <c r="BB31" s="30" t="n">
        <f aca="false">BA31*(1-IF((2064-2022)/I31&gt;=1,J31,H31+(J31-H31)*(3*((2064-2022)/I31)^2-2*((2064-2022)/I31)^3)))</f>
        <v>0.00393774291501883</v>
      </c>
      <c r="BC31" s="30" t="n">
        <f aca="false">BB31*(1-IF((2065-2022)/I31&gt;=1,J31,H31+(J31-H31)*(3*((2065-2022)/I31)^2-2*((2065-2022)/I31)^3)))</f>
        <v>0.00387867677129354</v>
      </c>
      <c r="BD31" s="30" t="n">
        <f aca="false">BC31*(1-IF((2066-2022)/I31&gt;=1,J31,H31+(J31-H31)*(3*((2066-2022)/I31)^2-2*((2066-2022)/I31)^3)))</f>
        <v>0.00382049661972414</v>
      </c>
      <c r="BE31" s="30" t="n">
        <f aca="false">BD31*(1-IF((2067-2022)/I31&gt;=1,J31,H31+(J31-H31)*(3*((2067-2022)/I31)^2-2*((2067-2022)/I31)^3)))</f>
        <v>0.00376318917042828</v>
      </c>
      <c r="BF31" s="30" t="n">
        <f aca="false">BE31*(1-IF((2068-2022)/I31&gt;=1,J31,H31+(J31-H31)*(3*((2068-2022)/I31)^2-2*((2068-2022)/I31)^3)))</f>
        <v>0.00370674133287185</v>
      </c>
      <c r="BG31" s="30" t="n">
        <f aca="false">BF31*(1-IF((2069-2022)/I31&gt;=1,J31,H31+(J31-H31)*(3*((2069-2022)/I31)^2-2*((2069-2022)/I31)^3)))</f>
        <v>0.00365114021287878</v>
      </c>
      <c r="BH31" s="30" t="n">
        <f aca="false">BG31*(1-IF((2070-2022)/I31&gt;=1,J31,H31+(J31-H31)*(3*((2070-2022)/I31)^2-2*((2070-2022)/I31)^3)))</f>
        <v>0.00359637310968559</v>
      </c>
      <c r="BI31" s="30" t="n">
        <f aca="false">BH31*(1-IF((2071-2022)/I31&gt;=1,J31,H31+(J31-H31)*(3*((2071-2022)/I31)^2-2*((2071-2022)/I31)^3)))</f>
        <v>0.00354242751304031</v>
      </c>
      <c r="BJ31" s="30" t="n">
        <f aca="false">BI31*(1-IF((2072-2022)/I31&gt;=1,J31,H31+(J31-H31)*(3*((2072-2022)/I31)^2-2*((2072-2022)/I31)^3)))</f>
        <v>0.00348929110034471</v>
      </c>
      <c r="BK31" s="30" t="n">
        <f aca="false">BJ31*(1-IF((2073-2022)/I31&gt;=1,J31,H31+(J31-H31)*(3*((2073-2022)/I31)^2-2*((2073-2022)/I31)^3)))</f>
        <v>0.00343695173383954</v>
      </c>
      <c r="BL31" s="30" t="n">
        <f aca="false">BK31*(1-IF((2074-2022)/I31&gt;=1,J31,H31+(J31-H31)*(3*((2074-2022)/I31)^2-2*((2074-2022)/I31)^3)))</f>
        <v>0.00338539745783194</v>
      </c>
      <c r="BM31" s="30" t="n">
        <f aca="false">BL31*(1-IF((2075-2022)/I31&gt;=1,J31,H31+(J31-H31)*(3*((2075-2022)/I31)^2-2*((2075-2022)/I31)^3)))</f>
        <v>0.00333461649596446</v>
      </c>
      <c r="BN31" s="30" t="n">
        <f aca="false">BM31*(1-IF((2076-2022)/I31&gt;=1,J31,H31+(J31-H31)*(3*((2076-2022)/I31)^2-2*((2076-2022)/I31)^3)))</f>
        <v>0.003284597248525</v>
      </c>
      <c r="BO31" s="30" t="n">
        <f aca="false">BN31*(1-IF((2077-2022)/I31&gt;=1,J31,H31+(J31-H31)*(3*((2077-2022)/I31)^2-2*((2077-2022)/I31)^3)))</f>
        <v>0.00323532828979712</v>
      </c>
      <c r="BP31" s="30" t="n">
        <f aca="false">BO31*(1-IF((2078-2022)/I31&gt;=1,J31,H31+(J31-H31)*(3*((2078-2022)/I31)^2-2*((2078-2022)/I31)^3)))</f>
        <v>0.00318679836545016</v>
      </c>
      <c r="BQ31" s="30" t="n">
        <f aca="false">BP31*(1-IF((2079-2022)/I31&gt;=1,J31,H31+(J31-H31)*(3*((2079-2022)/I31)^2-2*((2079-2022)/I31)^3)))</f>
        <v>0.00313899638996841</v>
      </c>
      <c r="BR31" s="30" t="n">
        <f aca="false">BQ31*(1-IF((2080-2022)/I31&gt;=1,J31,H31+(J31-H31)*(3*((2080-2022)/I31)^2-2*((2080-2022)/I31)^3)))</f>
        <v>0.00309191144411889</v>
      </c>
      <c r="BS31" s="30" t="n">
        <f aca="false">BR31*(1-IF((2081-2022)/I31&gt;=1,J31,H31+(J31-H31)*(3*((2081-2022)/I31)^2-2*((2081-2022)/I31)^3)))</f>
        <v>0.0030455327724571</v>
      </c>
      <c r="BT31" s="30" t="n">
        <f aca="false">BS31*(1-IF((2082-2022)/I31&gt;=1,J31,H31+(J31-H31)*(3*((2082-2022)/I31)^2-2*((2082-2022)/I31)^3)))</f>
        <v>0.00299984978087025</v>
      </c>
      <c r="BU31" s="30" t="n">
        <f aca="false">BT31*(1-IF((2083-2022)/I31&gt;=1,J31,H31+(J31-H31)*(3*((2083-2022)/I31)^2-2*((2083-2022)/I31)^3)))</f>
        <v>0.00295485203415719</v>
      </c>
      <c r="BV31" s="30" t="n">
        <f aca="false">BU31*(1-IF((2084-2022)/I31&gt;=1,J31,H31+(J31-H31)*(3*((2084-2022)/I31)^2-2*((2084-2022)/I31)^3)))</f>
        <v>0.00291052925364483</v>
      </c>
      <c r="BW31" s="30" t="n">
        <f aca="false">BV31*(1-IF((2085-2022)/I31&gt;=1,J31,H31+(J31-H31)*(3*((2085-2022)/I31)^2-2*((2085-2022)/I31)^3)))</f>
        <v>0.00286687131484016</v>
      </c>
      <c r="BX31" s="30" t="n">
        <f aca="false">BW31*(1-IF((2086-2022)/I31&gt;=1,J31,H31+(J31-H31)*(3*((2086-2022)/I31)^2-2*((2086-2022)/I31)^3)))</f>
        <v>0.00282386824511756</v>
      </c>
      <c r="BY31" s="30" t="n">
        <f aca="false">BX31*(1-IF((2087-2022)/I31&gt;=1,J31,H31+(J31-H31)*(3*((2087-2022)/I31)^2-2*((2087-2022)/I31)^3)))</f>
        <v>0.0027815102214408</v>
      </c>
      <c r="BZ31" s="30" t="n">
        <f aca="false">BY31*(1-IF((2088-2022)/I31&gt;=1,J31,H31+(J31-H31)*(3*((2088-2022)/I31)^2-2*((2088-2022)/I31)^3)))</f>
        <v>0.00273978756811918</v>
      </c>
      <c r="CA31" s="30" t="n">
        <f aca="false">BZ31*(1-IF((2089-2022)/I31&gt;=1,J31,H31+(J31-H31)*(3*((2089-2022)/I31)^2-2*((2089-2022)/I31)^3)))</f>
        <v>0.0026986907545974</v>
      </c>
      <c r="CB31" s="30" t="n">
        <f aca="false">CA31*(1-IF((2090-2022)/I31&gt;=1,J31,H31+(J31-H31)*(3*((2090-2022)/I31)^2-2*((2090-2022)/I31)^3)))</f>
        <v>0.00265821039327844</v>
      </c>
      <c r="CC31" s="30" t="n">
        <f aca="false">CB31*(1-IF((2091-2022)/I31&gt;=1,J31,H31+(J31-H31)*(3*((2091-2022)/I31)^2-2*((2091-2022)/I31)^3)))</f>
        <v>0.00261833723737926</v>
      </c>
    </row>
    <row r="32" customFormat="false" ht="15" hidden="false" customHeight="true" outlineLevel="0" collapsed="false">
      <c r="A32" s="3" t="n">
        <v>69</v>
      </c>
      <c r="B32" s="30" t="n">
        <f aca="false">IF($A32&lt;=105,INDEX(ILT17_Source!$D$7:$D$52,MATCH($A32,ILT17_Source!$A$7:$A$52,0)),($B$16*EXP($B$17*$A32))/(1+$B$16*EXP($B$17*$A32)))</f>
        <v>0.013873395</v>
      </c>
      <c r="C32" s="31" t="n">
        <f aca="false">LOOKUP($A32,{60,65,70,75,80,85,90,95},{0.78,0.82,0.85,0.88,0.91,0.94,0.97,1})</f>
        <v>0.82</v>
      </c>
      <c r="D32" s="30" t="n">
        <f aca="false">B32*C32</f>
        <v>0.0113761839</v>
      </c>
      <c r="E32" s="30" t="n">
        <f aca="false">1/(1+EXP(-(($B$6+$B$8*(2016-2022))+($B$7+$B$9*(2016-2022))*($A32-$B$10))))</f>
        <v>0.0167781986318335</v>
      </c>
      <c r="F32" s="30" t="n">
        <f aca="false">1/(1+EXP(-(($B$6+$B$8*(2021-2022))+($B$7+$B$9*(2021-2022))*($A32-$B$10))))</f>
        <v>0.0148498992112001</v>
      </c>
      <c r="G32" s="30" t="n">
        <f aca="false">1/(1+EXP(-(($B$6+$B$8*(2022-2022))+($B$7+$B$9*(2022-2022))*($A32-$B$10))))</f>
        <v>0.0144912891075068</v>
      </c>
      <c r="H32" s="32" t="n">
        <f aca="false">(F32-G32)/F32</f>
        <v>0.024148992433756</v>
      </c>
      <c r="I32" s="38" t="n">
        <f aca="false">IF($A32&lt;=50,$B$14,IF($A32&gt;=95,$B$15,$B$14+($B$15-$B$14)*($A32-50)/(95-50)))</f>
        <v>13.6666666666667</v>
      </c>
      <c r="J32" s="39" t="n">
        <f aca="false">IF($A32&lt;=$B$12,$B$11,IF($A32&gt;=$B$13,0,$B$11*($B$13-$A32)/($B$13-$B$12)))</f>
        <v>0.015</v>
      </c>
      <c r="K32" s="30" t="n">
        <f aca="false">D32*G32/E32</f>
        <v>0.0098255822005994</v>
      </c>
      <c r="L32" s="30" t="n">
        <f aca="false">K32*$B$19</f>
        <v>0.00884302398053946</v>
      </c>
      <c r="M32" s="30" t="n">
        <f aca="false">L32*(1-IF((2023-2022)/I32&gt;=1,J32,H32+(J32-H32)*(3*((2023-2022)/I32)^2-2*((2023-2022)/I32)^3)))</f>
        <v>0.00863070995355968</v>
      </c>
      <c r="N32" s="30" t="n">
        <f aca="false">M32*(1-IF((2024-2022)/I32&gt;=1,J32,H32+(J32-H32)*(3*((2024-2022)/I32)^2-2*((2024-2022)/I32)^3)))</f>
        <v>0.00842686519300436</v>
      </c>
      <c r="O32" s="30" t="n">
        <f aca="false">N32*(1-IF((2025-2022)/I32&gt;=1,J32,H32+(J32-H32)*(3*((2025-2022)/I32)^2-2*((2025-2022)/I32)^3)))</f>
        <v>0.00823287886546208</v>
      </c>
      <c r="P32" s="30" t="n">
        <f aca="false">O32*(1-IF((2026-2022)/I32&gt;=1,J32,H32+(J32-H32)*(3*((2026-2022)/I32)^2-2*((2026-2022)/I32)^3)))</f>
        <v>0.00804964326722808</v>
      </c>
      <c r="Q32" s="30" t="n">
        <f aca="false">P32*(1-IF((2027-2022)/I32&gt;=1,J32,H32+(J32-H32)*(3*((2027-2022)/I32)^2-2*((2027-2022)/I32)^3)))</f>
        <v>0.00787761208099413</v>
      </c>
      <c r="R32" s="30" t="n">
        <f aca="false">Q32*(1-IF((2028-2022)/I32&gt;=1,J32,H32+(J32-H32)*(3*((2028-2022)/I32)^2-2*((2028-2022)/I32)^3)))</f>
        <v>0.00771685250120156</v>
      </c>
      <c r="S32" s="30" t="n">
        <f aca="false">R32*(1-IF((2029-2022)/I32&gt;=1,J32,H32+(J32-H32)*(3*((2029-2022)/I32)^2-2*((2029-2022)/I32)^3)))</f>
        <v>0.00756709023449948</v>
      </c>
      <c r="T32" s="30" t="n">
        <f aca="false">S32*(1-IF((2030-2022)/I32&gt;=1,J32,H32+(J32-H32)*(3*((2030-2022)/I32)^2-2*((2030-2022)/I32)^3)))</f>
        <v>0.00742774709662436</v>
      </c>
      <c r="U32" s="30" t="n">
        <f aca="false">T32*(1-IF((2031-2022)/I32&gt;=1,J32,H32+(J32-H32)*(3*((2031-2022)/I32)^2-2*((2031-2022)/I32)^3)))</f>
        <v>0.00729797149020988</v>
      </c>
      <c r="V32" s="30" t="n">
        <f aca="false">U32*(1-IF((2032-2022)/I32&gt;=1,J32,H32+(J32-H32)*(3*((2032-2022)/I32)^2-2*((2032-2022)/I32)^3)))</f>
        <v>0.00717666249301753</v>
      </c>
      <c r="W32" s="30" t="n">
        <f aca="false">V32*(1-IF((2033-2022)/I32&gt;=1,J32,H32+(J32-H32)*(3*((2033-2022)/I32)^2-2*((2033-2022)/I32)^3)))</f>
        <v>0.00706248864545195</v>
      </c>
      <c r="X32" s="30" t="n">
        <f aca="false">W32*(1-IF((2034-2022)/I32&gt;=1,J32,H32+(J32-H32)*(3*((2034-2022)/I32)^2-2*((2034-2022)/I32)^3)))</f>
        <v>0.00695390282835871</v>
      </c>
      <c r="Y32" s="30" t="n">
        <f aca="false">X32*(1-IF((2035-2022)/I32&gt;=1,J32,H32+(J32-H32)*(3*((2035-2022)/I32)^2-2*((2035-2022)/I32)^3)))</f>
        <v>0.00684915488874994</v>
      </c>
      <c r="Z32" s="30" t="n">
        <f aca="false">Y32*(1-IF((2036-2022)/I32&gt;=1,J32,H32+(J32-H32)*(3*((2036-2022)/I32)^2-2*((2036-2022)/I32)^3)))</f>
        <v>0.00674641756541869</v>
      </c>
      <c r="AA32" s="30" t="n">
        <f aca="false">Z32*(1-IF((2037-2022)/I32&gt;=1,J32,H32+(J32-H32)*(3*((2037-2022)/I32)^2-2*((2037-2022)/I32)^3)))</f>
        <v>0.00664522130193741</v>
      </c>
      <c r="AB32" s="30" t="n">
        <f aca="false">AA32*(1-IF((2038-2022)/I32&gt;=1,J32,H32+(J32-H32)*(3*((2038-2022)/I32)^2-2*((2038-2022)/I32)^3)))</f>
        <v>0.00654554298240835</v>
      </c>
      <c r="AC32" s="30" t="n">
        <f aca="false">AB32*(1-IF((2039-2022)/I32&gt;=1,J32,H32+(J32-H32)*(3*((2039-2022)/I32)^2-2*((2039-2022)/I32)^3)))</f>
        <v>0.00644735983767222</v>
      </c>
      <c r="AD32" s="30" t="n">
        <f aca="false">AC32*(1-IF((2040-2022)/I32&gt;=1,J32,H32+(J32-H32)*(3*((2040-2022)/I32)^2-2*((2040-2022)/I32)^3)))</f>
        <v>0.00635064944010714</v>
      </c>
      <c r="AE32" s="30" t="n">
        <f aca="false">AD32*(1-IF((2041-2022)/I32&gt;=1,J32,H32+(J32-H32)*(3*((2041-2022)/I32)^2-2*((2041-2022)/I32)^3)))</f>
        <v>0.00625538969850553</v>
      </c>
      <c r="AF32" s="30" t="n">
        <f aca="false">AE32*(1-IF((2042-2022)/I32&gt;=1,J32,H32+(J32-H32)*(3*((2042-2022)/I32)^2-2*((2042-2022)/I32)^3)))</f>
        <v>0.00616155885302795</v>
      </c>
      <c r="AG32" s="30" t="n">
        <f aca="false">AF32*(1-IF((2043-2022)/I32&gt;=1,J32,H32+(J32-H32)*(3*((2043-2022)/I32)^2-2*((2043-2022)/I32)^3)))</f>
        <v>0.00606913547023253</v>
      </c>
      <c r="AH32" s="30" t="n">
        <f aca="false">AG32*(1-IF((2044-2022)/I32&gt;=1,J32,H32+(J32-H32)*(3*((2044-2022)/I32)^2-2*((2044-2022)/I32)^3)))</f>
        <v>0.00597809843817904</v>
      </c>
      <c r="AI32" s="30" t="n">
        <f aca="false">AH32*(1-IF((2045-2022)/I32&gt;=1,J32,H32+(J32-H32)*(3*((2045-2022)/I32)^2-2*((2045-2022)/I32)^3)))</f>
        <v>0.00588842696160636</v>
      </c>
      <c r="AJ32" s="30" t="n">
        <f aca="false">AI32*(1-IF((2046-2022)/I32&gt;=1,J32,H32+(J32-H32)*(3*((2046-2022)/I32)^2-2*((2046-2022)/I32)^3)))</f>
        <v>0.00580010055718226</v>
      </c>
      <c r="AK32" s="30" t="n">
        <f aca="false">AJ32*(1-IF((2047-2022)/I32&gt;=1,J32,H32+(J32-H32)*(3*((2047-2022)/I32)^2-2*((2047-2022)/I32)^3)))</f>
        <v>0.00571309904882453</v>
      </c>
      <c r="AL32" s="30" t="n">
        <f aca="false">AK32*(1-IF((2048-2022)/I32&gt;=1,J32,H32+(J32-H32)*(3*((2048-2022)/I32)^2-2*((2048-2022)/I32)^3)))</f>
        <v>0.00562740256309216</v>
      </c>
      <c r="AM32" s="30" t="n">
        <f aca="false">AL32*(1-IF((2049-2022)/I32&gt;=1,J32,H32+(J32-H32)*(3*((2049-2022)/I32)^2-2*((2049-2022)/I32)^3)))</f>
        <v>0.00554299152464578</v>
      </c>
      <c r="AN32" s="30" t="n">
        <f aca="false">AM32*(1-IF((2050-2022)/I32&gt;=1,J32,H32+(J32-H32)*(3*((2050-2022)/I32)^2-2*((2050-2022)/I32)^3)))</f>
        <v>0.00545984665177609</v>
      </c>
      <c r="AO32" s="30" t="n">
        <f aca="false">AN32*(1-IF((2051-2022)/I32&gt;=1,J32,H32+(J32-H32)*(3*((2051-2022)/I32)^2-2*((2051-2022)/I32)^3)))</f>
        <v>0.00537794895199945</v>
      </c>
      <c r="AP32" s="30" t="n">
        <f aca="false">AO32*(1-IF((2052-2022)/I32&gt;=1,J32,H32+(J32-H32)*(3*((2052-2022)/I32)^2-2*((2052-2022)/I32)^3)))</f>
        <v>0.00529727971771946</v>
      </c>
      <c r="AQ32" s="30" t="n">
        <f aca="false">AP32*(1-IF((2053-2022)/I32&gt;=1,J32,H32+(J32-H32)*(3*((2053-2022)/I32)^2-2*((2053-2022)/I32)^3)))</f>
        <v>0.00521782052195367</v>
      </c>
      <c r="AR32" s="30" t="n">
        <f aca="false">AQ32*(1-IF((2054-2022)/I32&gt;=1,J32,H32+(J32-H32)*(3*((2054-2022)/I32)^2-2*((2054-2022)/I32)^3)))</f>
        <v>0.00513955321412436</v>
      </c>
      <c r="AS32" s="30" t="n">
        <f aca="false">AR32*(1-IF((2055-2022)/I32&gt;=1,J32,H32+(J32-H32)*(3*((2055-2022)/I32)^2-2*((2055-2022)/I32)^3)))</f>
        <v>0.00506245991591249</v>
      </c>
      <c r="AT32" s="30" t="n">
        <f aca="false">AS32*(1-IF((2056-2022)/I32&gt;=1,J32,H32+(J32-H32)*(3*((2056-2022)/I32)^2-2*((2056-2022)/I32)^3)))</f>
        <v>0.00498652301717381</v>
      </c>
      <c r="AU32" s="30" t="n">
        <f aca="false">AT32*(1-IF((2057-2022)/I32&gt;=1,J32,H32+(J32-H32)*(3*((2057-2022)/I32)^2-2*((2057-2022)/I32)^3)))</f>
        <v>0.0049117251719162</v>
      </c>
      <c r="AV32" s="30" t="n">
        <f aca="false">AU32*(1-IF((2058-2022)/I32&gt;=1,J32,H32+(J32-H32)*(3*((2058-2022)/I32)^2-2*((2058-2022)/I32)^3)))</f>
        <v>0.00483804929433746</v>
      </c>
      <c r="AW32" s="30" t="n">
        <f aca="false">AV32*(1-IF((2059-2022)/I32&gt;=1,J32,H32+(J32-H32)*(3*((2059-2022)/I32)^2-2*((2059-2022)/I32)^3)))</f>
        <v>0.0047654785549224</v>
      </c>
      <c r="AX32" s="30" t="n">
        <f aca="false">AW32*(1-IF((2060-2022)/I32&gt;=1,J32,H32+(J32-H32)*(3*((2060-2022)/I32)^2-2*((2060-2022)/I32)^3)))</f>
        <v>0.00469399637659856</v>
      </c>
      <c r="AY32" s="30" t="n">
        <f aca="false">AX32*(1-IF((2061-2022)/I32&gt;=1,J32,H32+(J32-H32)*(3*((2061-2022)/I32)^2-2*((2061-2022)/I32)^3)))</f>
        <v>0.00462358643094958</v>
      </c>
      <c r="AZ32" s="30" t="n">
        <f aca="false">AY32*(1-IF((2062-2022)/I32&gt;=1,J32,H32+(J32-H32)*(3*((2062-2022)/I32)^2-2*((2062-2022)/I32)^3)))</f>
        <v>0.00455423263448534</v>
      </c>
      <c r="BA32" s="30" t="n">
        <f aca="false">AZ32*(1-IF((2063-2022)/I32&gt;=1,J32,H32+(J32-H32)*(3*((2063-2022)/I32)^2-2*((2063-2022)/I32)^3)))</f>
        <v>0.00448591914496806</v>
      </c>
      <c r="BB32" s="30" t="n">
        <f aca="false">BA32*(1-IF((2064-2022)/I32&gt;=1,J32,H32+(J32-H32)*(3*((2064-2022)/I32)^2-2*((2064-2022)/I32)^3)))</f>
        <v>0.00441863035779353</v>
      </c>
      <c r="BC32" s="30" t="n">
        <f aca="false">BB32*(1-IF((2065-2022)/I32&gt;=1,J32,H32+(J32-H32)*(3*((2065-2022)/I32)^2-2*((2065-2022)/I32)^3)))</f>
        <v>0.00435235090242663</v>
      </c>
      <c r="BD32" s="30" t="n">
        <f aca="false">BC32*(1-IF((2066-2022)/I32&gt;=1,J32,H32+(J32-H32)*(3*((2066-2022)/I32)^2-2*((2066-2022)/I32)^3)))</f>
        <v>0.00428706563889023</v>
      </c>
      <c r="BE32" s="30" t="n">
        <f aca="false">BD32*(1-IF((2067-2022)/I32&gt;=1,J32,H32+(J32-H32)*(3*((2067-2022)/I32)^2-2*((2067-2022)/I32)^3)))</f>
        <v>0.00422275965430688</v>
      </c>
      <c r="BF32" s="30" t="n">
        <f aca="false">BE32*(1-IF((2068-2022)/I32&gt;=1,J32,H32+(J32-H32)*(3*((2068-2022)/I32)^2-2*((2068-2022)/I32)^3)))</f>
        <v>0.00415941825949228</v>
      </c>
      <c r="BG32" s="30" t="n">
        <f aca="false">BF32*(1-IF((2069-2022)/I32&gt;=1,J32,H32+(J32-H32)*(3*((2069-2022)/I32)^2-2*((2069-2022)/I32)^3)))</f>
        <v>0.00409702698559989</v>
      </c>
      <c r="BH32" s="30" t="n">
        <f aca="false">BG32*(1-IF((2070-2022)/I32&gt;=1,J32,H32+(J32-H32)*(3*((2070-2022)/I32)^2-2*((2070-2022)/I32)^3)))</f>
        <v>0.00403557158081589</v>
      </c>
      <c r="BI32" s="30" t="n">
        <f aca="false">BH32*(1-IF((2071-2022)/I32&gt;=1,J32,H32+(J32-H32)*(3*((2071-2022)/I32)^2-2*((2071-2022)/I32)^3)))</f>
        <v>0.00397503800710366</v>
      </c>
      <c r="BJ32" s="30" t="n">
        <f aca="false">BI32*(1-IF((2072-2022)/I32&gt;=1,J32,H32+(J32-H32)*(3*((2072-2022)/I32)^2-2*((2072-2022)/I32)^3)))</f>
        <v>0.0039154124369971</v>
      </c>
      <c r="BK32" s="30" t="n">
        <f aca="false">BJ32*(1-IF((2073-2022)/I32&gt;=1,J32,H32+(J32-H32)*(3*((2073-2022)/I32)^2-2*((2073-2022)/I32)^3)))</f>
        <v>0.00385668125044214</v>
      </c>
      <c r="BL32" s="30" t="n">
        <f aca="false">BK32*(1-IF((2074-2022)/I32&gt;=1,J32,H32+(J32-H32)*(3*((2074-2022)/I32)^2-2*((2074-2022)/I32)^3)))</f>
        <v>0.00379883103168551</v>
      </c>
      <c r="BM32" s="30" t="n">
        <f aca="false">BL32*(1-IF((2075-2022)/I32&gt;=1,J32,H32+(J32-H32)*(3*((2075-2022)/I32)^2-2*((2075-2022)/I32)^3)))</f>
        <v>0.00374184856621023</v>
      </c>
      <c r="BN32" s="30" t="n">
        <f aca="false">BM32*(1-IF((2076-2022)/I32&gt;=1,J32,H32+(J32-H32)*(3*((2076-2022)/I32)^2-2*((2076-2022)/I32)^3)))</f>
        <v>0.00368572083771708</v>
      </c>
      <c r="BO32" s="30" t="n">
        <f aca="false">BN32*(1-IF((2077-2022)/I32&gt;=1,J32,H32+(J32-H32)*(3*((2077-2022)/I32)^2-2*((2077-2022)/I32)^3)))</f>
        <v>0.00363043502515132</v>
      </c>
      <c r="BP32" s="30" t="n">
        <f aca="false">BO32*(1-IF((2078-2022)/I32&gt;=1,J32,H32+(J32-H32)*(3*((2078-2022)/I32)^2-2*((2078-2022)/I32)^3)))</f>
        <v>0.00357597849977405</v>
      </c>
      <c r="BQ32" s="30" t="n">
        <f aca="false">BP32*(1-IF((2079-2022)/I32&gt;=1,J32,H32+(J32-H32)*(3*((2079-2022)/I32)^2-2*((2079-2022)/I32)^3)))</f>
        <v>0.00352233882227744</v>
      </c>
      <c r="BR32" s="30" t="n">
        <f aca="false">BQ32*(1-IF((2080-2022)/I32&gt;=1,J32,H32+(J32-H32)*(3*((2080-2022)/I32)^2-2*((2080-2022)/I32)^3)))</f>
        <v>0.00346950373994328</v>
      </c>
      <c r="BS32" s="30" t="n">
        <f aca="false">BR32*(1-IF((2081-2022)/I32&gt;=1,J32,H32+(J32-H32)*(3*((2081-2022)/I32)^2-2*((2081-2022)/I32)^3)))</f>
        <v>0.00341746118384413</v>
      </c>
      <c r="BT32" s="30" t="n">
        <f aca="false">BS32*(1-IF((2082-2022)/I32&gt;=1,J32,H32+(J32-H32)*(3*((2082-2022)/I32)^2-2*((2082-2022)/I32)^3)))</f>
        <v>0.00336619926608647</v>
      </c>
      <c r="BU32" s="30" t="n">
        <f aca="false">BT32*(1-IF((2083-2022)/I32&gt;=1,J32,H32+(J32-H32)*(3*((2083-2022)/I32)^2-2*((2083-2022)/I32)^3)))</f>
        <v>0.00331570627709517</v>
      </c>
      <c r="BV32" s="30" t="n">
        <f aca="false">BU32*(1-IF((2084-2022)/I32&gt;=1,J32,H32+(J32-H32)*(3*((2084-2022)/I32)^2-2*((2084-2022)/I32)^3)))</f>
        <v>0.00326597068293874</v>
      </c>
      <c r="BW32" s="30" t="n">
        <f aca="false">BV32*(1-IF((2085-2022)/I32&gt;=1,J32,H32+(J32-H32)*(3*((2085-2022)/I32)^2-2*((2085-2022)/I32)^3)))</f>
        <v>0.00321698112269466</v>
      </c>
      <c r="BX32" s="30" t="n">
        <f aca="false">BW32*(1-IF((2086-2022)/I32&gt;=1,J32,H32+(J32-H32)*(3*((2086-2022)/I32)^2-2*((2086-2022)/I32)^3)))</f>
        <v>0.00316872640585424</v>
      </c>
      <c r="BY32" s="30" t="n">
        <f aca="false">BX32*(1-IF((2087-2022)/I32&gt;=1,J32,H32+(J32-H32)*(3*((2087-2022)/I32)^2-2*((2087-2022)/I32)^3)))</f>
        <v>0.00312119550976643</v>
      </c>
      <c r="BZ32" s="30" t="n">
        <f aca="false">BY32*(1-IF((2088-2022)/I32&gt;=1,J32,H32+(J32-H32)*(3*((2088-2022)/I32)^2-2*((2088-2022)/I32)^3)))</f>
        <v>0.00307437757711993</v>
      </c>
      <c r="CA32" s="30" t="n">
        <f aca="false">BZ32*(1-IF((2089-2022)/I32&gt;=1,J32,H32+(J32-H32)*(3*((2089-2022)/I32)^2-2*((2089-2022)/I32)^3)))</f>
        <v>0.00302826191346313</v>
      </c>
      <c r="CB32" s="30" t="n">
        <f aca="false">CA32*(1-IF((2090-2022)/I32&gt;=1,J32,H32+(J32-H32)*(3*((2090-2022)/I32)^2-2*((2090-2022)/I32)^3)))</f>
        <v>0.00298283798476118</v>
      </c>
      <c r="CC32" s="30" t="n">
        <f aca="false">CB32*(1-IF((2091-2022)/I32&gt;=1,J32,H32+(J32-H32)*(3*((2091-2022)/I32)^2-2*((2091-2022)/I32)^3)))</f>
        <v>0.00293809541498977</v>
      </c>
    </row>
    <row r="33" customFormat="false" ht="15" hidden="false" customHeight="true" outlineLevel="0" collapsed="false">
      <c r="A33" s="3" t="n">
        <v>70</v>
      </c>
      <c r="B33" s="30" t="n">
        <f aca="false">IF($A33&lt;=105,INDEX(ILT17_Source!$D$7:$D$52,MATCH($A33,ILT17_Source!$A$7:$A$52,0)),($B$16*EXP($B$17*$A33))/(1+$B$16*EXP($B$17*$A33)))</f>
        <v>0.015453715</v>
      </c>
      <c r="C33" s="31" t="n">
        <f aca="false">LOOKUP($A33,{60,65,70,75,80,85,90,95},{0.78,0.82,0.85,0.88,0.91,0.94,0.97,1})</f>
        <v>0.85</v>
      </c>
      <c r="D33" s="30" t="n">
        <f aca="false">B33*C33</f>
        <v>0.01313565775</v>
      </c>
      <c r="E33" s="30" t="n">
        <f aca="false">1/(1+EXP(-(($B$6+$B$8*(2016-2022))+($B$7+$B$9*(2016-2022))*($A33-$B$10))))</f>
        <v>0.0187053333325592</v>
      </c>
      <c r="F33" s="30" t="n">
        <f aca="false">1/(1+EXP(-(($B$6+$B$8*(2021-2022))+($B$7+$B$9*(2021-2022))*($A33-$B$10))))</f>
        <v>0.016603843646426</v>
      </c>
      <c r="G33" s="30" t="n">
        <f aca="false">1/(1+EXP(-(($B$6+$B$8*(2022-2022))+($B$7+$B$9*(2022-2022))*($A33-$B$10))))</f>
        <v>0.0162122892955644</v>
      </c>
      <c r="H33" s="32" t="n">
        <f aca="false">(F33-G33)/F33</f>
        <v>0.0235821511693076</v>
      </c>
      <c r="I33" s="38" t="n">
        <f aca="false">IF($A33&lt;=50,$B$14,IF($A33&gt;=95,$B$15,$B$14+($B$15-$B$14)*($A33-50)/(95-50)))</f>
        <v>13.3333333333333</v>
      </c>
      <c r="J33" s="39" t="n">
        <f aca="false">IF($A33&lt;=$B$12,$B$11,IF($A33&gt;=$B$13,0,$B$11*($B$13-$A33)/($B$13-$B$12)))</f>
        <v>0.015</v>
      </c>
      <c r="K33" s="30" t="n">
        <f aca="false">D33*G33/E33</f>
        <v>0.0113849392440304</v>
      </c>
      <c r="L33" s="30" t="n">
        <f aca="false">K33*$B$19</f>
        <v>0.0102464453196273</v>
      </c>
      <c r="M33" s="30" t="n">
        <f aca="false">L33*(1-IF((2023-2022)/I33&gt;=1,J33,H33+(J33-H33)*(3*((2023-2022)/I33)^2-2*((2023-2022)/I33)^3)))</f>
        <v>0.0100062218298517</v>
      </c>
      <c r="N33" s="30" t="n">
        <f aca="false">M33*(1-IF((2024-2022)/I33&gt;=1,J33,H33+(J33-H33)*(3*((2024-2022)/I33)^2-2*((2024-2022)/I33)^3)))</f>
        <v>0.00977547049471043</v>
      </c>
      <c r="O33" s="30" t="n">
        <f aca="false">N33*(1-IF((2025-2022)/I33&gt;=1,J33,H33+(J33-H33)*(3*((2025-2022)/I33)^2-2*((2025-2022)/I33)^3)))</f>
        <v>0.00955577413582282</v>
      </c>
      <c r="P33" s="30" t="n">
        <f aca="false">O33*(1-IF((2026-2022)/I33&gt;=1,J33,H33+(J33-H33)*(3*((2026-2022)/I33)^2-2*((2026-2022)/I33)^3)))</f>
        <v>0.00934814239081754</v>
      </c>
      <c r="Q33" s="30" t="n">
        <f aca="false">P33*(1-IF((2027-2022)/I33&gt;=1,J33,H33+(J33-H33)*(3*((2027-2022)/I33)^2-2*((2027-2022)/I33)^3)))</f>
        <v>0.00915307746217681</v>
      </c>
      <c r="R33" s="30" t="n">
        <f aca="false">Q33*(1-IF((2028-2022)/I33&gt;=1,J33,H33+(J33-H33)*(3*((2028-2022)/I33)^2-2*((2028-2022)/I33)^3)))</f>
        <v>0.00897063290921202</v>
      </c>
      <c r="S33" s="30" t="n">
        <f aca="false">R33*(1-IF((2029-2022)/I33&gt;=1,J33,H33+(J33-H33)*(3*((2029-2022)/I33)^2-2*((2029-2022)/I33)^3)))</f>
        <v>0.00880046437065341</v>
      </c>
      <c r="T33" s="30" t="n">
        <f aca="false">S33*(1-IF((2030-2022)/I33&gt;=1,J33,H33+(J33-H33)*(3*((2030-2022)/I33)^2-2*((2030-2022)/I33)^3)))</f>
        <v>0.00864187193080626</v>
      </c>
      <c r="U33" s="30" t="n">
        <f aca="false">T33*(1-IF((2031-2022)/I33&gt;=1,J33,H33+(J33-H33)*(3*((2031-2022)/I33)^2-2*((2031-2022)/I33)^3)))</f>
        <v>0.0084938344969428</v>
      </c>
      <c r="V33" s="30" t="n">
        <f aca="false">U33*(1-IF((2032-2022)/I33&gt;=1,J33,H33+(J33-H33)*(3*((2032-2022)/I33)^2-2*((2032-2022)/I33)^3)))</f>
        <v>0.0083550370776668</v>
      </c>
      <c r="W33" s="30" t="n">
        <f aca="false">V33*(1-IF((2033-2022)/I33&gt;=1,J33,H33+(J33-H33)*(3*((2033-2022)/I33)^2-2*((2033-2022)/I33)^3)))</f>
        <v>0.00822389227823264</v>
      </c>
      <c r="X33" s="30" t="n">
        <f aca="false">W33*(1-IF((2034-2022)/I33&gt;=1,J33,H33+(J33-H33)*(3*((2034-2022)/I33)^2-2*((2034-2022)/I33)^3)))</f>
        <v>0.00809855769083066</v>
      </c>
      <c r="Y33" s="30" t="n">
        <f aca="false">X33*(1-IF((2035-2022)/I33&gt;=1,J33,H33+(J33-H33)*(3*((2035-2022)/I33)^2-2*((2035-2022)/I33)^3)))</f>
        <v>0.00797695117922648</v>
      </c>
      <c r="Z33" s="30" t="n">
        <f aca="false">Y33*(1-IF((2036-2022)/I33&gt;=1,J33,H33+(J33-H33)*(3*((2036-2022)/I33)^2-2*((2036-2022)/I33)^3)))</f>
        <v>0.00785729691153808</v>
      </c>
      <c r="AA33" s="30" t="n">
        <f aca="false">Z33*(1-IF((2037-2022)/I33&gt;=1,J33,H33+(J33-H33)*(3*((2037-2022)/I33)^2-2*((2037-2022)/I33)^3)))</f>
        <v>0.00773943745786501</v>
      </c>
      <c r="AB33" s="30" t="n">
        <f aca="false">AA33*(1-IF((2038-2022)/I33&gt;=1,J33,H33+(J33-H33)*(3*((2038-2022)/I33)^2-2*((2038-2022)/I33)^3)))</f>
        <v>0.00762334589599703</v>
      </c>
      <c r="AC33" s="30" t="n">
        <f aca="false">AB33*(1-IF((2039-2022)/I33&gt;=1,J33,H33+(J33-H33)*(3*((2039-2022)/I33)^2-2*((2039-2022)/I33)^3)))</f>
        <v>0.00750899570755708</v>
      </c>
      <c r="AD33" s="30" t="n">
        <f aca="false">AC33*(1-IF((2040-2022)/I33&gt;=1,J33,H33+(J33-H33)*(3*((2040-2022)/I33)^2-2*((2040-2022)/I33)^3)))</f>
        <v>0.00739636077194372</v>
      </c>
      <c r="AE33" s="30" t="n">
        <f aca="false">AD33*(1-IF((2041-2022)/I33&gt;=1,J33,H33+(J33-H33)*(3*((2041-2022)/I33)^2-2*((2041-2022)/I33)^3)))</f>
        <v>0.00728541536036457</v>
      </c>
      <c r="AF33" s="30" t="n">
        <f aca="false">AE33*(1-IF((2042-2022)/I33&gt;=1,J33,H33+(J33-H33)*(3*((2042-2022)/I33)^2-2*((2042-2022)/I33)^3)))</f>
        <v>0.0071761341299591</v>
      </c>
      <c r="AG33" s="30" t="n">
        <f aca="false">AF33*(1-IF((2043-2022)/I33&gt;=1,J33,H33+(J33-H33)*(3*((2043-2022)/I33)^2-2*((2043-2022)/I33)^3)))</f>
        <v>0.00706849211800971</v>
      </c>
      <c r="AH33" s="30" t="n">
        <f aca="false">AG33*(1-IF((2044-2022)/I33&gt;=1,J33,H33+(J33-H33)*(3*((2044-2022)/I33)^2-2*((2044-2022)/I33)^3)))</f>
        <v>0.00696246473623957</v>
      </c>
      <c r="AI33" s="30" t="n">
        <f aca="false">AH33*(1-IF((2045-2022)/I33&gt;=1,J33,H33+(J33-H33)*(3*((2045-2022)/I33)^2-2*((2045-2022)/I33)^3)))</f>
        <v>0.00685802776519597</v>
      </c>
      <c r="AJ33" s="30" t="n">
        <f aca="false">AI33*(1-IF((2046-2022)/I33&gt;=1,J33,H33+(J33-H33)*(3*((2046-2022)/I33)^2-2*((2046-2022)/I33)^3)))</f>
        <v>0.00675515734871803</v>
      </c>
      <c r="AK33" s="30" t="n">
        <f aca="false">AJ33*(1-IF((2047-2022)/I33&gt;=1,J33,H33+(J33-H33)*(3*((2047-2022)/I33)^2-2*((2047-2022)/I33)^3)))</f>
        <v>0.00665382998848726</v>
      </c>
      <c r="AL33" s="30" t="n">
        <f aca="false">AK33*(1-IF((2048-2022)/I33&gt;=1,J33,H33+(J33-H33)*(3*((2048-2022)/I33)^2-2*((2048-2022)/I33)^3)))</f>
        <v>0.00655402253865995</v>
      </c>
      <c r="AM33" s="30" t="n">
        <f aca="false">AL33*(1-IF((2049-2022)/I33&gt;=1,J33,H33+(J33-H33)*(3*((2049-2022)/I33)^2-2*((2049-2022)/I33)^3)))</f>
        <v>0.00645571220058005</v>
      </c>
      <c r="AN33" s="30" t="n">
        <f aca="false">AM33*(1-IF((2050-2022)/I33&gt;=1,J33,H33+(J33-H33)*(3*((2050-2022)/I33)^2-2*((2050-2022)/I33)^3)))</f>
        <v>0.00635887651757135</v>
      </c>
      <c r="AO33" s="30" t="n">
        <f aca="false">AN33*(1-IF((2051-2022)/I33&gt;=1,J33,H33+(J33-H33)*(3*((2051-2022)/I33)^2-2*((2051-2022)/I33)^3)))</f>
        <v>0.00626349336980778</v>
      </c>
      <c r="AP33" s="30" t="n">
        <f aca="false">AO33*(1-IF((2052-2022)/I33&gt;=1,J33,H33+(J33-H33)*(3*((2052-2022)/I33)^2-2*((2052-2022)/I33)^3)))</f>
        <v>0.00616954096926067</v>
      </c>
      <c r="AQ33" s="30" t="n">
        <f aca="false">AP33*(1-IF((2053-2022)/I33&gt;=1,J33,H33+(J33-H33)*(3*((2053-2022)/I33)^2-2*((2053-2022)/I33)^3)))</f>
        <v>0.00607699785472176</v>
      </c>
      <c r="AR33" s="30" t="n">
        <f aca="false">AQ33*(1-IF((2054-2022)/I33&gt;=1,J33,H33+(J33-H33)*(3*((2054-2022)/I33)^2-2*((2054-2022)/I33)^3)))</f>
        <v>0.00598584288690093</v>
      </c>
      <c r="AS33" s="30" t="n">
        <f aca="false">AR33*(1-IF((2055-2022)/I33&gt;=1,J33,H33+(J33-H33)*(3*((2055-2022)/I33)^2-2*((2055-2022)/I33)^3)))</f>
        <v>0.00589605524359742</v>
      </c>
      <c r="AT33" s="30" t="n">
        <f aca="false">AS33*(1-IF((2056-2022)/I33&gt;=1,J33,H33+(J33-H33)*(3*((2056-2022)/I33)^2-2*((2056-2022)/I33)^3)))</f>
        <v>0.00580761441494346</v>
      </c>
      <c r="AU33" s="30" t="n">
        <f aca="false">AT33*(1-IF((2057-2022)/I33&gt;=1,J33,H33+(J33-H33)*(3*((2057-2022)/I33)^2-2*((2057-2022)/I33)^3)))</f>
        <v>0.0057205001987193</v>
      </c>
      <c r="AV33" s="30" t="n">
        <f aca="false">AU33*(1-IF((2058-2022)/I33&gt;=1,J33,H33+(J33-H33)*(3*((2058-2022)/I33)^2-2*((2058-2022)/I33)^3)))</f>
        <v>0.00563469269573851</v>
      </c>
      <c r="AW33" s="30" t="n">
        <f aca="false">AV33*(1-IF((2059-2022)/I33&gt;=1,J33,H33+(J33-H33)*(3*((2059-2022)/I33)^2-2*((2059-2022)/I33)^3)))</f>
        <v>0.00555017230530244</v>
      </c>
      <c r="AX33" s="30" t="n">
        <f aca="false">AW33*(1-IF((2060-2022)/I33&gt;=1,J33,H33+(J33-H33)*(3*((2060-2022)/I33)^2-2*((2060-2022)/I33)^3)))</f>
        <v>0.0054669197207229</v>
      </c>
      <c r="AY33" s="30" t="n">
        <f aca="false">AX33*(1-IF((2061-2022)/I33&gt;=1,J33,H33+(J33-H33)*(3*((2061-2022)/I33)^2-2*((2061-2022)/I33)^3)))</f>
        <v>0.00538491592491206</v>
      </c>
      <c r="AZ33" s="30" t="n">
        <f aca="false">AY33*(1-IF((2062-2022)/I33&gt;=1,J33,H33+(J33-H33)*(3*((2062-2022)/I33)^2-2*((2062-2022)/I33)^3)))</f>
        <v>0.00530414218603838</v>
      </c>
      <c r="BA33" s="30" t="n">
        <f aca="false">AZ33*(1-IF((2063-2022)/I33&gt;=1,J33,H33+(J33-H33)*(3*((2063-2022)/I33)^2-2*((2063-2022)/I33)^3)))</f>
        <v>0.0052245800532478</v>
      </c>
      <c r="BB33" s="30" t="n">
        <f aca="false">BA33*(1-IF((2064-2022)/I33&gt;=1,J33,H33+(J33-H33)*(3*((2064-2022)/I33)^2-2*((2064-2022)/I33)^3)))</f>
        <v>0.00514621135244908</v>
      </c>
      <c r="BC33" s="30" t="n">
        <f aca="false">BB33*(1-IF((2065-2022)/I33&gt;=1,J33,H33+(J33-H33)*(3*((2065-2022)/I33)^2-2*((2065-2022)/I33)^3)))</f>
        <v>0.00506901818216235</v>
      </c>
      <c r="BD33" s="30" t="n">
        <f aca="false">BC33*(1-IF((2066-2022)/I33&gt;=1,J33,H33+(J33-H33)*(3*((2066-2022)/I33)^2-2*((2066-2022)/I33)^3)))</f>
        <v>0.00499298290942991</v>
      </c>
      <c r="BE33" s="30" t="n">
        <f aca="false">BD33*(1-IF((2067-2022)/I33&gt;=1,J33,H33+(J33-H33)*(3*((2067-2022)/I33)^2-2*((2067-2022)/I33)^3)))</f>
        <v>0.00491808816578846</v>
      </c>
      <c r="BF33" s="30" t="n">
        <f aca="false">BE33*(1-IF((2068-2022)/I33&gt;=1,J33,H33+(J33-H33)*(3*((2068-2022)/I33)^2-2*((2068-2022)/I33)^3)))</f>
        <v>0.00484431684330164</v>
      </c>
      <c r="BG33" s="30" t="n">
        <f aca="false">BF33*(1-IF((2069-2022)/I33&gt;=1,J33,H33+(J33-H33)*(3*((2069-2022)/I33)^2-2*((2069-2022)/I33)^3)))</f>
        <v>0.00477165209065211</v>
      </c>
      <c r="BH33" s="30" t="n">
        <f aca="false">BG33*(1-IF((2070-2022)/I33&gt;=1,J33,H33+(J33-H33)*(3*((2070-2022)/I33)^2-2*((2070-2022)/I33)^3)))</f>
        <v>0.00470007730929233</v>
      </c>
      <c r="BI33" s="30" t="n">
        <f aca="false">BH33*(1-IF((2071-2022)/I33&gt;=1,J33,H33+(J33-H33)*(3*((2071-2022)/I33)^2-2*((2071-2022)/I33)^3)))</f>
        <v>0.00462957614965294</v>
      </c>
      <c r="BJ33" s="30" t="n">
        <f aca="false">BI33*(1-IF((2072-2022)/I33&gt;=1,J33,H33+(J33-H33)*(3*((2072-2022)/I33)^2-2*((2072-2022)/I33)^3)))</f>
        <v>0.00456013250740815</v>
      </c>
      <c r="BK33" s="30" t="n">
        <f aca="false">BJ33*(1-IF((2073-2022)/I33&gt;=1,J33,H33+(J33-H33)*(3*((2073-2022)/I33)^2-2*((2073-2022)/I33)^3)))</f>
        <v>0.00449173051979703</v>
      </c>
      <c r="BL33" s="30" t="n">
        <f aca="false">BK33*(1-IF((2074-2022)/I33&gt;=1,J33,H33+(J33-H33)*(3*((2074-2022)/I33)^2-2*((2074-2022)/I33)^3)))</f>
        <v>0.00442435456200007</v>
      </c>
      <c r="BM33" s="30" t="n">
        <f aca="false">BL33*(1-IF((2075-2022)/I33&gt;=1,J33,H33+(J33-H33)*(3*((2075-2022)/I33)^2-2*((2075-2022)/I33)^3)))</f>
        <v>0.00435798924357007</v>
      </c>
      <c r="BN33" s="30" t="n">
        <f aca="false">BM33*(1-IF((2076-2022)/I33&gt;=1,J33,H33+(J33-H33)*(3*((2076-2022)/I33)^2-2*((2076-2022)/I33)^3)))</f>
        <v>0.00429261940491652</v>
      </c>
      <c r="BO33" s="30" t="n">
        <f aca="false">BN33*(1-IF((2077-2022)/I33&gt;=1,J33,H33+(J33-H33)*(3*((2077-2022)/I33)^2-2*((2077-2022)/I33)^3)))</f>
        <v>0.00422823011384277</v>
      </c>
      <c r="BP33" s="30" t="n">
        <f aca="false">BO33*(1-IF((2078-2022)/I33&gt;=1,J33,H33+(J33-H33)*(3*((2078-2022)/I33)^2-2*((2078-2022)/I33)^3)))</f>
        <v>0.00416480666213513</v>
      </c>
      <c r="BQ33" s="30" t="n">
        <f aca="false">BP33*(1-IF((2079-2022)/I33&gt;=1,J33,H33+(J33-H33)*(3*((2079-2022)/I33)^2-2*((2079-2022)/I33)^3)))</f>
        <v>0.0041023345622031</v>
      </c>
      <c r="BR33" s="30" t="n">
        <f aca="false">BQ33*(1-IF((2080-2022)/I33&gt;=1,J33,H33+(J33-H33)*(3*((2080-2022)/I33)^2-2*((2080-2022)/I33)^3)))</f>
        <v>0.00404079954377006</v>
      </c>
      <c r="BS33" s="30" t="n">
        <f aca="false">BR33*(1-IF((2081-2022)/I33&gt;=1,J33,H33+(J33-H33)*(3*((2081-2022)/I33)^2-2*((2081-2022)/I33)^3)))</f>
        <v>0.00398018755061351</v>
      </c>
      <c r="BT33" s="30" t="n">
        <f aca="false">BS33*(1-IF((2082-2022)/I33&gt;=1,J33,H33+(J33-H33)*(3*((2082-2022)/I33)^2-2*((2082-2022)/I33)^3)))</f>
        <v>0.0039204847373543</v>
      </c>
      <c r="BU33" s="30" t="n">
        <f aca="false">BT33*(1-IF((2083-2022)/I33&gt;=1,J33,H33+(J33-H33)*(3*((2083-2022)/I33)^2-2*((2083-2022)/I33)^3)))</f>
        <v>0.00386167746629399</v>
      </c>
      <c r="BV33" s="30" t="n">
        <f aca="false">BU33*(1-IF((2084-2022)/I33&gt;=1,J33,H33+(J33-H33)*(3*((2084-2022)/I33)^2-2*((2084-2022)/I33)^3)))</f>
        <v>0.00380375230429958</v>
      </c>
      <c r="BW33" s="30" t="n">
        <f aca="false">BV33*(1-IF((2085-2022)/I33&gt;=1,J33,H33+(J33-H33)*(3*((2085-2022)/I33)^2-2*((2085-2022)/I33)^3)))</f>
        <v>0.00374669601973508</v>
      </c>
      <c r="BX33" s="30" t="n">
        <f aca="false">BW33*(1-IF((2086-2022)/I33&gt;=1,J33,H33+(J33-H33)*(3*((2086-2022)/I33)^2-2*((2086-2022)/I33)^3)))</f>
        <v>0.00369049557943906</v>
      </c>
      <c r="BY33" s="30" t="n">
        <f aca="false">BX33*(1-IF((2087-2022)/I33&gt;=1,J33,H33+(J33-H33)*(3*((2087-2022)/I33)^2-2*((2087-2022)/I33)^3)))</f>
        <v>0.00363513814574747</v>
      </c>
      <c r="BZ33" s="30" t="n">
        <f aca="false">BY33*(1-IF((2088-2022)/I33&gt;=1,J33,H33+(J33-H33)*(3*((2088-2022)/I33)^2-2*((2088-2022)/I33)^3)))</f>
        <v>0.00358061107356126</v>
      </c>
      <c r="CA33" s="30" t="n">
        <f aca="false">BZ33*(1-IF((2089-2022)/I33&gt;=1,J33,H33+(J33-H33)*(3*((2089-2022)/I33)^2-2*((2089-2022)/I33)^3)))</f>
        <v>0.00352690190745784</v>
      </c>
      <c r="CB33" s="30" t="n">
        <f aca="false">CA33*(1-IF((2090-2022)/I33&gt;=1,J33,H33+(J33-H33)*(3*((2090-2022)/I33)^2-2*((2090-2022)/I33)^3)))</f>
        <v>0.00347399837884597</v>
      </c>
      <c r="CC33" s="30" t="n">
        <f aca="false">CB33*(1-IF((2091-2022)/I33&gt;=1,J33,H33+(J33-H33)*(3*((2091-2022)/I33)^2-2*((2091-2022)/I33)^3)))</f>
        <v>0.00342188840316328</v>
      </c>
    </row>
    <row r="34" customFormat="false" ht="15" hidden="false" customHeight="true" outlineLevel="0" collapsed="false">
      <c r="A34" s="3" t="n">
        <v>71</v>
      </c>
      <c r="B34" s="30" t="n">
        <f aca="false">IF($A34&lt;=105,INDEX(ILT17_Source!$D$7:$D$52,MATCH($A34,ILT17_Source!$A$7:$A$52,0)),($B$16*EXP($B$17*$A34))/(1+$B$16*EXP($B$17*$A34)))</f>
        <v>0.017239775</v>
      </c>
      <c r="C34" s="31" t="n">
        <f aca="false">LOOKUP($A34,{60,65,70,75,80,85,90,95},{0.78,0.82,0.85,0.88,0.91,0.94,0.97,1})</f>
        <v>0.85</v>
      </c>
      <c r="D34" s="30" t="n">
        <f aca="false">B34*C34</f>
        <v>0.01465380875</v>
      </c>
      <c r="E34" s="30" t="n">
        <f aca="false">1/(1+EXP(-(($B$6+$B$8*(2016-2022))+($B$7+$B$9*(2016-2022))*($A34-$B$10))))</f>
        <v>0.0208491239711885</v>
      </c>
      <c r="F34" s="30" t="n">
        <f aca="false">1/(1+EXP(-(($B$6+$B$8*(2021-2022))+($B$7+$B$9*(2021-2022))*($A34-$B$10))))</f>
        <v>0.0185610460697938</v>
      </c>
      <c r="G34" s="30" t="n">
        <f aca="false">1/(1+EXP(-(($B$6+$B$8*(2022-2022))+($B$7+$B$9*(2022-2022))*($A34-$B$10))))</f>
        <v>0.0181339163614775</v>
      </c>
      <c r="H34" s="32" t="n">
        <f aca="false">(F34-G34)/F34</f>
        <v>0.0230121571117377</v>
      </c>
      <c r="I34" s="38" t="n">
        <f aca="false">IF($A34&lt;=50,$B$14,IF($A34&gt;=95,$B$15,$B$14+($B$15-$B$14)*($A34-50)/(95-50)))</f>
        <v>13</v>
      </c>
      <c r="J34" s="39" t="n">
        <f aca="false">IF($A34&lt;=$B$12,$B$11,IF($A34&gt;=$B$13,0,$B$11*($B$13-$A34)/($B$13-$B$12)))</f>
        <v>0.015</v>
      </c>
      <c r="K34" s="30" t="n">
        <f aca="false">D34*G34/E34</f>
        <v>0.0127454248253693</v>
      </c>
      <c r="L34" s="30" t="n">
        <f aca="false">K34*$B$19</f>
        <v>0.0114708823428323</v>
      </c>
      <c r="M34" s="30" t="n">
        <f aca="false">L34*(1-IF((2023-2022)/I34&gt;=1,J34,H34+(J34-H34)*(3*((2023-2022)/I34)^2-2*((2023-2022)/I34)^3)))</f>
        <v>0.0112084604072217</v>
      </c>
      <c r="N34" s="30" t="n">
        <f aca="false">M34*(1-IF((2024-2022)/I34&gt;=1,J34,H34+(J34-H34)*(3*((2024-2022)/I34)^2-2*((2024-2022)/I34)^3)))</f>
        <v>0.0109562521554441</v>
      </c>
      <c r="O34" s="30" t="n">
        <f aca="false">N34*(1-IF((2025-2022)/I34&gt;=1,J34,H34+(J34-H34)*(3*((2025-2022)/I34)^2-2*((2025-2022)/I34)^3)))</f>
        <v>0.0107159920754848</v>
      </c>
      <c r="P34" s="30" t="n">
        <f aca="false">O34*(1-IF((2026-2022)/I34&gt;=1,J34,H34+(J34-H34)*(3*((2026-2022)/I34)^2-2*((2026-2022)/I34)^3)))</f>
        <v>0.0104887775385442</v>
      </c>
      <c r="Q34" s="30" t="n">
        <f aca="false">P34*(1-IF((2027-2022)/I34&gt;=1,J34,H34+(J34-H34)*(3*((2027-2022)/I34)^2-2*((2027-2022)/I34)^3)))</f>
        <v>0.010275140211477</v>
      </c>
      <c r="R34" s="30" t="n">
        <f aca="false">Q34*(1-IF((2028-2022)/I34&gt;=1,J34,H34+(J34-H34)*(3*((2028-2022)/I34)^2-2*((2028-2022)/I34)^3)))</f>
        <v>0.010075109878352</v>
      </c>
      <c r="S34" s="30" t="n">
        <f aca="false">R34*(1-IF((2029-2022)/I34&gt;=1,J34,H34+(J34-H34)*(3*((2029-2022)/I34)^2-2*((2029-2022)/I34)^3)))</f>
        <v>0.00988826948002108</v>
      </c>
      <c r="T34" s="30" t="n">
        <f aca="false">S34*(1-IF((2030-2022)/I34&gt;=1,J34,H34+(J34-H34)*(3*((2030-2022)/I34)^2-2*((2030-2022)/I34)^3)))</f>
        <v>0.00971380109678211</v>
      </c>
      <c r="U34" s="30" t="n">
        <f aca="false">T34*(1-IF((2031-2022)/I34&gt;=1,J34,H34+(J34-H34)*(3*((2031-2022)/I34)^2-2*((2031-2022)/I34)^3)))</f>
        <v>0.0095505233310051</v>
      </c>
      <c r="V34" s="30" t="n">
        <f aca="false">U34*(1-IF((2032-2022)/I34&gt;=1,J34,H34+(J34-H34)*(3*((2032-2022)/I34)^2-2*((2032-2022)/I34)^3)))</f>
        <v>0.0093969211355016</v>
      </c>
      <c r="W34" s="30" t="n">
        <f aca="false">V34*(1-IF((2033-2022)/I34&gt;=1,J34,H34+(J34-H34)*(3*((2033-2022)/I34)^2-2*((2033-2022)/I34)^3)))</f>
        <v>0.00925116961924714</v>
      </c>
      <c r="X34" s="30" t="n">
        <f aca="false">W34*(1-IF((2034-2022)/I34&gt;=1,J34,H34+(J34-H34)*(3*((2034-2022)/I34)^2-2*((2034-2022)/I34)^3)))</f>
        <v>0.00911115377841546</v>
      </c>
      <c r="Y34" s="30" t="n">
        <f aca="false">X34*(1-IF((2035-2022)/I34&gt;=1,J34,H34+(J34-H34)*(3*((2035-2022)/I34)^2-2*((2035-2022)/I34)^3)))</f>
        <v>0.00897448647173923</v>
      </c>
      <c r="Z34" s="30" t="n">
        <f aca="false">Y34*(1-IF((2036-2022)/I34&gt;=1,J34,H34+(J34-H34)*(3*((2036-2022)/I34)^2-2*((2036-2022)/I34)^3)))</f>
        <v>0.00883986917466315</v>
      </c>
      <c r="AA34" s="30" t="n">
        <f aca="false">Z34*(1-IF((2037-2022)/I34&gt;=1,J34,H34+(J34-H34)*(3*((2037-2022)/I34)^2-2*((2037-2022)/I34)^3)))</f>
        <v>0.0087072711370432</v>
      </c>
      <c r="AB34" s="30" t="n">
        <f aca="false">AA34*(1-IF((2038-2022)/I34&gt;=1,J34,H34+(J34-H34)*(3*((2038-2022)/I34)^2-2*((2038-2022)/I34)^3)))</f>
        <v>0.00857666206998755</v>
      </c>
      <c r="AC34" s="30" t="n">
        <f aca="false">AB34*(1-IF((2039-2022)/I34&gt;=1,J34,H34+(J34-H34)*(3*((2039-2022)/I34)^2-2*((2039-2022)/I34)^3)))</f>
        <v>0.00844801213893774</v>
      </c>
      <c r="AD34" s="30" t="n">
        <f aca="false">AC34*(1-IF((2040-2022)/I34&gt;=1,J34,H34+(J34-H34)*(3*((2040-2022)/I34)^2-2*((2040-2022)/I34)^3)))</f>
        <v>0.00832129195685367</v>
      </c>
      <c r="AE34" s="30" t="n">
        <f aca="false">AD34*(1-IF((2041-2022)/I34&gt;=1,J34,H34+(J34-H34)*(3*((2041-2022)/I34)^2-2*((2041-2022)/I34)^3)))</f>
        <v>0.00819647257750087</v>
      </c>
      <c r="AF34" s="30" t="n">
        <f aca="false">AE34*(1-IF((2042-2022)/I34&gt;=1,J34,H34+(J34-H34)*(3*((2042-2022)/I34)^2-2*((2042-2022)/I34)^3)))</f>
        <v>0.00807352548883835</v>
      </c>
      <c r="AG34" s="30" t="n">
        <f aca="false">AF34*(1-IF((2043-2022)/I34&gt;=1,J34,H34+(J34-H34)*(3*((2043-2022)/I34)^2-2*((2043-2022)/I34)^3)))</f>
        <v>0.00795242260650578</v>
      </c>
      <c r="AH34" s="30" t="n">
        <f aca="false">AG34*(1-IF((2044-2022)/I34&gt;=1,J34,H34+(J34-H34)*(3*((2044-2022)/I34)^2-2*((2044-2022)/I34)^3)))</f>
        <v>0.00783313626740819</v>
      </c>
      <c r="AI34" s="30" t="n">
        <f aca="false">AH34*(1-IF((2045-2022)/I34&gt;=1,J34,H34+(J34-H34)*(3*((2045-2022)/I34)^2-2*((2045-2022)/I34)^3)))</f>
        <v>0.00771563922339707</v>
      </c>
      <c r="AJ34" s="30" t="n">
        <f aca="false">AI34*(1-IF((2046-2022)/I34&gt;=1,J34,H34+(J34-H34)*(3*((2046-2022)/I34)^2-2*((2046-2022)/I34)^3)))</f>
        <v>0.00759990463504611</v>
      </c>
      <c r="AK34" s="30" t="n">
        <f aca="false">AJ34*(1-IF((2047-2022)/I34&gt;=1,J34,H34+(J34-H34)*(3*((2047-2022)/I34)^2-2*((2047-2022)/I34)^3)))</f>
        <v>0.00748590606552042</v>
      </c>
      <c r="AL34" s="30" t="n">
        <f aca="false">AK34*(1-IF((2048-2022)/I34&gt;=1,J34,H34+(J34-H34)*(3*((2048-2022)/I34)^2-2*((2048-2022)/I34)^3)))</f>
        <v>0.00737361747453762</v>
      </c>
      <c r="AM34" s="30" t="n">
        <f aca="false">AL34*(1-IF((2049-2022)/I34&gt;=1,J34,H34+(J34-H34)*(3*((2049-2022)/I34)^2-2*((2049-2022)/I34)^3)))</f>
        <v>0.00726301321241955</v>
      </c>
      <c r="AN34" s="30" t="n">
        <f aca="false">AM34*(1-IF((2050-2022)/I34&gt;=1,J34,H34+(J34-H34)*(3*((2050-2022)/I34)^2-2*((2050-2022)/I34)^3)))</f>
        <v>0.00715406801423326</v>
      </c>
      <c r="AO34" s="30" t="n">
        <f aca="false">AN34*(1-IF((2051-2022)/I34&gt;=1,J34,H34+(J34-H34)*(3*((2051-2022)/I34)^2-2*((2051-2022)/I34)^3)))</f>
        <v>0.00704675699401976</v>
      </c>
      <c r="AP34" s="30" t="n">
        <f aca="false">AO34*(1-IF((2052-2022)/I34&gt;=1,J34,H34+(J34-H34)*(3*((2052-2022)/I34)^2-2*((2052-2022)/I34)^3)))</f>
        <v>0.00694105563910946</v>
      </c>
      <c r="AQ34" s="30" t="n">
        <f aca="false">AP34*(1-IF((2053-2022)/I34&gt;=1,J34,H34+(J34-H34)*(3*((2053-2022)/I34)^2-2*((2053-2022)/I34)^3)))</f>
        <v>0.00683693980452282</v>
      </c>
      <c r="AR34" s="30" t="n">
        <f aca="false">AQ34*(1-IF((2054-2022)/I34&gt;=1,J34,H34+(J34-H34)*(3*((2054-2022)/I34)^2-2*((2054-2022)/I34)^3)))</f>
        <v>0.00673438570745498</v>
      </c>
      <c r="AS34" s="30" t="n">
        <f aca="false">AR34*(1-IF((2055-2022)/I34&gt;=1,J34,H34+(J34-H34)*(3*((2055-2022)/I34)^2-2*((2055-2022)/I34)^3)))</f>
        <v>0.00663336992184315</v>
      </c>
      <c r="AT34" s="30" t="n">
        <f aca="false">AS34*(1-IF((2056-2022)/I34&gt;=1,J34,H34+(J34-H34)*(3*((2056-2022)/I34)^2-2*((2056-2022)/I34)^3)))</f>
        <v>0.00653386937301551</v>
      </c>
      <c r="AU34" s="30" t="n">
        <f aca="false">AT34*(1-IF((2057-2022)/I34&gt;=1,J34,H34+(J34-H34)*(3*((2057-2022)/I34)^2-2*((2057-2022)/I34)^3)))</f>
        <v>0.00643586133242027</v>
      </c>
      <c r="AV34" s="30" t="n">
        <f aca="false">AU34*(1-IF((2058-2022)/I34&gt;=1,J34,H34+(J34-H34)*(3*((2058-2022)/I34)^2-2*((2058-2022)/I34)^3)))</f>
        <v>0.00633932341243397</v>
      </c>
      <c r="AW34" s="30" t="n">
        <f aca="false">AV34*(1-IF((2059-2022)/I34&gt;=1,J34,H34+(J34-H34)*(3*((2059-2022)/I34)^2-2*((2059-2022)/I34)^3)))</f>
        <v>0.00624423356124746</v>
      </c>
      <c r="AX34" s="30" t="n">
        <f aca="false">AW34*(1-IF((2060-2022)/I34&gt;=1,J34,H34+(J34-H34)*(3*((2060-2022)/I34)^2-2*((2060-2022)/I34)^3)))</f>
        <v>0.00615057005782875</v>
      </c>
      <c r="AY34" s="30" t="n">
        <f aca="false">AX34*(1-IF((2061-2022)/I34&gt;=1,J34,H34+(J34-H34)*(3*((2061-2022)/I34)^2-2*((2061-2022)/I34)^3)))</f>
        <v>0.00605831150696132</v>
      </c>
      <c r="AZ34" s="30" t="n">
        <f aca="false">AY34*(1-IF((2062-2022)/I34&gt;=1,J34,H34+(J34-H34)*(3*((2062-2022)/I34)^2-2*((2062-2022)/I34)^3)))</f>
        <v>0.0059674368343569</v>
      </c>
      <c r="BA34" s="30" t="n">
        <f aca="false">AZ34*(1-IF((2063-2022)/I34&gt;=1,J34,H34+(J34-H34)*(3*((2063-2022)/I34)^2-2*((2063-2022)/I34)^3)))</f>
        <v>0.00587792528184154</v>
      </c>
      <c r="BB34" s="30" t="n">
        <f aca="false">BA34*(1-IF((2064-2022)/I34&gt;=1,J34,H34+(J34-H34)*(3*((2064-2022)/I34)^2-2*((2064-2022)/I34)^3)))</f>
        <v>0.00578975640261392</v>
      </c>
      <c r="BC34" s="30" t="n">
        <f aca="false">BB34*(1-IF((2065-2022)/I34&gt;=1,J34,H34+(J34-H34)*(3*((2065-2022)/I34)^2-2*((2065-2022)/I34)^3)))</f>
        <v>0.00570291005657471</v>
      </c>
      <c r="BD34" s="30" t="n">
        <f aca="false">BC34*(1-IF((2066-2022)/I34&gt;=1,J34,H34+(J34-H34)*(3*((2066-2022)/I34)^2-2*((2066-2022)/I34)^3)))</f>
        <v>0.00561736640572609</v>
      </c>
      <c r="BE34" s="30" t="n">
        <f aca="false">BD34*(1-IF((2067-2022)/I34&gt;=1,J34,H34+(J34-H34)*(3*((2067-2022)/I34)^2-2*((2067-2022)/I34)^3)))</f>
        <v>0.0055331059096402</v>
      </c>
      <c r="BF34" s="30" t="n">
        <f aca="false">BE34*(1-IF((2068-2022)/I34&gt;=1,J34,H34+(J34-H34)*(3*((2068-2022)/I34)^2-2*((2068-2022)/I34)^3)))</f>
        <v>0.0054501093209956</v>
      </c>
      <c r="BG34" s="30" t="n">
        <f aca="false">BF34*(1-IF((2069-2022)/I34&gt;=1,J34,H34+(J34-H34)*(3*((2069-2022)/I34)^2-2*((2069-2022)/I34)^3)))</f>
        <v>0.00536835768118066</v>
      </c>
      <c r="BH34" s="30" t="n">
        <f aca="false">BG34*(1-IF((2070-2022)/I34&gt;=1,J34,H34+(J34-H34)*(3*((2070-2022)/I34)^2-2*((2070-2022)/I34)^3)))</f>
        <v>0.00528783231596295</v>
      </c>
      <c r="BI34" s="30" t="n">
        <f aca="false">BH34*(1-IF((2071-2022)/I34&gt;=1,J34,H34+(J34-H34)*(3*((2071-2022)/I34)^2-2*((2071-2022)/I34)^3)))</f>
        <v>0.00520851483122351</v>
      </c>
      <c r="BJ34" s="30" t="n">
        <f aca="false">BI34*(1-IF((2072-2022)/I34&gt;=1,J34,H34+(J34-H34)*(3*((2072-2022)/I34)^2-2*((2072-2022)/I34)^3)))</f>
        <v>0.00513038710875515</v>
      </c>
      <c r="BK34" s="30" t="n">
        <f aca="false">BJ34*(1-IF((2073-2022)/I34&gt;=1,J34,H34+(J34-H34)*(3*((2073-2022)/I34)^2-2*((2073-2022)/I34)^3)))</f>
        <v>0.00505343130212383</v>
      </c>
      <c r="BL34" s="30" t="n">
        <f aca="false">BK34*(1-IF((2074-2022)/I34&gt;=1,J34,H34+(J34-H34)*(3*((2074-2022)/I34)^2-2*((2074-2022)/I34)^3)))</f>
        <v>0.00497762983259197</v>
      </c>
      <c r="BM34" s="30" t="n">
        <f aca="false">BL34*(1-IF((2075-2022)/I34&gt;=1,J34,H34+(J34-H34)*(3*((2075-2022)/I34)^2-2*((2075-2022)/I34)^3)))</f>
        <v>0.00490296538510309</v>
      </c>
      <c r="BN34" s="30" t="n">
        <f aca="false">BM34*(1-IF((2076-2022)/I34&gt;=1,J34,H34+(J34-H34)*(3*((2076-2022)/I34)^2-2*((2076-2022)/I34)^3)))</f>
        <v>0.00482942090432654</v>
      </c>
      <c r="BO34" s="30" t="n">
        <f aca="false">BN34*(1-IF((2077-2022)/I34&gt;=1,J34,H34+(J34-H34)*(3*((2077-2022)/I34)^2-2*((2077-2022)/I34)^3)))</f>
        <v>0.00475697959076165</v>
      </c>
      <c r="BP34" s="30" t="n">
        <f aca="false">BO34*(1-IF((2078-2022)/I34&gt;=1,J34,H34+(J34-H34)*(3*((2078-2022)/I34)^2-2*((2078-2022)/I34)^3)))</f>
        <v>0.00468562489690022</v>
      </c>
      <c r="BQ34" s="30" t="n">
        <f aca="false">BP34*(1-IF((2079-2022)/I34&gt;=1,J34,H34+(J34-H34)*(3*((2079-2022)/I34)^2-2*((2079-2022)/I34)^3)))</f>
        <v>0.00461534052344672</v>
      </c>
      <c r="BR34" s="30" t="n">
        <f aca="false">BQ34*(1-IF((2080-2022)/I34&gt;=1,J34,H34+(J34-H34)*(3*((2080-2022)/I34)^2-2*((2080-2022)/I34)^3)))</f>
        <v>0.00454611041559502</v>
      </c>
      <c r="BS34" s="30" t="n">
        <f aca="false">BR34*(1-IF((2081-2022)/I34&gt;=1,J34,H34+(J34-H34)*(3*((2081-2022)/I34)^2-2*((2081-2022)/I34)^3)))</f>
        <v>0.00447791875936109</v>
      </c>
      <c r="BT34" s="30" t="n">
        <f aca="false">BS34*(1-IF((2082-2022)/I34&gt;=1,J34,H34+(J34-H34)*(3*((2082-2022)/I34)^2-2*((2082-2022)/I34)^3)))</f>
        <v>0.00441074997797067</v>
      </c>
      <c r="BU34" s="30" t="n">
        <f aca="false">BT34*(1-IF((2083-2022)/I34&gt;=1,J34,H34+(J34-H34)*(3*((2083-2022)/I34)^2-2*((2083-2022)/I34)^3)))</f>
        <v>0.00434458872830111</v>
      </c>
      <c r="BV34" s="30" t="n">
        <f aca="false">BU34*(1-IF((2084-2022)/I34&gt;=1,J34,H34+(J34-H34)*(3*((2084-2022)/I34)^2-2*((2084-2022)/I34)^3)))</f>
        <v>0.0042794198973766</v>
      </c>
      <c r="BW34" s="30" t="n">
        <f aca="false">BV34*(1-IF((2085-2022)/I34&gt;=1,J34,H34+(J34-H34)*(3*((2085-2022)/I34)^2-2*((2085-2022)/I34)^3)))</f>
        <v>0.00421522859891595</v>
      </c>
      <c r="BX34" s="30" t="n">
        <f aca="false">BW34*(1-IF((2086-2022)/I34&gt;=1,J34,H34+(J34-H34)*(3*((2086-2022)/I34)^2-2*((2086-2022)/I34)^3)))</f>
        <v>0.00415200016993221</v>
      </c>
      <c r="BY34" s="30" t="n">
        <f aca="false">BX34*(1-IF((2087-2022)/I34&gt;=1,J34,H34+(J34-H34)*(3*((2087-2022)/I34)^2-2*((2087-2022)/I34)^3)))</f>
        <v>0.00408972016738323</v>
      </c>
      <c r="BZ34" s="30" t="n">
        <f aca="false">BY34*(1-IF((2088-2022)/I34&gt;=1,J34,H34+(J34-H34)*(3*((2088-2022)/I34)^2-2*((2088-2022)/I34)^3)))</f>
        <v>0.00402837436487248</v>
      </c>
      <c r="CA34" s="30" t="n">
        <f aca="false">BZ34*(1-IF((2089-2022)/I34&gt;=1,J34,H34+(J34-H34)*(3*((2089-2022)/I34)^2-2*((2089-2022)/I34)^3)))</f>
        <v>0.00396794874939939</v>
      </c>
      <c r="CB34" s="30" t="n">
        <f aca="false">CA34*(1-IF((2090-2022)/I34&gt;=1,J34,H34+(J34-H34)*(3*((2090-2022)/I34)^2-2*((2090-2022)/I34)^3)))</f>
        <v>0.0039084295181584</v>
      </c>
      <c r="CC34" s="30" t="n">
        <f aca="false">CB34*(1-IF((2091-2022)/I34&gt;=1,J34,H34+(J34-H34)*(3*((2091-2022)/I34)^2-2*((2091-2022)/I34)^3)))</f>
        <v>0.00384980307538602</v>
      </c>
    </row>
    <row r="35" customFormat="false" ht="15" hidden="false" customHeight="true" outlineLevel="0" collapsed="false">
      <c r="A35" s="3" t="n">
        <v>72</v>
      </c>
      <c r="B35" s="30" t="n">
        <f aca="false">IF($A35&lt;=105,INDEX(ILT17_Source!$D$7:$D$52,MATCH($A35,ILT17_Source!$A$7:$A$52,0)),($B$16*EXP($B$17*$A35))/(1+$B$16*EXP($B$17*$A35)))</f>
        <v>0.01926222</v>
      </c>
      <c r="C35" s="31" t="n">
        <f aca="false">LOOKUP($A35,{60,65,70,75,80,85,90,95},{0.78,0.82,0.85,0.88,0.91,0.94,0.97,1})</f>
        <v>0.85</v>
      </c>
      <c r="D35" s="30" t="n">
        <f aca="false">B35*C35</f>
        <v>0.016372887</v>
      </c>
      <c r="E35" s="30" t="n">
        <f aca="false">1/(1+EXP(-(($B$6+$B$8*(2016-2022))+($B$7+$B$9*(2016-2022))*($A35-$B$10))))</f>
        <v>0.0232327942601354</v>
      </c>
      <c r="F35" s="30" t="n">
        <f aca="false">1/(1+EXP(-(($B$6+$B$8*(2021-2022))+($B$7+$B$9*(2021-2022))*($A35-$B$10))))</f>
        <v>0.0207440899649728</v>
      </c>
      <c r="G35" s="30" t="n">
        <f aca="false">1/(1+EXP(-(($B$6+$B$8*(2022-2022))+($B$7+$B$9*(2022-2022))*($A35-$B$10))))</f>
        <v>0.0202786170880577</v>
      </c>
      <c r="H35" s="32" t="n">
        <f aca="false">(F35-G35)/F35</f>
        <v>0.0224388188491778</v>
      </c>
      <c r="I35" s="38" t="n">
        <f aca="false">IF($A35&lt;=50,$B$14,IF($A35&gt;=95,$B$15,$B$14+($B$15-$B$14)*($A35-50)/(95-50)))</f>
        <v>12.6666666666667</v>
      </c>
      <c r="J35" s="39" t="n">
        <f aca="false">IF($A35&lt;=$B$12,$B$11,IF($A35&gt;=$B$13,0,$B$11*($B$13-$A35)/($B$13-$B$12)))</f>
        <v>0.015</v>
      </c>
      <c r="K35" s="30" t="n">
        <f aca="false">D35*G35/E35</f>
        <v>0.0142909846478838</v>
      </c>
      <c r="L35" s="30" t="n">
        <f aca="false">K35*$B$19</f>
        <v>0.0128618861830954</v>
      </c>
      <c r="M35" s="30" t="n">
        <f aca="false">L35*(1-IF((2023-2022)/I35&gt;=1,J35,H35+(J35-H35)*(3*((2023-2022)/I35)^2-2*((2023-2022)/I35)^3)))</f>
        <v>0.0125749754710805</v>
      </c>
      <c r="N35" s="30" t="n">
        <f aca="false">M35*(1-IF((2024-2022)/I35&gt;=1,J35,H35+(J35-H35)*(3*((2024-2022)/I35)^2-2*((2024-2022)/I35)^3)))</f>
        <v>0.01229906771127</v>
      </c>
      <c r="O35" s="30" t="n">
        <f aca="false">N35*(1-IF((2025-2022)/I35&gt;=1,J35,H35+(J35-H35)*(3*((2025-2022)/I35)^2-2*((2025-2022)/I35)^3)))</f>
        <v>0.0120360564310349</v>
      </c>
      <c r="P35" s="30" t="n">
        <f aca="false">O35*(1-IF((2026-2022)/I35&gt;=1,J35,H35+(J35-H35)*(3*((2026-2022)/I35)^2-2*((2026-2022)/I35)^3)))</f>
        <v>0.0117871282316565</v>
      </c>
      <c r="Q35" s="30" t="n">
        <f aca="false">P35*(1-IF((2027-2022)/I35&gt;=1,J35,H35+(J35-H35)*(3*((2027-2022)/I35)^2-2*((2027-2022)/I35)^3)))</f>
        <v>0.0115528401134868</v>
      </c>
      <c r="R35" s="30" t="n">
        <f aca="false">Q35*(1-IF((2028-2022)/I35&gt;=1,J35,H35+(J35-H35)*(3*((2028-2022)/I35)^2-2*((2028-2022)/I35)^3)))</f>
        <v>0.0113331885536636</v>
      </c>
      <c r="S35" s="30" t="n">
        <f aca="false">R35*(1-IF((2029-2022)/I35&gt;=1,J35,H35+(J35-H35)*(3*((2029-2022)/I35)^2-2*((2029-2022)/I35)^3)))</f>
        <v>0.011127669074845</v>
      </c>
      <c r="T35" s="30" t="n">
        <f aca="false">S35*(1-IF((2030-2022)/I35&gt;=1,J35,H35+(J35-H35)*(3*((2030-2022)/I35)^2-2*((2030-2022)/I35)^3)))</f>
        <v>0.0109353260554346</v>
      </c>
      <c r="U35" s="30" t="n">
        <f aca="false">T35*(1-IF((2031-2022)/I35&gt;=1,J35,H35+(J35-H35)*(3*((2031-2022)/I35)^2-2*((2031-2022)/I35)^3)))</f>
        <v>0.0107547933459437</v>
      </c>
      <c r="V35" s="30" t="n">
        <f aca="false">U35*(1-IF((2032-2022)/I35&gt;=1,J35,H35+(J35-H35)*(3*((2032-2022)/I35)^2-2*((2032-2022)/I35)^3)))</f>
        <v>0.010584326917366</v>
      </c>
      <c r="W35" s="30" t="n">
        <f aca="false">V35*(1-IF((2033-2022)/I35&gt;=1,J35,H35+(J35-H35)*(3*((2033-2022)/I35)^2-2*((2033-2022)/I35)^3)))</f>
        <v>0.0104218313182508</v>
      </c>
      <c r="X35" s="30" t="n">
        <f aca="false">W35*(1-IF((2034-2022)/I35&gt;=1,J35,H35+(J35-H35)*(3*((2034-2022)/I35)^2-2*((2034-2022)/I35)^3)))</f>
        <v>0.0102648821927926</v>
      </c>
      <c r="Y35" s="30" t="n">
        <f aca="false">X35*(1-IF((2035-2022)/I35&gt;=1,J35,H35+(J35-H35)*(3*((2035-2022)/I35)^2-2*((2035-2022)/I35)^3)))</f>
        <v>0.0101109089599008</v>
      </c>
      <c r="Z35" s="30" t="n">
        <f aca="false">Y35*(1-IF((2036-2022)/I35&gt;=1,J35,H35+(J35-H35)*(3*((2036-2022)/I35)^2-2*((2036-2022)/I35)^3)))</f>
        <v>0.00995924532550224</v>
      </c>
      <c r="AA35" s="30" t="n">
        <f aca="false">Z35*(1-IF((2037-2022)/I35&gt;=1,J35,H35+(J35-H35)*(3*((2037-2022)/I35)^2-2*((2037-2022)/I35)^3)))</f>
        <v>0.00980985664561971</v>
      </c>
      <c r="AB35" s="30" t="n">
        <f aca="false">AA35*(1-IF((2038-2022)/I35&gt;=1,J35,H35+(J35-H35)*(3*((2038-2022)/I35)^2-2*((2038-2022)/I35)^3)))</f>
        <v>0.00966270879593541</v>
      </c>
      <c r="AC35" s="30" t="n">
        <f aca="false">AB35*(1-IF((2039-2022)/I35&gt;=1,J35,H35+(J35-H35)*(3*((2039-2022)/I35)^2-2*((2039-2022)/I35)^3)))</f>
        <v>0.00951776816399638</v>
      </c>
      <c r="AD35" s="30" t="n">
        <f aca="false">AC35*(1-IF((2040-2022)/I35&gt;=1,J35,H35+(J35-H35)*(3*((2040-2022)/I35)^2-2*((2040-2022)/I35)^3)))</f>
        <v>0.00937500164153643</v>
      </c>
      <c r="AE35" s="30" t="n">
        <f aca="false">AD35*(1-IF((2041-2022)/I35&gt;=1,J35,H35+(J35-H35)*(3*((2041-2022)/I35)^2-2*((2041-2022)/I35)^3)))</f>
        <v>0.00923437661691339</v>
      </c>
      <c r="AF35" s="30" t="n">
        <f aca="false">AE35*(1-IF((2042-2022)/I35&gt;=1,J35,H35+(J35-H35)*(3*((2042-2022)/I35)^2-2*((2042-2022)/I35)^3)))</f>
        <v>0.00909586096765969</v>
      </c>
      <c r="AG35" s="30" t="n">
        <f aca="false">AF35*(1-IF((2043-2022)/I35&gt;=1,J35,H35+(J35-H35)*(3*((2043-2022)/I35)^2-2*((2043-2022)/I35)^3)))</f>
        <v>0.00895942305314479</v>
      </c>
      <c r="AH35" s="30" t="n">
        <f aca="false">AG35*(1-IF((2044-2022)/I35&gt;=1,J35,H35+(J35-H35)*(3*((2044-2022)/I35)^2-2*((2044-2022)/I35)^3)))</f>
        <v>0.00882503170734762</v>
      </c>
      <c r="AI35" s="30" t="n">
        <f aca="false">AH35*(1-IF((2045-2022)/I35&gt;=1,J35,H35+(J35-H35)*(3*((2045-2022)/I35)^2-2*((2045-2022)/I35)^3)))</f>
        <v>0.0086926562317374</v>
      </c>
      <c r="AJ35" s="30" t="n">
        <f aca="false">AI35*(1-IF((2046-2022)/I35&gt;=1,J35,H35+(J35-H35)*(3*((2046-2022)/I35)^2-2*((2046-2022)/I35)^3)))</f>
        <v>0.00856226638826134</v>
      </c>
      <c r="AK35" s="30" t="n">
        <f aca="false">AJ35*(1-IF((2047-2022)/I35&gt;=1,J35,H35+(J35-H35)*(3*((2047-2022)/I35)^2-2*((2047-2022)/I35)^3)))</f>
        <v>0.00843383239243742</v>
      </c>
      <c r="AL35" s="30" t="n">
        <f aca="false">AK35*(1-IF((2048-2022)/I35&gt;=1,J35,H35+(J35-H35)*(3*((2048-2022)/I35)^2-2*((2048-2022)/I35)^3)))</f>
        <v>0.00830732490655086</v>
      </c>
      <c r="AM35" s="30" t="n">
        <f aca="false">AL35*(1-IF((2049-2022)/I35&gt;=1,J35,H35+(J35-H35)*(3*((2049-2022)/I35)^2-2*((2049-2022)/I35)^3)))</f>
        <v>0.0081827150329526</v>
      </c>
      <c r="AN35" s="30" t="n">
        <f aca="false">AM35*(1-IF((2050-2022)/I35&gt;=1,J35,H35+(J35-H35)*(3*((2050-2022)/I35)^2-2*((2050-2022)/I35)^3)))</f>
        <v>0.00805997430745831</v>
      </c>
      <c r="AO35" s="30" t="n">
        <f aca="false">AN35*(1-IF((2051-2022)/I35&gt;=1,J35,H35+(J35-H35)*(3*((2051-2022)/I35)^2-2*((2051-2022)/I35)^3)))</f>
        <v>0.00793907469284643</v>
      </c>
      <c r="AP35" s="30" t="n">
        <f aca="false">AO35*(1-IF((2052-2022)/I35&gt;=1,J35,H35+(J35-H35)*(3*((2052-2022)/I35)^2-2*((2052-2022)/I35)^3)))</f>
        <v>0.00781998857245374</v>
      </c>
      <c r="AQ35" s="30" t="n">
        <f aca="false">AP35*(1-IF((2053-2022)/I35&gt;=1,J35,H35+(J35-H35)*(3*((2053-2022)/I35)^2-2*((2053-2022)/I35)^3)))</f>
        <v>0.00770268874386693</v>
      </c>
      <c r="AR35" s="30" t="n">
        <f aca="false">AQ35*(1-IF((2054-2022)/I35&gt;=1,J35,H35+(J35-H35)*(3*((2054-2022)/I35)^2-2*((2054-2022)/I35)^3)))</f>
        <v>0.00758714841270893</v>
      </c>
      <c r="AS35" s="30" t="n">
        <f aca="false">AR35*(1-IF((2055-2022)/I35&gt;=1,J35,H35+(J35-H35)*(3*((2055-2022)/I35)^2-2*((2055-2022)/I35)^3)))</f>
        <v>0.00747334118651829</v>
      </c>
      <c r="AT35" s="30" t="n">
        <f aca="false">AS35*(1-IF((2056-2022)/I35&gt;=1,J35,H35+(J35-H35)*(3*((2056-2022)/I35)^2-2*((2056-2022)/I35)^3)))</f>
        <v>0.00736124106872052</v>
      </c>
      <c r="AU35" s="30" t="n">
        <f aca="false">AT35*(1-IF((2057-2022)/I35&gt;=1,J35,H35+(J35-H35)*(3*((2057-2022)/I35)^2-2*((2057-2022)/I35)^3)))</f>
        <v>0.00725082245268971</v>
      </c>
      <c r="AV35" s="30" t="n">
        <f aca="false">AU35*(1-IF((2058-2022)/I35&gt;=1,J35,H35+(J35-H35)*(3*((2058-2022)/I35)^2-2*((2058-2022)/I35)^3)))</f>
        <v>0.00714206011589936</v>
      </c>
      <c r="AW35" s="30" t="n">
        <f aca="false">AV35*(1-IF((2059-2022)/I35&gt;=1,J35,H35+(J35-H35)*(3*((2059-2022)/I35)^2-2*((2059-2022)/I35)^3)))</f>
        <v>0.00703492921416087</v>
      </c>
      <c r="AX35" s="30" t="n">
        <f aca="false">AW35*(1-IF((2060-2022)/I35&gt;=1,J35,H35+(J35-H35)*(3*((2060-2022)/I35)^2-2*((2060-2022)/I35)^3)))</f>
        <v>0.00692940527594846</v>
      </c>
      <c r="AY35" s="30" t="n">
        <f aca="false">AX35*(1-IF((2061-2022)/I35&gt;=1,J35,H35+(J35-H35)*(3*((2061-2022)/I35)^2-2*((2061-2022)/I35)^3)))</f>
        <v>0.00682546419680923</v>
      </c>
      <c r="AZ35" s="30" t="n">
        <f aca="false">AY35*(1-IF((2062-2022)/I35&gt;=1,J35,H35+(J35-H35)*(3*((2062-2022)/I35)^2-2*((2062-2022)/I35)^3)))</f>
        <v>0.0067230822338571</v>
      </c>
      <c r="BA35" s="30" t="n">
        <f aca="false">AZ35*(1-IF((2063-2022)/I35&gt;=1,J35,H35+(J35-H35)*(3*((2063-2022)/I35)^2-2*((2063-2022)/I35)^3)))</f>
        <v>0.00662223600034924</v>
      </c>
      <c r="BB35" s="30" t="n">
        <f aca="false">BA35*(1-IF((2064-2022)/I35&gt;=1,J35,H35+(J35-H35)*(3*((2064-2022)/I35)^2-2*((2064-2022)/I35)^3)))</f>
        <v>0.006522902460344</v>
      </c>
      <c r="BC35" s="30" t="n">
        <f aca="false">BB35*(1-IF((2065-2022)/I35&gt;=1,J35,H35+(J35-H35)*(3*((2065-2022)/I35)^2-2*((2065-2022)/I35)^3)))</f>
        <v>0.00642505892343884</v>
      </c>
      <c r="BD35" s="30" t="n">
        <f aca="false">BC35*(1-IF((2066-2022)/I35&gt;=1,J35,H35+(J35-H35)*(3*((2066-2022)/I35)^2-2*((2066-2022)/I35)^3)))</f>
        <v>0.00632868303958726</v>
      </c>
      <c r="BE35" s="30" t="n">
        <f aca="false">BD35*(1-IF((2067-2022)/I35&gt;=1,J35,H35+(J35-H35)*(3*((2067-2022)/I35)^2-2*((2067-2022)/I35)^3)))</f>
        <v>0.00623375279399345</v>
      </c>
      <c r="BF35" s="30" t="n">
        <f aca="false">BE35*(1-IF((2068-2022)/I35&gt;=1,J35,H35+(J35-H35)*(3*((2068-2022)/I35)^2-2*((2068-2022)/I35)^3)))</f>
        <v>0.00614024650208355</v>
      </c>
      <c r="BG35" s="30" t="n">
        <f aca="false">BF35*(1-IF((2069-2022)/I35&gt;=1,J35,H35+(J35-H35)*(3*((2069-2022)/I35)^2-2*((2069-2022)/I35)^3)))</f>
        <v>0.00604814280455229</v>
      </c>
      <c r="BH35" s="30" t="n">
        <f aca="false">BG35*(1-IF((2070-2022)/I35&gt;=1,J35,H35+(J35-H35)*(3*((2070-2022)/I35)^2-2*((2070-2022)/I35)^3)))</f>
        <v>0.00595742066248401</v>
      </c>
      <c r="BI35" s="30" t="n">
        <f aca="false">BH35*(1-IF((2071-2022)/I35&gt;=1,J35,H35+(J35-H35)*(3*((2071-2022)/I35)^2-2*((2071-2022)/I35)^3)))</f>
        <v>0.00586805935254675</v>
      </c>
      <c r="BJ35" s="30" t="n">
        <f aca="false">BI35*(1-IF((2072-2022)/I35&gt;=1,J35,H35+(J35-H35)*(3*((2072-2022)/I35)^2-2*((2072-2022)/I35)^3)))</f>
        <v>0.00578003846225855</v>
      </c>
      <c r="BK35" s="30" t="n">
        <f aca="false">BJ35*(1-IF((2073-2022)/I35&gt;=1,J35,H35+(J35-H35)*(3*((2073-2022)/I35)^2-2*((2073-2022)/I35)^3)))</f>
        <v>0.00569333788532467</v>
      </c>
      <c r="BL35" s="30" t="n">
        <f aca="false">BK35*(1-IF((2074-2022)/I35&gt;=1,J35,H35+(J35-H35)*(3*((2074-2022)/I35)^2-2*((2074-2022)/I35)^3)))</f>
        <v>0.0056079378170448</v>
      </c>
      <c r="BM35" s="30" t="n">
        <f aca="false">BL35*(1-IF((2075-2022)/I35&gt;=1,J35,H35+(J35-H35)*(3*((2075-2022)/I35)^2-2*((2075-2022)/I35)^3)))</f>
        <v>0.00552381874978913</v>
      </c>
      <c r="BN35" s="30" t="n">
        <f aca="false">BM35*(1-IF((2076-2022)/I35&gt;=1,J35,H35+(J35-H35)*(3*((2076-2022)/I35)^2-2*((2076-2022)/I35)^3)))</f>
        <v>0.00544096146854229</v>
      </c>
      <c r="BO35" s="30" t="n">
        <f aca="false">BN35*(1-IF((2077-2022)/I35&gt;=1,J35,H35+(J35-H35)*(3*((2077-2022)/I35)^2-2*((2077-2022)/I35)^3)))</f>
        <v>0.00535934704651416</v>
      </c>
      <c r="BP35" s="30" t="n">
        <f aca="false">BO35*(1-IF((2078-2022)/I35&gt;=1,J35,H35+(J35-H35)*(3*((2078-2022)/I35)^2-2*((2078-2022)/I35)^3)))</f>
        <v>0.00527895684081644</v>
      </c>
      <c r="BQ35" s="30" t="n">
        <f aca="false">BP35*(1-IF((2079-2022)/I35&gt;=1,J35,H35+(J35-H35)*(3*((2079-2022)/I35)^2-2*((2079-2022)/I35)^3)))</f>
        <v>0.0051997724882042</v>
      </c>
      <c r="BR35" s="30" t="n">
        <f aca="false">BQ35*(1-IF((2080-2022)/I35&gt;=1,J35,H35+(J35-H35)*(3*((2080-2022)/I35)^2-2*((2080-2022)/I35)^3)))</f>
        <v>0.00512177590088113</v>
      </c>
      <c r="BS35" s="30" t="n">
        <f aca="false">BR35*(1-IF((2081-2022)/I35&gt;=1,J35,H35+(J35-H35)*(3*((2081-2022)/I35)^2-2*((2081-2022)/I35)^3)))</f>
        <v>0.00504494926236792</v>
      </c>
      <c r="BT35" s="30" t="n">
        <f aca="false">BS35*(1-IF((2082-2022)/I35&gt;=1,J35,H35+(J35-H35)*(3*((2082-2022)/I35)^2-2*((2082-2022)/I35)^3)))</f>
        <v>0.0049692750234324</v>
      </c>
      <c r="BU35" s="30" t="n">
        <f aca="false">BT35*(1-IF((2083-2022)/I35&gt;=1,J35,H35+(J35-H35)*(3*((2083-2022)/I35)^2-2*((2083-2022)/I35)^3)))</f>
        <v>0.00489473589808091</v>
      </c>
      <c r="BV35" s="30" t="n">
        <f aca="false">BU35*(1-IF((2084-2022)/I35&gt;=1,J35,H35+(J35-H35)*(3*((2084-2022)/I35)^2-2*((2084-2022)/I35)^3)))</f>
        <v>0.0048213148596097</v>
      </c>
      <c r="BW35" s="30" t="n">
        <f aca="false">BV35*(1-IF((2085-2022)/I35&gt;=1,J35,H35+(J35-H35)*(3*((2085-2022)/I35)^2-2*((2085-2022)/I35)^3)))</f>
        <v>0.00474899513671555</v>
      </c>
      <c r="BX35" s="30" t="n">
        <f aca="false">BW35*(1-IF((2086-2022)/I35&gt;=1,J35,H35+(J35-H35)*(3*((2086-2022)/I35)^2-2*((2086-2022)/I35)^3)))</f>
        <v>0.00467776020966482</v>
      </c>
      <c r="BY35" s="30" t="n">
        <f aca="false">BX35*(1-IF((2087-2022)/I35&gt;=1,J35,H35+(J35-H35)*(3*((2087-2022)/I35)^2-2*((2087-2022)/I35)^3)))</f>
        <v>0.00460759380651985</v>
      </c>
      <c r="BZ35" s="30" t="n">
        <f aca="false">BY35*(1-IF((2088-2022)/I35&gt;=1,J35,H35+(J35-H35)*(3*((2088-2022)/I35)^2-2*((2088-2022)/I35)^3)))</f>
        <v>0.00453847989942205</v>
      </c>
      <c r="CA35" s="30" t="n">
        <f aca="false">BZ35*(1-IF((2089-2022)/I35&gt;=1,J35,H35+(J35-H35)*(3*((2089-2022)/I35)^2-2*((2089-2022)/I35)^3)))</f>
        <v>0.00447040270093072</v>
      </c>
      <c r="CB35" s="30" t="n">
        <f aca="false">CA35*(1-IF((2090-2022)/I35&gt;=1,J35,H35+(J35-H35)*(3*((2090-2022)/I35)^2-2*((2090-2022)/I35)^3)))</f>
        <v>0.00440334666041676</v>
      </c>
      <c r="CC35" s="30" t="n">
        <f aca="false">CB35*(1-IF((2091-2022)/I35&gt;=1,J35,H35+(J35-H35)*(3*((2091-2022)/I35)^2-2*((2091-2022)/I35)^3)))</f>
        <v>0.00433729646051051</v>
      </c>
    </row>
    <row r="36" customFormat="false" ht="15" hidden="false" customHeight="true" outlineLevel="0" collapsed="false">
      <c r="A36" s="3" t="n">
        <v>73</v>
      </c>
      <c r="B36" s="30" t="n">
        <f aca="false">IF($A36&lt;=105,INDEX(ILT17_Source!$D$7:$D$52,MATCH($A36,ILT17_Source!$A$7:$A$52,0)),($B$16*EXP($B$17*$A36))/(1+$B$16*EXP($B$17*$A36)))</f>
        <v>0.02155677</v>
      </c>
      <c r="C36" s="31" t="n">
        <f aca="false">LOOKUP($A36,{60,65,70,75,80,85,90,95},{0.78,0.82,0.85,0.88,0.91,0.94,0.97,1})</f>
        <v>0.85</v>
      </c>
      <c r="D36" s="30" t="n">
        <f aca="false">B36*C36</f>
        <v>0.0183232545</v>
      </c>
      <c r="E36" s="30" t="n">
        <f aca="false">1/(1+EXP(-(($B$6+$B$8*(2016-2022))+($B$7+$B$9*(2016-2022))*($A36-$B$10))))</f>
        <v>0.0258817848307866</v>
      </c>
      <c r="F36" s="30" t="n">
        <f aca="false">1/(1+EXP(-(($B$6+$B$8*(2021-2022))+($B$7+$B$9*(2021-2022))*($A36-$B$10))))</f>
        <v>0.0231778273563741</v>
      </c>
      <c r="G36" s="30" t="n">
        <f aca="false">1/(1+EXP(-(($B$6+$B$8*(2022-2022))+($B$7+$B$9*(2022-2022))*($A36-$B$10))))</f>
        <v>0.022671115030764</v>
      </c>
      <c r="H36" s="32" t="n">
        <f aca="false">(F36-G36)/F36</f>
        <v>0.0218619423563336</v>
      </c>
      <c r="I36" s="38" t="n">
        <f aca="false">IF($A36&lt;=50,$B$14,IF($A36&gt;=95,$B$15,$B$14+($B$15-$B$14)*($A36-50)/(95-50)))</f>
        <v>12.3333333333333</v>
      </c>
      <c r="J36" s="39" t="n">
        <f aca="false">IF($A36&lt;=$B$12,$B$11,IF($A36&gt;=$B$13,0,$B$11*($B$13-$A36)/($B$13-$B$12)))</f>
        <v>0.015</v>
      </c>
      <c r="K36" s="30" t="n">
        <f aca="false">D36*G36/E36</f>
        <v>0.0160502304313005</v>
      </c>
      <c r="L36" s="30" t="n">
        <f aca="false">K36*$B$19</f>
        <v>0.0144452073881705</v>
      </c>
      <c r="M36" s="30" t="n">
        <f aca="false">L36*(1-IF((2023-2022)/I36&gt;=1,J36,H36+(J36-H36)*(3*((2023-2022)/I36)^2-2*((2023-2022)/I36)^3)))</f>
        <v>0.0141312563548268</v>
      </c>
      <c r="N36" s="30" t="n">
        <f aca="false">M36*(1-IF((2024-2022)/I36&gt;=1,J36,H36+(J36-H36)*(3*((2024-2022)/I36)^2-2*((2024-2022)/I36)^3)))</f>
        <v>0.0138291424072005</v>
      </c>
      <c r="O36" s="30" t="n">
        <f aca="false">N36*(1-IF((2025-2022)/I36&gt;=1,J36,H36+(J36-H36)*(3*((2025-2022)/I36)^2-2*((2025-2022)/I36)^3)))</f>
        <v>0.0135409230305756</v>
      </c>
      <c r="P36" s="30" t="n">
        <f aca="false">O36*(1-IF((2026-2022)/I36&gt;=1,J36,H36+(J36-H36)*(3*((2026-2022)/I36)^2-2*((2026-2022)/I36)^3)))</f>
        <v>0.0132678733097674</v>
      </c>
      <c r="Q36" s="30" t="n">
        <f aca="false">P36*(1-IF((2027-2022)/I36&gt;=1,J36,H36+(J36-H36)*(3*((2027-2022)/I36)^2-2*((2027-2022)/I36)^3)))</f>
        <v>0.0130105693280133</v>
      </c>
      <c r="R36" s="30" t="n">
        <f aca="false">Q36*(1-IF((2028-2022)/I36&gt;=1,J36,H36+(J36-H36)*(3*((2028-2022)/I36)^2-2*((2028-2022)/I36)^3)))</f>
        <v>0.0127689626556874</v>
      </c>
      <c r="S36" s="30" t="n">
        <f aca="false">R36*(1-IF((2029-2022)/I36&gt;=1,J36,H36+(J36-H36)*(3*((2029-2022)/I36)^2-2*((2029-2022)/I36)^3)))</f>
        <v>0.0125424446103744</v>
      </c>
      <c r="T36" s="30" t="n">
        <f aca="false">S36*(1-IF((2030-2022)/I36&gt;=1,J36,H36+(J36-H36)*(3*((2030-2022)/I36)^2-2*((2030-2022)/I36)^3)))</f>
        <v>0.0123299000805572</v>
      </c>
      <c r="U36" s="30" t="n">
        <f aca="false">T36*(1-IF((2031-2022)/I36&gt;=1,J36,H36+(J36-H36)*(3*((2031-2022)/I36)^2-2*((2031-2022)/I36)^3)))</f>
        <v>0.0121297516054308</v>
      </c>
      <c r="V36" s="30" t="n">
        <f aca="false">U36*(1-IF((2032-2022)/I36&gt;=1,J36,H36+(J36-H36)*(3*((2032-2022)/I36)^2-2*((2032-2022)/I36)^3)))</f>
        <v>0.0119399951410654</v>
      </c>
      <c r="W36" s="30" t="n">
        <f aca="false">V36*(1-IF((2033-2022)/I36&gt;=1,J36,H36+(J36-H36)*(3*((2033-2022)/I36)^2-2*((2033-2022)/I36)^3)))</f>
        <v>0.0117582295631838</v>
      </c>
      <c r="X36" s="30" t="n">
        <f aca="false">W36*(1-IF((2034-2022)/I36&gt;=1,J36,H36+(J36-H36)*(3*((2034-2022)/I36)^2-2*((2034-2022)/I36)^3)))</f>
        <v>0.0115816824955086</v>
      </c>
      <c r="Y36" s="30" t="n">
        <f aca="false">X36*(1-IF((2035-2022)/I36&gt;=1,J36,H36+(J36-H36)*(3*((2035-2022)/I36)^2-2*((2035-2022)/I36)^3)))</f>
        <v>0.011407957258076</v>
      </c>
      <c r="Z36" s="30" t="n">
        <f aca="false">Y36*(1-IF((2036-2022)/I36&gt;=1,J36,H36+(J36-H36)*(3*((2036-2022)/I36)^2-2*((2036-2022)/I36)^3)))</f>
        <v>0.0112368378992049</v>
      </c>
      <c r="AA36" s="30" t="n">
        <f aca="false">Z36*(1-IF((2037-2022)/I36&gt;=1,J36,H36+(J36-H36)*(3*((2037-2022)/I36)^2-2*((2037-2022)/I36)^3)))</f>
        <v>0.0110682853307168</v>
      </c>
      <c r="AB36" s="30" t="n">
        <f aca="false">AA36*(1-IF((2038-2022)/I36&gt;=1,J36,H36+(J36-H36)*(3*((2038-2022)/I36)^2-2*((2038-2022)/I36)^3)))</f>
        <v>0.010902261050756</v>
      </c>
      <c r="AC36" s="30" t="n">
        <f aca="false">AB36*(1-IF((2039-2022)/I36&gt;=1,J36,H36+(J36-H36)*(3*((2039-2022)/I36)^2-2*((2039-2022)/I36)^3)))</f>
        <v>0.0107387271349947</v>
      </c>
      <c r="AD36" s="30" t="n">
        <f aca="false">AC36*(1-IF((2040-2022)/I36&gt;=1,J36,H36+(J36-H36)*(3*((2040-2022)/I36)^2-2*((2040-2022)/I36)^3)))</f>
        <v>0.0105776462279698</v>
      </c>
      <c r="AE36" s="30" t="n">
        <f aca="false">AD36*(1-IF((2041-2022)/I36&gt;=1,J36,H36+(J36-H36)*(3*((2041-2022)/I36)^2-2*((2041-2022)/I36)^3)))</f>
        <v>0.0104189815345502</v>
      </c>
      <c r="AF36" s="30" t="n">
        <f aca="false">AE36*(1-IF((2042-2022)/I36&gt;=1,J36,H36+(J36-H36)*(3*((2042-2022)/I36)^2-2*((2042-2022)/I36)^3)))</f>
        <v>0.010262696811532</v>
      </c>
      <c r="AG36" s="30" t="n">
        <f aca="false">AF36*(1-IF((2043-2022)/I36&gt;=1,J36,H36+(J36-H36)*(3*((2043-2022)/I36)^2-2*((2043-2022)/I36)^3)))</f>
        <v>0.010108756359359</v>
      </c>
      <c r="AH36" s="30" t="n">
        <f aca="false">AG36*(1-IF((2044-2022)/I36&gt;=1,J36,H36+(J36-H36)*(3*((2044-2022)/I36)^2-2*((2044-2022)/I36)^3)))</f>
        <v>0.00995712501396861</v>
      </c>
      <c r="AI36" s="30" t="n">
        <f aca="false">AH36*(1-IF((2045-2022)/I36&gt;=1,J36,H36+(J36-H36)*(3*((2045-2022)/I36)^2-2*((2045-2022)/I36)^3)))</f>
        <v>0.00980776813875908</v>
      </c>
      <c r="AJ36" s="30" t="n">
        <f aca="false">AI36*(1-IF((2046-2022)/I36&gt;=1,J36,H36+(J36-H36)*(3*((2046-2022)/I36)^2-2*((2046-2022)/I36)^3)))</f>
        <v>0.00966065161667769</v>
      </c>
      <c r="AK36" s="30" t="n">
        <f aca="false">AJ36*(1-IF((2047-2022)/I36&gt;=1,J36,H36+(J36-H36)*(3*((2047-2022)/I36)^2-2*((2047-2022)/I36)^3)))</f>
        <v>0.00951574184242753</v>
      </c>
      <c r="AL36" s="30" t="n">
        <f aca="false">AK36*(1-IF((2048-2022)/I36&gt;=1,J36,H36+(J36-H36)*(3*((2048-2022)/I36)^2-2*((2048-2022)/I36)^3)))</f>
        <v>0.00937300571479111</v>
      </c>
      <c r="AM36" s="30" t="n">
        <f aca="false">AL36*(1-IF((2049-2022)/I36&gt;=1,J36,H36+(J36-H36)*(3*((2049-2022)/I36)^2-2*((2049-2022)/I36)^3)))</f>
        <v>0.00923241062906925</v>
      </c>
      <c r="AN36" s="30" t="n">
        <f aca="false">AM36*(1-IF((2050-2022)/I36&gt;=1,J36,H36+(J36-H36)*(3*((2050-2022)/I36)^2-2*((2050-2022)/I36)^3)))</f>
        <v>0.00909392446963321</v>
      </c>
      <c r="AO36" s="30" t="n">
        <f aca="false">AN36*(1-IF((2051-2022)/I36&gt;=1,J36,H36+(J36-H36)*(3*((2051-2022)/I36)^2-2*((2051-2022)/I36)^3)))</f>
        <v>0.00895751560258871</v>
      </c>
      <c r="AP36" s="30" t="n">
        <f aca="false">AO36*(1-IF((2052-2022)/I36&gt;=1,J36,H36+(J36-H36)*(3*((2052-2022)/I36)^2-2*((2052-2022)/I36)^3)))</f>
        <v>0.00882315286854988</v>
      </c>
      <c r="AQ36" s="30" t="n">
        <f aca="false">AP36*(1-IF((2053-2022)/I36&gt;=1,J36,H36+(J36-H36)*(3*((2053-2022)/I36)^2-2*((2053-2022)/I36)^3)))</f>
        <v>0.00869080557552163</v>
      </c>
      <c r="AR36" s="30" t="n">
        <f aca="false">AQ36*(1-IF((2054-2022)/I36&gt;=1,J36,H36+(J36-H36)*(3*((2054-2022)/I36)^2-2*((2054-2022)/I36)^3)))</f>
        <v>0.0085604434918888</v>
      </c>
      <c r="AS36" s="30" t="n">
        <f aca="false">AR36*(1-IF((2055-2022)/I36&gt;=1,J36,H36+(J36-H36)*(3*((2055-2022)/I36)^2-2*((2055-2022)/I36)^3)))</f>
        <v>0.00843203683951047</v>
      </c>
      <c r="AT36" s="30" t="n">
        <f aca="false">AS36*(1-IF((2056-2022)/I36&gt;=1,J36,H36+(J36-H36)*(3*((2056-2022)/I36)^2-2*((2056-2022)/I36)^3)))</f>
        <v>0.00830555628691781</v>
      </c>
      <c r="AU36" s="30" t="n">
        <f aca="false">AT36*(1-IF((2057-2022)/I36&gt;=1,J36,H36+(J36-H36)*(3*((2057-2022)/I36)^2-2*((2057-2022)/I36)^3)))</f>
        <v>0.00818097294261405</v>
      </c>
      <c r="AV36" s="30" t="n">
        <f aca="false">AU36*(1-IF((2058-2022)/I36&gt;=1,J36,H36+(J36-H36)*(3*((2058-2022)/I36)^2-2*((2058-2022)/I36)^3)))</f>
        <v>0.00805825834847483</v>
      </c>
      <c r="AW36" s="30" t="n">
        <f aca="false">AV36*(1-IF((2059-2022)/I36&gt;=1,J36,H36+(J36-H36)*(3*((2059-2022)/I36)^2-2*((2059-2022)/I36)^3)))</f>
        <v>0.00793738447324771</v>
      </c>
      <c r="AX36" s="30" t="n">
        <f aca="false">AW36*(1-IF((2060-2022)/I36&gt;=1,J36,H36+(J36-H36)*(3*((2060-2022)/I36)^2-2*((2060-2022)/I36)^3)))</f>
        <v>0.007818323706149</v>
      </c>
      <c r="AY36" s="30" t="n">
        <f aca="false">AX36*(1-IF((2061-2022)/I36&gt;=1,J36,H36+(J36-H36)*(3*((2061-2022)/I36)^2-2*((2061-2022)/I36)^3)))</f>
        <v>0.00770104885055676</v>
      </c>
      <c r="AZ36" s="30" t="n">
        <f aca="false">AY36*(1-IF((2062-2022)/I36&gt;=1,J36,H36+(J36-H36)*(3*((2062-2022)/I36)^2-2*((2062-2022)/I36)^3)))</f>
        <v>0.00758553311779841</v>
      </c>
      <c r="BA36" s="30" t="n">
        <f aca="false">AZ36*(1-IF((2063-2022)/I36&gt;=1,J36,H36+(J36-H36)*(3*((2063-2022)/I36)^2-2*((2063-2022)/I36)^3)))</f>
        <v>0.00747175012103144</v>
      </c>
      <c r="BB36" s="30" t="n">
        <f aca="false">BA36*(1-IF((2064-2022)/I36&gt;=1,J36,H36+(J36-H36)*(3*((2064-2022)/I36)^2-2*((2064-2022)/I36)^3)))</f>
        <v>0.00735967386921596</v>
      </c>
      <c r="BC36" s="30" t="n">
        <f aca="false">BB36*(1-IF((2065-2022)/I36&gt;=1,J36,H36+(J36-H36)*(3*((2065-2022)/I36)^2-2*((2065-2022)/I36)^3)))</f>
        <v>0.00724927876117772</v>
      </c>
      <c r="BD36" s="30" t="n">
        <f aca="false">BC36*(1-IF((2066-2022)/I36&gt;=1,J36,H36+(J36-H36)*(3*((2066-2022)/I36)^2-2*((2066-2022)/I36)^3)))</f>
        <v>0.00714053957976006</v>
      </c>
      <c r="BE36" s="30" t="n">
        <f aca="false">BD36*(1-IF((2067-2022)/I36&gt;=1,J36,H36+(J36-H36)*(3*((2067-2022)/I36)^2-2*((2067-2022)/I36)^3)))</f>
        <v>0.00703343148606366</v>
      </c>
      <c r="BF36" s="30" t="n">
        <f aca="false">BE36*(1-IF((2068-2022)/I36&gt;=1,J36,H36+(J36-H36)*(3*((2068-2022)/I36)^2-2*((2068-2022)/I36)^3)))</f>
        <v>0.0069279300137727</v>
      </c>
      <c r="BG36" s="30" t="n">
        <f aca="false">BF36*(1-IF((2069-2022)/I36&gt;=1,J36,H36+(J36-H36)*(3*((2069-2022)/I36)^2-2*((2069-2022)/I36)^3)))</f>
        <v>0.00682401106356611</v>
      </c>
      <c r="BH36" s="30" t="n">
        <f aca="false">BG36*(1-IF((2070-2022)/I36&gt;=1,J36,H36+(J36-H36)*(3*((2070-2022)/I36)^2-2*((2070-2022)/I36)^3)))</f>
        <v>0.00672165089761262</v>
      </c>
      <c r="BI36" s="30" t="n">
        <f aca="false">BH36*(1-IF((2071-2022)/I36&gt;=1,J36,H36+(J36-H36)*(3*((2071-2022)/I36)^2-2*((2071-2022)/I36)^3)))</f>
        <v>0.00662082613414843</v>
      </c>
      <c r="BJ36" s="30" t="n">
        <f aca="false">BI36*(1-IF((2072-2022)/I36&gt;=1,J36,H36+(J36-H36)*(3*((2072-2022)/I36)^2-2*((2072-2022)/I36)^3)))</f>
        <v>0.0065215137421362</v>
      </c>
      <c r="BK36" s="30" t="n">
        <f aca="false">BJ36*(1-IF((2073-2022)/I36&gt;=1,J36,H36+(J36-H36)*(3*((2073-2022)/I36)^2-2*((2073-2022)/I36)^3)))</f>
        <v>0.00642369103600416</v>
      </c>
      <c r="BL36" s="30" t="n">
        <f aca="false">BK36*(1-IF((2074-2022)/I36&gt;=1,J36,H36+(J36-H36)*(3*((2074-2022)/I36)^2-2*((2074-2022)/I36)^3)))</f>
        <v>0.0063273356704641</v>
      </c>
      <c r="BM36" s="30" t="n">
        <f aca="false">BL36*(1-IF((2075-2022)/I36&gt;=1,J36,H36+(J36-H36)*(3*((2075-2022)/I36)^2-2*((2075-2022)/I36)^3)))</f>
        <v>0.00623242563540714</v>
      </c>
      <c r="BN36" s="30" t="n">
        <f aca="false">BM36*(1-IF((2076-2022)/I36&gt;=1,J36,H36+(J36-H36)*(3*((2076-2022)/I36)^2-2*((2076-2022)/I36)^3)))</f>
        <v>0.00613893925087603</v>
      </c>
      <c r="BO36" s="30" t="n">
        <f aca="false">BN36*(1-IF((2077-2022)/I36&gt;=1,J36,H36+(J36-H36)*(3*((2077-2022)/I36)^2-2*((2077-2022)/I36)^3)))</f>
        <v>0.00604685516211289</v>
      </c>
      <c r="BP36" s="30" t="n">
        <f aca="false">BO36*(1-IF((2078-2022)/I36&gt;=1,J36,H36+(J36-H36)*(3*((2078-2022)/I36)^2-2*((2078-2022)/I36)^3)))</f>
        <v>0.0059561523346812</v>
      </c>
      <c r="BQ36" s="30" t="n">
        <f aca="false">BP36*(1-IF((2079-2022)/I36&gt;=1,J36,H36+(J36-H36)*(3*((2079-2022)/I36)^2-2*((2079-2022)/I36)^3)))</f>
        <v>0.00586681004966098</v>
      </c>
      <c r="BR36" s="30" t="n">
        <f aca="false">BQ36*(1-IF((2080-2022)/I36&gt;=1,J36,H36+(J36-H36)*(3*((2080-2022)/I36)^2-2*((2080-2022)/I36)^3)))</f>
        <v>0.00577880789891606</v>
      </c>
      <c r="BS36" s="30" t="n">
        <f aca="false">BR36*(1-IF((2081-2022)/I36&gt;=1,J36,H36+(J36-H36)*(3*((2081-2022)/I36)^2-2*((2081-2022)/I36)^3)))</f>
        <v>0.00569212578043232</v>
      </c>
      <c r="BT36" s="30" t="n">
        <f aca="false">BS36*(1-IF((2082-2022)/I36&gt;=1,J36,H36+(J36-H36)*(3*((2082-2022)/I36)^2-2*((2082-2022)/I36)^3)))</f>
        <v>0.00560674389372584</v>
      </c>
      <c r="BU36" s="30" t="n">
        <f aca="false">BT36*(1-IF((2083-2022)/I36&gt;=1,J36,H36+(J36-H36)*(3*((2083-2022)/I36)^2-2*((2083-2022)/I36)^3)))</f>
        <v>0.00552264273531995</v>
      </c>
      <c r="BV36" s="30" t="n">
        <f aca="false">BU36*(1-IF((2084-2022)/I36&gt;=1,J36,H36+(J36-H36)*(3*((2084-2022)/I36)^2-2*((2084-2022)/I36)^3)))</f>
        <v>0.00543980309429015</v>
      </c>
      <c r="BW36" s="30" t="n">
        <f aca="false">BV36*(1-IF((2085-2022)/I36&gt;=1,J36,H36+(J36-H36)*(3*((2085-2022)/I36)^2-2*((2085-2022)/I36)^3)))</f>
        <v>0.0053582060478758</v>
      </c>
      <c r="BX36" s="30" t="n">
        <f aca="false">BW36*(1-IF((2086-2022)/I36&gt;=1,J36,H36+(J36-H36)*(3*((2086-2022)/I36)^2-2*((2086-2022)/I36)^3)))</f>
        <v>0.00527783295715766</v>
      </c>
      <c r="BY36" s="30" t="n">
        <f aca="false">BX36*(1-IF((2087-2022)/I36&gt;=1,J36,H36+(J36-H36)*(3*((2087-2022)/I36)^2-2*((2087-2022)/I36)^3)))</f>
        <v>0.0051986654628003</v>
      </c>
      <c r="BZ36" s="30" t="n">
        <f aca="false">BY36*(1-IF((2088-2022)/I36&gt;=1,J36,H36+(J36-H36)*(3*((2088-2022)/I36)^2-2*((2088-2022)/I36)^3)))</f>
        <v>0.00512068548085829</v>
      </c>
      <c r="CA36" s="30" t="n">
        <f aca="false">BZ36*(1-IF((2089-2022)/I36&gt;=1,J36,H36+(J36-H36)*(3*((2089-2022)/I36)^2-2*((2089-2022)/I36)^3)))</f>
        <v>0.00504387519864542</v>
      </c>
      <c r="CB36" s="30" t="n">
        <f aca="false">CA36*(1-IF((2090-2022)/I36&gt;=1,J36,H36+(J36-H36)*(3*((2090-2022)/I36)^2-2*((2090-2022)/I36)^3)))</f>
        <v>0.00496821707066573</v>
      </c>
      <c r="CC36" s="30" t="n">
        <f aca="false">CB36*(1-IF((2091-2022)/I36&gt;=1,J36,H36+(J36-H36)*(3*((2091-2022)/I36)^2-2*((2091-2022)/I36)^3)))</f>
        <v>0.00489369381460575</v>
      </c>
    </row>
    <row r="37" customFormat="false" ht="15" hidden="false" customHeight="true" outlineLevel="0" collapsed="false">
      <c r="A37" s="3" t="n">
        <v>74</v>
      </c>
      <c r="B37" s="30" t="n">
        <f aca="false">IF($A37&lt;=105,INDEX(ILT17_Source!$D$7:$D$52,MATCH($A37,ILT17_Source!$A$7:$A$52,0)),($B$16*EXP($B$17*$A37))/(1+$B$16*EXP($B$17*$A37)))</f>
        <v>0.024165215</v>
      </c>
      <c r="C37" s="31" t="n">
        <f aca="false">LOOKUP($A37,{60,65,70,75,80,85,90,95},{0.78,0.82,0.85,0.88,0.91,0.94,0.97,1})</f>
        <v>0.85</v>
      </c>
      <c r="D37" s="30" t="n">
        <f aca="false">B37*C37</f>
        <v>0.02054043275</v>
      </c>
      <c r="E37" s="30" t="n">
        <f aca="false">1/(1+EXP(-(($B$6+$B$8*(2016-2022))+($B$7+$B$9*(2016-2022))*($A37-$B$10))))</f>
        <v>0.0288238989250802</v>
      </c>
      <c r="F37" s="30" t="n">
        <f aca="false">1/(1+EXP(-(($B$6+$B$8*(2021-2022))+($B$7+$B$9*(2021-2022))*($A37-$B$10))))</f>
        <v>0.0258895467416412</v>
      </c>
      <c r="G37" s="30" t="n">
        <f aca="false">1/(1+EXP(-(($B$6+$B$8*(2022-2022))+($B$7+$B$9*(2022-2022))*($A37-$B$10))))</f>
        <v>0.0253385826662185</v>
      </c>
      <c r="H37" s="32" t="n">
        <f aca="false">(F37-G37)/F37</f>
        <v>0.0212813333860546</v>
      </c>
      <c r="I37" s="38" t="n">
        <f aca="false">IF($A37&lt;=50,$B$14,IF($A37&gt;=95,$B$15,$B$14+($B$15-$B$14)*($A37-50)/(95-50)))</f>
        <v>12</v>
      </c>
      <c r="J37" s="39" t="n">
        <f aca="false">IF($A37&lt;=$B$12,$B$11,IF($A37&gt;=$B$13,0,$B$11*($B$13-$A37)/($B$13-$B$12)))</f>
        <v>0.015</v>
      </c>
      <c r="K37" s="30" t="n">
        <f aca="false">D37*G37/E37</f>
        <v>0.018056733219492</v>
      </c>
      <c r="L37" s="30" t="n">
        <f aca="false">K37*$B$19</f>
        <v>0.0162510598975428</v>
      </c>
      <c r="M37" s="30" t="n">
        <f aca="false">L37*(1-IF((2023-2022)/I37&gt;=1,J37,H37+(J37-H37)*(3*((2023-2022)/I37)^2-2*((2023-2022)/I37)^3)))</f>
        <v>0.0159072241595497</v>
      </c>
      <c r="N37" s="30" t="n">
        <f aca="false">M37*(1-IF((2024-2022)/I37&gt;=1,J37,H37+(J37-H37)*(3*((2024-2022)/I37)^2-2*((2024-2022)/I37)^3)))</f>
        <v>0.015576098595126</v>
      </c>
      <c r="O37" s="30" t="n">
        <f aca="false">N37*(1-IF((2025-2022)/I37&gt;=1,J37,H37+(J37-H37)*(3*((2025-2022)/I37)^2-2*((2025-2022)/I37)^3)))</f>
        <v>0.0152599057399644</v>
      </c>
      <c r="P37" s="30" t="n">
        <f aca="false">O37*(1-IF((2026-2022)/I37&gt;=1,J37,H37+(J37-H37)*(3*((2026-2022)/I37)^2-2*((2026-2022)/I37)^3)))</f>
        <v>0.0149600052609816</v>
      </c>
      <c r="Q37" s="30" t="n">
        <f aca="false">P37*(1-IF((2027-2022)/I37&gt;=1,J37,H37+(J37-H37)*(3*((2027-2022)/I37)^2-2*((2027-2022)/I37)^3)))</f>
        <v>0.0146769834544162</v>
      </c>
      <c r="R37" s="30" t="n">
        <f aca="false">Q37*(1-IF((2028-2022)/I37&gt;=1,J37,H37+(J37-H37)*(3*((2028-2022)/I37)^2-2*((2028-2022)/I37)^3)))</f>
        <v>0.0144107331895105</v>
      </c>
      <c r="S37" s="30" t="n">
        <f aca="false">R37*(1-IF((2029-2022)/I37&gt;=1,J37,H37+(J37-H37)*(3*((2029-2022)/I37)^2-2*((2029-2022)/I37)^3)))</f>
        <v>0.0141605229424343</v>
      </c>
      <c r="T37" s="30" t="n">
        <f aca="false">S37*(1-IF((2030-2022)/I37&gt;=1,J37,H37+(J37-H37)*(3*((2030-2022)/I37)^2-2*((2030-2022)/I37)^3)))</f>
        <v>0.0139250547739032</v>
      </c>
      <c r="U37" s="30" t="n">
        <f aca="false">T37*(1-IF((2031-2022)/I37&gt;=1,J37,H37+(J37-H37)*(3*((2031-2022)/I37)^2-2*((2031-2022)/I37)^3)))</f>
        <v>0.0137025120911299</v>
      </c>
      <c r="V37" s="30" t="n">
        <f aca="false">U37*(1-IF((2032-2022)/I37&gt;=1,J37,H37+(J37-H37)*(3*((2032-2022)/I37)^2-2*((2032-2022)/I37)^3)))</f>
        <v>0.0134905988507503</v>
      </c>
      <c r="W37" s="30" t="n">
        <f aca="false">V37*(1-IF((2033-2022)/I37&gt;=1,J37,H37+(J37-H37)*(3*((2033-2022)/I37)^2-2*((2033-2022)/I37)^3)))</f>
        <v>0.0132865725507063</v>
      </c>
      <c r="X37" s="30" t="n">
        <f aca="false">W37*(1-IF((2034-2022)/I37&gt;=1,J37,H37+(J37-H37)*(3*((2034-2022)/I37)^2-2*((2034-2022)/I37)^3)))</f>
        <v>0.0130872739624457</v>
      </c>
      <c r="Y37" s="30" t="n">
        <f aca="false">X37*(1-IF((2035-2022)/I37&gt;=1,J37,H37+(J37-H37)*(3*((2035-2022)/I37)^2-2*((2035-2022)/I37)^3)))</f>
        <v>0.012890964853009</v>
      </c>
      <c r="Z37" s="30" t="n">
        <f aca="false">Y37*(1-IF((2036-2022)/I37&gt;=1,J37,H37+(J37-H37)*(3*((2036-2022)/I37)^2-2*((2036-2022)/I37)^3)))</f>
        <v>0.0126976003802139</v>
      </c>
      <c r="AA37" s="30" t="n">
        <f aca="false">Z37*(1-IF((2037-2022)/I37&gt;=1,J37,H37+(J37-H37)*(3*((2037-2022)/I37)^2-2*((2037-2022)/I37)^3)))</f>
        <v>0.0125071363745107</v>
      </c>
      <c r="AB37" s="30" t="n">
        <f aca="false">AA37*(1-IF((2038-2022)/I37&gt;=1,J37,H37+(J37-H37)*(3*((2038-2022)/I37)^2-2*((2038-2022)/I37)^3)))</f>
        <v>0.012319529328893</v>
      </c>
      <c r="AC37" s="30" t="n">
        <f aca="false">AB37*(1-IF((2039-2022)/I37&gt;=1,J37,H37+(J37-H37)*(3*((2039-2022)/I37)^2-2*((2039-2022)/I37)^3)))</f>
        <v>0.0121347363889596</v>
      </c>
      <c r="AD37" s="30" t="n">
        <f aca="false">AC37*(1-IF((2040-2022)/I37&gt;=1,J37,H37+(J37-H37)*(3*((2040-2022)/I37)^2-2*((2040-2022)/I37)^3)))</f>
        <v>0.0119527153431252</v>
      </c>
      <c r="AE37" s="30" t="n">
        <f aca="false">AD37*(1-IF((2041-2022)/I37&gt;=1,J37,H37+(J37-H37)*(3*((2041-2022)/I37)^2-2*((2041-2022)/I37)^3)))</f>
        <v>0.0117734246129784</v>
      </c>
      <c r="AF37" s="30" t="n">
        <f aca="false">AE37*(1-IF((2042-2022)/I37&gt;=1,J37,H37+(J37-H37)*(3*((2042-2022)/I37)^2-2*((2042-2022)/I37)^3)))</f>
        <v>0.0115968232437837</v>
      </c>
      <c r="AG37" s="30" t="n">
        <f aca="false">AF37*(1-IF((2043-2022)/I37&gt;=1,J37,H37+(J37-H37)*(3*((2043-2022)/I37)^2-2*((2043-2022)/I37)^3)))</f>
        <v>0.0114228708951269</v>
      </c>
      <c r="AH37" s="30" t="n">
        <f aca="false">AG37*(1-IF((2044-2022)/I37&gt;=1,J37,H37+(J37-H37)*(3*((2044-2022)/I37)^2-2*((2044-2022)/I37)^3)))</f>
        <v>0.0112515278317</v>
      </c>
      <c r="AI37" s="30" t="n">
        <f aca="false">AH37*(1-IF((2045-2022)/I37&gt;=1,J37,H37+(J37-H37)*(3*((2045-2022)/I37)^2-2*((2045-2022)/I37)^3)))</f>
        <v>0.0110827549142245</v>
      </c>
      <c r="AJ37" s="30" t="n">
        <f aca="false">AI37*(1-IF((2046-2022)/I37&gt;=1,J37,H37+(J37-H37)*(3*((2046-2022)/I37)^2-2*((2046-2022)/I37)^3)))</f>
        <v>0.0109165135905111</v>
      </c>
      <c r="AK37" s="30" t="n">
        <f aca="false">AJ37*(1-IF((2047-2022)/I37&gt;=1,J37,H37+(J37-H37)*(3*((2047-2022)/I37)^2-2*((2047-2022)/I37)^3)))</f>
        <v>0.0107527658866535</v>
      </c>
      <c r="AL37" s="30" t="n">
        <f aca="false">AK37*(1-IF((2048-2022)/I37&gt;=1,J37,H37+(J37-H37)*(3*((2048-2022)/I37)^2-2*((2048-2022)/I37)^3)))</f>
        <v>0.0105914743983537</v>
      </c>
      <c r="AM37" s="30" t="n">
        <f aca="false">AL37*(1-IF((2049-2022)/I37&gt;=1,J37,H37+(J37-H37)*(3*((2049-2022)/I37)^2-2*((2049-2022)/I37)^3)))</f>
        <v>0.0104326022823784</v>
      </c>
      <c r="AN37" s="30" t="n">
        <f aca="false">AM37*(1-IF((2050-2022)/I37&gt;=1,J37,H37+(J37-H37)*(3*((2050-2022)/I37)^2-2*((2050-2022)/I37)^3)))</f>
        <v>0.0102761132481427</v>
      </c>
      <c r="AO37" s="30" t="n">
        <f aca="false">AN37*(1-IF((2051-2022)/I37&gt;=1,J37,H37+(J37-H37)*(3*((2051-2022)/I37)^2-2*((2051-2022)/I37)^3)))</f>
        <v>0.0101219715494206</v>
      </c>
      <c r="AP37" s="30" t="n">
        <f aca="false">AO37*(1-IF((2052-2022)/I37&gt;=1,J37,H37+(J37-H37)*(3*((2052-2022)/I37)^2-2*((2052-2022)/I37)^3)))</f>
        <v>0.00997014197617925</v>
      </c>
      <c r="AQ37" s="30" t="n">
        <f aca="false">AP37*(1-IF((2053-2022)/I37&gt;=1,J37,H37+(J37-H37)*(3*((2053-2022)/I37)^2-2*((2053-2022)/I37)^3)))</f>
        <v>0.00982058984653656</v>
      </c>
      <c r="AR37" s="30" t="n">
        <f aca="false">AQ37*(1-IF((2054-2022)/I37&gt;=1,J37,H37+(J37-H37)*(3*((2054-2022)/I37)^2-2*((2054-2022)/I37)^3)))</f>
        <v>0.00967328099883851</v>
      </c>
      <c r="AS37" s="30" t="n">
        <f aca="false">AR37*(1-IF((2055-2022)/I37&gt;=1,J37,H37+(J37-H37)*(3*((2055-2022)/I37)^2-2*((2055-2022)/I37)^3)))</f>
        <v>0.00952818178385593</v>
      </c>
      <c r="AT37" s="30" t="n">
        <f aca="false">AS37*(1-IF((2056-2022)/I37&gt;=1,J37,H37+(J37-H37)*(3*((2056-2022)/I37)^2-2*((2056-2022)/I37)^3)))</f>
        <v>0.00938525905709809</v>
      </c>
      <c r="AU37" s="30" t="n">
        <f aca="false">AT37*(1-IF((2057-2022)/I37&gt;=1,J37,H37+(J37-H37)*(3*((2057-2022)/I37)^2-2*((2057-2022)/I37)^3)))</f>
        <v>0.00924448017124162</v>
      </c>
      <c r="AV37" s="30" t="n">
        <f aca="false">AU37*(1-IF((2058-2022)/I37&gt;=1,J37,H37+(J37-H37)*(3*((2058-2022)/I37)^2-2*((2058-2022)/I37)^3)))</f>
        <v>0.009105812968673</v>
      </c>
      <c r="AW37" s="30" t="n">
        <f aca="false">AV37*(1-IF((2059-2022)/I37&gt;=1,J37,H37+(J37-H37)*(3*((2059-2022)/I37)^2-2*((2059-2022)/I37)^3)))</f>
        <v>0.0089692257741429</v>
      </c>
      <c r="AX37" s="30" t="n">
        <f aca="false">AW37*(1-IF((2060-2022)/I37&gt;=1,J37,H37+(J37-H37)*(3*((2060-2022)/I37)^2-2*((2060-2022)/I37)^3)))</f>
        <v>0.00883468738753076</v>
      </c>
      <c r="AY37" s="30" t="n">
        <f aca="false">AX37*(1-IF((2061-2022)/I37&gt;=1,J37,H37+(J37-H37)*(3*((2061-2022)/I37)^2-2*((2061-2022)/I37)^3)))</f>
        <v>0.0087021670767178</v>
      </c>
      <c r="AZ37" s="30" t="n">
        <f aca="false">AY37*(1-IF((2062-2022)/I37&gt;=1,J37,H37+(J37-H37)*(3*((2062-2022)/I37)^2-2*((2062-2022)/I37)^3)))</f>
        <v>0.00857163457056703</v>
      </c>
      <c r="BA37" s="30" t="n">
        <f aca="false">AZ37*(1-IF((2063-2022)/I37&gt;=1,J37,H37+(J37-H37)*(3*((2063-2022)/I37)^2-2*((2063-2022)/I37)^3)))</f>
        <v>0.00844306005200853</v>
      </c>
      <c r="BB37" s="30" t="n">
        <f aca="false">BA37*(1-IF((2064-2022)/I37&gt;=1,J37,H37+(J37-H37)*(3*((2064-2022)/I37)^2-2*((2064-2022)/I37)^3)))</f>
        <v>0.0083164141512284</v>
      </c>
      <c r="BC37" s="30" t="n">
        <f aca="false">BB37*(1-IF((2065-2022)/I37&gt;=1,J37,H37+(J37-H37)*(3*((2065-2022)/I37)^2-2*((2065-2022)/I37)^3)))</f>
        <v>0.00819166793895997</v>
      </c>
      <c r="BD37" s="30" t="n">
        <f aca="false">BC37*(1-IF((2066-2022)/I37&gt;=1,J37,H37+(J37-H37)*(3*((2066-2022)/I37)^2-2*((2066-2022)/I37)^3)))</f>
        <v>0.00806879291987557</v>
      </c>
      <c r="BE37" s="30" t="n">
        <f aca="false">BD37*(1-IF((2067-2022)/I37&gt;=1,J37,H37+(J37-H37)*(3*((2067-2022)/I37)^2-2*((2067-2022)/I37)^3)))</f>
        <v>0.00794776102607744</v>
      </c>
      <c r="BF37" s="30" t="n">
        <f aca="false">BE37*(1-IF((2068-2022)/I37&gt;=1,J37,H37+(J37-H37)*(3*((2068-2022)/I37)^2-2*((2068-2022)/I37)^3)))</f>
        <v>0.00782854461068628</v>
      </c>
      <c r="BG37" s="30" t="n">
        <f aca="false">BF37*(1-IF((2069-2022)/I37&gt;=1,J37,H37+(J37-H37)*(3*((2069-2022)/I37)^2-2*((2069-2022)/I37)^3)))</f>
        <v>0.00771111644152598</v>
      </c>
      <c r="BH37" s="30" t="n">
        <f aca="false">BG37*(1-IF((2070-2022)/I37&gt;=1,J37,H37+(J37-H37)*(3*((2070-2022)/I37)^2-2*((2070-2022)/I37)^3)))</f>
        <v>0.00759544969490309</v>
      </c>
      <c r="BI37" s="30" t="n">
        <f aca="false">BH37*(1-IF((2071-2022)/I37&gt;=1,J37,H37+(J37-H37)*(3*((2071-2022)/I37)^2-2*((2071-2022)/I37)^3)))</f>
        <v>0.00748151794947955</v>
      </c>
      <c r="BJ37" s="30" t="n">
        <f aca="false">BI37*(1-IF((2072-2022)/I37&gt;=1,J37,H37+(J37-H37)*(3*((2072-2022)/I37)^2-2*((2072-2022)/I37)^3)))</f>
        <v>0.00736929518023735</v>
      </c>
      <c r="BK37" s="30" t="n">
        <f aca="false">BJ37*(1-IF((2073-2022)/I37&gt;=1,J37,H37+(J37-H37)*(3*((2073-2022)/I37)^2-2*((2073-2022)/I37)^3)))</f>
        <v>0.00725875575253379</v>
      </c>
      <c r="BL37" s="30" t="n">
        <f aca="false">BK37*(1-IF((2074-2022)/I37&gt;=1,J37,H37+(J37-H37)*(3*((2074-2022)/I37)^2-2*((2074-2022)/I37)^3)))</f>
        <v>0.00714987441624579</v>
      </c>
      <c r="BM37" s="30" t="n">
        <f aca="false">BL37*(1-IF((2075-2022)/I37&gt;=1,J37,H37+(J37-H37)*(3*((2075-2022)/I37)^2-2*((2075-2022)/I37)^3)))</f>
        <v>0.0070426263000021</v>
      </c>
      <c r="BN37" s="30" t="n">
        <f aca="false">BM37*(1-IF((2076-2022)/I37&gt;=1,J37,H37+(J37-H37)*(3*((2076-2022)/I37)^2-2*((2076-2022)/I37)^3)))</f>
        <v>0.00693698690550207</v>
      </c>
      <c r="BO37" s="30" t="n">
        <f aca="false">BN37*(1-IF((2077-2022)/I37&gt;=1,J37,H37+(J37-H37)*(3*((2077-2022)/I37)^2-2*((2077-2022)/I37)^3)))</f>
        <v>0.00683293210191954</v>
      </c>
      <c r="BP37" s="30" t="n">
        <f aca="false">BO37*(1-IF((2078-2022)/I37&gt;=1,J37,H37+(J37-H37)*(3*((2078-2022)/I37)^2-2*((2078-2022)/I37)^3)))</f>
        <v>0.00673043812039074</v>
      </c>
      <c r="BQ37" s="30" t="n">
        <f aca="false">BP37*(1-IF((2079-2022)/I37&gt;=1,J37,H37+(J37-H37)*(3*((2079-2022)/I37)^2-2*((2079-2022)/I37)^3)))</f>
        <v>0.00662948154858488</v>
      </c>
      <c r="BR37" s="30" t="n">
        <f aca="false">BQ37*(1-IF((2080-2022)/I37&gt;=1,J37,H37+(J37-H37)*(3*((2080-2022)/I37)^2-2*((2080-2022)/I37)^3)))</f>
        <v>0.00653003932535611</v>
      </c>
      <c r="BS37" s="30" t="n">
        <f aca="false">BR37*(1-IF((2081-2022)/I37&gt;=1,J37,H37+(J37-H37)*(3*((2081-2022)/I37)^2-2*((2081-2022)/I37)^3)))</f>
        <v>0.00643208873547577</v>
      </c>
      <c r="BT37" s="30" t="n">
        <f aca="false">BS37*(1-IF((2082-2022)/I37&gt;=1,J37,H37+(J37-H37)*(3*((2082-2022)/I37)^2-2*((2082-2022)/I37)^3)))</f>
        <v>0.00633560740444363</v>
      </c>
      <c r="BU37" s="30" t="n">
        <f aca="false">BT37*(1-IF((2083-2022)/I37&gt;=1,J37,H37+(J37-H37)*(3*((2083-2022)/I37)^2-2*((2083-2022)/I37)^3)))</f>
        <v>0.00624057329337698</v>
      </c>
      <c r="BV37" s="30" t="n">
        <f aca="false">BU37*(1-IF((2084-2022)/I37&gt;=1,J37,H37+(J37-H37)*(3*((2084-2022)/I37)^2-2*((2084-2022)/I37)^3)))</f>
        <v>0.00614696469397632</v>
      </c>
      <c r="BW37" s="30" t="n">
        <f aca="false">BV37*(1-IF((2085-2022)/I37&gt;=1,J37,H37+(J37-H37)*(3*((2085-2022)/I37)^2-2*((2085-2022)/I37)^3)))</f>
        <v>0.00605476022356668</v>
      </c>
      <c r="BX37" s="30" t="n">
        <f aca="false">BW37*(1-IF((2086-2022)/I37&gt;=1,J37,H37+(J37-H37)*(3*((2086-2022)/I37)^2-2*((2086-2022)/I37)^3)))</f>
        <v>0.00596393882021318</v>
      </c>
      <c r="BY37" s="30" t="n">
        <f aca="false">BX37*(1-IF((2087-2022)/I37&gt;=1,J37,H37+(J37-H37)*(3*((2087-2022)/I37)^2-2*((2087-2022)/I37)^3)))</f>
        <v>0.00587447973790998</v>
      </c>
      <c r="BZ37" s="30" t="n">
        <f aca="false">BY37*(1-IF((2088-2022)/I37&gt;=1,J37,H37+(J37-H37)*(3*((2088-2022)/I37)^2-2*((2088-2022)/I37)^3)))</f>
        <v>0.00578636254184133</v>
      </c>
      <c r="CA37" s="30" t="n">
        <f aca="false">BZ37*(1-IF((2089-2022)/I37&gt;=1,J37,H37+(J37-H37)*(3*((2089-2022)/I37)^2-2*((2089-2022)/I37)^3)))</f>
        <v>0.00569956710371371</v>
      </c>
      <c r="CB37" s="30" t="n">
        <f aca="false">CA37*(1-IF((2090-2022)/I37&gt;=1,J37,H37+(J37-H37)*(3*((2090-2022)/I37)^2-2*((2090-2022)/I37)^3)))</f>
        <v>0.005614073597158</v>
      </c>
      <c r="CC37" s="30" t="n">
        <f aca="false">CB37*(1-IF((2091-2022)/I37&gt;=1,J37,H37+(J37-H37)*(3*((2091-2022)/I37)^2-2*((2091-2022)/I37)^3)))</f>
        <v>0.00552986249320063</v>
      </c>
    </row>
    <row r="38" customFormat="false" ht="15" hidden="false" customHeight="true" outlineLevel="0" collapsed="false">
      <c r="A38" s="3" t="n">
        <v>75</v>
      </c>
      <c r="B38" s="30" t="n">
        <f aca="false">IF($A38&lt;=105,INDEX(ILT17_Source!$D$7:$D$52,MATCH($A38,ILT17_Source!$A$7:$A$52,0)),($B$16*EXP($B$17*$A38))/(1+$B$16*EXP($B$17*$A38)))</f>
        <v>0.027136565</v>
      </c>
      <c r="C38" s="31" t="n">
        <f aca="false">LOOKUP($A38,{60,65,70,75,80,85,90,95},{0.78,0.82,0.85,0.88,0.91,0.94,0.97,1})</f>
        <v>0.88</v>
      </c>
      <c r="D38" s="30" t="n">
        <f aca="false">B38*C38</f>
        <v>0.0238801772</v>
      </c>
      <c r="E38" s="30" t="n">
        <f aca="false">1/(1+EXP(-(($B$6+$B$8*(2016-2022))+($B$7+$B$9*(2016-2022))*($A38-$B$10))))</f>
        <v>0.0320894407868089</v>
      </c>
      <c r="F38" s="30" t="n">
        <f aca="false">1/(1+EXP(-(($B$6+$B$8*(2021-2022))+($B$7+$B$9*(2021-2022))*($A38-$B$10))))</f>
        <v>0.028909137815889</v>
      </c>
      <c r="G38" s="30" t="n">
        <f aca="false">1/(1+EXP(-(($B$6+$B$8*(2022-2022))+($B$7+$B$9*(2022-2022))*($A38-$B$10))))</f>
        <v>0.0283108111586366</v>
      </c>
      <c r="H38" s="32" t="n">
        <f aca="false">(F38-G38)/F38</f>
        <v>0.0206968004740551</v>
      </c>
      <c r="I38" s="38" t="n">
        <f aca="false">IF($A38&lt;=50,$B$14,IF($A38&gt;=95,$B$15,$B$14+($B$15-$B$14)*($A38-50)/(95-50)))</f>
        <v>11.6666666666667</v>
      </c>
      <c r="J38" s="39" t="n">
        <f aca="false">IF($A38&lt;=$B$12,$B$11,IF($A38&gt;=$B$13,0,$B$11*($B$13-$A38)/($B$13-$B$12)))</f>
        <v>0.015</v>
      </c>
      <c r="K38" s="30" t="n">
        <f aca="false">D38*G38/E38</f>
        <v>0.0210682134237095</v>
      </c>
      <c r="L38" s="30" t="n">
        <f aca="false">K38*$B$19</f>
        <v>0.0189613920813386</v>
      </c>
      <c r="M38" s="30" t="n">
        <f aca="false">L38*(1-IF((2023-2022)/I38&gt;=1,J38,H38+(J38-H38)*(3*((2023-2022)/I38)^2-2*((2023-2022)/I38)^3)))</f>
        <v>0.0185711967179628</v>
      </c>
      <c r="N38" s="30" t="n">
        <f aca="false">M38*(1-IF((2024-2022)/I38&gt;=1,J38,H38+(J38-H38)*(3*((2024-2022)/I38)^2-2*((2024-2022)/I38)^3)))</f>
        <v>0.0181950937376331</v>
      </c>
      <c r="O38" s="30" t="n">
        <f aca="false">N38*(1-IF((2025-2022)/I38&gt;=1,J38,H38+(J38-H38)*(3*((2025-2022)/I38)^2-2*((2025-2022)/I38)^3)))</f>
        <v>0.0178355502117114</v>
      </c>
      <c r="P38" s="30" t="n">
        <f aca="false">O38*(1-IF((2026-2022)/I38&gt;=1,J38,H38+(J38-H38)*(3*((2026-2022)/I38)^2-2*((2026-2022)/I38)^3)))</f>
        <v>0.0174940528425382</v>
      </c>
      <c r="Q38" s="30" t="n">
        <f aca="false">P38*(1-IF((2027-2022)/I38&gt;=1,J38,H38+(J38-H38)*(3*((2027-2022)/I38)^2-2*((2027-2022)/I38)^3)))</f>
        <v>0.017171206753301</v>
      </c>
      <c r="R38" s="30" t="n">
        <f aca="false">Q38*(1-IF((2028-2022)/I38&gt;=1,J38,H38+(J38-H38)*(3*((2028-2022)/I38)^2-2*((2028-2022)/I38)^3)))</f>
        <v>0.0168668237752045</v>
      </c>
      <c r="S38" s="30" t="n">
        <f aca="false">R38*(1-IF((2029-2022)/I38&gt;=1,J38,H38+(J38-H38)*(3*((2029-2022)/I38)^2-2*((2029-2022)/I38)^3)))</f>
        <v>0.0165799988193297</v>
      </c>
      <c r="T38" s="30" t="n">
        <f aca="false">S38*(1-IF((2030-2022)/I38&gt;=1,J38,H38+(J38-H38)*(3*((2030-2022)/I38)^2-2*((2030-2022)/I38)^3)))</f>
        <v>0.016309174267291</v>
      </c>
      <c r="U38" s="30" t="n">
        <f aca="false">T38*(1-IF((2031-2022)/I38&gt;=1,J38,H38+(J38-H38)*(3*((2031-2022)/I38)^2-2*((2031-2022)/I38)^3)))</f>
        <v>0.0160521934230489</v>
      </c>
      <c r="V38" s="30" t="n">
        <f aca="false">U38*(1-IF((2032-2022)/I38&gt;=1,J38,H38+(J38-H38)*(3*((2032-2022)/I38)^2-2*((2032-2022)/I38)^3)))</f>
        <v>0.0158063449919103</v>
      </c>
      <c r="W38" s="30" t="n">
        <f aca="false">V38*(1-IF((2033-2022)/I38&gt;=1,J38,H38+(J38-H38)*(3*((2033-2022)/I38)^2-2*((2033-2022)/I38)^3)))</f>
        <v>0.0155684013407674</v>
      </c>
      <c r="X38" s="30" t="n">
        <f aca="false">W38*(1-IF((2034-2022)/I38&gt;=1,J38,H38+(J38-H38)*(3*((2034-2022)/I38)^2-2*((2034-2022)/I38)^3)))</f>
        <v>0.0153348753206558</v>
      </c>
      <c r="Y38" s="30" t="n">
        <f aca="false">X38*(1-IF((2035-2022)/I38&gt;=1,J38,H38+(J38-H38)*(3*((2035-2022)/I38)^2-2*((2035-2022)/I38)^3)))</f>
        <v>0.015104852190846</v>
      </c>
      <c r="Z38" s="30" t="n">
        <f aca="false">Y38*(1-IF((2036-2022)/I38&gt;=1,J38,H38+(J38-H38)*(3*((2036-2022)/I38)^2-2*((2036-2022)/I38)^3)))</f>
        <v>0.0148782794079833</v>
      </c>
      <c r="AA38" s="30" t="n">
        <f aca="false">Z38*(1-IF((2037-2022)/I38&gt;=1,J38,H38+(J38-H38)*(3*((2037-2022)/I38)^2-2*((2037-2022)/I38)^3)))</f>
        <v>0.0146551052168636</v>
      </c>
      <c r="AB38" s="30" t="n">
        <f aca="false">AA38*(1-IF((2038-2022)/I38&gt;=1,J38,H38+(J38-H38)*(3*((2038-2022)/I38)^2-2*((2038-2022)/I38)^3)))</f>
        <v>0.0144352786386106</v>
      </c>
      <c r="AC38" s="30" t="n">
        <f aca="false">AB38*(1-IF((2039-2022)/I38&gt;=1,J38,H38+(J38-H38)*(3*((2039-2022)/I38)^2-2*((2039-2022)/I38)^3)))</f>
        <v>0.0142187494590315</v>
      </c>
      <c r="AD38" s="30" t="n">
        <f aca="false">AC38*(1-IF((2040-2022)/I38&gt;=1,J38,H38+(J38-H38)*(3*((2040-2022)/I38)^2-2*((2040-2022)/I38)^3)))</f>
        <v>0.014005468217146</v>
      </c>
      <c r="AE38" s="30" t="n">
        <f aca="false">AD38*(1-IF((2041-2022)/I38&gt;=1,J38,H38+(J38-H38)*(3*((2041-2022)/I38)^2-2*((2041-2022)/I38)^3)))</f>
        <v>0.0137953861938888</v>
      </c>
      <c r="AF38" s="30" t="n">
        <f aca="false">AE38*(1-IF((2042-2022)/I38&gt;=1,J38,H38+(J38-H38)*(3*((2042-2022)/I38)^2-2*((2042-2022)/I38)^3)))</f>
        <v>0.0135884554009805</v>
      </c>
      <c r="AG38" s="30" t="n">
        <f aca="false">AF38*(1-IF((2043-2022)/I38&gt;=1,J38,H38+(J38-H38)*(3*((2043-2022)/I38)^2-2*((2043-2022)/I38)^3)))</f>
        <v>0.0133846285699657</v>
      </c>
      <c r="AH38" s="30" t="n">
        <f aca="false">AG38*(1-IF((2044-2022)/I38&gt;=1,J38,H38+(J38-H38)*(3*((2044-2022)/I38)^2-2*((2044-2022)/I38)^3)))</f>
        <v>0.0131838591414163</v>
      </c>
      <c r="AI38" s="30" t="n">
        <f aca="false">AH38*(1-IF((2045-2022)/I38&gt;=1,J38,H38+(J38-H38)*(3*((2045-2022)/I38)^2-2*((2045-2022)/I38)^3)))</f>
        <v>0.012986101254295</v>
      </c>
      <c r="AJ38" s="30" t="n">
        <f aca="false">AI38*(1-IF((2046-2022)/I38&gt;=1,J38,H38+(J38-H38)*(3*((2046-2022)/I38)^2-2*((2046-2022)/I38)^3)))</f>
        <v>0.0127913097354806</v>
      </c>
      <c r="AK38" s="30" t="n">
        <f aca="false">AJ38*(1-IF((2047-2022)/I38&gt;=1,J38,H38+(J38-H38)*(3*((2047-2022)/I38)^2-2*((2047-2022)/I38)^3)))</f>
        <v>0.0125994400894484</v>
      </c>
      <c r="AL38" s="30" t="n">
        <f aca="false">AK38*(1-IF((2048-2022)/I38&gt;=1,J38,H38+(J38-H38)*(3*((2048-2022)/I38)^2-2*((2048-2022)/I38)^3)))</f>
        <v>0.0124104484881067</v>
      </c>
      <c r="AM38" s="30" t="n">
        <f aca="false">AL38*(1-IF((2049-2022)/I38&gt;=1,J38,H38+(J38-H38)*(3*((2049-2022)/I38)^2-2*((2049-2022)/I38)^3)))</f>
        <v>0.0122242917607851</v>
      </c>
      <c r="AN38" s="30" t="n">
        <f aca="false">AM38*(1-IF((2050-2022)/I38&gt;=1,J38,H38+(J38-H38)*(3*((2050-2022)/I38)^2-2*((2050-2022)/I38)^3)))</f>
        <v>0.0120409273843733</v>
      </c>
      <c r="AO38" s="30" t="n">
        <f aca="false">AN38*(1-IF((2051-2022)/I38&gt;=1,J38,H38+(J38-H38)*(3*((2051-2022)/I38)^2-2*((2051-2022)/I38)^3)))</f>
        <v>0.0118603134736077</v>
      </c>
      <c r="AP38" s="30" t="n">
        <f aca="false">AO38*(1-IF((2052-2022)/I38&gt;=1,J38,H38+(J38-H38)*(3*((2052-2022)/I38)^2-2*((2052-2022)/I38)^3)))</f>
        <v>0.0116824087715036</v>
      </c>
      <c r="AQ38" s="30" t="n">
        <f aca="false">AP38*(1-IF((2053-2022)/I38&gt;=1,J38,H38+(J38-H38)*(3*((2053-2022)/I38)^2-2*((2053-2022)/I38)^3)))</f>
        <v>0.011507172639931</v>
      </c>
      <c r="AR38" s="30" t="n">
        <f aca="false">AQ38*(1-IF((2054-2022)/I38&gt;=1,J38,H38+(J38-H38)*(3*((2054-2022)/I38)^2-2*((2054-2022)/I38)^3)))</f>
        <v>0.011334565050332</v>
      </c>
      <c r="AS38" s="30" t="n">
        <f aca="false">AR38*(1-IF((2055-2022)/I38&gt;=1,J38,H38+(J38-H38)*(3*((2055-2022)/I38)^2-2*((2055-2022)/I38)^3)))</f>
        <v>0.0111645465745771</v>
      </c>
      <c r="AT38" s="30" t="n">
        <f aca="false">AS38*(1-IF((2056-2022)/I38&gt;=1,J38,H38+(J38-H38)*(3*((2056-2022)/I38)^2-2*((2056-2022)/I38)^3)))</f>
        <v>0.0109970783759584</v>
      </c>
      <c r="AU38" s="30" t="n">
        <f aca="false">AT38*(1-IF((2057-2022)/I38&gt;=1,J38,H38+(J38-H38)*(3*((2057-2022)/I38)^2-2*((2057-2022)/I38)^3)))</f>
        <v>0.010832122200319</v>
      </c>
      <c r="AV38" s="30" t="n">
        <f aca="false">AU38*(1-IF((2058-2022)/I38&gt;=1,J38,H38+(J38-H38)*(3*((2058-2022)/I38)^2-2*((2058-2022)/I38)^3)))</f>
        <v>0.0106696403673142</v>
      </c>
      <c r="AW38" s="30" t="n">
        <f aca="false">AV38*(1-IF((2059-2022)/I38&gt;=1,J38,H38+(J38-H38)*(3*((2059-2022)/I38)^2-2*((2059-2022)/I38)^3)))</f>
        <v>0.0105095957618045</v>
      </c>
      <c r="AX38" s="30" t="n">
        <f aca="false">AW38*(1-IF((2060-2022)/I38&gt;=1,J38,H38+(J38-H38)*(3*((2060-2022)/I38)^2-2*((2060-2022)/I38)^3)))</f>
        <v>0.0103519518253775</v>
      </c>
      <c r="AY38" s="30" t="n">
        <f aca="false">AX38*(1-IF((2061-2022)/I38&gt;=1,J38,H38+(J38-H38)*(3*((2061-2022)/I38)^2-2*((2061-2022)/I38)^3)))</f>
        <v>0.0101966725479968</v>
      </c>
      <c r="AZ38" s="30" t="n">
        <f aca="false">AY38*(1-IF((2062-2022)/I38&gt;=1,J38,H38+(J38-H38)*(3*((2062-2022)/I38)^2-2*((2062-2022)/I38)^3)))</f>
        <v>0.0100437224597769</v>
      </c>
      <c r="BA38" s="30" t="n">
        <f aca="false">AZ38*(1-IF((2063-2022)/I38&gt;=1,J38,H38+(J38-H38)*(3*((2063-2022)/I38)^2-2*((2063-2022)/I38)^3)))</f>
        <v>0.0098930666228802</v>
      </c>
      <c r="BB38" s="30" t="n">
        <f aca="false">BA38*(1-IF((2064-2022)/I38&gt;=1,J38,H38+(J38-H38)*(3*((2064-2022)/I38)^2-2*((2064-2022)/I38)^3)))</f>
        <v>0.009744670623537</v>
      </c>
      <c r="BC38" s="30" t="n">
        <f aca="false">BB38*(1-IF((2065-2022)/I38&gt;=1,J38,H38+(J38-H38)*(3*((2065-2022)/I38)^2-2*((2065-2022)/I38)^3)))</f>
        <v>0.00959850056418394</v>
      </c>
      <c r="BD38" s="30" t="n">
        <f aca="false">BC38*(1-IF((2066-2022)/I38&gt;=1,J38,H38+(J38-H38)*(3*((2066-2022)/I38)^2-2*((2066-2022)/I38)^3)))</f>
        <v>0.00945452305572118</v>
      </c>
      <c r="BE38" s="30" t="n">
        <f aca="false">BD38*(1-IF((2067-2022)/I38&gt;=1,J38,H38+(J38-H38)*(3*((2067-2022)/I38)^2-2*((2067-2022)/I38)^3)))</f>
        <v>0.00931270520988536</v>
      </c>
      <c r="BF38" s="30" t="n">
        <f aca="false">BE38*(1-IF((2068-2022)/I38&gt;=1,J38,H38+(J38-H38)*(3*((2068-2022)/I38)^2-2*((2068-2022)/I38)^3)))</f>
        <v>0.00917301463173708</v>
      </c>
      <c r="BG38" s="30" t="n">
        <f aca="false">BF38*(1-IF((2069-2022)/I38&gt;=1,J38,H38+(J38-H38)*(3*((2069-2022)/I38)^2-2*((2069-2022)/I38)^3)))</f>
        <v>0.00903541941226103</v>
      </c>
      <c r="BH38" s="30" t="n">
        <f aca="false">BG38*(1-IF((2070-2022)/I38&gt;=1,J38,H38+(J38-H38)*(3*((2070-2022)/I38)^2-2*((2070-2022)/I38)^3)))</f>
        <v>0.00889988812107711</v>
      </c>
      <c r="BI38" s="30" t="n">
        <f aca="false">BH38*(1-IF((2071-2022)/I38&gt;=1,J38,H38+(J38-H38)*(3*((2071-2022)/I38)^2-2*((2071-2022)/I38)^3)))</f>
        <v>0.00876638979926096</v>
      </c>
      <c r="BJ38" s="30" t="n">
        <f aca="false">BI38*(1-IF((2072-2022)/I38&gt;=1,J38,H38+(J38-H38)*(3*((2072-2022)/I38)^2-2*((2072-2022)/I38)^3)))</f>
        <v>0.00863489395227204</v>
      </c>
      <c r="BK38" s="30" t="n">
        <f aca="false">BJ38*(1-IF((2073-2022)/I38&gt;=1,J38,H38+(J38-H38)*(3*((2073-2022)/I38)^2-2*((2073-2022)/I38)^3)))</f>
        <v>0.00850537054298796</v>
      </c>
      <c r="BL38" s="30" t="n">
        <f aca="false">BK38*(1-IF((2074-2022)/I38&gt;=1,J38,H38+(J38-H38)*(3*((2074-2022)/I38)^2-2*((2074-2022)/I38)^3)))</f>
        <v>0.00837778998484314</v>
      </c>
      <c r="BM38" s="30" t="n">
        <f aca="false">BL38*(1-IF((2075-2022)/I38&gt;=1,J38,H38+(J38-H38)*(3*((2075-2022)/I38)^2-2*((2075-2022)/I38)^3)))</f>
        <v>0.0082521231350705</v>
      </c>
      <c r="BN38" s="30" t="n">
        <f aca="false">BM38*(1-IF((2076-2022)/I38&gt;=1,J38,H38+(J38-H38)*(3*((2076-2022)/I38)^2-2*((2076-2022)/I38)^3)))</f>
        <v>0.00812834128804444</v>
      </c>
      <c r="BO38" s="30" t="n">
        <f aca="false">BN38*(1-IF((2077-2022)/I38&gt;=1,J38,H38+(J38-H38)*(3*((2077-2022)/I38)^2-2*((2077-2022)/I38)^3)))</f>
        <v>0.00800641616872377</v>
      </c>
      <c r="BP38" s="30" t="n">
        <f aca="false">BO38*(1-IF((2078-2022)/I38&gt;=1,J38,H38+(J38-H38)*(3*((2078-2022)/I38)^2-2*((2078-2022)/I38)^3)))</f>
        <v>0.00788631992619292</v>
      </c>
      <c r="BQ38" s="30" t="n">
        <f aca="false">BP38*(1-IF((2079-2022)/I38&gt;=1,J38,H38+(J38-H38)*(3*((2079-2022)/I38)^2-2*((2079-2022)/I38)^3)))</f>
        <v>0.00776802512730002</v>
      </c>
      <c r="BR38" s="30" t="n">
        <f aca="false">BQ38*(1-IF((2080-2022)/I38&gt;=1,J38,H38+(J38-H38)*(3*((2080-2022)/I38)^2-2*((2080-2022)/I38)^3)))</f>
        <v>0.00765150475039052</v>
      </c>
      <c r="BS38" s="30" t="n">
        <f aca="false">BR38*(1-IF((2081-2022)/I38&gt;=1,J38,H38+(J38-H38)*(3*((2081-2022)/I38)^2-2*((2081-2022)/I38)^3)))</f>
        <v>0.00753673217913466</v>
      </c>
      <c r="BT38" s="30" t="n">
        <f aca="false">BS38*(1-IF((2082-2022)/I38&gt;=1,J38,H38+(J38-H38)*(3*((2082-2022)/I38)^2-2*((2082-2022)/I38)^3)))</f>
        <v>0.00742368119644764</v>
      </c>
      <c r="BU38" s="30" t="n">
        <f aca="false">BT38*(1-IF((2083-2022)/I38&gt;=1,J38,H38+(J38-H38)*(3*((2083-2022)/I38)^2-2*((2083-2022)/I38)^3)))</f>
        <v>0.00731232597850093</v>
      </c>
      <c r="BV38" s="30" t="n">
        <f aca="false">BU38*(1-IF((2084-2022)/I38&gt;=1,J38,H38+(J38-H38)*(3*((2084-2022)/I38)^2-2*((2084-2022)/I38)^3)))</f>
        <v>0.00720264108882341</v>
      </c>
      <c r="BW38" s="30" t="n">
        <f aca="false">BV38*(1-IF((2085-2022)/I38&gt;=1,J38,H38+(J38-H38)*(3*((2085-2022)/I38)^2-2*((2085-2022)/I38)^3)))</f>
        <v>0.00709460147249106</v>
      </c>
      <c r="BX38" s="30" t="n">
        <f aca="false">BW38*(1-IF((2086-2022)/I38&gt;=1,J38,H38+(J38-H38)*(3*((2086-2022)/I38)^2-2*((2086-2022)/I38)^3)))</f>
        <v>0.0069881824504037</v>
      </c>
      <c r="BY38" s="30" t="n">
        <f aca="false">BX38*(1-IF((2087-2022)/I38&gt;=1,J38,H38+(J38-H38)*(3*((2087-2022)/I38)^2-2*((2087-2022)/I38)^3)))</f>
        <v>0.00688335971364764</v>
      </c>
      <c r="BZ38" s="30" t="n">
        <f aca="false">BY38*(1-IF((2088-2022)/I38&gt;=1,J38,H38+(J38-H38)*(3*((2088-2022)/I38)^2-2*((2088-2022)/I38)^3)))</f>
        <v>0.00678010931794293</v>
      </c>
      <c r="CA38" s="30" t="n">
        <f aca="false">BZ38*(1-IF((2089-2022)/I38&gt;=1,J38,H38+(J38-H38)*(3*((2089-2022)/I38)^2-2*((2089-2022)/I38)^3)))</f>
        <v>0.00667840767817378</v>
      </c>
      <c r="CB38" s="30" t="n">
        <f aca="false">CA38*(1-IF((2090-2022)/I38&gt;=1,J38,H38+(J38-H38)*(3*((2090-2022)/I38)^2-2*((2090-2022)/I38)^3)))</f>
        <v>0.00657823156300118</v>
      </c>
      <c r="CC38" s="30" t="n">
        <f aca="false">CB38*(1-IF((2091-2022)/I38&gt;=1,J38,H38+(J38-H38)*(3*((2091-2022)/I38)^2-2*((2091-2022)/I38)^3)))</f>
        <v>0.00647955808955616</v>
      </c>
    </row>
    <row r="39" customFormat="false" ht="15" hidden="false" customHeight="true" outlineLevel="0" collapsed="false">
      <c r="A39" s="3" t="n">
        <v>76</v>
      </c>
      <c r="B39" s="30" t="n">
        <f aca="false">IF($A39&lt;=105,INDEX(ILT17_Source!$D$7:$D$52,MATCH($A39,ILT17_Source!$A$7:$A$52,0)),($B$16*EXP($B$17*$A39))/(1+$B$16*EXP($B$17*$A39)))</f>
        <v>0.030528185</v>
      </c>
      <c r="C39" s="31" t="n">
        <f aca="false">LOOKUP($A39,{60,65,70,75,80,85,90,95},{0.78,0.82,0.85,0.88,0.91,0.94,0.97,1})</f>
        <v>0.88</v>
      </c>
      <c r="D39" s="30" t="n">
        <f aca="false">B39*C39</f>
        <v>0.0268648028</v>
      </c>
      <c r="E39" s="30" t="n">
        <f aca="false">1/(1+EXP(-(($B$6+$B$8*(2016-2022))+($B$7+$B$9*(2016-2022))*($A39-$B$10))))</f>
        <v>0.0357113412367901</v>
      </c>
      <c r="F39" s="30" t="n">
        <f aca="false">1/(1+EXP(-(($B$6+$B$8*(2021-2022))+($B$7+$B$9*(2021-2022))*($A39-$B$10))))</f>
        <v>0.0322692478528509</v>
      </c>
      <c r="G39" s="30" t="n">
        <f aca="false">1/(1+EXP(-(($B$6+$B$8*(2022-2022))+($B$7+$B$9*(2022-2022))*($A39-$B$10))))</f>
        <v>0.0316203726973891</v>
      </c>
      <c r="H39" s="32" t="n">
        <f aca="false">(F39-G39)/F39</f>
        <v>0.0201081586537357</v>
      </c>
      <c r="I39" s="38" t="n">
        <f aca="false">IF($A39&lt;=50,$B$14,IF($A39&gt;=95,$B$15,$B$14+($B$15-$B$14)*($A39-50)/(95-50)))</f>
        <v>11.3333333333333</v>
      </c>
      <c r="J39" s="39" t="n">
        <f aca="false">IF($A39&lt;=$B$12,$B$11,IF($A39&gt;=$B$13,0,$B$11*($B$13-$A39)/($B$13-$B$12)))</f>
        <v>0.015</v>
      </c>
      <c r="K39" s="30" t="n">
        <f aca="false">D39*G39/E39</f>
        <v>0.0237872633051017</v>
      </c>
      <c r="L39" s="30" t="n">
        <f aca="false">K39*$B$19</f>
        <v>0.0214085369745915</v>
      </c>
      <c r="M39" s="30" t="n">
        <f aca="false">L39*(1-IF((2023-2022)/I39&gt;=1,J39,H39+(J39-H39)*(3*((2023-2022)/I39)^2-2*((2023-2022)/I39)^3)))</f>
        <v>0.0209804546827677</v>
      </c>
      <c r="N39" s="30" t="n">
        <f aca="false">M39*(1-IF((2024-2022)/I39&gt;=1,J39,H39+(J39-H39)*(3*((2024-2022)/I39)^2-2*((2024-2022)/I39)^3)))</f>
        <v>0.0205674109844291</v>
      </c>
      <c r="O39" s="30" t="n">
        <f aca="false">N39*(1-IF((2025-2022)/I39&gt;=1,J39,H39+(J39-H39)*(3*((2025-2022)/I39)^2-2*((2025-2022)/I39)^3)))</f>
        <v>0.0201720256605907</v>
      </c>
      <c r="P39" s="30" t="n">
        <f aca="false">O39*(1-IF((2026-2022)/I39&gt;=1,J39,H39+(J39-H39)*(3*((2026-2022)/I39)^2-2*((2026-2022)/I39)^3)))</f>
        <v>0.0197958499056</v>
      </c>
      <c r="Q39" s="30" t="n">
        <f aca="false">P39*(1-IF((2027-2022)/I39&gt;=1,J39,H39+(J39-H39)*(3*((2027-2022)/I39)^2-2*((2027-2022)/I39)^3)))</f>
        <v>0.0194394707672937</v>
      </c>
      <c r="R39" s="30" t="n">
        <f aca="false">Q39*(1-IF((2028-2022)/I39&gt;=1,J39,H39+(J39-H39)*(3*((2028-2022)/I39)^2-2*((2028-2022)/I39)^3)))</f>
        <v>0.019102604580434</v>
      </c>
      <c r="S39" s="30" t="n">
        <f aca="false">R39*(1-IF((2029-2022)/I39&gt;=1,J39,H39+(J39-H39)*(3*((2029-2022)/I39)^2-2*((2029-2022)/I39)^3)))</f>
        <v>0.0187841780089642</v>
      </c>
      <c r="T39" s="30" t="n">
        <f aca="false">S39*(1-IF((2030-2022)/I39&gt;=1,J39,H39+(J39-H39)*(3*((2030-2022)/I39)^2-2*((2030-2022)/I39)^3)))</f>
        <v>0.0184823967401149</v>
      </c>
      <c r="U39" s="30" t="n">
        <f aca="false">T39*(1-IF((2031-2022)/I39&gt;=1,J39,H39+(J39-H39)*(3*((2031-2022)/I39)^2-2*((2031-2022)/I39)^3)))</f>
        <v>0.0181948030570767</v>
      </c>
      <c r="V39" s="30" t="n">
        <f aca="false">U39*(1-IF((2032-2022)/I39&gt;=1,J39,H39+(J39-H39)*(3*((2032-2022)/I39)^2-2*((2032-2022)/I39)^3)))</f>
        <v>0.0179183245111494</v>
      </c>
      <c r="W39" s="30" t="n">
        <f aca="false">V39*(1-IF((2033-2022)/I39&gt;=1,J39,H39+(J39-H39)*(3*((2033-2022)/I39)^2-2*((2033-2022)/I39)^3)))</f>
        <v>0.017649316767326</v>
      </c>
      <c r="X39" s="30" t="n">
        <f aca="false">W39*(1-IF((2034-2022)/I39&gt;=1,J39,H39+(J39-H39)*(3*((2034-2022)/I39)^2-2*((2034-2022)/I39)^3)))</f>
        <v>0.0173845770158161</v>
      </c>
      <c r="Y39" s="30" t="n">
        <f aca="false">X39*(1-IF((2035-2022)/I39&gt;=1,J39,H39+(J39-H39)*(3*((2035-2022)/I39)^2-2*((2035-2022)/I39)^3)))</f>
        <v>0.0171238083605788</v>
      </c>
      <c r="Z39" s="30" t="n">
        <f aca="false">Y39*(1-IF((2036-2022)/I39&gt;=1,J39,H39+(J39-H39)*(3*((2036-2022)/I39)^2-2*((2036-2022)/I39)^3)))</f>
        <v>0.0168669512351702</v>
      </c>
      <c r="AA39" s="30" t="n">
        <f aca="false">Z39*(1-IF((2037-2022)/I39&gt;=1,J39,H39+(J39-H39)*(3*((2037-2022)/I39)^2-2*((2037-2022)/I39)^3)))</f>
        <v>0.0166139469666426</v>
      </c>
      <c r="AB39" s="30" t="n">
        <f aca="false">AA39*(1-IF((2038-2022)/I39&gt;=1,J39,H39+(J39-H39)*(3*((2038-2022)/I39)^2-2*((2038-2022)/I39)^3)))</f>
        <v>0.016364737762143</v>
      </c>
      <c r="AC39" s="30" t="n">
        <f aca="false">AB39*(1-IF((2039-2022)/I39&gt;=1,J39,H39+(J39-H39)*(3*((2039-2022)/I39)^2-2*((2039-2022)/I39)^3)))</f>
        <v>0.0161192666957108</v>
      </c>
      <c r="AD39" s="30" t="n">
        <f aca="false">AC39*(1-IF((2040-2022)/I39&gt;=1,J39,H39+(J39-H39)*(3*((2040-2022)/I39)^2-2*((2040-2022)/I39)^3)))</f>
        <v>0.0158774776952752</v>
      </c>
      <c r="AE39" s="30" t="n">
        <f aca="false">AD39*(1-IF((2041-2022)/I39&gt;=1,J39,H39+(J39-H39)*(3*((2041-2022)/I39)^2-2*((2041-2022)/I39)^3)))</f>
        <v>0.015639315529846</v>
      </c>
      <c r="AF39" s="30" t="n">
        <f aca="false">AE39*(1-IF((2042-2022)/I39&gt;=1,J39,H39+(J39-H39)*(3*((2042-2022)/I39)^2-2*((2042-2022)/I39)^3)))</f>
        <v>0.0154047257968983</v>
      </c>
      <c r="AG39" s="30" t="n">
        <f aca="false">AF39*(1-IF((2043-2022)/I39&gt;=1,J39,H39+(J39-H39)*(3*((2043-2022)/I39)^2-2*((2043-2022)/I39)^3)))</f>
        <v>0.0151736549099449</v>
      </c>
      <c r="AH39" s="30" t="n">
        <f aca="false">AG39*(1-IF((2044-2022)/I39&gt;=1,J39,H39+(J39-H39)*(3*((2044-2022)/I39)^2-2*((2044-2022)/I39)^3)))</f>
        <v>0.0149460500862957</v>
      </c>
      <c r="AI39" s="30" t="n">
        <f aca="false">AH39*(1-IF((2045-2022)/I39&gt;=1,J39,H39+(J39-H39)*(3*((2045-2022)/I39)^2-2*((2045-2022)/I39)^3)))</f>
        <v>0.0147218593350013</v>
      </c>
      <c r="AJ39" s="30" t="n">
        <f aca="false">AI39*(1-IF((2046-2022)/I39&gt;=1,J39,H39+(J39-H39)*(3*((2046-2022)/I39)^2-2*((2046-2022)/I39)^3)))</f>
        <v>0.0145010314449762</v>
      </c>
      <c r="AK39" s="30" t="n">
        <f aca="false">AJ39*(1-IF((2047-2022)/I39&gt;=1,J39,H39+(J39-H39)*(3*((2047-2022)/I39)^2-2*((2047-2022)/I39)^3)))</f>
        <v>0.0142835159733016</v>
      </c>
      <c r="AL39" s="30" t="n">
        <f aca="false">AK39*(1-IF((2048-2022)/I39&gt;=1,J39,H39+(J39-H39)*(3*((2048-2022)/I39)^2-2*((2048-2022)/I39)^3)))</f>
        <v>0.0140692632337021</v>
      </c>
      <c r="AM39" s="30" t="n">
        <f aca="false">AL39*(1-IF((2049-2022)/I39&gt;=1,J39,H39+(J39-H39)*(3*((2049-2022)/I39)^2-2*((2049-2022)/I39)^3)))</f>
        <v>0.0138582242851965</v>
      </c>
      <c r="AN39" s="30" t="n">
        <f aca="false">AM39*(1-IF((2050-2022)/I39&gt;=1,J39,H39+(J39-H39)*(3*((2050-2022)/I39)^2-2*((2050-2022)/I39)^3)))</f>
        <v>0.0136503509209186</v>
      </c>
      <c r="AO39" s="30" t="n">
        <f aca="false">AN39*(1-IF((2051-2022)/I39&gt;=1,J39,H39+(J39-H39)*(3*((2051-2022)/I39)^2-2*((2051-2022)/I39)^3)))</f>
        <v>0.0134455956571048</v>
      </c>
      <c r="AP39" s="30" t="n">
        <f aca="false">AO39*(1-IF((2052-2022)/I39&gt;=1,J39,H39+(J39-H39)*(3*((2052-2022)/I39)^2-2*((2052-2022)/I39)^3)))</f>
        <v>0.0132439117222482</v>
      </c>
      <c r="AQ39" s="30" t="n">
        <f aca="false">AP39*(1-IF((2053-2022)/I39&gt;=1,J39,H39+(J39-H39)*(3*((2053-2022)/I39)^2-2*((2053-2022)/I39)^3)))</f>
        <v>0.0130452530464145</v>
      </c>
      <c r="AR39" s="30" t="n">
        <f aca="false">AQ39*(1-IF((2054-2022)/I39&gt;=1,J39,H39+(J39-H39)*(3*((2054-2022)/I39)^2-2*((2054-2022)/I39)^3)))</f>
        <v>0.0128495742507183</v>
      </c>
      <c r="AS39" s="30" t="n">
        <f aca="false">AR39*(1-IF((2055-2022)/I39&gt;=1,J39,H39+(J39-H39)*(3*((2055-2022)/I39)^2-2*((2055-2022)/I39)^3)))</f>
        <v>0.0126568306369575</v>
      </c>
      <c r="AT39" s="30" t="n">
        <f aca="false">AS39*(1-IF((2056-2022)/I39&gt;=1,J39,H39+(J39-H39)*(3*((2056-2022)/I39)^2-2*((2056-2022)/I39)^3)))</f>
        <v>0.0124669781774032</v>
      </c>
      <c r="AU39" s="30" t="n">
        <f aca="false">AT39*(1-IF((2057-2022)/I39&gt;=1,J39,H39+(J39-H39)*(3*((2057-2022)/I39)^2-2*((2057-2022)/I39)^3)))</f>
        <v>0.0122799735047421</v>
      </c>
      <c r="AV39" s="30" t="n">
        <f aca="false">AU39*(1-IF((2058-2022)/I39&gt;=1,J39,H39+(J39-H39)*(3*((2058-2022)/I39)^2-2*((2058-2022)/I39)^3)))</f>
        <v>0.012095773902171</v>
      </c>
      <c r="AW39" s="30" t="n">
        <f aca="false">AV39*(1-IF((2059-2022)/I39&gt;=1,J39,H39+(J39-H39)*(3*((2059-2022)/I39)^2-2*((2059-2022)/I39)^3)))</f>
        <v>0.0119143372936384</v>
      </c>
      <c r="AX39" s="30" t="n">
        <f aca="false">AW39*(1-IF((2060-2022)/I39&gt;=1,J39,H39+(J39-H39)*(3*((2060-2022)/I39)^2-2*((2060-2022)/I39)^3)))</f>
        <v>0.0117356222342338</v>
      </c>
      <c r="AY39" s="30" t="n">
        <f aca="false">AX39*(1-IF((2061-2022)/I39&gt;=1,J39,H39+(J39-H39)*(3*((2061-2022)/I39)^2-2*((2061-2022)/I39)^3)))</f>
        <v>0.0115595879007203</v>
      </c>
      <c r="AZ39" s="30" t="n">
        <f aca="false">AY39*(1-IF((2062-2022)/I39&gt;=1,J39,H39+(J39-H39)*(3*((2062-2022)/I39)^2-2*((2062-2022)/I39)^3)))</f>
        <v>0.0113861940822095</v>
      </c>
      <c r="BA39" s="30" t="n">
        <f aca="false">AZ39*(1-IF((2063-2022)/I39&gt;=1,J39,H39+(J39-H39)*(3*((2063-2022)/I39)^2-2*((2063-2022)/I39)^3)))</f>
        <v>0.0112154011709764</v>
      </c>
      <c r="BB39" s="30" t="n">
        <f aca="false">BA39*(1-IF((2064-2022)/I39&gt;=1,J39,H39+(J39-H39)*(3*((2064-2022)/I39)^2-2*((2064-2022)/I39)^3)))</f>
        <v>0.0110471701534117</v>
      </c>
      <c r="BC39" s="30" t="n">
        <f aca="false">BB39*(1-IF((2065-2022)/I39&gt;=1,J39,H39+(J39-H39)*(3*((2065-2022)/I39)^2-2*((2065-2022)/I39)^3)))</f>
        <v>0.0108814626011106</v>
      </c>
      <c r="BD39" s="30" t="n">
        <f aca="false">BC39*(1-IF((2066-2022)/I39&gt;=1,J39,H39+(J39-H39)*(3*((2066-2022)/I39)^2-2*((2066-2022)/I39)^3)))</f>
        <v>0.0107182406620939</v>
      </c>
      <c r="BE39" s="30" t="n">
        <f aca="false">BD39*(1-IF((2067-2022)/I39&gt;=1,J39,H39+(J39-H39)*(3*((2067-2022)/I39)^2-2*((2067-2022)/I39)^3)))</f>
        <v>0.0105574670521625</v>
      </c>
      <c r="BF39" s="30" t="n">
        <f aca="false">BE39*(1-IF((2068-2022)/I39&gt;=1,J39,H39+(J39-H39)*(3*((2068-2022)/I39)^2-2*((2068-2022)/I39)^3)))</f>
        <v>0.0103991050463801</v>
      </c>
      <c r="BG39" s="30" t="n">
        <f aca="false">BF39*(1-IF((2069-2022)/I39&gt;=1,J39,H39+(J39-H39)*(3*((2069-2022)/I39)^2-2*((2069-2022)/I39)^3)))</f>
        <v>0.0102431184706844</v>
      </c>
      <c r="BH39" s="30" t="n">
        <f aca="false">BG39*(1-IF((2070-2022)/I39&gt;=1,J39,H39+(J39-H39)*(3*((2070-2022)/I39)^2-2*((2070-2022)/I39)^3)))</f>
        <v>0.0100894716936241</v>
      </c>
      <c r="BI39" s="30" t="n">
        <f aca="false">BH39*(1-IF((2071-2022)/I39&gt;=1,J39,H39+(J39-H39)*(3*((2071-2022)/I39)^2-2*((2071-2022)/I39)^3)))</f>
        <v>0.00993812961821973</v>
      </c>
      <c r="BJ39" s="30" t="n">
        <f aca="false">BI39*(1-IF((2072-2022)/I39&gt;=1,J39,H39+(J39-H39)*(3*((2072-2022)/I39)^2-2*((2072-2022)/I39)^3)))</f>
        <v>0.00978905767394644</v>
      </c>
      <c r="BK39" s="30" t="n">
        <f aca="false">BJ39*(1-IF((2073-2022)/I39&gt;=1,J39,H39+(J39-H39)*(3*((2073-2022)/I39)^2-2*((2073-2022)/I39)^3)))</f>
        <v>0.00964222180883724</v>
      </c>
      <c r="BL39" s="30" t="n">
        <f aca="false">BK39*(1-IF((2074-2022)/I39&gt;=1,J39,H39+(J39-H39)*(3*((2074-2022)/I39)^2-2*((2074-2022)/I39)^3)))</f>
        <v>0.00949758848170468</v>
      </c>
      <c r="BM39" s="30" t="n">
        <f aca="false">BL39*(1-IF((2075-2022)/I39&gt;=1,J39,H39+(J39-H39)*(3*((2075-2022)/I39)^2-2*((2075-2022)/I39)^3)))</f>
        <v>0.00935512465447911</v>
      </c>
      <c r="BN39" s="30" t="n">
        <f aca="false">BM39*(1-IF((2076-2022)/I39&gt;=1,J39,H39+(J39-H39)*(3*((2076-2022)/I39)^2-2*((2076-2022)/I39)^3)))</f>
        <v>0.00921479778466192</v>
      </c>
      <c r="BO39" s="30" t="n">
        <f aca="false">BN39*(1-IF((2077-2022)/I39&gt;=1,J39,H39+(J39-H39)*(3*((2077-2022)/I39)^2-2*((2077-2022)/I39)^3)))</f>
        <v>0.009076575817892</v>
      </c>
      <c r="BP39" s="30" t="n">
        <f aca="false">BO39*(1-IF((2078-2022)/I39&gt;=1,J39,H39+(J39-H39)*(3*((2078-2022)/I39)^2-2*((2078-2022)/I39)^3)))</f>
        <v>0.00894042718062362</v>
      </c>
      <c r="BQ39" s="30" t="n">
        <f aca="false">BP39*(1-IF((2079-2022)/I39&gt;=1,J39,H39+(J39-H39)*(3*((2079-2022)/I39)^2-2*((2079-2022)/I39)^3)))</f>
        <v>0.00880632077291426</v>
      </c>
      <c r="BR39" s="30" t="n">
        <f aca="false">BQ39*(1-IF((2080-2022)/I39&gt;=1,J39,H39+(J39-H39)*(3*((2080-2022)/I39)^2-2*((2080-2022)/I39)^3)))</f>
        <v>0.00867422596132055</v>
      </c>
      <c r="BS39" s="30" t="n">
        <f aca="false">BR39*(1-IF((2081-2022)/I39&gt;=1,J39,H39+(J39-H39)*(3*((2081-2022)/I39)^2-2*((2081-2022)/I39)^3)))</f>
        <v>0.00854411257190074</v>
      </c>
      <c r="BT39" s="30" t="n">
        <f aca="false">BS39*(1-IF((2082-2022)/I39&gt;=1,J39,H39+(J39-H39)*(3*((2082-2022)/I39)^2-2*((2082-2022)/I39)^3)))</f>
        <v>0.00841595088332223</v>
      </c>
      <c r="BU39" s="30" t="n">
        <f aca="false">BT39*(1-IF((2083-2022)/I39&gt;=1,J39,H39+(J39-H39)*(3*((2083-2022)/I39)^2-2*((2083-2022)/I39)^3)))</f>
        <v>0.00828971162007239</v>
      </c>
      <c r="BV39" s="30" t="n">
        <f aca="false">BU39*(1-IF((2084-2022)/I39&gt;=1,J39,H39+(J39-H39)*(3*((2084-2022)/I39)^2-2*((2084-2022)/I39)^3)))</f>
        <v>0.00816536594577131</v>
      </c>
      <c r="BW39" s="30" t="n">
        <f aca="false">BV39*(1-IF((2085-2022)/I39&gt;=1,J39,H39+(J39-H39)*(3*((2085-2022)/I39)^2-2*((2085-2022)/I39)^3)))</f>
        <v>0.00804288545658474</v>
      </c>
      <c r="BX39" s="30" t="n">
        <f aca="false">BW39*(1-IF((2086-2022)/I39&gt;=1,J39,H39+(J39-H39)*(3*((2086-2022)/I39)^2-2*((2086-2022)/I39)^3)))</f>
        <v>0.00792224217473597</v>
      </c>
      <c r="BY39" s="30" t="n">
        <f aca="false">BX39*(1-IF((2087-2022)/I39&gt;=1,J39,H39+(J39-H39)*(3*((2087-2022)/I39)^2-2*((2087-2022)/I39)^3)))</f>
        <v>0.00780340854211493</v>
      </c>
      <c r="BZ39" s="30" t="n">
        <f aca="false">BY39*(1-IF((2088-2022)/I39&gt;=1,J39,H39+(J39-H39)*(3*((2088-2022)/I39)^2-2*((2088-2022)/I39)^3)))</f>
        <v>0.0076863574139832</v>
      </c>
      <c r="CA39" s="30" t="n">
        <f aca="false">BZ39*(1-IF((2089-2022)/I39&gt;=1,J39,H39+(J39-H39)*(3*((2089-2022)/I39)^2-2*((2089-2022)/I39)^3)))</f>
        <v>0.00757106205277346</v>
      </c>
      <c r="CB39" s="30" t="n">
        <f aca="false">CA39*(1-IF((2090-2022)/I39&gt;=1,J39,H39+(J39-H39)*(3*((2090-2022)/I39)^2-2*((2090-2022)/I39)^3)))</f>
        <v>0.00745749612198185</v>
      </c>
      <c r="CC39" s="30" t="n">
        <f aca="false">CB39*(1-IF((2091-2022)/I39&gt;=1,J39,H39+(J39-H39)*(3*((2091-2022)/I39)^2-2*((2091-2022)/I39)^3)))</f>
        <v>0.00734563368015213</v>
      </c>
    </row>
    <row r="40" customFormat="false" ht="15" hidden="false" customHeight="true" outlineLevel="0" collapsed="false">
      <c r="A40" s="3" t="n">
        <v>77</v>
      </c>
      <c r="B40" s="30" t="n">
        <f aca="false">IF($A40&lt;=105,INDEX(ILT17_Source!$D$7:$D$52,MATCH($A40,ILT17_Source!$A$7:$A$52,0)),($B$16*EXP($B$17*$A40))/(1+$B$16*EXP($B$17*$A40)))</f>
        <v>0.03440172</v>
      </c>
      <c r="C40" s="31" t="n">
        <f aca="false">LOOKUP($A40,{60,65,70,75,80,85,90,95},{0.78,0.82,0.85,0.88,0.91,0.94,0.97,1})</f>
        <v>0.88</v>
      </c>
      <c r="D40" s="30" t="n">
        <f aca="false">B40*C40</f>
        <v>0.0302735136</v>
      </c>
      <c r="E40" s="30" t="n">
        <f aca="false">1/(1+EXP(-(($B$6+$B$8*(2016-2022))+($B$7+$B$9*(2016-2022))*($A40-$B$10))))</f>
        <v>0.0397252635839214</v>
      </c>
      <c r="F40" s="30" t="n">
        <f aca="false">1/(1+EXP(-(($B$6+$B$8*(2021-2022))+($B$7+$B$9*(2021-2022))*($A40-$B$10))))</f>
        <v>0.036005423211204</v>
      </c>
      <c r="G40" s="30" t="n">
        <f aca="false">1/(1+EXP(-(($B$6+$B$8*(2022-2022))+($B$7+$B$9*(2022-2022))*($A40-$B$10))))</f>
        <v>0.0353027689525136</v>
      </c>
      <c r="H40" s="32" t="n">
        <f aca="false">(F40-G40)/F40</f>
        <v>0.0195152339848572</v>
      </c>
      <c r="I40" s="38" t="n">
        <f aca="false">IF($A40&lt;=50,$B$14,IF($A40&gt;=95,$B$15,$B$14+($B$15-$B$14)*($A40-50)/(95-50)))</f>
        <v>11</v>
      </c>
      <c r="J40" s="39" t="n">
        <f aca="false">IF($A40&lt;=$B$12,$B$11,IF($A40&gt;=$B$13,0,$B$11*($B$13-$A40)/($B$13-$B$12)))</f>
        <v>0.015</v>
      </c>
      <c r="K40" s="30" t="n">
        <f aca="false">D40*G40/E40</f>
        <v>0.0269032539895882</v>
      </c>
      <c r="L40" s="30" t="n">
        <f aca="false">K40*$B$19</f>
        <v>0.0242129285906294</v>
      </c>
      <c r="M40" s="30" t="n">
        <f aca="false">L40*(1-IF((2023-2022)/I40&gt;=1,J40,H40+(J40-H40)*(3*((2023-2022)/I40)^2-2*((2023-2022)/I40)^3)))</f>
        <v>0.0237429539334011</v>
      </c>
      <c r="N40" s="30" t="n">
        <f aca="false">M40*(1-IF((2024-2022)/I40&gt;=1,J40,H40+(J40-H40)*(3*((2024-2022)/I40)^2-2*((2024-2022)/I40)^3)))</f>
        <v>0.0232889478168203</v>
      </c>
      <c r="O40" s="30" t="n">
        <f aca="false">N40*(1-IF((2025-2022)/I40&gt;=1,J40,H40+(J40-H40)*(3*((2025-2022)/I40)^2-2*((2025-2022)/I40)^3)))</f>
        <v>0.0228536566552136</v>
      </c>
      <c r="P40" s="30" t="n">
        <f aca="false">O40*(1-IF((2026-2022)/I40&gt;=1,J40,H40+(J40-H40)*(3*((2026-2022)/I40)^2-2*((2026-2022)/I40)^3)))</f>
        <v>0.0224386733498554</v>
      </c>
      <c r="Q40" s="30" t="n">
        <f aca="false">P40*(1-IF((2027-2022)/I40&gt;=1,J40,H40+(J40-H40)*(3*((2027-2022)/I40)^2-2*((2027-2022)/I40)^3)))</f>
        <v>0.0220445464498132</v>
      </c>
      <c r="R40" s="30" t="n">
        <f aca="false">Q40*(1-IF((2028-2022)/I40&gt;=1,J40,H40+(J40-H40)*(3*((2028-2022)/I40)^2-2*((2028-2022)/I40)^3)))</f>
        <v>0.021670877979547</v>
      </c>
      <c r="S40" s="30" t="n">
        <f aca="false">R40*(1-IF((2029-2022)/I40&gt;=1,J40,H40+(J40-H40)*(3*((2029-2022)/I40)^2-2*((2029-2022)/I40)^3)))</f>
        <v>0.0213164086236074</v>
      </c>
      <c r="T40" s="30" t="n">
        <f aca="false">S40*(1-IF((2030-2022)/I40&gt;=1,J40,H40+(J40-H40)*(3*((2030-2022)/I40)^2-2*((2030-2022)/I40)^3)))</f>
        <v>0.0209790904407938</v>
      </c>
      <c r="U40" s="30" t="n">
        <f aca="false">T40*(1-IF((2031-2022)/I40&gt;=1,J40,H40+(J40-H40)*(3*((2031-2022)/I40)^2-2*((2031-2022)/I40)^3)))</f>
        <v>0.0206561485182563</v>
      </c>
      <c r="V40" s="30" t="n">
        <f aca="false">U40*(1-IF((2032-2022)/I40&gt;=1,J40,H40+(J40-H40)*(3*((2032-2022)/I40)^2-2*((2032-2022)/I40)^3)))</f>
        <v>0.0203441340232718</v>
      </c>
      <c r="W40" s="30" t="n">
        <f aca="false">V40*(1-IF((2033-2022)/I40&gt;=1,J40,H40+(J40-H40)*(3*((2033-2022)/I40)^2-2*((2033-2022)/I40)^3)))</f>
        <v>0.0200389720129227</v>
      </c>
      <c r="X40" s="30" t="n">
        <f aca="false">W40*(1-IF((2034-2022)/I40&gt;=1,J40,H40+(J40-H40)*(3*((2034-2022)/I40)^2-2*((2034-2022)/I40)^3)))</f>
        <v>0.0197383874327289</v>
      </c>
      <c r="Y40" s="30" t="n">
        <f aca="false">X40*(1-IF((2035-2022)/I40&gt;=1,J40,H40+(J40-H40)*(3*((2035-2022)/I40)^2-2*((2035-2022)/I40)^3)))</f>
        <v>0.019442311621238</v>
      </c>
      <c r="Z40" s="30" t="n">
        <f aca="false">Y40*(1-IF((2036-2022)/I40&gt;=1,J40,H40+(J40-H40)*(3*((2036-2022)/I40)^2-2*((2036-2022)/I40)^3)))</f>
        <v>0.0191506769469194</v>
      </c>
      <c r="AA40" s="30" t="n">
        <f aca="false">Z40*(1-IF((2037-2022)/I40&gt;=1,J40,H40+(J40-H40)*(3*((2037-2022)/I40)^2-2*((2037-2022)/I40)^3)))</f>
        <v>0.0188634167927156</v>
      </c>
      <c r="AB40" s="30" t="n">
        <f aca="false">AA40*(1-IF((2038-2022)/I40&gt;=1,J40,H40+(J40-H40)*(3*((2038-2022)/I40)^2-2*((2038-2022)/I40)^3)))</f>
        <v>0.0185804655408249</v>
      </c>
      <c r="AC40" s="30" t="n">
        <f aca="false">AB40*(1-IF((2039-2022)/I40&gt;=1,J40,H40+(J40-H40)*(3*((2039-2022)/I40)^2-2*((2039-2022)/I40)^3)))</f>
        <v>0.0183017585577125</v>
      </c>
      <c r="AD40" s="30" t="n">
        <f aca="false">AC40*(1-IF((2040-2022)/I40&gt;=1,J40,H40+(J40-H40)*(3*((2040-2022)/I40)^2-2*((2040-2022)/I40)^3)))</f>
        <v>0.0180272321793468</v>
      </c>
      <c r="AE40" s="30" t="n">
        <f aca="false">AD40*(1-IF((2041-2022)/I40&gt;=1,J40,H40+(J40-H40)*(3*((2041-2022)/I40)^2-2*((2041-2022)/I40)^3)))</f>
        <v>0.0177568236966566</v>
      </c>
      <c r="AF40" s="30" t="n">
        <f aca="false">AE40*(1-IF((2042-2022)/I40&gt;=1,J40,H40+(J40-H40)*(3*((2042-2022)/I40)^2-2*((2042-2022)/I40)^3)))</f>
        <v>0.0174904713412068</v>
      </c>
      <c r="AG40" s="30" t="n">
        <f aca="false">AF40*(1-IF((2043-2022)/I40&gt;=1,J40,H40+(J40-H40)*(3*((2043-2022)/I40)^2-2*((2043-2022)/I40)^3)))</f>
        <v>0.0172281142710887</v>
      </c>
      <c r="AH40" s="30" t="n">
        <f aca="false">AG40*(1-IF((2044-2022)/I40&gt;=1,J40,H40+(J40-H40)*(3*((2044-2022)/I40)^2-2*((2044-2022)/I40)^3)))</f>
        <v>0.0169696925570223</v>
      </c>
      <c r="AI40" s="30" t="n">
        <f aca="false">AH40*(1-IF((2045-2022)/I40&gt;=1,J40,H40+(J40-H40)*(3*((2045-2022)/I40)^2-2*((2045-2022)/I40)^3)))</f>
        <v>0.016715147168667</v>
      </c>
      <c r="AJ40" s="30" t="n">
        <f aca="false">AI40*(1-IF((2046-2022)/I40&gt;=1,J40,H40+(J40-H40)*(3*((2046-2022)/I40)^2-2*((2046-2022)/I40)^3)))</f>
        <v>0.016464419961137</v>
      </c>
      <c r="AK40" s="30" t="n">
        <f aca="false">AJ40*(1-IF((2047-2022)/I40&gt;=1,J40,H40+(J40-H40)*(3*((2047-2022)/I40)^2-2*((2047-2022)/I40)^3)))</f>
        <v>0.0162174536617199</v>
      </c>
      <c r="AL40" s="30" t="n">
        <f aca="false">AK40*(1-IF((2048-2022)/I40&gt;=1,J40,H40+(J40-H40)*(3*((2048-2022)/I40)^2-2*((2048-2022)/I40)^3)))</f>
        <v>0.0159741918567941</v>
      </c>
      <c r="AM40" s="30" t="n">
        <f aca="false">AL40*(1-IF((2049-2022)/I40&gt;=1,J40,H40+(J40-H40)*(3*((2049-2022)/I40)^2-2*((2049-2022)/I40)^3)))</f>
        <v>0.0157345789789422</v>
      </c>
      <c r="AN40" s="30" t="n">
        <f aca="false">AM40*(1-IF((2050-2022)/I40&gt;=1,J40,H40+(J40-H40)*(3*((2050-2022)/I40)^2-2*((2050-2022)/I40)^3)))</f>
        <v>0.0154985602942581</v>
      </c>
      <c r="AO40" s="30" t="n">
        <f aca="false">AN40*(1-IF((2051-2022)/I40&gt;=1,J40,H40+(J40-H40)*(3*((2051-2022)/I40)^2-2*((2051-2022)/I40)^3)))</f>
        <v>0.0152660818898442</v>
      </c>
      <c r="AP40" s="30" t="n">
        <f aca="false">AO40*(1-IF((2052-2022)/I40&gt;=1,J40,H40+(J40-H40)*(3*((2052-2022)/I40)^2-2*((2052-2022)/I40)^3)))</f>
        <v>0.0150370906614966</v>
      </c>
      <c r="AQ40" s="30" t="n">
        <f aca="false">AP40*(1-IF((2053-2022)/I40&gt;=1,J40,H40+(J40-H40)*(3*((2053-2022)/I40)^2-2*((2053-2022)/I40)^3)))</f>
        <v>0.0148115343015741</v>
      </c>
      <c r="AR40" s="30" t="n">
        <f aca="false">AQ40*(1-IF((2054-2022)/I40&gt;=1,J40,H40+(J40-H40)*(3*((2054-2022)/I40)^2-2*((2054-2022)/I40)^3)))</f>
        <v>0.0145893612870505</v>
      </c>
      <c r="AS40" s="30" t="n">
        <f aca="false">AR40*(1-IF((2055-2022)/I40&gt;=1,J40,H40+(J40-H40)*(3*((2055-2022)/I40)^2-2*((2055-2022)/I40)^3)))</f>
        <v>0.0143705208677447</v>
      </c>
      <c r="AT40" s="30" t="n">
        <f aca="false">AS40*(1-IF((2056-2022)/I40&gt;=1,J40,H40+(J40-H40)*(3*((2056-2022)/I40)^2-2*((2056-2022)/I40)^3)))</f>
        <v>0.0141549630547286</v>
      </c>
      <c r="AU40" s="30" t="n">
        <f aca="false">AT40*(1-IF((2057-2022)/I40&gt;=1,J40,H40+(J40-H40)*(3*((2057-2022)/I40)^2-2*((2057-2022)/I40)^3)))</f>
        <v>0.0139426386089076</v>
      </c>
      <c r="AV40" s="30" t="n">
        <f aca="false">AU40*(1-IF((2058-2022)/I40&gt;=1,J40,H40+(J40-H40)*(3*((2058-2022)/I40)^2-2*((2058-2022)/I40)^3)))</f>
        <v>0.013733499029774</v>
      </c>
      <c r="AW40" s="30" t="n">
        <f aca="false">AV40*(1-IF((2059-2022)/I40&gt;=1,J40,H40+(J40-H40)*(3*((2059-2022)/I40)^2-2*((2059-2022)/I40)^3)))</f>
        <v>0.0135274965443274</v>
      </c>
      <c r="AX40" s="30" t="n">
        <f aca="false">AW40*(1-IF((2060-2022)/I40&gt;=1,J40,H40+(J40-H40)*(3*((2060-2022)/I40)^2-2*((2060-2022)/I40)^3)))</f>
        <v>0.0133245840961625</v>
      </c>
      <c r="AY40" s="30" t="n">
        <f aca="false">AX40*(1-IF((2061-2022)/I40&gt;=1,J40,H40+(J40-H40)*(3*((2061-2022)/I40)^2-2*((2061-2022)/I40)^3)))</f>
        <v>0.0131247153347201</v>
      </c>
      <c r="AZ40" s="30" t="n">
        <f aca="false">AY40*(1-IF((2062-2022)/I40&gt;=1,J40,H40+(J40-H40)*(3*((2062-2022)/I40)^2-2*((2062-2022)/I40)^3)))</f>
        <v>0.0129278446046993</v>
      </c>
      <c r="BA40" s="30" t="n">
        <f aca="false">AZ40*(1-IF((2063-2022)/I40&gt;=1,J40,H40+(J40-H40)*(3*((2063-2022)/I40)^2-2*((2063-2022)/I40)^3)))</f>
        <v>0.0127339269356288</v>
      </c>
      <c r="BB40" s="30" t="n">
        <f aca="false">BA40*(1-IF((2064-2022)/I40&gt;=1,J40,H40+(J40-H40)*(3*((2064-2022)/I40)^2-2*((2064-2022)/I40)^3)))</f>
        <v>0.0125429180315943</v>
      </c>
      <c r="BC40" s="30" t="n">
        <f aca="false">BB40*(1-IF((2065-2022)/I40&gt;=1,J40,H40+(J40-H40)*(3*((2065-2022)/I40)^2-2*((2065-2022)/I40)^3)))</f>
        <v>0.0123547742611204</v>
      </c>
      <c r="BD40" s="30" t="n">
        <f aca="false">BC40*(1-IF((2066-2022)/I40&gt;=1,J40,H40+(J40-H40)*(3*((2066-2022)/I40)^2-2*((2066-2022)/I40)^3)))</f>
        <v>0.0121694526472036</v>
      </c>
      <c r="BE40" s="30" t="n">
        <f aca="false">BD40*(1-IF((2067-2022)/I40&gt;=1,J40,H40+(J40-H40)*(3*((2067-2022)/I40)^2-2*((2067-2022)/I40)^3)))</f>
        <v>0.0119869108574956</v>
      </c>
      <c r="BF40" s="30" t="n">
        <f aca="false">BE40*(1-IF((2068-2022)/I40&gt;=1,J40,H40+(J40-H40)*(3*((2068-2022)/I40)^2-2*((2068-2022)/I40)^3)))</f>
        <v>0.0118071071946331</v>
      </c>
      <c r="BG40" s="30" t="n">
        <f aca="false">BF40*(1-IF((2069-2022)/I40&gt;=1,J40,H40+(J40-H40)*(3*((2069-2022)/I40)^2-2*((2069-2022)/I40)^3)))</f>
        <v>0.0116300005867136</v>
      </c>
      <c r="BH40" s="30" t="n">
        <f aca="false">BG40*(1-IF((2070-2022)/I40&gt;=1,J40,H40+(J40-H40)*(3*((2070-2022)/I40)^2-2*((2070-2022)/I40)^3)))</f>
        <v>0.0114555505779129</v>
      </c>
      <c r="BI40" s="30" t="n">
        <f aca="false">BH40*(1-IF((2071-2022)/I40&gt;=1,J40,H40+(J40-H40)*(3*((2071-2022)/I40)^2-2*((2071-2022)/I40)^3)))</f>
        <v>0.0112837173192442</v>
      </c>
      <c r="BJ40" s="30" t="n">
        <f aca="false">BI40*(1-IF((2072-2022)/I40&gt;=1,J40,H40+(J40-H40)*(3*((2072-2022)/I40)^2-2*((2072-2022)/I40)^3)))</f>
        <v>0.0111144615594556</v>
      </c>
      <c r="BK40" s="30" t="n">
        <f aca="false">BJ40*(1-IF((2073-2022)/I40&gt;=1,J40,H40+(J40-H40)*(3*((2073-2022)/I40)^2-2*((2073-2022)/I40)^3)))</f>
        <v>0.0109477446360637</v>
      </c>
      <c r="BL40" s="30" t="n">
        <f aca="false">BK40*(1-IF((2074-2022)/I40&gt;=1,J40,H40+(J40-H40)*(3*((2074-2022)/I40)^2-2*((2074-2022)/I40)^3)))</f>
        <v>0.0107835284665228</v>
      </c>
      <c r="BM40" s="30" t="n">
        <f aca="false">BL40*(1-IF((2075-2022)/I40&gt;=1,J40,H40+(J40-H40)*(3*((2075-2022)/I40)^2-2*((2075-2022)/I40)^3)))</f>
        <v>0.0106217755395249</v>
      </c>
      <c r="BN40" s="30" t="n">
        <f aca="false">BM40*(1-IF((2076-2022)/I40&gt;=1,J40,H40+(J40-H40)*(3*((2076-2022)/I40)^2-2*((2076-2022)/I40)^3)))</f>
        <v>0.0104624489064321</v>
      </c>
      <c r="BO40" s="30" t="n">
        <f aca="false">BN40*(1-IF((2077-2022)/I40&gt;=1,J40,H40+(J40-H40)*(3*((2077-2022)/I40)^2-2*((2077-2022)/I40)^3)))</f>
        <v>0.0103055121728356</v>
      </c>
      <c r="BP40" s="30" t="n">
        <f aca="false">BO40*(1-IF((2078-2022)/I40&gt;=1,J40,H40+(J40-H40)*(3*((2078-2022)/I40)^2-2*((2078-2022)/I40)^3)))</f>
        <v>0.010150929490243</v>
      </c>
      <c r="BQ40" s="30" t="n">
        <f aca="false">BP40*(1-IF((2079-2022)/I40&gt;=1,J40,H40+(J40-H40)*(3*((2079-2022)/I40)^2-2*((2079-2022)/I40)^3)))</f>
        <v>0.0099986655478894</v>
      </c>
      <c r="BR40" s="30" t="n">
        <f aca="false">BQ40*(1-IF((2080-2022)/I40&gt;=1,J40,H40+(J40-H40)*(3*((2080-2022)/I40)^2-2*((2080-2022)/I40)^3)))</f>
        <v>0.00984868556467106</v>
      </c>
      <c r="BS40" s="30" t="n">
        <f aca="false">BR40*(1-IF((2081-2022)/I40&gt;=1,J40,H40+(J40-H40)*(3*((2081-2022)/I40)^2-2*((2081-2022)/I40)^3)))</f>
        <v>0.00970095528120099</v>
      </c>
      <c r="BT40" s="30" t="n">
        <f aca="false">BS40*(1-IF((2082-2022)/I40&gt;=1,J40,H40+(J40-H40)*(3*((2082-2022)/I40)^2-2*((2082-2022)/I40)^3)))</f>
        <v>0.00955544095198298</v>
      </c>
      <c r="BU40" s="30" t="n">
        <f aca="false">BT40*(1-IF((2083-2022)/I40&gt;=1,J40,H40+(J40-H40)*(3*((2083-2022)/I40)^2-2*((2083-2022)/I40)^3)))</f>
        <v>0.00941210933770323</v>
      </c>
      <c r="BV40" s="30" t="n">
        <f aca="false">BU40*(1-IF((2084-2022)/I40&gt;=1,J40,H40+(J40-H40)*(3*((2084-2022)/I40)^2-2*((2084-2022)/I40)^3)))</f>
        <v>0.00927092769763768</v>
      </c>
      <c r="BW40" s="30" t="n">
        <f aca="false">BV40*(1-IF((2085-2022)/I40&gt;=1,J40,H40+(J40-H40)*(3*((2085-2022)/I40)^2-2*((2085-2022)/I40)^3)))</f>
        <v>0.00913186378217312</v>
      </c>
      <c r="BX40" s="30" t="n">
        <f aca="false">BW40*(1-IF((2086-2022)/I40&gt;=1,J40,H40+(J40-H40)*(3*((2086-2022)/I40)^2-2*((2086-2022)/I40)^3)))</f>
        <v>0.00899488582544052</v>
      </c>
      <c r="BY40" s="30" t="n">
        <f aca="false">BX40*(1-IF((2087-2022)/I40&gt;=1,J40,H40+(J40-H40)*(3*((2087-2022)/I40)^2-2*((2087-2022)/I40)^3)))</f>
        <v>0.00885996253805891</v>
      </c>
      <c r="BZ40" s="30" t="n">
        <f aca="false">BY40*(1-IF((2088-2022)/I40&gt;=1,J40,H40+(J40-H40)*(3*((2088-2022)/I40)^2-2*((2088-2022)/I40)^3)))</f>
        <v>0.00872706309998803</v>
      </c>
      <c r="CA40" s="30" t="n">
        <f aca="false">BZ40*(1-IF((2089-2022)/I40&gt;=1,J40,H40+(J40-H40)*(3*((2089-2022)/I40)^2-2*((2089-2022)/I40)^3)))</f>
        <v>0.00859615715348821</v>
      </c>
      <c r="CB40" s="30" t="n">
        <f aca="false">CA40*(1-IF((2090-2022)/I40&gt;=1,J40,H40+(J40-H40)*(3*((2090-2022)/I40)^2-2*((2090-2022)/I40)^3)))</f>
        <v>0.00846721479618589</v>
      </c>
      <c r="CC40" s="30" t="n">
        <f aca="false">CB40*(1-IF((2091-2022)/I40&gt;=1,J40,H40+(J40-H40)*(3*((2091-2022)/I40)^2-2*((2091-2022)/I40)^3)))</f>
        <v>0.0083402065742431</v>
      </c>
    </row>
    <row r="41" customFormat="false" ht="15" hidden="false" customHeight="true" outlineLevel="0" collapsed="false">
      <c r="A41" s="3" t="n">
        <v>78</v>
      </c>
      <c r="B41" s="30" t="n">
        <f aca="false">IF($A41&lt;=105,INDEX(ILT17_Source!$D$7:$D$52,MATCH($A41,ILT17_Source!$A$7:$A$52,0)),($B$16*EXP($B$17*$A41))/(1+$B$16*EXP($B$17*$A41)))</f>
        <v>0.038822405</v>
      </c>
      <c r="C41" s="31" t="n">
        <f aca="false">LOOKUP($A41,{60,65,70,75,80,85,90,95},{0.78,0.82,0.85,0.88,0.91,0.94,0.97,1})</f>
        <v>0.88</v>
      </c>
      <c r="D41" s="30" t="n">
        <f aca="false">B41*C41</f>
        <v>0.0341637164</v>
      </c>
      <c r="E41" s="30" t="n">
        <f aca="false">1/(1+EXP(-(($B$6+$B$8*(2016-2022))+($B$7+$B$9*(2016-2022))*($A41-$B$10))))</f>
        <v>0.0441696815145215</v>
      </c>
      <c r="F41" s="30" t="n">
        <f aca="false">1/(1+EXP(-(($B$6+$B$8*(2021-2022))+($B$7+$B$9*(2021-2022))*($A41-$B$10))))</f>
        <v>0.0401562278146226</v>
      </c>
      <c r="G41" s="30" t="n">
        <f aca="false">1/(1+EXP(-(($B$6+$B$8*(2022-2022))+($B$7+$B$9*(2022-2022))*($A41-$B$10))))</f>
        <v>0.0393965575571154</v>
      </c>
      <c r="H41" s="32" t="n">
        <f aca="false">(F41-G41)/F41</f>
        <v>0.0189178690043824</v>
      </c>
      <c r="I41" s="38" t="n">
        <f aca="false">IF($A41&lt;=50,$B$14,IF($A41&gt;=95,$B$15,$B$14+($B$15-$B$14)*($A41-50)/(95-50)))</f>
        <v>10.6666666666667</v>
      </c>
      <c r="J41" s="39" t="n">
        <f aca="false">IF($A41&lt;=$B$12,$B$11,IF($A41&gt;=$B$13,0,$B$11*($B$13-$A41)/($B$13-$B$12)))</f>
        <v>0.015</v>
      </c>
      <c r="K41" s="30" t="n">
        <f aca="false">D41*G41/E41</f>
        <v>0.0304718705991817</v>
      </c>
      <c r="L41" s="30" t="n">
        <f aca="false">K41*$B$19</f>
        <v>0.0274246835392636</v>
      </c>
      <c r="M41" s="30" t="n">
        <f aca="false">L41*(1-IF((2023-2022)/I41&gt;=1,J41,H41+(J41-H41)*(3*((2023-2022)/I41)^2-2*((2023-2022)/I41)^3)))</f>
        <v>0.0269085229597082</v>
      </c>
      <c r="N41" s="30" t="n">
        <f aca="false">M41*(1-IF((2024-2022)/I41&gt;=1,J41,H41+(J41-H41)*(3*((2024-2022)/I41)^2-2*((2024-2022)/I41)^3)))</f>
        <v>0.0264092001238482</v>
      </c>
      <c r="O41" s="30" t="n">
        <f aca="false">N41*(1-IF((2025-2022)/I41&gt;=1,J41,H41+(J41-H41)*(3*((2025-2022)/I41)^2-2*((2025-2022)/I41)^3)))</f>
        <v>0.0259295439653908</v>
      </c>
      <c r="P41" s="30" t="n">
        <f aca="false">O41*(1-IF((2026-2022)/I41&gt;=1,J41,H41+(J41-H41)*(3*((2026-2022)/I41)^2-2*((2026-2022)/I41)^3)))</f>
        <v>0.0254711555035468</v>
      </c>
      <c r="Q41" s="30" t="n">
        <f aca="false">P41*(1-IF((2027-2022)/I41&gt;=1,J41,H41+(J41-H41)*(3*((2027-2022)/I41)^2-2*((2027-2022)/I41)^3)))</f>
        <v>0.0250345201560277</v>
      </c>
      <c r="R41" s="30" t="n">
        <f aca="false">Q41*(1-IF((2028-2022)/I41&gt;=1,J41,H41+(J41-H41)*(3*((2028-2022)/I41)^2-2*((2028-2022)/I41)^3)))</f>
        <v>0.0246191086615606</v>
      </c>
      <c r="S41" s="30" t="n">
        <f aca="false">R41*(1-IF((2029-2022)/I41&gt;=1,J41,H41+(J41-H41)*(3*((2029-2022)/I41)^2-2*((2029-2022)/I41)^3)))</f>
        <v>0.0242234654312862</v>
      </c>
      <c r="T41" s="30" t="n">
        <f aca="false">S41*(1-IF((2030-2022)/I41&gt;=1,J41,H41+(J41-H41)*(3*((2030-2022)/I41)^2-2*((2030-2022)/I41)^3)))</f>
        <v>0.0238452846428807</v>
      </c>
      <c r="U41" s="30" t="n">
        <f aca="false">T41*(1-IF((2031-2022)/I41&gt;=1,J41,H41+(J41-H41)*(3*((2031-2022)/I41)^2-2*((2031-2022)/I41)^3)))</f>
        <v>0.0234814756488586</v>
      </c>
      <c r="V41" s="30" t="n">
        <f aca="false">U41*(1-IF((2032-2022)/I41&gt;=1,J41,H41+(J41-H41)*(3*((2032-2022)/I41)^2-2*((2032-2022)/I41)^3)))</f>
        <v>0.0231282203408106</v>
      </c>
      <c r="W41" s="30" t="n">
        <f aca="false">V41*(1-IF((2033-2022)/I41&gt;=1,J41,H41+(J41-H41)*(3*((2033-2022)/I41)^2-2*((2033-2022)/I41)^3)))</f>
        <v>0.0227812970356985</v>
      </c>
      <c r="X41" s="30" t="n">
        <f aca="false">W41*(1-IF((2034-2022)/I41&gt;=1,J41,H41+(J41-H41)*(3*((2034-2022)/I41)^2-2*((2034-2022)/I41)^3)))</f>
        <v>0.022439577580163</v>
      </c>
      <c r="Y41" s="30" t="n">
        <f aca="false">X41*(1-IF((2035-2022)/I41&gt;=1,J41,H41+(J41-H41)*(3*((2035-2022)/I41)^2-2*((2035-2022)/I41)^3)))</f>
        <v>0.0221029839164605</v>
      </c>
      <c r="Z41" s="30" t="n">
        <f aca="false">Y41*(1-IF((2036-2022)/I41&gt;=1,J41,H41+(J41-H41)*(3*((2036-2022)/I41)^2-2*((2036-2022)/I41)^3)))</f>
        <v>0.0217714391577136</v>
      </c>
      <c r="AA41" s="30" t="n">
        <f aca="false">Z41*(1-IF((2037-2022)/I41&gt;=1,J41,H41+(J41-H41)*(3*((2037-2022)/I41)^2-2*((2037-2022)/I41)^3)))</f>
        <v>0.0214448675703479</v>
      </c>
      <c r="AB41" s="30" t="n">
        <f aca="false">AA41*(1-IF((2038-2022)/I41&gt;=1,J41,H41+(J41-H41)*(3*((2038-2022)/I41)^2-2*((2038-2022)/I41)^3)))</f>
        <v>0.0211231945567927</v>
      </c>
      <c r="AC41" s="30" t="n">
        <f aca="false">AB41*(1-IF((2039-2022)/I41&gt;=1,J41,H41+(J41-H41)*(3*((2039-2022)/I41)^2-2*((2039-2022)/I41)^3)))</f>
        <v>0.0208063466384408</v>
      </c>
      <c r="AD41" s="30" t="n">
        <f aca="false">AC41*(1-IF((2040-2022)/I41&gt;=1,J41,H41+(J41-H41)*(3*((2040-2022)/I41)^2-2*((2040-2022)/I41)^3)))</f>
        <v>0.0204942514388642</v>
      </c>
      <c r="AE41" s="30" t="n">
        <f aca="false">AD41*(1-IF((2041-2022)/I41&gt;=1,J41,H41+(J41-H41)*(3*((2041-2022)/I41)^2-2*((2041-2022)/I41)^3)))</f>
        <v>0.0201868376672812</v>
      </c>
      <c r="AF41" s="30" t="n">
        <f aca="false">AE41*(1-IF((2042-2022)/I41&gt;=1,J41,H41+(J41-H41)*(3*((2042-2022)/I41)^2-2*((2042-2022)/I41)^3)))</f>
        <v>0.019884035102272</v>
      </c>
      <c r="AG41" s="30" t="n">
        <f aca="false">AF41*(1-IF((2043-2022)/I41&gt;=1,J41,H41+(J41-H41)*(3*((2043-2022)/I41)^2-2*((2043-2022)/I41)^3)))</f>
        <v>0.0195857745757379</v>
      </c>
      <c r="AH41" s="30" t="n">
        <f aca="false">AG41*(1-IF((2044-2022)/I41&gt;=1,J41,H41+(J41-H41)*(3*((2044-2022)/I41)^2-2*((2044-2022)/I41)^3)))</f>
        <v>0.0192919879571019</v>
      </c>
      <c r="AI41" s="30" t="n">
        <f aca="false">AH41*(1-IF((2045-2022)/I41&gt;=1,J41,H41+(J41-H41)*(3*((2045-2022)/I41)^2-2*((2045-2022)/I41)^3)))</f>
        <v>0.0190026081377453</v>
      </c>
      <c r="AJ41" s="30" t="n">
        <f aca="false">AI41*(1-IF((2046-2022)/I41&gt;=1,J41,H41+(J41-H41)*(3*((2046-2022)/I41)^2-2*((2046-2022)/I41)^3)))</f>
        <v>0.0187175690156792</v>
      </c>
      <c r="AK41" s="30" t="n">
        <f aca="false">AJ41*(1-IF((2047-2022)/I41&gt;=1,J41,H41+(J41-H41)*(3*((2047-2022)/I41)^2-2*((2047-2022)/I41)^3)))</f>
        <v>0.018436805480444</v>
      </c>
      <c r="AL41" s="30" t="n">
        <f aca="false">AK41*(1-IF((2048-2022)/I41&gt;=1,J41,H41+(J41-H41)*(3*((2048-2022)/I41)^2-2*((2048-2022)/I41)^3)))</f>
        <v>0.0181602533982373</v>
      </c>
      <c r="AM41" s="30" t="n">
        <f aca="false">AL41*(1-IF((2049-2022)/I41&gt;=1,J41,H41+(J41-H41)*(3*((2049-2022)/I41)^2-2*((2049-2022)/I41)^3)))</f>
        <v>0.0178878495972638</v>
      </c>
      <c r="AN41" s="30" t="n">
        <f aca="false">AM41*(1-IF((2050-2022)/I41&gt;=1,J41,H41+(J41-H41)*(3*((2050-2022)/I41)^2-2*((2050-2022)/I41)^3)))</f>
        <v>0.0176195318533048</v>
      </c>
      <c r="AO41" s="30" t="n">
        <f aca="false">AN41*(1-IF((2051-2022)/I41&gt;=1,J41,H41+(J41-H41)*(3*((2051-2022)/I41)^2-2*((2051-2022)/I41)^3)))</f>
        <v>0.0173552388755052</v>
      </c>
      <c r="AP41" s="30" t="n">
        <f aca="false">AO41*(1-IF((2052-2022)/I41&gt;=1,J41,H41+(J41-H41)*(3*((2052-2022)/I41)^2-2*((2052-2022)/I41)^3)))</f>
        <v>0.0170949102923726</v>
      </c>
      <c r="AQ41" s="30" t="n">
        <f aca="false">AP41*(1-IF((2053-2022)/I41&gt;=1,J41,H41+(J41-H41)*(3*((2053-2022)/I41)^2-2*((2053-2022)/I41)^3)))</f>
        <v>0.0168384866379871</v>
      </c>
      <c r="AR41" s="30" t="n">
        <f aca="false">AQ41*(1-IF((2054-2022)/I41&gt;=1,J41,H41+(J41-H41)*(3*((2054-2022)/I41)^2-2*((2054-2022)/I41)^3)))</f>
        <v>0.0165859093384172</v>
      </c>
      <c r="AS41" s="30" t="n">
        <f aca="false">AR41*(1-IF((2055-2022)/I41&gt;=1,J41,H41+(J41-H41)*(3*((2055-2022)/I41)^2-2*((2055-2022)/I41)^3)))</f>
        <v>0.016337120698341</v>
      </c>
      <c r="AT41" s="30" t="n">
        <f aca="false">AS41*(1-IF((2056-2022)/I41&gt;=1,J41,H41+(J41-H41)*(3*((2056-2022)/I41)^2-2*((2056-2022)/I41)^3)))</f>
        <v>0.0160920638878659</v>
      </c>
      <c r="AU41" s="30" t="n">
        <f aca="false">AT41*(1-IF((2057-2022)/I41&gt;=1,J41,H41+(J41-H41)*(3*((2057-2022)/I41)^2-2*((2057-2022)/I41)^3)))</f>
        <v>0.0158506829295479</v>
      </c>
      <c r="AV41" s="30" t="n">
        <f aca="false">AU41*(1-IF((2058-2022)/I41&gt;=1,J41,H41+(J41-H41)*(3*((2058-2022)/I41)^2-2*((2058-2022)/I41)^3)))</f>
        <v>0.0156129226856047</v>
      </c>
      <c r="AW41" s="30" t="n">
        <f aca="false">AV41*(1-IF((2059-2022)/I41&gt;=1,J41,H41+(J41-H41)*(3*((2059-2022)/I41)^2-2*((2059-2022)/I41)^3)))</f>
        <v>0.0153787288453206</v>
      </c>
      <c r="AX41" s="30" t="n">
        <f aca="false">AW41*(1-IF((2060-2022)/I41&gt;=1,J41,H41+(J41-H41)*(3*((2060-2022)/I41)^2-2*((2060-2022)/I41)^3)))</f>
        <v>0.0151480479126408</v>
      </c>
      <c r="AY41" s="30" t="n">
        <f aca="false">AX41*(1-IF((2061-2022)/I41&gt;=1,J41,H41+(J41-H41)*(3*((2061-2022)/I41)^2-2*((2061-2022)/I41)^3)))</f>
        <v>0.0149208271939512</v>
      </c>
      <c r="AZ41" s="30" t="n">
        <f aca="false">AY41*(1-IF((2062-2022)/I41&gt;=1,J41,H41+(J41-H41)*(3*((2062-2022)/I41)^2-2*((2062-2022)/I41)^3)))</f>
        <v>0.0146970147860419</v>
      </c>
      <c r="BA41" s="30" t="n">
        <f aca="false">AZ41*(1-IF((2063-2022)/I41&gt;=1,J41,H41+(J41-H41)*(3*((2063-2022)/I41)^2-2*((2063-2022)/I41)^3)))</f>
        <v>0.0144765595642513</v>
      </c>
      <c r="BB41" s="30" t="n">
        <f aca="false">BA41*(1-IF((2064-2022)/I41&gt;=1,J41,H41+(J41-H41)*(3*((2064-2022)/I41)^2-2*((2064-2022)/I41)^3)))</f>
        <v>0.0142594111707875</v>
      </c>
      <c r="BC41" s="30" t="n">
        <f aca="false">BB41*(1-IF((2065-2022)/I41&gt;=1,J41,H41+(J41-H41)*(3*((2065-2022)/I41)^2-2*((2065-2022)/I41)^3)))</f>
        <v>0.0140455200032257</v>
      </c>
      <c r="BD41" s="30" t="n">
        <f aca="false">BC41*(1-IF((2066-2022)/I41&gt;=1,J41,H41+(J41-H41)*(3*((2066-2022)/I41)^2-2*((2066-2022)/I41)^3)))</f>
        <v>0.0138348372031773</v>
      </c>
      <c r="BE41" s="30" t="n">
        <f aca="false">BD41*(1-IF((2067-2022)/I41&gt;=1,J41,H41+(J41-H41)*(3*((2067-2022)/I41)^2-2*((2067-2022)/I41)^3)))</f>
        <v>0.0136273146451297</v>
      </c>
      <c r="BF41" s="30" t="n">
        <f aca="false">BE41*(1-IF((2068-2022)/I41&gt;=1,J41,H41+(J41-H41)*(3*((2068-2022)/I41)^2-2*((2068-2022)/I41)^3)))</f>
        <v>0.0134229049254527</v>
      </c>
      <c r="BG41" s="30" t="n">
        <f aca="false">BF41*(1-IF((2069-2022)/I41&gt;=1,J41,H41+(J41-H41)*(3*((2069-2022)/I41)^2-2*((2069-2022)/I41)^3)))</f>
        <v>0.0132215613515709</v>
      </c>
      <c r="BH41" s="30" t="n">
        <f aca="false">BG41*(1-IF((2070-2022)/I41&gt;=1,J41,H41+(J41-H41)*(3*((2070-2022)/I41)^2-2*((2070-2022)/I41)^3)))</f>
        <v>0.0130232379312974</v>
      </c>
      <c r="BI41" s="30" t="n">
        <f aca="false">BH41*(1-IF((2071-2022)/I41&gt;=1,J41,H41+(J41-H41)*(3*((2071-2022)/I41)^2-2*((2071-2022)/I41)^3)))</f>
        <v>0.0128278893623279</v>
      </c>
      <c r="BJ41" s="30" t="n">
        <f aca="false">BI41*(1-IF((2072-2022)/I41&gt;=1,J41,H41+(J41-H41)*(3*((2072-2022)/I41)^2-2*((2072-2022)/I41)^3)))</f>
        <v>0.012635471021893</v>
      </c>
      <c r="BK41" s="30" t="n">
        <f aca="false">BJ41*(1-IF((2073-2022)/I41&gt;=1,J41,H41+(J41-H41)*(3*((2073-2022)/I41)^2-2*((2073-2022)/I41)^3)))</f>
        <v>0.0124459389565646</v>
      </c>
      <c r="BL41" s="30" t="n">
        <f aca="false">BK41*(1-IF((2074-2022)/I41&gt;=1,J41,H41+(J41-H41)*(3*((2074-2022)/I41)^2-2*((2074-2022)/I41)^3)))</f>
        <v>0.0122592498722161</v>
      </c>
      <c r="BM41" s="30" t="n">
        <f aca="false">BL41*(1-IF((2075-2022)/I41&gt;=1,J41,H41+(J41-H41)*(3*((2075-2022)/I41)^2-2*((2075-2022)/I41)^3)))</f>
        <v>0.0120753611241329</v>
      </c>
      <c r="BN41" s="30" t="n">
        <f aca="false">BM41*(1-IF((2076-2022)/I41&gt;=1,J41,H41+(J41-H41)*(3*((2076-2022)/I41)^2-2*((2076-2022)/I41)^3)))</f>
        <v>0.0118942307072709</v>
      </c>
      <c r="BO41" s="30" t="n">
        <f aca="false">BN41*(1-IF((2077-2022)/I41&gt;=1,J41,H41+(J41-H41)*(3*((2077-2022)/I41)^2-2*((2077-2022)/I41)^3)))</f>
        <v>0.0117158172466618</v>
      </c>
      <c r="BP41" s="30" t="n">
        <f aca="false">BO41*(1-IF((2078-2022)/I41&gt;=1,J41,H41+(J41-H41)*(3*((2078-2022)/I41)^2-2*((2078-2022)/I41)^3)))</f>
        <v>0.0115400799879619</v>
      </c>
      <c r="BQ41" s="30" t="n">
        <f aca="false">BP41*(1-IF((2079-2022)/I41&gt;=1,J41,H41+(J41-H41)*(3*((2079-2022)/I41)^2-2*((2079-2022)/I41)^3)))</f>
        <v>0.0113669787881425</v>
      </c>
      <c r="BR41" s="30" t="n">
        <f aca="false">BQ41*(1-IF((2080-2022)/I41&gt;=1,J41,H41+(J41-H41)*(3*((2080-2022)/I41)^2-2*((2080-2022)/I41)^3)))</f>
        <v>0.0111964741063203</v>
      </c>
      <c r="BS41" s="30" t="n">
        <f aca="false">BR41*(1-IF((2081-2022)/I41&gt;=1,J41,H41+(J41-H41)*(3*((2081-2022)/I41)^2-2*((2081-2022)/I41)^3)))</f>
        <v>0.0110285269947255</v>
      </c>
      <c r="BT41" s="30" t="n">
        <f aca="false">BS41*(1-IF((2082-2022)/I41&gt;=1,J41,H41+(J41-H41)*(3*((2082-2022)/I41)^2-2*((2082-2022)/I41)^3)))</f>
        <v>0.0108630990898046</v>
      </c>
      <c r="BU41" s="30" t="n">
        <f aca="false">BT41*(1-IF((2083-2022)/I41&gt;=1,J41,H41+(J41-H41)*(3*((2083-2022)/I41)^2-2*((2083-2022)/I41)^3)))</f>
        <v>0.0107001526034576</v>
      </c>
      <c r="BV41" s="30" t="n">
        <f aca="false">BU41*(1-IF((2084-2022)/I41&gt;=1,J41,H41+(J41-H41)*(3*((2084-2022)/I41)^2-2*((2084-2022)/I41)^3)))</f>
        <v>0.0105396503144057</v>
      </c>
      <c r="BW41" s="30" t="n">
        <f aca="false">BV41*(1-IF((2085-2022)/I41&gt;=1,J41,H41+(J41-H41)*(3*((2085-2022)/I41)^2-2*((2085-2022)/I41)^3)))</f>
        <v>0.0103815555596896</v>
      </c>
      <c r="BX41" s="30" t="n">
        <f aca="false">BW41*(1-IF((2086-2022)/I41&gt;=1,J41,H41+(J41-H41)*(3*((2086-2022)/I41)^2-2*((2086-2022)/I41)^3)))</f>
        <v>0.0102258322262943</v>
      </c>
      <c r="BY41" s="30" t="n">
        <f aca="false">BX41*(1-IF((2087-2022)/I41&gt;=1,J41,H41+(J41-H41)*(3*((2087-2022)/I41)^2-2*((2087-2022)/I41)^3)))</f>
        <v>0.0100724447428999</v>
      </c>
      <c r="BZ41" s="30" t="n">
        <f aca="false">BY41*(1-IF((2088-2022)/I41&gt;=1,J41,H41+(J41-H41)*(3*((2088-2022)/I41)^2-2*((2088-2022)/I41)^3)))</f>
        <v>0.00992135807175636</v>
      </c>
      <c r="CA41" s="30" t="n">
        <f aca="false">BZ41*(1-IF((2089-2022)/I41&gt;=1,J41,H41+(J41-H41)*(3*((2089-2022)/I41)^2-2*((2089-2022)/I41)^3)))</f>
        <v>0.00977253770068001</v>
      </c>
      <c r="CB41" s="30" t="n">
        <f aca="false">CA41*(1-IF((2090-2022)/I41&gt;=1,J41,H41+(J41-H41)*(3*((2090-2022)/I41)^2-2*((2090-2022)/I41)^3)))</f>
        <v>0.00962594963516981</v>
      </c>
      <c r="CC41" s="30" t="n">
        <f aca="false">CB41*(1-IF((2091-2022)/I41&gt;=1,J41,H41+(J41-H41)*(3*((2091-2022)/I41)^2-2*((2091-2022)/I41)^3)))</f>
        <v>0.00948156039064226</v>
      </c>
    </row>
    <row r="42" customFormat="false" ht="15" hidden="false" customHeight="true" outlineLevel="0" collapsed="false">
      <c r="A42" s="3" t="n">
        <v>79</v>
      </c>
      <c r="B42" s="30" t="n">
        <f aca="false">IF($A42&lt;=105,INDEX(ILT17_Source!$D$7:$D$52,MATCH($A42,ILT17_Source!$A$7:$A$52,0)),($B$16*EXP($B$17*$A42))/(1+$B$16*EXP($B$17*$A42)))</f>
        <v>0.043862555</v>
      </c>
      <c r="C42" s="31" t="n">
        <f aca="false">LOOKUP($A42,{60,65,70,75,80,85,90,95},{0.78,0.82,0.85,0.88,0.91,0.94,0.97,1})</f>
        <v>0.88</v>
      </c>
      <c r="D42" s="30" t="n">
        <f aca="false">B42*C42</f>
        <v>0.0385990484</v>
      </c>
      <c r="E42" s="30" t="n">
        <f aca="false">1/(1+EXP(-(($B$6+$B$8*(2016-2022))+($B$7+$B$9*(2016-2022))*($A42-$B$10))))</f>
        <v>0.0490859189304677</v>
      </c>
      <c r="F42" s="30" t="n">
        <f aca="false">1/(1+EXP(-(($B$6+$B$8*(2021-2022))+($B$7+$B$9*(2021-2022))*($A42-$B$10))))</f>
        <v>0.0447633286138087</v>
      </c>
      <c r="G42" s="30" t="n">
        <f aca="false">1/(1+EXP(-(($B$6+$B$8*(2022-2022))+($B$7+$B$9*(2022-2022))*($A42-$B$10))))</f>
        <v>0.043943446655768</v>
      </c>
      <c r="H42" s="32" t="n">
        <f aca="false">(F42-G42)/F42</f>
        <v>0.018315929208797</v>
      </c>
      <c r="I42" s="38" t="n">
        <f aca="false">IF($A42&lt;=50,$B$14,IF($A42&gt;=95,$B$15,$B$14+($B$15-$B$14)*($A42-50)/(95-50)))</f>
        <v>10.3333333333333</v>
      </c>
      <c r="J42" s="39" t="n">
        <f aca="false">IF($A42&lt;=$B$12,$B$11,IF($A42&gt;=$B$13,0,$B$11*($B$13-$A42)/($B$13-$B$12)))</f>
        <v>0.015</v>
      </c>
      <c r="K42" s="30" t="n">
        <f aca="false">D42*G42/E42</f>
        <v>0.0345552301207096</v>
      </c>
      <c r="L42" s="30" t="n">
        <f aca="false">K42*$B$19</f>
        <v>0.0310997071086387</v>
      </c>
      <c r="M42" s="30" t="n">
        <f aca="false">L42*(1-IF((2023-2022)/I42&gt;=1,J42,H42+(J42-H42)*(3*((2023-2022)/I42)^2-2*((2023-2022)/I42)^3)))</f>
        <v>0.0305327975050359</v>
      </c>
      <c r="N42" s="30" t="n">
        <f aca="false">M42*(1-IF((2024-2022)/I42&gt;=1,J42,H42+(J42-H42)*(3*((2024-2022)/I42)^2-2*((2024-2022)/I42)^3)))</f>
        <v>0.0299834709617953</v>
      </c>
      <c r="O42" s="30" t="n">
        <f aca="false">N42*(1-IF((2025-2022)/I42&gt;=1,J42,H42+(J42-H42)*(3*((2025-2022)/I42)^2-2*((2025-2022)/I42)^3)))</f>
        <v>0.0294545702464211</v>
      </c>
      <c r="P42" s="30" t="n">
        <f aca="false">O42*(1-IF((2026-2022)/I42&gt;=1,J42,H42+(J42-H42)*(3*((2026-2022)/I42)^2-2*((2026-2022)/I42)^3)))</f>
        <v>0.02894765742425</v>
      </c>
      <c r="Q42" s="30" t="n">
        <f aca="false">P42*(1-IF((2027-2022)/I42&gt;=1,J42,H42+(J42-H42)*(3*((2027-2022)/I42)^2-2*((2027-2022)/I42)^3)))</f>
        <v>0.0284631268774282</v>
      </c>
      <c r="R42" s="30" t="n">
        <f aca="false">Q42*(1-IF((2028-2022)/I42&gt;=1,J42,H42+(J42-H42)*(3*((2028-2022)/I42)^2-2*((2028-2022)/I42)^3)))</f>
        <v>0.0280003072561571</v>
      </c>
      <c r="S42" s="30" t="n">
        <f aca="false">R42*(1-IF((2029-2022)/I42&gt;=1,J42,H42+(J42-H42)*(3*((2029-2022)/I42)^2-2*((2029-2022)/I42)^3)))</f>
        <v>0.0275575513678072</v>
      </c>
      <c r="T42" s="30" t="n">
        <f aca="false">S42*(1-IF((2030-2022)/I42&gt;=1,J42,H42+(J42-H42)*(3*((2030-2022)/I42)^2-2*((2030-2022)/I42)^3)))</f>
        <v>0.0271323144548724</v>
      </c>
      <c r="U42" s="30" t="n">
        <f aca="false">T42*(1-IF((2031-2022)/I42&gt;=1,J42,H42+(J42-H42)*(3*((2031-2022)/I42)^2-2*((2031-2022)/I42)^3)))</f>
        <v>0.02672122253741</v>
      </c>
      <c r="V42" s="30" t="n">
        <f aca="false">U42*(1-IF((2032-2022)/I42&gt;=1,J42,H42+(J42-H42)*(3*((2032-2022)/I42)^2-2*((2032-2022)/I42)^3)))</f>
        <v>0.0263201335432081</v>
      </c>
      <c r="W42" s="30" t="n">
        <f aca="false">V42*(1-IF((2033-2022)/I42&gt;=1,J42,H42+(J42-H42)*(3*((2033-2022)/I42)^2-2*((2033-2022)/I42)^3)))</f>
        <v>0.02592533154006</v>
      </c>
      <c r="X42" s="30" t="n">
        <f aca="false">W42*(1-IF((2034-2022)/I42&gt;=1,J42,H42+(J42-H42)*(3*((2034-2022)/I42)^2-2*((2034-2022)/I42)^3)))</f>
        <v>0.0255364515669591</v>
      </c>
      <c r="Y42" s="30" t="n">
        <f aca="false">X42*(1-IF((2035-2022)/I42&gt;=1,J42,H42+(J42-H42)*(3*((2035-2022)/I42)^2-2*((2035-2022)/I42)^3)))</f>
        <v>0.0251534047934547</v>
      </c>
      <c r="Z42" s="30" t="n">
        <f aca="false">Y42*(1-IF((2036-2022)/I42&gt;=1,J42,H42+(J42-H42)*(3*((2036-2022)/I42)^2-2*((2036-2022)/I42)^3)))</f>
        <v>0.0247761037215529</v>
      </c>
      <c r="AA42" s="30" t="n">
        <f aca="false">Z42*(1-IF((2037-2022)/I42&gt;=1,J42,H42+(J42-H42)*(3*((2037-2022)/I42)^2-2*((2037-2022)/I42)^3)))</f>
        <v>0.0244044621657296</v>
      </c>
      <c r="AB42" s="30" t="n">
        <f aca="false">AA42*(1-IF((2038-2022)/I42&gt;=1,J42,H42+(J42-H42)*(3*((2038-2022)/I42)^2-2*((2038-2022)/I42)^3)))</f>
        <v>0.0240383952332436</v>
      </c>
      <c r="AC42" s="30" t="n">
        <f aca="false">AB42*(1-IF((2039-2022)/I42&gt;=1,J42,H42+(J42-H42)*(3*((2039-2022)/I42)^2-2*((2039-2022)/I42)^3)))</f>
        <v>0.023677819304745</v>
      </c>
      <c r="AD42" s="30" t="n">
        <f aca="false">AC42*(1-IF((2040-2022)/I42&gt;=1,J42,H42+(J42-H42)*(3*((2040-2022)/I42)^2-2*((2040-2022)/I42)^3)))</f>
        <v>0.0233226520151738</v>
      </c>
      <c r="AE42" s="30" t="n">
        <f aca="false">AD42*(1-IF((2041-2022)/I42&gt;=1,J42,H42+(J42-H42)*(3*((2041-2022)/I42)^2-2*((2041-2022)/I42)^3)))</f>
        <v>0.0229728122349462</v>
      </c>
      <c r="AF42" s="30" t="n">
        <f aca="false">AE42*(1-IF((2042-2022)/I42&gt;=1,J42,H42+(J42-H42)*(3*((2042-2022)/I42)^2-2*((2042-2022)/I42)^3)))</f>
        <v>0.022628220051422</v>
      </c>
      <c r="AG42" s="30" t="n">
        <f aca="false">AF42*(1-IF((2043-2022)/I42&gt;=1,J42,H42+(J42-H42)*(3*((2043-2022)/I42)^2-2*((2043-2022)/I42)^3)))</f>
        <v>0.0222887967506507</v>
      </c>
      <c r="AH42" s="30" t="n">
        <f aca="false">AG42*(1-IF((2044-2022)/I42&gt;=1,J42,H42+(J42-H42)*(3*((2044-2022)/I42)^2-2*((2044-2022)/I42)^3)))</f>
        <v>0.0219544647993909</v>
      </c>
      <c r="AI42" s="30" t="n">
        <f aca="false">AH42*(1-IF((2045-2022)/I42&gt;=1,J42,H42+(J42-H42)*(3*((2045-2022)/I42)^2-2*((2045-2022)/I42)^3)))</f>
        <v>0.0216251478274</v>
      </c>
      <c r="AJ42" s="30" t="n">
        <f aca="false">AI42*(1-IF((2046-2022)/I42&gt;=1,J42,H42+(J42-H42)*(3*((2046-2022)/I42)^2-2*((2046-2022)/I42)^3)))</f>
        <v>0.021300770609989</v>
      </c>
      <c r="AK42" s="30" t="n">
        <f aca="false">AJ42*(1-IF((2047-2022)/I42&gt;=1,J42,H42+(J42-H42)*(3*((2047-2022)/I42)^2-2*((2047-2022)/I42)^3)))</f>
        <v>0.0209812590508392</v>
      </c>
      <c r="AL42" s="30" t="n">
        <f aca="false">AK42*(1-IF((2048-2022)/I42&gt;=1,J42,H42+(J42-H42)*(3*((2048-2022)/I42)^2-2*((2048-2022)/I42)^3)))</f>
        <v>0.0206665401650766</v>
      </c>
      <c r="AM42" s="30" t="n">
        <f aca="false">AL42*(1-IF((2049-2022)/I42&gt;=1,J42,H42+(J42-H42)*(3*((2049-2022)/I42)^2-2*((2049-2022)/I42)^3)))</f>
        <v>0.0203565420626005</v>
      </c>
      <c r="AN42" s="30" t="n">
        <f aca="false">AM42*(1-IF((2050-2022)/I42&gt;=1,J42,H42+(J42-H42)*(3*((2050-2022)/I42)^2-2*((2050-2022)/I42)^3)))</f>
        <v>0.0200511939316615</v>
      </c>
      <c r="AO42" s="30" t="n">
        <f aca="false">AN42*(1-IF((2051-2022)/I42&gt;=1,J42,H42+(J42-H42)*(3*((2051-2022)/I42)^2-2*((2051-2022)/I42)^3)))</f>
        <v>0.0197504260226865</v>
      </c>
      <c r="AP42" s="30" t="n">
        <f aca="false">AO42*(1-IF((2052-2022)/I42&gt;=1,J42,H42+(J42-H42)*(3*((2052-2022)/I42)^2-2*((2052-2022)/I42)^3)))</f>
        <v>0.0194541696323462</v>
      </c>
      <c r="AQ42" s="30" t="n">
        <f aca="false">AP42*(1-IF((2053-2022)/I42&gt;=1,J42,H42+(J42-H42)*(3*((2053-2022)/I42)^2-2*((2053-2022)/I42)^3)))</f>
        <v>0.019162357087861</v>
      </c>
      <c r="AR42" s="30" t="n">
        <f aca="false">AQ42*(1-IF((2054-2022)/I42&gt;=1,J42,H42+(J42-H42)*(3*((2054-2022)/I42)^2-2*((2054-2022)/I42)^3)))</f>
        <v>0.0188749217315431</v>
      </c>
      <c r="AS42" s="30" t="n">
        <f aca="false">AR42*(1-IF((2055-2022)/I42&gt;=1,J42,H42+(J42-H42)*(3*((2055-2022)/I42)^2-2*((2055-2022)/I42)^3)))</f>
        <v>0.01859179790557</v>
      </c>
      <c r="AT42" s="30" t="n">
        <f aca="false">AS42*(1-IF((2056-2022)/I42&gt;=1,J42,H42+(J42-H42)*(3*((2056-2022)/I42)^2-2*((2056-2022)/I42)^3)))</f>
        <v>0.0183129209369864</v>
      </c>
      <c r="AU42" s="30" t="n">
        <f aca="false">AT42*(1-IF((2057-2022)/I42&gt;=1,J42,H42+(J42-H42)*(3*((2057-2022)/I42)^2-2*((2057-2022)/I42)^3)))</f>
        <v>0.0180382271229316</v>
      </c>
      <c r="AV42" s="30" t="n">
        <f aca="false">AU42*(1-IF((2058-2022)/I42&gt;=1,J42,H42+(J42-H42)*(3*((2058-2022)/I42)^2-2*((2058-2022)/I42)^3)))</f>
        <v>0.0177676537160877</v>
      </c>
      <c r="AW42" s="30" t="n">
        <f aca="false">AV42*(1-IF((2059-2022)/I42&gt;=1,J42,H42+(J42-H42)*(3*((2059-2022)/I42)^2-2*((2059-2022)/I42)^3)))</f>
        <v>0.0175011389103463</v>
      </c>
      <c r="AX42" s="30" t="n">
        <f aca="false">AW42*(1-IF((2060-2022)/I42&gt;=1,J42,H42+(J42-H42)*(3*((2060-2022)/I42)^2-2*((2060-2022)/I42)^3)))</f>
        <v>0.0172386218266911</v>
      </c>
      <c r="AY42" s="30" t="n">
        <f aca="false">AX42*(1-IF((2061-2022)/I42&gt;=1,J42,H42+(J42-H42)*(3*((2061-2022)/I42)^2-2*((2061-2022)/I42)^3)))</f>
        <v>0.0169800424992908</v>
      </c>
      <c r="AZ42" s="30" t="n">
        <f aca="false">AY42*(1-IF((2062-2022)/I42&gt;=1,J42,H42+(J42-H42)*(3*((2062-2022)/I42)^2-2*((2062-2022)/I42)^3)))</f>
        <v>0.0167253418618014</v>
      </c>
      <c r="BA42" s="30" t="n">
        <f aca="false">AZ42*(1-IF((2063-2022)/I42&gt;=1,J42,H42+(J42-H42)*(3*((2063-2022)/I42)^2-2*((2063-2022)/I42)^3)))</f>
        <v>0.0164744617338744</v>
      </c>
      <c r="BB42" s="30" t="n">
        <f aca="false">BA42*(1-IF((2064-2022)/I42&gt;=1,J42,H42+(J42-H42)*(3*((2064-2022)/I42)^2-2*((2064-2022)/I42)^3)))</f>
        <v>0.0162273448078663</v>
      </c>
      <c r="BC42" s="30" t="n">
        <f aca="false">BB42*(1-IF((2065-2022)/I42&gt;=1,J42,H42+(J42-H42)*(3*((2065-2022)/I42)^2-2*((2065-2022)/I42)^3)))</f>
        <v>0.0159839346357483</v>
      </c>
      <c r="BD42" s="30" t="n">
        <f aca="false">BC42*(1-IF((2066-2022)/I42&gt;=1,J42,H42+(J42-H42)*(3*((2066-2022)/I42)^2-2*((2066-2022)/I42)^3)))</f>
        <v>0.0157441756162121</v>
      </c>
      <c r="BE42" s="30" t="n">
        <f aca="false">BD42*(1-IF((2067-2022)/I42&gt;=1,J42,H42+(J42-H42)*(3*((2067-2022)/I42)^2-2*((2067-2022)/I42)^3)))</f>
        <v>0.0155080129819689</v>
      </c>
      <c r="BF42" s="30" t="n">
        <f aca="false">BE42*(1-IF((2068-2022)/I42&gt;=1,J42,H42+(J42-H42)*(3*((2068-2022)/I42)^2-2*((2068-2022)/I42)^3)))</f>
        <v>0.0152753927872393</v>
      </c>
      <c r="BG42" s="30" t="n">
        <f aca="false">BF42*(1-IF((2069-2022)/I42&gt;=1,J42,H42+(J42-H42)*(3*((2069-2022)/I42)^2-2*((2069-2022)/I42)^3)))</f>
        <v>0.0150462618954308</v>
      </c>
      <c r="BH42" s="30" t="n">
        <f aca="false">BG42*(1-IF((2070-2022)/I42&gt;=1,J42,H42+(J42-H42)*(3*((2070-2022)/I42)^2-2*((2070-2022)/I42)^3)))</f>
        <v>0.0148205679669993</v>
      </c>
      <c r="BI42" s="30" t="n">
        <f aca="false">BH42*(1-IF((2071-2022)/I42&gt;=1,J42,H42+(J42-H42)*(3*((2071-2022)/I42)^2-2*((2071-2022)/I42)^3)))</f>
        <v>0.0145982594474943</v>
      </c>
      <c r="BJ42" s="30" t="n">
        <f aca="false">BI42*(1-IF((2072-2022)/I42&gt;=1,J42,H42+(J42-H42)*(3*((2072-2022)/I42)^2-2*((2072-2022)/I42)^3)))</f>
        <v>0.0143792855557819</v>
      </c>
      <c r="BK42" s="30" t="n">
        <f aca="false">BJ42*(1-IF((2073-2022)/I42&gt;=1,J42,H42+(J42-H42)*(3*((2073-2022)/I42)^2-2*((2073-2022)/I42)^3)))</f>
        <v>0.0141635962724452</v>
      </c>
      <c r="BL42" s="30" t="n">
        <f aca="false">BK42*(1-IF((2074-2022)/I42&gt;=1,J42,H42+(J42-H42)*(3*((2074-2022)/I42)^2-2*((2074-2022)/I42)^3)))</f>
        <v>0.0139511423283585</v>
      </c>
      <c r="BM42" s="30" t="n">
        <f aca="false">BL42*(1-IF((2075-2022)/I42&gt;=1,J42,H42+(J42-H42)*(3*((2075-2022)/I42)^2-2*((2075-2022)/I42)^3)))</f>
        <v>0.0137418751934331</v>
      </c>
      <c r="BN42" s="30" t="n">
        <f aca="false">BM42*(1-IF((2076-2022)/I42&gt;=1,J42,H42+(J42-H42)*(3*((2076-2022)/I42)^2-2*((2076-2022)/I42)^3)))</f>
        <v>0.0135357470655316</v>
      </c>
      <c r="BO42" s="30" t="n">
        <f aca="false">BN42*(1-IF((2077-2022)/I42&gt;=1,J42,H42+(J42-H42)*(3*((2077-2022)/I42)^2-2*((2077-2022)/I42)^3)))</f>
        <v>0.0133327108595486</v>
      </c>
      <c r="BP42" s="30" t="n">
        <f aca="false">BO42*(1-IF((2078-2022)/I42&gt;=1,J42,H42+(J42-H42)*(3*((2078-2022)/I42)^2-2*((2078-2022)/I42)^3)))</f>
        <v>0.0131327201966554</v>
      </c>
      <c r="BQ42" s="30" t="n">
        <f aca="false">BP42*(1-IF((2079-2022)/I42&gt;=1,J42,H42+(J42-H42)*(3*((2079-2022)/I42)^2-2*((2079-2022)/I42)^3)))</f>
        <v>0.0129357293937056</v>
      </c>
      <c r="BR42" s="30" t="n">
        <f aca="false">BQ42*(1-IF((2080-2022)/I42&gt;=1,J42,H42+(J42-H42)*(3*((2080-2022)/I42)^2-2*((2080-2022)/I42)^3)))</f>
        <v>0.0127416934528</v>
      </c>
      <c r="BS42" s="30" t="n">
        <f aca="false">BR42*(1-IF((2081-2022)/I42&gt;=1,J42,H42+(J42-H42)*(3*((2081-2022)/I42)^2-2*((2081-2022)/I42)^3)))</f>
        <v>0.012550568051008</v>
      </c>
      <c r="BT42" s="30" t="n">
        <f aca="false">BS42*(1-IF((2082-2022)/I42&gt;=1,J42,H42+(J42-H42)*(3*((2082-2022)/I42)^2-2*((2082-2022)/I42)^3)))</f>
        <v>0.0123623095302429</v>
      </c>
      <c r="BU42" s="30" t="n">
        <f aca="false">BT42*(1-IF((2083-2022)/I42&gt;=1,J42,H42+(J42-H42)*(3*((2083-2022)/I42)^2-2*((2083-2022)/I42)^3)))</f>
        <v>0.0121768748872892</v>
      </c>
      <c r="BV42" s="30" t="n">
        <f aca="false">BU42*(1-IF((2084-2022)/I42&gt;=1,J42,H42+(J42-H42)*(3*((2084-2022)/I42)^2-2*((2084-2022)/I42)^3)))</f>
        <v>0.0119942217639799</v>
      </c>
      <c r="BW42" s="30" t="n">
        <f aca="false">BV42*(1-IF((2085-2022)/I42&gt;=1,J42,H42+(J42-H42)*(3*((2085-2022)/I42)^2-2*((2085-2022)/I42)^3)))</f>
        <v>0.0118143084375202</v>
      </c>
      <c r="BX42" s="30" t="n">
        <f aca="false">BW42*(1-IF((2086-2022)/I42&gt;=1,J42,H42+(J42-H42)*(3*((2086-2022)/I42)^2-2*((2086-2022)/I42)^3)))</f>
        <v>0.0116370938109574</v>
      </c>
      <c r="BY42" s="30" t="n">
        <f aca="false">BX42*(1-IF((2087-2022)/I42&gt;=1,J42,H42+(J42-H42)*(3*((2087-2022)/I42)^2-2*((2087-2022)/I42)^3)))</f>
        <v>0.011462537403793</v>
      </c>
      <c r="BZ42" s="30" t="n">
        <f aca="false">BY42*(1-IF((2088-2022)/I42&gt;=1,J42,H42+(J42-H42)*(3*((2088-2022)/I42)^2-2*((2088-2022)/I42)^3)))</f>
        <v>0.0112905993427361</v>
      </c>
      <c r="CA42" s="30" t="n">
        <f aca="false">BZ42*(1-IF((2089-2022)/I42&gt;=1,J42,H42+(J42-H42)*(3*((2089-2022)/I42)^2-2*((2089-2022)/I42)^3)))</f>
        <v>0.0111212403525951</v>
      </c>
      <c r="CB42" s="30" t="n">
        <f aca="false">CA42*(1-IF((2090-2022)/I42&gt;=1,J42,H42+(J42-H42)*(3*((2090-2022)/I42)^2-2*((2090-2022)/I42)^3)))</f>
        <v>0.0109544217473062</v>
      </c>
      <c r="CC42" s="30" t="n">
        <f aca="false">CB42*(1-IF((2091-2022)/I42&gt;=1,J42,H42+(J42-H42)*(3*((2091-2022)/I42)^2-2*((2091-2022)/I42)^3)))</f>
        <v>0.0107901054210966</v>
      </c>
    </row>
    <row r="43" customFormat="false" ht="15" hidden="false" customHeight="true" outlineLevel="0" collapsed="false">
      <c r="A43" s="3" t="n">
        <v>80</v>
      </c>
      <c r="B43" s="30" t="n">
        <f aca="false">IF($A43&lt;=105,INDEX(ILT17_Source!$D$7:$D$52,MATCH($A43,ILT17_Source!$A$7:$A$52,0)),($B$16*EXP($B$17*$A43))/(1+$B$16*EXP($B$17*$A43)))</f>
        <v>0.049601745</v>
      </c>
      <c r="C43" s="31" t="n">
        <f aca="false">LOOKUP($A43,{60,65,70,75,80,85,90,95},{0.78,0.82,0.85,0.88,0.91,0.94,0.97,1})</f>
        <v>0.91</v>
      </c>
      <c r="D43" s="30" t="n">
        <f aca="false">B43*C43</f>
        <v>0.04513758795</v>
      </c>
      <c r="E43" s="30" t="n">
        <f aca="false">1/(1+EXP(-(($B$6+$B$8*(2016-2022))+($B$7+$B$9*(2016-2022))*($A43-$B$10))))</f>
        <v>0.0545181399069413</v>
      </c>
      <c r="F43" s="30" t="n">
        <f aca="false">1/(1+EXP(-(($B$6+$B$8*(2021-2022))+($B$7+$B$9*(2021-2022))*($A43-$B$10))))</f>
        <v>0.0498715359979855</v>
      </c>
      <c r="G43" s="30" t="n">
        <f aca="false">1/(1+EXP(-(($B$6+$B$8*(2022-2022))+($B$7+$B$9*(2022-2022))*($A43-$B$10))))</f>
        <v>0.0489883454732499</v>
      </c>
      <c r="H43" s="32" t="n">
        <f aca="false">(F43-G43)/F43</f>
        <v>0.0177093106731516</v>
      </c>
      <c r="I43" s="38" t="n">
        <f aca="false">IF($A43&lt;=50,$B$14,IF($A43&gt;=95,$B$15,$B$14+($B$15-$B$14)*($A43-50)/(95-50)))</f>
        <v>10</v>
      </c>
      <c r="J43" s="39" t="n">
        <f aca="false">IF($A43&lt;=$B$12,$B$11,IF($A43&gt;=$B$13,0,$B$11*($B$13-$A43)/($B$13-$B$12)))</f>
        <v>0.015</v>
      </c>
      <c r="K43" s="30" t="n">
        <f aca="false">D43*G43/E43</f>
        <v>0.0405592662570329</v>
      </c>
      <c r="L43" s="30" t="n">
        <f aca="false">K43*$B$19</f>
        <v>0.0365033396313296</v>
      </c>
      <c r="M43" s="30" t="n">
        <f aca="false">L43*(1-IF((2023-2022)/I43&gt;=1,J43,H43+(J43-H43)*(3*((2023-2022)/I43)^2-2*((2023-2022)/I43)^3)))</f>
        <v>0.0358596598180455</v>
      </c>
      <c r="N43" s="30" t="n">
        <f aca="false">M43*(1-IF((2024-2022)/I43&gt;=1,J43,H43+(J43-H43)*(3*((2024-2022)/I43)^2-2*((2024-2022)/I43)^3)))</f>
        <v>0.0352347140774386</v>
      </c>
      <c r="O43" s="30" t="n">
        <f aca="false">N43*(1-IF((2025-2022)/I43&gt;=1,J43,H43+(J43-H43)*(3*((2025-2022)/I43)^2-2*((2025-2022)/I43)^3)))</f>
        <v>0.0346313513253353</v>
      </c>
      <c r="P43" s="30" t="n">
        <f aca="false">O43*(1-IF((2026-2022)/I43&gt;=1,J43,H43+(J43-H43)*(3*((2026-2022)/I43)^2-2*((2026-2022)/I43)^3)))</f>
        <v>0.0340510811012834</v>
      </c>
      <c r="Q43" s="30" t="n">
        <f aca="false">P43*(1-IF((2027-2022)/I43&gt;=1,J43,H43+(J43-H43)*(3*((2027-2022)/I43)^2-2*((2027-2022)/I43)^3)))</f>
        <v>0.0334941874060341</v>
      </c>
      <c r="R43" s="30" t="n">
        <f aca="false">Q43*(1-IF((2028-2022)/I43&gt;=1,J43,H43+(J43-H43)*(3*((2028-2022)/I43)^2-2*((2028-2022)/I43)^3)))</f>
        <v>0.0329598319468251</v>
      </c>
      <c r="S43" s="30" t="n">
        <f aca="false">R43*(1-IF((2029-2022)/I43&gt;=1,J43,H43+(J43-H43)*(3*((2029-2022)/I43)^2-2*((2029-2022)/I43)^3)))</f>
        <v>0.0324461460079353</v>
      </c>
      <c r="T43" s="30" t="n">
        <f aca="false">S43*(1-IF((2030-2022)/I43&gt;=1,J43,H43+(J43-H43)*(3*((2030-2022)/I43)^2-2*((2030-2022)/I43)^3)))</f>
        <v>0.0319503115220893</v>
      </c>
      <c r="U43" s="30" t="n">
        <f aca="false">T43*(1-IF((2031-2022)/I43&gt;=1,J43,H43+(J43-H43)*(3*((2031-2022)/I43)^2-2*((2031-2022)/I43)^3)))</f>
        <v>0.0314686330762975</v>
      </c>
      <c r="V43" s="30" t="n">
        <f aca="false">U43*(1-IF((2032-2022)/I43&gt;=1,J43,H43+(J43-H43)*(3*((2032-2022)/I43)^2-2*((2032-2022)/I43)^3)))</f>
        <v>0.030996603580153</v>
      </c>
      <c r="W43" s="30" t="n">
        <f aca="false">V43*(1-IF((2033-2022)/I43&gt;=1,J43,H43+(J43-H43)*(3*((2033-2022)/I43)^2-2*((2033-2022)/I43)^3)))</f>
        <v>0.0305316545264507</v>
      </c>
      <c r="X43" s="30" t="n">
        <f aca="false">W43*(1-IF((2034-2022)/I43&gt;=1,J43,H43+(J43-H43)*(3*((2034-2022)/I43)^2-2*((2034-2022)/I43)^3)))</f>
        <v>0.030073679708554</v>
      </c>
      <c r="Y43" s="30" t="n">
        <f aca="false">X43*(1-IF((2035-2022)/I43&gt;=1,J43,H43+(J43-H43)*(3*((2035-2022)/I43)^2-2*((2035-2022)/I43)^3)))</f>
        <v>0.0296225745129257</v>
      </c>
      <c r="Z43" s="30" t="n">
        <f aca="false">Y43*(1-IF((2036-2022)/I43&gt;=1,J43,H43+(J43-H43)*(3*((2036-2022)/I43)^2-2*((2036-2022)/I43)^3)))</f>
        <v>0.0291782358952318</v>
      </c>
      <c r="AA43" s="30" t="n">
        <f aca="false">Z43*(1-IF((2037-2022)/I43&gt;=1,J43,H43+(J43-H43)*(3*((2037-2022)/I43)^2-2*((2037-2022)/I43)^3)))</f>
        <v>0.0287405623568033</v>
      </c>
      <c r="AB43" s="30" t="n">
        <f aca="false">AA43*(1-IF((2038-2022)/I43&gt;=1,J43,H43+(J43-H43)*(3*((2038-2022)/I43)^2-2*((2038-2022)/I43)^3)))</f>
        <v>0.0283094539214513</v>
      </c>
      <c r="AC43" s="30" t="n">
        <f aca="false">AB43*(1-IF((2039-2022)/I43&gt;=1,J43,H43+(J43-H43)*(3*((2039-2022)/I43)^2-2*((2039-2022)/I43)^3)))</f>
        <v>0.0278848121126295</v>
      </c>
      <c r="AD43" s="30" t="n">
        <f aca="false">AC43*(1-IF((2040-2022)/I43&gt;=1,J43,H43+(J43-H43)*(3*((2040-2022)/I43)^2-2*((2040-2022)/I43)^3)))</f>
        <v>0.0274665399309401</v>
      </c>
      <c r="AE43" s="30" t="n">
        <f aca="false">AD43*(1-IF((2041-2022)/I43&gt;=1,J43,H43+(J43-H43)*(3*((2041-2022)/I43)^2-2*((2041-2022)/I43)^3)))</f>
        <v>0.027054541831976</v>
      </c>
      <c r="AF43" s="30" t="n">
        <f aca="false">AE43*(1-IF((2042-2022)/I43&gt;=1,J43,H43+(J43-H43)*(3*((2042-2022)/I43)^2-2*((2042-2022)/I43)^3)))</f>
        <v>0.0266487237044963</v>
      </c>
      <c r="AG43" s="30" t="n">
        <f aca="false">AF43*(1-IF((2043-2022)/I43&gt;=1,J43,H43+(J43-H43)*(3*((2043-2022)/I43)^2-2*((2043-2022)/I43)^3)))</f>
        <v>0.0262489928489289</v>
      </c>
      <c r="AH43" s="30" t="n">
        <f aca="false">AG43*(1-IF((2044-2022)/I43&gt;=1,J43,H43+(J43-H43)*(3*((2044-2022)/I43)^2-2*((2044-2022)/I43)^3)))</f>
        <v>0.0258552579561949</v>
      </c>
      <c r="AI43" s="30" t="n">
        <f aca="false">AH43*(1-IF((2045-2022)/I43&gt;=1,J43,H43+(J43-H43)*(3*((2045-2022)/I43)^2-2*((2045-2022)/I43)^3)))</f>
        <v>0.025467429086852</v>
      </c>
      <c r="AJ43" s="30" t="n">
        <f aca="false">AI43*(1-IF((2046-2022)/I43&gt;=1,J43,H43+(J43-H43)*(3*((2046-2022)/I43)^2-2*((2046-2022)/I43)^3)))</f>
        <v>0.0250854176505492</v>
      </c>
      <c r="AK43" s="30" t="n">
        <f aca="false">AJ43*(1-IF((2047-2022)/I43&gt;=1,J43,H43+(J43-H43)*(3*((2047-2022)/I43)^2-2*((2047-2022)/I43)^3)))</f>
        <v>0.024709136385791</v>
      </c>
      <c r="AL43" s="30" t="n">
        <f aca="false">AK43*(1-IF((2048-2022)/I43&gt;=1,J43,H43+(J43-H43)*(3*((2048-2022)/I43)^2-2*((2048-2022)/I43)^3)))</f>
        <v>0.0243384993400041</v>
      </c>
      <c r="AM43" s="30" t="n">
        <f aca="false">AL43*(1-IF((2049-2022)/I43&gt;=1,J43,H43+(J43-H43)*(3*((2049-2022)/I43)^2-2*((2049-2022)/I43)^3)))</f>
        <v>0.0239734218499041</v>
      </c>
      <c r="AN43" s="30" t="n">
        <f aca="false">AM43*(1-IF((2050-2022)/I43&gt;=1,J43,H43+(J43-H43)*(3*((2050-2022)/I43)^2-2*((2050-2022)/I43)^3)))</f>
        <v>0.0236138205221555</v>
      </c>
      <c r="AO43" s="30" t="n">
        <f aca="false">AN43*(1-IF((2051-2022)/I43&gt;=1,J43,H43+(J43-H43)*(3*((2051-2022)/I43)^2-2*((2051-2022)/I43)^3)))</f>
        <v>0.0232596132143232</v>
      </c>
      <c r="AP43" s="30" t="n">
        <f aca="false">AO43*(1-IF((2052-2022)/I43&gt;=1,J43,H43+(J43-H43)*(3*((2052-2022)/I43)^2-2*((2052-2022)/I43)^3)))</f>
        <v>0.0229107190161083</v>
      </c>
      <c r="AQ43" s="30" t="n">
        <f aca="false">AP43*(1-IF((2053-2022)/I43&gt;=1,J43,H43+(J43-H43)*(3*((2053-2022)/I43)^2-2*((2053-2022)/I43)^3)))</f>
        <v>0.0225670582308667</v>
      </c>
      <c r="AR43" s="30" t="n">
        <f aca="false">AQ43*(1-IF((2054-2022)/I43&gt;=1,J43,H43+(J43-H43)*(3*((2054-2022)/I43)^2-2*((2054-2022)/I43)^3)))</f>
        <v>0.0222285523574037</v>
      </c>
      <c r="AS43" s="30" t="n">
        <f aca="false">AR43*(1-IF((2055-2022)/I43&gt;=1,J43,H43+(J43-H43)*(3*((2055-2022)/I43)^2-2*((2055-2022)/I43)^3)))</f>
        <v>0.0218951240720426</v>
      </c>
      <c r="AT43" s="30" t="n">
        <f aca="false">AS43*(1-IF((2056-2022)/I43&gt;=1,J43,H43+(J43-H43)*(3*((2056-2022)/I43)^2-2*((2056-2022)/I43)^3)))</f>
        <v>0.021566697210962</v>
      </c>
      <c r="AU43" s="30" t="n">
        <f aca="false">AT43*(1-IF((2057-2022)/I43&gt;=1,J43,H43+(J43-H43)*(3*((2057-2022)/I43)^2-2*((2057-2022)/I43)^3)))</f>
        <v>0.0212431967527976</v>
      </c>
      <c r="AV43" s="30" t="n">
        <f aca="false">AU43*(1-IF((2058-2022)/I43&gt;=1,J43,H43+(J43-H43)*(3*((2058-2022)/I43)^2-2*((2058-2022)/I43)^3)))</f>
        <v>0.0209245488015056</v>
      </c>
      <c r="AW43" s="30" t="n">
        <f aca="false">AV43*(1-IF((2059-2022)/I43&gt;=1,J43,H43+(J43-H43)*(3*((2059-2022)/I43)^2-2*((2059-2022)/I43)^3)))</f>
        <v>0.020610680569483</v>
      </c>
      <c r="AX43" s="30" t="n">
        <f aca="false">AW43*(1-IF((2060-2022)/I43&gt;=1,J43,H43+(J43-H43)*(3*((2060-2022)/I43)^2-2*((2060-2022)/I43)^3)))</f>
        <v>0.0203015203609408</v>
      </c>
      <c r="AY43" s="30" t="n">
        <f aca="false">AX43*(1-IF((2061-2022)/I43&gt;=1,J43,H43+(J43-H43)*(3*((2061-2022)/I43)^2-2*((2061-2022)/I43)^3)))</f>
        <v>0.0199969975555267</v>
      </c>
      <c r="AZ43" s="30" t="n">
        <f aca="false">AY43*(1-IF((2062-2022)/I43&gt;=1,J43,H43+(J43-H43)*(3*((2062-2022)/I43)^2-2*((2062-2022)/I43)^3)))</f>
        <v>0.0196970425921938</v>
      </c>
      <c r="BA43" s="30" t="n">
        <f aca="false">AZ43*(1-IF((2063-2022)/I43&gt;=1,J43,H43+(J43-H43)*(3*((2063-2022)/I43)^2-2*((2063-2022)/I43)^3)))</f>
        <v>0.0194015869533109</v>
      </c>
      <c r="BB43" s="30" t="n">
        <f aca="false">BA43*(1-IF((2064-2022)/I43&gt;=1,J43,H43+(J43-H43)*(3*((2064-2022)/I43)^2-2*((2064-2022)/I43)^3)))</f>
        <v>0.0191105631490112</v>
      </c>
      <c r="BC43" s="30" t="n">
        <f aca="false">BB43*(1-IF((2065-2022)/I43&gt;=1,J43,H43+(J43-H43)*(3*((2065-2022)/I43)^2-2*((2065-2022)/I43)^3)))</f>
        <v>0.018823904701776</v>
      </c>
      <c r="BD43" s="30" t="n">
        <f aca="false">BC43*(1-IF((2066-2022)/I43&gt;=1,J43,H43+(J43-H43)*(3*((2066-2022)/I43)^2-2*((2066-2022)/I43)^3)))</f>
        <v>0.0185415461312494</v>
      </c>
      <c r="BE43" s="30" t="n">
        <f aca="false">BD43*(1-IF((2067-2022)/I43&gt;=1,J43,H43+(J43-H43)*(3*((2067-2022)/I43)^2-2*((2067-2022)/I43)^3)))</f>
        <v>0.0182634229392807</v>
      </c>
      <c r="BF43" s="30" t="n">
        <f aca="false">BE43*(1-IF((2068-2022)/I43&gt;=1,J43,H43+(J43-H43)*(3*((2068-2022)/I43)^2-2*((2068-2022)/I43)^3)))</f>
        <v>0.0179894715951914</v>
      </c>
      <c r="BG43" s="30" t="n">
        <f aca="false">BF43*(1-IF((2069-2022)/I43&gt;=1,J43,H43+(J43-H43)*(3*((2069-2022)/I43)^2-2*((2069-2022)/I43)^3)))</f>
        <v>0.0177196295212636</v>
      </c>
      <c r="BH43" s="30" t="n">
        <f aca="false">BG43*(1-IF((2070-2022)/I43&gt;=1,J43,H43+(J43-H43)*(3*((2070-2022)/I43)^2-2*((2070-2022)/I43)^3)))</f>
        <v>0.0174538350784446</v>
      </c>
      <c r="BI43" s="30" t="n">
        <f aca="false">BH43*(1-IF((2071-2022)/I43&gt;=1,J43,H43+(J43-H43)*(3*((2071-2022)/I43)^2-2*((2071-2022)/I43)^3)))</f>
        <v>0.0171920275522679</v>
      </c>
      <c r="BJ43" s="30" t="n">
        <f aca="false">BI43*(1-IF((2072-2022)/I43&gt;=1,J43,H43+(J43-H43)*(3*((2072-2022)/I43)^2-2*((2072-2022)/I43)^3)))</f>
        <v>0.0169341471389839</v>
      </c>
      <c r="BK43" s="30" t="n">
        <f aca="false">BJ43*(1-IF((2073-2022)/I43&gt;=1,J43,H43+(J43-H43)*(3*((2073-2022)/I43)^2-2*((2073-2022)/I43)^3)))</f>
        <v>0.0166801349318992</v>
      </c>
      <c r="BL43" s="30" t="n">
        <f aca="false">BK43*(1-IF((2074-2022)/I43&gt;=1,J43,H43+(J43-H43)*(3*((2074-2022)/I43)^2-2*((2074-2022)/I43)^3)))</f>
        <v>0.0164299329079207</v>
      </c>
      <c r="BM43" s="30" t="n">
        <f aca="false">BL43*(1-IF((2075-2022)/I43&gt;=1,J43,H43+(J43-H43)*(3*((2075-2022)/I43)^2-2*((2075-2022)/I43)^3)))</f>
        <v>0.0161834839143019</v>
      </c>
      <c r="BN43" s="30" t="n">
        <f aca="false">BM43*(1-IF((2076-2022)/I43&gt;=1,J43,H43+(J43-H43)*(3*((2076-2022)/I43)^2-2*((2076-2022)/I43)^3)))</f>
        <v>0.0159407316555873</v>
      </c>
      <c r="BO43" s="30" t="n">
        <f aca="false">BN43*(1-IF((2077-2022)/I43&gt;=1,J43,H43+(J43-H43)*(3*((2077-2022)/I43)^2-2*((2077-2022)/I43)^3)))</f>
        <v>0.0157016206807535</v>
      </c>
      <c r="BP43" s="30" t="n">
        <f aca="false">BO43*(1-IF((2078-2022)/I43&gt;=1,J43,H43+(J43-H43)*(3*((2078-2022)/I43)^2-2*((2078-2022)/I43)^3)))</f>
        <v>0.0154660963705422</v>
      </c>
      <c r="BQ43" s="30" t="n">
        <f aca="false">BP43*(1-IF((2079-2022)/I43&gt;=1,J43,H43+(J43-H43)*(3*((2079-2022)/I43)^2-2*((2079-2022)/I43)^3)))</f>
        <v>0.0152341049249841</v>
      </c>
      <c r="BR43" s="30" t="n">
        <f aca="false">BQ43*(1-IF((2080-2022)/I43&gt;=1,J43,H43+(J43-H43)*(3*((2080-2022)/I43)^2-2*((2080-2022)/I43)^3)))</f>
        <v>0.0150055933511093</v>
      </c>
      <c r="BS43" s="30" t="n">
        <f aca="false">BR43*(1-IF((2081-2022)/I43&gt;=1,J43,H43+(J43-H43)*(3*((2081-2022)/I43)^2-2*((2081-2022)/I43)^3)))</f>
        <v>0.0147805094508427</v>
      </c>
      <c r="BT43" s="30" t="n">
        <f aca="false">BS43*(1-IF((2082-2022)/I43&gt;=1,J43,H43+(J43-H43)*(3*((2082-2022)/I43)^2-2*((2082-2022)/I43)^3)))</f>
        <v>0.01455880180908</v>
      </c>
      <c r="BU43" s="30" t="n">
        <f aca="false">BT43*(1-IF((2083-2022)/I43&gt;=1,J43,H43+(J43-H43)*(3*((2083-2022)/I43)^2-2*((2083-2022)/I43)^3)))</f>
        <v>0.0143404197819438</v>
      </c>
      <c r="BV43" s="30" t="n">
        <f aca="false">BU43*(1-IF((2084-2022)/I43&gt;=1,J43,H43+(J43-H43)*(3*((2084-2022)/I43)^2-2*((2084-2022)/I43)^3)))</f>
        <v>0.0141253134852147</v>
      </c>
      <c r="BW43" s="30" t="n">
        <f aca="false">BV43*(1-IF((2085-2022)/I43&gt;=1,J43,H43+(J43-H43)*(3*((2085-2022)/I43)^2-2*((2085-2022)/I43)^3)))</f>
        <v>0.0139134337829365</v>
      </c>
      <c r="BX43" s="30" t="n">
        <f aca="false">BW43*(1-IF((2086-2022)/I43&gt;=1,J43,H43+(J43-H43)*(3*((2086-2022)/I43)^2-2*((2086-2022)/I43)^3)))</f>
        <v>0.0137047322761924</v>
      </c>
      <c r="BY43" s="30" t="n">
        <f aca="false">BX43*(1-IF((2087-2022)/I43&gt;=1,J43,H43+(J43-H43)*(3*((2087-2022)/I43)^2-2*((2087-2022)/I43)^3)))</f>
        <v>0.0134991612920495</v>
      </c>
      <c r="BZ43" s="30" t="n">
        <f aca="false">BY43*(1-IF((2088-2022)/I43&gt;=1,J43,H43+(J43-H43)*(3*((2088-2022)/I43)^2-2*((2088-2022)/I43)^3)))</f>
        <v>0.0132966738726688</v>
      </c>
      <c r="CA43" s="30" t="n">
        <f aca="false">BZ43*(1-IF((2089-2022)/I43&gt;=1,J43,H43+(J43-H43)*(3*((2089-2022)/I43)^2-2*((2089-2022)/I43)^3)))</f>
        <v>0.0130972237645788</v>
      </c>
      <c r="CB43" s="30" t="n">
        <f aca="false">CA43*(1-IF((2090-2022)/I43&gt;=1,J43,H43+(J43-H43)*(3*((2090-2022)/I43)^2-2*((2090-2022)/I43)^3)))</f>
        <v>0.0129007654081101</v>
      </c>
      <c r="CC43" s="30" t="n">
        <f aca="false">CB43*(1-IF((2091-2022)/I43&gt;=1,J43,H43+(J43-H43)*(3*((2091-2022)/I43)^2-2*((2091-2022)/I43)^3)))</f>
        <v>0.0127072539269884</v>
      </c>
    </row>
    <row r="44" customFormat="false" ht="15" hidden="false" customHeight="true" outlineLevel="0" collapsed="false">
      <c r="A44" s="3" t="n">
        <v>81</v>
      </c>
      <c r="B44" s="30" t="n">
        <f aca="false">IF($A44&lt;=105,INDEX(ILT17_Source!$D$7:$D$52,MATCH($A44,ILT17_Source!$A$7:$A$52,0)),($B$16*EXP($B$17*$A44))/(1+$B$16*EXP($B$17*$A44)))</f>
        <v>0.056126635</v>
      </c>
      <c r="C44" s="31" t="n">
        <f aca="false">LOOKUP($A44,{60,65,70,75,80,85,90,95},{0.78,0.82,0.85,0.88,0.91,0.94,0.97,1})</f>
        <v>0.91</v>
      </c>
      <c r="D44" s="30" t="n">
        <f aca="false">B44*C44</f>
        <v>0.05107523785</v>
      </c>
      <c r="E44" s="30" t="n">
        <f aca="false">1/(1+EXP(-(($B$6+$B$8*(2016-2022))+($B$7+$B$9*(2016-2022))*($A44-$B$10))))</f>
        <v>0.060513275073613</v>
      </c>
      <c r="F44" s="30" t="n">
        <f aca="false">1/(1+EXP(-(($B$6+$B$8*(2021-2022))+($B$7+$B$9*(2021-2022))*($A44-$B$10))))</f>
        <v>0.0555287849277984</v>
      </c>
      <c r="G44" s="30" t="n">
        <f aca="false">1/(1+EXP(-(($B$6+$B$8*(2022-2022))+($B$7+$B$9*(2022-2022))*($A44-$B$10))))</f>
        <v>0.0545793566005731</v>
      </c>
      <c r="H44" s="32" t="n">
        <f aca="false">(F44-G44)/F44</f>
        <v>0.0170979489009132</v>
      </c>
      <c r="I44" s="38" t="n">
        <f aca="false">IF($A44&lt;=50,$B$14,IF($A44&gt;=95,$B$15,$B$14+($B$15-$B$14)*($A44-50)/(95-50)))</f>
        <v>9.66666666666667</v>
      </c>
      <c r="J44" s="39" t="n">
        <f aca="false">IF($A44&lt;=$B$12,$B$11,IF($A44&gt;=$B$13,0,$B$11*($B$13-$A44)/($B$13-$B$12)))</f>
        <v>0.015</v>
      </c>
      <c r="K44" s="30" t="n">
        <f aca="false">D44*G44/E44</f>
        <v>0.0460668112357681</v>
      </c>
      <c r="L44" s="30" t="n">
        <f aca="false">K44*$B$19</f>
        <v>0.0414601301121913</v>
      </c>
      <c r="M44" s="30" t="n">
        <f aca="false">L44*(1-IF((2023-2022)/I44&gt;=1,J44,H44+(J44-H44)*(3*((2023-2022)/I44)^2-2*((2023-2022)/I44)^3)))</f>
        <v>0.0407538468408185</v>
      </c>
      <c r="N44" s="30" t="n">
        <f aca="false">M44*(1-IF((2024-2022)/I44&gt;=1,J44,H44+(J44-H44)*(3*((2024-2022)/I44)^2-2*((2024-2022)/I44)^3)))</f>
        <v>0.04006650492609</v>
      </c>
      <c r="O44" s="30" t="n">
        <f aca="false">N44*(1-IF((2025-2022)/I44&gt;=1,J44,H44+(J44-H44)*(3*((2025-2022)/I44)^2-2*((2025-2022)/I44)^3)))</f>
        <v>0.0394007125421</v>
      </c>
      <c r="P44" s="30" t="n">
        <f aca="false">O44*(1-IF((2026-2022)/I44&gt;=1,J44,H44+(J44-H44)*(3*((2026-2022)/I44)^2-2*((2026-2022)/I44)^3)))</f>
        <v>0.0387577885463441</v>
      </c>
      <c r="Q44" s="30" t="n">
        <f aca="false">P44*(1-IF((2027-2022)/I44&gt;=1,J44,H44+(J44-H44)*(3*((2027-2022)/I44)^2-2*((2027-2022)/I44)^3)))</f>
        <v>0.0381378678476466</v>
      </c>
      <c r="R44" s="30" t="n">
        <f aca="false">Q44*(1-IF((2028-2022)/I44&gt;=1,J44,H44+(J44-H44)*(3*((2028-2022)/I44)^2-2*((2028-2022)/I44)^3)))</f>
        <v>0.0375399976708334</v>
      </c>
      <c r="S44" s="30" t="n">
        <f aca="false">R44*(1-IF((2029-2022)/I44&gt;=1,J44,H44+(J44-H44)*(3*((2029-2022)/I44)^2-2*((2029-2022)/I44)^3)))</f>
        <v>0.036962224213881</v>
      </c>
      <c r="T44" s="30" t="n">
        <f aca="false">S44*(1-IF((2030-2022)/I44&gt;=1,J44,H44+(J44-H44)*(3*((2030-2022)/I44)^2-2*((2030-2022)/I44)^3)))</f>
        <v>0.036401670310634</v>
      </c>
      <c r="U44" s="30" t="n">
        <f aca="false">T44*(1-IF((2031-2022)/I44&gt;=1,J44,H44+(J44-H44)*(3*((2031-2022)/I44)^2-2*((2031-2022)/I44)^3)))</f>
        <v>0.0358546056702481</v>
      </c>
      <c r="V44" s="30" t="n">
        <f aca="false">U44*(1-IF((2032-2022)/I44&gt;=1,J44,H44+(J44-H44)*(3*((2032-2022)/I44)^2-2*((2032-2022)/I44)^3)))</f>
        <v>0.0353167865851944</v>
      </c>
      <c r="W44" s="30" t="n">
        <f aca="false">V44*(1-IF((2033-2022)/I44&gt;=1,J44,H44+(J44-H44)*(3*((2033-2022)/I44)^2-2*((2033-2022)/I44)^3)))</f>
        <v>0.0347870347864165</v>
      </c>
      <c r="X44" s="30" t="n">
        <f aca="false">W44*(1-IF((2034-2022)/I44&gt;=1,J44,H44+(J44-H44)*(3*((2034-2022)/I44)^2-2*((2034-2022)/I44)^3)))</f>
        <v>0.0342652292646202</v>
      </c>
      <c r="Y44" s="30" t="n">
        <f aca="false">X44*(1-IF((2035-2022)/I44&gt;=1,J44,H44+(J44-H44)*(3*((2035-2022)/I44)^2-2*((2035-2022)/I44)^3)))</f>
        <v>0.0337512508256509</v>
      </c>
      <c r="Z44" s="30" t="n">
        <f aca="false">Y44*(1-IF((2036-2022)/I44&gt;=1,J44,H44+(J44-H44)*(3*((2036-2022)/I44)^2-2*((2036-2022)/I44)^3)))</f>
        <v>0.0332449820632662</v>
      </c>
      <c r="AA44" s="30" t="n">
        <f aca="false">Z44*(1-IF((2037-2022)/I44&gt;=1,J44,H44+(J44-H44)*(3*((2037-2022)/I44)^2-2*((2037-2022)/I44)^3)))</f>
        <v>0.0327463073323172</v>
      </c>
      <c r="AB44" s="30" t="n">
        <f aca="false">AA44*(1-IF((2038-2022)/I44&gt;=1,J44,H44+(J44-H44)*(3*((2038-2022)/I44)^2-2*((2038-2022)/I44)^3)))</f>
        <v>0.0322551127223324</v>
      </c>
      <c r="AC44" s="30" t="n">
        <f aca="false">AB44*(1-IF((2039-2022)/I44&gt;=1,J44,H44+(J44-H44)*(3*((2039-2022)/I44)^2-2*((2039-2022)/I44)^3)))</f>
        <v>0.0317712860314974</v>
      </c>
      <c r="AD44" s="30" t="n">
        <f aca="false">AC44*(1-IF((2040-2022)/I44&gt;=1,J44,H44+(J44-H44)*(3*((2040-2022)/I44)^2-2*((2040-2022)/I44)^3)))</f>
        <v>0.031294716741025</v>
      </c>
      <c r="AE44" s="30" t="n">
        <f aca="false">AD44*(1-IF((2041-2022)/I44&gt;=1,J44,H44+(J44-H44)*(3*((2041-2022)/I44)^2-2*((2041-2022)/I44)^3)))</f>
        <v>0.0308252959899096</v>
      </c>
      <c r="AF44" s="30" t="n">
        <f aca="false">AE44*(1-IF((2042-2022)/I44&gt;=1,J44,H44+(J44-H44)*(3*((2042-2022)/I44)^2-2*((2042-2022)/I44)^3)))</f>
        <v>0.0303629165500609</v>
      </c>
      <c r="AG44" s="30" t="n">
        <f aca="false">AF44*(1-IF((2043-2022)/I44&gt;=1,J44,H44+(J44-H44)*(3*((2043-2022)/I44)^2-2*((2043-2022)/I44)^3)))</f>
        <v>0.02990747280181</v>
      </c>
      <c r="AH44" s="30" t="n">
        <f aca="false">AG44*(1-IF((2044-2022)/I44&gt;=1,J44,H44+(J44-H44)*(3*((2044-2022)/I44)^2-2*((2044-2022)/I44)^3)))</f>
        <v>0.0294588607097829</v>
      </c>
      <c r="AI44" s="30" t="n">
        <f aca="false">AH44*(1-IF((2045-2022)/I44&gt;=1,J44,H44+(J44-H44)*(3*((2045-2022)/I44)^2-2*((2045-2022)/I44)^3)))</f>
        <v>0.0290169777991361</v>
      </c>
      <c r="AJ44" s="30" t="n">
        <f aca="false">AI44*(1-IF((2046-2022)/I44&gt;=1,J44,H44+(J44-H44)*(3*((2046-2022)/I44)^2-2*((2046-2022)/I44)^3)))</f>
        <v>0.0285817231321491</v>
      </c>
      <c r="AK44" s="30" t="n">
        <f aca="false">AJ44*(1-IF((2047-2022)/I44&gt;=1,J44,H44+(J44-H44)*(3*((2047-2022)/I44)^2-2*((2047-2022)/I44)^3)))</f>
        <v>0.0281529972851669</v>
      </c>
      <c r="AL44" s="30" t="n">
        <f aca="false">AK44*(1-IF((2048-2022)/I44&gt;=1,J44,H44+(J44-H44)*(3*((2048-2022)/I44)^2-2*((2048-2022)/I44)^3)))</f>
        <v>0.0277307023258894</v>
      </c>
      <c r="AM44" s="30" t="n">
        <f aca="false">AL44*(1-IF((2049-2022)/I44&gt;=1,J44,H44+(J44-H44)*(3*((2049-2022)/I44)^2-2*((2049-2022)/I44)^3)))</f>
        <v>0.027314741791001</v>
      </c>
      <c r="AN44" s="30" t="n">
        <f aca="false">AM44*(1-IF((2050-2022)/I44&gt;=1,J44,H44+(J44-H44)*(3*((2050-2022)/I44)^2-2*((2050-2022)/I44)^3)))</f>
        <v>0.026905020664136</v>
      </c>
      <c r="AO44" s="30" t="n">
        <f aca="false">AN44*(1-IF((2051-2022)/I44&gt;=1,J44,H44+(J44-H44)*(3*((2051-2022)/I44)^2-2*((2051-2022)/I44)^3)))</f>
        <v>0.026501445354174</v>
      </c>
      <c r="AP44" s="30" t="n">
        <f aca="false">AO44*(1-IF((2052-2022)/I44&gt;=1,J44,H44+(J44-H44)*(3*((2052-2022)/I44)^2-2*((2052-2022)/I44)^3)))</f>
        <v>0.0261039236738613</v>
      </c>
      <c r="AQ44" s="30" t="n">
        <f aca="false">AP44*(1-IF((2053-2022)/I44&gt;=1,J44,H44+(J44-H44)*(3*((2053-2022)/I44)^2-2*((2053-2022)/I44)^3)))</f>
        <v>0.0257123648187534</v>
      </c>
      <c r="AR44" s="30" t="n">
        <f aca="false">AQ44*(1-IF((2054-2022)/I44&gt;=1,J44,H44+(J44-H44)*(3*((2054-2022)/I44)^2-2*((2054-2022)/I44)^3)))</f>
        <v>0.0253266793464721</v>
      </c>
      <c r="AS44" s="30" t="n">
        <f aca="false">AR44*(1-IF((2055-2022)/I44&gt;=1,J44,H44+(J44-H44)*(3*((2055-2022)/I44)^2-2*((2055-2022)/I44)^3)))</f>
        <v>0.024946779156275</v>
      </c>
      <c r="AT44" s="30" t="n">
        <f aca="false">AS44*(1-IF((2056-2022)/I44&gt;=1,J44,H44+(J44-H44)*(3*((2056-2022)/I44)^2-2*((2056-2022)/I44)^3)))</f>
        <v>0.0245725774689309</v>
      </c>
      <c r="AU44" s="30" t="n">
        <f aca="false">AT44*(1-IF((2057-2022)/I44&gt;=1,J44,H44+(J44-H44)*(3*((2057-2022)/I44)^2-2*((2057-2022)/I44)^3)))</f>
        <v>0.0242039888068969</v>
      </c>
      <c r="AV44" s="30" t="n">
        <f aca="false">AU44*(1-IF((2058-2022)/I44&gt;=1,J44,H44+(J44-H44)*(3*((2058-2022)/I44)^2-2*((2058-2022)/I44)^3)))</f>
        <v>0.0238409289747935</v>
      </c>
      <c r="AW44" s="30" t="n">
        <f aca="false">AV44*(1-IF((2059-2022)/I44&gt;=1,J44,H44+(J44-H44)*(3*((2059-2022)/I44)^2-2*((2059-2022)/I44)^3)))</f>
        <v>0.0234833150401716</v>
      </c>
      <c r="AX44" s="30" t="n">
        <f aca="false">AW44*(1-IF((2060-2022)/I44&gt;=1,J44,H44+(J44-H44)*(3*((2060-2022)/I44)^2-2*((2060-2022)/I44)^3)))</f>
        <v>0.023131065314569</v>
      </c>
      <c r="AY44" s="30" t="n">
        <f aca="false">AX44*(1-IF((2061-2022)/I44&gt;=1,J44,H44+(J44-H44)*(3*((2061-2022)/I44)^2-2*((2061-2022)/I44)^3)))</f>
        <v>0.0227840993348505</v>
      </c>
      <c r="AZ44" s="30" t="n">
        <f aca="false">AY44*(1-IF((2062-2022)/I44&gt;=1,J44,H44+(J44-H44)*(3*((2062-2022)/I44)^2-2*((2062-2022)/I44)^3)))</f>
        <v>0.0224423378448277</v>
      </c>
      <c r="BA44" s="30" t="n">
        <f aca="false">AZ44*(1-IF((2063-2022)/I44&gt;=1,J44,H44+(J44-H44)*(3*((2063-2022)/I44)^2-2*((2063-2022)/I44)^3)))</f>
        <v>0.0221057027771553</v>
      </c>
      <c r="BB44" s="30" t="n">
        <f aca="false">BA44*(1-IF((2064-2022)/I44&gt;=1,J44,H44+(J44-H44)*(3*((2064-2022)/I44)^2-2*((2064-2022)/I44)^3)))</f>
        <v>0.021774117235498</v>
      </c>
      <c r="BC44" s="30" t="n">
        <f aca="false">BB44*(1-IF((2065-2022)/I44&gt;=1,J44,H44+(J44-H44)*(3*((2065-2022)/I44)^2-2*((2065-2022)/I44)^3)))</f>
        <v>0.0214475054769655</v>
      </c>
      <c r="BD44" s="30" t="n">
        <f aca="false">BC44*(1-IF((2066-2022)/I44&gt;=1,J44,H44+(J44-H44)*(3*((2066-2022)/I44)^2-2*((2066-2022)/I44)^3)))</f>
        <v>0.021125792894811</v>
      </c>
      <c r="BE44" s="30" t="n">
        <f aca="false">BD44*(1-IF((2067-2022)/I44&gt;=1,J44,H44+(J44-H44)*(3*((2067-2022)/I44)^2-2*((2067-2022)/I44)^3)))</f>
        <v>0.0208089060013889</v>
      </c>
      <c r="BF44" s="30" t="n">
        <f aca="false">BE44*(1-IF((2068-2022)/I44&gt;=1,J44,H44+(J44-H44)*(3*((2068-2022)/I44)^2-2*((2068-2022)/I44)^3)))</f>
        <v>0.020496772411368</v>
      </c>
      <c r="BG44" s="30" t="n">
        <f aca="false">BF44*(1-IF((2069-2022)/I44&gt;=1,J44,H44+(J44-H44)*(3*((2069-2022)/I44)^2-2*((2069-2022)/I44)^3)))</f>
        <v>0.0201893208251975</v>
      </c>
      <c r="BH44" s="30" t="n">
        <f aca="false">BG44*(1-IF((2070-2022)/I44&gt;=1,J44,H44+(J44-H44)*(3*((2070-2022)/I44)^2-2*((2070-2022)/I44)^3)))</f>
        <v>0.0198864810128195</v>
      </c>
      <c r="BI44" s="30" t="n">
        <f aca="false">BH44*(1-IF((2071-2022)/I44&gt;=1,J44,H44+(J44-H44)*(3*((2071-2022)/I44)^2-2*((2071-2022)/I44)^3)))</f>
        <v>0.0195881837976272</v>
      </c>
      <c r="BJ44" s="30" t="n">
        <f aca="false">BI44*(1-IF((2072-2022)/I44&gt;=1,J44,H44+(J44-H44)*(3*((2072-2022)/I44)^2-2*((2072-2022)/I44)^3)))</f>
        <v>0.0192943610406628</v>
      </c>
      <c r="BK44" s="30" t="n">
        <f aca="false">BJ44*(1-IF((2073-2022)/I44&gt;=1,J44,H44+(J44-H44)*(3*((2073-2022)/I44)^2-2*((2073-2022)/I44)^3)))</f>
        <v>0.0190049456250529</v>
      </c>
      <c r="BL44" s="30" t="n">
        <f aca="false">BK44*(1-IF((2074-2022)/I44&gt;=1,J44,H44+(J44-H44)*(3*((2074-2022)/I44)^2-2*((2074-2022)/I44)^3)))</f>
        <v>0.0187198714406771</v>
      </c>
      <c r="BM44" s="30" t="n">
        <f aca="false">BL44*(1-IF((2075-2022)/I44&gt;=1,J44,H44+(J44-H44)*(3*((2075-2022)/I44)^2-2*((2075-2022)/I44)^3)))</f>
        <v>0.0184390733690669</v>
      </c>
      <c r="BN44" s="30" t="n">
        <f aca="false">BM44*(1-IF((2076-2022)/I44&gt;=1,J44,H44+(J44-H44)*(3*((2076-2022)/I44)^2-2*((2076-2022)/I44)^3)))</f>
        <v>0.0181624872685309</v>
      </c>
      <c r="BO44" s="30" t="n">
        <f aca="false">BN44*(1-IF((2077-2022)/I44&gt;=1,J44,H44+(J44-H44)*(3*((2077-2022)/I44)^2-2*((2077-2022)/I44)^3)))</f>
        <v>0.017890049959503</v>
      </c>
      <c r="BP44" s="30" t="n">
        <f aca="false">BO44*(1-IF((2078-2022)/I44&gt;=1,J44,H44+(J44-H44)*(3*((2078-2022)/I44)^2-2*((2078-2022)/I44)^3)))</f>
        <v>0.0176216992101104</v>
      </c>
      <c r="BQ44" s="30" t="n">
        <f aca="false">BP44*(1-IF((2079-2022)/I44&gt;=1,J44,H44+(J44-H44)*(3*((2079-2022)/I44)^2-2*((2079-2022)/I44)^3)))</f>
        <v>0.0173573737219588</v>
      </c>
      <c r="BR44" s="30" t="n">
        <f aca="false">BQ44*(1-IF((2080-2022)/I44&gt;=1,J44,H44+(J44-H44)*(3*((2080-2022)/I44)^2-2*((2080-2022)/I44)^3)))</f>
        <v>0.0170970131161294</v>
      </c>
      <c r="BS44" s="30" t="n">
        <f aca="false">BR44*(1-IF((2081-2022)/I44&gt;=1,J44,H44+(J44-H44)*(3*((2081-2022)/I44)^2-2*((2081-2022)/I44)^3)))</f>
        <v>0.0168405579193874</v>
      </c>
      <c r="BT44" s="30" t="n">
        <f aca="false">BS44*(1-IF((2082-2022)/I44&gt;=1,J44,H44+(J44-H44)*(3*((2082-2022)/I44)^2-2*((2082-2022)/I44)^3)))</f>
        <v>0.0165879495505966</v>
      </c>
      <c r="BU44" s="30" t="n">
        <f aca="false">BT44*(1-IF((2083-2022)/I44&gt;=1,J44,H44+(J44-H44)*(3*((2083-2022)/I44)^2-2*((2083-2022)/I44)^3)))</f>
        <v>0.0163391303073377</v>
      </c>
      <c r="BV44" s="30" t="n">
        <f aca="false">BU44*(1-IF((2084-2022)/I44&gt;=1,J44,H44+(J44-H44)*(3*((2084-2022)/I44)^2-2*((2084-2022)/I44)^3)))</f>
        <v>0.0160940433527276</v>
      </c>
      <c r="BW44" s="30" t="n">
        <f aca="false">BV44*(1-IF((2085-2022)/I44&gt;=1,J44,H44+(J44-H44)*(3*((2085-2022)/I44)^2-2*((2085-2022)/I44)^3)))</f>
        <v>0.0158526327024367</v>
      </c>
      <c r="BX44" s="30" t="n">
        <f aca="false">BW44*(1-IF((2086-2022)/I44&gt;=1,J44,H44+(J44-H44)*(3*((2086-2022)/I44)^2-2*((2086-2022)/I44)^3)))</f>
        <v>0.0156148432119002</v>
      </c>
      <c r="BY44" s="30" t="n">
        <f aca="false">BX44*(1-IF((2087-2022)/I44&gt;=1,J44,H44+(J44-H44)*(3*((2087-2022)/I44)^2-2*((2087-2022)/I44)^3)))</f>
        <v>0.0153806205637217</v>
      </c>
      <c r="BZ44" s="30" t="n">
        <f aca="false">BY44*(1-IF((2088-2022)/I44&gt;=1,J44,H44+(J44-H44)*(3*((2088-2022)/I44)^2-2*((2088-2022)/I44)^3)))</f>
        <v>0.0151499112552658</v>
      </c>
      <c r="CA44" s="30" t="n">
        <f aca="false">BZ44*(1-IF((2089-2022)/I44&gt;=1,J44,H44+(J44-H44)*(3*((2089-2022)/I44)^2-2*((2089-2022)/I44)^3)))</f>
        <v>0.0149226625864368</v>
      </c>
      <c r="CB44" s="30" t="n">
        <f aca="false">CA44*(1-IF((2090-2022)/I44&gt;=1,J44,H44+(J44-H44)*(3*((2090-2022)/I44)^2-2*((2090-2022)/I44)^3)))</f>
        <v>0.0146988226476403</v>
      </c>
      <c r="CC44" s="30" t="n">
        <f aca="false">CB44*(1-IF((2091-2022)/I44&gt;=1,J44,H44+(J44-H44)*(3*((2091-2022)/I44)^2-2*((2091-2022)/I44)^3)))</f>
        <v>0.0144783403079257</v>
      </c>
    </row>
    <row r="45" customFormat="false" ht="15" hidden="false" customHeight="true" outlineLevel="0" collapsed="false">
      <c r="A45" s="3" t="n">
        <v>82</v>
      </c>
      <c r="B45" s="30" t="n">
        <f aca="false">IF($A45&lt;=105,INDEX(ILT17_Source!$D$7:$D$52,MATCH($A45,ILT17_Source!$A$7:$A$52,0)),($B$16*EXP($B$17*$A45))/(1+$B$16*EXP($B$17*$A45)))</f>
        <v>0.063530395</v>
      </c>
      <c r="C45" s="31" t="n">
        <f aca="false">LOOKUP($A45,{60,65,70,75,80,85,90,95},{0.78,0.82,0.85,0.88,0.91,0.94,0.97,1})</f>
        <v>0.91</v>
      </c>
      <c r="D45" s="30" t="n">
        <f aca="false">B45*C45</f>
        <v>0.05781265945</v>
      </c>
      <c r="E45" s="30" t="n">
        <f aca="false">1/(1+EXP(-(($B$6+$B$8*(2016-2022))+($B$7+$B$9*(2016-2022))*($A45-$B$10))))</f>
        <v>0.0671208688832238</v>
      </c>
      <c r="F45" s="30" t="n">
        <f aca="false">1/(1+EXP(-(($B$6+$B$8*(2021-2022))+($B$7+$B$9*(2021-2022))*($A45-$B$10))))</f>
        <v>0.0617860402916688</v>
      </c>
      <c r="G45" s="30" t="n">
        <f aca="false">1/(1+EXP(-(($B$6+$B$8*(2022-2022))+($B$7+$B$9*(2022-2022))*($A45-$B$10))))</f>
        <v>0.0607676933423393</v>
      </c>
      <c r="H45" s="32" t="n">
        <f aca="false">(F45-G45)/F45</f>
        <v>0.0164818289782336</v>
      </c>
      <c r="I45" s="38" t="n">
        <f aca="false">IF($A45&lt;=50,$B$14,IF($A45&gt;=95,$B$15,$B$14+($B$15-$B$14)*($A45-50)/(95-50)))</f>
        <v>9.33333333333333</v>
      </c>
      <c r="J45" s="39" t="n">
        <f aca="false">IF($A45&lt;=$B$12,$B$11,IF($A45&gt;=$B$13,0,$B$11*($B$13-$A45)/($B$13-$B$12)))</f>
        <v>0.015</v>
      </c>
      <c r="K45" s="30" t="n">
        <f aca="false">D45*G45/E45</f>
        <v>0.0523405316292139</v>
      </c>
      <c r="L45" s="30" t="n">
        <f aca="false">K45*$B$19</f>
        <v>0.0471064784662925</v>
      </c>
      <c r="M45" s="30" t="n">
        <f aca="false">L45*(1-IF((2023-2022)/I45&gt;=1,J45,H45+(J45-H45)*(3*((2023-2022)/I45)^2-2*((2023-2022)/I45)^3)))</f>
        <v>0.046332309788836</v>
      </c>
      <c r="N45" s="30" t="n">
        <f aca="false">M45*(1-IF((2024-2022)/I45&gt;=1,J45,H45+(J45-H45)*(3*((2024-2022)/I45)^2-2*((2024-2022)/I45)^3)))</f>
        <v>0.0455767752610114</v>
      </c>
      <c r="O45" s="30" t="n">
        <f aca="false">N45*(1-IF((2025-2022)/I45&gt;=1,J45,H45+(J45-H45)*(3*((2025-2022)/I45)^2-2*((2025-2022)/I45)^3)))</f>
        <v>0.044842034018632</v>
      </c>
      <c r="P45" s="30" t="n">
        <f aca="false">O45*(1-IF((2026-2022)/I45&gt;=1,J45,H45+(J45-H45)*(3*((2026-2022)/I45)^2-2*((2026-2022)/I45)^3)))</f>
        <v>0.0441291083745509</v>
      </c>
      <c r="Q45" s="30" t="n">
        <f aca="false">P45*(1-IF((2027-2022)/I45&gt;=1,J45,H45+(J45-H45)*(3*((2027-2022)/I45)^2-2*((2027-2022)/I45)^3)))</f>
        <v>0.0434379730271306</v>
      </c>
      <c r="R45" s="30" t="n">
        <f aca="false">Q45*(1-IF((2028-2022)/I45&gt;=1,J45,H45+(J45-H45)*(3*((2028-2022)/I45)^2-2*((2028-2022)/I45)^3)))</f>
        <v>0.0427676373538264</v>
      </c>
      <c r="S45" s="30" t="n">
        <f aca="false">R45*(1-IF((2029-2022)/I45&gt;=1,J45,H45+(J45-H45)*(3*((2029-2022)/I45)^2-2*((2029-2022)/I45)^3)))</f>
        <v>0.0421162205553376</v>
      </c>
      <c r="T45" s="30" t="n">
        <f aca="false">S45*(1-IF((2030-2022)/I45&gt;=1,J45,H45+(J45-H45)*(3*((2030-2022)/I45)^2-2*((2030-2022)/I45)^3)))</f>
        <v>0.0414810201867003</v>
      </c>
      <c r="U45" s="30" t="n">
        <f aca="false">T45*(1-IF((2031-2022)/I45&gt;=1,J45,H45+(J45-H45)*(3*((2031-2022)/I45)^2-2*((2031-2022)/I45)^3)))</f>
        <v>0.0408585752757649</v>
      </c>
      <c r="V45" s="30" t="n">
        <f aca="false">U45*(1-IF((2032-2022)/I45&gt;=1,J45,H45+(J45-H45)*(3*((2032-2022)/I45)^2-2*((2032-2022)/I45)^3)))</f>
        <v>0.0402456966466284</v>
      </c>
      <c r="W45" s="30" t="n">
        <f aca="false">V45*(1-IF((2033-2022)/I45&gt;=1,J45,H45+(J45-H45)*(3*((2033-2022)/I45)^2-2*((2033-2022)/I45)^3)))</f>
        <v>0.039642011196929</v>
      </c>
      <c r="X45" s="30" t="n">
        <f aca="false">W45*(1-IF((2034-2022)/I45&gt;=1,J45,H45+(J45-H45)*(3*((2034-2022)/I45)^2-2*((2034-2022)/I45)^3)))</f>
        <v>0.0390473810289751</v>
      </c>
      <c r="Y45" s="30" t="n">
        <f aca="false">X45*(1-IF((2035-2022)/I45&gt;=1,J45,H45+(J45-H45)*(3*((2035-2022)/I45)^2-2*((2035-2022)/I45)^3)))</f>
        <v>0.0384616703135405</v>
      </c>
      <c r="Z45" s="30" t="n">
        <f aca="false">Y45*(1-IF((2036-2022)/I45&gt;=1,J45,H45+(J45-H45)*(3*((2036-2022)/I45)^2-2*((2036-2022)/I45)^3)))</f>
        <v>0.0378847452588373</v>
      </c>
      <c r="AA45" s="30" t="n">
        <f aca="false">Z45*(1-IF((2037-2022)/I45&gt;=1,J45,H45+(J45-H45)*(3*((2037-2022)/I45)^2-2*((2037-2022)/I45)^3)))</f>
        <v>0.0373164740799548</v>
      </c>
      <c r="AB45" s="30" t="n">
        <f aca="false">AA45*(1-IF((2038-2022)/I45&gt;=1,J45,H45+(J45-H45)*(3*((2038-2022)/I45)^2-2*((2038-2022)/I45)^3)))</f>
        <v>0.0367567269687555</v>
      </c>
      <c r="AC45" s="30" t="n">
        <f aca="false">AB45*(1-IF((2039-2022)/I45&gt;=1,J45,H45+(J45-H45)*(3*((2039-2022)/I45)^2-2*((2039-2022)/I45)^3)))</f>
        <v>0.0362053760642241</v>
      </c>
      <c r="AD45" s="30" t="n">
        <f aca="false">AC45*(1-IF((2040-2022)/I45&gt;=1,J45,H45+(J45-H45)*(3*((2040-2022)/I45)^2-2*((2040-2022)/I45)^3)))</f>
        <v>0.0356622954232608</v>
      </c>
      <c r="AE45" s="30" t="n">
        <f aca="false">AD45*(1-IF((2041-2022)/I45&gt;=1,J45,H45+(J45-H45)*(3*((2041-2022)/I45)^2-2*((2041-2022)/I45)^3)))</f>
        <v>0.0351273609919119</v>
      </c>
      <c r="AF45" s="30" t="n">
        <f aca="false">AE45*(1-IF((2042-2022)/I45&gt;=1,J45,H45+(J45-H45)*(3*((2042-2022)/I45)^2-2*((2042-2022)/I45)^3)))</f>
        <v>0.0346004505770332</v>
      </c>
      <c r="AG45" s="30" t="n">
        <f aca="false">AF45*(1-IF((2043-2022)/I45&gt;=1,J45,H45+(J45-H45)*(3*((2043-2022)/I45)^2-2*((2043-2022)/I45)^3)))</f>
        <v>0.0340814438183777</v>
      </c>
      <c r="AH45" s="30" t="n">
        <f aca="false">AG45*(1-IF((2044-2022)/I45&gt;=1,J45,H45+(J45-H45)*(3*((2044-2022)/I45)^2-2*((2044-2022)/I45)^3)))</f>
        <v>0.033570222161102</v>
      </c>
      <c r="AI45" s="30" t="n">
        <f aca="false">AH45*(1-IF((2045-2022)/I45&gt;=1,J45,H45+(J45-H45)*(3*((2045-2022)/I45)^2-2*((2045-2022)/I45)^3)))</f>
        <v>0.0330666688286855</v>
      </c>
      <c r="AJ45" s="30" t="n">
        <f aca="false">AI45*(1-IF((2046-2022)/I45&gt;=1,J45,H45+(J45-H45)*(3*((2046-2022)/I45)^2-2*((2046-2022)/I45)^3)))</f>
        <v>0.0325706687962552</v>
      </c>
      <c r="AK45" s="30" t="n">
        <f aca="false">AJ45*(1-IF((2047-2022)/I45&gt;=1,J45,H45+(J45-H45)*(3*((2047-2022)/I45)^2-2*((2047-2022)/I45)^3)))</f>
        <v>0.0320821087643114</v>
      </c>
      <c r="AL45" s="30" t="n">
        <f aca="false">AK45*(1-IF((2048-2022)/I45&gt;=1,J45,H45+(J45-H45)*(3*((2048-2022)/I45)^2-2*((2048-2022)/I45)^3)))</f>
        <v>0.0316008771328467</v>
      </c>
      <c r="AM45" s="30" t="n">
        <f aca="false">AL45*(1-IF((2049-2022)/I45&gt;=1,J45,H45+(J45-H45)*(3*((2049-2022)/I45)^2-2*((2049-2022)/I45)^3)))</f>
        <v>0.031126863975854</v>
      </c>
      <c r="AN45" s="30" t="n">
        <f aca="false">AM45*(1-IF((2050-2022)/I45&gt;=1,J45,H45+(J45-H45)*(3*((2050-2022)/I45)^2-2*((2050-2022)/I45)^3)))</f>
        <v>0.0306599610162162</v>
      </c>
      <c r="AO45" s="30" t="n">
        <f aca="false">AN45*(1-IF((2051-2022)/I45&gt;=1,J45,H45+(J45-H45)*(3*((2051-2022)/I45)^2-2*((2051-2022)/I45)^3)))</f>
        <v>0.030200061600973</v>
      </c>
      <c r="AP45" s="30" t="n">
        <f aca="false">AO45*(1-IF((2052-2022)/I45&gt;=1,J45,H45+(J45-H45)*(3*((2052-2022)/I45)^2-2*((2052-2022)/I45)^3)))</f>
        <v>0.0297470606769584</v>
      </c>
      <c r="AQ45" s="30" t="n">
        <f aca="false">AP45*(1-IF((2053-2022)/I45&gt;=1,J45,H45+(J45-H45)*(3*((2053-2022)/I45)^2-2*((2053-2022)/I45)^3)))</f>
        <v>0.029300854766804</v>
      </c>
      <c r="AR45" s="30" t="n">
        <f aca="false">AQ45*(1-IF((2054-2022)/I45&gt;=1,J45,H45+(J45-H45)*(3*((2054-2022)/I45)^2-2*((2054-2022)/I45)^3)))</f>
        <v>0.0288613419453019</v>
      </c>
      <c r="AS45" s="30" t="n">
        <f aca="false">AR45*(1-IF((2055-2022)/I45&gt;=1,J45,H45+(J45-H45)*(3*((2055-2022)/I45)^2-2*((2055-2022)/I45)^3)))</f>
        <v>0.0284284218161224</v>
      </c>
      <c r="AT45" s="30" t="n">
        <f aca="false">AS45*(1-IF((2056-2022)/I45&gt;=1,J45,H45+(J45-H45)*(3*((2056-2022)/I45)^2-2*((2056-2022)/I45)^3)))</f>
        <v>0.0280019954888806</v>
      </c>
      <c r="AU45" s="30" t="n">
        <f aca="false">AT45*(1-IF((2057-2022)/I45&gt;=1,J45,H45+(J45-H45)*(3*((2057-2022)/I45)^2-2*((2057-2022)/I45)^3)))</f>
        <v>0.0275819655565473</v>
      </c>
      <c r="AV45" s="30" t="n">
        <f aca="false">AU45*(1-IF((2058-2022)/I45&gt;=1,J45,H45+(J45-H45)*(3*((2058-2022)/I45)^2-2*((2058-2022)/I45)^3)))</f>
        <v>0.0271682360731991</v>
      </c>
      <c r="AW45" s="30" t="n">
        <f aca="false">AV45*(1-IF((2059-2022)/I45&gt;=1,J45,H45+(J45-H45)*(3*((2059-2022)/I45)^2-2*((2059-2022)/I45)^3)))</f>
        <v>0.0267607125321011</v>
      </c>
      <c r="AX45" s="30" t="n">
        <f aca="false">AW45*(1-IF((2060-2022)/I45&gt;=1,J45,H45+(J45-H45)*(3*((2060-2022)/I45)^2-2*((2060-2022)/I45)^3)))</f>
        <v>0.0263593018441196</v>
      </c>
      <c r="AY45" s="30" t="n">
        <f aca="false">AX45*(1-IF((2061-2022)/I45&gt;=1,J45,H45+(J45-H45)*(3*((2061-2022)/I45)^2-2*((2061-2022)/I45)^3)))</f>
        <v>0.0259639123164578</v>
      </c>
      <c r="AZ45" s="30" t="n">
        <f aca="false">AY45*(1-IF((2062-2022)/I45&gt;=1,J45,H45+(J45-H45)*(3*((2062-2022)/I45)^2-2*((2062-2022)/I45)^3)))</f>
        <v>0.025574453631711</v>
      </c>
      <c r="BA45" s="30" t="n">
        <f aca="false">AZ45*(1-IF((2063-2022)/I45&gt;=1,J45,H45+(J45-H45)*(3*((2063-2022)/I45)^2-2*((2063-2022)/I45)^3)))</f>
        <v>0.0251908368272353</v>
      </c>
      <c r="BB45" s="30" t="n">
        <f aca="false">BA45*(1-IF((2064-2022)/I45&gt;=1,J45,H45+(J45-H45)*(3*((2064-2022)/I45)^2-2*((2064-2022)/I45)^3)))</f>
        <v>0.0248129742748268</v>
      </c>
      <c r="BC45" s="30" t="n">
        <f aca="false">BB45*(1-IF((2065-2022)/I45&gt;=1,J45,H45+(J45-H45)*(3*((2065-2022)/I45)^2-2*((2065-2022)/I45)^3)))</f>
        <v>0.0244407796607044</v>
      </c>
      <c r="BD45" s="30" t="n">
        <f aca="false">BC45*(1-IF((2066-2022)/I45&gt;=1,J45,H45+(J45-H45)*(3*((2066-2022)/I45)^2-2*((2066-2022)/I45)^3)))</f>
        <v>0.0240741679657938</v>
      </c>
      <c r="BE45" s="30" t="n">
        <f aca="false">BD45*(1-IF((2067-2022)/I45&gt;=1,J45,H45+(J45-H45)*(3*((2067-2022)/I45)^2-2*((2067-2022)/I45)^3)))</f>
        <v>0.0237130554463069</v>
      </c>
      <c r="BF45" s="30" t="n">
        <f aca="false">BE45*(1-IF((2068-2022)/I45&gt;=1,J45,H45+(J45-H45)*(3*((2068-2022)/I45)^2-2*((2068-2022)/I45)^3)))</f>
        <v>0.0233573596146123</v>
      </c>
      <c r="BG45" s="30" t="n">
        <f aca="false">BF45*(1-IF((2069-2022)/I45&gt;=1,J45,H45+(J45-H45)*(3*((2069-2022)/I45)^2-2*((2069-2022)/I45)^3)))</f>
        <v>0.0230069992203931</v>
      </c>
      <c r="BH45" s="30" t="n">
        <f aca="false">BG45*(1-IF((2070-2022)/I45&gt;=1,J45,H45+(J45-H45)*(3*((2070-2022)/I45)^2-2*((2070-2022)/I45)^3)))</f>
        <v>0.0226618942320872</v>
      </c>
      <c r="BI45" s="30" t="n">
        <f aca="false">BH45*(1-IF((2071-2022)/I45&gt;=1,J45,H45+(J45-H45)*(3*((2071-2022)/I45)^2-2*((2071-2022)/I45)^3)))</f>
        <v>0.0223219658186059</v>
      </c>
      <c r="BJ45" s="30" t="n">
        <f aca="false">BI45*(1-IF((2072-2022)/I45&gt;=1,J45,H45+(J45-H45)*(3*((2072-2022)/I45)^2-2*((2072-2022)/I45)^3)))</f>
        <v>0.0219871363313268</v>
      </c>
      <c r="BK45" s="30" t="n">
        <f aca="false">BJ45*(1-IF((2073-2022)/I45&gt;=1,J45,H45+(J45-H45)*(3*((2073-2022)/I45)^2-2*((2073-2022)/I45)^3)))</f>
        <v>0.0216573292863569</v>
      </c>
      <c r="BL45" s="30" t="n">
        <f aca="false">BK45*(1-IF((2074-2022)/I45&gt;=1,J45,H45+(J45-H45)*(3*((2074-2022)/I45)^2-2*((2074-2022)/I45)^3)))</f>
        <v>0.0213324693470616</v>
      </c>
      <c r="BM45" s="30" t="n">
        <f aca="false">BL45*(1-IF((2075-2022)/I45&gt;=1,J45,H45+(J45-H45)*(3*((2075-2022)/I45)^2-2*((2075-2022)/I45)^3)))</f>
        <v>0.0210124823068556</v>
      </c>
      <c r="BN45" s="30" t="n">
        <f aca="false">BM45*(1-IF((2076-2022)/I45&gt;=1,J45,H45+(J45-H45)*(3*((2076-2022)/I45)^2-2*((2076-2022)/I45)^3)))</f>
        <v>0.0206972950722528</v>
      </c>
      <c r="BO45" s="30" t="n">
        <f aca="false">BN45*(1-IF((2077-2022)/I45&gt;=1,J45,H45+(J45-H45)*(3*((2077-2022)/I45)^2-2*((2077-2022)/I45)^3)))</f>
        <v>0.020386835646169</v>
      </c>
      <c r="BP45" s="30" t="n">
        <f aca="false">BO45*(1-IF((2078-2022)/I45&gt;=1,J45,H45+(J45-H45)*(3*((2078-2022)/I45)^2-2*((2078-2022)/I45)^3)))</f>
        <v>0.0200810331114765</v>
      </c>
      <c r="BQ45" s="30" t="n">
        <f aca="false">BP45*(1-IF((2079-2022)/I45&gt;=1,J45,H45+(J45-H45)*(3*((2079-2022)/I45)^2-2*((2079-2022)/I45)^3)))</f>
        <v>0.0197798176148043</v>
      </c>
      <c r="BR45" s="30" t="n">
        <f aca="false">BQ45*(1-IF((2080-2022)/I45&gt;=1,J45,H45+(J45-H45)*(3*((2080-2022)/I45)^2-2*((2080-2022)/I45)^3)))</f>
        <v>0.0194831203505823</v>
      </c>
      <c r="BS45" s="30" t="n">
        <f aca="false">BR45*(1-IF((2081-2022)/I45&gt;=1,J45,H45+(J45-H45)*(3*((2081-2022)/I45)^2-2*((2081-2022)/I45)^3)))</f>
        <v>0.0191908735453235</v>
      </c>
      <c r="BT45" s="30" t="n">
        <f aca="false">BS45*(1-IF((2082-2022)/I45&gt;=1,J45,H45+(J45-H45)*(3*((2082-2022)/I45)^2-2*((2082-2022)/I45)^3)))</f>
        <v>0.0189030104421437</v>
      </c>
      <c r="BU45" s="30" t="n">
        <f aca="false">BT45*(1-IF((2083-2022)/I45&gt;=1,J45,H45+(J45-H45)*(3*((2083-2022)/I45)^2-2*((2083-2022)/I45)^3)))</f>
        <v>0.0186194652855115</v>
      </c>
      <c r="BV45" s="30" t="n">
        <f aca="false">BU45*(1-IF((2084-2022)/I45&gt;=1,J45,H45+(J45-H45)*(3*((2084-2022)/I45)^2-2*((2084-2022)/I45)^3)))</f>
        <v>0.0183401733062288</v>
      </c>
      <c r="BW45" s="30" t="n">
        <f aca="false">BV45*(1-IF((2085-2022)/I45&gt;=1,J45,H45+(J45-H45)*(3*((2085-2022)/I45)^2-2*((2085-2022)/I45)^3)))</f>
        <v>0.0180650707066354</v>
      </c>
      <c r="BX45" s="30" t="n">
        <f aca="false">BW45*(1-IF((2086-2022)/I45&gt;=1,J45,H45+(J45-H45)*(3*((2086-2022)/I45)^2-2*((2086-2022)/I45)^3)))</f>
        <v>0.0177940946460359</v>
      </c>
      <c r="BY45" s="30" t="n">
        <f aca="false">BX45*(1-IF((2087-2022)/I45&gt;=1,J45,H45+(J45-H45)*(3*((2087-2022)/I45)^2-2*((2087-2022)/I45)^3)))</f>
        <v>0.0175271832263453</v>
      </c>
      <c r="BZ45" s="30" t="n">
        <f aca="false">BY45*(1-IF((2088-2022)/I45&gt;=1,J45,H45+(J45-H45)*(3*((2088-2022)/I45)^2-2*((2088-2022)/I45)^3)))</f>
        <v>0.0172642754779502</v>
      </c>
      <c r="CA45" s="30" t="n">
        <f aca="false">BZ45*(1-IF((2089-2022)/I45&gt;=1,J45,H45+(J45-H45)*(3*((2089-2022)/I45)^2-2*((2089-2022)/I45)^3)))</f>
        <v>0.0170053113457809</v>
      </c>
      <c r="CB45" s="30" t="n">
        <f aca="false">CA45*(1-IF((2090-2022)/I45&gt;=1,J45,H45+(J45-H45)*(3*((2090-2022)/I45)^2-2*((2090-2022)/I45)^3)))</f>
        <v>0.0167502316755942</v>
      </c>
      <c r="CC45" s="30" t="n">
        <f aca="false">CB45*(1-IF((2091-2022)/I45&gt;=1,J45,H45+(J45-H45)*(3*((2091-2022)/I45)^2-2*((2091-2022)/I45)^3)))</f>
        <v>0.0164989782004603</v>
      </c>
    </row>
    <row r="46" customFormat="false" ht="15" hidden="false" customHeight="true" outlineLevel="0" collapsed="false">
      <c r="A46" s="3" t="n">
        <v>83</v>
      </c>
      <c r="B46" s="30" t="n">
        <f aca="false">IF($A46&lt;=105,INDEX(ILT17_Source!$D$7:$D$52,MATCH($A46,ILT17_Source!$A$7:$A$52,0)),($B$16*EXP($B$17*$A46))/(1+$B$16*EXP($B$17*$A46)))</f>
        <v>0.071911735</v>
      </c>
      <c r="C46" s="31" t="n">
        <f aca="false">LOOKUP($A46,{60,65,70,75,80,85,90,95},{0.78,0.82,0.85,0.88,0.91,0.94,0.97,1})</f>
        <v>0.91</v>
      </c>
      <c r="D46" s="30" t="n">
        <f aca="false">B46*C46</f>
        <v>0.06543967885</v>
      </c>
      <c r="E46" s="30" t="n">
        <f aca="false">1/(1+EXP(-(($B$6+$B$8*(2016-2022))+($B$7+$B$9*(2016-2022))*($A46-$B$10))))</f>
        <v>0.0743928305551743</v>
      </c>
      <c r="F46" s="30" t="n">
        <f aca="false">1/(1+EXP(-(($B$6+$B$8*(2021-2022))+($B$7+$B$9*(2021-2022))*($A46-$B$10))))</f>
        <v>0.0686971077690124</v>
      </c>
      <c r="G46" s="30" t="n">
        <f aca="false">1/(1+EXP(-(($B$6+$B$8*(2022-2022))+($B$7+$B$9*(2022-2022))*($A46-$B$10))))</f>
        <v>0.067607503143714</v>
      </c>
      <c r="H46" s="32" t="n">
        <f aca="false">(F46-G46)/F46</f>
        <v>0.0158609970737354</v>
      </c>
      <c r="I46" s="38" t="n">
        <f aca="false">IF($A46&lt;=50,$B$14,IF($A46&gt;=95,$B$15,$B$14+($B$15-$B$14)*($A46-50)/(95-50)))</f>
        <v>9</v>
      </c>
      <c r="J46" s="39" t="n">
        <f aca="false">IF($A46&lt;=$B$12,$B$11,IF($A46&gt;=$B$13,0,$B$11*($B$13-$A46)/($B$13-$B$12)))</f>
        <v>0.015</v>
      </c>
      <c r="K46" s="30" t="n">
        <f aca="false">D46*G46/E46</f>
        <v>0.0594709632710338</v>
      </c>
      <c r="L46" s="30" t="n">
        <f aca="false">K46*$B$19</f>
        <v>0.0535238669439304</v>
      </c>
      <c r="M46" s="30" t="n">
        <f aca="false">L46*(1-IF((2023-2022)/I46&gt;=1,J46,H46+(J46-H46)*(3*((2023-2022)/I46)^2-2*((2023-2022)/I46)^3)))</f>
        <v>0.0526765054273698</v>
      </c>
      <c r="N46" s="30" t="n">
        <f aca="false">M46*(1-IF((2024-2022)/I46&gt;=1,J46,H46+(J46-H46)*(3*((2024-2022)/I46)^2-2*((2024-2022)/I46)^3)))</f>
        <v>0.0518467272561834</v>
      </c>
      <c r="O46" s="30" t="n">
        <f aca="false">N46*(1-IF((2025-2022)/I46&gt;=1,J46,H46+(J46-H46)*(3*((2025-2022)/I46)^2-2*((2025-2022)/I46)^3)))</f>
        <v>0.0510359597692293</v>
      </c>
      <c r="P46" s="30" t="n">
        <f aca="false">O46*(1-IF((2026-2022)/I46&gt;=1,J46,H46+(J46-H46)*(3*((2026-2022)/I46)^2-2*((2026-2022)/I46)^3)))</f>
        <v>0.050244802718223</v>
      </c>
      <c r="Q46" s="30" t="n">
        <f aca="false">P46*(1-IF((2027-2022)/I46&gt;=1,J46,H46+(J46-H46)*(3*((2027-2022)/I46)^2-2*((2027-2022)/I46)^3)))</f>
        <v>0.0494730905801305</v>
      </c>
      <c r="R46" s="30" t="n">
        <f aca="false">Q46*(1-IF((2028-2022)/I46&gt;=1,J46,H46+(J46-H46)*(3*((2028-2022)/I46)^2-2*((2028-2022)/I46)^3)))</f>
        <v>0.0487199507657424</v>
      </c>
      <c r="S46" s="30" t="n">
        <f aca="false">R46*(1-IF((2029-2022)/I46&gt;=1,J46,H46+(J46-H46)*(3*((2029-2022)/I46)^2-2*((2029-2022)/I46)^3)))</f>
        <v>0.0479838576885857</v>
      </c>
      <c r="T46" s="30" t="n">
        <f aca="false">S46*(1-IF((2030-2022)/I46&gt;=1,J46,H46+(J46-H46)*(3*((2030-2022)/I46)^2-2*((2030-2022)/I46)^3)))</f>
        <v>0.0472626830207515</v>
      </c>
      <c r="U46" s="30" t="n">
        <f aca="false">T46*(1-IF((2031-2022)/I46&gt;=1,J46,H46+(J46-H46)*(3*((2031-2022)/I46)^2-2*((2031-2022)/I46)^3)))</f>
        <v>0.0465537427754402</v>
      </c>
      <c r="V46" s="30" t="n">
        <f aca="false">U46*(1-IF((2032-2022)/I46&gt;=1,J46,H46+(J46-H46)*(3*((2032-2022)/I46)^2-2*((2032-2022)/I46)^3)))</f>
        <v>0.0458554366338086</v>
      </c>
      <c r="W46" s="30" t="n">
        <f aca="false">V46*(1-IF((2033-2022)/I46&gt;=1,J46,H46+(J46-H46)*(3*((2033-2022)/I46)^2-2*((2033-2022)/I46)^3)))</f>
        <v>0.0451676050843015</v>
      </c>
      <c r="X46" s="30" t="n">
        <f aca="false">W46*(1-IF((2034-2022)/I46&gt;=1,J46,H46+(J46-H46)*(3*((2034-2022)/I46)^2-2*((2034-2022)/I46)^3)))</f>
        <v>0.044490091008037</v>
      </c>
      <c r="Y46" s="30" t="n">
        <f aca="false">X46*(1-IF((2035-2022)/I46&gt;=1,J46,H46+(J46-H46)*(3*((2035-2022)/I46)^2-2*((2035-2022)/I46)^3)))</f>
        <v>0.0438227396429164</v>
      </c>
      <c r="Z46" s="30" t="n">
        <f aca="false">Y46*(1-IF((2036-2022)/I46&gt;=1,J46,H46+(J46-H46)*(3*((2036-2022)/I46)^2-2*((2036-2022)/I46)^3)))</f>
        <v>0.0431653985482727</v>
      </c>
      <c r="AA46" s="30" t="n">
        <f aca="false">Z46*(1-IF((2037-2022)/I46&gt;=1,J46,H46+(J46-H46)*(3*((2037-2022)/I46)^2-2*((2037-2022)/I46)^3)))</f>
        <v>0.0425179175700486</v>
      </c>
      <c r="AB46" s="30" t="n">
        <f aca="false">AA46*(1-IF((2038-2022)/I46&gt;=1,J46,H46+(J46-H46)*(3*((2038-2022)/I46)^2-2*((2038-2022)/I46)^3)))</f>
        <v>0.0418801488064979</v>
      </c>
      <c r="AC46" s="30" t="n">
        <f aca="false">AB46*(1-IF((2039-2022)/I46&gt;=1,J46,H46+(J46-H46)*(3*((2039-2022)/I46)^2-2*((2039-2022)/I46)^3)))</f>
        <v>0.0412519465744004</v>
      </c>
      <c r="AD46" s="30" t="n">
        <f aca="false">AC46*(1-IF((2040-2022)/I46&gt;=1,J46,H46+(J46-H46)*(3*((2040-2022)/I46)^2-2*((2040-2022)/I46)^3)))</f>
        <v>0.0406331673757844</v>
      </c>
      <c r="AE46" s="30" t="n">
        <f aca="false">AD46*(1-IF((2041-2022)/I46&gt;=1,J46,H46+(J46-H46)*(3*((2041-2022)/I46)^2-2*((2041-2022)/I46)^3)))</f>
        <v>0.0400236698651476</v>
      </c>
      <c r="AF46" s="30" t="n">
        <f aca="false">AE46*(1-IF((2042-2022)/I46&gt;=1,J46,H46+(J46-H46)*(3*((2042-2022)/I46)^2-2*((2042-2022)/I46)^3)))</f>
        <v>0.0394233148171704</v>
      </c>
      <c r="AG46" s="30" t="n">
        <f aca="false">AF46*(1-IF((2043-2022)/I46&gt;=1,J46,H46+(J46-H46)*(3*((2043-2022)/I46)^2-2*((2043-2022)/I46)^3)))</f>
        <v>0.0388319650949128</v>
      </c>
      <c r="AH46" s="30" t="n">
        <f aca="false">AG46*(1-IF((2044-2022)/I46&gt;=1,J46,H46+(J46-H46)*(3*((2044-2022)/I46)^2-2*((2044-2022)/I46)^3)))</f>
        <v>0.0382494856184891</v>
      </c>
      <c r="AI46" s="30" t="n">
        <f aca="false">AH46*(1-IF((2045-2022)/I46&gt;=1,J46,H46+(J46-H46)*(3*((2045-2022)/I46)^2-2*((2045-2022)/I46)^3)))</f>
        <v>0.0376757433342118</v>
      </c>
      <c r="AJ46" s="30" t="n">
        <f aca="false">AI46*(1-IF((2046-2022)/I46&gt;=1,J46,H46+(J46-H46)*(3*((2046-2022)/I46)^2-2*((2046-2022)/I46)^3)))</f>
        <v>0.0371106071841986</v>
      </c>
      <c r="AK46" s="30" t="n">
        <f aca="false">AJ46*(1-IF((2047-2022)/I46&gt;=1,J46,H46+(J46-H46)*(3*((2047-2022)/I46)^2-2*((2047-2022)/I46)^3)))</f>
        <v>0.0365539480764356</v>
      </c>
      <c r="AL46" s="30" t="n">
        <f aca="false">AK46*(1-IF((2048-2022)/I46&gt;=1,J46,H46+(J46-H46)*(3*((2048-2022)/I46)^2-2*((2048-2022)/I46)^3)))</f>
        <v>0.0360056388552891</v>
      </c>
      <c r="AM46" s="30" t="n">
        <f aca="false">AL46*(1-IF((2049-2022)/I46&gt;=1,J46,H46+(J46-H46)*(3*((2049-2022)/I46)^2-2*((2049-2022)/I46)^3)))</f>
        <v>0.0354655542724598</v>
      </c>
      <c r="AN46" s="30" t="n">
        <f aca="false">AM46*(1-IF((2050-2022)/I46&gt;=1,J46,H46+(J46-H46)*(3*((2050-2022)/I46)^2-2*((2050-2022)/I46)^3)))</f>
        <v>0.0349335709583729</v>
      </c>
      <c r="AO46" s="30" t="n">
        <f aca="false">AN46*(1-IF((2051-2022)/I46&gt;=1,J46,H46+(J46-H46)*(3*((2051-2022)/I46)^2-2*((2051-2022)/I46)^3)))</f>
        <v>0.0344095673939973</v>
      </c>
      <c r="AP46" s="30" t="n">
        <f aca="false">AO46*(1-IF((2052-2022)/I46&gt;=1,J46,H46+(J46-H46)*(3*((2052-2022)/I46)^2-2*((2052-2022)/I46)^3)))</f>
        <v>0.0338934238830873</v>
      </c>
      <c r="AQ46" s="30" t="n">
        <f aca="false">AP46*(1-IF((2053-2022)/I46&gt;=1,J46,H46+(J46-H46)*(3*((2053-2022)/I46)^2-2*((2053-2022)/I46)^3)))</f>
        <v>0.033385022524841</v>
      </c>
      <c r="AR46" s="30" t="n">
        <f aca="false">AQ46*(1-IF((2054-2022)/I46&gt;=1,J46,H46+(J46-H46)*(3*((2054-2022)/I46)^2-2*((2054-2022)/I46)^3)))</f>
        <v>0.0328842471869684</v>
      </c>
      <c r="AS46" s="30" t="n">
        <f aca="false">AR46*(1-IF((2055-2022)/I46&gt;=1,J46,H46+(J46-H46)*(3*((2055-2022)/I46)^2-2*((2055-2022)/I46)^3)))</f>
        <v>0.0323909834791639</v>
      </c>
      <c r="AT46" s="30" t="n">
        <f aca="false">AS46*(1-IF((2056-2022)/I46&gt;=1,J46,H46+(J46-H46)*(3*((2056-2022)/I46)^2-2*((2056-2022)/I46)^3)))</f>
        <v>0.0319051187269764</v>
      </c>
      <c r="AU46" s="30" t="n">
        <f aca="false">AT46*(1-IF((2057-2022)/I46&gt;=1,J46,H46+(J46-H46)*(3*((2057-2022)/I46)^2-2*((2057-2022)/I46)^3)))</f>
        <v>0.0314265419460718</v>
      </c>
      <c r="AV46" s="30" t="n">
        <f aca="false">AU46*(1-IF((2058-2022)/I46&gt;=1,J46,H46+(J46-H46)*(3*((2058-2022)/I46)^2-2*((2058-2022)/I46)^3)))</f>
        <v>0.0309551438168807</v>
      </c>
      <c r="AW46" s="30" t="n">
        <f aca="false">AV46*(1-IF((2059-2022)/I46&gt;=1,J46,H46+(J46-H46)*(3*((2059-2022)/I46)^2-2*((2059-2022)/I46)^3)))</f>
        <v>0.0304908166596275</v>
      </c>
      <c r="AX46" s="30" t="n">
        <f aca="false">AW46*(1-IF((2060-2022)/I46&gt;=1,J46,H46+(J46-H46)*(3*((2060-2022)/I46)^2-2*((2060-2022)/I46)^3)))</f>
        <v>0.0300334544097331</v>
      </c>
      <c r="AY46" s="30" t="n">
        <f aca="false">AX46*(1-IF((2061-2022)/I46&gt;=1,J46,H46+(J46-H46)*(3*((2061-2022)/I46)^2-2*((2061-2022)/I46)^3)))</f>
        <v>0.0295829525935871</v>
      </c>
      <c r="AZ46" s="30" t="n">
        <f aca="false">AY46*(1-IF((2062-2022)/I46&gt;=1,J46,H46+(J46-H46)*(3*((2062-2022)/I46)^2-2*((2062-2022)/I46)^3)))</f>
        <v>0.0291392083046833</v>
      </c>
      <c r="BA46" s="30" t="n">
        <f aca="false">AZ46*(1-IF((2063-2022)/I46&gt;=1,J46,H46+(J46-H46)*(3*((2063-2022)/I46)^2-2*((2063-2022)/I46)^3)))</f>
        <v>0.028702120180113</v>
      </c>
      <c r="BB46" s="30" t="n">
        <f aca="false">BA46*(1-IF((2064-2022)/I46&gt;=1,J46,H46+(J46-H46)*(3*((2064-2022)/I46)^2-2*((2064-2022)/I46)^3)))</f>
        <v>0.0282715883774113</v>
      </c>
      <c r="BC46" s="30" t="n">
        <f aca="false">BB46*(1-IF((2065-2022)/I46&gt;=1,J46,H46+(J46-H46)*(3*((2065-2022)/I46)^2-2*((2065-2022)/I46)^3)))</f>
        <v>0.0278475145517501</v>
      </c>
      <c r="BD46" s="30" t="n">
        <f aca="false">BC46*(1-IF((2066-2022)/I46&gt;=1,J46,H46+(J46-H46)*(3*((2066-2022)/I46)^2-2*((2066-2022)/I46)^3)))</f>
        <v>0.0274298018334739</v>
      </c>
      <c r="BE46" s="30" t="n">
        <f aca="false">BD46*(1-IF((2067-2022)/I46&gt;=1,J46,H46+(J46-H46)*(3*((2067-2022)/I46)^2-2*((2067-2022)/I46)^3)))</f>
        <v>0.0270183548059718</v>
      </c>
      <c r="BF46" s="30" t="n">
        <f aca="false">BE46*(1-IF((2068-2022)/I46&gt;=1,J46,H46+(J46-H46)*(3*((2068-2022)/I46)^2-2*((2068-2022)/I46)^3)))</f>
        <v>0.0266130794838822</v>
      </c>
      <c r="BG46" s="30" t="n">
        <f aca="false">BF46*(1-IF((2069-2022)/I46&gt;=1,J46,H46+(J46-H46)*(3*((2069-2022)/I46)^2-2*((2069-2022)/I46)^3)))</f>
        <v>0.026213883291624</v>
      </c>
      <c r="BH46" s="30" t="n">
        <f aca="false">BG46*(1-IF((2070-2022)/I46&gt;=1,J46,H46+(J46-H46)*(3*((2070-2022)/I46)^2-2*((2070-2022)/I46)^3)))</f>
        <v>0.0258206750422496</v>
      </c>
      <c r="BI46" s="30" t="n">
        <f aca="false">BH46*(1-IF((2071-2022)/I46&gt;=1,J46,H46+(J46-H46)*(3*((2071-2022)/I46)^2-2*((2071-2022)/I46)^3)))</f>
        <v>0.0254333649166159</v>
      </c>
      <c r="BJ46" s="30" t="n">
        <f aca="false">BI46*(1-IF((2072-2022)/I46&gt;=1,J46,H46+(J46-H46)*(3*((2072-2022)/I46)^2-2*((2072-2022)/I46)^3)))</f>
        <v>0.0250518644428666</v>
      </c>
      <c r="BK46" s="30" t="n">
        <f aca="false">BJ46*(1-IF((2073-2022)/I46&gt;=1,J46,H46+(J46-H46)*(3*((2073-2022)/I46)^2-2*((2073-2022)/I46)^3)))</f>
        <v>0.0246760864762236</v>
      </c>
      <c r="BL46" s="30" t="n">
        <f aca="false">BK46*(1-IF((2074-2022)/I46&gt;=1,J46,H46+(J46-H46)*(3*((2074-2022)/I46)^2-2*((2074-2022)/I46)^3)))</f>
        <v>0.0243059451790803</v>
      </c>
      <c r="BM46" s="30" t="n">
        <f aca="false">BL46*(1-IF((2075-2022)/I46&gt;=1,J46,H46+(J46-H46)*(3*((2075-2022)/I46)^2-2*((2075-2022)/I46)^3)))</f>
        <v>0.0239413560013941</v>
      </c>
      <c r="BN46" s="30" t="n">
        <f aca="false">BM46*(1-IF((2076-2022)/I46&gt;=1,J46,H46+(J46-H46)*(3*((2076-2022)/I46)^2-2*((2076-2022)/I46)^3)))</f>
        <v>0.0235822356613732</v>
      </c>
      <c r="BO46" s="30" t="n">
        <f aca="false">BN46*(1-IF((2077-2022)/I46&gt;=1,J46,H46+(J46-H46)*(3*((2077-2022)/I46)^2-2*((2077-2022)/I46)^3)))</f>
        <v>0.0232285021264526</v>
      </c>
      <c r="BP46" s="30" t="n">
        <f aca="false">BO46*(1-IF((2078-2022)/I46&gt;=1,J46,H46+(J46-H46)*(3*((2078-2022)/I46)^2-2*((2078-2022)/I46)^3)))</f>
        <v>0.0228800745945558</v>
      </c>
      <c r="BQ46" s="30" t="n">
        <f aca="false">BP46*(1-IF((2079-2022)/I46&gt;=1,J46,H46+(J46-H46)*(3*((2079-2022)/I46)^2-2*((2079-2022)/I46)^3)))</f>
        <v>0.0225368734756374</v>
      </c>
      <c r="BR46" s="30" t="n">
        <f aca="false">BQ46*(1-IF((2080-2022)/I46&gt;=1,J46,H46+(J46-H46)*(3*((2080-2022)/I46)^2-2*((2080-2022)/I46)^3)))</f>
        <v>0.0221988203735029</v>
      </c>
      <c r="BS46" s="30" t="n">
        <f aca="false">BR46*(1-IF((2081-2022)/I46&gt;=1,J46,H46+(J46-H46)*(3*((2081-2022)/I46)^2-2*((2081-2022)/I46)^3)))</f>
        <v>0.0218658380679003</v>
      </c>
      <c r="BT46" s="30" t="n">
        <f aca="false">BS46*(1-IF((2082-2022)/I46&gt;=1,J46,H46+(J46-H46)*(3*((2082-2022)/I46)^2-2*((2082-2022)/I46)^3)))</f>
        <v>0.0215378504968818</v>
      </c>
      <c r="BU46" s="30" t="n">
        <f aca="false">BT46*(1-IF((2083-2022)/I46&gt;=1,J46,H46+(J46-H46)*(3*((2083-2022)/I46)^2-2*((2083-2022)/I46)^3)))</f>
        <v>0.0212147827394286</v>
      </c>
      <c r="BV46" s="30" t="n">
        <f aca="false">BU46*(1-IF((2084-2022)/I46&gt;=1,J46,H46+(J46-H46)*(3*((2084-2022)/I46)^2-2*((2084-2022)/I46)^3)))</f>
        <v>0.0208965609983372</v>
      </c>
      <c r="BW46" s="30" t="n">
        <f aca="false">BV46*(1-IF((2085-2022)/I46&gt;=1,J46,H46+(J46-H46)*(3*((2085-2022)/I46)^2-2*((2085-2022)/I46)^3)))</f>
        <v>0.0205831125833621</v>
      </c>
      <c r="BX46" s="30" t="n">
        <f aca="false">BW46*(1-IF((2086-2022)/I46&gt;=1,J46,H46+(J46-H46)*(3*((2086-2022)/I46)^2-2*((2086-2022)/I46)^3)))</f>
        <v>0.0202743658946117</v>
      </c>
      <c r="BY46" s="30" t="n">
        <f aca="false">BX46*(1-IF((2087-2022)/I46&gt;=1,J46,H46+(J46-H46)*(3*((2087-2022)/I46)^2-2*((2087-2022)/I46)^3)))</f>
        <v>0.0199702504061925</v>
      </c>
      <c r="BZ46" s="30" t="n">
        <f aca="false">BY46*(1-IF((2088-2022)/I46&gt;=1,J46,H46+(J46-H46)*(3*((2088-2022)/I46)^2-2*((2088-2022)/I46)^3)))</f>
        <v>0.0196706966500996</v>
      </c>
      <c r="CA46" s="30" t="n">
        <f aca="false">BZ46*(1-IF((2089-2022)/I46&gt;=1,J46,H46+(J46-H46)*(3*((2089-2022)/I46)^2-2*((2089-2022)/I46)^3)))</f>
        <v>0.0193756362003481</v>
      </c>
      <c r="CB46" s="30" t="n">
        <f aca="false">CA46*(1-IF((2090-2022)/I46&gt;=1,J46,H46+(J46-H46)*(3*((2090-2022)/I46)^2-2*((2090-2022)/I46)^3)))</f>
        <v>0.0190850016573429</v>
      </c>
      <c r="CC46" s="30" t="n">
        <f aca="false">CB46*(1-IF((2091-2022)/I46&gt;=1,J46,H46+(J46-H46)*(3*((2091-2022)/I46)^2-2*((2091-2022)/I46)^3)))</f>
        <v>0.0187987266324828</v>
      </c>
    </row>
    <row r="47" customFormat="false" ht="15" hidden="false" customHeight="true" outlineLevel="0" collapsed="false">
      <c r="A47" s="3" t="n">
        <v>84</v>
      </c>
      <c r="B47" s="30" t="n">
        <f aca="false">IF($A47&lt;=105,INDEX(ILT17_Source!$D$7:$D$52,MATCH($A47,ILT17_Source!$A$7:$A$52,0)),($B$16*EXP($B$17*$A47))/(1+$B$16*EXP($B$17*$A47)))</f>
        <v>0.081373295</v>
      </c>
      <c r="C47" s="31" t="n">
        <f aca="false">LOOKUP($A47,{60,65,70,75,80,85,90,95},{0.78,0.82,0.85,0.88,0.91,0.94,0.97,1})</f>
        <v>0.91</v>
      </c>
      <c r="D47" s="30" t="n">
        <f aca="false">B47*C47</f>
        <v>0.07404969845</v>
      </c>
      <c r="E47" s="30" t="n">
        <f aca="false">1/(1+EXP(-(($B$6+$B$8*(2016-2022))+($B$7+$B$9*(2016-2022))*($A47-$B$10))))</f>
        <v>0.0823830701552784</v>
      </c>
      <c r="F47" s="30" t="n">
        <f aca="false">1/(1+EXP(-(($B$6+$B$8*(2021-2022))+($B$7+$B$9*(2021-2022))*($A47-$B$10))))</f>
        <v>0.0763183294982208</v>
      </c>
      <c r="G47" s="30" t="n">
        <f aca="false">1/(1+EXP(-(($B$6+$B$8*(2022-2022))+($B$7+$B$9*(2022-2022))*($A47-$B$10))))</f>
        <v>0.0751555759967258</v>
      </c>
      <c r="H47" s="32" t="n">
        <f aca="false">(F47-G47)/F47</f>
        <v>0.0152355732776113</v>
      </c>
      <c r="I47" s="38" t="n">
        <f aca="false">IF($A47&lt;=50,$B$14,IF($A47&gt;=95,$B$15,$B$14+($B$15-$B$14)*($A47-50)/(95-50)))</f>
        <v>8.66666666666667</v>
      </c>
      <c r="J47" s="39" t="n">
        <f aca="false">IF($A47&lt;=$B$12,$B$11,IF($A47&gt;=$B$13,0,$B$11*($B$13-$A47)/($B$13-$B$12)))</f>
        <v>0.015</v>
      </c>
      <c r="K47" s="30" t="n">
        <f aca="false">D47*G47/E47</f>
        <v>0.0675532937641682</v>
      </c>
      <c r="L47" s="30" t="n">
        <f aca="false">K47*$B$19</f>
        <v>0.0607979643877514</v>
      </c>
      <c r="M47" s="30" t="n">
        <f aca="false">L47*(1-IF((2023-2022)/I47&gt;=1,J47,H47+(J47-H47)*(3*((2023-2022)/I47)^2-2*((2023-2022)/I47)^3)))</f>
        <v>0.0598722005900862</v>
      </c>
      <c r="N47" s="30" t="n">
        <f aca="false">M47*(1-IF((2024-2022)/I47&gt;=1,J47,H47+(J47-H47)*(3*((2024-2022)/I47)^2-2*((2024-2022)/I47)^3)))</f>
        <v>0.0589619199699429</v>
      </c>
      <c r="O47" s="30" t="n">
        <f aca="false">N47*(1-IF((2025-2022)/I47&gt;=1,J47,H47+(J47-H47)*(3*((2025-2022)/I47)^2-2*((2025-2022)/I47)^3)))</f>
        <v>0.0580674420484399</v>
      </c>
      <c r="P47" s="30" t="n">
        <f aca="false">O47*(1-IF((2026-2022)/I47&gt;=1,J47,H47+(J47-H47)*(3*((2026-2022)/I47)^2-2*((2026-2022)/I47)^3)))</f>
        <v>0.0571888032244424</v>
      </c>
      <c r="Q47" s="30" t="n">
        <f aca="false">P47*(1-IF((2027-2022)/I47&gt;=1,J47,H47+(J47-H47)*(3*((2027-2022)/I47)^2-2*((2027-2022)/I47)^3)))</f>
        <v>0.0563257773143169</v>
      </c>
      <c r="R47" s="30" t="n">
        <f aca="false">Q47*(1-IF((2028-2022)/I47&gt;=1,J47,H47+(J47-H47)*(3*((2028-2022)/I47)^2-2*((2028-2022)/I47)^3)))</f>
        <v>0.0554778950475944</v>
      </c>
      <c r="S47" s="30" t="n">
        <f aca="false">R47*(1-IF((2029-2022)/I47&gt;=1,J47,H47+(J47-H47)*(3*((2029-2022)/I47)^2-2*((2029-2022)/I47)^3)))</f>
        <v>0.0546444625409593</v>
      </c>
      <c r="T47" s="30" t="n">
        <f aca="false">S47*(1-IF((2030-2022)/I47&gt;=1,J47,H47+(J47-H47)*(3*((2030-2022)/I47)^2-2*((2030-2022)/I47)^3)))</f>
        <v>0.0538245788105462</v>
      </c>
      <c r="U47" s="30" t="n">
        <f aca="false">T47*(1-IF((2031-2022)/I47&gt;=1,J47,H47+(J47-H47)*(3*((2031-2022)/I47)^2-2*((2031-2022)/I47)^3)))</f>
        <v>0.053017210128388</v>
      </c>
      <c r="V47" s="30" t="n">
        <f aca="false">U47*(1-IF((2032-2022)/I47&gt;=1,J47,H47+(J47-H47)*(3*((2032-2022)/I47)^2-2*((2032-2022)/I47)^3)))</f>
        <v>0.0522219519764621</v>
      </c>
      <c r="W47" s="30" t="n">
        <f aca="false">V47*(1-IF((2033-2022)/I47&gt;=1,J47,H47+(J47-H47)*(3*((2033-2022)/I47)^2-2*((2033-2022)/I47)^3)))</f>
        <v>0.0514386226968152</v>
      </c>
      <c r="X47" s="30" t="n">
        <f aca="false">W47*(1-IF((2034-2022)/I47&gt;=1,J47,H47+(J47-H47)*(3*((2034-2022)/I47)^2-2*((2034-2022)/I47)^3)))</f>
        <v>0.050667043356363</v>
      </c>
      <c r="Y47" s="30" t="n">
        <f aca="false">X47*(1-IF((2035-2022)/I47&gt;=1,J47,H47+(J47-H47)*(3*((2035-2022)/I47)^2-2*((2035-2022)/I47)^3)))</f>
        <v>0.0499070377060175</v>
      </c>
      <c r="Z47" s="30" t="n">
        <f aca="false">Y47*(1-IF((2036-2022)/I47&gt;=1,J47,H47+(J47-H47)*(3*((2036-2022)/I47)^2-2*((2036-2022)/I47)^3)))</f>
        <v>0.0491584321404273</v>
      </c>
      <c r="AA47" s="30" t="n">
        <f aca="false">Z47*(1-IF((2037-2022)/I47&gt;=1,J47,H47+(J47-H47)*(3*((2037-2022)/I47)^2-2*((2037-2022)/I47)^3)))</f>
        <v>0.0484210556583209</v>
      </c>
      <c r="AB47" s="30" t="n">
        <f aca="false">AA47*(1-IF((2038-2022)/I47&gt;=1,J47,H47+(J47-H47)*(3*((2038-2022)/I47)^2-2*((2038-2022)/I47)^3)))</f>
        <v>0.0476947398234461</v>
      </c>
      <c r="AC47" s="30" t="n">
        <f aca="false">AB47*(1-IF((2039-2022)/I47&gt;=1,J47,H47+(J47-H47)*(3*((2039-2022)/I47)^2-2*((2039-2022)/I47)^3)))</f>
        <v>0.0469793187260944</v>
      </c>
      <c r="AD47" s="30" t="n">
        <f aca="false">AC47*(1-IF((2040-2022)/I47&gt;=1,J47,H47+(J47-H47)*(3*((2040-2022)/I47)^2-2*((2040-2022)/I47)^3)))</f>
        <v>0.046274628945203</v>
      </c>
      <c r="AE47" s="30" t="n">
        <f aca="false">AD47*(1-IF((2041-2022)/I47&gt;=1,J47,H47+(J47-H47)*(3*((2041-2022)/I47)^2-2*((2041-2022)/I47)^3)))</f>
        <v>0.0455805095110249</v>
      </c>
      <c r="AF47" s="30" t="n">
        <f aca="false">AE47*(1-IF((2042-2022)/I47&gt;=1,J47,H47+(J47-H47)*(3*((2042-2022)/I47)^2-2*((2042-2022)/I47)^3)))</f>
        <v>0.0448968018683595</v>
      </c>
      <c r="AG47" s="30" t="n">
        <f aca="false">AF47*(1-IF((2043-2022)/I47&gt;=1,J47,H47+(J47-H47)*(3*((2043-2022)/I47)^2-2*((2043-2022)/I47)^3)))</f>
        <v>0.0442233498403341</v>
      </c>
      <c r="AH47" s="30" t="n">
        <f aca="false">AG47*(1-IF((2044-2022)/I47&gt;=1,J47,H47+(J47-H47)*(3*((2044-2022)/I47)^2-2*((2044-2022)/I47)^3)))</f>
        <v>0.0435599995927291</v>
      </c>
      <c r="AI47" s="30" t="n">
        <f aca="false">AH47*(1-IF((2045-2022)/I47&gt;=1,J47,H47+(J47-H47)*(3*((2045-2022)/I47)^2-2*((2045-2022)/I47)^3)))</f>
        <v>0.0429065995988382</v>
      </c>
      <c r="AJ47" s="30" t="n">
        <f aca="false">AI47*(1-IF((2046-2022)/I47&gt;=1,J47,H47+(J47-H47)*(3*((2046-2022)/I47)^2-2*((2046-2022)/I47)^3)))</f>
        <v>0.0422630006048556</v>
      </c>
      <c r="AK47" s="30" t="n">
        <f aca="false">AJ47*(1-IF((2047-2022)/I47&gt;=1,J47,H47+(J47-H47)*(3*((2047-2022)/I47)^2-2*((2047-2022)/I47)^3)))</f>
        <v>0.0416290555957828</v>
      </c>
      <c r="AL47" s="30" t="n">
        <f aca="false">AK47*(1-IF((2048-2022)/I47&gt;=1,J47,H47+(J47-H47)*(3*((2048-2022)/I47)^2-2*((2048-2022)/I47)^3)))</f>
        <v>0.041004619761846</v>
      </c>
      <c r="AM47" s="30" t="n">
        <f aca="false">AL47*(1-IF((2049-2022)/I47&gt;=1,J47,H47+(J47-H47)*(3*((2049-2022)/I47)^2-2*((2049-2022)/I47)^3)))</f>
        <v>0.0403895504654183</v>
      </c>
      <c r="AN47" s="30" t="n">
        <f aca="false">AM47*(1-IF((2050-2022)/I47&gt;=1,J47,H47+(J47-H47)*(3*((2050-2022)/I47)^2-2*((2050-2022)/I47)^3)))</f>
        <v>0.0397837072084371</v>
      </c>
      <c r="AO47" s="30" t="n">
        <f aca="false">AN47*(1-IF((2051-2022)/I47&gt;=1,J47,H47+(J47-H47)*(3*((2051-2022)/I47)^2-2*((2051-2022)/I47)^3)))</f>
        <v>0.0391869516003105</v>
      </c>
      <c r="AP47" s="30" t="n">
        <f aca="false">AO47*(1-IF((2052-2022)/I47&gt;=1,J47,H47+(J47-H47)*(3*((2052-2022)/I47)^2-2*((2052-2022)/I47)^3)))</f>
        <v>0.0385991473263059</v>
      </c>
      <c r="AQ47" s="30" t="n">
        <f aca="false">AP47*(1-IF((2053-2022)/I47&gt;=1,J47,H47+(J47-H47)*(3*((2053-2022)/I47)^2-2*((2053-2022)/I47)^3)))</f>
        <v>0.0380201601164113</v>
      </c>
      <c r="AR47" s="30" t="n">
        <f aca="false">AQ47*(1-IF((2054-2022)/I47&gt;=1,J47,H47+(J47-H47)*(3*((2054-2022)/I47)^2-2*((2054-2022)/I47)^3)))</f>
        <v>0.0374498577146651</v>
      </c>
      <c r="AS47" s="30" t="n">
        <f aca="false">AR47*(1-IF((2055-2022)/I47&gt;=1,J47,H47+(J47-H47)*(3*((2055-2022)/I47)^2-2*((2055-2022)/I47)^3)))</f>
        <v>0.0368881098489451</v>
      </c>
      <c r="AT47" s="30" t="n">
        <f aca="false">AS47*(1-IF((2056-2022)/I47&gt;=1,J47,H47+(J47-H47)*(3*((2056-2022)/I47)^2-2*((2056-2022)/I47)^3)))</f>
        <v>0.0363347882012109</v>
      </c>
      <c r="AU47" s="30" t="n">
        <f aca="false">AT47*(1-IF((2057-2022)/I47&gt;=1,J47,H47+(J47-H47)*(3*((2057-2022)/I47)^2-2*((2057-2022)/I47)^3)))</f>
        <v>0.0357897663781928</v>
      </c>
      <c r="AV47" s="30" t="n">
        <f aca="false">AU47*(1-IF((2058-2022)/I47&gt;=1,J47,H47+(J47-H47)*(3*((2058-2022)/I47)^2-2*((2058-2022)/I47)^3)))</f>
        <v>0.0352529198825199</v>
      </c>
      <c r="AW47" s="30" t="n">
        <f aca="false">AV47*(1-IF((2059-2022)/I47&gt;=1,J47,H47+(J47-H47)*(3*((2059-2022)/I47)^2-2*((2059-2022)/I47)^3)))</f>
        <v>0.0347241260842821</v>
      </c>
      <c r="AX47" s="30" t="n">
        <f aca="false">AW47*(1-IF((2060-2022)/I47&gt;=1,J47,H47+(J47-H47)*(3*((2060-2022)/I47)^2-2*((2060-2022)/I47)^3)))</f>
        <v>0.0342032641930178</v>
      </c>
      <c r="AY47" s="30" t="n">
        <f aca="false">AX47*(1-IF((2061-2022)/I47&gt;=1,J47,H47+(J47-H47)*(3*((2061-2022)/I47)^2-2*((2061-2022)/I47)^3)))</f>
        <v>0.0336902152301226</v>
      </c>
      <c r="AZ47" s="30" t="n">
        <f aca="false">AY47*(1-IF((2062-2022)/I47&gt;=1,J47,H47+(J47-H47)*(3*((2062-2022)/I47)^2-2*((2062-2022)/I47)^3)))</f>
        <v>0.0331848620016707</v>
      </c>
      <c r="BA47" s="30" t="n">
        <f aca="false">AZ47*(1-IF((2063-2022)/I47&gt;=1,J47,H47+(J47-H47)*(3*((2063-2022)/I47)^2-2*((2063-2022)/I47)^3)))</f>
        <v>0.0326870890716457</v>
      </c>
      <c r="BB47" s="30" t="n">
        <f aca="false">BA47*(1-IF((2064-2022)/I47&gt;=1,J47,H47+(J47-H47)*(3*((2064-2022)/I47)^2-2*((2064-2022)/I47)^3)))</f>
        <v>0.032196782735571</v>
      </c>
      <c r="BC47" s="30" t="n">
        <f aca="false">BB47*(1-IF((2065-2022)/I47&gt;=1,J47,H47+(J47-H47)*(3*((2065-2022)/I47)^2-2*((2065-2022)/I47)^3)))</f>
        <v>0.0317138309945374</v>
      </c>
      <c r="BD47" s="30" t="n">
        <f aca="false">BC47*(1-IF((2066-2022)/I47&gt;=1,J47,H47+(J47-H47)*(3*((2066-2022)/I47)^2-2*((2066-2022)/I47)^3)))</f>
        <v>0.0312381235296194</v>
      </c>
      <c r="BE47" s="30" t="n">
        <f aca="false">BD47*(1-IF((2067-2022)/I47&gt;=1,J47,H47+(J47-H47)*(3*((2067-2022)/I47)^2-2*((2067-2022)/I47)^3)))</f>
        <v>0.0307695516766751</v>
      </c>
      <c r="BF47" s="30" t="n">
        <f aca="false">BE47*(1-IF((2068-2022)/I47&gt;=1,J47,H47+(J47-H47)*(3*((2068-2022)/I47)^2-2*((2068-2022)/I47)^3)))</f>
        <v>0.0303080084015249</v>
      </c>
      <c r="BG47" s="30" t="n">
        <f aca="false">BF47*(1-IF((2069-2022)/I47&gt;=1,J47,H47+(J47-H47)*(3*((2069-2022)/I47)^2-2*((2069-2022)/I47)^3)))</f>
        <v>0.0298533882755021</v>
      </c>
      <c r="BH47" s="30" t="n">
        <f aca="false">BG47*(1-IF((2070-2022)/I47&gt;=1,J47,H47+(J47-H47)*(3*((2070-2022)/I47)^2-2*((2070-2022)/I47)^3)))</f>
        <v>0.0294055874513695</v>
      </c>
      <c r="BI47" s="30" t="n">
        <f aca="false">BH47*(1-IF((2071-2022)/I47&gt;=1,J47,H47+(J47-H47)*(3*((2071-2022)/I47)^2-2*((2071-2022)/I47)^3)))</f>
        <v>0.028964503639599</v>
      </c>
      <c r="BJ47" s="30" t="n">
        <f aca="false">BI47*(1-IF((2072-2022)/I47&gt;=1,J47,H47+(J47-H47)*(3*((2072-2022)/I47)^2-2*((2072-2022)/I47)^3)))</f>
        <v>0.028530036085005</v>
      </c>
      <c r="BK47" s="30" t="n">
        <f aca="false">BJ47*(1-IF((2073-2022)/I47&gt;=1,J47,H47+(J47-H47)*(3*((2073-2022)/I47)^2-2*((2073-2022)/I47)^3)))</f>
        <v>0.0281020855437299</v>
      </c>
      <c r="BL47" s="30" t="n">
        <f aca="false">BK47*(1-IF((2074-2022)/I47&gt;=1,J47,H47+(J47-H47)*(3*((2074-2022)/I47)^2-2*((2074-2022)/I47)^3)))</f>
        <v>0.027680554260574</v>
      </c>
      <c r="BM47" s="30" t="n">
        <f aca="false">BL47*(1-IF((2075-2022)/I47&gt;=1,J47,H47+(J47-H47)*(3*((2075-2022)/I47)^2-2*((2075-2022)/I47)^3)))</f>
        <v>0.0272653459466654</v>
      </c>
      <c r="BN47" s="30" t="n">
        <f aca="false">BM47*(1-IF((2076-2022)/I47&gt;=1,J47,H47+(J47-H47)*(3*((2076-2022)/I47)^2-2*((2076-2022)/I47)^3)))</f>
        <v>0.0268563657574654</v>
      </c>
      <c r="BO47" s="30" t="n">
        <f aca="false">BN47*(1-IF((2077-2022)/I47&gt;=1,J47,H47+(J47-H47)*(3*((2077-2022)/I47)^2-2*((2077-2022)/I47)^3)))</f>
        <v>0.0264535202711034</v>
      </c>
      <c r="BP47" s="30" t="n">
        <f aca="false">BO47*(1-IF((2078-2022)/I47&gt;=1,J47,H47+(J47-H47)*(3*((2078-2022)/I47)^2-2*((2078-2022)/I47)^3)))</f>
        <v>0.0260567174670369</v>
      </c>
      <c r="BQ47" s="30" t="n">
        <f aca="false">BP47*(1-IF((2079-2022)/I47&gt;=1,J47,H47+(J47-H47)*(3*((2079-2022)/I47)^2-2*((2079-2022)/I47)^3)))</f>
        <v>0.0256658667050313</v>
      </c>
      <c r="BR47" s="30" t="n">
        <f aca="false">BQ47*(1-IF((2080-2022)/I47&gt;=1,J47,H47+(J47-H47)*(3*((2080-2022)/I47)^2-2*((2080-2022)/I47)^3)))</f>
        <v>0.0252808787044558</v>
      </c>
      <c r="BS47" s="30" t="n">
        <f aca="false">BR47*(1-IF((2081-2022)/I47&gt;=1,J47,H47+(J47-H47)*(3*((2081-2022)/I47)^2-2*((2081-2022)/I47)^3)))</f>
        <v>0.024901665523889</v>
      </c>
      <c r="BT47" s="30" t="n">
        <f aca="false">BS47*(1-IF((2082-2022)/I47&gt;=1,J47,H47+(J47-H47)*(3*((2082-2022)/I47)^2-2*((2082-2022)/I47)^3)))</f>
        <v>0.0245281405410307</v>
      </c>
      <c r="BU47" s="30" t="n">
        <f aca="false">BT47*(1-IF((2083-2022)/I47&gt;=1,J47,H47+(J47-H47)*(3*((2083-2022)/I47)^2-2*((2083-2022)/I47)^3)))</f>
        <v>0.0241602184329152</v>
      </c>
      <c r="BV47" s="30" t="n">
        <f aca="false">BU47*(1-IF((2084-2022)/I47&gt;=1,J47,H47+(J47-H47)*(3*((2084-2022)/I47)^2-2*((2084-2022)/I47)^3)))</f>
        <v>0.0237978151564215</v>
      </c>
      <c r="BW47" s="30" t="n">
        <f aca="false">BV47*(1-IF((2085-2022)/I47&gt;=1,J47,H47+(J47-H47)*(3*((2085-2022)/I47)^2-2*((2085-2022)/I47)^3)))</f>
        <v>0.0234408479290751</v>
      </c>
      <c r="BX47" s="30" t="n">
        <f aca="false">BW47*(1-IF((2086-2022)/I47&gt;=1,J47,H47+(J47-H47)*(3*((2086-2022)/I47)^2-2*((2086-2022)/I47)^3)))</f>
        <v>0.023089235210139</v>
      </c>
      <c r="BY47" s="30" t="n">
        <f aca="false">BX47*(1-IF((2087-2022)/I47&gt;=1,J47,H47+(J47-H47)*(3*((2087-2022)/I47)^2-2*((2087-2022)/I47)^3)))</f>
        <v>0.0227428966819869</v>
      </c>
      <c r="BZ47" s="30" t="n">
        <f aca="false">BY47*(1-IF((2088-2022)/I47&gt;=1,J47,H47+(J47-H47)*(3*((2088-2022)/I47)^2-2*((2088-2022)/I47)^3)))</f>
        <v>0.0224017532317571</v>
      </c>
      <c r="CA47" s="30" t="n">
        <f aca="false">BZ47*(1-IF((2089-2022)/I47&gt;=1,J47,H47+(J47-H47)*(3*((2089-2022)/I47)^2-2*((2089-2022)/I47)^3)))</f>
        <v>0.0220657269332808</v>
      </c>
      <c r="CB47" s="30" t="n">
        <f aca="false">CA47*(1-IF((2090-2022)/I47&gt;=1,J47,H47+(J47-H47)*(3*((2090-2022)/I47)^2-2*((2090-2022)/I47)^3)))</f>
        <v>0.0217347410292816</v>
      </c>
      <c r="CC47" s="30" t="n">
        <f aca="false">CB47*(1-IF((2091-2022)/I47&gt;=1,J47,H47+(J47-H47)*(3*((2091-2022)/I47)^2-2*((2091-2022)/I47)^3)))</f>
        <v>0.0214087199138423</v>
      </c>
    </row>
    <row r="48" customFormat="false" ht="15" hidden="false" customHeight="true" outlineLevel="0" collapsed="false">
      <c r="A48" s="3" t="n">
        <v>85</v>
      </c>
      <c r="B48" s="30" t="n">
        <f aca="false">IF($A48&lt;=105,INDEX(ILT17_Source!$D$7:$D$52,MATCH($A48,ILT17_Source!$A$7:$A$52,0)),($B$16*EXP($B$17*$A48))/(1+$B$16*EXP($B$17*$A48)))</f>
        <v>0.09201948</v>
      </c>
      <c r="C48" s="31" t="n">
        <f aca="false">LOOKUP($A48,{60,65,70,75,80,85,90,95},{0.78,0.82,0.85,0.88,0.91,0.94,0.97,1})</f>
        <v>0.94</v>
      </c>
      <c r="D48" s="30" t="n">
        <f aca="false">B48*C48</f>
        <v>0.0864983112</v>
      </c>
      <c r="E48" s="30" t="n">
        <f aca="false">1/(1+EXP(-(($B$6+$B$8*(2016-2022))+($B$7+$B$9*(2016-2022))*($A48-$B$10))))</f>
        <v>0.09114700053857</v>
      </c>
      <c r="F48" s="30" t="n">
        <f aca="false">1/(1+EXP(-(($B$6+$B$8*(2021-2022))+($B$7+$B$9*(2021-2022))*($A48-$B$10))))</f>
        <v>0.0847081423432493</v>
      </c>
      <c r="G48" s="30" t="n">
        <f aca="false">1/(1+EXP(-(($B$6+$B$8*(2022-2022))+($B$7+$B$9*(2022-2022))*($A48-$B$10))))</f>
        <v>0.0834709150625565</v>
      </c>
      <c r="H48" s="32" t="n">
        <f aca="false">(F48-G48)/F48</f>
        <v>0.0146057657087956</v>
      </c>
      <c r="I48" s="38" t="n">
        <f aca="false">IF($A48&lt;=50,$B$14,IF($A48&gt;=95,$B$15,$B$14+($B$15-$B$14)*($A48-50)/(95-50)))</f>
        <v>8.33333333333333</v>
      </c>
      <c r="J48" s="39" t="n">
        <f aca="false">IF($A48&lt;=$B$12,$B$11,IF($A48&gt;=$B$13,0,$B$11*($B$13-$A48)/($B$13-$B$12)))</f>
        <v>0.015</v>
      </c>
      <c r="K48" s="30" t="n">
        <f aca="false">D48*G48/E48</f>
        <v>0.0792137222790398</v>
      </c>
      <c r="L48" s="30" t="n">
        <f aca="false">K48*$B$19</f>
        <v>0.0712923500511358</v>
      </c>
      <c r="M48" s="30" t="n">
        <f aca="false">L48*(1-IF((2023-2022)/I48&gt;=1,J48,H48+(J48-H48)*(3*((2023-2022)/I48)^2-2*((2023-2022)/I48)^3)))</f>
        <v>0.0702499536490035</v>
      </c>
      <c r="N48" s="30" t="n">
        <f aca="false">M48*(1-IF((2024-2022)/I48&gt;=1,J48,H48+(J48-H48)*(3*((2024-2022)/I48)^2-2*((2024-2022)/I48)^3)))</f>
        <v>0.0692198793089222</v>
      </c>
      <c r="O48" s="30" t="n">
        <f aca="false">N48*(1-IF((2025-2022)/I48&gt;=1,J48,H48+(J48-H48)*(3*((2025-2022)/I48)^2-2*((2025-2022)/I48)^3)))</f>
        <v>0.0682008064416195</v>
      </c>
      <c r="P48" s="30" t="n">
        <f aca="false">O48*(1-IF((2026-2022)/I48&gt;=1,J48,H48+(J48-H48)*(3*((2026-2022)/I48)^2-2*((2026-2022)/I48)^3)))</f>
        <v>0.0671920440759928</v>
      </c>
      <c r="Q48" s="30" t="n">
        <f aca="false">P48*(1-IF((2027-2022)/I48&gt;=1,J48,H48+(J48-H48)*(3*((2027-2022)/I48)^2-2*((2027-2022)/I48)^3)))</f>
        <v>0.0661934876864234</v>
      </c>
      <c r="R48" s="30" t="n">
        <f aca="false">Q48*(1-IF((2028-2022)/I48&gt;=1,J48,H48+(J48-H48)*(3*((2028-2022)/I48)^2-2*((2028-2022)/I48)^3)))</f>
        <v>0.0652055773823227</v>
      </c>
      <c r="S48" s="30" t="n">
        <f aca="false">R48*(1-IF((2029-2022)/I48&gt;=1,J48,H48+(J48-H48)*(3*((2029-2022)/I48)^2-2*((2029-2022)/I48)^3)))</f>
        <v>0.0642292573776744</v>
      </c>
      <c r="T48" s="30" t="n">
        <f aca="false">S48*(1-IF((2030-2022)/I48&gt;=1,J48,H48+(J48-H48)*(3*((2030-2022)/I48)^2-2*((2030-2022)/I48)^3)))</f>
        <v>0.0632659368184768</v>
      </c>
      <c r="U48" s="30" t="n">
        <f aca="false">T48*(1-IF((2031-2022)/I48&gt;=1,J48,H48+(J48-H48)*(3*((2031-2022)/I48)^2-2*((2031-2022)/I48)^3)))</f>
        <v>0.0623169477661996</v>
      </c>
      <c r="V48" s="30" t="n">
        <f aca="false">U48*(1-IF((2032-2022)/I48&gt;=1,J48,H48+(J48-H48)*(3*((2032-2022)/I48)^2-2*((2032-2022)/I48)^3)))</f>
        <v>0.0613821935497067</v>
      </c>
      <c r="W48" s="30" t="n">
        <f aca="false">V48*(1-IF((2033-2022)/I48&gt;=1,J48,H48+(J48-H48)*(3*((2033-2022)/I48)^2-2*((2033-2022)/I48)^3)))</f>
        <v>0.060461460646461</v>
      </c>
      <c r="X48" s="30" t="n">
        <f aca="false">W48*(1-IF((2034-2022)/I48&gt;=1,J48,H48+(J48-H48)*(3*((2034-2022)/I48)^2-2*((2034-2022)/I48)^3)))</f>
        <v>0.0595545387367641</v>
      </c>
      <c r="Y48" s="30" t="n">
        <f aca="false">X48*(1-IF((2035-2022)/I48&gt;=1,J48,H48+(J48-H48)*(3*((2035-2022)/I48)^2-2*((2035-2022)/I48)^3)))</f>
        <v>0.0586612206557127</v>
      </c>
      <c r="Z48" s="30" t="n">
        <f aca="false">Y48*(1-IF((2036-2022)/I48&gt;=1,J48,H48+(J48-H48)*(3*((2036-2022)/I48)^2-2*((2036-2022)/I48)^3)))</f>
        <v>0.057781302345877</v>
      </c>
      <c r="AA48" s="30" t="n">
        <f aca="false">Z48*(1-IF((2037-2022)/I48&gt;=1,J48,H48+(J48-H48)*(3*((2037-2022)/I48)^2-2*((2037-2022)/I48)^3)))</f>
        <v>0.0569145828106888</v>
      </c>
      <c r="AB48" s="30" t="n">
        <f aca="false">AA48*(1-IF((2038-2022)/I48&gt;=1,J48,H48+(J48-H48)*(3*((2038-2022)/I48)^2-2*((2038-2022)/I48)^3)))</f>
        <v>0.0560608640685285</v>
      </c>
      <c r="AC48" s="30" t="n">
        <f aca="false">AB48*(1-IF((2039-2022)/I48&gt;=1,J48,H48+(J48-H48)*(3*((2039-2022)/I48)^2-2*((2039-2022)/I48)^3)))</f>
        <v>0.0552199511075006</v>
      </c>
      <c r="AD48" s="30" t="n">
        <f aca="false">AC48*(1-IF((2040-2022)/I48&gt;=1,J48,H48+(J48-H48)*(3*((2040-2022)/I48)^2-2*((2040-2022)/I48)^3)))</f>
        <v>0.0543916518408881</v>
      </c>
      <c r="AE48" s="30" t="n">
        <f aca="false">AD48*(1-IF((2041-2022)/I48&gt;=1,J48,H48+(J48-H48)*(3*((2041-2022)/I48)^2-2*((2041-2022)/I48)^3)))</f>
        <v>0.0535757770632747</v>
      </c>
      <c r="AF48" s="30" t="n">
        <f aca="false">AE48*(1-IF((2042-2022)/I48&gt;=1,J48,H48+(J48-H48)*(3*((2042-2022)/I48)^2-2*((2042-2022)/I48)^3)))</f>
        <v>0.0527721404073256</v>
      </c>
      <c r="AG48" s="30" t="n">
        <f aca="false">AF48*(1-IF((2043-2022)/I48&gt;=1,J48,H48+(J48-H48)*(3*((2043-2022)/I48)^2-2*((2043-2022)/I48)^3)))</f>
        <v>0.0519805583012157</v>
      </c>
      <c r="AH48" s="30" t="n">
        <f aca="false">AG48*(1-IF((2044-2022)/I48&gt;=1,J48,H48+(J48-H48)*(3*((2044-2022)/I48)^2-2*((2044-2022)/I48)^3)))</f>
        <v>0.0512008499266975</v>
      </c>
      <c r="AI48" s="30" t="n">
        <f aca="false">AH48*(1-IF((2045-2022)/I48&gt;=1,J48,H48+(J48-H48)*(3*((2045-2022)/I48)^2-2*((2045-2022)/I48)^3)))</f>
        <v>0.050432837177797</v>
      </c>
      <c r="AJ48" s="30" t="n">
        <f aca="false">AI48*(1-IF((2046-2022)/I48&gt;=1,J48,H48+(J48-H48)*(3*((2046-2022)/I48)^2-2*((2046-2022)/I48)^3)))</f>
        <v>0.0496763446201301</v>
      </c>
      <c r="AK48" s="30" t="n">
        <f aca="false">AJ48*(1-IF((2047-2022)/I48&gt;=1,J48,H48+(J48-H48)*(3*((2047-2022)/I48)^2-2*((2047-2022)/I48)^3)))</f>
        <v>0.0489311994508281</v>
      </c>
      <c r="AL48" s="30" t="n">
        <f aca="false">AK48*(1-IF((2048-2022)/I48&gt;=1,J48,H48+(J48-H48)*(3*((2048-2022)/I48)^2-2*((2048-2022)/I48)^3)))</f>
        <v>0.0481972314590657</v>
      </c>
      <c r="AM48" s="30" t="n">
        <f aca="false">AL48*(1-IF((2049-2022)/I48&gt;=1,J48,H48+(J48-H48)*(3*((2049-2022)/I48)^2-2*((2049-2022)/I48)^3)))</f>
        <v>0.0474742729871797</v>
      </c>
      <c r="AN48" s="30" t="n">
        <f aca="false">AM48*(1-IF((2050-2022)/I48&gt;=1,J48,H48+(J48-H48)*(3*((2050-2022)/I48)^2-2*((2050-2022)/I48)^3)))</f>
        <v>0.046762158892372</v>
      </c>
      <c r="AO48" s="30" t="n">
        <f aca="false">AN48*(1-IF((2051-2022)/I48&gt;=1,J48,H48+(J48-H48)*(3*((2051-2022)/I48)^2-2*((2051-2022)/I48)^3)))</f>
        <v>0.0460607265089864</v>
      </c>
      <c r="AP48" s="30" t="n">
        <f aca="false">AO48*(1-IF((2052-2022)/I48&gt;=1,J48,H48+(J48-H48)*(3*((2052-2022)/I48)^2-2*((2052-2022)/I48)^3)))</f>
        <v>0.0453698156113516</v>
      </c>
      <c r="AQ48" s="30" t="n">
        <f aca="false">AP48*(1-IF((2053-2022)/I48&gt;=1,J48,H48+(J48-H48)*(3*((2053-2022)/I48)^2-2*((2053-2022)/I48)^3)))</f>
        <v>0.0446892683771814</v>
      </c>
      <c r="AR48" s="30" t="n">
        <f aca="false">AQ48*(1-IF((2054-2022)/I48&gt;=1,J48,H48+(J48-H48)*(3*((2054-2022)/I48)^2-2*((2054-2022)/I48)^3)))</f>
        <v>0.0440189293515236</v>
      </c>
      <c r="AS48" s="30" t="n">
        <f aca="false">AR48*(1-IF((2055-2022)/I48&gt;=1,J48,H48+(J48-H48)*(3*((2055-2022)/I48)^2-2*((2055-2022)/I48)^3)))</f>
        <v>0.0433586454112508</v>
      </c>
      <c r="AT48" s="30" t="n">
        <f aca="false">AS48*(1-IF((2056-2022)/I48&gt;=1,J48,H48+(J48-H48)*(3*((2056-2022)/I48)^2-2*((2056-2022)/I48)^3)))</f>
        <v>0.042708265730082</v>
      </c>
      <c r="AU48" s="30" t="n">
        <f aca="false">AT48*(1-IF((2057-2022)/I48&gt;=1,J48,H48+(J48-H48)*(3*((2057-2022)/I48)^2-2*((2057-2022)/I48)^3)))</f>
        <v>0.0420676417441308</v>
      </c>
      <c r="AV48" s="30" t="n">
        <f aca="false">AU48*(1-IF((2058-2022)/I48&gt;=1,J48,H48+(J48-H48)*(3*((2058-2022)/I48)^2-2*((2058-2022)/I48)^3)))</f>
        <v>0.0414366271179688</v>
      </c>
      <c r="AW48" s="30" t="n">
        <f aca="false">AV48*(1-IF((2059-2022)/I48&gt;=1,J48,H48+(J48-H48)*(3*((2059-2022)/I48)^2-2*((2059-2022)/I48)^3)))</f>
        <v>0.0408150777111993</v>
      </c>
      <c r="AX48" s="30" t="n">
        <f aca="false">AW48*(1-IF((2060-2022)/I48&gt;=1,J48,H48+(J48-H48)*(3*((2060-2022)/I48)^2-2*((2060-2022)/I48)^3)))</f>
        <v>0.0402028515455313</v>
      </c>
      <c r="AY48" s="30" t="n">
        <f aca="false">AX48*(1-IF((2061-2022)/I48&gt;=1,J48,H48+(J48-H48)*(3*((2061-2022)/I48)^2-2*((2061-2022)/I48)^3)))</f>
        <v>0.0395998087723483</v>
      </c>
      <c r="AZ48" s="30" t="n">
        <f aca="false">AY48*(1-IF((2062-2022)/I48&gt;=1,J48,H48+(J48-H48)*(3*((2062-2022)/I48)^2-2*((2062-2022)/I48)^3)))</f>
        <v>0.0390058116407631</v>
      </c>
      <c r="BA48" s="30" t="n">
        <f aca="false">AZ48*(1-IF((2063-2022)/I48&gt;=1,J48,H48+(J48-H48)*(3*((2063-2022)/I48)^2-2*((2063-2022)/I48)^3)))</f>
        <v>0.0384207244661517</v>
      </c>
      <c r="BB48" s="30" t="n">
        <f aca="false">BA48*(1-IF((2064-2022)/I48&gt;=1,J48,H48+(J48-H48)*(3*((2064-2022)/I48)^2-2*((2064-2022)/I48)^3)))</f>
        <v>0.0378444135991594</v>
      </c>
      <c r="BC48" s="30" t="n">
        <f aca="false">BB48*(1-IF((2065-2022)/I48&gt;=1,J48,H48+(J48-H48)*(3*((2065-2022)/I48)^2-2*((2065-2022)/I48)^3)))</f>
        <v>0.037276747395172</v>
      </c>
      <c r="BD48" s="30" t="n">
        <f aca="false">BC48*(1-IF((2066-2022)/I48&gt;=1,J48,H48+(J48-H48)*(3*((2066-2022)/I48)^2-2*((2066-2022)/I48)^3)))</f>
        <v>0.0367175961842444</v>
      </c>
      <c r="BE48" s="30" t="n">
        <f aca="false">BD48*(1-IF((2067-2022)/I48&gt;=1,J48,H48+(J48-H48)*(3*((2067-2022)/I48)^2-2*((2067-2022)/I48)^3)))</f>
        <v>0.0361668322414808</v>
      </c>
      <c r="BF48" s="30" t="n">
        <f aca="false">BE48*(1-IF((2068-2022)/I48&gt;=1,J48,H48+(J48-H48)*(3*((2068-2022)/I48)^2-2*((2068-2022)/I48)^3)))</f>
        <v>0.0356243297578585</v>
      </c>
      <c r="BG48" s="30" t="n">
        <f aca="false">BF48*(1-IF((2069-2022)/I48&gt;=1,J48,H48+(J48-H48)*(3*((2069-2022)/I48)^2-2*((2069-2022)/I48)^3)))</f>
        <v>0.0350899648114907</v>
      </c>
      <c r="BH48" s="30" t="n">
        <f aca="false">BG48*(1-IF((2070-2022)/I48&gt;=1,J48,H48+(J48-H48)*(3*((2070-2022)/I48)^2-2*((2070-2022)/I48)^3)))</f>
        <v>0.0345636153393183</v>
      </c>
      <c r="BI48" s="30" t="n">
        <f aca="false">BH48*(1-IF((2071-2022)/I48&gt;=1,J48,H48+(J48-H48)*(3*((2071-2022)/I48)^2-2*((2071-2022)/I48)^3)))</f>
        <v>0.0340451611092285</v>
      </c>
      <c r="BJ48" s="30" t="n">
        <f aca="false">BI48*(1-IF((2072-2022)/I48&gt;=1,J48,H48+(J48-H48)*(3*((2072-2022)/I48)^2-2*((2072-2022)/I48)^3)))</f>
        <v>0.0335344836925901</v>
      </c>
      <c r="BK48" s="30" t="n">
        <f aca="false">BJ48*(1-IF((2073-2022)/I48&gt;=1,J48,H48+(J48-H48)*(3*((2073-2022)/I48)^2-2*((2073-2022)/I48)^3)))</f>
        <v>0.0330314664372013</v>
      </c>
      <c r="BL48" s="30" t="n">
        <f aca="false">BK48*(1-IF((2074-2022)/I48&gt;=1,J48,H48+(J48-H48)*(3*((2074-2022)/I48)^2-2*((2074-2022)/I48)^3)))</f>
        <v>0.0325359944406432</v>
      </c>
      <c r="BM48" s="30" t="n">
        <f aca="false">BL48*(1-IF((2075-2022)/I48&gt;=1,J48,H48+(J48-H48)*(3*((2075-2022)/I48)^2-2*((2075-2022)/I48)^3)))</f>
        <v>0.0320479545240336</v>
      </c>
      <c r="BN48" s="30" t="n">
        <f aca="false">BM48*(1-IF((2076-2022)/I48&gt;=1,J48,H48+(J48-H48)*(3*((2076-2022)/I48)^2-2*((2076-2022)/I48)^3)))</f>
        <v>0.0315672352061731</v>
      </c>
      <c r="BO48" s="30" t="n">
        <f aca="false">BN48*(1-IF((2077-2022)/I48&gt;=1,J48,H48+(J48-H48)*(3*((2077-2022)/I48)^2-2*((2077-2022)/I48)^3)))</f>
        <v>0.0310937266780805</v>
      </c>
      <c r="BP48" s="30" t="n">
        <f aca="false">BO48*(1-IF((2078-2022)/I48&gt;=1,J48,H48+(J48-H48)*(3*((2078-2022)/I48)^2-2*((2078-2022)/I48)^3)))</f>
        <v>0.0306273207779093</v>
      </c>
      <c r="BQ48" s="30" t="n">
        <f aca="false">BP48*(1-IF((2079-2022)/I48&gt;=1,J48,H48+(J48-H48)*(3*((2079-2022)/I48)^2-2*((2079-2022)/I48)^3)))</f>
        <v>0.0301679109662406</v>
      </c>
      <c r="BR48" s="30" t="n">
        <f aca="false">BQ48*(1-IF((2080-2022)/I48&gt;=1,J48,H48+(J48-H48)*(3*((2080-2022)/I48)^2-2*((2080-2022)/I48)^3)))</f>
        <v>0.029715392301747</v>
      </c>
      <c r="BS48" s="30" t="n">
        <f aca="false">BR48*(1-IF((2081-2022)/I48&gt;=1,J48,H48+(J48-H48)*(3*((2081-2022)/I48)^2-2*((2081-2022)/I48)^3)))</f>
        <v>0.0292696614172208</v>
      </c>
      <c r="BT48" s="30" t="n">
        <f aca="false">BS48*(1-IF((2082-2022)/I48&gt;=1,J48,H48+(J48-H48)*(3*((2082-2022)/I48)^2-2*((2082-2022)/I48)^3)))</f>
        <v>0.0288306164959625</v>
      </c>
      <c r="BU48" s="30" t="n">
        <f aca="false">BT48*(1-IF((2083-2022)/I48&gt;=1,J48,H48+(J48-H48)*(3*((2083-2022)/I48)^2-2*((2083-2022)/I48)^3)))</f>
        <v>0.0283981572485231</v>
      </c>
      <c r="BV48" s="30" t="n">
        <f aca="false">BU48*(1-IF((2084-2022)/I48&gt;=1,J48,H48+(J48-H48)*(3*((2084-2022)/I48)^2-2*((2084-2022)/I48)^3)))</f>
        <v>0.0279721848897952</v>
      </c>
      <c r="BW48" s="30" t="n">
        <f aca="false">BV48*(1-IF((2085-2022)/I48&gt;=1,J48,H48+(J48-H48)*(3*((2085-2022)/I48)^2-2*((2085-2022)/I48)^3)))</f>
        <v>0.0275526021164483</v>
      </c>
      <c r="BX48" s="30" t="n">
        <f aca="false">BW48*(1-IF((2086-2022)/I48&gt;=1,J48,H48+(J48-H48)*(3*((2086-2022)/I48)^2-2*((2086-2022)/I48)^3)))</f>
        <v>0.0271393130847016</v>
      </c>
      <c r="BY48" s="30" t="n">
        <f aca="false">BX48*(1-IF((2087-2022)/I48&gt;=1,J48,H48+(J48-H48)*(3*((2087-2022)/I48)^2-2*((2087-2022)/I48)^3)))</f>
        <v>0.026732223388431</v>
      </c>
      <c r="BZ48" s="30" t="n">
        <f aca="false">BY48*(1-IF((2088-2022)/I48&gt;=1,J48,H48+(J48-H48)*(3*((2088-2022)/I48)^2-2*((2088-2022)/I48)^3)))</f>
        <v>0.0263312400376046</v>
      </c>
      <c r="CA48" s="30" t="n">
        <f aca="false">BZ48*(1-IF((2089-2022)/I48&gt;=1,J48,H48+(J48-H48)*(3*((2089-2022)/I48)^2-2*((2089-2022)/I48)^3)))</f>
        <v>0.0259362714370405</v>
      </c>
      <c r="CB48" s="30" t="n">
        <f aca="false">CA48*(1-IF((2090-2022)/I48&gt;=1,J48,H48+(J48-H48)*(3*((2090-2022)/I48)^2-2*((2090-2022)/I48)^3)))</f>
        <v>0.0255472273654849</v>
      </c>
      <c r="CC48" s="30" t="n">
        <f aca="false">CB48*(1-IF((2091-2022)/I48&gt;=1,J48,H48+(J48-H48)*(3*((2091-2022)/I48)^2-2*((2091-2022)/I48)^3)))</f>
        <v>0.0251640189550026</v>
      </c>
    </row>
    <row r="49" customFormat="false" ht="15" hidden="false" customHeight="true" outlineLevel="0" collapsed="false">
      <c r="A49" s="3" t="n">
        <v>86</v>
      </c>
      <c r="B49" s="30" t="n">
        <f aca="false">IF($A49&lt;=105,INDEX(ILT17_Source!$D$7:$D$52,MATCH($A49,ILT17_Source!$A$7:$A$52,0)),($B$16*EXP($B$17*$A49))/(1+$B$16*EXP($B$17*$A49)))</f>
        <v>0.10395349</v>
      </c>
      <c r="C49" s="31" t="n">
        <f aca="false">LOOKUP($A49,{60,65,70,75,80,85,90,95},{0.78,0.82,0.85,0.88,0.91,0.94,0.97,1})</f>
        <v>0.94</v>
      </c>
      <c r="D49" s="30" t="n">
        <f aca="false">B49*C49</f>
        <v>0.0977162806</v>
      </c>
      <c r="E49" s="30" t="n">
        <f aca="false">1/(1+EXP(-(($B$6+$B$8*(2016-2022))+($B$7+$B$9*(2016-2022))*($A49-$B$10))))</f>
        <v>0.100740886040408</v>
      </c>
      <c r="F49" s="30" t="n">
        <f aca="false">1/(1+EXP(-(($B$6+$B$8*(2021-2022))+($B$7+$B$9*(2021-2022))*($A49-$B$10))))</f>
        <v>0.0939264758523386</v>
      </c>
      <c r="G49" s="30" t="n">
        <f aca="false">1/(1+EXP(-(($B$6+$B$8*(2022-2022))+($B$7+$B$9*(2022-2022))*($A49-$B$10))))</f>
        <v>0.0926141458643697</v>
      </c>
      <c r="H49" s="32" t="n">
        <f aca="false">(F49-G49)/F49</f>
        <v>0.0139718857336031</v>
      </c>
      <c r="I49" s="38" t="n">
        <f aca="false">IF($A49&lt;=50,$B$14,IF($A49&gt;=95,$B$15,$B$14+($B$15-$B$14)*($A49-50)/(95-50)))</f>
        <v>8</v>
      </c>
      <c r="J49" s="39" t="n">
        <f aca="false">IF($A49&lt;=$B$12,$B$11,IF($A49&gt;=$B$13,0,$B$11*($B$13-$A49)/($B$13-$B$12)))</f>
        <v>0.0144</v>
      </c>
      <c r="K49" s="30" t="n">
        <f aca="false">D49*G49/E49</f>
        <v>0.0898335345311746</v>
      </c>
      <c r="L49" s="30" t="n">
        <f aca="false">K49*$B$19</f>
        <v>0.0808501810780571</v>
      </c>
      <c r="M49" s="30" t="n">
        <f aca="false">L49*(1-IF((2023-2022)/I49&gt;=1,J49,H49+(J49-H49)*(3*((2023-2022)/I49)^2-2*((2023-2022)/I49)^3)))</f>
        <v>0.079719064304167</v>
      </c>
      <c r="N49" s="30" t="n">
        <f aca="false">M49*(1-IF((2024-2022)/I49&gt;=1,J49,H49+(J49-H49)*(3*((2024-2022)/I49)^2-2*((2024-2022)/I49)^3)))</f>
        <v>0.0785999060111799</v>
      </c>
      <c r="O49" s="30" t="n">
        <f aca="false">N49*(1-IF((2025-2022)/I49&gt;=1,J49,H49+(J49-H49)*(3*((2025-2022)/I49)^2-2*((2025-2022)/I49)^3)))</f>
        <v>0.0774910701173246</v>
      </c>
      <c r="P49" s="30" t="n">
        <f aca="false">O49*(1-IF((2026-2022)/I49&gt;=1,J49,H49+(J49-H49)*(3*((2026-2022)/I49)^2-2*((2026-2022)/I49)^3)))</f>
        <v>0.0763917862239529</v>
      </c>
      <c r="Q49" s="30" t="n">
        <f aca="false">P49*(1-IF((2027-2022)/I49&gt;=1,J49,H49+(J49-H49)*(3*((2027-2022)/I49)^2-2*((2027-2022)/I49)^3)))</f>
        <v>0.0753020923831677</v>
      </c>
      <c r="R49" s="30" t="n">
        <f aca="false">Q49*(1-IF((2028-2022)/I49&gt;=1,J49,H49+(J49-H49)*(3*((2028-2022)/I49)^2-2*((2028-2022)/I49)^3)))</f>
        <v>0.0742227794247311</v>
      </c>
      <c r="S49" s="30" t="n">
        <f aca="false">R49*(1-IF((2029-2022)/I49&gt;=1,J49,H49+(J49-H49)*(3*((2029-2022)/I49)^2-2*((2029-2022)/I49)^3)))</f>
        <v>0.0731553367687431</v>
      </c>
      <c r="T49" s="30" t="n">
        <f aca="false">S49*(1-IF((2030-2022)/I49&gt;=1,J49,H49+(J49-H49)*(3*((2030-2022)/I49)^2-2*((2030-2022)/I49)^3)))</f>
        <v>0.0721018999192732</v>
      </c>
      <c r="U49" s="30" t="n">
        <f aca="false">T49*(1-IF((2031-2022)/I49&gt;=1,J49,H49+(J49-H49)*(3*((2031-2022)/I49)^2-2*((2031-2022)/I49)^3)))</f>
        <v>0.0710636325604357</v>
      </c>
      <c r="V49" s="30" t="n">
        <f aca="false">U49*(1-IF((2032-2022)/I49&gt;=1,J49,H49+(J49-H49)*(3*((2032-2022)/I49)^2-2*((2032-2022)/I49)^3)))</f>
        <v>0.0700403162515654</v>
      </c>
      <c r="W49" s="30" t="n">
        <f aca="false">V49*(1-IF((2033-2022)/I49&gt;=1,J49,H49+(J49-H49)*(3*((2033-2022)/I49)^2-2*((2033-2022)/I49)^3)))</f>
        <v>0.0690317356975429</v>
      </c>
      <c r="X49" s="30" t="n">
        <f aca="false">W49*(1-IF((2034-2022)/I49&gt;=1,J49,H49+(J49-H49)*(3*((2034-2022)/I49)^2-2*((2034-2022)/I49)^3)))</f>
        <v>0.0680376787034983</v>
      </c>
      <c r="Y49" s="30" t="n">
        <f aca="false">X49*(1-IF((2035-2022)/I49&gt;=1,J49,H49+(J49-H49)*(3*((2035-2022)/I49)^2-2*((2035-2022)/I49)^3)))</f>
        <v>0.0670579361301679</v>
      </c>
      <c r="Z49" s="30" t="n">
        <f aca="false">Y49*(1-IF((2036-2022)/I49&gt;=1,J49,H49+(J49-H49)*(3*((2036-2022)/I49)^2-2*((2036-2022)/I49)^3)))</f>
        <v>0.0660923018498935</v>
      </c>
      <c r="AA49" s="30" t="n">
        <f aca="false">Z49*(1-IF((2037-2022)/I49&gt;=1,J49,H49+(J49-H49)*(3*((2037-2022)/I49)^2-2*((2037-2022)/I49)^3)))</f>
        <v>0.065140572703255</v>
      </c>
      <c r="AB49" s="30" t="n">
        <f aca="false">AA49*(1-IF((2038-2022)/I49&gt;=1,J49,H49+(J49-H49)*(3*((2038-2022)/I49)^2-2*((2038-2022)/I49)^3)))</f>
        <v>0.0642025484563281</v>
      </c>
      <c r="AC49" s="30" t="n">
        <f aca="false">AB49*(1-IF((2039-2022)/I49&gt;=1,J49,H49+(J49-H49)*(3*((2039-2022)/I49)^2-2*((2039-2022)/I49)^3)))</f>
        <v>0.063278031758557</v>
      </c>
      <c r="AD49" s="30" t="n">
        <f aca="false">AC49*(1-IF((2040-2022)/I49&gt;=1,J49,H49+(J49-H49)*(3*((2040-2022)/I49)^2-2*((2040-2022)/I49)^3)))</f>
        <v>0.0623668281012338</v>
      </c>
      <c r="AE49" s="30" t="n">
        <f aca="false">AD49*(1-IF((2041-2022)/I49&gt;=1,J49,H49+(J49-H49)*(3*((2041-2022)/I49)^2-2*((2041-2022)/I49)^3)))</f>
        <v>0.061468745776576</v>
      </c>
      <c r="AF49" s="30" t="n">
        <f aca="false">AE49*(1-IF((2042-2022)/I49&gt;=1,J49,H49+(J49-H49)*(3*((2042-2022)/I49)^2-2*((2042-2022)/I49)^3)))</f>
        <v>0.0605835958373933</v>
      </c>
      <c r="AG49" s="30" t="n">
        <f aca="false">AF49*(1-IF((2043-2022)/I49&gt;=1,J49,H49+(J49-H49)*(3*((2043-2022)/I49)^2-2*((2043-2022)/I49)^3)))</f>
        <v>0.0597111920573349</v>
      </c>
      <c r="AH49" s="30" t="n">
        <f aca="false">AG49*(1-IF((2044-2022)/I49&gt;=1,J49,H49+(J49-H49)*(3*((2044-2022)/I49)^2-2*((2044-2022)/I49)^3)))</f>
        <v>0.0588513508917093</v>
      </c>
      <c r="AI49" s="30" t="n">
        <f aca="false">AH49*(1-IF((2045-2022)/I49&gt;=1,J49,H49+(J49-H49)*(3*((2045-2022)/I49)^2-2*((2045-2022)/I49)^3)))</f>
        <v>0.0580038914388686</v>
      </c>
      <c r="AJ49" s="30" t="n">
        <f aca="false">AI49*(1-IF((2046-2022)/I49&gt;=1,J49,H49+(J49-H49)*(3*((2046-2022)/I49)^2-2*((2046-2022)/I49)^3)))</f>
        <v>0.0571686354021489</v>
      </c>
      <c r="AK49" s="30" t="n">
        <f aca="false">AJ49*(1-IF((2047-2022)/I49&gt;=1,J49,H49+(J49-H49)*(3*((2047-2022)/I49)^2-2*((2047-2022)/I49)^3)))</f>
        <v>0.056345407052358</v>
      </c>
      <c r="AL49" s="30" t="n">
        <f aca="false">AK49*(1-IF((2048-2022)/I49&gt;=1,J49,H49+(J49-H49)*(3*((2048-2022)/I49)^2-2*((2048-2022)/I49)^3)))</f>
        <v>0.055534033190804</v>
      </c>
      <c r="AM49" s="30" t="n">
        <f aca="false">AL49*(1-IF((2049-2022)/I49&gt;=1,J49,H49+(J49-H49)*(3*((2049-2022)/I49)^2-2*((2049-2022)/I49)^3)))</f>
        <v>0.0547343431128565</v>
      </c>
      <c r="AN49" s="30" t="n">
        <f aca="false">AM49*(1-IF((2050-2022)/I49&gt;=1,J49,H49+(J49-H49)*(3*((2050-2022)/I49)^2-2*((2050-2022)/I49)^3)))</f>
        <v>0.0539461685720313</v>
      </c>
      <c r="AO49" s="30" t="n">
        <f aca="false">AN49*(1-IF((2051-2022)/I49&gt;=1,J49,H49+(J49-H49)*(3*((2051-2022)/I49)^2-2*((2051-2022)/I49)^3)))</f>
        <v>0.0531693437445941</v>
      </c>
      <c r="AP49" s="30" t="n">
        <f aca="false">AO49*(1-IF((2052-2022)/I49&gt;=1,J49,H49+(J49-H49)*(3*((2052-2022)/I49)^2-2*((2052-2022)/I49)^3)))</f>
        <v>0.0524037051946719</v>
      </c>
      <c r="AQ49" s="30" t="n">
        <f aca="false">AP49*(1-IF((2053-2022)/I49&gt;=1,J49,H49+(J49-H49)*(3*((2053-2022)/I49)^2-2*((2053-2022)/I49)^3)))</f>
        <v>0.0516490918398687</v>
      </c>
      <c r="AR49" s="30" t="n">
        <f aca="false">AQ49*(1-IF((2054-2022)/I49&gt;=1,J49,H49+(J49-H49)*(3*((2054-2022)/I49)^2-2*((2054-2022)/I49)^3)))</f>
        <v>0.0509053449173746</v>
      </c>
      <c r="AS49" s="30" t="n">
        <f aca="false">AR49*(1-IF((2055-2022)/I49&gt;=1,J49,H49+(J49-H49)*(3*((2055-2022)/I49)^2-2*((2055-2022)/I49)^3)))</f>
        <v>0.0501723079505644</v>
      </c>
      <c r="AT49" s="30" t="n">
        <f aca="false">AS49*(1-IF((2056-2022)/I49&gt;=1,J49,H49+(J49-H49)*(3*((2056-2022)/I49)^2-2*((2056-2022)/I49)^3)))</f>
        <v>0.0494498267160762</v>
      </c>
      <c r="AU49" s="30" t="n">
        <f aca="false">AT49*(1-IF((2057-2022)/I49&gt;=1,J49,H49+(J49-H49)*(3*((2057-2022)/I49)^2-2*((2057-2022)/I49)^3)))</f>
        <v>0.0487377492113647</v>
      </c>
      <c r="AV49" s="30" t="n">
        <f aca="false">AU49*(1-IF((2058-2022)/I49&gt;=1,J49,H49+(J49-H49)*(3*((2058-2022)/I49)^2-2*((2058-2022)/I49)^3)))</f>
        <v>0.0480359256227211</v>
      </c>
      <c r="AW49" s="30" t="n">
        <f aca="false">AV49*(1-IF((2059-2022)/I49&gt;=1,J49,H49+(J49-H49)*(3*((2059-2022)/I49)^2-2*((2059-2022)/I49)^3)))</f>
        <v>0.0473442082937539</v>
      </c>
      <c r="AX49" s="30" t="n">
        <f aca="false">AW49*(1-IF((2060-2022)/I49&gt;=1,J49,H49+(J49-H49)*(3*((2060-2022)/I49)^2-2*((2060-2022)/I49)^3)))</f>
        <v>0.0466624516943239</v>
      </c>
      <c r="AY49" s="30" t="n">
        <f aca="false">AX49*(1-IF((2061-2022)/I49&gt;=1,J49,H49+(J49-H49)*(3*((2061-2022)/I49)^2-2*((2061-2022)/I49)^3)))</f>
        <v>0.0459905123899256</v>
      </c>
      <c r="AZ49" s="30" t="n">
        <f aca="false">AY49*(1-IF((2062-2022)/I49&gt;=1,J49,H49+(J49-H49)*(3*((2062-2022)/I49)^2-2*((2062-2022)/I49)^3)))</f>
        <v>0.0453282490115107</v>
      </c>
      <c r="BA49" s="30" t="n">
        <f aca="false">AZ49*(1-IF((2063-2022)/I49&gt;=1,J49,H49+(J49-H49)*(3*((2063-2022)/I49)^2-2*((2063-2022)/I49)^3)))</f>
        <v>0.0446755222257449</v>
      </c>
      <c r="BB49" s="30" t="n">
        <f aca="false">BA49*(1-IF((2064-2022)/I49&gt;=1,J49,H49+(J49-H49)*(3*((2064-2022)/I49)^2-2*((2064-2022)/I49)^3)))</f>
        <v>0.0440321947056942</v>
      </c>
      <c r="BC49" s="30" t="n">
        <f aca="false">BB49*(1-IF((2065-2022)/I49&gt;=1,J49,H49+(J49-H49)*(3*((2065-2022)/I49)^2-2*((2065-2022)/I49)^3)))</f>
        <v>0.0433981311019322</v>
      </c>
      <c r="BD49" s="30" t="n">
        <f aca="false">BC49*(1-IF((2066-2022)/I49&gt;=1,J49,H49+(J49-H49)*(3*((2066-2022)/I49)^2-2*((2066-2022)/I49)^3)))</f>
        <v>0.0427731980140644</v>
      </c>
      <c r="BE49" s="30" t="n">
        <f aca="false">BD49*(1-IF((2067-2022)/I49&gt;=1,J49,H49+(J49-H49)*(3*((2067-2022)/I49)^2-2*((2067-2022)/I49)^3)))</f>
        <v>0.0421572639626618</v>
      </c>
      <c r="BF49" s="30" t="n">
        <f aca="false">BE49*(1-IF((2068-2022)/I49&gt;=1,J49,H49+(J49-H49)*(3*((2068-2022)/I49)^2-2*((2068-2022)/I49)^3)))</f>
        <v>0.0415501993615995</v>
      </c>
      <c r="BG49" s="30" t="n">
        <f aca="false">BF49*(1-IF((2069-2022)/I49&gt;=1,J49,H49+(J49-H49)*(3*((2069-2022)/I49)^2-2*((2069-2022)/I49)^3)))</f>
        <v>0.0409518764907925</v>
      </c>
      <c r="BH49" s="30" t="n">
        <f aca="false">BG49*(1-IF((2070-2022)/I49&gt;=1,J49,H49+(J49-H49)*(3*((2070-2022)/I49)^2-2*((2070-2022)/I49)^3)))</f>
        <v>0.0403621694693251</v>
      </c>
      <c r="BI49" s="30" t="n">
        <f aca="false">BH49*(1-IF((2071-2022)/I49&gt;=1,J49,H49+(J49-H49)*(3*((2071-2022)/I49)^2-2*((2071-2022)/I49)^3)))</f>
        <v>0.0397809542289668</v>
      </c>
      <c r="BJ49" s="30" t="n">
        <f aca="false">BI49*(1-IF((2072-2022)/I49&gt;=1,J49,H49+(J49-H49)*(3*((2072-2022)/I49)^2-2*((2072-2022)/I49)^3)))</f>
        <v>0.0392081084880697</v>
      </c>
      <c r="BK49" s="30" t="n">
        <f aca="false">BJ49*(1-IF((2073-2022)/I49&gt;=1,J49,H49+(J49-H49)*(3*((2073-2022)/I49)^2-2*((2073-2022)/I49)^3)))</f>
        <v>0.0386435117258415</v>
      </c>
      <c r="BL49" s="30" t="n">
        <f aca="false">BK49*(1-IF((2074-2022)/I49&gt;=1,J49,H49+(J49-H49)*(3*((2074-2022)/I49)^2-2*((2074-2022)/I49)^3)))</f>
        <v>0.0380870451569894</v>
      </c>
      <c r="BM49" s="30" t="n">
        <f aca="false">BL49*(1-IF((2075-2022)/I49&gt;=1,J49,H49+(J49-H49)*(3*((2075-2022)/I49)^2-2*((2075-2022)/I49)^3)))</f>
        <v>0.0375385917067287</v>
      </c>
      <c r="BN49" s="30" t="n">
        <f aca="false">BM49*(1-IF((2076-2022)/I49&gt;=1,J49,H49+(J49-H49)*(3*((2076-2022)/I49)^2-2*((2076-2022)/I49)^3)))</f>
        <v>0.0369980359861518</v>
      </c>
      <c r="BO49" s="30" t="n">
        <f aca="false">BN49*(1-IF((2077-2022)/I49&gt;=1,J49,H49+(J49-H49)*(3*((2077-2022)/I49)^2-2*((2077-2022)/I49)^3)))</f>
        <v>0.0364652642679512</v>
      </c>
      <c r="BP49" s="30" t="n">
        <f aca="false">BO49*(1-IF((2078-2022)/I49&gt;=1,J49,H49+(J49-H49)*(3*((2078-2022)/I49)^2-2*((2078-2022)/I49)^3)))</f>
        <v>0.0359401644624927</v>
      </c>
      <c r="BQ49" s="30" t="n">
        <f aca="false">BP49*(1-IF((2079-2022)/I49&gt;=1,J49,H49+(J49-H49)*(3*((2079-2022)/I49)^2-2*((2079-2022)/I49)^3)))</f>
        <v>0.0354226260942328</v>
      </c>
      <c r="BR49" s="30" t="n">
        <f aca="false">BQ49*(1-IF((2080-2022)/I49&gt;=1,J49,H49+(J49-H49)*(3*((2080-2022)/I49)^2-2*((2080-2022)/I49)^3)))</f>
        <v>0.0349125402784759</v>
      </c>
      <c r="BS49" s="30" t="n">
        <f aca="false">BR49*(1-IF((2081-2022)/I49&gt;=1,J49,H49+(J49-H49)*(3*((2081-2022)/I49)^2-2*((2081-2022)/I49)^3)))</f>
        <v>0.0344097996984658</v>
      </c>
      <c r="BT49" s="30" t="n">
        <f aca="false">BS49*(1-IF((2082-2022)/I49&gt;=1,J49,H49+(J49-H49)*(3*((2082-2022)/I49)^2-2*((2082-2022)/I49)^3)))</f>
        <v>0.0339142985828079</v>
      </c>
      <c r="BU49" s="30" t="n">
        <f aca="false">BT49*(1-IF((2083-2022)/I49&gt;=1,J49,H49+(J49-H49)*(3*((2083-2022)/I49)^2-2*((2083-2022)/I49)^3)))</f>
        <v>0.0334259326832155</v>
      </c>
      <c r="BV49" s="30" t="n">
        <f aca="false">BU49*(1-IF((2084-2022)/I49&gt;=1,J49,H49+(J49-H49)*(3*((2084-2022)/I49)^2-2*((2084-2022)/I49)^3)))</f>
        <v>0.0329445992525772</v>
      </c>
      <c r="BW49" s="30" t="n">
        <f aca="false">BV49*(1-IF((2085-2022)/I49&gt;=1,J49,H49+(J49-H49)*(3*((2085-2022)/I49)^2-2*((2085-2022)/I49)^3)))</f>
        <v>0.0324701970233401</v>
      </c>
      <c r="BX49" s="30" t="n">
        <f aca="false">BW49*(1-IF((2086-2022)/I49&gt;=1,J49,H49+(J49-H49)*(3*((2086-2022)/I49)^2-2*((2086-2022)/I49)^3)))</f>
        <v>0.032002626186204</v>
      </c>
      <c r="BY49" s="30" t="n">
        <f aca="false">BX49*(1-IF((2087-2022)/I49&gt;=1,J49,H49+(J49-H49)*(3*((2087-2022)/I49)^2-2*((2087-2022)/I49)^3)))</f>
        <v>0.0315417883691227</v>
      </c>
      <c r="BZ49" s="30" t="n">
        <f aca="false">BY49*(1-IF((2088-2022)/I49&gt;=1,J49,H49+(J49-H49)*(3*((2088-2022)/I49)^2-2*((2088-2022)/I49)^3)))</f>
        <v>0.0310875866166073</v>
      </c>
      <c r="CA49" s="30" t="n">
        <f aca="false">BZ49*(1-IF((2089-2022)/I49&gt;=1,J49,H49+(J49-H49)*(3*((2089-2022)/I49)^2-2*((2089-2022)/I49)^3)))</f>
        <v>0.0306399253693281</v>
      </c>
      <c r="CB49" s="30" t="n">
        <f aca="false">CA49*(1-IF((2090-2022)/I49&gt;=1,J49,H49+(J49-H49)*(3*((2090-2022)/I49)^2-2*((2090-2022)/I49)^3)))</f>
        <v>0.0301987104440098</v>
      </c>
      <c r="CC49" s="30" t="n">
        <f aca="false">CB49*(1-IF((2091-2022)/I49&gt;=1,J49,H49+(J49-H49)*(3*((2091-2022)/I49)^2-2*((2091-2022)/I49)^3)))</f>
        <v>0.0297638490136161</v>
      </c>
    </row>
    <row r="50" customFormat="false" ht="15" hidden="false" customHeight="true" outlineLevel="0" collapsed="false">
      <c r="A50" s="3" t="n">
        <v>87</v>
      </c>
      <c r="B50" s="30" t="n">
        <f aca="false">IF($A50&lt;=105,INDEX(ILT17_Source!$D$7:$D$52,MATCH($A50,ILT17_Source!$A$7:$A$52,0)),($B$16*EXP($B$17*$A50))/(1+$B$16*EXP($B$17*$A50)))</f>
        <v>0.11727363</v>
      </c>
      <c r="C50" s="31" t="n">
        <f aca="false">LOOKUP($A50,{60,65,70,75,80,85,90,95},{0.78,0.82,0.85,0.88,0.91,0.94,0.97,1})</f>
        <v>0.94</v>
      </c>
      <c r="D50" s="30" t="n">
        <f aca="false">B50*C50</f>
        <v>0.1102372122</v>
      </c>
      <c r="E50" s="30" t="n">
        <f aca="false">1/(1+EXP(-(($B$6+$B$8*(2016-2022))+($B$7+$B$9*(2016-2022))*($A50-$B$10))))</f>
        <v>0.111221020206313</v>
      </c>
      <c r="F50" s="30" t="n">
        <f aca="false">1/(1+EXP(-(($B$6+$B$8*(2021-2022))+($B$7+$B$9*(2021-2022))*($A50-$B$10))))</f>
        <v>0.104033967503627</v>
      </c>
      <c r="G50" s="30" t="n">
        <f aca="false">1/(1+EXP(-(($B$6+$B$8*(2022-2022))+($B$7+$B$9*(2022-2022))*($A50-$B$10))))</f>
        <v>0.102646740709262</v>
      </c>
      <c r="H50" s="32" t="n">
        <f aca="false">(F50-G50)/F50</f>
        <v>0.0133343640317916</v>
      </c>
      <c r="I50" s="38" t="n">
        <f aca="false">IF($A50&lt;=50,$B$14,IF($A50&gt;=95,$B$15,$B$14+($B$15-$B$14)*($A50-50)/(95-50)))</f>
        <v>7.66666666666667</v>
      </c>
      <c r="J50" s="39" t="n">
        <f aca="false">IF($A50&lt;=$B$12,$B$11,IF($A50&gt;=$B$13,0,$B$11*($B$13-$A50)/($B$13-$B$12)))</f>
        <v>0.0138</v>
      </c>
      <c r="K50" s="30" t="n">
        <f aca="false">D50*G50/E50</f>
        <v>0.101738776682818</v>
      </c>
      <c r="L50" s="30" t="n">
        <f aca="false">K50*$B$19</f>
        <v>0.091564899014536</v>
      </c>
      <c r="M50" s="30" t="n">
        <f aca="false">L50*(1-IF((2023-2022)/I50&gt;=1,J50,H50+(J50-H50)*(3*((2023-2022)/I50)^2-2*((2023-2022)/I50)^3)))</f>
        <v>0.0903419524227418</v>
      </c>
      <c r="N50" s="30" t="n">
        <f aca="false">M50*(1-IF((2024-2022)/I50&gt;=1,J50,H50+(J50-H50)*(3*((2024-2022)/I50)^2-2*((2024-2022)/I50)^3)))</f>
        <v>0.0891302053103302</v>
      </c>
      <c r="O50" s="30" t="n">
        <f aca="false">N50*(1-IF((2025-2022)/I50&gt;=1,J50,H50+(J50-H50)*(3*((2025-2022)/I50)^2-2*((2025-2022)/I50)^3)))</f>
        <v>0.0879276196643436</v>
      </c>
      <c r="P50" s="30" t="n">
        <f aca="false">O50*(1-IF((2026-2022)/I50&gt;=1,J50,H50+(J50-H50)*(3*((2026-2022)/I50)^2-2*((2026-2022)/I50)^3)))</f>
        <v>0.0867333554116182</v>
      </c>
      <c r="Q50" s="30" t="n">
        <f aca="false">P50*(1-IF((2027-2022)/I50&gt;=1,J50,H50+(J50-H50)*(3*((2027-2022)/I50)^2-2*((2027-2022)/I50)^3)))</f>
        <v>0.0855476942413489</v>
      </c>
      <c r="R50" s="30" t="n">
        <f aca="false">Q50*(1-IF((2028-2022)/I50&gt;=1,J50,H50+(J50-H50)*(3*((2028-2022)/I50)^2-2*((2028-2022)/I50)^3)))</f>
        <v>0.0843719651290412</v>
      </c>
      <c r="S50" s="30" t="n">
        <f aca="false">R50*(1-IF((2029-2022)/I50&gt;=1,J50,H50+(J50-H50)*(3*((2029-2022)/I50)^2-2*((2029-2022)/I50)^3)))</f>
        <v>0.0832084715369831</v>
      </c>
      <c r="T50" s="30" t="n">
        <f aca="false">S50*(1-IF((2030-2022)/I50&gt;=1,J50,H50+(J50-H50)*(3*((2030-2022)/I50)^2-2*((2030-2022)/I50)^3)))</f>
        <v>0.0820601946297727</v>
      </c>
      <c r="U50" s="30" t="n">
        <f aca="false">T50*(1-IF((2031-2022)/I50&gt;=1,J50,H50+(J50-H50)*(3*((2031-2022)/I50)^2-2*((2031-2022)/I50)^3)))</f>
        <v>0.0809277639438819</v>
      </c>
      <c r="V50" s="30" t="n">
        <f aca="false">U50*(1-IF((2032-2022)/I50&gt;=1,J50,H50+(J50-H50)*(3*((2032-2022)/I50)^2-2*((2032-2022)/I50)^3)))</f>
        <v>0.0798109608014563</v>
      </c>
      <c r="W50" s="30" t="n">
        <f aca="false">V50*(1-IF((2033-2022)/I50&gt;=1,J50,H50+(J50-H50)*(3*((2033-2022)/I50)^2-2*((2033-2022)/I50)^3)))</f>
        <v>0.0787095695423962</v>
      </c>
      <c r="X50" s="30" t="n">
        <f aca="false">W50*(1-IF((2034-2022)/I50&gt;=1,J50,H50+(J50-H50)*(3*((2034-2022)/I50)^2-2*((2034-2022)/I50)^3)))</f>
        <v>0.0776233774827111</v>
      </c>
      <c r="Y50" s="30" t="n">
        <f aca="false">X50*(1-IF((2035-2022)/I50&gt;=1,J50,H50+(J50-H50)*(3*((2035-2022)/I50)^2-2*((2035-2022)/I50)^3)))</f>
        <v>0.0765521748734497</v>
      </c>
      <c r="Z50" s="30" t="n">
        <f aca="false">Y50*(1-IF((2036-2022)/I50&gt;=1,J50,H50+(J50-H50)*(3*((2036-2022)/I50)^2-2*((2036-2022)/I50)^3)))</f>
        <v>0.0754957548601961</v>
      </c>
      <c r="AA50" s="30" t="n">
        <f aca="false">Z50*(1-IF((2037-2022)/I50&gt;=1,J50,H50+(J50-H50)*(3*((2037-2022)/I50)^2-2*((2037-2022)/I50)^3)))</f>
        <v>0.0744539134431254</v>
      </c>
      <c r="AB50" s="30" t="n">
        <f aca="false">AA50*(1-IF((2038-2022)/I50&gt;=1,J50,H50+(J50-H50)*(3*((2038-2022)/I50)^2-2*((2038-2022)/I50)^3)))</f>
        <v>0.0734264494376102</v>
      </c>
      <c r="AC50" s="30" t="n">
        <f aca="false">AB50*(1-IF((2039-2022)/I50&gt;=1,J50,H50+(J50-H50)*(3*((2039-2022)/I50)^2-2*((2039-2022)/I50)^3)))</f>
        <v>0.0724131644353712</v>
      </c>
      <c r="AD50" s="30" t="n">
        <f aca="false">AC50*(1-IF((2040-2022)/I50&gt;=1,J50,H50+(J50-H50)*(3*((2040-2022)/I50)^2-2*((2040-2022)/I50)^3)))</f>
        <v>0.0714138627661631</v>
      </c>
      <c r="AE50" s="30" t="n">
        <f aca="false">AD50*(1-IF((2041-2022)/I50&gt;=1,J50,H50+(J50-H50)*(3*((2041-2022)/I50)^2-2*((2041-2022)/I50)^3)))</f>
        <v>0.0704283514599901</v>
      </c>
      <c r="AF50" s="30" t="n">
        <f aca="false">AE50*(1-IF((2042-2022)/I50&gt;=1,J50,H50+(J50-H50)*(3*((2042-2022)/I50)^2-2*((2042-2022)/I50)^3)))</f>
        <v>0.0694564402098422</v>
      </c>
      <c r="AG50" s="30" t="n">
        <f aca="false">AF50*(1-IF((2043-2022)/I50&gt;=1,J50,H50+(J50-H50)*(3*((2043-2022)/I50)^2-2*((2043-2022)/I50)^3)))</f>
        <v>0.0684979413349464</v>
      </c>
      <c r="AH50" s="30" t="n">
        <f aca="false">AG50*(1-IF((2044-2022)/I50&gt;=1,J50,H50+(J50-H50)*(3*((2044-2022)/I50)^2-2*((2044-2022)/I50)^3)))</f>
        <v>0.0675526697445241</v>
      </c>
      <c r="AI50" s="30" t="n">
        <f aca="false">AH50*(1-IF((2045-2022)/I50&gt;=1,J50,H50+(J50-H50)*(3*((2045-2022)/I50)^2-2*((2045-2022)/I50)^3)))</f>
        <v>0.0666204429020497</v>
      </c>
      <c r="AJ50" s="30" t="n">
        <f aca="false">AI50*(1-IF((2046-2022)/I50&gt;=1,J50,H50+(J50-H50)*(3*((2046-2022)/I50)^2-2*((2046-2022)/I50)^3)))</f>
        <v>0.0657010807900014</v>
      </c>
      <c r="AK50" s="30" t="n">
        <f aca="false">AJ50*(1-IF((2047-2022)/I50&gt;=1,J50,H50+(J50-H50)*(3*((2047-2022)/I50)^2-2*((2047-2022)/I50)^3)))</f>
        <v>0.0647944058750993</v>
      </c>
      <c r="AL50" s="30" t="n">
        <f aca="false">AK50*(1-IF((2048-2022)/I50&gt;=1,J50,H50+(J50-H50)*(3*((2048-2022)/I50)^2-2*((2048-2022)/I50)^3)))</f>
        <v>0.063900243074023</v>
      </c>
      <c r="AM50" s="30" t="n">
        <f aca="false">AL50*(1-IF((2049-2022)/I50&gt;=1,J50,H50+(J50-H50)*(3*((2049-2022)/I50)^2-2*((2049-2022)/I50)^3)))</f>
        <v>0.0630184197196014</v>
      </c>
      <c r="AN50" s="30" t="n">
        <f aca="false">AM50*(1-IF((2050-2022)/I50&gt;=1,J50,H50+(J50-H50)*(3*((2050-2022)/I50)^2-2*((2050-2022)/I50)^3)))</f>
        <v>0.0621487655274709</v>
      </c>
      <c r="AO50" s="30" t="n">
        <f aca="false">AN50*(1-IF((2051-2022)/I50&gt;=1,J50,H50+(J50-H50)*(3*((2051-2022)/I50)^2-2*((2051-2022)/I50)^3)))</f>
        <v>0.0612911125631918</v>
      </c>
      <c r="AP50" s="30" t="n">
        <f aca="false">AO50*(1-IF((2052-2022)/I50&gt;=1,J50,H50+(J50-H50)*(3*((2052-2022)/I50)^2-2*((2052-2022)/I50)^3)))</f>
        <v>0.0604452952098198</v>
      </c>
      <c r="AQ50" s="30" t="n">
        <f aca="false">AP50*(1-IF((2053-2022)/I50&gt;=1,J50,H50+(J50-H50)*(3*((2053-2022)/I50)^2-2*((2053-2022)/I50)^3)))</f>
        <v>0.0596111501359243</v>
      </c>
      <c r="AR50" s="30" t="n">
        <f aca="false">AQ50*(1-IF((2054-2022)/I50&gt;=1,J50,H50+(J50-H50)*(3*((2054-2022)/I50)^2-2*((2054-2022)/I50)^3)))</f>
        <v>0.0587885162640485</v>
      </c>
      <c r="AS50" s="30" t="n">
        <f aca="false">AR50*(1-IF((2055-2022)/I50&gt;=1,J50,H50+(J50-H50)*(3*((2055-2022)/I50)^2-2*((2055-2022)/I50)^3)))</f>
        <v>0.0579772347396046</v>
      </c>
      <c r="AT50" s="30" t="n">
        <f aca="false">AS50*(1-IF((2056-2022)/I50&gt;=1,J50,H50+(J50-H50)*(3*((2056-2022)/I50)^2-2*((2056-2022)/I50)^3)))</f>
        <v>0.0571771489001981</v>
      </c>
      <c r="AU50" s="30" t="n">
        <f aca="false">AT50*(1-IF((2057-2022)/I50&gt;=1,J50,H50+(J50-H50)*(3*((2057-2022)/I50)^2-2*((2057-2022)/I50)^3)))</f>
        <v>0.0563881042453754</v>
      </c>
      <c r="AV50" s="30" t="n">
        <f aca="false">AU50*(1-IF((2058-2022)/I50&gt;=1,J50,H50+(J50-H50)*(3*((2058-2022)/I50)^2-2*((2058-2022)/I50)^3)))</f>
        <v>0.0556099484067892</v>
      </c>
      <c r="AW50" s="30" t="n">
        <f aca="false">AV50*(1-IF((2059-2022)/I50&gt;=1,J50,H50+(J50-H50)*(3*((2059-2022)/I50)^2-2*((2059-2022)/I50)^3)))</f>
        <v>0.0548425311187755</v>
      </c>
      <c r="AX50" s="30" t="n">
        <f aca="false">AW50*(1-IF((2060-2022)/I50&gt;=1,J50,H50+(J50-H50)*(3*((2060-2022)/I50)^2-2*((2060-2022)/I50)^3)))</f>
        <v>0.0540857041893364</v>
      </c>
      <c r="AY50" s="30" t="n">
        <f aca="false">AX50*(1-IF((2061-2022)/I50&gt;=1,J50,H50+(J50-H50)*(3*((2061-2022)/I50)^2-2*((2061-2022)/I50)^3)))</f>
        <v>0.0533393214715235</v>
      </c>
      <c r="AZ50" s="30" t="n">
        <f aca="false">AY50*(1-IF((2062-2022)/I50&gt;=1,J50,H50+(J50-H50)*(3*((2062-2022)/I50)^2-2*((2062-2022)/I50)^3)))</f>
        <v>0.0526032388352165</v>
      </c>
      <c r="BA50" s="30" t="n">
        <f aca="false">AZ50*(1-IF((2063-2022)/I50&gt;=1,J50,H50+(J50-H50)*(3*((2063-2022)/I50)^2-2*((2063-2022)/I50)^3)))</f>
        <v>0.0518773141392905</v>
      </c>
      <c r="BB50" s="30" t="n">
        <f aca="false">BA50*(1-IF((2064-2022)/I50&gt;=1,J50,H50+(J50-H50)*(3*((2064-2022)/I50)^2-2*((2064-2022)/I50)^3)))</f>
        <v>0.0511614072041683</v>
      </c>
      <c r="BC50" s="30" t="n">
        <f aca="false">BB50*(1-IF((2065-2022)/I50&gt;=1,J50,H50+(J50-H50)*(3*((2065-2022)/I50)^2-2*((2065-2022)/I50)^3)))</f>
        <v>0.0504553797847508</v>
      </c>
      <c r="BD50" s="30" t="n">
        <f aca="false">BC50*(1-IF((2066-2022)/I50&gt;=1,J50,H50+(J50-H50)*(3*((2066-2022)/I50)^2-2*((2066-2022)/I50)^3)))</f>
        <v>0.0497590955437212</v>
      </c>
      <c r="BE50" s="30" t="n">
        <f aca="false">BD50*(1-IF((2067-2022)/I50&gt;=1,J50,H50+(J50-H50)*(3*((2067-2022)/I50)^2-2*((2067-2022)/I50)^3)))</f>
        <v>0.0490724200252179</v>
      </c>
      <c r="BF50" s="30" t="n">
        <f aca="false">BE50*(1-IF((2068-2022)/I50&gt;=1,J50,H50+(J50-H50)*(3*((2068-2022)/I50)^2-2*((2068-2022)/I50)^3)))</f>
        <v>0.0483952206288699</v>
      </c>
      <c r="BG50" s="30" t="n">
        <f aca="false">BF50*(1-IF((2069-2022)/I50&gt;=1,J50,H50+(J50-H50)*(3*((2069-2022)/I50)^2-2*((2069-2022)/I50)^3)))</f>
        <v>0.0477273665841915</v>
      </c>
      <c r="BH50" s="30" t="n">
        <f aca="false">BG50*(1-IF((2070-2022)/I50&gt;=1,J50,H50+(J50-H50)*(3*((2070-2022)/I50)^2-2*((2070-2022)/I50)^3)))</f>
        <v>0.0470687289253296</v>
      </c>
      <c r="BI50" s="30" t="n">
        <f aca="false">BH50*(1-IF((2071-2022)/I50&gt;=1,J50,H50+(J50-H50)*(3*((2071-2022)/I50)^2-2*((2071-2022)/I50)^3)))</f>
        <v>0.0464191804661601</v>
      </c>
      <c r="BJ50" s="30" t="n">
        <f aca="false">BI50*(1-IF((2072-2022)/I50&gt;=1,J50,H50+(J50-H50)*(3*((2072-2022)/I50)^2-2*((2072-2022)/I50)^3)))</f>
        <v>0.0457785957757271</v>
      </c>
      <c r="BK50" s="30" t="n">
        <f aca="false">BJ50*(1-IF((2073-2022)/I50&gt;=1,J50,H50+(J50-H50)*(3*((2073-2022)/I50)^2-2*((2073-2022)/I50)^3)))</f>
        <v>0.045146851154022</v>
      </c>
      <c r="BL50" s="30" t="n">
        <f aca="false">BK50*(1-IF((2074-2022)/I50&gt;=1,J50,H50+(J50-H50)*(3*((2074-2022)/I50)^2-2*((2074-2022)/I50)^3)))</f>
        <v>0.0445238246080965</v>
      </c>
      <c r="BM50" s="30" t="n">
        <f aca="false">BL50*(1-IF((2075-2022)/I50&gt;=1,J50,H50+(J50-H50)*(3*((2075-2022)/I50)^2-2*((2075-2022)/I50)^3)))</f>
        <v>0.0439093958285048</v>
      </c>
      <c r="BN50" s="30" t="n">
        <f aca="false">BM50*(1-IF((2076-2022)/I50&gt;=1,J50,H50+(J50-H50)*(3*((2076-2022)/I50)^2-2*((2076-2022)/I50)^3)))</f>
        <v>0.0433034461660714</v>
      </c>
      <c r="BO50" s="30" t="n">
        <f aca="false">BN50*(1-IF((2077-2022)/I50&gt;=1,J50,H50+(J50-H50)*(3*((2077-2022)/I50)^2-2*((2077-2022)/I50)^3)))</f>
        <v>0.0427058586089796</v>
      </c>
      <c r="BP50" s="30" t="n">
        <f aca="false">BO50*(1-IF((2078-2022)/I50&gt;=1,J50,H50+(J50-H50)*(3*((2078-2022)/I50)^2-2*((2078-2022)/I50)^3)))</f>
        <v>0.0421165177601757</v>
      </c>
      <c r="BQ50" s="30" t="n">
        <f aca="false">BP50*(1-IF((2079-2022)/I50&gt;=1,J50,H50+(J50-H50)*(3*((2079-2022)/I50)^2-2*((2079-2022)/I50)^3)))</f>
        <v>0.0415353098150853</v>
      </c>
      <c r="BR50" s="30" t="n">
        <f aca="false">BQ50*(1-IF((2080-2022)/I50&gt;=1,J50,H50+(J50-H50)*(3*((2080-2022)/I50)^2-2*((2080-2022)/I50)^3)))</f>
        <v>0.0409621225396371</v>
      </c>
      <c r="BS50" s="30" t="n">
        <f aca="false">BR50*(1-IF((2081-2022)/I50&gt;=1,J50,H50+(J50-H50)*(3*((2081-2022)/I50)^2-2*((2081-2022)/I50)^3)))</f>
        <v>0.0403968452485901</v>
      </c>
      <c r="BT50" s="30" t="n">
        <f aca="false">BS50*(1-IF((2082-2022)/I50&gt;=1,J50,H50+(J50-H50)*(3*((2082-2022)/I50)^2-2*((2082-2022)/I50)^3)))</f>
        <v>0.0398393687841596</v>
      </c>
      <c r="BU50" s="30" t="n">
        <f aca="false">BT50*(1-IF((2083-2022)/I50&gt;=1,J50,H50+(J50-H50)*(3*((2083-2022)/I50)^2-2*((2083-2022)/I50)^3)))</f>
        <v>0.0392895854949382</v>
      </c>
      <c r="BV50" s="30" t="n">
        <f aca="false">BU50*(1-IF((2084-2022)/I50&gt;=1,J50,H50+(J50-H50)*(3*((2084-2022)/I50)^2-2*((2084-2022)/I50)^3)))</f>
        <v>0.038747389215108</v>
      </c>
      <c r="BW50" s="30" t="n">
        <f aca="false">BV50*(1-IF((2085-2022)/I50&gt;=1,J50,H50+(J50-H50)*(3*((2085-2022)/I50)^2-2*((2085-2022)/I50)^3)))</f>
        <v>0.0382126752439395</v>
      </c>
      <c r="BX50" s="30" t="n">
        <f aca="false">BW50*(1-IF((2086-2022)/I50&gt;=1,J50,H50+(J50-H50)*(3*((2086-2022)/I50)^2-2*((2086-2022)/I50)^3)))</f>
        <v>0.0376853403255732</v>
      </c>
      <c r="BY50" s="30" t="n">
        <f aca="false">BX50*(1-IF((2087-2022)/I50&gt;=1,J50,H50+(J50-H50)*(3*((2087-2022)/I50)^2-2*((2087-2022)/I50)^3)))</f>
        <v>0.0371652826290803</v>
      </c>
      <c r="BZ50" s="30" t="n">
        <f aca="false">BY50*(1-IF((2088-2022)/I50&gt;=1,J50,H50+(J50-H50)*(3*((2088-2022)/I50)^2-2*((2088-2022)/I50)^3)))</f>
        <v>0.0366524017287989</v>
      </c>
      <c r="CA50" s="30" t="n">
        <f aca="false">BZ50*(1-IF((2089-2022)/I50&gt;=1,J50,H50+(J50-H50)*(3*((2089-2022)/I50)^2-2*((2089-2022)/I50)^3)))</f>
        <v>0.0361465985849415</v>
      </c>
      <c r="CB50" s="30" t="n">
        <f aca="false">CA50*(1-IF((2090-2022)/I50&gt;=1,J50,H50+(J50-H50)*(3*((2090-2022)/I50)^2-2*((2090-2022)/I50)^3)))</f>
        <v>0.0356477755244693</v>
      </c>
      <c r="CC50" s="30" t="n">
        <f aca="false">CB50*(1-IF((2091-2022)/I50&gt;=1,J50,H50+(J50-H50)*(3*((2091-2022)/I50)^2-2*((2091-2022)/I50)^3)))</f>
        <v>0.0351558362222316</v>
      </c>
    </row>
    <row r="51" customFormat="false" ht="15" hidden="false" customHeight="true" outlineLevel="0" collapsed="false">
      <c r="A51" s="3" t="n">
        <v>88</v>
      </c>
      <c r="B51" s="30" t="n">
        <f aca="false">IF($A51&lt;=105,INDEX(ILT17_Source!$D$7:$D$52,MATCH($A51,ILT17_Source!$A$7:$A$52,0)),($B$16*EXP($B$17*$A51))/(1+$B$16*EXP($B$17*$A51)))</f>
        <v>0.132068805</v>
      </c>
      <c r="C51" s="31" t="n">
        <f aca="false">LOOKUP($A51,{60,65,70,75,80,85,90,95},{0.78,0.82,0.85,0.88,0.91,0.94,0.97,1})</f>
        <v>0.94</v>
      </c>
      <c r="D51" s="30" t="n">
        <f aca="false">B51*C51</f>
        <v>0.1241446767</v>
      </c>
      <c r="E51" s="30" t="n">
        <f aca="false">1/(1+EXP(-(($B$6+$B$8*(2016-2022))+($B$7+$B$9*(2016-2022))*($A51-$B$10))))</f>
        <v>0.12264271789661</v>
      </c>
      <c r="F51" s="30" t="n">
        <f aca="false">1/(1+EXP(-(($B$6+$B$8*(2021-2022))+($B$7+$B$9*(2021-2022))*($A51-$B$10))))</f>
        <v>0.115090975000221</v>
      </c>
      <c r="G51" s="30" t="n">
        <f aca="false">1/(1+EXP(-(($B$6+$B$8*(2022-2022))+($B$7+$B$9*(2022-2022))*($A51-$B$10))))</f>
        <v>0.113630036966431</v>
      </c>
      <c r="H51" s="32" t="n">
        <f aca="false">(F51-G51)/F51</f>
        <v>0.0126937671158613</v>
      </c>
      <c r="I51" s="38" t="n">
        <f aca="false">IF($A51&lt;=50,$B$14,IF($A51&gt;=95,$B$15,$B$14+($B$15-$B$14)*($A51-50)/(95-50)))</f>
        <v>7.33333333333333</v>
      </c>
      <c r="J51" s="39" t="n">
        <f aca="false">IF($A51&lt;=$B$12,$B$11,IF($A51&gt;=$B$13,0,$B$11*($B$13-$A51)/($B$13-$B$12)))</f>
        <v>0.0132</v>
      </c>
      <c r="K51" s="30" t="n">
        <f aca="false">D51*G51/E51</f>
        <v>0.115021620888235</v>
      </c>
      <c r="L51" s="30" t="n">
        <f aca="false">K51*$B$19</f>
        <v>0.103519458799412</v>
      </c>
      <c r="M51" s="30" t="n">
        <f aca="false">L51*(1-IF((2023-2022)/I51&gt;=1,J51,H51+(J51-H51)*(3*((2023-2022)/I51)^2-2*((2023-2022)/I51)^3)))</f>
        <v>0.102202749245755</v>
      </c>
      <c r="N51" s="30" t="n">
        <f aca="false">M51*(1-IF((2024-2022)/I51&gt;=1,J51,H51+(J51-H51)*(3*((2024-2022)/I51)^2-2*((2024-2022)/I51)^3)))</f>
        <v>0.100895965495951</v>
      </c>
      <c r="O51" s="30" t="n">
        <f aca="false">N51*(1-IF((2025-2022)/I51&gt;=1,J51,H51+(J51-H51)*(3*((2025-2022)/I51)^2-2*((2025-2022)/I51)^3)))</f>
        <v>0.09959656545538</v>
      </c>
      <c r="P51" s="30" t="n">
        <f aca="false">O51*(1-IF((2026-2022)/I51&gt;=1,J51,H51+(J51-H51)*(3*((2026-2022)/I51)^2-2*((2026-2022)/I51)^3)))</f>
        <v>0.0983036721268566</v>
      </c>
      <c r="Q51" s="30" t="n">
        <f aca="false">P51*(1-IF((2027-2022)/I51&gt;=1,J51,H51+(J51-H51)*(3*((2027-2022)/I51)^2-2*((2027-2022)/I51)^3)))</f>
        <v>0.0970179720016196</v>
      </c>
      <c r="R51" s="30" t="n">
        <f aca="false">Q51*(1-IF((2028-2022)/I51&gt;=1,J51,H51+(J51-H51)*(3*((2028-2022)/I51)^2-2*((2028-2022)/I51)^3)))</f>
        <v>0.0957416151527026</v>
      </c>
      <c r="S51" s="30" t="n">
        <f aca="false">R51*(1-IF((2029-2022)/I51&gt;=1,J51,H51+(J51-H51)*(3*((2029-2022)/I51)^2-2*((2029-2022)/I51)^3)))</f>
        <v>0.0944781171478123</v>
      </c>
      <c r="T51" s="30" t="n">
        <f aca="false">S51*(1-IF((2030-2022)/I51&gt;=1,J51,H51+(J51-H51)*(3*((2030-2022)/I51)^2-2*((2030-2022)/I51)^3)))</f>
        <v>0.0932310060014611</v>
      </c>
      <c r="U51" s="30" t="n">
        <f aca="false">T51*(1-IF((2031-2022)/I51&gt;=1,J51,H51+(J51-H51)*(3*((2031-2022)/I51)^2-2*((2031-2022)/I51)^3)))</f>
        <v>0.0920003567222419</v>
      </c>
      <c r="V51" s="30" t="n">
        <f aca="false">U51*(1-IF((2032-2022)/I51&gt;=1,J51,H51+(J51-H51)*(3*((2032-2022)/I51)^2-2*((2032-2022)/I51)^3)))</f>
        <v>0.0907859520135083</v>
      </c>
      <c r="W51" s="30" t="n">
        <f aca="false">V51*(1-IF((2033-2022)/I51&gt;=1,J51,H51+(J51-H51)*(3*((2033-2022)/I51)^2-2*((2033-2022)/I51)^3)))</f>
        <v>0.08958757744693</v>
      </c>
      <c r="X51" s="30" t="n">
        <f aca="false">W51*(1-IF((2034-2022)/I51&gt;=1,J51,H51+(J51-H51)*(3*((2034-2022)/I51)^2-2*((2034-2022)/I51)^3)))</f>
        <v>0.0884050214246305</v>
      </c>
      <c r="Y51" s="30" t="n">
        <f aca="false">X51*(1-IF((2035-2022)/I51&gt;=1,J51,H51+(J51-H51)*(3*((2035-2022)/I51)^2-2*((2035-2022)/I51)^3)))</f>
        <v>0.0872380751418254</v>
      </c>
      <c r="Z51" s="30" t="n">
        <f aca="false">Y51*(1-IF((2036-2022)/I51&gt;=1,J51,H51+(J51-H51)*(3*((2036-2022)/I51)^2-2*((2036-2022)/I51)^3)))</f>
        <v>0.0860865325499533</v>
      </c>
      <c r="AA51" s="30" t="n">
        <f aca="false">Z51*(1-IF((2037-2022)/I51&gt;=1,J51,H51+(J51-H51)*(3*((2037-2022)/I51)^2-2*((2037-2022)/I51)^3)))</f>
        <v>0.0849501903202939</v>
      </c>
      <c r="AB51" s="30" t="n">
        <f aca="false">AA51*(1-IF((2038-2022)/I51&gt;=1,J51,H51+(J51-H51)*(3*((2038-2022)/I51)^2-2*((2038-2022)/I51)^3)))</f>
        <v>0.083828847808066</v>
      </c>
      <c r="AC51" s="30" t="n">
        <f aca="false">AB51*(1-IF((2039-2022)/I51&gt;=1,J51,H51+(J51-H51)*(3*((2039-2022)/I51)^2-2*((2039-2022)/I51)^3)))</f>
        <v>0.0827223070169995</v>
      </c>
      <c r="AD51" s="30" t="n">
        <f aca="false">AC51*(1-IF((2040-2022)/I51&gt;=1,J51,H51+(J51-H51)*(3*((2040-2022)/I51)^2-2*((2040-2022)/I51)^3)))</f>
        <v>0.0816303725643751</v>
      </c>
      <c r="AE51" s="30" t="n">
        <f aca="false">AD51*(1-IF((2041-2022)/I51&gt;=1,J51,H51+(J51-H51)*(3*((2041-2022)/I51)^2-2*((2041-2022)/I51)^3)))</f>
        <v>0.0805528516465254</v>
      </c>
      <c r="AF51" s="30" t="n">
        <f aca="false">AE51*(1-IF((2042-2022)/I51&gt;=1,J51,H51+(J51-H51)*(3*((2042-2022)/I51)^2-2*((2042-2022)/I51)^3)))</f>
        <v>0.0794895540047913</v>
      </c>
      <c r="AG51" s="30" t="n">
        <f aca="false">AF51*(1-IF((2043-2022)/I51&gt;=1,J51,H51+(J51-H51)*(3*((2043-2022)/I51)^2-2*((2043-2022)/I51)^3)))</f>
        <v>0.078440291891928</v>
      </c>
      <c r="AH51" s="30" t="n">
        <f aca="false">AG51*(1-IF((2044-2022)/I51&gt;=1,J51,H51+(J51-H51)*(3*((2044-2022)/I51)^2-2*((2044-2022)/I51)^3)))</f>
        <v>0.0774048800389546</v>
      </c>
      <c r="AI51" s="30" t="n">
        <f aca="false">AH51*(1-IF((2045-2022)/I51&gt;=1,J51,H51+(J51-H51)*(3*((2045-2022)/I51)^2-2*((2045-2022)/I51)^3)))</f>
        <v>0.0763831356224404</v>
      </c>
      <c r="AJ51" s="30" t="n">
        <f aca="false">AI51*(1-IF((2046-2022)/I51&gt;=1,J51,H51+(J51-H51)*(3*((2046-2022)/I51)^2-2*((2046-2022)/I51)^3)))</f>
        <v>0.0753748782322242</v>
      </c>
      <c r="AK51" s="30" t="n">
        <f aca="false">AJ51*(1-IF((2047-2022)/I51&gt;=1,J51,H51+(J51-H51)*(3*((2047-2022)/I51)^2-2*((2047-2022)/I51)^3)))</f>
        <v>0.0743799298395588</v>
      </c>
      <c r="AL51" s="30" t="n">
        <f aca="false">AK51*(1-IF((2048-2022)/I51&gt;=1,J51,H51+(J51-H51)*(3*((2048-2022)/I51)^2-2*((2048-2022)/I51)^3)))</f>
        <v>0.0733981147656766</v>
      </c>
      <c r="AM51" s="30" t="n">
        <f aca="false">AL51*(1-IF((2049-2022)/I51&gt;=1,J51,H51+(J51-H51)*(3*((2049-2022)/I51)^2-2*((2049-2022)/I51)^3)))</f>
        <v>0.0724292596507697</v>
      </c>
      <c r="AN51" s="30" t="n">
        <f aca="false">AM51*(1-IF((2050-2022)/I51&gt;=1,J51,H51+(J51-H51)*(3*((2050-2022)/I51)^2-2*((2050-2022)/I51)^3)))</f>
        <v>0.0714731934233795</v>
      </c>
      <c r="AO51" s="30" t="n">
        <f aca="false">AN51*(1-IF((2051-2022)/I51&gt;=1,J51,H51+(J51-H51)*(3*((2051-2022)/I51)^2-2*((2051-2022)/I51)^3)))</f>
        <v>0.0705297472701909</v>
      </c>
      <c r="AP51" s="30" t="n">
        <f aca="false">AO51*(1-IF((2052-2022)/I51&gt;=1,J51,H51+(J51-H51)*(3*((2052-2022)/I51)^2-2*((2052-2022)/I51)^3)))</f>
        <v>0.0695987546062244</v>
      </c>
      <c r="AQ51" s="30" t="n">
        <f aca="false">AP51*(1-IF((2053-2022)/I51&gt;=1,J51,H51+(J51-H51)*(3*((2053-2022)/I51)^2-2*((2053-2022)/I51)^3)))</f>
        <v>0.0686800510454222</v>
      </c>
      <c r="AR51" s="30" t="n">
        <f aca="false">AQ51*(1-IF((2054-2022)/I51&gt;=1,J51,H51+(J51-H51)*(3*((2054-2022)/I51)^2-2*((2054-2022)/I51)^3)))</f>
        <v>0.0677734743716227</v>
      </c>
      <c r="AS51" s="30" t="n">
        <f aca="false">AR51*(1-IF((2055-2022)/I51&gt;=1,J51,H51+(J51-H51)*(3*((2055-2022)/I51)^2-2*((2055-2022)/I51)^3)))</f>
        <v>0.0668788645099172</v>
      </c>
      <c r="AT51" s="30" t="n">
        <f aca="false">AS51*(1-IF((2056-2022)/I51&gt;=1,J51,H51+(J51-H51)*(3*((2056-2022)/I51)^2-2*((2056-2022)/I51)^3)))</f>
        <v>0.0659960634983863</v>
      </c>
      <c r="AU51" s="30" t="n">
        <f aca="false">AT51*(1-IF((2057-2022)/I51&gt;=1,J51,H51+(J51-H51)*(3*((2057-2022)/I51)^2-2*((2057-2022)/I51)^3)))</f>
        <v>0.0651249154602076</v>
      </c>
      <c r="AV51" s="30" t="n">
        <f aca="false">AU51*(1-IF((2058-2022)/I51&gt;=1,J51,H51+(J51-H51)*(3*((2058-2022)/I51)^2-2*((2058-2022)/I51)^3)))</f>
        <v>0.0642652665761329</v>
      </c>
      <c r="AW51" s="30" t="n">
        <f aca="false">AV51*(1-IF((2059-2022)/I51&gt;=1,J51,H51+(J51-H51)*(3*((2059-2022)/I51)^2-2*((2059-2022)/I51)^3)))</f>
        <v>0.0634169650573279</v>
      </c>
      <c r="AX51" s="30" t="n">
        <f aca="false">AW51*(1-IF((2060-2022)/I51&gt;=1,J51,H51+(J51-H51)*(3*((2060-2022)/I51)^2-2*((2060-2022)/I51)^3)))</f>
        <v>0.0625798611185712</v>
      </c>
      <c r="AY51" s="30" t="n">
        <f aca="false">AX51*(1-IF((2061-2022)/I51&gt;=1,J51,H51+(J51-H51)*(3*((2061-2022)/I51)^2-2*((2061-2022)/I51)^3)))</f>
        <v>0.0617538069518061</v>
      </c>
      <c r="AZ51" s="30" t="n">
        <f aca="false">AY51*(1-IF((2062-2022)/I51&gt;=1,J51,H51+(J51-H51)*(3*((2062-2022)/I51)^2-2*((2062-2022)/I51)^3)))</f>
        <v>0.0609386567000422</v>
      </c>
      <c r="BA51" s="30" t="n">
        <f aca="false">AZ51*(1-IF((2063-2022)/I51&gt;=1,J51,H51+(J51-H51)*(3*((2063-2022)/I51)^2-2*((2063-2022)/I51)^3)))</f>
        <v>0.0601342664316017</v>
      </c>
      <c r="BB51" s="30" t="n">
        <f aca="false">BA51*(1-IF((2064-2022)/I51&gt;=1,J51,H51+(J51-H51)*(3*((2064-2022)/I51)^2-2*((2064-2022)/I51)^3)))</f>
        <v>0.0593404941147045</v>
      </c>
      <c r="BC51" s="30" t="n">
        <f aca="false">BB51*(1-IF((2065-2022)/I51&gt;=1,J51,H51+(J51-H51)*(3*((2065-2022)/I51)^2-2*((2065-2022)/I51)^3)))</f>
        <v>0.0585571995923904</v>
      </c>
      <c r="BD51" s="30" t="n">
        <f aca="false">BC51*(1-IF((2066-2022)/I51&gt;=1,J51,H51+(J51-H51)*(3*((2066-2022)/I51)^2-2*((2066-2022)/I51)^3)))</f>
        <v>0.0577842445577709</v>
      </c>
      <c r="BE51" s="30" t="n">
        <f aca="false">BD51*(1-IF((2067-2022)/I51&gt;=1,J51,H51+(J51-H51)*(3*((2067-2022)/I51)^2-2*((2067-2022)/I51)^3)))</f>
        <v>0.0570214925296083</v>
      </c>
      <c r="BF51" s="30" t="n">
        <f aca="false">BE51*(1-IF((2068-2022)/I51&gt;=1,J51,H51+(J51-H51)*(3*((2068-2022)/I51)^2-2*((2068-2022)/I51)^3)))</f>
        <v>0.0562688088282175</v>
      </c>
      <c r="BG51" s="30" t="n">
        <f aca="false">BF51*(1-IF((2069-2022)/I51&gt;=1,J51,H51+(J51-H51)*(3*((2069-2022)/I51)^2-2*((2069-2022)/I51)^3)))</f>
        <v>0.055526060551685</v>
      </c>
      <c r="BH51" s="30" t="n">
        <f aca="false">BG51*(1-IF((2070-2022)/I51&gt;=1,J51,H51+(J51-H51)*(3*((2070-2022)/I51)^2-2*((2070-2022)/I51)^3)))</f>
        <v>0.0547931165524028</v>
      </c>
      <c r="BI51" s="30" t="n">
        <f aca="false">BH51*(1-IF((2071-2022)/I51&gt;=1,J51,H51+(J51-H51)*(3*((2071-2022)/I51)^2-2*((2071-2022)/I51)^3)))</f>
        <v>0.0540698474139111</v>
      </c>
      <c r="BJ51" s="30" t="n">
        <f aca="false">BI51*(1-IF((2072-2022)/I51&gt;=1,J51,H51+(J51-H51)*(3*((2072-2022)/I51)^2-2*((2072-2022)/I51)^3)))</f>
        <v>0.0533561254280474</v>
      </c>
      <c r="BK51" s="30" t="n">
        <f aca="false">BJ51*(1-IF((2073-2022)/I51&gt;=1,J51,H51+(J51-H51)*(3*((2073-2022)/I51)^2-2*((2073-2022)/I51)^3)))</f>
        <v>0.0526518245723972</v>
      </c>
      <c r="BL51" s="30" t="n">
        <f aca="false">BK51*(1-IF((2074-2022)/I51&gt;=1,J51,H51+(J51-H51)*(3*((2074-2022)/I51)^2-2*((2074-2022)/I51)^3)))</f>
        <v>0.0519568204880416</v>
      </c>
      <c r="BM51" s="30" t="n">
        <f aca="false">BL51*(1-IF((2075-2022)/I51&gt;=1,J51,H51+(J51-H51)*(3*((2075-2022)/I51)^2-2*((2075-2022)/I51)^3)))</f>
        <v>0.0512709904575994</v>
      </c>
      <c r="BN51" s="30" t="n">
        <f aca="false">BM51*(1-IF((2076-2022)/I51&gt;=1,J51,H51+(J51-H51)*(3*((2076-2022)/I51)^2-2*((2076-2022)/I51)^3)))</f>
        <v>0.0505942133835591</v>
      </c>
      <c r="BO51" s="30" t="n">
        <f aca="false">BN51*(1-IF((2077-2022)/I51&gt;=1,J51,H51+(J51-H51)*(3*((2077-2022)/I51)^2-2*((2077-2022)/I51)^3)))</f>
        <v>0.0499263697668961</v>
      </c>
      <c r="BP51" s="30" t="n">
        <f aca="false">BO51*(1-IF((2078-2022)/I51&gt;=1,J51,H51+(J51-H51)*(3*((2078-2022)/I51)^2-2*((2078-2022)/I51)^3)))</f>
        <v>0.0492673416859731</v>
      </c>
      <c r="BQ51" s="30" t="n">
        <f aca="false">BP51*(1-IF((2079-2022)/I51&gt;=1,J51,H51+(J51-H51)*(3*((2079-2022)/I51)^2-2*((2079-2022)/I51)^3)))</f>
        <v>0.0486170127757183</v>
      </c>
      <c r="BR51" s="30" t="n">
        <f aca="false">BQ51*(1-IF((2080-2022)/I51&gt;=1,J51,H51+(J51-H51)*(3*((2080-2022)/I51)^2-2*((2080-2022)/I51)^3)))</f>
        <v>0.0479752682070788</v>
      </c>
      <c r="BS51" s="30" t="n">
        <f aca="false">BR51*(1-IF((2081-2022)/I51&gt;=1,J51,H51+(J51-H51)*(3*((2081-2022)/I51)^2-2*((2081-2022)/I51)^3)))</f>
        <v>0.0473419946667453</v>
      </c>
      <c r="BT51" s="30" t="n">
        <f aca="false">BS51*(1-IF((2082-2022)/I51&gt;=1,J51,H51+(J51-H51)*(3*((2082-2022)/I51)^2-2*((2082-2022)/I51)^3)))</f>
        <v>0.0467170803371443</v>
      </c>
      <c r="BU51" s="30" t="n">
        <f aca="false">BT51*(1-IF((2083-2022)/I51&gt;=1,J51,H51+(J51-H51)*(3*((2083-2022)/I51)^2-2*((2083-2022)/I51)^3)))</f>
        <v>0.046100414876694</v>
      </c>
      <c r="BV51" s="30" t="n">
        <f aca="false">BU51*(1-IF((2084-2022)/I51&gt;=1,J51,H51+(J51-H51)*(3*((2084-2022)/I51)^2-2*((2084-2022)/I51)^3)))</f>
        <v>0.0454918894003216</v>
      </c>
      <c r="BW51" s="30" t="n">
        <f aca="false">BV51*(1-IF((2085-2022)/I51&gt;=1,J51,H51+(J51-H51)*(3*((2085-2022)/I51)^2-2*((2085-2022)/I51)^3)))</f>
        <v>0.0448913964602374</v>
      </c>
      <c r="BX51" s="30" t="n">
        <f aca="false">BW51*(1-IF((2086-2022)/I51&gt;=1,J51,H51+(J51-H51)*(3*((2086-2022)/I51)^2-2*((2086-2022)/I51)^3)))</f>
        <v>0.0442988300269622</v>
      </c>
      <c r="BY51" s="30" t="n">
        <f aca="false">BX51*(1-IF((2087-2022)/I51&gt;=1,J51,H51+(J51-H51)*(3*((2087-2022)/I51)^2-2*((2087-2022)/I51)^3)))</f>
        <v>0.0437140854706063</v>
      </c>
      <c r="BZ51" s="30" t="n">
        <f aca="false">BY51*(1-IF((2088-2022)/I51&gt;=1,J51,H51+(J51-H51)*(3*((2088-2022)/I51)^2-2*((2088-2022)/I51)^3)))</f>
        <v>0.0431370595423943</v>
      </c>
      <c r="CA51" s="30" t="n">
        <f aca="false">BZ51*(1-IF((2089-2022)/I51&gt;=1,J51,H51+(J51-H51)*(3*((2089-2022)/I51)^2-2*((2089-2022)/I51)^3)))</f>
        <v>0.0425676503564347</v>
      </c>
      <c r="CB51" s="30" t="n">
        <f aca="false">CA51*(1-IF((2090-2022)/I51&gt;=1,J51,H51+(J51-H51)*(3*((2090-2022)/I51)^2-2*((2090-2022)/I51)^3)))</f>
        <v>0.0420057573717298</v>
      </c>
      <c r="CC51" s="30" t="n">
        <f aca="false">CB51*(1-IF((2091-2022)/I51&gt;=1,J51,H51+(J51-H51)*(3*((2091-2022)/I51)^2-2*((2091-2022)/I51)^3)))</f>
        <v>0.041451281374423</v>
      </c>
    </row>
    <row r="52" customFormat="false" ht="15" hidden="false" customHeight="true" outlineLevel="0" collapsed="false">
      <c r="A52" s="3" t="n">
        <v>89</v>
      </c>
      <c r="B52" s="30" t="n">
        <f aca="false">IF($A52&lt;=105,INDEX(ILT17_Source!$D$7:$D$52,MATCH($A52,ILT17_Source!$A$7:$A$52,0)),($B$16*EXP($B$17*$A52))/(1+$B$16*EXP($B$17*$A52)))</f>
        <v>0.14841341</v>
      </c>
      <c r="C52" s="31" t="n">
        <f aca="false">LOOKUP($A52,{60,65,70,75,80,85,90,95},{0.78,0.82,0.85,0.88,0.91,0.94,0.97,1})</f>
        <v>0.94</v>
      </c>
      <c r="D52" s="30" t="n">
        <f aca="false">B52*C52</f>
        <v>0.1395086054</v>
      </c>
      <c r="E52" s="30" t="n">
        <f aca="false">1/(1+EXP(-(($B$6+$B$8*(2016-2022))+($B$7+$B$9*(2016-2022))*($A52-$B$10))))</f>
        <v>0.135059112193028</v>
      </c>
      <c r="F52" s="30" t="n">
        <f aca="false">1/(1+EXP(-(($B$6+$B$8*(2021-2022))+($B$7+$B$9*(2021-2022))*($A52-$B$10))))</f>
        <v>0.127156369720951</v>
      </c>
      <c r="G52" s="30" t="n">
        <f aca="false">1/(1+EXP(-(($B$6+$B$8*(2022-2022))+($B$7+$B$9*(2022-2022))*($A52-$B$10))))</f>
        <v>0.12562403199125</v>
      </c>
      <c r="H52" s="32" t="n">
        <f aca="false">(F52-G52)/F52</f>
        <v>0.0120508137584011</v>
      </c>
      <c r="I52" s="38" t="n">
        <f aca="false">IF($A52&lt;=50,$B$14,IF($A52&gt;=95,$B$15,$B$14+($B$15-$B$14)*($A52-50)/(95-50)))</f>
        <v>7</v>
      </c>
      <c r="J52" s="39" t="n">
        <f aca="false">IF($A52&lt;=$B$12,$B$11,IF($A52&gt;=$B$13,0,$B$11*($B$13-$A52)/($B$13-$B$12)))</f>
        <v>0.0126</v>
      </c>
      <c r="K52" s="30" t="n">
        <f aca="false">D52*G52/E52</f>
        <v>0.129762688523944</v>
      </c>
      <c r="L52" s="30" t="n">
        <f aca="false">K52*$B$19</f>
        <v>0.116786419671549</v>
      </c>
      <c r="M52" s="30" t="n">
        <f aca="false">L52*(1-IF((2023-2022)/I52&gt;=1,J52,H52+(J52-H52)*(3*((2023-2022)/I52)^2-2*((2023-2022)/I52)^3)))</f>
        <v>0.115375495472738</v>
      </c>
      <c r="N52" s="30" t="n">
        <f aca="false">M52*(1-IF((2024-2022)/I52&gt;=1,J52,H52+(J52-H52)*(3*((2024-2022)/I52)^2-2*((2024-2022)/I52)^3)))</f>
        <v>0.113972565175994</v>
      </c>
      <c r="O52" s="30" t="n">
        <f aca="false">N52*(1-IF((2025-2022)/I52&gt;=1,J52,H52+(J52-H52)*(3*((2025-2022)/I52)^2-2*((2025-2022)/I52)^3)))</f>
        <v>0.112574467619385</v>
      </c>
      <c r="P52" s="30" t="n">
        <f aca="false">O52*(1-IF((2026-2022)/I52&gt;=1,J52,H52+(J52-H52)*(3*((2026-2022)/I52)^2-2*((2026-2022)/I52)^3)))</f>
        <v>0.111180362525877</v>
      </c>
      <c r="Q52" s="30" t="n">
        <f aca="false">P52*(1-IF((2027-2022)/I52&gt;=1,J52,H52+(J52-H52)*(3*((2027-2022)/I52)^2-2*((2027-2022)/I52)^3)))</f>
        <v>0.109791594894872</v>
      </c>
      <c r="R52" s="30" t="n">
        <f aca="false">Q52*(1-IF((2028-2022)/I52&gt;=1,J52,H52+(J52-H52)*(3*((2028-2022)/I52)^2-2*((2028-2022)/I52)^3)))</f>
        <v>0.108411560812706</v>
      </c>
      <c r="S52" s="30" t="n">
        <f aca="false">R52*(1-IF((2029-2022)/I52&gt;=1,J52,H52+(J52-H52)*(3*((2029-2022)/I52)^2-2*((2029-2022)/I52)^3)))</f>
        <v>0.107045575146466</v>
      </c>
      <c r="T52" s="30" t="n">
        <f aca="false">S52*(1-IF((2030-2022)/I52&gt;=1,J52,H52+(J52-H52)*(3*((2030-2022)/I52)^2-2*((2030-2022)/I52)^3)))</f>
        <v>0.10569680089962</v>
      </c>
      <c r="U52" s="30" t="n">
        <f aca="false">T52*(1-IF((2031-2022)/I52&gt;=1,J52,H52+(J52-H52)*(3*((2031-2022)/I52)^2-2*((2031-2022)/I52)^3)))</f>
        <v>0.104365021208285</v>
      </c>
      <c r="V52" s="30" t="n">
        <f aca="false">U52*(1-IF((2032-2022)/I52&gt;=1,J52,H52+(J52-H52)*(3*((2032-2022)/I52)^2-2*((2032-2022)/I52)^3)))</f>
        <v>0.103050021941061</v>
      </c>
      <c r="W52" s="30" t="n">
        <f aca="false">V52*(1-IF((2033-2022)/I52&gt;=1,J52,H52+(J52-H52)*(3*((2033-2022)/I52)^2-2*((2033-2022)/I52)^3)))</f>
        <v>0.101751591664604</v>
      </c>
      <c r="X52" s="30" t="n">
        <f aca="false">W52*(1-IF((2034-2022)/I52&gt;=1,J52,H52+(J52-H52)*(3*((2034-2022)/I52)^2-2*((2034-2022)/I52)^3)))</f>
        <v>0.10046952160963</v>
      </c>
      <c r="Y52" s="30" t="n">
        <f aca="false">X52*(1-IF((2035-2022)/I52&gt;=1,J52,H52+(J52-H52)*(3*((2035-2022)/I52)^2-2*((2035-2022)/I52)^3)))</f>
        <v>0.0992036056373482</v>
      </c>
      <c r="Z52" s="30" t="n">
        <f aca="false">Y52*(1-IF((2036-2022)/I52&gt;=1,J52,H52+(J52-H52)*(3*((2036-2022)/I52)^2-2*((2036-2022)/I52)^3)))</f>
        <v>0.0979536402063176</v>
      </c>
      <c r="AA52" s="30" t="n">
        <f aca="false">Z52*(1-IF((2037-2022)/I52&gt;=1,J52,H52+(J52-H52)*(3*((2037-2022)/I52)^2-2*((2037-2022)/I52)^3)))</f>
        <v>0.096719424339718</v>
      </c>
      <c r="AB52" s="30" t="n">
        <f aca="false">AA52*(1-IF((2038-2022)/I52&gt;=1,J52,H52+(J52-H52)*(3*((2038-2022)/I52)^2-2*((2038-2022)/I52)^3)))</f>
        <v>0.0955007595930376</v>
      </c>
      <c r="AC52" s="30" t="n">
        <f aca="false">AB52*(1-IF((2039-2022)/I52&gt;=1,J52,H52+(J52-H52)*(3*((2039-2022)/I52)^2-2*((2039-2022)/I52)^3)))</f>
        <v>0.0942974500221653</v>
      </c>
      <c r="AD52" s="30" t="n">
        <f aca="false">AC52*(1-IF((2040-2022)/I52&gt;=1,J52,H52+(J52-H52)*(3*((2040-2022)/I52)^2-2*((2040-2022)/I52)^3)))</f>
        <v>0.093109302151886</v>
      </c>
      <c r="AE52" s="30" t="n">
        <f aca="false">AD52*(1-IF((2041-2022)/I52&gt;=1,J52,H52+(J52-H52)*(3*((2041-2022)/I52)^2-2*((2041-2022)/I52)^3)))</f>
        <v>0.0919361249447723</v>
      </c>
      <c r="AF52" s="30" t="n">
        <f aca="false">AE52*(1-IF((2042-2022)/I52&gt;=1,J52,H52+(J52-H52)*(3*((2042-2022)/I52)^2-2*((2042-2022)/I52)^3)))</f>
        <v>0.0907777297704681</v>
      </c>
      <c r="AG52" s="30" t="n">
        <f aca="false">AF52*(1-IF((2043-2022)/I52&gt;=1,J52,H52+(J52-H52)*(3*((2043-2022)/I52)^2-2*((2043-2022)/I52)^3)))</f>
        <v>0.0896339303753602</v>
      </c>
      <c r="AH52" s="30" t="n">
        <f aca="false">AG52*(1-IF((2044-2022)/I52&gt;=1,J52,H52+(J52-H52)*(3*((2044-2022)/I52)^2-2*((2044-2022)/I52)^3)))</f>
        <v>0.0885045428526307</v>
      </c>
      <c r="AI52" s="30" t="n">
        <f aca="false">AH52*(1-IF((2045-2022)/I52&gt;=1,J52,H52+(J52-H52)*(3*((2045-2022)/I52)^2-2*((2045-2022)/I52)^3)))</f>
        <v>0.0873893856126876</v>
      </c>
      <c r="AJ52" s="30" t="n">
        <f aca="false">AI52*(1-IF((2046-2022)/I52&gt;=1,J52,H52+(J52-H52)*(3*((2046-2022)/I52)^2-2*((2046-2022)/I52)^3)))</f>
        <v>0.0862882793539677</v>
      </c>
      <c r="AK52" s="30" t="n">
        <f aca="false">AJ52*(1-IF((2047-2022)/I52&gt;=1,J52,H52+(J52-H52)*(3*((2047-2022)/I52)^2-2*((2047-2022)/I52)^3)))</f>
        <v>0.0852010470341077</v>
      </c>
      <c r="AL52" s="30" t="n">
        <f aca="false">AK52*(1-IF((2048-2022)/I52&gt;=1,J52,H52+(J52-H52)*(3*((2048-2022)/I52)^2-2*((2048-2022)/I52)^3)))</f>
        <v>0.084127513841478</v>
      </c>
      <c r="AM52" s="30" t="n">
        <f aca="false">AL52*(1-IF((2049-2022)/I52&gt;=1,J52,H52+(J52-H52)*(3*((2049-2022)/I52)^2-2*((2049-2022)/I52)^3)))</f>
        <v>0.0830675071670754</v>
      </c>
      <c r="AN52" s="30" t="n">
        <f aca="false">AM52*(1-IF((2050-2022)/I52&gt;=1,J52,H52+(J52-H52)*(3*((2050-2022)/I52)^2-2*((2050-2022)/I52)^3)))</f>
        <v>0.0820208565767702</v>
      </c>
      <c r="AO52" s="30" t="n">
        <f aca="false">AN52*(1-IF((2051-2022)/I52&gt;=1,J52,H52+(J52-H52)*(3*((2051-2022)/I52)^2-2*((2051-2022)/I52)^3)))</f>
        <v>0.0809873937839029</v>
      </c>
      <c r="AP52" s="30" t="n">
        <f aca="false">AO52*(1-IF((2052-2022)/I52&gt;=1,J52,H52+(J52-H52)*(3*((2052-2022)/I52)^2-2*((2052-2022)/I52)^3)))</f>
        <v>0.0799669526222257</v>
      </c>
      <c r="AQ52" s="30" t="n">
        <f aca="false">AP52*(1-IF((2053-2022)/I52&gt;=1,J52,H52+(J52-H52)*(3*((2053-2022)/I52)^2-2*((2053-2022)/I52)^3)))</f>
        <v>0.0789593690191857</v>
      </c>
      <c r="AR52" s="30" t="n">
        <f aca="false">AQ52*(1-IF((2054-2022)/I52&gt;=1,J52,H52+(J52-H52)*(3*((2054-2022)/I52)^2-2*((2054-2022)/I52)^3)))</f>
        <v>0.077964480969544</v>
      </c>
      <c r="AS52" s="30" t="n">
        <f aca="false">AR52*(1-IF((2055-2022)/I52&gt;=1,J52,H52+(J52-H52)*(3*((2055-2022)/I52)^2-2*((2055-2022)/I52)^3)))</f>
        <v>0.0769821285093277</v>
      </c>
      <c r="AT52" s="30" t="n">
        <f aca="false">AS52*(1-IF((2056-2022)/I52&gt;=1,J52,H52+(J52-H52)*(3*((2056-2022)/I52)^2-2*((2056-2022)/I52)^3)))</f>
        <v>0.0760121536901102</v>
      </c>
      <c r="AU52" s="30" t="n">
        <f aca="false">AT52*(1-IF((2057-2022)/I52&gt;=1,J52,H52+(J52-H52)*(3*((2057-2022)/I52)^2-2*((2057-2022)/I52)^3)))</f>
        <v>0.0750544005536148</v>
      </c>
      <c r="AV52" s="30" t="n">
        <f aca="false">AU52*(1-IF((2058-2022)/I52&gt;=1,J52,H52+(J52-H52)*(3*((2058-2022)/I52)^2-2*((2058-2022)/I52)^3)))</f>
        <v>0.0741087151066393</v>
      </c>
      <c r="AW52" s="30" t="n">
        <f aca="false">AV52*(1-IF((2059-2022)/I52&gt;=1,J52,H52+(J52-H52)*(3*((2059-2022)/I52)^2-2*((2059-2022)/I52)^3)))</f>
        <v>0.0731749452962956</v>
      </c>
      <c r="AX52" s="30" t="n">
        <f aca="false">AW52*(1-IF((2060-2022)/I52&gt;=1,J52,H52+(J52-H52)*(3*((2060-2022)/I52)^2-2*((2060-2022)/I52)^3)))</f>
        <v>0.0722529409855623</v>
      </c>
      <c r="AY52" s="30" t="n">
        <f aca="false">AX52*(1-IF((2061-2022)/I52&gt;=1,J52,H52+(J52-H52)*(3*((2061-2022)/I52)^2-2*((2061-2022)/I52)^3)))</f>
        <v>0.0713425539291442</v>
      </c>
      <c r="AZ52" s="30" t="n">
        <f aca="false">AY52*(1-IF((2062-2022)/I52&gt;=1,J52,H52+(J52-H52)*(3*((2062-2022)/I52)^2-2*((2062-2022)/I52)^3)))</f>
        <v>0.070443637749637</v>
      </c>
      <c r="BA52" s="30" t="n">
        <f aca="false">AZ52*(1-IF((2063-2022)/I52&gt;=1,J52,H52+(J52-H52)*(3*((2063-2022)/I52)^2-2*((2063-2022)/I52)^3)))</f>
        <v>0.0695560479139916</v>
      </c>
      <c r="BB52" s="30" t="n">
        <f aca="false">BA52*(1-IF((2064-2022)/I52&gt;=1,J52,H52+(J52-H52)*(3*((2064-2022)/I52)^2-2*((2064-2022)/I52)^3)))</f>
        <v>0.0686796417102753</v>
      </c>
      <c r="BC52" s="30" t="n">
        <f aca="false">BB52*(1-IF((2065-2022)/I52&gt;=1,J52,H52+(J52-H52)*(3*((2065-2022)/I52)^2-2*((2065-2022)/I52)^3)))</f>
        <v>0.0678142782247258</v>
      </c>
      <c r="BD52" s="30" t="n">
        <f aca="false">BC52*(1-IF((2066-2022)/I52&gt;=1,J52,H52+(J52-H52)*(3*((2066-2022)/I52)^2-2*((2066-2022)/I52)^3)))</f>
        <v>0.0669598183190943</v>
      </c>
      <c r="BE52" s="30" t="n">
        <f aca="false">BD52*(1-IF((2067-2022)/I52&gt;=1,J52,H52+(J52-H52)*(3*((2067-2022)/I52)^2-2*((2067-2022)/I52)^3)))</f>
        <v>0.0661161246082737</v>
      </c>
      <c r="BF52" s="30" t="n">
        <f aca="false">BE52*(1-IF((2068-2022)/I52&gt;=1,J52,H52+(J52-H52)*(3*((2068-2022)/I52)^2-2*((2068-2022)/I52)^3)))</f>
        <v>0.0652830614382094</v>
      </c>
      <c r="BG52" s="30" t="n">
        <f aca="false">BF52*(1-IF((2069-2022)/I52&gt;=1,J52,H52+(J52-H52)*(3*((2069-2022)/I52)^2-2*((2069-2022)/I52)^3)))</f>
        <v>0.064460494864088</v>
      </c>
      <c r="BH52" s="30" t="n">
        <f aca="false">BG52*(1-IF((2070-2022)/I52&gt;=1,J52,H52+(J52-H52)*(3*((2070-2022)/I52)^2-2*((2070-2022)/I52)^3)))</f>
        <v>0.0636482926288005</v>
      </c>
      <c r="BI52" s="30" t="n">
        <f aca="false">BH52*(1-IF((2071-2022)/I52&gt;=1,J52,H52+(J52-H52)*(3*((2071-2022)/I52)^2-2*((2071-2022)/I52)^3)))</f>
        <v>0.0628463241416776</v>
      </c>
      <c r="BJ52" s="30" t="n">
        <f aca="false">BI52*(1-IF((2072-2022)/I52&gt;=1,J52,H52+(J52-H52)*(3*((2072-2022)/I52)^2-2*((2072-2022)/I52)^3)))</f>
        <v>0.0620544604574925</v>
      </c>
      <c r="BK52" s="30" t="n">
        <f aca="false">BJ52*(1-IF((2073-2022)/I52&gt;=1,J52,H52+(J52-H52)*(3*((2073-2022)/I52)^2-2*((2073-2022)/I52)^3)))</f>
        <v>0.0612725742557281</v>
      </c>
      <c r="BL52" s="30" t="n">
        <f aca="false">BK52*(1-IF((2074-2022)/I52&gt;=1,J52,H52+(J52-H52)*(3*((2074-2022)/I52)^2-2*((2074-2022)/I52)^3)))</f>
        <v>0.0605005398201059</v>
      </c>
      <c r="BM52" s="30" t="n">
        <f aca="false">BL52*(1-IF((2075-2022)/I52&gt;=1,J52,H52+(J52-H52)*(3*((2075-2022)/I52)^2-2*((2075-2022)/I52)^3)))</f>
        <v>0.0597382330183726</v>
      </c>
      <c r="BN52" s="30" t="n">
        <f aca="false">BM52*(1-IF((2076-2022)/I52&gt;=1,J52,H52+(J52-H52)*(3*((2076-2022)/I52)^2-2*((2076-2022)/I52)^3)))</f>
        <v>0.0589855312823411</v>
      </c>
      <c r="BO52" s="30" t="n">
        <f aca="false">BN52*(1-IF((2077-2022)/I52&gt;=1,J52,H52+(J52-H52)*(3*((2077-2022)/I52)^2-2*((2077-2022)/I52)^3)))</f>
        <v>0.0582423135881836</v>
      </c>
      <c r="BP52" s="30" t="n">
        <f aca="false">BO52*(1-IF((2078-2022)/I52&gt;=1,J52,H52+(J52-H52)*(3*((2078-2022)/I52)^2-2*((2078-2022)/I52)^3)))</f>
        <v>0.0575084604369725</v>
      </c>
      <c r="BQ52" s="30" t="n">
        <f aca="false">BP52*(1-IF((2079-2022)/I52&gt;=1,J52,H52+(J52-H52)*(3*((2079-2022)/I52)^2-2*((2079-2022)/I52)^3)))</f>
        <v>0.0567838538354666</v>
      </c>
      <c r="BR52" s="30" t="n">
        <f aca="false">BQ52*(1-IF((2080-2022)/I52&gt;=1,J52,H52+(J52-H52)*(3*((2080-2022)/I52)^2-2*((2080-2022)/I52)^3)))</f>
        <v>0.0560683772771397</v>
      </c>
      <c r="BS52" s="30" t="n">
        <f aca="false">BR52*(1-IF((2081-2022)/I52&gt;=1,J52,H52+(J52-H52)*(3*((2081-2022)/I52)^2-2*((2081-2022)/I52)^3)))</f>
        <v>0.0553619157234478</v>
      </c>
      <c r="BT52" s="30" t="n">
        <f aca="false">BS52*(1-IF((2082-2022)/I52&gt;=1,J52,H52+(J52-H52)*(3*((2082-2022)/I52)^2-2*((2082-2022)/I52)^3)))</f>
        <v>0.0546643555853323</v>
      </c>
      <c r="BU52" s="30" t="n">
        <f aca="false">BT52*(1-IF((2083-2022)/I52&gt;=1,J52,H52+(J52-H52)*(3*((2083-2022)/I52)^2-2*((2083-2022)/I52)^3)))</f>
        <v>0.0539755847049572</v>
      </c>
      <c r="BV52" s="30" t="n">
        <f aca="false">BU52*(1-IF((2084-2022)/I52&gt;=1,J52,H52+(J52-H52)*(3*((2084-2022)/I52)^2-2*((2084-2022)/I52)^3)))</f>
        <v>0.0532954923376747</v>
      </c>
      <c r="BW52" s="30" t="n">
        <f aca="false">BV52*(1-IF((2085-2022)/I52&gt;=1,J52,H52+(J52-H52)*(3*((2085-2022)/I52)^2-2*((2085-2022)/I52)^3)))</f>
        <v>0.05262396913422</v>
      </c>
      <c r="BX52" s="30" t="n">
        <f aca="false">BW52*(1-IF((2086-2022)/I52&gt;=1,J52,H52+(J52-H52)*(3*((2086-2022)/I52)^2-2*((2086-2022)/I52)^3)))</f>
        <v>0.0519609071231288</v>
      </c>
      <c r="BY52" s="30" t="n">
        <f aca="false">BX52*(1-IF((2087-2022)/I52&gt;=1,J52,H52+(J52-H52)*(3*((2087-2022)/I52)^2-2*((2087-2022)/I52)^3)))</f>
        <v>0.0513061996933774</v>
      </c>
      <c r="BZ52" s="30" t="n">
        <f aca="false">BY52*(1-IF((2088-2022)/I52&gt;=1,J52,H52+(J52-H52)*(3*((2088-2022)/I52)^2-2*((2088-2022)/I52)^3)))</f>
        <v>0.0506597415772409</v>
      </c>
      <c r="CA52" s="30" t="n">
        <f aca="false">BZ52*(1-IF((2089-2022)/I52&gt;=1,J52,H52+(J52-H52)*(3*((2089-2022)/I52)^2-2*((2089-2022)/I52)^3)))</f>
        <v>0.0500214288333676</v>
      </c>
      <c r="CB52" s="30" t="n">
        <f aca="false">CA52*(1-IF((2090-2022)/I52&gt;=1,J52,H52+(J52-H52)*(3*((2090-2022)/I52)^2-2*((2090-2022)/I52)^3)))</f>
        <v>0.0493911588300672</v>
      </c>
      <c r="CC52" s="30" t="n">
        <f aca="false">CB52*(1-IF((2091-2022)/I52&gt;=1,J52,H52+(J52-H52)*(3*((2091-2022)/I52)^2-2*((2091-2022)/I52)^3)))</f>
        <v>0.0487688302288084</v>
      </c>
    </row>
    <row r="53" customFormat="false" ht="15" hidden="false" customHeight="true" outlineLevel="0" collapsed="false">
      <c r="A53" s="3" t="n">
        <v>90</v>
      </c>
      <c r="B53" s="30" t="n">
        <f aca="false">IF($A53&lt;=105,INDEX(ILT17_Source!$D$7:$D$52,MATCH($A53,ILT17_Source!$A$7:$A$52,0)),($B$16*EXP($B$17*$A53))/(1+$B$16*EXP($B$17*$A53)))</f>
        <v>0.16636143</v>
      </c>
      <c r="C53" s="31" t="n">
        <f aca="false">LOOKUP($A53,{60,65,70,75,80,85,90,95},{0.78,0.82,0.85,0.88,0.91,0.94,0.97,1})</f>
        <v>0.97</v>
      </c>
      <c r="D53" s="30" t="n">
        <f aca="false">B53*C53</f>
        <v>0.1613705871</v>
      </c>
      <c r="E53" s="30" t="n">
        <f aca="false">1/(1+EXP(-(($B$6+$B$8*(2016-2022))+($B$7+$B$9*(2016-2022))*($A53-$B$10))))</f>
        <v>0.148519754042513</v>
      </c>
      <c r="F53" s="30" t="n">
        <f aca="false">1/(1+EXP(-(($B$6+$B$8*(2021-2022))+($B$7+$B$9*(2021-2022))*($A53-$B$10))))</f>
        <v>0.140286102463084</v>
      </c>
      <c r="G53" s="30" t="n">
        <f aca="false">1/(1+EXP(-(($B$6+$B$8*(2022-2022))+($B$7+$B$9*(2022-2022))*($A53-$B$10))))</f>
        <v>0.138685944380532</v>
      </c>
      <c r="H53" s="32" t="n">
        <f aca="false">(F53-G53)/F53</f>
        <v>0.011406390615017</v>
      </c>
      <c r="I53" s="38" t="n">
        <f aca="false">IF($A53&lt;=50,$B$14,IF($A53&gt;=95,$B$15,$B$14+($B$15-$B$14)*($A53-50)/(95-50)))</f>
        <v>6.66666666666667</v>
      </c>
      <c r="J53" s="39" t="n">
        <f aca="false">IF($A53&lt;=$B$12,$B$11,IF($A53&gt;=$B$13,0,$B$11*($B$13-$A53)/($B$13-$B$12)))</f>
        <v>0.012</v>
      </c>
      <c r="K53" s="30" t="n">
        <f aca="false">D53*G53/E53</f>
        <v>0.150685896374419</v>
      </c>
      <c r="L53" s="30" t="n">
        <f aca="false">K53*$B$19</f>
        <v>0.135617306736977</v>
      </c>
      <c r="M53" s="30" t="n">
        <f aca="false">L53*(1-IF((2023-2022)/I53&gt;=1,J53,H53+(J53-H53)*(3*((2023-2022)/I53)^2-2*((2023-2022)/I53)^3)))</f>
        <v>0.134065512162037</v>
      </c>
      <c r="N53" s="30" t="n">
        <f aca="false">M53*(1-IF((2024-2022)/I53&gt;=1,J53,H53+(J53-H53)*(3*((2024-2022)/I53)^2-2*((2024-2022)/I53)^3)))</f>
        <v>0.13251911873233</v>
      </c>
      <c r="O53" s="30" t="n">
        <f aca="false">N53*(1-IF((2025-2022)/I53&gt;=1,J53,H53+(J53-H53)*(3*((2025-2022)/I53)^2-2*((2025-2022)/I53)^3)))</f>
        <v>0.130974101782121</v>
      </c>
      <c r="P53" s="30" t="n">
        <f aca="false">O53*(1-IF((2026-2022)/I53&gt;=1,J53,H53+(J53-H53)*(3*((2026-2022)/I53)^2-2*((2026-2022)/I53)^3)))</f>
        <v>0.129429779665251</v>
      </c>
      <c r="Q53" s="30" t="n">
        <f aca="false">P53*(1-IF((2027-2022)/I53&gt;=1,J53,H53+(J53-H53)*(3*((2027-2022)/I53)^2-2*((2027-2022)/I53)^3)))</f>
        <v>0.127888627111128</v>
      </c>
      <c r="R53" s="30" t="n">
        <f aca="false">Q53*(1-IF((2028-2022)/I53&gt;=1,J53,H53+(J53-H53)*(3*((2028-2022)/I53)^2-2*((2028-2022)/I53)^3)))</f>
        <v>0.126356089230694</v>
      </c>
      <c r="S53" s="30" t="n">
        <f aca="false">R53*(1-IF((2029-2022)/I53&gt;=1,J53,H53+(J53-H53)*(3*((2029-2022)/I53)^2-2*((2029-2022)/I53)^3)))</f>
        <v>0.124839816159926</v>
      </c>
      <c r="T53" s="30" t="n">
        <f aca="false">S53*(1-IF((2030-2022)/I53&gt;=1,J53,H53+(J53-H53)*(3*((2030-2022)/I53)^2-2*((2030-2022)/I53)^3)))</f>
        <v>0.123341738366007</v>
      </c>
      <c r="U53" s="30" t="n">
        <f aca="false">T53*(1-IF((2031-2022)/I53&gt;=1,J53,H53+(J53-H53)*(3*((2031-2022)/I53)^2-2*((2031-2022)/I53)^3)))</f>
        <v>0.121861637505615</v>
      </c>
      <c r="V53" s="30" t="n">
        <f aca="false">U53*(1-IF((2032-2022)/I53&gt;=1,J53,H53+(J53-H53)*(3*((2032-2022)/I53)^2-2*((2032-2022)/I53)^3)))</f>
        <v>0.120399297855547</v>
      </c>
      <c r="W53" s="30" t="n">
        <f aca="false">V53*(1-IF((2033-2022)/I53&gt;=1,J53,H53+(J53-H53)*(3*((2033-2022)/I53)^2-2*((2033-2022)/I53)^3)))</f>
        <v>0.118954506281281</v>
      </c>
      <c r="X53" s="30" t="n">
        <f aca="false">W53*(1-IF((2034-2022)/I53&gt;=1,J53,H53+(J53-H53)*(3*((2034-2022)/I53)^2-2*((2034-2022)/I53)^3)))</f>
        <v>0.117527052205905</v>
      </c>
      <c r="Y53" s="30" t="n">
        <f aca="false">X53*(1-IF((2035-2022)/I53&gt;=1,J53,H53+(J53-H53)*(3*((2035-2022)/I53)^2-2*((2035-2022)/I53)^3)))</f>
        <v>0.116116727579435</v>
      </c>
      <c r="Z53" s="30" t="n">
        <f aca="false">Y53*(1-IF((2036-2022)/I53&gt;=1,J53,H53+(J53-H53)*(3*((2036-2022)/I53)^2-2*((2036-2022)/I53)^3)))</f>
        <v>0.114723326848481</v>
      </c>
      <c r="AA53" s="30" t="n">
        <f aca="false">Z53*(1-IF((2037-2022)/I53&gt;=1,J53,H53+(J53-H53)*(3*((2037-2022)/I53)^2-2*((2037-2022)/I53)^3)))</f>
        <v>0.1133466469263</v>
      </c>
      <c r="AB53" s="30" t="n">
        <f aca="false">AA53*(1-IF((2038-2022)/I53&gt;=1,J53,H53+(J53-H53)*(3*((2038-2022)/I53)^2-2*((2038-2022)/I53)^3)))</f>
        <v>0.111986487163184</v>
      </c>
      <c r="AC53" s="30" t="n">
        <f aca="false">AB53*(1-IF((2039-2022)/I53&gt;=1,J53,H53+(J53-H53)*(3*((2039-2022)/I53)^2-2*((2039-2022)/I53)^3)))</f>
        <v>0.110642649317226</v>
      </c>
      <c r="AD53" s="30" t="n">
        <f aca="false">AC53*(1-IF((2040-2022)/I53&gt;=1,J53,H53+(J53-H53)*(3*((2040-2022)/I53)^2-2*((2040-2022)/I53)^3)))</f>
        <v>0.109314937525419</v>
      </c>
      <c r="AE53" s="30" t="n">
        <f aca="false">AD53*(1-IF((2041-2022)/I53&gt;=1,J53,H53+(J53-H53)*(3*((2041-2022)/I53)^2-2*((2041-2022)/I53)^3)))</f>
        <v>0.108003158275114</v>
      </c>
      <c r="AF53" s="30" t="n">
        <f aca="false">AE53*(1-IF((2042-2022)/I53&gt;=1,J53,H53+(J53-H53)*(3*((2042-2022)/I53)^2-2*((2042-2022)/I53)^3)))</f>
        <v>0.106707120375813</v>
      </c>
      <c r="AG53" s="30" t="n">
        <f aca="false">AF53*(1-IF((2043-2022)/I53&gt;=1,J53,H53+(J53-H53)*(3*((2043-2022)/I53)^2-2*((2043-2022)/I53)^3)))</f>
        <v>0.105426634931303</v>
      </c>
      <c r="AH53" s="30" t="n">
        <f aca="false">AG53*(1-IF((2044-2022)/I53&gt;=1,J53,H53+(J53-H53)*(3*((2044-2022)/I53)^2-2*((2044-2022)/I53)^3)))</f>
        <v>0.104161515312127</v>
      </c>
      <c r="AI53" s="30" t="n">
        <f aca="false">AH53*(1-IF((2045-2022)/I53&gt;=1,J53,H53+(J53-H53)*(3*((2045-2022)/I53)^2-2*((2045-2022)/I53)^3)))</f>
        <v>0.102911577128382</v>
      </c>
      <c r="AJ53" s="30" t="n">
        <f aca="false">AI53*(1-IF((2046-2022)/I53&gt;=1,J53,H53+(J53-H53)*(3*((2046-2022)/I53)^2-2*((2046-2022)/I53)^3)))</f>
        <v>0.101676638202841</v>
      </c>
      <c r="AK53" s="30" t="n">
        <f aca="false">AJ53*(1-IF((2047-2022)/I53&gt;=1,J53,H53+(J53-H53)*(3*((2047-2022)/I53)^2-2*((2047-2022)/I53)^3)))</f>
        <v>0.100456518544407</v>
      </c>
      <c r="AL53" s="30" t="n">
        <f aca="false">AK53*(1-IF((2048-2022)/I53&gt;=1,J53,H53+(J53-H53)*(3*((2048-2022)/I53)^2-2*((2048-2022)/I53)^3)))</f>
        <v>0.0992510403218742</v>
      </c>
      <c r="AM53" s="30" t="n">
        <f aca="false">AL53*(1-IF((2049-2022)/I53&gt;=1,J53,H53+(J53-H53)*(3*((2049-2022)/I53)^2-2*((2049-2022)/I53)^3)))</f>
        <v>0.0980600278380117</v>
      </c>
      <c r="AN53" s="30" t="n">
        <f aca="false">AM53*(1-IF((2050-2022)/I53&gt;=1,J53,H53+(J53-H53)*(3*((2050-2022)/I53)^2-2*((2050-2022)/I53)^3)))</f>
        <v>0.0968833075039556</v>
      </c>
      <c r="AO53" s="30" t="n">
        <f aca="false">AN53*(1-IF((2051-2022)/I53&gt;=1,J53,H53+(J53-H53)*(3*((2051-2022)/I53)^2-2*((2051-2022)/I53)^3)))</f>
        <v>0.0957207078139081</v>
      </c>
      <c r="AP53" s="30" t="n">
        <f aca="false">AO53*(1-IF((2052-2022)/I53&gt;=1,J53,H53+(J53-H53)*(3*((2052-2022)/I53)^2-2*((2052-2022)/I53)^3)))</f>
        <v>0.0945720593201412</v>
      </c>
      <c r="AQ53" s="30" t="n">
        <f aca="false">AP53*(1-IF((2053-2022)/I53&gt;=1,J53,H53+(J53-H53)*(3*((2053-2022)/I53)^2-2*((2053-2022)/I53)^3)))</f>
        <v>0.0934371946082995</v>
      </c>
      <c r="AR53" s="30" t="n">
        <f aca="false">AQ53*(1-IF((2054-2022)/I53&gt;=1,J53,H53+(J53-H53)*(3*((2054-2022)/I53)^2-2*((2054-2022)/I53)^3)))</f>
        <v>0.0923159482729999</v>
      </c>
      <c r="AS53" s="30" t="n">
        <f aca="false">AR53*(1-IF((2055-2022)/I53&gt;=1,J53,H53+(J53-H53)*(3*((2055-2022)/I53)^2-2*((2055-2022)/I53)^3)))</f>
        <v>0.0912081568937239</v>
      </c>
      <c r="AT53" s="30" t="n">
        <f aca="false">AS53*(1-IF((2056-2022)/I53&gt;=1,J53,H53+(J53-H53)*(3*((2056-2022)/I53)^2-2*((2056-2022)/I53)^3)))</f>
        <v>0.0901136590109992</v>
      </c>
      <c r="AU53" s="30" t="n">
        <f aca="false">AT53*(1-IF((2057-2022)/I53&gt;=1,J53,H53+(J53-H53)*(3*((2057-2022)/I53)^2-2*((2057-2022)/I53)^3)))</f>
        <v>0.0890322951028673</v>
      </c>
      <c r="AV53" s="30" t="n">
        <f aca="false">AU53*(1-IF((2058-2022)/I53&gt;=1,J53,H53+(J53-H53)*(3*((2058-2022)/I53)^2-2*((2058-2022)/I53)^3)))</f>
        <v>0.0879639075616329</v>
      </c>
      <c r="AW53" s="30" t="n">
        <f aca="false">AV53*(1-IF((2059-2022)/I53&gt;=1,J53,H53+(J53-H53)*(3*((2059-2022)/I53)^2-2*((2059-2022)/I53)^3)))</f>
        <v>0.0869083406708932</v>
      </c>
      <c r="AX53" s="30" t="n">
        <f aca="false">AW53*(1-IF((2060-2022)/I53&gt;=1,J53,H53+(J53-H53)*(3*((2060-2022)/I53)^2-2*((2060-2022)/I53)^3)))</f>
        <v>0.0858654405828425</v>
      </c>
      <c r="AY53" s="30" t="n">
        <f aca="false">AX53*(1-IF((2061-2022)/I53&gt;=1,J53,H53+(J53-H53)*(3*((2061-2022)/I53)^2-2*((2061-2022)/I53)^3)))</f>
        <v>0.0848350552958484</v>
      </c>
      <c r="AZ53" s="30" t="n">
        <f aca="false">AY53*(1-IF((2062-2022)/I53&gt;=1,J53,H53+(J53-H53)*(3*((2062-2022)/I53)^2-2*((2062-2022)/I53)^3)))</f>
        <v>0.0838170346322982</v>
      </c>
      <c r="BA53" s="30" t="n">
        <f aca="false">AZ53*(1-IF((2063-2022)/I53&gt;=1,J53,H53+(J53-H53)*(3*((2063-2022)/I53)^2-2*((2063-2022)/I53)^3)))</f>
        <v>0.0828112302167107</v>
      </c>
      <c r="BB53" s="30" t="n">
        <f aca="false">BA53*(1-IF((2064-2022)/I53&gt;=1,J53,H53+(J53-H53)*(3*((2064-2022)/I53)^2-2*((2064-2022)/I53)^3)))</f>
        <v>0.0818174954541101</v>
      </c>
      <c r="BC53" s="30" t="n">
        <f aca="false">BB53*(1-IF((2065-2022)/I53&gt;=1,J53,H53+(J53-H53)*(3*((2065-2022)/I53)^2-2*((2065-2022)/I53)^3)))</f>
        <v>0.0808356855086608</v>
      </c>
      <c r="BD53" s="30" t="n">
        <f aca="false">BC53*(1-IF((2066-2022)/I53&gt;=1,J53,H53+(J53-H53)*(3*((2066-2022)/I53)^2-2*((2066-2022)/I53)^3)))</f>
        <v>0.0798656572825569</v>
      </c>
      <c r="BE53" s="30" t="n">
        <f aca="false">BD53*(1-IF((2067-2022)/I53&gt;=1,J53,H53+(J53-H53)*(3*((2067-2022)/I53)^2-2*((2067-2022)/I53)^3)))</f>
        <v>0.0789072693951662</v>
      </c>
      <c r="BF53" s="30" t="n">
        <f aca="false">BE53*(1-IF((2068-2022)/I53&gt;=1,J53,H53+(J53-H53)*(3*((2068-2022)/I53)^2-2*((2068-2022)/I53)^3)))</f>
        <v>0.0779603821624242</v>
      </c>
      <c r="BG53" s="30" t="n">
        <f aca="false">BF53*(1-IF((2069-2022)/I53&gt;=1,J53,H53+(J53-H53)*(3*((2069-2022)/I53)^2-2*((2069-2022)/I53)^3)))</f>
        <v>0.0770248575764751</v>
      </c>
      <c r="BH53" s="30" t="n">
        <f aca="false">BG53*(1-IF((2070-2022)/I53&gt;=1,J53,H53+(J53-H53)*(3*((2070-2022)/I53)^2-2*((2070-2022)/I53)^3)))</f>
        <v>0.0761005592855574</v>
      </c>
      <c r="BI53" s="30" t="n">
        <f aca="false">BH53*(1-IF((2071-2022)/I53&gt;=1,J53,H53+(J53-H53)*(3*((2071-2022)/I53)^2-2*((2071-2022)/I53)^3)))</f>
        <v>0.0751873525741307</v>
      </c>
      <c r="BJ53" s="30" t="n">
        <f aca="false">BI53*(1-IF((2072-2022)/I53&gt;=1,J53,H53+(J53-H53)*(3*((2072-2022)/I53)^2-2*((2072-2022)/I53)^3)))</f>
        <v>0.0742851043432412</v>
      </c>
      <c r="BK53" s="30" t="n">
        <f aca="false">BJ53*(1-IF((2073-2022)/I53&gt;=1,J53,H53+(J53-H53)*(3*((2073-2022)/I53)^2-2*((2073-2022)/I53)^3)))</f>
        <v>0.0733936830911223</v>
      </c>
      <c r="BL53" s="30" t="n">
        <f aca="false">BK53*(1-IF((2074-2022)/I53&gt;=1,J53,H53+(J53-H53)*(3*((2074-2022)/I53)^2-2*((2074-2022)/I53)^3)))</f>
        <v>0.0725129588940288</v>
      </c>
      <c r="BM53" s="30" t="n">
        <f aca="false">BL53*(1-IF((2075-2022)/I53&gt;=1,J53,H53+(J53-H53)*(3*((2075-2022)/I53)^2-2*((2075-2022)/I53)^3)))</f>
        <v>0.0716428033873004</v>
      </c>
      <c r="BN53" s="30" t="n">
        <f aca="false">BM53*(1-IF((2076-2022)/I53&gt;=1,J53,H53+(J53-H53)*(3*((2076-2022)/I53)^2-2*((2076-2022)/I53)^3)))</f>
        <v>0.0707830897466528</v>
      </c>
      <c r="BO53" s="30" t="n">
        <f aca="false">BN53*(1-IF((2077-2022)/I53&gt;=1,J53,H53+(J53-H53)*(3*((2077-2022)/I53)^2-2*((2077-2022)/I53)^3)))</f>
        <v>0.069933692669693</v>
      </c>
      <c r="BP53" s="30" t="n">
        <f aca="false">BO53*(1-IF((2078-2022)/I53&gt;=1,J53,H53+(J53-H53)*(3*((2078-2022)/I53)^2-2*((2078-2022)/I53)^3)))</f>
        <v>0.0690944883576567</v>
      </c>
      <c r="BQ53" s="30" t="n">
        <f aca="false">BP53*(1-IF((2079-2022)/I53&gt;=1,J53,H53+(J53-H53)*(3*((2079-2022)/I53)^2-2*((2079-2022)/I53)^3)))</f>
        <v>0.0682653544973648</v>
      </c>
      <c r="BR53" s="30" t="n">
        <f aca="false">BQ53*(1-IF((2080-2022)/I53&gt;=1,J53,H53+(J53-H53)*(3*((2080-2022)/I53)^2-2*((2080-2022)/I53)^3)))</f>
        <v>0.0674461702433964</v>
      </c>
      <c r="BS53" s="30" t="n">
        <f aca="false">BR53*(1-IF((2081-2022)/I53&gt;=1,J53,H53+(J53-H53)*(3*((2081-2022)/I53)^2-2*((2081-2022)/I53)^3)))</f>
        <v>0.0666368162004757</v>
      </c>
      <c r="BT53" s="30" t="n">
        <f aca="false">BS53*(1-IF((2082-2022)/I53&gt;=1,J53,H53+(J53-H53)*(3*((2082-2022)/I53)^2-2*((2082-2022)/I53)^3)))</f>
        <v>0.06583717440607</v>
      </c>
      <c r="BU53" s="30" t="n">
        <f aca="false">BT53*(1-IF((2083-2022)/I53&gt;=1,J53,H53+(J53-H53)*(3*((2083-2022)/I53)^2-2*((2083-2022)/I53)^3)))</f>
        <v>0.0650471283131971</v>
      </c>
      <c r="BV53" s="30" t="n">
        <f aca="false">BU53*(1-IF((2084-2022)/I53&gt;=1,J53,H53+(J53-H53)*(3*((2084-2022)/I53)^2-2*((2084-2022)/I53)^3)))</f>
        <v>0.0642665627734388</v>
      </c>
      <c r="BW53" s="30" t="n">
        <f aca="false">BV53*(1-IF((2085-2022)/I53&gt;=1,J53,H53+(J53-H53)*(3*((2085-2022)/I53)^2-2*((2085-2022)/I53)^3)))</f>
        <v>0.0634953640201575</v>
      </c>
      <c r="BX53" s="30" t="n">
        <f aca="false">BW53*(1-IF((2086-2022)/I53&gt;=1,J53,H53+(J53-H53)*(3*((2086-2022)/I53)^2-2*((2086-2022)/I53)^3)))</f>
        <v>0.0627334196519156</v>
      </c>
      <c r="BY53" s="30" t="n">
        <f aca="false">BX53*(1-IF((2087-2022)/I53&gt;=1,J53,H53+(J53-H53)*(3*((2087-2022)/I53)^2-2*((2087-2022)/I53)^3)))</f>
        <v>0.0619806186160926</v>
      </c>
      <c r="BZ53" s="30" t="n">
        <f aca="false">BY53*(1-IF((2088-2022)/I53&gt;=1,J53,H53+(J53-H53)*(3*((2088-2022)/I53)^2-2*((2088-2022)/I53)^3)))</f>
        <v>0.0612368511926995</v>
      </c>
      <c r="CA53" s="30" t="n">
        <f aca="false">BZ53*(1-IF((2089-2022)/I53&gt;=1,J53,H53+(J53-H53)*(3*((2089-2022)/I53)^2-2*((2089-2022)/I53)^3)))</f>
        <v>0.0605020089783871</v>
      </c>
      <c r="CB53" s="30" t="n">
        <f aca="false">CA53*(1-IF((2090-2022)/I53&gt;=1,J53,H53+(J53-H53)*(3*((2090-2022)/I53)^2-2*((2090-2022)/I53)^3)))</f>
        <v>0.0597759848706465</v>
      </c>
      <c r="CC53" s="30" t="n">
        <f aca="false">CB53*(1-IF((2091-2022)/I53&gt;=1,J53,H53+(J53-H53)*(3*((2091-2022)/I53)^2-2*((2091-2022)/I53)^3)))</f>
        <v>0.0590586730521987</v>
      </c>
    </row>
    <row r="54" customFormat="false" ht="15" hidden="false" customHeight="true" outlineLevel="0" collapsed="false">
      <c r="A54" s="3" t="n">
        <v>91</v>
      </c>
      <c r="B54" s="30" t="n">
        <f aca="false">IF($A54&lt;=105,INDEX(ILT17_Source!$D$7:$D$52,MATCH($A54,ILT17_Source!$A$7:$A$52,0)),($B$16*EXP($B$17*$A54))/(1+$B$16*EXP($B$17*$A54)))</f>
        <v>0.1856182</v>
      </c>
      <c r="C54" s="31" t="n">
        <f aca="false">LOOKUP($A54,{60,65,70,75,80,85,90,95},{0.78,0.82,0.85,0.88,0.91,0.94,0.97,1})</f>
        <v>0.97</v>
      </c>
      <c r="D54" s="30" t="n">
        <f aca="false">B54*C54</f>
        <v>0.180049654</v>
      </c>
      <c r="E54" s="30" t="n">
        <f aca="false">1/(1+EXP(-(($B$6+$B$8*(2016-2022))+($B$7+$B$9*(2016-2022))*($A54-$B$10))))</f>
        <v>0.163069022771999</v>
      </c>
      <c r="F54" s="30" t="n">
        <f aca="false">1/(1+EXP(-(($B$6+$B$8*(2021-2022))+($B$7+$B$9*(2021-2022))*($A54-$B$10))))</f>
        <v>0.154531542774276</v>
      </c>
      <c r="G54" s="30" t="n">
        <f aca="false">1/(1+EXP(-(($B$6+$B$8*(2022-2022))+($B$7+$B$9*(2022-2022))*($A54-$B$10))))</f>
        <v>0.152868541353586</v>
      </c>
      <c r="H54" s="32" t="n">
        <f aca="false">(F54-G54)/F54</f>
        <v>0.0107615661555812</v>
      </c>
      <c r="I54" s="38" t="n">
        <f aca="false">IF($A54&lt;=50,$B$14,IF($A54&gt;=95,$B$15,$B$14+($B$15-$B$14)*($A54-50)/(95-50)))</f>
        <v>6.33333333333333</v>
      </c>
      <c r="J54" s="39" t="n">
        <f aca="false">IF($A54&lt;=$B$12,$B$11,IF($A54&gt;=$B$13,0,$B$11*($B$13-$A54)/($B$13-$B$12)))</f>
        <v>0.0114</v>
      </c>
      <c r="K54" s="30" t="n">
        <f aca="false">D54*G54/E54</f>
        <v>0.168786980570071</v>
      </c>
      <c r="L54" s="30" t="n">
        <f aca="false">K54*$B$19</f>
        <v>0.151908282513064</v>
      </c>
      <c r="M54" s="30" t="n">
        <f aca="false">L54*(1-IF((2023-2022)/I54&gt;=1,J54,H54+(J54-H54)*(3*((2023-2022)/I54)^2-2*((2023-2022)/I54)^3)))</f>
        <v>0.150267021413358</v>
      </c>
      <c r="N54" s="30" t="n">
        <f aca="false">M54*(1-IF((2024-2022)/I54&gt;=1,J54,H54+(J54-H54)*(3*((2024-2022)/I54)^2-2*((2024-2022)/I54)^3)))</f>
        <v>0.14862725428393</v>
      </c>
      <c r="O54" s="30" t="n">
        <f aca="false">N54*(1-IF((2025-2022)/I54&gt;=1,J54,H54+(J54-H54)*(3*((2025-2022)/I54)^2-2*((2025-2022)/I54)^3)))</f>
        <v>0.146984090066585</v>
      </c>
      <c r="P54" s="30" t="n">
        <f aca="false">O54*(1-IF((2026-2022)/I54&gt;=1,J54,H54+(J54-H54)*(3*((2026-2022)/I54)^2-2*((2026-2022)/I54)^3)))</f>
        <v>0.145337297810211</v>
      </c>
      <c r="Q54" s="30" t="n">
        <f aca="false">P54*(1-IF((2027-2022)/I54&gt;=1,J54,H54+(J54-H54)*(3*((2027-2022)/I54)^2-2*((2027-2022)/I54)^3)))</f>
        <v>0.14369105853263</v>
      </c>
      <c r="R54" s="30" t="n">
        <f aca="false">Q54*(1-IF((2028-2022)/I54&gt;=1,J54,H54+(J54-H54)*(3*((2028-2022)/I54)^2-2*((2028-2022)/I54)^3)))</f>
        <v>0.142053716075202</v>
      </c>
      <c r="S54" s="30" t="n">
        <f aca="false">R54*(1-IF((2029-2022)/I54&gt;=1,J54,H54+(J54-H54)*(3*((2029-2022)/I54)^2-2*((2029-2022)/I54)^3)))</f>
        <v>0.140434303711944</v>
      </c>
      <c r="T54" s="30" t="n">
        <f aca="false">S54*(1-IF((2030-2022)/I54&gt;=1,J54,H54+(J54-H54)*(3*((2030-2022)/I54)^2-2*((2030-2022)/I54)^3)))</f>
        <v>0.138833352649628</v>
      </c>
      <c r="U54" s="30" t="n">
        <f aca="false">T54*(1-IF((2031-2022)/I54&gt;=1,J54,H54+(J54-H54)*(3*((2031-2022)/I54)^2-2*((2031-2022)/I54)^3)))</f>
        <v>0.137250652429422</v>
      </c>
      <c r="V54" s="30" t="n">
        <f aca="false">U54*(1-IF((2032-2022)/I54&gt;=1,J54,H54+(J54-H54)*(3*((2032-2022)/I54)^2-2*((2032-2022)/I54)^3)))</f>
        <v>0.135685994991727</v>
      </c>
      <c r="W54" s="30" t="n">
        <f aca="false">V54*(1-IF((2033-2022)/I54&gt;=1,J54,H54+(J54-H54)*(3*((2033-2022)/I54)^2-2*((2033-2022)/I54)^3)))</f>
        <v>0.134139174648821</v>
      </c>
      <c r="X54" s="30" t="n">
        <f aca="false">W54*(1-IF((2034-2022)/I54&gt;=1,J54,H54+(J54-H54)*(3*((2034-2022)/I54)^2-2*((2034-2022)/I54)^3)))</f>
        <v>0.132609988057825</v>
      </c>
      <c r="Y54" s="30" t="n">
        <f aca="false">X54*(1-IF((2035-2022)/I54&gt;=1,J54,H54+(J54-H54)*(3*((2035-2022)/I54)^2-2*((2035-2022)/I54)^3)))</f>
        <v>0.131098234193966</v>
      </c>
      <c r="Z54" s="30" t="n">
        <f aca="false">Y54*(1-IF((2036-2022)/I54&gt;=1,J54,H54+(J54-H54)*(3*((2036-2022)/I54)^2-2*((2036-2022)/I54)^3)))</f>
        <v>0.129603714324154</v>
      </c>
      <c r="AA54" s="30" t="n">
        <f aca="false">Z54*(1-IF((2037-2022)/I54&gt;=1,J54,H54+(J54-H54)*(3*((2037-2022)/I54)^2-2*((2037-2022)/I54)^3)))</f>
        <v>0.128126231980859</v>
      </c>
      <c r="AB54" s="30" t="n">
        <f aca="false">AA54*(1-IF((2038-2022)/I54&gt;=1,J54,H54+(J54-H54)*(3*((2038-2022)/I54)^2-2*((2038-2022)/I54)^3)))</f>
        <v>0.126665592936277</v>
      </c>
      <c r="AC54" s="30" t="n">
        <f aca="false">AB54*(1-IF((2039-2022)/I54&gt;=1,J54,H54+(J54-H54)*(3*((2039-2022)/I54)^2-2*((2039-2022)/I54)^3)))</f>
        <v>0.125221605176804</v>
      </c>
      <c r="AD54" s="30" t="n">
        <f aca="false">AC54*(1-IF((2040-2022)/I54&gt;=1,J54,H54+(J54-H54)*(3*((2040-2022)/I54)^2-2*((2040-2022)/I54)^3)))</f>
        <v>0.123794078877788</v>
      </c>
      <c r="AE54" s="30" t="n">
        <f aca="false">AD54*(1-IF((2041-2022)/I54&gt;=1,J54,H54+(J54-H54)*(3*((2041-2022)/I54)^2-2*((2041-2022)/I54)^3)))</f>
        <v>0.122382826378581</v>
      </c>
      <c r="AF54" s="30" t="n">
        <f aca="false">AE54*(1-IF((2042-2022)/I54&gt;=1,J54,H54+(J54-H54)*(3*((2042-2022)/I54)^2-2*((2042-2022)/I54)^3)))</f>
        <v>0.120987662157866</v>
      </c>
      <c r="AG54" s="30" t="n">
        <f aca="false">AF54*(1-IF((2043-2022)/I54&gt;=1,J54,H54+(J54-H54)*(3*((2043-2022)/I54)^2-2*((2043-2022)/I54)^3)))</f>
        <v>0.119608402809266</v>
      </c>
      <c r="AH54" s="30" t="n">
        <f aca="false">AG54*(1-IF((2044-2022)/I54&gt;=1,J54,H54+(J54-H54)*(3*((2044-2022)/I54)^2-2*((2044-2022)/I54)^3)))</f>
        <v>0.11824486701724</v>
      </c>
      <c r="AI54" s="30" t="n">
        <f aca="false">AH54*(1-IF((2045-2022)/I54&gt;=1,J54,H54+(J54-H54)*(3*((2045-2022)/I54)^2-2*((2045-2022)/I54)^3)))</f>
        <v>0.116896875533244</v>
      </c>
      <c r="AJ54" s="30" t="n">
        <f aca="false">AI54*(1-IF((2046-2022)/I54&gt;=1,J54,H54+(J54-H54)*(3*((2046-2022)/I54)^2-2*((2046-2022)/I54)^3)))</f>
        <v>0.115564251152165</v>
      </c>
      <c r="AK54" s="30" t="n">
        <f aca="false">AJ54*(1-IF((2047-2022)/I54&gt;=1,J54,H54+(J54-H54)*(3*((2047-2022)/I54)^2-2*((2047-2022)/I54)^3)))</f>
        <v>0.11424681868903</v>
      </c>
      <c r="AL54" s="30" t="n">
        <f aca="false">AK54*(1-IF((2048-2022)/I54&gt;=1,J54,H54+(J54-H54)*(3*((2048-2022)/I54)^2-2*((2048-2022)/I54)^3)))</f>
        <v>0.112944404955975</v>
      </c>
      <c r="AM54" s="30" t="n">
        <f aca="false">AL54*(1-IF((2049-2022)/I54&gt;=1,J54,H54+(J54-H54)*(3*((2049-2022)/I54)^2-2*((2049-2022)/I54)^3)))</f>
        <v>0.111656838739477</v>
      </c>
      <c r="AN54" s="30" t="n">
        <f aca="false">AM54*(1-IF((2050-2022)/I54&gt;=1,J54,H54+(J54-H54)*(3*((2050-2022)/I54)^2-2*((2050-2022)/I54)^3)))</f>
        <v>0.110383950777847</v>
      </c>
      <c r="AO54" s="30" t="n">
        <f aca="false">AN54*(1-IF((2051-2022)/I54&gt;=1,J54,H54+(J54-H54)*(3*((2051-2022)/I54)^2-2*((2051-2022)/I54)^3)))</f>
        <v>0.10912557373898</v>
      </c>
      <c r="AP54" s="30" t="n">
        <f aca="false">AO54*(1-IF((2052-2022)/I54&gt;=1,J54,H54+(J54-H54)*(3*((2052-2022)/I54)^2-2*((2052-2022)/I54)^3)))</f>
        <v>0.107881542198355</v>
      </c>
      <c r="AQ54" s="30" t="n">
        <f aca="false">AP54*(1-IF((2053-2022)/I54&gt;=1,J54,H54+(J54-H54)*(3*((2053-2022)/I54)^2-2*((2053-2022)/I54)^3)))</f>
        <v>0.106651692617294</v>
      </c>
      <c r="AR54" s="30" t="n">
        <f aca="false">AQ54*(1-IF((2054-2022)/I54&gt;=1,J54,H54+(J54-H54)*(3*((2054-2022)/I54)^2-2*((2054-2022)/I54)^3)))</f>
        <v>0.105435863321457</v>
      </c>
      <c r="AS54" s="30" t="n">
        <f aca="false">AR54*(1-IF((2055-2022)/I54&gt;=1,J54,H54+(J54-H54)*(3*((2055-2022)/I54)^2-2*((2055-2022)/I54)^3)))</f>
        <v>0.104233894479592</v>
      </c>
      <c r="AT54" s="30" t="n">
        <f aca="false">AS54*(1-IF((2056-2022)/I54&gt;=1,J54,H54+(J54-H54)*(3*((2056-2022)/I54)^2-2*((2056-2022)/I54)^3)))</f>
        <v>0.103045628082525</v>
      </c>
      <c r="AU54" s="30" t="n">
        <f aca="false">AT54*(1-IF((2057-2022)/I54&gt;=1,J54,H54+(J54-H54)*(3*((2057-2022)/I54)^2-2*((2057-2022)/I54)^3)))</f>
        <v>0.101870907922384</v>
      </c>
      <c r="AV54" s="30" t="n">
        <f aca="false">AU54*(1-IF((2058-2022)/I54&gt;=1,J54,H54+(J54-H54)*(3*((2058-2022)/I54)^2-2*((2058-2022)/I54)^3)))</f>
        <v>0.100709579572069</v>
      </c>
      <c r="AW54" s="30" t="n">
        <f aca="false">AV54*(1-IF((2059-2022)/I54&gt;=1,J54,H54+(J54-H54)*(3*((2059-2022)/I54)^2-2*((2059-2022)/I54)^3)))</f>
        <v>0.0995614903649473</v>
      </c>
      <c r="AX54" s="30" t="n">
        <f aca="false">AW54*(1-IF((2060-2022)/I54&gt;=1,J54,H54+(J54-H54)*(3*((2060-2022)/I54)^2-2*((2060-2022)/I54)^3)))</f>
        <v>0.0984264893747869</v>
      </c>
      <c r="AY54" s="30" t="n">
        <f aca="false">AX54*(1-IF((2061-2022)/I54&gt;=1,J54,H54+(J54-H54)*(3*((2061-2022)/I54)^2-2*((2061-2022)/I54)^3)))</f>
        <v>0.0973044273959143</v>
      </c>
      <c r="AZ54" s="30" t="n">
        <f aca="false">AY54*(1-IF((2062-2022)/I54&gt;=1,J54,H54+(J54-H54)*(3*((2062-2022)/I54)^2-2*((2062-2022)/I54)^3)))</f>
        <v>0.0961951569236009</v>
      </c>
      <c r="BA54" s="30" t="n">
        <f aca="false">AZ54*(1-IF((2063-2022)/I54&gt;=1,J54,H54+(J54-H54)*(3*((2063-2022)/I54)^2-2*((2063-2022)/I54)^3)))</f>
        <v>0.0950985321346719</v>
      </c>
      <c r="BB54" s="30" t="n">
        <f aca="false">BA54*(1-IF((2064-2022)/I54&gt;=1,J54,H54+(J54-H54)*(3*((2064-2022)/I54)^2-2*((2064-2022)/I54)^3)))</f>
        <v>0.0940144088683366</v>
      </c>
      <c r="BC54" s="30" t="n">
        <f aca="false">BB54*(1-IF((2065-2022)/I54&gt;=1,J54,H54+(J54-H54)*(3*((2065-2022)/I54)^2-2*((2065-2022)/I54)^3)))</f>
        <v>0.0929426446072376</v>
      </c>
      <c r="BD54" s="30" t="n">
        <f aca="false">BC54*(1-IF((2066-2022)/I54&gt;=1,J54,H54+(J54-H54)*(3*((2066-2022)/I54)^2-2*((2066-2022)/I54)^3)))</f>
        <v>0.0918830984587151</v>
      </c>
      <c r="BE54" s="30" t="n">
        <f aca="false">BD54*(1-IF((2067-2022)/I54&gt;=1,J54,H54+(J54-H54)*(3*((2067-2022)/I54)^2-2*((2067-2022)/I54)^3)))</f>
        <v>0.0908356311362857</v>
      </c>
      <c r="BF54" s="30" t="n">
        <f aca="false">BE54*(1-IF((2068-2022)/I54&gt;=1,J54,H54+(J54-H54)*(3*((2068-2022)/I54)^2-2*((2068-2022)/I54)^3)))</f>
        <v>0.0898001049413321</v>
      </c>
      <c r="BG54" s="30" t="n">
        <f aca="false">BF54*(1-IF((2069-2022)/I54&gt;=1,J54,H54+(J54-H54)*(3*((2069-2022)/I54)^2-2*((2069-2022)/I54)^3)))</f>
        <v>0.0887763837450009</v>
      </c>
      <c r="BH54" s="30" t="n">
        <f aca="false">BG54*(1-IF((2070-2022)/I54&gt;=1,J54,H54+(J54-H54)*(3*((2070-2022)/I54)^2-2*((2070-2022)/I54)^3)))</f>
        <v>0.0877643329703079</v>
      </c>
      <c r="BI54" s="30" t="n">
        <f aca="false">BH54*(1-IF((2071-2022)/I54&gt;=1,J54,H54+(J54-H54)*(3*((2071-2022)/I54)^2-2*((2071-2022)/I54)^3)))</f>
        <v>0.0867638195744464</v>
      </c>
      <c r="BJ54" s="30" t="n">
        <f aca="false">BI54*(1-IF((2072-2022)/I54&gt;=1,J54,H54+(J54-H54)*(3*((2072-2022)/I54)^2-2*((2072-2022)/I54)^3)))</f>
        <v>0.0857747120312977</v>
      </c>
      <c r="BK54" s="30" t="n">
        <f aca="false">BJ54*(1-IF((2073-2022)/I54&gt;=1,J54,H54+(J54-H54)*(3*((2073-2022)/I54)^2-2*((2073-2022)/I54)^3)))</f>
        <v>0.0847968803141409</v>
      </c>
      <c r="BL54" s="30" t="n">
        <f aca="false">BK54*(1-IF((2074-2022)/I54&gt;=1,J54,H54+(J54-H54)*(3*((2074-2022)/I54)^2-2*((2074-2022)/I54)^3)))</f>
        <v>0.0838301958785597</v>
      </c>
      <c r="BM54" s="30" t="n">
        <f aca="false">BL54*(1-IF((2075-2022)/I54&gt;=1,J54,H54+(J54-H54)*(3*((2075-2022)/I54)^2-2*((2075-2022)/I54)^3)))</f>
        <v>0.0828745316455441</v>
      </c>
      <c r="BN54" s="30" t="n">
        <f aca="false">BM54*(1-IF((2076-2022)/I54&gt;=1,J54,H54+(J54-H54)*(3*((2076-2022)/I54)^2-2*((2076-2022)/I54)^3)))</f>
        <v>0.0819297619847849</v>
      </c>
      <c r="BO54" s="30" t="n">
        <f aca="false">BN54*(1-IF((2077-2022)/I54&gt;=1,J54,H54+(J54-H54)*(3*((2077-2022)/I54)^2-2*((2077-2022)/I54)^3)))</f>
        <v>0.0809957626981584</v>
      </c>
      <c r="BP54" s="30" t="n">
        <f aca="false">BO54*(1-IF((2078-2022)/I54&gt;=1,J54,H54+(J54-H54)*(3*((2078-2022)/I54)^2-2*((2078-2022)/I54)^3)))</f>
        <v>0.0800724110033994</v>
      </c>
      <c r="BQ54" s="30" t="n">
        <f aca="false">BP54*(1-IF((2079-2022)/I54&gt;=1,J54,H54+(J54-H54)*(3*((2079-2022)/I54)^2-2*((2079-2022)/I54)^3)))</f>
        <v>0.0791595855179606</v>
      </c>
      <c r="BR54" s="30" t="n">
        <f aca="false">BQ54*(1-IF((2080-2022)/I54&gt;=1,J54,H54+(J54-H54)*(3*((2080-2022)/I54)^2-2*((2080-2022)/I54)^3)))</f>
        <v>0.0782571662430559</v>
      </c>
      <c r="BS54" s="30" t="n">
        <f aca="false">BR54*(1-IF((2081-2022)/I54&gt;=1,J54,H54+(J54-H54)*(3*((2081-2022)/I54)^2-2*((2081-2022)/I54)^3)))</f>
        <v>0.077365034547885</v>
      </c>
      <c r="BT54" s="30" t="n">
        <f aca="false">BS54*(1-IF((2082-2022)/I54&gt;=1,J54,H54+(J54-H54)*(3*((2082-2022)/I54)^2-2*((2082-2022)/I54)^3)))</f>
        <v>0.0764830731540392</v>
      </c>
      <c r="BU54" s="30" t="n">
        <f aca="false">BT54*(1-IF((2083-2022)/I54&gt;=1,J54,H54+(J54-H54)*(3*((2083-2022)/I54)^2-2*((2083-2022)/I54)^3)))</f>
        <v>0.0756111661200831</v>
      </c>
      <c r="BV54" s="30" t="n">
        <f aca="false">BU54*(1-IF((2084-2022)/I54&gt;=1,J54,H54+(J54-H54)*(3*((2084-2022)/I54)^2-2*((2084-2022)/I54)^3)))</f>
        <v>0.0747491988263142</v>
      </c>
      <c r="BW54" s="30" t="n">
        <f aca="false">BV54*(1-IF((2085-2022)/I54&gt;=1,J54,H54+(J54-H54)*(3*((2085-2022)/I54)^2-2*((2085-2022)/I54)^3)))</f>
        <v>0.0738970579596942</v>
      </c>
      <c r="BX54" s="30" t="n">
        <f aca="false">BW54*(1-IF((2086-2022)/I54&gt;=1,J54,H54+(J54-H54)*(3*((2086-2022)/I54)^2-2*((2086-2022)/I54)^3)))</f>
        <v>0.0730546314989537</v>
      </c>
      <c r="BY54" s="30" t="n">
        <f aca="false">BX54*(1-IF((2087-2022)/I54&gt;=1,J54,H54+(J54-H54)*(3*((2087-2022)/I54)^2-2*((2087-2022)/I54)^3)))</f>
        <v>0.0722218086998656</v>
      </c>
      <c r="BZ54" s="30" t="n">
        <f aca="false">BY54*(1-IF((2088-2022)/I54&gt;=1,J54,H54+(J54-H54)*(3*((2088-2022)/I54)^2-2*((2088-2022)/I54)^3)))</f>
        <v>0.0713984800806871</v>
      </c>
      <c r="CA54" s="30" t="n">
        <f aca="false">BZ54*(1-IF((2089-2022)/I54&gt;=1,J54,H54+(J54-H54)*(3*((2089-2022)/I54)^2-2*((2089-2022)/I54)^3)))</f>
        <v>0.0705845374077673</v>
      </c>
      <c r="CB54" s="30" t="n">
        <f aca="false">CA54*(1-IF((2090-2022)/I54&gt;=1,J54,H54+(J54-H54)*(3*((2090-2022)/I54)^2-2*((2090-2022)/I54)^3)))</f>
        <v>0.0697798736813188</v>
      </c>
      <c r="CC54" s="30" t="n">
        <f aca="false">CB54*(1-IF((2091-2022)/I54&gt;=1,J54,H54+(J54-H54)*(3*((2091-2022)/I54)^2-2*((2091-2022)/I54)^3)))</f>
        <v>0.0689843831213517</v>
      </c>
    </row>
    <row r="55" customFormat="false" ht="15" hidden="false" customHeight="true" outlineLevel="0" collapsed="false">
      <c r="A55" s="3" t="n">
        <v>92</v>
      </c>
      <c r="B55" s="30" t="n">
        <f aca="false">IF($A55&lt;=105,INDEX(ILT17_Source!$D$7:$D$52,MATCH($A55,ILT17_Source!$A$7:$A$52,0)),($B$16*EXP($B$17*$A55))/(1+$B$16*EXP($B$17*$A55)))</f>
        <v>0.204597085</v>
      </c>
      <c r="C55" s="31" t="n">
        <f aca="false">LOOKUP($A55,{60,65,70,75,80,85,90,95},{0.78,0.82,0.85,0.88,0.91,0.94,0.97,1})</f>
        <v>0.97</v>
      </c>
      <c r="D55" s="30" t="n">
        <f aca="false">B55*C55</f>
        <v>0.19845917245</v>
      </c>
      <c r="E55" s="30" t="n">
        <f aca="false">1/(1+EXP(-(($B$6+$B$8*(2016-2022))+($B$7+$B$9*(2016-2022))*($A55-$B$10))))</f>
        <v>0.178744368589776</v>
      </c>
      <c r="F55" s="30" t="n">
        <f aca="false">1/(1+EXP(-(($B$6+$B$8*(2021-2022))+($B$7+$B$9*(2021-2022))*($A55-$B$10))))</f>
        <v>0.169937606747717</v>
      </c>
      <c r="G55" s="30" t="n">
        <f aca="false">1/(1+EXP(-(($B$6+$B$8*(2022-2022))+($B$7+$B$9*(2022-2022))*($A55-$B$10))))</f>
        <v>0.168218245703695</v>
      </c>
      <c r="H55" s="32" t="n">
        <f aca="false">(F55-G55)/F55</f>
        <v>0.0101176018476871</v>
      </c>
      <c r="I55" s="38" t="n">
        <f aca="false">IF($A55&lt;=50,$B$14,IF($A55&gt;=95,$B$15,$B$14+($B$15-$B$14)*($A55-50)/(95-50)))</f>
        <v>6</v>
      </c>
      <c r="J55" s="39" t="n">
        <f aca="false">IF($A55&lt;=$B$12,$B$11,IF($A55&gt;=$B$13,0,$B$11*($B$13-$A55)/($B$13-$B$12)))</f>
        <v>0.0108</v>
      </c>
      <c r="K55" s="30" t="n">
        <f aca="false">D55*G55/E55</f>
        <v>0.186772059431782</v>
      </c>
      <c r="L55" s="30" t="n">
        <f aca="false">K55*$B$19</f>
        <v>0.168094853488604</v>
      </c>
      <c r="M55" s="30" t="n">
        <f aca="false">L55*(1-IF((2023-2022)/I55&gt;=1,J55,H55+(J55-H55)*(3*((2023-2022)/I55)^2-2*((2023-2022)/I55)^3)))</f>
        <v>0.16638563982781</v>
      </c>
      <c r="N55" s="30" t="n">
        <f aca="false">M55*(1-IF((2024-2022)/I55&gt;=1,J55,H55+(J55-H55)*(3*((2024-2022)/I55)^2-2*((2024-2022)/I55)^3)))</f>
        <v>0.164672779549663</v>
      </c>
      <c r="O55" s="30" t="n">
        <f aca="false">N55*(1-IF((2025-2022)/I55&gt;=1,J55,H55+(J55-H55)*(3*((2025-2022)/I55)^2-2*((2025-2022)/I55)^3)))</f>
        <v>0.162950499730777</v>
      </c>
      <c r="P55" s="30" t="n">
        <f aca="false">O55*(1-IF((2026-2022)/I55&gt;=1,J55,H55+(J55-H55)*(3*((2026-2022)/I55)^2-2*((2026-2022)/I55)^3)))</f>
        <v>0.16121946321663</v>
      </c>
      <c r="Q55" s="30" t="n">
        <f aca="false">P55*(1-IF((2027-2022)/I55&gt;=1,J55,H55+(J55-H55)*(3*((2027-2022)/I55)^2-2*((2027-2022)/I55)^3)))</f>
        <v>0.159486442337136</v>
      </c>
      <c r="R55" s="30" t="n">
        <f aca="false">Q55*(1-IF((2028-2022)/I55&gt;=1,J55,H55+(J55-H55)*(3*((2028-2022)/I55)^2-2*((2028-2022)/I55)^3)))</f>
        <v>0.157763988759895</v>
      </c>
      <c r="S55" s="30" t="n">
        <f aca="false">R55*(1-IF((2029-2022)/I55&gt;=1,J55,H55+(J55-H55)*(3*((2029-2022)/I55)^2-2*((2029-2022)/I55)^3)))</f>
        <v>0.156060137681288</v>
      </c>
      <c r="T55" s="30" t="n">
        <f aca="false">S55*(1-IF((2030-2022)/I55&gt;=1,J55,H55+(J55-H55)*(3*((2030-2022)/I55)^2-2*((2030-2022)/I55)^3)))</f>
        <v>0.15437468819433</v>
      </c>
      <c r="U55" s="30" t="n">
        <f aca="false">T55*(1-IF((2031-2022)/I55&gt;=1,J55,H55+(J55-H55)*(3*((2031-2022)/I55)^2-2*((2031-2022)/I55)^3)))</f>
        <v>0.152707441561832</v>
      </c>
      <c r="V55" s="30" t="n">
        <f aca="false">U55*(1-IF((2032-2022)/I55&gt;=1,J55,H55+(J55-H55)*(3*((2032-2022)/I55)^2-2*((2032-2022)/I55)^3)))</f>
        <v>0.151058201192964</v>
      </c>
      <c r="W55" s="30" t="n">
        <f aca="false">V55*(1-IF((2033-2022)/I55&gt;=1,J55,H55+(J55-H55)*(3*((2033-2022)/I55)^2-2*((2033-2022)/I55)^3)))</f>
        <v>0.14942677262008</v>
      </c>
      <c r="X55" s="30" t="n">
        <f aca="false">W55*(1-IF((2034-2022)/I55&gt;=1,J55,H55+(J55-H55)*(3*((2034-2022)/I55)^2-2*((2034-2022)/I55)^3)))</f>
        <v>0.147812963475783</v>
      </c>
      <c r="Y55" s="30" t="n">
        <f aca="false">X55*(1-IF((2035-2022)/I55&gt;=1,J55,H55+(J55-H55)*(3*((2035-2022)/I55)^2-2*((2035-2022)/I55)^3)))</f>
        <v>0.146216583470245</v>
      </c>
      <c r="Z55" s="30" t="n">
        <f aca="false">Y55*(1-IF((2036-2022)/I55&gt;=1,J55,H55+(J55-H55)*(3*((2036-2022)/I55)^2-2*((2036-2022)/I55)^3)))</f>
        <v>0.144637444368766</v>
      </c>
      <c r="AA55" s="30" t="n">
        <f aca="false">Z55*(1-IF((2037-2022)/I55&gt;=1,J55,H55+(J55-H55)*(3*((2037-2022)/I55)^2-2*((2037-2022)/I55)^3)))</f>
        <v>0.143075359969583</v>
      </c>
      <c r="AB55" s="30" t="n">
        <f aca="false">AA55*(1-IF((2038-2022)/I55&gt;=1,J55,H55+(J55-H55)*(3*((2038-2022)/I55)^2-2*((2038-2022)/I55)^3)))</f>
        <v>0.141530146081912</v>
      </c>
      <c r="AC55" s="30" t="n">
        <f aca="false">AB55*(1-IF((2039-2022)/I55&gt;=1,J55,H55+(J55-H55)*(3*((2039-2022)/I55)^2-2*((2039-2022)/I55)^3)))</f>
        <v>0.140001620504227</v>
      </c>
      <c r="AD55" s="30" t="n">
        <f aca="false">AC55*(1-IF((2040-2022)/I55&gt;=1,J55,H55+(J55-H55)*(3*((2040-2022)/I55)^2-2*((2040-2022)/I55)^3)))</f>
        <v>0.138489603002781</v>
      </c>
      <c r="AE55" s="30" t="n">
        <f aca="false">AD55*(1-IF((2041-2022)/I55&gt;=1,J55,H55+(J55-H55)*(3*((2041-2022)/I55)^2-2*((2041-2022)/I55)^3)))</f>
        <v>0.136993915290351</v>
      </c>
      <c r="AF55" s="30" t="n">
        <f aca="false">AE55*(1-IF((2042-2022)/I55&gt;=1,J55,H55+(J55-H55)*(3*((2042-2022)/I55)^2-2*((2042-2022)/I55)^3)))</f>
        <v>0.135514381005216</v>
      </c>
      <c r="AG55" s="30" t="n">
        <f aca="false">AF55*(1-IF((2043-2022)/I55&gt;=1,J55,H55+(J55-H55)*(3*((2043-2022)/I55)^2-2*((2043-2022)/I55)^3)))</f>
        <v>0.134050825690359</v>
      </c>
      <c r="AH55" s="30" t="n">
        <f aca="false">AG55*(1-IF((2044-2022)/I55&gt;=1,J55,H55+(J55-H55)*(3*((2044-2022)/I55)^2-2*((2044-2022)/I55)^3)))</f>
        <v>0.132603076772903</v>
      </c>
      <c r="AI55" s="30" t="n">
        <f aca="false">AH55*(1-IF((2045-2022)/I55&gt;=1,J55,H55+(J55-H55)*(3*((2045-2022)/I55)^2-2*((2045-2022)/I55)^3)))</f>
        <v>0.131170963543756</v>
      </c>
      <c r="AJ55" s="30" t="n">
        <f aca="false">AI55*(1-IF((2046-2022)/I55&gt;=1,J55,H55+(J55-H55)*(3*((2046-2022)/I55)^2-2*((2046-2022)/I55)^3)))</f>
        <v>0.129754317137483</v>
      </c>
      <c r="AK55" s="30" t="n">
        <f aca="false">AJ55*(1-IF((2047-2022)/I55&gt;=1,J55,H55+(J55-H55)*(3*((2047-2022)/I55)^2-2*((2047-2022)/I55)^3)))</f>
        <v>0.128352970512399</v>
      </c>
      <c r="AL55" s="30" t="n">
        <f aca="false">AK55*(1-IF((2048-2022)/I55&gt;=1,J55,H55+(J55-H55)*(3*((2048-2022)/I55)^2-2*((2048-2022)/I55)^3)))</f>
        <v>0.126966758430865</v>
      </c>
      <c r="AM55" s="30" t="n">
        <f aca="false">AL55*(1-IF((2049-2022)/I55&gt;=1,J55,H55+(J55-H55)*(3*((2049-2022)/I55)^2-2*((2049-2022)/I55)^3)))</f>
        <v>0.125595517439811</v>
      </c>
      <c r="AN55" s="30" t="n">
        <f aca="false">AM55*(1-IF((2050-2022)/I55&gt;=1,J55,H55+(J55-H55)*(3*((2050-2022)/I55)^2-2*((2050-2022)/I55)^3)))</f>
        <v>0.124239085851461</v>
      </c>
      <c r="AO55" s="30" t="n">
        <f aca="false">AN55*(1-IF((2051-2022)/I55&gt;=1,J55,H55+(J55-H55)*(3*((2051-2022)/I55)^2-2*((2051-2022)/I55)^3)))</f>
        <v>0.122897303724266</v>
      </c>
      <c r="AP55" s="30" t="n">
        <f aca="false">AO55*(1-IF((2052-2022)/I55&gt;=1,J55,H55+(J55-H55)*(3*((2052-2022)/I55)^2-2*((2052-2022)/I55)^3)))</f>
        <v>0.121570012844043</v>
      </c>
      <c r="AQ55" s="30" t="n">
        <f aca="false">AP55*(1-IF((2053-2022)/I55&gt;=1,J55,H55+(J55-H55)*(3*((2053-2022)/I55)^2-2*((2053-2022)/I55)^3)))</f>
        <v>0.120257056705328</v>
      </c>
      <c r="AR55" s="30" t="n">
        <f aca="false">AQ55*(1-IF((2054-2022)/I55&gt;=1,J55,H55+(J55-H55)*(3*((2054-2022)/I55)^2-2*((2054-2022)/I55)^3)))</f>
        <v>0.11895828049291</v>
      </c>
      <c r="AS55" s="30" t="n">
        <f aca="false">AR55*(1-IF((2055-2022)/I55&gt;=1,J55,H55+(J55-H55)*(3*((2055-2022)/I55)^2-2*((2055-2022)/I55)^3)))</f>
        <v>0.117673531063587</v>
      </c>
      <c r="AT55" s="30" t="n">
        <f aca="false">AS55*(1-IF((2056-2022)/I55&gt;=1,J55,H55+(J55-H55)*(3*((2056-2022)/I55)^2-2*((2056-2022)/I55)^3)))</f>
        <v>0.1164026569281</v>
      </c>
      <c r="AU55" s="30" t="n">
        <f aca="false">AT55*(1-IF((2057-2022)/I55&gt;=1,J55,H55+(J55-H55)*(3*((2057-2022)/I55)^2-2*((2057-2022)/I55)^3)))</f>
        <v>0.115145508233277</v>
      </c>
      <c r="AV55" s="30" t="n">
        <f aca="false">AU55*(1-IF((2058-2022)/I55&gt;=1,J55,H55+(J55-H55)*(3*((2058-2022)/I55)^2-2*((2058-2022)/I55)^3)))</f>
        <v>0.113901936744357</v>
      </c>
      <c r="AW55" s="30" t="n">
        <f aca="false">AV55*(1-IF((2059-2022)/I55&gt;=1,J55,H55+(J55-H55)*(3*((2059-2022)/I55)^2-2*((2059-2022)/I55)^3)))</f>
        <v>0.112671795827518</v>
      </c>
      <c r="AX55" s="30" t="n">
        <f aca="false">AW55*(1-IF((2060-2022)/I55&gt;=1,J55,H55+(J55-H55)*(3*((2060-2022)/I55)^2-2*((2060-2022)/I55)^3)))</f>
        <v>0.111454940432581</v>
      </c>
      <c r="AY55" s="30" t="n">
        <f aca="false">AX55*(1-IF((2061-2022)/I55&gt;=1,J55,H55+(J55-H55)*(3*((2061-2022)/I55)^2-2*((2061-2022)/I55)^3)))</f>
        <v>0.110251227075909</v>
      </c>
      <c r="AZ55" s="30" t="n">
        <f aca="false">AY55*(1-IF((2062-2022)/I55&gt;=1,J55,H55+(J55-H55)*(3*((2062-2022)/I55)^2-2*((2062-2022)/I55)^3)))</f>
        <v>0.109060513823489</v>
      </c>
      <c r="BA55" s="30" t="n">
        <f aca="false">AZ55*(1-IF((2063-2022)/I55&gt;=1,J55,H55+(J55-H55)*(3*((2063-2022)/I55)^2-2*((2063-2022)/I55)^3)))</f>
        <v>0.107882660274196</v>
      </c>
      <c r="BB55" s="30" t="n">
        <f aca="false">BA55*(1-IF((2064-2022)/I55&gt;=1,J55,H55+(J55-H55)*(3*((2064-2022)/I55)^2-2*((2064-2022)/I55)^3)))</f>
        <v>0.106717527543234</v>
      </c>
      <c r="BC55" s="30" t="n">
        <f aca="false">BB55*(1-IF((2065-2022)/I55&gt;=1,J55,H55+(J55-H55)*(3*((2065-2022)/I55)^2-2*((2065-2022)/I55)^3)))</f>
        <v>0.105564978245767</v>
      </c>
      <c r="BD55" s="30" t="n">
        <f aca="false">BC55*(1-IF((2066-2022)/I55&gt;=1,J55,H55+(J55-H55)*(3*((2066-2022)/I55)^2-2*((2066-2022)/I55)^3)))</f>
        <v>0.104424876480713</v>
      </c>
      <c r="BE55" s="30" t="n">
        <f aca="false">BD55*(1-IF((2067-2022)/I55&gt;=1,J55,H55+(J55-H55)*(3*((2067-2022)/I55)^2-2*((2067-2022)/I55)^3)))</f>
        <v>0.103297087814721</v>
      </c>
      <c r="BF55" s="30" t="n">
        <f aca="false">BE55*(1-IF((2068-2022)/I55&gt;=1,J55,H55+(J55-H55)*(3*((2068-2022)/I55)^2-2*((2068-2022)/I55)^3)))</f>
        <v>0.102181479266322</v>
      </c>
      <c r="BG55" s="30" t="n">
        <f aca="false">BF55*(1-IF((2069-2022)/I55&gt;=1,J55,H55+(J55-H55)*(3*((2069-2022)/I55)^2-2*((2069-2022)/I55)^3)))</f>
        <v>0.101077919290246</v>
      </c>
      <c r="BH55" s="30" t="n">
        <f aca="false">BG55*(1-IF((2070-2022)/I55&gt;=1,J55,H55+(J55-H55)*(3*((2070-2022)/I55)^2-2*((2070-2022)/I55)^3)))</f>
        <v>0.0999862777619114</v>
      </c>
      <c r="BI55" s="30" t="n">
        <f aca="false">BH55*(1-IF((2071-2022)/I55&gt;=1,J55,H55+(J55-H55)*(3*((2071-2022)/I55)^2-2*((2071-2022)/I55)^3)))</f>
        <v>0.0989064259620828</v>
      </c>
      <c r="BJ55" s="30" t="n">
        <f aca="false">BI55*(1-IF((2072-2022)/I55&gt;=1,J55,H55+(J55-H55)*(3*((2072-2022)/I55)^2-2*((2072-2022)/I55)^3)))</f>
        <v>0.0978382365616923</v>
      </c>
      <c r="BK55" s="30" t="n">
        <f aca="false">BJ55*(1-IF((2073-2022)/I55&gt;=1,J55,H55+(J55-H55)*(3*((2073-2022)/I55)^2-2*((2073-2022)/I55)^3)))</f>
        <v>0.096781583606826</v>
      </c>
      <c r="BL55" s="30" t="n">
        <f aca="false">BK55*(1-IF((2074-2022)/I55&gt;=1,J55,H55+(J55-H55)*(3*((2074-2022)/I55)^2-2*((2074-2022)/I55)^3)))</f>
        <v>0.0957363425038723</v>
      </c>
      <c r="BM55" s="30" t="n">
        <f aca="false">BL55*(1-IF((2075-2022)/I55&gt;=1,J55,H55+(J55-H55)*(3*((2075-2022)/I55)^2-2*((2075-2022)/I55)^3)))</f>
        <v>0.0947023900048304</v>
      </c>
      <c r="BN55" s="30" t="n">
        <f aca="false">BM55*(1-IF((2076-2022)/I55&gt;=1,J55,H55+(J55-H55)*(3*((2076-2022)/I55)^2-2*((2076-2022)/I55)^3)))</f>
        <v>0.0936796041927783</v>
      </c>
      <c r="BO55" s="30" t="n">
        <f aca="false">BN55*(1-IF((2077-2022)/I55&gt;=1,J55,H55+(J55-H55)*(3*((2077-2022)/I55)^2-2*((2077-2022)/I55)^3)))</f>
        <v>0.0926678644674963</v>
      </c>
      <c r="BP55" s="30" t="n">
        <f aca="false">BO55*(1-IF((2078-2022)/I55&gt;=1,J55,H55+(J55-H55)*(3*((2078-2022)/I55)^2-2*((2078-2022)/I55)^3)))</f>
        <v>0.0916670515312473</v>
      </c>
      <c r="BQ55" s="30" t="n">
        <f aca="false">BP55*(1-IF((2079-2022)/I55&gt;=1,J55,H55+(J55-H55)*(3*((2079-2022)/I55)^2-2*((2079-2022)/I55)^3)))</f>
        <v>0.0906770473747098</v>
      </c>
      <c r="BR55" s="30" t="n">
        <f aca="false">BQ55*(1-IF((2080-2022)/I55&gt;=1,J55,H55+(J55-H55)*(3*((2080-2022)/I55)^2-2*((2080-2022)/I55)^3)))</f>
        <v>0.089697735263063</v>
      </c>
      <c r="BS55" s="30" t="n">
        <f aca="false">BR55*(1-IF((2081-2022)/I55&gt;=1,J55,H55+(J55-H55)*(3*((2081-2022)/I55)^2-2*((2081-2022)/I55)^3)))</f>
        <v>0.0887289997222219</v>
      </c>
      <c r="BT55" s="30" t="n">
        <f aca="false">BS55*(1-IF((2082-2022)/I55&gt;=1,J55,H55+(J55-H55)*(3*((2082-2022)/I55)^2-2*((2082-2022)/I55)^3)))</f>
        <v>0.0877707265252219</v>
      </c>
      <c r="BU55" s="30" t="n">
        <f aca="false">BT55*(1-IF((2083-2022)/I55&gt;=1,J55,H55+(J55-H55)*(3*((2083-2022)/I55)^2-2*((2083-2022)/I55)^3)))</f>
        <v>0.0868228026787495</v>
      </c>
      <c r="BV55" s="30" t="n">
        <f aca="false">BU55*(1-IF((2084-2022)/I55&gt;=1,J55,H55+(J55-H55)*(3*((2084-2022)/I55)^2-2*((2084-2022)/I55)^3)))</f>
        <v>0.085885116409819</v>
      </c>
      <c r="BW55" s="30" t="n">
        <f aca="false">BV55*(1-IF((2085-2022)/I55&gt;=1,J55,H55+(J55-H55)*(3*((2085-2022)/I55)^2-2*((2085-2022)/I55)^3)))</f>
        <v>0.0849575571525929</v>
      </c>
      <c r="BX55" s="30" t="n">
        <f aca="false">BW55*(1-IF((2086-2022)/I55&gt;=1,J55,H55+(J55-H55)*(3*((2086-2022)/I55)^2-2*((2086-2022)/I55)^3)))</f>
        <v>0.0840400155353449</v>
      </c>
      <c r="BY55" s="30" t="n">
        <f aca="false">BX55*(1-IF((2087-2022)/I55&gt;=1,J55,H55+(J55-H55)*(3*((2087-2022)/I55)^2-2*((2087-2022)/I55)^3)))</f>
        <v>0.0831323833675632</v>
      </c>
      <c r="BZ55" s="30" t="n">
        <f aca="false">BY55*(1-IF((2088-2022)/I55&gt;=1,J55,H55+(J55-H55)*(3*((2088-2022)/I55)^2-2*((2088-2022)/I55)^3)))</f>
        <v>0.0822345536271935</v>
      </c>
      <c r="CA55" s="30" t="n">
        <f aca="false">BZ55*(1-IF((2089-2022)/I55&gt;=1,J55,H55+(J55-H55)*(3*((2089-2022)/I55)^2-2*((2089-2022)/I55)^3)))</f>
        <v>0.0813464204480198</v>
      </c>
      <c r="CB55" s="30" t="n">
        <f aca="false">CA55*(1-IF((2090-2022)/I55&gt;=1,J55,H55+(J55-H55)*(3*((2090-2022)/I55)^2-2*((2090-2022)/I55)^3)))</f>
        <v>0.0804678791071812</v>
      </c>
      <c r="CC55" s="30" t="n">
        <f aca="false">CB55*(1-IF((2091-2022)/I55&gt;=1,J55,H55+(J55-H55)*(3*((2091-2022)/I55)^2-2*((2091-2022)/I55)^3)))</f>
        <v>0.0795988260128236</v>
      </c>
    </row>
    <row r="56" customFormat="false" ht="15" hidden="false" customHeight="true" outlineLevel="0" collapsed="false">
      <c r="A56" s="3" t="n">
        <v>93</v>
      </c>
      <c r="B56" s="30" t="n">
        <f aca="false">IF($A56&lt;=105,INDEX(ILT17_Source!$D$7:$D$52,MATCH($A56,ILT17_Source!$A$7:$A$52,0)),($B$16*EXP($B$17*$A56))/(1+$B$16*EXP($B$17*$A56)))</f>
        <v>0.221756995</v>
      </c>
      <c r="C56" s="31" t="n">
        <f aca="false">LOOKUP($A56,{60,65,70,75,80,85,90,95},{0.78,0.82,0.85,0.88,0.91,0.94,0.97,1})</f>
        <v>0.97</v>
      </c>
      <c r="D56" s="30" t="n">
        <f aca="false">B56*C56</f>
        <v>0.21510428515</v>
      </c>
      <c r="E56" s="30" t="n">
        <f aca="false">1/(1+EXP(-(($B$6+$B$8*(2016-2022))+($B$7+$B$9*(2016-2022))*($A56-$B$10))))</f>
        <v>0.195574423769441</v>
      </c>
      <c r="F56" s="30" t="n">
        <f aca="false">1/(1+EXP(-(($B$6+$B$8*(2021-2022))+($B$7+$B$9*(2021-2022))*($A56-$B$10))))</f>
        <v>0.186540705153664</v>
      </c>
      <c r="G56" s="30" t="n">
        <f aca="false">1/(1+EXP(-(($B$6+$B$8*(2022-2022))+($B$7+$B$9*(2022-2022))*($A56-$B$10))))</f>
        <v>0.18477305300669</v>
      </c>
      <c r="H56" s="32" t="n">
        <f aca="false">(F56-G56)/F56</f>
        <v>0.00947595939191226</v>
      </c>
      <c r="I56" s="38" t="n">
        <f aca="false">IF($A56&lt;=50,$B$14,IF($A56&gt;=95,$B$15,$B$14+($B$15-$B$14)*($A56-50)/(95-50)))</f>
        <v>5.66666666666667</v>
      </c>
      <c r="J56" s="39" t="n">
        <f aca="false">IF($A56&lt;=$B$12,$B$11,IF($A56&gt;=$B$13,0,$B$11*($B$13-$A56)/($B$13-$B$12)))</f>
        <v>0.0102</v>
      </c>
      <c r="K56" s="30" t="n">
        <f aca="false">D56*G56/E56</f>
        <v>0.203224300580541</v>
      </c>
      <c r="L56" s="30" t="n">
        <f aca="false">K56*$B$19</f>
        <v>0.182901870522487</v>
      </c>
      <c r="M56" s="30" t="n">
        <f aca="false">L56*(1-IF((2023-2022)/I56&gt;=1,J56,H56+(J56-H56)*(3*((2023-2022)/I56)^2-2*((2023-2022)/I56)^3)))</f>
        <v>0.18115778317612</v>
      </c>
      <c r="N56" s="30" t="n">
        <f aca="false">M56*(1-IF((2024-2022)/I56&gt;=1,J56,H56+(J56-H56)*(3*((2024-2022)/I56)^2-2*((2024-2022)/I56)^3)))</f>
        <v>0.179403655868029</v>
      </c>
      <c r="O56" s="30" t="n">
        <f aca="false">N56*(1-IF((2025-2022)/I56&gt;=1,J56,H56+(J56-H56)*(3*((2025-2022)/I56)^2-2*((2025-2022)/I56)^3)))</f>
        <v>0.177632962268767</v>
      </c>
      <c r="P56" s="30" t="n">
        <f aca="false">O56*(1-IF((2026-2022)/I56&gt;=1,J56,H56+(J56-H56)*(3*((2026-2022)/I56)^2-2*((2026-2022)/I56)^3)))</f>
        <v>0.175847938704748</v>
      </c>
      <c r="Q56" s="30" t="n">
        <f aca="false">P56*(1-IF((2027-2022)/I56&gt;=1,J56,H56+(J56-H56)*(3*((2027-2022)/I56)^2-2*((2027-2022)/I56)^3)))</f>
        <v>0.174059161774966</v>
      </c>
      <c r="R56" s="30" t="n">
        <f aca="false">Q56*(1-IF((2028-2022)/I56&gt;=1,J56,H56+(J56-H56)*(3*((2028-2022)/I56)^2-2*((2028-2022)/I56)^3)))</f>
        <v>0.172283758324861</v>
      </c>
      <c r="S56" s="30" t="n">
        <f aca="false">R56*(1-IF((2029-2022)/I56&gt;=1,J56,H56+(J56-H56)*(3*((2029-2022)/I56)^2-2*((2029-2022)/I56)^3)))</f>
        <v>0.170526463989947</v>
      </c>
      <c r="T56" s="30" t="n">
        <f aca="false">S56*(1-IF((2030-2022)/I56&gt;=1,J56,H56+(J56-H56)*(3*((2030-2022)/I56)^2-2*((2030-2022)/I56)^3)))</f>
        <v>0.16878709405725</v>
      </c>
      <c r="U56" s="30" t="n">
        <f aca="false">T56*(1-IF((2031-2022)/I56&gt;=1,J56,H56+(J56-H56)*(3*((2031-2022)/I56)^2-2*((2031-2022)/I56)^3)))</f>
        <v>0.167065465697866</v>
      </c>
      <c r="V56" s="30" t="n">
        <f aca="false">U56*(1-IF((2032-2022)/I56&gt;=1,J56,H56+(J56-H56)*(3*((2032-2022)/I56)^2-2*((2032-2022)/I56)^3)))</f>
        <v>0.165361397947748</v>
      </c>
      <c r="W56" s="30" t="n">
        <f aca="false">V56*(1-IF((2033-2022)/I56&gt;=1,J56,H56+(J56-H56)*(3*((2033-2022)/I56)^2-2*((2033-2022)/I56)^3)))</f>
        <v>0.163674711688681</v>
      </c>
      <c r="X56" s="30" t="n">
        <f aca="false">W56*(1-IF((2034-2022)/I56&gt;=1,J56,H56+(J56-H56)*(3*((2034-2022)/I56)^2-2*((2034-2022)/I56)^3)))</f>
        <v>0.162005229629456</v>
      </c>
      <c r="Y56" s="30" t="n">
        <f aca="false">X56*(1-IF((2035-2022)/I56&gt;=1,J56,H56+(J56-H56)*(3*((2035-2022)/I56)^2-2*((2035-2022)/I56)^3)))</f>
        <v>0.160352776287236</v>
      </c>
      <c r="Z56" s="30" t="n">
        <f aca="false">Y56*(1-IF((2036-2022)/I56&gt;=1,J56,H56+(J56-H56)*(3*((2036-2022)/I56)^2-2*((2036-2022)/I56)^3)))</f>
        <v>0.158717177969106</v>
      </c>
      <c r="AA56" s="30" t="n">
        <f aca="false">Z56*(1-IF((2037-2022)/I56&gt;=1,J56,H56+(J56-H56)*(3*((2037-2022)/I56)^2-2*((2037-2022)/I56)^3)))</f>
        <v>0.157098262753821</v>
      </c>
      <c r="AB56" s="30" t="n">
        <f aca="false">AA56*(1-IF((2038-2022)/I56&gt;=1,J56,H56+(J56-H56)*(3*((2038-2022)/I56)^2-2*((2038-2022)/I56)^3)))</f>
        <v>0.155495860473732</v>
      </c>
      <c r="AC56" s="30" t="n">
        <f aca="false">AB56*(1-IF((2039-2022)/I56&gt;=1,J56,H56+(J56-H56)*(3*((2039-2022)/I56)^2-2*((2039-2022)/I56)^3)))</f>
        <v>0.1539098026969</v>
      </c>
      <c r="AD56" s="30" t="n">
        <f aca="false">AC56*(1-IF((2040-2022)/I56&gt;=1,J56,H56+(J56-H56)*(3*((2040-2022)/I56)^2-2*((2040-2022)/I56)^3)))</f>
        <v>0.152339922709392</v>
      </c>
      <c r="AE56" s="30" t="n">
        <f aca="false">AD56*(1-IF((2041-2022)/I56&gt;=1,J56,H56+(J56-H56)*(3*((2041-2022)/I56)^2-2*((2041-2022)/I56)^3)))</f>
        <v>0.150786055497756</v>
      </c>
      <c r="AF56" s="30" t="n">
        <f aca="false">AE56*(1-IF((2042-2022)/I56&gt;=1,J56,H56+(J56-H56)*(3*((2042-2022)/I56)^2-2*((2042-2022)/I56)^3)))</f>
        <v>0.149248037731679</v>
      </c>
      <c r="AG56" s="30" t="n">
        <f aca="false">AF56*(1-IF((2043-2022)/I56&gt;=1,J56,H56+(J56-H56)*(3*((2043-2022)/I56)^2-2*((2043-2022)/I56)^3)))</f>
        <v>0.147725707746816</v>
      </c>
      <c r="AH56" s="30" t="n">
        <f aca="false">AG56*(1-IF((2044-2022)/I56&gt;=1,J56,H56+(J56-H56)*(3*((2044-2022)/I56)^2-2*((2044-2022)/I56)^3)))</f>
        <v>0.146218905527798</v>
      </c>
      <c r="AI56" s="30" t="n">
        <f aca="false">AH56*(1-IF((2045-2022)/I56&gt;=1,J56,H56+(J56-H56)*(3*((2045-2022)/I56)^2-2*((2045-2022)/I56)^3)))</f>
        <v>0.144727472691415</v>
      </c>
      <c r="AJ56" s="30" t="n">
        <f aca="false">AI56*(1-IF((2046-2022)/I56&gt;=1,J56,H56+(J56-H56)*(3*((2046-2022)/I56)^2-2*((2046-2022)/I56)^3)))</f>
        <v>0.143251252469962</v>
      </c>
      <c r="AK56" s="30" t="n">
        <f aca="false">AJ56*(1-IF((2047-2022)/I56&gt;=1,J56,H56+(J56-H56)*(3*((2047-2022)/I56)^2-2*((2047-2022)/I56)^3)))</f>
        <v>0.141790089694768</v>
      </c>
      <c r="AL56" s="30" t="n">
        <f aca="false">AK56*(1-IF((2048-2022)/I56&gt;=1,J56,H56+(J56-H56)*(3*((2048-2022)/I56)^2-2*((2048-2022)/I56)^3)))</f>
        <v>0.140343830779882</v>
      </c>
      <c r="AM56" s="30" t="n">
        <f aca="false">AL56*(1-IF((2049-2022)/I56&gt;=1,J56,H56+(J56-H56)*(3*((2049-2022)/I56)^2-2*((2049-2022)/I56)^3)))</f>
        <v>0.138912323705927</v>
      </c>
      <c r="AN56" s="30" t="n">
        <f aca="false">AM56*(1-IF((2050-2022)/I56&gt;=1,J56,H56+(J56-H56)*(3*((2050-2022)/I56)^2-2*((2050-2022)/I56)^3)))</f>
        <v>0.137495418004127</v>
      </c>
      <c r="AO56" s="30" t="n">
        <f aca="false">AN56*(1-IF((2051-2022)/I56&gt;=1,J56,H56+(J56-H56)*(3*((2051-2022)/I56)^2-2*((2051-2022)/I56)^3)))</f>
        <v>0.136092964740485</v>
      </c>
      <c r="AP56" s="30" t="n">
        <f aca="false">AO56*(1-IF((2052-2022)/I56&gt;=1,J56,H56+(J56-H56)*(3*((2052-2022)/I56)^2-2*((2052-2022)/I56)^3)))</f>
        <v>0.134704816500132</v>
      </c>
      <c r="AQ56" s="30" t="n">
        <f aca="false">AP56*(1-IF((2053-2022)/I56&gt;=1,J56,H56+(J56-H56)*(3*((2053-2022)/I56)^2-2*((2053-2022)/I56)^3)))</f>
        <v>0.13333082737183</v>
      </c>
      <c r="AR56" s="30" t="n">
        <f aca="false">AQ56*(1-IF((2054-2022)/I56&gt;=1,J56,H56+(J56-H56)*(3*((2054-2022)/I56)^2-2*((2054-2022)/I56)^3)))</f>
        <v>0.131970852932638</v>
      </c>
      <c r="AS56" s="30" t="n">
        <f aca="false">AR56*(1-IF((2055-2022)/I56&gt;=1,J56,H56+(J56-H56)*(3*((2055-2022)/I56)^2-2*((2055-2022)/I56)^3)))</f>
        <v>0.130624750232725</v>
      </c>
      <c r="AT56" s="30" t="n">
        <f aca="false">AS56*(1-IF((2056-2022)/I56&gt;=1,J56,H56+(J56-H56)*(3*((2056-2022)/I56)^2-2*((2056-2022)/I56)^3)))</f>
        <v>0.129292377780351</v>
      </c>
      <c r="AU56" s="30" t="n">
        <f aca="false">AT56*(1-IF((2057-2022)/I56&gt;=1,J56,H56+(J56-H56)*(3*((2057-2022)/I56)^2-2*((2057-2022)/I56)^3)))</f>
        <v>0.127973595526991</v>
      </c>
      <c r="AV56" s="30" t="n">
        <f aca="false">AU56*(1-IF((2058-2022)/I56&gt;=1,J56,H56+(J56-H56)*(3*((2058-2022)/I56)^2-2*((2058-2022)/I56)^3)))</f>
        <v>0.126668264852616</v>
      </c>
      <c r="AW56" s="30" t="n">
        <f aca="false">AV56*(1-IF((2059-2022)/I56&gt;=1,J56,H56+(J56-H56)*(3*((2059-2022)/I56)^2-2*((2059-2022)/I56)^3)))</f>
        <v>0.125376248551119</v>
      </c>
      <c r="AX56" s="30" t="n">
        <f aca="false">AW56*(1-IF((2060-2022)/I56&gt;=1,J56,H56+(J56-H56)*(3*((2060-2022)/I56)^2-2*((2060-2022)/I56)^3)))</f>
        <v>0.124097410815898</v>
      </c>
      <c r="AY56" s="30" t="n">
        <f aca="false">AX56*(1-IF((2061-2022)/I56&gt;=1,J56,H56+(J56-H56)*(3*((2061-2022)/I56)^2-2*((2061-2022)/I56)^3)))</f>
        <v>0.122831617225576</v>
      </c>
      <c r="AZ56" s="30" t="n">
        <f aca="false">AY56*(1-IF((2062-2022)/I56&gt;=1,J56,H56+(J56-H56)*(3*((2062-2022)/I56)^2-2*((2062-2022)/I56)^3)))</f>
        <v>0.121578734729875</v>
      </c>
      <c r="BA56" s="30" t="n">
        <f aca="false">AZ56*(1-IF((2063-2022)/I56&gt;=1,J56,H56+(J56-H56)*(3*((2063-2022)/I56)^2-2*((2063-2022)/I56)^3)))</f>
        <v>0.12033863163563</v>
      </c>
      <c r="BB56" s="30" t="n">
        <f aca="false">BA56*(1-IF((2064-2022)/I56&gt;=1,J56,H56+(J56-H56)*(3*((2064-2022)/I56)^2-2*((2064-2022)/I56)^3)))</f>
        <v>0.119111177592947</v>
      </c>
      <c r="BC56" s="30" t="n">
        <f aca="false">BB56*(1-IF((2065-2022)/I56&gt;=1,J56,H56+(J56-H56)*(3*((2065-2022)/I56)^2-2*((2065-2022)/I56)^3)))</f>
        <v>0.117896243581499</v>
      </c>
      <c r="BD56" s="30" t="n">
        <f aca="false">BC56*(1-IF((2066-2022)/I56&gt;=1,J56,H56+(J56-H56)*(3*((2066-2022)/I56)^2-2*((2066-2022)/I56)^3)))</f>
        <v>0.116693701896967</v>
      </c>
      <c r="BE56" s="30" t="n">
        <f aca="false">BD56*(1-IF((2067-2022)/I56&gt;=1,J56,H56+(J56-H56)*(3*((2067-2022)/I56)^2-2*((2067-2022)/I56)^3)))</f>
        <v>0.115503426137618</v>
      </c>
      <c r="BF56" s="30" t="n">
        <f aca="false">BE56*(1-IF((2068-2022)/I56&gt;=1,J56,H56+(J56-H56)*(3*((2068-2022)/I56)^2-2*((2068-2022)/I56)^3)))</f>
        <v>0.114325291191015</v>
      </c>
      <c r="BG56" s="30" t="n">
        <f aca="false">BF56*(1-IF((2069-2022)/I56&gt;=1,J56,H56+(J56-H56)*(3*((2069-2022)/I56)^2-2*((2069-2022)/I56)^3)))</f>
        <v>0.113159173220866</v>
      </c>
      <c r="BH56" s="30" t="n">
        <f aca="false">BG56*(1-IF((2070-2022)/I56&gt;=1,J56,H56+(J56-H56)*(3*((2070-2022)/I56)^2-2*((2070-2022)/I56)^3)))</f>
        <v>0.112004949654013</v>
      </c>
      <c r="BI56" s="30" t="n">
        <f aca="false">BH56*(1-IF((2071-2022)/I56&gt;=1,J56,H56+(J56-H56)*(3*((2071-2022)/I56)^2-2*((2071-2022)/I56)^3)))</f>
        <v>0.110862499167543</v>
      </c>
      <c r="BJ56" s="30" t="n">
        <f aca="false">BI56*(1-IF((2072-2022)/I56&gt;=1,J56,H56+(J56-H56)*(3*((2072-2022)/I56)^2-2*((2072-2022)/I56)^3)))</f>
        <v>0.109731701676034</v>
      </c>
      <c r="BK56" s="30" t="n">
        <f aca="false">BJ56*(1-IF((2073-2022)/I56&gt;=1,J56,H56+(J56-H56)*(3*((2073-2022)/I56)^2-2*((2073-2022)/I56)^3)))</f>
        <v>0.108612438318938</v>
      </c>
      <c r="BL56" s="30" t="n">
        <f aca="false">BK56*(1-IF((2074-2022)/I56&gt;=1,J56,H56+(J56-H56)*(3*((2074-2022)/I56)^2-2*((2074-2022)/I56)^3)))</f>
        <v>0.107504591448085</v>
      </c>
      <c r="BM56" s="30" t="n">
        <f aca="false">BL56*(1-IF((2075-2022)/I56&gt;=1,J56,H56+(J56-H56)*(3*((2075-2022)/I56)^2-2*((2075-2022)/I56)^3)))</f>
        <v>0.106408044615314</v>
      </c>
      <c r="BN56" s="30" t="n">
        <f aca="false">BM56*(1-IF((2076-2022)/I56&gt;=1,J56,H56+(J56-H56)*(3*((2076-2022)/I56)^2-2*((2076-2022)/I56)^3)))</f>
        <v>0.105322682560238</v>
      </c>
      <c r="BO56" s="30" t="n">
        <f aca="false">BN56*(1-IF((2077-2022)/I56&gt;=1,J56,H56+(J56-H56)*(3*((2077-2022)/I56)^2-2*((2077-2022)/I56)^3)))</f>
        <v>0.104248391198124</v>
      </c>
      <c r="BP56" s="30" t="n">
        <f aca="false">BO56*(1-IF((2078-2022)/I56&gt;=1,J56,H56+(J56-H56)*(3*((2078-2022)/I56)^2-2*((2078-2022)/I56)^3)))</f>
        <v>0.103185057607903</v>
      </c>
      <c r="BQ56" s="30" t="n">
        <f aca="false">BP56*(1-IF((2079-2022)/I56&gt;=1,J56,H56+(J56-H56)*(3*((2079-2022)/I56)^2-2*((2079-2022)/I56)^3)))</f>
        <v>0.102132570020302</v>
      </c>
      <c r="BR56" s="30" t="n">
        <f aca="false">BQ56*(1-IF((2080-2022)/I56&gt;=1,J56,H56+(J56-H56)*(3*((2080-2022)/I56)^2-2*((2080-2022)/I56)^3)))</f>
        <v>0.101090817806095</v>
      </c>
      <c r="BS56" s="30" t="n">
        <f aca="false">BR56*(1-IF((2081-2022)/I56&gt;=1,J56,H56+(J56-H56)*(3*((2081-2022)/I56)^2-2*((2081-2022)/I56)^3)))</f>
        <v>0.100059691464473</v>
      </c>
      <c r="BT56" s="30" t="n">
        <f aca="false">BS56*(1-IF((2082-2022)/I56&gt;=1,J56,H56+(J56-H56)*(3*((2082-2022)/I56)^2-2*((2082-2022)/I56)^3)))</f>
        <v>0.0990390826115355</v>
      </c>
      <c r="BU56" s="30" t="n">
        <f aca="false">BT56*(1-IF((2083-2022)/I56&gt;=1,J56,H56+(J56-H56)*(3*((2083-2022)/I56)^2-2*((2083-2022)/I56)^3)))</f>
        <v>0.0980288839688978</v>
      </c>
      <c r="BV56" s="30" t="n">
        <f aca="false">BU56*(1-IF((2084-2022)/I56&gt;=1,J56,H56+(J56-H56)*(3*((2084-2022)/I56)^2-2*((2084-2022)/I56)^3)))</f>
        <v>0.0970289893524151</v>
      </c>
      <c r="BW56" s="30" t="n">
        <f aca="false">BV56*(1-IF((2085-2022)/I56&gt;=1,J56,H56+(J56-H56)*(3*((2085-2022)/I56)^2-2*((2085-2022)/I56)^3)))</f>
        <v>0.0960392936610204</v>
      </c>
      <c r="BX56" s="30" t="n">
        <f aca="false">BW56*(1-IF((2086-2022)/I56&gt;=1,J56,H56+(J56-H56)*(3*((2086-2022)/I56)^2-2*((2086-2022)/I56)^3)))</f>
        <v>0.095059692865678</v>
      </c>
      <c r="BY56" s="30" t="n">
        <f aca="false">BX56*(1-IF((2087-2022)/I56&gt;=1,J56,H56+(J56-H56)*(3*((2087-2022)/I56)^2-2*((2087-2022)/I56)^3)))</f>
        <v>0.0940900839984481</v>
      </c>
      <c r="BZ56" s="30" t="n">
        <f aca="false">BY56*(1-IF((2088-2022)/I56&gt;=1,J56,H56+(J56-H56)*(3*((2088-2022)/I56)^2-2*((2088-2022)/I56)^3)))</f>
        <v>0.0931303651416639</v>
      </c>
      <c r="CA56" s="30" t="n">
        <f aca="false">BZ56*(1-IF((2089-2022)/I56&gt;=1,J56,H56+(J56-H56)*(3*((2089-2022)/I56)^2-2*((2089-2022)/I56)^3)))</f>
        <v>0.092180435417219</v>
      </c>
      <c r="CB56" s="30" t="n">
        <f aca="false">CA56*(1-IF((2090-2022)/I56&gt;=1,J56,H56+(J56-H56)*(3*((2090-2022)/I56)^2-2*((2090-2022)/I56)^3)))</f>
        <v>0.0912401949759633</v>
      </c>
      <c r="CC56" s="30" t="n">
        <f aca="false">CB56*(1-IF((2091-2022)/I56&gt;=1,J56,H56+(J56-H56)*(3*((2091-2022)/I56)^2-2*((2091-2022)/I56)^3)))</f>
        <v>0.0903095449872085</v>
      </c>
    </row>
    <row r="57" customFormat="false" ht="15" hidden="false" customHeight="true" outlineLevel="0" collapsed="false">
      <c r="A57" s="3" t="n">
        <v>94</v>
      </c>
      <c r="B57" s="30" t="n">
        <f aca="false">IF($A57&lt;=105,INDEX(ILT17_Source!$D$7:$D$52,MATCH($A57,ILT17_Source!$A$7:$A$52,0)),($B$16*EXP($B$17*$A57))/(1+$B$16*EXP($B$17*$A57)))</f>
        <v>0.236952315</v>
      </c>
      <c r="C57" s="31" t="n">
        <f aca="false">LOOKUP($A57,{60,65,70,75,80,85,90,95},{0.78,0.82,0.85,0.88,0.91,0.94,0.97,1})</f>
        <v>0.97</v>
      </c>
      <c r="D57" s="30" t="n">
        <f aca="false">B57*C57</f>
        <v>0.22984374555</v>
      </c>
      <c r="E57" s="30" t="n">
        <f aca="false">1/(1+EXP(-(($B$6+$B$8*(2016-2022))+($B$7+$B$9*(2016-2022))*($A57-$B$10))))</f>
        <v>0.213577036829394</v>
      </c>
      <c r="F57" s="30" t="n">
        <f aca="false">1/(1+EXP(-(($B$6+$B$8*(2021-2022))+($B$7+$B$9*(2021-2022))*($A57-$B$10))))</f>
        <v>0.204366563798765</v>
      </c>
      <c r="G57" s="30" t="n">
        <f aca="false">1/(1+EXP(-(($B$6+$B$8*(2022-2022))+($B$7+$B$9*(2022-2022))*($A57-$B$10))))</f>
        <v>0.202560310243611</v>
      </c>
      <c r="H57" s="32" t="n">
        <f aca="false">(F57-G57)/F57</f>
        <v>0.0088383027124341</v>
      </c>
      <c r="I57" s="38" t="n">
        <f aca="false">IF($A57&lt;=50,$B$14,IF($A57&gt;=95,$B$15,$B$14+($B$15-$B$14)*($A57-50)/(95-50)))</f>
        <v>5.33333333333333</v>
      </c>
      <c r="J57" s="39" t="n">
        <f aca="false">IF($A57&lt;=$B$12,$B$11,IF($A57&gt;=$B$13,0,$B$11*($B$13-$A57)/($B$13-$B$12)))</f>
        <v>0.0096</v>
      </c>
      <c r="K57" s="30" t="n">
        <f aca="false">D57*G57/E57</f>
        <v>0.217987949909389</v>
      </c>
      <c r="L57" s="30" t="n">
        <f aca="false">K57*$B$19</f>
        <v>0.19618915491845</v>
      </c>
      <c r="M57" s="30" t="n">
        <f aca="false">L57*(1-IF((2023-2022)/I57&gt;=1,J57,H57+(J57-H57)*(3*((2023-2022)/I57)^2-2*((2023-2022)/I57)^3)))</f>
        <v>0.194441384984824</v>
      </c>
      <c r="N57" s="30" t="n">
        <f aca="false">M57*(1-IF((2024-2022)/I57&gt;=1,J57,H57+(J57-H57)*(3*((2024-2022)/I57)^2-2*((2024-2022)/I57)^3)))</f>
        <v>0.192675991666385</v>
      </c>
      <c r="O57" s="30" t="n">
        <f aca="false">N57*(1-IF((2025-2022)/I57&gt;=1,J57,H57+(J57-H57)*(3*((2025-2022)/I57)^2-2*((2025-2022)/I57)^3)))</f>
        <v>0.190885995373894</v>
      </c>
      <c r="P57" s="30" t="n">
        <f aca="false">O57*(1-IF((2026-2022)/I57&gt;=1,J57,H57+(J57-H57)*(3*((2026-2022)/I57)^2-2*((2026-2022)/I57)^3)))</f>
        <v>0.189076208153447</v>
      </c>
      <c r="Q57" s="30" t="n">
        <f aca="false">P57*(1-IF((2027-2022)/I57&gt;=1,J57,H57+(J57-H57)*(3*((2027-2022)/I57)^2-2*((2027-2022)/I57)^3)))</f>
        <v>0.187262693954198</v>
      </c>
      <c r="R57" s="30" t="n">
        <f aca="false">Q57*(1-IF((2028-2022)/I57&gt;=1,J57,H57+(J57-H57)*(3*((2028-2022)/I57)^2-2*((2028-2022)/I57)^3)))</f>
        <v>0.185464972092238</v>
      </c>
      <c r="S57" s="30" t="n">
        <f aca="false">R57*(1-IF((2029-2022)/I57&gt;=1,J57,H57+(J57-H57)*(3*((2029-2022)/I57)^2-2*((2029-2022)/I57)^3)))</f>
        <v>0.183684508360152</v>
      </c>
      <c r="T57" s="30" t="n">
        <f aca="false">S57*(1-IF((2030-2022)/I57&gt;=1,J57,H57+(J57-H57)*(3*((2030-2022)/I57)^2-2*((2030-2022)/I57)^3)))</f>
        <v>0.181921137079895</v>
      </c>
      <c r="U57" s="30" t="n">
        <f aca="false">T57*(1-IF((2031-2022)/I57&gt;=1,J57,H57+(J57-H57)*(3*((2031-2022)/I57)^2-2*((2031-2022)/I57)^3)))</f>
        <v>0.180174694163928</v>
      </c>
      <c r="V57" s="30" t="n">
        <f aca="false">U57*(1-IF((2032-2022)/I57&gt;=1,J57,H57+(J57-H57)*(3*((2032-2022)/I57)^2-2*((2032-2022)/I57)^3)))</f>
        <v>0.178445017099954</v>
      </c>
      <c r="W57" s="30" t="n">
        <f aca="false">V57*(1-IF((2033-2022)/I57&gt;=1,J57,H57+(J57-H57)*(3*((2033-2022)/I57)^2-2*((2033-2022)/I57)^3)))</f>
        <v>0.176731944935795</v>
      </c>
      <c r="X57" s="30" t="n">
        <f aca="false">W57*(1-IF((2034-2022)/I57&gt;=1,J57,H57+(J57-H57)*(3*((2034-2022)/I57)^2-2*((2034-2022)/I57)^3)))</f>
        <v>0.175035318264411</v>
      </c>
      <c r="Y57" s="30" t="n">
        <f aca="false">X57*(1-IF((2035-2022)/I57&gt;=1,J57,H57+(J57-H57)*(3*((2035-2022)/I57)^2-2*((2035-2022)/I57)^3)))</f>
        <v>0.173354979209073</v>
      </c>
      <c r="Z57" s="30" t="n">
        <f aca="false">Y57*(1-IF((2036-2022)/I57&gt;=1,J57,H57+(J57-H57)*(3*((2036-2022)/I57)^2-2*((2036-2022)/I57)^3)))</f>
        <v>0.171690771408666</v>
      </c>
      <c r="AA57" s="30" t="n">
        <f aca="false">Z57*(1-IF((2037-2022)/I57&gt;=1,J57,H57+(J57-H57)*(3*((2037-2022)/I57)^2-2*((2037-2022)/I57)^3)))</f>
        <v>0.170042540003142</v>
      </c>
      <c r="AB57" s="30" t="n">
        <f aca="false">AA57*(1-IF((2038-2022)/I57&gt;=1,J57,H57+(J57-H57)*(3*((2038-2022)/I57)^2-2*((2038-2022)/I57)^3)))</f>
        <v>0.168410131619112</v>
      </c>
      <c r="AC57" s="30" t="n">
        <f aca="false">AB57*(1-IF((2039-2022)/I57&gt;=1,J57,H57+(J57-H57)*(3*((2039-2022)/I57)^2-2*((2039-2022)/I57)^3)))</f>
        <v>0.166793394355569</v>
      </c>
      <c r="AD57" s="30" t="n">
        <f aca="false">AC57*(1-IF((2040-2022)/I57&gt;=1,J57,H57+(J57-H57)*(3*((2040-2022)/I57)^2-2*((2040-2022)/I57)^3)))</f>
        <v>0.165192177769755</v>
      </c>
      <c r="AE57" s="30" t="n">
        <f aca="false">AD57*(1-IF((2041-2022)/I57&gt;=1,J57,H57+(J57-H57)*(3*((2041-2022)/I57)^2-2*((2041-2022)/I57)^3)))</f>
        <v>0.163606332863166</v>
      </c>
      <c r="AF57" s="30" t="n">
        <f aca="false">AE57*(1-IF((2042-2022)/I57&gt;=1,J57,H57+(J57-H57)*(3*((2042-2022)/I57)^2-2*((2042-2022)/I57)^3)))</f>
        <v>0.162035712067679</v>
      </c>
      <c r="AG57" s="30" t="n">
        <f aca="false">AF57*(1-IF((2043-2022)/I57&gt;=1,J57,H57+(J57-H57)*(3*((2043-2022)/I57)^2-2*((2043-2022)/I57)^3)))</f>
        <v>0.160480169231829</v>
      </c>
      <c r="AH57" s="30" t="n">
        <f aca="false">AG57*(1-IF((2044-2022)/I57&gt;=1,J57,H57+(J57-H57)*(3*((2044-2022)/I57)^2-2*((2044-2022)/I57)^3)))</f>
        <v>0.158939559607204</v>
      </c>
      <c r="AI57" s="30" t="n">
        <f aca="false">AH57*(1-IF((2045-2022)/I57&gt;=1,J57,H57+(J57-H57)*(3*((2045-2022)/I57)^2-2*((2045-2022)/I57)^3)))</f>
        <v>0.157413739834975</v>
      </c>
      <c r="AJ57" s="30" t="n">
        <f aca="false">AI57*(1-IF((2046-2022)/I57&gt;=1,J57,H57+(J57-H57)*(3*((2046-2022)/I57)^2-2*((2046-2022)/I57)^3)))</f>
        <v>0.155902567932559</v>
      </c>
      <c r="AK57" s="30" t="n">
        <f aca="false">AJ57*(1-IF((2047-2022)/I57&gt;=1,J57,H57+(J57-H57)*(3*((2047-2022)/I57)^2-2*((2047-2022)/I57)^3)))</f>
        <v>0.154405903280406</v>
      </c>
      <c r="AL57" s="30" t="n">
        <f aca="false">AK57*(1-IF((2048-2022)/I57&gt;=1,J57,H57+(J57-H57)*(3*((2048-2022)/I57)^2-2*((2048-2022)/I57)^3)))</f>
        <v>0.152923606608915</v>
      </c>
      <c r="AM57" s="30" t="n">
        <f aca="false">AL57*(1-IF((2049-2022)/I57&gt;=1,J57,H57+(J57-H57)*(3*((2049-2022)/I57)^2-2*((2049-2022)/I57)^3)))</f>
        <v>0.151455539985469</v>
      </c>
      <c r="AN57" s="30" t="n">
        <f aca="false">AM57*(1-IF((2050-2022)/I57&gt;=1,J57,H57+(J57-H57)*(3*((2050-2022)/I57)^2-2*((2050-2022)/I57)^3)))</f>
        <v>0.150001566801608</v>
      </c>
      <c r="AO57" s="30" t="n">
        <f aca="false">AN57*(1-IF((2051-2022)/I57&gt;=1,J57,H57+(J57-H57)*(3*((2051-2022)/I57)^2-2*((2051-2022)/I57)^3)))</f>
        <v>0.148561551760313</v>
      </c>
      <c r="AP57" s="30" t="n">
        <f aca="false">AO57*(1-IF((2052-2022)/I57&gt;=1,J57,H57+(J57-H57)*(3*((2052-2022)/I57)^2-2*((2052-2022)/I57)^3)))</f>
        <v>0.147135360863414</v>
      </c>
      <c r="AQ57" s="30" t="n">
        <f aca="false">AP57*(1-IF((2053-2022)/I57&gt;=1,J57,H57+(J57-H57)*(3*((2053-2022)/I57)^2-2*((2053-2022)/I57)^3)))</f>
        <v>0.145722861399125</v>
      </c>
      <c r="AR57" s="30" t="n">
        <f aca="false">AQ57*(1-IF((2054-2022)/I57&gt;=1,J57,H57+(J57-H57)*(3*((2054-2022)/I57)^2-2*((2054-2022)/I57)^3)))</f>
        <v>0.144323921929694</v>
      </c>
      <c r="AS57" s="30" t="n">
        <f aca="false">AR57*(1-IF((2055-2022)/I57&gt;=1,J57,H57+(J57-H57)*(3*((2055-2022)/I57)^2-2*((2055-2022)/I57)^3)))</f>
        <v>0.142938412279168</v>
      </c>
      <c r="AT57" s="30" t="n">
        <f aca="false">AS57*(1-IF((2056-2022)/I57&gt;=1,J57,H57+(J57-H57)*(3*((2056-2022)/I57)^2-2*((2056-2022)/I57)^3)))</f>
        <v>0.141566203521288</v>
      </c>
      <c r="AU57" s="30" t="n">
        <f aca="false">AT57*(1-IF((2057-2022)/I57&gt;=1,J57,H57+(J57-H57)*(3*((2057-2022)/I57)^2-2*((2057-2022)/I57)^3)))</f>
        <v>0.140207167967484</v>
      </c>
      <c r="AV57" s="30" t="n">
        <f aca="false">AU57*(1-IF((2058-2022)/I57&gt;=1,J57,H57+(J57-H57)*(3*((2058-2022)/I57)^2-2*((2058-2022)/I57)^3)))</f>
        <v>0.138861179154996</v>
      </c>
      <c r="AW57" s="30" t="n">
        <f aca="false">AV57*(1-IF((2059-2022)/I57&gt;=1,J57,H57+(J57-H57)*(3*((2059-2022)/I57)^2-2*((2059-2022)/I57)^3)))</f>
        <v>0.137528111835108</v>
      </c>
      <c r="AX57" s="30" t="n">
        <f aca="false">AW57*(1-IF((2060-2022)/I57&gt;=1,J57,H57+(J57-H57)*(3*((2060-2022)/I57)^2-2*((2060-2022)/I57)^3)))</f>
        <v>0.136207841961491</v>
      </c>
      <c r="AY57" s="30" t="n">
        <f aca="false">AX57*(1-IF((2061-2022)/I57&gt;=1,J57,H57+(J57-H57)*(3*((2061-2022)/I57)^2-2*((2061-2022)/I57)^3)))</f>
        <v>0.134900246678661</v>
      </c>
      <c r="AZ57" s="30" t="n">
        <f aca="false">AY57*(1-IF((2062-2022)/I57&gt;=1,J57,H57+(J57-H57)*(3*((2062-2022)/I57)^2-2*((2062-2022)/I57)^3)))</f>
        <v>0.133605204310546</v>
      </c>
      <c r="BA57" s="30" t="n">
        <f aca="false">AZ57*(1-IF((2063-2022)/I57&gt;=1,J57,H57+(J57-H57)*(3*((2063-2022)/I57)^2-2*((2063-2022)/I57)^3)))</f>
        <v>0.132322594349165</v>
      </c>
      <c r="BB57" s="30" t="n">
        <f aca="false">BA57*(1-IF((2064-2022)/I57&gt;=1,J57,H57+(J57-H57)*(3*((2064-2022)/I57)^2-2*((2064-2022)/I57)^3)))</f>
        <v>0.131052297443413</v>
      </c>
      <c r="BC57" s="30" t="n">
        <f aca="false">BB57*(1-IF((2065-2022)/I57&gt;=1,J57,H57+(J57-H57)*(3*((2065-2022)/I57)^2-2*((2065-2022)/I57)^3)))</f>
        <v>0.129794195387956</v>
      </c>
      <c r="BD57" s="30" t="n">
        <f aca="false">BC57*(1-IF((2066-2022)/I57&gt;=1,J57,H57+(J57-H57)*(3*((2066-2022)/I57)^2-2*((2066-2022)/I57)^3)))</f>
        <v>0.128548171112231</v>
      </c>
      <c r="BE57" s="30" t="n">
        <f aca="false">BD57*(1-IF((2067-2022)/I57&gt;=1,J57,H57+(J57-H57)*(3*((2067-2022)/I57)^2-2*((2067-2022)/I57)^3)))</f>
        <v>0.127314108669554</v>
      </c>
      <c r="BF57" s="30" t="n">
        <f aca="false">BE57*(1-IF((2068-2022)/I57&gt;=1,J57,H57+(J57-H57)*(3*((2068-2022)/I57)^2-2*((2068-2022)/I57)^3)))</f>
        <v>0.126091893226326</v>
      </c>
      <c r="BG57" s="30" t="n">
        <f aca="false">BF57*(1-IF((2069-2022)/I57&gt;=1,J57,H57+(J57-H57)*(3*((2069-2022)/I57)^2-2*((2069-2022)/I57)^3)))</f>
        <v>0.124881411051353</v>
      </c>
      <c r="BH57" s="30" t="n">
        <f aca="false">BG57*(1-IF((2070-2022)/I57&gt;=1,J57,H57+(J57-H57)*(3*((2070-2022)/I57)^2-2*((2070-2022)/I57)^3)))</f>
        <v>0.12368254950526</v>
      </c>
      <c r="BI57" s="30" t="n">
        <f aca="false">BH57*(1-IF((2071-2022)/I57&gt;=1,J57,H57+(J57-H57)*(3*((2071-2022)/I57)^2-2*((2071-2022)/I57)^3)))</f>
        <v>0.12249519703001</v>
      </c>
      <c r="BJ57" s="30" t="n">
        <f aca="false">BI57*(1-IF((2072-2022)/I57&gt;=1,J57,H57+(J57-H57)*(3*((2072-2022)/I57)^2-2*((2072-2022)/I57)^3)))</f>
        <v>0.121319243138522</v>
      </c>
      <c r="BK57" s="30" t="n">
        <f aca="false">BJ57*(1-IF((2073-2022)/I57&gt;=1,J57,H57+(J57-H57)*(3*((2073-2022)/I57)^2-2*((2073-2022)/I57)^3)))</f>
        <v>0.120154578404392</v>
      </c>
      <c r="BL57" s="30" t="n">
        <f aca="false">BK57*(1-IF((2074-2022)/I57&gt;=1,J57,H57+(J57-H57)*(3*((2074-2022)/I57)^2-2*((2074-2022)/I57)^3)))</f>
        <v>0.11900109445171</v>
      </c>
      <c r="BM57" s="30" t="n">
        <f aca="false">BL57*(1-IF((2075-2022)/I57&gt;=1,J57,H57+(J57-H57)*(3*((2075-2022)/I57)^2-2*((2075-2022)/I57)^3)))</f>
        <v>0.117858683944973</v>
      </c>
      <c r="BN57" s="30" t="n">
        <f aca="false">BM57*(1-IF((2076-2022)/I57&gt;=1,J57,H57+(J57-H57)*(3*((2076-2022)/I57)^2-2*((2076-2022)/I57)^3)))</f>
        <v>0.116727240579102</v>
      </c>
      <c r="BO57" s="30" t="n">
        <f aca="false">BN57*(1-IF((2077-2022)/I57&gt;=1,J57,H57+(J57-H57)*(3*((2077-2022)/I57)^2-2*((2077-2022)/I57)^3)))</f>
        <v>0.115606659069542</v>
      </c>
      <c r="BP57" s="30" t="n">
        <f aca="false">BO57*(1-IF((2078-2022)/I57&gt;=1,J57,H57+(J57-H57)*(3*((2078-2022)/I57)^2-2*((2078-2022)/I57)^3)))</f>
        <v>0.114496835142475</v>
      </c>
      <c r="BQ57" s="30" t="n">
        <f aca="false">BP57*(1-IF((2079-2022)/I57&gt;=1,J57,H57+(J57-H57)*(3*((2079-2022)/I57)^2-2*((2079-2022)/I57)^3)))</f>
        <v>0.113397665525107</v>
      </c>
      <c r="BR57" s="30" t="n">
        <f aca="false">BQ57*(1-IF((2080-2022)/I57&gt;=1,J57,H57+(J57-H57)*(3*((2080-2022)/I57)^2-2*((2080-2022)/I57)^3)))</f>
        <v>0.112309047936066</v>
      </c>
      <c r="BS57" s="30" t="n">
        <f aca="false">BR57*(1-IF((2081-2022)/I57&gt;=1,J57,H57+(J57-H57)*(3*((2081-2022)/I57)^2-2*((2081-2022)/I57)^3)))</f>
        <v>0.11123088107588</v>
      </c>
      <c r="BT57" s="30" t="n">
        <f aca="false">BS57*(1-IF((2082-2022)/I57&gt;=1,J57,H57+(J57-H57)*(3*((2082-2022)/I57)^2-2*((2082-2022)/I57)^3)))</f>
        <v>0.110163064617551</v>
      </c>
      <c r="BU57" s="30" t="n">
        <f aca="false">BT57*(1-IF((2083-2022)/I57&gt;=1,J57,H57+(J57-H57)*(3*((2083-2022)/I57)^2-2*((2083-2022)/I57)^3)))</f>
        <v>0.109105499197223</v>
      </c>
      <c r="BV57" s="30" t="n">
        <f aca="false">BU57*(1-IF((2084-2022)/I57&gt;=1,J57,H57+(J57-H57)*(3*((2084-2022)/I57)^2-2*((2084-2022)/I57)^3)))</f>
        <v>0.108058086404929</v>
      </c>
      <c r="BW57" s="30" t="n">
        <f aca="false">BV57*(1-IF((2085-2022)/I57&gt;=1,J57,H57+(J57-H57)*(3*((2085-2022)/I57)^2-2*((2085-2022)/I57)^3)))</f>
        <v>0.107020728775442</v>
      </c>
      <c r="BX57" s="30" t="n">
        <f aca="false">BW57*(1-IF((2086-2022)/I57&gt;=1,J57,H57+(J57-H57)*(3*((2086-2022)/I57)^2-2*((2086-2022)/I57)^3)))</f>
        <v>0.105993329779198</v>
      </c>
      <c r="BY57" s="30" t="n">
        <f aca="false">BX57*(1-IF((2087-2022)/I57&gt;=1,J57,H57+(J57-H57)*(3*((2087-2022)/I57)^2-2*((2087-2022)/I57)^3)))</f>
        <v>0.104975793813318</v>
      </c>
      <c r="BZ57" s="30" t="n">
        <f aca="false">BY57*(1-IF((2088-2022)/I57&gt;=1,J57,H57+(J57-H57)*(3*((2088-2022)/I57)^2-2*((2088-2022)/I57)^3)))</f>
        <v>0.10396802619271</v>
      </c>
      <c r="CA57" s="30" t="n">
        <f aca="false">BZ57*(1-IF((2089-2022)/I57&gt;=1,J57,H57+(J57-H57)*(3*((2089-2022)/I57)^2-2*((2089-2022)/I57)^3)))</f>
        <v>0.10296993314126</v>
      </c>
      <c r="CB57" s="30" t="n">
        <f aca="false">CA57*(1-IF((2090-2022)/I57&gt;=1,J57,H57+(J57-H57)*(3*((2090-2022)/I57)^2-2*((2090-2022)/I57)^3)))</f>
        <v>0.101981421783104</v>
      </c>
      <c r="CC57" s="30" t="n">
        <f aca="false">CB57*(1-IF((2091-2022)/I57&gt;=1,J57,H57+(J57-H57)*(3*((2091-2022)/I57)^2-2*((2091-2022)/I57)^3)))</f>
        <v>0.101002400133986</v>
      </c>
    </row>
    <row r="58" customFormat="false" ht="15" hidden="false" customHeight="true" outlineLevel="0" collapsed="false">
      <c r="A58" s="3" t="n">
        <v>95</v>
      </c>
      <c r="B58" s="30" t="n">
        <f aca="false">IF($A58&lt;=105,INDEX(ILT17_Source!$D$7:$D$52,MATCH($A58,ILT17_Source!$A$7:$A$52,0)),($B$16*EXP($B$17*$A58))/(1+$B$16*EXP($B$17*$A58)))</f>
        <v>0.250360905</v>
      </c>
      <c r="C58" s="31" t="n">
        <f aca="false">LOOKUP($A58,{60,65,70,75,80,85,90,95},{0.78,0.82,0.85,0.88,0.91,0.94,0.97,1})</f>
        <v>1</v>
      </c>
      <c r="D58" s="30" t="n">
        <f aca="false">B58*C58</f>
        <v>0.250360905</v>
      </c>
      <c r="E58" s="30" t="n">
        <f aca="false">1/(1+EXP(-(($B$6+$B$8*(2016-2022))+($B$7+$B$9*(2016-2022))*($A58-$B$10))))</f>
        <v>0.232757302651182</v>
      </c>
      <c r="F58" s="30" t="n">
        <f aca="false">1/(1+EXP(-(($B$6+$B$8*(2021-2022))+($B$7+$B$9*(2021-2022))*($A58-$B$10))))</f>
        <v>0.223427990099324</v>
      </c>
      <c r="G58" s="30" t="n">
        <f aca="false">1/(1+EXP(-(($B$6+$B$8*(2022-2022))+($B$7+$B$9*(2022-2022))*($A58-$B$10))))</f>
        <v>0.221594429776318</v>
      </c>
      <c r="H58" s="32" t="n">
        <f aca="false">(F58-G58)/F58</f>
        <v>0.0082064933860403</v>
      </c>
      <c r="I58" s="38" t="n">
        <f aca="false">IF($A58&lt;=50,$B$14,IF($A58&gt;=95,$B$15,$B$14+($B$15-$B$14)*($A58-50)/(95-50)))</f>
        <v>5</v>
      </c>
      <c r="J58" s="39" t="n">
        <f aca="false">IF($A58&lt;=$B$12,$B$11,IF($A58&gt;=$B$13,0,$B$11*($B$13-$A58)/($B$13-$B$12)))</f>
        <v>0.009</v>
      </c>
      <c r="K58" s="30" t="n">
        <f aca="false">D58*G58/E58</f>
        <v>0.238353776014065</v>
      </c>
      <c r="L58" s="30" t="n">
        <f aca="false">K58*$B$19</f>
        <v>0.214518398412659</v>
      </c>
      <c r="M58" s="30" t="n">
        <f aca="false">L58*(1-IF((2023-2022)/I58&gt;=1,J58,H58+(J58-H58)*(3*((2023-2022)/I58)^2-2*((2023-2022)/I58)^3)))</f>
        <v>0.212740251531034</v>
      </c>
      <c r="N58" s="30" t="n">
        <f aca="false">M58*(1-IF((2024-2022)/I58&gt;=1,J58,H58+(J58-H58)*(3*((2024-2022)/I58)^2-2*((2024-2022)/I58)^3)))</f>
        <v>0.210934978663481</v>
      </c>
      <c r="O58" s="30" t="n">
        <f aca="false">N58*(1-IF((2025-2022)/I58&gt;=1,J58,H58+(J58-H58)*(3*((2025-2022)/I58)^2-2*((2025-2022)/I58)^3)))</f>
        <v>0.209095481017351</v>
      </c>
      <c r="P58" s="30" t="n">
        <f aca="false">O58*(1-IF((2026-2022)/I58&gt;=1,J58,H58+(J58-H58)*(3*((2026-2022)/I58)^2-2*((2026-2022)/I58)^3)))</f>
        <v>0.207230877227497</v>
      </c>
      <c r="Q58" s="30" t="n">
        <f aca="false">P58*(1-IF((2027-2022)/I58&gt;=1,J58,H58+(J58-H58)*(3*((2027-2022)/I58)^2-2*((2027-2022)/I58)^3)))</f>
        <v>0.205365799332449</v>
      </c>
      <c r="R58" s="30" t="n">
        <f aca="false">Q58*(1-IF((2028-2022)/I58&gt;=1,J58,H58+(J58-H58)*(3*((2028-2022)/I58)^2-2*((2028-2022)/I58)^3)))</f>
        <v>0.203517507138457</v>
      </c>
      <c r="S58" s="30" t="n">
        <f aca="false">R58*(1-IF((2029-2022)/I58&gt;=1,J58,H58+(J58-H58)*(3*((2029-2022)/I58)^2-2*((2029-2022)/I58)^3)))</f>
        <v>0.201685849574211</v>
      </c>
      <c r="T58" s="30" t="n">
        <f aca="false">S58*(1-IF((2030-2022)/I58&gt;=1,J58,H58+(J58-H58)*(3*((2030-2022)/I58)^2-2*((2030-2022)/I58)^3)))</f>
        <v>0.199870676928043</v>
      </c>
      <c r="U58" s="30" t="n">
        <f aca="false">T58*(1-IF((2031-2022)/I58&gt;=1,J58,H58+(J58-H58)*(3*((2031-2022)/I58)^2-2*((2031-2022)/I58)^3)))</f>
        <v>0.198071840835691</v>
      </c>
      <c r="V58" s="30" t="n">
        <f aca="false">U58*(1-IF((2032-2022)/I58&gt;=1,J58,H58+(J58-H58)*(3*((2032-2022)/I58)^2-2*((2032-2022)/I58)^3)))</f>
        <v>0.196289194268169</v>
      </c>
      <c r="W58" s="30" t="n">
        <f aca="false">V58*(1-IF((2033-2022)/I58&gt;=1,J58,H58+(J58-H58)*(3*((2033-2022)/I58)^2-2*((2033-2022)/I58)^3)))</f>
        <v>0.194522591519756</v>
      </c>
      <c r="X58" s="30" t="n">
        <f aca="false">W58*(1-IF((2034-2022)/I58&gt;=1,J58,H58+(J58-H58)*(3*((2034-2022)/I58)^2-2*((2034-2022)/I58)^3)))</f>
        <v>0.192771888196078</v>
      </c>
      <c r="Y58" s="30" t="n">
        <f aca="false">X58*(1-IF((2035-2022)/I58&gt;=1,J58,H58+(J58-H58)*(3*((2035-2022)/I58)^2-2*((2035-2022)/I58)^3)))</f>
        <v>0.191036941202313</v>
      </c>
      <c r="Z58" s="30" t="n">
        <f aca="false">Y58*(1-IF((2036-2022)/I58&gt;=1,J58,H58+(J58-H58)*(3*((2036-2022)/I58)^2-2*((2036-2022)/I58)^3)))</f>
        <v>0.189317608731493</v>
      </c>
      <c r="AA58" s="30" t="n">
        <f aca="false">Z58*(1-IF((2037-2022)/I58&gt;=1,J58,H58+(J58-H58)*(3*((2037-2022)/I58)^2-2*((2037-2022)/I58)^3)))</f>
        <v>0.187613750252909</v>
      </c>
      <c r="AB58" s="30" t="n">
        <f aca="false">AA58*(1-IF((2038-2022)/I58&gt;=1,J58,H58+(J58-H58)*(3*((2038-2022)/I58)^2-2*((2038-2022)/I58)^3)))</f>
        <v>0.185925226500633</v>
      </c>
      <c r="AC58" s="30" t="n">
        <f aca="false">AB58*(1-IF((2039-2022)/I58&gt;=1,J58,H58+(J58-H58)*(3*((2039-2022)/I58)^2-2*((2039-2022)/I58)^3)))</f>
        <v>0.184251899462127</v>
      </c>
      <c r="AD58" s="30" t="n">
        <f aca="false">AC58*(1-IF((2040-2022)/I58&gt;=1,J58,H58+(J58-H58)*(3*((2040-2022)/I58)^2-2*((2040-2022)/I58)^3)))</f>
        <v>0.182593632366968</v>
      </c>
      <c r="AE58" s="30" t="n">
        <f aca="false">AD58*(1-IF((2041-2022)/I58&gt;=1,J58,H58+(J58-H58)*(3*((2041-2022)/I58)^2-2*((2041-2022)/I58)^3)))</f>
        <v>0.180950289675665</v>
      </c>
      <c r="AF58" s="30" t="n">
        <f aca="false">AE58*(1-IF((2042-2022)/I58&gt;=1,J58,H58+(J58-H58)*(3*((2042-2022)/I58)^2-2*((2042-2022)/I58)^3)))</f>
        <v>0.179321737068584</v>
      </c>
      <c r="AG58" s="30" t="n">
        <f aca="false">AF58*(1-IF((2043-2022)/I58&gt;=1,J58,H58+(J58-H58)*(3*((2043-2022)/I58)^2-2*((2043-2022)/I58)^3)))</f>
        <v>0.177707841434967</v>
      </c>
      <c r="AH58" s="30" t="n">
        <f aca="false">AG58*(1-IF((2044-2022)/I58&gt;=1,J58,H58+(J58-H58)*(3*((2044-2022)/I58)^2-2*((2044-2022)/I58)^3)))</f>
        <v>0.176108470862052</v>
      </c>
      <c r="AI58" s="30" t="n">
        <f aca="false">AH58*(1-IF((2045-2022)/I58&gt;=1,J58,H58+(J58-H58)*(3*((2045-2022)/I58)^2-2*((2045-2022)/I58)^3)))</f>
        <v>0.174523494624294</v>
      </c>
      <c r="AJ58" s="30" t="n">
        <f aca="false">AI58*(1-IF((2046-2022)/I58&gt;=1,J58,H58+(J58-H58)*(3*((2046-2022)/I58)^2-2*((2046-2022)/I58)^3)))</f>
        <v>0.172952783172675</v>
      </c>
      <c r="AK58" s="30" t="n">
        <f aca="false">AJ58*(1-IF((2047-2022)/I58&gt;=1,J58,H58+(J58-H58)*(3*((2047-2022)/I58)^2-2*((2047-2022)/I58)^3)))</f>
        <v>0.171396208124121</v>
      </c>
      <c r="AL58" s="30" t="n">
        <f aca="false">AK58*(1-IF((2048-2022)/I58&gt;=1,J58,H58+(J58-H58)*(3*((2048-2022)/I58)^2-2*((2048-2022)/I58)^3)))</f>
        <v>0.169853642251004</v>
      </c>
      <c r="AM58" s="30" t="n">
        <f aca="false">AL58*(1-IF((2049-2022)/I58&gt;=1,J58,H58+(J58-H58)*(3*((2049-2022)/I58)^2-2*((2049-2022)/I58)^3)))</f>
        <v>0.168324959470745</v>
      </c>
      <c r="AN58" s="30" t="n">
        <f aca="false">AM58*(1-IF((2050-2022)/I58&gt;=1,J58,H58+(J58-H58)*(3*((2050-2022)/I58)^2-2*((2050-2022)/I58)^3)))</f>
        <v>0.166810034835508</v>
      </c>
      <c r="AO58" s="30" t="n">
        <f aca="false">AN58*(1-IF((2051-2022)/I58&gt;=1,J58,H58+(J58-H58)*(3*((2051-2022)/I58)^2-2*((2051-2022)/I58)^3)))</f>
        <v>0.165308744521989</v>
      </c>
      <c r="AP58" s="30" t="n">
        <f aca="false">AO58*(1-IF((2052-2022)/I58&gt;=1,J58,H58+(J58-H58)*(3*((2052-2022)/I58)^2-2*((2052-2022)/I58)^3)))</f>
        <v>0.163820965821291</v>
      </c>
      <c r="AQ58" s="30" t="n">
        <f aca="false">AP58*(1-IF((2053-2022)/I58&gt;=1,J58,H58+(J58-H58)*(3*((2053-2022)/I58)^2-2*((2053-2022)/I58)^3)))</f>
        <v>0.162346577128899</v>
      </c>
      <c r="AR58" s="30" t="n">
        <f aca="false">AQ58*(1-IF((2054-2022)/I58&gt;=1,J58,H58+(J58-H58)*(3*((2054-2022)/I58)^2-2*((2054-2022)/I58)^3)))</f>
        <v>0.160885457934739</v>
      </c>
      <c r="AS58" s="30" t="n">
        <f aca="false">AR58*(1-IF((2055-2022)/I58&gt;=1,J58,H58+(J58-H58)*(3*((2055-2022)/I58)^2-2*((2055-2022)/I58)^3)))</f>
        <v>0.159437488813327</v>
      </c>
      <c r="AT58" s="30" t="n">
        <f aca="false">AS58*(1-IF((2056-2022)/I58&gt;=1,J58,H58+(J58-H58)*(3*((2056-2022)/I58)^2-2*((2056-2022)/I58)^3)))</f>
        <v>0.158002551414007</v>
      </c>
      <c r="AU58" s="30" t="n">
        <f aca="false">AT58*(1-IF((2057-2022)/I58&gt;=1,J58,H58+(J58-H58)*(3*((2057-2022)/I58)^2-2*((2057-2022)/I58)^3)))</f>
        <v>0.156580528451281</v>
      </c>
      <c r="AV58" s="30" t="n">
        <f aca="false">AU58*(1-IF((2058-2022)/I58&gt;=1,J58,H58+(J58-H58)*(3*((2058-2022)/I58)^2-2*((2058-2022)/I58)^3)))</f>
        <v>0.155171303695219</v>
      </c>
      <c r="AW58" s="30" t="n">
        <f aca="false">AV58*(1-IF((2059-2022)/I58&gt;=1,J58,H58+(J58-H58)*(3*((2059-2022)/I58)^2-2*((2059-2022)/I58)^3)))</f>
        <v>0.153774761961962</v>
      </c>
      <c r="AX58" s="30" t="n">
        <f aca="false">AW58*(1-IF((2060-2022)/I58&gt;=1,J58,H58+(J58-H58)*(3*((2060-2022)/I58)^2-2*((2060-2022)/I58)^3)))</f>
        <v>0.152390789104304</v>
      </c>
      <c r="AY58" s="30" t="n">
        <f aca="false">AX58*(1-IF((2061-2022)/I58&gt;=1,J58,H58+(J58-H58)*(3*((2061-2022)/I58)^2-2*((2061-2022)/I58)^3)))</f>
        <v>0.151019272002366</v>
      </c>
      <c r="AZ58" s="30" t="n">
        <f aca="false">AY58*(1-IF((2062-2022)/I58&gt;=1,J58,H58+(J58-H58)*(3*((2062-2022)/I58)^2-2*((2062-2022)/I58)^3)))</f>
        <v>0.149660098554344</v>
      </c>
      <c r="BA58" s="30" t="n">
        <f aca="false">AZ58*(1-IF((2063-2022)/I58&gt;=1,J58,H58+(J58-H58)*(3*((2063-2022)/I58)^2-2*((2063-2022)/I58)^3)))</f>
        <v>0.148313157667355</v>
      </c>
      <c r="BB58" s="30" t="n">
        <f aca="false">BA58*(1-IF((2064-2022)/I58&gt;=1,J58,H58+(J58-H58)*(3*((2064-2022)/I58)^2-2*((2064-2022)/I58)^3)))</f>
        <v>0.146978339248349</v>
      </c>
      <c r="BC58" s="30" t="n">
        <f aca="false">BB58*(1-IF((2065-2022)/I58&gt;=1,J58,H58+(J58-H58)*(3*((2065-2022)/I58)^2-2*((2065-2022)/I58)^3)))</f>
        <v>0.145655534195114</v>
      </c>
      <c r="BD58" s="30" t="n">
        <f aca="false">BC58*(1-IF((2066-2022)/I58&gt;=1,J58,H58+(J58-H58)*(3*((2066-2022)/I58)^2-2*((2066-2022)/I58)^3)))</f>
        <v>0.144344634387358</v>
      </c>
      <c r="BE58" s="30" t="n">
        <f aca="false">BD58*(1-IF((2067-2022)/I58&gt;=1,J58,H58+(J58-H58)*(3*((2067-2022)/I58)^2-2*((2067-2022)/I58)^3)))</f>
        <v>0.143045532677872</v>
      </c>
      <c r="BF58" s="30" t="n">
        <f aca="false">BE58*(1-IF((2068-2022)/I58&gt;=1,J58,H58+(J58-H58)*(3*((2068-2022)/I58)^2-2*((2068-2022)/I58)^3)))</f>
        <v>0.141758122883771</v>
      </c>
      <c r="BG58" s="30" t="n">
        <f aca="false">BF58*(1-IF((2069-2022)/I58&gt;=1,J58,H58+(J58-H58)*(3*((2069-2022)/I58)^2-2*((2069-2022)/I58)^3)))</f>
        <v>0.140482299777817</v>
      </c>
      <c r="BH58" s="30" t="n">
        <f aca="false">BG58*(1-IF((2070-2022)/I58&gt;=1,J58,H58+(J58-H58)*(3*((2070-2022)/I58)^2-2*((2070-2022)/I58)^3)))</f>
        <v>0.139217959079816</v>
      </c>
      <c r="BI58" s="30" t="n">
        <f aca="false">BH58*(1-IF((2071-2022)/I58&gt;=1,J58,H58+(J58-H58)*(3*((2071-2022)/I58)^2-2*((2071-2022)/I58)^3)))</f>
        <v>0.137964997448098</v>
      </c>
      <c r="BJ58" s="30" t="n">
        <f aca="false">BI58*(1-IF((2072-2022)/I58&gt;=1,J58,H58+(J58-H58)*(3*((2072-2022)/I58)^2-2*((2072-2022)/I58)^3)))</f>
        <v>0.136723312471065</v>
      </c>
      <c r="BK58" s="30" t="n">
        <f aca="false">BJ58*(1-IF((2073-2022)/I58&gt;=1,J58,H58+(J58-H58)*(3*((2073-2022)/I58)^2-2*((2073-2022)/I58)^3)))</f>
        <v>0.135492802658826</v>
      </c>
      <c r="BL58" s="30" t="n">
        <f aca="false">BK58*(1-IF((2074-2022)/I58&gt;=1,J58,H58+(J58-H58)*(3*((2074-2022)/I58)^2-2*((2074-2022)/I58)^3)))</f>
        <v>0.134273367434896</v>
      </c>
      <c r="BM58" s="30" t="n">
        <f aca="false">BL58*(1-IF((2075-2022)/I58&gt;=1,J58,H58+(J58-H58)*(3*((2075-2022)/I58)^2-2*((2075-2022)/I58)^3)))</f>
        <v>0.133064907127982</v>
      </c>
      <c r="BN58" s="30" t="n">
        <f aca="false">BM58*(1-IF((2076-2022)/I58&gt;=1,J58,H58+(J58-H58)*(3*((2076-2022)/I58)^2-2*((2076-2022)/I58)^3)))</f>
        <v>0.13186732296383</v>
      </c>
      <c r="BO58" s="30" t="n">
        <f aca="false">BN58*(1-IF((2077-2022)/I58&gt;=1,J58,H58+(J58-H58)*(3*((2077-2022)/I58)^2-2*((2077-2022)/I58)^3)))</f>
        <v>0.130680517057156</v>
      </c>
      <c r="BP58" s="30" t="n">
        <f aca="false">BO58*(1-IF((2078-2022)/I58&gt;=1,J58,H58+(J58-H58)*(3*((2078-2022)/I58)^2-2*((2078-2022)/I58)^3)))</f>
        <v>0.129504392403641</v>
      </c>
      <c r="BQ58" s="30" t="n">
        <f aca="false">BP58*(1-IF((2079-2022)/I58&gt;=1,J58,H58+(J58-H58)*(3*((2079-2022)/I58)^2-2*((2079-2022)/I58)^3)))</f>
        <v>0.128338852872009</v>
      </c>
      <c r="BR58" s="30" t="n">
        <f aca="false">BQ58*(1-IF((2080-2022)/I58&gt;=1,J58,H58+(J58-H58)*(3*((2080-2022)/I58)^2-2*((2080-2022)/I58)^3)))</f>
        <v>0.127183803196161</v>
      </c>
      <c r="BS58" s="30" t="n">
        <f aca="false">BR58*(1-IF((2081-2022)/I58&gt;=1,J58,H58+(J58-H58)*(3*((2081-2022)/I58)^2-2*((2081-2022)/I58)^3)))</f>
        <v>0.126039148967395</v>
      </c>
      <c r="BT58" s="30" t="n">
        <f aca="false">BS58*(1-IF((2082-2022)/I58&gt;=1,J58,H58+(J58-H58)*(3*((2082-2022)/I58)^2-2*((2082-2022)/I58)^3)))</f>
        <v>0.124904796626689</v>
      </c>
      <c r="BU58" s="30" t="n">
        <f aca="false">BT58*(1-IF((2083-2022)/I58&gt;=1,J58,H58+(J58-H58)*(3*((2083-2022)/I58)^2-2*((2083-2022)/I58)^3)))</f>
        <v>0.123780653457048</v>
      </c>
      <c r="BV58" s="30" t="n">
        <f aca="false">BU58*(1-IF((2084-2022)/I58&gt;=1,J58,H58+(J58-H58)*(3*((2084-2022)/I58)^2-2*((2084-2022)/I58)^3)))</f>
        <v>0.122666627575935</v>
      </c>
      <c r="BW58" s="30" t="n">
        <f aca="false">BV58*(1-IF((2085-2022)/I58&gt;=1,J58,H58+(J58-H58)*(3*((2085-2022)/I58)^2-2*((2085-2022)/I58)^3)))</f>
        <v>0.121562627927752</v>
      </c>
      <c r="BX58" s="30" t="n">
        <f aca="false">BW58*(1-IF((2086-2022)/I58&gt;=1,J58,H58+(J58-H58)*(3*((2086-2022)/I58)^2-2*((2086-2022)/I58)^3)))</f>
        <v>0.120468564276402</v>
      </c>
      <c r="BY58" s="30" t="n">
        <f aca="false">BX58*(1-IF((2087-2022)/I58&gt;=1,J58,H58+(J58-H58)*(3*((2087-2022)/I58)^2-2*((2087-2022)/I58)^3)))</f>
        <v>0.119384347197914</v>
      </c>
      <c r="BZ58" s="30" t="n">
        <f aca="false">BY58*(1-IF((2088-2022)/I58&gt;=1,J58,H58+(J58-H58)*(3*((2088-2022)/I58)^2-2*((2088-2022)/I58)^3)))</f>
        <v>0.118309888073133</v>
      </c>
      <c r="CA58" s="30" t="n">
        <f aca="false">BZ58*(1-IF((2089-2022)/I58&gt;=1,J58,H58+(J58-H58)*(3*((2089-2022)/I58)^2-2*((2089-2022)/I58)^3)))</f>
        <v>0.117245099080475</v>
      </c>
      <c r="CB58" s="30" t="n">
        <f aca="false">CA58*(1-IF((2090-2022)/I58&gt;=1,J58,H58+(J58-H58)*(3*((2090-2022)/I58)^2-2*((2090-2022)/I58)^3)))</f>
        <v>0.11618989318875</v>
      </c>
      <c r="CC58" s="30" t="n">
        <f aca="false">CB58*(1-IF((2091-2022)/I58&gt;=1,J58,H58+(J58-H58)*(3*((2091-2022)/I58)^2-2*((2091-2022)/I58)^3)))</f>
        <v>0.115144184150052</v>
      </c>
    </row>
    <row r="59" customFormat="false" ht="15" hidden="false" customHeight="true" outlineLevel="0" collapsed="false">
      <c r="A59" s="3" t="n">
        <v>96</v>
      </c>
      <c r="B59" s="30" t="n">
        <f aca="false">IF($A59&lt;=105,INDEX(ILT17_Source!$D$7:$D$52,MATCH($A59,ILT17_Source!$A$7:$A$52,0)),($B$16*EXP($B$17*$A59))/(1+$B$16*EXP($B$17*$A59)))</f>
        <v>0.26227059</v>
      </c>
      <c r="C59" s="31" t="n">
        <f aca="false">LOOKUP($A59,{60,65,70,75,80,85,90,95},{0.78,0.82,0.85,0.88,0.91,0.94,0.97,1})</f>
        <v>1</v>
      </c>
      <c r="D59" s="30" t="n">
        <f aca="false">B59*C59</f>
        <v>0.26227059</v>
      </c>
      <c r="E59" s="30" t="n">
        <f aca="false">1/(1+EXP(-(($B$6+$B$8*(2016-2022))+($B$7+$B$9*(2016-2022))*($A59-$B$10))))</f>
        <v>0.25310567959496</v>
      </c>
      <c r="F59" s="30" t="n">
        <f aca="false">1/(1+EXP(-(($B$6+$B$8*(2021-2022))+($B$7+$B$9*(2021-2022))*($A59-$B$10))))</f>
        <v>0.243722682449471</v>
      </c>
      <c r="G59" s="30" t="n">
        <f aca="false">1/(1+EXP(-(($B$6+$B$8*(2022-2022))+($B$7+$B$9*(2022-2022))*($A59-$B$10))))</f>
        <v>0.241874636132121</v>
      </c>
      <c r="H59" s="32" t="n">
        <f aca="false">(F59-G59)/F59</f>
        <v>0.00758257827616491</v>
      </c>
      <c r="I59" s="38" t="n">
        <f aca="false">IF($A59&lt;=50,$B$14,IF($A59&gt;=95,$B$15,$B$14+($B$15-$B$14)*($A59-50)/(95-50)))</f>
        <v>5</v>
      </c>
      <c r="J59" s="39" t="n">
        <f aca="false">IF($A59&lt;=$B$12,$B$11,IF($A59&gt;=$B$13,0,$B$11*($B$13-$A59)/($B$13-$B$12)))</f>
        <v>0.0084</v>
      </c>
      <c r="K59" s="30" t="n">
        <f aca="false">D59*G59/E59</f>
        <v>0.250632872505758</v>
      </c>
      <c r="L59" s="30" t="n">
        <f aca="false">K59*$B$19</f>
        <v>0.225569585255182</v>
      </c>
      <c r="M59" s="30" t="n">
        <f aca="false">L59*(1-IF((2023-2022)/I59&gt;=1,J59,H59+(J59-H59)*(3*((2023-2022)/I59)^2-2*((2023-2022)/I59)^3)))</f>
        <v>0.223840010128423</v>
      </c>
      <c r="N59" s="30" t="n">
        <f aca="false">M59*(1-IF((2024-2022)/I59&gt;=1,J59,H59+(J59-H59)*(3*((2024-2022)/I59)^2-2*((2024-2022)/I59)^3)))</f>
        <v>0.222078319696483</v>
      </c>
      <c r="O59" s="30" t="n">
        <f aca="false">N59*(1-IF((2025-2022)/I59&gt;=1,J59,H59+(J59-H59)*(3*((2025-2022)/I59)^2-2*((2025-2022)/I59)^3)))</f>
        <v>0.220276760949338</v>
      </c>
      <c r="P59" s="30" t="n">
        <f aca="false">O59*(1-IF((2026-2022)/I59&gt;=1,J59,H59+(J59-H59)*(3*((2026-2022)/I59)^2-2*((2026-2022)/I59)^3)))</f>
        <v>0.218445162294368</v>
      </c>
      <c r="Q59" s="30" t="n">
        <f aca="false">P59*(1-IF((2027-2022)/I59&gt;=1,J59,H59+(J59-H59)*(3*((2027-2022)/I59)^2-2*((2027-2022)/I59)^3)))</f>
        <v>0.216610222931095</v>
      </c>
      <c r="R59" s="30" t="n">
        <f aca="false">Q59*(1-IF((2028-2022)/I59&gt;=1,J59,H59+(J59-H59)*(3*((2028-2022)/I59)^2-2*((2028-2022)/I59)^3)))</f>
        <v>0.214790697058474</v>
      </c>
      <c r="S59" s="30" t="n">
        <f aca="false">R59*(1-IF((2029-2022)/I59&gt;=1,J59,H59+(J59-H59)*(3*((2029-2022)/I59)^2-2*((2029-2022)/I59)^3)))</f>
        <v>0.212986455203183</v>
      </c>
      <c r="T59" s="30" t="n">
        <f aca="false">S59*(1-IF((2030-2022)/I59&gt;=1,J59,H59+(J59-H59)*(3*((2030-2022)/I59)^2-2*((2030-2022)/I59)^3)))</f>
        <v>0.211197368979476</v>
      </c>
      <c r="U59" s="30" t="n">
        <f aca="false">T59*(1-IF((2031-2022)/I59&gt;=1,J59,H59+(J59-H59)*(3*((2031-2022)/I59)^2-2*((2031-2022)/I59)^3)))</f>
        <v>0.209423311080049</v>
      </c>
      <c r="V59" s="30" t="n">
        <f aca="false">U59*(1-IF((2032-2022)/I59&gt;=1,J59,H59+(J59-H59)*(3*((2032-2022)/I59)^2-2*((2032-2022)/I59)^3)))</f>
        <v>0.207664155266976</v>
      </c>
      <c r="W59" s="30" t="n">
        <f aca="false">V59*(1-IF((2033-2022)/I59&gt;=1,J59,H59+(J59-H59)*(3*((2033-2022)/I59)^2-2*((2033-2022)/I59)^3)))</f>
        <v>0.205919776362734</v>
      </c>
      <c r="X59" s="30" t="n">
        <f aca="false">W59*(1-IF((2034-2022)/I59&gt;=1,J59,H59+(J59-H59)*(3*((2034-2022)/I59)^2-2*((2034-2022)/I59)^3)))</f>
        <v>0.204190050241287</v>
      </c>
      <c r="Y59" s="30" t="n">
        <f aca="false">X59*(1-IF((2035-2022)/I59&gt;=1,J59,H59+(J59-H59)*(3*((2035-2022)/I59)^2-2*((2035-2022)/I59)^3)))</f>
        <v>0.20247485381926</v>
      </c>
      <c r="Z59" s="30" t="n">
        <f aca="false">Y59*(1-IF((2036-2022)/I59&gt;=1,J59,H59+(J59-H59)*(3*((2036-2022)/I59)^2-2*((2036-2022)/I59)^3)))</f>
        <v>0.200774065047178</v>
      </c>
      <c r="AA59" s="30" t="n">
        <f aca="false">Z59*(1-IF((2037-2022)/I59&gt;=1,J59,H59+(J59-H59)*(3*((2037-2022)/I59)^2-2*((2037-2022)/I59)^3)))</f>
        <v>0.199087562900782</v>
      </c>
      <c r="AB59" s="30" t="n">
        <f aca="false">AA59*(1-IF((2038-2022)/I59&gt;=1,J59,H59+(J59-H59)*(3*((2038-2022)/I59)^2-2*((2038-2022)/I59)^3)))</f>
        <v>0.197415227372415</v>
      </c>
      <c r="AC59" s="30" t="n">
        <f aca="false">AB59*(1-IF((2039-2022)/I59&gt;=1,J59,H59+(J59-H59)*(3*((2039-2022)/I59)^2-2*((2039-2022)/I59)^3)))</f>
        <v>0.195756939462487</v>
      </c>
      <c r="AD59" s="30" t="n">
        <f aca="false">AC59*(1-IF((2040-2022)/I59&gt;=1,J59,H59+(J59-H59)*(3*((2040-2022)/I59)^2-2*((2040-2022)/I59)^3)))</f>
        <v>0.194112581171002</v>
      </c>
      <c r="AE59" s="30" t="n">
        <f aca="false">AD59*(1-IF((2041-2022)/I59&gt;=1,J59,H59+(J59-H59)*(3*((2041-2022)/I59)^2-2*((2041-2022)/I59)^3)))</f>
        <v>0.192482035489166</v>
      </c>
      <c r="AF59" s="30" t="n">
        <f aca="false">AE59*(1-IF((2042-2022)/I59&gt;=1,J59,H59+(J59-H59)*(3*((2042-2022)/I59)^2-2*((2042-2022)/I59)^3)))</f>
        <v>0.190865186391057</v>
      </c>
      <c r="AG59" s="30" t="n">
        <f aca="false">AF59*(1-IF((2043-2022)/I59&gt;=1,J59,H59+(J59-H59)*(3*((2043-2022)/I59)^2-2*((2043-2022)/I59)^3)))</f>
        <v>0.189261918825372</v>
      </c>
      <c r="AH59" s="30" t="n">
        <f aca="false">AG59*(1-IF((2044-2022)/I59&gt;=1,J59,H59+(J59-H59)*(3*((2044-2022)/I59)^2-2*((2044-2022)/I59)^3)))</f>
        <v>0.187672118707239</v>
      </c>
      <c r="AI59" s="30" t="n">
        <f aca="false">AH59*(1-IF((2045-2022)/I59&gt;=1,J59,H59+(J59-H59)*(3*((2045-2022)/I59)^2-2*((2045-2022)/I59)^3)))</f>
        <v>0.186095672910098</v>
      </c>
      <c r="AJ59" s="30" t="n">
        <f aca="false">AI59*(1-IF((2046-2022)/I59&gt;=1,J59,H59+(J59-H59)*(3*((2046-2022)/I59)^2-2*((2046-2022)/I59)^3)))</f>
        <v>0.184532469257653</v>
      </c>
      <c r="AK59" s="30" t="n">
        <f aca="false">AJ59*(1-IF((2047-2022)/I59&gt;=1,J59,H59+(J59-H59)*(3*((2047-2022)/I59)^2-2*((2047-2022)/I59)^3)))</f>
        <v>0.182982396515889</v>
      </c>
      <c r="AL59" s="30" t="n">
        <f aca="false">AK59*(1-IF((2048-2022)/I59&gt;=1,J59,H59+(J59-H59)*(3*((2048-2022)/I59)^2-2*((2048-2022)/I59)^3)))</f>
        <v>0.181445344385155</v>
      </c>
      <c r="AM59" s="30" t="n">
        <f aca="false">AL59*(1-IF((2049-2022)/I59&gt;=1,J59,H59+(J59-H59)*(3*((2049-2022)/I59)^2-2*((2049-2022)/I59)^3)))</f>
        <v>0.17992120349232</v>
      </c>
      <c r="AN59" s="30" t="n">
        <f aca="false">AM59*(1-IF((2050-2022)/I59&gt;=1,J59,H59+(J59-H59)*(3*((2050-2022)/I59)^2-2*((2050-2022)/I59)^3)))</f>
        <v>0.178409865382984</v>
      </c>
      <c r="AO59" s="30" t="n">
        <f aca="false">AN59*(1-IF((2051-2022)/I59&gt;=1,J59,H59+(J59-H59)*(3*((2051-2022)/I59)^2-2*((2051-2022)/I59)^3)))</f>
        <v>0.176911222513767</v>
      </c>
      <c r="AP59" s="30" t="n">
        <f aca="false">AO59*(1-IF((2052-2022)/I59&gt;=1,J59,H59+(J59-H59)*(3*((2052-2022)/I59)^2-2*((2052-2022)/I59)^3)))</f>
        <v>0.175425168244652</v>
      </c>
      <c r="AQ59" s="30" t="n">
        <f aca="false">AP59*(1-IF((2053-2022)/I59&gt;=1,J59,H59+(J59-H59)*(3*((2053-2022)/I59)^2-2*((2053-2022)/I59)^3)))</f>
        <v>0.173951596831397</v>
      </c>
      <c r="AR59" s="30" t="n">
        <f aca="false">AQ59*(1-IF((2054-2022)/I59&gt;=1,J59,H59+(J59-H59)*(3*((2054-2022)/I59)^2-2*((2054-2022)/I59)^3)))</f>
        <v>0.172490403418013</v>
      </c>
      <c r="AS59" s="30" t="n">
        <f aca="false">AR59*(1-IF((2055-2022)/I59&gt;=1,J59,H59+(J59-H59)*(3*((2055-2022)/I59)^2-2*((2055-2022)/I59)^3)))</f>
        <v>0.171041484029302</v>
      </c>
      <c r="AT59" s="30" t="n">
        <f aca="false">AS59*(1-IF((2056-2022)/I59&gt;=1,J59,H59+(J59-H59)*(3*((2056-2022)/I59)^2-2*((2056-2022)/I59)^3)))</f>
        <v>0.169604735563456</v>
      </c>
      <c r="AU59" s="30" t="n">
        <f aca="false">AT59*(1-IF((2057-2022)/I59&gt;=1,J59,H59+(J59-H59)*(3*((2057-2022)/I59)^2-2*((2057-2022)/I59)^3)))</f>
        <v>0.168180055784723</v>
      </c>
      <c r="AV59" s="30" t="n">
        <f aca="false">AU59*(1-IF((2058-2022)/I59&gt;=1,J59,H59+(J59-H59)*(3*((2058-2022)/I59)^2-2*((2058-2022)/I59)^3)))</f>
        <v>0.166767343316131</v>
      </c>
      <c r="AW59" s="30" t="n">
        <f aca="false">AV59*(1-IF((2059-2022)/I59&gt;=1,J59,H59+(J59-H59)*(3*((2059-2022)/I59)^2-2*((2059-2022)/I59)^3)))</f>
        <v>0.165366497632275</v>
      </c>
      <c r="AX59" s="30" t="n">
        <f aca="false">AW59*(1-IF((2060-2022)/I59&gt;=1,J59,H59+(J59-H59)*(3*((2060-2022)/I59)^2-2*((2060-2022)/I59)^3)))</f>
        <v>0.163977419052164</v>
      </c>
      <c r="AY59" s="30" t="n">
        <f aca="false">AX59*(1-IF((2061-2022)/I59&gt;=1,J59,H59+(J59-H59)*(3*((2061-2022)/I59)^2-2*((2061-2022)/I59)^3)))</f>
        <v>0.162600008732126</v>
      </c>
      <c r="AZ59" s="30" t="n">
        <f aca="false">AY59*(1-IF((2062-2022)/I59&gt;=1,J59,H59+(J59-H59)*(3*((2062-2022)/I59)^2-2*((2062-2022)/I59)^3)))</f>
        <v>0.161234168658776</v>
      </c>
      <c r="BA59" s="30" t="n">
        <f aca="false">AZ59*(1-IF((2063-2022)/I59&gt;=1,J59,H59+(J59-H59)*(3*((2063-2022)/I59)^2-2*((2063-2022)/I59)^3)))</f>
        <v>0.159879801642043</v>
      </c>
      <c r="BB59" s="30" t="n">
        <f aca="false">BA59*(1-IF((2064-2022)/I59&gt;=1,J59,H59+(J59-H59)*(3*((2064-2022)/I59)^2-2*((2064-2022)/I59)^3)))</f>
        <v>0.158536811308249</v>
      </c>
      <c r="BC59" s="30" t="n">
        <f aca="false">BB59*(1-IF((2065-2022)/I59&gt;=1,J59,H59+(J59-H59)*(3*((2065-2022)/I59)^2-2*((2065-2022)/I59)^3)))</f>
        <v>0.15720510209326</v>
      </c>
      <c r="BD59" s="30" t="n">
        <f aca="false">BC59*(1-IF((2066-2022)/I59&gt;=1,J59,H59+(J59-H59)*(3*((2066-2022)/I59)^2-2*((2066-2022)/I59)^3)))</f>
        <v>0.155884579235677</v>
      </c>
      <c r="BE59" s="30" t="n">
        <f aca="false">BD59*(1-IF((2067-2022)/I59&gt;=1,J59,H59+(J59-H59)*(3*((2067-2022)/I59)^2-2*((2067-2022)/I59)^3)))</f>
        <v>0.154575148770097</v>
      </c>
      <c r="BF59" s="30" t="n">
        <f aca="false">BE59*(1-IF((2068-2022)/I59&gt;=1,J59,H59+(J59-H59)*(3*((2068-2022)/I59)^2-2*((2068-2022)/I59)^3)))</f>
        <v>0.153276717520428</v>
      </c>
      <c r="BG59" s="30" t="n">
        <f aca="false">BF59*(1-IF((2069-2022)/I59&gt;=1,J59,H59+(J59-H59)*(3*((2069-2022)/I59)^2-2*((2069-2022)/I59)^3)))</f>
        <v>0.151989193093257</v>
      </c>
      <c r="BH59" s="30" t="n">
        <f aca="false">BG59*(1-IF((2070-2022)/I59&gt;=1,J59,H59+(J59-H59)*(3*((2070-2022)/I59)^2-2*((2070-2022)/I59)^3)))</f>
        <v>0.150712483871273</v>
      </c>
      <c r="BI59" s="30" t="n">
        <f aca="false">BH59*(1-IF((2071-2022)/I59&gt;=1,J59,H59+(J59-H59)*(3*((2071-2022)/I59)^2-2*((2071-2022)/I59)^3)))</f>
        <v>0.149446499006755</v>
      </c>
      <c r="BJ59" s="30" t="n">
        <f aca="false">BI59*(1-IF((2072-2022)/I59&gt;=1,J59,H59+(J59-H59)*(3*((2072-2022)/I59)^2-2*((2072-2022)/I59)^3)))</f>
        <v>0.148191148415098</v>
      </c>
      <c r="BK59" s="30" t="n">
        <f aca="false">BJ59*(1-IF((2073-2022)/I59&gt;=1,J59,H59+(J59-H59)*(3*((2073-2022)/I59)^2-2*((2073-2022)/I59)^3)))</f>
        <v>0.146946342768411</v>
      </c>
      <c r="BL59" s="30" t="n">
        <f aca="false">BK59*(1-IF((2074-2022)/I59&gt;=1,J59,H59+(J59-H59)*(3*((2074-2022)/I59)^2-2*((2074-2022)/I59)^3)))</f>
        <v>0.145711993489156</v>
      </c>
      <c r="BM59" s="30" t="n">
        <f aca="false">BL59*(1-IF((2075-2022)/I59&gt;=1,J59,H59+(J59-H59)*(3*((2075-2022)/I59)^2-2*((2075-2022)/I59)^3)))</f>
        <v>0.144488012743847</v>
      </c>
      <c r="BN59" s="30" t="n">
        <f aca="false">BM59*(1-IF((2076-2022)/I59&gt;=1,J59,H59+(J59-H59)*(3*((2076-2022)/I59)^2-2*((2076-2022)/I59)^3)))</f>
        <v>0.143274313436799</v>
      </c>
      <c r="BO59" s="30" t="n">
        <f aca="false">BN59*(1-IF((2077-2022)/I59&gt;=1,J59,H59+(J59-H59)*(3*((2077-2022)/I59)^2-2*((2077-2022)/I59)^3)))</f>
        <v>0.14207080920393</v>
      </c>
      <c r="BP59" s="30" t="n">
        <f aca="false">BO59*(1-IF((2078-2022)/I59&gt;=1,J59,H59+(J59-H59)*(3*((2078-2022)/I59)^2-2*((2078-2022)/I59)^3)))</f>
        <v>0.140877414406617</v>
      </c>
      <c r="BQ59" s="30" t="n">
        <f aca="false">BP59*(1-IF((2079-2022)/I59&gt;=1,J59,H59+(J59-H59)*(3*((2079-2022)/I59)^2-2*((2079-2022)/I59)^3)))</f>
        <v>0.139694044125601</v>
      </c>
      <c r="BR59" s="30" t="n">
        <f aca="false">BQ59*(1-IF((2080-2022)/I59&gt;=1,J59,H59+(J59-H59)*(3*((2080-2022)/I59)^2-2*((2080-2022)/I59)^3)))</f>
        <v>0.138520614154946</v>
      </c>
      <c r="BS59" s="30" t="n">
        <f aca="false">BR59*(1-IF((2081-2022)/I59&gt;=1,J59,H59+(J59-H59)*(3*((2081-2022)/I59)^2-2*((2081-2022)/I59)^3)))</f>
        <v>0.137357040996045</v>
      </c>
      <c r="BT59" s="30" t="n">
        <f aca="false">BS59*(1-IF((2082-2022)/I59&gt;=1,J59,H59+(J59-H59)*(3*((2082-2022)/I59)^2-2*((2082-2022)/I59)^3)))</f>
        <v>0.136203241851678</v>
      </c>
      <c r="BU59" s="30" t="n">
        <f aca="false">BT59*(1-IF((2083-2022)/I59&gt;=1,J59,H59+(J59-H59)*(3*((2083-2022)/I59)^2-2*((2083-2022)/I59)^3)))</f>
        <v>0.135059134620124</v>
      </c>
      <c r="BV59" s="30" t="n">
        <f aca="false">BU59*(1-IF((2084-2022)/I59&gt;=1,J59,H59+(J59-H59)*(3*((2084-2022)/I59)^2-2*((2084-2022)/I59)^3)))</f>
        <v>0.133924637889315</v>
      </c>
      <c r="BW59" s="30" t="n">
        <f aca="false">BV59*(1-IF((2085-2022)/I59&gt;=1,J59,H59+(J59-H59)*(3*((2085-2022)/I59)^2-2*((2085-2022)/I59)^3)))</f>
        <v>0.132799670931045</v>
      </c>
      <c r="BX59" s="30" t="n">
        <f aca="false">BW59*(1-IF((2086-2022)/I59&gt;=1,J59,H59+(J59-H59)*(3*((2086-2022)/I59)^2-2*((2086-2022)/I59)^3)))</f>
        <v>0.131684153695224</v>
      </c>
      <c r="BY59" s="30" t="n">
        <f aca="false">BX59*(1-IF((2087-2022)/I59&gt;=1,J59,H59+(J59-H59)*(3*((2087-2022)/I59)^2-2*((2087-2022)/I59)^3)))</f>
        <v>0.130578006804184</v>
      </c>
      <c r="BZ59" s="30" t="n">
        <f aca="false">BY59*(1-IF((2088-2022)/I59&gt;=1,J59,H59+(J59-H59)*(3*((2088-2022)/I59)^2-2*((2088-2022)/I59)^3)))</f>
        <v>0.129481151547029</v>
      </c>
      <c r="CA59" s="30" t="n">
        <f aca="false">BZ59*(1-IF((2089-2022)/I59&gt;=1,J59,H59+(J59-H59)*(3*((2089-2022)/I59)^2-2*((2089-2022)/I59)^3)))</f>
        <v>0.128393509874034</v>
      </c>
      <c r="CB59" s="30" t="n">
        <f aca="false">CA59*(1-IF((2090-2022)/I59&gt;=1,J59,H59+(J59-H59)*(3*((2090-2022)/I59)^2-2*((2090-2022)/I59)^3)))</f>
        <v>0.127315004391092</v>
      </c>
      <c r="CC59" s="30" t="n">
        <f aca="false">CB59*(1-IF((2091-2022)/I59&gt;=1,J59,H59+(J59-H59)*(3*((2091-2022)/I59)^2-2*((2091-2022)/I59)^3)))</f>
        <v>0.126245558354207</v>
      </c>
    </row>
    <row r="60" customFormat="false" ht="15" hidden="false" customHeight="true" outlineLevel="0" collapsed="false">
      <c r="A60" s="3" t="n">
        <v>97</v>
      </c>
      <c r="B60" s="30" t="n">
        <f aca="false">IF($A60&lt;=105,INDEX(ILT17_Source!$D$7:$D$52,MATCH($A60,ILT17_Source!$A$7:$A$52,0)),($B$16*EXP($B$17*$A60))/(1+$B$16*EXP($B$17*$A60)))</f>
        <v>0.273024695</v>
      </c>
      <c r="C60" s="31" t="n">
        <f aca="false">LOOKUP($A60,{60,65,70,75,80,85,90,95},{0.78,0.82,0.85,0.88,0.91,0.94,0.97,1})</f>
        <v>1</v>
      </c>
      <c r="D60" s="30" t="n">
        <f aca="false">B60*C60</f>
        <v>0.273024695</v>
      </c>
      <c r="E60" s="30" t="n">
        <f aca="false">1/(1+EXP(-(($B$6+$B$8*(2016-2022))+($B$7+$B$9*(2016-2022))*($A60-$B$10))))</f>
        <v>0.274596300261588</v>
      </c>
      <c r="F60" s="30" t="n">
        <f aca="false">1/(1+EXP(-(($B$6+$B$8*(2021-2022))+($B$7+$B$9*(2021-2022))*($A60-$B$10))))</f>
        <v>0.265231199826425</v>
      </c>
      <c r="G60" s="30" t="n">
        <f aca="false">1/(1+EXP(-(($B$6+$B$8*(2022-2022))+($B$7+$B$9*(2022-2022))*($A60-$B$10))))</f>
        <v>0.263382865035094</v>
      </c>
      <c r="H60" s="32" t="n">
        <f aca="false">(F60-G60)/F60</f>
        <v>0.00696876835206521</v>
      </c>
      <c r="I60" s="38" t="n">
        <f aca="false">IF($A60&lt;=50,$B$14,IF($A60&gt;=95,$B$15,$B$14+($B$15-$B$14)*($A60-50)/(95-50)))</f>
        <v>5</v>
      </c>
      <c r="J60" s="39" t="n">
        <f aca="false">IF($A60&lt;=$B$12,$B$11,IF($A60&gt;=$B$13,0,$B$11*($B$13-$A60)/($B$13-$B$12)))</f>
        <v>0.0078</v>
      </c>
      <c r="K60" s="30" t="n">
        <f aca="false">D60*G60/E60</f>
        <v>0.261875437964493</v>
      </c>
      <c r="L60" s="30" t="n">
        <f aca="false">K60*$B$19</f>
        <v>0.235687894168043</v>
      </c>
      <c r="M60" s="30" t="n">
        <f aca="false">L60*(1-IF((2023-2022)/I60&gt;=1,J60,H60+(J60-H60)*(3*((2023-2022)/I60)^2-2*((2023-2022)/I60)^3)))</f>
        <v>0.234025065061587</v>
      </c>
      <c r="N60" s="30" t="n">
        <f aca="false">M60*(1-IF((2024-2022)/I60&gt;=1,J60,H60+(J60-H60)*(3*((2024-2022)/I60)^2-2*((2024-2022)/I60)^3)))</f>
        <v>0.232325724372344</v>
      </c>
      <c r="O60" s="30" t="n">
        <f aca="false">N60*(1-IF((2025-2022)/I60&gt;=1,J60,H60+(J60-H60)*(3*((2025-2022)/I60)^2-2*((2025-2022)/I60)^3)))</f>
        <v>0.230581560728383</v>
      </c>
      <c r="P60" s="30" t="n">
        <f aca="false">O60*(1-IF((2026-2022)/I60&gt;=1,J60,H60+(J60-H60)*(3*((2026-2022)/I60)^2-2*((2026-2022)/I60)^3)))</f>
        <v>0.228802957890536</v>
      </c>
      <c r="Q60" s="30" t="n">
        <f aca="false">P60*(1-IF((2027-2022)/I60&gt;=1,J60,H60+(J60-H60)*(3*((2027-2022)/I60)^2-2*((2027-2022)/I60)^3)))</f>
        <v>0.227018294818989</v>
      </c>
      <c r="R60" s="30" t="n">
        <f aca="false">Q60*(1-IF((2028-2022)/I60&gt;=1,J60,H60+(J60-H60)*(3*((2028-2022)/I60)^2-2*((2028-2022)/I60)^3)))</f>
        <v>0.225247552119401</v>
      </c>
      <c r="S60" s="30" t="n">
        <f aca="false">R60*(1-IF((2029-2022)/I60&gt;=1,J60,H60+(J60-H60)*(3*((2029-2022)/I60)^2-2*((2029-2022)/I60)^3)))</f>
        <v>0.22349062121287</v>
      </c>
      <c r="T60" s="30" t="n">
        <f aca="false">S60*(1-IF((2030-2022)/I60&gt;=1,J60,H60+(J60-H60)*(3*((2030-2022)/I60)^2-2*((2030-2022)/I60)^3)))</f>
        <v>0.22174739436741</v>
      </c>
      <c r="U60" s="30" t="n">
        <f aca="false">T60*(1-IF((2031-2022)/I60&gt;=1,J60,H60+(J60-H60)*(3*((2031-2022)/I60)^2-2*((2031-2022)/I60)^3)))</f>
        <v>0.220017764691344</v>
      </c>
      <c r="V60" s="30" t="n">
        <f aca="false">U60*(1-IF((2032-2022)/I60&gt;=1,J60,H60+(J60-H60)*(3*((2032-2022)/I60)^2-2*((2032-2022)/I60)^3)))</f>
        <v>0.218301626126751</v>
      </c>
      <c r="W60" s="30" t="n">
        <f aca="false">V60*(1-IF((2033-2022)/I60&gt;=1,J60,H60+(J60-H60)*(3*((2033-2022)/I60)^2-2*((2033-2022)/I60)^3)))</f>
        <v>0.216598873442963</v>
      </c>
      <c r="X60" s="30" t="n">
        <f aca="false">W60*(1-IF((2034-2022)/I60&gt;=1,J60,H60+(J60-H60)*(3*((2034-2022)/I60)^2-2*((2034-2022)/I60)^3)))</f>
        <v>0.214909402230107</v>
      </c>
      <c r="Y60" s="30" t="n">
        <f aca="false">X60*(1-IF((2035-2022)/I60&gt;=1,J60,H60+(J60-H60)*(3*((2035-2022)/I60)^2-2*((2035-2022)/I60)^3)))</f>
        <v>0.213233108892713</v>
      </c>
      <c r="Z60" s="30" t="n">
        <f aca="false">Y60*(1-IF((2036-2022)/I60&gt;=1,J60,H60+(J60-H60)*(3*((2036-2022)/I60)^2-2*((2036-2022)/I60)^3)))</f>
        <v>0.211569890643349</v>
      </c>
      <c r="AA60" s="30" t="n">
        <f aca="false">Z60*(1-IF((2037-2022)/I60&gt;=1,J60,H60+(J60-H60)*(3*((2037-2022)/I60)^2-2*((2037-2022)/I60)^3)))</f>
        <v>0.209919645496331</v>
      </c>
      <c r="AB60" s="30" t="n">
        <f aca="false">AA60*(1-IF((2038-2022)/I60&gt;=1,J60,H60+(J60-H60)*(3*((2038-2022)/I60)^2-2*((2038-2022)/I60)^3)))</f>
        <v>0.20828227226146</v>
      </c>
      <c r="AC60" s="30" t="n">
        <f aca="false">AB60*(1-IF((2039-2022)/I60&gt;=1,J60,H60+(J60-H60)*(3*((2039-2022)/I60)^2-2*((2039-2022)/I60)^3)))</f>
        <v>0.206657670537821</v>
      </c>
      <c r="AD60" s="30" t="n">
        <f aca="false">AC60*(1-IF((2040-2022)/I60&gt;=1,J60,H60+(J60-H60)*(3*((2040-2022)/I60)^2-2*((2040-2022)/I60)^3)))</f>
        <v>0.205045740707626</v>
      </c>
      <c r="AE60" s="30" t="n">
        <f aca="false">AD60*(1-IF((2041-2022)/I60&gt;=1,J60,H60+(J60-H60)*(3*((2041-2022)/I60)^2-2*((2041-2022)/I60)^3)))</f>
        <v>0.203446383930106</v>
      </c>
      <c r="AF60" s="30" t="n">
        <f aca="false">AE60*(1-IF((2042-2022)/I60&gt;=1,J60,H60+(J60-H60)*(3*((2042-2022)/I60)^2-2*((2042-2022)/I60)^3)))</f>
        <v>0.201859502135451</v>
      </c>
      <c r="AG60" s="30" t="n">
        <f aca="false">AF60*(1-IF((2043-2022)/I60&gt;=1,J60,H60+(J60-H60)*(3*((2043-2022)/I60)^2-2*((2043-2022)/I60)^3)))</f>
        <v>0.200284998018795</v>
      </c>
      <c r="AH60" s="30" t="n">
        <f aca="false">AG60*(1-IF((2044-2022)/I60&gt;=1,J60,H60+(J60-H60)*(3*((2044-2022)/I60)^2-2*((2044-2022)/I60)^3)))</f>
        <v>0.198722775034248</v>
      </c>
      <c r="AI60" s="30" t="n">
        <f aca="false">AH60*(1-IF((2045-2022)/I60&gt;=1,J60,H60+(J60-H60)*(3*((2045-2022)/I60)^2-2*((2045-2022)/I60)^3)))</f>
        <v>0.197172737388981</v>
      </c>
      <c r="AJ60" s="30" t="n">
        <f aca="false">AI60*(1-IF((2046-2022)/I60&gt;=1,J60,H60+(J60-H60)*(3*((2046-2022)/I60)^2-2*((2046-2022)/I60)^3)))</f>
        <v>0.195634790037347</v>
      </c>
      <c r="AK60" s="30" t="n">
        <f aca="false">AJ60*(1-IF((2047-2022)/I60&gt;=1,J60,H60+(J60-H60)*(3*((2047-2022)/I60)^2-2*((2047-2022)/I60)^3)))</f>
        <v>0.194108838675056</v>
      </c>
      <c r="AL60" s="30" t="n">
        <f aca="false">AK60*(1-IF((2048-2022)/I60&gt;=1,J60,H60+(J60-H60)*(3*((2048-2022)/I60)^2-2*((2048-2022)/I60)^3)))</f>
        <v>0.19259478973339</v>
      </c>
      <c r="AM60" s="30" t="n">
        <f aca="false">AL60*(1-IF((2049-2022)/I60&gt;=1,J60,H60+(J60-H60)*(3*((2049-2022)/I60)^2-2*((2049-2022)/I60)^3)))</f>
        <v>0.19109255037347</v>
      </c>
      <c r="AN60" s="30" t="n">
        <f aca="false">AM60*(1-IF((2050-2022)/I60&gt;=1,J60,H60+(J60-H60)*(3*((2050-2022)/I60)^2-2*((2050-2022)/I60)^3)))</f>
        <v>0.189602028480557</v>
      </c>
      <c r="AO60" s="30" t="n">
        <f aca="false">AN60*(1-IF((2051-2022)/I60&gt;=1,J60,H60+(J60-H60)*(3*((2051-2022)/I60)^2-2*((2051-2022)/I60)^3)))</f>
        <v>0.188123132658408</v>
      </c>
      <c r="AP60" s="30" t="n">
        <f aca="false">AO60*(1-IF((2052-2022)/I60&gt;=1,J60,H60+(J60-H60)*(3*((2052-2022)/I60)^2-2*((2052-2022)/I60)^3)))</f>
        <v>0.186655772223673</v>
      </c>
      <c r="AQ60" s="30" t="n">
        <f aca="false">AP60*(1-IF((2053-2022)/I60&gt;=1,J60,H60+(J60-H60)*(3*((2053-2022)/I60)^2-2*((2053-2022)/I60)^3)))</f>
        <v>0.185199857200328</v>
      </c>
      <c r="AR60" s="30" t="n">
        <f aca="false">AQ60*(1-IF((2054-2022)/I60&gt;=1,J60,H60+(J60-H60)*(3*((2054-2022)/I60)^2-2*((2054-2022)/I60)^3)))</f>
        <v>0.183755298314165</v>
      </c>
      <c r="AS60" s="30" t="n">
        <f aca="false">AR60*(1-IF((2055-2022)/I60&gt;=1,J60,H60+(J60-H60)*(3*((2055-2022)/I60)^2-2*((2055-2022)/I60)^3)))</f>
        <v>0.182322006987315</v>
      </c>
      <c r="AT60" s="30" t="n">
        <f aca="false">AS60*(1-IF((2056-2022)/I60&gt;=1,J60,H60+(J60-H60)*(3*((2056-2022)/I60)^2-2*((2056-2022)/I60)^3)))</f>
        <v>0.180899895332814</v>
      </c>
      <c r="AU60" s="30" t="n">
        <f aca="false">AT60*(1-IF((2057-2022)/I60&gt;=1,J60,H60+(J60-H60)*(3*((2057-2022)/I60)^2-2*((2057-2022)/I60)^3)))</f>
        <v>0.179488876149218</v>
      </c>
      <c r="AV60" s="30" t="n">
        <f aca="false">AU60*(1-IF((2058-2022)/I60&gt;=1,J60,H60+(J60-H60)*(3*((2058-2022)/I60)^2-2*((2058-2022)/I60)^3)))</f>
        <v>0.178088862915254</v>
      </c>
      <c r="AW60" s="30" t="n">
        <f aca="false">AV60*(1-IF((2059-2022)/I60&gt;=1,J60,H60+(J60-H60)*(3*((2059-2022)/I60)^2-2*((2059-2022)/I60)^3)))</f>
        <v>0.176699769784515</v>
      </c>
      <c r="AX60" s="30" t="n">
        <f aca="false">AW60*(1-IF((2060-2022)/I60&gt;=1,J60,H60+(J60-H60)*(3*((2060-2022)/I60)^2-2*((2060-2022)/I60)^3)))</f>
        <v>0.175321511580196</v>
      </c>
      <c r="AY60" s="30" t="n">
        <f aca="false">AX60*(1-IF((2061-2022)/I60&gt;=1,J60,H60+(J60-H60)*(3*((2061-2022)/I60)^2-2*((2061-2022)/I60)^3)))</f>
        <v>0.17395400378987</v>
      </c>
      <c r="AZ60" s="30" t="n">
        <f aca="false">AY60*(1-IF((2062-2022)/I60&gt;=1,J60,H60+(J60-H60)*(3*((2062-2022)/I60)^2-2*((2062-2022)/I60)^3)))</f>
        <v>0.172597162560309</v>
      </c>
      <c r="BA60" s="30" t="n">
        <f aca="false">AZ60*(1-IF((2063-2022)/I60&gt;=1,J60,H60+(J60-H60)*(3*((2063-2022)/I60)^2-2*((2063-2022)/I60)^3)))</f>
        <v>0.171250904692339</v>
      </c>
      <c r="BB60" s="30" t="n">
        <f aca="false">BA60*(1-IF((2064-2022)/I60&gt;=1,J60,H60+(J60-H60)*(3*((2064-2022)/I60)^2-2*((2064-2022)/I60)^3)))</f>
        <v>0.169915147635739</v>
      </c>
      <c r="BC60" s="30" t="n">
        <f aca="false">BB60*(1-IF((2065-2022)/I60&gt;=1,J60,H60+(J60-H60)*(3*((2065-2022)/I60)^2-2*((2065-2022)/I60)^3)))</f>
        <v>0.16858980948418</v>
      </c>
      <c r="BD60" s="30" t="n">
        <f aca="false">BC60*(1-IF((2066-2022)/I60&gt;=1,J60,H60+(J60-H60)*(3*((2066-2022)/I60)^2-2*((2066-2022)/I60)^3)))</f>
        <v>0.167274808970203</v>
      </c>
      <c r="BE60" s="30" t="n">
        <f aca="false">BD60*(1-IF((2067-2022)/I60&gt;=1,J60,H60+(J60-H60)*(3*((2067-2022)/I60)^2-2*((2067-2022)/I60)^3)))</f>
        <v>0.165970065460236</v>
      </c>
      <c r="BF60" s="30" t="n">
        <f aca="false">BE60*(1-IF((2068-2022)/I60&gt;=1,J60,H60+(J60-H60)*(3*((2068-2022)/I60)^2-2*((2068-2022)/I60)^3)))</f>
        <v>0.164675498949646</v>
      </c>
      <c r="BG60" s="30" t="n">
        <f aca="false">BF60*(1-IF((2069-2022)/I60&gt;=1,J60,H60+(J60-H60)*(3*((2069-2022)/I60)^2-2*((2069-2022)/I60)^3)))</f>
        <v>0.163391030057839</v>
      </c>
      <c r="BH60" s="30" t="n">
        <f aca="false">BG60*(1-IF((2070-2022)/I60&gt;=1,J60,H60+(J60-H60)*(3*((2070-2022)/I60)^2-2*((2070-2022)/I60)^3)))</f>
        <v>0.162116580023387</v>
      </c>
      <c r="BI60" s="30" t="n">
        <f aca="false">BH60*(1-IF((2071-2022)/I60&gt;=1,J60,H60+(J60-H60)*(3*((2071-2022)/I60)^2-2*((2071-2022)/I60)^3)))</f>
        <v>0.160852070699205</v>
      </c>
      <c r="BJ60" s="30" t="n">
        <f aca="false">BI60*(1-IF((2072-2022)/I60&gt;=1,J60,H60+(J60-H60)*(3*((2072-2022)/I60)^2-2*((2072-2022)/I60)^3)))</f>
        <v>0.159597424547751</v>
      </c>
      <c r="BK60" s="30" t="n">
        <f aca="false">BJ60*(1-IF((2073-2022)/I60&gt;=1,J60,H60+(J60-H60)*(3*((2073-2022)/I60)^2-2*((2073-2022)/I60)^3)))</f>
        <v>0.158352564636279</v>
      </c>
      <c r="BL60" s="30" t="n">
        <f aca="false">BK60*(1-IF((2074-2022)/I60&gt;=1,J60,H60+(J60-H60)*(3*((2074-2022)/I60)^2-2*((2074-2022)/I60)^3)))</f>
        <v>0.157117414632116</v>
      </c>
      <c r="BM60" s="30" t="n">
        <f aca="false">BL60*(1-IF((2075-2022)/I60&gt;=1,J60,H60+(J60-H60)*(3*((2075-2022)/I60)^2-2*((2075-2022)/I60)^3)))</f>
        <v>0.155891898797985</v>
      </c>
      <c r="BN60" s="30" t="n">
        <f aca="false">BM60*(1-IF((2076-2022)/I60&gt;=1,J60,H60+(J60-H60)*(3*((2076-2022)/I60)^2-2*((2076-2022)/I60)^3)))</f>
        <v>0.154675941987361</v>
      </c>
      <c r="BO60" s="30" t="n">
        <f aca="false">BN60*(1-IF((2077-2022)/I60&gt;=1,J60,H60+(J60-H60)*(3*((2077-2022)/I60)^2-2*((2077-2022)/I60)^3)))</f>
        <v>0.15346946963986</v>
      </c>
      <c r="BP60" s="30" t="n">
        <f aca="false">BO60*(1-IF((2078-2022)/I60&gt;=1,J60,H60+(J60-H60)*(3*((2078-2022)/I60)^2-2*((2078-2022)/I60)^3)))</f>
        <v>0.152272407776669</v>
      </c>
      <c r="BQ60" s="30" t="n">
        <f aca="false">BP60*(1-IF((2079-2022)/I60&gt;=1,J60,H60+(J60-H60)*(3*((2079-2022)/I60)^2-2*((2079-2022)/I60)^3)))</f>
        <v>0.151084682996011</v>
      </c>
      <c r="BR60" s="30" t="n">
        <f aca="false">BQ60*(1-IF((2080-2022)/I60&gt;=1,J60,H60+(J60-H60)*(3*((2080-2022)/I60)^2-2*((2080-2022)/I60)^3)))</f>
        <v>0.149906222468642</v>
      </c>
      <c r="BS60" s="30" t="n">
        <f aca="false">BR60*(1-IF((2081-2022)/I60&gt;=1,J60,H60+(J60-H60)*(3*((2081-2022)/I60)^2-2*((2081-2022)/I60)^3)))</f>
        <v>0.148736953933386</v>
      </c>
      <c r="BT60" s="30" t="n">
        <f aca="false">BS60*(1-IF((2082-2022)/I60&gt;=1,J60,H60+(J60-H60)*(3*((2082-2022)/I60)^2-2*((2082-2022)/I60)^3)))</f>
        <v>0.147576805692706</v>
      </c>
      <c r="BU60" s="30" t="n">
        <f aca="false">BT60*(1-IF((2083-2022)/I60&gt;=1,J60,H60+(J60-H60)*(3*((2083-2022)/I60)^2-2*((2083-2022)/I60)^3)))</f>
        <v>0.146425706608303</v>
      </c>
      <c r="BV60" s="30" t="n">
        <f aca="false">BU60*(1-IF((2084-2022)/I60&gt;=1,J60,H60+(J60-H60)*(3*((2084-2022)/I60)^2-2*((2084-2022)/I60)^3)))</f>
        <v>0.145283586096758</v>
      </c>
      <c r="BW60" s="30" t="n">
        <f aca="false">BV60*(1-IF((2085-2022)/I60&gt;=1,J60,H60+(J60-H60)*(3*((2085-2022)/I60)^2-2*((2085-2022)/I60)^3)))</f>
        <v>0.144150374125203</v>
      </c>
      <c r="BX60" s="30" t="n">
        <f aca="false">BW60*(1-IF((2086-2022)/I60&gt;=1,J60,H60+(J60-H60)*(3*((2086-2022)/I60)^2-2*((2086-2022)/I60)^3)))</f>
        <v>0.143026001207027</v>
      </c>
      <c r="BY60" s="30" t="n">
        <f aca="false">BX60*(1-IF((2087-2022)/I60&gt;=1,J60,H60+(J60-H60)*(3*((2087-2022)/I60)^2-2*((2087-2022)/I60)^3)))</f>
        <v>0.141910398397612</v>
      </c>
      <c r="BZ60" s="30" t="n">
        <f aca="false">BY60*(1-IF((2088-2022)/I60&gt;=1,J60,H60+(J60-H60)*(3*((2088-2022)/I60)^2-2*((2088-2022)/I60)^3)))</f>
        <v>0.14080349729011</v>
      </c>
      <c r="CA60" s="30" t="n">
        <f aca="false">BZ60*(1-IF((2089-2022)/I60&gt;=1,J60,H60+(J60-H60)*(3*((2089-2022)/I60)^2-2*((2089-2022)/I60)^3)))</f>
        <v>0.139705230011248</v>
      </c>
      <c r="CB60" s="30" t="n">
        <f aca="false">CA60*(1-IF((2090-2022)/I60&gt;=1,J60,H60+(J60-H60)*(3*((2090-2022)/I60)^2-2*((2090-2022)/I60)^3)))</f>
        <v>0.13861552921716</v>
      </c>
      <c r="CC60" s="30" t="n">
        <f aca="false">CB60*(1-IF((2091-2022)/I60&gt;=1,J60,H60+(J60-H60)*(3*((2091-2022)/I60)^2-2*((2091-2022)/I60)^3)))</f>
        <v>0.137534328089266</v>
      </c>
    </row>
    <row r="61" customFormat="false" ht="15" hidden="false" customHeight="true" outlineLevel="0" collapsed="false">
      <c r="A61" s="3" t="n">
        <v>98</v>
      </c>
      <c r="B61" s="30" t="n">
        <f aca="false">IF($A61&lt;=105,INDEX(ILT17_Source!$D$7:$D$52,MATCH($A61,ILT17_Source!$A$7:$A$52,0)),($B$16*EXP($B$17*$A61))/(1+$B$16*EXP($B$17*$A61)))</f>
        <v>0.282984855</v>
      </c>
      <c r="C61" s="31" t="n">
        <f aca="false">LOOKUP($A61,{60,65,70,75,80,85,90,95},{0.78,0.82,0.85,0.88,0.91,0.94,0.97,1})</f>
        <v>1</v>
      </c>
      <c r="D61" s="30" t="n">
        <f aca="false">B61*C61</f>
        <v>0.282984855</v>
      </c>
      <c r="E61" s="30" t="n">
        <f aca="false">1/(1+EXP(-(($B$6+$B$8*(2016-2022))+($B$7+$B$9*(2016-2022))*($A61-$B$10))))</f>
        <v>0.297185593253096</v>
      </c>
      <c r="F61" s="30" t="n">
        <f aca="false">1/(1+EXP(-(($B$6+$B$8*(2021-2022))+($B$7+$B$9*(2021-2022))*($A61-$B$10))))</f>
        <v>0.287915225401081</v>
      </c>
      <c r="G61" s="30" t="n">
        <f aca="false">1/(1+EXP(-(($B$6+$B$8*(2022-2022))+($B$7+$B$9*(2022-2022))*($A61-$B$10))))</f>
        <v>0.286081951681661</v>
      </c>
      <c r="H61" s="32" t="n">
        <f aca="false">(F61-G61)/F61</f>
        <v>0.006367408034313</v>
      </c>
      <c r="I61" s="38" t="n">
        <f aca="false">IF($A61&lt;=50,$B$14,IF($A61&gt;=95,$B$15,$B$14+($B$15-$B$14)*($A61-50)/(95-50)))</f>
        <v>5</v>
      </c>
      <c r="J61" s="39" t="n">
        <f aca="false">IF($A61&lt;=$B$12,$B$11,IF($A61&gt;=$B$13,0,$B$11*($B$13-$A61)/($B$13-$B$12)))</f>
        <v>0.0072</v>
      </c>
      <c r="K61" s="30" t="n">
        <f aca="false">D61*G61/E61</f>
        <v>0.272411790654353</v>
      </c>
      <c r="L61" s="30" t="n">
        <f aca="false">K61*$B$19</f>
        <v>0.245170611588917</v>
      </c>
      <c r="M61" s="30" t="n">
        <f aca="false">L61*(1-IF((2023-2022)/I61&gt;=1,J61,H61+(J61-H61)*(3*((2023-2022)/I61)^2-2*((2023-2022)/I61)^3)))</f>
        <v>0.24358828105044</v>
      </c>
      <c r="N61" s="30" t="n">
        <f aca="false">M61*(1-IF((2024-2022)/I61&gt;=1,J61,H61+(J61-H61)*(3*((2024-2022)/I61)^2-2*((2024-2022)/I61)^3)))</f>
        <v>0.241965866077315</v>
      </c>
      <c r="O61" s="30" t="n">
        <f aca="false">N61*(1-IF((2025-2022)/I61&gt;=1,J61,H61+(J61-H61)*(3*((2025-2022)/I61)^2-2*((2025-2022)/I61)^3)))</f>
        <v>0.240294625351854</v>
      </c>
      <c r="P61" s="30" t="n">
        <f aca="false">O61*(1-IF((2026-2022)/I61&gt;=1,J61,H61+(J61-H61)*(3*((2026-2022)/I61)^2-2*((2026-2022)/I61)^3)))</f>
        <v>0.238585311056265</v>
      </c>
      <c r="Q61" s="30" t="n">
        <f aca="false">P61*(1-IF((2027-2022)/I61&gt;=1,J61,H61+(J61-H61)*(3*((2027-2022)/I61)^2-2*((2027-2022)/I61)^3)))</f>
        <v>0.23686749681666</v>
      </c>
      <c r="R61" s="30" t="n">
        <f aca="false">Q61*(1-IF((2028-2022)/I61&gt;=1,J61,H61+(J61-H61)*(3*((2028-2022)/I61)^2-2*((2028-2022)/I61)^3)))</f>
        <v>0.23516205083958</v>
      </c>
      <c r="S61" s="30" t="n">
        <f aca="false">R61*(1-IF((2029-2022)/I61&gt;=1,J61,H61+(J61-H61)*(3*((2029-2022)/I61)^2-2*((2029-2022)/I61)^3)))</f>
        <v>0.233468884073535</v>
      </c>
      <c r="T61" s="30" t="n">
        <f aca="false">S61*(1-IF((2030-2022)/I61&gt;=1,J61,H61+(J61-H61)*(3*((2030-2022)/I61)^2-2*((2030-2022)/I61)^3)))</f>
        <v>0.231787908108205</v>
      </c>
      <c r="U61" s="30" t="n">
        <f aca="false">T61*(1-IF((2031-2022)/I61&gt;=1,J61,H61+(J61-H61)*(3*((2031-2022)/I61)^2-2*((2031-2022)/I61)^3)))</f>
        <v>0.230119035169826</v>
      </c>
      <c r="V61" s="30" t="n">
        <f aca="false">U61*(1-IF((2032-2022)/I61&gt;=1,J61,H61+(J61-H61)*(3*((2032-2022)/I61)^2-2*((2032-2022)/I61)^3)))</f>
        <v>0.228462178116603</v>
      </c>
      <c r="W61" s="30" t="n">
        <f aca="false">V61*(1-IF((2033-2022)/I61&gt;=1,J61,H61+(J61-H61)*(3*((2033-2022)/I61)^2-2*((2033-2022)/I61)^3)))</f>
        <v>0.226817250434164</v>
      </c>
      <c r="X61" s="30" t="n">
        <f aca="false">W61*(1-IF((2034-2022)/I61&gt;=1,J61,H61+(J61-H61)*(3*((2034-2022)/I61)^2-2*((2034-2022)/I61)^3)))</f>
        <v>0.225184166231038</v>
      </c>
      <c r="Y61" s="30" t="n">
        <f aca="false">X61*(1-IF((2035-2022)/I61&gt;=1,J61,H61+(J61-H61)*(3*((2035-2022)/I61)^2-2*((2035-2022)/I61)^3)))</f>
        <v>0.223562840234175</v>
      </c>
      <c r="Z61" s="30" t="n">
        <f aca="false">Y61*(1-IF((2036-2022)/I61&gt;=1,J61,H61+(J61-H61)*(3*((2036-2022)/I61)^2-2*((2036-2022)/I61)^3)))</f>
        <v>0.221953187784488</v>
      </c>
      <c r="AA61" s="30" t="n">
        <f aca="false">Z61*(1-IF((2037-2022)/I61&gt;=1,J61,H61+(J61-H61)*(3*((2037-2022)/I61)^2-2*((2037-2022)/I61)^3)))</f>
        <v>0.22035512483244</v>
      </c>
      <c r="AB61" s="30" t="n">
        <f aca="false">AA61*(1-IF((2038-2022)/I61&gt;=1,J61,H61+(J61-H61)*(3*((2038-2022)/I61)^2-2*((2038-2022)/I61)^3)))</f>
        <v>0.218768567933647</v>
      </c>
      <c r="AC61" s="30" t="n">
        <f aca="false">AB61*(1-IF((2039-2022)/I61&gt;=1,J61,H61+(J61-H61)*(3*((2039-2022)/I61)^2-2*((2039-2022)/I61)^3)))</f>
        <v>0.217193434244524</v>
      </c>
      <c r="AD61" s="30" t="n">
        <f aca="false">AC61*(1-IF((2040-2022)/I61&gt;=1,J61,H61+(J61-H61)*(3*((2040-2022)/I61)^2-2*((2040-2022)/I61)^3)))</f>
        <v>0.215629641517964</v>
      </c>
      <c r="AE61" s="30" t="n">
        <f aca="false">AD61*(1-IF((2041-2022)/I61&gt;=1,J61,H61+(J61-H61)*(3*((2041-2022)/I61)^2-2*((2041-2022)/I61)^3)))</f>
        <v>0.214077108099034</v>
      </c>
      <c r="AF61" s="30" t="n">
        <f aca="false">AE61*(1-IF((2042-2022)/I61&gt;=1,J61,H61+(J61-H61)*(3*((2042-2022)/I61)^2-2*((2042-2022)/I61)^3)))</f>
        <v>0.212535752920721</v>
      </c>
      <c r="AG61" s="30" t="n">
        <f aca="false">AF61*(1-IF((2043-2022)/I61&gt;=1,J61,H61+(J61-H61)*(3*((2043-2022)/I61)^2-2*((2043-2022)/I61)^3)))</f>
        <v>0.211005495499692</v>
      </c>
      <c r="AH61" s="30" t="n">
        <f aca="false">AG61*(1-IF((2044-2022)/I61&gt;=1,J61,H61+(J61-H61)*(3*((2044-2022)/I61)^2-2*((2044-2022)/I61)^3)))</f>
        <v>0.209486255932094</v>
      </c>
      <c r="AI61" s="30" t="n">
        <f aca="false">AH61*(1-IF((2045-2022)/I61&gt;=1,J61,H61+(J61-H61)*(3*((2045-2022)/I61)^2-2*((2045-2022)/I61)^3)))</f>
        <v>0.207977954889383</v>
      </c>
      <c r="AJ61" s="30" t="n">
        <f aca="false">AI61*(1-IF((2046-2022)/I61&gt;=1,J61,H61+(J61-H61)*(3*((2046-2022)/I61)^2-2*((2046-2022)/I61)^3)))</f>
        <v>0.20648051361418</v>
      </c>
      <c r="AK61" s="30" t="n">
        <f aca="false">AJ61*(1-IF((2047-2022)/I61&gt;=1,J61,H61+(J61-H61)*(3*((2047-2022)/I61)^2-2*((2047-2022)/I61)^3)))</f>
        <v>0.204993853916158</v>
      </c>
      <c r="AL61" s="30" t="n">
        <f aca="false">AK61*(1-IF((2048-2022)/I61&gt;=1,J61,H61+(J61-H61)*(3*((2048-2022)/I61)^2-2*((2048-2022)/I61)^3)))</f>
        <v>0.203517898167961</v>
      </c>
      <c r="AM61" s="30" t="n">
        <f aca="false">AL61*(1-IF((2049-2022)/I61&gt;=1,J61,H61+(J61-H61)*(3*((2049-2022)/I61)^2-2*((2049-2022)/I61)^3)))</f>
        <v>0.202052569301152</v>
      </c>
      <c r="AN61" s="30" t="n">
        <f aca="false">AM61*(1-IF((2050-2022)/I61&gt;=1,J61,H61+(J61-H61)*(3*((2050-2022)/I61)^2-2*((2050-2022)/I61)^3)))</f>
        <v>0.200597790802184</v>
      </c>
      <c r="AO61" s="30" t="n">
        <f aca="false">AN61*(1-IF((2051-2022)/I61&gt;=1,J61,H61+(J61-H61)*(3*((2051-2022)/I61)^2-2*((2051-2022)/I61)^3)))</f>
        <v>0.199153486708408</v>
      </c>
      <c r="AP61" s="30" t="n">
        <f aca="false">AO61*(1-IF((2052-2022)/I61&gt;=1,J61,H61+(J61-H61)*(3*((2052-2022)/I61)^2-2*((2052-2022)/I61)^3)))</f>
        <v>0.197719581604107</v>
      </c>
      <c r="AQ61" s="30" t="n">
        <f aca="false">AP61*(1-IF((2053-2022)/I61&gt;=1,J61,H61+(J61-H61)*(3*((2053-2022)/I61)^2-2*((2053-2022)/I61)^3)))</f>
        <v>0.196296000616558</v>
      </c>
      <c r="AR61" s="30" t="n">
        <f aca="false">AQ61*(1-IF((2054-2022)/I61&gt;=1,J61,H61+(J61-H61)*(3*((2054-2022)/I61)^2-2*((2054-2022)/I61)^3)))</f>
        <v>0.194882669412119</v>
      </c>
      <c r="AS61" s="30" t="n">
        <f aca="false">AR61*(1-IF((2055-2022)/I61&gt;=1,J61,H61+(J61-H61)*(3*((2055-2022)/I61)^2-2*((2055-2022)/I61)^3)))</f>
        <v>0.193479514192351</v>
      </c>
      <c r="AT61" s="30" t="n">
        <f aca="false">AS61*(1-IF((2056-2022)/I61&gt;=1,J61,H61+(J61-H61)*(3*((2056-2022)/I61)^2-2*((2056-2022)/I61)^3)))</f>
        <v>0.192086461690167</v>
      </c>
      <c r="AU61" s="30" t="n">
        <f aca="false">AT61*(1-IF((2057-2022)/I61&gt;=1,J61,H61+(J61-H61)*(3*((2057-2022)/I61)^2-2*((2057-2022)/I61)^3)))</f>
        <v>0.190703439165997</v>
      </c>
      <c r="AV61" s="30" t="n">
        <f aca="false">AU61*(1-IF((2058-2022)/I61&gt;=1,J61,H61+(J61-H61)*(3*((2058-2022)/I61)^2-2*((2058-2022)/I61)^3)))</f>
        <v>0.189330374404002</v>
      </c>
      <c r="AW61" s="30" t="n">
        <f aca="false">AV61*(1-IF((2059-2022)/I61&gt;=1,J61,H61+(J61-H61)*(3*((2059-2022)/I61)^2-2*((2059-2022)/I61)^3)))</f>
        <v>0.187967195708293</v>
      </c>
      <c r="AX61" s="30" t="n">
        <f aca="false">AW61*(1-IF((2060-2022)/I61&gt;=1,J61,H61+(J61-H61)*(3*((2060-2022)/I61)^2-2*((2060-2022)/I61)^3)))</f>
        <v>0.186613831899194</v>
      </c>
      <c r="AY61" s="30" t="n">
        <f aca="false">AX61*(1-IF((2061-2022)/I61&gt;=1,J61,H61+(J61-H61)*(3*((2061-2022)/I61)^2-2*((2061-2022)/I61)^3)))</f>
        <v>0.185270212309519</v>
      </c>
      <c r="AZ61" s="30" t="n">
        <f aca="false">AY61*(1-IF((2062-2022)/I61&gt;=1,J61,H61+(J61-H61)*(3*((2062-2022)/I61)^2-2*((2062-2022)/I61)^3)))</f>
        <v>0.183936266780891</v>
      </c>
      <c r="BA61" s="30" t="n">
        <f aca="false">AZ61*(1-IF((2063-2022)/I61&gt;=1,J61,H61+(J61-H61)*(3*((2063-2022)/I61)^2-2*((2063-2022)/I61)^3)))</f>
        <v>0.182611925660068</v>
      </c>
      <c r="BB61" s="30" t="n">
        <f aca="false">BA61*(1-IF((2064-2022)/I61&gt;=1,J61,H61+(J61-H61)*(3*((2064-2022)/I61)^2-2*((2064-2022)/I61)^3)))</f>
        <v>0.181297119795316</v>
      </c>
      <c r="BC61" s="30" t="n">
        <f aca="false">BB61*(1-IF((2065-2022)/I61&gt;=1,J61,H61+(J61-H61)*(3*((2065-2022)/I61)^2-2*((2065-2022)/I61)^3)))</f>
        <v>0.17999178053279</v>
      </c>
      <c r="BD61" s="30" t="n">
        <f aca="false">BC61*(1-IF((2066-2022)/I61&gt;=1,J61,H61+(J61-H61)*(3*((2066-2022)/I61)^2-2*((2066-2022)/I61)^3)))</f>
        <v>0.178695839712954</v>
      </c>
      <c r="BE61" s="30" t="n">
        <f aca="false">BD61*(1-IF((2067-2022)/I61&gt;=1,J61,H61+(J61-H61)*(3*((2067-2022)/I61)^2-2*((2067-2022)/I61)^3)))</f>
        <v>0.17740922966702</v>
      </c>
      <c r="BF61" s="30" t="n">
        <f aca="false">BE61*(1-IF((2068-2022)/I61&gt;=1,J61,H61+(J61-H61)*(3*((2068-2022)/I61)^2-2*((2068-2022)/I61)^3)))</f>
        <v>0.176131883213418</v>
      </c>
      <c r="BG61" s="30" t="n">
        <f aca="false">BF61*(1-IF((2069-2022)/I61&gt;=1,J61,H61+(J61-H61)*(3*((2069-2022)/I61)^2-2*((2069-2022)/I61)^3)))</f>
        <v>0.174863733654281</v>
      </c>
      <c r="BH61" s="30" t="n">
        <f aca="false">BG61*(1-IF((2070-2022)/I61&gt;=1,J61,H61+(J61-H61)*(3*((2070-2022)/I61)^2-2*((2070-2022)/I61)^3)))</f>
        <v>0.17360471477197</v>
      </c>
      <c r="BI61" s="30" t="n">
        <f aca="false">BH61*(1-IF((2071-2022)/I61&gt;=1,J61,H61+(J61-H61)*(3*((2071-2022)/I61)^2-2*((2071-2022)/I61)^3)))</f>
        <v>0.172354760825612</v>
      </c>
      <c r="BJ61" s="30" t="n">
        <f aca="false">BI61*(1-IF((2072-2022)/I61&gt;=1,J61,H61+(J61-H61)*(3*((2072-2022)/I61)^2-2*((2072-2022)/I61)^3)))</f>
        <v>0.171113806547668</v>
      </c>
      <c r="BK61" s="30" t="n">
        <f aca="false">BJ61*(1-IF((2073-2022)/I61&gt;=1,J61,H61+(J61-H61)*(3*((2073-2022)/I61)^2-2*((2073-2022)/I61)^3)))</f>
        <v>0.169881787140525</v>
      </c>
      <c r="BL61" s="30" t="n">
        <f aca="false">BK61*(1-IF((2074-2022)/I61&gt;=1,J61,H61+(J61-H61)*(3*((2074-2022)/I61)^2-2*((2074-2022)/I61)^3)))</f>
        <v>0.168658638273113</v>
      </c>
      <c r="BM61" s="30" t="n">
        <f aca="false">BL61*(1-IF((2075-2022)/I61&gt;=1,J61,H61+(J61-H61)*(3*((2075-2022)/I61)^2-2*((2075-2022)/I61)^3)))</f>
        <v>0.167444296077546</v>
      </c>
      <c r="BN61" s="30" t="n">
        <f aca="false">BM61*(1-IF((2076-2022)/I61&gt;=1,J61,H61+(J61-H61)*(3*((2076-2022)/I61)^2-2*((2076-2022)/I61)^3)))</f>
        <v>0.166238697145788</v>
      </c>
      <c r="BO61" s="30" t="n">
        <f aca="false">BN61*(1-IF((2077-2022)/I61&gt;=1,J61,H61+(J61-H61)*(3*((2077-2022)/I61)^2-2*((2077-2022)/I61)^3)))</f>
        <v>0.165041778526338</v>
      </c>
      <c r="BP61" s="30" t="n">
        <f aca="false">BO61*(1-IF((2078-2022)/I61&gt;=1,J61,H61+(J61-H61)*(3*((2078-2022)/I61)^2-2*((2078-2022)/I61)^3)))</f>
        <v>0.163853477720949</v>
      </c>
      <c r="BQ61" s="30" t="n">
        <f aca="false">BP61*(1-IF((2079-2022)/I61&gt;=1,J61,H61+(J61-H61)*(3*((2079-2022)/I61)^2-2*((2079-2022)/I61)^3)))</f>
        <v>0.162673732681358</v>
      </c>
      <c r="BR61" s="30" t="n">
        <f aca="false">BQ61*(1-IF((2080-2022)/I61&gt;=1,J61,H61+(J61-H61)*(3*((2080-2022)/I61)^2-2*((2080-2022)/I61)^3)))</f>
        <v>0.161502481806052</v>
      </c>
      <c r="BS61" s="30" t="n">
        <f aca="false">BR61*(1-IF((2081-2022)/I61&gt;=1,J61,H61+(J61-H61)*(3*((2081-2022)/I61)^2-2*((2081-2022)/I61)^3)))</f>
        <v>0.160339663937049</v>
      </c>
      <c r="BT61" s="30" t="n">
        <f aca="false">BS61*(1-IF((2082-2022)/I61&gt;=1,J61,H61+(J61-H61)*(3*((2082-2022)/I61)^2-2*((2082-2022)/I61)^3)))</f>
        <v>0.159185218356702</v>
      </c>
      <c r="BU61" s="30" t="n">
        <f aca="false">BT61*(1-IF((2083-2022)/I61&gt;=1,J61,H61+(J61-H61)*(3*((2083-2022)/I61)^2-2*((2083-2022)/I61)^3)))</f>
        <v>0.158039084784534</v>
      </c>
      <c r="BV61" s="30" t="n">
        <f aca="false">BU61*(1-IF((2084-2022)/I61&gt;=1,J61,H61+(J61-H61)*(3*((2084-2022)/I61)^2-2*((2084-2022)/I61)^3)))</f>
        <v>0.156901203374085</v>
      </c>
      <c r="BW61" s="30" t="n">
        <f aca="false">BV61*(1-IF((2085-2022)/I61&gt;=1,J61,H61+(J61-H61)*(3*((2085-2022)/I61)^2-2*((2085-2022)/I61)^3)))</f>
        <v>0.155771514709792</v>
      </c>
      <c r="BX61" s="30" t="n">
        <f aca="false">BW61*(1-IF((2086-2022)/I61&gt;=1,J61,H61+(J61-H61)*(3*((2086-2022)/I61)^2-2*((2086-2022)/I61)^3)))</f>
        <v>0.154649959803881</v>
      </c>
      <c r="BY61" s="30" t="n">
        <f aca="false">BX61*(1-IF((2087-2022)/I61&gt;=1,J61,H61+(J61-H61)*(3*((2087-2022)/I61)^2-2*((2087-2022)/I61)^3)))</f>
        <v>0.153536480093293</v>
      </c>
      <c r="BZ61" s="30" t="n">
        <f aca="false">BY61*(1-IF((2088-2022)/I61&gt;=1,J61,H61+(J61-H61)*(3*((2088-2022)/I61)^2-2*((2088-2022)/I61)^3)))</f>
        <v>0.152431017436621</v>
      </c>
      <c r="CA61" s="30" t="n">
        <f aca="false">BZ61*(1-IF((2089-2022)/I61&gt;=1,J61,H61+(J61-H61)*(3*((2089-2022)/I61)^2-2*((2089-2022)/I61)^3)))</f>
        <v>0.151333514111078</v>
      </c>
      <c r="CB61" s="30" t="n">
        <f aca="false">CA61*(1-IF((2090-2022)/I61&gt;=1,J61,H61+(J61-H61)*(3*((2090-2022)/I61)^2-2*((2090-2022)/I61)^3)))</f>
        <v>0.150243912809478</v>
      </c>
      <c r="CC61" s="30" t="n">
        <f aca="false">CB61*(1-IF((2091-2022)/I61&gt;=1,J61,H61+(J61-H61)*(3*((2091-2022)/I61)^2-2*((2091-2022)/I61)^3)))</f>
        <v>0.14916215663725</v>
      </c>
    </row>
    <row r="62" customFormat="false" ht="15" hidden="false" customHeight="true" outlineLevel="0" collapsed="false">
      <c r="A62" s="3" t="n">
        <v>99</v>
      </c>
      <c r="B62" s="30" t="n">
        <f aca="false">IF($A62&lt;=105,INDEX(ILT17_Source!$D$7:$D$52,MATCH($A62,ILT17_Source!$A$7:$A$52,0)),($B$16*EXP($B$17*$A62))/(1+$B$16*EXP($B$17*$A62)))</f>
        <v>0.292516695</v>
      </c>
      <c r="C62" s="31" t="n">
        <f aca="false">LOOKUP($A62,{60,65,70,75,80,85,90,95},{0.78,0.82,0.85,0.88,0.91,0.94,0.97,1})</f>
        <v>1</v>
      </c>
      <c r="D62" s="30" t="n">
        <f aca="false">B62*C62</f>
        <v>0.292516695</v>
      </c>
      <c r="E62" s="30" t="n">
        <f aca="false">1/(1+EXP(-(($B$6+$B$8*(2016-2022))+($B$7+$B$9*(2016-2022))*($A62-$B$10))))</f>
        <v>0.320811336612512</v>
      </c>
      <c r="F62" s="30" t="n">
        <f aca="false">1/(1+EXP(-(($B$6+$B$8*(2021-2022))+($B$7+$B$9*(2021-2022))*($A62-$B$10))))</f>
        <v>0.31171626657963</v>
      </c>
      <c r="G62" s="30" t="n">
        <f aca="false">1/(1+EXP(-(($B$6+$B$8*(2022-2022))+($B$7+$B$9*(2022-2022))*($A62-$B$10))))</f>
        <v>0.30991425512897</v>
      </c>
      <c r="H62" s="32" t="n">
        <f aca="false">(F62-G62)/F62</f>
        <v>0.00578093492018646</v>
      </c>
      <c r="I62" s="38" t="n">
        <f aca="false">IF($A62&lt;=50,$B$14,IF($A62&gt;=95,$B$15,$B$14+($B$15-$B$14)*($A62-50)/(95-50)))</f>
        <v>5</v>
      </c>
      <c r="J62" s="39" t="n">
        <f aca="false">IF($A62&lt;=$B$12,$B$11,IF($A62&gt;=$B$13,0,$B$11*($B$13-$A62)/($B$13-$B$12)))</f>
        <v>0.0066</v>
      </c>
      <c r="K62" s="30" t="n">
        <f aca="false">D62*G62/E62</f>
        <v>0.282580704911964</v>
      </c>
      <c r="L62" s="30" t="n">
        <f aca="false">K62*$B$19</f>
        <v>0.254322634420768</v>
      </c>
      <c r="M62" s="30" t="n">
        <f aca="false">L62*(1-IF((2023-2022)/I62&gt;=1,J62,H62+(J62-H62)*(3*((2023-2022)/I62)^2-2*((2023-2022)/I62)^3)))</f>
        <v>0.25283074791641</v>
      </c>
      <c r="N62" s="30" t="n">
        <f aca="false">M62*(1-IF((2024-2022)/I62&gt;=1,J62,H62+(J62-H62)*(3*((2024-2022)/I62)^2-2*((2024-2022)/I62)^3)))</f>
        <v>0.251296255954357</v>
      </c>
      <c r="O62" s="30" t="n">
        <f aca="false">N62*(1-IF((2025-2022)/I62&gt;=1,J62,H62+(J62-H62)*(3*((2025-2022)/I62)^2-2*((2025-2022)/I62)^3)))</f>
        <v>0.249710152116813</v>
      </c>
      <c r="P62" s="30" t="n">
        <f aca="false">O62*(1-IF((2026-2022)/I62&gt;=1,J62,H62+(J62-H62)*(3*((2026-2022)/I62)^2-2*((2026-2022)/I62)^3)))</f>
        <v>0.248083336114872</v>
      </c>
      <c r="Q62" s="30" t="n">
        <f aca="false">P62*(1-IF((2027-2022)/I62&gt;=1,J62,H62+(J62-H62)*(3*((2027-2022)/I62)^2-2*((2027-2022)/I62)^3)))</f>
        <v>0.246445986096514</v>
      </c>
      <c r="R62" s="30" t="n">
        <f aca="false">Q62*(1-IF((2028-2022)/I62&gt;=1,J62,H62+(J62-H62)*(3*((2028-2022)/I62)^2-2*((2028-2022)/I62)^3)))</f>
        <v>0.244819442588277</v>
      </c>
      <c r="S62" s="30" t="n">
        <f aca="false">R62*(1-IF((2029-2022)/I62&gt;=1,J62,H62+(J62-H62)*(3*((2029-2022)/I62)^2-2*((2029-2022)/I62)^3)))</f>
        <v>0.243203634267194</v>
      </c>
      <c r="T62" s="30" t="n">
        <f aca="false">S62*(1-IF((2030-2022)/I62&gt;=1,J62,H62+(J62-H62)*(3*((2030-2022)/I62)^2-2*((2030-2022)/I62)^3)))</f>
        <v>0.241598490281031</v>
      </c>
      <c r="U62" s="30" t="n">
        <f aca="false">T62*(1-IF((2031-2022)/I62&gt;=1,J62,H62+(J62-H62)*(3*((2031-2022)/I62)^2-2*((2031-2022)/I62)^3)))</f>
        <v>0.240003940245176</v>
      </c>
      <c r="V62" s="30" t="n">
        <f aca="false">U62*(1-IF((2032-2022)/I62&gt;=1,J62,H62+(J62-H62)*(3*((2032-2022)/I62)^2-2*((2032-2022)/I62)^3)))</f>
        <v>0.238419914239558</v>
      </c>
      <c r="W62" s="30" t="n">
        <f aca="false">V62*(1-IF((2033-2022)/I62&gt;=1,J62,H62+(J62-H62)*(3*((2033-2022)/I62)^2-2*((2033-2022)/I62)^3)))</f>
        <v>0.236846342805577</v>
      </c>
      <c r="X62" s="30" t="n">
        <f aca="false">W62*(1-IF((2034-2022)/I62&gt;=1,J62,H62+(J62-H62)*(3*((2034-2022)/I62)^2-2*((2034-2022)/I62)^3)))</f>
        <v>0.23528315694306</v>
      </c>
      <c r="Y62" s="30" t="n">
        <f aca="false">X62*(1-IF((2035-2022)/I62&gt;=1,J62,H62+(J62-H62)*(3*((2035-2022)/I62)^2-2*((2035-2022)/I62)^3)))</f>
        <v>0.233730288107236</v>
      </c>
      <c r="Z62" s="30" t="n">
        <f aca="false">Y62*(1-IF((2036-2022)/I62&gt;=1,J62,H62+(J62-H62)*(3*((2036-2022)/I62)^2-2*((2036-2022)/I62)^3)))</f>
        <v>0.232187668205728</v>
      </c>
      <c r="AA62" s="30" t="n">
        <f aca="false">Z62*(1-IF((2037-2022)/I62&gt;=1,J62,H62+(J62-H62)*(3*((2037-2022)/I62)^2-2*((2037-2022)/I62)^3)))</f>
        <v>0.23065522959557</v>
      </c>
      <c r="AB62" s="30" t="n">
        <f aca="false">AA62*(1-IF((2038-2022)/I62&gt;=1,J62,H62+(J62-H62)*(3*((2038-2022)/I62)^2-2*((2038-2022)/I62)^3)))</f>
        <v>0.229132905080239</v>
      </c>
      <c r="AC62" s="30" t="n">
        <f aca="false">AB62*(1-IF((2039-2022)/I62&gt;=1,J62,H62+(J62-H62)*(3*((2039-2022)/I62)^2-2*((2039-2022)/I62)^3)))</f>
        <v>0.22762062790671</v>
      </c>
      <c r="AD62" s="30" t="n">
        <f aca="false">AC62*(1-IF((2040-2022)/I62&gt;=1,J62,H62+(J62-H62)*(3*((2040-2022)/I62)^2-2*((2040-2022)/I62)^3)))</f>
        <v>0.226118331762526</v>
      </c>
      <c r="AE62" s="30" t="n">
        <f aca="false">AD62*(1-IF((2041-2022)/I62&gt;=1,J62,H62+(J62-H62)*(3*((2041-2022)/I62)^2-2*((2041-2022)/I62)^3)))</f>
        <v>0.224625950772893</v>
      </c>
      <c r="AF62" s="30" t="n">
        <f aca="false">AE62*(1-IF((2042-2022)/I62&gt;=1,J62,H62+(J62-H62)*(3*((2042-2022)/I62)^2-2*((2042-2022)/I62)^3)))</f>
        <v>0.223143419497792</v>
      </c>
      <c r="AG62" s="30" t="n">
        <f aca="false">AF62*(1-IF((2043-2022)/I62&gt;=1,J62,H62+(J62-H62)*(3*((2043-2022)/I62)^2-2*((2043-2022)/I62)^3)))</f>
        <v>0.221670672929106</v>
      </c>
      <c r="AH62" s="30" t="n">
        <f aca="false">AG62*(1-IF((2044-2022)/I62&gt;=1,J62,H62+(J62-H62)*(3*((2044-2022)/I62)^2-2*((2044-2022)/I62)^3)))</f>
        <v>0.220207646487774</v>
      </c>
      <c r="AI62" s="30" t="n">
        <f aca="false">AH62*(1-IF((2045-2022)/I62&gt;=1,J62,H62+(J62-H62)*(3*((2045-2022)/I62)^2-2*((2045-2022)/I62)^3)))</f>
        <v>0.218754276020955</v>
      </c>
      <c r="AJ62" s="30" t="n">
        <f aca="false">AI62*(1-IF((2046-2022)/I62&gt;=1,J62,H62+(J62-H62)*(3*((2046-2022)/I62)^2-2*((2046-2022)/I62)^3)))</f>
        <v>0.217310497799217</v>
      </c>
      <c r="AK62" s="30" t="n">
        <f aca="false">AJ62*(1-IF((2047-2022)/I62&gt;=1,J62,H62+(J62-H62)*(3*((2047-2022)/I62)^2-2*((2047-2022)/I62)^3)))</f>
        <v>0.215876248513742</v>
      </c>
      <c r="AL62" s="30" t="n">
        <f aca="false">AK62*(1-IF((2048-2022)/I62&gt;=1,J62,H62+(J62-H62)*(3*((2048-2022)/I62)^2-2*((2048-2022)/I62)^3)))</f>
        <v>0.214451465273551</v>
      </c>
      <c r="AM62" s="30" t="n">
        <f aca="false">AL62*(1-IF((2049-2022)/I62&gt;=1,J62,H62+(J62-H62)*(3*((2049-2022)/I62)^2-2*((2049-2022)/I62)^3)))</f>
        <v>0.213036085602746</v>
      </c>
      <c r="AN62" s="30" t="n">
        <f aca="false">AM62*(1-IF((2050-2022)/I62&gt;=1,J62,H62+(J62-H62)*(3*((2050-2022)/I62)^2-2*((2050-2022)/I62)^3)))</f>
        <v>0.211630047437767</v>
      </c>
      <c r="AO62" s="30" t="n">
        <f aca="false">AN62*(1-IF((2051-2022)/I62&gt;=1,J62,H62+(J62-H62)*(3*((2051-2022)/I62)^2-2*((2051-2022)/I62)^3)))</f>
        <v>0.210233289124678</v>
      </c>
      <c r="AP62" s="30" t="n">
        <f aca="false">AO62*(1-IF((2052-2022)/I62&gt;=1,J62,H62+(J62-H62)*(3*((2052-2022)/I62)^2-2*((2052-2022)/I62)^3)))</f>
        <v>0.208845749416455</v>
      </c>
      <c r="AQ62" s="30" t="n">
        <f aca="false">AP62*(1-IF((2053-2022)/I62&gt;=1,J62,H62+(J62-H62)*(3*((2053-2022)/I62)^2-2*((2053-2022)/I62)^3)))</f>
        <v>0.207467367470307</v>
      </c>
      <c r="AR62" s="30" t="n">
        <f aca="false">AQ62*(1-IF((2054-2022)/I62&gt;=1,J62,H62+(J62-H62)*(3*((2054-2022)/I62)^2-2*((2054-2022)/I62)^3)))</f>
        <v>0.206098082845003</v>
      </c>
      <c r="AS62" s="30" t="n">
        <f aca="false">AR62*(1-IF((2055-2022)/I62&gt;=1,J62,H62+(J62-H62)*(3*((2055-2022)/I62)^2-2*((2055-2022)/I62)^3)))</f>
        <v>0.204737835498226</v>
      </c>
      <c r="AT62" s="30" t="n">
        <f aca="false">AS62*(1-IF((2056-2022)/I62&gt;=1,J62,H62+(J62-H62)*(3*((2056-2022)/I62)^2-2*((2056-2022)/I62)^3)))</f>
        <v>0.203386565783937</v>
      </c>
      <c r="AU62" s="30" t="n">
        <f aca="false">AT62*(1-IF((2057-2022)/I62&gt;=1,J62,H62+(J62-H62)*(3*((2057-2022)/I62)^2-2*((2057-2022)/I62)^3)))</f>
        <v>0.202044214449763</v>
      </c>
      <c r="AV62" s="30" t="n">
        <f aca="false">AU62*(1-IF((2058-2022)/I62&gt;=1,J62,H62+(J62-H62)*(3*((2058-2022)/I62)^2-2*((2058-2022)/I62)^3)))</f>
        <v>0.200710722634395</v>
      </c>
      <c r="AW62" s="30" t="n">
        <f aca="false">AV62*(1-IF((2059-2022)/I62&gt;=1,J62,H62+(J62-H62)*(3*((2059-2022)/I62)^2-2*((2059-2022)/I62)^3)))</f>
        <v>0.199386031865008</v>
      </c>
      <c r="AX62" s="30" t="n">
        <f aca="false">AW62*(1-IF((2060-2022)/I62&gt;=1,J62,H62+(J62-H62)*(3*((2060-2022)/I62)^2-2*((2060-2022)/I62)^3)))</f>
        <v>0.198070084054699</v>
      </c>
      <c r="AY62" s="30" t="n">
        <f aca="false">AX62*(1-IF((2061-2022)/I62&gt;=1,J62,H62+(J62-H62)*(3*((2061-2022)/I62)^2-2*((2061-2022)/I62)^3)))</f>
        <v>0.196762821499938</v>
      </c>
      <c r="AZ62" s="30" t="n">
        <f aca="false">AY62*(1-IF((2062-2022)/I62&gt;=1,J62,H62+(J62-H62)*(3*((2062-2022)/I62)^2-2*((2062-2022)/I62)^3)))</f>
        <v>0.195464186878038</v>
      </c>
      <c r="BA62" s="30" t="n">
        <f aca="false">AZ62*(1-IF((2063-2022)/I62&gt;=1,J62,H62+(J62-H62)*(3*((2063-2022)/I62)^2-2*((2063-2022)/I62)^3)))</f>
        <v>0.194174123244643</v>
      </c>
      <c r="BB62" s="30" t="n">
        <f aca="false">BA62*(1-IF((2064-2022)/I62&gt;=1,J62,H62+(J62-H62)*(3*((2064-2022)/I62)^2-2*((2064-2022)/I62)^3)))</f>
        <v>0.192892574031228</v>
      </c>
      <c r="BC62" s="30" t="n">
        <f aca="false">BB62*(1-IF((2065-2022)/I62&gt;=1,J62,H62+(J62-H62)*(3*((2065-2022)/I62)^2-2*((2065-2022)/I62)^3)))</f>
        <v>0.191619483042622</v>
      </c>
      <c r="BD62" s="30" t="n">
        <f aca="false">BC62*(1-IF((2066-2022)/I62&gt;=1,J62,H62+(J62-H62)*(3*((2066-2022)/I62)^2-2*((2066-2022)/I62)^3)))</f>
        <v>0.190354794454541</v>
      </c>
      <c r="BE62" s="30" t="n">
        <f aca="false">BD62*(1-IF((2067-2022)/I62&gt;=1,J62,H62+(J62-H62)*(3*((2067-2022)/I62)^2-2*((2067-2022)/I62)^3)))</f>
        <v>0.189098452811141</v>
      </c>
      <c r="BF62" s="30" t="n">
        <f aca="false">BE62*(1-IF((2068-2022)/I62&gt;=1,J62,H62+(J62-H62)*(3*((2068-2022)/I62)^2-2*((2068-2022)/I62)^3)))</f>
        <v>0.187850403022587</v>
      </c>
      <c r="BG62" s="30" t="n">
        <f aca="false">BF62*(1-IF((2069-2022)/I62&gt;=1,J62,H62+(J62-H62)*(3*((2069-2022)/I62)^2-2*((2069-2022)/I62)^3)))</f>
        <v>0.186610590362638</v>
      </c>
      <c r="BH62" s="30" t="n">
        <f aca="false">BG62*(1-IF((2070-2022)/I62&gt;=1,J62,H62+(J62-H62)*(3*((2070-2022)/I62)^2-2*((2070-2022)/I62)^3)))</f>
        <v>0.185378960466245</v>
      </c>
      <c r="BI62" s="30" t="n">
        <f aca="false">BH62*(1-IF((2071-2022)/I62&gt;=1,J62,H62+(J62-H62)*(3*((2071-2022)/I62)^2-2*((2071-2022)/I62)^3)))</f>
        <v>0.184155459327168</v>
      </c>
      <c r="BJ62" s="30" t="n">
        <f aca="false">BI62*(1-IF((2072-2022)/I62&gt;=1,J62,H62+(J62-H62)*(3*((2072-2022)/I62)^2-2*((2072-2022)/I62)^3)))</f>
        <v>0.182940033295608</v>
      </c>
      <c r="BK62" s="30" t="n">
        <f aca="false">BJ62*(1-IF((2073-2022)/I62&gt;=1,J62,H62+(J62-H62)*(3*((2073-2022)/I62)^2-2*((2073-2022)/I62)^3)))</f>
        <v>0.181732629075857</v>
      </c>
      <c r="BL62" s="30" t="n">
        <f aca="false">BK62*(1-IF((2074-2022)/I62&gt;=1,J62,H62+(J62-H62)*(3*((2074-2022)/I62)^2-2*((2074-2022)/I62)^3)))</f>
        <v>0.180533193723957</v>
      </c>
      <c r="BM62" s="30" t="n">
        <f aca="false">BL62*(1-IF((2075-2022)/I62&gt;=1,J62,H62+(J62-H62)*(3*((2075-2022)/I62)^2-2*((2075-2022)/I62)^3)))</f>
        <v>0.179341674645379</v>
      </c>
      <c r="BN62" s="30" t="n">
        <f aca="false">BM62*(1-IF((2076-2022)/I62&gt;=1,J62,H62+(J62-H62)*(3*((2076-2022)/I62)^2-2*((2076-2022)/I62)^3)))</f>
        <v>0.178158019592719</v>
      </c>
      <c r="BO62" s="30" t="n">
        <f aca="false">BN62*(1-IF((2077-2022)/I62&gt;=1,J62,H62+(J62-H62)*(3*((2077-2022)/I62)^2-2*((2077-2022)/I62)^3)))</f>
        <v>0.176982176663407</v>
      </c>
      <c r="BP62" s="30" t="n">
        <f aca="false">BO62*(1-IF((2078-2022)/I62&gt;=1,J62,H62+(J62-H62)*(3*((2078-2022)/I62)^2-2*((2078-2022)/I62)^3)))</f>
        <v>0.175814094297429</v>
      </c>
      <c r="BQ62" s="30" t="n">
        <f aca="false">BP62*(1-IF((2079-2022)/I62&gt;=1,J62,H62+(J62-H62)*(3*((2079-2022)/I62)^2-2*((2079-2022)/I62)^3)))</f>
        <v>0.174653721275066</v>
      </c>
      <c r="BR62" s="30" t="n">
        <f aca="false">BQ62*(1-IF((2080-2022)/I62&gt;=1,J62,H62+(J62-H62)*(3*((2080-2022)/I62)^2-2*((2080-2022)/I62)^3)))</f>
        <v>0.17350100671465</v>
      </c>
      <c r="BS62" s="30" t="n">
        <f aca="false">BR62*(1-IF((2081-2022)/I62&gt;=1,J62,H62+(J62-H62)*(3*((2081-2022)/I62)^2-2*((2081-2022)/I62)^3)))</f>
        <v>0.172355900070333</v>
      </c>
      <c r="BT62" s="30" t="n">
        <f aca="false">BS62*(1-IF((2082-2022)/I62&gt;=1,J62,H62+(J62-H62)*(3*((2082-2022)/I62)^2-2*((2082-2022)/I62)^3)))</f>
        <v>0.171218351129869</v>
      </c>
      <c r="BU62" s="30" t="n">
        <f aca="false">BT62*(1-IF((2083-2022)/I62&gt;=1,J62,H62+(J62-H62)*(3*((2083-2022)/I62)^2-2*((2083-2022)/I62)^3)))</f>
        <v>0.170088310012412</v>
      </c>
      <c r="BV62" s="30" t="n">
        <f aca="false">BU62*(1-IF((2084-2022)/I62&gt;=1,J62,H62+(J62-H62)*(3*((2084-2022)/I62)^2-2*((2084-2022)/I62)^3)))</f>
        <v>0.16896572716633</v>
      </c>
      <c r="BW62" s="30" t="n">
        <f aca="false">BV62*(1-IF((2085-2022)/I62&gt;=1,J62,H62+(J62-H62)*(3*((2085-2022)/I62)^2-2*((2085-2022)/I62)^3)))</f>
        <v>0.167850553367032</v>
      </c>
      <c r="BX62" s="30" t="n">
        <f aca="false">BW62*(1-IF((2086-2022)/I62&gt;=1,J62,H62+(J62-H62)*(3*((2086-2022)/I62)^2-2*((2086-2022)/I62)^3)))</f>
        <v>0.16674273971481</v>
      </c>
      <c r="BY62" s="30" t="n">
        <f aca="false">BX62*(1-IF((2087-2022)/I62&gt;=1,J62,H62+(J62-H62)*(3*((2087-2022)/I62)^2-2*((2087-2022)/I62)^3)))</f>
        <v>0.165642237632692</v>
      </c>
      <c r="BZ62" s="30" t="n">
        <f aca="false">BY62*(1-IF((2088-2022)/I62&gt;=1,J62,H62+(J62-H62)*(3*((2088-2022)/I62)^2-2*((2088-2022)/I62)^3)))</f>
        <v>0.164548998864316</v>
      </c>
      <c r="CA62" s="30" t="n">
        <f aca="false">BZ62*(1-IF((2089-2022)/I62&gt;=1,J62,H62+(J62-H62)*(3*((2089-2022)/I62)^2-2*((2089-2022)/I62)^3)))</f>
        <v>0.163462975471812</v>
      </c>
      <c r="CB62" s="30" t="n">
        <f aca="false">CA62*(1-IF((2090-2022)/I62&gt;=1,J62,H62+(J62-H62)*(3*((2090-2022)/I62)^2-2*((2090-2022)/I62)^3)))</f>
        <v>0.162384119833698</v>
      </c>
      <c r="CC62" s="30" t="n">
        <f aca="false">CB62*(1-IF((2091-2022)/I62&gt;=1,J62,H62+(J62-H62)*(3*((2091-2022)/I62)^2-2*((2091-2022)/I62)^3)))</f>
        <v>0.161312384642796</v>
      </c>
    </row>
    <row r="63" customFormat="false" ht="15" hidden="false" customHeight="true" outlineLevel="0" collapsed="false">
      <c r="A63" s="3" t="n">
        <v>100</v>
      </c>
      <c r="B63" s="30" t="n">
        <f aca="false">IF($A63&lt;=105,INDEX(ILT17_Source!$D$7:$D$52,MATCH($A63,ILT17_Source!$A$7:$A$52,0)),($B$16*EXP($B$17*$A63))/(1+$B$16*EXP($B$17*$A63)))</f>
        <v>0.301997735</v>
      </c>
      <c r="C63" s="31" t="n">
        <f aca="false">LOOKUP($A63,{60,65,70,75,80,85,90,95},{0.78,0.82,0.85,0.88,0.91,0.94,0.97,1})</f>
        <v>1</v>
      </c>
      <c r="D63" s="30" t="n">
        <f aca="false">B63*C63</f>
        <v>0.301997735</v>
      </c>
      <c r="E63" s="30" t="n">
        <f aca="false">1/(1+EXP(-(($B$6+$B$8*(2016-2022))+($B$7+$B$9*(2016-2022))*($A63-$B$10))))</f>
        <v>0.345392257328841</v>
      </c>
      <c r="F63" s="30" t="n">
        <f aca="false">1/(1+EXP(-(($B$6+$B$8*(2021-2022))+($B$7+$B$9*(2021-2022))*($A63-$B$10))))</f>
        <v>0.336554931822377</v>
      </c>
      <c r="G63" s="30" t="n">
        <f aca="false">1/(1+EXP(-(($B$6+$B$8*(2022-2022))+($B$7+$B$9*(2022-2022))*($A63-$B$10))))</f>
        <v>0.334800864600726</v>
      </c>
      <c r="H63" s="32" t="n">
        <f aca="false">(F63-G63)/F63</f>
        <v>0.0052118303902246</v>
      </c>
      <c r="I63" s="38" t="n">
        <f aca="false">IF($A63&lt;=50,$B$14,IF($A63&gt;=95,$B$15,$B$14+($B$15-$B$14)*($A63-50)/(95-50)))</f>
        <v>5</v>
      </c>
      <c r="J63" s="39" t="n">
        <f aca="false">IF($A63&lt;=$B$12,$B$11,IF($A63&gt;=$B$13,0,$B$11*($B$13-$A63)/($B$13-$B$12)))</f>
        <v>0.006</v>
      </c>
      <c r="K63" s="30" t="n">
        <f aca="false">D63*G63/E63</f>
        <v>0.292737027654898</v>
      </c>
      <c r="L63" s="30" t="n">
        <f aca="false">K63*$B$19</f>
        <v>0.263463324889409</v>
      </c>
      <c r="M63" s="30" t="n">
        <f aca="false">L63*(1-IF((2023-2022)/I63&gt;=1,J63,H63+(J63-H63)*(3*((2023-2022)/I63)^2-2*((2023-2022)/I63)^3)))</f>
        <v>0.2620686027323</v>
      </c>
      <c r="N63" s="30" t="n">
        <f aca="false">M63*(1-IF((2024-2022)/I63&gt;=1,J63,H63+(J63-H63)*(3*((2024-2022)/I63)^2-2*((2024-2022)/I63)^3)))</f>
        <v>0.260630038437317</v>
      </c>
      <c r="O63" s="30" t="n">
        <f aca="false">N63*(1-IF((2025-2022)/I63&gt;=1,J63,H63+(J63-H63)*(3*((2025-2022)/I63)^2-2*((2025-2022)/I63)^3)))</f>
        <v>0.259138566284536</v>
      </c>
      <c r="P63" s="30" t="n">
        <f aca="false">O63*(1-IF((2026-2022)/I63&gt;=1,J63,H63+(J63-H63)*(3*((2026-2022)/I63)^2-2*((2026-2022)/I63)^3)))</f>
        <v>0.257604976381666</v>
      </c>
      <c r="Q63" s="30" t="n">
        <f aca="false">P63*(1-IF((2027-2022)/I63&gt;=1,J63,H63+(J63-H63)*(3*((2027-2022)/I63)^2-2*((2027-2022)/I63)^3)))</f>
        <v>0.256059346523376</v>
      </c>
      <c r="R63" s="30" t="n">
        <f aca="false">Q63*(1-IF((2028-2022)/I63&gt;=1,J63,H63+(J63-H63)*(3*((2028-2022)/I63)^2-2*((2028-2022)/I63)^3)))</f>
        <v>0.254522990444236</v>
      </c>
      <c r="S63" s="30" t="n">
        <f aca="false">R63*(1-IF((2029-2022)/I63&gt;=1,J63,H63+(J63-H63)*(3*((2029-2022)/I63)^2-2*((2029-2022)/I63)^3)))</f>
        <v>0.25299585250157</v>
      </c>
      <c r="T63" s="30" t="n">
        <f aca="false">S63*(1-IF((2030-2022)/I63&gt;=1,J63,H63+(J63-H63)*(3*((2030-2022)/I63)^2-2*((2030-2022)/I63)^3)))</f>
        <v>0.251477877386561</v>
      </c>
      <c r="U63" s="30" t="n">
        <f aca="false">T63*(1-IF((2031-2022)/I63&gt;=1,J63,H63+(J63-H63)*(3*((2031-2022)/I63)^2-2*((2031-2022)/I63)^3)))</f>
        <v>0.249969010122241</v>
      </c>
      <c r="V63" s="30" t="n">
        <f aca="false">U63*(1-IF((2032-2022)/I63&gt;=1,J63,H63+(J63-H63)*(3*((2032-2022)/I63)^2-2*((2032-2022)/I63)^3)))</f>
        <v>0.248469196061508</v>
      </c>
      <c r="W63" s="30" t="n">
        <f aca="false">V63*(1-IF((2033-2022)/I63&gt;=1,J63,H63+(J63-H63)*(3*((2033-2022)/I63)^2-2*((2033-2022)/I63)^3)))</f>
        <v>0.246978380885139</v>
      </c>
      <c r="X63" s="30" t="n">
        <f aca="false">W63*(1-IF((2034-2022)/I63&gt;=1,J63,H63+(J63-H63)*(3*((2034-2022)/I63)^2-2*((2034-2022)/I63)^3)))</f>
        <v>0.245496510599828</v>
      </c>
      <c r="Y63" s="30" t="n">
        <f aca="false">X63*(1-IF((2035-2022)/I63&gt;=1,J63,H63+(J63-H63)*(3*((2035-2022)/I63)^2-2*((2035-2022)/I63)^3)))</f>
        <v>0.244023531536229</v>
      </c>
      <c r="Z63" s="30" t="n">
        <f aca="false">Y63*(1-IF((2036-2022)/I63&gt;=1,J63,H63+(J63-H63)*(3*((2036-2022)/I63)^2-2*((2036-2022)/I63)^3)))</f>
        <v>0.242559390347012</v>
      </c>
      <c r="AA63" s="30" t="n">
        <f aca="false">Z63*(1-IF((2037-2022)/I63&gt;=1,J63,H63+(J63-H63)*(3*((2037-2022)/I63)^2-2*((2037-2022)/I63)^3)))</f>
        <v>0.24110403400493</v>
      </c>
      <c r="AB63" s="30" t="n">
        <f aca="false">AA63*(1-IF((2038-2022)/I63&gt;=1,J63,H63+(J63-H63)*(3*((2038-2022)/I63)^2-2*((2038-2022)/I63)^3)))</f>
        <v>0.2396574098009</v>
      </c>
      <c r="AC63" s="30" t="n">
        <f aca="false">AB63*(1-IF((2039-2022)/I63&gt;=1,J63,H63+(J63-H63)*(3*((2039-2022)/I63)^2-2*((2039-2022)/I63)^3)))</f>
        <v>0.238219465342095</v>
      </c>
      <c r="AD63" s="30" t="n">
        <f aca="false">AC63*(1-IF((2040-2022)/I63&gt;=1,J63,H63+(J63-H63)*(3*((2040-2022)/I63)^2-2*((2040-2022)/I63)^3)))</f>
        <v>0.236790148550042</v>
      </c>
      <c r="AE63" s="30" t="n">
        <f aca="false">AD63*(1-IF((2041-2022)/I63&gt;=1,J63,H63+(J63-H63)*(3*((2041-2022)/I63)^2-2*((2041-2022)/I63)^3)))</f>
        <v>0.235369407658742</v>
      </c>
      <c r="AF63" s="30" t="n">
        <f aca="false">AE63*(1-IF((2042-2022)/I63&gt;=1,J63,H63+(J63-H63)*(3*((2042-2022)/I63)^2-2*((2042-2022)/I63)^3)))</f>
        <v>0.233957191212789</v>
      </c>
      <c r="AG63" s="30" t="n">
        <f aca="false">AF63*(1-IF((2043-2022)/I63&gt;=1,J63,H63+(J63-H63)*(3*((2043-2022)/I63)^2-2*((2043-2022)/I63)^3)))</f>
        <v>0.232553448065513</v>
      </c>
      <c r="AH63" s="30" t="n">
        <f aca="false">AG63*(1-IF((2044-2022)/I63&gt;=1,J63,H63+(J63-H63)*(3*((2044-2022)/I63)^2-2*((2044-2022)/I63)^3)))</f>
        <v>0.23115812737712</v>
      </c>
      <c r="AI63" s="30" t="n">
        <f aca="false">AH63*(1-IF((2045-2022)/I63&gt;=1,J63,H63+(J63-H63)*(3*((2045-2022)/I63)^2-2*((2045-2022)/I63)^3)))</f>
        <v>0.229771178612857</v>
      </c>
      <c r="AJ63" s="30" t="n">
        <f aca="false">AI63*(1-IF((2046-2022)/I63&gt;=1,J63,H63+(J63-H63)*(3*((2046-2022)/I63)^2-2*((2046-2022)/I63)^3)))</f>
        <v>0.22839255154118</v>
      </c>
      <c r="AK63" s="30" t="n">
        <f aca="false">AJ63*(1-IF((2047-2022)/I63&gt;=1,J63,H63+(J63-H63)*(3*((2047-2022)/I63)^2-2*((2047-2022)/I63)^3)))</f>
        <v>0.227022196231933</v>
      </c>
      <c r="AL63" s="30" t="n">
        <f aca="false">AK63*(1-IF((2048-2022)/I63&gt;=1,J63,H63+(J63-H63)*(3*((2048-2022)/I63)^2-2*((2048-2022)/I63)^3)))</f>
        <v>0.225660063054541</v>
      </c>
      <c r="AM63" s="30" t="n">
        <f aca="false">AL63*(1-IF((2049-2022)/I63&gt;=1,J63,H63+(J63-H63)*(3*((2049-2022)/I63)^2-2*((2049-2022)/I63)^3)))</f>
        <v>0.224306102676214</v>
      </c>
      <c r="AN63" s="30" t="n">
        <f aca="false">AM63*(1-IF((2050-2022)/I63&gt;=1,J63,H63+(J63-H63)*(3*((2050-2022)/I63)^2-2*((2050-2022)/I63)^3)))</f>
        <v>0.222960266060157</v>
      </c>
      <c r="AO63" s="30" t="n">
        <f aca="false">AN63*(1-IF((2051-2022)/I63&gt;=1,J63,H63+(J63-H63)*(3*((2051-2022)/I63)^2-2*((2051-2022)/I63)^3)))</f>
        <v>0.221622504463796</v>
      </c>
      <c r="AP63" s="30" t="n">
        <f aca="false">AO63*(1-IF((2052-2022)/I63&gt;=1,J63,H63+(J63-H63)*(3*((2052-2022)/I63)^2-2*((2052-2022)/I63)^3)))</f>
        <v>0.220292769437013</v>
      </c>
      <c r="AQ63" s="30" t="n">
        <f aca="false">AP63*(1-IF((2053-2022)/I63&gt;=1,J63,H63+(J63-H63)*(3*((2053-2022)/I63)^2-2*((2053-2022)/I63)^3)))</f>
        <v>0.218971012820391</v>
      </c>
      <c r="AR63" s="30" t="n">
        <f aca="false">AQ63*(1-IF((2054-2022)/I63&gt;=1,J63,H63+(J63-H63)*(3*((2054-2022)/I63)^2-2*((2054-2022)/I63)^3)))</f>
        <v>0.217657186743468</v>
      </c>
      <c r="AS63" s="30" t="n">
        <f aca="false">AR63*(1-IF((2055-2022)/I63&gt;=1,J63,H63+(J63-H63)*(3*((2055-2022)/I63)^2-2*((2055-2022)/I63)^3)))</f>
        <v>0.216351243623008</v>
      </c>
      <c r="AT63" s="30" t="n">
        <f aca="false">AS63*(1-IF((2056-2022)/I63&gt;=1,J63,H63+(J63-H63)*(3*((2056-2022)/I63)^2-2*((2056-2022)/I63)^3)))</f>
        <v>0.21505313616127</v>
      </c>
      <c r="AU63" s="30" t="n">
        <f aca="false">AT63*(1-IF((2057-2022)/I63&gt;=1,J63,H63+(J63-H63)*(3*((2057-2022)/I63)^2-2*((2057-2022)/I63)^3)))</f>
        <v>0.213762817344302</v>
      </c>
      <c r="AV63" s="30" t="n">
        <f aca="false">AU63*(1-IF((2058-2022)/I63&gt;=1,J63,H63+(J63-H63)*(3*((2058-2022)/I63)^2-2*((2058-2022)/I63)^3)))</f>
        <v>0.212480240440236</v>
      </c>
      <c r="AW63" s="30" t="n">
        <f aca="false">AV63*(1-IF((2059-2022)/I63&gt;=1,J63,H63+(J63-H63)*(3*((2059-2022)/I63)^2-2*((2059-2022)/I63)^3)))</f>
        <v>0.211205358997595</v>
      </c>
      <c r="AX63" s="30" t="n">
        <f aca="false">AW63*(1-IF((2060-2022)/I63&gt;=1,J63,H63+(J63-H63)*(3*((2060-2022)/I63)^2-2*((2060-2022)/I63)^3)))</f>
        <v>0.209938126843609</v>
      </c>
      <c r="AY63" s="30" t="n">
        <f aca="false">AX63*(1-IF((2061-2022)/I63&gt;=1,J63,H63+(J63-H63)*(3*((2061-2022)/I63)^2-2*((2061-2022)/I63)^3)))</f>
        <v>0.208678498082548</v>
      </c>
      <c r="AZ63" s="30" t="n">
        <f aca="false">AY63*(1-IF((2062-2022)/I63&gt;=1,J63,H63+(J63-H63)*(3*((2062-2022)/I63)^2-2*((2062-2022)/I63)^3)))</f>
        <v>0.207426427094052</v>
      </c>
      <c r="BA63" s="30" t="n">
        <f aca="false">AZ63*(1-IF((2063-2022)/I63&gt;=1,J63,H63+(J63-H63)*(3*((2063-2022)/I63)^2-2*((2063-2022)/I63)^3)))</f>
        <v>0.206181868531488</v>
      </c>
      <c r="BB63" s="30" t="n">
        <f aca="false">BA63*(1-IF((2064-2022)/I63&gt;=1,J63,H63+(J63-H63)*(3*((2064-2022)/I63)^2-2*((2064-2022)/I63)^3)))</f>
        <v>0.204944777320299</v>
      </c>
      <c r="BC63" s="30" t="n">
        <f aca="false">BB63*(1-IF((2065-2022)/I63&gt;=1,J63,H63+(J63-H63)*(3*((2065-2022)/I63)^2-2*((2065-2022)/I63)^3)))</f>
        <v>0.203715108656377</v>
      </c>
      <c r="BD63" s="30" t="n">
        <f aca="false">BC63*(1-IF((2066-2022)/I63&gt;=1,J63,H63+(J63-H63)*(3*((2066-2022)/I63)^2-2*((2066-2022)/I63)^3)))</f>
        <v>0.202492818004439</v>
      </c>
      <c r="BE63" s="30" t="n">
        <f aca="false">BD63*(1-IF((2067-2022)/I63&gt;=1,J63,H63+(J63-H63)*(3*((2067-2022)/I63)^2-2*((2067-2022)/I63)^3)))</f>
        <v>0.201277861096412</v>
      </c>
      <c r="BF63" s="30" t="n">
        <f aca="false">BE63*(1-IF((2068-2022)/I63&gt;=1,J63,H63+(J63-H63)*(3*((2068-2022)/I63)^2-2*((2068-2022)/I63)^3)))</f>
        <v>0.200070193929834</v>
      </c>
      <c r="BG63" s="30" t="n">
        <f aca="false">BF63*(1-IF((2069-2022)/I63&gt;=1,J63,H63+(J63-H63)*(3*((2069-2022)/I63)^2-2*((2069-2022)/I63)^3)))</f>
        <v>0.198869772766255</v>
      </c>
      <c r="BH63" s="30" t="n">
        <f aca="false">BG63*(1-IF((2070-2022)/I63&gt;=1,J63,H63+(J63-H63)*(3*((2070-2022)/I63)^2-2*((2070-2022)/I63)^3)))</f>
        <v>0.197676554129657</v>
      </c>
      <c r="BI63" s="30" t="n">
        <f aca="false">BH63*(1-IF((2071-2022)/I63&gt;=1,J63,H63+(J63-H63)*(3*((2071-2022)/I63)^2-2*((2071-2022)/I63)^3)))</f>
        <v>0.196490494804879</v>
      </c>
      <c r="BJ63" s="30" t="n">
        <f aca="false">BI63*(1-IF((2072-2022)/I63&gt;=1,J63,H63+(J63-H63)*(3*((2072-2022)/I63)^2-2*((2072-2022)/I63)^3)))</f>
        <v>0.19531155183605</v>
      </c>
      <c r="BK63" s="30" t="n">
        <f aca="false">BJ63*(1-IF((2073-2022)/I63&gt;=1,J63,H63+(J63-H63)*(3*((2073-2022)/I63)^2-2*((2073-2022)/I63)^3)))</f>
        <v>0.194139682525034</v>
      </c>
      <c r="BL63" s="30" t="n">
        <f aca="false">BK63*(1-IF((2074-2022)/I63&gt;=1,J63,H63+(J63-H63)*(3*((2074-2022)/I63)^2-2*((2074-2022)/I63)^3)))</f>
        <v>0.192974844429884</v>
      </c>
      <c r="BM63" s="30" t="n">
        <f aca="false">BL63*(1-IF((2075-2022)/I63&gt;=1,J63,H63+(J63-H63)*(3*((2075-2022)/I63)^2-2*((2075-2022)/I63)^3)))</f>
        <v>0.191816995363304</v>
      </c>
      <c r="BN63" s="30" t="n">
        <f aca="false">BM63*(1-IF((2076-2022)/I63&gt;=1,J63,H63+(J63-H63)*(3*((2076-2022)/I63)^2-2*((2076-2022)/I63)^3)))</f>
        <v>0.190666093391124</v>
      </c>
      <c r="BO63" s="30" t="n">
        <f aca="false">BN63*(1-IF((2077-2022)/I63&gt;=1,J63,H63+(J63-H63)*(3*((2077-2022)/I63)^2-2*((2077-2022)/I63)^3)))</f>
        <v>0.189522096830778</v>
      </c>
      <c r="BP63" s="30" t="n">
        <f aca="false">BO63*(1-IF((2078-2022)/I63&gt;=1,J63,H63+(J63-H63)*(3*((2078-2022)/I63)^2-2*((2078-2022)/I63)^3)))</f>
        <v>0.188384964249793</v>
      </c>
      <c r="BQ63" s="30" t="n">
        <f aca="false">BP63*(1-IF((2079-2022)/I63&gt;=1,J63,H63+(J63-H63)*(3*((2079-2022)/I63)^2-2*((2079-2022)/I63)^3)))</f>
        <v>0.187254654464294</v>
      </c>
      <c r="BR63" s="30" t="n">
        <f aca="false">BQ63*(1-IF((2080-2022)/I63&gt;=1,J63,H63+(J63-H63)*(3*((2080-2022)/I63)^2-2*((2080-2022)/I63)^3)))</f>
        <v>0.186131126537509</v>
      </c>
      <c r="BS63" s="30" t="n">
        <f aca="false">BR63*(1-IF((2081-2022)/I63&gt;=1,J63,H63+(J63-H63)*(3*((2081-2022)/I63)^2-2*((2081-2022)/I63)^3)))</f>
        <v>0.185014339778283</v>
      </c>
      <c r="BT63" s="30" t="n">
        <f aca="false">BS63*(1-IF((2082-2022)/I63&gt;=1,J63,H63+(J63-H63)*(3*((2082-2022)/I63)^2-2*((2082-2022)/I63)^3)))</f>
        <v>0.183904253739614</v>
      </c>
      <c r="BU63" s="30" t="n">
        <f aca="false">BT63*(1-IF((2083-2022)/I63&gt;=1,J63,H63+(J63-H63)*(3*((2083-2022)/I63)^2-2*((2083-2022)/I63)^3)))</f>
        <v>0.182800828217176</v>
      </c>
      <c r="BV63" s="30" t="n">
        <f aca="false">BU63*(1-IF((2084-2022)/I63&gt;=1,J63,H63+(J63-H63)*(3*((2084-2022)/I63)^2-2*((2084-2022)/I63)^3)))</f>
        <v>0.181704023247873</v>
      </c>
      <c r="BW63" s="30" t="n">
        <f aca="false">BV63*(1-IF((2085-2022)/I63&gt;=1,J63,H63+(J63-H63)*(3*((2085-2022)/I63)^2-2*((2085-2022)/I63)^3)))</f>
        <v>0.180613799108386</v>
      </c>
      <c r="BX63" s="30" t="n">
        <f aca="false">BW63*(1-IF((2086-2022)/I63&gt;=1,J63,H63+(J63-H63)*(3*((2086-2022)/I63)^2-2*((2086-2022)/I63)^3)))</f>
        <v>0.179530116313735</v>
      </c>
      <c r="BY63" s="30" t="n">
        <f aca="false">BX63*(1-IF((2087-2022)/I63&gt;=1,J63,H63+(J63-H63)*(3*((2087-2022)/I63)^2-2*((2087-2022)/I63)^3)))</f>
        <v>0.178452935615853</v>
      </c>
      <c r="BZ63" s="30" t="n">
        <f aca="false">BY63*(1-IF((2088-2022)/I63&gt;=1,J63,H63+(J63-H63)*(3*((2088-2022)/I63)^2-2*((2088-2022)/I63)^3)))</f>
        <v>0.177382218002158</v>
      </c>
      <c r="CA63" s="30" t="n">
        <f aca="false">BZ63*(1-IF((2089-2022)/I63&gt;=1,J63,H63+(J63-H63)*(3*((2089-2022)/I63)^2-2*((2089-2022)/I63)^3)))</f>
        <v>0.176317924694145</v>
      </c>
      <c r="CB63" s="30" t="n">
        <f aca="false">CA63*(1-IF((2090-2022)/I63&gt;=1,J63,H63+(J63-H63)*(3*((2090-2022)/I63)^2-2*((2090-2022)/I63)^3)))</f>
        <v>0.17526001714598</v>
      </c>
      <c r="CC63" s="30" t="n">
        <f aca="false">CB63*(1-IF((2091-2022)/I63&gt;=1,J63,H63+(J63-H63)*(3*((2091-2022)/I63)^2-2*((2091-2022)/I63)^3)))</f>
        <v>0.174208457043104</v>
      </c>
    </row>
    <row r="64" customFormat="false" ht="15" hidden="false" customHeight="true" outlineLevel="0" collapsed="false">
      <c r="A64" s="3" t="n">
        <v>101</v>
      </c>
      <c r="B64" s="30" t="n">
        <f aca="false">IF($A64&lt;=105,INDEX(ILT17_Source!$D$7:$D$52,MATCH($A64,ILT17_Source!$A$7:$A$52,0)),($B$16*EXP($B$17*$A64))/(1+$B$16*EXP($B$17*$A64)))</f>
        <v>0.311846385</v>
      </c>
      <c r="C64" s="31" t="n">
        <f aca="false">LOOKUP($A64,{60,65,70,75,80,85,90,95},{0.78,0.82,0.85,0.88,0.91,0.94,0.97,1})</f>
        <v>1</v>
      </c>
      <c r="D64" s="30" t="n">
        <f aca="false">B64*C64</f>
        <v>0.311846385</v>
      </c>
      <c r="E64" s="30" t="n">
        <f aca="false">1/(1+EXP(-(($B$6+$B$8*(2016-2022))+($B$7+$B$9*(2016-2022))*($A64-$B$10))))</f>
        <v>0.370828273785052</v>
      </c>
      <c r="F64" s="30" t="n">
        <f aca="false">1/(1+EXP(-(($B$6+$B$8*(2021-2022))+($B$7+$B$9*(2021-2022))*($A64-$B$10))))</f>
        <v>0.362330909298373</v>
      </c>
      <c r="G64" s="30" t="n">
        <f aca="false">1/(1+EXP(-(($B$6+$B$8*(2022-2022))+($B$7+$B$9*(2022-2022))*($A64-$B$10))))</f>
        <v>0.360641518845875</v>
      </c>
      <c r="H64" s="32" t="n">
        <f aca="false">(F64-G64)/F64</f>
        <v>0.0046625623405135</v>
      </c>
      <c r="I64" s="38" t="n">
        <f aca="false">IF($A64&lt;=50,$B$14,IF($A64&gt;=95,$B$15,$B$14+($B$15-$B$14)*($A64-50)/(95-50)))</f>
        <v>5</v>
      </c>
      <c r="J64" s="39" t="n">
        <f aca="false">IF($A64&lt;=$B$12,$B$11,IF($A64&gt;=$B$13,0,$B$11*($B$13-$A64)/($B$13-$B$12)))</f>
        <v>0.0054</v>
      </c>
      <c r="K64" s="30" t="n">
        <f aca="false">D64*G64/E64</f>
        <v>0.303279878810386</v>
      </c>
      <c r="L64" s="30" t="n">
        <f aca="false">K64*$B$19</f>
        <v>0.272951890929348</v>
      </c>
      <c r="M64" s="30" t="n">
        <f aca="false">L64*(1-IF((2023-2022)/I64&gt;=1,J64,H64+(J64-H64)*(3*((2023-2022)/I64)^2-2*((2023-2022)/I64)^3)))</f>
        <v>0.271658302081554</v>
      </c>
      <c r="N64" s="30" t="n">
        <f aca="false">M64*(1-IF((2024-2022)/I64&gt;=1,J64,H64+(J64-H64)*(3*((2024-2022)/I64)^2-2*((2024-2022)/I64)^3)))</f>
        <v>0.270321161778793</v>
      </c>
      <c r="O64" s="30" t="n">
        <f aca="false">N64*(1-IF((2025-2022)/I64&gt;=1,J64,H64+(J64-H64)*(3*((2025-2022)/I64)^2-2*((2025-2022)/I64)^3)))</f>
        <v>0.268931596946895</v>
      </c>
      <c r="P64" s="30" t="n">
        <f aca="false">O64*(1-IF((2026-2022)/I64&gt;=1,J64,H64+(J64-H64)*(3*((2026-2022)/I64)^2-2*((2026-2022)/I64)^3)))</f>
        <v>0.267499991633273</v>
      </c>
      <c r="Q64" s="30" t="n">
        <f aca="false">P64*(1-IF((2027-2022)/I64&gt;=1,J64,H64+(J64-H64)*(3*((2027-2022)/I64)^2-2*((2027-2022)/I64)^3)))</f>
        <v>0.266055491678453</v>
      </c>
      <c r="R64" s="30" t="n">
        <f aca="false">Q64*(1-IF((2028-2022)/I64&gt;=1,J64,H64+(J64-H64)*(3*((2028-2022)/I64)^2-2*((2028-2022)/I64)^3)))</f>
        <v>0.26461879202339</v>
      </c>
      <c r="S64" s="30" t="n">
        <f aca="false">R64*(1-IF((2029-2022)/I64&gt;=1,J64,H64+(J64-H64)*(3*((2029-2022)/I64)^2-2*((2029-2022)/I64)^3)))</f>
        <v>0.263189850546463</v>
      </c>
      <c r="T64" s="30" t="n">
        <f aca="false">S64*(1-IF((2030-2022)/I64&gt;=1,J64,H64+(J64-H64)*(3*((2030-2022)/I64)^2-2*((2030-2022)/I64)^3)))</f>
        <v>0.261768625353512</v>
      </c>
      <c r="U64" s="30" t="n">
        <f aca="false">T64*(1-IF((2031-2022)/I64&gt;=1,J64,H64+(J64-H64)*(3*((2031-2022)/I64)^2-2*((2031-2022)/I64)^3)))</f>
        <v>0.260355074776603</v>
      </c>
      <c r="V64" s="30" t="n">
        <f aca="false">U64*(1-IF((2032-2022)/I64&gt;=1,J64,H64+(J64-H64)*(3*((2032-2022)/I64)^2-2*((2032-2022)/I64)^3)))</f>
        <v>0.25894915737281</v>
      </c>
      <c r="W64" s="30" t="n">
        <f aca="false">V64*(1-IF((2033-2022)/I64&gt;=1,J64,H64+(J64-H64)*(3*((2033-2022)/I64)^2-2*((2033-2022)/I64)^3)))</f>
        <v>0.257550831922997</v>
      </c>
      <c r="X64" s="30" t="n">
        <f aca="false">W64*(1-IF((2034-2022)/I64&gt;=1,J64,H64+(J64-H64)*(3*((2034-2022)/I64)^2-2*((2034-2022)/I64)^3)))</f>
        <v>0.256160057430612</v>
      </c>
      <c r="Y64" s="30" t="n">
        <f aca="false">X64*(1-IF((2035-2022)/I64&gt;=1,J64,H64+(J64-H64)*(3*((2035-2022)/I64)^2-2*((2035-2022)/I64)^3)))</f>
        <v>0.254776793120487</v>
      </c>
      <c r="Z64" s="30" t="n">
        <f aca="false">Y64*(1-IF((2036-2022)/I64&gt;=1,J64,H64+(J64-H64)*(3*((2036-2022)/I64)^2-2*((2036-2022)/I64)^3)))</f>
        <v>0.253400998437636</v>
      </c>
      <c r="AA64" s="30" t="n">
        <f aca="false">Z64*(1-IF((2037-2022)/I64&gt;=1,J64,H64+(J64-H64)*(3*((2037-2022)/I64)^2-2*((2037-2022)/I64)^3)))</f>
        <v>0.252032633046073</v>
      </c>
      <c r="AB64" s="30" t="n">
        <f aca="false">AA64*(1-IF((2038-2022)/I64&gt;=1,J64,H64+(J64-H64)*(3*((2038-2022)/I64)^2-2*((2038-2022)/I64)^3)))</f>
        <v>0.250671656827625</v>
      </c>
      <c r="AC64" s="30" t="n">
        <f aca="false">AB64*(1-IF((2039-2022)/I64&gt;=1,J64,H64+(J64-H64)*(3*((2039-2022)/I64)^2-2*((2039-2022)/I64)^3)))</f>
        <v>0.249318029880755</v>
      </c>
      <c r="AD64" s="30" t="n">
        <f aca="false">AC64*(1-IF((2040-2022)/I64&gt;=1,J64,H64+(J64-H64)*(3*((2040-2022)/I64)^2-2*((2040-2022)/I64)^3)))</f>
        <v>0.247971712519399</v>
      </c>
      <c r="AE64" s="30" t="n">
        <f aca="false">AD64*(1-IF((2041-2022)/I64&gt;=1,J64,H64+(J64-H64)*(3*((2041-2022)/I64)^2-2*((2041-2022)/I64)^3)))</f>
        <v>0.246632665271795</v>
      </c>
      <c r="AF64" s="30" t="n">
        <f aca="false">AE64*(1-IF((2042-2022)/I64&gt;=1,J64,H64+(J64-H64)*(3*((2042-2022)/I64)^2-2*((2042-2022)/I64)^3)))</f>
        <v>0.245300848879327</v>
      </c>
      <c r="AG64" s="30" t="n">
        <f aca="false">AF64*(1-IF((2043-2022)/I64&gt;=1,J64,H64+(J64-H64)*(3*((2043-2022)/I64)^2-2*((2043-2022)/I64)^3)))</f>
        <v>0.243976224295378</v>
      </c>
      <c r="AH64" s="30" t="n">
        <f aca="false">AG64*(1-IF((2044-2022)/I64&gt;=1,J64,H64+(J64-H64)*(3*((2044-2022)/I64)^2-2*((2044-2022)/I64)^3)))</f>
        <v>0.242658752684183</v>
      </c>
      <c r="AI64" s="30" t="n">
        <f aca="false">AH64*(1-IF((2045-2022)/I64&gt;=1,J64,H64+(J64-H64)*(3*((2045-2022)/I64)^2-2*((2045-2022)/I64)^3)))</f>
        <v>0.241348395419689</v>
      </c>
      <c r="AJ64" s="30" t="n">
        <f aca="false">AI64*(1-IF((2046-2022)/I64&gt;=1,J64,H64+(J64-H64)*(3*((2046-2022)/I64)^2-2*((2046-2022)/I64)^3)))</f>
        <v>0.240045114084423</v>
      </c>
      <c r="AK64" s="30" t="n">
        <f aca="false">AJ64*(1-IF((2047-2022)/I64&gt;=1,J64,H64+(J64-H64)*(3*((2047-2022)/I64)^2-2*((2047-2022)/I64)^3)))</f>
        <v>0.238748870468367</v>
      </c>
      <c r="AL64" s="30" t="n">
        <f aca="false">AK64*(1-IF((2048-2022)/I64&gt;=1,J64,H64+(J64-H64)*(3*((2048-2022)/I64)^2-2*((2048-2022)/I64)^3)))</f>
        <v>0.237459626567838</v>
      </c>
      <c r="AM64" s="30" t="n">
        <f aca="false">AL64*(1-IF((2049-2022)/I64&gt;=1,J64,H64+(J64-H64)*(3*((2049-2022)/I64)^2-2*((2049-2022)/I64)^3)))</f>
        <v>0.236177344584371</v>
      </c>
      <c r="AN64" s="30" t="n">
        <f aca="false">AM64*(1-IF((2050-2022)/I64&gt;=1,J64,H64+(J64-H64)*(3*((2050-2022)/I64)^2-2*((2050-2022)/I64)^3)))</f>
        <v>0.234901986923616</v>
      </c>
      <c r="AO64" s="30" t="n">
        <f aca="false">AN64*(1-IF((2051-2022)/I64&gt;=1,J64,H64+(J64-H64)*(3*((2051-2022)/I64)^2-2*((2051-2022)/I64)^3)))</f>
        <v>0.233633516194228</v>
      </c>
      <c r="AP64" s="30" t="n">
        <f aca="false">AO64*(1-IF((2052-2022)/I64&gt;=1,J64,H64+(J64-H64)*(3*((2052-2022)/I64)^2-2*((2052-2022)/I64)^3)))</f>
        <v>0.232371895206779</v>
      </c>
      <c r="AQ64" s="30" t="n">
        <f aca="false">AP64*(1-IF((2053-2022)/I64&gt;=1,J64,H64+(J64-H64)*(3*((2053-2022)/I64)^2-2*((2053-2022)/I64)^3)))</f>
        <v>0.231117086972663</v>
      </c>
      <c r="AR64" s="30" t="n">
        <f aca="false">AQ64*(1-IF((2054-2022)/I64&gt;=1,J64,H64+(J64-H64)*(3*((2054-2022)/I64)^2-2*((2054-2022)/I64)^3)))</f>
        <v>0.22986905470301</v>
      </c>
      <c r="AS64" s="30" t="n">
        <f aca="false">AR64*(1-IF((2055-2022)/I64&gt;=1,J64,H64+(J64-H64)*(3*((2055-2022)/I64)^2-2*((2055-2022)/I64)^3)))</f>
        <v>0.228627761807614</v>
      </c>
      <c r="AT64" s="30" t="n">
        <f aca="false">AS64*(1-IF((2056-2022)/I64&gt;=1,J64,H64+(J64-H64)*(3*((2056-2022)/I64)^2-2*((2056-2022)/I64)^3)))</f>
        <v>0.227393171893853</v>
      </c>
      <c r="AU64" s="30" t="n">
        <f aca="false">AT64*(1-IF((2057-2022)/I64&gt;=1,J64,H64+(J64-H64)*(3*((2057-2022)/I64)^2-2*((2057-2022)/I64)^3)))</f>
        <v>0.226165248765626</v>
      </c>
      <c r="AV64" s="30" t="n">
        <f aca="false">AU64*(1-IF((2058-2022)/I64&gt;=1,J64,H64+(J64-H64)*(3*((2058-2022)/I64)^2-2*((2058-2022)/I64)^3)))</f>
        <v>0.224943956422292</v>
      </c>
      <c r="AW64" s="30" t="n">
        <f aca="false">AV64*(1-IF((2059-2022)/I64&gt;=1,J64,H64+(J64-H64)*(3*((2059-2022)/I64)^2-2*((2059-2022)/I64)^3)))</f>
        <v>0.223729259057611</v>
      </c>
      <c r="AX64" s="30" t="n">
        <f aca="false">AW64*(1-IF((2060-2022)/I64&gt;=1,J64,H64+(J64-H64)*(3*((2060-2022)/I64)^2-2*((2060-2022)/I64)^3)))</f>
        <v>0.2225211210587</v>
      </c>
      <c r="AY64" s="30" t="n">
        <f aca="false">AX64*(1-IF((2061-2022)/I64&gt;=1,J64,H64+(J64-H64)*(3*((2061-2022)/I64)^2-2*((2061-2022)/I64)^3)))</f>
        <v>0.221319507004983</v>
      </c>
      <c r="AZ64" s="30" t="n">
        <f aca="false">AY64*(1-IF((2062-2022)/I64&gt;=1,J64,H64+(J64-H64)*(3*((2062-2022)/I64)^2-2*((2062-2022)/I64)^3)))</f>
        <v>0.220124381667156</v>
      </c>
      <c r="BA64" s="30" t="n">
        <f aca="false">AZ64*(1-IF((2063-2022)/I64&gt;=1,J64,H64+(J64-H64)*(3*((2063-2022)/I64)^2-2*((2063-2022)/I64)^3)))</f>
        <v>0.218935710006154</v>
      </c>
      <c r="BB64" s="30" t="n">
        <f aca="false">BA64*(1-IF((2064-2022)/I64&gt;=1,J64,H64+(J64-H64)*(3*((2064-2022)/I64)^2-2*((2064-2022)/I64)^3)))</f>
        <v>0.217753457172121</v>
      </c>
      <c r="BC64" s="30" t="n">
        <f aca="false">BB64*(1-IF((2065-2022)/I64&gt;=1,J64,H64+(J64-H64)*(3*((2065-2022)/I64)^2-2*((2065-2022)/I64)^3)))</f>
        <v>0.216577588503391</v>
      </c>
      <c r="BD64" s="30" t="n">
        <f aca="false">BC64*(1-IF((2066-2022)/I64&gt;=1,J64,H64+(J64-H64)*(3*((2066-2022)/I64)^2-2*((2066-2022)/I64)^3)))</f>
        <v>0.215408069525473</v>
      </c>
      <c r="BE64" s="30" t="n">
        <f aca="false">BD64*(1-IF((2067-2022)/I64&gt;=1,J64,H64+(J64-H64)*(3*((2067-2022)/I64)^2-2*((2067-2022)/I64)^3)))</f>
        <v>0.214244865950035</v>
      </c>
      <c r="BF64" s="30" t="n">
        <f aca="false">BE64*(1-IF((2068-2022)/I64&gt;=1,J64,H64+(J64-H64)*(3*((2068-2022)/I64)^2-2*((2068-2022)/I64)^3)))</f>
        <v>0.213087943673905</v>
      </c>
      <c r="BG64" s="30" t="n">
        <f aca="false">BF64*(1-IF((2069-2022)/I64&gt;=1,J64,H64+(J64-H64)*(3*((2069-2022)/I64)^2-2*((2069-2022)/I64)^3)))</f>
        <v>0.211937268778066</v>
      </c>
      <c r="BH64" s="30" t="n">
        <f aca="false">BG64*(1-IF((2070-2022)/I64&gt;=1,J64,H64+(J64-H64)*(3*((2070-2022)/I64)^2-2*((2070-2022)/I64)^3)))</f>
        <v>0.210792807526665</v>
      </c>
      <c r="BI64" s="30" t="n">
        <f aca="false">BH64*(1-IF((2071-2022)/I64&gt;=1,J64,H64+(J64-H64)*(3*((2071-2022)/I64)^2-2*((2071-2022)/I64)^3)))</f>
        <v>0.209654526366021</v>
      </c>
      <c r="BJ64" s="30" t="n">
        <f aca="false">BI64*(1-IF((2072-2022)/I64&gt;=1,J64,H64+(J64-H64)*(3*((2072-2022)/I64)^2-2*((2072-2022)/I64)^3)))</f>
        <v>0.208522391923644</v>
      </c>
      <c r="BK64" s="30" t="n">
        <f aca="false">BJ64*(1-IF((2073-2022)/I64&gt;=1,J64,H64+(J64-H64)*(3*((2073-2022)/I64)^2-2*((2073-2022)/I64)^3)))</f>
        <v>0.207396371007256</v>
      </c>
      <c r="BL64" s="30" t="n">
        <f aca="false">BK64*(1-IF((2074-2022)/I64&gt;=1,J64,H64+(J64-H64)*(3*((2074-2022)/I64)^2-2*((2074-2022)/I64)^3)))</f>
        <v>0.206276430603817</v>
      </c>
      <c r="BM64" s="30" t="n">
        <f aca="false">BL64*(1-IF((2075-2022)/I64&gt;=1,J64,H64+(J64-H64)*(3*((2075-2022)/I64)^2-2*((2075-2022)/I64)^3)))</f>
        <v>0.205162537878557</v>
      </c>
      <c r="BN64" s="30" t="n">
        <f aca="false">BM64*(1-IF((2076-2022)/I64&gt;=1,J64,H64+(J64-H64)*(3*((2076-2022)/I64)^2-2*((2076-2022)/I64)^3)))</f>
        <v>0.204054660174012</v>
      </c>
      <c r="BO64" s="30" t="n">
        <f aca="false">BN64*(1-IF((2077-2022)/I64&gt;=1,J64,H64+(J64-H64)*(3*((2077-2022)/I64)^2-2*((2077-2022)/I64)^3)))</f>
        <v>0.202952765009073</v>
      </c>
      <c r="BP64" s="30" t="n">
        <f aca="false">BO64*(1-IF((2078-2022)/I64&gt;=1,J64,H64+(J64-H64)*(3*((2078-2022)/I64)^2-2*((2078-2022)/I64)^3)))</f>
        <v>0.201856820078024</v>
      </c>
      <c r="BQ64" s="30" t="n">
        <f aca="false">BP64*(1-IF((2079-2022)/I64&gt;=1,J64,H64+(J64-H64)*(3*((2079-2022)/I64)^2-2*((2079-2022)/I64)^3)))</f>
        <v>0.200766793249602</v>
      </c>
      <c r="BR64" s="30" t="n">
        <f aca="false">BQ64*(1-IF((2080-2022)/I64&gt;=1,J64,H64+(J64-H64)*(3*((2080-2022)/I64)^2-2*((2080-2022)/I64)^3)))</f>
        <v>0.199682652566055</v>
      </c>
      <c r="BS64" s="30" t="n">
        <f aca="false">BR64*(1-IF((2081-2022)/I64&gt;=1,J64,H64+(J64-H64)*(3*((2081-2022)/I64)^2-2*((2081-2022)/I64)^3)))</f>
        <v>0.198604366242198</v>
      </c>
      <c r="BT64" s="30" t="n">
        <f aca="false">BS64*(1-IF((2082-2022)/I64&gt;=1,J64,H64+(J64-H64)*(3*((2082-2022)/I64)^2-2*((2082-2022)/I64)^3)))</f>
        <v>0.19753190266449</v>
      </c>
      <c r="BU64" s="30" t="n">
        <f aca="false">BT64*(1-IF((2083-2022)/I64&gt;=1,J64,H64+(J64-H64)*(3*((2083-2022)/I64)^2-2*((2083-2022)/I64)^3)))</f>
        <v>0.196465230390102</v>
      </c>
      <c r="BV64" s="30" t="n">
        <f aca="false">BU64*(1-IF((2084-2022)/I64&gt;=1,J64,H64+(J64-H64)*(3*((2084-2022)/I64)^2-2*((2084-2022)/I64)^3)))</f>
        <v>0.195404318145995</v>
      </c>
      <c r="BW64" s="30" t="n">
        <f aca="false">BV64*(1-IF((2085-2022)/I64&gt;=1,J64,H64+(J64-H64)*(3*((2085-2022)/I64)^2-2*((2085-2022)/I64)^3)))</f>
        <v>0.194349134828007</v>
      </c>
      <c r="BX64" s="30" t="n">
        <f aca="false">BW64*(1-IF((2086-2022)/I64&gt;=1,J64,H64+(J64-H64)*(3*((2086-2022)/I64)^2-2*((2086-2022)/I64)^3)))</f>
        <v>0.193299649499936</v>
      </c>
      <c r="BY64" s="30" t="n">
        <f aca="false">BX64*(1-IF((2087-2022)/I64&gt;=1,J64,H64+(J64-H64)*(3*((2087-2022)/I64)^2-2*((2087-2022)/I64)^3)))</f>
        <v>0.192255831392636</v>
      </c>
      <c r="BZ64" s="30" t="n">
        <f aca="false">BY64*(1-IF((2088-2022)/I64&gt;=1,J64,H64+(J64-H64)*(3*((2088-2022)/I64)^2-2*((2088-2022)/I64)^3)))</f>
        <v>0.191217649903116</v>
      </c>
      <c r="CA64" s="30" t="n">
        <f aca="false">BZ64*(1-IF((2089-2022)/I64&gt;=1,J64,H64+(J64-H64)*(3*((2089-2022)/I64)^2-2*((2089-2022)/I64)^3)))</f>
        <v>0.190185074593639</v>
      </c>
      <c r="CB64" s="30" t="n">
        <f aca="false">CA64*(1-IF((2090-2022)/I64&gt;=1,J64,H64+(J64-H64)*(3*((2090-2022)/I64)^2-2*((2090-2022)/I64)^3)))</f>
        <v>0.189158075190833</v>
      </c>
      <c r="CC64" s="30" t="n">
        <f aca="false">CB64*(1-IF((2091-2022)/I64&gt;=1,J64,H64+(J64-H64)*(3*((2091-2022)/I64)^2-2*((2091-2022)/I64)^3)))</f>
        <v>0.188136621584803</v>
      </c>
    </row>
    <row r="65" customFormat="false" ht="15" hidden="false" customHeight="true" outlineLevel="0" collapsed="false">
      <c r="A65" s="3" t="n">
        <v>102</v>
      </c>
      <c r="B65" s="30" t="n">
        <f aca="false">IF($A65&lt;=105,INDEX(ILT17_Source!$D$7:$D$52,MATCH($A65,ILT17_Source!$A$7:$A$52,0)),($B$16*EXP($B$17*$A65))/(1+$B$16*EXP($B$17*$A65)))</f>
        <v>0.322572025</v>
      </c>
      <c r="C65" s="31" t="n">
        <f aca="false">LOOKUP($A65,{60,65,70,75,80,85,90,95},{0.78,0.82,0.85,0.88,0.91,0.94,0.97,1})</f>
        <v>1</v>
      </c>
      <c r="D65" s="30" t="n">
        <f aca="false">B65*C65</f>
        <v>0.322572025</v>
      </c>
      <c r="E65" s="30" t="n">
        <f aca="false">1/(1+EXP(-(($B$6+$B$8*(2016-2022))+($B$7+$B$9*(2016-2022))*($A65-$B$10))))</f>
        <v>0.397001448827608</v>
      </c>
      <c r="F65" s="30" t="n">
        <f aca="false">1/(1+EXP(-(($B$6+$B$8*(2021-2022))+($B$7+$B$9*(2021-2022))*($A65-$B$10))))</f>
        <v>0.388923742665062</v>
      </c>
      <c r="G65" s="30" t="n">
        <f aca="false">1/(1+EXP(-(($B$6+$B$8*(2022-2022))+($B$7+$B$9*(2022-2022))*($A65-$B$10))))</f>
        <v>0.387315339947549</v>
      </c>
      <c r="H65" s="32" t="n">
        <f aca="false">(F65-G65)/F65</f>
        <v>0.00413552206016452</v>
      </c>
      <c r="I65" s="38" t="n">
        <f aca="false">IF($A65&lt;=50,$B$14,IF($A65&gt;=95,$B$15,$B$14+($B$15-$B$14)*($A65-50)/(95-50)))</f>
        <v>5</v>
      </c>
      <c r="J65" s="39" t="n">
        <f aca="false">IF($A65&lt;=$B$12,$B$11,IF($A65&gt;=$B$13,0,$B$11*($B$13-$A65)/($B$13-$B$12)))</f>
        <v>0.0048</v>
      </c>
      <c r="K65" s="30" t="n">
        <f aca="false">D65*G65/E65</f>
        <v>0.314701857863235</v>
      </c>
      <c r="L65" s="30" t="n">
        <f aca="false">K65*$B$19</f>
        <v>0.283231672076912</v>
      </c>
      <c r="M65" s="30" t="n">
        <f aca="false">L65*(1-IF((2023-2022)/I65&gt;=1,J65,H65+(J65-H65)*(3*((2023-2022)/I65)^2-2*((2023-2022)/I65)^3)))</f>
        <v>0.282040788324313</v>
      </c>
      <c r="N65" s="30" t="n">
        <f aca="false">M65*(1-IF((2024-2022)/I65&gt;=1,J65,H65+(J65-H65)*(3*((2024-2022)/I65)^2-2*((2024-2022)/I65)^3)))</f>
        <v>0.280808434143876</v>
      </c>
      <c r="O65" s="30" t="n">
        <f aca="false">N65*(1-IF((2025-2022)/I65&gt;=1,J65,H65+(J65-H65)*(3*((2025-2022)/I65)^2-2*((2025-2022)/I65)^3)))</f>
        <v>0.279526233695438</v>
      </c>
      <c r="P65" s="30" t="n">
        <f aca="false">O65*(1-IF((2026-2022)/I65&gt;=1,J65,H65+(J65-H65)*(3*((2026-2022)/I65)^2-2*((2026-2022)/I65)^3)))</f>
        <v>0.278203824631353</v>
      </c>
      <c r="Q65" s="30" t="n">
        <f aca="false">P65*(1-IF((2027-2022)/I65&gt;=1,J65,H65+(J65-H65)*(3*((2027-2022)/I65)^2-2*((2027-2022)/I65)^3)))</f>
        <v>0.276868446273122</v>
      </c>
      <c r="R65" s="30" t="n">
        <f aca="false">Q65*(1-IF((2028-2022)/I65&gt;=1,J65,H65+(J65-H65)*(3*((2028-2022)/I65)^2-2*((2028-2022)/I65)^3)))</f>
        <v>0.275539477731011</v>
      </c>
      <c r="S65" s="30" t="n">
        <f aca="false">R65*(1-IF((2029-2022)/I65&gt;=1,J65,H65+(J65-H65)*(3*((2029-2022)/I65)^2-2*((2029-2022)/I65)^3)))</f>
        <v>0.274216888237902</v>
      </c>
      <c r="T65" s="30" t="n">
        <f aca="false">S65*(1-IF((2030-2022)/I65&gt;=1,J65,H65+(J65-H65)*(3*((2030-2022)/I65)^2-2*((2030-2022)/I65)^3)))</f>
        <v>0.272900647174361</v>
      </c>
      <c r="U65" s="30" t="n">
        <f aca="false">T65*(1-IF((2031-2022)/I65&gt;=1,J65,H65+(J65-H65)*(3*((2031-2022)/I65)^2-2*((2031-2022)/I65)^3)))</f>
        <v>0.271590724067924</v>
      </c>
      <c r="V65" s="30" t="n">
        <f aca="false">U65*(1-IF((2032-2022)/I65&gt;=1,J65,H65+(J65-H65)*(3*((2032-2022)/I65)^2-2*((2032-2022)/I65)^3)))</f>
        <v>0.270287088592398</v>
      </c>
      <c r="W65" s="30" t="n">
        <f aca="false">V65*(1-IF((2033-2022)/I65&gt;=1,J65,H65+(J65-H65)*(3*((2033-2022)/I65)^2-2*((2033-2022)/I65)^3)))</f>
        <v>0.268989710567154</v>
      </c>
      <c r="X65" s="30" t="n">
        <f aca="false">W65*(1-IF((2034-2022)/I65&gt;=1,J65,H65+(J65-H65)*(3*((2034-2022)/I65)^2-2*((2034-2022)/I65)^3)))</f>
        <v>0.267698559956432</v>
      </c>
      <c r="Y65" s="30" t="n">
        <f aca="false">X65*(1-IF((2035-2022)/I65&gt;=1,J65,H65+(J65-H65)*(3*((2035-2022)/I65)^2-2*((2035-2022)/I65)^3)))</f>
        <v>0.266413606868641</v>
      </c>
      <c r="Z65" s="30" t="n">
        <f aca="false">Y65*(1-IF((2036-2022)/I65&gt;=1,J65,H65+(J65-H65)*(3*((2036-2022)/I65)^2-2*((2036-2022)/I65)^3)))</f>
        <v>0.265134821555671</v>
      </c>
      <c r="AA65" s="30" t="n">
        <f aca="false">Z65*(1-IF((2037-2022)/I65&gt;=1,J65,H65+(J65-H65)*(3*((2037-2022)/I65)^2-2*((2037-2022)/I65)^3)))</f>
        <v>0.263862174412204</v>
      </c>
      <c r="AB65" s="30" t="n">
        <f aca="false">AA65*(1-IF((2038-2022)/I65&gt;=1,J65,H65+(J65-H65)*(3*((2038-2022)/I65)^2-2*((2038-2022)/I65)^3)))</f>
        <v>0.262595635975026</v>
      </c>
      <c r="AC65" s="30" t="n">
        <f aca="false">AB65*(1-IF((2039-2022)/I65&gt;=1,J65,H65+(J65-H65)*(3*((2039-2022)/I65)^2-2*((2039-2022)/I65)^3)))</f>
        <v>0.261335176922345</v>
      </c>
      <c r="AD65" s="30" t="n">
        <f aca="false">AC65*(1-IF((2040-2022)/I65&gt;=1,J65,H65+(J65-H65)*(3*((2040-2022)/I65)^2-2*((2040-2022)/I65)^3)))</f>
        <v>0.260080768073118</v>
      </c>
      <c r="AE65" s="30" t="n">
        <f aca="false">AD65*(1-IF((2041-2022)/I65&gt;=1,J65,H65+(J65-H65)*(3*((2041-2022)/I65)^2-2*((2041-2022)/I65)^3)))</f>
        <v>0.258832380386367</v>
      </c>
      <c r="AF65" s="30" t="n">
        <f aca="false">AE65*(1-IF((2042-2022)/I65&gt;=1,J65,H65+(J65-H65)*(3*((2042-2022)/I65)^2-2*((2042-2022)/I65)^3)))</f>
        <v>0.257589984960513</v>
      </c>
      <c r="AG65" s="30" t="n">
        <f aca="false">AF65*(1-IF((2043-2022)/I65&gt;=1,J65,H65+(J65-H65)*(3*((2043-2022)/I65)^2-2*((2043-2022)/I65)^3)))</f>
        <v>0.256353553032702</v>
      </c>
      <c r="AH65" s="30" t="n">
        <f aca="false">AG65*(1-IF((2044-2022)/I65&gt;=1,J65,H65+(J65-H65)*(3*((2044-2022)/I65)^2-2*((2044-2022)/I65)^3)))</f>
        <v>0.255123055978145</v>
      </c>
      <c r="AI65" s="30" t="n">
        <f aca="false">AH65*(1-IF((2045-2022)/I65&gt;=1,J65,H65+(J65-H65)*(3*((2045-2022)/I65)^2-2*((2045-2022)/I65)^3)))</f>
        <v>0.25389846530945</v>
      </c>
      <c r="AJ65" s="30" t="n">
        <f aca="false">AI65*(1-IF((2046-2022)/I65&gt;=1,J65,H65+(J65-H65)*(3*((2046-2022)/I65)^2-2*((2046-2022)/I65)^3)))</f>
        <v>0.252679752675965</v>
      </c>
      <c r="AK65" s="30" t="n">
        <f aca="false">AJ65*(1-IF((2047-2022)/I65&gt;=1,J65,H65+(J65-H65)*(3*((2047-2022)/I65)^2-2*((2047-2022)/I65)^3)))</f>
        <v>0.25146688986312</v>
      </c>
      <c r="AL65" s="30" t="n">
        <f aca="false">AK65*(1-IF((2048-2022)/I65&gt;=1,J65,H65+(J65-H65)*(3*((2048-2022)/I65)^2-2*((2048-2022)/I65)^3)))</f>
        <v>0.250259848791777</v>
      </c>
      <c r="AM65" s="30" t="n">
        <f aca="false">AL65*(1-IF((2049-2022)/I65&gt;=1,J65,H65+(J65-H65)*(3*((2049-2022)/I65)^2-2*((2049-2022)/I65)^3)))</f>
        <v>0.249058601517576</v>
      </c>
      <c r="AN65" s="30" t="n">
        <f aca="false">AM65*(1-IF((2050-2022)/I65&gt;=1,J65,H65+(J65-H65)*(3*((2050-2022)/I65)^2-2*((2050-2022)/I65)^3)))</f>
        <v>0.247863120230292</v>
      </c>
      <c r="AO65" s="30" t="n">
        <f aca="false">AN65*(1-IF((2051-2022)/I65&gt;=1,J65,H65+(J65-H65)*(3*((2051-2022)/I65)^2-2*((2051-2022)/I65)^3)))</f>
        <v>0.246673377253187</v>
      </c>
      <c r="AP65" s="30" t="n">
        <f aca="false">AO65*(1-IF((2052-2022)/I65&gt;=1,J65,H65+(J65-H65)*(3*((2052-2022)/I65)^2-2*((2052-2022)/I65)^3)))</f>
        <v>0.245489345042371</v>
      </c>
      <c r="AQ65" s="30" t="n">
        <f aca="false">AP65*(1-IF((2053-2022)/I65&gt;=1,J65,H65+(J65-H65)*(3*((2053-2022)/I65)^2-2*((2053-2022)/I65)^3)))</f>
        <v>0.244310996186168</v>
      </c>
      <c r="AR65" s="30" t="n">
        <f aca="false">AQ65*(1-IF((2054-2022)/I65&gt;=1,J65,H65+(J65-H65)*(3*((2054-2022)/I65)^2-2*((2054-2022)/I65)^3)))</f>
        <v>0.243138303404474</v>
      </c>
      <c r="AS65" s="30" t="n">
        <f aca="false">AR65*(1-IF((2055-2022)/I65&gt;=1,J65,H65+(J65-H65)*(3*((2055-2022)/I65)^2-2*((2055-2022)/I65)^3)))</f>
        <v>0.241971239548133</v>
      </c>
      <c r="AT65" s="30" t="n">
        <f aca="false">AS65*(1-IF((2056-2022)/I65&gt;=1,J65,H65+(J65-H65)*(3*((2056-2022)/I65)^2-2*((2056-2022)/I65)^3)))</f>
        <v>0.240809777598302</v>
      </c>
      <c r="AU65" s="30" t="n">
        <f aca="false">AT65*(1-IF((2057-2022)/I65&gt;=1,J65,H65+(J65-H65)*(3*((2057-2022)/I65)^2-2*((2057-2022)/I65)^3)))</f>
        <v>0.23965389066583</v>
      </c>
      <c r="AV65" s="30" t="n">
        <f aca="false">AU65*(1-IF((2058-2022)/I65&gt;=1,J65,H65+(J65-H65)*(3*((2058-2022)/I65)^2-2*((2058-2022)/I65)^3)))</f>
        <v>0.238503551990634</v>
      </c>
      <c r="AW65" s="30" t="n">
        <f aca="false">AV65*(1-IF((2059-2022)/I65&gt;=1,J65,H65+(J65-H65)*(3*((2059-2022)/I65)^2-2*((2059-2022)/I65)^3)))</f>
        <v>0.237358734941079</v>
      </c>
      <c r="AX65" s="30" t="n">
        <f aca="false">AW65*(1-IF((2060-2022)/I65&gt;=1,J65,H65+(J65-H65)*(3*((2060-2022)/I65)^2-2*((2060-2022)/I65)^3)))</f>
        <v>0.236219413013362</v>
      </c>
      <c r="AY65" s="30" t="n">
        <f aca="false">AX65*(1-IF((2061-2022)/I65&gt;=1,J65,H65+(J65-H65)*(3*((2061-2022)/I65)^2-2*((2061-2022)/I65)^3)))</f>
        <v>0.235085559830898</v>
      </c>
      <c r="AZ65" s="30" t="n">
        <f aca="false">AY65*(1-IF((2062-2022)/I65&gt;=1,J65,H65+(J65-H65)*(3*((2062-2022)/I65)^2-2*((2062-2022)/I65)^3)))</f>
        <v>0.233957149143709</v>
      </c>
      <c r="BA65" s="30" t="n">
        <f aca="false">AZ65*(1-IF((2063-2022)/I65&gt;=1,J65,H65+(J65-H65)*(3*((2063-2022)/I65)^2-2*((2063-2022)/I65)^3)))</f>
        <v>0.232834154827819</v>
      </c>
      <c r="BB65" s="30" t="n">
        <f aca="false">BA65*(1-IF((2064-2022)/I65&gt;=1,J65,H65+(J65-H65)*(3*((2064-2022)/I65)^2-2*((2064-2022)/I65)^3)))</f>
        <v>0.231716550884646</v>
      </c>
      <c r="BC65" s="30" t="n">
        <f aca="false">BB65*(1-IF((2065-2022)/I65&gt;=1,J65,H65+(J65-H65)*(3*((2065-2022)/I65)^2-2*((2065-2022)/I65)^3)))</f>
        <v>0.2306043114404</v>
      </c>
      <c r="BD65" s="30" t="n">
        <f aca="false">BC65*(1-IF((2066-2022)/I65&gt;=1,J65,H65+(J65-H65)*(3*((2066-2022)/I65)^2-2*((2066-2022)/I65)^3)))</f>
        <v>0.229497410745486</v>
      </c>
      <c r="BE65" s="30" t="n">
        <f aca="false">BD65*(1-IF((2067-2022)/I65&gt;=1,J65,H65+(J65-H65)*(3*((2067-2022)/I65)^2-2*((2067-2022)/I65)^3)))</f>
        <v>0.228395823173907</v>
      </c>
      <c r="BF65" s="30" t="n">
        <f aca="false">BE65*(1-IF((2068-2022)/I65&gt;=1,J65,H65+(J65-H65)*(3*((2068-2022)/I65)^2-2*((2068-2022)/I65)^3)))</f>
        <v>0.227299523222673</v>
      </c>
      <c r="BG65" s="30" t="n">
        <f aca="false">BF65*(1-IF((2069-2022)/I65&gt;=1,J65,H65+(J65-H65)*(3*((2069-2022)/I65)^2-2*((2069-2022)/I65)^3)))</f>
        <v>0.226208485511204</v>
      </c>
      <c r="BH65" s="30" t="n">
        <f aca="false">BG65*(1-IF((2070-2022)/I65&gt;=1,J65,H65+(J65-H65)*(3*((2070-2022)/I65)^2-2*((2070-2022)/I65)^3)))</f>
        <v>0.22512268478075</v>
      </c>
      <c r="BI65" s="30" t="n">
        <f aca="false">BH65*(1-IF((2071-2022)/I65&gt;=1,J65,H65+(J65-H65)*(3*((2071-2022)/I65)^2-2*((2071-2022)/I65)^3)))</f>
        <v>0.224042095893802</v>
      </c>
      <c r="BJ65" s="30" t="n">
        <f aca="false">BI65*(1-IF((2072-2022)/I65&gt;=1,J65,H65+(J65-H65)*(3*((2072-2022)/I65)^2-2*((2072-2022)/I65)^3)))</f>
        <v>0.222966693833512</v>
      </c>
      <c r="BK65" s="30" t="n">
        <f aca="false">BJ65*(1-IF((2073-2022)/I65&gt;=1,J65,H65+(J65-H65)*(3*((2073-2022)/I65)^2-2*((2073-2022)/I65)^3)))</f>
        <v>0.221896453703111</v>
      </c>
      <c r="BL65" s="30" t="n">
        <f aca="false">BK65*(1-IF((2074-2022)/I65&gt;=1,J65,H65+(J65-H65)*(3*((2074-2022)/I65)^2-2*((2074-2022)/I65)^3)))</f>
        <v>0.220831350725336</v>
      </c>
      <c r="BM65" s="30" t="n">
        <f aca="false">BL65*(1-IF((2075-2022)/I65&gt;=1,J65,H65+(J65-H65)*(3*((2075-2022)/I65)^2-2*((2075-2022)/I65)^3)))</f>
        <v>0.219771360241855</v>
      </c>
      <c r="BN65" s="30" t="n">
        <f aca="false">BM65*(1-IF((2076-2022)/I65&gt;=1,J65,H65+(J65-H65)*(3*((2076-2022)/I65)^2-2*((2076-2022)/I65)^3)))</f>
        <v>0.218716457712694</v>
      </c>
      <c r="BO65" s="30" t="n">
        <f aca="false">BN65*(1-IF((2077-2022)/I65&gt;=1,J65,H65+(J65-H65)*(3*((2077-2022)/I65)^2-2*((2077-2022)/I65)^3)))</f>
        <v>0.217666618715673</v>
      </c>
      <c r="BP65" s="30" t="n">
        <f aca="false">BO65*(1-IF((2078-2022)/I65&gt;=1,J65,H65+(J65-H65)*(3*((2078-2022)/I65)^2-2*((2078-2022)/I65)^3)))</f>
        <v>0.216621818945838</v>
      </c>
      <c r="BQ65" s="30" t="n">
        <f aca="false">BP65*(1-IF((2079-2022)/I65&gt;=1,J65,H65+(J65-H65)*(3*((2079-2022)/I65)^2-2*((2079-2022)/I65)^3)))</f>
        <v>0.215582034214898</v>
      </c>
      <c r="BR65" s="30" t="n">
        <f aca="false">BQ65*(1-IF((2080-2022)/I65&gt;=1,J65,H65+(J65-H65)*(3*((2080-2022)/I65)^2-2*((2080-2022)/I65)^3)))</f>
        <v>0.214547240450666</v>
      </c>
      <c r="BS65" s="30" t="n">
        <f aca="false">BR65*(1-IF((2081-2022)/I65&gt;=1,J65,H65+(J65-H65)*(3*((2081-2022)/I65)^2-2*((2081-2022)/I65)^3)))</f>
        <v>0.213517413696503</v>
      </c>
      <c r="BT65" s="30" t="n">
        <f aca="false">BS65*(1-IF((2082-2022)/I65&gt;=1,J65,H65+(J65-H65)*(3*((2082-2022)/I65)^2-2*((2082-2022)/I65)^3)))</f>
        <v>0.21249253011076</v>
      </c>
      <c r="BU65" s="30" t="n">
        <f aca="false">BT65*(1-IF((2083-2022)/I65&gt;=1,J65,H65+(J65-H65)*(3*((2083-2022)/I65)^2-2*((2083-2022)/I65)^3)))</f>
        <v>0.211472565966228</v>
      </c>
      <c r="BV65" s="30" t="n">
        <f aca="false">BU65*(1-IF((2084-2022)/I65&gt;=1,J65,H65+(J65-H65)*(3*((2084-2022)/I65)^2-2*((2084-2022)/I65)^3)))</f>
        <v>0.21045749764959</v>
      </c>
      <c r="BW65" s="30" t="n">
        <f aca="false">BV65*(1-IF((2085-2022)/I65&gt;=1,J65,H65+(J65-H65)*(3*((2085-2022)/I65)^2-2*((2085-2022)/I65)^3)))</f>
        <v>0.209447301660872</v>
      </c>
      <c r="BX65" s="30" t="n">
        <f aca="false">BW65*(1-IF((2086-2022)/I65&gt;=1,J65,H65+(J65-H65)*(3*((2086-2022)/I65)^2-2*((2086-2022)/I65)^3)))</f>
        <v>0.2084419546129</v>
      </c>
      <c r="BY65" s="30" t="n">
        <f aca="false">BX65*(1-IF((2087-2022)/I65&gt;=1,J65,H65+(J65-H65)*(3*((2087-2022)/I65)^2-2*((2087-2022)/I65)^3)))</f>
        <v>0.207441433230758</v>
      </c>
      <c r="BZ65" s="30" t="n">
        <f aca="false">BY65*(1-IF((2088-2022)/I65&gt;=1,J65,H65+(J65-H65)*(3*((2088-2022)/I65)^2-2*((2088-2022)/I65)^3)))</f>
        <v>0.20644571435125</v>
      </c>
      <c r="CA65" s="30" t="n">
        <f aca="false">BZ65*(1-IF((2089-2022)/I65&gt;=1,J65,H65+(J65-H65)*(3*((2089-2022)/I65)^2-2*((2089-2022)/I65)^3)))</f>
        <v>0.205454774922364</v>
      </c>
      <c r="CB65" s="30" t="n">
        <f aca="false">CA65*(1-IF((2090-2022)/I65&gt;=1,J65,H65+(J65-H65)*(3*((2090-2022)/I65)^2-2*((2090-2022)/I65)^3)))</f>
        <v>0.204468592002737</v>
      </c>
      <c r="CC65" s="30" t="n">
        <f aca="false">CB65*(1-IF((2091-2022)/I65&gt;=1,J65,H65+(J65-H65)*(3*((2091-2022)/I65)^2-2*((2091-2022)/I65)^3)))</f>
        <v>0.203487142761124</v>
      </c>
    </row>
    <row r="66" customFormat="false" ht="15" hidden="false" customHeight="true" outlineLevel="0" collapsed="false">
      <c r="A66" s="3" t="n">
        <v>103</v>
      </c>
      <c r="B66" s="30" t="n">
        <f aca="false">IF($A66&lt;=105,INDEX(ILT17_Source!$D$7:$D$52,MATCH($A66,ILT17_Source!$A$7:$A$52,0)),($B$16*EXP($B$17*$A66))/(1+$B$16*EXP($B$17*$A66)))</f>
        <v>0.334847455</v>
      </c>
      <c r="C66" s="31" t="n">
        <f aca="false">LOOKUP($A66,{60,65,70,75,80,85,90,95},{0.78,0.82,0.85,0.88,0.91,0.94,0.97,1})</f>
        <v>1</v>
      </c>
      <c r="D66" s="30" t="n">
        <f aca="false">B66*C66</f>
        <v>0.334847455</v>
      </c>
      <c r="E66" s="30" t="n">
        <f aca="false">1/(1+EXP(-(($B$6+$B$8*(2016-2022))+($B$7+$B$9*(2016-2022))*($A66-$B$10))))</f>
        <v>0.423777681240637</v>
      </c>
      <c r="F66" s="30" t="n">
        <f aca="false">1/(1+EXP(-(($B$6+$B$8*(2021-2022))+($B$7+$B$9*(2021-2022))*($A66-$B$10))))</f>
        <v>0.416194455483294</v>
      </c>
      <c r="G66" s="30" t="n">
        <f aca="false">1/(1+EXP(-(($B$6+$B$8*(2022-2022))+($B$7+$B$9*(2022-2022))*($A66-$B$10))))</f>
        <v>0.4146824385084</v>
      </c>
      <c r="H66" s="32" t="n">
        <f aca="false">(F66-G66)/F66</f>
        <v>0.00363295799589107</v>
      </c>
      <c r="I66" s="38" t="n">
        <f aca="false">IF($A66&lt;=50,$B$14,IF($A66&gt;=95,$B$15,$B$14+($B$15-$B$14)*($A66-50)/(95-50)))</f>
        <v>5</v>
      </c>
      <c r="J66" s="39" t="n">
        <f aca="false">IF($A66&lt;=$B$12,$B$11,IF($A66&gt;=$B$13,0,$B$11*($B$13-$A66)/($B$13-$B$12)))</f>
        <v>0.0042</v>
      </c>
      <c r="K66" s="30" t="n">
        <f aca="false">D66*G66/E66</f>
        <v>0.327660859253427</v>
      </c>
      <c r="L66" s="30" t="n">
        <f aca="false">K66*$B$19</f>
        <v>0.294894773328084</v>
      </c>
      <c r="M66" s="30" t="n">
        <f aca="false">L66*(1-IF((2023-2022)/I66&gt;=1,J66,H66+(J66-H66)*(3*((2023-2022)/I66)^2-2*((2023-2022)/I66)^3)))</f>
        <v>0.293806042360155</v>
      </c>
      <c r="N66" s="30" t="n">
        <f aca="false">M66*(1-IF((2024-2022)/I66&gt;=1,J66,H66+(J66-H66)*(3*((2024-2022)/I66)^2-2*((2024-2022)/I66)^3)))</f>
        <v>0.29268001402011</v>
      </c>
      <c r="O66" s="30" t="n">
        <f aca="false">N66*(1-IF((2025-2022)/I66&gt;=1,J66,H66+(J66-H66)*(3*((2025-2022)/I66)^2-2*((2025-2022)/I66)^3)))</f>
        <v>0.291509176536548</v>
      </c>
      <c r="P66" s="30" t="n">
        <f aca="false">O66*(1-IF((2026-2022)/I66&gt;=1,J66,H66+(J66-H66)*(3*((2026-2022)/I66)^2-2*((2026-2022)/I66)^3)))</f>
        <v>0.290302028981654</v>
      </c>
      <c r="Q66" s="30" t="n">
        <f aca="false">P66*(1-IF((2027-2022)/I66&gt;=1,J66,H66+(J66-H66)*(3*((2027-2022)/I66)^2-2*((2027-2022)/I66)^3)))</f>
        <v>0.289082760459931</v>
      </c>
      <c r="R66" s="30" t="n">
        <f aca="false">Q66*(1-IF((2028-2022)/I66&gt;=1,J66,H66+(J66-H66)*(3*((2028-2022)/I66)^2-2*((2028-2022)/I66)^3)))</f>
        <v>0.287868612865999</v>
      </c>
      <c r="S66" s="30" t="n">
        <f aca="false">R66*(1-IF((2029-2022)/I66&gt;=1,J66,H66+(J66-H66)*(3*((2029-2022)/I66)^2-2*((2029-2022)/I66)^3)))</f>
        <v>0.286659564691962</v>
      </c>
      <c r="T66" s="30" t="n">
        <f aca="false">S66*(1-IF((2030-2022)/I66&gt;=1,J66,H66+(J66-H66)*(3*((2030-2022)/I66)^2-2*((2030-2022)/I66)^3)))</f>
        <v>0.285455594520256</v>
      </c>
      <c r="U66" s="30" t="n">
        <f aca="false">T66*(1-IF((2031-2022)/I66&gt;=1,J66,H66+(J66-H66)*(3*((2031-2022)/I66)^2-2*((2031-2022)/I66)^3)))</f>
        <v>0.28425668102327</v>
      </c>
      <c r="V66" s="30" t="n">
        <f aca="false">U66*(1-IF((2032-2022)/I66&gt;=1,J66,H66+(J66-H66)*(3*((2032-2022)/I66)^2-2*((2032-2022)/I66)^3)))</f>
        <v>0.283062802962973</v>
      </c>
      <c r="W66" s="30" t="n">
        <f aca="false">V66*(1-IF((2033-2022)/I66&gt;=1,J66,H66+(J66-H66)*(3*((2033-2022)/I66)^2-2*((2033-2022)/I66)^3)))</f>
        <v>0.281873939190528</v>
      </c>
      <c r="X66" s="30" t="n">
        <f aca="false">W66*(1-IF((2034-2022)/I66&gt;=1,J66,H66+(J66-H66)*(3*((2034-2022)/I66)^2-2*((2034-2022)/I66)^3)))</f>
        <v>0.280690068645928</v>
      </c>
      <c r="Y66" s="30" t="n">
        <f aca="false">X66*(1-IF((2035-2022)/I66&gt;=1,J66,H66+(J66-H66)*(3*((2035-2022)/I66)^2-2*((2035-2022)/I66)^3)))</f>
        <v>0.279511170357615</v>
      </c>
      <c r="Z66" s="30" t="n">
        <f aca="false">Y66*(1-IF((2036-2022)/I66&gt;=1,J66,H66+(J66-H66)*(3*((2036-2022)/I66)^2-2*((2036-2022)/I66)^3)))</f>
        <v>0.278337223442113</v>
      </c>
      <c r="AA66" s="30" t="n">
        <f aca="false">Z66*(1-IF((2037-2022)/I66&gt;=1,J66,H66+(J66-H66)*(3*((2037-2022)/I66)^2-2*((2037-2022)/I66)^3)))</f>
        <v>0.277168207103656</v>
      </c>
      <c r="AB66" s="30" t="n">
        <f aca="false">AA66*(1-IF((2038-2022)/I66&gt;=1,J66,H66+(J66-H66)*(3*((2038-2022)/I66)^2-2*((2038-2022)/I66)^3)))</f>
        <v>0.276004100633821</v>
      </c>
      <c r="AC66" s="30" t="n">
        <f aca="false">AB66*(1-IF((2039-2022)/I66&gt;=1,J66,H66+(J66-H66)*(3*((2039-2022)/I66)^2-2*((2039-2022)/I66)^3)))</f>
        <v>0.274844883411159</v>
      </c>
      <c r="AD66" s="30" t="n">
        <f aca="false">AC66*(1-IF((2040-2022)/I66&gt;=1,J66,H66+(J66-H66)*(3*((2040-2022)/I66)^2-2*((2040-2022)/I66)^3)))</f>
        <v>0.273690534900832</v>
      </c>
      <c r="AE66" s="30" t="n">
        <f aca="false">AD66*(1-IF((2041-2022)/I66&gt;=1,J66,H66+(J66-H66)*(3*((2041-2022)/I66)^2-2*((2041-2022)/I66)^3)))</f>
        <v>0.272541034654248</v>
      </c>
      <c r="AF66" s="30" t="n">
        <f aca="false">AE66*(1-IF((2042-2022)/I66&gt;=1,J66,H66+(J66-H66)*(3*((2042-2022)/I66)^2-2*((2042-2022)/I66)^3)))</f>
        <v>0.271396362308701</v>
      </c>
      <c r="AG66" s="30" t="n">
        <f aca="false">AF66*(1-IF((2043-2022)/I66&gt;=1,J66,H66+(J66-H66)*(3*((2043-2022)/I66)^2-2*((2043-2022)/I66)^3)))</f>
        <v>0.270256497587004</v>
      </c>
      <c r="AH66" s="30" t="n">
        <f aca="false">AG66*(1-IF((2044-2022)/I66&gt;=1,J66,H66+(J66-H66)*(3*((2044-2022)/I66)^2-2*((2044-2022)/I66)^3)))</f>
        <v>0.269121420297139</v>
      </c>
      <c r="AI66" s="30" t="n">
        <f aca="false">AH66*(1-IF((2045-2022)/I66&gt;=1,J66,H66+(J66-H66)*(3*((2045-2022)/I66)^2-2*((2045-2022)/I66)^3)))</f>
        <v>0.267991110331891</v>
      </c>
      <c r="AJ66" s="30" t="n">
        <f aca="false">AI66*(1-IF((2046-2022)/I66&gt;=1,J66,H66+(J66-H66)*(3*((2046-2022)/I66)^2-2*((2046-2022)/I66)^3)))</f>
        <v>0.266865547668497</v>
      </c>
      <c r="AK66" s="30" t="n">
        <f aca="false">AJ66*(1-IF((2047-2022)/I66&gt;=1,J66,H66+(J66-H66)*(3*((2047-2022)/I66)^2-2*((2047-2022)/I66)^3)))</f>
        <v>0.265744712368289</v>
      </c>
      <c r="AL66" s="30" t="n">
        <f aca="false">AK66*(1-IF((2048-2022)/I66&gt;=1,J66,H66+(J66-H66)*(3*((2048-2022)/I66)^2-2*((2048-2022)/I66)^3)))</f>
        <v>0.264628584576342</v>
      </c>
      <c r="AM66" s="30" t="n">
        <f aca="false">AL66*(1-IF((2049-2022)/I66&gt;=1,J66,H66+(J66-H66)*(3*((2049-2022)/I66)^2-2*((2049-2022)/I66)^3)))</f>
        <v>0.263517144521122</v>
      </c>
      <c r="AN66" s="30" t="n">
        <f aca="false">AM66*(1-IF((2050-2022)/I66&gt;=1,J66,H66+(J66-H66)*(3*((2050-2022)/I66)^2-2*((2050-2022)/I66)^3)))</f>
        <v>0.262410372514133</v>
      </c>
      <c r="AO66" s="30" t="n">
        <f aca="false">AN66*(1-IF((2051-2022)/I66&gt;=1,J66,H66+(J66-H66)*(3*((2051-2022)/I66)^2-2*((2051-2022)/I66)^3)))</f>
        <v>0.261308248949574</v>
      </c>
      <c r="AP66" s="30" t="n">
        <f aca="false">AO66*(1-IF((2052-2022)/I66&gt;=1,J66,H66+(J66-H66)*(3*((2052-2022)/I66)^2-2*((2052-2022)/I66)^3)))</f>
        <v>0.260210754303985</v>
      </c>
      <c r="AQ66" s="30" t="n">
        <f aca="false">AP66*(1-IF((2053-2022)/I66&gt;=1,J66,H66+(J66-H66)*(3*((2053-2022)/I66)^2-2*((2053-2022)/I66)^3)))</f>
        <v>0.259117869135909</v>
      </c>
      <c r="AR66" s="30" t="n">
        <f aca="false">AQ66*(1-IF((2054-2022)/I66&gt;=1,J66,H66+(J66-H66)*(3*((2054-2022)/I66)^2-2*((2054-2022)/I66)^3)))</f>
        <v>0.258029574085538</v>
      </c>
      <c r="AS66" s="30" t="n">
        <f aca="false">AR66*(1-IF((2055-2022)/I66&gt;=1,J66,H66+(J66-H66)*(3*((2055-2022)/I66)^2-2*((2055-2022)/I66)^3)))</f>
        <v>0.256945849874379</v>
      </c>
      <c r="AT66" s="30" t="n">
        <f aca="false">AS66*(1-IF((2056-2022)/I66&gt;=1,J66,H66+(J66-H66)*(3*((2056-2022)/I66)^2-2*((2056-2022)/I66)^3)))</f>
        <v>0.255866677304906</v>
      </c>
      <c r="AU66" s="30" t="n">
        <f aca="false">AT66*(1-IF((2057-2022)/I66&gt;=1,J66,H66+(J66-H66)*(3*((2057-2022)/I66)^2-2*((2057-2022)/I66)^3)))</f>
        <v>0.254792037260226</v>
      </c>
      <c r="AV66" s="30" t="n">
        <f aca="false">AU66*(1-IF((2058-2022)/I66&gt;=1,J66,H66+(J66-H66)*(3*((2058-2022)/I66)^2-2*((2058-2022)/I66)^3)))</f>
        <v>0.253721910703733</v>
      </c>
      <c r="AW66" s="30" t="n">
        <f aca="false">AV66*(1-IF((2059-2022)/I66&gt;=1,J66,H66+(J66-H66)*(3*((2059-2022)/I66)^2-2*((2059-2022)/I66)^3)))</f>
        <v>0.252656278678777</v>
      </c>
      <c r="AX66" s="30" t="n">
        <f aca="false">AW66*(1-IF((2060-2022)/I66&gt;=1,J66,H66+(J66-H66)*(3*((2060-2022)/I66)^2-2*((2060-2022)/I66)^3)))</f>
        <v>0.251595122308326</v>
      </c>
      <c r="AY66" s="30" t="n">
        <f aca="false">AX66*(1-IF((2061-2022)/I66&gt;=1,J66,H66+(J66-H66)*(3*((2061-2022)/I66)^2-2*((2061-2022)/I66)^3)))</f>
        <v>0.250538422794631</v>
      </c>
      <c r="AZ66" s="30" t="n">
        <f aca="false">AY66*(1-IF((2062-2022)/I66&gt;=1,J66,H66+(J66-H66)*(3*((2062-2022)/I66)^2-2*((2062-2022)/I66)^3)))</f>
        <v>0.249486161418894</v>
      </c>
      <c r="BA66" s="30" t="n">
        <f aca="false">AZ66*(1-IF((2063-2022)/I66&gt;=1,J66,H66+(J66-H66)*(3*((2063-2022)/I66)^2-2*((2063-2022)/I66)^3)))</f>
        <v>0.248438319540934</v>
      </c>
      <c r="BB66" s="30" t="n">
        <f aca="false">BA66*(1-IF((2064-2022)/I66&gt;=1,J66,H66+(J66-H66)*(3*((2064-2022)/I66)^2-2*((2064-2022)/I66)^3)))</f>
        <v>0.247394878598862</v>
      </c>
      <c r="BC66" s="30" t="n">
        <f aca="false">BB66*(1-IF((2065-2022)/I66&gt;=1,J66,H66+(J66-H66)*(3*((2065-2022)/I66)^2-2*((2065-2022)/I66)^3)))</f>
        <v>0.246355820108747</v>
      </c>
      <c r="BD66" s="30" t="n">
        <f aca="false">BC66*(1-IF((2066-2022)/I66&gt;=1,J66,H66+(J66-H66)*(3*((2066-2022)/I66)^2-2*((2066-2022)/I66)^3)))</f>
        <v>0.24532112566429</v>
      </c>
      <c r="BE66" s="30" t="n">
        <f aca="false">BD66*(1-IF((2067-2022)/I66&gt;=1,J66,H66+(J66-H66)*(3*((2067-2022)/I66)^2-2*((2067-2022)/I66)^3)))</f>
        <v>0.2442907769365</v>
      </c>
      <c r="BF66" s="30" t="n">
        <f aca="false">BE66*(1-IF((2068-2022)/I66&gt;=1,J66,H66+(J66-H66)*(3*((2068-2022)/I66)^2-2*((2068-2022)/I66)^3)))</f>
        <v>0.243264755673367</v>
      </c>
      <c r="BG66" s="30" t="n">
        <f aca="false">BF66*(1-IF((2069-2022)/I66&gt;=1,J66,H66+(J66-H66)*(3*((2069-2022)/I66)^2-2*((2069-2022)/I66)^3)))</f>
        <v>0.242243043699539</v>
      </c>
      <c r="BH66" s="30" t="n">
        <f aca="false">BG66*(1-IF((2070-2022)/I66&gt;=1,J66,H66+(J66-H66)*(3*((2070-2022)/I66)^2-2*((2070-2022)/I66)^3)))</f>
        <v>0.241225622916001</v>
      </c>
      <c r="BI66" s="30" t="n">
        <f aca="false">BH66*(1-IF((2071-2022)/I66&gt;=1,J66,H66+(J66-H66)*(3*((2071-2022)/I66)^2-2*((2071-2022)/I66)^3)))</f>
        <v>0.240212475299754</v>
      </c>
      <c r="BJ66" s="30" t="n">
        <f aca="false">BI66*(1-IF((2072-2022)/I66&gt;=1,J66,H66+(J66-H66)*(3*((2072-2022)/I66)^2-2*((2072-2022)/I66)^3)))</f>
        <v>0.239203582903495</v>
      </c>
      <c r="BK66" s="30" t="n">
        <f aca="false">BJ66*(1-IF((2073-2022)/I66&gt;=1,J66,H66+(J66-H66)*(3*((2073-2022)/I66)^2-2*((2073-2022)/I66)^3)))</f>
        <v>0.2381989278553</v>
      </c>
      <c r="BL66" s="30" t="n">
        <f aca="false">BK66*(1-IF((2074-2022)/I66&gt;=1,J66,H66+(J66-H66)*(3*((2074-2022)/I66)^2-2*((2074-2022)/I66)^3)))</f>
        <v>0.237198492358308</v>
      </c>
      <c r="BM66" s="30" t="n">
        <f aca="false">BL66*(1-IF((2075-2022)/I66&gt;=1,J66,H66+(J66-H66)*(3*((2075-2022)/I66)^2-2*((2075-2022)/I66)^3)))</f>
        <v>0.236202258690403</v>
      </c>
      <c r="BN66" s="30" t="n">
        <f aca="false">BM66*(1-IF((2076-2022)/I66&gt;=1,J66,H66+(J66-H66)*(3*((2076-2022)/I66)^2-2*((2076-2022)/I66)^3)))</f>
        <v>0.235210209203903</v>
      </c>
      <c r="BO66" s="30" t="n">
        <f aca="false">BN66*(1-IF((2077-2022)/I66&gt;=1,J66,H66+(J66-H66)*(3*((2077-2022)/I66)^2-2*((2077-2022)/I66)^3)))</f>
        <v>0.234222326325247</v>
      </c>
      <c r="BP66" s="30" t="n">
        <f aca="false">BO66*(1-IF((2078-2022)/I66&gt;=1,J66,H66+(J66-H66)*(3*((2078-2022)/I66)^2-2*((2078-2022)/I66)^3)))</f>
        <v>0.233238592554681</v>
      </c>
      <c r="BQ66" s="30" t="n">
        <f aca="false">BP66*(1-IF((2079-2022)/I66&gt;=1,J66,H66+(J66-H66)*(3*((2079-2022)/I66)^2-2*((2079-2022)/I66)^3)))</f>
        <v>0.232258990465951</v>
      </c>
      <c r="BR66" s="30" t="n">
        <f aca="false">BQ66*(1-IF((2080-2022)/I66&gt;=1,J66,H66+(J66-H66)*(3*((2080-2022)/I66)^2-2*((2080-2022)/I66)^3)))</f>
        <v>0.231283502705994</v>
      </c>
      <c r="BS66" s="30" t="n">
        <f aca="false">BR66*(1-IF((2081-2022)/I66&gt;=1,J66,H66+(J66-H66)*(3*((2081-2022)/I66)^2-2*((2081-2022)/I66)^3)))</f>
        <v>0.230312111994629</v>
      </c>
      <c r="BT66" s="30" t="n">
        <f aca="false">BS66*(1-IF((2082-2022)/I66&gt;=1,J66,H66+(J66-H66)*(3*((2082-2022)/I66)^2-2*((2082-2022)/I66)^3)))</f>
        <v>0.229344801124252</v>
      </c>
      <c r="BU66" s="30" t="n">
        <f aca="false">BT66*(1-IF((2083-2022)/I66&gt;=1,J66,H66+(J66-H66)*(3*((2083-2022)/I66)^2-2*((2083-2022)/I66)^3)))</f>
        <v>0.22838155295953</v>
      </c>
      <c r="BV66" s="30" t="n">
        <f aca="false">BU66*(1-IF((2084-2022)/I66&gt;=1,J66,H66+(J66-H66)*(3*((2084-2022)/I66)^2-2*((2084-2022)/I66)^3)))</f>
        <v>0.2274223504371</v>
      </c>
      <c r="BW66" s="30" t="n">
        <f aca="false">BV66*(1-IF((2085-2022)/I66&gt;=1,J66,H66+(J66-H66)*(3*((2085-2022)/I66)^2-2*((2085-2022)/I66)^3)))</f>
        <v>0.226467176565264</v>
      </c>
      <c r="BX66" s="30" t="n">
        <f aca="false">BW66*(1-IF((2086-2022)/I66&gt;=1,J66,H66+(J66-H66)*(3*((2086-2022)/I66)^2-2*((2086-2022)/I66)^3)))</f>
        <v>0.22551601442369</v>
      </c>
      <c r="BY66" s="30" t="n">
        <f aca="false">BX66*(1-IF((2087-2022)/I66&gt;=1,J66,H66+(J66-H66)*(3*((2087-2022)/I66)^2-2*((2087-2022)/I66)^3)))</f>
        <v>0.22456884716311</v>
      </c>
      <c r="BZ66" s="30" t="n">
        <f aca="false">BY66*(1-IF((2088-2022)/I66&gt;=1,J66,H66+(J66-H66)*(3*((2088-2022)/I66)^2-2*((2088-2022)/I66)^3)))</f>
        <v>0.223625658005025</v>
      </c>
      <c r="CA66" s="30" t="n">
        <f aca="false">BZ66*(1-IF((2089-2022)/I66&gt;=1,J66,H66+(J66-H66)*(3*((2089-2022)/I66)^2-2*((2089-2022)/I66)^3)))</f>
        <v>0.222686430241404</v>
      </c>
      <c r="CB66" s="30" t="n">
        <f aca="false">CA66*(1-IF((2090-2022)/I66&gt;=1,J66,H66+(J66-H66)*(3*((2090-2022)/I66)^2-2*((2090-2022)/I66)^3)))</f>
        <v>0.22175114723439</v>
      </c>
      <c r="CC66" s="30" t="n">
        <f aca="false">CB66*(1-IF((2091-2022)/I66&gt;=1,J66,H66+(J66-H66)*(3*((2091-2022)/I66)^2-2*((2091-2022)/I66)^3)))</f>
        <v>0.220819792416006</v>
      </c>
    </row>
    <row r="67" customFormat="false" ht="15" hidden="false" customHeight="true" outlineLevel="0" collapsed="false">
      <c r="A67" s="3" t="n">
        <v>104</v>
      </c>
      <c r="B67" s="30" t="n">
        <f aca="false">IF($A67&lt;=105,INDEX(ILT17_Source!$D$7:$D$52,MATCH($A67,ILT17_Source!$A$7:$A$52,0)),($B$16*EXP($B$17*$A67))/(1+$B$16*EXP($B$17*$A67)))</f>
        <v>0.3142101</v>
      </c>
      <c r="C67" s="31" t="n">
        <f aca="false">LOOKUP($A67,{60,65,70,75,80,85,90,95},{0.78,0.82,0.85,0.88,0.91,0.94,0.97,1})</f>
        <v>1</v>
      </c>
      <c r="D67" s="30" t="n">
        <f aca="false">B67*C67</f>
        <v>0.3142101</v>
      </c>
      <c r="E67" s="30" t="n">
        <f aca="false">1/(1+EXP(-(($B$6+$B$8*(2016-2022))+($B$7+$B$9*(2016-2022))*($A67-$B$10))))</f>
        <v>0.451009115463582</v>
      </c>
      <c r="F67" s="30" t="n">
        <f aca="false">1/(1+EXP(-(($B$6+$B$8*(2021-2022))+($B$7+$B$9*(2021-2022))*($A67-$B$10))))</f>
        <v>0.443988020561497</v>
      </c>
      <c r="G67" s="30" t="n">
        <f aca="false">1/(1+EXP(-(($B$6+$B$8*(2022-2022))+($B$7+$B$9*(2022-2022))*($A67-$B$10))))</f>
        <v>0.442586390463484</v>
      </c>
      <c r="H67" s="32" t="n">
        <f aca="false">(F67-G67)/F67</f>
        <v>0.00315690972076276</v>
      </c>
      <c r="I67" s="38" t="n">
        <f aca="false">IF($A67&lt;=50,$B$14,IF($A67&gt;=95,$B$15,$B$14+($B$15-$B$14)*($A67-50)/(95-50)))</f>
        <v>5</v>
      </c>
      <c r="J67" s="39" t="n">
        <f aca="false">IF($A67&lt;=$B$12,$B$11,IF($A67&gt;=$B$13,0,$B$11*($B$13-$A67)/($B$13-$B$12)))</f>
        <v>0.0036</v>
      </c>
      <c r="K67" s="30" t="n">
        <f aca="false">D67*G67/E67</f>
        <v>0.308342135974854</v>
      </c>
      <c r="L67" s="30" t="n">
        <f aca="false">K67*$B$19</f>
        <v>0.277507922377369</v>
      </c>
      <c r="M67" s="30" t="n">
        <f aca="false">L67*(1-IF((2023-2022)/I67&gt;=1,J67,H67+(J67-H67)*(3*((2023-2022)/I67)^2-2*((2023-2022)/I67)^3)))</f>
        <v>0.276619066969094</v>
      </c>
      <c r="N67" s="30" t="n">
        <f aca="false">M67*(1-IF((2024-2022)/I67&gt;=1,J67,H67+(J67-H67)*(3*((2024-2022)/I67)^2-2*((2024-2022)/I67)^3)))</f>
        <v>0.275702661886323</v>
      </c>
      <c r="O67" s="30" t="n">
        <f aca="false">N67*(1-IF((2025-2022)/I67&gt;=1,J67,H67+(J67-H67)*(3*((2025-2022)/I67)^2-2*((2025-2022)/I67)^3)))</f>
        <v>0.274753133035176</v>
      </c>
      <c r="P67" s="30" t="n">
        <f aca="false">O67*(1-IF((2026-2022)/I67&gt;=1,J67,H67+(J67-H67)*(3*((2026-2022)/I67)^2-2*((2026-2022)/I67)^3)))</f>
        <v>0.273776682762262</v>
      </c>
      <c r="Q67" s="30" t="n">
        <f aca="false">P67*(1-IF((2027-2022)/I67&gt;=1,J67,H67+(J67-H67)*(3*((2027-2022)/I67)^2-2*((2027-2022)/I67)^3)))</f>
        <v>0.272791086704318</v>
      </c>
      <c r="R67" s="30" t="n">
        <f aca="false">Q67*(1-IF((2028-2022)/I67&gt;=1,J67,H67+(J67-H67)*(3*((2028-2022)/I67)^2-2*((2028-2022)/I67)^3)))</f>
        <v>0.271809038792183</v>
      </c>
      <c r="S67" s="30" t="n">
        <f aca="false">R67*(1-IF((2029-2022)/I67&gt;=1,J67,H67+(J67-H67)*(3*((2029-2022)/I67)^2-2*((2029-2022)/I67)^3)))</f>
        <v>0.270830526252531</v>
      </c>
      <c r="T67" s="30" t="n">
        <f aca="false">S67*(1-IF((2030-2022)/I67&gt;=1,J67,H67+(J67-H67)*(3*((2030-2022)/I67)^2-2*((2030-2022)/I67)^3)))</f>
        <v>0.269855536358022</v>
      </c>
      <c r="U67" s="30" t="n">
        <f aca="false">T67*(1-IF((2031-2022)/I67&gt;=1,J67,H67+(J67-H67)*(3*((2031-2022)/I67)^2-2*((2031-2022)/I67)^3)))</f>
        <v>0.268884056427133</v>
      </c>
      <c r="V67" s="30" t="n">
        <f aca="false">U67*(1-IF((2032-2022)/I67&gt;=1,J67,H67+(J67-H67)*(3*((2032-2022)/I67)^2-2*((2032-2022)/I67)^3)))</f>
        <v>0.267916073823995</v>
      </c>
      <c r="W67" s="30" t="n">
        <f aca="false">V67*(1-IF((2033-2022)/I67&gt;=1,J67,H67+(J67-H67)*(3*((2033-2022)/I67)^2-2*((2033-2022)/I67)^3)))</f>
        <v>0.266951575958229</v>
      </c>
      <c r="X67" s="30" t="n">
        <f aca="false">W67*(1-IF((2034-2022)/I67&gt;=1,J67,H67+(J67-H67)*(3*((2034-2022)/I67)^2-2*((2034-2022)/I67)^3)))</f>
        <v>0.265990550284779</v>
      </c>
      <c r="Y67" s="30" t="n">
        <f aca="false">X67*(1-IF((2035-2022)/I67&gt;=1,J67,H67+(J67-H67)*(3*((2035-2022)/I67)^2-2*((2035-2022)/I67)^3)))</f>
        <v>0.265032984303754</v>
      </c>
      <c r="Z67" s="30" t="n">
        <f aca="false">Y67*(1-IF((2036-2022)/I67&gt;=1,J67,H67+(J67-H67)*(3*((2036-2022)/I67)^2-2*((2036-2022)/I67)^3)))</f>
        <v>0.26407886556026</v>
      </c>
      <c r="AA67" s="30" t="n">
        <f aca="false">Z67*(1-IF((2037-2022)/I67&gt;=1,J67,H67+(J67-H67)*(3*((2037-2022)/I67)^2-2*((2037-2022)/I67)^3)))</f>
        <v>0.263128181644243</v>
      </c>
      <c r="AB67" s="30" t="n">
        <f aca="false">AA67*(1-IF((2038-2022)/I67&gt;=1,J67,H67+(J67-H67)*(3*((2038-2022)/I67)^2-2*((2038-2022)/I67)^3)))</f>
        <v>0.262180920190324</v>
      </c>
      <c r="AC67" s="30" t="n">
        <f aca="false">AB67*(1-IF((2039-2022)/I67&gt;=1,J67,H67+(J67-H67)*(3*((2039-2022)/I67)^2-2*((2039-2022)/I67)^3)))</f>
        <v>0.261237068877639</v>
      </c>
      <c r="AD67" s="30" t="n">
        <f aca="false">AC67*(1-IF((2040-2022)/I67&gt;=1,J67,H67+(J67-H67)*(3*((2040-2022)/I67)^2-2*((2040-2022)/I67)^3)))</f>
        <v>0.260296615429679</v>
      </c>
      <c r="AE67" s="30" t="n">
        <f aca="false">AD67*(1-IF((2041-2022)/I67&gt;=1,J67,H67+(J67-H67)*(3*((2041-2022)/I67)^2-2*((2041-2022)/I67)^3)))</f>
        <v>0.259359547614133</v>
      </c>
      <c r="AF67" s="30" t="n">
        <f aca="false">AE67*(1-IF((2042-2022)/I67&gt;=1,J67,H67+(J67-H67)*(3*((2042-2022)/I67)^2-2*((2042-2022)/I67)^3)))</f>
        <v>0.258425853242722</v>
      </c>
      <c r="AG67" s="30" t="n">
        <f aca="false">AF67*(1-IF((2043-2022)/I67&gt;=1,J67,H67+(J67-H67)*(3*((2043-2022)/I67)^2-2*((2043-2022)/I67)^3)))</f>
        <v>0.257495520171048</v>
      </c>
      <c r="AH67" s="30" t="n">
        <f aca="false">AG67*(1-IF((2044-2022)/I67&gt;=1,J67,H67+(J67-H67)*(3*((2044-2022)/I67)^2-2*((2044-2022)/I67)^3)))</f>
        <v>0.256568536298432</v>
      </c>
      <c r="AI67" s="30" t="n">
        <f aca="false">AH67*(1-IF((2045-2022)/I67&gt;=1,J67,H67+(J67-H67)*(3*((2045-2022)/I67)^2-2*((2045-2022)/I67)^3)))</f>
        <v>0.255644889567758</v>
      </c>
      <c r="AJ67" s="30" t="n">
        <f aca="false">AI67*(1-IF((2046-2022)/I67&gt;=1,J67,H67+(J67-H67)*(3*((2046-2022)/I67)^2-2*((2046-2022)/I67)^3)))</f>
        <v>0.254724567965314</v>
      </c>
      <c r="AK67" s="30" t="n">
        <f aca="false">AJ67*(1-IF((2047-2022)/I67&gt;=1,J67,H67+(J67-H67)*(3*((2047-2022)/I67)^2-2*((2047-2022)/I67)^3)))</f>
        <v>0.253807559520639</v>
      </c>
      <c r="AL67" s="30" t="n">
        <f aca="false">AK67*(1-IF((2048-2022)/I67&gt;=1,J67,H67+(J67-H67)*(3*((2048-2022)/I67)^2-2*((2048-2022)/I67)^3)))</f>
        <v>0.252893852306364</v>
      </c>
      <c r="AM67" s="30" t="n">
        <f aca="false">AL67*(1-IF((2049-2022)/I67&gt;=1,J67,H67+(J67-H67)*(3*((2049-2022)/I67)^2-2*((2049-2022)/I67)^3)))</f>
        <v>0.251983434438061</v>
      </c>
      <c r="AN67" s="30" t="n">
        <f aca="false">AM67*(1-IF((2050-2022)/I67&gt;=1,J67,H67+(J67-H67)*(3*((2050-2022)/I67)^2-2*((2050-2022)/I67)^3)))</f>
        <v>0.251076294074084</v>
      </c>
      <c r="AO67" s="30" t="n">
        <f aca="false">AN67*(1-IF((2051-2022)/I67&gt;=1,J67,H67+(J67-H67)*(3*((2051-2022)/I67)^2-2*((2051-2022)/I67)^3)))</f>
        <v>0.250172419415418</v>
      </c>
      <c r="AP67" s="30" t="n">
        <f aca="false">AO67*(1-IF((2052-2022)/I67&gt;=1,J67,H67+(J67-H67)*(3*((2052-2022)/I67)^2-2*((2052-2022)/I67)^3)))</f>
        <v>0.249271798705522</v>
      </c>
      <c r="AQ67" s="30" t="n">
        <f aca="false">AP67*(1-IF((2053-2022)/I67&gt;=1,J67,H67+(J67-H67)*(3*((2053-2022)/I67)^2-2*((2053-2022)/I67)^3)))</f>
        <v>0.248374420230182</v>
      </c>
      <c r="AR67" s="30" t="n">
        <f aca="false">AQ67*(1-IF((2054-2022)/I67&gt;=1,J67,H67+(J67-H67)*(3*((2054-2022)/I67)^2-2*((2054-2022)/I67)^3)))</f>
        <v>0.247480272317354</v>
      </c>
      <c r="AS67" s="30" t="n">
        <f aca="false">AR67*(1-IF((2055-2022)/I67&gt;=1,J67,H67+(J67-H67)*(3*((2055-2022)/I67)^2-2*((2055-2022)/I67)^3)))</f>
        <v>0.246589343337011</v>
      </c>
      <c r="AT67" s="30" t="n">
        <f aca="false">AS67*(1-IF((2056-2022)/I67&gt;=1,J67,H67+(J67-H67)*(3*((2056-2022)/I67)^2-2*((2056-2022)/I67)^3)))</f>
        <v>0.245701621700998</v>
      </c>
      <c r="AU67" s="30" t="n">
        <f aca="false">AT67*(1-IF((2057-2022)/I67&gt;=1,J67,H67+(J67-H67)*(3*((2057-2022)/I67)^2-2*((2057-2022)/I67)^3)))</f>
        <v>0.244817095862874</v>
      </c>
      <c r="AV67" s="30" t="n">
        <f aca="false">AU67*(1-IF((2058-2022)/I67&gt;=1,J67,H67+(J67-H67)*(3*((2058-2022)/I67)^2-2*((2058-2022)/I67)^3)))</f>
        <v>0.243935754317768</v>
      </c>
      <c r="AW67" s="30" t="n">
        <f aca="false">AV67*(1-IF((2059-2022)/I67&gt;=1,J67,H67+(J67-H67)*(3*((2059-2022)/I67)^2-2*((2059-2022)/I67)^3)))</f>
        <v>0.243057585602224</v>
      </c>
      <c r="AX67" s="30" t="n">
        <f aca="false">AW67*(1-IF((2060-2022)/I67&gt;=1,J67,H67+(J67-H67)*(3*((2060-2022)/I67)^2-2*((2060-2022)/I67)^3)))</f>
        <v>0.242182578294056</v>
      </c>
      <c r="AY67" s="30" t="n">
        <f aca="false">AX67*(1-IF((2061-2022)/I67&gt;=1,J67,H67+(J67-H67)*(3*((2061-2022)/I67)^2-2*((2061-2022)/I67)^3)))</f>
        <v>0.241310721012197</v>
      </c>
      <c r="AZ67" s="30" t="n">
        <f aca="false">AY67*(1-IF((2062-2022)/I67&gt;=1,J67,H67+(J67-H67)*(3*((2062-2022)/I67)^2-2*((2062-2022)/I67)^3)))</f>
        <v>0.240442002416553</v>
      </c>
      <c r="BA67" s="30" t="n">
        <f aca="false">AZ67*(1-IF((2063-2022)/I67&gt;=1,J67,H67+(J67-H67)*(3*((2063-2022)/I67)^2-2*((2063-2022)/I67)^3)))</f>
        <v>0.239576411207854</v>
      </c>
      <c r="BB67" s="30" t="n">
        <f aca="false">BA67*(1-IF((2064-2022)/I67&gt;=1,J67,H67+(J67-H67)*(3*((2064-2022)/I67)^2-2*((2064-2022)/I67)^3)))</f>
        <v>0.238713936127506</v>
      </c>
      <c r="BC67" s="30" t="n">
        <f aca="false">BB67*(1-IF((2065-2022)/I67&gt;=1,J67,H67+(J67-H67)*(3*((2065-2022)/I67)^2-2*((2065-2022)/I67)^3)))</f>
        <v>0.237854565957446</v>
      </c>
      <c r="BD67" s="30" t="n">
        <f aca="false">BC67*(1-IF((2066-2022)/I67&gt;=1,J67,H67+(J67-H67)*(3*((2066-2022)/I67)^2-2*((2066-2022)/I67)^3)))</f>
        <v>0.23699828952</v>
      </c>
      <c r="BE67" s="30" t="n">
        <f aca="false">BD67*(1-IF((2067-2022)/I67&gt;=1,J67,H67+(J67-H67)*(3*((2067-2022)/I67)^2-2*((2067-2022)/I67)^3)))</f>
        <v>0.236145095677728</v>
      </c>
      <c r="BF67" s="30" t="n">
        <f aca="false">BE67*(1-IF((2068-2022)/I67&gt;=1,J67,H67+(J67-H67)*(3*((2068-2022)/I67)^2-2*((2068-2022)/I67)^3)))</f>
        <v>0.235294973333288</v>
      </c>
      <c r="BG67" s="30" t="n">
        <f aca="false">BF67*(1-IF((2069-2022)/I67&gt;=1,J67,H67+(J67-H67)*(3*((2069-2022)/I67)^2-2*((2069-2022)/I67)^3)))</f>
        <v>0.234447911429288</v>
      </c>
      <c r="BH67" s="30" t="n">
        <f aca="false">BG67*(1-IF((2070-2022)/I67&gt;=1,J67,H67+(J67-H67)*(3*((2070-2022)/I67)^2-2*((2070-2022)/I67)^3)))</f>
        <v>0.233603898948143</v>
      </c>
      <c r="BI67" s="30" t="n">
        <f aca="false">BH67*(1-IF((2071-2022)/I67&gt;=1,J67,H67+(J67-H67)*(3*((2071-2022)/I67)^2-2*((2071-2022)/I67)^3)))</f>
        <v>0.232762924911929</v>
      </c>
      <c r="BJ67" s="30" t="n">
        <f aca="false">BI67*(1-IF((2072-2022)/I67&gt;=1,J67,H67+(J67-H67)*(3*((2072-2022)/I67)^2-2*((2072-2022)/I67)^3)))</f>
        <v>0.231924978382246</v>
      </c>
      <c r="BK67" s="30" t="n">
        <f aca="false">BJ67*(1-IF((2073-2022)/I67&gt;=1,J67,H67+(J67-H67)*(3*((2073-2022)/I67)^2-2*((2073-2022)/I67)^3)))</f>
        <v>0.23109004846007</v>
      </c>
      <c r="BL67" s="30" t="n">
        <f aca="false">BK67*(1-IF((2074-2022)/I67&gt;=1,J67,H67+(J67-H67)*(3*((2074-2022)/I67)^2-2*((2074-2022)/I67)^3)))</f>
        <v>0.230258124285614</v>
      </c>
      <c r="BM67" s="30" t="n">
        <f aca="false">BL67*(1-IF((2075-2022)/I67&gt;=1,J67,H67+(J67-H67)*(3*((2075-2022)/I67)^2-2*((2075-2022)/I67)^3)))</f>
        <v>0.229429195038186</v>
      </c>
      <c r="BN67" s="30" t="n">
        <f aca="false">BM67*(1-IF((2076-2022)/I67&gt;=1,J67,H67+(J67-H67)*(3*((2076-2022)/I67)^2-2*((2076-2022)/I67)^3)))</f>
        <v>0.228603249936048</v>
      </c>
      <c r="BO67" s="30" t="n">
        <f aca="false">BN67*(1-IF((2077-2022)/I67&gt;=1,J67,H67+(J67-H67)*(3*((2077-2022)/I67)^2-2*((2077-2022)/I67)^3)))</f>
        <v>0.227780278236278</v>
      </c>
      <c r="BP67" s="30" t="n">
        <f aca="false">BO67*(1-IF((2078-2022)/I67&gt;=1,J67,H67+(J67-H67)*(3*((2078-2022)/I67)^2-2*((2078-2022)/I67)^3)))</f>
        <v>0.226960269234628</v>
      </c>
      <c r="BQ67" s="30" t="n">
        <f aca="false">BP67*(1-IF((2079-2022)/I67&gt;=1,J67,H67+(J67-H67)*(3*((2079-2022)/I67)^2-2*((2079-2022)/I67)^3)))</f>
        <v>0.226143212265383</v>
      </c>
      <c r="BR67" s="30" t="n">
        <f aca="false">BQ67*(1-IF((2080-2022)/I67&gt;=1,J67,H67+(J67-H67)*(3*((2080-2022)/I67)^2-2*((2080-2022)/I67)^3)))</f>
        <v>0.225329096701228</v>
      </c>
      <c r="BS67" s="30" t="n">
        <f aca="false">BR67*(1-IF((2081-2022)/I67&gt;=1,J67,H67+(J67-H67)*(3*((2081-2022)/I67)^2-2*((2081-2022)/I67)^3)))</f>
        <v>0.224517911953103</v>
      </c>
      <c r="BT67" s="30" t="n">
        <f aca="false">BS67*(1-IF((2082-2022)/I67&gt;=1,J67,H67+(J67-H67)*(3*((2082-2022)/I67)^2-2*((2082-2022)/I67)^3)))</f>
        <v>0.223709647470072</v>
      </c>
      <c r="BU67" s="30" t="n">
        <f aca="false">BT67*(1-IF((2083-2022)/I67&gt;=1,J67,H67+(J67-H67)*(3*((2083-2022)/I67)^2-2*((2083-2022)/I67)^3)))</f>
        <v>0.22290429273918</v>
      </c>
      <c r="BV67" s="30" t="n">
        <f aca="false">BU67*(1-IF((2084-2022)/I67&gt;=1,J67,H67+(J67-H67)*(3*((2084-2022)/I67)^2-2*((2084-2022)/I67)^3)))</f>
        <v>0.222101837285319</v>
      </c>
      <c r="BW67" s="30" t="n">
        <f aca="false">BV67*(1-IF((2085-2022)/I67&gt;=1,J67,H67+(J67-H67)*(3*((2085-2022)/I67)^2-2*((2085-2022)/I67)^3)))</f>
        <v>0.221302270671092</v>
      </c>
      <c r="BX67" s="30" t="n">
        <f aca="false">BW67*(1-IF((2086-2022)/I67&gt;=1,J67,H67+(J67-H67)*(3*((2086-2022)/I67)^2-2*((2086-2022)/I67)^3)))</f>
        <v>0.220505582496676</v>
      </c>
      <c r="BY67" s="30" t="n">
        <f aca="false">BX67*(1-IF((2087-2022)/I67&gt;=1,J67,H67+(J67-H67)*(3*((2087-2022)/I67)^2-2*((2087-2022)/I67)^3)))</f>
        <v>0.219711762399688</v>
      </c>
      <c r="BZ67" s="30" t="n">
        <f aca="false">BY67*(1-IF((2088-2022)/I67&gt;=1,J67,H67+(J67-H67)*(3*((2088-2022)/I67)^2-2*((2088-2022)/I67)^3)))</f>
        <v>0.218920800055049</v>
      </c>
      <c r="CA67" s="30" t="n">
        <f aca="false">BZ67*(1-IF((2089-2022)/I67&gt;=1,J67,H67+(J67-H67)*(3*((2089-2022)/I67)^2-2*((2089-2022)/I67)^3)))</f>
        <v>0.218132685174851</v>
      </c>
      <c r="CB67" s="30" t="n">
        <f aca="false">CA67*(1-IF((2090-2022)/I67&gt;=1,J67,H67+(J67-H67)*(3*((2090-2022)/I67)^2-2*((2090-2022)/I67)^3)))</f>
        <v>0.217347407508221</v>
      </c>
      <c r="CC67" s="30" t="n">
        <f aca="false">CB67*(1-IF((2091-2022)/I67&gt;=1,J67,H67+(J67-H67)*(3*((2091-2022)/I67)^2-2*((2091-2022)/I67)^3)))</f>
        <v>0.216564956841191</v>
      </c>
    </row>
    <row r="68" customFormat="false" ht="15" hidden="false" customHeight="true" outlineLevel="0" collapsed="false">
      <c r="A68" s="3" t="n">
        <v>105</v>
      </c>
      <c r="B68" s="30" t="n">
        <f aca="false">IF($A68&lt;=105,INDEX(ILT17_Source!$D$7:$D$52,MATCH($A68,ILT17_Source!$A$7:$A$52,0)),($B$16*EXP($B$17*$A68))/(1+$B$16*EXP($B$17*$A68)))</f>
        <v>0.157174375</v>
      </c>
      <c r="C68" s="31" t="n">
        <f aca="false">LOOKUP($A68,{60,65,70,75,80,85,90,95},{0.78,0.82,0.85,0.88,0.91,0.94,0.97,1})</f>
        <v>1</v>
      </c>
      <c r="D68" s="30" t="n">
        <f aca="false">B68*C68</f>
        <v>0.157174375</v>
      </c>
      <c r="E68" s="30" t="n">
        <f aca="false">1/(1+EXP(-(($B$6+$B$8*(2016-2022))+($B$7+$B$9*(2016-2022))*($A68-$B$10))))</f>
        <v>0.478537197597322</v>
      </c>
      <c r="F68" s="30" t="n">
        <f aca="false">1/(1+EXP(-(($B$6+$B$8*(2021-2022))+($B$7+$B$9*(2021-2022))*($A68-$B$10))))</f>
        <v>0.472136608555872</v>
      </c>
      <c r="G68" s="30" t="n">
        <f aca="false">1/(1+EXP(-(($B$6+$B$8*(2022-2022))+($B$7+$B$9*(2022-2022))*($A68-$B$10))))</f>
        <v>0.470857521664291</v>
      </c>
      <c r="H68" s="32" t="n">
        <f aca="false">(F68-G68)/F68</f>
        <v>0.00270914576078623</v>
      </c>
      <c r="I68" s="38" t="n">
        <f aca="false">IF($A68&lt;=50,$B$14,IF($A68&gt;=95,$B$15,$B$14+($B$15-$B$14)*($A68-50)/(95-50)))</f>
        <v>5</v>
      </c>
      <c r="J68" s="39" t="n">
        <f aca="false">IF($A68&lt;=$B$12,$B$11,IF($A68&gt;=$B$13,0,$B$11*($B$13-$A68)/($B$13-$B$12)))</f>
        <v>0.003</v>
      </c>
      <c r="K68" s="30" t="n">
        <f aca="false">D68*G68/E68</f>
        <v>0.154652004176923</v>
      </c>
      <c r="L68" s="30" t="n">
        <f aca="false">K68*$B$19</f>
        <v>0.13918680375923</v>
      </c>
      <c r="M68" s="30" t="n">
        <f aca="false">L68*(1-IF((2023-2022)/I68&gt;=1,J68,H68+(J68-H68)*(3*((2023-2022)/I68)^2-2*((2023-2022)/I68)^3)))</f>
        <v>0.138805516180389</v>
      </c>
      <c r="N68" s="30" t="n">
        <f aca="false">M68*(1-IF((2024-2022)/I68&gt;=1,J68,H68+(J68-H68)*(3*((2024-2022)/I68)^2-2*((2024-2022)/I68)^3)))</f>
        <v>0.138415260799827</v>
      </c>
      <c r="O68" s="30" t="n">
        <f aca="false">N68*(1-IF((2025-2022)/I68&gt;=1,J68,H68+(J68-H68)*(3*((2025-2022)/I68)^2-2*((2025-2022)/I68)^3)))</f>
        <v>0.13801418606764</v>
      </c>
      <c r="P68" s="30" t="n">
        <f aca="false">O68*(1-IF((2026-2022)/I68&gt;=1,J68,H68+(J68-H68)*(3*((2026-2022)/I68)^2-2*((2026-2022)/I68)^3)))</f>
        <v>0.137604318278591</v>
      </c>
      <c r="Q68" s="30" t="n">
        <f aca="false">P68*(1-IF((2027-2022)/I68&gt;=1,J68,H68+(J68-H68)*(3*((2027-2022)/I68)^2-2*((2027-2022)/I68)^3)))</f>
        <v>0.137191505323755</v>
      </c>
      <c r="R68" s="30" t="n">
        <f aca="false">Q68*(1-IF((2028-2022)/I68&gt;=1,J68,H68+(J68-H68)*(3*((2028-2022)/I68)^2-2*((2028-2022)/I68)^3)))</f>
        <v>0.136779930807783</v>
      </c>
      <c r="S68" s="30" t="n">
        <f aca="false">R68*(1-IF((2029-2022)/I68&gt;=1,J68,H68+(J68-H68)*(3*((2029-2022)/I68)^2-2*((2029-2022)/I68)^3)))</f>
        <v>0.13636959101536</v>
      </c>
      <c r="T68" s="30" t="n">
        <f aca="false">S68*(1-IF((2030-2022)/I68&gt;=1,J68,H68+(J68-H68)*(3*((2030-2022)/I68)^2-2*((2030-2022)/I68)^3)))</f>
        <v>0.135960482242314</v>
      </c>
      <c r="U68" s="30" t="n">
        <f aca="false">T68*(1-IF((2031-2022)/I68&gt;=1,J68,H68+(J68-H68)*(3*((2031-2022)/I68)^2-2*((2031-2022)/I68)^3)))</f>
        <v>0.135552600795587</v>
      </c>
      <c r="V68" s="30" t="n">
        <f aca="false">U68*(1-IF((2032-2022)/I68&gt;=1,J68,H68+(J68-H68)*(3*((2032-2022)/I68)^2-2*((2032-2022)/I68)^3)))</f>
        <v>0.1351459429932</v>
      </c>
      <c r="W68" s="30" t="n">
        <f aca="false">V68*(1-IF((2033-2022)/I68&gt;=1,J68,H68+(J68-H68)*(3*((2033-2022)/I68)^2-2*((2033-2022)/I68)^3)))</f>
        <v>0.134740505164221</v>
      </c>
      <c r="X68" s="30" t="n">
        <f aca="false">W68*(1-IF((2034-2022)/I68&gt;=1,J68,H68+(J68-H68)*(3*((2034-2022)/I68)^2-2*((2034-2022)/I68)^3)))</f>
        <v>0.134336283648728</v>
      </c>
      <c r="Y68" s="30" t="n">
        <f aca="false">X68*(1-IF((2035-2022)/I68&gt;=1,J68,H68+(J68-H68)*(3*((2035-2022)/I68)^2-2*((2035-2022)/I68)^3)))</f>
        <v>0.133933274797782</v>
      </c>
      <c r="Z68" s="30" t="n">
        <f aca="false">Y68*(1-IF((2036-2022)/I68&gt;=1,J68,H68+(J68-H68)*(3*((2036-2022)/I68)^2-2*((2036-2022)/I68)^3)))</f>
        <v>0.133531474973389</v>
      </c>
      <c r="AA68" s="30" t="n">
        <f aca="false">Z68*(1-IF((2037-2022)/I68&gt;=1,J68,H68+(J68-H68)*(3*((2037-2022)/I68)^2-2*((2037-2022)/I68)^3)))</f>
        <v>0.133130880548468</v>
      </c>
      <c r="AB68" s="30" t="n">
        <f aca="false">AA68*(1-IF((2038-2022)/I68&gt;=1,J68,H68+(J68-H68)*(3*((2038-2022)/I68)^2-2*((2038-2022)/I68)^3)))</f>
        <v>0.132731487906823</v>
      </c>
      <c r="AC68" s="30" t="n">
        <f aca="false">AB68*(1-IF((2039-2022)/I68&gt;=1,J68,H68+(J68-H68)*(3*((2039-2022)/I68)^2-2*((2039-2022)/I68)^3)))</f>
        <v>0.132333293443103</v>
      </c>
      <c r="AD68" s="30" t="n">
        <f aca="false">AC68*(1-IF((2040-2022)/I68&gt;=1,J68,H68+(J68-H68)*(3*((2040-2022)/I68)^2-2*((2040-2022)/I68)^3)))</f>
        <v>0.131936293562773</v>
      </c>
      <c r="AE68" s="30" t="n">
        <f aca="false">AD68*(1-IF((2041-2022)/I68&gt;=1,J68,H68+(J68-H68)*(3*((2041-2022)/I68)^2-2*((2041-2022)/I68)^3)))</f>
        <v>0.131540484682085</v>
      </c>
      <c r="AF68" s="30" t="n">
        <f aca="false">AE68*(1-IF((2042-2022)/I68&gt;=1,J68,H68+(J68-H68)*(3*((2042-2022)/I68)^2-2*((2042-2022)/I68)^3)))</f>
        <v>0.131145863228039</v>
      </c>
      <c r="AG68" s="30" t="n">
        <f aca="false">AF68*(1-IF((2043-2022)/I68&gt;=1,J68,H68+(J68-H68)*(3*((2043-2022)/I68)^2-2*((2043-2022)/I68)^3)))</f>
        <v>0.130752425638355</v>
      </c>
      <c r="AH68" s="30" t="n">
        <f aca="false">AG68*(1-IF((2044-2022)/I68&gt;=1,J68,H68+(J68-H68)*(3*((2044-2022)/I68)^2-2*((2044-2022)/I68)^3)))</f>
        <v>0.130360168361439</v>
      </c>
      <c r="AI68" s="30" t="n">
        <f aca="false">AH68*(1-IF((2045-2022)/I68&gt;=1,J68,H68+(J68-H68)*(3*((2045-2022)/I68)^2-2*((2045-2022)/I68)^3)))</f>
        <v>0.129969087856355</v>
      </c>
      <c r="AJ68" s="30" t="n">
        <f aca="false">AI68*(1-IF((2046-2022)/I68&gt;=1,J68,H68+(J68-H68)*(3*((2046-2022)/I68)^2-2*((2046-2022)/I68)^3)))</f>
        <v>0.129579180592786</v>
      </c>
      <c r="AK68" s="30" t="n">
        <f aca="false">AJ68*(1-IF((2047-2022)/I68&gt;=1,J68,H68+(J68-H68)*(3*((2047-2022)/I68)^2-2*((2047-2022)/I68)^3)))</f>
        <v>0.129190443051008</v>
      </c>
      <c r="AL68" s="30" t="n">
        <f aca="false">AK68*(1-IF((2048-2022)/I68&gt;=1,J68,H68+(J68-H68)*(3*((2048-2022)/I68)^2-2*((2048-2022)/I68)^3)))</f>
        <v>0.128802871721855</v>
      </c>
      <c r="AM68" s="30" t="n">
        <f aca="false">AL68*(1-IF((2049-2022)/I68&gt;=1,J68,H68+(J68-H68)*(3*((2049-2022)/I68)^2-2*((2049-2022)/I68)^3)))</f>
        <v>0.128416463106689</v>
      </c>
      <c r="AN68" s="30" t="n">
        <f aca="false">AM68*(1-IF((2050-2022)/I68&gt;=1,J68,H68+(J68-H68)*(3*((2050-2022)/I68)^2-2*((2050-2022)/I68)^3)))</f>
        <v>0.128031213717369</v>
      </c>
      <c r="AO68" s="30" t="n">
        <f aca="false">AN68*(1-IF((2051-2022)/I68&gt;=1,J68,H68+(J68-H68)*(3*((2051-2022)/I68)^2-2*((2051-2022)/I68)^3)))</f>
        <v>0.127647120076217</v>
      </c>
      <c r="AP68" s="30" t="n">
        <f aca="false">AO68*(1-IF((2052-2022)/I68&gt;=1,J68,H68+(J68-H68)*(3*((2052-2022)/I68)^2-2*((2052-2022)/I68)^3)))</f>
        <v>0.127264178715988</v>
      </c>
      <c r="AQ68" s="30" t="n">
        <f aca="false">AP68*(1-IF((2053-2022)/I68&gt;=1,J68,H68+(J68-H68)*(3*((2053-2022)/I68)^2-2*((2053-2022)/I68)^3)))</f>
        <v>0.12688238617984</v>
      </c>
      <c r="AR68" s="30" t="n">
        <f aca="false">AQ68*(1-IF((2054-2022)/I68&gt;=1,J68,H68+(J68-H68)*(3*((2054-2022)/I68)^2-2*((2054-2022)/I68)^3)))</f>
        <v>0.126501739021301</v>
      </c>
      <c r="AS68" s="30" t="n">
        <f aca="false">AR68*(1-IF((2055-2022)/I68&gt;=1,J68,H68+(J68-H68)*(3*((2055-2022)/I68)^2-2*((2055-2022)/I68)^3)))</f>
        <v>0.126122233804237</v>
      </c>
      <c r="AT68" s="30" t="n">
        <f aca="false">AS68*(1-IF((2056-2022)/I68&gt;=1,J68,H68+(J68-H68)*(3*((2056-2022)/I68)^2-2*((2056-2022)/I68)^3)))</f>
        <v>0.125743867102824</v>
      </c>
      <c r="AU68" s="30" t="n">
        <f aca="false">AT68*(1-IF((2057-2022)/I68&gt;=1,J68,H68+(J68-H68)*(3*((2057-2022)/I68)^2-2*((2057-2022)/I68)^3)))</f>
        <v>0.125366635501516</v>
      </c>
      <c r="AV68" s="30" t="n">
        <f aca="false">AU68*(1-IF((2058-2022)/I68&gt;=1,J68,H68+(J68-H68)*(3*((2058-2022)/I68)^2-2*((2058-2022)/I68)^3)))</f>
        <v>0.124990535595011</v>
      </c>
      <c r="AW68" s="30" t="n">
        <f aca="false">AV68*(1-IF((2059-2022)/I68&gt;=1,J68,H68+(J68-H68)*(3*((2059-2022)/I68)^2-2*((2059-2022)/I68)^3)))</f>
        <v>0.124615563988226</v>
      </c>
      <c r="AX68" s="30" t="n">
        <f aca="false">AW68*(1-IF((2060-2022)/I68&gt;=1,J68,H68+(J68-H68)*(3*((2060-2022)/I68)^2-2*((2060-2022)/I68)^3)))</f>
        <v>0.124241717296261</v>
      </c>
      <c r="AY68" s="30" t="n">
        <f aca="false">AX68*(1-IF((2061-2022)/I68&gt;=1,J68,H68+(J68-H68)*(3*((2061-2022)/I68)^2-2*((2061-2022)/I68)^3)))</f>
        <v>0.123868992144373</v>
      </c>
      <c r="AZ68" s="30" t="n">
        <f aca="false">AY68*(1-IF((2062-2022)/I68&gt;=1,J68,H68+(J68-H68)*(3*((2062-2022)/I68)^2-2*((2062-2022)/I68)^3)))</f>
        <v>0.12349738516794</v>
      </c>
      <c r="BA68" s="30" t="n">
        <f aca="false">AZ68*(1-IF((2063-2022)/I68&gt;=1,J68,H68+(J68-H68)*(3*((2063-2022)/I68)^2-2*((2063-2022)/I68)^3)))</f>
        <v>0.123126893012436</v>
      </c>
      <c r="BB68" s="30" t="n">
        <f aca="false">BA68*(1-IF((2064-2022)/I68&gt;=1,J68,H68+(J68-H68)*(3*((2064-2022)/I68)^2-2*((2064-2022)/I68)^3)))</f>
        <v>0.122757512333398</v>
      </c>
      <c r="BC68" s="30" t="n">
        <f aca="false">BB68*(1-IF((2065-2022)/I68&gt;=1,J68,H68+(J68-H68)*(3*((2065-2022)/I68)^2-2*((2065-2022)/I68)^3)))</f>
        <v>0.122389239796398</v>
      </c>
      <c r="BD68" s="30" t="n">
        <f aca="false">BC68*(1-IF((2066-2022)/I68&gt;=1,J68,H68+(J68-H68)*(3*((2066-2022)/I68)^2-2*((2066-2022)/I68)^3)))</f>
        <v>0.122022072077009</v>
      </c>
      <c r="BE68" s="30" t="n">
        <f aca="false">BD68*(1-IF((2067-2022)/I68&gt;=1,J68,H68+(J68-H68)*(3*((2067-2022)/I68)^2-2*((2067-2022)/I68)^3)))</f>
        <v>0.121656005860778</v>
      </c>
      <c r="BF68" s="30" t="n">
        <f aca="false">BE68*(1-IF((2068-2022)/I68&gt;=1,J68,H68+(J68-H68)*(3*((2068-2022)/I68)^2-2*((2068-2022)/I68)^3)))</f>
        <v>0.121291037843196</v>
      </c>
      <c r="BG68" s="30" t="n">
        <f aca="false">BF68*(1-IF((2069-2022)/I68&gt;=1,J68,H68+(J68-H68)*(3*((2069-2022)/I68)^2-2*((2069-2022)/I68)^3)))</f>
        <v>0.120927164729666</v>
      </c>
      <c r="BH68" s="30" t="n">
        <f aca="false">BG68*(1-IF((2070-2022)/I68&gt;=1,J68,H68+(J68-H68)*(3*((2070-2022)/I68)^2-2*((2070-2022)/I68)^3)))</f>
        <v>0.120564383235477</v>
      </c>
      <c r="BI68" s="30" t="n">
        <f aca="false">BH68*(1-IF((2071-2022)/I68&gt;=1,J68,H68+(J68-H68)*(3*((2071-2022)/I68)^2-2*((2071-2022)/I68)^3)))</f>
        <v>0.120202690085771</v>
      </c>
      <c r="BJ68" s="30" t="n">
        <f aca="false">BI68*(1-IF((2072-2022)/I68&gt;=1,J68,H68+(J68-H68)*(3*((2072-2022)/I68)^2-2*((2072-2022)/I68)^3)))</f>
        <v>0.119842082015513</v>
      </c>
      <c r="BK68" s="30" t="n">
        <f aca="false">BJ68*(1-IF((2073-2022)/I68&gt;=1,J68,H68+(J68-H68)*(3*((2073-2022)/I68)^2-2*((2073-2022)/I68)^3)))</f>
        <v>0.119482555769467</v>
      </c>
      <c r="BL68" s="30" t="n">
        <f aca="false">BK68*(1-IF((2074-2022)/I68&gt;=1,J68,H68+(J68-H68)*(3*((2074-2022)/I68)^2-2*((2074-2022)/I68)^3)))</f>
        <v>0.119124108102158</v>
      </c>
      <c r="BM68" s="30" t="n">
        <f aca="false">BL68*(1-IF((2075-2022)/I68&gt;=1,J68,H68+(J68-H68)*(3*((2075-2022)/I68)^2-2*((2075-2022)/I68)^3)))</f>
        <v>0.118766735777852</v>
      </c>
      <c r="BN68" s="30" t="n">
        <f aca="false">BM68*(1-IF((2076-2022)/I68&gt;=1,J68,H68+(J68-H68)*(3*((2076-2022)/I68)^2-2*((2076-2022)/I68)^3)))</f>
        <v>0.118410435570518</v>
      </c>
      <c r="BO68" s="30" t="n">
        <f aca="false">BN68*(1-IF((2077-2022)/I68&gt;=1,J68,H68+(J68-H68)*(3*((2077-2022)/I68)^2-2*((2077-2022)/I68)^3)))</f>
        <v>0.118055204263807</v>
      </c>
      <c r="BP68" s="30" t="n">
        <f aca="false">BO68*(1-IF((2078-2022)/I68&gt;=1,J68,H68+(J68-H68)*(3*((2078-2022)/I68)^2-2*((2078-2022)/I68)^3)))</f>
        <v>0.117701038651015</v>
      </c>
      <c r="BQ68" s="30" t="n">
        <f aca="false">BP68*(1-IF((2079-2022)/I68&gt;=1,J68,H68+(J68-H68)*(3*((2079-2022)/I68)^2-2*((2079-2022)/I68)^3)))</f>
        <v>0.117347935535062</v>
      </c>
      <c r="BR68" s="30" t="n">
        <f aca="false">BQ68*(1-IF((2080-2022)/I68&gt;=1,J68,H68+(J68-H68)*(3*((2080-2022)/I68)^2-2*((2080-2022)/I68)^3)))</f>
        <v>0.116995891728457</v>
      </c>
      <c r="BS68" s="30" t="n">
        <f aca="false">BR68*(1-IF((2081-2022)/I68&gt;=1,J68,H68+(J68-H68)*(3*((2081-2022)/I68)^2-2*((2081-2022)/I68)^3)))</f>
        <v>0.116644904053272</v>
      </c>
      <c r="BT68" s="30" t="n">
        <f aca="false">BS68*(1-IF((2082-2022)/I68&gt;=1,J68,H68+(J68-H68)*(3*((2082-2022)/I68)^2-2*((2082-2022)/I68)^3)))</f>
        <v>0.116294969341112</v>
      </c>
      <c r="BU68" s="30" t="n">
        <f aca="false">BT68*(1-IF((2083-2022)/I68&gt;=1,J68,H68+(J68-H68)*(3*((2083-2022)/I68)^2-2*((2083-2022)/I68)^3)))</f>
        <v>0.115946084433089</v>
      </c>
      <c r="BV68" s="30" t="n">
        <f aca="false">BU68*(1-IF((2084-2022)/I68&gt;=1,J68,H68+(J68-H68)*(3*((2084-2022)/I68)^2-2*((2084-2022)/I68)^3)))</f>
        <v>0.115598246179789</v>
      </c>
      <c r="BW68" s="30" t="n">
        <f aca="false">BV68*(1-IF((2085-2022)/I68&gt;=1,J68,H68+(J68-H68)*(3*((2085-2022)/I68)^2-2*((2085-2022)/I68)^3)))</f>
        <v>0.11525145144125</v>
      </c>
      <c r="BX68" s="30" t="n">
        <f aca="false">BW68*(1-IF((2086-2022)/I68&gt;=1,J68,H68+(J68-H68)*(3*((2086-2022)/I68)^2-2*((2086-2022)/I68)^3)))</f>
        <v>0.114905697086926</v>
      </c>
      <c r="BY68" s="30" t="n">
        <f aca="false">BX68*(1-IF((2087-2022)/I68&gt;=1,J68,H68+(J68-H68)*(3*((2087-2022)/I68)^2-2*((2087-2022)/I68)^3)))</f>
        <v>0.114560979995665</v>
      </c>
      <c r="BZ68" s="30" t="n">
        <f aca="false">BY68*(1-IF((2088-2022)/I68&gt;=1,J68,H68+(J68-H68)*(3*((2088-2022)/I68)^2-2*((2088-2022)/I68)^3)))</f>
        <v>0.114217297055678</v>
      </c>
      <c r="CA68" s="30" t="n">
        <f aca="false">BZ68*(1-IF((2089-2022)/I68&gt;=1,J68,H68+(J68-H68)*(3*((2089-2022)/I68)^2-2*((2089-2022)/I68)^3)))</f>
        <v>0.113874645164511</v>
      </c>
      <c r="CB68" s="30" t="n">
        <f aca="false">CA68*(1-IF((2090-2022)/I68&gt;=1,J68,H68+(J68-H68)*(3*((2090-2022)/I68)^2-2*((2090-2022)/I68)^3)))</f>
        <v>0.113533021229018</v>
      </c>
      <c r="CC68" s="30" t="n">
        <f aca="false">CB68*(1-IF((2091-2022)/I68&gt;=1,J68,H68+(J68-H68)*(3*((2091-2022)/I68)^2-2*((2091-2022)/I68)^3)))</f>
        <v>0.113192422165331</v>
      </c>
    </row>
    <row r="69" customFormat="false" ht="15" hidden="false" customHeight="true" outlineLevel="0" collapsed="false">
      <c r="A69" s="3" t="n">
        <v>106</v>
      </c>
      <c r="B69" s="30" t="n">
        <f aca="false">IF($A69&lt;=105,INDEX(ILT17_Source!$D$7:$D$52,MATCH($A69,ILT17_Source!$A$7:$A$52,0)),($B$16*EXP($B$17*$A69))/(1+$B$16*EXP($B$17*$A69)))</f>
        <v>0.419158315385722</v>
      </c>
      <c r="C69" s="31" t="n">
        <f aca="false">LOOKUP($A69,{60,65,70,75,80,85,90,95},{0.78,0.82,0.85,0.88,0.91,0.94,0.97,1})</f>
        <v>1</v>
      </c>
      <c r="D69" s="30" t="n">
        <f aca="false">B69*C69</f>
        <v>0.419158315385722</v>
      </c>
      <c r="E69" s="30" t="n">
        <f aca="false">1/(1+EXP(-(($B$6+$B$8*(2016-2022))+($B$7+$B$9*(2016-2022))*($A69-$B$10))))</f>
        <v>0.506196255429937</v>
      </c>
      <c r="F69" s="30" t="n">
        <f aca="false">1/(1+EXP(-(($B$6+$B$8*(2021-2022))+($B$7+$B$9*(2021-2022))*($A69-$B$10))))</f>
        <v>0.500463487828295</v>
      </c>
      <c r="G69" s="30" t="n">
        <f aca="false">1/(1+EXP(-(($B$6+$B$8*(2022-2022))+($B$7+$B$9*(2022-2022))*($A69-$B$10))))</f>
        <v>0.499316871447435</v>
      </c>
      <c r="H69" s="32" t="n">
        <f aca="false">(F69-G69)/F69</f>
        <v>0.00229110895948984</v>
      </c>
      <c r="I69" s="38" t="n">
        <f aca="false">IF($A69&lt;=50,$B$14,IF($A69&gt;=95,$B$15,$B$14+($B$15-$B$14)*($A69-50)/(95-50)))</f>
        <v>5</v>
      </c>
      <c r="J69" s="39" t="n">
        <f aca="false">IF($A69&lt;=$B$12,$B$11,IF($A69&gt;=$B$13,0,$B$11*($B$13-$A69)/($B$13-$B$12)))</f>
        <v>0.0024</v>
      </c>
      <c r="K69" s="30" t="n">
        <f aca="false">D69*G69/E69</f>
        <v>0.413461807420549</v>
      </c>
      <c r="L69" s="30" t="n">
        <f aca="false">K69*$B$19</f>
        <v>0.372115626678494</v>
      </c>
      <c r="M69" s="30" t="n">
        <f aca="false">L69*(1-IF((2023-2022)/I69&gt;=1,J69,H69+(J69-H69)*(3*((2023-2022)/I69)^2-2*((2023-2022)/I69)^3)))</f>
        <v>0.371258855146236</v>
      </c>
      <c r="N69" s="30" t="n">
        <f aca="false">M69*(1-IF((2024-2022)/I69&gt;=1,J69,H69+(J69-H69)*(3*((2024-2022)/I69)^2-2*((2024-2022)/I69)^3)))</f>
        <v>0.370394030436332</v>
      </c>
      <c r="O69" s="30" t="n">
        <f aca="false">N69*(1-IF((2025-2022)/I69&gt;=1,J69,H69+(J69-H69)*(3*((2025-2022)/I69)^2-2*((2025-2022)/I69)^3)))</f>
        <v>0.369519281835448</v>
      </c>
      <c r="P69" s="30" t="n">
        <f aca="false">O69*(1-IF((2026-2022)/I69&gt;=1,J69,H69+(J69-H69)*(3*((2026-2022)/I69)^2-2*((2026-2022)/I69)^3)))</f>
        <v>0.368636620242308</v>
      </c>
      <c r="Q69" s="30" t="n">
        <f aca="false">P69*(1-IF((2027-2022)/I69&gt;=1,J69,H69+(J69-H69)*(3*((2027-2022)/I69)^2-2*((2027-2022)/I69)^3)))</f>
        <v>0.367751892353727</v>
      </c>
      <c r="R69" s="30" t="n">
        <f aca="false">Q69*(1-IF((2028-2022)/I69&gt;=1,J69,H69+(J69-H69)*(3*((2028-2022)/I69)^2-2*((2028-2022)/I69)^3)))</f>
        <v>0.366869287812078</v>
      </c>
      <c r="S69" s="30" t="n">
        <f aca="false">R69*(1-IF((2029-2022)/I69&gt;=1,J69,H69+(J69-H69)*(3*((2029-2022)/I69)^2-2*((2029-2022)/I69)^3)))</f>
        <v>0.365988801521329</v>
      </c>
      <c r="T69" s="30" t="n">
        <f aca="false">S69*(1-IF((2030-2022)/I69&gt;=1,J69,H69+(J69-H69)*(3*((2030-2022)/I69)^2-2*((2030-2022)/I69)^3)))</f>
        <v>0.365110428397678</v>
      </c>
      <c r="U69" s="30" t="n">
        <f aca="false">T69*(1-IF((2031-2022)/I69&gt;=1,J69,H69+(J69-H69)*(3*((2031-2022)/I69)^2-2*((2031-2022)/I69)^3)))</f>
        <v>0.364234163369523</v>
      </c>
      <c r="V69" s="30" t="n">
        <f aca="false">U69*(1-IF((2032-2022)/I69&gt;=1,J69,H69+(J69-H69)*(3*((2032-2022)/I69)^2-2*((2032-2022)/I69)^3)))</f>
        <v>0.363360001377436</v>
      </c>
      <c r="W69" s="30" t="n">
        <f aca="false">V69*(1-IF((2033-2022)/I69&gt;=1,J69,H69+(J69-H69)*(3*((2033-2022)/I69)^2-2*((2033-2022)/I69)^3)))</f>
        <v>0.36248793737413</v>
      </c>
      <c r="X69" s="30" t="n">
        <f aca="false">W69*(1-IF((2034-2022)/I69&gt;=1,J69,H69+(J69-H69)*(3*((2034-2022)/I69)^2-2*((2034-2022)/I69)^3)))</f>
        <v>0.361617966324433</v>
      </c>
      <c r="Y69" s="30" t="n">
        <f aca="false">X69*(1-IF((2035-2022)/I69&gt;=1,J69,H69+(J69-H69)*(3*((2035-2022)/I69)^2-2*((2035-2022)/I69)^3)))</f>
        <v>0.360750083205254</v>
      </c>
      <c r="Z69" s="30" t="n">
        <f aca="false">Y69*(1-IF((2036-2022)/I69&gt;=1,J69,H69+(J69-H69)*(3*((2036-2022)/I69)^2-2*((2036-2022)/I69)^3)))</f>
        <v>0.359884283005561</v>
      </c>
      <c r="AA69" s="30" t="n">
        <f aca="false">Z69*(1-IF((2037-2022)/I69&gt;=1,J69,H69+(J69-H69)*(3*((2037-2022)/I69)^2-2*((2037-2022)/I69)^3)))</f>
        <v>0.359020560726348</v>
      </c>
      <c r="AB69" s="30" t="n">
        <f aca="false">AA69*(1-IF((2038-2022)/I69&gt;=1,J69,H69+(J69-H69)*(3*((2038-2022)/I69)^2-2*((2038-2022)/I69)^3)))</f>
        <v>0.358158911380605</v>
      </c>
      <c r="AC69" s="30" t="n">
        <f aca="false">AB69*(1-IF((2039-2022)/I69&gt;=1,J69,H69+(J69-H69)*(3*((2039-2022)/I69)^2-2*((2039-2022)/I69)^3)))</f>
        <v>0.357299329993291</v>
      </c>
      <c r="AD69" s="30" t="n">
        <f aca="false">AC69*(1-IF((2040-2022)/I69&gt;=1,J69,H69+(J69-H69)*(3*((2040-2022)/I69)^2-2*((2040-2022)/I69)^3)))</f>
        <v>0.356441811601307</v>
      </c>
      <c r="AE69" s="30" t="n">
        <f aca="false">AD69*(1-IF((2041-2022)/I69&gt;=1,J69,H69+(J69-H69)*(3*((2041-2022)/I69)^2-2*((2041-2022)/I69)^3)))</f>
        <v>0.355586351253464</v>
      </c>
      <c r="AF69" s="30" t="n">
        <f aca="false">AE69*(1-IF((2042-2022)/I69&gt;=1,J69,H69+(J69-H69)*(3*((2042-2022)/I69)^2-2*((2042-2022)/I69)^3)))</f>
        <v>0.354732944010456</v>
      </c>
      <c r="AG69" s="30" t="n">
        <f aca="false">AF69*(1-IF((2043-2022)/I69&gt;=1,J69,H69+(J69-H69)*(3*((2043-2022)/I69)^2-2*((2043-2022)/I69)^3)))</f>
        <v>0.353881584944831</v>
      </c>
      <c r="AH69" s="30" t="n">
        <f aca="false">AG69*(1-IF((2044-2022)/I69&gt;=1,J69,H69+(J69-H69)*(3*((2044-2022)/I69)^2-2*((2044-2022)/I69)^3)))</f>
        <v>0.353032269140963</v>
      </c>
      <c r="AI69" s="30" t="n">
        <f aca="false">AH69*(1-IF((2045-2022)/I69&gt;=1,J69,H69+(J69-H69)*(3*((2045-2022)/I69)^2-2*((2045-2022)/I69)^3)))</f>
        <v>0.352184991695025</v>
      </c>
      <c r="AJ69" s="30" t="n">
        <f aca="false">AI69*(1-IF((2046-2022)/I69&gt;=1,J69,H69+(J69-H69)*(3*((2046-2022)/I69)^2-2*((2046-2022)/I69)^3)))</f>
        <v>0.351339747714957</v>
      </c>
      <c r="AK69" s="30" t="n">
        <f aca="false">AJ69*(1-IF((2047-2022)/I69&gt;=1,J69,H69+(J69-H69)*(3*((2047-2022)/I69)^2-2*((2047-2022)/I69)^3)))</f>
        <v>0.350496532320441</v>
      </c>
      <c r="AL69" s="30" t="n">
        <f aca="false">AK69*(1-IF((2048-2022)/I69&gt;=1,J69,H69+(J69-H69)*(3*((2048-2022)/I69)^2-2*((2048-2022)/I69)^3)))</f>
        <v>0.349655340642872</v>
      </c>
      <c r="AM69" s="30" t="n">
        <f aca="false">AL69*(1-IF((2049-2022)/I69&gt;=1,J69,H69+(J69-H69)*(3*((2049-2022)/I69)^2-2*((2049-2022)/I69)^3)))</f>
        <v>0.348816167825329</v>
      </c>
      <c r="AN69" s="30" t="n">
        <f aca="false">AM69*(1-IF((2050-2022)/I69&gt;=1,J69,H69+(J69-H69)*(3*((2050-2022)/I69)^2-2*((2050-2022)/I69)^3)))</f>
        <v>0.347979009022548</v>
      </c>
      <c r="AO69" s="30" t="n">
        <f aca="false">AN69*(1-IF((2051-2022)/I69&gt;=1,J69,H69+(J69-H69)*(3*((2051-2022)/I69)^2-2*((2051-2022)/I69)^3)))</f>
        <v>0.347143859400894</v>
      </c>
      <c r="AP69" s="30" t="n">
        <f aca="false">AO69*(1-IF((2052-2022)/I69&gt;=1,J69,H69+(J69-H69)*(3*((2052-2022)/I69)^2-2*((2052-2022)/I69)^3)))</f>
        <v>0.346310714138332</v>
      </c>
      <c r="AQ69" s="30" t="n">
        <f aca="false">AP69*(1-IF((2053-2022)/I69&gt;=1,J69,H69+(J69-H69)*(3*((2053-2022)/I69)^2-2*((2053-2022)/I69)^3)))</f>
        <v>0.3454795684244</v>
      </c>
      <c r="AR69" s="30" t="n">
        <f aca="false">AQ69*(1-IF((2054-2022)/I69&gt;=1,J69,H69+(J69-H69)*(3*((2054-2022)/I69)^2-2*((2054-2022)/I69)^3)))</f>
        <v>0.344650417460182</v>
      </c>
      <c r="AS69" s="30" t="n">
        <f aca="false">AR69*(1-IF((2055-2022)/I69&gt;=1,J69,H69+(J69-H69)*(3*((2055-2022)/I69)^2-2*((2055-2022)/I69)^3)))</f>
        <v>0.343823256458277</v>
      </c>
      <c r="AT69" s="30" t="n">
        <f aca="false">AS69*(1-IF((2056-2022)/I69&gt;=1,J69,H69+(J69-H69)*(3*((2056-2022)/I69)^2-2*((2056-2022)/I69)^3)))</f>
        <v>0.342998080642777</v>
      </c>
      <c r="AU69" s="30" t="n">
        <f aca="false">AT69*(1-IF((2057-2022)/I69&gt;=1,J69,H69+(J69-H69)*(3*((2057-2022)/I69)^2-2*((2057-2022)/I69)^3)))</f>
        <v>0.342174885249235</v>
      </c>
      <c r="AV69" s="30" t="n">
        <f aca="false">AU69*(1-IF((2058-2022)/I69&gt;=1,J69,H69+(J69-H69)*(3*((2058-2022)/I69)^2-2*((2058-2022)/I69)^3)))</f>
        <v>0.341353665524637</v>
      </c>
      <c r="AW69" s="30" t="n">
        <f aca="false">AV69*(1-IF((2059-2022)/I69&gt;=1,J69,H69+(J69-H69)*(3*((2059-2022)/I69)^2-2*((2059-2022)/I69)^3)))</f>
        <v>0.340534416727378</v>
      </c>
      <c r="AX69" s="30" t="n">
        <f aca="false">AW69*(1-IF((2060-2022)/I69&gt;=1,J69,H69+(J69-H69)*(3*((2060-2022)/I69)^2-2*((2060-2022)/I69)^3)))</f>
        <v>0.339717134127232</v>
      </c>
      <c r="AY69" s="30" t="n">
        <f aca="false">AX69*(1-IF((2061-2022)/I69&gt;=1,J69,H69+(J69-H69)*(3*((2061-2022)/I69)^2-2*((2061-2022)/I69)^3)))</f>
        <v>0.338901813005327</v>
      </c>
      <c r="AZ69" s="30" t="n">
        <f aca="false">AY69*(1-IF((2062-2022)/I69&gt;=1,J69,H69+(J69-H69)*(3*((2062-2022)/I69)^2-2*((2062-2022)/I69)^3)))</f>
        <v>0.338088448654114</v>
      </c>
      <c r="BA69" s="30" t="n">
        <f aca="false">AZ69*(1-IF((2063-2022)/I69&gt;=1,J69,H69+(J69-H69)*(3*((2063-2022)/I69)^2-2*((2063-2022)/I69)^3)))</f>
        <v>0.337277036377344</v>
      </c>
      <c r="BB69" s="30" t="n">
        <f aca="false">BA69*(1-IF((2064-2022)/I69&gt;=1,J69,H69+(J69-H69)*(3*((2064-2022)/I69)^2-2*((2064-2022)/I69)^3)))</f>
        <v>0.336467571490038</v>
      </c>
      <c r="BC69" s="30" t="n">
        <f aca="false">BB69*(1-IF((2065-2022)/I69&gt;=1,J69,H69+(J69-H69)*(3*((2065-2022)/I69)^2-2*((2065-2022)/I69)^3)))</f>
        <v>0.335660049318462</v>
      </c>
      <c r="BD69" s="30" t="n">
        <f aca="false">BC69*(1-IF((2066-2022)/I69&gt;=1,J69,H69+(J69-H69)*(3*((2066-2022)/I69)^2-2*((2066-2022)/I69)^3)))</f>
        <v>0.334854465200098</v>
      </c>
      <c r="BE69" s="30" t="n">
        <f aca="false">BD69*(1-IF((2067-2022)/I69&gt;=1,J69,H69+(J69-H69)*(3*((2067-2022)/I69)^2-2*((2067-2022)/I69)^3)))</f>
        <v>0.334050814483618</v>
      </c>
      <c r="BF69" s="30" t="n">
        <f aca="false">BE69*(1-IF((2068-2022)/I69&gt;=1,J69,H69+(J69-H69)*(3*((2068-2022)/I69)^2-2*((2068-2022)/I69)^3)))</f>
        <v>0.333249092528857</v>
      </c>
      <c r="BG69" s="30" t="n">
        <f aca="false">BF69*(1-IF((2069-2022)/I69&gt;=1,J69,H69+(J69-H69)*(3*((2069-2022)/I69)^2-2*((2069-2022)/I69)^3)))</f>
        <v>0.332449294706788</v>
      </c>
      <c r="BH69" s="30" t="n">
        <f aca="false">BG69*(1-IF((2070-2022)/I69&gt;=1,J69,H69+(J69-H69)*(3*((2070-2022)/I69)^2-2*((2070-2022)/I69)^3)))</f>
        <v>0.331651416399492</v>
      </c>
      <c r="BI69" s="30" t="n">
        <f aca="false">BH69*(1-IF((2071-2022)/I69&gt;=1,J69,H69+(J69-H69)*(3*((2071-2022)/I69)^2-2*((2071-2022)/I69)^3)))</f>
        <v>0.330855453000133</v>
      </c>
      <c r="BJ69" s="30" t="n">
        <f aca="false">BI69*(1-IF((2072-2022)/I69&gt;=1,J69,H69+(J69-H69)*(3*((2072-2022)/I69)^2-2*((2072-2022)/I69)^3)))</f>
        <v>0.330061399912932</v>
      </c>
      <c r="BK69" s="30" t="n">
        <f aca="false">BJ69*(1-IF((2073-2022)/I69&gt;=1,J69,H69+(J69-H69)*(3*((2073-2022)/I69)^2-2*((2073-2022)/I69)^3)))</f>
        <v>0.329269252553141</v>
      </c>
      <c r="BL69" s="30" t="n">
        <f aca="false">BK69*(1-IF((2074-2022)/I69&gt;=1,J69,H69+(J69-H69)*(3*((2074-2022)/I69)^2-2*((2074-2022)/I69)^3)))</f>
        <v>0.328479006347014</v>
      </c>
      <c r="BM69" s="30" t="n">
        <f aca="false">BL69*(1-IF((2075-2022)/I69&gt;=1,J69,H69+(J69-H69)*(3*((2075-2022)/I69)^2-2*((2075-2022)/I69)^3)))</f>
        <v>0.327690656731781</v>
      </c>
      <c r="BN69" s="30" t="n">
        <f aca="false">BM69*(1-IF((2076-2022)/I69&gt;=1,J69,H69+(J69-H69)*(3*((2076-2022)/I69)^2-2*((2076-2022)/I69)^3)))</f>
        <v>0.326904199155625</v>
      </c>
      <c r="BO69" s="30" t="n">
        <f aca="false">BN69*(1-IF((2077-2022)/I69&gt;=1,J69,H69+(J69-H69)*(3*((2077-2022)/I69)^2-2*((2077-2022)/I69)^3)))</f>
        <v>0.326119629077651</v>
      </c>
      <c r="BP69" s="30" t="n">
        <f aca="false">BO69*(1-IF((2078-2022)/I69&gt;=1,J69,H69+(J69-H69)*(3*((2078-2022)/I69)^2-2*((2078-2022)/I69)^3)))</f>
        <v>0.325336941967865</v>
      </c>
      <c r="BQ69" s="30" t="n">
        <f aca="false">BP69*(1-IF((2079-2022)/I69&gt;=1,J69,H69+(J69-H69)*(3*((2079-2022)/I69)^2-2*((2079-2022)/I69)^3)))</f>
        <v>0.324556133307142</v>
      </c>
      <c r="BR69" s="30" t="n">
        <f aca="false">BQ69*(1-IF((2080-2022)/I69&gt;=1,J69,H69+(J69-H69)*(3*((2080-2022)/I69)^2-2*((2080-2022)/I69)^3)))</f>
        <v>0.323777198587205</v>
      </c>
      <c r="BS69" s="30" t="n">
        <f aca="false">BR69*(1-IF((2081-2022)/I69&gt;=1,J69,H69+(J69-H69)*(3*((2081-2022)/I69)^2-2*((2081-2022)/I69)^3)))</f>
        <v>0.323000133310596</v>
      </c>
      <c r="BT69" s="30" t="n">
        <f aca="false">BS69*(1-IF((2082-2022)/I69&gt;=1,J69,H69+(J69-H69)*(3*((2082-2022)/I69)^2-2*((2082-2022)/I69)^3)))</f>
        <v>0.32222493299065</v>
      </c>
      <c r="BU69" s="30" t="n">
        <f aca="false">BT69*(1-IF((2083-2022)/I69&gt;=1,J69,H69+(J69-H69)*(3*((2083-2022)/I69)^2-2*((2083-2022)/I69)^3)))</f>
        <v>0.321451593151473</v>
      </c>
      <c r="BV69" s="30" t="n">
        <f aca="false">BU69*(1-IF((2084-2022)/I69&gt;=1,J69,H69+(J69-H69)*(3*((2084-2022)/I69)^2-2*((2084-2022)/I69)^3)))</f>
        <v>0.320680109327909</v>
      </c>
      <c r="BW69" s="30" t="n">
        <f aca="false">BV69*(1-IF((2085-2022)/I69&gt;=1,J69,H69+(J69-H69)*(3*((2085-2022)/I69)^2-2*((2085-2022)/I69)^3)))</f>
        <v>0.319910477065522</v>
      </c>
      <c r="BX69" s="30" t="n">
        <f aca="false">BW69*(1-IF((2086-2022)/I69&gt;=1,J69,H69+(J69-H69)*(3*((2086-2022)/I69)^2-2*((2086-2022)/I69)^3)))</f>
        <v>0.319142691920565</v>
      </c>
      <c r="BY69" s="30" t="n">
        <f aca="false">BX69*(1-IF((2087-2022)/I69&gt;=1,J69,H69+(J69-H69)*(3*((2087-2022)/I69)^2-2*((2087-2022)/I69)^3)))</f>
        <v>0.318376749459956</v>
      </c>
      <c r="BZ69" s="30" t="n">
        <f aca="false">BY69*(1-IF((2088-2022)/I69&gt;=1,J69,H69+(J69-H69)*(3*((2088-2022)/I69)^2-2*((2088-2022)/I69)^3)))</f>
        <v>0.317612645261252</v>
      </c>
      <c r="CA69" s="30" t="n">
        <f aca="false">BZ69*(1-IF((2089-2022)/I69&gt;=1,J69,H69+(J69-H69)*(3*((2089-2022)/I69)^2-2*((2089-2022)/I69)^3)))</f>
        <v>0.316850374912625</v>
      </c>
      <c r="CB69" s="30" t="n">
        <f aca="false">CA69*(1-IF((2090-2022)/I69&gt;=1,J69,H69+(J69-H69)*(3*((2090-2022)/I69)^2-2*((2090-2022)/I69)^3)))</f>
        <v>0.316089934012835</v>
      </c>
      <c r="CC69" s="30" t="n">
        <f aca="false">CB69*(1-IF((2091-2022)/I69&gt;=1,J69,H69+(J69-H69)*(3*((2091-2022)/I69)^2-2*((2091-2022)/I69)^3)))</f>
        <v>0.315331318171204</v>
      </c>
    </row>
    <row r="70" customFormat="false" ht="15" hidden="false" customHeight="true" outlineLevel="0" collapsed="false">
      <c r="A70" s="3" t="n">
        <v>107</v>
      </c>
      <c r="B70" s="30" t="n">
        <f aca="false">IF($A70&lt;=105,INDEX(ILT17_Source!$D$7:$D$52,MATCH($A70,ILT17_Source!$A$7:$A$52,0)),($B$16*EXP($B$17*$A70))/(1+$B$16*EXP($B$17*$A70)))</f>
        <v>0.437460875609626</v>
      </c>
      <c r="C70" s="31" t="n">
        <f aca="false">LOOKUP($A70,{60,65,70,75,80,85,90,95},{0.78,0.82,0.85,0.88,0.91,0.94,0.97,1})</f>
        <v>1</v>
      </c>
      <c r="D70" s="30" t="n">
        <f aca="false">B70*C70</f>
        <v>0.437460875609626</v>
      </c>
      <c r="E70" s="30" t="n">
        <f aca="false">1/(1+EXP(-(($B$6+$B$8*(2016-2022))+($B$7+$B$9*(2016-2022))*($A70-$B$10))))</f>
        <v>0.533817437129083</v>
      </c>
      <c r="F70" s="30" t="n">
        <f aca="false">1/(1+EXP(-(($B$6+$B$8*(2021-2022))+($B$7+$B$9*(2021-2022))*($A70-$B$10))))</f>
        <v>0.528787392144738</v>
      </c>
      <c r="G70" s="30" t="n">
        <f aca="false">1/(1+EXP(-(($B$6+$B$8*(2022-2022))+($B$7+$B$9*(2022-2022))*($A70-$B$10))))</f>
        <v>0.527780648242933</v>
      </c>
      <c r="H70" s="32" t="n">
        <f aca="false">(F70-G70)/F70</f>
        <v>0.00190387274121903</v>
      </c>
      <c r="I70" s="38" t="n">
        <f aca="false">IF($A70&lt;=50,$B$14,IF($A70&gt;=95,$B$15,$B$14+($B$15-$B$14)*($A70-50)/(95-50)))</f>
        <v>5</v>
      </c>
      <c r="J70" s="39" t="n">
        <f aca="false">IF($A70&lt;=$B$12,$B$11,IF($A70&gt;=$B$13,0,$B$11*($B$13-$A70)/($B$13-$B$12)))</f>
        <v>0.0018</v>
      </c>
      <c r="K70" s="30" t="n">
        <f aca="false">D70*G70/E70</f>
        <v>0.432513755548865</v>
      </c>
      <c r="L70" s="30" t="n">
        <f aca="false">K70*$B$19</f>
        <v>0.389262379993978</v>
      </c>
      <c r="M70" s="30" t="n">
        <f aca="false">L70*(1-IF((2023-2022)/I70&gt;=1,J70,H70+(J70-H70)*(3*((2023-2022)/I70)^2-2*((2023-2022)/I70)^3)))</f>
        <v>0.388525479069574</v>
      </c>
      <c r="N70" s="30" t="n">
        <f aca="false">M70*(1-IF((2024-2022)/I70&gt;=1,J70,H70+(J70-H70)*(3*((2024-2022)/I70)^2-2*((2024-2022)/I70)^3)))</f>
        <v>0.387799981737408</v>
      </c>
      <c r="O70" s="30" t="n">
        <f aca="false">N70*(1-IF((2025-2022)/I70&gt;=1,J70,H70+(J70-H70)*(3*((2025-2022)/I70)^2-2*((2025-2022)/I70)^3)))</f>
        <v>0.387087762560084</v>
      </c>
      <c r="P70" s="30" t="n">
        <f aca="false">O70*(1-IF((2026-2022)/I70&gt;=1,J70,H70+(J70-H70)*(3*((2026-2022)/I70)^2-2*((2026-2022)/I70)^3)))</f>
        <v>0.386386822969309</v>
      </c>
      <c r="Q70" s="30" t="n">
        <f aca="false">P70*(1-IF((2027-2022)/I70&gt;=1,J70,H70+(J70-H70)*(3*((2027-2022)/I70)^2-2*((2027-2022)/I70)^3)))</f>
        <v>0.385691326687965</v>
      </c>
      <c r="R70" s="30" t="n">
        <f aca="false">Q70*(1-IF((2028-2022)/I70&gt;=1,J70,H70+(J70-H70)*(3*((2028-2022)/I70)^2-2*((2028-2022)/I70)^3)))</f>
        <v>0.384997082299926</v>
      </c>
      <c r="S70" s="30" t="n">
        <f aca="false">R70*(1-IF((2029-2022)/I70&gt;=1,J70,H70+(J70-H70)*(3*((2029-2022)/I70)^2-2*((2029-2022)/I70)^3)))</f>
        <v>0.384304087551786</v>
      </c>
      <c r="T70" s="30" t="n">
        <f aca="false">S70*(1-IF((2030-2022)/I70&gt;=1,J70,H70+(J70-H70)*(3*((2030-2022)/I70)^2-2*((2030-2022)/I70)^3)))</f>
        <v>0.383612340194193</v>
      </c>
      <c r="U70" s="30" t="n">
        <f aca="false">T70*(1-IF((2031-2022)/I70&gt;=1,J70,H70+(J70-H70)*(3*((2031-2022)/I70)^2-2*((2031-2022)/I70)^3)))</f>
        <v>0.382921837981844</v>
      </c>
      <c r="V70" s="30" t="n">
        <f aca="false">U70*(1-IF((2032-2022)/I70&gt;=1,J70,H70+(J70-H70)*(3*((2032-2022)/I70)^2-2*((2032-2022)/I70)^3)))</f>
        <v>0.382232578673476</v>
      </c>
      <c r="W70" s="30" t="n">
        <f aca="false">V70*(1-IF((2033-2022)/I70&gt;=1,J70,H70+(J70-H70)*(3*((2033-2022)/I70)^2-2*((2033-2022)/I70)^3)))</f>
        <v>0.381544560031864</v>
      </c>
      <c r="X70" s="30" t="n">
        <f aca="false">W70*(1-IF((2034-2022)/I70&gt;=1,J70,H70+(J70-H70)*(3*((2034-2022)/I70)^2-2*((2034-2022)/I70)^3)))</f>
        <v>0.380857779823807</v>
      </c>
      <c r="Y70" s="30" t="n">
        <f aca="false">X70*(1-IF((2035-2022)/I70&gt;=1,J70,H70+(J70-H70)*(3*((2035-2022)/I70)^2-2*((2035-2022)/I70)^3)))</f>
        <v>0.380172235820124</v>
      </c>
      <c r="Z70" s="30" t="n">
        <f aca="false">Y70*(1-IF((2036-2022)/I70&gt;=1,J70,H70+(J70-H70)*(3*((2036-2022)/I70)^2-2*((2036-2022)/I70)^3)))</f>
        <v>0.379487925795648</v>
      </c>
      <c r="AA70" s="30" t="n">
        <f aca="false">Z70*(1-IF((2037-2022)/I70&gt;=1,J70,H70+(J70-H70)*(3*((2037-2022)/I70)^2-2*((2037-2022)/I70)^3)))</f>
        <v>0.378804847529215</v>
      </c>
      <c r="AB70" s="30" t="n">
        <f aca="false">AA70*(1-IF((2038-2022)/I70&gt;=1,J70,H70+(J70-H70)*(3*((2038-2022)/I70)^2-2*((2038-2022)/I70)^3)))</f>
        <v>0.378122998803663</v>
      </c>
      <c r="AC70" s="30" t="n">
        <f aca="false">AB70*(1-IF((2039-2022)/I70&gt;=1,J70,H70+(J70-H70)*(3*((2039-2022)/I70)^2-2*((2039-2022)/I70)^3)))</f>
        <v>0.377442377405816</v>
      </c>
      <c r="AD70" s="30" t="n">
        <f aca="false">AC70*(1-IF((2040-2022)/I70&gt;=1,J70,H70+(J70-H70)*(3*((2040-2022)/I70)^2-2*((2040-2022)/I70)^3)))</f>
        <v>0.376762981126486</v>
      </c>
      <c r="AE70" s="30" t="n">
        <f aca="false">AD70*(1-IF((2041-2022)/I70&gt;=1,J70,H70+(J70-H70)*(3*((2041-2022)/I70)^2-2*((2041-2022)/I70)^3)))</f>
        <v>0.376084807760458</v>
      </c>
      <c r="AF70" s="30" t="n">
        <f aca="false">AE70*(1-IF((2042-2022)/I70&gt;=1,J70,H70+(J70-H70)*(3*((2042-2022)/I70)^2-2*((2042-2022)/I70)^3)))</f>
        <v>0.375407855106489</v>
      </c>
      <c r="AG70" s="30" t="n">
        <f aca="false">AF70*(1-IF((2043-2022)/I70&gt;=1,J70,H70+(J70-H70)*(3*((2043-2022)/I70)^2-2*((2043-2022)/I70)^3)))</f>
        <v>0.374732120967298</v>
      </c>
      <c r="AH70" s="30" t="n">
        <f aca="false">AG70*(1-IF((2044-2022)/I70&gt;=1,J70,H70+(J70-H70)*(3*((2044-2022)/I70)^2-2*((2044-2022)/I70)^3)))</f>
        <v>0.374057603149556</v>
      </c>
      <c r="AI70" s="30" t="n">
        <f aca="false">AH70*(1-IF((2045-2022)/I70&gt;=1,J70,H70+(J70-H70)*(3*((2045-2022)/I70)^2-2*((2045-2022)/I70)^3)))</f>
        <v>0.373384299463887</v>
      </c>
      <c r="AJ70" s="30" t="n">
        <f aca="false">AI70*(1-IF((2046-2022)/I70&gt;=1,J70,H70+(J70-H70)*(3*((2046-2022)/I70)^2-2*((2046-2022)/I70)^3)))</f>
        <v>0.372712207724852</v>
      </c>
      <c r="AK70" s="30" t="n">
        <f aca="false">AJ70*(1-IF((2047-2022)/I70&gt;=1,J70,H70+(J70-H70)*(3*((2047-2022)/I70)^2-2*((2047-2022)/I70)^3)))</f>
        <v>0.372041325750948</v>
      </c>
      <c r="AL70" s="30" t="n">
        <f aca="false">AK70*(1-IF((2048-2022)/I70&gt;=1,J70,H70+(J70-H70)*(3*((2048-2022)/I70)^2-2*((2048-2022)/I70)^3)))</f>
        <v>0.371371651364596</v>
      </c>
      <c r="AM70" s="30" t="n">
        <f aca="false">AL70*(1-IF((2049-2022)/I70&gt;=1,J70,H70+(J70-H70)*(3*((2049-2022)/I70)^2-2*((2049-2022)/I70)^3)))</f>
        <v>0.37070318239214</v>
      </c>
      <c r="AN70" s="30" t="n">
        <f aca="false">AM70*(1-IF((2050-2022)/I70&gt;=1,J70,H70+(J70-H70)*(3*((2050-2022)/I70)^2-2*((2050-2022)/I70)^3)))</f>
        <v>0.370035916663834</v>
      </c>
      <c r="AO70" s="30" t="n">
        <f aca="false">AN70*(1-IF((2051-2022)/I70&gt;=1,J70,H70+(J70-H70)*(3*((2051-2022)/I70)^2-2*((2051-2022)/I70)^3)))</f>
        <v>0.369369852013839</v>
      </c>
      <c r="AP70" s="30" t="n">
        <f aca="false">AO70*(1-IF((2052-2022)/I70&gt;=1,J70,H70+(J70-H70)*(3*((2052-2022)/I70)^2-2*((2052-2022)/I70)^3)))</f>
        <v>0.368704986280214</v>
      </c>
      <c r="AQ70" s="30" t="n">
        <f aca="false">AP70*(1-IF((2053-2022)/I70&gt;=1,J70,H70+(J70-H70)*(3*((2053-2022)/I70)^2-2*((2053-2022)/I70)^3)))</f>
        <v>0.368041317304909</v>
      </c>
      <c r="AR70" s="30" t="n">
        <f aca="false">AQ70*(1-IF((2054-2022)/I70&gt;=1,J70,H70+(J70-H70)*(3*((2054-2022)/I70)^2-2*((2054-2022)/I70)^3)))</f>
        <v>0.367378842933761</v>
      </c>
      <c r="AS70" s="30" t="n">
        <f aca="false">AR70*(1-IF((2055-2022)/I70&gt;=1,J70,H70+(J70-H70)*(3*((2055-2022)/I70)^2-2*((2055-2022)/I70)^3)))</f>
        <v>0.36671756101648</v>
      </c>
      <c r="AT70" s="30" t="n">
        <f aca="false">AS70*(1-IF((2056-2022)/I70&gt;=1,J70,H70+(J70-H70)*(3*((2056-2022)/I70)^2-2*((2056-2022)/I70)^3)))</f>
        <v>0.36605746940665</v>
      </c>
      <c r="AU70" s="30" t="n">
        <f aca="false">AT70*(1-IF((2057-2022)/I70&gt;=1,J70,H70+(J70-H70)*(3*((2057-2022)/I70)^2-2*((2057-2022)/I70)^3)))</f>
        <v>0.365398565961718</v>
      </c>
      <c r="AV70" s="30" t="n">
        <f aca="false">AU70*(1-IF((2058-2022)/I70&gt;=1,J70,H70+(J70-H70)*(3*((2058-2022)/I70)^2-2*((2058-2022)/I70)^3)))</f>
        <v>0.364740848542987</v>
      </c>
      <c r="AW70" s="30" t="n">
        <f aca="false">AV70*(1-IF((2059-2022)/I70&gt;=1,J70,H70+(J70-H70)*(3*((2059-2022)/I70)^2-2*((2059-2022)/I70)^3)))</f>
        <v>0.36408431501561</v>
      </c>
      <c r="AX70" s="30" t="n">
        <f aca="false">AW70*(1-IF((2060-2022)/I70&gt;=1,J70,H70+(J70-H70)*(3*((2060-2022)/I70)^2-2*((2060-2022)/I70)^3)))</f>
        <v>0.363428963248582</v>
      </c>
      <c r="AY70" s="30" t="n">
        <f aca="false">AX70*(1-IF((2061-2022)/I70&gt;=1,J70,H70+(J70-H70)*(3*((2061-2022)/I70)^2-2*((2061-2022)/I70)^3)))</f>
        <v>0.362774791114734</v>
      </c>
      <c r="AZ70" s="30" t="n">
        <f aca="false">AY70*(1-IF((2062-2022)/I70&gt;=1,J70,H70+(J70-H70)*(3*((2062-2022)/I70)^2-2*((2062-2022)/I70)^3)))</f>
        <v>0.362121796490728</v>
      </c>
      <c r="BA70" s="30" t="n">
        <f aca="false">AZ70*(1-IF((2063-2022)/I70&gt;=1,J70,H70+(J70-H70)*(3*((2063-2022)/I70)^2-2*((2063-2022)/I70)^3)))</f>
        <v>0.361469977257044</v>
      </c>
      <c r="BB70" s="30" t="n">
        <f aca="false">BA70*(1-IF((2064-2022)/I70&gt;=1,J70,H70+(J70-H70)*(3*((2064-2022)/I70)^2-2*((2064-2022)/I70)^3)))</f>
        <v>0.360819331297982</v>
      </c>
      <c r="BC70" s="30" t="n">
        <f aca="false">BB70*(1-IF((2065-2022)/I70&gt;=1,J70,H70+(J70-H70)*(3*((2065-2022)/I70)^2-2*((2065-2022)/I70)^3)))</f>
        <v>0.360169856501645</v>
      </c>
      <c r="BD70" s="30" t="n">
        <f aca="false">BC70*(1-IF((2066-2022)/I70&gt;=1,J70,H70+(J70-H70)*(3*((2066-2022)/I70)^2-2*((2066-2022)/I70)^3)))</f>
        <v>0.359521550759942</v>
      </c>
      <c r="BE70" s="30" t="n">
        <f aca="false">BD70*(1-IF((2067-2022)/I70&gt;=1,J70,H70+(J70-H70)*(3*((2067-2022)/I70)^2-2*((2067-2022)/I70)^3)))</f>
        <v>0.358874411968574</v>
      </c>
      <c r="BF70" s="30" t="n">
        <f aca="false">BE70*(1-IF((2068-2022)/I70&gt;=1,J70,H70+(J70-H70)*(3*((2068-2022)/I70)^2-2*((2068-2022)/I70)^3)))</f>
        <v>0.358228438027031</v>
      </c>
      <c r="BG70" s="30" t="n">
        <f aca="false">BF70*(1-IF((2069-2022)/I70&gt;=1,J70,H70+(J70-H70)*(3*((2069-2022)/I70)^2-2*((2069-2022)/I70)^3)))</f>
        <v>0.357583626838582</v>
      </c>
      <c r="BH70" s="30" t="n">
        <f aca="false">BG70*(1-IF((2070-2022)/I70&gt;=1,J70,H70+(J70-H70)*(3*((2070-2022)/I70)^2-2*((2070-2022)/I70)^3)))</f>
        <v>0.356939976310273</v>
      </c>
      <c r="BI70" s="30" t="n">
        <f aca="false">BH70*(1-IF((2071-2022)/I70&gt;=1,J70,H70+(J70-H70)*(3*((2071-2022)/I70)^2-2*((2071-2022)/I70)^3)))</f>
        <v>0.356297484352914</v>
      </c>
      <c r="BJ70" s="30" t="n">
        <f aca="false">BI70*(1-IF((2072-2022)/I70&gt;=1,J70,H70+(J70-H70)*(3*((2072-2022)/I70)^2-2*((2072-2022)/I70)^3)))</f>
        <v>0.355656148881079</v>
      </c>
      <c r="BK70" s="30" t="n">
        <f aca="false">BJ70*(1-IF((2073-2022)/I70&gt;=1,J70,H70+(J70-H70)*(3*((2073-2022)/I70)^2-2*((2073-2022)/I70)^3)))</f>
        <v>0.355015967813093</v>
      </c>
      <c r="BL70" s="30" t="n">
        <f aca="false">BK70*(1-IF((2074-2022)/I70&gt;=1,J70,H70+(J70-H70)*(3*((2074-2022)/I70)^2-2*((2074-2022)/I70)^3)))</f>
        <v>0.35437693907103</v>
      </c>
      <c r="BM70" s="30" t="n">
        <f aca="false">BL70*(1-IF((2075-2022)/I70&gt;=1,J70,H70+(J70-H70)*(3*((2075-2022)/I70)^2-2*((2075-2022)/I70)^3)))</f>
        <v>0.353739060580702</v>
      </c>
      <c r="BN70" s="30" t="n">
        <f aca="false">BM70*(1-IF((2076-2022)/I70&gt;=1,J70,H70+(J70-H70)*(3*((2076-2022)/I70)^2-2*((2076-2022)/I70)^3)))</f>
        <v>0.353102330271656</v>
      </c>
      <c r="BO70" s="30" t="n">
        <f aca="false">BN70*(1-IF((2077-2022)/I70&gt;=1,J70,H70+(J70-H70)*(3*((2077-2022)/I70)^2-2*((2077-2022)/I70)^3)))</f>
        <v>0.352466746077167</v>
      </c>
      <c r="BP70" s="30" t="n">
        <f aca="false">BO70*(1-IF((2078-2022)/I70&gt;=1,J70,H70+(J70-H70)*(3*((2078-2022)/I70)^2-2*((2078-2022)/I70)^3)))</f>
        <v>0.351832305934229</v>
      </c>
      <c r="BQ70" s="30" t="n">
        <f aca="false">BP70*(1-IF((2079-2022)/I70&gt;=1,J70,H70+(J70-H70)*(3*((2079-2022)/I70)^2-2*((2079-2022)/I70)^3)))</f>
        <v>0.351199007783547</v>
      </c>
      <c r="BR70" s="30" t="n">
        <f aca="false">BQ70*(1-IF((2080-2022)/I70&gt;=1,J70,H70+(J70-H70)*(3*((2080-2022)/I70)^2-2*((2080-2022)/I70)^3)))</f>
        <v>0.350566849569537</v>
      </c>
      <c r="BS70" s="30" t="n">
        <f aca="false">BR70*(1-IF((2081-2022)/I70&gt;=1,J70,H70+(J70-H70)*(3*((2081-2022)/I70)^2-2*((2081-2022)/I70)^3)))</f>
        <v>0.349935829240311</v>
      </c>
      <c r="BT70" s="30" t="n">
        <f aca="false">BS70*(1-IF((2082-2022)/I70&gt;=1,J70,H70+(J70-H70)*(3*((2082-2022)/I70)^2-2*((2082-2022)/I70)^3)))</f>
        <v>0.349305944747679</v>
      </c>
      <c r="BU70" s="30" t="n">
        <f aca="false">BT70*(1-IF((2083-2022)/I70&gt;=1,J70,H70+(J70-H70)*(3*((2083-2022)/I70)^2-2*((2083-2022)/I70)^3)))</f>
        <v>0.348677194047133</v>
      </c>
      <c r="BV70" s="30" t="n">
        <f aca="false">BU70*(1-IF((2084-2022)/I70&gt;=1,J70,H70+(J70-H70)*(3*((2084-2022)/I70)^2-2*((2084-2022)/I70)^3)))</f>
        <v>0.348049575097848</v>
      </c>
      <c r="BW70" s="30" t="n">
        <f aca="false">BV70*(1-IF((2085-2022)/I70&gt;=1,J70,H70+(J70-H70)*(3*((2085-2022)/I70)^2-2*((2085-2022)/I70)^3)))</f>
        <v>0.347423085862672</v>
      </c>
      <c r="BX70" s="30" t="n">
        <f aca="false">BW70*(1-IF((2086-2022)/I70&gt;=1,J70,H70+(J70-H70)*(3*((2086-2022)/I70)^2-2*((2086-2022)/I70)^3)))</f>
        <v>0.346797724308119</v>
      </c>
      <c r="BY70" s="30" t="n">
        <f aca="false">BX70*(1-IF((2087-2022)/I70&gt;=1,J70,H70+(J70-H70)*(3*((2087-2022)/I70)^2-2*((2087-2022)/I70)^3)))</f>
        <v>0.346173488404364</v>
      </c>
      <c r="BZ70" s="30" t="n">
        <f aca="false">BY70*(1-IF((2088-2022)/I70&gt;=1,J70,H70+(J70-H70)*(3*((2088-2022)/I70)^2-2*((2088-2022)/I70)^3)))</f>
        <v>0.345550376125237</v>
      </c>
      <c r="CA70" s="30" t="n">
        <f aca="false">BZ70*(1-IF((2089-2022)/I70&gt;=1,J70,H70+(J70-H70)*(3*((2089-2022)/I70)^2-2*((2089-2022)/I70)^3)))</f>
        <v>0.344928385448211</v>
      </c>
      <c r="CB70" s="30" t="n">
        <f aca="false">CA70*(1-IF((2090-2022)/I70&gt;=1,J70,H70+(J70-H70)*(3*((2090-2022)/I70)^2-2*((2090-2022)/I70)^3)))</f>
        <v>0.344307514354404</v>
      </c>
      <c r="CC70" s="30" t="n">
        <f aca="false">CB70*(1-IF((2091-2022)/I70&gt;=1,J70,H70+(J70-H70)*(3*((2091-2022)/I70)^2-2*((2091-2022)/I70)^3)))</f>
        <v>0.343687760828566</v>
      </c>
    </row>
    <row r="71" customFormat="false" ht="15" hidden="false" customHeight="true" outlineLevel="0" collapsed="false">
      <c r="A71" s="3" t="n">
        <v>108</v>
      </c>
      <c r="B71" s="30" t="n">
        <f aca="false">IF($A71&lt;=105,INDEX(ILT17_Source!$D$7:$D$52,MATCH($A71,ILT17_Source!$A$7:$A$52,0)),($B$16*EXP($B$17*$A71))/(1+$B$16*EXP($B$17*$A71)))</f>
        <v>0.455935294913381</v>
      </c>
      <c r="C71" s="31" t="n">
        <f aca="false">LOOKUP($A71,{60,65,70,75,80,85,90,95},{0.78,0.82,0.85,0.88,0.91,0.94,0.97,1})</f>
        <v>1</v>
      </c>
      <c r="D71" s="30" t="n">
        <f aca="false">B71*C71</f>
        <v>0.455935294913381</v>
      </c>
      <c r="E71" s="30" t="n">
        <f aca="false">1/(1+EXP(-(($B$6+$B$8*(2016-2022))+($B$7+$B$9*(2016-2022))*($A71-$B$10))))</f>
        <v>0.561232812672702</v>
      </c>
      <c r="F71" s="30" t="n">
        <f aca="false">1/(1+EXP(-(($B$6+$B$8*(2021-2022))+($B$7+$B$9*(2021-2022))*($A71-$B$10))))</f>
        <v>0.556927131285558</v>
      </c>
      <c r="G71" s="30" t="n">
        <f aca="false">1/(1+EXP(-(($B$6+$B$8*(2022-2022))+($B$7+$B$9*(2022-2022))*($A71-$B$10))))</f>
        <v>0.556064946279317</v>
      </c>
      <c r="H71" s="32" t="n">
        <f aca="false">(F71-G71)/F71</f>
        <v>0.00154811097863049</v>
      </c>
      <c r="I71" s="38" t="n">
        <f aca="false">IF($A71&lt;=50,$B$14,IF($A71&gt;=95,$B$15,$B$14+($B$15-$B$14)*($A71-50)/(95-50)))</f>
        <v>5</v>
      </c>
      <c r="J71" s="39" t="n">
        <f aca="false">IF($A71&lt;=$B$12,$B$11,IF($A71&gt;=$B$13,0,$B$11*($B$13-$A71)/($B$13-$B$12)))</f>
        <v>0.0012</v>
      </c>
      <c r="K71" s="30" t="n">
        <f aca="false">D71*G71/E71</f>
        <v>0.451737014565302</v>
      </c>
      <c r="L71" s="30" t="n">
        <f aca="false">K71*$B$19</f>
        <v>0.406563313108772</v>
      </c>
      <c r="M71" s="30" t="n">
        <f aca="false">L71*(1-IF((2023-2022)/I71&gt;=1,J71,H71+(J71-H71)*(3*((2023-2022)/I71)^2-2*((2023-2022)/I71)^3)))</f>
        <v>0.405948627012131</v>
      </c>
      <c r="N71" s="30" t="n">
        <f aca="false">M71*(1-IF((2024-2022)/I71&gt;=1,J71,H71+(J71-H71)*(3*((2024-2022)/I71)^2-2*((2024-2022)/I71)^3)))</f>
        <v>0.405369916427079</v>
      </c>
      <c r="O71" s="30" t="n">
        <f aca="false">N71*(1-IF((2025-2022)/I71&gt;=1,J71,H71+(J71-H71)*(3*((2025-2022)/I71)^2-2*((2025-2022)/I71)^3)))</f>
        <v>0.40483380049852</v>
      </c>
      <c r="P71" s="30" t="n">
        <f aca="false">O71*(1-IF((2026-2022)/I71&gt;=1,J71,H71+(J71-H71)*(3*((2026-2022)/I71)^2-2*((2026-2022)/I71)^3)))</f>
        <v>0.404333343520513</v>
      </c>
      <c r="Q71" s="30" t="n">
        <f aca="false">P71*(1-IF((2027-2022)/I71&gt;=1,J71,H71+(J71-H71)*(3*((2027-2022)/I71)^2-2*((2027-2022)/I71)^3)))</f>
        <v>0.403848143508288</v>
      </c>
      <c r="R71" s="30" t="n">
        <f aca="false">Q71*(1-IF((2028-2022)/I71&gt;=1,J71,H71+(J71-H71)*(3*((2028-2022)/I71)^2-2*((2028-2022)/I71)^3)))</f>
        <v>0.403363525736078</v>
      </c>
      <c r="S71" s="30" t="n">
        <f aca="false">R71*(1-IF((2029-2022)/I71&gt;=1,J71,H71+(J71-H71)*(3*((2029-2022)/I71)^2-2*((2029-2022)/I71)^3)))</f>
        <v>0.402879489505195</v>
      </c>
      <c r="T71" s="30" t="n">
        <f aca="false">S71*(1-IF((2030-2022)/I71&gt;=1,J71,H71+(J71-H71)*(3*((2030-2022)/I71)^2-2*((2030-2022)/I71)^3)))</f>
        <v>0.402396034117789</v>
      </c>
      <c r="U71" s="30" t="n">
        <f aca="false">T71*(1-IF((2031-2022)/I71&gt;=1,J71,H71+(J71-H71)*(3*((2031-2022)/I71)^2-2*((2031-2022)/I71)^3)))</f>
        <v>0.401913158876847</v>
      </c>
      <c r="V71" s="30" t="n">
        <f aca="false">U71*(1-IF((2032-2022)/I71&gt;=1,J71,H71+(J71-H71)*(3*((2032-2022)/I71)^2-2*((2032-2022)/I71)^3)))</f>
        <v>0.401430863086195</v>
      </c>
      <c r="W71" s="30" t="n">
        <f aca="false">V71*(1-IF((2033-2022)/I71&gt;=1,J71,H71+(J71-H71)*(3*((2033-2022)/I71)^2-2*((2033-2022)/I71)^3)))</f>
        <v>0.400949146050492</v>
      </c>
      <c r="X71" s="30" t="n">
        <f aca="false">W71*(1-IF((2034-2022)/I71&gt;=1,J71,H71+(J71-H71)*(3*((2034-2022)/I71)^2-2*((2034-2022)/I71)^3)))</f>
        <v>0.400468007075231</v>
      </c>
      <c r="Y71" s="30" t="n">
        <f aca="false">X71*(1-IF((2035-2022)/I71&gt;=1,J71,H71+(J71-H71)*(3*((2035-2022)/I71)^2-2*((2035-2022)/I71)^3)))</f>
        <v>0.399987445466741</v>
      </c>
      <c r="Z71" s="30" t="n">
        <f aca="false">Y71*(1-IF((2036-2022)/I71&gt;=1,J71,H71+(J71-H71)*(3*((2036-2022)/I71)^2-2*((2036-2022)/I71)^3)))</f>
        <v>0.399507460532181</v>
      </c>
      <c r="AA71" s="30" t="n">
        <f aca="false">Z71*(1-IF((2037-2022)/I71&gt;=1,J71,H71+(J71-H71)*(3*((2037-2022)/I71)^2-2*((2037-2022)/I71)^3)))</f>
        <v>0.399028051579542</v>
      </c>
      <c r="AB71" s="30" t="n">
        <f aca="false">AA71*(1-IF((2038-2022)/I71&gt;=1,J71,H71+(J71-H71)*(3*((2038-2022)/I71)^2-2*((2038-2022)/I71)^3)))</f>
        <v>0.398549217917647</v>
      </c>
      <c r="AC71" s="30" t="n">
        <f aca="false">AB71*(1-IF((2039-2022)/I71&gt;=1,J71,H71+(J71-H71)*(3*((2039-2022)/I71)^2-2*((2039-2022)/I71)^3)))</f>
        <v>0.398070958856145</v>
      </c>
      <c r="AD71" s="30" t="n">
        <f aca="false">AC71*(1-IF((2040-2022)/I71&gt;=1,J71,H71+(J71-H71)*(3*((2040-2022)/I71)^2-2*((2040-2022)/I71)^3)))</f>
        <v>0.397593273705518</v>
      </c>
      <c r="AE71" s="30" t="n">
        <f aca="false">AD71*(1-IF((2041-2022)/I71&gt;=1,J71,H71+(J71-H71)*(3*((2041-2022)/I71)^2-2*((2041-2022)/I71)^3)))</f>
        <v>0.397116161777071</v>
      </c>
      <c r="AF71" s="30" t="n">
        <f aca="false">AE71*(1-IF((2042-2022)/I71&gt;=1,J71,H71+(J71-H71)*(3*((2042-2022)/I71)^2-2*((2042-2022)/I71)^3)))</f>
        <v>0.396639622382939</v>
      </c>
      <c r="AG71" s="30" t="n">
        <f aca="false">AF71*(1-IF((2043-2022)/I71&gt;=1,J71,H71+(J71-H71)*(3*((2043-2022)/I71)^2-2*((2043-2022)/I71)^3)))</f>
        <v>0.396163654836079</v>
      </c>
      <c r="AH71" s="30" t="n">
        <f aca="false">AG71*(1-IF((2044-2022)/I71&gt;=1,J71,H71+(J71-H71)*(3*((2044-2022)/I71)^2-2*((2044-2022)/I71)^3)))</f>
        <v>0.395688258450276</v>
      </c>
      <c r="AI71" s="30" t="n">
        <f aca="false">AH71*(1-IF((2045-2022)/I71&gt;=1,J71,H71+(J71-H71)*(3*((2045-2022)/I71)^2-2*((2045-2022)/I71)^3)))</f>
        <v>0.395213432540136</v>
      </c>
      <c r="AJ71" s="30" t="n">
        <f aca="false">AI71*(1-IF((2046-2022)/I71&gt;=1,J71,H71+(J71-H71)*(3*((2046-2022)/I71)^2-2*((2046-2022)/I71)^3)))</f>
        <v>0.394739176421088</v>
      </c>
      <c r="AK71" s="30" t="n">
        <f aca="false">AJ71*(1-IF((2047-2022)/I71&gt;=1,J71,H71+(J71-H71)*(3*((2047-2022)/I71)^2-2*((2047-2022)/I71)^3)))</f>
        <v>0.394265489409382</v>
      </c>
      <c r="AL71" s="30" t="n">
        <f aca="false">AK71*(1-IF((2048-2022)/I71&gt;=1,J71,H71+(J71-H71)*(3*((2048-2022)/I71)^2-2*((2048-2022)/I71)^3)))</f>
        <v>0.393792370822091</v>
      </c>
      <c r="AM71" s="30" t="n">
        <f aca="false">AL71*(1-IF((2049-2022)/I71&gt;=1,J71,H71+(J71-H71)*(3*((2049-2022)/I71)^2-2*((2049-2022)/I71)^3)))</f>
        <v>0.393319819977105</v>
      </c>
      <c r="AN71" s="30" t="n">
        <f aca="false">AM71*(1-IF((2050-2022)/I71&gt;=1,J71,H71+(J71-H71)*(3*((2050-2022)/I71)^2-2*((2050-2022)/I71)^3)))</f>
        <v>0.392847836193132</v>
      </c>
      <c r="AO71" s="30" t="n">
        <f aca="false">AN71*(1-IF((2051-2022)/I71&gt;=1,J71,H71+(J71-H71)*(3*((2051-2022)/I71)^2-2*((2051-2022)/I71)^3)))</f>
        <v>0.3923764187897</v>
      </c>
      <c r="AP71" s="30" t="n">
        <f aca="false">AO71*(1-IF((2052-2022)/I71&gt;=1,J71,H71+(J71-H71)*(3*((2052-2022)/I71)^2-2*((2052-2022)/I71)^3)))</f>
        <v>0.391905567087153</v>
      </c>
      <c r="AQ71" s="30" t="n">
        <f aca="false">AP71*(1-IF((2053-2022)/I71&gt;=1,J71,H71+(J71-H71)*(3*((2053-2022)/I71)^2-2*((2053-2022)/I71)^3)))</f>
        <v>0.391435280406648</v>
      </c>
      <c r="AR71" s="30" t="n">
        <f aca="false">AQ71*(1-IF((2054-2022)/I71&gt;=1,J71,H71+(J71-H71)*(3*((2054-2022)/I71)^2-2*((2054-2022)/I71)^3)))</f>
        <v>0.39096555807016</v>
      </c>
      <c r="AS71" s="30" t="n">
        <f aca="false">AR71*(1-IF((2055-2022)/I71&gt;=1,J71,H71+(J71-H71)*(3*((2055-2022)/I71)^2-2*((2055-2022)/I71)^3)))</f>
        <v>0.390496399400476</v>
      </c>
      <c r="AT71" s="30" t="n">
        <f aca="false">AS71*(1-IF((2056-2022)/I71&gt;=1,J71,H71+(J71-H71)*(3*((2056-2022)/I71)^2-2*((2056-2022)/I71)^3)))</f>
        <v>0.390027803721195</v>
      </c>
      <c r="AU71" s="30" t="n">
        <f aca="false">AT71*(1-IF((2057-2022)/I71&gt;=1,J71,H71+(J71-H71)*(3*((2057-2022)/I71)^2-2*((2057-2022)/I71)^3)))</f>
        <v>0.38955977035673</v>
      </c>
      <c r="AV71" s="30" t="n">
        <f aca="false">AU71*(1-IF((2058-2022)/I71&gt;=1,J71,H71+(J71-H71)*(3*((2058-2022)/I71)^2-2*((2058-2022)/I71)^3)))</f>
        <v>0.389092298632302</v>
      </c>
      <c r="AW71" s="30" t="n">
        <f aca="false">AV71*(1-IF((2059-2022)/I71&gt;=1,J71,H71+(J71-H71)*(3*((2059-2022)/I71)^2-2*((2059-2022)/I71)^3)))</f>
        <v>0.388625387873943</v>
      </c>
      <c r="AX71" s="30" t="n">
        <f aca="false">AW71*(1-IF((2060-2022)/I71&gt;=1,J71,H71+(J71-H71)*(3*((2060-2022)/I71)^2-2*((2060-2022)/I71)^3)))</f>
        <v>0.388159037408494</v>
      </c>
      <c r="AY71" s="30" t="n">
        <f aca="false">AX71*(1-IF((2061-2022)/I71&gt;=1,J71,H71+(J71-H71)*(3*((2061-2022)/I71)^2-2*((2061-2022)/I71)^3)))</f>
        <v>0.387693246563604</v>
      </c>
      <c r="AZ71" s="30" t="n">
        <f aca="false">AY71*(1-IF((2062-2022)/I71&gt;=1,J71,H71+(J71-H71)*(3*((2062-2022)/I71)^2-2*((2062-2022)/I71)^3)))</f>
        <v>0.387228014667728</v>
      </c>
      <c r="BA71" s="30" t="n">
        <f aca="false">AZ71*(1-IF((2063-2022)/I71&gt;=1,J71,H71+(J71-H71)*(3*((2063-2022)/I71)^2-2*((2063-2022)/I71)^3)))</f>
        <v>0.386763341050127</v>
      </c>
      <c r="BB71" s="30" t="n">
        <f aca="false">BA71*(1-IF((2064-2022)/I71&gt;=1,J71,H71+(J71-H71)*(3*((2064-2022)/I71)^2-2*((2064-2022)/I71)^3)))</f>
        <v>0.386299225040867</v>
      </c>
      <c r="BC71" s="30" t="n">
        <f aca="false">BB71*(1-IF((2065-2022)/I71&gt;=1,J71,H71+(J71-H71)*(3*((2065-2022)/I71)^2-2*((2065-2022)/I71)^3)))</f>
        <v>0.385835665970818</v>
      </c>
      <c r="BD71" s="30" t="n">
        <f aca="false">BC71*(1-IF((2066-2022)/I71&gt;=1,J71,H71+(J71-H71)*(3*((2066-2022)/I71)^2-2*((2066-2022)/I71)^3)))</f>
        <v>0.385372663171653</v>
      </c>
      <c r="BE71" s="30" t="n">
        <f aca="false">BD71*(1-IF((2067-2022)/I71&gt;=1,J71,H71+(J71-H71)*(3*((2067-2022)/I71)^2-2*((2067-2022)/I71)^3)))</f>
        <v>0.384910215975847</v>
      </c>
      <c r="BF71" s="30" t="n">
        <f aca="false">BE71*(1-IF((2068-2022)/I71&gt;=1,J71,H71+(J71-H71)*(3*((2068-2022)/I71)^2-2*((2068-2022)/I71)^3)))</f>
        <v>0.384448323716676</v>
      </c>
      <c r="BG71" s="30" t="n">
        <f aca="false">BF71*(1-IF((2069-2022)/I71&gt;=1,J71,H71+(J71-H71)*(3*((2069-2022)/I71)^2-2*((2069-2022)/I71)^3)))</f>
        <v>0.383986985728216</v>
      </c>
      <c r="BH71" s="30" t="n">
        <f aca="false">BG71*(1-IF((2070-2022)/I71&gt;=1,J71,H71+(J71-H71)*(3*((2070-2022)/I71)^2-2*((2070-2022)/I71)^3)))</f>
        <v>0.383526201345342</v>
      </c>
      <c r="BI71" s="30" t="n">
        <f aca="false">BH71*(1-IF((2071-2022)/I71&gt;=1,J71,H71+(J71-H71)*(3*((2071-2022)/I71)^2-2*((2071-2022)/I71)^3)))</f>
        <v>0.383065969903727</v>
      </c>
      <c r="BJ71" s="30" t="n">
        <f aca="false">BI71*(1-IF((2072-2022)/I71&gt;=1,J71,H71+(J71-H71)*(3*((2072-2022)/I71)^2-2*((2072-2022)/I71)^3)))</f>
        <v>0.382606290739843</v>
      </c>
      <c r="BK71" s="30" t="n">
        <f aca="false">BJ71*(1-IF((2073-2022)/I71&gt;=1,J71,H71+(J71-H71)*(3*((2073-2022)/I71)^2-2*((2073-2022)/I71)^3)))</f>
        <v>0.382147163190955</v>
      </c>
      <c r="BL71" s="30" t="n">
        <f aca="false">BK71*(1-IF((2074-2022)/I71&gt;=1,J71,H71+(J71-H71)*(3*((2074-2022)/I71)^2-2*((2074-2022)/I71)^3)))</f>
        <v>0.381688586595126</v>
      </c>
      <c r="BM71" s="30" t="n">
        <f aca="false">BL71*(1-IF((2075-2022)/I71&gt;=1,J71,H71+(J71-H71)*(3*((2075-2022)/I71)^2-2*((2075-2022)/I71)^3)))</f>
        <v>0.381230560291212</v>
      </c>
      <c r="BN71" s="30" t="n">
        <f aca="false">BM71*(1-IF((2076-2022)/I71&gt;=1,J71,H71+(J71-H71)*(3*((2076-2022)/I71)^2-2*((2076-2022)/I71)^3)))</f>
        <v>0.380773083618862</v>
      </c>
      <c r="BO71" s="30" t="n">
        <f aca="false">BN71*(1-IF((2077-2022)/I71&gt;=1,J71,H71+(J71-H71)*(3*((2077-2022)/I71)^2-2*((2077-2022)/I71)^3)))</f>
        <v>0.38031615591852</v>
      </c>
      <c r="BP71" s="30" t="n">
        <f aca="false">BO71*(1-IF((2078-2022)/I71&gt;=1,J71,H71+(J71-H71)*(3*((2078-2022)/I71)^2-2*((2078-2022)/I71)^3)))</f>
        <v>0.379859776531418</v>
      </c>
      <c r="BQ71" s="30" t="n">
        <f aca="false">BP71*(1-IF((2079-2022)/I71&gt;=1,J71,H71+(J71-H71)*(3*((2079-2022)/I71)^2-2*((2079-2022)/I71)^3)))</f>
        <v>0.37940394479958</v>
      </c>
      <c r="BR71" s="30" t="n">
        <f aca="false">BQ71*(1-IF((2080-2022)/I71&gt;=1,J71,H71+(J71-H71)*(3*((2080-2022)/I71)^2-2*((2080-2022)/I71)^3)))</f>
        <v>0.37894866006582</v>
      </c>
      <c r="BS71" s="30" t="n">
        <f aca="false">BR71*(1-IF((2081-2022)/I71&gt;=1,J71,H71+(J71-H71)*(3*((2081-2022)/I71)^2-2*((2081-2022)/I71)^3)))</f>
        <v>0.378493921673741</v>
      </c>
      <c r="BT71" s="30" t="n">
        <f aca="false">BS71*(1-IF((2082-2022)/I71&gt;=1,J71,H71+(J71-H71)*(3*((2082-2022)/I71)^2-2*((2082-2022)/I71)^3)))</f>
        <v>0.378039728967733</v>
      </c>
      <c r="BU71" s="30" t="n">
        <f aca="false">BT71*(1-IF((2083-2022)/I71&gt;=1,J71,H71+(J71-H71)*(3*((2083-2022)/I71)^2-2*((2083-2022)/I71)^3)))</f>
        <v>0.377586081292972</v>
      </c>
      <c r="BV71" s="30" t="n">
        <f aca="false">BU71*(1-IF((2084-2022)/I71&gt;=1,J71,H71+(J71-H71)*(3*((2084-2022)/I71)^2-2*((2084-2022)/I71)^3)))</f>
        <v>0.37713297799542</v>
      </c>
      <c r="BW71" s="30" t="n">
        <f aca="false">BV71*(1-IF((2085-2022)/I71&gt;=1,J71,H71+(J71-H71)*(3*((2085-2022)/I71)^2-2*((2085-2022)/I71)^3)))</f>
        <v>0.376680418421826</v>
      </c>
      <c r="BX71" s="30" t="n">
        <f aca="false">BW71*(1-IF((2086-2022)/I71&gt;=1,J71,H71+(J71-H71)*(3*((2086-2022)/I71)^2-2*((2086-2022)/I71)^3)))</f>
        <v>0.376228401919719</v>
      </c>
      <c r="BY71" s="30" t="n">
        <f aca="false">BX71*(1-IF((2087-2022)/I71&gt;=1,J71,H71+(J71-H71)*(3*((2087-2022)/I71)^2-2*((2087-2022)/I71)^3)))</f>
        <v>0.375776927837416</v>
      </c>
      <c r="BZ71" s="30" t="n">
        <f aca="false">BY71*(1-IF((2088-2022)/I71&gt;=1,J71,H71+(J71-H71)*(3*((2088-2022)/I71)^2-2*((2088-2022)/I71)^3)))</f>
        <v>0.375325995524011</v>
      </c>
      <c r="CA71" s="30" t="n">
        <f aca="false">BZ71*(1-IF((2089-2022)/I71&gt;=1,J71,H71+(J71-H71)*(3*((2089-2022)/I71)^2-2*((2089-2022)/I71)^3)))</f>
        <v>0.374875604329382</v>
      </c>
      <c r="CB71" s="30" t="n">
        <f aca="false">CA71*(1-IF((2090-2022)/I71&gt;=1,J71,H71+(J71-H71)*(3*((2090-2022)/I71)^2-2*((2090-2022)/I71)^3)))</f>
        <v>0.374425753604187</v>
      </c>
      <c r="CC71" s="30" t="n">
        <f aca="false">CB71*(1-IF((2091-2022)/I71&gt;=1,J71,H71+(J71-H71)*(3*((2091-2022)/I71)^2-2*((2091-2022)/I71)^3)))</f>
        <v>0.373976442699862</v>
      </c>
    </row>
    <row r="72" customFormat="false" ht="15" hidden="false" customHeight="true" outlineLevel="0" collapsed="false">
      <c r="A72" s="3" t="n">
        <v>109</v>
      </c>
      <c r="B72" s="30" t="n">
        <f aca="false">IF($A72&lt;=105,INDEX(ILT17_Source!$D$7:$D$52,MATCH($A72,ILT17_Source!$A$7:$A$52,0)),($B$16*EXP($B$17*$A72))/(1+$B$16*EXP($B$17*$A72)))</f>
        <v>0.474531772875924</v>
      </c>
      <c r="C72" s="31" t="n">
        <f aca="false">LOOKUP($A72,{60,65,70,75,80,85,90,95},{0.78,0.82,0.85,0.88,0.91,0.94,0.97,1})</f>
        <v>1</v>
      </c>
      <c r="D72" s="30" t="n">
        <f aca="false">B72*C72</f>
        <v>0.474531772875924</v>
      </c>
      <c r="E72" s="30" t="n">
        <f aca="false">1/(1+EXP(-(($B$6+$B$8*(2016-2022))+($B$7+$B$9*(2016-2022))*($A72-$B$10))))</f>
        <v>0.58827942794067</v>
      </c>
      <c r="F72" s="30" t="n">
        <f aca="false">1/(1+EXP(-(($B$6+$B$8*(2021-2022))+($B$7+$B$9*(2021-2022))*($A72-$B$10))))</f>
        <v>0.584706197558491</v>
      </c>
      <c r="G72" s="30" t="n">
        <f aca="false">1/(1+EXP(-(($B$6+$B$8*(2022-2022))+($B$7+$B$9*(2022-2022))*($A72-$B$10))))</f>
        <v>0.583990468502974</v>
      </c>
      <c r="H72" s="32" t="n">
        <f aca="false">(F72-G72)/F72</f>
        <v>0.00122408323788203</v>
      </c>
      <c r="I72" s="38" t="n">
        <f aca="false">IF($A72&lt;=50,$B$14,IF($A72&gt;=95,$B$15,$B$14+($B$15-$B$14)*($A72-50)/(95-50)))</f>
        <v>5</v>
      </c>
      <c r="J72" s="39" t="n">
        <f aca="false">IF($A72&lt;=$B$12,$B$11,IF($A72&gt;=$B$13,0,$B$11*($B$13-$A72)/($B$13-$B$12)))</f>
        <v>0.0006</v>
      </c>
      <c r="K72" s="30" t="n">
        <f aca="false">D72*G72/E72</f>
        <v>0.471072111651857</v>
      </c>
      <c r="L72" s="30" t="n">
        <f aca="false">K72*$B$19</f>
        <v>0.423964900486672</v>
      </c>
      <c r="M72" s="30" t="n">
        <f aca="false">L72*(1-IF((2023-2022)/I72&gt;=1,J72,H72+(J72-H72)*(3*((2023-2022)/I72)^2-2*((2023-2022)/I72)^3)))</f>
        <v>0.423473449454871</v>
      </c>
      <c r="N72" s="30" t="n">
        <f aca="false">M72*(1-IF((2024-2022)/I72&gt;=1,J72,H72+(J72-H72)*(3*((2024-2022)/I72)^2-2*((2024-2022)/I72)^3)))</f>
        <v>0.423048110207591</v>
      </c>
      <c r="O72" s="30" t="n">
        <f aca="false">N72*(1-IF((2025-2022)/I72&gt;=1,J72,H72+(J72-H72)*(3*((2025-2022)/I72)^2-2*((2025-2022)/I72)^3)))</f>
        <v>0.422701347274958</v>
      </c>
      <c r="P72" s="30" t="n">
        <f aca="false">O72*(1-IF((2026-2022)/I72&gt;=1,J72,H72+(J72-H72)*(3*((2026-2022)/I72)^2-2*((2026-2022)/I72)^3)))</f>
        <v>0.422420291180745</v>
      </c>
      <c r="Q72" s="30" t="n">
        <f aca="false">P72*(1-IF((2027-2022)/I72&gt;=1,J72,H72+(J72-H72)*(3*((2027-2022)/I72)^2-2*((2027-2022)/I72)^3)))</f>
        <v>0.422166839006036</v>
      </c>
      <c r="R72" s="30" t="n">
        <f aca="false">Q72*(1-IF((2028-2022)/I72&gt;=1,J72,H72+(J72-H72)*(3*((2028-2022)/I72)^2-2*((2028-2022)/I72)^3)))</f>
        <v>0.421913538902633</v>
      </c>
      <c r="S72" s="30" t="n">
        <f aca="false">R72*(1-IF((2029-2022)/I72&gt;=1,J72,H72+(J72-H72)*(3*((2029-2022)/I72)^2-2*((2029-2022)/I72)^3)))</f>
        <v>0.421660390779291</v>
      </c>
      <c r="T72" s="30" t="n">
        <f aca="false">S72*(1-IF((2030-2022)/I72&gt;=1,J72,H72+(J72-H72)*(3*((2030-2022)/I72)^2-2*((2030-2022)/I72)^3)))</f>
        <v>0.421407394544824</v>
      </c>
      <c r="U72" s="30" t="n">
        <f aca="false">T72*(1-IF((2031-2022)/I72&gt;=1,J72,H72+(J72-H72)*(3*((2031-2022)/I72)^2-2*((2031-2022)/I72)^3)))</f>
        <v>0.421154550108097</v>
      </c>
      <c r="V72" s="30" t="n">
        <f aca="false">U72*(1-IF((2032-2022)/I72&gt;=1,J72,H72+(J72-H72)*(3*((2032-2022)/I72)^2-2*((2032-2022)/I72)^3)))</f>
        <v>0.420901857378032</v>
      </c>
      <c r="W72" s="30" t="n">
        <f aca="false">V72*(1-IF((2033-2022)/I72&gt;=1,J72,H72+(J72-H72)*(3*((2033-2022)/I72)^2-2*((2033-2022)/I72)^3)))</f>
        <v>0.420649316263605</v>
      </c>
      <c r="X72" s="30" t="n">
        <f aca="false">W72*(1-IF((2034-2022)/I72&gt;=1,J72,H72+(J72-H72)*(3*((2034-2022)/I72)^2-2*((2034-2022)/I72)^3)))</f>
        <v>0.420396926673847</v>
      </c>
      <c r="Y72" s="30" t="n">
        <f aca="false">X72*(1-IF((2035-2022)/I72&gt;=1,J72,H72+(J72-H72)*(3*((2035-2022)/I72)^2-2*((2035-2022)/I72)^3)))</f>
        <v>0.420144688517842</v>
      </c>
      <c r="Z72" s="30" t="n">
        <f aca="false">Y72*(1-IF((2036-2022)/I72&gt;=1,J72,H72+(J72-H72)*(3*((2036-2022)/I72)^2-2*((2036-2022)/I72)^3)))</f>
        <v>0.419892601704732</v>
      </c>
      <c r="AA72" s="30" t="n">
        <f aca="false">Z72*(1-IF((2037-2022)/I72&gt;=1,J72,H72+(J72-H72)*(3*((2037-2022)/I72)^2-2*((2037-2022)/I72)^3)))</f>
        <v>0.419640666143709</v>
      </c>
      <c r="AB72" s="30" t="n">
        <f aca="false">AA72*(1-IF((2038-2022)/I72&gt;=1,J72,H72+(J72-H72)*(3*((2038-2022)/I72)^2-2*((2038-2022)/I72)^3)))</f>
        <v>0.419388881744023</v>
      </c>
      <c r="AC72" s="30" t="n">
        <f aca="false">AB72*(1-IF((2039-2022)/I72&gt;=1,J72,H72+(J72-H72)*(3*((2039-2022)/I72)^2-2*((2039-2022)/I72)^3)))</f>
        <v>0.419137248414976</v>
      </c>
      <c r="AD72" s="30" t="n">
        <f aca="false">AC72*(1-IF((2040-2022)/I72&gt;=1,J72,H72+(J72-H72)*(3*((2040-2022)/I72)^2-2*((2040-2022)/I72)^3)))</f>
        <v>0.418885766065927</v>
      </c>
      <c r="AE72" s="30" t="n">
        <f aca="false">AD72*(1-IF((2041-2022)/I72&gt;=1,J72,H72+(J72-H72)*(3*((2041-2022)/I72)^2-2*((2041-2022)/I72)^3)))</f>
        <v>0.418634434606288</v>
      </c>
      <c r="AF72" s="30" t="n">
        <f aca="false">AE72*(1-IF((2042-2022)/I72&gt;=1,J72,H72+(J72-H72)*(3*((2042-2022)/I72)^2-2*((2042-2022)/I72)^3)))</f>
        <v>0.418383253945524</v>
      </c>
      <c r="AG72" s="30" t="n">
        <f aca="false">AF72*(1-IF((2043-2022)/I72&gt;=1,J72,H72+(J72-H72)*(3*((2043-2022)/I72)^2-2*((2043-2022)/I72)^3)))</f>
        <v>0.418132223993156</v>
      </c>
      <c r="AH72" s="30" t="n">
        <f aca="false">AG72*(1-IF((2044-2022)/I72&gt;=1,J72,H72+(J72-H72)*(3*((2044-2022)/I72)^2-2*((2044-2022)/I72)^3)))</f>
        <v>0.417881344658761</v>
      </c>
      <c r="AI72" s="30" t="n">
        <f aca="false">AH72*(1-IF((2045-2022)/I72&gt;=1,J72,H72+(J72-H72)*(3*((2045-2022)/I72)^2-2*((2045-2022)/I72)^3)))</f>
        <v>0.417630615851965</v>
      </c>
      <c r="AJ72" s="30" t="n">
        <f aca="false">AI72*(1-IF((2046-2022)/I72&gt;=1,J72,H72+(J72-H72)*(3*((2046-2022)/I72)^2-2*((2046-2022)/I72)^3)))</f>
        <v>0.417380037482454</v>
      </c>
      <c r="AK72" s="30" t="n">
        <f aca="false">AJ72*(1-IF((2047-2022)/I72&gt;=1,J72,H72+(J72-H72)*(3*((2047-2022)/I72)^2-2*((2047-2022)/I72)^3)))</f>
        <v>0.417129609459965</v>
      </c>
      <c r="AL72" s="30" t="n">
        <f aca="false">AK72*(1-IF((2048-2022)/I72&gt;=1,J72,H72+(J72-H72)*(3*((2048-2022)/I72)^2-2*((2048-2022)/I72)^3)))</f>
        <v>0.416879331694289</v>
      </c>
      <c r="AM72" s="30" t="n">
        <f aca="false">AL72*(1-IF((2049-2022)/I72&gt;=1,J72,H72+(J72-H72)*(3*((2049-2022)/I72)^2-2*((2049-2022)/I72)^3)))</f>
        <v>0.416629204095272</v>
      </c>
      <c r="AN72" s="30" t="n">
        <f aca="false">AM72*(1-IF((2050-2022)/I72&gt;=1,J72,H72+(J72-H72)*(3*((2050-2022)/I72)^2-2*((2050-2022)/I72)^3)))</f>
        <v>0.416379226572815</v>
      </c>
      <c r="AO72" s="30" t="n">
        <f aca="false">AN72*(1-IF((2051-2022)/I72&gt;=1,J72,H72+(J72-H72)*(3*((2051-2022)/I72)^2-2*((2051-2022)/I72)^3)))</f>
        <v>0.416129399036871</v>
      </c>
      <c r="AP72" s="30" t="n">
        <f aca="false">AO72*(1-IF((2052-2022)/I72&gt;=1,J72,H72+(J72-H72)*(3*((2052-2022)/I72)^2-2*((2052-2022)/I72)^3)))</f>
        <v>0.415879721397449</v>
      </c>
      <c r="AQ72" s="30" t="n">
        <f aca="false">AP72*(1-IF((2053-2022)/I72&gt;=1,J72,H72+(J72-H72)*(3*((2053-2022)/I72)^2-2*((2053-2022)/I72)^3)))</f>
        <v>0.41563019356461</v>
      </c>
      <c r="AR72" s="30" t="n">
        <f aca="false">AQ72*(1-IF((2054-2022)/I72&gt;=1,J72,H72+(J72-H72)*(3*((2054-2022)/I72)^2-2*((2054-2022)/I72)^3)))</f>
        <v>0.415380815448472</v>
      </c>
      <c r="AS72" s="30" t="n">
        <f aca="false">AR72*(1-IF((2055-2022)/I72&gt;=1,J72,H72+(J72-H72)*(3*((2055-2022)/I72)^2-2*((2055-2022)/I72)^3)))</f>
        <v>0.415131586959203</v>
      </c>
      <c r="AT72" s="30" t="n">
        <f aca="false">AS72*(1-IF((2056-2022)/I72&gt;=1,J72,H72+(J72-H72)*(3*((2056-2022)/I72)^2-2*((2056-2022)/I72)^3)))</f>
        <v>0.414882508007027</v>
      </c>
      <c r="AU72" s="30" t="n">
        <f aca="false">AT72*(1-IF((2057-2022)/I72&gt;=1,J72,H72+(J72-H72)*(3*((2057-2022)/I72)^2-2*((2057-2022)/I72)^3)))</f>
        <v>0.414633578502223</v>
      </c>
      <c r="AV72" s="30" t="n">
        <f aca="false">AU72*(1-IF((2058-2022)/I72&gt;=1,J72,H72+(J72-H72)*(3*((2058-2022)/I72)^2-2*((2058-2022)/I72)^3)))</f>
        <v>0.414384798355122</v>
      </c>
      <c r="AW72" s="30" t="n">
        <f aca="false">AV72*(1-IF((2059-2022)/I72&gt;=1,J72,H72+(J72-H72)*(3*((2059-2022)/I72)^2-2*((2059-2022)/I72)^3)))</f>
        <v>0.414136167476108</v>
      </c>
      <c r="AX72" s="30" t="n">
        <f aca="false">AW72*(1-IF((2060-2022)/I72&gt;=1,J72,H72+(J72-H72)*(3*((2060-2022)/I72)^2-2*((2060-2022)/I72)^3)))</f>
        <v>0.413887685775623</v>
      </c>
      <c r="AY72" s="30" t="n">
        <f aca="false">AX72*(1-IF((2061-2022)/I72&gt;=1,J72,H72+(J72-H72)*(3*((2061-2022)/I72)^2-2*((2061-2022)/I72)^3)))</f>
        <v>0.413639353164157</v>
      </c>
      <c r="AZ72" s="30" t="n">
        <f aca="false">AY72*(1-IF((2062-2022)/I72&gt;=1,J72,H72+(J72-H72)*(3*((2062-2022)/I72)^2-2*((2062-2022)/I72)^3)))</f>
        <v>0.413391169552259</v>
      </c>
      <c r="BA72" s="30" t="n">
        <f aca="false">AZ72*(1-IF((2063-2022)/I72&gt;=1,J72,H72+(J72-H72)*(3*((2063-2022)/I72)^2-2*((2063-2022)/I72)^3)))</f>
        <v>0.413143134850527</v>
      </c>
      <c r="BB72" s="30" t="n">
        <f aca="false">BA72*(1-IF((2064-2022)/I72&gt;=1,J72,H72+(J72-H72)*(3*((2064-2022)/I72)^2-2*((2064-2022)/I72)^3)))</f>
        <v>0.412895248969617</v>
      </c>
      <c r="BC72" s="30" t="n">
        <f aca="false">BB72*(1-IF((2065-2022)/I72&gt;=1,J72,H72+(J72-H72)*(3*((2065-2022)/I72)^2-2*((2065-2022)/I72)^3)))</f>
        <v>0.412647511820235</v>
      </c>
      <c r="BD72" s="30" t="n">
        <f aca="false">BC72*(1-IF((2066-2022)/I72&gt;=1,J72,H72+(J72-H72)*(3*((2066-2022)/I72)^2-2*((2066-2022)/I72)^3)))</f>
        <v>0.412399923313143</v>
      </c>
      <c r="BE72" s="30" t="n">
        <f aca="false">BD72*(1-IF((2067-2022)/I72&gt;=1,J72,H72+(J72-H72)*(3*((2067-2022)/I72)^2-2*((2067-2022)/I72)^3)))</f>
        <v>0.412152483359155</v>
      </c>
      <c r="BF72" s="30" t="n">
        <f aca="false">BE72*(1-IF((2068-2022)/I72&gt;=1,J72,H72+(J72-H72)*(3*((2068-2022)/I72)^2-2*((2068-2022)/I72)^3)))</f>
        <v>0.41190519186914</v>
      </c>
      <c r="BG72" s="30" t="n">
        <f aca="false">BF72*(1-IF((2069-2022)/I72&gt;=1,J72,H72+(J72-H72)*(3*((2069-2022)/I72)^2-2*((2069-2022)/I72)^3)))</f>
        <v>0.411658048754018</v>
      </c>
      <c r="BH72" s="30" t="n">
        <f aca="false">BG72*(1-IF((2070-2022)/I72&gt;=1,J72,H72+(J72-H72)*(3*((2070-2022)/I72)^2-2*((2070-2022)/I72)^3)))</f>
        <v>0.411411053924766</v>
      </c>
      <c r="BI72" s="30" t="n">
        <f aca="false">BH72*(1-IF((2071-2022)/I72&gt;=1,J72,H72+(J72-H72)*(3*((2071-2022)/I72)^2-2*((2071-2022)/I72)^3)))</f>
        <v>0.411164207292411</v>
      </c>
      <c r="BJ72" s="30" t="n">
        <f aca="false">BI72*(1-IF((2072-2022)/I72&gt;=1,J72,H72+(J72-H72)*(3*((2072-2022)/I72)^2-2*((2072-2022)/I72)^3)))</f>
        <v>0.410917508768035</v>
      </c>
      <c r="BK72" s="30" t="n">
        <f aca="false">BJ72*(1-IF((2073-2022)/I72&gt;=1,J72,H72+(J72-H72)*(3*((2073-2022)/I72)^2-2*((2073-2022)/I72)^3)))</f>
        <v>0.410670958262775</v>
      </c>
      <c r="BL72" s="30" t="n">
        <f aca="false">BK72*(1-IF((2074-2022)/I72&gt;=1,J72,H72+(J72-H72)*(3*((2074-2022)/I72)^2-2*((2074-2022)/I72)^3)))</f>
        <v>0.410424555687817</v>
      </c>
      <c r="BM72" s="30" t="n">
        <f aca="false">BL72*(1-IF((2075-2022)/I72&gt;=1,J72,H72+(J72-H72)*(3*((2075-2022)/I72)^2-2*((2075-2022)/I72)^3)))</f>
        <v>0.410178300954404</v>
      </c>
      <c r="BN72" s="30" t="n">
        <f aca="false">BM72*(1-IF((2076-2022)/I72&gt;=1,J72,H72+(J72-H72)*(3*((2076-2022)/I72)^2-2*((2076-2022)/I72)^3)))</f>
        <v>0.409932193973832</v>
      </c>
      <c r="BO72" s="30" t="n">
        <f aca="false">BN72*(1-IF((2077-2022)/I72&gt;=1,J72,H72+(J72-H72)*(3*((2077-2022)/I72)^2-2*((2077-2022)/I72)^3)))</f>
        <v>0.409686234657447</v>
      </c>
      <c r="BP72" s="30" t="n">
        <f aca="false">BO72*(1-IF((2078-2022)/I72&gt;=1,J72,H72+(J72-H72)*(3*((2078-2022)/I72)^2-2*((2078-2022)/I72)^3)))</f>
        <v>0.409440422916653</v>
      </c>
      <c r="BQ72" s="30" t="n">
        <f aca="false">BP72*(1-IF((2079-2022)/I72&gt;=1,J72,H72+(J72-H72)*(3*((2079-2022)/I72)^2-2*((2079-2022)/I72)^3)))</f>
        <v>0.409194758662903</v>
      </c>
      <c r="BR72" s="30" t="n">
        <f aca="false">BQ72*(1-IF((2080-2022)/I72&gt;=1,J72,H72+(J72-H72)*(3*((2080-2022)/I72)^2-2*((2080-2022)/I72)^3)))</f>
        <v>0.408949241807705</v>
      </c>
      <c r="BS72" s="30" t="n">
        <f aca="false">BR72*(1-IF((2081-2022)/I72&gt;=1,J72,H72+(J72-H72)*(3*((2081-2022)/I72)^2-2*((2081-2022)/I72)^3)))</f>
        <v>0.40870387226262</v>
      </c>
      <c r="BT72" s="30" t="n">
        <f aca="false">BS72*(1-IF((2082-2022)/I72&gt;=1,J72,H72+(J72-H72)*(3*((2082-2022)/I72)^2-2*((2082-2022)/I72)^3)))</f>
        <v>0.408458649939263</v>
      </c>
      <c r="BU72" s="30" t="n">
        <f aca="false">BT72*(1-IF((2083-2022)/I72&gt;=1,J72,H72+(J72-H72)*(3*((2083-2022)/I72)^2-2*((2083-2022)/I72)^3)))</f>
        <v>0.408213574749299</v>
      </c>
      <c r="BV72" s="30" t="n">
        <f aca="false">BU72*(1-IF((2084-2022)/I72&gt;=1,J72,H72+(J72-H72)*(3*((2084-2022)/I72)^2-2*((2084-2022)/I72)^3)))</f>
        <v>0.40796864660445</v>
      </c>
      <c r="BW72" s="30" t="n">
        <f aca="false">BV72*(1-IF((2085-2022)/I72&gt;=1,J72,H72+(J72-H72)*(3*((2085-2022)/I72)^2-2*((2085-2022)/I72)^3)))</f>
        <v>0.407723865416487</v>
      </c>
      <c r="BX72" s="30" t="n">
        <f aca="false">BW72*(1-IF((2086-2022)/I72&gt;=1,J72,H72+(J72-H72)*(3*((2086-2022)/I72)^2-2*((2086-2022)/I72)^3)))</f>
        <v>0.407479231097237</v>
      </c>
      <c r="BY72" s="30" t="n">
        <f aca="false">BX72*(1-IF((2087-2022)/I72&gt;=1,J72,H72+(J72-H72)*(3*((2087-2022)/I72)^2-2*((2087-2022)/I72)^3)))</f>
        <v>0.407234743558579</v>
      </c>
      <c r="BZ72" s="30" t="n">
        <f aca="false">BY72*(1-IF((2088-2022)/I72&gt;=1,J72,H72+(J72-H72)*(3*((2088-2022)/I72)^2-2*((2088-2022)/I72)^3)))</f>
        <v>0.406990402712443</v>
      </c>
      <c r="CA72" s="30" t="n">
        <f aca="false">BZ72*(1-IF((2089-2022)/I72&gt;=1,J72,H72+(J72-H72)*(3*((2089-2022)/I72)^2-2*((2089-2022)/I72)^3)))</f>
        <v>0.406746208470816</v>
      </c>
      <c r="CB72" s="30" t="n">
        <f aca="false">CA72*(1-IF((2090-2022)/I72&gt;=1,J72,H72+(J72-H72)*(3*((2090-2022)/I72)^2-2*((2090-2022)/I72)^3)))</f>
        <v>0.406502160745733</v>
      </c>
      <c r="CC72" s="30" t="n">
        <f aca="false">CB72*(1-IF((2091-2022)/I72&gt;=1,J72,H72+(J72-H72)*(3*((2091-2022)/I72)^2-2*((2091-2022)/I72)^3)))</f>
        <v>0.406258259449286</v>
      </c>
    </row>
    <row r="73" customFormat="false" ht="15" hidden="false" customHeight="true" outlineLevel="0" collapsed="false">
      <c r="A73" s="3" t="n">
        <v>110</v>
      </c>
      <c r="B73" s="30" t="n">
        <f aca="false">IF($A73&lt;=105,INDEX(ILT17_Source!$D$7:$D$52,MATCH($A73,ILT17_Source!$A$7:$A$52,0)),($B$16*EXP($B$17*$A73))/(1+$B$16*EXP($B$17*$A73)))</f>
        <v>0.493199164726277</v>
      </c>
      <c r="C73" s="31" t="n">
        <f aca="false">LOOKUP($A73,{60,65,70,75,80,85,90,95},{0.78,0.82,0.85,0.88,0.91,0.94,0.97,1})</f>
        <v>1</v>
      </c>
      <c r="D73" s="30" t="n">
        <f aca="false">B73*C73</f>
        <v>0.493199164726277</v>
      </c>
      <c r="E73" s="30" t="n">
        <f aca="false">1/(1+EXP(-(($B$6+$B$8*(2016-2022))+($B$7+$B$9*(2016-2022))*($A73-$B$10))))</f>
        <v>0.614803105523214</v>
      </c>
      <c r="F73" s="30" t="n">
        <f aca="false">1/(1+EXP(-(($B$6+$B$8*(2021-2022))+($B$7+$B$9*(2021-2022))*($A73-$B$10))))</f>
        <v>0.611957121580534</v>
      </c>
      <c r="G73" s="30" t="n">
        <f aca="false">1/(1+EXP(-(($B$6+$B$8*(2022-2022))+($B$7+$B$9*(2022-2022))*($A73-$B$10))))</f>
        <v>0.61138700025453</v>
      </c>
      <c r="H73" s="32" t="n">
        <f aca="false">(F73-G73)/F73</f>
        <v>0.000931636067133898</v>
      </c>
      <c r="I73" s="38" t="n">
        <f aca="false">IF($A73&lt;=50,$B$14,IF($A73&gt;=95,$B$15,$B$14+($B$15-$B$14)*($A73-50)/(95-50)))</f>
        <v>5</v>
      </c>
      <c r="J73" s="39" t="n">
        <f aca="false">IF($A73&lt;=$B$12,$B$11,IF($A73&gt;=$B$13,0,$B$11*($B$13-$A73)/($B$13-$B$12)))</f>
        <v>0</v>
      </c>
      <c r="K73" s="30" t="n">
        <f aca="false">D73*G73/E73</f>
        <v>0.490458742223534</v>
      </c>
      <c r="L73" s="30" t="n">
        <f aca="false">K73*$B$19</f>
        <v>0.441412868001181</v>
      </c>
      <c r="M73" s="30" t="n">
        <f aca="false">L73*(1-IF((2023-2022)/I73&gt;=1,J73,H73+(J73-H73)*(3*((2023-2022)/I73)^2-2*((2023-2022)/I73)^3)))</f>
        <v>0.44104440041228</v>
      </c>
      <c r="N73" s="30" t="n">
        <f aca="false">M73*(1-IF((2024-2022)/I73&gt;=1,J73,H73+(J73-H73)*(3*((2024-2022)/I73)^2-2*((2024-2022)/I73)^3)))</f>
        <v>0.44077814183211</v>
      </c>
      <c r="O73" s="30" t="n">
        <f aca="false">N73*(1-IF((2025-2022)/I73&gt;=1,J73,H73+(J73-H73)*(3*((2025-2022)/I73)^2-2*((2025-2022)/I73)^3)))</f>
        <v>0.440633594857394</v>
      </c>
      <c r="P73" s="30" t="n">
        <f aca="false">O73*(1-IF((2026-2022)/I73&gt;=1,J73,H73+(J73-H73)*(3*((2026-2022)/I73)^2-2*((2026-2022)/I73)^3)))</f>
        <v>0.440590901801861</v>
      </c>
      <c r="Q73" s="30" t="n">
        <f aca="false">P73*(1-IF((2027-2022)/I73&gt;=1,J73,H73+(J73-H73)*(3*((2027-2022)/I73)^2-2*((2027-2022)/I73)^3)))</f>
        <v>0.440590901801861</v>
      </c>
      <c r="R73" s="30" t="n">
        <f aca="false">Q73*(1-IF((2028-2022)/I73&gt;=1,J73,H73+(J73-H73)*(3*((2028-2022)/I73)^2-2*((2028-2022)/I73)^3)))</f>
        <v>0.440590901801861</v>
      </c>
      <c r="S73" s="30" t="n">
        <f aca="false">R73*(1-IF((2029-2022)/I73&gt;=1,J73,H73+(J73-H73)*(3*((2029-2022)/I73)^2-2*((2029-2022)/I73)^3)))</f>
        <v>0.440590901801861</v>
      </c>
      <c r="T73" s="30" t="n">
        <f aca="false">S73*(1-IF((2030-2022)/I73&gt;=1,J73,H73+(J73-H73)*(3*((2030-2022)/I73)^2-2*((2030-2022)/I73)^3)))</f>
        <v>0.440590901801861</v>
      </c>
      <c r="U73" s="30" t="n">
        <f aca="false">T73*(1-IF((2031-2022)/I73&gt;=1,J73,H73+(J73-H73)*(3*((2031-2022)/I73)^2-2*((2031-2022)/I73)^3)))</f>
        <v>0.440590901801861</v>
      </c>
      <c r="V73" s="30" t="n">
        <f aca="false">U73*(1-IF((2032-2022)/I73&gt;=1,J73,H73+(J73-H73)*(3*((2032-2022)/I73)^2-2*((2032-2022)/I73)^3)))</f>
        <v>0.440590901801861</v>
      </c>
      <c r="W73" s="30" t="n">
        <f aca="false">V73*(1-IF((2033-2022)/I73&gt;=1,J73,H73+(J73-H73)*(3*((2033-2022)/I73)^2-2*((2033-2022)/I73)^3)))</f>
        <v>0.440590901801861</v>
      </c>
      <c r="X73" s="30" t="n">
        <f aca="false">W73*(1-IF((2034-2022)/I73&gt;=1,J73,H73+(J73-H73)*(3*((2034-2022)/I73)^2-2*((2034-2022)/I73)^3)))</f>
        <v>0.440590901801861</v>
      </c>
      <c r="Y73" s="30" t="n">
        <f aca="false">X73*(1-IF((2035-2022)/I73&gt;=1,J73,H73+(J73-H73)*(3*((2035-2022)/I73)^2-2*((2035-2022)/I73)^3)))</f>
        <v>0.440590901801861</v>
      </c>
      <c r="Z73" s="30" t="n">
        <f aca="false">Y73*(1-IF((2036-2022)/I73&gt;=1,J73,H73+(J73-H73)*(3*((2036-2022)/I73)^2-2*((2036-2022)/I73)^3)))</f>
        <v>0.440590901801861</v>
      </c>
      <c r="AA73" s="30" t="n">
        <f aca="false">Z73*(1-IF((2037-2022)/I73&gt;=1,J73,H73+(J73-H73)*(3*((2037-2022)/I73)^2-2*((2037-2022)/I73)^3)))</f>
        <v>0.440590901801861</v>
      </c>
      <c r="AB73" s="30" t="n">
        <f aca="false">AA73*(1-IF((2038-2022)/I73&gt;=1,J73,H73+(J73-H73)*(3*((2038-2022)/I73)^2-2*((2038-2022)/I73)^3)))</f>
        <v>0.440590901801861</v>
      </c>
      <c r="AC73" s="30" t="n">
        <f aca="false">AB73*(1-IF((2039-2022)/I73&gt;=1,J73,H73+(J73-H73)*(3*((2039-2022)/I73)^2-2*((2039-2022)/I73)^3)))</f>
        <v>0.440590901801861</v>
      </c>
      <c r="AD73" s="30" t="n">
        <f aca="false">AC73*(1-IF((2040-2022)/I73&gt;=1,J73,H73+(J73-H73)*(3*((2040-2022)/I73)^2-2*((2040-2022)/I73)^3)))</f>
        <v>0.440590901801861</v>
      </c>
      <c r="AE73" s="30" t="n">
        <f aca="false">AD73*(1-IF((2041-2022)/I73&gt;=1,J73,H73+(J73-H73)*(3*((2041-2022)/I73)^2-2*((2041-2022)/I73)^3)))</f>
        <v>0.440590901801861</v>
      </c>
      <c r="AF73" s="30" t="n">
        <f aca="false">AE73*(1-IF((2042-2022)/I73&gt;=1,J73,H73+(J73-H73)*(3*((2042-2022)/I73)^2-2*((2042-2022)/I73)^3)))</f>
        <v>0.440590901801861</v>
      </c>
      <c r="AG73" s="30" t="n">
        <f aca="false">AF73*(1-IF((2043-2022)/I73&gt;=1,J73,H73+(J73-H73)*(3*((2043-2022)/I73)^2-2*((2043-2022)/I73)^3)))</f>
        <v>0.440590901801861</v>
      </c>
      <c r="AH73" s="30" t="n">
        <f aca="false">AG73*(1-IF((2044-2022)/I73&gt;=1,J73,H73+(J73-H73)*(3*((2044-2022)/I73)^2-2*((2044-2022)/I73)^3)))</f>
        <v>0.440590901801861</v>
      </c>
      <c r="AI73" s="30" t="n">
        <f aca="false">AH73*(1-IF((2045-2022)/I73&gt;=1,J73,H73+(J73-H73)*(3*((2045-2022)/I73)^2-2*((2045-2022)/I73)^3)))</f>
        <v>0.440590901801861</v>
      </c>
      <c r="AJ73" s="30" t="n">
        <f aca="false">AI73*(1-IF((2046-2022)/I73&gt;=1,J73,H73+(J73-H73)*(3*((2046-2022)/I73)^2-2*((2046-2022)/I73)^3)))</f>
        <v>0.440590901801861</v>
      </c>
      <c r="AK73" s="30" t="n">
        <f aca="false">AJ73*(1-IF((2047-2022)/I73&gt;=1,J73,H73+(J73-H73)*(3*((2047-2022)/I73)^2-2*((2047-2022)/I73)^3)))</f>
        <v>0.440590901801861</v>
      </c>
      <c r="AL73" s="30" t="n">
        <f aca="false">AK73*(1-IF((2048-2022)/I73&gt;=1,J73,H73+(J73-H73)*(3*((2048-2022)/I73)^2-2*((2048-2022)/I73)^3)))</f>
        <v>0.440590901801861</v>
      </c>
      <c r="AM73" s="30" t="n">
        <f aca="false">AL73*(1-IF((2049-2022)/I73&gt;=1,J73,H73+(J73-H73)*(3*((2049-2022)/I73)^2-2*((2049-2022)/I73)^3)))</f>
        <v>0.440590901801861</v>
      </c>
      <c r="AN73" s="30" t="n">
        <f aca="false">AM73*(1-IF((2050-2022)/I73&gt;=1,J73,H73+(J73-H73)*(3*((2050-2022)/I73)^2-2*((2050-2022)/I73)^3)))</f>
        <v>0.440590901801861</v>
      </c>
      <c r="AO73" s="30" t="n">
        <f aca="false">AN73*(1-IF((2051-2022)/I73&gt;=1,J73,H73+(J73-H73)*(3*((2051-2022)/I73)^2-2*((2051-2022)/I73)^3)))</f>
        <v>0.440590901801861</v>
      </c>
      <c r="AP73" s="30" t="n">
        <f aca="false">AO73*(1-IF((2052-2022)/I73&gt;=1,J73,H73+(J73-H73)*(3*((2052-2022)/I73)^2-2*((2052-2022)/I73)^3)))</f>
        <v>0.440590901801861</v>
      </c>
      <c r="AQ73" s="30" t="n">
        <f aca="false">AP73*(1-IF((2053-2022)/I73&gt;=1,J73,H73+(J73-H73)*(3*((2053-2022)/I73)^2-2*((2053-2022)/I73)^3)))</f>
        <v>0.440590901801861</v>
      </c>
      <c r="AR73" s="30" t="n">
        <f aca="false">AQ73*(1-IF((2054-2022)/I73&gt;=1,J73,H73+(J73-H73)*(3*((2054-2022)/I73)^2-2*((2054-2022)/I73)^3)))</f>
        <v>0.440590901801861</v>
      </c>
      <c r="AS73" s="30" t="n">
        <f aca="false">AR73*(1-IF((2055-2022)/I73&gt;=1,J73,H73+(J73-H73)*(3*((2055-2022)/I73)^2-2*((2055-2022)/I73)^3)))</f>
        <v>0.440590901801861</v>
      </c>
      <c r="AT73" s="30" t="n">
        <f aca="false">AS73*(1-IF((2056-2022)/I73&gt;=1,J73,H73+(J73-H73)*(3*((2056-2022)/I73)^2-2*((2056-2022)/I73)^3)))</f>
        <v>0.440590901801861</v>
      </c>
      <c r="AU73" s="30" t="n">
        <f aca="false">AT73*(1-IF((2057-2022)/I73&gt;=1,J73,H73+(J73-H73)*(3*((2057-2022)/I73)^2-2*((2057-2022)/I73)^3)))</f>
        <v>0.440590901801861</v>
      </c>
      <c r="AV73" s="30" t="n">
        <f aca="false">AU73*(1-IF((2058-2022)/I73&gt;=1,J73,H73+(J73-H73)*(3*((2058-2022)/I73)^2-2*((2058-2022)/I73)^3)))</f>
        <v>0.440590901801861</v>
      </c>
      <c r="AW73" s="30" t="n">
        <f aca="false">AV73*(1-IF((2059-2022)/I73&gt;=1,J73,H73+(J73-H73)*(3*((2059-2022)/I73)^2-2*((2059-2022)/I73)^3)))</f>
        <v>0.440590901801861</v>
      </c>
      <c r="AX73" s="30" t="n">
        <f aca="false">AW73*(1-IF((2060-2022)/I73&gt;=1,J73,H73+(J73-H73)*(3*((2060-2022)/I73)^2-2*((2060-2022)/I73)^3)))</f>
        <v>0.440590901801861</v>
      </c>
      <c r="AY73" s="30" t="n">
        <f aca="false">AX73*(1-IF((2061-2022)/I73&gt;=1,J73,H73+(J73-H73)*(3*((2061-2022)/I73)^2-2*((2061-2022)/I73)^3)))</f>
        <v>0.440590901801861</v>
      </c>
      <c r="AZ73" s="30" t="n">
        <f aca="false">AY73*(1-IF((2062-2022)/I73&gt;=1,J73,H73+(J73-H73)*(3*((2062-2022)/I73)^2-2*((2062-2022)/I73)^3)))</f>
        <v>0.440590901801861</v>
      </c>
      <c r="BA73" s="30" t="n">
        <f aca="false">AZ73*(1-IF((2063-2022)/I73&gt;=1,J73,H73+(J73-H73)*(3*((2063-2022)/I73)^2-2*((2063-2022)/I73)^3)))</f>
        <v>0.440590901801861</v>
      </c>
      <c r="BB73" s="30" t="n">
        <f aca="false">BA73*(1-IF((2064-2022)/I73&gt;=1,J73,H73+(J73-H73)*(3*((2064-2022)/I73)^2-2*((2064-2022)/I73)^3)))</f>
        <v>0.440590901801861</v>
      </c>
      <c r="BC73" s="30" t="n">
        <f aca="false">BB73*(1-IF((2065-2022)/I73&gt;=1,J73,H73+(J73-H73)*(3*((2065-2022)/I73)^2-2*((2065-2022)/I73)^3)))</f>
        <v>0.440590901801861</v>
      </c>
      <c r="BD73" s="30" t="n">
        <f aca="false">BC73*(1-IF((2066-2022)/I73&gt;=1,J73,H73+(J73-H73)*(3*((2066-2022)/I73)^2-2*((2066-2022)/I73)^3)))</f>
        <v>0.440590901801861</v>
      </c>
      <c r="BE73" s="30" t="n">
        <f aca="false">BD73*(1-IF((2067-2022)/I73&gt;=1,J73,H73+(J73-H73)*(3*((2067-2022)/I73)^2-2*((2067-2022)/I73)^3)))</f>
        <v>0.440590901801861</v>
      </c>
      <c r="BF73" s="30" t="n">
        <f aca="false">BE73*(1-IF((2068-2022)/I73&gt;=1,J73,H73+(J73-H73)*(3*((2068-2022)/I73)^2-2*((2068-2022)/I73)^3)))</f>
        <v>0.440590901801861</v>
      </c>
      <c r="BG73" s="30" t="n">
        <f aca="false">BF73*(1-IF((2069-2022)/I73&gt;=1,J73,H73+(J73-H73)*(3*((2069-2022)/I73)^2-2*((2069-2022)/I73)^3)))</f>
        <v>0.440590901801861</v>
      </c>
      <c r="BH73" s="30" t="n">
        <f aca="false">BG73*(1-IF((2070-2022)/I73&gt;=1,J73,H73+(J73-H73)*(3*((2070-2022)/I73)^2-2*((2070-2022)/I73)^3)))</f>
        <v>0.440590901801861</v>
      </c>
      <c r="BI73" s="30" t="n">
        <f aca="false">BH73*(1-IF((2071-2022)/I73&gt;=1,J73,H73+(J73-H73)*(3*((2071-2022)/I73)^2-2*((2071-2022)/I73)^3)))</f>
        <v>0.440590901801861</v>
      </c>
      <c r="BJ73" s="30" t="n">
        <f aca="false">BI73*(1-IF((2072-2022)/I73&gt;=1,J73,H73+(J73-H73)*(3*((2072-2022)/I73)^2-2*((2072-2022)/I73)^3)))</f>
        <v>0.440590901801861</v>
      </c>
      <c r="BK73" s="30" t="n">
        <f aca="false">BJ73*(1-IF((2073-2022)/I73&gt;=1,J73,H73+(J73-H73)*(3*((2073-2022)/I73)^2-2*((2073-2022)/I73)^3)))</f>
        <v>0.440590901801861</v>
      </c>
      <c r="BL73" s="30" t="n">
        <f aca="false">BK73*(1-IF((2074-2022)/I73&gt;=1,J73,H73+(J73-H73)*(3*((2074-2022)/I73)^2-2*((2074-2022)/I73)^3)))</f>
        <v>0.440590901801861</v>
      </c>
      <c r="BM73" s="30" t="n">
        <f aca="false">BL73*(1-IF((2075-2022)/I73&gt;=1,J73,H73+(J73-H73)*(3*((2075-2022)/I73)^2-2*((2075-2022)/I73)^3)))</f>
        <v>0.440590901801861</v>
      </c>
      <c r="BN73" s="30" t="n">
        <f aca="false">BM73*(1-IF((2076-2022)/I73&gt;=1,J73,H73+(J73-H73)*(3*((2076-2022)/I73)^2-2*((2076-2022)/I73)^3)))</f>
        <v>0.440590901801861</v>
      </c>
      <c r="BO73" s="30" t="n">
        <f aca="false">BN73*(1-IF((2077-2022)/I73&gt;=1,J73,H73+(J73-H73)*(3*((2077-2022)/I73)^2-2*((2077-2022)/I73)^3)))</f>
        <v>0.440590901801861</v>
      </c>
      <c r="BP73" s="30" t="n">
        <f aca="false">BO73*(1-IF((2078-2022)/I73&gt;=1,J73,H73+(J73-H73)*(3*((2078-2022)/I73)^2-2*((2078-2022)/I73)^3)))</f>
        <v>0.440590901801861</v>
      </c>
      <c r="BQ73" s="30" t="n">
        <f aca="false">BP73*(1-IF((2079-2022)/I73&gt;=1,J73,H73+(J73-H73)*(3*((2079-2022)/I73)^2-2*((2079-2022)/I73)^3)))</f>
        <v>0.440590901801861</v>
      </c>
      <c r="BR73" s="30" t="n">
        <f aca="false">BQ73*(1-IF((2080-2022)/I73&gt;=1,J73,H73+(J73-H73)*(3*((2080-2022)/I73)^2-2*((2080-2022)/I73)^3)))</f>
        <v>0.440590901801861</v>
      </c>
      <c r="BS73" s="30" t="n">
        <f aca="false">BR73*(1-IF((2081-2022)/I73&gt;=1,J73,H73+(J73-H73)*(3*((2081-2022)/I73)^2-2*((2081-2022)/I73)^3)))</f>
        <v>0.440590901801861</v>
      </c>
      <c r="BT73" s="30" t="n">
        <f aca="false">BS73*(1-IF((2082-2022)/I73&gt;=1,J73,H73+(J73-H73)*(3*((2082-2022)/I73)^2-2*((2082-2022)/I73)^3)))</f>
        <v>0.440590901801861</v>
      </c>
      <c r="BU73" s="30" t="n">
        <f aca="false">BT73*(1-IF((2083-2022)/I73&gt;=1,J73,H73+(J73-H73)*(3*((2083-2022)/I73)^2-2*((2083-2022)/I73)^3)))</f>
        <v>0.440590901801861</v>
      </c>
      <c r="BV73" s="30" t="n">
        <f aca="false">BU73*(1-IF((2084-2022)/I73&gt;=1,J73,H73+(J73-H73)*(3*((2084-2022)/I73)^2-2*((2084-2022)/I73)^3)))</f>
        <v>0.440590901801861</v>
      </c>
      <c r="BW73" s="30" t="n">
        <f aca="false">BV73*(1-IF((2085-2022)/I73&gt;=1,J73,H73+(J73-H73)*(3*((2085-2022)/I73)^2-2*((2085-2022)/I73)^3)))</f>
        <v>0.440590901801861</v>
      </c>
      <c r="BX73" s="30" t="n">
        <f aca="false">BW73*(1-IF((2086-2022)/I73&gt;=1,J73,H73+(J73-H73)*(3*((2086-2022)/I73)^2-2*((2086-2022)/I73)^3)))</f>
        <v>0.440590901801861</v>
      </c>
      <c r="BY73" s="30" t="n">
        <f aca="false">BX73*(1-IF((2087-2022)/I73&gt;=1,J73,H73+(J73-H73)*(3*((2087-2022)/I73)^2-2*((2087-2022)/I73)^3)))</f>
        <v>0.440590901801861</v>
      </c>
      <c r="BZ73" s="30" t="n">
        <f aca="false">BY73*(1-IF((2088-2022)/I73&gt;=1,J73,H73+(J73-H73)*(3*((2088-2022)/I73)^2-2*((2088-2022)/I73)^3)))</f>
        <v>0.440590901801861</v>
      </c>
      <c r="CA73" s="30" t="n">
        <f aca="false">BZ73*(1-IF((2089-2022)/I73&gt;=1,J73,H73+(J73-H73)*(3*((2089-2022)/I73)^2-2*((2089-2022)/I73)^3)))</f>
        <v>0.440590901801861</v>
      </c>
      <c r="CB73" s="30" t="n">
        <f aca="false">CA73*(1-IF((2090-2022)/I73&gt;=1,J73,H73+(J73-H73)*(3*((2090-2022)/I73)^2-2*((2090-2022)/I73)^3)))</f>
        <v>0.440590901801861</v>
      </c>
      <c r="CC73" s="30" t="n">
        <f aca="false">CB73*(1-IF((2091-2022)/I73&gt;=1,J73,H73+(J73-H73)*(3*((2091-2022)/I73)^2-2*((2091-2022)/I73)^3)))</f>
        <v>0.440590901801861</v>
      </c>
    </row>
    <row r="74" customFormat="false" ht="15" hidden="false" customHeight="true" outlineLevel="0" collapsed="false">
      <c r="A74" s="3" t="n">
        <v>111</v>
      </c>
      <c r="B74" s="30" t="n">
        <f aca="false">IF($A74&lt;=105,INDEX(ILT17_Source!$D$7:$D$52,MATCH($A74,ILT17_Source!$A$7:$A$52,0)),($B$16*EXP($B$17*$A74))/(1+$B$16*EXP($B$17*$A74)))</f>
        <v>0.511885538546229</v>
      </c>
      <c r="C74" s="31" t="n">
        <f aca="false">LOOKUP($A74,{60,65,70,75,80,85,90,95},{0.78,0.82,0.85,0.88,0.91,0.94,0.97,1})</f>
        <v>1</v>
      </c>
      <c r="D74" s="30" t="n">
        <f aca="false">B74*C74</f>
        <v>0.511885538546229</v>
      </c>
      <c r="E74" s="30" t="n">
        <f aca="false">1/(1+EXP(-(($B$6+$B$8*(2016-2022))+($B$7+$B$9*(2016-2022))*($A74-$B$10))))</f>
        <v>0.64066180817254</v>
      </c>
      <c r="F74" s="30" t="n">
        <f aca="false">1/(1+EXP(-(($B$6+$B$8*(2021-2022))+($B$7+$B$9*(2021-2022))*($A74-$B$10))))</f>
        <v>0.638525353474176</v>
      </c>
      <c r="G74" s="30" t="n">
        <f aca="false">1/(1+EXP(-(($B$6+$B$8*(2022-2022))+($B$7+$B$9*(2022-2022))*($A74-$B$10))))</f>
        <v>0.638097401115801</v>
      </c>
      <c r="H74" s="32" t="n">
        <f aca="false">(F74-G74)/F74</f>
        <v>0.000670219837077015</v>
      </c>
      <c r="I74" s="38" t="n">
        <f aca="false">IF($A74&lt;=50,$B$14,IF($A74&gt;=95,$B$15,$B$14+($B$15-$B$14)*($A74-50)/(95-50)))</f>
        <v>5</v>
      </c>
      <c r="J74" s="39" t="n">
        <f aca="false">IF($A74&lt;=$B$12,$B$11,IF($A74&gt;=$B$13,0,$B$11*($B$13-$A74)/($B$13-$B$12)))</f>
        <v>0</v>
      </c>
      <c r="K74" s="30" t="n">
        <f aca="false">D74*G74/E74</f>
        <v>0.509836590301547</v>
      </c>
      <c r="L74" s="30" t="n">
        <f aca="false">K74*$B$19</f>
        <v>0.458852931271392</v>
      </c>
      <c r="M74" s="30" t="n">
        <f aca="false">L74*(1-IF((2023-2022)/I74&gt;=1,J74,H74+(J74-H74)*(3*((2023-2022)/I74)^2-2*((2023-2022)/I74)^3)))</f>
        <v>0.458577382297584</v>
      </c>
      <c r="N74" s="30" t="n">
        <f aca="false">M74*(1-IF((2024-2022)/I74&gt;=1,J74,H74+(J74-H74)*(3*((2024-2022)/I74)^2-2*((2024-2022)/I74)^3)))</f>
        <v>0.458378221014908</v>
      </c>
      <c r="O74" s="30" t="n">
        <f aca="false">N74*(1-IF((2025-2022)/I74&gt;=1,J74,H74+(J74-H74)*(3*((2025-2022)/I74)^2-2*((2025-2022)/I74)^3)))</f>
        <v>0.458270081624742</v>
      </c>
      <c r="P74" s="30" t="n">
        <f aca="false">O74*(1-IF((2026-2022)/I74&gt;=1,J74,H74+(J74-H74)*(3*((2026-2022)/I74)^2-2*((2026-2022)/I74)^3)))</f>
        <v>0.458238138888</v>
      </c>
      <c r="Q74" s="30" t="n">
        <f aca="false">P74*(1-IF((2027-2022)/I74&gt;=1,J74,H74+(J74-H74)*(3*((2027-2022)/I74)^2-2*((2027-2022)/I74)^3)))</f>
        <v>0.458238138888</v>
      </c>
      <c r="R74" s="30" t="n">
        <f aca="false">Q74*(1-IF((2028-2022)/I74&gt;=1,J74,H74+(J74-H74)*(3*((2028-2022)/I74)^2-2*((2028-2022)/I74)^3)))</f>
        <v>0.458238138888</v>
      </c>
      <c r="S74" s="30" t="n">
        <f aca="false">R74*(1-IF((2029-2022)/I74&gt;=1,J74,H74+(J74-H74)*(3*((2029-2022)/I74)^2-2*((2029-2022)/I74)^3)))</f>
        <v>0.458238138888</v>
      </c>
      <c r="T74" s="30" t="n">
        <f aca="false">S74*(1-IF((2030-2022)/I74&gt;=1,J74,H74+(J74-H74)*(3*((2030-2022)/I74)^2-2*((2030-2022)/I74)^3)))</f>
        <v>0.458238138888</v>
      </c>
      <c r="U74" s="30" t="n">
        <f aca="false">T74*(1-IF((2031-2022)/I74&gt;=1,J74,H74+(J74-H74)*(3*((2031-2022)/I74)^2-2*((2031-2022)/I74)^3)))</f>
        <v>0.458238138888</v>
      </c>
      <c r="V74" s="30" t="n">
        <f aca="false">U74*(1-IF((2032-2022)/I74&gt;=1,J74,H74+(J74-H74)*(3*((2032-2022)/I74)^2-2*((2032-2022)/I74)^3)))</f>
        <v>0.458238138888</v>
      </c>
      <c r="W74" s="30" t="n">
        <f aca="false">V74*(1-IF((2033-2022)/I74&gt;=1,J74,H74+(J74-H74)*(3*((2033-2022)/I74)^2-2*((2033-2022)/I74)^3)))</f>
        <v>0.458238138888</v>
      </c>
      <c r="X74" s="30" t="n">
        <f aca="false">W74*(1-IF((2034-2022)/I74&gt;=1,J74,H74+(J74-H74)*(3*((2034-2022)/I74)^2-2*((2034-2022)/I74)^3)))</f>
        <v>0.458238138888</v>
      </c>
      <c r="Y74" s="30" t="n">
        <f aca="false">X74*(1-IF((2035-2022)/I74&gt;=1,J74,H74+(J74-H74)*(3*((2035-2022)/I74)^2-2*((2035-2022)/I74)^3)))</f>
        <v>0.458238138888</v>
      </c>
      <c r="Z74" s="30" t="n">
        <f aca="false">Y74*(1-IF((2036-2022)/I74&gt;=1,J74,H74+(J74-H74)*(3*((2036-2022)/I74)^2-2*((2036-2022)/I74)^3)))</f>
        <v>0.458238138888</v>
      </c>
      <c r="AA74" s="30" t="n">
        <f aca="false">Z74*(1-IF((2037-2022)/I74&gt;=1,J74,H74+(J74-H74)*(3*((2037-2022)/I74)^2-2*((2037-2022)/I74)^3)))</f>
        <v>0.458238138888</v>
      </c>
      <c r="AB74" s="30" t="n">
        <f aca="false">AA74*(1-IF((2038-2022)/I74&gt;=1,J74,H74+(J74-H74)*(3*((2038-2022)/I74)^2-2*((2038-2022)/I74)^3)))</f>
        <v>0.458238138888</v>
      </c>
      <c r="AC74" s="30" t="n">
        <f aca="false">AB74*(1-IF((2039-2022)/I74&gt;=1,J74,H74+(J74-H74)*(3*((2039-2022)/I74)^2-2*((2039-2022)/I74)^3)))</f>
        <v>0.458238138888</v>
      </c>
      <c r="AD74" s="30" t="n">
        <f aca="false">AC74*(1-IF((2040-2022)/I74&gt;=1,J74,H74+(J74-H74)*(3*((2040-2022)/I74)^2-2*((2040-2022)/I74)^3)))</f>
        <v>0.458238138888</v>
      </c>
      <c r="AE74" s="30" t="n">
        <f aca="false">AD74*(1-IF((2041-2022)/I74&gt;=1,J74,H74+(J74-H74)*(3*((2041-2022)/I74)^2-2*((2041-2022)/I74)^3)))</f>
        <v>0.458238138888</v>
      </c>
      <c r="AF74" s="30" t="n">
        <f aca="false">AE74*(1-IF((2042-2022)/I74&gt;=1,J74,H74+(J74-H74)*(3*((2042-2022)/I74)^2-2*((2042-2022)/I74)^3)))</f>
        <v>0.458238138888</v>
      </c>
      <c r="AG74" s="30" t="n">
        <f aca="false">AF74*(1-IF((2043-2022)/I74&gt;=1,J74,H74+(J74-H74)*(3*((2043-2022)/I74)^2-2*((2043-2022)/I74)^3)))</f>
        <v>0.458238138888</v>
      </c>
      <c r="AH74" s="30" t="n">
        <f aca="false">AG74*(1-IF((2044-2022)/I74&gt;=1,J74,H74+(J74-H74)*(3*((2044-2022)/I74)^2-2*((2044-2022)/I74)^3)))</f>
        <v>0.458238138888</v>
      </c>
      <c r="AI74" s="30" t="n">
        <f aca="false">AH74*(1-IF((2045-2022)/I74&gt;=1,J74,H74+(J74-H74)*(3*((2045-2022)/I74)^2-2*((2045-2022)/I74)^3)))</f>
        <v>0.458238138888</v>
      </c>
      <c r="AJ74" s="30" t="n">
        <f aca="false">AI74*(1-IF((2046-2022)/I74&gt;=1,J74,H74+(J74-H74)*(3*((2046-2022)/I74)^2-2*((2046-2022)/I74)^3)))</f>
        <v>0.458238138888</v>
      </c>
      <c r="AK74" s="30" t="n">
        <f aca="false">AJ74*(1-IF((2047-2022)/I74&gt;=1,J74,H74+(J74-H74)*(3*((2047-2022)/I74)^2-2*((2047-2022)/I74)^3)))</f>
        <v>0.458238138888</v>
      </c>
      <c r="AL74" s="30" t="n">
        <f aca="false">AK74*(1-IF((2048-2022)/I74&gt;=1,J74,H74+(J74-H74)*(3*((2048-2022)/I74)^2-2*((2048-2022)/I74)^3)))</f>
        <v>0.458238138888</v>
      </c>
      <c r="AM74" s="30" t="n">
        <f aca="false">AL74*(1-IF((2049-2022)/I74&gt;=1,J74,H74+(J74-H74)*(3*((2049-2022)/I74)^2-2*((2049-2022)/I74)^3)))</f>
        <v>0.458238138888</v>
      </c>
      <c r="AN74" s="30" t="n">
        <f aca="false">AM74*(1-IF((2050-2022)/I74&gt;=1,J74,H74+(J74-H74)*(3*((2050-2022)/I74)^2-2*((2050-2022)/I74)^3)))</f>
        <v>0.458238138888</v>
      </c>
      <c r="AO74" s="30" t="n">
        <f aca="false">AN74*(1-IF((2051-2022)/I74&gt;=1,J74,H74+(J74-H74)*(3*((2051-2022)/I74)^2-2*((2051-2022)/I74)^3)))</f>
        <v>0.458238138888</v>
      </c>
      <c r="AP74" s="30" t="n">
        <f aca="false">AO74*(1-IF((2052-2022)/I74&gt;=1,J74,H74+(J74-H74)*(3*((2052-2022)/I74)^2-2*((2052-2022)/I74)^3)))</f>
        <v>0.458238138888</v>
      </c>
      <c r="AQ74" s="30" t="n">
        <f aca="false">AP74*(1-IF((2053-2022)/I74&gt;=1,J74,H74+(J74-H74)*(3*((2053-2022)/I74)^2-2*((2053-2022)/I74)^3)))</f>
        <v>0.458238138888</v>
      </c>
      <c r="AR74" s="30" t="n">
        <f aca="false">AQ74*(1-IF((2054-2022)/I74&gt;=1,J74,H74+(J74-H74)*(3*((2054-2022)/I74)^2-2*((2054-2022)/I74)^3)))</f>
        <v>0.458238138888</v>
      </c>
      <c r="AS74" s="30" t="n">
        <f aca="false">AR74*(1-IF((2055-2022)/I74&gt;=1,J74,H74+(J74-H74)*(3*((2055-2022)/I74)^2-2*((2055-2022)/I74)^3)))</f>
        <v>0.458238138888</v>
      </c>
      <c r="AT74" s="30" t="n">
        <f aca="false">AS74*(1-IF((2056-2022)/I74&gt;=1,J74,H74+(J74-H74)*(3*((2056-2022)/I74)^2-2*((2056-2022)/I74)^3)))</f>
        <v>0.458238138888</v>
      </c>
      <c r="AU74" s="30" t="n">
        <f aca="false">AT74*(1-IF((2057-2022)/I74&gt;=1,J74,H74+(J74-H74)*(3*((2057-2022)/I74)^2-2*((2057-2022)/I74)^3)))</f>
        <v>0.458238138888</v>
      </c>
      <c r="AV74" s="30" t="n">
        <f aca="false">AU74*(1-IF((2058-2022)/I74&gt;=1,J74,H74+(J74-H74)*(3*((2058-2022)/I74)^2-2*((2058-2022)/I74)^3)))</f>
        <v>0.458238138888</v>
      </c>
      <c r="AW74" s="30" t="n">
        <f aca="false">AV74*(1-IF((2059-2022)/I74&gt;=1,J74,H74+(J74-H74)*(3*((2059-2022)/I74)^2-2*((2059-2022)/I74)^3)))</f>
        <v>0.458238138888</v>
      </c>
      <c r="AX74" s="30" t="n">
        <f aca="false">AW74*(1-IF((2060-2022)/I74&gt;=1,J74,H74+(J74-H74)*(3*((2060-2022)/I74)^2-2*((2060-2022)/I74)^3)))</f>
        <v>0.458238138888</v>
      </c>
      <c r="AY74" s="30" t="n">
        <f aca="false">AX74*(1-IF((2061-2022)/I74&gt;=1,J74,H74+(J74-H74)*(3*((2061-2022)/I74)^2-2*((2061-2022)/I74)^3)))</f>
        <v>0.458238138888</v>
      </c>
      <c r="AZ74" s="30" t="n">
        <f aca="false">AY74*(1-IF((2062-2022)/I74&gt;=1,J74,H74+(J74-H74)*(3*((2062-2022)/I74)^2-2*((2062-2022)/I74)^3)))</f>
        <v>0.458238138888</v>
      </c>
      <c r="BA74" s="30" t="n">
        <f aca="false">AZ74*(1-IF((2063-2022)/I74&gt;=1,J74,H74+(J74-H74)*(3*((2063-2022)/I74)^2-2*((2063-2022)/I74)^3)))</f>
        <v>0.458238138888</v>
      </c>
      <c r="BB74" s="30" t="n">
        <f aca="false">BA74*(1-IF((2064-2022)/I74&gt;=1,J74,H74+(J74-H74)*(3*((2064-2022)/I74)^2-2*((2064-2022)/I74)^3)))</f>
        <v>0.458238138888</v>
      </c>
      <c r="BC74" s="30" t="n">
        <f aca="false">BB74*(1-IF((2065-2022)/I74&gt;=1,J74,H74+(J74-H74)*(3*((2065-2022)/I74)^2-2*((2065-2022)/I74)^3)))</f>
        <v>0.458238138888</v>
      </c>
      <c r="BD74" s="30" t="n">
        <f aca="false">BC74*(1-IF((2066-2022)/I74&gt;=1,J74,H74+(J74-H74)*(3*((2066-2022)/I74)^2-2*((2066-2022)/I74)^3)))</f>
        <v>0.458238138888</v>
      </c>
      <c r="BE74" s="30" t="n">
        <f aca="false">BD74*(1-IF((2067-2022)/I74&gt;=1,J74,H74+(J74-H74)*(3*((2067-2022)/I74)^2-2*((2067-2022)/I74)^3)))</f>
        <v>0.458238138888</v>
      </c>
      <c r="BF74" s="30" t="n">
        <f aca="false">BE74*(1-IF((2068-2022)/I74&gt;=1,J74,H74+(J74-H74)*(3*((2068-2022)/I74)^2-2*((2068-2022)/I74)^3)))</f>
        <v>0.458238138888</v>
      </c>
      <c r="BG74" s="30" t="n">
        <f aca="false">BF74*(1-IF((2069-2022)/I74&gt;=1,J74,H74+(J74-H74)*(3*((2069-2022)/I74)^2-2*((2069-2022)/I74)^3)))</f>
        <v>0.458238138888</v>
      </c>
      <c r="BH74" s="30" t="n">
        <f aca="false">BG74*(1-IF((2070-2022)/I74&gt;=1,J74,H74+(J74-H74)*(3*((2070-2022)/I74)^2-2*((2070-2022)/I74)^3)))</f>
        <v>0.458238138888</v>
      </c>
      <c r="BI74" s="30" t="n">
        <f aca="false">BH74*(1-IF((2071-2022)/I74&gt;=1,J74,H74+(J74-H74)*(3*((2071-2022)/I74)^2-2*((2071-2022)/I74)^3)))</f>
        <v>0.458238138888</v>
      </c>
      <c r="BJ74" s="30" t="n">
        <f aca="false">BI74*(1-IF((2072-2022)/I74&gt;=1,J74,H74+(J74-H74)*(3*((2072-2022)/I74)^2-2*((2072-2022)/I74)^3)))</f>
        <v>0.458238138888</v>
      </c>
      <c r="BK74" s="30" t="n">
        <f aca="false">BJ74*(1-IF((2073-2022)/I74&gt;=1,J74,H74+(J74-H74)*(3*((2073-2022)/I74)^2-2*((2073-2022)/I74)^3)))</f>
        <v>0.458238138888</v>
      </c>
      <c r="BL74" s="30" t="n">
        <f aca="false">BK74*(1-IF((2074-2022)/I74&gt;=1,J74,H74+(J74-H74)*(3*((2074-2022)/I74)^2-2*((2074-2022)/I74)^3)))</f>
        <v>0.458238138888</v>
      </c>
      <c r="BM74" s="30" t="n">
        <f aca="false">BL74*(1-IF((2075-2022)/I74&gt;=1,J74,H74+(J74-H74)*(3*((2075-2022)/I74)^2-2*((2075-2022)/I74)^3)))</f>
        <v>0.458238138888</v>
      </c>
      <c r="BN74" s="30" t="n">
        <f aca="false">BM74*(1-IF((2076-2022)/I74&gt;=1,J74,H74+(J74-H74)*(3*((2076-2022)/I74)^2-2*((2076-2022)/I74)^3)))</f>
        <v>0.458238138888</v>
      </c>
      <c r="BO74" s="30" t="n">
        <f aca="false">BN74*(1-IF((2077-2022)/I74&gt;=1,J74,H74+(J74-H74)*(3*((2077-2022)/I74)^2-2*((2077-2022)/I74)^3)))</f>
        <v>0.458238138888</v>
      </c>
      <c r="BP74" s="30" t="n">
        <f aca="false">BO74*(1-IF((2078-2022)/I74&gt;=1,J74,H74+(J74-H74)*(3*((2078-2022)/I74)^2-2*((2078-2022)/I74)^3)))</f>
        <v>0.458238138888</v>
      </c>
      <c r="BQ74" s="30" t="n">
        <f aca="false">BP74*(1-IF((2079-2022)/I74&gt;=1,J74,H74+(J74-H74)*(3*((2079-2022)/I74)^2-2*((2079-2022)/I74)^3)))</f>
        <v>0.458238138888</v>
      </c>
      <c r="BR74" s="30" t="n">
        <f aca="false">BQ74*(1-IF((2080-2022)/I74&gt;=1,J74,H74+(J74-H74)*(3*((2080-2022)/I74)^2-2*((2080-2022)/I74)^3)))</f>
        <v>0.458238138888</v>
      </c>
      <c r="BS74" s="30" t="n">
        <f aca="false">BR74*(1-IF((2081-2022)/I74&gt;=1,J74,H74+(J74-H74)*(3*((2081-2022)/I74)^2-2*((2081-2022)/I74)^3)))</f>
        <v>0.458238138888</v>
      </c>
      <c r="BT74" s="30" t="n">
        <f aca="false">BS74*(1-IF((2082-2022)/I74&gt;=1,J74,H74+(J74-H74)*(3*((2082-2022)/I74)^2-2*((2082-2022)/I74)^3)))</f>
        <v>0.458238138888</v>
      </c>
      <c r="BU74" s="30" t="n">
        <f aca="false">BT74*(1-IF((2083-2022)/I74&gt;=1,J74,H74+(J74-H74)*(3*((2083-2022)/I74)^2-2*((2083-2022)/I74)^3)))</f>
        <v>0.458238138888</v>
      </c>
      <c r="BV74" s="30" t="n">
        <f aca="false">BU74*(1-IF((2084-2022)/I74&gt;=1,J74,H74+(J74-H74)*(3*((2084-2022)/I74)^2-2*((2084-2022)/I74)^3)))</f>
        <v>0.458238138888</v>
      </c>
      <c r="BW74" s="30" t="n">
        <f aca="false">BV74*(1-IF((2085-2022)/I74&gt;=1,J74,H74+(J74-H74)*(3*((2085-2022)/I74)^2-2*((2085-2022)/I74)^3)))</f>
        <v>0.458238138888</v>
      </c>
      <c r="BX74" s="30" t="n">
        <f aca="false">BW74*(1-IF((2086-2022)/I74&gt;=1,J74,H74+(J74-H74)*(3*((2086-2022)/I74)^2-2*((2086-2022)/I74)^3)))</f>
        <v>0.458238138888</v>
      </c>
      <c r="BY74" s="30" t="n">
        <f aca="false">BX74*(1-IF((2087-2022)/I74&gt;=1,J74,H74+(J74-H74)*(3*((2087-2022)/I74)^2-2*((2087-2022)/I74)^3)))</f>
        <v>0.458238138888</v>
      </c>
      <c r="BZ74" s="30" t="n">
        <f aca="false">BY74*(1-IF((2088-2022)/I74&gt;=1,J74,H74+(J74-H74)*(3*((2088-2022)/I74)^2-2*((2088-2022)/I74)^3)))</f>
        <v>0.458238138888</v>
      </c>
      <c r="CA74" s="30" t="n">
        <f aca="false">BZ74*(1-IF((2089-2022)/I74&gt;=1,J74,H74+(J74-H74)*(3*((2089-2022)/I74)^2-2*((2089-2022)/I74)^3)))</f>
        <v>0.458238138888</v>
      </c>
      <c r="CB74" s="30" t="n">
        <f aca="false">CA74*(1-IF((2090-2022)/I74&gt;=1,J74,H74+(J74-H74)*(3*((2090-2022)/I74)^2-2*((2090-2022)/I74)^3)))</f>
        <v>0.458238138888</v>
      </c>
      <c r="CC74" s="30" t="n">
        <f aca="false">CB74*(1-IF((2091-2022)/I74&gt;=1,J74,H74+(J74-H74)*(3*((2091-2022)/I74)^2-2*((2091-2022)/I74)^3)))</f>
        <v>0.458238138888</v>
      </c>
    </row>
    <row r="75" customFormat="false" ht="15" hidden="false" customHeight="true" outlineLevel="0" collapsed="false">
      <c r="A75" s="3" t="n">
        <v>112</v>
      </c>
      <c r="B75" s="30" t="n">
        <f aca="false">IF($A75&lt;=105,INDEX(ILT17_Source!$D$7:$D$52,MATCH($A75,ILT17_Source!$A$7:$A$52,0)),($B$16*EXP($B$17*$A75))/(1+$B$16*EXP($B$17*$A75)))</f>
        <v>0.530538750955755</v>
      </c>
      <c r="C75" s="31" t="n">
        <f aca="false">LOOKUP($A75,{60,65,70,75,80,85,90,95},{0.78,0.82,0.85,0.88,0.91,0.94,0.97,1})</f>
        <v>1</v>
      </c>
      <c r="D75" s="30" t="n">
        <f aca="false">B75*C75</f>
        <v>0.530538750955755</v>
      </c>
      <c r="E75" s="30" t="n">
        <f aca="false">1/(1+EXP(-(($B$6+$B$8*(2016-2022))+($B$7+$B$9*(2016-2022))*($A75-$B$10))))</f>
        <v>0.665728417586376</v>
      </c>
      <c r="F75" s="30" t="n">
        <f aca="false">1/(1+EXP(-(($B$6+$B$8*(2021-2022))+($B$7+$B$9*(2021-2022))*($A75-$B$10))))</f>
        <v>0.664272487688023</v>
      </c>
      <c r="G75" s="30" t="n">
        <f aca="false">1/(1+EXP(-(($B$6+$B$8*(2022-2022))+($B$7+$B$9*(2022-2022))*($A75-$B$10))))</f>
        <v>0.663980925494399</v>
      </c>
      <c r="H75" s="32" t="n">
        <f aca="false">(F75-G75)/F75</f>
        <v>0.000438919568441828</v>
      </c>
      <c r="I75" s="38" t="n">
        <f aca="false">IF($A75&lt;=50,$B$14,IF($A75&gt;=95,$B$15,$B$14+($B$15-$B$14)*($A75-50)/(95-50)))</f>
        <v>5</v>
      </c>
      <c r="J75" s="39" t="n">
        <f aca="false">IF($A75&lt;=$B$12,$B$11,IF($A75&gt;=$B$13,0,$B$11*($B$13-$A75)/($B$13-$B$12)))</f>
        <v>0</v>
      </c>
      <c r="K75" s="30" t="n">
        <f aca="false">D75*G75/E75</f>
        <v>0.52914612259967</v>
      </c>
      <c r="L75" s="30" t="n">
        <f aca="false">K75*$B$19</f>
        <v>0.476231510339703</v>
      </c>
      <c r="M75" s="30" t="n">
        <f aca="false">L75*(1-IF((2023-2022)/I75&gt;=1,J75,H75+(J75-H75)*(3*((2023-2022)/I75)^2-2*((2023-2022)/I75)^3)))</f>
        <v>0.476044221852922</v>
      </c>
      <c r="N75" s="30" t="n">
        <f aca="false">M75*(1-IF((2024-2022)/I75&gt;=1,J75,H75+(J75-H75)*(3*((2024-2022)/I75)^2-2*((2024-2022)/I75)^3)))</f>
        <v>0.475908825412301</v>
      </c>
      <c r="O75" s="30" t="n">
        <f aca="false">N75*(1-IF((2025-2022)/I75&gt;=1,J75,H75+(J75-H75)*(3*((2025-2022)/I75)^2-2*((2025-2022)/I75)^3)))</f>
        <v>0.475835297647215</v>
      </c>
      <c r="P75" s="30" t="n">
        <f aca="false">O75*(1-IF((2026-2022)/I75&gt;=1,J75,H75+(J75-H75)*(3*((2026-2022)/I75)^2-2*((2026-2022)/I75)^3)))</f>
        <v>0.475813576891172</v>
      </c>
      <c r="Q75" s="30" t="n">
        <f aca="false">P75*(1-IF((2027-2022)/I75&gt;=1,J75,H75+(J75-H75)*(3*((2027-2022)/I75)^2-2*((2027-2022)/I75)^3)))</f>
        <v>0.475813576891172</v>
      </c>
      <c r="R75" s="30" t="n">
        <f aca="false">Q75*(1-IF((2028-2022)/I75&gt;=1,J75,H75+(J75-H75)*(3*((2028-2022)/I75)^2-2*((2028-2022)/I75)^3)))</f>
        <v>0.475813576891172</v>
      </c>
      <c r="S75" s="30" t="n">
        <f aca="false">R75*(1-IF((2029-2022)/I75&gt;=1,J75,H75+(J75-H75)*(3*((2029-2022)/I75)^2-2*((2029-2022)/I75)^3)))</f>
        <v>0.475813576891172</v>
      </c>
      <c r="T75" s="30" t="n">
        <f aca="false">S75*(1-IF((2030-2022)/I75&gt;=1,J75,H75+(J75-H75)*(3*((2030-2022)/I75)^2-2*((2030-2022)/I75)^3)))</f>
        <v>0.475813576891172</v>
      </c>
      <c r="U75" s="30" t="n">
        <f aca="false">T75*(1-IF((2031-2022)/I75&gt;=1,J75,H75+(J75-H75)*(3*((2031-2022)/I75)^2-2*((2031-2022)/I75)^3)))</f>
        <v>0.475813576891172</v>
      </c>
      <c r="V75" s="30" t="n">
        <f aca="false">U75*(1-IF((2032-2022)/I75&gt;=1,J75,H75+(J75-H75)*(3*((2032-2022)/I75)^2-2*((2032-2022)/I75)^3)))</f>
        <v>0.475813576891172</v>
      </c>
      <c r="W75" s="30" t="n">
        <f aca="false">V75*(1-IF((2033-2022)/I75&gt;=1,J75,H75+(J75-H75)*(3*((2033-2022)/I75)^2-2*((2033-2022)/I75)^3)))</f>
        <v>0.475813576891172</v>
      </c>
      <c r="X75" s="30" t="n">
        <f aca="false">W75*(1-IF((2034-2022)/I75&gt;=1,J75,H75+(J75-H75)*(3*((2034-2022)/I75)^2-2*((2034-2022)/I75)^3)))</f>
        <v>0.475813576891172</v>
      </c>
      <c r="Y75" s="30" t="n">
        <f aca="false">X75*(1-IF((2035-2022)/I75&gt;=1,J75,H75+(J75-H75)*(3*((2035-2022)/I75)^2-2*((2035-2022)/I75)^3)))</f>
        <v>0.475813576891172</v>
      </c>
      <c r="Z75" s="30" t="n">
        <f aca="false">Y75*(1-IF((2036-2022)/I75&gt;=1,J75,H75+(J75-H75)*(3*((2036-2022)/I75)^2-2*((2036-2022)/I75)^3)))</f>
        <v>0.475813576891172</v>
      </c>
      <c r="AA75" s="30" t="n">
        <f aca="false">Z75*(1-IF((2037-2022)/I75&gt;=1,J75,H75+(J75-H75)*(3*((2037-2022)/I75)^2-2*((2037-2022)/I75)^3)))</f>
        <v>0.475813576891172</v>
      </c>
      <c r="AB75" s="30" t="n">
        <f aca="false">AA75*(1-IF((2038-2022)/I75&gt;=1,J75,H75+(J75-H75)*(3*((2038-2022)/I75)^2-2*((2038-2022)/I75)^3)))</f>
        <v>0.475813576891172</v>
      </c>
      <c r="AC75" s="30" t="n">
        <f aca="false">AB75*(1-IF((2039-2022)/I75&gt;=1,J75,H75+(J75-H75)*(3*((2039-2022)/I75)^2-2*((2039-2022)/I75)^3)))</f>
        <v>0.475813576891172</v>
      </c>
      <c r="AD75" s="30" t="n">
        <f aca="false">AC75*(1-IF((2040-2022)/I75&gt;=1,J75,H75+(J75-H75)*(3*((2040-2022)/I75)^2-2*((2040-2022)/I75)^3)))</f>
        <v>0.475813576891172</v>
      </c>
      <c r="AE75" s="30" t="n">
        <f aca="false">AD75*(1-IF((2041-2022)/I75&gt;=1,J75,H75+(J75-H75)*(3*((2041-2022)/I75)^2-2*((2041-2022)/I75)^3)))</f>
        <v>0.475813576891172</v>
      </c>
      <c r="AF75" s="30" t="n">
        <f aca="false">AE75*(1-IF((2042-2022)/I75&gt;=1,J75,H75+(J75-H75)*(3*((2042-2022)/I75)^2-2*((2042-2022)/I75)^3)))</f>
        <v>0.475813576891172</v>
      </c>
      <c r="AG75" s="30" t="n">
        <f aca="false">AF75*(1-IF((2043-2022)/I75&gt;=1,J75,H75+(J75-H75)*(3*((2043-2022)/I75)^2-2*((2043-2022)/I75)^3)))</f>
        <v>0.475813576891172</v>
      </c>
      <c r="AH75" s="30" t="n">
        <f aca="false">AG75*(1-IF((2044-2022)/I75&gt;=1,J75,H75+(J75-H75)*(3*((2044-2022)/I75)^2-2*((2044-2022)/I75)^3)))</f>
        <v>0.475813576891172</v>
      </c>
      <c r="AI75" s="30" t="n">
        <f aca="false">AH75*(1-IF((2045-2022)/I75&gt;=1,J75,H75+(J75-H75)*(3*((2045-2022)/I75)^2-2*((2045-2022)/I75)^3)))</f>
        <v>0.475813576891172</v>
      </c>
      <c r="AJ75" s="30" t="n">
        <f aca="false">AI75*(1-IF((2046-2022)/I75&gt;=1,J75,H75+(J75-H75)*(3*((2046-2022)/I75)^2-2*((2046-2022)/I75)^3)))</f>
        <v>0.475813576891172</v>
      </c>
      <c r="AK75" s="30" t="n">
        <f aca="false">AJ75*(1-IF((2047-2022)/I75&gt;=1,J75,H75+(J75-H75)*(3*((2047-2022)/I75)^2-2*((2047-2022)/I75)^3)))</f>
        <v>0.475813576891172</v>
      </c>
      <c r="AL75" s="30" t="n">
        <f aca="false">AK75*(1-IF((2048-2022)/I75&gt;=1,J75,H75+(J75-H75)*(3*((2048-2022)/I75)^2-2*((2048-2022)/I75)^3)))</f>
        <v>0.475813576891172</v>
      </c>
      <c r="AM75" s="30" t="n">
        <f aca="false">AL75*(1-IF((2049-2022)/I75&gt;=1,J75,H75+(J75-H75)*(3*((2049-2022)/I75)^2-2*((2049-2022)/I75)^3)))</f>
        <v>0.475813576891172</v>
      </c>
      <c r="AN75" s="30" t="n">
        <f aca="false">AM75*(1-IF((2050-2022)/I75&gt;=1,J75,H75+(J75-H75)*(3*((2050-2022)/I75)^2-2*((2050-2022)/I75)^3)))</f>
        <v>0.475813576891172</v>
      </c>
      <c r="AO75" s="30" t="n">
        <f aca="false">AN75*(1-IF((2051-2022)/I75&gt;=1,J75,H75+(J75-H75)*(3*((2051-2022)/I75)^2-2*((2051-2022)/I75)^3)))</f>
        <v>0.475813576891172</v>
      </c>
      <c r="AP75" s="30" t="n">
        <f aca="false">AO75*(1-IF((2052-2022)/I75&gt;=1,J75,H75+(J75-H75)*(3*((2052-2022)/I75)^2-2*((2052-2022)/I75)^3)))</f>
        <v>0.475813576891172</v>
      </c>
      <c r="AQ75" s="30" t="n">
        <f aca="false">AP75*(1-IF((2053-2022)/I75&gt;=1,J75,H75+(J75-H75)*(3*((2053-2022)/I75)^2-2*((2053-2022)/I75)^3)))</f>
        <v>0.475813576891172</v>
      </c>
      <c r="AR75" s="30" t="n">
        <f aca="false">AQ75*(1-IF((2054-2022)/I75&gt;=1,J75,H75+(J75-H75)*(3*((2054-2022)/I75)^2-2*((2054-2022)/I75)^3)))</f>
        <v>0.475813576891172</v>
      </c>
      <c r="AS75" s="30" t="n">
        <f aca="false">AR75*(1-IF((2055-2022)/I75&gt;=1,J75,H75+(J75-H75)*(3*((2055-2022)/I75)^2-2*((2055-2022)/I75)^3)))</f>
        <v>0.475813576891172</v>
      </c>
      <c r="AT75" s="30" t="n">
        <f aca="false">AS75*(1-IF((2056-2022)/I75&gt;=1,J75,H75+(J75-H75)*(3*((2056-2022)/I75)^2-2*((2056-2022)/I75)^3)))</f>
        <v>0.475813576891172</v>
      </c>
      <c r="AU75" s="30" t="n">
        <f aca="false">AT75*(1-IF((2057-2022)/I75&gt;=1,J75,H75+(J75-H75)*(3*((2057-2022)/I75)^2-2*((2057-2022)/I75)^3)))</f>
        <v>0.475813576891172</v>
      </c>
      <c r="AV75" s="30" t="n">
        <f aca="false">AU75*(1-IF((2058-2022)/I75&gt;=1,J75,H75+(J75-H75)*(3*((2058-2022)/I75)^2-2*((2058-2022)/I75)^3)))</f>
        <v>0.475813576891172</v>
      </c>
      <c r="AW75" s="30" t="n">
        <f aca="false">AV75*(1-IF((2059-2022)/I75&gt;=1,J75,H75+(J75-H75)*(3*((2059-2022)/I75)^2-2*((2059-2022)/I75)^3)))</f>
        <v>0.475813576891172</v>
      </c>
      <c r="AX75" s="30" t="n">
        <f aca="false">AW75*(1-IF((2060-2022)/I75&gt;=1,J75,H75+(J75-H75)*(3*((2060-2022)/I75)^2-2*((2060-2022)/I75)^3)))</f>
        <v>0.475813576891172</v>
      </c>
      <c r="AY75" s="30" t="n">
        <f aca="false">AX75*(1-IF((2061-2022)/I75&gt;=1,J75,H75+(J75-H75)*(3*((2061-2022)/I75)^2-2*((2061-2022)/I75)^3)))</f>
        <v>0.475813576891172</v>
      </c>
      <c r="AZ75" s="30" t="n">
        <f aca="false">AY75*(1-IF((2062-2022)/I75&gt;=1,J75,H75+(J75-H75)*(3*((2062-2022)/I75)^2-2*((2062-2022)/I75)^3)))</f>
        <v>0.475813576891172</v>
      </c>
      <c r="BA75" s="30" t="n">
        <f aca="false">AZ75*(1-IF((2063-2022)/I75&gt;=1,J75,H75+(J75-H75)*(3*((2063-2022)/I75)^2-2*((2063-2022)/I75)^3)))</f>
        <v>0.475813576891172</v>
      </c>
      <c r="BB75" s="30" t="n">
        <f aca="false">BA75*(1-IF((2064-2022)/I75&gt;=1,J75,H75+(J75-H75)*(3*((2064-2022)/I75)^2-2*((2064-2022)/I75)^3)))</f>
        <v>0.475813576891172</v>
      </c>
      <c r="BC75" s="30" t="n">
        <f aca="false">BB75*(1-IF((2065-2022)/I75&gt;=1,J75,H75+(J75-H75)*(3*((2065-2022)/I75)^2-2*((2065-2022)/I75)^3)))</f>
        <v>0.475813576891172</v>
      </c>
      <c r="BD75" s="30" t="n">
        <f aca="false">BC75*(1-IF((2066-2022)/I75&gt;=1,J75,H75+(J75-H75)*(3*((2066-2022)/I75)^2-2*((2066-2022)/I75)^3)))</f>
        <v>0.475813576891172</v>
      </c>
      <c r="BE75" s="30" t="n">
        <f aca="false">BD75*(1-IF((2067-2022)/I75&gt;=1,J75,H75+(J75-H75)*(3*((2067-2022)/I75)^2-2*((2067-2022)/I75)^3)))</f>
        <v>0.475813576891172</v>
      </c>
      <c r="BF75" s="30" t="n">
        <f aca="false">BE75*(1-IF((2068-2022)/I75&gt;=1,J75,H75+(J75-H75)*(3*((2068-2022)/I75)^2-2*((2068-2022)/I75)^3)))</f>
        <v>0.475813576891172</v>
      </c>
      <c r="BG75" s="30" t="n">
        <f aca="false">BF75*(1-IF((2069-2022)/I75&gt;=1,J75,H75+(J75-H75)*(3*((2069-2022)/I75)^2-2*((2069-2022)/I75)^3)))</f>
        <v>0.475813576891172</v>
      </c>
      <c r="BH75" s="30" t="n">
        <f aca="false">BG75*(1-IF((2070-2022)/I75&gt;=1,J75,H75+(J75-H75)*(3*((2070-2022)/I75)^2-2*((2070-2022)/I75)^3)))</f>
        <v>0.475813576891172</v>
      </c>
      <c r="BI75" s="30" t="n">
        <f aca="false">BH75*(1-IF((2071-2022)/I75&gt;=1,J75,H75+(J75-H75)*(3*((2071-2022)/I75)^2-2*((2071-2022)/I75)^3)))</f>
        <v>0.475813576891172</v>
      </c>
      <c r="BJ75" s="30" t="n">
        <f aca="false">BI75*(1-IF((2072-2022)/I75&gt;=1,J75,H75+(J75-H75)*(3*((2072-2022)/I75)^2-2*((2072-2022)/I75)^3)))</f>
        <v>0.475813576891172</v>
      </c>
      <c r="BK75" s="30" t="n">
        <f aca="false">BJ75*(1-IF((2073-2022)/I75&gt;=1,J75,H75+(J75-H75)*(3*((2073-2022)/I75)^2-2*((2073-2022)/I75)^3)))</f>
        <v>0.475813576891172</v>
      </c>
      <c r="BL75" s="30" t="n">
        <f aca="false">BK75*(1-IF((2074-2022)/I75&gt;=1,J75,H75+(J75-H75)*(3*((2074-2022)/I75)^2-2*((2074-2022)/I75)^3)))</f>
        <v>0.475813576891172</v>
      </c>
      <c r="BM75" s="30" t="n">
        <f aca="false">BL75*(1-IF((2075-2022)/I75&gt;=1,J75,H75+(J75-H75)*(3*((2075-2022)/I75)^2-2*((2075-2022)/I75)^3)))</f>
        <v>0.475813576891172</v>
      </c>
      <c r="BN75" s="30" t="n">
        <f aca="false">BM75*(1-IF((2076-2022)/I75&gt;=1,J75,H75+(J75-H75)*(3*((2076-2022)/I75)^2-2*((2076-2022)/I75)^3)))</f>
        <v>0.475813576891172</v>
      </c>
      <c r="BO75" s="30" t="n">
        <f aca="false">BN75*(1-IF((2077-2022)/I75&gt;=1,J75,H75+(J75-H75)*(3*((2077-2022)/I75)^2-2*((2077-2022)/I75)^3)))</f>
        <v>0.475813576891172</v>
      </c>
      <c r="BP75" s="30" t="n">
        <f aca="false">BO75*(1-IF((2078-2022)/I75&gt;=1,J75,H75+(J75-H75)*(3*((2078-2022)/I75)^2-2*((2078-2022)/I75)^3)))</f>
        <v>0.475813576891172</v>
      </c>
      <c r="BQ75" s="30" t="n">
        <f aca="false">BP75*(1-IF((2079-2022)/I75&gt;=1,J75,H75+(J75-H75)*(3*((2079-2022)/I75)^2-2*((2079-2022)/I75)^3)))</f>
        <v>0.475813576891172</v>
      </c>
      <c r="BR75" s="30" t="n">
        <f aca="false">BQ75*(1-IF((2080-2022)/I75&gt;=1,J75,H75+(J75-H75)*(3*((2080-2022)/I75)^2-2*((2080-2022)/I75)^3)))</f>
        <v>0.475813576891172</v>
      </c>
      <c r="BS75" s="30" t="n">
        <f aca="false">BR75*(1-IF((2081-2022)/I75&gt;=1,J75,H75+(J75-H75)*(3*((2081-2022)/I75)^2-2*((2081-2022)/I75)^3)))</f>
        <v>0.475813576891172</v>
      </c>
      <c r="BT75" s="30" t="n">
        <f aca="false">BS75*(1-IF((2082-2022)/I75&gt;=1,J75,H75+(J75-H75)*(3*((2082-2022)/I75)^2-2*((2082-2022)/I75)^3)))</f>
        <v>0.475813576891172</v>
      </c>
      <c r="BU75" s="30" t="n">
        <f aca="false">BT75*(1-IF((2083-2022)/I75&gt;=1,J75,H75+(J75-H75)*(3*((2083-2022)/I75)^2-2*((2083-2022)/I75)^3)))</f>
        <v>0.475813576891172</v>
      </c>
      <c r="BV75" s="30" t="n">
        <f aca="false">BU75*(1-IF((2084-2022)/I75&gt;=1,J75,H75+(J75-H75)*(3*((2084-2022)/I75)^2-2*((2084-2022)/I75)^3)))</f>
        <v>0.475813576891172</v>
      </c>
      <c r="BW75" s="30" t="n">
        <f aca="false">BV75*(1-IF((2085-2022)/I75&gt;=1,J75,H75+(J75-H75)*(3*((2085-2022)/I75)^2-2*((2085-2022)/I75)^3)))</f>
        <v>0.475813576891172</v>
      </c>
      <c r="BX75" s="30" t="n">
        <f aca="false">BW75*(1-IF((2086-2022)/I75&gt;=1,J75,H75+(J75-H75)*(3*((2086-2022)/I75)^2-2*((2086-2022)/I75)^3)))</f>
        <v>0.475813576891172</v>
      </c>
      <c r="BY75" s="30" t="n">
        <f aca="false">BX75*(1-IF((2087-2022)/I75&gt;=1,J75,H75+(J75-H75)*(3*((2087-2022)/I75)^2-2*((2087-2022)/I75)^3)))</f>
        <v>0.475813576891172</v>
      </c>
      <c r="BZ75" s="30" t="n">
        <f aca="false">BY75*(1-IF((2088-2022)/I75&gt;=1,J75,H75+(J75-H75)*(3*((2088-2022)/I75)^2-2*((2088-2022)/I75)^3)))</f>
        <v>0.475813576891172</v>
      </c>
      <c r="CA75" s="30" t="n">
        <f aca="false">BZ75*(1-IF((2089-2022)/I75&gt;=1,J75,H75+(J75-H75)*(3*((2089-2022)/I75)^2-2*((2089-2022)/I75)^3)))</f>
        <v>0.475813576891172</v>
      </c>
      <c r="CB75" s="30" t="n">
        <f aca="false">CA75*(1-IF((2090-2022)/I75&gt;=1,J75,H75+(J75-H75)*(3*((2090-2022)/I75)^2-2*((2090-2022)/I75)^3)))</f>
        <v>0.475813576891172</v>
      </c>
      <c r="CC75" s="30" t="n">
        <f aca="false">CB75*(1-IF((2091-2022)/I75&gt;=1,J75,H75+(J75-H75)*(3*((2091-2022)/I75)^2-2*((2091-2022)/I75)^3)))</f>
        <v>0.475813576891172</v>
      </c>
    </row>
    <row r="76" customFormat="false" ht="15" hidden="false" customHeight="true" outlineLevel="0" collapsed="false">
      <c r="A76" s="3" t="n">
        <v>113</v>
      </c>
      <c r="B76" s="30" t="n">
        <f aca="false">IF($A76&lt;=105,INDEX(ILT17_Source!$D$7:$D$52,MATCH($A76,ILT17_Source!$A$7:$A$52,0)),($B$16*EXP($B$17*$A76))/(1+$B$16*EXP($B$17*$A76)))</f>
        <v>0.549107027787883</v>
      </c>
      <c r="C76" s="31" t="n">
        <f aca="false">LOOKUP($A76,{60,65,70,75,80,85,90,95},{0.78,0.82,0.85,0.88,0.91,0.94,0.97,1})</f>
        <v>1</v>
      </c>
      <c r="D76" s="30" t="n">
        <f aca="false">B76*C76</f>
        <v>0.549107027787883</v>
      </c>
      <c r="E76" s="30" t="n">
        <f aca="false">1/(1+EXP(-(($B$6+$B$8*(2016-2022))+($B$7+$B$9*(2016-2022))*($A76-$B$10))))</f>
        <v>0.689892828236531</v>
      </c>
      <c r="F76" s="30" t="n">
        <f aca="false">1/(1+EXP(-(($B$6+$B$8*(2021-2022))+($B$7+$B$9*(2021-2022))*($A76-$B$10))))</f>
        <v>0.689078705411951</v>
      </c>
      <c r="G76" s="30" t="n">
        <f aca="false">1/(1+EXP(-(($B$6+$B$8*(2022-2022))+($B$7+$B$9*(2022-2022))*($A76-$B$10))))</f>
        <v>0.688915740154381</v>
      </c>
      <c r="H76" s="32" t="n">
        <f aca="false">(F76-G76)/F76</f>
        <v>0.000236497306170563</v>
      </c>
      <c r="I76" s="38" t="n">
        <f aca="false">IF($A76&lt;=50,$B$14,IF($A76&gt;=95,$B$15,$B$14+($B$15-$B$14)*($A76-50)/(95-50)))</f>
        <v>5</v>
      </c>
      <c r="J76" s="39" t="n">
        <f aca="false">IF($A76&lt;=$B$12,$B$11,IF($A76&gt;=$B$13,0,$B$11*($B$13-$A76)/($B$13-$B$12)))</f>
        <v>0</v>
      </c>
      <c r="K76" s="30" t="n">
        <f aca="false">D76*G76/E76</f>
        <v>0.548329333179798</v>
      </c>
      <c r="L76" s="30" t="n">
        <f aca="false">K76*$B$19</f>
        <v>0.493496399861818</v>
      </c>
      <c r="M76" s="30" t="n">
        <f aca="false">L76*(1-IF((2023-2022)/I76&gt;=1,J76,H76+(J76-H76)*(3*((2023-2022)/I76)^2-2*((2023-2022)/I76)^3)))</f>
        <v>0.49339182719184</v>
      </c>
      <c r="N76" s="30" t="n">
        <f aca="false">M76*(1-IF((2024-2022)/I76&gt;=1,J76,H76+(J76-H76)*(3*((2024-2022)/I76)^2-2*((2024-2022)/I76)^3)))</f>
        <v>0.493316214768804</v>
      </c>
      <c r="O76" s="30" t="n">
        <f aca="false">N76*(1-IF((2025-2022)/I76&gt;=1,J76,H76+(J76-H76)*(3*((2025-2022)/I76)^2-2*((2025-2022)/I76)^3)))</f>
        <v>0.493275147648334</v>
      </c>
      <c r="P76" s="30" t="n">
        <f aca="false">O76*(1-IF((2026-2022)/I76&gt;=1,J76,H76+(J76-H76)*(3*((2026-2022)/I76)^2-2*((2026-2022)/I76)^3)))</f>
        <v>0.493263015190997</v>
      </c>
      <c r="Q76" s="30" t="n">
        <f aca="false">P76*(1-IF((2027-2022)/I76&gt;=1,J76,H76+(J76-H76)*(3*((2027-2022)/I76)^2-2*((2027-2022)/I76)^3)))</f>
        <v>0.493263015190997</v>
      </c>
      <c r="R76" s="30" t="n">
        <f aca="false">Q76*(1-IF((2028-2022)/I76&gt;=1,J76,H76+(J76-H76)*(3*((2028-2022)/I76)^2-2*((2028-2022)/I76)^3)))</f>
        <v>0.493263015190997</v>
      </c>
      <c r="S76" s="30" t="n">
        <f aca="false">R76*(1-IF((2029-2022)/I76&gt;=1,J76,H76+(J76-H76)*(3*((2029-2022)/I76)^2-2*((2029-2022)/I76)^3)))</f>
        <v>0.493263015190997</v>
      </c>
      <c r="T76" s="30" t="n">
        <f aca="false">S76*(1-IF((2030-2022)/I76&gt;=1,J76,H76+(J76-H76)*(3*((2030-2022)/I76)^2-2*((2030-2022)/I76)^3)))</f>
        <v>0.493263015190997</v>
      </c>
      <c r="U76" s="30" t="n">
        <f aca="false">T76*(1-IF((2031-2022)/I76&gt;=1,J76,H76+(J76-H76)*(3*((2031-2022)/I76)^2-2*((2031-2022)/I76)^3)))</f>
        <v>0.493263015190997</v>
      </c>
      <c r="V76" s="30" t="n">
        <f aca="false">U76*(1-IF((2032-2022)/I76&gt;=1,J76,H76+(J76-H76)*(3*((2032-2022)/I76)^2-2*((2032-2022)/I76)^3)))</f>
        <v>0.493263015190997</v>
      </c>
      <c r="W76" s="30" t="n">
        <f aca="false">V76*(1-IF((2033-2022)/I76&gt;=1,J76,H76+(J76-H76)*(3*((2033-2022)/I76)^2-2*((2033-2022)/I76)^3)))</f>
        <v>0.493263015190997</v>
      </c>
      <c r="X76" s="30" t="n">
        <f aca="false">W76*(1-IF((2034-2022)/I76&gt;=1,J76,H76+(J76-H76)*(3*((2034-2022)/I76)^2-2*((2034-2022)/I76)^3)))</f>
        <v>0.493263015190997</v>
      </c>
      <c r="Y76" s="30" t="n">
        <f aca="false">X76*(1-IF((2035-2022)/I76&gt;=1,J76,H76+(J76-H76)*(3*((2035-2022)/I76)^2-2*((2035-2022)/I76)^3)))</f>
        <v>0.493263015190997</v>
      </c>
      <c r="Z76" s="30" t="n">
        <f aca="false">Y76*(1-IF((2036-2022)/I76&gt;=1,J76,H76+(J76-H76)*(3*((2036-2022)/I76)^2-2*((2036-2022)/I76)^3)))</f>
        <v>0.493263015190997</v>
      </c>
      <c r="AA76" s="30" t="n">
        <f aca="false">Z76*(1-IF((2037-2022)/I76&gt;=1,J76,H76+(J76-H76)*(3*((2037-2022)/I76)^2-2*((2037-2022)/I76)^3)))</f>
        <v>0.493263015190997</v>
      </c>
      <c r="AB76" s="30" t="n">
        <f aca="false">AA76*(1-IF((2038-2022)/I76&gt;=1,J76,H76+(J76-H76)*(3*((2038-2022)/I76)^2-2*((2038-2022)/I76)^3)))</f>
        <v>0.493263015190997</v>
      </c>
      <c r="AC76" s="30" t="n">
        <f aca="false">AB76*(1-IF((2039-2022)/I76&gt;=1,J76,H76+(J76-H76)*(3*((2039-2022)/I76)^2-2*((2039-2022)/I76)^3)))</f>
        <v>0.493263015190997</v>
      </c>
      <c r="AD76" s="30" t="n">
        <f aca="false">AC76*(1-IF((2040-2022)/I76&gt;=1,J76,H76+(J76-H76)*(3*((2040-2022)/I76)^2-2*((2040-2022)/I76)^3)))</f>
        <v>0.493263015190997</v>
      </c>
      <c r="AE76" s="30" t="n">
        <f aca="false">AD76*(1-IF((2041-2022)/I76&gt;=1,J76,H76+(J76-H76)*(3*((2041-2022)/I76)^2-2*((2041-2022)/I76)^3)))</f>
        <v>0.493263015190997</v>
      </c>
      <c r="AF76" s="30" t="n">
        <f aca="false">AE76*(1-IF((2042-2022)/I76&gt;=1,J76,H76+(J76-H76)*(3*((2042-2022)/I76)^2-2*((2042-2022)/I76)^3)))</f>
        <v>0.493263015190997</v>
      </c>
      <c r="AG76" s="30" t="n">
        <f aca="false">AF76*(1-IF((2043-2022)/I76&gt;=1,J76,H76+(J76-H76)*(3*((2043-2022)/I76)^2-2*((2043-2022)/I76)^3)))</f>
        <v>0.493263015190997</v>
      </c>
      <c r="AH76" s="30" t="n">
        <f aca="false">AG76*(1-IF((2044-2022)/I76&gt;=1,J76,H76+(J76-H76)*(3*((2044-2022)/I76)^2-2*((2044-2022)/I76)^3)))</f>
        <v>0.493263015190997</v>
      </c>
      <c r="AI76" s="30" t="n">
        <f aca="false">AH76*(1-IF((2045-2022)/I76&gt;=1,J76,H76+(J76-H76)*(3*((2045-2022)/I76)^2-2*((2045-2022)/I76)^3)))</f>
        <v>0.493263015190997</v>
      </c>
      <c r="AJ76" s="30" t="n">
        <f aca="false">AI76*(1-IF((2046-2022)/I76&gt;=1,J76,H76+(J76-H76)*(3*((2046-2022)/I76)^2-2*((2046-2022)/I76)^3)))</f>
        <v>0.493263015190997</v>
      </c>
      <c r="AK76" s="30" t="n">
        <f aca="false">AJ76*(1-IF((2047-2022)/I76&gt;=1,J76,H76+(J76-H76)*(3*((2047-2022)/I76)^2-2*((2047-2022)/I76)^3)))</f>
        <v>0.493263015190997</v>
      </c>
      <c r="AL76" s="30" t="n">
        <f aca="false">AK76*(1-IF((2048-2022)/I76&gt;=1,J76,H76+(J76-H76)*(3*((2048-2022)/I76)^2-2*((2048-2022)/I76)^3)))</f>
        <v>0.493263015190997</v>
      </c>
      <c r="AM76" s="30" t="n">
        <f aca="false">AL76*(1-IF((2049-2022)/I76&gt;=1,J76,H76+(J76-H76)*(3*((2049-2022)/I76)^2-2*((2049-2022)/I76)^3)))</f>
        <v>0.493263015190997</v>
      </c>
      <c r="AN76" s="30" t="n">
        <f aca="false">AM76*(1-IF((2050-2022)/I76&gt;=1,J76,H76+(J76-H76)*(3*((2050-2022)/I76)^2-2*((2050-2022)/I76)^3)))</f>
        <v>0.493263015190997</v>
      </c>
      <c r="AO76" s="30" t="n">
        <f aca="false">AN76*(1-IF((2051-2022)/I76&gt;=1,J76,H76+(J76-H76)*(3*((2051-2022)/I76)^2-2*((2051-2022)/I76)^3)))</f>
        <v>0.493263015190997</v>
      </c>
      <c r="AP76" s="30" t="n">
        <f aca="false">AO76*(1-IF((2052-2022)/I76&gt;=1,J76,H76+(J76-H76)*(3*((2052-2022)/I76)^2-2*((2052-2022)/I76)^3)))</f>
        <v>0.493263015190997</v>
      </c>
      <c r="AQ76" s="30" t="n">
        <f aca="false">AP76*(1-IF((2053-2022)/I76&gt;=1,J76,H76+(J76-H76)*(3*((2053-2022)/I76)^2-2*((2053-2022)/I76)^3)))</f>
        <v>0.493263015190997</v>
      </c>
      <c r="AR76" s="30" t="n">
        <f aca="false">AQ76*(1-IF((2054-2022)/I76&gt;=1,J76,H76+(J76-H76)*(3*((2054-2022)/I76)^2-2*((2054-2022)/I76)^3)))</f>
        <v>0.493263015190997</v>
      </c>
      <c r="AS76" s="30" t="n">
        <f aca="false">AR76*(1-IF((2055-2022)/I76&gt;=1,J76,H76+(J76-H76)*(3*((2055-2022)/I76)^2-2*((2055-2022)/I76)^3)))</f>
        <v>0.493263015190997</v>
      </c>
      <c r="AT76" s="30" t="n">
        <f aca="false">AS76*(1-IF((2056-2022)/I76&gt;=1,J76,H76+(J76-H76)*(3*((2056-2022)/I76)^2-2*((2056-2022)/I76)^3)))</f>
        <v>0.493263015190997</v>
      </c>
      <c r="AU76" s="30" t="n">
        <f aca="false">AT76*(1-IF((2057-2022)/I76&gt;=1,J76,H76+(J76-H76)*(3*((2057-2022)/I76)^2-2*((2057-2022)/I76)^3)))</f>
        <v>0.493263015190997</v>
      </c>
      <c r="AV76" s="30" t="n">
        <f aca="false">AU76*(1-IF((2058-2022)/I76&gt;=1,J76,H76+(J76-H76)*(3*((2058-2022)/I76)^2-2*((2058-2022)/I76)^3)))</f>
        <v>0.493263015190997</v>
      </c>
      <c r="AW76" s="30" t="n">
        <f aca="false">AV76*(1-IF((2059-2022)/I76&gt;=1,J76,H76+(J76-H76)*(3*((2059-2022)/I76)^2-2*((2059-2022)/I76)^3)))</f>
        <v>0.493263015190997</v>
      </c>
      <c r="AX76" s="30" t="n">
        <f aca="false">AW76*(1-IF((2060-2022)/I76&gt;=1,J76,H76+(J76-H76)*(3*((2060-2022)/I76)^2-2*((2060-2022)/I76)^3)))</f>
        <v>0.493263015190997</v>
      </c>
      <c r="AY76" s="30" t="n">
        <f aca="false">AX76*(1-IF((2061-2022)/I76&gt;=1,J76,H76+(J76-H76)*(3*((2061-2022)/I76)^2-2*((2061-2022)/I76)^3)))</f>
        <v>0.493263015190997</v>
      </c>
      <c r="AZ76" s="30" t="n">
        <f aca="false">AY76*(1-IF((2062-2022)/I76&gt;=1,J76,H76+(J76-H76)*(3*((2062-2022)/I76)^2-2*((2062-2022)/I76)^3)))</f>
        <v>0.493263015190997</v>
      </c>
      <c r="BA76" s="30" t="n">
        <f aca="false">AZ76*(1-IF((2063-2022)/I76&gt;=1,J76,H76+(J76-H76)*(3*((2063-2022)/I76)^2-2*((2063-2022)/I76)^3)))</f>
        <v>0.493263015190997</v>
      </c>
      <c r="BB76" s="30" t="n">
        <f aca="false">BA76*(1-IF((2064-2022)/I76&gt;=1,J76,H76+(J76-H76)*(3*((2064-2022)/I76)^2-2*((2064-2022)/I76)^3)))</f>
        <v>0.493263015190997</v>
      </c>
      <c r="BC76" s="30" t="n">
        <f aca="false">BB76*(1-IF((2065-2022)/I76&gt;=1,J76,H76+(J76-H76)*(3*((2065-2022)/I76)^2-2*((2065-2022)/I76)^3)))</f>
        <v>0.493263015190997</v>
      </c>
      <c r="BD76" s="30" t="n">
        <f aca="false">BC76*(1-IF((2066-2022)/I76&gt;=1,J76,H76+(J76-H76)*(3*((2066-2022)/I76)^2-2*((2066-2022)/I76)^3)))</f>
        <v>0.493263015190997</v>
      </c>
      <c r="BE76" s="30" t="n">
        <f aca="false">BD76*(1-IF((2067-2022)/I76&gt;=1,J76,H76+(J76-H76)*(3*((2067-2022)/I76)^2-2*((2067-2022)/I76)^3)))</f>
        <v>0.493263015190997</v>
      </c>
      <c r="BF76" s="30" t="n">
        <f aca="false">BE76*(1-IF((2068-2022)/I76&gt;=1,J76,H76+(J76-H76)*(3*((2068-2022)/I76)^2-2*((2068-2022)/I76)^3)))</f>
        <v>0.493263015190997</v>
      </c>
      <c r="BG76" s="30" t="n">
        <f aca="false">BF76*(1-IF((2069-2022)/I76&gt;=1,J76,H76+(J76-H76)*(3*((2069-2022)/I76)^2-2*((2069-2022)/I76)^3)))</f>
        <v>0.493263015190997</v>
      </c>
      <c r="BH76" s="30" t="n">
        <f aca="false">BG76*(1-IF((2070-2022)/I76&gt;=1,J76,H76+(J76-H76)*(3*((2070-2022)/I76)^2-2*((2070-2022)/I76)^3)))</f>
        <v>0.493263015190997</v>
      </c>
      <c r="BI76" s="30" t="n">
        <f aca="false">BH76*(1-IF((2071-2022)/I76&gt;=1,J76,H76+(J76-H76)*(3*((2071-2022)/I76)^2-2*((2071-2022)/I76)^3)))</f>
        <v>0.493263015190997</v>
      </c>
      <c r="BJ76" s="30" t="n">
        <f aca="false">BI76*(1-IF((2072-2022)/I76&gt;=1,J76,H76+(J76-H76)*(3*((2072-2022)/I76)^2-2*((2072-2022)/I76)^3)))</f>
        <v>0.493263015190997</v>
      </c>
      <c r="BK76" s="30" t="n">
        <f aca="false">BJ76*(1-IF((2073-2022)/I76&gt;=1,J76,H76+(J76-H76)*(3*((2073-2022)/I76)^2-2*((2073-2022)/I76)^3)))</f>
        <v>0.493263015190997</v>
      </c>
      <c r="BL76" s="30" t="n">
        <f aca="false">BK76*(1-IF((2074-2022)/I76&gt;=1,J76,H76+(J76-H76)*(3*((2074-2022)/I76)^2-2*((2074-2022)/I76)^3)))</f>
        <v>0.493263015190997</v>
      </c>
      <c r="BM76" s="30" t="n">
        <f aca="false">BL76*(1-IF((2075-2022)/I76&gt;=1,J76,H76+(J76-H76)*(3*((2075-2022)/I76)^2-2*((2075-2022)/I76)^3)))</f>
        <v>0.493263015190997</v>
      </c>
      <c r="BN76" s="30" t="n">
        <f aca="false">BM76*(1-IF((2076-2022)/I76&gt;=1,J76,H76+(J76-H76)*(3*((2076-2022)/I76)^2-2*((2076-2022)/I76)^3)))</f>
        <v>0.493263015190997</v>
      </c>
      <c r="BO76" s="30" t="n">
        <f aca="false">BN76*(1-IF((2077-2022)/I76&gt;=1,J76,H76+(J76-H76)*(3*((2077-2022)/I76)^2-2*((2077-2022)/I76)^3)))</f>
        <v>0.493263015190997</v>
      </c>
      <c r="BP76" s="30" t="n">
        <f aca="false">BO76*(1-IF((2078-2022)/I76&gt;=1,J76,H76+(J76-H76)*(3*((2078-2022)/I76)^2-2*((2078-2022)/I76)^3)))</f>
        <v>0.493263015190997</v>
      </c>
      <c r="BQ76" s="30" t="n">
        <f aca="false">BP76*(1-IF((2079-2022)/I76&gt;=1,J76,H76+(J76-H76)*(3*((2079-2022)/I76)^2-2*((2079-2022)/I76)^3)))</f>
        <v>0.493263015190997</v>
      </c>
      <c r="BR76" s="30" t="n">
        <f aca="false">BQ76*(1-IF((2080-2022)/I76&gt;=1,J76,H76+(J76-H76)*(3*((2080-2022)/I76)^2-2*((2080-2022)/I76)^3)))</f>
        <v>0.493263015190997</v>
      </c>
      <c r="BS76" s="30" t="n">
        <f aca="false">BR76*(1-IF((2081-2022)/I76&gt;=1,J76,H76+(J76-H76)*(3*((2081-2022)/I76)^2-2*((2081-2022)/I76)^3)))</f>
        <v>0.493263015190997</v>
      </c>
      <c r="BT76" s="30" t="n">
        <f aca="false">BS76*(1-IF((2082-2022)/I76&gt;=1,J76,H76+(J76-H76)*(3*((2082-2022)/I76)^2-2*((2082-2022)/I76)^3)))</f>
        <v>0.493263015190997</v>
      </c>
      <c r="BU76" s="30" t="n">
        <f aca="false">BT76*(1-IF((2083-2022)/I76&gt;=1,J76,H76+(J76-H76)*(3*((2083-2022)/I76)^2-2*((2083-2022)/I76)^3)))</f>
        <v>0.493263015190997</v>
      </c>
      <c r="BV76" s="30" t="n">
        <f aca="false">BU76*(1-IF((2084-2022)/I76&gt;=1,J76,H76+(J76-H76)*(3*((2084-2022)/I76)^2-2*((2084-2022)/I76)^3)))</f>
        <v>0.493263015190997</v>
      </c>
      <c r="BW76" s="30" t="n">
        <f aca="false">BV76*(1-IF((2085-2022)/I76&gt;=1,J76,H76+(J76-H76)*(3*((2085-2022)/I76)^2-2*((2085-2022)/I76)^3)))</f>
        <v>0.493263015190997</v>
      </c>
      <c r="BX76" s="30" t="n">
        <f aca="false">BW76*(1-IF((2086-2022)/I76&gt;=1,J76,H76+(J76-H76)*(3*((2086-2022)/I76)^2-2*((2086-2022)/I76)^3)))</f>
        <v>0.493263015190997</v>
      </c>
      <c r="BY76" s="30" t="n">
        <f aca="false">BX76*(1-IF((2087-2022)/I76&gt;=1,J76,H76+(J76-H76)*(3*((2087-2022)/I76)^2-2*((2087-2022)/I76)^3)))</f>
        <v>0.493263015190997</v>
      </c>
      <c r="BZ76" s="30" t="n">
        <f aca="false">BY76*(1-IF((2088-2022)/I76&gt;=1,J76,H76+(J76-H76)*(3*((2088-2022)/I76)^2-2*((2088-2022)/I76)^3)))</f>
        <v>0.493263015190997</v>
      </c>
      <c r="CA76" s="30" t="n">
        <f aca="false">BZ76*(1-IF((2089-2022)/I76&gt;=1,J76,H76+(J76-H76)*(3*((2089-2022)/I76)^2-2*((2089-2022)/I76)^3)))</f>
        <v>0.493263015190997</v>
      </c>
      <c r="CB76" s="30" t="n">
        <f aca="false">CA76*(1-IF((2090-2022)/I76&gt;=1,J76,H76+(J76-H76)*(3*((2090-2022)/I76)^2-2*((2090-2022)/I76)^3)))</f>
        <v>0.493263015190997</v>
      </c>
      <c r="CC76" s="30" t="n">
        <f aca="false">CB76*(1-IF((2091-2022)/I76&gt;=1,J76,H76+(J76-H76)*(3*((2091-2022)/I76)^2-2*((2091-2022)/I76)^3)))</f>
        <v>0.493263015190997</v>
      </c>
    </row>
    <row r="77" customFormat="false" ht="15" hidden="false" customHeight="true" outlineLevel="0" collapsed="false">
      <c r="A77" s="3" t="n">
        <v>114</v>
      </c>
      <c r="B77" s="30" t="n">
        <f aca="false">IF($A77&lt;=105,INDEX(ILT17_Source!$D$7:$D$52,MATCH($A77,ILT17_Source!$A$7:$A$52,0)),($B$16*EXP($B$17*$A77))/(1+$B$16*EXP($B$17*$A77)))</f>
        <v>0.567539536058616</v>
      </c>
      <c r="C77" s="31" t="n">
        <f aca="false">LOOKUP($A77,{60,65,70,75,80,85,90,95},{0.78,0.82,0.85,0.88,0.91,0.94,0.97,1})</f>
        <v>1</v>
      </c>
      <c r="D77" s="30" t="n">
        <f aca="false">B77*C77</f>
        <v>0.567539536058616</v>
      </c>
      <c r="E77" s="30" t="n">
        <f aca="false">1/(1+EXP(-(($B$6+$B$8*(2016-2022))+($B$7+$B$9*(2016-2022))*($A77-$B$10))))</f>
        <v>0.713063307637303</v>
      </c>
      <c r="F77" s="30" t="n">
        <f aca="false">1/(1+EXP(-(($B$6+$B$8*(2021-2022))+($B$7+$B$9*(2021-2022))*($A77-$B$10))))</f>
        <v>0.7128443709833</v>
      </c>
      <c r="G77" s="30" t="n">
        <f aca="false">1/(1+EXP(-(($B$6+$B$8*(2022-2022))+($B$7+$B$9*(2022-2022))*($A77-$B$10))))</f>
        <v>0.712800571683372</v>
      </c>
      <c r="H77" s="32" t="n">
        <f aca="false">(F77-G77)/F77</f>
        <v>6.14430045478833E-005</v>
      </c>
      <c r="I77" s="38" t="n">
        <f aca="false">IF($A77&lt;=50,$B$14,IF($A77&gt;=95,$B$15,$B$14+($B$15-$B$14)*($A77-50)/(95-50)))</f>
        <v>5</v>
      </c>
      <c r="J77" s="39" t="n">
        <f aca="false">IF($A77&lt;=$B$12,$B$11,IF($A77&gt;=$B$13,0,$B$11*($B$13-$A77)/($B$13-$B$12)))</f>
        <v>0</v>
      </c>
      <c r="K77" s="30" t="n">
        <f aca="false">D77*G77/E77</f>
        <v>0.567330419925725</v>
      </c>
      <c r="L77" s="30" t="n">
        <f aca="false">K77*$B$19</f>
        <v>0.510597377933152</v>
      </c>
      <c r="M77" s="30" t="n">
        <f aca="false">L77*(1-IF((2023-2022)/I77&gt;=1,J77,H77+(J77-H77)*(3*((2023-2022)/I77)^2-2*((2023-2022)/I77)^3)))</f>
        <v>0.510569268050387</v>
      </c>
      <c r="N77" s="30" t="n">
        <f aca="false">M77*(1-IF((2024-2022)/I77&gt;=1,J77,H77+(J77-H77)*(3*((2024-2022)/I77)^2-2*((2024-2022)/I77)^3)))</f>
        <v>0.510548939700799</v>
      </c>
      <c r="O77" s="30" t="n">
        <f aca="false">N77*(1-IF((2025-2022)/I77&gt;=1,J77,H77+(J77-H77)*(3*((2025-2022)/I77)^2-2*((2025-2022)/I77)^3)))</f>
        <v>0.510537897580189</v>
      </c>
      <c r="P77" s="30" t="n">
        <f aca="false">O77*(1-IF((2026-2022)/I77&gt;=1,J77,H77+(J77-H77)*(3*((2026-2022)/I77)^2-2*((2026-2022)/I77)^3)))</f>
        <v>0.510534635206023</v>
      </c>
      <c r="Q77" s="30" t="n">
        <f aca="false">P77*(1-IF((2027-2022)/I77&gt;=1,J77,H77+(J77-H77)*(3*((2027-2022)/I77)^2-2*((2027-2022)/I77)^3)))</f>
        <v>0.510534635206023</v>
      </c>
      <c r="R77" s="30" t="n">
        <f aca="false">Q77*(1-IF((2028-2022)/I77&gt;=1,J77,H77+(J77-H77)*(3*((2028-2022)/I77)^2-2*((2028-2022)/I77)^3)))</f>
        <v>0.510534635206023</v>
      </c>
      <c r="S77" s="30" t="n">
        <f aca="false">R77*(1-IF((2029-2022)/I77&gt;=1,J77,H77+(J77-H77)*(3*((2029-2022)/I77)^2-2*((2029-2022)/I77)^3)))</f>
        <v>0.510534635206023</v>
      </c>
      <c r="T77" s="30" t="n">
        <f aca="false">S77*(1-IF((2030-2022)/I77&gt;=1,J77,H77+(J77-H77)*(3*((2030-2022)/I77)^2-2*((2030-2022)/I77)^3)))</f>
        <v>0.510534635206023</v>
      </c>
      <c r="U77" s="30" t="n">
        <f aca="false">T77*(1-IF((2031-2022)/I77&gt;=1,J77,H77+(J77-H77)*(3*((2031-2022)/I77)^2-2*((2031-2022)/I77)^3)))</f>
        <v>0.510534635206023</v>
      </c>
      <c r="V77" s="30" t="n">
        <f aca="false">U77*(1-IF((2032-2022)/I77&gt;=1,J77,H77+(J77-H77)*(3*((2032-2022)/I77)^2-2*((2032-2022)/I77)^3)))</f>
        <v>0.510534635206023</v>
      </c>
      <c r="W77" s="30" t="n">
        <f aca="false">V77*(1-IF((2033-2022)/I77&gt;=1,J77,H77+(J77-H77)*(3*((2033-2022)/I77)^2-2*((2033-2022)/I77)^3)))</f>
        <v>0.510534635206023</v>
      </c>
      <c r="X77" s="30" t="n">
        <f aca="false">W77*(1-IF((2034-2022)/I77&gt;=1,J77,H77+(J77-H77)*(3*((2034-2022)/I77)^2-2*((2034-2022)/I77)^3)))</f>
        <v>0.510534635206023</v>
      </c>
      <c r="Y77" s="30" t="n">
        <f aca="false">X77*(1-IF((2035-2022)/I77&gt;=1,J77,H77+(J77-H77)*(3*((2035-2022)/I77)^2-2*((2035-2022)/I77)^3)))</f>
        <v>0.510534635206023</v>
      </c>
      <c r="Z77" s="30" t="n">
        <f aca="false">Y77*(1-IF((2036-2022)/I77&gt;=1,J77,H77+(J77-H77)*(3*((2036-2022)/I77)^2-2*((2036-2022)/I77)^3)))</f>
        <v>0.510534635206023</v>
      </c>
      <c r="AA77" s="30" t="n">
        <f aca="false">Z77*(1-IF((2037-2022)/I77&gt;=1,J77,H77+(J77-H77)*(3*((2037-2022)/I77)^2-2*((2037-2022)/I77)^3)))</f>
        <v>0.510534635206023</v>
      </c>
      <c r="AB77" s="30" t="n">
        <f aca="false">AA77*(1-IF((2038-2022)/I77&gt;=1,J77,H77+(J77-H77)*(3*((2038-2022)/I77)^2-2*((2038-2022)/I77)^3)))</f>
        <v>0.510534635206023</v>
      </c>
      <c r="AC77" s="30" t="n">
        <f aca="false">AB77*(1-IF((2039-2022)/I77&gt;=1,J77,H77+(J77-H77)*(3*((2039-2022)/I77)^2-2*((2039-2022)/I77)^3)))</f>
        <v>0.510534635206023</v>
      </c>
      <c r="AD77" s="30" t="n">
        <f aca="false">AC77*(1-IF((2040-2022)/I77&gt;=1,J77,H77+(J77-H77)*(3*((2040-2022)/I77)^2-2*((2040-2022)/I77)^3)))</f>
        <v>0.510534635206023</v>
      </c>
      <c r="AE77" s="30" t="n">
        <f aca="false">AD77*(1-IF((2041-2022)/I77&gt;=1,J77,H77+(J77-H77)*(3*((2041-2022)/I77)^2-2*((2041-2022)/I77)^3)))</f>
        <v>0.510534635206023</v>
      </c>
      <c r="AF77" s="30" t="n">
        <f aca="false">AE77*(1-IF((2042-2022)/I77&gt;=1,J77,H77+(J77-H77)*(3*((2042-2022)/I77)^2-2*((2042-2022)/I77)^3)))</f>
        <v>0.510534635206023</v>
      </c>
      <c r="AG77" s="30" t="n">
        <f aca="false">AF77*(1-IF((2043-2022)/I77&gt;=1,J77,H77+(J77-H77)*(3*((2043-2022)/I77)^2-2*((2043-2022)/I77)^3)))</f>
        <v>0.510534635206023</v>
      </c>
      <c r="AH77" s="30" t="n">
        <f aca="false">AG77*(1-IF((2044-2022)/I77&gt;=1,J77,H77+(J77-H77)*(3*((2044-2022)/I77)^2-2*((2044-2022)/I77)^3)))</f>
        <v>0.510534635206023</v>
      </c>
      <c r="AI77" s="30" t="n">
        <f aca="false">AH77*(1-IF((2045-2022)/I77&gt;=1,J77,H77+(J77-H77)*(3*((2045-2022)/I77)^2-2*((2045-2022)/I77)^3)))</f>
        <v>0.510534635206023</v>
      </c>
      <c r="AJ77" s="30" t="n">
        <f aca="false">AI77*(1-IF((2046-2022)/I77&gt;=1,J77,H77+(J77-H77)*(3*((2046-2022)/I77)^2-2*((2046-2022)/I77)^3)))</f>
        <v>0.510534635206023</v>
      </c>
      <c r="AK77" s="30" t="n">
        <f aca="false">AJ77*(1-IF((2047-2022)/I77&gt;=1,J77,H77+(J77-H77)*(3*((2047-2022)/I77)^2-2*((2047-2022)/I77)^3)))</f>
        <v>0.510534635206023</v>
      </c>
      <c r="AL77" s="30" t="n">
        <f aca="false">AK77*(1-IF((2048-2022)/I77&gt;=1,J77,H77+(J77-H77)*(3*((2048-2022)/I77)^2-2*((2048-2022)/I77)^3)))</f>
        <v>0.510534635206023</v>
      </c>
      <c r="AM77" s="30" t="n">
        <f aca="false">AL77*(1-IF((2049-2022)/I77&gt;=1,J77,H77+(J77-H77)*(3*((2049-2022)/I77)^2-2*((2049-2022)/I77)^3)))</f>
        <v>0.510534635206023</v>
      </c>
      <c r="AN77" s="30" t="n">
        <f aca="false">AM77*(1-IF((2050-2022)/I77&gt;=1,J77,H77+(J77-H77)*(3*((2050-2022)/I77)^2-2*((2050-2022)/I77)^3)))</f>
        <v>0.510534635206023</v>
      </c>
      <c r="AO77" s="30" t="n">
        <f aca="false">AN77*(1-IF((2051-2022)/I77&gt;=1,J77,H77+(J77-H77)*(3*((2051-2022)/I77)^2-2*((2051-2022)/I77)^3)))</f>
        <v>0.510534635206023</v>
      </c>
      <c r="AP77" s="30" t="n">
        <f aca="false">AO77*(1-IF((2052-2022)/I77&gt;=1,J77,H77+(J77-H77)*(3*((2052-2022)/I77)^2-2*((2052-2022)/I77)^3)))</f>
        <v>0.510534635206023</v>
      </c>
      <c r="AQ77" s="30" t="n">
        <f aca="false">AP77*(1-IF((2053-2022)/I77&gt;=1,J77,H77+(J77-H77)*(3*((2053-2022)/I77)^2-2*((2053-2022)/I77)^3)))</f>
        <v>0.510534635206023</v>
      </c>
      <c r="AR77" s="30" t="n">
        <f aca="false">AQ77*(1-IF((2054-2022)/I77&gt;=1,J77,H77+(J77-H77)*(3*((2054-2022)/I77)^2-2*((2054-2022)/I77)^3)))</f>
        <v>0.510534635206023</v>
      </c>
      <c r="AS77" s="30" t="n">
        <f aca="false">AR77*(1-IF((2055-2022)/I77&gt;=1,J77,H77+(J77-H77)*(3*((2055-2022)/I77)^2-2*((2055-2022)/I77)^3)))</f>
        <v>0.510534635206023</v>
      </c>
      <c r="AT77" s="30" t="n">
        <f aca="false">AS77*(1-IF((2056-2022)/I77&gt;=1,J77,H77+(J77-H77)*(3*((2056-2022)/I77)^2-2*((2056-2022)/I77)^3)))</f>
        <v>0.510534635206023</v>
      </c>
      <c r="AU77" s="30" t="n">
        <f aca="false">AT77*(1-IF((2057-2022)/I77&gt;=1,J77,H77+(J77-H77)*(3*((2057-2022)/I77)^2-2*((2057-2022)/I77)^3)))</f>
        <v>0.510534635206023</v>
      </c>
      <c r="AV77" s="30" t="n">
        <f aca="false">AU77*(1-IF((2058-2022)/I77&gt;=1,J77,H77+(J77-H77)*(3*((2058-2022)/I77)^2-2*((2058-2022)/I77)^3)))</f>
        <v>0.510534635206023</v>
      </c>
      <c r="AW77" s="30" t="n">
        <f aca="false">AV77*(1-IF((2059-2022)/I77&gt;=1,J77,H77+(J77-H77)*(3*((2059-2022)/I77)^2-2*((2059-2022)/I77)^3)))</f>
        <v>0.510534635206023</v>
      </c>
      <c r="AX77" s="30" t="n">
        <f aca="false">AW77*(1-IF((2060-2022)/I77&gt;=1,J77,H77+(J77-H77)*(3*((2060-2022)/I77)^2-2*((2060-2022)/I77)^3)))</f>
        <v>0.510534635206023</v>
      </c>
      <c r="AY77" s="30" t="n">
        <f aca="false">AX77*(1-IF((2061-2022)/I77&gt;=1,J77,H77+(J77-H77)*(3*((2061-2022)/I77)^2-2*((2061-2022)/I77)^3)))</f>
        <v>0.510534635206023</v>
      </c>
      <c r="AZ77" s="30" t="n">
        <f aca="false">AY77*(1-IF((2062-2022)/I77&gt;=1,J77,H77+(J77-H77)*(3*((2062-2022)/I77)^2-2*((2062-2022)/I77)^3)))</f>
        <v>0.510534635206023</v>
      </c>
      <c r="BA77" s="30" t="n">
        <f aca="false">AZ77*(1-IF((2063-2022)/I77&gt;=1,J77,H77+(J77-H77)*(3*((2063-2022)/I77)^2-2*((2063-2022)/I77)^3)))</f>
        <v>0.510534635206023</v>
      </c>
      <c r="BB77" s="30" t="n">
        <f aca="false">BA77*(1-IF((2064-2022)/I77&gt;=1,J77,H77+(J77-H77)*(3*((2064-2022)/I77)^2-2*((2064-2022)/I77)^3)))</f>
        <v>0.510534635206023</v>
      </c>
      <c r="BC77" s="30" t="n">
        <f aca="false">BB77*(1-IF((2065-2022)/I77&gt;=1,J77,H77+(J77-H77)*(3*((2065-2022)/I77)^2-2*((2065-2022)/I77)^3)))</f>
        <v>0.510534635206023</v>
      </c>
      <c r="BD77" s="30" t="n">
        <f aca="false">BC77*(1-IF((2066-2022)/I77&gt;=1,J77,H77+(J77-H77)*(3*((2066-2022)/I77)^2-2*((2066-2022)/I77)^3)))</f>
        <v>0.510534635206023</v>
      </c>
      <c r="BE77" s="30" t="n">
        <f aca="false">BD77*(1-IF((2067-2022)/I77&gt;=1,J77,H77+(J77-H77)*(3*((2067-2022)/I77)^2-2*((2067-2022)/I77)^3)))</f>
        <v>0.510534635206023</v>
      </c>
      <c r="BF77" s="30" t="n">
        <f aca="false">BE77*(1-IF((2068-2022)/I77&gt;=1,J77,H77+(J77-H77)*(3*((2068-2022)/I77)^2-2*((2068-2022)/I77)^3)))</f>
        <v>0.510534635206023</v>
      </c>
      <c r="BG77" s="30" t="n">
        <f aca="false">BF77*(1-IF((2069-2022)/I77&gt;=1,J77,H77+(J77-H77)*(3*((2069-2022)/I77)^2-2*((2069-2022)/I77)^3)))</f>
        <v>0.510534635206023</v>
      </c>
      <c r="BH77" s="30" t="n">
        <f aca="false">BG77*(1-IF((2070-2022)/I77&gt;=1,J77,H77+(J77-H77)*(3*((2070-2022)/I77)^2-2*((2070-2022)/I77)^3)))</f>
        <v>0.510534635206023</v>
      </c>
      <c r="BI77" s="30" t="n">
        <f aca="false">BH77*(1-IF((2071-2022)/I77&gt;=1,J77,H77+(J77-H77)*(3*((2071-2022)/I77)^2-2*((2071-2022)/I77)^3)))</f>
        <v>0.510534635206023</v>
      </c>
      <c r="BJ77" s="30" t="n">
        <f aca="false">BI77*(1-IF((2072-2022)/I77&gt;=1,J77,H77+(J77-H77)*(3*((2072-2022)/I77)^2-2*((2072-2022)/I77)^3)))</f>
        <v>0.510534635206023</v>
      </c>
      <c r="BK77" s="30" t="n">
        <f aca="false">BJ77*(1-IF((2073-2022)/I77&gt;=1,J77,H77+(J77-H77)*(3*((2073-2022)/I77)^2-2*((2073-2022)/I77)^3)))</f>
        <v>0.510534635206023</v>
      </c>
      <c r="BL77" s="30" t="n">
        <f aca="false">BK77*(1-IF((2074-2022)/I77&gt;=1,J77,H77+(J77-H77)*(3*((2074-2022)/I77)^2-2*((2074-2022)/I77)^3)))</f>
        <v>0.510534635206023</v>
      </c>
      <c r="BM77" s="30" t="n">
        <f aca="false">BL77*(1-IF((2075-2022)/I77&gt;=1,J77,H77+(J77-H77)*(3*((2075-2022)/I77)^2-2*((2075-2022)/I77)^3)))</f>
        <v>0.510534635206023</v>
      </c>
      <c r="BN77" s="30" t="n">
        <f aca="false">BM77*(1-IF((2076-2022)/I77&gt;=1,J77,H77+(J77-H77)*(3*((2076-2022)/I77)^2-2*((2076-2022)/I77)^3)))</f>
        <v>0.510534635206023</v>
      </c>
      <c r="BO77" s="30" t="n">
        <f aca="false">BN77*(1-IF((2077-2022)/I77&gt;=1,J77,H77+(J77-H77)*(3*((2077-2022)/I77)^2-2*((2077-2022)/I77)^3)))</f>
        <v>0.510534635206023</v>
      </c>
      <c r="BP77" s="30" t="n">
        <f aca="false">BO77*(1-IF((2078-2022)/I77&gt;=1,J77,H77+(J77-H77)*(3*((2078-2022)/I77)^2-2*((2078-2022)/I77)^3)))</f>
        <v>0.510534635206023</v>
      </c>
      <c r="BQ77" s="30" t="n">
        <f aca="false">BP77*(1-IF((2079-2022)/I77&gt;=1,J77,H77+(J77-H77)*(3*((2079-2022)/I77)^2-2*((2079-2022)/I77)^3)))</f>
        <v>0.510534635206023</v>
      </c>
      <c r="BR77" s="30" t="n">
        <f aca="false">BQ77*(1-IF((2080-2022)/I77&gt;=1,J77,H77+(J77-H77)*(3*((2080-2022)/I77)^2-2*((2080-2022)/I77)^3)))</f>
        <v>0.510534635206023</v>
      </c>
      <c r="BS77" s="30" t="n">
        <f aca="false">BR77*(1-IF((2081-2022)/I77&gt;=1,J77,H77+(J77-H77)*(3*((2081-2022)/I77)^2-2*((2081-2022)/I77)^3)))</f>
        <v>0.510534635206023</v>
      </c>
      <c r="BT77" s="30" t="n">
        <f aca="false">BS77*(1-IF((2082-2022)/I77&gt;=1,J77,H77+(J77-H77)*(3*((2082-2022)/I77)^2-2*((2082-2022)/I77)^3)))</f>
        <v>0.510534635206023</v>
      </c>
      <c r="BU77" s="30" t="n">
        <f aca="false">BT77*(1-IF((2083-2022)/I77&gt;=1,J77,H77+(J77-H77)*(3*((2083-2022)/I77)^2-2*((2083-2022)/I77)^3)))</f>
        <v>0.510534635206023</v>
      </c>
      <c r="BV77" s="30" t="n">
        <f aca="false">BU77*(1-IF((2084-2022)/I77&gt;=1,J77,H77+(J77-H77)*(3*((2084-2022)/I77)^2-2*((2084-2022)/I77)^3)))</f>
        <v>0.510534635206023</v>
      </c>
      <c r="BW77" s="30" t="n">
        <f aca="false">BV77*(1-IF((2085-2022)/I77&gt;=1,J77,H77+(J77-H77)*(3*((2085-2022)/I77)^2-2*((2085-2022)/I77)^3)))</f>
        <v>0.510534635206023</v>
      </c>
      <c r="BX77" s="30" t="n">
        <f aca="false">BW77*(1-IF((2086-2022)/I77&gt;=1,J77,H77+(J77-H77)*(3*((2086-2022)/I77)^2-2*((2086-2022)/I77)^3)))</f>
        <v>0.510534635206023</v>
      </c>
      <c r="BY77" s="30" t="n">
        <f aca="false">BX77*(1-IF((2087-2022)/I77&gt;=1,J77,H77+(J77-H77)*(3*((2087-2022)/I77)^2-2*((2087-2022)/I77)^3)))</f>
        <v>0.510534635206023</v>
      </c>
      <c r="BZ77" s="30" t="n">
        <f aca="false">BY77*(1-IF((2088-2022)/I77&gt;=1,J77,H77+(J77-H77)*(3*((2088-2022)/I77)^2-2*((2088-2022)/I77)^3)))</f>
        <v>0.510534635206023</v>
      </c>
      <c r="CA77" s="30" t="n">
        <f aca="false">BZ77*(1-IF((2089-2022)/I77&gt;=1,J77,H77+(J77-H77)*(3*((2089-2022)/I77)^2-2*((2089-2022)/I77)^3)))</f>
        <v>0.510534635206023</v>
      </c>
      <c r="CB77" s="30" t="n">
        <f aca="false">CA77*(1-IF((2090-2022)/I77&gt;=1,J77,H77+(J77-H77)*(3*((2090-2022)/I77)^2-2*((2090-2022)/I77)^3)))</f>
        <v>0.510534635206023</v>
      </c>
      <c r="CC77" s="30" t="n">
        <f aca="false">CB77*(1-IF((2091-2022)/I77&gt;=1,J77,H77+(J77-H77)*(3*((2091-2022)/I77)^2-2*((2091-2022)/I77)^3)))</f>
        <v>0.510534635206023</v>
      </c>
    </row>
    <row r="78" customFormat="false" ht="15" hidden="false" customHeight="true" outlineLevel="0" collapsed="false">
      <c r="A78" s="3" t="n">
        <v>115</v>
      </c>
      <c r="B78" s="30" t="n">
        <f aca="false">IF($A78&lt;=105,INDEX(ILT17_Source!$D$7:$D$52,MATCH($A78,ILT17_Source!$A$7:$A$52,0)),($B$16*EXP($B$17*$A78))/(1+$B$16*EXP($B$17*$A78)))</f>
        <v>0.585786933888083</v>
      </c>
      <c r="C78" s="31" t="n">
        <f aca="false">LOOKUP($A78,{60,65,70,75,80,85,90,95},{0.78,0.82,0.85,0.88,0.91,0.94,0.97,1})</f>
        <v>1</v>
      </c>
      <c r="D78" s="30" t="n">
        <f aca="false">B78*C78</f>
        <v>0.585786933888083</v>
      </c>
      <c r="E78" s="30" t="n">
        <f aca="false">1/(1+EXP(-(($B$6+$B$8*(2016-2022))+($B$7+$B$9*(2016-2022))*($A78-$B$10))))</f>
        <v>0.735167125123439</v>
      </c>
      <c r="F78" s="30" t="n">
        <f aca="false">1/(1+EXP(-(($B$6+$B$8*(2021-2022))+($B$7+$B$9*(2021-2022))*($A78-$B$10))))</f>
        <v>0.735490780520483</v>
      </c>
      <c r="G78" s="30" t="n">
        <f aca="false">1/(1+EXP(-(($B$6+$B$8*(2022-2022))+($B$7+$B$9*(2022-2022))*($A78-$B$10))))</f>
        <v>0.735555481196344</v>
      </c>
      <c r="H78" s="32" t="n">
        <f aca="false">(F78-G78)/F78</f>
        <v>-8.79693907446981E-005</v>
      </c>
      <c r="I78" s="38" t="n">
        <f aca="false">IF($A78&lt;=50,$B$14,IF($A78&gt;=95,$B$15,$B$14+($B$15-$B$14)*($A78-50)/(95-50)))</f>
        <v>5</v>
      </c>
      <c r="J78" s="39" t="n">
        <f aca="false">IF($A78&lt;=$B$12,$B$11,IF($A78&gt;=$B$13,0,$B$11*($B$13-$A78)/($B$13-$B$12)))</f>
        <v>0</v>
      </c>
      <c r="K78" s="30" t="n">
        <f aca="false">D78*G78/E78</f>
        <v>0.586096379054262</v>
      </c>
      <c r="L78" s="30" t="n">
        <f aca="false">K78*$B$19</f>
        <v>0.527486741148836</v>
      </c>
      <c r="M78" s="30" t="n">
        <f aca="false">L78*(1-IF((2023-2022)/I78&gt;=1,J78,H78+(J78-H78)*(3*((2023-2022)/I78)^2-2*((2023-2022)/I78)^3)))</f>
        <v>0.527528317956608</v>
      </c>
      <c r="N78" s="30" t="n">
        <f aca="false">M78*(1-IF((2024-2022)/I78&gt;=1,J78,H78+(J78-H78)*(3*((2024-2022)/I78)^2-2*((2024-2022)/I78)^3)))</f>
        <v>0.527558389267994</v>
      </c>
      <c r="O78" s="30" t="n">
        <f aca="false">N78*(1-IF((2025-2022)/I78&gt;=1,J78,H78+(J78-H78)*(3*((2025-2022)/I78)^2-2*((2025-2022)/I78)^3)))</f>
        <v>0.527574725232504</v>
      </c>
      <c r="P78" s="30" t="n">
        <f aca="false">O78*(1-IF((2026-2022)/I78&gt;=1,J78,H78+(J78-H78)*(3*((2026-2022)/I78)^2-2*((2026-2022)/I78)^3)))</f>
        <v>0.527579551916928</v>
      </c>
      <c r="Q78" s="30" t="n">
        <f aca="false">P78*(1-IF((2027-2022)/I78&gt;=1,J78,H78+(J78-H78)*(3*((2027-2022)/I78)^2-2*((2027-2022)/I78)^3)))</f>
        <v>0.527579551916928</v>
      </c>
      <c r="R78" s="30" t="n">
        <f aca="false">Q78*(1-IF((2028-2022)/I78&gt;=1,J78,H78+(J78-H78)*(3*((2028-2022)/I78)^2-2*((2028-2022)/I78)^3)))</f>
        <v>0.527579551916928</v>
      </c>
      <c r="S78" s="30" t="n">
        <f aca="false">R78*(1-IF((2029-2022)/I78&gt;=1,J78,H78+(J78-H78)*(3*((2029-2022)/I78)^2-2*((2029-2022)/I78)^3)))</f>
        <v>0.527579551916928</v>
      </c>
      <c r="T78" s="30" t="n">
        <f aca="false">S78*(1-IF((2030-2022)/I78&gt;=1,J78,H78+(J78-H78)*(3*((2030-2022)/I78)^2-2*((2030-2022)/I78)^3)))</f>
        <v>0.527579551916928</v>
      </c>
      <c r="U78" s="30" t="n">
        <f aca="false">T78*(1-IF((2031-2022)/I78&gt;=1,J78,H78+(J78-H78)*(3*((2031-2022)/I78)^2-2*((2031-2022)/I78)^3)))</f>
        <v>0.527579551916928</v>
      </c>
      <c r="V78" s="30" t="n">
        <f aca="false">U78*(1-IF((2032-2022)/I78&gt;=1,J78,H78+(J78-H78)*(3*((2032-2022)/I78)^2-2*((2032-2022)/I78)^3)))</f>
        <v>0.527579551916928</v>
      </c>
      <c r="W78" s="30" t="n">
        <f aca="false">V78*(1-IF((2033-2022)/I78&gt;=1,J78,H78+(J78-H78)*(3*((2033-2022)/I78)^2-2*((2033-2022)/I78)^3)))</f>
        <v>0.527579551916928</v>
      </c>
      <c r="X78" s="30" t="n">
        <f aca="false">W78*(1-IF((2034-2022)/I78&gt;=1,J78,H78+(J78-H78)*(3*((2034-2022)/I78)^2-2*((2034-2022)/I78)^3)))</f>
        <v>0.527579551916928</v>
      </c>
      <c r="Y78" s="30" t="n">
        <f aca="false">X78*(1-IF((2035-2022)/I78&gt;=1,J78,H78+(J78-H78)*(3*((2035-2022)/I78)^2-2*((2035-2022)/I78)^3)))</f>
        <v>0.527579551916928</v>
      </c>
      <c r="Z78" s="30" t="n">
        <f aca="false">Y78*(1-IF((2036-2022)/I78&gt;=1,J78,H78+(J78-H78)*(3*((2036-2022)/I78)^2-2*((2036-2022)/I78)^3)))</f>
        <v>0.527579551916928</v>
      </c>
      <c r="AA78" s="30" t="n">
        <f aca="false">Z78*(1-IF((2037-2022)/I78&gt;=1,J78,H78+(J78-H78)*(3*((2037-2022)/I78)^2-2*((2037-2022)/I78)^3)))</f>
        <v>0.527579551916928</v>
      </c>
      <c r="AB78" s="30" t="n">
        <f aca="false">AA78*(1-IF((2038-2022)/I78&gt;=1,J78,H78+(J78-H78)*(3*((2038-2022)/I78)^2-2*((2038-2022)/I78)^3)))</f>
        <v>0.527579551916928</v>
      </c>
      <c r="AC78" s="30" t="n">
        <f aca="false">AB78*(1-IF((2039-2022)/I78&gt;=1,J78,H78+(J78-H78)*(3*((2039-2022)/I78)^2-2*((2039-2022)/I78)^3)))</f>
        <v>0.527579551916928</v>
      </c>
      <c r="AD78" s="30" t="n">
        <f aca="false">AC78*(1-IF((2040-2022)/I78&gt;=1,J78,H78+(J78-H78)*(3*((2040-2022)/I78)^2-2*((2040-2022)/I78)^3)))</f>
        <v>0.527579551916928</v>
      </c>
      <c r="AE78" s="30" t="n">
        <f aca="false">AD78*(1-IF((2041-2022)/I78&gt;=1,J78,H78+(J78-H78)*(3*((2041-2022)/I78)^2-2*((2041-2022)/I78)^3)))</f>
        <v>0.527579551916928</v>
      </c>
      <c r="AF78" s="30" t="n">
        <f aca="false">AE78*(1-IF((2042-2022)/I78&gt;=1,J78,H78+(J78-H78)*(3*((2042-2022)/I78)^2-2*((2042-2022)/I78)^3)))</f>
        <v>0.527579551916928</v>
      </c>
      <c r="AG78" s="30" t="n">
        <f aca="false">AF78*(1-IF((2043-2022)/I78&gt;=1,J78,H78+(J78-H78)*(3*((2043-2022)/I78)^2-2*((2043-2022)/I78)^3)))</f>
        <v>0.527579551916928</v>
      </c>
      <c r="AH78" s="30" t="n">
        <f aca="false">AG78*(1-IF((2044-2022)/I78&gt;=1,J78,H78+(J78-H78)*(3*((2044-2022)/I78)^2-2*((2044-2022)/I78)^3)))</f>
        <v>0.527579551916928</v>
      </c>
      <c r="AI78" s="30" t="n">
        <f aca="false">AH78*(1-IF((2045-2022)/I78&gt;=1,J78,H78+(J78-H78)*(3*((2045-2022)/I78)^2-2*((2045-2022)/I78)^3)))</f>
        <v>0.527579551916928</v>
      </c>
      <c r="AJ78" s="30" t="n">
        <f aca="false">AI78*(1-IF((2046-2022)/I78&gt;=1,J78,H78+(J78-H78)*(3*((2046-2022)/I78)^2-2*((2046-2022)/I78)^3)))</f>
        <v>0.527579551916928</v>
      </c>
      <c r="AK78" s="30" t="n">
        <f aca="false">AJ78*(1-IF((2047-2022)/I78&gt;=1,J78,H78+(J78-H78)*(3*((2047-2022)/I78)^2-2*((2047-2022)/I78)^3)))</f>
        <v>0.527579551916928</v>
      </c>
      <c r="AL78" s="30" t="n">
        <f aca="false">AK78*(1-IF((2048-2022)/I78&gt;=1,J78,H78+(J78-H78)*(3*((2048-2022)/I78)^2-2*((2048-2022)/I78)^3)))</f>
        <v>0.527579551916928</v>
      </c>
      <c r="AM78" s="30" t="n">
        <f aca="false">AL78*(1-IF((2049-2022)/I78&gt;=1,J78,H78+(J78-H78)*(3*((2049-2022)/I78)^2-2*((2049-2022)/I78)^3)))</f>
        <v>0.527579551916928</v>
      </c>
      <c r="AN78" s="30" t="n">
        <f aca="false">AM78*(1-IF((2050-2022)/I78&gt;=1,J78,H78+(J78-H78)*(3*((2050-2022)/I78)^2-2*((2050-2022)/I78)^3)))</f>
        <v>0.527579551916928</v>
      </c>
      <c r="AO78" s="30" t="n">
        <f aca="false">AN78*(1-IF((2051-2022)/I78&gt;=1,J78,H78+(J78-H78)*(3*((2051-2022)/I78)^2-2*((2051-2022)/I78)^3)))</f>
        <v>0.527579551916928</v>
      </c>
      <c r="AP78" s="30" t="n">
        <f aca="false">AO78*(1-IF((2052-2022)/I78&gt;=1,J78,H78+(J78-H78)*(3*((2052-2022)/I78)^2-2*((2052-2022)/I78)^3)))</f>
        <v>0.527579551916928</v>
      </c>
      <c r="AQ78" s="30" t="n">
        <f aca="false">AP78*(1-IF((2053-2022)/I78&gt;=1,J78,H78+(J78-H78)*(3*((2053-2022)/I78)^2-2*((2053-2022)/I78)^3)))</f>
        <v>0.527579551916928</v>
      </c>
      <c r="AR78" s="30" t="n">
        <f aca="false">AQ78*(1-IF((2054-2022)/I78&gt;=1,J78,H78+(J78-H78)*(3*((2054-2022)/I78)^2-2*((2054-2022)/I78)^3)))</f>
        <v>0.527579551916928</v>
      </c>
      <c r="AS78" s="30" t="n">
        <f aca="false">AR78*(1-IF((2055-2022)/I78&gt;=1,J78,H78+(J78-H78)*(3*((2055-2022)/I78)^2-2*((2055-2022)/I78)^3)))</f>
        <v>0.527579551916928</v>
      </c>
      <c r="AT78" s="30" t="n">
        <f aca="false">AS78*(1-IF((2056-2022)/I78&gt;=1,J78,H78+(J78-H78)*(3*((2056-2022)/I78)^2-2*((2056-2022)/I78)^3)))</f>
        <v>0.527579551916928</v>
      </c>
      <c r="AU78" s="30" t="n">
        <f aca="false">AT78*(1-IF((2057-2022)/I78&gt;=1,J78,H78+(J78-H78)*(3*((2057-2022)/I78)^2-2*((2057-2022)/I78)^3)))</f>
        <v>0.527579551916928</v>
      </c>
      <c r="AV78" s="30" t="n">
        <f aca="false">AU78*(1-IF((2058-2022)/I78&gt;=1,J78,H78+(J78-H78)*(3*((2058-2022)/I78)^2-2*((2058-2022)/I78)^3)))</f>
        <v>0.527579551916928</v>
      </c>
      <c r="AW78" s="30" t="n">
        <f aca="false">AV78*(1-IF((2059-2022)/I78&gt;=1,J78,H78+(J78-H78)*(3*((2059-2022)/I78)^2-2*((2059-2022)/I78)^3)))</f>
        <v>0.527579551916928</v>
      </c>
      <c r="AX78" s="30" t="n">
        <f aca="false">AW78*(1-IF((2060-2022)/I78&gt;=1,J78,H78+(J78-H78)*(3*((2060-2022)/I78)^2-2*((2060-2022)/I78)^3)))</f>
        <v>0.527579551916928</v>
      </c>
      <c r="AY78" s="30" t="n">
        <f aca="false">AX78*(1-IF((2061-2022)/I78&gt;=1,J78,H78+(J78-H78)*(3*((2061-2022)/I78)^2-2*((2061-2022)/I78)^3)))</f>
        <v>0.527579551916928</v>
      </c>
      <c r="AZ78" s="30" t="n">
        <f aca="false">AY78*(1-IF((2062-2022)/I78&gt;=1,J78,H78+(J78-H78)*(3*((2062-2022)/I78)^2-2*((2062-2022)/I78)^3)))</f>
        <v>0.527579551916928</v>
      </c>
      <c r="BA78" s="30" t="n">
        <f aca="false">AZ78*(1-IF((2063-2022)/I78&gt;=1,J78,H78+(J78-H78)*(3*((2063-2022)/I78)^2-2*((2063-2022)/I78)^3)))</f>
        <v>0.527579551916928</v>
      </c>
      <c r="BB78" s="30" t="n">
        <f aca="false">BA78*(1-IF((2064-2022)/I78&gt;=1,J78,H78+(J78-H78)*(3*((2064-2022)/I78)^2-2*((2064-2022)/I78)^3)))</f>
        <v>0.527579551916928</v>
      </c>
      <c r="BC78" s="30" t="n">
        <f aca="false">BB78*(1-IF((2065-2022)/I78&gt;=1,J78,H78+(J78-H78)*(3*((2065-2022)/I78)^2-2*((2065-2022)/I78)^3)))</f>
        <v>0.527579551916928</v>
      </c>
      <c r="BD78" s="30" t="n">
        <f aca="false">BC78*(1-IF((2066-2022)/I78&gt;=1,J78,H78+(J78-H78)*(3*((2066-2022)/I78)^2-2*((2066-2022)/I78)^3)))</f>
        <v>0.527579551916928</v>
      </c>
      <c r="BE78" s="30" t="n">
        <f aca="false">BD78*(1-IF((2067-2022)/I78&gt;=1,J78,H78+(J78-H78)*(3*((2067-2022)/I78)^2-2*((2067-2022)/I78)^3)))</f>
        <v>0.527579551916928</v>
      </c>
      <c r="BF78" s="30" t="n">
        <f aca="false">BE78*(1-IF((2068-2022)/I78&gt;=1,J78,H78+(J78-H78)*(3*((2068-2022)/I78)^2-2*((2068-2022)/I78)^3)))</f>
        <v>0.527579551916928</v>
      </c>
      <c r="BG78" s="30" t="n">
        <f aca="false">BF78*(1-IF((2069-2022)/I78&gt;=1,J78,H78+(J78-H78)*(3*((2069-2022)/I78)^2-2*((2069-2022)/I78)^3)))</f>
        <v>0.527579551916928</v>
      </c>
      <c r="BH78" s="30" t="n">
        <f aca="false">BG78*(1-IF((2070-2022)/I78&gt;=1,J78,H78+(J78-H78)*(3*((2070-2022)/I78)^2-2*((2070-2022)/I78)^3)))</f>
        <v>0.527579551916928</v>
      </c>
      <c r="BI78" s="30" t="n">
        <f aca="false">BH78*(1-IF((2071-2022)/I78&gt;=1,J78,H78+(J78-H78)*(3*((2071-2022)/I78)^2-2*((2071-2022)/I78)^3)))</f>
        <v>0.527579551916928</v>
      </c>
      <c r="BJ78" s="30" t="n">
        <f aca="false">BI78*(1-IF((2072-2022)/I78&gt;=1,J78,H78+(J78-H78)*(3*((2072-2022)/I78)^2-2*((2072-2022)/I78)^3)))</f>
        <v>0.527579551916928</v>
      </c>
      <c r="BK78" s="30" t="n">
        <f aca="false">BJ78*(1-IF((2073-2022)/I78&gt;=1,J78,H78+(J78-H78)*(3*((2073-2022)/I78)^2-2*((2073-2022)/I78)^3)))</f>
        <v>0.527579551916928</v>
      </c>
      <c r="BL78" s="30" t="n">
        <f aca="false">BK78*(1-IF((2074-2022)/I78&gt;=1,J78,H78+(J78-H78)*(3*((2074-2022)/I78)^2-2*((2074-2022)/I78)^3)))</f>
        <v>0.527579551916928</v>
      </c>
      <c r="BM78" s="30" t="n">
        <f aca="false">BL78*(1-IF((2075-2022)/I78&gt;=1,J78,H78+(J78-H78)*(3*((2075-2022)/I78)^2-2*((2075-2022)/I78)^3)))</f>
        <v>0.527579551916928</v>
      </c>
      <c r="BN78" s="30" t="n">
        <f aca="false">BM78*(1-IF((2076-2022)/I78&gt;=1,J78,H78+(J78-H78)*(3*((2076-2022)/I78)^2-2*((2076-2022)/I78)^3)))</f>
        <v>0.527579551916928</v>
      </c>
      <c r="BO78" s="30" t="n">
        <f aca="false">BN78*(1-IF((2077-2022)/I78&gt;=1,J78,H78+(J78-H78)*(3*((2077-2022)/I78)^2-2*((2077-2022)/I78)^3)))</f>
        <v>0.527579551916928</v>
      </c>
      <c r="BP78" s="30" t="n">
        <f aca="false">BO78*(1-IF((2078-2022)/I78&gt;=1,J78,H78+(J78-H78)*(3*((2078-2022)/I78)^2-2*((2078-2022)/I78)^3)))</f>
        <v>0.527579551916928</v>
      </c>
      <c r="BQ78" s="30" t="n">
        <f aca="false">BP78*(1-IF((2079-2022)/I78&gt;=1,J78,H78+(J78-H78)*(3*((2079-2022)/I78)^2-2*((2079-2022)/I78)^3)))</f>
        <v>0.527579551916928</v>
      </c>
      <c r="BR78" s="30" t="n">
        <f aca="false">BQ78*(1-IF((2080-2022)/I78&gt;=1,J78,H78+(J78-H78)*(3*((2080-2022)/I78)^2-2*((2080-2022)/I78)^3)))</f>
        <v>0.527579551916928</v>
      </c>
      <c r="BS78" s="30" t="n">
        <f aca="false">BR78*(1-IF((2081-2022)/I78&gt;=1,J78,H78+(J78-H78)*(3*((2081-2022)/I78)^2-2*((2081-2022)/I78)^3)))</f>
        <v>0.527579551916928</v>
      </c>
      <c r="BT78" s="30" t="n">
        <f aca="false">BS78*(1-IF((2082-2022)/I78&gt;=1,J78,H78+(J78-H78)*(3*((2082-2022)/I78)^2-2*((2082-2022)/I78)^3)))</f>
        <v>0.527579551916928</v>
      </c>
      <c r="BU78" s="30" t="n">
        <f aca="false">BT78*(1-IF((2083-2022)/I78&gt;=1,J78,H78+(J78-H78)*(3*((2083-2022)/I78)^2-2*((2083-2022)/I78)^3)))</f>
        <v>0.527579551916928</v>
      </c>
      <c r="BV78" s="30" t="n">
        <f aca="false">BU78*(1-IF((2084-2022)/I78&gt;=1,J78,H78+(J78-H78)*(3*((2084-2022)/I78)^2-2*((2084-2022)/I78)^3)))</f>
        <v>0.527579551916928</v>
      </c>
      <c r="BW78" s="30" t="n">
        <f aca="false">BV78*(1-IF((2085-2022)/I78&gt;=1,J78,H78+(J78-H78)*(3*((2085-2022)/I78)^2-2*((2085-2022)/I78)^3)))</f>
        <v>0.527579551916928</v>
      </c>
      <c r="BX78" s="30" t="n">
        <f aca="false">BW78*(1-IF((2086-2022)/I78&gt;=1,J78,H78+(J78-H78)*(3*((2086-2022)/I78)^2-2*((2086-2022)/I78)^3)))</f>
        <v>0.527579551916928</v>
      </c>
      <c r="BY78" s="30" t="n">
        <f aca="false">BX78*(1-IF((2087-2022)/I78&gt;=1,J78,H78+(J78-H78)*(3*((2087-2022)/I78)^2-2*((2087-2022)/I78)^3)))</f>
        <v>0.527579551916928</v>
      </c>
      <c r="BZ78" s="30" t="n">
        <f aca="false">BY78*(1-IF((2088-2022)/I78&gt;=1,J78,H78+(J78-H78)*(3*((2088-2022)/I78)^2-2*((2088-2022)/I78)^3)))</f>
        <v>0.527579551916928</v>
      </c>
      <c r="CA78" s="30" t="n">
        <f aca="false">BZ78*(1-IF((2089-2022)/I78&gt;=1,J78,H78+(J78-H78)*(3*((2089-2022)/I78)^2-2*((2089-2022)/I78)^3)))</f>
        <v>0.527579551916928</v>
      </c>
      <c r="CB78" s="30" t="n">
        <f aca="false">CA78*(1-IF((2090-2022)/I78&gt;=1,J78,H78+(J78-H78)*(3*((2090-2022)/I78)^2-2*((2090-2022)/I78)^3)))</f>
        <v>0.527579551916928</v>
      </c>
      <c r="CC78" s="30" t="n">
        <f aca="false">CB78*(1-IF((2091-2022)/I78&gt;=1,J78,H78+(J78-H78)*(3*((2091-2022)/I78)^2-2*((2091-2022)/I78)^3)))</f>
        <v>0.527579551916928</v>
      </c>
    </row>
    <row r="79" customFormat="false" ht="15" hidden="false" customHeight="true" outlineLevel="0" collapsed="false">
      <c r="A79" s="3" t="n">
        <v>116</v>
      </c>
      <c r="B79" s="30" t="n">
        <f aca="false">IF($A79&lt;=105,INDEX(ILT17_Source!$D$7:$D$52,MATCH($A79,ILT17_Source!$A$7:$A$52,0)),($B$16*EXP($B$17*$A79))/(1+$B$16*EXP($B$17*$A79)))</f>
        <v>0.603801885910104</v>
      </c>
      <c r="C79" s="31" t="n">
        <f aca="false">LOOKUP($A79,{60,65,70,75,80,85,90,95},{0.78,0.82,0.85,0.88,0.91,0.94,0.97,1})</f>
        <v>1</v>
      </c>
      <c r="D79" s="30" t="n">
        <f aca="false">B79*C79</f>
        <v>0.603801885910104</v>
      </c>
      <c r="E79" s="30" t="n">
        <f aca="false">1/(1+EXP(-(($B$6+$B$8*(2016-2022))+($B$7+$B$9*(2016-2022))*($A79-$B$10))))</f>
        <v>0.756150495979604</v>
      </c>
      <c r="F79" s="30" t="n">
        <f aca="false">1/(1+EXP(-(($B$6+$B$8*(2021-2022))+($B$7+$B$9*(2021-2022))*($A79-$B$10))))</f>
        <v>0.756960115926219</v>
      </c>
      <c r="G79" s="30" t="n">
        <f aca="false">1/(1+EXP(-(($B$6+$B$8*(2022-2022))+($B$7+$B$9*(2022-2022))*($A79-$B$10))))</f>
        <v>0.7571218207335</v>
      </c>
      <c r="H79" s="32" t="n">
        <f aca="false">(F79-G79)/F79</f>
        <v>-0.000213623946466126</v>
      </c>
      <c r="I79" s="38" t="n">
        <f aca="false">IF($A79&lt;=50,$B$14,IF($A79&gt;=95,$B$15,$B$14+($B$15-$B$14)*($A79-50)/(95-50)))</f>
        <v>5</v>
      </c>
      <c r="J79" s="39" t="n">
        <f aca="false">IF($A79&lt;=$B$12,$B$11,IF($A79&gt;=$B$13,0,$B$11*($B$13-$A79)/($B$13-$B$12)))</f>
        <v>0</v>
      </c>
      <c r="K79" s="30" t="n">
        <f aca="false">D79*G79/E79</f>
        <v>0.604577508912869</v>
      </c>
      <c r="L79" s="30" t="n">
        <f aca="false">K79*$B$19</f>
        <v>0.544119758021582</v>
      </c>
      <c r="M79" s="30" t="n">
        <f aca="false">L79*(1-IF((2023-2022)/I79&gt;=1,J79,H79+(J79-H79)*(3*((2023-2022)/I79)^2-2*((2023-2022)/I79)^3)))</f>
        <v>0.544223906382595</v>
      </c>
      <c r="N79" s="30" t="n">
        <f aca="false">M79*(1-IF((2024-2022)/I79&gt;=1,J79,H79+(J79-H79)*(3*((2024-2022)/I79)^2-2*((2024-2022)/I79)^3)))</f>
        <v>0.544299242382195</v>
      </c>
      <c r="O79" s="30" t="n">
        <f aca="false">N79*(1-IF((2025-2022)/I79&gt;=1,J79,H79+(J79-H79)*(3*((2025-2022)/I79)^2-2*((2025-2022)/I79)^3)))</f>
        <v>0.544340171306175</v>
      </c>
      <c r="P79" s="30" t="n">
        <f aca="false">O79*(1-IF((2026-2022)/I79&gt;=1,J79,H79+(J79-H79)*(3*((2026-2022)/I79)^2-2*((2026-2022)/I79)^3)))</f>
        <v>0.544352264852119</v>
      </c>
      <c r="Q79" s="30" t="n">
        <f aca="false">P79*(1-IF((2027-2022)/I79&gt;=1,J79,H79+(J79-H79)*(3*((2027-2022)/I79)^2-2*((2027-2022)/I79)^3)))</f>
        <v>0.544352264852119</v>
      </c>
      <c r="R79" s="30" t="n">
        <f aca="false">Q79*(1-IF((2028-2022)/I79&gt;=1,J79,H79+(J79-H79)*(3*((2028-2022)/I79)^2-2*((2028-2022)/I79)^3)))</f>
        <v>0.544352264852119</v>
      </c>
      <c r="S79" s="30" t="n">
        <f aca="false">R79*(1-IF((2029-2022)/I79&gt;=1,J79,H79+(J79-H79)*(3*((2029-2022)/I79)^2-2*((2029-2022)/I79)^3)))</f>
        <v>0.544352264852119</v>
      </c>
      <c r="T79" s="30" t="n">
        <f aca="false">S79*(1-IF((2030-2022)/I79&gt;=1,J79,H79+(J79-H79)*(3*((2030-2022)/I79)^2-2*((2030-2022)/I79)^3)))</f>
        <v>0.544352264852119</v>
      </c>
      <c r="U79" s="30" t="n">
        <f aca="false">T79*(1-IF((2031-2022)/I79&gt;=1,J79,H79+(J79-H79)*(3*((2031-2022)/I79)^2-2*((2031-2022)/I79)^3)))</f>
        <v>0.544352264852119</v>
      </c>
      <c r="V79" s="30" t="n">
        <f aca="false">U79*(1-IF((2032-2022)/I79&gt;=1,J79,H79+(J79-H79)*(3*((2032-2022)/I79)^2-2*((2032-2022)/I79)^3)))</f>
        <v>0.544352264852119</v>
      </c>
      <c r="W79" s="30" t="n">
        <f aca="false">V79*(1-IF((2033-2022)/I79&gt;=1,J79,H79+(J79-H79)*(3*((2033-2022)/I79)^2-2*((2033-2022)/I79)^3)))</f>
        <v>0.544352264852119</v>
      </c>
      <c r="X79" s="30" t="n">
        <f aca="false">W79*(1-IF((2034-2022)/I79&gt;=1,J79,H79+(J79-H79)*(3*((2034-2022)/I79)^2-2*((2034-2022)/I79)^3)))</f>
        <v>0.544352264852119</v>
      </c>
      <c r="Y79" s="30" t="n">
        <f aca="false">X79*(1-IF((2035-2022)/I79&gt;=1,J79,H79+(J79-H79)*(3*((2035-2022)/I79)^2-2*((2035-2022)/I79)^3)))</f>
        <v>0.544352264852119</v>
      </c>
      <c r="Z79" s="30" t="n">
        <f aca="false">Y79*(1-IF((2036-2022)/I79&gt;=1,J79,H79+(J79-H79)*(3*((2036-2022)/I79)^2-2*((2036-2022)/I79)^3)))</f>
        <v>0.544352264852119</v>
      </c>
      <c r="AA79" s="30" t="n">
        <f aca="false">Z79*(1-IF((2037-2022)/I79&gt;=1,J79,H79+(J79-H79)*(3*((2037-2022)/I79)^2-2*((2037-2022)/I79)^3)))</f>
        <v>0.544352264852119</v>
      </c>
      <c r="AB79" s="30" t="n">
        <f aca="false">AA79*(1-IF((2038-2022)/I79&gt;=1,J79,H79+(J79-H79)*(3*((2038-2022)/I79)^2-2*((2038-2022)/I79)^3)))</f>
        <v>0.544352264852119</v>
      </c>
      <c r="AC79" s="30" t="n">
        <f aca="false">AB79*(1-IF((2039-2022)/I79&gt;=1,J79,H79+(J79-H79)*(3*((2039-2022)/I79)^2-2*((2039-2022)/I79)^3)))</f>
        <v>0.544352264852119</v>
      </c>
      <c r="AD79" s="30" t="n">
        <f aca="false">AC79*(1-IF((2040-2022)/I79&gt;=1,J79,H79+(J79-H79)*(3*((2040-2022)/I79)^2-2*((2040-2022)/I79)^3)))</f>
        <v>0.544352264852119</v>
      </c>
      <c r="AE79" s="30" t="n">
        <f aca="false">AD79*(1-IF((2041-2022)/I79&gt;=1,J79,H79+(J79-H79)*(3*((2041-2022)/I79)^2-2*((2041-2022)/I79)^3)))</f>
        <v>0.544352264852119</v>
      </c>
      <c r="AF79" s="30" t="n">
        <f aca="false">AE79*(1-IF((2042-2022)/I79&gt;=1,J79,H79+(J79-H79)*(3*((2042-2022)/I79)^2-2*((2042-2022)/I79)^3)))</f>
        <v>0.544352264852119</v>
      </c>
      <c r="AG79" s="30" t="n">
        <f aca="false">AF79*(1-IF((2043-2022)/I79&gt;=1,J79,H79+(J79-H79)*(3*((2043-2022)/I79)^2-2*((2043-2022)/I79)^3)))</f>
        <v>0.544352264852119</v>
      </c>
      <c r="AH79" s="30" t="n">
        <f aca="false">AG79*(1-IF((2044-2022)/I79&gt;=1,J79,H79+(J79-H79)*(3*((2044-2022)/I79)^2-2*((2044-2022)/I79)^3)))</f>
        <v>0.544352264852119</v>
      </c>
      <c r="AI79" s="30" t="n">
        <f aca="false">AH79*(1-IF((2045-2022)/I79&gt;=1,J79,H79+(J79-H79)*(3*((2045-2022)/I79)^2-2*((2045-2022)/I79)^3)))</f>
        <v>0.544352264852119</v>
      </c>
      <c r="AJ79" s="30" t="n">
        <f aca="false">AI79*(1-IF((2046-2022)/I79&gt;=1,J79,H79+(J79-H79)*(3*((2046-2022)/I79)^2-2*((2046-2022)/I79)^3)))</f>
        <v>0.544352264852119</v>
      </c>
      <c r="AK79" s="30" t="n">
        <f aca="false">AJ79*(1-IF((2047-2022)/I79&gt;=1,J79,H79+(J79-H79)*(3*((2047-2022)/I79)^2-2*((2047-2022)/I79)^3)))</f>
        <v>0.544352264852119</v>
      </c>
      <c r="AL79" s="30" t="n">
        <f aca="false">AK79*(1-IF((2048-2022)/I79&gt;=1,J79,H79+(J79-H79)*(3*((2048-2022)/I79)^2-2*((2048-2022)/I79)^3)))</f>
        <v>0.544352264852119</v>
      </c>
      <c r="AM79" s="30" t="n">
        <f aca="false">AL79*(1-IF((2049-2022)/I79&gt;=1,J79,H79+(J79-H79)*(3*((2049-2022)/I79)^2-2*((2049-2022)/I79)^3)))</f>
        <v>0.544352264852119</v>
      </c>
      <c r="AN79" s="30" t="n">
        <f aca="false">AM79*(1-IF((2050-2022)/I79&gt;=1,J79,H79+(J79-H79)*(3*((2050-2022)/I79)^2-2*((2050-2022)/I79)^3)))</f>
        <v>0.544352264852119</v>
      </c>
      <c r="AO79" s="30" t="n">
        <f aca="false">AN79*(1-IF((2051-2022)/I79&gt;=1,J79,H79+(J79-H79)*(3*((2051-2022)/I79)^2-2*((2051-2022)/I79)^3)))</f>
        <v>0.544352264852119</v>
      </c>
      <c r="AP79" s="30" t="n">
        <f aca="false">AO79*(1-IF((2052-2022)/I79&gt;=1,J79,H79+(J79-H79)*(3*((2052-2022)/I79)^2-2*((2052-2022)/I79)^3)))</f>
        <v>0.544352264852119</v>
      </c>
      <c r="AQ79" s="30" t="n">
        <f aca="false">AP79*(1-IF((2053-2022)/I79&gt;=1,J79,H79+(J79-H79)*(3*((2053-2022)/I79)^2-2*((2053-2022)/I79)^3)))</f>
        <v>0.544352264852119</v>
      </c>
      <c r="AR79" s="30" t="n">
        <f aca="false">AQ79*(1-IF((2054-2022)/I79&gt;=1,J79,H79+(J79-H79)*(3*((2054-2022)/I79)^2-2*((2054-2022)/I79)^3)))</f>
        <v>0.544352264852119</v>
      </c>
      <c r="AS79" s="30" t="n">
        <f aca="false">AR79*(1-IF((2055-2022)/I79&gt;=1,J79,H79+(J79-H79)*(3*((2055-2022)/I79)^2-2*((2055-2022)/I79)^3)))</f>
        <v>0.544352264852119</v>
      </c>
      <c r="AT79" s="30" t="n">
        <f aca="false">AS79*(1-IF((2056-2022)/I79&gt;=1,J79,H79+(J79-H79)*(3*((2056-2022)/I79)^2-2*((2056-2022)/I79)^3)))</f>
        <v>0.544352264852119</v>
      </c>
      <c r="AU79" s="30" t="n">
        <f aca="false">AT79*(1-IF((2057-2022)/I79&gt;=1,J79,H79+(J79-H79)*(3*((2057-2022)/I79)^2-2*((2057-2022)/I79)^3)))</f>
        <v>0.544352264852119</v>
      </c>
      <c r="AV79" s="30" t="n">
        <f aca="false">AU79*(1-IF((2058-2022)/I79&gt;=1,J79,H79+(J79-H79)*(3*((2058-2022)/I79)^2-2*((2058-2022)/I79)^3)))</f>
        <v>0.544352264852119</v>
      </c>
      <c r="AW79" s="30" t="n">
        <f aca="false">AV79*(1-IF((2059-2022)/I79&gt;=1,J79,H79+(J79-H79)*(3*((2059-2022)/I79)^2-2*((2059-2022)/I79)^3)))</f>
        <v>0.544352264852119</v>
      </c>
      <c r="AX79" s="30" t="n">
        <f aca="false">AW79*(1-IF((2060-2022)/I79&gt;=1,J79,H79+(J79-H79)*(3*((2060-2022)/I79)^2-2*((2060-2022)/I79)^3)))</f>
        <v>0.544352264852119</v>
      </c>
      <c r="AY79" s="30" t="n">
        <f aca="false">AX79*(1-IF((2061-2022)/I79&gt;=1,J79,H79+(J79-H79)*(3*((2061-2022)/I79)^2-2*((2061-2022)/I79)^3)))</f>
        <v>0.544352264852119</v>
      </c>
      <c r="AZ79" s="30" t="n">
        <f aca="false">AY79*(1-IF((2062-2022)/I79&gt;=1,J79,H79+(J79-H79)*(3*((2062-2022)/I79)^2-2*((2062-2022)/I79)^3)))</f>
        <v>0.544352264852119</v>
      </c>
      <c r="BA79" s="30" t="n">
        <f aca="false">AZ79*(1-IF((2063-2022)/I79&gt;=1,J79,H79+(J79-H79)*(3*((2063-2022)/I79)^2-2*((2063-2022)/I79)^3)))</f>
        <v>0.544352264852119</v>
      </c>
      <c r="BB79" s="30" t="n">
        <f aca="false">BA79*(1-IF((2064-2022)/I79&gt;=1,J79,H79+(J79-H79)*(3*((2064-2022)/I79)^2-2*((2064-2022)/I79)^3)))</f>
        <v>0.544352264852119</v>
      </c>
      <c r="BC79" s="30" t="n">
        <f aca="false">BB79*(1-IF((2065-2022)/I79&gt;=1,J79,H79+(J79-H79)*(3*((2065-2022)/I79)^2-2*((2065-2022)/I79)^3)))</f>
        <v>0.544352264852119</v>
      </c>
      <c r="BD79" s="30" t="n">
        <f aca="false">BC79*(1-IF((2066-2022)/I79&gt;=1,J79,H79+(J79-H79)*(3*((2066-2022)/I79)^2-2*((2066-2022)/I79)^3)))</f>
        <v>0.544352264852119</v>
      </c>
      <c r="BE79" s="30" t="n">
        <f aca="false">BD79*(1-IF((2067-2022)/I79&gt;=1,J79,H79+(J79-H79)*(3*((2067-2022)/I79)^2-2*((2067-2022)/I79)^3)))</f>
        <v>0.544352264852119</v>
      </c>
      <c r="BF79" s="30" t="n">
        <f aca="false">BE79*(1-IF((2068-2022)/I79&gt;=1,J79,H79+(J79-H79)*(3*((2068-2022)/I79)^2-2*((2068-2022)/I79)^3)))</f>
        <v>0.544352264852119</v>
      </c>
      <c r="BG79" s="30" t="n">
        <f aca="false">BF79*(1-IF((2069-2022)/I79&gt;=1,J79,H79+(J79-H79)*(3*((2069-2022)/I79)^2-2*((2069-2022)/I79)^3)))</f>
        <v>0.544352264852119</v>
      </c>
      <c r="BH79" s="30" t="n">
        <f aca="false">BG79*(1-IF((2070-2022)/I79&gt;=1,J79,H79+(J79-H79)*(3*((2070-2022)/I79)^2-2*((2070-2022)/I79)^3)))</f>
        <v>0.544352264852119</v>
      </c>
      <c r="BI79" s="30" t="n">
        <f aca="false">BH79*(1-IF((2071-2022)/I79&gt;=1,J79,H79+(J79-H79)*(3*((2071-2022)/I79)^2-2*((2071-2022)/I79)^3)))</f>
        <v>0.544352264852119</v>
      </c>
      <c r="BJ79" s="30" t="n">
        <f aca="false">BI79*(1-IF((2072-2022)/I79&gt;=1,J79,H79+(J79-H79)*(3*((2072-2022)/I79)^2-2*((2072-2022)/I79)^3)))</f>
        <v>0.544352264852119</v>
      </c>
      <c r="BK79" s="30" t="n">
        <f aca="false">BJ79*(1-IF((2073-2022)/I79&gt;=1,J79,H79+(J79-H79)*(3*((2073-2022)/I79)^2-2*((2073-2022)/I79)^3)))</f>
        <v>0.544352264852119</v>
      </c>
      <c r="BL79" s="30" t="n">
        <f aca="false">BK79*(1-IF((2074-2022)/I79&gt;=1,J79,H79+(J79-H79)*(3*((2074-2022)/I79)^2-2*((2074-2022)/I79)^3)))</f>
        <v>0.544352264852119</v>
      </c>
      <c r="BM79" s="30" t="n">
        <f aca="false">BL79*(1-IF((2075-2022)/I79&gt;=1,J79,H79+(J79-H79)*(3*((2075-2022)/I79)^2-2*((2075-2022)/I79)^3)))</f>
        <v>0.544352264852119</v>
      </c>
      <c r="BN79" s="30" t="n">
        <f aca="false">BM79*(1-IF((2076-2022)/I79&gt;=1,J79,H79+(J79-H79)*(3*((2076-2022)/I79)^2-2*((2076-2022)/I79)^3)))</f>
        <v>0.544352264852119</v>
      </c>
      <c r="BO79" s="30" t="n">
        <f aca="false">BN79*(1-IF((2077-2022)/I79&gt;=1,J79,H79+(J79-H79)*(3*((2077-2022)/I79)^2-2*((2077-2022)/I79)^3)))</f>
        <v>0.544352264852119</v>
      </c>
      <c r="BP79" s="30" t="n">
        <f aca="false">BO79*(1-IF((2078-2022)/I79&gt;=1,J79,H79+(J79-H79)*(3*((2078-2022)/I79)^2-2*((2078-2022)/I79)^3)))</f>
        <v>0.544352264852119</v>
      </c>
      <c r="BQ79" s="30" t="n">
        <f aca="false">BP79*(1-IF((2079-2022)/I79&gt;=1,J79,H79+(J79-H79)*(3*((2079-2022)/I79)^2-2*((2079-2022)/I79)^3)))</f>
        <v>0.544352264852119</v>
      </c>
      <c r="BR79" s="30" t="n">
        <f aca="false">BQ79*(1-IF((2080-2022)/I79&gt;=1,J79,H79+(J79-H79)*(3*((2080-2022)/I79)^2-2*((2080-2022)/I79)^3)))</f>
        <v>0.544352264852119</v>
      </c>
      <c r="BS79" s="30" t="n">
        <f aca="false">BR79*(1-IF((2081-2022)/I79&gt;=1,J79,H79+(J79-H79)*(3*((2081-2022)/I79)^2-2*((2081-2022)/I79)^3)))</f>
        <v>0.544352264852119</v>
      </c>
      <c r="BT79" s="30" t="n">
        <f aca="false">BS79*(1-IF((2082-2022)/I79&gt;=1,J79,H79+(J79-H79)*(3*((2082-2022)/I79)^2-2*((2082-2022)/I79)^3)))</f>
        <v>0.544352264852119</v>
      </c>
      <c r="BU79" s="30" t="n">
        <f aca="false">BT79*(1-IF((2083-2022)/I79&gt;=1,J79,H79+(J79-H79)*(3*((2083-2022)/I79)^2-2*((2083-2022)/I79)^3)))</f>
        <v>0.544352264852119</v>
      </c>
      <c r="BV79" s="30" t="n">
        <f aca="false">BU79*(1-IF((2084-2022)/I79&gt;=1,J79,H79+(J79-H79)*(3*((2084-2022)/I79)^2-2*((2084-2022)/I79)^3)))</f>
        <v>0.544352264852119</v>
      </c>
      <c r="BW79" s="30" t="n">
        <f aca="false">BV79*(1-IF((2085-2022)/I79&gt;=1,J79,H79+(J79-H79)*(3*((2085-2022)/I79)^2-2*((2085-2022)/I79)^3)))</f>
        <v>0.544352264852119</v>
      </c>
      <c r="BX79" s="30" t="n">
        <f aca="false">BW79*(1-IF((2086-2022)/I79&gt;=1,J79,H79+(J79-H79)*(3*((2086-2022)/I79)^2-2*((2086-2022)/I79)^3)))</f>
        <v>0.544352264852119</v>
      </c>
      <c r="BY79" s="30" t="n">
        <f aca="false">BX79*(1-IF((2087-2022)/I79&gt;=1,J79,H79+(J79-H79)*(3*((2087-2022)/I79)^2-2*((2087-2022)/I79)^3)))</f>
        <v>0.544352264852119</v>
      </c>
      <c r="BZ79" s="30" t="n">
        <f aca="false">BY79*(1-IF((2088-2022)/I79&gt;=1,J79,H79+(J79-H79)*(3*((2088-2022)/I79)^2-2*((2088-2022)/I79)^3)))</f>
        <v>0.544352264852119</v>
      </c>
      <c r="CA79" s="30" t="n">
        <f aca="false">BZ79*(1-IF((2089-2022)/I79&gt;=1,J79,H79+(J79-H79)*(3*((2089-2022)/I79)^2-2*((2089-2022)/I79)^3)))</f>
        <v>0.544352264852119</v>
      </c>
      <c r="CB79" s="30" t="n">
        <f aca="false">CA79*(1-IF((2090-2022)/I79&gt;=1,J79,H79+(J79-H79)*(3*((2090-2022)/I79)^2-2*((2090-2022)/I79)^3)))</f>
        <v>0.544352264852119</v>
      </c>
      <c r="CC79" s="30" t="n">
        <f aca="false">CB79*(1-IF((2091-2022)/I79&gt;=1,J79,H79+(J79-H79)*(3*((2091-2022)/I79)^2-2*((2091-2022)/I79)^3)))</f>
        <v>0.544352264852119</v>
      </c>
    </row>
    <row r="80" customFormat="false" ht="15" hidden="false" customHeight="true" outlineLevel="0" collapsed="false">
      <c r="A80" s="3" t="n">
        <v>117</v>
      </c>
      <c r="B80" s="30" t="n">
        <f aca="false">IF($A80&lt;=105,INDEX(ILT17_Source!$D$7:$D$52,MATCH($A80,ILT17_Source!$A$7:$A$52,0)),($B$16*EXP($B$17*$A80))/(1+$B$16*EXP($B$17*$A80)))</f>
        <v>0.621539533065205</v>
      </c>
      <c r="C80" s="31" t="n">
        <f aca="false">LOOKUP($A80,{60,65,70,75,80,85,90,95},{0.78,0.82,0.85,0.88,0.91,0.94,0.97,1})</f>
        <v>1</v>
      </c>
      <c r="D80" s="30" t="n">
        <f aca="false">B80*C80</f>
        <v>0.621539533065205</v>
      </c>
      <c r="E80" s="30" t="n">
        <f aca="false">1/(1+EXP(-(($B$6+$B$8*(2016-2022))+($B$7+$B$9*(2016-2022))*($A80-$B$10))))</f>
        <v>0.775977923096016</v>
      </c>
      <c r="F80" s="30" t="n">
        <f aca="false">1/(1+EXP(-(($B$6+$B$8*(2021-2022))+($B$7+$B$9*(2021-2022))*($A80-$B$10))))</f>
        <v>0.777214700752261</v>
      </c>
      <c r="G80" s="30" t="n">
        <f aca="false">1/(1+EXP(-(($B$6+$B$8*(2022-2022))+($B$7+$B$9*(2022-2022))*($A80-$B$10))))</f>
        <v>0.777461470942271</v>
      </c>
      <c r="H80" s="32" t="n">
        <f aca="false">(F80-G80)/F80</f>
        <v>-0.000317505818883338</v>
      </c>
      <c r="I80" s="38" t="n">
        <f aca="false">IF($A80&lt;=50,$B$14,IF($A80&gt;=95,$B$15,$B$14+($B$15-$B$14)*($A80-50)/(95-50)))</f>
        <v>5</v>
      </c>
      <c r="J80" s="39" t="n">
        <f aca="false">IF($A80&lt;=$B$12,$B$11,IF($A80&gt;=$B$13,0,$B$11*($B$13-$A80)/($B$13-$B$12)))</f>
        <v>0</v>
      </c>
      <c r="K80" s="30" t="n">
        <f aca="false">D80*G80/E80</f>
        <v>0.622727818979271</v>
      </c>
      <c r="L80" s="30" t="n">
        <f aca="false">K80*$B$19</f>
        <v>0.560455037081344</v>
      </c>
      <c r="M80" s="30" t="n">
        <f aca="false">L80*(1-IF((2023-2022)/I80&gt;=1,J80,H80+(J80-H80)*(3*((2023-2022)/I80)^2-2*((2023-2022)/I80)^3)))</f>
        <v>0.560614478252348</v>
      </c>
      <c r="N80" s="30" t="n">
        <f aca="false">M80*(1-IF((2024-2022)/I80&gt;=1,J80,H80+(J80-H80)*(3*((2024-2022)/I80)^2-2*((2024-2022)/I80)^3)))</f>
        <v>0.560729821188977</v>
      </c>
      <c r="O80" s="30" t="n">
        <f aca="false">N80*(1-IF((2025-2022)/I80&gt;=1,J80,H80+(J80-H80)*(3*((2025-2022)/I80)^2-2*((2025-2022)/I80)^3)))</f>
        <v>0.560792489502307</v>
      </c>
      <c r="P80" s="30" t="n">
        <f aca="false">O80*(1-IF((2026-2022)/I80&gt;=1,J80,H80+(J80-H80)*(3*((2026-2022)/I80)^2-2*((2026-2022)/I80)^3)))</f>
        <v>0.560811007209681</v>
      </c>
      <c r="Q80" s="30" t="n">
        <f aca="false">P80*(1-IF((2027-2022)/I80&gt;=1,J80,H80+(J80-H80)*(3*((2027-2022)/I80)^2-2*((2027-2022)/I80)^3)))</f>
        <v>0.560811007209681</v>
      </c>
      <c r="R80" s="30" t="n">
        <f aca="false">Q80*(1-IF((2028-2022)/I80&gt;=1,J80,H80+(J80-H80)*(3*((2028-2022)/I80)^2-2*((2028-2022)/I80)^3)))</f>
        <v>0.560811007209681</v>
      </c>
      <c r="S80" s="30" t="n">
        <f aca="false">R80*(1-IF((2029-2022)/I80&gt;=1,J80,H80+(J80-H80)*(3*((2029-2022)/I80)^2-2*((2029-2022)/I80)^3)))</f>
        <v>0.560811007209681</v>
      </c>
      <c r="T80" s="30" t="n">
        <f aca="false">S80*(1-IF((2030-2022)/I80&gt;=1,J80,H80+(J80-H80)*(3*((2030-2022)/I80)^2-2*((2030-2022)/I80)^3)))</f>
        <v>0.560811007209681</v>
      </c>
      <c r="U80" s="30" t="n">
        <f aca="false">T80*(1-IF((2031-2022)/I80&gt;=1,J80,H80+(J80-H80)*(3*((2031-2022)/I80)^2-2*((2031-2022)/I80)^3)))</f>
        <v>0.560811007209681</v>
      </c>
      <c r="V80" s="30" t="n">
        <f aca="false">U80*(1-IF((2032-2022)/I80&gt;=1,J80,H80+(J80-H80)*(3*((2032-2022)/I80)^2-2*((2032-2022)/I80)^3)))</f>
        <v>0.560811007209681</v>
      </c>
      <c r="W80" s="30" t="n">
        <f aca="false">V80*(1-IF((2033-2022)/I80&gt;=1,J80,H80+(J80-H80)*(3*((2033-2022)/I80)^2-2*((2033-2022)/I80)^3)))</f>
        <v>0.560811007209681</v>
      </c>
      <c r="X80" s="30" t="n">
        <f aca="false">W80*(1-IF((2034-2022)/I80&gt;=1,J80,H80+(J80-H80)*(3*((2034-2022)/I80)^2-2*((2034-2022)/I80)^3)))</f>
        <v>0.560811007209681</v>
      </c>
      <c r="Y80" s="30" t="n">
        <f aca="false">X80*(1-IF((2035-2022)/I80&gt;=1,J80,H80+(J80-H80)*(3*((2035-2022)/I80)^2-2*((2035-2022)/I80)^3)))</f>
        <v>0.560811007209681</v>
      </c>
      <c r="Z80" s="30" t="n">
        <f aca="false">Y80*(1-IF((2036-2022)/I80&gt;=1,J80,H80+(J80-H80)*(3*((2036-2022)/I80)^2-2*((2036-2022)/I80)^3)))</f>
        <v>0.560811007209681</v>
      </c>
      <c r="AA80" s="30" t="n">
        <f aca="false">Z80*(1-IF((2037-2022)/I80&gt;=1,J80,H80+(J80-H80)*(3*((2037-2022)/I80)^2-2*((2037-2022)/I80)^3)))</f>
        <v>0.560811007209681</v>
      </c>
      <c r="AB80" s="30" t="n">
        <f aca="false">AA80*(1-IF((2038-2022)/I80&gt;=1,J80,H80+(J80-H80)*(3*((2038-2022)/I80)^2-2*((2038-2022)/I80)^3)))</f>
        <v>0.560811007209681</v>
      </c>
      <c r="AC80" s="30" t="n">
        <f aca="false">AB80*(1-IF((2039-2022)/I80&gt;=1,J80,H80+(J80-H80)*(3*((2039-2022)/I80)^2-2*((2039-2022)/I80)^3)))</f>
        <v>0.560811007209681</v>
      </c>
      <c r="AD80" s="30" t="n">
        <f aca="false">AC80*(1-IF((2040-2022)/I80&gt;=1,J80,H80+(J80-H80)*(3*((2040-2022)/I80)^2-2*((2040-2022)/I80)^3)))</f>
        <v>0.560811007209681</v>
      </c>
      <c r="AE80" s="30" t="n">
        <f aca="false">AD80*(1-IF((2041-2022)/I80&gt;=1,J80,H80+(J80-H80)*(3*((2041-2022)/I80)^2-2*((2041-2022)/I80)^3)))</f>
        <v>0.560811007209681</v>
      </c>
      <c r="AF80" s="30" t="n">
        <f aca="false">AE80*(1-IF((2042-2022)/I80&gt;=1,J80,H80+(J80-H80)*(3*((2042-2022)/I80)^2-2*((2042-2022)/I80)^3)))</f>
        <v>0.560811007209681</v>
      </c>
      <c r="AG80" s="30" t="n">
        <f aca="false">AF80*(1-IF((2043-2022)/I80&gt;=1,J80,H80+(J80-H80)*(3*((2043-2022)/I80)^2-2*((2043-2022)/I80)^3)))</f>
        <v>0.560811007209681</v>
      </c>
      <c r="AH80" s="30" t="n">
        <f aca="false">AG80*(1-IF((2044-2022)/I80&gt;=1,J80,H80+(J80-H80)*(3*((2044-2022)/I80)^2-2*((2044-2022)/I80)^3)))</f>
        <v>0.560811007209681</v>
      </c>
      <c r="AI80" s="30" t="n">
        <f aca="false">AH80*(1-IF((2045-2022)/I80&gt;=1,J80,H80+(J80-H80)*(3*((2045-2022)/I80)^2-2*((2045-2022)/I80)^3)))</f>
        <v>0.560811007209681</v>
      </c>
      <c r="AJ80" s="30" t="n">
        <f aca="false">AI80*(1-IF((2046-2022)/I80&gt;=1,J80,H80+(J80-H80)*(3*((2046-2022)/I80)^2-2*((2046-2022)/I80)^3)))</f>
        <v>0.560811007209681</v>
      </c>
      <c r="AK80" s="30" t="n">
        <f aca="false">AJ80*(1-IF((2047-2022)/I80&gt;=1,J80,H80+(J80-H80)*(3*((2047-2022)/I80)^2-2*((2047-2022)/I80)^3)))</f>
        <v>0.560811007209681</v>
      </c>
      <c r="AL80" s="30" t="n">
        <f aca="false">AK80*(1-IF((2048-2022)/I80&gt;=1,J80,H80+(J80-H80)*(3*((2048-2022)/I80)^2-2*((2048-2022)/I80)^3)))</f>
        <v>0.560811007209681</v>
      </c>
      <c r="AM80" s="30" t="n">
        <f aca="false">AL80*(1-IF((2049-2022)/I80&gt;=1,J80,H80+(J80-H80)*(3*((2049-2022)/I80)^2-2*((2049-2022)/I80)^3)))</f>
        <v>0.560811007209681</v>
      </c>
      <c r="AN80" s="30" t="n">
        <f aca="false">AM80*(1-IF((2050-2022)/I80&gt;=1,J80,H80+(J80-H80)*(3*((2050-2022)/I80)^2-2*((2050-2022)/I80)^3)))</f>
        <v>0.560811007209681</v>
      </c>
      <c r="AO80" s="30" t="n">
        <f aca="false">AN80*(1-IF((2051-2022)/I80&gt;=1,J80,H80+(J80-H80)*(3*((2051-2022)/I80)^2-2*((2051-2022)/I80)^3)))</f>
        <v>0.560811007209681</v>
      </c>
      <c r="AP80" s="30" t="n">
        <f aca="false">AO80*(1-IF((2052-2022)/I80&gt;=1,J80,H80+(J80-H80)*(3*((2052-2022)/I80)^2-2*((2052-2022)/I80)^3)))</f>
        <v>0.560811007209681</v>
      </c>
      <c r="AQ80" s="30" t="n">
        <f aca="false">AP80*(1-IF((2053-2022)/I80&gt;=1,J80,H80+(J80-H80)*(3*((2053-2022)/I80)^2-2*((2053-2022)/I80)^3)))</f>
        <v>0.560811007209681</v>
      </c>
      <c r="AR80" s="30" t="n">
        <f aca="false">AQ80*(1-IF((2054-2022)/I80&gt;=1,J80,H80+(J80-H80)*(3*((2054-2022)/I80)^2-2*((2054-2022)/I80)^3)))</f>
        <v>0.560811007209681</v>
      </c>
      <c r="AS80" s="30" t="n">
        <f aca="false">AR80*(1-IF((2055-2022)/I80&gt;=1,J80,H80+(J80-H80)*(3*((2055-2022)/I80)^2-2*((2055-2022)/I80)^3)))</f>
        <v>0.560811007209681</v>
      </c>
      <c r="AT80" s="30" t="n">
        <f aca="false">AS80*(1-IF((2056-2022)/I80&gt;=1,J80,H80+(J80-H80)*(3*((2056-2022)/I80)^2-2*((2056-2022)/I80)^3)))</f>
        <v>0.560811007209681</v>
      </c>
      <c r="AU80" s="30" t="n">
        <f aca="false">AT80*(1-IF((2057-2022)/I80&gt;=1,J80,H80+(J80-H80)*(3*((2057-2022)/I80)^2-2*((2057-2022)/I80)^3)))</f>
        <v>0.560811007209681</v>
      </c>
      <c r="AV80" s="30" t="n">
        <f aca="false">AU80*(1-IF((2058-2022)/I80&gt;=1,J80,H80+(J80-H80)*(3*((2058-2022)/I80)^2-2*((2058-2022)/I80)^3)))</f>
        <v>0.560811007209681</v>
      </c>
      <c r="AW80" s="30" t="n">
        <f aca="false">AV80*(1-IF((2059-2022)/I80&gt;=1,J80,H80+(J80-H80)*(3*((2059-2022)/I80)^2-2*((2059-2022)/I80)^3)))</f>
        <v>0.560811007209681</v>
      </c>
      <c r="AX80" s="30" t="n">
        <f aca="false">AW80*(1-IF((2060-2022)/I80&gt;=1,J80,H80+(J80-H80)*(3*((2060-2022)/I80)^2-2*((2060-2022)/I80)^3)))</f>
        <v>0.560811007209681</v>
      </c>
      <c r="AY80" s="30" t="n">
        <f aca="false">AX80*(1-IF((2061-2022)/I80&gt;=1,J80,H80+(J80-H80)*(3*((2061-2022)/I80)^2-2*((2061-2022)/I80)^3)))</f>
        <v>0.560811007209681</v>
      </c>
      <c r="AZ80" s="30" t="n">
        <f aca="false">AY80*(1-IF((2062-2022)/I80&gt;=1,J80,H80+(J80-H80)*(3*((2062-2022)/I80)^2-2*((2062-2022)/I80)^3)))</f>
        <v>0.560811007209681</v>
      </c>
      <c r="BA80" s="30" t="n">
        <f aca="false">AZ80*(1-IF((2063-2022)/I80&gt;=1,J80,H80+(J80-H80)*(3*((2063-2022)/I80)^2-2*((2063-2022)/I80)^3)))</f>
        <v>0.560811007209681</v>
      </c>
      <c r="BB80" s="30" t="n">
        <f aca="false">BA80*(1-IF((2064-2022)/I80&gt;=1,J80,H80+(J80-H80)*(3*((2064-2022)/I80)^2-2*((2064-2022)/I80)^3)))</f>
        <v>0.560811007209681</v>
      </c>
      <c r="BC80" s="30" t="n">
        <f aca="false">BB80*(1-IF((2065-2022)/I80&gt;=1,J80,H80+(J80-H80)*(3*((2065-2022)/I80)^2-2*((2065-2022)/I80)^3)))</f>
        <v>0.560811007209681</v>
      </c>
      <c r="BD80" s="30" t="n">
        <f aca="false">BC80*(1-IF((2066-2022)/I80&gt;=1,J80,H80+(J80-H80)*(3*((2066-2022)/I80)^2-2*((2066-2022)/I80)^3)))</f>
        <v>0.560811007209681</v>
      </c>
      <c r="BE80" s="30" t="n">
        <f aca="false">BD80*(1-IF((2067-2022)/I80&gt;=1,J80,H80+(J80-H80)*(3*((2067-2022)/I80)^2-2*((2067-2022)/I80)^3)))</f>
        <v>0.560811007209681</v>
      </c>
      <c r="BF80" s="30" t="n">
        <f aca="false">BE80*(1-IF((2068-2022)/I80&gt;=1,J80,H80+(J80-H80)*(3*((2068-2022)/I80)^2-2*((2068-2022)/I80)^3)))</f>
        <v>0.560811007209681</v>
      </c>
      <c r="BG80" s="30" t="n">
        <f aca="false">BF80*(1-IF((2069-2022)/I80&gt;=1,J80,H80+(J80-H80)*(3*((2069-2022)/I80)^2-2*((2069-2022)/I80)^3)))</f>
        <v>0.560811007209681</v>
      </c>
      <c r="BH80" s="30" t="n">
        <f aca="false">BG80*(1-IF((2070-2022)/I80&gt;=1,J80,H80+(J80-H80)*(3*((2070-2022)/I80)^2-2*((2070-2022)/I80)^3)))</f>
        <v>0.560811007209681</v>
      </c>
      <c r="BI80" s="30" t="n">
        <f aca="false">BH80*(1-IF((2071-2022)/I80&gt;=1,J80,H80+(J80-H80)*(3*((2071-2022)/I80)^2-2*((2071-2022)/I80)^3)))</f>
        <v>0.560811007209681</v>
      </c>
      <c r="BJ80" s="30" t="n">
        <f aca="false">BI80*(1-IF((2072-2022)/I80&gt;=1,J80,H80+(J80-H80)*(3*((2072-2022)/I80)^2-2*((2072-2022)/I80)^3)))</f>
        <v>0.560811007209681</v>
      </c>
      <c r="BK80" s="30" t="n">
        <f aca="false">BJ80*(1-IF((2073-2022)/I80&gt;=1,J80,H80+(J80-H80)*(3*((2073-2022)/I80)^2-2*((2073-2022)/I80)^3)))</f>
        <v>0.560811007209681</v>
      </c>
      <c r="BL80" s="30" t="n">
        <f aca="false">BK80*(1-IF((2074-2022)/I80&gt;=1,J80,H80+(J80-H80)*(3*((2074-2022)/I80)^2-2*((2074-2022)/I80)^3)))</f>
        <v>0.560811007209681</v>
      </c>
      <c r="BM80" s="30" t="n">
        <f aca="false">BL80*(1-IF((2075-2022)/I80&gt;=1,J80,H80+(J80-H80)*(3*((2075-2022)/I80)^2-2*((2075-2022)/I80)^3)))</f>
        <v>0.560811007209681</v>
      </c>
      <c r="BN80" s="30" t="n">
        <f aca="false">BM80*(1-IF((2076-2022)/I80&gt;=1,J80,H80+(J80-H80)*(3*((2076-2022)/I80)^2-2*((2076-2022)/I80)^3)))</f>
        <v>0.560811007209681</v>
      </c>
      <c r="BO80" s="30" t="n">
        <f aca="false">BN80*(1-IF((2077-2022)/I80&gt;=1,J80,H80+(J80-H80)*(3*((2077-2022)/I80)^2-2*((2077-2022)/I80)^3)))</f>
        <v>0.560811007209681</v>
      </c>
      <c r="BP80" s="30" t="n">
        <f aca="false">BO80*(1-IF((2078-2022)/I80&gt;=1,J80,H80+(J80-H80)*(3*((2078-2022)/I80)^2-2*((2078-2022)/I80)^3)))</f>
        <v>0.560811007209681</v>
      </c>
      <c r="BQ80" s="30" t="n">
        <f aca="false">BP80*(1-IF((2079-2022)/I80&gt;=1,J80,H80+(J80-H80)*(3*((2079-2022)/I80)^2-2*((2079-2022)/I80)^3)))</f>
        <v>0.560811007209681</v>
      </c>
      <c r="BR80" s="30" t="n">
        <f aca="false">BQ80*(1-IF((2080-2022)/I80&gt;=1,J80,H80+(J80-H80)*(3*((2080-2022)/I80)^2-2*((2080-2022)/I80)^3)))</f>
        <v>0.560811007209681</v>
      </c>
      <c r="BS80" s="30" t="n">
        <f aca="false">BR80*(1-IF((2081-2022)/I80&gt;=1,J80,H80+(J80-H80)*(3*((2081-2022)/I80)^2-2*((2081-2022)/I80)^3)))</f>
        <v>0.560811007209681</v>
      </c>
      <c r="BT80" s="30" t="n">
        <f aca="false">BS80*(1-IF((2082-2022)/I80&gt;=1,J80,H80+(J80-H80)*(3*((2082-2022)/I80)^2-2*((2082-2022)/I80)^3)))</f>
        <v>0.560811007209681</v>
      </c>
      <c r="BU80" s="30" t="n">
        <f aca="false">BT80*(1-IF((2083-2022)/I80&gt;=1,J80,H80+(J80-H80)*(3*((2083-2022)/I80)^2-2*((2083-2022)/I80)^3)))</f>
        <v>0.560811007209681</v>
      </c>
      <c r="BV80" s="30" t="n">
        <f aca="false">BU80*(1-IF((2084-2022)/I80&gt;=1,J80,H80+(J80-H80)*(3*((2084-2022)/I80)^2-2*((2084-2022)/I80)^3)))</f>
        <v>0.560811007209681</v>
      </c>
      <c r="BW80" s="30" t="n">
        <f aca="false">BV80*(1-IF((2085-2022)/I80&gt;=1,J80,H80+(J80-H80)*(3*((2085-2022)/I80)^2-2*((2085-2022)/I80)^3)))</f>
        <v>0.560811007209681</v>
      </c>
      <c r="BX80" s="30" t="n">
        <f aca="false">BW80*(1-IF((2086-2022)/I80&gt;=1,J80,H80+(J80-H80)*(3*((2086-2022)/I80)^2-2*((2086-2022)/I80)^3)))</f>
        <v>0.560811007209681</v>
      </c>
      <c r="BY80" s="30" t="n">
        <f aca="false">BX80*(1-IF((2087-2022)/I80&gt;=1,J80,H80+(J80-H80)*(3*((2087-2022)/I80)^2-2*((2087-2022)/I80)^3)))</f>
        <v>0.560811007209681</v>
      </c>
      <c r="BZ80" s="30" t="n">
        <f aca="false">BY80*(1-IF((2088-2022)/I80&gt;=1,J80,H80+(J80-H80)*(3*((2088-2022)/I80)^2-2*((2088-2022)/I80)^3)))</f>
        <v>0.560811007209681</v>
      </c>
      <c r="CA80" s="30" t="n">
        <f aca="false">BZ80*(1-IF((2089-2022)/I80&gt;=1,J80,H80+(J80-H80)*(3*((2089-2022)/I80)^2-2*((2089-2022)/I80)^3)))</f>
        <v>0.560811007209681</v>
      </c>
      <c r="CB80" s="30" t="n">
        <f aca="false">CA80*(1-IF((2090-2022)/I80&gt;=1,J80,H80+(J80-H80)*(3*((2090-2022)/I80)^2-2*((2090-2022)/I80)^3)))</f>
        <v>0.560811007209681</v>
      </c>
      <c r="CC80" s="30" t="n">
        <f aca="false">CB80*(1-IF((2091-2022)/I80&gt;=1,J80,H80+(J80-H80)*(3*((2091-2022)/I80)^2-2*((2091-2022)/I80)^3)))</f>
        <v>0.560811007209681</v>
      </c>
    </row>
    <row r="81" customFormat="false" ht="15" hidden="false" customHeight="true" outlineLevel="0" collapsed="false">
      <c r="A81" s="3" t="n">
        <v>118</v>
      </c>
      <c r="B81" s="30" t="n">
        <f aca="false">IF($A81&lt;=105,INDEX(ILT17_Source!$D$7:$D$52,MATCH($A81,ILT17_Source!$A$7:$A$52,0)),($B$16*EXP($B$17*$A81))/(1+$B$16*EXP($B$17*$A81)))</f>
        <v>0.638957907426241</v>
      </c>
      <c r="C81" s="31" t="n">
        <f aca="false">LOOKUP($A81,{60,65,70,75,80,85,90,95},{0.78,0.82,0.85,0.88,0.91,0.94,0.97,1})</f>
        <v>1</v>
      </c>
      <c r="D81" s="30" t="n">
        <f aca="false">B81*C81</f>
        <v>0.638957907426241</v>
      </c>
      <c r="E81" s="30" t="n">
        <f aca="false">1/(1+EXP(-(($B$6+$B$8*(2016-2022))+($B$7+$B$9*(2016-2022))*($A81-$B$10))))</f>
        <v>0.794631042316681</v>
      </c>
      <c r="F81" s="30" t="n">
        <f aca="false">1/(1+EXP(-(($B$6+$B$8*(2021-2022))+($B$7+$B$9*(2021-2022))*($A81-$B$10))))</f>
        <v>0.796235683710175</v>
      </c>
      <c r="G81" s="30" t="n">
        <f aca="false">1/(1+EXP(-(($B$6+$B$8*(2022-2022))+($B$7+$B$9*(2022-2022))*($A81-$B$10))))</f>
        <v>0.796555490101946</v>
      </c>
      <c r="H81" s="32" t="n">
        <f aca="false">(F81-G81)/F81</f>
        <v>-0.000401647901887847</v>
      </c>
      <c r="I81" s="38" t="n">
        <f aca="false">IF($A81&lt;=50,$B$14,IF($A81&gt;=95,$B$15,$B$14+($B$15-$B$14)*($A81-50)/(95-50)))</f>
        <v>5</v>
      </c>
      <c r="J81" s="39" t="n">
        <f aca="false">IF($A81&lt;=$B$12,$B$11,IF($A81&gt;=$B$13,0,$B$11*($B$13-$A81)/($B$13-$B$12)))</f>
        <v>0</v>
      </c>
      <c r="K81" s="30" t="n">
        <f aca="false">D81*G81/E81</f>
        <v>0.640505343990309</v>
      </c>
      <c r="L81" s="30" t="n">
        <f aca="false">K81*$B$19</f>
        <v>0.576454809591278</v>
      </c>
      <c r="M81" s="30" t="n">
        <f aca="false">L81*(1-IF((2023-2022)/I81&gt;=1,J81,H81+(J81-H81)*(3*((2023-2022)/I81)^2-2*((2023-2022)/I81)^3)))</f>
        <v>0.576662262142143</v>
      </c>
      <c r="N81" s="30" t="n">
        <f aca="false">M81*(1-IF((2024-2022)/I81&gt;=1,J81,H81+(J81-H81)*(3*((2024-2022)/I81)^2-2*((2024-2022)/I81)^3)))</f>
        <v>0.576812348783765</v>
      </c>
      <c r="O81" s="30" t="n">
        <f aca="false">N81*(1-IF((2025-2022)/I81&gt;=1,J81,H81+(J81-H81)*(3*((2025-2022)/I81)^2-2*((2025-2022)/I81)^3)))</f>
        <v>0.576893898549089</v>
      </c>
      <c r="P81" s="30" t="n">
        <f aca="false">O81*(1-IF((2026-2022)/I81&gt;=1,J81,H81+(J81-H81)*(3*((2026-2022)/I81)^2-2*((2026-2022)/I81)^3)))</f>
        <v>0.576917996204382</v>
      </c>
      <c r="Q81" s="30" t="n">
        <f aca="false">P81*(1-IF((2027-2022)/I81&gt;=1,J81,H81+(J81-H81)*(3*((2027-2022)/I81)^2-2*((2027-2022)/I81)^3)))</f>
        <v>0.576917996204382</v>
      </c>
      <c r="R81" s="30" t="n">
        <f aca="false">Q81*(1-IF((2028-2022)/I81&gt;=1,J81,H81+(J81-H81)*(3*((2028-2022)/I81)^2-2*((2028-2022)/I81)^3)))</f>
        <v>0.576917996204382</v>
      </c>
      <c r="S81" s="30" t="n">
        <f aca="false">R81*(1-IF((2029-2022)/I81&gt;=1,J81,H81+(J81-H81)*(3*((2029-2022)/I81)^2-2*((2029-2022)/I81)^3)))</f>
        <v>0.576917996204382</v>
      </c>
      <c r="T81" s="30" t="n">
        <f aca="false">S81*(1-IF((2030-2022)/I81&gt;=1,J81,H81+(J81-H81)*(3*((2030-2022)/I81)^2-2*((2030-2022)/I81)^3)))</f>
        <v>0.576917996204382</v>
      </c>
      <c r="U81" s="30" t="n">
        <f aca="false">T81*(1-IF((2031-2022)/I81&gt;=1,J81,H81+(J81-H81)*(3*((2031-2022)/I81)^2-2*((2031-2022)/I81)^3)))</f>
        <v>0.576917996204382</v>
      </c>
      <c r="V81" s="30" t="n">
        <f aca="false">U81*(1-IF((2032-2022)/I81&gt;=1,J81,H81+(J81-H81)*(3*((2032-2022)/I81)^2-2*((2032-2022)/I81)^3)))</f>
        <v>0.576917996204382</v>
      </c>
      <c r="W81" s="30" t="n">
        <f aca="false">V81*(1-IF((2033-2022)/I81&gt;=1,J81,H81+(J81-H81)*(3*((2033-2022)/I81)^2-2*((2033-2022)/I81)^3)))</f>
        <v>0.576917996204382</v>
      </c>
      <c r="X81" s="30" t="n">
        <f aca="false">W81*(1-IF((2034-2022)/I81&gt;=1,J81,H81+(J81-H81)*(3*((2034-2022)/I81)^2-2*((2034-2022)/I81)^3)))</f>
        <v>0.576917996204382</v>
      </c>
      <c r="Y81" s="30" t="n">
        <f aca="false">X81*(1-IF((2035-2022)/I81&gt;=1,J81,H81+(J81-H81)*(3*((2035-2022)/I81)^2-2*((2035-2022)/I81)^3)))</f>
        <v>0.576917996204382</v>
      </c>
      <c r="Z81" s="30" t="n">
        <f aca="false">Y81*(1-IF((2036-2022)/I81&gt;=1,J81,H81+(J81-H81)*(3*((2036-2022)/I81)^2-2*((2036-2022)/I81)^3)))</f>
        <v>0.576917996204382</v>
      </c>
      <c r="AA81" s="30" t="n">
        <f aca="false">Z81*(1-IF((2037-2022)/I81&gt;=1,J81,H81+(J81-H81)*(3*((2037-2022)/I81)^2-2*((2037-2022)/I81)^3)))</f>
        <v>0.576917996204382</v>
      </c>
      <c r="AB81" s="30" t="n">
        <f aca="false">AA81*(1-IF((2038-2022)/I81&gt;=1,J81,H81+(J81-H81)*(3*((2038-2022)/I81)^2-2*((2038-2022)/I81)^3)))</f>
        <v>0.576917996204382</v>
      </c>
      <c r="AC81" s="30" t="n">
        <f aca="false">AB81*(1-IF((2039-2022)/I81&gt;=1,J81,H81+(J81-H81)*(3*((2039-2022)/I81)^2-2*((2039-2022)/I81)^3)))</f>
        <v>0.576917996204382</v>
      </c>
      <c r="AD81" s="30" t="n">
        <f aca="false">AC81*(1-IF((2040-2022)/I81&gt;=1,J81,H81+(J81-H81)*(3*((2040-2022)/I81)^2-2*((2040-2022)/I81)^3)))</f>
        <v>0.576917996204382</v>
      </c>
      <c r="AE81" s="30" t="n">
        <f aca="false">AD81*(1-IF((2041-2022)/I81&gt;=1,J81,H81+(J81-H81)*(3*((2041-2022)/I81)^2-2*((2041-2022)/I81)^3)))</f>
        <v>0.576917996204382</v>
      </c>
      <c r="AF81" s="30" t="n">
        <f aca="false">AE81*(1-IF((2042-2022)/I81&gt;=1,J81,H81+(J81-H81)*(3*((2042-2022)/I81)^2-2*((2042-2022)/I81)^3)))</f>
        <v>0.576917996204382</v>
      </c>
      <c r="AG81" s="30" t="n">
        <f aca="false">AF81*(1-IF((2043-2022)/I81&gt;=1,J81,H81+(J81-H81)*(3*((2043-2022)/I81)^2-2*((2043-2022)/I81)^3)))</f>
        <v>0.576917996204382</v>
      </c>
      <c r="AH81" s="30" t="n">
        <f aca="false">AG81*(1-IF((2044-2022)/I81&gt;=1,J81,H81+(J81-H81)*(3*((2044-2022)/I81)^2-2*((2044-2022)/I81)^3)))</f>
        <v>0.576917996204382</v>
      </c>
      <c r="AI81" s="30" t="n">
        <f aca="false">AH81*(1-IF((2045-2022)/I81&gt;=1,J81,H81+(J81-H81)*(3*((2045-2022)/I81)^2-2*((2045-2022)/I81)^3)))</f>
        <v>0.576917996204382</v>
      </c>
      <c r="AJ81" s="30" t="n">
        <f aca="false">AI81*(1-IF((2046-2022)/I81&gt;=1,J81,H81+(J81-H81)*(3*((2046-2022)/I81)^2-2*((2046-2022)/I81)^3)))</f>
        <v>0.576917996204382</v>
      </c>
      <c r="AK81" s="30" t="n">
        <f aca="false">AJ81*(1-IF((2047-2022)/I81&gt;=1,J81,H81+(J81-H81)*(3*((2047-2022)/I81)^2-2*((2047-2022)/I81)^3)))</f>
        <v>0.576917996204382</v>
      </c>
      <c r="AL81" s="30" t="n">
        <f aca="false">AK81*(1-IF((2048-2022)/I81&gt;=1,J81,H81+(J81-H81)*(3*((2048-2022)/I81)^2-2*((2048-2022)/I81)^3)))</f>
        <v>0.576917996204382</v>
      </c>
      <c r="AM81" s="30" t="n">
        <f aca="false">AL81*(1-IF((2049-2022)/I81&gt;=1,J81,H81+(J81-H81)*(3*((2049-2022)/I81)^2-2*((2049-2022)/I81)^3)))</f>
        <v>0.576917996204382</v>
      </c>
      <c r="AN81" s="30" t="n">
        <f aca="false">AM81*(1-IF((2050-2022)/I81&gt;=1,J81,H81+(J81-H81)*(3*((2050-2022)/I81)^2-2*((2050-2022)/I81)^3)))</f>
        <v>0.576917996204382</v>
      </c>
      <c r="AO81" s="30" t="n">
        <f aca="false">AN81*(1-IF((2051-2022)/I81&gt;=1,J81,H81+(J81-H81)*(3*((2051-2022)/I81)^2-2*((2051-2022)/I81)^3)))</f>
        <v>0.576917996204382</v>
      </c>
      <c r="AP81" s="30" t="n">
        <f aca="false">AO81*(1-IF((2052-2022)/I81&gt;=1,J81,H81+(J81-H81)*(3*((2052-2022)/I81)^2-2*((2052-2022)/I81)^3)))</f>
        <v>0.576917996204382</v>
      </c>
      <c r="AQ81" s="30" t="n">
        <f aca="false">AP81*(1-IF((2053-2022)/I81&gt;=1,J81,H81+(J81-H81)*(3*((2053-2022)/I81)^2-2*((2053-2022)/I81)^3)))</f>
        <v>0.576917996204382</v>
      </c>
      <c r="AR81" s="30" t="n">
        <f aca="false">AQ81*(1-IF((2054-2022)/I81&gt;=1,J81,H81+(J81-H81)*(3*((2054-2022)/I81)^2-2*((2054-2022)/I81)^3)))</f>
        <v>0.576917996204382</v>
      </c>
      <c r="AS81" s="30" t="n">
        <f aca="false">AR81*(1-IF((2055-2022)/I81&gt;=1,J81,H81+(J81-H81)*(3*((2055-2022)/I81)^2-2*((2055-2022)/I81)^3)))</f>
        <v>0.576917996204382</v>
      </c>
      <c r="AT81" s="30" t="n">
        <f aca="false">AS81*(1-IF((2056-2022)/I81&gt;=1,J81,H81+(J81-H81)*(3*((2056-2022)/I81)^2-2*((2056-2022)/I81)^3)))</f>
        <v>0.576917996204382</v>
      </c>
      <c r="AU81" s="30" t="n">
        <f aca="false">AT81*(1-IF((2057-2022)/I81&gt;=1,J81,H81+(J81-H81)*(3*((2057-2022)/I81)^2-2*((2057-2022)/I81)^3)))</f>
        <v>0.576917996204382</v>
      </c>
      <c r="AV81" s="30" t="n">
        <f aca="false">AU81*(1-IF((2058-2022)/I81&gt;=1,J81,H81+(J81-H81)*(3*((2058-2022)/I81)^2-2*((2058-2022)/I81)^3)))</f>
        <v>0.576917996204382</v>
      </c>
      <c r="AW81" s="30" t="n">
        <f aca="false">AV81*(1-IF((2059-2022)/I81&gt;=1,J81,H81+(J81-H81)*(3*((2059-2022)/I81)^2-2*((2059-2022)/I81)^3)))</f>
        <v>0.576917996204382</v>
      </c>
      <c r="AX81" s="30" t="n">
        <f aca="false">AW81*(1-IF((2060-2022)/I81&gt;=1,J81,H81+(J81-H81)*(3*((2060-2022)/I81)^2-2*((2060-2022)/I81)^3)))</f>
        <v>0.576917996204382</v>
      </c>
      <c r="AY81" s="30" t="n">
        <f aca="false">AX81*(1-IF((2061-2022)/I81&gt;=1,J81,H81+(J81-H81)*(3*((2061-2022)/I81)^2-2*((2061-2022)/I81)^3)))</f>
        <v>0.576917996204382</v>
      </c>
      <c r="AZ81" s="30" t="n">
        <f aca="false">AY81*(1-IF((2062-2022)/I81&gt;=1,J81,H81+(J81-H81)*(3*((2062-2022)/I81)^2-2*((2062-2022)/I81)^3)))</f>
        <v>0.576917996204382</v>
      </c>
      <c r="BA81" s="30" t="n">
        <f aca="false">AZ81*(1-IF((2063-2022)/I81&gt;=1,J81,H81+(J81-H81)*(3*((2063-2022)/I81)^2-2*((2063-2022)/I81)^3)))</f>
        <v>0.576917996204382</v>
      </c>
      <c r="BB81" s="30" t="n">
        <f aca="false">BA81*(1-IF((2064-2022)/I81&gt;=1,J81,H81+(J81-H81)*(3*((2064-2022)/I81)^2-2*((2064-2022)/I81)^3)))</f>
        <v>0.576917996204382</v>
      </c>
      <c r="BC81" s="30" t="n">
        <f aca="false">BB81*(1-IF((2065-2022)/I81&gt;=1,J81,H81+(J81-H81)*(3*((2065-2022)/I81)^2-2*((2065-2022)/I81)^3)))</f>
        <v>0.576917996204382</v>
      </c>
      <c r="BD81" s="30" t="n">
        <f aca="false">BC81*(1-IF((2066-2022)/I81&gt;=1,J81,H81+(J81-H81)*(3*((2066-2022)/I81)^2-2*((2066-2022)/I81)^3)))</f>
        <v>0.576917996204382</v>
      </c>
      <c r="BE81" s="30" t="n">
        <f aca="false">BD81*(1-IF((2067-2022)/I81&gt;=1,J81,H81+(J81-H81)*(3*((2067-2022)/I81)^2-2*((2067-2022)/I81)^3)))</f>
        <v>0.576917996204382</v>
      </c>
      <c r="BF81" s="30" t="n">
        <f aca="false">BE81*(1-IF((2068-2022)/I81&gt;=1,J81,H81+(J81-H81)*(3*((2068-2022)/I81)^2-2*((2068-2022)/I81)^3)))</f>
        <v>0.576917996204382</v>
      </c>
      <c r="BG81" s="30" t="n">
        <f aca="false">BF81*(1-IF((2069-2022)/I81&gt;=1,J81,H81+(J81-H81)*(3*((2069-2022)/I81)^2-2*((2069-2022)/I81)^3)))</f>
        <v>0.576917996204382</v>
      </c>
      <c r="BH81" s="30" t="n">
        <f aca="false">BG81*(1-IF((2070-2022)/I81&gt;=1,J81,H81+(J81-H81)*(3*((2070-2022)/I81)^2-2*((2070-2022)/I81)^3)))</f>
        <v>0.576917996204382</v>
      </c>
      <c r="BI81" s="30" t="n">
        <f aca="false">BH81*(1-IF((2071-2022)/I81&gt;=1,J81,H81+(J81-H81)*(3*((2071-2022)/I81)^2-2*((2071-2022)/I81)^3)))</f>
        <v>0.576917996204382</v>
      </c>
      <c r="BJ81" s="30" t="n">
        <f aca="false">BI81*(1-IF((2072-2022)/I81&gt;=1,J81,H81+(J81-H81)*(3*((2072-2022)/I81)^2-2*((2072-2022)/I81)^3)))</f>
        <v>0.576917996204382</v>
      </c>
      <c r="BK81" s="30" t="n">
        <f aca="false">BJ81*(1-IF((2073-2022)/I81&gt;=1,J81,H81+(J81-H81)*(3*((2073-2022)/I81)^2-2*((2073-2022)/I81)^3)))</f>
        <v>0.576917996204382</v>
      </c>
      <c r="BL81" s="30" t="n">
        <f aca="false">BK81*(1-IF((2074-2022)/I81&gt;=1,J81,H81+(J81-H81)*(3*((2074-2022)/I81)^2-2*((2074-2022)/I81)^3)))</f>
        <v>0.576917996204382</v>
      </c>
      <c r="BM81" s="30" t="n">
        <f aca="false">BL81*(1-IF((2075-2022)/I81&gt;=1,J81,H81+(J81-H81)*(3*((2075-2022)/I81)^2-2*((2075-2022)/I81)^3)))</f>
        <v>0.576917996204382</v>
      </c>
      <c r="BN81" s="30" t="n">
        <f aca="false">BM81*(1-IF((2076-2022)/I81&gt;=1,J81,H81+(J81-H81)*(3*((2076-2022)/I81)^2-2*((2076-2022)/I81)^3)))</f>
        <v>0.576917996204382</v>
      </c>
      <c r="BO81" s="30" t="n">
        <f aca="false">BN81*(1-IF((2077-2022)/I81&gt;=1,J81,H81+(J81-H81)*(3*((2077-2022)/I81)^2-2*((2077-2022)/I81)^3)))</f>
        <v>0.576917996204382</v>
      </c>
      <c r="BP81" s="30" t="n">
        <f aca="false">BO81*(1-IF((2078-2022)/I81&gt;=1,J81,H81+(J81-H81)*(3*((2078-2022)/I81)^2-2*((2078-2022)/I81)^3)))</f>
        <v>0.576917996204382</v>
      </c>
      <c r="BQ81" s="30" t="n">
        <f aca="false">BP81*(1-IF((2079-2022)/I81&gt;=1,J81,H81+(J81-H81)*(3*((2079-2022)/I81)^2-2*((2079-2022)/I81)^3)))</f>
        <v>0.576917996204382</v>
      </c>
      <c r="BR81" s="30" t="n">
        <f aca="false">BQ81*(1-IF((2080-2022)/I81&gt;=1,J81,H81+(J81-H81)*(3*((2080-2022)/I81)^2-2*((2080-2022)/I81)^3)))</f>
        <v>0.576917996204382</v>
      </c>
      <c r="BS81" s="30" t="n">
        <f aca="false">BR81*(1-IF((2081-2022)/I81&gt;=1,J81,H81+(J81-H81)*(3*((2081-2022)/I81)^2-2*((2081-2022)/I81)^3)))</f>
        <v>0.576917996204382</v>
      </c>
      <c r="BT81" s="30" t="n">
        <f aca="false">BS81*(1-IF((2082-2022)/I81&gt;=1,J81,H81+(J81-H81)*(3*((2082-2022)/I81)^2-2*((2082-2022)/I81)^3)))</f>
        <v>0.576917996204382</v>
      </c>
      <c r="BU81" s="30" t="n">
        <f aca="false">BT81*(1-IF((2083-2022)/I81&gt;=1,J81,H81+(J81-H81)*(3*((2083-2022)/I81)^2-2*((2083-2022)/I81)^3)))</f>
        <v>0.576917996204382</v>
      </c>
      <c r="BV81" s="30" t="n">
        <f aca="false">BU81*(1-IF((2084-2022)/I81&gt;=1,J81,H81+(J81-H81)*(3*((2084-2022)/I81)^2-2*((2084-2022)/I81)^3)))</f>
        <v>0.576917996204382</v>
      </c>
      <c r="BW81" s="30" t="n">
        <f aca="false">BV81*(1-IF((2085-2022)/I81&gt;=1,J81,H81+(J81-H81)*(3*((2085-2022)/I81)^2-2*((2085-2022)/I81)^3)))</f>
        <v>0.576917996204382</v>
      </c>
      <c r="BX81" s="30" t="n">
        <f aca="false">BW81*(1-IF((2086-2022)/I81&gt;=1,J81,H81+(J81-H81)*(3*((2086-2022)/I81)^2-2*((2086-2022)/I81)^3)))</f>
        <v>0.576917996204382</v>
      </c>
      <c r="BY81" s="30" t="n">
        <f aca="false">BX81*(1-IF((2087-2022)/I81&gt;=1,J81,H81+(J81-H81)*(3*((2087-2022)/I81)^2-2*((2087-2022)/I81)^3)))</f>
        <v>0.576917996204382</v>
      </c>
      <c r="BZ81" s="30" t="n">
        <f aca="false">BY81*(1-IF((2088-2022)/I81&gt;=1,J81,H81+(J81-H81)*(3*((2088-2022)/I81)^2-2*((2088-2022)/I81)^3)))</f>
        <v>0.576917996204382</v>
      </c>
      <c r="CA81" s="30" t="n">
        <f aca="false">BZ81*(1-IF((2089-2022)/I81&gt;=1,J81,H81+(J81-H81)*(3*((2089-2022)/I81)^2-2*((2089-2022)/I81)^3)))</f>
        <v>0.576917996204382</v>
      </c>
      <c r="CB81" s="30" t="n">
        <f aca="false">CA81*(1-IF((2090-2022)/I81&gt;=1,J81,H81+(J81-H81)*(3*((2090-2022)/I81)^2-2*((2090-2022)/I81)^3)))</f>
        <v>0.576917996204382</v>
      </c>
      <c r="CC81" s="30" t="n">
        <f aca="false">CB81*(1-IF((2091-2022)/I81&gt;=1,J81,H81+(J81-H81)*(3*((2091-2022)/I81)^2-2*((2091-2022)/I81)^3)))</f>
        <v>0.576917996204382</v>
      </c>
    </row>
    <row r="82" customFormat="false" ht="15" hidden="false" customHeight="true" outlineLevel="0" collapsed="false">
      <c r="A82" s="3" t="n">
        <v>119</v>
      </c>
      <c r="B82" s="30" t="n">
        <f aca="false">IF($A82&lt;=105,INDEX(ILT17_Source!$D$7:$D$52,MATCH($A82,ILT17_Source!$A$7:$A$52,0)),($B$16*EXP($B$17*$A82))/(1+$B$16*EXP($B$17*$A82)))</f>
        <v>0.656018284754587</v>
      </c>
      <c r="C82" s="31" t="n">
        <f aca="false">LOOKUP($A82,{60,65,70,75,80,85,90,95},{0.78,0.82,0.85,0.88,0.91,0.94,0.97,1})</f>
        <v>1</v>
      </c>
      <c r="D82" s="30" t="n">
        <f aca="false">B82*C82</f>
        <v>0.656018284754587</v>
      </c>
      <c r="E82" s="30" t="n">
        <f aca="false">1/(1+EXP(-(($B$6+$B$8*(2016-2022))+($B$7+$B$9*(2016-2022))*($A82-$B$10))))</f>
        <v>0.812107089997605</v>
      </c>
      <c r="F82" s="30" t="n">
        <f aca="false">1/(1+EXP(-(($B$6+$B$8*(2021-2022))+($B$7+$B$9*(2021-2022))*($A82-$B$10))))</f>
        <v>0.814021290440251</v>
      </c>
      <c r="G82" s="30" t="n">
        <f aca="false">1/(1+EXP(-(($B$6+$B$8*(2022-2022))+($B$7+$B$9*(2022-2022))*($A82-$B$10))))</f>
        <v>0.814402319920158</v>
      </c>
      <c r="H82" s="32" t="n">
        <f aca="false">(F82-G82)/F82</f>
        <v>-0.000468082941296243</v>
      </c>
      <c r="I82" s="38" t="n">
        <f aca="false">IF($A82&lt;=50,$B$14,IF($A82&gt;=95,$B$15,$B$14+($B$15-$B$14)*($A82-50)/(95-50)))</f>
        <v>5</v>
      </c>
      <c r="J82" s="39" t="n">
        <f aca="false">IF($A82&lt;=$B$12,$B$11,IF($A82&gt;=$B$13,0,$B$11*($B$13-$A82)/($B$13-$B$12)))</f>
        <v>0</v>
      </c>
      <c r="K82" s="30" t="n">
        <f aca="false">D82*G82/E82</f>
        <v>0.657872366335029</v>
      </c>
      <c r="L82" s="30" t="n">
        <f aca="false">K82*$B$19</f>
        <v>0.592085129701526</v>
      </c>
      <c r="M82" s="30" t="n">
        <f aca="false">L82*(1-IF((2023-2022)/I82&gt;=1,J82,H82+(J82-H82)*(3*((2023-2022)/I82)^2-2*((2023-2022)/I82)^3)))</f>
        <v>0.592333451575837</v>
      </c>
      <c r="N82" s="30" t="n">
        <f aca="false">M82*(1-IF((2024-2022)/I82&gt;=1,J82,H82+(J82-H82)*(3*((2024-2022)/I82)^2-2*((2024-2022)/I82)^3)))</f>
        <v>0.592513116823226</v>
      </c>
      <c r="O82" s="30" t="n">
        <f aca="false">N82*(1-IF((2025-2022)/I82&gt;=1,J82,H82+(J82-H82)*(3*((2025-2022)/I82)^2-2*((2025-2022)/I82)^3)))</f>
        <v>0.592610742362659</v>
      </c>
      <c r="P82" s="30" t="n">
        <f aca="false">O82*(1-IF((2026-2022)/I82&gt;=1,J82,H82+(J82-H82)*(3*((2026-2022)/I82)^2-2*((2026-2022)/I82)^3)))</f>
        <v>0.592639591024509</v>
      </c>
      <c r="Q82" s="30" t="n">
        <f aca="false">P82*(1-IF((2027-2022)/I82&gt;=1,J82,H82+(J82-H82)*(3*((2027-2022)/I82)^2-2*((2027-2022)/I82)^3)))</f>
        <v>0.592639591024509</v>
      </c>
      <c r="R82" s="30" t="n">
        <f aca="false">Q82*(1-IF((2028-2022)/I82&gt;=1,J82,H82+(J82-H82)*(3*((2028-2022)/I82)^2-2*((2028-2022)/I82)^3)))</f>
        <v>0.592639591024509</v>
      </c>
      <c r="S82" s="30" t="n">
        <f aca="false">R82*(1-IF((2029-2022)/I82&gt;=1,J82,H82+(J82-H82)*(3*((2029-2022)/I82)^2-2*((2029-2022)/I82)^3)))</f>
        <v>0.592639591024509</v>
      </c>
      <c r="T82" s="30" t="n">
        <f aca="false">S82*(1-IF((2030-2022)/I82&gt;=1,J82,H82+(J82-H82)*(3*((2030-2022)/I82)^2-2*((2030-2022)/I82)^3)))</f>
        <v>0.592639591024509</v>
      </c>
      <c r="U82" s="30" t="n">
        <f aca="false">T82*(1-IF((2031-2022)/I82&gt;=1,J82,H82+(J82-H82)*(3*((2031-2022)/I82)^2-2*((2031-2022)/I82)^3)))</f>
        <v>0.592639591024509</v>
      </c>
      <c r="V82" s="30" t="n">
        <f aca="false">U82*(1-IF((2032-2022)/I82&gt;=1,J82,H82+(J82-H82)*(3*((2032-2022)/I82)^2-2*((2032-2022)/I82)^3)))</f>
        <v>0.592639591024509</v>
      </c>
      <c r="W82" s="30" t="n">
        <f aca="false">V82*(1-IF((2033-2022)/I82&gt;=1,J82,H82+(J82-H82)*(3*((2033-2022)/I82)^2-2*((2033-2022)/I82)^3)))</f>
        <v>0.592639591024509</v>
      </c>
      <c r="X82" s="30" t="n">
        <f aca="false">W82*(1-IF((2034-2022)/I82&gt;=1,J82,H82+(J82-H82)*(3*((2034-2022)/I82)^2-2*((2034-2022)/I82)^3)))</f>
        <v>0.592639591024509</v>
      </c>
      <c r="Y82" s="30" t="n">
        <f aca="false">X82*(1-IF((2035-2022)/I82&gt;=1,J82,H82+(J82-H82)*(3*((2035-2022)/I82)^2-2*((2035-2022)/I82)^3)))</f>
        <v>0.592639591024509</v>
      </c>
      <c r="Z82" s="30" t="n">
        <f aca="false">Y82*(1-IF((2036-2022)/I82&gt;=1,J82,H82+(J82-H82)*(3*((2036-2022)/I82)^2-2*((2036-2022)/I82)^3)))</f>
        <v>0.592639591024509</v>
      </c>
      <c r="AA82" s="30" t="n">
        <f aca="false">Z82*(1-IF((2037-2022)/I82&gt;=1,J82,H82+(J82-H82)*(3*((2037-2022)/I82)^2-2*((2037-2022)/I82)^3)))</f>
        <v>0.592639591024509</v>
      </c>
      <c r="AB82" s="30" t="n">
        <f aca="false">AA82*(1-IF((2038-2022)/I82&gt;=1,J82,H82+(J82-H82)*(3*((2038-2022)/I82)^2-2*((2038-2022)/I82)^3)))</f>
        <v>0.592639591024509</v>
      </c>
      <c r="AC82" s="30" t="n">
        <f aca="false">AB82*(1-IF((2039-2022)/I82&gt;=1,J82,H82+(J82-H82)*(3*((2039-2022)/I82)^2-2*((2039-2022)/I82)^3)))</f>
        <v>0.592639591024509</v>
      </c>
      <c r="AD82" s="30" t="n">
        <f aca="false">AC82*(1-IF((2040-2022)/I82&gt;=1,J82,H82+(J82-H82)*(3*((2040-2022)/I82)^2-2*((2040-2022)/I82)^3)))</f>
        <v>0.592639591024509</v>
      </c>
      <c r="AE82" s="30" t="n">
        <f aca="false">AD82*(1-IF((2041-2022)/I82&gt;=1,J82,H82+(J82-H82)*(3*((2041-2022)/I82)^2-2*((2041-2022)/I82)^3)))</f>
        <v>0.592639591024509</v>
      </c>
      <c r="AF82" s="30" t="n">
        <f aca="false">AE82*(1-IF((2042-2022)/I82&gt;=1,J82,H82+(J82-H82)*(3*((2042-2022)/I82)^2-2*((2042-2022)/I82)^3)))</f>
        <v>0.592639591024509</v>
      </c>
      <c r="AG82" s="30" t="n">
        <f aca="false">AF82*(1-IF((2043-2022)/I82&gt;=1,J82,H82+(J82-H82)*(3*((2043-2022)/I82)^2-2*((2043-2022)/I82)^3)))</f>
        <v>0.592639591024509</v>
      </c>
      <c r="AH82" s="30" t="n">
        <f aca="false">AG82*(1-IF((2044-2022)/I82&gt;=1,J82,H82+(J82-H82)*(3*((2044-2022)/I82)^2-2*((2044-2022)/I82)^3)))</f>
        <v>0.592639591024509</v>
      </c>
      <c r="AI82" s="30" t="n">
        <f aca="false">AH82*(1-IF((2045-2022)/I82&gt;=1,J82,H82+(J82-H82)*(3*((2045-2022)/I82)^2-2*((2045-2022)/I82)^3)))</f>
        <v>0.592639591024509</v>
      </c>
      <c r="AJ82" s="30" t="n">
        <f aca="false">AI82*(1-IF((2046-2022)/I82&gt;=1,J82,H82+(J82-H82)*(3*((2046-2022)/I82)^2-2*((2046-2022)/I82)^3)))</f>
        <v>0.592639591024509</v>
      </c>
      <c r="AK82" s="30" t="n">
        <f aca="false">AJ82*(1-IF((2047-2022)/I82&gt;=1,J82,H82+(J82-H82)*(3*((2047-2022)/I82)^2-2*((2047-2022)/I82)^3)))</f>
        <v>0.592639591024509</v>
      </c>
      <c r="AL82" s="30" t="n">
        <f aca="false">AK82*(1-IF((2048-2022)/I82&gt;=1,J82,H82+(J82-H82)*(3*((2048-2022)/I82)^2-2*((2048-2022)/I82)^3)))</f>
        <v>0.592639591024509</v>
      </c>
      <c r="AM82" s="30" t="n">
        <f aca="false">AL82*(1-IF((2049-2022)/I82&gt;=1,J82,H82+(J82-H82)*(3*((2049-2022)/I82)^2-2*((2049-2022)/I82)^3)))</f>
        <v>0.592639591024509</v>
      </c>
      <c r="AN82" s="30" t="n">
        <f aca="false">AM82*(1-IF((2050-2022)/I82&gt;=1,J82,H82+(J82-H82)*(3*((2050-2022)/I82)^2-2*((2050-2022)/I82)^3)))</f>
        <v>0.592639591024509</v>
      </c>
      <c r="AO82" s="30" t="n">
        <f aca="false">AN82*(1-IF((2051-2022)/I82&gt;=1,J82,H82+(J82-H82)*(3*((2051-2022)/I82)^2-2*((2051-2022)/I82)^3)))</f>
        <v>0.592639591024509</v>
      </c>
      <c r="AP82" s="30" t="n">
        <f aca="false">AO82*(1-IF((2052-2022)/I82&gt;=1,J82,H82+(J82-H82)*(3*((2052-2022)/I82)^2-2*((2052-2022)/I82)^3)))</f>
        <v>0.592639591024509</v>
      </c>
      <c r="AQ82" s="30" t="n">
        <f aca="false">AP82*(1-IF((2053-2022)/I82&gt;=1,J82,H82+(J82-H82)*(3*((2053-2022)/I82)^2-2*((2053-2022)/I82)^3)))</f>
        <v>0.592639591024509</v>
      </c>
      <c r="AR82" s="30" t="n">
        <f aca="false">AQ82*(1-IF((2054-2022)/I82&gt;=1,J82,H82+(J82-H82)*(3*((2054-2022)/I82)^2-2*((2054-2022)/I82)^3)))</f>
        <v>0.592639591024509</v>
      </c>
      <c r="AS82" s="30" t="n">
        <f aca="false">AR82*(1-IF((2055-2022)/I82&gt;=1,J82,H82+(J82-H82)*(3*((2055-2022)/I82)^2-2*((2055-2022)/I82)^3)))</f>
        <v>0.592639591024509</v>
      </c>
      <c r="AT82" s="30" t="n">
        <f aca="false">AS82*(1-IF((2056-2022)/I82&gt;=1,J82,H82+(J82-H82)*(3*((2056-2022)/I82)^2-2*((2056-2022)/I82)^3)))</f>
        <v>0.592639591024509</v>
      </c>
      <c r="AU82" s="30" t="n">
        <f aca="false">AT82*(1-IF((2057-2022)/I82&gt;=1,J82,H82+(J82-H82)*(3*((2057-2022)/I82)^2-2*((2057-2022)/I82)^3)))</f>
        <v>0.592639591024509</v>
      </c>
      <c r="AV82" s="30" t="n">
        <f aca="false">AU82*(1-IF((2058-2022)/I82&gt;=1,J82,H82+(J82-H82)*(3*((2058-2022)/I82)^2-2*((2058-2022)/I82)^3)))</f>
        <v>0.592639591024509</v>
      </c>
      <c r="AW82" s="30" t="n">
        <f aca="false">AV82*(1-IF((2059-2022)/I82&gt;=1,J82,H82+(J82-H82)*(3*((2059-2022)/I82)^2-2*((2059-2022)/I82)^3)))</f>
        <v>0.592639591024509</v>
      </c>
      <c r="AX82" s="30" t="n">
        <f aca="false">AW82*(1-IF((2060-2022)/I82&gt;=1,J82,H82+(J82-H82)*(3*((2060-2022)/I82)^2-2*((2060-2022)/I82)^3)))</f>
        <v>0.592639591024509</v>
      </c>
      <c r="AY82" s="30" t="n">
        <f aca="false">AX82*(1-IF((2061-2022)/I82&gt;=1,J82,H82+(J82-H82)*(3*((2061-2022)/I82)^2-2*((2061-2022)/I82)^3)))</f>
        <v>0.592639591024509</v>
      </c>
      <c r="AZ82" s="30" t="n">
        <f aca="false">AY82*(1-IF((2062-2022)/I82&gt;=1,J82,H82+(J82-H82)*(3*((2062-2022)/I82)^2-2*((2062-2022)/I82)^3)))</f>
        <v>0.592639591024509</v>
      </c>
      <c r="BA82" s="30" t="n">
        <f aca="false">AZ82*(1-IF((2063-2022)/I82&gt;=1,J82,H82+(J82-H82)*(3*((2063-2022)/I82)^2-2*((2063-2022)/I82)^3)))</f>
        <v>0.592639591024509</v>
      </c>
      <c r="BB82" s="30" t="n">
        <f aca="false">BA82*(1-IF((2064-2022)/I82&gt;=1,J82,H82+(J82-H82)*(3*((2064-2022)/I82)^2-2*((2064-2022)/I82)^3)))</f>
        <v>0.592639591024509</v>
      </c>
      <c r="BC82" s="30" t="n">
        <f aca="false">BB82*(1-IF((2065-2022)/I82&gt;=1,J82,H82+(J82-H82)*(3*((2065-2022)/I82)^2-2*((2065-2022)/I82)^3)))</f>
        <v>0.592639591024509</v>
      </c>
      <c r="BD82" s="30" t="n">
        <f aca="false">BC82*(1-IF((2066-2022)/I82&gt;=1,J82,H82+(J82-H82)*(3*((2066-2022)/I82)^2-2*((2066-2022)/I82)^3)))</f>
        <v>0.592639591024509</v>
      </c>
      <c r="BE82" s="30" t="n">
        <f aca="false">BD82*(1-IF((2067-2022)/I82&gt;=1,J82,H82+(J82-H82)*(3*((2067-2022)/I82)^2-2*((2067-2022)/I82)^3)))</f>
        <v>0.592639591024509</v>
      </c>
      <c r="BF82" s="30" t="n">
        <f aca="false">BE82*(1-IF((2068-2022)/I82&gt;=1,J82,H82+(J82-H82)*(3*((2068-2022)/I82)^2-2*((2068-2022)/I82)^3)))</f>
        <v>0.592639591024509</v>
      </c>
      <c r="BG82" s="30" t="n">
        <f aca="false">BF82*(1-IF((2069-2022)/I82&gt;=1,J82,H82+(J82-H82)*(3*((2069-2022)/I82)^2-2*((2069-2022)/I82)^3)))</f>
        <v>0.592639591024509</v>
      </c>
      <c r="BH82" s="30" t="n">
        <f aca="false">BG82*(1-IF((2070-2022)/I82&gt;=1,J82,H82+(J82-H82)*(3*((2070-2022)/I82)^2-2*((2070-2022)/I82)^3)))</f>
        <v>0.592639591024509</v>
      </c>
      <c r="BI82" s="30" t="n">
        <f aca="false">BH82*(1-IF((2071-2022)/I82&gt;=1,J82,H82+(J82-H82)*(3*((2071-2022)/I82)^2-2*((2071-2022)/I82)^3)))</f>
        <v>0.592639591024509</v>
      </c>
      <c r="BJ82" s="30" t="n">
        <f aca="false">BI82*(1-IF((2072-2022)/I82&gt;=1,J82,H82+(J82-H82)*(3*((2072-2022)/I82)^2-2*((2072-2022)/I82)^3)))</f>
        <v>0.592639591024509</v>
      </c>
      <c r="BK82" s="30" t="n">
        <f aca="false">BJ82*(1-IF((2073-2022)/I82&gt;=1,J82,H82+(J82-H82)*(3*((2073-2022)/I82)^2-2*((2073-2022)/I82)^3)))</f>
        <v>0.592639591024509</v>
      </c>
      <c r="BL82" s="30" t="n">
        <f aca="false">BK82*(1-IF((2074-2022)/I82&gt;=1,J82,H82+(J82-H82)*(3*((2074-2022)/I82)^2-2*((2074-2022)/I82)^3)))</f>
        <v>0.592639591024509</v>
      </c>
      <c r="BM82" s="30" t="n">
        <f aca="false">BL82*(1-IF((2075-2022)/I82&gt;=1,J82,H82+(J82-H82)*(3*((2075-2022)/I82)^2-2*((2075-2022)/I82)^3)))</f>
        <v>0.592639591024509</v>
      </c>
      <c r="BN82" s="30" t="n">
        <f aca="false">BM82*(1-IF((2076-2022)/I82&gt;=1,J82,H82+(J82-H82)*(3*((2076-2022)/I82)^2-2*((2076-2022)/I82)^3)))</f>
        <v>0.592639591024509</v>
      </c>
      <c r="BO82" s="30" t="n">
        <f aca="false">BN82*(1-IF((2077-2022)/I82&gt;=1,J82,H82+(J82-H82)*(3*((2077-2022)/I82)^2-2*((2077-2022)/I82)^3)))</f>
        <v>0.592639591024509</v>
      </c>
      <c r="BP82" s="30" t="n">
        <f aca="false">BO82*(1-IF((2078-2022)/I82&gt;=1,J82,H82+(J82-H82)*(3*((2078-2022)/I82)^2-2*((2078-2022)/I82)^3)))</f>
        <v>0.592639591024509</v>
      </c>
      <c r="BQ82" s="30" t="n">
        <f aca="false">BP82*(1-IF((2079-2022)/I82&gt;=1,J82,H82+(J82-H82)*(3*((2079-2022)/I82)^2-2*((2079-2022)/I82)^3)))</f>
        <v>0.592639591024509</v>
      </c>
      <c r="BR82" s="30" t="n">
        <f aca="false">BQ82*(1-IF((2080-2022)/I82&gt;=1,J82,H82+(J82-H82)*(3*((2080-2022)/I82)^2-2*((2080-2022)/I82)^3)))</f>
        <v>0.592639591024509</v>
      </c>
      <c r="BS82" s="30" t="n">
        <f aca="false">BR82*(1-IF((2081-2022)/I82&gt;=1,J82,H82+(J82-H82)*(3*((2081-2022)/I82)^2-2*((2081-2022)/I82)^3)))</f>
        <v>0.592639591024509</v>
      </c>
      <c r="BT82" s="30" t="n">
        <f aca="false">BS82*(1-IF((2082-2022)/I82&gt;=1,J82,H82+(J82-H82)*(3*((2082-2022)/I82)^2-2*((2082-2022)/I82)^3)))</f>
        <v>0.592639591024509</v>
      </c>
      <c r="BU82" s="30" t="n">
        <f aca="false">BT82*(1-IF((2083-2022)/I82&gt;=1,J82,H82+(J82-H82)*(3*((2083-2022)/I82)^2-2*((2083-2022)/I82)^3)))</f>
        <v>0.592639591024509</v>
      </c>
      <c r="BV82" s="30" t="n">
        <f aca="false">BU82*(1-IF((2084-2022)/I82&gt;=1,J82,H82+(J82-H82)*(3*((2084-2022)/I82)^2-2*((2084-2022)/I82)^3)))</f>
        <v>0.592639591024509</v>
      </c>
      <c r="BW82" s="30" t="n">
        <f aca="false">BV82*(1-IF((2085-2022)/I82&gt;=1,J82,H82+(J82-H82)*(3*((2085-2022)/I82)^2-2*((2085-2022)/I82)^3)))</f>
        <v>0.592639591024509</v>
      </c>
      <c r="BX82" s="30" t="n">
        <f aca="false">BW82*(1-IF((2086-2022)/I82&gt;=1,J82,H82+(J82-H82)*(3*((2086-2022)/I82)^2-2*((2086-2022)/I82)^3)))</f>
        <v>0.592639591024509</v>
      </c>
      <c r="BY82" s="30" t="n">
        <f aca="false">BX82*(1-IF((2087-2022)/I82&gt;=1,J82,H82+(J82-H82)*(3*((2087-2022)/I82)^2-2*((2087-2022)/I82)^3)))</f>
        <v>0.592639591024509</v>
      </c>
      <c r="BZ82" s="30" t="n">
        <f aca="false">BY82*(1-IF((2088-2022)/I82&gt;=1,J82,H82+(J82-H82)*(3*((2088-2022)/I82)^2-2*((2088-2022)/I82)^3)))</f>
        <v>0.592639591024509</v>
      </c>
      <c r="CA82" s="30" t="n">
        <f aca="false">BZ82*(1-IF((2089-2022)/I82&gt;=1,J82,H82+(J82-H82)*(3*((2089-2022)/I82)^2-2*((2089-2022)/I82)^3)))</f>
        <v>0.592639591024509</v>
      </c>
      <c r="CB82" s="30" t="n">
        <f aca="false">CA82*(1-IF((2090-2022)/I82&gt;=1,J82,H82+(J82-H82)*(3*((2090-2022)/I82)^2-2*((2090-2022)/I82)^3)))</f>
        <v>0.592639591024509</v>
      </c>
      <c r="CC82" s="30" t="n">
        <f aca="false">CB82*(1-IF((2091-2022)/I82&gt;=1,J82,H82+(J82-H82)*(3*((2091-2022)/I82)^2-2*((2091-2022)/I82)^3)))</f>
        <v>0.592639591024509</v>
      </c>
    </row>
    <row r="83" customFormat="false" ht="15" hidden="false" customHeight="true" outlineLevel="0" collapsed="false">
      <c r="A83" s="3" t="n">
        <v>120</v>
      </c>
      <c r="B83" s="30" t="n">
        <f aca="false">IF($A83&lt;=105,INDEX(ILT17_Source!$D$7:$D$52,MATCH($A83,ILT17_Source!$A$7:$A$52,0)),($B$16*EXP($B$17*$A83))/(1+$B$16*EXP($B$17*$A83)))</f>
        <v>0.672685469714568</v>
      </c>
      <c r="C83" s="31" t="n">
        <f aca="false">LOOKUP($A83,{60,65,70,75,80,85,90,95},{0.78,0.82,0.85,0.88,0.91,0.94,0.97,1})</f>
        <v>1</v>
      </c>
      <c r="D83" s="30" t="n">
        <f aca="false">B83*C83</f>
        <v>0.672685469714568</v>
      </c>
      <c r="E83" s="30" t="n">
        <f aca="false">1/(1+EXP(-(($B$6+$B$8*(2016-2022))+($B$7+$B$9*(2016-2022))*($A83-$B$10))))</f>
        <v>0.828417113030851</v>
      </c>
      <c r="F83" s="30" t="n">
        <f aca="false">1/(1+EXP(-(($B$6+$B$8*(2021-2022))+($B$7+$B$9*(2021-2022))*($A83-$B$10))))</f>
        <v>0.830584785835267</v>
      </c>
      <c r="G83" s="30" t="n">
        <f aca="false">1/(1+EXP(-(($B$6+$B$8*(2022-2022))+($B$7+$B$9*(2022-2022))*($A83-$B$10))))</f>
        <v>0.831015695192825</v>
      </c>
      <c r="H83" s="32" t="n">
        <f aca="false">(F83-G83)/F83</f>
        <v>-0.000518802372624945</v>
      </c>
      <c r="I83" s="38" t="n">
        <f aca="false">IF($A83&lt;=50,$B$14,IF($A83&gt;=95,$B$15,$B$14+($B$15-$B$14)*($A83-50)/(95-50)))</f>
        <v>5</v>
      </c>
      <c r="J83" s="39" t="n">
        <f aca="false">IF($A83&lt;=$B$12,$B$11,IF($A83&gt;=$B$13,0,$B$11*($B$13-$A83)/($B$13-$B$12)))</f>
        <v>0</v>
      </c>
      <c r="K83" s="30" t="n">
        <f aca="false">D83*G83/E83</f>
        <v>0.674795552225809</v>
      </c>
      <c r="L83" s="30" t="n">
        <f aca="false">K83*$B$19</f>
        <v>0.607315997003228</v>
      </c>
      <c r="M83" s="30" t="n">
        <f aca="false">L83*(1-IF((2023-2022)/I83&gt;=1,J83,H83+(J83-H83)*(3*((2023-2022)/I83)^2-2*((2023-2022)/I83)^3)))</f>
        <v>0.607598305977468</v>
      </c>
      <c r="N83" s="30" t="n">
        <f aca="false">M83*(1-IF((2024-2022)/I83&gt;=1,J83,H83+(J83-H83)*(3*((2024-2022)/I83)^2-2*((2024-2022)/I83)^3)))</f>
        <v>0.607802570768366</v>
      </c>
      <c r="O83" s="30" t="n">
        <f aca="false">N83*(1-IF((2025-2022)/I83&gt;=1,J83,H83+(J83-H83)*(3*((2025-2022)/I83)^2-2*((2025-2022)/I83)^3)))</f>
        <v>0.607913566722728</v>
      </c>
      <c r="P83" s="30" t="n">
        <f aca="false">O83*(1-IF((2026-2022)/I83&gt;=1,J83,H83+(J83-H83)*(3*((2026-2022)/I83)^2-2*((2026-2022)/I83)^3)))</f>
        <v>0.607946366970808</v>
      </c>
      <c r="Q83" s="30" t="n">
        <f aca="false">P83*(1-IF((2027-2022)/I83&gt;=1,J83,H83+(J83-H83)*(3*((2027-2022)/I83)^2-2*((2027-2022)/I83)^3)))</f>
        <v>0.607946366970808</v>
      </c>
      <c r="R83" s="30" t="n">
        <f aca="false">Q83*(1-IF((2028-2022)/I83&gt;=1,J83,H83+(J83-H83)*(3*((2028-2022)/I83)^2-2*((2028-2022)/I83)^3)))</f>
        <v>0.607946366970808</v>
      </c>
      <c r="S83" s="30" t="n">
        <f aca="false">R83*(1-IF((2029-2022)/I83&gt;=1,J83,H83+(J83-H83)*(3*((2029-2022)/I83)^2-2*((2029-2022)/I83)^3)))</f>
        <v>0.607946366970808</v>
      </c>
      <c r="T83" s="30" t="n">
        <f aca="false">S83*(1-IF((2030-2022)/I83&gt;=1,J83,H83+(J83-H83)*(3*((2030-2022)/I83)^2-2*((2030-2022)/I83)^3)))</f>
        <v>0.607946366970808</v>
      </c>
      <c r="U83" s="30" t="n">
        <f aca="false">T83*(1-IF((2031-2022)/I83&gt;=1,J83,H83+(J83-H83)*(3*((2031-2022)/I83)^2-2*((2031-2022)/I83)^3)))</f>
        <v>0.607946366970808</v>
      </c>
      <c r="V83" s="30" t="n">
        <f aca="false">U83*(1-IF((2032-2022)/I83&gt;=1,J83,H83+(J83-H83)*(3*((2032-2022)/I83)^2-2*((2032-2022)/I83)^3)))</f>
        <v>0.607946366970808</v>
      </c>
      <c r="W83" s="30" t="n">
        <f aca="false">V83*(1-IF((2033-2022)/I83&gt;=1,J83,H83+(J83-H83)*(3*((2033-2022)/I83)^2-2*((2033-2022)/I83)^3)))</f>
        <v>0.607946366970808</v>
      </c>
      <c r="X83" s="30" t="n">
        <f aca="false">W83*(1-IF((2034-2022)/I83&gt;=1,J83,H83+(J83-H83)*(3*((2034-2022)/I83)^2-2*((2034-2022)/I83)^3)))</f>
        <v>0.607946366970808</v>
      </c>
      <c r="Y83" s="30" t="n">
        <f aca="false">X83*(1-IF((2035-2022)/I83&gt;=1,J83,H83+(J83-H83)*(3*((2035-2022)/I83)^2-2*((2035-2022)/I83)^3)))</f>
        <v>0.607946366970808</v>
      </c>
      <c r="Z83" s="30" t="n">
        <f aca="false">Y83*(1-IF((2036-2022)/I83&gt;=1,J83,H83+(J83-H83)*(3*((2036-2022)/I83)^2-2*((2036-2022)/I83)^3)))</f>
        <v>0.607946366970808</v>
      </c>
      <c r="AA83" s="30" t="n">
        <f aca="false">Z83*(1-IF((2037-2022)/I83&gt;=1,J83,H83+(J83-H83)*(3*((2037-2022)/I83)^2-2*((2037-2022)/I83)^3)))</f>
        <v>0.607946366970808</v>
      </c>
      <c r="AB83" s="30" t="n">
        <f aca="false">AA83*(1-IF((2038-2022)/I83&gt;=1,J83,H83+(J83-H83)*(3*((2038-2022)/I83)^2-2*((2038-2022)/I83)^3)))</f>
        <v>0.607946366970808</v>
      </c>
      <c r="AC83" s="30" t="n">
        <f aca="false">AB83*(1-IF((2039-2022)/I83&gt;=1,J83,H83+(J83-H83)*(3*((2039-2022)/I83)^2-2*((2039-2022)/I83)^3)))</f>
        <v>0.607946366970808</v>
      </c>
      <c r="AD83" s="30" t="n">
        <f aca="false">AC83*(1-IF((2040-2022)/I83&gt;=1,J83,H83+(J83-H83)*(3*((2040-2022)/I83)^2-2*((2040-2022)/I83)^3)))</f>
        <v>0.607946366970808</v>
      </c>
      <c r="AE83" s="30" t="n">
        <f aca="false">AD83*(1-IF((2041-2022)/I83&gt;=1,J83,H83+(J83-H83)*(3*((2041-2022)/I83)^2-2*((2041-2022)/I83)^3)))</f>
        <v>0.607946366970808</v>
      </c>
      <c r="AF83" s="30" t="n">
        <f aca="false">AE83*(1-IF((2042-2022)/I83&gt;=1,J83,H83+(J83-H83)*(3*((2042-2022)/I83)^2-2*((2042-2022)/I83)^3)))</f>
        <v>0.607946366970808</v>
      </c>
      <c r="AG83" s="30" t="n">
        <f aca="false">AF83*(1-IF((2043-2022)/I83&gt;=1,J83,H83+(J83-H83)*(3*((2043-2022)/I83)^2-2*((2043-2022)/I83)^3)))</f>
        <v>0.607946366970808</v>
      </c>
      <c r="AH83" s="30" t="n">
        <f aca="false">AG83*(1-IF((2044-2022)/I83&gt;=1,J83,H83+(J83-H83)*(3*((2044-2022)/I83)^2-2*((2044-2022)/I83)^3)))</f>
        <v>0.607946366970808</v>
      </c>
      <c r="AI83" s="30" t="n">
        <f aca="false">AH83*(1-IF((2045-2022)/I83&gt;=1,J83,H83+(J83-H83)*(3*((2045-2022)/I83)^2-2*((2045-2022)/I83)^3)))</f>
        <v>0.607946366970808</v>
      </c>
      <c r="AJ83" s="30" t="n">
        <f aca="false">AI83*(1-IF((2046-2022)/I83&gt;=1,J83,H83+(J83-H83)*(3*((2046-2022)/I83)^2-2*((2046-2022)/I83)^3)))</f>
        <v>0.607946366970808</v>
      </c>
      <c r="AK83" s="30" t="n">
        <f aca="false">AJ83*(1-IF((2047-2022)/I83&gt;=1,J83,H83+(J83-H83)*(3*((2047-2022)/I83)^2-2*((2047-2022)/I83)^3)))</f>
        <v>0.607946366970808</v>
      </c>
      <c r="AL83" s="30" t="n">
        <f aca="false">AK83*(1-IF((2048-2022)/I83&gt;=1,J83,H83+(J83-H83)*(3*((2048-2022)/I83)^2-2*((2048-2022)/I83)^3)))</f>
        <v>0.607946366970808</v>
      </c>
      <c r="AM83" s="30" t="n">
        <f aca="false">AL83*(1-IF((2049-2022)/I83&gt;=1,J83,H83+(J83-H83)*(3*((2049-2022)/I83)^2-2*((2049-2022)/I83)^3)))</f>
        <v>0.607946366970808</v>
      </c>
      <c r="AN83" s="30" t="n">
        <f aca="false">AM83*(1-IF((2050-2022)/I83&gt;=1,J83,H83+(J83-H83)*(3*((2050-2022)/I83)^2-2*((2050-2022)/I83)^3)))</f>
        <v>0.607946366970808</v>
      </c>
      <c r="AO83" s="30" t="n">
        <f aca="false">AN83*(1-IF((2051-2022)/I83&gt;=1,J83,H83+(J83-H83)*(3*((2051-2022)/I83)^2-2*((2051-2022)/I83)^3)))</f>
        <v>0.607946366970808</v>
      </c>
      <c r="AP83" s="30" t="n">
        <f aca="false">AO83*(1-IF((2052-2022)/I83&gt;=1,J83,H83+(J83-H83)*(3*((2052-2022)/I83)^2-2*((2052-2022)/I83)^3)))</f>
        <v>0.607946366970808</v>
      </c>
      <c r="AQ83" s="30" t="n">
        <f aca="false">AP83*(1-IF((2053-2022)/I83&gt;=1,J83,H83+(J83-H83)*(3*((2053-2022)/I83)^2-2*((2053-2022)/I83)^3)))</f>
        <v>0.607946366970808</v>
      </c>
      <c r="AR83" s="30" t="n">
        <f aca="false">AQ83*(1-IF((2054-2022)/I83&gt;=1,J83,H83+(J83-H83)*(3*((2054-2022)/I83)^2-2*((2054-2022)/I83)^3)))</f>
        <v>0.607946366970808</v>
      </c>
      <c r="AS83" s="30" t="n">
        <f aca="false">AR83*(1-IF((2055-2022)/I83&gt;=1,J83,H83+(J83-H83)*(3*((2055-2022)/I83)^2-2*((2055-2022)/I83)^3)))</f>
        <v>0.607946366970808</v>
      </c>
      <c r="AT83" s="30" t="n">
        <f aca="false">AS83*(1-IF((2056-2022)/I83&gt;=1,J83,H83+(J83-H83)*(3*((2056-2022)/I83)^2-2*((2056-2022)/I83)^3)))</f>
        <v>0.607946366970808</v>
      </c>
      <c r="AU83" s="30" t="n">
        <f aca="false">AT83*(1-IF((2057-2022)/I83&gt;=1,J83,H83+(J83-H83)*(3*((2057-2022)/I83)^2-2*((2057-2022)/I83)^3)))</f>
        <v>0.607946366970808</v>
      </c>
      <c r="AV83" s="30" t="n">
        <f aca="false">AU83*(1-IF((2058-2022)/I83&gt;=1,J83,H83+(J83-H83)*(3*((2058-2022)/I83)^2-2*((2058-2022)/I83)^3)))</f>
        <v>0.607946366970808</v>
      </c>
      <c r="AW83" s="30" t="n">
        <f aca="false">AV83*(1-IF((2059-2022)/I83&gt;=1,J83,H83+(J83-H83)*(3*((2059-2022)/I83)^2-2*((2059-2022)/I83)^3)))</f>
        <v>0.607946366970808</v>
      </c>
      <c r="AX83" s="30" t="n">
        <f aca="false">AW83*(1-IF((2060-2022)/I83&gt;=1,J83,H83+(J83-H83)*(3*((2060-2022)/I83)^2-2*((2060-2022)/I83)^3)))</f>
        <v>0.607946366970808</v>
      </c>
      <c r="AY83" s="30" t="n">
        <f aca="false">AX83*(1-IF((2061-2022)/I83&gt;=1,J83,H83+(J83-H83)*(3*((2061-2022)/I83)^2-2*((2061-2022)/I83)^3)))</f>
        <v>0.607946366970808</v>
      </c>
      <c r="AZ83" s="30" t="n">
        <f aca="false">AY83*(1-IF((2062-2022)/I83&gt;=1,J83,H83+(J83-H83)*(3*((2062-2022)/I83)^2-2*((2062-2022)/I83)^3)))</f>
        <v>0.607946366970808</v>
      </c>
      <c r="BA83" s="30" t="n">
        <f aca="false">AZ83*(1-IF((2063-2022)/I83&gt;=1,J83,H83+(J83-H83)*(3*((2063-2022)/I83)^2-2*((2063-2022)/I83)^3)))</f>
        <v>0.607946366970808</v>
      </c>
      <c r="BB83" s="30" t="n">
        <f aca="false">BA83*(1-IF((2064-2022)/I83&gt;=1,J83,H83+(J83-H83)*(3*((2064-2022)/I83)^2-2*((2064-2022)/I83)^3)))</f>
        <v>0.607946366970808</v>
      </c>
      <c r="BC83" s="30" t="n">
        <f aca="false">BB83*(1-IF((2065-2022)/I83&gt;=1,J83,H83+(J83-H83)*(3*((2065-2022)/I83)^2-2*((2065-2022)/I83)^3)))</f>
        <v>0.607946366970808</v>
      </c>
      <c r="BD83" s="30" t="n">
        <f aca="false">BC83*(1-IF((2066-2022)/I83&gt;=1,J83,H83+(J83-H83)*(3*((2066-2022)/I83)^2-2*((2066-2022)/I83)^3)))</f>
        <v>0.607946366970808</v>
      </c>
      <c r="BE83" s="30" t="n">
        <f aca="false">BD83*(1-IF((2067-2022)/I83&gt;=1,J83,H83+(J83-H83)*(3*((2067-2022)/I83)^2-2*((2067-2022)/I83)^3)))</f>
        <v>0.607946366970808</v>
      </c>
      <c r="BF83" s="30" t="n">
        <f aca="false">BE83*(1-IF((2068-2022)/I83&gt;=1,J83,H83+(J83-H83)*(3*((2068-2022)/I83)^2-2*((2068-2022)/I83)^3)))</f>
        <v>0.607946366970808</v>
      </c>
      <c r="BG83" s="30" t="n">
        <f aca="false">BF83*(1-IF((2069-2022)/I83&gt;=1,J83,H83+(J83-H83)*(3*((2069-2022)/I83)^2-2*((2069-2022)/I83)^3)))</f>
        <v>0.607946366970808</v>
      </c>
      <c r="BH83" s="30" t="n">
        <f aca="false">BG83*(1-IF((2070-2022)/I83&gt;=1,J83,H83+(J83-H83)*(3*((2070-2022)/I83)^2-2*((2070-2022)/I83)^3)))</f>
        <v>0.607946366970808</v>
      </c>
      <c r="BI83" s="30" t="n">
        <f aca="false">BH83*(1-IF((2071-2022)/I83&gt;=1,J83,H83+(J83-H83)*(3*((2071-2022)/I83)^2-2*((2071-2022)/I83)^3)))</f>
        <v>0.607946366970808</v>
      </c>
      <c r="BJ83" s="30" t="n">
        <f aca="false">BI83*(1-IF((2072-2022)/I83&gt;=1,J83,H83+(J83-H83)*(3*((2072-2022)/I83)^2-2*((2072-2022)/I83)^3)))</f>
        <v>0.607946366970808</v>
      </c>
      <c r="BK83" s="30" t="n">
        <f aca="false">BJ83*(1-IF((2073-2022)/I83&gt;=1,J83,H83+(J83-H83)*(3*((2073-2022)/I83)^2-2*((2073-2022)/I83)^3)))</f>
        <v>0.607946366970808</v>
      </c>
      <c r="BL83" s="30" t="n">
        <f aca="false">BK83*(1-IF((2074-2022)/I83&gt;=1,J83,H83+(J83-H83)*(3*((2074-2022)/I83)^2-2*((2074-2022)/I83)^3)))</f>
        <v>0.607946366970808</v>
      </c>
      <c r="BM83" s="30" t="n">
        <f aca="false">BL83*(1-IF((2075-2022)/I83&gt;=1,J83,H83+(J83-H83)*(3*((2075-2022)/I83)^2-2*((2075-2022)/I83)^3)))</f>
        <v>0.607946366970808</v>
      </c>
      <c r="BN83" s="30" t="n">
        <f aca="false">BM83*(1-IF((2076-2022)/I83&gt;=1,J83,H83+(J83-H83)*(3*((2076-2022)/I83)^2-2*((2076-2022)/I83)^3)))</f>
        <v>0.607946366970808</v>
      </c>
      <c r="BO83" s="30" t="n">
        <f aca="false">BN83*(1-IF((2077-2022)/I83&gt;=1,J83,H83+(J83-H83)*(3*((2077-2022)/I83)^2-2*((2077-2022)/I83)^3)))</f>
        <v>0.607946366970808</v>
      </c>
      <c r="BP83" s="30" t="n">
        <f aca="false">BO83*(1-IF((2078-2022)/I83&gt;=1,J83,H83+(J83-H83)*(3*((2078-2022)/I83)^2-2*((2078-2022)/I83)^3)))</f>
        <v>0.607946366970808</v>
      </c>
      <c r="BQ83" s="30" t="n">
        <f aca="false">BP83*(1-IF((2079-2022)/I83&gt;=1,J83,H83+(J83-H83)*(3*((2079-2022)/I83)^2-2*((2079-2022)/I83)^3)))</f>
        <v>0.607946366970808</v>
      </c>
      <c r="BR83" s="30" t="n">
        <f aca="false">BQ83*(1-IF((2080-2022)/I83&gt;=1,J83,H83+(J83-H83)*(3*((2080-2022)/I83)^2-2*((2080-2022)/I83)^3)))</f>
        <v>0.607946366970808</v>
      </c>
      <c r="BS83" s="30" t="n">
        <f aca="false">BR83*(1-IF((2081-2022)/I83&gt;=1,J83,H83+(J83-H83)*(3*((2081-2022)/I83)^2-2*((2081-2022)/I83)^3)))</f>
        <v>0.607946366970808</v>
      </c>
      <c r="BT83" s="30" t="n">
        <f aca="false">BS83*(1-IF((2082-2022)/I83&gt;=1,J83,H83+(J83-H83)*(3*((2082-2022)/I83)^2-2*((2082-2022)/I83)^3)))</f>
        <v>0.607946366970808</v>
      </c>
      <c r="BU83" s="30" t="n">
        <f aca="false">BT83*(1-IF((2083-2022)/I83&gt;=1,J83,H83+(J83-H83)*(3*((2083-2022)/I83)^2-2*((2083-2022)/I83)^3)))</f>
        <v>0.607946366970808</v>
      </c>
      <c r="BV83" s="30" t="n">
        <f aca="false">BU83*(1-IF((2084-2022)/I83&gt;=1,J83,H83+(J83-H83)*(3*((2084-2022)/I83)^2-2*((2084-2022)/I83)^3)))</f>
        <v>0.607946366970808</v>
      </c>
      <c r="BW83" s="30" t="n">
        <f aca="false">BV83*(1-IF((2085-2022)/I83&gt;=1,J83,H83+(J83-H83)*(3*((2085-2022)/I83)^2-2*((2085-2022)/I83)^3)))</f>
        <v>0.607946366970808</v>
      </c>
      <c r="BX83" s="30" t="n">
        <f aca="false">BW83*(1-IF((2086-2022)/I83&gt;=1,J83,H83+(J83-H83)*(3*((2086-2022)/I83)^2-2*((2086-2022)/I83)^3)))</f>
        <v>0.607946366970808</v>
      </c>
      <c r="BY83" s="30" t="n">
        <f aca="false">BX83*(1-IF((2087-2022)/I83&gt;=1,J83,H83+(J83-H83)*(3*((2087-2022)/I83)^2-2*((2087-2022)/I83)^3)))</f>
        <v>0.607946366970808</v>
      </c>
      <c r="BZ83" s="30" t="n">
        <f aca="false">BY83*(1-IF((2088-2022)/I83&gt;=1,J83,H83+(J83-H83)*(3*((2088-2022)/I83)^2-2*((2088-2022)/I83)^3)))</f>
        <v>0.607946366970808</v>
      </c>
      <c r="CA83" s="30" t="n">
        <f aca="false">BZ83*(1-IF((2089-2022)/I83&gt;=1,J83,H83+(J83-H83)*(3*((2089-2022)/I83)^2-2*((2089-2022)/I83)^3)))</f>
        <v>0.607946366970808</v>
      </c>
      <c r="CB83" s="30" t="n">
        <f aca="false">CA83*(1-IF((2090-2022)/I83&gt;=1,J83,H83+(J83-H83)*(3*((2090-2022)/I83)^2-2*((2090-2022)/I83)^3)))</f>
        <v>0.607946366970808</v>
      </c>
      <c r="CC83" s="30" t="n">
        <f aca="false">CB83*(1-IF((2091-2022)/I83&gt;=1,J83,H83+(J83-H83)*(3*((2091-2022)/I83)^2-2*((2091-2022)/I83)^3)))</f>
        <v>0.607946366970808</v>
      </c>
    </row>
    <row r="86" customFormat="false" ht="15" hidden="false" customHeight="true" outlineLevel="0" collapsed="false">
      <c r="A86" s="6" t="s">
        <v>546</v>
      </c>
    </row>
    <row r="87" customFormat="false" ht="15" hidden="false" customHeight="true" outlineLevel="0" collapsed="false">
      <c r="A87" s="7" t="s">
        <v>547</v>
      </c>
    </row>
    <row r="88" customFormat="false" ht="15" hidden="false" customHeight="true" outlineLevel="0" collapsed="false">
      <c r="A88" s="8" t="s">
        <v>463</v>
      </c>
      <c r="L88" s="8" t="n">
        <v>2022</v>
      </c>
      <c r="M88" s="8" t="n">
        <v>2023</v>
      </c>
      <c r="N88" s="8" t="n">
        <v>2024</v>
      </c>
      <c r="O88" s="8" t="n">
        <v>2025</v>
      </c>
      <c r="P88" s="8" t="n">
        <v>2026</v>
      </c>
      <c r="Q88" s="8" t="n">
        <v>2027</v>
      </c>
      <c r="R88" s="8" t="n">
        <v>2028</v>
      </c>
      <c r="S88" s="8" t="n">
        <v>2029</v>
      </c>
      <c r="T88" s="8" t="n">
        <v>2030</v>
      </c>
      <c r="U88" s="8" t="n">
        <v>2031</v>
      </c>
      <c r="V88" s="8" t="n">
        <v>2032</v>
      </c>
      <c r="W88" s="8" t="n">
        <v>2033</v>
      </c>
      <c r="X88" s="8" t="n">
        <v>2034</v>
      </c>
      <c r="Y88" s="8" t="n">
        <v>2035</v>
      </c>
      <c r="Z88" s="8" t="n">
        <v>2036</v>
      </c>
      <c r="AA88" s="8" t="n">
        <v>2037</v>
      </c>
      <c r="AB88" s="8" t="n">
        <v>2038</v>
      </c>
      <c r="AC88" s="8" t="n">
        <v>2039</v>
      </c>
      <c r="AD88" s="8" t="n">
        <v>2040</v>
      </c>
      <c r="AE88" s="8" t="n">
        <v>2041</v>
      </c>
      <c r="AF88" s="8" t="n">
        <v>2042</v>
      </c>
      <c r="AG88" s="8" t="n">
        <v>2043</v>
      </c>
      <c r="AH88" s="8" t="n">
        <v>2044</v>
      </c>
      <c r="AI88" s="8" t="n">
        <v>2045</v>
      </c>
      <c r="AJ88" s="8" t="n">
        <v>2046</v>
      </c>
      <c r="AK88" s="8" t="n">
        <v>2047</v>
      </c>
      <c r="AL88" s="8" t="n">
        <v>2048</v>
      </c>
      <c r="AM88" s="8" t="n">
        <v>2049</v>
      </c>
      <c r="AN88" s="8" t="n">
        <v>2050</v>
      </c>
      <c r="AO88" s="8" t="n">
        <v>2051</v>
      </c>
      <c r="AP88" s="8" t="n">
        <v>2052</v>
      </c>
      <c r="AQ88" s="8" t="n">
        <v>2053</v>
      </c>
      <c r="AR88" s="8" t="n">
        <v>2054</v>
      </c>
      <c r="AS88" s="8" t="n">
        <v>2055</v>
      </c>
      <c r="AT88" s="8" t="n">
        <v>2056</v>
      </c>
      <c r="AU88" s="8" t="n">
        <v>2057</v>
      </c>
      <c r="AV88" s="8" t="n">
        <v>2058</v>
      </c>
      <c r="AW88" s="8" t="n">
        <v>2059</v>
      </c>
      <c r="AX88" s="8" t="n">
        <v>2060</v>
      </c>
      <c r="AY88" s="8" t="n">
        <v>2061</v>
      </c>
      <c r="AZ88" s="8" t="n">
        <v>2062</v>
      </c>
      <c r="BA88" s="8" t="n">
        <v>2063</v>
      </c>
      <c r="BB88" s="8" t="n">
        <v>2064</v>
      </c>
      <c r="BC88" s="8" t="n">
        <v>2065</v>
      </c>
      <c r="BD88" s="8" t="n">
        <v>2066</v>
      </c>
      <c r="BE88" s="8" t="n">
        <v>2067</v>
      </c>
      <c r="BF88" s="8" t="n">
        <v>2068</v>
      </c>
      <c r="BG88" s="8" t="n">
        <v>2069</v>
      </c>
      <c r="BH88" s="8" t="n">
        <v>2070</v>
      </c>
      <c r="BI88" s="8" t="n">
        <v>2071</v>
      </c>
      <c r="BJ88" s="8" t="n">
        <v>2072</v>
      </c>
      <c r="BK88" s="8" t="n">
        <v>2073</v>
      </c>
      <c r="BL88" s="8" t="n">
        <v>2074</v>
      </c>
      <c r="BM88" s="8" t="n">
        <v>2075</v>
      </c>
      <c r="BN88" s="8" t="n">
        <v>2076</v>
      </c>
      <c r="BO88" s="8" t="n">
        <v>2077</v>
      </c>
      <c r="BP88" s="8" t="n">
        <v>2078</v>
      </c>
      <c r="BQ88" s="8" t="n">
        <v>2079</v>
      </c>
      <c r="BR88" s="8" t="n">
        <v>2080</v>
      </c>
      <c r="BS88" s="8" t="n">
        <v>2081</v>
      </c>
      <c r="BT88" s="8" t="n">
        <v>2082</v>
      </c>
      <c r="BU88" s="8" t="n">
        <v>2083</v>
      </c>
      <c r="BV88" s="8" t="n">
        <v>2084</v>
      </c>
      <c r="BW88" s="8" t="n">
        <v>2085</v>
      </c>
      <c r="BX88" s="8" t="n">
        <v>2086</v>
      </c>
      <c r="BY88" s="8" t="n">
        <v>2087</v>
      </c>
      <c r="BZ88" s="8" t="n">
        <v>2088</v>
      </c>
      <c r="CA88" s="8" t="n">
        <v>2089</v>
      </c>
      <c r="CB88" s="8" t="n">
        <v>2090</v>
      </c>
      <c r="CC88" s="8" t="n">
        <v>2091</v>
      </c>
    </row>
    <row r="89" customFormat="false" ht="15" hidden="false" customHeight="true" outlineLevel="0" collapsed="false">
      <c r="A89" s="3" t="n">
        <v>60</v>
      </c>
      <c r="L89" s="27" t="n">
        <f aca="false">(L23-INDEX(Mortality_Matrix!$B$4:$BS$64,MATCH($A89,Mortality_Matrix!$A$4:$A$64,0),MATCH(2022,Mortality_Matrix!$B$3:$BS$3,0)))/INDEX(Mortality_Matrix!$B$4:$BS$64,MATCH($A89,Mortality_Matrix!$A$4:$A$64,0),MATCH(2022,Mortality_Matrix!$B$3:$BS$3,0))</f>
        <v>4.26878675075547E-009</v>
      </c>
      <c r="M89" s="27" t="n">
        <f aca="false">(M23-INDEX(Mortality_Matrix!$B$4:$BS$64,MATCH($A89,Mortality_Matrix!$A$4:$A$64,0),MATCH(2023,Mortality_Matrix!$B$3:$BS$3,0)))/INDEX(Mortality_Matrix!$B$4:$BS$64,MATCH($A89,Mortality_Matrix!$A$4:$A$64,0),MATCH(2023,Mortality_Matrix!$B$3:$BS$3,0))</f>
        <v>-7.9943210035298E-009</v>
      </c>
      <c r="N89" s="27" t="n">
        <f aca="false">(N23-INDEX(Mortality_Matrix!$B$4:$BS$64,MATCH($A89,Mortality_Matrix!$A$4:$A$64,0),MATCH(2024,Mortality_Matrix!$B$3:$BS$3,0)))/INDEX(Mortality_Matrix!$B$4:$BS$64,MATCH($A89,Mortality_Matrix!$A$4:$A$64,0),MATCH(2024,Mortality_Matrix!$B$3:$BS$3,0))</f>
        <v>-9.65612528500862E-009</v>
      </c>
      <c r="O89" s="27" t="n">
        <f aca="false">(O23-INDEX(Mortality_Matrix!$B$4:$BS$64,MATCH($A89,Mortality_Matrix!$A$4:$A$64,0),MATCH(2025,Mortality_Matrix!$B$3:$BS$3,0)))/INDEX(Mortality_Matrix!$B$4:$BS$64,MATCH($A89,Mortality_Matrix!$A$4:$A$64,0),MATCH(2025,Mortality_Matrix!$B$3:$BS$3,0))</f>
        <v>1.09961017545531E-008</v>
      </c>
      <c r="P89" s="27" t="n">
        <f aca="false">(P23-INDEX(Mortality_Matrix!$B$4:$BS$64,MATCH($A89,Mortality_Matrix!$A$4:$A$64,0),MATCH(2026,Mortality_Matrix!$B$3:$BS$3,0)))/INDEX(Mortality_Matrix!$B$4:$BS$64,MATCH($A89,Mortality_Matrix!$A$4:$A$64,0),MATCH(2026,Mortality_Matrix!$B$3:$BS$3,0))</f>
        <v>1.72674178694298E-009</v>
      </c>
      <c r="Q89" s="27" t="n">
        <f aca="false">(Q23-INDEX(Mortality_Matrix!$B$4:$BS$64,MATCH($A89,Mortality_Matrix!$A$4:$A$64,0),MATCH(2027,Mortality_Matrix!$B$3:$BS$3,0)))/INDEX(Mortality_Matrix!$B$4:$BS$64,MATCH($A89,Mortality_Matrix!$A$4:$A$64,0),MATCH(2027,Mortality_Matrix!$B$3:$BS$3,0))</f>
        <v>1.39969741417857E-008</v>
      </c>
      <c r="R89" s="27" t="n">
        <f aca="false">(R23-INDEX(Mortality_Matrix!$B$4:$BS$64,MATCH($A89,Mortality_Matrix!$A$4:$A$64,0),MATCH(2028,Mortality_Matrix!$B$3:$BS$3,0)))/INDEX(Mortality_Matrix!$B$4:$BS$64,MATCH($A89,Mortality_Matrix!$A$4:$A$64,0),MATCH(2028,Mortality_Matrix!$B$3:$BS$3,0))</f>
        <v>1.20527481735432E-008</v>
      </c>
      <c r="S89" s="27" t="n">
        <f aca="false">(S23-INDEX(Mortality_Matrix!$B$4:$BS$64,MATCH($A89,Mortality_Matrix!$A$4:$A$64,0),MATCH(2029,Mortality_Matrix!$B$3:$BS$3,0)))/INDEX(Mortality_Matrix!$B$4:$BS$64,MATCH($A89,Mortality_Matrix!$A$4:$A$64,0),MATCH(2029,Mortality_Matrix!$B$3:$BS$3,0))</f>
        <v>5.49456185494667E-009</v>
      </c>
      <c r="T89" s="27" t="n">
        <f aca="false">(T23-INDEX(Mortality_Matrix!$B$4:$BS$64,MATCH($A89,Mortality_Matrix!$A$4:$A$64,0),MATCH(2030,Mortality_Matrix!$B$3:$BS$3,0)))/INDEX(Mortality_Matrix!$B$4:$BS$64,MATCH($A89,Mortality_Matrix!$A$4:$A$64,0),MATCH(2030,Mortality_Matrix!$B$3:$BS$3,0))</f>
        <v>-1.61699021022119E-008</v>
      </c>
      <c r="U89" s="27" t="n">
        <f aca="false">(U23-INDEX(Mortality_Matrix!$B$4:$BS$64,MATCH($A89,Mortality_Matrix!$A$4:$A$64,0),MATCH(2031,Mortality_Matrix!$B$3:$BS$3,0)))/INDEX(Mortality_Matrix!$B$4:$BS$64,MATCH($A89,Mortality_Matrix!$A$4:$A$64,0),MATCH(2031,Mortality_Matrix!$B$3:$BS$3,0))</f>
        <v>-1.56753002640729E-008</v>
      </c>
      <c r="V89" s="27" t="n">
        <f aca="false">(V23-INDEX(Mortality_Matrix!$B$4:$BS$64,MATCH($A89,Mortality_Matrix!$A$4:$A$64,0),MATCH(2032,Mortality_Matrix!$B$3:$BS$3,0)))/INDEX(Mortality_Matrix!$B$4:$BS$64,MATCH($A89,Mortality_Matrix!$A$4:$A$64,0),MATCH(2032,Mortality_Matrix!$B$3:$BS$3,0))</f>
        <v>-9.04686697253024E-009</v>
      </c>
      <c r="W89" s="27" t="n">
        <f aca="false">(W23-INDEX(Mortality_Matrix!$B$4:$BS$64,MATCH($A89,Mortality_Matrix!$A$4:$A$64,0),MATCH(2033,Mortality_Matrix!$B$3:$BS$3,0)))/INDEX(Mortality_Matrix!$B$4:$BS$64,MATCH($A89,Mortality_Matrix!$A$4:$A$64,0),MATCH(2033,Mortality_Matrix!$B$3:$BS$3,0))</f>
        <v>-7.50043357430271E-009</v>
      </c>
      <c r="X89" s="27" t="n">
        <f aca="false">(X23-INDEX(Mortality_Matrix!$B$4:$BS$64,MATCH($A89,Mortality_Matrix!$A$4:$A$64,0),MATCH(2034,Mortality_Matrix!$B$3:$BS$3,0)))/INDEX(Mortality_Matrix!$B$4:$BS$64,MATCH($A89,Mortality_Matrix!$A$4:$A$64,0),MATCH(2034,Mortality_Matrix!$B$3:$BS$3,0))</f>
        <v>-2.70969249010664E-009</v>
      </c>
      <c r="Y89" s="27" t="n">
        <f aca="false">(Y23-INDEX(Mortality_Matrix!$B$4:$BS$64,MATCH($A89,Mortality_Matrix!$A$4:$A$64,0),MATCH(2035,Mortality_Matrix!$B$3:$BS$3,0)))/INDEX(Mortality_Matrix!$B$4:$BS$64,MATCH($A89,Mortality_Matrix!$A$4:$A$64,0),MATCH(2035,Mortality_Matrix!$B$3:$BS$3,0))</f>
        <v>-9.1195777978245E-010</v>
      </c>
      <c r="Z89" s="27" t="n">
        <f aca="false">(Z23-INDEX(Mortality_Matrix!$B$4:$BS$64,MATCH($A89,Mortality_Matrix!$A$4:$A$64,0),MATCH(2036,Mortality_Matrix!$B$3:$BS$3,0)))/INDEX(Mortality_Matrix!$B$4:$BS$64,MATCH($A89,Mortality_Matrix!$A$4:$A$64,0),MATCH(2036,Mortality_Matrix!$B$3:$BS$3,0))</f>
        <v>-5.46599360972131E-009</v>
      </c>
      <c r="AA89" s="27" t="n">
        <f aca="false">(AA23-INDEX(Mortality_Matrix!$B$4:$BS$64,MATCH($A89,Mortality_Matrix!$A$4:$A$64,0),MATCH(2037,Mortality_Matrix!$B$3:$BS$3,0)))/INDEX(Mortality_Matrix!$B$4:$BS$64,MATCH($A89,Mortality_Matrix!$A$4:$A$64,0),MATCH(2037,Mortality_Matrix!$B$3:$BS$3,0))</f>
        <v>1.32547432901357E-008</v>
      </c>
      <c r="AB89" s="27" t="n">
        <f aca="false">(AB23-INDEX(Mortality_Matrix!$B$4:$BS$64,MATCH($A89,Mortality_Matrix!$A$4:$A$64,0),MATCH(2038,Mortality_Matrix!$B$3:$BS$3,0)))/INDEX(Mortality_Matrix!$B$4:$BS$64,MATCH($A89,Mortality_Matrix!$A$4:$A$64,0),MATCH(2038,Mortality_Matrix!$B$3:$BS$3,0))</f>
        <v>3.83235596569972E-009</v>
      </c>
      <c r="AC89" s="27" t="n">
        <f aca="false">(AC23-INDEX(Mortality_Matrix!$B$4:$BS$64,MATCH($A89,Mortality_Matrix!$A$4:$A$64,0),MATCH(2039,Mortality_Matrix!$B$3:$BS$3,0)))/INDEX(Mortality_Matrix!$B$4:$BS$64,MATCH($A89,Mortality_Matrix!$A$4:$A$64,0),MATCH(2039,Mortality_Matrix!$B$3:$BS$3,0))</f>
        <v>-2.18860501796155E-008</v>
      </c>
      <c r="AD89" s="27" t="n">
        <f aca="false">(AD23-INDEX(Mortality_Matrix!$B$4:$BS$64,MATCH($A89,Mortality_Matrix!$A$4:$A$64,0),MATCH(2040,Mortality_Matrix!$B$3:$BS$3,0)))/INDEX(Mortality_Matrix!$B$4:$BS$64,MATCH($A89,Mortality_Matrix!$A$4:$A$64,0),MATCH(2040,Mortality_Matrix!$B$3:$BS$3,0))</f>
        <v>1.72790356776534E-008</v>
      </c>
      <c r="AE89" s="27" t="n">
        <f aca="false">(AE23-INDEX(Mortality_Matrix!$B$4:$BS$64,MATCH($A89,Mortality_Matrix!$A$4:$A$64,0),MATCH(2041,Mortality_Matrix!$B$3:$BS$3,0)))/INDEX(Mortality_Matrix!$B$4:$BS$64,MATCH($A89,Mortality_Matrix!$A$4:$A$64,0),MATCH(2041,Mortality_Matrix!$B$3:$BS$3,0))</f>
        <v>2.04782376103495E-008</v>
      </c>
      <c r="AF89" s="27" t="n">
        <f aca="false">(AF23-INDEX(Mortality_Matrix!$B$4:$BS$64,MATCH($A89,Mortality_Matrix!$A$4:$A$64,0),MATCH(2042,Mortality_Matrix!$B$3:$BS$3,0)))/INDEX(Mortality_Matrix!$B$4:$BS$64,MATCH($A89,Mortality_Matrix!$A$4:$A$64,0),MATCH(2042,Mortality_Matrix!$B$3:$BS$3,0))</f>
        <v>-1.91927933956623E-008</v>
      </c>
      <c r="AG89" s="27" t="n">
        <f aca="false">(AG23-INDEX(Mortality_Matrix!$B$4:$BS$64,MATCH($A89,Mortality_Matrix!$A$4:$A$64,0),MATCH(2043,Mortality_Matrix!$B$3:$BS$3,0)))/INDEX(Mortality_Matrix!$B$4:$BS$64,MATCH($A89,Mortality_Matrix!$A$4:$A$64,0),MATCH(2043,Mortality_Matrix!$B$3:$BS$3,0))</f>
        <v>-8.1230134214387E-009</v>
      </c>
      <c r="AH89" s="27" t="n">
        <f aca="false">(AH23-INDEX(Mortality_Matrix!$B$4:$BS$64,MATCH($A89,Mortality_Matrix!$A$4:$A$64,0),MATCH(2044,Mortality_Matrix!$B$3:$BS$3,0)))/INDEX(Mortality_Matrix!$B$4:$BS$64,MATCH($A89,Mortality_Matrix!$A$4:$A$64,0),MATCH(2044,Mortality_Matrix!$B$3:$BS$3,0))</f>
        <v>1.55492678283475E-008</v>
      </c>
      <c r="AI89" s="27" t="n">
        <f aca="false">(AI23-INDEX(Mortality_Matrix!$B$4:$BS$64,MATCH($A89,Mortality_Matrix!$A$4:$A$64,0),MATCH(2045,Mortality_Matrix!$B$3:$BS$3,0)))/INDEX(Mortality_Matrix!$B$4:$BS$64,MATCH($A89,Mortality_Matrix!$A$4:$A$64,0),MATCH(2045,Mortality_Matrix!$B$3:$BS$3,0))</f>
        <v>1.65202889065909E-008</v>
      </c>
      <c r="AJ89" s="27" t="n">
        <f aca="false">(AJ23-INDEX(Mortality_Matrix!$B$4:$BS$64,MATCH($A89,Mortality_Matrix!$A$4:$A$64,0),MATCH(2046,Mortality_Matrix!$B$3:$BS$3,0)))/INDEX(Mortality_Matrix!$B$4:$BS$64,MATCH($A89,Mortality_Matrix!$A$4:$A$64,0),MATCH(2046,Mortality_Matrix!$B$3:$BS$3,0))</f>
        <v>1.10983432295196E-008</v>
      </c>
      <c r="AK89" s="27" t="n">
        <f aca="false">(AK23-INDEX(Mortality_Matrix!$B$4:$BS$64,MATCH($A89,Mortality_Matrix!$A$4:$A$64,0),MATCH(2047,Mortality_Matrix!$B$3:$BS$3,0)))/INDEX(Mortality_Matrix!$B$4:$BS$64,MATCH($A89,Mortality_Matrix!$A$4:$A$64,0),MATCH(2047,Mortality_Matrix!$B$3:$BS$3,0))</f>
        <v>2.03559337910443E-008</v>
      </c>
      <c r="AL89" s="27" t="n">
        <f aca="false">(AL23-INDEX(Mortality_Matrix!$B$4:$BS$64,MATCH($A89,Mortality_Matrix!$A$4:$A$64,0),MATCH(2048,Mortality_Matrix!$B$3:$BS$3,0)))/INDEX(Mortality_Matrix!$B$4:$BS$64,MATCH($A89,Mortality_Matrix!$A$4:$A$64,0),MATCH(2048,Mortality_Matrix!$B$3:$BS$3,0))</f>
        <v>1.88318415487429E-008</v>
      </c>
      <c r="AM89" s="27" t="n">
        <f aca="false">(AM23-INDEX(Mortality_Matrix!$B$4:$BS$64,MATCH($A89,Mortality_Matrix!$A$4:$A$64,0),MATCH(2049,Mortality_Matrix!$B$3:$BS$3,0)))/INDEX(Mortality_Matrix!$B$4:$BS$64,MATCH($A89,Mortality_Matrix!$A$4:$A$64,0),MATCH(2049,Mortality_Matrix!$B$3:$BS$3,0))</f>
        <v>-1.83034002382181E-008</v>
      </c>
      <c r="AN89" s="27" t="n">
        <f aca="false">(AN23-INDEX(Mortality_Matrix!$B$4:$BS$64,MATCH($A89,Mortality_Matrix!$A$4:$A$64,0),MATCH(2050,Mortality_Matrix!$B$3:$BS$3,0)))/INDEX(Mortality_Matrix!$B$4:$BS$64,MATCH($A89,Mortality_Matrix!$A$4:$A$64,0),MATCH(2050,Mortality_Matrix!$B$3:$BS$3,0))</f>
        <v>-1.12345092785214E-008</v>
      </c>
      <c r="AO89" s="27" t="n">
        <f aca="false">(AO23-INDEX(Mortality_Matrix!$B$4:$BS$64,MATCH($A89,Mortality_Matrix!$A$4:$A$64,0),MATCH(2051,Mortality_Matrix!$B$3:$BS$3,0)))/INDEX(Mortality_Matrix!$B$4:$BS$64,MATCH($A89,Mortality_Matrix!$A$4:$A$64,0),MATCH(2051,Mortality_Matrix!$B$3:$BS$3,0))</f>
        <v>1.90664345207884E-008</v>
      </c>
      <c r="AP89" s="27" t="n">
        <f aca="false">(AP23-INDEX(Mortality_Matrix!$B$4:$BS$64,MATCH($A89,Mortality_Matrix!$A$4:$A$64,0),MATCH(2052,Mortality_Matrix!$B$3:$BS$3,0)))/INDEX(Mortality_Matrix!$B$4:$BS$64,MATCH($A89,Mortality_Matrix!$A$4:$A$64,0),MATCH(2052,Mortality_Matrix!$B$3:$BS$3,0))</f>
        <v>-3.87042763042547E-009</v>
      </c>
      <c r="AQ89" s="27" t="n">
        <f aca="false">(AQ23-INDEX(Mortality_Matrix!$B$4:$BS$64,MATCH($A89,Mortality_Matrix!$A$4:$A$64,0),MATCH(2053,Mortality_Matrix!$B$3:$BS$3,0)))/INDEX(Mortality_Matrix!$B$4:$BS$64,MATCH($A89,Mortality_Matrix!$A$4:$A$64,0),MATCH(2053,Mortality_Matrix!$B$3:$BS$3,0))</f>
        <v>2.15657691539687E-009</v>
      </c>
      <c r="AR89" s="27" t="n">
        <f aca="false">(AR23-INDEX(Mortality_Matrix!$B$4:$BS$64,MATCH($A89,Mortality_Matrix!$A$4:$A$64,0),MATCH(2054,Mortality_Matrix!$B$3:$BS$3,0)))/INDEX(Mortality_Matrix!$B$4:$BS$64,MATCH($A89,Mortality_Matrix!$A$4:$A$64,0),MATCH(2054,Mortality_Matrix!$B$3:$BS$3,0))</f>
        <v>1.13347566423468E-008</v>
      </c>
      <c r="AS89" s="27" t="n">
        <f aca="false">(AS23-INDEX(Mortality_Matrix!$B$4:$BS$64,MATCH($A89,Mortality_Matrix!$A$4:$A$64,0),MATCH(2055,Mortality_Matrix!$B$3:$BS$3,0)))/INDEX(Mortality_Matrix!$B$4:$BS$64,MATCH($A89,Mortality_Matrix!$A$4:$A$64,0),MATCH(2055,Mortality_Matrix!$B$3:$BS$3,0))</f>
        <v>-6.45405475063499E-009</v>
      </c>
      <c r="AT89" s="27" t="n">
        <f aca="false">(AT23-INDEX(Mortality_Matrix!$B$4:$BS$64,MATCH($A89,Mortality_Matrix!$A$4:$A$64,0),MATCH(2056,Mortality_Matrix!$B$3:$BS$3,0)))/INDEX(Mortality_Matrix!$B$4:$BS$64,MATCH($A89,Mortality_Matrix!$A$4:$A$64,0),MATCH(2056,Mortality_Matrix!$B$3:$BS$3,0))</f>
        <v>2.79453878363501E-008</v>
      </c>
      <c r="AU89" s="27" t="n">
        <f aca="false">(AU23-INDEX(Mortality_Matrix!$B$4:$BS$64,MATCH($A89,Mortality_Matrix!$A$4:$A$64,0),MATCH(2057,Mortality_Matrix!$B$3:$BS$3,0)))/INDEX(Mortality_Matrix!$B$4:$BS$64,MATCH($A89,Mortality_Matrix!$A$4:$A$64,0),MATCH(2057,Mortality_Matrix!$B$3:$BS$3,0))</f>
        <v>1.95055920427235E-008</v>
      </c>
      <c r="AV89" s="27" t="n">
        <f aca="false">(AV23-INDEX(Mortality_Matrix!$B$4:$BS$64,MATCH($A89,Mortality_Matrix!$A$4:$A$64,0),MATCH(2058,Mortality_Matrix!$B$3:$BS$3,0)))/INDEX(Mortality_Matrix!$B$4:$BS$64,MATCH($A89,Mortality_Matrix!$A$4:$A$64,0),MATCH(2058,Mortality_Matrix!$B$3:$BS$3,0))</f>
        <v>-1.97904969886832E-008</v>
      </c>
      <c r="AW89" s="27" t="n">
        <f aca="false">(AW23-INDEX(Mortality_Matrix!$B$4:$BS$64,MATCH($A89,Mortality_Matrix!$A$4:$A$64,0),MATCH(2059,Mortality_Matrix!$B$3:$BS$3,0)))/INDEX(Mortality_Matrix!$B$4:$BS$64,MATCH($A89,Mortality_Matrix!$A$4:$A$64,0),MATCH(2059,Mortality_Matrix!$B$3:$BS$3,0))</f>
        <v>-2.33900012443785E-008</v>
      </c>
      <c r="AX89" s="27" t="n">
        <f aca="false">(AX23-INDEX(Mortality_Matrix!$B$4:$BS$64,MATCH($A89,Mortality_Matrix!$A$4:$A$64,0),MATCH(2060,Mortality_Matrix!$B$3:$BS$3,0)))/INDEX(Mortality_Matrix!$B$4:$BS$64,MATCH($A89,Mortality_Matrix!$A$4:$A$64,0),MATCH(2060,Mortality_Matrix!$B$3:$BS$3,0))</f>
        <v>1.13260302423492E-008</v>
      </c>
      <c r="AY89" s="27" t="n">
        <f aca="false">(AY23-INDEX(Mortality_Matrix!$B$4:$BS$64,MATCH($A89,Mortality_Matrix!$A$4:$A$64,0),MATCH(2061,Mortality_Matrix!$B$3:$BS$3,0)))/INDEX(Mortality_Matrix!$B$4:$BS$64,MATCH($A89,Mortality_Matrix!$A$4:$A$64,0),MATCH(2061,Mortality_Matrix!$B$3:$BS$3,0))</f>
        <v>1.72001475186948E-008</v>
      </c>
      <c r="AZ89" s="27" t="n">
        <f aca="false">(AZ23-INDEX(Mortality_Matrix!$B$4:$BS$64,MATCH($A89,Mortality_Matrix!$A$4:$A$64,0),MATCH(2062,Mortality_Matrix!$B$3:$BS$3,0)))/INDEX(Mortality_Matrix!$B$4:$BS$64,MATCH($A89,Mortality_Matrix!$A$4:$A$64,0),MATCH(2062,Mortality_Matrix!$B$3:$BS$3,0))</f>
        <v>-2.32893579731232E-008</v>
      </c>
      <c r="BA89" s="27" t="n">
        <f aca="false">(BA23-INDEX(Mortality_Matrix!$B$4:$BS$64,MATCH($A89,Mortality_Matrix!$A$4:$A$64,0),MATCH(2063,Mortality_Matrix!$B$3:$BS$3,0)))/INDEX(Mortality_Matrix!$B$4:$BS$64,MATCH($A89,Mortality_Matrix!$A$4:$A$64,0),MATCH(2063,Mortality_Matrix!$B$3:$BS$3,0))</f>
        <v>-1.11805856247465E-008</v>
      </c>
      <c r="BB89" s="27" t="n">
        <f aca="false">(BB23-INDEX(Mortality_Matrix!$B$4:$BS$64,MATCH($A89,Mortality_Matrix!$A$4:$A$64,0),MATCH(2064,Mortality_Matrix!$B$3:$BS$3,0)))/INDEX(Mortality_Matrix!$B$4:$BS$64,MATCH($A89,Mortality_Matrix!$A$4:$A$64,0),MATCH(2064,Mortality_Matrix!$B$3:$BS$3,0))</f>
        <v>1.82583227478701E-008</v>
      </c>
      <c r="BC89" s="27" t="n">
        <f aca="false">(BC23-INDEX(Mortality_Matrix!$B$4:$BS$64,MATCH($A89,Mortality_Matrix!$A$4:$A$64,0),MATCH(2065,Mortality_Matrix!$B$3:$BS$3,0)))/INDEX(Mortality_Matrix!$B$4:$BS$64,MATCH($A89,Mortality_Matrix!$A$4:$A$64,0),MATCH(2065,Mortality_Matrix!$B$3:$BS$3,0))</f>
        <v>1.56308750431032E-008</v>
      </c>
      <c r="BD89" s="27" t="n">
        <f aca="false">(BD23-INDEX(Mortality_Matrix!$B$4:$BS$64,MATCH($A89,Mortality_Matrix!$A$4:$A$64,0),MATCH(2066,Mortality_Matrix!$B$3:$BS$3,0)))/INDEX(Mortality_Matrix!$B$4:$BS$64,MATCH($A89,Mortality_Matrix!$A$4:$A$64,0),MATCH(2066,Mortality_Matrix!$B$3:$BS$3,0))</f>
        <v>-1.77123684172354E-008</v>
      </c>
      <c r="BE89" s="27" t="n">
        <f aca="false">(BE23-INDEX(Mortality_Matrix!$B$4:$BS$64,MATCH($A89,Mortality_Matrix!$A$4:$A$64,0),MATCH(2067,Mortality_Matrix!$B$3:$BS$3,0)))/INDEX(Mortality_Matrix!$B$4:$BS$64,MATCH($A89,Mortality_Matrix!$A$4:$A$64,0),MATCH(2067,Mortality_Matrix!$B$3:$BS$3,0))</f>
        <v>-2.65136302635239E-008</v>
      </c>
      <c r="BF89" s="27" t="n">
        <f aca="false">(BF23-INDEX(Mortality_Matrix!$B$4:$BS$64,MATCH($A89,Mortality_Matrix!$A$4:$A$64,0),MATCH(2068,Mortality_Matrix!$B$3:$BS$3,0)))/INDEX(Mortality_Matrix!$B$4:$BS$64,MATCH($A89,Mortality_Matrix!$A$4:$A$64,0),MATCH(2068,Mortality_Matrix!$B$3:$BS$3,0))</f>
        <v>3.29404258926988E-008</v>
      </c>
      <c r="BG89" s="27" t="n">
        <f aca="false">(BG23-INDEX(Mortality_Matrix!$B$4:$BS$64,MATCH($A89,Mortality_Matrix!$A$4:$A$64,0),MATCH(2069,Mortality_Matrix!$B$3:$BS$3,0)))/INDEX(Mortality_Matrix!$B$4:$BS$64,MATCH($A89,Mortality_Matrix!$A$4:$A$64,0),MATCH(2069,Mortality_Matrix!$B$3:$BS$3,0))</f>
        <v>-1.83476603275964E-008</v>
      </c>
      <c r="BH89" s="27" t="n">
        <f aca="false">(BH23-INDEX(Mortality_Matrix!$B$4:$BS$64,MATCH($A89,Mortality_Matrix!$A$4:$A$64,0),MATCH(2070,Mortality_Matrix!$B$3:$BS$3,0)))/INDEX(Mortality_Matrix!$B$4:$BS$64,MATCH($A89,Mortality_Matrix!$A$4:$A$64,0),MATCH(2070,Mortality_Matrix!$B$3:$BS$3,0))</f>
        <v>-3.32245516979559E-008</v>
      </c>
      <c r="BI89" s="27" t="n">
        <f aca="false">(BI23-INDEX(Mortality_Matrix!$B$4:$BS$64,MATCH($A89,Mortality_Matrix!$A$4:$A$64,0),MATCH(2071,Mortality_Matrix!$B$3:$BS$3,0)))/INDEX(Mortality_Matrix!$B$4:$BS$64,MATCH($A89,Mortality_Matrix!$A$4:$A$64,0),MATCH(2071,Mortality_Matrix!$B$3:$BS$3,0))</f>
        <v>-1.74018971588339E-008</v>
      </c>
      <c r="BJ89" s="27" t="n">
        <f aca="false">(BJ23-INDEX(Mortality_Matrix!$B$4:$BS$64,MATCH($A89,Mortality_Matrix!$A$4:$A$64,0),MATCH(2072,Mortality_Matrix!$B$3:$BS$3,0)))/INDEX(Mortality_Matrix!$B$4:$BS$64,MATCH($A89,Mortality_Matrix!$A$4:$A$64,0),MATCH(2072,Mortality_Matrix!$B$3:$BS$3,0))</f>
        <v>3.7728604052844E-009</v>
      </c>
      <c r="BK89" s="27" t="n">
        <f aca="false">(BK23-INDEX(Mortality_Matrix!$B$4:$BS$64,MATCH($A89,Mortality_Matrix!$A$4:$A$64,0),MATCH(2073,Mortality_Matrix!$B$3:$BS$3,0)))/INDEX(Mortality_Matrix!$B$4:$BS$64,MATCH($A89,Mortality_Matrix!$A$4:$A$64,0),MATCH(2073,Mortality_Matrix!$B$3:$BS$3,0))</f>
        <v>-1.69830722243832E-008</v>
      </c>
      <c r="BL89" s="27" t="n">
        <f aca="false">(BL23-INDEX(Mortality_Matrix!$B$4:$BS$64,MATCH($A89,Mortality_Matrix!$A$4:$A$64,0),MATCH(2074,Mortality_Matrix!$B$3:$BS$3,0)))/INDEX(Mortality_Matrix!$B$4:$BS$64,MATCH($A89,Mortality_Matrix!$A$4:$A$64,0),MATCH(2074,Mortality_Matrix!$B$3:$BS$3,0))</f>
        <v>-8.02776686012955E-010</v>
      </c>
      <c r="BM89" s="27" t="n">
        <f aca="false">(BM23-INDEX(Mortality_Matrix!$B$4:$BS$64,MATCH($A89,Mortality_Matrix!$A$4:$A$64,0),MATCH(2075,Mortality_Matrix!$B$3:$BS$3,0)))/INDEX(Mortality_Matrix!$B$4:$BS$64,MATCH($A89,Mortality_Matrix!$A$4:$A$64,0),MATCH(2075,Mortality_Matrix!$B$3:$BS$3,0))</f>
        <v>3.70168275991676E-008</v>
      </c>
      <c r="BN89" s="27" t="n">
        <f aca="false">(BN23-INDEX(Mortality_Matrix!$B$4:$BS$64,MATCH($A89,Mortality_Matrix!$A$4:$A$64,0),MATCH(2076,Mortality_Matrix!$B$3:$BS$3,0)))/INDEX(Mortality_Matrix!$B$4:$BS$64,MATCH($A89,Mortality_Matrix!$A$4:$A$64,0),MATCH(2076,Mortality_Matrix!$B$3:$BS$3,0))</f>
        <v>-2.11582277779031E-008</v>
      </c>
      <c r="BO89" s="27" t="n">
        <f aca="false">(BO23-INDEX(Mortality_Matrix!$B$4:$BS$64,MATCH($A89,Mortality_Matrix!$A$4:$A$64,0),MATCH(2077,Mortality_Matrix!$B$3:$BS$3,0)))/INDEX(Mortality_Matrix!$B$4:$BS$64,MATCH($A89,Mortality_Matrix!$A$4:$A$64,0),MATCH(2077,Mortality_Matrix!$B$3:$BS$3,0))</f>
        <v>-1.01335138673851E-008</v>
      </c>
      <c r="BP89" s="27" t="n">
        <f aca="false">(BP23-INDEX(Mortality_Matrix!$B$4:$BS$64,MATCH($A89,Mortality_Matrix!$A$4:$A$64,0),MATCH(2078,Mortality_Matrix!$B$3:$BS$3,0)))/INDEX(Mortality_Matrix!$B$4:$BS$64,MATCH($A89,Mortality_Matrix!$A$4:$A$64,0),MATCH(2078,Mortality_Matrix!$B$3:$BS$3,0))</f>
        <v>-2.05266452023459E-008</v>
      </c>
      <c r="BQ89" s="27" t="n">
        <f aca="false">(BQ23-INDEX(Mortality_Matrix!$B$4:$BS$64,MATCH($A89,Mortality_Matrix!$A$4:$A$64,0),MATCH(2079,Mortality_Matrix!$B$3:$BS$3,0)))/INDEX(Mortality_Matrix!$B$4:$BS$64,MATCH($A89,Mortality_Matrix!$A$4:$A$64,0),MATCH(2079,Mortality_Matrix!$B$3:$BS$3,0))</f>
        <v>-1.36276513980817E-008</v>
      </c>
      <c r="BR89" s="27" t="n">
        <f aca="false">(BR23-INDEX(Mortality_Matrix!$B$4:$BS$64,MATCH($A89,Mortality_Matrix!$A$4:$A$64,0),MATCH(2080,Mortality_Matrix!$B$3:$BS$3,0)))/INDEX(Mortality_Matrix!$B$4:$BS$64,MATCH($A89,Mortality_Matrix!$A$4:$A$64,0),MATCH(2080,Mortality_Matrix!$B$3:$BS$3,0))</f>
        <v>2.30406362720635E-008</v>
      </c>
      <c r="BS89" s="27" t="n">
        <f aca="false">(BS23-INDEX(Mortality_Matrix!$B$4:$BS$64,MATCH($A89,Mortality_Matrix!$A$4:$A$64,0),MATCH(2081,Mortality_Matrix!$B$3:$BS$3,0)))/INDEX(Mortality_Matrix!$B$4:$BS$64,MATCH($A89,Mortality_Matrix!$A$4:$A$64,0),MATCH(2081,Mortality_Matrix!$B$3:$BS$3,0))</f>
        <v>-1.08398326029418E-008</v>
      </c>
      <c r="BT89" s="27" t="n">
        <f aca="false">(BT23-INDEX(Mortality_Matrix!$B$4:$BS$64,MATCH($A89,Mortality_Matrix!$A$4:$A$64,0),MATCH(2082,Mortality_Matrix!$B$3:$BS$3,0)))/INDEX(Mortality_Matrix!$B$4:$BS$64,MATCH($A89,Mortality_Matrix!$A$4:$A$64,0),MATCH(2082,Mortality_Matrix!$B$3:$BS$3,0))</f>
        <v>1.89958001296002E-009</v>
      </c>
      <c r="BU89" s="27" t="n">
        <f aca="false">(BU23-INDEX(Mortality_Matrix!$B$4:$BS$64,MATCH($A89,Mortality_Matrix!$A$4:$A$64,0),MATCH(2083,Mortality_Matrix!$B$3:$BS$3,0)))/INDEX(Mortality_Matrix!$B$4:$BS$64,MATCH($A89,Mortality_Matrix!$A$4:$A$64,0),MATCH(2083,Mortality_Matrix!$B$3:$BS$3,0))</f>
        <v>-1.92249959008281E-008</v>
      </c>
      <c r="BV89" s="27" t="n">
        <f aca="false">(BV23-INDEX(Mortality_Matrix!$B$4:$BS$64,MATCH($A89,Mortality_Matrix!$A$4:$A$64,0),MATCH(2084,Mortality_Matrix!$B$3:$BS$3,0)))/INDEX(Mortality_Matrix!$B$4:$BS$64,MATCH($A89,Mortality_Matrix!$A$4:$A$64,0),MATCH(2084,Mortality_Matrix!$B$3:$BS$3,0))</f>
        <v>-1.83496379691988E-008</v>
      </c>
      <c r="BW89" s="27" t="n">
        <f aca="false">(BW23-INDEX(Mortality_Matrix!$B$4:$BS$64,MATCH($A89,Mortality_Matrix!$A$4:$A$64,0),MATCH(2085,Mortality_Matrix!$B$3:$BS$3,0)))/INDEX(Mortality_Matrix!$B$4:$BS$64,MATCH($A89,Mortality_Matrix!$A$4:$A$64,0),MATCH(2085,Mortality_Matrix!$B$3:$BS$3,0))</f>
        <v>2.87508422615859E-008</v>
      </c>
      <c r="BX89" s="27" t="n">
        <f aca="false">(BX23-INDEX(Mortality_Matrix!$B$4:$BS$64,MATCH($A89,Mortality_Matrix!$A$4:$A$64,0),MATCH(2086,Mortality_Matrix!$B$3:$BS$3,0)))/INDEX(Mortality_Matrix!$B$4:$BS$64,MATCH($A89,Mortality_Matrix!$A$4:$A$64,0),MATCH(2086,Mortality_Matrix!$B$3:$BS$3,0))</f>
        <v>2.1081958098077E-008</v>
      </c>
      <c r="BY89" s="27" t="n">
        <f aca="false">(BY23-INDEX(Mortality_Matrix!$B$4:$BS$64,MATCH($A89,Mortality_Matrix!$A$4:$A$64,0),MATCH(2087,Mortality_Matrix!$B$3:$BS$3,0)))/INDEX(Mortality_Matrix!$B$4:$BS$64,MATCH($A89,Mortality_Matrix!$A$4:$A$64,0),MATCH(2087,Mortality_Matrix!$B$3:$BS$3,0))</f>
        <v>-3.19100980332978E-009</v>
      </c>
      <c r="BZ89" s="27" t="n">
        <f aca="false">(BZ23-INDEX(Mortality_Matrix!$B$4:$BS$64,MATCH($A89,Mortality_Matrix!$A$4:$A$64,0),MATCH(2088,Mortality_Matrix!$B$3:$BS$3,0)))/INDEX(Mortality_Matrix!$B$4:$BS$64,MATCH($A89,Mortality_Matrix!$A$4:$A$64,0),MATCH(2088,Mortality_Matrix!$B$3:$BS$3,0))</f>
        <v>-4.27121694339155E-008</v>
      </c>
      <c r="CA89" s="27" t="n">
        <f aca="false">(CA23-INDEX(Mortality_Matrix!$B$4:$BS$64,MATCH($A89,Mortality_Matrix!$A$4:$A$64,0),MATCH(2089,Mortality_Matrix!$B$3:$BS$3,0)))/INDEX(Mortality_Matrix!$B$4:$BS$64,MATCH($A89,Mortality_Matrix!$A$4:$A$64,0),MATCH(2089,Mortality_Matrix!$B$3:$BS$3,0))</f>
        <v>-4.22401340401849E-008</v>
      </c>
      <c r="CB89" s="27" t="n">
        <f aca="false">(CB23-INDEX(Mortality_Matrix!$B$4:$BS$64,MATCH($A89,Mortality_Matrix!$A$4:$A$64,0),MATCH(2090,Mortality_Matrix!$B$3:$BS$3,0)))/INDEX(Mortality_Matrix!$B$4:$BS$64,MATCH($A89,Mortality_Matrix!$A$4:$A$64,0),MATCH(2090,Mortality_Matrix!$B$3:$BS$3,0))</f>
        <v>1.47874878757983E-008</v>
      </c>
      <c r="CC89" s="27" t="n">
        <f aca="false">(CC23-INDEX(Mortality_Matrix!$B$4:$BS$64,MATCH($A89,Mortality_Matrix!$A$4:$A$64,0),MATCH(2091,Mortality_Matrix!$B$3:$BS$3,0)))/INDEX(Mortality_Matrix!$B$4:$BS$64,MATCH($A89,Mortality_Matrix!$A$4:$A$64,0),MATCH(2091,Mortality_Matrix!$B$3:$BS$3,0))</f>
        <v>5.0570566756886E-009</v>
      </c>
    </row>
    <row r="90" customFormat="false" ht="15" hidden="false" customHeight="true" outlineLevel="0" collapsed="false">
      <c r="A90" s="3" t="n">
        <v>61</v>
      </c>
      <c r="L90" s="27" t="n">
        <f aca="false">(L24-INDEX(Mortality_Matrix!$B$4:$BS$64,MATCH($A90,Mortality_Matrix!$A$4:$A$64,0),MATCH(2022,Mortality_Matrix!$B$3:$BS$3,0)))/INDEX(Mortality_Matrix!$B$4:$BS$64,MATCH($A90,Mortality_Matrix!$A$4:$A$64,0),MATCH(2022,Mortality_Matrix!$B$3:$BS$3,0))</f>
        <v>5.99188333070649E-009</v>
      </c>
      <c r="M90" s="27" t="n">
        <f aca="false">(M24-INDEX(Mortality_Matrix!$B$4:$BS$64,MATCH($A90,Mortality_Matrix!$A$4:$A$64,0),MATCH(2023,Mortality_Matrix!$B$3:$BS$3,0)))/INDEX(Mortality_Matrix!$B$4:$BS$64,MATCH($A90,Mortality_Matrix!$A$4:$A$64,0),MATCH(2023,Mortality_Matrix!$B$3:$BS$3,0))</f>
        <v>-1.16217297552827E-008</v>
      </c>
      <c r="N90" s="27" t="n">
        <f aca="false">(N24-INDEX(Mortality_Matrix!$B$4:$BS$64,MATCH($A90,Mortality_Matrix!$A$4:$A$64,0),MATCH(2024,Mortality_Matrix!$B$3:$BS$3,0)))/INDEX(Mortality_Matrix!$B$4:$BS$64,MATCH($A90,Mortality_Matrix!$A$4:$A$64,0),MATCH(2024,Mortality_Matrix!$B$3:$BS$3,0))</f>
        <v>6.69672796263115E-010</v>
      </c>
      <c r="O90" s="27" t="n">
        <f aca="false">(O24-INDEX(Mortality_Matrix!$B$4:$BS$64,MATCH($A90,Mortality_Matrix!$A$4:$A$64,0),MATCH(2025,Mortality_Matrix!$B$3:$BS$3,0)))/INDEX(Mortality_Matrix!$B$4:$BS$64,MATCH($A90,Mortality_Matrix!$A$4:$A$64,0),MATCH(2025,Mortality_Matrix!$B$3:$BS$3,0))</f>
        <v>-1.09546429624292E-008</v>
      </c>
      <c r="P90" s="27" t="n">
        <f aca="false">(P24-INDEX(Mortality_Matrix!$B$4:$BS$64,MATCH($A90,Mortality_Matrix!$A$4:$A$64,0),MATCH(2026,Mortality_Matrix!$B$3:$BS$3,0)))/INDEX(Mortality_Matrix!$B$4:$BS$64,MATCH($A90,Mortality_Matrix!$A$4:$A$64,0),MATCH(2026,Mortality_Matrix!$B$3:$BS$3,0))</f>
        <v>7.10006553827948E-009</v>
      </c>
      <c r="Q90" s="27" t="n">
        <f aca="false">(Q24-INDEX(Mortality_Matrix!$B$4:$BS$64,MATCH($A90,Mortality_Matrix!$A$4:$A$64,0),MATCH(2027,Mortality_Matrix!$B$3:$BS$3,0)))/INDEX(Mortality_Matrix!$B$4:$BS$64,MATCH($A90,Mortality_Matrix!$A$4:$A$64,0),MATCH(2027,Mortality_Matrix!$B$3:$BS$3,0))</f>
        <v>3.79001997409315E-009</v>
      </c>
      <c r="R90" s="27" t="n">
        <f aca="false">(R24-INDEX(Mortality_Matrix!$B$4:$BS$64,MATCH($A90,Mortality_Matrix!$A$4:$A$64,0),MATCH(2028,Mortality_Matrix!$B$3:$BS$3,0)))/INDEX(Mortality_Matrix!$B$4:$BS$64,MATCH($A90,Mortality_Matrix!$A$4:$A$64,0),MATCH(2028,Mortality_Matrix!$B$3:$BS$3,0))</f>
        <v>-5.31070812165122E-009</v>
      </c>
      <c r="S90" s="27" t="n">
        <f aca="false">(S24-INDEX(Mortality_Matrix!$B$4:$BS$64,MATCH($A90,Mortality_Matrix!$A$4:$A$64,0),MATCH(2029,Mortality_Matrix!$B$3:$BS$3,0)))/INDEX(Mortality_Matrix!$B$4:$BS$64,MATCH($A90,Mortality_Matrix!$A$4:$A$64,0),MATCH(2029,Mortality_Matrix!$B$3:$BS$3,0))</f>
        <v>1.45524318062464E-008</v>
      </c>
      <c r="T90" s="27" t="n">
        <f aca="false">(T24-INDEX(Mortality_Matrix!$B$4:$BS$64,MATCH($A90,Mortality_Matrix!$A$4:$A$64,0),MATCH(2030,Mortality_Matrix!$B$3:$BS$3,0)))/INDEX(Mortality_Matrix!$B$4:$BS$64,MATCH($A90,Mortality_Matrix!$A$4:$A$64,0),MATCH(2030,Mortality_Matrix!$B$3:$BS$3,0))</f>
        <v>-2.54917213772192E-009</v>
      </c>
      <c r="U90" s="27" t="n">
        <f aca="false">(U24-INDEX(Mortality_Matrix!$B$4:$BS$64,MATCH($A90,Mortality_Matrix!$A$4:$A$64,0),MATCH(2031,Mortality_Matrix!$B$3:$BS$3,0)))/INDEX(Mortality_Matrix!$B$4:$BS$64,MATCH($A90,Mortality_Matrix!$A$4:$A$64,0),MATCH(2031,Mortality_Matrix!$B$3:$BS$3,0))</f>
        <v>1.24430802329021E-008</v>
      </c>
      <c r="V90" s="27" t="n">
        <f aca="false">(V24-INDEX(Mortality_Matrix!$B$4:$BS$64,MATCH($A90,Mortality_Matrix!$A$4:$A$64,0),MATCH(2032,Mortality_Matrix!$B$3:$BS$3,0)))/INDEX(Mortality_Matrix!$B$4:$BS$64,MATCH($A90,Mortality_Matrix!$A$4:$A$64,0),MATCH(2032,Mortality_Matrix!$B$3:$BS$3,0))</f>
        <v>-1.24654860452261E-008</v>
      </c>
      <c r="W90" s="27" t="n">
        <f aca="false">(W24-INDEX(Mortality_Matrix!$B$4:$BS$64,MATCH($A90,Mortality_Matrix!$A$4:$A$64,0),MATCH(2033,Mortality_Matrix!$B$3:$BS$3,0)))/INDEX(Mortality_Matrix!$B$4:$BS$64,MATCH($A90,Mortality_Matrix!$A$4:$A$64,0),MATCH(2033,Mortality_Matrix!$B$3:$BS$3,0))</f>
        <v>1.0392054077553E-008</v>
      </c>
      <c r="X90" s="27" t="n">
        <f aca="false">(X24-INDEX(Mortality_Matrix!$B$4:$BS$64,MATCH($A90,Mortality_Matrix!$A$4:$A$64,0),MATCH(2034,Mortality_Matrix!$B$3:$BS$3,0)))/INDEX(Mortality_Matrix!$B$4:$BS$64,MATCH($A90,Mortality_Matrix!$A$4:$A$64,0),MATCH(2034,Mortality_Matrix!$B$3:$BS$3,0))</f>
        <v>-2.2024112557493E-009</v>
      </c>
      <c r="Y90" s="27" t="n">
        <f aca="false">(Y24-INDEX(Mortality_Matrix!$B$4:$BS$64,MATCH($A90,Mortality_Matrix!$A$4:$A$64,0),MATCH(2035,Mortality_Matrix!$B$3:$BS$3,0)))/INDEX(Mortality_Matrix!$B$4:$BS$64,MATCH($A90,Mortality_Matrix!$A$4:$A$64,0),MATCH(2035,Mortality_Matrix!$B$3:$BS$3,0))</f>
        <v>-1.37056625896483E-008</v>
      </c>
      <c r="Z90" s="27" t="n">
        <f aca="false">(Z24-INDEX(Mortality_Matrix!$B$4:$BS$64,MATCH($A90,Mortality_Matrix!$A$4:$A$64,0),MATCH(2036,Mortality_Matrix!$B$3:$BS$3,0)))/INDEX(Mortality_Matrix!$B$4:$BS$64,MATCH($A90,Mortality_Matrix!$A$4:$A$64,0),MATCH(2036,Mortality_Matrix!$B$3:$BS$3,0))</f>
        <v>-1.00143773474517E-008</v>
      </c>
      <c r="AA90" s="27" t="n">
        <f aca="false">(AA24-INDEX(Mortality_Matrix!$B$4:$BS$64,MATCH($A90,Mortality_Matrix!$A$4:$A$64,0),MATCH(2037,Mortality_Matrix!$B$3:$BS$3,0)))/INDEX(Mortality_Matrix!$B$4:$BS$64,MATCH($A90,Mortality_Matrix!$A$4:$A$64,0),MATCH(2037,Mortality_Matrix!$B$3:$BS$3,0))</f>
        <v>-1.83081999560716E-008</v>
      </c>
      <c r="AB90" s="27" t="n">
        <f aca="false">(AB24-INDEX(Mortality_Matrix!$B$4:$BS$64,MATCH($A90,Mortality_Matrix!$A$4:$A$64,0),MATCH(2038,Mortality_Matrix!$B$3:$BS$3,0)))/INDEX(Mortality_Matrix!$B$4:$BS$64,MATCH($A90,Mortality_Matrix!$A$4:$A$64,0),MATCH(2038,Mortality_Matrix!$B$3:$BS$3,0))</f>
        <v>-1.37473828244401E-008</v>
      </c>
      <c r="AC90" s="27" t="n">
        <f aca="false">(AC24-INDEX(Mortality_Matrix!$B$4:$BS$64,MATCH($A90,Mortality_Matrix!$A$4:$A$64,0),MATCH(2039,Mortality_Matrix!$B$3:$BS$3,0)))/INDEX(Mortality_Matrix!$B$4:$BS$64,MATCH($A90,Mortality_Matrix!$A$4:$A$64,0),MATCH(2039,Mortality_Matrix!$B$3:$BS$3,0))</f>
        <v>-3.79574359846253E-009</v>
      </c>
      <c r="AD90" s="27" t="n">
        <f aca="false">(AD24-INDEX(Mortality_Matrix!$B$4:$BS$64,MATCH($A90,Mortality_Matrix!$A$4:$A$64,0),MATCH(2040,Mortality_Matrix!$B$3:$BS$3,0)))/INDEX(Mortality_Matrix!$B$4:$BS$64,MATCH($A90,Mortality_Matrix!$A$4:$A$64,0),MATCH(2040,Mortality_Matrix!$B$3:$BS$3,0))</f>
        <v>-1.73340143695684E-008</v>
      </c>
      <c r="AE90" s="27" t="n">
        <f aca="false">(AE24-INDEX(Mortality_Matrix!$B$4:$BS$64,MATCH($A90,Mortality_Matrix!$A$4:$A$64,0),MATCH(2041,Mortality_Matrix!$B$3:$BS$3,0)))/INDEX(Mortality_Matrix!$B$4:$BS$64,MATCH($A90,Mortality_Matrix!$A$4:$A$64,0),MATCH(2041,Mortality_Matrix!$B$3:$BS$3,0))</f>
        <v>-1.7539155226739E-008</v>
      </c>
      <c r="AF90" s="27" t="n">
        <f aca="false">(AF24-INDEX(Mortality_Matrix!$B$4:$BS$64,MATCH($A90,Mortality_Matrix!$A$4:$A$64,0),MATCH(2042,Mortality_Matrix!$B$3:$BS$3,0)))/INDEX(Mortality_Matrix!$B$4:$BS$64,MATCH($A90,Mortality_Matrix!$A$4:$A$64,0),MATCH(2042,Mortality_Matrix!$B$3:$BS$3,0))</f>
        <v>5.16171099028044E-009</v>
      </c>
      <c r="AG90" s="27" t="n">
        <f aca="false">(AG24-INDEX(Mortality_Matrix!$B$4:$BS$64,MATCH($A90,Mortality_Matrix!$A$4:$A$64,0),MATCH(2043,Mortality_Matrix!$B$3:$BS$3,0)))/INDEX(Mortality_Matrix!$B$4:$BS$64,MATCH($A90,Mortality_Matrix!$A$4:$A$64,0),MATCH(2043,Mortality_Matrix!$B$3:$BS$3,0))</f>
        <v>-1.21760717785338E-008</v>
      </c>
      <c r="AH90" s="27" t="n">
        <f aca="false">(AH24-INDEX(Mortality_Matrix!$B$4:$BS$64,MATCH($A90,Mortality_Matrix!$A$4:$A$64,0),MATCH(2044,Mortality_Matrix!$B$3:$BS$3,0)))/INDEX(Mortality_Matrix!$B$4:$BS$64,MATCH($A90,Mortality_Matrix!$A$4:$A$64,0),MATCH(2044,Mortality_Matrix!$B$3:$BS$3,0))</f>
        <v>3.27917575694916E-009</v>
      </c>
      <c r="AI90" s="27" t="n">
        <f aca="false">(AI24-INDEX(Mortality_Matrix!$B$4:$BS$64,MATCH($A90,Mortality_Matrix!$A$4:$A$64,0),MATCH(2045,Mortality_Matrix!$B$3:$BS$3,0)))/INDEX(Mortality_Matrix!$B$4:$BS$64,MATCH($A90,Mortality_Matrix!$A$4:$A$64,0),MATCH(2045,Mortality_Matrix!$B$3:$BS$3,0))</f>
        <v>8.29145299391362E-009</v>
      </c>
      <c r="AJ90" s="27" t="n">
        <f aca="false">(AJ24-INDEX(Mortality_Matrix!$B$4:$BS$64,MATCH($A90,Mortality_Matrix!$A$4:$A$64,0),MATCH(2046,Mortality_Matrix!$B$3:$BS$3,0)))/INDEX(Mortality_Matrix!$B$4:$BS$64,MATCH($A90,Mortality_Matrix!$A$4:$A$64,0),MATCH(2046,Mortality_Matrix!$B$3:$BS$3,0))</f>
        <v>1.07251343183708E-008</v>
      </c>
      <c r="AK90" s="27" t="n">
        <f aca="false">(AK24-INDEX(Mortality_Matrix!$B$4:$BS$64,MATCH($A90,Mortality_Matrix!$A$4:$A$64,0),MATCH(2047,Mortality_Matrix!$B$3:$BS$3,0)))/INDEX(Mortality_Matrix!$B$4:$BS$64,MATCH($A90,Mortality_Matrix!$A$4:$A$64,0),MATCH(2047,Mortality_Matrix!$B$3:$BS$3,0))</f>
        <v>-1.712687075963E-008</v>
      </c>
      <c r="AL90" s="27" t="n">
        <f aca="false">(AL24-INDEX(Mortality_Matrix!$B$4:$BS$64,MATCH($A90,Mortality_Matrix!$A$4:$A$64,0),MATCH(2048,Mortality_Matrix!$B$3:$BS$3,0)))/INDEX(Mortality_Matrix!$B$4:$BS$64,MATCH($A90,Mortality_Matrix!$A$4:$A$64,0),MATCH(2048,Mortality_Matrix!$B$3:$BS$3,0))</f>
        <v>-5.26913182920362E-009</v>
      </c>
      <c r="AM90" s="27" t="n">
        <f aca="false">(AM24-INDEX(Mortality_Matrix!$B$4:$BS$64,MATCH($A90,Mortality_Matrix!$A$4:$A$64,0),MATCH(2049,Mortality_Matrix!$B$3:$BS$3,0)))/INDEX(Mortality_Matrix!$B$4:$BS$64,MATCH($A90,Mortality_Matrix!$A$4:$A$64,0),MATCH(2049,Mortality_Matrix!$B$3:$BS$3,0))</f>
        <v>-1.08252765543985E-008</v>
      </c>
      <c r="AN90" s="27" t="n">
        <f aca="false">(AN24-INDEX(Mortality_Matrix!$B$4:$BS$64,MATCH($A90,Mortality_Matrix!$A$4:$A$64,0),MATCH(2050,Mortality_Matrix!$B$3:$BS$3,0)))/INDEX(Mortality_Matrix!$B$4:$BS$64,MATCH($A90,Mortality_Matrix!$A$4:$A$64,0),MATCH(2050,Mortality_Matrix!$B$3:$BS$3,0))</f>
        <v>6.33202368615385E-009</v>
      </c>
      <c r="AO90" s="27" t="n">
        <f aca="false">(AO24-INDEX(Mortality_Matrix!$B$4:$BS$64,MATCH($A90,Mortality_Matrix!$A$4:$A$64,0),MATCH(2051,Mortality_Matrix!$B$3:$BS$3,0)))/INDEX(Mortality_Matrix!$B$4:$BS$64,MATCH($A90,Mortality_Matrix!$A$4:$A$64,0),MATCH(2051,Mortality_Matrix!$B$3:$BS$3,0))</f>
        <v>-5.87685734696225E-010</v>
      </c>
      <c r="AP90" s="27" t="n">
        <f aca="false">(AP24-INDEX(Mortality_Matrix!$B$4:$BS$64,MATCH($A90,Mortality_Matrix!$A$4:$A$64,0),MATCH(2052,Mortality_Matrix!$B$3:$BS$3,0)))/INDEX(Mortality_Matrix!$B$4:$BS$64,MATCH($A90,Mortality_Matrix!$A$4:$A$64,0),MATCH(2052,Mortality_Matrix!$B$3:$BS$3,0))</f>
        <v>2.09720607090954E-008</v>
      </c>
      <c r="AQ90" s="27" t="n">
        <f aca="false">(AQ24-INDEX(Mortality_Matrix!$B$4:$BS$64,MATCH($A90,Mortality_Matrix!$A$4:$A$64,0),MATCH(2053,Mortality_Matrix!$B$3:$BS$3,0)))/INDEX(Mortality_Matrix!$B$4:$BS$64,MATCH($A90,Mortality_Matrix!$A$4:$A$64,0),MATCH(2053,Mortality_Matrix!$B$3:$BS$3,0))</f>
        <v>-1.61638733769911E-008</v>
      </c>
      <c r="AR90" s="27" t="n">
        <f aca="false">(AR24-INDEX(Mortality_Matrix!$B$4:$BS$64,MATCH($A90,Mortality_Matrix!$A$4:$A$64,0),MATCH(2054,Mortality_Matrix!$B$3:$BS$3,0)))/INDEX(Mortality_Matrix!$B$4:$BS$64,MATCH($A90,Mortality_Matrix!$A$4:$A$64,0),MATCH(2054,Mortality_Matrix!$B$3:$BS$3,0))</f>
        <v>-9.33484185014005E-010</v>
      </c>
      <c r="AS90" s="27" t="n">
        <f aca="false">(AS24-INDEX(Mortality_Matrix!$B$4:$BS$64,MATCH($A90,Mortality_Matrix!$A$4:$A$64,0),MATCH(2055,Mortality_Matrix!$B$3:$BS$3,0)))/INDEX(Mortality_Matrix!$B$4:$BS$64,MATCH($A90,Mortality_Matrix!$A$4:$A$64,0),MATCH(2055,Mortality_Matrix!$B$3:$BS$3,0))</f>
        <v>-1.51284047638726E-008</v>
      </c>
      <c r="AT90" s="27" t="n">
        <f aca="false">(AT24-INDEX(Mortality_Matrix!$B$4:$BS$64,MATCH($A90,Mortality_Matrix!$A$4:$A$64,0),MATCH(2056,Mortality_Matrix!$B$3:$BS$3,0)))/INDEX(Mortality_Matrix!$B$4:$BS$64,MATCH($A90,Mortality_Matrix!$A$4:$A$64,0),MATCH(2056,Mortality_Matrix!$B$3:$BS$3,0))</f>
        <v>1.11203605959429E-008</v>
      </c>
      <c r="AU90" s="27" t="n">
        <f aca="false">(AU24-INDEX(Mortality_Matrix!$B$4:$BS$64,MATCH($A90,Mortality_Matrix!$A$4:$A$64,0),MATCH(2057,Mortality_Matrix!$B$3:$BS$3,0)))/INDEX(Mortality_Matrix!$B$4:$BS$64,MATCH($A90,Mortality_Matrix!$A$4:$A$64,0),MATCH(2057,Mortality_Matrix!$B$3:$BS$3,0))</f>
        <v>-3.24892478181679E-009</v>
      </c>
      <c r="AV90" s="27" t="n">
        <f aca="false">(AV24-INDEX(Mortality_Matrix!$B$4:$BS$64,MATCH($A90,Mortality_Matrix!$A$4:$A$64,0),MATCH(2058,Mortality_Matrix!$B$3:$BS$3,0)))/INDEX(Mortality_Matrix!$B$4:$BS$64,MATCH($A90,Mortality_Matrix!$A$4:$A$64,0),MATCH(2058,Mortality_Matrix!$B$3:$BS$3,0))</f>
        <v>1.55829953124841E-008</v>
      </c>
      <c r="AW90" s="27" t="n">
        <f aca="false">(AW24-INDEX(Mortality_Matrix!$B$4:$BS$64,MATCH($A90,Mortality_Matrix!$A$4:$A$64,0),MATCH(2059,Mortality_Matrix!$B$3:$BS$3,0)))/INDEX(Mortality_Matrix!$B$4:$BS$64,MATCH($A90,Mortality_Matrix!$A$4:$A$64,0),MATCH(2059,Mortality_Matrix!$B$3:$BS$3,0))</f>
        <v>-1.56531912287224E-008</v>
      </c>
      <c r="AX90" s="27" t="n">
        <f aca="false">(AX24-INDEX(Mortality_Matrix!$B$4:$BS$64,MATCH($A90,Mortality_Matrix!$A$4:$A$64,0),MATCH(2060,Mortality_Matrix!$B$3:$BS$3,0)))/INDEX(Mortality_Matrix!$B$4:$BS$64,MATCH($A90,Mortality_Matrix!$A$4:$A$64,0),MATCH(2060,Mortality_Matrix!$B$3:$BS$3,0))</f>
        <v>-2.22142664490306E-008</v>
      </c>
      <c r="AY90" s="27" t="n">
        <f aca="false">(AY24-INDEX(Mortality_Matrix!$B$4:$BS$64,MATCH($A90,Mortality_Matrix!$A$4:$A$64,0),MATCH(2061,Mortality_Matrix!$B$3:$BS$3,0)))/INDEX(Mortality_Matrix!$B$4:$BS$64,MATCH($A90,Mortality_Matrix!$A$4:$A$64,0),MATCH(2061,Mortality_Matrix!$B$3:$BS$3,0))</f>
        <v>1.80292162077387E-008</v>
      </c>
      <c r="AZ90" s="27" t="n">
        <f aca="false">(AZ24-INDEX(Mortality_Matrix!$B$4:$BS$64,MATCH($A90,Mortality_Matrix!$A$4:$A$64,0),MATCH(2062,Mortality_Matrix!$B$3:$BS$3,0)))/INDEX(Mortality_Matrix!$B$4:$BS$64,MATCH($A90,Mortality_Matrix!$A$4:$A$64,0),MATCH(2062,Mortality_Matrix!$B$3:$BS$3,0))</f>
        <v>1.32391637675223E-008</v>
      </c>
      <c r="BA90" s="27" t="n">
        <f aca="false">(BA24-INDEX(Mortality_Matrix!$B$4:$BS$64,MATCH($A90,Mortality_Matrix!$A$4:$A$64,0),MATCH(2063,Mortality_Matrix!$B$3:$BS$3,0)))/INDEX(Mortality_Matrix!$B$4:$BS$64,MATCH($A90,Mortality_Matrix!$A$4:$A$64,0),MATCH(2063,Mortality_Matrix!$B$3:$BS$3,0))</f>
        <v>-2.3090285420049E-008</v>
      </c>
      <c r="BB90" s="27" t="n">
        <f aca="false">(BB24-INDEX(Mortality_Matrix!$B$4:$BS$64,MATCH($A90,Mortality_Matrix!$A$4:$A$64,0),MATCH(2064,Mortality_Matrix!$B$3:$BS$3,0)))/INDEX(Mortality_Matrix!$B$4:$BS$64,MATCH($A90,Mortality_Matrix!$A$4:$A$64,0),MATCH(2064,Mortality_Matrix!$B$3:$BS$3,0))</f>
        <v>-2.27998705672771E-008</v>
      </c>
      <c r="BC90" s="27" t="n">
        <f aca="false">(BC24-INDEX(Mortality_Matrix!$B$4:$BS$64,MATCH($A90,Mortality_Matrix!$A$4:$A$64,0),MATCH(2065,Mortality_Matrix!$B$3:$BS$3,0)))/INDEX(Mortality_Matrix!$B$4:$BS$64,MATCH($A90,Mortality_Matrix!$A$4:$A$64,0),MATCH(2065,Mortality_Matrix!$B$3:$BS$3,0))</f>
        <v>2.23102581745702E-008</v>
      </c>
      <c r="BD90" s="27" t="n">
        <f aca="false">(BD24-INDEX(Mortality_Matrix!$B$4:$BS$64,MATCH($A90,Mortality_Matrix!$A$4:$A$64,0),MATCH(2066,Mortality_Matrix!$B$3:$BS$3,0)))/INDEX(Mortality_Matrix!$B$4:$BS$64,MATCH($A90,Mortality_Matrix!$A$4:$A$64,0),MATCH(2066,Mortality_Matrix!$B$3:$BS$3,0))</f>
        <v>-4.92853153056007E-009</v>
      </c>
      <c r="BE90" s="27" t="n">
        <f aca="false">(BE24-INDEX(Mortality_Matrix!$B$4:$BS$64,MATCH($A90,Mortality_Matrix!$A$4:$A$64,0),MATCH(2067,Mortality_Matrix!$B$3:$BS$3,0)))/INDEX(Mortality_Matrix!$B$4:$BS$64,MATCH($A90,Mortality_Matrix!$A$4:$A$64,0),MATCH(2067,Mortality_Matrix!$B$3:$BS$3,0))</f>
        <v>7.22689396592716E-009</v>
      </c>
      <c r="BF90" s="27" t="n">
        <f aca="false">(BF24-INDEX(Mortality_Matrix!$B$4:$BS$64,MATCH($A90,Mortality_Matrix!$A$4:$A$64,0),MATCH(2068,Mortality_Matrix!$B$3:$BS$3,0)))/INDEX(Mortality_Matrix!$B$4:$BS$64,MATCH($A90,Mortality_Matrix!$A$4:$A$64,0),MATCH(2068,Mortality_Matrix!$B$3:$BS$3,0))</f>
        <v>-1.56030928249166E-008</v>
      </c>
      <c r="BG90" s="27" t="n">
        <f aca="false">(BG24-INDEX(Mortality_Matrix!$B$4:$BS$64,MATCH($A90,Mortality_Matrix!$A$4:$A$64,0),MATCH(2069,Mortality_Matrix!$B$3:$BS$3,0)))/INDEX(Mortality_Matrix!$B$4:$BS$64,MATCH($A90,Mortality_Matrix!$A$4:$A$64,0),MATCH(2069,Mortality_Matrix!$B$3:$BS$3,0))</f>
        <v>2.66804614200332E-008</v>
      </c>
      <c r="BH90" s="27" t="n">
        <f aca="false">(BH24-INDEX(Mortality_Matrix!$B$4:$BS$64,MATCH($A90,Mortality_Matrix!$A$4:$A$64,0),MATCH(2070,Mortality_Matrix!$B$3:$BS$3,0)))/INDEX(Mortality_Matrix!$B$4:$BS$64,MATCH($A90,Mortality_Matrix!$A$4:$A$64,0),MATCH(2070,Mortality_Matrix!$B$3:$BS$3,0))</f>
        <v>-2.38785539548831E-008</v>
      </c>
      <c r="BI90" s="27" t="n">
        <f aca="false">(BI24-INDEX(Mortality_Matrix!$B$4:$BS$64,MATCH($A90,Mortality_Matrix!$A$4:$A$64,0),MATCH(2071,Mortality_Matrix!$B$3:$BS$3,0)))/INDEX(Mortality_Matrix!$B$4:$BS$64,MATCH($A90,Mortality_Matrix!$A$4:$A$64,0),MATCH(2071,Mortality_Matrix!$B$3:$BS$3,0))</f>
        <v>-2.29100833223546E-008</v>
      </c>
      <c r="BJ90" s="27" t="n">
        <f aca="false">(BJ24-INDEX(Mortality_Matrix!$B$4:$BS$64,MATCH($A90,Mortality_Matrix!$A$4:$A$64,0),MATCH(2072,Mortality_Matrix!$B$3:$BS$3,0)))/INDEX(Mortality_Matrix!$B$4:$BS$64,MATCH($A90,Mortality_Matrix!$A$4:$A$64,0),MATCH(2072,Mortality_Matrix!$B$3:$BS$3,0))</f>
        <v>-2.55320005429717E-008</v>
      </c>
      <c r="BK90" s="27" t="n">
        <f aca="false">(BK24-INDEX(Mortality_Matrix!$B$4:$BS$64,MATCH($A90,Mortality_Matrix!$A$4:$A$64,0),MATCH(2073,Mortality_Matrix!$B$3:$BS$3,0)))/INDEX(Mortality_Matrix!$B$4:$BS$64,MATCH($A90,Mortality_Matrix!$A$4:$A$64,0),MATCH(2073,Mortality_Matrix!$B$3:$BS$3,0))</f>
        <v>3.00340161092619E-008</v>
      </c>
      <c r="BL90" s="27" t="n">
        <f aca="false">(BL24-INDEX(Mortality_Matrix!$B$4:$BS$64,MATCH($A90,Mortality_Matrix!$A$4:$A$64,0),MATCH(2074,Mortality_Matrix!$B$3:$BS$3,0)))/INDEX(Mortality_Matrix!$B$4:$BS$64,MATCH($A90,Mortality_Matrix!$A$4:$A$64,0),MATCH(2074,Mortality_Matrix!$B$3:$BS$3,0))</f>
        <v>-7.12372094382065E-009</v>
      </c>
      <c r="BM90" s="27" t="n">
        <f aca="false">(BM24-INDEX(Mortality_Matrix!$B$4:$BS$64,MATCH($A90,Mortality_Matrix!$A$4:$A$64,0),MATCH(2075,Mortality_Matrix!$B$3:$BS$3,0)))/INDEX(Mortality_Matrix!$B$4:$BS$64,MATCH($A90,Mortality_Matrix!$A$4:$A$64,0),MATCH(2075,Mortality_Matrix!$B$3:$BS$3,0))</f>
        <v>3.09428117680203E-008</v>
      </c>
      <c r="BN90" s="27" t="n">
        <f aca="false">(BN24-INDEX(Mortality_Matrix!$B$4:$BS$64,MATCH($A90,Mortality_Matrix!$A$4:$A$64,0),MATCH(2076,Mortality_Matrix!$B$3:$BS$3,0)))/INDEX(Mortality_Matrix!$B$4:$BS$64,MATCH($A90,Mortality_Matrix!$A$4:$A$64,0),MATCH(2076,Mortality_Matrix!$B$3:$BS$3,0))</f>
        <v>2.81574981541483E-008</v>
      </c>
      <c r="BO90" s="27" t="n">
        <f aca="false">(BO24-INDEX(Mortality_Matrix!$B$4:$BS$64,MATCH($A90,Mortality_Matrix!$A$4:$A$64,0),MATCH(2077,Mortality_Matrix!$B$3:$BS$3,0)))/INDEX(Mortality_Matrix!$B$4:$BS$64,MATCH($A90,Mortality_Matrix!$A$4:$A$64,0),MATCH(2077,Mortality_Matrix!$B$3:$BS$3,0))</f>
        <v>-1.42584445271834E-008</v>
      </c>
      <c r="BP90" s="27" t="n">
        <f aca="false">(BP24-INDEX(Mortality_Matrix!$B$4:$BS$64,MATCH($A90,Mortality_Matrix!$A$4:$A$64,0),MATCH(2078,Mortality_Matrix!$B$3:$BS$3,0)))/INDEX(Mortality_Matrix!$B$4:$BS$64,MATCH($A90,Mortality_Matrix!$A$4:$A$64,0),MATCH(2078,Mortality_Matrix!$B$3:$BS$3,0))</f>
        <v>3.05976708502723E-008</v>
      </c>
      <c r="BQ90" s="27" t="n">
        <f aca="false">(BQ24-INDEX(Mortality_Matrix!$B$4:$BS$64,MATCH($A90,Mortality_Matrix!$A$4:$A$64,0),MATCH(2079,Mortality_Matrix!$B$3:$BS$3,0)))/INDEX(Mortality_Matrix!$B$4:$BS$64,MATCH($A90,Mortality_Matrix!$A$4:$A$64,0),MATCH(2079,Mortality_Matrix!$B$3:$BS$3,0))</f>
        <v>-1.31199644315736E-008</v>
      </c>
      <c r="BR90" s="27" t="n">
        <f aca="false">(BR24-INDEX(Mortality_Matrix!$B$4:$BS$64,MATCH($A90,Mortality_Matrix!$A$4:$A$64,0),MATCH(2080,Mortality_Matrix!$B$3:$BS$3,0)))/INDEX(Mortality_Matrix!$B$4:$BS$64,MATCH($A90,Mortality_Matrix!$A$4:$A$64,0),MATCH(2080,Mortality_Matrix!$B$3:$BS$3,0))</f>
        <v>1.75785438928414E-008</v>
      </c>
      <c r="BS90" s="27" t="n">
        <f aca="false">(BS24-INDEX(Mortality_Matrix!$B$4:$BS$64,MATCH($A90,Mortality_Matrix!$A$4:$A$64,0),MATCH(2081,Mortality_Matrix!$B$3:$BS$3,0)))/INDEX(Mortality_Matrix!$B$4:$BS$64,MATCH($A90,Mortality_Matrix!$A$4:$A$64,0),MATCH(2081,Mortality_Matrix!$B$3:$BS$3,0))</f>
        <v>-2.59787543834657E-008</v>
      </c>
      <c r="BT90" s="27" t="n">
        <f aca="false">(BT24-INDEX(Mortality_Matrix!$B$4:$BS$64,MATCH($A90,Mortality_Matrix!$A$4:$A$64,0),MATCH(2082,Mortality_Matrix!$B$3:$BS$3,0)))/INDEX(Mortality_Matrix!$B$4:$BS$64,MATCH($A90,Mortality_Matrix!$A$4:$A$64,0),MATCH(2082,Mortality_Matrix!$B$3:$BS$3,0))</f>
        <v>-1.91169363173006E-008</v>
      </c>
      <c r="BU90" s="27" t="n">
        <f aca="false">(BU24-INDEX(Mortality_Matrix!$B$4:$BS$64,MATCH($A90,Mortality_Matrix!$A$4:$A$64,0),MATCH(2083,Mortality_Matrix!$B$3:$BS$3,0)))/INDEX(Mortality_Matrix!$B$4:$BS$64,MATCH($A90,Mortality_Matrix!$A$4:$A$64,0),MATCH(2083,Mortality_Matrix!$B$3:$BS$3,0))</f>
        <v>-7.89343219292374E-009</v>
      </c>
      <c r="BV90" s="27" t="n">
        <f aca="false">(BV24-INDEX(Mortality_Matrix!$B$4:$BS$64,MATCH($A90,Mortality_Matrix!$A$4:$A$64,0),MATCH(2084,Mortality_Matrix!$B$3:$BS$3,0)))/INDEX(Mortality_Matrix!$B$4:$BS$64,MATCH($A90,Mortality_Matrix!$A$4:$A$64,0),MATCH(2084,Mortality_Matrix!$B$3:$BS$3,0))</f>
        <v>1.25379432217758E-008</v>
      </c>
      <c r="BW90" s="27" t="n">
        <f aca="false">(BW24-INDEX(Mortality_Matrix!$B$4:$BS$64,MATCH($A90,Mortality_Matrix!$A$4:$A$64,0),MATCH(2085,Mortality_Matrix!$B$3:$BS$3,0)))/INDEX(Mortality_Matrix!$B$4:$BS$64,MATCH($A90,Mortality_Matrix!$A$4:$A$64,0),MATCH(2085,Mortality_Matrix!$B$3:$BS$3,0))</f>
        <v>2.13136220391858E-008</v>
      </c>
      <c r="BX90" s="27" t="n">
        <f aca="false">(BX24-INDEX(Mortality_Matrix!$B$4:$BS$64,MATCH($A90,Mortality_Matrix!$A$4:$A$64,0),MATCH(2086,Mortality_Matrix!$B$3:$BS$3,0)))/INDEX(Mortality_Matrix!$B$4:$BS$64,MATCH($A90,Mortality_Matrix!$A$4:$A$64,0),MATCH(2086,Mortality_Matrix!$B$3:$BS$3,0))</f>
        <v>-3.09273803638979E-008</v>
      </c>
      <c r="BY90" s="27" t="n">
        <f aca="false">(BY24-INDEX(Mortality_Matrix!$B$4:$BS$64,MATCH($A90,Mortality_Matrix!$A$4:$A$64,0),MATCH(2087,Mortality_Matrix!$B$3:$BS$3,0)))/INDEX(Mortality_Matrix!$B$4:$BS$64,MATCH($A90,Mortality_Matrix!$A$4:$A$64,0),MATCH(2087,Mortality_Matrix!$B$3:$BS$3,0))</f>
        <v>2.1698034260633E-008</v>
      </c>
      <c r="BZ90" s="27" t="n">
        <f aca="false">(BZ24-INDEX(Mortality_Matrix!$B$4:$BS$64,MATCH($A90,Mortality_Matrix!$A$4:$A$64,0),MATCH(2088,Mortality_Matrix!$B$3:$BS$3,0)))/INDEX(Mortality_Matrix!$B$4:$BS$64,MATCH($A90,Mortality_Matrix!$A$4:$A$64,0),MATCH(2088,Mortality_Matrix!$B$3:$BS$3,0))</f>
        <v>-8.35455085261253E-009</v>
      </c>
      <c r="CA90" s="27" t="n">
        <f aca="false">(CA24-INDEX(Mortality_Matrix!$B$4:$BS$64,MATCH($A90,Mortality_Matrix!$A$4:$A$64,0),MATCH(2089,Mortality_Matrix!$B$3:$BS$3,0)))/INDEX(Mortality_Matrix!$B$4:$BS$64,MATCH($A90,Mortality_Matrix!$A$4:$A$64,0),MATCH(2089,Mortality_Matrix!$B$3:$BS$3,0))</f>
        <v>-1.21683306797277E-008</v>
      </c>
      <c r="CB90" s="27" t="n">
        <f aca="false">(CB24-INDEX(Mortality_Matrix!$B$4:$BS$64,MATCH($A90,Mortality_Matrix!$A$4:$A$64,0),MATCH(2090,Mortality_Matrix!$B$3:$BS$3,0)))/INDEX(Mortality_Matrix!$B$4:$BS$64,MATCH($A90,Mortality_Matrix!$A$4:$A$64,0),MATCH(2090,Mortality_Matrix!$B$3:$BS$3,0))</f>
        <v>7.62116384076829E-009</v>
      </c>
      <c r="CC90" s="27" t="n">
        <f aca="false">(CC24-INDEX(Mortality_Matrix!$B$4:$BS$64,MATCH($A90,Mortality_Matrix!$A$4:$A$64,0),MATCH(2091,Mortality_Matrix!$B$3:$BS$3,0)))/INDEX(Mortality_Matrix!$B$4:$BS$64,MATCH($A90,Mortality_Matrix!$A$4:$A$64,0),MATCH(2091,Mortality_Matrix!$B$3:$BS$3,0))</f>
        <v>1.46092882854848E-008</v>
      </c>
    </row>
    <row r="91" customFormat="false" ht="15" hidden="false" customHeight="true" outlineLevel="0" collapsed="false">
      <c r="A91" s="3" t="n">
        <v>62</v>
      </c>
      <c r="L91" s="27" t="n">
        <f aca="false">(L25-INDEX(Mortality_Matrix!$B$4:$BS$64,MATCH($A91,Mortality_Matrix!$A$4:$A$64,0),MATCH(2022,Mortality_Matrix!$B$3:$BS$3,0)))/INDEX(Mortality_Matrix!$B$4:$BS$64,MATCH($A91,Mortality_Matrix!$A$4:$A$64,0),MATCH(2022,Mortality_Matrix!$B$3:$BS$3,0))</f>
        <v>-4.84269969069017E-009</v>
      </c>
      <c r="M91" s="27" t="n">
        <f aca="false">(M25-INDEX(Mortality_Matrix!$B$4:$BS$64,MATCH($A91,Mortality_Matrix!$A$4:$A$64,0),MATCH(2023,Mortality_Matrix!$B$3:$BS$3,0)))/INDEX(Mortality_Matrix!$B$4:$BS$64,MATCH($A91,Mortality_Matrix!$A$4:$A$64,0),MATCH(2023,Mortality_Matrix!$B$3:$BS$3,0))</f>
        <v>4.28805558241063E-009</v>
      </c>
      <c r="N91" s="27" t="n">
        <f aca="false">(N25-INDEX(Mortality_Matrix!$B$4:$BS$64,MATCH($A91,Mortality_Matrix!$A$4:$A$64,0),MATCH(2024,Mortality_Matrix!$B$3:$BS$3,0)))/INDEX(Mortality_Matrix!$B$4:$BS$64,MATCH($A91,Mortality_Matrix!$A$4:$A$64,0),MATCH(2024,Mortality_Matrix!$B$3:$BS$3,0))</f>
        <v>1.20394975770394E-008</v>
      </c>
      <c r="O91" s="27" t="n">
        <f aca="false">(O25-INDEX(Mortality_Matrix!$B$4:$BS$64,MATCH($A91,Mortality_Matrix!$A$4:$A$64,0),MATCH(2025,Mortality_Matrix!$B$3:$BS$3,0)))/INDEX(Mortality_Matrix!$B$4:$BS$64,MATCH($A91,Mortality_Matrix!$A$4:$A$64,0),MATCH(2025,Mortality_Matrix!$B$3:$BS$3,0))</f>
        <v>3.75854562903078E-009</v>
      </c>
      <c r="P91" s="27" t="n">
        <f aca="false">(P25-INDEX(Mortality_Matrix!$B$4:$BS$64,MATCH($A91,Mortality_Matrix!$A$4:$A$64,0),MATCH(2026,Mortality_Matrix!$B$3:$BS$3,0)))/INDEX(Mortality_Matrix!$B$4:$BS$64,MATCH($A91,Mortality_Matrix!$A$4:$A$64,0),MATCH(2026,Mortality_Matrix!$B$3:$BS$3,0))</f>
        <v>1.07861328072728E-008</v>
      </c>
      <c r="Q91" s="27" t="n">
        <f aca="false">(Q25-INDEX(Mortality_Matrix!$B$4:$BS$64,MATCH($A91,Mortality_Matrix!$A$4:$A$64,0),MATCH(2027,Mortality_Matrix!$B$3:$BS$3,0)))/INDEX(Mortality_Matrix!$B$4:$BS$64,MATCH($A91,Mortality_Matrix!$A$4:$A$64,0),MATCH(2027,Mortality_Matrix!$B$3:$BS$3,0))</f>
        <v>2.20215644036674E-010</v>
      </c>
      <c r="R91" s="27" t="n">
        <f aca="false">(R25-INDEX(Mortality_Matrix!$B$4:$BS$64,MATCH($A91,Mortality_Matrix!$A$4:$A$64,0),MATCH(2028,Mortality_Matrix!$B$3:$BS$3,0)))/INDEX(Mortality_Matrix!$B$4:$BS$64,MATCH($A91,Mortality_Matrix!$A$4:$A$64,0),MATCH(2028,Mortality_Matrix!$B$3:$BS$3,0))</f>
        <v>1.37935335756302E-008</v>
      </c>
      <c r="S91" s="27" t="n">
        <f aca="false">(S25-INDEX(Mortality_Matrix!$B$4:$BS$64,MATCH($A91,Mortality_Matrix!$A$4:$A$64,0),MATCH(2029,Mortality_Matrix!$B$3:$BS$3,0)))/INDEX(Mortality_Matrix!$B$4:$BS$64,MATCH($A91,Mortality_Matrix!$A$4:$A$64,0),MATCH(2029,Mortality_Matrix!$B$3:$BS$3,0))</f>
        <v>9.06019254928948E-009</v>
      </c>
      <c r="T91" s="27" t="n">
        <f aca="false">(T25-INDEX(Mortality_Matrix!$B$4:$BS$64,MATCH($A91,Mortality_Matrix!$A$4:$A$64,0),MATCH(2030,Mortality_Matrix!$B$3:$BS$3,0)))/INDEX(Mortality_Matrix!$B$4:$BS$64,MATCH($A91,Mortality_Matrix!$A$4:$A$64,0),MATCH(2030,Mortality_Matrix!$B$3:$BS$3,0))</f>
        <v>5.61788953478479E-009</v>
      </c>
      <c r="U91" s="27" t="n">
        <f aca="false">(U25-INDEX(Mortality_Matrix!$B$4:$BS$64,MATCH($A91,Mortality_Matrix!$A$4:$A$64,0),MATCH(2031,Mortality_Matrix!$B$3:$BS$3,0)))/INDEX(Mortality_Matrix!$B$4:$BS$64,MATCH($A91,Mortality_Matrix!$A$4:$A$64,0),MATCH(2031,Mortality_Matrix!$B$3:$BS$3,0))</f>
        <v>1.2087204412368E-008</v>
      </c>
      <c r="V91" s="27" t="n">
        <f aca="false">(V25-INDEX(Mortality_Matrix!$B$4:$BS$64,MATCH($A91,Mortality_Matrix!$A$4:$A$64,0),MATCH(2032,Mortality_Matrix!$B$3:$BS$3,0)))/INDEX(Mortality_Matrix!$B$4:$BS$64,MATCH($A91,Mortality_Matrix!$A$4:$A$64,0),MATCH(2032,Mortality_Matrix!$B$3:$BS$3,0))</f>
        <v>-2.76038181623183E-009</v>
      </c>
      <c r="W91" s="27" t="n">
        <f aca="false">(W25-INDEX(Mortality_Matrix!$B$4:$BS$64,MATCH($A91,Mortality_Matrix!$A$4:$A$64,0),MATCH(2033,Mortality_Matrix!$B$3:$BS$3,0)))/INDEX(Mortality_Matrix!$B$4:$BS$64,MATCH($A91,Mortality_Matrix!$A$4:$A$64,0),MATCH(2033,Mortality_Matrix!$B$3:$BS$3,0))</f>
        <v>-6.01113870233558E-010</v>
      </c>
      <c r="X91" s="27" t="n">
        <f aca="false">(X25-INDEX(Mortality_Matrix!$B$4:$BS$64,MATCH($A91,Mortality_Matrix!$A$4:$A$64,0),MATCH(2034,Mortality_Matrix!$B$3:$BS$3,0)))/INDEX(Mortality_Matrix!$B$4:$BS$64,MATCH($A91,Mortality_Matrix!$A$4:$A$64,0),MATCH(2034,Mortality_Matrix!$B$3:$BS$3,0))</f>
        <v>1.55138147651242E-008</v>
      </c>
      <c r="Y91" s="27" t="n">
        <f aca="false">(Y25-INDEX(Mortality_Matrix!$B$4:$BS$64,MATCH($A91,Mortality_Matrix!$A$4:$A$64,0),MATCH(2035,Mortality_Matrix!$B$3:$BS$3,0)))/INDEX(Mortality_Matrix!$B$4:$BS$64,MATCH($A91,Mortality_Matrix!$A$4:$A$64,0),MATCH(2035,Mortality_Matrix!$B$3:$BS$3,0))</f>
        <v>-8.7861955504951E-009</v>
      </c>
      <c r="Z91" s="27" t="n">
        <f aca="false">(Z25-INDEX(Mortality_Matrix!$B$4:$BS$64,MATCH($A91,Mortality_Matrix!$A$4:$A$64,0),MATCH(2036,Mortality_Matrix!$B$3:$BS$3,0)))/INDEX(Mortality_Matrix!$B$4:$BS$64,MATCH($A91,Mortality_Matrix!$A$4:$A$64,0),MATCH(2036,Mortality_Matrix!$B$3:$BS$3,0))</f>
        <v>-2.64370420590098E-009</v>
      </c>
      <c r="AA91" s="27" t="n">
        <f aca="false">(AA25-INDEX(Mortality_Matrix!$B$4:$BS$64,MATCH($A91,Mortality_Matrix!$A$4:$A$64,0),MATCH(2037,Mortality_Matrix!$B$3:$BS$3,0)))/INDEX(Mortality_Matrix!$B$4:$BS$64,MATCH($A91,Mortality_Matrix!$A$4:$A$64,0),MATCH(2037,Mortality_Matrix!$B$3:$BS$3,0))</f>
        <v>1.53271659129569E-008</v>
      </c>
      <c r="AB91" s="27" t="n">
        <f aca="false">(AB25-INDEX(Mortality_Matrix!$B$4:$BS$64,MATCH($A91,Mortality_Matrix!$A$4:$A$64,0),MATCH(2038,Mortality_Matrix!$B$3:$BS$3,0)))/INDEX(Mortality_Matrix!$B$4:$BS$64,MATCH($A91,Mortality_Matrix!$A$4:$A$64,0),MATCH(2038,Mortality_Matrix!$B$3:$BS$3,0))</f>
        <v>5.12552173942966E-009</v>
      </c>
      <c r="AC91" s="27" t="n">
        <f aca="false">(AC25-INDEX(Mortality_Matrix!$B$4:$BS$64,MATCH($A91,Mortality_Matrix!$A$4:$A$64,0),MATCH(2039,Mortality_Matrix!$B$3:$BS$3,0)))/INDEX(Mortality_Matrix!$B$4:$BS$64,MATCH($A91,Mortality_Matrix!$A$4:$A$64,0),MATCH(2039,Mortality_Matrix!$B$3:$BS$3,0))</f>
        <v>9.94688331445674E-009</v>
      </c>
      <c r="AD91" s="27" t="n">
        <f aca="false">(AD25-INDEX(Mortality_Matrix!$B$4:$BS$64,MATCH($A91,Mortality_Matrix!$A$4:$A$64,0),MATCH(2040,Mortality_Matrix!$B$3:$BS$3,0)))/INDEX(Mortality_Matrix!$B$4:$BS$64,MATCH($A91,Mortality_Matrix!$A$4:$A$64,0),MATCH(2040,Mortality_Matrix!$B$3:$BS$3,0))</f>
        <v>1.59293963306117E-008</v>
      </c>
      <c r="AE91" s="27" t="n">
        <f aca="false">(AE25-INDEX(Mortality_Matrix!$B$4:$BS$64,MATCH($A91,Mortality_Matrix!$A$4:$A$64,0),MATCH(2041,Mortality_Matrix!$B$3:$BS$3,0)))/INDEX(Mortality_Matrix!$B$4:$BS$64,MATCH($A91,Mortality_Matrix!$A$4:$A$64,0),MATCH(2041,Mortality_Matrix!$B$3:$BS$3,0))</f>
        <v>-1.1493905578571E-008</v>
      </c>
      <c r="AF91" s="27" t="n">
        <f aca="false">(AF25-INDEX(Mortality_Matrix!$B$4:$BS$64,MATCH($A91,Mortality_Matrix!$A$4:$A$64,0),MATCH(2042,Mortality_Matrix!$B$3:$BS$3,0)))/INDEX(Mortality_Matrix!$B$4:$BS$64,MATCH($A91,Mortality_Matrix!$A$4:$A$64,0),MATCH(2042,Mortality_Matrix!$B$3:$BS$3,0))</f>
        <v>-1.78468660263253E-008</v>
      </c>
      <c r="AG91" s="27" t="n">
        <f aca="false">(AG25-INDEX(Mortality_Matrix!$B$4:$BS$64,MATCH($A91,Mortality_Matrix!$A$4:$A$64,0),MATCH(2043,Mortality_Matrix!$B$3:$BS$3,0)))/INDEX(Mortality_Matrix!$B$4:$BS$64,MATCH($A91,Mortality_Matrix!$A$4:$A$64,0),MATCH(2043,Mortality_Matrix!$B$3:$BS$3,0))</f>
        <v>-5.32684839988528E-009</v>
      </c>
      <c r="AH91" s="27" t="n">
        <f aca="false">(AH25-INDEX(Mortality_Matrix!$B$4:$BS$64,MATCH($A91,Mortality_Matrix!$A$4:$A$64,0),MATCH(2044,Mortality_Matrix!$B$3:$BS$3,0)))/INDEX(Mortality_Matrix!$B$4:$BS$64,MATCH($A91,Mortality_Matrix!$A$4:$A$64,0),MATCH(2044,Mortality_Matrix!$B$3:$BS$3,0))</f>
        <v>4.50732441184774E-010</v>
      </c>
      <c r="AI91" s="27" t="n">
        <f aca="false">(AI25-INDEX(Mortality_Matrix!$B$4:$BS$64,MATCH($A91,Mortality_Matrix!$A$4:$A$64,0),MATCH(2045,Mortality_Matrix!$B$3:$BS$3,0)))/INDEX(Mortality_Matrix!$B$4:$BS$64,MATCH($A91,Mortality_Matrix!$A$4:$A$64,0),MATCH(2045,Mortality_Matrix!$B$3:$BS$3,0))</f>
        <v>-1.30400655513459E-008</v>
      </c>
      <c r="AJ91" s="27" t="n">
        <f aca="false">(AJ25-INDEX(Mortality_Matrix!$B$4:$BS$64,MATCH($A91,Mortality_Matrix!$A$4:$A$64,0),MATCH(2046,Mortality_Matrix!$B$3:$BS$3,0)))/INDEX(Mortality_Matrix!$B$4:$BS$64,MATCH($A91,Mortality_Matrix!$A$4:$A$64,0),MATCH(2046,Mortality_Matrix!$B$3:$BS$3,0))</f>
        <v>-5.29871162712709E-009</v>
      </c>
      <c r="AK91" s="27" t="n">
        <f aca="false">(AK25-INDEX(Mortality_Matrix!$B$4:$BS$64,MATCH($A91,Mortality_Matrix!$A$4:$A$64,0),MATCH(2047,Mortality_Matrix!$B$3:$BS$3,0)))/INDEX(Mortality_Matrix!$B$4:$BS$64,MATCH($A91,Mortality_Matrix!$A$4:$A$64,0),MATCH(2047,Mortality_Matrix!$B$3:$BS$3,0))</f>
        <v>-4.62254631549691E-010</v>
      </c>
      <c r="AL91" s="27" t="n">
        <f aca="false">(AL25-INDEX(Mortality_Matrix!$B$4:$BS$64,MATCH($A91,Mortality_Matrix!$A$4:$A$64,0),MATCH(2048,Mortality_Matrix!$B$3:$BS$3,0)))/INDEX(Mortality_Matrix!$B$4:$BS$64,MATCH($A91,Mortality_Matrix!$A$4:$A$64,0),MATCH(2048,Mortality_Matrix!$B$3:$BS$3,0))</f>
        <v>-1.13054110572891E-008</v>
      </c>
      <c r="AM91" s="27" t="n">
        <f aca="false">(AM25-INDEX(Mortality_Matrix!$B$4:$BS$64,MATCH($A91,Mortality_Matrix!$A$4:$A$64,0),MATCH(2049,Mortality_Matrix!$B$3:$BS$3,0)))/INDEX(Mortality_Matrix!$B$4:$BS$64,MATCH($A91,Mortality_Matrix!$A$4:$A$64,0),MATCH(2049,Mortality_Matrix!$B$3:$BS$3,0))</f>
        <v>2.40301393523875E-009</v>
      </c>
      <c r="AN91" s="27" t="n">
        <f aca="false">(AN25-INDEX(Mortality_Matrix!$B$4:$BS$64,MATCH($A91,Mortality_Matrix!$A$4:$A$64,0),MATCH(2050,Mortality_Matrix!$B$3:$BS$3,0)))/INDEX(Mortality_Matrix!$B$4:$BS$64,MATCH($A91,Mortality_Matrix!$A$4:$A$64,0),MATCH(2050,Mortality_Matrix!$B$3:$BS$3,0))</f>
        <v>1.06268040023108E-008</v>
      </c>
      <c r="AO91" s="27" t="n">
        <f aca="false">(AO25-INDEX(Mortality_Matrix!$B$4:$BS$64,MATCH($A91,Mortality_Matrix!$A$4:$A$64,0),MATCH(2051,Mortality_Matrix!$B$3:$BS$3,0)))/INDEX(Mortality_Matrix!$B$4:$BS$64,MATCH($A91,Mortality_Matrix!$A$4:$A$64,0),MATCH(2051,Mortality_Matrix!$B$3:$BS$3,0))</f>
        <v>-7.56978966085101E-009</v>
      </c>
      <c r="AP91" s="27" t="n">
        <f aca="false">(AP25-INDEX(Mortality_Matrix!$B$4:$BS$64,MATCH($A91,Mortality_Matrix!$A$4:$A$64,0),MATCH(2052,Mortality_Matrix!$B$3:$BS$3,0)))/INDEX(Mortality_Matrix!$B$4:$BS$64,MATCH($A91,Mortality_Matrix!$A$4:$A$64,0),MATCH(2052,Mortality_Matrix!$B$3:$BS$3,0))</f>
        <v>-2.06100474158513E-008</v>
      </c>
      <c r="AQ91" s="27" t="n">
        <f aca="false">(AQ25-INDEX(Mortality_Matrix!$B$4:$BS$64,MATCH($A91,Mortality_Matrix!$A$4:$A$64,0),MATCH(2053,Mortality_Matrix!$B$3:$BS$3,0)))/INDEX(Mortality_Matrix!$B$4:$BS$64,MATCH($A91,Mortality_Matrix!$A$4:$A$64,0),MATCH(2053,Mortality_Matrix!$B$3:$BS$3,0))</f>
        <v>1.46935276412557E-008</v>
      </c>
      <c r="AR91" s="27" t="n">
        <f aca="false">(AR25-INDEX(Mortality_Matrix!$B$4:$BS$64,MATCH($A91,Mortality_Matrix!$A$4:$A$64,0),MATCH(2054,Mortality_Matrix!$B$3:$BS$3,0)))/INDEX(Mortality_Matrix!$B$4:$BS$64,MATCH($A91,Mortality_Matrix!$A$4:$A$64,0),MATCH(2054,Mortality_Matrix!$B$3:$BS$3,0))</f>
        <v>1.87256620591945E-008</v>
      </c>
      <c r="AS91" s="27" t="n">
        <f aca="false">(AS25-INDEX(Mortality_Matrix!$B$4:$BS$64,MATCH($A91,Mortality_Matrix!$A$4:$A$64,0),MATCH(2055,Mortality_Matrix!$B$3:$BS$3,0)))/INDEX(Mortality_Matrix!$B$4:$BS$64,MATCH($A91,Mortality_Matrix!$A$4:$A$64,0),MATCH(2055,Mortality_Matrix!$B$3:$BS$3,0))</f>
        <v>6.21763113785961E-009</v>
      </c>
      <c r="AT91" s="27" t="n">
        <f aca="false">(AT25-INDEX(Mortality_Matrix!$B$4:$BS$64,MATCH($A91,Mortality_Matrix!$A$4:$A$64,0),MATCH(2056,Mortality_Matrix!$B$3:$BS$3,0)))/INDEX(Mortality_Matrix!$B$4:$BS$64,MATCH($A91,Mortality_Matrix!$A$4:$A$64,0),MATCH(2056,Mortality_Matrix!$B$3:$BS$3,0))</f>
        <v>4.45581672267655E-010</v>
      </c>
      <c r="AU91" s="27" t="n">
        <f aca="false">(AU25-INDEX(Mortality_Matrix!$B$4:$BS$64,MATCH($A91,Mortality_Matrix!$A$4:$A$64,0),MATCH(2057,Mortality_Matrix!$B$3:$BS$3,0)))/INDEX(Mortality_Matrix!$B$4:$BS$64,MATCH($A91,Mortality_Matrix!$A$4:$A$64,0),MATCH(2057,Mortality_Matrix!$B$3:$BS$3,0))</f>
        <v>-1.38526922655844E-008</v>
      </c>
      <c r="AV91" s="27" t="n">
        <f aca="false">(AV25-INDEX(Mortality_Matrix!$B$4:$BS$64,MATCH($A91,Mortality_Matrix!$A$4:$A$64,0),MATCH(2058,Mortality_Matrix!$B$3:$BS$3,0)))/INDEX(Mortality_Matrix!$B$4:$BS$64,MATCH($A91,Mortality_Matrix!$A$4:$A$64,0),MATCH(2058,Mortality_Matrix!$B$3:$BS$3,0))</f>
        <v>9.01289290020855E-010</v>
      </c>
      <c r="AW91" s="27" t="n">
        <f aca="false">(AW25-INDEX(Mortality_Matrix!$B$4:$BS$64,MATCH($A91,Mortality_Matrix!$A$4:$A$64,0),MATCH(2059,Mortality_Matrix!$B$3:$BS$3,0)))/INDEX(Mortality_Matrix!$B$4:$BS$64,MATCH($A91,Mortality_Matrix!$A$4:$A$64,0),MATCH(2059,Mortality_Matrix!$B$3:$BS$3,0))</f>
        <v>-6.58804154151476E-009</v>
      </c>
      <c r="AX91" s="27" t="n">
        <f aca="false">(AX25-INDEX(Mortality_Matrix!$B$4:$BS$64,MATCH($A91,Mortality_Matrix!$A$4:$A$64,0),MATCH(2060,Mortality_Matrix!$B$3:$BS$3,0)))/INDEX(Mortality_Matrix!$B$4:$BS$64,MATCH($A91,Mortality_Matrix!$A$4:$A$64,0),MATCH(2060,Mortality_Matrix!$B$3:$BS$3,0))</f>
        <v>1.20525070661722E-008</v>
      </c>
      <c r="AY91" s="27" t="n">
        <f aca="false">(AY25-INDEX(Mortality_Matrix!$B$4:$BS$64,MATCH($A91,Mortality_Matrix!$A$4:$A$64,0),MATCH(2061,Mortality_Matrix!$B$3:$BS$3,0)))/INDEX(Mortality_Matrix!$B$4:$BS$64,MATCH($A91,Mortality_Matrix!$A$4:$A$64,0),MATCH(2061,Mortality_Matrix!$B$3:$BS$3,0))</f>
        <v>1.25505179572749E-008</v>
      </c>
      <c r="AZ91" s="27" t="n">
        <f aca="false">(AZ25-INDEX(Mortality_Matrix!$B$4:$BS$64,MATCH($A91,Mortality_Matrix!$A$4:$A$64,0),MATCH(2062,Mortality_Matrix!$B$3:$BS$3,0)))/INDEX(Mortality_Matrix!$B$4:$BS$64,MATCH($A91,Mortality_Matrix!$A$4:$A$64,0),MATCH(2062,Mortality_Matrix!$B$3:$BS$3,0))</f>
        <v>1.68022883303816E-009</v>
      </c>
      <c r="BA91" s="27" t="n">
        <f aca="false">(BA25-INDEX(Mortality_Matrix!$B$4:$BS$64,MATCH($A91,Mortality_Matrix!$A$4:$A$64,0),MATCH(2063,Mortality_Matrix!$B$3:$BS$3,0)))/INDEX(Mortality_Matrix!$B$4:$BS$64,MATCH($A91,Mortality_Matrix!$A$4:$A$64,0),MATCH(2063,Mortality_Matrix!$B$3:$BS$3,0))</f>
        <v>-1.08954803076343E-008</v>
      </c>
      <c r="BB91" s="27" t="n">
        <f aca="false">(BB25-INDEX(Mortality_Matrix!$B$4:$BS$64,MATCH($A91,Mortality_Matrix!$A$4:$A$64,0),MATCH(2064,Mortality_Matrix!$B$3:$BS$3,0)))/INDEX(Mortality_Matrix!$B$4:$BS$64,MATCH($A91,Mortality_Matrix!$A$4:$A$64,0),MATCH(2064,Mortality_Matrix!$B$3:$BS$3,0))</f>
        <v>-1.32404793166652E-008</v>
      </c>
      <c r="BC91" s="27" t="n">
        <f aca="false">(BC25-INDEX(Mortality_Matrix!$B$4:$BS$64,MATCH($A91,Mortality_Matrix!$A$4:$A$64,0),MATCH(2065,Mortality_Matrix!$B$3:$BS$3,0)))/INDEX(Mortality_Matrix!$B$4:$BS$64,MATCH($A91,Mortality_Matrix!$A$4:$A$64,0),MATCH(2065,Mortality_Matrix!$B$3:$BS$3,0))</f>
        <v>8.18590838627251E-009</v>
      </c>
      <c r="BD91" s="27" t="n">
        <f aca="false">(BD25-INDEX(Mortality_Matrix!$B$4:$BS$64,MATCH($A91,Mortality_Matrix!$A$4:$A$64,0),MATCH(2066,Mortality_Matrix!$B$3:$BS$3,0)))/INDEX(Mortality_Matrix!$B$4:$BS$64,MATCH($A91,Mortality_Matrix!$A$4:$A$64,0),MATCH(2066,Mortality_Matrix!$B$3:$BS$3,0))</f>
        <v>1.40940432934128E-008</v>
      </c>
      <c r="BE91" s="27" t="n">
        <f aca="false">(BE25-INDEX(Mortality_Matrix!$B$4:$BS$64,MATCH($A91,Mortality_Matrix!$A$4:$A$64,0),MATCH(2067,Mortality_Matrix!$B$3:$BS$3,0)))/INDEX(Mortality_Matrix!$B$4:$BS$64,MATCH($A91,Mortality_Matrix!$A$4:$A$64,0),MATCH(2067,Mortality_Matrix!$B$3:$BS$3,0))</f>
        <v>1.65478140651049E-008</v>
      </c>
      <c r="BF91" s="27" t="n">
        <f aca="false">(BF25-INDEX(Mortality_Matrix!$B$4:$BS$64,MATCH($A91,Mortality_Matrix!$A$4:$A$64,0),MATCH(2068,Mortality_Matrix!$B$3:$BS$3,0)))/INDEX(Mortality_Matrix!$B$4:$BS$64,MATCH($A91,Mortality_Matrix!$A$4:$A$64,0),MATCH(2068,Mortality_Matrix!$B$3:$BS$3,0))</f>
        <v>2.67891590632378E-008</v>
      </c>
      <c r="BG91" s="27" t="n">
        <f aca="false">(BG25-INDEX(Mortality_Matrix!$B$4:$BS$64,MATCH($A91,Mortality_Matrix!$A$4:$A$64,0),MATCH(2069,Mortality_Matrix!$B$3:$BS$3,0)))/INDEX(Mortality_Matrix!$B$4:$BS$64,MATCH($A91,Mortality_Matrix!$A$4:$A$64,0),MATCH(2069,Mortality_Matrix!$B$3:$BS$3,0))</f>
        <v>-1.87367989831005E-009</v>
      </c>
      <c r="BH91" s="27" t="n">
        <f aca="false">(BH25-INDEX(Mortality_Matrix!$B$4:$BS$64,MATCH($A91,Mortality_Matrix!$A$4:$A$64,0),MATCH(2070,Mortality_Matrix!$B$3:$BS$3,0)))/INDEX(Mortality_Matrix!$B$4:$BS$64,MATCH($A91,Mortality_Matrix!$A$4:$A$64,0),MATCH(2070,Mortality_Matrix!$B$3:$BS$3,0))</f>
        <v>-8.15000550795317E-009</v>
      </c>
      <c r="BI91" s="27" t="n">
        <f aca="false">(BI25-INDEX(Mortality_Matrix!$B$4:$BS$64,MATCH($A91,Mortality_Matrix!$A$4:$A$64,0),MATCH(2071,Mortality_Matrix!$B$3:$BS$3,0)))/INDEX(Mortality_Matrix!$B$4:$BS$64,MATCH($A91,Mortality_Matrix!$A$4:$A$64,0),MATCH(2071,Mortality_Matrix!$B$3:$BS$3,0))</f>
        <v>1.09657071599545E-008</v>
      </c>
      <c r="BJ91" s="27" t="n">
        <f aca="false">(BJ25-INDEX(Mortality_Matrix!$B$4:$BS$64,MATCH($A91,Mortality_Matrix!$A$4:$A$64,0),MATCH(2072,Mortality_Matrix!$B$3:$BS$3,0)))/INDEX(Mortality_Matrix!$B$4:$BS$64,MATCH($A91,Mortality_Matrix!$A$4:$A$64,0),MATCH(2072,Mortality_Matrix!$B$3:$BS$3,0))</f>
        <v>-5.2066387945602E-009</v>
      </c>
      <c r="BK91" s="27" t="n">
        <f aca="false">(BK25-INDEX(Mortality_Matrix!$B$4:$BS$64,MATCH($A91,Mortality_Matrix!$A$4:$A$64,0),MATCH(2073,Mortality_Matrix!$B$3:$BS$3,0)))/INDEX(Mortality_Matrix!$B$4:$BS$64,MATCH($A91,Mortality_Matrix!$A$4:$A$64,0),MATCH(2073,Mortality_Matrix!$B$3:$BS$3,0))</f>
        <v>-7.59480234080874E-009</v>
      </c>
      <c r="BL91" s="27" t="n">
        <f aca="false">(BL25-INDEX(Mortality_Matrix!$B$4:$BS$64,MATCH($A91,Mortality_Matrix!$A$4:$A$64,0),MATCH(2074,Mortality_Matrix!$B$3:$BS$3,0)))/INDEX(Mortality_Matrix!$B$4:$BS$64,MATCH($A91,Mortality_Matrix!$A$4:$A$64,0),MATCH(2074,Mortality_Matrix!$B$3:$BS$3,0))</f>
        <v>-1.15346662711354E-008</v>
      </c>
      <c r="BM91" s="27" t="n">
        <f aca="false">(BM25-INDEX(Mortality_Matrix!$B$4:$BS$64,MATCH($A91,Mortality_Matrix!$A$4:$A$64,0),MATCH(2075,Mortality_Matrix!$B$3:$BS$3,0)))/INDEX(Mortality_Matrix!$B$4:$BS$64,MATCH($A91,Mortality_Matrix!$A$4:$A$64,0),MATCH(2075,Mortality_Matrix!$B$3:$BS$3,0))</f>
        <v>2.04642286803636E-008</v>
      </c>
      <c r="BN91" s="27" t="n">
        <f aca="false">(BN25-INDEX(Mortality_Matrix!$B$4:$BS$64,MATCH($A91,Mortality_Matrix!$A$4:$A$64,0),MATCH(2076,Mortality_Matrix!$B$3:$BS$3,0)))/INDEX(Mortality_Matrix!$B$4:$BS$64,MATCH($A91,Mortality_Matrix!$A$4:$A$64,0),MATCH(2076,Mortality_Matrix!$B$3:$BS$3,0))</f>
        <v>-5.46224823791354E-009</v>
      </c>
      <c r="BO91" s="27" t="n">
        <f aca="false">(BO25-INDEX(Mortality_Matrix!$B$4:$BS$64,MATCH($A91,Mortality_Matrix!$A$4:$A$64,0),MATCH(2077,Mortality_Matrix!$B$3:$BS$3,0)))/INDEX(Mortality_Matrix!$B$4:$BS$64,MATCH($A91,Mortality_Matrix!$A$4:$A$64,0),MATCH(2077,Mortality_Matrix!$B$3:$BS$3,0))</f>
        <v>-8.31636464833312E-009</v>
      </c>
      <c r="BP91" s="27" t="n">
        <f aca="false">(BP25-INDEX(Mortality_Matrix!$B$4:$BS$64,MATCH($A91,Mortality_Matrix!$A$4:$A$64,0),MATCH(2078,Mortality_Matrix!$B$3:$BS$3,0)))/INDEX(Mortality_Matrix!$B$4:$BS$64,MATCH($A91,Mortality_Matrix!$A$4:$A$64,0),MATCH(2078,Mortality_Matrix!$B$3:$BS$3,0))</f>
        <v>2.29131106201759E-008</v>
      </c>
      <c r="BQ91" s="27" t="n">
        <f aca="false">(BQ25-INDEX(Mortality_Matrix!$B$4:$BS$64,MATCH($A91,Mortality_Matrix!$A$4:$A$64,0),MATCH(2079,Mortality_Matrix!$B$3:$BS$3,0)))/INDEX(Mortality_Matrix!$B$4:$BS$64,MATCH($A91,Mortality_Matrix!$A$4:$A$64,0),MATCH(2079,Mortality_Matrix!$B$3:$BS$3,0))</f>
        <v>2.29131106818377E-008</v>
      </c>
      <c r="BR91" s="27" t="n">
        <f aca="false">(BR25-INDEX(Mortality_Matrix!$B$4:$BS$64,MATCH($A91,Mortality_Matrix!$A$4:$A$64,0),MATCH(2080,Mortality_Matrix!$B$3:$BS$3,0)))/INDEX(Mortality_Matrix!$B$4:$BS$64,MATCH($A91,Mortality_Matrix!$A$4:$A$64,0),MATCH(2080,Mortality_Matrix!$B$3:$BS$3,0))</f>
        <v>-2.38754404268848E-008</v>
      </c>
      <c r="BS91" s="27" t="n">
        <f aca="false">(BS25-INDEX(Mortality_Matrix!$B$4:$BS$64,MATCH($A91,Mortality_Matrix!$A$4:$A$64,0),MATCH(2081,Mortality_Matrix!$B$3:$BS$3,0)))/INDEX(Mortality_Matrix!$B$4:$BS$64,MATCH($A91,Mortality_Matrix!$A$4:$A$64,0),MATCH(2081,Mortality_Matrix!$B$3:$BS$3,0))</f>
        <v>-1.27581697975189E-008</v>
      </c>
      <c r="BT91" s="27" t="n">
        <f aca="false">(BT25-INDEX(Mortality_Matrix!$B$4:$BS$64,MATCH($A91,Mortality_Matrix!$A$4:$A$64,0),MATCH(2082,Mortality_Matrix!$B$3:$BS$3,0)))/INDEX(Mortality_Matrix!$B$4:$BS$64,MATCH($A91,Mortality_Matrix!$A$4:$A$64,0),MATCH(2082,Mortality_Matrix!$B$3:$BS$3,0))</f>
        <v>1.59712800805662E-008</v>
      </c>
      <c r="BU91" s="27" t="n">
        <f aca="false">(BU25-INDEX(Mortality_Matrix!$B$4:$BS$64,MATCH($A91,Mortality_Matrix!$A$4:$A$64,0),MATCH(2083,Mortality_Matrix!$B$3:$BS$3,0)))/INDEX(Mortality_Matrix!$B$4:$BS$64,MATCH($A91,Mortality_Matrix!$A$4:$A$64,0),MATCH(2083,Mortality_Matrix!$B$3:$BS$3,0))</f>
        <v>3.81838237038862E-009</v>
      </c>
      <c r="BV91" s="27" t="n">
        <f aca="false">(BV25-INDEX(Mortality_Matrix!$B$4:$BS$64,MATCH($A91,Mortality_Matrix!$A$4:$A$64,0),MATCH(2084,Mortality_Matrix!$B$3:$BS$3,0)))/INDEX(Mortality_Matrix!$B$4:$BS$64,MATCH($A91,Mortality_Matrix!$A$4:$A$64,0),MATCH(2084,Mortality_Matrix!$B$3:$BS$3,0))</f>
        <v>1.29837295445399E-008</v>
      </c>
      <c r="BW91" s="27" t="n">
        <f aca="false">(BW25-INDEX(Mortality_Matrix!$B$4:$BS$64,MATCH($A91,Mortality_Matrix!$A$4:$A$64,0),MATCH(2085,Mortality_Matrix!$B$3:$BS$3,0)))/INDEX(Mortality_Matrix!$B$4:$BS$64,MATCH($A91,Mortality_Matrix!$A$4:$A$64,0),MATCH(2085,Mortality_Matrix!$B$3:$BS$3,0))</f>
        <v>2.01413611272509E-008</v>
      </c>
      <c r="BX91" s="27" t="n">
        <f aca="false">(BX25-INDEX(Mortality_Matrix!$B$4:$BS$64,MATCH($A91,Mortality_Matrix!$A$4:$A$64,0),MATCH(2086,Mortality_Matrix!$B$3:$BS$3,0)))/INDEX(Mortality_Matrix!$B$4:$BS$64,MATCH($A91,Mortality_Matrix!$A$4:$A$64,0),MATCH(2086,Mortality_Matrix!$B$3:$BS$3,0))</f>
        <v>-1.83717822150933E-008</v>
      </c>
      <c r="BY91" s="27" t="n">
        <f aca="false">(BY25-INDEX(Mortality_Matrix!$B$4:$BS$64,MATCH($A91,Mortality_Matrix!$A$4:$A$64,0),MATCH(2087,Mortality_Matrix!$B$3:$BS$3,0)))/INDEX(Mortality_Matrix!$B$4:$BS$64,MATCH($A91,Mortality_Matrix!$A$4:$A$64,0),MATCH(2087,Mortality_Matrix!$B$3:$BS$3,0))</f>
        <v>-2.13226983149417E-008</v>
      </c>
      <c r="BZ91" s="27" t="n">
        <f aca="false">(BZ25-INDEX(Mortality_Matrix!$B$4:$BS$64,MATCH($A91,Mortality_Matrix!$A$4:$A$64,0),MATCH(2088,Mortality_Matrix!$B$3:$BS$3,0)))/INDEX(Mortality_Matrix!$B$4:$BS$64,MATCH($A91,Mortality_Matrix!$A$4:$A$64,0),MATCH(2088,Mortality_Matrix!$B$3:$BS$3,0))</f>
        <v>1.52068710347856E-009</v>
      </c>
      <c r="CA91" s="27" t="n">
        <f aca="false">(CA25-INDEX(Mortality_Matrix!$B$4:$BS$64,MATCH($A91,Mortality_Matrix!$A$4:$A$64,0),MATCH(2089,Mortality_Matrix!$B$3:$BS$3,0)))/INDEX(Mortality_Matrix!$B$4:$BS$64,MATCH($A91,Mortality_Matrix!$A$4:$A$64,0),MATCH(2089,Mortality_Matrix!$B$3:$BS$3,0))</f>
        <v>1.74884364253579E-008</v>
      </c>
      <c r="CB91" s="27" t="n">
        <f aca="false">(CB25-INDEX(Mortality_Matrix!$B$4:$BS$64,MATCH($A91,Mortality_Matrix!$A$4:$A$64,0),MATCH(2090,Mortality_Matrix!$B$3:$BS$3,0)))/INDEX(Mortality_Matrix!$B$4:$BS$64,MATCH($A91,Mortality_Matrix!$A$4:$A$64,0),MATCH(2090,Mortality_Matrix!$B$3:$BS$3,0))</f>
        <v>-3.15302754185224E-008</v>
      </c>
      <c r="CC91" s="27" t="n">
        <f aca="false">(CC25-INDEX(Mortality_Matrix!$B$4:$BS$64,MATCH($A91,Mortality_Matrix!$A$4:$A$64,0),MATCH(2091,Mortality_Matrix!$B$3:$BS$3,0)))/INDEX(Mortality_Matrix!$B$4:$BS$64,MATCH($A91,Mortality_Matrix!$A$4:$A$64,0),MATCH(2091,Mortality_Matrix!$B$3:$BS$3,0))</f>
        <v>3.34454206343095E-009</v>
      </c>
    </row>
    <row r="92" customFormat="false" ht="15" hidden="false" customHeight="true" outlineLevel="0" collapsed="false">
      <c r="A92" s="3" t="n">
        <v>63</v>
      </c>
      <c r="L92" s="27" t="n">
        <f aca="false">(L26-INDEX(Mortality_Matrix!$B$4:$BS$64,MATCH($A92,Mortality_Matrix!$A$4:$A$64,0),MATCH(2022,Mortality_Matrix!$B$3:$BS$3,0)))/INDEX(Mortality_Matrix!$B$4:$BS$64,MATCH($A92,Mortality_Matrix!$A$4:$A$64,0),MATCH(2022,Mortality_Matrix!$B$3:$BS$3,0))</f>
        <v>2.1541330729458E-009</v>
      </c>
      <c r="M92" s="27" t="n">
        <f aca="false">(M26-INDEX(Mortality_Matrix!$B$4:$BS$64,MATCH($A92,Mortality_Matrix!$A$4:$A$64,0),MATCH(2023,Mortality_Matrix!$B$3:$BS$3,0)))/INDEX(Mortality_Matrix!$B$4:$BS$64,MATCH($A92,Mortality_Matrix!$A$4:$A$64,0),MATCH(2023,Mortality_Matrix!$B$3:$BS$3,0))</f>
        <v>-1.27875073264464E-009</v>
      </c>
      <c r="N92" s="27" t="n">
        <f aca="false">(N26-INDEX(Mortality_Matrix!$B$4:$BS$64,MATCH($A92,Mortality_Matrix!$A$4:$A$64,0),MATCH(2024,Mortality_Matrix!$B$3:$BS$3,0)))/INDEX(Mortality_Matrix!$B$4:$BS$64,MATCH($A92,Mortality_Matrix!$A$4:$A$64,0),MATCH(2024,Mortality_Matrix!$B$3:$BS$3,0))</f>
        <v>1.14600722169549E-008</v>
      </c>
      <c r="O92" s="27" t="n">
        <f aca="false">(O26-INDEX(Mortality_Matrix!$B$4:$BS$64,MATCH($A92,Mortality_Matrix!$A$4:$A$64,0),MATCH(2025,Mortality_Matrix!$B$3:$BS$3,0)))/INDEX(Mortality_Matrix!$B$4:$BS$64,MATCH($A92,Mortality_Matrix!$A$4:$A$64,0),MATCH(2025,Mortality_Matrix!$B$3:$BS$3,0))</f>
        <v>9.90123178335683E-009</v>
      </c>
      <c r="P92" s="27" t="n">
        <f aca="false">(P26-INDEX(Mortality_Matrix!$B$4:$BS$64,MATCH($A92,Mortality_Matrix!$A$4:$A$64,0),MATCH(2026,Mortality_Matrix!$B$3:$BS$3,0)))/INDEX(Mortality_Matrix!$B$4:$BS$64,MATCH($A92,Mortality_Matrix!$A$4:$A$64,0),MATCH(2026,Mortality_Matrix!$B$3:$BS$3,0))</f>
        <v>-4.52018460610421E-009</v>
      </c>
      <c r="Q92" s="27" t="n">
        <f aca="false">(Q26-INDEX(Mortality_Matrix!$B$4:$BS$64,MATCH($A92,Mortality_Matrix!$A$4:$A$64,0),MATCH(2027,Mortality_Matrix!$B$3:$BS$3,0)))/INDEX(Mortality_Matrix!$B$4:$BS$64,MATCH($A92,Mortality_Matrix!$A$4:$A$64,0),MATCH(2027,Mortality_Matrix!$B$3:$BS$3,0))</f>
        <v>-8.83876835066808E-009</v>
      </c>
      <c r="R92" s="27" t="n">
        <f aca="false">(R26-INDEX(Mortality_Matrix!$B$4:$BS$64,MATCH($A92,Mortality_Matrix!$A$4:$A$64,0),MATCH(2028,Mortality_Matrix!$B$3:$BS$3,0)))/INDEX(Mortality_Matrix!$B$4:$BS$64,MATCH($A92,Mortality_Matrix!$A$4:$A$64,0),MATCH(2028,Mortality_Matrix!$B$3:$BS$3,0))</f>
        <v>4.11037398524736E-009</v>
      </c>
      <c r="S92" s="27" t="n">
        <f aca="false">(S26-INDEX(Mortality_Matrix!$B$4:$BS$64,MATCH($A92,Mortality_Matrix!$A$4:$A$64,0),MATCH(2029,Mortality_Matrix!$B$3:$BS$3,0)))/INDEX(Mortality_Matrix!$B$4:$BS$64,MATCH($A92,Mortality_Matrix!$A$4:$A$64,0),MATCH(2029,Mortality_Matrix!$B$3:$BS$3,0))</f>
        <v>4.01864906246664E-009</v>
      </c>
      <c r="T92" s="27" t="n">
        <f aca="false">(T26-INDEX(Mortality_Matrix!$B$4:$BS$64,MATCH($A92,Mortality_Matrix!$A$4:$A$64,0),MATCH(2030,Mortality_Matrix!$B$3:$BS$3,0)))/INDEX(Mortality_Matrix!$B$4:$BS$64,MATCH($A92,Mortality_Matrix!$A$4:$A$64,0),MATCH(2030,Mortality_Matrix!$B$3:$BS$3,0))</f>
        <v>7.73666086486952E-009</v>
      </c>
      <c r="U92" s="27" t="n">
        <f aca="false">(U26-INDEX(Mortality_Matrix!$B$4:$BS$64,MATCH($A92,Mortality_Matrix!$A$4:$A$64,0),MATCH(2031,Mortality_Matrix!$B$3:$BS$3,0)))/INDEX(Mortality_Matrix!$B$4:$BS$64,MATCH($A92,Mortality_Matrix!$A$4:$A$64,0),MATCH(2031,Mortality_Matrix!$B$3:$BS$3,0))</f>
        <v>-1.58070852333271E-009</v>
      </c>
      <c r="V92" s="27" t="n">
        <f aca="false">(V26-INDEX(Mortality_Matrix!$B$4:$BS$64,MATCH($A92,Mortality_Matrix!$A$4:$A$64,0),MATCH(2032,Mortality_Matrix!$B$3:$BS$3,0)))/INDEX(Mortality_Matrix!$B$4:$BS$64,MATCH($A92,Mortality_Matrix!$A$4:$A$64,0),MATCH(2032,Mortality_Matrix!$B$3:$BS$3,0))</f>
        <v>-1.01833261068267E-008</v>
      </c>
      <c r="W92" s="27" t="n">
        <f aca="false">(W26-INDEX(Mortality_Matrix!$B$4:$BS$64,MATCH($A92,Mortality_Matrix!$A$4:$A$64,0),MATCH(2033,Mortality_Matrix!$B$3:$BS$3,0)))/INDEX(Mortality_Matrix!$B$4:$BS$64,MATCH($A92,Mortality_Matrix!$A$4:$A$64,0),MATCH(2033,Mortality_Matrix!$B$3:$BS$3,0))</f>
        <v>6.87052269954532E-011</v>
      </c>
      <c r="X92" s="27" t="n">
        <f aca="false">(X26-INDEX(Mortality_Matrix!$B$4:$BS$64,MATCH($A92,Mortality_Matrix!$A$4:$A$64,0),MATCH(2034,Mortality_Matrix!$B$3:$BS$3,0)))/INDEX(Mortality_Matrix!$B$4:$BS$64,MATCH($A92,Mortality_Matrix!$A$4:$A$64,0),MATCH(2034,Mortality_Matrix!$B$3:$BS$3,0))</f>
        <v>-8.32909995717993E-009</v>
      </c>
      <c r="Y92" s="27" t="n">
        <f aca="false">(Y26-INDEX(Mortality_Matrix!$B$4:$BS$64,MATCH($A92,Mortality_Matrix!$A$4:$A$64,0),MATCH(2035,Mortality_Matrix!$B$3:$BS$3,0)))/INDEX(Mortality_Matrix!$B$4:$BS$64,MATCH($A92,Mortality_Matrix!$A$4:$A$64,0),MATCH(2035,Mortality_Matrix!$B$3:$BS$3,0))</f>
        <v>-6.12583789626582E-009</v>
      </c>
      <c r="Z92" s="27" t="n">
        <f aca="false">(Z26-INDEX(Mortality_Matrix!$B$4:$BS$64,MATCH($A92,Mortality_Matrix!$A$4:$A$64,0),MATCH(2036,Mortality_Matrix!$B$3:$BS$3,0)))/INDEX(Mortality_Matrix!$B$4:$BS$64,MATCH($A92,Mortality_Matrix!$A$4:$A$64,0),MATCH(2036,Mortality_Matrix!$B$3:$BS$3,0))</f>
        <v>3.66362402718308E-009</v>
      </c>
      <c r="AA92" s="27" t="n">
        <f aca="false">(AA26-INDEX(Mortality_Matrix!$B$4:$BS$64,MATCH($A92,Mortality_Matrix!$A$4:$A$64,0),MATCH(2037,Mortality_Matrix!$B$3:$BS$3,0)))/INDEX(Mortality_Matrix!$B$4:$BS$64,MATCH($A92,Mortality_Matrix!$A$4:$A$64,0),MATCH(2037,Mortality_Matrix!$B$3:$BS$3,0))</f>
        <v>9.43974331896005E-009</v>
      </c>
      <c r="AB92" s="27" t="n">
        <f aca="false">(AB26-INDEX(Mortality_Matrix!$B$4:$BS$64,MATCH($A92,Mortality_Matrix!$A$4:$A$64,0),MATCH(2038,Mortality_Matrix!$B$3:$BS$3,0)))/INDEX(Mortality_Matrix!$B$4:$BS$64,MATCH($A92,Mortality_Matrix!$A$4:$A$64,0),MATCH(2038,Mortality_Matrix!$B$3:$BS$3,0))</f>
        <v>1.32244501375676E-008</v>
      </c>
      <c r="AC92" s="27" t="n">
        <f aca="false">(AC26-INDEX(Mortality_Matrix!$B$4:$BS$64,MATCH($A92,Mortality_Matrix!$A$4:$A$64,0),MATCH(2039,Mortality_Matrix!$B$3:$BS$3,0)))/INDEX(Mortality_Matrix!$B$4:$BS$64,MATCH($A92,Mortality_Matrix!$A$4:$A$64,0),MATCH(2039,Mortality_Matrix!$B$3:$BS$3,0))</f>
        <v>4.73927836174284E-009</v>
      </c>
      <c r="AD92" s="27" t="n">
        <f aca="false">(AD26-INDEX(Mortality_Matrix!$B$4:$BS$64,MATCH($A92,Mortality_Matrix!$A$4:$A$64,0),MATCH(2040,Mortality_Matrix!$B$3:$BS$3,0)))/INDEX(Mortality_Matrix!$B$4:$BS$64,MATCH($A92,Mortality_Matrix!$A$4:$A$64,0),MATCH(2040,Mortality_Matrix!$B$3:$BS$3,0))</f>
        <v>-4.85032297161857E-009</v>
      </c>
      <c r="AE92" s="27" t="n">
        <f aca="false">(AE26-INDEX(Mortality_Matrix!$B$4:$BS$64,MATCH($A92,Mortality_Matrix!$A$4:$A$64,0),MATCH(2041,Mortality_Matrix!$B$3:$BS$3,0)))/INDEX(Mortality_Matrix!$B$4:$BS$64,MATCH($A92,Mortality_Matrix!$A$4:$A$64,0),MATCH(2041,Mortality_Matrix!$B$3:$BS$3,0))</f>
        <v>-1.59060446155204E-008</v>
      </c>
      <c r="AF92" s="27" t="n">
        <f aca="false">(AF26-INDEX(Mortality_Matrix!$B$4:$BS$64,MATCH($A92,Mortality_Matrix!$A$4:$A$64,0),MATCH(2042,Mortality_Matrix!$B$3:$BS$3,0)))/INDEX(Mortality_Matrix!$B$4:$BS$64,MATCH($A92,Mortality_Matrix!$A$4:$A$64,0),MATCH(2042,Mortality_Matrix!$B$3:$BS$3,0))</f>
        <v>-8.53500516997929E-009</v>
      </c>
      <c r="AG92" s="27" t="n">
        <f aca="false">(AG26-INDEX(Mortality_Matrix!$B$4:$BS$64,MATCH($A92,Mortality_Matrix!$A$4:$A$64,0),MATCH(2043,Mortality_Matrix!$B$3:$BS$3,0)))/INDEX(Mortality_Matrix!$B$4:$BS$64,MATCH($A92,Mortality_Matrix!$A$4:$A$64,0),MATCH(2043,Mortality_Matrix!$B$3:$BS$3,0))</f>
        <v>-9.89560327128421E-009</v>
      </c>
      <c r="AH92" s="27" t="n">
        <f aca="false">(AH26-INDEX(Mortality_Matrix!$B$4:$BS$64,MATCH($A92,Mortality_Matrix!$A$4:$A$64,0),MATCH(2044,Mortality_Matrix!$B$3:$BS$3,0)))/INDEX(Mortality_Matrix!$B$4:$BS$64,MATCH($A92,Mortality_Matrix!$A$4:$A$64,0),MATCH(2044,Mortality_Matrix!$B$3:$BS$3,0))</f>
        <v>4.95356279360681E-009</v>
      </c>
      <c r="AI92" s="27" t="n">
        <f aca="false">(AI26-INDEX(Mortality_Matrix!$B$4:$BS$64,MATCH($A92,Mortality_Matrix!$A$4:$A$64,0),MATCH(2045,Mortality_Matrix!$B$3:$BS$3,0)))/INDEX(Mortality_Matrix!$B$4:$BS$64,MATCH($A92,Mortality_Matrix!$A$4:$A$64,0),MATCH(2045,Mortality_Matrix!$B$3:$BS$3,0))</f>
        <v>1.10888574613179E-008</v>
      </c>
      <c r="AJ92" s="27" t="n">
        <f aca="false">(AJ26-INDEX(Mortality_Matrix!$B$4:$BS$64,MATCH($A92,Mortality_Matrix!$A$4:$A$64,0),MATCH(2046,Mortality_Matrix!$B$3:$BS$3,0)))/INDEX(Mortality_Matrix!$B$4:$BS$64,MATCH($A92,Mortality_Matrix!$A$4:$A$64,0),MATCH(2046,Mortality_Matrix!$B$3:$BS$3,0))</f>
        <v>2.33078556467222E-010</v>
      </c>
      <c r="AK92" s="27" t="n">
        <f aca="false">(AK26-INDEX(Mortality_Matrix!$B$4:$BS$64,MATCH($A92,Mortality_Matrix!$A$4:$A$64,0),MATCH(2047,Mortality_Matrix!$B$3:$BS$3,0)))/INDEX(Mortality_Matrix!$B$4:$BS$64,MATCH($A92,Mortality_Matrix!$A$4:$A$64,0),MATCH(2047,Mortality_Matrix!$B$3:$BS$3,0))</f>
        <v>1.73970796482789E-008</v>
      </c>
      <c r="AL92" s="27" t="n">
        <f aca="false">(AL26-INDEX(Mortality_Matrix!$B$4:$BS$64,MATCH($A92,Mortality_Matrix!$A$4:$A$64,0),MATCH(2048,Mortality_Matrix!$B$3:$BS$3,0)))/INDEX(Mortality_Matrix!$B$4:$BS$64,MATCH($A92,Mortality_Matrix!$A$4:$A$64,0),MATCH(2048,Mortality_Matrix!$B$3:$BS$3,0))</f>
        <v>1.73970795019107E-008</v>
      </c>
      <c r="AM92" s="27" t="n">
        <f aca="false">(AM26-INDEX(Mortality_Matrix!$B$4:$BS$64,MATCH($A92,Mortality_Matrix!$A$4:$A$64,0),MATCH(2049,Mortality_Matrix!$B$3:$BS$3,0)))/INDEX(Mortality_Matrix!$B$4:$BS$64,MATCH($A92,Mortality_Matrix!$A$4:$A$64,0),MATCH(2049,Mortality_Matrix!$B$3:$BS$3,0))</f>
        <v>6.03776032462442E-009</v>
      </c>
      <c r="AN92" s="27" t="n">
        <f aca="false">(AN26-INDEX(Mortality_Matrix!$B$4:$BS$64,MATCH($A92,Mortality_Matrix!$A$4:$A$64,0),MATCH(2050,Mortality_Matrix!$B$3:$BS$3,0)))/INDEX(Mortality_Matrix!$B$4:$BS$64,MATCH($A92,Mortality_Matrix!$A$4:$A$64,0),MATCH(2050,Mortality_Matrix!$B$3:$BS$3,0))</f>
        <v>5.47059774926174E-009</v>
      </c>
      <c r="AO92" s="27" t="n">
        <f aca="false">(AO26-INDEX(Mortality_Matrix!$B$4:$BS$64,MATCH($A92,Mortality_Matrix!$A$4:$A$64,0),MATCH(2051,Mortality_Matrix!$B$3:$BS$3,0)))/INDEX(Mortality_Matrix!$B$4:$BS$64,MATCH($A92,Mortality_Matrix!$A$4:$A$64,0),MATCH(2051,Mortality_Matrix!$B$3:$BS$3,0))</f>
        <v>1.62188544906455E-008</v>
      </c>
      <c r="AP92" s="27" t="n">
        <f aca="false">(AP26-INDEX(Mortality_Matrix!$B$4:$BS$64,MATCH($A92,Mortality_Matrix!$A$4:$A$64,0),MATCH(2052,Mortality_Matrix!$B$3:$BS$3,0)))/INDEX(Mortality_Matrix!$B$4:$BS$64,MATCH($A92,Mortality_Matrix!$A$4:$A$64,0),MATCH(2052,Mortality_Matrix!$B$3:$BS$3,0))</f>
        <v>1.4660006381752E-008</v>
      </c>
      <c r="AQ92" s="27" t="n">
        <f aca="false">(AQ26-INDEX(Mortality_Matrix!$B$4:$BS$64,MATCH($A92,Mortality_Matrix!$A$4:$A$64,0),MATCH(2053,Mortality_Matrix!$B$3:$BS$3,0)))/INDEX(Mortality_Matrix!$B$4:$BS$64,MATCH($A92,Mortality_Matrix!$A$4:$A$64,0),MATCH(2053,Mortality_Matrix!$B$3:$BS$3,0))</f>
        <v>-1.00679115085044E-008</v>
      </c>
      <c r="AR92" s="27" t="n">
        <f aca="false">(AR26-INDEX(Mortality_Matrix!$B$4:$BS$64,MATCH($A92,Mortality_Matrix!$A$4:$A$64,0),MATCH(2054,Mortality_Matrix!$B$3:$BS$3,0)))/INDEX(Mortality_Matrix!$B$4:$BS$64,MATCH($A92,Mortality_Matrix!$A$4:$A$64,0),MATCH(2054,Mortality_Matrix!$B$3:$BS$3,0))</f>
        <v>-1.56913160777287E-008</v>
      </c>
      <c r="AS92" s="27" t="n">
        <f aca="false">(AS26-INDEX(Mortality_Matrix!$B$4:$BS$64,MATCH($A92,Mortality_Matrix!$A$4:$A$64,0),MATCH(2055,Mortality_Matrix!$B$3:$BS$3,0)))/INDEX(Mortality_Matrix!$B$4:$BS$64,MATCH($A92,Mortality_Matrix!$A$4:$A$64,0),MATCH(2055,Mortality_Matrix!$B$3:$BS$3,0))</f>
        <v>1.48928284103785E-008</v>
      </c>
      <c r="AT92" s="27" t="n">
        <f aca="false">(AT26-INDEX(Mortality_Matrix!$B$4:$BS$64,MATCH($A92,Mortality_Matrix!$A$4:$A$64,0),MATCH(2056,Mortality_Matrix!$B$3:$BS$3,0)))/INDEX(Mortality_Matrix!$B$4:$BS$64,MATCH($A92,Mortality_Matrix!$A$4:$A$64,0),MATCH(2056,Mortality_Matrix!$B$3:$BS$3,0))</f>
        <v>-1.20170787557772E-008</v>
      </c>
      <c r="AU92" s="27" t="n">
        <f aca="false">(AU26-INDEX(Mortality_Matrix!$B$4:$BS$64,MATCH($A92,Mortality_Matrix!$A$4:$A$64,0),MATCH(2057,Mortality_Matrix!$B$3:$BS$3,0)))/INDEX(Mortality_Matrix!$B$4:$BS$64,MATCH($A92,Mortality_Matrix!$A$4:$A$64,0),MATCH(2057,Mortality_Matrix!$B$3:$BS$3,0))</f>
        <v>-1.60099583001563E-008</v>
      </c>
      <c r="AV92" s="27" t="n">
        <f aca="false">(AV26-INDEX(Mortality_Matrix!$B$4:$BS$64,MATCH($A92,Mortality_Matrix!$A$4:$A$64,0),MATCH(2058,Mortality_Matrix!$B$3:$BS$3,0)))/INDEX(Mortality_Matrix!$B$4:$BS$64,MATCH($A92,Mortality_Matrix!$A$4:$A$64,0),MATCH(2058,Mortality_Matrix!$B$3:$BS$3,0))</f>
        <v>1.40726506276538E-008</v>
      </c>
      <c r="AW92" s="27" t="n">
        <f aca="false">(AW26-INDEX(Mortality_Matrix!$B$4:$BS$64,MATCH($A92,Mortality_Matrix!$A$4:$A$64,0),MATCH(2059,Mortality_Matrix!$B$3:$BS$3,0)))/INDEX(Mortality_Matrix!$B$4:$BS$64,MATCH($A92,Mortality_Matrix!$A$4:$A$64,0),MATCH(2059,Mortality_Matrix!$B$3:$BS$3,0))</f>
        <v>1.38560497842458E-008</v>
      </c>
      <c r="AX92" s="27" t="n">
        <f aca="false">(AX26-INDEX(Mortality_Matrix!$B$4:$BS$64,MATCH($A92,Mortality_Matrix!$A$4:$A$64,0),MATCH(2060,Mortality_Matrix!$B$3:$BS$3,0)))/INDEX(Mortality_Matrix!$B$4:$BS$64,MATCH($A92,Mortality_Matrix!$A$4:$A$64,0),MATCH(2060,Mortality_Matrix!$B$3:$BS$3,0))</f>
        <v>1.27565530185127E-008</v>
      </c>
      <c r="AY92" s="27" t="n">
        <f aca="false">(AY26-INDEX(Mortality_Matrix!$B$4:$BS$64,MATCH($A92,Mortality_Matrix!$A$4:$A$64,0),MATCH(2061,Mortality_Matrix!$B$3:$BS$3,0)))/INDEX(Mortality_Matrix!$B$4:$BS$64,MATCH($A92,Mortality_Matrix!$A$4:$A$64,0),MATCH(2061,Mortality_Matrix!$B$3:$BS$3,0))</f>
        <v>6.50560718267442E-009</v>
      </c>
      <c r="AZ92" s="27" t="n">
        <f aca="false">(AZ26-INDEX(Mortality_Matrix!$B$4:$BS$64,MATCH($A92,Mortality_Matrix!$A$4:$A$64,0),MATCH(2062,Mortality_Matrix!$B$3:$BS$3,0)))/INDEX(Mortality_Matrix!$B$4:$BS$64,MATCH($A92,Mortality_Matrix!$A$4:$A$64,0),MATCH(2062,Mortality_Matrix!$B$3:$BS$3,0))</f>
        <v>-9.73769518179603E-010</v>
      </c>
      <c r="BA92" s="27" t="n">
        <f aca="false">(BA26-INDEX(Mortality_Matrix!$B$4:$BS$64,MATCH($A92,Mortality_Matrix!$A$4:$A$64,0),MATCH(2063,Mortality_Matrix!$B$3:$BS$3,0)))/INDEX(Mortality_Matrix!$B$4:$BS$64,MATCH($A92,Mortality_Matrix!$A$4:$A$64,0),MATCH(2063,Mortality_Matrix!$B$3:$BS$3,0))</f>
        <v>2.24762036276856E-009</v>
      </c>
      <c r="BB92" s="27" t="n">
        <f aca="false">(BB26-INDEX(Mortality_Matrix!$B$4:$BS$64,MATCH($A92,Mortality_Matrix!$A$4:$A$64,0),MATCH(2064,Mortality_Matrix!$B$3:$BS$3,0)))/INDEX(Mortality_Matrix!$B$4:$BS$64,MATCH($A92,Mortality_Matrix!$A$4:$A$64,0),MATCH(2064,Mortality_Matrix!$B$3:$BS$3,0))</f>
        <v>-1.08341653921942E-008</v>
      </c>
      <c r="BC92" s="27" t="n">
        <f aca="false">(BC26-INDEX(Mortality_Matrix!$B$4:$BS$64,MATCH($A92,Mortality_Matrix!$A$4:$A$64,0),MATCH(2065,Mortality_Matrix!$B$3:$BS$3,0)))/INDEX(Mortality_Matrix!$B$4:$BS$64,MATCH($A92,Mortality_Matrix!$A$4:$A$64,0),MATCH(2065,Mortality_Matrix!$B$3:$BS$3,0))</f>
        <v>-1.51030583702416E-008</v>
      </c>
      <c r="BD92" s="27" t="n">
        <f aca="false">(BD26-INDEX(Mortality_Matrix!$B$4:$BS$64,MATCH($A92,Mortality_Matrix!$A$4:$A$64,0),MATCH(2066,Mortality_Matrix!$B$3:$BS$3,0)))/INDEX(Mortality_Matrix!$B$4:$BS$64,MATCH($A92,Mortality_Matrix!$A$4:$A$64,0),MATCH(2066,Mortality_Matrix!$B$3:$BS$3,0))</f>
        <v>2.17351054835106E-008</v>
      </c>
      <c r="BE92" s="27" t="n">
        <f aca="false">(BE26-INDEX(Mortality_Matrix!$B$4:$BS$64,MATCH($A92,Mortality_Matrix!$A$4:$A$64,0),MATCH(2067,Mortality_Matrix!$B$3:$BS$3,0)))/INDEX(Mortality_Matrix!$B$4:$BS$64,MATCH($A92,Mortality_Matrix!$A$4:$A$64,0),MATCH(2067,Mortality_Matrix!$B$3:$BS$3,0))</f>
        <v>-7.84200127445738E-009</v>
      </c>
      <c r="BF92" s="27" t="n">
        <f aca="false">(BF26-INDEX(Mortality_Matrix!$B$4:$BS$64,MATCH($A92,Mortality_Matrix!$A$4:$A$64,0),MATCH(2068,Mortality_Matrix!$B$3:$BS$3,0)))/INDEX(Mortality_Matrix!$B$4:$BS$64,MATCH($A92,Mortality_Matrix!$A$4:$A$64,0),MATCH(2068,Mortality_Matrix!$B$3:$BS$3,0))</f>
        <v>-1.52868405622227E-008</v>
      </c>
      <c r="BG92" s="27" t="n">
        <f aca="false">(BG26-INDEX(Mortality_Matrix!$B$4:$BS$64,MATCH($A92,Mortality_Matrix!$A$4:$A$64,0),MATCH(2069,Mortality_Matrix!$B$3:$BS$3,0)))/INDEX(Mortality_Matrix!$B$4:$BS$64,MATCH($A92,Mortality_Matrix!$A$4:$A$64,0),MATCH(2069,Mortality_Matrix!$B$3:$BS$3,0))</f>
        <v>-3.94952192922522E-009</v>
      </c>
      <c r="BH92" s="27" t="n">
        <f aca="false">(BH26-INDEX(Mortality_Matrix!$B$4:$BS$64,MATCH($A92,Mortality_Matrix!$A$4:$A$64,0),MATCH(2070,Mortality_Matrix!$B$3:$BS$3,0)))/INDEX(Mortality_Matrix!$B$4:$BS$64,MATCH($A92,Mortality_Matrix!$A$4:$A$64,0),MATCH(2070,Mortality_Matrix!$B$3:$BS$3,0))</f>
        <v>2.5209065339213E-008</v>
      </c>
      <c r="BI92" s="27" t="n">
        <f aca="false">(BI26-INDEX(Mortality_Matrix!$B$4:$BS$64,MATCH($A92,Mortality_Matrix!$A$4:$A$64,0),MATCH(2071,Mortality_Matrix!$B$3:$BS$3,0)))/INDEX(Mortality_Matrix!$B$4:$BS$64,MATCH($A92,Mortality_Matrix!$A$4:$A$64,0),MATCH(2071,Mortality_Matrix!$B$3:$BS$3,0))</f>
        <v>2.1054310667371E-008</v>
      </c>
      <c r="BJ92" s="27" t="n">
        <f aca="false">(BJ26-INDEX(Mortality_Matrix!$B$4:$BS$64,MATCH($A92,Mortality_Matrix!$A$4:$A$64,0),MATCH(2072,Mortality_Matrix!$B$3:$BS$3,0)))/INDEX(Mortality_Matrix!$B$4:$BS$64,MATCH($A92,Mortality_Matrix!$A$4:$A$64,0),MATCH(2072,Mortality_Matrix!$B$3:$BS$3,0))</f>
        <v>-1.69079138420355E-008</v>
      </c>
      <c r="BK92" s="27" t="n">
        <f aca="false">(BK26-INDEX(Mortality_Matrix!$B$4:$BS$64,MATCH($A92,Mortality_Matrix!$A$4:$A$64,0),MATCH(2073,Mortality_Matrix!$B$3:$BS$3,0)))/INDEX(Mortality_Matrix!$B$4:$BS$64,MATCH($A92,Mortality_Matrix!$A$4:$A$64,0),MATCH(2073,Mortality_Matrix!$B$3:$BS$3,0))</f>
        <v>1.81530801492735E-008</v>
      </c>
      <c r="BL92" s="27" t="n">
        <f aca="false">(BL26-INDEX(Mortality_Matrix!$B$4:$BS$64,MATCH($A92,Mortality_Matrix!$A$4:$A$64,0),MATCH(2074,Mortality_Matrix!$B$3:$BS$3,0)))/INDEX(Mortality_Matrix!$B$4:$BS$64,MATCH($A92,Mortality_Matrix!$A$4:$A$64,0),MATCH(2074,Mortality_Matrix!$B$3:$BS$3,0))</f>
        <v>2.16854004771462E-008</v>
      </c>
      <c r="BM92" s="27" t="n">
        <f aca="false">(BM26-INDEX(Mortality_Matrix!$B$4:$BS$64,MATCH($A92,Mortality_Matrix!$A$4:$A$64,0),MATCH(2075,Mortality_Matrix!$B$3:$BS$3,0)))/INDEX(Mortality_Matrix!$B$4:$BS$64,MATCH($A92,Mortality_Matrix!$A$4:$A$64,0),MATCH(2075,Mortality_Matrix!$B$3:$BS$3,0))</f>
        <v>-8.38276784156725E-009</v>
      </c>
      <c r="BN92" s="27" t="n">
        <f aca="false">(BN26-INDEX(Mortality_Matrix!$B$4:$BS$64,MATCH($A92,Mortality_Matrix!$A$4:$A$64,0),MATCH(2076,Mortality_Matrix!$B$3:$BS$3,0)))/INDEX(Mortality_Matrix!$B$4:$BS$64,MATCH($A92,Mortality_Matrix!$A$4:$A$64,0),MATCH(2076,Mortality_Matrix!$B$3:$BS$3,0))</f>
        <v>-2.04251575909939E-008</v>
      </c>
      <c r="BO92" s="27" t="n">
        <f aca="false">(BO26-INDEX(Mortality_Matrix!$B$4:$BS$64,MATCH($A92,Mortality_Matrix!$A$4:$A$64,0),MATCH(2077,Mortality_Matrix!$B$3:$BS$3,0)))/INDEX(Mortality_Matrix!$B$4:$BS$64,MATCH($A92,Mortality_Matrix!$A$4:$A$64,0),MATCH(2077,Mortality_Matrix!$B$3:$BS$3,0))</f>
        <v>-1.95721965729548E-008</v>
      </c>
      <c r="BP92" s="27" t="n">
        <f aca="false">(BP26-INDEX(Mortality_Matrix!$B$4:$BS$64,MATCH($A92,Mortality_Matrix!$A$4:$A$64,0),MATCH(2078,Mortality_Matrix!$B$3:$BS$3,0)))/INDEX(Mortality_Matrix!$B$4:$BS$64,MATCH($A92,Mortality_Matrix!$A$4:$A$64,0),MATCH(2078,Mortality_Matrix!$B$3:$BS$3,0))</f>
        <v>-1.52424445489781E-008</v>
      </c>
      <c r="BQ92" s="27" t="n">
        <f aca="false">(BQ26-INDEX(Mortality_Matrix!$B$4:$BS$64,MATCH($A92,Mortality_Matrix!$A$4:$A$64,0),MATCH(2079,Mortality_Matrix!$B$3:$BS$3,0)))/INDEX(Mortality_Matrix!$B$4:$BS$64,MATCH($A92,Mortality_Matrix!$A$4:$A$64,0),MATCH(2079,Mortality_Matrix!$B$3:$BS$3,0))</f>
        <v>-2.227554422914E-008</v>
      </c>
      <c r="BR92" s="27" t="n">
        <f aca="false">(BR26-INDEX(Mortality_Matrix!$B$4:$BS$64,MATCH($A92,Mortality_Matrix!$A$4:$A$64,0),MATCH(2080,Mortality_Matrix!$B$3:$BS$3,0)))/INDEX(Mortality_Matrix!$B$4:$BS$64,MATCH($A92,Mortality_Matrix!$A$4:$A$64,0),MATCH(2080,Mortality_Matrix!$B$3:$BS$3,0))</f>
        <v>-2.63998670753271E-009</v>
      </c>
      <c r="BS92" s="27" t="n">
        <f aca="false">(BS26-INDEX(Mortality_Matrix!$B$4:$BS$64,MATCH($A92,Mortality_Matrix!$A$4:$A$64,0),MATCH(2081,Mortality_Matrix!$B$3:$BS$3,0)))/INDEX(Mortality_Matrix!$B$4:$BS$64,MATCH($A92,Mortality_Matrix!$A$4:$A$64,0),MATCH(2081,Mortality_Matrix!$B$3:$BS$3,0))</f>
        <v>1.69925514125964E-008</v>
      </c>
      <c r="BT92" s="27" t="n">
        <f aca="false">(BT26-INDEX(Mortality_Matrix!$B$4:$BS$64,MATCH($A92,Mortality_Matrix!$A$4:$A$64,0),MATCH(2082,Mortality_Matrix!$B$3:$BS$3,0)))/INDEX(Mortality_Matrix!$B$4:$BS$64,MATCH($A92,Mortality_Matrix!$A$4:$A$64,0),MATCH(2082,Mortality_Matrix!$B$3:$BS$3,0))</f>
        <v>7.40704103987968E-010</v>
      </c>
      <c r="BU92" s="27" t="n">
        <f aca="false">(BU26-INDEX(Mortality_Matrix!$B$4:$BS$64,MATCH($A92,Mortality_Matrix!$A$4:$A$64,0),MATCH(2083,Mortality_Matrix!$B$3:$BS$3,0)))/INDEX(Mortality_Matrix!$B$4:$BS$64,MATCH($A92,Mortality_Matrix!$A$4:$A$64,0),MATCH(2083,Mortality_Matrix!$B$3:$BS$3,0))</f>
        <v>2.65792891451479E-008</v>
      </c>
      <c r="BV92" s="27" t="n">
        <f aca="false">(BV26-INDEX(Mortality_Matrix!$B$4:$BS$64,MATCH($A92,Mortality_Matrix!$A$4:$A$64,0),MATCH(2084,Mortality_Matrix!$B$3:$BS$3,0)))/INDEX(Mortality_Matrix!$B$4:$BS$64,MATCH($A92,Mortality_Matrix!$A$4:$A$64,0),MATCH(2084,Mortality_Matrix!$B$3:$BS$3,0))</f>
        <v>-2.17762049995296E-008</v>
      </c>
      <c r="BW92" s="27" t="n">
        <f aca="false">(BW26-INDEX(Mortality_Matrix!$B$4:$BS$64,MATCH($A92,Mortality_Matrix!$A$4:$A$64,0),MATCH(2085,Mortality_Matrix!$B$3:$BS$3,0)))/INDEX(Mortality_Matrix!$B$4:$BS$64,MATCH($A92,Mortality_Matrix!$A$4:$A$64,0),MATCH(2085,Mortality_Matrix!$B$3:$BS$3,0))</f>
        <v>-2.14553430906847E-008</v>
      </c>
      <c r="BX92" s="27" t="n">
        <f aca="false">(BX26-INDEX(Mortality_Matrix!$B$4:$BS$64,MATCH($A92,Mortality_Matrix!$A$4:$A$64,0),MATCH(2086,Mortality_Matrix!$B$3:$BS$3,0)))/INDEX(Mortality_Matrix!$B$4:$BS$64,MATCH($A92,Mortality_Matrix!$A$4:$A$64,0),MATCH(2086,Mortality_Matrix!$B$3:$BS$3,0))</f>
        <v>1.63314398325958E-008</v>
      </c>
      <c r="BY92" s="27" t="n">
        <f aca="false">(BY26-INDEX(Mortality_Matrix!$B$4:$BS$64,MATCH($A92,Mortality_Matrix!$A$4:$A$64,0),MATCH(2087,Mortality_Matrix!$B$3:$BS$3,0)))/INDEX(Mortality_Matrix!$B$4:$BS$64,MATCH($A92,Mortality_Matrix!$A$4:$A$64,0),MATCH(2087,Mortality_Matrix!$B$3:$BS$3,0))</f>
        <v>1.11883652119709E-009</v>
      </c>
      <c r="BZ92" s="27" t="n">
        <f aca="false">(BZ26-INDEX(Mortality_Matrix!$B$4:$BS$64,MATCH($A92,Mortality_Matrix!$A$4:$A$64,0),MATCH(2088,Mortality_Matrix!$B$3:$BS$3,0)))/INDEX(Mortality_Matrix!$B$4:$BS$64,MATCH($A92,Mortality_Matrix!$A$4:$A$64,0),MATCH(2088,Mortality_Matrix!$B$3:$BS$3,0))</f>
        <v>2.49567275276684E-008</v>
      </c>
      <c r="CA92" s="27" t="n">
        <f aca="false">(CA26-INDEX(Mortality_Matrix!$B$4:$BS$64,MATCH($A92,Mortality_Matrix!$A$4:$A$64,0),MATCH(2089,Mortality_Matrix!$B$3:$BS$3,0)))/INDEX(Mortality_Matrix!$B$4:$BS$64,MATCH($A92,Mortality_Matrix!$A$4:$A$64,0),MATCH(2089,Mortality_Matrix!$B$3:$BS$3,0))</f>
        <v>-3.33299562896939E-008</v>
      </c>
      <c r="CB92" s="27" t="n">
        <f aca="false">(CB26-INDEX(Mortality_Matrix!$B$4:$BS$64,MATCH($A92,Mortality_Matrix!$A$4:$A$64,0),MATCH(2090,Mortality_Matrix!$B$3:$BS$3,0)))/INDEX(Mortality_Matrix!$B$4:$BS$64,MATCH($A92,Mortality_Matrix!$A$4:$A$64,0),MATCH(2090,Mortality_Matrix!$B$3:$BS$3,0))</f>
        <v>2.82666819382116E-008</v>
      </c>
      <c r="CC92" s="27" t="n">
        <f aca="false">(CC26-INDEX(Mortality_Matrix!$B$4:$BS$64,MATCH($A92,Mortality_Matrix!$A$4:$A$64,0),MATCH(2091,Mortality_Matrix!$B$3:$BS$3,0)))/INDEX(Mortality_Matrix!$B$4:$BS$64,MATCH($A92,Mortality_Matrix!$A$4:$A$64,0),MATCH(2091,Mortality_Matrix!$B$3:$BS$3,0))</f>
        <v>-1.38915152633254E-008</v>
      </c>
    </row>
    <row r="93" customFormat="false" ht="15" hidden="false" customHeight="true" outlineLevel="0" collapsed="false">
      <c r="A93" s="3" t="n">
        <v>64</v>
      </c>
      <c r="L93" s="27" t="n">
        <f aca="false">(L27-INDEX(Mortality_Matrix!$B$4:$BS$64,MATCH($A93,Mortality_Matrix!$A$4:$A$64,0),MATCH(2022,Mortality_Matrix!$B$3:$BS$3,0)))/INDEX(Mortality_Matrix!$B$4:$BS$64,MATCH($A93,Mortality_Matrix!$A$4:$A$64,0),MATCH(2022,Mortality_Matrix!$B$3:$BS$3,0))</f>
        <v>-5.97681825495193E-009</v>
      </c>
      <c r="M93" s="27" t="n">
        <f aca="false">(M27-INDEX(Mortality_Matrix!$B$4:$BS$64,MATCH($A93,Mortality_Matrix!$A$4:$A$64,0),MATCH(2023,Mortality_Matrix!$B$3:$BS$3,0)))/INDEX(Mortality_Matrix!$B$4:$BS$64,MATCH($A93,Mortality_Matrix!$A$4:$A$64,0),MATCH(2023,Mortality_Matrix!$B$3:$BS$3,0))</f>
        <v>-2.21957843694921E-009</v>
      </c>
      <c r="N93" s="27" t="n">
        <f aca="false">(N27-INDEX(Mortality_Matrix!$B$4:$BS$64,MATCH($A93,Mortality_Matrix!$A$4:$A$64,0),MATCH(2024,Mortality_Matrix!$B$3:$BS$3,0)))/INDEX(Mortality_Matrix!$B$4:$BS$64,MATCH($A93,Mortality_Matrix!$A$4:$A$64,0),MATCH(2024,Mortality_Matrix!$B$3:$BS$3,0))</f>
        <v>9.42480059906472E-009</v>
      </c>
      <c r="O93" s="27" t="n">
        <f aca="false">(O27-INDEX(Mortality_Matrix!$B$4:$BS$64,MATCH($A93,Mortality_Matrix!$A$4:$A$64,0),MATCH(2025,Mortality_Matrix!$B$3:$BS$3,0)))/INDEX(Mortality_Matrix!$B$4:$BS$64,MATCH($A93,Mortality_Matrix!$A$4:$A$64,0),MATCH(2025,Mortality_Matrix!$B$3:$BS$3,0))</f>
        <v>-8.41337494121356E-009</v>
      </c>
      <c r="P93" s="27" t="n">
        <f aca="false">(P27-INDEX(Mortality_Matrix!$B$4:$BS$64,MATCH($A93,Mortality_Matrix!$A$4:$A$64,0),MATCH(2026,Mortality_Matrix!$B$3:$BS$3,0)))/INDEX(Mortality_Matrix!$B$4:$BS$64,MATCH($A93,Mortality_Matrix!$A$4:$A$64,0),MATCH(2026,Mortality_Matrix!$B$3:$BS$3,0))</f>
        <v>8.62534946724846E-009</v>
      </c>
      <c r="Q93" s="27" t="n">
        <f aca="false">(Q27-INDEX(Mortality_Matrix!$B$4:$BS$64,MATCH($A93,Mortality_Matrix!$A$4:$A$64,0),MATCH(2027,Mortality_Matrix!$B$3:$BS$3,0)))/INDEX(Mortality_Matrix!$B$4:$BS$64,MATCH($A93,Mortality_Matrix!$A$4:$A$64,0),MATCH(2027,Mortality_Matrix!$B$3:$BS$3,0))</f>
        <v>-3.11096411631683E-009</v>
      </c>
      <c r="R93" s="27" t="n">
        <f aca="false">(R27-INDEX(Mortality_Matrix!$B$4:$BS$64,MATCH($A93,Mortality_Matrix!$A$4:$A$64,0),MATCH(2028,Mortality_Matrix!$B$3:$BS$3,0)))/INDEX(Mortality_Matrix!$B$4:$BS$64,MATCH($A93,Mortality_Matrix!$A$4:$A$64,0),MATCH(2028,Mortality_Matrix!$B$3:$BS$3,0))</f>
        <v>-8.99302958862338E-009</v>
      </c>
      <c r="S93" s="27" t="n">
        <f aca="false">(S27-INDEX(Mortality_Matrix!$B$4:$BS$64,MATCH($A93,Mortality_Matrix!$A$4:$A$64,0),MATCH(2029,Mortality_Matrix!$B$3:$BS$3,0)))/INDEX(Mortality_Matrix!$B$4:$BS$64,MATCH($A93,Mortality_Matrix!$A$4:$A$64,0),MATCH(2029,Mortality_Matrix!$B$3:$BS$3,0))</f>
        <v>-7.22057320011701E-009</v>
      </c>
      <c r="T93" s="27" t="n">
        <f aca="false">(T27-INDEX(Mortality_Matrix!$B$4:$BS$64,MATCH($A93,Mortality_Matrix!$A$4:$A$64,0),MATCH(2030,Mortality_Matrix!$B$3:$BS$3,0)))/INDEX(Mortality_Matrix!$B$4:$BS$64,MATCH($A93,Mortality_Matrix!$A$4:$A$64,0),MATCH(2030,Mortality_Matrix!$B$3:$BS$3,0))</f>
        <v>-1.009801560891E-008</v>
      </c>
      <c r="U93" s="27" t="n">
        <f aca="false">(U27-INDEX(Mortality_Matrix!$B$4:$BS$64,MATCH($A93,Mortality_Matrix!$A$4:$A$64,0),MATCH(2031,Mortality_Matrix!$B$3:$BS$3,0)))/INDEX(Mortality_Matrix!$B$4:$BS$64,MATCH($A93,Mortality_Matrix!$A$4:$A$64,0),MATCH(2031,Mortality_Matrix!$B$3:$BS$3,0))</f>
        <v>-3.10856014809825E-009</v>
      </c>
      <c r="V93" s="27" t="n">
        <f aca="false">(V27-INDEX(Mortality_Matrix!$B$4:$BS$64,MATCH($A93,Mortality_Matrix!$A$4:$A$64,0),MATCH(2032,Mortality_Matrix!$B$3:$BS$3,0)))/INDEX(Mortality_Matrix!$B$4:$BS$64,MATCH($A93,Mortality_Matrix!$A$4:$A$64,0),MATCH(2032,Mortality_Matrix!$B$3:$BS$3,0))</f>
        <v>-4.02239616675415E-009</v>
      </c>
      <c r="W93" s="27" t="n">
        <f aca="false">(W27-INDEX(Mortality_Matrix!$B$4:$BS$64,MATCH($A93,Mortality_Matrix!$A$4:$A$64,0),MATCH(2033,Mortality_Matrix!$B$3:$BS$3,0)))/INDEX(Mortality_Matrix!$B$4:$BS$64,MATCH($A93,Mortality_Matrix!$A$4:$A$64,0),MATCH(2033,Mortality_Matrix!$B$3:$BS$3,0))</f>
        <v>-4.30580450505191E-009</v>
      </c>
      <c r="X93" s="27" t="n">
        <f aca="false">(X27-INDEX(Mortality_Matrix!$B$4:$BS$64,MATCH($A93,Mortality_Matrix!$A$4:$A$64,0),MATCH(2034,Mortality_Matrix!$B$3:$BS$3,0)))/INDEX(Mortality_Matrix!$B$4:$BS$64,MATCH($A93,Mortality_Matrix!$A$4:$A$64,0),MATCH(2034,Mortality_Matrix!$B$3:$BS$3,0))</f>
        <v>-1.14972293125551E-008</v>
      </c>
      <c r="Y93" s="27" t="n">
        <f aca="false">(Y27-INDEX(Mortality_Matrix!$B$4:$BS$64,MATCH($A93,Mortality_Matrix!$A$4:$A$64,0),MATCH(2035,Mortality_Matrix!$B$3:$BS$3,0)))/INDEX(Mortality_Matrix!$B$4:$BS$64,MATCH($A93,Mortality_Matrix!$A$4:$A$64,0),MATCH(2035,Mortality_Matrix!$B$3:$BS$3,0))</f>
        <v>-8.13409197448502E-009</v>
      </c>
      <c r="Z93" s="27" t="n">
        <f aca="false">(Z27-INDEX(Mortality_Matrix!$B$4:$BS$64,MATCH($A93,Mortality_Matrix!$A$4:$A$64,0),MATCH(2036,Mortality_Matrix!$B$3:$BS$3,0)))/INDEX(Mortality_Matrix!$B$4:$BS$64,MATCH($A93,Mortality_Matrix!$A$4:$A$64,0),MATCH(2036,Mortality_Matrix!$B$3:$BS$3,0))</f>
        <v>-7.85065807930544E-010</v>
      </c>
      <c r="AA93" s="27" t="n">
        <f aca="false">(AA27-INDEX(Mortality_Matrix!$B$4:$BS$64,MATCH($A93,Mortality_Matrix!$A$4:$A$64,0),MATCH(2037,Mortality_Matrix!$B$3:$BS$3,0)))/INDEX(Mortality_Matrix!$B$4:$BS$64,MATCH($A93,Mortality_Matrix!$A$4:$A$64,0),MATCH(2037,Mortality_Matrix!$B$3:$BS$3,0))</f>
        <v>4.81928870230258E-009</v>
      </c>
      <c r="AB93" s="27" t="n">
        <f aca="false">(AB27-INDEX(Mortality_Matrix!$B$4:$BS$64,MATCH($A93,Mortality_Matrix!$A$4:$A$64,0),MATCH(2038,Mortality_Matrix!$B$3:$BS$3,0)))/INDEX(Mortality_Matrix!$B$4:$BS$64,MATCH($A93,Mortality_Matrix!$A$4:$A$64,0),MATCH(2038,Mortality_Matrix!$B$3:$BS$3,0))</f>
        <v>4.11293348301562E-009</v>
      </c>
      <c r="AC93" s="27" t="n">
        <f aca="false">(AC27-INDEX(Mortality_Matrix!$B$4:$BS$64,MATCH($A93,Mortality_Matrix!$A$4:$A$64,0),MATCH(2039,Mortality_Matrix!$B$3:$BS$3,0)))/INDEX(Mortality_Matrix!$B$4:$BS$64,MATCH($A93,Mortality_Matrix!$A$4:$A$64,0),MATCH(2039,Mortality_Matrix!$B$3:$BS$3,0))</f>
        <v>-5.63978861366888E-009</v>
      </c>
      <c r="AD93" s="27" t="n">
        <f aca="false">(AD27-INDEX(Mortality_Matrix!$B$4:$BS$64,MATCH($A93,Mortality_Matrix!$A$4:$A$64,0),MATCH(2040,Mortality_Matrix!$B$3:$BS$3,0)))/INDEX(Mortality_Matrix!$B$4:$BS$64,MATCH($A93,Mortality_Matrix!$A$4:$A$64,0),MATCH(2040,Mortality_Matrix!$B$3:$BS$3,0))</f>
        <v>-3.60129788571475E-009</v>
      </c>
      <c r="AE93" s="27" t="n">
        <f aca="false">(AE27-INDEX(Mortality_Matrix!$B$4:$BS$64,MATCH($A93,Mortality_Matrix!$A$4:$A$64,0),MATCH(2041,Mortality_Matrix!$B$3:$BS$3,0)))/INDEX(Mortality_Matrix!$B$4:$BS$64,MATCH($A93,Mortality_Matrix!$A$4:$A$64,0),MATCH(2041,Mortality_Matrix!$B$3:$BS$3,0))</f>
        <v>-2.5665310450427E-009</v>
      </c>
      <c r="AF93" s="27" t="n">
        <f aca="false">(AF27-INDEX(Mortality_Matrix!$B$4:$BS$64,MATCH($A93,Mortality_Matrix!$A$4:$A$64,0),MATCH(2042,Mortality_Matrix!$B$3:$BS$3,0)))/INDEX(Mortality_Matrix!$B$4:$BS$64,MATCH($A93,Mortality_Matrix!$A$4:$A$64,0),MATCH(2042,Mortality_Matrix!$B$3:$BS$3,0))</f>
        <v>7.63856644472538E-009</v>
      </c>
      <c r="AG93" s="27" t="n">
        <f aca="false">(AG27-INDEX(Mortality_Matrix!$B$4:$BS$64,MATCH($A93,Mortality_Matrix!$A$4:$A$64,0),MATCH(2043,Mortality_Matrix!$B$3:$BS$3,0)))/INDEX(Mortality_Matrix!$B$4:$BS$64,MATCH($A93,Mortality_Matrix!$A$4:$A$64,0),MATCH(2043,Mortality_Matrix!$B$3:$BS$3,0))</f>
        <v>1.72908282477169E-010</v>
      </c>
      <c r="AH93" s="27" t="n">
        <f aca="false">(AH27-INDEX(Mortality_Matrix!$B$4:$BS$64,MATCH($A93,Mortality_Matrix!$A$4:$A$64,0),MATCH(2044,Mortality_Matrix!$B$3:$BS$3,0)))/INDEX(Mortality_Matrix!$B$4:$BS$64,MATCH($A93,Mortality_Matrix!$A$4:$A$64,0),MATCH(2044,Mortality_Matrix!$B$3:$BS$3,0))</f>
        <v>3.27588809945063E-010</v>
      </c>
      <c r="AI93" s="27" t="n">
        <f aca="false">(AI27-INDEX(Mortality_Matrix!$B$4:$BS$64,MATCH($A93,Mortality_Matrix!$A$4:$A$64,0),MATCH(2045,Mortality_Matrix!$B$3:$BS$3,0)))/INDEX(Mortality_Matrix!$B$4:$BS$64,MATCH($A93,Mortality_Matrix!$A$4:$A$64,0),MATCH(2045,Mortality_Matrix!$B$3:$BS$3,0))</f>
        <v>-5.48274765903252E-009</v>
      </c>
      <c r="AJ93" s="27" t="n">
        <f aca="false">(AJ27-INDEX(Mortality_Matrix!$B$4:$BS$64,MATCH($A93,Mortality_Matrix!$A$4:$A$64,0),MATCH(2046,Mortality_Matrix!$B$3:$BS$3,0)))/INDEX(Mortality_Matrix!$B$4:$BS$64,MATCH($A93,Mortality_Matrix!$A$4:$A$64,0),MATCH(2046,Mortality_Matrix!$B$3:$BS$3,0))</f>
        <v>-9.78729090116511E-009</v>
      </c>
      <c r="AK93" s="27" t="n">
        <f aca="false">(AK27-INDEX(Mortality_Matrix!$B$4:$BS$64,MATCH($A93,Mortality_Matrix!$A$4:$A$64,0),MATCH(2047,Mortality_Matrix!$B$3:$BS$3,0)))/INDEX(Mortality_Matrix!$B$4:$BS$64,MATCH($A93,Mortality_Matrix!$A$4:$A$64,0),MATCH(2047,Mortality_Matrix!$B$3:$BS$3,0))</f>
        <v>-1.56140838444464E-008</v>
      </c>
      <c r="AL93" s="27" t="n">
        <f aca="false">(AL27-INDEX(Mortality_Matrix!$B$4:$BS$64,MATCH($A93,Mortality_Matrix!$A$4:$A$64,0),MATCH(2048,Mortality_Matrix!$B$3:$BS$3,0)))/INDEX(Mortality_Matrix!$B$4:$BS$64,MATCH($A93,Mortality_Matrix!$A$4:$A$64,0),MATCH(2048,Mortality_Matrix!$B$3:$BS$3,0))</f>
        <v>-5.26191367129769E-009</v>
      </c>
      <c r="AM93" s="27" t="n">
        <f aca="false">(AM27-INDEX(Mortality_Matrix!$B$4:$BS$64,MATCH($A93,Mortality_Matrix!$A$4:$A$64,0),MATCH(2049,Mortality_Matrix!$B$3:$BS$3,0)))/INDEX(Mortality_Matrix!$B$4:$BS$64,MATCH($A93,Mortality_Matrix!$A$4:$A$64,0),MATCH(2049,Mortality_Matrix!$B$3:$BS$3,0))</f>
        <v>-6.26284872738729E-009</v>
      </c>
      <c r="AN93" s="27" t="n">
        <f aca="false">(AN27-INDEX(Mortality_Matrix!$B$4:$BS$64,MATCH($A93,Mortality_Matrix!$A$4:$A$64,0),MATCH(2050,Mortality_Matrix!$B$3:$BS$3,0)))/INDEX(Mortality_Matrix!$B$4:$BS$64,MATCH($A93,Mortality_Matrix!$A$4:$A$64,0),MATCH(2050,Mortality_Matrix!$B$3:$BS$3,0))</f>
        <v>5.93128342870715E-009</v>
      </c>
      <c r="AO93" s="27" t="n">
        <f aca="false">(AO27-INDEX(Mortality_Matrix!$B$4:$BS$64,MATCH($A93,Mortality_Matrix!$A$4:$A$64,0),MATCH(2051,Mortality_Matrix!$B$3:$BS$3,0)))/INDEX(Mortality_Matrix!$B$4:$BS$64,MATCH($A93,Mortality_Matrix!$A$4:$A$64,0),MATCH(2051,Mortality_Matrix!$B$3:$BS$3,0))</f>
        <v>7.99458828633303E-009</v>
      </c>
      <c r="AP93" s="27" t="n">
        <f aca="false">(AP27-INDEX(Mortality_Matrix!$B$4:$BS$64,MATCH($A93,Mortality_Matrix!$A$4:$A$64,0),MATCH(2052,Mortality_Matrix!$B$3:$BS$3,0)))/INDEX(Mortality_Matrix!$B$4:$BS$64,MATCH($A93,Mortality_Matrix!$A$4:$A$64,0),MATCH(2052,Mortality_Matrix!$B$3:$BS$3,0))</f>
        <v>-5.97025054667157E-009</v>
      </c>
      <c r="AQ93" s="27" t="n">
        <f aca="false">(AQ27-INDEX(Mortality_Matrix!$B$4:$BS$64,MATCH($A93,Mortality_Matrix!$A$4:$A$64,0),MATCH(2053,Mortality_Matrix!$B$3:$BS$3,0)))/INDEX(Mortality_Matrix!$B$4:$BS$64,MATCH($A93,Mortality_Matrix!$A$4:$A$64,0),MATCH(2053,Mortality_Matrix!$B$3:$BS$3,0))</f>
        <v>1.15744074723698E-008</v>
      </c>
      <c r="AR93" s="27" t="n">
        <f aca="false">(AR27-INDEX(Mortality_Matrix!$B$4:$BS$64,MATCH($A93,Mortality_Matrix!$A$4:$A$64,0),MATCH(2054,Mortality_Matrix!$B$3:$BS$3,0)))/INDEX(Mortality_Matrix!$B$4:$BS$64,MATCH($A93,Mortality_Matrix!$A$4:$A$64,0),MATCH(2054,Mortality_Matrix!$B$3:$BS$3,0))</f>
        <v>-1.50533868237452E-008</v>
      </c>
      <c r="AS93" s="27" t="n">
        <f aca="false">(AS27-INDEX(Mortality_Matrix!$B$4:$BS$64,MATCH($A93,Mortality_Matrix!$A$4:$A$64,0),MATCH(2055,Mortality_Matrix!$B$3:$BS$3,0)))/INDEX(Mortality_Matrix!$B$4:$BS$64,MATCH($A93,Mortality_Matrix!$A$4:$A$64,0),MATCH(2055,Mortality_Matrix!$B$3:$BS$3,0))</f>
        <v>-2.81534188987041E-009</v>
      </c>
      <c r="AT93" s="27" t="n">
        <f aca="false">(AT27-INDEX(Mortality_Matrix!$B$4:$BS$64,MATCH($A93,Mortality_Matrix!$A$4:$A$64,0),MATCH(2056,Mortality_Matrix!$B$3:$BS$3,0)))/INDEX(Mortality_Matrix!$B$4:$BS$64,MATCH($A93,Mortality_Matrix!$A$4:$A$64,0),MATCH(2056,Mortality_Matrix!$B$3:$BS$3,0))</f>
        <v>4.78765616866189E-009</v>
      </c>
      <c r="AU93" s="27" t="n">
        <f aca="false">(AU27-INDEX(Mortality_Matrix!$B$4:$BS$64,MATCH($A93,Mortality_Matrix!$A$4:$A$64,0),MATCH(2057,Mortality_Matrix!$B$3:$BS$3,0)))/INDEX(Mortality_Matrix!$B$4:$BS$64,MATCH($A93,Mortality_Matrix!$A$4:$A$64,0),MATCH(2057,Mortality_Matrix!$B$3:$BS$3,0))</f>
        <v>1.53303798112386E-008</v>
      </c>
      <c r="AV93" s="27" t="n">
        <f aca="false">(AV27-INDEX(Mortality_Matrix!$B$4:$BS$64,MATCH($A93,Mortality_Matrix!$A$4:$A$64,0),MATCH(2058,Mortality_Matrix!$B$3:$BS$3,0)))/INDEX(Mortality_Matrix!$B$4:$BS$64,MATCH($A93,Mortality_Matrix!$A$4:$A$64,0),MATCH(2058,Mortality_Matrix!$B$3:$BS$3,0))</f>
        <v>1.41836005706603E-008</v>
      </c>
      <c r="AW93" s="27" t="n">
        <f aca="false">(AW27-INDEX(Mortality_Matrix!$B$4:$BS$64,MATCH($A93,Mortality_Matrix!$A$4:$A$64,0),MATCH(2059,Mortality_Matrix!$B$3:$BS$3,0)))/INDEX(Mortality_Matrix!$B$4:$BS$64,MATCH($A93,Mortality_Matrix!$A$4:$A$64,0),MATCH(2059,Mortality_Matrix!$B$3:$BS$3,0))</f>
        <v>7.94807707614247E-010</v>
      </c>
      <c r="AX93" s="27" t="n">
        <f aca="false">(AX27-INDEX(Mortality_Matrix!$B$4:$BS$64,MATCH($A93,Mortality_Matrix!$A$4:$A$64,0),MATCH(2060,Mortality_Matrix!$B$3:$BS$3,0)))/INDEX(Mortality_Matrix!$B$4:$BS$64,MATCH($A93,Mortality_Matrix!$A$4:$A$64,0),MATCH(2060,Mortality_Matrix!$B$3:$BS$3,0))</f>
        <v>-1.10249163872324E-008</v>
      </c>
      <c r="AY93" s="27" t="n">
        <f aca="false">(AY27-INDEX(Mortality_Matrix!$B$4:$BS$64,MATCH($A93,Mortality_Matrix!$A$4:$A$64,0),MATCH(2061,Mortality_Matrix!$B$3:$BS$3,0)))/INDEX(Mortality_Matrix!$B$4:$BS$64,MATCH($A93,Mortality_Matrix!$A$4:$A$64,0),MATCH(2061,Mortality_Matrix!$B$3:$BS$3,0))</f>
        <v>7.17465904498731E-009</v>
      </c>
      <c r="AZ93" s="27" t="n">
        <f aca="false">(AZ27-INDEX(Mortality_Matrix!$B$4:$BS$64,MATCH($A93,Mortality_Matrix!$A$4:$A$64,0),MATCH(2062,Mortality_Matrix!$B$3:$BS$3,0)))/INDEX(Mortality_Matrix!$B$4:$BS$64,MATCH($A93,Mortality_Matrix!$A$4:$A$64,0),MATCH(2062,Mortality_Matrix!$B$3:$BS$3,0))</f>
        <v>1.75297477188687E-008</v>
      </c>
      <c r="BA93" s="27" t="n">
        <f aca="false">(BA27-INDEX(Mortality_Matrix!$B$4:$BS$64,MATCH($A93,Mortality_Matrix!$A$4:$A$64,0),MATCH(2063,Mortality_Matrix!$B$3:$BS$3,0)))/INDEX(Mortality_Matrix!$B$4:$BS$64,MATCH($A93,Mortality_Matrix!$A$4:$A$64,0),MATCH(2063,Mortality_Matrix!$B$3:$BS$3,0))</f>
        <v>-7.61847169515675E-009</v>
      </c>
      <c r="BB93" s="27" t="n">
        <f aca="false">(BB27-INDEX(Mortality_Matrix!$B$4:$BS$64,MATCH($A93,Mortality_Matrix!$A$4:$A$64,0),MATCH(2064,Mortality_Matrix!$B$3:$BS$3,0)))/INDEX(Mortality_Matrix!$B$4:$BS$64,MATCH($A93,Mortality_Matrix!$A$4:$A$64,0),MATCH(2064,Mortality_Matrix!$B$3:$BS$3,0))</f>
        <v>-1.96812718536345E-009</v>
      </c>
      <c r="BC93" s="27" t="n">
        <f aca="false">(BC27-INDEX(Mortality_Matrix!$B$4:$BS$64,MATCH($A93,Mortality_Matrix!$A$4:$A$64,0),MATCH(2065,Mortality_Matrix!$B$3:$BS$3,0)))/INDEX(Mortality_Matrix!$B$4:$BS$64,MATCH($A93,Mortality_Matrix!$A$4:$A$64,0),MATCH(2065,Mortality_Matrix!$B$3:$BS$3,0))</f>
        <v>-1.13163189515909E-008</v>
      </c>
      <c r="BD93" s="27" t="n">
        <f aca="false">(BD27-INDEX(Mortality_Matrix!$B$4:$BS$64,MATCH($A93,Mortality_Matrix!$A$4:$A$64,0),MATCH(2066,Mortality_Matrix!$B$3:$BS$3,0)))/INDEX(Mortality_Matrix!$B$4:$BS$64,MATCH($A93,Mortality_Matrix!$A$4:$A$64,0),MATCH(2066,Mortality_Matrix!$B$3:$BS$3,0))</f>
        <v>1.2625750677134E-008</v>
      </c>
      <c r="BE93" s="27" t="n">
        <f aca="false">(BE27-INDEX(Mortality_Matrix!$B$4:$BS$64,MATCH($A93,Mortality_Matrix!$A$4:$A$64,0),MATCH(2067,Mortality_Matrix!$B$3:$BS$3,0)))/INDEX(Mortality_Matrix!$B$4:$BS$64,MATCH($A93,Mortality_Matrix!$A$4:$A$64,0),MATCH(2067,Mortality_Matrix!$B$3:$BS$3,0))</f>
        <v>-2.9401082299838E-010</v>
      </c>
      <c r="BF93" s="27" t="n">
        <f aca="false">(BF27-INDEX(Mortality_Matrix!$B$4:$BS$64,MATCH($A93,Mortality_Matrix!$A$4:$A$64,0),MATCH(2068,Mortality_Matrix!$B$3:$BS$3,0)))/INDEX(Mortality_Matrix!$B$4:$BS$64,MATCH($A93,Mortality_Matrix!$A$4:$A$64,0),MATCH(2068,Mortality_Matrix!$B$3:$BS$3,0))</f>
        <v>1.81580275918449E-008</v>
      </c>
      <c r="BG93" s="27" t="n">
        <f aca="false">(BG27-INDEX(Mortality_Matrix!$B$4:$BS$64,MATCH($A93,Mortality_Matrix!$A$4:$A$64,0),MATCH(2069,Mortality_Matrix!$B$3:$BS$3,0)))/INDEX(Mortality_Matrix!$B$4:$BS$64,MATCH($A93,Mortality_Matrix!$A$4:$A$64,0),MATCH(2069,Mortality_Matrix!$B$3:$BS$3,0))</f>
        <v>1.36440436717991E-008</v>
      </c>
      <c r="BH93" s="27" t="n">
        <f aca="false">(BH27-INDEX(Mortality_Matrix!$B$4:$BS$64,MATCH($A93,Mortality_Matrix!$A$4:$A$64,0),MATCH(2070,Mortality_Matrix!$B$3:$BS$3,0)))/INDEX(Mortality_Matrix!$B$4:$BS$64,MATCH($A93,Mortality_Matrix!$A$4:$A$64,0),MATCH(2070,Mortality_Matrix!$B$3:$BS$3,0))</f>
        <v>-1.77476216550007E-008</v>
      </c>
      <c r="BI93" s="27" t="n">
        <f aca="false">(BI27-INDEX(Mortality_Matrix!$B$4:$BS$64,MATCH($A93,Mortality_Matrix!$A$4:$A$64,0),MATCH(2071,Mortality_Matrix!$B$3:$BS$3,0)))/INDEX(Mortality_Matrix!$B$4:$BS$64,MATCH($A93,Mortality_Matrix!$A$4:$A$64,0),MATCH(2071,Mortality_Matrix!$B$3:$BS$3,0))</f>
        <v>2.0170355965009E-008</v>
      </c>
      <c r="BJ93" s="27" t="n">
        <f aca="false">(BJ27-INDEX(Mortality_Matrix!$B$4:$BS$64,MATCH($A93,Mortality_Matrix!$A$4:$A$64,0),MATCH(2072,Mortality_Matrix!$B$3:$BS$3,0)))/INDEX(Mortality_Matrix!$B$4:$BS$64,MATCH($A93,Mortality_Matrix!$A$4:$A$64,0),MATCH(2072,Mortality_Matrix!$B$3:$BS$3,0))</f>
        <v>-1.40105386674689E-010</v>
      </c>
      <c r="BK93" s="27" t="n">
        <f aca="false">(BK27-INDEX(Mortality_Matrix!$B$4:$BS$64,MATCH($A93,Mortality_Matrix!$A$4:$A$64,0),MATCH(2073,Mortality_Matrix!$B$3:$BS$3,0)))/INDEX(Mortality_Matrix!$B$4:$BS$64,MATCH($A93,Mortality_Matrix!$A$4:$A$64,0),MATCH(2073,Mortality_Matrix!$B$3:$BS$3,0))</f>
        <v>-1.64440993275698E-008</v>
      </c>
      <c r="BL93" s="27" t="n">
        <f aca="false">(BL27-INDEX(Mortality_Matrix!$B$4:$BS$64,MATCH($A93,Mortality_Matrix!$A$4:$A$64,0),MATCH(2074,Mortality_Matrix!$B$3:$BS$3,0)))/INDEX(Mortality_Matrix!$B$4:$BS$64,MATCH($A93,Mortality_Matrix!$A$4:$A$64,0),MATCH(2074,Mortality_Matrix!$B$3:$BS$3,0))</f>
        <v>-6.22063345214386E-009</v>
      </c>
      <c r="BM93" s="27" t="n">
        <f aca="false">(BM27-INDEX(Mortality_Matrix!$B$4:$BS$64,MATCH($A93,Mortality_Matrix!$A$4:$A$64,0),MATCH(2075,Mortality_Matrix!$B$3:$BS$3,0)))/INDEX(Mortality_Matrix!$B$4:$BS$64,MATCH($A93,Mortality_Matrix!$A$4:$A$64,0),MATCH(2075,Mortality_Matrix!$B$3:$BS$3,0))</f>
        <v>9.34809651335016E-009</v>
      </c>
      <c r="BN93" s="27" t="n">
        <f aca="false">(BN27-INDEX(Mortality_Matrix!$B$4:$BS$64,MATCH($A93,Mortality_Matrix!$A$4:$A$64,0),MATCH(2076,Mortality_Matrix!$B$3:$BS$3,0)))/INDEX(Mortality_Matrix!$B$4:$BS$64,MATCH($A93,Mortality_Matrix!$A$4:$A$64,0),MATCH(2076,Mortality_Matrix!$B$3:$BS$3,0))</f>
        <v>1.13551843350806E-008</v>
      </c>
      <c r="BO93" s="27" t="n">
        <f aca="false">(BO27-INDEX(Mortality_Matrix!$B$4:$BS$64,MATCH($A93,Mortality_Matrix!$A$4:$A$64,0),MATCH(2077,Mortality_Matrix!$B$3:$BS$3,0)))/INDEX(Mortality_Matrix!$B$4:$BS$64,MATCH($A93,Mortality_Matrix!$A$4:$A$64,0),MATCH(2077,Mortality_Matrix!$B$3:$BS$3,0))</f>
        <v>-1.74266595792922E-008</v>
      </c>
      <c r="BP93" s="27" t="n">
        <f aca="false">(BP27-INDEX(Mortality_Matrix!$B$4:$BS$64,MATCH($A93,Mortality_Matrix!$A$4:$A$64,0),MATCH(2078,Mortality_Matrix!$B$3:$BS$3,0)))/INDEX(Mortality_Matrix!$B$4:$BS$64,MATCH($A93,Mortality_Matrix!$A$4:$A$64,0),MATCH(2078,Mortality_Matrix!$B$3:$BS$3,0))</f>
        <v>1.0241974563669E-008</v>
      </c>
      <c r="BQ93" s="27" t="n">
        <f aca="false">(BQ27-INDEX(Mortality_Matrix!$B$4:$BS$64,MATCH($A93,Mortality_Matrix!$A$4:$A$64,0),MATCH(2079,Mortality_Matrix!$B$3:$BS$3,0)))/INDEX(Mortality_Matrix!$B$4:$BS$64,MATCH($A93,Mortality_Matrix!$A$4:$A$64,0),MATCH(2079,Mortality_Matrix!$B$3:$BS$3,0))</f>
        <v>-2.17858574740878E-008</v>
      </c>
      <c r="BR93" s="27" t="n">
        <f aca="false">(BR27-INDEX(Mortality_Matrix!$B$4:$BS$64,MATCH($A93,Mortality_Matrix!$A$4:$A$64,0),MATCH(2080,Mortality_Matrix!$B$3:$BS$3,0)))/INDEX(Mortality_Matrix!$B$4:$BS$64,MATCH($A93,Mortality_Matrix!$A$4:$A$64,0),MATCH(2080,Mortality_Matrix!$B$3:$BS$3,0))</f>
        <v>-2.31184626046938E-008</v>
      </c>
      <c r="BS93" s="27" t="n">
        <f aca="false">(BS27-INDEX(Mortality_Matrix!$B$4:$BS$64,MATCH($A93,Mortality_Matrix!$A$4:$A$64,0),MATCH(2081,Mortality_Matrix!$B$3:$BS$3,0)))/INDEX(Mortality_Matrix!$B$4:$BS$64,MATCH($A93,Mortality_Matrix!$A$4:$A$64,0),MATCH(2081,Mortality_Matrix!$B$3:$BS$3,0))</f>
        <v>-6.34252006427818E-009</v>
      </c>
      <c r="BT93" s="27" t="n">
        <f aca="false">(BT27-INDEX(Mortality_Matrix!$B$4:$BS$64,MATCH($A93,Mortality_Matrix!$A$4:$A$64,0),MATCH(2082,Mortality_Matrix!$B$3:$BS$3,0)))/INDEX(Mortality_Matrix!$B$4:$BS$64,MATCH($A93,Mortality_Matrix!$A$4:$A$64,0),MATCH(2082,Mortality_Matrix!$B$3:$BS$3,0))</f>
        <v>1.39852971935921E-008</v>
      </c>
      <c r="BU93" s="27" t="n">
        <f aca="false">(BU27-INDEX(Mortality_Matrix!$B$4:$BS$64,MATCH($A93,Mortality_Matrix!$A$4:$A$64,0),MATCH(2083,Mortality_Matrix!$B$3:$BS$3,0)))/INDEX(Mortality_Matrix!$B$4:$BS$64,MATCH($A93,Mortality_Matrix!$A$4:$A$64,0),MATCH(2083,Mortality_Matrix!$B$3:$BS$3,0))</f>
        <v>2.03996176006976E-008</v>
      </c>
      <c r="BV93" s="27" t="n">
        <f aca="false">(BV27-INDEX(Mortality_Matrix!$B$4:$BS$64,MATCH($A93,Mortality_Matrix!$A$4:$A$64,0),MATCH(2084,Mortality_Matrix!$B$3:$BS$3,0)))/INDEX(Mortality_Matrix!$B$4:$BS$64,MATCH($A93,Mortality_Matrix!$A$4:$A$64,0),MATCH(2084,Mortality_Matrix!$B$3:$BS$3,0))</f>
        <v>-8.47968757596162E-009</v>
      </c>
      <c r="BW93" s="27" t="n">
        <f aca="false">(BW27-INDEX(Mortality_Matrix!$B$4:$BS$64,MATCH($A93,Mortality_Matrix!$A$4:$A$64,0),MATCH(2085,Mortality_Matrix!$B$3:$BS$3,0)))/INDEX(Mortality_Matrix!$B$4:$BS$64,MATCH($A93,Mortality_Matrix!$A$4:$A$64,0),MATCH(2085,Mortality_Matrix!$B$3:$BS$3,0))</f>
        <v>1.59528885848564E-008</v>
      </c>
      <c r="BX93" s="27" t="n">
        <f aca="false">(BX27-INDEX(Mortality_Matrix!$B$4:$BS$64,MATCH($A93,Mortality_Matrix!$A$4:$A$64,0),MATCH(2086,Mortality_Matrix!$B$3:$BS$3,0)))/INDEX(Mortality_Matrix!$B$4:$BS$64,MATCH($A93,Mortality_Matrix!$A$4:$A$64,0),MATCH(2086,Mortality_Matrix!$B$3:$BS$3,0))</f>
        <v>8.07376563157544E-009</v>
      </c>
      <c r="BY93" s="27" t="n">
        <f aca="false">(BY27-INDEX(Mortality_Matrix!$B$4:$BS$64,MATCH($A93,Mortality_Matrix!$A$4:$A$64,0),MATCH(2087,Mortality_Matrix!$B$3:$BS$3,0)))/INDEX(Mortality_Matrix!$B$4:$BS$64,MATCH($A93,Mortality_Matrix!$A$4:$A$64,0),MATCH(2087,Mortality_Matrix!$B$3:$BS$3,0))</f>
        <v>-9.99829644464778E-009</v>
      </c>
      <c r="BZ93" s="27" t="n">
        <f aca="false">(BZ27-INDEX(Mortality_Matrix!$B$4:$BS$64,MATCH($A93,Mortality_Matrix!$A$4:$A$64,0),MATCH(2088,Mortality_Matrix!$B$3:$BS$3,0)))/INDEX(Mortality_Matrix!$B$4:$BS$64,MATCH($A93,Mortality_Matrix!$A$4:$A$64,0),MATCH(2088,Mortality_Matrix!$B$3:$BS$3,0))</f>
        <v>-2.11269686611713E-008</v>
      </c>
      <c r="CA93" s="27" t="n">
        <f aca="false">(CA27-INDEX(Mortality_Matrix!$B$4:$BS$64,MATCH($A93,Mortality_Matrix!$A$4:$A$64,0),MATCH(2089,Mortality_Matrix!$B$3:$BS$3,0)))/INDEX(Mortality_Matrix!$B$4:$BS$64,MATCH($A93,Mortality_Matrix!$A$4:$A$64,0),MATCH(2089,Mortality_Matrix!$B$3:$BS$3,0))</f>
        <v>-1.44091531249226E-008</v>
      </c>
      <c r="CB93" s="27" t="n">
        <f aca="false">(CB27-INDEX(Mortality_Matrix!$B$4:$BS$64,MATCH($A93,Mortality_Matrix!$A$4:$A$64,0),MATCH(2090,Mortality_Matrix!$B$3:$BS$3,0)))/INDEX(Mortality_Matrix!$B$4:$BS$64,MATCH($A93,Mortality_Matrix!$A$4:$A$64,0),MATCH(2090,Mortality_Matrix!$B$3:$BS$3,0))</f>
        <v>1.34913277860459E-008</v>
      </c>
      <c r="CC93" s="27" t="n">
        <f aca="false">(CC27-INDEX(Mortality_Matrix!$B$4:$BS$64,MATCH($A93,Mortality_Matrix!$A$4:$A$64,0),MATCH(2091,Mortality_Matrix!$B$3:$BS$3,0)))/INDEX(Mortality_Matrix!$B$4:$BS$64,MATCH($A93,Mortality_Matrix!$A$4:$A$64,0),MATCH(2091,Mortality_Matrix!$B$3:$BS$3,0))</f>
        <v>-6.02169906646783E-009</v>
      </c>
    </row>
    <row r="94" customFormat="false" ht="15" hidden="false" customHeight="true" outlineLevel="0" collapsed="false">
      <c r="A94" s="3" t="n">
        <v>65</v>
      </c>
      <c r="L94" s="27" t="n">
        <f aca="false">(L28-INDEX(Mortality_Matrix!$B$4:$BS$64,MATCH($A94,Mortality_Matrix!$A$4:$A$64,0),MATCH(2022,Mortality_Matrix!$B$3:$BS$3,0)))/INDEX(Mortality_Matrix!$B$4:$BS$64,MATCH($A94,Mortality_Matrix!$A$4:$A$64,0),MATCH(2022,Mortality_Matrix!$B$3:$BS$3,0))</f>
        <v>-8.29966652784119E-009</v>
      </c>
      <c r="M94" s="27" t="n">
        <f aca="false">(M28-INDEX(Mortality_Matrix!$B$4:$BS$64,MATCH($A94,Mortality_Matrix!$A$4:$A$64,0),MATCH(2023,Mortality_Matrix!$B$3:$BS$3,0)))/INDEX(Mortality_Matrix!$B$4:$BS$64,MATCH($A94,Mortality_Matrix!$A$4:$A$64,0),MATCH(2023,Mortality_Matrix!$B$3:$BS$3,0))</f>
        <v>-7.50353525380865E-009</v>
      </c>
      <c r="N94" s="27" t="n">
        <f aca="false">(N28-INDEX(Mortality_Matrix!$B$4:$BS$64,MATCH($A94,Mortality_Matrix!$A$4:$A$64,0),MATCH(2024,Mortality_Matrix!$B$3:$BS$3,0)))/INDEX(Mortality_Matrix!$B$4:$BS$64,MATCH($A94,Mortality_Matrix!$A$4:$A$64,0),MATCH(2024,Mortality_Matrix!$B$3:$BS$3,0))</f>
        <v>-7.95676197876516E-009</v>
      </c>
      <c r="O94" s="27" t="n">
        <f aca="false">(O28-INDEX(Mortality_Matrix!$B$4:$BS$64,MATCH($A94,Mortality_Matrix!$A$4:$A$64,0),MATCH(2025,Mortality_Matrix!$B$3:$BS$3,0)))/INDEX(Mortality_Matrix!$B$4:$BS$64,MATCH($A94,Mortality_Matrix!$A$4:$A$64,0),MATCH(2025,Mortality_Matrix!$B$3:$BS$3,0))</f>
        <v>7.49869212103052E-009</v>
      </c>
      <c r="P94" s="27" t="n">
        <f aca="false">(P28-INDEX(Mortality_Matrix!$B$4:$BS$64,MATCH($A94,Mortality_Matrix!$A$4:$A$64,0),MATCH(2026,Mortality_Matrix!$B$3:$BS$3,0)))/INDEX(Mortality_Matrix!$B$4:$BS$64,MATCH($A94,Mortality_Matrix!$A$4:$A$64,0),MATCH(2026,Mortality_Matrix!$B$3:$BS$3,0))</f>
        <v>-2.26615328831923E-009</v>
      </c>
      <c r="Q94" s="27" t="n">
        <f aca="false">(Q28-INDEX(Mortality_Matrix!$B$4:$BS$64,MATCH($A94,Mortality_Matrix!$A$4:$A$64,0),MATCH(2027,Mortality_Matrix!$B$3:$BS$3,0)))/INDEX(Mortality_Matrix!$B$4:$BS$64,MATCH($A94,Mortality_Matrix!$A$4:$A$64,0),MATCH(2027,Mortality_Matrix!$B$3:$BS$3,0))</f>
        <v>-5.63512907276816E-011</v>
      </c>
      <c r="R94" s="27" t="n">
        <f aca="false">(R28-INDEX(Mortality_Matrix!$B$4:$BS$64,MATCH($A94,Mortality_Matrix!$A$4:$A$64,0),MATCH(2028,Mortality_Matrix!$B$3:$BS$3,0)))/INDEX(Mortality_Matrix!$B$4:$BS$64,MATCH($A94,Mortality_Matrix!$A$4:$A$64,0),MATCH(2028,Mortality_Matrix!$B$3:$BS$3,0))</f>
        <v>3.53743626088893E-009</v>
      </c>
      <c r="S94" s="27" t="n">
        <f aca="false">(S28-INDEX(Mortality_Matrix!$B$4:$BS$64,MATCH($A94,Mortality_Matrix!$A$4:$A$64,0),MATCH(2029,Mortality_Matrix!$B$3:$BS$3,0)))/INDEX(Mortality_Matrix!$B$4:$BS$64,MATCH($A94,Mortality_Matrix!$A$4:$A$64,0),MATCH(2029,Mortality_Matrix!$B$3:$BS$3,0))</f>
        <v>-5.25944274469916E-009</v>
      </c>
      <c r="T94" s="27" t="n">
        <f aca="false">(T28-INDEX(Mortality_Matrix!$B$4:$BS$64,MATCH($A94,Mortality_Matrix!$A$4:$A$64,0),MATCH(2030,Mortality_Matrix!$B$3:$BS$3,0)))/INDEX(Mortality_Matrix!$B$4:$BS$64,MATCH($A94,Mortality_Matrix!$A$4:$A$64,0),MATCH(2030,Mortality_Matrix!$B$3:$BS$3,0))</f>
        <v>4.71510156256659E-009</v>
      </c>
      <c r="U94" s="27" t="n">
        <f aca="false">(U28-INDEX(Mortality_Matrix!$B$4:$BS$64,MATCH($A94,Mortality_Matrix!$A$4:$A$64,0),MATCH(2031,Mortality_Matrix!$B$3:$BS$3,0)))/INDEX(Mortality_Matrix!$B$4:$BS$64,MATCH($A94,Mortality_Matrix!$A$4:$A$64,0),MATCH(2031,Mortality_Matrix!$B$3:$BS$3,0))</f>
        <v>-7.72323507202662E-009</v>
      </c>
      <c r="V94" s="27" t="n">
        <f aca="false">(V28-INDEX(Mortality_Matrix!$B$4:$BS$64,MATCH($A94,Mortality_Matrix!$A$4:$A$64,0),MATCH(2032,Mortality_Matrix!$B$3:$BS$3,0)))/INDEX(Mortality_Matrix!$B$4:$BS$64,MATCH($A94,Mortality_Matrix!$A$4:$A$64,0),MATCH(2032,Mortality_Matrix!$B$3:$BS$3,0))</f>
        <v>-4.99401906395641E-009</v>
      </c>
      <c r="W94" s="27" t="n">
        <f aca="false">(W28-INDEX(Mortality_Matrix!$B$4:$BS$64,MATCH($A94,Mortality_Matrix!$A$4:$A$64,0),MATCH(2033,Mortality_Matrix!$B$3:$BS$3,0)))/INDEX(Mortality_Matrix!$B$4:$BS$64,MATCH($A94,Mortality_Matrix!$A$4:$A$64,0),MATCH(2033,Mortality_Matrix!$B$3:$BS$3,0))</f>
        <v>3.99148642260504E-009</v>
      </c>
      <c r="X94" s="27" t="n">
        <f aca="false">(X28-INDEX(Mortality_Matrix!$B$4:$BS$64,MATCH($A94,Mortality_Matrix!$A$4:$A$64,0),MATCH(2034,Mortality_Matrix!$B$3:$BS$3,0)))/INDEX(Mortality_Matrix!$B$4:$BS$64,MATCH($A94,Mortality_Matrix!$A$4:$A$64,0),MATCH(2034,Mortality_Matrix!$B$3:$BS$3,0))</f>
        <v>-8.50417512316512E-009</v>
      </c>
      <c r="Y94" s="27" t="n">
        <f aca="false">(Y28-INDEX(Mortality_Matrix!$B$4:$BS$64,MATCH($A94,Mortality_Matrix!$A$4:$A$64,0),MATCH(2035,Mortality_Matrix!$B$3:$BS$3,0)))/INDEX(Mortality_Matrix!$B$4:$BS$64,MATCH($A94,Mortality_Matrix!$A$4:$A$64,0),MATCH(2035,Mortality_Matrix!$B$3:$BS$3,0))</f>
        <v>-4.67132581514421E-009</v>
      </c>
      <c r="Z94" s="27" t="n">
        <f aca="false">(Z28-INDEX(Mortality_Matrix!$B$4:$BS$64,MATCH($A94,Mortality_Matrix!$A$4:$A$64,0),MATCH(2036,Mortality_Matrix!$B$3:$BS$3,0)))/INDEX(Mortality_Matrix!$B$4:$BS$64,MATCH($A94,Mortality_Matrix!$A$4:$A$64,0),MATCH(2036,Mortality_Matrix!$B$3:$BS$3,0))</f>
        <v>-9.97085565400403E-009</v>
      </c>
      <c r="AA94" s="27" t="n">
        <f aca="false">(AA28-INDEX(Mortality_Matrix!$B$4:$BS$64,MATCH($A94,Mortality_Matrix!$A$4:$A$64,0),MATCH(2037,Mortality_Matrix!$B$3:$BS$3,0)))/INDEX(Mortality_Matrix!$B$4:$BS$64,MATCH($A94,Mortality_Matrix!$A$4:$A$64,0),MATCH(2037,Mortality_Matrix!$B$3:$BS$3,0))</f>
        <v>4.71983515180112E-009</v>
      </c>
      <c r="AB94" s="27" t="n">
        <f aca="false">(AB28-INDEX(Mortality_Matrix!$B$4:$BS$64,MATCH($A94,Mortality_Matrix!$A$4:$A$64,0),MATCH(2038,Mortality_Matrix!$B$3:$BS$3,0)))/INDEX(Mortality_Matrix!$B$4:$BS$64,MATCH($A94,Mortality_Matrix!$A$4:$A$64,0),MATCH(2038,Mortality_Matrix!$B$3:$BS$3,0))</f>
        <v>5.80233240893118E-009</v>
      </c>
      <c r="AC94" s="27" t="n">
        <f aca="false">(AC28-INDEX(Mortality_Matrix!$B$4:$BS$64,MATCH($A94,Mortality_Matrix!$A$4:$A$64,0),MATCH(2039,Mortality_Matrix!$B$3:$BS$3,0)))/INDEX(Mortality_Matrix!$B$4:$BS$64,MATCH($A94,Mortality_Matrix!$A$4:$A$64,0),MATCH(2039,Mortality_Matrix!$B$3:$BS$3,0))</f>
        <v>2.26116820527229E-009</v>
      </c>
      <c r="AD94" s="27" t="n">
        <f aca="false">(AD28-INDEX(Mortality_Matrix!$B$4:$BS$64,MATCH($A94,Mortality_Matrix!$A$4:$A$64,0),MATCH(2040,Mortality_Matrix!$B$3:$BS$3,0)))/INDEX(Mortality_Matrix!$B$4:$BS$64,MATCH($A94,Mortality_Matrix!$A$4:$A$64,0),MATCH(2040,Mortality_Matrix!$B$3:$BS$3,0))</f>
        <v>7.83975698091294E-009</v>
      </c>
      <c r="AE94" s="27" t="n">
        <f aca="false">(AE28-INDEX(Mortality_Matrix!$B$4:$BS$64,MATCH($A94,Mortality_Matrix!$A$4:$A$64,0),MATCH(2041,Mortality_Matrix!$B$3:$BS$3,0)))/INDEX(Mortality_Matrix!$B$4:$BS$64,MATCH($A94,Mortality_Matrix!$A$4:$A$64,0),MATCH(2041,Mortality_Matrix!$B$3:$BS$3,0))</f>
        <v>-9.78015134838077E-009</v>
      </c>
      <c r="AF94" s="27" t="n">
        <f aca="false">(AF28-INDEX(Mortality_Matrix!$B$4:$BS$64,MATCH($A94,Mortality_Matrix!$A$4:$A$64,0),MATCH(2042,Mortality_Matrix!$B$3:$BS$3,0)))/INDEX(Mortality_Matrix!$B$4:$BS$64,MATCH($A94,Mortality_Matrix!$A$4:$A$64,0),MATCH(2042,Mortality_Matrix!$B$3:$BS$3,0))</f>
        <v>-5.56363971509466E-009</v>
      </c>
      <c r="AG94" s="27" t="n">
        <f aca="false">(AG28-INDEX(Mortality_Matrix!$B$4:$BS$64,MATCH($A94,Mortality_Matrix!$A$4:$A$64,0),MATCH(2043,Mortality_Matrix!$B$3:$BS$3,0)))/INDEX(Mortality_Matrix!$B$4:$BS$64,MATCH($A94,Mortality_Matrix!$A$4:$A$64,0),MATCH(2043,Mortality_Matrix!$B$3:$BS$3,0))</f>
        <v>-7.63914158975701E-009</v>
      </c>
      <c r="AH94" s="27" t="n">
        <f aca="false">(AH28-INDEX(Mortality_Matrix!$B$4:$BS$64,MATCH($A94,Mortality_Matrix!$A$4:$A$64,0),MATCH(2044,Mortality_Matrix!$B$3:$BS$3,0)))/INDEX(Mortality_Matrix!$B$4:$BS$64,MATCH($A94,Mortality_Matrix!$A$4:$A$64,0),MATCH(2044,Mortality_Matrix!$B$3:$BS$3,0))</f>
        <v>7.90078373635712E-009</v>
      </c>
      <c r="AI94" s="27" t="n">
        <f aca="false">(AI28-INDEX(Mortality_Matrix!$B$4:$BS$64,MATCH($A94,Mortality_Matrix!$A$4:$A$64,0),MATCH(2045,Mortality_Matrix!$B$3:$BS$3,0)))/INDEX(Mortality_Matrix!$B$4:$BS$64,MATCH($A94,Mortality_Matrix!$A$4:$A$64,0),MATCH(2045,Mortality_Matrix!$B$3:$BS$3,0))</f>
        <v>1.32487750858835E-008</v>
      </c>
      <c r="AJ94" s="27" t="n">
        <f aca="false">(AJ28-INDEX(Mortality_Matrix!$B$4:$BS$64,MATCH($A94,Mortality_Matrix!$A$4:$A$64,0),MATCH(2046,Mortality_Matrix!$B$3:$BS$3,0)))/INDEX(Mortality_Matrix!$B$4:$BS$64,MATCH($A94,Mortality_Matrix!$A$4:$A$64,0),MATCH(2046,Mortality_Matrix!$B$3:$BS$3,0))</f>
        <v>5.51183334277412E-009</v>
      </c>
      <c r="AK94" s="27" t="n">
        <f aca="false">(AK28-INDEX(Mortality_Matrix!$B$4:$BS$64,MATCH($A94,Mortality_Matrix!$A$4:$A$64,0),MATCH(2047,Mortality_Matrix!$B$3:$BS$3,0)))/INDEX(Mortality_Matrix!$B$4:$BS$64,MATCH($A94,Mortality_Matrix!$A$4:$A$64,0),MATCH(2047,Mortality_Matrix!$B$3:$BS$3,0))</f>
        <v>7.85448208606551E-009</v>
      </c>
      <c r="AL94" s="27" t="n">
        <f aca="false">(AL28-INDEX(Mortality_Matrix!$B$4:$BS$64,MATCH($A94,Mortality_Matrix!$A$4:$A$64,0),MATCH(2048,Mortality_Matrix!$B$3:$BS$3,0)))/INDEX(Mortality_Matrix!$B$4:$BS$64,MATCH($A94,Mortality_Matrix!$A$4:$A$64,0),MATCH(2048,Mortality_Matrix!$B$3:$BS$3,0))</f>
        <v>-1.32706262523871E-008</v>
      </c>
      <c r="AM94" s="27" t="n">
        <f aca="false">(AM28-INDEX(Mortality_Matrix!$B$4:$BS$64,MATCH($A94,Mortality_Matrix!$A$4:$A$64,0),MATCH(2049,Mortality_Matrix!$B$3:$BS$3,0)))/INDEX(Mortality_Matrix!$B$4:$BS$64,MATCH($A94,Mortality_Matrix!$A$4:$A$64,0),MATCH(2049,Mortality_Matrix!$B$3:$BS$3,0))</f>
        <v>-1.1282180451263E-008</v>
      </c>
      <c r="AN94" s="27" t="n">
        <f aca="false">(AN28-INDEX(Mortality_Matrix!$B$4:$BS$64,MATCH($A94,Mortality_Matrix!$A$4:$A$64,0),MATCH(2050,Mortality_Matrix!$B$3:$BS$3,0)))/INDEX(Mortality_Matrix!$B$4:$BS$64,MATCH($A94,Mortality_Matrix!$A$4:$A$64,0),MATCH(2050,Mortality_Matrix!$B$3:$BS$3,0))</f>
        <v>1.6953495425048E-009</v>
      </c>
      <c r="AO94" s="27" t="n">
        <f aca="false">(AO28-INDEX(Mortality_Matrix!$B$4:$BS$64,MATCH($A94,Mortality_Matrix!$A$4:$A$64,0),MATCH(2051,Mortality_Matrix!$B$3:$BS$3,0)))/INDEX(Mortality_Matrix!$B$4:$BS$64,MATCH($A94,Mortality_Matrix!$A$4:$A$64,0),MATCH(2051,Mortality_Matrix!$B$3:$BS$3,0))</f>
        <v>7.99014709598705E-009</v>
      </c>
      <c r="AP94" s="27" t="n">
        <f aca="false">(AP28-INDEX(Mortality_Matrix!$B$4:$BS$64,MATCH($A94,Mortality_Matrix!$A$4:$A$64,0),MATCH(2052,Mortality_Matrix!$B$3:$BS$3,0)))/INDEX(Mortality_Matrix!$B$4:$BS$64,MATCH($A94,Mortality_Matrix!$A$4:$A$64,0),MATCH(2052,Mortality_Matrix!$B$3:$BS$3,0))</f>
        <v>1.28946052261304E-008</v>
      </c>
      <c r="AQ94" s="27" t="n">
        <f aca="false">(AQ28-INDEX(Mortality_Matrix!$B$4:$BS$64,MATCH($A94,Mortality_Matrix!$A$4:$A$64,0),MATCH(2053,Mortality_Matrix!$B$3:$BS$3,0)))/INDEX(Mortality_Matrix!$B$4:$BS$64,MATCH($A94,Mortality_Matrix!$A$4:$A$64,0),MATCH(2053,Mortality_Matrix!$B$3:$BS$3,0))</f>
        <v>-1.47170179800223E-008</v>
      </c>
      <c r="AR94" s="27" t="n">
        <f aca="false">(AR28-INDEX(Mortality_Matrix!$B$4:$BS$64,MATCH($A94,Mortality_Matrix!$A$4:$A$64,0),MATCH(2054,Mortality_Matrix!$B$3:$BS$3,0)))/INDEX(Mortality_Matrix!$B$4:$BS$64,MATCH($A94,Mortality_Matrix!$A$4:$A$64,0),MATCH(2054,Mortality_Matrix!$B$3:$BS$3,0))</f>
        <v>7.18785054203522E-009</v>
      </c>
      <c r="AS94" s="27" t="n">
        <f aca="false">(AS28-INDEX(Mortality_Matrix!$B$4:$BS$64,MATCH($A94,Mortality_Matrix!$A$4:$A$64,0),MATCH(2055,Mortality_Matrix!$B$3:$BS$3,0)))/INDEX(Mortality_Matrix!$B$4:$BS$64,MATCH($A94,Mortality_Matrix!$A$4:$A$64,0),MATCH(2055,Mortality_Matrix!$B$3:$BS$3,0))</f>
        <v>1.7448743363216E-009</v>
      </c>
      <c r="AT94" s="27" t="n">
        <f aca="false">(AT28-INDEX(Mortality_Matrix!$B$4:$BS$64,MATCH($A94,Mortality_Matrix!$A$4:$A$64,0),MATCH(2056,Mortality_Matrix!$B$3:$BS$3,0)))/INDEX(Mortality_Matrix!$B$4:$BS$64,MATCH($A94,Mortality_Matrix!$A$4:$A$64,0),MATCH(2056,Mortality_Matrix!$B$3:$BS$3,0))</f>
        <v>4.27098364254171E-009</v>
      </c>
      <c r="AU94" s="27" t="n">
        <f aca="false">(AU28-INDEX(Mortality_Matrix!$B$4:$BS$64,MATCH($A94,Mortality_Matrix!$A$4:$A$64,0),MATCH(2057,Mortality_Matrix!$B$3:$BS$3,0)))/INDEX(Mortality_Matrix!$B$4:$BS$64,MATCH($A94,Mortality_Matrix!$A$4:$A$64,0),MATCH(2057,Mortality_Matrix!$B$3:$BS$3,0))</f>
        <v>9.88099802453808E-009</v>
      </c>
      <c r="AV94" s="27" t="n">
        <f aca="false">(AV28-INDEX(Mortality_Matrix!$B$4:$BS$64,MATCH($A94,Mortality_Matrix!$A$4:$A$64,0),MATCH(2058,Mortality_Matrix!$B$3:$BS$3,0)))/INDEX(Mortality_Matrix!$B$4:$BS$64,MATCH($A94,Mortality_Matrix!$A$4:$A$64,0),MATCH(2058,Mortality_Matrix!$B$3:$BS$3,0))</f>
        <v>2.07010057707571E-009</v>
      </c>
      <c r="AW94" s="27" t="n">
        <f aca="false">(AW28-INDEX(Mortality_Matrix!$B$4:$BS$64,MATCH($A94,Mortality_Matrix!$A$4:$A$64,0),MATCH(2059,Mortality_Matrix!$B$3:$BS$3,0)))/INDEX(Mortality_Matrix!$B$4:$BS$64,MATCH($A94,Mortality_Matrix!$A$4:$A$64,0),MATCH(2059,Mortality_Matrix!$B$3:$BS$3,0))</f>
        <v>-1.5937255784899E-008</v>
      </c>
      <c r="AX94" s="27" t="n">
        <f aca="false">(AX28-INDEX(Mortality_Matrix!$B$4:$BS$64,MATCH($A94,Mortality_Matrix!$A$4:$A$64,0),MATCH(2060,Mortality_Matrix!$B$3:$BS$3,0)))/INDEX(Mortality_Matrix!$B$4:$BS$64,MATCH($A94,Mortality_Matrix!$A$4:$A$64,0),MATCH(2060,Mortality_Matrix!$B$3:$BS$3,0))</f>
        <v>1.30784632823019E-008</v>
      </c>
      <c r="AY94" s="27" t="n">
        <f aca="false">(AY28-INDEX(Mortality_Matrix!$B$4:$BS$64,MATCH($A94,Mortality_Matrix!$A$4:$A$64,0),MATCH(2061,Mortality_Matrix!$B$3:$BS$3,0)))/INDEX(Mortality_Matrix!$B$4:$BS$64,MATCH($A94,Mortality_Matrix!$A$4:$A$64,0),MATCH(2061,Mortality_Matrix!$B$3:$BS$3,0))</f>
        <v>-7.13815591317136E-010</v>
      </c>
      <c r="AZ94" s="27" t="n">
        <f aca="false">(AZ28-INDEX(Mortality_Matrix!$B$4:$BS$64,MATCH($A94,Mortality_Matrix!$A$4:$A$64,0),MATCH(2062,Mortality_Matrix!$B$3:$BS$3,0)))/INDEX(Mortality_Matrix!$B$4:$BS$64,MATCH($A94,Mortality_Matrix!$A$4:$A$64,0),MATCH(2062,Mortality_Matrix!$B$3:$BS$3,0))</f>
        <v>4.81796251186038E-009</v>
      </c>
      <c r="BA94" s="27" t="n">
        <f aca="false">(BA28-INDEX(Mortality_Matrix!$B$4:$BS$64,MATCH($A94,Mortality_Matrix!$A$4:$A$64,0),MATCH(2063,Mortality_Matrix!$B$3:$BS$3,0)))/INDEX(Mortality_Matrix!$B$4:$BS$64,MATCH($A94,Mortality_Matrix!$A$4:$A$64,0),MATCH(2063,Mortality_Matrix!$B$3:$BS$3,0))</f>
        <v>9.02997645730245E-009</v>
      </c>
      <c r="BB94" s="27" t="n">
        <f aca="false">(BB28-INDEX(Mortality_Matrix!$B$4:$BS$64,MATCH($A94,Mortality_Matrix!$A$4:$A$64,0),MATCH(2064,Mortality_Matrix!$B$3:$BS$3,0)))/INDEX(Mortality_Matrix!$B$4:$BS$64,MATCH($A94,Mortality_Matrix!$A$4:$A$64,0),MATCH(2064,Mortality_Matrix!$B$3:$BS$3,0))</f>
        <v>8.13911045703114E-009</v>
      </c>
      <c r="BC94" s="27" t="n">
        <f aca="false">(BC28-INDEX(Mortality_Matrix!$B$4:$BS$64,MATCH($A94,Mortality_Matrix!$A$4:$A$64,0),MATCH(2065,Mortality_Matrix!$B$3:$BS$3,0)))/INDEX(Mortality_Matrix!$B$4:$BS$64,MATCH($A94,Mortality_Matrix!$A$4:$A$64,0),MATCH(2065,Mortality_Matrix!$B$3:$BS$3,0))</f>
        <v>1.57363421989066E-008</v>
      </c>
      <c r="BD94" s="27" t="n">
        <f aca="false">(BD28-INDEX(Mortality_Matrix!$B$4:$BS$64,MATCH($A94,Mortality_Matrix!$A$4:$A$64,0),MATCH(2066,Mortality_Matrix!$B$3:$BS$3,0)))/INDEX(Mortality_Matrix!$B$4:$BS$64,MATCH($A94,Mortality_Matrix!$A$4:$A$64,0),MATCH(2066,Mortality_Matrix!$B$3:$BS$3,0))</f>
        <v>-1.01570509508255E-008</v>
      </c>
      <c r="BE94" s="27" t="n">
        <f aca="false">(BE28-INDEX(Mortality_Matrix!$B$4:$BS$64,MATCH($A94,Mortality_Matrix!$A$4:$A$64,0),MATCH(2067,Mortality_Matrix!$B$3:$BS$3,0)))/INDEX(Mortality_Matrix!$B$4:$BS$64,MATCH($A94,Mortality_Matrix!$A$4:$A$64,0),MATCH(2067,Mortality_Matrix!$B$3:$BS$3,0))</f>
        <v>1.42662813762568E-008</v>
      </c>
      <c r="BF94" s="27" t="n">
        <f aca="false">(BF28-INDEX(Mortality_Matrix!$B$4:$BS$64,MATCH($A94,Mortality_Matrix!$A$4:$A$64,0),MATCH(2068,Mortality_Matrix!$B$3:$BS$3,0)))/INDEX(Mortality_Matrix!$B$4:$BS$64,MATCH($A94,Mortality_Matrix!$A$4:$A$64,0),MATCH(2068,Mortality_Matrix!$B$3:$BS$3,0))</f>
        <v>4.61316441316498E-009</v>
      </c>
      <c r="BG94" s="27" t="n">
        <f aca="false">(BG28-INDEX(Mortality_Matrix!$B$4:$BS$64,MATCH($A94,Mortality_Matrix!$A$4:$A$64,0),MATCH(2069,Mortality_Matrix!$B$3:$BS$3,0)))/INDEX(Mortality_Matrix!$B$4:$BS$64,MATCH($A94,Mortality_Matrix!$A$4:$A$64,0),MATCH(2069,Mortality_Matrix!$B$3:$BS$3,0))</f>
        <v>1.92293576693507E-009</v>
      </c>
      <c r="BH94" s="27" t="n">
        <f aca="false">(BH28-INDEX(Mortality_Matrix!$B$4:$BS$64,MATCH($A94,Mortality_Matrix!$A$4:$A$64,0),MATCH(2070,Mortality_Matrix!$B$3:$BS$3,0)))/INDEX(Mortality_Matrix!$B$4:$BS$64,MATCH($A94,Mortality_Matrix!$A$4:$A$64,0),MATCH(2070,Mortality_Matrix!$B$3:$BS$3,0))</f>
        <v>-1.34888164996917E-008</v>
      </c>
      <c r="BI94" s="27" t="n">
        <f aca="false">(BI28-INDEX(Mortality_Matrix!$B$4:$BS$64,MATCH($A94,Mortality_Matrix!$A$4:$A$64,0),MATCH(2071,Mortality_Matrix!$B$3:$BS$3,0)))/INDEX(Mortality_Matrix!$B$4:$BS$64,MATCH($A94,Mortality_Matrix!$A$4:$A$64,0),MATCH(2071,Mortality_Matrix!$B$3:$BS$3,0))</f>
        <v>-8.73546497536768E-009</v>
      </c>
      <c r="BJ94" s="27" t="n">
        <f aca="false">(BJ28-INDEX(Mortality_Matrix!$B$4:$BS$64,MATCH($A94,Mortality_Matrix!$A$4:$A$64,0),MATCH(2072,Mortality_Matrix!$B$3:$BS$3,0)))/INDEX(Mortality_Matrix!$B$4:$BS$64,MATCH($A94,Mortality_Matrix!$A$4:$A$64,0),MATCH(2072,Mortality_Matrix!$B$3:$BS$3,0))</f>
        <v>-1.57729989113765E-008</v>
      </c>
      <c r="BK94" s="27" t="n">
        <f aca="false">(BK28-INDEX(Mortality_Matrix!$B$4:$BS$64,MATCH($A94,Mortality_Matrix!$A$4:$A$64,0),MATCH(2073,Mortality_Matrix!$B$3:$BS$3,0)))/INDEX(Mortality_Matrix!$B$4:$BS$64,MATCH($A94,Mortality_Matrix!$A$4:$A$64,0),MATCH(2073,Mortality_Matrix!$B$3:$BS$3,0))</f>
        <v>-1.47523267843686E-008</v>
      </c>
      <c r="BL94" s="27" t="n">
        <f aca="false">(BL28-INDEX(Mortality_Matrix!$B$4:$BS$64,MATCH($A94,Mortality_Matrix!$A$4:$A$64,0),MATCH(2074,Mortality_Matrix!$B$3:$BS$3,0)))/INDEX(Mortality_Matrix!$B$4:$BS$64,MATCH($A94,Mortality_Matrix!$A$4:$A$64,0),MATCH(2074,Mortality_Matrix!$B$3:$BS$3,0))</f>
        <v>-1.37161115749641E-008</v>
      </c>
      <c r="BM94" s="27" t="n">
        <f aca="false">(BM28-INDEX(Mortality_Matrix!$B$4:$BS$64,MATCH($A94,Mortality_Matrix!$A$4:$A$64,0),MATCH(2075,Mortality_Matrix!$B$3:$BS$3,0)))/INDEX(Mortality_Matrix!$B$4:$BS$64,MATCH($A94,Mortality_Matrix!$A$4:$A$64,0),MATCH(2075,Mortality_Matrix!$B$3:$BS$3,0))</f>
        <v>-9.50813068864262E-009</v>
      </c>
      <c r="BN94" s="27" t="n">
        <f aca="false">(BN28-INDEX(Mortality_Matrix!$B$4:$BS$64,MATCH($A94,Mortality_Matrix!$A$4:$A$64,0),MATCH(2076,Mortality_Matrix!$B$3:$BS$3,0)))/INDEX(Mortality_Matrix!$B$4:$BS$64,MATCH($A94,Mortality_Matrix!$A$4:$A$64,0),MATCH(2076,Mortality_Matrix!$B$3:$BS$3,0))</f>
        <v>1.22793853661718E-008</v>
      </c>
      <c r="BO94" s="27" t="n">
        <f aca="false">(BO28-INDEX(Mortality_Matrix!$B$4:$BS$64,MATCH($A94,Mortality_Matrix!$A$4:$A$64,0),MATCH(2077,Mortality_Matrix!$B$3:$BS$3,0)))/INDEX(Mortality_Matrix!$B$4:$BS$64,MATCH($A94,Mortality_Matrix!$A$4:$A$64,0),MATCH(2077,Mortality_Matrix!$B$3:$BS$3,0))</f>
        <v>-9.40620829254305E-009</v>
      </c>
      <c r="BP94" s="27" t="n">
        <f aca="false">(BP28-INDEX(Mortality_Matrix!$B$4:$BS$64,MATCH($A94,Mortality_Matrix!$A$4:$A$64,0),MATCH(2078,Mortality_Matrix!$B$3:$BS$3,0)))/INDEX(Mortality_Matrix!$B$4:$BS$64,MATCH($A94,Mortality_Matrix!$A$4:$A$64,0),MATCH(2078,Mortality_Matrix!$B$3:$BS$3,0))</f>
        <v>2.48234034575984E-009</v>
      </c>
      <c r="BQ94" s="27" t="n">
        <f aca="false">(BQ28-INDEX(Mortality_Matrix!$B$4:$BS$64,MATCH($A94,Mortality_Matrix!$A$4:$A$64,0),MATCH(2079,Mortality_Matrix!$B$3:$BS$3,0)))/INDEX(Mortality_Matrix!$B$4:$BS$64,MATCH($A94,Mortality_Matrix!$A$4:$A$64,0),MATCH(2079,Mortality_Matrix!$B$3:$BS$3,0))</f>
        <v>4.71745014694363E-009</v>
      </c>
      <c r="BR94" s="27" t="n">
        <f aca="false">(BR28-INDEX(Mortality_Matrix!$B$4:$BS$64,MATCH($A94,Mortality_Matrix!$A$4:$A$64,0),MATCH(2080,Mortality_Matrix!$B$3:$BS$3,0)))/INDEX(Mortality_Matrix!$B$4:$BS$64,MATCH($A94,Mortality_Matrix!$A$4:$A$64,0),MATCH(2080,Mortality_Matrix!$B$3:$BS$3,0))</f>
        <v>5.17127945199507E-009</v>
      </c>
      <c r="BS94" s="27" t="n">
        <f aca="false">(BS28-INDEX(Mortality_Matrix!$B$4:$BS$64,MATCH($A94,Mortality_Matrix!$A$4:$A$64,0),MATCH(2081,Mortality_Matrix!$B$3:$BS$3,0)))/INDEX(Mortality_Matrix!$B$4:$BS$64,MATCH($A94,Mortality_Matrix!$A$4:$A$64,0),MATCH(2081,Mortality_Matrix!$B$3:$BS$3,0))</f>
        <v>1.99149757643724E-008</v>
      </c>
      <c r="BT94" s="27" t="n">
        <f aca="false">(BT28-INDEX(Mortality_Matrix!$B$4:$BS$64,MATCH($A94,Mortality_Matrix!$A$4:$A$64,0),MATCH(2082,Mortality_Matrix!$B$3:$BS$3,0)))/INDEX(Mortality_Matrix!$B$4:$BS$64,MATCH($A94,Mortality_Matrix!$A$4:$A$64,0),MATCH(2082,Mortality_Matrix!$B$3:$BS$3,0))</f>
        <v>-2.05459918715126E-008</v>
      </c>
      <c r="BU94" s="27" t="n">
        <f aca="false">(BU28-INDEX(Mortality_Matrix!$B$4:$BS$64,MATCH($A94,Mortality_Matrix!$A$4:$A$64,0),MATCH(2083,Mortality_Matrix!$B$3:$BS$3,0)))/INDEX(Mortality_Matrix!$B$4:$BS$64,MATCH($A94,Mortality_Matrix!$A$4:$A$64,0),MATCH(2083,Mortality_Matrix!$B$3:$BS$3,0))</f>
        <v>6.2847306340633E-009</v>
      </c>
      <c r="BV94" s="27" t="n">
        <f aca="false">(BV28-INDEX(Mortality_Matrix!$B$4:$BS$64,MATCH($A94,Mortality_Matrix!$A$4:$A$64,0),MATCH(2084,Mortality_Matrix!$B$3:$BS$3,0)))/INDEX(Mortality_Matrix!$B$4:$BS$64,MATCH($A94,Mortality_Matrix!$A$4:$A$64,0),MATCH(2084,Mortality_Matrix!$B$3:$BS$3,0))</f>
        <v>-5.0448950419787E-009</v>
      </c>
      <c r="BW94" s="27" t="n">
        <f aca="false">(BW28-INDEX(Mortality_Matrix!$B$4:$BS$64,MATCH($A94,Mortality_Matrix!$A$4:$A$64,0),MATCH(2085,Mortality_Matrix!$B$3:$BS$3,0)))/INDEX(Mortality_Matrix!$B$4:$BS$64,MATCH($A94,Mortality_Matrix!$A$4:$A$64,0),MATCH(2085,Mortality_Matrix!$B$3:$BS$3,0))</f>
        <v>-1.48339653849268E-008</v>
      </c>
      <c r="BX94" s="27" t="n">
        <f aca="false">(BX28-INDEX(Mortality_Matrix!$B$4:$BS$64,MATCH($A94,Mortality_Matrix!$A$4:$A$64,0),MATCH(2086,Mortality_Matrix!$B$3:$BS$3,0)))/INDEX(Mortality_Matrix!$B$4:$BS$64,MATCH($A94,Mortality_Matrix!$A$4:$A$64,0),MATCH(2086,Mortality_Matrix!$B$3:$BS$3,0))</f>
        <v>2.31794308823459E-008</v>
      </c>
      <c r="BY94" s="27" t="n">
        <f aca="false">(BY28-INDEX(Mortality_Matrix!$B$4:$BS$64,MATCH($A94,Mortality_Matrix!$A$4:$A$64,0),MATCH(2087,Mortality_Matrix!$B$3:$BS$3,0)))/INDEX(Mortality_Matrix!$B$4:$BS$64,MATCH($A94,Mortality_Matrix!$A$4:$A$64,0),MATCH(2087,Mortality_Matrix!$B$3:$BS$3,0))</f>
        <v>1.00630999295413E-008</v>
      </c>
      <c r="BZ94" s="27" t="n">
        <f aca="false">(BZ28-INDEX(Mortality_Matrix!$B$4:$BS$64,MATCH($A94,Mortality_Matrix!$A$4:$A$64,0),MATCH(2088,Mortality_Matrix!$B$3:$BS$3,0)))/INDEX(Mortality_Matrix!$B$4:$BS$64,MATCH($A94,Mortality_Matrix!$A$4:$A$64,0),MATCH(2088,Mortality_Matrix!$B$3:$BS$3,0))</f>
        <v>-2.99689337132181E-009</v>
      </c>
      <c r="CA94" s="27" t="n">
        <f aca="false">(CA28-INDEX(Mortality_Matrix!$B$4:$BS$64,MATCH($A94,Mortality_Matrix!$A$4:$A$64,0),MATCH(2089,Mortality_Matrix!$B$3:$BS$3,0)))/INDEX(Mortality_Matrix!$B$4:$BS$64,MATCH($A94,Mortality_Matrix!$A$4:$A$64,0),MATCH(2089,Mortality_Matrix!$B$3:$BS$3,0))</f>
        <v>-1.18361442491585E-008</v>
      </c>
      <c r="CB94" s="27" t="n">
        <f aca="false">(CB28-INDEX(Mortality_Matrix!$B$4:$BS$64,MATCH($A94,Mortality_Matrix!$A$4:$A$64,0),MATCH(2090,Mortality_Matrix!$B$3:$BS$3,0)))/INDEX(Mortality_Matrix!$B$4:$BS$64,MATCH($A94,Mortality_Matrix!$A$4:$A$64,0),MATCH(2090,Mortality_Matrix!$B$3:$BS$3,0))</f>
        <v>-1.10443331539651E-008</v>
      </c>
      <c r="CC94" s="27" t="n">
        <f aca="false">(CC28-INDEX(Mortality_Matrix!$B$4:$BS$64,MATCH($A94,Mortality_Matrix!$A$4:$A$64,0),MATCH(2091,Mortality_Matrix!$B$3:$BS$3,0)))/INDEX(Mortality_Matrix!$B$4:$BS$64,MATCH($A94,Mortality_Matrix!$A$4:$A$64,0),MATCH(2091,Mortality_Matrix!$B$3:$BS$3,0))</f>
        <v>5.30100529835751E-009</v>
      </c>
    </row>
    <row r="95" customFormat="false" ht="15" hidden="false" customHeight="true" outlineLevel="0" collapsed="false">
      <c r="A95" s="3" t="n">
        <v>66</v>
      </c>
      <c r="L95" s="27" t="n">
        <f aca="false">(L29-INDEX(Mortality_Matrix!$B$4:$BS$64,MATCH($A95,Mortality_Matrix!$A$4:$A$64,0),MATCH(2022,Mortality_Matrix!$B$3:$BS$3,0)))/INDEX(Mortality_Matrix!$B$4:$BS$64,MATCH($A95,Mortality_Matrix!$A$4:$A$64,0),MATCH(2022,Mortality_Matrix!$B$3:$BS$3,0))</f>
        <v>-1.30283911655298E-009</v>
      </c>
      <c r="M95" s="27" t="n">
        <f aca="false">(M29-INDEX(Mortality_Matrix!$B$4:$BS$64,MATCH($A95,Mortality_Matrix!$A$4:$A$64,0),MATCH(2023,Mortality_Matrix!$B$3:$BS$3,0)))/INDEX(Mortality_Matrix!$B$4:$BS$64,MATCH($A95,Mortality_Matrix!$A$4:$A$64,0),MATCH(2023,Mortality_Matrix!$B$3:$BS$3,0))</f>
        <v>1.21951970810546E-009</v>
      </c>
      <c r="N95" s="27" t="n">
        <f aca="false">(N29-INDEX(Mortality_Matrix!$B$4:$BS$64,MATCH($A95,Mortality_Matrix!$A$4:$A$64,0),MATCH(2024,Mortality_Matrix!$B$3:$BS$3,0)))/INDEX(Mortality_Matrix!$B$4:$BS$64,MATCH($A95,Mortality_Matrix!$A$4:$A$64,0),MATCH(2024,Mortality_Matrix!$B$3:$BS$3,0))</f>
        <v>-5.78025696502528E-009</v>
      </c>
      <c r="O95" s="27" t="n">
        <f aca="false">(O29-INDEX(Mortality_Matrix!$B$4:$BS$64,MATCH($A95,Mortality_Matrix!$A$4:$A$64,0),MATCH(2025,Mortality_Matrix!$B$3:$BS$3,0)))/INDEX(Mortality_Matrix!$B$4:$BS$64,MATCH($A95,Mortality_Matrix!$A$4:$A$64,0),MATCH(2025,Mortality_Matrix!$B$3:$BS$3,0))</f>
        <v>7.44958236368284E-009</v>
      </c>
      <c r="P95" s="27" t="n">
        <f aca="false">(P29-INDEX(Mortality_Matrix!$B$4:$BS$64,MATCH($A95,Mortality_Matrix!$A$4:$A$64,0),MATCH(2026,Mortality_Matrix!$B$3:$BS$3,0)))/INDEX(Mortality_Matrix!$B$4:$BS$64,MATCH($A95,Mortality_Matrix!$A$4:$A$64,0),MATCH(2026,Mortality_Matrix!$B$3:$BS$3,0))</f>
        <v>4.57714501317518E-009</v>
      </c>
      <c r="Q95" s="27" t="n">
        <f aca="false">(Q29-INDEX(Mortality_Matrix!$B$4:$BS$64,MATCH($A95,Mortality_Matrix!$A$4:$A$64,0),MATCH(2027,Mortality_Matrix!$B$3:$BS$3,0)))/INDEX(Mortality_Matrix!$B$4:$BS$64,MATCH($A95,Mortality_Matrix!$A$4:$A$64,0),MATCH(2027,Mortality_Matrix!$B$3:$BS$3,0))</f>
        <v>-1.7291224872073E-009</v>
      </c>
      <c r="R95" s="27" t="n">
        <f aca="false">(R29-INDEX(Mortality_Matrix!$B$4:$BS$64,MATCH($A95,Mortality_Matrix!$A$4:$A$64,0),MATCH(2028,Mortality_Matrix!$B$3:$BS$3,0)))/INDEX(Mortality_Matrix!$B$4:$BS$64,MATCH($A95,Mortality_Matrix!$A$4:$A$64,0),MATCH(2028,Mortality_Matrix!$B$3:$BS$3,0))</f>
        <v>-3.07818323878688E-009</v>
      </c>
      <c r="S95" s="27" t="n">
        <f aca="false">(S29-INDEX(Mortality_Matrix!$B$4:$BS$64,MATCH($A95,Mortality_Matrix!$A$4:$A$64,0),MATCH(2029,Mortality_Matrix!$B$3:$BS$3,0)))/INDEX(Mortality_Matrix!$B$4:$BS$64,MATCH($A95,Mortality_Matrix!$A$4:$A$64,0),MATCH(2029,Mortality_Matrix!$B$3:$BS$3,0))</f>
        <v>2.54846136729037E-009</v>
      </c>
      <c r="T95" s="27" t="n">
        <f aca="false">(T29-INDEX(Mortality_Matrix!$B$4:$BS$64,MATCH($A95,Mortality_Matrix!$A$4:$A$64,0),MATCH(2030,Mortality_Matrix!$B$3:$BS$3,0)))/INDEX(Mortality_Matrix!$B$4:$BS$64,MATCH($A95,Mortality_Matrix!$A$4:$A$64,0),MATCH(2030,Mortality_Matrix!$B$3:$BS$3,0))</f>
        <v>3.3104666466973E-009</v>
      </c>
      <c r="U95" s="27" t="n">
        <f aca="false">(U29-INDEX(Mortality_Matrix!$B$4:$BS$64,MATCH($A95,Mortality_Matrix!$A$4:$A$64,0),MATCH(2031,Mortality_Matrix!$B$3:$BS$3,0)))/INDEX(Mortality_Matrix!$B$4:$BS$64,MATCH($A95,Mortality_Matrix!$A$4:$A$64,0),MATCH(2031,Mortality_Matrix!$B$3:$BS$3,0))</f>
        <v>7.53177002186746E-009</v>
      </c>
      <c r="V95" s="27" t="n">
        <f aca="false">(V29-INDEX(Mortality_Matrix!$B$4:$BS$64,MATCH($A95,Mortality_Matrix!$A$4:$A$64,0),MATCH(2032,Mortality_Matrix!$B$3:$BS$3,0)))/INDEX(Mortality_Matrix!$B$4:$BS$64,MATCH($A95,Mortality_Matrix!$A$4:$A$64,0),MATCH(2032,Mortality_Matrix!$B$3:$BS$3,0))</f>
        <v>-2.5357961631465E-009</v>
      </c>
      <c r="W95" s="27" t="n">
        <f aca="false">(W29-INDEX(Mortality_Matrix!$B$4:$BS$64,MATCH($A95,Mortality_Matrix!$A$4:$A$64,0),MATCH(2033,Mortality_Matrix!$B$3:$BS$3,0)))/INDEX(Mortality_Matrix!$B$4:$BS$64,MATCH($A95,Mortality_Matrix!$A$4:$A$64,0),MATCH(2033,Mortality_Matrix!$B$3:$BS$3,0))</f>
        <v>8.86089995240895E-009</v>
      </c>
      <c r="X95" s="27" t="n">
        <f aca="false">(X29-INDEX(Mortality_Matrix!$B$4:$BS$64,MATCH($A95,Mortality_Matrix!$A$4:$A$64,0),MATCH(2034,Mortality_Matrix!$B$3:$BS$3,0)))/INDEX(Mortality_Matrix!$B$4:$BS$64,MATCH($A95,Mortality_Matrix!$A$4:$A$64,0),MATCH(2034,Mortality_Matrix!$B$3:$BS$3,0))</f>
        <v>3.51248923570073E-009</v>
      </c>
      <c r="Y95" s="27" t="n">
        <f aca="false">(Y29-INDEX(Mortality_Matrix!$B$4:$BS$64,MATCH($A95,Mortality_Matrix!$A$4:$A$64,0),MATCH(2035,Mortality_Matrix!$B$3:$BS$3,0)))/INDEX(Mortality_Matrix!$B$4:$BS$64,MATCH($A95,Mortality_Matrix!$A$4:$A$64,0),MATCH(2035,Mortality_Matrix!$B$3:$BS$3,0))</f>
        <v>-7.71765922698756E-009</v>
      </c>
      <c r="Z95" s="27" t="n">
        <f aca="false">(Z29-INDEX(Mortality_Matrix!$B$4:$BS$64,MATCH($A95,Mortality_Matrix!$A$4:$A$64,0),MATCH(2036,Mortality_Matrix!$B$3:$BS$3,0)))/INDEX(Mortality_Matrix!$B$4:$BS$64,MATCH($A95,Mortality_Matrix!$A$4:$A$64,0),MATCH(2036,Mortality_Matrix!$B$3:$BS$3,0))</f>
        <v>-2.08727237447029E-009</v>
      </c>
      <c r="AA95" s="27" t="n">
        <f aca="false">(AA29-INDEX(Mortality_Matrix!$B$4:$BS$64,MATCH($A95,Mortality_Matrix!$A$4:$A$64,0),MATCH(2037,Mortality_Matrix!$B$3:$BS$3,0)))/INDEX(Mortality_Matrix!$B$4:$BS$64,MATCH($A95,Mortality_Matrix!$A$4:$A$64,0),MATCH(2037,Mortality_Matrix!$B$3:$BS$3,0))</f>
        <v>5.5402291499564E-009</v>
      </c>
      <c r="AB95" s="27" t="n">
        <f aca="false">(AB29-INDEX(Mortality_Matrix!$B$4:$BS$64,MATCH($A95,Mortality_Matrix!$A$4:$A$64,0),MATCH(2038,Mortality_Matrix!$B$3:$BS$3,0)))/INDEX(Mortality_Matrix!$B$4:$BS$64,MATCH($A95,Mortality_Matrix!$A$4:$A$64,0),MATCH(2038,Mortality_Matrix!$B$3:$BS$3,0))</f>
        <v>-4.13934152259947E-009</v>
      </c>
      <c r="AC95" s="27" t="n">
        <f aca="false">(AC29-INDEX(Mortality_Matrix!$B$4:$BS$64,MATCH($A95,Mortality_Matrix!$A$4:$A$64,0),MATCH(2039,Mortality_Matrix!$B$3:$BS$3,0)))/INDEX(Mortality_Matrix!$B$4:$BS$64,MATCH($A95,Mortality_Matrix!$A$4:$A$64,0),MATCH(2039,Mortality_Matrix!$B$3:$BS$3,0))</f>
        <v>-3.92096428960598E-009</v>
      </c>
      <c r="AD95" s="27" t="n">
        <f aca="false">(AD29-INDEX(Mortality_Matrix!$B$4:$BS$64,MATCH($A95,Mortality_Matrix!$A$4:$A$64,0),MATCH(2040,Mortality_Matrix!$B$3:$BS$3,0)))/INDEX(Mortality_Matrix!$B$4:$BS$64,MATCH($A95,Mortality_Matrix!$A$4:$A$64,0),MATCH(2040,Mortality_Matrix!$B$3:$BS$3,0))</f>
        <v>1.80536990181228E-010</v>
      </c>
      <c r="AE95" s="27" t="n">
        <f aca="false">(AE29-INDEX(Mortality_Matrix!$B$4:$BS$64,MATCH($A95,Mortality_Matrix!$A$4:$A$64,0),MATCH(2041,Mortality_Matrix!$B$3:$BS$3,0)))/INDEX(Mortality_Matrix!$B$4:$BS$64,MATCH($A95,Mortality_Matrix!$A$4:$A$64,0),MATCH(2041,Mortality_Matrix!$B$3:$BS$3,0))</f>
        <v>1.05341687918536E-008</v>
      </c>
      <c r="AF95" s="27" t="n">
        <f aca="false">(AF29-INDEX(Mortality_Matrix!$B$4:$BS$64,MATCH($A95,Mortality_Matrix!$A$4:$A$64,0),MATCH(2042,Mortality_Matrix!$B$3:$BS$3,0)))/INDEX(Mortality_Matrix!$B$4:$BS$64,MATCH($A95,Mortality_Matrix!$A$4:$A$64,0),MATCH(2042,Mortality_Matrix!$B$3:$BS$3,0))</f>
        <v>-7.97486178863315E-009</v>
      </c>
      <c r="AG95" s="27" t="n">
        <f aca="false">(AG29-INDEX(Mortality_Matrix!$B$4:$BS$64,MATCH($A95,Mortality_Matrix!$A$4:$A$64,0),MATCH(2043,Mortality_Matrix!$B$3:$BS$3,0)))/INDEX(Mortality_Matrix!$B$4:$BS$64,MATCH($A95,Mortality_Matrix!$A$4:$A$64,0),MATCH(2043,Mortality_Matrix!$B$3:$BS$3,0))</f>
        <v>7.56822315487387E-009</v>
      </c>
      <c r="AH95" s="27" t="n">
        <f aca="false">(AH29-INDEX(Mortality_Matrix!$B$4:$BS$64,MATCH($A95,Mortality_Matrix!$A$4:$A$64,0),MATCH(2044,Mortality_Matrix!$B$3:$BS$3,0)))/INDEX(Mortality_Matrix!$B$4:$BS$64,MATCH($A95,Mortality_Matrix!$A$4:$A$64,0),MATCH(2044,Mortality_Matrix!$B$3:$BS$3,0))</f>
        <v>-1.06845095750516E-008</v>
      </c>
      <c r="AI95" s="27" t="n">
        <f aca="false">(AI29-INDEX(Mortality_Matrix!$B$4:$BS$64,MATCH($A95,Mortality_Matrix!$A$4:$A$64,0),MATCH(2045,Mortality_Matrix!$B$3:$BS$3,0)))/INDEX(Mortality_Matrix!$B$4:$BS$64,MATCH($A95,Mortality_Matrix!$A$4:$A$64,0),MATCH(2045,Mortality_Matrix!$B$3:$BS$3,0))</f>
        <v>-9.24987525698191E-009</v>
      </c>
      <c r="AJ95" s="27" t="n">
        <f aca="false">(AJ29-INDEX(Mortality_Matrix!$B$4:$BS$64,MATCH($A95,Mortality_Matrix!$A$4:$A$64,0),MATCH(2046,Mortality_Matrix!$B$3:$BS$3,0)))/INDEX(Mortality_Matrix!$B$4:$BS$64,MATCH($A95,Mortality_Matrix!$A$4:$A$64,0),MATCH(2046,Mortality_Matrix!$B$3:$BS$3,0))</f>
        <v>1.0668689306278E-009</v>
      </c>
      <c r="AK95" s="27" t="n">
        <f aca="false">(AK29-INDEX(Mortality_Matrix!$B$4:$BS$64,MATCH($A95,Mortality_Matrix!$A$4:$A$64,0),MATCH(2047,Mortality_Matrix!$B$3:$BS$3,0)))/INDEX(Mortality_Matrix!$B$4:$BS$64,MATCH($A95,Mortality_Matrix!$A$4:$A$64,0),MATCH(2047,Mortality_Matrix!$B$3:$BS$3,0))</f>
        <v>-1.13785317094606E-008</v>
      </c>
      <c r="AL95" s="27" t="n">
        <f aca="false">(AL29-INDEX(Mortality_Matrix!$B$4:$BS$64,MATCH($A95,Mortality_Matrix!$A$4:$A$64,0),MATCH(2048,Mortality_Matrix!$B$3:$BS$3,0)))/INDEX(Mortality_Matrix!$B$4:$BS$64,MATCH($A95,Mortality_Matrix!$A$4:$A$64,0),MATCH(2048,Mortality_Matrix!$B$3:$BS$3,0))</f>
        <v>-1.37067095287079E-009</v>
      </c>
      <c r="AM95" s="27" t="n">
        <f aca="false">(AM29-INDEX(Mortality_Matrix!$B$4:$BS$64,MATCH($A95,Mortality_Matrix!$A$4:$A$64,0),MATCH(2049,Mortality_Matrix!$B$3:$BS$3,0)))/INDEX(Mortality_Matrix!$B$4:$BS$64,MATCH($A95,Mortality_Matrix!$A$4:$A$64,0),MATCH(2049,Mortality_Matrix!$B$3:$BS$3,0))</f>
        <v>5.86851783688472E-009</v>
      </c>
      <c r="AN95" s="27" t="n">
        <f aca="false">(AN29-INDEX(Mortality_Matrix!$B$4:$BS$64,MATCH($A95,Mortality_Matrix!$A$4:$A$64,0),MATCH(2050,Mortality_Matrix!$B$3:$BS$3,0)))/INDEX(Mortality_Matrix!$B$4:$BS$64,MATCH($A95,Mortality_Matrix!$A$4:$A$64,0),MATCH(2050,Mortality_Matrix!$B$3:$BS$3,0))</f>
        <v>1.1541762277834E-008</v>
      </c>
      <c r="AO95" s="27" t="n">
        <f aca="false">(AO29-INDEX(Mortality_Matrix!$B$4:$BS$64,MATCH($A95,Mortality_Matrix!$A$4:$A$64,0),MATCH(2051,Mortality_Matrix!$B$3:$BS$3,0)))/INDEX(Mortality_Matrix!$B$4:$BS$64,MATCH($A95,Mortality_Matrix!$A$4:$A$64,0),MATCH(2051,Mortality_Matrix!$B$3:$BS$3,0))</f>
        <v>-7.83156878250508E-009</v>
      </c>
      <c r="AP95" s="27" t="n">
        <f aca="false">(AP29-INDEX(Mortality_Matrix!$B$4:$BS$64,MATCH($A95,Mortality_Matrix!$A$4:$A$64,0),MATCH(2052,Mortality_Matrix!$B$3:$BS$3,0)))/INDEX(Mortality_Matrix!$B$4:$BS$64,MATCH($A95,Mortality_Matrix!$A$4:$A$64,0),MATCH(2052,Mortality_Matrix!$B$3:$BS$3,0))</f>
        <v>3.19865795927863E-009</v>
      </c>
      <c r="AQ95" s="27" t="n">
        <f aca="false">(AQ29-INDEX(Mortality_Matrix!$B$4:$BS$64,MATCH($A95,Mortality_Matrix!$A$4:$A$64,0),MATCH(2053,Mortality_Matrix!$B$3:$BS$3,0)))/INDEX(Mortality_Matrix!$B$4:$BS$64,MATCH($A95,Mortality_Matrix!$A$4:$A$64,0),MATCH(2053,Mortality_Matrix!$B$3:$BS$3,0))</f>
        <v>-4.62659019048233E-009</v>
      </c>
      <c r="AR95" s="27" t="n">
        <f aca="false">(AR29-INDEX(Mortality_Matrix!$B$4:$BS$64,MATCH($A95,Mortality_Matrix!$A$4:$A$64,0),MATCH(2054,Mortality_Matrix!$B$3:$BS$3,0)))/INDEX(Mortality_Matrix!$B$4:$BS$64,MATCH($A95,Mortality_Matrix!$A$4:$A$64,0),MATCH(2054,Mortality_Matrix!$B$3:$BS$3,0))</f>
        <v>-2.43502766267831E-009</v>
      </c>
      <c r="AS95" s="27" t="n">
        <f aca="false">(AS29-INDEX(Mortality_Matrix!$B$4:$BS$64,MATCH($A95,Mortality_Matrix!$A$4:$A$64,0),MATCH(2055,Mortality_Matrix!$B$3:$BS$3,0)))/INDEX(Mortality_Matrix!$B$4:$BS$64,MATCH($A95,Mortality_Matrix!$A$4:$A$64,0),MATCH(2055,Mortality_Matrix!$B$3:$BS$3,0))</f>
        <v>1.07755335876637E-008</v>
      </c>
      <c r="AT95" s="27" t="n">
        <f aca="false">(AT29-INDEX(Mortality_Matrix!$B$4:$BS$64,MATCH($A95,Mortality_Matrix!$A$4:$A$64,0),MATCH(2056,Mortality_Matrix!$B$3:$BS$3,0)))/INDEX(Mortality_Matrix!$B$4:$BS$64,MATCH($A95,Mortality_Matrix!$A$4:$A$64,0),MATCH(2056,Mortality_Matrix!$B$3:$BS$3,0))</f>
        <v>5.12848629523542E-009</v>
      </c>
      <c r="AU95" s="27" t="n">
        <f aca="false">(AU29-INDEX(Mortality_Matrix!$B$4:$BS$64,MATCH($A95,Mortality_Matrix!$A$4:$A$64,0),MATCH(2057,Mortality_Matrix!$B$3:$BS$3,0)))/INDEX(Mortality_Matrix!$B$4:$BS$64,MATCH($A95,Mortality_Matrix!$A$4:$A$64,0),MATCH(2057,Mortality_Matrix!$B$3:$BS$3,0))</f>
        <v>2.69194300596817E-009</v>
      </c>
      <c r="AV95" s="27" t="n">
        <f aca="false">(AV29-INDEX(Mortality_Matrix!$B$4:$BS$64,MATCH($A95,Mortality_Matrix!$A$4:$A$64,0),MATCH(2058,Mortality_Matrix!$B$3:$BS$3,0)))/INDEX(Mortality_Matrix!$B$4:$BS$64,MATCH($A95,Mortality_Matrix!$A$4:$A$64,0),MATCH(2058,Mortality_Matrix!$B$3:$BS$3,0))</f>
        <v>-6.6206139615761E-009</v>
      </c>
      <c r="AW95" s="27" t="n">
        <f aca="false">(AW29-INDEX(Mortality_Matrix!$B$4:$BS$64,MATCH($A95,Mortality_Matrix!$A$4:$A$64,0),MATCH(2059,Mortality_Matrix!$B$3:$BS$3,0)))/INDEX(Mortality_Matrix!$B$4:$BS$64,MATCH($A95,Mortality_Matrix!$A$4:$A$64,0),MATCH(2059,Mortality_Matrix!$B$3:$BS$3,0))</f>
        <v>-9.27965621611019E-009</v>
      </c>
      <c r="AX95" s="27" t="n">
        <f aca="false">(AX29-INDEX(Mortality_Matrix!$B$4:$BS$64,MATCH($A95,Mortality_Matrix!$A$4:$A$64,0),MATCH(2060,Mortality_Matrix!$B$3:$BS$3,0)))/INDEX(Mortality_Matrix!$B$4:$BS$64,MATCH($A95,Mortality_Matrix!$A$4:$A$64,0),MATCH(2060,Mortality_Matrix!$B$3:$BS$3,0))</f>
        <v>2.86825267394256E-009</v>
      </c>
      <c r="AY95" s="27" t="n">
        <f aca="false">(AY29-INDEX(Mortality_Matrix!$B$4:$BS$64,MATCH($A95,Mortality_Matrix!$A$4:$A$64,0),MATCH(2061,Mortality_Matrix!$B$3:$BS$3,0)))/INDEX(Mortality_Matrix!$B$4:$BS$64,MATCH($A95,Mortality_Matrix!$A$4:$A$64,0),MATCH(2061,Mortality_Matrix!$B$3:$BS$3,0))</f>
        <v>8.88897880993807E-010</v>
      </c>
      <c r="AZ95" s="27" t="n">
        <f aca="false">(AZ29-INDEX(Mortality_Matrix!$B$4:$BS$64,MATCH($A95,Mortality_Matrix!$A$4:$A$64,0),MATCH(2062,Mortality_Matrix!$B$3:$BS$3,0)))/INDEX(Mortality_Matrix!$B$4:$BS$64,MATCH($A95,Mortality_Matrix!$A$4:$A$64,0),MATCH(2062,Mortality_Matrix!$B$3:$BS$3,0))</f>
        <v>7.84484975867712E-009</v>
      </c>
      <c r="BA95" s="27" t="n">
        <f aca="false">(BA29-INDEX(Mortality_Matrix!$B$4:$BS$64,MATCH($A95,Mortality_Matrix!$A$4:$A$64,0),MATCH(2063,Mortality_Matrix!$B$3:$BS$3,0)))/INDEX(Mortality_Matrix!$B$4:$BS$64,MATCH($A95,Mortality_Matrix!$A$4:$A$64,0),MATCH(2063,Mortality_Matrix!$B$3:$BS$3,0))</f>
        <v>7.84484984783287E-009</v>
      </c>
      <c r="BB95" s="27" t="n">
        <f aca="false">(BB29-INDEX(Mortality_Matrix!$B$4:$BS$64,MATCH($A95,Mortality_Matrix!$A$4:$A$64,0),MATCH(2064,Mortality_Matrix!$B$3:$BS$3,0)))/INDEX(Mortality_Matrix!$B$4:$BS$64,MATCH($A95,Mortality_Matrix!$A$4:$A$64,0),MATCH(2064,Mortality_Matrix!$B$3:$BS$3,0))</f>
        <v>5.93300409834755E-009</v>
      </c>
      <c r="BC95" s="27" t="n">
        <f aca="false">(BC29-INDEX(Mortality_Matrix!$B$4:$BS$64,MATCH($A95,Mortality_Matrix!$A$4:$A$64,0),MATCH(2065,Mortality_Matrix!$B$3:$BS$3,0)))/INDEX(Mortality_Matrix!$B$4:$BS$64,MATCH($A95,Mortality_Matrix!$A$4:$A$64,0),MATCH(2065,Mortality_Matrix!$B$3:$BS$3,0))</f>
        <v>-3.44830304799763E-009</v>
      </c>
      <c r="BD95" s="27" t="n">
        <f aca="false">(BD29-INDEX(Mortality_Matrix!$B$4:$BS$64,MATCH($A95,Mortality_Matrix!$A$4:$A$64,0),MATCH(2066,Mortality_Matrix!$B$3:$BS$3,0)))/INDEX(Mortality_Matrix!$B$4:$BS$64,MATCH($A95,Mortality_Matrix!$A$4:$A$64,0),MATCH(2066,Mortality_Matrix!$B$3:$BS$3,0))</f>
        <v>-5.25461108599475E-009</v>
      </c>
      <c r="BE95" s="27" t="n">
        <f aca="false">(BE29-INDEX(Mortality_Matrix!$B$4:$BS$64,MATCH($A95,Mortality_Matrix!$A$4:$A$64,0),MATCH(2067,Mortality_Matrix!$B$3:$BS$3,0)))/INDEX(Mortality_Matrix!$B$4:$BS$64,MATCH($A95,Mortality_Matrix!$A$4:$A$64,0),MATCH(2067,Mortality_Matrix!$B$3:$BS$3,0))</f>
        <v>3.58104418161334E-009</v>
      </c>
      <c r="BF95" s="27" t="n">
        <f aca="false">(BF29-INDEX(Mortality_Matrix!$B$4:$BS$64,MATCH($A95,Mortality_Matrix!$A$4:$A$64,0),MATCH(2068,Mortality_Matrix!$B$3:$BS$3,0)))/INDEX(Mortality_Matrix!$B$4:$BS$64,MATCH($A95,Mortality_Matrix!$A$4:$A$64,0),MATCH(2068,Mortality_Matrix!$B$3:$BS$3,0))</f>
        <v>1.23820036571444E-008</v>
      </c>
      <c r="BG95" s="27" t="n">
        <f aca="false">(BG29-INDEX(Mortality_Matrix!$B$4:$BS$64,MATCH($A95,Mortality_Matrix!$A$4:$A$64,0),MATCH(2069,Mortality_Matrix!$B$3:$BS$3,0)))/INDEX(Mortality_Matrix!$B$4:$BS$64,MATCH($A95,Mortality_Matrix!$A$4:$A$64,0),MATCH(2069,Mortality_Matrix!$B$3:$BS$3,0))</f>
        <v>-5.1443111999764E-009</v>
      </c>
      <c r="BH95" s="27" t="n">
        <f aca="false">(BH29-INDEX(Mortality_Matrix!$B$4:$BS$64,MATCH($A95,Mortality_Matrix!$A$4:$A$64,0),MATCH(2070,Mortality_Matrix!$B$3:$BS$3,0)))/INDEX(Mortality_Matrix!$B$4:$BS$64,MATCH($A95,Mortality_Matrix!$A$4:$A$64,0),MATCH(2070,Mortality_Matrix!$B$3:$BS$3,0))</f>
        <v>1.17766855031921E-008</v>
      </c>
      <c r="BI95" s="27" t="n">
        <f aca="false">(BI29-INDEX(Mortality_Matrix!$B$4:$BS$64,MATCH($A95,Mortality_Matrix!$A$4:$A$64,0),MATCH(2071,Mortality_Matrix!$B$3:$BS$3,0)))/INDEX(Mortality_Matrix!$B$4:$BS$64,MATCH($A95,Mortality_Matrix!$A$4:$A$64,0),MATCH(2071,Mortality_Matrix!$B$3:$BS$3,0))</f>
        <v>4.33849532287409E-009</v>
      </c>
      <c r="BJ95" s="27" t="n">
        <f aca="false">(BJ29-INDEX(Mortality_Matrix!$B$4:$BS$64,MATCH($A95,Mortality_Matrix!$A$4:$A$64,0),MATCH(2072,Mortality_Matrix!$B$3:$BS$3,0)))/INDEX(Mortality_Matrix!$B$4:$BS$64,MATCH($A95,Mortality_Matrix!$A$4:$A$64,0),MATCH(2072,Mortality_Matrix!$B$3:$BS$3,0))</f>
        <v>-1.56422404250012E-010</v>
      </c>
      <c r="BK95" s="27" t="n">
        <f aca="false">(BK29-INDEX(Mortality_Matrix!$B$4:$BS$64,MATCH($A95,Mortality_Matrix!$A$4:$A$64,0),MATCH(2073,Mortality_Matrix!$B$3:$BS$3,0)))/INDEX(Mortality_Matrix!$B$4:$BS$64,MATCH($A95,Mortality_Matrix!$A$4:$A$64,0),MATCH(2073,Mortality_Matrix!$B$3:$BS$3,0))</f>
        <v>8.05764056180816E-009</v>
      </c>
      <c r="BL95" s="27" t="n">
        <f aca="false">(BL29-INDEX(Mortality_Matrix!$B$4:$BS$64,MATCH($A95,Mortality_Matrix!$A$4:$A$64,0),MATCH(2074,Mortality_Matrix!$B$3:$BS$3,0)))/INDEX(Mortality_Matrix!$B$4:$BS$64,MATCH($A95,Mortality_Matrix!$A$4:$A$64,0),MATCH(2074,Mortality_Matrix!$B$3:$BS$3,0))</f>
        <v>-1.8071696570335E-008</v>
      </c>
      <c r="BM95" s="27" t="n">
        <f aca="false">(BM29-INDEX(Mortality_Matrix!$B$4:$BS$64,MATCH($A95,Mortality_Matrix!$A$4:$A$64,0),MATCH(2075,Mortality_Matrix!$B$3:$BS$3,0)))/INDEX(Mortality_Matrix!$B$4:$BS$64,MATCH($A95,Mortality_Matrix!$A$4:$A$64,0),MATCH(2075,Mortality_Matrix!$B$3:$BS$3,0))</f>
        <v>5.53816256594037E-010</v>
      </c>
      <c r="BN95" s="27" t="n">
        <f aca="false">(BN29-INDEX(Mortality_Matrix!$B$4:$BS$64,MATCH($A95,Mortality_Matrix!$A$4:$A$64,0),MATCH(2076,Mortality_Matrix!$B$3:$BS$3,0)))/INDEX(Mortality_Matrix!$B$4:$BS$64,MATCH($A95,Mortality_Matrix!$A$4:$A$64,0),MATCH(2076,Mortality_Matrix!$B$3:$BS$3,0))</f>
        <v>1.06768968743622E-008</v>
      </c>
      <c r="BO95" s="27" t="n">
        <f aca="false">(BO29-INDEX(Mortality_Matrix!$B$4:$BS$64,MATCH($A95,Mortality_Matrix!$A$4:$A$64,0),MATCH(2077,Mortality_Matrix!$B$3:$BS$3,0)))/INDEX(Mortality_Matrix!$B$4:$BS$64,MATCH($A95,Mortality_Matrix!$A$4:$A$64,0),MATCH(2077,Mortality_Matrix!$B$3:$BS$3,0))</f>
        <v>9.51343594368769E-009</v>
      </c>
      <c r="BP95" s="27" t="n">
        <f aca="false">(BP29-INDEX(Mortality_Matrix!$B$4:$BS$64,MATCH($A95,Mortality_Matrix!$A$4:$A$64,0),MATCH(2078,Mortality_Matrix!$B$3:$BS$3,0)))/INDEX(Mortality_Matrix!$B$4:$BS$64,MATCH($A95,Mortality_Matrix!$A$4:$A$64,0),MATCH(2078,Mortality_Matrix!$B$3:$BS$3,0))</f>
        <v>8.52912025690491E-009</v>
      </c>
      <c r="BQ95" s="27" t="n">
        <f aca="false">(BQ29-INDEX(Mortality_Matrix!$B$4:$BS$64,MATCH($A95,Mortality_Matrix!$A$4:$A$64,0),MATCH(2079,Mortality_Matrix!$B$3:$BS$3,0)))/INDEX(Mortality_Matrix!$B$4:$BS$64,MATCH($A95,Mortality_Matrix!$A$4:$A$64,0),MATCH(2079,Mortality_Matrix!$B$3:$BS$3,0))</f>
        <v>-6.26059620545562E-009</v>
      </c>
      <c r="BR95" s="27" t="n">
        <f aca="false">(BR29-INDEX(Mortality_Matrix!$B$4:$BS$64,MATCH($A95,Mortality_Matrix!$A$4:$A$64,0),MATCH(2080,Mortality_Matrix!$B$3:$BS$3,0)))/INDEX(Mortality_Matrix!$B$4:$BS$64,MATCH($A95,Mortality_Matrix!$A$4:$A$64,0),MATCH(2080,Mortality_Matrix!$B$3:$BS$3,0))</f>
        <v>4.08753846036452E-009</v>
      </c>
      <c r="BS95" s="27" t="n">
        <f aca="false">(BS29-INDEX(Mortality_Matrix!$B$4:$BS$64,MATCH($A95,Mortality_Matrix!$A$4:$A$64,0),MATCH(2081,Mortality_Matrix!$B$3:$BS$3,0)))/INDEX(Mortality_Matrix!$B$4:$BS$64,MATCH($A95,Mortality_Matrix!$A$4:$A$64,0),MATCH(2081,Mortality_Matrix!$B$3:$BS$3,0))</f>
        <v>1.10913522802339E-008</v>
      </c>
      <c r="BT95" s="27" t="n">
        <f aca="false">(BT29-INDEX(Mortality_Matrix!$B$4:$BS$64,MATCH($A95,Mortality_Matrix!$A$4:$A$64,0),MATCH(2082,Mortality_Matrix!$B$3:$BS$3,0)))/INDEX(Mortality_Matrix!$B$4:$BS$64,MATCH($A95,Mortality_Matrix!$A$4:$A$64,0),MATCH(2082,Mortality_Matrix!$B$3:$BS$3,0))</f>
        <v>-3.54785240325182E-009</v>
      </c>
      <c r="BU95" s="27" t="n">
        <f aca="false">(BU29-INDEX(Mortality_Matrix!$B$4:$BS$64,MATCH($A95,Mortality_Matrix!$A$4:$A$64,0),MATCH(2083,Mortality_Matrix!$B$3:$BS$3,0)))/INDEX(Mortality_Matrix!$B$4:$BS$64,MATCH($A95,Mortality_Matrix!$A$4:$A$64,0),MATCH(2083,Mortality_Matrix!$B$3:$BS$3,0))</f>
        <v>-5.45869850116023E-009</v>
      </c>
      <c r="BV95" s="27" t="n">
        <f aca="false">(BV29-INDEX(Mortality_Matrix!$B$4:$BS$64,MATCH($A95,Mortality_Matrix!$A$4:$A$64,0),MATCH(2084,Mortality_Matrix!$B$3:$BS$3,0)))/INDEX(Mortality_Matrix!$B$4:$BS$64,MATCH($A95,Mortality_Matrix!$A$4:$A$64,0),MATCH(2084,Mortality_Matrix!$B$3:$BS$3,0))</f>
        <v>9.41421561550311E-009</v>
      </c>
      <c r="BW95" s="27" t="n">
        <f aca="false">(BW29-INDEX(Mortality_Matrix!$B$4:$BS$64,MATCH($A95,Mortality_Matrix!$A$4:$A$64,0),MATCH(2085,Mortality_Matrix!$B$3:$BS$3,0)))/INDEX(Mortality_Matrix!$B$4:$BS$64,MATCH($A95,Mortality_Matrix!$A$4:$A$64,0),MATCH(2085,Mortality_Matrix!$B$3:$BS$3,0))</f>
        <v>1.1602535251249E-008</v>
      </c>
      <c r="BX95" s="27" t="n">
        <f aca="false">(BX29-INDEX(Mortality_Matrix!$B$4:$BS$64,MATCH($A95,Mortality_Matrix!$A$4:$A$64,0),MATCH(2086,Mortality_Matrix!$B$3:$BS$3,0)))/INDEX(Mortality_Matrix!$B$4:$BS$64,MATCH($A95,Mortality_Matrix!$A$4:$A$64,0),MATCH(2086,Mortality_Matrix!$B$3:$BS$3,0))</f>
        <v>-2.08334703921134E-008</v>
      </c>
      <c r="BY95" s="27" t="n">
        <f aca="false">(BY29-INDEX(Mortality_Matrix!$B$4:$BS$64,MATCH($A95,Mortality_Matrix!$A$4:$A$64,0),MATCH(2087,Mortality_Matrix!$B$3:$BS$3,0)))/INDEX(Mortality_Matrix!$B$4:$BS$64,MATCH($A95,Mortality_Matrix!$A$4:$A$64,0),MATCH(2087,Mortality_Matrix!$B$3:$BS$3,0))</f>
        <v>-1.22626604910961E-008</v>
      </c>
      <c r="BZ95" s="27" t="n">
        <f aca="false">(BZ29-INDEX(Mortality_Matrix!$B$4:$BS$64,MATCH($A95,Mortality_Matrix!$A$4:$A$64,0),MATCH(2088,Mortality_Matrix!$B$3:$BS$3,0)))/INDEX(Mortality_Matrix!$B$4:$BS$64,MATCH($A95,Mortality_Matrix!$A$4:$A$64,0),MATCH(2088,Mortality_Matrix!$B$3:$BS$3,0))</f>
        <v>-1.18046955924489E-008</v>
      </c>
      <c r="CA95" s="27" t="n">
        <f aca="false">(CA29-INDEX(Mortality_Matrix!$B$4:$BS$64,MATCH($A95,Mortality_Matrix!$A$4:$A$64,0),MATCH(2089,Mortality_Matrix!$B$3:$BS$3,0)))/INDEX(Mortality_Matrix!$B$4:$BS$64,MATCH($A95,Mortality_Matrix!$A$4:$A$64,0),MATCH(2089,Mortality_Matrix!$B$3:$BS$3,0))</f>
        <v>-1.7848900402122E-008</v>
      </c>
      <c r="CB95" s="27" t="n">
        <f aca="false">(CB29-INDEX(Mortality_Matrix!$B$4:$BS$64,MATCH($A95,Mortality_Matrix!$A$4:$A$64,0),MATCH(2090,Mortality_Matrix!$B$3:$BS$3,0)))/INDEX(Mortality_Matrix!$B$4:$BS$64,MATCH($A95,Mortality_Matrix!$A$4:$A$64,0),MATCH(2090,Mortality_Matrix!$B$3:$BS$3,0))</f>
        <v>-2.20970723223662E-008</v>
      </c>
      <c r="CC95" s="27" t="n">
        <f aca="false">(CC29-INDEX(Mortality_Matrix!$B$4:$BS$64,MATCH($A95,Mortality_Matrix!$A$4:$A$64,0),MATCH(2091,Mortality_Matrix!$B$3:$BS$3,0)))/INDEX(Mortality_Matrix!$B$4:$BS$64,MATCH($A95,Mortality_Matrix!$A$4:$A$64,0),MATCH(2091,Mortality_Matrix!$B$3:$BS$3,0))</f>
        <v>-9.87728832116901E-009</v>
      </c>
    </row>
    <row r="96" customFormat="false" ht="15" hidden="false" customHeight="true" outlineLevel="0" collapsed="false">
      <c r="A96" s="3" t="n">
        <v>67</v>
      </c>
      <c r="L96" s="27" t="n">
        <f aca="false">(L30-INDEX(Mortality_Matrix!$B$4:$BS$64,MATCH($A96,Mortality_Matrix!$A$4:$A$64,0),MATCH(2022,Mortality_Matrix!$B$3:$BS$3,0)))/INDEX(Mortality_Matrix!$B$4:$BS$64,MATCH($A96,Mortality_Matrix!$A$4:$A$64,0),MATCH(2022,Mortality_Matrix!$B$3:$BS$3,0))</f>
        <v>1.86227219014993E-009</v>
      </c>
      <c r="M96" s="27" t="n">
        <f aca="false">(M30-INDEX(Mortality_Matrix!$B$4:$BS$64,MATCH($A96,Mortality_Matrix!$A$4:$A$64,0),MATCH(2023,Mortality_Matrix!$B$3:$BS$3,0)))/INDEX(Mortality_Matrix!$B$4:$BS$64,MATCH($A96,Mortality_Matrix!$A$4:$A$64,0),MATCH(2023,Mortality_Matrix!$B$3:$BS$3,0))</f>
        <v>-3.76244203954352E-009</v>
      </c>
      <c r="N96" s="27" t="n">
        <f aca="false">(N30-INDEX(Mortality_Matrix!$B$4:$BS$64,MATCH($A96,Mortality_Matrix!$A$4:$A$64,0),MATCH(2024,Mortality_Matrix!$B$3:$BS$3,0)))/INDEX(Mortality_Matrix!$B$4:$BS$64,MATCH($A96,Mortality_Matrix!$A$4:$A$64,0),MATCH(2024,Mortality_Matrix!$B$3:$BS$3,0))</f>
        <v>-2.42914950874041E-010</v>
      </c>
      <c r="O96" s="27" t="n">
        <f aca="false">(O30-INDEX(Mortality_Matrix!$B$4:$BS$64,MATCH($A96,Mortality_Matrix!$A$4:$A$64,0),MATCH(2025,Mortality_Matrix!$B$3:$BS$3,0)))/INDEX(Mortality_Matrix!$B$4:$BS$64,MATCH($A96,Mortality_Matrix!$A$4:$A$64,0),MATCH(2025,Mortality_Matrix!$B$3:$BS$3,0))</f>
        <v>-3.12035292952137E-009</v>
      </c>
      <c r="P96" s="27" t="n">
        <f aca="false">(P30-INDEX(Mortality_Matrix!$B$4:$BS$64,MATCH($A96,Mortality_Matrix!$A$4:$A$64,0),MATCH(2026,Mortality_Matrix!$B$3:$BS$3,0)))/INDEX(Mortality_Matrix!$B$4:$BS$64,MATCH($A96,Mortality_Matrix!$A$4:$A$64,0),MATCH(2026,Mortality_Matrix!$B$3:$BS$3,0))</f>
        <v>5.91225386224319E-010</v>
      </c>
      <c r="Q96" s="27" t="n">
        <f aca="false">(Q30-INDEX(Mortality_Matrix!$B$4:$BS$64,MATCH($A96,Mortality_Matrix!$A$4:$A$64,0),MATCH(2027,Mortality_Matrix!$B$3:$BS$3,0)))/INDEX(Mortality_Matrix!$B$4:$BS$64,MATCH($A96,Mortality_Matrix!$A$4:$A$64,0),MATCH(2027,Mortality_Matrix!$B$3:$BS$3,0))</f>
        <v>5.87509540846392E-009</v>
      </c>
      <c r="R96" s="27" t="n">
        <f aca="false">(R30-INDEX(Mortality_Matrix!$B$4:$BS$64,MATCH($A96,Mortality_Matrix!$A$4:$A$64,0),MATCH(2028,Mortality_Matrix!$B$3:$BS$3,0)))/INDEX(Mortality_Matrix!$B$4:$BS$64,MATCH($A96,Mortality_Matrix!$A$4:$A$64,0),MATCH(2028,Mortality_Matrix!$B$3:$BS$3,0))</f>
        <v>3.68051083334784E-009</v>
      </c>
      <c r="S96" s="27" t="n">
        <f aca="false">(S30-INDEX(Mortality_Matrix!$B$4:$BS$64,MATCH($A96,Mortality_Matrix!$A$4:$A$64,0),MATCH(2029,Mortality_Matrix!$B$3:$BS$3,0)))/INDEX(Mortality_Matrix!$B$4:$BS$64,MATCH($A96,Mortality_Matrix!$A$4:$A$64,0),MATCH(2029,Mortality_Matrix!$B$3:$BS$3,0))</f>
        <v>-6.16173864207774E-009</v>
      </c>
      <c r="T96" s="27" t="n">
        <f aca="false">(T30-INDEX(Mortality_Matrix!$B$4:$BS$64,MATCH($A96,Mortality_Matrix!$A$4:$A$64,0),MATCH(2030,Mortality_Matrix!$B$3:$BS$3,0)))/INDEX(Mortality_Matrix!$B$4:$BS$64,MATCH($A96,Mortality_Matrix!$A$4:$A$64,0),MATCH(2030,Mortality_Matrix!$B$3:$BS$3,0))</f>
        <v>2.72015222983777E-009</v>
      </c>
      <c r="U96" s="27" t="n">
        <f aca="false">(U30-INDEX(Mortality_Matrix!$B$4:$BS$64,MATCH($A96,Mortality_Matrix!$A$4:$A$64,0),MATCH(2031,Mortality_Matrix!$B$3:$BS$3,0)))/INDEX(Mortality_Matrix!$B$4:$BS$64,MATCH($A96,Mortality_Matrix!$A$4:$A$64,0),MATCH(2031,Mortality_Matrix!$B$3:$BS$3,0))</f>
        <v>-3.29484936395405E-010</v>
      </c>
      <c r="V96" s="27" t="n">
        <f aca="false">(V30-INDEX(Mortality_Matrix!$B$4:$BS$64,MATCH($A96,Mortality_Matrix!$A$4:$A$64,0),MATCH(2032,Mortality_Matrix!$B$3:$BS$3,0)))/INDEX(Mortality_Matrix!$B$4:$BS$64,MATCH($A96,Mortality_Matrix!$A$4:$A$64,0),MATCH(2032,Mortality_Matrix!$B$3:$BS$3,0))</f>
        <v>1.81355702963641E-009</v>
      </c>
      <c r="W96" s="27" t="n">
        <f aca="false">(W30-INDEX(Mortality_Matrix!$B$4:$BS$64,MATCH($A96,Mortality_Matrix!$A$4:$A$64,0),MATCH(2033,Mortality_Matrix!$B$3:$BS$3,0)))/INDEX(Mortality_Matrix!$B$4:$BS$64,MATCH($A96,Mortality_Matrix!$A$4:$A$64,0),MATCH(2033,Mortality_Matrix!$B$3:$BS$3,0))</f>
        <v>-1.09795452527928E-011</v>
      </c>
      <c r="X96" s="27" t="n">
        <f aca="false">(X30-INDEX(Mortality_Matrix!$B$4:$BS$64,MATCH($A96,Mortality_Matrix!$A$4:$A$64,0),MATCH(2034,Mortality_Matrix!$B$3:$BS$3,0)))/INDEX(Mortality_Matrix!$B$4:$BS$64,MATCH($A96,Mortality_Matrix!$A$4:$A$64,0),MATCH(2034,Mortality_Matrix!$B$3:$BS$3,0))</f>
        <v>-4.95325322845865E-009</v>
      </c>
      <c r="Y96" s="27" t="n">
        <f aca="false">(Y30-INDEX(Mortality_Matrix!$B$4:$BS$64,MATCH($A96,Mortality_Matrix!$A$4:$A$64,0),MATCH(2035,Mortality_Matrix!$B$3:$BS$3,0)))/INDEX(Mortality_Matrix!$B$4:$BS$64,MATCH($A96,Mortality_Matrix!$A$4:$A$64,0),MATCH(2035,Mortality_Matrix!$B$3:$BS$3,0))</f>
        <v>-3.90333921873925E-009</v>
      </c>
      <c r="Z96" s="27" t="n">
        <f aca="false">(Z30-INDEX(Mortality_Matrix!$B$4:$BS$64,MATCH($A96,Mortality_Matrix!$A$4:$A$64,0),MATCH(2036,Mortality_Matrix!$B$3:$BS$3,0)))/INDEX(Mortality_Matrix!$B$4:$BS$64,MATCH($A96,Mortality_Matrix!$A$4:$A$64,0),MATCH(2036,Mortality_Matrix!$B$3:$BS$3,0))</f>
        <v>-6.06677354964939E-009</v>
      </c>
      <c r="AA96" s="27" t="n">
        <f aca="false">(AA30-INDEX(Mortality_Matrix!$B$4:$BS$64,MATCH($A96,Mortality_Matrix!$A$4:$A$64,0),MATCH(2037,Mortality_Matrix!$B$3:$BS$3,0)))/INDEX(Mortality_Matrix!$B$4:$BS$64,MATCH($A96,Mortality_Matrix!$A$4:$A$64,0),MATCH(2037,Mortality_Matrix!$B$3:$BS$3,0))</f>
        <v>8.41130556643387E-009</v>
      </c>
      <c r="AB96" s="27" t="n">
        <f aca="false">(AB30-INDEX(Mortality_Matrix!$B$4:$BS$64,MATCH($A96,Mortality_Matrix!$A$4:$A$64,0),MATCH(2038,Mortality_Matrix!$B$3:$BS$3,0)))/INDEX(Mortality_Matrix!$B$4:$BS$64,MATCH($A96,Mortality_Matrix!$A$4:$A$64,0),MATCH(2038,Mortality_Matrix!$B$3:$BS$3,0))</f>
        <v>-1.48380185489974E-009</v>
      </c>
      <c r="AC96" s="27" t="n">
        <f aca="false">(AC30-INDEX(Mortality_Matrix!$B$4:$BS$64,MATCH($A96,Mortality_Matrix!$A$4:$A$64,0),MATCH(2039,Mortality_Matrix!$B$3:$BS$3,0)))/INDEX(Mortality_Matrix!$B$4:$BS$64,MATCH($A96,Mortality_Matrix!$A$4:$A$64,0),MATCH(2039,Mortality_Matrix!$B$3:$BS$3,0))</f>
        <v>1.24709380860089E-009</v>
      </c>
      <c r="AD96" s="27" t="n">
        <f aca="false">(AD30-INDEX(Mortality_Matrix!$B$4:$BS$64,MATCH($A96,Mortality_Matrix!$A$4:$A$64,0),MATCH(2040,Mortality_Matrix!$B$3:$BS$3,0)))/INDEX(Mortality_Matrix!$B$4:$BS$64,MATCH($A96,Mortality_Matrix!$A$4:$A$64,0),MATCH(2040,Mortality_Matrix!$B$3:$BS$3,0))</f>
        <v>-9.14971643814368E-009</v>
      </c>
      <c r="AE96" s="27" t="n">
        <f aca="false">(AE30-INDEX(Mortality_Matrix!$B$4:$BS$64,MATCH($A96,Mortality_Matrix!$A$4:$A$64,0),MATCH(2041,Mortality_Matrix!$B$3:$BS$3,0)))/INDEX(Mortality_Matrix!$B$4:$BS$64,MATCH($A96,Mortality_Matrix!$A$4:$A$64,0),MATCH(2041,Mortality_Matrix!$B$3:$BS$3,0))</f>
        <v>-6.23448809262376E-009</v>
      </c>
      <c r="AF96" s="27" t="n">
        <f aca="false">(AF30-INDEX(Mortality_Matrix!$B$4:$BS$64,MATCH($A96,Mortality_Matrix!$A$4:$A$64,0),MATCH(2042,Mortality_Matrix!$B$3:$BS$3,0)))/INDEX(Mortality_Matrix!$B$4:$BS$64,MATCH($A96,Mortality_Matrix!$A$4:$A$64,0),MATCH(2042,Mortality_Matrix!$B$3:$BS$3,0))</f>
        <v>1.0196521110835E-008</v>
      </c>
      <c r="AG96" s="27" t="n">
        <f aca="false">(AG30-INDEX(Mortality_Matrix!$B$4:$BS$64,MATCH($A96,Mortality_Matrix!$A$4:$A$64,0),MATCH(2043,Mortality_Matrix!$B$3:$BS$3,0)))/INDEX(Mortality_Matrix!$B$4:$BS$64,MATCH($A96,Mortality_Matrix!$A$4:$A$64,0),MATCH(2043,Mortality_Matrix!$B$3:$BS$3,0))</f>
        <v>-9.48939951917491E-009</v>
      </c>
      <c r="AH96" s="27" t="n">
        <f aca="false">(AH30-INDEX(Mortality_Matrix!$B$4:$BS$64,MATCH($A96,Mortality_Matrix!$A$4:$A$64,0),MATCH(2044,Mortality_Matrix!$B$3:$BS$3,0)))/INDEX(Mortality_Matrix!$B$4:$BS$64,MATCH($A96,Mortality_Matrix!$A$4:$A$64,0),MATCH(2044,Mortality_Matrix!$B$3:$BS$3,0))</f>
        <v>-1.07436556491343E-009</v>
      </c>
      <c r="AI96" s="27" t="n">
        <f aca="false">(AI30-INDEX(Mortality_Matrix!$B$4:$BS$64,MATCH($A96,Mortality_Matrix!$A$4:$A$64,0),MATCH(2045,Mortality_Matrix!$B$3:$BS$3,0)))/INDEX(Mortality_Matrix!$B$4:$BS$64,MATCH($A96,Mortality_Matrix!$A$4:$A$64,0),MATCH(2045,Mortality_Matrix!$B$3:$BS$3,0))</f>
        <v>7.89597557139386E-009</v>
      </c>
      <c r="AJ96" s="27" t="n">
        <f aca="false">(AJ30-INDEX(Mortality_Matrix!$B$4:$BS$64,MATCH($A96,Mortality_Matrix!$A$4:$A$64,0),MATCH(2046,Mortality_Matrix!$B$3:$BS$3,0)))/INDEX(Mortality_Matrix!$B$4:$BS$64,MATCH($A96,Mortality_Matrix!$A$4:$A$64,0),MATCH(2046,Mortality_Matrix!$B$3:$BS$3,0))</f>
        <v>-1.42780164952862E-009</v>
      </c>
      <c r="AK96" s="27" t="n">
        <f aca="false">(AK30-INDEX(Mortality_Matrix!$B$4:$BS$64,MATCH($A96,Mortality_Matrix!$A$4:$A$64,0),MATCH(2047,Mortality_Matrix!$B$3:$BS$3,0)))/INDEX(Mortality_Matrix!$B$4:$BS$64,MATCH($A96,Mortality_Matrix!$A$4:$A$64,0),MATCH(2047,Mortality_Matrix!$B$3:$BS$3,0))</f>
        <v>4.73595128868442E-009</v>
      </c>
      <c r="AL96" s="27" t="n">
        <f aca="false">(AL30-INDEX(Mortality_Matrix!$B$4:$BS$64,MATCH($A96,Mortality_Matrix!$A$4:$A$64,0),MATCH(2048,Mortality_Matrix!$B$3:$BS$3,0)))/INDEX(Mortality_Matrix!$B$4:$BS$64,MATCH($A96,Mortality_Matrix!$A$4:$A$64,0),MATCH(2048,Mortality_Matrix!$B$3:$BS$3,0))</f>
        <v>4.28897867952178E-009</v>
      </c>
      <c r="AM96" s="27" t="n">
        <f aca="false">(AM30-INDEX(Mortality_Matrix!$B$4:$BS$64,MATCH($A96,Mortality_Matrix!$A$4:$A$64,0),MATCH(2049,Mortality_Matrix!$B$3:$BS$3,0)))/INDEX(Mortality_Matrix!$B$4:$BS$64,MATCH($A96,Mortality_Matrix!$A$4:$A$64,0),MATCH(2049,Mortality_Matrix!$B$3:$BS$3,0))</f>
        <v>4.85620289243475E-009</v>
      </c>
      <c r="AN96" s="27" t="n">
        <f aca="false">(AN30-INDEX(Mortality_Matrix!$B$4:$BS$64,MATCH($A96,Mortality_Matrix!$A$4:$A$64,0),MATCH(2050,Mortality_Matrix!$B$3:$BS$3,0)))/INDEX(Mortality_Matrix!$B$4:$BS$64,MATCH($A96,Mortality_Matrix!$A$4:$A$64,0),MATCH(2050,Mortality_Matrix!$B$3:$BS$3,0))</f>
        <v>-7.87246040056173E-010</v>
      </c>
      <c r="AO96" s="27" t="n">
        <f aca="false">(AO30-INDEX(Mortality_Matrix!$B$4:$BS$64,MATCH($A96,Mortality_Matrix!$A$4:$A$64,0),MATCH(2051,Mortality_Matrix!$B$3:$BS$3,0)))/INDEX(Mortality_Matrix!$B$4:$BS$64,MATCH($A96,Mortality_Matrix!$A$4:$A$64,0),MATCH(2051,Mortality_Matrix!$B$3:$BS$3,0))</f>
        <v>1.00869019597823E-008</v>
      </c>
      <c r="AP96" s="27" t="n">
        <f aca="false">(AP30-INDEX(Mortality_Matrix!$B$4:$BS$64,MATCH($A96,Mortality_Matrix!$A$4:$A$64,0),MATCH(2052,Mortality_Matrix!$B$3:$BS$3,0)))/INDEX(Mortality_Matrix!$B$4:$BS$64,MATCH($A96,Mortality_Matrix!$A$4:$A$64,0),MATCH(2052,Mortality_Matrix!$B$3:$BS$3,0))</f>
        <v>-3.32698054240473E-009</v>
      </c>
      <c r="AQ96" s="27" t="n">
        <f aca="false">(AQ30-INDEX(Mortality_Matrix!$B$4:$BS$64,MATCH($A96,Mortality_Matrix!$A$4:$A$64,0),MATCH(2053,Mortality_Matrix!$B$3:$BS$3,0)))/INDEX(Mortality_Matrix!$B$4:$BS$64,MATCH($A96,Mortality_Matrix!$A$4:$A$64,0),MATCH(2053,Mortality_Matrix!$B$3:$BS$3,0))</f>
        <v>-6.46036128770163E-009</v>
      </c>
      <c r="AR96" s="27" t="n">
        <f aca="false">(AR30-INDEX(Mortality_Matrix!$B$4:$BS$64,MATCH($A96,Mortality_Matrix!$A$4:$A$64,0),MATCH(2054,Mortality_Matrix!$B$3:$BS$3,0)))/INDEX(Mortality_Matrix!$B$4:$BS$64,MATCH($A96,Mortality_Matrix!$A$4:$A$64,0),MATCH(2054,Mortality_Matrix!$B$3:$BS$3,0))</f>
        <v>-6.70506120742027E-009</v>
      </c>
      <c r="AS96" s="27" t="n">
        <f aca="false">(AS30-INDEX(Mortality_Matrix!$B$4:$BS$64,MATCH($A96,Mortality_Matrix!$A$4:$A$64,0),MATCH(2055,Mortality_Matrix!$B$3:$BS$3,0)))/INDEX(Mortality_Matrix!$B$4:$BS$64,MATCH($A96,Mortality_Matrix!$A$4:$A$64,0),MATCH(2055,Mortality_Matrix!$B$3:$BS$3,0))</f>
        <v>-7.82297905092291E-009</v>
      </c>
      <c r="AT96" s="27" t="n">
        <f aca="false">(AT30-INDEX(Mortality_Matrix!$B$4:$BS$64,MATCH($A96,Mortality_Matrix!$A$4:$A$64,0),MATCH(2056,Mortality_Matrix!$B$3:$BS$3,0)))/INDEX(Mortality_Matrix!$B$4:$BS$64,MATCH($A96,Mortality_Matrix!$A$4:$A$64,0),MATCH(2056,Mortality_Matrix!$B$3:$BS$3,0))</f>
        <v>-1.04711769271375E-008</v>
      </c>
      <c r="AU96" s="27" t="n">
        <f aca="false">(AU30-INDEX(Mortality_Matrix!$B$4:$BS$64,MATCH($A96,Mortality_Matrix!$A$4:$A$64,0),MATCH(2057,Mortality_Matrix!$B$3:$BS$3,0)))/INDEX(Mortality_Matrix!$B$4:$BS$64,MATCH($A96,Mortality_Matrix!$A$4:$A$64,0),MATCH(2057,Mortality_Matrix!$B$3:$BS$3,0))</f>
        <v>-1.27756274972496E-008</v>
      </c>
      <c r="AV96" s="27" t="n">
        <f aca="false">(AV30-INDEX(Mortality_Matrix!$B$4:$BS$64,MATCH($A96,Mortality_Matrix!$A$4:$A$64,0),MATCH(2058,Mortality_Matrix!$B$3:$BS$3,0)))/INDEX(Mortality_Matrix!$B$4:$BS$64,MATCH($A96,Mortality_Matrix!$A$4:$A$64,0),MATCH(2058,Mortality_Matrix!$B$3:$BS$3,0))</f>
        <v>-1.09559823648808E-008</v>
      </c>
      <c r="AW96" s="27" t="n">
        <f aca="false">(AW30-INDEX(Mortality_Matrix!$B$4:$BS$64,MATCH($A96,Mortality_Matrix!$A$4:$A$64,0),MATCH(2059,Mortality_Matrix!$B$3:$BS$3,0)))/INDEX(Mortality_Matrix!$B$4:$BS$64,MATCH($A96,Mortality_Matrix!$A$4:$A$64,0),MATCH(2059,Mortality_Matrix!$B$3:$BS$3,0))</f>
        <v>-3.80357731927877E-012</v>
      </c>
      <c r="AX96" s="27" t="n">
        <f aca="false">(AX30-INDEX(Mortality_Matrix!$B$4:$BS$64,MATCH($A96,Mortality_Matrix!$A$4:$A$64,0),MATCH(2060,Mortality_Matrix!$B$3:$BS$3,0)))/INDEX(Mortality_Matrix!$B$4:$BS$64,MATCH($A96,Mortality_Matrix!$A$4:$A$64,0),MATCH(2060,Mortality_Matrix!$B$3:$BS$3,0))</f>
        <v>-1.2094743075786E-009</v>
      </c>
      <c r="AY96" s="27" t="n">
        <f aca="false">(AY30-INDEX(Mortality_Matrix!$B$4:$BS$64,MATCH($A96,Mortality_Matrix!$A$4:$A$64,0),MATCH(2061,Mortality_Matrix!$B$3:$BS$3,0)))/INDEX(Mortality_Matrix!$B$4:$BS$64,MATCH($A96,Mortality_Matrix!$A$4:$A$64,0),MATCH(2061,Mortality_Matrix!$B$3:$BS$3,0))</f>
        <v>-1.0593713507701E-008</v>
      </c>
      <c r="AZ96" s="27" t="n">
        <f aca="false">(AZ30-INDEX(Mortality_Matrix!$B$4:$BS$64,MATCH($A96,Mortality_Matrix!$A$4:$A$64,0),MATCH(2062,Mortality_Matrix!$B$3:$BS$3,0)))/INDEX(Mortality_Matrix!$B$4:$BS$64,MATCH($A96,Mortality_Matrix!$A$4:$A$64,0),MATCH(2062,Mortality_Matrix!$B$3:$BS$3,0))</f>
        <v>2.24722287636846E-009</v>
      </c>
      <c r="BA96" s="27" t="n">
        <f aca="false">(BA30-INDEX(Mortality_Matrix!$B$4:$BS$64,MATCH($A96,Mortality_Matrix!$A$4:$A$64,0),MATCH(2063,Mortality_Matrix!$B$3:$BS$3,0)))/INDEX(Mortality_Matrix!$B$4:$BS$64,MATCH($A96,Mortality_Matrix!$A$4:$A$64,0),MATCH(2063,Mortality_Matrix!$B$3:$BS$3,0))</f>
        <v>1.12185666650274E-008</v>
      </c>
      <c r="BB96" s="27" t="n">
        <f aca="false">(BB30-INDEX(Mortality_Matrix!$B$4:$BS$64,MATCH($A96,Mortality_Matrix!$A$4:$A$64,0),MATCH(2064,Mortality_Matrix!$B$3:$BS$3,0)))/INDEX(Mortality_Matrix!$B$4:$BS$64,MATCH($A96,Mortality_Matrix!$A$4:$A$64,0),MATCH(2064,Mortality_Matrix!$B$3:$BS$3,0))</f>
        <v>1.39224933352406E-008</v>
      </c>
      <c r="BC96" s="27" t="n">
        <f aca="false">(BC30-INDEX(Mortality_Matrix!$B$4:$BS$64,MATCH($A96,Mortality_Matrix!$A$4:$A$64,0),MATCH(2065,Mortality_Matrix!$B$3:$BS$3,0)))/INDEX(Mortality_Matrix!$B$4:$BS$64,MATCH($A96,Mortality_Matrix!$A$4:$A$64,0),MATCH(2065,Mortality_Matrix!$B$3:$BS$3,0))</f>
        <v>3.80895547647439E-009</v>
      </c>
      <c r="BD96" s="27" t="n">
        <f aca="false">(BD30-INDEX(Mortality_Matrix!$B$4:$BS$64,MATCH($A96,Mortality_Matrix!$A$4:$A$64,0),MATCH(2066,Mortality_Matrix!$B$3:$BS$3,0)))/INDEX(Mortality_Matrix!$B$4:$BS$64,MATCH($A96,Mortality_Matrix!$A$4:$A$64,0),MATCH(2066,Mortality_Matrix!$B$3:$BS$3,0))</f>
        <v>-1.61817874921757E-009</v>
      </c>
      <c r="BE96" s="27" t="n">
        <f aca="false">(BE30-INDEX(Mortality_Matrix!$B$4:$BS$64,MATCH($A96,Mortality_Matrix!$A$4:$A$64,0),MATCH(2067,Mortality_Matrix!$B$3:$BS$3,0)))/INDEX(Mortality_Matrix!$B$4:$BS$64,MATCH($A96,Mortality_Matrix!$A$4:$A$64,0),MATCH(2067,Mortality_Matrix!$B$3:$BS$3,0))</f>
        <v>1.04437739448637E-008</v>
      </c>
      <c r="BF96" s="27" t="n">
        <f aca="false">(BF30-INDEX(Mortality_Matrix!$B$4:$BS$64,MATCH($A96,Mortality_Matrix!$A$4:$A$64,0),MATCH(2068,Mortality_Matrix!$B$3:$BS$3,0)))/INDEX(Mortality_Matrix!$B$4:$BS$64,MATCH($A96,Mortality_Matrix!$A$4:$A$64,0),MATCH(2068,Mortality_Matrix!$B$3:$BS$3,0))</f>
        <v>-1.35939582751912E-008</v>
      </c>
      <c r="BG96" s="27" t="n">
        <f aca="false">(BG30-INDEX(Mortality_Matrix!$B$4:$BS$64,MATCH($A96,Mortality_Matrix!$A$4:$A$64,0),MATCH(2069,Mortality_Matrix!$B$3:$BS$3,0)))/INDEX(Mortality_Matrix!$B$4:$BS$64,MATCH($A96,Mortality_Matrix!$A$4:$A$64,0),MATCH(2069,Mortality_Matrix!$B$3:$BS$3,0))</f>
        <v>1.52608363612747E-008</v>
      </c>
      <c r="BH96" s="27" t="n">
        <f aca="false">(BH30-INDEX(Mortality_Matrix!$B$4:$BS$64,MATCH($A96,Mortality_Matrix!$A$4:$A$64,0),MATCH(2070,Mortality_Matrix!$B$3:$BS$3,0)))/INDEX(Mortality_Matrix!$B$4:$BS$64,MATCH($A96,Mortality_Matrix!$A$4:$A$64,0),MATCH(2070,Mortality_Matrix!$B$3:$BS$3,0))</f>
        <v>-4.06087521279355E-009</v>
      </c>
      <c r="BI96" s="27" t="n">
        <f aca="false">(BI30-INDEX(Mortality_Matrix!$B$4:$BS$64,MATCH($A96,Mortality_Matrix!$A$4:$A$64,0),MATCH(2071,Mortality_Matrix!$B$3:$BS$3,0)))/INDEX(Mortality_Matrix!$B$4:$BS$64,MATCH($A96,Mortality_Matrix!$A$4:$A$64,0),MATCH(2071,Mortality_Matrix!$B$3:$BS$3,0))</f>
        <v>1.47588506639852E-009</v>
      </c>
      <c r="BJ96" s="27" t="n">
        <f aca="false">(BJ30-INDEX(Mortality_Matrix!$B$4:$BS$64,MATCH($A96,Mortality_Matrix!$A$4:$A$64,0),MATCH(2072,Mortality_Matrix!$B$3:$BS$3,0)))/INDEX(Mortality_Matrix!$B$4:$BS$64,MATCH($A96,Mortality_Matrix!$A$4:$A$64,0),MATCH(2072,Mortality_Matrix!$B$3:$BS$3,0))</f>
        <v>2.60010029770994E-009</v>
      </c>
      <c r="BK96" s="27" t="n">
        <f aca="false">(BK30-INDEX(Mortality_Matrix!$B$4:$BS$64,MATCH($A96,Mortality_Matrix!$A$4:$A$64,0),MATCH(2073,Mortality_Matrix!$B$3:$BS$3,0)))/INDEX(Mortality_Matrix!$B$4:$BS$64,MATCH($A96,Mortality_Matrix!$A$4:$A$64,0),MATCH(2073,Mortality_Matrix!$B$3:$BS$3,0))</f>
        <v>-1.06067797002586E-008</v>
      </c>
      <c r="BL96" s="27" t="n">
        <f aca="false">(BL30-INDEX(Mortality_Matrix!$B$4:$BS$64,MATCH($A96,Mortality_Matrix!$A$4:$A$64,0),MATCH(2074,Mortality_Matrix!$B$3:$BS$3,0)))/INDEX(Mortality_Matrix!$B$4:$BS$64,MATCH($A96,Mortality_Matrix!$A$4:$A$64,0),MATCH(2074,Mortality_Matrix!$B$3:$BS$3,0))</f>
        <v>5.11865242314376E-009</v>
      </c>
      <c r="BM96" s="27" t="n">
        <f aca="false">(BM30-INDEX(Mortality_Matrix!$B$4:$BS$64,MATCH($A96,Mortality_Matrix!$A$4:$A$64,0),MATCH(2075,Mortality_Matrix!$B$3:$BS$3,0)))/INDEX(Mortality_Matrix!$B$4:$BS$64,MATCH($A96,Mortality_Matrix!$A$4:$A$64,0),MATCH(2075,Mortality_Matrix!$B$3:$BS$3,0))</f>
        <v>1.5033699342282E-008</v>
      </c>
      <c r="BN96" s="27" t="n">
        <f aca="false">(BN30-INDEX(Mortality_Matrix!$B$4:$BS$64,MATCH($A96,Mortality_Matrix!$A$4:$A$64,0),MATCH(2076,Mortality_Matrix!$B$3:$BS$3,0)))/INDEX(Mortality_Matrix!$B$4:$BS$64,MATCH($A96,Mortality_Matrix!$A$4:$A$64,0),MATCH(2076,Mortality_Matrix!$B$3:$BS$3,0))</f>
        <v>1.89666735368022E-009</v>
      </c>
      <c r="BO96" s="27" t="n">
        <f aca="false">(BO30-INDEX(Mortality_Matrix!$B$4:$BS$64,MATCH($A96,Mortality_Matrix!$A$4:$A$64,0),MATCH(2077,Mortality_Matrix!$B$3:$BS$3,0)))/INDEX(Mortality_Matrix!$B$4:$BS$64,MATCH($A96,Mortality_Matrix!$A$4:$A$64,0),MATCH(2077,Mortality_Matrix!$B$3:$BS$3,0))</f>
        <v>1.20383178024812E-009</v>
      </c>
      <c r="BP96" s="27" t="n">
        <f aca="false">(BP30-INDEX(Mortality_Matrix!$B$4:$BS$64,MATCH($A96,Mortality_Matrix!$A$4:$A$64,0),MATCH(2078,Mortality_Matrix!$B$3:$BS$3,0)))/INDEX(Mortality_Matrix!$B$4:$BS$64,MATCH($A96,Mortality_Matrix!$A$4:$A$64,0),MATCH(2078,Mortality_Matrix!$B$3:$BS$3,0))</f>
        <v>-1.08217453647326E-009</v>
      </c>
      <c r="BQ96" s="27" t="n">
        <f aca="false">(BQ30-INDEX(Mortality_Matrix!$B$4:$BS$64,MATCH($A96,Mortality_Matrix!$A$4:$A$64,0),MATCH(2079,Mortality_Matrix!$B$3:$BS$3,0)))/INDEX(Mortality_Matrix!$B$4:$BS$64,MATCH($A96,Mortality_Matrix!$A$4:$A$64,0),MATCH(2079,Mortality_Matrix!$B$3:$BS$3,0))</f>
        <v>-1.79627247865821E-009</v>
      </c>
      <c r="BR96" s="27" t="n">
        <f aca="false">(BR30-INDEX(Mortality_Matrix!$B$4:$BS$64,MATCH($A96,Mortality_Matrix!$A$4:$A$64,0),MATCH(2080,Mortality_Matrix!$B$3:$BS$3,0)))/INDEX(Mortality_Matrix!$B$4:$BS$64,MATCH($A96,Mortality_Matrix!$A$4:$A$64,0),MATCH(2080,Mortality_Matrix!$B$3:$BS$3,0))</f>
        <v>-1.6295724207257E-008</v>
      </c>
      <c r="BS96" s="27" t="n">
        <f aca="false">(BS30-INDEX(Mortality_Matrix!$B$4:$BS$64,MATCH($A96,Mortality_Matrix!$A$4:$A$64,0),MATCH(2081,Mortality_Matrix!$B$3:$BS$3,0)))/INDEX(Mortality_Matrix!$B$4:$BS$64,MATCH($A96,Mortality_Matrix!$A$4:$A$64,0),MATCH(2081,Mortality_Matrix!$B$3:$BS$3,0))</f>
        <v>-7.09556460405556E-009</v>
      </c>
      <c r="BT96" s="27" t="n">
        <f aca="false">(BT30-INDEX(Mortality_Matrix!$B$4:$BS$64,MATCH($A96,Mortality_Matrix!$A$4:$A$64,0),MATCH(2082,Mortality_Matrix!$B$3:$BS$3,0)))/INDEX(Mortality_Matrix!$B$4:$BS$64,MATCH($A96,Mortality_Matrix!$A$4:$A$64,0),MATCH(2082,Mortality_Matrix!$B$3:$BS$3,0))</f>
        <v>7.28844165269161E-009</v>
      </c>
      <c r="BU96" s="27" t="n">
        <f aca="false">(BU30-INDEX(Mortality_Matrix!$B$4:$BS$64,MATCH($A96,Mortality_Matrix!$A$4:$A$64,0),MATCH(2083,Mortality_Matrix!$B$3:$BS$3,0)))/INDEX(Mortality_Matrix!$B$4:$BS$64,MATCH($A96,Mortality_Matrix!$A$4:$A$64,0),MATCH(2083,Mortality_Matrix!$B$3:$BS$3,0))</f>
        <v>-1.49006113364544E-008</v>
      </c>
      <c r="BV96" s="27" t="n">
        <f aca="false">(BV30-INDEX(Mortality_Matrix!$B$4:$BS$64,MATCH($A96,Mortality_Matrix!$A$4:$A$64,0),MATCH(2084,Mortality_Matrix!$B$3:$BS$3,0)))/INDEX(Mortality_Matrix!$B$4:$BS$64,MATCH($A96,Mortality_Matrix!$A$4:$A$64,0),MATCH(2084,Mortality_Matrix!$B$3:$BS$3,0))</f>
        <v>1.28248748395401E-008</v>
      </c>
      <c r="BW96" s="27" t="n">
        <f aca="false">(BW30-INDEX(Mortality_Matrix!$B$4:$BS$64,MATCH($A96,Mortality_Matrix!$A$4:$A$64,0),MATCH(2085,Mortality_Matrix!$B$3:$BS$3,0)))/INDEX(Mortality_Matrix!$B$4:$BS$64,MATCH($A96,Mortality_Matrix!$A$4:$A$64,0),MATCH(2085,Mortality_Matrix!$B$3:$BS$3,0))</f>
        <v>1.487605900338E-009</v>
      </c>
      <c r="BX96" s="27" t="n">
        <f aca="false">(BX30-INDEX(Mortality_Matrix!$B$4:$BS$64,MATCH($A96,Mortality_Matrix!$A$4:$A$64,0),MATCH(2086,Mortality_Matrix!$B$3:$BS$3,0)))/INDEX(Mortality_Matrix!$B$4:$BS$64,MATCH($A96,Mortality_Matrix!$A$4:$A$64,0),MATCH(2086,Mortality_Matrix!$B$3:$BS$3,0))</f>
        <v>-1.02207584274374E-008</v>
      </c>
      <c r="BY96" s="27" t="n">
        <f aca="false">(BY30-INDEX(Mortality_Matrix!$B$4:$BS$64,MATCH($A96,Mortality_Matrix!$A$4:$A$64,0),MATCH(2087,Mortality_Matrix!$B$3:$BS$3,0)))/INDEX(Mortality_Matrix!$B$4:$BS$64,MATCH($A96,Mortality_Matrix!$A$4:$A$64,0),MATCH(2087,Mortality_Matrix!$B$3:$BS$3,0))</f>
        <v>-8.00460060259275E-009</v>
      </c>
      <c r="BZ96" s="27" t="n">
        <f aca="false">(BZ30-INDEX(Mortality_Matrix!$B$4:$BS$64,MATCH($A96,Mortality_Matrix!$A$4:$A$64,0),MATCH(2088,Mortality_Matrix!$B$3:$BS$3,0)))/INDEX(Mortality_Matrix!$B$4:$BS$64,MATCH($A96,Mortality_Matrix!$A$4:$A$64,0),MATCH(2088,Mortality_Matrix!$B$3:$BS$3,0))</f>
        <v>-4.73200965583523E-009</v>
      </c>
      <c r="CA96" s="27" t="n">
        <f aca="false">(CA30-INDEX(Mortality_Matrix!$B$4:$BS$64,MATCH($A96,Mortality_Matrix!$A$4:$A$64,0),MATCH(2089,Mortality_Matrix!$B$3:$BS$3,0)))/INDEX(Mortality_Matrix!$B$4:$BS$64,MATCH($A96,Mortality_Matrix!$A$4:$A$64,0),MATCH(2089,Mortality_Matrix!$B$3:$BS$3,0))</f>
        <v>-1.82488557803343E-009</v>
      </c>
      <c r="CB96" s="27" t="n">
        <f aca="false">(CB30-INDEX(Mortality_Matrix!$B$4:$BS$64,MATCH($A96,Mortality_Matrix!$A$4:$A$64,0),MATCH(2090,Mortality_Matrix!$B$3:$BS$3,0)))/INDEX(Mortality_Matrix!$B$4:$BS$64,MATCH($A96,Mortality_Matrix!$A$4:$A$64,0),MATCH(2090,Mortality_Matrix!$B$3:$BS$3,0))</f>
        <v>1.08239501024064E-008</v>
      </c>
      <c r="CC96" s="27" t="n">
        <f aca="false">(CC30-INDEX(Mortality_Matrix!$B$4:$BS$64,MATCH($A96,Mortality_Matrix!$A$4:$A$64,0),MATCH(2091,Mortality_Matrix!$B$3:$BS$3,0)))/INDEX(Mortality_Matrix!$B$4:$BS$64,MATCH($A96,Mortality_Matrix!$A$4:$A$64,0),MATCH(2091,Mortality_Matrix!$B$3:$BS$3,0))</f>
        <v>1.21080957648538E-008</v>
      </c>
    </row>
    <row r="97" customFormat="false" ht="15" hidden="false" customHeight="true" outlineLevel="0" collapsed="false">
      <c r="A97" s="3" t="n">
        <v>68</v>
      </c>
      <c r="L97" s="27" t="n">
        <f aca="false">(L31-INDEX(Mortality_Matrix!$B$4:$BS$64,MATCH($A97,Mortality_Matrix!$A$4:$A$64,0),MATCH(2022,Mortality_Matrix!$B$3:$BS$3,0)))/INDEX(Mortality_Matrix!$B$4:$BS$64,MATCH($A97,Mortality_Matrix!$A$4:$A$64,0),MATCH(2022,Mortality_Matrix!$B$3:$BS$3,0))</f>
        <v>2.24934675458941E-009</v>
      </c>
      <c r="M97" s="27" t="n">
        <f aca="false">(M31-INDEX(Mortality_Matrix!$B$4:$BS$64,MATCH($A97,Mortality_Matrix!$A$4:$A$64,0),MATCH(2023,Mortality_Matrix!$B$3:$BS$3,0)))/INDEX(Mortality_Matrix!$B$4:$BS$64,MATCH($A97,Mortality_Matrix!$A$4:$A$64,0),MATCH(2023,Mortality_Matrix!$B$3:$BS$3,0))</f>
        <v>5.78229328685885E-009</v>
      </c>
      <c r="N97" s="27" t="n">
        <f aca="false">(N31-INDEX(Mortality_Matrix!$B$4:$BS$64,MATCH($A97,Mortality_Matrix!$A$4:$A$64,0),MATCH(2024,Mortality_Matrix!$B$3:$BS$3,0)))/INDEX(Mortality_Matrix!$B$4:$BS$64,MATCH($A97,Mortality_Matrix!$A$4:$A$64,0),MATCH(2024,Mortality_Matrix!$B$3:$BS$3,0))</f>
        <v>2.6388684322599E-010</v>
      </c>
      <c r="O97" s="27" t="n">
        <f aca="false">(O31-INDEX(Mortality_Matrix!$B$4:$BS$64,MATCH($A97,Mortality_Matrix!$A$4:$A$64,0),MATCH(2025,Mortality_Matrix!$B$3:$BS$3,0)))/INDEX(Mortality_Matrix!$B$4:$BS$64,MATCH($A97,Mortality_Matrix!$A$4:$A$64,0),MATCH(2025,Mortality_Matrix!$B$3:$BS$3,0))</f>
        <v>2.55191655204981E-009</v>
      </c>
      <c r="P97" s="27" t="n">
        <f aca="false">(P31-INDEX(Mortality_Matrix!$B$4:$BS$64,MATCH($A97,Mortality_Matrix!$A$4:$A$64,0),MATCH(2026,Mortality_Matrix!$B$3:$BS$3,0)))/INDEX(Mortality_Matrix!$B$4:$BS$64,MATCH($A97,Mortality_Matrix!$A$4:$A$64,0),MATCH(2026,Mortality_Matrix!$B$3:$BS$3,0))</f>
        <v>-1.46676369903166E-009</v>
      </c>
      <c r="Q97" s="27" t="n">
        <f aca="false">(Q31-INDEX(Mortality_Matrix!$B$4:$BS$64,MATCH($A97,Mortality_Matrix!$A$4:$A$64,0),MATCH(2027,Mortality_Matrix!$B$3:$BS$3,0)))/INDEX(Mortality_Matrix!$B$4:$BS$64,MATCH($A97,Mortality_Matrix!$A$4:$A$64,0),MATCH(2027,Mortality_Matrix!$B$3:$BS$3,0))</f>
        <v>-3.00297275347685E-009</v>
      </c>
      <c r="R97" s="27" t="n">
        <f aca="false">(R31-INDEX(Mortality_Matrix!$B$4:$BS$64,MATCH($A97,Mortality_Matrix!$A$4:$A$64,0),MATCH(2028,Mortality_Matrix!$B$3:$BS$3,0)))/INDEX(Mortality_Matrix!$B$4:$BS$64,MATCH($A97,Mortality_Matrix!$A$4:$A$64,0),MATCH(2028,Mortality_Matrix!$B$3:$BS$3,0))</f>
        <v>5.68506503743097E-009</v>
      </c>
      <c r="S97" s="27" t="n">
        <f aca="false">(S31-INDEX(Mortality_Matrix!$B$4:$BS$64,MATCH($A97,Mortality_Matrix!$A$4:$A$64,0),MATCH(2029,Mortality_Matrix!$B$3:$BS$3,0)))/INDEX(Mortality_Matrix!$B$4:$BS$64,MATCH($A97,Mortality_Matrix!$A$4:$A$64,0),MATCH(2029,Mortality_Matrix!$B$3:$BS$3,0))</f>
        <v>3.67249421717228E-009</v>
      </c>
      <c r="T97" s="27" t="n">
        <f aca="false">(T31-INDEX(Mortality_Matrix!$B$4:$BS$64,MATCH($A97,Mortality_Matrix!$A$4:$A$64,0),MATCH(2030,Mortality_Matrix!$B$3:$BS$3,0)))/INDEX(Mortality_Matrix!$B$4:$BS$64,MATCH($A97,Mortality_Matrix!$A$4:$A$64,0),MATCH(2030,Mortality_Matrix!$B$3:$BS$3,0))</f>
        <v>4.97083206174841E-009</v>
      </c>
      <c r="U97" s="27" t="n">
        <f aca="false">(U31-INDEX(Mortality_Matrix!$B$4:$BS$64,MATCH($A97,Mortality_Matrix!$A$4:$A$64,0),MATCH(2031,Mortality_Matrix!$B$3:$BS$3,0)))/INDEX(Mortality_Matrix!$B$4:$BS$64,MATCH($A97,Mortality_Matrix!$A$4:$A$64,0),MATCH(2031,Mortality_Matrix!$B$3:$BS$3,0))</f>
        <v>-4.07022830427027E-010</v>
      </c>
      <c r="V97" s="27" t="n">
        <f aca="false">(V31-INDEX(Mortality_Matrix!$B$4:$BS$64,MATCH($A97,Mortality_Matrix!$A$4:$A$64,0),MATCH(2032,Mortality_Matrix!$B$3:$BS$3,0)))/INDEX(Mortality_Matrix!$B$4:$BS$64,MATCH($A97,Mortality_Matrix!$A$4:$A$64,0),MATCH(2032,Mortality_Matrix!$B$3:$BS$3,0))</f>
        <v>-6.92405204839168E-009</v>
      </c>
      <c r="W97" s="27" t="n">
        <f aca="false">(W31-INDEX(Mortality_Matrix!$B$4:$BS$64,MATCH($A97,Mortality_Matrix!$A$4:$A$64,0),MATCH(2033,Mortality_Matrix!$B$3:$BS$3,0)))/INDEX(Mortality_Matrix!$B$4:$BS$64,MATCH($A97,Mortality_Matrix!$A$4:$A$64,0),MATCH(2033,Mortality_Matrix!$B$3:$BS$3,0))</f>
        <v>3.77887096995991E-009</v>
      </c>
      <c r="X97" s="27" t="n">
        <f aca="false">(X31-INDEX(Mortality_Matrix!$B$4:$BS$64,MATCH($A97,Mortality_Matrix!$A$4:$A$64,0),MATCH(2034,Mortality_Matrix!$B$3:$BS$3,0)))/INDEX(Mortality_Matrix!$B$4:$BS$64,MATCH($A97,Mortality_Matrix!$A$4:$A$64,0),MATCH(2034,Mortality_Matrix!$B$3:$BS$3,0))</f>
        <v>-4.75561947312718E-009</v>
      </c>
      <c r="Y97" s="27" t="n">
        <f aca="false">(Y31-INDEX(Mortality_Matrix!$B$4:$BS$64,MATCH($A97,Mortality_Matrix!$A$4:$A$64,0),MATCH(2035,Mortality_Matrix!$B$3:$BS$3,0)))/INDEX(Mortality_Matrix!$B$4:$BS$64,MATCH($A97,Mortality_Matrix!$A$4:$A$64,0),MATCH(2035,Mortality_Matrix!$B$3:$BS$3,0))</f>
        <v>2.5000414954888E-009</v>
      </c>
      <c r="Z97" s="27" t="n">
        <f aca="false">(Z31-INDEX(Mortality_Matrix!$B$4:$BS$64,MATCH($A97,Mortality_Matrix!$A$4:$A$64,0),MATCH(2036,Mortality_Matrix!$B$3:$BS$3,0)))/INDEX(Mortality_Matrix!$B$4:$BS$64,MATCH($A97,Mortality_Matrix!$A$4:$A$64,0),MATCH(2036,Mortality_Matrix!$B$3:$BS$3,0))</f>
        <v>-3.57095479602341E-009</v>
      </c>
      <c r="AA97" s="27" t="n">
        <f aca="false">(AA31-INDEX(Mortality_Matrix!$B$4:$BS$64,MATCH($A97,Mortality_Matrix!$A$4:$A$64,0),MATCH(2037,Mortality_Matrix!$B$3:$BS$3,0)))/INDEX(Mortality_Matrix!$B$4:$BS$64,MATCH($A97,Mortality_Matrix!$A$4:$A$64,0),MATCH(2037,Mortality_Matrix!$B$3:$BS$3,0))</f>
        <v>-2.47335442016383E-009</v>
      </c>
      <c r="AB97" s="27" t="n">
        <f aca="false">(AB31-INDEX(Mortality_Matrix!$B$4:$BS$64,MATCH($A97,Mortality_Matrix!$A$4:$A$64,0),MATCH(2038,Mortality_Matrix!$B$3:$BS$3,0)))/INDEX(Mortality_Matrix!$B$4:$BS$64,MATCH($A97,Mortality_Matrix!$A$4:$A$64,0),MATCH(2038,Mortality_Matrix!$B$3:$BS$3,0))</f>
        <v>6.09829976271606E-009</v>
      </c>
      <c r="AC97" s="27" t="n">
        <f aca="false">(AC31-INDEX(Mortality_Matrix!$B$4:$BS$64,MATCH($A97,Mortality_Matrix!$A$4:$A$64,0),MATCH(2039,Mortality_Matrix!$B$3:$BS$3,0)))/INDEX(Mortality_Matrix!$B$4:$BS$64,MATCH($A97,Mortality_Matrix!$A$4:$A$64,0),MATCH(2039,Mortality_Matrix!$B$3:$BS$3,0))</f>
        <v>6.62043107962602E-009</v>
      </c>
      <c r="AD97" s="27" t="n">
        <f aca="false">(AD31-INDEX(Mortality_Matrix!$B$4:$BS$64,MATCH($A97,Mortality_Matrix!$A$4:$A$64,0),MATCH(2040,Mortality_Matrix!$B$3:$BS$3,0)))/INDEX(Mortality_Matrix!$B$4:$BS$64,MATCH($A97,Mortality_Matrix!$A$4:$A$64,0),MATCH(2040,Mortality_Matrix!$B$3:$BS$3,0))</f>
        <v>1.05456532367821E-009</v>
      </c>
      <c r="AE97" s="27" t="n">
        <f aca="false">(AE31-INDEX(Mortality_Matrix!$B$4:$BS$64,MATCH($A97,Mortality_Matrix!$A$4:$A$64,0),MATCH(2041,Mortality_Matrix!$B$3:$BS$3,0)))/INDEX(Mortality_Matrix!$B$4:$BS$64,MATCH($A97,Mortality_Matrix!$A$4:$A$64,0),MATCH(2041,Mortality_Matrix!$B$3:$BS$3,0))</f>
        <v>-8.54252817367188E-009</v>
      </c>
      <c r="AF97" s="27" t="n">
        <f aca="false">(AF31-INDEX(Mortality_Matrix!$B$4:$BS$64,MATCH($A97,Mortality_Matrix!$A$4:$A$64,0),MATCH(2042,Mortality_Matrix!$B$3:$BS$3,0)))/INDEX(Mortality_Matrix!$B$4:$BS$64,MATCH($A97,Mortality_Matrix!$A$4:$A$64,0),MATCH(2042,Mortality_Matrix!$B$3:$BS$3,0))</f>
        <v>-2.62373626962214E-009</v>
      </c>
      <c r="AG97" s="27" t="n">
        <f aca="false">(AG31-INDEX(Mortality_Matrix!$B$4:$BS$64,MATCH($A97,Mortality_Matrix!$A$4:$A$64,0),MATCH(2043,Mortality_Matrix!$B$3:$BS$3,0)))/INDEX(Mortality_Matrix!$B$4:$BS$64,MATCH($A97,Mortality_Matrix!$A$4:$A$64,0),MATCH(2043,Mortality_Matrix!$B$3:$BS$3,0))</f>
        <v>8.89174216589496E-010</v>
      </c>
      <c r="AH97" s="27" t="n">
        <f aca="false">(AH31-INDEX(Mortality_Matrix!$B$4:$BS$64,MATCH($A97,Mortality_Matrix!$A$4:$A$64,0),MATCH(2044,Mortality_Matrix!$B$3:$BS$3,0)))/INDEX(Mortality_Matrix!$B$4:$BS$64,MATCH($A97,Mortality_Matrix!$A$4:$A$64,0),MATCH(2044,Mortality_Matrix!$B$3:$BS$3,0))</f>
        <v>-8.00176252051429E-010</v>
      </c>
      <c r="AI97" s="27" t="n">
        <f aca="false">(AI31-INDEX(Mortality_Matrix!$B$4:$BS$64,MATCH($A97,Mortality_Matrix!$A$4:$A$64,0),MATCH(2045,Mortality_Matrix!$B$3:$BS$3,0)))/INDEX(Mortality_Matrix!$B$4:$BS$64,MATCH($A97,Mortality_Matrix!$A$4:$A$64,0),MATCH(2045,Mortality_Matrix!$B$3:$BS$3,0))</f>
        <v>5.01202787360583E-009</v>
      </c>
      <c r="AJ97" s="27" t="n">
        <f aca="false">(AJ31-INDEX(Mortality_Matrix!$B$4:$BS$64,MATCH($A97,Mortality_Matrix!$A$4:$A$64,0),MATCH(2046,Mortality_Matrix!$B$3:$BS$3,0)))/INDEX(Mortality_Matrix!$B$4:$BS$64,MATCH($A97,Mortality_Matrix!$A$4:$A$64,0),MATCH(2046,Mortality_Matrix!$B$3:$BS$3,0))</f>
        <v>8.20421796198906E-009</v>
      </c>
      <c r="AK97" s="27" t="n">
        <f aca="false">(AK31-INDEX(Mortality_Matrix!$B$4:$BS$64,MATCH($A97,Mortality_Matrix!$A$4:$A$64,0),MATCH(2047,Mortality_Matrix!$B$3:$BS$3,0)))/INDEX(Mortality_Matrix!$B$4:$BS$64,MATCH($A97,Mortality_Matrix!$A$4:$A$64,0),MATCH(2047,Mortality_Matrix!$B$3:$BS$3,0))</f>
        <v>-7.11593720106179E-009</v>
      </c>
      <c r="AL97" s="27" t="n">
        <f aca="false">(AL31-INDEX(Mortality_Matrix!$B$4:$BS$64,MATCH($A97,Mortality_Matrix!$A$4:$A$64,0),MATCH(2048,Mortality_Matrix!$B$3:$BS$3,0)))/INDEX(Mortality_Matrix!$B$4:$BS$64,MATCH($A97,Mortality_Matrix!$A$4:$A$64,0),MATCH(2048,Mortality_Matrix!$B$3:$BS$3,0))</f>
        <v>-4.02518610473661E-009</v>
      </c>
      <c r="AM97" s="27" t="n">
        <f aca="false">(AM31-INDEX(Mortality_Matrix!$B$4:$BS$64,MATCH($A97,Mortality_Matrix!$A$4:$A$64,0),MATCH(2049,Mortality_Matrix!$B$3:$BS$3,0)))/INDEX(Mortality_Matrix!$B$4:$BS$64,MATCH($A97,Mortality_Matrix!$A$4:$A$64,0),MATCH(2049,Mortality_Matrix!$B$3:$BS$3,0))</f>
        <v>9.23462705578079E-009</v>
      </c>
      <c r="AN97" s="27" t="n">
        <f aca="false">(AN31-INDEX(Mortality_Matrix!$B$4:$BS$64,MATCH($A97,Mortality_Matrix!$A$4:$A$64,0),MATCH(2050,Mortality_Matrix!$B$3:$BS$3,0)))/INDEX(Mortality_Matrix!$B$4:$BS$64,MATCH($A97,Mortality_Matrix!$A$4:$A$64,0),MATCH(2050,Mortality_Matrix!$B$3:$BS$3,0))</f>
        <v>-4.53539620644778E-009</v>
      </c>
      <c r="AO97" s="27" t="n">
        <f aca="false">(AO31-INDEX(Mortality_Matrix!$B$4:$BS$64,MATCH($A97,Mortality_Matrix!$A$4:$A$64,0),MATCH(2051,Mortality_Matrix!$B$3:$BS$3,0)))/INDEX(Mortality_Matrix!$B$4:$BS$64,MATCH($A97,Mortality_Matrix!$A$4:$A$64,0),MATCH(2051,Mortality_Matrix!$B$3:$BS$3,0))</f>
        <v>-1.01690141656558E-008</v>
      </c>
      <c r="AP97" s="27" t="n">
        <f aca="false">(AP31-INDEX(Mortality_Matrix!$B$4:$BS$64,MATCH($A97,Mortality_Matrix!$A$4:$A$64,0),MATCH(2052,Mortality_Matrix!$B$3:$BS$3,0)))/INDEX(Mortality_Matrix!$B$4:$BS$64,MATCH($A97,Mortality_Matrix!$A$4:$A$64,0),MATCH(2052,Mortality_Matrix!$B$3:$BS$3,0))</f>
        <v>-1.27215571315034E-009</v>
      </c>
      <c r="AQ97" s="27" t="n">
        <f aca="false">(AQ31-INDEX(Mortality_Matrix!$B$4:$BS$64,MATCH($A97,Mortality_Matrix!$A$4:$A$64,0),MATCH(2053,Mortality_Matrix!$B$3:$BS$3,0)))/INDEX(Mortality_Matrix!$B$4:$BS$64,MATCH($A97,Mortality_Matrix!$A$4:$A$64,0),MATCH(2053,Mortality_Matrix!$B$3:$BS$3,0))</f>
        <v>-3.31518581608926E-009</v>
      </c>
      <c r="AR97" s="27" t="n">
        <f aca="false">(AR31-INDEX(Mortality_Matrix!$B$4:$BS$64,MATCH($A97,Mortality_Matrix!$A$4:$A$64,0),MATCH(2054,Mortality_Matrix!$B$3:$BS$3,0)))/INDEX(Mortality_Matrix!$B$4:$BS$64,MATCH($A97,Mortality_Matrix!$A$4:$A$64,0),MATCH(2054,Mortality_Matrix!$B$3:$BS$3,0))</f>
        <v>1.04396527564341E-008</v>
      </c>
      <c r="AS97" s="27" t="n">
        <f aca="false">(AS31-INDEX(Mortality_Matrix!$B$4:$BS$64,MATCH($A97,Mortality_Matrix!$A$4:$A$64,0),MATCH(2055,Mortality_Matrix!$B$3:$BS$3,0)))/INDEX(Mortality_Matrix!$B$4:$BS$64,MATCH($A97,Mortality_Matrix!$A$4:$A$64,0),MATCH(2055,Mortality_Matrix!$B$3:$BS$3,0))</f>
        <v>-1.08392852549462E-008</v>
      </c>
      <c r="AT97" s="27" t="n">
        <f aca="false">(AT31-INDEX(Mortality_Matrix!$B$4:$BS$64,MATCH($A97,Mortality_Matrix!$A$4:$A$64,0),MATCH(2056,Mortality_Matrix!$B$3:$BS$3,0)))/INDEX(Mortality_Matrix!$B$4:$BS$64,MATCH($A97,Mortality_Matrix!$A$4:$A$64,0),MATCH(2056,Mortality_Matrix!$B$3:$BS$3,0))</f>
        <v>1.87237231055952E-010</v>
      </c>
      <c r="AU97" s="27" t="n">
        <f aca="false">(AU31-INDEX(Mortality_Matrix!$B$4:$BS$64,MATCH($A97,Mortality_Matrix!$A$4:$A$64,0),MATCH(2057,Mortality_Matrix!$B$3:$BS$3,0)))/INDEX(Mortality_Matrix!$B$4:$BS$64,MATCH($A97,Mortality_Matrix!$A$4:$A$64,0),MATCH(2057,Mortality_Matrix!$B$3:$BS$3,0))</f>
        <v>8.86863882840165E-009</v>
      </c>
      <c r="AV97" s="27" t="n">
        <f aca="false">(AV31-INDEX(Mortality_Matrix!$B$4:$BS$64,MATCH($A97,Mortality_Matrix!$A$4:$A$64,0),MATCH(2058,Mortality_Matrix!$B$3:$BS$3,0)))/INDEX(Mortality_Matrix!$B$4:$BS$64,MATCH($A97,Mortality_Matrix!$A$4:$A$64,0),MATCH(2058,Mortality_Matrix!$B$3:$BS$3,0))</f>
        <v>8.98460732499388E-009</v>
      </c>
      <c r="AW97" s="27" t="n">
        <f aca="false">(AW31-INDEX(Mortality_Matrix!$B$4:$BS$64,MATCH($A97,Mortality_Matrix!$A$4:$A$64,0),MATCH(2059,Mortality_Matrix!$B$3:$BS$3,0)))/INDEX(Mortality_Matrix!$B$4:$BS$64,MATCH($A97,Mortality_Matrix!$A$4:$A$64,0),MATCH(2059,Mortality_Matrix!$B$3:$BS$3,0))</f>
        <v>6.25456696343926E-010</v>
      </c>
      <c r="AX97" s="27" t="n">
        <f aca="false">(AX31-INDEX(Mortality_Matrix!$B$4:$BS$64,MATCH($A97,Mortality_Matrix!$A$4:$A$64,0),MATCH(2060,Mortality_Matrix!$B$3:$BS$3,0)))/INDEX(Mortality_Matrix!$B$4:$BS$64,MATCH($A97,Mortality_Matrix!$A$4:$A$64,0),MATCH(2060,Mortality_Matrix!$B$3:$BS$3,0))</f>
        <v>-1.01320115839274E-008</v>
      </c>
      <c r="AY97" s="27" t="n">
        <f aca="false">(AY31-INDEX(Mortality_Matrix!$B$4:$BS$64,MATCH($A97,Mortality_Matrix!$A$4:$A$64,0),MATCH(2061,Mortality_Matrix!$B$3:$BS$3,0)))/INDEX(Mortality_Matrix!$B$4:$BS$64,MATCH($A97,Mortality_Matrix!$A$4:$A$64,0),MATCH(2061,Mortality_Matrix!$B$3:$BS$3,0))</f>
        <v>-1.15881830088298E-008</v>
      </c>
      <c r="AZ97" s="27" t="n">
        <f aca="false">(AZ31-INDEX(Mortality_Matrix!$B$4:$BS$64,MATCH($A97,Mortality_Matrix!$A$4:$A$64,0),MATCH(2062,Mortality_Matrix!$B$3:$BS$3,0)))/INDEX(Mortality_Matrix!$B$4:$BS$64,MATCH($A97,Mortality_Matrix!$A$4:$A$64,0),MATCH(2062,Mortality_Matrix!$B$3:$BS$3,0))</f>
        <v>-1.14649874314156E-008</v>
      </c>
      <c r="BA97" s="27" t="n">
        <f aca="false">(BA31-INDEX(Mortality_Matrix!$B$4:$BS$64,MATCH($A97,Mortality_Matrix!$A$4:$A$64,0),MATCH(2063,Mortality_Matrix!$B$3:$BS$3,0)))/INDEX(Mortality_Matrix!$B$4:$BS$64,MATCH($A97,Mortality_Matrix!$A$4:$A$64,0),MATCH(2063,Mortality_Matrix!$B$3:$BS$3,0))</f>
        <v>1.07977660732215E-008</v>
      </c>
      <c r="BB97" s="27" t="n">
        <f aca="false">(BB31-INDEX(Mortality_Matrix!$B$4:$BS$64,MATCH($A97,Mortality_Matrix!$A$4:$A$64,0),MATCH(2064,Mortality_Matrix!$B$3:$BS$3,0)))/INDEX(Mortality_Matrix!$B$4:$BS$64,MATCH($A97,Mortality_Matrix!$A$4:$A$64,0),MATCH(2064,Mortality_Matrix!$B$3:$BS$3,0))</f>
        <v>3.81406984703518E-009</v>
      </c>
      <c r="BC97" s="27" t="n">
        <f aca="false">(BC31-INDEX(Mortality_Matrix!$B$4:$BS$64,MATCH($A97,Mortality_Matrix!$A$4:$A$64,0),MATCH(2065,Mortality_Matrix!$B$3:$BS$3,0)))/INDEX(Mortality_Matrix!$B$4:$BS$64,MATCH($A97,Mortality_Matrix!$A$4:$A$64,0),MATCH(2065,Mortality_Matrix!$B$3:$BS$3,0))</f>
        <v>-7.4010951490078E-009</v>
      </c>
      <c r="BD97" s="27" t="n">
        <f aca="false">(BD31-INDEX(Mortality_Matrix!$B$4:$BS$64,MATCH($A97,Mortality_Matrix!$A$4:$A$64,0),MATCH(2066,Mortality_Matrix!$B$3:$BS$3,0)))/INDEX(Mortality_Matrix!$B$4:$BS$64,MATCH($A97,Mortality_Matrix!$A$4:$A$64,0),MATCH(2066,Mortality_Matrix!$B$3:$BS$3,0))</f>
        <v>5.16271647080831E-009</v>
      </c>
      <c r="BE97" s="27" t="n">
        <f aca="false">(BE31-INDEX(Mortality_Matrix!$B$4:$BS$64,MATCH($A97,Mortality_Matrix!$A$4:$A$64,0),MATCH(2067,Mortality_Matrix!$B$3:$BS$3,0)))/INDEX(Mortality_Matrix!$B$4:$BS$64,MATCH($A97,Mortality_Matrix!$A$4:$A$64,0),MATCH(2067,Mortality_Matrix!$B$3:$BS$3,0))</f>
        <v>-7.85815440993444E-009</v>
      </c>
      <c r="BF97" s="27" t="n">
        <f aca="false">(BF31-INDEX(Mortality_Matrix!$B$4:$BS$64,MATCH($A97,Mortality_Matrix!$A$4:$A$64,0),MATCH(2068,Mortality_Matrix!$B$3:$BS$3,0)))/INDEX(Mortality_Matrix!$B$4:$BS$64,MATCH($A97,Mortality_Matrix!$A$4:$A$64,0),MATCH(2068,Mortality_Matrix!$B$3:$BS$3,0))</f>
        <v>8.86812740620572E-009</v>
      </c>
      <c r="BG97" s="27" t="n">
        <f aca="false">(BG31-INDEX(Mortality_Matrix!$B$4:$BS$64,MATCH($A97,Mortality_Matrix!$A$4:$A$64,0),MATCH(2069,Mortality_Matrix!$B$3:$BS$3,0)))/INDEX(Mortality_Matrix!$B$4:$BS$64,MATCH($A97,Mortality_Matrix!$A$4:$A$64,0),MATCH(2069,Mortality_Matrix!$B$3:$BS$3,0))</f>
        <v>3.52733006642461E-009</v>
      </c>
      <c r="BH97" s="27" t="n">
        <f aca="false">(BH31-INDEX(Mortality_Matrix!$B$4:$BS$64,MATCH($A97,Mortality_Matrix!$A$4:$A$64,0),MATCH(2070,Mortality_Matrix!$B$3:$BS$3,0)))/INDEX(Mortality_Matrix!$B$4:$BS$64,MATCH($A97,Mortality_Matrix!$A$4:$A$64,0),MATCH(2070,Mortality_Matrix!$B$3:$BS$3,0))</f>
        <v>2.69315627294846E-009</v>
      </c>
      <c r="BI97" s="27" t="n">
        <f aca="false">(BI31-INDEX(Mortality_Matrix!$B$4:$BS$64,MATCH($A97,Mortality_Matrix!$A$4:$A$64,0),MATCH(2071,Mortality_Matrix!$B$3:$BS$3,0)))/INDEX(Mortality_Matrix!$B$4:$BS$64,MATCH($A97,Mortality_Matrix!$A$4:$A$64,0),MATCH(2071,Mortality_Matrix!$B$3:$BS$3,0))</f>
        <v>3.68117924356323E-009</v>
      </c>
      <c r="BJ97" s="27" t="n">
        <f aca="false">(BJ31-INDEX(Mortality_Matrix!$B$4:$BS$64,MATCH($A97,Mortality_Matrix!$A$4:$A$64,0),MATCH(2072,Mortality_Matrix!$B$3:$BS$3,0)))/INDEX(Mortality_Matrix!$B$4:$BS$64,MATCH($A97,Mortality_Matrix!$A$4:$A$64,0),MATCH(2072,Mortality_Matrix!$B$3:$BS$3,0))</f>
        <v>9.87897038884527E-011</v>
      </c>
      <c r="BK97" s="27" t="n">
        <f aca="false">(BK31-INDEX(Mortality_Matrix!$B$4:$BS$64,MATCH($A97,Mortality_Matrix!$A$4:$A$64,0),MATCH(2073,Mortality_Matrix!$B$3:$BS$3,0)))/INDEX(Mortality_Matrix!$B$4:$BS$64,MATCH($A97,Mortality_Matrix!$A$4:$A$64,0),MATCH(2073,Mortality_Matrix!$B$3:$BS$3,0))</f>
        <v>9.84579892133184E-009</v>
      </c>
      <c r="BL97" s="27" t="n">
        <f aca="false">(BL31-INDEX(Mortality_Matrix!$B$4:$BS$64,MATCH($A97,Mortality_Matrix!$A$4:$A$64,0),MATCH(2074,Mortality_Matrix!$B$3:$BS$3,0)))/INDEX(Mortality_Matrix!$B$4:$BS$64,MATCH($A97,Mortality_Matrix!$A$4:$A$64,0),MATCH(2074,Mortality_Matrix!$B$3:$BS$3,0))</f>
        <v>-1.24558660169521E-008</v>
      </c>
      <c r="BM97" s="27" t="n">
        <f aca="false">(BM31-INDEX(Mortality_Matrix!$B$4:$BS$64,MATCH($A97,Mortality_Matrix!$A$4:$A$64,0),MATCH(2075,Mortality_Matrix!$B$3:$BS$3,0)))/INDEX(Mortality_Matrix!$B$4:$BS$64,MATCH($A97,Mortality_Matrix!$A$4:$A$64,0),MATCH(2075,Mortality_Matrix!$B$3:$BS$3,0))</f>
        <v>-1.21019526397257E-009</v>
      </c>
      <c r="BN97" s="27" t="n">
        <f aca="false">(BN31-INDEX(Mortality_Matrix!$B$4:$BS$64,MATCH($A97,Mortality_Matrix!$A$4:$A$64,0),MATCH(2076,Mortality_Matrix!$B$3:$BS$3,0)))/INDEX(Mortality_Matrix!$B$4:$BS$64,MATCH($A97,Mortality_Matrix!$A$4:$A$64,0),MATCH(2076,Mortality_Matrix!$B$3:$BS$3,0))</f>
        <v>1.47734998030475E-008</v>
      </c>
      <c r="BO97" s="27" t="n">
        <f aca="false">(BO31-INDEX(Mortality_Matrix!$B$4:$BS$64,MATCH($A97,Mortality_Matrix!$A$4:$A$64,0),MATCH(2077,Mortality_Matrix!$B$3:$BS$3,0)))/INDEX(Mortality_Matrix!$B$4:$BS$64,MATCH($A97,Mortality_Matrix!$A$4:$A$64,0),MATCH(2077,Mortality_Matrix!$B$3:$BS$3,0))</f>
        <v>-3.15358393149913E-009</v>
      </c>
      <c r="BP97" s="27" t="n">
        <f aca="false">(BP31-INDEX(Mortality_Matrix!$B$4:$BS$64,MATCH($A97,Mortality_Matrix!$A$4:$A$64,0),MATCH(2078,Mortality_Matrix!$B$3:$BS$3,0)))/INDEX(Mortality_Matrix!$B$4:$BS$64,MATCH($A97,Mortality_Matrix!$A$4:$A$64,0),MATCH(2078,Mortality_Matrix!$B$3:$BS$3,0))</f>
        <v>-1.08415505927092E-008</v>
      </c>
      <c r="BQ97" s="27" t="n">
        <f aca="false">(BQ31-INDEX(Mortality_Matrix!$B$4:$BS$64,MATCH($A97,Mortality_Matrix!$A$4:$A$64,0),MATCH(2079,Mortality_Matrix!$B$3:$BS$3,0)))/INDEX(Mortality_Matrix!$B$4:$BS$64,MATCH($A97,Mortality_Matrix!$A$4:$A$64,0),MATCH(2079,Mortality_Matrix!$B$3:$BS$3,0))</f>
        <v>-3.19579481109879E-009</v>
      </c>
      <c r="BR97" s="27" t="n">
        <f aca="false">(BR31-INDEX(Mortality_Matrix!$B$4:$BS$64,MATCH($A97,Mortality_Matrix!$A$4:$A$64,0),MATCH(2080,Mortality_Matrix!$B$3:$BS$3,0)))/INDEX(Mortality_Matrix!$B$4:$BS$64,MATCH($A97,Mortality_Matrix!$A$4:$A$64,0),MATCH(2080,Mortality_Matrix!$B$3:$BS$3,0))</f>
        <v>1.42691299718885E-008</v>
      </c>
      <c r="BS97" s="27" t="n">
        <f aca="false">(BS31-INDEX(Mortality_Matrix!$B$4:$BS$64,MATCH($A97,Mortality_Matrix!$A$4:$A$64,0),MATCH(2081,Mortality_Matrix!$B$3:$BS$3,0)))/INDEX(Mortality_Matrix!$B$4:$BS$64,MATCH($A97,Mortality_Matrix!$A$4:$A$64,0),MATCH(2081,Mortality_Matrix!$B$3:$BS$3,0))</f>
        <v>-9.04370415912527E-009</v>
      </c>
      <c r="BT97" s="27" t="n">
        <f aca="false">(BT31-INDEX(Mortality_Matrix!$B$4:$BS$64,MATCH($A97,Mortality_Matrix!$A$4:$A$64,0),MATCH(2082,Mortality_Matrix!$B$3:$BS$3,0)))/INDEX(Mortality_Matrix!$B$4:$BS$64,MATCH($A97,Mortality_Matrix!$A$4:$A$64,0),MATCH(2082,Mortality_Matrix!$B$3:$BS$3,0))</f>
        <v>-6.37690400509943E-009</v>
      </c>
      <c r="BU97" s="27" t="n">
        <f aca="false">(BU31-INDEX(Mortality_Matrix!$B$4:$BS$64,MATCH($A97,Mortality_Matrix!$A$4:$A$64,0),MATCH(2083,Mortality_Matrix!$B$3:$BS$3,0)))/INDEX(Mortality_Matrix!$B$4:$BS$64,MATCH($A97,Mortality_Matrix!$A$4:$A$64,0),MATCH(2083,Mortality_Matrix!$B$3:$BS$3,0))</f>
        <v>1.1559696480771E-008</v>
      </c>
      <c r="BV97" s="27" t="n">
        <f aca="false">(BV31-INDEX(Mortality_Matrix!$B$4:$BS$64,MATCH($A97,Mortality_Matrix!$A$4:$A$64,0),MATCH(2084,Mortality_Matrix!$B$3:$BS$3,0)))/INDEX(Mortality_Matrix!$B$4:$BS$64,MATCH($A97,Mortality_Matrix!$A$4:$A$64,0),MATCH(2084,Mortality_Matrix!$B$3:$BS$3,0))</f>
        <v>-1.59267131809809E-008</v>
      </c>
      <c r="BW97" s="27" t="n">
        <f aca="false">(BW31-INDEX(Mortality_Matrix!$B$4:$BS$64,MATCH($A97,Mortality_Matrix!$A$4:$A$64,0),MATCH(2085,Mortality_Matrix!$B$3:$BS$3,0)))/INDEX(Mortality_Matrix!$B$4:$BS$64,MATCH($A97,Mortality_Matrix!$A$4:$A$64,0),MATCH(2085,Mortality_Matrix!$B$3:$BS$3,0))</f>
        <v>5.17643121451095E-009</v>
      </c>
      <c r="BX97" s="27" t="n">
        <f aca="false">(BX31-INDEX(Mortality_Matrix!$B$4:$BS$64,MATCH($A97,Mortality_Matrix!$A$4:$A$64,0),MATCH(2086,Mortality_Matrix!$B$3:$BS$3,0)))/INDEX(Mortality_Matrix!$B$4:$BS$64,MATCH($A97,Mortality_Matrix!$A$4:$A$64,0),MATCH(2086,Mortality_Matrix!$B$3:$BS$3,0))</f>
        <v>1.59772187178394E-008</v>
      </c>
      <c r="BY97" s="27" t="n">
        <f aca="false">(BY31-INDEX(Mortality_Matrix!$B$4:$BS$64,MATCH($A97,Mortality_Matrix!$A$4:$A$64,0),MATCH(2087,Mortality_Matrix!$B$3:$BS$3,0)))/INDEX(Mortality_Matrix!$B$4:$BS$64,MATCH($A97,Mortality_Matrix!$A$4:$A$64,0),MATCH(2087,Mortality_Matrix!$B$3:$BS$3,0))</f>
        <v>7.70832916129516E-009</v>
      </c>
      <c r="BZ97" s="27" t="n">
        <f aca="false">(BZ31-INDEX(Mortality_Matrix!$B$4:$BS$64,MATCH($A97,Mortality_Matrix!$A$4:$A$64,0),MATCH(2088,Mortality_Matrix!$B$3:$BS$3,0)))/INDEX(Mortality_Matrix!$B$4:$BS$64,MATCH($A97,Mortality_Matrix!$A$4:$A$64,0),MATCH(2088,Mortality_Matrix!$B$3:$BS$3,0))</f>
        <v>-1.16362360578741E-008</v>
      </c>
      <c r="CA97" s="27" t="n">
        <f aca="false">(CA31-INDEX(Mortality_Matrix!$B$4:$BS$64,MATCH($A97,Mortality_Matrix!$A$4:$A$64,0),MATCH(2089,Mortality_Matrix!$B$3:$BS$3,0)))/INDEX(Mortality_Matrix!$B$4:$BS$64,MATCH($A97,Mortality_Matrix!$A$4:$A$64,0),MATCH(2089,Mortality_Matrix!$B$3:$BS$3,0))</f>
        <v>-1.68239366725936E-008</v>
      </c>
      <c r="CB97" s="27" t="n">
        <f aca="false">(CB31-INDEX(Mortality_Matrix!$B$4:$BS$64,MATCH($A97,Mortality_Matrix!$A$4:$A$64,0),MATCH(2090,Mortality_Matrix!$B$3:$BS$3,0)))/INDEX(Mortality_Matrix!$B$4:$BS$64,MATCH($A97,Mortality_Matrix!$A$4:$A$64,0),MATCH(2090,Mortality_Matrix!$B$3:$BS$3,0))</f>
        <v>-2.5286050635382E-009</v>
      </c>
      <c r="CC97" s="27" t="n">
        <f aca="false">(CC31-INDEX(Mortality_Matrix!$B$4:$BS$64,MATCH($A97,Mortality_Matrix!$A$4:$A$64,0),MATCH(2091,Mortality_Matrix!$B$3:$BS$3,0)))/INDEX(Mortality_Matrix!$B$4:$BS$64,MATCH($A97,Mortality_Matrix!$A$4:$A$64,0),MATCH(2091,Mortality_Matrix!$B$3:$BS$3,0))</f>
        <v>1.42759530652741E-008</v>
      </c>
    </row>
    <row r="98" customFormat="false" ht="15" hidden="false" customHeight="true" outlineLevel="0" collapsed="false">
      <c r="A98" s="3" t="n">
        <v>69</v>
      </c>
      <c r="L98" s="27" t="n">
        <f aca="false">(L32-INDEX(Mortality_Matrix!$B$4:$BS$64,MATCH($A98,Mortality_Matrix!$A$4:$A$64,0),MATCH(2022,Mortality_Matrix!$B$3:$BS$3,0)))/INDEX(Mortality_Matrix!$B$4:$BS$64,MATCH($A98,Mortality_Matrix!$A$4:$A$64,0),MATCH(2022,Mortality_Matrix!$B$3:$BS$3,0))</f>
        <v>-2.20066564141086E-009</v>
      </c>
      <c r="M98" s="27" t="n">
        <f aca="false">(M32-INDEX(Mortality_Matrix!$B$4:$BS$64,MATCH($A98,Mortality_Matrix!$A$4:$A$64,0),MATCH(2023,Mortality_Matrix!$B$3:$BS$3,0)))/INDEX(Mortality_Matrix!$B$4:$BS$64,MATCH($A98,Mortality_Matrix!$A$4:$A$64,0),MATCH(2023,Mortality_Matrix!$B$3:$BS$3,0))</f>
        <v>-5.38082250528266E-009</v>
      </c>
      <c r="N98" s="27" t="n">
        <f aca="false">(N32-INDEX(Mortality_Matrix!$B$4:$BS$64,MATCH($A98,Mortality_Matrix!$A$4:$A$64,0),MATCH(2024,Mortality_Matrix!$B$3:$BS$3,0)))/INDEX(Mortality_Matrix!$B$4:$BS$64,MATCH($A98,Mortality_Matrix!$A$4:$A$64,0),MATCH(2024,Mortality_Matrix!$B$3:$BS$3,0))</f>
        <v>-8.30159465820915E-010</v>
      </c>
      <c r="O98" s="27" t="n">
        <f aca="false">(O32-INDEX(Mortality_Matrix!$B$4:$BS$64,MATCH($A98,Mortality_Matrix!$A$4:$A$64,0),MATCH(2025,Mortality_Matrix!$B$3:$BS$3,0)))/INDEX(Mortality_Matrix!$B$4:$BS$64,MATCH($A98,Mortality_Matrix!$A$4:$A$64,0),MATCH(2025,Mortality_Matrix!$B$3:$BS$3,0))</f>
        <v>-4.19512054276015E-009</v>
      </c>
      <c r="P98" s="27" t="n">
        <f aca="false">(P32-INDEX(Mortality_Matrix!$B$4:$BS$64,MATCH($A98,Mortality_Matrix!$A$4:$A$64,0),MATCH(2026,Mortality_Matrix!$B$3:$BS$3,0)))/INDEX(Mortality_Matrix!$B$4:$BS$64,MATCH($A98,Mortality_Matrix!$A$4:$A$64,0),MATCH(2026,Mortality_Matrix!$B$3:$BS$3,0))</f>
        <v>-4.0712257883217E-009</v>
      </c>
      <c r="Q98" s="27" t="n">
        <f aca="false">(Q32-INDEX(Mortality_Matrix!$B$4:$BS$64,MATCH($A98,Mortality_Matrix!$A$4:$A$64,0),MATCH(2027,Mortality_Matrix!$B$3:$BS$3,0)))/INDEX(Mortality_Matrix!$B$4:$BS$64,MATCH($A98,Mortality_Matrix!$A$4:$A$64,0),MATCH(2027,Mortality_Matrix!$B$3:$BS$3,0))</f>
        <v>-2.4126441817073E-009</v>
      </c>
      <c r="R98" s="27" t="n">
        <f aca="false">(R32-INDEX(Mortality_Matrix!$B$4:$BS$64,MATCH($A98,Mortality_Matrix!$A$4:$A$64,0),MATCH(2028,Mortality_Matrix!$B$3:$BS$3,0)))/INDEX(Mortality_Matrix!$B$4:$BS$64,MATCH($A98,Mortality_Matrix!$A$4:$A$64,0),MATCH(2028,Mortality_Matrix!$B$3:$BS$3,0))</f>
        <v>1.557058162924E-010</v>
      </c>
      <c r="S98" s="27" t="n">
        <f aca="false">(S32-INDEX(Mortality_Matrix!$B$4:$BS$64,MATCH($A98,Mortality_Matrix!$A$4:$A$64,0),MATCH(2029,Mortality_Matrix!$B$3:$BS$3,0)))/INDEX(Mortality_Matrix!$B$4:$BS$64,MATCH($A98,Mortality_Matrix!$A$4:$A$64,0),MATCH(2029,Mortality_Matrix!$B$3:$BS$3,0))</f>
        <v>4.55914797986036E-009</v>
      </c>
      <c r="T98" s="27" t="n">
        <f aca="false">(T32-INDEX(Mortality_Matrix!$B$4:$BS$64,MATCH($A98,Mortality_Matrix!$A$4:$A$64,0),MATCH(2030,Mortality_Matrix!$B$3:$BS$3,0)))/INDEX(Mortality_Matrix!$B$4:$BS$64,MATCH($A98,Mortality_Matrix!$A$4:$A$64,0),MATCH(2030,Mortality_Matrix!$B$3:$BS$3,0))</f>
        <v>-4.54463980701988E-010</v>
      </c>
      <c r="U98" s="27" t="n">
        <f aca="false">(U32-INDEX(Mortality_Matrix!$B$4:$BS$64,MATCH($A98,Mortality_Matrix!$A$4:$A$64,0),MATCH(2031,Mortality_Matrix!$B$3:$BS$3,0)))/INDEX(Mortality_Matrix!$B$4:$BS$64,MATCH($A98,Mortality_Matrix!$A$4:$A$64,0),MATCH(2031,Mortality_Matrix!$B$3:$BS$3,0))</f>
        <v>-1.34148522926596E-009</v>
      </c>
      <c r="V98" s="27" t="n">
        <f aca="false">(V32-INDEX(Mortality_Matrix!$B$4:$BS$64,MATCH($A98,Mortality_Matrix!$A$4:$A$64,0),MATCH(2032,Mortality_Matrix!$B$3:$BS$3,0)))/INDEX(Mortality_Matrix!$B$4:$BS$64,MATCH($A98,Mortality_Matrix!$A$4:$A$64,0),MATCH(2032,Mortality_Matrix!$B$3:$BS$3,0))</f>
        <v>-9.72940651476479E-010</v>
      </c>
      <c r="W98" s="27" t="n">
        <f aca="false">(W32-INDEX(Mortality_Matrix!$B$4:$BS$64,MATCH($A98,Mortality_Matrix!$A$4:$A$64,0),MATCH(2033,Mortality_Matrix!$B$3:$BS$3,0)))/INDEX(Mortality_Matrix!$B$4:$BS$64,MATCH($A98,Mortality_Matrix!$A$4:$A$64,0),MATCH(2033,Mortality_Matrix!$B$3:$BS$3,0))</f>
        <v>6.43568465311073E-009</v>
      </c>
      <c r="X98" s="27" t="n">
        <f aca="false">(X32-INDEX(Mortality_Matrix!$B$4:$BS$64,MATCH($A98,Mortality_Matrix!$A$4:$A$64,0),MATCH(2034,Mortality_Matrix!$B$3:$BS$3,0)))/INDEX(Mortality_Matrix!$B$4:$BS$64,MATCH($A98,Mortality_Matrix!$A$4:$A$64,0),MATCH(2034,Mortality_Matrix!$B$3:$BS$3,0))</f>
        <v>4.07809915622034E-009</v>
      </c>
      <c r="Y98" s="27" t="n">
        <f aca="false">(Y32-INDEX(Mortality_Matrix!$B$4:$BS$64,MATCH($A98,Mortality_Matrix!$A$4:$A$64,0),MATCH(2035,Mortality_Matrix!$B$3:$BS$3,0)))/INDEX(Mortality_Matrix!$B$4:$BS$64,MATCH($A98,Mortality_Matrix!$A$4:$A$64,0),MATCH(2035,Mortality_Matrix!$B$3:$BS$3,0))</f>
        <v>-1.64254753728998E-009</v>
      </c>
      <c r="Z98" s="27" t="n">
        <f aca="false">(Z32-INDEX(Mortality_Matrix!$B$4:$BS$64,MATCH($A98,Mortality_Matrix!$A$4:$A$64,0),MATCH(2036,Mortality_Matrix!$B$3:$BS$3,0)))/INDEX(Mortality_Matrix!$B$4:$BS$64,MATCH($A98,Mortality_Matrix!$A$4:$A$64,0),MATCH(2036,Mortality_Matrix!$B$3:$BS$3,0))</f>
        <v>-5.12587773583341E-009</v>
      </c>
      <c r="AA98" s="27" t="n">
        <f aca="false">(AA32-INDEX(Mortality_Matrix!$B$4:$BS$64,MATCH($A98,Mortality_Matrix!$A$4:$A$64,0),MATCH(2037,Mortality_Matrix!$B$3:$BS$3,0)))/INDEX(Mortality_Matrix!$B$4:$BS$64,MATCH($A98,Mortality_Matrix!$A$4:$A$64,0),MATCH(2037,Mortality_Matrix!$B$3:$BS$3,0))</f>
        <v>2.91549011249362E-010</v>
      </c>
      <c r="AB98" s="27" t="n">
        <f aca="false">(AB32-INDEX(Mortality_Matrix!$B$4:$BS$64,MATCH($A98,Mortality_Matrix!$A$4:$A$64,0),MATCH(2038,Mortality_Matrix!$B$3:$BS$3,0)))/INDEX(Mortality_Matrix!$B$4:$BS$64,MATCH($A98,Mortality_Matrix!$A$4:$A$64,0),MATCH(2038,Mortality_Matrix!$B$3:$BS$3,0))</f>
        <v>-2.68757732715598E-009</v>
      </c>
      <c r="AC98" s="27" t="n">
        <f aca="false">(AC32-INDEX(Mortality_Matrix!$B$4:$BS$64,MATCH($A98,Mortality_Matrix!$A$4:$A$64,0),MATCH(2039,Mortality_Matrix!$B$3:$BS$3,0)))/INDEX(Mortality_Matrix!$B$4:$BS$64,MATCH($A98,Mortality_Matrix!$A$4:$A$64,0),MATCH(2039,Mortality_Matrix!$B$3:$BS$3,0))</f>
        <v>5.84304634474567E-009</v>
      </c>
      <c r="AD98" s="27" t="n">
        <f aca="false">(AD32-INDEX(Mortality_Matrix!$B$4:$BS$64,MATCH($A98,Mortality_Matrix!$A$4:$A$64,0),MATCH(2040,Mortality_Matrix!$B$3:$BS$3,0)))/INDEX(Mortality_Matrix!$B$4:$BS$64,MATCH($A98,Mortality_Matrix!$A$4:$A$64,0),MATCH(2040,Mortality_Matrix!$B$3:$BS$3,0))</f>
        <v>6.31543901071431E-009</v>
      </c>
      <c r="AE98" s="27" t="n">
        <f aca="false">(AE32-INDEX(Mortality_Matrix!$B$4:$BS$64,MATCH($A98,Mortality_Matrix!$A$4:$A$64,0),MATCH(2041,Mortality_Matrix!$B$3:$BS$3,0)))/INDEX(Mortality_Matrix!$B$4:$BS$64,MATCH($A98,Mortality_Matrix!$A$4:$A$64,0),MATCH(2041,Mortality_Matrix!$B$3:$BS$3,0))</f>
        <v>-2.38908815545252E-010</v>
      </c>
      <c r="AF98" s="27" t="n">
        <f aca="false">(AF32-INDEX(Mortality_Matrix!$B$4:$BS$64,MATCH($A98,Mortality_Matrix!$A$4:$A$64,0),MATCH(2042,Mortality_Matrix!$B$3:$BS$3,0)))/INDEX(Mortality_Matrix!$B$4:$BS$64,MATCH($A98,Mortality_Matrix!$A$4:$A$64,0),MATCH(2042,Mortality_Matrix!$B$3:$BS$3,0))</f>
        <v>-7.62340375397449E-009</v>
      </c>
      <c r="AG98" s="27" t="n">
        <f aca="false">(AG32-INDEX(Mortality_Matrix!$B$4:$BS$64,MATCH($A98,Mortality_Matrix!$A$4:$A$64,0),MATCH(2043,Mortality_Matrix!$B$3:$BS$3,0)))/INDEX(Mortality_Matrix!$B$4:$BS$64,MATCH($A98,Mortality_Matrix!$A$4:$A$64,0),MATCH(2043,Mortality_Matrix!$B$3:$BS$3,0))</f>
        <v>-4.9047299416057E-009</v>
      </c>
      <c r="AH98" s="27" t="n">
        <f aca="false">(AH32-INDEX(Mortality_Matrix!$B$4:$BS$64,MATCH($A98,Mortality_Matrix!$A$4:$A$64,0),MATCH(2044,Mortality_Matrix!$B$3:$BS$3,0)))/INDEX(Mortality_Matrix!$B$4:$BS$64,MATCH($A98,Mortality_Matrix!$A$4:$A$64,0),MATCH(2044,Mortality_Matrix!$B$3:$BS$3,0))</f>
        <v>6.3864859644125E-009</v>
      </c>
      <c r="AI98" s="27" t="n">
        <f aca="false">(AI32-INDEX(Mortality_Matrix!$B$4:$BS$64,MATCH($A98,Mortality_Matrix!$A$4:$A$64,0),MATCH(2045,Mortality_Matrix!$B$3:$BS$3,0)))/INDEX(Mortality_Matrix!$B$4:$BS$64,MATCH($A98,Mortality_Matrix!$A$4:$A$64,0),MATCH(2045,Mortality_Matrix!$B$3:$BS$3,0))</f>
        <v>-6.52018668132052E-009</v>
      </c>
      <c r="AJ98" s="27" t="n">
        <f aca="false">(AJ32-INDEX(Mortality_Matrix!$B$4:$BS$64,MATCH($A98,Mortality_Matrix!$A$4:$A$64,0),MATCH(2046,Mortality_Matrix!$B$3:$BS$3,0)))/INDEX(Mortality_Matrix!$B$4:$BS$64,MATCH($A98,Mortality_Matrix!$A$4:$A$64,0),MATCH(2046,Mortality_Matrix!$B$3:$BS$3,0))</f>
        <v>-7.38224073868178E-009</v>
      </c>
      <c r="AK98" s="27" t="n">
        <f aca="false">(AK32-INDEX(Mortality_Matrix!$B$4:$BS$64,MATCH($A98,Mortality_Matrix!$A$4:$A$64,0),MATCH(2047,Mortality_Matrix!$B$3:$BS$3,0)))/INDEX(Mortality_Matrix!$B$4:$BS$64,MATCH($A98,Mortality_Matrix!$A$4:$A$64,0),MATCH(2047,Mortality_Matrix!$B$3:$BS$3,0))</f>
        <v>8.54606700964911E-009</v>
      </c>
      <c r="AL98" s="27" t="n">
        <f aca="false">(AL32-INDEX(Mortality_Matrix!$B$4:$BS$64,MATCH($A98,Mortality_Matrix!$A$4:$A$64,0),MATCH(2048,Mortality_Matrix!$B$3:$BS$3,0)))/INDEX(Mortality_Matrix!$B$4:$BS$64,MATCH($A98,Mortality_Matrix!$A$4:$A$64,0),MATCH(2048,Mortality_Matrix!$B$3:$BS$3,0))</f>
        <v>-6.55859265630851E-009</v>
      </c>
      <c r="AM98" s="27" t="n">
        <f aca="false">(AM32-INDEX(Mortality_Matrix!$B$4:$BS$64,MATCH($A98,Mortality_Matrix!$A$4:$A$64,0),MATCH(2049,Mortality_Matrix!$B$3:$BS$3,0)))/INDEX(Mortality_Matrix!$B$4:$BS$64,MATCH($A98,Mortality_Matrix!$A$4:$A$64,0),MATCH(2049,Mortality_Matrix!$B$3:$BS$3,0))</f>
        <v>4.44629508660143E-009</v>
      </c>
      <c r="AN98" s="27" t="n">
        <f aca="false">(AN32-INDEX(Mortality_Matrix!$B$4:$BS$64,MATCH($A98,Mortality_Matrix!$A$4:$A$64,0),MATCH(2050,Mortality_Matrix!$B$3:$BS$3,0)))/INDEX(Mortality_Matrix!$B$4:$BS$64,MATCH($A98,Mortality_Matrix!$A$4:$A$64,0),MATCH(2050,Mortality_Matrix!$B$3:$BS$3,0))</f>
        <v>-8.83246595700662E-009</v>
      </c>
      <c r="AO98" s="27" t="n">
        <f aca="false">(AO32-INDEX(Mortality_Matrix!$B$4:$BS$64,MATCH($A98,Mortality_Matrix!$A$4:$A$64,0),MATCH(2051,Mortality_Matrix!$B$3:$BS$3,0)))/INDEX(Mortality_Matrix!$B$4:$BS$64,MATCH($A98,Mortality_Matrix!$A$4:$A$64,0),MATCH(2051,Mortality_Matrix!$B$3:$BS$3,0))</f>
        <v>-8.92543820149035E-009</v>
      </c>
      <c r="AP98" s="27" t="n">
        <f aca="false">(AP32-INDEX(Mortality_Matrix!$B$4:$BS$64,MATCH($A98,Mortality_Matrix!$A$4:$A$64,0),MATCH(2052,Mortality_Matrix!$B$3:$BS$3,0)))/INDEX(Mortality_Matrix!$B$4:$BS$64,MATCH($A98,Mortality_Matrix!$A$4:$A$64,0),MATCH(2052,Mortality_Matrix!$B$3:$BS$3,0))</f>
        <v>3.34501064349946E-009</v>
      </c>
      <c r="AQ98" s="27" t="n">
        <f aca="false">(AQ32-INDEX(Mortality_Matrix!$B$4:$BS$64,MATCH($A98,Mortality_Matrix!$A$4:$A$64,0),MATCH(2053,Mortality_Matrix!$B$3:$BS$3,0)))/INDEX(Mortality_Matrix!$B$4:$BS$64,MATCH($A98,Mortality_Matrix!$A$4:$A$64,0),MATCH(2053,Mortality_Matrix!$B$3:$BS$3,0))</f>
        <v>4.20743959679856E-009</v>
      </c>
      <c r="AR98" s="27" t="n">
        <f aca="false">(AR32-INDEX(Mortality_Matrix!$B$4:$BS$64,MATCH($A98,Mortality_Matrix!$A$4:$A$64,0),MATCH(2054,Mortality_Matrix!$B$3:$BS$3,0)))/INDEX(Mortality_Matrix!$B$4:$BS$64,MATCH($A98,Mortality_Matrix!$A$4:$A$64,0),MATCH(2054,Mortality_Matrix!$B$3:$BS$3,0))</f>
        <v>2.7481687840037E-009</v>
      </c>
      <c r="AS98" s="27" t="n">
        <f aca="false">(AS32-INDEX(Mortality_Matrix!$B$4:$BS$64,MATCH($A98,Mortality_Matrix!$A$4:$A$64,0),MATCH(2055,Mortality_Matrix!$B$3:$BS$3,0)))/INDEX(Mortality_Matrix!$B$4:$BS$64,MATCH($A98,Mortality_Matrix!$A$4:$A$64,0),MATCH(2055,Mortality_Matrix!$B$3:$BS$3,0))</f>
        <v>3.14323367033618E-009</v>
      </c>
      <c r="AT98" s="27" t="n">
        <f aca="false">(AT32-INDEX(Mortality_Matrix!$B$4:$BS$64,MATCH($A98,Mortality_Matrix!$A$4:$A$64,0),MATCH(2056,Mortality_Matrix!$B$3:$BS$3,0)))/INDEX(Mortality_Matrix!$B$4:$BS$64,MATCH($A98,Mortality_Matrix!$A$4:$A$64,0),MATCH(2056,Mortality_Matrix!$B$3:$BS$3,0))</f>
        <v>3.44404458075913E-009</v>
      </c>
      <c r="AU98" s="27" t="n">
        <f aca="false">(AU32-INDEX(Mortality_Matrix!$B$4:$BS$64,MATCH($A98,Mortality_Matrix!$A$4:$A$64,0),MATCH(2057,Mortality_Matrix!$B$3:$BS$3,0)))/INDEX(Mortality_Matrix!$B$4:$BS$64,MATCH($A98,Mortality_Matrix!$A$4:$A$64,0),MATCH(2057,Mortality_Matrix!$B$3:$BS$3,0))</f>
        <v>-5.71770587703752E-009</v>
      </c>
      <c r="AV98" s="27" t="n">
        <f aca="false">(AV32-INDEX(Mortality_Matrix!$B$4:$BS$64,MATCH($A98,Mortality_Matrix!$A$4:$A$64,0),MATCH(2058,Mortality_Matrix!$B$3:$BS$3,0)))/INDEX(Mortality_Matrix!$B$4:$BS$64,MATCH($A98,Mortality_Matrix!$A$4:$A$64,0),MATCH(2058,Mortality_Matrix!$B$3:$BS$3,0))</f>
        <v>-1.17041869558495E-009</v>
      </c>
      <c r="AW98" s="27" t="n">
        <f aca="false">(AW32-INDEX(Mortality_Matrix!$B$4:$BS$64,MATCH($A98,Mortality_Matrix!$A$4:$A$64,0),MATCH(2059,Mortality_Matrix!$B$3:$BS$3,0)))/INDEX(Mortality_Matrix!$B$4:$BS$64,MATCH($A98,Mortality_Matrix!$A$4:$A$64,0),MATCH(2059,Mortality_Matrix!$B$3:$BS$3,0))</f>
        <v>-9.45919801437211E-009</v>
      </c>
      <c r="AX98" s="27" t="n">
        <f aca="false">(AX32-INDEX(Mortality_Matrix!$B$4:$BS$64,MATCH($A98,Mortality_Matrix!$A$4:$A$64,0),MATCH(2060,Mortality_Matrix!$B$3:$BS$3,0)))/INDEX(Mortality_Matrix!$B$4:$BS$64,MATCH($A98,Mortality_Matrix!$A$4:$A$64,0),MATCH(2060,Mortality_Matrix!$B$3:$BS$3,0))</f>
        <v>-4.98539823655821E-009</v>
      </c>
      <c r="AY98" s="27" t="n">
        <f aca="false">(AY32-INDEX(Mortality_Matrix!$B$4:$BS$64,MATCH($A98,Mortality_Matrix!$A$4:$A$64,0),MATCH(2061,Mortality_Matrix!$B$3:$BS$3,0)))/INDEX(Mortality_Matrix!$B$4:$BS$64,MATCH($A98,Mortality_Matrix!$A$4:$A$64,0),MATCH(2061,Mortality_Matrix!$B$3:$BS$3,0))</f>
        <v>6.69384694630557E-009</v>
      </c>
      <c r="AZ98" s="27" t="n">
        <f aca="false">(AZ32-INDEX(Mortality_Matrix!$B$4:$BS$64,MATCH($A98,Mortality_Matrix!$A$4:$A$64,0),MATCH(2062,Mortality_Matrix!$B$3:$BS$3,0)))/INDEX(Mortality_Matrix!$B$4:$BS$64,MATCH($A98,Mortality_Matrix!$A$4:$A$64,0),MATCH(2062,Mortality_Matrix!$B$3:$BS$3,0))</f>
        <v>7.57215070527603E-009</v>
      </c>
      <c r="BA98" s="27" t="n">
        <f aca="false">(BA32-INDEX(Mortality_Matrix!$B$4:$BS$64,MATCH($A98,Mortality_Matrix!$A$4:$A$64,0),MATCH(2063,Mortality_Matrix!$B$3:$BS$3,0)))/INDEX(Mortality_Matrix!$B$4:$BS$64,MATCH($A98,Mortality_Matrix!$A$4:$A$64,0),MATCH(2063,Mortality_Matrix!$B$3:$BS$3,0))</f>
        <v>1.00242680081011E-008</v>
      </c>
      <c r="BB98" s="27" t="n">
        <f aca="false">(BB32-INDEX(Mortality_Matrix!$B$4:$BS$64,MATCH($A98,Mortality_Matrix!$A$4:$A$64,0),MATCH(2064,Mortality_Matrix!$B$3:$BS$3,0)))/INDEX(Mortality_Matrix!$B$4:$BS$64,MATCH($A98,Mortality_Matrix!$A$4:$A$64,0),MATCH(2064,Mortality_Matrix!$B$3:$BS$3,0))</f>
        <v>-9.55193395512902E-009</v>
      </c>
      <c r="BC98" s="27" t="n">
        <f aca="false">(BC32-INDEX(Mortality_Matrix!$B$4:$BS$64,MATCH($A98,Mortality_Matrix!$A$4:$A$64,0),MATCH(2065,Mortality_Matrix!$B$3:$BS$3,0)))/INDEX(Mortality_Matrix!$B$4:$BS$64,MATCH($A98,Mortality_Matrix!$A$4:$A$64,0),MATCH(2065,Mortality_Matrix!$B$3:$BS$3,0))</f>
        <v>5.57544876447399E-010</v>
      </c>
      <c r="BD98" s="27" t="n">
        <f aca="false">(BD32-INDEX(Mortality_Matrix!$B$4:$BS$64,MATCH($A98,Mortality_Matrix!$A$4:$A$64,0),MATCH(2066,Mortality_Matrix!$B$3:$BS$3,0)))/INDEX(Mortality_Matrix!$B$4:$BS$64,MATCH($A98,Mortality_Matrix!$A$4:$A$64,0),MATCH(2066,Mortality_Matrix!$B$3:$BS$3,0))</f>
        <v>9.0715271957712E-009</v>
      </c>
      <c r="BE98" s="27" t="n">
        <f aca="false">(BE32-INDEX(Mortality_Matrix!$B$4:$BS$64,MATCH($A98,Mortality_Matrix!$A$4:$A$64,0),MATCH(2067,Mortality_Matrix!$B$3:$BS$3,0)))/INDEX(Mortality_Matrix!$B$4:$BS$64,MATCH($A98,Mortality_Matrix!$A$4:$A$64,0),MATCH(2067,Mortality_Matrix!$B$3:$BS$3,0))</f>
        <v>-1.08206777736186E-008</v>
      </c>
      <c r="BF98" s="27" t="n">
        <f aca="false">(BF32-INDEX(Mortality_Matrix!$B$4:$BS$64,MATCH($A98,Mortality_Matrix!$A$4:$A$64,0),MATCH(2068,Mortality_Matrix!$B$3:$BS$3,0)))/INDEX(Mortality_Matrix!$B$4:$BS$64,MATCH($A98,Mortality_Matrix!$A$4:$A$64,0),MATCH(2068,Mortality_Matrix!$B$3:$BS$3,0))</f>
        <v>-9.73879584220002E-009</v>
      </c>
      <c r="BG98" s="27" t="n">
        <f aca="false">(BG32-INDEX(Mortality_Matrix!$B$4:$BS$64,MATCH($A98,Mortality_Matrix!$A$4:$A$64,0),MATCH(2069,Mortality_Matrix!$B$3:$BS$3,0)))/INDEX(Mortality_Matrix!$B$4:$BS$64,MATCH($A98,Mortality_Matrix!$A$4:$A$64,0),MATCH(2069,Mortality_Matrix!$B$3:$BS$3,0))</f>
        <v>-3.51477027357213E-009</v>
      </c>
      <c r="BH98" s="27" t="n">
        <f aca="false">(BH32-INDEX(Mortality_Matrix!$B$4:$BS$64,MATCH($A98,Mortality_Matrix!$A$4:$A$64,0),MATCH(2070,Mortality_Matrix!$B$3:$BS$3,0)))/INDEX(Mortality_Matrix!$B$4:$BS$64,MATCH($A98,Mortality_Matrix!$A$4:$A$64,0),MATCH(2070,Mortality_Matrix!$B$3:$BS$3,0))</f>
        <v>-4.75375221384445E-009</v>
      </c>
      <c r="BI98" s="27" t="n">
        <f aca="false">(BI32-INDEX(Mortality_Matrix!$B$4:$BS$64,MATCH($A98,Mortality_Matrix!$A$4:$A$64,0),MATCH(2071,Mortality_Matrix!$B$3:$BS$3,0)))/INDEX(Mortality_Matrix!$B$4:$BS$64,MATCH($A98,Mortality_Matrix!$A$4:$A$64,0),MATCH(2071,Mortality_Matrix!$B$3:$BS$3,0))</f>
        <v>1.78706580168757E-009</v>
      </c>
      <c r="BJ98" s="27" t="n">
        <f aca="false">(BJ32-INDEX(Mortality_Matrix!$B$4:$BS$64,MATCH($A98,Mortality_Matrix!$A$4:$A$64,0),MATCH(2072,Mortality_Matrix!$B$3:$BS$3,0)))/INDEX(Mortality_Matrix!$B$4:$BS$64,MATCH($A98,Mortality_Matrix!$A$4:$A$64,0),MATCH(2072,Mortality_Matrix!$B$3:$BS$3,0))</f>
        <v>9.44909400301852E-009</v>
      </c>
      <c r="BK98" s="27" t="n">
        <f aca="false">(BK32-INDEX(Mortality_Matrix!$B$4:$BS$64,MATCH($A98,Mortality_Matrix!$A$4:$A$64,0),MATCH(2073,Mortality_Matrix!$B$3:$BS$3,0)))/INDEX(Mortality_Matrix!$B$4:$BS$64,MATCH($A98,Mortality_Matrix!$A$4:$A$64,0),MATCH(2073,Mortality_Matrix!$B$3:$BS$3,0))</f>
        <v>-1.284987082454E-008</v>
      </c>
      <c r="BL98" s="27" t="n">
        <f aca="false">(BL32-INDEX(Mortality_Matrix!$B$4:$BS$64,MATCH($A98,Mortality_Matrix!$A$4:$A$64,0),MATCH(2074,Mortality_Matrix!$B$3:$BS$3,0)))/INDEX(Mortality_Matrix!$B$4:$BS$64,MATCH($A98,Mortality_Matrix!$A$4:$A$64,0),MATCH(2074,Mortality_Matrix!$B$3:$BS$3,0))</f>
        <v>8.34085839025048E-009</v>
      </c>
      <c r="BM98" s="27" t="n">
        <f aca="false">(BM32-INDEX(Mortality_Matrix!$B$4:$BS$64,MATCH($A98,Mortality_Matrix!$A$4:$A$64,0),MATCH(2075,Mortality_Matrix!$B$3:$BS$3,0)))/INDEX(Mortality_Matrix!$B$4:$BS$64,MATCH($A98,Mortality_Matrix!$A$4:$A$64,0),MATCH(2075,Mortality_Matrix!$B$3:$BS$3,0))</f>
        <v>-9.03023476903215E-009</v>
      </c>
      <c r="BN98" s="27" t="n">
        <f aca="false">(BN32-INDEX(Mortality_Matrix!$B$4:$BS$64,MATCH($A98,Mortality_Matrix!$A$4:$A$64,0),MATCH(2076,Mortality_Matrix!$B$3:$BS$3,0)))/INDEX(Mortality_Matrix!$B$4:$BS$64,MATCH($A98,Mortality_Matrix!$A$4:$A$64,0),MATCH(2076,Mortality_Matrix!$B$3:$BS$3,0))</f>
        <v>1.02332969867186E-008</v>
      </c>
      <c r="BO98" s="27" t="n">
        <f aca="false">(BO32-INDEX(Mortality_Matrix!$B$4:$BS$64,MATCH($A98,Mortality_Matrix!$A$4:$A$64,0),MATCH(2077,Mortality_Matrix!$B$3:$BS$3,0)))/INDEX(Mortality_Matrix!$B$4:$BS$64,MATCH($A98,Mortality_Matrix!$A$4:$A$64,0),MATCH(2077,Mortality_Matrix!$B$3:$BS$3,0))</f>
        <v>6.92790792156684E-009</v>
      </c>
      <c r="BP98" s="27" t="n">
        <f aca="false">(BP32-INDEX(Mortality_Matrix!$B$4:$BS$64,MATCH($A98,Mortality_Matrix!$A$4:$A$64,0),MATCH(2078,Mortality_Matrix!$B$3:$BS$3,0)))/INDEX(Mortality_Matrix!$B$4:$BS$64,MATCH($A98,Mortality_Matrix!$A$4:$A$64,0),MATCH(2078,Mortality_Matrix!$B$3:$BS$3,0))</f>
        <v>-6.31855965664204E-011</v>
      </c>
      <c r="BQ98" s="27" t="n">
        <f aca="false">(BQ32-INDEX(Mortality_Matrix!$B$4:$BS$64,MATCH($A98,Mortality_Matrix!$A$4:$A$64,0),MATCH(2079,Mortality_Matrix!$B$3:$BS$3,0)))/INDEX(Mortality_Matrix!$B$4:$BS$64,MATCH($A98,Mortality_Matrix!$A$4:$A$64,0),MATCH(2079,Mortality_Matrix!$B$3:$BS$3,0))</f>
        <v>6.3246155010455E-009</v>
      </c>
      <c r="BR98" s="27" t="n">
        <f aca="false">(BR32-INDEX(Mortality_Matrix!$B$4:$BS$64,MATCH($A98,Mortality_Matrix!$A$4:$A$64,0),MATCH(2080,Mortality_Matrix!$B$3:$BS$3,0)))/INDEX(Mortality_Matrix!$B$4:$BS$64,MATCH($A98,Mortality_Matrix!$A$4:$A$64,0),MATCH(2080,Mortality_Matrix!$B$3:$BS$3,0))</f>
        <v>1.15126774427676E-008</v>
      </c>
      <c r="BS98" s="27" t="n">
        <f aca="false">(BS32-INDEX(Mortality_Matrix!$B$4:$BS$64,MATCH($A98,Mortality_Matrix!$A$4:$A$64,0),MATCH(2081,Mortality_Matrix!$B$3:$BS$3,0)))/INDEX(Mortality_Matrix!$B$4:$BS$64,MATCH($A98,Mortality_Matrix!$A$4:$A$64,0),MATCH(2081,Mortality_Matrix!$B$3:$BS$3,0))</f>
        <v>-4.72744874079018E-009</v>
      </c>
      <c r="BT98" s="27" t="n">
        <f aca="false">(BT32-INDEX(Mortality_Matrix!$B$4:$BS$64,MATCH($A98,Mortality_Matrix!$A$4:$A$64,0),MATCH(2082,Mortality_Matrix!$B$3:$BS$3,0)))/INDEX(Mortality_Matrix!$B$4:$BS$64,MATCH($A98,Mortality_Matrix!$A$4:$A$64,0),MATCH(2082,Mortality_Matrix!$B$3:$BS$3,0))</f>
        <v>-1.0074725613307E-008</v>
      </c>
      <c r="BU98" s="27" t="n">
        <f aca="false">(BU32-INDEX(Mortality_Matrix!$B$4:$BS$64,MATCH($A98,Mortality_Matrix!$A$4:$A$64,0),MATCH(2083,Mortality_Matrix!$B$3:$BS$3,0)))/INDEX(Mortality_Matrix!$B$4:$BS$64,MATCH($A98,Mortality_Matrix!$A$4:$A$64,0),MATCH(2083,Mortality_Matrix!$B$3:$BS$3,0))</f>
        <v>-6.90797952866965E-009</v>
      </c>
      <c r="BV98" s="27" t="n">
        <f aca="false">(BV32-INDEX(Mortality_Matrix!$B$4:$BS$64,MATCH($A98,Mortality_Matrix!$A$4:$A$64,0),MATCH(2084,Mortality_Matrix!$B$3:$BS$3,0)))/INDEX(Mortality_Matrix!$B$4:$BS$64,MATCH($A98,Mortality_Matrix!$A$4:$A$64,0),MATCH(2084,Mortality_Matrix!$B$3:$BS$3,0))</f>
        <v>-5.22394724969804E-009</v>
      </c>
      <c r="BW98" s="27" t="n">
        <f aca="false">(BW32-INDEX(Mortality_Matrix!$B$4:$BS$64,MATCH($A98,Mortality_Matrix!$A$4:$A$64,0),MATCH(2085,Mortality_Matrix!$B$3:$BS$3,0)))/INDEX(Mortality_Matrix!$B$4:$BS$64,MATCH($A98,Mortality_Matrix!$A$4:$A$64,0),MATCH(2085,Mortality_Matrix!$B$3:$BS$3,0))</f>
        <v>7.05464509983825E-009</v>
      </c>
      <c r="BX98" s="27" t="n">
        <f aca="false">(BX32-INDEX(Mortality_Matrix!$B$4:$BS$64,MATCH($A98,Mortality_Matrix!$A$4:$A$64,0),MATCH(2086,Mortality_Matrix!$B$3:$BS$3,0)))/INDEX(Mortality_Matrix!$B$4:$BS$64,MATCH($A98,Mortality_Matrix!$A$4:$A$64,0),MATCH(2086,Mortality_Matrix!$B$3:$BS$3,0))</f>
        <v>1.84750562117204E-009</v>
      </c>
      <c r="BY98" s="27" t="n">
        <f aca="false">(BY32-INDEX(Mortality_Matrix!$B$4:$BS$64,MATCH($A98,Mortality_Matrix!$A$4:$A$64,0),MATCH(2087,Mortality_Matrix!$B$3:$BS$3,0)))/INDEX(Mortality_Matrix!$B$4:$BS$64,MATCH($A98,Mortality_Matrix!$A$4:$A$64,0),MATCH(2087,Mortality_Matrix!$B$3:$BS$3,0))</f>
        <v>3.12906575355973E-009</v>
      </c>
      <c r="BZ98" s="27" t="n">
        <f aca="false">(BZ32-INDEX(Mortality_Matrix!$B$4:$BS$64,MATCH($A98,Mortality_Matrix!$A$4:$A$64,0),MATCH(2088,Mortality_Matrix!$B$3:$BS$3,0)))/INDEX(Mortality_Matrix!$B$4:$BS$64,MATCH($A98,Mortality_Matrix!$A$4:$A$64,0),MATCH(2088,Mortality_Matrix!$B$3:$BS$3,0))</f>
        <v>-7.44217959246963E-009</v>
      </c>
      <c r="CA98" s="27" t="n">
        <f aca="false">(CA32-INDEX(Mortality_Matrix!$B$4:$BS$64,MATCH($A98,Mortality_Matrix!$A$4:$A$64,0),MATCH(2089,Mortality_Matrix!$B$3:$BS$3,0)))/INDEX(Mortality_Matrix!$B$4:$BS$64,MATCH($A98,Mortality_Matrix!$A$4:$A$64,0),MATCH(2089,Mortality_Matrix!$B$3:$BS$3,0))</f>
        <v>4.44582774819429E-009</v>
      </c>
      <c r="CB98" s="27" t="n">
        <f aca="false">(CB32-INDEX(Mortality_Matrix!$B$4:$BS$64,MATCH($A98,Mortality_Matrix!$A$4:$A$64,0),MATCH(2090,Mortality_Matrix!$B$3:$BS$3,0)))/INDEX(Mortality_Matrix!$B$4:$BS$64,MATCH($A98,Mortality_Matrix!$A$4:$A$64,0),MATCH(2090,Mortality_Matrix!$B$3:$BS$3,0))</f>
        <v>-5.10883134961892E-009</v>
      </c>
      <c r="CC98" s="27" t="n">
        <f aca="false">(CC32-INDEX(Mortality_Matrix!$B$4:$BS$64,MATCH($A98,Mortality_Matrix!$A$4:$A$64,0),MATCH(2091,Mortality_Matrix!$B$3:$BS$3,0)))/INDEX(Mortality_Matrix!$B$4:$BS$64,MATCH($A98,Mortality_Matrix!$A$4:$A$64,0),MATCH(2091,Mortality_Matrix!$B$3:$BS$3,0))</f>
        <v>5.1018648016792E-009</v>
      </c>
    </row>
    <row r="99" customFormat="false" ht="15" hidden="false" customHeight="true" outlineLevel="0" collapsed="false">
      <c r="A99" s="3" t="n">
        <v>70</v>
      </c>
      <c r="L99" s="27" t="n">
        <f aca="false">(L33-INDEX(Mortality_Matrix!$B$4:$BS$64,MATCH($A99,Mortality_Matrix!$A$4:$A$64,0),MATCH(2022,Mortality_Matrix!$B$3:$BS$3,0)))/INDEX(Mortality_Matrix!$B$4:$BS$64,MATCH($A99,Mortality_Matrix!$A$4:$A$64,0),MATCH(2022,Mortality_Matrix!$B$3:$BS$3,0))</f>
        <v>1.91552569706685E-009</v>
      </c>
      <c r="M99" s="27" t="n">
        <f aca="false">(M33-INDEX(Mortality_Matrix!$B$4:$BS$64,MATCH($A99,Mortality_Matrix!$A$4:$A$64,0),MATCH(2023,Mortality_Matrix!$B$3:$BS$3,0)))/INDEX(Mortality_Matrix!$B$4:$BS$64,MATCH($A99,Mortality_Matrix!$A$4:$A$64,0),MATCH(2023,Mortality_Matrix!$B$3:$BS$3,0))</f>
        <v>2.98331289877154E-009</v>
      </c>
      <c r="N99" s="27" t="n">
        <f aca="false">(N33-INDEX(Mortality_Matrix!$B$4:$BS$64,MATCH($A99,Mortality_Matrix!$A$4:$A$64,0),MATCH(2024,Mortality_Matrix!$B$3:$BS$3,0)))/INDEX(Mortality_Matrix!$B$4:$BS$64,MATCH($A99,Mortality_Matrix!$A$4:$A$64,0),MATCH(2024,Mortality_Matrix!$B$3:$BS$3,0))</f>
        <v>-5.41106346740986E-010</v>
      </c>
      <c r="O99" s="27" t="n">
        <f aca="false">(O33-INDEX(Mortality_Matrix!$B$4:$BS$64,MATCH($A99,Mortality_Matrix!$A$4:$A$64,0),MATCH(2025,Mortality_Matrix!$B$3:$BS$3,0)))/INDEX(Mortality_Matrix!$B$4:$BS$64,MATCH($A99,Mortality_Matrix!$A$4:$A$64,0),MATCH(2025,Mortality_Matrix!$B$3:$BS$3,0))</f>
        <v>3.74881370783329E-009</v>
      </c>
      <c r="P99" s="27" t="n">
        <f aca="false">(P33-INDEX(Mortality_Matrix!$B$4:$BS$64,MATCH($A99,Mortality_Matrix!$A$4:$A$64,0),MATCH(2026,Mortality_Matrix!$B$3:$BS$3,0)))/INDEX(Mortality_Matrix!$B$4:$BS$64,MATCH($A99,Mortality_Matrix!$A$4:$A$64,0),MATCH(2026,Mortality_Matrix!$B$3:$BS$3,0))</f>
        <v>-9.82276844337792E-010</v>
      </c>
      <c r="Q99" s="27" t="n">
        <f aca="false">(Q33-INDEX(Mortality_Matrix!$B$4:$BS$64,MATCH($A99,Mortality_Matrix!$A$4:$A$64,0),MATCH(2027,Mortality_Matrix!$B$3:$BS$3,0)))/INDEX(Mortality_Matrix!$B$4:$BS$64,MATCH($A99,Mortality_Matrix!$A$4:$A$64,0),MATCH(2027,Mortality_Matrix!$B$3:$BS$3,0))</f>
        <v>-4.13229201055408E-009</v>
      </c>
      <c r="R99" s="27" t="n">
        <f aca="false">(R33-INDEX(Mortality_Matrix!$B$4:$BS$64,MATCH($A99,Mortality_Matrix!$A$4:$A$64,0),MATCH(2028,Mortality_Matrix!$B$3:$BS$3,0)))/INDEX(Mortality_Matrix!$B$4:$BS$64,MATCH($A99,Mortality_Matrix!$A$4:$A$64,0),MATCH(2028,Mortality_Matrix!$B$3:$BS$3,0))</f>
        <v>1.0269085959003E-009</v>
      </c>
      <c r="S99" s="27" t="n">
        <f aca="false">(S33-INDEX(Mortality_Matrix!$B$4:$BS$64,MATCH($A99,Mortality_Matrix!$A$4:$A$64,0),MATCH(2029,Mortality_Matrix!$B$3:$BS$3,0)))/INDEX(Mortality_Matrix!$B$4:$BS$64,MATCH($A99,Mortality_Matrix!$A$4:$A$64,0),MATCH(2029,Mortality_Matrix!$B$3:$BS$3,0))</f>
        <v>-3.33466372464223E-009</v>
      </c>
      <c r="T99" s="27" t="n">
        <f aca="false">(T33-INDEX(Mortality_Matrix!$B$4:$BS$64,MATCH($A99,Mortality_Matrix!$A$4:$A$64,0),MATCH(2030,Mortality_Matrix!$B$3:$BS$3,0)))/INDEX(Mortality_Matrix!$B$4:$BS$64,MATCH($A99,Mortality_Matrix!$A$4:$A$64,0),MATCH(2030,Mortality_Matrix!$B$3:$BS$3,0))</f>
        <v>3.56476726474101E-009</v>
      </c>
      <c r="U99" s="27" t="n">
        <f aca="false">(U33-INDEX(Mortality_Matrix!$B$4:$BS$64,MATCH($A99,Mortality_Matrix!$A$4:$A$64,0),MATCH(2031,Mortality_Matrix!$B$3:$BS$3,0)))/INDEX(Mortality_Matrix!$B$4:$BS$64,MATCH($A99,Mortality_Matrix!$A$4:$A$64,0),MATCH(2031,Mortality_Matrix!$B$3:$BS$3,0))</f>
        <v>-3.59932112601857E-010</v>
      </c>
      <c r="V99" s="27" t="n">
        <f aca="false">(V33-INDEX(Mortality_Matrix!$B$4:$BS$64,MATCH($A99,Mortality_Matrix!$A$4:$A$64,0),MATCH(2032,Mortality_Matrix!$B$3:$BS$3,0)))/INDEX(Mortality_Matrix!$B$4:$BS$64,MATCH($A99,Mortality_Matrix!$A$4:$A$64,0),MATCH(2032,Mortality_Matrix!$B$3:$BS$3,0))</f>
        <v>-2.67302176987088E-009</v>
      </c>
      <c r="W99" s="27" t="n">
        <f aca="false">(W33-INDEX(Mortality_Matrix!$B$4:$BS$64,MATCH($A99,Mortality_Matrix!$A$4:$A$64,0),MATCH(2033,Mortality_Matrix!$B$3:$BS$3,0)))/INDEX(Mortality_Matrix!$B$4:$BS$64,MATCH($A99,Mortality_Matrix!$A$4:$A$64,0),MATCH(2033,Mortality_Matrix!$B$3:$BS$3,0))</f>
        <v>-2.64684405990309E-009</v>
      </c>
      <c r="X99" s="27" t="n">
        <f aca="false">(X33-INDEX(Mortality_Matrix!$B$4:$BS$64,MATCH($A99,Mortality_Matrix!$A$4:$A$64,0),MATCH(2034,Mortality_Matrix!$B$3:$BS$3,0)))/INDEX(Mortality_Matrix!$B$4:$BS$64,MATCH($A99,Mortality_Matrix!$A$4:$A$64,0),MATCH(2034,Mortality_Matrix!$B$3:$BS$3,0))</f>
        <v>-1.13221918128953E-009</v>
      </c>
      <c r="Y99" s="27" t="n">
        <f aca="false">(Y33-INDEX(Mortality_Matrix!$B$4:$BS$64,MATCH($A99,Mortality_Matrix!$A$4:$A$64,0),MATCH(2035,Mortality_Matrix!$B$3:$BS$3,0)))/INDEX(Mortality_Matrix!$B$4:$BS$64,MATCH($A99,Mortality_Matrix!$A$4:$A$64,0),MATCH(2035,Mortality_Matrix!$B$3:$BS$3,0))</f>
        <v>-2.60419316488227E-009</v>
      </c>
      <c r="Z99" s="27" t="n">
        <f aca="false">(Z33-INDEX(Mortality_Matrix!$B$4:$BS$64,MATCH($A99,Mortality_Matrix!$A$4:$A$64,0),MATCH(2036,Mortality_Matrix!$B$3:$BS$3,0)))/INDEX(Mortality_Matrix!$B$4:$BS$64,MATCH($A99,Mortality_Matrix!$A$4:$A$64,0),MATCH(2036,Mortality_Matrix!$B$3:$BS$3,0))</f>
        <v>1.46845427901728E-009</v>
      </c>
      <c r="AA99" s="27" t="n">
        <f aca="false">(AA33-INDEX(Mortality_Matrix!$B$4:$BS$64,MATCH($A99,Mortality_Matrix!$A$4:$A$64,0),MATCH(2037,Mortality_Matrix!$B$3:$BS$3,0)))/INDEX(Mortality_Matrix!$B$4:$BS$64,MATCH($A99,Mortality_Matrix!$A$4:$A$64,0),MATCH(2037,Mortality_Matrix!$B$3:$BS$3,0))</f>
        <v>-5.44419280361714E-009</v>
      </c>
      <c r="AB99" s="27" t="n">
        <f aca="false">(AB33-INDEX(Mortality_Matrix!$B$4:$BS$64,MATCH($A99,Mortality_Matrix!$A$4:$A$64,0),MATCH(2038,Mortality_Matrix!$B$3:$BS$3,0)))/INDEX(Mortality_Matrix!$B$4:$BS$64,MATCH($A99,Mortality_Matrix!$A$4:$A$64,0),MATCH(2038,Mortality_Matrix!$B$3:$BS$3,0))</f>
        <v>-5.25092990178889E-010</v>
      </c>
      <c r="AC99" s="27" t="n">
        <f aca="false">(AC33-INDEX(Mortality_Matrix!$B$4:$BS$64,MATCH($A99,Mortality_Matrix!$A$4:$A$64,0),MATCH(2039,Mortality_Matrix!$B$3:$BS$3,0)))/INDEX(Mortality_Matrix!$B$4:$BS$64,MATCH($A99,Mortality_Matrix!$A$4:$A$64,0),MATCH(2039,Mortality_Matrix!$B$3:$BS$3,0))</f>
        <v>1.00640343880402E-009</v>
      </c>
      <c r="AD99" s="27" t="n">
        <f aca="false">(AD33-INDEX(Mortality_Matrix!$B$4:$BS$64,MATCH($A99,Mortality_Matrix!$A$4:$A$64,0),MATCH(2040,Mortality_Matrix!$B$3:$BS$3,0)))/INDEX(Mortality_Matrix!$B$4:$BS$64,MATCH($A99,Mortality_Matrix!$A$4:$A$64,0),MATCH(2040,Mortality_Matrix!$B$3:$BS$3,0))</f>
        <v>-3.79325423386099E-009</v>
      </c>
      <c r="AE99" s="27" t="n">
        <f aca="false">(AE33-INDEX(Mortality_Matrix!$B$4:$BS$64,MATCH($A99,Mortality_Matrix!$A$4:$A$64,0),MATCH(2041,Mortality_Matrix!$B$3:$BS$3,0)))/INDEX(Mortality_Matrix!$B$4:$BS$64,MATCH($A99,Mortality_Matrix!$A$4:$A$64,0),MATCH(2041,Mortality_Matrix!$B$3:$BS$3,0))</f>
        <v>-5.44038064823892E-009</v>
      </c>
      <c r="AF99" s="27" t="n">
        <f aca="false">(AF33-INDEX(Mortality_Matrix!$B$4:$BS$64,MATCH($A99,Mortality_Matrix!$A$4:$A$64,0),MATCH(2042,Mortality_Matrix!$B$3:$BS$3,0)))/INDEX(Mortality_Matrix!$B$4:$BS$64,MATCH($A99,Mortality_Matrix!$A$4:$A$64,0),MATCH(2042,Mortality_Matrix!$B$3:$BS$3,0))</f>
        <v>4.17482423719051E-009</v>
      </c>
      <c r="AG99" s="27" t="n">
        <f aca="false">(AG33-INDEX(Mortality_Matrix!$B$4:$BS$64,MATCH($A99,Mortality_Matrix!$A$4:$A$64,0),MATCH(2043,Mortality_Matrix!$B$3:$BS$3,0)))/INDEX(Mortality_Matrix!$B$4:$BS$64,MATCH($A99,Mortality_Matrix!$A$4:$A$64,0),MATCH(2043,Mortality_Matrix!$B$3:$BS$3,0))</f>
        <v>2.54788608235377E-009</v>
      </c>
      <c r="AH99" s="27" t="n">
        <f aca="false">(AH33-INDEX(Mortality_Matrix!$B$4:$BS$64,MATCH($A99,Mortality_Matrix!$A$4:$A$64,0),MATCH(2044,Mortality_Matrix!$B$3:$BS$3,0)))/INDEX(Mortality_Matrix!$B$4:$BS$64,MATCH($A99,Mortality_Matrix!$A$4:$A$64,0),MATCH(2044,Mortality_Matrix!$B$3:$BS$3,0))</f>
        <v>5.2049911151301E-009</v>
      </c>
      <c r="AI99" s="27" t="n">
        <f aca="false">(AI33-INDEX(Mortality_Matrix!$B$4:$BS$64,MATCH($A99,Mortality_Matrix!$A$4:$A$64,0),MATCH(2045,Mortality_Matrix!$B$3:$BS$3,0)))/INDEX(Mortality_Matrix!$B$4:$BS$64,MATCH($A99,Mortality_Matrix!$A$4:$A$64,0),MATCH(2045,Mortality_Matrix!$B$3:$BS$3,0))</f>
        <v>-5.07493243398415E-009</v>
      </c>
      <c r="AJ99" s="27" t="n">
        <f aca="false">(AJ33-INDEX(Mortality_Matrix!$B$4:$BS$64,MATCH($A99,Mortality_Matrix!$A$4:$A$64,0),MATCH(2046,Mortality_Matrix!$B$3:$BS$3,0)))/INDEX(Mortality_Matrix!$B$4:$BS$64,MATCH($A99,Mortality_Matrix!$A$4:$A$64,0),MATCH(2046,Mortality_Matrix!$B$3:$BS$3,0))</f>
        <v>7.21197611193019E-009</v>
      </c>
      <c r="AK99" s="27" t="n">
        <f aca="false">(AK33-INDEX(Mortality_Matrix!$B$4:$BS$64,MATCH($A99,Mortality_Matrix!$A$4:$A$64,0),MATCH(2047,Mortality_Matrix!$B$3:$BS$3,0)))/INDEX(Mortality_Matrix!$B$4:$BS$64,MATCH($A99,Mortality_Matrix!$A$4:$A$64,0),MATCH(2047,Mortality_Matrix!$B$3:$BS$3,0))</f>
        <v>-1.73024225321235E-009</v>
      </c>
      <c r="AL99" s="27" t="n">
        <f aca="false">(AL33-INDEX(Mortality_Matrix!$B$4:$BS$64,MATCH($A99,Mortality_Matrix!$A$4:$A$64,0),MATCH(2048,Mortality_Matrix!$B$3:$BS$3,0)))/INDEX(Mortality_Matrix!$B$4:$BS$64,MATCH($A99,Mortality_Matrix!$A$4:$A$64,0),MATCH(2048,Mortality_Matrix!$B$3:$BS$3,0))</f>
        <v>5.89866037890314E-009</v>
      </c>
      <c r="AM99" s="27" t="n">
        <f aca="false">(AM33-INDEX(Mortality_Matrix!$B$4:$BS$64,MATCH($A99,Mortality_Matrix!$A$4:$A$64,0),MATCH(2049,Mortality_Matrix!$B$3:$BS$3,0)))/INDEX(Mortality_Matrix!$B$4:$BS$64,MATCH($A99,Mortality_Matrix!$A$4:$A$64,0),MATCH(2049,Mortality_Matrix!$B$3:$BS$3,0))</f>
        <v>8.98513155236243E-011</v>
      </c>
      <c r="AN99" s="27" t="n">
        <f aca="false">(AN33-INDEX(Mortality_Matrix!$B$4:$BS$64,MATCH($A99,Mortality_Matrix!$A$4:$A$64,0),MATCH(2050,Mortality_Matrix!$B$3:$BS$3,0)))/INDEX(Mortality_Matrix!$B$4:$BS$64,MATCH($A99,Mortality_Matrix!$A$4:$A$64,0),MATCH(2050,Mortality_Matrix!$B$3:$BS$3,0))</f>
        <v>2.76327952376629E-009</v>
      </c>
      <c r="AO99" s="27" t="n">
        <f aca="false">(AO33-INDEX(Mortality_Matrix!$B$4:$BS$64,MATCH($A99,Mortality_Matrix!$A$4:$A$64,0),MATCH(2051,Mortality_Matrix!$B$3:$BS$3,0)))/INDEX(Mortality_Matrix!$B$4:$BS$64,MATCH($A99,Mortality_Matrix!$A$4:$A$64,0),MATCH(2051,Mortality_Matrix!$B$3:$BS$3,0))</f>
        <v>-4.82034796262498E-009</v>
      </c>
      <c r="AP99" s="27" t="n">
        <f aca="false">(AP33-INDEX(Mortality_Matrix!$B$4:$BS$64,MATCH($A99,Mortality_Matrix!$A$4:$A$64,0),MATCH(2052,Mortality_Matrix!$B$3:$BS$3,0)))/INDEX(Mortality_Matrix!$B$4:$BS$64,MATCH($A99,Mortality_Matrix!$A$4:$A$64,0),MATCH(2052,Mortality_Matrix!$B$3:$BS$3,0))</f>
        <v>-4.98243448279488E-009</v>
      </c>
      <c r="AQ99" s="27" t="n">
        <f aca="false">(AQ33-INDEX(Mortality_Matrix!$B$4:$BS$64,MATCH($A99,Mortality_Matrix!$A$4:$A$64,0),MATCH(2053,Mortality_Matrix!$B$3:$BS$3,0)))/INDEX(Mortality_Matrix!$B$4:$BS$64,MATCH($A99,Mortality_Matrix!$A$4:$A$64,0),MATCH(2053,Mortality_Matrix!$B$3:$BS$3,0))</f>
        <v>-7.45075851151508E-009</v>
      </c>
      <c r="AR99" s="27" t="n">
        <f aca="false">(AR33-INDEX(Mortality_Matrix!$B$4:$BS$64,MATCH($A99,Mortality_Matrix!$A$4:$A$64,0),MATCH(2054,Mortality_Matrix!$B$3:$BS$3,0)))/INDEX(Mortality_Matrix!$B$4:$BS$64,MATCH($A99,Mortality_Matrix!$A$4:$A$64,0),MATCH(2054,Mortality_Matrix!$B$3:$BS$3,0))</f>
        <v>-2.18834183560823E-009</v>
      </c>
      <c r="AS99" s="27" t="n">
        <f aca="false">(AS33-INDEX(Mortality_Matrix!$B$4:$BS$64,MATCH($A99,Mortality_Matrix!$A$4:$A$64,0),MATCH(2055,Mortality_Matrix!$B$3:$BS$3,0)))/INDEX(Mortality_Matrix!$B$4:$BS$64,MATCH($A99,Mortality_Matrix!$A$4:$A$64,0),MATCH(2055,Mortality_Matrix!$B$3:$BS$3,0))</f>
        <v>7.39433640448631E-009</v>
      </c>
      <c r="AT99" s="27" t="n">
        <f aca="false">(AT33-INDEX(Mortality_Matrix!$B$4:$BS$64,MATCH($A99,Mortality_Matrix!$A$4:$A$64,0),MATCH(2056,Mortality_Matrix!$B$3:$BS$3,0)))/INDEX(Mortality_Matrix!$B$4:$BS$64,MATCH($A99,Mortality_Matrix!$A$4:$A$64,0),MATCH(2056,Mortality_Matrix!$B$3:$BS$3,0))</f>
        <v>2.57307965555688E-009</v>
      </c>
      <c r="AU99" s="27" t="n">
        <f aca="false">(AU33-INDEX(Mortality_Matrix!$B$4:$BS$64,MATCH($A99,Mortality_Matrix!$A$4:$A$64,0),MATCH(2057,Mortality_Matrix!$B$3:$BS$3,0)))/INDEX(Mortality_Matrix!$B$4:$BS$64,MATCH($A99,Mortality_Matrix!$A$4:$A$64,0),MATCH(2057,Mortality_Matrix!$B$3:$BS$3,0))</f>
        <v>-2.23878482286324E-010</v>
      </c>
      <c r="AV99" s="27" t="n">
        <f aca="false">(AV33-INDEX(Mortality_Matrix!$B$4:$BS$64,MATCH($A99,Mortality_Matrix!$A$4:$A$64,0),MATCH(2058,Mortality_Matrix!$B$3:$BS$3,0)))/INDEX(Mortality_Matrix!$B$4:$BS$64,MATCH($A99,Mortality_Matrix!$A$4:$A$64,0),MATCH(2058,Mortality_Matrix!$B$3:$BS$3,0))</f>
        <v>-7.56294328039108E-010</v>
      </c>
      <c r="AW99" s="27" t="n">
        <f aca="false">(AW33-INDEX(Mortality_Matrix!$B$4:$BS$64,MATCH($A99,Mortality_Matrix!$A$4:$A$64,0),MATCH(2059,Mortality_Matrix!$B$3:$BS$3,0)))/INDEX(Mortality_Matrix!$B$4:$BS$64,MATCH($A99,Mortality_Matrix!$A$4:$A$64,0),MATCH(2059,Mortality_Matrix!$B$3:$BS$3,0))</f>
        <v>9.55364294062068E-010</v>
      </c>
      <c r="AX99" s="27" t="n">
        <f aca="false">(AX33-INDEX(Mortality_Matrix!$B$4:$BS$64,MATCH($A99,Mortality_Matrix!$A$4:$A$64,0),MATCH(2060,Mortality_Matrix!$B$3:$BS$3,0)))/INDEX(Mortality_Matrix!$B$4:$BS$64,MATCH($A99,Mortality_Matrix!$A$4:$A$64,0),MATCH(2060,Mortality_Matrix!$B$3:$BS$3,0))</f>
        <v>3.79059892877614E-009</v>
      </c>
      <c r="AY99" s="27" t="n">
        <f aca="false">(AY33-INDEX(Mortality_Matrix!$B$4:$BS$64,MATCH($A99,Mortality_Matrix!$A$4:$A$64,0),MATCH(2061,Mortality_Matrix!$B$3:$BS$3,0)))/INDEX(Mortality_Matrix!$B$4:$BS$64,MATCH($A99,Mortality_Matrix!$A$4:$A$64,0),MATCH(2061,Mortality_Matrix!$B$3:$BS$3,0))</f>
        <v>4.62626647986943E-009</v>
      </c>
      <c r="AZ99" s="27" t="n">
        <f aca="false">(AZ33-INDEX(Mortality_Matrix!$B$4:$BS$64,MATCH($A99,Mortality_Matrix!$A$4:$A$64,0),MATCH(2062,Mortality_Matrix!$B$3:$BS$3,0)))/INDEX(Mortality_Matrix!$B$4:$BS$64,MATCH($A99,Mortality_Matrix!$A$4:$A$64,0),MATCH(2062,Mortality_Matrix!$B$3:$BS$3,0))</f>
        <v>-2.63221155558824E-009</v>
      </c>
      <c r="BA99" s="27" t="n">
        <f aca="false">(BA33-INDEX(Mortality_Matrix!$B$4:$BS$64,MATCH($A99,Mortality_Matrix!$A$4:$A$64,0),MATCH(2063,Mortality_Matrix!$B$3:$BS$3,0)))/INDEX(Mortality_Matrix!$B$4:$BS$64,MATCH($A99,Mortality_Matrix!$A$4:$A$64,0),MATCH(2063,Mortality_Matrix!$B$3:$BS$3,0))</f>
        <v>-8.94850864694471E-009</v>
      </c>
      <c r="BB99" s="27" t="n">
        <f aca="false">(BB33-INDEX(Mortality_Matrix!$B$4:$BS$64,MATCH($A99,Mortality_Matrix!$A$4:$A$64,0),MATCH(2064,Mortality_Matrix!$B$3:$BS$3,0)))/INDEX(Mortality_Matrix!$B$4:$BS$64,MATCH($A99,Mortality_Matrix!$A$4:$A$64,0),MATCH(2064,Mortality_Matrix!$B$3:$BS$3,0))</f>
        <v>-9.23998520481024E-009</v>
      </c>
      <c r="BC99" s="27" t="n">
        <f aca="false">(BC33-INDEX(Mortality_Matrix!$B$4:$BS$64,MATCH($A99,Mortality_Matrix!$A$4:$A$64,0),MATCH(2065,Mortality_Matrix!$B$3:$BS$3,0)))/INDEX(Mortality_Matrix!$B$4:$BS$64,MATCH($A99,Mortality_Matrix!$A$4:$A$64,0),MATCH(2065,Mortality_Matrix!$B$3:$BS$3,0))</f>
        <v>-3.5189564118852E-009</v>
      </c>
      <c r="BD99" s="27" t="n">
        <f aca="false">(BD33-INDEX(Mortality_Matrix!$B$4:$BS$64,MATCH($A99,Mortality_Matrix!$A$4:$A$64,0),MATCH(2066,Mortality_Matrix!$B$3:$BS$3,0)))/INDEX(Mortality_Matrix!$B$4:$BS$64,MATCH($A99,Mortality_Matrix!$A$4:$A$64,0),MATCH(2066,Mortality_Matrix!$B$3:$BS$3,0))</f>
        <v>1.888632713971E-009</v>
      </c>
      <c r="BE99" s="27" t="n">
        <f aca="false">(BE33-INDEX(Mortality_Matrix!$B$4:$BS$64,MATCH($A99,Mortality_Matrix!$A$4:$A$64,0),MATCH(2067,Mortality_Matrix!$B$3:$BS$3,0)))/INDEX(Mortality_Matrix!$B$4:$BS$64,MATCH($A99,Mortality_Matrix!$A$4:$A$64,0),MATCH(2067,Mortality_Matrix!$B$3:$BS$3,0))</f>
        <v>-6.95626770506789E-009</v>
      </c>
      <c r="BF99" s="27" t="n">
        <f aca="false">(BF33-INDEX(Mortality_Matrix!$B$4:$BS$64,MATCH($A99,Mortality_Matrix!$A$4:$A$64,0),MATCH(2068,Mortality_Matrix!$B$3:$BS$3,0)))/INDEX(Mortality_Matrix!$B$4:$BS$64,MATCH($A99,Mortality_Matrix!$A$4:$A$64,0),MATCH(2068,Mortality_Matrix!$B$3:$BS$3,0))</f>
        <v>8.93864638399081E-009</v>
      </c>
      <c r="BG99" s="27" t="n">
        <f aca="false">(BG33-INDEX(Mortality_Matrix!$B$4:$BS$64,MATCH($A99,Mortality_Matrix!$A$4:$A$64,0),MATCH(2069,Mortality_Matrix!$B$3:$BS$3,0)))/INDEX(Mortality_Matrix!$B$4:$BS$64,MATCH($A99,Mortality_Matrix!$A$4:$A$64,0),MATCH(2069,Mortality_Matrix!$B$3:$BS$3,0))</f>
        <v>-1.9590467733066E-009</v>
      </c>
      <c r="BH99" s="27" t="n">
        <f aca="false">(BH33-INDEX(Mortality_Matrix!$B$4:$BS$64,MATCH($A99,Mortality_Matrix!$A$4:$A$64,0),MATCH(2070,Mortality_Matrix!$B$3:$BS$3,0)))/INDEX(Mortality_Matrix!$B$4:$BS$64,MATCH($A99,Mortality_Matrix!$A$4:$A$64,0),MATCH(2070,Mortality_Matrix!$B$3:$BS$3,0))</f>
        <v>1.97705858829909E-009</v>
      </c>
      <c r="BI99" s="27" t="n">
        <f aca="false">(BI33-INDEX(Mortality_Matrix!$B$4:$BS$64,MATCH($A99,Mortality_Matrix!$A$4:$A$64,0),MATCH(2071,Mortality_Matrix!$B$3:$BS$3,0)))/INDEX(Mortality_Matrix!$B$4:$BS$64,MATCH($A99,Mortality_Matrix!$A$4:$A$64,0),MATCH(2071,Mortality_Matrix!$B$3:$BS$3,0))</f>
        <v>1.07251597431027E-008</v>
      </c>
      <c r="BJ99" s="27" t="n">
        <f aca="false">(BJ33-INDEX(Mortality_Matrix!$B$4:$BS$64,MATCH($A99,Mortality_Matrix!$A$4:$A$64,0),MATCH(2072,Mortality_Matrix!$B$3:$BS$3,0)))/INDEX(Mortality_Matrix!$B$4:$BS$64,MATCH($A99,Mortality_Matrix!$A$4:$A$64,0),MATCH(2072,Mortality_Matrix!$B$3:$BS$3,0))</f>
        <v>1.62454681902846E-009</v>
      </c>
      <c r="BK99" s="27" t="n">
        <f aca="false">(BK33-INDEX(Mortality_Matrix!$B$4:$BS$64,MATCH($A99,Mortality_Matrix!$A$4:$A$64,0),MATCH(2073,Mortality_Matrix!$B$3:$BS$3,0)))/INDEX(Mortality_Matrix!$B$4:$BS$64,MATCH($A99,Mortality_Matrix!$A$4:$A$64,0),MATCH(2073,Mortality_Matrix!$B$3:$BS$3,0))</f>
        <v>4.40743870654168E-009</v>
      </c>
      <c r="BL99" s="27" t="n">
        <f aca="false">(BL33-INDEX(Mortality_Matrix!$B$4:$BS$64,MATCH($A99,Mortality_Matrix!$A$4:$A$64,0),MATCH(2074,Mortality_Matrix!$B$3:$BS$3,0)))/INDEX(Mortality_Matrix!$B$4:$BS$64,MATCH($A99,Mortality_Matrix!$A$4:$A$64,0),MATCH(2074,Mortality_Matrix!$B$3:$BS$3,0))</f>
        <v>-8.58880721823178E-009</v>
      </c>
      <c r="BM99" s="27" t="n">
        <f aca="false">(BM33-INDEX(Mortality_Matrix!$B$4:$BS$64,MATCH($A99,Mortality_Matrix!$A$4:$A$64,0),MATCH(2075,Mortality_Matrix!$B$3:$BS$3,0)))/INDEX(Mortality_Matrix!$B$4:$BS$64,MATCH($A99,Mortality_Matrix!$A$4:$A$64,0),MATCH(2075,Mortality_Matrix!$B$3:$BS$3,0))</f>
        <v>9.99774647492679E-009</v>
      </c>
      <c r="BN99" s="27" t="n">
        <f aca="false">(BN33-INDEX(Mortality_Matrix!$B$4:$BS$64,MATCH($A99,Mortality_Matrix!$A$4:$A$64,0),MATCH(2076,Mortality_Matrix!$B$3:$BS$3,0)))/INDEX(Mortality_Matrix!$B$4:$BS$64,MATCH($A99,Mortality_Matrix!$A$4:$A$64,0),MATCH(2076,Mortality_Matrix!$B$3:$BS$3,0))</f>
        <v>1.14534250311259E-009</v>
      </c>
      <c r="BO99" s="27" t="n">
        <f aca="false">(BO33-INDEX(Mortality_Matrix!$B$4:$BS$64,MATCH($A99,Mortality_Matrix!$A$4:$A$64,0),MATCH(2077,Mortality_Matrix!$B$3:$BS$3,0)))/INDEX(Mortality_Matrix!$B$4:$BS$64,MATCH($A99,Mortality_Matrix!$A$4:$A$64,0),MATCH(2077,Mortality_Matrix!$B$3:$BS$3,0))</f>
        <v>3.27389267369582E-009</v>
      </c>
      <c r="BP99" s="27" t="n">
        <f aca="false">(BP33-INDEX(Mortality_Matrix!$B$4:$BS$64,MATCH($A99,Mortality_Matrix!$A$4:$A$64,0),MATCH(2078,Mortality_Matrix!$B$3:$BS$3,0)))/INDEX(Mortality_Matrix!$B$4:$BS$64,MATCH($A99,Mortality_Matrix!$A$4:$A$64,0),MATCH(2078,Mortality_Matrix!$B$3:$BS$3,0))</f>
        <v>-9.09162725212465E-009</v>
      </c>
      <c r="BQ99" s="27" t="n">
        <f aca="false">(BQ33-INDEX(Mortality_Matrix!$B$4:$BS$64,MATCH($A99,Mortality_Matrix!$A$4:$A$64,0),MATCH(2079,Mortality_Matrix!$B$3:$BS$3,0)))/INDEX(Mortality_Matrix!$B$4:$BS$64,MATCH($A99,Mortality_Matrix!$A$4:$A$64,0),MATCH(2079,Mortality_Matrix!$B$3:$BS$3,0))</f>
        <v>-9.21350919455239E-009</v>
      </c>
      <c r="BR99" s="27" t="n">
        <f aca="false">(BR33-INDEX(Mortality_Matrix!$B$4:$BS$64,MATCH($A99,Mortality_Matrix!$A$4:$A$64,0),MATCH(2080,Mortality_Matrix!$B$3:$BS$3,0)))/INDEX(Mortality_Matrix!$B$4:$BS$64,MATCH($A99,Mortality_Matrix!$A$4:$A$64,0),MATCH(2080,Mortality_Matrix!$B$3:$BS$3,0))</f>
        <v>1.08320287002391E-008</v>
      </c>
      <c r="BS99" s="27" t="n">
        <f aca="false">(BS33-INDEX(Mortality_Matrix!$B$4:$BS$64,MATCH($A99,Mortality_Matrix!$A$4:$A$64,0),MATCH(2081,Mortality_Matrix!$B$3:$BS$3,0)))/INDEX(Mortality_Matrix!$B$4:$BS$64,MATCH($A99,Mortality_Matrix!$A$4:$A$64,0),MATCH(2081,Mortality_Matrix!$B$3:$BS$3,0))</f>
        <v>-1.24080821953243E-008</v>
      </c>
      <c r="BT99" s="27" t="n">
        <f aca="false">(BT33-INDEX(Mortality_Matrix!$B$4:$BS$64,MATCH($A99,Mortality_Matrix!$A$4:$A$64,0),MATCH(2082,Mortality_Matrix!$B$3:$BS$3,0)))/INDEX(Mortality_Matrix!$B$4:$BS$64,MATCH($A99,Mortality_Matrix!$A$4:$A$64,0),MATCH(2082,Mortality_Matrix!$B$3:$BS$3,0))</f>
        <v>9.52798054365399E-009</v>
      </c>
      <c r="BU99" s="27" t="n">
        <f aca="false">(BU33-INDEX(Mortality_Matrix!$B$4:$BS$64,MATCH($A99,Mortality_Matrix!$A$4:$A$64,0),MATCH(2083,Mortality_Matrix!$B$3:$BS$3,0)))/INDEX(Mortality_Matrix!$B$4:$BS$64,MATCH($A99,Mortality_Matrix!$A$4:$A$64,0),MATCH(2083,Mortality_Matrix!$B$3:$BS$3,0))</f>
        <v>-8.72833446273594E-009</v>
      </c>
      <c r="BV99" s="27" t="n">
        <f aca="false">(BV33-INDEX(Mortality_Matrix!$B$4:$BS$64,MATCH($A99,Mortality_Matrix!$A$4:$A$64,0),MATCH(2084,Mortality_Matrix!$B$3:$BS$3,0)))/INDEX(Mortality_Matrix!$B$4:$BS$64,MATCH($A99,Mortality_Matrix!$A$4:$A$64,0),MATCH(2084,Mortality_Matrix!$B$3:$BS$3,0))</f>
        <v>1.13035151824657E-009</v>
      </c>
      <c r="BW99" s="27" t="n">
        <f aca="false">(BW33-INDEX(Mortality_Matrix!$B$4:$BS$64,MATCH($A99,Mortality_Matrix!$A$4:$A$64,0),MATCH(2085,Mortality_Matrix!$B$3:$BS$3,0)))/INDEX(Mortality_Matrix!$B$4:$BS$64,MATCH($A99,Mortality_Matrix!$A$4:$A$64,0),MATCH(2085,Mortality_Matrix!$B$3:$BS$3,0))</f>
        <v>5.26732988020765E-009</v>
      </c>
      <c r="BX99" s="27" t="n">
        <f aca="false">(BX33-INDEX(Mortality_Matrix!$B$4:$BS$64,MATCH($A99,Mortality_Matrix!$A$4:$A$64,0),MATCH(2086,Mortality_Matrix!$B$3:$BS$3,0)))/INDEX(Mortality_Matrix!$B$4:$BS$64,MATCH($A99,Mortality_Matrix!$A$4:$A$64,0),MATCH(2086,Mortality_Matrix!$B$3:$BS$3,0))</f>
        <v>-5.5713229153724E-009</v>
      </c>
      <c r="BY99" s="27" t="n">
        <f aca="false">(BY33-INDEX(Mortality_Matrix!$B$4:$BS$64,MATCH($A99,Mortality_Matrix!$A$4:$A$64,0),MATCH(2087,Mortality_Matrix!$B$3:$BS$3,0)))/INDEX(Mortality_Matrix!$B$4:$BS$64,MATCH($A99,Mortality_Matrix!$A$4:$A$64,0),MATCH(2087,Mortality_Matrix!$B$3:$BS$3,0))</f>
        <v>1.25847959804624E-008</v>
      </c>
      <c r="BZ99" s="27" t="n">
        <f aca="false">(BZ33-INDEX(Mortality_Matrix!$B$4:$BS$64,MATCH($A99,Mortality_Matrix!$A$4:$A$64,0),MATCH(2088,Mortality_Matrix!$B$3:$BS$3,0)))/INDEX(Mortality_Matrix!$B$4:$BS$64,MATCH($A99,Mortality_Matrix!$A$4:$A$64,0),MATCH(2088,Mortality_Matrix!$B$3:$BS$3,0))</f>
        <v>-7.38386275836623E-009</v>
      </c>
      <c r="CA99" s="27" t="n">
        <f aca="false">(CA33-INDEX(Mortality_Matrix!$B$4:$BS$64,MATCH($A99,Mortality_Matrix!$A$4:$A$64,0),MATCH(2089,Mortality_Matrix!$B$3:$BS$3,0)))/INDEX(Mortality_Matrix!$B$4:$BS$64,MATCH($A99,Mortality_Matrix!$A$4:$A$64,0),MATCH(2089,Mortality_Matrix!$B$3:$BS$3,0))</f>
        <v>2.11455836103427E-009</v>
      </c>
      <c r="CB99" s="27" t="n">
        <f aca="false">(CB33-INDEX(Mortality_Matrix!$B$4:$BS$64,MATCH($A99,Mortality_Matrix!$A$4:$A$64,0),MATCH(2090,Mortality_Matrix!$B$3:$BS$3,0)))/INDEX(Mortality_Matrix!$B$4:$BS$64,MATCH($A99,Mortality_Matrix!$A$4:$A$64,0),MATCH(2090,Mortality_Matrix!$B$3:$BS$3,0))</f>
        <v>-6.08924510392509E-009</v>
      </c>
      <c r="CC99" s="27" t="n">
        <f aca="false">(CC33-INDEX(Mortality_Matrix!$B$4:$BS$64,MATCH($A99,Mortality_Matrix!$A$4:$A$64,0),MATCH(2091,Mortality_Matrix!$B$3:$BS$3,0)))/INDEX(Mortality_Matrix!$B$4:$BS$64,MATCH($A99,Mortality_Matrix!$A$4:$A$64,0),MATCH(2091,Mortality_Matrix!$B$3:$BS$3,0))</f>
        <v>9.24426116174114E-010</v>
      </c>
    </row>
    <row r="100" customFormat="false" ht="15" hidden="false" customHeight="true" outlineLevel="0" collapsed="false">
      <c r="A100" s="3" t="n">
        <v>71</v>
      </c>
      <c r="L100" s="27" t="n">
        <f aca="false">(L34-INDEX(Mortality_Matrix!$B$4:$BS$64,MATCH($A100,Mortality_Matrix!$A$4:$A$64,0),MATCH(2022,Mortality_Matrix!$B$3:$BS$3,0)))/INDEX(Mortality_Matrix!$B$4:$BS$64,MATCH($A100,Mortality_Matrix!$A$4:$A$64,0),MATCH(2022,Mortality_Matrix!$B$3:$BS$3,0))</f>
        <v>3.73400541611546E-009</v>
      </c>
      <c r="M100" s="27" t="n">
        <f aca="false">(M34-INDEX(Mortality_Matrix!$B$4:$BS$64,MATCH($A100,Mortality_Matrix!$A$4:$A$64,0),MATCH(2023,Mortality_Matrix!$B$3:$BS$3,0)))/INDEX(Mortality_Matrix!$B$4:$BS$64,MATCH($A100,Mortality_Matrix!$A$4:$A$64,0),MATCH(2023,Mortality_Matrix!$B$3:$BS$3,0))</f>
        <v>6.44304127615814E-010</v>
      </c>
      <c r="N100" s="27" t="n">
        <f aca="false">(N34-INDEX(Mortality_Matrix!$B$4:$BS$64,MATCH($A100,Mortality_Matrix!$A$4:$A$64,0),MATCH(2024,Mortality_Matrix!$B$3:$BS$3,0)))/INDEX(Mortality_Matrix!$B$4:$BS$64,MATCH($A100,Mortality_Matrix!$A$4:$A$64,0),MATCH(2024,Mortality_Matrix!$B$3:$BS$3,0))</f>
        <v>-4.06670622298338E-009</v>
      </c>
      <c r="O100" s="27" t="n">
        <f aca="false">(O34-INDEX(Mortality_Matrix!$B$4:$BS$64,MATCH($A100,Mortality_Matrix!$A$4:$A$64,0),MATCH(2025,Mortality_Matrix!$B$3:$BS$3,0)))/INDEX(Mortality_Matrix!$B$4:$BS$64,MATCH($A100,Mortality_Matrix!$A$4:$A$64,0),MATCH(2025,Mortality_Matrix!$B$3:$BS$3,0))</f>
        <v>-2.2877181300254E-009</v>
      </c>
      <c r="P100" s="27" t="n">
        <f aca="false">(P34-INDEX(Mortality_Matrix!$B$4:$BS$64,MATCH($A100,Mortality_Matrix!$A$4:$A$64,0),MATCH(2026,Mortality_Matrix!$B$3:$BS$3,0)))/INDEX(Mortality_Matrix!$B$4:$BS$64,MATCH($A100,Mortality_Matrix!$A$4:$A$64,0),MATCH(2026,Mortality_Matrix!$B$3:$BS$3,0))</f>
        <v>3.67480740690351E-009</v>
      </c>
      <c r="Q100" s="27" t="n">
        <f aca="false">(Q34-INDEX(Mortality_Matrix!$B$4:$BS$64,MATCH($A100,Mortality_Matrix!$A$4:$A$64,0),MATCH(2027,Mortality_Matrix!$B$3:$BS$3,0)))/INDEX(Mortality_Matrix!$B$4:$BS$64,MATCH($A100,Mortality_Matrix!$A$4:$A$64,0),MATCH(2027,Mortality_Matrix!$B$3:$BS$3,0))</f>
        <v>1.11696940672755E-009</v>
      </c>
      <c r="R100" s="27" t="n">
        <f aca="false">(R34-INDEX(Mortality_Matrix!$B$4:$BS$64,MATCH($A100,Mortality_Matrix!$A$4:$A$64,0),MATCH(2028,Mortality_Matrix!$B$3:$BS$3,0)))/INDEX(Mortality_Matrix!$B$4:$BS$64,MATCH($A100,Mortality_Matrix!$A$4:$A$64,0),MATCH(2028,Mortality_Matrix!$B$3:$BS$3,0))</f>
        <v>-2.14865860765952E-009</v>
      </c>
      <c r="S100" s="27" t="n">
        <f aca="false">(S34-INDEX(Mortality_Matrix!$B$4:$BS$64,MATCH($A100,Mortality_Matrix!$A$4:$A$64,0),MATCH(2029,Mortality_Matrix!$B$3:$BS$3,0)))/INDEX(Mortality_Matrix!$B$4:$BS$64,MATCH($A100,Mortality_Matrix!$A$4:$A$64,0),MATCH(2029,Mortality_Matrix!$B$3:$BS$3,0))</f>
        <v>-2.02046673185878E-009</v>
      </c>
      <c r="T100" s="27" t="n">
        <f aca="false">(T34-INDEX(Mortality_Matrix!$B$4:$BS$64,MATCH($A100,Mortality_Matrix!$A$4:$A$64,0),MATCH(2030,Mortality_Matrix!$B$3:$BS$3,0)))/INDEX(Mortality_Matrix!$B$4:$BS$64,MATCH($A100,Mortality_Matrix!$A$4:$A$64,0),MATCH(2030,Mortality_Matrix!$B$3:$BS$3,0))</f>
        <v>-3.31269856506717E-010</v>
      </c>
      <c r="U100" s="27" t="n">
        <f aca="false">(U34-INDEX(Mortality_Matrix!$B$4:$BS$64,MATCH($A100,Mortality_Matrix!$A$4:$A$64,0),MATCH(2031,Mortality_Matrix!$B$3:$BS$3,0)))/INDEX(Mortality_Matrix!$B$4:$BS$64,MATCH($A100,Mortality_Matrix!$A$4:$A$64,0),MATCH(2031,Mortality_Matrix!$B$3:$BS$3,0))</f>
        <v>3.24642957147616E-009</v>
      </c>
      <c r="V100" s="27" t="n">
        <f aca="false">(V34-INDEX(Mortality_Matrix!$B$4:$BS$64,MATCH($A100,Mortality_Matrix!$A$4:$A$64,0),MATCH(2032,Mortality_Matrix!$B$3:$BS$3,0)))/INDEX(Mortality_Matrix!$B$4:$BS$64,MATCH($A100,Mortality_Matrix!$A$4:$A$64,0),MATCH(2032,Mortality_Matrix!$B$3:$BS$3,0))</f>
        <v>3.77800340621304E-009</v>
      </c>
      <c r="W100" s="27" t="n">
        <f aca="false">(W34-INDEX(Mortality_Matrix!$B$4:$BS$64,MATCH($A100,Mortality_Matrix!$A$4:$A$64,0),MATCH(2033,Mortality_Matrix!$B$3:$BS$3,0)))/INDEX(Mortality_Matrix!$B$4:$BS$64,MATCH($A100,Mortality_Matrix!$A$4:$A$64,0),MATCH(2033,Mortality_Matrix!$B$3:$BS$3,0))</f>
        <v>2.08050886234438E-009</v>
      </c>
      <c r="X100" s="27" t="n">
        <f aca="false">(X34-INDEX(Mortality_Matrix!$B$4:$BS$64,MATCH($A100,Mortality_Matrix!$A$4:$A$64,0),MATCH(2034,Mortality_Matrix!$B$3:$BS$3,0)))/INDEX(Mortality_Matrix!$B$4:$BS$64,MATCH($A100,Mortality_Matrix!$A$4:$A$64,0),MATCH(2034,Mortality_Matrix!$B$3:$BS$3,0))</f>
        <v>-2.36902336580918E-009</v>
      </c>
      <c r="Y100" s="27" t="n">
        <f aca="false">(Y34-INDEX(Mortality_Matrix!$B$4:$BS$64,MATCH($A100,Mortality_Matrix!$A$4:$A$64,0),MATCH(2035,Mortality_Matrix!$B$3:$BS$3,0)))/INDEX(Mortality_Matrix!$B$4:$BS$64,MATCH($A100,Mortality_Matrix!$A$4:$A$64,0),MATCH(2035,Mortality_Matrix!$B$3:$BS$3,0))</f>
        <v>-3.14901214576158E-009</v>
      </c>
      <c r="Z100" s="27" t="n">
        <f aca="false">(Z34-INDEX(Mortality_Matrix!$B$4:$BS$64,MATCH($A100,Mortality_Matrix!$A$4:$A$64,0),MATCH(2036,Mortality_Matrix!$B$3:$BS$3,0)))/INDEX(Mortality_Matrix!$B$4:$BS$64,MATCH($A100,Mortality_Matrix!$A$4:$A$64,0),MATCH(2036,Mortality_Matrix!$B$3:$BS$3,0))</f>
        <v>-2.8662023802933E-009</v>
      </c>
      <c r="AA100" s="27" t="n">
        <f aca="false">(AA34-INDEX(Mortality_Matrix!$B$4:$BS$64,MATCH($A100,Mortality_Matrix!$A$4:$A$64,0),MATCH(2037,Mortality_Matrix!$B$3:$BS$3,0)))/INDEX(Mortality_Matrix!$B$4:$BS$64,MATCH($A100,Mortality_Matrix!$A$4:$A$64,0),MATCH(2037,Mortality_Matrix!$B$3:$BS$3,0))</f>
        <v>4.25428333910896E-009</v>
      </c>
      <c r="AB100" s="27" t="n">
        <f aca="false">(AB34-INDEX(Mortality_Matrix!$B$4:$BS$64,MATCH($A100,Mortality_Matrix!$A$4:$A$64,0),MATCH(2038,Mortality_Matrix!$B$3:$BS$3,0)))/INDEX(Mortality_Matrix!$B$4:$BS$64,MATCH($A100,Mortality_Matrix!$A$4:$A$64,0),MATCH(2038,Mortality_Matrix!$B$3:$BS$3,0))</f>
        <v>-3.49931579129732E-009</v>
      </c>
      <c r="AC100" s="27" t="n">
        <f aca="false">(AC34-INDEX(Mortality_Matrix!$B$4:$BS$64,MATCH($A100,Mortality_Matrix!$A$4:$A$64,0),MATCH(2039,Mortality_Matrix!$B$3:$BS$3,0)))/INDEX(Mortality_Matrix!$B$4:$BS$64,MATCH($A100,Mortality_Matrix!$A$4:$A$64,0),MATCH(2039,Mortality_Matrix!$B$3:$BS$3,0))</f>
        <v>4.60910069603316E-009</v>
      </c>
      <c r="AD100" s="27" t="n">
        <f aca="false">(AD34-INDEX(Mortality_Matrix!$B$4:$BS$64,MATCH($A100,Mortality_Matrix!$A$4:$A$64,0),MATCH(2040,Mortality_Matrix!$B$3:$BS$3,0)))/INDEX(Mortality_Matrix!$B$4:$BS$64,MATCH($A100,Mortality_Matrix!$A$4:$A$64,0),MATCH(2040,Mortality_Matrix!$B$3:$BS$3,0))</f>
        <v>-5.18505161504592E-009</v>
      </c>
      <c r="AE100" s="27" t="n">
        <f aca="false">(AE34-INDEX(Mortality_Matrix!$B$4:$BS$64,MATCH($A100,Mortality_Matrix!$A$4:$A$64,0),MATCH(2041,Mortality_Matrix!$B$3:$BS$3,0)))/INDEX(Mortality_Matrix!$B$4:$BS$64,MATCH($A100,Mortality_Matrix!$A$4:$A$64,0),MATCH(2041,Mortality_Matrix!$B$3:$BS$3,0))</f>
        <v>-2.74497769929962E-009</v>
      </c>
      <c r="AF100" s="27" t="n">
        <f aca="false">(AF34-INDEX(Mortality_Matrix!$B$4:$BS$64,MATCH($A100,Mortality_Matrix!$A$4:$A$64,0),MATCH(2042,Mortality_Matrix!$B$3:$BS$3,0)))/INDEX(Mortality_Matrix!$B$4:$BS$64,MATCH($A100,Mortality_Matrix!$A$4:$A$64,0),MATCH(2042,Mortality_Matrix!$B$3:$BS$3,0))</f>
        <v>-1.38249966015804E-009</v>
      </c>
      <c r="AG100" s="27" t="n">
        <f aca="false">(AG34-INDEX(Mortality_Matrix!$B$4:$BS$64,MATCH($A100,Mortality_Matrix!$A$4:$A$64,0),MATCH(2043,Mortality_Matrix!$B$3:$BS$3,0)))/INDEX(Mortality_Matrix!$B$4:$BS$64,MATCH($A100,Mortality_Matrix!$A$4:$A$64,0),MATCH(2043,Mortality_Matrix!$B$3:$BS$3,0))</f>
        <v>8.18087629644606E-010</v>
      </c>
      <c r="AH100" s="27" t="n">
        <f aca="false">(AH34-INDEX(Mortality_Matrix!$B$4:$BS$64,MATCH($A100,Mortality_Matrix!$A$4:$A$64,0),MATCH(2044,Mortality_Matrix!$B$3:$BS$3,0)))/INDEX(Mortality_Matrix!$B$4:$BS$64,MATCH($A100,Mortality_Matrix!$A$4:$A$64,0),MATCH(2044,Mortality_Matrix!$B$3:$BS$3,0))</f>
        <v>-4.1607609617182E-009</v>
      </c>
      <c r="AI100" s="27" t="n">
        <f aca="false">(AI34-INDEX(Mortality_Matrix!$B$4:$BS$64,MATCH($A100,Mortality_Matrix!$A$4:$A$64,0),MATCH(2045,Mortality_Matrix!$B$3:$BS$3,0)))/INDEX(Mortality_Matrix!$B$4:$BS$64,MATCH($A100,Mortality_Matrix!$A$4:$A$64,0),MATCH(2045,Mortality_Matrix!$B$3:$BS$3,0))</f>
        <v>3.03242134552499E-009</v>
      </c>
      <c r="AJ100" s="27" t="n">
        <f aca="false">(AJ34-INDEX(Mortality_Matrix!$B$4:$BS$64,MATCH($A100,Mortality_Matrix!$A$4:$A$64,0),MATCH(2046,Mortality_Matrix!$B$3:$BS$3,0)))/INDEX(Mortality_Matrix!$B$4:$BS$64,MATCH($A100,Mortality_Matrix!$A$4:$A$64,0),MATCH(2046,Mortality_Matrix!$B$3:$BS$3,0))</f>
        <v>4.61138850522758E-009</v>
      </c>
      <c r="AK100" s="27" t="n">
        <f aca="false">(AK34-INDEX(Mortality_Matrix!$B$4:$BS$64,MATCH($A100,Mortality_Matrix!$A$4:$A$64,0),MATCH(2047,Mortality_Matrix!$B$3:$BS$3,0)))/INDEX(Mortality_Matrix!$B$4:$BS$64,MATCH($A100,Mortality_Matrix!$A$4:$A$64,0),MATCH(2047,Mortality_Matrix!$B$3:$BS$3,0))</f>
        <v>-4.60593259568485E-009</v>
      </c>
      <c r="AL100" s="27" t="n">
        <f aca="false">(AL34-INDEX(Mortality_Matrix!$B$4:$BS$64,MATCH($A100,Mortality_Matrix!$A$4:$A$64,0),MATCH(2048,Mortality_Matrix!$B$3:$BS$3,0)))/INDEX(Mortality_Matrix!$B$4:$BS$64,MATCH($A100,Mortality_Matrix!$A$4:$A$64,0),MATCH(2048,Mortality_Matrix!$B$3:$BS$3,0))</f>
        <v>-3.45317407700837E-009</v>
      </c>
      <c r="AM100" s="27" t="n">
        <f aca="false">(AM34-INDEX(Mortality_Matrix!$B$4:$BS$64,MATCH($A100,Mortality_Matrix!$A$4:$A$64,0),MATCH(2049,Mortality_Matrix!$B$3:$BS$3,0)))/INDEX(Mortality_Matrix!$B$4:$BS$64,MATCH($A100,Mortality_Matrix!$A$4:$A$64,0),MATCH(2049,Mortality_Matrix!$B$3:$BS$3,0))</f>
        <v>1.70997219597109E-009</v>
      </c>
      <c r="AN100" s="27" t="n">
        <f aca="false">(AN34-INDEX(Mortality_Matrix!$B$4:$BS$64,MATCH($A100,Mortality_Matrix!$A$4:$A$64,0),MATCH(2050,Mortality_Matrix!$B$3:$BS$3,0)))/INDEX(Mortality_Matrix!$B$4:$BS$64,MATCH($A100,Mortality_Matrix!$A$4:$A$64,0),MATCH(2050,Mortality_Matrix!$B$3:$BS$3,0))</f>
        <v>1.98953335838725E-009</v>
      </c>
      <c r="AO100" s="27" t="n">
        <f aca="false">(AO34-INDEX(Mortality_Matrix!$B$4:$BS$64,MATCH($A100,Mortality_Matrix!$A$4:$A$64,0),MATCH(2051,Mortality_Matrix!$B$3:$BS$3,0)))/INDEX(Mortality_Matrix!$B$4:$BS$64,MATCH($A100,Mortality_Matrix!$A$4:$A$64,0),MATCH(2051,Mortality_Matrix!$B$3:$BS$3,0))</f>
        <v>-8.48651581945256E-010</v>
      </c>
      <c r="AP100" s="27" t="n">
        <f aca="false">(AP34-INDEX(Mortality_Matrix!$B$4:$BS$64,MATCH($A100,Mortality_Matrix!$A$4:$A$64,0),MATCH(2052,Mortality_Matrix!$B$3:$BS$3,0)))/INDEX(Mortality_Matrix!$B$4:$BS$64,MATCH($A100,Mortality_Matrix!$A$4:$A$64,0),MATCH(2052,Mortality_Matrix!$B$3:$BS$3,0))</f>
        <v>5.63451216217609E-009</v>
      </c>
      <c r="AQ100" s="27" t="n">
        <f aca="false">(AQ34-INDEX(Mortality_Matrix!$B$4:$BS$64,MATCH($A100,Mortality_Matrix!$A$4:$A$64,0),MATCH(2053,Mortality_Matrix!$B$3:$BS$3,0)))/INDEX(Mortality_Matrix!$B$4:$BS$64,MATCH($A100,Mortality_Matrix!$A$4:$A$64,0),MATCH(2053,Mortality_Matrix!$B$3:$BS$3,0))</f>
        <v>6.61527030878025E-010</v>
      </c>
      <c r="AR100" s="27" t="n">
        <f aca="false">(AR34-INDEX(Mortality_Matrix!$B$4:$BS$64,MATCH($A100,Mortality_Matrix!$A$4:$A$64,0),MATCH(2054,Mortality_Matrix!$B$3:$BS$3,0)))/INDEX(Mortality_Matrix!$B$4:$BS$64,MATCH($A100,Mortality_Matrix!$A$4:$A$64,0),MATCH(2054,Mortality_Matrix!$B$3:$BS$3,0))</f>
        <v>1.10700200536762E-009</v>
      </c>
      <c r="AS100" s="27" t="n">
        <f aca="false">(AS34-INDEX(Mortality_Matrix!$B$4:$BS$64,MATCH($A100,Mortality_Matrix!$A$4:$A$64,0),MATCH(2055,Mortality_Matrix!$B$3:$BS$3,0)))/INDEX(Mortality_Matrix!$B$4:$BS$64,MATCH($A100,Mortality_Matrix!$A$4:$A$64,0),MATCH(2055,Mortality_Matrix!$B$3:$BS$3,0))</f>
        <v>3.29291950902488E-009</v>
      </c>
      <c r="AT100" s="27" t="n">
        <f aca="false">(AT34-INDEX(Mortality_Matrix!$B$4:$BS$64,MATCH($A100,Mortality_Matrix!$A$4:$A$64,0),MATCH(2056,Mortality_Matrix!$B$3:$BS$3,0)))/INDEX(Mortality_Matrix!$B$4:$BS$64,MATCH($A100,Mortality_Matrix!$A$4:$A$64,0),MATCH(2056,Mortality_Matrix!$B$3:$BS$3,0))</f>
        <v>-4.1299407717948E-009</v>
      </c>
      <c r="AU100" s="27" t="n">
        <f aca="false">(AU34-INDEX(Mortality_Matrix!$B$4:$BS$64,MATCH($A100,Mortality_Matrix!$A$4:$A$64,0),MATCH(2057,Mortality_Matrix!$B$3:$BS$3,0)))/INDEX(Mortality_Matrix!$B$4:$BS$64,MATCH($A100,Mortality_Matrix!$A$4:$A$64,0),MATCH(2057,Mortality_Matrix!$B$3:$BS$3,0))</f>
        <v>5.03744123003128E-009</v>
      </c>
      <c r="AV100" s="27" t="n">
        <f aca="false">(AV34-INDEX(Mortality_Matrix!$B$4:$BS$64,MATCH($A100,Mortality_Matrix!$A$4:$A$64,0),MATCH(2058,Mortality_Matrix!$B$3:$BS$3,0)))/INDEX(Mortality_Matrix!$B$4:$BS$64,MATCH($A100,Mortality_Matrix!$A$4:$A$64,0),MATCH(2058,Mortality_Matrix!$B$3:$BS$3,0))</f>
        <v>1.9614031341486E-009</v>
      </c>
      <c r="AW100" s="27" t="n">
        <f aca="false">(AW34-INDEX(Mortality_Matrix!$B$4:$BS$64,MATCH($A100,Mortality_Matrix!$A$4:$A$64,0),MATCH(2059,Mortality_Matrix!$B$3:$BS$3,0)))/INDEX(Mortality_Matrix!$B$4:$BS$64,MATCH($A100,Mortality_Matrix!$A$4:$A$64,0),MATCH(2059,Mortality_Matrix!$B$3:$BS$3,0))</f>
        <v>-6.2061325038568E-009</v>
      </c>
      <c r="AX100" s="27" t="n">
        <f aca="false">(AX34-INDEX(Mortality_Matrix!$B$4:$BS$64,MATCH($A100,Mortality_Matrix!$A$4:$A$64,0),MATCH(2060,Mortality_Matrix!$B$3:$BS$3,0)))/INDEX(Mortality_Matrix!$B$4:$BS$64,MATCH($A100,Mortality_Matrix!$A$4:$A$64,0),MATCH(2060,Mortality_Matrix!$B$3:$BS$3,0))</f>
        <v>-6.85647865408224E-009</v>
      </c>
      <c r="AY100" s="27" t="n">
        <f aca="false">(AY34-INDEX(Mortality_Matrix!$B$4:$BS$64,MATCH($A100,Mortality_Matrix!$A$4:$A$64,0),MATCH(2061,Mortality_Matrix!$B$3:$BS$3,0)))/INDEX(Mortality_Matrix!$B$4:$BS$64,MATCH($A100,Mortality_Matrix!$A$4:$A$64,0),MATCH(2061,Mortality_Matrix!$B$3:$BS$3,0))</f>
        <v>1.14905218594256E-009</v>
      </c>
      <c r="AZ100" s="27" t="n">
        <f aca="false">(AZ34-INDEX(Mortality_Matrix!$B$4:$BS$64,MATCH($A100,Mortality_Matrix!$A$4:$A$64,0),MATCH(2062,Mortality_Matrix!$B$3:$BS$3,0)))/INDEX(Mortality_Matrix!$B$4:$BS$64,MATCH($A100,Mortality_Matrix!$A$4:$A$64,0),MATCH(2062,Mortality_Matrix!$B$3:$BS$3,0))</f>
        <v>5.75739598413841E-009</v>
      </c>
      <c r="BA100" s="27" t="n">
        <f aca="false">(BA34-INDEX(Mortality_Matrix!$B$4:$BS$64,MATCH($A100,Mortality_Matrix!$A$4:$A$64,0),MATCH(2063,Mortality_Matrix!$B$3:$BS$3,0)))/INDEX(Mortality_Matrix!$B$4:$BS$64,MATCH($A100,Mortality_Matrix!$A$4:$A$64,0),MATCH(2063,Mortality_Matrix!$B$3:$BS$3,0))</f>
        <v>-3.08926289166437E-009</v>
      </c>
      <c r="BB100" s="27" t="n">
        <f aca="false">(BB34-INDEX(Mortality_Matrix!$B$4:$BS$64,MATCH($A100,Mortality_Matrix!$A$4:$A$64,0),MATCH(2064,Mortality_Matrix!$B$3:$BS$3,0)))/INDEX(Mortality_Matrix!$B$4:$BS$64,MATCH($A100,Mortality_Matrix!$A$4:$A$64,0),MATCH(2064,Mortality_Matrix!$B$3:$BS$3,0))</f>
        <v>4.51473139270302E-010</v>
      </c>
      <c r="BC100" s="27" t="n">
        <f aca="false">(BC34-INDEX(Mortality_Matrix!$B$4:$BS$64,MATCH($A100,Mortality_Matrix!$A$4:$A$64,0),MATCH(2065,Mortality_Matrix!$B$3:$BS$3,0)))/INDEX(Mortality_Matrix!$B$4:$BS$64,MATCH($A100,Mortality_Matrix!$A$4:$A$64,0),MATCH(2065,Mortality_Matrix!$B$3:$BS$3,0))</f>
        <v>-7.61458424639037E-009</v>
      </c>
      <c r="BD100" s="27" t="n">
        <f aca="false">(BD34-INDEX(Mortality_Matrix!$B$4:$BS$64,MATCH($A100,Mortality_Matrix!$A$4:$A$64,0),MATCH(2066,Mortality_Matrix!$B$3:$BS$3,0)))/INDEX(Mortality_Matrix!$B$4:$BS$64,MATCH($A100,Mortality_Matrix!$A$4:$A$64,0),MATCH(2066,Mortality_Matrix!$B$3:$BS$3,0))</f>
        <v>1.01935486018033E-009</v>
      </c>
      <c r="BE100" s="27" t="n">
        <f aca="false">(BE34-INDEX(Mortality_Matrix!$B$4:$BS$64,MATCH($A100,Mortality_Matrix!$A$4:$A$64,0),MATCH(2067,Mortality_Matrix!$B$3:$BS$3,0)))/INDEX(Mortality_Matrix!$B$4:$BS$64,MATCH($A100,Mortality_Matrix!$A$4:$A$64,0),MATCH(2067,Mortality_Matrix!$B$3:$BS$3,0))</f>
        <v>1.74227613496507E-009</v>
      </c>
      <c r="BF100" s="27" t="n">
        <f aca="false">(BF34-INDEX(Mortality_Matrix!$B$4:$BS$64,MATCH($A100,Mortality_Matrix!$A$4:$A$64,0),MATCH(2068,Mortality_Matrix!$B$3:$BS$3,0)))/INDEX(Mortality_Matrix!$B$4:$BS$64,MATCH($A100,Mortality_Matrix!$A$4:$A$64,0),MATCH(2068,Mortality_Matrix!$B$3:$BS$3,0))</f>
        <v>3.85232549730732E-009</v>
      </c>
      <c r="BG100" s="27" t="n">
        <f aca="false">(BG34-INDEX(Mortality_Matrix!$B$4:$BS$64,MATCH($A100,Mortality_Matrix!$A$4:$A$64,0),MATCH(2069,Mortality_Matrix!$B$3:$BS$3,0)))/INDEX(Mortality_Matrix!$B$4:$BS$64,MATCH($A100,Mortality_Matrix!$A$4:$A$64,0),MATCH(2069,Mortality_Matrix!$B$3:$BS$3,0))</f>
        <v>-3.50560441393776E-009</v>
      </c>
      <c r="BH100" s="27" t="n">
        <f aca="false">(BH34-INDEX(Mortality_Matrix!$B$4:$BS$64,MATCH($A100,Mortality_Matrix!$A$4:$A$64,0),MATCH(2070,Mortality_Matrix!$B$3:$BS$3,0)))/INDEX(Mortality_Matrix!$B$4:$BS$64,MATCH($A100,Mortality_Matrix!$A$4:$A$64,0),MATCH(2070,Mortality_Matrix!$B$3:$BS$3,0))</f>
        <v>3.01880818852571E-009</v>
      </c>
      <c r="BI100" s="27" t="n">
        <f aca="false">(BI34-INDEX(Mortality_Matrix!$B$4:$BS$64,MATCH($A100,Mortality_Matrix!$A$4:$A$64,0),MATCH(2071,Mortality_Matrix!$B$3:$BS$3,0)))/INDEX(Mortality_Matrix!$B$4:$BS$64,MATCH($A100,Mortality_Matrix!$A$4:$A$64,0),MATCH(2071,Mortality_Matrix!$B$3:$BS$3,0))</f>
        <v>5.9947043674071E-009</v>
      </c>
      <c r="BJ100" s="27" t="n">
        <f aca="false">(BJ34-INDEX(Mortality_Matrix!$B$4:$BS$64,MATCH($A100,Mortality_Matrix!$A$4:$A$64,0),MATCH(2072,Mortality_Matrix!$B$3:$BS$3,0)))/INDEX(Mortality_Matrix!$B$4:$BS$64,MATCH($A100,Mortality_Matrix!$A$4:$A$64,0),MATCH(2072,Mortality_Matrix!$B$3:$BS$3,0))</f>
        <v>1.7065290428914E-009</v>
      </c>
      <c r="BK100" s="27" t="n">
        <f aca="false">(BK34-INDEX(Mortality_Matrix!$B$4:$BS$64,MATCH($A100,Mortality_Matrix!$A$4:$A$64,0),MATCH(2073,Mortality_Matrix!$B$3:$BS$3,0)))/INDEX(Mortality_Matrix!$B$4:$BS$64,MATCH($A100,Mortality_Matrix!$A$4:$A$64,0),MATCH(2073,Mortality_Matrix!$B$3:$BS$3,0))</f>
        <v>4.2027409939205E-010</v>
      </c>
      <c r="BL100" s="27" t="n">
        <f aca="false">(BL34-INDEX(Mortality_Matrix!$B$4:$BS$64,MATCH($A100,Mortality_Matrix!$A$4:$A$64,0),MATCH(2074,Mortality_Matrix!$B$3:$BS$3,0)))/INDEX(Mortality_Matrix!$B$4:$BS$64,MATCH($A100,Mortality_Matrix!$A$4:$A$64,0),MATCH(2074,Mortality_Matrix!$B$3:$BS$3,0))</f>
        <v>6.54768843077502E-009</v>
      </c>
      <c r="BM100" s="27" t="n">
        <f aca="false">(BM34-INDEX(Mortality_Matrix!$B$4:$BS$64,MATCH($A100,Mortality_Matrix!$A$4:$A$64,0),MATCH(2075,Mortality_Matrix!$B$3:$BS$3,0)))/INDEX(Mortality_Matrix!$B$4:$BS$64,MATCH($A100,Mortality_Matrix!$A$4:$A$64,0),MATCH(2075,Mortality_Matrix!$B$3:$BS$3,0))</f>
        <v>-3.03834697556202E-009</v>
      </c>
      <c r="BN100" s="27" t="n">
        <f aca="false">(BN34-INDEX(Mortality_Matrix!$B$4:$BS$64,MATCH($A100,Mortality_Matrix!$A$4:$A$64,0),MATCH(2076,Mortality_Matrix!$B$3:$BS$3,0)))/INDEX(Mortality_Matrix!$B$4:$BS$64,MATCH($A100,Mortality_Matrix!$A$4:$A$64,0),MATCH(2076,Mortality_Matrix!$B$3:$BS$3,0))</f>
        <v>8.95872104204652E-010</v>
      </c>
      <c r="BO100" s="27" t="n">
        <f aca="false">(BO34-INDEX(Mortality_Matrix!$B$4:$BS$64,MATCH($A100,Mortality_Matrix!$A$4:$A$64,0),MATCH(2077,Mortality_Matrix!$B$3:$BS$3,0)))/INDEX(Mortality_Matrix!$B$4:$BS$64,MATCH($A100,Mortality_Matrix!$A$4:$A$64,0),MATCH(2077,Mortality_Matrix!$B$3:$BS$3,0))</f>
        <v>-1.94206316814241E-009</v>
      </c>
      <c r="BP100" s="27" t="n">
        <f aca="false">(BP34-INDEX(Mortality_Matrix!$B$4:$BS$64,MATCH($A100,Mortality_Matrix!$A$4:$A$64,0),MATCH(2078,Mortality_Matrix!$B$3:$BS$3,0)))/INDEX(Mortality_Matrix!$B$4:$BS$64,MATCH($A100,Mortality_Matrix!$A$4:$A$64,0),MATCH(2078,Mortality_Matrix!$B$3:$BS$3,0))</f>
        <v>-6.61551030537713E-010</v>
      </c>
      <c r="BQ100" s="27" t="n">
        <f aca="false">(BQ34-INDEX(Mortality_Matrix!$B$4:$BS$64,MATCH($A100,Mortality_Matrix!$A$4:$A$64,0),MATCH(2079,Mortality_Matrix!$B$3:$BS$3,0)))/INDEX(Mortality_Matrix!$B$4:$BS$64,MATCH($A100,Mortality_Matrix!$A$4:$A$64,0),MATCH(2079,Mortality_Matrix!$B$3:$BS$3,0))</f>
        <v>5.08017052920187E-009</v>
      </c>
      <c r="BR100" s="27" t="n">
        <f aca="false">(BR34-INDEX(Mortality_Matrix!$B$4:$BS$64,MATCH($A100,Mortality_Matrix!$A$4:$A$64,0),MATCH(2080,Mortality_Matrix!$B$3:$BS$3,0)))/INDEX(Mortality_Matrix!$B$4:$BS$64,MATCH($A100,Mortality_Matrix!$A$4:$A$64,0),MATCH(2080,Mortality_Matrix!$B$3:$BS$3,0))</f>
        <v>3.43040849385758E-009</v>
      </c>
      <c r="BS100" s="27" t="n">
        <f aca="false">(BS34-INDEX(Mortality_Matrix!$B$4:$BS$64,MATCH($A100,Mortality_Matrix!$A$4:$A$64,0),MATCH(2081,Mortality_Matrix!$B$3:$BS$3,0)))/INDEX(Mortality_Matrix!$B$4:$BS$64,MATCH($A100,Mortality_Matrix!$A$4:$A$64,0),MATCH(2081,Mortality_Matrix!$B$3:$BS$3,0))</f>
        <v>-9.07540122703269E-009</v>
      </c>
      <c r="BT100" s="27" t="n">
        <f aca="false">(BT34-INDEX(Mortality_Matrix!$B$4:$BS$64,MATCH($A100,Mortality_Matrix!$A$4:$A$64,0),MATCH(2082,Mortality_Matrix!$B$3:$BS$3,0)))/INDEX(Mortality_Matrix!$B$4:$BS$64,MATCH($A100,Mortality_Matrix!$A$4:$A$64,0),MATCH(2082,Mortality_Matrix!$B$3:$BS$3,0))</f>
        <v>-4.99446248652808E-009</v>
      </c>
      <c r="BU100" s="27" t="n">
        <f aca="false">(BU34-INDEX(Mortality_Matrix!$B$4:$BS$64,MATCH($A100,Mortality_Matrix!$A$4:$A$64,0),MATCH(2083,Mortality_Matrix!$B$3:$BS$3,0)))/INDEX(Mortality_Matrix!$B$4:$BS$64,MATCH($A100,Mortality_Matrix!$A$4:$A$64,0),MATCH(2083,Mortality_Matrix!$B$3:$BS$3,0))</f>
        <v>6.51410663026383E-009</v>
      </c>
      <c r="BV100" s="27" t="n">
        <f aca="false">(BV34-INDEX(Mortality_Matrix!$B$4:$BS$64,MATCH($A100,Mortality_Matrix!$A$4:$A$64,0),MATCH(2084,Mortality_Matrix!$B$3:$BS$3,0)))/INDEX(Mortality_Matrix!$B$4:$BS$64,MATCH($A100,Mortality_Matrix!$A$4:$A$64,0),MATCH(2084,Mortality_Matrix!$B$3:$BS$3,0))</f>
        <v>-6.13027768263986E-010</v>
      </c>
      <c r="BW100" s="27" t="n">
        <f aca="false">(BW34-INDEX(Mortality_Matrix!$B$4:$BS$64,MATCH($A100,Mortality_Matrix!$A$4:$A$64,0),MATCH(2085,Mortality_Matrix!$B$3:$BS$3,0)))/INDEX(Mortality_Matrix!$B$4:$BS$64,MATCH($A100,Mortality_Matrix!$A$4:$A$64,0),MATCH(2085,Mortality_Matrix!$B$3:$BS$3,0))</f>
        <v>-2.5717516694227E-010</v>
      </c>
      <c r="BX100" s="27" t="n">
        <f aca="false">(BX34-INDEX(Mortality_Matrix!$B$4:$BS$64,MATCH($A100,Mortality_Matrix!$A$4:$A$64,0),MATCH(2086,Mortality_Matrix!$B$3:$BS$3,0)))/INDEX(Mortality_Matrix!$B$4:$BS$64,MATCH($A100,Mortality_Matrix!$A$4:$A$64,0),MATCH(2086,Mortality_Matrix!$B$3:$BS$3,0))</f>
        <v>-7.24176073166021E-009</v>
      </c>
      <c r="BY100" s="27" t="n">
        <f aca="false">(BY34-INDEX(Mortality_Matrix!$B$4:$BS$64,MATCH($A100,Mortality_Matrix!$A$4:$A$64,0),MATCH(2087,Mortality_Matrix!$B$3:$BS$3,0)))/INDEX(Mortality_Matrix!$B$4:$BS$64,MATCH($A100,Mortality_Matrix!$A$4:$A$64,0),MATCH(2087,Mortality_Matrix!$B$3:$BS$3,0))</f>
        <v>-7.97530714509166E-009</v>
      </c>
      <c r="BZ100" s="27" t="n">
        <f aca="false">(BZ34-INDEX(Mortality_Matrix!$B$4:$BS$64,MATCH($A100,Mortality_Matrix!$A$4:$A$64,0),MATCH(2088,Mortality_Matrix!$B$3:$BS$3,0)))/INDEX(Mortality_Matrix!$B$4:$BS$64,MATCH($A100,Mortality_Matrix!$A$4:$A$64,0),MATCH(2088,Mortality_Matrix!$B$3:$BS$3,0))</f>
        <v>-8.72002445601724E-009</v>
      </c>
      <c r="CA100" s="27" t="n">
        <f aca="false">(CA34-INDEX(Mortality_Matrix!$B$4:$BS$64,MATCH($A100,Mortality_Matrix!$A$4:$A$64,0),MATCH(2089,Mortality_Matrix!$B$3:$BS$3,0)))/INDEX(Mortality_Matrix!$B$4:$BS$64,MATCH($A100,Mortality_Matrix!$A$4:$A$64,0),MATCH(2089,Mortality_Matrix!$B$3:$BS$3,0))</f>
        <v>1.24496039882192E-008</v>
      </c>
      <c r="CB100" s="27" t="n">
        <f aca="false">(CB34-INDEX(Mortality_Matrix!$B$4:$BS$64,MATCH($A100,Mortality_Matrix!$A$4:$A$64,0),MATCH(2090,Mortality_Matrix!$B$3:$BS$3,0)))/INDEX(Mortality_Matrix!$B$4:$BS$64,MATCH($A100,Mortality_Matrix!$A$4:$A$64,0),MATCH(2090,Mortality_Matrix!$B$3:$BS$3,0))</f>
        <v>4.64595776795481E-009</v>
      </c>
      <c r="CC100" s="27" t="n">
        <f aca="false">(CC34-INDEX(Mortality_Matrix!$B$4:$BS$64,MATCH($A100,Mortality_Matrix!$A$4:$A$64,0),MATCH(2091,Mortality_Matrix!$B$3:$BS$3,0)))/INDEX(Mortality_Matrix!$B$4:$BS$64,MATCH($A100,Mortality_Matrix!$A$4:$A$64,0),MATCH(2091,Mortality_Matrix!$B$3:$BS$3,0))</f>
        <v>-6.39356790035498E-009</v>
      </c>
    </row>
    <row r="101" customFormat="false" ht="15" hidden="false" customHeight="true" outlineLevel="0" collapsed="false">
      <c r="A101" s="3" t="n">
        <v>72</v>
      </c>
      <c r="L101" s="27" t="n">
        <f aca="false">(L35-INDEX(Mortality_Matrix!$B$4:$BS$64,MATCH($A101,Mortality_Matrix!$A$4:$A$64,0),MATCH(2022,Mortality_Matrix!$B$3:$BS$3,0)))/INDEX(Mortality_Matrix!$B$4:$BS$64,MATCH($A101,Mortality_Matrix!$A$4:$A$64,0),MATCH(2022,Mortality_Matrix!$B$3:$BS$3,0))</f>
        <v>-1.31431727705621E-009</v>
      </c>
      <c r="M101" s="27" t="n">
        <f aca="false">(M35-INDEX(Mortality_Matrix!$B$4:$BS$64,MATCH($A101,Mortality_Matrix!$A$4:$A$64,0),MATCH(2023,Mortality_Matrix!$B$3:$BS$3,0)))/INDEX(Mortality_Matrix!$B$4:$BS$64,MATCH($A101,Mortality_Matrix!$A$4:$A$64,0),MATCH(2023,Mortality_Matrix!$B$3:$BS$3,0))</f>
        <v>-2.29976829499183E-009</v>
      </c>
      <c r="N101" s="27" t="n">
        <f aca="false">(N35-INDEX(Mortality_Matrix!$B$4:$BS$64,MATCH($A101,Mortality_Matrix!$A$4:$A$64,0),MATCH(2024,Mortality_Matrix!$B$3:$BS$3,0)))/INDEX(Mortality_Matrix!$B$4:$BS$64,MATCH($A101,Mortality_Matrix!$A$4:$A$64,0),MATCH(2024,Mortality_Matrix!$B$3:$BS$3,0))</f>
        <v>9.16325995585286E-010</v>
      </c>
      <c r="O101" s="27" t="n">
        <f aca="false">(O35-INDEX(Mortality_Matrix!$B$4:$BS$64,MATCH($A101,Mortality_Matrix!$A$4:$A$64,0),MATCH(2025,Mortality_Matrix!$B$3:$BS$3,0)))/INDEX(Mortality_Matrix!$B$4:$BS$64,MATCH($A101,Mortality_Matrix!$A$4:$A$64,0),MATCH(2025,Mortality_Matrix!$B$3:$BS$3,0))</f>
        <v>2.57849294111605E-009</v>
      </c>
      <c r="P101" s="27" t="n">
        <f aca="false">(P35-INDEX(Mortality_Matrix!$B$4:$BS$64,MATCH($A101,Mortality_Matrix!$A$4:$A$64,0),MATCH(2026,Mortality_Matrix!$B$3:$BS$3,0)))/INDEX(Mortality_Matrix!$B$4:$BS$64,MATCH($A101,Mortality_Matrix!$A$4:$A$64,0),MATCH(2026,Mortality_Matrix!$B$3:$BS$3,0))</f>
        <v>2.68568742394145E-009</v>
      </c>
      <c r="Q101" s="27" t="n">
        <f aca="false">(Q35-INDEX(Mortality_Matrix!$B$4:$BS$64,MATCH($A101,Mortality_Matrix!$A$4:$A$64,0),MATCH(2027,Mortality_Matrix!$B$3:$BS$3,0)))/INDEX(Mortality_Matrix!$B$4:$BS$64,MATCH($A101,Mortality_Matrix!$A$4:$A$64,0),MATCH(2027,Mortality_Matrix!$B$3:$BS$3,0))</f>
        <v>1.16740337334161E-009</v>
      </c>
      <c r="R101" s="27" t="n">
        <f aca="false">(R35-INDEX(Mortality_Matrix!$B$4:$BS$64,MATCH($A101,Mortality_Matrix!$A$4:$A$64,0),MATCH(2028,Mortality_Matrix!$B$3:$BS$3,0)))/INDEX(Mortality_Matrix!$B$4:$BS$64,MATCH($A101,Mortality_Matrix!$A$4:$A$64,0),MATCH(2028,Mortality_Matrix!$B$3:$BS$3,0))</f>
        <v>-4.08856130956232E-009</v>
      </c>
      <c r="S101" s="27" t="n">
        <f aca="false">(S35-INDEX(Mortality_Matrix!$B$4:$BS$64,MATCH($A101,Mortality_Matrix!$A$4:$A$64,0),MATCH(2029,Mortality_Matrix!$B$3:$BS$3,0)))/INDEX(Mortality_Matrix!$B$4:$BS$64,MATCH($A101,Mortality_Matrix!$A$4:$A$64,0),MATCH(2029,Mortality_Matrix!$B$3:$BS$3,0))</f>
        <v>-2.26058401000712E-009</v>
      </c>
      <c r="T101" s="27" t="n">
        <f aca="false">(T35-INDEX(Mortality_Matrix!$B$4:$BS$64,MATCH($A101,Mortality_Matrix!$A$4:$A$64,0),MATCH(2030,Mortality_Matrix!$B$3:$BS$3,0)))/INDEX(Mortality_Matrix!$B$4:$BS$64,MATCH($A101,Mortality_Matrix!$A$4:$A$64,0),MATCH(2030,Mortality_Matrix!$B$3:$BS$3,0))</f>
        <v>-4.07535832204013E-009</v>
      </c>
      <c r="U101" s="27" t="n">
        <f aca="false">(U35-INDEX(Mortality_Matrix!$B$4:$BS$64,MATCH($A101,Mortality_Matrix!$A$4:$A$64,0),MATCH(2031,Mortality_Matrix!$B$3:$BS$3,0)))/INDEX(Mortality_Matrix!$B$4:$BS$64,MATCH($A101,Mortality_Matrix!$A$4:$A$64,0),MATCH(2031,Mortality_Matrix!$B$3:$BS$3,0))</f>
        <v>4.27192842209584E-009</v>
      </c>
      <c r="V101" s="27" t="n">
        <f aca="false">(V35-INDEX(Mortality_Matrix!$B$4:$BS$64,MATCH($A101,Mortality_Matrix!$A$4:$A$64,0),MATCH(2032,Mortality_Matrix!$B$3:$BS$3,0)))/INDEX(Mortality_Matrix!$B$4:$BS$64,MATCH($A101,Mortality_Matrix!$A$4:$A$64,0),MATCH(2032,Mortality_Matrix!$B$3:$BS$3,0))</f>
        <v>1.64072500191851E-009</v>
      </c>
      <c r="W101" s="27" t="n">
        <f aca="false">(W35-INDEX(Mortality_Matrix!$B$4:$BS$64,MATCH($A101,Mortality_Matrix!$A$4:$A$64,0),MATCH(2033,Mortality_Matrix!$B$3:$BS$3,0)))/INDEX(Mortality_Matrix!$B$4:$BS$64,MATCH($A101,Mortality_Matrix!$A$4:$A$64,0),MATCH(2033,Mortality_Matrix!$B$3:$BS$3,0))</f>
        <v>1.75120373227681E-009</v>
      </c>
      <c r="X101" s="27" t="n">
        <f aca="false">(X35-INDEX(Mortality_Matrix!$B$4:$BS$64,MATCH($A101,Mortality_Matrix!$A$4:$A$64,0),MATCH(2034,Mortality_Matrix!$B$3:$BS$3,0)))/INDEX(Mortality_Matrix!$B$4:$BS$64,MATCH($A101,Mortality_Matrix!$A$4:$A$64,0),MATCH(2034,Mortality_Matrix!$B$3:$BS$3,0))</f>
        <v>-7.02137426801247E-010</v>
      </c>
      <c r="Y101" s="27" t="n">
        <f aca="false">(Y35-INDEX(Mortality_Matrix!$B$4:$BS$64,MATCH($A101,Mortality_Matrix!$A$4:$A$64,0),MATCH(2035,Mortality_Matrix!$B$3:$BS$3,0)))/INDEX(Mortality_Matrix!$B$4:$BS$64,MATCH($A101,Mortality_Matrix!$A$4:$A$64,0),MATCH(2035,Mortality_Matrix!$B$3:$BS$3,0))</f>
        <v>-3.96593885274563E-009</v>
      </c>
      <c r="Z101" s="27" t="n">
        <f aca="false">(Z35-INDEX(Mortality_Matrix!$B$4:$BS$64,MATCH($A101,Mortality_Matrix!$A$4:$A$64,0),MATCH(2036,Mortality_Matrix!$B$3:$BS$3,0)))/INDEX(Mortality_Matrix!$B$4:$BS$64,MATCH($A101,Mortality_Matrix!$A$4:$A$64,0),MATCH(2036,Mortality_Matrix!$B$3:$BS$3,0))</f>
        <v>2.56065998735844E-009</v>
      </c>
      <c r="AA101" s="27" t="n">
        <f aca="false">(AA35-INDEX(Mortality_Matrix!$B$4:$BS$64,MATCH($A101,Mortality_Matrix!$A$4:$A$64,0),MATCH(2037,Mortality_Matrix!$B$3:$BS$3,0)))/INDEX(Mortality_Matrix!$B$4:$BS$64,MATCH($A101,Mortality_Matrix!$A$4:$A$64,0),MATCH(2037,Mortality_Matrix!$B$3:$BS$3,0))</f>
        <v>4.65039495727769E-009</v>
      </c>
      <c r="AB101" s="27" t="n">
        <f aca="false">(AB35-INDEX(Mortality_Matrix!$B$4:$BS$64,MATCH($A101,Mortality_Matrix!$A$4:$A$64,0),MATCH(2038,Mortality_Matrix!$B$3:$BS$3,0)))/INDEX(Mortality_Matrix!$B$4:$BS$64,MATCH($A101,Mortality_Matrix!$A$4:$A$64,0),MATCH(2038,Mortality_Matrix!$B$3:$BS$3,0))</f>
        <v>-4.20646766098794E-010</v>
      </c>
      <c r="AC101" s="27" t="n">
        <f aca="false">(AC35-INDEX(Mortality_Matrix!$B$4:$BS$64,MATCH($A101,Mortality_Matrix!$A$4:$A$64,0),MATCH(2039,Mortality_Matrix!$B$3:$BS$3,0)))/INDEX(Mortality_Matrix!$B$4:$BS$64,MATCH($A101,Mortality_Matrix!$A$4:$A$64,0),MATCH(2039,Mortality_Matrix!$B$3:$BS$3,0))</f>
        <v>-3.78277968820941E-009</v>
      </c>
      <c r="AD101" s="27" t="n">
        <f aca="false">(AD35-INDEX(Mortality_Matrix!$B$4:$BS$64,MATCH($A101,Mortality_Matrix!$A$4:$A$64,0),MATCH(2040,Mortality_Matrix!$B$3:$BS$3,0)))/INDEX(Mortality_Matrix!$B$4:$BS$64,MATCH($A101,Mortality_Matrix!$A$4:$A$64,0),MATCH(2040,Mortality_Matrix!$B$3:$BS$3,0))</f>
        <v>4.43055220539906E-009</v>
      </c>
      <c r="AE101" s="27" t="n">
        <f aca="false">(AE35-INDEX(Mortality_Matrix!$B$4:$BS$64,MATCH($A101,Mortality_Matrix!$A$4:$A$64,0),MATCH(2041,Mortality_Matrix!$B$3:$BS$3,0)))/INDEX(Mortality_Matrix!$B$4:$BS$64,MATCH($A101,Mortality_Matrix!$A$4:$A$64,0),MATCH(2041,Mortality_Matrix!$B$3:$BS$3,0))</f>
        <v>1.83156785671056E-009</v>
      </c>
      <c r="AF101" s="27" t="n">
        <f aca="false">(AF35-INDEX(Mortality_Matrix!$B$4:$BS$64,MATCH($A101,Mortality_Matrix!$A$4:$A$64,0),MATCH(2042,Mortality_Matrix!$B$3:$BS$3,0)))/INDEX(Mortality_Matrix!$B$4:$BS$64,MATCH($A101,Mortality_Matrix!$A$4:$A$64,0),MATCH(2042,Mortality_Matrix!$B$3:$BS$3,0))</f>
        <v>-3.55549787471516E-009</v>
      </c>
      <c r="AG101" s="27" t="n">
        <f aca="false">(AG35-INDEX(Mortality_Matrix!$B$4:$BS$64,MATCH($A101,Mortality_Matrix!$A$4:$A$64,0),MATCH(2043,Mortality_Matrix!$B$3:$BS$3,0)))/INDEX(Mortality_Matrix!$B$4:$BS$64,MATCH($A101,Mortality_Matrix!$A$4:$A$64,0),MATCH(2043,Mortality_Matrix!$B$3:$BS$3,0))</f>
        <v>-5.22971291350154E-009</v>
      </c>
      <c r="AH101" s="27" t="n">
        <f aca="false">(AH35-INDEX(Mortality_Matrix!$B$4:$BS$64,MATCH($A101,Mortality_Matrix!$A$4:$A$64,0),MATCH(2044,Mortality_Matrix!$B$3:$BS$3,0)))/INDEX(Mortality_Matrix!$B$4:$BS$64,MATCH($A101,Mortality_Matrix!$A$4:$A$64,0),MATCH(2044,Mortality_Matrix!$B$3:$BS$3,0))</f>
        <v>8.32588402031012E-010</v>
      </c>
      <c r="AI101" s="27" t="n">
        <f aca="false">(AI35-INDEX(Mortality_Matrix!$B$4:$BS$64,MATCH($A101,Mortality_Matrix!$A$4:$A$64,0),MATCH(2045,Mortality_Matrix!$B$3:$BS$3,0)))/INDEX(Mortality_Matrix!$B$4:$BS$64,MATCH($A101,Mortality_Matrix!$A$4:$A$64,0),MATCH(2045,Mortality_Matrix!$B$3:$BS$3,0))</f>
        <v>3.65105942775407E-009</v>
      </c>
      <c r="AJ101" s="27" t="n">
        <f aca="false">(AJ35-INDEX(Mortality_Matrix!$B$4:$BS$64,MATCH($A101,Mortality_Matrix!$A$4:$A$64,0),MATCH(2046,Mortality_Matrix!$B$3:$BS$3,0)))/INDEX(Mortality_Matrix!$B$4:$BS$64,MATCH($A101,Mortality_Matrix!$A$4:$A$64,0),MATCH(2046,Mortality_Matrix!$B$3:$BS$3,0))</f>
        <v>-1.37097563984041E-009</v>
      </c>
      <c r="AK101" s="27" t="n">
        <f aca="false">(AK35-INDEX(Mortality_Matrix!$B$4:$BS$64,MATCH($A101,Mortality_Matrix!$A$4:$A$64,0),MATCH(2047,Mortality_Matrix!$B$3:$BS$3,0)))/INDEX(Mortality_Matrix!$B$4:$BS$64,MATCH($A101,Mortality_Matrix!$A$4:$A$64,0),MATCH(2047,Mortality_Matrix!$B$3:$BS$3,0))</f>
        <v>-8.96695437678507E-010</v>
      </c>
      <c r="AL101" s="27" t="n">
        <f aca="false">(AL35-INDEX(Mortality_Matrix!$B$4:$BS$64,MATCH($A101,Mortality_Matrix!$A$4:$A$64,0),MATCH(2048,Mortality_Matrix!$B$3:$BS$3,0)))/INDEX(Mortality_Matrix!$B$4:$BS$64,MATCH($A101,Mortality_Matrix!$A$4:$A$64,0),MATCH(2048,Mortality_Matrix!$B$3:$BS$3,0))</f>
        <v>7.88564384722678E-010</v>
      </c>
      <c r="AM101" s="27" t="n">
        <f aca="false">(AM35-INDEX(Mortality_Matrix!$B$4:$BS$64,MATCH($A101,Mortality_Matrix!$A$4:$A$64,0),MATCH(2049,Mortality_Matrix!$B$3:$BS$3,0)))/INDEX(Mortality_Matrix!$B$4:$BS$64,MATCH($A101,Mortality_Matrix!$A$4:$A$64,0),MATCH(2049,Mortality_Matrix!$B$3:$BS$3,0))</f>
        <v>4.02709824894486E-009</v>
      </c>
      <c r="AN101" s="27" t="n">
        <f aca="false">(AN35-INDEX(Mortality_Matrix!$B$4:$BS$64,MATCH($A101,Mortality_Matrix!$A$4:$A$64,0),MATCH(2050,Mortality_Matrix!$B$3:$BS$3,0)))/INDEX(Mortality_Matrix!$B$4:$BS$64,MATCH($A101,Mortality_Matrix!$A$4:$A$64,0),MATCH(2050,Mortality_Matrix!$B$3:$BS$3,0))</f>
        <v>9.25351371967918E-010</v>
      </c>
      <c r="AO101" s="27" t="n">
        <f aca="false">(AO35-INDEX(Mortality_Matrix!$B$4:$BS$64,MATCH($A101,Mortality_Matrix!$A$4:$A$64,0),MATCH(2051,Mortality_Matrix!$B$3:$BS$3,0)))/INDEX(Mortality_Matrix!$B$4:$BS$64,MATCH($A101,Mortality_Matrix!$A$4:$A$64,0),MATCH(2051,Mortality_Matrix!$B$3:$BS$3,0))</f>
        <v>-9.01057894575467E-010</v>
      </c>
      <c r="AP101" s="27" t="n">
        <f aca="false">(AP35-INDEX(Mortality_Matrix!$B$4:$BS$64,MATCH($A101,Mortality_Matrix!$A$4:$A$64,0),MATCH(2052,Mortality_Matrix!$B$3:$BS$3,0)))/INDEX(Mortality_Matrix!$B$4:$BS$64,MATCH($A101,Mortality_Matrix!$A$4:$A$64,0),MATCH(2052,Mortality_Matrix!$B$3:$BS$3,0))</f>
        <v>-3.52254505157387E-009</v>
      </c>
      <c r="AQ101" s="27" t="n">
        <f aca="false">(AQ35-INDEX(Mortality_Matrix!$B$4:$BS$64,MATCH($A101,Mortality_Matrix!$A$4:$A$64,0),MATCH(2053,Mortality_Matrix!$B$3:$BS$3,0)))/INDEX(Mortality_Matrix!$B$4:$BS$64,MATCH($A101,Mortality_Matrix!$A$4:$A$64,0),MATCH(2053,Mortality_Matrix!$B$3:$BS$3,0))</f>
        <v>5.69501541988397E-009</v>
      </c>
      <c r="AR101" s="27" t="n">
        <f aca="false">(AR35-INDEX(Mortality_Matrix!$B$4:$BS$64,MATCH($A101,Mortality_Matrix!$A$4:$A$64,0),MATCH(2054,Mortality_Matrix!$B$3:$BS$3,0)))/INDEX(Mortality_Matrix!$B$4:$BS$64,MATCH($A101,Mortality_Matrix!$A$4:$A$64,0),MATCH(2054,Mortality_Matrix!$B$3:$BS$3,0))</f>
        <v>1.67505973560404E-009</v>
      </c>
      <c r="AS101" s="27" t="n">
        <f aca="false">(AS35-INDEX(Mortality_Matrix!$B$4:$BS$64,MATCH($A101,Mortality_Matrix!$A$4:$A$64,0),MATCH(2055,Mortality_Matrix!$B$3:$BS$3,0)))/INDEX(Mortality_Matrix!$B$4:$BS$64,MATCH($A101,Mortality_Matrix!$A$4:$A$64,0),MATCH(2055,Mortality_Matrix!$B$3:$BS$3,0))</f>
        <v>-1.80397317737374E-009</v>
      </c>
      <c r="AT101" s="27" t="n">
        <f aca="false">(AT35-INDEX(Mortality_Matrix!$B$4:$BS$64,MATCH($A101,Mortality_Matrix!$A$4:$A$64,0),MATCH(2056,Mortality_Matrix!$B$3:$BS$3,0)))/INDEX(Mortality_Matrix!$B$4:$BS$64,MATCH($A101,Mortality_Matrix!$A$4:$A$64,0),MATCH(2056,Mortality_Matrix!$B$3:$BS$3,0))</f>
        <v>-4.24921303134951E-009</v>
      </c>
      <c r="AU101" s="27" t="n">
        <f aca="false">(AU35-INDEX(Mortality_Matrix!$B$4:$BS$64,MATCH($A101,Mortality_Matrix!$A$4:$A$64,0),MATCH(2057,Mortality_Matrix!$B$3:$BS$3,0)))/INDEX(Mortality_Matrix!$B$4:$BS$64,MATCH($A101,Mortality_Matrix!$A$4:$A$64,0),MATCH(2057,Mortality_Matrix!$B$3:$BS$3,0))</f>
        <v>-6.52481704441477E-009</v>
      </c>
      <c r="AV101" s="27" t="n">
        <f aca="false">(AV35-INDEX(Mortality_Matrix!$B$4:$BS$64,MATCH($A101,Mortality_Matrix!$A$4:$A$64,0),MATCH(2058,Mortality_Matrix!$B$3:$BS$3,0)))/INDEX(Mortality_Matrix!$B$4:$BS$64,MATCH($A101,Mortality_Matrix!$A$4:$A$64,0),MATCH(2058,Mortality_Matrix!$B$3:$BS$3,0))</f>
        <v>2.22615940888219E-009</v>
      </c>
      <c r="AW101" s="27" t="n">
        <f aca="false">(AW35-INDEX(Mortality_Matrix!$B$4:$BS$64,MATCH($A101,Mortality_Matrix!$A$4:$A$64,0),MATCH(2059,Mortality_Matrix!$B$3:$BS$3,0)))/INDEX(Mortality_Matrix!$B$4:$BS$64,MATCH($A101,Mortality_Matrix!$A$4:$A$64,0),MATCH(2059,Mortality_Matrix!$B$3:$BS$3,0))</f>
        <v>2.01293765151356E-009</v>
      </c>
      <c r="AX101" s="27" t="n">
        <f aca="false">(AX35-INDEX(Mortality_Matrix!$B$4:$BS$64,MATCH($A101,Mortality_Matrix!$A$4:$A$64,0),MATCH(2060,Mortality_Matrix!$B$3:$BS$3,0)))/INDEX(Mortality_Matrix!$B$4:$BS$64,MATCH($A101,Mortality_Matrix!$A$4:$A$64,0),MATCH(2060,Mortality_Matrix!$B$3:$BS$3,0))</f>
        <v>-3.47093846652811E-009</v>
      </c>
      <c r="AY101" s="27" t="n">
        <f aca="false">(AY35-INDEX(Mortality_Matrix!$B$4:$BS$64,MATCH($A101,Mortality_Matrix!$A$4:$A$64,0),MATCH(2061,Mortality_Matrix!$B$3:$BS$3,0)))/INDEX(Mortality_Matrix!$B$4:$BS$64,MATCH($A101,Mortality_Matrix!$A$4:$A$64,0),MATCH(2061,Mortality_Matrix!$B$3:$BS$3,0))</f>
        <v>-4.67479739711059E-010</v>
      </c>
      <c r="AZ101" s="27" t="n">
        <f aca="false">(AZ35-INDEX(Mortality_Matrix!$B$4:$BS$64,MATCH($A101,Mortality_Matrix!$A$4:$A$64,0),MATCH(2062,Mortality_Matrix!$B$3:$BS$3,0)))/INDEX(Mortality_Matrix!$B$4:$BS$64,MATCH($A101,Mortality_Matrix!$A$4:$A$64,0),MATCH(2062,Mortality_Matrix!$B$3:$BS$3,0))</f>
        <v>5.0359484045748E-009</v>
      </c>
      <c r="BA101" s="27" t="n">
        <f aca="false">(BA35-INDEX(Mortality_Matrix!$B$4:$BS$64,MATCH($A101,Mortality_Matrix!$A$4:$A$64,0),MATCH(2063,Mortality_Matrix!$B$3:$BS$3,0)))/INDEX(Mortality_Matrix!$B$4:$BS$64,MATCH($A101,Mortality_Matrix!$A$4:$A$64,0),MATCH(2063,Mortality_Matrix!$B$3:$BS$3,0))</f>
        <v>5.27373030789511E-011</v>
      </c>
      <c r="BB101" s="27" t="n">
        <f aca="false">(BB35-INDEX(Mortality_Matrix!$B$4:$BS$64,MATCH($A101,Mortality_Matrix!$A$4:$A$64,0),MATCH(2064,Mortality_Matrix!$B$3:$BS$3,0)))/INDEX(Mortality_Matrix!$B$4:$BS$64,MATCH($A101,Mortality_Matrix!$A$4:$A$64,0),MATCH(2064,Mortality_Matrix!$B$3:$BS$3,0))</f>
        <v>-6.07950215997756E-009</v>
      </c>
      <c r="BC101" s="27" t="n">
        <f aca="false">(BC35-INDEX(Mortality_Matrix!$B$4:$BS$64,MATCH($A101,Mortality_Matrix!$A$4:$A$64,0),MATCH(2065,Mortality_Matrix!$B$3:$BS$3,0)))/INDEX(Mortality_Matrix!$B$4:$BS$64,MATCH($A101,Mortality_Matrix!$A$4:$A$64,0),MATCH(2065,Mortality_Matrix!$B$3:$BS$3,0))</f>
        <v>3.64803508313195E-009</v>
      </c>
      <c r="BD101" s="27" t="n">
        <f aca="false">(BD35-INDEX(Mortality_Matrix!$B$4:$BS$64,MATCH($A101,Mortality_Matrix!$A$4:$A$64,0),MATCH(2066,Mortality_Matrix!$B$3:$BS$3,0)))/INDEX(Mortality_Matrix!$B$4:$BS$64,MATCH($A101,Mortality_Matrix!$A$4:$A$64,0),MATCH(2066,Mortality_Matrix!$B$3:$BS$3,0))</f>
        <v>6.25521264864909E-009</v>
      </c>
      <c r="BE101" s="27" t="n">
        <f aca="false">(BE35-INDEX(Mortality_Matrix!$B$4:$BS$64,MATCH($A101,Mortality_Matrix!$A$4:$A$64,0),MATCH(2067,Mortality_Matrix!$B$3:$BS$3,0)))/INDEX(Mortality_Matrix!$B$4:$BS$64,MATCH($A101,Mortality_Matrix!$A$4:$A$64,0),MATCH(2067,Mortality_Matrix!$B$3:$BS$3,0))</f>
        <v>-9.63552991583531E-010</v>
      </c>
      <c r="BF101" s="27" t="n">
        <f aca="false">(BF35-INDEX(Mortality_Matrix!$B$4:$BS$64,MATCH($A101,Mortality_Matrix!$A$4:$A$64,0),MATCH(2068,Mortality_Matrix!$B$3:$BS$3,0)))/INDEX(Mortality_Matrix!$B$4:$BS$64,MATCH($A101,Mortality_Matrix!$A$4:$A$64,0),MATCH(2068,Mortality_Matrix!$B$3:$BS$3,0))</f>
        <v>3.39326259409399E-010</v>
      </c>
      <c r="BG101" s="27" t="n">
        <f aca="false">(BG35-INDEX(Mortality_Matrix!$B$4:$BS$64,MATCH($A101,Mortality_Matrix!$A$4:$A$64,0),MATCH(2069,Mortality_Matrix!$B$3:$BS$3,0)))/INDEX(Mortality_Matrix!$B$4:$BS$64,MATCH($A101,Mortality_Matrix!$A$4:$A$64,0),MATCH(2069,Mortality_Matrix!$B$3:$BS$3,0))</f>
        <v>7.52676392727431E-010</v>
      </c>
      <c r="BH101" s="27" t="n">
        <f aca="false">(BH35-INDEX(Mortality_Matrix!$B$4:$BS$64,MATCH($A101,Mortality_Matrix!$A$4:$A$64,0),MATCH(2070,Mortality_Matrix!$B$3:$BS$3,0)))/INDEX(Mortality_Matrix!$B$4:$BS$64,MATCH($A101,Mortality_Matrix!$A$4:$A$64,0),MATCH(2070,Mortality_Matrix!$B$3:$BS$3,0))</f>
        <v>-6.29735468936754E-009</v>
      </c>
      <c r="BI101" s="27" t="n">
        <f aca="false">(BI35-INDEX(Mortality_Matrix!$B$4:$BS$64,MATCH($A101,Mortality_Matrix!$A$4:$A$64,0),MATCH(2071,Mortality_Matrix!$B$3:$BS$3,0)))/INDEX(Mortality_Matrix!$B$4:$BS$64,MATCH($A101,Mortality_Matrix!$A$4:$A$64,0),MATCH(2071,Mortality_Matrix!$B$3:$BS$3,0))</f>
        <v>-8.08670263252048E-009</v>
      </c>
      <c r="BJ101" s="27" t="n">
        <f aca="false">(BJ35-INDEX(Mortality_Matrix!$B$4:$BS$64,MATCH($A101,Mortality_Matrix!$A$4:$A$64,0),MATCH(2072,Mortality_Matrix!$B$3:$BS$3,0)))/INDEX(Mortality_Matrix!$B$4:$BS$64,MATCH($A101,Mortality_Matrix!$A$4:$A$64,0),MATCH(2072,Mortality_Matrix!$B$3:$BS$3,0))</f>
        <v>-6.52961953877837E-009</v>
      </c>
      <c r="BK101" s="27" t="n">
        <f aca="false">(BK35-INDEX(Mortality_Matrix!$B$4:$BS$64,MATCH($A101,Mortality_Matrix!$A$4:$A$64,0),MATCH(2073,Mortality_Matrix!$B$3:$BS$3,0)))/INDEX(Mortality_Matrix!$B$4:$BS$64,MATCH($A101,Mortality_Matrix!$A$4:$A$64,0),MATCH(2073,Mortality_Matrix!$B$3:$BS$3,0))</f>
        <v>-2.57763207684226E-009</v>
      </c>
      <c r="BL101" s="27" t="n">
        <f aca="false">(BL35-INDEX(Mortality_Matrix!$B$4:$BS$64,MATCH($A101,Mortality_Matrix!$A$4:$A$64,0),MATCH(2074,Mortality_Matrix!$B$3:$BS$3,0)))/INDEX(Mortality_Matrix!$B$4:$BS$64,MATCH($A101,Mortality_Matrix!$A$4:$A$64,0),MATCH(2074,Mortality_Matrix!$B$3:$BS$3,0))</f>
        <v>3.039405964795E-009</v>
      </c>
      <c r="BM101" s="27" t="n">
        <f aca="false">(BM35-INDEX(Mortality_Matrix!$B$4:$BS$64,MATCH($A101,Mortality_Matrix!$A$4:$A$64,0),MATCH(2075,Mortality_Matrix!$B$3:$BS$3,0)))/INDEX(Mortality_Matrix!$B$4:$BS$64,MATCH($A101,Mortality_Matrix!$A$4:$A$64,0),MATCH(2075,Mortality_Matrix!$B$3:$BS$3,0))</f>
        <v>9.01353400353851E-009</v>
      </c>
      <c r="BN101" s="27" t="n">
        <f aca="false">(BN35-INDEX(Mortality_Matrix!$B$4:$BS$64,MATCH($A101,Mortality_Matrix!$A$4:$A$64,0),MATCH(2076,Mortality_Matrix!$B$3:$BS$3,0)))/INDEX(Mortality_Matrix!$B$4:$BS$64,MATCH($A101,Mortality_Matrix!$A$4:$A$64,0),MATCH(2076,Mortality_Matrix!$B$3:$BS$3,0))</f>
        <v>-5.78164533989676E-009</v>
      </c>
      <c r="BO101" s="27" t="n">
        <f aca="false">(BO35-INDEX(Mortality_Matrix!$B$4:$BS$64,MATCH($A101,Mortality_Matrix!$A$4:$A$64,0),MATCH(2077,Mortality_Matrix!$B$3:$BS$3,0)))/INDEX(Mortality_Matrix!$B$4:$BS$64,MATCH($A101,Mortality_Matrix!$A$4:$A$64,0),MATCH(2077,Mortality_Matrix!$B$3:$BS$3,0))</f>
        <v>8.6790714194471E-009</v>
      </c>
      <c r="BP101" s="27" t="n">
        <f aca="false">(BP35-INDEX(Mortality_Matrix!$B$4:$BS$64,MATCH($A101,Mortality_Matrix!$A$4:$A$64,0),MATCH(2078,Mortality_Matrix!$B$3:$BS$3,0)))/INDEX(Mortality_Matrix!$B$4:$BS$64,MATCH($A101,Mortality_Matrix!$A$4:$A$64,0),MATCH(2078,Mortality_Matrix!$B$3:$BS$3,0))</f>
        <v>7.73191459102823E-009</v>
      </c>
      <c r="BQ101" s="27" t="n">
        <f aca="false">(BQ35-INDEX(Mortality_Matrix!$B$4:$BS$64,MATCH($A101,Mortality_Matrix!$A$4:$A$64,0),MATCH(2079,Mortality_Matrix!$B$3:$BS$3,0)))/INDEX(Mortality_Matrix!$B$4:$BS$64,MATCH($A101,Mortality_Matrix!$A$4:$A$64,0),MATCH(2079,Mortality_Matrix!$B$3:$BS$3,0))</f>
        <v>-2.26852307807114E-009</v>
      </c>
      <c r="BR101" s="27" t="n">
        <f aca="false">(BR35-INDEX(Mortality_Matrix!$B$4:$BS$64,MATCH($A101,Mortality_Matrix!$A$4:$A$64,0),MATCH(2080,Mortality_Matrix!$B$3:$BS$3,0)))/INDEX(Mortality_Matrix!$B$4:$BS$64,MATCH($A101,Mortality_Matrix!$A$4:$A$64,0),MATCH(2080,Mortality_Matrix!$B$3:$BS$3,0))</f>
        <v>1.72036586040878E-010</v>
      </c>
      <c r="BS101" s="27" t="n">
        <f aca="false">(BS35-INDEX(Mortality_Matrix!$B$4:$BS$64,MATCH($A101,Mortality_Matrix!$A$4:$A$64,0),MATCH(2081,Mortality_Matrix!$B$3:$BS$3,0)))/INDEX(Mortality_Matrix!$B$4:$BS$64,MATCH($A101,Mortality_Matrix!$A$4:$A$64,0),MATCH(2081,Mortality_Matrix!$B$3:$BS$3,0))</f>
        <v>-7.45935822999511E-009</v>
      </c>
      <c r="BT101" s="27" t="n">
        <f aca="false">(BT35-INDEX(Mortality_Matrix!$B$4:$BS$64,MATCH($A101,Mortality_Matrix!$A$4:$A$64,0),MATCH(2082,Mortality_Matrix!$B$3:$BS$3,0)))/INDEX(Mortality_Matrix!$B$4:$BS$64,MATCH($A101,Mortality_Matrix!$A$4:$A$64,0),MATCH(2082,Mortality_Matrix!$B$3:$BS$3,0))</f>
        <v>4.71545580553253E-009</v>
      </c>
      <c r="BU101" s="27" t="n">
        <f aca="false">(BU35-INDEX(Mortality_Matrix!$B$4:$BS$64,MATCH($A101,Mortality_Matrix!$A$4:$A$64,0),MATCH(2083,Mortality_Matrix!$B$3:$BS$3,0)))/INDEX(Mortality_Matrix!$B$4:$BS$64,MATCH($A101,Mortality_Matrix!$A$4:$A$64,0),MATCH(2083,Mortality_Matrix!$B$3:$BS$3,0))</f>
        <v>-3.92072025712743E-010</v>
      </c>
      <c r="BV101" s="27" t="n">
        <f aca="false">(BV35-INDEX(Mortality_Matrix!$B$4:$BS$64,MATCH($A101,Mortality_Matrix!$A$4:$A$64,0),MATCH(2084,Mortality_Matrix!$B$3:$BS$3,0)))/INDEX(Mortality_Matrix!$B$4:$BS$64,MATCH($A101,Mortality_Matrix!$A$4:$A$64,0),MATCH(2084,Mortality_Matrix!$B$3:$BS$3,0))</f>
        <v>-8.37744555562707E-009</v>
      </c>
      <c r="BW101" s="27" t="n">
        <f aca="false">(BW35-INDEX(Mortality_Matrix!$B$4:$BS$64,MATCH($A101,Mortality_Matrix!$A$4:$A$64,0),MATCH(2085,Mortality_Matrix!$B$3:$BS$3,0)))/INDEX(Mortality_Matrix!$B$4:$BS$64,MATCH($A101,Mortality_Matrix!$A$4:$A$64,0),MATCH(2085,Mortality_Matrix!$B$3:$BS$3,0))</f>
        <v>7.73122541355077E-009</v>
      </c>
      <c r="BX101" s="27" t="n">
        <f aca="false">(BX35-INDEX(Mortality_Matrix!$B$4:$BS$64,MATCH($A101,Mortality_Matrix!$A$4:$A$64,0),MATCH(2086,Mortality_Matrix!$B$3:$BS$3,0)))/INDEX(Mortality_Matrix!$B$4:$BS$64,MATCH($A101,Mortality_Matrix!$A$4:$A$64,0),MATCH(2086,Mortality_Matrix!$B$3:$BS$3,0))</f>
        <v>2.06612115176382E-009</v>
      </c>
      <c r="BY101" s="27" t="n">
        <f aca="false">(BY35-INDEX(Mortality_Matrix!$B$4:$BS$64,MATCH($A101,Mortality_Matrix!$A$4:$A$64,0),MATCH(2087,Mortality_Matrix!$B$3:$BS$3,0)))/INDEX(Mortality_Matrix!$B$4:$BS$64,MATCH($A101,Mortality_Matrix!$A$4:$A$64,0),MATCH(2087,Mortality_Matrix!$B$3:$BS$3,0))</f>
        <v>1.41502193504875E-009</v>
      </c>
      <c r="BZ101" s="27" t="n">
        <f aca="false">(BZ35-INDEX(Mortality_Matrix!$B$4:$BS$64,MATCH($A101,Mortality_Matrix!$A$4:$A$64,0),MATCH(2088,Mortality_Matrix!$B$3:$BS$3,0)))/INDEX(Mortality_Matrix!$B$4:$BS$64,MATCH($A101,Mortality_Matrix!$A$4:$A$64,0),MATCH(2088,Mortality_Matrix!$B$3:$BS$3,0))</f>
        <v>-1.27344594298476E-010</v>
      </c>
      <c r="CA101" s="27" t="n">
        <f aca="false">(CA35-INDEX(Mortality_Matrix!$B$4:$BS$64,MATCH($A101,Mortality_Matrix!$A$4:$A$64,0),MATCH(2089,Mortality_Matrix!$B$3:$BS$3,0)))/INDEX(Mortality_Matrix!$B$4:$BS$64,MATCH($A101,Mortality_Matrix!$A$4:$A$64,0),MATCH(2089,Mortality_Matrix!$B$3:$BS$3,0))</f>
        <v>2.08195600843693E-010</v>
      </c>
      <c r="CB101" s="27" t="n">
        <f aca="false">(CB35-INDEX(Mortality_Matrix!$B$4:$BS$64,MATCH($A101,Mortality_Matrix!$A$4:$A$64,0),MATCH(2090,Mortality_Matrix!$B$3:$BS$3,0)))/INDEX(Mortality_Matrix!$B$4:$BS$64,MATCH($A101,Mortality_Matrix!$A$4:$A$64,0),MATCH(2090,Mortality_Matrix!$B$3:$BS$3,0))</f>
        <v>-8.98935395344718E-009</v>
      </c>
      <c r="CC101" s="27" t="n">
        <f aca="false">(CC35-INDEX(Mortality_Matrix!$B$4:$BS$64,MATCH($A101,Mortality_Matrix!$A$4:$A$64,0),MATCH(2091,Mortality_Matrix!$B$3:$BS$3,0)))/INDEX(Mortality_Matrix!$B$4:$BS$64,MATCH($A101,Mortality_Matrix!$A$4:$A$64,0),MATCH(2091,Mortality_Matrix!$B$3:$BS$3,0))</f>
        <v>-9.10463309865791E-009</v>
      </c>
    </row>
    <row r="102" customFormat="false" ht="15" hidden="false" customHeight="true" outlineLevel="0" collapsed="false">
      <c r="A102" s="3" t="n">
        <v>73</v>
      </c>
      <c r="L102" s="27" t="n">
        <f aca="false">(L36-INDEX(Mortality_Matrix!$B$4:$BS$64,MATCH($A102,Mortality_Matrix!$A$4:$A$64,0),MATCH(2022,Mortality_Matrix!$B$3:$BS$3,0)))/INDEX(Mortality_Matrix!$B$4:$BS$64,MATCH($A102,Mortality_Matrix!$A$4:$A$64,0),MATCH(2022,Mortality_Matrix!$B$3:$BS$3,0))</f>
        <v>-8.18922673231013E-010</v>
      </c>
      <c r="M102" s="27" t="n">
        <f aca="false">(M36-INDEX(Mortality_Matrix!$B$4:$BS$64,MATCH($A102,Mortality_Matrix!$A$4:$A$64,0),MATCH(2023,Mortality_Matrix!$B$3:$BS$3,0)))/INDEX(Mortality_Matrix!$B$4:$BS$64,MATCH($A102,Mortality_Matrix!$A$4:$A$64,0),MATCH(2023,Mortality_Matrix!$B$3:$BS$3,0))</f>
        <v>-3.19668528788424E-009</v>
      </c>
      <c r="N102" s="27" t="n">
        <f aca="false">(N36-INDEX(Mortality_Matrix!$B$4:$BS$64,MATCH($A102,Mortality_Matrix!$A$4:$A$64,0),MATCH(2024,Mortality_Matrix!$B$3:$BS$3,0)))/INDEX(Mortality_Matrix!$B$4:$BS$64,MATCH($A102,Mortality_Matrix!$A$4:$A$64,0),MATCH(2024,Mortality_Matrix!$B$3:$BS$3,0))</f>
        <v>5.20672598585362E-010</v>
      </c>
      <c r="O102" s="27" t="n">
        <f aca="false">(O36-INDEX(Mortality_Matrix!$B$4:$BS$64,MATCH($A102,Mortality_Matrix!$A$4:$A$64,0),MATCH(2025,Mortality_Matrix!$B$3:$BS$3,0)))/INDEX(Mortality_Matrix!$B$4:$BS$64,MATCH($A102,Mortality_Matrix!$A$4:$A$64,0),MATCH(2025,Mortality_Matrix!$B$3:$BS$3,0))</f>
        <v>2.25801287898689E-009</v>
      </c>
      <c r="P102" s="27" t="n">
        <f aca="false">(P36-INDEX(Mortality_Matrix!$B$4:$BS$64,MATCH($A102,Mortality_Matrix!$A$4:$A$64,0),MATCH(2026,Mortality_Matrix!$B$3:$BS$3,0)))/INDEX(Mortality_Matrix!$B$4:$BS$64,MATCH($A102,Mortality_Matrix!$A$4:$A$64,0),MATCH(2026,Mortality_Matrix!$B$3:$BS$3,0))</f>
        <v>7.36169126321389E-010</v>
      </c>
      <c r="Q102" s="27" t="n">
        <f aca="false">(Q36-INDEX(Mortality_Matrix!$B$4:$BS$64,MATCH($A102,Mortality_Matrix!$A$4:$A$64,0),MATCH(2027,Mortality_Matrix!$B$3:$BS$3,0)))/INDEX(Mortality_Matrix!$B$4:$BS$64,MATCH($A102,Mortality_Matrix!$A$4:$A$64,0),MATCH(2027,Mortality_Matrix!$B$3:$BS$3,0))</f>
        <v>2.15311656327231E-009</v>
      </c>
      <c r="R102" s="27" t="n">
        <f aca="false">(R36-INDEX(Mortality_Matrix!$B$4:$BS$64,MATCH($A102,Mortality_Matrix!$A$4:$A$64,0),MATCH(2028,Mortality_Matrix!$B$3:$BS$3,0)))/INDEX(Mortality_Matrix!$B$4:$BS$64,MATCH($A102,Mortality_Matrix!$A$4:$A$64,0),MATCH(2028,Mortality_Matrix!$B$3:$BS$3,0))</f>
        <v>-3.47033443630496E-009</v>
      </c>
      <c r="S102" s="27" t="n">
        <f aca="false">(S36-INDEX(Mortality_Matrix!$B$4:$BS$64,MATCH($A102,Mortality_Matrix!$A$4:$A$64,0),MATCH(2029,Mortality_Matrix!$B$3:$BS$3,0)))/INDEX(Mortality_Matrix!$B$4:$BS$64,MATCH($A102,Mortality_Matrix!$A$4:$A$64,0),MATCH(2029,Mortality_Matrix!$B$3:$BS$3,0))</f>
        <v>8.27139446489766E-010</v>
      </c>
      <c r="T102" s="27" t="n">
        <f aca="false">(T36-INDEX(Mortality_Matrix!$B$4:$BS$64,MATCH($A102,Mortality_Matrix!$A$4:$A$64,0),MATCH(2030,Mortality_Matrix!$B$3:$BS$3,0)))/INDEX(Mortality_Matrix!$B$4:$BS$64,MATCH($A102,Mortality_Matrix!$A$4:$A$64,0),MATCH(2030,Mortality_Matrix!$B$3:$BS$3,0))</f>
        <v>-1.57687894827845E-009</v>
      </c>
      <c r="U102" s="27" t="n">
        <f aca="false">(U36-INDEX(Mortality_Matrix!$B$4:$BS$64,MATCH($A102,Mortality_Matrix!$A$4:$A$64,0),MATCH(2031,Mortality_Matrix!$B$3:$BS$3,0)))/INDEX(Mortality_Matrix!$B$4:$BS$64,MATCH($A102,Mortality_Matrix!$A$4:$A$64,0),MATCH(2031,Mortality_Matrix!$B$3:$BS$3,0))</f>
        <v>4.47728998866381E-010</v>
      </c>
      <c r="V102" s="27" t="n">
        <f aca="false">(V36-INDEX(Mortality_Matrix!$B$4:$BS$64,MATCH($A102,Mortality_Matrix!$A$4:$A$64,0),MATCH(2032,Mortality_Matrix!$B$3:$BS$3,0)))/INDEX(Mortality_Matrix!$B$4:$BS$64,MATCH($A102,Mortality_Matrix!$A$4:$A$64,0),MATCH(2032,Mortality_Matrix!$B$3:$BS$3,0))</f>
        <v>3.43931168367295E-009</v>
      </c>
      <c r="W102" s="27" t="n">
        <f aca="false">(W36-INDEX(Mortality_Matrix!$B$4:$BS$64,MATCH($A102,Mortality_Matrix!$A$4:$A$64,0),MATCH(2033,Mortality_Matrix!$B$3:$BS$3,0)))/INDEX(Mortality_Matrix!$B$4:$BS$64,MATCH($A102,Mortality_Matrix!$A$4:$A$64,0),MATCH(2033,Mortality_Matrix!$B$3:$BS$3,0))</f>
        <v>-3.13110455269528E-009</v>
      </c>
      <c r="X102" s="27" t="n">
        <f aca="false">(X36-INDEX(Mortality_Matrix!$B$4:$BS$64,MATCH($A102,Mortality_Matrix!$A$4:$A$64,0),MATCH(2034,Mortality_Matrix!$B$3:$BS$3,0)))/INDEX(Mortality_Matrix!$B$4:$BS$64,MATCH($A102,Mortality_Matrix!$A$4:$A$64,0),MATCH(2034,Mortality_Matrix!$B$3:$BS$3,0))</f>
        <v>-3.87799511593249E-010</v>
      </c>
      <c r="Y102" s="27" t="n">
        <f aca="false">(Y36-INDEX(Mortality_Matrix!$B$4:$BS$64,MATCH($A102,Mortality_Matrix!$A$4:$A$64,0),MATCH(2035,Mortality_Matrix!$B$3:$BS$3,0)))/INDEX(Mortality_Matrix!$B$4:$BS$64,MATCH($A102,Mortality_Matrix!$A$4:$A$64,0),MATCH(2035,Mortality_Matrix!$B$3:$BS$3,0))</f>
        <v>-3.67497875621712E-009</v>
      </c>
      <c r="Z102" s="27" t="n">
        <f aca="false">(Z36-INDEX(Mortality_Matrix!$B$4:$BS$64,MATCH($A102,Mortality_Matrix!$A$4:$A$64,0),MATCH(2036,Mortality_Matrix!$B$3:$BS$3,0)))/INDEX(Mortality_Matrix!$B$4:$BS$64,MATCH($A102,Mortality_Matrix!$A$4:$A$64,0),MATCH(2036,Mortality_Matrix!$B$3:$BS$3,0))</f>
        <v>-7.07618996188475E-011</v>
      </c>
      <c r="AA102" s="27" t="n">
        <f aca="false">(AA36-INDEX(Mortality_Matrix!$B$4:$BS$64,MATCH($A102,Mortality_Matrix!$A$4:$A$64,0),MATCH(2037,Mortality_Matrix!$B$3:$BS$3,0)))/INDEX(Mortality_Matrix!$B$4:$BS$64,MATCH($A102,Mortality_Matrix!$A$4:$A$64,0),MATCH(2037,Mortality_Matrix!$B$3:$BS$3,0))</f>
        <v>2.77520735330501E-009</v>
      </c>
      <c r="AB102" s="27" t="n">
        <f aca="false">(AB36-INDEX(Mortality_Matrix!$B$4:$BS$64,MATCH($A102,Mortality_Matrix!$A$4:$A$64,0),MATCH(2038,Mortality_Matrix!$B$3:$BS$3,0)))/INDEX(Mortality_Matrix!$B$4:$BS$64,MATCH($A102,Mortality_Matrix!$A$4:$A$64,0),MATCH(2038,Mortality_Matrix!$B$3:$BS$3,0))</f>
        <v>-4.51685795790141E-009</v>
      </c>
      <c r="AC102" s="27" t="n">
        <f aca="false">(AC36-INDEX(Mortality_Matrix!$B$4:$BS$64,MATCH($A102,Mortality_Matrix!$A$4:$A$64,0),MATCH(2039,Mortality_Matrix!$B$3:$BS$3,0)))/INDEX(Mortality_Matrix!$B$4:$BS$64,MATCH($A102,Mortality_Matrix!$A$4:$A$64,0),MATCH(2039,Mortality_Matrix!$B$3:$BS$3,0))</f>
        <v>3.25873768056519E-009</v>
      </c>
      <c r="AD102" s="27" t="n">
        <f aca="false">(AD36-INDEX(Mortality_Matrix!$B$4:$BS$64,MATCH($A102,Mortality_Matrix!$A$4:$A$64,0),MATCH(2040,Mortality_Matrix!$B$3:$BS$3,0)))/INDEX(Mortality_Matrix!$B$4:$BS$64,MATCH($A102,Mortality_Matrix!$A$4:$A$64,0),MATCH(2040,Mortality_Matrix!$B$3:$BS$3,0))</f>
        <v>2.64423405762509E-009</v>
      </c>
      <c r="AE102" s="27" t="n">
        <f aca="false">(AE36-INDEX(Mortality_Matrix!$B$4:$BS$64,MATCH($A102,Mortality_Matrix!$A$4:$A$64,0),MATCH(2041,Mortality_Matrix!$B$3:$BS$3,0)))/INDEX(Mortality_Matrix!$B$4:$BS$64,MATCH($A102,Mortality_Matrix!$A$4:$A$64,0),MATCH(2041,Mortality_Matrix!$B$3:$BS$3,0))</f>
        <v>3.31608473705277E-009</v>
      </c>
      <c r="AF102" s="27" t="n">
        <f aca="false">(AF36-INDEX(Mortality_Matrix!$B$4:$BS$64,MATCH($A102,Mortality_Matrix!$A$4:$A$64,0),MATCH(2042,Mortality_Matrix!$B$3:$BS$3,0)))/INDEX(Mortality_Matrix!$B$4:$BS$64,MATCH($A102,Mortality_Matrix!$A$4:$A$64,0),MATCH(2042,Mortality_Matrix!$B$3:$BS$3,0))</f>
        <v>1.12367848168639E-009</v>
      </c>
      <c r="AG102" s="27" t="n">
        <f aca="false">(AG36-INDEX(Mortality_Matrix!$B$4:$BS$64,MATCH($A102,Mortality_Matrix!$A$4:$A$64,0),MATCH(2043,Mortality_Matrix!$B$3:$BS$3,0)))/INDEX(Mortality_Matrix!$B$4:$BS$64,MATCH($A102,Mortality_Matrix!$A$4:$A$64,0),MATCH(2043,Mortality_Matrix!$B$3:$BS$3,0))</f>
        <v>-4.02037662319343E-009</v>
      </c>
      <c r="AH102" s="27" t="n">
        <f aca="false">(AH36-INDEX(Mortality_Matrix!$B$4:$BS$64,MATCH($A102,Mortality_Matrix!$A$4:$A$64,0),MATCH(2044,Mortality_Matrix!$B$3:$BS$3,0)))/INDEX(Mortality_Matrix!$B$4:$BS$64,MATCH($A102,Mortality_Matrix!$A$4:$A$64,0),MATCH(2044,Mortality_Matrix!$B$3:$BS$3,0))</f>
        <v>1.40287540690232E-009</v>
      </c>
      <c r="AI102" s="27" t="n">
        <f aca="false">(AI36-INDEX(Mortality_Matrix!$B$4:$BS$64,MATCH($A102,Mortality_Matrix!$A$4:$A$64,0),MATCH(2045,Mortality_Matrix!$B$3:$BS$3,0)))/INDEX(Mortality_Matrix!$B$4:$BS$64,MATCH($A102,Mortality_Matrix!$A$4:$A$64,0),MATCH(2045,Mortality_Matrix!$B$3:$BS$3,0))</f>
        <v>3.95187540626009E-009</v>
      </c>
      <c r="AJ102" s="27" t="n">
        <f aca="false">(AJ36-INDEX(Mortality_Matrix!$B$4:$BS$64,MATCH($A102,Mortality_Matrix!$A$4:$A$64,0),MATCH(2046,Mortality_Matrix!$B$3:$BS$3,0)))/INDEX(Mortality_Matrix!$B$4:$BS$64,MATCH($A102,Mortality_Matrix!$A$4:$A$64,0),MATCH(2046,Mortality_Matrix!$B$3:$BS$3,0))</f>
        <v>1.72635254527129E-009</v>
      </c>
      <c r="AK102" s="27" t="n">
        <f aca="false">(AK36-INDEX(Mortality_Matrix!$B$4:$BS$64,MATCH($A102,Mortality_Matrix!$A$4:$A$64,0),MATCH(2047,Mortality_Matrix!$B$3:$BS$3,0)))/INDEX(Mortality_Matrix!$B$4:$BS$64,MATCH($A102,Mortality_Matrix!$A$4:$A$64,0),MATCH(2047,Mortality_Matrix!$B$3:$BS$3,0))</f>
        <v>4.45866711462431E-009</v>
      </c>
      <c r="AL102" s="27" t="n">
        <f aca="false">(AL36-INDEX(Mortality_Matrix!$B$4:$BS$64,MATCH($A102,Mortality_Matrix!$A$4:$A$64,0),MATCH(2048,Mortality_Matrix!$B$3:$BS$3,0)))/INDEX(Mortality_Matrix!$B$4:$BS$64,MATCH($A102,Mortality_Matrix!$A$4:$A$64,0),MATCH(2048,Mortality_Matrix!$B$3:$BS$3,0))</f>
        <v>1.57805438857488E-009</v>
      </c>
      <c r="AM102" s="27" t="n">
        <f aca="false">(AM36-INDEX(Mortality_Matrix!$B$4:$BS$64,MATCH($A102,Mortality_Matrix!$A$4:$A$64,0),MATCH(2049,Mortality_Matrix!$B$3:$BS$3,0)))/INDEX(Mortality_Matrix!$B$4:$BS$64,MATCH($A102,Mortality_Matrix!$A$4:$A$64,0),MATCH(2049,Mortality_Matrix!$B$3:$BS$3,0))</f>
        <v>3.14860836830558E-009</v>
      </c>
      <c r="AN102" s="27" t="n">
        <f aca="false">(AN36-INDEX(Mortality_Matrix!$B$4:$BS$64,MATCH($A102,Mortality_Matrix!$A$4:$A$64,0),MATCH(2050,Mortality_Matrix!$B$3:$BS$3,0)))/INDEX(Mortality_Matrix!$B$4:$BS$64,MATCH($A102,Mortality_Matrix!$A$4:$A$64,0),MATCH(2050,Mortality_Matrix!$B$3:$BS$3,0))</f>
        <v>-3.33923974722851E-009</v>
      </c>
      <c r="AO102" s="27" t="n">
        <f aca="false">(AO36-INDEX(Mortality_Matrix!$B$4:$BS$64,MATCH($A102,Mortality_Matrix!$A$4:$A$64,0),MATCH(2051,Mortality_Matrix!$B$3:$BS$3,0)))/INDEX(Mortality_Matrix!$B$4:$BS$64,MATCH($A102,Mortality_Matrix!$A$4:$A$64,0),MATCH(2051,Mortality_Matrix!$B$3:$BS$3,0))</f>
        <v>2.8899832745125E-010</v>
      </c>
      <c r="AP102" s="27" t="n">
        <f aca="false">(AP36-INDEX(Mortality_Matrix!$B$4:$BS$64,MATCH($A102,Mortality_Matrix!$A$4:$A$64,0),MATCH(2052,Mortality_Matrix!$B$3:$BS$3,0)))/INDEX(Mortality_Matrix!$B$4:$BS$64,MATCH($A102,Mortality_Matrix!$A$4:$A$64,0),MATCH(2052,Mortality_Matrix!$B$3:$BS$3,0))</f>
        <v>-3.56449946087551E-009</v>
      </c>
      <c r="AQ102" s="27" t="n">
        <f aca="false">(AQ36-INDEX(Mortality_Matrix!$B$4:$BS$64,MATCH($A102,Mortality_Matrix!$A$4:$A$64,0),MATCH(2053,Mortality_Matrix!$B$3:$BS$3,0)))/INDEX(Mortality_Matrix!$B$4:$BS$64,MATCH($A102,Mortality_Matrix!$A$4:$A$64,0),MATCH(2053,Mortality_Matrix!$B$3:$BS$3,0))</f>
        <v>-2.81658267146219E-009</v>
      </c>
      <c r="AR102" s="27" t="n">
        <f aca="false">(AR36-INDEX(Mortality_Matrix!$B$4:$BS$64,MATCH($A102,Mortality_Matrix!$A$4:$A$64,0),MATCH(2054,Mortality_Matrix!$B$3:$BS$3,0)))/INDEX(Mortality_Matrix!$B$4:$BS$64,MATCH($A102,Mortality_Matrix!$A$4:$A$64,0),MATCH(2054,Mortality_Matrix!$B$3:$BS$3,0))</f>
        <v>-9.47520707024953E-010</v>
      </c>
      <c r="AS102" s="27" t="n">
        <f aca="false">(AS36-INDEX(Mortality_Matrix!$B$4:$BS$64,MATCH($A102,Mortality_Matrix!$A$4:$A$64,0),MATCH(2055,Mortality_Matrix!$B$3:$BS$3,0)))/INDEX(Mortality_Matrix!$B$4:$BS$64,MATCH($A102,Mortality_Matrix!$A$4:$A$64,0),MATCH(2055,Mortality_Matrix!$B$3:$BS$3,0))</f>
        <v>4.68575629898397E-009</v>
      </c>
      <c r="AT102" s="27" t="n">
        <f aca="false">(AT36-INDEX(Mortality_Matrix!$B$4:$BS$64,MATCH($A102,Mortality_Matrix!$A$4:$A$64,0),MATCH(2056,Mortality_Matrix!$B$3:$BS$3,0)))/INDEX(Mortality_Matrix!$B$4:$BS$64,MATCH($A102,Mortality_Matrix!$A$4:$A$64,0),MATCH(2056,Mortality_Matrix!$B$3:$BS$3,0))</f>
        <v>-1.57511259972517E-009</v>
      </c>
      <c r="AU102" s="27" t="n">
        <f aca="false">(AU36-INDEX(Mortality_Matrix!$B$4:$BS$64,MATCH($A102,Mortality_Matrix!$A$4:$A$64,0),MATCH(2057,Mortality_Matrix!$B$3:$BS$3,0)))/INDEX(Mortality_Matrix!$B$4:$BS$64,MATCH($A102,Mortality_Matrix!$A$4:$A$64,0),MATCH(2057,Mortality_Matrix!$B$3:$BS$3,0))</f>
        <v>5.20892154189876E-009</v>
      </c>
      <c r="AV102" s="27" t="n">
        <f aca="false">(AV36-INDEX(Mortality_Matrix!$B$4:$BS$64,MATCH($A102,Mortality_Matrix!$A$4:$A$64,0),MATCH(2058,Mortality_Matrix!$B$3:$BS$3,0)))/INDEX(Mortality_Matrix!$B$4:$BS$64,MATCH($A102,Mortality_Matrix!$A$4:$A$64,0),MATCH(2058,Mortality_Matrix!$B$3:$BS$3,0))</f>
        <v>6.01554746103631E-009</v>
      </c>
      <c r="AW102" s="27" t="n">
        <f aca="false">(AW36-INDEX(Mortality_Matrix!$B$4:$BS$64,MATCH($A102,Mortality_Matrix!$A$4:$A$64,0),MATCH(2059,Mortality_Matrix!$B$3:$BS$3,0)))/INDEX(Mortality_Matrix!$B$4:$BS$64,MATCH($A102,Mortality_Matrix!$A$4:$A$64,0),MATCH(2059,Mortality_Matrix!$B$3:$BS$3,0))</f>
        <v>-3.37041602116628E-009</v>
      </c>
      <c r="AX102" s="27" t="n">
        <f aca="false">(AX36-INDEX(Mortality_Matrix!$B$4:$BS$64,MATCH($A102,Mortality_Matrix!$A$4:$A$64,0),MATCH(2060,Mortality_Matrix!$B$3:$BS$3,0)))/INDEX(Mortality_Matrix!$B$4:$BS$64,MATCH($A102,Mortality_Matrix!$A$4:$A$64,0),MATCH(2060,Mortality_Matrix!$B$3:$BS$3,0))</f>
        <v>7.86485468421069E-010</v>
      </c>
      <c r="AY102" s="27" t="n">
        <f aca="false">(AY36-INDEX(Mortality_Matrix!$B$4:$BS$64,MATCH($A102,Mortality_Matrix!$A$4:$A$64,0),MATCH(2061,Mortality_Matrix!$B$3:$BS$3,0)))/INDEX(Mortality_Matrix!$B$4:$BS$64,MATCH($A102,Mortality_Matrix!$A$4:$A$64,0),MATCH(2061,Mortality_Matrix!$B$3:$BS$3,0))</f>
        <v>-6.42032511941456E-009</v>
      </c>
      <c r="AZ102" s="27" t="n">
        <f aca="false">(AZ36-INDEX(Mortality_Matrix!$B$4:$BS$64,MATCH($A102,Mortality_Matrix!$A$4:$A$64,0),MATCH(2062,Mortality_Matrix!$B$3:$BS$3,0)))/INDEX(Mortality_Matrix!$B$4:$BS$64,MATCH($A102,Mortality_Matrix!$A$4:$A$64,0),MATCH(2062,Mortality_Matrix!$B$3:$BS$3,0))</f>
        <v>2.34636260204035E-009</v>
      </c>
      <c r="BA102" s="27" t="n">
        <f aca="false">(BA36-INDEX(Mortality_Matrix!$B$4:$BS$64,MATCH($A102,Mortality_Matrix!$A$4:$A$64,0),MATCH(2063,Mortality_Matrix!$B$3:$BS$3,0)))/INDEX(Mortality_Matrix!$B$4:$BS$64,MATCH($A102,Mortality_Matrix!$A$4:$A$64,0),MATCH(2063,Mortality_Matrix!$B$3:$BS$3,0))</f>
        <v>2.81479372200593E-009</v>
      </c>
      <c r="BB102" s="27" t="n">
        <f aca="false">(BB36-INDEX(Mortality_Matrix!$B$4:$BS$64,MATCH($A102,Mortality_Matrix!$A$4:$A$64,0),MATCH(2064,Mortality_Matrix!$B$3:$BS$3,0)))/INDEX(Mortality_Matrix!$B$4:$BS$64,MATCH($A102,Mortality_Matrix!$A$4:$A$64,0),MATCH(2064,Mortality_Matrix!$B$3:$BS$3,0))</f>
        <v>-4.18279890236295E-009</v>
      </c>
      <c r="BC102" s="27" t="n">
        <f aca="false">(BC36-INDEX(Mortality_Matrix!$B$4:$BS$64,MATCH($A102,Mortality_Matrix!$A$4:$A$64,0),MATCH(2065,Mortality_Matrix!$B$3:$BS$3,0)))/INDEX(Mortality_Matrix!$B$4:$BS$64,MATCH($A102,Mortality_Matrix!$A$4:$A$64,0),MATCH(2065,Mortality_Matrix!$B$3:$BS$3,0))</f>
        <v>-5.35532943263367E-009</v>
      </c>
      <c r="BD102" s="27" t="n">
        <f aca="false">(BD36-INDEX(Mortality_Matrix!$B$4:$BS$64,MATCH($A102,Mortality_Matrix!$A$4:$A$64,0),MATCH(2066,Mortality_Matrix!$B$3:$BS$3,0)))/INDEX(Mortality_Matrix!$B$4:$BS$64,MATCH($A102,Mortality_Matrix!$A$4:$A$64,0),MATCH(2066,Mortality_Matrix!$B$3:$BS$3,0))</f>
        <v>-2.83451150766122E-009</v>
      </c>
      <c r="BE102" s="27" t="n">
        <f aca="false">(BE36-INDEX(Mortality_Matrix!$B$4:$BS$64,MATCH($A102,Mortality_Matrix!$A$4:$A$64,0),MATCH(2067,Mortality_Matrix!$B$3:$BS$3,0)))/INDEX(Mortality_Matrix!$B$4:$BS$64,MATCH($A102,Mortality_Matrix!$A$4:$A$64,0),MATCH(2067,Mortality_Matrix!$B$3:$BS$3,0))</f>
        <v>-1.98144296972908E-009</v>
      </c>
      <c r="BF102" s="27" t="n">
        <f aca="false">(BF36-INDEX(Mortality_Matrix!$B$4:$BS$64,MATCH($A102,Mortality_Matrix!$A$4:$A$64,0),MATCH(2068,Mortality_Matrix!$B$3:$BS$3,0)))/INDEX(Mortality_Matrix!$B$4:$BS$64,MATCH($A102,Mortality_Matrix!$A$4:$A$64,0),MATCH(2068,Mortality_Matrix!$B$3:$BS$3,0))</f>
        <v>1.98799678929326E-009</v>
      </c>
      <c r="BG102" s="27" t="n">
        <f aca="false">(BG36-INDEX(Mortality_Matrix!$B$4:$BS$64,MATCH($A102,Mortality_Matrix!$A$4:$A$64,0),MATCH(2069,Mortality_Matrix!$B$3:$BS$3,0)))/INDEX(Mortality_Matrix!$B$4:$BS$64,MATCH($A102,Mortality_Matrix!$A$4:$A$64,0),MATCH(2069,Mortality_Matrix!$B$3:$BS$3,0))</f>
        <v>-5.33907220997936E-009</v>
      </c>
      <c r="BH102" s="27" t="n">
        <f aca="false">(BH36-INDEX(Mortality_Matrix!$B$4:$BS$64,MATCH($A102,Mortality_Matrix!$A$4:$A$64,0),MATCH(2070,Mortality_Matrix!$B$3:$BS$3,0)))/INDEX(Mortality_Matrix!$B$4:$BS$64,MATCH($A102,Mortality_Matrix!$A$4:$A$64,0),MATCH(2070,Mortality_Matrix!$B$3:$BS$3,0))</f>
        <v>-3.5517752888733E-010</v>
      </c>
      <c r="BI102" s="27" t="n">
        <f aca="false">(BI36-INDEX(Mortality_Matrix!$B$4:$BS$64,MATCH($A102,Mortality_Matrix!$A$4:$A$64,0),MATCH(2071,Mortality_Matrix!$B$3:$BS$3,0)))/INDEX(Mortality_Matrix!$B$4:$BS$64,MATCH($A102,Mortality_Matrix!$A$4:$A$64,0),MATCH(2071,Mortality_Matrix!$B$3:$BS$3,0))</f>
        <v>5.15772957864018E-009</v>
      </c>
      <c r="BJ102" s="27" t="n">
        <f aca="false">(BJ36-INDEX(Mortality_Matrix!$B$4:$BS$64,MATCH($A102,Mortality_Matrix!$A$4:$A$64,0),MATCH(2072,Mortality_Matrix!$B$3:$BS$3,0)))/INDEX(Mortality_Matrix!$B$4:$BS$64,MATCH($A102,Mortality_Matrix!$A$4:$A$64,0),MATCH(2072,Mortality_Matrix!$B$3:$BS$3,0))</f>
        <v>6.46110798601524E-009</v>
      </c>
      <c r="BK102" s="27" t="n">
        <f aca="false">(BK36-INDEX(Mortality_Matrix!$B$4:$BS$64,MATCH($A102,Mortality_Matrix!$A$4:$A$64,0),MATCH(2073,Mortality_Matrix!$B$3:$BS$3,0)))/INDEX(Mortality_Matrix!$B$4:$BS$64,MATCH($A102,Mortality_Matrix!$A$4:$A$64,0),MATCH(2073,Mortality_Matrix!$B$3:$BS$3,0))</f>
        <v>5.60490245526598E-009</v>
      </c>
      <c r="BL102" s="27" t="n">
        <f aca="false">(BL36-INDEX(Mortality_Matrix!$B$4:$BS$64,MATCH($A102,Mortality_Matrix!$A$4:$A$64,0),MATCH(2074,Mortality_Matrix!$B$3:$BS$3,0)))/INDEX(Mortality_Matrix!$B$4:$BS$64,MATCH($A102,Mortality_Matrix!$A$4:$A$64,0),MATCH(2074,Mortality_Matrix!$B$3:$BS$3,0))</f>
        <v>-4.66798395134025E-009</v>
      </c>
      <c r="BM102" s="27" t="n">
        <f aca="false">(BM36-INDEX(Mortality_Matrix!$B$4:$BS$64,MATCH($A102,Mortality_Matrix!$A$4:$A$64,0),MATCH(2075,Mortality_Matrix!$B$3:$BS$3,0)))/INDEX(Mortality_Matrix!$B$4:$BS$64,MATCH($A102,Mortality_Matrix!$A$4:$A$64,0),MATCH(2075,Mortality_Matrix!$B$3:$BS$3,0))</f>
        <v>5.68111658231309E-009</v>
      </c>
      <c r="BN102" s="27" t="n">
        <f aca="false">(BN36-INDEX(Mortality_Matrix!$B$4:$BS$64,MATCH($A102,Mortality_Matrix!$A$4:$A$64,0),MATCH(2076,Mortality_Matrix!$B$3:$BS$3,0)))/INDEX(Mortality_Matrix!$B$4:$BS$64,MATCH($A102,Mortality_Matrix!$A$4:$A$64,0),MATCH(2076,Mortality_Matrix!$B$3:$BS$3,0))</f>
        <v>-8.00202903396907E-009</v>
      </c>
      <c r="BO102" s="27" t="n">
        <f aca="false">(BO36-INDEX(Mortality_Matrix!$B$4:$BS$64,MATCH($A102,Mortality_Matrix!$A$4:$A$64,0),MATCH(2077,Mortality_Matrix!$B$3:$BS$3,0)))/INDEX(Mortality_Matrix!$B$4:$BS$64,MATCH($A102,Mortality_Matrix!$A$4:$A$64,0),MATCH(2077,Mortality_Matrix!$B$3:$BS$3,0))</f>
        <v>-6.26558925757588E-009</v>
      </c>
      <c r="BP102" s="27" t="n">
        <f aca="false">(BP36-INDEX(Mortality_Matrix!$B$4:$BS$64,MATCH($A102,Mortality_Matrix!$A$4:$A$64,0),MATCH(2078,Mortality_Matrix!$B$3:$BS$3,0)))/INDEX(Mortality_Matrix!$B$4:$BS$64,MATCH($A102,Mortality_Matrix!$A$4:$A$64,0),MATCH(2078,Mortality_Matrix!$B$3:$BS$3,0))</f>
        <v>5.82275175919523E-009</v>
      </c>
      <c r="BQ102" s="27" t="n">
        <f aca="false">(BQ36-INDEX(Mortality_Matrix!$B$4:$BS$64,MATCH($A102,Mortality_Matrix!$A$4:$A$64,0),MATCH(2079,Mortality_Matrix!$B$3:$BS$3,0)))/INDEX(Mortality_Matrix!$B$4:$BS$64,MATCH($A102,Mortality_Matrix!$A$4:$A$64,0),MATCH(2079,Mortality_Matrix!$B$3:$BS$3,0))</f>
        <v>8.46473255263581E-009</v>
      </c>
      <c r="BR102" s="27" t="n">
        <f aca="false">(BR36-INDEX(Mortality_Matrix!$B$4:$BS$64,MATCH($A102,Mortality_Matrix!$A$4:$A$64,0),MATCH(2080,Mortality_Matrix!$B$3:$BS$3,0)))/INDEX(Mortality_Matrix!$B$4:$BS$64,MATCH($A102,Mortality_Matrix!$A$4:$A$64,0),MATCH(2080,Mortality_Matrix!$B$3:$BS$3,0))</f>
        <v>-1.87571147183387E-010</v>
      </c>
      <c r="BS102" s="27" t="n">
        <f aca="false">(BS36-INDEX(Mortality_Matrix!$B$4:$BS$64,MATCH($A102,Mortality_Matrix!$A$4:$A$64,0),MATCH(2081,Mortality_Matrix!$B$3:$BS$3,0)))/INDEX(Mortality_Matrix!$B$4:$BS$64,MATCH($A102,Mortality_Matrix!$A$4:$A$64,0),MATCH(2081,Mortality_Matrix!$B$3:$BS$3,0))</f>
        <v>-3.4376750904372E-009</v>
      </c>
      <c r="BT102" s="27" t="n">
        <f aca="false">(BT36-INDEX(Mortality_Matrix!$B$4:$BS$64,MATCH($A102,Mortality_Matrix!$A$4:$A$64,0),MATCH(2082,Mortality_Matrix!$B$3:$BS$3,0)))/INDEX(Mortality_Matrix!$B$4:$BS$64,MATCH($A102,Mortality_Matrix!$A$4:$A$64,0),MATCH(2082,Mortality_Matrix!$B$3:$BS$3,0))</f>
        <v>-1.11903871343655E-009</v>
      </c>
      <c r="BU102" s="27" t="n">
        <f aca="false">(BU36-INDEX(Mortality_Matrix!$B$4:$BS$64,MATCH($A102,Mortality_Matrix!$A$4:$A$64,0),MATCH(2083,Mortality_Matrix!$B$3:$BS$3,0)))/INDEX(Mortality_Matrix!$B$4:$BS$64,MATCH($A102,Mortality_Matrix!$A$4:$A$64,0),MATCH(2083,Mortality_Matrix!$B$3:$BS$3,0))</f>
        <v>6.39547953282008E-009</v>
      </c>
      <c r="BV102" s="27" t="n">
        <f aca="false">(BV36-INDEX(Mortality_Matrix!$B$4:$BS$64,MATCH($A102,Mortality_Matrix!$A$4:$A$64,0),MATCH(2084,Mortality_Matrix!$B$3:$BS$3,0)))/INDEX(Mortality_Matrix!$B$4:$BS$64,MATCH($A102,Mortality_Matrix!$A$4:$A$64,0),MATCH(2084,Mortality_Matrix!$B$3:$BS$3,0))</f>
        <v>-1.04964279450359E-009</v>
      </c>
      <c r="BW102" s="27" t="n">
        <f aca="false">(BW36-INDEX(Mortality_Matrix!$B$4:$BS$64,MATCH($A102,Mortality_Matrix!$A$4:$A$64,0),MATCH(2085,Mortality_Matrix!$B$3:$BS$3,0)))/INDEX(Mortality_Matrix!$B$4:$BS$64,MATCH($A102,Mortality_Matrix!$A$4:$A$64,0),MATCH(2085,Mortality_Matrix!$B$3:$BS$3,0))</f>
        <v>8.93504226540907E-009</v>
      </c>
      <c r="BX102" s="27" t="n">
        <f aca="false">(BX36-INDEX(Mortality_Matrix!$B$4:$BS$64,MATCH($A102,Mortality_Matrix!$A$4:$A$64,0),MATCH(2086,Mortality_Matrix!$B$3:$BS$3,0)))/INDEX(Mortality_Matrix!$B$4:$BS$64,MATCH($A102,Mortality_Matrix!$A$4:$A$64,0),MATCH(2086,Mortality_Matrix!$B$3:$BS$3,0))</f>
        <v>-8.11741105085121E-009</v>
      </c>
      <c r="BY102" s="27" t="n">
        <f aca="false">(BY36-INDEX(Mortality_Matrix!$B$4:$BS$64,MATCH($A102,Mortality_Matrix!$A$4:$A$64,0),MATCH(2087,Mortality_Matrix!$B$3:$BS$3,0)))/INDEX(Mortality_Matrix!$B$4:$BS$64,MATCH($A102,Mortality_Matrix!$A$4:$A$64,0),MATCH(2087,Mortality_Matrix!$B$3:$BS$3,0))</f>
        <v>-7.15562566094622E-009</v>
      </c>
      <c r="BZ102" s="27" t="n">
        <f aca="false">(BZ36-INDEX(Mortality_Matrix!$B$4:$BS$64,MATCH($A102,Mortality_Matrix!$A$4:$A$64,0),MATCH(2088,Mortality_Matrix!$B$3:$BS$3,0)))/INDEX(Mortality_Matrix!$B$4:$BS$64,MATCH($A102,Mortality_Matrix!$A$4:$A$64,0),MATCH(2088,Mortality_Matrix!$B$3:$BS$3,0))</f>
        <v>-3.73811473454348E-009</v>
      </c>
      <c r="CA102" s="27" t="n">
        <f aca="false">(CA36-INDEX(Mortality_Matrix!$B$4:$BS$64,MATCH($A102,Mortality_Matrix!$A$4:$A$64,0),MATCH(2089,Mortality_Matrix!$B$3:$BS$3,0)))/INDEX(Mortality_Matrix!$B$4:$BS$64,MATCH($A102,Mortality_Matrix!$A$4:$A$64,0),MATCH(2089,Mortality_Matrix!$B$3:$BS$3,0))</f>
        <v>-2.68560169709768E-010</v>
      </c>
      <c r="CB102" s="27" t="n">
        <f aca="false">(CB36-INDEX(Mortality_Matrix!$B$4:$BS$64,MATCH($A102,Mortality_Matrix!$A$4:$A$64,0),MATCH(2090,Mortality_Matrix!$B$3:$BS$3,0)))/INDEX(Mortality_Matrix!$B$4:$BS$64,MATCH($A102,Mortality_Matrix!$A$4:$A$64,0),MATCH(2090,Mortality_Matrix!$B$3:$BS$3,0))</f>
        <v>-5.90438487865436E-009</v>
      </c>
      <c r="CC102" s="27" t="n">
        <f aca="false">(CC36-INDEX(Mortality_Matrix!$B$4:$BS$64,MATCH($A102,Mortality_Matrix!$A$4:$A$64,0),MATCH(2091,Mortality_Matrix!$B$3:$BS$3,0)))/INDEX(Mortality_Matrix!$B$4:$BS$64,MATCH($A102,Mortality_Matrix!$A$4:$A$64,0),MATCH(2091,Mortality_Matrix!$B$3:$BS$3,0))</f>
        <v>2.98460620932124E-009</v>
      </c>
    </row>
    <row r="103" customFormat="false" ht="15" hidden="false" customHeight="true" outlineLevel="0" collapsed="false">
      <c r="A103" s="3" t="n">
        <v>74</v>
      </c>
      <c r="L103" s="27" t="n">
        <f aca="false">(L37-INDEX(Mortality_Matrix!$B$4:$BS$64,MATCH($A103,Mortality_Matrix!$A$4:$A$64,0),MATCH(2022,Mortality_Matrix!$B$3:$BS$3,0)))/INDEX(Mortality_Matrix!$B$4:$BS$64,MATCH($A103,Mortality_Matrix!$A$4:$A$64,0),MATCH(2022,Mortality_Matrix!$B$3:$BS$3,0))</f>
        <v>-1.5120059241361E-010</v>
      </c>
      <c r="M103" s="27" t="n">
        <f aca="false">(M37-INDEX(Mortality_Matrix!$B$4:$BS$64,MATCH($A103,Mortality_Matrix!$A$4:$A$64,0),MATCH(2023,Mortality_Matrix!$B$3:$BS$3,0)))/INDEX(Mortality_Matrix!$B$4:$BS$64,MATCH($A103,Mortality_Matrix!$A$4:$A$64,0),MATCH(2023,Mortality_Matrix!$B$3:$BS$3,0))</f>
        <v>-2.54289145323496E-009</v>
      </c>
      <c r="N103" s="27" t="n">
        <f aca="false">(N37-INDEX(Mortality_Matrix!$B$4:$BS$64,MATCH($A103,Mortality_Matrix!$A$4:$A$64,0),MATCH(2024,Mortality_Matrix!$B$3:$BS$3,0)))/INDEX(Mortality_Matrix!$B$4:$BS$64,MATCH($A103,Mortality_Matrix!$A$4:$A$64,0),MATCH(2024,Mortality_Matrix!$B$3:$BS$3,0))</f>
        <v>-3.12914692284171E-010</v>
      </c>
      <c r="O103" s="27" t="n">
        <f aca="false">(O37-INDEX(Mortality_Matrix!$B$4:$BS$64,MATCH($A103,Mortality_Matrix!$A$4:$A$64,0),MATCH(2025,Mortality_Matrix!$B$3:$BS$3,0)))/INDEX(Mortality_Matrix!$B$4:$BS$64,MATCH($A103,Mortality_Matrix!$A$4:$A$64,0),MATCH(2025,Mortality_Matrix!$B$3:$BS$3,0))</f>
        <v>2.61891491510485E-009</v>
      </c>
      <c r="P103" s="27" t="n">
        <f aca="false">(P37-INDEX(Mortality_Matrix!$B$4:$BS$64,MATCH($A103,Mortality_Matrix!$A$4:$A$64,0),MATCH(2026,Mortality_Matrix!$B$3:$BS$3,0)))/INDEX(Mortality_Matrix!$B$4:$BS$64,MATCH($A103,Mortality_Matrix!$A$4:$A$64,0),MATCH(2026,Mortality_Matrix!$B$3:$BS$3,0))</f>
        <v>-2.60818052104715E-009</v>
      </c>
      <c r="Q103" s="27" t="n">
        <f aca="false">(Q37-INDEX(Mortality_Matrix!$B$4:$BS$64,MATCH($A103,Mortality_Matrix!$A$4:$A$64,0),MATCH(2027,Mortality_Matrix!$B$3:$BS$3,0)))/INDEX(Mortality_Matrix!$B$4:$BS$64,MATCH($A103,Mortality_Matrix!$A$4:$A$64,0),MATCH(2027,Mortality_Matrix!$B$3:$BS$3,0))</f>
        <v>-3.10580503107368E-009</v>
      </c>
      <c r="R103" s="27" t="n">
        <f aca="false">(R37-INDEX(Mortality_Matrix!$B$4:$BS$64,MATCH($A103,Mortality_Matrix!$A$4:$A$64,0),MATCH(2028,Mortality_Matrix!$B$3:$BS$3,0)))/INDEX(Mortality_Matrix!$B$4:$BS$64,MATCH($A103,Mortality_Matrix!$A$4:$A$64,0),MATCH(2028,Mortality_Matrix!$B$3:$BS$3,0))</f>
        <v>-7.27894105389453E-010</v>
      </c>
      <c r="S103" s="27" t="n">
        <f aca="false">(S37-INDEX(Mortality_Matrix!$B$4:$BS$64,MATCH($A103,Mortality_Matrix!$A$4:$A$64,0),MATCH(2029,Mortality_Matrix!$B$3:$BS$3,0)))/INDEX(Mortality_Matrix!$B$4:$BS$64,MATCH($A103,Mortality_Matrix!$A$4:$A$64,0),MATCH(2029,Mortality_Matrix!$B$3:$BS$3,0))</f>
        <v>2.99666457189982E-009</v>
      </c>
      <c r="T103" s="27" t="n">
        <f aca="false">(T37-INDEX(Mortality_Matrix!$B$4:$BS$64,MATCH($A103,Mortality_Matrix!$A$4:$A$64,0),MATCH(2030,Mortality_Matrix!$B$3:$BS$3,0)))/INDEX(Mortality_Matrix!$B$4:$BS$64,MATCH($A103,Mortality_Matrix!$A$4:$A$64,0),MATCH(2030,Mortality_Matrix!$B$3:$BS$3,0))</f>
        <v>-1.87409306571714E-009</v>
      </c>
      <c r="U103" s="27" t="n">
        <f aca="false">(U37-INDEX(Mortality_Matrix!$B$4:$BS$64,MATCH($A103,Mortality_Matrix!$A$4:$A$64,0),MATCH(2031,Mortality_Matrix!$B$3:$BS$3,0)))/INDEX(Mortality_Matrix!$B$4:$BS$64,MATCH($A103,Mortality_Matrix!$A$4:$A$64,0),MATCH(2031,Mortality_Matrix!$B$3:$BS$3,0))</f>
        <v>-6.47332144903699E-010</v>
      </c>
      <c r="V103" s="27" t="n">
        <f aca="false">(V37-INDEX(Mortality_Matrix!$B$4:$BS$64,MATCH($A103,Mortality_Matrix!$A$4:$A$64,0),MATCH(2032,Mortality_Matrix!$B$3:$BS$3,0)))/INDEX(Mortality_Matrix!$B$4:$BS$64,MATCH($A103,Mortality_Matrix!$A$4:$A$64,0),MATCH(2032,Mortality_Matrix!$B$3:$BS$3,0))</f>
        <v>-3.65066661256854E-009</v>
      </c>
      <c r="W103" s="27" t="n">
        <f aca="false">(W37-INDEX(Mortality_Matrix!$B$4:$BS$64,MATCH($A103,Mortality_Matrix!$A$4:$A$64,0),MATCH(2033,Mortality_Matrix!$B$3:$BS$3,0)))/INDEX(Mortality_Matrix!$B$4:$BS$64,MATCH($A103,Mortality_Matrix!$A$4:$A$64,0),MATCH(2033,Mortality_Matrix!$B$3:$BS$3,0))</f>
        <v>-3.71003836809952E-009</v>
      </c>
      <c r="X103" s="27" t="n">
        <f aca="false">(X37-INDEX(Mortality_Matrix!$B$4:$BS$64,MATCH($A103,Mortality_Matrix!$A$4:$A$64,0),MATCH(2034,Mortality_Matrix!$B$3:$BS$3,0)))/INDEX(Mortality_Matrix!$B$4:$BS$64,MATCH($A103,Mortality_Matrix!$A$4:$A$64,0),MATCH(2034,Mortality_Matrix!$B$3:$BS$3,0))</f>
        <v>-2.86952726283725E-009</v>
      </c>
      <c r="Y103" s="27" t="n">
        <f aca="false">(Y37-INDEX(Mortality_Matrix!$B$4:$BS$64,MATCH($A103,Mortality_Matrix!$A$4:$A$64,0),MATCH(2035,Mortality_Matrix!$B$3:$BS$3,0)))/INDEX(Mortality_Matrix!$B$4:$BS$64,MATCH($A103,Mortality_Matrix!$A$4:$A$64,0),MATCH(2035,Mortality_Matrix!$B$3:$BS$3,0))</f>
        <v>-3.64526439343531E-009</v>
      </c>
      <c r="Z103" s="27" t="n">
        <f aca="false">(Z37-INDEX(Mortality_Matrix!$B$4:$BS$64,MATCH($A103,Mortality_Matrix!$A$4:$A$64,0),MATCH(2036,Mortality_Matrix!$B$3:$BS$3,0)))/INDEX(Mortality_Matrix!$B$4:$BS$64,MATCH($A103,Mortality_Matrix!$A$4:$A$64,0),MATCH(2036,Mortality_Matrix!$B$3:$BS$3,0))</f>
        <v>-1.55825599811307E-009</v>
      </c>
      <c r="AA103" s="27" t="n">
        <f aca="false">(AA37-INDEX(Mortality_Matrix!$B$4:$BS$64,MATCH($A103,Mortality_Matrix!$A$4:$A$64,0),MATCH(2037,Mortality_Matrix!$B$3:$BS$3,0)))/INDEX(Mortality_Matrix!$B$4:$BS$64,MATCH($A103,Mortality_Matrix!$A$4:$A$64,0),MATCH(2037,Mortality_Matrix!$B$3:$BS$3,0))</f>
        <v>-2.03798214941899E-009</v>
      </c>
      <c r="AB103" s="27" t="n">
        <f aca="false">(AB37-INDEX(Mortality_Matrix!$B$4:$BS$64,MATCH($A103,Mortality_Matrix!$A$4:$A$64,0),MATCH(2038,Mortality_Matrix!$B$3:$BS$3,0)))/INDEX(Mortality_Matrix!$B$4:$BS$64,MATCH($A103,Mortality_Matrix!$A$4:$A$64,0),MATCH(2038,Mortality_Matrix!$B$3:$BS$3,0))</f>
        <v>2.34530226094264E-009</v>
      </c>
      <c r="AC103" s="27" t="n">
        <f aca="false">(AC37-INDEX(Mortality_Matrix!$B$4:$BS$64,MATCH($A103,Mortality_Matrix!$A$4:$A$64,0),MATCH(2039,Mortality_Matrix!$B$3:$BS$3,0)))/INDEX(Mortality_Matrix!$B$4:$BS$64,MATCH($A103,Mortality_Matrix!$A$4:$A$64,0),MATCH(2039,Mortality_Matrix!$B$3:$BS$3,0))</f>
        <v>-9.09815825193258E-010</v>
      </c>
      <c r="AD103" s="27" t="n">
        <f aca="false">(AD37-INDEX(Mortality_Matrix!$B$4:$BS$64,MATCH($A103,Mortality_Matrix!$A$4:$A$64,0),MATCH(2040,Mortality_Matrix!$B$3:$BS$3,0)))/INDEX(Mortality_Matrix!$B$4:$BS$64,MATCH($A103,Mortality_Matrix!$A$4:$A$64,0),MATCH(2040,Mortality_Matrix!$B$3:$BS$3,0))</f>
        <v>3.6079861131599E-009</v>
      </c>
      <c r="AE103" s="27" t="n">
        <f aca="false">(AE37-INDEX(Mortality_Matrix!$B$4:$BS$64,MATCH($A103,Mortality_Matrix!$A$4:$A$64,0),MATCH(2041,Mortality_Matrix!$B$3:$BS$3,0)))/INDEX(Mortality_Matrix!$B$4:$BS$64,MATCH($A103,Mortality_Matrix!$A$4:$A$64,0),MATCH(2041,Mortality_Matrix!$B$3:$BS$3,0))</f>
        <v>1.10234290138107E-009</v>
      </c>
      <c r="AF103" s="27" t="n">
        <f aca="false">(AF37-INDEX(Mortality_Matrix!$B$4:$BS$64,MATCH($A103,Mortality_Matrix!$A$4:$A$64,0),MATCH(2042,Mortality_Matrix!$B$3:$BS$3,0)))/INDEX(Mortality_Matrix!$B$4:$BS$64,MATCH($A103,Mortality_Matrix!$A$4:$A$64,0),MATCH(2042,Mortality_Matrix!$B$3:$BS$3,0))</f>
        <v>3.77548881984192E-009</v>
      </c>
      <c r="AG103" s="27" t="n">
        <f aca="false">(AG37-INDEX(Mortality_Matrix!$B$4:$BS$64,MATCH($A103,Mortality_Matrix!$A$4:$A$64,0),MATCH(2043,Mortality_Matrix!$B$3:$BS$3,0)))/INDEX(Mortality_Matrix!$B$4:$BS$64,MATCH($A103,Mortality_Matrix!$A$4:$A$64,0),MATCH(2043,Mortality_Matrix!$B$3:$BS$3,0))</f>
        <v>-4.26607235014974E-010</v>
      </c>
      <c r="AH103" s="27" t="n">
        <f aca="false">(AH37-INDEX(Mortality_Matrix!$B$4:$BS$64,MATCH($A103,Mortality_Matrix!$A$4:$A$64,0),MATCH(2044,Mortality_Matrix!$B$3:$BS$3,0)))/INDEX(Mortality_Matrix!$B$4:$BS$64,MATCH($A103,Mortality_Matrix!$A$4:$A$64,0),MATCH(2044,Mortality_Matrix!$B$3:$BS$3,0))</f>
        <v>2.81739672819193E-009</v>
      </c>
      <c r="AI103" s="27" t="n">
        <f aca="false">(AI37-INDEX(Mortality_Matrix!$B$4:$BS$64,MATCH($A103,Mortality_Matrix!$A$4:$A$64,0),MATCH(2045,Mortality_Matrix!$B$3:$BS$3,0)))/INDEX(Mortality_Matrix!$B$4:$BS$64,MATCH($A103,Mortality_Matrix!$A$4:$A$64,0),MATCH(2045,Mortality_Matrix!$B$3:$BS$3,0))</f>
        <v>1.28348193124575E-009</v>
      </c>
      <c r="AJ103" s="27" t="n">
        <f aca="false">(AJ37-INDEX(Mortality_Matrix!$B$4:$BS$64,MATCH($A103,Mortality_Matrix!$A$4:$A$64,0),MATCH(2046,Mortality_Matrix!$B$3:$BS$3,0)))/INDEX(Mortality_Matrix!$B$4:$BS$64,MATCH($A103,Mortality_Matrix!$A$4:$A$64,0),MATCH(2046,Mortality_Matrix!$B$3:$BS$3,0))</f>
        <v>-8.69220042206773E-010</v>
      </c>
      <c r="AK103" s="27" t="n">
        <f aca="false">(AK37-INDEX(Mortality_Matrix!$B$4:$BS$64,MATCH($A103,Mortality_Matrix!$A$4:$A$64,0),MATCH(2047,Mortality_Matrix!$B$3:$BS$3,0)))/INDEX(Mortality_Matrix!$B$4:$BS$64,MATCH($A103,Mortality_Matrix!$A$4:$A$64,0),MATCH(2047,Mortality_Matrix!$B$3:$BS$3,0))</f>
        <v>-1.24121739409199E-009</v>
      </c>
      <c r="AL103" s="27" t="n">
        <f aca="false">(AL37-INDEX(Mortality_Matrix!$B$4:$BS$64,MATCH($A103,Mortality_Matrix!$A$4:$A$64,0),MATCH(2048,Mortality_Matrix!$B$3:$BS$3,0)))/INDEX(Mortality_Matrix!$B$4:$BS$64,MATCH($A103,Mortality_Matrix!$A$4:$A$64,0),MATCH(2048,Mortality_Matrix!$B$3:$BS$3,0))</f>
        <v>-1.55438412582202E-010</v>
      </c>
      <c r="AM103" s="27" t="n">
        <f aca="false">(AM37-INDEX(Mortality_Matrix!$B$4:$BS$64,MATCH($A103,Mortality_Matrix!$A$4:$A$64,0),MATCH(2049,Mortality_Matrix!$B$3:$BS$3,0)))/INDEX(Mortality_Matrix!$B$4:$BS$64,MATCH($A103,Mortality_Matrix!$A$4:$A$64,0),MATCH(2049,Mortality_Matrix!$B$3:$BS$3,0))</f>
        <v>-1.68909212424442E-009</v>
      </c>
      <c r="AN103" s="27" t="n">
        <f aca="false">(AN37-INDEX(Mortality_Matrix!$B$4:$BS$64,MATCH($A103,Mortality_Matrix!$A$4:$A$64,0),MATCH(2050,Mortality_Matrix!$B$3:$BS$3,0)))/INDEX(Mortality_Matrix!$B$4:$BS$64,MATCH($A103,Mortality_Matrix!$A$4:$A$64,0),MATCH(2050,Mortality_Matrix!$B$3:$BS$3,0))</f>
        <v>4.68491301035997E-009</v>
      </c>
      <c r="AO103" s="27" t="n">
        <f aca="false">(AO37-INDEX(Mortality_Matrix!$B$4:$BS$64,MATCH($A103,Mortality_Matrix!$A$4:$A$64,0),MATCH(2051,Mortality_Matrix!$B$3:$BS$3,0)))/INDEX(Mortality_Matrix!$B$4:$BS$64,MATCH($A103,Mortality_Matrix!$A$4:$A$64,0),MATCH(2051,Mortality_Matrix!$B$3:$BS$3,0))</f>
        <v>4.88250299747055E-009</v>
      </c>
      <c r="AP103" s="27" t="n">
        <f aca="false">(AP37-INDEX(Mortality_Matrix!$B$4:$BS$64,MATCH($A103,Mortality_Matrix!$A$4:$A$64,0),MATCH(2052,Mortality_Matrix!$B$3:$BS$3,0)))/INDEX(Mortality_Matrix!$B$4:$BS$64,MATCH($A103,Mortality_Matrix!$A$4:$A$64,0),MATCH(2052,Mortality_Matrix!$B$3:$BS$3,0))</f>
        <v>-2.38920879234499E-009</v>
      </c>
      <c r="AQ103" s="27" t="n">
        <f aca="false">(AQ37-INDEX(Mortality_Matrix!$B$4:$BS$64,MATCH($A103,Mortality_Matrix!$A$4:$A$64,0),MATCH(2053,Mortality_Matrix!$B$3:$BS$3,0)))/INDEX(Mortality_Matrix!$B$4:$BS$64,MATCH($A103,Mortality_Matrix!$A$4:$A$64,0),MATCH(2053,Mortality_Matrix!$B$3:$BS$3,0))</f>
        <v>4.73867255185547E-009</v>
      </c>
      <c r="AR103" s="27" t="n">
        <f aca="false">(AR37-INDEX(Mortality_Matrix!$B$4:$BS$64,MATCH($A103,Mortality_Matrix!$A$4:$A$64,0),MATCH(2054,Mortality_Matrix!$B$3:$BS$3,0)))/INDEX(Mortality_Matrix!$B$4:$BS$64,MATCH($A103,Mortality_Matrix!$A$4:$A$64,0),MATCH(2054,Mortality_Matrix!$B$3:$BS$3,0))</f>
        <v>-1.20071908126178E-010</v>
      </c>
      <c r="AS103" s="27" t="n">
        <f aca="false">(AS37-INDEX(Mortality_Matrix!$B$4:$BS$64,MATCH($A103,Mortality_Matrix!$A$4:$A$64,0),MATCH(2055,Mortality_Matrix!$B$3:$BS$3,0)))/INDEX(Mortality_Matrix!$B$4:$BS$64,MATCH($A103,Mortality_Matrix!$A$4:$A$64,0),MATCH(2055,Mortality_Matrix!$B$3:$BS$3,0))</f>
        <v>-1.6943491764634E-009</v>
      </c>
      <c r="AT103" s="27" t="n">
        <f aca="false">(AT37-INDEX(Mortality_Matrix!$B$4:$BS$64,MATCH($A103,Mortality_Matrix!$A$4:$A$64,0),MATCH(2056,Mortality_Matrix!$B$3:$BS$3,0)))/INDEX(Mortality_Matrix!$B$4:$BS$64,MATCH($A103,Mortality_Matrix!$A$4:$A$64,0),MATCH(2056,Mortality_Matrix!$B$3:$BS$3,0))</f>
        <v>-4.57120102162161E-009</v>
      </c>
      <c r="AU103" s="27" t="n">
        <f aca="false">(AU37-INDEX(Mortality_Matrix!$B$4:$BS$64,MATCH($A103,Mortality_Matrix!$A$4:$A$64,0),MATCH(2057,Mortality_Matrix!$B$3:$BS$3,0)))/INDEX(Mortality_Matrix!$B$4:$BS$64,MATCH($A103,Mortality_Matrix!$A$4:$A$64,0),MATCH(2057,Mortality_Matrix!$B$3:$BS$3,0))</f>
        <v>-3.11087016268667E-009</v>
      </c>
      <c r="AV103" s="27" t="n">
        <f aca="false">(AV37-INDEX(Mortality_Matrix!$B$4:$BS$64,MATCH($A103,Mortality_Matrix!$A$4:$A$64,0),MATCH(2058,Mortality_Matrix!$B$3:$BS$3,0)))/INDEX(Mortality_Matrix!$B$4:$BS$64,MATCH($A103,Mortality_Matrix!$A$4:$A$64,0),MATCH(2058,Mortality_Matrix!$B$3:$BS$3,0))</f>
        <v>-3.44033001298893E-009</v>
      </c>
      <c r="AW103" s="27" t="n">
        <f aca="false">(AW37-INDEX(Mortality_Matrix!$B$4:$BS$64,MATCH($A103,Mortality_Matrix!$A$4:$A$64,0),MATCH(2059,Mortality_Matrix!$B$3:$BS$3,0)))/INDEX(Mortality_Matrix!$B$4:$BS$64,MATCH($A103,Mortality_Matrix!$A$4:$A$64,0),MATCH(2059,Mortality_Matrix!$B$3:$BS$3,0))</f>
        <v>-2.88286821569855E-009</v>
      </c>
      <c r="AX103" s="27" t="n">
        <f aca="false">(AX37-INDEX(Mortality_Matrix!$B$4:$BS$64,MATCH($A103,Mortality_Matrix!$A$4:$A$64,0),MATCH(2060,Mortality_Matrix!$B$3:$BS$3,0)))/INDEX(Mortality_Matrix!$B$4:$BS$64,MATCH($A103,Mortality_Matrix!$A$4:$A$64,0),MATCH(2060,Mortality_Matrix!$B$3:$BS$3,0))</f>
        <v>-1.41139562932981E-009</v>
      </c>
      <c r="AY103" s="27" t="n">
        <f aca="false">(AY37-INDEX(Mortality_Matrix!$B$4:$BS$64,MATCH($A103,Mortality_Matrix!$A$4:$A$64,0),MATCH(2061,Mortality_Matrix!$B$3:$BS$3,0)))/INDEX(Mortality_Matrix!$B$4:$BS$64,MATCH($A103,Mortality_Matrix!$A$4:$A$64,0),MATCH(2061,Mortality_Matrix!$B$3:$BS$3,0))</f>
        <v>-2.6754486040656E-009</v>
      </c>
      <c r="AZ103" s="27" t="n">
        <f aca="false">(AZ37-INDEX(Mortality_Matrix!$B$4:$BS$64,MATCH($A103,Mortality_Matrix!$A$4:$A$64,0),MATCH(2062,Mortality_Matrix!$B$3:$BS$3,0)))/INDEX(Mortality_Matrix!$B$4:$BS$64,MATCH($A103,Mortality_Matrix!$A$4:$A$64,0),MATCH(2062,Mortality_Matrix!$B$3:$BS$3,0))</f>
        <v>-3.43376355318794E-009</v>
      </c>
      <c r="BA103" s="27" t="n">
        <f aca="false">(BA37-INDEX(Mortality_Matrix!$B$4:$BS$64,MATCH($A103,Mortality_Matrix!$A$4:$A$64,0),MATCH(2063,Mortality_Matrix!$B$3:$BS$3,0)))/INDEX(Mortality_Matrix!$B$4:$BS$64,MATCH($A103,Mortality_Matrix!$A$4:$A$64,0),MATCH(2063,Mortality_Matrix!$B$3:$BS$3,0))</f>
        <v>-5.68413265734269E-009</v>
      </c>
      <c r="BB103" s="27" t="n">
        <f aca="false">(BB37-INDEX(Mortality_Matrix!$B$4:$BS$64,MATCH($A103,Mortality_Matrix!$A$4:$A$64,0),MATCH(2064,Mortality_Matrix!$B$3:$BS$3,0)))/INDEX(Mortality_Matrix!$B$4:$BS$64,MATCH($A103,Mortality_Matrix!$A$4:$A$64,0),MATCH(2064,Mortality_Matrix!$B$3:$BS$3,0))</f>
        <v>-5.86449882941966E-009</v>
      </c>
      <c r="BC103" s="27" t="n">
        <f aca="false">(BC37-INDEX(Mortality_Matrix!$B$4:$BS$64,MATCH($A103,Mortality_Matrix!$A$4:$A$64,0),MATCH(2065,Mortality_Matrix!$B$3:$BS$3,0)))/INDEX(Mortality_Matrix!$B$4:$BS$64,MATCH($A103,Mortality_Matrix!$A$4:$A$64,0),MATCH(2065,Mortality_Matrix!$B$3:$BS$3,0))</f>
        <v>4.75604902583046E-009</v>
      </c>
      <c r="BD103" s="27" t="n">
        <f aca="false">(BD37-INDEX(Mortality_Matrix!$B$4:$BS$64,MATCH($A103,Mortality_Matrix!$A$4:$A$64,0),MATCH(2066,Mortality_Matrix!$B$3:$BS$3,0)))/INDEX(Mortality_Matrix!$B$4:$BS$64,MATCH($A103,Mortality_Matrix!$A$4:$A$64,0),MATCH(2066,Mortality_Matrix!$B$3:$BS$3,0))</f>
        <v>2.46326478516044E-009</v>
      </c>
      <c r="BE103" s="27" t="n">
        <f aca="false">(BE37-INDEX(Mortality_Matrix!$B$4:$BS$64,MATCH($A103,Mortality_Matrix!$A$4:$A$64,0),MATCH(2067,Mortality_Matrix!$B$3:$BS$3,0)))/INDEX(Mortality_Matrix!$B$4:$BS$64,MATCH($A103,Mortality_Matrix!$A$4:$A$64,0),MATCH(2067,Mortality_Matrix!$B$3:$BS$3,0))</f>
        <v>3.2811052765882E-009</v>
      </c>
      <c r="BF103" s="27" t="n">
        <f aca="false">(BF37-INDEX(Mortality_Matrix!$B$4:$BS$64,MATCH($A103,Mortality_Matrix!$A$4:$A$64,0),MATCH(2068,Mortality_Matrix!$B$3:$BS$3,0)))/INDEX(Mortality_Matrix!$B$4:$BS$64,MATCH($A103,Mortality_Matrix!$A$4:$A$64,0),MATCH(2068,Mortality_Matrix!$B$3:$BS$3,0))</f>
        <v>1.36503999944745E-009</v>
      </c>
      <c r="BG103" s="27" t="n">
        <f aca="false">(BG37-INDEX(Mortality_Matrix!$B$4:$BS$64,MATCH($A103,Mortality_Matrix!$A$4:$A$64,0),MATCH(2069,Mortality_Matrix!$B$3:$BS$3,0)))/INDEX(Mortality_Matrix!$B$4:$BS$64,MATCH($A103,Mortality_Matrix!$A$4:$A$64,0),MATCH(2069,Mortality_Matrix!$B$3:$BS$3,0))</f>
        <v>5.38521026253976E-009</v>
      </c>
      <c r="BH103" s="27" t="n">
        <f aca="false">(BH37-INDEX(Mortality_Matrix!$B$4:$BS$64,MATCH($A103,Mortality_Matrix!$A$4:$A$64,0),MATCH(2070,Mortality_Matrix!$B$3:$BS$3,0)))/INDEX(Mortality_Matrix!$B$4:$BS$64,MATCH($A103,Mortality_Matrix!$A$4:$A$64,0),MATCH(2070,Mortality_Matrix!$B$3:$BS$3,0))</f>
        <v>-6.71047351400222E-010</v>
      </c>
      <c r="BI103" s="27" t="n">
        <f aca="false">(BI37-INDEX(Mortality_Matrix!$B$4:$BS$64,MATCH($A103,Mortality_Matrix!$A$4:$A$64,0),MATCH(2071,Mortality_Matrix!$B$3:$BS$3,0)))/INDEX(Mortality_Matrix!$B$4:$BS$64,MATCH($A103,Mortality_Matrix!$A$4:$A$64,0),MATCH(2071,Mortality_Matrix!$B$3:$BS$3,0))</f>
        <v>6.61357064929104E-009</v>
      </c>
      <c r="BJ103" s="27" t="n">
        <f aca="false">(BJ37-INDEX(Mortality_Matrix!$B$4:$BS$64,MATCH($A103,Mortality_Matrix!$A$4:$A$64,0),MATCH(2072,Mortality_Matrix!$B$3:$BS$3,0)))/INDEX(Mortality_Matrix!$B$4:$BS$64,MATCH($A103,Mortality_Matrix!$A$4:$A$64,0),MATCH(2072,Mortality_Matrix!$B$3:$BS$3,0))</f>
        <v>-2.68175517152871E-009</v>
      </c>
      <c r="BK103" s="27" t="n">
        <f aca="false">(BK37-INDEX(Mortality_Matrix!$B$4:$BS$64,MATCH($A103,Mortality_Matrix!$A$4:$A$64,0),MATCH(2073,Mortality_Matrix!$B$3:$BS$3,0)))/INDEX(Mortality_Matrix!$B$4:$BS$64,MATCH($A103,Mortality_Matrix!$A$4:$A$64,0),MATCH(2073,Mortality_Matrix!$B$3:$BS$3,0))</f>
        <v>-6.53916561192004E-009</v>
      </c>
      <c r="BL103" s="27" t="n">
        <f aca="false">(BL37-INDEX(Mortality_Matrix!$B$4:$BS$64,MATCH($A103,Mortality_Matrix!$A$4:$A$64,0),MATCH(2074,Mortality_Matrix!$B$3:$BS$3,0)))/INDEX(Mortality_Matrix!$B$4:$BS$64,MATCH($A103,Mortality_Matrix!$A$4:$A$64,0),MATCH(2074,Mortality_Matrix!$B$3:$BS$3,0))</f>
        <v>2.27217793278245E-009</v>
      </c>
      <c r="BM103" s="27" t="n">
        <f aca="false">(BM37-INDEX(Mortality_Matrix!$B$4:$BS$64,MATCH($A103,Mortality_Matrix!$A$4:$A$64,0),MATCH(2075,Mortality_Matrix!$B$3:$BS$3,0)))/INDEX(Mortality_Matrix!$B$4:$BS$64,MATCH($A103,Mortality_Matrix!$A$4:$A$64,0),MATCH(2075,Mortality_Matrix!$B$3:$BS$3,0))</f>
        <v>2.98044410780668E-013</v>
      </c>
      <c r="BN103" s="27" t="n">
        <f aca="false">(BN37-INDEX(Mortality_Matrix!$B$4:$BS$64,MATCH($A103,Mortality_Matrix!$A$4:$A$64,0),MATCH(2076,Mortality_Matrix!$B$3:$BS$3,0)))/INDEX(Mortality_Matrix!$B$4:$BS$64,MATCH($A103,Mortality_Matrix!$A$4:$A$64,0),MATCH(2076,Mortality_Matrix!$B$3:$BS$3,0))</f>
        <v>7.931494798651E-010</v>
      </c>
      <c r="BO103" s="27" t="n">
        <f aca="false">(BO37-INDEX(Mortality_Matrix!$B$4:$BS$64,MATCH($A103,Mortality_Matrix!$A$4:$A$64,0),MATCH(2077,Mortality_Matrix!$B$3:$BS$3,0)))/INDEX(Mortality_Matrix!$B$4:$BS$64,MATCH($A103,Mortality_Matrix!$A$4:$A$64,0),MATCH(2077,Mortality_Matrix!$B$3:$BS$3,0))</f>
        <v>2.80924160059625E-010</v>
      </c>
      <c r="BP103" s="27" t="n">
        <f aca="false">(BP37-INDEX(Mortality_Matrix!$B$4:$BS$64,MATCH($A103,Mortality_Matrix!$A$4:$A$64,0),MATCH(2078,Mortality_Matrix!$B$3:$BS$3,0)))/INDEX(Mortality_Matrix!$B$4:$BS$64,MATCH($A103,Mortality_Matrix!$A$4:$A$64,0),MATCH(2078,Mortality_Matrix!$B$3:$BS$3,0))</f>
        <v>3.029630851757E-009</v>
      </c>
      <c r="BQ103" s="27" t="n">
        <f aca="false">(BQ37-INDEX(Mortality_Matrix!$B$4:$BS$64,MATCH($A103,Mortality_Matrix!$A$4:$A$64,0),MATCH(2079,Mortality_Matrix!$B$3:$BS$3,0)))/INDEX(Mortality_Matrix!$B$4:$BS$64,MATCH($A103,Mortality_Matrix!$A$4:$A$64,0),MATCH(2079,Mortality_Matrix!$B$3:$BS$3,0))</f>
        <v>7.32860947120605E-009</v>
      </c>
      <c r="BR103" s="27" t="n">
        <f aca="false">(BR37-INDEX(Mortality_Matrix!$B$4:$BS$64,MATCH($A103,Mortality_Matrix!$A$4:$A$64,0),MATCH(2080,Mortality_Matrix!$B$3:$BS$3,0)))/INDEX(Mortality_Matrix!$B$4:$BS$64,MATCH($A103,Mortality_Matrix!$A$4:$A$64,0),MATCH(2080,Mortality_Matrix!$B$3:$BS$3,0))</f>
        <v>3.88299467636914E-009</v>
      </c>
      <c r="BS103" s="27" t="n">
        <f aca="false">(BS37-INDEX(Mortality_Matrix!$B$4:$BS$64,MATCH($A103,Mortality_Matrix!$A$4:$A$64,0),MATCH(2081,Mortality_Matrix!$B$3:$BS$3,0)))/INDEX(Mortality_Matrix!$B$4:$BS$64,MATCH($A103,Mortality_Matrix!$A$4:$A$64,0),MATCH(2081,Mortality_Matrix!$B$3:$BS$3,0))</f>
        <v>5.51543488846957E-009</v>
      </c>
      <c r="BT103" s="27" t="n">
        <f aca="false">(BT37-INDEX(Mortality_Matrix!$B$4:$BS$64,MATCH($A103,Mortality_Matrix!$A$4:$A$64,0),MATCH(2082,Mortality_Matrix!$B$3:$BS$3,0)))/INDEX(Mortality_Matrix!$B$4:$BS$64,MATCH($A103,Mortality_Matrix!$A$4:$A$64,0),MATCH(2082,Mortality_Matrix!$B$3:$BS$3,0))</f>
        <v>7.01373871768904E-010</v>
      </c>
      <c r="BU103" s="27" t="n">
        <f aca="false">(BU37-INDEX(Mortality_Matrix!$B$4:$BS$64,MATCH($A103,Mortality_Matrix!$A$4:$A$64,0),MATCH(2083,Mortality_Matrix!$B$3:$BS$3,0)))/INDEX(Mortality_Matrix!$B$4:$BS$64,MATCH($A103,Mortality_Matrix!$A$4:$A$64,0),MATCH(2083,Mortality_Matrix!$B$3:$BS$3,0))</f>
        <v>-1.06128471322667E-009</v>
      </c>
      <c r="BV103" s="27" t="n">
        <f aca="false">(BV37-INDEX(Mortality_Matrix!$B$4:$BS$64,MATCH($A103,Mortality_Matrix!$A$4:$A$64,0),MATCH(2084,Mortality_Matrix!$B$3:$BS$3,0)))/INDEX(Mortality_Matrix!$B$4:$BS$64,MATCH($A103,Mortality_Matrix!$A$4:$A$64,0),MATCH(2084,Mortality_Matrix!$B$3:$BS$3,0))</f>
        <v>-9.79943779217409E-010</v>
      </c>
      <c r="BW103" s="27" t="n">
        <f aca="false">(BW37-INDEX(Mortality_Matrix!$B$4:$BS$64,MATCH($A103,Mortality_Matrix!$A$4:$A$64,0),MATCH(2085,Mortality_Matrix!$B$3:$BS$3,0)))/INDEX(Mortality_Matrix!$B$4:$BS$64,MATCH($A103,Mortality_Matrix!$A$4:$A$64,0),MATCH(2085,Mortality_Matrix!$B$3:$BS$3,0))</f>
        <v>3.89225580243142E-009</v>
      </c>
      <c r="BX103" s="27" t="n">
        <f aca="false">(BX37-INDEX(Mortality_Matrix!$B$4:$BS$64,MATCH($A103,Mortality_Matrix!$A$4:$A$64,0),MATCH(2086,Mortality_Matrix!$B$3:$BS$3,0)))/INDEX(Mortality_Matrix!$B$4:$BS$64,MATCH($A103,Mortality_Matrix!$A$4:$A$64,0),MATCH(2086,Mortality_Matrix!$B$3:$BS$3,0))</f>
        <v>3.38923259092431E-009</v>
      </c>
      <c r="BY103" s="27" t="n">
        <f aca="false">(BY37-INDEX(Mortality_Matrix!$B$4:$BS$64,MATCH($A103,Mortality_Matrix!$A$4:$A$64,0),MATCH(2087,Mortality_Matrix!$B$3:$BS$3,0)))/INDEX(Mortality_Matrix!$B$4:$BS$64,MATCH($A103,Mortality_Matrix!$A$4:$A$64,0),MATCH(2087,Mortality_Matrix!$B$3:$BS$3,0))</f>
        <v>6.45333374938672E-009</v>
      </c>
      <c r="BZ103" s="27" t="n">
        <f aca="false">(BZ37-INDEX(Mortality_Matrix!$B$4:$BS$64,MATCH($A103,Mortality_Matrix!$A$4:$A$64,0),MATCH(2088,Mortality_Matrix!$B$3:$BS$3,0)))/INDEX(Mortality_Matrix!$B$4:$BS$64,MATCH($A103,Mortality_Matrix!$A$4:$A$64,0),MATCH(2088,Mortality_Matrix!$B$3:$BS$3,0))</f>
        <v>7.23102435170206E-009</v>
      </c>
      <c r="CA103" s="27" t="n">
        <f aca="false">(CA37-INDEX(Mortality_Matrix!$B$4:$BS$64,MATCH($A103,Mortality_Matrix!$A$4:$A$64,0),MATCH(2089,Mortality_Matrix!$B$3:$BS$3,0)))/INDEX(Mortality_Matrix!$B$4:$BS$64,MATCH($A103,Mortality_Matrix!$A$4:$A$64,0),MATCH(2089,Mortality_Matrix!$B$3:$BS$3,0))</f>
        <v>6.51577385201276E-010</v>
      </c>
      <c r="CB103" s="27" t="n">
        <f aca="false">(CB37-INDEX(Mortality_Matrix!$B$4:$BS$64,MATCH($A103,Mortality_Matrix!$A$4:$A$64,0),MATCH(2090,Mortality_Matrix!$B$3:$BS$3,0)))/INDEX(Mortality_Matrix!$B$4:$BS$64,MATCH($A103,Mortality_Matrix!$A$4:$A$64,0),MATCH(2090,Mortality_Matrix!$B$3:$BS$3,0))</f>
        <v>-5.06227326747694E-010</v>
      </c>
      <c r="CC103" s="27" t="n">
        <f aca="false">(CC37-INDEX(Mortality_Matrix!$B$4:$BS$64,MATCH($A103,Mortality_Matrix!$A$4:$A$64,0),MATCH(2091,Mortality_Matrix!$B$3:$BS$3,0)))/INDEX(Mortality_Matrix!$B$4:$BS$64,MATCH($A103,Mortality_Matrix!$A$4:$A$64,0),MATCH(2091,Mortality_Matrix!$B$3:$BS$3,0))</f>
        <v>-1.22957261462635E-009</v>
      </c>
    </row>
    <row r="104" customFormat="false" ht="15" hidden="false" customHeight="true" outlineLevel="0" collapsed="false">
      <c r="A104" s="3" t="n">
        <v>75</v>
      </c>
      <c r="L104" s="27" t="n">
        <f aca="false">(L38-INDEX(Mortality_Matrix!$B$4:$BS$64,MATCH($A104,Mortality_Matrix!$A$4:$A$64,0),MATCH(2022,Mortality_Matrix!$B$3:$BS$3,0)))/INDEX(Mortality_Matrix!$B$4:$BS$64,MATCH($A104,Mortality_Matrix!$A$4:$A$64,0),MATCH(2022,Mortality_Matrix!$B$3:$BS$3,0))</f>
        <v>-9.84180926699279E-010</v>
      </c>
      <c r="M104" s="27" t="n">
        <f aca="false">(M38-INDEX(Mortality_Matrix!$B$4:$BS$64,MATCH($A104,Mortality_Matrix!$A$4:$A$64,0),MATCH(2023,Mortality_Matrix!$B$3:$BS$3,0)))/INDEX(Mortality_Matrix!$B$4:$BS$64,MATCH($A104,Mortality_Matrix!$A$4:$A$64,0),MATCH(2023,Mortality_Matrix!$B$3:$BS$3,0))</f>
        <v>9.67238722345595E-010</v>
      </c>
      <c r="N104" s="27" t="n">
        <f aca="false">(N38-INDEX(Mortality_Matrix!$B$4:$BS$64,MATCH($A104,Mortality_Matrix!$A$4:$A$64,0),MATCH(2024,Mortality_Matrix!$B$3:$BS$3,0)))/INDEX(Mortality_Matrix!$B$4:$BS$64,MATCH($A104,Mortality_Matrix!$A$4:$A$64,0),MATCH(2024,Mortality_Matrix!$B$3:$BS$3,0))</f>
        <v>2.06831154229579E-009</v>
      </c>
      <c r="O104" s="27" t="n">
        <f aca="false">(O38-INDEX(Mortality_Matrix!$B$4:$BS$64,MATCH($A104,Mortality_Matrix!$A$4:$A$64,0),MATCH(2025,Mortality_Matrix!$B$3:$BS$3,0)))/INDEX(Mortality_Matrix!$B$4:$BS$64,MATCH($A104,Mortality_Matrix!$A$4:$A$64,0),MATCH(2025,Mortality_Matrix!$B$3:$BS$3,0))</f>
        <v>6.56634877141772E-010</v>
      </c>
      <c r="P104" s="27" t="n">
        <f aca="false">(P38-INDEX(Mortality_Matrix!$B$4:$BS$64,MATCH($A104,Mortality_Matrix!$A$4:$A$64,0),MATCH(2026,Mortality_Matrix!$B$3:$BS$3,0)))/INDEX(Mortality_Matrix!$B$4:$BS$64,MATCH($A104,Mortality_Matrix!$A$4:$A$64,0),MATCH(2026,Mortality_Matrix!$B$3:$BS$3,0))</f>
        <v>2.43158254057798E-009</v>
      </c>
      <c r="Q104" s="27" t="n">
        <f aca="false">(Q38-INDEX(Mortality_Matrix!$B$4:$BS$64,MATCH($A104,Mortality_Matrix!$A$4:$A$64,0),MATCH(2027,Mortality_Matrix!$B$3:$BS$3,0)))/INDEX(Mortality_Matrix!$B$4:$BS$64,MATCH($A104,Mortality_Matrix!$A$4:$A$64,0),MATCH(2027,Mortality_Matrix!$B$3:$BS$3,0))</f>
        <v>-2.71961157164388E-009</v>
      </c>
      <c r="R104" s="27" t="n">
        <f aca="false">(R38-INDEX(Mortality_Matrix!$B$4:$BS$64,MATCH($A104,Mortality_Matrix!$A$4:$A$64,0),MATCH(2028,Mortality_Matrix!$B$3:$BS$3,0)))/INDEX(Mortality_Matrix!$B$4:$BS$64,MATCH($A104,Mortality_Matrix!$A$4:$A$64,0),MATCH(2028,Mortality_Matrix!$B$3:$BS$3,0))</f>
        <v>-1.47007332597799E-009</v>
      </c>
      <c r="S104" s="27" t="n">
        <f aca="false">(S38-INDEX(Mortality_Matrix!$B$4:$BS$64,MATCH($A104,Mortality_Matrix!$A$4:$A$64,0),MATCH(2029,Mortality_Matrix!$B$3:$BS$3,0)))/INDEX(Mortality_Matrix!$B$4:$BS$64,MATCH($A104,Mortality_Matrix!$A$4:$A$64,0),MATCH(2029,Mortality_Matrix!$B$3:$BS$3,0))</f>
        <v>1.16584265429624E-009</v>
      </c>
      <c r="T104" s="27" t="n">
        <f aca="false">(T38-INDEX(Mortality_Matrix!$B$4:$BS$64,MATCH($A104,Mortality_Matrix!$A$4:$A$64,0),MATCH(2030,Mortality_Matrix!$B$3:$BS$3,0)))/INDEX(Mortality_Matrix!$B$4:$BS$64,MATCH($A104,Mortality_Matrix!$A$4:$A$64,0),MATCH(2030,Mortality_Matrix!$B$3:$BS$3,0))</f>
        <v>-2.0055612058949E-009</v>
      </c>
      <c r="U104" s="27" t="n">
        <f aca="false">(U38-INDEX(Mortality_Matrix!$B$4:$BS$64,MATCH($A104,Mortality_Matrix!$A$4:$A$64,0),MATCH(2031,Mortality_Matrix!$B$3:$BS$3,0)))/INDEX(Mortality_Matrix!$B$4:$BS$64,MATCH($A104,Mortality_Matrix!$A$4:$A$64,0),MATCH(2031,Mortality_Matrix!$B$3:$BS$3,0))</f>
        <v>1.43586990613778E-009</v>
      </c>
      <c r="V104" s="27" t="n">
        <f aca="false">(V38-INDEX(Mortality_Matrix!$B$4:$BS$64,MATCH($A104,Mortality_Matrix!$A$4:$A$64,0),MATCH(2032,Mortality_Matrix!$B$3:$BS$3,0)))/INDEX(Mortality_Matrix!$B$4:$BS$64,MATCH($A104,Mortality_Matrix!$A$4:$A$64,0),MATCH(2032,Mortality_Matrix!$B$3:$BS$3,0))</f>
        <v>-5.11800519353616E-010</v>
      </c>
      <c r="W104" s="27" t="n">
        <f aca="false">(W38-INDEX(Mortality_Matrix!$B$4:$BS$64,MATCH($A104,Mortality_Matrix!$A$4:$A$64,0),MATCH(2033,Mortality_Matrix!$B$3:$BS$3,0)))/INDEX(Mortality_Matrix!$B$4:$BS$64,MATCH($A104,Mortality_Matrix!$A$4:$A$64,0),MATCH(2033,Mortality_Matrix!$B$3:$BS$3,0))</f>
        <v>2.61859597844788E-009</v>
      </c>
      <c r="X104" s="27" t="n">
        <f aca="false">(X38-INDEX(Mortality_Matrix!$B$4:$BS$64,MATCH($A104,Mortality_Matrix!$A$4:$A$64,0),MATCH(2034,Mortality_Matrix!$B$3:$BS$3,0)))/INDEX(Mortality_Matrix!$B$4:$BS$64,MATCH($A104,Mortality_Matrix!$A$4:$A$64,0),MATCH(2034,Mortality_Matrix!$B$3:$BS$3,0))</f>
        <v>1.34698464880742E-009</v>
      </c>
      <c r="Y104" s="27" t="n">
        <f aca="false">(Y38-INDEX(Mortality_Matrix!$B$4:$BS$64,MATCH($A104,Mortality_Matrix!$A$4:$A$64,0),MATCH(2035,Mortality_Matrix!$B$3:$BS$3,0)))/INDEX(Mortality_Matrix!$B$4:$BS$64,MATCH($A104,Mortality_Matrix!$A$4:$A$64,0),MATCH(2035,Mortality_Matrix!$B$3:$BS$3,0))</f>
        <v>-6.06030111974751E-010</v>
      </c>
      <c r="Z104" s="27" t="n">
        <f aca="false">(Z38-INDEX(Mortality_Matrix!$B$4:$BS$64,MATCH($A104,Mortality_Matrix!$A$4:$A$64,0),MATCH(2036,Mortality_Matrix!$B$3:$BS$3,0)))/INDEX(Mortality_Matrix!$B$4:$BS$64,MATCH($A104,Mortality_Matrix!$A$4:$A$64,0),MATCH(2036,Mortality_Matrix!$B$3:$BS$3,0))</f>
        <v>5.36575060078396E-010</v>
      </c>
      <c r="AA104" s="27" t="n">
        <f aca="false">(AA38-INDEX(Mortality_Matrix!$B$4:$BS$64,MATCH($A104,Mortality_Matrix!$A$4:$A$64,0),MATCH(2037,Mortality_Matrix!$B$3:$BS$3,0)))/INDEX(Mortality_Matrix!$B$4:$BS$64,MATCH($A104,Mortality_Matrix!$A$4:$A$64,0),MATCH(2037,Mortality_Matrix!$B$3:$BS$3,0))</f>
        <v>1.15069543340045E-009</v>
      </c>
      <c r="AB104" s="27" t="n">
        <f aca="false">(AB38-INDEX(Mortality_Matrix!$B$4:$BS$64,MATCH($A104,Mortality_Matrix!$A$4:$A$64,0),MATCH(2038,Mortality_Matrix!$B$3:$BS$3,0)))/INDEX(Mortality_Matrix!$B$4:$BS$64,MATCH($A104,Mortality_Matrix!$A$4:$A$64,0),MATCH(2038,Mortality_Matrix!$B$3:$BS$3,0))</f>
        <v>2.67473947480842E-009</v>
      </c>
      <c r="AC104" s="27" t="n">
        <f aca="false">(AC38-INDEX(Mortality_Matrix!$B$4:$BS$64,MATCH($A104,Mortality_Matrix!$A$4:$A$64,0),MATCH(2039,Mortality_Matrix!$B$3:$BS$3,0)))/INDEX(Mortality_Matrix!$B$4:$BS$64,MATCH($A104,Mortality_Matrix!$A$4:$A$64,0),MATCH(2039,Mortality_Matrix!$B$3:$BS$3,0))</f>
        <v>-2.88130469794362E-009</v>
      </c>
      <c r="AD104" s="27" t="n">
        <f aca="false">(AD38-INDEX(Mortality_Matrix!$B$4:$BS$64,MATCH($A104,Mortality_Matrix!$A$4:$A$64,0),MATCH(2040,Mortality_Matrix!$B$3:$BS$3,0)))/INDEX(Mortality_Matrix!$B$4:$BS$64,MATCH($A104,Mortality_Matrix!$A$4:$A$64,0),MATCH(2040,Mortality_Matrix!$B$3:$BS$3,0))</f>
        <v>1.22423462294385E-009</v>
      </c>
      <c r="AE104" s="27" t="n">
        <f aca="false">(AE38-INDEX(Mortality_Matrix!$B$4:$BS$64,MATCH($A104,Mortality_Matrix!$A$4:$A$64,0),MATCH(2041,Mortality_Matrix!$B$3:$BS$3,0)))/INDEX(Mortality_Matrix!$B$4:$BS$64,MATCH($A104,Mortality_Matrix!$A$4:$A$64,0),MATCH(2041,Mortality_Matrix!$B$3:$BS$3,0))</f>
        <v>-4.42989572173653E-010</v>
      </c>
      <c r="AF104" s="27" t="n">
        <f aca="false">(AF38-INDEX(Mortality_Matrix!$B$4:$BS$64,MATCH($A104,Mortality_Matrix!$A$4:$A$64,0),MATCH(2042,Mortality_Matrix!$B$3:$BS$3,0)))/INDEX(Mortality_Matrix!$B$4:$BS$64,MATCH($A104,Mortality_Matrix!$A$4:$A$64,0),MATCH(2042,Mortality_Matrix!$B$3:$BS$3,0))</f>
        <v>7.21536779673068E-011</v>
      </c>
      <c r="AG104" s="27" t="n">
        <f aca="false">(AG38-INDEX(Mortality_Matrix!$B$4:$BS$64,MATCH($A104,Mortality_Matrix!$A$4:$A$64,0),MATCH(2043,Mortality_Matrix!$B$3:$BS$3,0)))/INDEX(Mortality_Matrix!$B$4:$BS$64,MATCH($A104,Mortality_Matrix!$A$4:$A$64,0),MATCH(2043,Mortality_Matrix!$B$3:$BS$3,0))</f>
        <v>-2.24393608708704E-009</v>
      </c>
      <c r="AH104" s="27" t="n">
        <f aca="false">(AH38-INDEX(Mortality_Matrix!$B$4:$BS$64,MATCH($A104,Mortality_Matrix!$A$4:$A$64,0),MATCH(2044,Mortality_Matrix!$B$3:$BS$3,0)))/INDEX(Mortality_Matrix!$B$4:$BS$64,MATCH($A104,Mortality_Matrix!$A$4:$A$64,0),MATCH(2044,Mortality_Matrix!$B$3:$BS$3,0))</f>
        <v>3.14143700006813E-009</v>
      </c>
      <c r="AI104" s="27" t="n">
        <f aca="false">(AI38-INDEX(Mortality_Matrix!$B$4:$BS$64,MATCH($A104,Mortality_Matrix!$A$4:$A$64,0),MATCH(2045,Mortality_Matrix!$B$3:$BS$3,0)))/INDEX(Mortality_Matrix!$B$4:$BS$64,MATCH($A104,Mortality_Matrix!$A$4:$A$64,0),MATCH(2045,Mortality_Matrix!$B$3:$BS$3,0))</f>
        <v>-3.519530643594E-009</v>
      </c>
      <c r="AJ104" s="27" t="n">
        <f aca="false">(AJ38-INDEX(Mortality_Matrix!$B$4:$BS$64,MATCH($A104,Mortality_Matrix!$A$4:$A$64,0),MATCH(2046,Mortality_Matrix!$B$3:$BS$3,0)))/INDEX(Mortality_Matrix!$B$4:$BS$64,MATCH($A104,Mortality_Matrix!$A$4:$A$64,0),MATCH(2046,Mortality_Matrix!$B$3:$BS$3,0))</f>
        <v>2.7738046368422E-009</v>
      </c>
      <c r="AK104" s="27" t="n">
        <f aca="false">(AK38-INDEX(Mortality_Matrix!$B$4:$BS$64,MATCH($A104,Mortality_Matrix!$A$4:$A$64,0),MATCH(2047,Mortality_Matrix!$B$3:$BS$3,0)))/INDEX(Mortality_Matrix!$B$4:$BS$64,MATCH($A104,Mortality_Matrix!$A$4:$A$64,0),MATCH(2047,Mortality_Matrix!$B$3:$BS$3,0))</f>
        <v>-8.37466986901166E-010</v>
      </c>
      <c r="AL104" s="27" t="n">
        <f aca="false">(AL38-INDEX(Mortality_Matrix!$B$4:$BS$64,MATCH($A104,Mortality_Matrix!$A$4:$A$64,0),MATCH(2048,Mortality_Matrix!$B$3:$BS$3,0)))/INDEX(Mortality_Matrix!$B$4:$BS$64,MATCH($A104,Mortality_Matrix!$A$4:$A$64,0),MATCH(2048,Mortality_Matrix!$B$3:$BS$3,0))</f>
        <v>-9.58332989646056E-010</v>
      </c>
      <c r="AM104" s="27" t="n">
        <f aca="false">(AM38-INDEX(Mortality_Matrix!$B$4:$BS$64,MATCH($A104,Mortality_Matrix!$A$4:$A$64,0),MATCH(2049,Mortality_Matrix!$B$3:$BS$3,0)))/INDEX(Mortality_Matrix!$B$4:$BS$64,MATCH($A104,Mortality_Matrix!$A$4:$A$64,0),MATCH(2049,Mortality_Matrix!$B$3:$BS$3,0))</f>
        <v>-3.20795205964383E-009</v>
      </c>
      <c r="AN104" s="27" t="n">
        <f aca="false">(AN38-INDEX(Mortality_Matrix!$B$4:$BS$64,MATCH($A104,Mortality_Matrix!$A$4:$A$64,0),MATCH(2050,Mortality_Matrix!$B$3:$BS$3,0)))/INDEX(Mortality_Matrix!$B$4:$BS$64,MATCH($A104,Mortality_Matrix!$A$4:$A$64,0),MATCH(2050,Mortality_Matrix!$B$3:$BS$3,0))</f>
        <v>-1.2978002565699E-009</v>
      </c>
      <c r="AO104" s="27" t="n">
        <f aca="false">(AO38-INDEX(Mortality_Matrix!$B$4:$BS$64,MATCH($A104,Mortality_Matrix!$A$4:$A$64,0),MATCH(2051,Mortality_Matrix!$B$3:$BS$3,0)))/INDEX(Mortality_Matrix!$B$4:$BS$64,MATCH($A104,Mortality_Matrix!$A$4:$A$64,0),MATCH(2051,Mortality_Matrix!$B$3:$BS$3,0))</f>
        <v>-2.22526317587675E-009</v>
      </c>
      <c r="AP104" s="27" t="n">
        <f aca="false">(AP38-INDEX(Mortality_Matrix!$B$4:$BS$64,MATCH($A104,Mortality_Matrix!$A$4:$A$64,0),MATCH(2052,Mortality_Matrix!$B$3:$BS$3,0)))/INDEX(Mortality_Matrix!$B$4:$BS$64,MATCH($A104,Mortality_Matrix!$A$4:$A$64,0),MATCH(2052,Mortality_Matrix!$B$3:$BS$3,0))</f>
        <v>-2.43926016172754E-009</v>
      </c>
      <c r="AQ104" s="27" t="n">
        <f aca="false">(AQ38-INDEX(Mortality_Matrix!$B$4:$BS$64,MATCH($A104,Mortality_Matrix!$A$4:$A$64,0),MATCH(2053,Mortality_Matrix!$B$3:$BS$3,0)))/INDEX(Mortality_Matrix!$B$4:$BS$64,MATCH($A104,Mortality_Matrix!$A$4:$A$64,0),MATCH(2053,Mortality_Matrix!$B$3:$BS$3,0))</f>
        <v>3.47009756525697E-009</v>
      </c>
      <c r="AR104" s="27" t="n">
        <f aca="false">(AR38-INDEX(Mortality_Matrix!$B$4:$BS$64,MATCH($A104,Mortality_Matrix!$A$4:$A$64,0),MATCH(2054,Mortality_Matrix!$B$3:$BS$3,0)))/INDEX(Mortality_Matrix!$B$4:$BS$64,MATCH($A104,Mortality_Matrix!$A$4:$A$64,0),MATCH(2054,Mortality_Matrix!$B$3:$BS$3,0))</f>
        <v>-4.38199009884062E-009</v>
      </c>
      <c r="AS104" s="27" t="n">
        <f aca="false">(AS38-INDEX(Mortality_Matrix!$B$4:$BS$64,MATCH($A104,Mortality_Matrix!$A$4:$A$64,0),MATCH(2055,Mortality_Matrix!$B$3:$BS$3,0)))/INDEX(Mortality_Matrix!$B$4:$BS$64,MATCH($A104,Mortality_Matrix!$A$4:$A$64,0),MATCH(2055,Mortality_Matrix!$B$3:$BS$3,0))</f>
        <v>-2.27711303483173E-009</v>
      </c>
      <c r="AT104" s="27" t="n">
        <f aca="false">(AT38-INDEX(Mortality_Matrix!$B$4:$BS$64,MATCH($A104,Mortality_Matrix!$A$4:$A$64,0),MATCH(2056,Mortality_Matrix!$B$3:$BS$3,0)))/INDEX(Mortality_Matrix!$B$4:$BS$64,MATCH($A104,Mortality_Matrix!$A$4:$A$64,0),MATCH(2056,Mortality_Matrix!$B$3:$BS$3,0))</f>
        <v>-2.18617988884764E-009</v>
      </c>
      <c r="AU104" s="27" t="n">
        <f aca="false">(AU38-INDEX(Mortality_Matrix!$B$4:$BS$64,MATCH($A104,Mortality_Matrix!$A$4:$A$64,0),MATCH(2057,Mortality_Matrix!$B$3:$BS$3,0)))/INDEX(Mortality_Matrix!$B$4:$BS$64,MATCH($A104,Mortality_Matrix!$A$4:$A$64,0),MATCH(2057,Mortality_Matrix!$B$3:$BS$3,0))</f>
        <v>2.94523320410306E-011</v>
      </c>
      <c r="AV104" s="27" t="n">
        <f aca="false">(AV38-INDEX(Mortality_Matrix!$B$4:$BS$64,MATCH($A104,Mortality_Matrix!$A$4:$A$64,0),MATCH(2058,Mortality_Matrix!$B$3:$BS$3,0)))/INDEX(Mortality_Matrix!$B$4:$BS$64,MATCH($A104,Mortality_Matrix!$A$4:$A$64,0),MATCH(2058,Mortality_Matrix!$B$3:$BS$3,0))</f>
        <v>-3.06343533465502E-009</v>
      </c>
      <c r="AW104" s="27" t="n">
        <f aca="false">(AW38-INDEX(Mortality_Matrix!$B$4:$BS$64,MATCH($A104,Mortality_Matrix!$A$4:$A$64,0),MATCH(2059,Mortality_Matrix!$B$3:$BS$3,0)))/INDEX(Mortality_Matrix!$B$4:$BS$64,MATCH($A104,Mortality_Matrix!$A$4:$A$64,0),MATCH(2059,Mortality_Matrix!$B$3:$BS$3,0))</f>
        <v>-3.63434220962816E-009</v>
      </c>
      <c r="AX104" s="27" t="n">
        <f aca="false">(AX38-INDEX(Mortality_Matrix!$B$4:$BS$64,MATCH($A104,Mortality_Matrix!$A$4:$A$64,0),MATCH(2060,Mortality_Matrix!$B$3:$BS$3,0)))/INDEX(Mortality_Matrix!$B$4:$BS$64,MATCH($A104,Mortality_Matrix!$A$4:$A$64,0),MATCH(2060,Mortality_Matrix!$B$3:$BS$3,0))</f>
        <v>2.45146659387402E-009</v>
      </c>
      <c r="AY104" s="27" t="n">
        <f aca="false">(AY38-INDEX(Mortality_Matrix!$B$4:$BS$64,MATCH($A104,Mortality_Matrix!$A$4:$A$64,0),MATCH(2061,Mortality_Matrix!$B$3:$BS$3,0)))/INDEX(Mortality_Matrix!$B$4:$BS$64,MATCH($A104,Mortality_Matrix!$A$4:$A$64,0),MATCH(2061,Mortality_Matrix!$B$3:$BS$3,0))</f>
        <v>4.70710447087864E-009</v>
      </c>
      <c r="AZ104" s="27" t="n">
        <f aca="false">(AZ38-INDEX(Mortality_Matrix!$B$4:$BS$64,MATCH($A104,Mortality_Matrix!$A$4:$A$64,0),MATCH(2062,Mortality_Matrix!$B$3:$BS$3,0)))/INDEX(Mortality_Matrix!$B$4:$BS$64,MATCH($A104,Mortality_Matrix!$A$4:$A$64,0),MATCH(2062,Mortality_Matrix!$B$3:$BS$3,0))</f>
        <v>-4.00480493800452E-009</v>
      </c>
      <c r="BA104" s="27" t="n">
        <f aca="false">(BA38-INDEX(Mortality_Matrix!$B$4:$BS$64,MATCH($A104,Mortality_Matrix!$A$4:$A$64,0),MATCH(2063,Mortality_Matrix!$B$3:$BS$3,0)))/INDEX(Mortality_Matrix!$B$4:$BS$64,MATCH($A104,Mortality_Matrix!$A$4:$A$64,0),MATCH(2063,Mortality_Matrix!$B$3:$BS$3,0))</f>
        <v>2.3127508043301E-009</v>
      </c>
      <c r="BB104" s="27" t="n">
        <f aca="false">(BB38-INDEX(Mortality_Matrix!$B$4:$BS$64,MATCH($A104,Mortality_Matrix!$A$4:$A$64,0),MATCH(2064,Mortality_Matrix!$B$3:$BS$3,0)))/INDEX(Mortality_Matrix!$B$4:$BS$64,MATCH($A104,Mortality_Matrix!$A$4:$A$64,0),MATCH(2064,Mortality_Matrix!$B$3:$BS$3,0))</f>
        <v>2.41537105107161E-009</v>
      </c>
      <c r="BC104" s="27" t="n">
        <f aca="false">(BC38-INDEX(Mortality_Matrix!$B$4:$BS$64,MATCH($A104,Mortality_Matrix!$A$4:$A$64,0),MATCH(2065,Mortality_Matrix!$B$3:$BS$3,0)))/INDEX(Mortality_Matrix!$B$4:$BS$64,MATCH($A104,Mortality_Matrix!$A$4:$A$64,0),MATCH(2065,Mortality_Matrix!$B$3:$BS$3,0))</f>
        <v>-3.73142240435963E-009</v>
      </c>
      <c r="BD104" s="27" t="n">
        <f aca="false">(BD38-INDEX(Mortality_Matrix!$B$4:$BS$64,MATCH($A104,Mortality_Matrix!$A$4:$A$64,0),MATCH(2066,Mortality_Matrix!$B$3:$BS$3,0)))/INDEX(Mortality_Matrix!$B$4:$BS$64,MATCH($A104,Mortality_Matrix!$A$4:$A$64,0),MATCH(2066,Mortality_Matrix!$B$3:$BS$3,0))</f>
        <v>-4.68334782467822E-009</v>
      </c>
      <c r="BE104" s="27" t="n">
        <f aca="false">(BE38-INDEX(Mortality_Matrix!$B$4:$BS$64,MATCH($A104,Mortality_Matrix!$A$4:$A$64,0),MATCH(2067,Mortality_Matrix!$B$3:$BS$3,0)))/INDEX(Mortality_Matrix!$B$4:$BS$64,MATCH($A104,Mortality_Matrix!$A$4:$A$64,0),MATCH(2067,Mortality_Matrix!$B$3:$BS$3,0))</f>
        <v>1.0614921388489E-009</v>
      </c>
      <c r="BF104" s="27" t="n">
        <f aca="false">(BF38-INDEX(Mortality_Matrix!$B$4:$BS$64,MATCH($A104,Mortality_Matrix!$A$4:$A$64,0),MATCH(2068,Mortality_Matrix!$B$3:$BS$3,0)))/INDEX(Mortality_Matrix!$B$4:$BS$64,MATCH($A104,Mortality_Matrix!$A$4:$A$64,0),MATCH(2068,Mortality_Matrix!$B$3:$BS$3,0))</f>
        <v>3.45983134567253E-009</v>
      </c>
      <c r="BG104" s="27" t="n">
        <f aca="false">(BG38-INDEX(Mortality_Matrix!$B$4:$BS$64,MATCH($A104,Mortality_Matrix!$A$4:$A$64,0),MATCH(2069,Mortality_Matrix!$B$3:$BS$3,0)))/INDEX(Mortality_Matrix!$B$4:$BS$64,MATCH($A104,Mortality_Matrix!$A$4:$A$64,0),MATCH(2069,Mortality_Matrix!$B$3:$BS$3,0))</f>
        <v>1.35699592018136E-009</v>
      </c>
      <c r="BH104" s="27" t="n">
        <f aca="false">(BH38-INDEX(Mortality_Matrix!$B$4:$BS$64,MATCH($A104,Mortality_Matrix!$A$4:$A$64,0),MATCH(2070,Mortality_Matrix!$B$3:$BS$3,0)))/INDEX(Mortality_Matrix!$B$4:$BS$64,MATCH($A104,Mortality_Matrix!$A$4:$A$64,0),MATCH(2070,Mortality_Matrix!$B$3:$BS$3,0))</f>
        <v>2.36824463868519E-009</v>
      </c>
      <c r="BI104" s="27" t="n">
        <f aca="false">(BI38-INDEX(Mortality_Matrix!$B$4:$BS$64,MATCH($A104,Mortality_Matrix!$A$4:$A$64,0),MATCH(2071,Mortality_Matrix!$B$3:$BS$3,0)))/INDEX(Mortality_Matrix!$B$4:$BS$64,MATCH($A104,Mortality_Matrix!$A$4:$A$64,0),MATCH(2071,Mortality_Matrix!$B$3:$BS$3,0))</f>
        <v>-8.43042870932341E-011</v>
      </c>
      <c r="BJ104" s="27" t="n">
        <f aca="false">(BJ38-INDEX(Mortality_Matrix!$B$4:$BS$64,MATCH($A104,Mortality_Matrix!$A$4:$A$64,0),MATCH(2072,Mortality_Matrix!$B$3:$BS$3,0)))/INDEX(Mortality_Matrix!$B$4:$BS$64,MATCH($A104,Mortality_Matrix!$A$4:$A$64,0),MATCH(2072,Mortality_Matrix!$B$3:$BS$3,0))</f>
        <v>-5.52733580029764E-009</v>
      </c>
      <c r="BK104" s="27" t="n">
        <f aca="false">(BK38-INDEX(Mortality_Matrix!$B$4:$BS$64,MATCH($A104,Mortality_Matrix!$A$4:$A$64,0),MATCH(2073,Mortality_Matrix!$B$3:$BS$3,0)))/INDEX(Mortality_Matrix!$B$4:$BS$64,MATCH($A104,Mortality_Matrix!$A$4:$A$64,0),MATCH(2073,Mortality_Matrix!$B$3:$BS$3,0))</f>
        <v>5.05421394027454E-009</v>
      </c>
      <c r="BL104" s="27" t="n">
        <f aca="false">(BL38-INDEX(Mortality_Matrix!$B$4:$BS$64,MATCH($A104,Mortality_Matrix!$A$4:$A$64,0),MATCH(2074,Mortality_Matrix!$B$3:$BS$3,0)))/INDEX(Mortality_Matrix!$B$4:$BS$64,MATCH($A104,Mortality_Matrix!$A$4:$A$64,0),MATCH(2074,Mortality_Matrix!$B$3:$BS$3,0))</f>
        <v>-1.80917123400406E-009</v>
      </c>
      <c r="BM104" s="27" t="n">
        <f aca="false">(BM38-INDEX(Mortality_Matrix!$B$4:$BS$64,MATCH($A104,Mortality_Matrix!$A$4:$A$64,0),MATCH(2075,Mortality_Matrix!$B$3:$BS$3,0)))/INDEX(Mortality_Matrix!$B$4:$BS$64,MATCH($A104,Mortality_Matrix!$A$4:$A$64,0),MATCH(2075,Mortality_Matrix!$B$3:$BS$3,0))</f>
        <v>4.24987541922185E-009</v>
      </c>
      <c r="BN104" s="27" t="n">
        <f aca="false">(BN38-INDEX(Mortality_Matrix!$B$4:$BS$64,MATCH($A104,Mortality_Matrix!$A$4:$A$64,0),MATCH(2076,Mortality_Matrix!$B$3:$BS$3,0)))/INDEX(Mortality_Matrix!$B$4:$BS$64,MATCH($A104,Mortality_Matrix!$A$4:$A$64,0),MATCH(2076,Mortality_Matrix!$B$3:$BS$3,0))</f>
        <v>-1.47084886073451E-009</v>
      </c>
      <c r="BO104" s="27" t="n">
        <f aca="false">(BO38-INDEX(Mortality_Matrix!$B$4:$BS$64,MATCH($A104,Mortality_Matrix!$A$4:$A$64,0),MATCH(2077,Mortality_Matrix!$B$3:$BS$3,0)))/INDEX(Mortality_Matrix!$B$4:$BS$64,MATCH($A104,Mortality_Matrix!$A$4:$A$64,0),MATCH(2077,Mortality_Matrix!$B$3:$BS$3,0))</f>
        <v>-3.90639549005039E-009</v>
      </c>
      <c r="BP104" s="27" t="n">
        <f aca="false">(BP38-INDEX(Mortality_Matrix!$B$4:$BS$64,MATCH($A104,Mortality_Matrix!$A$4:$A$64,0),MATCH(2078,Mortality_Matrix!$B$3:$BS$3,0)))/INDEX(Mortality_Matrix!$B$4:$BS$64,MATCH($A104,Mortality_Matrix!$A$4:$A$64,0),MATCH(2078,Mortality_Matrix!$B$3:$BS$3,0))</f>
        <v>3.32131034803537E-009</v>
      </c>
      <c r="BQ104" s="27" t="n">
        <f aca="false">(BQ38-INDEX(Mortality_Matrix!$B$4:$BS$64,MATCH($A104,Mortality_Matrix!$A$4:$A$64,0),MATCH(2079,Mortality_Matrix!$B$3:$BS$3,0)))/INDEX(Mortality_Matrix!$B$4:$BS$64,MATCH($A104,Mortality_Matrix!$A$4:$A$64,0),MATCH(2079,Mortality_Matrix!$B$3:$BS$3,0))</f>
        <v>3.5144094412059E-009</v>
      </c>
      <c r="BR104" s="27" t="n">
        <f aca="false">(BR38-INDEX(Mortality_Matrix!$B$4:$BS$64,MATCH($A104,Mortality_Matrix!$A$4:$A$64,0),MATCH(2080,Mortality_Matrix!$B$3:$BS$3,0)))/INDEX(Mortality_Matrix!$B$4:$BS$64,MATCH($A104,Mortality_Matrix!$A$4:$A$64,0),MATCH(2080,Mortality_Matrix!$B$3:$BS$3,0))</f>
        <v>-6.48362394266023E-009</v>
      </c>
      <c r="BS104" s="27" t="n">
        <f aca="false">(BS38-INDEX(Mortality_Matrix!$B$4:$BS$64,MATCH($A104,Mortality_Matrix!$A$4:$A$64,0),MATCH(2081,Mortality_Matrix!$B$3:$BS$3,0)))/INDEX(Mortality_Matrix!$B$4:$BS$64,MATCH($A104,Mortality_Matrix!$A$4:$A$64,0),MATCH(2081,Mortality_Matrix!$B$3:$BS$3,0))</f>
        <v>-2.76848595413485E-009</v>
      </c>
      <c r="BT104" s="27" t="n">
        <f aca="false">(BT38-INDEX(Mortality_Matrix!$B$4:$BS$64,MATCH($A104,Mortality_Matrix!$A$4:$A$64,0),MATCH(2082,Mortality_Matrix!$B$3:$BS$3,0)))/INDEX(Mortality_Matrix!$B$4:$BS$64,MATCH($A104,Mortality_Matrix!$A$4:$A$64,0),MATCH(2082,Mortality_Matrix!$B$3:$BS$3,0))</f>
        <v>-4.78516937543895E-010</v>
      </c>
      <c r="BU104" s="27" t="n">
        <f aca="false">(BU38-INDEX(Mortality_Matrix!$B$4:$BS$64,MATCH($A104,Mortality_Matrix!$A$4:$A$64,0),MATCH(2083,Mortality_Matrix!$B$3:$BS$3,0)))/INDEX(Mortality_Matrix!$B$4:$BS$64,MATCH($A104,Mortality_Matrix!$A$4:$A$64,0),MATCH(2083,Mortality_Matrix!$B$3:$BS$3,0))</f>
        <v>-2.94011406049893E-009</v>
      </c>
      <c r="BV104" s="27" t="n">
        <f aca="false">(BV38-INDEX(Mortality_Matrix!$B$4:$BS$64,MATCH($A104,Mortality_Matrix!$A$4:$A$64,0),MATCH(2084,Mortality_Matrix!$B$3:$BS$3,0)))/INDEX(Mortality_Matrix!$B$4:$BS$64,MATCH($A104,Mortality_Matrix!$A$4:$A$64,0),MATCH(2084,Mortality_Matrix!$B$3:$BS$3,0))</f>
        <v>-1.5517343629134E-009</v>
      </c>
      <c r="BW104" s="27" t="n">
        <f aca="false">(BW38-INDEX(Mortality_Matrix!$B$4:$BS$64,MATCH($A104,Mortality_Matrix!$A$4:$A$64,0),MATCH(2085,Mortality_Matrix!$B$3:$BS$3,0)))/INDEX(Mortality_Matrix!$B$4:$BS$64,MATCH($A104,Mortality_Matrix!$A$4:$A$64,0),MATCH(2085,Mortality_Matrix!$B$3:$BS$3,0))</f>
        <v>-3.8774463891486E-009</v>
      </c>
      <c r="BX104" s="27" t="n">
        <f aca="false">(BX38-INDEX(Mortality_Matrix!$B$4:$BS$64,MATCH($A104,Mortality_Matrix!$A$4:$A$64,0),MATCH(2086,Mortality_Matrix!$B$3:$BS$3,0)))/INDEX(Mortality_Matrix!$B$4:$BS$64,MATCH($A104,Mortality_Matrix!$A$4:$A$64,0),MATCH(2086,Mortality_Matrix!$B$3:$BS$3,0))</f>
        <v>-7.09716764825993E-009</v>
      </c>
      <c r="BY104" s="27" t="n">
        <f aca="false">(BY38-INDEX(Mortality_Matrix!$B$4:$BS$64,MATCH($A104,Mortality_Matrix!$A$4:$A$64,0),MATCH(2087,Mortality_Matrix!$B$3:$BS$3,0)))/INDEX(Mortality_Matrix!$B$4:$BS$64,MATCH($A104,Mortality_Matrix!$A$4:$A$64,0),MATCH(2087,Mortality_Matrix!$B$3:$BS$3,0))</f>
        <v>1.98270056654091E-009</v>
      </c>
      <c r="BZ104" s="27" t="n">
        <f aca="false">(BZ38-INDEX(Mortality_Matrix!$B$4:$BS$64,MATCH($A104,Mortality_Matrix!$A$4:$A$64,0),MATCH(2088,Mortality_Matrix!$B$3:$BS$3,0)))/INDEX(Mortality_Matrix!$B$4:$BS$64,MATCH($A104,Mortality_Matrix!$A$4:$A$64,0),MATCH(2088,Mortality_Matrix!$B$3:$BS$3,0))</f>
        <v>2.64640669706522E-009</v>
      </c>
      <c r="CA104" s="27" t="n">
        <f aca="false">(CA38-INDEX(Mortality_Matrix!$B$4:$BS$64,MATCH($A104,Mortality_Matrix!$A$4:$A$64,0),MATCH(2089,Mortality_Matrix!$B$3:$BS$3,0)))/INDEX(Mortality_Matrix!$B$4:$BS$64,MATCH($A104,Mortality_Matrix!$A$4:$A$64,0),MATCH(2089,Mortality_Matrix!$B$3:$BS$3,0))</f>
        <v>-3.26817679145172E-009</v>
      </c>
      <c r="CB104" s="27" t="n">
        <f aca="false">(CB38-INDEX(Mortality_Matrix!$B$4:$BS$64,MATCH($A104,Mortality_Matrix!$A$4:$A$64,0),MATCH(2090,Mortality_Matrix!$B$3:$BS$3,0)))/INDEX(Mortality_Matrix!$B$4:$BS$64,MATCH($A104,Mortality_Matrix!$A$4:$A$64,0),MATCH(2090,Mortality_Matrix!$B$3:$BS$3,0))</f>
        <v>-5.62443319011746E-009</v>
      </c>
      <c r="CC104" s="27" t="n">
        <f aca="false">(CC38-INDEX(Mortality_Matrix!$B$4:$BS$64,MATCH($A104,Mortality_Matrix!$A$4:$A$64,0),MATCH(2091,Mortality_Matrix!$B$3:$BS$3,0)))/INDEX(Mortality_Matrix!$B$4:$BS$64,MATCH($A104,Mortality_Matrix!$A$4:$A$64,0),MATCH(2091,Mortality_Matrix!$B$3:$BS$3,0))</f>
        <v>-1.61181405860971E-009</v>
      </c>
    </row>
    <row r="105" customFormat="false" ht="15" hidden="false" customHeight="true" outlineLevel="0" collapsed="false">
      <c r="A105" s="3" t="n">
        <v>76</v>
      </c>
      <c r="L105" s="27" t="n">
        <f aca="false">(L39-INDEX(Mortality_Matrix!$B$4:$BS$64,MATCH($A105,Mortality_Matrix!$A$4:$A$64,0),MATCH(2022,Mortality_Matrix!$B$3:$BS$3,0)))/INDEX(Mortality_Matrix!$B$4:$BS$64,MATCH($A105,Mortality_Matrix!$A$4:$A$64,0),MATCH(2022,Mortality_Matrix!$B$3:$BS$3,0))</f>
        <v>-1.18683792020023E-009</v>
      </c>
      <c r="M105" s="27" t="n">
        <f aca="false">(M39-INDEX(Mortality_Matrix!$B$4:$BS$64,MATCH($A105,Mortality_Matrix!$A$4:$A$64,0),MATCH(2023,Mortality_Matrix!$B$3:$BS$3,0)))/INDEX(Mortality_Matrix!$B$4:$BS$64,MATCH($A105,Mortality_Matrix!$A$4:$A$64,0),MATCH(2023,Mortality_Matrix!$B$3:$BS$3,0))</f>
        <v>-8.21348794007221E-010</v>
      </c>
      <c r="N105" s="27" t="n">
        <f aca="false">(N39-INDEX(Mortality_Matrix!$B$4:$BS$64,MATCH($A105,Mortality_Matrix!$A$4:$A$64,0),MATCH(2024,Mortality_Matrix!$B$3:$BS$3,0)))/INDEX(Mortality_Matrix!$B$4:$BS$64,MATCH($A105,Mortality_Matrix!$A$4:$A$64,0),MATCH(2024,Mortality_Matrix!$B$3:$BS$3,0))</f>
        <v>-7.57066205277642E-010</v>
      </c>
      <c r="O105" s="27" t="n">
        <f aca="false">(O39-INDEX(Mortality_Matrix!$B$4:$BS$64,MATCH($A105,Mortality_Matrix!$A$4:$A$64,0),MATCH(2025,Mortality_Matrix!$B$3:$BS$3,0)))/INDEX(Mortality_Matrix!$B$4:$BS$64,MATCH($A105,Mortality_Matrix!$A$4:$A$64,0),MATCH(2025,Mortality_Matrix!$B$3:$BS$3,0))</f>
        <v>-1.95366008252644E-009</v>
      </c>
      <c r="P105" s="27" t="n">
        <f aca="false">(P39-INDEX(Mortality_Matrix!$B$4:$BS$64,MATCH($A105,Mortality_Matrix!$A$4:$A$64,0),MATCH(2026,Mortality_Matrix!$B$3:$BS$3,0)))/INDEX(Mortality_Matrix!$B$4:$BS$64,MATCH($A105,Mortality_Matrix!$A$4:$A$64,0),MATCH(2026,Mortality_Matrix!$B$3:$BS$3,0))</f>
        <v>2.82886155602907E-010</v>
      </c>
      <c r="Q105" s="27" t="n">
        <f aca="false">(Q39-INDEX(Mortality_Matrix!$B$4:$BS$64,MATCH($A105,Mortality_Matrix!$A$4:$A$64,0),MATCH(2027,Mortality_Matrix!$B$3:$BS$3,0)))/INDEX(Mortality_Matrix!$B$4:$BS$64,MATCH($A105,Mortality_Matrix!$A$4:$A$64,0),MATCH(2027,Mortality_Matrix!$B$3:$BS$3,0))</f>
        <v>-1.68247004079184E-009</v>
      </c>
      <c r="R105" s="27" t="n">
        <f aca="false">(R39-INDEX(Mortality_Matrix!$B$4:$BS$64,MATCH($A105,Mortality_Matrix!$A$4:$A$64,0),MATCH(2028,Mortality_Matrix!$B$3:$BS$3,0)))/INDEX(Mortality_Matrix!$B$4:$BS$64,MATCH($A105,Mortality_Matrix!$A$4:$A$64,0),MATCH(2028,Mortality_Matrix!$B$3:$BS$3,0))</f>
        <v>-1.02425686186888E-009</v>
      </c>
      <c r="S105" s="27" t="n">
        <f aca="false">(S39-INDEX(Mortality_Matrix!$B$4:$BS$64,MATCH($A105,Mortality_Matrix!$A$4:$A$64,0),MATCH(2029,Mortality_Matrix!$B$3:$BS$3,0)))/INDEX(Mortality_Matrix!$B$4:$BS$64,MATCH($A105,Mortality_Matrix!$A$4:$A$64,0),MATCH(2029,Mortality_Matrix!$B$3:$BS$3,0))</f>
        <v>4.7722027021912E-010</v>
      </c>
      <c r="T105" s="27" t="n">
        <f aca="false">(T39-INDEX(Mortality_Matrix!$B$4:$BS$64,MATCH($A105,Mortality_Matrix!$A$4:$A$64,0),MATCH(2030,Mortality_Matrix!$B$3:$BS$3,0)))/INDEX(Mortality_Matrix!$B$4:$BS$64,MATCH($A105,Mortality_Matrix!$A$4:$A$64,0),MATCH(2030,Mortality_Matrix!$B$3:$BS$3,0))</f>
        <v>2.17043713641538E-009</v>
      </c>
      <c r="U105" s="27" t="n">
        <f aca="false">(U39-INDEX(Mortality_Matrix!$B$4:$BS$64,MATCH($A105,Mortality_Matrix!$A$4:$A$64,0),MATCH(2031,Mortality_Matrix!$B$3:$BS$3,0)))/INDEX(Mortality_Matrix!$B$4:$BS$64,MATCH($A105,Mortality_Matrix!$A$4:$A$64,0),MATCH(2031,Mortality_Matrix!$B$3:$BS$3,0))</f>
        <v>-2.35909919978981E-009</v>
      </c>
      <c r="V105" s="27" t="n">
        <f aca="false">(V39-INDEX(Mortality_Matrix!$B$4:$BS$64,MATCH($A105,Mortality_Matrix!$A$4:$A$64,0),MATCH(2032,Mortality_Matrix!$B$3:$BS$3,0)))/INDEX(Mortality_Matrix!$B$4:$BS$64,MATCH($A105,Mortality_Matrix!$A$4:$A$64,0),MATCH(2032,Mortality_Matrix!$B$3:$BS$3,0))</f>
        <v>6.22232434907285E-010</v>
      </c>
      <c r="W105" s="27" t="n">
        <f aca="false">(W39-INDEX(Mortality_Matrix!$B$4:$BS$64,MATCH($A105,Mortality_Matrix!$A$4:$A$64,0),MATCH(2033,Mortality_Matrix!$B$3:$BS$3,0)))/INDEX(Mortality_Matrix!$B$4:$BS$64,MATCH($A105,Mortality_Matrix!$A$4:$A$64,0),MATCH(2033,Mortality_Matrix!$B$3:$BS$3,0))</f>
        <v>-1.85129110545957E-009</v>
      </c>
      <c r="X105" s="27" t="n">
        <f aca="false">(X39-INDEX(Mortality_Matrix!$B$4:$BS$64,MATCH($A105,Mortality_Matrix!$A$4:$A$64,0),MATCH(2034,Mortality_Matrix!$B$3:$BS$3,0)))/INDEX(Mortality_Matrix!$B$4:$BS$64,MATCH($A105,Mortality_Matrix!$A$4:$A$64,0),MATCH(2034,Mortality_Matrix!$B$3:$BS$3,0))</f>
        <v>9.09776983506188E-010</v>
      </c>
      <c r="Y105" s="27" t="n">
        <f aca="false">(Y39-INDEX(Mortality_Matrix!$B$4:$BS$64,MATCH($A105,Mortality_Matrix!$A$4:$A$64,0),MATCH(2035,Mortality_Matrix!$B$3:$BS$3,0)))/INDEX(Mortality_Matrix!$B$4:$BS$64,MATCH($A105,Mortality_Matrix!$A$4:$A$64,0),MATCH(2035,Mortality_Matrix!$B$3:$BS$3,0))</f>
        <v>-2.30212537540755E-009</v>
      </c>
      <c r="Z105" s="27" t="n">
        <f aca="false">(Z39-INDEX(Mortality_Matrix!$B$4:$BS$64,MATCH($A105,Mortality_Matrix!$A$4:$A$64,0),MATCH(2036,Mortality_Matrix!$B$3:$BS$3,0)))/INDEX(Mortality_Matrix!$B$4:$BS$64,MATCH($A105,Mortality_Matrix!$A$4:$A$64,0),MATCH(2036,Mortality_Matrix!$B$3:$BS$3,0))</f>
        <v>2.08515229009921E-009</v>
      </c>
      <c r="AA105" s="27" t="n">
        <f aca="false">(AA39-INDEX(Mortality_Matrix!$B$4:$BS$64,MATCH($A105,Mortality_Matrix!$A$4:$A$64,0),MATCH(2037,Mortality_Matrix!$B$3:$BS$3,0)))/INDEX(Mortality_Matrix!$B$4:$BS$64,MATCH($A105,Mortality_Matrix!$A$4:$A$64,0),MATCH(2037,Mortality_Matrix!$B$3:$BS$3,0))</f>
        <v>-2.00779440111754E-009</v>
      </c>
      <c r="AB105" s="27" t="n">
        <f aca="false">(AB39-INDEX(Mortality_Matrix!$B$4:$BS$64,MATCH($A105,Mortality_Matrix!$A$4:$A$64,0),MATCH(2038,Mortality_Matrix!$B$3:$BS$3,0)))/INDEX(Mortality_Matrix!$B$4:$BS$64,MATCH($A105,Mortality_Matrix!$A$4:$A$64,0),MATCH(2038,Mortality_Matrix!$B$3:$BS$3,0))</f>
        <v>-2.31332945712101E-009</v>
      </c>
      <c r="AC105" s="27" t="n">
        <f aca="false">(AC39-INDEX(Mortality_Matrix!$B$4:$BS$64,MATCH($A105,Mortality_Matrix!$A$4:$A$64,0),MATCH(2039,Mortality_Matrix!$B$3:$BS$3,0)))/INDEX(Mortality_Matrix!$B$4:$BS$64,MATCH($A105,Mortality_Matrix!$A$4:$A$64,0),MATCH(2039,Mortality_Matrix!$B$3:$BS$3,0))</f>
        <v>-2.66089845345861E-010</v>
      </c>
      <c r="AD105" s="27" t="n">
        <f aca="false">(AD39-INDEX(Mortality_Matrix!$B$4:$BS$64,MATCH($A105,Mortality_Matrix!$A$4:$A$64,0),MATCH(2040,Mortality_Matrix!$B$3:$BS$3,0)))/INDEX(Mortality_Matrix!$B$4:$BS$64,MATCH($A105,Mortality_Matrix!$A$4:$A$64,0),MATCH(2040,Mortality_Matrix!$B$3:$BS$3,0))</f>
        <v>-2.97580963158617E-010</v>
      </c>
      <c r="AE105" s="27" t="n">
        <f aca="false">(AE39-INDEX(Mortality_Matrix!$B$4:$BS$64,MATCH($A105,Mortality_Matrix!$A$4:$A$64,0),MATCH(2041,Mortality_Matrix!$B$3:$BS$3,0)))/INDEX(Mortality_Matrix!$B$4:$BS$64,MATCH($A105,Mortality_Matrix!$A$4:$A$64,0),MATCH(2041,Mortality_Matrix!$B$3:$BS$3,0))</f>
        <v>1.90839780458277E-009</v>
      </c>
      <c r="AF105" s="27" t="n">
        <f aca="false">(AF39-INDEX(Mortality_Matrix!$B$4:$BS$64,MATCH($A105,Mortality_Matrix!$A$4:$A$64,0),MATCH(2042,Mortality_Matrix!$B$3:$BS$3,0)))/INDEX(Mortality_Matrix!$B$4:$BS$64,MATCH($A105,Mortality_Matrix!$A$4:$A$64,0),MATCH(2042,Mortality_Matrix!$B$3:$BS$3,0))</f>
        <v>-2.0134434006115E-010</v>
      </c>
      <c r="AG105" s="27" t="n">
        <f aca="false">(AG39-INDEX(Mortality_Matrix!$B$4:$BS$64,MATCH($A105,Mortality_Matrix!$A$4:$A$64,0),MATCH(2043,Mortality_Matrix!$B$3:$BS$3,0)))/INDEX(Mortality_Matrix!$B$4:$BS$64,MATCH($A105,Mortality_Matrix!$A$4:$A$64,0),MATCH(2043,Mortality_Matrix!$B$3:$BS$3,0))</f>
        <v>6.55403701096016E-010</v>
      </c>
      <c r="AH105" s="27" t="n">
        <f aca="false">(AH39-INDEX(Mortality_Matrix!$B$4:$BS$64,MATCH($A105,Mortality_Matrix!$A$4:$A$64,0),MATCH(2044,Mortality_Matrix!$B$3:$BS$3,0)))/INDEX(Mortality_Matrix!$B$4:$BS$64,MATCH($A105,Mortality_Matrix!$A$4:$A$64,0),MATCH(2044,Mortality_Matrix!$B$3:$BS$3,0))</f>
        <v>-9.16918063666363E-010</v>
      </c>
      <c r="AI105" s="27" t="n">
        <f aca="false">(AI39-INDEX(Mortality_Matrix!$B$4:$BS$64,MATCH($A105,Mortality_Matrix!$A$4:$A$64,0),MATCH(2045,Mortality_Matrix!$B$3:$BS$3,0)))/INDEX(Mortality_Matrix!$B$4:$BS$64,MATCH($A105,Mortality_Matrix!$A$4:$A$64,0),MATCH(2045,Mortality_Matrix!$B$3:$BS$3,0))</f>
        <v>2.37750284063349E-009</v>
      </c>
      <c r="AJ105" s="27" t="n">
        <f aca="false">(AJ39-INDEX(Mortality_Matrix!$B$4:$BS$64,MATCH($A105,Mortality_Matrix!$A$4:$A$64,0),MATCH(2046,Mortality_Matrix!$B$3:$BS$3,0)))/INDEX(Mortality_Matrix!$B$4:$BS$64,MATCH($A105,Mortality_Matrix!$A$4:$A$64,0),MATCH(2046,Mortality_Matrix!$B$3:$BS$3,0))</f>
        <v>3.10158925770385E-009</v>
      </c>
      <c r="AK105" s="27" t="n">
        <f aca="false">(AK39-INDEX(Mortality_Matrix!$B$4:$BS$64,MATCH($A105,Mortality_Matrix!$A$4:$A$64,0),MATCH(2047,Mortality_Matrix!$B$3:$BS$3,0)))/INDEX(Mortality_Matrix!$B$4:$BS$64,MATCH($A105,Mortality_Matrix!$A$4:$A$64,0),MATCH(2047,Mortality_Matrix!$B$3:$BS$3,0))</f>
        <v>-1.86917565919338E-009</v>
      </c>
      <c r="AL105" s="27" t="n">
        <f aca="false">(AL39-INDEX(Mortality_Matrix!$B$4:$BS$64,MATCH($A105,Mortality_Matrix!$A$4:$A$64,0),MATCH(2048,Mortality_Matrix!$B$3:$BS$3,0)))/INDEX(Mortality_Matrix!$B$4:$BS$64,MATCH($A105,Mortality_Matrix!$A$4:$A$64,0),MATCH(2048,Mortality_Matrix!$B$3:$BS$3,0))</f>
        <v>2.39544000088741E-009</v>
      </c>
      <c r="AM105" s="27" t="n">
        <f aca="false">(AM39-INDEX(Mortality_Matrix!$B$4:$BS$64,MATCH($A105,Mortality_Matrix!$A$4:$A$64,0),MATCH(2049,Mortality_Matrix!$B$3:$BS$3,0)))/INDEX(Mortality_Matrix!$B$4:$BS$64,MATCH($A105,Mortality_Matrix!$A$4:$A$64,0),MATCH(2049,Mortality_Matrix!$B$3:$BS$3,0))</f>
        <v>-1.06820722598305E-009</v>
      </c>
      <c r="AN105" s="27" t="n">
        <f aca="false">(AN39-INDEX(Mortality_Matrix!$B$4:$BS$64,MATCH($A105,Mortality_Matrix!$A$4:$A$64,0),MATCH(2050,Mortality_Matrix!$B$3:$BS$3,0)))/INDEX(Mortality_Matrix!$B$4:$BS$64,MATCH($A105,Mortality_Matrix!$A$4:$A$64,0),MATCH(2050,Mortality_Matrix!$B$3:$BS$3,0))</f>
        <v>1.53245840597489E-009</v>
      </c>
      <c r="AO105" s="27" t="n">
        <f aca="false">(AO39-INDEX(Mortality_Matrix!$B$4:$BS$64,MATCH($A105,Mortality_Matrix!$A$4:$A$64,0),MATCH(2051,Mortality_Matrix!$B$3:$BS$3,0)))/INDEX(Mortality_Matrix!$B$4:$BS$64,MATCH($A105,Mortality_Matrix!$A$4:$A$64,0),MATCH(2051,Mortality_Matrix!$B$3:$BS$3,0))</f>
        <v>-3.19027768569853E-009</v>
      </c>
      <c r="AP105" s="27" t="n">
        <f aca="false">(AP39-INDEX(Mortality_Matrix!$B$4:$BS$64,MATCH($A105,Mortality_Matrix!$A$4:$A$64,0),MATCH(2052,Mortality_Matrix!$B$3:$BS$3,0)))/INDEX(Mortality_Matrix!$B$4:$BS$64,MATCH($A105,Mortality_Matrix!$A$4:$A$64,0),MATCH(2052,Mortality_Matrix!$B$3:$BS$3,0))</f>
        <v>1.679884721146E-009</v>
      </c>
      <c r="AQ105" s="27" t="n">
        <f aca="false">(AQ39-INDEX(Mortality_Matrix!$B$4:$BS$64,MATCH($A105,Mortality_Matrix!$A$4:$A$64,0),MATCH(2053,Mortality_Matrix!$B$3:$BS$3,0)))/INDEX(Mortality_Matrix!$B$4:$BS$64,MATCH($A105,Mortality_Matrix!$A$4:$A$64,0),MATCH(2053,Mortality_Matrix!$B$3:$BS$3,0))</f>
        <v>3.55796254252461E-009</v>
      </c>
      <c r="AR105" s="27" t="n">
        <f aca="false">(AR39-INDEX(Mortality_Matrix!$B$4:$BS$64,MATCH($A105,Mortality_Matrix!$A$4:$A$64,0),MATCH(2054,Mortality_Matrix!$B$3:$BS$3,0)))/INDEX(Mortality_Matrix!$B$4:$BS$64,MATCH($A105,Mortality_Matrix!$A$4:$A$64,0),MATCH(2054,Mortality_Matrix!$B$3:$BS$3,0))</f>
        <v>-3.83527855696978E-009</v>
      </c>
      <c r="AS105" s="27" t="n">
        <f aca="false">(AS39-INDEX(Mortality_Matrix!$B$4:$BS$64,MATCH($A105,Mortality_Matrix!$A$4:$A$64,0),MATCH(2055,Mortality_Matrix!$B$3:$BS$3,0)))/INDEX(Mortality_Matrix!$B$4:$BS$64,MATCH($A105,Mortality_Matrix!$A$4:$A$64,0),MATCH(2055,Mortality_Matrix!$B$3:$BS$3,0))</f>
        <v>2.91996697153001E-009</v>
      </c>
      <c r="AT105" s="27" t="n">
        <f aca="false">(AT39-INDEX(Mortality_Matrix!$B$4:$BS$64,MATCH($A105,Mortality_Matrix!$A$4:$A$64,0),MATCH(2056,Mortality_Matrix!$B$3:$BS$3,0)))/INDEX(Mortality_Matrix!$B$4:$BS$64,MATCH($A105,Mortality_Matrix!$A$4:$A$64,0),MATCH(2056,Mortality_Matrix!$B$3:$BS$3,0))</f>
        <v>-1.81253498350445E-009</v>
      </c>
      <c r="AU105" s="27" t="n">
        <f aca="false">(AU39-INDEX(Mortality_Matrix!$B$4:$BS$64,MATCH($A105,Mortality_Matrix!$A$4:$A$64,0),MATCH(2057,Mortality_Matrix!$B$3:$BS$3,0)))/INDEX(Mortality_Matrix!$B$4:$BS$64,MATCH($A105,Mortality_Matrix!$A$4:$A$64,0),MATCH(2057,Mortality_Matrix!$B$3:$BS$3,0))</f>
        <v>3.86166806995684E-010</v>
      </c>
      <c r="AV105" s="27" t="n">
        <f aca="false">(AV39-INDEX(Mortality_Matrix!$B$4:$BS$64,MATCH($A105,Mortality_Matrix!$A$4:$A$64,0),MATCH(2058,Mortality_Matrix!$B$3:$BS$3,0)))/INDEX(Mortality_Matrix!$B$4:$BS$64,MATCH($A105,Mortality_Matrix!$A$4:$A$64,0),MATCH(2058,Mortality_Matrix!$B$3:$BS$3,0))</f>
        <v>1.79482985665205E-010</v>
      </c>
      <c r="AW105" s="27" t="n">
        <f aca="false">(AW39-INDEX(Mortality_Matrix!$B$4:$BS$64,MATCH($A105,Mortality_Matrix!$A$4:$A$64,0),MATCH(2059,Mortality_Matrix!$B$3:$BS$3,0)))/INDEX(Mortality_Matrix!$B$4:$BS$64,MATCH($A105,Mortality_Matrix!$A$4:$A$64,0),MATCH(2059,Mortality_Matrix!$B$3:$BS$3,0))</f>
        <v>-5.3394307806798E-010</v>
      </c>
      <c r="AX105" s="27" t="n">
        <f aca="false">(AX39-INDEX(Mortality_Matrix!$B$4:$BS$64,MATCH($A105,Mortality_Matrix!$A$4:$A$64,0),MATCH(2060,Mortality_Matrix!$B$3:$BS$3,0)))/INDEX(Mortality_Matrix!$B$4:$BS$64,MATCH($A105,Mortality_Matrix!$A$4:$A$64,0),MATCH(2060,Mortality_Matrix!$B$3:$BS$3,0))</f>
        <v>2.91708819030601E-009</v>
      </c>
      <c r="AY105" s="27" t="n">
        <f aca="false">(AY39-INDEX(Mortality_Matrix!$B$4:$BS$64,MATCH($A105,Mortality_Matrix!$A$4:$A$64,0),MATCH(2061,Mortality_Matrix!$B$3:$BS$3,0)))/INDEX(Mortality_Matrix!$B$4:$BS$64,MATCH($A105,Mortality_Matrix!$A$4:$A$64,0),MATCH(2061,Mortality_Matrix!$B$3:$BS$3,0))</f>
        <v>6.23152594591146E-011</v>
      </c>
      <c r="AZ105" s="27" t="n">
        <f aca="false">(AZ39-INDEX(Mortality_Matrix!$B$4:$BS$64,MATCH($A105,Mortality_Matrix!$A$4:$A$64,0),MATCH(2062,Mortality_Matrix!$B$3:$BS$3,0)))/INDEX(Mortality_Matrix!$B$4:$BS$64,MATCH($A105,Mortality_Matrix!$A$4:$A$64,0),MATCH(2062,Mortality_Matrix!$B$3:$BS$3,0))</f>
        <v>-1.56245948909487E-009</v>
      </c>
      <c r="BA105" s="27" t="n">
        <f aca="false">(BA39-INDEX(Mortality_Matrix!$B$4:$BS$64,MATCH($A105,Mortality_Matrix!$A$4:$A$64,0),MATCH(2063,Mortality_Matrix!$B$3:$BS$3,0)))/INDEX(Mortality_Matrix!$B$4:$BS$64,MATCH($A105,Mortality_Matrix!$A$4:$A$64,0),MATCH(2063,Mortality_Matrix!$B$3:$BS$3,0))</f>
        <v>-2.58783534547423E-009</v>
      </c>
      <c r="BB105" s="27" t="n">
        <f aca="false">(BB39-INDEX(Mortality_Matrix!$B$4:$BS$64,MATCH($A105,Mortality_Matrix!$A$4:$A$64,0),MATCH(2064,Mortality_Matrix!$B$3:$BS$3,0)))/INDEX(Mortality_Matrix!$B$4:$BS$64,MATCH($A105,Mortality_Matrix!$A$4:$A$64,0),MATCH(2064,Mortality_Matrix!$B$3:$BS$3,0))</f>
        <v>-4.2172117365042E-009</v>
      </c>
      <c r="BC105" s="27" t="n">
        <f aca="false">(BC39-INDEX(Mortality_Matrix!$B$4:$BS$64,MATCH($A105,Mortality_Matrix!$A$4:$A$64,0),MATCH(2065,Mortality_Matrix!$B$3:$BS$3,0)))/INDEX(Mortality_Matrix!$B$4:$BS$64,MATCH($A105,Mortality_Matrix!$A$4:$A$64,0),MATCH(2065,Mortality_Matrix!$B$3:$BS$3,0))</f>
        <v>1.020604068311E-010</v>
      </c>
      <c r="BD105" s="27" t="n">
        <f aca="false">(BD39-INDEX(Mortality_Matrix!$B$4:$BS$64,MATCH($A105,Mortality_Matrix!$A$4:$A$64,0),MATCH(2066,Mortality_Matrix!$B$3:$BS$3,0)))/INDEX(Mortality_Matrix!$B$4:$BS$64,MATCH($A105,Mortality_Matrix!$A$4:$A$64,0),MATCH(2066,Mortality_Matrix!$B$3:$BS$3,0))</f>
        <v>-3.53659639871208E-009</v>
      </c>
      <c r="BE105" s="27" t="n">
        <f aca="false">(BE39-INDEX(Mortality_Matrix!$B$4:$BS$64,MATCH($A105,Mortality_Matrix!$A$4:$A$64,0),MATCH(2067,Mortality_Matrix!$B$3:$BS$3,0)))/INDEX(Mortality_Matrix!$B$4:$BS$64,MATCH($A105,Mortality_Matrix!$A$4:$A$64,0),MATCH(2067,Mortality_Matrix!$B$3:$BS$3,0))</f>
        <v>-4.53115324615246E-009</v>
      </c>
      <c r="BF105" s="27" t="n">
        <f aca="false">(BF39-INDEX(Mortality_Matrix!$B$4:$BS$64,MATCH($A105,Mortality_Matrix!$A$4:$A$64,0),MATCH(2068,Mortality_Matrix!$B$3:$BS$3,0)))/INDEX(Mortality_Matrix!$B$4:$BS$64,MATCH($A105,Mortality_Matrix!$A$4:$A$64,0),MATCH(2068,Mortality_Matrix!$B$3:$BS$3,0))</f>
        <v>4.46000509177536E-009</v>
      </c>
      <c r="BG105" s="27" t="n">
        <f aca="false">(BG39-INDEX(Mortality_Matrix!$B$4:$BS$64,MATCH($A105,Mortality_Matrix!$A$4:$A$64,0),MATCH(2069,Mortality_Matrix!$B$3:$BS$3,0)))/INDEX(Mortality_Matrix!$B$4:$BS$64,MATCH($A105,Mortality_Matrix!$A$4:$A$64,0),MATCH(2069,Mortality_Matrix!$B$3:$BS$3,0))</f>
        <v>-2.86198389612992E-009</v>
      </c>
      <c r="BH105" s="27" t="n">
        <f aca="false">(BH39-INDEX(Mortality_Matrix!$B$4:$BS$64,MATCH($A105,Mortality_Matrix!$A$4:$A$64,0),MATCH(2070,Mortality_Matrix!$B$3:$BS$3,0)))/INDEX(Mortality_Matrix!$B$4:$BS$64,MATCH($A105,Mortality_Matrix!$A$4:$A$64,0),MATCH(2070,Mortality_Matrix!$B$3:$BS$3,0))</f>
        <v>-6.3193645830735E-010</v>
      </c>
      <c r="BI105" s="27" t="n">
        <f aca="false">(BI39-INDEX(Mortality_Matrix!$B$4:$BS$64,MATCH($A105,Mortality_Matrix!$A$4:$A$64,0),MATCH(2071,Mortality_Matrix!$B$3:$BS$3,0)))/INDEX(Mortality_Matrix!$B$4:$BS$64,MATCH($A105,Mortality_Matrix!$A$4:$A$64,0),MATCH(2071,Mortality_Matrix!$B$3:$BS$3,0))</f>
        <v>1.83331610144919E-009</v>
      </c>
      <c r="BJ105" s="27" t="n">
        <f aca="false">(BJ39-INDEX(Mortality_Matrix!$B$4:$BS$64,MATCH($A105,Mortality_Matrix!$A$4:$A$64,0),MATCH(2072,Mortality_Matrix!$B$3:$BS$3,0)))/INDEX(Mortality_Matrix!$B$4:$BS$64,MATCH($A105,Mortality_Matrix!$A$4:$A$64,0),MATCH(2072,Mortality_Matrix!$B$3:$BS$3,0))</f>
        <v>-2.66149846940989E-009</v>
      </c>
      <c r="BK105" s="27" t="n">
        <f aca="false">(BK39-INDEX(Mortality_Matrix!$B$4:$BS$64,MATCH($A105,Mortality_Matrix!$A$4:$A$64,0),MATCH(2073,Mortality_Matrix!$B$3:$BS$3,0)))/INDEX(Mortality_Matrix!$B$4:$BS$64,MATCH($A105,Mortality_Matrix!$A$4:$A$64,0),MATCH(2073,Mortality_Matrix!$B$3:$BS$3,0))</f>
        <v>9.16514901947715E-010</v>
      </c>
      <c r="BL105" s="27" t="n">
        <f aca="false">(BL39-INDEX(Mortality_Matrix!$B$4:$BS$64,MATCH($A105,Mortality_Matrix!$A$4:$A$64,0),MATCH(2074,Mortality_Matrix!$B$3:$BS$3,0)))/INDEX(Mortality_Matrix!$B$4:$BS$64,MATCH($A105,Mortality_Matrix!$A$4:$A$64,0),MATCH(2074,Mortality_Matrix!$B$3:$BS$3,0))</f>
        <v>-1.92631196700764E-009</v>
      </c>
      <c r="BM105" s="27" t="n">
        <f aca="false">(BM39-INDEX(Mortality_Matrix!$B$4:$BS$64,MATCH($A105,Mortality_Matrix!$A$4:$A$64,0),MATCH(2075,Mortality_Matrix!$B$3:$BS$3,0)))/INDEX(Mortality_Matrix!$B$4:$BS$64,MATCH($A105,Mortality_Matrix!$A$4:$A$64,0),MATCH(2075,Mortality_Matrix!$B$3:$BS$3,0))</f>
        <v>-4.86587732405622E-009</v>
      </c>
      <c r="BN105" s="27" t="n">
        <f aca="false">(BN39-INDEX(Mortality_Matrix!$B$4:$BS$64,MATCH($A105,Mortality_Matrix!$A$4:$A$64,0),MATCH(2076,Mortality_Matrix!$B$3:$BS$3,0)))/INDEX(Mortality_Matrix!$B$4:$BS$64,MATCH($A105,Mortality_Matrix!$A$4:$A$64,0),MATCH(2076,Mortality_Matrix!$B$3:$BS$3,0))</f>
        <v>-1.66450492219897E-009</v>
      </c>
      <c r="BO105" s="27" t="n">
        <f aca="false">(BO39-INDEX(Mortality_Matrix!$B$4:$BS$64,MATCH($A105,Mortality_Matrix!$A$4:$A$64,0),MATCH(2077,Mortality_Matrix!$B$3:$BS$3,0)))/INDEX(Mortality_Matrix!$B$4:$BS$64,MATCH($A105,Mortality_Matrix!$A$4:$A$64,0),MATCH(2077,Mortality_Matrix!$B$3:$BS$3,0))</f>
        <v>1.97122742886139E-009</v>
      </c>
      <c r="BP105" s="27" t="n">
        <f aca="false">(BP39-INDEX(Mortality_Matrix!$B$4:$BS$64,MATCH($A105,Mortality_Matrix!$A$4:$A$64,0),MATCH(2078,Mortality_Matrix!$B$3:$BS$3,0)))/INDEX(Mortality_Matrix!$B$4:$BS$64,MATCH($A105,Mortality_Matrix!$A$4:$A$64,0),MATCH(2078,Mortality_Matrix!$B$3:$BS$3,0))</f>
        <v>-2.16727721665303E-009</v>
      </c>
      <c r="BQ105" s="27" t="n">
        <f aca="false">(BQ39-INDEX(Mortality_Matrix!$B$4:$BS$64,MATCH($A105,Mortality_Matrix!$A$4:$A$64,0),MATCH(2079,Mortality_Matrix!$B$3:$BS$3,0)))/INDEX(Mortality_Matrix!$B$4:$BS$64,MATCH($A105,Mortality_Matrix!$A$4:$A$64,0),MATCH(2079,Mortality_Matrix!$B$3:$BS$3,0))</f>
        <v>-3.07571558899292E-009</v>
      </c>
      <c r="BR105" s="27" t="n">
        <f aca="false">(BR39-INDEX(Mortality_Matrix!$B$4:$BS$64,MATCH($A105,Mortality_Matrix!$A$4:$A$64,0),MATCH(2080,Mortality_Matrix!$B$3:$BS$3,0)))/INDEX(Mortality_Matrix!$B$4:$BS$64,MATCH($A105,Mortality_Matrix!$A$4:$A$64,0),MATCH(2080,Mortality_Matrix!$B$3:$BS$3,0))</f>
        <v>-4.45912430716255E-009</v>
      </c>
      <c r="BS105" s="27" t="n">
        <f aca="false">(BS39-INDEX(Mortality_Matrix!$B$4:$BS$64,MATCH($A105,Mortality_Matrix!$A$4:$A$64,0),MATCH(2081,Mortality_Matrix!$B$3:$BS$3,0)))/INDEX(Mortality_Matrix!$B$4:$BS$64,MATCH($A105,Mortality_Matrix!$A$4:$A$64,0),MATCH(2081,Mortality_Matrix!$B$3:$BS$3,0))</f>
        <v>-3.28872781538634E-009</v>
      </c>
      <c r="BT105" s="27" t="n">
        <f aca="false">(BT39-INDEX(Mortality_Matrix!$B$4:$BS$64,MATCH($A105,Mortality_Matrix!$A$4:$A$64,0),MATCH(2082,Mortality_Matrix!$B$3:$BS$3,0)))/INDEX(Mortality_Matrix!$B$4:$BS$64,MATCH($A105,Mortality_Matrix!$A$4:$A$64,0),MATCH(2082,Mortality_Matrix!$B$3:$BS$3,0))</f>
        <v>-1.98168599232709E-009</v>
      </c>
      <c r="BU105" s="27" t="n">
        <f aca="false">(BU39-INDEX(Mortality_Matrix!$B$4:$BS$64,MATCH($A105,Mortality_Matrix!$A$4:$A$64,0),MATCH(2083,Mortality_Matrix!$B$3:$BS$3,0)))/INDEX(Mortality_Matrix!$B$4:$BS$64,MATCH($A105,Mortality_Matrix!$A$4:$A$64,0),MATCH(2083,Mortality_Matrix!$B$3:$BS$3,0))</f>
        <v>2.42136229864823E-009</v>
      </c>
      <c r="BV105" s="27" t="n">
        <f aca="false">(BV39-INDEX(Mortality_Matrix!$B$4:$BS$64,MATCH($A105,Mortality_Matrix!$A$4:$A$64,0),MATCH(2084,Mortality_Matrix!$B$3:$BS$3,0)))/INDEX(Mortality_Matrix!$B$4:$BS$64,MATCH($A105,Mortality_Matrix!$A$4:$A$64,0),MATCH(2084,Mortality_Matrix!$B$3:$BS$3,0))</f>
        <v>5.60554265958202E-009</v>
      </c>
      <c r="BW105" s="27" t="n">
        <f aca="false">(BW39-INDEX(Mortality_Matrix!$B$4:$BS$64,MATCH($A105,Mortality_Matrix!$A$4:$A$64,0),MATCH(2085,Mortality_Matrix!$B$3:$BS$3,0)))/INDEX(Mortality_Matrix!$B$4:$BS$64,MATCH($A105,Mortality_Matrix!$A$4:$A$64,0),MATCH(2085,Mortality_Matrix!$B$3:$BS$3,0))</f>
        <v>-5.39797078668171E-009</v>
      </c>
      <c r="BX105" s="27" t="n">
        <f aca="false">(BX39-INDEX(Mortality_Matrix!$B$4:$BS$64,MATCH($A105,Mortality_Matrix!$A$4:$A$64,0),MATCH(2086,Mortality_Matrix!$B$3:$BS$3,0)))/INDEX(Mortality_Matrix!$B$4:$BS$64,MATCH($A105,Mortality_Matrix!$A$4:$A$64,0),MATCH(2086,Mortality_Matrix!$B$3:$BS$3,0))</f>
        <v>-3.18900044742975E-009</v>
      </c>
      <c r="BY105" s="27" t="n">
        <f aca="false">(BY39-INDEX(Mortality_Matrix!$B$4:$BS$64,MATCH($A105,Mortality_Matrix!$A$4:$A$64,0),MATCH(2087,Mortality_Matrix!$B$3:$BS$3,0)))/INDEX(Mortality_Matrix!$B$4:$BS$64,MATCH($A105,Mortality_Matrix!$A$4:$A$64,0),MATCH(2087,Mortality_Matrix!$B$3:$BS$3,0))</f>
        <v>5.3969911990617E-009</v>
      </c>
      <c r="BZ105" s="27" t="n">
        <f aca="false">(BZ39-INDEX(Mortality_Matrix!$B$4:$BS$64,MATCH($A105,Mortality_Matrix!$A$4:$A$64,0),MATCH(2088,Mortality_Matrix!$B$3:$BS$3,0)))/INDEX(Mortality_Matrix!$B$4:$BS$64,MATCH($A105,Mortality_Matrix!$A$4:$A$64,0),MATCH(2088,Mortality_Matrix!$B$3:$BS$3,0))</f>
        <v>1.81922369157627E-009</v>
      </c>
      <c r="CA105" s="27" t="n">
        <f aca="false">(CA39-INDEX(Mortality_Matrix!$B$4:$BS$64,MATCH($A105,Mortality_Matrix!$A$4:$A$64,0),MATCH(2089,Mortality_Matrix!$B$3:$BS$3,0)))/INDEX(Mortality_Matrix!$B$4:$BS$64,MATCH($A105,Mortality_Matrix!$A$4:$A$64,0),MATCH(2089,Mortality_Matrix!$B$3:$BS$3,0))</f>
        <v>-6.23777020543281E-009</v>
      </c>
      <c r="CB105" s="27" t="n">
        <f aca="false">(CB39-INDEX(Mortality_Matrix!$B$4:$BS$64,MATCH($A105,Mortality_Matrix!$A$4:$A$64,0),MATCH(2090,Mortality_Matrix!$B$3:$BS$3,0)))/INDEX(Mortality_Matrix!$B$4:$BS$64,MATCH($A105,Mortality_Matrix!$A$4:$A$64,0),MATCH(2090,Mortality_Matrix!$B$3:$BS$3,0))</f>
        <v>2.94761843319102E-009</v>
      </c>
      <c r="CC105" s="27" t="n">
        <f aca="false">(CC39-INDEX(Mortality_Matrix!$B$4:$BS$64,MATCH($A105,Mortality_Matrix!$A$4:$A$64,0),MATCH(2091,Mortality_Matrix!$B$3:$BS$3,0)))/INDEX(Mortality_Matrix!$B$4:$BS$64,MATCH($A105,Mortality_Matrix!$A$4:$A$64,0),MATCH(2091,Mortality_Matrix!$B$3:$BS$3,0))</f>
        <v>-2.70199630013972E-009</v>
      </c>
    </row>
    <row r="106" customFormat="false" ht="15" hidden="false" customHeight="true" outlineLevel="0" collapsed="false">
      <c r="A106" s="3" t="n">
        <v>77</v>
      </c>
      <c r="L106" s="27" t="n">
        <f aca="false">(L40-INDEX(Mortality_Matrix!$B$4:$BS$64,MATCH($A106,Mortality_Matrix!$A$4:$A$64,0),MATCH(2022,Mortality_Matrix!$B$3:$BS$3,0)))/INDEX(Mortality_Matrix!$B$4:$BS$64,MATCH($A106,Mortality_Matrix!$A$4:$A$64,0),MATCH(2022,Mortality_Matrix!$B$3:$BS$3,0))</f>
        <v>-3.87008900038249E-010</v>
      </c>
      <c r="M106" s="27" t="n">
        <f aca="false">(M40-INDEX(Mortality_Matrix!$B$4:$BS$64,MATCH($A106,Mortality_Matrix!$A$4:$A$64,0),MATCH(2023,Mortality_Matrix!$B$3:$BS$3,0)))/INDEX(Mortality_Matrix!$B$4:$BS$64,MATCH($A106,Mortality_Matrix!$A$4:$A$64,0),MATCH(2023,Mortality_Matrix!$B$3:$BS$3,0))</f>
        <v>1.40677937549145E-009</v>
      </c>
      <c r="N106" s="27" t="n">
        <f aca="false">(N40-INDEX(Mortality_Matrix!$B$4:$BS$64,MATCH($A106,Mortality_Matrix!$A$4:$A$64,0),MATCH(2024,Mortality_Matrix!$B$3:$BS$3,0)))/INDEX(Mortality_Matrix!$B$4:$BS$64,MATCH($A106,Mortality_Matrix!$A$4:$A$64,0),MATCH(2024,Mortality_Matrix!$B$3:$BS$3,0))</f>
        <v>7.22243373219783E-010</v>
      </c>
      <c r="O106" s="27" t="n">
        <f aca="false">(O40-INDEX(Mortality_Matrix!$B$4:$BS$64,MATCH($A106,Mortality_Matrix!$A$4:$A$64,0),MATCH(2025,Mortality_Matrix!$B$3:$BS$3,0)))/INDEX(Mortality_Matrix!$B$4:$BS$64,MATCH($A106,Mortality_Matrix!$A$4:$A$64,0),MATCH(2025,Mortality_Matrix!$B$3:$BS$3,0))</f>
        <v>-1.95970208345093E-009</v>
      </c>
      <c r="P106" s="27" t="n">
        <f aca="false">(P40-INDEX(Mortality_Matrix!$B$4:$BS$64,MATCH($A106,Mortality_Matrix!$A$4:$A$64,0),MATCH(2026,Mortality_Matrix!$B$3:$BS$3,0)))/INDEX(Mortality_Matrix!$B$4:$BS$64,MATCH($A106,Mortality_Matrix!$A$4:$A$64,0),MATCH(2026,Mortality_Matrix!$B$3:$BS$3,0))</f>
        <v>2.22184954021759E-009</v>
      </c>
      <c r="Q106" s="27" t="n">
        <f aca="false">(Q40-INDEX(Mortality_Matrix!$B$4:$BS$64,MATCH($A106,Mortality_Matrix!$A$4:$A$64,0),MATCH(2027,Mortality_Matrix!$B$3:$BS$3,0)))/INDEX(Mortality_Matrix!$B$4:$BS$64,MATCH($A106,Mortality_Matrix!$A$4:$A$64,0),MATCH(2027,Mortality_Matrix!$B$3:$BS$3,0))</f>
        <v>2.25966290726648E-009</v>
      </c>
      <c r="R106" s="27" t="n">
        <f aca="false">(R40-INDEX(Mortality_Matrix!$B$4:$BS$64,MATCH($A106,Mortality_Matrix!$A$4:$A$64,0),MATCH(2028,Mortality_Matrix!$B$3:$BS$3,0)))/INDEX(Mortality_Matrix!$B$4:$BS$64,MATCH($A106,Mortality_Matrix!$A$4:$A$64,0),MATCH(2028,Mortality_Matrix!$B$3:$BS$3,0))</f>
        <v>-9.43799587167653E-010</v>
      </c>
      <c r="S106" s="27" t="n">
        <f aca="false">(S40-INDEX(Mortality_Matrix!$B$4:$BS$64,MATCH($A106,Mortality_Matrix!$A$4:$A$64,0),MATCH(2029,Mortality_Matrix!$B$3:$BS$3,0)))/INDEX(Mortality_Matrix!$B$4:$BS$64,MATCH($A106,Mortality_Matrix!$A$4:$A$64,0),MATCH(2029,Mortality_Matrix!$B$3:$BS$3,0))</f>
        <v>1.10747617374216E-009</v>
      </c>
      <c r="T106" s="27" t="n">
        <f aca="false">(T40-INDEX(Mortality_Matrix!$B$4:$BS$64,MATCH($A106,Mortality_Matrix!$A$4:$A$64,0),MATCH(2030,Mortality_Matrix!$B$3:$BS$3,0)))/INDEX(Mortality_Matrix!$B$4:$BS$64,MATCH($A106,Mortality_Matrix!$A$4:$A$64,0),MATCH(2030,Mortality_Matrix!$B$3:$BS$3,0))</f>
        <v>1.94450029476451E-009</v>
      </c>
      <c r="U106" s="27" t="n">
        <f aca="false">(U40-INDEX(Mortality_Matrix!$B$4:$BS$64,MATCH($A106,Mortality_Matrix!$A$4:$A$64,0),MATCH(2031,Mortality_Matrix!$B$3:$BS$3,0)))/INDEX(Mortality_Matrix!$B$4:$BS$64,MATCH($A106,Mortality_Matrix!$A$4:$A$64,0),MATCH(2031,Mortality_Matrix!$B$3:$BS$3,0))</f>
        <v>8.83818796675724E-010</v>
      </c>
      <c r="V106" s="27" t="n">
        <f aca="false">(V40-INDEX(Mortality_Matrix!$B$4:$BS$64,MATCH($A106,Mortality_Matrix!$A$4:$A$64,0),MATCH(2032,Mortality_Matrix!$B$3:$BS$3,0)))/INDEX(Mortality_Matrix!$B$4:$BS$64,MATCH($A106,Mortality_Matrix!$A$4:$A$64,0),MATCH(2032,Mortality_Matrix!$B$3:$BS$3,0))</f>
        <v>1.14390753087332E-009</v>
      </c>
      <c r="W106" s="27" t="n">
        <f aca="false">(W40-INDEX(Mortality_Matrix!$B$4:$BS$64,MATCH($A106,Mortality_Matrix!$A$4:$A$64,0),MATCH(2033,Mortality_Matrix!$B$3:$BS$3,0)))/INDEX(Mortality_Matrix!$B$4:$BS$64,MATCH($A106,Mortality_Matrix!$A$4:$A$64,0),MATCH(2033,Mortality_Matrix!$B$3:$BS$3,0))</f>
        <v>6.44880003259073E-010</v>
      </c>
      <c r="X106" s="27" t="n">
        <f aca="false">(X40-INDEX(Mortality_Matrix!$B$4:$BS$64,MATCH($A106,Mortality_Matrix!$A$4:$A$64,0),MATCH(2034,Mortality_Matrix!$B$3:$BS$3,0)))/INDEX(Mortality_Matrix!$B$4:$BS$64,MATCH($A106,Mortality_Matrix!$A$4:$A$64,0),MATCH(2034,Mortality_Matrix!$B$3:$BS$3,0))</f>
        <v>1.65813388804885E-009</v>
      </c>
      <c r="Y106" s="27" t="n">
        <f aca="false">(Y40-INDEX(Mortality_Matrix!$B$4:$BS$64,MATCH($A106,Mortality_Matrix!$A$4:$A$64,0),MATCH(2035,Mortality_Matrix!$B$3:$BS$3,0)))/INDEX(Mortality_Matrix!$B$4:$BS$64,MATCH($A106,Mortality_Matrix!$A$4:$A$64,0),MATCH(2035,Mortality_Matrix!$B$3:$BS$3,0))</f>
        <v>1.09235754859601E-009</v>
      </c>
      <c r="Z106" s="27" t="n">
        <f aca="false">(Z40-INDEX(Mortality_Matrix!$B$4:$BS$64,MATCH($A106,Mortality_Matrix!$A$4:$A$64,0),MATCH(2036,Mortality_Matrix!$B$3:$BS$3,0)))/INDEX(Mortality_Matrix!$B$4:$BS$64,MATCH($A106,Mortality_Matrix!$A$4:$A$64,0),MATCH(2036,Mortality_Matrix!$B$3:$BS$3,0))</f>
        <v>2.45001201567508E-009</v>
      </c>
      <c r="AA106" s="27" t="n">
        <f aca="false">(AA40-INDEX(Mortality_Matrix!$B$4:$BS$64,MATCH($A106,Mortality_Matrix!$A$4:$A$64,0),MATCH(2037,Mortality_Matrix!$B$3:$BS$3,0)))/INDEX(Mortality_Matrix!$B$4:$BS$64,MATCH($A106,Mortality_Matrix!$A$4:$A$64,0),MATCH(2037,Mortality_Matrix!$B$3:$BS$3,0))</f>
        <v>-3.86165577811146E-010</v>
      </c>
      <c r="AB106" s="27" t="n">
        <f aca="false">(AB40-INDEX(Mortality_Matrix!$B$4:$BS$64,MATCH($A106,Mortality_Matrix!$A$4:$A$64,0),MATCH(2038,Mortality_Matrix!$B$3:$BS$3,0)))/INDEX(Mortality_Matrix!$B$4:$BS$64,MATCH($A106,Mortality_Matrix!$A$4:$A$64,0),MATCH(2038,Mortality_Matrix!$B$3:$BS$3,0))</f>
        <v>2.19719276260553E-009</v>
      </c>
      <c r="AC106" s="27" t="n">
        <f aca="false">(AC40-INDEX(Mortality_Matrix!$B$4:$BS$64,MATCH($A106,Mortality_Matrix!$A$4:$A$64,0),MATCH(2039,Mortality_Matrix!$B$3:$BS$3,0)))/INDEX(Mortality_Matrix!$B$4:$BS$64,MATCH($A106,Mortality_Matrix!$A$4:$A$64,0),MATCH(2039,Mortality_Matrix!$B$3:$BS$3,0))</f>
        <v>-2.31057068087176E-009</v>
      </c>
      <c r="AD106" s="27" t="n">
        <f aca="false">(AD40-INDEX(Mortality_Matrix!$B$4:$BS$64,MATCH($A106,Mortality_Matrix!$A$4:$A$64,0),MATCH(2040,Mortality_Matrix!$B$3:$BS$3,0)))/INDEX(Mortality_Matrix!$B$4:$BS$64,MATCH($A106,Mortality_Matrix!$A$4:$A$64,0),MATCH(2040,Mortality_Matrix!$B$3:$BS$3,0))</f>
        <v>-1.14566641197708E-009</v>
      </c>
      <c r="AE106" s="27" t="n">
        <f aca="false">(AE40-INDEX(Mortality_Matrix!$B$4:$BS$64,MATCH($A106,Mortality_Matrix!$A$4:$A$64,0),MATCH(2041,Mortality_Matrix!$B$3:$BS$3,0)))/INDEX(Mortality_Matrix!$B$4:$BS$64,MATCH($A106,Mortality_Matrix!$A$4:$A$64,0),MATCH(2041,Mortality_Matrix!$B$3:$BS$3,0))</f>
        <v>-1.88288093142592E-010</v>
      </c>
      <c r="AF106" s="27" t="n">
        <f aca="false">(AF40-INDEX(Mortality_Matrix!$B$4:$BS$64,MATCH($A106,Mortality_Matrix!$A$4:$A$64,0),MATCH(2042,Mortality_Matrix!$B$3:$BS$3,0)))/INDEX(Mortality_Matrix!$B$4:$BS$64,MATCH($A106,Mortality_Matrix!$A$4:$A$64,0),MATCH(2042,Mortality_Matrix!$B$3:$BS$3,0))</f>
        <v>2.35595442687341E-009</v>
      </c>
      <c r="AG106" s="27" t="n">
        <f aca="false">(AG40-INDEX(Mortality_Matrix!$B$4:$BS$64,MATCH($A106,Mortality_Matrix!$A$4:$A$64,0),MATCH(2043,Mortality_Matrix!$B$3:$BS$3,0)))/INDEX(Mortality_Matrix!$B$4:$BS$64,MATCH($A106,Mortality_Matrix!$A$4:$A$64,0),MATCH(2043,Mortality_Matrix!$B$3:$BS$3,0))</f>
        <v>-1.67814915993675E-009</v>
      </c>
      <c r="AH106" s="27" t="n">
        <f aca="false">(AH40-INDEX(Mortality_Matrix!$B$4:$BS$64,MATCH($A106,Mortality_Matrix!$A$4:$A$64,0),MATCH(2044,Mortality_Matrix!$B$3:$BS$3,0)))/INDEX(Mortality_Matrix!$B$4:$BS$64,MATCH($A106,Mortality_Matrix!$A$4:$A$64,0),MATCH(2044,Mortality_Matrix!$B$3:$BS$3,0))</f>
        <v>-2.53261355502479E-009</v>
      </c>
      <c r="AI106" s="27" t="n">
        <f aca="false">(AI40-INDEX(Mortality_Matrix!$B$4:$BS$64,MATCH($A106,Mortality_Matrix!$A$4:$A$64,0),MATCH(2045,Mortality_Matrix!$B$3:$BS$3,0)))/INDEX(Mortality_Matrix!$B$4:$BS$64,MATCH($A106,Mortality_Matrix!$A$4:$A$64,0),MATCH(2045,Mortality_Matrix!$B$3:$BS$3,0))</f>
        <v>-1.87452785961479E-009</v>
      </c>
      <c r="AJ106" s="27" t="n">
        <f aca="false">(AJ40-INDEX(Mortality_Matrix!$B$4:$BS$64,MATCH($A106,Mortality_Matrix!$A$4:$A$64,0),MATCH(2046,Mortality_Matrix!$B$3:$BS$3,0)))/INDEX(Mortality_Matrix!$B$4:$BS$64,MATCH($A106,Mortality_Matrix!$A$4:$A$64,0),MATCH(2046,Mortality_Matrix!$B$3:$BS$3,0))</f>
        <v>-2.36042429500719E-009</v>
      </c>
      <c r="AK106" s="27" t="n">
        <f aca="false">(AK40-INDEX(Mortality_Matrix!$B$4:$BS$64,MATCH($A106,Mortality_Matrix!$A$4:$A$64,0),MATCH(2047,Mortality_Matrix!$B$3:$BS$3,0)))/INDEX(Mortality_Matrix!$B$4:$BS$64,MATCH($A106,Mortality_Matrix!$A$4:$A$64,0),MATCH(2047,Mortality_Matrix!$B$3:$BS$3,0))</f>
        <v>-2.36042419445873E-009</v>
      </c>
      <c r="AL106" s="27" t="n">
        <f aca="false">(AL40-INDEX(Mortality_Matrix!$B$4:$BS$64,MATCH($A106,Mortality_Matrix!$A$4:$A$64,0),MATCH(2048,Mortality_Matrix!$B$3:$BS$3,0)))/INDEX(Mortality_Matrix!$B$4:$BS$64,MATCH($A106,Mortality_Matrix!$A$4:$A$64,0),MATCH(2048,Mortality_Matrix!$B$3:$BS$3,0))</f>
        <v>-2.70472958558452E-009</v>
      </c>
      <c r="AM106" s="27" t="n">
        <f aca="false">(AM40-INDEX(Mortality_Matrix!$B$4:$BS$64,MATCH($A106,Mortality_Matrix!$A$4:$A$64,0),MATCH(2049,Mortality_Matrix!$B$3:$BS$3,0)))/INDEX(Mortality_Matrix!$B$4:$BS$64,MATCH($A106,Mortality_Matrix!$A$4:$A$64,0),MATCH(2049,Mortality_Matrix!$B$3:$BS$3,0))</f>
        <v>-1.33831229417113E-009</v>
      </c>
      <c r="AN106" s="27" t="n">
        <f aca="false">(AN40-INDEX(Mortality_Matrix!$B$4:$BS$64,MATCH($A106,Mortality_Matrix!$A$4:$A$64,0),MATCH(2050,Mortality_Matrix!$B$3:$BS$3,0)))/INDEX(Mortality_Matrix!$B$4:$BS$64,MATCH($A106,Mortality_Matrix!$A$4:$A$64,0),MATCH(2050,Mortality_Matrix!$B$3:$BS$3,0))</f>
        <v>-3.70480580930152E-010</v>
      </c>
      <c r="AO106" s="27" t="n">
        <f aca="false">(AO40-INDEX(Mortality_Matrix!$B$4:$BS$64,MATCH($A106,Mortality_Matrix!$A$4:$A$64,0),MATCH(2051,Mortality_Matrix!$B$3:$BS$3,0)))/INDEX(Mortality_Matrix!$B$4:$BS$64,MATCH($A106,Mortality_Matrix!$A$4:$A$64,0),MATCH(2051,Mortality_Matrix!$B$3:$BS$3,0))</f>
        <v>-6.65251748005086E-010</v>
      </c>
      <c r="AP106" s="27" t="n">
        <f aca="false">(AP40-INDEX(Mortality_Matrix!$B$4:$BS$64,MATCH($A106,Mortality_Matrix!$A$4:$A$64,0),MATCH(2052,Mortality_Matrix!$B$3:$BS$3,0)))/INDEX(Mortality_Matrix!$B$4:$BS$64,MATCH($A106,Mortality_Matrix!$A$4:$A$64,0),MATCH(2052,Mortality_Matrix!$B$3:$BS$3,0))</f>
        <v>-2.56056515160847E-009</v>
      </c>
      <c r="AQ106" s="27" t="n">
        <f aca="false">(AQ40-INDEX(Mortality_Matrix!$B$4:$BS$64,MATCH($A106,Mortality_Matrix!$A$4:$A$64,0),MATCH(2053,Mortality_Matrix!$B$3:$BS$3,0)))/INDEX(Mortality_Matrix!$B$4:$BS$64,MATCH($A106,Mortality_Matrix!$A$4:$A$64,0),MATCH(2053,Mortality_Matrix!$B$3:$BS$3,0))</f>
        <v>1.0627541536255E-010</v>
      </c>
      <c r="AR106" s="27" t="n">
        <f aca="false">(AR40-INDEX(Mortality_Matrix!$B$4:$BS$64,MATCH($A106,Mortality_Matrix!$A$4:$A$64,0),MATCH(2054,Mortality_Matrix!$B$3:$BS$3,0)))/INDEX(Mortality_Matrix!$B$4:$BS$64,MATCH($A106,Mortality_Matrix!$A$4:$A$64,0),MATCH(2054,Mortality_Matrix!$B$3:$BS$3,0))</f>
        <v>-8.87599481153685E-010</v>
      </c>
      <c r="AS106" s="27" t="n">
        <f aca="false">(AS40-INDEX(Mortality_Matrix!$B$4:$BS$64,MATCH($A106,Mortality_Matrix!$A$4:$A$64,0),MATCH(2055,Mortality_Matrix!$B$3:$BS$3,0)))/INDEX(Mortality_Matrix!$B$4:$BS$64,MATCH($A106,Mortality_Matrix!$A$4:$A$64,0),MATCH(2055,Mortality_Matrix!$B$3:$BS$3,0))</f>
        <v>-2.24454410007304E-009</v>
      </c>
      <c r="AT106" s="27" t="n">
        <f aca="false">(AT40-INDEX(Mortality_Matrix!$B$4:$BS$64,MATCH($A106,Mortality_Matrix!$A$4:$A$64,0),MATCH(2056,Mortality_Matrix!$B$3:$BS$3,0)))/INDEX(Mortality_Matrix!$B$4:$BS$64,MATCH($A106,Mortality_Matrix!$A$4:$A$64,0),MATCH(2056,Mortality_Matrix!$B$3:$BS$3,0))</f>
        <v>-3.19827321733179E-009</v>
      </c>
      <c r="AU106" s="27" t="n">
        <f aca="false">(AU40-INDEX(Mortality_Matrix!$B$4:$BS$64,MATCH($A106,Mortality_Matrix!$A$4:$A$64,0),MATCH(2057,Mortality_Matrix!$B$3:$BS$3,0)))/INDEX(Mortality_Matrix!$B$4:$BS$64,MATCH($A106,Mortality_Matrix!$A$4:$A$64,0),MATCH(2057,Mortality_Matrix!$B$3:$BS$3,0))</f>
        <v>6.38877032701207E-010</v>
      </c>
      <c r="AV106" s="27" t="n">
        <f aca="false">(AV40-INDEX(Mortality_Matrix!$B$4:$BS$64,MATCH($A106,Mortality_Matrix!$A$4:$A$64,0),MATCH(2058,Mortality_Matrix!$B$3:$BS$3,0)))/INDEX(Mortality_Matrix!$B$4:$BS$64,MATCH($A106,Mortality_Matrix!$A$4:$A$64,0),MATCH(2058,Mortality_Matrix!$B$3:$BS$3,0))</f>
        <v>2.16798476379171E-009</v>
      </c>
      <c r="AW106" s="27" t="n">
        <f aca="false">(AW40-INDEX(Mortality_Matrix!$B$4:$BS$64,MATCH($A106,Mortality_Matrix!$A$4:$A$64,0),MATCH(2059,Mortality_Matrix!$B$3:$BS$3,0)))/INDEX(Mortality_Matrix!$B$4:$BS$64,MATCH($A106,Mortality_Matrix!$A$4:$A$64,0),MATCH(2059,Mortality_Matrix!$B$3:$BS$3,0))</f>
        <v>3.27683739033827E-009</v>
      </c>
      <c r="AX106" s="27" t="n">
        <f aca="false">(AX40-INDEX(Mortality_Matrix!$B$4:$BS$64,MATCH($A106,Mortality_Matrix!$A$4:$A$64,0),MATCH(2060,Mortality_Matrix!$B$3:$BS$3,0)))/INDEX(Mortality_Matrix!$B$4:$BS$64,MATCH($A106,Mortality_Matrix!$A$4:$A$64,0),MATCH(2060,Mortality_Matrix!$B$3:$BS$3,0))</f>
        <v>-2.88001857151781E-010</v>
      </c>
      <c r="AY106" s="27" t="n">
        <f aca="false">(AY40-INDEX(Mortality_Matrix!$B$4:$BS$64,MATCH($A106,Mortality_Matrix!$A$4:$A$64,0),MATCH(2061,Mortality_Matrix!$B$3:$BS$3,0)))/INDEX(Mortality_Matrix!$B$4:$BS$64,MATCH($A106,Mortality_Matrix!$A$4:$A$64,0),MATCH(2061,Mortality_Matrix!$B$3:$BS$3,0))</f>
        <v>2.64539516720262E-009</v>
      </c>
      <c r="AZ106" s="27" t="n">
        <f aca="false">(AZ40-INDEX(Mortality_Matrix!$B$4:$BS$64,MATCH($A106,Mortality_Matrix!$A$4:$A$64,0),MATCH(2062,Mortality_Matrix!$B$3:$BS$3,0)))/INDEX(Mortality_Matrix!$B$4:$BS$64,MATCH($A106,Mortality_Matrix!$A$4:$A$64,0),MATCH(2062,Mortality_Matrix!$B$3:$BS$3,0))</f>
        <v>3.63498847197017E-010</v>
      </c>
      <c r="BA106" s="27" t="n">
        <f aca="false">(BA40-INDEX(Mortality_Matrix!$B$4:$BS$64,MATCH($A106,Mortality_Matrix!$A$4:$A$64,0),MATCH(2063,Mortality_Matrix!$B$3:$BS$3,0)))/INDEX(Mortality_Matrix!$B$4:$BS$64,MATCH($A106,Mortality_Matrix!$A$4:$A$64,0),MATCH(2063,Mortality_Matrix!$B$3:$BS$3,0))</f>
        <v>2.79794043990405E-009</v>
      </c>
      <c r="BB106" s="27" t="n">
        <f aca="false">(BB40-INDEX(Mortality_Matrix!$B$4:$BS$64,MATCH($A106,Mortality_Matrix!$A$4:$A$64,0),MATCH(2064,Mortality_Matrix!$B$3:$BS$3,0)))/INDEX(Mortality_Matrix!$B$4:$BS$64,MATCH($A106,Mortality_Matrix!$A$4:$A$64,0),MATCH(2064,Mortality_Matrix!$B$3:$BS$3,0))</f>
        <v>2.51889843511698E-009</v>
      </c>
      <c r="BC106" s="27" t="n">
        <f aca="false">(BC40-INDEX(Mortality_Matrix!$B$4:$BS$64,MATCH($A106,Mortality_Matrix!$A$4:$A$64,0),MATCH(2065,Mortality_Matrix!$B$3:$BS$3,0)))/INDEX(Mortality_Matrix!$B$4:$BS$64,MATCH($A106,Mortality_Matrix!$A$4:$A$64,0),MATCH(2065,Mortality_Matrix!$B$3:$BS$3,0))</f>
        <v>-3.14692744943365E-009</v>
      </c>
      <c r="BD106" s="27" t="n">
        <f aca="false">(BD40-INDEX(Mortality_Matrix!$B$4:$BS$64,MATCH($A106,Mortality_Matrix!$A$4:$A$64,0),MATCH(2066,Mortality_Matrix!$B$3:$BS$3,0)))/INDEX(Mortality_Matrix!$B$4:$BS$64,MATCH($A106,Mortality_Matrix!$A$4:$A$64,0),MATCH(2066,Mortality_Matrix!$B$3:$BS$3,0))</f>
        <v>3.8788609342406E-009</v>
      </c>
      <c r="BE106" s="27" t="n">
        <f aca="false">(BE40-INDEX(Mortality_Matrix!$B$4:$BS$64,MATCH($A106,Mortality_Matrix!$A$4:$A$64,0),MATCH(2067,Mortality_Matrix!$B$3:$BS$3,0)))/INDEX(Mortality_Matrix!$B$4:$BS$64,MATCH($A106,Mortality_Matrix!$A$4:$A$64,0),MATCH(2067,Mortality_Matrix!$B$3:$BS$3,0))</f>
        <v>-3.54590432505791E-009</v>
      </c>
      <c r="BF106" s="27" t="n">
        <f aca="false">(BF40-INDEX(Mortality_Matrix!$B$4:$BS$64,MATCH($A106,Mortality_Matrix!$A$4:$A$64,0),MATCH(2068,Mortality_Matrix!$B$3:$BS$3,0)))/INDEX(Mortality_Matrix!$B$4:$BS$64,MATCH($A106,Mortality_Matrix!$A$4:$A$64,0),MATCH(2068,Mortality_Matrix!$B$3:$BS$3,0))</f>
        <v>-4.54546022262696E-010</v>
      </c>
      <c r="BG106" s="27" t="n">
        <f aca="false">(BG40-INDEX(Mortality_Matrix!$B$4:$BS$64,MATCH($A106,Mortality_Matrix!$A$4:$A$64,0),MATCH(2069,Mortality_Matrix!$B$3:$BS$3,0)))/INDEX(Mortality_Matrix!$B$4:$BS$64,MATCH($A106,Mortality_Matrix!$A$4:$A$64,0),MATCH(2069,Mortality_Matrix!$B$3:$BS$3,0))</f>
        <v>-1.14242229726081E-009</v>
      </c>
      <c r="BH106" s="27" t="n">
        <f aca="false">(BH40-INDEX(Mortality_Matrix!$B$4:$BS$64,MATCH($A106,Mortality_Matrix!$A$4:$A$64,0),MATCH(2070,Mortality_Matrix!$B$3:$BS$3,0)))/INDEX(Mortality_Matrix!$B$4:$BS$64,MATCH($A106,Mortality_Matrix!$A$4:$A$64,0),MATCH(2070,Mortality_Matrix!$B$3:$BS$3,0))</f>
        <v>-1.9280675364771E-009</v>
      </c>
      <c r="BI106" s="27" t="n">
        <f aca="false">(BI40-INDEX(Mortality_Matrix!$B$4:$BS$64,MATCH($A106,Mortality_Matrix!$A$4:$A$64,0),MATCH(2071,Mortality_Matrix!$B$3:$BS$3,0)))/INDEX(Mortality_Matrix!$B$4:$BS$64,MATCH($A106,Mortality_Matrix!$A$4:$A$64,0),MATCH(2071,Mortality_Matrix!$B$3:$BS$3,0))</f>
        <v>1.70548682645405E-009</v>
      </c>
      <c r="BJ106" s="27" t="n">
        <f aca="false">(BJ40-INDEX(Mortality_Matrix!$B$4:$BS$64,MATCH($A106,Mortality_Matrix!$A$4:$A$64,0),MATCH(2072,Mortality_Matrix!$B$3:$BS$3,0)))/INDEX(Mortality_Matrix!$B$4:$BS$64,MATCH($A106,Mortality_Matrix!$A$4:$A$64,0),MATCH(2072,Mortality_Matrix!$B$3:$BS$3,0))</f>
        <v>-3.64789906957669E-009</v>
      </c>
      <c r="BK106" s="27" t="n">
        <f aca="false">(BK40-INDEX(Mortality_Matrix!$B$4:$BS$64,MATCH($A106,Mortality_Matrix!$A$4:$A$64,0),MATCH(2073,Mortality_Matrix!$B$3:$BS$3,0)))/INDEX(Mortality_Matrix!$B$4:$BS$64,MATCH($A106,Mortality_Matrix!$A$4:$A$64,0),MATCH(2073,Mortality_Matrix!$B$3:$BS$3,0))</f>
        <v>3.29417000301003E-009</v>
      </c>
      <c r="BL106" s="27" t="n">
        <f aca="false">(BL40-INDEX(Mortality_Matrix!$B$4:$BS$64,MATCH($A106,Mortality_Matrix!$A$4:$A$64,0),MATCH(2074,Mortality_Matrix!$B$3:$BS$3,0)))/INDEX(Mortality_Matrix!$B$4:$BS$64,MATCH($A106,Mortality_Matrix!$A$4:$A$64,0),MATCH(2074,Mortality_Matrix!$B$3:$BS$3,0))</f>
        <v>-3.10447776576879E-009</v>
      </c>
      <c r="BM106" s="27" t="n">
        <f aca="false">(BM40-INDEX(Mortality_Matrix!$B$4:$BS$64,MATCH($A106,Mortality_Matrix!$A$4:$A$64,0),MATCH(2075,Mortality_Matrix!$B$3:$BS$3,0)))/INDEX(Mortality_Matrix!$B$4:$BS$64,MATCH($A106,Mortality_Matrix!$A$4:$A$64,0),MATCH(2075,Mortality_Matrix!$B$3:$BS$3,0))</f>
        <v>3.72112305265794E-009</v>
      </c>
      <c r="BN106" s="27" t="n">
        <f aca="false">(BN40-INDEX(Mortality_Matrix!$B$4:$BS$64,MATCH($A106,Mortality_Matrix!$A$4:$A$64,0),MATCH(2076,Mortality_Matrix!$B$3:$BS$3,0)))/INDEX(Mortality_Matrix!$B$4:$BS$64,MATCH($A106,Mortality_Matrix!$A$4:$A$64,0),MATCH(2076,Mortality_Matrix!$B$3:$BS$3,0))</f>
        <v>6.14775572400417E-010</v>
      </c>
      <c r="BO106" s="27" t="n">
        <f aca="false">(BO40-INDEX(Mortality_Matrix!$B$4:$BS$64,MATCH($A106,Mortality_Matrix!$A$4:$A$64,0),MATCH(2077,Mortality_Matrix!$B$3:$BS$3,0)))/INDEX(Mortality_Matrix!$B$4:$BS$64,MATCH($A106,Mortality_Matrix!$A$4:$A$64,0),MATCH(2077,Mortality_Matrix!$B$3:$BS$3,0))</f>
        <v>-2.63591185246047E-009</v>
      </c>
      <c r="BP106" s="27" t="n">
        <f aca="false">(BP40-INDEX(Mortality_Matrix!$B$4:$BS$64,MATCH($A106,Mortality_Matrix!$A$4:$A$64,0),MATCH(2078,Mortality_Matrix!$B$3:$BS$3,0)))/INDEX(Mortality_Matrix!$B$4:$BS$64,MATCH($A106,Mortality_Matrix!$A$4:$A$64,0),MATCH(2078,Mortality_Matrix!$B$3:$BS$3,0))</f>
        <v>-9.6118822668949E-010</v>
      </c>
      <c r="BQ106" s="27" t="n">
        <f aca="false">(BQ40-INDEX(Mortality_Matrix!$B$4:$BS$64,MATCH($A106,Mortality_Matrix!$A$4:$A$64,0),MATCH(2079,Mortality_Matrix!$B$3:$BS$3,0)))/INDEX(Mortality_Matrix!$B$4:$BS$64,MATCH($A106,Mortality_Matrix!$A$4:$A$64,0),MATCH(2079,Mortality_Matrix!$B$3:$BS$3,0))</f>
        <v>4.78957907368174E-009</v>
      </c>
      <c r="BR106" s="27" t="n">
        <f aca="false">(BR40-INDEX(Mortality_Matrix!$B$4:$BS$64,MATCH($A106,Mortality_Matrix!$A$4:$A$64,0),MATCH(2080,Mortality_Matrix!$B$3:$BS$3,0)))/INDEX(Mortality_Matrix!$B$4:$BS$64,MATCH($A106,Mortality_Matrix!$A$4:$A$64,0),MATCH(2080,Mortality_Matrix!$B$3:$BS$3,0))</f>
        <v>-3.587173388513E-009</v>
      </c>
      <c r="BS106" s="27" t="n">
        <f aca="false">(BS40-INDEX(Mortality_Matrix!$B$4:$BS$64,MATCH($A106,Mortality_Matrix!$A$4:$A$64,0),MATCH(2081,Mortality_Matrix!$B$3:$BS$3,0)))/INDEX(Mortality_Matrix!$B$4:$BS$64,MATCH($A106,Mortality_Matrix!$A$4:$A$64,0),MATCH(2081,Mortality_Matrix!$B$3:$BS$3,0))</f>
        <v>-1.9378511608623E-009</v>
      </c>
      <c r="BT106" s="27" t="n">
        <f aca="false">(BT40-INDEX(Mortality_Matrix!$B$4:$BS$64,MATCH($A106,Mortality_Matrix!$A$4:$A$64,0),MATCH(2082,Mortality_Matrix!$B$3:$BS$3,0)))/INDEX(Mortality_Matrix!$B$4:$BS$64,MATCH($A106,Mortality_Matrix!$A$4:$A$64,0),MATCH(2082,Mortality_Matrix!$B$3:$BS$3,0))</f>
        <v>-5.02509749677396E-009</v>
      </c>
      <c r="BU106" s="27" t="n">
        <f aca="false">(BU40-INDEX(Mortality_Matrix!$B$4:$BS$64,MATCH($A106,Mortality_Matrix!$A$4:$A$64,0),MATCH(2083,Mortality_Matrix!$B$3:$BS$3,0)))/INDEX(Mortality_Matrix!$B$4:$BS$64,MATCH($A106,Mortality_Matrix!$A$4:$A$64,0),MATCH(2083,Mortality_Matrix!$B$3:$BS$3,0))</f>
        <v>4.00582164532928E-009</v>
      </c>
      <c r="BV106" s="27" t="n">
        <f aca="false">(BV40-INDEX(Mortality_Matrix!$B$4:$BS$64,MATCH($A106,Mortality_Matrix!$A$4:$A$64,0),MATCH(2084,Mortality_Matrix!$B$3:$BS$3,0)))/INDEX(Mortality_Matrix!$B$4:$BS$64,MATCH($A106,Mortality_Matrix!$A$4:$A$64,0),MATCH(2084,Mortality_Matrix!$B$3:$BS$3,0))</f>
        <v>-2.54809121128851E-010</v>
      </c>
      <c r="BW106" s="27" t="n">
        <f aca="false">(BW40-INDEX(Mortality_Matrix!$B$4:$BS$64,MATCH($A106,Mortality_Matrix!$A$4:$A$64,0),MATCH(2085,Mortality_Matrix!$B$3:$BS$3,0)))/INDEX(Mortality_Matrix!$B$4:$BS$64,MATCH($A106,Mortality_Matrix!$A$4:$A$64,0),MATCH(2085,Mortality_Matrix!$B$3:$BS$3,0))</f>
        <v>-1.95216252912453E-009</v>
      </c>
      <c r="BX106" s="27" t="n">
        <f aca="false">(BX40-INDEX(Mortality_Matrix!$B$4:$BS$64,MATCH($A106,Mortality_Matrix!$A$4:$A$64,0),MATCH(2086,Mortality_Matrix!$B$3:$BS$3,0)))/INDEX(Mortality_Matrix!$B$4:$BS$64,MATCH($A106,Mortality_Matrix!$A$4:$A$64,0),MATCH(2086,Mortality_Matrix!$B$3:$BS$3,0))</f>
        <v>2.82833176352787E-009</v>
      </c>
      <c r="BY106" s="27" t="n">
        <f aca="false">(BY40-INDEX(Mortality_Matrix!$B$4:$BS$64,MATCH($A106,Mortality_Matrix!$A$4:$A$64,0),MATCH(2087,Mortality_Matrix!$B$3:$BS$3,0)))/INDEX(Mortality_Matrix!$B$4:$BS$64,MATCH($A106,Mortality_Matrix!$A$4:$A$64,0),MATCH(2087,Mortality_Matrix!$B$3:$BS$3,0))</f>
        <v>4.295606434538E-009</v>
      </c>
      <c r="BZ106" s="27" t="n">
        <f aca="false">(BZ40-INDEX(Mortality_Matrix!$B$4:$BS$64,MATCH($A106,Mortality_Matrix!$A$4:$A$64,0),MATCH(2088,Mortality_Matrix!$B$3:$BS$3,0)))/INDEX(Mortality_Matrix!$B$4:$BS$64,MATCH($A106,Mortality_Matrix!$A$4:$A$64,0),MATCH(2088,Mortality_Matrix!$B$3:$BS$3,0))</f>
        <v>-1.37174746768085E-012</v>
      </c>
      <c r="CA106" s="27" t="n">
        <f aca="false">(CA40-INDEX(Mortality_Matrix!$B$4:$BS$64,MATCH($A106,Mortality_Matrix!$A$4:$A$64,0),MATCH(2089,Mortality_Matrix!$B$3:$BS$3,0)))/INDEX(Mortality_Matrix!$B$4:$BS$64,MATCH($A106,Mortality_Matrix!$A$4:$A$64,0),MATCH(2089,Mortality_Matrix!$B$3:$BS$3,0))</f>
        <v>-5.41076551584024E-009</v>
      </c>
      <c r="CB106" s="27" t="n">
        <f aca="false">(CB40-INDEX(Mortality_Matrix!$B$4:$BS$64,MATCH($A106,Mortality_Matrix!$A$4:$A$64,0),MATCH(2090,Mortality_Matrix!$B$3:$BS$3,0)))/INDEX(Mortality_Matrix!$B$4:$BS$64,MATCH($A106,Mortality_Matrix!$A$4:$A$64,0),MATCH(2090,Mortality_Matrix!$B$3:$BS$3,0))</f>
        <v>-4.50456737583298E-010</v>
      </c>
      <c r="CC106" s="27" t="n">
        <f aca="false">(CC40-INDEX(Mortality_Matrix!$B$4:$BS$64,MATCH($A106,Mortality_Matrix!$A$4:$A$64,0),MATCH(2091,Mortality_Matrix!$B$3:$BS$3,0)))/INDEX(Mortality_Matrix!$B$4:$BS$64,MATCH($A106,Mortality_Matrix!$A$4:$A$64,0),MATCH(2091,Mortality_Matrix!$B$3:$BS$3,0))</f>
        <v>-3.08828123687504E-009</v>
      </c>
    </row>
    <row r="107" customFormat="false" ht="15" hidden="false" customHeight="true" outlineLevel="0" collapsed="false">
      <c r="A107" s="3" t="n">
        <v>78</v>
      </c>
      <c r="L107" s="27" t="n">
        <f aca="false">(L41-INDEX(Mortality_Matrix!$B$4:$BS$64,MATCH($A107,Mortality_Matrix!$A$4:$A$64,0),MATCH(2022,Mortality_Matrix!$B$3:$BS$3,0)))/INDEX(Mortality_Matrix!$B$4:$BS$64,MATCH($A107,Mortality_Matrix!$A$4:$A$64,0),MATCH(2022,Mortality_Matrix!$B$3:$BS$3,0))</f>
        <v>1.43168681173336E-009</v>
      </c>
      <c r="M107" s="27" t="n">
        <f aca="false">(M41-INDEX(Mortality_Matrix!$B$4:$BS$64,MATCH($A107,Mortality_Matrix!$A$4:$A$64,0),MATCH(2023,Mortality_Matrix!$B$3:$BS$3,0)))/INDEX(Mortality_Matrix!$B$4:$BS$64,MATCH($A107,Mortality_Matrix!$A$4:$A$64,0),MATCH(2023,Mortality_Matrix!$B$3:$BS$3,0))</f>
        <v>-1.4973632098102E-009</v>
      </c>
      <c r="N107" s="27" t="n">
        <f aca="false">(N41-INDEX(Mortality_Matrix!$B$4:$BS$64,MATCH($A107,Mortality_Matrix!$A$4:$A$64,0),MATCH(2024,Mortality_Matrix!$B$3:$BS$3,0)))/INDEX(Mortality_Matrix!$B$4:$BS$64,MATCH($A107,Mortality_Matrix!$A$4:$A$64,0),MATCH(2024,Mortality_Matrix!$B$3:$BS$3,0))</f>
        <v>9.03026128465169E-010</v>
      </c>
      <c r="O107" s="27" t="n">
        <f aca="false">(O41-INDEX(Mortality_Matrix!$B$4:$BS$64,MATCH($A107,Mortality_Matrix!$A$4:$A$64,0),MATCH(2025,Mortality_Matrix!$B$3:$BS$3,0)))/INDEX(Mortality_Matrix!$B$4:$BS$64,MATCH($A107,Mortality_Matrix!$A$4:$A$64,0),MATCH(2025,Mortality_Matrix!$B$3:$BS$3,0))</f>
        <v>-1.33473965116614E-009</v>
      </c>
      <c r="P107" s="27" t="n">
        <f aca="false">(P41-INDEX(Mortality_Matrix!$B$4:$BS$64,MATCH($A107,Mortality_Matrix!$A$4:$A$64,0),MATCH(2026,Mortality_Matrix!$B$3:$BS$3,0)))/INDEX(Mortality_Matrix!$B$4:$BS$64,MATCH($A107,Mortality_Matrix!$A$4:$A$64,0),MATCH(2026,Mortality_Matrix!$B$3:$BS$3,0))</f>
        <v>1.39248456491467E-010</v>
      </c>
      <c r="Q107" s="27" t="n">
        <f aca="false">(Q41-INDEX(Mortality_Matrix!$B$4:$BS$64,MATCH($A107,Mortality_Matrix!$A$4:$A$64,0),MATCH(2027,Mortality_Matrix!$B$3:$BS$3,0)))/INDEX(Mortality_Matrix!$B$4:$BS$64,MATCH($A107,Mortality_Matrix!$A$4:$A$64,0),MATCH(2027,Mortality_Matrix!$B$3:$BS$3,0))</f>
        <v>-1.75646657789738E-009</v>
      </c>
      <c r="R107" s="27" t="n">
        <f aca="false">(R41-INDEX(Mortality_Matrix!$B$4:$BS$64,MATCH($A107,Mortality_Matrix!$A$4:$A$64,0),MATCH(2028,Mortality_Matrix!$B$3:$BS$3,0)))/INDEX(Mortality_Matrix!$B$4:$BS$64,MATCH($A107,Mortality_Matrix!$A$4:$A$64,0),MATCH(2028,Mortality_Matrix!$B$3:$BS$3,0))</f>
        <v>-1.56136641697646E-009</v>
      </c>
      <c r="S107" s="27" t="n">
        <f aca="false">(S41-INDEX(Mortality_Matrix!$B$4:$BS$64,MATCH($A107,Mortality_Matrix!$A$4:$A$64,0),MATCH(2029,Mortality_Matrix!$B$3:$BS$3,0)))/INDEX(Mortality_Matrix!$B$4:$BS$64,MATCH($A107,Mortality_Matrix!$A$4:$A$64,0),MATCH(2029,Mortality_Matrix!$B$3:$BS$3,0))</f>
        <v>1.29156550766648E-009</v>
      </c>
      <c r="T107" s="27" t="n">
        <f aca="false">(T41-INDEX(Mortality_Matrix!$B$4:$BS$64,MATCH($A107,Mortality_Matrix!$A$4:$A$64,0),MATCH(2030,Mortality_Matrix!$B$3:$BS$3,0)))/INDEX(Mortality_Matrix!$B$4:$BS$64,MATCH($A107,Mortality_Matrix!$A$4:$A$64,0),MATCH(2030,Mortality_Matrix!$B$3:$BS$3,0))</f>
        <v>1.79828666663288E-009</v>
      </c>
      <c r="U107" s="27" t="n">
        <f aca="false">(U41-INDEX(Mortality_Matrix!$B$4:$BS$64,MATCH($A107,Mortality_Matrix!$A$4:$A$64,0),MATCH(2031,Mortality_Matrix!$B$3:$BS$3,0)))/INDEX(Mortality_Matrix!$B$4:$BS$64,MATCH($A107,Mortality_Matrix!$A$4:$A$64,0),MATCH(2031,Mortality_Matrix!$B$3:$BS$3,0))</f>
        <v>2.08072900302945E-009</v>
      </c>
      <c r="V107" s="27" t="n">
        <f aca="false">(V41-INDEX(Mortality_Matrix!$B$4:$BS$64,MATCH($A107,Mortality_Matrix!$A$4:$A$64,0),MATCH(2032,Mortality_Matrix!$B$3:$BS$3,0)))/INDEX(Mortality_Matrix!$B$4:$BS$64,MATCH($A107,Mortality_Matrix!$A$4:$A$64,0),MATCH(2032,Mortality_Matrix!$B$3:$BS$3,0))</f>
        <v>1.76453779166299E-009</v>
      </c>
      <c r="W107" s="27" t="n">
        <f aca="false">(W41-INDEX(Mortality_Matrix!$B$4:$BS$64,MATCH($A107,Mortality_Matrix!$A$4:$A$64,0),MATCH(2033,Mortality_Matrix!$B$3:$BS$3,0)))/INDEX(Mortality_Matrix!$B$4:$BS$64,MATCH($A107,Mortality_Matrix!$A$4:$A$64,0),MATCH(2033,Mortality_Matrix!$B$3:$BS$3,0))</f>
        <v>1.56700727261018E-009</v>
      </c>
      <c r="X107" s="27" t="n">
        <f aca="false">(X41-INDEX(Mortality_Matrix!$B$4:$BS$64,MATCH($A107,Mortality_Matrix!$A$4:$A$64,0),MATCH(2034,Mortality_Matrix!$B$3:$BS$3,0)))/INDEX(Mortality_Matrix!$B$4:$BS$64,MATCH($A107,Mortality_Matrix!$A$4:$A$64,0),MATCH(2034,Mortality_Matrix!$B$3:$BS$3,0))</f>
        <v>-8.84019354927271E-010</v>
      </c>
      <c r="Y107" s="27" t="n">
        <f aca="false">(Y41-INDEX(Mortality_Matrix!$B$4:$BS$64,MATCH($A107,Mortality_Matrix!$A$4:$A$64,0),MATCH(2035,Mortality_Matrix!$B$3:$BS$3,0)))/INDEX(Mortality_Matrix!$B$4:$BS$64,MATCH($A107,Mortality_Matrix!$A$4:$A$64,0),MATCH(2035,Mortality_Matrix!$B$3:$BS$3,0))</f>
        <v>7.44720006988264E-010</v>
      </c>
      <c r="Z107" s="27" t="n">
        <f aca="false">(Z41-INDEX(Mortality_Matrix!$B$4:$BS$64,MATCH($A107,Mortality_Matrix!$A$4:$A$64,0),MATCH(2036,Mortality_Matrix!$B$3:$BS$3,0)))/INDEX(Mortality_Matrix!$B$4:$BS$64,MATCH($A107,Mortality_Matrix!$A$4:$A$64,0),MATCH(2036,Mortality_Matrix!$B$3:$BS$3,0))</f>
        <v>-1.94228649433517E-009</v>
      </c>
      <c r="AA107" s="27" t="n">
        <f aca="false">(AA41-INDEX(Mortality_Matrix!$B$4:$BS$64,MATCH($A107,Mortality_Matrix!$A$4:$A$64,0),MATCH(2037,Mortality_Matrix!$B$3:$BS$3,0)))/INDEX(Mortality_Matrix!$B$4:$BS$64,MATCH($A107,Mortality_Matrix!$A$4:$A$64,0),MATCH(2037,Mortality_Matrix!$B$3:$BS$3,0))</f>
        <v>-1.38271216945985E-009</v>
      </c>
      <c r="AB107" s="27" t="n">
        <f aca="false">(AB41-INDEX(Mortality_Matrix!$B$4:$BS$64,MATCH($A107,Mortality_Matrix!$A$4:$A$64,0),MATCH(2038,Mortality_Matrix!$B$3:$BS$3,0)))/INDEX(Mortality_Matrix!$B$4:$BS$64,MATCH($A107,Mortality_Matrix!$A$4:$A$64,0),MATCH(2038,Mortality_Matrix!$B$3:$BS$3,0))</f>
        <v>-2.04549057084537E-009</v>
      </c>
      <c r="AC107" s="27" t="n">
        <f aca="false">(AC41-INDEX(Mortality_Matrix!$B$4:$BS$64,MATCH($A107,Mortality_Matrix!$A$4:$A$64,0),MATCH(2039,Mortality_Matrix!$B$3:$BS$3,0)))/INDEX(Mortality_Matrix!$B$4:$BS$64,MATCH($A107,Mortality_Matrix!$A$4:$A$64,0),MATCH(2039,Mortality_Matrix!$B$3:$BS$3,0))</f>
        <v>1.84755227680025E-009</v>
      </c>
      <c r="AD107" s="27" t="n">
        <f aca="false">(AD41-INDEX(Mortality_Matrix!$B$4:$BS$64,MATCH($A107,Mortality_Matrix!$A$4:$A$64,0),MATCH(2040,Mortality_Matrix!$B$3:$BS$3,0)))/INDEX(Mortality_Matrix!$B$4:$BS$64,MATCH($A107,Mortality_Matrix!$A$4:$A$64,0),MATCH(2040,Mortality_Matrix!$B$3:$BS$3,0))</f>
        <v>1.89634640924786E-009</v>
      </c>
      <c r="AE107" s="27" t="n">
        <f aca="false">(AE41-INDEX(Mortality_Matrix!$B$4:$BS$64,MATCH($A107,Mortality_Matrix!$A$4:$A$64,0),MATCH(2041,Mortality_Matrix!$B$3:$BS$3,0)))/INDEX(Mortality_Matrix!$B$4:$BS$64,MATCH($A107,Mortality_Matrix!$A$4:$A$64,0),MATCH(2041,Mortality_Matrix!$B$3:$BS$3,0))</f>
        <v>-1.62079696104014E-009</v>
      </c>
      <c r="AF107" s="27" t="n">
        <f aca="false">(AF41-INDEX(Mortality_Matrix!$B$4:$BS$64,MATCH($A107,Mortality_Matrix!$A$4:$A$64,0),MATCH(2042,Mortality_Matrix!$B$3:$BS$3,0)))/INDEX(Mortality_Matrix!$B$4:$BS$64,MATCH($A107,Mortality_Matrix!$A$4:$A$64,0),MATCH(2042,Mortality_Matrix!$B$3:$BS$3,0))</f>
        <v>1.14263496657733E-010</v>
      </c>
      <c r="AG107" s="27" t="n">
        <f aca="false">(AG41-INDEX(Mortality_Matrix!$B$4:$BS$64,MATCH($A107,Mortality_Matrix!$A$4:$A$64,0),MATCH(2043,Mortality_Matrix!$B$3:$BS$3,0)))/INDEX(Mortality_Matrix!$B$4:$BS$64,MATCH($A107,Mortality_Matrix!$A$4:$A$64,0),MATCH(2043,Mortality_Matrix!$B$3:$BS$3,0))</f>
        <v>-1.23875951169256E-009</v>
      </c>
      <c r="AH107" s="27" t="n">
        <f aca="false">(AH41-INDEX(Mortality_Matrix!$B$4:$BS$64,MATCH($A107,Mortality_Matrix!$A$4:$A$64,0),MATCH(2044,Mortality_Matrix!$B$3:$BS$3,0)))/INDEX(Mortality_Matrix!$B$4:$BS$64,MATCH($A107,Mortality_Matrix!$A$4:$A$64,0),MATCH(2044,Mortality_Matrix!$B$3:$BS$3,0))</f>
        <v>-2.2236242818803E-009</v>
      </c>
      <c r="AI107" s="27" t="n">
        <f aca="false">(AI41-INDEX(Mortality_Matrix!$B$4:$BS$64,MATCH($A107,Mortality_Matrix!$A$4:$A$64,0),MATCH(2045,Mortality_Matrix!$B$3:$BS$3,0)))/INDEX(Mortality_Matrix!$B$4:$BS$64,MATCH($A107,Mortality_Matrix!$A$4:$A$64,0),MATCH(2045,Mortality_Matrix!$B$3:$BS$3,0))</f>
        <v>1.98632408280195E-009</v>
      </c>
      <c r="AJ107" s="27" t="n">
        <f aca="false">(AJ41-INDEX(Mortality_Matrix!$B$4:$BS$64,MATCH($A107,Mortality_Matrix!$A$4:$A$64,0),MATCH(2046,Mortality_Matrix!$B$3:$BS$3,0)))/INDEX(Mortality_Matrix!$B$4:$BS$64,MATCH($A107,Mortality_Matrix!$A$4:$A$64,0),MATCH(2046,Mortality_Matrix!$B$3:$BS$3,0))</f>
        <v>8.37670527101641E-010</v>
      </c>
      <c r="AK107" s="27" t="n">
        <f aca="false">(AK41-INDEX(Mortality_Matrix!$B$4:$BS$64,MATCH($A107,Mortality_Matrix!$A$4:$A$64,0),MATCH(2047,Mortality_Matrix!$B$3:$BS$3,0)))/INDEX(Mortality_Matrix!$B$4:$BS$64,MATCH($A107,Mortality_Matrix!$A$4:$A$64,0),MATCH(2047,Mortality_Matrix!$B$3:$BS$3,0))</f>
        <v>-1.06070601038524E-009</v>
      </c>
      <c r="AL107" s="27" t="n">
        <f aca="false">(AL41-INDEX(Mortality_Matrix!$B$4:$BS$64,MATCH($A107,Mortality_Matrix!$A$4:$A$64,0),MATCH(2048,Mortality_Matrix!$B$3:$BS$3,0)))/INDEX(Mortality_Matrix!$B$4:$BS$64,MATCH($A107,Mortality_Matrix!$A$4:$A$64,0),MATCH(2048,Mortality_Matrix!$B$3:$BS$3,0))</f>
        <v>-9.70631107964884E-011</v>
      </c>
      <c r="AM107" s="27" t="n">
        <f aca="false">(AM41-INDEX(Mortality_Matrix!$B$4:$BS$64,MATCH($A107,Mortality_Matrix!$A$4:$A$64,0),MATCH(2049,Mortality_Matrix!$B$3:$BS$3,0)))/INDEX(Mortality_Matrix!$B$4:$BS$64,MATCH($A107,Mortality_Matrix!$A$4:$A$64,0),MATCH(2049,Mortality_Matrix!$B$3:$BS$3,0))</f>
        <v>-1.52966890307332E-010</v>
      </c>
      <c r="AN107" s="27" t="n">
        <f aca="false">(AN41-INDEX(Mortality_Matrix!$B$4:$BS$64,MATCH($A107,Mortality_Matrix!$A$4:$A$64,0),MATCH(2050,Mortality_Matrix!$B$3:$BS$3,0)))/INDEX(Mortality_Matrix!$B$4:$BS$64,MATCH($A107,Mortality_Matrix!$A$4:$A$64,0),MATCH(2050,Mortality_Matrix!$B$3:$BS$3,0))</f>
        <v>-2.6501956461774E-009</v>
      </c>
      <c r="AO107" s="27" t="n">
        <f aca="false">(AO41-INDEX(Mortality_Matrix!$B$4:$BS$64,MATCH($A107,Mortality_Matrix!$A$4:$A$64,0),MATCH(2051,Mortality_Matrix!$B$3:$BS$3,0)))/INDEX(Mortality_Matrix!$B$4:$BS$64,MATCH($A107,Mortality_Matrix!$A$4:$A$64,0),MATCH(2051,Mortality_Matrix!$B$3:$BS$3,0))</f>
        <v>-1.41137678049282E-009</v>
      </c>
      <c r="AP107" s="27" t="n">
        <f aca="false">(AP41-INDEX(Mortality_Matrix!$B$4:$BS$64,MATCH($A107,Mortality_Matrix!$A$4:$A$64,0),MATCH(2052,Mortality_Matrix!$B$3:$BS$3,0)))/INDEX(Mortality_Matrix!$B$4:$BS$64,MATCH($A107,Mortality_Matrix!$A$4:$A$64,0),MATCH(2052,Mortality_Matrix!$B$3:$BS$3,0))</f>
        <v>-4.46177075247075E-010</v>
      </c>
      <c r="AQ107" s="27" t="n">
        <f aca="false">(AQ41-INDEX(Mortality_Matrix!$B$4:$BS$64,MATCH($A107,Mortality_Matrix!$A$4:$A$64,0),MATCH(2053,Mortality_Matrix!$B$3:$BS$3,0)))/INDEX(Mortality_Matrix!$B$4:$BS$64,MATCH($A107,Mortality_Matrix!$A$4:$A$64,0),MATCH(2053,Mortality_Matrix!$B$3:$BS$3,0))</f>
        <v>2.25596586600443E-009</v>
      </c>
      <c r="AR107" s="27" t="n">
        <f aca="false">(AR41-INDEX(Mortality_Matrix!$B$4:$BS$64,MATCH($A107,Mortality_Matrix!$A$4:$A$64,0),MATCH(2054,Mortality_Matrix!$B$3:$BS$3,0)))/INDEX(Mortality_Matrix!$B$4:$BS$64,MATCH($A107,Mortality_Matrix!$A$4:$A$64,0),MATCH(2054,Mortality_Matrix!$B$3:$BS$3,0))</f>
        <v>2.31625799856391E-009</v>
      </c>
      <c r="AS107" s="27" t="n">
        <f aca="false">(AS41-INDEX(Mortality_Matrix!$B$4:$BS$64,MATCH($A107,Mortality_Matrix!$A$4:$A$64,0),MATCH(2055,Mortality_Matrix!$B$3:$BS$3,0)))/INDEX(Mortality_Matrix!$B$4:$BS$64,MATCH($A107,Mortality_Matrix!$A$4:$A$64,0),MATCH(2055,Mortality_Matrix!$B$3:$BS$3,0))</f>
        <v>-1.01548689947016E-010</v>
      </c>
      <c r="AT107" s="27" t="n">
        <f aca="false">(AT41-INDEX(Mortality_Matrix!$B$4:$BS$64,MATCH($A107,Mortality_Matrix!$A$4:$A$64,0),MATCH(2056,Mortality_Matrix!$B$3:$BS$3,0)))/INDEX(Mortality_Matrix!$B$4:$BS$64,MATCH($A107,Mortality_Matrix!$A$4:$A$64,0),MATCH(2056,Mortality_Matrix!$B$3:$BS$3,0))</f>
        <v>-7.5404417431436E-010</v>
      </c>
      <c r="AU107" s="27" t="n">
        <f aca="false">(AU41-INDEX(Mortality_Matrix!$B$4:$BS$64,MATCH($A107,Mortality_Matrix!$A$4:$A$64,0),MATCH(2057,Mortality_Matrix!$B$3:$BS$3,0)))/INDEX(Mortality_Matrix!$B$4:$BS$64,MATCH($A107,Mortality_Matrix!$A$4:$A$64,0),MATCH(2057,Mortality_Matrix!$B$3:$BS$3,0))</f>
        <v>1.86413955528151E-009</v>
      </c>
      <c r="AV107" s="27" t="n">
        <f aca="false">(AV41-INDEX(Mortality_Matrix!$B$4:$BS$64,MATCH($A107,Mortality_Matrix!$A$4:$A$64,0),MATCH(2058,Mortality_Matrix!$B$3:$BS$3,0)))/INDEX(Mortality_Matrix!$B$4:$BS$64,MATCH($A107,Mortality_Matrix!$A$4:$A$64,0),MATCH(2058,Mortality_Matrix!$B$3:$BS$3,0))</f>
        <v>-9.2201403669633E-010</v>
      </c>
      <c r="AW107" s="27" t="n">
        <f aca="false">(AW41-INDEX(Mortality_Matrix!$B$4:$BS$64,MATCH($A107,Mortality_Matrix!$A$4:$A$64,0),MATCH(2059,Mortality_Matrix!$B$3:$BS$3,0)))/INDEX(Mortality_Matrix!$B$4:$BS$64,MATCH($A107,Mortality_Matrix!$A$4:$A$64,0),MATCH(2059,Mortality_Matrix!$B$3:$BS$3,0))</f>
        <v>2.9469663470617E-009</v>
      </c>
      <c r="AX107" s="27" t="n">
        <f aca="false">(AX41-INDEX(Mortality_Matrix!$B$4:$BS$64,MATCH($A107,Mortality_Matrix!$A$4:$A$64,0),MATCH(2060,Mortality_Matrix!$B$3:$BS$3,0)))/INDEX(Mortality_Matrix!$B$4:$BS$64,MATCH($A107,Mortality_Matrix!$A$4:$A$64,0),MATCH(2060,Mortality_Matrix!$B$3:$BS$3,0))</f>
        <v>8.34482951570147E-010</v>
      </c>
      <c r="AY107" s="27" t="n">
        <f aca="false">(AY41-INDEX(Mortality_Matrix!$B$4:$BS$64,MATCH($A107,Mortality_Matrix!$A$4:$A$64,0),MATCH(2061,Mortality_Matrix!$B$3:$BS$3,0)))/INDEX(Mortality_Matrix!$B$4:$BS$64,MATCH($A107,Mortality_Matrix!$A$4:$A$64,0),MATCH(2061,Mortality_Matrix!$B$3:$BS$3,0))</f>
        <v>-4.05394724738739E-010</v>
      </c>
      <c r="AZ107" s="27" t="n">
        <f aca="false">(AZ41-INDEX(Mortality_Matrix!$B$4:$BS$64,MATCH($A107,Mortality_Matrix!$A$4:$A$64,0),MATCH(2062,Mortality_Matrix!$B$3:$BS$3,0)))/INDEX(Mortality_Matrix!$B$4:$BS$64,MATCH($A107,Mortality_Matrix!$A$4:$A$64,0),MATCH(2062,Mortality_Matrix!$B$3:$BS$3,0))</f>
        <v>-9.49722907468554E-010</v>
      </c>
      <c r="BA107" s="27" t="n">
        <f aca="false">(BA41-INDEX(Mortality_Matrix!$B$4:$BS$64,MATCH($A107,Mortality_Matrix!$A$4:$A$64,0),MATCH(2063,Mortality_Matrix!$B$3:$BS$3,0)))/INDEX(Mortality_Matrix!$B$4:$BS$64,MATCH($A107,Mortality_Matrix!$A$4:$A$64,0),MATCH(2063,Mortality_Matrix!$B$3:$BS$3,0))</f>
        <v>-2.4694209773768E-009</v>
      </c>
      <c r="BB107" s="27" t="n">
        <f aca="false">(BB41-INDEX(Mortality_Matrix!$B$4:$BS$64,MATCH($A107,Mortality_Matrix!$A$4:$A$64,0),MATCH(2064,Mortality_Matrix!$B$3:$BS$3,0)))/INDEX(Mortality_Matrix!$B$4:$BS$64,MATCH($A107,Mortality_Matrix!$A$4:$A$64,0),MATCH(2064,Mortality_Matrix!$B$3:$BS$3,0))</f>
        <v>-2.04864630496257E-009</v>
      </c>
      <c r="BC107" s="27" t="n">
        <f aca="false">(BC41-INDEX(Mortality_Matrix!$B$4:$BS$64,MATCH($A107,Mortality_Matrix!$A$4:$A$64,0),MATCH(2065,Mortality_Matrix!$B$3:$BS$3,0)))/INDEX(Mortality_Matrix!$B$4:$BS$64,MATCH($A107,Mortality_Matrix!$A$4:$A$64,0),MATCH(2065,Mortality_Matrix!$B$3:$BS$3,0))</f>
        <v>2.29660239485413E-010</v>
      </c>
      <c r="BD107" s="27" t="n">
        <f aca="false">(BD41-INDEX(Mortality_Matrix!$B$4:$BS$64,MATCH($A107,Mortality_Matrix!$A$4:$A$64,0),MATCH(2066,Mortality_Matrix!$B$3:$BS$3,0)))/INDEX(Mortality_Matrix!$B$4:$BS$64,MATCH($A107,Mortality_Matrix!$A$4:$A$64,0),MATCH(2066,Mortality_Matrix!$B$3:$BS$3,0))</f>
        <v>2.29660279609594E-010</v>
      </c>
      <c r="BE107" s="27" t="n">
        <f aca="false">(BE41-INDEX(Mortality_Matrix!$B$4:$BS$64,MATCH($A107,Mortality_Matrix!$A$4:$A$64,0),MATCH(2067,Mortality_Matrix!$B$3:$BS$3,0)))/INDEX(Mortality_Matrix!$B$4:$BS$64,MATCH($A107,Mortality_Matrix!$A$4:$A$64,0),MATCH(2067,Mortality_Matrix!$B$3:$BS$3,0))</f>
        <v>3.31170542960392E-009</v>
      </c>
      <c r="BF107" s="27" t="n">
        <f aca="false">(BF41-INDEX(Mortality_Matrix!$B$4:$BS$64,MATCH($A107,Mortality_Matrix!$A$4:$A$64,0),MATCH(2068,Mortality_Matrix!$B$3:$BS$3,0)))/INDEX(Mortality_Matrix!$B$4:$BS$64,MATCH($A107,Mortality_Matrix!$A$4:$A$64,0),MATCH(2068,Mortality_Matrix!$B$3:$BS$3,0))</f>
        <v>1.89621455560372E-009</v>
      </c>
      <c r="BG107" s="27" t="n">
        <f aca="false">(BG41-INDEX(Mortality_Matrix!$B$4:$BS$64,MATCH($A107,Mortality_Matrix!$A$4:$A$64,0),MATCH(2069,Mortality_Matrix!$B$3:$BS$3,0)))/INDEX(Mortality_Matrix!$B$4:$BS$64,MATCH($A107,Mortality_Matrix!$A$4:$A$64,0),MATCH(2069,Mortality_Matrix!$B$3:$BS$3,0))</f>
        <v>-3.66288687053137E-009</v>
      </c>
      <c r="BH107" s="27" t="n">
        <f aca="false">(BH41-INDEX(Mortality_Matrix!$B$4:$BS$64,MATCH($A107,Mortality_Matrix!$A$4:$A$64,0),MATCH(2070,Mortality_Matrix!$B$3:$BS$3,0)))/INDEX(Mortality_Matrix!$B$4:$BS$64,MATCH($A107,Mortality_Matrix!$A$4:$A$64,0),MATCH(2070,Mortality_Matrix!$B$3:$BS$3,0))</f>
        <v>2.40319282372269E-009</v>
      </c>
      <c r="BI107" s="27" t="n">
        <f aca="false">(BI41-INDEX(Mortality_Matrix!$B$4:$BS$64,MATCH($A107,Mortality_Matrix!$A$4:$A$64,0),MATCH(2071,Mortality_Matrix!$B$3:$BS$3,0)))/INDEX(Mortality_Matrix!$B$4:$BS$64,MATCH($A107,Mortality_Matrix!$A$4:$A$64,0),MATCH(2071,Mortality_Matrix!$B$3:$BS$3,0))</f>
        <v>-2.93673474361749E-009</v>
      </c>
      <c r="BJ107" s="27" t="n">
        <f aca="false">(BJ41-INDEX(Mortality_Matrix!$B$4:$BS$64,MATCH($A107,Mortality_Matrix!$A$4:$A$64,0),MATCH(2072,Mortality_Matrix!$B$3:$BS$3,0)))/INDEX(Mortality_Matrix!$B$4:$BS$64,MATCH($A107,Mortality_Matrix!$A$4:$A$64,0),MATCH(2072,Mortality_Matrix!$B$3:$BS$3,0))</f>
        <v>1.73265987038843E-009</v>
      </c>
      <c r="BK107" s="27" t="n">
        <f aca="false">(BK41-INDEX(Mortality_Matrix!$B$4:$BS$64,MATCH($A107,Mortality_Matrix!$A$4:$A$64,0),MATCH(2073,Mortality_Matrix!$B$3:$BS$3,0)))/INDEX(Mortality_Matrix!$B$4:$BS$64,MATCH($A107,Mortality_Matrix!$A$4:$A$64,0),MATCH(2073,Mortality_Matrix!$B$3:$BS$3,0))</f>
        <v>-3.48992713134302E-009</v>
      </c>
      <c r="BL107" s="27" t="n">
        <f aca="false">(BL41-INDEX(Mortality_Matrix!$B$4:$BS$64,MATCH($A107,Mortality_Matrix!$A$4:$A$64,0),MATCH(2074,Mortality_Matrix!$B$3:$BS$3,0)))/INDEX(Mortality_Matrix!$B$4:$BS$64,MATCH($A107,Mortality_Matrix!$A$4:$A$64,0),MATCH(2074,Mortality_Matrix!$B$3:$BS$3,0))</f>
        <v>-2.26636131890939E-009</v>
      </c>
      <c r="BM107" s="27" t="n">
        <f aca="false">(BM41-INDEX(Mortality_Matrix!$B$4:$BS$64,MATCH($A107,Mortality_Matrix!$A$4:$A$64,0),MATCH(2075,Mortality_Matrix!$B$3:$BS$3,0)))/INDEX(Mortality_Matrix!$B$4:$BS$64,MATCH($A107,Mortality_Matrix!$A$4:$A$64,0),MATCH(2075,Mortality_Matrix!$B$3:$BS$3,0))</f>
        <v>1.99852154433872E-009</v>
      </c>
      <c r="BN107" s="27" t="n">
        <f aca="false">(BN41-INDEX(Mortality_Matrix!$B$4:$BS$64,MATCH($A107,Mortality_Matrix!$A$4:$A$64,0),MATCH(2076,Mortality_Matrix!$B$3:$BS$3,0)))/INDEX(Mortality_Matrix!$B$4:$BS$64,MATCH($A107,Mortality_Matrix!$A$4:$A$64,0),MATCH(2076,Mortality_Matrix!$B$3:$BS$3,0))</f>
        <v>6.11294399151203E-010</v>
      </c>
      <c r="BO107" s="27" t="n">
        <f aca="false">(BO41-INDEX(Mortality_Matrix!$B$4:$BS$64,MATCH($A107,Mortality_Matrix!$A$4:$A$64,0),MATCH(2077,Mortality_Matrix!$B$3:$BS$3,0)))/INDEX(Mortality_Matrix!$B$4:$BS$64,MATCH($A107,Mortality_Matrix!$A$4:$A$64,0),MATCH(2077,Mortality_Matrix!$B$3:$BS$3,0))</f>
        <v>3.98280467942328E-009</v>
      </c>
      <c r="BP107" s="27" t="n">
        <f aca="false">(BP41-INDEX(Mortality_Matrix!$B$4:$BS$64,MATCH($A107,Mortality_Matrix!$A$4:$A$64,0),MATCH(2078,Mortality_Matrix!$B$3:$BS$3,0)))/INDEX(Mortality_Matrix!$B$4:$BS$64,MATCH($A107,Mortality_Matrix!$A$4:$A$64,0),MATCH(2078,Mortality_Matrix!$B$3:$BS$3,0))</f>
        <v>-1.04315685519867E-009</v>
      </c>
      <c r="BQ107" s="27" t="n">
        <f aca="false">(BQ41-INDEX(Mortality_Matrix!$B$4:$BS$64,MATCH($A107,Mortality_Matrix!$A$4:$A$64,0),MATCH(2079,Mortality_Matrix!$B$3:$BS$3,0)))/INDEX(Mortality_Matrix!$B$4:$BS$64,MATCH($A107,Mortality_Matrix!$A$4:$A$64,0),MATCH(2079,Mortality_Matrix!$B$3:$BS$3,0))</f>
        <v>-1.04315693150406E-009</v>
      </c>
      <c r="BR107" s="27" t="n">
        <f aca="false">(BR41-INDEX(Mortality_Matrix!$B$4:$BS$64,MATCH($A107,Mortality_Matrix!$A$4:$A$64,0),MATCH(2080,Mortality_Matrix!$B$3:$BS$3,0)))/INDEX(Mortality_Matrix!$B$4:$BS$64,MATCH($A107,Mortality_Matrix!$A$4:$A$64,0),MATCH(2080,Mortality_Matrix!$B$3:$BS$3,0))</f>
        <v>5.64492084402981E-010</v>
      </c>
      <c r="BS107" s="27" t="n">
        <f aca="false">(BS41-INDEX(Mortality_Matrix!$B$4:$BS$64,MATCH($A107,Mortality_Matrix!$A$4:$A$64,0),MATCH(2081,Mortality_Matrix!$B$3:$BS$3,0)))/INDEX(Mortality_Matrix!$B$4:$BS$64,MATCH($A107,Mortality_Matrix!$A$4:$A$64,0),MATCH(2081,Mortality_Matrix!$B$3:$BS$3,0))</f>
        <v>-4.78258245600903E-010</v>
      </c>
      <c r="BT107" s="27" t="n">
        <f aca="false">(BT41-INDEX(Mortality_Matrix!$B$4:$BS$64,MATCH($A107,Mortality_Matrix!$A$4:$A$64,0),MATCH(2082,Mortality_Matrix!$B$3:$BS$3,0)))/INDEX(Mortality_Matrix!$B$4:$BS$64,MATCH($A107,Mortality_Matrix!$A$4:$A$64,0),MATCH(2082,Mortality_Matrix!$B$3:$BS$3,0))</f>
        <v>-9.38532091637799E-010</v>
      </c>
      <c r="BU107" s="27" t="n">
        <f aca="false">(BU41-INDEX(Mortality_Matrix!$B$4:$BS$64,MATCH($A107,Mortality_Matrix!$A$4:$A$64,0),MATCH(2083,Mortality_Matrix!$B$3:$BS$3,0)))/INDEX(Mortality_Matrix!$B$4:$BS$64,MATCH($A107,Mortality_Matrix!$A$4:$A$64,0),MATCH(2083,Mortality_Matrix!$B$3:$BS$3,0))</f>
        <v>3.23132223006163E-010</v>
      </c>
      <c r="BV107" s="27" t="n">
        <f aca="false">(BV41-INDEX(Mortality_Matrix!$B$4:$BS$64,MATCH($A107,Mortality_Matrix!$A$4:$A$64,0),MATCH(2084,Mortality_Matrix!$B$3:$BS$3,0)))/INDEX(Mortality_Matrix!$B$4:$BS$64,MATCH($A107,Mortality_Matrix!$A$4:$A$64,0),MATCH(2084,Mortality_Matrix!$B$3:$BS$3,0))</f>
        <v>1.36681011045947E-009</v>
      </c>
      <c r="BW107" s="27" t="n">
        <f aca="false">(BW41-INDEX(Mortality_Matrix!$B$4:$BS$64,MATCH($A107,Mortality_Matrix!$A$4:$A$64,0),MATCH(2085,Mortality_Matrix!$B$3:$BS$3,0)))/INDEX(Mortality_Matrix!$B$4:$BS$64,MATCH($A107,Mortality_Matrix!$A$4:$A$64,0),MATCH(2085,Mortality_Matrix!$B$3:$BS$3,0))</f>
        <v>-3.88288487691643E-009</v>
      </c>
      <c r="BX107" s="27" t="n">
        <f aca="false">(BX41-INDEX(Mortality_Matrix!$B$4:$BS$64,MATCH($A107,Mortality_Matrix!$A$4:$A$64,0),MATCH(2086,Mortality_Matrix!$B$3:$BS$3,0)))/INDEX(Mortality_Matrix!$B$4:$BS$64,MATCH($A107,Mortality_Matrix!$A$4:$A$64,0),MATCH(2086,Mortality_Matrix!$B$3:$BS$3,0))</f>
        <v>2.57135752533845E-009</v>
      </c>
      <c r="BY107" s="27" t="n">
        <f aca="false">(BY41-INDEX(Mortality_Matrix!$B$4:$BS$64,MATCH($A107,Mortality_Matrix!$A$4:$A$64,0),MATCH(2087,Mortality_Matrix!$B$3:$BS$3,0)))/INDEX(Mortality_Matrix!$B$4:$BS$64,MATCH($A107,Mortality_Matrix!$A$4:$A$64,0),MATCH(2087,Mortality_Matrix!$B$3:$BS$3,0))</f>
        <v>4.25913041180111E-009</v>
      </c>
      <c r="BZ107" s="27" t="n">
        <f aca="false">(BZ41-INDEX(Mortality_Matrix!$B$4:$BS$64,MATCH($A107,Mortality_Matrix!$A$4:$A$64,0),MATCH(2088,Mortality_Matrix!$B$3:$BS$3,0)))/INDEX(Mortality_Matrix!$B$4:$BS$64,MATCH($A107,Mortality_Matrix!$A$4:$A$64,0),MATCH(2088,Mortality_Matrix!$B$3:$BS$3,0))</f>
        <v>-2.84675157530283E-009</v>
      </c>
      <c r="CA107" s="27" t="n">
        <f aca="false">(CA41-INDEX(Mortality_Matrix!$B$4:$BS$64,MATCH($A107,Mortality_Matrix!$A$4:$A$64,0),MATCH(2089,Mortality_Matrix!$B$3:$BS$3,0)))/INDEX(Mortality_Matrix!$B$4:$BS$64,MATCH($A107,Mortality_Matrix!$A$4:$A$64,0),MATCH(2089,Mortality_Matrix!$B$3:$BS$3,0))</f>
        <v>6.95839323887089E-011</v>
      </c>
      <c r="CB107" s="27" t="n">
        <f aca="false">(CB41-INDEX(Mortality_Matrix!$B$4:$BS$64,MATCH($A107,Mortality_Matrix!$A$4:$A$64,0),MATCH(2090,Mortality_Matrix!$B$3:$BS$3,0)))/INDEX(Mortality_Matrix!$B$4:$BS$64,MATCH($A107,Mortality_Matrix!$A$4:$A$64,0),MATCH(2090,Mortality_Matrix!$B$3:$BS$3,0))</f>
        <v>3.65364592263494E-009</v>
      </c>
      <c r="CC107" s="27" t="n">
        <f aca="false">(CC41-INDEX(Mortality_Matrix!$B$4:$BS$64,MATCH($A107,Mortality_Matrix!$A$4:$A$64,0),MATCH(2091,Mortality_Matrix!$B$3:$BS$3,0)))/INDEX(Mortality_Matrix!$B$4:$BS$64,MATCH($A107,Mortality_Matrix!$A$4:$A$64,0),MATCH(2091,Mortality_Matrix!$B$3:$BS$3,0))</f>
        <v>-9.86940589194375E-010</v>
      </c>
    </row>
    <row r="108" customFormat="false" ht="15" hidden="false" customHeight="true" outlineLevel="0" collapsed="false">
      <c r="A108" s="3" t="n">
        <v>79</v>
      </c>
      <c r="L108" s="27" t="n">
        <f aca="false">(L42-INDEX(Mortality_Matrix!$B$4:$BS$64,MATCH($A108,Mortality_Matrix!$A$4:$A$64,0),MATCH(2022,Mortality_Matrix!$B$3:$BS$3,0)))/INDEX(Mortality_Matrix!$B$4:$BS$64,MATCH($A108,Mortality_Matrix!$A$4:$A$64,0),MATCH(2022,Mortality_Matrix!$B$3:$BS$3,0))</f>
        <v>2.77772897833793E-010</v>
      </c>
      <c r="M108" s="27" t="n">
        <f aca="false">(M42-INDEX(Mortality_Matrix!$B$4:$BS$64,MATCH($A108,Mortality_Matrix!$A$4:$A$64,0),MATCH(2023,Mortality_Matrix!$B$3:$BS$3,0)))/INDEX(Mortality_Matrix!$B$4:$BS$64,MATCH($A108,Mortality_Matrix!$A$4:$A$64,0),MATCH(2023,Mortality_Matrix!$B$3:$BS$3,0))</f>
        <v>1.64934077243126E-010</v>
      </c>
      <c r="N108" s="27" t="n">
        <f aca="false">(N42-INDEX(Mortality_Matrix!$B$4:$BS$64,MATCH($A108,Mortality_Matrix!$A$4:$A$64,0),MATCH(2024,Mortality_Matrix!$B$3:$BS$3,0)))/INDEX(Mortality_Matrix!$B$4:$BS$64,MATCH($A108,Mortality_Matrix!$A$4:$A$64,0),MATCH(2024,Mortality_Matrix!$B$3:$BS$3,0))</f>
        <v>-1.27419237848583E-009</v>
      </c>
      <c r="O108" s="27" t="n">
        <f aca="false">(O42-INDEX(Mortality_Matrix!$B$4:$BS$64,MATCH($A108,Mortality_Matrix!$A$4:$A$64,0),MATCH(2025,Mortality_Matrix!$B$3:$BS$3,0)))/INDEX(Mortality_Matrix!$B$4:$BS$64,MATCH($A108,Mortality_Matrix!$A$4:$A$64,0),MATCH(2025,Mortality_Matrix!$B$3:$BS$3,0))</f>
        <v>1.57602213120623E-009</v>
      </c>
      <c r="P108" s="27" t="n">
        <f aca="false">(P42-INDEX(Mortality_Matrix!$B$4:$BS$64,MATCH($A108,Mortality_Matrix!$A$4:$A$64,0),MATCH(2026,Mortality_Matrix!$B$3:$BS$3,0)))/INDEX(Mortality_Matrix!$B$4:$BS$64,MATCH($A108,Mortality_Matrix!$A$4:$A$64,0),MATCH(2026,Mortality_Matrix!$B$3:$BS$3,0))</f>
        <v>8.37719314755517E-010</v>
      </c>
      <c r="Q108" s="27" t="n">
        <f aca="false">(Q42-INDEX(Mortality_Matrix!$B$4:$BS$64,MATCH($A108,Mortality_Matrix!$A$4:$A$64,0),MATCH(2027,Mortality_Matrix!$B$3:$BS$3,0)))/INDEX(Mortality_Matrix!$B$4:$BS$64,MATCH($A108,Mortality_Matrix!$A$4:$A$64,0),MATCH(2027,Mortality_Matrix!$B$3:$BS$3,0))</f>
        <v>-7.93019910699189E-010</v>
      </c>
      <c r="R108" s="27" t="n">
        <f aca="false">(R42-INDEX(Mortality_Matrix!$B$4:$BS$64,MATCH($A108,Mortality_Matrix!$A$4:$A$64,0),MATCH(2028,Mortality_Matrix!$B$3:$BS$3,0)))/INDEX(Mortality_Matrix!$B$4:$BS$64,MATCH($A108,Mortality_Matrix!$A$4:$A$64,0),MATCH(2028,Mortality_Matrix!$B$3:$BS$3,0))</f>
        <v>-1.56580134671277E-009</v>
      </c>
      <c r="S108" s="27" t="n">
        <f aca="false">(S42-INDEX(Mortality_Matrix!$B$4:$BS$64,MATCH($A108,Mortality_Matrix!$A$4:$A$64,0),MATCH(2029,Mortality_Matrix!$B$3:$BS$3,0)))/INDEX(Mortality_Matrix!$B$4:$BS$64,MATCH($A108,Mortality_Matrix!$A$4:$A$64,0),MATCH(2029,Mortality_Matrix!$B$3:$BS$3,0))</f>
        <v>-1.16820124353399E-009</v>
      </c>
      <c r="T108" s="27" t="n">
        <f aca="false">(T42-INDEX(Mortality_Matrix!$B$4:$BS$64,MATCH($A108,Mortality_Matrix!$A$4:$A$64,0),MATCH(2030,Mortality_Matrix!$B$3:$BS$3,0)))/INDEX(Mortality_Matrix!$B$4:$BS$64,MATCH($A108,Mortality_Matrix!$A$4:$A$64,0),MATCH(2030,Mortality_Matrix!$B$3:$BS$3,0))</f>
        <v>-1.66324346110167E-009</v>
      </c>
      <c r="U108" s="27" t="n">
        <f aca="false">(U42-INDEX(Mortality_Matrix!$B$4:$BS$64,MATCH($A108,Mortality_Matrix!$A$4:$A$64,0),MATCH(2031,Mortality_Matrix!$B$3:$BS$3,0)))/INDEX(Mortality_Matrix!$B$4:$BS$64,MATCH($A108,Mortality_Matrix!$A$4:$A$64,0),MATCH(2031,Mortality_Matrix!$B$3:$BS$3,0))</f>
        <v>1.40001113789899E-009</v>
      </c>
      <c r="V108" s="27" t="n">
        <f aca="false">(V42-INDEX(Mortality_Matrix!$B$4:$BS$64,MATCH($A108,Mortality_Matrix!$A$4:$A$64,0),MATCH(2032,Mortality_Matrix!$B$3:$BS$3,0)))/INDEX(Mortality_Matrix!$B$4:$BS$64,MATCH($A108,Mortality_Matrix!$A$4:$A$64,0),MATCH(2032,Mortality_Matrix!$B$3:$BS$3,0))</f>
        <v>1.64163616209963E-009</v>
      </c>
      <c r="W108" s="27" t="n">
        <f aca="false">(W42-INDEX(Mortality_Matrix!$B$4:$BS$64,MATCH($A108,Mortality_Matrix!$A$4:$A$64,0),MATCH(2033,Mortality_Matrix!$B$3:$BS$3,0)))/INDEX(Mortality_Matrix!$B$4:$BS$64,MATCH($A108,Mortality_Matrix!$A$4:$A$64,0),MATCH(2033,Mortality_Matrix!$B$3:$BS$3,0))</f>
        <v>1.54520540236249E-009</v>
      </c>
      <c r="X108" s="27" t="n">
        <f aca="false">(X42-INDEX(Mortality_Matrix!$B$4:$BS$64,MATCH($A108,Mortality_Matrix!$A$4:$A$64,0),MATCH(2034,Mortality_Matrix!$B$3:$BS$3,0)))/INDEX(Mortality_Matrix!$B$4:$BS$64,MATCH($A108,Mortality_Matrix!$A$4:$A$64,0),MATCH(2034,Mortality_Matrix!$B$3:$BS$3,0))</f>
        <v>-1.29387350124749E-009</v>
      </c>
      <c r="Y108" s="27" t="n">
        <f aca="false">(Y42-INDEX(Mortality_Matrix!$B$4:$BS$64,MATCH($A108,Mortality_Matrix!$A$4:$A$64,0),MATCH(2035,Mortality_Matrix!$B$3:$BS$3,0)))/INDEX(Mortality_Matrix!$B$4:$BS$64,MATCH($A108,Mortality_Matrix!$A$4:$A$64,0),MATCH(2035,Mortality_Matrix!$B$3:$BS$3,0))</f>
        <v>-2.60216333836901E-010</v>
      </c>
      <c r="Z108" s="27" t="n">
        <f aca="false">(Z42-INDEX(Mortality_Matrix!$B$4:$BS$64,MATCH($A108,Mortality_Matrix!$A$4:$A$64,0),MATCH(2036,Mortality_Matrix!$B$3:$BS$3,0)))/INDEX(Mortality_Matrix!$B$4:$BS$64,MATCH($A108,Mortality_Matrix!$A$4:$A$64,0),MATCH(2036,Mortality_Matrix!$B$3:$BS$3,0))</f>
        <v>8.699048693486E-010</v>
      </c>
      <c r="AA108" s="27" t="n">
        <f aca="false">(AA42-INDEX(Mortality_Matrix!$B$4:$BS$64,MATCH($A108,Mortality_Matrix!$A$4:$A$64,0),MATCH(2037,Mortality_Matrix!$B$3:$BS$3,0)))/INDEX(Mortality_Matrix!$B$4:$BS$64,MATCH($A108,Mortality_Matrix!$A$4:$A$64,0),MATCH(2037,Mortality_Matrix!$B$3:$BS$3,0))</f>
        <v>-1.40426944757514E-009</v>
      </c>
      <c r="AB108" s="27" t="n">
        <f aca="false">(AB42-INDEX(Mortality_Matrix!$B$4:$BS$64,MATCH($A108,Mortality_Matrix!$A$4:$A$64,0),MATCH(2038,Mortality_Matrix!$B$3:$BS$3,0)))/INDEX(Mortality_Matrix!$B$4:$BS$64,MATCH($A108,Mortality_Matrix!$A$4:$A$64,0),MATCH(2038,Mortality_Matrix!$B$3:$BS$3,0))</f>
        <v>1.38293825010283E-009</v>
      </c>
      <c r="AC108" s="27" t="n">
        <f aca="false">(AC42-INDEX(Mortality_Matrix!$B$4:$BS$64,MATCH($A108,Mortality_Matrix!$A$4:$A$64,0),MATCH(2039,Mortality_Matrix!$B$3:$BS$3,0)))/INDEX(Mortality_Matrix!$B$4:$BS$64,MATCH($A108,Mortality_Matrix!$A$4:$A$64,0),MATCH(2039,Mortality_Matrix!$B$3:$BS$3,0))</f>
        <v>2.00396890783931E-010</v>
      </c>
      <c r="AD108" s="27" t="n">
        <f aca="false">(AD42-INDEX(Mortality_Matrix!$B$4:$BS$64,MATCH($A108,Mortality_Matrix!$A$4:$A$64,0),MATCH(2040,Mortality_Matrix!$B$3:$BS$3,0)))/INDEX(Mortality_Matrix!$B$4:$BS$64,MATCH($A108,Mortality_Matrix!$A$4:$A$64,0),MATCH(2040,Mortality_Matrix!$B$3:$BS$3,0))</f>
        <v>6.50602934817572E-010</v>
      </c>
      <c r="AE108" s="27" t="n">
        <f aca="false">(AE42-INDEX(Mortality_Matrix!$B$4:$BS$64,MATCH($A108,Mortality_Matrix!$A$4:$A$64,0),MATCH(2041,Mortality_Matrix!$B$3:$BS$3,0)))/INDEX(Mortality_Matrix!$B$4:$BS$64,MATCH($A108,Mortality_Matrix!$A$4:$A$64,0),MATCH(2041,Mortality_Matrix!$B$3:$BS$3,0))</f>
        <v>1.5211972131083E-009</v>
      </c>
      <c r="AF108" s="27" t="n">
        <f aca="false">(AF42-INDEX(Mortality_Matrix!$B$4:$BS$64,MATCH($A108,Mortality_Matrix!$A$4:$A$64,0),MATCH(2042,Mortality_Matrix!$B$3:$BS$3,0)))/INDEX(Mortality_Matrix!$B$4:$BS$64,MATCH($A108,Mortality_Matrix!$A$4:$A$64,0),MATCH(2042,Mortality_Matrix!$B$3:$BS$3,0))</f>
        <v>-2.14678896197602E-009</v>
      </c>
      <c r="AG108" s="27" t="n">
        <f aca="false">(AG42-INDEX(Mortality_Matrix!$B$4:$BS$64,MATCH($A108,Mortality_Matrix!$A$4:$A$64,0),MATCH(2043,Mortality_Matrix!$B$3:$BS$3,0)))/INDEX(Mortality_Matrix!$B$4:$BS$64,MATCH($A108,Mortality_Matrix!$A$4:$A$64,0),MATCH(2043,Mortality_Matrix!$B$3:$BS$3,0))</f>
        <v>-2.21408739549589E-009</v>
      </c>
      <c r="AH108" s="27" t="n">
        <f aca="false">(AH42-INDEX(Mortality_Matrix!$B$4:$BS$64,MATCH($A108,Mortality_Matrix!$A$4:$A$64,0),MATCH(2044,Mortality_Matrix!$B$3:$BS$3,0)))/INDEX(Mortality_Matrix!$B$4:$BS$64,MATCH($A108,Mortality_Matrix!$A$4:$A$64,0),MATCH(2044,Mortality_Matrix!$B$3:$BS$3,0))</f>
        <v>-2.77439259543635E-011</v>
      </c>
      <c r="AI108" s="27" t="n">
        <f aca="false">(AI42-INDEX(Mortality_Matrix!$B$4:$BS$64,MATCH($A108,Mortality_Matrix!$A$4:$A$64,0),MATCH(2045,Mortality_Matrix!$B$3:$BS$3,0)))/INDEX(Mortality_Matrix!$B$4:$BS$64,MATCH($A108,Mortality_Matrix!$A$4:$A$64,0),MATCH(2045,Mortality_Matrix!$B$3:$BS$3,0))</f>
        <v>1.2670449184577E-009</v>
      </c>
      <c r="AJ108" s="27" t="n">
        <f aca="false">(AJ42-INDEX(Mortality_Matrix!$B$4:$BS$64,MATCH($A108,Mortality_Matrix!$A$4:$A$64,0),MATCH(2046,Mortality_Matrix!$B$3:$BS$3,0)))/INDEX(Mortality_Matrix!$B$4:$BS$64,MATCH($A108,Mortality_Matrix!$A$4:$A$64,0),MATCH(2046,Mortality_Matrix!$B$3:$BS$3,0))</f>
        <v>4.68951762035716E-010</v>
      </c>
      <c r="AK108" s="27" t="n">
        <f aca="false">(AK42-INDEX(Mortality_Matrix!$B$4:$BS$64,MATCH($A108,Mortality_Matrix!$A$4:$A$64,0),MATCH(2047,Mortality_Matrix!$B$3:$BS$3,0)))/INDEX(Mortality_Matrix!$B$4:$BS$64,MATCH($A108,Mortality_Matrix!$A$4:$A$64,0),MATCH(2047,Mortality_Matrix!$B$3:$BS$3,0))</f>
        <v>-2.3430815184248E-009</v>
      </c>
      <c r="AL108" s="27" t="n">
        <f aca="false">(AL42-INDEX(Mortality_Matrix!$B$4:$BS$64,MATCH($A108,Mortality_Matrix!$A$4:$A$64,0),MATCH(2048,Mortality_Matrix!$B$3:$BS$3,0)))/INDEX(Mortality_Matrix!$B$4:$BS$64,MATCH($A108,Mortality_Matrix!$A$4:$A$64,0),MATCH(2048,Mortality_Matrix!$B$3:$BS$3,0))</f>
        <v>-1.68985165203767E-009</v>
      </c>
      <c r="AM108" s="27" t="n">
        <f aca="false">(AM42-INDEX(Mortality_Matrix!$B$4:$BS$64,MATCH($A108,Mortality_Matrix!$A$4:$A$64,0),MATCH(2049,Mortality_Matrix!$B$3:$BS$3,0)))/INDEX(Mortality_Matrix!$B$4:$BS$64,MATCH($A108,Mortality_Matrix!$A$4:$A$64,0),MATCH(2049,Mortality_Matrix!$B$3:$BS$3,0))</f>
        <v>-1.83722435147418E-009</v>
      </c>
      <c r="AN108" s="27" t="n">
        <f aca="false">(AN42-INDEX(Mortality_Matrix!$B$4:$BS$64,MATCH($A108,Mortality_Matrix!$A$4:$A$64,0),MATCH(2050,Mortality_Matrix!$B$3:$BS$3,0)))/INDEX(Mortality_Matrix!$B$4:$BS$64,MATCH($A108,Mortality_Matrix!$A$4:$A$64,0),MATCH(2050,Mortality_Matrix!$B$3:$BS$3,0))</f>
        <v>1.57903107093571E-009</v>
      </c>
      <c r="AO108" s="27" t="n">
        <f aca="false">(AO42-INDEX(Mortality_Matrix!$B$4:$BS$64,MATCH($A108,Mortality_Matrix!$A$4:$A$64,0),MATCH(2051,Mortality_Matrix!$B$3:$BS$3,0)))/INDEX(Mortality_Matrix!$B$4:$BS$64,MATCH($A108,Mortality_Matrix!$A$4:$A$64,0),MATCH(2051,Mortality_Matrix!$B$3:$BS$3,0))</f>
        <v>1.14866044953072E-009</v>
      </c>
      <c r="AP108" s="27" t="n">
        <f aca="false">(AP42-INDEX(Mortality_Matrix!$B$4:$BS$64,MATCH($A108,Mortality_Matrix!$A$4:$A$64,0),MATCH(2052,Mortality_Matrix!$B$3:$BS$3,0)))/INDEX(Mortality_Matrix!$B$4:$BS$64,MATCH($A108,Mortality_Matrix!$A$4:$A$64,0),MATCH(2052,Mortality_Matrix!$B$3:$BS$3,0))</f>
        <v>1.66268897597688E-009</v>
      </c>
      <c r="AQ108" s="27" t="n">
        <f aca="false">(AQ42-INDEX(Mortality_Matrix!$B$4:$BS$64,MATCH($A108,Mortality_Matrix!$A$4:$A$64,0),MATCH(2053,Mortality_Matrix!$B$3:$BS$3,0)))/INDEX(Mortality_Matrix!$B$4:$BS$64,MATCH($A108,Mortality_Matrix!$A$4:$A$64,0),MATCH(2053,Mortality_Matrix!$B$3:$BS$3,0))</f>
        <v>-6.33479478163649E-010</v>
      </c>
      <c r="AR108" s="27" t="n">
        <f aca="false">(AR42-INDEX(Mortality_Matrix!$B$4:$BS$64,MATCH($A108,Mortality_Matrix!$A$4:$A$64,0),MATCH(2054,Mortality_Matrix!$B$3:$BS$3,0)))/INDEX(Mortality_Matrix!$B$4:$BS$64,MATCH($A108,Mortality_Matrix!$A$4:$A$64,0),MATCH(2054,Mortality_Matrix!$B$3:$BS$3,0))</f>
        <v>1.67116591271827E-009</v>
      </c>
      <c r="AS108" s="27" t="n">
        <f aca="false">(AS42-INDEX(Mortality_Matrix!$B$4:$BS$64,MATCH($A108,Mortality_Matrix!$A$4:$A$64,0),MATCH(2055,Mortality_Matrix!$B$3:$BS$3,0)))/INDEX(Mortality_Matrix!$B$4:$BS$64,MATCH($A108,Mortality_Matrix!$A$4:$A$64,0),MATCH(2055,Mortality_Matrix!$B$3:$BS$3,0))</f>
        <v>2.99593322612632E-010</v>
      </c>
      <c r="AT108" s="27" t="n">
        <f aca="false">(AT42-INDEX(Mortality_Matrix!$B$4:$BS$64,MATCH($A108,Mortality_Matrix!$A$4:$A$64,0),MATCH(2056,Mortality_Matrix!$B$3:$BS$3,0)))/INDEX(Mortality_Matrix!$B$4:$BS$64,MATCH($A108,Mortality_Matrix!$A$4:$A$64,0),MATCH(2056,Mortality_Matrix!$B$3:$BS$3,0))</f>
        <v>2.01969006156266E-009</v>
      </c>
      <c r="AU108" s="27" t="n">
        <f aca="false">(AU42-INDEX(Mortality_Matrix!$B$4:$BS$64,MATCH($A108,Mortality_Matrix!$A$4:$A$64,0),MATCH(2057,Mortality_Matrix!$B$3:$BS$3,0)))/INDEX(Mortality_Matrix!$B$4:$BS$64,MATCH($A108,Mortality_Matrix!$A$4:$A$64,0),MATCH(2057,Mortality_Matrix!$B$3:$BS$3,0))</f>
        <v>1.27127971947442E-009</v>
      </c>
      <c r="AV108" s="27" t="n">
        <f aca="false">(AV42-INDEX(Mortality_Matrix!$B$4:$BS$64,MATCH($A108,Mortality_Matrix!$A$4:$A$64,0),MATCH(2058,Mortality_Matrix!$B$3:$BS$3,0)))/INDEX(Mortality_Matrix!$B$4:$BS$64,MATCH($A108,Mortality_Matrix!$A$4:$A$64,0),MATCH(2058,Mortality_Matrix!$B$3:$BS$3,0))</f>
        <v>9.0544625559132E-010</v>
      </c>
      <c r="AW108" s="27" t="n">
        <f aca="false">(AW42-INDEX(Mortality_Matrix!$B$4:$BS$64,MATCH($A108,Mortality_Matrix!$A$4:$A$64,0),MATCH(2059,Mortality_Matrix!$B$3:$BS$3,0)))/INDEX(Mortality_Matrix!$B$4:$BS$64,MATCH($A108,Mortality_Matrix!$A$4:$A$64,0),MATCH(2059,Mortality_Matrix!$B$3:$BS$3,0))</f>
        <v>5.91180861342828E-010</v>
      </c>
      <c r="AX108" s="27" t="n">
        <f aca="false">(AX42-INDEX(Mortality_Matrix!$B$4:$BS$64,MATCH($A108,Mortality_Matrix!$A$4:$A$64,0),MATCH(2060,Mortality_Matrix!$B$3:$BS$3,0)))/INDEX(Mortality_Matrix!$B$4:$BS$64,MATCH($A108,Mortality_Matrix!$A$4:$A$64,0),MATCH(2060,Mortality_Matrix!$B$3:$BS$3,0))</f>
        <v>1.54833409137862E-009</v>
      </c>
      <c r="AY108" s="27" t="n">
        <f aca="false">(AY42-INDEX(Mortality_Matrix!$B$4:$BS$64,MATCH($A108,Mortality_Matrix!$A$4:$A$64,0),MATCH(2061,Mortality_Matrix!$B$3:$BS$3,0)))/INDEX(Mortality_Matrix!$B$4:$BS$64,MATCH($A108,Mortality_Matrix!$A$4:$A$64,0),MATCH(2061,Mortality_Matrix!$B$3:$BS$3,0))</f>
        <v>-4.17681137086882E-011</v>
      </c>
      <c r="AZ108" s="27" t="n">
        <f aca="false">(AZ42-INDEX(Mortality_Matrix!$B$4:$BS$64,MATCH($A108,Mortality_Matrix!$A$4:$A$64,0),MATCH(2062,Mortality_Matrix!$B$3:$BS$3,0)))/INDEX(Mortality_Matrix!$B$4:$BS$64,MATCH($A108,Mortality_Matrix!$A$4:$A$64,0),MATCH(2062,Mortality_Matrix!$B$3:$BS$3,0))</f>
        <v>-2.28387478613401E-009</v>
      </c>
      <c r="BA108" s="27" t="n">
        <f aca="false">(BA42-INDEX(Mortality_Matrix!$B$4:$BS$64,MATCH($A108,Mortality_Matrix!$A$4:$A$64,0),MATCH(2063,Mortality_Matrix!$B$3:$BS$3,0)))/INDEX(Mortality_Matrix!$B$4:$BS$64,MATCH($A108,Mortality_Matrix!$A$4:$A$64,0),MATCH(2063,Mortality_Matrix!$B$3:$BS$3,0))</f>
        <v>2.05617579629985E-009</v>
      </c>
      <c r="BB108" s="27" t="n">
        <f aca="false">(BB42-INDEX(Mortality_Matrix!$B$4:$BS$64,MATCH($A108,Mortality_Matrix!$A$4:$A$64,0),MATCH(2064,Mortality_Matrix!$B$3:$BS$3,0)))/INDEX(Mortality_Matrix!$B$4:$BS$64,MATCH($A108,Mortality_Matrix!$A$4:$A$64,0),MATCH(2064,Mortality_Matrix!$B$3:$BS$3,0))</f>
        <v>4.84754203578485E-010</v>
      </c>
      <c r="BC108" s="27" t="n">
        <f aca="false">(BC42-INDEX(Mortality_Matrix!$B$4:$BS$64,MATCH($A108,Mortality_Matrix!$A$4:$A$64,0),MATCH(2065,Mortality_Matrix!$B$3:$BS$3,0)))/INDEX(Mortality_Matrix!$B$4:$BS$64,MATCH($A108,Mortality_Matrix!$A$4:$A$64,0),MATCH(2065,Mortality_Matrix!$B$3:$BS$3,0))</f>
        <v>2.2365133304643E-009</v>
      </c>
      <c r="BD108" s="27" t="n">
        <f aca="false">(BD42-INDEX(Mortality_Matrix!$B$4:$BS$64,MATCH($A108,Mortality_Matrix!$A$4:$A$64,0),MATCH(2066,Mortality_Matrix!$B$3:$BS$3,0)))/INDEX(Mortality_Matrix!$B$4:$BS$64,MATCH($A108,Mortality_Matrix!$A$4:$A$64,0),MATCH(2066,Mortality_Matrix!$B$3:$BS$3,0))</f>
        <v>1.02971768196091E-009</v>
      </c>
      <c r="BE108" s="27" t="n">
        <f aca="false">(BE42-INDEX(Mortality_Matrix!$B$4:$BS$64,MATCH($A108,Mortality_Matrix!$A$4:$A$64,0),MATCH(2067,Mortality_Matrix!$B$3:$BS$3,0)))/INDEX(Mortality_Matrix!$B$4:$BS$64,MATCH($A108,Mortality_Matrix!$A$4:$A$64,0),MATCH(2067,Mortality_Matrix!$B$3:$BS$3,0))</f>
        <v>-1.16269721139128E-009</v>
      </c>
      <c r="BF108" s="27" t="n">
        <f aca="false">(BF42-INDEX(Mortality_Matrix!$B$4:$BS$64,MATCH($A108,Mortality_Matrix!$A$4:$A$64,0),MATCH(2068,Mortality_Matrix!$B$3:$BS$3,0)))/INDEX(Mortality_Matrix!$B$4:$BS$64,MATCH($A108,Mortality_Matrix!$A$4:$A$64,0),MATCH(2068,Mortality_Matrix!$B$3:$BS$3,0))</f>
        <v>-8.3537353285157E-010</v>
      </c>
      <c r="BG108" s="27" t="n">
        <f aca="false">(BG42-INDEX(Mortality_Matrix!$B$4:$BS$64,MATCH($A108,Mortality_Matrix!$A$4:$A$64,0),MATCH(2069,Mortality_Matrix!$B$3:$BS$3,0)))/INDEX(Mortality_Matrix!$B$4:$BS$64,MATCH($A108,Mortality_Matrix!$A$4:$A$64,0),MATCH(2069,Mortality_Matrix!$B$3:$BS$3,0))</f>
        <v>-3.03679929825966E-010</v>
      </c>
      <c r="BH108" s="27" t="n">
        <f aca="false">(BH42-INDEX(Mortality_Matrix!$B$4:$BS$64,MATCH($A108,Mortality_Matrix!$A$4:$A$64,0),MATCH(2070,Mortality_Matrix!$B$3:$BS$3,0)))/INDEX(Mortality_Matrix!$B$4:$BS$64,MATCH($A108,Mortality_Matrix!$A$4:$A$64,0),MATCH(2070,Mortality_Matrix!$B$3:$BS$3,0))</f>
        <v>-2.22668308454828E-009</v>
      </c>
      <c r="BI108" s="27" t="n">
        <f aca="false">(BI42-INDEX(Mortality_Matrix!$B$4:$BS$64,MATCH($A108,Mortality_Matrix!$A$4:$A$64,0),MATCH(2071,Mortality_Matrix!$B$3:$BS$3,0)))/INDEX(Mortality_Matrix!$B$4:$BS$64,MATCH($A108,Mortality_Matrix!$A$4:$A$64,0),MATCH(2071,Mortality_Matrix!$B$3:$BS$3,0))</f>
        <v>3.25342212780372E-009</v>
      </c>
      <c r="BJ108" s="27" t="n">
        <f aca="false">(BJ42-INDEX(Mortality_Matrix!$B$4:$BS$64,MATCH($A108,Mortality_Matrix!$A$4:$A$64,0),MATCH(2072,Mortality_Matrix!$B$3:$BS$3,0)))/INDEX(Mortality_Matrix!$B$4:$BS$64,MATCH($A108,Mortality_Matrix!$A$4:$A$64,0),MATCH(2072,Mortality_Matrix!$B$3:$BS$3,0))</f>
        <v>-3.07512589816793E-009</v>
      </c>
      <c r="BK108" s="27" t="n">
        <f aca="false">(BK42-INDEX(Mortality_Matrix!$B$4:$BS$64,MATCH($A108,Mortality_Matrix!$A$4:$A$64,0),MATCH(2073,Mortality_Matrix!$B$3:$BS$3,0)))/INDEX(Mortality_Matrix!$B$4:$BS$64,MATCH($A108,Mortality_Matrix!$A$4:$A$64,0),MATCH(2073,Mortality_Matrix!$B$3:$BS$3,0))</f>
        <v>-1.9454693218421E-009</v>
      </c>
      <c r="BL108" s="27" t="n">
        <f aca="false">(BL42-INDEX(Mortality_Matrix!$B$4:$BS$64,MATCH($A108,Mortality_Matrix!$A$4:$A$64,0),MATCH(2074,Mortality_Matrix!$B$3:$BS$3,0)))/INDEX(Mortality_Matrix!$B$4:$BS$64,MATCH($A108,Mortality_Matrix!$A$4:$A$64,0),MATCH(2074,Mortality_Matrix!$B$3:$BS$3,0))</f>
        <v>2.03269941270004E-009</v>
      </c>
      <c r="BM108" s="27" t="n">
        <f aca="false">(BM42-INDEX(Mortality_Matrix!$B$4:$BS$64,MATCH($A108,Mortality_Matrix!$A$4:$A$64,0),MATCH(2075,Mortality_Matrix!$B$3:$BS$3,0)))/INDEX(Mortality_Matrix!$B$4:$BS$64,MATCH($A108,Mortality_Matrix!$A$4:$A$64,0),MATCH(2075,Mortality_Matrix!$B$3:$BS$3,0))</f>
        <v>-4.77874960398075E-010</v>
      </c>
      <c r="BN108" s="27" t="n">
        <f aca="false">(BN42-INDEX(Mortality_Matrix!$B$4:$BS$64,MATCH($A108,Mortality_Matrix!$A$4:$A$64,0),MATCH(2076,Mortality_Matrix!$B$3:$BS$3,0)))/INDEX(Mortality_Matrix!$B$4:$BS$64,MATCH($A108,Mortality_Matrix!$A$4:$A$64,0),MATCH(2076,Mortality_Matrix!$B$3:$BS$3,0))</f>
        <v>-2.54647156875267E-009</v>
      </c>
      <c r="BO108" s="27" t="n">
        <f aca="false">(BO42-INDEX(Mortality_Matrix!$B$4:$BS$64,MATCH($A108,Mortality_Matrix!$A$4:$A$64,0),MATCH(2077,Mortality_Matrix!$B$3:$BS$3,0)))/INDEX(Mortality_Matrix!$B$4:$BS$64,MATCH($A108,Mortality_Matrix!$A$4:$A$64,0),MATCH(2077,Mortality_Matrix!$B$3:$BS$3,0))</f>
        <v>-3.03399423066491E-009</v>
      </c>
      <c r="BP108" s="27" t="n">
        <f aca="false">(BP42-INDEX(Mortality_Matrix!$B$4:$BS$64,MATCH($A108,Mortality_Matrix!$A$4:$A$64,0),MATCH(2078,Mortality_Matrix!$B$3:$BS$3,0)))/INDEX(Mortality_Matrix!$B$4:$BS$64,MATCH($A108,Mortality_Matrix!$A$4:$A$64,0),MATCH(2078,Mortality_Matrix!$B$3:$BS$3,0))</f>
        <v>-2.54676780777494E-010</v>
      </c>
      <c r="BQ108" s="27" t="n">
        <f aca="false">(BQ42-INDEX(Mortality_Matrix!$B$4:$BS$64,MATCH($A108,Mortality_Matrix!$A$4:$A$64,0),MATCH(2079,Mortality_Matrix!$B$3:$BS$3,0)))/INDEX(Mortality_Matrix!$B$4:$BS$64,MATCH($A108,Mortality_Matrix!$A$4:$A$64,0),MATCH(2079,Mortality_Matrix!$B$3:$BS$3,0))</f>
        <v>-4.86592604108898E-010</v>
      </c>
      <c r="BR108" s="27" t="n">
        <f aca="false">(BR42-INDEX(Mortality_Matrix!$B$4:$BS$64,MATCH($A108,Mortality_Matrix!$A$4:$A$64,0),MATCH(2080,Mortality_Matrix!$B$3:$BS$3,0)))/INDEX(Mortality_Matrix!$B$4:$BS$64,MATCH($A108,Mortality_Matrix!$A$4:$A$64,0),MATCH(2080,Mortality_Matrix!$B$3:$BS$3,0))</f>
        <v>-3.70437516765699E-009</v>
      </c>
      <c r="BS108" s="27" t="n">
        <f aca="false">(BS42-INDEX(Mortality_Matrix!$B$4:$BS$64,MATCH($A108,Mortality_Matrix!$A$4:$A$64,0),MATCH(2081,Mortality_Matrix!$B$3:$BS$3,0)))/INDEX(Mortality_Matrix!$B$4:$BS$64,MATCH($A108,Mortality_Matrix!$A$4:$A$64,0),MATCH(2081,Mortality_Matrix!$B$3:$BS$3,0))</f>
        <v>-3.90356926044485E-009</v>
      </c>
      <c r="BT108" s="27" t="n">
        <f aca="false">(BT42-INDEX(Mortality_Matrix!$B$4:$BS$64,MATCH($A108,Mortality_Matrix!$A$4:$A$64,0),MATCH(2082,Mortality_Matrix!$B$3:$BS$3,0)))/INDEX(Mortality_Matrix!$B$4:$BS$64,MATCH($A108,Mortality_Matrix!$A$4:$A$64,0),MATCH(2082,Mortality_Matrix!$B$3:$BS$3,0))</f>
        <v>2.44637680672004E-009</v>
      </c>
      <c r="BU108" s="27" t="n">
        <f aca="false">(BU42-INDEX(Mortality_Matrix!$B$4:$BS$64,MATCH($A108,Mortality_Matrix!$A$4:$A$64,0),MATCH(2083,Mortality_Matrix!$B$3:$BS$3,0)))/INDEX(Mortality_Matrix!$B$4:$BS$64,MATCH($A108,Mortality_Matrix!$A$4:$A$64,0),MATCH(2083,Mortality_Matrix!$B$3:$BS$3,0))</f>
        <v>-1.04384556627741E-009</v>
      </c>
      <c r="BV108" s="27" t="n">
        <f aca="false">(BV42-INDEX(Mortality_Matrix!$B$4:$BS$64,MATCH($A108,Mortality_Matrix!$A$4:$A$64,0),MATCH(2084,Mortality_Matrix!$B$3:$BS$3,0)))/INDEX(Mortality_Matrix!$B$4:$BS$64,MATCH($A108,Mortality_Matrix!$A$4:$A$64,0),MATCH(2084,Mortality_Matrix!$B$3:$BS$3,0))</f>
        <v>-3.00312221797124E-009</v>
      </c>
      <c r="BW108" s="27" t="n">
        <f aca="false">(BW42-INDEX(Mortality_Matrix!$B$4:$BS$64,MATCH($A108,Mortality_Matrix!$A$4:$A$64,0),MATCH(2085,Mortality_Matrix!$B$3:$BS$3,0)))/INDEX(Mortality_Matrix!$B$4:$BS$64,MATCH($A108,Mortality_Matrix!$A$4:$A$64,0),MATCH(2085,Mortality_Matrix!$B$3:$BS$3,0))</f>
        <v>3.17582604709476E-009</v>
      </c>
      <c r="BX108" s="27" t="n">
        <f aca="false">(BX42-INDEX(Mortality_Matrix!$B$4:$BS$64,MATCH($A108,Mortality_Matrix!$A$4:$A$64,0),MATCH(2086,Mortality_Matrix!$B$3:$BS$3,0)))/INDEX(Mortality_Matrix!$B$4:$BS$64,MATCH($A108,Mortality_Matrix!$A$4:$A$64,0),MATCH(2086,Mortality_Matrix!$B$3:$BS$3,0))</f>
        <v>9.41591130377797E-010</v>
      </c>
      <c r="BY108" s="27" t="n">
        <f aca="false">(BY42-INDEX(Mortality_Matrix!$B$4:$BS$64,MATCH($A108,Mortality_Matrix!$A$4:$A$64,0),MATCH(2087,Mortality_Matrix!$B$3:$BS$3,0)))/INDEX(Mortality_Matrix!$B$4:$BS$64,MATCH($A108,Mortality_Matrix!$A$4:$A$64,0),MATCH(2087,Mortality_Matrix!$B$3:$BS$3,0))</f>
        <v>3.30906068599095E-010</v>
      </c>
      <c r="BZ108" s="27" t="n">
        <f aca="false">(BZ42-INDEX(Mortality_Matrix!$B$4:$BS$64,MATCH($A108,Mortality_Matrix!$A$4:$A$64,0),MATCH(2088,Mortality_Matrix!$B$3:$BS$3,0)))/INDEX(Mortality_Matrix!$B$4:$BS$64,MATCH($A108,Mortality_Matrix!$A$4:$A$64,0),MATCH(2088,Mortality_Matrix!$B$3:$BS$3,0))</f>
        <v>3.78510706133392E-009</v>
      </c>
      <c r="CA108" s="27" t="n">
        <f aca="false">(CA42-INDEX(Mortality_Matrix!$B$4:$BS$64,MATCH($A108,Mortality_Matrix!$A$4:$A$64,0),MATCH(2089,Mortality_Matrix!$B$3:$BS$3,0)))/INDEX(Mortality_Matrix!$B$4:$BS$64,MATCH($A108,Mortality_Matrix!$A$4:$A$64,0),MATCH(2089,Mortality_Matrix!$B$3:$BS$3,0))</f>
        <v>-4.26255629975488E-009</v>
      </c>
      <c r="CB108" s="27" t="n">
        <f aca="false">(CB42-INDEX(Mortality_Matrix!$B$4:$BS$64,MATCH($A108,Mortality_Matrix!$A$4:$A$64,0),MATCH(2090,Mortality_Matrix!$B$3:$BS$3,0)))/INDEX(Mortality_Matrix!$B$4:$BS$64,MATCH($A108,Mortality_Matrix!$A$4:$A$64,0),MATCH(2090,Mortality_Matrix!$B$3:$BS$3,0))</f>
        <v>4.31845349944777E-009</v>
      </c>
      <c r="CC108" s="27" t="n">
        <f aca="false">(CC42-INDEX(Mortality_Matrix!$B$4:$BS$64,MATCH($A108,Mortality_Matrix!$A$4:$A$64,0),MATCH(2091,Mortality_Matrix!$B$3:$BS$3,0)))/INDEX(Mortality_Matrix!$B$4:$BS$64,MATCH($A108,Mortality_Matrix!$A$4:$A$64,0),MATCH(2091,Mortality_Matrix!$B$3:$BS$3,0))</f>
        <v>1.95517728086601E-009</v>
      </c>
    </row>
    <row r="109" customFormat="false" ht="15" hidden="false" customHeight="true" outlineLevel="0" collapsed="false">
      <c r="A109" s="3" t="n">
        <v>80</v>
      </c>
      <c r="L109" s="27" t="n">
        <f aca="false">(L43-INDEX(Mortality_Matrix!$B$4:$BS$64,MATCH($A109,Mortality_Matrix!$A$4:$A$64,0),MATCH(2022,Mortality_Matrix!$B$3:$BS$3,0)))/INDEX(Mortality_Matrix!$B$4:$BS$64,MATCH($A109,Mortality_Matrix!$A$4:$A$64,0),MATCH(2022,Mortality_Matrix!$B$3:$BS$3,0))</f>
        <v>8.5826587992603E-010</v>
      </c>
      <c r="M109" s="27" t="n">
        <f aca="false">(M43-INDEX(Mortality_Matrix!$B$4:$BS$64,MATCH($A109,Mortality_Matrix!$A$4:$A$64,0),MATCH(2023,Mortality_Matrix!$B$3:$BS$3,0)))/INDEX(Mortality_Matrix!$B$4:$BS$64,MATCH($A109,Mortality_Matrix!$A$4:$A$64,0),MATCH(2023,Mortality_Matrix!$B$3:$BS$3,0))</f>
        <v>5.03225898732761E-010</v>
      </c>
      <c r="N109" s="27" t="n">
        <f aca="false">(N43-INDEX(Mortality_Matrix!$B$4:$BS$64,MATCH($A109,Mortality_Matrix!$A$4:$A$64,0),MATCH(2024,Mortality_Matrix!$B$3:$BS$3,0)))/INDEX(Mortality_Matrix!$B$4:$BS$64,MATCH($A109,Mortality_Matrix!$A$4:$A$64,0),MATCH(2024,Mortality_Matrix!$B$3:$BS$3,0))</f>
        <v>-6.40317502500014E-010</v>
      </c>
      <c r="O109" s="27" t="n">
        <f aca="false">(O43-INDEX(Mortality_Matrix!$B$4:$BS$64,MATCH($A109,Mortality_Matrix!$A$4:$A$64,0),MATCH(2025,Mortality_Matrix!$B$3:$BS$3,0)))/INDEX(Mortality_Matrix!$B$4:$BS$64,MATCH($A109,Mortality_Matrix!$A$4:$A$64,0),MATCH(2025,Mortality_Matrix!$B$3:$BS$3,0))</f>
        <v>7.31571317568942E-010</v>
      </c>
      <c r="P109" s="27" t="n">
        <f aca="false">(P43-INDEX(Mortality_Matrix!$B$4:$BS$64,MATCH($A109,Mortality_Matrix!$A$4:$A$64,0),MATCH(2026,Mortality_Matrix!$B$3:$BS$3,0)))/INDEX(Mortality_Matrix!$B$4:$BS$64,MATCH($A109,Mortality_Matrix!$A$4:$A$64,0),MATCH(2026,Mortality_Matrix!$B$3:$BS$3,0))</f>
        <v>3.76909564984908E-011</v>
      </c>
      <c r="Q109" s="27" t="n">
        <f aca="false">(Q43-INDEX(Mortality_Matrix!$B$4:$BS$64,MATCH($A109,Mortality_Matrix!$A$4:$A$64,0),MATCH(2027,Mortality_Matrix!$B$3:$BS$3,0)))/INDEX(Mortality_Matrix!$B$4:$BS$64,MATCH($A109,Mortality_Matrix!$A$4:$A$64,0),MATCH(2027,Mortality_Matrix!$B$3:$BS$3,0))</f>
        <v>1.80154795057684E-010</v>
      </c>
      <c r="R109" s="27" t="n">
        <f aca="false">(R43-INDEX(Mortality_Matrix!$B$4:$BS$64,MATCH($A109,Mortality_Matrix!$A$4:$A$64,0),MATCH(2028,Mortality_Matrix!$B$3:$BS$3,0)))/INDEX(Mortality_Matrix!$B$4:$BS$64,MATCH($A109,Mortality_Matrix!$A$4:$A$64,0),MATCH(2028,Mortality_Matrix!$B$3:$BS$3,0))</f>
        <v>1.42067103615344E-009</v>
      </c>
      <c r="S109" s="27" t="n">
        <f aca="false">(S43-INDEX(Mortality_Matrix!$B$4:$BS$64,MATCH($A109,Mortality_Matrix!$A$4:$A$64,0),MATCH(2029,Mortality_Matrix!$B$3:$BS$3,0)))/INDEX(Mortality_Matrix!$B$4:$BS$64,MATCH($A109,Mortality_Matrix!$A$4:$A$64,0),MATCH(2029,Mortality_Matrix!$B$3:$BS$3,0))</f>
        <v>2.44567642491188E-010</v>
      </c>
      <c r="T109" s="27" t="n">
        <f aca="false">(T43-INDEX(Mortality_Matrix!$B$4:$BS$64,MATCH($A109,Mortality_Matrix!$A$4:$A$64,0),MATCH(2030,Mortality_Matrix!$B$3:$BS$3,0)))/INDEX(Mortality_Matrix!$B$4:$BS$64,MATCH($A109,Mortality_Matrix!$A$4:$A$64,0),MATCH(2030,Mortality_Matrix!$B$3:$BS$3,0))</f>
        <v>6.91365101866049E-010</v>
      </c>
      <c r="U109" s="27" t="n">
        <f aca="false">(U43-INDEX(Mortality_Matrix!$B$4:$BS$64,MATCH($A109,Mortality_Matrix!$A$4:$A$64,0),MATCH(2031,Mortality_Matrix!$B$3:$BS$3,0)))/INDEX(Mortality_Matrix!$B$4:$BS$64,MATCH($A109,Mortality_Matrix!$A$4:$A$64,0),MATCH(2031,Mortality_Matrix!$B$3:$BS$3,0))</f>
        <v>-7.53210070586884E-010</v>
      </c>
      <c r="V109" s="27" t="n">
        <f aca="false">(V43-INDEX(Mortality_Matrix!$B$4:$BS$64,MATCH($A109,Mortality_Matrix!$A$4:$A$64,0),MATCH(2032,Mortality_Matrix!$B$3:$BS$3,0)))/INDEX(Mortality_Matrix!$B$4:$BS$64,MATCH($A109,Mortality_Matrix!$A$4:$A$64,0),MATCH(2032,Mortality_Matrix!$B$3:$BS$3,0))</f>
        <v>-6.402945841093E-010</v>
      </c>
      <c r="W109" s="27" t="n">
        <f aca="false">(W43-INDEX(Mortality_Matrix!$B$4:$BS$64,MATCH($A109,Mortality_Matrix!$A$4:$A$64,0),MATCH(2033,Mortality_Matrix!$B$3:$BS$3,0)))/INDEX(Mortality_Matrix!$B$4:$BS$64,MATCH($A109,Mortality_Matrix!$A$4:$A$64,0),MATCH(2033,Mortality_Matrix!$B$3:$BS$3,0))</f>
        <v>8.66338388984939E-010</v>
      </c>
      <c r="X109" s="27" t="n">
        <f aca="false">(X43-INDEX(Mortality_Matrix!$B$4:$BS$64,MATCH($A109,Mortality_Matrix!$A$4:$A$64,0),MATCH(2034,Mortality_Matrix!$B$3:$BS$3,0)))/INDEX(Mortality_Matrix!$B$4:$BS$64,MATCH($A109,Mortality_Matrix!$A$4:$A$64,0),MATCH(2034,Mortality_Matrix!$B$3:$BS$3,0))</f>
        <v>2.84434229379878E-010</v>
      </c>
      <c r="Y109" s="27" t="n">
        <f aca="false">(Y43-INDEX(Mortality_Matrix!$B$4:$BS$64,MATCH($A109,Mortality_Matrix!$A$4:$A$64,0),MATCH(2035,Mortality_Matrix!$B$3:$BS$3,0)))/INDEX(Mortality_Matrix!$B$4:$BS$64,MATCH($A109,Mortality_Matrix!$A$4:$A$64,0),MATCH(2035,Mortality_Matrix!$B$3:$BS$3,0))</f>
        <v>4.36345527264373E-010</v>
      </c>
      <c r="Z109" s="27" t="n">
        <f aca="false">(Z43-INDEX(Mortality_Matrix!$B$4:$BS$64,MATCH($A109,Mortality_Matrix!$A$4:$A$64,0),MATCH(2036,Mortality_Matrix!$B$3:$BS$3,0)))/INDEX(Mortality_Matrix!$B$4:$BS$64,MATCH($A109,Mortality_Matrix!$A$4:$A$64,0),MATCH(2036,Mortality_Matrix!$B$3:$BS$3,0))</f>
        <v>-1.63416550581861E-010</v>
      </c>
      <c r="AA109" s="27" t="n">
        <f aca="false">(AA43-INDEX(Mortality_Matrix!$B$4:$BS$64,MATCH($A109,Mortality_Matrix!$A$4:$A$64,0),MATCH(2037,Mortality_Matrix!$B$3:$BS$3,0)))/INDEX(Mortality_Matrix!$B$4:$BS$64,MATCH($A109,Mortality_Matrix!$A$4:$A$64,0),MATCH(2037,Mortality_Matrix!$B$3:$BS$3,0))</f>
        <v>-1.5029867965163E-009</v>
      </c>
      <c r="AB109" s="27" t="n">
        <f aca="false">(AB43-INDEX(Mortality_Matrix!$B$4:$BS$64,MATCH($A109,Mortality_Matrix!$A$4:$A$64,0),MATCH(2038,Mortality_Matrix!$B$3:$BS$3,0)))/INDEX(Mortality_Matrix!$B$4:$BS$64,MATCH($A109,Mortality_Matrix!$A$4:$A$64,0),MATCH(2038,Mortality_Matrix!$B$3:$BS$3,0))</f>
        <v>7.57742076257985E-010</v>
      </c>
      <c r="AC109" s="27" t="n">
        <f aca="false">(AC43-INDEX(Mortality_Matrix!$B$4:$BS$64,MATCH($A109,Mortality_Matrix!$A$4:$A$64,0),MATCH(2039,Mortality_Matrix!$B$3:$BS$3,0)))/INDEX(Mortality_Matrix!$B$4:$BS$64,MATCH($A109,Mortality_Matrix!$A$4:$A$64,0),MATCH(2039,Mortality_Matrix!$B$3:$BS$3,0))</f>
        <v>4.52916613782359E-010</v>
      </c>
      <c r="AD109" s="27" t="n">
        <f aca="false">(AD43-INDEX(Mortality_Matrix!$B$4:$BS$64,MATCH($A109,Mortality_Matrix!$A$4:$A$64,0),MATCH(2040,Mortality_Matrix!$B$3:$BS$3,0)))/INDEX(Mortality_Matrix!$B$4:$BS$64,MATCH($A109,Mortality_Matrix!$A$4:$A$64,0),MATCH(2040,Mortality_Matrix!$B$3:$BS$3,0))</f>
        <v>1.12646342480474E-009</v>
      </c>
      <c r="AE109" s="27" t="n">
        <f aca="false">(AE43-INDEX(Mortality_Matrix!$B$4:$BS$64,MATCH($A109,Mortality_Matrix!$A$4:$A$64,0),MATCH(2041,Mortality_Matrix!$B$3:$BS$3,0)))/INDEX(Mortality_Matrix!$B$4:$BS$64,MATCH($A109,Mortality_Matrix!$A$4:$A$64,0),MATCH(2041,Mortality_Matrix!$B$3:$BS$3,0))</f>
        <v>1.18190690133452E-009</v>
      </c>
      <c r="AF109" s="27" t="n">
        <f aca="false">(AF43-INDEX(Mortality_Matrix!$B$4:$BS$64,MATCH($A109,Mortality_Matrix!$A$4:$A$64,0),MATCH(2042,Mortality_Matrix!$B$3:$BS$3,0)))/INDEX(Mortality_Matrix!$B$4:$BS$64,MATCH($A109,Mortality_Matrix!$A$4:$A$64,0),MATCH(2042,Mortality_Matrix!$B$3:$BS$3,0))</f>
        <v>1.68725137656937E-010</v>
      </c>
      <c r="AG109" s="27" t="n">
        <f aca="false">(AG43-INDEX(Mortality_Matrix!$B$4:$BS$64,MATCH($A109,Mortality_Matrix!$A$4:$A$64,0),MATCH(2043,Mortality_Matrix!$B$3:$BS$3,0)))/INDEX(Mortality_Matrix!$B$4:$BS$64,MATCH($A109,Mortality_Matrix!$A$4:$A$64,0),MATCH(2043,Mortality_Matrix!$B$3:$BS$3,0))</f>
        <v>1.86402839432963E-009</v>
      </c>
      <c r="AH109" s="27" t="n">
        <f aca="false">(AH43-INDEX(Mortality_Matrix!$B$4:$BS$64,MATCH($A109,Mortality_Matrix!$A$4:$A$64,0),MATCH(2044,Mortality_Matrix!$B$3:$BS$3,0)))/INDEX(Mortality_Matrix!$B$4:$BS$64,MATCH($A109,Mortality_Matrix!$A$4:$A$64,0),MATCH(2044,Mortality_Matrix!$B$3:$BS$3,0))</f>
        <v>-1.69424198911567E-009</v>
      </c>
      <c r="AI109" s="27" t="n">
        <f aca="false">(AI43-INDEX(Mortality_Matrix!$B$4:$BS$64,MATCH($A109,Mortality_Matrix!$A$4:$A$64,0),MATCH(2045,Mortality_Matrix!$B$3:$BS$3,0)))/INDEX(Mortality_Matrix!$B$4:$BS$64,MATCH($A109,Mortality_Matrix!$A$4:$A$64,0),MATCH(2045,Mortality_Matrix!$B$3:$BS$3,0))</f>
        <v>-5.16266859518655E-010</v>
      </c>
      <c r="AJ109" s="27" t="n">
        <f aca="false">(AJ43-INDEX(Mortality_Matrix!$B$4:$BS$64,MATCH($A109,Mortality_Matrix!$A$4:$A$64,0),MATCH(2046,Mortality_Matrix!$B$3:$BS$3,0)))/INDEX(Mortality_Matrix!$B$4:$BS$64,MATCH($A109,Mortality_Matrix!$A$4:$A$64,0),MATCH(2046,Mortality_Matrix!$B$3:$BS$3,0))</f>
        <v>-1.97129545376646E-009</v>
      </c>
      <c r="AK109" s="27" t="n">
        <f aca="false">(AK43-INDEX(Mortality_Matrix!$B$4:$BS$64,MATCH($A109,Mortality_Matrix!$A$4:$A$64,0),MATCH(2047,Mortality_Matrix!$B$3:$BS$3,0)))/INDEX(Mortality_Matrix!$B$4:$BS$64,MATCH($A109,Mortality_Matrix!$A$4:$A$64,0),MATCH(2047,Mortality_Matrix!$B$3:$BS$3,0))</f>
        <v>-5.75050812760237E-010</v>
      </c>
      <c r="AL109" s="27" t="n">
        <f aca="false">(AL43-INDEX(Mortality_Matrix!$B$4:$BS$64,MATCH($A109,Mortality_Matrix!$A$4:$A$64,0),MATCH(2048,Mortality_Matrix!$B$3:$BS$3,0)))/INDEX(Mortality_Matrix!$B$4:$BS$64,MATCH($A109,Mortality_Matrix!$A$4:$A$64,0),MATCH(2048,Mortality_Matrix!$B$3:$BS$3,0))</f>
        <v>1.64365633184461E-009</v>
      </c>
      <c r="AM109" s="27" t="n">
        <f aca="false">(AM43-INDEX(Mortality_Matrix!$B$4:$BS$64,MATCH($A109,Mortality_Matrix!$A$4:$A$64,0),MATCH(2049,Mortality_Matrix!$B$3:$BS$3,0)))/INDEX(Mortality_Matrix!$B$4:$BS$64,MATCH($A109,Mortality_Matrix!$A$4:$A$64,0),MATCH(2049,Mortality_Matrix!$B$3:$BS$3,0))</f>
        <v>2.08164138629151E-009</v>
      </c>
      <c r="AN109" s="27" t="n">
        <f aca="false">(AN43-INDEX(Mortality_Matrix!$B$4:$BS$64,MATCH($A109,Mortality_Matrix!$A$4:$A$64,0),MATCH(2050,Mortality_Matrix!$B$3:$BS$3,0)))/INDEX(Mortality_Matrix!$B$4:$BS$64,MATCH($A109,Mortality_Matrix!$A$4:$A$64,0),MATCH(2050,Mortality_Matrix!$B$3:$BS$3,0))</f>
        <v>9.38243056711815E-010</v>
      </c>
      <c r="AO109" s="27" t="n">
        <f aca="false">(AO43-INDEX(Mortality_Matrix!$B$4:$BS$64,MATCH($A109,Mortality_Matrix!$A$4:$A$64,0),MATCH(2051,Mortality_Matrix!$B$3:$BS$3,0)))/INDEX(Mortality_Matrix!$B$4:$BS$64,MATCH($A109,Mortality_Matrix!$A$4:$A$64,0),MATCH(2051,Mortality_Matrix!$B$3:$BS$3,0))</f>
        <v>6.15795757144302E-010</v>
      </c>
      <c r="AP109" s="27" t="n">
        <f aca="false">(AP43-INDEX(Mortality_Matrix!$B$4:$BS$64,MATCH($A109,Mortality_Matrix!$A$4:$A$64,0),MATCH(2052,Mortality_Matrix!$B$3:$BS$3,0)))/INDEX(Mortality_Matrix!$B$4:$BS$64,MATCH($A109,Mortality_Matrix!$A$4:$A$64,0),MATCH(2052,Mortality_Matrix!$B$3:$BS$3,0))</f>
        <v>7.03091268250813E-010</v>
      </c>
      <c r="AQ109" s="27" t="n">
        <f aca="false">(AQ43-INDEX(Mortality_Matrix!$B$4:$BS$64,MATCH($A109,Mortality_Matrix!$A$4:$A$64,0),MATCH(2053,Mortality_Matrix!$B$3:$BS$3,0)))/INDEX(Mortality_Matrix!$B$4:$BS$64,MATCH($A109,Mortality_Matrix!$A$4:$A$64,0),MATCH(2053,Mortality_Matrix!$B$3:$BS$3,0))</f>
        <v>1.36777692875502E-009</v>
      </c>
      <c r="AR109" s="27" t="n">
        <f aca="false">(AR43-INDEX(Mortality_Matrix!$B$4:$BS$64,MATCH($A109,Mortality_Matrix!$A$4:$A$64,0),MATCH(2054,Mortality_Matrix!$B$3:$BS$3,0)))/INDEX(Mortality_Matrix!$B$4:$BS$64,MATCH($A109,Mortality_Matrix!$A$4:$A$64,0),MATCH(2054,Mortality_Matrix!$B$3:$BS$3,0))</f>
        <v>-1.91628754091145E-009</v>
      </c>
      <c r="AS109" s="27" t="n">
        <f aca="false">(AS43-INDEX(Mortality_Matrix!$B$4:$BS$64,MATCH($A109,Mortality_Matrix!$A$4:$A$64,0),MATCH(2055,Mortality_Matrix!$B$3:$BS$3,0)))/INDEX(Mortality_Matrix!$B$4:$BS$64,MATCH($A109,Mortality_Matrix!$A$4:$A$64,0),MATCH(2055,Mortality_Matrix!$B$3:$BS$3,0))</f>
        <v>-1.27687569085122E-009</v>
      </c>
      <c r="AT109" s="27" t="n">
        <f aca="false">(AT43-INDEX(Mortality_Matrix!$B$4:$BS$64,MATCH($A109,Mortality_Matrix!$A$4:$A$64,0),MATCH(2056,Mortality_Matrix!$B$3:$BS$3,0)))/INDEX(Mortality_Matrix!$B$4:$BS$64,MATCH($A109,Mortality_Matrix!$A$4:$A$64,0),MATCH(2056,Mortality_Matrix!$B$3:$BS$3,0))</f>
        <v>5.08284090817643E-010</v>
      </c>
      <c r="AU109" s="27" t="n">
        <f aca="false">(AU43-INDEX(Mortality_Matrix!$B$4:$BS$64,MATCH($A109,Mortality_Matrix!$A$4:$A$64,0),MATCH(2057,Mortality_Matrix!$B$3:$BS$3,0)))/INDEX(Mortality_Matrix!$B$4:$BS$64,MATCH($A109,Mortality_Matrix!$A$4:$A$64,0),MATCH(2057,Mortality_Matrix!$B$3:$BS$3,0))</f>
        <v>-2.22200184701978E-009</v>
      </c>
      <c r="AV109" s="27" t="n">
        <f aca="false">(AV43-INDEX(Mortality_Matrix!$B$4:$BS$64,MATCH($A109,Mortality_Matrix!$A$4:$A$64,0),MATCH(2058,Mortality_Matrix!$B$3:$BS$3,0)))/INDEX(Mortality_Matrix!$B$4:$BS$64,MATCH($A109,Mortality_Matrix!$A$4:$A$64,0),MATCH(2058,Mortality_Matrix!$B$3:$BS$3,0))</f>
        <v>7.1954316530383E-011</v>
      </c>
      <c r="AW109" s="27" t="n">
        <f aca="false">(AW43-INDEX(Mortality_Matrix!$B$4:$BS$64,MATCH($A109,Mortality_Matrix!$A$4:$A$64,0),MATCH(2059,Mortality_Matrix!$B$3:$BS$3,0)))/INDEX(Mortality_Matrix!$B$4:$BS$64,MATCH($A109,Mortality_Matrix!$A$4:$A$64,0),MATCH(2059,Mortality_Matrix!$B$3:$BS$3,0))</f>
        <v>-1.48063867889612E-009</v>
      </c>
      <c r="AX109" s="27" t="n">
        <f aca="false">(AX43-INDEX(Mortality_Matrix!$B$4:$BS$64,MATCH($A109,Mortality_Matrix!$A$4:$A$64,0),MATCH(2060,Mortality_Matrix!$B$3:$BS$3,0)))/INDEX(Mortality_Matrix!$B$4:$BS$64,MATCH($A109,Mortality_Matrix!$A$4:$A$64,0),MATCH(2060,Mortality_Matrix!$B$3:$BS$3,0))</f>
        <v>-1.9239551238899E-009</v>
      </c>
      <c r="AY109" s="27" t="n">
        <f aca="false">(AY43-INDEX(Mortality_Matrix!$B$4:$BS$64,MATCH($A109,Mortality_Matrix!$A$4:$A$64,0),MATCH(2061,Mortality_Matrix!$B$3:$BS$3,0)))/INDEX(Mortality_Matrix!$B$4:$BS$64,MATCH($A109,Mortality_Matrix!$A$4:$A$64,0),MATCH(2061,Mortality_Matrix!$B$3:$BS$3,0))</f>
        <v>-2.22400025682967E-009</v>
      </c>
      <c r="AZ109" s="27" t="n">
        <f aca="false">(AZ43-INDEX(Mortality_Matrix!$B$4:$BS$64,MATCH($A109,Mortality_Matrix!$A$4:$A$64,0),MATCH(2062,Mortality_Matrix!$B$3:$BS$3,0)))/INDEX(Mortality_Matrix!$B$4:$BS$64,MATCH($A109,Mortality_Matrix!$A$4:$A$64,0),MATCH(2062,Mortality_Matrix!$B$3:$BS$3,0))</f>
        <v>-3.96314718145556E-010</v>
      </c>
      <c r="BA109" s="27" t="n">
        <f aca="false">(BA43-INDEX(Mortality_Matrix!$B$4:$BS$64,MATCH($A109,Mortality_Matrix!$A$4:$A$64,0),MATCH(2063,Mortality_Matrix!$B$3:$BS$3,0)))/INDEX(Mortality_Matrix!$B$4:$BS$64,MATCH($A109,Mortality_Matrix!$A$4:$A$64,0),MATCH(2063,Mortality_Matrix!$B$3:$BS$3,0))</f>
        <v>-2.40645977395276E-009</v>
      </c>
      <c r="BB109" s="27" t="n">
        <f aca="false">(BB43-INDEX(Mortality_Matrix!$B$4:$BS$64,MATCH($A109,Mortality_Matrix!$A$4:$A$64,0),MATCH(2064,Mortality_Matrix!$B$3:$BS$3,0)))/INDEX(Mortality_Matrix!$B$4:$BS$64,MATCH($A109,Mortality_Matrix!$A$4:$A$64,0),MATCH(2064,Mortality_Matrix!$B$3:$BS$3,0))</f>
        <v>2.56461314566764E-009</v>
      </c>
      <c r="BC109" s="27" t="n">
        <f aca="false">(BC43-INDEX(Mortality_Matrix!$B$4:$BS$64,MATCH($A109,Mortality_Matrix!$A$4:$A$64,0),MATCH(2065,Mortality_Matrix!$B$3:$BS$3,0)))/INDEX(Mortality_Matrix!$B$4:$BS$64,MATCH($A109,Mortality_Matrix!$A$4:$A$64,0),MATCH(2065,Mortality_Matrix!$B$3:$BS$3,0))</f>
        <v>9.43497504737562E-011</v>
      </c>
      <c r="BD109" s="27" t="n">
        <f aca="false">(BD43-INDEX(Mortality_Matrix!$B$4:$BS$64,MATCH($A109,Mortality_Matrix!$A$4:$A$64,0),MATCH(2066,Mortality_Matrix!$B$3:$BS$3,0)))/INDEX(Mortality_Matrix!$B$4:$BS$64,MATCH($A109,Mortality_Matrix!$A$4:$A$64,0),MATCH(2066,Mortality_Matrix!$B$3:$BS$3,0))</f>
        <v>1.68537142449912E-009</v>
      </c>
      <c r="BE109" s="27" t="n">
        <f aca="false">(BE43-INDEX(Mortality_Matrix!$B$4:$BS$64,MATCH($A109,Mortality_Matrix!$A$4:$A$64,0),MATCH(2067,Mortality_Matrix!$B$3:$BS$3,0)))/INDEX(Mortality_Matrix!$B$4:$BS$64,MATCH($A109,Mortality_Matrix!$A$4:$A$64,0),MATCH(2067,Mortality_Matrix!$B$3:$BS$3,0))</f>
        <v>2.15078257033865E-009</v>
      </c>
      <c r="BF109" s="27" t="n">
        <f aca="false">(BF43-INDEX(Mortality_Matrix!$B$4:$BS$64,MATCH($A109,Mortality_Matrix!$A$4:$A$64,0),MATCH(2068,Mortality_Matrix!$B$3:$BS$3,0)))/INDEX(Mortality_Matrix!$B$4:$BS$64,MATCH($A109,Mortality_Matrix!$A$4:$A$64,0),MATCH(2068,Mortality_Matrix!$B$3:$BS$3,0))</f>
        <v>-2.67298557025989E-010</v>
      </c>
      <c r="BG109" s="27" t="n">
        <f aca="false">(BG43-INDEX(Mortality_Matrix!$B$4:$BS$64,MATCH($A109,Mortality_Matrix!$A$4:$A$64,0),MATCH(2069,Mortality_Matrix!$B$3:$BS$3,0)))/INDEX(Mortality_Matrix!$B$4:$BS$64,MATCH($A109,Mortality_Matrix!$A$4:$A$64,0),MATCH(2069,Mortality_Matrix!$B$3:$BS$3,0))</f>
        <v>1.20000067133543E-009</v>
      </c>
      <c r="BH109" s="27" t="n">
        <f aca="false">(BH43-INDEX(Mortality_Matrix!$B$4:$BS$64,MATCH($A109,Mortality_Matrix!$A$4:$A$64,0),MATCH(2070,Mortality_Matrix!$B$3:$BS$3,0)))/INDEX(Mortality_Matrix!$B$4:$BS$64,MATCH($A109,Mortality_Matrix!$A$4:$A$64,0),MATCH(2070,Mortality_Matrix!$B$3:$BS$3,0))</f>
        <v>-1.23499424767631E-009</v>
      </c>
      <c r="BI109" s="27" t="n">
        <f aca="false">(BI43-INDEX(Mortality_Matrix!$B$4:$BS$64,MATCH($A109,Mortality_Matrix!$A$4:$A$64,0),MATCH(2071,Mortality_Matrix!$B$3:$BS$3,0)))/INDEX(Mortality_Matrix!$B$4:$BS$64,MATCH($A109,Mortality_Matrix!$A$4:$A$64,0),MATCH(2071,Mortality_Matrix!$B$3:$BS$3,0))</f>
        <v>-2.77640654145699E-009</v>
      </c>
      <c r="BJ109" s="27" t="n">
        <f aca="false">(BJ43-INDEX(Mortality_Matrix!$B$4:$BS$64,MATCH($A109,Mortality_Matrix!$A$4:$A$64,0),MATCH(2072,Mortality_Matrix!$B$3:$BS$3,0)))/INDEX(Mortality_Matrix!$B$4:$BS$64,MATCH($A109,Mortality_Matrix!$A$4:$A$64,0),MATCH(2072,Mortality_Matrix!$B$3:$BS$3,0))</f>
        <v>2.30208938356181E-009</v>
      </c>
      <c r="BK109" s="27" t="n">
        <f aca="false">(BK43-INDEX(Mortality_Matrix!$B$4:$BS$64,MATCH($A109,Mortality_Matrix!$A$4:$A$64,0),MATCH(2073,Mortality_Matrix!$B$3:$BS$3,0)))/INDEX(Mortality_Matrix!$B$4:$BS$64,MATCH($A109,Mortality_Matrix!$A$4:$A$64,0),MATCH(2073,Mortality_Matrix!$B$3:$BS$3,0))</f>
        <v>1.91240422141165E-009</v>
      </c>
      <c r="BL109" s="27" t="n">
        <f aca="false">(BL43-INDEX(Mortality_Matrix!$B$4:$BS$64,MATCH($A109,Mortality_Matrix!$A$4:$A$64,0),MATCH(2074,Mortality_Matrix!$B$3:$BS$3,0)))/INDEX(Mortality_Matrix!$B$4:$BS$64,MATCH($A109,Mortality_Matrix!$A$4:$A$64,0),MATCH(2074,Mortality_Matrix!$B$3:$BS$3,0))</f>
        <v>4.82088063361726E-010</v>
      </c>
      <c r="BM109" s="27" t="n">
        <f aca="false">(BM43-INDEX(Mortality_Matrix!$B$4:$BS$64,MATCH($A109,Mortality_Matrix!$A$4:$A$64,0),MATCH(2075,Mortality_Matrix!$B$3:$BS$3,0)))/INDEX(Mortality_Matrix!$B$4:$BS$64,MATCH($A109,Mortality_Matrix!$A$4:$A$64,0),MATCH(2075,Mortality_Matrix!$B$3:$BS$3,0))</f>
        <v>8.83731949595767E-010</v>
      </c>
      <c r="BN109" s="27" t="n">
        <f aca="false">(BN43-INDEX(Mortality_Matrix!$B$4:$BS$64,MATCH($A109,Mortality_Matrix!$A$4:$A$64,0),MATCH(2076,Mortality_Matrix!$B$3:$BS$3,0)))/INDEX(Mortality_Matrix!$B$4:$BS$64,MATCH($A109,Mortality_Matrix!$A$4:$A$64,0),MATCH(2076,Mortality_Matrix!$B$3:$BS$3,0))</f>
        <v>-2.78611204015606E-009</v>
      </c>
      <c r="BO109" s="27" t="n">
        <f aca="false">(BO43-INDEX(Mortality_Matrix!$B$4:$BS$64,MATCH($A109,Mortality_Matrix!$A$4:$A$64,0),MATCH(2077,Mortality_Matrix!$B$3:$BS$3,0)))/INDEX(Mortality_Matrix!$B$4:$BS$64,MATCH($A109,Mortality_Matrix!$A$4:$A$64,0),MATCH(2077,Mortality_Matrix!$B$3:$BS$3,0))</f>
        <v>-1.22576365258649E-009</v>
      </c>
      <c r="BP109" s="27" t="n">
        <f aca="false">(BP43-INDEX(Mortality_Matrix!$B$4:$BS$64,MATCH($A109,Mortality_Matrix!$A$4:$A$64,0),MATCH(2078,Mortality_Matrix!$B$3:$BS$3,0)))/INDEX(Mortality_Matrix!$B$4:$BS$64,MATCH($A109,Mortality_Matrix!$A$4:$A$64,0),MATCH(2078,Mortality_Matrix!$B$3:$BS$3,0))</f>
        <v>-1.90466818117392E-009</v>
      </c>
      <c r="BQ109" s="27" t="n">
        <f aca="false">(BQ43-INDEX(Mortality_Matrix!$B$4:$BS$64,MATCH($A109,Mortality_Matrix!$A$4:$A$64,0),MATCH(2079,Mortality_Matrix!$B$3:$BS$3,0)))/INDEX(Mortality_Matrix!$B$4:$BS$64,MATCH($A109,Mortality_Matrix!$A$4:$A$64,0),MATCH(2079,Mortality_Matrix!$B$3:$BS$3,0))</f>
        <v>1.64001010526173E-009</v>
      </c>
      <c r="BR109" s="27" t="n">
        <f aca="false">(BR43-INDEX(Mortality_Matrix!$B$4:$BS$64,MATCH($A109,Mortality_Matrix!$A$4:$A$64,0),MATCH(2080,Mortality_Matrix!$B$3:$BS$3,0)))/INDEX(Mortality_Matrix!$B$4:$BS$64,MATCH($A109,Mortality_Matrix!$A$4:$A$64,0),MATCH(2080,Mortality_Matrix!$B$3:$BS$3,0))</f>
        <v>-3.2581633522726E-009</v>
      </c>
      <c r="BS109" s="27" t="n">
        <f aca="false">(BS43-INDEX(Mortality_Matrix!$B$4:$BS$64,MATCH($A109,Mortality_Matrix!$A$4:$A$64,0),MATCH(2081,Mortality_Matrix!$B$3:$BS$3,0)))/INDEX(Mortality_Matrix!$B$4:$BS$64,MATCH($A109,Mortality_Matrix!$A$4:$A$64,0),MATCH(2081,Mortality_Matrix!$B$3:$BS$3,0))</f>
        <v>-3.32582008563568E-009</v>
      </c>
      <c r="BT109" s="27" t="n">
        <f aca="false">(BT43-INDEX(Mortality_Matrix!$B$4:$BS$64,MATCH($A109,Mortality_Matrix!$A$4:$A$64,0),MATCH(2082,Mortality_Matrix!$B$3:$BS$3,0)))/INDEX(Mortality_Matrix!$B$4:$BS$64,MATCH($A109,Mortality_Matrix!$A$4:$A$64,0),MATCH(2082,Mortality_Matrix!$B$3:$BS$3,0))</f>
        <v>6.23680721331557E-010</v>
      </c>
      <c r="BU109" s="27" t="n">
        <f aca="false">(BU43-INDEX(Mortality_Matrix!$B$4:$BS$64,MATCH($A109,Mortality_Matrix!$A$4:$A$64,0),MATCH(2083,Mortality_Matrix!$B$3:$BS$3,0)))/INDEX(Mortality_Matrix!$B$4:$BS$64,MATCH($A109,Mortality_Matrix!$A$4:$A$64,0),MATCH(2083,Mortality_Matrix!$B$3:$BS$3,0))</f>
        <v>-1.25910939258568E-009</v>
      </c>
      <c r="BV109" s="27" t="n">
        <f aca="false">(BV43-INDEX(Mortality_Matrix!$B$4:$BS$64,MATCH($A109,Mortality_Matrix!$A$4:$A$64,0),MATCH(2084,Mortality_Matrix!$B$3:$BS$3,0)))/INDEX(Mortality_Matrix!$B$4:$BS$64,MATCH($A109,Mortality_Matrix!$A$4:$A$64,0),MATCH(2084,Mortality_Matrix!$B$3:$BS$3,0))</f>
        <v>-1.04672475645695E-009</v>
      </c>
      <c r="BW109" s="27" t="n">
        <f aca="false">(BW43-INDEX(Mortality_Matrix!$B$4:$BS$64,MATCH($A109,Mortality_Matrix!$A$4:$A$64,0),MATCH(2085,Mortality_Matrix!$B$3:$BS$3,0)))/INDEX(Mortality_Matrix!$B$4:$BS$64,MATCH($A109,Mortality_Matrix!$A$4:$A$64,0),MATCH(2085,Mortality_Matrix!$B$3:$BS$3,0))</f>
        <v>-1.22640714422775E-009</v>
      </c>
      <c r="BX109" s="27" t="n">
        <f aca="false">(BX43-INDEX(Mortality_Matrix!$B$4:$BS$64,MATCH($A109,Mortality_Matrix!$A$4:$A$64,0),MATCH(2086,Mortality_Matrix!$B$3:$BS$3,0)))/INDEX(Mortality_Matrix!$B$4:$BS$64,MATCH($A109,Mortality_Matrix!$A$4:$A$64,0),MATCH(2086,Mortality_Matrix!$B$3:$BS$3,0))</f>
        <v>-1.73717956582767E-009</v>
      </c>
      <c r="BY109" s="27" t="n">
        <f aca="false">(BY43-INDEX(Mortality_Matrix!$B$4:$BS$64,MATCH($A109,Mortality_Matrix!$A$4:$A$64,0),MATCH(2087,Mortality_Matrix!$B$3:$BS$3,0)))/INDEX(Mortality_Matrix!$B$4:$BS$64,MATCH($A109,Mortality_Matrix!$A$4:$A$64,0),MATCH(2087,Mortality_Matrix!$B$3:$BS$3,0))</f>
        <v>-5.8896004701422E-010</v>
      </c>
      <c r="BZ109" s="27" t="n">
        <f aca="false">(BZ43-INDEX(Mortality_Matrix!$B$4:$BS$64,MATCH($A109,Mortality_Matrix!$A$4:$A$64,0),MATCH(2088,Mortality_Matrix!$B$3:$BS$3,0)))/INDEX(Mortality_Matrix!$B$4:$BS$64,MATCH($A109,Mortality_Matrix!$A$4:$A$64,0),MATCH(2088,Mortality_Matrix!$B$3:$BS$3,0))</f>
        <v>-2.05549225447281E-009</v>
      </c>
      <c r="CA109" s="27" t="n">
        <f aca="false">(CA43-INDEX(Mortality_Matrix!$B$4:$BS$64,MATCH($A109,Mortality_Matrix!$A$4:$A$64,0),MATCH(2089,Mortality_Matrix!$B$3:$BS$3,0)))/INDEX(Mortality_Matrix!$B$4:$BS$64,MATCH($A109,Mortality_Matrix!$A$4:$A$64,0),MATCH(2089,Mortality_Matrix!$B$3:$BS$3,0))</f>
        <v>-2.70448477242463E-009</v>
      </c>
      <c r="CB109" s="27" t="n">
        <f aca="false">(CB43-INDEX(Mortality_Matrix!$B$4:$BS$64,MATCH($A109,Mortality_Matrix!$A$4:$A$64,0),MATCH(2090,Mortality_Matrix!$B$3:$BS$3,0)))/INDEX(Mortality_Matrix!$B$4:$BS$64,MATCH($A109,Mortality_Matrix!$A$4:$A$64,0),MATCH(2090,Mortality_Matrix!$B$3:$BS$3,0))</f>
        <v>6.28650827663426E-010</v>
      </c>
      <c r="CC109" s="27" t="n">
        <f aca="false">(CC43-INDEX(Mortality_Matrix!$B$4:$BS$64,MATCH($A109,Mortality_Matrix!$A$4:$A$64,0),MATCH(2091,Mortality_Matrix!$B$3:$BS$3,0)))/INDEX(Mortality_Matrix!$B$4:$BS$64,MATCH($A109,Mortality_Matrix!$A$4:$A$64,0),MATCH(2091,Mortality_Matrix!$B$3:$BS$3,0))</f>
        <v>2.12385977299161E-009</v>
      </c>
    </row>
    <row r="110" customFormat="false" ht="15" hidden="false" customHeight="true" outlineLevel="0" collapsed="false">
      <c r="A110" s="3" t="n">
        <v>81</v>
      </c>
      <c r="L110" s="27" t="n">
        <f aca="false">(L44-INDEX(Mortality_Matrix!$B$4:$BS$64,MATCH($A110,Mortality_Matrix!$A$4:$A$64,0),MATCH(2022,Mortality_Matrix!$B$3:$BS$3,0)))/INDEX(Mortality_Matrix!$B$4:$BS$64,MATCH($A110,Mortality_Matrix!$A$4:$A$64,0),MATCH(2022,Mortality_Matrix!$B$3:$BS$3,0))</f>
        <v>2.9404817923333E-010</v>
      </c>
      <c r="M110" s="27" t="n">
        <f aca="false">(M44-INDEX(Mortality_Matrix!$B$4:$BS$64,MATCH($A110,Mortality_Matrix!$A$4:$A$64,0),MATCH(2023,Mortality_Matrix!$B$3:$BS$3,0)))/INDEX(Mortality_Matrix!$B$4:$BS$64,MATCH($A110,Mortality_Matrix!$A$4:$A$64,0),MATCH(2023,Mortality_Matrix!$B$3:$BS$3,0))</f>
        <v>1.00158561380916E-009</v>
      </c>
      <c r="N110" s="27" t="n">
        <f aca="false">(N44-INDEX(Mortality_Matrix!$B$4:$BS$64,MATCH($A110,Mortality_Matrix!$A$4:$A$64,0),MATCH(2024,Mortality_Matrix!$B$3:$BS$3,0)))/INDEX(Mortality_Matrix!$B$4:$BS$64,MATCH($A110,Mortality_Matrix!$A$4:$A$64,0),MATCH(2024,Mortality_Matrix!$B$3:$BS$3,0))</f>
        <v>6.51166444092183E-010</v>
      </c>
      <c r="O110" s="27" t="n">
        <f aca="false">(O44-INDEX(Mortality_Matrix!$B$4:$BS$64,MATCH($A110,Mortality_Matrix!$A$4:$A$64,0),MATCH(2025,Mortality_Matrix!$B$3:$BS$3,0)))/INDEX(Mortality_Matrix!$B$4:$BS$64,MATCH($A110,Mortality_Matrix!$A$4:$A$64,0),MATCH(2025,Mortality_Matrix!$B$3:$BS$3,0))</f>
        <v>1.06850905085204E-009</v>
      </c>
      <c r="P110" s="27" t="n">
        <f aca="false">(P44-INDEX(Mortality_Matrix!$B$4:$BS$64,MATCH($A110,Mortality_Matrix!$A$4:$A$64,0),MATCH(2026,Mortality_Matrix!$B$3:$BS$3,0)))/INDEX(Mortality_Matrix!$B$4:$BS$64,MATCH($A110,Mortality_Matrix!$A$4:$A$64,0),MATCH(2026,Mortality_Matrix!$B$3:$BS$3,0))</f>
        <v>1.19573631576216E-009</v>
      </c>
      <c r="Q110" s="27" t="n">
        <f aca="false">(Q44-INDEX(Mortality_Matrix!$B$4:$BS$64,MATCH($A110,Mortality_Matrix!$A$4:$A$64,0),MATCH(2027,Mortality_Matrix!$B$3:$BS$3,0)))/INDEX(Mortality_Matrix!$B$4:$BS$64,MATCH($A110,Mortality_Matrix!$A$4:$A$64,0),MATCH(2027,Mortality_Matrix!$B$3:$BS$3,0))</f>
        <v>1.24932381328681E-009</v>
      </c>
      <c r="R110" s="27" t="n">
        <f aca="false">(R44-INDEX(Mortality_Matrix!$B$4:$BS$64,MATCH($A110,Mortality_Matrix!$A$4:$A$64,0),MATCH(2028,Mortality_Matrix!$B$3:$BS$3,0)))/INDEX(Mortality_Matrix!$B$4:$BS$64,MATCH($A110,Mortality_Matrix!$A$4:$A$64,0),MATCH(2028,Mortality_Matrix!$B$3:$BS$3,0))</f>
        <v>-7.76947295630454E-010</v>
      </c>
      <c r="S110" s="27" t="n">
        <f aca="false">(S44-INDEX(Mortality_Matrix!$B$4:$BS$64,MATCH($A110,Mortality_Matrix!$A$4:$A$64,0),MATCH(2029,Mortality_Matrix!$B$3:$BS$3,0)))/INDEX(Mortality_Matrix!$B$4:$BS$64,MATCH($A110,Mortality_Matrix!$A$4:$A$64,0),MATCH(2029,Mortality_Matrix!$B$3:$BS$3,0))</f>
        <v>3.75544657326721E-010</v>
      </c>
      <c r="T110" s="27" t="n">
        <f aca="false">(T44-INDEX(Mortality_Matrix!$B$4:$BS$64,MATCH($A110,Mortality_Matrix!$A$4:$A$64,0),MATCH(2030,Mortality_Matrix!$B$3:$BS$3,0)))/INDEX(Mortality_Matrix!$B$4:$BS$64,MATCH($A110,Mortality_Matrix!$A$4:$A$64,0),MATCH(2030,Mortality_Matrix!$B$3:$BS$3,0))</f>
        <v>2.92129659869034E-010</v>
      </c>
      <c r="U110" s="27" t="n">
        <f aca="false">(U44-INDEX(Mortality_Matrix!$B$4:$BS$64,MATCH($A110,Mortality_Matrix!$A$4:$A$64,0),MATCH(2031,Mortality_Matrix!$B$3:$BS$3,0)))/INDEX(Mortality_Matrix!$B$4:$BS$64,MATCH($A110,Mortality_Matrix!$A$4:$A$64,0),MATCH(2031,Mortality_Matrix!$B$3:$BS$3,0))</f>
        <v>-8.2979265486356E-010</v>
      </c>
      <c r="V110" s="27" t="n">
        <f aca="false">(V44-INDEX(Mortality_Matrix!$B$4:$BS$64,MATCH($A110,Mortality_Matrix!$A$4:$A$64,0),MATCH(2032,Mortality_Matrix!$B$3:$BS$3,0)))/INDEX(Mortality_Matrix!$B$4:$BS$64,MATCH($A110,Mortality_Matrix!$A$4:$A$64,0),MATCH(2032,Mortality_Matrix!$B$3:$BS$3,0))</f>
        <v>-4.19222968841327E-010</v>
      </c>
      <c r="W110" s="27" t="n">
        <f aca="false">(W44-INDEX(Mortality_Matrix!$B$4:$BS$64,MATCH($A110,Mortality_Matrix!$A$4:$A$64,0),MATCH(2033,Mortality_Matrix!$B$3:$BS$3,0)))/INDEX(Mortality_Matrix!$B$4:$BS$64,MATCH($A110,Mortality_Matrix!$A$4:$A$64,0),MATCH(2033,Mortality_Matrix!$B$3:$BS$3,0))</f>
        <v>-3.90476603517169E-010</v>
      </c>
      <c r="X110" s="27" t="n">
        <f aca="false">(X44-INDEX(Mortality_Matrix!$B$4:$BS$64,MATCH($A110,Mortality_Matrix!$A$4:$A$64,0),MATCH(2034,Mortality_Matrix!$B$3:$BS$3,0)))/INDEX(Mortality_Matrix!$B$4:$BS$64,MATCH($A110,Mortality_Matrix!$A$4:$A$64,0),MATCH(2034,Mortality_Matrix!$B$3:$BS$3,0))</f>
        <v>-1.03252682915138E-009</v>
      </c>
      <c r="Y110" s="27" t="n">
        <f aca="false">(Y44-INDEX(Mortality_Matrix!$B$4:$BS$64,MATCH($A110,Mortality_Matrix!$A$4:$A$64,0),MATCH(2035,Mortality_Matrix!$B$3:$BS$3,0)))/INDEX(Mortality_Matrix!$B$4:$BS$64,MATCH($A110,Mortality_Matrix!$A$4:$A$64,0),MATCH(2035,Mortality_Matrix!$B$3:$BS$3,0))</f>
        <v>7.59999265800455E-010</v>
      </c>
      <c r="Z110" s="27" t="n">
        <f aca="false">(Z44-INDEX(Mortality_Matrix!$B$4:$BS$64,MATCH($A110,Mortality_Matrix!$A$4:$A$64,0),MATCH(2036,Mortality_Matrix!$B$3:$BS$3,0)))/INDEX(Mortality_Matrix!$B$4:$BS$64,MATCH($A110,Mortality_Matrix!$A$4:$A$64,0),MATCH(2036,Mortality_Matrix!$B$3:$BS$3,0))</f>
        <v>-1.10494384033584E-009</v>
      </c>
      <c r="AA110" s="27" t="n">
        <f aca="false">(AA44-INDEX(Mortality_Matrix!$B$4:$BS$64,MATCH($A110,Mortality_Matrix!$A$4:$A$64,0),MATCH(2037,Mortality_Matrix!$B$3:$BS$3,0)))/INDEX(Mortality_Matrix!$B$4:$BS$64,MATCH($A110,Mortality_Matrix!$A$4:$A$64,0),MATCH(2037,Mortality_Matrix!$B$3:$BS$3,0))</f>
        <v>9.86895086444999E-010</v>
      </c>
      <c r="AB110" s="27" t="n">
        <f aca="false">(AB44-INDEX(Mortality_Matrix!$B$4:$BS$64,MATCH($A110,Mortality_Matrix!$A$4:$A$64,0),MATCH(2038,Mortality_Matrix!$B$3:$BS$3,0)))/INDEX(Mortality_Matrix!$B$4:$BS$64,MATCH($A110,Mortality_Matrix!$A$4:$A$64,0),MATCH(2038,Mortality_Matrix!$B$3:$BS$3,0))</f>
        <v>6.92368180629274E-010</v>
      </c>
      <c r="AC110" s="27" t="n">
        <f aca="false">(AC44-INDEX(Mortality_Matrix!$B$4:$BS$64,MATCH($A110,Mortality_Matrix!$A$4:$A$64,0),MATCH(2039,Mortality_Matrix!$B$3:$BS$3,0)))/INDEX(Mortality_Matrix!$B$4:$BS$64,MATCH($A110,Mortality_Matrix!$A$4:$A$64,0),MATCH(2039,Mortality_Matrix!$B$3:$BS$3,0))</f>
        <v>9.91380164012505E-010</v>
      </c>
      <c r="AD110" s="27" t="n">
        <f aca="false">(AD44-INDEX(Mortality_Matrix!$B$4:$BS$64,MATCH($A110,Mortality_Matrix!$A$4:$A$64,0),MATCH(2040,Mortality_Matrix!$B$3:$BS$3,0)))/INDEX(Mortality_Matrix!$B$4:$BS$64,MATCH($A110,Mortality_Matrix!$A$4:$A$64,0),MATCH(2040,Mortality_Matrix!$B$3:$BS$3,0))</f>
        <v>1.31092291389712E-009</v>
      </c>
      <c r="AE110" s="27" t="n">
        <f aca="false">(AE44-INDEX(Mortality_Matrix!$B$4:$BS$64,MATCH($A110,Mortality_Matrix!$A$4:$A$64,0),MATCH(2041,Mortality_Matrix!$B$3:$BS$3,0)))/INDEX(Mortality_Matrix!$B$4:$BS$64,MATCH($A110,Mortality_Matrix!$A$4:$A$64,0),MATCH(2041,Mortality_Matrix!$B$3:$BS$3,0))</f>
        <v>-3.27341905995799E-010</v>
      </c>
      <c r="AF110" s="27" t="n">
        <f aca="false">(AF44-INDEX(Mortality_Matrix!$B$4:$BS$64,MATCH($A110,Mortality_Matrix!$A$4:$A$64,0),MATCH(2042,Mortality_Matrix!$B$3:$BS$3,0)))/INDEX(Mortality_Matrix!$B$4:$BS$64,MATCH($A110,Mortality_Matrix!$A$4:$A$64,0),MATCH(2042,Mortality_Matrix!$B$3:$BS$3,0))</f>
        <v>-1.64473844921781E-009</v>
      </c>
      <c r="AG110" s="27" t="n">
        <f aca="false">(AG44-INDEX(Mortality_Matrix!$B$4:$BS$64,MATCH($A110,Mortality_Matrix!$A$4:$A$64,0),MATCH(2043,Mortality_Matrix!$B$3:$BS$3,0)))/INDEX(Mortality_Matrix!$B$4:$BS$64,MATCH($A110,Mortality_Matrix!$A$4:$A$64,0),MATCH(2043,Mortality_Matrix!$B$3:$BS$3,0))</f>
        <v>6.05209217834333E-011</v>
      </c>
      <c r="AH110" s="27" t="n">
        <f aca="false">(AH44-INDEX(Mortality_Matrix!$B$4:$BS$64,MATCH($A110,Mortality_Matrix!$A$4:$A$64,0),MATCH(2044,Mortality_Matrix!$B$3:$BS$3,0)))/INDEX(Mortality_Matrix!$B$4:$BS$64,MATCH($A110,Mortality_Matrix!$A$4:$A$64,0),MATCH(2044,Mortality_Matrix!$B$3:$BS$3,0))</f>
        <v>3.32086140985877E-010</v>
      </c>
      <c r="AI110" s="27" t="n">
        <f aca="false">(AI44-INDEX(Mortality_Matrix!$B$4:$BS$64,MATCH($A110,Mortality_Matrix!$A$4:$A$64,0),MATCH(2045,Mortality_Matrix!$B$3:$BS$3,0)))/INDEX(Mortality_Matrix!$B$4:$BS$64,MATCH($A110,Mortality_Matrix!$A$4:$A$64,0),MATCH(2045,Mortality_Matrix!$B$3:$BS$3,0))</f>
        <v>-2.97710030801634E-011</v>
      </c>
      <c r="AJ110" s="27" t="n">
        <f aca="false">(AJ44-INDEX(Mortality_Matrix!$B$4:$BS$64,MATCH($A110,Mortality_Matrix!$A$4:$A$64,0),MATCH(2046,Mortality_Matrix!$B$3:$BS$3,0)))/INDEX(Mortality_Matrix!$B$4:$BS$64,MATCH($A110,Mortality_Matrix!$A$4:$A$64,0),MATCH(2046,Mortality_Matrix!$B$3:$BS$3,0))</f>
        <v>1.12481295489146E-009</v>
      </c>
      <c r="AK110" s="27" t="n">
        <f aca="false">(AK44-INDEX(Mortality_Matrix!$B$4:$BS$64,MATCH($A110,Mortality_Matrix!$A$4:$A$64,0),MATCH(2047,Mortality_Matrix!$B$3:$BS$3,0)))/INDEX(Mortality_Matrix!$B$4:$BS$64,MATCH($A110,Mortality_Matrix!$A$4:$A$64,0),MATCH(2047,Mortality_Matrix!$B$3:$BS$3,0))</f>
        <v>-5.26876108477384E-010</v>
      </c>
      <c r="AL110" s="27" t="n">
        <f aca="false">(AL44-INDEX(Mortality_Matrix!$B$4:$BS$64,MATCH($A110,Mortality_Matrix!$A$4:$A$64,0),MATCH(2048,Mortality_Matrix!$B$3:$BS$3,0)))/INDEX(Mortality_Matrix!$B$4:$BS$64,MATCH($A110,Mortality_Matrix!$A$4:$A$64,0),MATCH(2048,Mortality_Matrix!$B$3:$BS$3,0))</f>
        <v>9.33598899919645E-010</v>
      </c>
      <c r="AM110" s="27" t="n">
        <f aca="false">(AM44-INDEX(Mortality_Matrix!$B$4:$BS$64,MATCH($A110,Mortality_Matrix!$A$4:$A$64,0),MATCH(2049,Mortality_Matrix!$B$3:$BS$3,0)))/INDEX(Mortality_Matrix!$B$4:$BS$64,MATCH($A110,Mortality_Matrix!$A$4:$A$64,0),MATCH(2049,Mortality_Matrix!$B$3:$BS$3,0))</f>
        <v>-3.29455395179029E-010</v>
      </c>
      <c r="AN110" s="27" t="n">
        <f aca="false">(AN44-INDEX(Mortality_Matrix!$B$4:$BS$64,MATCH($A110,Mortality_Matrix!$A$4:$A$64,0),MATCH(2050,Mortality_Matrix!$B$3:$BS$3,0)))/INDEX(Mortality_Matrix!$B$4:$BS$64,MATCH($A110,Mortality_Matrix!$A$4:$A$64,0),MATCH(2050,Mortality_Matrix!$B$3:$BS$3,0))</f>
        <v>-1.33298563896856E-009</v>
      </c>
      <c r="AO110" s="27" t="n">
        <f aca="false">(AO44-INDEX(Mortality_Matrix!$B$4:$BS$64,MATCH($A110,Mortality_Matrix!$A$4:$A$64,0),MATCH(2051,Mortality_Matrix!$B$3:$BS$3,0)))/INDEX(Mortality_Matrix!$B$4:$BS$64,MATCH($A110,Mortality_Matrix!$A$4:$A$64,0),MATCH(2051,Mortality_Matrix!$B$3:$BS$3,0))</f>
        <v>-1.72919050738094E-009</v>
      </c>
      <c r="AP110" s="27" t="n">
        <f aca="false">(AP44-INDEX(Mortality_Matrix!$B$4:$BS$64,MATCH($A110,Mortality_Matrix!$A$4:$A$64,0),MATCH(2052,Mortality_Matrix!$B$3:$BS$3,0)))/INDEX(Mortality_Matrix!$B$4:$BS$64,MATCH($A110,Mortality_Matrix!$A$4:$A$64,0),MATCH(2052,Mortality_Matrix!$B$3:$BS$3,0))</f>
        <v>-1.00133058582705E-009</v>
      </c>
      <c r="AQ110" s="27" t="n">
        <f aca="false">(AQ44-INDEX(Mortality_Matrix!$B$4:$BS$64,MATCH($A110,Mortality_Matrix!$A$4:$A$64,0),MATCH(2053,Mortality_Matrix!$B$3:$BS$3,0)))/INDEX(Mortality_Matrix!$B$4:$BS$64,MATCH($A110,Mortality_Matrix!$A$4:$A$64,0),MATCH(2053,Mortality_Matrix!$B$3:$BS$3,0))</f>
        <v>7.29354110463991E-010</v>
      </c>
      <c r="AR110" s="27" t="n">
        <f aca="false">(AR44-INDEX(Mortality_Matrix!$B$4:$BS$64,MATCH($A110,Mortality_Matrix!$A$4:$A$64,0),MATCH(2054,Mortality_Matrix!$B$3:$BS$3,0)))/INDEX(Mortality_Matrix!$B$4:$BS$64,MATCH($A110,Mortality_Matrix!$A$4:$A$64,0),MATCH(2054,Mortality_Matrix!$B$3:$BS$3,0))</f>
        <v>1.83490779582988E-009</v>
      </c>
      <c r="AS110" s="27" t="n">
        <f aca="false">(AS44-INDEX(Mortality_Matrix!$B$4:$BS$64,MATCH($A110,Mortality_Matrix!$A$4:$A$64,0),MATCH(2055,Mortality_Matrix!$B$3:$BS$3,0)))/INDEX(Mortality_Matrix!$B$4:$BS$64,MATCH($A110,Mortality_Matrix!$A$4:$A$64,0),MATCH(2055,Mortality_Matrix!$B$3:$BS$3,0))</f>
        <v>-1.75272985224638E-009</v>
      </c>
      <c r="AT110" s="27" t="n">
        <f aca="false">(AT44-INDEX(Mortality_Matrix!$B$4:$BS$64,MATCH($A110,Mortality_Matrix!$A$4:$A$64,0),MATCH(2056,Mortality_Matrix!$B$3:$BS$3,0)))/INDEX(Mortality_Matrix!$B$4:$BS$64,MATCH($A110,Mortality_Matrix!$A$4:$A$64,0),MATCH(2056,Mortality_Matrix!$B$3:$BS$3,0))</f>
        <v>-1.26438065944746E-009</v>
      </c>
      <c r="AU110" s="27" t="n">
        <f aca="false">(AU44-INDEX(Mortality_Matrix!$B$4:$BS$64,MATCH($A110,Mortality_Matrix!$A$4:$A$64,0),MATCH(2057,Mortality_Matrix!$B$3:$BS$3,0)))/INDEX(Mortality_Matrix!$B$4:$BS$64,MATCH($A110,Mortality_Matrix!$A$4:$A$64,0),MATCH(2057,Mortality_Matrix!$B$3:$BS$3,0))</f>
        <v>2.84950752448339E-010</v>
      </c>
      <c r="AV110" s="27" t="n">
        <f aca="false">(AV44-INDEX(Mortality_Matrix!$B$4:$BS$64,MATCH($A110,Mortality_Matrix!$A$4:$A$64,0),MATCH(2058,Mortality_Matrix!$B$3:$BS$3,0)))/INDEX(Mortality_Matrix!$B$4:$BS$64,MATCH($A110,Mortality_Matrix!$A$4:$A$64,0),MATCH(2058,Mortality_Matrix!$B$3:$BS$3,0))</f>
        <v>-1.05727887071781E-009</v>
      </c>
      <c r="AW110" s="27" t="n">
        <f aca="false">(AW44-INDEX(Mortality_Matrix!$B$4:$BS$64,MATCH($A110,Mortality_Matrix!$A$4:$A$64,0),MATCH(2059,Mortality_Matrix!$B$3:$BS$3,0)))/INDEX(Mortality_Matrix!$B$4:$BS$64,MATCH($A110,Mortality_Matrix!$A$4:$A$64,0),MATCH(2059,Mortality_Matrix!$B$3:$BS$3,0))</f>
        <v>1.71064369781795E-009</v>
      </c>
      <c r="AX110" s="27" t="n">
        <f aca="false">(AX44-INDEX(Mortality_Matrix!$B$4:$BS$64,MATCH($A110,Mortality_Matrix!$A$4:$A$64,0),MATCH(2060,Mortality_Matrix!$B$3:$BS$3,0)))/INDEX(Mortality_Matrix!$B$4:$BS$64,MATCH($A110,Mortality_Matrix!$A$4:$A$64,0),MATCH(2060,Mortality_Matrix!$B$3:$BS$3,0))</f>
        <v>6.29846160303999E-010</v>
      </c>
      <c r="AY110" s="27" t="n">
        <f aca="false">(AY44-INDEX(Mortality_Matrix!$B$4:$BS$64,MATCH($A110,Mortality_Matrix!$A$4:$A$64,0),MATCH(2061,Mortality_Matrix!$B$3:$BS$3,0)))/INDEX(Mortality_Matrix!$B$4:$BS$64,MATCH($A110,Mortality_Matrix!$A$4:$A$64,0),MATCH(2061,Mortality_Matrix!$B$3:$BS$3,0))</f>
        <v>1.52959641776042E-009</v>
      </c>
      <c r="AZ110" s="27" t="n">
        <f aca="false">(AZ44-INDEX(Mortality_Matrix!$B$4:$BS$64,MATCH($A110,Mortality_Matrix!$A$4:$A$64,0),MATCH(2062,Mortality_Matrix!$B$3:$BS$3,0)))/INDEX(Mortality_Matrix!$B$4:$BS$64,MATCH($A110,Mortality_Matrix!$A$4:$A$64,0),MATCH(2062,Mortality_Matrix!$B$3:$BS$3,0))</f>
        <v>1.99746204366359E-009</v>
      </c>
      <c r="BA110" s="27" t="n">
        <f aca="false">(BA44-INDEX(Mortality_Matrix!$B$4:$BS$64,MATCH($A110,Mortality_Matrix!$A$4:$A$64,0),MATCH(2063,Mortality_Matrix!$B$3:$BS$3,0)))/INDEX(Mortality_Matrix!$B$4:$BS$64,MATCH($A110,Mortality_Matrix!$A$4:$A$64,0),MATCH(2063,Mortality_Matrix!$B$3:$BS$3,0))</f>
        <v>-1.03343008643131E-009</v>
      </c>
      <c r="BB110" s="27" t="n">
        <f aca="false">(BB44-INDEX(Mortality_Matrix!$B$4:$BS$64,MATCH($A110,Mortality_Matrix!$A$4:$A$64,0),MATCH(2064,Mortality_Matrix!$B$3:$BS$3,0)))/INDEX(Mortality_Matrix!$B$4:$BS$64,MATCH($A110,Mortality_Matrix!$A$4:$A$64,0),MATCH(2064,Mortality_Matrix!$B$3:$BS$3,0))</f>
        <v>1.63028313663958E-009</v>
      </c>
      <c r="BC110" s="27" t="n">
        <f aca="false">(BC44-INDEX(Mortality_Matrix!$B$4:$BS$64,MATCH($A110,Mortality_Matrix!$A$4:$A$64,0),MATCH(2065,Mortality_Matrix!$B$3:$BS$3,0)))/INDEX(Mortality_Matrix!$B$4:$BS$64,MATCH($A110,Mortality_Matrix!$A$4:$A$64,0),MATCH(2065,Mortality_Matrix!$B$3:$BS$3,0))</f>
        <v>-1.07399410391737E-009</v>
      </c>
      <c r="BD110" s="27" t="n">
        <f aca="false">(BD44-INDEX(Mortality_Matrix!$B$4:$BS$64,MATCH($A110,Mortality_Matrix!$A$4:$A$64,0),MATCH(2066,Mortality_Matrix!$B$3:$BS$3,0)))/INDEX(Mortality_Matrix!$B$4:$BS$64,MATCH($A110,Mortality_Matrix!$A$4:$A$64,0),MATCH(2066,Mortality_Matrix!$B$3:$BS$3,0))</f>
        <v>-2.45622862265578E-010</v>
      </c>
      <c r="BE110" s="27" t="n">
        <f aca="false">(BE44-INDEX(Mortality_Matrix!$B$4:$BS$64,MATCH($A110,Mortality_Matrix!$A$4:$A$64,0),MATCH(2067,Mortality_Matrix!$B$3:$BS$3,0)))/INDEX(Mortality_Matrix!$B$4:$BS$64,MATCH($A110,Mortality_Matrix!$A$4:$A$64,0),MATCH(2067,Mortality_Matrix!$B$3:$BS$3,0))</f>
        <v>6.67434308552071E-011</v>
      </c>
      <c r="BF110" s="27" t="n">
        <f aca="false">(BF44-INDEX(Mortality_Matrix!$B$4:$BS$64,MATCH($A110,Mortality_Matrix!$A$4:$A$64,0),MATCH(2068,Mortality_Matrix!$B$3:$BS$3,0)))/INDEX(Mortality_Matrix!$B$4:$BS$64,MATCH($A110,Mortality_Matrix!$A$4:$A$64,0),MATCH(2068,Mortality_Matrix!$B$3:$BS$3,0))</f>
        <v>5.54625106596819E-010</v>
      </c>
      <c r="BG110" s="27" t="n">
        <f aca="false">(BG44-INDEX(Mortality_Matrix!$B$4:$BS$64,MATCH($A110,Mortality_Matrix!$A$4:$A$64,0),MATCH(2069,Mortality_Matrix!$B$3:$BS$3,0)))/INDEX(Mortality_Matrix!$B$4:$BS$64,MATCH($A110,Mortality_Matrix!$A$4:$A$64,0),MATCH(2069,Mortality_Matrix!$B$3:$BS$3,0))</f>
        <v>1.2480608231382E-009</v>
      </c>
      <c r="BH110" s="27" t="n">
        <f aca="false">(BH44-INDEX(Mortality_Matrix!$B$4:$BS$64,MATCH($A110,Mortality_Matrix!$A$4:$A$64,0),MATCH(2070,Mortality_Matrix!$B$3:$BS$3,0)))/INDEX(Mortality_Matrix!$B$4:$BS$64,MATCH($A110,Mortality_Matrix!$A$4:$A$64,0),MATCH(2070,Mortality_Matrix!$B$3:$BS$3,0))</f>
        <v>6.44635775355608E-010</v>
      </c>
      <c r="BI110" s="27" t="n">
        <f aca="false">(BI44-INDEX(Mortality_Matrix!$B$4:$BS$64,MATCH($A110,Mortality_Matrix!$A$4:$A$64,0),MATCH(2071,Mortality_Matrix!$B$3:$BS$3,0)))/INDEX(Mortality_Matrix!$B$4:$BS$64,MATCH($A110,Mortality_Matrix!$A$4:$A$64,0),MATCH(2071,Mortality_Matrix!$B$3:$BS$3,0))</f>
        <v>-1.21131943352557E-010</v>
      </c>
      <c r="BJ110" s="27" t="n">
        <f aca="false">(BJ44-INDEX(Mortality_Matrix!$B$4:$BS$64,MATCH($A110,Mortality_Matrix!$A$4:$A$64,0),MATCH(2072,Mortality_Matrix!$B$3:$BS$3,0)))/INDEX(Mortality_Matrix!$B$4:$BS$64,MATCH($A110,Mortality_Matrix!$A$4:$A$64,0),MATCH(2072,Mortality_Matrix!$B$3:$BS$3,0))</f>
        <v>2.10749836239157E-009</v>
      </c>
      <c r="BK110" s="27" t="n">
        <f aca="false">(BK44-INDEX(Mortality_Matrix!$B$4:$BS$64,MATCH($A110,Mortality_Matrix!$A$4:$A$64,0),MATCH(2073,Mortality_Matrix!$B$3:$BS$3,0)))/INDEX(Mortality_Matrix!$B$4:$BS$64,MATCH($A110,Mortality_Matrix!$A$4:$A$64,0),MATCH(2073,Mortality_Matrix!$B$3:$BS$3,0))</f>
        <v>1.31823004628042E-009</v>
      </c>
      <c r="BL110" s="27" t="n">
        <f aca="false">(BL44-INDEX(Mortality_Matrix!$B$4:$BS$64,MATCH($A110,Mortality_Matrix!$A$4:$A$64,0),MATCH(2074,Mortality_Matrix!$B$3:$BS$3,0)))/INDEX(Mortality_Matrix!$B$4:$BS$64,MATCH($A110,Mortality_Matrix!$A$4:$A$64,0),MATCH(2074,Mortality_Matrix!$B$3:$BS$3,0))</f>
        <v>2.17293678135584E-009</v>
      </c>
      <c r="BM110" s="27" t="n">
        <f aca="false">(BM44-INDEX(Mortality_Matrix!$B$4:$BS$64,MATCH($A110,Mortality_Matrix!$A$4:$A$64,0),MATCH(2075,Mortality_Matrix!$B$3:$BS$3,0)))/INDEX(Mortality_Matrix!$B$4:$BS$64,MATCH($A110,Mortality_Matrix!$A$4:$A$64,0),MATCH(2075,Mortality_Matrix!$B$3:$BS$3,0))</f>
        <v>-1.67758203068028E-009</v>
      </c>
      <c r="BN110" s="27" t="n">
        <f aca="false">(BN44-INDEX(Mortality_Matrix!$B$4:$BS$64,MATCH($A110,Mortality_Matrix!$A$4:$A$64,0),MATCH(2076,Mortality_Matrix!$B$3:$BS$3,0)))/INDEX(Mortality_Matrix!$B$4:$BS$64,MATCH($A110,Mortality_Matrix!$A$4:$A$64,0),MATCH(2076,Mortality_Matrix!$B$3:$BS$3,0))</f>
        <v>-1.73264063156058E-009</v>
      </c>
      <c r="BO110" s="27" t="n">
        <f aca="false">(BO44-INDEX(Mortality_Matrix!$B$4:$BS$64,MATCH($A110,Mortality_Matrix!$A$4:$A$64,0),MATCH(2077,Mortality_Matrix!$B$3:$BS$3,0)))/INDEX(Mortality_Matrix!$B$4:$BS$64,MATCH($A110,Mortality_Matrix!$A$4:$A$64,0),MATCH(2077,Mortality_Matrix!$B$3:$BS$3,0))</f>
        <v>-2.26366216645889E-009</v>
      </c>
      <c r="BP110" s="27" t="n">
        <f aca="false">(BP44-INDEX(Mortality_Matrix!$B$4:$BS$64,MATCH($A110,Mortality_Matrix!$A$4:$A$64,0),MATCH(2078,Mortality_Matrix!$B$3:$BS$3,0)))/INDEX(Mortality_Matrix!$B$4:$BS$64,MATCH($A110,Mortality_Matrix!$A$4:$A$64,0),MATCH(2078,Mortality_Matrix!$B$3:$BS$3,0))</f>
        <v>5.7374866465718E-010</v>
      </c>
      <c r="BQ110" s="27" t="n">
        <f aca="false">(BQ44-INDEX(Mortality_Matrix!$B$4:$BS$64,MATCH($A110,Mortality_Matrix!$A$4:$A$64,0),MATCH(2079,Mortality_Matrix!$B$3:$BS$3,0)))/INDEX(Mortality_Matrix!$B$4:$BS$64,MATCH($A110,Mortality_Matrix!$A$4:$A$64,0),MATCH(2079,Mortality_Matrix!$B$3:$BS$3,0))</f>
        <v>1.26509738838852E-009</v>
      </c>
      <c r="BR110" s="27" t="n">
        <f aca="false">(BR44-INDEX(Mortality_Matrix!$B$4:$BS$64,MATCH($A110,Mortality_Matrix!$A$4:$A$64,0),MATCH(2080,Mortality_Matrix!$B$3:$BS$3,0)))/INDEX(Mortality_Matrix!$B$4:$BS$64,MATCH($A110,Mortality_Matrix!$A$4:$A$64,0),MATCH(2080,Mortality_Matrix!$B$3:$BS$3,0))</f>
        <v>9.43403938240728E-010</v>
      </c>
      <c r="BS110" s="27" t="n">
        <f aca="false">(BS44-INDEX(Mortality_Matrix!$B$4:$BS$64,MATCH($A110,Mortality_Matrix!$A$4:$A$64,0),MATCH(2081,Mortality_Matrix!$B$3:$BS$3,0)))/INDEX(Mortality_Matrix!$B$4:$BS$64,MATCH($A110,Mortality_Matrix!$A$4:$A$64,0),MATCH(2081,Mortality_Matrix!$B$3:$BS$3,0))</f>
        <v>1.15123540588352E-009</v>
      </c>
      <c r="BT110" s="27" t="n">
        <f aca="false">(BT44-INDEX(Mortality_Matrix!$B$4:$BS$64,MATCH($A110,Mortality_Matrix!$A$4:$A$64,0),MATCH(2082,Mortality_Matrix!$B$3:$BS$3,0)))/INDEX(Mortality_Matrix!$B$4:$BS$64,MATCH($A110,Mortality_Matrix!$A$4:$A$64,0),MATCH(2082,Mortality_Matrix!$B$3:$BS$3,0))</f>
        <v>-2.97826823302448E-009</v>
      </c>
      <c r="BU110" s="27" t="n">
        <f aca="false">(BU44-INDEX(Mortality_Matrix!$B$4:$BS$64,MATCH($A110,Mortality_Matrix!$A$4:$A$64,0),MATCH(2083,Mortality_Matrix!$B$3:$BS$3,0)))/INDEX(Mortality_Matrix!$B$4:$BS$64,MATCH($A110,Mortality_Matrix!$A$4:$A$64,0),MATCH(2083,Mortality_Matrix!$B$3:$BS$3,0))</f>
        <v>4.49086694311544E-010</v>
      </c>
      <c r="BV110" s="27" t="n">
        <f aca="false">(BV44-INDEX(Mortality_Matrix!$B$4:$BS$64,MATCH($A110,Mortality_Matrix!$A$4:$A$64,0),MATCH(2084,Mortality_Matrix!$B$3:$BS$3,0)))/INDEX(Mortality_Matrix!$B$4:$BS$64,MATCH($A110,Mortality_Matrix!$A$4:$A$64,0),MATCH(2084,Mortality_Matrix!$B$3:$BS$3,0))</f>
        <v>-2.93725941204706E-009</v>
      </c>
      <c r="BW110" s="27" t="n">
        <f aca="false">(BW44-INDEX(Mortality_Matrix!$B$4:$BS$64,MATCH($A110,Mortality_Matrix!$A$4:$A$64,0),MATCH(2085,Mortality_Matrix!$B$3:$BS$3,0)))/INDEX(Mortality_Matrix!$B$4:$BS$64,MATCH($A110,Mortality_Matrix!$A$4:$A$64,0),MATCH(2085,Mortality_Matrix!$B$3:$BS$3,0))</f>
        <v>1.53709712624546E-010</v>
      </c>
      <c r="BX110" s="27" t="n">
        <f aca="false">(BX44-INDEX(Mortality_Matrix!$B$4:$BS$64,MATCH($A110,Mortality_Matrix!$A$4:$A$64,0),MATCH(2086,Mortality_Matrix!$B$3:$BS$3,0)))/INDEX(Mortality_Matrix!$B$4:$BS$64,MATCH($A110,Mortality_Matrix!$A$4:$A$64,0),MATCH(2086,Mortality_Matrix!$B$3:$BS$3,0))</f>
        <v>7.62105170432969E-010</v>
      </c>
      <c r="BY110" s="27" t="n">
        <f aca="false">(BY44-INDEX(Mortality_Matrix!$B$4:$BS$64,MATCH($A110,Mortality_Matrix!$A$4:$A$64,0),MATCH(2087,Mortality_Matrix!$B$3:$BS$3,0)))/INDEX(Mortality_Matrix!$B$4:$BS$64,MATCH($A110,Mortality_Matrix!$A$4:$A$64,0),MATCH(2087,Mortality_Matrix!$B$3:$BS$3,0))</f>
        <v>-2.35870522127432E-009</v>
      </c>
      <c r="BZ110" s="27" t="n">
        <f aca="false">(BZ44-INDEX(Mortality_Matrix!$B$4:$BS$64,MATCH($A110,Mortality_Matrix!$A$4:$A$64,0),MATCH(2088,Mortality_Matrix!$B$3:$BS$3,0)))/INDEX(Mortality_Matrix!$B$4:$BS$64,MATCH($A110,Mortality_Matrix!$A$4:$A$64,0),MATCH(2088,Mortality_Matrix!$B$3:$BS$3,0))</f>
        <v>-2.95276809296289E-009</v>
      </c>
      <c r="CA110" s="27" t="n">
        <f aca="false">(CA44-INDEX(Mortality_Matrix!$B$4:$BS$64,MATCH($A110,Mortality_Matrix!$A$4:$A$64,0),MATCH(2089,Mortality_Matrix!$B$3:$BS$3,0)))/INDEX(Mortality_Matrix!$B$4:$BS$64,MATCH($A110,Mortality_Matrix!$A$4:$A$64,0),MATCH(2089,Mortality_Matrix!$B$3:$BS$3,0))</f>
        <v>-9.08896964922334E-010</v>
      </c>
      <c r="CB110" s="27" t="n">
        <f aca="false">(CB44-INDEX(Mortality_Matrix!$B$4:$BS$64,MATCH($A110,Mortality_Matrix!$A$4:$A$64,0),MATCH(2090,Mortality_Matrix!$B$3:$BS$3,0)))/INDEX(Mortality_Matrix!$B$4:$BS$64,MATCH($A110,Mortality_Matrix!$A$4:$A$64,0),MATCH(2090,Mortality_Matrix!$B$3:$BS$3,0))</f>
        <v>3.24109536593084E-009</v>
      </c>
      <c r="CC110" s="27" t="n">
        <f aca="false">(CC44-INDEX(Mortality_Matrix!$B$4:$BS$64,MATCH($A110,Mortality_Matrix!$A$4:$A$64,0),MATCH(2091,Mortality_Matrix!$B$3:$BS$3,0)))/INDEX(Mortality_Matrix!$B$4:$BS$64,MATCH($A110,Mortality_Matrix!$A$4:$A$64,0),MATCH(2091,Mortality_Matrix!$B$3:$BS$3,0))</f>
        <v>5.47416401372731E-010</v>
      </c>
    </row>
    <row r="111" customFormat="false" ht="15" hidden="false" customHeight="true" outlineLevel="0" collapsed="false">
      <c r="A111" s="3" t="n">
        <v>82</v>
      </c>
      <c r="L111" s="27" t="n">
        <f aca="false">(L45-INDEX(Mortality_Matrix!$B$4:$BS$64,MATCH($A111,Mortality_Matrix!$A$4:$A$64,0),MATCH(2022,Mortality_Matrix!$B$3:$BS$3,0)))/INDEX(Mortality_Matrix!$B$4:$BS$64,MATCH($A111,Mortality_Matrix!$A$4:$A$64,0),MATCH(2022,Mortality_Matrix!$B$3:$BS$3,0))</f>
        <v>-7.15559647033097E-010</v>
      </c>
      <c r="M111" s="27" t="n">
        <f aca="false">(M45-INDEX(Mortality_Matrix!$B$4:$BS$64,MATCH($A111,Mortality_Matrix!$A$4:$A$64,0),MATCH(2023,Mortality_Matrix!$B$3:$BS$3,0)))/INDEX(Mortality_Matrix!$B$4:$BS$64,MATCH($A111,Mortality_Matrix!$A$4:$A$64,0),MATCH(2023,Mortality_Matrix!$B$3:$BS$3,0))</f>
        <v>-2.40955568231994E-010</v>
      </c>
      <c r="N111" s="27" t="n">
        <f aca="false">(N45-INDEX(Mortality_Matrix!$B$4:$BS$64,MATCH($A111,Mortality_Matrix!$A$4:$A$64,0),MATCH(2024,Mortality_Matrix!$B$3:$BS$3,0)))/INDEX(Mortality_Matrix!$B$4:$BS$64,MATCH($A111,Mortality_Matrix!$A$4:$A$64,0),MATCH(2024,Mortality_Matrix!$B$3:$BS$3,0))</f>
        <v>-8.55448480912765E-010</v>
      </c>
      <c r="O111" s="27" t="n">
        <f aca="false">(O45-INDEX(Mortality_Matrix!$B$4:$BS$64,MATCH($A111,Mortality_Matrix!$A$4:$A$64,0),MATCH(2025,Mortality_Matrix!$B$3:$BS$3,0)))/INDEX(Mortality_Matrix!$B$4:$BS$64,MATCH($A111,Mortality_Matrix!$A$4:$A$64,0),MATCH(2025,Mortality_Matrix!$B$3:$BS$3,0))</f>
        <v>4.15503133969035E-010</v>
      </c>
      <c r="P111" s="27" t="n">
        <f aca="false">(P45-INDEX(Mortality_Matrix!$B$4:$BS$64,MATCH($A111,Mortality_Matrix!$A$4:$A$64,0),MATCH(2026,Mortality_Matrix!$B$3:$BS$3,0)))/INDEX(Mortality_Matrix!$B$4:$BS$64,MATCH($A111,Mortality_Matrix!$A$4:$A$64,0),MATCH(2026,Mortality_Matrix!$B$3:$BS$3,0))</f>
        <v>-5.76696629987926E-010</v>
      </c>
      <c r="Q111" s="27" t="n">
        <f aca="false">(Q45-INDEX(Mortality_Matrix!$B$4:$BS$64,MATCH($A111,Mortality_Matrix!$A$4:$A$64,0),MATCH(2027,Mortality_Matrix!$B$3:$BS$3,0)))/INDEX(Mortality_Matrix!$B$4:$BS$64,MATCH($A111,Mortality_Matrix!$A$4:$A$64,0),MATCH(2027,Mortality_Matrix!$B$3:$BS$3,0))</f>
        <v>6.24581988757076E-010</v>
      </c>
      <c r="R111" s="27" t="n">
        <f aca="false">(R45-INDEX(Mortality_Matrix!$B$4:$BS$64,MATCH($A111,Mortality_Matrix!$A$4:$A$64,0),MATCH(2028,Mortality_Matrix!$B$3:$BS$3,0)))/INDEX(Mortality_Matrix!$B$4:$BS$64,MATCH($A111,Mortality_Matrix!$A$4:$A$64,0),MATCH(2028,Mortality_Matrix!$B$3:$BS$3,0))</f>
        <v>-1.07963812633687E-009</v>
      </c>
      <c r="S111" s="27" t="n">
        <f aca="false">(S45-INDEX(Mortality_Matrix!$B$4:$BS$64,MATCH($A111,Mortality_Matrix!$A$4:$A$64,0),MATCH(2029,Mortality_Matrix!$B$3:$BS$3,0)))/INDEX(Mortality_Matrix!$B$4:$BS$64,MATCH($A111,Mortality_Matrix!$A$4:$A$64,0),MATCH(2029,Mortality_Matrix!$B$3:$BS$3,0))</f>
        <v>-1.06045698727011E-009</v>
      </c>
      <c r="T111" s="27" t="n">
        <f aca="false">(T45-INDEX(Mortality_Matrix!$B$4:$BS$64,MATCH($A111,Mortality_Matrix!$A$4:$A$64,0),MATCH(2030,Mortality_Matrix!$B$3:$BS$3,0)))/INDEX(Mortality_Matrix!$B$4:$BS$64,MATCH($A111,Mortality_Matrix!$A$4:$A$64,0),MATCH(2030,Mortality_Matrix!$B$3:$BS$3,0))</f>
        <v>-3.20622208618089E-010</v>
      </c>
      <c r="U111" s="27" t="n">
        <f aca="false">(U45-INDEX(Mortality_Matrix!$B$4:$BS$64,MATCH($A111,Mortality_Matrix!$A$4:$A$64,0),MATCH(2031,Mortality_Matrix!$B$3:$BS$3,0)))/INDEX(Mortality_Matrix!$B$4:$BS$64,MATCH($A111,Mortality_Matrix!$A$4:$A$64,0),MATCH(2031,Mortality_Matrix!$B$3:$BS$3,0))</f>
        <v>-5.93145648916402E-010</v>
      </c>
      <c r="V111" s="27" t="n">
        <f aca="false">(V45-INDEX(Mortality_Matrix!$B$4:$BS$64,MATCH($A111,Mortality_Matrix!$A$4:$A$64,0),MATCH(2032,Mortality_Matrix!$B$3:$BS$3,0)))/INDEX(Mortality_Matrix!$B$4:$BS$64,MATCH($A111,Mortality_Matrix!$A$4:$A$64,0),MATCH(2032,Mortality_Matrix!$B$3:$BS$3,0))</f>
        <v>1.15859436316661E-009</v>
      </c>
      <c r="W111" s="27" t="n">
        <f aca="false">(W45-INDEX(Mortality_Matrix!$B$4:$BS$64,MATCH($A111,Mortality_Matrix!$A$4:$A$64,0),MATCH(2033,Mortality_Matrix!$B$3:$BS$3,0)))/INDEX(Mortality_Matrix!$B$4:$BS$64,MATCH($A111,Mortality_Matrix!$A$4:$A$64,0),MATCH(2033,Mortality_Matrix!$B$3:$BS$3,0))</f>
        <v>-7.74681897902685E-011</v>
      </c>
      <c r="X111" s="27" t="n">
        <f aca="false">(X45-INDEX(Mortality_Matrix!$B$4:$BS$64,MATCH($A111,Mortality_Matrix!$A$4:$A$64,0),MATCH(2034,Mortality_Matrix!$B$3:$BS$3,0)))/INDEX(Mortality_Matrix!$B$4:$BS$64,MATCH($A111,Mortality_Matrix!$A$4:$A$64,0),MATCH(2034,Mortality_Matrix!$B$3:$BS$3,0))</f>
        <v>7.4204905935824E-010</v>
      </c>
      <c r="Y111" s="27" t="n">
        <f aca="false">(Y45-INDEX(Mortality_Matrix!$B$4:$BS$64,MATCH($A111,Mortality_Matrix!$A$4:$A$64,0),MATCH(2035,Mortality_Matrix!$B$3:$BS$3,0)))/INDEX(Mortality_Matrix!$B$4:$BS$64,MATCH($A111,Mortality_Matrix!$A$4:$A$64,0),MATCH(2035,Mortality_Matrix!$B$3:$BS$3,0))</f>
        <v>3.52050403327962E-010</v>
      </c>
      <c r="Z111" s="27" t="n">
        <f aca="false">(Z45-INDEX(Mortality_Matrix!$B$4:$BS$64,MATCH($A111,Mortality_Matrix!$A$4:$A$64,0),MATCH(2036,Mortality_Matrix!$B$3:$BS$3,0)))/INDEX(Mortality_Matrix!$B$4:$BS$64,MATCH($A111,Mortality_Matrix!$A$4:$A$64,0),MATCH(2036,Mortality_Matrix!$B$3:$BS$3,0))</f>
        <v>-1.08652343389179E-009</v>
      </c>
      <c r="AA111" s="27" t="n">
        <f aca="false">(AA45-INDEX(Mortality_Matrix!$B$4:$BS$64,MATCH($A111,Mortality_Matrix!$A$4:$A$64,0),MATCH(2037,Mortality_Matrix!$B$3:$BS$3,0)))/INDEX(Mortality_Matrix!$B$4:$BS$64,MATCH($A111,Mortality_Matrix!$A$4:$A$64,0),MATCH(2037,Mortality_Matrix!$B$3:$BS$3,0))</f>
        <v>-5.37168178661852E-010</v>
      </c>
      <c r="AB111" s="27" t="n">
        <f aca="false">(AB45-INDEX(Mortality_Matrix!$B$4:$BS$64,MATCH($A111,Mortality_Matrix!$A$4:$A$64,0),MATCH(2038,Mortality_Matrix!$B$3:$BS$3,0)))/INDEX(Mortality_Matrix!$B$4:$BS$64,MATCH($A111,Mortality_Matrix!$A$4:$A$64,0),MATCH(2038,Mortality_Matrix!$B$3:$BS$3,0))</f>
        <v>-8.50036201945514E-010</v>
      </c>
      <c r="AC111" s="27" t="n">
        <f aca="false">(AC45-INDEX(Mortality_Matrix!$B$4:$BS$64,MATCH($A111,Mortality_Matrix!$A$4:$A$64,0),MATCH(2039,Mortality_Matrix!$B$3:$BS$3,0)))/INDEX(Mortality_Matrix!$B$4:$BS$64,MATCH($A111,Mortality_Matrix!$A$4:$A$64,0),MATCH(2039,Mortality_Matrix!$B$3:$BS$3,0))</f>
        <v>-9.88137099279529E-010</v>
      </c>
      <c r="AD111" s="27" t="n">
        <f aca="false">(AD45-INDEX(Mortality_Matrix!$B$4:$BS$64,MATCH($A111,Mortality_Matrix!$A$4:$A$64,0),MATCH(2040,Mortality_Matrix!$B$3:$BS$3,0)))/INDEX(Mortality_Matrix!$B$4:$BS$64,MATCH($A111,Mortality_Matrix!$A$4:$A$64,0),MATCH(2040,Mortality_Matrix!$B$3:$BS$3,0))</f>
        <v>6.52250818734484E-010</v>
      </c>
      <c r="AE111" s="27" t="n">
        <f aca="false">(AE45-INDEX(Mortality_Matrix!$B$4:$BS$64,MATCH($A111,Mortality_Matrix!$A$4:$A$64,0),MATCH(2041,Mortality_Matrix!$B$3:$BS$3,0)))/INDEX(Mortality_Matrix!$B$4:$BS$64,MATCH($A111,Mortality_Matrix!$A$4:$A$64,0),MATCH(2041,Mortality_Matrix!$B$3:$BS$3,0))</f>
        <v>-2.30252087731323E-010</v>
      </c>
      <c r="AF111" s="27" t="n">
        <f aca="false">(AF45-INDEX(Mortality_Matrix!$B$4:$BS$64,MATCH($A111,Mortality_Matrix!$A$4:$A$64,0),MATCH(2042,Mortality_Matrix!$B$3:$BS$3,0)))/INDEX(Mortality_Matrix!$B$4:$BS$64,MATCH($A111,Mortality_Matrix!$A$4:$A$64,0),MATCH(2042,Mortality_Matrix!$B$3:$BS$3,0))</f>
        <v>-6.63772363933827E-010</v>
      </c>
      <c r="AG111" s="27" t="n">
        <f aca="false">(AG45-INDEX(Mortality_Matrix!$B$4:$BS$64,MATCH($A111,Mortality_Matrix!$A$4:$A$64,0),MATCH(2043,Mortality_Matrix!$B$3:$BS$3,0)))/INDEX(Mortality_Matrix!$B$4:$BS$64,MATCH($A111,Mortality_Matrix!$A$4:$A$64,0),MATCH(2043,Mortality_Matrix!$B$3:$BS$3,0))</f>
        <v>5.39228368053469E-010</v>
      </c>
      <c r="AH111" s="27" t="n">
        <f aca="false">(AH45-INDEX(Mortality_Matrix!$B$4:$BS$64,MATCH($A111,Mortality_Matrix!$A$4:$A$64,0),MATCH(2044,Mortality_Matrix!$B$3:$BS$3,0)))/INDEX(Mortality_Matrix!$B$4:$BS$64,MATCH($A111,Mortality_Matrix!$A$4:$A$64,0),MATCH(2044,Mortality_Matrix!$B$3:$BS$3,0))</f>
        <v>-1.15870493277772E-009</v>
      </c>
      <c r="AI111" s="27" t="n">
        <f aca="false">(AI45-INDEX(Mortality_Matrix!$B$4:$BS$64,MATCH($A111,Mortality_Matrix!$A$4:$A$64,0),MATCH(2045,Mortality_Matrix!$B$3:$BS$3,0)))/INDEX(Mortality_Matrix!$B$4:$BS$64,MATCH($A111,Mortality_Matrix!$A$4:$A$64,0),MATCH(2045,Mortality_Matrix!$B$3:$BS$3,0))</f>
        <v>8.67504726758598E-010</v>
      </c>
      <c r="AJ111" s="27" t="n">
        <f aca="false">(AJ45-INDEX(Mortality_Matrix!$B$4:$BS$64,MATCH($A111,Mortality_Matrix!$A$4:$A$64,0),MATCH(2046,Mortality_Matrix!$B$3:$BS$3,0)))/INDEX(Mortality_Matrix!$B$4:$BS$64,MATCH($A111,Mortality_Matrix!$A$4:$A$64,0),MATCH(2046,Mortality_Matrix!$B$3:$BS$3,0))</f>
        <v>-1.14974493242474E-010</v>
      </c>
      <c r="AK111" s="27" t="n">
        <f aca="false">(AK45-INDEX(Mortality_Matrix!$B$4:$BS$64,MATCH($A111,Mortality_Matrix!$A$4:$A$64,0),MATCH(2047,Mortality_Matrix!$B$3:$BS$3,0)))/INDEX(Mortality_Matrix!$B$4:$BS$64,MATCH($A111,Mortality_Matrix!$A$4:$A$64,0),MATCH(2047,Mortality_Matrix!$B$3:$BS$3,0))</f>
        <v>-1.11241520588044E-009</v>
      </c>
      <c r="AL111" s="27" t="n">
        <f aca="false">(AL45-INDEX(Mortality_Matrix!$B$4:$BS$64,MATCH($A111,Mortality_Matrix!$A$4:$A$64,0),MATCH(2048,Mortality_Matrix!$B$3:$BS$3,0)))/INDEX(Mortality_Matrix!$B$4:$BS$64,MATCH($A111,Mortality_Matrix!$A$4:$A$64,0),MATCH(2048,Mortality_Matrix!$B$3:$BS$3,0))</f>
        <v>1.0394238241878E-009</v>
      </c>
      <c r="AM111" s="27" t="n">
        <f aca="false">(AM45-INDEX(Mortality_Matrix!$B$4:$BS$64,MATCH($A111,Mortality_Matrix!$A$4:$A$64,0),MATCH(2049,Mortality_Matrix!$B$3:$BS$3,0)))/INDEX(Mortality_Matrix!$B$4:$BS$64,MATCH($A111,Mortality_Matrix!$A$4:$A$64,0),MATCH(2049,Mortality_Matrix!$B$3:$BS$3,0))</f>
        <v>-7.75728570063656E-010</v>
      </c>
      <c r="AN111" s="27" t="n">
        <f aca="false">(AN45-INDEX(Mortality_Matrix!$B$4:$BS$64,MATCH($A111,Mortality_Matrix!$A$4:$A$64,0),MATCH(2050,Mortality_Matrix!$B$3:$BS$3,0)))/INDEX(Mortality_Matrix!$B$4:$BS$64,MATCH($A111,Mortality_Matrix!$A$4:$A$64,0),MATCH(2050,Mortality_Matrix!$B$3:$BS$3,0))</f>
        <v>5.28904507868886E-010</v>
      </c>
      <c r="AO111" s="27" t="n">
        <f aca="false">(AO45-INDEX(Mortality_Matrix!$B$4:$BS$64,MATCH($A111,Mortality_Matrix!$A$4:$A$64,0),MATCH(2051,Mortality_Matrix!$B$3:$BS$3,0)))/INDEX(Mortality_Matrix!$B$4:$BS$64,MATCH($A111,Mortality_Matrix!$A$4:$A$64,0),MATCH(2051,Mortality_Matrix!$B$3:$BS$3,0))</f>
        <v>3.22167361763662E-011</v>
      </c>
      <c r="AP111" s="27" t="n">
        <f aca="false">(AP45-INDEX(Mortality_Matrix!$B$4:$BS$64,MATCH($A111,Mortality_Matrix!$A$4:$A$64,0),MATCH(2052,Mortality_Matrix!$B$3:$BS$3,0)))/INDEX(Mortality_Matrix!$B$4:$BS$64,MATCH($A111,Mortality_Matrix!$A$4:$A$64,0),MATCH(2052,Mortality_Matrix!$B$3:$BS$3,0))</f>
        <v>-7.7458572067762E-010</v>
      </c>
      <c r="AQ111" s="27" t="n">
        <f aca="false">(AQ45-INDEX(Mortality_Matrix!$B$4:$BS$64,MATCH($A111,Mortality_Matrix!$A$4:$A$64,0),MATCH(2053,Mortality_Matrix!$B$3:$BS$3,0)))/INDEX(Mortality_Matrix!$B$4:$BS$64,MATCH($A111,Mortality_Matrix!$A$4:$A$64,0),MATCH(2053,Mortality_Matrix!$B$3:$BS$3,0))</f>
        <v>-1.13293711108142E-009</v>
      </c>
      <c r="AR111" s="27" t="n">
        <f aca="false">(AR45-INDEX(Mortality_Matrix!$B$4:$BS$64,MATCH($A111,Mortality_Matrix!$A$4:$A$64,0),MATCH(2054,Mortality_Matrix!$B$3:$BS$3,0)))/INDEX(Mortality_Matrix!$B$4:$BS$64,MATCH($A111,Mortality_Matrix!$A$4:$A$64,0),MATCH(2054,Mortality_Matrix!$B$3:$BS$3,0))</f>
        <v>1.56963994099927E-009</v>
      </c>
      <c r="AS111" s="27" t="n">
        <f aca="false">(AS45-INDEX(Mortality_Matrix!$B$4:$BS$64,MATCH($A111,Mortality_Matrix!$A$4:$A$64,0),MATCH(2055,Mortality_Matrix!$B$3:$BS$3,0)))/INDEX(Mortality_Matrix!$B$4:$BS$64,MATCH($A111,Mortality_Matrix!$A$4:$A$64,0),MATCH(2055,Mortality_Matrix!$B$3:$BS$3,0))</f>
        <v>5.67122165984757E-010</v>
      </c>
      <c r="AT111" s="27" t="n">
        <f aca="false">(AT45-INDEX(Mortality_Matrix!$B$4:$BS$64,MATCH($A111,Mortality_Matrix!$A$4:$A$64,0),MATCH(2056,Mortality_Matrix!$B$3:$BS$3,0)))/INDEX(Mortality_Matrix!$B$4:$BS$64,MATCH($A111,Mortality_Matrix!$A$4:$A$64,0),MATCH(2056,Mortality_Matrix!$B$3:$BS$3,0))</f>
        <v>-3.97094882451292E-010</v>
      </c>
      <c r="AU111" s="27" t="n">
        <f aca="false">(AU45-INDEX(Mortality_Matrix!$B$4:$BS$64,MATCH($A111,Mortality_Matrix!$A$4:$A$64,0),MATCH(2057,Mortality_Matrix!$B$3:$BS$3,0)))/INDEX(Mortality_Matrix!$B$4:$BS$64,MATCH($A111,Mortality_Matrix!$A$4:$A$64,0),MATCH(2057,Mortality_Matrix!$B$3:$BS$3,0))</f>
        <v>-1.57540107070255E-009</v>
      </c>
      <c r="AV111" s="27" t="n">
        <f aca="false">(AV45-INDEX(Mortality_Matrix!$B$4:$BS$64,MATCH($A111,Mortality_Matrix!$A$4:$A$64,0),MATCH(2058,Mortality_Matrix!$B$3:$BS$3,0)))/INDEX(Mortality_Matrix!$B$4:$BS$64,MATCH($A111,Mortality_Matrix!$A$4:$A$64,0),MATCH(2058,Mortality_Matrix!$B$3:$BS$3,0))</f>
        <v>-9.8647799520478E-010</v>
      </c>
      <c r="AW111" s="27" t="n">
        <f aca="false">(AW45-INDEX(Mortality_Matrix!$B$4:$BS$64,MATCH($A111,Mortality_Matrix!$A$4:$A$64,0),MATCH(2059,Mortality_Matrix!$B$3:$BS$3,0)))/INDEX(Mortality_Matrix!$B$4:$BS$64,MATCH($A111,Mortality_Matrix!$A$4:$A$64,0),MATCH(2059,Mortality_Matrix!$B$3:$BS$3,0))</f>
        <v>1.19956253513697E-009</v>
      </c>
      <c r="AX111" s="27" t="n">
        <f aca="false">(AX45-INDEX(Mortality_Matrix!$B$4:$BS$64,MATCH($A111,Mortality_Matrix!$A$4:$A$64,0),MATCH(2060,Mortality_Matrix!$B$3:$BS$3,0)))/INDEX(Mortality_Matrix!$B$4:$BS$64,MATCH($A111,Mortality_Matrix!$A$4:$A$64,0),MATCH(2060,Mortality_Matrix!$B$3:$BS$3,0))</f>
        <v>1.6737784594605E-009</v>
      </c>
      <c r="AY111" s="27" t="n">
        <f aca="false">(AY45-INDEX(Mortality_Matrix!$B$4:$BS$64,MATCH($A111,Mortality_Matrix!$A$4:$A$64,0),MATCH(2061,Mortality_Matrix!$B$3:$BS$3,0)))/INDEX(Mortality_Matrix!$B$4:$BS$64,MATCH($A111,Mortality_Matrix!$A$4:$A$64,0),MATCH(2061,Mortality_Matrix!$B$3:$BS$3,0))</f>
        <v>6.33873466547677E-010</v>
      </c>
      <c r="AZ111" s="27" t="n">
        <f aca="false">(AZ45-INDEX(Mortality_Matrix!$B$4:$BS$64,MATCH($A111,Mortality_Matrix!$A$4:$A$64,0),MATCH(2062,Mortality_Matrix!$B$3:$BS$3,0)))/INDEX(Mortality_Matrix!$B$4:$BS$64,MATCH($A111,Mortality_Matrix!$A$4:$A$64,0),MATCH(2062,Mortality_Matrix!$B$3:$BS$3,0))</f>
        <v>1.23994687088893E-009</v>
      </c>
      <c r="BA111" s="27" t="n">
        <f aca="false">(BA45-INDEX(Mortality_Matrix!$B$4:$BS$64,MATCH($A111,Mortality_Matrix!$A$4:$A$64,0),MATCH(2063,Mortality_Matrix!$B$3:$BS$3,0)))/INDEX(Mortality_Matrix!$B$4:$BS$64,MATCH($A111,Mortality_Matrix!$A$4:$A$64,0),MATCH(2063,Mortality_Matrix!$B$3:$BS$3,0))</f>
        <v>1.08115889785424E-009</v>
      </c>
      <c r="BB111" s="27" t="n">
        <f aca="false">(BB45-INDEX(Mortality_Matrix!$B$4:$BS$64,MATCH($A111,Mortality_Matrix!$A$4:$A$64,0),MATCH(2064,Mortality_Matrix!$B$3:$BS$3,0)))/INDEX(Mortality_Matrix!$B$4:$BS$64,MATCH($A111,Mortality_Matrix!$A$4:$A$64,0),MATCH(2064,Mortality_Matrix!$B$3:$BS$3,0))</f>
        <v>-1.01451876671526E-009</v>
      </c>
      <c r="BC111" s="27" t="n">
        <f aca="false">(BC45-INDEX(Mortality_Matrix!$B$4:$BS$64,MATCH($A111,Mortality_Matrix!$A$4:$A$64,0),MATCH(2065,Mortality_Matrix!$B$3:$BS$3,0)))/INDEX(Mortality_Matrix!$B$4:$BS$64,MATCH($A111,Mortality_Matrix!$A$4:$A$64,0),MATCH(2065,Mortality_Matrix!$B$3:$BS$3,0))</f>
        <v>-1.60778965328926E-009</v>
      </c>
      <c r="BD111" s="27" t="n">
        <f aca="false">(BD45-INDEX(Mortality_Matrix!$B$4:$BS$64,MATCH($A111,Mortality_Matrix!$A$4:$A$64,0),MATCH(2066,Mortality_Matrix!$B$3:$BS$3,0)))/INDEX(Mortality_Matrix!$B$4:$BS$64,MATCH($A111,Mortality_Matrix!$A$4:$A$64,0),MATCH(2066,Mortality_Matrix!$B$3:$BS$3,0))</f>
        <v>-1.42086725085382E-009</v>
      </c>
      <c r="BE111" s="27" t="n">
        <f aca="false">(BE45-INDEX(Mortality_Matrix!$B$4:$BS$64,MATCH($A111,Mortality_Matrix!$A$4:$A$64,0),MATCH(2067,Mortality_Matrix!$B$3:$BS$3,0)))/INDEX(Mortality_Matrix!$B$4:$BS$64,MATCH($A111,Mortality_Matrix!$A$4:$A$64,0),MATCH(2067,Mortality_Matrix!$B$3:$BS$3,0))</f>
        <v>1.95280173882022E-009</v>
      </c>
      <c r="BF111" s="27" t="n">
        <f aca="false">(BF45-INDEX(Mortality_Matrix!$B$4:$BS$64,MATCH($A111,Mortality_Matrix!$A$4:$A$64,0),MATCH(2068,Mortality_Matrix!$B$3:$BS$3,0)))/INDEX(Mortality_Matrix!$B$4:$BS$64,MATCH($A111,Mortality_Matrix!$A$4:$A$64,0),MATCH(2068,Mortality_Matrix!$B$3:$BS$3,0))</f>
        <v>6.25596848036914E-010</v>
      </c>
      <c r="BG111" s="27" t="n">
        <f aca="false">(BG45-INDEX(Mortality_Matrix!$B$4:$BS$64,MATCH($A111,Mortality_Matrix!$A$4:$A$64,0),MATCH(2069,Mortality_Matrix!$B$3:$BS$3,0)))/INDEX(Mortality_Matrix!$B$4:$BS$64,MATCH($A111,Mortality_Matrix!$A$4:$A$64,0),MATCH(2069,Mortality_Matrix!$B$3:$BS$3,0))</f>
        <v>8.8638695098714E-010</v>
      </c>
      <c r="BH111" s="27" t="n">
        <f aca="false">(BH45-INDEX(Mortality_Matrix!$B$4:$BS$64,MATCH($A111,Mortality_Matrix!$A$4:$A$64,0),MATCH(2070,Mortality_Matrix!$B$3:$BS$3,0)))/INDEX(Mortality_Matrix!$B$4:$BS$64,MATCH($A111,Mortality_Matrix!$A$4:$A$64,0),MATCH(2070,Mortality_Matrix!$B$3:$BS$3,0))</f>
        <v>1.41591007962925E-009</v>
      </c>
      <c r="BI111" s="27" t="n">
        <f aca="false">(BI45-INDEX(Mortality_Matrix!$B$4:$BS$64,MATCH($A111,Mortality_Matrix!$A$4:$A$64,0),MATCH(2071,Mortality_Matrix!$B$3:$BS$3,0)))/INDEX(Mortality_Matrix!$B$4:$BS$64,MATCH($A111,Mortality_Matrix!$A$4:$A$64,0),MATCH(2071,Mortality_Matrix!$B$3:$BS$3,0))</f>
        <v>8.33524172509599E-010</v>
      </c>
      <c r="BJ111" s="27" t="n">
        <f aca="false">(BJ45-INDEX(Mortality_Matrix!$B$4:$BS$64,MATCH($A111,Mortality_Matrix!$A$4:$A$64,0),MATCH(2072,Mortality_Matrix!$B$3:$BS$3,0)))/INDEX(Mortality_Matrix!$B$4:$BS$64,MATCH($A111,Mortality_Matrix!$A$4:$A$64,0),MATCH(2072,Mortality_Matrix!$B$3:$BS$3,0))</f>
        <v>1.42477880272257E-009</v>
      </c>
      <c r="BK111" s="27" t="n">
        <f aca="false">(BK45-INDEX(Mortality_Matrix!$B$4:$BS$64,MATCH($A111,Mortality_Matrix!$A$4:$A$64,0),MATCH(2073,Mortality_Matrix!$B$3:$BS$3,0)))/INDEX(Mortality_Matrix!$B$4:$BS$64,MATCH($A111,Mortality_Matrix!$A$4:$A$64,0),MATCH(2073,Mortality_Matrix!$B$3:$BS$3,0))</f>
        <v>-6.29952724563439E-010</v>
      </c>
      <c r="BL111" s="27" t="n">
        <f aca="false">(BL45-INDEX(Mortality_Matrix!$B$4:$BS$64,MATCH($A111,Mortality_Matrix!$A$4:$A$64,0),MATCH(2074,Mortality_Matrix!$B$3:$BS$3,0)))/INDEX(Mortality_Matrix!$B$4:$BS$64,MATCH($A111,Mortality_Matrix!$A$4:$A$64,0),MATCH(2074,Mortality_Matrix!$B$3:$BS$3,0))</f>
        <v>2.20609962727636E-009</v>
      </c>
      <c r="BM111" s="27" t="n">
        <f aca="false">(BM45-INDEX(Mortality_Matrix!$B$4:$BS$64,MATCH($A111,Mortality_Matrix!$A$4:$A$64,0),MATCH(2075,Mortality_Matrix!$B$3:$BS$3,0)))/INDEX(Mortality_Matrix!$B$4:$BS$64,MATCH($A111,Mortality_Matrix!$A$4:$A$64,0),MATCH(2075,Mortality_Matrix!$B$3:$BS$3,0))</f>
        <v>3.26264672047209E-010</v>
      </c>
      <c r="BN111" s="27" t="n">
        <f aca="false">(BN45-INDEX(Mortality_Matrix!$B$4:$BS$64,MATCH($A111,Mortality_Matrix!$A$4:$A$64,0),MATCH(2076,Mortality_Matrix!$B$3:$BS$3,0)))/INDEX(Mortality_Matrix!$B$4:$BS$64,MATCH($A111,Mortality_Matrix!$A$4:$A$64,0),MATCH(2076,Mortality_Matrix!$B$3:$BS$3,0))</f>
        <v>-1.34061981075652E-009</v>
      </c>
      <c r="BO111" s="27" t="n">
        <f aca="false">(BO45-INDEX(Mortality_Matrix!$B$4:$BS$64,MATCH($A111,Mortality_Matrix!$A$4:$A$64,0),MATCH(2077,Mortality_Matrix!$B$3:$BS$3,0)))/INDEX(Mortality_Matrix!$B$4:$BS$64,MATCH($A111,Mortality_Matrix!$A$4:$A$64,0),MATCH(2077,Mortality_Matrix!$B$3:$BS$3,0))</f>
        <v>2.26464781266765E-009</v>
      </c>
      <c r="BP111" s="27" t="n">
        <f aca="false">(BP45-INDEX(Mortality_Matrix!$B$4:$BS$64,MATCH($A111,Mortality_Matrix!$A$4:$A$64,0),MATCH(2078,Mortality_Matrix!$B$3:$BS$3,0)))/INDEX(Mortality_Matrix!$B$4:$BS$64,MATCH($A111,Mortality_Matrix!$A$4:$A$64,0),MATCH(2078,Mortality_Matrix!$B$3:$BS$3,0))</f>
        <v>5.7150790118552E-010</v>
      </c>
      <c r="BQ111" s="27" t="n">
        <f aca="false">(BQ45-INDEX(Mortality_Matrix!$B$4:$BS$64,MATCH($A111,Mortality_Matrix!$A$4:$A$64,0),MATCH(2079,Mortality_Matrix!$B$3:$BS$3,0)))/INDEX(Mortality_Matrix!$B$4:$BS$64,MATCH($A111,Mortality_Matrix!$A$4:$A$64,0),MATCH(2079,Mortality_Matrix!$B$3:$BS$3,0))</f>
        <v>7.48455888873739E-010</v>
      </c>
      <c r="BR111" s="27" t="n">
        <f aca="false">(BR45-INDEX(Mortality_Matrix!$B$4:$BS$64,MATCH($A111,Mortality_Matrix!$A$4:$A$64,0),MATCH(2080,Mortality_Matrix!$B$3:$BS$3,0)))/INDEX(Mortality_Matrix!$B$4:$BS$64,MATCH($A111,Mortality_Matrix!$A$4:$A$64,0),MATCH(2080,Mortality_Matrix!$B$3:$BS$3,0))</f>
        <v>-2.5364390640297E-009</v>
      </c>
      <c r="BS111" s="27" t="n">
        <f aca="false">(BS45-INDEX(Mortality_Matrix!$B$4:$BS$64,MATCH($A111,Mortality_Matrix!$A$4:$A$64,0),MATCH(2081,Mortality_Matrix!$B$3:$BS$3,0)))/INDEX(Mortality_Matrix!$B$4:$BS$64,MATCH($A111,Mortality_Matrix!$A$4:$A$64,0),MATCH(2081,Mortality_Matrix!$B$3:$BS$3,0))</f>
        <v>2.36172257835192E-009</v>
      </c>
      <c r="BT111" s="27" t="n">
        <f aca="false">(BT45-INDEX(Mortality_Matrix!$B$4:$BS$64,MATCH($A111,Mortality_Matrix!$A$4:$A$64,0),MATCH(2082,Mortality_Matrix!$B$3:$BS$3,0)))/INDEX(Mortality_Matrix!$B$4:$BS$64,MATCH($A111,Mortality_Matrix!$A$4:$A$64,0),MATCH(2082,Mortality_Matrix!$B$3:$BS$3,0))</f>
        <v>2.22946854160179E-009</v>
      </c>
      <c r="BU111" s="27" t="n">
        <f aca="false">(BU45-INDEX(Mortality_Matrix!$B$4:$BS$64,MATCH($A111,Mortality_Matrix!$A$4:$A$64,0),MATCH(2083,Mortality_Matrix!$B$3:$BS$3,0)))/INDEX(Mortality_Matrix!$B$4:$BS$64,MATCH($A111,Mortality_Matrix!$A$4:$A$64,0),MATCH(2083,Mortality_Matrix!$B$3:$BS$3,0))</f>
        <v>-7.7813656653133E-010</v>
      </c>
      <c r="BV111" s="27" t="n">
        <f aca="false">(BV45-INDEX(Mortality_Matrix!$B$4:$BS$64,MATCH($A111,Mortality_Matrix!$A$4:$A$64,0),MATCH(2084,Mortality_Matrix!$B$3:$BS$3,0)))/INDEX(Mortality_Matrix!$B$4:$BS$64,MATCH($A111,Mortality_Matrix!$A$4:$A$64,0),MATCH(2084,Mortality_Matrix!$B$3:$BS$3,0))</f>
        <v>3.39628217153616E-010</v>
      </c>
      <c r="BW111" s="27" t="n">
        <f aca="false">(BW45-INDEX(Mortality_Matrix!$B$4:$BS$64,MATCH($A111,Mortality_Matrix!$A$4:$A$64,0),MATCH(2085,Mortality_Matrix!$B$3:$BS$3,0)))/INDEX(Mortality_Matrix!$B$4:$BS$64,MATCH($A111,Mortality_Matrix!$A$4:$A$64,0),MATCH(2085,Mortality_Matrix!$B$3:$BS$3,0))</f>
        <v>3.67305732813162E-010</v>
      </c>
      <c r="BX111" s="27" t="n">
        <f aca="false">(BX45-INDEX(Mortality_Matrix!$B$4:$BS$64,MATCH($A111,Mortality_Matrix!$A$4:$A$64,0),MATCH(2086,Mortality_Matrix!$B$3:$BS$3,0)))/INDEX(Mortality_Matrix!$B$4:$BS$64,MATCH($A111,Mortality_Matrix!$A$4:$A$64,0),MATCH(2086,Mortality_Matrix!$B$3:$BS$3,0))</f>
        <v>2.5871433228367E-009</v>
      </c>
      <c r="BY111" s="27" t="n">
        <f aca="false">(BY45-INDEX(Mortality_Matrix!$B$4:$BS$64,MATCH($A111,Mortality_Matrix!$A$4:$A$64,0),MATCH(2087,Mortality_Matrix!$B$3:$BS$3,0)))/INDEX(Mortality_Matrix!$B$4:$BS$64,MATCH($A111,Mortality_Matrix!$A$4:$A$64,0),MATCH(2087,Mortality_Matrix!$B$3:$BS$3,0))</f>
        <v>1.50311292662705E-009</v>
      </c>
      <c r="BZ111" s="27" t="n">
        <f aca="false">(BZ45-INDEX(Mortality_Matrix!$B$4:$BS$64,MATCH($A111,Mortality_Matrix!$A$4:$A$64,0),MATCH(2088,Mortality_Matrix!$B$3:$BS$3,0)))/INDEX(Mortality_Matrix!$B$4:$BS$64,MATCH($A111,Mortality_Matrix!$A$4:$A$64,0),MATCH(2088,Mortality_Matrix!$B$3:$BS$3,0))</f>
        <v>-1.27719469720246E-009</v>
      </c>
      <c r="CA111" s="27" t="n">
        <f aca="false">(CA45-INDEX(Mortality_Matrix!$B$4:$BS$64,MATCH($A111,Mortality_Matrix!$A$4:$A$64,0),MATCH(2089,Mortality_Matrix!$B$3:$BS$3,0)))/INDEX(Mortality_Matrix!$B$4:$BS$64,MATCH($A111,Mortality_Matrix!$A$4:$A$64,0),MATCH(2089,Mortality_Matrix!$B$3:$BS$3,0))</f>
        <v>2.69215341228493E-009</v>
      </c>
      <c r="CB111" s="27" t="n">
        <f aca="false">(CB45-INDEX(Mortality_Matrix!$B$4:$BS$64,MATCH($A111,Mortality_Matrix!$A$4:$A$64,0),MATCH(2090,Mortality_Matrix!$B$3:$BS$3,0)))/INDEX(Mortality_Matrix!$B$4:$BS$64,MATCH($A111,Mortality_Matrix!$A$4:$A$64,0),MATCH(2090,Mortality_Matrix!$B$3:$BS$3,0))</f>
        <v>-1.45704296354796E-009</v>
      </c>
      <c r="CC111" s="27" t="n">
        <f aca="false">(CC45-INDEX(Mortality_Matrix!$B$4:$BS$64,MATCH($A111,Mortality_Matrix!$A$4:$A$64,0),MATCH(2091,Mortality_Matrix!$B$3:$BS$3,0)))/INDEX(Mortality_Matrix!$B$4:$BS$64,MATCH($A111,Mortality_Matrix!$A$4:$A$64,0),MATCH(2091,Mortality_Matrix!$B$3:$BS$3,0))</f>
        <v>2.78973427171313E-011</v>
      </c>
    </row>
    <row r="112" customFormat="false" ht="15" hidden="false" customHeight="true" outlineLevel="0" collapsed="false">
      <c r="A112" s="3" t="n">
        <v>83</v>
      </c>
      <c r="L112" s="27" t="n">
        <f aca="false">(L46-INDEX(Mortality_Matrix!$B$4:$BS$64,MATCH($A112,Mortality_Matrix!$A$4:$A$64,0),MATCH(2022,Mortality_Matrix!$B$3:$BS$3,0)))/INDEX(Mortality_Matrix!$B$4:$BS$64,MATCH($A112,Mortality_Matrix!$A$4:$A$64,0),MATCH(2022,Mortality_Matrix!$B$3:$BS$3,0))</f>
        <v>8.20763617453963E-010</v>
      </c>
      <c r="M112" s="27" t="n">
        <f aca="false">(M46-INDEX(Mortality_Matrix!$B$4:$BS$64,MATCH($A112,Mortality_Matrix!$A$4:$A$64,0),MATCH(2023,Mortality_Matrix!$B$3:$BS$3,0)))/INDEX(Mortality_Matrix!$B$4:$BS$64,MATCH($A112,Mortality_Matrix!$A$4:$A$64,0),MATCH(2023,Mortality_Matrix!$B$3:$BS$3,0))</f>
        <v>5.19581909030432E-010</v>
      </c>
      <c r="N112" s="27" t="n">
        <f aca="false">(N46-INDEX(Mortality_Matrix!$B$4:$BS$64,MATCH($A112,Mortality_Matrix!$A$4:$A$64,0),MATCH(2024,Mortality_Matrix!$B$3:$BS$3,0)))/INDEX(Mortality_Matrix!$B$4:$BS$64,MATCH($A112,Mortality_Matrix!$A$4:$A$64,0),MATCH(2024,Mortality_Matrix!$B$3:$BS$3,0))</f>
        <v>-8.45117878533618E-010</v>
      </c>
      <c r="O112" s="27" t="n">
        <f aca="false">(O46-INDEX(Mortality_Matrix!$B$4:$BS$64,MATCH($A112,Mortality_Matrix!$A$4:$A$64,0),MATCH(2025,Mortality_Matrix!$B$3:$BS$3,0)))/INDEX(Mortality_Matrix!$B$4:$BS$64,MATCH($A112,Mortality_Matrix!$A$4:$A$64,0),MATCH(2025,Mortality_Matrix!$B$3:$BS$3,0))</f>
        <v>-6.02922048467444E-010</v>
      </c>
      <c r="P112" s="27" t="n">
        <f aca="false">(P46-INDEX(Mortality_Matrix!$B$4:$BS$64,MATCH($A112,Mortality_Matrix!$A$4:$A$64,0),MATCH(2026,Mortality_Matrix!$B$3:$BS$3,0)))/INDEX(Mortality_Matrix!$B$4:$BS$64,MATCH($A112,Mortality_Matrix!$A$4:$A$64,0),MATCH(2026,Mortality_Matrix!$B$3:$BS$3,0))</f>
        <v>3.62684820610306E-010</v>
      </c>
      <c r="Q112" s="27" t="n">
        <f aca="false">(Q46-INDEX(Mortality_Matrix!$B$4:$BS$64,MATCH($A112,Mortality_Matrix!$A$4:$A$64,0),MATCH(2027,Mortality_Matrix!$B$3:$BS$3,0)))/INDEX(Mortality_Matrix!$B$4:$BS$64,MATCH($A112,Mortality_Matrix!$A$4:$A$64,0),MATCH(2027,Mortality_Matrix!$B$3:$BS$3,0))</f>
        <v>-4.01622269748855E-010</v>
      </c>
      <c r="R112" s="27" t="n">
        <f aca="false">(R46-INDEX(Mortality_Matrix!$B$4:$BS$64,MATCH($A112,Mortality_Matrix!$A$4:$A$64,0),MATCH(2028,Mortality_Matrix!$B$3:$BS$3,0)))/INDEX(Mortality_Matrix!$B$4:$BS$64,MATCH($A112,Mortality_Matrix!$A$4:$A$64,0),MATCH(2028,Mortality_Matrix!$B$3:$BS$3,0))</f>
        <v>-7.03154207469142E-010</v>
      </c>
      <c r="S112" s="27" t="n">
        <f aca="false">(S46-INDEX(Mortality_Matrix!$B$4:$BS$64,MATCH($A112,Mortality_Matrix!$A$4:$A$64,0),MATCH(2029,Mortality_Matrix!$B$3:$BS$3,0)))/INDEX(Mortality_Matrix!$B$4:$BS$64,MATCH($A112,Mortality_Matrix!$A$4:$A$64,0),MATCH(2029,Mortality_Matrix!$B$3:$BS$3,0))</f>
        <v>-2.37878928040903E-010</v>
      </c>
      <c r="T112" s="27" t="n">
        <f aca="false">(T46-INDEX(Mortality_Matrix!$B$4:$BS$64,MATCH($A112,Mortality_Matrix!$A$4:$A$64,0),MATCH(2030,Mortality_Matrix!$B$3:$BS$3,0)))/INDEX(Mortality_Matrix!$B$4:$BS$64,MATCH($A112,Mortality_Matrix!$A$4:$A$64,0),MATCH(2030,Mortality_Matrix!$B$3:$BS$3,0))</f>
        <v>4.39067281525012E-010</v>
      </c>
      <c r="U112" s="27" t="n">
        <f aca="false">(U46-INDEX(Mortality_Matrix!$B$4:$BS$64,MATCH($A112,Mortality_Matrix!$A$4:$A$64,0),MATCH(2031,Mortality_Matrix!$B$3:$BS$3,0)))/INDEX(Mortality_Matrix!$B$4:$BS$64,MATCH($A112,Mortality_Matrix!$A$4:$A$64,0),MATCH(2031,Mortality_Matrix!$B$3:$BS$3,0))</f>
        <v>-5.27557535557886E-010</v>
      </c>
      <c r="V112" s="27" t="n">
        <f aca="false">(V46-INDEX(Mortality_Matrix!$B$4:$BS$64,MATCH($A112,Mortality_Matrix!$A$4:$A$64,0),MATCH(2032,Mortality_Matrix!$B$3:$BS$3,0)))/INDEX(Mortality_Matrix!$B$4:$BS$64,MATCH($A112,Mortality_Matrix!$A$4:$A$64,0),MATCH(2032,Mortality_Matrix!$B$3:$BS$3,0))</f>
        <v>7.37286963903727E-010</v>
      </c>
      <c r="W112" s="27" t="n">
        <f aca="false">(W46-INDEX(Mortality_Matrix!$B$4:$BS$64,MATCH($A112,Mortality_Matrix!$A$4:$A$64,0),MATCH(2033,Mortality_Matrix!$B$3:$BS$3,0)))/INDEX(Mortality_Matrix!$B$4:$BS$64,MATCH($A112,Mortality_Matrix!$A$4:$A$64,0),MATCH(2033,Mortality_Matrix!$B$3:$BS$3,0))</f>
        <v>-3.47561308598943E-010</v>
      </c>
      <c r="X112" s="27" t="n">
        <f aca="false">(X46-INDEX(Mortality_Matrix!$B$4:$BS$64,MATCH($A112,Mortality_Matrix!$A$4:$A$64,0),MATCH(2034,Mortality_Matrix!$B$3:$BS$3,0)))/INDEX(Mortality_Matrix!$B$4:$BS$64,MATCH($A112,Mortality_Matrix!$A$4:$A$64,0),MATCH(2034,Mortality_Matrix!$B$3:$BS$3,0))</f>
        <v>1.806462235671E-010</v>
      </c>
      <c r="Y112" s="27" t="n">
        <f aca="false">(Y46-INDEX(Mortality_Matrix!$B$4:$BS$64,MATCH($A112,Mortality_Matrix!$A$4:$A$64,0),MATCH(2035,Mortality_Matrix!$B$3:$BS$3,0)))/INDEX(Mortality_Matrix!$B$4:$BS$64,MATCH($A112,Mortality_Matrix!$A$4:$A$64,0),MATCH(2035,Mortality_Matrix!$B$3:$BS$3,0))</f>
        <v>9.79318360062846E-010</v>
      </c>
      <c r="Z112" s="27" t="n">
        <f aca="false">(Z46-INDEX(Mortality_Matrix!$B$4:$BS$64,MATCH($A112,Mortality_Matrix!$A$4:$A$64,0),MATCH(2036,Mortality_Matrix!$B$3:$BS$3,0)))/INDEX(Mortality_Matrix!$B$4:$BS$64,MATCH($A112,Mortality_Matrix!$A$4:$A$64,0),MATCH(2036,Mortality_Matrix!$B$3:$BS$3,0))</f>
        <v>1.11831849865015E-009</v>
      </c>
      <c r="AA112" s="27" t="n">
        <f aca="false">(AA46-INDEX(Mortality_Matrix!$B$4:$BS$64,MATCH($A112,Mortality_Matrix!$A$4:$A$64,0),MATCH(2037,Mortality_Matrix!$B$3:$BS$3,0)))/INDEX(Mortality_Matrix!$B$4:$BS$64,MATCH($A112,Mortality_Matrix!$A$4:$A$64,0),MATCH(2037,Mortality_Matrix!$B$3:$BS$3,0))</f>
        <v>-7.04442548354809E-010</v>
      </c>
      <c r="AB112" s="27" t="n">
        <f aca="false">(AB46-INDEX(Mortality_Matrix!$B$4:$BS$64,MATCH($A112,Mortality_Matrix!$A$4:$A$64,0),MATCH(2038,Mortality_Matrix!$B$3:$BS$3,0)))/INDEX(Mortality_Matrix!$B$4:$BS$64,MATCH($A112,Mortality_Matrix!$A$4:$A$64,0),MATCH(2038,Mortality_Matrix!$B$3:$BS$3,0))</f>
        <v>1.55153315252478E-010</v>
      </c>
      <c r="AC112" s="27" t="n">
        <f aca="false">(AC46-INDEX(Mortality_Matrix!$B$4:$BS$64,MATCH($A112,Mortality_Matrix!$A$4:$A$64,0),MATCH(2039,Mortality_Matrix!$B$3:$BS$3,0)))/INDEX(Mortality_Matrix!$B$4:$BS$64,MATCH($A112,Mortality_Matrix!$A$4:$A$64,0),MATCH(2039,Mortality_Matrix!$B$3:$BS$3,0))</f>
        <v>-6.20567555139847E-010</v>
      </c>
      <c r="AD112" s="27" t="n">
        <f aca="false">(AD46-INDEX(Mortality_Matrix!$B$4:$BS$64,MATCH($A112,Mortality_Matrix!$A$4:$A$64,0),MATCH(2040,Mortality_Matrix!$B$3:$BS$3,0)))/INDEX(Mortality_Matrix!$B$4:$BS$64,MATCH($A112,Mortality_Matrix!$A$4:$A$64,0),MATCH(2040,Mortality_Matrix!$B$3:$BS$3,0))</f>
        <v>-5.95957220445768E-010</v>
      </c>
      <c r="AE112" s="27" t="n">
        <f aca="false">(AE46-INDEX(Mortality_Matrix!$B$4:$BS$64,MATCH($A112,Mortality_Matrix!$A$4:$A$64,0),MATCH(2041,Mortality_Matrix!$B$3:$BS$3,0)))/INDEX(Mortality_Matrix!$B$4:$BS$64,MATCH($A112,Mortality_Matrix!$A$4:$A$64,0),MATCH(2041,Mortality_Matrix!$B$3:$BS$3,0))</f>
        <v>-8.7079467804598E-010</v>
      </c>
      <c r="AF112" s="27" t="n">
        <f aca="false">(AF46-INDEX(Mortality_Matrix!$B$4:$BS$64,MATCH($A112,Mortality_Matrix!$A$4:$A$64,0),MATCH(2042,Mortality_Matrix!$B$3:$BS$3,0)))/INDEX(Mortality_Matrix!$B$4:$BS$64,MATCH($A112,Mortality_Matrix!$A$4:$A$64,0),MATCH(2042,Mortality_Matrix!$B$3:$BS$3,0))</f>
        <v>4.35538974762546E-010</v>
      </c>
      <c r="AG112" s="27" t="n">
        <f aca="false">(AG46-INDEX(Mortality_Matrix!$B$4:$BS$64,MATCH($A112,Mortality_Matrix!$A$4:$A$64,0),MATCH(2043,Mortality_Matrix!$B$3:$BS$3,0)))/INDEX(Mortality_Matrix!$B$4:$BS$64,MATCH($A112,Mortality_Matrix!$A$4:$A$64,0),MATCH(2043,Mortality_Matrix!$B$3:$BS$3,0))</f>
        <v>-1.31004619153892E-010</v>
      </c>
      <c r="AH112" s="27" t="n">
        <f aca="false">(AH46-INDEX(Mortality_Matrix!$B$4:$BS$64,MATCH($A112,Mortality_Matrix!$A$4:$A$64,0),MATCH(2044,Mortality_Matrix!$B$3:$BS$3,0)))/INDEX(Mortality_Matrix!$B$4:$BS$64,MATCH($A112,Mortality_Matrix!$A$4:$A$64,0),MATCH(2044,Mortality_Matrix!$B$3:$BS$3,0))</f>
        <v>4.83382548680983E-010</v>
      </c>
      <c r="AI112" s="27" t="n">
        <f aca="false">(AI46-INDEX(Mortality_Matrix!$B$4:$BS$64,MATCH($A112,Mortality_Matrix!$A$4:$A$64,0),MATCH(2045,Mortality_Matrix!$B$3:$BS$3,0)))/INDEX(Mortality_Matrix!$B$4:$BS$64,MATCH($A112,Mortality_Matrix!$A$4:$A$64,0),MATCH(2045,Mortality_Matrix!$B$3:$BS$3,0))</f>
        <v>9.08058876191739E-010</v>
      </c>
      <c r="AJ112" s="27" t="n">
        <f aca="false">(AJ46-INDEX(Mortality_Matrix!$B$4:$BS$64,MATCH($A112,Mortality_Matrix!$A$4:$A$64,0),MATCH(2046,Mortality_Matrix!$B$3:$BS$3,0)))/INDEX(Mortality_Matrix!$B$4:$BS$64,MATCH($A112,Mortality_Matrix!$A$4:$A$64,0),MATCH(2046,Mortality_Matrix!$B$3:$BS$3,0))</f>
        <v>-4.25791498150473E-010</v>
      </c>
      <c r="AK112" s="27" t="n">
        <f aca="false">(AK46-INDEX(Mortality_Matrix!$B$4:$BS$64,MATCH($A112,Mortality_Matrix!$A$4:$A$64,0),MATCH(2047,Mortality_Matrix!$B$3:$BS$3,0)))/INDEX(Mortality_Matrix!$B$4:$BS$64,MATCH($A112,Mortality_Matrix!$A$4:$A$64,0),MATCH(2047,Mortality_Matrix!$B$3:$BS$3,0))</f>
        <v>-6.44646064854994E-010</v>
      </c>
      <c r="AL112" s="27" t="n">
        <f aca="false">(AL46-INDEX(Mortality_Matrix!$B$4:$BS$64,MATCH($A112,Mortality_Matrix!$A$4:$A$64,0),MATCH(2048,Mortality_Matrix!$B$3:$BS$3,0)))/INDEX(Mortality_Matrix!$B$4:$BS$64,MATCH($A112,Mortality_Matrix!$A$4:$A$64,0),MATCH(2048,Mortality_Matrix!$B$3:$BS$3,0))</f>
        <v>-1.24177479069287E-009</v>
      </c>
      <c r="AM112" s="27" t="n">
        <f aca="false">(AM46-INDEX(Mortality_Matrix!$B$4:$BS$64,MATCH($A112,Mortality_Matrix!$A$4:$A$64,0),MATCH(2049,Mortality_Matrix!$B$3:$BS$3,0)))/INDEX(Mortality_Matrix!$B$4:$BS$64,MATCH($A112,Mortality_Matrix!$A$4:$A$64,0),MATCH(2049,Mortality_Matrix!$B$3:$BS$3,0))</f>
        <v>-7.7653471166007E-010</v>
      </c>
      <c r="AN112" s="27" t="n">
        <f aca="false">(AN46-INDEX(Mortality_Matrix!$B$4:$BS$64,MATCH($A112,Mortality_Matrix!$A$4:$A$64,0),MATCH(2050,Mortality_Matrix!$B$3:$BS$3,0)))/INDEX(Mortality_Matrix!$B$4:$BS$64,MATCH($A112,Mortality_Matrix!$A$4:$A$64,0),MATCH(2050,Mortality_Matrix!$B$3:$BS$3,0))</f>
        <v>-1.19160807687894E-009</v>
      </c>
      <c r="AO112" s="27" t="n">
        <f aca="false">(AO46-INDEX(Mortality_Matrix!$B$4:$BS$64,MATCH($A112,Mortality_Matrix!$A$4:$A$64,0),MATCH(2051,Mortality_Matrix!$B$3:$BS$3,0)))/INDEX(Mortality_Matrix!$B$4:$BS$64,MATCH($A112,Mortality_Matrix!$A$4:$A$64,0),MATCH(2051,Mortality_Matrix!$B$3:$BS$3,0))</f>
        <v>-1.74449333355109E-010</v>
      </c>
      <c r="AP112" s="27" t="n">
        <f aca="false">(AP46-INDEX(Mortality_Matrix!$B$4:$BS$64,MATCH($A112,Mortality_Matrix!$A$4:$A$64,0),MATCH(2052,Mortality_Matrix!$B$3:$BS$3,0)))/INDEX(Mortality_Matrix!$B$4:$BS$64,MATCH($A112,Mortality_Matrix!$A$4:$A$64,0),MATCH(2052,Mortality_Matrix!$B$3:$BS$3,0))</f>
        <v>-4.98995900798974E-010</v>
      </c>
      <c r="AQ112" s="27" t="n">
        <f aca="false">(AQ46-INDEX(Mortality_Matrix!$B$4:$BS$64,MATCH($A112,Mortality_Matrix!$A$4:$A$64,0),MATCH(2053,Mortality_Matrix!$B$3:$BS$3,0)))/INDEX(Mortality_Matrix!$B$4:$BS$64,MATCH($A112,Mortality_Matrix!$A$4:$A$64,0),MATCH(2053,Mortality_Matrix!$B$3:$BS$3,0))</f>
        <v>7.44076307080372E-010</v>
      </c>
      <c r="AR112" s="27" t="n">
        <f aca="false">(AR46-INDEX(Mortality_Matrix!$B$4:$BS$64,MATCH($A112,Mortality_Matrix!$A$4:$A$64,0),MATCH(2054,Mortality_Matrix!$B$3:$BS$3,0)))/INDEX(Mortality_Matrix!$B$4:$BS$64,MATCH($A112,Mortality_Matrix!$A$4:$A$64,0),MATCH(2054,Mortality_Matrix!$B$3:$BS$3,0))</f>
        <v>-3.962873297253E-010</v>
      </c>
      <c r="AS112" s="27" t="n">
        <f aca="false">(AS46-INDEX(Mortality_Matrix!$B$4:$BS$64,MATCH($A112,Mortality_Matrix!$A$4:$A$64,0),MATCH(2055,Mortality_Matrix!$B$3:$BS$3,0)))/INDEX(Mortality_Matrix!$B$4:$BS$64,MATCH($A112,Mortality_Matrix!$A$4:$A$64,0),MATCH(2055,Mortality_Matrix!$B$3:$BS$3,0))</f>
        <v>-6.43269489836094E-010</v>
      </c>
      <c r="AT112" s="27" t="n">
        <f aca="false">(AT46-INDEX(Mortality_Matrix!$B$4:$BS$64,MATCH($A112,Mortality_Matrix!$A$4:$A$64,0),MATCH(2056,Mortality_Matrix!$B$3:$BS$3,0)))/INDEX(Mortality_Matrix!$B$4:$BS$64,MATCH($A112,Mortality_Matrix!$A$4:$A$64,0),MATCH(2056,Mortality_Matrix!$B$3:$BS$3,0))</f>
        <v>8.45519725935361E-010</v>
      </c>
      <c r="AU112" s="27" t="n">
        <f aca="false">(AU46-INDEX(Mortality_Matrix!$B$4:$BS$64,MATCH($A112,Mortality_Matrix!$A$4:$A$64,0),MATCH(2057,Mortality_Matrix!$B$3:$BS$3,0)))/INDEX(Mortality_Matrix!$B$4:$BS$64,MATCH($A112,Mortality_Matrix!$A$4:$A$64,0),MATCH(2057,Mortality_Matrix!$B$3:$BS$3,0))</f>
        <v>1.46601422666038E-009</v>
      </c>
      <c r="AV112" s="27" t="n">
        <f aca="false">(AV46-INDEX(Mortality_Matrix!$B$4:$BS$64,MATCH($A112,Mortality_Matrix!$A$4:$A$64,0),MATCH(2058,Mortality_Matrix!$B$3:$BS$3,0)))/INDEX(Mortality_Matrix!$B$4:$BS$64,MATCH($A112,Mortality_Matrix!$A$4:$A$64,0),MATCH(2058,Mortality_Matrix!$B$3:$BS$3,0))</f>
        <v>5.45327167270472E-010</v>
      </c>
      <c r="AW112" s="27" t="n">
        <f aca="false">(AW46-INDEX(Mortality_Matrix!$B$4:$BS$64,MATCH($A112,Mortality_Matrix!$A$4:$A$64,0),MATCH(2059,Mortality_Matrix!$B$3:$BS$3,0)))/INDEX(Mortality_Matrix!$B$4:$BS$64,MATCH($A112,Mortality_Matrix!$A$4:$A$64,0),MATCH(2059,Mortality_Matrix!$B$3:$BS$3,0))</f>
        <v>-1.32408812248007E-009</v>
      </c>
      <c r="AX112" s="27" t="n">
        <f aca="false">(AX46-INDEX(Mortality_Matrix!$B$4:$BS$64,MATCH($A112,Mortality_Matrix!$A$4:$A$64,0),MATCH(2060,Mortality_Matrix!$B$3:$BS$3,0)))/INDEX(Mortality_Matrix!$B$4:$BS$64,MATCH($A112,Mortality_Matrix!$A$4:$A$64,0),MATCH(2060,Mortality_Matrix!$B$3:$BS$3,0))</f>
        <v>3.24073880408291E-010</v>
      </c>
      <c r="AY112" s="27" t="n">
        <f aca="false">(AY46-INDEX(Mortality_Matrix!$B$4:$BS$64,MATCH($A112,Mortality_Matrix!$A$4:$A$64,0),MATCH(2061,Mortality_Matrix!$B$3:$BS$3,0)))/INDEX(Mortality_Matrix!$B$4:$BS$64,MATCH($A112,Mortality_Matrix!$A$4:$A$64,0),MATCH(2061,Mortality_Matrix!$B$3:$BS$3,0))</f>
        <v>-2.16778213807464E-010</v>
      </c>
      <c r="AZ112" s="27" t="n">
        <f aca="false">(AZ46-INDEX(Mortality_Matrix!$B$4:$BS$64,MATCH($A112,Mortality_Matrix!$A$4:$A$64,0),MATCH(2062,Mortality_Matrix!$B$3:$BS$3,0)))/INDEX(Mortality_Matrix!$B$4:$BS$64,MATCH($A112,Mortality_Matrix!$A$4:$A$64,0),MATCH(2062,Mortality_Matrix!$B$3:$BS$3,0))</f>
        <v>1.60720007783338E-010</v>
      </c>
      <c r="BA112" s="27" t="n">
        <f aca="false">(BA46-INDEX(Mortality_Matrix!$B$4:$BS$64,MATCH($A112,Mortality_Matrix!$A$4:$A$64,0),MATCH(2063,Mortality_Matrix!$B$3:$BS$3,0)))/INDEX(Mortality_Matrix!$B$4:$BS$64,MATCH($A112,Mortality_Matrix!$A$4:$A$64,0),MATCH(2063,Mortality_Matrix!$B$3:$BS$3,0))</f>
        <v>-6.92875463210149E-010</v>
      </c>
      <c r="BB112" s="27" t="n">
        <f aca="false">(BB46-INDEX(Mortality_Matrix!$B$4:$BS$64,MATCH($A112,Mortality_Matrix!$A$4:$A$64,0),MATCH(2064,Mortality_Matrix!$B$3:$BS$3,0)))/INDEX(Mortality_Matrix!$B$4:$BS$64,MATCH($A112,Mortality_Matrix!$A$4:$A$64,0),MATCH(2064,Mortality_Matrix!$B$3:$BS$3,0))</f>
        <v>-7.98988990114336E-010</v>
      </c>
      <c r="BC112" s="27" t="n">
        <f aca="false">(BC46-INDEX(Mortality_Matrix!$B$4:$BS$64,MATCH($A112,Mortality_Matrix!$A$4:$A$64,0),MATCH(2065,Mortality_Matrix!$B$3:$BS$3,0)))/INDEX(Mortality_Matrix!$B$4:$BS$64,MATCH($A112,Mortality_Matrix!$A$4:$A$64,0),MATCH(2065,Mortality_Matrix!$B$3:$BS$3,0))</f>
        <v>-1.73264507308456E-009</v>
      </c>
      <c r="BD112" s="27" t="n">
        <f aca="false">(BD46-INDEX(Mortality_Matrix!$B$4:$BS$64,MATCH($A112,Mortality_Matrix!$A$4:$A$64,0),MATCH(2066,Mortality_Matrix!$B$3:$BS$3,0)))/INDEX(Mortality_Matrix!$B$4:$BS$64,MATCH($A112,Mortality_Matrix!$A$4:$A$64,0),MATCH(2066,Mortality_Matrix!$B$3:$BS$3,0))</f>
        <v>1.22034750999416E-009</v>
      </c>
      <c r="BE112" s="27" t="n">
        <f aca="false">(BE46-INDEX(Mortality_Matrix!$B$4:$BS$64,MATCH($A112,Mortality_Matrix!$A$4:$A$64,0),MATCH(2067,Mortality_Matrix!$B$3:$BS$3,0)))/INDEX(Mortality_Matrix!$B$4:$BS$64,MATCH($A112,Mortality_Matrix!$A$4:$A$64,0),MATCH(2067,Mortality_Matrix!$B$3:$BS$3,0))</f>
        <v>2.21026858993028E-010</v>
      </c>
      <c r="BF112" s="27" t="n">
        <f aca="false">(BF46-INDEX(Mortality_Matrix!$B$4:$BS$64,MATCH($A112,Mortality_Matrix!$A$4:$A$64,0),MATCH(2068,Mortality_Matrix!$B$3:$BS$3,0)))/INDEX(Mortality_Matrix!$B$4:$BS$64,MATCH($A112,Mortality_Matrix!$A$4:$A$64,0),MATCH(2068,Mortality_Matrix!$B$3:$BS$3,0))</f>
        <v>-6.05634331005545E-010</v>
      </c>
      <c r="BG112" s="27" t="n">
        <f aca="false">(BG46-INDEX(Mortality_Matrix!$B$4:$BS$64,MATCH($A112,Mortality_Matrix!$A$4:$A$64,0),MATCH(2069,Mortality_Matrix!$B$3:$BS$3,0)))/INDEX(Mortality_Matrix!$B$4:$BS$64,MATCH($A112,Mortality_Matrix!$A$4:$A$64,0),MATCH(2069,Mortality_Matrix!$B$3:$BS$3,0))</f>
        <v>-3.19526448682526E-010</v>
      </c>
      <c r="BH112" s="27" t="n">
        <f aca="false">(BH46-INDEX(Mortality_Matrix!$B$4:$BS$64,MATCH($A112,Mortality_Matrix!$A$4:$A$64,0),MATCH(2070,Mortality_Matrix!$B$3:$BS$3,0)))/INDEX(Mortality_Matrix!$B$4:$BS$64,MATCH($A112,Mortality_Matrix!$A$4:$A$64,0),MATCH(2070,Mortality_Matrix!$B$3:$BS$3,0))</f>
        <v>1.6362705491044E-009</v>
      </c>
      <c r="BI112" s="27" t="n">
        <f aca="false">(BI46-INDEX(Mortality_Matrix!$B$4:$BS$64,MATCH($A112,Mortality_Matrix!$A$4:$A$64,0),MATCH(2071,Mortality_Matrix!$B$3:$BS$3,0)))/INDEX(Mortality_Matrix!$B$4:$BS$64,MATCH($A112,Mortality_Matrix!$A$4:$A$64,0),MATCH(2071,Mortality_Matrix!$B$3:$BS$3,0))</f>
        <v>6.53309737004379E-010</v>
      </c>
      <c r="BJ112" s="27" t="n">
        <f aca="false">(BJ46-INDEX(Mortality_Matrix!$B$4:$BS$64,MATCH($A112,Mortality_Matrix!$A$4:$A$64,0),MATCH(2072,Mortality_Matrix!$B$3:$BS$3,0)))/INDEX(Mortality_Matrix!$B$4:$BS$64,MATCH($A112,Mortality_Matrix!$A$4:$A$64,0),MATCH(2072,Mortality_Matrix!$B$3:$BS$3,0))</f>
        <v>1.71111537647552E-009</v>
      </c>
      <c r="BK112" s="27" t="n">
        <f aca="false">(BK46-INDEX(Mortality_Matrix!$B$4:$BS$64,MATCH($A112,Mortality_Matrix!$A$4:$A$64,0),MATCH(2073,Mortality_Matrix!$B$3:$BS$3,0)))/INDEX(Mortality_Matrix!$B$4:$BS$64,MATCH($A112,Mortality_Matrix!$A$4:$A$64,0),MATCH(2073,Mortality_Matrix!$B$3:$BS$3,0))</f>
        <v>-9.63538921048873E-010</v>
      </c>
      <c r="BL112" s="27" t="n">
        <f aca="false">(BL46-INDEX(Mortality_Matrix!$B$4:$BS$64,MATCH($A112,Mortality_Matrix!$A$4:$A$64,0),MATCH(2074,Mortality_Matrix!$B$3:$BS$3,0)))/INDEX(Mortality_Matrix!$B$4:$BS$64,MATCH($A112,Mortality_Matrix!$A$4:$A$64,0),MATCH(2074,Mortality_Matrix!$B$3:$BS$3,0))</f>
        <v>-8.60683572825699E-010</v>
      </c>
      <c r="BM112" s="27" t="n">
        <f aca="false">(BM46-INDEX(Mortality_Matrix!$B$4:$BS$64,MATCH($A112,Mortality_Matrix!$A$4:$A$64,0),MATCH(2075,Mortality_Matrix!$B$3:$BS$3,0)))/INDEX(Mortality_Matrix!$B$4:$BS$64,MATCH($A112,Mortality_Matrix!$A$4:$A$64,0),MATCH(2075,Mortality_Matrix!$B$3:$BS$3,0))</f>
        <v>5.82284849740899E-011</v>
      </c>
      <c r="BN112" s="27" t="n">
        <f aca="false">(BN46-INDEX(Mortality_Matrix!$B$4:$BS$64,MATCH($A112,Mortality_Matrix!$A$4:$A$64,0),MATCH(2076,Mortality_Matrix!$B$3:$BS$3,0)))/INDEX(Mortality_Matrix!$B$4:$BS$64,MATCH($A112,Mortality_Matrix!$A$4:$A$64,0),MATCH(2076,Mortality_Matrix!$B$3:$BS$3,0))</f>
        <v>-1.63796349931495E-009</v>
      </c>
      <c r="BO112" s="27" t="n">
        <f aca="false">(BO46-INDEX(Mortality_Matrix!$B$4:$BS$64,MATCH($A112,Mortality_Matrix!$A$4:$A$64,0),MATCH(2077,Mortality_Matrix!$B$3:$BS$3,0)))/INDEX(Mortality_Matrix!$B$4:$BS$64,MATCH($A112,Mortality_Matrix!$A$4:$A$64,0),MATCH(2077,Mortality_Matrix!$B$3:$BS$3,0))</f>
        <v>1.13879744718152E-009</v>
      </c>
      <c r="BP112" s="27" t="n">
        <f aca="false">(BP46-INDEX(Mortality_Matrix!$B$4:$BS$64,MATCH($A112,Mortality_Matrix!$A$4:$A$64,0),MATCH(2078,Mortality_Matrix!$B$3:$BS$3,0)))/INDEX(Mortality_Matrix!$B$4:$BS$64,MATCH($A112,Mortality_Matrix!$A$4:$A$64,0),MATCH(2078,Mortality_Matrix!$B$3:$BS$3,0))</f>
        <v>-2.37946421331902E-010</v>
      </c>
      <c r="BQ112" s="27" t="n">
        <f aca="false">(BQ46-INDEX(Mortality_Matrix!$B$4:$BS$64,MATCH($A112,Mortality_Matrix!$A$4:$A$64,0),MATCH(2079,Mortality_Matrix!$B$3:$BS$3,0)))/INDEX(Mortality_Matrix!$B$4:$BS$64,MATCH($A112,Mortality_Matrix!$A$4:$A$64,0),MATCH(2079,Mortality_Matrix!$B$3:$BS$3,0))</f>
        <v>-1.08100919672468E-009</v>
      </c>
      <c r="BR112" s="27" t="n">
        <f aca="false">(BR46-INDEX(Mortality_Matrix!$B$4:$BS$64,MATCH($A112,Mortality_Matrix!$A$4:$A$64,0),MATCH(2080,Mortality_Matrix!$B$3:$BS$3,0)))/INDEX(Mortality_Matrix!$B$4:$BS$64,MATCH($A112,Mortality_Matrix!$A$4:$A$64,0),MATCH(2080,Mortality_Matrix!$B$3:$BS$3,0))</f>
        <v>-1.19362787755706E-009</v>
      </c>
      <c r="BS112" s="27" t="n">
        <f aca="false">(BS46-INDEX(Mortality_Matrix!$B$4:$BS$64,MATCH($A112,Mortality_Matrix!$A$4:$A$64,0),MATCH(2081,Mortality_Matrix!$B$3:$BS$3,0)))/INDEX(Mortality_Matrix!$B$4:$BS$64,MATCH($A112,Mortality_Matrix!$A$4:$A$64,0),MATCH(2081,Mortality_Matrix!$B$3:$BS$3,0))</f>
        <v>-1.46802850486746E-009</v>
      </c>
      <c r="BT112" s="27" t="n">
        <f aca="false">(BT46-INDEX(Mortality_Matrix!$B$4:$BS$64,MATCH($A112,Mortality_Matrix!$A$4:$A$64,0),MATCH(2082,Mortality_Matrix!$B$3:$BS$3,0)))/INDEX(Mortality_Matrix!$B$4:$BS$64,MATCH($A112,Mortality_Matrix!$A$4:$A$64,0),MATCH(2082,Mortality_Matrix!$B$3:$BS$3,0))</f>
        <v>-1.44776718821413E-010</v>
      </c>
      <c r="BU112" s="27" t="n">
        <f aca="false">(BU46-INDEX(Mortality_Matrix!$B$4:$BS$64,MATCH($A112,Mortality_Matrix!$A$4:$A$64,0),MATCH(2083,Mortality_Matrix!$B$3:$BS$3,0)))/INDEX(Mortality_Matrix!$B$4:$BS$64,MATCH($A112,Mortality_Matrix!$A$4:$A$64,0),MATCH(2083,Mortality_Matrix!$B$3:$BS$3,0))</f>
        <v>1.85854330412359E-009</v>
      </c>
      <c r="BV112" s="27" t="n">
        <f aca="false">(BV46-INDEX(Mortality_Matrix!$B$4:$BS$64,MATCH($A112,Mortality_Matrix!$A$4:$A$64,0),MATCH(2084,Mortality_Matrix!$B$3:$BS$3,0)))/INDEX(Mortality_Matrix!$B$4:$BS$64,MATCH($A112,Mortality_Matrix!$A$4:$A$64,0),MATCH(2084,Mortality_Matrix!$B$3:$BS$3,0))</f>
        <v>-7.95746503519085E-011</v>
      </c>
      <c r="BW112" s="27" t="n">
        <f aca="false">(BW46-INDEX(Mortality_Matrix!$B$4:$BS$64,MATCH($A112,Mortality_Matrix!$A$4:$A$64,0),MATCH(2085,Mortality_Matrix!$B$3:$BS$3,0)))/INDEX(Mortality_Matrix!$B$4:$BS$64,MATCH($A112,Mortality_Matrix!$A$4:$A$64,0),MATCH(2085,Mortality_Matrix!$B$3:$BS$3,0))</f>
        <v>-8.08327498635959E-010</v>
      </c>
      <c r="BX112" s="27" t="n">
        <f aca="false">(BX46-INDEX(Mortality_Matrix!$B$4:$BS$64,MATCH($A112,Mortality_Matrix!$A$4:$A$64,0),MATCH(2086,Mortality_Matrix!$B$3:$BS$3,0)))/INDEX(Mortality_Matrix!$B$4:$BS$64,MATCH($A112,Mortality_Matrix!$A$4:$A$64,0),MATCH(2086,Mortality_Matrix!$B$3:$BS$3,0))</f>
        <v>-2.65770344151339E-010</v>
      </c>
      <c r="BY112" s="27" t="n">
        <f aca="false">(BY46-INDEX(Mortality_Matrix!$B$4:$BS$64,MATCH($A112,Mortality_Matrix!$A$4:$A$64,0),MATCH(2087,Mortality_Matrix!$B$3:$BS$3,0)))/INDEX(Mortality_Matrix!$B$4:$BS$64,MATCH($A112,Mortality_Matrix!$A$4:$A$64,0),MATCH(2087,Mortality_Matrix!$B$3:$BS$3,0))</f>
        <v>3.10086315832704E-010</v>
      </c>
      <c r="BZ112" s="27" t="n">
        <f aca="false">(BZ46-INDEX(Mortality_Matrix!$B$4:$BS$64,MATCH($A112,Mortality_Matrix!$A$4:$A$64,0),MATCH(2088,Mortality_Matrix!$B$3:$BS$3,0)))/INDEX(Mortality_Matrix!$B$4:$BS$64,MATCH($A112,Mortality_Matrix!$A$4:$A$64,0),MATCH(2088,Mortality_Matrix!$B$3:$BS$3,0))</f>
        <v>-2.53678792712447E-009</v>
      </c>
      <c r="CA112" s="27" t="n">
        <f aca="false">(CA46-INDEX(Mortality_Matrix!$B$4:$BS$64,MATCH($A112,Mortality_Matrix!$A$4:$A$64,0),MATCH(2089,Mortality_Matrix!$B$3:$BS$3,0)))/INDEX(Mortality_Matrix!$B$4:$BS$64,MATCH($A112,Mortality_Matrix!$A$4:$A$64,0),MATCH(2089,Mortality_Matrix!$B$3:$BS$3,0))</f>
        <v>1.79669371430536E-011</v>
      </c>
      <c r="CB112" s="27" t="n">
        <f aca="false">(CB46-INDEX(Mortality_Matrix!$B$4:$BS$64,MATCH($A112,Mortality_Matrix!$A$4:$A$64,0),MATCH(2090,Mortality_Matrix!$B$3:$BS$3,0)))/INDEX(Mortality_Matrix!$B$4:$BS$64,MATCH($A112,Mortality_Matrix!$A$4:$A$64,0),MATCH(2090,Mortality_Matrix!$B$3:$BS$3,0))</f>
        <v>-2.23511114879546E-009</v>
      </c>
      <c r="CC112" s="27" t="n">
        <f aca="false">(CC46-INDEX(Mortality_Matrix!$B$4:$BS$64,MATCH($A112,Mortality_Matrix!$A$4:$A$64,0),MATCH(2091,Mortality_Matrix!$B$3:$BS$3,0)))/INDEX(Mortality_Matrix!$B$4:$BS$64,MATCH($A112,Mortality_Matrix!$A$4:$A$64,0),MATCH(2091,Mortality_Matrix!$B$3:$BS$3,0))</f>
        <v>1.72792321306827E-009</v>
      </c>
    </row>
    <row r="113" customFormat="false" ht="15" hidden="false" customHeight="true" outlineLevel="0" collapsed="false">
      <c r="A113" s="3" t="n">
        <v>84</v>
      </c>
      <c r="L113" s="27" t="n">
        <f aca="false">(L47-INDEX(Mortality_Matrix!$B$4:$BS$64,MATCH($A113,Mortality_Matrix!$A$4:$A$64,0),MATCH(2022,Mortality_Matrix!$B$3:$BS$3,0)))/INDEX(Mortality_Matrix!$B$4:$BS$64,MATCH($A113,Mortality_Matrix!$A$4:$A$64,0),MATCH(2022,Mortality_Matrix!$B$3:$BS$3,0))</f>
        <v>-2.01464519158995E-010</v>
      </c>
      <c r="M113" s="27" t="n">
        <f aca="false">(M47-INDEX(Mortality_Matrix!$B$4:$BS$64,MATCH($A113,Mortality_Matrix!$A$4:$A$64,0),MATCH(2023,Mortality_Matrix!$B$3:$BS$3,0)))/INDEX(Mortality_Matrix!$B$4:$BS$64,MATCH($A113,Mortality_Matrix!$A$4:$A$64,0),MATCH(2023,Mortality_Matrix!$B$3:$BS$3,0))</f>
        <v>-1.65582556014177E-010</v>
      </c>
      <c r="N113" s="27" t="n">
        <f aca="false">(N47-INDEX(Mortality_Matrix!$B$4:$BS$64,MATCH($A113,Mortality_Matrix!$A$4:$A$64,0),MATCH(2024,Mortality_Matrix!$B$3:$BS$3,0)))/INDEX(Mortality_Matrix!$B$4:$BS$64,MATCH($A113,Mortality_Matrix!$A$4:$A$64,0),MATCH(2024,Mortality_Matrix!$B$3:$BS$3,0))</f>
        <v>-5.09771200842147E-010</v>
      </c>
      <c r="O113" s="27" t="n">
        <f aca="false">(O47-INDEX(Mortality_Matrix!$B$4:$BS$64,MATCH($A113,Mortality_Matrix!$A$4:$A$64,0),MATCH(2025,Mortality_Matrix!$B$3:$BS$3,0)))/INDEX(Mortality_Matrix!$B$4:$BS$64,MATCH($A113,Mortality_Matrix!$A$4:$A$64,0),MATCH(2025,Mortality_Matrix!$B$3:$BS$3,0))</f>
        <v>8.34200053649066E-010</v>
      </c>
      <c r="P113" s="27" t="n">
        <f aca="false">(P47-INDEX(Mortality_Matrix!$B$4:$BS$64,MATCH($A113,Mortality_Matrix!$A$4:$A$64,0),MATCH(2026,Mortality_Matrix!$B$3:$BS$3,0)))/INDEX(Mortality_Matrix!$B$4:$BS$64,MATCH($A113,Mortality_Matrix!$A$4:$A$64,0),MATCH(2026,Mortality_Matrix!$B$3:$BS$3,0))</f>
        <v>4.27397732268258E-010</v>
      </c>
      <c r="Q113" s="27" t="n">
        <f aca="false">(Q47-INDEX(Mortality_Matrix!$B$4:$BS$64,MATCH($A113,Mortality_Matrix!$A$4:$A$64,0),MATCH(2027,Mortality_Matrix!$B$3:$BS$3,0)))/INDEX(Mortality_Matrix!$B$4:$BS$64,MATCH($A113,Mortality_Matrix!$A$4:$A$64,0),MATCH(2027,Mortality_Matrix!$B$3:$BS$3,0))</f>
        <v>2.54181018893792E-010</v>
      </c>
      <c r="R113" s="27" t="n">
        <f aca="false">(R47-INDEX(Mortality_Matrix!$B$4:$BS$64,MATCH($A113,Mortality_Matrix!$A$4:$A$64,0),MATCH(2028,Mortality_Matrix!$B$3:$BS$3,0)))/INDEX(Mortality_Matrix!$B$4:$BS$64,MATCH($A113,Mortality_Matrix!$A$4:$A$64,0),MATCH(2028,Mortality_Matrix!$B$3:$BS$3,0))</f>
        <v>8.57898834473047E-010</v>
      </c>
      <c r="S113" s="27" t="n">
        <f aca="false">(S47-INDEX(Mortality_Matrix!$B$4:$BS$64,MATCH($A113,Mortality_Matrix!$A$4:$A$64,0),MATCH(2029,Mortality_Matrix!$B$3:$BS$3,0)))/INDEX(Mortality_Matrix!$B$4:$BS$64,MATCH($A113,Mortality_Matrix!$A$4:$A$64,0),MATCH(2029,Mortality_Matrix!$B$3:$BS$3,0))</f>
        <v>7.49559784105155E-010</v>
      </c>
      <c r="T113" s="27" t="n">
        <f aca="false">(T47-INDEX(Mortality_Matrix!$B$4:$BS$64,MATCH($A113,Mortality_Matrix!$A$4:$A$64,0),MATCH(2030,Mortality_Matrix!$B$3:$BS$3,0)))/INDEX(Mortality_Matrix!$B$4:$BS$64,MATCH($A113,Mortality_Matrix!$A$4:$A$64,0),MATCH(2030,Mortality_Matrix!$B$3:$BS$3,0))</f>
        <v>1.95935657329962E-010</v>
      </c>
      <c r="U113" s="27" t="n">
        <f aca="false">(U47-INDEX(Mortality_Matrix!$B$4:$BS$64,MATCH($A113,Mortality_Matrix!$A$4:$A$64,0),MATCH(2031,Mortality_Matrix!$B$3:$BS$3,0)))/INDEX(Mortality_Matrix!$B$4:$BS$64,MATCH($A113,Mortality_Matrix!$A$4:$A$64,0),MATCH(2031,Mortality_Matrix!$B$3:$BS$3,0))</f>
        <v>5.35447991263792E-010</v>
      </c>
      <c r="V113" s="27" t="n">
        <f aca="false">(V47-INDEX(Mortality_Matrix!$B$4:$BS$64,MATCH($A113,Mortality_Matrix!$A$4:$A$64,0),MATCH(2032,Mortality_Matrix!$B$3:$BS$3,0)))/INDEX(Mortality_Matrix!$B$4:$BS$64,MATCH($A113,Mortality_Matrix!$A$4:$A$64,0),MATCH(2032,Mortality_Matrix!$B$3:$BS$3,0))</f>
        <v>-4.50727294945996E-010</v>
      </c>
      <c r="W113" s="27" t="n">
        <f aca="false">(W47-INDEX(Mortality_Matrix!$B$4:$BS$64,MATCH($A113,Mortality_Matrix!$A$4:$A$64,0),MATCH(2033,Mortality_Matrix!$B$3:$BS$3,0)))/INDEX(Mortality_Matrix!$B$4:$BS$64,MATCH($A113,Mortality_Matrix!$A$4:$A$64,0),MATCH(2033,Mortality_Matrix!$B$3:$BS$3,0))</f>
        <v>-6.19142893271854E-011</v>
      </c>
      <c r="X113" s="27" t="n">
        <f aca="false">(X47-INDEX(Mortality_Matrix!$B$4:$BS$64,MATCH($A113,Mortality_Matrix!$A$4:$A$64,0),MATCH(2034,Mortality_Matrix!$B$3:$BS$3,0)))/INDEX(Mortality_Matrix!$B$4:$BS$64,MATCH($A113,Mortality_Matrix!$A$4:$A$64,0),MATCH(2034,Mortality_Matrix!$B$3:$BS$3,0))</f>
        <v>-8.61250522671191E-010</v>
      </c>
      <c r="Y113" s="27" t="n">
        <f aca="false">(Y47-INDEX(Mortality_Matrix!$B$4:$BS$64,MATCH($A113,Mortality_Matrix!$A$4:$A$64,0),MATCH(2035,Mortality_Matrix!$B$3:$BS$3,0)))/INDEX(Mortality_Matrix!$B$4:$BS$64,MATCH($A113,Mortality_Matrix!$A$4:$A$64,0),MATCH(2035,Mortality_Matrix!$B$3:$BS$3,0))</f>
        <v>1.20574991219175E-010</v>
      </c>
      <c r="Z113" s="27" t="n">
        <f aca="false">(Z47-INDEX(Mortality_Matrix!$B$4:$BS$64,MATCH($A113,Mortality_Matrix!$A$4:$A$64,0),MATCH(2036,Mortality_Matrix!$B$3:$BS$3,0)))/INDEX(Mortality_Matrix!$B$4:$BS$64,MATCH($A113,Mortality_Matrix!$A$4:$A$64,0),MATCH(2036,Mortality_Matrix!$B$3:$BS$3,0))</f>
        <v>8.22387348693365E-010</v>
      </c>
      <c r="AA113" s="27" t="n">
        <f aca="false">(AA47-INDEX(Mortality_Matrix!$B$4:$BS$64,MATCH($A113,Mortality_Matrix!$A$4:$A$64,0),MATCH(2037,Mortality_Matrix!$B$3:$BS$3,0)))/INDEX(Mortality_Matrix!$B$4:$BS$64,MATCH($A113,Mortality_Matrix!$A$4:$A$64,0),MATCH(2037,Mortality_Matrix!$B$3:$BS$3,0))</f>
        <v>-8.60764635654847E-010</v>
      </c>
      <c r="AB113" s="27" t="n">
        <f aca="false">(AB47-INDEX(Mortality_Matrix!$B$4:$BS$64,MATCH($A113,Mortality_Matrix!$A$4:$A$64,0),MATCH(2038,Mortality_Matrix!$B$3:$BS$3,0)))/INDEX(Mortality_Matrix!$B$4:$BS$64,MATCH($A113,Mortality_Matrix!$A$4:$A$64,0),MATCH(2038,Mortality_Matrix!$B$3:$BS$3,0))</f>
        <v>4.91585816249929E-010</v>
      </c>
      <c r="AC113" s="27" t="n">
        <f aca="false">(AC47-INDEX(Mortality_Matrix!$B$4:$BS$64,MATCH($A113,Mortality_Matrix!$A$4:$A$64,0),MATCH(2039,Mortality_Matrix!$B$3:$BS$3,0)))/INDEX(Mortality_Matrix!$B$4:$BS$64,MATCH($A113,Mortality_Matrix!$A$4:$A$64,0),MATCH(2039,Mortality_Matrix!$B$3:$BS$3,0))</f>
        <v>5.55443618676192E-010</v>
      </c>
      <c r="AD113" s="27" t="n">
        <f aca="false">(AD47-INDEX(Mortality_Matrix!$B$4:$BS$64,MATCH($A113,Mortality_Matrix!$A$4:$A$64,0),MATCH(2040,Mortality_Matrix!$B$3:$BS$3,0)))/INDEX(Mortality_Matrix!$B$4:$BS$64,MATCH($A113,Mortality_Matrix!$A$4:$A$64,0),MATCH(2040,Mortality_Matrix!$B$3:$BS$3,0))</f>
        <v>9.76840800841609E-010</v>
      </c>
      <c r="AE113" s="27" t="n">
        <f aca="false">(AE47-INDEX(Mortality_Matrix!$B$4:$BS$64,MATCH($A113,Mortality_Matrix!$A$4:$A$64,0),MATCH(2041,Mortality_Matrix!$B$3:$BS$3,0)))/INDEX(Mortality_Matrix!$B$4:$BS$64,MATCH($A113,Mortality_Matrix!$A$4:$A$64,0),MATCH(2041,Mortality_Matrix!$B$3:$BS$3,0))</f>
        <v>2.4187757735763E-010</v>
      </c>
      <c r="AF113" s="27" t="n">
        <f aca="false">(AF47-INDEX(Mortality_Matrix!$B$4:$BS$64,MATCH($A113,Mortality_Matrix!$A$4:$A$64,0),MATCH(2042,Mortality_Matrix!$B$3:$BS$3,0)))/INDEX(Mortality_Matrix!$B$4:$BS$64,MATCH($A113,Mortality_Matrix!$A$4:$A$64,0),MATCH(2042,Mortality_Matrix!$B$3:$BS$3,0))</f>
        <v>-7.04737680288922E-010</v>
      </c>
      <c r="AG113" s="27" t="n">
        <f aca="false">(AG47-INDEX(Mortality_Matrix!$B$4:$BS$64,MATCH($A113,Mortality_Matrix!$A$4:$A$64,0),MATCH(2043,Mortality_Matrix!$B$3:$BS$3,0)))/INDEX(Mortality_Matrix!$B$4:$BS$64,MATCH($A113,Mortality_Matrix!$A$4:$A$64,0),MATCH(2043,Mortality_Matrix!$B$3:$BS$3,0))</f>
        <v>9.12055260152717E-010</v>
      </c>
      <c r="AH113" s="27" t="n">
        <f aca="false">(AH47-INDEX(Mortality_Matrix!$B$4:$BS$64,MATCH($A113,Mortality_Matrix!$A$4:$A$64,0),MATCH(2044,Mortality_Matrix!$B$3:$BS$3,0)))/INDEX(Mortality_Matrix!$B$4:$BS$64,MATCH($A113,Mortality_Matrix!$A$4:$A$64,0),MATCH(2044,Mortality_Matrix!$B$3:$BS$3,0))</f>
        <v>-1.66916400610935E-010</v>
      </c>
      <c r="AI113" s="27" t="n">
        <f aca="false">(AI47-INDEX(Mortality_Matrix!$B$4:$BS$64,MATCH($A113,Mortality_Matrix!$A$4:$A$64,0),MATCH(2045,Mortality_Matrix!$B$3:$BS$3,0)))/INDEX(Mortality_Matrix!$B$4:$BS$64,MATCH($A113,Mortality_Matrix!$A$4:$A$64,0),MATCH(2045,Mortality_Matrix!$B$3:$BS$3,0))</f>
        <v>-2.70777388940583E-011</v>
      </c>
      <c r="AJ113" s="27" t="n">
        <f aca="false">(AJ47-INDEX(Mortality_Matrix!$B$4:$BS$64,MATCH($A113,Mortality_Matrix!$A$4:$A$64,0),MATCH(2046,Mortality_Matrix!$B$3:$BS$3,0)))/INDEX(Mortality_Matrix!$B$4:$BS$64,MATCH($A113,Mortality_Matrix!$A$4:$A$64,0),MATCH(2046,Mortality_Matrix!$B$3:$BS$3,0))</f>
        <v>1.14890303611227E-010</v>
      </c>
      <c r="AK113" s="27" t="n">
        <f aca="false">(AK47-INDEX(Mortality_Matrix!$B$4:$BS$64,MATCH($A113,Mortality_Matrix!$A$4:$A$64,0),MATCH(2047,Mortality_Matrix!$B$3:$BS$3,0)))/INDEX(Mortality_Matrix!$B$4:$BS$64,MATCH($A113,Mortality_Matrix!$A$4:$A$64,0),MATCH(2047,Mortality_Matrix!$B$3:$BS$3,0))</f>
        <v>-1.01304815389616E-010</v>
      </c>
      <c r="AL113" s="27" t="n">
        <f aca="false">(AL47-INDEX(Mortality_Matrix!$B$4:$BS$64,MATCH($A113,Mortality_Matrix!$A$4:$A$64,0),MATCH(2048,Mortality_Matrix!$B$3:$BS$3,0)))/INDEX(Mortality_Matrix!$B$4:$BS$64,MATCH($A113,Mortality_Matrix!$A$4:$A$64,0),MATCH(2048,Mortality_Matrix!$B$3:$BS$3,0))</f>
        <v>-9.30479863552483E-010</v>
      </c>
      <c r="AM113" s="27" t="n">
        <f aca="false">(AM47-INDEX(Mortality_Matrix!$B$4:$BS$64,MATCH($A113,Mortality_Matrix!$A$4:$A$64,0),MATCH(2049,Mortality_Matrix!$B$3:$BS$3,0)))/INDEX(Mortality_Matrix!$B$4:$BS$64,MATCH($A113,Mortality_Matrix!$A$4:$A$64,0),MATCH(2049,Mortality_Matrix!$B$3:$BS$3,0))</f>
        <v>-8.56203238046443E-010</v>
      </c>
      <c r="AN113" s="27" t="n">
        <f aca="false">(AN47-INDEX(Mortality_Matrix!$B$4:$BS$64,MATCH($A113,Mortality_Matrix!$A$4:$A$64,0),MATCH(2050,Mortality_Matrix!$B$3:$BS$3,0)))/INDEX(Mortality_Matrix!$B$4:$BS$64,MATCH($A113,Mortality_Matrix!$A$4:$A$64,0),MATCH(2050,Mortality_Matrix!$B$3:$BS$3,0))</f>
        <v>2.12073337092274E-010</v>
      </c>
      <c r="AO113" s="27" t="n">
        <f aca="false">(AO47-INDEX(Mortality_Matrix!$B$4:$BS$64,MATCH($A113,Mortality_Matrix!$A$4:$A$64,0),MATCH(2051,Mortality_Matrix!$B$3:$BS$3,0)))/INDEX(Mortality_Matrix!$B$4:$BS$64,MATCH($A113,Mortality_Matrix!$A$4:$A$64,0),MATCH(2051,Mortality_Matrix!$B$3:$BS$3,0))</f>
        <v>7.9237743847864E-012</v>
      </c>
      <c r="AP113" s="27" t="n">
        <f aca="false">(AP47-INDEX(Mortality_Matrix!$B$4:$BS$64,MATCH($A113,Mortality_Matrix!$A$4:$A$64,0),MATCH(2052,Mortality_Matrix!$B$3:$BS$3,0)))/INDEX(Mortality_Matrix!$B$4:$BS$64,MATCH($A113,Mortality_Matrix!$A$4:$A$64,0),MATCH(2052,Mortality_Matrix!$B$3:$BS$3,0))</f>
        <v>6.81513846005797E-010</v>
      </c>
      <c r="AQ113" s="27" t="n">
        <f aca="false">(AQ47-INDEX(Mortality_Matrix!$B$4:$BS$64,MATCH($A113,Mortality_Matrix!$A$4:$A$64,0),MATCH(2053,Mortality_Matrix!$B$3:$BS$3,0)))/INDEX(Mortality_Matrix!$B$4:$BS$64,MATCH($A113,Mortality_Matrix!$A$4:$A$64,0),MATCH(2053,Mortality_Matrix!$B$3:$BS$3,0))</f>
        <v>4.31646294904945E-010</v>
      </c>
      <c r="AR113" s="27" t="n">
        <f aca="false">(AR47-INDEX(Mortality_Matrix!$B$4:$BS$64,MATCH($A113,Mortality_Matrix!$A$4:$A$64,0),MATCH(2054,Mortality_Matrix!$B$3:$BS$3,0)))/INDEX(Mortality_Matrix!$B$4:$BS$64,MATCH($A113,Mortality_Matrix!$A$4:$A$64,0),MATCH(2054,Mortality_Matrix!$B$3:$BS$3,0))</f>
        <v>3.91592638493245E-010</v>
      </c>
      <c r="AS113" s="27" t="n">
        <f aca="false">(AS47-INDEX(Mortality_Matrix!$B$4:$BS$64,MATCH($A113,Mortality_Matrix!$A$4:$A$64,0),MATCH(2055,Mortality_Matrix!$B$3:$BS$3,0)))/INDEX(Mortality_Matrix!$B$4:$BS$64,MATCH($A113,Mortality_Matrix!$A$4:$A$64,0),MATCH(2055,Mortality_Matrix!$B$3:$BS$3,0))</f>
        <v>1.32685334428231E-009</v>
      </c>
      <c r="AT113" s="27" t="n">
        <f aca="false">(AT47-INDEX(Mortality_Matrix!$B$4:$BS$64,MATCH($A113,Mortality_Matrix!$A$4:$A$64,0),MATCH(2056,Mortality_Matrix!$B$3:$BS$3,0)))/INDEX(Mortality_Matrix!$B$4:$BS$64,MATCH($A113,Mortality_Matrix!$A$4:$A$64,0),MATCH(2056,Mortality_Matrix!$B$3:$BS$3,0))</f>
        <v>3.33271278225441E-011</v>
      </c>
      <c r="AU113" s="27" t="n">
        <f aca="false">(AU47-INDEX(Mortality_Matrix!$B$4:$BS$64,MATCH($A113,Mortality_Matrix!$A$4:$A$64,0),MATCH(2057,Mortality_Matrix!$B$3:$BS$3,0)))/INDEX(Mortality_Matrix!$B$4:$BS$64,MATCH($A113,Mortality_Matrix!$A$4:$A$64,0),MATCH(2057,Mortality_Matrix!$B$3:$BS$3,0))</f>
        <v>-6.09314668038352E-010</v>
      </c>
      <c r="AV113" s="27" t="n">
        <f aca="false">(AV47-INDEX(Mortality_Matrix!$B$4:$BS$64,MATCH($A113,Mortality_Matrix!$A$4:$A$64,0),MATCH(2058,Mortality_Matrix!$B$3:$BS$3,0)))/INDEX(Mortality_Matrix!$B$4:$BS$64,MATCH($A113,Mortality_Matrix!$A$4:$A$64,0),MATCH(2058,Mortality_Matrix!$B$3:$BS$3,0))</f>
        <v>-4.95848898942462E-010</v>
      </c>
      <c r="AW113" s="27" t="n">
        <f aca="false">(AW47-INDEX(Mortality_Matrix!$B$4:$BS$64,MATCH($A113,Mortality_Matrix!$A$4:$A$64,0),MATCH(2059,Mortality_Matrix!$B$3:$BS$3,0)))/INDEX(Mortality_Matrix!$B$4:$BS$64,MATCH($A113,Mortality_Matrix!$A$4:$A$64,0),MATCH(2059,Mortality_Matrix!$B$3:$BS$3,0))</f>
        <v>-4.5265147680648E-010</v>
      </c>
      <c r="AX113" s="27" t="n">
        <f aca="false">(AX47-INDEX(Mortality_Matrix!$B$4:$BS$64,MATCH($A113,Mortality_Matrix!$A$4:$A$64,0),MATCH(2060,Mortality_Matrix!$B$3:$BS$3,0)))/INDEX(Mortality_Matrix!$B$4:$BS$64,MATCH($A113,Mortality_Matrix!$A$4:$A$64,0),MATCH(2060,Mortality_Matrix!$B$3:$BS$3,0))</f>
        <v>-2.04137180199254E-010</v>
      </c>
      <c r="AY113" s="27" t="n">
        <f aca="false">(AY47-INDEX(Mortality_Matrix!$B$4:$BS$64,MATCH($A113,Mortality_Matrix!$A$4:$A$64,0),MATCH(2061,Mortality_Matrix!$B$3:$BS$3,0)))/INDEX(Mortality_Matrix!$B$4:$BS$64,MATCH($A113,Mortality_Matrix!$A$4:$A$64,0),MATCH(2061,Mortality_Matrix!$B$3:$BS$3,0))</f>
        <v>8.94104649204605E-010</v>
      </c>
      <c r="AZ113" s="27" t="n">
        <f aca="false">(AZ47-INDEX(Mortality_Matrix!$B$4:$BS$64,MATCH($A113,Mortality_Matrix!$A$4:$A$64,0),MATCH(2062,Mortality_Matrix!$B$3:$BS$3,0)))/INDEX(Mortality_Matrix!$B$4:$BS$64,MATCH($A113,Mortality_Matrix!$A$4:$A$64,0),MATCH(2062,Mortality_Matrix!$B$3:$BS$3,0))</f>
        <v>5.03462390892261E-011</v>
      </c>
      <c r="BA113" s="27" t="n">
        <f aca="false">(BA47-INDEX(Mortality_Matrix!$B$4:$BS$64,MATCH($A113,Mortality_Matrix!$A$4:$A$64,0),MATCH(2063,Mortality_Matrix!$B$3:$BS$3,0)))/INDEX(Mortality_Matrix!$B$4:$BS$64,MATCH($A113,Mortality_Matrix!$A$4:$A$64,0),MATCH(2063,Mortality_Matrix!$B$3:$BS$3,0))</f>
        <v>-8.67447258609001E-010</v>
      </c>
      <c r="BB113" s="27" t="n">
        <f aca="false">(BB47-INDEX(Mortality_Matrix!$B$4:$BS$64,MATCH($A113,Mortality_Matrix!$A$4:$A$64,0),MATCH(2064,Mortality_Matrix!$B$3:$BS$3,0)))/INDEX(Mortality_Matrix!$B$4:$BS$64,MATCH($A113,Mortality_Matrix!$A$4:$A$64,0),MATCH(2064,Mortality_Matrix!$B$3:$BS$3,0))</f>
        <v>1.10479932079002E-009</v>
      </c>
      <c r="BC113" s="27" t="n">
        <f aca="false">(BC47-INDEX(Mortality_Matrix!$B$4:$BS$64,MATCH($A113,Mortality_Matrix!$A$4:$A$64,0),MATCH(2065,Mortality_Matrix!$B$3:$BS$3,0)))/INDEX(Mortality_Matrix!$B$4:$BS$64,MATCH($A113,Mortality_Matrix!$A$4:$A$64,0),MATCH(2065,Mortality_Matrix!$B$3:$BS$3,0))</f>
        <v>-1.7224582034608E-010</v>
      </c>
      <c r="BD113" s="27" t="n">
        <f aca="false">(BD47-INDEX(Mortality_Matrix!$B$4:$BS$64,MATCH($A113,Mortality_Matrix!$A$4:$A$64,0),MATCH(2066,Mortality_Matrix!$B$3:$BS$3,0)))/INDEX(Mortality_Matrix!$B$4:$BS$64,MATCH($A113,Mortality_Matrix!$A$4:$A$64,0),MATCH(2066,Mortality_Matrix!$B$3:$BS$3,0))</f>
        <v>9.48179954478328E-010</v>
      </c>
      <c r="BE113" s="27" t="n">
        <f aca="false">(BE47-INDEX(Mortality_Matrix!$B$4:$BS$64,MATCH($A113,Mortality_Matrix!$A$4:$A$64,0),MATCH(2067,Mortality_Matrix!$B$3:$BS$3,0)))/INDEX(Mortality_Matrix!$B$4:$BS$64,MATCH($A113,Mortality_Matrix!$A$4:$A$64,0),MATCH(2067,Mortality_Matrix!$B$3:$BS$3,0))</f>
        <v>-7.58052391885331E-010</v>
      </c>
      <c r="BF113" s="27" t="n">
        <f aca="false">(BF47-INDEX(Mortality_Matrix!$B$4:$BS$64,MATCH($A113,Mortality_Matrix!$A$4:$A$64,0),MATCH(2068,Mortality_Matrix!$B$3:$BS$3,0)))/INDEX(Mortality_Matrix!$B$4:$BS$64,MATCH($A113,Mortality_Matrix!$A$4:$A$64,0),MATCH(2068,Mortality_Matrix!$B$3:$BS$3,0))</f>
        <v>5.03148654936671E-011</v>
      </c>
      <c r="BG113" s="27" t="n">
        <f aca="false">(BG47-INDEX(Mortality_Matrix!$B$4:$BS$64,MATCH($A113,Mortality_Matrix!$A$4:$A$64,0),MATCH(2069,Mortality_Matrix!$B$3:$BS$3,0)))/INDEX(Mortality_Matrix!$B$4:$BS$64,MATCH($A113,Mortality_Matrix!$A$4:$A$64,0),MATCH(2069,Mortality_Matrix!$B$3:$BS$3,0))</f>
        <v>-8.20608073529736E-010</v>
      </c>
      <c r="BH113" s="27" t="n">
        <f aca="false">(BH47-INDEX(Mortality_Matrix!$B$4:$BS$64,MATCH($A113,Mortality_Matrix!$A$4:$A$64,0),MATCH(2070,Mortality_Matrix!$B$3:$BS$3,0)))/INDEX(Mortality_Matrix!$B$4:$BS$64,MATCH($A113,Mortality_Matrix!$A$4:$A$64,0),MATCH(2070,Mortality_Matrix!$B$3:$BS$3,0))</f>
        <v>-1.65378311992112E-009</v>
      </c>
      <c r="BI113" s="27" t="n">
        <f aca="false">(BI47-INDEX(Mortality_Matrix!$B$4:$BS$64,MATCH($A113,Mortality_Matrix!$A$4:$A$64,0),MATCH(2071,Mortality_Matrix!$B$3:$BS$3,0)))/INDEX(Mortality_Matrix!$B$4:$BS$64,MATCH($A113,Mortality_Matrix!$A$4:$A$64,0),MATCH(2071,Mortality_Matrix!$B$3:$BS$3,0))</f>
        <v>1.36715585738953E-009</v>
      </c>
      <c r="BJ113" s="27" t="n">
        <f aca="false">(BJ47-INDEX(Mortality_Matrix!$B$4:$BS$64,MATCH($A113,Mortality_Matrix!$A$4:$A$64,0),MATCH(2072,Mortality_Matrix!$B$3:$BS$3,0)))/INDEX(Mortality_Matrix!$B$4:$BS$64,MATCH($A113,Mortality_Matrix!$A$4:$A$64,0),MATCH(2072,Mortality_Matrix!$B$3:$BS$3,0))</f>
        <v>-5.2558625501192E-010</v>
      </c>
      <c r="BK113" s="27" t="n">
        <f aca="false">(BK47-INDEX(Mortality_Matrix!$B$4:$BS$64,MATCH($A113,Mortality_Matrix!$A$4:$A$64,0),MATCH(2073,Mortality_Matrix!$B$3:$BS$3,0)))/INDEX(Mortality_Matrix!$B$4:$BS$64,MATCH($A113,Mortality_Matrix!$A$4:$A$64,0),MATCH(2073,Mortality_Matrix!$B$3:$BS$3,0))</f>
        <v>1.55610975562035E-009</v>
      </c>
      <c r="BL113" s="27" t="n">
        <f aca="false">(BL47-INDEX(Mortality_Matrix!$B$4:$BS$64,MATCH($A113,Mortality_Matrix!$A$4:$A$64,0),MATCH(2074,Mortality_Matrix!$B$3:$BS$3,0)))/INDEX(Mortality_Matrix!$B$4:$BS$64,MATCH($A113,Mortality_Matrix!$A$4:$A$64,0),MATCH(2074,Mortality_Matrix!$B$3:$BS$3,0))</f>
        <v>-1.42432196436654E-009</v>
      </c>
      <c r="BM113" s="27" t="n">
        <f aca="false">(BM47-INDEX(Mortality_Matrix!$B$4:$BS$64,MATCH($A113,Mortality_Matrix!$A$4:$A$64,0),MATCH(2075,Mortality_Matrix!$B$3:$BS$3,0)))/INDEX(Mortality_Matrix!$B$4:$BS$64,MATCH($A113,Mortality_Matrix!$A$4:$A$64,0),MATCH(2075,Mortality_Matrix!$B$3:$BS$3,0))</f>
        <v>1.71152664583764E-009</v>
      </c>
      <c r="BN113" s="27" t="n">
        <f aca="false">(BN47-INDEX(Mortality_Matrix!$B$4:$BS$64,MATCH($A113,Mortality_Matrix!$A$4:$A$64,0),MATCH(2076,Mortality_Matrix!$B$3:$BS$3,0)))/INDEX(Mortality_Matrix!$B$4:$BS$64,MATCH($A113,Mortality_Matrix!$A$4:$A$64,0),MATCH(2076,Mortality_Matrix!$B$3:$BS$3,0))</f>
        <v>-1.58378147795628E-009</v>
      </c>
      <c r="BO113" s="27" t="n">
        <f aca="false">(BO47-INDEX(Mortality_Matrix!$B$4:$BS$64,MATCH($A113,Mortality_Matrix!$A$4:$A$64,0),MATCH(2077,Mortality_Matrix!$B$3:$BS$3,0)))/INDEX(Mortality_Matrix!$B$4:$BS$64,MATCH($A113,Mortality_Matrix!$A$4:$A$64,0),MATCH(2077,Mortality_Matrix!$B$3:$BS$3,0))</f>
        <v>-1.09235342304894E-009</v>
      </c>
      <c r="BP113" s="27" t="n">
        <f aca="false">(BP47-INDEX(Mortality_Matrix!$B$4:$BS$64,MATCH($A113,Mortality_Matrix!$A$4:$A$64,0),MATCH(2078,Mortality_Matrix!$B$3:$BS$3,0)))/INDEX(Mortality_Matrix!$B$4:$BS$64,MATCH($A113,Mortality_Matrix!$A$4:$A$64,0),MATCH(2078,Mortality_Matrix!$B$3:$BS$3,0))</f>
        <v>-1.26505367000169E-009</v>
      </c>
      <c r="BQ113" s="27" t="n">
        <f aca="false">(BQ47-INDEX(Mortality_Matrix!$B$4:$BS$64,MATCH($A113,Mortality_Matrix!$A$4:$A$64,0),MATCH(2079,Mortality_Matrix!$B$3:$BS$3,0)))/INDEX(Mortality_Matrix!$B$4:$BS$64,MATCH($A113,Mortality_Matrix!$A$4:$A$64,0),MATCH(2079,Mortality_Matrix!$B$3:$BS$3,0))</f>
        <v>1.96030718676468E-010</v>
      </c>
      <c r="BR113" s="27" t="n">
        <f aca="false">(BR47-INDEX(Mortality_Matrix!$B$4:$BS$64,MATCH($A113,Mortality_Matrix!$A$4:$A$64,0),MATCH(2080,Mortality_Matrix!$B$3:$BS$3,0)))/INDEX(Mortality_Matrix!$B$4:$BS$64,MATCH($A113,Mortality_Matrix!$A$4:$A$64,0),MATCH(2080,Mortality_Matrix!$B$3:$BS$3,0))</f>
        <v>1.76253032576583E-010</v>
      </c>
      <c r="BS113" s="27" t="n">
        <f aca="false">(BS47-INDEX(Mortality_Matrix!$B$4:$BS$64,MATCH($A113,Mortality_Matrix!$A$4:$A$64,0),MATCH(2081,Mortality_Matrix!$B$3:$BS$3,0)))/INDEX(Mortality_Matrix!$B$4:$BS$64,MATCH($A113,Mortality_Matrix!$A$4:$A$64,0),MATCH(2081,Mortality_Matrix!$B$3:$BS$3,0))</f>
        <v>9.59333080730123E-010</v>
      </c>
      <c r="BT113" s="27" t="n">
        <f aca="false">(BT47-INDEX(Mortality_Matrix!$B$4:$BS$64,MATCH($A113,Mortality_Matrix!$A$4:$A$64,0),MATCH(2082,Mortality_Matrix!$B$3:$BS$3,0)))/INDEX(Mortality_Matrix!$B$4:$BS$64,MATCH($A113,Mortality_Matrix!$A$4:$A$64,0),MATCH(2082,Mortality_Matrix!$B$3:$BS$3,0))</f>
        <v>1.67279923108712E-009</v>
      </c>
      <c r="BU113" s="27" t="n">
        <f aca="false">(BU47-INDEX(Mortality_Matrix!$B$4:$BS$64,MATCH($A113,Mortality_Matrix!$A$4:$A$64,0),MATCH(2083,Mortality_Matrix!$B$3:$BS$3,0)))/INDEX(Mortality_Matrix!$B$4:$BS$64,MATCH($A113,Mortality_Matrix!$A$4:$A$64,0),MATCH(2083,Mortality_Matrix!$B$3:$BS$3,0))</f>
        <v>1.36237157836492E-009</v>
      </c>
      <c r="BV113" s="27" t="n">
        <f aca="false">(BV47-INDEX(Mortality_Matrix!$B$4:$BS$64,MATCH($A113,Mortality_Matrix!$A$4:$A$64,0),MATCH(2084,Mortality_Matrix!$B$3:$BS$3,0)))/INDEX(Mortality_Matrix!$B$4:$BS$64,MATCH($A113,Mortality_Matrix!$A$4:$A$64,0),MATCH(2084,Mortality_Matrix!$B$3:$BS$3,0))</f>
        <v>-1.83119890531736E-009</v>
      </c>
      <c r="BW113" s="27" t="n">
        <f aca="false">(BW47-INDEX(Mortality_Matrix!$B$4:$BS$64,MATCH($A113,Mortality_Matrix!$A$4:$A$64,0),MATCH(2085,Mortality_Matrix!$B$3:$BS$3,0)))/INDEX(Mortality_Matrix!$B$4:$BS$64,MATCH($A113,Mortality_Matrix!$A$4:$A$64,0),MATCH(2085,Mortality_Matrix!$B$3:$BS$3,0))</f>
        <v>1.24036234497025E-009</v>
      </c>
      <c r="BX113" s="27" t="n">
        <f aca="false">(BX47-INDEX(Mortality_Matrix!$B$4:$BS$64,MATCH($A113,Mortality_Matrix!$A$4:$A$64,0),MATCH(2086,Mortality_Matrix!$B$3:$BS$3,0)))/INDEX(Mortality_Matrix!$B$4:$BS$64,MATCH($A113,Mortality_Matrix!$A$4:$A$64,0),MATCH(2086,Mortality_Matrix!$B$3:$BS$3,0))</f>
        <v>4.39123167549592E-010</v>
      </c>
      <c r="BY113" s="27" t="n">
        <f aca="false">(BY47-INDEX(Mortality_Matrix!$B$4:$BS$64,MATCH($A113,Mortality_Matrix!$A$4:$A$64,0),MATCH(2087,Mortality_Matrix!$B$3:$BS$3,0)))/INDEX(Mortality_Matrix!$B$4:$BS$64,MATCH($A113,Mortality_Matrix!$A$4:$A$64,0),MATCH(2087,Mortality_Matrix!$B$3:$BS$3,0))</f>
        <v>-7.92030603652405E-010</v>
      </c>
      <c r="BZ113" s="27" t="n">
        <f aca="false">(BZ47-INDEX(Mortality_Matrix!$B$4:$BS$64,MATCH($A113,Mortality_Matrix!$A$4:$A$64,0),MATCH(2088,Mortality_Matrix!$B$3:$BS$3,0)))/INDEX(Mortality_Matrix!$B$4:$BS$64,MATCH($A113,Mortality_Matrix!$A$4:$A$64,0),MATCH(2088,Mortality_Matrix!$B$3:$BS$3,0))</f>
        <v>1.41761798255847E-009</v>
      </c>
      <c r="CA113" s="27" t="n">
        <f aca="false">(CA47-INDEX(Mortality_Matrix!$B$4:$BS$64,MATCH($A113,Mortality_Matrix!$A$4:$A$64,0),MATCH(2089,Mortality_Matrix!$B$3:$BS$3,0)))/INDEX(Mortality_Matrix!$B$4:$BS$64,MATCH($A113,Mortality_Matrix!$A$4:$A$64,0),MATCH(2089,Mortality_Matrix!$B$3:$BS$3,0))</f>
        <v>1.50825624967635E-009</v>
      </c>
      <c r="CB113" s="27" t="n">
        <f aca="false">(CB47-INDEX(Mortality_Matrix!$B$4:$BS$64,MATCH($A113,Mortality_Matrix!$A$4:$A$64,0),MATCH(2090,Mortality_Matrix!$B$3:$BS$3,0)))/INDEX(Mortality_Matrix!$B$4:$BS$64,MATCH($A113,Mortality_Matrix!$A$4:$A$64,0),MATCH(2090,Mortality_Matrix!$B$3:$BS$3,0))</f>
        <v>1.34722377486538E-009</v>
      </c>
      <c r="CC113" s="27" t="n">
        <f aca="false">(CC47-INDEX(Mortality_Matrix!$B$4:$BS$64,MATCH($A113,Mortality_Matrix!$A$4:$A$64,0),MATCH(2091,Mortality_Matrix!$B$3:$BS$3,0)))/INDEX(Mortality_Matrix!$B$4:$BS$64,MATCH($A113,Mortality_Matrix!$A$4:$A$64,0),MATCH(2091,Mortality_Matrix!$B$3:$BS$3,0))</f>
        <v>6.46574554390449E-010</v>
      </c>
    </row>
    <row r="114" customFormat="false" ht="15" hidden="false" customHeight="true" outlineLevel="0" collapsed="false">
      <c r="A114" s="3" t="n">
        <v>85</v>
      </c>
      <c r="L114" s="27" t="n">
        <f aca="false">(L48-INDEX(Mortality_Matrix!$B$4:$BS$64,MATCH($A114,Mortality_Matrix!$A$4:$A$64,0),MATCH(2022,Mortality_Matrix!$B$3:$BS$3,0)))/INDEX(Mortality_Matrix!$B$4:$BS$64,MATCH($A114,Mortality_Matrix!$A$4:$A$64,0),MATCH(2022,Mortality_Matrix!$B$3:$BS$3,0))</f>
        <v>-6.85405608390626E-010</v>
      </c>
      <c r="M114" s="27" t="n">
        <f aca="false">(M48-INDEX(Mortality_Matrix!$B$4:$BS$64,MATCH($A114,Mortality_Matrix!$A$4:$A$64,0),MATCH(2023,Mortality_Matrix!$B$3:$BS$3,0)))/INDEX(Mortality_Matrix!$B$4:$BS$64,MATCH($A114,Mortality_Matrix!$A$4:$A$64,0),MATCH(2023,Mortality_Matrix!$B$3:$BS$3,0))</f>
        <v>6.97558723371385E-010</v>
      </c>
      <c r="N114" s="27" t="n">
        <f aca="false">(N48-INDEX(Mortality_Matrix!$B$4:$BS$64,MATCH($A114,Mortality_Matrix!$A$4:$A$64,0),MATCH(2024,Mortality_Matrix!$B$3:$BS$3,0)))/INDEX(Mortality_Matrix!$B$4:$BS$64,MATCH($A114,Mortality_Matrix!$A$4:$A$64,0),MATCH(2024,Mortality_Matrix!$B$3:$BS$3,0))</f>
        <v>1.28896644766114E-010</v>
      </c>
      <c r="O114" s="27" t="n">
        <f aca="false">(O48-INDEX(Mortality_Matrix!$B$4:$BS$64,MATCH($A114,Mortality_Matrix!$A$4:$A$64,0),MATCH(2025,Mortality_Matrix!$B$3:$BS$3,0)))/INDEX(Mortality_Matrix!$B$4:$BS$64,MATCH($A114,Mortality_Matrix!$A$4:$A$64,0),MATCH(2025,Mortality_Matrix!$B$3:$BS$3,0))</f>
        <v>6.10248765036009E-010</v>
      </c>
      <c r="P114" s="27" t="n">
        <f aca="false">(P48-INDEX(Mortality_Matrix!$B$4:$BS$64,MATCH($A114,Mortality_Matrix!$A$4:$A$64,0),MATCH(2026,Mortality_Matrix!$B$3:$BS$3,0)))/INDEX(Mortality_Matrix!$B$4:$BS$64,MATCH($A114,Mortality_Matrix!$A$4:$A$64,0),MATCH(2026,Mortality_Matrix!$B$3:$BS$3,0))</f>
        <v>-3.572926986173E-010</v>
      </c>
      <c r="Q114" s="27" t="n">
        <f aca="false">(Q48-INDEX(Mortality_Matrix!$B$4:$BS$64,MATCH($A114,Mortality_Matrix!$A$4:$A$64,0),MATCH(2027,Mortality_Matrix!$B$3:$BS$3,0)))/INDEX(Mortality_Matrix!$B$4:$BS$64,MATCH($A114,Mortality_Matrix!$A$4:$A$64,0),MATCH(2027,Mortality_Matrix!$B$3:$BS$3,0))</f>
        <v>-2.0510432211968E-010</v>
      </c>
      <c r="R114" s="27" t="n">
        <f aca="false">(R48-INDEX(Mortality_Matrix!$B$4:$BS$64,MATCH($A114,Mortality_Matrix!$A$4:$A$64,0),MATCH(2028,Mortality_Matrix!$B$3:$BS$3,0)))/INDEX(Mortality_Matrix!$B$4:$BS$64,MATCH($A114,Mortality_Matrix!$A$4:$A$64,0),MATCH(2028,Mortality_Matrix!$B$3:$BS$3,0))</f>
        <v>-2.71101104688464E-010</v>
      </c>
      <c r="S114" s="27" t="n">
        <f aca="false">(S48-INDEX(Mortality_Matrix!$B$4:$BS$64,MATCH($A114,Mortality_Matrix!$A$4:$A$64,0),MATCH(2029,Mortality_Matrix!$B$3:$BS$3,0)))/INDEX(Mortality_Matrix!$B$4:$BS$64,MATCH($A114,Mortality_Matrix!$A$4:$A$64,0),MATCH(2029,Mortality_Matrix!$B$3:$BS$3,0))</f>
        <v>-3.4759280056464E-010</v>
      </c>
      <c r="T114" s="27" t="n">
        <f aca="false">(T48-INDEX(Mortality_Matrix!$B$4:$BS$64,MATCH($A114,Mortality_Matrix!$A$4:$A$64,0),MATCH(2030,Mortality_Matrix!$B$3:$BS$3,0)))/INDEX(Mortality_Matrix!$B$4:$BS$64,MATCH($A114,Mortality_Matrix!$A$4:$A$64,0),MATCH(2030,Mortality_Matrix!$B$3:$BS$3,0))</f>
        <v>2.92049568494013E-010</v>
      </c>
      <c r="U114" s="27" t="n">
        <f aca="false">(U48-INDEX(Mortality_Matrix!$B$4:$BS$64,MATCH($A114,Mortality_Matrix!$A$4:$A$64,0),MATCH(2031,Mortality_Matrix!$B$3:$BS$3,0)))/INDEX(Mortality_Matrix!$B$4:$BS$64,MATCH($A114,Mortality_Matrix!$A$4:$A$64,0),MATCH(2031,Mortality_Matrix!$B$3:$BS$3,0))</f>
        <v>-5.42394317096964E-010</v>
      </c>
      <c r="V114" s="27" t="n">
        <f aca="false">(V48-INDEX(Mortality_Matrix!$B$4:$BS$64,MATCH($A114,Mortality_Matrix!$A$4:$A$64,0),MATCH(2032,Mortality_Matrix!$B$3:$BS$3,0)))/INDEX(Mortality_Matrix!$B$4:$BS$64,MATCH($A114,Mortality_Matrix!$A$4:$A$64,0),MATCH(2032,Mortality_Matrix!$B$3:$BS$3,0))</f>
        <v>8.09789381662339E-010</v>
      </c>
      <c r="W114" s="27" t="n">
        <f aca="false">(W48-INDEX(Mortality_Matrix!$B$4:$BS$64,MATCH($A114,Mortality_Matrix!$A$4:$A$64,0),MATCH(2033,Mortality_Matrix!$B$3:$BS$3,0)))/INDEX(Mortality_Matrix!$B$4:$BS$64,MATCH($A114,Mortality_Matrix!$A$4:$A$64,0),MATCH(2033,Mortality_Matrix!$B$3:$BS$3,0))</f>
        <v>7.68440637802514E-010</v>
      </c>
      <c r="X114" s="27" t="n">
        <f aca="false">(X48-INDEX(Mortality_Matrix!$B$4:$BS$64,MATCH($A114,Mortality_Matrix!$A$4:$A$64,0),MATCH(2034,Mortality_Matrix!$B$3:$BS$3,0)))/INDEX(Mortality_Matrix!$B$4:$BS$64,MATCH($A114,Mortality_Matrix!$A$4:$A$64,0),MATCH(2034,Mortality_Matrix!$B$3:$BS$3,0))</f>
        <v>6.17318750287869E-010</v>
      </c>
      <c r="Y114" s="27" t="n">
        <f aca="false">(Y48-INDEX(Mortality_Matrix!$B$4:$BS$64,MATCH($A114,Mortality_Matrix!$A$4:$A$64,0),MATCH(2035,Mortality_Matrix!$B$3:$BS$3,0)))/INDEX(Mortality_Matrix!$B$4:$BS$64,MATCH($A114,Mortality_Matrix!$A$4:$A$64,0),MATCH(2035,Mortality_Matrix!$B$3:$BS$3,0))</f>
        <v>-7.54967766075282E-010</v>
      </c>
      <c r="Z114" s="27" t="n">
        <f aca="false">(Z48-INDEX(Mortality_Matrix!$B$4:$BS$64,MATCH($A114,Mortality_Matrix!$A$4:$A$64,0),MATCH(2036,Mortality_Matrix!$B$3:$BS$3,0)))/INDEX(Mortality_Matrix!$B$4:$BS$64,MATCH($A114,Mortality_Matrix!$A$4:$A$64,0),MATCH(2036,Mortality_Matrix!$B$3:$BS$3,0))</f>
        <v>7.93976268137105E-010</v>
      </c>
      <c r="AA114" s="27" t="n">
        <f aca="false">(AA48-INDEX(Mortality_Matrix!$B$4:$BS$64,MATCH($A114,Mortality_Matrix!$A$4:$A$64,0),MATCH(2037,Mortality_Matrix!$B$3:$BS$3,0)))/INDEX(Mortality_Matrix!$B$4:$BS$64,MATCH($A114,Mortality_Matrix!$A$4:$A$64,0),MATCH(2037,Mortality_Matrix!$B$3:$BS$3,0))</f>
        <v>1.87804676752275E-010</v>
      </c>
      <c r="AB114" s="27" t="n">
        <f aca="false">(AB48-INDEX(Mortality_Matrix!$B$4:$BS$64,MATCH($A114,Mortality_Matrix!$A$4:$A$64,0),MATCH(2038,Mortality_Matrix!$B$3:$BS$3,0)))/INDEX(Mortality_Matrix!$B$4:$BS$64,MATCH($A114,Mortality_Matrix!$A$4:$A$64,0),MATCH(2038,Mortality_Matrix!$B$3:$BS$3,0))</f>
        <v>-5.61381159583857E-010</v>
      </c>
      <c r="AC114" s="27" t="n">
        <f aca="false">(AC48-INDEX(Mortality_Matrix!$B$4:$BS$64,MATCH($A114,Mortality_Matrix!$A$4:$A$64,0),MATCH(2039,Mortality_Matrix!$B$3:$BS$3,0)))/INDEX(Mortality_Matrix!$B$4:$BS$64,MATCH($A114,Mortality_Matrix!$A$4:$A$64,0),MATCH(2039,Mortality_Matrix!$B$3:$BS$3,0))</f>
        <v>1.35830664851114E-010</v>
      </c>
      <c r="AD114" s="27" t="n">
        <f aca="false">(AD48-INDEX(Mortality_Matrix!$B$4:$BS$64,MATCH($A114,Mortality_Matrix!$A$4:$A$64,0),MATCH(2040,Mortality_Matrix!$B$3:$BS$3,0)))/INDEX(Mortality_Matrix!$B$4:$BS$64,MATCH($A114,Mortality_Matrix!$A$4:$A$64,0),MATCH(2040,Mortality_Matrix!$B$3:$BS$3,0))</f>
        <v>7.51733924916963E-010</v>
      </c>
      <c r="AE114" s="27" t="n">
        <f aca="false">(AE48-INDEX(Mortality_Matrix!$B$4:$BS$64,MATCH($A114,Mortality_Matrix!$A$4:$A$64,0),MATCH(2041,Mortality_Matrix!$B$3:$BS$3,0)))/INDEX(Mortality_Matrix!$B$4:$BS$64,MATCH($A114,Mortality_Matrix!$A$4:$A$64,0),MATCH(2041,Mortality_Matrix!$B$3:$BS$3,0))</f>
        <v>-6.85482705942846E-010</v>
      </c>
      <c r="AF114" s="27" t="n">
        <f aca="false">(AF48-INDEX(Mortality_Matrix!$B$4:$BS$64,MATCH($A114,Mortality_Matrix!$A$4:$A$64,0),MATCH(2042,Mortality_Matrix!$B$3:$BS$3,0)))/INDEX(Mortality_Matrix!$B$4:$BS$64,MATCH($A114,Mortality_Matrix!$A$4:$A$64,0),MATCH(2042,Mortality_Matrix!$B$3:$BS$3,0))</f>
        <v>1.38815771817091E-010</v>
      </c>
      <c r="AG114" s="27" t="n">
        <f aca="false">(AG48-INDEX(Mortality_Matrix!$B$4:$BS$64,MATCH($A114,Mortality_Matrix!$A$4:$A$64,0),MATCH(2043,Mortality_Matrix!$B$3:$BS$3,0)))/INDEX(Mortality_Matrix!$B$4:$BS$64,MATCH($A114,Mortality_Matrix!$A$4:$A$64,0),MATCH(2043,Mortality_Matrix!$B$3:$BS$3,0))</f>
        <v>2.33880128898147E-011</v>
      </c>
      <c r="AH114" s="27" t="n">
        <f aca="false">(AH48-INDEX(Mortality_Matrix!$B$4:$BS$64,MATCH($A114,Mortality_Matrix!$A$4:$A$64,0),MATCH(2044,Mortality_Matrix!$B$3:$BS$3,0)))/INDEX(Mortality_Matrix!$B$4:$BS$64,MATCH($A114,Mortality_Matrix!$A$4:$A$64,0),MATCH(2044,Mortality_Matrix!$B$3:$BS$3,0))</f>
        <v>5.21426588680588E-010</v>
      </c>
      <c r="AI114" s="27" t="n">
        <f aca="false">(AI48-INDEX(Mortality_Matrix!$B$4:$BS$64,MATCH($A114,Mortality_Matrix!$A$4:$A$64,0),MATCH(2045,Mortality_Matrix!$B$3:$BS$3,0)))/INDEX(Mortality_Matrix!$B$4:$BS$64,MATCH($A114,Mortality_Matrix!$A$4:$A$64,0),MATCH(2045,Mortality_Matrix!$B$3:$BS$3,0))</f>
        <v>-4.40248393743109E-010</v>
      </c>
      <c r="AJ114" s="27" t="n">
        <f aca="false">(AJ48-INDEX(Mortality_Matrix!$B$4:$BS$64,MATCH($A114,Mortality_Matrix!$A$4:$A$64,0),MATCH(2046,Mortality_Matrix!$B$3:$BS$3,0)))/INDEX(Mortality_Matrix!$B$4:$BS$64,MATCH($A114,Mortality_Matrix!$A$4:$A$64,0),MATCH(2046,Mortality_Matrix!$B$3:$BS$3,0))</f>
        <v>4.05224346602633E-010</v>
      </c>
      <c r="AK114" s="27" t="n">
        <f aca="false">(AK48-INDEX(Mortality_Matrix!$B$4:$BS$64,MATCH($A114,Mortality_Matrix!$A$4:$A$64,0),MATCH(2047,Mortality_Matrix!$B$3:$BS$3,0)))/INDEX(Mortality_Matrix!$B$4:$BS$64,MATCH($A114,Mortality_Matrix!$A$4:$A$64,0),MATCH(2047,Mortality_Matrix!$B$3:$BS$3,0))</f>
        <v>-1.00491893281608E-009</v>
      </c>
      <c r="AL114" s="27" t="n">
        <f aca="false">(AL48-INDEX(Mortality_Matrix!$B$4:$BS$64,MATCH($A114,Mortality_Matrix!$A$4:$A$64,0),MATCH(2048,Mortality_Matrix!$B$3:$BS$3,0)))/INDEX(Mortality_Matrix!$B$4:$BS$64,MATCH($A114,Mortality_Matrix!$A$4:$A$64,0),MATCH(2048,Mortality_Matrix!$B$3:$BS$3,0))</f>
        <v>-8.49308356974573E-010</v>
      </c>
      <c r="AM114" s="27" t="n">
        <f aca="false">(AM48-INDEX(Mortality_Matrix!$B$4:$BS$64,MATCH($A114,Mortality_Matrix!$A$4:$A$64,0),MATCH(2049,Mortality_Matrix!$B$3:$BS$3,0)))/INDEX(Mortality_Matrix!$B$4:$BS$64,MATCH($A114,Mortality_Matrix!$A$4:$A$64,0),MATCH(2049,Mortality_Matrix!$B$3:$BS$3,0))</f>
        <v>-2.70047177720133E-010</v>
      </c>
      <c r="AN114" s="27" t="n">
        <f aca="false">(AN48-INDEX(Mortality_Matrix!$B$4:$BS$64,MATCH($A114,Mortality_Matrix!$A$4:$A$64,0),MATCH(2050,Mortality_Matrix!$B$3:$BS$3,0)))/INDEX(Mortality_Matrix!$B$4:$BS$64,MATCH($A114,Mortality_Matrix!$A$4:$A$64,0),MATCH(2050,Mortality_Matrix!$B$3:$BS$3,0))</f>
        <v>-1.63123252581571E-010</v>
      </c>
      <c r="AO114" s="27" t="n">
        <f aca="false">(AO48-INDEX(Mortality_Matrix!$B$4:$BS$64,MATCH($A114,Mortality_Matrix!$A$4:$A$64,0),MATCH(2051,Mortality_Matrix!$B$3:$BS$3,0)))/INDEX(Mortality_Matrix!$B$4:$BS$64,MATCH($A114,Mortality_Matrix!$A$4:$A$64,0),MATCH(2051,Mortality_Matrix!$B$3:$BS$3,0))</f>
        <v>1.95099456737231E-010</v>
      </c>
      <c r="AP114" s="27" t="n">
        <f aca="false">(AP48-INDEX(Mortality_Matrix!$B$4:$BS$64,MATCH($A114,Mortality_Matrix!$A$4:$A$64,0),MATCH(2052,Mortality_Matrix!$B$3:$BS$3,0)))/INDEX(Mortality_Matrix!$B$4:$BS$64,MATCH($A114,Mortality_Matrix!$A$4:$A$64,0),MATCH(2052,Mortality_Matrix!$B$3:$BS$3,0))</f>
        <v>2.50202206485181E-010</v>
      </c>
      <c r="AQ114" s="27" t="n">
        <f aca="false">(AQ48-INDEX(Mortality_Matrix!$B$4:$BS$64,MATCH($A114,Mortality_Matrix!$A$4:$A$64,0),MATCH(2053,Mortality_Matrix!$B$3:$BS$3,0)))/INDEX(Mortality_Matrix!$B$4:$BS$64,MATCH($A114,Mortality_Matrix!$A$4:$A$64,0),MATCH(2053,Mortality_Matrix!$B$3:$BS$3,0))</f>
        <v>-5.10606921180065E-010</v>
      </c>
      <c r="AR114" s="27" t="n">
        <f aca="false">(AR48-INDEX(Mortality_Matrix!$B$4:$BS$64,MATCH($A114,Mortality_Matrix!$A$4:$A$64,0),MATCH(2054,Mortality_Matrix!$B$3:$BS$3,0)))/INDEX(Mortality_Matrix!$B$4:$BS$64,MATCH($A114,Mortality_Matrix!$A$4:$A$64,0),MATCH(2054,Mortality_Matrix!$B$3:$BS$3,0))</f>
        <v>-1.10126171795534E-009</v>
      </c>
      <c r="AS114" s="27" t="n">
        <f aca="false">(AS48-INDEX(Mortality_Matrix!$B$4:$BS$64,MATCH($A114,Mortality_Matrix!$A$4:$A$64,0),MATCH(2055,Mortality_Matrix!$B$3:$BS$3,0)))/INDEX(Mortality_Matrix!$B$4:$BS$64,MATCH($A114,Mortality_Matrix!$A$4:$A$64,0),MATCH(2055,Mortality_Matrix!$B$3:$BS$3,0))</f>
        <v>2.59481770778439E-010</v>
      </c>
      <c r="AT114" s="27" t="n">
        <f aca="false">(AT48-INDEX(Mortality_Matrix!$B$4:$BS$64,MATCH($A114,Mortality_Matrix!$A$4:$A$64,0),MATCH(2056,Mortality_Matrix!$B$3:$BS$3,0)))/INDEX(Mortality_Matrix!$B$4:$BS$64,MATCH($A114,Mortality_Matrix!$A$4:$A$64,0),MATCH(2056,Mortality_Matrix!$B$3:$BS$3,0))</f>
        <v>7.04360612989146E-010</v>
      </c>
      <c r="AU114" s="27" t="n">
        <f aca="false">(AU48-INDEX(Mortality_Matrix!$B$4:$BS$64,MATCH($A114,Mortality_Matrix!$A$4:$A$64,0),MATCH(2057,Mortality_Matrix!$B$3:$BS$3,0)))/INDEX(Mortality_Matrix!$B$4:$BS$64,MATCH($A114,Mortality_Matrix!$A$4:$A$64,0),MATCH(2057,Mortality_Matrix!$B$3:$BS$3,0))</f>
        <v>1.04904357642316E-009</v>
      </c>
      <c r="AV114" s="27" t="n">
        <f aca="false">(AV48-INDEX(Mortality_Matrix!$B$4:$BS$64,MATCH($A114,Mortality_Matrix!$A$4:$A$64,0),MATCH(2058,Mortality_Matrix!$B$3:$BS$3,0)))/INDEX(Mortality_Matrix!$B$4:$BS$64,MATCH($A114,Mortality_Matrix!$A$4:$A$64,0),MATCH(2058,Mortality_Matrix!$B$3:$BS$3,0))</f>
        <v>4.33646005289219E-010</v>
      </c>
      <c r="AW114" s="27" t="n">
        <f aca="false">(AW48-INDEX(Mortality_Matrix!$B$4:$BS$64,MATCH($A114,Mortality_Matrix!$A$4:$A$64,0),MATCH(2059,Mortality_Matrix!$B$3:$BS$3,0)))/INDEX(Mortality_Matrix!$B$4:$BS$64,MATCH($A114,Mortality_Matrix!$A$4:$A$64,0),MATCH(2059,Mortality_Matrix!$B$3:$BS$3,0))</f>
        <v>2.743910369716E-010</v>
      </c>
      <c r="AX114" s="27" t="n">
        <f aca="false">(AX48-INDEX(Mortality_Matrix!$B$4:$BS$64,MATCH($A114,Mortality_Matrix!$A$4:$A$64,0),MATCH(2060,Mortality_Matrix!$B$3:$BS$3,0)))/INDEX(Mortality_Matrix!$B$4:$BS$64,MATCH($A114,Mortality_Matrix!$A$4:$A$64,0),MATCH(2060,Mortality_Matrix!$B$3:$BS$3,0))</f>
        <v>1.13253926504803E-009</v>
      </c>
      <c r="AY114" s="27" t="n">
        <f aca="false">(AY48-INDEX(Mortality_Matrix!$B$4:$BS$64,MATCH($A114,Mortality_Matrix!$A$4:$A$64,0),MATCH(2061,Mortality_Matrix!$B$3:$BS$3,0)))/INDEX(Mortality_Matrix!$B$4:$BS$64,MATCH($A114,Mortality_Matrix!$A$4:$A$64,0),MATCH(2061,Mortality_Matrix!$B$3:$BS$3,0))</f>
        <v>-6.98277582100952E-010</v>
      </c>
      <c r="AZ114" s="27" t="n">
        <f aca="false">(AZ48-INDEX(Mortality_Matrix!$B$4:$BS$64,MATCH($A114,Mortality_Matrix!$A$4:$A$64,0),MATCH(2062,Mortality_Matrix!$B$3:$BS$3,0)))/INDEX(Mortality_Matrix!$B$4:$BS$64,MATCH($A114,Mortality_Matrix!$A$4:$A$64,0),MATCH(2062,Mortality_Matrix!$B$3:$BS$3,0))</f>
        <v>1.0450521728587E-009</v>
      </c>
      <c r="BA114" s="27" t="n">
        <f aca="false">(BA48-INDEX(Mortality_Matrix!$B$4:$BS$64,MATCH($A114,Mortality_Matrix!$A$4:$A$64,0),MATCH(2063,Mortality_Matrix!$B$3:$BS$3,0)))/INDEX(Mortality_Matrix!$B$4:$BS$64,MATCH($A114,Mortality_Matrix!$A$4:$A$64,0),MATCH(2063,Mortality_Matrix!$B$3:$BS$3,0))</f>
        <v>-8.80991736553372E-010</v>
      </c>
      <c r="BB114" s="27" t="n">
        <f aca="false">(BB48-INDEX(Mortality_Matrix!$B$4:$BS$64,MATCH($A114,Mortality_Matrix!$A$4:$A$64,0),MATCH(2064,Mortality_Matrix!$B$3:$BS$3,0)))/INDEX(Mortality_Matrix!$B$4:$BS$64,MATCH($A114,Mortality_Matrix!$A$4:$A$64,0),MATCH(2064,Mortality_Matrix!$B$3:$BS$3,0))</f>
        <v>-2.22123220318267E-011</v>
      </c>
      <c r="BC114" s="27" t="n">
        <f aca="false">(BC48-INDEX(Mortality_Matrix!$B$4:$BS$64,MATCH($A114,Mortality_Matrix!$A$4:$A$64,0),MATCH(2065,Mortality_Matrix!$B$3:$BS$3,0)))/INDEX(Mortality_Matrix!$B$4:$BS$64,MATCH($A114,Mortality_Matrix!$A$4:$A$64,0),MATCH(2065,Mortality_Matrix!$B$3:$BS$3,0))</f>
        <v>-1.29517714080703E-010</v>
      </c>
      <c r="BD114" s="27" t="n">
        <f aca="false">(BD48-INDEX(Mortality_Matrix!$B$4:$BS$64,MATCH($A114,Mortality_Matrix!$A$4:$A$64,0),MATCH(2066,Mortality_Matrix!$B$3:$BS$3,0)))/INDEX(Mortality_Matrix!$B$4:$BS$64,MATCH($A114,Mortality_Matrix!$A$4:$A$64,0),MATCH(2066,Mortality_Matrix!$B$3:$BS$3,0))</f>
        <v>-4.29101737798291E-010</v>
      </c>
      <c r="BE114" s="27" t="n">
        <f aca="false">(BE48-INDEX(Mortality_Matrix!$B$4:$BS$64,MATCH($A114,Mortality_Matrix!$A$4:$A$64,0),MATCH(2067,Mortality_Matrix!$B$3:$BS$3,0)))/INDEX(Mortality_Matrix!$B$4:$BS$64,MATCH($A114,Mortality_Matrix!$A$4:$A$64,0),MATCH(2067,Mortality_Matrix!$B$3:$BS$3,0))</f>
        <v>1.14692791344111E-009</v>
      </c>
      <c r="BF114" s="27" t="n">
        <f aca="false">(BF48-INDEX(Mortality_Matrix!$B$4:$BS$64,MATCH($A114,Mortality_Matrix!$A$4:$A$64,0),MATCH(2068,Mortality_Matrix!$B$3:$BS$3,0)))/INDEX(Mortality_Matrix!$B$4:$BS$64,MATCH($A114,Mortality_Matrix!$A$4:$A$64,0),MATCH(2068,Mortality_Matrix!$B$3:$BS$3,0))</f>
        <v>-1.18294053996651E-009</v>
      </c>
      <c r="BG114" s="27" t="n">
        <f aca="false">(BG48-INDEX(Mortality_Matrix!$B$4:$BS$64,MATCH($A114,Mortality_Matrix!$A$4:$A$64,0),MATCH(2069,Mortality_Matrix!$B$3:$BS$3,0)))/INDEX(Mortality_Matrix!$B$4:$BS$64,MATCH($A114,Mortality_Matrix!$A$4:$A$64,0),MATCH(2069,Mortality_Matrix!$B$3:$BS$3,0))</f>
        <v>3.27462927181346E-010</v>
      </c>
      <c r="BH114" s="27" t="n">
        <f aca="false">(BH48-INDEX(Mortality_Matrix!$B$4:$BS$64,MATCH($A114,Mortality_Matrix!$A$4:$A$64,0),MATCH(2070,Mortality_Matrix!$B$3:$BS$3,0)))/INDEX(Mortality_Matrix!$B$4:$BS$64,MATCH($A114,Mortality_Matrix!$A$4:$A$64,0),MATCH(2070,Mortality_Matrix!$B$3:$BS$3,0))</f>
        <v>1.13756325186617E-009</v>
      </c>
      <c r="BI114" s="27" t="n">
        <f aca="false">(BI48-INDEX(Mortality_Matrix!$B$4:$BS$64,MATCH($A114,Mortality_Matrix!$A$4:$A$64,0),MATCH(2071,Mortality_Matrix!$B$3:$BS$3,0)))/INDEX(Mortality_Matrix!$B$4:$BS$64,MATCH($A114,Mortality_Matrix!$A$4:$A$64,0),MATCH(2071,Mortality_Matrix!$B$3:$BS$3,0))</f>
        <v>2.71067234405697E-010</v>
      </c>
      <c r="BJ114" s="27" t="n">
        <f aca="false">(BJ48-INDEX(Mortality_Matrix!$B$4:$BS$64,MATCH($A114,Mortality_Matrix!$A$4:$A$64,0),MATCH(2072,Mortality_Matrix!$B$3:$BS$3,0)))/INDEX(Mortality_Matrix!$B$4:$BS$64,MATCH($A114,Mortality_Matrix!$A$4:$A$64,0),MATCH(2072,Mortality_Matrix!$B$3:$BS$3,0))</f>
        <v>-2.20963565430129E-010</v>
      </c>
      <c r="BK114" s="27" t="n">
        <f aca="false">(BK48-INDEX(Mortality_Matrix!$B$4:$BS$64,MATCH($A114,Mortality_Matrix!$A$4:$A$64,0),MATCH(2073,Mortality_Matrix!$B$3:$BS$3,0)))/INDEX(Mortality_Matrix!$B$4:$BS$64,MATCH($A114,Mortality_Matrix!$A$4:$A$64,0),MATCH(2073,Mortality_Matrix!$B$3:$BS$3,0))</f>
        <v>1.1262366791482E-009</v>
      </c>
      <c r="BL114" s="27" t="n">
        <f aca="false">(BL48-INDEX(Mortality_Matrix!$B$4:$BS$64,MATCH($A114,Mortality_Matrix!$A$4:$A$64,0),MATCH(2074,Mortality_Matrix!$B$3:$BS$3,0)))/INDEX(Mortality_Matrix!$B$4:$BS$64,MATCH($A114,Mortality_Matrix!$A$4:$A$64,0),MATCH(2074,Mortality_Matrix!$B$3:$BS$3,0))</f>
        <v>1.24917749050305E-009</v>
      </c>
      <c r="BM114" s="27" t="n">
        <f aca="false">(BM48-INDEX(Mortality_Matrix!$B$4:$BS$64,MATCH($A114,Mortality_Matrix!$A$4:$A$64,0),MATCH(2075,Mortality_Matrix!$B$3:$BS$3,0)))/INDEX(Mortality_Matrix!$B$4:$BS$64,MATCH($A114,Mortality_Matrix!$A$4:$A$64,0),MATCH(2075,Mortality_Matrix!$B$3:$BS$3,0))</f>
        <v>7.49925357709017E-010</v>
      </c>
      <c r="BN114" s="27" t="n">
        <f aca="false">(BN48-INDEX(Mortality_Matrix!$B$4:$BS$64,MATCH($A114,Mortality_Matrix!$A$4:$A$64,0),MATCH(2076,Mortality_Matrix!$B$3:$BS$3,0)))/INDEX(Mortality_Matrix!$B$4:$BS$64,MATCH($A114,Mortality_Matrix!$A$4:$A$64,0),MATCH(2076,Mortality_Matrix!$B$3:$BS$3,0))</f>
        <v>1.95553046103154E-010</v>
      </c>
      <c r="BO114" s="27" t="n">
        <f aca="false">(BO48-INDEX(Mortality_Matrix!$B$4:$BS$64,MATCH($A114,Mortality_Matrix!$A$4:$A$64,0),MATCH(2077,Mortality_Matrix!$B$3:$BS$3,0)))/INDEX(Mortality_Matrix!$B$4:$BS$64,MATCH($A114,Mortality_Matrix!$A$4:$A$64,0),MATCH(2077,Mortality_Matrix!$B$3:$BS$3,0))</f>
        <v>-7.04950083152305E-010</v>
      </c>
      <c r="BP114" s="27" t="n">
        <f aca="false">(BP48-INDEX(Mortality_Matrix!$B$4:$BS$64,MATCH($A114,Mortality_Matrix!$A$4:$A$64,0),MATCH(2078,Mortality_Matrix!$B$3:$BS$3,0)))/INDEX(Mortality_Matrix!$B$4:$BS$64,MATCH($A114,Mortality_Matrix!$A$4:$A$64,0),MATCH(2078,Mortality_Matrix!$B$3:$BS$3,0))</f>
        <v>-7.21275366058728E-010</v>
      </c>
      <c r="BQ114" s="27" t="n">
        <f aca="false">(BQ48-INDEX(Mortality_Matrix!$B$4:$BS$64,MATCH($A114,Mortality_Matrix!$A$4:$A$64,0),MATCH(2079,Mortality_Matrix!$B$3:$BS$3,0)))/INDEX(Mortality_Matrix!$B$4:$BS$64,MATCH($A114,Mortality_Matrix!$A$4:$A$64,0),MATCH(2079,Mortality_Matrix!$B$3:$BS$3,0))</f>
        <v>-1.11904898881655E-009</v>
      </c>
      <c r="BR114" s="27" t="n">
        <f aca="false">(BR48-INDEX(Mortality_Matrix!$B$4:$BS$64,MATCH($A114,Mortality_Matrix!$A$4:$A$64,0),MATCH(2080,Mortality_Matrix!$B$3:$BS$3,0)))/INDEX(Mortality_Matrix!$B$4:$BS$64,MATCH($A114,Mortality_Matrix!$A$4:$A$64,0),MATCH(2080,Mortality_Matrix!$B$3:$BS$3,0))</f>
        <v>5.87917257943968E-011</v>
      </c>
      <c r="BS114" s="27" t="n">
        <f aca="false">(BS48-INDEX(Mortality_Matrix!$B$4:$BS$64,MATCH($A114,Mortality_Matrix!$A$4:$A$64,0),MATCH(2081,Mortality_Matrix!$B$3:$BS$3,0)))/INDEX(Mortality_Matrix!$B$4:$BS$64,MATCH($A114,Mortality_Matrix!$A$4:$A$64,0),MATCH(2081,Mortality_Matrix!$B$3:$BS$3,0))</f>
        <v>5.8835033369169E-010</v>
      </c>
      <c r="BT114" s="27" t="n">
        <f aca="false">(BT48-INDEX(Mortality_Matrix!$B$4:$BS$64,MATCH($A114,Mortality_Matrix!$A$4:$A$64,0),MATCH(2082,Mortality_Matrix!$B$3:$BS$3,0)))/INDEX(Mortality_Matrix!$B$4:$BS$64,MATCH($A114,Mortality_Matrix!$A$4:$A$64,0),MATCH(2082,Mortality_Matrix!$B$3:$BS$3,0))</f>
        <v>-1.40041959628232E-010</v>
      </c>
      <c r="BU114" s="27" t="n">
        <f aca="false">(BU48-INDEX(Mortality_Matrix!$B$4:$BS$64,MATCH($A114,Mortality_Matrix!$A$4:$A$64,0),MATCH(2083,Mortality_Matrix!$B$3:$BS$3,0)))/INDEX(Mortality_Matrix!$B$4:$BS$64,MATCH($A114,Mortality_Matrix!$A$4:$A$64,0),MATCH(2083,Mortality_Matrix!$B$3:$BS$3,0))</f>
        <v>1.70866958608377E-009</v>
      </c>
      <c r="BV114" s="27" t="n">
        <f aca="false">(BV48-INDEX(Mortality_Matrix!$B$4:$BS$64,MATCH($A114,Mortality_Matrix!$A$4:$A$64,0),MATCH(2084,Mortality_Matrix!$B$3:$BS$3,0)))/INDEX(Mortality_Matrix!$B$4:$BS$64,MATCH($A114,Mortality_Matrix!$A$4:$A$64,0),MATCH(2084,Mortality_Matrix!$B$3:$BS$3,0))</f>
        <v>-3.64818766618723E-010</v>
      </c>
      <c r="BW114" s="27" t="n">
        <f aca="false">(BW48-INDEX(Mortality_Matrix!$B$4:$BS$64,MATCH($A114,Mortality_Matrix!$A$4:$A$64,0),MATCH(2085,Mortality_Matrix!$B$3:$BS$3,0)))/INDEX(Mortality_Matrix!$B$4:$BS$64,MATCH($A114,Mortality_Matrix!$A$4:$A$64,0),MATCH(2085,Mortality_Matrix!$B$3:$BS$3,0))</f>
        <v>5.96977758633405E-010</v>
      </c>
      <c r="BX114" s="27" t="n">
        <f aca="false">(BX48-INDEX(Mortality_Matrix!$B$4:$BS$64,MATCH($A114,Mortality_Matrix!$A$4:$A$64,0),MATCH(2086,Mortality_Matrix!$B$3:$BS$3,0)))/INDEX(Mortality_Matrix!$B$4:$BS$64,MATCH($A114,Mortality_Matrix!$A$4:$A$64,0),MATCH(2086,Mortality_Matrix!$B$3:$BS$3,0))</f>
        <v>-5.63700068723249E-010</v>
      </c>
      <c r="BY114" s="27" t="n">
        <f aca="false">(BY48-INDEX(Mortality_Matrix!$B$4:$BS$64,MATCH($A114,Mortality_Matrix!$A$4:$A$64,0),MATCH(2087,Mortality_Matrix!$B$3:$BS$3,0)))/INDEX(Mortality_Matrix!$B$4:$BS$64,MATCH($A114,Mortality_Matrix!$A$4:$A$64,0),MATCH(2087,Mortality_Matrix!$B$3:$BS$3,0))</f>
        <v>-4.32771992974708E-010</v>
      </c>
      <c r="BZ114" s="27" t="n">
        <f aca="false">(BZ48-INDEX(Mortality_Matrix!$B$4:$BS$64,MATCH($A114,Mortality_Matrix!$A$4:$A$64,0),MATCH(2088,Mortality_Matrix!$B$3:$BS$3,0)))/INDEX(Mortality_Matrix!$B$4:$BS$64,MATCH($A114,Mortality_Matrix!$A$4:$A$64,0),MATCH(2088,Mortality_Matrix!$B$3:$BS$3,0))</f>
        <v>1.42813552163854E-009</v>
      </c>
      <c r="CA114" s="27" t="n">
        <f aca="false">(CA48-INDEX(Mortality_Matrix!$B$4:$BS$64,MATCH($A114,Mortality_Matrix!$A$4:$A$64,0),MATCH(2089,Mortality_Matrix!$B$3:$BS$3,0)))/INDEX(Mortality_Matrix!$B$4:$BS$64,MATCH($A114,Mortality_Matrix!$A$4:$A$64,0),MATCH(2089,Mortality_Matrix!$B$3:$BS$3,0))</f>
        <v>1.42813548552114E-009</v>
      </c>
      <c r="CB114" s="27" t="n">
        <f aca="false">(CB48-INDEX(Mortality_Matrix!$B$4:$BS$64,MATCH($A114,Mortality_Matrix!$A$4:$A$64,0),MATCH(2090,Mortality_Matrix!$B$3:$BS$3,0)))/INDEX(Mortality_Matrix!$B$4:$BS$64,MATCH($A114,Mortality_Matrix!$A$4:$A$64,0),MATCH(2090,Mortality_Matrix!$B$3:$BS$3,0))</f>
        <v>-1.3510311147158E-009</v>
      </c>
      <c r="CC114" s="27" t="n">
        <f aca="false">(CC48-INDEX(Mortality_Matrix!$B$4:$BS$64,MATCH($A114,Mortality_Matrix!$A$4:$A$64,0),MATCH(2091,Mortality_Matrix!$B$3:$BS$3,0)))/INDEX(Mortality_Matrix!$B$4:$BS$64,MATCH($A114,Mortality_Matrix!$A$4:$A$64,0),MATCH(2091,Mortality_Matrix!$B$3:$BS$3,0))</f>
        <v>-1.78816310753382E-009</v>
      </c>
    </row>
    <row r="115" customFormat="false" ht="15" hidden="false" customHeight="true" outlineLevel="0" collapsed="false">
      <c r="A115" s="3" t="n">
        <v>86</v>
      </c>
      <c r="L115" s="27" t="n">
        <f aca="false">(L49-INDEX(Mortality_Matrix!$B$4:$BS$64,MATCH($A115,Mortality_Matrix!$A$4:$A$64,0),MATCH(2022,Mortality_Matrix!$B$3:$BS$3,0)))/INDEX(Mortality_Matrix!$B$4:$BS$64,MATCH($A115,Mortality_Matrix!$A$4:$A$64,0),MATCH(2022,Mortality_Matrix!$B$3:$BS$3,0))</f>
        <v>-2.71401889882736E-010</v>
      </c>
      <c r="M115" s="27" t="n">
        <f aca="false">(M49-INDEX(Mortality_Matrix!$B$4:$BS$64,MATCH($A115,Mortality_Matrix!$A$4:$A$64,0),MATCH(2023,Mortality_Matrix!$B$3:$BS$3,0)))/INDEX(Mortality_Matrix!$B$4:$BS$64,MATCH($A115,Mortality_Matrix!$A$4:$A$64,0),MATCH(2023,Mortality_Matrix!$B$3:$BS$3,0))</f>
        <v>5.2270538817177E-011</v>
      </c>
      <c r="N115" s="27" t="n">
        <f aca="false">(N49-INDEX(Mortality_Matrix!$B$4:$BS$64,MATCH($A115,Mortality_Matrix!$A$4:$A$64,0),MATCH(2024,Mortality_Matrix!$B$3:$BS$3,0)))/INDEX(Mortality_Matrix!$B$4:$BS$64,MATCH($A115,Mortality_Matrix!$A$4:$A$64,0),MATCH(2024,Mortality_Matrix!$B$3:$BS$3,0))</f>
        <v>1.42238667028117E-010</v>
      </c>
      <c r="O115" s="27" t="n">
        <f aca="false">(O49-INDEX(Mortality_Matrix!$B$4:$BS$64,MATCH($A115,Mortality_Matrix!$A$4:$A$64,0),MATCH(2025,Mortality_Matrix!$B$3:$BS$3,0)))/INDEX(Mortality_Matrix!$B$4:$BS$64,MATCH($A115,Mortality_Matrix!$A$4:$A$64,0),MATCH(2025,Mortality_Matrix!$B$3:$BS$3,0))</f>
        <v>2.2356898756846E-010</v>
      </c>
      <c r="P115" s="27" t="n">
        <f aca="false">(P49-INDEX(Mortality_Matrix!$B$4:$BS$64,MATCH($A115,Mortality_Matrix!$A$4:$A$64,0),MATCH(2026,Mortality_Matrix!$B$3:$BS$3,0)))/INDEX(Mortality_Matrix!$B$4:$BS$64,MATCH($A115,Mortality_Matrix!$A$4:$A$64,0),MATCH(2026,Mortality_Matrix!$B$3:$BS$3,0))</f>
        <v>3.13553644572454E-010</v>
      </c>
      <c r="Q115" s="27" t="n">
        <f aca="false">(Q49-INDEX(Mortality_Matrix!$B$4:$BS$64,MATCH($A115,Mortality_Matrix!$A$4:$A$64,0),MATCH(2027,Mortality_Matrix!$B$3:$BS$3,0)))/INDEX(Mortality_Matrix!$B$4:$BS$64,MATCH($A115,Mortality_Matrix!$A$4:$A$64,0),MATCH(2027,Mortality_Matrix!$B$3:$BS$3,0))</f>
        <v>-2.23530486132241E-010</v>
      </c>
      <c r="R115" s="27" t="n">
        <f aca="false">(R49-INDEX(Mortality_Matrix!$B$4:$BS$64,MATCH($A115,Mortality_Matrix!$A$4:$A$64,0),MATCH(2028,Mortality_Matrix!$B$3:$BS$3,0)))/INDEX(Mortality_Matrix!$B$4:$BS$64,MATCH($A115,Mortality_Matrix!$A$4:$A$64,0),MATCH(2028,Mortality_Matrix!$B$3:$BS$3,0))</f>
        <v>3.3320158427412E-010</v>
      </c>
      <c r="S115" s="27" t="n">
        <f aca="false">(S49-INDEX(Mortality_Matrix!$B$4:$BS$64,MATCH($A115,Mortality_Matrix!$A$4:$A$64,0),MATCH(2029,Mortality_Matrix!$B$3:$BS$3,0)))/INDEX(Mortality_Matrix!$B$4:$BS$64,MATCH($A115,Mortality_Matrix!$A$4:$A$64,0),MATCH(2029,Mortality_Matrix!$B$3:$BS$3,0))</f>
        <v>-4.27267147659437E-010</v>
      </c>
      <c r="T115" s="27" t="n">
        <f aca="false">(T49-INDEX(Mortality_Matrix!$B$4:$BS$64,MATCH($A115,Mortality_Matrix!$A$4:$A$64,0),MATCH(2030,Mortality_Matrix!$B$3:$BS$3,0)))/INDEX(Mortality_Matrix!$B$4:$BS$64,MATCH($A115,Mortality_Matrix!$A$4:$A$64,0),MATCH(2030,Mortality_Matrix!$B$3:$BS$3,0))</f>
        <v>2.67305326684078E-010</v>
      </c>
      <c r="U115" s="27" t="n">
        <f aca="false">(U49-INDEX(Mortality_Matrix!$B$4:$BS$64,MATCH($A115,Mortality_Matrix!$A$4:$A$64,0),MATCH(2031,Mortality_Matrix!$B$3:$BS$3,0)))/INDEX(Mortality_Matrix!$B$4:$BS$64,MATCH($A115,Mortality_Matrix!$A$4:$A$64,0),MATCH(2031,Mortality_Matrix!$B$3:$BS$3,0))</f>
        <v>-5.56744831552398E-010</v>
      </c>
      <c r="V115" s="27" t="n">
        <f aca="false">(V49-INDEX(Mortality_Matrix!$B$4:$BS$64,MATCH($A115,Mortality_Matrix!$A$4:$A$64,0),MATCH(2032,Mortality_Matrix!$B$3:$BS$3,0)))/INDEX(Mortality_Matrix!$B$4:$BS$64,MATCH($A115,Mortality_Matrix!$A$4:$A$64,0),MATCH(2032,Mortality_Matrix!$B$3:$BS$3,0))</f>
        <v>-6.91524428085672E-010</v>
      </c>
      <c r="W115" s="27" t="n">
        <f aca="false">(W49-INDEX(Mortality_Matrix!$B$4:$BS$64,MATCH($A115,Mortality_Matrix!$A$4:$A$64,0),MATCH(2033,Mortality_Matrix!$B$3:$BS$3,0)))/INDEX(Mortality_Matrix!$B$4:$BS$64,MATCH($A115,Mortality_Matrix!$A$4:$A$64,0),MATCH(2033,Mortality_Matrix!$B$3:$BS$3,0))</f>
        <v>-3.55942335129868E-011</v>
      </c>
      <c r="X115" s="27" t="n">
        <f aca="false">(X49-INDEX(Mortality_Matrix!$B$4:$BS$64,MATCH($A115,Mortality_Matrix!$A$4:$A$64,0),MATCH(2034,Mortality_Matrix!$B$3:$BS$3,0)))/INDEX(Mortality_Matrix!$B$4:$BS$64,MATCH($A115,Mortality_Matrix!$A$4:$A$64,0),MATCH(2034,Mortality_Matrix!$B$3:$BS$3,0))</f>
        <v>5.14162656412737E-011</v>
      </c>
      <c r="Y115" s="27" t="n">
        <f aca="false">(Y49-INDEX(Mortality_Matrix!$B$4:$BS$64,MATCH($A115,Mortality_Matrix!$A$4:$A$64,0),MATCH(2035,Mortality_Matrix!$B$3:$BS$3,0)))/INDEX(Mortality_Matrix!$B$4:$BS$64,MATCH($A115,Mortality_Matrix!$A$4:$A$64,0),MATCH(2035,Mortality_Matrix!$B$3:$BS$3,0))</f>
        <v>4.49877672324223E-010</v>
      </c>
      <c r="Z115" s="27" t="n">
        <f aca="false">(Z49-INDEX(Mortality_Matrix!$B$4:$BS$64,MATCH($A115,Mortality_Matrix!$A$4:$A$64,0),MATCH(2036,Mortality_Matrix!$B$3:$BS$3,0)))/INDEX(Mortality_Matrix!$B$4:$BS$64,MATCH($A115,Mortality_Matrix!$A$4:$A$64,0),MATCH(2036,Mortality_Matrix!$B$3:$BS$3,0))</f>
        <v>7.54905626274165E-010</v>
      </c>
      <c r="AA115" s="27" t="n">
        <f aca="false">(AA49-INDEX(Mortality_Matrix!$B$4:$BS$64,MATCH($A115,Mortality_Matrix!$A$4:$A$64,0),MATCH(2037,Mortality_Matrix!$B$3:$BS$3,0)))/INDEX(Mortality_Matrix!$B$4:$BS$64,MATCH($A115,Mortality_Matrix!$A$4:$A$64,0),MATCH(2037,Mortality_Matrix!$B$3:$BS$3,0))</f>
        <v>4.99687577502594E-011</v>
      </c>
      <c r="AB115" s="27" t="n">
        <f aca="false">(AB49-INDEX(Mortality_Matrix!$B$4:$BS$64,MATCH($A115,Mortality_Matrix!$A$4:$A$64,0),MATCH(2038,Mortality_Matrix!$B$3:$BS$3,0)))/INDEX(Mortality_Matrix!$B$4:$BS$64,MATCH($A115,Mortality_Matrix!$A$4:$A$64,0),MATCH(2038,Mortality_Matrix!$B$3:$BS$3,0))</f>
        <v>-6.80220220144894E-010</v>
      </c>
      <c r="AC115" s="27" t="n">
        <f aca="false">(AC49-INDEX(Mortality_Matrix!$B$4:$BS$64,MATCH($A115,Mortality_Matrix!$A$4:$A$64,0),MATCH(2039,Mortality_Matrix!$B$3:$BS$3,0)))/INDEX(Mortality_Matrix!$B$4:$BS$64,MATCH($A115,Mortality_Matrix!$A$4:$A$64,0),MATCH(2039,Mortality_Matrix!$B$3:$BS$3,0))</f>
        <v>-6.54934844706971E-010</v>
      </c>
      <c r="AD115" s="27" t="n">
        <f aca="false">(AD49-INDEX(Mortality_Matrix!$B$4:$BS$64,MATCH($A115,Mortality_Matrix!$A$4:$A$64,0),MATCH(2040,Mortality_Matrix!$B$3:$BS$3,0)))/INDEX(Mortality_Matrix!$B$4:$BS$64,MATCH($A115,Mortality_Matrix!$A$4:$A$64,0),MATCH(2040,Mortality_Matrix!$B$3:$BS$3,0))</f>
        <v>1.97828057775787E-011</v>
      </c>
      <c r="AE115" s="27" t="n">
        <f aca="false">(AE49-INDEX(Mortality_Matrix!$B$4:$BS$64,MATCH($A115,Mortality_Matrix!$A$4:$A$64,0),MATCH(2041,Mortality_Matrix!$B$3:$BS$3,0)))/INDEX(Mortality_Matrix!$B$4:$BS$64,MATCH($A115,Mortality_Matrix!$A$4:$A$64,0),MATCH(2041,Mortality_Matrix!$B$3:$BS$3,0))</f>
        <v>-3.81071351467346E-010</v>
      </c>
      <c r="AF115" s="27" t="n">
        <f aca="false">(AF49-INDEX(Mortality_Matrix!$B$4:$BS$64,MATCH($A115,Mortality_Matrix!$A$4:$A$64,0),MATCH(2042,Mortality_Matrix!$B$3:$BS$3,0)))/INDEX(Mortality_Matrix!$B$4:$BS$64,MATCH($A115,Mortality_Matrix!$A$4:$A$64,0),MATCH(2042,Mortality_Matrix!$B$3:$BS$3,0))</f>
        <v>6.17218753575191E-010</v>
      </c>
      <c r="AG115" s="27" t="n">
        <f aca="false">(AG49-INDEX(Mortality_Matrix!$B$4:$BS$64,MATCH($A115,Mortality_Matrix!$A$4:$A$64,0),MATCH(2043,Mortality_Matrix!$B$3:$BS$3,0)))/INDEX(Mortality_Matrix!$B$4:$BS$64,MATCH($A115,Mortality_Matrix!$A$4:$A$64,0),MATCH(2043,Mortality_Matrix!$B$3:$BS$3,0))</f>
        <v>-7.14524813091063E-010</v>
      </c>
      <c r="AH115" s="27" t="n">
        <f aca="false">(AH49-INDEX(Mortality_Matrix!$B$4:$BS$64,MATCH($A115,Mortality_Matrix!$A$4:$A$64,0),MATCH(2044,Mortality_Matrix!$B$3:$BS$3,0)))/INDEX(Mortality_Matrix!$B$4:$BS$64,MATCH($A115,Mortality_Matrix!$A$4:$A$64,0),MATCH(2044,Mortality_Matrix!$B$3:$BS$3,0))</f>
        <v>-1.40876121009283E-010</v>
      </c>
      <c r="AI115" s="27" t="n">
        <f aca="false">(AI49-INDEX(Mortality_Matrix!$B$4:$BS$64,MATCH($A115,Mortality_Matrix!$A$4:$A$64,0),MATCH(2045,Mortality_Matrix!$B$3:$BS$3,0)))/INDEX(Mortality_Matrix!$B$4:$BS$64,MATCH($A115,Mortality_Matrix!$A$4:$A$64,0),MATCH(2045,Mortality_Matrix!$B$3:$BS$3,0))</f>
        <v>6.70103962632833E-010</v>
      </c>
      <c r="AJ115" s="27" t="n">
        <f aca="false">(AJ49-INDEX(Mortality_Matrix!$B$4:$BS$64,MATCH($A115,Mortality_Matrix!$A$4:$A$64,0),MATCH(2046,Mortality_Matrix!$B$3:$BS$3,0)))/INDEX(Mortality_Matrix!$B$4:$BS$64,MATCH($A115,Mortality_Matrix!$A$4:$A$64,0),MATCH(2046,Mortality_Matrix!$B$3:$BS$3,0))</f>
        <v>3.75893843475691E-011</v>
      </c>
      <c r="AK115" s="27" t="n">
        <f aca="false">(AK49-INDEX(Mortality_Matrix!$B$4:$BS$64,MATCH($A115,Mortality_Matrix!$A$4:$A$64,0),MATCH(2047,Mortality_Matrix!$B$3:$BS$3,0)))/INDEX(Mortality_Matrix!$B$4:$BS$64,MATCH($A115,Mortality_Matrix!$A$4:$A$64,0),MATCH(2047,Mortality_Matrix!$B$3:$BS$3,0))</f>
        <v>-8.45534904191172E-010</v>
      </c>
      <c r="AL115" s="27" t="n">
        <f aca="false">(AL49-INDEX(Mortality_Matrix!$B$4:$BS$64,MATCH($A115,Mortality_Matrix!$A$4:$A$64,0),MATCH(2048,Mortality_Matrix!$B$3:$BS$3,0)))/INDEX(Mortality_Matrix!$B$4:$BS$64,MATCH($A115,Mortality_Matrix!$A$4:$A$64,0),MATCH(2048,Mortality_Matrix!$B$3:$BS$3,0))</f>
        <v>-1.65591367426353E-010</v>
      </c>
      <c r="AM115" s="27" t="n">
        <f aca="false">(AM49-INDEX(Mortality_Matrix!$B$4:$BS$64,MATCH($A115,Mortality_Matrix!$A$4:$A$64,0),MATCH(2049,Mortality_Matrix!$B$3:$BS$3,0)))/INDEX(Mortality_Matrix!$B$4:$BS$64,MATCH($A115,Mortality_Matrix!$A$4:$A$64,0),MATCH(2049,Mortality_Matrix!$B$3:$BS$3,0))</f>
        <v>2.34888466065945E-010</v>
      </c>
      <c r="AN115" s="27" t="n">
        <f aca="false">(AN49-INDEX(Mortality_Matrix!$B$4:$BS$64,MATCH($A115,Mortality_Matrix!$A$4:$A$64,0),MATCH(2050,Mortality_Matrix!$B$3:$BS$3,0)))/INDEX(Mortality_Matrix!$B$4:$BS$64,MATCH($A115,Mortality_Matrix!$A$4:$A$64,0),MATCH(2050,Mortality_Matrix!$B$3:$BS$3,0))</f>
        <v>-5.1845502348658E-010</v>
      </c>
      <c r="AO115" s="27" t="n">
        <f aca="false">(AO49-INDEX(Mortality_Matrix!$B$4:$BS$64,MATCH($A115,Mortality_Matrix!$A$4:$A$64,0),MATCH(2051,Mortality_Matrix!$B$3:$BS$3,0)))/INDEX(Mortality_Matrix!$B$4:$BS$64,MATCH($A115,Mortality_Matrix!$A$4:$A$64,0),MATCH(2051,Mortality_Matrix!$B$3:$BS$3,0))</f>
        <v>8.38717995475878E-010</v>
      </c>
      <c r="AP115" s="27" t="n">
        <f aca="false">(AP49-INDEX(Mortality_Matrix!$B$4:$BS$64,MATCH($A115,Mortality_Matrix!$A$4:$A$64,0),MATCH(2052,Mortality_Matrix!$B$3:$BS$3,0)))/INDEX(Mortality_Matrix!$B$4:$BS$64,MATCH($A115,Mortality_Matrix!$A$4:$A$64,0),MATCH(2052,Mortality_Matrix!$B$3:$BS$3,0))</f>
        <v>-1.01673428591547E-010</v>
      </c>
      <c r="AQ115" s="27" t="n">
        <f aca="false">(AQ49-INDEX(Mortality_Matrix!$B$4:$BS$64,MATCH($A115,Mortality_Matrix!$A$4:$A$64,0),MATCH(2053,Mortality_Matrix!$B$3:$BS$3,0)))/INDEX(Mortality_Matrix!$B$4:$BS$64,MATCH($A115,Mortality_Matrix!$A$4:$A$64,0),MATCH(2053,Mortality_Matrix!$B$3:$BS$3,0))</f>
        <v>7.71914133169747E-010</v>
      </c>
      <c r="AR115" s="27" t="n">
        <f aca="false">(AR49-INDEX(Mortality_Matrix!$B$4:$BS$64,MATCH($A115,Mortality_Matrix!$A$4:$A$64,0),MATCH(2054,Mortality_Matrix!$B$3:$BS$3,0)))/INDEX(Mortality_Matrix!$B$4:$BS$64,MATCH($A115,Mortality_Matrix!$A$4:$A$64,0),MATCH(2054,Mortality_Matrix!$B$3:$BS$3,0))</f>
        <v>3.4131098058954E-010</v>
      </c>
      <c r="AS115" s="27" t="n">
        <f aca="false">(AS49-INDEX(Mortality_Matrix!$B$4:$BS$64,MATCH($A115,Mortality_Matrix!$A$4:$A$64,0),MATCH(2055,Mortality_Matrix!$B$3:$BS$3,0)))/INDEX(Mortality_Matrix!$B$4:$BS$64,MATCH($A115,Mortality_Matrix!$A$4:$A$64,0),MATCH(2055,Mortality_Matrix!$B$3:$BS$3,0))</f>
        <v>-9.85317162213031E-010</v>
      </c>
      <c r="AT115" s="27" t="n">
        <f aca="false">(AT49-INDEX(Mortality_Matrix!$B$4:$BS$64,MATCH($A115,Mortality_Matrix!$A$4:$A$64,0),MATCH(2056,Mortality_Matrix!$B$3:$BS$3,0)))/INDEX(Mortality_Matrix!$B$4:$BS$64,MATCH($A115,Mortality_Matrix!$A$4:$A$64,0),MATCH(2056,Mortality_Matrix!$B$3:$BS$3,0))</f>
        <v>3.25102000072113E-010</v>
      </c>
      <c r="AU115" s="27" t="n">
        <f aca="false">(AU49-INDEX(Mortality_Matrix!$B$4:$BS$64,MATCH($A115,Mortality_Matrix!$A$4:$A$64,0),MATCH(2057,Mortality_Matrix!$B$3:$BS$3,0)))/INDEX(Mortality_Matrix!$B$4:$BS$64,MATCH($A115,Mortality_Matrix!$A$4:$A$64,0),MATCH(2057,Mortality_Matrix!$B$3:$BS$3,0))</f>
        <v>2.33181520832812E-010</v>
      </c>
      <c r="AV115" s="27" t="n">
        <f aca="false">(AV49-INDEX(Mortality_Matrix!$B$4:$BS$64,MATCH($A115,Mortality_Matrix!$A$4:$A$64,0),MATCH(2058,Mortality_Matrix!$B$3:$BS$3,0)))/INDEX(Mortality_Matrix!$B$4:$BS$64,MATCH($A115,Mortality_Matrix!$A$4:$A$64,0),MATCH(2058,Mortality_Matrix!$B$3:$BS$3,0))</f>
        <v>4.73002000386657E-010</v>
      </c>
      <c r="AW115" s="27" t="n">
        <f aca="false">(AW49-INDEX(Mortality_Matrix!$B$4:$BS$64,MATCH($A115,Mortality_Matrix!$A$4:$A$64,0),MATCH(2059,Mortality_Matrix!$B$3:$BS$3,0)))/INDEX(Mortality_Matrix!$B$4:$BS$64,MATCH($A115,Mortality_Matrix!$A$4:$A$64,0),MATCH(2059,Mortality_Matrix!$B$3:$BS$3,0))</f>
        <v>-1.31929419545483E-010</v>
      </c>
      <c r="AX115" s="27" t="n">
        <f aca="false">(AX49-INDEX(Mortality_Matrix!$B$4:$BS$64,MATCH($A115,Mortality_Matrix!$A$4:$A$64,0),MATCH(2060,Mortality_Matrix!$B$3:$BS$3,0)))/INDEX(Mortality_Matrix!$B$4:$BS$64,MATCH($A115,Mortality_Matrix!$A$4:$A$64,0),MATCH(2060,Mortality_Matrix!$B$3:$BS$3,0))</f>
        <v>-1.21642709407407E-010</v>
      </c>
      <c r="AY115" s="27" t="n">
        <f aca="false">(AY49-INDEX(Mortality_Matrix!$B$4:$BS$64,MATCH($A115,Mortality_Matrix!$A$4:$A$64,0),MATCH(2061,Mortality_Matrix!$B$3:$BS$3,0)))/INDEX(Mortality_Matrix!$B$4:$BS$64,MATCH($A115,Mortality_Matrix!$A$4:$A$64,0),MATCH(2061,Mortality_Matrix!$B$3:$BS$3,0))</f>
        <v>-2.19054019209738E-010</v>
      </c>
      <c r="AZ115" s="27" t="n">
        <f aca="false">(AZ49-INDEX(Mortality_Matrix!$B$4:$BS$64,MATCH($A115,Mortality_Matrix!$A$4:$A$64,0),MATCH(2062,Mortality_Matrix!$B$3:$BS$3,0)))/INDEX(Mortality_Matrix!$B$4:$BS$64,MATCH($A115,Mortality_Matrix!$A$4:$A$64,0),MATCH(2062,Mortality_Matrix!$B$3:$BS$3,0))</f>
        <v>2.53940261827086E-010</v>
      </c>
      <c r="BA115" s="27" t="n">
        <f aca="false">(BA49-INDEX(Mortality_Matrix!$B$4:$BS$64,MATCH($A115,Mortality_Matrix!$A$4:$A$64,0),MATCH(2063,Mortality_Matrix!$B$3:$BS$3,0)))/INDEX(Mortality_Matrix!$B$4:$BS$64,MATCH($A115,Mortality_Matrix!$A$4:$A$64,0),MATCH(2063,Mortality_Matrix!$B$3:$BS$3,0))</f>
        <v>5.76264558686442E-010</v>
      </c>
      <c r="BB115" s="27" t="n">
        <f aca="false">(BB49-INDEX(Mortality_Matrix!$B$4:$BS$64,MATCH($A115,Mortality_Matrix!$A$4:$A$64,0),MATCH(2064,Mortality_Matrix!$B$3:$BS$3,0)))/INDEX(Mortality_Matrix!$B$4:$BS$64,MATCH($A115,Mortality_Matrix!$A$4:$A$64,0),MATCH(2064,Mortality_Matrix!$B$3:$BS$3,0))</f>
        <v>1.29318903003133E-010</v>
      </c>
      <c r="BC115" s="27" t="n">
        <f aca="false">(BC49-INDEX(Mortality_Matrix!$B$4:$BS$64,MATCH($A115,Mortality_Matrix!$A$4:$A$64,0),MATCH(2065,Mortality_Matrix!$B$3:$BS$3,0)))/INDEX(Mortality_Matrix!$B$4:$BS$64,MATCH($A115,Mortality_Matrix!$A$4:$A$64,0),MATCH(2065,Mortality_Matrix!$B$3:$BS$3,0))</f>
        <v>4.4522595987736E-011</v>
      </c>
      <c r="BD115" s="27" t="n">
        <f aca="false">(BD49-INDEX(Mortality_Matrix!$B$4:$BS$64,MATCH($A115,Mortality_Matrix!$A$4:$A$64,0),MATCH(2066,Mortality_Matrix!$B$3:$BS$3,0)))/INDEX(Mortality_Matrix!$B$4:$BS$64,MATCH($A115,Mortality_Matrix!$A$4:$A$64,0),MATCH(2066,Mortality_Matrix!$B$3:$BS$3,0))</f>
        <v>3.28812792180994E-010</v>
      </c>
      <c r="BE115" s="27" t="n">
        <f aca="false">(BE49-INDEX(Mortality_Matrix!$B$4:$BS$64,MATCH($A115,Mortality_Matrix!$A$4:$A$64,0),MATCH(2067,Mortality_Matrix!$B$3:$BS$3,0)))/INDEX(Mortality_Matrix!$B$4:$BS$64,MATCH($A115,Mortality_Matrix!$A$4:$A$64,0),MATCH(2067,Mortality_Matrix!$B$3:$BS$3,0))</f>
        <v>-8.85687301776872E-010</v>
      </c>
      <c r="BF115" s="27" t="n">
        <f aca="false">(BF49-INDEX(Mortality_Matrix!$B$4:$BS$64,MATCH($A115,Mortality_Matrix!$A$4:$A$64,0),MATCH(2068,Mortality_Matrix!$B$3:$BS$3,0)))/INDEX(Mortality_Matrix!$B$4:$BS$64,MATCH($A115,Mortality_Matrix!$A$4:$A$64,0),MATCH(2068,Mortality_Matrix!$B$3:$BS$3,0))</f>
        <v>-9.24194943366642E-010</v>
      </c>
      <c r="BG115" s="27" t="n">
        <f aca="false">(BG49-INDEX(Mortality_Matrix!$B$4:$BS$64,MATCH($A115,Mortality_Matrix!$A$4:$A$64,0),MATCH(2069,Mortality_Matrix!$B$3:$BS$3,0)))/INDEX(Mortality_Matrix!$B$4:$BS$64,MATCH($A115,Mortality_Matrix!$A$4:$A$64,0),MATCH(2069,Mortality_Matrix!$B$3:$BS$3,0))</f>
        <v>-2.24837310071456E-010</v>
      </c>
      <c r="BH115" s="27" t="n">
        <f aca="false">(BH49-INDEX(Mortality_Matrix!$B$4:$BS$64,MATCH($A115,Mortality_Matrix!$A$4:$A$64,0),MATCH(2070,Mortality_Matrix!$B$3:$BS$3,0)))/INDEX(Mortality_Matrix!$B$4:$BS$64,MATCH($A115,Mortality_Matrix!$A$4:$A$64,0),MATCH(2070,Mortality_Matrix!$B$3:$BS$3,0))</f>
        <v>-7.59992048384874E-010</v>
      </c>
      <c r="BI115" s="27" t="n">
        <f aca="false">(BI49-INDEX(Mortality_Matrix!$B$4:$BS$64,MATCH($A115,Mortality_Matrix!$A$4:$A$64,0),MATCH(2071,Mortality_Matrix!$B$3:$BS$3,0)))/INDEX(Mortality_Matrix!$B$4:$BS$64,MATCH($A115,Mortality_Matrix!$A$4:$A$64,0),MATCH(2071,Mortality_Matrix!$B$3:$BS$3,0))</f>
        <v>7.28157351263973E-010</v>
      </c>
      <c r="BJ115" s="27" t="n">
        <f aca="false">(BJ49-INDEX(Mortality_Matrix!$B$4:$BS$64,MATCH($A115,Mortality_Matrix!$A$4:$A$64,0),MATCH(2072,Mortality_Matrix!$B$3:$BS$3,0)))/INDEX(Mortality_Matrix!$B$4:$BS$64,MATCH($A115,Mortality_Matrix!$A$4:$A$64,0),MATCH(2072,Mortality_Matrix!$B$3:$BS$3,0))</f>
        <v>-3.04282079397882E-010</v>
      </c>
      <c r="BK115" s="27" t="n">
        <f aca="false">(BK49-INDEX(Mortality_Matrix!$B$4:$BS$64,MATCH($A115,Mortality_Matrix!$A$4:$A$64,0),MATCH(2073,Mortality_Matrix!$B$3:$BS$3,0)))/INDEX(Mortality_Matrix!$B$4:$BS$64,MATCH($A115,Mortality_Matrix!$A$4:$A$64,0),MATCH(2073,Mortality_Matrix!$B$3:$BS$3,0))</f>
        <v>6.6871427356454E-010</v>
      </c>
      <c r="BL115" s="27" t="n">
        <f aca="false">(BL49-INDEX(Mortality_Matrix!$B$4:$BS$64,MATCH($A115,Mortality_Matrix!$A$4:$A$64,0),MATCH(2074,Mortality_Matrix!$B$3:$BS$3,0)))/INDEX(Mortality_Matrix!$B$4:$BS$64,MATCH($A115,Mortality_Matrix!$A$4:$A$64,0),MATCH(2074,Mortality_Matrix!$B$3:$BS$3,0))</f>
        <v>-1.129272443446E-009</v>
      </c>
      <c r="BM115" s="27" t="n">
        <f aca="false">(BM49-INDEX(Mortality_Matrix!$B$4:$BS$64,MATCH($A115,Mortality_Matrix!$A$4:$A$64,0),MATCH(2075,Mortality_Matrix!$B$3:$BS$3,0)))/INDEX(Mortality_Matrix!$B$4:$BS$64,MATCH($A115,Mortality_Matrix!$A$4:$A$64,0),MATCH(2075,Mortality_Matrix!$B$3:$BS$3,0))</f>
        <v>1.79247743826894E-010</v>
      </c>
      <c r="BN115" s="27" t="n">
        <f aca="false">(BN49-INDEX(Mortality_Matrix!$B$4:$BS$64,MATCH($A115,Mortality_Matrix!$A$4:$A$64,0),MATCH(2076,Mortality_Matrix!$B$3:$BS$3,0)))/INDEX(Mortality_Matrix!$B$4:$BS$64,MATCH($A115,Mortality_Matrix!$A$4:$A$64,0),MATCH(2076,Mortality_Matrix!$B$3:$BS$3,0))</f>
        <v>-3.74295178436509E-010</v>
      </c>
      <c r="BO115" s="27" t="n">
        <f aca="false">(BO49-INDEX(Mortality_Matrix!$B$4:$BS$64,MATCH($A115,Mortality_Matrix!$A$4:$A$64,0),MATCH(2077,Mortality_Matrix!$B$3:$BS$3,0)))/INDEX(Mortality_Matrix!$B$4:$BS$64,MATCH($A115,Mortality_Matrix!$A$4:$A$64,0),MATCH(2077,Mortality_Matrix!$B$3:$BS$3,0))</f>
        <v>-8.78884987469702E-010</v>
      </c>
      <c r="BP115" s="27" t="n">
        <f aca="false">(BP49-INDEX(Mortality_Matrix!$B$4:$BS$64,MATCH($A115,Mortality_Matrix!$A$4:$A$64,0),MATCH(2078,Mortality_Matrix!$B$3:$BS$3,0)))/INDEX(Mortality_Matrix!$B$4:$BS$64,MATCH($A115,Mortality_Matrix!$A$4:$A$64,0),MATCH(2078,Mortality_Matrix!$B$3:$BS$3,0))</f>
        <v>-1.04360332194849E-009</v>
      </c>
      <c r="BQ115" s="27" t="n">
        <f aca="false">(BQ49-INDEX(Mortality_Matrix!$B$4:$BS$64,MATCH($A115,Mortality_Matrix!$A$4:$A$64,0),MATCH(2079,Mortality_Matrix!$B$3:$BS$3,0)))/INDEX(Mortality_Matrix!$B$4:$BS$64,MATCH($A115,Mortality_Matrix!$A$4:$A$64,0),MATCH(2079,Mortality_Matrix!$B$3:$BS$3,0))</f>
        <v>-1.62810191074959E-010</v>
      </c>
      <c r="BR115" s="27" t="n">
        <f aca="false">(BR49-INDEX(Mortality_Matrix!$B$4:$BS$64,MATCH($A115,Mortality_Matrix!$A$4:$A$64,0),MATCH(2080,Mortality_Matrix!$B$3:$BS$3,0)))/INDEX(Mortality_Matrix!$B$4:$BS$64,MATCH($A115,Mortality_Matrix!$A$4:$A$64,0),MATCH(2080,Mortality_Matrix!$B$3:$BS$3,0))</f>
        <v>-6.16515316217561E-010</v>
      </c>
      <c r="BS115" s="27" t="n">
        <f aca="false">(BS49-INDEX(Mortality_Matrix!$B$4:$BS$64,MATCH($A115,Mortality_Matrix!$A$4:$A$64,0),MATCH(2081,Mortality_Matrix!$B$3:$BS$3,0)))/INDEX(Mortality_Matrix!$B$4:$BS$64,MATCH($A115,Mortality_Matrix!$A$4:$A$64,0),MATCH(2081,Mortality_Matrix!$B$3:$BS$3,0))</f>
        <v>-4.45850222888183E-011</v>
      </c>
      <c r="BT115" s="27" t="n">
        <f aca="false">(BT49-INDEX(Mortality_Matrix!$B$4:$BS$64,MATCH($A115,Mortality_Matrix!$A$4:$A$64,0),MATCH(2082,Mortality_Matrix!$B$3:$BS$3,0)))/INDEX(Mortality_Matrix!$B$4:$BS$64,MATCH($A115,Mortality_Matrix!$A$4:$A$64,0),MATCH(2082,Mortality_Matrix!$B$3:$BS$3,0))</f>
        <v>-5.0692681034214E-010</v>
      </c>
      <c r="BU115" s="27" t="n">
        <f aca="false">(BU49-INDEX(Mortality_Matrix!$B$4:$BS$64,MATCH($A115,Mortality_Matrix!$A$4:$A$64,0),MATCH(2083,Mortality_Matrix!$B$3:$BS$3,0)))/INDEX(Mortality_Matrix!$B$4:$BS$64,MATCH($A115,Mortality_Matrix!$A$4:$A$64,0),MATCH(2083,Mortality_Matrix!$B$3:$BS$3,0))</f>
        <v>-5.02140194339259E-010</v>
      </c>
      <c r="BV115" s="27" t="n">
        <f aca="false">(BV49-INDEX(Mortality_Matrix!$B$4:$BS$64,MATCH($A115,Mortality_Matrix!$A$4:$A$64,0),MATCH(2084,Mortality_Matrix!$B$3:$BS$3,0)))/INDEX(Mortality_Matrix!$B$4:$BS$64,MATCH($A115,Mortality_Matrix!$A$4:$A$64,0),MATCH(2084,Mortality_Matrix!$B$3:$BS$3,0))</f>
        <v>-1.43947140785187E-009</v>
      </c>
      <c r="BW115" s="27" t="n">
        <f aca="false">(BW49-INDEX(Mortality_Matrix!$B$4:$BS$64,MATCH($A115,Mortality_Matrix!$A$4:$A$64,0),MATCH(2085,Mortality_Matrix!$B$3:$BS$3,0)))/INDEX(Mortality_Matrix!$B$4:$BS$64,MATCH($A115,Mortality_Matrix!$A$4:$A$64,0),MATCH(2085,Mortality_Matrix!$B$3:$BS$3,0))</f>
        <v>7.18815682199603E-010</v>
      </c>
      <c r="BX115" s="27" t="n">
        <f aca="false">(BX49-INDEX(Mortality_Matrix!$B$4:$BS$64,MATCH($A115,Mortality_Matrix!$A$4:$A$64,0),MATCH(2086,Mortality_Matrix!$B$3:$BS$3,0)))/INDEX(Mortality_Matrix!$B$4:$BS$64,MATCH($A115,Mortality_Matrix!$A$4:$A$64,0),MATCH(2086,Mortality_Matrix!$B$3:$BS$3,0))</f>
        <v>-4.31090025454127E-010</v>
      </c>
      <c r="BY115" s="27" t="n">
        <f aca="false">(BY49-INDEX(Mortality_Matrix!$B$4:$BS$64,MATCH($A115,Mortality_Matrix!$A$4:$A$64,0),MATCH(2087,Mortality_Matrix!$B$3:$BS$3,0)))/INDEX(Mortality_Matrix!$B$4:$BS$64,MATCH($A115,Mortality_Matrix!$A$4:$A$64,0),MATCH(2087,Mortality_Matrix!$B$3:$BS$3,0))</f>
        <v>-9.78934640514146E-010</v>
      </c>
      <c r="BZ115" s="27" t="n">
        <f aca="false">(BZ49-INDEX(Mortality_Matrix!$B$4:$BS$64,MATCH($A115,Mortality_Matrix!$A$4:$A$64,0),MATCH(2088,Mortality_Matrix!$B$3:$BS$3,0)))/INDEX(Mortality_Matrix!$B$4:$BS$64,MATCH($A115,Mortality_Matrix!$A$4:$A$64,0),MATCH(2088,Mortality_Matrix!$B$3:$BS$3,0))</f>
        <v>5.34209528881319E-010</v>
      </c>
      <c r="CA115" s="27" t="n">
        <f aca="false">(CA49-INDEX(Mortality_Matrix!$B$4:$BS$64,MATCH($A115,Mortality_Matrix!$A$4:$A$64,0),MATCH(2089,Mortality_Matrix!$B$3:$BS$3,0)))/INDEX(Mortality_Matrix!$B$4:$BS$64,MATCH($A115,Mortality_Matrix!$A$4:$A$64,0),MATCH(2089,Mortality_Matrix!$B$3:$BS$3,0))</f>
        <v>-1.00104217012911E-009</v>
      </c>
      <c r="CB115" s="27" t="n">
        <f aca="false">(CB49-INDEX(Mortality_Matrix!$B$4:$BS$64,MATCH($A115,Mortality_Matrix!$A$4:$A$64,0),MATCH(2090,Mortality_Matrix!$B$3:$BS$3,0)))/INDEX(Mortality_Matrix!$B$4:$BS$64,MATCH($A115,Mortality_Matrix!$A$4:$A$64,0),MATCH(2090,Mortality_Matrix!$B$3:$BS$3,0))</f>
        <v>1.45734104241028E-009</v>
      </c>
      <c r="CC115" s="27" t="n">
        <f aca="false">(CC49-INDEX(Mortality_Matrix!$B$4:$BS$64,MATCH($A115,Mortality_Matrix!$A$4:$A$64,0),MATCH(2091,Mortality_Matrix!$B$3:$BS$3,0)))/INDEX(Mortality_Matrix!$B$4:$BS$64,MATCH($A115,Mortality_Matrix!$A$4:$A$64,0),MATCH(2091,Mortality_Matrix!$B$3:$BS$3,0))</f>
        <v>4.57470419411639E-010</v>
      </c>
    </row>
    <row r="116" customFormat="false" ht="15" hidden="false" customHeight="true" outlineLevel="0" collapsed="false">
      <c r="A116" s="3" t="n">
        <v>87</v>
      </c>
      <c r="L116" s="27" t="n">
        <f aca="false">(L50-INDEX(Mortality_Matrix!$B$4:$BS$64,MATCH($A116,Mortality_Matrix!$A$4:$A$64,0),MATCH(2022,Mortality_Matrix!$B$3:$BS$3,0)))/INDEX(Mortality_Matrix!$B$4:$BS$64,MATCH($A116,Mortality_Matrix!$A$4:$A$64,0),MATCH(2022,Mortality_Matrix!$B$3:$BS$3,0))</f>
        <v>1.58750457969442E-010</v>
      </c>
      <c r="M116" s="27" t="n">
        <f aca="false">(M50-INDEX(Mortality_Matrix!$B$4:$BS$64,MATCH($A116,Mortality_Matrix!$A$4:$A$64,0),MATCH(2023,Mortality_Matrix!$B$3:$BS$3,0)))/INDEX(Mortality_Matrix!$B$4:$BS$64,MATCH($A116,Mortality_Matrix!$A$4:$A$64,0),MATCH(2023,Mortality_Matrix!$B$3:$BS$3,0))</f>
        <v>2.51729703876429E-010</v>
      </c>
      <c r="N116" s="27" t="n">
        <f aca="false">(N50-INDEX(Mortality_Matrix!$B$4:$BS$64,MATCH($A116,Mortality_Matrix!$A$4:$A$64,0),MATCH(2024,Mortality_Matrix!$B$3:$BS$3,0)))/INDEX(Mortality_Matrix!$B$4:$BS$64,MATCH($A116,Mortality_Matrix!$A$4:$A$64,0),MATCH(2024,Mortality_Matrix!$B$3:$BS$3,0))</f>
        <v>1.15899736148587E-010</v>
      </c>
      <c r="O116" s="27" t="n">
        <f aca="false">(O50-INDEX(Mortality_Matrix!$B$4:$BS$64,MATCH($A116,Mortality_Matrix!$A$4:$A$64,0),MATCH(2025,Mortality_Matrix!$B$3:$BS$3,0)))/INDEX(Mortality_Matrix!$B$4:$BS$64,MATCH($A116,Mortality_Matrix!$A$4:$A$64,0),MATCH(2025,Mortality_Matrix!$B$3:$BS$3,0))</f>
        <v>-4.05519842630825E-010</v>
      </c>
      <c r="P116" s="27" t="n">
        <f aca="false">(P50-INDEX(Mortality_Matrix!$B$4:$BS$64,MATCH($A116,Mortality_Matrix!$A$4:$A$64,0),MATCH(2026,Mortality_Matrix!$B$3:$BS$3,0)))/INDEX(Mortality_Matrix!$B$4:$BS$64,MATCH($A116,Mortality_Matrix!$A$4:$A$64,0),MATCH(2026,Mortality_Matrix!$B$3:$BS$3,0))</f>
        <v>1.33952832653474E-010</v>
      </c>
      <c r="Q116" s="27" t="n">
        <f aca="false">(Q50-INDEX(Mortality_Matrix!$B$4:$BS$64,MATCH($A116,Mortality_Matrix!$A$4:$A$64,0),MATCH(2027,Mortality_Matrix!$B$3:$BS$3,0)))/INDEX(Mortality_Matrix!$B$4:$BS$64,MATCH($A116,Mortality_Matrix!$A$4:$A$64,0),MATCH(2027,Mortality_Matrix!$B$3:$BS$3,0))</f>
        <v>4.83343040836406E-010</v>
      </c>
      <c r="R116" s="27" t="n">
        <f aca="false">(R50-INDEX(Mortality_Matrix!$B$4:$BS$64,MATCH($A116,Mortality_Matrix!$A$4:$A$64,0),MATCH(2028,Mortality_Matrix!$B$3:$BS$3,0)))/INDEX(Mortality_Matrix!$B$4:$BS$64,MATCH($A116,Mortality_Matrix!$A$4:$A$64,0),MATCH(2028,Mortality_Matrix!$B$3:$BS$3,0))</f>
        <v>3.44204216271943E-010</v>
      </c>
      <c r="S116" s="27" t="n">
        <f aca="false">(S50-INDEX(Mortality_Matrix!$B$4:$BS$64,MATCH($A116,Mortality_Matrix!$A$4:$A$64,0),MATCH(2029,Mortality_Matrix!$B$3:$BS$3,0)))/INDEX(Mortality_Matrix!$B$4:$BS$64,MATCH($A116,Mortality_Matrix!$A$4:$A$64,0),MATCH(2029,Mortality_Matrix!$B$3:$BS$3,0))</f>
        <v>4.44462956665397E-010</v>
      </c>
      <c r="T116" s="27" t="n">
        <f aca="false">(T50-INDEX(Mortality_Matrix!$B$4:$BS$64,MATCH($A116,Mortality_Matrix!$A$4:$A$64,0),MATCH(2030,Mortality_Matrix!$B$3:$BS$3,0)))/INDEX(Mortality_Matrix!$B$4:$BS$64,MATCH($A116,Mortality_Matrix!$A$4:$A$64,0),MATCH(2030,Mortality_Matrix!$B$3:$BS$3,0))</f>
        <v>3.62815687878987E-010</v>
      </c>
      <c r="U116" s="27" t="n">
        <f aca="false">(U50-INDEX(Mortality_Matrix!$B$4:$BS$64,MATCH($A116,Mortality_Matrix!$A$4:$A$64,0),MATCH(2031,Mortality_Matrix!$B$3:$BS$3,0)))/INDEX(Mortality_Matrix!$B$4:$BS$64,MATCH($A116,Mortality_Matrix!$A$4:$A$64,0),MATCH(2031,Mortality_Matrix!$B$3:$BS$3,0))</f>
        <v>5.42234881666529E-010</v>
      </c>
      <c r="V116" s="27" t="n">
        <f aca="false">(V50-INDEX(Mortality_Matrix!$B$4:$BS$64,MATCH($A116,Mortality_Matrix!$A$4:$A$64,0),MATCH(2032,Mortality_Matrix!$B$3:$BS$3,0)))/INDEX(Mortality_Matrix!$B$4:$BS$64,MATCH($A116,Mortality_Matrix!$A$4:$A$64,0),MATCH(2032,Mortality_Matrix!$B$3:$BS$3,0))</f>
        <v>1.82467847096589E-011</v>
      </c>
      <c r="W116" s="27" t="n">
        <f aca="false">(W50-INDEX(Mortality_Matrix!$B$4:$BS$64,MATCH($A116,Mortality_Matrix!$A$4:$A$64,0),MATCH(2033,Mortality_Matrix!$B$3:$BS$3,0)))/INDEX(Mortality_Matrix!$B$4:$BS$64,MATCH($A116,Mortality_Matrix!$A$4:$A$64,0),MATCH(2033,Mortality_Matrix!$B$3:$BS$3,0))</f>
        <v>5.3864077843642E-010</v>
      </c>
      <c r="X116" s="27" t="n">
        <f aca="false">(X50-INDEX(Mortality_Matrix!$B$4:$BS$64,MATCH($A116,Mortality_Matrix!$A$4:$A$64,0),MATCH(2034,Mortality_Matrix!$B$3:$BS$3,0)))/INDEX(Mortality_Matrix!$B$4:$BS$64,MATCH($A116,Mortality_Matrix!$A$4:$A$64,0),MATCH(2034,Mortality_Matrix!$B$3:$BS$3,0))</f>
        <v>-2.22727729955273E-010</v>
      </c>
      <c r="Y116" s="27" t="n">
        <f aca="false">(Y50-INDEX(Mortality_Matrix!$B$4:$BS$64,MATCH($A116,Mortality_Matrix!$A$4:$A$64,0),MATCH(2035,Mortality_Matrix!$B$3:$BS$3,0)))/INDEX(Mortality_Matrix!$B$4:$BS$64,MATCH($A116,Mortality_Matrix!$A$4:$A$64,0),MATCH(2035,Mortality_Matrix!$B$3:$BS$3,0))</f>
        <v>-3.46826248333123E-010</v>
      </c>
      <c r="Z116" s="27" t="n">
        <f aca="false">(Z50-INDEX(Mortality_Matrix!$B$4:$BS$64,MATCH($A116,Mortality_Matrix!$A$4:$A$64,0),MATCH(2036,Mortality_Matrix!$B$3:$BS$3,0)))/INDEX(Mortality_Matrix!$B$4:$BS$64,MATCH($A116,Mortality_Matrix!$A$4:$A$64,0),MATCH(2036,Mortality_Matrix!$B$3:$BS$3,0))</f>
        <v>-5.27233752687337E-010</v>
      </c>
      <c r="AA116" s="27" t="n">
        <f aca="false">(AA50-INDEX(Mortality_Matrix!$B$4:$BS$64,MATCH($A116,Mortality_Matrix!$A$4:$A$64,0),MATCH(2037,Mortality_Matrix!$B$3:$BS$3,0)))/INDEX(Mortality_Matrix!$B$4:$BS$64,MATCH($A116,Mortality_Matrix!$A$4:$A$64,0),MATCH(2037,Mortality_Matrix!$B$3:$BS$3,0))</f>
        <v>5.79222451837559E-010</v>
      </c>
      <c r="AB116" s="27" t="n">
        <f aca="false">(AB50-INDEX(Mortality_Matrix!$B$4:$BS$64,MATCH($A116,Mortality_Matrix!$A$4:$A$64,0),MATCH(2038,Mortality_Matrix!$B$3:$BS$3,0)))/INDEX(Mortality_Matrix!$B$4:$BS$64,MATCH($A116,Mortality_Matrix!$A$4:$A$64,0),MATCH(2038,Mortality_Matrix!$B$3:$BS$3,0))</f>
        <v>5.12216627066121E-010</v>
      </c>
      <c r="AC116" s="27" t="n">
        <f aca="false">(AC50-INDEX(Mortality_Matrix!$B$4:$BS$64,MATCH($A116,Mortality_Matrix!$A$4:$A$64,0),MATCH(2039,Mortality_Matrix!$B$3:$BS$3,0)))/INDEX(Mortality_Matrix!$B$4:$BS$64,MATCH($A116,Mortality_Matrix!$A$4:$A$64,0),MATCH(2039,Mortality_Matrix!$B$3:$BS$3,0))</f>
        <v>4.88464135117565E-010</v>
      </c>
      <c r="AD116" s="27" t="n">
        <f aca="false">(AD50-INDEX(Mortality_Matrix!$B$4:$BS$64,MATCH($A116,Mortality_Matrix!$A$4:$A$64,0),MATCH(2040,Mortality_Matrix!$B$3:$BS$3,0)))/INDEX(Mortality_Matrix!$B$4:$BS$64,MATCH($A116,Mortality_Matrix!$A$4:$A$64,0),MATCH(2040,Mortality_Matrix!$B$3:$BS$3,0))</f>
        <v>-4.73814245204785E-010</v>
      </c>
      <c r="AE116" s="27" t="n">
        <f aca="false">(AE50-INDEX(Mortality_Matrix!$B$4:$BS$64,MATCH($A116,Mortality_Matrix!$A$4:$A$64,0),MATCH(2041,Mortality_Matrix!$B$3:$BS$3,0)))/INDEX(Mortality_Matrix!$B$4:$BS$64,MATCH($A116,Mortality_Matrix!$A$4:$A$64,0),MATCH(2041,Mortality_Matrix!$B$3:$BS$3,0))</f>
        <v>-5.68094422648428E-010</v>
      </c>
      <c r="AF116" s="27" t="n">
        <f aca="false">(AF50-INDEX(Mortality_Matrix!$B$4:$BS$64,MATCH($A116,Mortality_Matrix!$A$4:$A$64,0),MATCH(2042,Mortality_Matrix!$B$3:$BS$3,0)))/INDEX(Mortality_Matrix!$B$4:$BS$64,MATCH($A116,Mortality_Matrix!$A$4:$A$64,0),MATCH(2042,Mortality_Matrix!$B$3:$BS$3,0))</f>
        <v>1.41702952182874E-010</v>
      </c>
      <c r="AG116" s="27" t="n">
        <f aca="false">(AG50-INDEX(Mortality_Matrix!$B$4:$BS$64,MATCH($A116,Mortality_Matrix!$A$4:$A$64,0),MATCH(2043,Mortality_Matrix!$B$3:$BS$3,0)))/INDEX(Mortality_Matrix!$B$4:$BS$64,MATCH($A116,Mortality_Matrix!$A$4:$A$64,0),MATCH(2043,Mortality_Matrix!$B$3:$BS$3,0))</f>
        <v>5.10181046393696E-010</v>
      </c>
      <c r="AH116" s="27" t="n">
        <f aca="false">(AH50-INDEX(Mortality_Matrix!$B$4:$BS$64,MATCH($A116,Mortality_Matrix!$A$4:$A$64,0),MATCH(2044,Mortality_Matrix!$B$3:$BS$3,0)))/INDEX(Mortality_Matrix!$B$4:$BS$64,MATCH($A116,Mortality_Matrix!$A$4:$A$64,0),MATCH(2044,Mortality_Matrix!$B$3:$BS$3,0))</f>
        <v>6.59101896990214E-010</v>
      </c>
      <c r="AI116" s="27" t="n">
        <f aca="false">(AI50-INDEX(Mortality_Matrix!$B$4:$BS$64,MATCH($A116,Mortality_Matrix!$A$4:$A$64,0),MATCH(2045,Mortality_Matrix!$B$3:$BS$3,0)))/INDEX(Mortality_Matrix!$B$4:$BS$64,MATCH($A116,Mortality_Matrix!$A$4:$A$64,0),MATCH(2045,Mortality_Matrix!$B$3:$BS$3,0))</f>
        <v>3.07663219165922E-011</v>
      </c>
      <c r="AJ116" s="27" t="n">
        <f aca="false">(AJ50-INDEX(Mortality_Matrix!$B$4:$BS$64,MATCH($A116,Mortality_Matrix!$A$4:$A$64,0),MATCH(2046,Mortality_Matrix!$B$3:$BS$3,0)))/INDEX(Mortality_Matrix!$B$4:$BS$64,MATCH($A116,Mortality_Matrix!$A$4:$A$64,0),MATCH(2046,Mortality_Matrix!$B$3:$BS$3,0))</f>
        <v>-1.5218381010558E-010</v>
      </c>
      <c r="AK116" s="27" t="n">
        <f aca="false">(AK50-INDEX(Mortality_Matrix!$B$4:$BS$64,MATCH($A116,Mortality_Matrix!$A$4:$A$64,0),MATCH(2047,Mortality_Matrix!$B$3:$BS$3,0)))/INDEX(Mortality_Matrix!$B$4:$BS$64,MATCH($A116,Mortality_Matrix!$A$4:$A$64,0),MATCH(2047,Mortality_Matrix!$B$3:$BS$3,0))</f>
        <v>-3.84302695850182E-010</v>
      </c>
      <c r="AL116" s="27" t="n">
        <f aca="false">(AL50-INDEX(Mortality_Matrix!$B$4:$BS$64,MATCH($A116,Mortality_Matrix!$A$4:$A$64,0),MATCH(2048,Mortality_Matrix!$B$3:$BS$3,0)))/INDEX(Mortality_Matrix!$B$4:$BS$64,MATCH($A116,Mortality_Matrix!$A$4:$A$64,0),MATCH(2048,Mortality_Matrix!$B$3:$BS$3,0))</f>
        <v>-4.06524900427849E-010</v>
      </c>
      <c r="AM116" s="27" t="n">
        <f aca="false">(AM50-INDEX(Mortality_Matrix!$B$4:$BS$64,MATCH($A116,Mortality_Matrix!$A$4:$A$64,0),MATCH(2049,Mortality_Matrix!$B$3:$BS$3,0)))/INDEX(Mortality_Matrix!$B$4:$BS$64,MATCH($A116,Mortality_Matrix!$A$4:$A$64,0),MATCH(2049,Mortality_Matrix!$B$3:$BS$3,0))</f>
        <v>3.11043113427276E-010</v>
      </c>
      <c r="AN116" s="27" t="n">
        <f aca="false">(AN50-INDEX(Mortality_Matrix!$B$4:$BS$64,MATCH($A116,Mortality_Matrix!$A$4:$A$64,0),MATCH(2050,Mortality_Matrix!$B$3:$BS$3,0)))/INDEX(Mortality_Matrix!$B$4:$BS$64,MATCH($A116,Mortality_Matrix!$A$4:$A$64,0),MATCH(2050,Mortality_Matrix!$B$3:$BS$3,0))</f>
        <v>4.42019001146479E-010</v>
      </c>
      <c r="AO116" s="27" t="n">
        <f aca="false">(AO50-INDEX(Mortality_Matrix!$B$4:$BS$64,MATCH($A116,Mortality_Matrix!$A$4:$A$64,0),MATCH(2051,Mortality_Matrix!$B$3:$BS$3,0)))/INDEX(Mortality_Matrix!$B$4:$BS$64,MATCH($A116,Mortality_Matrix!$A$4:$A$64,0),MATCH(2051,Mortality_Matrix!$B$3:$BS$3,0))</f>
        <v>-6.00546572962174E-010</v>
      </c>
      <c r="AP116" s="27" t="n">
        <f aca="false">(AP50-INDEX(Mortality_Matrix!$B$4:$BS$64,MATCH($A116,Mortality_Matrix!$A$4:$A$64,0),MATCH(2052,Mortality_Matrix!$B$3:$BS$3,0)))/INDEX(Mortality_Matrix!$B$4:$BS$64,MATCH($A116,Mortality_Matrix!$A$4:$A$64,0),MATCH(2052,Mortality_Matrix!$B$3:$BS$3,0))</f>
        <v>1.6245737310803E-010</v>
      </c>
      <c r="AQ116" s="27" t="n">
        <f aca="false">(AQ50-INDEX(Mortality_Matrix!$B$4:$BS$64,MATCH($A116,Mortality_Matrix!$A$4:$A$64,0),MATCH(2053,Mortality_Matrix!$B$3:$BS$3,0)))/INDEX(Mortality_Matrix!$B$4:$BS$64,MATCH($A116,Mortality_Matrix!$A$4:$A$64,0),MATCH(2053,Mortality_Matrix!$B$3:$BS$3,0))</f>
        <v>6.02643356211868E-010</v>
      </c>
      <c r="AR116" s="27" t="n">
        <f aca="false">(AR50-INDEX(Mortality_Matrix!$B$4:$BS$64,MATCH($A116,Mortality_Matrix!$A$4:$A$64,0),MATCH(2054,Mortality_Matrix!$B$3:$BS$3,0)))/INDEX(Mortality_Matrix!$B$4:$BS$64,MATCH($A116,Mortality_Matrix!$A$4:$A$64,0),MATCH(2054,Mortality_Matrix!$B$3:$BS$3,0))</f>
        <v>-6.11539362553914E-010</v>
      </c>
      <c r="AS116" s="27" t="n">
        <f aca="false">(AS50-INDEX(Mortality_Matrix!$B$4:$BS$64,MATCH($A116,Mortality_Matrix!$A$4:$A$64,0),MATCH(2055,Mortality_Matrix!$B$3:$BS$3,0)))/INDEX(Mortality_Matrix!$B$4:$BS$64,MATCH($A116,Mortality_Matrix!$A$4:$A$64,0),MATCH(2055,Mortality_Matrix!$B$3:$BS$3,0))</f>
        <v>6.8310672659174E-010</v>
      </c>
      <c r="AT116" s="27" t="n">
        <f aca="false">(AT50-INDEX(Mortality_Matrix!$B$4:$BS$64,MATCH($A116,Mortality_Matrix!$A$4:$A$64,0),MATCH(2056,Mortality_Matrix!$B$3:$BS$3,0)))/INDEX(Mortality_Matrix!$B$4:$BS$64,MATCH($A116,Mortality_Matrix!$A$4:$A$64,0),MATCH(2056,Mortality_Matrix!$B$3:$BS$3,0))</f>
        <v>3.46452292532452E-012</v>
      </c>
      <c r="AU116" s="27" t="n">
        <f aca="false">(AU50-INDEX(Mortality_Matrix!$B$4:$BS$64,MATCH($A116,Mortality_Matrix!$A$4:$A$64,0),MATCH(2057,Mortality_Matrix!$B$3:$BS$3,0)))/INDEX(Mortality_Matrix!$B$4:$BS$64,MATCH($A116,Mortality_Matrix!$A$4:$A$64,0),MATCH(2057,Mortality_Matrix!$B$3:$BS$3,0))</f>
        <v>8.04697441646718E-010</v>
      </c>
      <c r="AV116" s="27" t="n">
        <f aca="false">(AV50-INDEX(Mortality_Matrix!$B$4:$BS$64,MATCH($A116,Mortality_Matrix!$A$4:$A$64,0),MATCH(2058,Mortality_Matrix!$B$3:$BS$3,0)))/INDEX(Mortality_Matrix!$B$4:$BS$64,MATCH($A116,Mortality_Matrix!$A$4:$A$64,0),MATCH(2058,Mortality_Matrix!$B$3:$BS$3,0))</f>
        <v>1.22085715314861E-010</v>
      </c>
      <c r="AW116" s="27" t="n">
        <f aca="false">(AW50-INDEX(Mortality_Matrix!$B$4:$BS$64,MATCH($A116,Mortality_Matrix!$A$4:$A$64,0),MATCH(2059,Mortality_Matrix!$B$3:$BS$3,0)))/INDEX(Mortality_Matrix!$B$4:$BS$64,MATCH($A116,Mortality_Matrix!$A$4:$A$64,0),MATCH(2059,Mortality_Matrix!$B$3:$BS$3,0))</f>
        <v>3.42352564573685E-010</v>
      </c>
      <c r="AX116" s="27" t="n">
        <f aca="false">(AX50-INDEX(Mortality_Matrix!$B$4:$BS$64,MATCH($A116,Mortality_Matrix!$A$4:$A$64,0),MATCH(2060,Mortality_Matrix!$B$3:$BS$3,0)))/INDEX(Mortality_Matrix!$B$4:$BS$64,MATCH($A116,Mortality_Matrix!$A$4:$A$64,0),MATCH(2060,Mortality_Matrix!$B$3:$BS$3,0))</f>
        <v>-1.97161577542806E-010</v>
      </c>
      <c r="AY116" s="27" t="n">
        <f aca="false">(AY50-INDEX(Mortality_Matrix!$B$4:$BS$64,MATCH($A116,Mortality_Matrix!$A$4:$A$64,0),MATCH(2061,Mortality_Matrix!$B$3:$BS$3,0)))/INDEX(Mortality_Matrix!$B$4:$BS$64,MATCH($A116,Mortality_Matrix!$A$4:$A$64,0),MATCH(2061,Mortality_Matrix!$B$3:$BS$3,0))</f>
        <v>-5.33873762196239E-010</v>
      </c>
      <c r="AZ116" s="27" t="n">
        <f aca="false">(AZ50-INDEX(Mortality_Matrix!$B$4:$BS$64,MATCH($A116,Mortality_Matrix!$A$4:$A$64,0),MATCH(2062,Mortality_Matrix!$B$3:$BS$3,0)))/INDEX(Mortality_Matrix!$B$4:$BS$64,MATCH($A116,Mortality_Matrix!$A$4:$A$64,0),MATCH(2062,Mortality_Matrix!$B$3:$BS$3,0))</f>
        <v>6.69474181949091E-010</v>
      </c>
      <c r="BA116" s="27" t="n">
        <f aca="false">(BA50-INDEX(Mortality_Matrix!$B$4:$BS$64,MATCH($A116,Mortality_Matrix!$A$4:$A$64,0),MATCH(2063,Mortality_Matrix!$B$3:$BS$3,0)))/INDEX(Mortality_Matrix!$B$4:$BS$64,MATCH($A116,Mortality_Matrix!$A$4:$A$64,0),MATCH(2063,Mortality_Matrix!$B$3:$BS$3,0))</f>
        <v>7.57373871532452E-010</v>
      </c>
      <c r="BB116" s="27" t="n">
        <f aca="false">(BB50-INDEX(Mortality_Matrix!$B$4:$BS$64,MATCH($A116,Mortality_Matrix!$A$4:$A$64,0),MATCH(2064,Mortality_Matrix!$B$3:$BS$3,0)))/INDEX(Mortality_Matrix!$B$4:$BS$64,MATCH($A116,Mortality_Matrix!$A$4:$A$64,0),MATCH(2064,Mortality_Matrix!$B$3:$BS$3,0))</f>
        <v>8.14737466656984E-011</v>
      </c>
      <c r="BC116" s="27" t="n">
        <f aca="false">(BC50-INDEX(Mortality_Matrix!$B$4:$BS$64,MATCH($A116,Mortality_Matrix!$A$4:$A$64,0),MATCH(2065,Mortality_Matrix!$B$3:$BS$3,0)))/INDEX(Mortality_Matrix!$B$4:$BS$64,MATCH($A116,Mortality_Matrix!$A$4:$A$64,0),MATCH(2065,Mortality_Matrix!$B$3:$BS$3,0))</f>
        <v>-3.02231628740299E-010</v>
      </c>
      <c r="BD116" s="27" t="n">
        <f aca="false">(BD50-INDEX(Mortality_Matrix!$B$4:$BS$64,MATCH($A116,Mortality_Matrix!$A$4:$A$64,0),MATCH(2066,Mortality_Matrix!$B$3:$BS$3,0)))/INDEX(Mortality_Matrix!$B$4:$BS$64,MATCH($A116,Mortality_Matrix!$A$4:$A$64,0),MATCH(2066,Mortality_Matrix!$B$3:$BS$3,0))</f>
        <v>8.78657874478E-010</v>
      </c>
      <c r="BE116" s="27" t="n">
        <f aca="false">(BE50-INDEX(Mortality_Matrix!$B$4:$BS$64,MATCH($A116,Mortality_Matrix!$A$4:$A$64,0),MATCH(2067,Mortality_Matrix!$B$3:$BS$3,0)))/INDEX(Mortality_Matrix!$B$4:$BS$64,MATCH($A116,Mortality_Matrix!$A$4:$A$64,0),MATCH(2067,Mortality_Matrix!$B$3:$BS$3,0))</f>
        <v>5.13890887372258E-010</v>
      </c>
      <c r="BF116" s="27" t="n">
        <f aca="false">(BF50-INDEX(Mortality_Matrix!$B$4:$BS$64,MATCH($A116,Mortality_Matrix!$A$4:$A$64,0),MATCH(2068,Mortality_Matrix!$B$3:$BS$3,0)))/INDEX(Mortality_Matrix!$B$4:$BS$64,MATCH($A116,Mortality_Matrix!$A$4:$A$64,0),MATCH(2068,Mortality_Matrix!$B$3:$BS$3,0))</f>
        <v>5.9654371803983E-010</v>
      </c>
      <c r="BG116" s="27" t="n">
        <f aca="false">(BG50-INDEX(Mortality_Matrix!$B$4:$BS$64,MATCH($A116,Mortality_Matrix!$A$4:$A$64,0),MATCH(2069,Mortality_Matrix!$B$3:$BS$3,0)))/INDEX(Mortality_Matrix!$B$4:$BS$64,MATCH($A116,Mortality_Matrix!$A$4:$A$64,0),MATCH(2069,Mortality_Matrix!$B$3:$BS$3,0))</f>
        <v>-3.31225942297653E-010</v>
      </c>
      <c r="BH116" s="27" t="n">
        <f aca="false">(BH50-INDEX(Mortality_Matrix!$B$4:$BS$64,MATCH($A116,Mortality_Matrix!$A$4:$A$64,0),MATCH(2070,Mortality_Matrix!$B$3:$BS$3,0)))/INDEX(Mortality_Matrix!$B$4:$BS$64,MATCH($A116,Mortality_Matrix!$A$4:$A$64,0),MATCH(2070,Mortality_Matrix!$B$3:$BS$3,0))</f>
        <v>5.38141012062314E-010</v>
      </c>
      <c r="BI116" s="27" t="n">
        <f aca="false">(BI50-INDEX(Mortality_Matrix!$B$4:$BS$64,MATCH($A116,Mortality_Matrix!$A$4:$A$64,0),MATCH(2071,Mortality_Matrix!$B$3:$BS$3,0)))/INDEX(Mortality_Matrix!$B$4:$BS$64,MATCH($A116,Mortality_Matrix!$A$4:$A$64,0),MATCH(2071,Mortality_Matrix!$B$3:$BS$3,0))</f>
        <v>-7.2900750278179E-010</v>
      </c>
      <c r="BJ116" s="27" t="n">
        <f aca="false">(BJ50-INDEX(Mortality_Matrix!$B$4:$BS$64,MATCH($A116,Mortality_Matrix!$A$4:$A$64,0),MATCH(2072,Mortality_Matrix!$B$3:$BS$3,0)))/INDEX(Mortality_Matrix!$B$4:$BS$64,MATCH($A116,Mortality_Matrix!$A$4:$A$64,0),MATCH(2072,Mortality_Matrix!$B$3:$BS$3,0))</f>
        <v>-5.30224755501519E-010</v>
      </c>
      <c r="BK116" s="27" t="n">
        <f aca="false">(BK50-INDEX(Mortality_Matrix!$B$4:$BS$64,MATCH($A116,Mortality_Matrix!$A$4:$A$64,0),MATCH(2073,Mortality_Matrix!$B$3:$BS$3,0)))/INDEX(Mortality_Matrix!$B$4:$BS$64,MATCH($A116,Mortality_Matrix!$A$4:$A$64,0),MATCH(2073,Mortality_Matrix!$B$3:$BS$3,0))</f>
        <v>-1.01840941609295E-009</v>
      </c>
      <c r="BL116" s="27" t="n">
        <f aca="false">(BL50-INDEX(Mortality_Matrix!$B$4:$BS$64,MATCH($A116,Mortality_Matrix!$A$4:$A$64,0),MATCH(2074,Mortality_Matrix!$B$3:$BS$3,0)))/INDEX(Mortality_Matrix!$B$4:$BS$64,MATCH($A116,Mortality_Matrix!$A$4:$A$64,0),MATCH(2074,Mortality_Matrix!$B$3:$BS$3,0))</f>
        <v>1.8184683336458E-010</v>
      </c>
      <c r="BM116" s="27" t="n">
        <f aca="false">(BM50-INDEX(Mortality_Matrix!$B$4:$BS$64,MATCH($A116,Mortality_Matrix!$A$4:$A$64,0),MATCH(2075,Mortality_Matrix!$B$3:$BS$3,0)))/INDEX(Mortality_Matrix!$B$4:$BS$64,MATCH($A116,Mortality_Matrix!$A$4:$A$64,0),MATCH(2075,Mortality_Matrix!$B$3:$BS$3,0))</f>
        <v>6.49172719161433E-010</v>
      </c>
      <c r="BN116" s="27" t="n">
        <f aca="false">(BN50-INDEX(Mortality_Matrix!$B$4:$BS$64,MATCH($A116,Mortality_Matrix!$A$4:$A$64,0),MATCH(2076,Mortality_Matrix!$B$3:$BS$3,0)))/INDEX(Mortality_Matrix!$B$4:$BS$64,MATCH($A116,Mortality_Matrix!$A$4:$A$64,0),MATCH(2076,Mortality_Matrix!$B$3:$BS$3,0))</f>
        <v>-7.83507668403502E-010</v>
      </c>
      <c r="BO116" s="27" t="n">
        <f aca="false">(BO50-INDEX(Mortality_Matrix!$B$4:$BS$64,MATCH($A116,Mortality_Matrix!$A$4:$A$64,0),MATCH(2077,Mortality_Matrix!$B$3:$BS$3,0)))/INDEX(Mortality_Matrix!$B$4:$BS$64,MATCH($A116,Mortality_Matrix!$A$4:$A$64,0),MATCH(2077,Mortality_Matrix!$B$3:$BS$3,0))</f>
        <v>2.10266924359185E-010</v>
      </c>
      <c r="BP116" s="27" t="n">
        <f aca="false">(BP50-INDEX(Mortality_Matrix!$B$4:$BS$64,MATCH($A116,Mortality_Matrix!$A$4:$A$64,0),MATCH(2078,Mortality_Matrix!$B$3:$BS$3,0)))/INDEX(Mortality_Matrix!$B$4:$BS$64,MATCH($A116,Mortality_Matrix!$A$4:$A$64,0),MATCH(2078,Mortality_Matrix!$B$3:$BS$3,0))</f>
        <v>-9.45574295275193E-010</v>
      </c>
      <c r="BQ116" s="27" t="n">
        <f aca="false">(BQ50-INDEX(Mortality_Matrix!$B$4:$BS$64,MATCH($A116,Mortality_Matrix!$A$4:$A$64,0),MATCH(2079,Mortality_Matrix!$B$3:$BS$3,0)))/INDEX(Mortality_Matrix!$B$4:$BS$64,MATCH($A116,Mortality_Matrix!$A$4:$A$64,0),MATCH(2079,Mortality_Matrix!$B$3:$BS$3,0))</f>
        <v>3.63191711337244E-010</v>
      </c>
      <c r="BR116" s="27" t="n">
        <f aca="false">(BR50-INDEX(Mortality_Matrix!$B$4:$BS$64,MATCH($A116,Mortality_Matrix!$A$4:$A$64,0),MATCH(2080,Mortality_Matrix!$B$3:$BS$3,0)))/INDEX(Mortality_Matrix!$B$4:$BS$64,MATCH($A116,Mortality_Matrix!$A$4:$A$64,0),MATCH(2080,Mortality_Matrix!$B$3:$BS$3,0))</f>
        <v>9.67652473536753E-010</v>
      </c>
      <c r="BS116" s="27" t="n">
        <f aca="false">(BS50-INDEX(Mortality_Matrix!$B$4:$BS$64,MATCH($A116,Mortality_Matrix!$A$4:$A$64,0),MATCH(2081,Mortality_Matrix!$B$3:$BS$3,0)))/INDEX(Mortality_Matrix!$B$4:$BS$64,MATCH($A116,Mortality_Matrix!$A$4:$A$64,0),MATCH(2081,Mortality_Matrix!$B$3:$BS$3,0))</f>
        <v>1.2028192776418E-009</v>
      </c>
      <c r="BT116" s="27" t="n">
        <f aca="false">(BT50-INDEX(Mortality_Matrix!$B$4:$BS$64,MATCH($A116,Mortality_Matrix!$A$4:$A$64,0),MATCH(2082,Mortality_Matrix!$B$3:$BS$3,0)))/INDEX(Mortality_Matrix!$B$4:$BS$64,MATCH($A116,Mortality_Matrix!$A$4:$A$64,0),MATCH(2082,Mortality_Matrix!$B$3:$BS$3,0))</f>
        <v>-3.97607532673884E-010</v>
      </c>
      <c r="BU116" s="27" t="n">
        <f aca="false">(BU50-INDEX(Mortality_Matrix!$B$4:$BS$64,MATCH($A116,Mortality_Matrix!$A$4:$A$64,0),MATCH(2083,Mortality_Matrix!$B$3:$BS$3,0)))/INDEX(Mortality_Matrix!$B$4:$BS$64,MATCH($A116,Mortality_Matrix!$A$4:$A$64,0),MATCH(2083,Mortality_Matrix!$B$3:$BS$3,0))</f>
        <v>-1.28834136877659E-010</v>
      </c>
      <c r="BV116" s="27" t="n">
        <f aca="false">(BV50-INDEX(Mortality_Matrix!$B$4:$BS$64,MATCH($A116,Mortality_Matrix!$A$4:$A$64,0),MATCH(2084,Mortality_Matrix!$B$3:$BS$3,0)))/INDEX(Mortality_Matrix!$B$4:$BS$64,MATCH($A116,Mortality_Matrix!$A$4:$A$64,0),MATCH(2084,Mortality_Matrix!$B$3:$BS$3,0))</f>
        <v>3.89910452692224E-010</v>
      </c>
      <c r="BW116" s="27" t="n">
        <f aca="false">(BW50-INDEX(Mortality_Matrix!$B$4:$BS$64,MATCH($A116,Mortality_Matrix!$A$4:$A$64,0),MATCH(2085,Mortality_Matrix!$B$3:$BS$3,0)))/INDEX(Mortality_Matrix!$B$4:$BS$64,MATCH($A116,Mortality_Matrix!$A$4:$A$64,0),MATCH(2085,Mortality_Matrix!$B$3:$BS$3,0))</f>
        <v>1.14986782262993E-009</v>
      </c>
      <c r="BX116" s="27" t="n">
        <f aca="false">(BX50-INDEX(Mortality_Matrix!$B$4:$BS$64,MATCH($A116,Mortality_Matrix!$A$4:$A$64,0),MATCH(2086,Mortality_Matrix!$B$3:$BS$3,0)))/INDEX(Mortality_Matrix!$B$4:$BS$64,MATCH($A116,Mortality_Matrix!$A$4:$A$64,0),MATCH(2086,Mortality_Matrix!$B$3:$BS$3,0))</f>
        <v>6.78596889437456E-010</v>
      </c>
      <c r="BY116" s="27" t="n">
        <f aca="false">(BY50-INDEX(Mortality_Matrix!$B$4:$BS$64,MATCH($A116,Mortality_Matrix!$A$4:$A$64,0),MATCH(2087,Mortality_Matrix!$B$3:$BS$3,0)))/INDEX(Mortality_Matrix!$B$4:$BS$64,MATCH($A116,Mortality_Matrix!$A$4:$A$64,0),MATCH(2087,Mortality_Matrix!$B$3:$BS$3,0))</f>
        <v>7.82457259086046E-010</v>
      </c>
      <c r="BZ116" s="27" t="n">
        <f aca="false">(BZ50-INDEX(Mortality_Matrix!$B$4:$BS$64,MATCH($A116,Mortality_Matrix!$A$4:$A$64,0),MATCH(2088,Mortality_Matrix!$B$3:$BS$3,0)))/INDEX(Mortality_Matrix!$B$4:$BS$64,MATCH($A116,Mortality_Matrix!$A$4:$A$64,0),MATCH(2088,Mortality_Matrix!$B$3:$BS$3,0))</f>
        <v>7.85731386259742E-010</v>
      </c>
      <c r="CA116" s="27" t="n">
        <f aca="false">(CA50-INDEX(Mortality_Matrix!$B$4:$BS$64,MATCH($A116,Mortality_Matrix!$A$4:$A$64,0),MATCH(2089,Mortality_Matrix!$B$3:$BS$3,0)))/INDEX(Mortality_Matrix!$B$4:$BS$64,MATCH($A116,Mortality_Matrix!$A$4:$A$64,0),MATCH(2089,Mortality_Matrix!$B$3:$BS$3,0))</f>
        <v>-4.16594915180252E-010</v>
      </c>
      <c r="CB116" s="27" t="n">
        <f aca="false">(CB50-INDEX(Mortality_Matrix!$B$4:$BS$64,MATCH($A116,Mortality_Matrix!$A$4:$A$64,0),MATCH(2090,Mortality_Matrix!$B$3:$BS$3,0)))/INDEX(Mortality_Matrix!$B$4:$BS$64,MATCH($A116,Mortality_Matrix!$A$4:$A$64,0),MATCH(2090,Mortality_Matrix!$B$3:$BS$3,0))</f>
        <v>6.8641933636595E-010</v>
      </c>
      <c r="CC116" s="27" t="n">
        <f aca="false">(CC50-INDEX(Mortality_Matrix!$B$4:$BS$64,MATCH($A116,Mortality_Matrix!$A$4:$A$64,0),MATCH(2091,Mortality_Matrix!$B$3:$BS$3,0)))/INDEX(Mortality_Matrix!$B$4:$BS$64,MATCH($A116,Mortality_Matrix!$A$4:$A$64,0),MATCH(2091,Mortality_Matrix!$B$3:$BS$3,0))</f>
        <v>6.32374293484125E-010</v>
      </c>
    </row>
    <row r="117" customFormat="false" ht="15" hidden="false" customHeight="true" outlineLevel="0" collapsed="false">
      <c r="A117" s="3" t="n">
        <v>88</v>
      </c>
      <c r="L117" s="27" t="n">
        <f aca="false">(L51-INDEX(Mortality_Matrix!$B$4:$BS$64,MATCH($A117,Mortality_Matrix!$A$4:$A$64,0),MATCH(2022,Mortality_Matrix!$B$3:$BS$3,0)))/INDEX(Mortality_Matrix!$B$4:$BS$64,MATCH($A117,Mortality_Matrix!$A$4:$A$64,0),MATCH(2022,Mortality_Matrix!$B$3:$BS$3,0))</f>
        <v>-5.68453354795511E-012</v>
      </c>
      <c r="M117" s="27" t="n">
        <f aca="false">(M51-INDEX(Mortality_Matrix!$B$4:$BS$64,MATCH($A117,Mortality_Matrix!$A$4:$A$64,0),MATCH(2023,Mortality_Matrix!$B$3:$BS$3,0)))/INDEX(Mortality_Matrix!$B$4:$BS$64,MATCH($A117,Mortality_Matrix!$A$4:$A$64,0),MATCH(2023,Mortality_Matrix!$B$3:$BS$3,0))</f>
        <v>4.47692045410342E-010</v>
      </c>
      <c r="N117" s="27" t="n">
        <f aca="false">(N51-INDEX(Mortality_Matrix!$B$4:$BS$64,MATCH($A117,Mortality_Matrix!$A$4:$A$64,0),MATCH(2024,Mortality_Matrix!$B$3:$BS$3,0)))/INDEX(Mortality_Matrix!$B$4:$BS$64,MATCH($A117,Mortality_Matrix!$A$4:$A$64,0),MATCH(2024,Mortality_Matrix!$B$3:$BS$3,0))</f>
        <v>-4.01289047868804E-011</v>
      </c>
      <c r="O117" s="27" t="n">
        <f aca="false">(O51-INDEX(Mortality_Matrix!$B$4:$BS$64,MATCH($A117,Mortality_Matrix!$A$4:$A$64,0),MATCH(2025,Mortality_Matrix!$B$3:$BS$3,0)))/INDEX(Mortality_Matrix!$B$4:$BS$64,MATCH($A117,Mortality_Matrix!$A$4:$A$64,0),MATCH(2025,Mortality_Matrix!$B$3:$BS$3,0))</f>
        <v>-4.48007298602835E-010</v>
      </c>
      <c r="P117" s="27" t="n">
        <f aca="false">(P51-INDEX(Mortality_Matrix!$B$4:$BS$64,MATCH($A117,Mortality_Matrix!$A$4:$A$64,0),MATCH(2026,Mortality_Matrix!$B$3:$BS$3,0)))/INDEX(Mortality_Matrix!$B$4:$BS$64,MATCH($A117,Mortality_Matrix!$A$4:$A$64,0),MATCH(2026,Mortality_Matrix!$B$3:$BS$3,0))</f>
        <v>2.73199953470008E-010</v>
      </c>
      <c r="Q117" s="27" t="n">
        <f aca="false">(Q51-INDEX(Mortality_Matrix!$B$4:$BS$64,MATCH($A117,Mortality_Matrix!$A$4:$A$64,0),MATCH(2027,Mortality_Matrix!$B$3:$BS$3,0)))/INDEX(Mortality_Matrix!$B$4:$BS$64,MATCH($A117,Mortality_Matrix!$A$4:$A$64,0),MATCH(2027,Mortality_Matrix!$B$3:$BS$3,0))</f>
        <v>1.66934595658994E-011</v>
      </c>
      <c r="R117" s="27" t="n">
        <f aca="false">(R51-INDEX(Mortality_Matrix!$B$4:$BS$64,MATCH($A117,Mortality_Matrix!$A$4:$A$64,0),MATCH(2028,Mortality_Matrix!$B$3:$BS$3,0)))/INDEX(Mortality_Matrix!$B$4:$BS$64,MATCH($A117,Mortality_Matrix!$A$4:$A$64,0),MATCH(2028,Mortality_Matrix!$B$3:$BS$3,0))</f>
        <v>-4.94010471557178E-010</v>
      </c>
      <c r="S117" s="27" t="n">
        <f aca="false">(S51-INDEX(Mortality_Matrix!$B$4:$BS$64,MATCH($A117,Mortality_Matrix!$A$4:$A$64,0),MATCH(2029,Mortality_Matrix!$B$3:$BS$3,0)))/INDEX(Mortality_Matrix!$B$4:$BS$64,MATCH($A117,Mortality_Matrix!$A$4:$A$64,0),MATCH(2029,Mortality_Matrix!$B$3:$BS$3,0))</f>
        <v>5.06067113753173E-010</v>
      </c>
      <c r="T117" s="27" t="n">
        <f aca="false">(T51-INDEX(Mortality_Matrix!$B$4:$BS$64,MATCH($A117,Mortality_Matrix!$A$4:$A$64,0),MATCH(2030,Mortality_Matrix!$B$3:$BS$3,0)))/INDEX(Mortality_Matrix!$B$4:$BS$64,MATCH($A117,Mortality_Matrix!$A$4:$A$64,0),MATCH(2030,Mortality_Matrix!$B$3:$BS$3,0))</f>
        <v>1.56722192521826E-011</v>
      </c>
      <c r="U117" s="27" t="n">
        <f aca="false">(U51-INDEX(Mortality_Matrix!$B$4:$BS$64,MATCH($A117,Mortality_Matrix!$A$4:$A$64,0),MATCH(2031,Mortality_Matrix!$B$3:$BS$3,0)))/INDEX(Mortality_Matrix!$B$4:$BS$64,MATCH($A117,Mortality_Matrix!$A$4:$A$64,0),MATCH(2031,Mortality_Matrix!$B$3:$BS$3,0))</f>
        <v>2.41758422776259E-010</v>
      </c>
      <c r="V117" s="27" t="n">
        <f aca="false">(V51-INDEX(Mortality_Matrix!$B$4:$BS$64,MATCH($A117,Mortality_Matrix!$A$4:$A$64,0),MATCH(2032,Mortality_Matrix!$B$3:$BS$3,0)))/INDEX(Mortality_Matrix!$B$4:$BS$64,MATCH($A117,Mortality_Matrix!$A$4:$A$64,0),MATCH(2032,Mortality_Matrix!$B$3:$BS$3,0))</f>
        <v>1.48792447006072E-010</v>
      </c>
      <c r="W117" s="27" t="n">
        <f aca="false">(W51-INDEX(Mortality_Matrix!$B$4:$BS$64,MATCH($A117,Mortality_Matrix!$A$4:$A$64,0),MATCH(2033,Mortality_Matrix!$B$3:$BS$3,0)))/INDEX(Mortality_Matrix!$B$4:$BS$64,MATCH($A117,Mortality_Matrix!$A$4:$A$64,0),MATCH(2033,Mortality_Matrix!$B$3:$BS$3,0))</f>
        <v>5.23844347647088E-010</v>
      </c>
      <c r="X117" s="27" t="n">
        <f aca="false">(X51-INDEX(Mortality_Matrix!$B$4:$BS$64,MATCH($A117,Mortality_Matrix!$A$4:$A$64,0),MATCH(2034,Mortality_Matrix!$B$3:$BS$3,0)))/INDEX(Mortality_Matrix!$B$4:$BS$64,MATCH($A117,Mortality_Matrix!$A$4:$A$64,0),MATCH(2034,Mortality_Matrix!$B$3:$BS$3,0))</f>
        <v>2.7860949324481E-010</v>
      </c>
      <c r="Y117" s="27" t="n">
        <f aca="false">(Y51-INDEX(Mortality_Matrix!$B$4:$BS$64,MATCH($A117,Mortality_Matrix!$A$4:$A$64,0),MATCH(2035,Mortality_Matrix!$B$3:$BS$3,0)))/INDEX(Mortality_Matrix!$B$4:$BS$64,MATCH($A117,Mortality_Matrix!$A$4:$A$64,0),MATCH(2035,Mortality_Matrix!$B$3:$BS$3,0))</f>
        <v>4.79439310986866E-010</v>
      </c>
      <c r="Z117" s="27" t="n">
        <f aca="false">(Z51-INDEX(Mortality_Matrix!$B$4:$BS$64,MATCH($A117,Mortality_Matrix!$A$4:$A$64,0),MATCH(2036,Mortality_Matrix!$B$3:$BS$3,0)))/INDEX(Mortality_Matrix!$B$4:$BS$64,MATCH($A117,Mortality_Matrix!$A$4:$A$64,0),MATCH(2036,Mortality_Matrix!$B$3:$BS$3,0))</f>
        <v>5.80268204268416E-010</v>
      </c>
      <c r="AA117" s="27" t="n">
        <f aca="false">(AA51-INDEX(Mortality_Matrix!$B$4:$BS$64,MATCH($A117,Mortality_Matrix!$A$4:$A$64,0),MATCH(2037,Mortality_Matrix!$B$3:$BS$3,0)))/INDEX(Mortality_Matrix!$B$4:$BS$64,MATCH($A117,Mortality_Matrix!$A$4:$A$64,0),MATCH(2037,Mortality_Matrix!$B$3:$BS$3,0))</f>
        <v>2.38891491799586E-010</v>
      </c>
      <c r="AB117" s="27" t="n">
        <f aca="false">(AB51-INDEX(Mortality_Matrix!$B$4:$BS$64,MATCH($A117,Mortality_Matrix!$A$4:$A$64,0),MATCH(2038,Mortality_Matrix!$B$3:$BS$3,0)))/INDEX(Mortality_Matrix!$B$4:$BS$64,MATCH($A117,Mortality_Matrix!$A$4:$A$64,0),MATCH(2038,Mortality_Matrix!$B$3:$BS$3,0))</f>
        <v>9.62199339246375E-011</v>
      </c>
      <c r="AC117" s="27" t="n">
        <f aca="false">(AC51-INDEX(Mortality_Matrix!$B$4:$BS$64,MATCH($A117,Mortality_Matrix!$A$4:$A$64,0),MATCH(2039,Mortality_Matrix!$B$3:$BS$3,0)))/INDEX(Mortality_Matrix!$B$4:$BS$64,MATCH($A117,Mortality_Matrix!$A$4:$A$64,0),MATCH(2039,Mortality_Matrix!$B$3:$BS$3,0))</f>
        <v>2.05501288352984E-010</v>
      </c>
      <c r="AD117" s="27" t="n">
        <f aca="false">(AD51-INDEX(Mortality_Matrix!$B$4:$BS$64,MATCH($A117,Mortality_Matrix!$A$4:$A$64,0),MATCH(2040,Mortality_Matrix!$B$3:$BS$3,0)))/INDEX(Mortality_Matrix!$B$4:$BS$64,MATCH($A117,Mortality_Matrix!$A$4:$A$64,0),MATCH(2040,Mortality_Matrix!$B$3:$BS$3,0))</f>
        <v>-4.36416777665764E-010</v>
      </c>
      <c r="AE117" s="27" t="n">
        <f aca="false">(AE51-INDEX(Mortality_Matrix!$B$4:$BS$64,MATCH($A117,Mortality_Matrix!$A$4:$A$64,0),MATCH(2041,Mortality_Matrix!$B$3:$BS$3,0)))/INDEX(Mortality_Matrix!$B$4:$BS$64,MATCH($A117,Mortality_Matrix!$A$4:$A$64,0),MATCH(2041,Mortality_Matrix!$B$3:$BS$3,0))</f>
        <v>5.77575838050315E-010</v>
      </c>
      <c r="AF117" s="27" t="n">
        <f aca="false">(AF51-INDEX(Mortality_Matrix!$B$4:$BS$64,MATCH($A117,Mortality_Matrix!$A$4:$A$64,0),MATCH(2042,Mortality_Matrix!$B$3:$BS$3,0)))/INDEX(Mortality_Matrix!$B$4:$BS$64,MATCH($A117,Mortality_Matrix!$A$4:$A$64,0),MATCH(2042,Mortality_Matrix!$B$3:$BS$3,0))</f>
        <v>6.02752247106168E-011</v>
      </c>
      <c r="AG117" s="27" t="n">
        <f aca="false">(AG51-INDEX(Mortality_Matrix!$B$4:$BS$64,MATCH($A117,Mortality_Matrix!$A$4:$A$64,0),MATCH(2043,Mortality_Matrix!$B$3:$BS$3,0)))/INDEX(Mortality_Matrix!$B$4:$BS$64,MATCH($A117,Mortality_Matrix!$A$4:$A$64,0),MATCH(2043,Mortality_Matrix!$B$3:$BS$3,0))</f>
        <v>-1.02906138252651E-010</v>
      </c>
      <c r="AH117" s="27" t="n">
        <f aca="false">(AH51-INDEX(Mortality_Matrix!$B$4:$BS$64,MATCH($A117,Mortality_Matrix!$A$4:$A$64,0),MATCH(2044,Mortality_Matrix!$B$3:$BS$3,0)))/INDEX(Mortality_Matrix!$B$4:$BS$64,MATCH($A117,Mortality_Matrix!$A$4:$A$64,0),MATCH(2044,Mortality_Matrix!$B$3:$BS$3,0))</f>
        <v>5.03257182214824E-010</v>
      </c>
      <c r="AI117" s="27" t="n">
        <f aca="false">(AI51-INDEX(Mortality_Matrix!$B$4:$BS$64,MATCH($A117,Mortality_Matrix!$A$4:$A$64,0),MATCH(2045,Mortality_Matrix!$B$3:$BS$3,0)))/INDEX(Mortality_Matrix!$B$4:$BS$64,MATCH($A117,Mortality_Matrix!$A$4:$A$64,0),MATCH(2045,Mortality_Matrix!$B$3:$BS$3,0))</f>
        <v>2.93786775750803E-010</v>
      </c>
      <c r="AJ117" s="27" t="n">
        <f aca="false">(AJ51-INDEX(Mortality_Matrix!$B$4:$BS$64,MATCH($A117,Mortality_Matrix!$A$4:$A$64,0),MATCH(2046,Mortality_Matrix!$B$3:$BS$3,0)))/INDEX(Mortality_Matrix!$B$4:$BS$64,MATCH($A117,Mortality_Matrix!$A$4:$A$64,0),MATCH(2046,Mortality_Matrix!$B$3:$BS$3,0))</f>
        <v>4.27518487198114E-010</v>
      </c>
      <c r="AK117" s="27" t="n">
        <f aca="false">(AK51-INDEX(Mortality_Matrix!$B$4:$BS$64,MATCH($A117,Mortality_Matrix!$A$4:$A$64,0),MATCH(2047,Mortality_Matrix!$B$3:$BS$3,0)))/INDEX(Mortality_Matrix!$B$4:$BS$64,MATCH($A117,Mortality_Matrix!$A$4:$A$64,0),MATCH(2047,Mortality_Matrix!$B$3:$BS$3,0))</f>
        <v>5.31847781868017E-010</v>
      </c>
      <c r="AL117" s="27" t="n">
        <f aca="false">(AL51-INDEX(Mortality_Matrix!$B$4:$BS$64,MATCH($A117,Mortality_Matrix!$A$4:$A$64,0),MATCH(2048,Mortality_Matrix!$B$3:$BS$3,0)))/INDEX(Mortality_Matrix!$B$4:$BS$64,MATCH($A117,Mortality_Matrix!$A$4:$A$64,0),MATCH(2048,Mortality_Matrix!$B$3:$BS$3,0))</f>
        <v>-4.67632957155395E-010</v>
      </c>
      <c r="AM117" s="27" t="n">
        <f aca="false">(AM51-INDEX(Mortality_Matrix!$B$4:$BS$64,MATCH($A117,Mortality_Matrix!$A$4:$A$64,0),MATCH(2049,Mortality_Matrix!$B$3:$BS$3,0)))/INDEX(Mortality_Matrix!$B$4:$BS$64,MATCH($A117,Mortality_Matrix!$A$4:$A$64,0),MATCH(2049,Mortality_Matrix!$B$3:$BS$3,0))</f>
        <v>-6.79702021994042E-010</v>
      </c>
      <c r="AN117" s="27" t="n">
        <f aca="false">(AN51-INDEX(Mortality_Matrix!$B$4:$BS$64,MATCH($A117,Mortality_Matrix!$A$4:$A$64,0),MATCH(2050,Mortality_Matrix!$B$3:$BS$3,0)))/INDEX(Mortality_Matrix!$B$4:$BS$64,MATCH($A117,Mortality_Matrix!$A$4:$A$64,0),MATCH(2050,Mortality_Matrix!$B$3:$BS$3,0))</f>
        <v>3.27109134311525E-010</v>
      </c>
      <c r="AO117" s="27" t="n">
        <f aca="false">(AO51-INDEX(Mortality_Matrix!$B$4:$BS$64,MATCH($A117,Mortality_Matrix!$A$4:$A$64,0),MATCH(2051,Mortality_Matrix!$B$3:$BS$3,0)))/INDEX(Mortality_Matrix!$B$4:$BS$64,MATCH($A117,Mortality_Matrix!$A$4:$A$64,0),MATCH(2051,Mortality_Matrix!$B$3:$BS$3,0))</f>
        <v>-4.22645577171082E-010</v>
      </c>
      <c r="AP117" s="27" t="n">
        <f aca="false">(AP51-INDEX(Mortality_Matrix!$B$4:$BS$64,MATCH($A117,Mortality_Matrix!$A$4:$A$64,0),MATCH(2052,Mortality_Matrix!$B$3:$BS$3,0)))/INDEX(Mortality_Matrix!$B$4:$BS$64,MATCH($A117,Mortality_Matrix!$A$4:$A$64,0),MATCH(2052,Mortality_Matrix!$B$3:$BS$3,0))</f>
        <v>8.94323778723778E-011</v>
      </c>
      <c r="AQ117" s="27" t="n">
        <f aca="false">(AQ51-INDEX(Mortality_Matrix!$B$4:$BS$64,MATCH($A117,Mortality_Matrix!$A$4:$A$64,0),MATCH(2053,Mortality_Matrix!$B$3:$BS$3,0)))/INDEX(Mortality_Matrix!$B$4:$BS$64,MATCH($A117,Mortality_Matrix!$A$4:$A$64,0),MATCH(2053,Mortality_Matrix!$B$3:$BS$3,0))</f>
        <v>6.61359752624261E-010</v>
      </c>
      <c r="AR117" s="27" t="n">
        <f aca="false">(AR51-INDEX(Mortality_Matrix!$B$4:$BS$64,MATCH($A117,Mortality_Matrix!$A$4:$A$64,0),MATCH(2054,Mortality_Matrix!$B$3:$BS$3,0)))/INDEX(Mortality_Matrix!$B$4:$BS$64,MATCH($A117,Mortality_Matrix!$A$4:$A$64,0),MATCH(2054,Mortality_Matrix!$B$3:$BS$3,0))</f>
        <v>-4.18708886799674E-010</v>
      </c>
      <c r="AS117" s="27" t="n">
        <f aca="false">(AS51-INDEX(Mortality_Matrix!$B$4:$BS$64,MATCH($A117,Mortality_Matrix!$A$4:$A$64,0),MATCH(2055,Mortality_Matrix!$B$3:$BS$3,0)))/INDEX(Mortality_Matrix!$B$4:$BS$64,MATCH($A117,Mortality_Matrix!$A$4:$A$64,0),MATCH(2055,Mortality_Matrix!$B$3:$BS$3,0))</f>
        <v>1.48286514357879E-010</v>
      </c>
      <c r="AT117" s="27" t="n">
        <f aca="false">(AT51-INDEX(Mortality_Matrix!$B$4:$BS$64,MATCH($A117,Mortality_Matrix!$A$4:$A$64,0),MATCH(2056,Mortality_Matrix!$B$3:$BS$3,0)))/INDEX(Mortality_Matrix!$B$4:$BS$64,MATCH($A117,Mortality_Matrix!$A$4:$A$64,0),MATCH(2056,Mortality_Matrix!$B$3:$BS$3,0))</f>
        <v>-2.44509664266452E-011</v>
      </c>
      <c r="AU117" s="27" t="n">
        <f aca="false">(AU51-INDEX(Mortality_Matrix!$B$4:$BS$64,MATCH($A117,Mortality_Matrix!$A$4:$A$64,0),MATCH(2057,Mortality_Matrix!$B$3:$BS$3,0)))/INDEX(Mortality_Matrix!$B$4:$BS$64,MATCH($A117,Mortality_Matrix!$A$4:$A$64,0),MATCH(2057,Mortality_Matrix!$B$3:$BS$3,0))</f>
        <v>-6.11016189744187E-010</v>
      </c>
      <c r="AV117" s="27" t="n">
        <f aca="false">(AV51-INDEX(Mortality_Matrix!$B$4:$BS$64,MATCH($A117,Mortality_Matrix!$A$4:$A$64,0),MATCH(2058,Mortality_Matrix!$B$3:$BS$3,0)))/INDEX(Mortality_Matrix!$B$4:$BS$64,MATCH($A117,Mortality_Matrix!$A$4:$A$64,0),MATCH(2058,Mortality_Matrix!$B$3:$BS$3,0))</f>
        <v>-3.71384170661888E-010</v>
      </c>
      <c r="AW117" s="27" t="n">
        <f aca="false">(AW51-INDEX(Mortality_Matrix!$B$4:$BS$64,MATCH($A117,Mortality_Matrix!$A$4:$A$64,0),MATCH(2059,Mortality_Matrix!$B$3:$BS$3,0)))/INDEX(Mortality_Matrix!$B$4:$BS$64,MATCH($A117,Mortality_Matrix!$A$4:$A$64,0),MATCH(2059,Mortality_Matrix!$B$3:$BS$3,0))</f>
        <v>-6.72880833423974E-010</v>
      </c>
      <c r="AX117" s="27" t="n">
        <f aca="false">(AX51-INDEX(Mortality_Matrix!$B$4:$BS$64,MATCH($A117,Mortality_Matrix!$A$4:$A$64,0),MATCH(2060,Mortality_Matrix!$B$3:$BS$3,0)))/INDEX(Mortality_Matrix!$B$4:$BS$64,MATCH($A117,Mortality_Matrix!$A$4:$A$64,0),MATCH(2060,Mortality_Matrix!$B$3:$BS$3,0))</f>
        <v>2.96760230601629E-010</v>
      </c>
      <c r="AY117" s="27" t="n">
        <f aca="false">(AY51-INDEX(Mortality_Matrix!$B$4:$BS$64,MATCH($A117,Mortality_Matrix!$A$4:$A$64,0),MATCH(2061,Mortality_Matrix!$B$3:$BS$3,0)))/INDEX(Mortality_Matrix!$B$4:$BS$64,MATCH($A117,Mortality_Matrix!$A$4:$A$64,0),MATCH(2061,Mortality_Matrix!$B$3:$BS$3,0))</f>
        <v>-7.80420355542256E-010</v>
      </c>
      <c r="AZ117" s="27" t="n">
        <f aca="false">(AZ51-INDEX(Mortality_Matrix!$B$4:$BS$64,MATCH($A117,Mortality_Matrix!$A$4:$A$64,0),MATCH(2062,Mortality_Matrix!$B$3:$BS$3,0)))/INDEX(Mortality_Matrix!$B$4:$BS$64,MATCH($A117,Mortality_Matrix!$A$4:$A$64,0),MATCH(2062,Mortality_Matrix!$B$3:$BS$3,0))</f>
        <v>6.92993751192737E-013</v>
      </c>
      <c r="BA117" s="27" t="n">
        <f aca="false">(BA51-INDEX(Mortality_Matrix!$B$4:$BS$64,MATCH($A117,Mortality_Matrix!$A$4:$A$64,0),MATCH(2063,Mortality_Matrix!$B$3:$BS$3,0)))/INDEX(Mortality_Matrix!$B$4:$BS$64,MATCH($A117,Mortality_Matrix!$A$4:$A$64,0),MATCH(2063,Mortality_Matrix!$B$3:$BS$3,0))</f>
        <v>5.25518668445491E-010</v>
      </c>
      <c r="BB117" s="27" t="n">
        <f aca="false">(BB51-INDEX(Mortality_Matrix!$B$4:$BS$64,MATCH($A117,Mortality_Matrix!$A$4:$A$64,0),MATCH(2064,Mortality_Matrix!$B$3:$BS$3,0)))/INDEX(Mortality_Matrix!$B$4:$BS$64,MATCH($A117,Mortality_Matrix!$A$4:$A$64,0),MATCH(2064,Mortality_Matrix!$B$3:$BS$3,0))</f>
        <v>2.4779935561378E-010</v>
      </c>
      <c r="BC117" s="27" t="n">
        <f aca="false">(BC51-INDEX(Mortality_Matrix!$B$4:$BS$64,MATCH($A117,Mortality_Matrix!$A$4:$A$64,0),MATCH(2065,Mortality_Matrix!$B$3:$BS$3,0)))/INDEX(Mortality_Matrix!$B$4:$BS$64,MATCH($A117,Mortality_Matrix!$A$4:$A$64,0),MATCH(2065,Mortality_Matrix!$B$3:$BS$3,0))</f>
        <v>-1.29950866304774E-010</v>
      </c>
      <c r="BD117" s="27" t="n">
        <f aca="false">(BD51-INDEX(Mortality_Matrix!$B$4:$BS$64,MATCH($A117,Mortality_Matrix!$A$4:$A$64,0),MATCH(2066,Mortality_Matrix!$B$3:$BS$3,0)))/INDEX(Mortality_Matrix!$B$4:$BS$64,MATCH($A117,Mortality_Matrix!$A$4:$A$64,0),MATCH(2066,Mortality_Matrix!$B$3:$BS$3,0))</f>
        <v>-7.30806750692578E-010</v>
      </c>
      <c r="BE117" s="27" t="n">
        <f aca="false">(BE51-INDEX(Mortality_Matrix!$B$4:$BS$64,MATCH($A117,Mortality_Matrix!$A$4:$A$64,0),MATCH(2067,Mortality_Matrix!$B$3:$BS$3,0)))/INDEX(Mortality_Matrix!$B$4:$BS$64,MATCH($A117,Mortality_Matrix!$A$4:$A$64,0),MATCH(2067,Mortality_Matrix!$B$3:$BS$3,0))</f>
        <v>5.19248226626644E-010</v>
      </c>
      <c r="BF117" s="27" t="n">
        <f aca="false">(BF51-INDEX(Mortality_Matrix!$B$4:$BS$64,MATCH($A117,Mortality_Matrix!$A$4:$A$64,0),MATCH(2068,Mortality_Matrix!$B$3:$BS$3,0)))/INDEX(Mortality_Matrix!$B$4:$BS$64,MATCH($A117,Mortality_Matrix!$A$4:$A$64,0),MATCH(2068,Mortality_Matrix!$B$3:$BS$3,0))</f>
        <v>5.01476351959495E-010</v>
      </c>
      <c r="BG117" s="27" t="n">
        <f aca="false">(BG51-INDEX(Mortality_Matrix!$B$4:$BS$64,MATCH($A117,Mortality_Matrix!$A$4:$A$64,0),MATCH(2069,Mortality_Matrix!$B$3:$BS$3,0)))/INDEX(Mortality_Matrix!$B$4:$BS$64,MATCH($A117,Mortality_Matrix!$A$4:$A$64,0),MATCH(2069,Mortality_Matrix!$B$3:$BS$3,0))</f>
        <v>-8.70131922088189E-010</v>
      </c>
      <c r="BH117" s="27" t="n">
        <f aca="false">(BH51-INDEX(Mortality_Matrix!$B$4:$BS$64,MATCH($A117,Mortality_Matrix!$A$4:$A$64,0),MATCH(2070,Mortality_Matrix!$B$3:$BS$3,0)))/INDEX(Mortality_Matrix!$B$4:$BS$64,MATCH($A117,Mortality_Matrix!$A$4:$A$64,0),MATCH(2070,Mortality_Matrix!$B$3:$BS$3,0))</f>
        <v>-8.68671735886423E-010</v>
      </c>
      <c r="BI117" s="27" t="n">
        <f aca="false">(BI51-INDEX(Mortality_Matrix!$B$4:$BS$64,MATCH($A117,Mortality_Matrix!$A$4:$A$64,0),MATCH(2071,Mortality_Matrix!$B$3:$BS$3,0)))/INDEX(Mortality_Matrix!$B$4:$BS$64,MATCH($A117,Mortality_Matrix!$A$4:$A$64,0),MATCH(2071,Mortality_Matrix!$B$3:$BS$3,0))</f>
        <v>2.57279178603635E-010</v>
      </c>
      <c r="BJ117" s="27" t="n">
        <f aca="false">(BJ51-INDEX(Mortality_Matrix!$B$4:$BS$64,MATCH($A117,Mortality_Matrix!$A$4:$A$64,0),MATCH(2072,Mortality_Matrix!$B$3:$BS$3,0)))/INDEX(Mortality_Matrix!$B$4:$BS$64,MATCH($A117,Mortality_Matrix!$A$4:$A$64,0),MATCH(2072,Mortality_Matrix!$B$3:$BS$3,0))</f>
        <v>5.25664454532025E-010</v>
      </c>
      <c r="BK117" s="27" t="n">
        <f aca="false">(BK51-INDEX(Mortality_Matrix!$B$4:$BS$64,MATCH($A117,Mortality_Matrix!$A$4:$A$64,0),MATCH(2073,Mortality_Matrix!$B$3:$BS$3,0)))/INDEX(Mortality_Matrix!$B$4:$BS$64,MATCH($A117,Mortality_Matrix!$A$4:$A$64,0),MATCH(2073,Mortality_Matrix!$B$3:$BS$3,0))</f>
        <v>-5.24251575291972E-010</v>
      </c>
      <c r="BL117" s="27" t="n">
        <f aca="false">(BL51-INDEX(Mortality_Matrix!$B$4:$BS$64,MATCH($A117,Mortality_Matrix!$A$4:$A$64,0),MATCH(2074,Mortality_Matrix!$B$3:$BS$3,0)))/INDEX(Mortality_Matrix!$B$4:$BS$64,MATCH($A117,Mortality_Matrix!$A$4:$A$64,0),MATCH(2074,Mortality_Matrix!$B$3:$BS$3,0))</f>
        <v>-2.3016114278464E-010</v>
      </c>
      <c r="BM117" s="27" t="n">
        <f aca="false">(BM51-INDEX(Mortality_Matrix!$B$4:$BS$64,MATCH($A117,Mortality_Matrix!$A$4:$A$64,0),MATCH(2075,Mortality_Matrix!$B$3:$BS$3,0)))/INDEX(Mortality_Matrix!$B$4:$BS$64,MATCH($A117,Mortality_Matrix!$A$4:$A$64,0),MATCH(2075,Mortality_Matrix!$B$3:$BS$3,0))</f>
        <v>-8.26989874196101E-010</v>
      </c>
      <c r="BN117" s="27" t="n">
        <f aca="false">(BN51-INDEX(Mortality_Matrix!$B$4:$BS$64,MATCH($A117,Mortality_Matrix!$A$4:$A$64,0),MATCH(2076,Mortality_Matrix!$B$3:$BS$3,0)))/INDEX(Mortality_Matrix!$B$4:$BS$64,MATCH($A117,Mortality_Matrix!$A$4:$A$64,0),MATCH(2076,Mortality_Matrix!$B$3:$BS$3,0))</f>
        <v>-3.24956079952049E-010</v>
      </c>
      <c r="BO117" s="27" t="n">
        <f aca="false">(BO51-INDEX(Mortality_Matrix!$B$4:$BS$64,MATCH($A117,Mortality_Matrix!$A$4:$A$64,0),MATCH(2077,Mortality_Matrix!$B$3:$BS$3,0)))/INDEX(Mortality_Matrix!$B$4:$BS$64,MATCH($A117,Mortality_Matrix!$A$4:$A$64,0),MATCH(2077,Mortality_Matrix!$B$3:$BS$3,0))</f>
        <v>-6.63054030972853E-010</v>
      </c>
      <c r="BP117" s="27" t="n">
        <f aca="false">(BP51-INDEX(Mortality_Matrix!$B$4:$BS$64,MATCH($A117,Mortality_Matrix!$A$4:$A$64,0),MATCH(2078,Mortality_Matrix!$B$3:$BS$3,0)))/INDEX(Mortality_Matrix!$B$4:$BS$64,MATCH($A117,Mortality_Matrix!$A$4:$A$64,0),MATCH(2078,Mortality_Matrix!$B$3:$BS$3,0))</f>
        <v>-2.84710136424985E-010</v>
      </c>
      <c r="BQ117" s="27" t="n">
        <f aca="false">(BQ51-INDEX(Mortality_Matrix!$B$4:$BS$64,MATCH($A117,Mortality_Matrix!$A$4:$A$64,0),MATCH(2079,Mortality_Matrix!$B$3:$BS$3,0)))/INDEX(Mortality_Matrix!$B$4:$BS$64,MATCH($A117,Mortality_Matrix!$A$4:$A$64,0),MATCH(2079,Mortality_Matrix!$B$3:$BS$3,0))</f>
        <v>-4.99449654003052E-010</v>
      </c>
      <c r="BR117" s="27" t="n">
        <f aca="false">(BR51-INDEX(Mortality_Matrix!$B$4:$BS$64,MATCH($A117,Mortality_Matrix!$A$4:$A$64,0),MATCH(2080,Mortality_Matrix!$B$3:$BS$3,0)))/INDEX(Mortality_Matrix!$B$4:$BS$64,MATCH($A117,Mortality_Matrix!$A$4:$A$64,0),MATCH(2080,Mortality_Matrix!$B$3:$BS$3,0))</f>
        <v>1.47550360692349E-010</v>
      </c>
      <c r="BS117" s="27" t="n">
        <f aca="false">(BS51-INDEX(Mortality_Matrix!$B$4:$BS$64,MATCH($A117,Mortality_Matrix!$A$4:$A$64,0),MATCH(2081,Mortality_Matrix!$B$3:$BS$3,0)))/INDEX(Mortality_Matrix!$B$4:$BS$64,MATCH($A117,Mortality_Matrix!$A$4:$A$64,0),MATCH(2081,Mortality_Matrix!$B$3:$BS$3,0))</f>
        <v>-7.02435057939183E-010</v>
      </c>
      <c r="BT117" s="27" t="n">
        <f aca="false">(BT51-INDEX(Mortality_Matrix!$B$4:$BS$64,MATCH($A117,Mortality_Matrix!$A$4:$A$64,0),MATCH(2082,Mortality_Matrix!$B$3:$BS$3,0)))/INDEX(Mortality_Matrix!$B$4:$BS$64,MATCH($A117,Mortality_Matrix!$A$4:$A$64,0),MATCH(2082,Mortality_Matrix!$B$3:$BS$3,0))</f>
        <v>7.95090091400126E-010</v>
      </c>
      <c r="BU117" s="27" t="n">
        <f aca="false">(BU51-INDEX(Mortality_Matrix!$B$4:$BS$64,MATCH($A117,Mortality_Matrix!$A$4:$A$64,0),MATCH(2083,Mortality_Matrix!$B$3:$BS$3,0)))/INDEX(Mortality_Matrix!$B$4:$BS$64,MATCH($A117,Mortality_Matrix!$A$4:$A$64,0),MATCH(2083,Mortality_Matrix!$B$3:$BS$3,0))</f>
        <v>-5.0554896065897E-010</v>
      </c>
      <c r="BV117" s="27" t="n">
        <f aca="false">(BV51-INDEX(Mortality_Matrix!$B$4:$BS$64,MATCH($A117,Mortality_Matrix!$A$4:$A$64,0),MATCH(2084,Mortality_Matrix!$B$3:$BS$3,0)))/INDEX(Mortality_Matrix!$B$4:$BS$64,MATCH($A117,Mortality_Matrix!$A$4:$A$64,0),MATCH(2084,Mortality_Matrix!$B$3:$BS$3,0))</f>
        <v>7.06993434614312E-012</v>
      </c>
      <c r="BW117" s="27" t="n">
        <f aca="false">(BW51-INDEX(Mortality_Matrix!$B$4:$BS$64,MATCH($A117,Mortality_Matrix!$A$4:$A$64,0),MATCH(2085,Mortality_Matrix!$B$3:$BS$3,0)))/INDEX(Mortality_Matrix!$B$4:$BS$64,MATCH($A117,Mortality_Matrix!$A$4:$A$64,0),MATCH(2085,Mortality_Matrix!$B$3:$BS$3,0))</f>
        <v>-8.85751543709766E-010</v>
      </c>
      <c r="BX117" s="27" t="n">
        <f aca="false">(BX51-INDEX(Mortality_Matrix!$B$4:$BS$64,MATCH($A117,Mortality_Matrix!$A$4:$A$64,0),MATCH(2086,Mortality_Matrix!$B$3:$BS$3,0)))/INDEX(Mortality_Matrix!$B$4:$BS$64,MATCH($A117,Mortality_Matrix!$A$4:$A$64,0),MATCH(2086,Mortality_Matrix!$B$3:$BS$3,0))</f>
        <v>6.08644628688868E-010</v>
      </c>
      <c r="BY117" s="27" t="n">
        <f aca="false">(BY51-INDEX(Mortality_Matrix!$B$4:$BS$64,MATCH($A117,Mortality_Matrix!$A$4:$A$64,0),MATCH(2087,Mortality_Matrix!$B$3:$BS$3,0)))/INDEX(Mortality_Matrix!$B$4:$BS$64,MATCH($A117,Mortality_Matrix!$A$4:$A$64,0),MATCH(2087,Mortality_Matrix!$B$3:$BS$3,0))</f>
        <v>-6.72407092130659E-010</v>
      </c>
      <c r="BZ117" s="27" t="n">
        <f aca="false">(BZ51-INDEX(Mortality_Matrix!$B$4:$BS$64,MATCH($A117,Mortality_Matrix!$A$4:$A$64,0),MATCH(2088,Mortality_Matrix!$B$3:$BS$3,0)))/INDEX(Mortality_Matrix!$B$4:$BS$64,MATCH($A117,Mortality_Matrix!$A$4:$A$64,0),MATCH(2088,Mortality_Matrix!$B$3:$BS$3,0))</f>
        <v>9.82782288164474E-010</v>
      </c>
      <c r="CA117" s="27" t="n">
        <f aca="false">(CA51-INDEX(Mortality_Matrix!$B$4:$BS$64,MATCH($A117,Mortality_Matrix!$A$4:$A$64,0),MATCH(2089,Mortality_Matrix!$B$3:$BS$3,0)))/INDEX(Mortality_Matrix!$B$4:$BS$64,MATCH($A117,Mortality_Matrix!$A$4:$A$64,0),MATCH(2089,Mortality_Matrix!$B$3:$BS$3,0))</f>
        <v>-1.02343592139146E-009</v>
      </c>
      <c r="CB117" s="27" t="n">
        <f aca="false">(CB51-INDEX(Mortality_Matrix!$B$4:$BS$64,MATCH($A117,Mortality_Matrix!$A$4:$A$64,0),MATCH(2090,Mortality_Matrix!$B$3:$BS$3,0)))/INDEX(Mortality_Matrix!$B$4:$BS$64,MATCH($A117,Mortality_Matrix!$A$4:$A$64,0),MATCH(2090,Mortality_Matrix!$B$3:$BS$3,0))</f>
        <v>-6.73007877270321E-010</v>
      </c>
      <c r="CC117" s="27" t="n">
        <f aca="false">(CC51-INDEX(Mortality_Matrix!$B$4:$BS$64,MATCH($A117,Mortality_Matrix!$A$4:$A$64,0),MATCH(2091,Mortality_Matrix!$B$3:$BS$3,0)))/INDEX(Mortality_Matrix!$B$4:$BS$64,MATCH($A117,Mortality_Matrix!$A$4:$A$64,0),MATCH(2091,Mortality_Matrix!$B$3:$BS$3,0))</f>
        <v>-6.17038428796662E-010</v>
      </c>
    </row>
    <row r="118" customFormat="false" ht="15" hidden="false" customHeight="true" outlineLevel="0" collapsed="false">
      <c r="A118" s="3" t="n">
        <v>89</v>
      </c>
      <c r="L118" s="27" t="n">
        <f aca="false">(L52-INDEX(Mortality_Matrix!$B$4:$BS$64,MATCH($A118,Mortality_Matrix!$A$4:$A$64,0),MATCH(2022,Mortality_Matrix!$B$3:$BS$3,0)))/INDEX(Mortality_Matrix!$B$4:$BS$64,MATCH($A118,Mortality_Matrix!$A$4:$A$64,0),MATCH(2022,Mortality_Matrix!$B$3:$BS$3,0))</f>
        <v>-2.43613799180979E-010</v>
      </c>
      <c r="M118" s="27" t="n">
        <f aca="false">(M52-INDEX(Mortality_Matrix!$B$4:$BS$64,MATCH($A118,Mortality_Matrix!$A$4:$A$64,0),MATCH(2023,Mortality_Matrix!$B$3:$BS$3,0)))/INDEX(Mortality_Matrix!$B$4:$BS$64,MATCH($A118,Mortality_Matrix!$A$4:$A$64,0),MATCH(2023,Mortality_Matrix!$B$3:$BS$3,0))</f>
        <v>-2.36293056057802E-010</v>
      </c>
      <c r="N118" s="27" t="n">
        <f aca="false">(N52-INDEX(Mortality_Matrix!$B$4:$BS$64,MATCH($A118,Mortality_Matrix!$A$4:$A$64,0),MATCH(2024,Mortality_Matrix!$B$3:$BS$3,0)))/INDEX(Mortality_Matrix!$B$4:$BS$64,MATCH($A118,Mortality_Matrix!$A$4:$A$64,0),MATCH(2024,Mortality_Matrix!$B$3:$BS$3,0))</f>
        <v>-2.10627858623976E-010</v>
      </c>
      <c r="O118" s="27" t="n">
        <f aca="false">(O52-INDEX(Mortality_Matrix!$B$4:$BS$64,MATCH($A118,Mortality_Matrix!$A$4:$A$64,0),MATCH(2025,Mortality_Matrix!$B$3:$BS$3,0)))/INDEX(Mortality_Matrix!$B$4:$BS$64,MATCH($A118,Mortality_Matrix!$A$4:$A$64,0),MATCH(2025,Mortality_Matrix!$B$3:$BS$3,0))</f>
        <v>1.72195468584875E-010</v>
      </c>
      <c r="P118" s="27" t="n">
        <f aca="false">(P52-INDEX(Mortality_Matrix!$B$4:$BS$64,MATCH($A118,Mortality_Matrix!$A$4:$A$64,0),MATCH(2026,Mortality_Matrix!$B$3:$BS$3,0)))/INDEX(Mortality_Matrix!$B$4:$BS$64,MATCH($A118,Mortality_Matrix!$A$4:$A$64,0),MATCH(2026,Mortality_Matrix!$B$3:$BS$3,0))</f>
        <v>2.32746019553761E-010</v>
      </c>
      <c r="Q118" s="27" t="n">
        <f aca="false">(Q52-INDEX(Mortality_Matrix!$B$4:$BS$64,MATCH($A118,Mortality_Matrix!$A$4:$A$64,0),MATCH(2027,Mortality_Matrix!$B$3:$BS$3,0)))/INDEX(Mortality_Matrix!$B$4:$BS$64,MATCH($A118,Mortality_Matrix!$A$4:$A$64,0),MATCH(2027,Mortality_Matrix!$B$3:$BS$3,0))</f>
        <v>-4.67092830636828E-011</v>
      </c>
      <c r="R118" s="27" t="n">
        <f aca="false">(R52-INDEX(Mortality_Matrix!$B$4:$BS$64,MATCH($A118,Mortality_Matrix!$A$4:$A$64,0),MATCH(2028,Mortality_Matrix!$B$3:$BS$3,0)))/INDEX(Mortality_Matrix!$B$4:$BS$64,MATCH($A118,Mortality_Matrix!$A$4:$A$64,0),MATCH(2028,Mortality_Matrix!$B$3:$BS$3,0))</f>
        <v>1.17201805585013E-010</v>
      </c>
      <c r="S118" s="27" t="n">
        <f aca="false">(S52-INDEX(Mortality_Matrix!$B$4:$BS$64,MATCH($A118,Mortality_Matrix!$A$4:$A$64,0),MATCH(2029,Mortality_Matrix!$B$3:$BS$3,0)))/INDEX(Mortality_Matrix!$B$4:$BS$64,MATCH($A118,Mortality_Matrix!$A$4:$A$64,0),MATCH(2029,Mortality_Matrix!$B$3:$BS$3,0))</f>
        <v>4.34076253610895E-010</v>
      </c>
      <c r="T118" s="27" t="n">
        <f aca="false">(T52-INDEX(Mortality_Matrix!$B$4:$BS$64,MATCH($A118,Mortality_Matrix!$A$4:$A$64,0),MATCH(2030,Mortality_Matrix!$B$3:$BS$3,0)))/INDEX(Mortality_Matrix!$B$4:$BS$64,MATCH($A118,Mortality_Matrix!$A$4:$A$64,0),MATCH(2030,Mortality_Matrix!$B$3:$BS$3,0))</f>
        <v>-3.59074009559839E-012</v>
      </c>
      <c r="U118" s="27" t="n">
        <f aca="false">(U52-INDEX(Mortality_Matrix!$B$4:$BS$64,MATCH($A118,Mortality_Matrix!$A$4:$A$64,0),MATCH(2031,Mortality_Matrix!$B$3:$BS$3,0)))/INDEX(Mortality_Matrix!$B$4:$BS$64,MATCH($A118,Mortality_Matrix!$A$4:$A$64,0),MATCH(2031,Mortality_Matrix!$B$3:$BS$3,0))</f>
        <v>7.9387206487554E-011</v>
      </c>
      <c r="V118" s="27" t="n">
        <f aca="false">(V52-INDEX(Mortality_Matrix!$B$4:$BS$64,MATCH($A118,Mortality_Matrix!$A$4:$A$64,0),MATCH(2032,Mortality_Matrix!$B$3:$BS$3,0)))/INDEX(Mortality_Matrix!$B$4:$BS$64,MATCH($A118,Mortality_Matrix!$A$4:$A$64,0),MATCH(2032,Mortality_Matrix!$B$3:$BS$3,0))</f>
        <v>3.98455645966317E-010</v>
      </c>
      <c r="W118" s="27" t="n">
        <f aca="false">(W52-INDEX(Mortality_Matrix!$B$4:$BS$64,MATCH($A118,Mortality_Matrix!$A$4:$A$64,0),MATCH(2033,Mortality_Matrix!$B$3:$BS$3,0)))/INDEX(Mortality_Matrix!$B$4:$BS$64,MATCH($A118,Mortality_Matrix!$A$4:$A$64,0),MATCH(2033,Mortality_Matrix!$B$3:$BS$3,0))</f>
        <v>-3.47871758858884E-010</v>
      </c>
      <c r="X118" s="27" t="n">
        <f aca="false">(X52-INDEX(Mortality_Matrix!$B$4:$BS$64,MATCH($A118,Mortality_Matrix!$A$4:$A$64,0),MATCH(2034,Mortality_Matrix!$B$3:$BS$3,0)))/INDEX(Mortality_Matrix!$B$4:$BS$64,MATCH($A118,Mortality_Matrix!$A$4:$A$64,0),MATCH(2034,Mortality_Matrix!$B$3:$BS$3,0))</f>
        <v>9.58450420878533E-011</v>
      </c>
      <c r="Y118" s="27" t="n">
        <f aca="false">(Y52-INDEX(Mortality_Matrix!$B$4:$BS$64,MATCH($A118,Mortality_Matrix!$A$4:$A$64,0),MATCH(2035,Mortality_Matrix!$B$3:$BS$3,0)))/INDEX(Mortality_Matrix!$B$4:$BS$64,MATCH($A118,Mortality_Matrix!$A$4:$A$64,0),MATCH(2035,Mortality_Matrix!$B$3:$BS$3,0))</f>
        <v>3.76480067213872E-010</v>
      </c>
      <c r="Z118" s="27" t="n">
        <f aca="false">(Z52-INDEX(Mortality_Matrix!$B$4:$BS$64,MATCH($A118,Mortality_Matrix!$A$4:$A$64,0),MATCH(2036,Mortality_Matrix!$B$3:$BS$3,0)))/INDEX(Mortality_Matrix!$B$4:$BS$64,MATCH($A118,Mortality_Matrix!$A$4:$A$64,0),MATCH(2036,Mortality_Matrix!$B$3:$BS$3,0))</f>
        <v>6.4495808513497E-011</v>
      </c>
      <c r="AA118" s="27" t="n">
        <f aca="false">(AA52-INDEX(Mortality_Matrix!$B$4:$BS$64,MATCH($A118,Mortality_Matrix!$A$4:$A$64,0),MATCH(2037,Mortality_Matrix!$B$3:$BS$3,0)))/INDEX(Mortality_Matrix!$B$4:$BS$64,MATCH($A118,Mortality_Matrix!$A$4:$A$64,0),MATCH(2037,Mortality_Matrix!$B$3:$BS$3,0))</f>
        <v>4.10651810107601E-010</v>
      </c>
      <c r="AB118" s="27" t="n">
        <f aca="false">(AB52-INDEX(Mortality_Matrix!$B$4:$BS$64,MATCH($A118,Mortality_Matrix!$A$4:$A$64,0),MATCH(2038,Mortality_Matrix!$B$3:$BS$3,0)))/INDEX(Mortality_Matrix!$B$4:$BS$64,MATCH($A118,Mortality_Matrix!$A$4:$A$64,0),MATCH(2038,Mortality_Matrix!$B$3:$BS$3,0))</f>
        <v>-7.29045982354374E-011</v>
      </c>
      <c r="AC118" s="27" t="n">
        <f aca="false">(AC52-INDEX(Mortality_Matrix!$B$4:$BS$64,MATCH($A118,Mortality_Matrix!$A$4:$A$64,0),MATCH(2039,Mortality_Matrix!$B$3:$BS$3,0)))/INDEX(Mortality_Matrix!$B$4:$BS$64,MATCH($A118,Mortality_Matrix!$A$4:$A$64,0),MATCH(2039,Mortality_Matrix!$B$3:$BS$3,0))</f>
        <v>2.35057082641383E-010</v>
      </c>
      <c r="AD118" s="27" t="n">
        <f aca="false">(AD52-INDEX(Mortality_Matrix!$B$4:$BS$64,MATCH($A118,Mortality_Matrix!$A$4:$A$64,0),MATCH(2040,Mortality_Matrix!$B$3:$BS$3,0)))/INDEX(Mortality_Matrix!$B$4:$BS$64,MATCH($A118,Mortality_Matrix!$A$4:$A$64,0),MATCH(2040,Mortality_Matrix!$B$3:$BS$3,0))</f>
        <v>-5.16747348347768E-010</v>
      </c>
      <c r="AE118" s="27" t="n">
        <f aca="false">(AE52-INDEX(Mortality_Matrix!$B$4:$BS$64,MATCH($A118,Mortality_Matrix!$A$4:$A$64,0),MATCH(2041,Mortality_Matrix!$B$3:$BS$3,0)))/INDEX(Mortality_Matrix!$B$4:$BS$64,MATCH($A118,Mortality_Matrix!$A$4:$A$64,0),MATCH(2041,Mortality_Matrix!$B$3:$BS$3,0))</f>
        <v>4.86993066069534E-010</v>
      </c>
      <c r="AF118" s="27" t="n">
        <f aca="false">(AF52-INDEX(Mortality_Matrix!$B$4:$BS$64,MATCH($A118,Mortality_Matrix!$A$4:$A$64,0),MATCH(2042,Mortality_Matrix!$B$3:$BS$3,0)))/INDEX(Mortality_Matrix!$B$4:$BS$64,MATCH($A118,Mortality_Matrix!$A$4:$A$64,0),MATCH(2042,Mortality_Matrix!$B$3:$BS$3,0))</f>
        <v>-3.25320572910936E-010</v>
      </c>
      <c r="AG118" s="27" t="n">
        <f aca="false">(AG52-INDEX(Mortality_Matrix!$B$4:$BS$64,MATCH($A118,Mortality_Matrix!$A$4:$A$64,0),MATCH(2043,Mortality_Matrix!$B$3:$BS$3,0)))/INDEX(Mortality_Matrix!$B$4:$BS$64,MATCH($A118,Mortality_Matrix!$A$4:$A$64,0),MATCH(2043,Mortality_Matrix!$B$3:$BS$3,0))</f>
        <v>-2.74893250163601E-010</v>
      </c>
      <c r="AH118" s="27" t="n">
        <f aca="false">(AH52-INDEX(Mortality_Matrix!$B$4:$BS$64,MATCH($A118,Mortality_Matrix!$A$4:$A$64,0),MATCH(2044,Mortality_Matrix!$B$3:$BS$3,0)))/INDEX(Mortality_Matrix!$B$4:$BS$64,MATCH($A118,Mortality_Matrix!$A$4:$A$64,0),MATCH(2044,Mortality_Matrix!$B$3:$BS$3,0))</f>
        <v>-5.35218729962005E-010</v>
      </c>
      <c r="AI118" s="27" t="n">
        <f aca="false">(AI52-INDEX(Mortality_Matrix!$B$4:$BS$64,MATCH($A118,Mortality_Matrix!$A$4:$A$64,0),MATCH(2045,Mortality_Matrix!$B$3:$BS$3,0)))/INDEX(Mortality_Matrix!$B$4:$BS$64,MATCH($A118,Mortality_Matrix!$A$4:$A$64,0),MATCH(2045,Mortality_Matrix!$B$3:$BS$3,0))</f>
        <v>1.45184373675984E-010</v>
      </c>
      <c r="AJ118" s="27" t="n">
        <f aca="false">(AJ52-INDEX(Mortality_Matrix!$B$4:$BS$64,MATCH($A118,Mortality_Matrix!$A$4:$A$64,0),MATCH(2046,Mortality_Matrix!$B$3:$BS$3,0)))/INDEX(Mortality_Matrix!$B$4:$BS$64,MATCH($A118,Mortality_Matrix!$A$4:$A$64,0),MATCH(2046,Mortality_Matrix!$B$3:$BS$3,0))</f>
        <v>-5.3347093500642E-010</v>
      </c>
      <c r="AK118" s="27" t="n">
        <f aca="false">(AK52-INDEX(Mortality_Matrix!$B$4:$BS$64,MATCH($A118,Mortality_Matrix!$A$4:$A$64,0),MATCH(2047,Mortality_Matrix!$B$3:$BS$3,0)))/INDEX(Mortality_Matrix!$B$4:$BS$64,MATCH($A118,Mortality_Matrix!$A$4:$A$64,0),MATCH(2047,Mortality_Matrix!$B$3:$BS$3,0))</f>
        <v>4.00320393375233E-010</v>
      </c>
      <c r="AL118" s="27" t="n">
        <f aca="false">(AL52-INDEX(Mortality_Matrix!$B$4:$BS$64,MATCH($A118,Mortality_Matrix!$A$4:$A$64,0),MATCH(2048,Mortality_Matrix!$B$3:$BS$3,0)))/INDEX(Mortality_Matrix!$B$4:$BS$64,MATCH($A118,Mortality_Matrix!$A$4:$A$64,0),MATCH(2048,Mortality_Matrix!$B$3:$BS$3,0))</f>
        <v>4.93036962104534E-010</v>
      </c>
      <c r="AM118" s="27" t="n">
        <f aca="false">(AM52-INDEX(Mortality_Matrix!$B$4:$BS$64,MATCH($A118,Mortality_Matrix!$A$4:$A$64,0),MATCH(2049,Mortality_Matrix!$B$3:$BS$3,0)))/INDEX(Mortality_Matrix!$B$4:$BS$64,MATCH($A118,Mortality_Matrix!$A$4:$A$64,0),MATCH(2049,Mortality_Matrix!$B$3:$BS$3,0))</f>
        <v>-3.96360144032267E-010</v>
      </c>
      <c r="AN118" s="27" t="n">
        <f aca="false">(AN52-INDEX(Mortality_Matrix!$B$4:$BS$64,MATCH($A118,Mortality_Matrix!$A$4:$A$64,0),MATCH(2050,Mortality_Matrix!$B$3:$BS$3,0)))/INDEX(Mortality_Matrix!$B$4:$BS$64,MATCH($A118,Mortality_Matrix!$A$4:$A$64,0),MATCH(2050,Mortality_Matrix!$B$3:$BS$3,0))</f>
        <v>-2.83218123438958E-010</v>
      </c>
      <c r="AO118" s="27" t="n">
        <f aca="false">(AO52-INDEX(Mortality_Matrix!$B$4:$BS$64,MATCH($A118,Mortality_Matrix!$A$4:$A$64,0),MATCH(2051,Mortality_Matrix!$B$3:$BS$3,0)))/INDEX(Mortality_Matrix!$B$4:$BS$64,MATCH($A118,Mortality_Matrix!$A$4:$A$64,0),MATCH(2051,Mortality_Matrix!$B$3:$BS$3,0))</f>
        <v>-1.98760512262151E-010</v>
      </c>
      <c r="AP118" s="27" t="n">
        <f aca="false">(AP52-INDEX(Mortality_Matrix!$B$4:$BS$64,MATCH($A118,Mortality_Matrix!$A$4:$A$64,0),MATCH(2052,Mortality_Matrix!$B$3:$BS$3,0)))/INDEX(Mortality_Matrix!$B$4:$BS$64,MATCH($A118,Mortality_Matrix!$A$4:$A$64,0),MATCH(2052,Mortality_Matrix!$B$3:$BS$3,0))</f>
        <v>2.77936502749919E-010</v>
      </c>
      <c r="AQ118" s="27" t="n">
        <f aca="false">(AQ52-INDEX(Mortality_Matrix!$B$4:$BS$64,MATCH($A118,Mortality_Matrix!$A$4:$A$64,0),MATCH(2053,Mortality_Matrix!$B$3:$BS$3,0)))/INDEX(Mortality_Matrix!$B$4:$BS$64,MATCH($A118,Mortality_Matrix!$A$4:$A$64,0),MATCH(2053,Mortality_Matrix!$B$3:$BS$3,0))</f>
        <v>2.429818645031E-010</v>
      </c>
      <c r="AR118" s="27" t="n">
        <f aca="false">(AR52-INDEX(Mortality_Matrix!$B$4:$BS$64,MATCH($A118,Mortality_Matrix!$A$4:$A$64,0),MATCH(2054,Mortality_Matrix!$B$3:$BS$3,0)))/INDEX(Mortality_Matrix!$B$4:$BS$64,MATCH($A118,Mortality_Matrix!$A$4:$A$64,0),MATCH(2054,Mortality_Matrix!$B$3:$BS$3,0))</f>
        <v>-3.90639943686199E-010</v>
      </c>
      <c r="AS118" s="27" t="n">
        <f aca="false">(AS52-INDEX(Mortality_Matrix!$B$4:$BS$64,MATCH($A118,Mortality_Matrix!$A$4:$A$64,0),MATCH(2055,Mortality_Matrix!$B$3:$BS$3,0)))/INDEX(Mortality_Matrix!$B$4:$BS$64,MATCH($A118,Mortality_Matrix!$A$4:$A$64,0),MATCH(2055,Mortality_Matrix!$B$3:$BS$3,0))</f>
        <v>1.21167332397542E-010</v>
      </c>
      <c r="AT118" s="27" t="n">
        <f aca="false">(AT52-INDEX(Mortality_Matrix!$B$4:$BS$64,MATCH($A118,Mortality_Matrix!$A$4:$A$64,0),MATCH(2056,Mortality_Matrix!$B$3:$BS$3,0)))/INDEX(Mortality_Matrix!$B$4:$BS$64,MATCH($A118,Mortality_Matrix!$A$4:$A$64,0),MATCH(2056,Mortality_Matrix!$B$3:$BS$3,0))</f>
        <v>-1.30108288093535E-010</v>
      </c>
      <c r="AU118" s="27" t="n">
        <f aca="false">(AU52-INDEX(Mortality_Matrix!$B$4:$BS$64,MATCH($A118,Mortality_Matrix!$A$4:$A$64,0),MATCH(2057,Mortality_Matrix!$B$3:$BS$3,0)))/INDEX(Mortality_Matrix!$B$4:$BS$64,MATCH($A118,Mortality_Matrix!$A$4:$A$64,0),MATCH(2057,Mortality_Matrix!$B$3:$BS$3,0))</f>
        <v>-6.18021073578008E-010</v>
      </c>
      <c r="AV118" s="27" t="n">
        <f aca="false">(AV52-INDEX(Mortality_Matrix!$B$4:$BS$64,MATCH($A118,Mortality_Matrix!$A$4:$A$64,0),MATCH(2058,Mortality_Matrix!$B$3:$BS$3,0)))/INDEX(Mortality_Matrix!$B$4:$BS$64,MATCH($A118,Mortality_Matrix!$A$4:$A$64,0),MATCH(2058,Mortality_Matrix!$B$3:$BS$3,0))</f>
        <v>8.95880947118014E-011</v>
      </c>
      <c r="AW118" s="27" t="n">
        <f aca="false">(AW52-INDEX(Mortality_Matrix!$B$4:$BS$64,MATCH($A118,Mortality_Matrix!$A$4:$A$64,0),MATCH(2059,Mortality_Matrix!$B$3:$BS$3,0)))/INDEX(Mortality_Matrix!$B$4:$BS$64,MATCH($A118,Mortality_Matrix!$A$4:$A$64,0),MATCH(2059,Mortality_Matrix!$B$3:$BS$3,0))</f>
        <v>-5.06238560801481E-011</v>
      </c>
      <c r="AX118" s="27" t="n">
        <f aca="false">(AX52-INDEX(Mortality_Matrix!$B$4:$BS$64,MATCH($A118,Mortality_Matrix!$A$4:$A$64,0),MATCH(2060,Mortality_Matrix!$B$3:$BS$3,0)))/INDEX(Mortality_Matrix!$B$4:$BS$64,MATCH($A118,Mortality_Matrix!$A$4:$A$64,0),MATCH(2060,Mortality_Matrix!$B$3:$BS$3,0))</f>
        <v>-1.99821830262886E-010</v>
      </c>
      <c r="AY118" s="27" t="n">
        <f aca="false">(AY52-INDEX(Mortality_Matrix!$B$4:$BS$64,MATCH($A118,Mortality_Matrix!$A$4:$A$64,0),MATCH(2061,Mortality_Matrix!$B$3:$BS$3,0)))/INDEX(Mortality_Matrix!$B$4:$BS$64,MATCH($A118,Mortality_Matrix!$A$4:$A$64,0),MATCH(2061,Mortality_Matrix!$B$3:$BS$3,0))</f>
        <v>4.0851095490786E-010</v>
      </c>
      <c r="AZ118" s="27" t="n">
        <f aca="false">(AZ52-INDEX(Mortality_Matrix!$B$4:$BS$64,MATCH($A118,Mortality_Matrix!$A$4:$A$64,0),MATCH(2062,Mortality_Matrix!$B$3:$BS$3,0)))/INDEX(Mortality_Matrix!$B$4:$BS$64,MATCH($A118,Mortality_Matrix!$A$4:$A$64,0),MATCH(2062,Mortality_Matrix!$B$3:$BS$3,0))</f>
        <v>7.04634095912706E-010</v>
      </c>
      <c r="BA118" s="27" t="n">
        <f aca="false">(BA52-INDEX(Mortality_Matrix!$B$4:$BS$64,MATCH($A118,Mortality_Matrix!$A$4:$A$64,0),MATCH(2063,Mortality_Matrix!$B$3:$BS$3,0)))/INDEX(Mortality_Matrix!$B$4:$BS$64,MATCH($A118,Mortality_Matrix!$A$4:$A$64,0),MATCH(2063,Mortality_Matrix!$B$3:$BS$3,0))</f>
        <v>2.01155359059018E-010</v>
      </c>
      <c r="BB118" s="27" t="n">
        <f aca="false">(BB52-INDEX(Mortality_Matrix!$B$4:$BS$64,MATCH($A118,Mortality_Matrix!$A$4:$A$64,0),MATCH(2064,Mortality_Matrix!$B$3:$BS$3,0)))/INDEX(Mortality_Matrix!$B$4:$BS$64,MATCH($A118,Mortality_Matrix!$A$4:$A$64,0),MATCH(2064,Mortality_Matrix!$B$3:$BS$3,0))</f>
        <v>1.49611738966884E-010</v>
      </c>
      <c r="BC118" s="27" t="n">
        <f aca="false">(BC52-INDEX(Mortality_Matrix!$B$4:$BS$64,MATCH($A118,Mortality_Matrix!$A$4:$A$64,0),MATCH(2065,Mortality_Matrix!$B$3:$BS$3,0)))/INDEX(Mortality_Matrix!$B$4:$BS$64,MATCH($A118,Mortality_Matrix!$A$4:$A$64,0),MATCH(2065,Mortality_Matrix!$B$3:$BS$3,0))</f>
        <v>3.64610805734275E-010</v>
      </c>
      <c r="BD118" s="27" t="n">
        <f aca="false">(BD52-INDEX(Mortality_Matrix!$B$4:$BS$64,MATCH($A118,Mortality_Matrix!$A$4:$A$64,0),MATCH(2066,Mortality_Matrix!$B$3:$BS$3,0)))/INDEX(Mortality_Matrix!$B$4:$BS$64,MATCH($A118,Mortality_Matrix!$A$4:$A$64,0),MATCH(2066,Mortality_Matrix!$B$3:$BS$3,0))</f>
        <v>2.85160090309421E-010</v>
      </c>
      <c r="BE118" s="27" t="n">
        <f aca="false">(BE52-INDEX(Mortality_Matrix!$B$4:$BS$64,MATCH($A118,Mortality_Matrix!$A$4:$A$64,0),MATCH(2067,Mortality_Matrix!$B$3:$BS$3,0)))/INDEX(Mortality_Matrix!$B$4:$BS$64,MATCH($A118,Mortality_Matrix!$A$4:$A$64,0),MATCH(2067,Mortality_Matrix!$B$3:$BS$3,0))</f>
        <v>1.25138511416179E-010</v>
      </c>
      <c r="BF118" s="27" t="n">
        <f aca="false">(BF52-INDEX(Mortality_Matrix!$B$4:$BS$64,MATCH($A118,Mortality_Matrix!$A$4:$A$64,0),MATCH(2068,Mortality_Matrix!$B$3:$BS$3,0)))/INDEX(Mortality_Matrix!$B$4:$BS$64,MATCH($A118,Mortality_Matrix!$A$4:$A$64,0),MATCH(2068,Mortality_Matrix!$B$3:$BS$3,0))</f>
        <v>5.8528866134791E-010</v>
      </c>
      <c r="BG118" s="27" t="n">
        <f aca="false">(BG52-INDEX(Mortality_Matrix!$B$4:$BS$64,MATCH($A118,Mortality_Matrix!$A$4:$A$64,0),MATCH(2069,Mortality_Matrix!$B$3:$BS$3,0)))/INDEX(Mortality_Matrix!$B$4:$BS$64,MATCH($A118,Mortality_Matrix!$A$4:$A$64,0),MATCH(2069,Mortality_Matrix!$B$3:$BS$3,0))</f>
        <v>-5.571165646958E-010</v>
      </c>
      <c r="BH118" s="27" t="n">
        <f aca="false">(BH52-INDEX(Mortality_Matrix!$B$4:$BS$64,MATCH($A118,Mortality_Matrix!$A$4:$A$64,0),MATCH(2070,Mortality_Matrix!$B$3:$BS$3,0)))/INDEX(Mortality_Matrix!$B$4:$BS$64,MATCH($A118,Mortality_Matrix!$A$4:$A$64,0),MATCH(2070,Mortality_Matrix!$B$3:$BS$3,0))</f>
        <v>4.5249408454741E-010</v>
      </c>
      <c r="BI118" s="27" t="n">
        <f aca="false">(BI52-INDEX(Mortality_Matrix!$B$4:$BS$64,MATCH($A118,Mortality_Matrix!$A$4:$A$64,0),MATCH(2071,Mortality_Matrix!$B$3:$BS$3,0)))/INDEX(Mortality_Matrix!$B$4:$BS$64,MATCH($A118,Mortality_Matrix!$A$4:$A$64,0),MATCH(2071,Mortality_Matrix!$B$3:$BS$3,0))</f>
        <v>6.63166740935718E-010</v>
      </c>
      <c r="BJ118" s="27" t="n">
        <f aca="false">(BJ52-INDEX(Mortality_Matrix!$B$4:$BS$64,MATCH($A118,Mortality_Matrix!$A$4:$A$64,0),MATCH(2072,Mortality_Matrix!$B$3:$BS$3,0)))/INDEX(Mortality_Matrix!$B$4:$BS$64,MATCH($A118,Mortality_Matrix!$A$4:$A$64,0),MATCH(2072,Mortality_Matrix!$B$3:$BS$3,0))</f>
        <v>-6.85003766252152E-010</v>
      </c>
      <c r="BK118" s="27" t="n">
        <f aca="false">(BK52-INDEX(Mortality_Matrix!$B$4:$BS$64,MATCH($A118,Mortality_Matrix!$A$4:$A$64,0),MATCH(2073,Mortality_Matrix!$B$3:$BS$3,0)))/INDEX(Mortality_Matrix!$B$4:$BS$64,MATCH($A118,Mortality_Matrix!$A$4:$A$64,0),MATCH(2073,Mortality_Matrix!$B$3:$BS$3,0))</f>
        <v>-7.22540888582336E-010</v>
      </c>
      <c r="BL118" s="27" t="n">
        <f aca="false">(BL52-INDEX(Mortality_Matrix!$B$4:$BS$64,MATCH($A118,Mortality_Matrix!$A$4:$A$64,0),MATCH(2074,Mortality_Matrix!$B$3:$BS$3,0)))/INDEX(Mortality_Matrix!$B$4:$BS$64,MATCH($A118,Mortality_Matrix!$A$4:$A$64,0),MATCH(2074,Mortality_Matrix!$B$3:$BS$3,0))</f>
        <v>3.32325781592135E-010</v>
      </c>
      <c r="BM118" s="27" t="n">
        <f aca="false">(BM52-INDEX(Mortality_Matrix!$B$4:$BS$64,MATCH($A118,Mortality_Matrix!$A$4:$A$64,0),MATCH(2075,Mortality_Matrix!$B$3:$BS$3,0)))/INDEX(Mortality_Matrix!$B$4:$BS$64,MATCH($A118,Mortality_Matrix!$A$4:$A$64,0),MATCH(2075,Mortality_Matrix!$B$3:$BS$3,0))</f>
        <v>3.07551119188258E-010</v>
      </c>
      <c r="BN118" s="27" t="n">
        <f aca="false">(BN52-INDEX(Mortality_Matrix!$B$4:$BS$64,MATCH($A118,Mortality_Matrix!$A$4:$A$64,0),MATCH(2076,Mortality_Matrix!$B$3:$BS$3,0)))/INDEX(Mortality_Matrix!$B$4:$BS$64,MATCH($A118,Mortality_Matrix!$A$4:$A$64,0),MATCH(2076,Mortality_Matrix!$B$3:$BS$3,0))</f>
        <v>-2.99377313126475E-010</v>
      </c>
      <c r="BO118" s="27" t="n">
        <f aca="false">(BO52-INDEX(Mortality_Matrix!$B$4:$BS$64,MATCH($A118,Mortality_Matrix!$A$4:$A$64,0),MATCH(2077,Mortality_Matrix!$B$3:$BS$3,0)))/INDEX(Mortality_Matrix!$B$4:$BS$64,MATCH($A118,Mortality_Matrix!$A$4:$A$64,0),MATCH(2077,Mortality_Matrix!$B$3:$BS$3,0))</f>
        <v>-2.02883816075004E-010</v>
      </c>
      <c r="BP118" s="27" t="n">
        <f aca="false">(BP52-INDEX(Mortality_Matrix!$B$4:$BS$64,MATCH($A118,Mortality_Matrix!$A$4:$A$64,0),MATCH(2078,Mortality_Matrix!$B$3:$BS$3,0)))/INDEX(Mortality_Matrix!$B$4:$BS$64,MATCH($A118,Mortality_Matrix!$A$4:$A$64,0),MATCH(2078,Mortality_Matrix!$B$3:$BS$3,0))</f>
        <v>6.42904705825363E-010</v>
      </c>
      <c r="BQ118" s="27" t="n">
        <f aca="false">(BQ52-INDEX(Mortality_Matrix!$B$4:$BS$64,MATCH($A118,Mortality_Matrix!$A$4:$A$64,0),MATCH(2079,Mortality_Matrix!$B$3:$BS$3,0)))/INDEX(Mortality_Matrix!$B$4:$BS$64,MATCH($A118,Mortality_Matrix!$A$4:$A$64,0),MATCH(2079,Mortality_Matrix!$B$3:$BS$3,0))</f>
        <v>6.24589797661376E-010</v>
      </c>
      <c r="BR118" s="27" t="n">
        <f aca="false">(BR52-INDEX(Mortality_Matrix!$B$4:$BS$64,MATCH($A118,Mortality_Matrix!$A$4:$A$64,0),MATCH(2080,Mortality_Matrix!$B$3:$BS$3,0)))/INDEX(Mortality_Matrix!$B$4:$BS$64,MATCH($A118,Mortality_Matrix!$A$4:$A$64,0),MATCH(2080,Mortality_Matrix!$B$3:$BS$3,0))</f>
        <v>-4.07721132572448E-010</v>
      </c>
      <c r="BS118" s="27" t="n">
        <f aca="false">(BS52-INDEX(Mortality_Matrix!$B$4:$BS$64,MATCH($A118,Mortality_Matrix!$A$4:$A$64,0),MATCH(2081,Mortality_Matrix!$B$3:$BS$3,0)))/INDEX(Mortality_Matrix!$B$4:$BS$64,MATCH($A118,Mortality_Matrix!$A$4:$A$64,0),MATCH(2081,Mortality_Matrix!$B$3:$BS$3,0))</f>
        <v>4.23536254925859E-010</v>
      </c>
      <c r="BT118" s="27" t="n">
        <f aca="false">(BT52-INDEX(Mortality_Matrix!$B$4:$BS$64,MATCH($A118,Mortality_Matrix!$A$4:$A$64,0),MATCH(2082,Mortality_Matrix!$B$3:$BS$3,0)))/INDEX(Mortality_Matrix!$B$4:$BS$64,MATCH($A118,Mortality_Matrix!$A$4:$A$64,0),MATCH(2082,Mortality_Matrix!$B$3:$BS$3,0))</f>
        <v>-2.68322123579264E-010</v>
      </c>
      <c r="BU118" s="27" t="n">
        <f aca="false">(BU52-INDEX(Mortality_Matrix!$B$4:$BS$64,MATCH($A118,Mortality_Matrix!$A$4:$A$64,0),MATCH(2083,Mortality_Matrix!$B$3:$BS$3,0)))/INDEX(Mortality_Matrix!$B$4:$BS$64,MATCH($A118,Mortality_Matrix!$A$4:$A$64,0),MATCH(2083,Mortality_Matrix!$B$3:$BS$3,0))</f>
        <v>9.18406492749902E-011</v>
      </c>
      <c r="BV118" s="27" t="n">
        <f aca="false">(BV52-INDEX(Mortality_Matrix!$B$4:$BS$64,MATCH($A118,Mortality_Matrix!$A$4:$A$64,0),MATCH(2084,Mortality_Matrix!$B$3:$BS$3,0)))/INDEX(Mortality_Matrix!$B$4:$BS$64,MATCH($A118,Mortality_Matrix!$A$4:$A$64,0),MATCH(2084,Mortality_Matrix!$B$3:$BS$3,0))</f>
        <v>7.06902253993863E-010</v>
      </c>
      <c r="BW118" s="27" t="n">
        <f aca="false">(BW52-INDEX(Mortality_Matrix!$B$4:$BS$64,MATCH($A118,Mortality_Matrix!$A$4:$A$64,0),MATCH(2085,Mortality_Matrix!$B$3:$BS$3,0)))/INDEX(Mortality_Matrix!$B$4:$BS$64,MATCH($A118,Mortality_Matrix!$A$4:$A$64,0),MATCH(2085,Mortality_Matrix!$B$3:$BS$3,0))</f>
        <v>6.5027405605129E-010</v>
      </c>
      <c r="BX118" s="27" t="n">
        <f aca="false">(BX52-INDEX(Mortality_Matrix!$B$4:$BS$64,MATCH($A118,Mortality_Matrix!$A$4:$A$64,0),MATCH(2086,Mortality_Matrix!$B$3:$BS$3,0)))/INDEX(Mortality_Matrix!$B$4:$BS$64,MATCH($A118,Mortality_Matrix!$A$4:$A$64,0),MATCH(2086,Mortality_Matrix!$B$3:$BS$3,0))</f>
        <v>4.45119869410556E-010</v>
      </c>
      <c r="BY118" s="27" t="n">
        <f aca="false">(BY52-INDEX(Mortality_Matrix!$B$4:$BS$64,MATCH($A118,Mortality_Matrix!$A$4:$A$64,0),MATCH(2087,Mortality_Matrix!$B$3:$BS$3,0)))/INDEX(Mortality_Matrix!$B$4:$BS$64,MATCH($A118,Mortality_Matrix!$A$4:$A$64,0),MATCH(2087,Mortality_Matrix!$B$3:$BS$3,0))</f>
        <v>-1.29079613458442E-010</v>
      </c>
      <c r="BZ118" s="27" t="n">
        <f aca="false">(BZ52-INDEX(Mortality_Matrix!$B$4:$BS$64,MATCH($A118,Mortality_Matrix!$A$4:$A$64,0),MATCH(2088,Mortality_Matrix!$B$3:$BS$3,0)))/INDEX(Mortality_Matrix!$B$4:$BS$64,MATCH($A118,Mortality_Matrix!$A$4:$A$64,0),MATCH(2088,Mortality_Matrix!$B$3:$BS$3,0))</f>
        <v>-4.49254991726876E-010</v>
      </c>
      <c r="CA118" s="27" t="n">
        <f aca="false">(CA52-INDEX(Mortality_Matrix!$B$4:$BS$64,MATCH($A118,Mortality_Matrix!$A$4:$A$64,0),MATCH(2089,Mortality_Matrix!$B$3:$BS$3,0)))/INDEX(Mortality_Matrix!$B$4:$BS$64,MATCH($A118,Mortality_Matrix!$A$4:$A$64,0),MATCH(2089,Mortality_Matrix!$B$3:$BS$3,0))</f>
        <v>6.67066673333785E-010</v>
      </c>
      <c r="CB118" s="27" t="n">
        <f aca="false">(CB52-INDEX(Mortality_Matrix!$B$4:$BS$64,MATCH($A118,Mortality_Matrix!$A$4:$A$64,0),MATCH(2090,Mortality_Matrix!$B$3:$BS$3,0)))/INDEX(Mortality_Matrix!$B$4:$BS$64,MATCH($A118,Mortality_Matrix!$A$4:$A$64,0),MATCH(2090,Mortality_Matrix!$B$3:$BS$3,0))</f>
        <v>6.08756697783259E-010</v>
      </c>
      <c r="CC118" s="27" t="n">
        <f aca="false">(CC52-INDEX(Mortality_Matrix!$B$4:$BS$64,MATCH($A118,Mortality_Matrix!$A$4:$A$64,0),MATCH(2091,Mortality_Matrix!$B$3:$BS$3,0)))/INDEX(Mortality_Matrix!$B$4:$BS$64,MATCH($A118,Mortality_Matrix!$A$4:$A$64,0),MATCH(2091,Mortality_Matrix!$B$3:$BS$3,0))</f>
        <v>5.90712375496422E-010</v>
      </c>
    </row>
    <row r="119" customFormat="false" ht="15" hidden="false" customHeight="true" outlineLevel="0" collapsed="false">
      <c r="A119" s="3" t="n">
        <v>90</v>
      </c>
      <c r="L119" s="27" t="n">
        <f aca="false">(L53-INDEX(Mortality_Matrix!$B$4:$BS$64,MATCH($A119,Mortality_Matrix!$A$4:$A$64,0),MATCH(2022,Mortality_Matrix!$B$3:$BS$3,0)))/INDEX(Mortality_Matrix!$B$4:$BS$64,MATCH($A119,Mortality_Matrix!$A$4:$A$64,0),MATCH(2022,Mortality_Matrix!$B$3:$BS$3,0))</f>
        <v>2.72660250969639E-010</v>
      </c>
      <c r="M119" s="27" t="n">
        <f aca="false">(M53-INDEX(Mortality_Matrix!$B$4:$BS$64,MATCH($A119,Mortality_Matrix!$A$4:$A$64,0),MATCH(2023,Mortality_Matrix!$B$3:$BS$3,0)))/INDEX(Mortality_Matrix!$B$4:$BS$64,MATCH($A119,Mortality_Matrix!$A$4:$A$64,0),MATCH(2023,Mortality_Matrix!$B$3:$BS$3,0))</f>
        <v>-2.83169968946836E-010</v>
      </c>
      <c r="N119" s="27" t="n">
        <f aca="false">(N53-INDEX(Mortality_Matrix!$B$4:$BS$64,MATCH($A119,Mortality_Matrix!$A$4:$A$64,0),MATCH(2024,Mortality_Matrix!$B$3:$BS$3,0)))/INDEX(Mortality_Matrix!$B$4:$BS$64,MATCH($A119,Mortality_Matrix!$A$4:$A$64,0),MATCH(2024,Mortality_Matrix!$B$3:$BS$3,0))</f>
        <v>2.43966471782922E-010</v>
      </c>
      <c r="O119" s="27" t="n">
        <f aca="false">(O53-INDEX(Mortality_Matrix!$B$4:$BS$64,MATCH($A119,Mortality_Matrix!$A$4:$A$64,0),MATCH(2025,Mortality_Matrix!$B$3:$BS$3,0)))/INDEX(Mortality_Matrix!$B$4:$BS$64,MATCH($A119,Mortality_Matrix!$A$4:$A$64,0),MATCH(2025,Mortality_Matrix!$B$3:$BS$3,0))</f>
        <v>-1.36504753639423E-010</v>
      </c>
      <c r="P119" s="27" t="n">
        <f aca="false">(P53-INDEX(Mortality_Matrix!$B$4:$BS$64,MATCH($A119,Mortality_Matrix!$A$4:$A$64,0),MATCH(2026,Mortality_Matrix!$B$3:$BS$3,0)))/INDEX(Mortality_Matrix!$B$4:$BS$64,MATCH($A119,Mortality_Matrix!$A$4:$A$64,0),MATCH(2026,Mortality_Matrix!$B$3:$BS$3,0))</f>
        <v>-2.68480485160741E-010</v>
      </c>
      <c r="Q119" s="27" t="n">
        <f aca="false">(Q53-INDEX(Mortality_Matrix!$B$4:$BS$64,MATCH($A119,Mortality_Matrix!$A$4:$A$64,0),MATCH(2027,Mortality_Matrix!$B$3:$BS$3,0)))/INDEX(Mortality_Matrix!$B$4:$BS$64,MATCH($A119,Mortality_Matrix!$A$4:$A$64,0),MATCH(2027,Mortality_Matrix!$B$3:$BS$3,0))</f>
        <v>8.70120267523365E-011</v>
      </c>
      <c r="R119" s="27" t="n">
        <f aca="false">(R53-INDEX(Mortality_Matrix!$B$4:$BS$64,MATCH($A119,Mortality_Matrix!$A$4:$A$64,0),MATCH(2028,Mortality_Matrix!$B$3:$BS$3,0)))/INDEX(Mortality_Matrix!$B$4:$BS$64,MATCH($A119,Mortality_Matrix!$A$4:$A$64,0),MATCH(2028,Mortality_Matrix!$B$3:$BS$3,0))</f>
        <v>2.42919325504194E-010</v>
      </c>
      <c r="S119" s="27" t="n">
        <f aca="false">(S53-INDEX(Mortality_Matrix!$B$4:$BS$64,MATCH($A119,Mortality_Matrix!$A$4:$A$64,0),MATCH(2029,Mortality_Matrix!$B$3:$BS$3,0)))/INDEX(Mortality_Matrix!$B$4:$BS$64,MATCH($A119,Mortality_Matrix!$A$4:$A$64,0),MATCH(2029,Mortality_Matrix!$B$3:$BS$3,0))</f>
        <v>-3.21003353689703E-010</v>
      </c>
      <c r="T119" s="27" t="n">
        <f aca="false">(T53-INDEX(Mortality_Matrix!$B$4:$BS$64,MATCH($A119,Mortality_Matrix!$A$4:$A$64,0),MATCH(2030,Mortality_Matrix!$B$3:$BS$3,0)))/INDEX(Mortality_Matrix!$B$4:$BS$64,MATCH($A119,Mortality_Matrix!$A$4:$A$64,0),MATCH(2030,Mortality_Matrix!$B$3:$BS$3,0))</f>
        <v>-2.75601060275836E-010</v>
      </c>
      <c r="U119" s="27" t="n">
        <f aca="false">(U53-INDEX(Mortality_Matrix!$B$4:$BS$64,MATCH($A119,Mortality_Matrix!$A$4:$A$64,0),MATCH(2031,Mortality_Matrix!$B$3:$BS$3,0)))/INDEX(Mortality_Matrix!$B$4:$BS$64,MATCH($A119,Mortality_Matrix!$A$4:$A$64,0),MATCH(2031,Mortality_Matrix!$B$3:$BS$3,0))</f>
        <v>4.60752079699885E-011</v>
      </c>
      <c r="V119" s="27" t="n">
        <f aca="false">(V53-INDEX(Mortality_Matrix!$B$4:$BS$64,MATCH($A119,Mortality_Matrix!$A$4:$A$64,0),MATCH(2032,Mortality_Matrix!$B$3:$BS$3,0)))/INDEX(Mortality_Matrix!$B$4:$BS$64,MATCH($A119,Mortality_Matrix!$A$4:$A$64,0),MATCH(2032,Mortality_Matrix!$B$3:$BS$3,0))</f>
        <v>-3.69209632288476E-010</v>
      </c>
      <c r="W119" s="27" t="n">
        <f aca="false">(W53-INDEX(Mortality_Matrix!$B$4:$BS$64,MATCH($A119,Mortality_Matrix!$A$4:$A$64,0),MATCH(2033,Mortality_Matrix!$B$3:$BS$3,0)))/INDEX(Mortality_Matrix!$B$4:$BS$64,MATCH($A119,Mortality_Matrix!$A$4:$A$64,0),MATCH(2033,Mortality_Matrix!$B$3:$BS$3,0))</f>
        <v>-1.57363952079932E-010</v>
      </c>
      <c r="X119" s="27" t="n">
        <f aca="false">(X53-INDEX(Mortality_Matrix!$B$4:$BS$64,MATCH($A119,Mortality_Matrix!$A$4:$A$64,0),MATCH(2034,Mortality_Matrix!$B$3:$BS$3,0)))/INDEX(Mortality_Matrix!$B$4:$BS$64,MATCH($A119,Mortality_Matrix!$A$4:$A$64,0),MATCH(2034,Mortality_Matrix!$B$3:$BS$3,0))</f>
        <v>5.02478733555637E-011</v>
      </c>
      <c r="Y119" s="27" t="n">
        <f aca="false">(Y53-INDEX(Mortality_Matrix!$B$4:$BS$64,MATCH($A119,Mortality_Matrix!$A$4:$A$64,0),MATCH(2035,Mortality_Matrix!$B$3:$BS$3,0)))/INDEX(Mortality_Matrix!$B$4:$BS$64,MATCH($A119,Mortality_Matrix!$A$4:$A$64,0),MATCH(2035,Mortality_Matrix!$B$3:$BS$3,0))</f>
        <v>-1.77109561689868E-010</v>
      </c>
      <c r="Z119" s="27" t="n">
        <f aca="false">(Z53-INDEX(Mortality_Matrix!$B$4:$BS$64,MATCH($A119,Mortality_Matrix!$A$4:$A$64,0),MATCH(2036,Mortality_Matrix!$B$3:$BS$3,0)))/INDEX(Mortality_Matrix!$B$4:$BS$64,MATCH($A119,Mortality_Matrix!$A$4:$A$64,0),MATCH(2036,Mortality_Matrix!$B$3:$BS$3,0))</f>
        <v>4.22594086162544E-010</v>
      </c>
      <c r="AA119" s="27" t="n">
        <f aca="false">(AA53-INDEX(Mortality_Matrix!$B$4:$BS$64,MATCH($A119,Mortality_Matrix!$A$4:$A$64,0),MATCH(2037,Mortality_Matrix!$B$3:$BS$3,0)))/INDEX(Mortality_Matrix!$B$4:$BS$64,MATCH($A119,Mortality_Matrix!$A$4:$A$64,0),MATCH(2037,Mortality_Matrix!$B$3:$BS$3,0))</f>
        <v>2.32028171830707E-010</v>
      </c>
      <c r="AB119" s="27" t="n">
        <f aca="false">(AB53-INDEX(Mortality_Matrix!$B$4:$BS$64,MATCH($A119,Mortality_Matrix!$A$4:$A$64,0),MATCH(2038,Mortality_Matrix!$B$3:$BS$3,0)))/INDEX(Mortality_Matrix!$B$4:$BS$64,MATCH($A119,Mortality_Matrix!$A$4:$A$64,0),MATCH(2038,Mortality_Matrix!$B$3:$BS$3,0))</f>
        <v>-3.28753778603251E-010</v>
      </c>
      <c r="AC119" s="27" t="n">
        <f aca="false">(AC53-INDEX(Mortality_Matrix!$B$4:$BS$64,MATCH($A119,Mortality_Matrix!$A$4:$A$64,0),MATCH(2039,Mortality_Matrix!$B$3:$BS$3,0)))/INDEX(Mortality_Matrix!$B$4:$BS$64,MATCH($A119,Mortality_Matrix!$A$4:$A$64,0),MATCH(2039,Mortality_Matrix!$B$3:$BS$3,0))</f>
        <v>1.55688644708273E-010</v>
      </c>
      <c r="AD119" s="27" t="n">
        <f aca="false">(AD53-INDEX(Mortality_Matrix!$B$4:$BS$64,MATCH($A119,Mortality_Matrix!$A$4:$A$64,0),MATCH(2040,Mortality_Matrix!$B$3:$BS$3,0)))/INDEX(Mortality_Matrix!$B$4:$BS$64,MATCH($A119,Mortality_Matrix!$A$4:$A$64,0),MATCH(2040,Mortality_Matrix!$B$3:$BS$3,0))</f>
        <v>2.32530868734362E-010</v>
      </c>
      <c r="AE119" s="27" t="n">
        <f aca="false">(AE53-INDEX(Mortality_Matrix!$B$4:$BS$64,MATCH($A119,Mortality_Matrix!$A$4:$A$64,0),MATCH(2041,Mortality_Matrix!$B$3:$BS$3,0)))/INDEX(Mortality_Matrix!$B$4:$BS$64,MATCH($A119,Mortality_Matrix!$A$4:$A$64,0),MATCH(2041,Mortality_Matrix!$B$3:$BS$3,0))</f>
        <v>-2.30418508536607E-010</v>
      </c>
      <c r="AF119" s="27" t="n">
        <f aca="false">(AF53-INDEX(Mortality_Matrix!$B$4:$BS$64,MATCH($A119,Mortality_Matrix!$A$4:$A$64,0),MATCH(2042,Mortality_Matrix!$B$3:$BS$3,0)))/INDEX(Mortality_Matrix!$B$4:$BS$64,MATCH($A119,Mortality_Matrix!$A$4:$A$64,0),MATCH(2042,Mortality_Matrix!$B$3:$BS$3,0))</f>
        <v>-2.26669888272124E-010</v>
      </c>
      <c r="AG119" s="27" t="n">
        <f aca="false">(AG53-INDEX(Mortality_Matrix!$B$4:$BS$64,MATCH($A119,Mortality_Matrix!$A$4:$A$64,0),MATCH(2043,Mortality_Matrix!$B$3:$BS$3,0)))/INDEX(Mortality_Matrix!$B$4:$BS$64,MATCH($A119,Mortality_Matrix!$A$4:$A$64,0),MATCH(2043,Mortality_Matrix!$B$3:$BS$3,0))</f>
        <v>2.96916869022853E-010</v>
      </c>
      <c r="AH119" s="27" t="n">
        <f aca="false">(AH53-INDEX(Mortality_Matrix!$B$4:$BS$64,MATCH($A119,Mortality_Matrix!$A$4:$A$64,0),MATCH(2044,Mortality_Matrix!$B$3:$BS$3,0)))/INDEX(Mortality_Matrix!$B$4:$BS$64,MATCH($A119,Mortality_Matrix!$A$4:$A$64,0),MATCH(2044,Mortality_Matrix!$B$3:$BS$3,0))</f>
        <v>1.1642796293571E-010</v>
      </c>
      <c r="AI119" s="27" t="n">
        <f aca="false">(AI53-INDEX(Mortality_Matrix!$B$4:$BS$64,MATCH($A119,Mortality_Matrix!$A$4:$A$64,0),MATCH(2045,Mortality_Matrix!$B$3:$BS$3,0)))/INDEX(Mortality_Matrix!$B$4:$BS$64,MATCH($A119,Mortality_Matrix!$A$4:$A$64,0),MATCH(2045,Mortality_Matrix!$B$3:$BS$3,0))</f>
        <v>2.75788048678937E-010</v>
      </c>
      <c r="AJ119" s="27" t="n">
        <f aca="false">(AJ53-INDEX(Mortality_Matrix!$B$4:$BS$64,MATCH($A119,Mortality_Matrix!$A$4:$A$64,0),MATCH(2046,Mortality_Matrix!$B$3:$BS$3,0)))/INDEX(Mortality_Matrix!$B$4:$BS$64,MATCH($A119,Mortality_Matrix!$A$4:$A$64,0),MATCH(2046,Mortality_Matrix!$B$3:$BS$3,0))</f>
        <v>2.79434838542277E-011</v>
      </c>
      <c r="AK119" s="27" t="n">
        <f aca="false">(AK53-INDEX(Mortality_Matrix!$B$4:$BS$64,MATCH($A119,Mortality_Matrix!$A$4:$A$64,0),MATCH(2047,Mortality_Matrix!$B$3:$BS$3,0)))/INDEX(Mortality_Matrix!$B$4:$BS$64,MATCH($A119,Mortality_Matrix!$A$4:$A$64,0),MATCH(2047,Mortality_Matrix!$B$3:$BS$3,0))</f>
        <v>4.42053114478492E-010</v>
      </c>
      <c r="AL119" s="27" t="n">
        <f aca="false">(AL53-INDEX(Mortality_Matrix!$B$4:$BS$64,MATCH($A119,Mortality_Matrix!$A$4:$A$64,0),MATCH(2048,Mortality_Matrix!$B$3:$BS$3,0)))/INDEX(Mortality_Matrix!$B$4:$BS$64,MATCH($A119,Mortality_Matrix!$A$4:$A$64,0),MATCH(2048,Mortality_Matrix!$B$3:$BS$3,0))</f>
        <v>2.20392900545027E-010</v>
      </c>
      <c r="AM119" s="27" t="n">
        <f aca="false">(AM53-INDEX(Mortality_Matrix!$B$4:$BS$64,MATCH($A119,Mortality_Matrix!$A$4:$A$64,0),MATCH(2049,Mortality_Matrix!$B$3:$BS$3,0)))/INDEX(Mortality_Matrix!$B$4:$BS$64,MATCH($A119,Mortality_Matrix!$A$4:$A$64,0),MATCH(2049,Mortality_Matrix!$B$3:$BS$3,0))</f>
        <v>3.87637242466715E-010</v>
      </c>
      <c r="AN119" s="27" t="n">
        <f aca="false">(AN53-INDEX(Mortality_Matrix!$B$4:$BS$64,MATCH($A119,Mortality_Matrix!$A$4:$A$64,0),MATCH(2050,Mortality_Matrix!$B$3:$BS$3,0)))/INDEX(Mortality_Matrix!$B$4:$BS$64,MATCH($A119,Mortality_Matrix!$A$4:$A$64,0),MATCH(2050,Mortality_Matrix!$B$3:$BS$3,0))</f>
        <v>4.08283527981469E-011</v>
      </c>
      <c r="AO119" s="27" t="n">
        <f aca="false">(AO53-INDEX(Mortality_Matrix!$B$4:$BS$64,MATCH($A119,Mortality_Matrix!$A$4:$A$64,0),MATCH(2051,Mortality_Matrix!$B$3:$BS$3,0)))/INDEX(Mortality_Matrix!$B$4:$BS$64,MATCH($A119,Mortality_Matrix!$A$4:$A$64,0),MATCH(2051,Mortality_Matrix!$B$3:$BS$3,0))</f>
        <v>1.45299015977004E-010</v>
      </c>
      <c r="AP119" s="27" t="n">
        <f aca="false">(AP53-INDEX(Mortality_Matrix!$B$4:$BS$64,MATCH($A119,Mortality_Matrix!$A$4:$A$64,0),MATCH(2052,Mortality_Matrix!$B$3:$BS$3,0)))/INDEX(Mortality_Matrix!$B$4:$BS$64,MATCH($A119,Mortality_Matrix!$A$4:$A$64,0),MATCH(2052,Mortality_Matrix!$B$3:$BS$3,0))</f>
        <v>2.12972226391392E-010</v>
      </c>
      <c r="AQ119" s="27" t="n">
        <f aca="false">(AQ53-INDEX(Mortality_Matrix!$B$4:$BS$64,MATCH($A119,Mortality_Matrix!$A$4:$A$64,0),MATCH(2053,Mortality_Matrix!$B$3:$BS$3,0)))/INDEX(Mortality_Matrix!$B$4:$BS$64,MATCH($A119,Mortality_Matrix!$A$4:$A$64,0),MATCH(2053,Mortality_Matrix!$B$3:$BS$3,0))</f>
        <v>8.88246673850436E-011</v>
      </c>
      <c r="AR119" s="27" t="n">
        <f aca="false">(AR53-INDEX(Mortality_Matrix!$B$4:$BS$64,MATCH($A119,Mortality_Matrix!$A$4:$A$64,0),MATCH(2054,Mortality_Matrix!$B$3:$BS$3,0)))/INDEX(Mortality_Matrix!$B$4:$BS$64,MATCH($A119,Mortality_Matrix!$A$4:$A$64,0),MATCH(2054,Mortality_Matrix!$B$3:$BS$3,0))</f>
        <v>-2.92474737273097E-010</v>
      </c>
      <c r="AS119" s="27" t="n">
        <f aca="false">(AS53-INDEX(Mortality_Matrix!$B$4:$BS$64,MATCH($A119,Mortality_Matrix!$A$4:$A$64,0),MATCH(2055,Mortality_Matrix!$B$3:$BS$3,0)))/INDEX(Mortality_Matrix!$B$4:$BS$64,MATCH($A119,Mortality_Matrix!$A$4:$A$64,0),MATCH(2055,Mortality_Matrix!$B$3:$BS$3,0))</f>
        <v>-6.88104780726931E-011</v>
      </c>
      <c r="AT119" s="27" t="n">
        <f aca="false">(AT53-INDEX(Mortality_Matrix!$B$4:$BS$64,MATCH($A119,Mortality_Matrix!$A$4:$A$64,0),MATCH(2056,Mortality_Matrix!$B$3:$BS$3,0)))/INDEX(Mortality_Matrix!$B$4:$BS$64,MATCH($A119,Mortality_Matrix!$A$4:$A$64,0),MATCH(2056,Mortality_Matrix!$B$3:$BS$3,0))</f>
        <v>1.22059666703022E-010</v>
      </c>
      <c r="AU119" s="27" t="n">
        <f aca="false">(AU53-INDEX(Mortality_Matrix!$B$4:$BS$64,MATCH($A119,Mortality_Matrix!$A$4:$A$64,0),MATCH(2057,Mortality_Matrix!$B$3:$BS$3,0)))/INDEX(Mortality_Matrix!$B$4:$BS$64,MATCH($A119,Mortality_Matrix!$A$4:$A$64,0),MATCH(2057,Mortality_Matrix!$B$3:$BS$3,0))</f>
        <v>3.22045848912315E-011</v>
      </c>
      <c r="AV119" s="27" t="n">
        <f aca="false">(AV53-INDEX(Mortality_Matrix!$B$4:$BS$64,MATCH($A119,Mortality_Matrix!$A$4:$A$64,0),MATCH(2058,Mortality_Matrix!$B$3:$BS$3,0)))/INDEX(Mortality_Matrix!$B$4:$BS$64,MATCH($A119,Mortality_Matrix!$A$4:$A$64,0),MATCH(2058,Mortality_Matrix!$B$3:$BS$3,0))</f>
        <v>-4.36169307625611E-010</v>
      </c>
      <c r="AW119" s="27" t="n">
        <f aca="false">(AW53-INDEX(Mortality_Matrix!$B$4:$BS$64,MATCH($A119,Mortality_Matrix!$A$4:$A$64,0),MATCH(2059,Mortality_Matrix!$B$3:$BS$3,0)))/INDEX(Mortality_Matrix!$B$4:$BS$64,MATCH($A119,Mortality_Matrix!$A$4:$A$64,0),MATCH(2059,Mortality_Matrix!$B$3:$BS$3,0))</f>
        <v>-3.34913294115638E-010</v>
      </c>
      <c r="AX119" s="27" t="n">
        <f aca="false">(AX53-INDEX(Mortality_Matrix!$B$4:$BS$64,MATCH($A119,Mortality_Matrix!$A$4:$A$64,0),MATCH(2060,Mortality_Matrix!$B$3:$BS$3,0)))/INDEX(Mortality_Matrix!$B$4:$BS$64,MATCH($A119,Mortality_Matrix!$A$4:$A$64,0),MATCH(2060,Mortality_Matrix!$B$3:$BS$3,0))</f>
        <v>-1.99818108069942E-010</v>
      </c>
      <c r="AY119" s="27" t="n">
        <f aca="false">(AY53-INDEX(Mortality_Matrix!$B$4:$BS$64,MATCH($A119,Mortality_Matrix!$A$4:$A$64,0),MATCH(2061,Mortality_Matrix!$B$3:$BS$3,0)))/INDEX(Mortality_Matrix!$B$4:$BS$64,MATCH($A119,Mortality_Matrix!$A$4:$A$64,0),MATCH(2061,Mortality_Matrix!$B$3:$BS$3,0))</f>
        <v>-4.89372667840876E-011</v>
      </c>
      <c r="AZ119" s="27" t="n">
        <f aca="false">(AZ53-INDEX(Mortality_Matrix!$B$4:$BS$64,MATCH($A119,Mortality_Matrix!$A$4:$A$64,0),MATCH(2062,Mortality_Matrix!$B$3:$BS$3,0)))/INDEX(Mortality_Matrix!$B$4:$BS$64,MATCH($A119,Mortality_Matrix!$A$4:$A$64,0),MATCH(2062,Mortality_Matrix!$B$3:$BS$3,0))</f>
        <v>3.85341951173448E-010</v>
      </c>
      <c r="BA119" s="27" t="n">
        <f aca="false">(BA53-INDEX(Mortality_Matrix!$B$4:$BS$64,MATCH($A119,Mortality_Matrix!$A$4:$A$64,0),MATCH(2063,Mortality_Matrix!$B$3:$BS$3,0)))/INDEX(Mortality_Matrix!$B$4:$BS$64,MATCH($A119,Mortality_Matrix!$A$4:$A$64,0),MATCH(2063,Mortality_Matrix!$B$3:$BS$3,0))</f>
        <v>2.01792036114877E-010</v>
      </c>
      <c r="BB119" s="27" t="n">
        <f aca="false">(BB53-INDEX(Mortality_Matrix!$B$4:$BS$64,MATCH($A119,Mortality_Matrix!$A$4:$A$64,0),MATCH(2064,Mortality_Matrix!$B$3:$BS$3,0)))/INDEX(Mortality_Matrix!$B$4:$BS$64,MATCH($A119,Mortality_Matrix!$A$4:$A$64,0),MATCH(2064,Mortality_Matrix!$B$3:$BS$3,0))</f>
        <v>-5.60881127324622E-010</v>
      </c>
      <c r="BC119" s="27" t="n">
        <f aca="false">(BC53-INDEX(Mortality_Matrix!$B$4:$BS$64,MATCH($A119,Mortality_Matrix!$A$4:$A$64,0),MATCH(2065,Mortality_Matrix!$B$3:$BS$3,0)))/INDEX(Mortality_Matrix!$B$4:$BS$64,MATCH($A119,Mortality_Matrix!$A$4:$A$64,0),MATCH(2065,Mortality_Matrix!$B$3:$BS$3,0))</f>
        <v>1.071407293744E-010</v>
      </c>
      <c r="BD119" s="27" t="n">
        <f aca="false">(BD53-INDEX(Mortality_Matrix!$B$4:$BS$64,MATCH($A119,Mortality_Matrix!$A$4:$A$64,0),MATCH(2066,Mortality_Matrix!$B$3:$BS$3,0)))/INDEX(Mortality_Matrix!$B$4:$BS$64,MATCH($A119,Mortality_Matrix!$A$4:$A$64,0),MATCH(2066,Mortality_Matrix!$B$3:$BS$3,0))</f>
        <v>-2.1840589388751E-010</v>
      </c>
      <c r="BE119" s="27" t="n">
        <f aca="false">(BE53-INDEX(Mortality_Matrix!$B$4:$BS$64,MATCH($A119,Mortality_Matrix!$A$4:$A$64,0),MATCH(2067,Mortality_Matrix!$B$3:$BS$3,0)))/INDEX(Mortality_Matrix!$B$4:$BS$64,MATCH($A119,Mortality_Matrix!$A$4:$A$64,0),MATCH(2067,Mortality_Matrix!$B$3:$BS$3,0))</f>
        <v>-6.12592485289507E-011</v>
      </c>
      <c r="BF119" s="27" t="n">
        <f aca="false">(BF53-INDEX(Mortality_Matrix!$B$4:$BS$64,MATCH($A119,Mortality_Matrix!$A$4:$A$64,0),MATCH(2068,Mortality_Matrix!$B$3:$BS$3,0)))/INDEX(Mortality_Matrix!$B$4:$BS$64,MATCH($A119,Mortality_Matrix!$A$4:$A$64,0),MATCH(2068,Mortality_Matrix!$B$3:$BS$3,0))</f>
        <v>-4.81985882051899E-010</v>
      </c>
      <c r="BG119" s="27" t="n">
        <f aca="false">(BG53-INDEX(Mortality_Matrix!$B$4:$BS$64,MATCH($A119,Mortality_Matrix!$A$4:$A$64,0),MATCH(2069,Mortality_Matrix!$B$3:$BS$3,0)))/INDEX(Mortality_Matrix!$B$4:$BS$64,MATCH($A119,Mortality_Matrix!$A$4:$A$64,0),MATCH(2069,Mortality_Matrix!$B$3:$BS$3,0))</f>
        <v>-3.05419459406482E-010</v>
      </c>
      <c r="BH119" s="27" t="n">
        <f aca="false">(BH53-INDEX(Mortality_Matrix!$B$4:$BS$64,MATCH($A119,Mortality_Matrix!$A$4:$A$64,0),MATCH(2070,Mortality_Matrix!$B$3:$BS$3,0)))/INDEX(Mortality_Matrix!$B$4:$BS$64,MATCH($A119,Mortality_Matrix!$A$4:$A$64,0),MATCH(2070,Mortality_Matrix!$B$3:$BS$3,0))</f>
        <v>-1.89782915511593E-010</v>
      </c>
      <c r="BI119" s="27" t="n">
        <f aca="false">(BI53-INDEX(Mortality_Matrix!$B$4:$BS$64,MATCH($A119,Mortality_Matrix!$A$4:$A$64,0),MATCH(2071,Mortality_Matrix!$B$3:$BS$3,0)))/INDEX(Mortality_Matrix!$B$4:$BS$64,MATCH($A119,Mortality_Matrix!$A$4:$A$64,0),MATCH(2071,Mortality_Matrix!$B$3:$BS$3,0))</f>
        <v>-3.44064234830037E-010</v>
      </c>
      <c r="BJ119" s="27" t="n">
        <f aca="false">(BJ53-INDEX(Mortality_Matrix!$B$4:$BS$64,MATCH($A119,Mortality_Matrix!$A$4:$A$64,0),MATCH(2072,Mortality_Matrix!$B$3:$BS$3,0)))/INDEX(Mortality_Matrix!$B$4:$BS$64,MATCH($A119,Mortality_Matrix!$A$4:$A$64,0),MATCH(2072,Mortality_Matrix!$B$3:$BS$3,0))</f>
        <v>5.8209714022495E-010</v>
      </c>
      <c r="BK119" s="27" t="n">
        <f aca="false">(BK53-INDEX(Mortality_Matrix!$B$4:$BS$64,MATCH($A119,Mortality_Matrix!$A$4:$A$64,0),MATCH(2073,Mortality_Matrix!$B$3:$BS$3,0)))/INDEX(Mortality_Matrix!$B$4:$BS$64,MATCH($A119,Mortality_Matrix!$A$4:$A$64,0),MATCH(2073,Mortality_Matrix!$B$3:$BS$3,0))</f>
        <v>-1.20960624753674E-010</v>
      </c>
      <c r="BL119" s="27" t="n">
        <f aca="false">(BL53-INDEX(Mortality_Matrix!$B$4:$BS$64,MATCH($A119,Mortality_Matrix!$A$4:$A$64,0),MATCH(2074,Mortality_Matrix!$B$3:$BS$3,0)))/INDEX(Mortality_Matrix!$B$4:$BS$64,MATCH($A119,Mortality_Matrix!$A$4:$A$64,0),MATCH(2074,Mortality_Matrix!$B$3:$BS$3,0))</f>
        <v>-8.23467932965032E-011</v>
      </c>
      <c r="BM119" s="27" t="n">
        <f aca="false">(BM53-INDEX(Mortality_Matrix!$B$4:$BS$64,MATCH($A119,Mortality_Matrix!$A$4:$A$64,0),MATCH(2075,Mortality_Matrix!$B$3:$BS$3,0)))/INDEX(Mortality_Matrix!$B$4:$BS$64,MATCH($A119,Mortality_Matrix!$A$4:$A$64,0),MATCH(2075,Mortality_Matrix!$B$3:$BS$3,0))</f>
        <v>-1.77262237380999E-010</v>
      </c>
      <c r="BN119" s="27" t="n">
        <f aca="false">(BN53-INDEX(Mortality_Matrix!$B$4:$BS$64,MATCH($A119,Mortality_Matrix!$A$4:$A$64,0),MATCH(2076,Mortality_Matrix!$B$3:$BS$3,0)))/INDEX(Mortality_Matrix!$B$4:$BS$64,MATCH($A119,Mortality_Matrix!$A$4:$A$64,0),MATCH(2076,Mortality_Matrix!$B$3:$BS$3,0))</f>
        <v>6.59095761023831E-010</v>
      </c>
      <c r="BO119" s="27" t="n">
        <f aca="false">(BO53-INDEX(Mortality_Matrix!$B$4:$BS$64,MATCH($A119,Mortality_Matrix!$A$4:$A$64,0),MATCH(2077,Mortality_Matrix!$B$3:$BS$3,0)))/INDEX(Mortality_Matrix!$B$4:$BS$64,MATCH($A119,Mortality_Matrix!$A$4:$A$64,0),MATCH(2077,Mortality_Matrix!$B$3:$BS$3,0))</f>
        <v>-4.3336754940595E-010</v>
      </c>
      <c r="BP119" s="27" t="n">
        <f aca="false">(BP53-INDEX(Mortality_Matrix!$B$4:$BS$64,MATCH($A119,Mortality_Matrix!$A$4:$A$64,0),MATCH(2078,Mortality_Matrix!$B$3:$BS$3,0)))/INDEX(Mortality_Matrix!$B$4:$BS$64,MATCH($A119,Mortality_Matrix!$A$4:$A$64,0),MATCH(2078,Mortality_Matrix!$B$3:$BS$3,0))</f>
        <v>-6.12832141501399E-010</v>
      </c>
      <c r="BQ119" s="27" t="n">
        <f aca="false">(BQ53-INDEX(Mortality_Matrix!$B$4:$BS$64,MATCH($A119,Mortality_Matrix!$A$4:$A$64,0),MATCH(2079,Mortality_Matrix!$B$3:$BS$3,0)))/INDEX(Mortality_Matrix!$B$4:$BS$64,MATCH($A119,Mortality_Matrix!$A$4:$A$64,0),MATCH(2079,Mortality_Matrix!$B$3:$BS$3,0))</f>
        <v>-3.8602269554971E-011</v>
      </c>
      <c r="BR119" s="27" t="n">
        <f aca="false">(BR53-INDEX(Mortality_Matrix!$B$4:$BS$64,MATCH($A119,Mortality_Matrix!$A$4:$A$64,0),MATCH(2080,Mortality_Matrix!$B$3:$BS$3,0)))/INDEX(Mortality_Matrix!$B$4:$BS$64,MATCH($A119,Mortality_Matrix!$A$4:$A$64,0),MATCH(2080,Mortality_Matrix!$B$3:$BS$3,0))</f>
        <v>6.43423121185964E-010</v>
      </c>
      <c r="BS119" s="27" t="n">
        <f aca="false">(BS53-INDEX(Mortality_Matrix!$B$4:$BS$64,MATCH($A119,Mortality_Matrix!$A$4:$A$64,0),MATCH(2081,Mortality_Matrix!$B$3:$BS$3,0)))/INDEX(Mortality_Matrix!$B$4:$BS$64,MATCH($A119,Mortality_Matrix!$A$4:$A$64,0),MATCH(2081,Mortality_Matrix!$B$3:$BS$3,0))</f>
        <v>7.13811379711206E-012</v>
      </c>
      <c r="BT119" s="27" t="n">
        <f aca="false">(BT53-INDEX(Mortality_Matrix!$B$4:$BS$64,MATCH($A119,Mortality_Matrix!$A$4:$A$64,0),MATCH(2082,Mortality_Matrix!$B$3:$BS$3,0)))/INDEX(Mortality_Matrix!$B$4:$BS$64,MATCH($A119,Mortality_Matrix!$A$4:$A$64,0),MATCH(2082,Mortality_Matrix!$B$3:$BS$3,0))</f>
        <v>9.21963944143498E-011</v>
      </c>
      <c r="BU119" s="27" t="n">
        <f aca="false">(BU53-INDEX(Mortality_Matrix!$B$4:$BS$64,MATCH($A119,Mortality_Matrix!$A$4:$A$64,0),MATCH(2083,Mortality_Matrix!$B$3:$BS$3,0)))/INDEX(Mortality_Matrix!$B$4:$BS$64,MATCH($A119,Mortality_Matrix!$A$4:$A$64,0),MATCH(2083,Mortality_Matrix!$B$3:$BS$3,0))</f>
        <v>2.02885360450521E-010</v>
      </c>
      <c r="BV119" s="27" t="n">
        <f aca="false">(BV53-INDEX(Mortality_Matrix!$B$4:$BS$64,MATCH($A119,Mortality_Matrix!$A$4:$A$64,0),MATCH(2084,Mortality_Matrix!$B$3:$BS$3,0)))/INDEX(Mortality_Matrix!$B$4:$BS$64,MATCH($A119,Mortality_Matrix!$A$4:$A$64,0),MATCH(2084,Mortality_Matrix!$B$3:$BS$3,0))</f>
        <v>-4.13297960274617E-010</v>
      </c>
      <c r="BW119" s="27" t="n">
        <f aca="false">(BW53-INDEX(Mortality_Matrix!$B$4:$BS$64,MATCH($A119,Mortality_Matrix!$A$4:$A$64,0),MATCH(2085,Mortality_Matrix!$B$3:$BS$3,0)))/INDEX(Mortality_Matrix!$B$4:$BS$64,MATCH($A119,Mortality_Matrix!$A$4:$A$64,0),MATCH(2085,Mortality_Matrix!$B$3:$BS$3,0))</f>
        <v>3.17463914229242E-010</v>
      </c>
      <c r="BX119" s="27" t="n">
        <f aca="false">(BX53-INDEX(Mortality_Matrix!$B$4:$BS$64,MATCH($A119,Mortality_Matrix!$A$4:$A$64,0),MATCH(2086,Mortality_Matrix!$B$3:$BS$3,0)))/INDEX(Mortality_Matrix!$B$4:$BS$64,MATCH($A119,Mortality_Matrix!$A$4:$A$64,0),MATCH(2086,Mortality_Matrix!$B$3:$BS$3,0))</f>
        <v>-7.66487968972342E-010</v>
      </c>
      <c r="BY119" s="27" t="n">
        <f aca="false">(BY53-INDEX(Mortality_Matrix!$B$4:$BS$64,MATCH($A119,Mortality_Matrix!$A$4:$A$64,0),MATCH(2087,Mortality_Matrix!$B$3:$BS$3,0)))/INDEX(Mortality_Matrix!$B$4:$BS$64,MATCH($A119,Mortality_Matrix!$A$4:$A$64,0),MATCH(2087,Mortality_Matrix!$B$3:$BS$3,0))</f>
        <v>2.59639220109604E-010</v>
      </c>
      <c r="BZ119" s="27" t="n">
        <f aca="false">(BZ53-INDEX(Mortality_Matrix!$B$4:$BS$64,MATCH($A119,Mortality_Matrix!$A$4:$A$64,0),MATCH(2088,Mortality_Matrix!$B$3:$BS$3,0)))/INDEX(Mortality_Matrix!$B$4:$BS$64,MATCH($A119,Mortality_Matrix!$A$4:$A$64,0),MATCH(2088,Mortality_Matrix!$B$3:$BS$3,0))</f>
        <v>-1.19217550833434E-010</v>
      </c>
      <c r="CA119" s="27" t="n">
        <f aca="false">(CA53-INDEX(Mortality_Matrix!$B$4:$BS$64,MATCH($A119,Mortality_Matrix!$A$4:$A$64,0),MATCH(2089,Mortality_Matrix!$B$3:$BS$3,0)))/INDEX(Mortality_Matrix!$B$4:$BS$64,MATCH($A119,Mortality_Matrix!$A$4:$A$64,0),MATCH(2089,Mortality_Matrix!$B$3:$BS$3,0))</f>
        <v>-3.57226251931688E-010</v>
      </c>
      <c r="CB119" s="27" t="n">
        <f aca="false">(CB53-INDEX(Mortality_Matrix!$B$4:$BS$64,MATCH($A119,Mortality_Matrix!$A$4:$A$64,0),MATCH(2090,Mortality_Matrix!$B$3:$BS$3,0)))/INDEX(Mortality_Matrix!$B$4:$BS$64,MATCH($A119,Mortality_Matrix!$A$4:$A$64,0),MATCH(2090,Mortality_Matrix!$B$3:$BS$3,0))</f>
        <v>-4.91059316856884E-010</v>
      </c>
      <c r="CC119" s="27" t="n">
        <f aca="false">(CC53-INDEX(Mortality_Matrix!$B$4:$BS$64,MATCH($A119,Mortality_Matrix!$A$4:$A$64,0),MATCH(2091,Mortality_Matrix!$B$3:$BS$3,0)))/INDEX(Mortality_Matrix!$B$4:$BS$64,MATCH($A119,Mortality_Matrix!$A$4:$A$64,0),MATCH(2091,Mortality_Matrix!$B$3:$BS$3,0))</f>
        <v>-8.09386818413924E-010</v>
      </c>
    </row>
    <row r="120" customFormat="false" ht="15" hidden="false" customHeight="true" outlineLevel="0" collapsed="false">
      <c r="A120" s="3" t="n">
        <v>91</v>
      </c>
      <c r="L120" s="27" t="n">
        <f aca="false">(L54-INDEX(Mortality_Matrix!$B$4:$BS$64,MATCH($A120,Mortality_Matrix!$A$4:$A$64,0),MATCH(2022,Mortality_Matrix!$B$3:$BS$3,0)))/INDEX(Mortality_Matrix!$B$4:$BS$64,MATCH($A120,Mortality_Matrix!$A$4:$A$64,0),MATCH(2022,Mortality_Matrix!$B$3:$BS$3,0))</f>
        <v>8.6000685152695E-011</v>
      </c>
      <c r="M120" s="27" t="n">
        <f aca="false">(M54-INDEX(Mortality_Matrix!$B$4:$BS$64,MATCH($A120,Mortality_Matrix!$A$4:$A$64,0),MATCH(2023,Mortality_Matrix!$B$3:$BS$3,0)))/INDEX(Mortality_Matrix!$B$4:$BS$64,MATCH($A120,Mortality_Matrix!$A$4:$A$64,0),MATCH(2023,Mortality_Matrix!$B$3:$BS$3,0))</f>
        <v>8.889367057525E-011</v>
      </c>
      <c r="N120" s="27" t="n">
        <f aca="false">(N54-INDEX(Mortality_Matrix!$B$4:$BS$64,MATCH($A120,Mortality_Matrix!$A$4:$A$64,0),MATCH(2024,Mortality_Matrix!$B$3:$BS$3,0)))/INDEX(Mortality_Matrix!$B$4:$BS$64,MATCH($A120,Mortality_Matrix!$A$4:$A$64,0),MATCH(2024,Mortality_Matrix!$B$3:$BS$3,0))</f>
        <v>-1.08123624665292E-010</v>
      </c>
      <c r="O120" s="27" t="n">
        <f aca="false">(O54-INDEX(Mortality_Matrix!$B$4:$BS$64,MATCH($A120,Mortality_Matrix!$A$4:$A$64,0),MATCH(2025,Mortality_Matrix!$B$3:$BS$3,0)))/INDEX(Mortality_Matrix!$B$4:$BS$64,MATCH($A120,Mortality_Matrix!$A$4:$A$64,0),MATCH(2025,Mortality_Matrix!$B$3:$BS$3,0))</f>
        <v>-2.27340314898756E-010</v>
      </c>
      <c r="P120" s="27" t="n">
        <f aca="false">(P54-INDEX(Mortality_Matrix!$B$4:$BS$64,MATCH($A120,Mortality_Matrix!$A$4:$A$64,0),MATCH(2026,Mortality_Matrix!$B$3:$BS$3,0)))/INDEX(Mortality_Matrix!$B$4:$BS$64,MATCH($A120,Mortality_Matrix!$A$4:$A$64,0),MATCH(2026,Mortality_Matrix!$B$3:$BS$3,0))</f>
        <v>7.0255339214636E-011</v>
      </c>
      <c r="Q120" s="27" t="n">
        <f aca="false">(Q54-INDEX(Mortality_Matrix!$B$4:$BS$64,MATCH($A120,Mortality_Matrix!$A$4:$A$64,0),MATCH(2027,Mortality_Matrix!$B$3:$BS$3,0)))/INDEX(Mortality_Matrix!$B$4:$BS$64,MATCH($A120,Mortality_Matrix!$A$4:$A$64,0),MATCH(2027,Mortality_Matrix!$B$3:$BS$3,0))</f>
        <v>2.27082165577744E-010</v>
      </c>
      <c r="R120" s="27" t="n">
        <f aca="false">(R54-INDEX(Mortality_Matrix!$B$4:$BS$64,MATCH($A120,Mortality_Matrix!$A$4:$A$64,0),MATCH(2028,Mortality_Matrix!$B$3:$BS$3,0)))/INDEX(Mortality_Matrix!$B$4:$BS$64,MATCH($A120,Mortality_Matrix!$A$4:$A$64,0),MATCH(2028,Mortality_Matrix!$B$3:$BS$3,0))</f>
        <v>-1.74570090363768E-010</v>
      </c>
      <c r="S120" s="27" t="n">
        <f aca="false">(S54-INDEX(Mortality_Matrix!$B$4:$BS$64,MATCH($A120,Mortality_Matrix!$A$4:$A$64,0),MATCH(2029,Mortality_Matrix!$B$3:$BS$3,0)))/INDEX(Mortality_Matrix!$B$4:$BS$64,MATCH($A120,Mortality_Matrix!$A$4:$A$64,0),MATCH(2029,Mortality_Matrix!$B$3:$BS$3,0))</f>
        <v>8.50530237364317E-011</v>
      </c>
      <c r="T120" s="27" t="n">
        <f aca="false">(T54-INDEX(Mortality_Matrix!$B$4:$BS$64,MATCH($A120,Mortality_Matrix!$A$4:$A$64,0),MATCH(2030,Mortality_Matrix!$B$3:$BS$3,0)))/INDEX(Mortality_Matrix!$B$4:$BS$64,MATCH($A120,Mortality_Matrix!$A$4:$A$64,0),MATCH(2030,Mortality_Matrix!$B$3:$BS$3,0))</f>
        <v>3.57466107907324E-010</v>
      </c>
      <c r="U120" s="27" t="n">
        <f aca="false">(U54-INDEX(Mortality_Matrix!$B$4:$BS$64,MATCH($A120,Mortality_Matrix!$A$4:$A$64,0),MATCH(2031,Mortality_Matrix!$B$3:$BS$3,0)))/INDEX(Mortality_Matrix!$B$4:$BS$64,MATCH($A120,Mortality_Matrix!$A$4:$A$64,0),MATCH(2031,Mortality_Matrix!$B$3:$BS$3,0))</f>
        <v>2.14370104584111E-010</v>
      </c>
      <c r="V120" s="27" t="n">
        <f aca="false">(V54-INDEX(Mortality_Matrix!$B$4:$BS$64,MATCH($A120,Mortality_Matrix!$A$4:$A$64,0),MATCH(2032,Mortality_Matrix!$B$3:$BS$3,0)))/INDEX(Mortality_Matrix!$B$4:$BS$64,MATCH($A120,Mortality_Matrix!$A$4:$A$64,0),MATCH(2032,Mortality_Matrix!$B$3:$BS$3,0))</f>
        <v>-6.09714042033036E-011</v>
      </c>
      <c r="W120" s="27" t="n">
        <f aca="false">(W54-INDEX(Mortality_Matrix!$B$4:$BS$64,MATCH($A120,Mortality_Matrix!$A$4:$A$64,0),MATCH(2033,Mortality_Matrix!$B$3:$BS$3,0)))/INDEX(Mortality_Matrix!$B$4:$BS$64,MATCH($A120,Mortality_Matrix!$A$4:$A$64,0),MATCH(2033,Mortality_Matrix!$B$3:$BS$3,0))</f>
        <v>3.6396051909582E-010</v>
      </c>
      <c r="X120" s="27" t="n">
        <f aca="false">(X54-INDEX(Mortality_Matrix!$B$4:$BS$64,MATCH($A120,Mortality_Matrix!$A$4:$A$64,0),MATCH(2034,Mortality_Matrix!$B$3:$BS$3,0)))/INDEX(Mortality_Matrix!$B$4:$BS$64,MATCH($A120,Mortality_Matrix!$A$4:$A$64,0),MATCH(2034,Mortality_Matrix!$B$3:$BS$3,0))</f>
        <v>-3.18039241382272E-010</v>
      </c>
      <c r="Y120" s="27" t="n">
        <f aca="false">(Y54-INDEX(Mortality_Matrix!$B$4:$BS$64,MATCH($A120,Mortality_Matrix!$A$4:$A$64,0),MATCH(2035,Mortality_Matrix!$B$3:$BS$3,0)))/INDEX(Mortality_Matrix!$B$4:$BS$64,MATCH($A120,Mortality_Matrix!$A$4:$A$64,0),MATCH(2035,Mortality_Matrix!$B$3:$BS$3,0))</f>
        <v>-4.60295689150107E-011</v>
      </c>
      <c r="Z120" s="27" t="n">
        <f aca="false">(Z54-INDEX(Mortality_Matrix!$B$4:$BS$64,MATCH($A120,Mortality_Matrix!$A$4:$A$64,0),MATCH(2036,Mortality_Matrix!$B$3:$BS$3,0)))/INDEX(Mortality_Matrix!$B$4:$BS$64,MATCH($A120,Mortality_Matrix!$A$4:$A$64,0),MATCH(2036,Mortality_Matrix!$B$3:$BS$3,0))</f>
        <v>1.86371207277996E-010</v>
      </c>
      <c r="AA120" s="27" t="n">
        <f aca="false">(AA54-INDEX(Mortality_Matrix!$B$4:$BS$64,MATCH($A120,Mortality_Matrix!$A$4:$A$64,0),MATCH(2037,Mortality_Matrix!$B$3:$BS$3,0)))/INDEX(Mortality_Matrix!$B$4:$BS$64,MATCH($A120,Mortality_Matrix!$A$4:$A$64,0),MATCH(2037,Mortality_Matrix!$B$3:$BS$3,0))</f>
        <v>-1.49391473476748E-010</v>
      </c>
      <c r="AB120" s="27" t="n">
        <f aca="false">(AB54-INDEX(Mortality_Matrix!$B$4:$BS$64,MATCH($A120,Mortality_Matrix!$A$4:$A$64,0),MATCH(2038,Mortality_Matrix!$B$3:$BS$3,0)))/INDEX(Mortality_Matrix!$B$4:$BS$64,MATCH($A120,Mortality_Matrix!$A$4:$A$64,0),MATCH(2038,Mortality_Matrix!$B$3:$BS$3,0))</f>
        <v>2.86401621691042E-010</v>
      </c>
      <c r="AC120" s="27" t="n">
        <f aca="false">(AC54-INDEX(Mortality_Matrix!$B$4:$BS$64,MATCH($A120,Mortality_Matrix!$A$4:$A$64,0),MATCH(2039,Mortality_Matrix!$B$3:$BS$3,0)))/INDEX(Mortality_Matrix!$B$4:$BS$64,MATCH($A120,Mortality_Matrix!$A$4:$A$64,0),MATCH(2039,Mortality_Matrix!$B$3:$BS$3,0))</f>
        <v>-1.8524204309695E-010</v>
      </c>
      <c r="AD120" s="27" t="n">
        <f aca="false">(AD54-INDEX(Mortality_Matrix!$B$4:$BS$64,MATCH($A120,Mortality_Matrix!$A$4:$A$64,0),MATCH(2040,Mortality_Matrix!$B$3:$BS$3,0)))/INDEX(Mortality_Matrix!$B$4:$BS$64,MATCH($A120,Mortality_Matrix!$A$4:$A$64,0),MATCH(2040,Mortality_Matrix!$B$3:$BS$3,0))</f>
        <v>-1.79425958240984E-010</v>
      </c>
      <c r="AE120" s="27" t="n">
        <f aca="false">(AE54-INDEX(Mortality_Matrix!$B$4:$BS$64,MATCH($A120,Mortality_Matrix!$A$4:$A$64,0),MATCH(2041,Mortality_Matrix!$B$3:$BS$3,0)))/INDEX(Mortality_Matrix!$B$4:$BS$64,MATCH($A120,Mortality_Matrix!$A$4:$A$64,0),MATCH(2041,Mortality_Matrix!$B$3:$BS$3,0))</f>
        <v>-1.75013482411887E-010</v>
      </c>
      <c r="AF120" s="27" t="n">
        <f aca="false">(AF54-INDEX(Mortality_Matrix!$B$4:$BS$64,MATCH($A120,Mortality_Matrix!$A$4:$A$64,0),MATCH(2042,Mortality_Matrix!$B$3:$BS$3,0)))/INDEX(Mortality_Matrix!$B$4:$BS$64,MATCH($A120,Mortality_Matrix!$A$4:$A$64,0),MATCH(2042,Mortality_Matrix!$B$3:$BS$3,0))</f>
        <v>-3.48254208895756E-010</v>
      </c>
      <c r="AG120" s="27" t="n">
        <f aca="false">(AG54-INDEX(Mortality_Matrix!$B$4:$BS$64,MATCH($A120,Mortality_Matrix!$A$4:$A$64,0),MATCH(2043,Mortality_Matrix!$B$3:$BS$3,0)))/INDEX(Mortality_Matrix!$B$4:$BS$64,MATCH($A120,Mortality_Matrix!$A$4:$A$64,0),MATCH(2043,Mortality_Matrix!$B$3:$BS$3,0))</f>
        <v>7.74684680444385E-011</v>
      </c>
      <c r="AH120" s="27" t="n">
        <f aca="false">(AH54-INDEX(Mortality_Matrix!$B$4:$BS$64,MATCH($A120,Mortality_Matrix!$A$4:$A$64,0),MATCH(2044,Mortality_Matrix!$B$3:$BS$3,0)))/INDEX(Mortality_Matrix!$B$4:$BS$64,MATCH($A120,Mortality_Matrix!$A$4:$A$64,0),MATCH(2044,Mortality_Matrix!$B$3:$BS$3,0))</f>
        <v>1.45801262506876E-010</v>
      </c>
      <c r="AI120" s="27" t="n">
        <f aca="false">(AI54-INDEX(Mortality_Matrix!$B$4:$BS$64,MATCH($A120,Mortality_Matrix!$A$4:$A$64,0),MATCH(2045,Mortality_Matrix!$B$3:$BS$3,0)))/INDEX(Mortality_Matrix!$B$4:$BS$64,MATCH($A120,Mortality_Matrix!$A$4:$A$64,0),MATCH(2045,Mortality_Matrix!$B$3:$BS$3,0))</f>
        <v>2.84385079355441E-010</v>
      </c>
      <c r="AJ120" s="27" t="n">
        <f aca="false">(AJ54-INDEX(Mortality_Matrix!$B$4:$BS$64,MATCH($A120,Mortality_Matrix!$A$4:$A$64,0),MATCH(2046,Mortality_Matrix!$B$3:$BS$3,0)))/INDEX(Mortality_Matrix!$B$4:$BS$64,MATCH($A120,Mortality_Matrix!$A$4:$A$64,0),MATCH(2046,Mortality_Matrix!$B$3:$BS$3,0))</f>
        <v>-4.13927742822955E-010</v>
      </c>
      <c r="AK120" s="27" t="n">
        <f aca="false">(AK54-INDEX(Mortality_Matrix!$B$4:$BS$64,MATCH($A120,Mortality_Matrix!$A$4:$A$64,0),MATCH(2047,Mortality_Matrix!$B$3:$BS$3,0)))/INDEX(Mortality_Matrix!$B$4:$BS$64,MATCH($A120,Mortality_Matrix!$A$4:$A$64,0),MATCH(2047,Mortality_Matrix!$B$3:$BS$3,0))</f>
        <v>-9.60195952929381E-011</v>
      </c>
      <c r="AL120" s="27" t="n">
        <f aca="false">(AL54-INDEX(Mortality_Matrix!$B$4:$BS$64,MATCH($A120,Mortality_Matrix!$A$4:$A$64,0),MATCH(2048,Mortality_Matrix!$B$3:$BS$3,0)))/INDEX(Mortality_Matrix!$B$4:$BS$64,MATCH($A120,Mortality_Matrix!$A$4:$A$64,0),MATCH(2048,Mortality_Matrix!$B$3:$BS$3,0))</f>
        <v>-3.8979236807005E-010</v>
      </c>
      <c r="AM120" s="27" t="n">
        <f aca="false">(AM54-INDEX(Mortality_Matrix!$B$4:$BS$64,MATCH($A120,Mortality_Matrix!$A$4:$A$64,0),MATCH(2049,Mortality_Matrix!$B$3:$BS$3,0)))/INDEX(Mortality_Matrix!$B$4:$BS$64,MATCH($A120,Mortality_Matrix!$A$4:$A$64,0),MATCH(2049,Mortality_Matrix!$B$3:$BS$3,0))</f>
        <v>3.53556659275876E-010</v>
      </c>
      <c r="AN120" s="27" t="n">
        <f aca="false">(AN54-INDEX(Mortality_Matrix!$B$4:$BS$64,MATCH($A120,Mortality_Matrix!$A$4:$A$64,0),MATCH(2050,Mortality_Matrix!$B$3:$BS$3,0)))/INDEX(Mortality_Matrix!$B$4:$BS$64,MATCH($A120,Mortality_Matrix!$A$4:$A$64,0),MATCH(2050,Mortality_Matrix!$B$3:$BS$3,0))</f>
        <v>-2.00690673330089E-010</v>
      </c>
      <c r="AO120" s="27" t="n">
        <f aca="false">(AO54-INDEX(Mortality_Matrix!$B$4:$BS$64,MATCH($A120,Mortality_Matrix!$A$4:$A$64,0),MATCH(2051,Mortality_Matrix!$B$3:$BS$3,0)))/INDEX(Mortality_Matrix!$B$4:$BS$64,MATCH($A120,Mortality_Matrix!$A$4:$A$64,0),MATCH(2051,Mortality_Matrix!$B$3:$BS$3,0))</f>
        <v>3.57198709150567E-010</v>
      </c>
      <c r="AP120" s="27" t="n">
        <f aca="false">(AP54-INDEX(Mortality_Matrix!$B$4:$BS$64,MATCH($A120,Mortality_Matrix!$A$4:$A$64,0),MATCH(2052,Mortality_Matrix!$B$3:$BS$3,0)))/INDEX(Mortality_Matrix!$B$4:$BS$64,MATCH($A120,Mortality_Matrix!$A$4:$A$64,0),MATCH(2052,Mortality_Matrix!$B$3:$BS$3,0))</f>
        <v>-1.52466956886494E-011</v>
      </c>
      <c r="AQ120" s="27" t="n">
        <f aca="false">(AQ54-INDEX(Mortality_Matrix!$B$4:$BS$64,MATCH($A120,Mortality_Matrix!$A$4:$A$64,0),MATCH(2053,Mortality_Matrix!$B$3:$BS$3,0)))/INDEX(Mortality_Matrix!$B$4:$BS$64,MATCH($A120,Mortality_Matrix!$A$4:$A$64,0),MATCH(2053,Mortality_Matrix!$B$3:$BS$3,0))</f>
        <v>1.62153228677502E-010</v>
      </c>
      <c r="AR120" s="27" t="n">
        <f aca="false">(AR54-INDEX(Mortality_Matrix!$B$4:$BS$64,MATCH($A120,Mortality_Matrix!$A$4:$A$64,0),MATCH(2054,Mortality_Matrix!$B$3:$BS$3,0)))/INDEX(Mortality_Matrix!$B$4:$BS$64,MATCH($A120,Mortality_Matrix!$A$4:$A$64,0),MATCH(2054,Mortality_Matrix!$B$3:$BS$3,0))</f>
        <v>2.03505394153504E-010</v>
      </c>
      <c r="AS120" s="27" t="n">
        <f aca="false">(AS54-INDEX(Mortality_Matrix!$B$4:$BS$64,MATCH($A120,Mortality_Matrix!$A$4:$A$64,0),MATCH(2055,Mortality_Matrix!$B$3:$BS$3,0)))/INDEX(Mortality_Matrix!$B$4:$BS$64,MATCH($A120,Mortality_Matrix!$A$4:$A$64,0),MATCH(2055,Mortality_Matrix!$B$3:$BS$3,0))</f>
        <v>-1.95788791189373E-010</v>
      </c>
      <c r="AT120" s="27" t="n">
        <f aca="false">(AT54-INDEX(Mortality_Matrix!$B$4:$BS$64,MATCH($A120,Mortality_Matrix!$A$4:$A$64,0),MATCH(2056,Mortality_Matrix!$B$3:$BS$3,0)))/INDEX(Mortality_Matrix!$B$4:$BS$64,MATCH($A120,Mortality_Matrix!$A$4:$A$64,0),MATCH(2056,Mortality_Matrix!$B$3:$BS$3,0))</f>
        <v>-1.69586758873551E-010</v>
      </c>
      <c r="AU120" s="27" t="n">
        <f aca="false">(AU54-INDEX(Mortality_Matrix!$B$4:$BS$64,MATCH($A120,Mortality_Matrix!$A$4:$A$64,0),MATCH(2057,Mortality_Matrix!$B$3:$BS$3,0)))/INDEX(Mortality_Matrix!$B$4:$BS$64,MATCH($A120,Mortality_Matrix!$A$4:$A$64,0),MATCH(2057,Mortality_Matrix!$B$3:$BS$3,0))</f>
        <v>2.19729454936332E-010</v>
      </c>
      <c r="AV120" s="27" t="n">
        <f aca="false">(AV54-INDEX(Mortality_Matrix!$B$4:$BS$64,MATCH($A120,Mortality_Matrix!$A$4:$A$64,0),MATCH(2058,Mortality_Matrix!$B$3:$BS$3,0)))/INDEX(Mortality_Matrix!$B$4:$BS$64,MATCH($A120,Mortality_Matrix!$A$4:$A$64,0),MATCH(2058,Mortality_Matrix!$B$3:$BS$3,0))</f>
        <v>-2.77343324660227E-010</v>
      </c>
      <c r="AW120" s="27" t="n">
        <f aca="false">(AW54-INDEX(Mortality_Matrix!$B$4:$BS$64,MATCH($A120,Mortality_Matrix!$A$4:$A$64,0),MATCH(2059,Mortality_Matrix!$B$3:$BS$3,0)))/INDEX(Mortality_Matrix!$B$4:$BS$64,MATCH($A120,Mortality_Matrix!$A$4:$A$64,0),MATCH(2059,Mortality_Matrix!$B$3:$BS$3,0))</f>
        <v>-3.52070832963538E-010</v>
      </c>
      <c r="AX120" s="27" t="n">
        <f aca="false">(AX54-INDEX(Mortality_Matrix!$B$4:$BS$64,MATCH($A120,Mortality_Matrix!$A$4:$A$64,0),MATCH(2060,Mortality_Matrix!$B$3:$BS$3,0)))/INDEX(Mortality_Matrix!$B$4:$BS$64,MATCH($A120,Mortality_Matrix!$A$4:$A$64,0),MATCH(2060,Mortality_Matrix!$B$3:$BS$3,0))</f>
        <v>-2.56161686289893E-010</v>
      </c>
      <c r="AY120" s="27" t="n">
        <f aca="false">(AY54-INDEX(Mortality_Matrix!$B$4:$BS$64,MATCH($A120,Mortality_Matrix!$A$4:$A$64,0),MATCH(2061,Mortality_Matrix!$B$3:$BS$3,0)))/INDEX(Mortality_Matrix!$B$4:$BS$64,MATCH($A120,Mortality_Matrix!$A$4:$A$64,0),MATCH(2061,Mortality_Matrix!$B$3:$BS$3,0))</f>
        <v>-4.19885954929509E-011</v>
      </c>
      <c r="AZ120" s="27" t="n">
        <f aca="false">(AZ54-INDEX(Mortality_Matrix!$B$4:$BS$64,MATCH($A120,Mortality_Matrix!$A$4:$A$64,0),MATCH(2062,Mortality_Matrix!$B$3:$BS$3,0)))/INDEX(Mortality_Matrix!$B$4:$BS$64,MATCH($A120,Mortality_Matrix!$A$4:$A$64,0),MATCH(2062,Mortality_Matrix!$B$3:$BS$3,0))</f>
        <v>2.45344086451243E-010</v>
      </c>
      <c r="BA120" s="27" t="n">
        <f aca="false">(BA54-INDEX(Mortality_Matrix!$B$4:$BS$64,MATCH($A120,Mortality_Matrix!$A$4:$A$64,0),MATCH(2063,Mortality_Matrix!$B$3:$BS$3,0)))/INDEX(Mortality_Matrix!$B$4:$BS$64,MATCH($A120,Mortality_Matrix!$A$4:$A$64,0),MATCH(2063,Mortality_Matrix!$B$3:$BS$3,0))</f>
        <v>3.64588830527251E-010</v>
      </c>
      <c r="BB120" s="27" t="n">
        <f aca="false">(BB54-INDEX(Mortality_Matrix!$B$4:$BS$64,MATCH($A120,Mortality_Matrix!$A$4:$A$64,0),MATCH(2064,Mortality_Matrix!$B$3:$BS$3,0)))/INDEX(Mortality_Matrix!$B$4:$BS$64,MATCH($A120,Mortality_Matrix!$A$4:$A$64,0),MATCH(2064,Mortality_Matrix!$B$3:$BS$3,0))</f>
        <v>-3.3679299268408E-010</v>
      </c>
      <c r="BC120" s="27" t="n">
        <f aca="false">(BC54-INDEX(Mortality_Matrix!$B$4:$BS$64,MATCH($A120,Mortality_Matrix!$A$4:$A$64,0),MATCH(2065,Mortality_Matrix!$B$3:$BS$3,0)))/INDEX(Mortality_Matrix!$B$4:$BS$64,MATCH($A120,Mortality_Matrix!$A$4:$A$64,0),MATCH(2065,Mortality_Matrix!$B$3:$BS$3,0))</f>
        <v>7.78713763123006E-011</v>
      </c>
      <c r="BD120" s="27" t="n">
        <f aca="false">(BD54-INDEX(Mortality_Matrix!$B$4:$BS$64,MATCH($A120,Mortality_Matrix!$A$4:$A$64,0),MATCH(2066,Mortality_Matrix!$B$3:$BS$3,0)))/INDEX(Mortality_Matrix!$B$4:$BS$64,MATCH($A120,Mortality_Matrix!$A$4:$A$64,0),MATCH(2066,Mortality_Matrix!$B$3:$BS$3,0))</f>
        <v>-4.4932021752567E-010</v>
      </c>
      <c r="BE120" s="27" t="n">
        <f aca="false">(BE54-INDEX(Mortality_Matrix!$B$4:$BS$64,MATCH($A120,Mortality_Matrix!$A$4:$A$64,0),MATCH(2067,Mortality_Matrix!$B$3:$BS$3,0)))/INDEX(Mortality_Matrix!$B$4:$BS$64,MATCH($A120,Mortality_Matrix!$A$4:$A$64,0),MATCH(2067,Mortality_Matrix!$B$3:$BS$3,0))</f>
        <v>3.99465760139974E-010</v>
      </c>
      <c r="BF120" s="27" t="n">
        <f aca="false">(BF54-INDEX(Mortality_Matrix!$B$4:$BS$64,MATCH($A120,Mortality_Matrix!$A$4:$A$64,0),MATCH(2068,Mortality_Matrix!$B$3:$BS$3,0)))/INDEX(Mortality_Matrix!$B$4:$BS$64,MATCH($A120,Mortality_Matrix!$A$4:$A$64,0),MATCH(2068,Mortality_Matrix!$B$3:$BS$3,0))</f>
        <v>4.60267421940928E-010</v>
      </c>
      <c r="BG120" s="27" t="n">
        <f aca="false">(BG54-INDEX(Mortality_Matrix!$B$4:$BS$64,MATCH($A120,Mortality_Matrix!$A$4:$A$64,0),MATCH(2069,Mortality_Matrix!$B$3:$BS$3,0)))/INDEX(Mortality_Matrix!$B$4:$BS$64,MATCH($A120,Mortality_Matrix!$A$4:$A$64,0),MATCH(2069,Mortality_Matrix!$B$3:$BS$3,0))</f>
        <v>5.06901454513162E-010</v>
      </c>
      <c r="BH120" s="27" t="n">
        <f aca="false">(BH54-INDEX(Mortality_Matrix!$B$4:$BS$64,MATCH($A120,Mortality_Matrix!$A$4:$A$64,0),MATCH(2070,Mortality_Matrix!$B$3:$BS$3,0)))/INDEX(Mortality_Matrix!$B$4:$BS$64,MATCH($A120,Mortality_Matrix!$A$4:$A$64,0),MATCH(2070,Mortality_Matrix!$B$3:$BS$3,0))</f>
        <v>-3.38316520444527E-010</v>
      </c>
      <c r="BI120" s="27" t="n">
        <f aca="false">(BI54-INDEX(Mortality_Matrix!$B$4:$BS$64,MATCH($A120,Mortality_Matrix!$A$4:$A$64,0),MATCH(2071,Mortality_Matrix!$B$3:$BS$3,0)))/INDEX(Mortality_Matrix!$B$4:$BS$64,MATCH($A120,Mortality_Matrix!$A$4:$A$64,0),MATCH(2071,Mortality_Matrix!$B$3:$BS$3,0))</f>
        <v>-2.94519406537589E-010</v>
      </c>
      <c r="BJ120" s="27" t="n">
        <f aca="false">(BJ54-INDEX(Mortality_Matrix!$B$4:$BS$64,MATCH($A120,Mortality_Matrix!$A$4:$A$64,0),MATCH(2072,Mortality_Matrix!$B$3:$BS$3,0)))/INDEX(Mortality_Matrix!$B$4:$BS$64,MATCH($A120,Mortality_Matrix!$A$4:$A$64,0),MATCH(2072,Mortality_Matrix!$B$3:$BS$3,0))</f>
        <v>3.64882445359236E-010</v>
      </c>
      <c r="BK120" s="27" t="n">
        <f aca="false">(BK54-INDEX(Mortality_Matrix!$B$4:$BS$64,MATCH($A120,Mortality_Matrix!$A$4:$A$64,0),MATCH(2073,Mortality_Matrix!$B$3:$BS$3,0)))/INDEX(Mortality_Matrix!$B$4:$BS$64,MATCH($A120,Mortality_Matrix!$A$4:$A$64,0),MATCH(2073,Mortality_Matrix!$B$3:$BS$3,0))</f>
        <v>1.6676199332846E-010</v>
      </c>
      <c r="BL120" s="27" t="n">
        <f aca="false">(BL54-INDEX(Mortality_Matrix!$B$4:$BS$64,MATCH($A120,Mortality_Matrix!$A$4:$A$64,0),MATCH(2074,Mortality_Matrix!$B$3:$BS$3,0)))/INDEX(Mortality_Matrix!$B$4:$BS$64,MATCH($A120,Mortality_Matrix!$A$4:$A$64,0),MATCH(2074,Mortality_Matrix!$B$3:$BS$3,0))</f>
        <v>-2.55758770837388E-010</v>
      </c>
      <c r="BM120" s="27" t="n">
        <f aca="false">(BM54-INDEX(Mortality_Matrix!$B$4:$BS$64,MATCH($A120,Mortality_Matrix!$A$4:$A$64,0),MATCH(2075,Mortality_Matrix!$B$3:$BS$3,0)))/INDEX(Mortality_Matrix!$B$4:$BS$64,MATCH($A120,Mortality_Matrix!$A$4:$A$64,0),MATCH(2075,Mortality_Matrix!$B$3:$BS$3,0))</f>
        <v>5.49555130489395E-010</v>
      </c>
      <c r="BN120" s="27" t="n">
        <f aca="false">(BN54-INDEX(Mortality_Matrix!$B$4:$BS$64,MATCH($A120,Mortality_Matrix!$A$4:$A$64,0),MATCH(2076,Mortality_Matrix!$B$3:$BS$3,0)))/INDEX(Mortality_Matrix!$B$4:$BS$64,MATCH($A120,Mortality_Matrix!$A$4:$A$64,0),MATCH(2076,Mortality_Matrix!$B$3:$BS$3,0))</f>
        <v>-1.85708817225065E-010</v>
      </c>
      <c r="BO120" s="27" t="n">
        <f aca="false">(BO54-INDEX(Mortality_Matrix!$B$4:$BS$64,MATCH($A120,Mortality_Matrix!$A$4:$A$64,0),MATCH(2077,Mortality_Matrix!$B$3:$BS$3,0)))/INDEX(Mortality_Matrix!$B$4:$BS$64,MATCH($A120,Mortality_Matrix!$A$4:$A$64,0),MATCH(2077,Mortality_Matrix!$B$3:$BS$3,0))</f>
        <v>-2.27372891379712E-011</v>
      </c>
      <c r="BP120" s="27" t="n">
        <f aca="false">(BP54-INDEX(Mortality_Matrix!$B$4:$BS$64,MATCH($A120,Mortality_Matrix!$A$4:$A$64,0),MATCH(2078,Mortality_Matrix!$B$3:$BS$3,0)))/INDEX(Mortality_Matrix!$B$4:$BS$64,MATCH($A120,Mortality_Matrix!$A$4:$A$64,0),MATCH(2078,Mortality_Matrix!$B$3:$BS$3,0))</f>
        <v>4.24537984913675E-011</v>
      </c>
      <c r="BQ120" s="27" t="n">
        <f aca="false">(BQ54-INDEX(Mortality_Matrix!$B$4:$BS$64,MATCH($A120,Mortality_Matrix!$A$4:$A$64,0),MATCH(2079,Mortality_Matrix!$B$3:$BS$3,0)))/INDEX(Mortality_Matrix!$B$4:$BS$64,MATCH($A120,Mortality_Matrix!$A$4:$A$64,0),MATCH(2079,Mortality_Matrix!$B$3:$BS$3,0))</f>
        <v>2.26891272732671E-010</v>
      </c>
      <c r="BR120" s="27" t="n">
        <f aca="false">(BR54-INDEX(Mortality_Matrix!$B$4:$BS$64,MATCH($A120,Mortality_Matrix!$A$4:$A$64,0),MATCH(2080,Mortality_Matrix!$B$3:$BS$3,0)))/INDEX(Mortality_Matrix!$B$4:$BS$64,MATCH($A120,Mortality_Matrix!$A$4:$A$64,0),MATCH(2080,Mortality_Matrix!$B$3:$BS$3,0))</f>
        <v>5.5018430285711E-010</v>
      </c>
      <c r="BS120" s="27" t="n">
        <f aca="false">(BS54-INDEX(Mortality_Matrix!$B$4:$BS$64,MATCH($A120,Mortality_Matrix!$A$4:$A$64,0),MATCH(2081,Mortality_Matrix!$B$3:$BS$3,0)))/INDEX(Mortality_Matrix!$B$4:$BS$64,MATCH($A120,Mortality_Matrix!$A$4:$A$64,0),MATCH(2081,Mortality_Matrix!$B$3:$BS$3,0))</f>
        <v>6.18949418976805E-010</v>
      </c>
      <c r="BT120" s="27" t="n">
        <f aca="false">(BT54-INDEX(Mortality_Matrix!$B$4:$BS$64,MATCH($A120,Mortality_Matrix!$A$4:$A$64,0),MATCH(2082,Mortality_Matrix!$B$3:$BS$3,0)))/INDEX(Mortality_Matrix!$B$4:$BS$64,MATCH($A120,Mortality_Matrix!$A$4:$A$64,0),MATCH(2082,Mortality_Matrix!$B$3:$BS$3,0))</f>
        <v>-6.00928340311233E-010</v>
      </c>
      <c r="BU120" s="27" t="n">
        <f aca="false">(BU54-INDEX(Mortality_Matrix!$B$4:$BS$64,MATCH($A120,Mortality_Matrix!$A$4:$A$64,0),MATCH(2083,Mortality_Matrix!$B$3:$BS$3,0)))/INDEX(Mortality_Matrix!$B$4:$BS$64,MATCH($A120,Mortality_Matrix!$A$4:$A$64,0),MATCH(2083,Mortality_Matrix!$B$3:$BS$3,0))</f>
        <v>2.65610448322241E-010</v>
      </c>
      <c r="BV120" s="27" t="n">
        <f aca="false">(BV54-INDEX(Mortality_Matrix!$B$4:$BS$64,MATCH($A120,Mortality_Matrix!$A$4:$A$64,0),MATCH(2084,Mortality_Matrix!$B$3:$BS$3,0)))/INDEX(Mortality_Matrix!$B$4:$BS$64,MATCH($A120,Mortality_Matrix!$A$4:$A$64,0),MATCH(2084,Mortality_Matrix!$B$3:$BS$3,0))</f>
        <v>3.52032844300641E-010</v>
      </c>
      <c r="BW120" s="27" t="n">
        <f aca="false">(BW54-INDEX(Mortality_Matrix!$B$4:$BS$64,MATCH($A120,Mortality_Matrix!$A$4:$A$64,0),MATCH(2085,Mortality_Matrix!$B$3:$BS$3,0)))/INDEX(Mortality_Matrix!$B$4:$BS$64,MATCH($A120,Mortality_Matrix!$A$4:$A$64,0),MATCH(2085,Mortality_Matrix!$B$3:$BS$3,0))</f>
        <v>-5.4543192019563E-010</v>
      </c>
      <c r="BX120" s="27" t="n">
        <f aca="false">(BX54-INDEX(Mortality_Matrix!$B$4:$BS$64,MATCH($A120,Mortality_Matrix!$A$4:$A$64,0),MATCH(2086,Mortality_Matrix!$B$3:$BS$3,0)))/INDEX(Mortality_Matrix!$B$4:$BS$64,MATCH($A120,Mortality_Matrix!$A$4:$A$64,0),MATCH(2086,Mortality_Matrix!$B$3:$BS$3,0))</f>
        <v>-1.43223747801694E-011</v>
      </c>
      <c r="BY120" s="27" t="n">
        <f aca="false">(BY54-INDEX(Mortality_Matrix!$B$4:$BS$64,MATCH($A120,Mortality_Matrix!$A$4:$A$64,0),MATCH(2087,Mortality_Matrix!$B$3:$BS$3,0)))/INDEX(Mortality_Matrix!$B$4:$BS$64,MATCH($A120,Mortality_Matrix!$A$4:$A$64,0),MATCH(2087,Mortality_Matrix!$B$3:$BS$3,0))</f>
        <v>-1.86082984558202E-012</v>
      </c>
      <c r="BZ120" s="27" t="n">
        <f aca="false">(BZ54-INDEX(Mortality_Matrix!$B$4:$BS$64,MATCH($A120,Mortality_Matrix!$A$4:$A$64,0),MATCH(2088,Mortality_Matrix!$B$3:$BS$3,0)))/INDEX(Mortality_Matrix!$B$4:$BS$64,MATCH($A120,Mortality_Matrix!$A$4:$A$64,0),MATCH(2088,Mortality_Matrix!$B$3:$BS$3,0))</f>
        <v>-2.70493949482425E-010</v>
      </c>
      <c r="CA120" s="27" t="n">
        <f aca="false">(CA54-INDEX(Mortality_Matrix!$B$4:$BS$64,MATCH($A120,Mortality_Matrix!$A$4:$A$64,0),MATCH(2089,Mortality_Matrix!$B$3:$BS$3,0)))/INDEX(Mortality_Matrix!$B$4:$BS$64,MATCH($A120,Mortality_Matrix!$A$4:$A$64,0),MATCH(2089,Mortality_Matrix!$B$3:$BS$3,0))</f>
        <v>1.10042721188209E-010</v>
      </c>
      <c r="CB120" s="27" t="n">
        <f aca="false">(CB54-INDEX(Mortality_Matrix!$B$4:$BS$64,MATCH($A120,Mortality_Matrix!$A$4:$A$64,0),MATCH(2090,Mortality_Matrix!$B$3:$BS$3,0)))/INDEX(Mortality_Matrix!$B$4:$BS$64,MATCH($A120,Mortality_Matrix!$A$4:$A$64,0),MATCH(2090,Mortality_Matrix!$B$3:$BS$3,0))</f>
        <v>-2.67716694259282E-010</v>
      </c>
      <c r="CC120" s="27" t="n">
        <f aca="false">(CC54-INDEX(Mortality_Matrix!$B$4:$BS$64,MATCH($A120,Mortality_Matrix!$A$4:$A$64,0),MATCH(2091,Mortality_Matrix!$B$3:$BS$3,0)))/INDEX(Mortality_Matrix!$B$4:$BS$64,MATCH($A120,Mortality_Matrix!$A$4:$A$64,0),MATCH(2091,Mortality_Matrix!$B$3:$BS$3,0))</f>
        <v>3.095153567136E-010</v>
      </c>
    </row>
    <row r="121" customFormat="false" ht="15" hidden="false" customHeight="true" outlineLevel="0" collapsed="false">
      <c r="A121" s="3" t="n">
        <v>92</v>
      </c>
      <c r="L121" s="27" t="n">
        <f aca="false">(L55-INDEX(Mortality_Matrix!$B$4:$BS$64,MATCH($A121,Mortality_Matrix!$A$4:$A$64,0),MATCH(2022,Mortality_Matrix!$B$3:$BS$3,0)))/INDEX(Mortality_Matrix!$B$4:$BS$64,MATCH($A121,Mortality_Matrix!$A$4:$A$64,0),MATCH(2022,Mortality_Matrix!$B$3:$BS$3,0))</f>
        <v>-6.77946975183042E-011</v>
      </c>
      <c r="M121" s="27" t="n">
        <f aca="false">(M55-INDEX(Mortality_Matrix!$B$4:$BS$64,MATCH($A121,Mortality_Matrix!$A$4:$A$64,0),MATCH(2023,Mortality_Matrix!$B$3:$BS$3,0)))/INDEX(Mortality_Matrix!$B$4:$BS$64,MATCH($A121,Mortality_Matrix!$A$4:$A$64,0),MATCH(2023,Mortality_Matrix!$B$3:$BS$3,0))</f>
        <v>1.67144189311641E-010</v>
      </c>
      <c r="N121" s="27" t="n">
        <f aca="false">(N55-INDEX(Mortality_Matrix!$B$4:$BS$64,MATCH($A121,Mortality_Matrix!$A$4:$A$64,0),MATCH(2024,Mortality_Matrix!$B$3:$BS$3,0)))/INDEX(Mortality_Matrix!$B$4:$BS$64,MATCH($A121,Mortality_Matrix!$A$4:$A$64,0),MATCH(2024,Mortality_Matrix!$B$3:$BS$3,0))</f>
        <v>3.01583248910205E-010</v>
      </c>
      <c r="O121" s="27" t="n">
        <f aca="false">(O55-INDEX(Mortality_Matrix!$B$4:$BS$64,MATCH($A121,Mortality_Matrix!$A$4:$A$64,0),MATCH(2025,Mortality_Matrix!$B$3:$BS$3,0)))/INDEX(Mortality_Matrix!$B$4:$BS$64,MATCH($A121,Mortality_Matrix!$A$4:$A$64,0),MATCH(2025,Mortality_Matrix!$B$3:$BS$3,0))</f>
        <v>1.88871215833944E-010</v>
      </c>
      <c r="P121" s="27" t="n">
        <f aca="false">(P55-INDEX(Mortality_Matrix!$B$4:$BS$64,MATCH($A121,Mortality_Matrix!$A$4:$A$64,0),MATCH(2026,Mortality_Matrix!$B$3:$BS$3,0)))/INDEX(Mortality_Matrix!$B$4:$BS$64,MATCH($A121,Mortality_Matrix!$A$4:$A$64,0),MATCH(2026,Mortality_Matrix!$B$3:$BS$3,0))</f>
        <v>1.03153401376615E-010</v>
      </c>
      <c r="Q121" s="27" t="n">
        <f aca="false">(Q55-INDEX(Mortality_Matrix!$B$4:$BS$64,MATCH($A121,Mortality_Matrix!$A$4:$A$64,0),MATCH(2027,Mortality_Matrix!$B$3:$BS$3,0)))/INDEX(Mortality_Matrix!$B$4:$BS$64,MATCH($A121,Mortality_Matrix!$A$4:$A$64,0),MATCH(2027,Mortality_Matrix!$B$3:$BS$3,0))</f>
        <v>2.32849570254963E-010</v>
      </c>
      <c r="R121" s="27" t="n">
        <f aca="false">(R55-INDEX(Mortality_Matrix!$B$4:$BS$64,MATCH($A121,Mortality_Matrix!$A$4:$A$64,0),MATCH(2028,Mortality_Matrix!$B$3:$BS$3,0)))/INDEX(Mortality_Matrix!$B$4:$BS$64,MATCH($A121,Mortality_Matrix!$A$4:$A$64,0),MATCH(2028,Mortality_Matrix!$B$3:$BS$3,0))</f>
        <v>-2.54207093782688E-010</v>
      </c>
      <c r="S121" s="27" t="n">
        <f aca="false">(S55-INDEX(Mortality_Matrix!$B$4:$BS$64,MATCH($A121,Mortality_Matrix!$A$4:$A$64,0),MATCH(2029,Mortality_Matrix!$B$3:$BS$3,0)))/INDEX(Mortality_Matrix!$B$4:$BS$64,MATCH($A121,Mortality_Matrix!$A$4:$A$64,0),MATCH(2029,Mortality_Matrix!$B$3:$BS$3,0))</f>
        <v>-1.19899854700243E-010</v>
      </c>
      <c r="T121" s="27" t="n">
        <f aca="false">(T55-INDEX(Mortality_Matrix!$B$4:$BS$64,MATCH($A121,Mortality_Matrix!$A$4:$A$64,0),MATCH(2030,Mortality_Matrix!$B$3:$BS$3,0)))/INDEX(Mortality_Matrix!$B$4:$BS$64,MATCH($A121,Mortality_Matrix!$A$4:$A$64,0),MATCH(2030,Mortality_Matrix!$B$3:$BS$3,0))</f>
        <v>-3.6725712452011E-011</v>
      </c>
      <c r="U121" s="27" t="n">
        <f aca="false">(U55-INDEX(Mortality_Matrix!$B$4:$BS$64,MATCH($A121,Mortality_Matrix!$A$4:$A$64,0),MATCH(2031,Mortality_Matrix!$B$3:$BS$3,0)))/INDEX(Mortality_Matrix!$B$4:$BS$64,MATCH($A121,Mortality_Matrix!$A$4:$A$64,0),MATCH(2031,Mortality_Matrix!$B$3:$BS$3,0))</f>
        <v>-2.4994395461365E-010</v>
      </c>
      <c r="V121" s="27" t="n">
        <f aca="false">(V55-INDEX(Mortality_Matrix!$B$4:$BS$64,MATCH($A121,Mortality_Matrix!$A$4:$A$64,0),MATCH(2032,Mortality_Matrix!$B$3:$BS$3,0)))/INDEX(Mortality_Matrix!$B$4:$BS$64,MATCH($A121,Mortality_Matrix!$A$4:$A$64,0),MATCH(2032,Mortality_Matrix!$B$3:$BS$3,0))</f>
        <v>-4.65786953228539E-011</v>
      </c>
      <c r="W121" s="27" t="n">
        <f aca="false">(W55-INDEX(Mortality_Matrix!$B$4:$BS$64,MATCH($A121,Mortality_Matrix!$A$4:$A$64,0),MATCH(2033,Mortality_Matrix!$B$3:$BS$3,0)))/INDEX(Mortality_Matrix!$B$4:$BS$64,MATCH($A121,Mortality_Matrix!$A$4:$A$64,0),MATCH(2033,Mortality_Matrix!$B$3:$BS$3,0))</f>
        <v>1.34379414425158E-010</v>
      </c>
      <c r="X121" s="27" t="n">
        <f aca="false">(X55-INDEX(Mortality_Matrix!$B$4:$BS$64,MATCH($A121,Mortality_Matrix!$A$4:$A$64,0),MATCH(2034,Mortality_Matrix!$B$3:$BS$3,0)))/INDEX(Mortality_Matrix!$B$4:$BS$64,MATCH($A121,Mortality_Matrix!$A$4:$A$64,0),MATCH(2034,Mortality_Matrix!$B$3:$BS$3,0))</f>
        <v>-1.63835356191994E-010</v>
      </c>
      <c r="Y121" s="27" t="n">
        <f aca="false">(Y55-INDEX(Mortality_Matrix!$B$4:$BS$64,MATCH($A121,Mortality_Matrix!$A$4:$A$64,0),MATCH(2035,Mortality_Matrix!$B$3:$BS$3,0)))/INDEX(Mortality_Matrix!$B$4:$BS$64,MATCH($A121,Mortality_Matrix!$A$4:$A$64,0),MATCH(2035,Mortality_Matrix!$B$3:$BS$3,0))</f>
        <v>-2.03502553494295E-010</v>
      </c>
      <c r="Z121" s="27" t="n">
        <f aca="false">(Z55-INDEX(Mortality_Matrix!$B$4:$BS$64,MATCH($A121,Mortality_Matrix!$A$4:$A$64,0),MATCH(2036,Mortality_Matrix!$B$3:$BS$3,0)))/INDEX(Mortality_Matrix!$B$4:$BS$64,MATCH($A121,Mortality_Matrix!$A$4:$A$64,0),MATCH(2036,Mortality_Matrix!$B$3:$BS$3,0))</f>
        <v>-2.15947528459019E-010</v>
      </c>
      <c r="AA121" s="27" t="n">
        <f aca="false">(AA55-INDEX(Mortality_Matrix!$B$4:$BS$64,MATCH($A121,Mortality_Matrix!$A$4:$A$64,0),MATCH(2037,Mortality_Matrix!$B$3:$BS$3,0)))/INDEX(Mortality_Matrix!$B$4:$BS$64,MATCH($A121,Mortality_Matrix!$A$4:$A$64,0),MATCH(2037,Mortality_Matrix!$B$3:$BS$3,0))</f>
        <v>-2.12592721805176E-010</v>
      </c>
      <c r="AB121" s="27" t="n">
        <f aca="false">(AB55-INDEX(Mortality_Matrix!$B$4:$BS$64,MATCH($A121,Mortality_Matrix!$A$4:$A$64,0),MATCH(2038,Mortality_Matrix!$B$3:$BS$3,0)))/INDEX(Mortality_Matrix!$B$4:$BS$64,MATCH($A121,Mortality_Matrix!$A$4:$A$64,0),MATCH(2038,Mortality_Matrix!$B$3:$BS$3,0))</f>
        <v>-1.27805145204536E-010</v>
      </c>
      <c r="AC121" s="27" t="n">
        <f aca="false">(AC55-INDEX(Mortality_Matrix!$B$4:$BS$64,MATCH($A121,Mortality_Matrix!$A$4:$A$64,0),MATCH(2039,Mortality_Matrix!$B$3:$BS$3,0)))/INDEX(Mortality_Matrix!$B$4:$BS$64,MATCH($A121,Mortality_Matrix!$A$4:$A$64,0),MATCH(2039,Mortality_Matrix!$B$3:$BS$3,0))</f>
        <v>3.01929586876305E-011</v>
      </c>
      <c r="AD121" s="27" t="n">
        <f aca="false">(AD55-INDEX(Mortality_Matrix!$B$4:$BS$64,MATCH($A121,Mortality_Matrix!$A$4:$A$64,0),MATCH(2040,Mortality_Matrix!$B$3:$BS$3,0)))/INDEX(Mortality_Matrix!$B$4:$BS$64,MATCH($A121,Mortality_Matrix!$A$4:$A$64,0),MATCH(2040,Mortality_Matrix!$B$3:$BS$3,0))</f>
        <v>2.00839191373651E-011</v>
      </c>
      <c r="AE121" s="27" t="n">
        <f aca="false">(AE55-INDEX(Mortality_Matrix!$B$4:$BS$64,MATCH($A121,Mortality_Matrix!$A$4:$A$64,0),MATCH(2041,Mortality_Matrix!$B$3:$BS$3,0)))/INDEX(Mortality_Matrix!$B$4:$BS$64,MATCH($A121,Mortality_Matrix!$A$4:$A$64,0),MATCH(2041,Mortality_Matrix!$B$3:$BS$3,0))</f>
        <v>-7.04311791845361E-011</v>
      </c>
      <c r="AF121" s="27" t="n">
        <f aca="false">(AF55-INDEX(Mortality_Matrix!$B$4:$BS$64,MATCH($A121,Mortality_Matrix!$A$4:$A$64,0),MATCH(2042,Mortality_Matrix!$B$3:$BS$3,0)))/INDEX(Mortality_Matrix!$B$4:$BS$64,MATCH($A121,Mortality_Matrix!$A$4:$A$64,0),MATCH(2042,Mortality_Matrix!$B$3:$BS$3,0))</f>
        <v>3.84870607491675E-011</v>
      </c>
      <c r="AG121" s="27" t="n">
        <f aca="false">(AG55-INDEX(Mortality_Matrix!$B$4:$BS$64,MATCH($A121,Mortality_Matrix!$A$4:$A$64,0),MATCH(2043,Mortality_Matrix!$B$3:$BS$3,0)))/INDEX(Mortality_Matrix!$B$4:$BS$64,MATCH($A121,Mortality_Matrix!$A$4:$A$64,0),MATCH(2043,Mortality_Matrix!$B$3:$BS$3,0))</f>
        <v>-7.19189017855206E-011</v>
      </c>
      <c r="AH121" s="27" t="n">
        <f aca="false">(AH55-INDEX(Mortality_Matrix!$B$4:$BS$64,MATCH($A121,Mortality_Matrix!$A$4:$A$64,0),MATCH(2044,Mortality_Matrix!$B$3:$BS$3,0)))/INDEX(Mortality_Matrix!$B$4:$BS$64,MATCH($A121,Mortality_Matrix!$A$4:$A$64,0),MATCH(2044,Mortality_Matrix!$B$3:$BS$3,0))</f>
        <v>-2.04344323374625E-010</v>
      </c>
      <c r="AI121" s="27" t="n">
        <f aca="false">(AI55-INDEX(Mortality_Matrix!$B$4:$BS$64,MATCH($A121,Mortality_Matrix!$A$4:$A$64,0),MATCH(2045,Mortality_Matrix!$B$3:$BS$3,0)))/INDEX(Mortality_Matrix!$B$4:$BS$64,MATCH($A121,Mortality_Matrix!$A$4:$A$64,0),MATCH(2045,Mortality_Matrix!$B$3:$BS$3,0))</f>
        <v>3.33579703168442E-010</v>
      </c>
      <c r="AJ121" s="27" t="n">
        <f aca="false">(AJ55-INDEX(Mortality_Matrix!$B$4:$BS$64,MATCH($A121,Mortality_Matrix!$A$4:$A$64,0),MATCH(2046,Mortality_Matrix!$B$3:$BS$3,0)))/INDEX(Mortality_Matrix!$B$4:$BS$64,MATCH($A121,Mortality_Matrix!$A$4:$A$64,0),MATCH(2046,Mortality_Matrix!$B$3:$BS$3,0))</f>
        <v>2.88879831563969E-010</v>
      </c>
      <c r="AK121" s="27" t="n">
        <f aca="false">(AK55-INDEX(Mortality_Matrix!$B$4:$BS$64,MATCH($A121,Mortality_Matrix!$A$4:$A$64,0),MATCH(2047,Mortality_Matrix!$B$3:$BS$3,0)))/INDEX(Mortality_Matrix!$B$4:$BS$64,MATCH($A121,Mortality_Matrix!$A$4:$A$64,0),MATCH(2047,Mortality_Matrix!$B$3:$BS$3,0))</f>
        <v>9.65975474712923E-011</v>
      </c>
      <c r="AL121" s="27" t="n">
        <f aca="false">(AL55-INDEX(Mortality_Matrix!$B$4:$BS$64,MATCH($A121,Mortality_Matrix!$A$4:$A$64,0),MATCH(2048,Mortality_Matrix!$B$3:$BS$3,0)))/INDEX(Mortality_Matrix!$B$4:$BS$64,MATCH($A121,Mortality_Matrix!$A$4:$A$64,0),MATCH(2048,Mortality_Matrix!$B$3:$BS$3,0))</f>
        <v>2.43092541058092E-010</v>
      </c>
      <c r="AM121" s="27" t="n">
        <f aca="false">(AM55-INDEX(Mortality_Matrix!$B$4:$BS$64,MATCH($A121,Mortality_Matrix!$A$4:$A$64,0),MATCH(2049,Mortality_Matrix!$B$3:$BS$3,0)))/INDEX(Mortality_Matrix!$B$4:$BS$64,MATCH($A121,Mortality_Matrix!$A$4:$A$64,0),MATCH(2049,Mortality_Matrix!$B$3:$BS$3,0))</f>
        <v>3.16980428368217E-010</v>
      </c>
      <c r="AN121" s="27" t="n">
        <f aca="false">(AN55-INDEX(Mortality_Matrix!$B$4:$BS$64,MATCH($A121,Mortality_Matrix!$A$4:$A$64,0),MATCH(2050,Mortality_Matrix!$B$3:$BS$3,0)))/INDEX(Mortality_Matrix!$B$4:$BS$64,MATCH($A121,Mortality_Matrix!$A$4:$A$64,0),MATCH(2050,Mortality_Matrix!$B$3:$BS$3,0))</f>
        <v>-3.90687510709284E-010</v>
      </c>
      <c r="AO121" s="27" t="n">
        <f aca="false">(AO55-INDEX(Mortality_Matrix!$B$4:$BS$64,MATCH($A121,Mortality_Matrix!$A$4:$A$64,0),MATCH(2051,Mortality_Matrix!$B$3:$BS$3,0)))/INDEX(Mortality_Matrix!$B$4:$BS$64,MATCH($A121,Mortality_Matrix!$A$4:$A$64,0),MATCH(2051,Mortality_Matrix!$B$3:$BS$3,0))</f>
        <v>1.974458434123E-010</v>
      </c>
      <c r="AP121" s="27" t="n">
        <f aca="false">(AP55-INDEX(Mortality_Matrix!$B$4:$BS$64,MATCH($A121,Mortality_Matrix!$A$4:$A$64,0),MATCH(2052,Mortality_Matrix!$B$3:$BS$3,0)))/INDEX(Mortality_Matrix!$B$4:$BS$64,MATCH($A121,Mortality_Matrix!$A$4:$A$64,0),MATCH(2052,Mortality_Matrix!$B$3:$BS$3,0))</f>
        <v>3.62289104541831E-010</v>
      </c>
      <c r="AQ121" s="27" t="n">
        <f aca="false">(AQ55-INDEX(Mortality_Matrix!$B$4:$BS$64,MATCH($A121,Mortality_Matrix!$A$4:$A$64,0),MATCH(2053,Mortality_Matrix!$B$3:$BS$3,0)))/INDEX(Mortality_Matrix!$B$4:$BS$64,MATCH($A121,Mortality_Matrix!$A$4:$A$64,0),MATCH(2053,Mortality_Matrix!$B$3:$BS$3,0))</f>
        <v>4.43036081499078E-011</v>
      </c>
      <c r="AR121" s="27" t="n">
        <f aca="false">(AR55-INDEX(Mortality_Matrix!$B$4:$BS$64,MATCH($A121,Mortality_Matrix!$A$4:$A$64,0),MATCH(2054,Mortality_Matrix!$B$3:$BS$3,0)))/INDEX(Mortality_Matrix!$B$4:$BS$64,MATCH($A121,Mortality_Matrix!$A$4:$A$64,0),MATCH(2054,Mortality_Matrix!$B$3:$BS$3,0))</f>
        <v>-5.95983539103237E-011</v>
      </c>
      <c r="AS121" s="27" t="n">
        <f aca="false">(AS55-INDEX(Mortality_Matrix!$B$4:$BS$64,MATCH($A121,Mortality_Matrix!$A$4:$A$64,0),MATCH(2055,Mortality_Matrix!$B$3:$BS$3,0)))/INDEX(Mortality_Matrix!$B$4:$BS$64,MATCH($A121,Mortality_Matrix!$A$4:$A$64,0),MATCH(2055,Mortality_Matrix!$B$3:$BS$3,0))</f>
        <v>-3.09442266329636E-010</v>
      </c>
      <c r="AT121" s="27" t="n">
        <f aca="false">(AT55-INDEX(Mortality_Matrix!$B$4:$BS$64,MATCH($A121,Mortality_Matrix!$A$4:$A$64,0),MATCH(2056,Mortality_Matrix!$B$3:$BS$3,0)))/INDEX(Mortality_Matrix!$B$4:$BS$64,MATCH($A121,Mortality_Matrix!$A$4:$A$64,0),MATCH(2056,Mortality_Matrix!$B$3:$BS$3,0))</f>
        <v>2.41404331516987E-010</v>
      </c>
      <c r="AU121" s="27" t="n">
        <f aca="false">(AU55-INDEX(Mortality_Matrix!$B$4:$BS$64,MATCH($A121,Mortality_Matrix!$A$4:$A$64,0),MATCH(2057,Mortality_Matrix!$B$3:$BS$3,0)))/INDEX(Mortality_Matrix!$B$4:$BS$64,MATCH($A121,Mortality_Matrix!$A$4:$A$64,0),MATCH(2057,Mortality_Matrix!$B$3:$BS$3,0))</f>
        <v>2.88996228274714E-010</v>
      </c>
      <c r="AV121" s="27" t="n">
        <f aca="false">(AV55-INDEX(Mortality_Matrix!$B$4:$BS$64,MATCH($A121,Mortality_Matrix!$A$4:$A$64,0),MATCH(2058,Mortality_Matrix!$B$3:$BS$3,0)))/INDEX(Mortality_Matrix!$B$4:$BS$64,MATCH($A121,Mortality_Matrix!$A$4:$A$64,0),MATCH(2058,Mortality_Matrix!$B$3:$BS$3,0))</f>
        <v>3.89433468038846E-010</v>
      </c>
      <c r="AW121" s="27" t="n">
        <f aca="false">(AW55-INDEX(Mortality_Matrix!$B$4:$BS$64,MATCH($A121,Mortality_Matrix!$A$4:$A$64,0),MATCH(2059,Mortality_Matrix!$B$3:$BS$3,0)))/INDEX(Mortality_Matrix!$B$4:$BS$64,MATCH($A121,Mortality_Matrix!$A$4:$A$64,0),MATCH(2059,Mortality_Matrix!$B$3:$BS$3,0))</f>
        <v>2.44232855493485E-010</v>
      </c>
      <c r="AX121" s="27" t="n">
        <f aca="false">(AX55-INDEX(Mortality_Matrix!$B$4:$BS$64,MATCH($A121,Mortality_Matrix!$A$4:$A$64,0),MATCH(2060,Mortality_Matrix!$B$3:$BS$3,0)))/INDEX(Mortality_Matrix!$B$4:$BS$64,MATCH($A121,Mortality_Matrix!$A$4:$A$64,0),MATCH(2060,Mortality_Matrix!$B$3:$BS$3,0))</f>
        <v>2.92324105025791E-010</v>
      </c>
      <c r="AY121" s="27" t="n">
        <f aca="false">(AY55-INDEX(Mortality_Matrix!$B$4:$BS$64,MATCH($A121,Mortality_Matrix!$A$4:$A$64,0),MATCH(2061,Mortality_Matrix!$B$3:$BS$3,0)))/INDEX(Mortality_Matrix!$B$4:$BS$64,MATCH($A121,Mortality_Matrix!$A$4:$A$64,0),MATCH(2061,Mortality_Matrix!$B$3:$BS$3,0))</f>
        <v>-2.18509347551476E-010</v>
      </c>
      <c r="AZ121" s="27" t="n">
        <f aca="false">(AZ55-INDEX(Mortality_Matrix!$B$4:$BS$64,MATCH($A121,Mortality_Matrix!$A$4:$A$64,0),MATCH(2062,Mortality_Matrix!$B$3:$BS$3,0)))/INDEX(Mortality_Matrix!$B$4:$BS$64,MATCH($A121,Mortality_Matrix!$A$4:$A$64,0),MATCH(2062,Mortality_Matrix!$B$3:$BS$3,0))</f>
        <v>2.1537828192178E-010</v>
      </c>
      <c r="BA121" s="27" t="n">
        <f aca="false">(BA55-INDEX(Mortality_Matrix!$B$4:$BS$64,MATCH($A121,Mortality_Matrix!$A$4:$A$64,0),MATCH(2063,Mortality_Matrix!$B$3:$BS$3,0)))/INDEX(Mortality_Matrix!$B$4:$BS$64,MATCH($A121,Mortality_Matrix!$A$4:$A$64,0),MATCH(2063,Mortality_Matrix!$B$3:$BS$3,0))</f>
        <v>-2.39189763832597E-010</v>
      </c>
      <c r="BB121" s="27" t="n">
        <f aca="false">(BB55-INDEX(Mortality_Matrix!$B$4:$BS$64,MATCH($A121,Mortality_Matrix!$A$4:$A$64,0),MATCH(2064,Mortality_Matrix!$B$3:$BS$3,0)))/INDEX(Mortality_Matrix!$B$4:$BS$64,MATCH($A121,Mortality_Matrix!$A$4:$A$64,0),MATCH(2064,Mortality_Matrix!$B$3:$BS$3,0))</f>
        <v>4.05127915972394E-010</v>
      </c>
      <c r="BC121" s="27" t="n">
        <f aca="false">(BC55-INDEX(Mortality_Matrix!$B$4:$BS$64,MATCH($A121,Mortality_Matrix!$A$4:$A$64,0),MATCH(2065,Mortality_Matrix!$B$3:$BS$3,0)))/INDEX(Mortality_Matrix!$B$4:$BS$64,MATCH($A121,Mortality_Matrix!$A$4:$A$64,0),MATCH(2065,Mortality_Matrix!$B$3:$BS$3,0))</f>
        <v>4.33546440016208E-010</v>
      </c>
      <c r="BD121" s="27" t="n">
        <f aca="false">(BD55-INDEX(Mortality_Matrix!$B$4:$BS$64,MATCH($A121,Mortality_Matrix!$A$4:$A$64,0),MATCH(2066,Mortality_Matrix!$B$3:$BS$3,0)))/INDEX(Mortality_Matrix!$B$4:$BS$64,MATCH($A121,Mortality_Matrix!$A$4:$A$64,0),MATCH(2066,Mortality_Matrix!$B$3:$BS$3,0))</f>
        <v>-1.84696995234099E-010</v>
      </c>
      <c r="BE121" s="27" t="n">
        <f aca="false">(BE55-INDEX(Mortality_Matrix!$B$4:$BS$64,MATCH($A121,Mortality_Matrix!$A$4:$A$64,0),MATCH(2067,Mortality_Matrix!$B$3:$BS$3,0)))/INDEX(Mortality_Matrix!$B$4:$BS$64,MATCH($A121,Mortality_Matrix!$A$4:$A$64,0),MATCH(2067,Mortality_Matrix!$B$3:$BS$3,0))</f>
        <v>1.42514389298561E-010</v>
      </c>
      <c r="BF121" s="27" t="n">
        <f aca="false">(BF55-INDEX(Mortality_Matrix!$B$4:$BS$64,MATCH($A121,Mortality_Matrix!$A$4:$A$64,0),MATCH(2068,Mortality_Matrix!$B$3:$BS$3,0)))/INDEX(Mortality_Matrix!$B$4:$BS$64,MATCH($A121,Mortality_Matrix!$A$4:$A$64,0),MATCH(2068,Mortality_Matrix!$B$3:$BS$3,0))</f>
        <v>-3.29586848743471E-010</v>
      </c>
      <c r="BG121" s="27" t="n">
        <f aca="false">(BG55-INDEX(Mortality_Matrix!$B$4:$BS$64,MATCH($A121,Mortality_Matrix!$A$4:$A$64,0),MATCH(2069,Mortality_Matrix!$B$3:$BS$3,0)))/INDEX(Mortality_Matrix!$B$4:$BS$64,MATCH($A121,Mortality_Matrix!$A$4:$A$64,0),MATCH(2069,Mortality_Matrix!$B$3:$BS$3,0))</f>
        <v>-9.64992920028495E-011</v>
      </c>
      <c r="BH121" s="27" t="n">
        <f aca="false">(BH55-INDEX(Mortality_Matrix!$B$4:$BS$64,MATCH($A121,Mortality_Matrix!$A$4:$A$64,0),MATCH(2070,Mortality_Matrix!$B$3:$BS$3,0)))/INDEX(Mortality_Matrix!$B$4:$BS$64,MATCH($A121,Mortality_Matrix!$A$4:$A$64,0),MATCH(2070,Mortality_Matrix!$B$3:$BS$3,0))</f>
        <v>-3.80938290284637E-010</v>
      </c>
      <c r="BI121" s="27" t="n">
        <f aca="false">(BI55-INDEX(Mortality_Matrix!$B$4:$BS$64,MATCH($A121,Mortality_Matrix!$A$4:$A$64,0),MATCH(2071,Mortality_Matrix!$B$3:$BS$3,0)))/INDEX(Mortality_Matrix!$B$4:$BS$64,MATCH($A121,Mortality_Matrix!$A$4:$A$64,0),MATCH(2071,Mortality_Matrix!$B$3:$BS$3,0))</f>
        <v>-3.83364905643175E-010</v>
      </c>
      <c r="BJ121" s="27" t="n">
        <f aca="false">(BJ55-INDEX(Mortality_Matrix!$B$4:$BS$64,MATCH($A121,Mortality_Matrix!$A$4:$A$64,0),MATCH(2072,Mortality_Matrix!$B$3:$BS$3,0)))/INDEX(Mortality_Matrix!$B$4:$BS$64,MATCH($A121,Mortality_Matrix!$A$4:$A$64,0),MATCH(2072,Mortality_Matrix!$B$3:$BS$3,0))</f>
        <v>-3.91541663010001E-010</v>
      </c>
      <c r="BK121" s="27" t="n">
        <f aca="false">(BK55-INDEX(Mortality_Matrix!$B$4:$BS$64,MATCH($A121,Mortality_Matrix!$A$4:$A$64,0),MATCH(2073,Mortality_Matrix!$B$3:$BS$3,0)))/INDEX(Mortality_Matrix!$B$4:$BS$64,MATCH($A121,Mortality_Matrix!$A$4:$A$64,0),MATCH(2073,Mortality_Matrix!$B$3:$BS$3,0))</f>
        <v>7.05297843700798E-011</v>
      </c>
      <c r="BL121" s="27" t="n">
        <f aca="false">(BL55-INDEX(Mortality_Matrix!$B$4:$BS$64,MATCH($A121,Mortality_Matrix!$A$4:$A$64,0),MATCH(2074,Mortality_Matrix!$B$3:$BS$3,0)))/INDEX(Mortality_Matrix!$B$4:$BS$64,MATCH($A121,Mortality_Matrix!$A$4:$A$64,0),MATCH(2074,Mortality_Matrix!$B$3:$BS$3,0))</f>
        <v>4.04471647834597E-011</v>
      </c>
      <c r="BM121" s="27" t="n">
        <f aca="false">(BM55-INDEX(Mortality_Matrix!$B$4:$BS$64,MATCH($A121,Mortality_Matrix!$A$4:$A$64,0),MATCH(2075,Mortality_Matrix!$B$3:$BS$3,0)))/INDEX(Mortality_Matrix!$B$4:$BS$64,MATCH($A121,Mortality_Matrix!$A$4:$A$64,0),MATCH(2075,Mortality_Matrix!$B$3:$BS$3,0))</f>
        <v>5.10065437869728E-011</v>
      </c>
      <c r="BN121" s="27" t="n">
        <f aca="false">(BN55-INDEX(Mortality_Matrix!$B$4:$BS$64,MATCH($A121,Mortality_Matrix!$A$4:$A$64,0),MATCH(2076,Mortality_Matrix!$B$3:$BS$3,0)))/INDEX(Mortality_Matrix!$B$4:$BS$64,MATCH($A121,Mortality_Matrix!$A$4:$A$64,0),MATCH(2076,Mortality_Matrix!$B$3:$BS$3,0))</f>
        <v>-7.70897481782731E-011</v>
      </c>
      <c r="BO121" s="27" t="n">
        <f aca="false">(BO55-INDEX(Mortality_Matrix!$B$4:$BS$64,MATCH($A121,Mortality_Matrix!$A$4:$A$64,0),MATCH(2077,Mortality_Matrix!$B$3:$BS$3,0)))/INDEX(Mortality_Matrix!$B$4:$BS$64,MATCH($A121,Mortality_Matrix!$A$4:$A$64,0),MATCH(2077,Mortality_Matrix!$B$3:$BS$3,0))</f>
        <v>-3.5075535480555E-010</v>
      </c>
      <c r="BP121" s="27" t="n">
        <f aca="false">(BP55-INDEX(Mortality_Matrix!$B$4:$BS$64,MATCH($A121,Mortality_Matrix!$A$4:$A$64,0),MATCH(2078,Mortality_Matrix!$B$3:$BS$3,0)))/INDEX(Mortality_Matrix!$B$4:$BS$64,MATCH($A121,Mortality_Matrix!$A$4:$A$64,0),MATCH(2078,Mortality_Matrix!$B$3:$BS$3,0))</f>
        <v>3.40878166207998E-010</v>
      </c>
      <c r="BQ121" s="27" t="n">
        <f aca="false">(BQ55-INDEX(Mortality_Matrix!$B$4:$BS$64,MATCH($A121,Mortality_Matrix!$A$4:$A$64,0),MATCH(2079,Mortality_Matrix!$B$3:$BS$3,0)))/INDEX(Mortality_Matrix!$B$4:$BS$64,MATCH($A121,Mortality_Matrix!$A$4:$A$64,0),MATCH(2079,Mortality_Matrix!$B$3:$BS$3,0))</f>
        <v>-2.78903949088782E-010</v>
      </c>
      <c r="BR121" s="27" t="n">
        <f aca="false">(BR55-INDEX(Mortality_Matrix!$B$4:$BS$64,MATCH($A121,Mortality_Matrix!$A$4:$A$64,0),MATCH(2080,Mortality_Matrix!$B$3:$BS$3,0)))/INDEX(Mortality_Matrix!$B$4:$BS$64,MATCH($A121,Mortality_Matrix!$A$4:$A$64,0),MATCH(2080,Mortality_Matrix!$B$3:$BS$3,0))</f>
        <v>-4.11794684858001E-010</v>
      </c>
      <c r="BS121" s="27" t="n">
        <f aca="false">(BS55-INDEX(Mortality_Matrix!$B$4:$BS$64,MATCH($A121,Mortality_Matrix!$A$4:$A$64,0),MATCH(2081,Mortality_Matrix!$B$3:$BS$3,0)))/INDEX(Mortality_Matrix!$B$4:$BS$64,MATCH($A121,Mortality_Matrix!$A$4:$A$64,0),MATCH(2081,Mortality_Matrix!$B$3:$BS$3,0))</f>
        <v>2.50446452834452E-010</v>
      </c>
      <c r="BT121" s="27" t="n">
        <f aca="false">(BT55-INDEX(Mortality_Matrix!$B$4:$BS$64,MATCH($A121,Mortality_Matrix!$A$4:$A$64,0),MATCH(2082,Mortality_Matrix!$B$3:$BS$3,0)))/INDEX(Mortality_Matrix!$B$4:$BS$64,MATCH($A121,Mortality_Matrix!$A$4:$A$64,0),MATCH(2082,Mortality_Matrix!$B$3:$BS$3,0))</f>
        <v>2.87360959009273E-010</v>
      </c>
      <c r="BU121" s="27" t="n">
        <f aca="false">(BU55-INDEX(Mortality_Matrix!$B$4:$BS$64,MATCH($A121,Mortality_Matrix!$A$4:$A$64,0),MATCH(2083,Mortality_Matrix!$B$3:$BS$3,0)))/INDEX(Mortality_Matrix!$B$4:$BS$64,MATCH($A121,Mortality_Matrix!$A$4:$A$64,0),MATCH(2083,Mortality_Matrix!$B$3:$BS$3,0))</f>
        <v>-2.44757465243282E-010</v>
      </c>
      <c r="BV121" s="27" t="n">
        <f aca="false">(BV55-INDEX(Mortality_Matrix!$B$4:$BS$64,MATCH($A121,Mortality_Matrix!$A$4:$A$64,0),MATCH(2084,Mortality_Matrix!$B$3:$BS$3,0)))/INDEX(Mortality_Matrix!$B$4:$BS$64,MATCH($A121,Mortality_Matrix!$A$4:$A$64,0),MATCH(2084,Mortality_Matrix!$B$3:$BS$3,0))</f>
        <v>1.14326898242855E-010</v>
      </c>
      <c r="BW121" s="27" t="n">
        <f aca="false">(BW55-INDEX(Mortality_Matrix!$B$4:$BS$64,MATCH($A121,Mortality_Matrix!$A$4:$A$64,0),MATCH(2085,Mortality_Matrix!$B$3:$BS$3,0)))/INDEX(Mortality_Matrix!$B$4:$BS$64,MATCH($A121,Mortality_Matrix!$A$4:$A$64,0),MATCH(2085,Mortality_Matrix!$B$3:$BS$3,0))</f>
        <v>-5.58008961479492E-010</v>
      </c>
      <c r="BX121" s="27" t="n">
        <f aca="false">(BX55-INDEX(Mortality_Matrix!$B$4:$BS$64,MATCH($A121,Mortality_Matrix!$A$4:$A$64,0),MATCH(2086,Mortality_Matrix!$B$3:$BS$3,0)))/INDEX(Mortality_Matrix!$B$4:$BS$64,MATCH($A121,Mortality_Matrix!$A$4:$A$64,0),MATCH(2086,Mortality_Matrix!$B$3:$BS$3,0))</f>
        <v>4.20572523979228E-010</v>
      </c>
      <c r="BY121" s="27" t="n">
        <f aca="false">(BY55-INDEX(Mortality_Matrix!$B$4:$BS$64,MATCH($A121,Mortality_Matrix!$A$4:$A$64,0),MATCH(2087,Mortality_Matrix!$B$3:$BS$3,0)))/INDEX(Mortality_Matrix!$B$4:$BS$64,MATCH($A121,Mortality_Matrix!$A$4:$A$64,0),MATCH(2087,Mortality_Matrix!$B$3:$BS$3,0))</f>
        <v>-3.90182524748656E-010</v>
      </c>
      <c r="BZ121" s="27" t="n">
        <f aca="false">(BZ55-INDEX(Mortality_Matrix!$B$4:$BS$64,MATCH($A121,Mortality_Matrix!$A$4:$A$64,0),MATCH(2088,Mortality_Matrix!$B$3:$BS$3,0)))/INDEX(Mortality_Matrix!$B$4:$BS$64,MATCH($A121,Mortality_Matrix!$A$4:$A$64,0),MATCH(2088,Mortality_Matrix!$B$3:$BS$3,0))</f>
        <v>3.30682300093675E-010</v>
      </c>
      <c r="CA121" s="27" t="n">
        <f aca="false">(CA55-INDEX(Mortality_Matrix!$B$4:$BS$64,MATCH($A121,Mortality_Matrix!$A$4:$A$64,0),MATCH(2089,Mortality_Matrix!$B$3:$BS$3,0)))/INDEX(Mortality_Matrix!$B$4:$BS$64,MATCH($A121,Mortality_Matrix!$A$4:$A$64,0),MATCH(2089,Mortality_Matrix!$B$3:$BS$3,0))</f>
        <v>5.90312689752786E-010</v>
      </c>
      <c r="CB121" s="27" t="n">
        <f aca="false">(CB55-INDEX(Mortality_Matrix!$B$4:$BS$64,MATCH($A121,Mortality_Matrix!$A$4:$A$64,0),MATCH(2090,Mortality_Matrix!$B$3:$BS$3,0)))/INDEX(Mortality_Matrix!$B$4:$BS$64,MATCH($A121,Mortality_Matrix!$A$4:$A$64,0),MATCH(2090,Mortality_Matrix!$B$3:$BS$3,0))</f>
        <v>8.92430639324713E-011</v>
      </c>
      <c r="CC121" s="27" t="n">
        <f aca="false">(CC55-INDEX(Mortality_Matrix!$B$4:$BS$64,MATCH($A121,Mortality_Matrix!$A$4:$A$64,0),MATCH(2091,Mortality_Matrix!$B$3:$BS$3,0)))/INDEX(Mortality_Matrix!$B$4:$BS$64,MATCH($A121,Mortality_Matrix!$A$4:$A$64,0),MATCH(2091,Mortality_Matrix!$B$3:$BS$3,0))</f>
        <v>1.61103442954305E-010</v>
      </c>
    </row>
    <row r="122" customFormat="false" ht="15" hidden="false" customHeight="true" outlineLevel="0" collapsed="false">
      <c r="A122" s="3" t="n">
        <v>93</v>
      </c>
      <c r="L122" s="27" t="n">
        <f aca="false">(L56-INDEX(Mortality_Matrix!$B$4:$BS$64,MATCH($A122,Mortality_Matrix!$A$4:$A$64,0),MATCH(2022,Mortality_Matrix!$B$3:$BS$3,0)))/INDEX(Mortality_Matrix!$B$4:$BS$64,MATCH($A122,Mortality_Matrix!$A$4:$A$64,0),MATCH(2022,Mortality_Matrix!$B$3:$BS$3,0))</f>
        <v>1.22945926940894E-010</v>
      </c>
      <c r="M122" s="27" t="n">
        <f aca="false">(M56-INDEX(Mortality_Matrix!$B$4:$BS$64,MATCH($A122,Mortality_Matrix!$A$4:$A$64,0),MATCH(2023,Mortality_Matrix!$B$3:$BS$3,0)))/INDEX(Mortality_Matrix!$B$4:$BS$64,MATCH($A122,Mortality_Matrix!$A$4:$A$64,0),MATCH(2023,Mortality_Matrix!$B$3:$BS$3,0))</f>
        <v>-1.31819607401475E-010</v>
      </c>
      <c r="N122" s="27" t="n">
        <f aca="false">(N56-INDEX(Mortality_Matrix!$B$4:$BS$64,MATCH($A122,Mortality_Matrix!$A$4:$A$64,0),MATCH(2024,Mortality_Matrix!$B$3:$BS$3,0)))/INDEX(Mortality_Matrix!$B$4:$BS$64,MATCH($A122,Mortality_Matrix!$A$4:$A$64,0),MATCH(2024,Mortality_Matrix!$B$3:$BS$3,0))</f>
        <v>-1.78207586014587E-010</v>
      </c>
      <c r="O122" s="27" t="n">
        <f aca="false">(O56-INDEX(Mortality_Matrix!$B$4:$BS$64,MATCH($A122,Mortality_Matrix!$A$4:$A$64,0),MATCH(2025,Mortality_Matrix!$B$3:$BS$3,0)))/INDEX(Mortality_Matrix!$B$4:$BS$64,MATCH($A122,Mortality_Matrix!$A$4:$A$64,0),MATCH(2025,Mortality_Matrix!$B$3:$BS$3,0))</f>
        <v>-1.75830818986839E-010</v>
      </c>
      <c r="P122" s="27" t="n">
        <f aca="false">(P56-INDEX(Mortality_Matrix!$B$4:$BS$64,MATCH($A122,Mortality_Matrix!$A$4:$A$64,0),MATCH(2026,Mortality_Matrix!$B$3:$BS$3,0)))/INDEX(Mortality_Matrix!$B$4:$BS$64,MATCH($A122,Mortality_Matrix!$A$4:$A$64,0),MATCH(2026,Mortality_Matrix!$B$3:$BS$3,0))</f>
        <v>2.70026956259713E-011</v>
      </c>
      <c r="Q122" s="27" t="n">
        <f aca="false">(Q56-INDEX(Mortality_Matrix!$B$4:$BS$64,MATCH($A122,Mortality_Matrix!$A$4:$A$64,0),MATCH(2027,Mortality_Matrix!$B$3:$BS$3,0)))/INDEX(Mortality_Matrix!$B$4:$BS$64,MATCH($A122,Mortality_Matrix!$A$4:$A$64,0),MATCH(2027,Mortality_Matrix!$B$3:$BS$3,0))</f>
        <v>-1.43827387392508E-010</v>
      </c>
      <c r="R122" s="27" t="n">
        <f aca="false">(R56-INDEX(Mortality_Matrix!$B$4:$BS$64,MATCH($A122,Mortality_Matrix!$A$4:$A$64,0),MATCH(2028,Mortality_Matrix!$B$3:$BS$3,0)))/INDEX(Mortality_Matrix!$B$4:$BS$64,MATCH($A122,Mortality_Matrix!$A$4:$A$64,0),MATCH(2028,Mortality_Matrix!$B$3:$BS$3,0))</f>
        <v>1.44301840250417E-010</v>
      </c>
      <c r="S122" s="27" t="n">
        <f aca="false">(S56-INDEX(Mortality_Matrix!$B$4:$BS$64,MATCH($A122,Mortality_Matrix!$A$4:$A$64,0),MATCH(2029,Mortality_Matrix!$B$3:$BS$3,0)))/INDEX(Mortality_Matrix!$B$4:$BS$64,MATCH($A122,Mortality_Matrix!$A$4:$A$64,0),MATCH(2029,Mortality_Matrix!$B$3:$BS$3,0))</f>
        <v>-5.89510180982688E-011</v>
      </c>
      <c r="T122" s="27" t="n">
        <f aca="false">(T56-INDEX(Mortality_Matrix!$B$4:$BS$64,MATCH($A122,Mortality_Matrix!$A$4:$A$64,0),MATCH(2030,Mortality_Matrix!$B$3:$BS$3,0)))/INDEX(Mortality_Matrix!$B$4:$BS$64,MATCH($A122,Mortality_Matrix!$A$4:$A$64,0),MATCH(2030,Mortality_Matrix!$B$3:$BS$3,0))</f>
        <v>-2.53278797783776E-010</v>
      </c>
      <c r="U122" s="27" t="n">
        <f aca="false">(U56-INDEX(Mortality_Matrix!$B$4:$BS$64,MATCH($A122,Mortality_Matrix!$A$4:$A$64,0),MATCH(2031,Mortality_Matrix!$B$3:$BS$3,0)))/INDEX(Mortality_Matrix!$B$4:$BS$64,MATCH($A122,Mortality_Matrix!$A$4:$A$64,0),MATCH(2031,Mortality_Matrix!$B$3:$BS$3,0))</f>
        <v>-1.27741912437964E-011</v>
      </c>
      <c r="V122" s="27" t="n">
        <f aca="false">(V56-INDEX(Mortality_Matrix!$B$4:$BS$64,MATCH($A122,Mortality_Matrix!$A$4:$A$64,0),MATCH(2032,Mortality_Matrix!$B$3:$BS$3,0)))/INDEX(Mortality_Matrix!$B$4:$BS$64,MATCH($A122,Mortality_Matrix!$A$4:$A$64,0),MATCH(2032,Mortality_Matrix!$B$3:$BS$3,0))</f>
        <v>2.88747191195644E-010</v>
      </c>
      <c r="W122" s="27" t="n">
        <f aca="false">(W56-INDEX(Mortality_Matrix!$B$4:$BS$64,MATCH($A122,Mortality_Matrix!$A$4:$A$64,0),MATCH(2033,Mortality_Matrix!$B$3:$BS$3,0)))/INDEX(Mortality_Matrix!$B$4:$BS$64,MATCH($A122,Mortality_Matrix!$A$4:$A$64,0),MATCH(2033,Mortality_Matrix!$B$3:$BS$3,0))</f>
        <v>-6.91576725367321E-011</v>
      </c>
      <c r="X122" s="27" t="n">
        <f aca="false">(X56-INDEX(Mortality_Matrix!$B$4:$BS$64,MATCH($A122,Mortality_Matrix!$A$4:$A$64,0),MATCH(2034,Mortality_Matrix!$B$3:$BS$3,0)))/INDEX(Mortality_Matrix!$B$4:$BS$64,MATCH($A122,Mortality_Matrix!$A$4:$A$64,0),MATCH(2034,Mortality_Matrix!$B$3:$BS$3,0))</f>
        <v>1.8182193436086E-010</v>
      </c>
      <c r="Y122" s="27" t="n">
        <f aca="false">(Y56-INDEX(Mortality_Matrix!$B$4:$BS$64,MATCH($A122,Mortality_Matrix!$A$4:$A$64,0),MATCH(2035,Mortality_Matrix!$B$3:$BS$3,0)))/INDEX(Mortality_Matrix!$B$4:$BS$64,MATCH($A122,Mortality_Matrix!$A$4:$A$64,0),MATCH(2035,Mortality_Matrix!$B$3:$BS$3,0))</f>
        <v>-7.96016472613944E-011</v>
      </c>
      <c r="Z122" s="27" t="n">
        <f aca="false">(Z56-INDEX(Mortality_Matrix!$B$4:$BS$64,MATCH($A122,Mortality_Matrix!$A$4:$A$64,0),MATCH(2036,Mortality_Matrix!$B$3:$BS$3,0)))/INDEX(Mortality_Matrix!$B$4:$BS$64,MATCH($A122,Mortality_Matrix!$A$4:$A$64,0),MATCH(2036,Mortality_Matrix!$B$3:$BS$3,0))</f>
        <v>-1.94648877861809E-010</v>
      </c>
      <c r="AA122" s="27" t="n">
        <f aca="false">(AA56-INDEX(Mortality_Matrix!$B$4:$BS$64,MATCH($A122,Mortality_Matrix!$A$4:$A$64,0),MATCH(2037,Mortality_Matrix!$B$3:$BS$3,0)))/INDEX(Mortality_Matrix!$B$4:$BS$64,MATCH($A122,Mortality_Matrix!$A$4:$A$64,0),MATCH(2037,Mortality_Matrix!$B$3:$BS$3,0))</f>
        <v>-2.93949813583282E-010</v>
      </c>
      <c r="AB122" s="27" t="n">
        <f aca="false">(AB56-INDEX(Mortality_Matrix!$B$4:$BS$64,MATCH($A122,Mortality_Matrix!$A$4:$A$64,0),MATCH(2038,Mortality_Matrix!$B$3:$BS$3,0)))/INDEX(Mortality_Matrix!$B$4:$BS$64,MATCH($A122,Mortality_Matrix!$A$4:$A$64,0),MATCH(2038,Mortality_Matrix!$B$3:$BS$3,0))</f>
        <v>-1.68930463489307E-010</v>
      </c>
      <c r="AC122" s="27" t="n">
        <f aca="false">(AC56-INDEX(Mortality_Matrix!$B$4:$BS$64,MATCH($A122,Mortality_Matrix!$A$4:$A$64,0),MATCH(2039,Mortality_Matrix!$B$3:$BS$3,0)))/INDEX(Mortality_Matrix!$B$4:$BS$64,MATCH($A122,Mortality_Matrix!$A$4:$A$64,0),MATCH(2039,Mortality_Matrix!$B$3:$BS$3,0))</f>
        <v>-2.01419788843977E-011</v>
      </c>
      <c r="AD122" s="27" t="n">
        <f aca="false">(AD56-INDEX(Mortality_Matrix!$B$4:$BS$64,MATCH($A122,Mortality_Matrix!$A$4:$A$64,0),MATCH(2040,Mortality_Matrix!$B$3:$BS$3,0)))/INDEX(Mortality_Matrix!$B$4:$BS$64,MATCH($A122,Mortality_Matrix!$A$4:$A$64,0),MATCH(2040,Mortality_Matrix!$B$3:$BS$3,0))</f>
        <v>6.16487831152977E-011</v>
      </c>
      <c r="AE122" s="27" t="n">
        <f aca="false">(AE56-INDEX(Mortality_Matrix!$B$4:$BS$64,MATCH($A122,Mortality_Matrix!$A$4:$A$64,0),MATCH(2041,Mortality_Matrix!$B$3:$BS$3,0)))/INDEX(Mortality_Matrix!$B$4:$BS$64,MATCH($A122,Mortality_Matrix!$A$4:$A$64,0),MATCH(2041,Mortality_Matrix!$B$3:$BS$3,0))</f>
        <v>-1.48833711083933E-011</v>
      </c>
      <c r="AF122" s="27" t="n">
        <f aca="false">(AF56-INDEX(Mortality_Matrix!$B$4:$BS$64,MATCH($A122,Mortality_Matrix!$A$4:$A$64,0),MATCH(2042,Mortality_Matrix!$B$3:$BS$3,0)))/INDEX(Mortality_Matrix!$B$4:$BS$64,MATCH($A122,Mortality_Matrix!$A$4:$A$64,0),MATCH(2042,Mortality_Matrix!$B$3:$BS$3,0))</f>
        <v>2.12255302911899E-010</v>
      </c>
      <c r="AG122" s="27" t="n">
        <f aca="false">(AG56-INDEX(Mortality_Matrix!$B$4:$BS$64,MATCH($A122,Mortality_Matrix!$A$4:$A$64,0),MATCH(2043,Mortality_Matrix!$B$3:$BS$3,0)))/INDEX(Mortality_Matrix!$B$4:$BS$64,MATCH($A122,Mortality_Matrix!$A$4:$A$64,0),MATCH(2043,Mortality_Matrix!$B$3:$BS$3,0))</f>
        <v>3.16908816481248E-010</v>
      </c>
      <c r="AH122" s="27" t="n">
        <f aca="false">(AH56-INDEX(Mortality_Matrix!$B$4:$BS$64,MATCH($A122,Mortality_Matrix!$A$4:$A$64,0),MATCH(2044,Mortality_Matrix!$B$3:$BS$3,0)))/INDEX(Mortality_Matrix!$B$4:$BS$64,MATCH($A122,Mortality_Matrix!$A$4:$A$64,0),MATCH(2044,Mortality_Matrix!$B$3:$BS$3,0))</f>
        <v>1.90112499825276E-010</v>
      </c>
      <c r="AI122" s="27" t="n">
        <f aca="false">(AI56-INDEX(Mortality_Matrix!$B$4:$BS$64,MATCH($A122,Mortality_Matrix!$A$4:$A$64,0),MATCH(2045,Mortality_Matrix!$B$3:$BS$3,0)))/INDEX(Mortality_Matrix!$B$4:$BS$64,MATCH($A122,Mortality_Matrix!$A$4:$A$64,0),MATCH(2045,Mortality_Matrix!$B$3:$BS$3,0))</f>
        <v>-5.9321794730023E-011</v>
      </c>
      <c r="AJ122" s="27" t="n">
        <f aca="false">(AJ56-INDEX(Mortality_Matrix!$B$4:$BS$64,MATCH($A122,Mortality_Matrix!$A$4:$A$64,0),MATCH(2046,Mortality_Matrix!$B$3:$BS$3,0)))/INDEX(Mortality_Matrix!$B$4:$BS$64,MATCH($A122,Mortality_Matrix!$A$4:$A$64,0),MATCH(2046,Mortality_Matrix!$B$3:$BS$3,0))</f>
        <v>-2.09686938677915E-010</v>
      </c>
      <c r="AK122" s="27" t="n">
        <f aca="false">(AK56-INDEX(Mortality_Matrix!$B$4:$BS$64,MATCH($A122,Mortality_Matrix!$A$4:$A$64,0),MATCH(2047,Mortality_Matrix!$B$3:$BS$3,0)))/INDEX(Mortality_Matrix!$B$4:$BS$64,MATCH($A122,Mortality_Matrix!$A$4:$A$64,0),MATCH(2047,Mortality_Matrix!$B$3:$BS$3,0))</f>
        <v>-3.68963545799029E-011</v>
      </c>
      <c r="AL122" s="27" t="n">
        <f aca="false">(AL56-INDEX(Mortality_Matrix!$B$4:$BS$64,MATCH($A122,Mortality_Matrix!$A$4:$A$64,0),MATCH(2048,Mortality_Matrix!$B$3:$BS$3,0)))/INDEX(Mortality_Matrix!$B$4:$BS$64,MATCH($A122,Mortality_Matrix!$A$4:$A$64,0),MATCH(2048,Mortality_Matrix!$B$3:$BS$3,0))</f>
        <v>-1.43349264311081E-010</v>
      </c>
      <c r="AM122" s="27" t="n">
        <f aca="false">(AM56-INDEX(Mortality_Matrix!$B$4:$BS$64,MATCH($A122,Mortality_Matrix!$A$4:$A$64,0),MATCH(2049,Mortality_Matrix!$B$3:$BS$3,0)))/INDEX(Mortality_Matrix!$B$4:$BS$64,MATCH($A122,Mortality_Matrix!$A$4:$A$64,0),MATCH(2049,Mortality_Matrix!$B$3:$BS$3,0))</f>
        <v>4.26674644941085E-011</v>
      </c>
      <c r="AN122" s="27" t="n">
        <f aca="false">(AN56-INDEX(Mortality_Matrix!$B$4:$BS$64,MATCH($A122,Mortality_Matrix!$A$4:$A$64,0),MATCH(2050,Mortality_Matrix!$B$3:$BS$3,0)))/INDEX(Mortality_Matrix!$B$4:$BS$64,MATCH($A122,Mortality_Matrix!$A$4:$A$64,0),MATCH(2050,Mortality_Matrix!$B$3:$BS$3,0))</f>
        <v>3.00125489289341E-011</v>
      </c>
      <c r="AO122" s="27" t="n">
        <f aca="false">(AO56-INDEX(Mortality_Matrix!$B$4:$BS$64,MATCH($A122,Mortality_Matrix!$A$4:$A$64,0),MATCH(2051,Mortality_Matrix!$B$3:$BS$3,0)))/INDEX(Mortality_Matrix!$B$4:$BS$64,MATCH($A122,Mortality_Matrix!$A$4:$A$64,0),MATCH(2051,Mortality_Matrix!$B$3:$BS$3,0))</f>
        <v>2.97476836710879E-010</v>
      </c>
      <c r="AP122" s="27" t="n">
        <f aca="false">(AP56-INDEX(Mortality_Matrix!$B$4:$BS$64,MATCH($A122,Mortality_Matrix!$A$4:$A$64,0),MATCH(2052,Mortality_Matrix!$B$3:$BS$3,0)))/INDEX(Mortality_Matrix!$B$4:$BS$64,MATCH($A122,Mortality_Matrix!$A$4:$A$64,0),MATCH(2052,Mortality_Matrix!$B$3:$BS$3,0))</f>
        <v>9.76870667380306E-013</v>
      </c>
      <c r="AQ122" s="27" t="n">
        <f aca="false">(AQ56-INDEX(Mortality_Matrix!$B$4:$BS$64,MATCH($A122,Mortality_Matrix!$A$4:$A$64,0),MATCH(2053,Mortality_Matrix!$B$3:$BS$3,0)))/INDEX(Mortality_Matrix!$B$4:$BS$64,MATCH($A122,Mortality_Matrix!$A$4:$A$64,0),MATCH(2053,Mortality_Matrix!$B$3:$BS$3,0))</f>
        <v>-2.11277053208817E-010</v>
      </c>
      <c r="AR122" s="27" t="n">
        <f aca="false">(AR56-INDEX(Mortality_Matrix!$B$4:$BS$64,MATCH($A122,Mortality_Matrix!$A$4:$A$64,0),MATCH(2054,Mortality_Matrix!$B$3:$BS$3,0)))/INDEX(Mortality_Matrix!$B$4:$BS$64,MATCH($A122,Mortality_Matrix!$A$4:$A$64,0),MATCH(2054,Mortality_Matrix!$B$3:$BS$3,0))</f>
        <v>2.47309056205916E-010</v>
      </c>
      <c r="AS122" s="27" t="n">
        <f aca="false">(AS56-INDEX(Mortality_Matrix!$B$4:$BS$64,MATCH($A122,Mortality_Matrix!$A$4:$A$64,0),MATCH(2055,Mortality_Matrix!$B$3:$BS$3,0)))/INDEX(Mortality_Matrix!$B$4:$BS$64,MATCH($A122,Mortality_Matrix!$A$4:$A$64,0),MATCH(2055,Mortality_Matrix!$B$3:$BS$3,0))</f>
        <v>2.50524376303616E-010</v>
      </c>
      <c r="AT122" s="27" t="n">
        <f aca="false">(AT56-INDEX(Mortality_Matrix!$B$4:$BS$64,MATCH($A122,Mortality_Matrix!$A$4:$A$64,0),MATCH(2056,Mortality_Matrix!$B$3:$BS$3,0)))/INDEX(Mortality_Matrix!$B$4:$BS$64,MATCH($A122,Mortality_Matrix!$A$4:$A$64,0),MATCH(2056,Mortality_Matrix!$B$3:$BS$3,0))</f>
        <v>-1.51974277232874E-010</v>
      </c>
      <c r="AU122" s="27" t="n">
        <f aca="false">(AU56-INDEX(Mortality_Matrix!$B$4:$BS$64,MATCH($A122,Mortality_Matrix!$A$4:$A$64,0),MATCH(2057,Mortality_Matrix!$B$3:$BS$3,0)))/INDEX(Mortality_Matrix!$B$4:$BS$64,MATCH($A122,Mortality_Matrix!$A$4:$A$64,0),MATCH(2057,Mortality_Matrix!$B$3:$BS$3,0))</f>
        <v>2.10913024519007E-010</v>
      </c>
      <c r="AV122" s="27" t="n">
        <f aca="false">(AV56-INDEX(Mortality_Matrix!$B$4:$BS$64,MATCH($A122,Mortality_Matrix!$A$4:$A$64,0),MATCH(2058,Mortality_Matrix!$B$3:$BS$3,0)))/INDEX(Mortality_Matrix!$B$4:$BS$64,MATCH($A122,Mortality_Matrix!$A$4:$A$64,0),MATCH(2058,Mortality_Matrix!$B$3:$BS$3,0))</f>
        <v>-3.74079377036563E-010</v>
      </c>
      <c r="AW122" s="27" t="n">
        <f aca="false">(AW56-INDEX(Mortality_Matrix!$B$4:$BS$64,MATCH($A122,Mortality_Matrix!$A$4:$A$64,0),MATCH(2059,Mortality_Matrix!$B$3:$BS$3,0)))/INDEX(Mortality_Matrix!$B$4:$BS$64,MATCH($A122,Mortality_Matrix!$A$4:$A$64,0),MATCH(2059,Mortality_Matrix!$B$3:$BS$3,0))</f>
        <v>-3.89871686813381E-010</v>
      </c>
      <c r="AX122" s="27" t="n">
        <f aca="false">(AX56-INDEX(Mortality_Matrix!$B$4:$BS$64,MATCH($A122,Mortality_Matrix!$A$4:$A$64,0),MATCH(2060,Mortality_Matrix!$B$3:$BS$3,0)))/INDEX(Mortality_Matrix!$B$4:$BS$64,MATCH($A122,Mortality_Matrix!$A$4:$A$64,0),MATCH(2060,Mortality_Matrix!$B$3:$BS$3,0))</f>
        <v>1.28108409074452E-010</v>
      </c>
      <c r="AY122" s="27" t="n">
        <f aca="false">(AY56-INDEX(Mortality_Matrix!$B$4:$BS$64,MATCH($A122,Mortality_Matrix!$A$4:$A$64,0),MATCH(2061,Mortality_Matrix!$B$3:$BS$3,0)))/INDEX(Mortality_Matrix!$B$4:$BS$64,MATCH($A122,Mortality_Matrix!$A$4:$A$64,0),MATCH(2061,Mortality_Matrix!$B$3:$BS$3,0))</f>
        <v>2.08218081892028E-010</v>
      </c>
      <c r="AZ122" s="27" t="n">
        <f aca="false">(AZ56-INDEX(Mortality_Matrix!$B$4:$BS$64,MATCH($A122,Mortality_Matrix!$A$4:$A$64,0),MATCH(2062,Mortality_Matrix!$B$3:$BS$3,0)))/INDEX(Mortality_Matrix!$B$4:$BS$64,MATCH($A122,Mortality_Matrix!$A$4:$A$64,0),MATCH(2062,Mortality_Matrix!$B$3:$BS$3,0))</f>
        <v>2.45724782188505E-010</v>
      </c>
      <c r="BA122" s="27" t="n">
        <f aca="false">(BA56-INDEX(Mortality_Matrix!$B$4:$BS$64,MATCH($A122,Mortality_Matrix!$A$4:$A$64,0),MATCH(2063,Mortality_Matrix!$B$3:$BS$3,0)))/INDEX(Mortality_Matrix!$B$4:$BS$64,MATCH($A122,Mortality_Matrix!$A$4:$A$64,0),MATCH(2063,Mortality_Matrix!$B$3:$BS$3,0))</f>
        <v>2.96082752201296E-010</v>
      </c>
      <c r="BB122" s="27" t="n">
        <f aca="false">(BB56-INDEX(Mortality_Matrix!$B$4:$BS$64,MATCH($A122,Mortality_Matrix!$A$4:$A$64,0),MATCH(2064,Mortality_Matrix!$B$3:$BS$3,0)))/INDEX(Mortality_Matrix!$B$4:$BS$64,MATCH($A122,Mortality_Matrix!$A$4:$A$64,0),MATCH(2064,Mortality_Matrix!$B$3:$BS$3,0))</f>
        <v>-5.92156589965879E-011</v>
      </c>
      <c r="BC122" s="27" t="n">
        <f aca="false">(BC56-INDEX(Mortality_Matrix!$B$4:$BS$64,MATCH($A122,Mortality_Matrix!$A$4:$A$64,0),MATCH(2065,Mortality_Matrix!$B$3:$BS$3,0)))/INDEX(Mortality_Matrix!$B$4:$BS$64,MATCH($A122,Mortality_Matrix!$A$4:$A$64,0),MATCH(2065,Mortality_Matrix!$B$3:$BS$3,0))</f>
        <v>-1.56928644638158E-010</v>
      </c>
      <c r="BD122" s="27" t="n">
        <f aca="false">(BD56-INDEX(Mortality_Matrix!$B$4:$BS$64,MATCH($A122,Mortality_Matrix!$A$4:$A$64,0),MATCH(2066,Mortality_Matrix!$B$3:$BS$3,0)))/INDEX(Mortality_Matrix!$B$4:$BS$64,MATCH($A122,Mortality_Matrix!$A$4:$A$64,0),MATCH(2066,Mortality_Matrix!$B$3:$BS$3,0))</f>
        <v>-2.59874709807592E-011</v>
      </c>
      <c r="BE122" s="27" t="n">
        <f aca="false">(BE56-INDEX(Mortality_Matrix!$B$4:$BS$64,MATCH($A122,Mortality_Matrix!$A$4:$A$64,0),MATCH(2067,Mortality_Matrix!$B$3:$BS$3,0)))/INDEX(Mortality_Matrix!$B$4:$BS$64,MATCH($A122,Mortality_Matrix!$A$4:$A$64,0),MATCH(2067,Mortality_Matrix!$B$3:$BS$3,0))</f>
        <v>3.2569048404164E-010</v>
      </c>
      <c r="BF122" s="27" t="n">
        <f aca="false">(BF56-INDEX(Mortality_Matrix!$B$4:$BS$64,MATCH($A122,Mortality_Matrix!$A$4:$A$64,0),MATCH(2068,Mortality_Matrix!$B$3:$BS$3,0)))/INDEX(Mortality_Matrix!$B$4:$BS$64,MATCH($A122,Mortality_Matrix!$A$4:$A$64,0),MATCH(2068,Mortality_Matrix!$B$3:$BS$3,0))</f>
        <v>-7.8594510062557E-011</v>
      </c>
      <c r="BG122" s="27" t="n">
        <f aca="false">(BG56-INDEX(Mortality_Matrix!$B$4:$BS$64,MATCH($A122,Mortality_Matrix!$A$4:$A$64,0),MATCH(2069,Mortality_Matrix!$B$3:$BS$3,0)))/INDEX(Mortality_Matrix!$B$4:$BS$64,MATCH($A122,Mortality_Matrix!$A$4:$A$64,0),MATCH(2069,Mortality_Matrix!$B$3:$BS$3,0))</f>
        <v>1.84397853844715E-010</v>
      </c>
      <c r="BH122" s="27" t="n">
        <f aca="false">(BH56-INDEX(Mortality_Matrix!$B$4:$BS$64,MATCH($A122,Mortality_Matrix!$A$4:$A$64,0),MATCH(2070,Mortality_Matrix!$B$3:$BS$3,0)))/INDEX(Mortality_Matrix!$B$4:$BS$64,MATCH($A122,Mortality_Matrix!$A$4:$A$64,0),MATCH(2070,Mortality_Matrix!$B$3:$BS$3,0))</f>
        <v>-4.10575785004107E-010</v>
      </c>
      <c r="BI122" s="27" t="n">
        <f aca="false">(BI56-INDEX(Mortality_Matrix!$B$4:$BS$64,MATCH($A122,Mortality_Matrix!$A$4:$A$64,0),MATCH(2071,Mortality_Matrix!$B$3:$BS$3,0)))/INDEX(Mortality_Matrix!$B$4:$BS$64,MATCH($A122,Mortality_Matrix!$A$4:$A$64,0),MATCH(2071,Mortality_Matrix!$B$3:$BS$3,0))</f>
        <v>-2.92772285521695E-010</v>
      </c>
      <c r="BJ122" s="27" t="n">
        <f aca="false">(BJ56-INDEX(Mortality_Matrix!$B$4:$BS$64,MATCH($A122,Mortality_Matrix!$A$4:$A$64,0),MATCH(2072,Mortality_Matrix!$B$3:$BS$3,0)))/INDEX(Mortality_Matrix!$B$4:$BS$64,MATCH($A122,Mortality_Matrix!$A$4:$A$64,0),MATCH(2072,Mortality_Matrix!$B$3:$BS$3,0))</f>
        <v>-2.18409064464286E-010</v>
      </c>
      <c r="BK122" s="27" t="n">
        <f aca="false">(BK56-INDEX(Mortality_Matrix!$B$4:$BS$64,MATCH($A122,Mortality_Matrix!$A$4:$A$64,0),MATCH(2073,Mortality_Matrix!$B$3:$BS$3,0)))/INDEX(Mortality_Matrix!$B$4:$BS$64,MATCH($A122,Mortality_Matrix!$A$4:$A$64,0),MATCH(2073,Mortality_Matrix!$B$3:$BS$3,0))</f>
        <v>1.74363634132369E-010</v>
      </c>
      <c r="BL122" s="27" t="n">
        <f aca="false">(BL56-INDEX(Mortality_Matrix!$B$4:$BS$64,MATCH($A122,Mortality_Matrix!$A$4:$A$64,0),MATCH(2074,Mortality_Matrix!$B$3:$BS$3,0)))/INDEX(Mortality_Matrix!$B$4:$BS$64,MATCH($A122,Mortality_Matrix!$A$4:$A$64,0),MATCH(2074,Mortality_Matrix!$B$3:$BS$3,0))</f>
        <v>4.47282265333235E-010</v>
      </c>
      <c r="BM122" s="27" t="n">
        <f aca="false">(BM56-INDEX(Mortality_Matrix!$B$4:$BS$64,MATCH($A122,Mortality_Matrix!$A$4:$A$64,0),MATCH(2075,Mortality_Matrix!$B$3:$BS$3,0)))/INDEX(Mortality_Matrix!$B$4:$BS$64,MATCH($A122,Mortality_Matrix!$A$4:$A$64,0),MATCH(2075,Mortality_Matrix!$B$3:$BS$3,0))</f>
        <v>1.43921733897431E-010</v>
      </c>
      <c r="BN122" s="27" t="n">
        <f aca="false">(BN56-INDEX(Mortality_Matrix!$B$4:$BS$64,MATCH($A122,Mortality_Matrix!$A$4:$A$64,0),MATCH(2076,Mortality_Matrix!$B$3:$BS$3,0)))/INDEX(Mortality_Matrix!$B$4:$BS$64,MATCH($A122,Mortality_Matrix!$A$4:$A$64,0),MATCH(2076,Mortality_Matrix!$B$3:$BS$3,0))</f>
        <v>-3.77523267968092E-010</v>
      </c>
      <c r="BO122" s="27" t="n">
        <f aca="false">(BO56-INDEX(Mortality_Matrix!$B$4:$BS$64,MATCH($A122,Mortality_Matrix!$A$4:$A$64,0),MATCH(2077,Mortality_Matrix!$B$3:$BS$3,0)))/INDEX(Mortality_Matrix!$B$4:$BS$64,MATCH($A122,Mortality_Matrix!$A$4:$A$64,0),MATCH(2077,Mortality_Matrix!$B$3:$BS$3,0))</f>
        <v>-1.79973390792209E-011</v>
      </c>
      <c r="BP122" s="27" t="n">
        <f aca="false">(BP56-INDEX(Mortality_Matrix!$B$4:$BS$64,MATCH($A122,Mortality_Matrix!$A$4:$A$64,0),MATCH(2078,Mortality_Matrix!$B$3:$BS$3,0)))/INDEX(Mortality_Matrix!$B$4:$BS$64,MATCH($A122,Mortality_Matrix!$A$4:$A$64,0),MATCH(2078,Mortality_Matrix!$B$3:$BS$3,0))</f>
        <v>7.65899867031976E-011</v>
      </c>
      <c r="BQ122" s="27" t="n">
        <f aca="false">(BQ56-INDEX(Mortality_Matrix!$B$4:$BS$64,MATCH($A122,Mortality_Matrix!$A$4:$A$64,0),MATCH(2079,Mortality_Matrix!$B$3:$BS$3,0)))/INDEX(Mortality_Matrix!$B$4:$BS$64,MATCH($A122,Mortality_Matrix!$A$4:$A$64,0),MATCH(2079,Mortality_Matrix!$B$3:$BS$3,0))</f>
        <v>1.98784082905195E-010</v>
      </c>
      <c r="BR122" s="27" t="n">
        <f aca="false">(BR56-INDEX(Mortality_Matrix!$B$4:$BS$64,MATCH($A122,Mortality_Matrix!$A$4:$A$64,0),MATCH(2080,Mortality_Matrix!$B$3:$BS$3,0)))/INDEX(Mortality_Matrix!$B$4:$BS$64,MATCH($A122,Mortality_Matrix!$A$4:$A$64,0),MATCH(2080,Mortality_Matrix!$B$3:$BS$3,0))</f>
        <v>6.02949240664881E-011</v>
      </c>
      <c r="BS122" s="27" t="n">
        <f aca="false">(BS56-INDEX(Mortality_Matrix!$B$4:$BS$64,MATCH($A122,Mortality_Matrix!$A$4:$A$64,0),MATCH(2081,Mortality_Matrix!$B$3:$BS$3,0)))/INDEX(Mortality_Matrix!$B$4:$BS$64,MATCH($A122,Mortality_Matrix!$A$4:$A$64,0),MATCH(2081,Mortality_Matrix!$B$3:$BS$3,0))</f>
        <v>-3.55057208460413E-010</v>
      </c>
      <c r="BT122" s="27" t="n">
        <f aca="false">(BT56-INDEX(Mortality_Matrix!$B$4:$BS$64,MATCH($A122,Mortality_Matrix!$A$4:$A$64,0),MATCH(2082,Mortality_Matrix!$B$3:$BS$3,0)))/INDEX(Mortality_Matrix!$B$4:$BS$64,MATCH($A122,Mortality_Matrix!$A$4:$A$64,0),MATCH(2082,Mortality_Matrix!$B$3:$BS$3,0))</f>
        <v>1.16473888117739E-010</v>
      </c>
      <c r="BU122" s="27" t="n">
        <f aca="false">(BU56-INDEX(Mortality_Matrix!$B$4:$BS$64,MATCH($A122,Mortality_Matrix!$A$4:$A$64,0),MATCH(2083,Mortality_Matrix!$B$3:$BS$3,0)))/INDEX(Mortality_Matrix!$B$4:$BS$64,MATCH($A122,Mortality_Matrix!$A$4:$A$64,0),MATCH(2083,Mortality_Matrix!$B$3:$BS$3,0))</f>
        <v>-3.1727577626708E-010</v>
      </c>
      <c r="BV122" s="27" t="n">
        <f aca="false">(BV56-INDEX(Mortality_Matrix!$B$4:$BS$64,MATCH($A122,Mortality_Matrix!$A$4:$A$64,0),MATCH(2084,Mortality_Matrix!$B$3:$BS$3,0)))/INDEX(Mortality_Matrix!$B$4:$BS$64,MATCH($A122,Mortality_Matrix!$A$4:$A$64,0),MATCH(2084,Mortality_Matrix!$B$3:$BS$3,0))</f>
        <v>-4.90419926700167E-010</v>
      </c>
      <c r="BW122" s="27" t="n">
        <f aca="false">(BW56-INDEX(Mortality_Matrix!$B$4:$BS$64,MATCH($A122,Mortality_Matrix!$A$4:$A$64,0),MATCH(2085,Mortality_Matrix!$B$3:$BS$3,0)))/INDEX(Mortality_Matrix!$B$4:$BS$64,MATCH($A122,Mortality_Matrix!$A$4:$A$64,0),MATCH(2085,Mortality_Matrix!$B$3:$BS$3,0))</f>
        <v>-4.05871200715568E-010</v>
      </c>
      <c r="BX122" s="27" t="n">
        <f aca="false">(BX56-INDEX(Mortality_Matrix!$B$4:$BS$64,MATCH($A122,Mortality_Matrix!$A$4:$A$64,0),MATCH(2086,Mortality_Matrix!$B$3:$BS$3,0)))/INDEX(Mortality_Matrix!$B$4:$BS$64,MATCH($A122,Mortality_Matrix!$A$4:$A$64,0),MATCH(2086,Mortality_Matrix!$B$3:$BS$3,0))</f>
        <v>-3.61057233068069E-010</v>
      </c>
      <c r="BY122" s="27" t="n">
        <f aca="false">(BY56-INDEX(Mortality_Matrix!$B$4:$BS$64,MATCH($A122,Mortality_Matrix!$A$4:$A$64,0),MATCH(2087,Mortality_Matrix!$B$3:$BS$3,0)))/INDEX(Mortality_Matrix!$B$4:$BS$64,MATCH($A122,Mortality_Matrix!$A$4:$A$64,0),MATCH(2087,Mortality_Matrix!$B$3:$BS$3,0))</f>
        <v>-1.64937412469167E-011</v>
      </c>
      <c r="BZ122" s="27" t="n">
        <f aca="false">(BZ56-INDEX(Mortality_Matrix!$B$4:$BS$64,MATCH($A122,Mortality_Matrix!$A$4:$A$64,0),MATCH(2088,Mortality_Matrix!$B$3:$BS$3,0)))/INDEX(Mortality_Matrix!$B$4:$BS$64,MATCH($A122,Mortality_Matrix!$A$4:$A$64,0),MATCH(2088,Mortality_Matrix!$B$3:$BS$3,0))</f>
        <v>4.4737219858686E-010</v>
      </c>
      <c r="CA122" s="27" t="n">
        <f aca="false">(CA56-INDEX(Mortality_Matrix!$B$4:$BS$64,MATCH($A122,Mortality_Matrix!$A$4:$A$64,0),MATCH(2089,Mortality_Matrix!$B$3:$BS$3,0)))/INDEX(Mortality_Matrix!$B$4:$BS$64,MATCH($A122,Mortality_Matrix!$A$4:$A$64,0),MATCH(2089,Mortality_Matrix!$B$3:$BS$3,0))</f>
        <v>1.86796429959673E-010</v>
      </c>
      <c r="CB122" s="27" t="n">
        <f aca="false">(CB56-INDEX(Mortality_Matrix!$B$4:$BS$64,MATCH($A122,Mortality_Matrix!$A$4:$A$64,0),MATCH(2090,Mortality_Matrix!$B$3:$BS$3,0)))/INDEX(Mortality_Matrix!$B$4:$BS$64,MATCH($A122,Mortality_Matrix!$A$4:$A$64,0),MATCH(2090,Mortality_Matrix!$B$3:$BS$3,0))</f>
        <v>-2.63443776616677E-010</v>
      </c>
      <c r="CC122" s="27" t="n">
        <f aca="false">(CC56-INDEX(Mortality_Matrix!$B$4:$BS$64,MATCH($A122,Mortality_Matrix!$A$4:$A$64,0),MATCH(2091,Mortality_Matrix!$B$3:$BS$3,0)))/INDEX(Mortality_Matrix!$B$4:$BS$64,MATCH($A122,Mortality_Matrix!$A$4:$A$64,0),MATCH(2091,Mortality_Matrix!$B$3:$BS$3,0))</f>
        <v>-1.41640510860397E-010</v>
      </c>
    </row>
    <row r="123" customFormat="false" ht="15" hidden="false" customHeight="true" outlineLevel="0" collapsed="false">
      <c r="A123" s="3" t="n">
        <v>94</v>
      </c>
      <c r="L123" s="27" t="n">
        <f aca="false">(L57-INDEX(Mortality_Matrix!$B$4:$BS$64,MATCH($A123,Mortality_Matrix!$A$4:$A$64,0),MATCH(2022,Mortality_Matrix!$B$3:$BS$3,0)))/INDEX(Mortality_Matrix!$B$4:$BS$64,MATCH($A123,Mortality_Matrix!$A$4:$A$64,0),MATCH(2022,Mortality_Matrix!$B$3:$BS$3,0))</f>
        <v>9.40412864393768E-011</v>
      </c>
      <c r="M123" s="27" t="n">
        <f aca="false">(M57-INDEX(Mortality_Matrix!$B$4:$BS$64,MATCH($A123,Mortality_Matrix!$A$4:$A$64,0),MATCH(2023,Mortality_Matrix!$B$3:$BS$3,0)))/INDEX(Mortality_Matrix!$B$4:$BS$64,MATCH($A123,Mortality_Matrix!$A$4:$A$64,0),MATCH(2023,Mortality_Matrix!$B$3:$BS$3,0))</f>
        <v>-7.80510803734877E-011</v>
      </c>
      <c r="N123" s="27" t="n">
        <f aca="false">(N57-INDEX(Mortality_Matrix!$B$4:$BS$64,MATCH($A123,Mortality_Matrix!$A$4:$A$64,0),MATCH(2024,Mortality_Matrix!$B$3:$BS$3,0)))/INDEX(Mortality_Matrix!$B$4:$BS$64,MATCH($A123,Mortality_Matrix!$A$4:$A$64,0),MATCH(2024,Mortality_Matrix!$B$3:$BS$3,0))</f>
        <v>-1.74464880990787E-010</v>
      </c>
      <c r="O123" s="27" t="n">
        <f aca="false">(O57-INDEX(Mortality_Matrix!$B$4:$BS$64,MATCH($A123,Mortality_Matrix!$A$4:$A$64,0),MATCH(2025,Mortality_Matrix!$B$3:$BS$3,0)))/INDEX(Mortality_Matrix!$B$4:$BS$64,MATCH($A123,Mortality_Matrix!$A$4:$A$64,0),MATCH(2025,Mortality_Matrix!$B$3:$BS$3,0))</f>
        <v>-1.3676374606053E-010</v>
      </c>
      <c r="P123" s="27" t="n">
        <f aca="false">(P57-INDEX(Mortality_Matrix!$B$4:$BS$64,MATCH($A123,Mortality_Matrix!$A$4:$A$64,0),MATCH(2026,Mortality_Matrix!$B$3:$BS$3,0)))/INDEX(Mortality_Matrix!$B$4:$BS$64,MATCH($A123,Mortality_Matrix!$A$4:$A$64,0),MATCH(2026,Mortality_Matrix!$B$3:$BS$3,0))</f>
        <v>-2.46215007519897E-010</v>
      </c>
      <c r="Q123" s="27" t="n">
        <f aca="false">(Q57-INDEX(Mortality_Matrix!$B$4:$BS$64,MATCH($A123,Mortality_Matrix!$A$4:$A$64,0),MATCH(2027,Mortality_Matrix!$B$3:$BS$3,0)))/INDEX(Mortality_Matrix!$B$4:$BS$64,MATCH($A123,Mortality_Matrix!$A$4:$A$64,0),MATCH(2027,Mortality_Matrix!$B$3:$BS$3,0))</f>
        <v>-2.44585710361111E-010</v>
      </c>
      <c r="R123" s="27" t="n">
        <f aca="false">(R57-INDEX(Mortality_Matrix!$B$4:$BS$64,MATCH($A123,Mortality_Matrix!$A$4:$A$64,0),MATCH(2028,Mortality_Matrix!$B$3:$BS$3,0)))/INDEX(Mortality_Matrix!$B$4:$BS$64,MATCH($A123,Mortality_Matrix!$A$4:$A$64,0),MATCH(2028,Mortality_Matrix!$B$3:$BS$3,0))</f>
        <v>-4.1851939358826E-011</v>
      </c>
      <c r="S123" s="27" t="n">
        <f aca="false">(S57-INDEX(Mortality_Matrix!$B$4:$BS$64,MATCH($A123,Mortality_Matrix!$A$4:$A$64,0),MATCH(2029,Mortality_Matrix!$B$3:$BS$3,0)))/INDEX(Mortality_Matrix!$B$4:$BS$64,MATCH($A123,Mortality_Matrix!$A$4:$A$64,0),MATCH(2029,Mortality_Matrix!$B$3:$BS$3,0))</f>
        <v>-2.16934841350692E-010</v>
      </c>
      <c r="T123" s="27" t="n">
        <f aca="false">(T57-INDEX(Mortality_Matrix!$B$4:$BS$64,MATCH($A123,Mortality_Matrix!$A$4:$A$64,0),MATCH(2030,Mortality_Matrix!$B$3:$BS$3,0)))/INDEX(Mortality_Matrix!$B$4:$BS$64,MATCH($A123,Mortality_Matrix!$A$4:$A$64,0),MATCH(2030,Mortality_Matrix!$B$3:$BS$3,0))</f>
        <v>-1.10515078530349E-010</v>
      </c>
      <c r="U123" s="27" t="n">
        <f aca="false">(U57-INDEX(Mortality_Matrix!$B$4:$BS$64,MATCH($A123,Mortality_Matrix!$A$4:$A$64,0),MATCH(2031,Mortality_Matrix!$B$3:$BS$3,0)))/INDEX(Mortality_Matrix!$B$4:$BS$64,MATCH($A123,Mortality_Matrix!$A$4:$A$64,0),MATCH(2031,Mortality_Matrix!$B$3:$BS$3,0))</f>
        <v>-2.00206039833904E-010</v>
      </c>
      <c r="V123" s="27" t="n">
        <f aca="false">(V57-INDEX(Mortality_Matrix!$B$4:$BS$64,MATCH($A123,Mortality_Matrix!$A$4:$A$64,0),MATCH(2032,Mortality_Matrix!$B$3:$BS$3,0)))/INDEX(Mortality_Matrix!$B$4:$BS$64,MATCH($A123,Mortality_Matrix!$A$4:$A$64,0),MATCH(2032,Mortality_Matrix!$B$3:$BS$3,0))</f>
        <v>-2.5648765616427E-013</v>
      </c>
      <c r="W123" s="27" t="n">
        <f aca="false">(W57-INDEX(Mortality_Matrix!$B$4:$BS$64,MATCH($A123,Mortality_Matrix!$A$4:$A$64,0),MATCH(2033,Mortality_Matrix!$B$3:$BS$3,0)))/INDEX(Mortality_Matrix!$B$4:$BS$64,MATCH($A123,Mortality_Matrix!$A$4:$A$64,0),MATCH(2033,Mortality_Matrix!$B$3:$BS$3,0))</f>
        <v>2.02536518237366E-010</v>
      </c>
      <c r="X123" s="27" t="n">
        <f aca="false">(X57-INDEX(Mortality_Matrix!$B$4:$BS$64,MATCH($A123,Mortality_Matrix!$A$4:$A$64,0),MATCH(2034,Mortality_Matrix!$B$3:$BS$3,0)))/INDEX(Mortality_Matrix!$B$4:$BS$64,MATCH($A123,Mortality_Matrix!$A$4:$A$64,0),MATCH(2034,Mortality_Matrix!$B$3:$BS$3,0))</f>
        <v>-2.03324543618559E-010</v>
      </c>
      <c r="Y123" s="27" t="n">
        <f aca="false">(Y57-INDEX(Mortality_Matrix!$B$4:$BS$64,MATCH($A123,Mortality_Matrix!$A$4:$A$64,0),MATCH(2035,Mortality_Matrix!$B$3:$BS$3,0)))/INDEX(Mortality_Matrix!$B$4:$BS$64,MATCH($A123,Mortality_Matrix!$A$4:$A$64,0),MATCH(2035,Mortality_Matrix!$B$3:$BS$3,0))</f>
        <v>5.23357294516634E-011</v>
      </c>
      <c r="Z123" s="27" t="n">
        <f aca="false">(Z57-INDEX(Mortality_Matrix!$B$4:$BS$64,MATCH($A123,Mortality_Matrix!$A$4:$A$64,0),MATCH(2036,Mortality_Matrix!$B$3:$BS$3,0)))/INDEX(Mortality_Matrix!$B$4:$BS$64,MATCH($A123,Mortality_Matrix!$A$4:$A$64,0),MATCH(2036,Mortality_Matrix!$B$3:$BS$3,0))</f>
        <v>5.04719513593816E-011</v>
      </c>
      <c r="AA123" s="27" t="n">
        <f aca="false">(AA57-INDEX(Mortality_Matrix!$B$4:$BS$64,MATCH($A123,Mortality_Matrix!$A$4:$A$64,0),MATCH(2037,Mortality_Matrix!$B$3:$BS$3,0)))/INDEX(Mortality_Matrix!$B$4:$BS$64,MATCH($A123,Mortality_Matrix!$A$4:$A$64,0),MATCH(2037,Mortality_Matrix!$B$3:$BS$3,0))</f>
        <v>1.84799359554323E-011</v>
      </c>
      <c r="AB123" s="27" t="n">
        <f aca="false">(AB57-INDEX(Mortality_Matrix!$B$4:$BS$64,MATCH($A123,Mortality_Matrix!$A$4:$A$64,0),MATCH(2038,Mortality_Matrix!$B$3:$BS$3,0)))/INDEX(Mortality_Matrix!$B$4:$BS$64,MATCH($A123,Mortality_Matrix!$A$4:$A$64,0),MATCH(2038,Mortality_Matrix!$B$3:$BS$3,0))</f>
        <v>1.13485951682436E-010</v>
      </c>
      <c r="AC123" s="27" t="n">
        <f aca="false">(AC57-INDEX(Mortality_Matrix!$B$4:$BS$64,MATCH($A123,Mortality_Matrix!$A$4:$A$64,0),MATCH(2039,Mortality_Matrix!$B$3:$BS$3,0)))/INDEX(Mortality_Matrix!$B$4:$BS$64,MATCH($A123,Mortality_Matrix!$A$4:$A$64,0),MATCH(2039,Mortality_Matrix!$B$3:$BS$3,0))</f>
        <v>-2.66385201517024E-010</v>
      </c>
      <c r="AD123" s="27" t="n">
        <f aca="false">(AD57-INDEX(Mortality_Matrix!$B$4:$BS$64,MATCH($A123,Mortality_Matrix!$A$4:$A$64,0),MATCH(2040,Mortality_Matrix!$B$3:$BS$3,0)))/INDEX(Mortality_Matrix!$B$4:$BS$64,MATCH($A123,Mortality_Matrix!$A$4:$A$64,0),MATCH(2040,Mortality_Matrix!$B$3:$BS$3,0))</f>
        <v>-1.83088444661E-010</v>
      </c>
      <c r="AE123" s="27" t="n">
        <f aca="false">(AE57-INDEX(Mortality_Matrix!$B$4:$BS$64,MATCH($A123,Mortality_Matrix!$A$4:$A$64,0),MATCH(2041,Mortality_Matrix!$B$3:$BS$3,0)))/INDEX(Mortality_Matrix!$B$4:$BS$64,MATCH($A123,Mortality_Matrix!$A$4:$A$64,0),MATCH(2041,Mortality_Matrix!$B$3:$BS$3,0))</f>
        <v>-2.25140747929304E-010</v>
      </c>
      <c r="AF123" s="27" t="n">
        <f aca="false">(AF57-INDEX(Mortality_Matrix!$B$4:$BS$64,MATCH($A123,Mortality_Matrix!$A$4:$A$64,0),MATCH(2042,Mortality_Matrix!$B$3:$BS$3,0)))/INDEX(Mortality_Matrix!$B$4:$BS$64,MATCH($A123,Mortality_Matrix!$A$4:$A$64,0),MATCH(2042,Mortality_Matrix!$B$3:$BS$3,0))</f>
        <v>-1.99467389192059E-010</v>
      </c>
      <c r="AG123" s="27" t="n">
        <f aca="false">(AG57-INDEX(Mortality_Matrix!$B$4:$BS$64,MATCH($A123,Mortality_Matrix!$A$4:$A$64,0),MATCH(2043,Mortality_Matrix!$B$3:$BS$3,0)))/INDEX(Mortality_Matrix!$B$4:$BS$64,MATCH($A123,Mortality_Matrix!$A$4:$A$64,0),MATCH(2043,Mortality_Matrix!$B$3:$BS$3,0))</f>
        <v>1.98338872001663E-010</v>
      </c>
      <c r="AH123" s="27" t="n">
        <f aca="false">(AH57-INDEX(Mortality_Matrix!$B$4:$BS$64,MATCH($A123,Mortality_Matrix!$A$4:$A$64,0),MATCH(2044,Mortality_Matrix!$B$3:$BS$3,0)))/INDEX(Mortality_Matrix!$B$4:$BS$64,MATCH($A123,Mortality_Matrix!$A$4:$A$64,0),MATCH(2044,Mortality_Matrix!$B$3:$BS$3,0))</f>
        <v>4.53246278172627E-011</v>
      </c>
      <c r="AI123" s="27" t="n">
        <f aca="false">(AI57-INDEX(Mortality_Matrix!$B$4:$BS$64,MATCH($A123,Mortality_Matrix!$A$4:$A$64,0),MATCH(2045,Mortality_Matrix!$B$3:$BS$3,0)))/INDEX(Mortality_Matrix!$B$4:$BS$64,MATCH($A123,Mortality_Matrix!$A$4:$A$64,0),MATCH(2045,Mortality_Matrix!$B$3:$BS$3,0))</f>
        <v>2.22183385077845E-010</v>
      </c>
      <c r="AJ123" s="27" t="n">
        <f aca="false">(AJ57-INDEX(Mortality_Matrix!$B$4:$BS$64,MATCH($A123,Mortality_Matrix!$A$4:$A$64,0),MATCH(2046,Mortality_Matrix!$B$3:$BS$3,0)))/INDEX(Mortality_Matrix!$B$4:$BS$64,MATCH($A123,Mortality_Matrix!$A$4:$A$64,0),MATCH(2046,Mortality_Matrix!$B$3:$BS$3,0))</f>
        <v>2.08841688563807E-010</v>
      </c>
      <c r="AK123" s="27" t="n">
        <f aca="false">(AK57-INDEX(Mortality_Matrix!$B$4:$BS$64,MATCH($A123,Mortality_Matrix!$A$4:$A$64,0),MATCH(2047,Mortality_Matrix!$B$3:$BS$3,0)))/INDEX(Mortality_Matrix!$B$4:$BS$64,MATCH($A123,Mortality_Matrix!$A$4:$A$64,0),MATCH(2047,Mortality_Matrix!$B$3:$BS$3,0))</f>
        <v>-1.26896731911696E-010</v>
      </c>
      <c r="AL123" s="27" t="n">
        <f aca="false">(AL57-INDEX(Mortality_Matrix!$B$4:$BS$64,MATCH($A123,Mortality_Matrix!$A$4:$A$64,0),MATCH(2048,Mortality_Matrix!$B$3:$BS$3,0)))/INDEX(Mortality_Matrix!$B$4:$BS$64,MATCH($A123,Mortality_Matrix!$A$4:$A$64,0),MATCH(2048,Mortality_Matrix!$B$3:$BS$3,0))</f>
        <v>5.82936831224098E-011</v>
      </c>
      <c r="AM123" s="27" t="n">
        <f aca="false">(AM57-INDEX(Mortality_Matrix!$B$4:$BS$64,MATCH($A123,Mortality_Matrix!$A$4:$A$64,0),MATCH(2049,Mortality_Matrix!$B$3:$BS$3,0)))/INDEX(Mortality_Matrix!$B$4:$BS$64,MATCH($A123,Mortality_Matrix!$A$4:$A$64,0),MATCH(2049,Mortality_Matrix!$B$3:$BS$3,0))</f>
        <v>-9.59429978372209E-011</v>
      </c>
      <c r="AN123" s="27" t="n">
        <f aca="false">(AN57-INDEX(Mortality_Matrix!$B$4:$BS$64,MATCH($A123,Mortality_Matrix!$A$4:$A$64,0),MATCH(2050,Mortality_Matrix!$B$3:$BS$3,0)))/INDEX(Mortality_Matrix!$B$4:$BS$64,MATCH($A123,Mortality_Matrix!$A$4:$A$64,0),MATCH(2050,Mortality_Matrix!$B$3:$BS$3,0))</f>
        <v>1.07224219725581E-011</v>
      </c>
      <c r="AO123" s="27" t="n">
        <f aca="false">(AO57-INDEX(Mortality_Matrix!$B$4:$BS$64,MATCH($A123,Mortality_Matrix!$A$4:$A$64,0),MATCH(2051,Mortality_Matrix!$B$3:$BS$3,0)))/INDEX(Mortality_Matrix!$B$4:$BS$64,MATCH($A123,Mortality_Matrix!$A$4:$A$64,0),MATCH(2051,Mortality_Matrix!$B$3:$BS$3,0))</f>
        <v>-2.67142196037216E-010</v>
      </c>
      <c r="AP123" s="27" t="n">
        <f aca="false">(AP57-INDEX(Mortality_Matrix!$B$4:$BS$64,MATCH($A123,Mortality_Matrix!$A$4:$A$64,0),MATCH(2052,Mortality_Matrix!$B$3:$BS$3,0)))/INDEX(Mortality_Matrix!$B$4:$BS$64,MATCH($A123,Mortality_Matrix!$A$4:$A$64,0),MATCH(2052,Mortality_Matrix!$B$3:$BS$3,0))</f>
        <v>-2.4865603374116E-010</v>
      </c>
      <c r="AQ123" s="27" t="n">
        <f aca="false">(AQ57-INDEX(Mortality_Matrix!$B$4:$BS$64,MATCH($A123,Mortality_Matrix!$A$4:$A$64,0),MATCH(2053,Mortality_Matrix!$B$3:$BS$3,0)))/INDEX(Mortality_Matrix!$B$4:$BS$64,MATCH($A123,Mortality_Matrix!$A$4:$A$64,0),MATCH(2053,Mortality_Matrix!$B$3:$BS$3,0))</f>
        <v>-6.00355863863529E-012</v>
      </c>
      <c r="AR123" s="27" t="n">
        <f aca="false">(AR57-INDEX(Mortality_Matrix!$B$4:$BS$64,MATCH($A123,Mortality_Matrix!$A$4:$A$64,0),MATCH(2054,Mortality_Matrix!$B$3:$BS$3,0)))/INDEX(Mortality_Matrix!$B$4:$BS$64,MATCH($A123,Mortality_Matrix!$A$4:$A$64,0),MATCH(2054,Mortality_Matrix!$B$3:$BS$3,0))</f>
        <v>2.05742036869411E-010</v>
      </c>
      <c r="AS123" s="27" t="n">
        <f aca="false">(AS57-INDEX(Mortality_Matrix!$B$4:$BS$64,MATCH($A123,Mortality_Matrix!$A$4:$A$64,0),MATCH(2055,Mortality_Matrix!$B$3:$BS$3,0)))/INDEX(Mortality_Matrix!$B$4:$BS$64,MATCH($A123,Mortality_Matrix!$A$4:$A$64,0),MATCH(2055,Mortality_Matrix!$B$3:$BS$3,0))</f>
        <v>-1.45738002577853E-010</v>
      </c>
      <c r="AT123" s="27" t="n">
        <f aca="false">(AT57-INDEX(Mortality_Matrix!$B$4:$BS$64,MATCH($A123,Mortality_Matrix!$A$4:$A$64,0),MATCH(2056,Mortality_Matrix!$B$3:$BS$3,0)))/INDEX(Mortality_Matrix!$B$4:$BS$64,MATCH($A123,Mortality_Matrix!$A$4:$A$64,0),MATCH(2056,Mortality_Matrix!$B$3:$BS$3,0))</f>
        <v>1.50378004807203E-010</v>
      </c>
      <c r="AU123" s="27" t="n">
        <f aca="false">(AU57-INDEX(Mortality_Matrix!$B$4:$BS$64,MATCH($A123,Mortality_Matrix!$A$4:$A$64,0),MATCH(2057,Mortality_Matrix!$B$3:$BS$3,0)))/INDEX(Mortality_Matrix!$B$4:$BS$64,MATCH($A123,Mortality_Matrix!$A$4:$A$64,0),MATCH(2057,Mortality_Matrix!$B$3:$BS$3,0))</f>
        <v>-2.31913495246302E-010</v>
      </c>
      <c r="AV123" s="27" t="n">
        <f aca="false">(AV57-INDEX(Mortality_Matrix!$B$4:$BS$64,MATCH($A123,Mortality_Matrix!$A$4:$A$64,0),MATCH(2058,Mortality_Matrix!$B$3:$BS$3,0)))/INDEX(Mortality_Matrix!$B$4:$BS$64,MATCH($A123,Mortality_Matrix!$A$4:$A$64,0),MATCH(2058,Mortality_Matrix!$B$3:$BS$3,0))</f>
        <v>-3.24091864557639E-010</v>
      </c>
      <c r="AW123" s="27" t="n">
        <f aca="false">(AW57-INDEX(Mortality_Matrix!$B$4:$BS$64,MATCH($A123,Mortality_Matrix!$A$4:$A$64,0),MATCH(2059,Mortality_Matrix!$B$3:$BS$3,0)))/INDEX(Mortality_Matrix!$B$4:$BS$64,MATCH($A123,Mortality_Matrix!$A$4:$A$64,0),MATCH(2059,Mortality_Matrix!$B$3:$BS$3,0))</f>
        <v>2.552805326948E-010</v>
      </c>
      <c r="AX123" s="27" t="n">
        <f aca="false">(AX57-INDEX(Mortality_Matrix!$B$4:$BS$64,MATCH($A123,Mortality_Matrix!$A$4:$A$64,0),MATCH(2060,Mortality_Matrix!$B$3:$BS$3,0)))/INDEX(Mortality_Matrix!$B$4:$BS$64,MATCH($A123,Mortality_Matrix!$A$4:$A$64,0),MATCH(2060,Mortality_Matrix!$B$3:$BS$3,0))</f>
        <v>-2.82720926259808E-010</v>
      </c>
      <c r="AY123" s="27" t="n">
        <f aca="false">(AY57-INDEX(Mortality_Matrix!$B$4:$BS$64,MATCH($A123,Mortality_Matrix!$A$4:$A$64,0),MATCH(2061,Mortality_Matrix!$B$3:$BS$3,0)))/INDEX(Mortality_Matrix!$B$4:$BS$64,MATCH($A123,Mortality_Matrix!$A$4:$A$64,0),MATCH(2061,Mortality_Matrix!$B$3:$BS$3,0))</f>
        <v>-1.58184476556148E-010</v>
      </c>
      <c r="AZ123" s="27" t="n">
        <f aca="false">(AZ57-INDEX(Mortality_Matrix!$B$4:$BS$64,MATCH($A123,Mortality_Matrix!$A$4:$A$64,0),MATCH(2062,Mortality_Matrix!$B$3:$BS$3,0)))/INDEX(Mortality_Matrix!$B$4:$BS$64,MATCH($A123,Mortality_Matrix!$A$4:$A$64,0),MATCH(2062,Mortality_Matrix!$B$3:$BS$3,0))</f>
        <v>7.89320371942892E-011</v>
      </c>
      <c r="BA123" s="27" t="n">
        <f aca="false">(BA57-INDEX(Mortality_Matrix!$B$4:$BS$64,MATCH($A123,Mortality_Matrix!$A$4:$A$64,0),MATCH(2063,Mortality_Matrix!$B$3:$BS$3,0)))/INDEX(Mortality_Matrix!$B$4:$BS$64,MATCH($A123,Mortality_Matrix!$A$4:$A$64,0),MATCH(2063,Mortality_Matrix!$B$3:$BS$3,0))</f>
        <v>3.7155013702948E-010</v>
      </c>
      <c r="BB123" s="27" t="n">
        <f aca="false">(BB57-INDEX(Mortality_Matrix!$B$4:$BS$64,MATCH($A123,Mortality_Matrix!$A$4:$A$64,0),MATCH(2064,Mortality_Matrix!$B$3:$BS$3,0)))/INDEX(Mortality_Matrix!$B$4:$BS$64,MATCH($A123,Mortality_Matrix!$A$4:$A$64,0),MATCH(2064,Mortality_Matrix!$B$3:$BS$3,0))</f>
        <v>3.31261064760096E-010</v>
      </c>
      <c r="BC123" s="27" t="n">
        <f aca="false">(BC57-INDEX(Mortality_Matrix!$B$4:$BS$64,MATCH($A123,Mortality_Matrix!$A$4:$A$64,0),MATCH(2065,Mortality_Matrix!$B$3:$BS$3,0)))/INDEX(Mortality_Matrix!$B$4:$BS$64,MATCH($A123,Mortality_Matrix!$A$4:$A$64,0),MATCH(2065,Mortality_Matrix!$B$3:$BS$3,0))</f>
        <v>-9.27950163374256E-011</v>
      </c>
      <c r="BD123" s="27" t="n">
        <f aca="false">(BD57-INDEX(Mortality_Matrix!$B$4:$BS$64,MATCH($A123,Mortality_Matrix!$A$4:$A$64,0),MATCH(2066,Mortality_Matrix!$B$3:$BS$3,0)))/INDEX(Mortality_Matrix!$B$4:$BS$64,MATCH($A123,Mortality_Matrix!$A$4:$A$64,0),MATCH(2066,Mortality_Matrix!$B$3:$BS$3,0))</f>
        <v>9.51501874260939E-011</v>
      </c>
      <c r="BE123" s="27" t="n">
        <f aca="false">(BE57-INDEX(Mortality_Matrix!$B$4:$BS$64,MATCH($A123,Mortality_Matrix!$A$4:$A$64,0),MATCH(2067,Mortality_Matrix!$B$3:$BS$3,0)))/INDEX(Mortality_Matrix!$B$4:$BS$64,MATCH($A123,Mortality_Matrix!$A$4:$A$64,0),MATCH(2067,Mortality_Matrix!$B$3:$BS$3,0))</f>
        <v>-2.3914130687332E-010</v>
      </c>
      <c r="BF123" s="27" t="n">
        <f aca="false">(BF57-INDEX(Mortality_Matrix!$B$4:$BS$64,MATCH($A123,Mortality_Matrix!$A$4:$A$64,0),MATCH(2068,Mortality_Matrix!$B$3:$BS$3,0)))/INDEX(Mortality_Matrix!$B$4:$BS$64,MATCH($A123,Mortality_Matrix!$A$4:$A$64,0),MATCH(2068,Mortality_Matrix!$B$3:$BS$3,0))</f>
        <v>2.08785975961342E-010</v>
      </c>
      <c r="BG123" s="27" t="n">
        <f aca="false">(BG57-INDEX(Mortality_Matrix!$B$4:$BS$64,MATCH($A123,Mortality_Matrix!$A$4:$A$64,0),MATCH(2069,Mortality_Matrix!$B$3:$BS$3,0)))/INDEX(Mortality_Matrix!$B$4:$BS$64,MATCH($A123,Mortality_Matrix!$A$4:$A$64,0),MATCH(2069,Mortality_Matrix!$B$3:$BS$3,0))</f>
        <v>-3.89541812662125E-010</v>
      </c>
      <c r="BH123" s="27" t="n">
        <f aca="false">(BH57-INDEX(Mortality_Matrix!$B$4:$BS$64,MATCH($A123,Mortality_Matrix!$A$4:$A$64,0),MATCH(2070,Mortality_Matrix!$B$3:$BS$3,0)))/INDEX(Mortality_Matrix!$B$4:$BS$64,MATCH($A123,Mortality_Matrix!$A$4:$A$64,0),MATCH(2070,Mortality_Matrix!$B$3:$BS$3,0))</f>
        <v>4.25320518887487E-011</v>
      </c>
      <c r="BI123" s="27" t="n">
        <f aca="false">(BI57-INDEX(Mortality_Matrix!$B$4:$BS$64,MATCH($A123,Mortality_Matrix!$A$4:$A$64,0),MATCH(2071,Mortality_Matrix!$B$3:$BS$3,0)))/INDEX(Mortality_Matrix!$B$4:$BS$64,MATCH($A123,Mortality_Matrix!$A$4:$A$64,0),MATCH(2071,Mortality_Matrix!$B$3:$BS$3,0))</f>
        <v>2.44988925842187E-010</v>
      </c>
      <c r="BJ123" s="27" t="n">
        <f aca="false">(BJ57-INDEX(Mortality_Matrix!$B$4:$BS$64,MATCH($A123,Mortality_Matrix!$A$4:$A$64,0),MATCH(2072,Mortality_Matrix!$B$3:$BS$3,0)))/INDEX(Mortality_Matrix!$B$4:$BS$64,MATCH($A123,Mortality_Matrix!$A$4:$A$64,0),MATCH(2072,Mortality_Matrix!$B$3:$BS$3,0))</f>
        <v>3.17524782285892E-010</v>
      </c>
      <c r="BK123" s="27" t="n">
        <f aca="false">(BK57-INDEX(Mortality_Matrix!$B$4:$BS$64,MATCH($A123,Mortality_Matrix!$A$4:$A$64,0),MATCH(2073,Mortality_Matrix!$B$3:$BS$3,0)))/INDEX(Mortality_Matrix!$B$4:$BS$64,MATCH($A123,Mortality_Matrix!$A$4:$A$64,0),MATCH(2073,Mortality_Matrix!$B$3:$BS$3,0))</f>
        <v>3.6553266166819E-011</v>
      </c>
      <c r="BL123" s="27" t="n">
        <f aca="false">(BL57-INDEX(Mortality_Matrix!$B$4:$BS$64,MATCH($A123,Mortality_Matrix!$A$4:$A$64,0),MATCH(2074,Mortality_Matrix!$B$3:$BS$3,0)))/INDEX(Mortality_Matrix!$B$4:$BS$64,MATCH($A123,Mortality_Matrix!$A$4:$A$64,0),MATCH(2074,Mortality_Matrix!$B$3:$BS$3,0))</f>
        <v>-4.05795611411101E-010</v>
      </c>
      <c r="BM123" s="27" t="n">
        <f aca="false">(BM57-INDEX(Mortality_Matrix!$B$4:$BS$64,MATCH($A123,Mortality_Matrix!$A$4:$A$64,0),MATCH(2075,Mortality_Matrix!$B$3:$BS$3,0)))/INDEX(Mortality_Matrix!$B$4:$BS$64,MATCH($A123,Mortality_Matrix!$A$4:$A$64,0),MATCH(2075,Mortality_Matrix!$B$3:$BS$3,0))</f>
        <v>3.81587966427651E-010</v>
      </c>
      <c r="BN123" s="27" t="n">
        <f aca="false">(BN57-INDEX(Mortality_Matrix!$B$4:$BS$64,MATCH($A123,Mortality_Matrix!$A$4:$A$64,0),MATCH(2076,Mortality_Matrix!$B$3:$BS$3,0)))/INDEX(Mortality_Matrix!$B$4:$BS$64,MATCH($A123,Mortality_Matrix!$A$4:$A$64,0),MATCH(2076,Mortality_Matrix!$B$3:$BS$3,0))</f>
        <v>-1.79035303793684E-010</v>
      </c>
      <c r="BO123" s="27" t="n">
        <f aca="false">(BO57-INDEX(Mortality_Matrix!$B$4:$BS$64,MATCH($A123,Mortality_Matrix!$A$4:$A$64,0),MATCH(2077,Mortality_Matrix!$B$3:$BS$3,0)))/INDEX(Mortality_Matrix!$B$4:$BS$64,MATCH($A123,Mortality_Matrix!$A$4:$A$64,0),MATCH(2077,Mortality_Matrix!$B$3:$BS$3,0))</f>
        <v>-2.63459427040369E-010</v>
      </c>
      <c r="BP123" s="27" t="n">
        <f aca="false">(BP57-INDEX(Mortality_Matrix!$B$4:$BS$64,MATCH($A123,Mortality_Matrix!$A$4:$A$64,0),MATCH(2078,Mortality_Matrix!$B$3:$BS$3,0)))/INDEX(Mortality_Matrix!$B$4:$BS$64,MATCH($A123,Mortality_Matrix!$A$4:$A$64,0),MATCH(2078,Mortality_Matrix!$B$3:$BS$3,0))</f>
        <v>3.70968491399636E-010</v>
      </c>
      <c r="BQ123" s="27" t="n">
        <f aca="false">(BQ57-INDEX(Mortality_Matrix!$B$4:$BS$64,MATCH($A123,Mortality_Matrix!$A$4:$A$64,0),MATCH(2079,Mortality_Matrix!$B$3:$BS$3,0)))/INDEX(Mortality_Matrix!$B$4:$BS$64,MATCH($A123,Mortality_Matrix!$A$4:$A$64,0),MATCH(2079,Mortality_Matrix!$B$3:$BS$3,0))</f>
        <v>2.21406305574643E-010</v>
      </c>
      <c r="BR123" s="27" t="n">
        <f aca="false">(BR57-INDEX(Mortality_Matrix!$B$4:$BS$64,MATCH($A123,Mortality_Matrix!$A$4:$A$64,0),MATCH(2080,Mortality_Matrix!$B$3:$BS$3,0)))/INDEX(Mortality_Matrix!$B$4:$BS$64,MATCH($A123,Mortality_Matrix!$A$4:$A$64,0),MATCH(2080,Mortality_Matrix!$B$3:$BS$3,0))</f>
        <v>3.21130975806873E-010</v>
      </c>
      <c r="BS123" s="27" t="n">
        <f aca="false">(BS57-INDEX(Mortality_Matrix!$B$4:$BS$64,MATCH($A123,Mortality_Matrix!$A$4:$A$64,0),MATCH(2081,Mortality_Matrix!$B$3:$BS$3,0)))/INDEX(Mortality_Matrix!$B$4:$BS$64,MATCH($A123,Mortality_Matrix!$A$4:$A$64,0),MATCH(2081,Mortality_Matrix!$B$3:$BS$3,0))</f>
        <v>-2.1684910356201E-010</v>
      </c>
      <c r="BT123" s="27" t="n">
        <f aca="false">(BT57-INDEX(Mortality_Matrix!$B$4:$BS$64,MATCH($A123,Mortality_Matrix!$A$4:$A$64,0),MATCH(2082,Mortality_Matrix!$B$3:$BS$3,0)))/INDEX(Mortality_Matrix!$B$4:$BS$64,MATCH($A123,Mortality_Matrix!$A$4:$A$64,0),MATCH(2082,Mortality_Matrix!$B$3:$BS$3,0))</f>
        <v>1.59320407674599E-010</v>
      </c>
      <c r="BU123" s="27" t="n">
        <f aca="false">(BU57-INDEX(Mortality_Matrix!$B$4:$BS$64,MATCH($A123,Mortality_Matrix!$A$4:$A$64,0),MATCH(2083,Mortality_Matrix!$B$3:$BS$3,0)))/INDEX(Mortality_Matrix!$B$4:$BS$64,MATCH($A123,Mortality_Matrix!$A$4:$A$64,0),MATCH(2083,Mortality_Matrix!$B$3:$BS$3,0))</f>
        <v>-2.54548537867214E-011</v>
      </c>
      <c r="BV123" s="27" t="n">
        <f aca="false">(BV57-INDEX(Mortality_Matrix!$B$4:$BS$64,MATCH($A123,Mortality_Matrix!$A$4:$A$64,0),MATCH(2084,Mortality_Matrix!$B$3:$BS$3,0)))/INDEX(Mortality_Matrix!$B$4:$BS$64,MATCH($A123,Mortality_Matrix!$A$4:$A$64,0),MATCH(2084,Mortality_Matrix!$B$3:$BS$3,0))</f>
        <v>4.56179670912227E-011</v>
      </c>
      <c r="BW123" s="27" t="n">
        <f aca="false">(BW57-INDEX(Mortality_Matrix!$B$4:$BS$64,MATCH($A123,Mortality_Matrix!$A$4:$A$64,0),MATCH(2085,Mortality_Matrix!$B$3:$BS$3,0)))/INDEX(Mortality_Matrix!$B$4:$BS$64,MATCH($A123,Mortality_Matrix!$A$4:$A$64,0),MATCH(2085,Mortality_Matrix!$B$3:$BS$3,0))</f>
        <v>-2.294689943812E-010</v>
      </c>
      <c r="BX123" s="27" t="n">
        <f aca="false">(BX57-INDEX(Mortality_Matrix!$B$4:$BS$64,MATCH($A123,Mortality_Matrix!$A$4:$A$64,0),MATCH(2086,Mortality_Matrix!$B$3:$BS$3,0)))/INDEX(Mortality_Matrix!$B$4:$BS$64,MATCH($A123,Mortality_Matrix!$A$4:$A$64,0),MATCH(2086,Mortality_Matrix!$B$3:$BS$3,0))</f>
        <v>-1.96259325588831E-010</v>
      </c>
      <c r="BY123" s="27" t="n">
        <f aca="false">(BY57-INDEX(Mortality_Matrix!$B$4:$BS$64,MATCH($A123,Mortality_Matrix!$A$4:$A$64,0),MATCH(2087,Mortality_Matrix!$B$3:$BS$3,0)))/INDEX(Mortality_Matrix!$B$4:$BS$64,MATCH($A123,Mortality_Matrix!$A$4:$A$64,0),MATCH(2087,Mortality_Matrix!$B$3:$BS$3,0))</f>
        <v>1.26862710691285E-010</v>
      </c>
      <c r="BZ123" s="27" t="n">
        <f aca="false">(BZ57-INDEX(Mortality_Matrix!$B$4:$BS$64,MATCH($A123,Mortality_Matrix!$A$4:$A$64,0),MATCH(2088,Mortality_Matrix!$B$3:$BS$3,0)))/INDEX(Mortality_Matrix!$B$4:$BS$64,MATCH($A123,Mortality_Matrix!$A$4:$A$64,0),MATCH(2088,Mortality_Matrix!$B$3:$BS$3,0))</f>
        <v>-7.01209330292386E-011</v>
      </c>
      <c r="CA123" s="27" t="n">
        <f aca="false">(CA57-INDEX(Mortality_Matrix!$B$4:$BS$64,MATCH($A123,Mortality_Matrix!$A$4:$A$64,0),MATCH(2089,Mortality_Matrix!$B$3:$BS$3,0)))/INDEX(Mortality_Matrix!$B$4:$BS$64,MATCH($A123,Mortality_Matrix!$A$4:$A$64,0),MATCH(2089,Mortality_Matrix!$B$3:$BS$3,0))</f>
        <v>4.00696079267111E-010</v>
      </c>
      <c r="CB123" s="27" t="n">
        <f aca="false">(CB57-INDEX(Mortality_Matrix!$B$4:$BS$64,MATCH($A123,Mortality_Matrix!$A$4:$A$64,0),MATCH(2090,Mortality_Matrix!$B$3:$BS$3,0)))/INDEX(Mortality_Matrix!$B$4:$BS$64,MATCH($A123,Mortality_Matrix!$A$4:$A$64,0),MATCH(2090,Mortality_Matrix!$B$3:$BS$3,0))</f>
        <v>-1.6568171102116E-010</v>
      </c>
      <c r="CC123" s="27" t="n">
        <f aca="false">(CC57-INDEX(Mortality_Matrix!$B$4:$BS$64,MATCH($A123,Mortality_Matrix!$A$4:$A$64,0),MATCH(2091,Mortality_Matrix!$B$3:$BS$3,0)))/INDEX(Mortality_Matrix!$B$4:$BS$64,MATCH($A123,Mortality_Matrix!$A$4:$A$64,0),MATCH(2091,Mortality_Matrix!$B$3:$BS$3,0))</f>
        <v>3.36484526509572E-010</v>
      </c>
    </row>
    <row r="124" customFormat="false" ht="15" hidden="false" customHeight="true" outlineLevel="0" collapsed="false">
      <c r="A124" s="3" t="n">
        <v>95</v>
      </c>
      <c r="L124" s="27" t="n">
        <f aca="false">(L58-INDEX(Mortality_Matrix!$B$4:$BS$64,MATCH($A124,Mortality_Matrix!$A$4:$A$64,0),MATCH(2022,Mortality_Matrix!$B$3:$BS$3,0)))/INDEX(Mortality_Matrix!$B$4:$BS$64,MATCH($A124,Mortality_Matrix!$A$4:$A$64,0),MATCH(2022,Mortality_Matrix!$B$3:$BS$3,0))</f>
        <v>5.90104090480999E-011</v>
      </c>
      <c r="M124" s="27" t="n">
        <f aca="false">(M58-INDEX(Mortality_Matrix!$B$4:$BS$64,MATCH($A124,Mortality_Matrix!$A$4:$A$64,0),MATCH(2023,Mortality_Matrix!$B$3:$BS$3,0)))/INDEX(Mortality_Matrix!$B$4:$BS$64,MATCH($A124,Mortality_Matrix!$A$4:$A$64,0),MATCH(2023,Mortality_Matrix!$B$3:$BS$3,0))</f>
        <v>1.45876943620579E-010</v>
      </c>
      <c r="N124" s="27" t="n">
        <f aca="false">(N58-INDEX(Mortality_Matrix!$B$4:$BS$64,MATCH($A124,Mortality_Matrix!$A$4:$A$64,0),MATCH(2024,Mortality_Matrix!$B$3:$BS$3,0)))/INDEX(Mortality_Matrix!$B$4:$BS$64,MATCH($A124,Mortality_Matrix!$A$4:$A$64,0),MATCH(2024,Mortality_Matrix!$B$3:$BS$3,0))</f>
        <v>-1.73130280752294E-010</v>
      </c>
      <c r="O124" s="27" t="n">
        <f aca="false">(O58-INDEX(Mortality_Matrix!$B$4:$BS$64,MATCH($A124,Mortality_Matrix!$A$4:$A$64,0),MATCH(2025,Mortality_Matrix!$B$3:$BS$3,0)))/INDEX(Mortality_Matrix!$B$4:$BS$64,MATCH($A124,Mortality_Matrix!$A$4:$A$64,0),MATCH(2025,Mortality_Matrix!$B$3:$BS$3,0))</f>
        <v>8.29788852189049E-011</v>
      </c>
      <c r="P124" s="27" t="n">
        <f aca="false">(P58-INDEX(Mortality_Matrix!$B$4:$BS$64,MATCH($A124,Mortality_Matrix!$A$4:$A$64,0),MATCH(2026,Mortality_Matrix!$B$3:$BS$3,0)))/INDEX(Mortality_Matrix!$B$4:$BS$64,MATCH($A124,Mortality_Matrix!$A$4:$A$64,0),MATCH(2026,Mortality_Matrix!$B$3:$BS$3,0))</f>
        <v>1.3268563524656E-010</v>
      </c>
      <c r="Q124" s="27" t="n">
        <f aca="false">(Q58-INDEX(Mortality_Matrix!$B$4:$BS$64,MATCH($A124,Mortality_Matrix!$A$4:$A$64,0),MATCH(2027,Mortality_Matrix!$B$3:$BS$3,0)))/INDEX(Mortality_Matrix!$B$4:$BS$64,MATCH($A124,Mortality_Matrix!$A$4:$A$64,0),MATCH(2027,Mortality_Matrix!$B$3:$BS$3,0))</f>
        <v>1.58006208036644E-010</v>
      </c>
      <c r="R124" s="27" t="n">
        <f aca="false">(R58-INDEX(Mortality_Matrix!$B$4:$BS$64,MATCH($A124,Mortality_Matrix!$A$4:$A$64,0),MATCH(2028,Mortality_Matrix!$B$3:$BS$3,0)))/INDEX(Mortality_Matrix!$B$4:$BS$64,MATCH($A124,Mortality_Matrix!$A$4:$A$64,0),MATCH(2028,Mortality_Matrix!$B$3:$BS$3,0))</f>
        <v>1.88961842416192E-010</v>
      </c>
      <c r="S124" s="27" t="n">
        <f aca="false">(S58-INDEX(Mortality_Matrix!$B$4:$BS$64,MATCH($A124,Mortality_Matrix!$A$4:$A$64,0),MATCH(2029,Mortality_Matrix!$B$3:$BS$3,0)))/INDEX(Mortality_Matrix!$B$4:$BS$64,MATCH($A124,Mortality_Matrix!$A$4:$A$64,0),MATCH(2029,Mortality_Matrix!$B$3:$BS$3,0))</f>
        <v>-1.27867499771714E-010</v>
      </c>
      <c r="T124" s="27" t="n">
        <f aca="false">(T58-INDEX(Mortality_Matrix!$B$4:$BS$64,MATCH($A124,Mortality_Matrix!$A$4:$A$64,0),MATCH(2030,Mortality_Matrix!$B$3:$BS$3,0)))/INDEX(Mortality_Matrix!$B$4:$BS$64,MATCH($A124,Mortality_Matrix!$A$4:$A$64,0),MATCH(2030,Mortality_Matrix!$B$3:$BS$3,0))</f>
        <v>1.40305924546954E-010</v>
      </c>
      <c r="U124" s="27" t="n">
        <f aca="false">(U58-INDEX(Mortality_Matrix!$B$4:$BS$64,MATCH($A124,Mortality_Matrix!$A$4:$A$64,0),MATCH(2031,Mortality_Matrix!$B$3:$BS$3,0)))/INDEX(Mortality_Matrix!$B$4:$BS$64,MATCH($A124,Mortality_Matrix!$A$4:$A$64,0),MATCH(2031,Mortality_Matrix!$B$3:$BS$3,0))</f>
        <v>1.80190263210706E-010</v>
      </c>
      <c r="V124" s="27" t="n">
        <f aca="false">(V58-INDEX(Mortality_Matrix!$B$4:$BS$64,MATCH($A124,Mortality_Matrix!$A$4:$A$64,0),MATCH(2032,Mortality_Matrix!$B$3:$BS$3,0)))/INDEX(Mortality_Matrix!$B$4:$BS$64,MATCH($A124,Mortality_Matrix!$A$4:$A$64,0),MATCH(2032,Mortality_Matrix!$B$3:$BS$3,0))</f>
        <v>-1.62161721789513E-010</v>
      </c>
      <c r="W124" s="27" t="n">
        <f aca="false">(W58-INDEX(Mortality_Matrix!$B$4:$BS$64,MATCH($A124,Mortality_Matrix!$A$4:$A$64,0),MATCH(2033,Mortality_Matrix!$B$3:$BS$3,0)))/INDEX(Mortality_Matrix!$B$4:$BS$64,MATCH($A124,Mortality_Matrix!$A$4:$A$64,0),MATCH(2033,Mortality_Matrix!$B$3:$BS$3,0))</f>
        <v>1.01560767103457E-010</v>
      </c>
      <c r="X124" s="27" t="n">
        <f aca="false">(X58-INDEX(Mortality_Matrix!$B$4:$BS$64,MATCH($A124,Mortality_Matrix!$A$4:$A$64,0),MATCH(2034,Mortality_Matrix!$B$3:$BS$3,0)))/INDEX(Mortality_Matrix!$B$4:$BS$64,MATCH($A124,Mortality_Matrix!$A$4:$A$64,0),MATCH(2034,Mortality_Matrix!$B$3:$BS$3,0))</f>
        <v>-2.03448665791488E-011</v>
      </c>
      <c r="Y124" s="27" t="n">
        <f aca="false">(Y58-INDEX(Mortality_Matrix!$B$4:$BS$64,MATCH($A124,Mortality_Matrix!$A$4:$A$64,0),MATCH(2035,Mortality_Matrix!$B$3:$BS$3,0)))/INDEX(Mortality_Matrix!$B$4:$BS$64,MATCH($A124,Mortality_Matrix!$A$4:$A$64,0),MATCH(2035,Mortality_Matrix!$B$3:$BS$3,0))</f>
        <v>1.21095517017807E-011</v>
      </c>
      <c r="Z124" s="27" t="n">
        <f aca="false">(Z58-INDEX(Mortality_Matrix!$B$4:$BS$64,MATCH($A124,Mortality_Matrix!$A$4:$A$64,0),MATCH(2036,Mortality_Matrix!$B$3:$BS$3,0)))/INDEX(Mortality_Matrix!$B$4:$BS$64,MATCH($A124,Mortality_Matrix!$A$4:$A$64,0),MATCH(2036,Mortality_Matrix!$B$3:$BS$3,0))</f>
        <v>1.66347751681387E-010</v>
      </c>
      <c r="AA124" s="27" t="n">
        <f aca="false">(AA58-INDEX(Mortality_Matrix!$B$4:$BS$64,MATCH($A124,Mortality_Matrix!$A$4:$A$64,0),MATCH(2037,Mortality_Matrix!$B$3:$BS$3,0)))/INDEX(Mortality_Matrix!$B$4:$BS$64,MATCH($A124,Mortality_Matrix!$A$4:$A$64,0),MATCH(2037,Mortality_Matrix!$B$3:$BS$3,0))</f>
        <v>-2.50998974833763E-010</v>
      </c>
      <c r="AB124" s="27" t="n">
        <f aca="false">(AB58-INDEX(Mortality_Matrix!$B$4:$BS$64,MATCH($A124,Mortality_Matrix!$A$4:$A$64,0),MATCH(2038,Mortality_Matrix!$B$3:$BS$3,0)))/INDEX(Mortality_Matrix!$B$4:$BS$64,MATCH($A124,Mortality_Matrix!$A$4:$A$64,0),MATCH(2038,Mortality_Matrix!$B$3:$BS$3,0))</f>
        <v>3.40426180058359E-012</v>
      </c>
      <c r="AC124" s="27" t="n">
        <f aca="false">(AC58-INDEX(Mortality_Matrix!$B$4:$BS$64,MATCH($A124,Mortality_Matrix!$A$4:$A$64,0),MATCH(2039,Mortality_Matrix!$B$3:$BS$3,0)))/INDEX(Mortality_Matrix!$B$4:$BS$64,MATCH($A124,Mortality_Matrix!$A$4:$A$64,0),MATCH(2039,Mortality_Matrix!$B$3:$BS$3,0))</f>
        <v>-2.0554881977367E-010</v>
      </c>
      <c r="AD124" s="27" t="n">
        <f aca="false">(AD58-INDEX(Mortality_Matrix!$B$4:$BS$64,MATCH($A124,Mortality_Matrix!$A$4:$A$64,0),MATCH(2040,Mortality_Matrix!$B$3:$BS$3,0)))/INDEX(Mortality_Matrix!$B$4:$BS$64,MATCH($A124,Mortality_Matrix!$A$4:$A$64,0),MATCH(2040,Mortality_Matrix!$B$3:$BS$3,0))</f>
        <v>-1.80903956539943E-010</v>
      </c>
      <c r="AE124" s="27" t="n">
        <f aca="false">(AE58-INDEX(Mortality_Matrix!$B$4:$BS$64,MATCH($A124,Mortality_Matrix!$A$4:$A$64,0),MATCH(2041,Mortality_Matrix!$B$3:$BS$3,0)))/INDEX(Mortality_Matrix!$B$4:$BS$64,MATCH($A124,Mortality_Matrix!$A$4:$A$64,0),MATCH(2041,Mortality_Matrix!$B$3:$BS$3,0))</f>
        <v>-1.34482182587521E-010</v>
      </c>
      <c r="AF124" s="27" t="n">
        <f aca="false">(AF58-INDEX(Mortality_Matrix!$B$4:$BS$64,MATCH($A124,Mortality_Matrix!$A$4:$A$64,0),MATCH(2042,Mortality_Matrix!$B$3:$BS$3,0)))/INDEX(Mortality_Matrix!$B$4:$BS$64,MATCH($A124,Mortality_Matrix!$A$4:$A$64,0),MATCH(2042,Mortality_Matrix!$B$3:$BS$3,0))</f>
        <v>-1.75191211382479E-010</v>
      </c>
      <c r="AG124" s="27" t="n">
        <f aca="false">(AG58-INDEX(Mortality_Matrix!$B$4:$BS$64,MATCH($A124,Mortality_Matrix!$A$4:$A$64,0),MATCH(2043,Mortality_Matrix!$B$3:$BS$3,0)))/INDEX(Mortality_Matrix!$B$4:$BS$64,MATCH($A124,Mortality_Matrix!$A$4:$A$64,0),MATCH(2043,Mortality_Matrix!$B$3:$BS$3,0))</f>
        <v>1.9676741478223E-010</v>
      </c>
      <c r="AH124" s="27" t="n">
        <f aca="false">(AH58-INDEX(Mortality_Matrix!$B$4:$BS$64,MATCH($A124,Mortality_Matrix!$A$4:$A$64,0),MATCH(2044,Mortality_Matrix!$B$3:$BS$3,0)))/INDEX(Mortality_Matrix!$B$4:$BS$64,MATCH($A124,Mortality_Matrix!$A$4:$A$64,0),MATCH(2044,Mortality_Matrix!$B$3:$BS$3,0))</f>
        <v>-2.15478502091415E-010</v>
      </c>
      <c r="AI124" s="27" t="n">
        <f aca="false">(AI58-INDEX(Mortality_Matrix!$B$4:$BS$64,MATCH($A124,Mortality_Matrix!$A$4:$A$64,0),MATCH(2045,Mortality_Matrix!$B$3:$BS$3,0)))/INDEX(Mortality_Matrix!$B$4:$BS$64,MATCH($A124,Mortality_Matrix!$A$4:$A$64,0),MATCH(2045,Mortality_Matrix!$B$3:$BS$3,0))</f>
        <v>1.39201634666321E-010</v>
      </c>
      <c r="AJ124" s="27" t="n">
        <f aca="false">(AJ58-INDEX(Mortality_Matrix!$B$4:$BS$64,MATCH($A124,Mortality_Matrix!$A$4:$A$64,0),MATCH(2046,Mortality_Matrix!$B$3:$BS$3,0)))/INDEX(Mortality_Matrix!$B$4:$BS$64,MATCH($A124,Mortality_Matrix!$A$4:$A$64,0),MATCH(2046,Mortality_Matrix!$B$3:$BS$3,0))</f>
        <v>-1.57989191030239E-010</v>
      </c>
      <c r="AK124" s="27" t="n">
        <f aca="false">(AK58-INDEX(Mortality_Matrix!$B$4:$BS$64,MATCH($A124,Mortality_Matrix!$A$4:$A$64,0),MATCH(2047,Mortality_Matrix!$B$3:$BS$3,0)))/INDEX(Mortality_Matrix!$B$4:$BS$64,MATCH($A124,Mortality_Matrix!$A$4:$A$64,0),MATCH(2047,Mortality_Matrix!$B$3:$BS$3,0))</f>
        <v>1.40733759844147E-010</v>
      </c>
      <c r="AL124" s="27" t="n">
        <f aca="false">(AL58-INDEX(Mortality_Matrix!$B$4:$BS$64,MATCH($A124,Mortality_Matrix!$A$4:$A$64,0),MATCH(2048,Mortality_Matrix!$B$3:$BS$3,0)))/INDEX(Mortality_Matrix!$B$4:$BS$64,MATCH($A124,Mortality_Matrix!$A$4:$A$64,0),MATCH(2048,Mortality_Matrix!$B$3:$BS$3,0))</f>
        <v>-2.8845930095428E-010</v>
      </c>
      <c r="AM124" s="27" t="n">
        <f aca="false">(AM58-INDEX(Mortality_Matrix!$B$4:$BS$64,MATCH($A124,Mortality_Matrix!$A$4:$A$64,0),MATCH(2049,Mortality_Matrix!$B$3:$BS$3,0)))/INDEX(Mortality_Matrix!$B$4:$BS$64,MATCH($A124,Mortality_Matrix!$A$4:$A$64,0),MATCH(2049,Mortality_Matrix!$B$3:$BS$3,0))</f>
        <v>-1.73800155019848E-010</v>
      </c>
      <c r="AN124" s="27" t="n">
        <f aca="false">(AN58-INDEX(Mortality_Matrix!$B$4:$BS$64,MATCH($A124,Mortality_Matrix!$A$4:$A$64,0),MATCH(2050,Mortality_Matrix!$B$3:$BS$3,0)))/INDEX(Mortality_Matrix!$B$4:$BS$64,MATCH($A124,Mortality_Matrix!$A$4:$A$64,0),MATCH(2050,Mortality_Matrix!$B$3:$BS$3,0))</f>
        <v>2.12867300321818E-010</v>
      </c>
      <c r="AO124" s="27" t="n">
        <f aca="false">(AO58-INDEX(Mortality_Matrix!$B$4:$BS$64,MATCH($A124,Mortality_Matrix!$A$4:$A$64,0),MATCH(2051,Mortality_Matrix!$B$3:$BS$3,0)))/INDEX(Mortality_Matrix!$B$4:$BS$64,MATCH($A124,Mortality_Matrix!$A$4:$A$64,0),MATCH(2051,Mortality_Matrix!$B$3:$BS$3,0))</f>
        <v>1.33016722690948E-010</v>
      </c>
      <c r="AP124" s="27" t="n">
        <f aca="false">(AP58-INDEX(Mortality_Matrix!$B$4:$BS$64,MATCH($A124,Mortality_Matrix!$A$4:$A$64,0),MATCH(2052,Mortality_Matrix!$B$3:$BS$3,0)))/INDEX(Mortality_Matrix!$B$4:$BS$64,MATCH($A124,Mortality_Matrix!$A$4:$A$64,0),MATCH(2052,Mortality_Matrix!$B$3:$BS$3,0))</f>
        <v>1.29964521773625E-010</v>
      </c>
      <c r="AQ124" s="27" t="n">
        <f aca="false">(AQ58-INDEX(Mortality_Matrix!$B$4:$BS$64,MATCH($A124,Mortality_Matrix!$A$4:$A$64,0),MATCH(2053,Mortality_Matrix!$B$3:$BS$3,0)))/INDEX(Mortality_Matrix!$B$4:$BS$64,MATCH($A124,Mortality_Matrix!$A$4:$A$64,0),MATCH(2053,Mortality_Matrix!$B$3:$BS$3,0))</f>
        <v>1.78009910256507E-010</v>
      </c>
      <c r="AR124" s="27" t="n">
        <f aca="false">(AR58-INDEX(Mortality_Matrix!$B$4:$BS$64,MATCH($A124,Mortality_Matrix!$A$4:$A$64,0),MATCH(2054,Mortality_Matrix!$B$3:$BS$3,0)))/INDEX(Mortality_Matrix!$B$4:$BS$64,MATCH($A124,Mortality_Matrix!$A$4:$A$64,0),MATCH(2054,Mortality_Matrix!$B$3:$BS$3,0))</f>
        <v>2.15925118160903E-010</v>
      </c>
      <c r="AS124" s="27" t="n">
        <f aca="false">(AS58-INDEX(Mortality_Matrix!$B$4:$BS$64,MATCH($A124,Mortality_Matrix!$A$4:$A$64,0),MATCH(2055,Mortality_Matrix!$B$3:$BS$3,0)))/INDEX(Mortality_Matrix!$B$4:$BS$64,MATCH($A124,Mortality_Matrix!$A$4:$A$64,0),MATCH(2055,Mortality_Matrix!$B$3:$BS$3,0))</f>
        <v>8.35848718917358E-011</v>
      </c>
      <c r="AT124" s="27" t="n">
        <f aca="false">(AT58-INDEX(Mortality_Matrix!$B$4:$BS$64,MATCH($A124,Mortality_Matrix!$A$4:$A$64,0),MATCH(2056,Mortality_Matrix!$B$3:$BS$3,0)))/INDEX(Mortality_Matrix!$B$4:$BS$64,MATCH($A124,Mortality_Matrix!$A$4:$A$64,0),MATCH(2056,Mortality_Matrix!$B$3:$BS$3,0))</f>
        <v>8.86481203354936E-011</v>
      </c>
      <c r="AU124" s="27" t="n">
        <f aca="false">(AU58-INDEX(Mortality_Matrix!$B$4:$BS$64,MATCH($A124,Mortality_Matrix!$A$4:$A$64,0),MATCH(2057,Mortality_Matrix!$B$3:$BS$3,0)))/INDEX(Mortality_Matrix!$B$4:$BS$64,MATCH($A124,Mortality_Matrix!$A$4:$A$64,0),MATCH(2057,Mortality_Matrix!$B$3:$BS$3,0))</f>
        <v>-3.11146255614026E-010</v>
      </c>
      <c r="AV124" s="27" t="n">
        <f aca="false">(AV58-INDEX(Mortality_Matrix!$B$4:$BS$64,MATCH($A124,Mortality_Matrix!$A$4:$A$64,0),MATCH(2058,Mortality_Matrix!$B$3:$BS$3,0)))/INDEX(Mortality_Matrix!$B$4:$BS$64,MATCH($A124,Mortality_Matrix!$A$4:$A$64,0),MATCH(2058,Mortality_Matrix!$B$3:$BS$3,0))</f>
        <v>-3.08109879373201E-011</v>
      </c>
      <c r="AW124" s="27" t="n">
        <f aca="false">(AW58-INDEX(Mortality_Matrix!$B$4:$BS$64,MATCH($A124,Mortality_Matrix!$A$4:$A$64,0),MATCH(2059,Mortality_Matrix!$B$3:$BS$3,0)))/INDEX(Mortality_Matrix!$B$4:$BS$64,MATCH($A124,Mortality_Matrix!$A$4:$A$64,0),MATCH(2059,Mortality_Matrix!$B$3:$BS$3,0))</f>
        <v>-2.4736153823048E-010</v>
      </c>
      <c r="AX124" s="27" t="n">
        <f aca="false">(AX58-INDEX(Mortality_Matrix!$B$4:$BS$64,MATCH($A124,Mortality_Matrix!$A$4:$A$64,0),MATCH(2060,Mortality_Matrix!$B$3:$BS$3,0)))/INDEX(Mortality_Matrix!$B$4:$BS$64,MATCH($A124,Mortality_Matrix!$A$4:$A$64,0),MATCH(2060,Mortality_Matrix!$B$3:$BS$3,0))</f>
        <v>2.82457371803383E-011</v>
      </c>
      <c r="AY124" s="27" t="n">
        <f aca="false">(AY58-INDEX(Mortality_Matrix!$B$4:$BS$64,MATCH($A124,Mortality_Matrix!$A$4:$A$64,0),MATCH(2061,Mortality_Matrix!$B$3:$BS$3,0)))/INDEX(Mortality_Matrix!$B$4:$BS$64,MATCH($A124,Mortality_Matrix!$A$4:$A$64,0),MATCH(2061,Mortality_Matrix!$B$3:$BS$3,0))</f>
        <v>1.56644607934255E-011</v>
      </c>
      <c r="AZ124" s="27" t="n">
        <f aca="false">(AZ58-INDEX(Mortality_Matrix!$B$4:$BS$64,MATCH($A124,Mortality_Matrix!$A$4:$A$64,0),MATCH(2062,Mortality_Matrix!$B$3:$BS$3,0)))/INDEX(Mortality_Matrix!$B$4:$BS$64,MATCH($A124,Mortality_Matrix!$A$4:$A$64,0),MATCH(2062,Mortality_Matrix!$B$3:$BS$3,0))</f>
        <v>-3.05062432225905E-010</v>
      </c>
      <c r="BA124" s="27" t="n">
        <f aca="false">(BA58-INDEX(Mortality_Matrix!$B$4:$BS$64,MATCH($A124,Mortality_Matrix!$A$4:$A$64,0),MATCH(2063,Mortality_Matrix!$B$3:$BS$3,0)))/INDEX(Mortality_Matrix!$B$4:$BS$64,MATCH($A124,Mortality_Matrix!$A$4:$A$64,0),MATCH(2063,Mortality_Matrix!$B$3:$BS$3,0))</f>
        <v>-2.20107078007909E-010</v>
      </c>
      <c r="BB124" s="27" t="n">
        <f aca="false">(BB58-INDEX(Mortality_Matrix!$B$4:$BS$64,MATCH($A124,Mortality_Matrix!$A$4:$A$64,0),MATCH(2064,Mortality_Matrix!$B$3:$BS$3,0)))/INDEX(Mortality_Matrix!$B$4:$BS$64,MATCH($A124,Mortality_Matrix!$A$4:$A$64,0),MATCH(2064,Mortality_Matrix!$B$3:$BS$3,0))</f>
        <v>3.28953364800805E-010</v>
      </c>
      <c r="BC124" s="27" t="n">
        <f aca="false">(BC58-INDEX(Mortality_Matrix!$B$4:$BS$64,MATCH($A124,Mortality_Matrix!$A$4:$A$64,0),MATCH(2065,Mortality_Matrix!$B$3:$BS$3,0)))/INDEX(Mortality_Matrix!$B$4:$BS$64,MATCH($A124,Mortality_Matrix!$A$4:$A$64,0),MATCH(2065,Mortality_Matrix!$B$3:$BS$3,0))</f>
        <v>-3.35457167061142E-011</v>
      </c>
      <c r="BD124" s="27" t="n">
        <f aca="false">(BD58-INDEX(Mortality_Matrix!$B$4:$BS$64,MATCH($A124,Mortality_Matrix!$A$4:$A$64,0),MATCH(2066,Mortality_Matrix!$B$3:$BS$3,0)))/INDEX(Mortality_Matrix!$B$4:$BS$64,MATCH($A124,Mortality_Matrix!$A$4:$A$64,0),MATCH(2066,Mortality_Matrix!$B$3:$BS$3,0))</f>
        <v>-8.75832007549696E-011</v>
      </c>
      <c r="BE124" s="27" t="n">
        <f aca="false">(BE58-INDEX(Mortality_Matrix!$B$4:$BS$64,MATCH($A124,Mortality_Matrix!$A$4:$A$64,0),MATCH(2067,Mortality_Matrix!$B$3:$BS$3,0)))/INDEX(Mortality_Matrix!$B$4:$BS$64,MATCH($A124,Mortality_Matrix!$A$4:$A$64,0),MATCH(2067,Mortality_Matrix!$B$3:$BS$3,0))</f>
        <v>-1.54694676877111E-010</v>
      </c>
      <c r="BF124" s="27" t="n">
        <f aca="false">(BF58-INDEX(Mortality_Matrix!$B$4:$BS$64,MATCH($A124,Mortality_Matrix!$A$4:$A$64,0),MATCH(2068,Mortality_Matrix!$B$3:$BS$3,0)))/INDEX(Mortality_Matrix!$B$4:$BS$64,MATCH($A124,Mortality_Matrix!$A$4:$A$64,0),MATCH(2068,Mortality_Matrix!$B$3:$BS$3,0))</f>
        <v>-1.14485433652498E-010</v>
      </c>
      <c r="BG124" s="27" t="n">
        <f aca="false">(BG58-INDEX(Mortality_Matrix!$B$4:$BS$64,MATCH($A124,Mortality_Matrix!$A$4:$A$64,0),MATCH(2069,Mortality_Matrix!$B$3:$BS$3,0)))/INDEX(Mortality_Matrix!$B$4:$BS$64,MATCH($A124,Mortality_Matrix!$A$4:$A$64,0),MATCH(2069,Mortality_Matrix!$B$3:$BS$3,0))</f>
        <v>-1.57907238118876E-010</v>
      </c>
      <c r="BH124" s="27" t="n">
        <f aca="false">(BH58-INDEX(Mortality_Matrix!$B$4:$BS$64,MATCH($A124,Mortality_Matrix!$A$4:$A$64,0),MATCH(2070,Mortality_Matrix!$B$3:$BS$3,0)))/INDEX(Mortality_Matrix!$B$4:$BS$64,MATCH($A124,Mortality_Matrix!$A$4:$A$64,0),MATCH(2070,Mortality_Matrix!$B$3:$BS$3,0))</f>
        <v>-1.44978057477885E-010</v>
      </c>
      <c r="BI124" s="27" t="n">
        <f aca="false">(BI58-INDEX(Mortality_Matrix!$B$4:$BS$64,MATCH($A124,Mortality_Matrix!$A$4:$A$64,0),MATCH(2071,Mortality_Matrix!$B$3:$BS$3,0)))/INDEX(Mortality_Matrix!$B$4:$BS$64,MATCH($A124,Mortality_Matrix!$A$4:$A$64,0),MATCH(2071,Mortality_Matrix!$B$3:$BS$3,0))</f>
        <v>3.48625446566412E-010</v>
      </c>
      <c r="BJ124" s="27" t="n">
        <f aca="false">(BJ58-INDEX(Mortality_Matrix!$B$4:$BS$64,MATCH($A124,Mortality_Matrix!$A$4:$A$64,0),MATCH(2072,Mortality_Matrix!$B$3:$BS$3,0)))/INDEX(Mortality_Matrix!$B$4:$BS$64,MATCH($A124,Mortality_Matrix!$A$4:$A$64,0),MATCH(2072,Mortality_Matrix!$B$3:$BS$3,0))</f>
        <v>-2.11630121568763E-010</v>
      </c>
      <c r="BK124" s="27" t="n">
        <f aca="false">(BK58-INDEX(Mortality_Matrix!$B$4:$BS$64,MATCH($A124,Mortality_Matrix!$A$4:$A$64,0),MATCH(2073,Mortality_Matrix!$B$3:$BS$3,0)))/INDEX(Mortality_Matrix!$B$4:$BS$64,MATCH($A124,Mortality_Matrix!$A$4:$A$64,0),MATCH(2073,Mortality_Matrix!$B$3:$BS$3,0))</f>
        <v>-3.03886026777773E-010</v>
      </c>
      <c r="BL124" s="27" t="n">
        <f aca="false">(BL58-INDEX(Mortality_Matrix!$B$4:$BS$64,MATCH($A124,Mortality_Matrix!$A$4:$A$64,0),MATCH(2074,Mortality_Matrix!$B$3:$BS$3,0)))/INDEX(Mortality_Matrix!$B$4:$BS$64,MATCH($A124,Mortality_Matrix!$A$4:$A$64,0),MATCH(2074,Mortality_Matrix!$B$3:$BS$3,0))</f>
        <v>2.59889192613714E-010</v>
      </c>
      <c r="BM124" s="27" t="n">
        <f aca="false">(BM58-INDEX(Mortality_Matrix!$B$4:$BS$64,MATCH($A124,Mortality_Matrix!$A$4:$A$64,0),MATCH(2075,Mortality_Matrix!$B$3:$BS$3,0)))/INDEX(Mortality_Matrix!$B$4:$BS$64,MATCH($A124,Mortality_Matrix!$A$4:$A$64,0),MATCH(2075,Mortality_Matrix!$B$3:$BS$3,0))</f>
        <v>2.10289436856183E-010</v>
      </c>
      <c r="BN124" s="27" t="n">
        <f aca="false">(BN58-INDEX(Mortality_Matrix!$B$4:$BS$64,MATCH($A124,Mortality_Matrix!$A$4:$A$64,0),MATCH(2076,Mortality_Matrix!$B$3:$BS$3,0)))/INDEX(Mortality_Matrix!$B$4:$BS$64,MATCH($A124,Mortality_Matrix!$A$4:$A$64,0),MATCH(2076,Mortality_Matrix!$B$3:$BS$3,0))</f>
        <v>-2.74288620533249E-010</v>
      </c>
      <c r="BO124" s="27" t="n">
        <f aca="false">(BO58-INDEX(Mortality_Matrix!$B$4:$BS$64,MATCH($A124,Mortality_Matrix!$A$4:$A$64,0),MATCH(2077,Mortality_Matrix!$B$3:$BS$3,0)))/INDEX(Mortality_Matrix!$B$4:$BS$64,MATCH($A124,Mortality_Matrix!$A$4:$A$64,0),MATCH(2077,Mortality_Matrix!$B$3:$BS$3,0))</f>
        <v>-3.27854324461497E-010</v>
      </c>
      <c r="BP124" s="27" t="n">
        <f aca="false">(BP58-INDEX(Mortality_Matrix!$B$4:$BS$64,MATCH($A124,Mortality_Matrix!$A$4:$A$64,0),MATCH(2078,Mortality_Matrix!$B$3:$BS$3,0)))/INDEX(Mortality_Matrix!$B$4:$BS$64,MATCH($A124,Mortality_Matrix!$A$4:$A$64,0),MATCH(2078,Mortality_Matrix!$B$3:$BS$3,0))</f>
        <v>2.81181234936094E-011</v>
      </c>
      <c r="BQ124" s="27" t="n">
        <f aca="false">(BQ58-INDEX(Mortality_Matrix!$B$4:$BS$64,MATCH($A124,Mortality_Matrix!$A$4:$A$64,0),MATCH(2079,Mortality_Matrix!$B$3:$BS$3,0)))/INDEX(Mortality_Matrix!$B$4:$BS$64,MATCH($A124,Mortality_Matrix!$A$4:$A$64,0),MATCH(2079,Mortality_Matrix!$B$3:$BS$3,0))</f>
        <v>-2.18105106894591E-010</v>
      </c>
      <c r="BR124" s="27" t="n">
        <f aca="false">(BR58-INDEX(Mortality_Matrix!$B$4:$BS$64,MATCH($A124,Mortality_Matrix!$A$4:$A$64,0),MATCH(2080,Mortality_Matrix!$B$3:$BS$3,0)))/INDEX(Mortality_Matrix!$B$4:$BS$64,MATCH($A124,Mortality_Matrix!$A$4:$A$64,0),MATCH(2080,Mortality_Matrix!$B$3:$BS$3,0))</f>
        <v>-3.01882506567909E-011</v>
      </c>
      <c r="BS124" s="27" t="n">
        <f aca="false">(BS58-INDEX(Mortality_Matrix!$B$4:$BS$64,MATCH($A124,Mortality_Matrix!$A$4:$A$64,0),MATCH(2081,Mortality_Matrix!$B$3:$BS$3,0)))/INDEX(Mortality_Matrix!$B$4:$BS$64,MATCH($A124,Mortality_Matrix!$A$4:$A$64,0),MATCH(2081,Mortality_Matrix!$B$3:$BS$3,0))</f>
        <v>-2.58688600073883E-010</v>
      </c>
      <c r="BT124" s="27" t="n">
        <f aca="false">(BT58-INDEX(Mortality_Matrix!$B$4:$BS$64,MATCH($A124,Mortality_Matrix!$A$4:$A$64,0),MATCH(2082,Mortality_Matrix!$B$3:$BS$3,0)))/INDEX(Mortality_Matrix!$B$4:$BS$64,MATCH($A124,Mortality_Matrix!$A$4:$A$64,0),MATCH(2082,Mortality_Matrix!$B$3:$BS$3,0))</f>
        <v>2.13671059824308E-010</v>
      </c>
      <c r="BU124" s="27" t="n">
        <f aca="false">(BU58-INDEX(Mortality_Matrix!$B$4:$BS$64,MATCH($A124,Mortality_Matrix!$A$4:$A$64,0),MATCH(2083,Mortality_Matrix!$B$3:$BS$3,0)))/INDEX(Mortality_Matrix!$B$4:$BS$64,MATCH($A124,Mortality_Matrix!$A$4:$A$64,0),MATCH(2083,Mortality_Matrix!$B$3:$BS$3,0))</f>
        <v>-3.46998136673039E-010</v>
      </c>
      <c r="BV124" s="27" t="n">
        <f aca="false">(BV58-INDEX(Mortality_Matrix!$B$4:$BS$64,MATCH($A124,Mortality_Matrix!$A$4:$A$64,0),MATCH(2084,Mortality_Matrix!$B$3:$BS$3,0)))/INDEX(Mortality_Matrix!$B$4:$BS$64,MATCH($A124,Mortality_Matrix!$A$4:$A$64,0),MATCH(2084,Mortality_Matrix!$B$3:$BS$3,0))</f>
        <v>-1.96182806443049E-010</v>
      </c>
      <c r="BW124" s="27" t="n">
        <f aca="false">(BW58-INDEX(Mortality_Matrix!$B$4:$BS$64,MATCH($A124,Mortality_Matrix!$A$4:$A$64,0),MATCH(2085,Mortality_Matrix!$B$3:$BS$3,0)))/INDEX(Mortality_Matrix!$B$4:$BS$64,MATCH($A124,Mortality_Matrix!$A$4:$A$64,0),MATCH(2085,Mortality_Matrix!$B$3:$BS$3,0))</f>
        <v>2.28289697462302E-010</v>
      </c>
      <c r="BX124" s="27" t="n">
        <f aca="false">(BX58-INDEX(Mortality_Matrix!$B$4:$BS$64,MATCH($A124,Mortality_Matrix!$A$4:$A$64,0),MATCH(2086,Mortality_Matrix!$B$3:$BS$3,0)))/INDEX(Mortality_Matrix!$B$4:$BS$64,MATCH($A124,Mortality_Matrix!$A$4:$A$64,0),MATCH(2086,Mortality_Matrix!$B$3:$BS$3,0))</f>
        <v>-1.95887303632398E-010</v>
      </c>
      <c r="BY124" s="27" t="n">
        <f aca="false">(BY58-INDEX(Mortality_Matrix!$B$4:$BS$64,MATCH($A124,Mortality_Matrix!$A$4:$A$64,0),MATCH(2087,Mortality_Matrix!$B$3:$BS$3,0)))/INDEX(Mortality_Matrix!$B$4:$BS$64,MATCH($A124,Mortality_Matrix!$A$4:$A$64,0),MATCH(2087,Mortality_Matrix!$B$3:$BS$3,0))</f>
        <v>-1.74720310290874E-011</v>
      </c>
      <c r="BZ124" s="27" t="n">
        <f aca="false">(BZ58-INDEX(Mortality_Matrix!$B$4:$BS$64,MATCH($A124,Mortality_Matrix!$A$4:$A$64,0),MATCH(2088,Mortality_Matrix!$B$3:$BS$3,0)))/INDEX(Mortality_Matrix!$B$4:$BS$64,MATCH($A124,Mortality_Matrix!$A$4:$A$64,0),MATCH(2088,Mortality_Matrix!$B$3:$BS$3,0))</f>
        <v>-2.27090957432702E-010</v>
      </c>
      <c r="CA124" s="27" t="n">
        <f aca="false">(CA58-INDEX(Mortality_Matrix!$B$4:$BS$64,MATCH($A124,Mortality_Matrix!$A$4:$A$64,0),MATCH(2089,Mortality_Matrix!$B$3:$BS$3,0)))/INDEX(Mortality_Matrix!$B$4:$BS$64,MATCH($A124,Mortality_Matrix!$A$4:$A$64,0),MATCH(2089,Mortality_Matrix!$B$3:$BS$3,0))</f>
        <v>-1.66534141492667E-010</v>
      </c>
      <c r="CB124" s="27" t="n">
        <f aca="false">(CB58-INDEX(Mortality_Matrix!$B$4:$BS$64,MATCH($A124,Mortality_Matrix!$A$4:$A$64,0),MATCH(2090,Mortality_Matrix!$B$3:$BS$3,0)))/INDEX(Mortality_Matrix!$B$4:$BS$64,MATCH($A124,Mortality_Matrix!$A$4:$A$64,0),MATCH(2090,Mortality_Matrix!$B$3:$BS$3,0))</f>
        <v>-9.68206811054625E-011</v>
      </c>
      <c r="CC124" s="27" t="n">
        <f aca="false">(CC58-INDEX(Mortality_Matrix!$B$4:$BS$64,MATCH($A124,Mortality_Matrix!$A$4:$A$64,0),MATCH(2091,Mortality_Matrix!$B$3:$BS$3,0)))/INDEX(Mortality_Matrix!$B$4:$BS$64,MATCH($A124,Mortality_Matrix!$A$4:$A$64,0),MATCH(2091,Mortality_Matrix!$B$3:$BS$3,0))</f>
        <v>-4.33789491671174E-010</v>
      </c>
    </row>
    <row r="125" customFormat="false" ht="15" hidden="false" customHeight="true" outlineLevel="0" collapsed="false">
      <c r="A125" s="3" t="n">
        <v>96</v>
      </c>
      <c r="L125" s="27" t="n">
        <f aca="false">(L59-INDEX(Mortality_Matrix!$B$4:$BS$64,MATCH($A125,Mortality_Matrix!$A$4:$A$64,0),MATCH(2022,Mortality_Matrix!$B$3:$BS$3,0)))/INDEX(Mortality_Matrix!$B$4:$BS$64,MATCH($A125,Mortality_Matrix!$A$4:$A$64,0),MATCH(2022,Mortality_Matrix!$B$3:$BS$3,0))</f>
        <v>-1.98687811070237E-010</v>
      </c>
      <c r="M125" s="27" t="n">
        <f aca="false">(M59-INDEX(Mortality_Matrix!$B$4:$BS$64,MATCH($A125,Mortality_Matrix!$A$4:$A$64,0),MATCH(2023,Mortality_Matrix!$B$3:$BS$3,0)))/INDEX(Mortality_Matrix!$B$4:$BS$64,MATCH($A125,Mortality_Matrix!$A$4:$A$64,0),MATCH(2023,Mortality_Matrix!$B$3:$BS$3,0))</f>
        <v>1.26980512738056E-010</v>
      </c>
      <c r="N125" s="27" t="n">
        <f aca="false">(N59-INDEX(Mortality_Matrix!$B$4:$BS$64,MATCH($A125,Mortality_Matrix!$A$4:$A$64,0),MATCH(2024,Mortality_Matrix!$B$3:$BS$3,0)))/INDEX(Mortality_Matrix!$B$4:$BS$64,MATCH($A125,Mortality_Matrix!$A$4:$A$64,0),MATCH(2024,Mortality_Matrix!$B$3:$BS$3,0))</f>
        <v>-1.5835595557249E-011</v>
      </c>
      <c r="O125" s="27" t="n">
        <f aca="false">(O59-INDEX(Mortality_Matrix!$B$4:$BS$64,MATCH($A125,Mortality_Matrix!$A$4:$A$64,0),MATCH(2025,Mortality_Matrix!$B$3:$BS$3,0)))/INDEX(Mortality_Matrix!$B$4:$BS$64,MATCH($A125,Mortality_Matrix!$A$4:$A$64,0),MATCH(2025,Mortality_Matrix!$B$3:$BS$3,0))</f>
        <v>2.23982145064134E-010</v>
      </c>
      <c r="P125" s="27" t="n">
        <f aca="false">(P59-INDEX(Mortality_Matrix!$B$4:$BS$64,MATCH($A125,Mortality_Matrix!$A$4:$A$64,0),MATCH(2026,Mortality_Matrix!$B$3:$BS$3,0)))/INDEX(Mortality_Matrix!$B$4:$BS$64,MATCH($A125,Mortality_Matrix!$A$4:$A$64,0),MATCH(2026,Mortality_Matrix!$B$3:$BS$3,0))</f>
        <v>-2.57828261749874E-011</v>
      </c>
      <c r="Q125" s="27" t="n">
        <f aca="false">(Q59-INDEX(Mortality_Matrix!$B$4:$BS$64,MATCH($A125,Mortality_Matrix!$A$4:$A$64,0),MATCH(2027,Mortality_Matrix!$B$3:$BS$3,0)))/INDEX(Mortality_Matrix!$B$4:$BS$64,MATCH($A125,Mortality_Matrix!$A$4:$A$64,0),MATCH(2027,Mortality_Matrix!$B$3:$BS$3,0))</f>
        <v>1.43553621655281E-010</v>
      </c>
      <c r="R125" s="27" t="n">
        <f aca="false">(R59-INDEX(Mortality_Matrix!$B$4:$BS$64,MATCH($A125,Mortality_Matrix!$A$4:$A$64,0),MATCH(2028,Mortality_Matrix!$B$3:$BS$3,0)))/INDEX(Mortality_Matrix!$B$4:$BS$64,MATCH($A125,Mortality_Matrix!$A$4:$A$64,0),MATCH(2028,Mortality_Matrix!$B$3:$BS$3,0))</f>
        <v>-1.93332418105747E-010</v>
      </c>
      <c r="S125" s="27" t="n">
        <f aca="false">(S59-INDEX(Mortality_Matrix!$B$4:$BS$64,MATCH($A125,Mortality_Matrix!$A$4:$A$64,0),MATCH(2029,Mortality_Matrix!$B$3:$BS$3,0)))/INDEX(Mortality_Matrix!$B$4:$BS$64,MATCH($A125,Mortality_Matrix!$A$4:$A$64,0),MATCH(2029,Mortality_Matrix!$B$3:$BS$3,0))</f>
        <v>1.49437442845005E-011</v>
      </c>
      <c r="T125" s="27" t="n">
        <f aca="false">(T59-INDEX(Mortality_Matrix!$B$4:$BS$64,MATCH($A125,Mortality_Matrix!$A$4:$A$64,0),MATCH(2030,Mortality_Matrix!$B$3:$BS$3,0)))/INDEX(Mortality_Matrix!$B$4:$BS$64,MATCH($A125,Mortality_Matrix!$A$4:$A$64,0),MATCH(2030,Mortality_Matrix!$B$3:$BS$3,0))</f>
        <v>-9.71787112771865E-011</v>
      </c>
      <c r="U125" s="27" t="n">
        <f aca="false">(U59-INDEX(Mortality_Matrix!$B$4:$BS$64,MATCH($A125,Mortality_Matrix!$A$4:$A$64,0),MATCH(2031,Mortality_Matrix!$B$3:$BS$3,0)))/INDEX(Mortality_Matrix!$B$4:$BS$64,MATCH($A125,Mortality_Matrix!$A$4:$A$64,0),MATCH(2031,Mortality_Matrix!$B$3:$BS$3,0))</f>
        <v>-9.52686919323152E-011</v>
      </c>
      <c r="V125" s="27" t="n">
        <f aca="false">(V59-INDEX(Mortality_Matrix!$B$4:$BS$64,MATCH($A125,Mortality_Matrix!$A$4:$A$64,0),MATCH(2032,Mortality_Matrix!$B$3:$BS$3,0)))/INDEX(Mortality_Matrix!$B$4:$BS$64,MATCH($A125,Mortality_Matrix!$A$4:$A$64,0),MATCH(2032,Mortality_Matrix!$B$3:$BS$3,0))</f>
        <v>-1.59025332877134E-010</v>
      </c>
      <c r="W125" s="27" t="n">
        <f aca="false">(W59-INDEX(Mortality_Matrix!$B$4:$BS$64,MATCH($A125,Mortality_Matrix!$A$4:$A$64,0),MATCH(2033,Mortality_Matrix!$B$3:$BS$3,0)))/INDEX(Mortality_Matrix!$B$4:$BS$64,MATCH($A125,Mortality_Matrix!$A$4:$A$64,0),MATCH(2033,Mortality_Matrix!$B$3:$BS$3,0))</f>
        <v>-1.8097566120674E-010</v>
      </c>
      <c r="X125" s="27" t="n">
        <f aca="false">(X59-INDEX(Mortality_Matrix!$B$4:$BS$64,MATCH($A125,Mortality_Matrix!$A$4:$A$64,0),MATCH(2034,Mortality_Matrix!$B$3:$BS$3,0)))/INDEX(Mortality_Matrix!$B$4:$BS$64,MATCH($A125,Mortality_Matrix!$A$4:$A$64,0),MATCH(2034,Mortality_Matrix!$B$3:$BS$3,0))</f>
        <v>2.02196851517801E-010</v>
      </c>
      <c r="Y125" s="27" t="n">
        <f aca="false">(Y59-INDEX(Mortality_Matrix!$B$4:$BS$64,MATCH($A125,Mortality_Matrix!$A$4:$A$64,0),MATCH(2035,Mortality_Matrix!$B$3:$BS$3,0)))/INDEX(Mortality_Matrix!$B$4:$BS$64,MATCH($A125,Mortality_Matrix!$A$4:$A$64,0),MATCH(2035,Mortality_Matrix!$B$3:$BS$3,0))</f>
        <v>9.51218773455127E-011</v>
      </c>
      <c r="Z125" s="27" t="n">
        <f aca="false">(Z59-INDEX(Mortality_Matrix!$B$4:$BS$64,MATCH($A125,Mortality_Matrix!$A$4:$A$64,0),MATCH(2036,Mortality_Matrix!$B$3:$BS$3,0)))/INDEX(Mortality_Matrix!$B$4:$BS$64,MATCH($A125,Mortality_Matrix!$A$4:$A$64,0),MATCH(2036,Mortality_Matrix!$B$3:$BS$3,0))</f>
        <v>2.34980606172668E-010</v>
      </c>
      <c r="AA125" s="27" t="n">
        <f aca="false">(AA59-INDEX(Mortality_Matrix!$B$4:$BS$64,MATCH($A125,Mortality_Matrix!$A$4:$A$64,0),MATCH(2037,Mortality_Matrix!$B$3:$BS$3,0)))/INDEX(Mortality_Matrix!$B$4:$BS$64,MATCH($A125,Mortality_Matrix!$A$4:$A$64,0),MATCH(2037,Mortality_Matrix!$B$3:$BS$3,0))</f>
        <v>3.92659278071955E-012</v>
      </c>
      <c r="AB125" s="27" t="n">
        <f aca="false">(AB59-INDEX(Mortality_Matrix!$B$4:$BS$64,MATCH($A125,Mortality_Matrix!$A$4:$A$64,0),MATCH(2038,Mortality_Matrix!$B$3:$BS$3,0)))/INDEX(Mortality_Matrix!$B$4:$BS$64,MATCH($A125,Mortality_Matrix!$A$4:$A$64,0),MATCH(2038,Mortality_Matrix!$B$3:$BS$3,0))</f>
        <v>-1.39730108124462E-010</v>
      </c>
      <c r="AC125" s="27" t="n">
        <f aca="false">(AC59-INDEX(Mortality_Matrix!$B$4:$BS$64,MATCH($A125,Mortality_Matrix!$A$4:$A$64,0),MATCH(2039,Mortality_Matrix!$B$3:$BS$3,0)))/INDEX(Mortality_Matrix!$B$4:$BS$64,MATCH($A125,Mortality_Matrix!$A$4:$A$64,0),MATCH(2039,Mortality_Matrix!$B$3:$BS$3,0))</f>
        <v>-1.91631170705088E-010</v>
      </c>
      <c r="AD125" s="27" t="n">
        <f aca="false">(AD59-INDEX(Mortality_Matrix!$B$4:$BS$64,MATCH($A125,Mortality_Matrix!$A$4:$A$64,0),MATCH(2040,Mortality_Matrix!$B$3:$BS$3,0)))/INDEX(Mortality_Matrix!$B$4:$BS$64,MATCH($A125,Mortality_Matrix!$A$4:$A$64,0),MATCH(2040,Mortality_Matrix!$B$3:$BS$3,0))</f>
        <v>-1.49387526906532E-010</v>
      </c>
      <c r="AE125" s="27" t="n">
        <f aca="false">(AE59-INDEX(Mortality_Matrix!$B$4:$BS$64,MATCH($A125,Mortality_Matrix!$A$4:$A$64,0),MATCH(2041,Mortality_Matrix!$B$3:$BS$3,0)))/INDEX(Mortality_Matrix!$B$4:$BS$64,MATCH($A125,Mortality_Matrix!$A$4:$A$64,0),MATCH(2041,Mortality_Matrix!$B$3:$BS$3,0))</f>
        <v>-5.62879370482154E-011</v>
      </c>
      <c r="AF125" s="27" t="n">
        <f aca="false">(AF59-INDEX(Mortality_Matrix!$B$4:$BS$64,MATCH($A125,Mortality_Matrix!$A$4:$A$64,0),MATCH(2042,Mortality_Matrix!$B$3:$BS$3,0)))/INDEX(Mortality_Matrix!$B$4:$BS$64,MATCH($A125,Mortality_Matrix!$A$4:$A$64,0),MATCH(2042,Mortality_Matrix!$B$3:$BS$3,0))</f>
        <v>-4.68571652251191E-011</v>
      </c>
      <c r="AG125" s="27" t="n">
        <f aca="false">(AG59-INDEX(Mortality_Matrix!$B$4:$BS$64,MATCH($A125,Mortality_Matrix!$A$4:$A$64,0),MATCH(2043,Mortality_Matrix!$B$3:$BS$3,0)))/INDEX(Mortality_Matrix!$B$4:$BS$64,MATCH($A125,Mortality_Matrix!$A$4:$A$64,0),MATCH(2043,Mortality_Matrix!$B$3:$BS$3,0))</f>
        <v>1.34056047291611E-010</v>
      </c>
      <c r="AH125" s="27" t="n">
        <f aca="false">(AH59-INDEX(Mortality_Matrix!$B$4:$BS$64,MATCH($A125,Mortality_Matrix!$A$4:$A$64,0),MATCH(2044,Mortality_Matrix!$B$3:$BS$3,0)))/INDEX(Mortality_Matrix!$B$4:$BS$64,MATCH($A125,Mortality_Matrix!$A$4:$A$64,0),MATCH(2044,Mortality_Matrix!$B$3:$BS$3,0))</f>
        <v>3.85704528703911E-011</v>
      </c>
      <c r="AI125" s="27" t="n">
        <f aca="false">(AI59-INDEX(Mortality_Matrix!$B$4:$BS$64,MATCH($A125,Mortality_Matrix!$A$4:$A$64,0),MATCH(2045,Mortality_Matrix!$B$3:$BS$3,0)))/INDEX(Mortality_Matrix!$B$4:$BS$64,MATCH($A125,Mortality_Matrix!$A$4:$A$64,0),MATCH(2045,Mortality_Matrix!$B$3:$BS$3,0))</f>
        <v>5.42612494043518E-011</v>
      </c>
      <c r="AJ125" s="27" t="n">
        <f aca="false">(AJ59-INDEX(Mortality_Matrix!$B$4:$BS$64,MATCH($A125,Mortality_Matrix!$A$4:$A$64,0),MATCH(2046,Mortality_Matrix!$B$3:$BS$3,0)))/INDEX(Mortality_Matrix!$B$4:$BS$64,MATCH($A125,Mortality_Matrix!$A$4:$A$64,0),MATCH(2046,Mortality_Matrix!$B$3:$BS$3,0))</f>
        <v>-2.29482729756505E-010</v>
      </c>
      <c r="AK125" s="27" t="n">
        <f aca="false">(AK59-INDEX(Mortality_Matrix!$B$4:$BS$64,MATCH($A125,Mortality_Matrix!$A$4:$A$64,0),MATCH(2047,Mortality_Matrix!$B$3:$BS$3,0)))/INDEX(Mortality_Matrix!$B$4:$BS$64,MATCH($A125,Mortality_Matrix!$A$4:$A$64,0),MATCH(2047,Mortality_Matrix!$B$3:$BS$3,0))</f>
        <v>8.68318883163299E-011</v>
      </c>
      <c r="AL125" s="27" t="n">
        <f aca="false">(AL59-INDEX(Mortality_Matrix!$B$4:$BS$64,MATCH($A125,Mortality_Matrix!$A$4:$A$64,0),MATCH(2048,Mortality_Matrix!$B$3:$BS$3,0)))/INDEX(Mortality_Matrix!$B$4:$BS$64,MATCH($A125,Mortality_Matrix!$A$4:$A$64,0),MATCH(2048,Mortality_Matrix!$B$3:$BS$3,0))</f>
        <v>-8.18139718920633E-011</v>
      </c>
      <c r="AM125" s="27" t="n">
        <f aca="false">(AM59-INDEX(Mortality_Matrix!$B$4:$BS$64,MATCH($A125,Mortality_Matrix!$A$4:$A$64,0),MATCH(2049,Mortality_Matrix!$B$3:$BS$3,0)))/INDEX(Mortality_Matrix!$B$4:$BS$64,MATCH($A125,Mortality_Matrix!$A$4:$A$64,0),MATCH(2049,Mortality_Matrix!$B$3:$BS$3,0))</f>
        <v>-4.26854819476336E-011</v>
      </c>
      <c r="AN125" s="27" t="n">
        <f aca="false">(AN59-INDEX(Mortality_Matrix!$B$4:$BS$64,MATCH($A125,Mortality_Matrix!$A$4:$A$64,0),MATCH(2050,Mortality_Matrix!$B$3:$BS$3,0)))/INDEX(Mortality_Matrix!$B$4:$BS$64,MATCH($A125,Mortality_Matrix!$A$4:$A$64,0),MATCH(2050,Mortality_Matrix!$B$3:$BS$3,0))</f>
        <v>-9.5373245405664E-011</v>
      </c>
      <c r="AO125" s="27" t="n">
        <f aca="false">(AO59-INDEX(Mortality_Matrix!$B$4:$BS$64,MATCH($A125,Mortality_Matrix!$A$4:$A$64,0),MATCH(2051,Mortality_Matrix!$B$3:$BS$3,0)))/INDEX(Mortality_Matrix!$B$4:$BS$64,MATCH($A125,Mortality_Matrix!$A$4:$A$64,0),MATCH(2051,Mortality_Matrix!$B$3:$BS$3,0))</f>
        <v>7.78211322301315E-011</v>
      </c>
      <c r="AP125" s="27" t="n">
        <f aca="false">(AP59-INDEX(Mortality_Matrix!$B$4:$BS$64,MATCH($A125,Mortality_Matrix!$A$4:$A$64,0),MATCH(2052,Mortality_Matrix!$B$3:$BS$3,0)))/INDEX(Mortality_Matrix!$B$4:$BS$64,MATCH($A125,Mortality_Matrix!$A$4:$A$64,0),MATCH(2052,Mortality_Matrix!$B$3:$BS$3,0))</f>
        <v>2.54534641350528E-010</v>
      </c>
      <c r="AQ125" s="27" t="n">
        <f aca="false">(AQ59-INDEX(Mortality_Matrix!$B$4:$BS$64,MATCH($A125,Mortality_Matrix!$A$4:$A$64,0),MATCH(2053,Mortality_Matrix!$B$3:$BS$3,0)))/INDEX(Mortality_Matrix!$B$4:$BS$64,MATCH($A125,Mortality_Matrix!$A$4:$A$64,0),MATCH(2053,Mortality_Matrix!$B$3:$BS$3,0))</f>
        <v>1.80491120150159E-010</v>
      </c>
      <c r="AR125" s="27" t="n">
        <f aca="false">(AR59-INDEX(Mortality_Matrix!$B$4:$BS$64,MATCH($A125,Mortality_Matrix!$A$4:$A$64,0),MATCH(2054,Mortality_Matrix!$B$3:$BS$3,0)))/INDEX(Mortality_Matrix!$B$4:$BS$64,MATCH($A125,Mortality_Matrix!$A$4:$A$64,0),MATCH(2054,Mortality_Matrix!$B$3:$BS$3,0))</f>
        <v>1.04429042990227E-010</v>
      </c>
      <c r="AS125" s="27" t="n">
        <f aca="false">(AS59-INDEX(Mortality_Matrix!$B$4:$BS$64,MATCH($A125,Mortality_Matrix!$A$4:$A$64,0),MATCH(2055,Mortality_Matrix!$B$3:$BS$3,0)))/INDEX(Mortality_Matrix!$B$4:$BS$64,MATCH($A125,Mortality_Matrix!$A$4:$A$64,0),MATCH(2055,Mortality_Matrix!$B$3:$BS$3,0))</f>
        <v>1.71313410466536E-010</v>
      </c>
      <c r="AT125" s="27" t="n">
        <f aca="false">(AT59-INDEX(Mortality_Matrix!$B$4:$BS$64,MATCH($A125,Mortality_Matrix!$A$4:$A$64,0),MATCH(2056,Mortality_Matrix!$B$3:$BS$3,0)))/INDEX(Mortality_Matrix!$B$4:$BS$64,MATCH($A125,Mortality_Matrix!$A$4:$A$64,0),MATCH(2056,Mortality_Matrix!$B$3:$BS$3,0))</f>
        <v>-2.15468241592359E-010</v>
      </c>
      <c r="AU125" s="27" t="n">
        <f aca="false">(AU59-INDEX(Mortality_Matrix!$B$4:$BS$64,MATCH($A125,Mortality_Matrix!$A$4:$A$64,0),MATCH(2057,Mortality_Matrix!$B$3:$BS$3,0)))/INDEX(Mortality_Matrix!$B$4:$BS$64,MATCH($A125,Mortality_Matrix!$A$4:$A$64,0),MATCH(2057,Mortality_Matrix!$B$3:$BS$3,0))</f>
        <v>-9.08398198721456E-011</v>
      </c>
      <c r="AV125" s="27" t="n">
        <f aca="false">(AV59-INDEX(Mortality_Matrix!$B$4:$BS$64,MATCH($A125,Mortality_Matrix!$A$4:$A$64,0),MATCH(2058,Mortality_Matrix!$B$3:$BS$3,0)))/INDEX(Mortality_Matrix!$B$4:$BS$64,MATCH($A125,Mortality_Matrix!$A$4:$A$64,0),MATCH(2058,Mortality_Matrix!$B$3:$BS$3,0))</f>
        <v>9.67268177017769E-011</v>
      </c>
      <c r="AW125" s="27" t="n">
        <f aca="false">(AW59-INDEX(Mortality_Matrix!$B$4:$BS$64,MATCH($A125,Mortality_Matrix!$A$4:$A$64,0),MATCH(2059,Mortality_Matrix!$B$3:$BS$3,0)))/INDEX(Mortality_Matrix!$B$4:$BS$64,MATCH($A125,Mortality_Matrix!$A$4:$A$64,0),MATCH(2059,Mortality_Matrix!$B$3:$BS$3,0))</f>
        <v>1.95174990337223E-010</v>
      </c>
      <c r="AX125" s="27" t="n">
        <f aca="false">(AX59-INDEX(Mortality_Matrix!$B$4:$BS$64,MATCH($A125,Mortality_Matrix!$A$4:$A$64,0),MATCH(2060,Mortality_Matrix!$B$3:$BS$3,0)))/INDEX(Mortality_Matrix!$B$4:$BS$64,MATCH($A125,Mortality_Matrix!$A$4:$A$64,0),MATCH(2060,Mortality_Matrix!$B$3:$BS$3,0))</f>
        <v>-2.91721310652332E-010</v>
      </c>
      <c r="AY125" s="27" t="n">
        <f aca="false">(AY59-INDEX(Mortality_Matrix!$B$4:$BS$64,MATCH($A125,Mortality_Matrix!$A$4:$A$64,0),MATCH(2061,Mortality_Matrix!$B$3:$BS$3,0)))/INDEX(Mortality_Matrix!$B$4:$BS$64,MATCH($A125,Mortality_Matrix!$A$4:$A$64,0),MATCH(2061,Mortality_Matrix!$B$3:$BS$3,0))</f>
        <v>1.97577525283022E-010</v>
      </c>
      <c r="AZ125" s="27" t="n">
        <f aca="false">(AZ59-INDEX(Mortality_Matrix!$B$4:$BS$64,MATCH($A125,Mortality_Matrix!$A$4:$A$64,0),MATCH(2062,Mortality_Matrix!$B$3:$BS$3,0)))/INDEX(Mortality_Matrix!$B$4:$BS$64,MATCH($A125,Mortality_Matrix!$A$4:$A$64,0),MATCH(2062,Mortality_Matrix!$B$3:$BS$3,0))</f>
        <v>-2.55676416025603E-010</v>
      </c>
      <c r="BA125" s="27" t="n">
        <f aca="false">(BA59-INDEX(Mortality_Matrix!$B$4:$BS$64,MATCH($A125,Mortality_Matrix!$A$4:$A$64,0),MATCH(2063,Mortality_Matrix!$B$3:$BS$3,0)))/INDEX(Mortality_Matrix!$B$4:$BS$64,MATCH($A125,Mortality_Matrix!$A$4:$A$64,0),MATCH(2063,Mortality_Matrix!$B$3:$BS$3,0))</f>
        <v>2.62963225766183E-010</v>
      </c>
      <c r="BB125" s="27" t="n">
        <f aca="false">(BB59-INDEX(Mortality_Matrix!$B$4:$BS$64,MATCH($A125,Mortality_Matrix!$A$4:$A$64,0),MATCH(2064,Mortality_Matrix!$B$3:$BS$3,0)))/INDEX(Mortality_Matrix!$B$4:$BS$64,MATCH($A125,Mortality_Matrix!$A$4:$A$64,0),MATCH(2064,Mortality_Matrix!$B$3:$BS$3,0))</f>
        <v>5.20344350246128E-011</v>
      </c>
      <c r="BC125" s="27" t="n">
        <f aca="false">(BC59-INDEX(Mortality_Matrix!$B$4:$BS$64,MATCH($A125,Mortality_Matrix!$A$4:$A$64,0),MATCH(2065,Mortality_Matrix!$B$3:$BS$3,0)))/INDEX(Mortality_Matrix!$B$4:$BS$64,MATCH($A125,Mortality_Matrix!$A$4:$A$64,0),MATCH(2065,Mortality_Matrix!$B$3:$BS$3,0))</f>
        <v>-4.28733806491309E-011</v>
      </c>
      <c r="BD125" s="27" t="n">
        <f aca="false">(BD59-INDEX(Mortality_Matrix!$B$4:$BS$64,MATCH($A125,Mortality_Matrix!$A$4:$A$64,0),MATCH(2066,Mortality_Matrix!$B$3:$BS$3,0)))/INDEX(Mortality_Matrix!$B$4:$BS$64,MATCH($A125,Mortality_Matrix!$A$4:$A$64,0),MATCH(2066,Mortality_Matrix!$B$3:$BS$3,0))</f>
        <v>2.28866023903806E-010</v>
      </c>
      <c r="BE125" s="27" t="n">
        <f aca="false">(BE59-INDEX(Mortality_Matrix!$B$4:$BS$64,MATCH($A125,Mortality_Matrix!$A$4:$A$64,0),MATCH(2067,Mortality_Matrix!$B$3:$BS$3,0)))/INDEX(Mortality_Matrix!$B$4:$BS$64,MATCH($A125,Mortality_Matrix!$A$4:$A$64,0),MATCH(2067,Mortality_Matrix!$B$3:$BS$3,0))</f>
        <v>-1.9345280905487E-010</v>
      </c>
      <c r="BF125" s="27" t="n">
        <f aca="false">(BF59-INDEX(Mortality_Matrix!$B$4:$BS$64,MATCH($A125,Mortality_Matrix!$A$4:$A$64,0),MATCH(2068,Mortality_Matrix!$B$3:$BS$3,0)))/INDEX(Mortality_Matrix!$B$4:$BS$64,MATCH($A125,Mortality_Matrix!$A$4:$A$64,0),MATCH(2068,Mortality_Matrix!$B$3:$BS$3,0))</f>
        <v>1.33276697260987E-010</v>
      </c>
      <c r="BG125" s="27" t="n">
        <f aca="false">(BG59-INDEX(Mortality_Matrix!$B$4:$BS$64,MATCH($A125,Mortality_Matrix!$A$4:$A$64,0),MATCH(2069,Mortality_Matrix!$B$3:$BS$3,0)))/INDEX(Mortality_Matrix!$B$4:$BS$64,MATCH($A125,Mortality_Matrix!$A$4:$A$64,0),MATCH(2069,Mortality_Matrix!$B$3:$BS$3,0))</f>
        <v>-4.43675204251791E-011</v>
      </c>
      <c r="BH125" s="27" t="n">
        <f aca="false">(BH59-INDEX(Mortality_Matrix!$B$4:$BS$64,MATCH($A125,Mortality_Matrix!$A$4:$A$64,0),MATCH(2070,Mortality_Matrix!$B$3:$BS$3,0)))/INDEX(Mortality_Matrix!$B$4:$BS$64,MATCH($A125,Mortality_Matrix!$A$4:$A$64,0),MATCH(2070,Mortality_Matrix!$B$3:$BS$3,0))</f>
        <v>-1.90606262089612E-010</v>
      </c>
      <c r="BI125" s="27" t="n">
        <f aca="false">(BI59-INDEX(Mortality_Matrix!$B$4:$BS$64,MATCH($A125,Mortality_Matrix!$A$4:$A$64,0),MATCH(2071,Mortality_Matrix!$B$3:$BS$3,0)))/INDEX(Mortality_Matrix!$B$4:$BS$64,MATCH($A125,Mortality_Matrix!$A$4:$A$64,0),MATCH(2071,Mortality_Matrix!$B$3:$BS$3,0))</f>
        <v>4.51972389546833E-011</v>
      </c>
      <c r="BJ125" s="27" t="n">
        <f aca="false">(BJ59-INDEX(Mortality_Matrix!$B$4:$BS$64,MATCH($A125,Mortality_Matrix!$A$4:$A$64,0),MATCH(2072,Mortality_Matrix!$B$3:$BS$3,0)))/INDEX(Mortality_Matrix!$B$4:$BS$64,MATCH($A125,Mortality_Matrix!$A$4:$A$64,0),MATCH(2072,Mortality_Matrix!$B$3:$BS$3,0))</f>
        <v>1.01880846515868E-010</v>
      </c>
      <c r="BK125" s="27" t="n">
        <f aca="false">(BK59-INDEX(Mortality_Matrix!$B$4:$BS$64,MATCH($A125,Mortality_Matrix!$A$4:$A$64,0),MATCH(2073,Mortality_Matrix!$B$3:$BS$3,0)))/INDEX(Mortality_Matrix!$B$4:$BS$64,MATCH($A125,Mortality_Matrix!$A$4:$A$64,0),MATCH(2073,Mortality_Matrix!$B$3:$BS$3,0))</f>
        <v>-2.14969308341675E-010</v>
      </c>
      <c r="BL125" s="27" t="n">
        <f aca="false">(BL59-INDEX(Mortality_Matrix!$B$4:$BS$64,MATCH($A125,Mortality_Matrix!$A$4:$A$64,0),MATCH(2074,Mortality_Matrix!$B$3:$BS$3,0)))/INDEX(Mortality_Matrix!$B$4:$BS$64,MATCH($A125,Mortality_Matrix!$A$4:$A$64,0),MATCH(2074,Mortality_Matrix!$B$3:$BS$3,0))</f>
        <v>-7.441805943493E-011</v>
      </c>
      <c r="BM125" s="27" t="n">
        <f aca="false">(BM59-INDEX(Mortality_Matrix!$B$4:$BS$64,MATCH($A125,Mortality_Matrix!$A$4:$A$64,0),MATCH(2075,Mortality_Matrix!$B$3:$BS$3,0)))/INDEX(Mortality_Matrix!$B$4:$BS$64,MATCH($A125,Mortality_Matrix!$A$4:$A$64,0),MATCH(2075,Mortality_Matrix!$B$3:$BS$3,0))</f>
        <v>3.03467951299834E-010</v>
      </c>
      <c r="BN125" s="27" t="n">
        <f aca="false">(BN59-INDEX(Mortality_Matrix!$B$4:$BS$64,MATCH($A125,Mortality_Matrix!$A$4:$A$64,0),MATCH(2076,Mortality_Matrix!$B$3:$BS$3,0)))/INDEX(Mortality_Matrix!$B$4:$BS$64,MATCH($A125,Mortality_Matrix!$A$4:$A$64,0),MATCH(2076,Mortality_Matrix!$B$3:$BS$3,0))</f>
        <v>2.56844188921231E-010</v>
      </c>
      <c r="BO125" s="27" t="n">
        <f aca="false">(BO59-INDEX(Mortality_Matrix!$B$4:$BS$64,MATCH($A125,Mortality_Matrix!$A$4:$A$64,0),MATCH(2077,Mortality_Matrix!$B$3:$BS$3,0)))/INDEX(Mortality_Matrix!$B$4:$BS$64,MATCH($A125,Mortality_Matrix!$A$4:$A$64,0),MATCH(2077,Mortality_Matrix!$B$3:$BS$3,0))</f>
        <v>2.76626194460711E-011</v>
      </c>
      <c r="BP125" s="27" t="n">
        <f aca="false">(BP59-INDEX(Mortality_Matrix!$B$4:$BS$64,MATCH($A125,Mortality_Matrix!$A$4:$A$64,0),MATCH(2078,Mortality_Matrix!$B$3:$BS$3,0)))/INDEX(Mortality_Matrix!$B$4:$BS$64,MATCH($A125,Mortality_Matrix!$A$4:$A$64,0),MATCH(2078,Mortality_Matrix!$B$3:$BS$3,0))</f>
        <v>4.6970199426576E-011</v>
      </c>
      <c r="BQ125" s="27" t="n">
        <f aca="false">(BQ59-INDEX(Mortality_Matrix!$B$4:$BS$64,MATCH($A125,Mortality_Matrix!$A$4:$A$64,0),MATCH(2079,Mortality_Matrix!$B$3:$BS$3,0)))/INDEX(Mortality_Matrix!$B$4:$BS$64,MATCH($A125,Mortality_Matrix!$A$4:$A$64,0),MATCH(2079,Mortality_Matrix!$B$3:$BS$3,0))</f>
        <v>1.83268123970791E-010</v>
      </c>
      <c r="BR125" s="27" t="n">
        <f aca="false">(BR59-INDEX(Mortality_Matrix!$B$4:$BS$64,MATCH($A125,Mortality_Matrix!$A$4:$A$64,0),MATCH(2080,Mortality_Matrix!$B$3:$BS$3,0)))/INDEX(Mortality_Matrix!$B$4:$BS$64,MATCH($A125,Mortality_Matrix!$A$4:$A$64,0),MATCH(2080,Mortality_Matrix!$B$3:$BS$3,0))</f>
        <v>-3.25248339389983E-010</v>
      </c>
      <c r="BS125" s="27" t="n">
        <f aca="false">(BS59-INDEX(Mortality_Matrix!$B$4:$BS$64,MATCH($A125,Mortality_Matrix!$A$4:$A$64,0),MATCH(2081,Mortality_Matrix!$B$3:$BS$3,0)))/INDEX(Mortality_Matrix!$B$4:$BS$64,MATCH($A125,Mortality_Matrix!$A$4:$A$64,0),MATCH(2081,Mortality_Matrix!$B$3:$BS$3,0))</f>
        <v>-2.87946052190474E-011</v>
      </c>
      <c r="BT125" s="27" t="n">
        <f aca="false">(BT59-INDEX(Mortality_Matrix!$B$4:$BS$64,MATCH($A125,Mortality_Matrix!$A$4:$A$64,0),MATCH(2082,Mortality_Matrix!$B$3:$BS$3,0)))/INDEX(Mortality_Matrix!$B$4:$BS$64,MATCH($A125,Mortality_Matrix!$A$4:$A$64,0),MATCH(2082,Mortality_Matrix!$B$3:$BS$3,0))</f>
        <v>-3.54777913955788E-010</v>
      </c>
      <c r="BU125" s="27" t="n">
        <f aca="false">(BU59-INDEX(Mortality_Matrix!$B$4:$BS$64,MATCH($A125,Mortality_Matrix!$A$4:$A$64,0),MATCH(2083,Mortality_Matrix!$B$3:$BS$3,0)))/INDEX(Mortality_Matrix!$B$4:$BS$64,MATCH($A125,Mortality_Matrix!$A$4:$A$64,0),MATCH(2083,Mortality_Matrix!$B$3:$BS$3,0))</f>
        <v>1.49001499426593E-010</v>
      </c>
      <c r="BV125" s="27" t="n">
        <f aca="false">(BV59-INDEX(Mortality_Matrix!$B$4:$BS$64,MATCH($A125,Mortality_Matrix!$A$4:$A$64,0),MATCH(2084,Mortality_Matrix!$B$3:$BS$3,0)))/INDEX(Mortality_Matrix!$B$4:$BS$64,MATCH($A125,Mortality_Matrix!$A$4:$A$64,0),MATCH(2084,Mortality_Matrix!$B$3:$BS$3,0))</f>
        <v>-7.97839468280022E-011</v>
      </c>
      <c r="BW125" s="27" t="n">
        <f aca="false">(BW59-INDEX(Mortality_Matrix!$B$4:$BS$64,MATCH($A125,Mortality_Matrix!$A$4:$A$64,0),MATCH(2085,Mortality_Matrix!$B$3:$BS$3,0)))/INDEX(Mortality_Matrix!$B$4:$BS$64,MATCH($A125,Mortality_Matrix!$A$4:$A$64,0),MATCH(2085,Mortality_Matrix!$B$3:$BS$3,0))</f>
        <v>2.33771078934077E-010</v>
      </c>
      <c r="BX125" s="27" t="n">
        <f aca="false">(BX59-INDEX(Mortality_Matrix!$B$4:$BS$64,MATCH($A125,Mortality_Matrix!$A$4:$A$64,0),MATCH(2086,Mortality_Matrix!$B$3:$BS$3,0)))/INDEX(Mortality_Matrix!$B$4:$BS$64,MATCH($A125,Mortality_Matrix!$A$4:$A$64,0),MATCH(2086,Mortality_Matrix!$B$3:$BS$3,0))</f>
        <v>-3.62689096589406E-011</v>
      </c>
      <c r="BY125" s="27" t="n">
        <f aca="false">(BY59-INDEX(Mortality_Matrix!$B$4:$BS$64,MATCH($A125,Mortality_Matrix!$A$4:$A$64,0),MATCH(2087,Mortality_Matrix!$B$3:$BS$3,0)))/INDEX(Mortality_Matrix!$B$4:$BS$64,MATCH($A125,Mortality_Matrix!$A$4:$A$64,0),MATCH(2087,Mortality_Matrix!$B$3:$BS$3,0))</f>
        <v>3.20426836024366E-011</v>
      </c>
      <c r="BZ125" s="27" t="n">
        <f aca="false">(BZ59-INDEX(Mortality_Matrix!$B$4:$BS$64,MATCH($A125,Mortality_Matrix!$A$4:$A$64,0),MATCH(2088,Mortality_Matrix!$B$3:$BS$3,0)))/INDEX(Mortality_Matrix!$B$4:$BS$64,MATCH($A125,Mortality_Matrix!$A$4:$A$64,0),MATCH(2088,Mortality_Matrix!$B$3:$BS$3,0))</f>
        <v>3.63210673955268E-010</v>
      </c>
      <c r="CA125" s="27" t="n">
        <f aca="false">(CA59-INDEX(Mortality_Matrix!$B$4:$BS$64,MATCH($A125,Mortality_Matrix!$A$4:$A$64,0),MATCH(2089,Mortality_Matrix!$B$3:$BS$3,0)))/INDEX(Mortality_Matrix!$B$4:$BS$64,MATCH($A125,Mortality_Matrix!$A$4:$A$64,0),MATCH(2089,Mortality_Matrix!$B$3:$BS$3,0))</f>
        <v>-2.02238556799031E-010</v>
      </c>
      <c r="CB125" s="27" t="n">
        <f aca="false">(CB59-INDEX(Mortality_Matrix!$B$4:$BS$64,MATCH($A125,Mortality_Matrix!$A$4:$A$64,0),MATCH(2090,Mortality_Matrix!$B$3:$BS$3,0)))/INDEX(Mortality_Matrix!$B$4:$BS$64,MATCH($A125,Mortality_Matrix!$A$4:$A$64,0),MATCH(2090,Mortality_Matrix!$B$3:$BS$3,0))</f>
        <v>-6.99680725171652E-011</v>
      </c>
      <c r="CC125" s="27" t="n">
        <f aca="false">(CC59-INDEX(Mortality_Matrix!$B$4:$BS$64,MATCH($A125,Mortality_Matrix!$A$4:$A$64,0),MATCH(2091,Mortality_Matrix!$B$3:$BS$3,0)))/INDEX(Mortality_Matrix!$B$4:$BS$64,MATCH($A125,Mortality_Matrix!$A$4:$A$64,0),MATCH(2091,Mortality_Matrix!$B$3:$BS$3,0))</f>
        <v>-3.6273097753342E-010</v>
      </c>
    </row>
    <row r="126" customFormat="false" ht="15" hidden="false" customHeight="true" outlineLevel="0" collapsed="false">
      <c r="A126" s="3" t="n">
        <v>97</v>
      </c>
      <c r="L126" s="27" t="n">
        <f aca="false">(L60-INDEX(Mortality_Matrix!$B$4:$BS$64,MATCH($A126,Mortality_Matrix!$A$4:$A$64,0),MATCH(2022,Mortality_Matrix!$B$3:$BS$3,0)))/INDEX(Mortality_Matrix!$B$4:$BS$64,MATCH($A126,Mortality_Matrix!$A$4:$A$64,0),MATCH(2022,Mortality_Matrix!$B$3:$BS$3,0))</f>
        <v>-1.35588299396552E-010</v>
      </c>
      <c r="M126" s="27" t="n">
        <f aca="false">(M60-INDEX(Mortality_Matrix!$B$4:$BS$64,MATCH($A126,Mortality_Matrix!$A$4:$A$64,0),MATCH(2023,Mortality_Matrix!$B$3:$BS$3,0)))/INDEX(Mortality_Matrix!$B$4:$BS$64,MATCH($A126,Mortality_Matrix!$A$4:$A$64,0),MATCH(2023,Mortality_Matrix!$B$3:$BS$3,0))</f>
        <v>-1.64140990679579E-010</v>
      </c>
      <c r="N126" s="27" t="n">
        <f aca="false">(N60-INDEX(Mortality_Matrix!$B$4:$BS$64,MATCH($A126,Mortality_Matrix!$A$4:$A$64,0),MATCH(2024,Mortality_Matrix!$B$3:$BS$3,0)))/INDEX(Mortality_Matrix!$B$4:$BS$64,MATCH($A126,Mortality_Matrix!$A$4:$A$64,0),MATCH(2024,Mortality_Matrix!$B$3:$BS$3,0))</f>
        <v>-1.19041748504306E-010</v>
      </c>
      <c r="O126" s="27" t="n">
        <f aca="false">(O60-INDEX(Mortality_Matrix!$B$4:$BS$64,MATCH($A126,Mortality_Matrix!$A$4:$A$64,0),MATCH(2025,Mortality_Matrix!$B$3:$BS$3,0)))/INDEX(Mortality_Matrix!$B$4:$BS$64,MATCH($A126,Mortality_Matrix!$A$4:$A$64,0),MATCH(2025,Mortality_Matrix!$B$3:$BS$3,0))</f>
        <v>1.23094747447769E-010</v>
      </c>
      <c r="P126" s="27" t="n">
        <f aca="false">(P60-INDEX(Mortality_Matrix!$B$4:$BS$64,MATCH($A126,Mortality_Matrix!$A$4:$A$64,0),MATCH(2026,Mortality_Matrix!$B$3:$BS$3,0)))/INDEX(Mortality_Matrix!$B$4:$BS$64,MATCH($A126,Mortality_Matrix!$A$4:$A$64,0),MATCH(2026,Mortality_Matrix!$B$3:$BS$3,0))</f>
        <v>-4.13649776523476E-011</v>
      </c>
      <c r="Q126" s="27" t="n">
        <f aca="false">(Q60-INDEX(Mortality_Matrix!$B$4:$BS$64,MATCH($A126,Mortality_Matrix!$A$4:$A$64,0),MATCH(2027,Mortality_Matrix!$B$3:$BS$3,0)))/INDEX(Mortality_Matrix!$B$4:$BS$64,MATCH($A126,Mortality_Matrix!$A$4:$A$64,0),MATCH(2027,Mortality_Matrix!$B$3:$BS$3,0))</f>
        <v>8.36469739489328E-011</v>
      </c>
      <c r="R126" s="27" t="n">
        <f aca="false">(R60-INDEX(Mortality_Matrix!$B$4:$BS$64,MATCH($A126,Mortality_Matrix!$A$4:$A$64,0),MATCH(2028,Mortality_Matrix!$B$3:$BS$3,0)))/INDEX(Mortality_Matrix!$B$4:$BS$64,MATCH($A126,Mortality_Matrix!$A$4:$A$64,0),MATCH(2028,Mortality_Matrix!$B$3:$BS$3,0))</f>
        <v>8.61330487135051E-011</v>
      </c>
      <c r="S126" s="27" t="n">
        <f aca="false">(S60-INDEX(Mortality_Matrix!$B$4:$BS$64,MATCH($A126,Mortality_Matrix!$A$4:$A$64,0),MATCH(2029,Mortality_Matrix!$B$3:$BS$3,0)))/INDEX(Mortality_Matrix!$B$4:$BS$64,MATCH($A126,Mortality_Matrix!$A$4:$A$64,0),MATCH(2029,Mortality_Matrix!$B$3:$BS$3,0))</f>
        <v>5.75859840424469E-011</v>
      </c>
      <c r="T126" s="27" t="n">
        <f aca="false">(T60-INDEX(Mortality_Matrix!$B$4:$BS$64,MATCH($A126,Mortality_Matrix!$A$4:$A$64,0),MATCH(2030,Mortality_Matrix!$B$3:$BS$3,0)))/INDEX(Mortality_Matrix!$B$4:$BS$64,MATCH($A126,Mortality_Matrix!$A$4:$A$64,0),MATCH(2030,Mortality_Matrix!$B$3:$BS$3,0))</f>
        <v>-1.46971098344475E-010</v>
      </c>
      <c r="U126" s="27" t="n">
        <f aca="false">(U60-INDEX(Mortality_Matrix!$B$4:$BS$64,MATCH($A126,Mortality_Matrix!$A$4:$A$64,0),MATCH(2031,Mortality_Matrix!$B$3:$BS$3,0)))/INDEX(Mortality_Matrix!$B$4:$BS$64,MATCH($A126,Mortality_Matrix!$A$4:$A$64,0),MATCH(2031,Mortality_Matrix!$B$3:$BS$3,0))</f>
        <v>-3.93435055434152E-011</v>
      </c>
      <c r="V126" s="27" t="n">
        <f aca="false">(V60-INDEX(Mortality_Matrix!$B$4:$BS$64,MATCH($A126,Mortality_Matrix!$A$4:$A$64,0),MATCH(2032,Mortality_Matrix!$B$3:$BS$3,0)))/INDEX(Mortality_Matrix!$B$4:$BS$64,MATCH($A126,Mortality_Matrix!$A$4:$A$64,0),MATCH(2032,Mortality_Matrix!$B$3:$BS$3,0))</f>
        <v>1.22542559988642E-010</v>
      </c>
      <c r="W126" s="27" t="n">
        <f aca="false">(W60-INDEX(Mortality_Matrix!$B$4:$BS$64,MATCH($A126,Mortality_Matrix!$A$4:$A$64,0),MATCH(2033,Mortality_Matrix!$B$3:$BS$3,0)))/INDEX(Mortality_Matrix!$B$4:$BS$64,MATCH($A126,Mortality_Matrix!$A$4:$A$64,0),MATCH(2033,Mortality_Matrix!$B$3:$BS$3,0))</f>
        <v>1.98350883664734E-010</v>
      </c>
      <c r="X126" s="27" t="n">
        <f aca="false">(X60-INDEX(Mortality_Matrix!$B$4:$BS$64,MATCH($A126,Mortality_Matrix!$A$4:$A$64,0),MATCH(2034,Mortality_Matrix!$B$3:$BS$3,0)))/INDEX(Mortality_Matrix!$B$4:$BS$64,MATCH($A126,Mortality_Matrix!$A$4:$A$64,0),MATCH(2034,Mortality_Matrix!$B$3:$BS$3,0))</f>
        <v>1.40093787255413E-010</v>
      </c>
      <c r="Y126" s="27" t="n">
        <f aca="false">(Y60-INDEX(Mortality_Matrix!$B$4:$BS$64,MATCH($A126,Mortality_Matrix!$A$4:$A$64,0),MATCH(2035,Mortality_Matrix!$B$3:$BS$3,0)))/INDEX(Mortality_Matrix!$B$4:$BS$64,MATCH($A126,Mortality_Matrix!$A$4:$A$64,0),MATCH(2035,Mortality_Matrix!$B$3:$BS$3,0))</f>
        <v>-3.41757100899121E-011</v>
      </c>
      <c r="Z126" s="27" t="n">
        <f aca="false">(Z60-INDEX(Mortality_Matrix!$B$4:$BS$64,MATCH($A126,Mortality_Matrix!$A$4:$A$64,0),MATCH(2036,Mortality_Matrix!$B$3:$BS$3,0)))/INDEX(Mortality_Matrix!$B$4:$BS$64,MATCH($A126,Mortality_Matrix!$A$4:$A$64,0),MATCH(2036,Mortality_Matrix!$B$3:$BS$3,0))</f>
        <v>2.04894160646725E-010</v>
      </c>
      <c r="AA126" s="27" t="n">
        <f aca="false">(AA60-INDEX(Mortality_Matrix!$B$4:$BS$64,MATCH($A126,Mortality_Matrix!$A$4:$A$64,0),MATCH(2037,Mortality_Matrix!$B$3:$BS$3,0)))/INDEX(Mortality_Matrix!$B$4:$BS$64,MATCH($A126,Mortality_Matrix!$A$4:$A$64,0),MATCH(2037,Mortality_Matrix!$B$3:$BS$3,0))</f>
        <v>-1.74767074351705E-011</v>
      </c>
      <c r="AB126" s="27" t="n">
        <f aca="false">(AB60-INDEX(Mortality_Matrix!$B$4:$BS$64,MATCH($A126,Mortality_Matrix!$A$4:$A$64,0),MATCH(2038,Mortality_Matrix!$B$3:$BS$3,0)))/INDEX(Mortality_Matrix!$B$4:$BS$64,MATCH($A126,Mortality_Matrix!$A$4:$A$64,0),MATCH(2038,Mortality_Matrix!$B$3:$BS$3,0))</f>
        <v>-1.85037772836937E-010</v>
      </c>
      <c r="AC126" s="27" t="n">
        <f aca="false">(AC60-INDEX(Mortality_Matrix!$B$4:$BS$64,MATCH($A126,Mortality_Matrix!$A$4:$A$64,0),MATCH(2039,Mortality_Matrix!$B$3:$BS$3,0)))/INDEX(Mortality_Matrix!$B$4:$BS$64,MATCH($A126,Mortality_Matrix!$A$4:$A$64,0),MATCH(2039,Mortality_Matrix!$B$3:$BS$3,0))</f>
        <v>1.83010369965423E-010</v>
      </c>
      <c r="AD126" s="27" t="n">
        <f aca="false">(AD60-INDEX(Mortality_Matrix!$B$4:$BS$64,MATCH($A126,Mortality_Matrix!$A$4:$A$64,0),MATCH(2040,Mortality_Matrix!$B$3:$BS$3,0)))/INDEX(Mortality_Matrix!$B$4:$BS$64,MATCH($A126,Mortality_Matrix!$A$4:$A$64,0),MATCH(2040,Mortality_Matrix!$B$3:$BS$3,0))</f>
        <v>3.71891830177921E-011</v>
      </c>
      <c r="AE126" s="27" t="n">
        <f aca="false">(AE60-INDEX(Mortality_Matrix!$B$4:$BS$64,MATCH($A126,Mortality_Matrix!$A$4:$A$64,0),MATCH(2041,Mortality_Matrix!$B$3:$BS$3,0)))/INDEX(Mortality_Matrix!$B$4:$BS$64,MATCH($A126,Mortality_Matrix!$A$4:$A$64,0),MATCH(2041,Mortality_Matrix!$B$3:$BS$3,0))</f>
        <v>1.4798002524481E-010</v>
      </c>
      <c r="AF126" s="27" t="n">
        <f aca="false">(AF60-INDEX(Mortality_Matrix!$B$4:$BS$64,MATCH($A126,Mortality_Matrix!$A$4:$A$64,0),MATCH(2042,Mortality_Matrix!$B$3:$BS$3,0)))/INDEX(Mortality_Matrix!$B$4:$BS$64,MATCH($A126,Mortality_Matrix!$A$4:$A$64,0),MATCH(2042,Mortality_Matrix!$B$3:$BS$3,0))</f>
        <v>1.75622992273025E-010</v>
      </c>
      <c r="AG126" s="27" t="n">
        <f aca="false">(AG60-INDEX(Mortality_Matrix!$B$4:$BS$64,MATCH($A126,Mortality_Matrix!$A$4:$A$64,0),MATCH(2043,Mortality_Matrix!$B$3:$BS$3,0)))/INDEX(Mortality_Matrix!$B$4:$BS$64,MATCH($A126,Mortality_Matrix!$A$4:$A$64,0),MATCH(2043,Mortality_Matrix!$B$3:$BS$3,0))</f>
        <v>9.38395808983532E-011</v>
      </c>
      <c r="AH126" s="27" t="n">
        <f aca="false">(AH60-INDEX(Mortality_Matrix!$B$4:$BS$64,MATCH($A126,Mortality_Matrix!$A$4:$A$64,0),MATCH(2044,Mortality_Matrix!$B$3:$BS$3,0)))/INDEX(Mortality_Matrix!$B$4:$BS$64,MATCH($A126,Mortality_Matrix!$A$4:$A$64,0),MATCH(2044,Mortality_Matrix!$B$3:$BS$3,0))</f>
        <v>1.72340834317226E-010</v>
      </c>
      <c r="AI126" s="27" t="n">
        <f aca="false">(AI60-INDEX(Mortality_Matrix!$B$4:$BS$64,MATCH($A126,Mortality_Matrix!$A$4:$A$64,0),MATCH(2045,Mortality_Matrix!$B$3:$BS$3,0)))/INDEX(Mortality_Matrix!$B$4:$BS$64,MATCH($A126,Mortality_Matrix!$A$4:$A$64,0),MATCH(2045,Mortality_Matrix!$B$3:$BS$3,0))</f>
        <v>-5.58855267852195E-011</v>
      </c>
      <c r="AJ126" s="27" t="n">
        <f aca="false">(AJ60-INDEX(Mortality_Matrix!$B$4:$BS$64,MATCH($A126,Mortality_Matrix!$A$4:$A$64,0),MATCH(2046,Mortality_Matrix!$B$3:$BS$3,0)))/INDEX(Mortality_Matrix!$B$4:$BS$64,MATCH($A126,Mortality_Matrix!$A$4:$A$64,0),MATCH(2046,Mortality_Matrix!$B$3:$BS$3,0))</f>
        <v>1.90900708820457E-010</v>
      </c>
      <c r="AK126" s="27" t="n">
        <f aca="false">(AK60-INDEX(Mortality_Matrix!$B$4:$BS$64,MATCH($A126,Mortality_Matrix!$A$4:$A$64,0),MATCH(2047,Mortality_Matrix!$B$3:$BS$3,0)))/INDEX(Mortality_Matrix!$B$4:$BS$64,MATCH($A126,Mortality_Matrix!$A$4:$A$64,0),MATCH(2047,Mortality_Matrix!$B$3:$BS$3,0))</f>
        <v>-1.28507754125665E-010</v>
      </c>
      <c r="AL126" s="27" t="n">
        <f aca="false">(AL60-INDEX(Mortality_Matrix!$B$4:$BS$64,MATCH($A126,Mortality_Matrix!$A$4:$A$64,0),MATCH(2048,Mortality_Matrix!$B$3:$BS$3,0)))/INDEX(Mortality_Matrix!$B$4:$BS$64,MATCH($A126,Mortality_Matrix!$A$4:$A$64,0),MATCH(2048,Mortality_Matrix!$B$3:$BS$3,0))</f>
        <v>1.7336967576065E-010</v>
      </c>
      <c r="AM126" s="27" t="n">
        <f aca="false">(AM60-INDEX(Mortality_Matrix!$B$4:$BS$64,MATCH($A126,Mortality_Matrix!$A$4:$A$64,0),MATCH(2049,Mortality_Matrix!$B$3:$BS$3,0)))/INDEX(Mortality_Matrix!$B$4:$BS$64,MATCH($A126,Mortality_Matrix!$A$4:$A$64,0),MATCH(2049,Mortality_Matrix!$B$3:$BS$3,0))</f>
        <v>-1.38835141326515E-010</v>
      </c>
      <c r="AN126" s="27" t="n">
        <f aca="false">(AN60-INDEX(Mortality_Matrix!$B$4:$BS$64,MATCH($A126,Mortality_Matrix!$A$4:$A$64,0),MATCH(2050,Mortality_Matrix!$B$3:$BS$3,0)))/INDEX(Mortality_Matrix!$B$4:$BS$64,MATCH($A126,Mortality_Matrix!$A$4:$A$64,0),MATCH(2050,Mortality_Matrix!$B$3:$BS$3,0))</f>
        <v>-1.02548581630746E-010</v>
      </c>
      <c r="AO126" s="27" t="n">
        <f aca="false">(AO60-INDEX(Mortality_Matrix!$B$4:$BS$64,MATCH($A126,Mortality_Matrix!$A$4:$A$64,0),MATCH(2051,Mortality_Matrix!$B$3:$BS$3,0)))/INDEX(Mortality_Matrix!$B$4:$BS$64,MATCH($A126,Mortality_Matrix!$A$4:$A$64,0),MATCH(2051,Mortality_Matrix!$B$3:$BS$3,0))</f>
        <v>-2.21088097855023E-010</v>
      </c>
      <c r="AP126" s="27" t="n">
        <f aca="false">(AP60-INDEX(Mortality_Matrix!$B$4:$BS$64,MATCH($A126,Mortality_Matrix!$A$4:$A$64,0),MATCH(2052,Mortality_Matrix!$B$3:$BS$3,0)))/INDEX(Mortality_Matrix!$B$4:$BS$64,MATCH($A126,Mortality_Matrix!$A$4:$A$64,0),MATCH(2052,Mortality_Matrix!$B$3:$BS$3,0))</f>
        <v>1.26825154651408E-010</v>
      </c>
      <c r="AQ126" s="27" t="n">
        <f aca="false">(AQ60-INDEX(Mortality_Matrix!$B$4:$BS$64,MATCH($A126,Mortality_Matrix!$A$4:$A$64,0),MATCH(2053,Mortality_Matrix!$B$3:$BS$3,0)))/INDEX(Mortality_Matrix!$B$4:$BS$64,MATCH($A126,Mortality_Matrix!$A$4:$A$64,0),MATCH(2053,Mortality_Matrix!$B$3:$BS$3,0))</f>
        <v>1.77084305804892E-012</v>
      </c>
      <c r="AR126" s="27" t="n">
        <f aca="false">(AR60-INDEX(Mortality_Matrix!$B$4:$BS$64,MATCH($A126,Mortality_Matrix!$A$4:$A$64,0),MATCH(2054,Mortality_Matrix!$B$3:$BS$3,0)))/INDEX(Mortality_Matrix!$B$4:$BS$64,MATCH($A126,Mortality_Matrix!$A$4:$A$64,0),MATCH(2054,Mortality_Matrix!$B$3:$BS$3,0))</f>
        <v>7.70883409261871E-011</v>
      </c>
      <c r="AS126" s="27" t="n">
        <f aca="false">(AS60-INDEX(Mortality_Matrix!$B$4:$BS$64,MATCH($A126,Mortality_Matrix!$A$4:$A$64,0),MATCH(2055,Mortality_Matrix!$B$3:$BS$3,0)))/INDEX(Mortality_Matrix!$B$4:$BS$64,MATCH($A126,Mortality_Matrix!$A$4:$A$64,0),MATCH(2055,Mortality_Matrix!$B$3:$BS$3,0))</f>
        <v>-6.95752705707944E-011</v>
      </c>
      <c r="AT126" s="27" t="n">
        <f aca="false">(AT60-INDEX(Mortality_Matrix!$B$4:$BS$64,MATCH($A126,Mortality_Matrix!$A$4:$A$64,0),MATCH(2056,Mortality_Matrix!$B$3:$BS$3,0)))/INDEX(Mortality_Matrix!$B$4:$BS$64,MATCH($A126,Mortality_Matrix!$A$4:$A$64,0),MATCH(2056,Mortality_Matrix!$B$3:$BS$3,0))</f>
        <v>1.81392227608149E-010</v>
      </c>
      <c r="AU126" s="27" t="n">
        <f aca="false">(AU60-INDEX(Mortality_Matrix!$B$4:$BS$64,MATCH($A126,Mortality_Matrix!$A$4:$A$64,0),MATCH(2057,Mortality_Matrix!$B$3:$BS$3,0)))/INDEX(Mortality_Matrix!$B$4:$BS$64,MATCH($A126,Mortality_Matrix!$A$4:$A$64,0),MATCH(2057,Mortality_Matrix!$B$3:$BS$3,0))</f>
        <v>2.74211309587368E-010</v>
      </c>
      <c r="AV126" s="27" t="n">
        <f aca="false">(AV60-INDEX(Mortality_Matrix!$B$4:$BS$64,MATCH($A126,Mortality_Matrix!$A$4:$A$64,0),MATCH(2058,Mortality_Matrix!$B$3:$BS$3,0)))/INDEX(Mortality_Matrix!$B$4:$BS$64,MATCH($A126,Mortality_Matrix!$A$4:$A$64,0),MATCH(2058,Mortality_Matrix!$B$3:$BS$3,0))</f>
        <v>8.56536703620481E-011</v>
      </c>
      <c r="AW126" s="27" t="n">
        <f aca="false">(AW60-INDEX(Mortality_Matrix!$B$4:$BS$64,MATCH($A126,Mortality_Matrix!$A$4:$A$64,0),MATCH(2059,Mortality_Matrix!$B$3:$BS$3,0)))/INDEX(Mortality_Matrix!$B$4:$BS$64,MATCH($A126,Mortality_Matrix!$A$4:$A$64,0),MATCH(2059,Mortality_Matrix!$B$3:$BS$3,0))</f>
        <v>-8.76345350474422E-011</v>
      </c>
      <c r="AX126" s="27" t="n">
        <f aca="false">(AX60-INDEX(Mortality_Matrix!$B$4:$BS$64,MATCH($A126,Mortality_Matrix!$A$4:$A$64,0),MATCH(2060,Mortality_Matrix!$B$3:$BS$3,0)))/INDEX(Mortality_Matrix!$B$4:$BS$64,MATCH($A126,Mortality_Matrix!$A$4:$A$64,0),MATCH(2060,Mortality_Matrix!$B$3:$BS$3,0))</f>
        <v>-1.12959564398316E-010</v>
      </c>
      <c r="AY126" s="27" t="n">
        <f aca="false">(AY60-INDEX(Mortality_Matrix!$B$4:$BS$64,MATCH($A126,Mortality_Matrix!$A$4:$A$64,0),MATCH(2061,Mortality_Matrix!$B$3:$BS$3,0)))/INDEX(Mortality_Matrix!$B$4:$BS$64,MATCH($A126,Mortality_Matrix!$A$4:$A$64,0),MATCH(2061,Mortality_Matrix!$B$3:$BS$3,0))</f>
        <v>-5.82325538803286E-011</v>
      </c>
      <c r="AZ126" s="27" t="n">
        <f aca="false">(AZ60-INDEX(Mortality_Matrix!$B$4:$BS$64,MATCH($A126,Mortality_Matrix!$A$4:$A$64,0),MATCH(2062,Mortality_Matrix!$B$3:$BS$3,0)))/INDEX(Mortality_Matrix!$B$4:$BS$64,MATCH($A126,Mortality_Matrix!$A$4:$A$64,0),MATCH(2062,Mortality_Matrix!$B$3:$BS$3,0))</f>
        <v>-2.29961940531235E-010</v>
      </c>
      <c r="BA126" s="27" t="n">
        <f aca="false">(BA60-INDEX(Mortality_Matrix!$B$4:$BS$64,MATCH($A126,Mortality_Matrix!$A$4:$A$64,0),MATCH(2063,Mortality_Matrix!$B$3:$BS$3,0)))/INDEX(Mortality_Matrix!$B$4:$BS$64,MATCH($A126,Mortality_Matrix!$A$4:$A$64,0),MATCH(2063,Mortality_Matrix!$B$3:$BS$3,0))</f>
        <v>-4.47367271848833E-011</v>
      </c>
      <c r="BB126" s="27" t="n">
        <f aca="false">(BB60-INDEX(Mortality_Matrix!$B$4:$BS$64,MATCH($A126,Mortality_Matrix!$A$4:$A$64,0),MATCH(2064,Mortality_Matrix!$B$3:$BS$3,0)))/INDEX(Mortality_Matrix!$B$4:$BS$64,MATCH($A126,Mortality_Matrix!$A$4:$A$64,0),MATCH(2064,Mortality_Matrix!$B$3:$BS$3,0))</f>
        <v>2.10331753891666E-010</v>
      </c>
      <c r="BC126" s="27" t="n">
        <f aca="false">(BC60-INDEX(Mortality_Matrix!$B$4:$BS$64,MATCH($A126,Mortality_Matrix!$A$4:$A$64,0),MATCH(2065,Mortality_Matrix!$B$3:$BS$3,0)))/INDEX(Mortality_Matrix!$B$4:$BS$64,MATCH($A126,Mortality_Matrix!$A$4:$A$64,0),MATCH(2065,Mortality_Matrix!$B$3:$BS$3,0))</f>
        <v>-9.38384490915687E-011</v>
      </c>
      <c r="BD126" s="27" t="n">
        <f aca="false">(BD60-INDEX(Mortality_Matrix!$B$4:$BS$64,MATCH($A126,Mortality_Matrix!$A$4:$A$64,0),MATCH(2066,Mortality_Matrix!$B$3:$BS$3,0)))/INDEX(Mortality_Matrix!$B$4:$BS$64,MATCH($A126,Mortality_Matrix!$A$4:$A$64,0),MATCH(2066,Mortality_Matrix!$B$3:$BS$3,0))</f>
        <v>-1.78130850014177E-010</v>
      </c>
      <c r="BE126" s="27" t="n">
        <f aca="false">(BE60-INDEX(Mortality_Matrix!$B$4:$BS$64,MATCH($A126,Mortality_Matrix!$A$4:$A$64,0),MATCH(2067,Mortality_Matrix!$B$3:$BS$3,0)))/INDEX(Mortality_Matrix!$B$4:$BS$64,MATCH($A126,Mortality_Matrix!$A$4:$A$64,0),MATCH(2067,Mortality_Matrix!$B$3:$BS$3,0))</f>
        <v>-2.39587867028885E-010</v>
      </c>
      <c r="BF126" s="27" t="n">
        <f aca="false">(BF60-INDEX(Mortality_Matrix!$B$4:$BS$64,MATCH($A126,Mortality_Matrix!$A$4:$A$64,0),MATCH(2068,Mortality_Matrix!$B$3:$BS$3,0)))/INDEX(Mortality_Matrix!$B$4:$BS$64,MATCH($A126,Mortality_Matrix!$A$4:$A$64,0),MATCH(2068,Mortality_Matrix!$B$3:$BS$3,0))</f>
        <v>3.01476297670632E-010</v>
      </c>
      <c r="BG126" s="27" t="n">
        <f aca="false">(BG60-INDEX(Mortality_Matrix!$B$4:$BS$64,MATCH($A126,Mortality_Matrix!$A$4:$A$64,0),MATCH(2069,Mortality_Matrix!$B$3:$BS$3,0)))/INDEX(Mortality_Matrix!$B$4:$BS$64,MATCH($A126,Mortality_Matrix!$A$4:$A$64,0),MATCH(2069,Mortality_Matrix!$B$3:$BS$3,0))</f>
        <v>-2.58040459690189E-010</v>
      </c>
      <c r="BH126" s="27" t="n">
        <f aca="false">(BH60-INDEX(Mortality_Matrix!$B$4:$BS$64,MATCH($A126,Mortality_Matrix!$A$4:$A$64,0),MATCH(2070,Mortality_Matrix!$B$3:$BS$3,0)))/INDEX(Mortality_Matrix!$B$4:$BS$64,MATCH($A126,Mortality_Matrix!$A$4:$A$64,0),MATCH(2070,Mortality_Matrix!$B$3:$BS$3,0))</f>
        <v>1.44262527707468E-010</v>
      </c>
      <c r="BI126" s="27" t="n">
        <f aca="false">(BI60-INDEX(Mortality_Matrix!$B$4:$BS$64,MATCH($A126,Mortality_Matrix!$A$4:$A$64,0),MATCH(2071,Mortality_Matrix!$B$3:$BS$3,0)))/INDEX(Mortality_Matrix!$B$4:$BS$64,MATCH($A126,Mortality_Matrix!$A$4:$A$64,0),MATCH(2071,Mortality_Matrix!$B$3:$BS$3,0))</f>
        <v>-4.94279284096086E-012</v>
      </c>
      <c r="BJ126" s="27" t="n">
        <f aca="false">(BJ60-INDEX(Mortality_Matrix!$B$4:$BS$64,MATCH($A126,Mortality_Matrix!$A$4:$A$64,0),MATCH(2072,Mortality_Matrix!$B$3:$BS$3,0)))/INDEX(Mortality_Matrix!$B$4:$BS$64,MATCH($A126,Mortality_Matrix!$A$4:$A$64,0),MATCH(2072,Mortality_Matrix!$B$3:$BS$3,0))</f>
        <v>2.99197412038049E-010</v>
      </c>
      <c r="BK126" s="27" t="n">
        <f aca="false">(BK60-INDEX(Mortality_Matrix!$B$4:$BS$64,MATCH($A126,Mortality_Matrix!$A$4:$A$64,0),MATCH(2073,Mortality_Matrix!$B$3:$BS$3,0)))/INDEX(Mortality_Matrix!$B$4:$BS$64,MATCH($A126,Mortality_Matrix!$A$4:$A$64,0),MATCH(2073,Mortality_Matrix!$B$3:$BS$3,0))</f>
        <v>2.29100643873938E-010</v>
      </c>
      <c r="BL126" s="27" t="n">
        <f aca="false">(BL60-INDEX(Mortality_Matrix!$B$4:$BS$64,MATCH($A126,Mortality_Matrix!$A$4:$A$64,0),MATCH(2074,Mortality_Matrix!$B$3:$BS$3,0)))/INDEX(Mortality_Matrix!$B$4:$BS$64,MATCH($A126,Mortality_Matrix!$A$4:$A$64,0),MATCH(2074,Mortality_Matrix!$B$3:$BS$3,0))</f>
        <v>2.04405724666806E-010</v>
      </c>
      <c r="BM126" s="27" t="n">
        <f aca="false">(BM60-INDEX(Mortality_Matrix!$B$4:$BS$64,MATCH($A126,Mortality_Matrix!$A$4:$A$64,0),MATCH(2075,Mortality_Matrix!$B$3:$BS$3,0)))/INDEX(Mortality_Matrix!$B$4:$BS$64,MATCH($A126,Mortality_Matrix!$A$4:$A$64,0),MATCH(2075,Mortality_Matrix!$B$3:$BS$3,0))</f>
        <v>-1.29243726263094E-011</v>
      </c>
      <c r="BN126" s="27" t="n">
        <f aca="false">(BN60-INDEX(Mortality_Matrix!$B$4:$BS$64,MATCH($A126,Mortality_Matrix!$A$4:$A$64,0),MATCH(2076,Mortality_Matrix!$B$3:$BS$3,0)))/INDEX(Mortality_Matrix!$B$4:$BS$64,MATCH($A126,Mortality_Matrix!$A$4:$A$64,0),MATCH(2076,Mortality_Matrix!$B$3:$BS$3,0))</f>
        <v>-8.17133166298386E-011</v>
      </c>
      <c r="BO126" s="27" t="n">
        <f aca="false">(BO60-INDEX(Mortality_Matrix!$B$4:$BS$64,MATCH($A126,Mortality_Matrix!$A$4:$A$64,0),MATCH(2077,Mortality_Matrix!$B$3:$BS$3,0)))/INDEX(Mortality_Matrix!$B$4:$BS$64,MATCH($A126,Mortality_Matrix!$A$4:$A$64,0),MATCH(2077,Mortality_Matrix!$B$3:$BS$3,0))</f>
        <v>2.59722697222696E-010</v>
      </c>
      <c r="BP126" s="27" t="n">
        <f aca="false">(BP60-INDEX(Mortality_Matrix!$B$4:$BS$64,MATCH($A126,Mortality_Matrix!$A$4:$A$64,0),MATCH(2078,Mortality_Matrix!$B$3:$BS$3,0)))/INDEX(Mortality_Matrix!$B$4:$BS$64,MATCH($A126,Mortality_Matrix!$A$4:$A$64,0),MATCH(2078,Mortality_Matrix!$B$3:$BS$3,0))</f>
        <v>-1.53221587983746E-010</v>
      </c>
      <c r="BQ126" s="27" t="n">
        <f aca="false">(BQ60-INDEX(Mortality_Matrix!$B$4:$BS$64,MATCH($A126,Mortality_Matrix!$A$4:$A$64,0),MATCH(2079,Mortality_Matrix!$B$3:$BS$3,0)))/INDEX(Mortality_Matrix!$B$4:$BS$64,MATCH($A126,Mortality_Matrix!$A$4:$A$64,0),MATCH(2079,Mortality_Matrix!$B$3:$BS$3,0))</f>
        <v>-2.6405190958615E-011</v>
      </c>
      <c r="BR126" s="27" t="n">
        <f aca="false">(BR60-INDEX(Mortality_Matrix!$B$4:$BS$64,MATCH($A126,Mortality_Matrix!$A$4:$A$64,0),MATCH(2080,Mortality_Matrix!$B$3:$BS$3,0)))/INDEX(Mortality_Matrix!$B$4:$BS$64,MATCH($A126,Mortality_Matrix!$A$4:$A$64,0),MATCH(2080,Mortality_Matrix!$B$3:$BS$3,0))</f>
        <v>-2.09186145302866E-010</v>
      </c>
      <c r="BS126" s="27" t="n">
        <f aca="false">(BS60-INDEX(Mortality_Matrix!$B$4:$BS$64,MATCH($A126,Mortality_Matrix!$A$4:$A$64,0),MATCH(2081,Mortality_Matrix!$B$3:$BS$3,0)))/INDEX(Mortality_Matrix!$B$4:$BS$64,MATCH($A126,Mortality_Matrix!$A$4:$A$64,0),MATCH(2081,Mortality_Matrix!$B$3:$BS$3,0))</f>
        <v>2.24465358837904E-010</v>
      </c>
      <c r="BT126" s="27" t="n">
        <f aca="false">(BT60-INDEX(Mortality_Matrix!$B$4:$BS$64,MATCH($A126,Mortality_Matrix!$A$4:$A$64,0),MATCH(2082,Mortality_Matrix!$B$3:$BS$3,0)))/INDEX(Mortality_Matrix!$B$4:$BS$64,MATCH($A126,Mortality_Matrix!$A$4:$A$64,0),MATCH(2082,Mortality_Matrix!$B$3:$BS$3,0))</f>
        <v>-4.94260428094607E-011</v>
      </c>
      <c r="BU126" s="27" t="n">
        <f aca="false">(BU60-INDEX(Mortality_Matrix!$B$4:$BS$64,MATCH($A126,Mortality_Matrix!$A$4:$A$64,0),MATCH(2083,Mortality_Matrix!$B$3:$BS$3,0)))/INDEX(Mortality_Matrix!$B$4:$BS$64,MATCH($A126,Mortality_Matrix!$A$4:$A$64,0),MATCH(2083,Mortality_Matrix!$B$3:$BS$3,0))</f>
        <v>5.67027987864803E-011</v>
      </c>
      <c r="BV126" s="27" t="n">
        <f aca="false">(BV60-INDEX(Mortality_Matrix!$B$4:$BS$64,MATCH($A126,Mortality_Matrix!$A$4:$A$64,0),MATCH(2084,Mortality_Matrix!$B$3:$BS$3,0)))/INDEX(Mortality_Matrix!$B$4:$BS$64,MATCH($A126,Mortality_Matrix!$A$4:$A$64,0),MATCH(2084,Mortality_Matrix!$B$3:$BS$3,0))</f>
        <v>-2.23151000907125E-011</v>
      </c>
      <c r="BW126" s="27" t="n">
        <f aca="false">(BW60-INDEX(Mortality_Matrix!$B$4:$BS$64,MATCH($A126,Mortality_Matrix!$A$4:$A$64,0),MATCH(2085,Mortality_Matrix!$B$3:$BS$3,0)))/INDEX(Mortality_Matrix!$B$4:$BS$64,MATCH($A126,Mortality_Matrix!$A$4:$A$64,0),MATCH(2085,Mortality_Matrix!$B$3:$BS$3,0))</f>
        <v>1.7484003288995E-010</v>
      </c>
      <c r="BX126" s="27" t="n">
        <f aca="false">(BX60-INDEX(Mortality_Matrix!$B$4:$BS$64,MATCH($A126,Mortality_Matrix!$A$4:$A$64,0),MATCH(2086,Mortality_Matrix!$B$3:$BS$3,0)))/INDEX(Mortality_Matrix!$B$4:$BS$64,MATCH($A126,Mortality_Matrix!$A$4:$A$64,0),MATCH(2086,Mortality_Matrix!$B$3:$BS$3,0))</f>
        <v>4.91285289041825E-011</v>
      </c>
      <c r="BY126" s="27" t="n">
        <f aca="false">(BY60-INDEX(Mortality_Matrix!$B$4:$BS$64,MATCH($A126,Mortality_Matrix!$A$4:$A$64,0),MATCH(2087,Mortality_Matrix!$B$3:$BS$3,0)))/INDEX(Mortality_Matrix!$B$4:$BS$64,MATCH($A126,Mortality_Matrix!$A$4:$A$64,0),MATCH(2087,Mortality_Matrix!$B$3:$BS$3,0))</f>
        <v>-1.68285429682787E-011</v>
      </c>
      <c r="BZ126" s="27" t="n">
        <f aca="false">(BZ60-INDEX(Mortality_Matrix!$B$4:$BS$64,MATCH($A126,Mortality_Matrix!$A$4:$A$64,0),MATCH(2088,Mortality_Matrix!$B$3:$BS$3,0)))/INDEX(Mortality_Matrix!$B$4:$BS$64,MATCH($A126,Mortality_Matrix!$A$4:$A$64,0),MATCH(2088,Mortality_Matrix!$B$3:$BS$3,0))</f>
        <v>-7.02364204447463E-011</v>
      </c>
      <c r="CA126" s="27" t="n">
        <f aca="false">(CA60-INDEX(Mortality_Matrix!$B$4:$BS$64,MATCH($A126,Mortality_Matrix!$A$4:$A$64,0),MATCH(2089,Mortality_Matrix!$B$3:$BS$3,0)))/INDEX(Mortality_Matrix!$B$4:$BS$64,MATCH($A126,Mortality_Matrix!$A$4:$A$64,0),MATCH(2089,Mortality_Matrix!$B$3:$BS$3,0))</f>
        <v>8.05094139693311E-011</v>
      </c>
      <c r="CB126" s="27" t="n">
        <f aca="false">(CB60-INDEX(Mortality_Matrix!$B$4:$BS$64,MATCH($A126,Mortality_Matrix!$A$4:$A$64,0),MATCH(2090,Mortality_Matrix!$B$3:$BS$3,0)))/INDEX(Mortality_Matrix!$B$4:$BS$64,MATCH($A126,Mortality_Matrix!$A$4:$A$64,0),MATCH(2090,Mortality_Matrix!$B$3:$BS$3,0))</f>
        <v>1.23794620760189E-010</v>
      </c>
      <c r="CC126" s="27" t="n">
        <f aca="false">(CC60-INDEX(Mortality_Matrix!$B$4:$BS$64,MATCH($A126,Mortality_Matrix!$A$4:$A$64,0),MATCH(2091,Mortality_Matrix!$B$3:$BS$3,0)))/INDEX(Mortality_Matrix!$B$4:$BS$64,MATCH($A126,Mortality_Matrix!$A$4:$A$64,0),MATCH(2091,Mortality_Matrix!$B$3:$BS$3,0))</f>
        <v>-7.80457462312887E-011</v>
      </c>
    </row>
    <row r="127" customFormat="false" ht="15" hidden="false" customHeight="true" outlineLevel="0" collapsed="false">
      <c r="A127" s="3" t="n">
        <v>98</v>
      </c>
      <c r="L127" s="27" t="n">
        <f aca="false">(L61-INDEX(Mortality_Matrix!$B$4:$BS$64,MATCH($A127,Mortality_Matrix!$A$4:$A$64,0),MATCH(2022,Mortality_Matrix!$B$3:$BS$3,0)))/INDEX(Mortality_Matrix!$B$4:$BS$64,MATCH($A127,Mortality_Matrix!$A$4:$A$64,0),MATCH(2022,Mortality_Matrix!$B$3:$BS$3,0))</f>
        <v>-4.52036521912862E-011</v>
      </c>
      <c r="M127" s="27" t="n">
        <f aca="false">(M61-INDEX(Mortality_Matrix!$B$4:$BS$64,MATCH($A127,Mortality_Matrix!$A$4:$A$64,0),MATCH(2023,Mortality_Matrix!$B$3:$BS$3,0)))/INDEX(Mortality_Matrix!$B$4:$BS$64,MATCH($A127,Mortality_Matrix!$A$4:$A$64,0),MATCH(2023,Mortality_Matrix!$B$3:$BS$3,0))</f>
        <v>-2.03458840720943E-010</v>
      </c>
      <c r="N127" s="27" t="n">
        <f aca="false">(N61-INDEX(Mortality_Matrix!$B$4:$BS$64,MATCH($A127,Mortality_Matrix!$A$4:$A$64,0),MATCH(2024,Mortality_Matrix!$B$3:$BS$3,0)))/INDEX(Mortality_Matrix!$B$4:$BS$64,MATCH($A127,Mortality_Matrix!$A$4:$A$64,0),MATCH(2024,Mortality_Matrix!$B$3:$BS$3,0))</f>
        <v>-9.37532074482276E-011</v>
      </c>
      <c r="O127" s="27" t="n">
        <f aca="false">(O61-INDEX(Mortality_Matrix!$B$4:$BS$64,MATCH($A127,Mortality_Matrix!$A$4:$A$64,0),MATCH(2025,Mortality_Matrix!$B$3:$BS$3,0)))/INDEX(Mortality_Matrix!$B$4:$BS$64,MATCH($A127,Mortality_Matrix!$A$4:$A$64,0),MATCH(2025,Mortality_Matrix!$B$3:$BS$3,0))</f>
        <v>-2.00363700119417E-010</v>
      </c>
      <c r="P127" s="27" t="n">
        <f aca="false">(P61-INDEX(Mortality_Matrix!$B$4:$BS$64,MATCH($A127,Mortality_Matrix!$A$4:$A$64,0),MATCH(2026,Mortality_Matrix!$B$3:$BS$3,0)))/INDEX(Mortality_Matrix!$B$4:$BS$64,MATCH($A127,Mortality_Matrix!$A$4:$A$64,0),MATCH(2026,Mortality_Matrix!$B$3:$BS$3,0))</f>
        <v>-1.83310688541646E-010</v>
      </c>
      <c r="Q127" s="27" t="n">
        <f aca="false">(Q61-INDEX(Mortality_Matrix!$B$4:$BS$64,MATCH($A127,Mortality_Matrix!$A$4:$A$64,0),MATCH(2027,Mortality_Matrix!$B$3:$BS$3,0)))/INDEX(Mortality_Matrix!$B$4:$BS$64,MATCH($A127,Mortality_Matrix!$A$4:$A$64,0),MATCH(2027,Mortality_Matrix!$B$3:$BS$3,0))</f>
        <v>7.03333039175247E-011</v>
      </c>
      <c r="R127" s="27" t="n">
        <f aca="false">(R61-INDEX(Mortality_Matrix!$B$4:$BS$64,MATCH($A127,Mortality_Matrix!$A$4:$A$64,0),MATCH(2028,Mortality_Matrix!$B$3:$BS$3,0)))/INDEX(Mortality_Matrix!$B$4:$BS$64,MATCH($A127,Mortality_Matrix!$A$4:$A$64,0),MATCH(2028,Mortality_Matrix!$B$3:$BS$3,0))</f>
        <v>1.6830831441126E-010</v>
      </c>
      <c r="S127" s="27" t="n">
        <f aca="false">(S61-INDEX(Mortality_Matrix!$B$4:$BS$64,MATCH($A127,Mortality_Matrix!$A$4:$A$64,0),MATCH(2029,Mortality_Matrix!$B$3:$BS$3,0)))/INDEX(Mortality_Matrix!$B$4:$BS$64,MATCH($A127,Mortality_Matrix!$A$4:$A$64,0),MATCH(2029,Mortality_Matrix!$B$3:$BS$3,0))</f>
        <v>-1.13356633209838E-010</v>
      </c>
      <c r="T127" s="27" t="n">
        <f aca="false">(T61-INDEX(Mortality_Matrix!$B$4:$BS$64,MATCH($A127,Mortality_Matrix!$A$4:$A$64,0),MATCH(2030,Mortality_Matrix!$B$3:$BS$3,0)))/INDEX(Mortality_Matrix!$B$4:$BS$64,MATCH($A127,Mortality_Matrix!$A$4:$A$64,0),MATCH(2030,Mortality_Matrix!$B$3:$BS$3,0))</f>
        <v>3.54000241849611E-011</v>
      </c>
      <c r="U127" s="27" t="n">
        <f aca="false">(U61-INDEX(Mortality_Matrix!$B$4:$BS$64,MATCH($A127,Mortality_Matrix!$A$4:$A$64,0),MATCH(2031,Mortality_Matrix!$B$3:$BS$3,0)))/INDEX(Mortality_Matrix!$B$4:$BS$64,MATCH($A127,Mortality_Matrix!$A$4:$A$64,0),MATCH(2031,Mortality_Matrix!$B$3:$BS$3,0))</f>
        <v>-1.31122486737858E-010</v>
      </c>
      <c r="V127" s="27" t="n">
        <f aca="false">(V61-INDEX(Mortality_Matrix!$B$4:$BS$64,MATCH($A127,Mortality_Matrix!$A$4:$A$64,0),MATCH(2032,Mortality_Matrix!$B$3:$BS$3,0)))/INDEX(Mortality_Matrix!$B$4:$BS$64,MATCH($A127,Mortality_Matrix!$A$4:$A$64,0),MATCH(2032,Mortality_Matrix!$B$3:$BS$3,0))</f>
        <v>7.26749116115341E-011</v>
      </c>
      <c r="W127" s="27" t="n">
        <f aca="false">(W61-INDEX(Mortality_Matrix!$B$4:$BS$64,MATCH($A127,Mortality_Matrix!$A$4:$A$64,0),MATCH(2033,Mortality_Matrix!$B$3:$BS$3,0)))/INDEX(Mortality_Matrix!$B$4:$BS$64,MATCH($A127,Mortality_Matrix!$A$4:$A$64,0),MATCH(2033,Mortality_Matrix!$B$3:$BS$3,0))</f>
        <v>1.50623118970864E-010</v>
      </c>
      <c r="X127" s="27" t="n">
        <f aca="false">(X61-INDEX(Mortality_Matrix!$B$4:$BS$64,MATCH($A127,Mortality_Matrix!$A$4:$A$64,0),MATCH(2034,Mortality_Matrix!$B$3:$BS$3,0)))/INDEX(Mortality_Matrix!$B$4:$BS$64,MATCH($A127,Mortality_Matrix!$A$4:$A$64,0),MATCH(2034,Mortality_Matrix!$B$3:$BS$3,0))</f>
        <v>1.37833625301907E-010</v>
      </c>
      <c r="Y127" s="27" t="n">
        <f aca="false">(Y61-INDEX(Mortality_Matrix!$B$4:$BS$64,MATCH($A127,Mortality_Matrix!$A$4:$A$64,0),MATCH(2035,Mortality_Matrix!$B$3:$BS$3,0)))/INDEX(Mortality_Matrix!$B$4:$BS$64,MATCH($A127,Mortality_Matrix!$A$4:$A$64,0),MATCH(2035,Mortality_Matrix!$B$3:$BS$3,0))</f>
        <v>1.52863045286866E-010</v>
      </c>
      <c r="Z127" s="27" t="n">
        <f aca="false">(Z61-INDEX(Mortality_Matrix!$B$4:$BS$64,MATCH($A127,Mortality_Matrix!$A$4:$A$64,0),MATCH(2036,Mortality_Matrix!$B$3:$BS$3,0)))/INDEX(Mortality_Matrix!$B$4:$BS$64,MATCH($A127,Mortality_Matrix!$A$4:$A$64,0),MATCH(2036,Mortality_Matrix!$B$3:$BS$3,0))</f>
        <v>-6.98866477613043E-011</v>
      </c>
      <c r="AA127" s="27" t="n">
        <f aca="false">(AA61-INDEX(Mortality_Matrix!$B$4:$BS$64,MATCH($A127,Mortality_Matrix!$A$4:$A$64,0),MATCH(2037,Mortality_Matrix!$B$3:$BS$3,0)))/INDEX(Mortality_Matrix!$B$4:$BS$64,MATCH($A127,Mortality_Matrix!$A$4:$A$64,0),MATCH(2037,Mortality_Matrix!$B$3:$BS$3,0))</f>
        <v>1.47217515099332E-010</v>
      </c>
      <c r="AB127" s="27" t="n">
        <f aca="false">(AB61-INDEX(Mortality_Matrix!$B$4:$BS$64,MATCH($A127,Mortality_Matrix!$A$4:$A$64,0),MATCH(2038,Mortality_Matrix!$B$3:$BS$3,0)))/INDEX(Mortality_Matrix!$B$4:$BS$64,MATCH($A127,Mortality_Matrix!$A$4:$A$64,0),MATCH(2038,Mortality_Matrix!$B$3:$BS$3,0))</f>
        <v>1.53799907549441E-010</v>
      </c>
      <c r="AC127" s="27" t="n">
        <f aca="false">(AC61-INDEX(Mortality_Matrix!$B$4:$BS$64,MATCH($A127,Mortality_Matrix!$A$4:$A$64,0),MATCH(2039,Mortality_Matrix!$B$3:$BS$3,0)))/INDEX(Mortality_Matrix!$B$4:$BS$64,MATCH($A127,Mortality_Matrix!$A$4:$A$64,0),MATCH(2039,Mortality_Matrix!$B$3:$BS$3,0))</f>
        <v>2.04998374268721E-010</v>
      </c>
      <c r="AD127" s="27" t="n">
        <f aca="false">(AD61-INDEX(Mortality_Matrix!$B$4:$BS$64,MATCH($A127,Mortality_Matrix!$A$4:$A$64,0),MATCH(2040,Mortality_Matrix!$B$3:$BS$3,0)))/INDEX(Mortality_Matrix!$B$4:$BS$64,MATCH($A127,Mortality_Matrix!$A$4:$A$64,0),MATCH(2040,Mortality_Matrix!$B$3:$BS$3,0))</f>
        <v>8.33083127179545E-011</v>
      </c>
      <c r="AE127" s="27" t="n">
        <f aca="false">(AE61-INDEX(Mortality_Matrix!$B$4:$BS$64,MATCH($A127,Mortality_Matrix!$A$4:$A$64,0),MATCH(2041,Mortality_Matrix!$B$3:$BS$3,0)))/INDEX(Mortality_Matrix!$B$4:$BS$64,MATCH($A127,Mortality_Matrix!$A$4:$A$64,0),MATCH(2041,Mortality_Matrix!$B$3:$BS$3,0))</f>
        <v>-4.51047161773629E-012</v>
      </c>
      <c r="AF127" s="27" t="n">
        <f aca="false">(AF61-INDEX(Mortality_Matrix!$B$4:$BS$64,MATCH($A127,Mortality_Matrix!$A$4:$A$64,0),MATCH(2042,Mortality_Matrix!$B$3:$BS$3,0)))/INDEX(Mortality_Matrix!$B$4:$BS$64,MATCH($A127,Mortality_Matrix!$A$4:$A$64,0),MATCH(2042,Mortality_Matrix!$B$3:$BS$3,0))</f>
        <v>9.74957908339854E-011</v>
      </c>
      <c r="AG127" s="27" t="n">
        <f aca="false">(AG61-INDEX(Mortality_Matrix!$B$4:$BS$64,MATCH($A127,Mortality_Matrix!$A$4:$A$64,0),MATCH(2043,Mortality_Matrix!$B$3:$BS$3,0)))/INDEX(Mortality_Matrix!$B$4:$BS$64,MATCH($A127,Mortality_Matrix!$A$4:$A$64,0),MATCH(2043,Mortality_Matrix!$B$3:$BS$3,0))</f>
        <v>-1.45890555325816E-012</v>
      </c>
      <c r="AH127" s="27" t="n">
        <f aca="false">(AH61-INDEX(Mortality_Matrix!$B$4:$BS$64,MATCH($A127,Mortality_Matrix!$A$4:$A$64,0),MATCH(2044,Mortality_Matrix!$B$3:$BS$3,0)))/INDEX(Mortality_Matrix!$B$4:$BS$64,MATCH($A127,Mortality_Matrix!$A$4:$A$64,0),MATCH(2044,Mortality_Matrix!$B$3:$BS$3,0))</f>
        <v>1.5320519510519E-010</v>
      </c>
      <c r="AI127" s="27" t="n">
        <f aca="false">(AI61-INDEX(Mortality_Matrix!$B$4:$BS$64,MATCH($A127,Mortality_Matrix!$A$4:$A$64,0),MATCH(2045,Mortality_Matrix!$B$3:$BS$3,0)))/INDEX(Mortality_Matrix!$B$4:$BS$64,MATCH($A127,Mortality_Matrix!$A$4:$A$64,0),MATCH(2045,Mortality_Matrix!$B$3:$BS$3,0))</f>
        <v>-5.10472466522334E-011</v>
      </c>
      <c r="AJ127" s="27" t="n">
        <f aca="false">(AJ61-INDEX(Mortality_Matrix!$B$4:$BS$64,MATCH($A127,Mortality_Matrix!$A$4:$A$64,0),MATCH(2046,Mortality_Matrix!$B$3:$BS$3,0)))/INDEX(Mortality_Matrix!$B$4:$BS$64,MATCH($A127,Mortality_Matrix!$A$4:$A$64,0),MATCH(2046,Mortality_Matrix!$B$3:$BS$3,0))</f>
        <v>6.86735056384366E-011</v>
      </c>
      <c r="AK127" s="27" t="n">
        <f aca="false">(AK61-INDEX(Mortality_Matrix!$B$4:$BS$64,MATCH($A127,Mortality_Matrix!$A$4:$A$64,0),MATCH(2047,Mortality_Matrix!$B$3:$BS$3,0)))/INDEX(Mortality_Matrix!$B$4:$BS$64,MATCH($A127,Mortality_Matrix!$A$4:$A$64,0),MATCH(2047,Mortality_Matrix!$B$3:$BS$3,0))</f>
        <v>7.88202096651144E-011</v>
      </c>
      <c r="AL127" s="27" t="n">
        <f aca="false">(AL61-INDEX(Mortality_Matrix!$B$4:$BS$64,MATCH($A127,Mortality_Matrix!$A$4:$A$64,0),MATCH(2048,Mortality_Matrix!$B$3:$BS$3,0)))/INDEX(Mortality_Matrix!$B$4:$BS$64,MATCH($A127,Mortality_Matrix!$A$4:$A$64,0),MATCH(2048,Mortality_Matrix!$B$3:$BS$3,0))</f>
        <v>-1.57424371763459E-010</v>
      </c>
      <c r="AM127" s="27" t="n">
        <f aca="false">(AM61-INDEX(Mortality_Matrix!$B$4:$BS$64,MATCH($A127,Mortality_Matrix!$A$4:$A$64,0),MATCH(2049,Mortality_Matrix!$B$3:$BS$3,0)))/INDEX(Mortality_Matrix!$B$4:$BS$64,MATCH($A127,Mortality_Matrix!$A$4:$A$64,0),MATCH(2049,Mortality_Matrix!$B$3:$BS$3,0))</f>
        <v>5.70146259420359E-012</v>
      </c>
      <c r="AN127" s="27" t="n">
        <f aca="false">(AN61-INDEX(Mortality_Matrix!$B$4:$BS$64,MATCH($A127,Mortality_Matrix!$A$4:$A$64,0),MATCH(2050,Mortality_Matrix!$B$3:$BS$3,0)))/INDEX(Mortality_Matrix!$B$4:$BS$64,MATCH($A127,Mortality_Matrix!$A$4:$A$64,0),MATCH(2050,Mortality_Matrix!$B$3:$BS$3,0))</f>
        <v>1.08859507296988E-011</v>
      </c>
      <c r="AO127" s="27" t="n">
        <f aca="false">(AO61-INDEX(Mortality_Matrix!$B$4:$BS$64,MATCH($A127,Mortality_Matrix!$A$4:$A$64,0),MATCH(2051,Mortality_Matrix!$B$3:$BS$3,0)))/INDEX(Mortality_Matrix!$B$4:$BS$64,MATCH($A127,Mortality_Matrix!$A$4:$A$64,0),MATCH(2051,Mortality_Matrix!$B$3:$BS$3,0))</f>
        <v>4.22186759597539E-011</v>
      </c>
      <c r="AP127" s="27" t="n">
        <f aca="false">(AP61-INDEX(Mortality_Matrix!$B$4:$BS$64,MATCH($A127,Mortality_Matrix!$A$4:$A$64,0),MATCH(2052,Mortality_Matrix!$B$3:$BS$3,0)))/INDEX(Mortality_Matrix!$B$4:$BS$64,MATCH($A127,Mortality_Matrix!$A$4:$A$64,0),MATCH(2052,Mortality_Matrix!$B$3:$BS$3,0))</f>
        <v>2.07741910810825E-011</v>
      </c>
      <c r="AQ127" s="27" t="n">
        <f aca="false">(AQ61-INDEX(Mortality_Matrix!$B$4:$BS$64,MATCH($A127,Mortality_Matrix!$A$4:$A$64,0),MATCH(2053,Mortality_Matrix!$B$3:$BS$3,0)))/INDEX(Mortality_Matrix!$B$4:$BS$64,MATCH($A127,Mortality_Matrix!$A$4:$A$64,0),MATCH(2053,Mortality_Matrix!$B$3:$BS$3,0))</f>
        <v>8.43516622561041E-011</v>
      </c>
      <c r="AR127" s="27" t="n">
        <f aca="false">(AR61-INDEX(Mortality_Matrix!$B$4:$BS$64,MATCH($A127,Mortality_Matrix!$A$4:$A$64,0),MATCH(2054,Mortality_Matrix!$B$3:$BS$3,0)))/INDEX(Mortality_Matrix!$B$4:$BS$64,MATCH($A127,Mortality_Matrix!$A$4:$A$64,0),MATCH(2054,Mortality_Matrix!$B$3:$BS$3,0))</f>
        <v>6.21844272668379E-011</v>
      </c>
      <c r="AS127" s="27" t="n">
        <f aca="false">(AS61-INDEX(Mortality_Matrix!$B$4:$BS$64,MATCH($A127,Mortality_Matrix!$A$4:$A$64,0),MATCH(2055,Mortality_Matrix!$B$3:$BS$3,0)))/INDEX(Mortality_Matrix!$B$4:$BS$64,MATCH($A127,Mortality_Matrix!$A$4:$A$64,0),MATCH(2055,Mortality_Matrix!$B$3:$BS$3,0))</f>
        <v>-3.95317108813748E-011</v>
      </c>
      <c r="AT127" s="27" t="n">
        <f aca="false">(AT61-INDEX(Mortality_Matrix!$B$4:$BS$64,MATCH($A127,Mortality_Matrix!$A$4:$A$64,0),MATCH(2056,Mortality_Matrix!$B$3:$BS$3,0)))/INDEX(Mortality_Matrix!$B$4:$BS$64,MATCH($A127,Mortality_Matrix!$A$4:$A$64,0),MATCH(2056,Mortality_Matrix!$B$3:$BS$3,0))</f>
        <v>-5.11930671337133E-011</v>
      </c>
      <c r="AU127" s="27" t="n">
        <f aca="false">(AU61-INDEX(Mortality_Matrix!$B$4:$BS$64,MATCH($A127,Mortality_Matrix!$A$4:$A$64,0),MATCH(2057,Mortality_Matrix!$B$3:$BS$3,0)))/INDEX(Mortality_Matrix!$B$4:$BS$64,MATCH($A127,Mortality_Matrix!$A$4:$A$64,0),MATCH(2057,Mortality_Matrix!$B$3:$BS$3,0))</f>
        <v>-1.78301396637278E-010</v>
      </c>
      <c r="AV127" s="27" t="n">
        <f aca="false">(AV61-INDEX(Mortality_Matrix!$B$4:$BS$64,MATCH($A127,Mortality_Matrix!$A$4:$A$64,0),MATCH(2058,Mortality_Matrix!$B$3:$BS$3,0)))/INDEX(Mortality_Matrix!$B$4:$BS$64,MATCH($A127,Mortality_Matrix!$A$4:$A$64,0),MATCH(2058,Mortality_Matrix!$B$3:$BS$3,0))</f>
        <v>2.11383512648289E-011</v>
      </c>
      <c r="AW127" s="27" t="n">
        <f aca="false">(AW61-INDEX(Mortality_Matrix!$B$4:$BS$64,MATCH($A127,Mortality_Matrix!$A$4:$A$64,0),MATCH(2059,Mortality_Matrix!$B$3:$BS$3,0)))/INDEX(Mortality_Matrix!$B$4:$BS$64,MATCH($A127,Mortality_Matrix!$A$4:$A$64,0),MATCH(2059,Mortality_Matrix!$B$3:$BS$3,0))</f>
        <v>4.41210523565772E-011</v>
      </c>
      <c r="AX127" s="27" t="n">
        <f aca="false">(AX61-INDEX(Mortality_Matrix!$B$4:$BS$64,MATCH($A127,Mortality_Matrix!$A$4:$A$64,0),MATCH(2060,Mortality_Matrix!$B$3:$BS$3,0)))/INDEX(Mortality_Matrix!$B$4:$BS$64,MATCH($A127,Mortality_Matrix!$A$4:$A$64,0),MATCH(2060,Mortality_Matrix!$B$3:$BS$3,0))</f>
        <v>-4.32113059439763E-012</v>
      </c>
      <c r="AY127" s="27" t="n">
        <f aca="false">(AY61-INDEX(Mortality_Matrix!$B$4:$BS$64,MATCH($A127,Mortality_Matrix!$A$4:$A$64,0),MATCH(2061,Mortality_Matrix!$B$3:$BS$3,0)))/INDEX(Mortality_Matrix!$B$4:$BS$64,MATCH($A127,Mortality_Matrix!$A$4:$A$64,0),MATCH(2061,Mortality_Matrix!$B$3:$BS$3,0))</f>
        <v>5.1381388691779E-011</v>
      </c>
      <c r="AZ127" s="27" t="n">
        <f aca="false">(AZ61-INDEX(Mortality_Matrix!$B$4:$BS$64,MATCH($A127,Mortality_Matrix!$A$4:$A$64,0),MATCH(2062,Mortality_Matrix!$B$3:$BS$3,0)))/INDEX(Mortality_Matrix!$B$4:$BS$64,MATCH($A127,Mortality_Matrix!$A$4:$A$64,0),MATCH(2062,Mortality_Matrix!$B$3:$BS$3,0))</f>
        <v>-1.03889806622393E-010</v>
      </c>
      <c r="BA127" s="27" t="n">
        <f aca="false">(BA61-INDEX(Mortality_Matrix!$B$4:$BS$64,MATCH($A127,Mortality_Matrix!$A$4:$A$64,0),MATCH(2063,Mortality_Matrix!$B$3:$BS$3,0)))/INDEX(Mortality_Matrix!$B$4:$BS$64,MATCH($A127,Mortality_Matrix!$A$4:$A$64,0),MATCH(2063,Mortality_Matrix!$B$3:$BS$3,0))</f>
        <v>-2.18668798061807E-010</v>
      </c>
      <c r="BB127" s="27" t="n">
        <f aca="false">(BB61-INDEX(Mortality_Matrix!$B$4:$BS$64,MATCH($A127,Mortality_Matrix!$A$4:$A$64,0),MATCH(2064,Mortality_Matrix!$B$3:$BS$3,0)))/INDEX(Mortality_Matrix!$B$4:$BS$64,MATCH($A127,Mortality_Matrix!$A$4:$A$64,0),MATCH(2064,Mortality_Matrix!$B$3:$BS$3,0))</f>
        <v>-2.58360595605994E-011</v>
      </c>
      <c r="BC127" s="27" t="n">
        <f aca="false">(BC61-INDEX(Mortality_Matrix!$B$4:$BS$64,MATCH($A127,Mortality_Matrix!$A$4:$A$64,0),MATCH(2065,Mortality_Matrix!$B$3:$BS$3,0)))/INDEX(Mortality_Matrix!$B$4:$BS$64,MATCH($A127,Mortality_Matrix!$A$4:$A$64,0),MATCH(2065,Mortality_Matrix!$B$3:$BS$3,0))</f>
        <v>1.821734042313E-010</v>
      </c>
      <c r="BD127" s="27" t="n">
        <f aca="false">(BD61-INDEX(Mortality_Matrix!$B$4:$BS$64,MATCH($A127,Mortality_Matrix!$A$4:$A$64,0),MATCH(2066,Mortality_Matrix!$B$3:$BS$3,0)))/INDEX(Mortality_Matrix!$B$4:$BS$64,MATCH($A127,Mortality_Matrix!$A$4:$A$64,0),MATCH(2066,Mortality_Matrix!$B$3:$BS$3,0))</f>
        <v>7.24898698473531E-011</v>
      </c>
      <c r="BE127" s="27" t="n">
        <f aca="false">(BE61-INDEX(Mortality_Matrix!$B$4:$BS$64,MATCH($A127,Mortality_Matrix!$A$4:$A$64,0),MATCH(2067,Mortality_Matrix!$B$3:$BS$3,0)))/INDEX(Mortality_Matrix!$B$4:$BS$64,MATCH($A127,Mortality_Matrix!$A$4:$A$64,0),MATCH(2067,Mortality_Matrix!$B$3:$BS$3,0))</f>
        <v>-1.8589573435085E-010</v>
      </c>
      <c r="BF127" s="27" t="n">
        <f aca="false">(BF61-INDEX(Mortality_Matrix!$B$4:$BS$64,MATCH($A127,Mortality_Matrix!$A$4:$A$64,0),MATCH(2068,Mortality_Matrix!$B$3:$BS$3,0)))/INDEX(Mortality_Matrix!$B$4:$BS$64,MATCH($A127,Mortality_Matrix!$A$4:$A$64,0),MATCH(2068,Mortality_Matrix!$B$3:$BS$3,0))</f>
        <v>7.61805424715532E-011</v>
      </c>
      <c r="BG127" s="27" t="n">
        <f aca="false">(BG61-INDEX(Mortality_Matrix!$B$4:$BS$64,MATCH($A127,Mortality_Matrix!$A$4:$A$64,0),MATCH(2069,Mortality_Matrix!$B$3:$BS$3,0)))/INDEX(Mortality_Matrix!$B$4:$BS$64,MATCH($A127,Mortality_Matrix!$A$4:$A$64,0),MATCH(2069,Mortality_Matrix!$B$3:$BS$3,0))</f>
        <v>-2.61453653894267E-010</v>
      </c>
      <c r="BH127" s="27" t="n">
        <f aca="false">(BH61-INDEX(Mortality_Matrix!$B$4:$BS$64,MATCH($A127,Mortality_Matrix!$A$4:$A$64,0),MATCH(2070,Mortality_Matrix!$B$3:$BS$3,0)))/INDEX(Mortality_Matrix!$B$4:$BS$64,MATCH($A127,Mortality_Matrix!$A$4:$A$64,0),MATCH(2070,Mortality_Matrix!$B$3:$BS$3,0))</f>
        <v>-1.61456321565907E-010</v>
      </c>
      <c r="BI127" s="27" t="n">
        <f aca="false">(BI61-INDEX(Mortality_Matrix!$B$4:$BS$64,MATCH($A127,Mortality_Matrix!$A$4:$A$64,0),MATCH(2071,Mortality_Matrix!$B$3:$BS$3,0)))/INDEX(Mortality_Matrix!$B$4:$BS$64,MATCH($A127,Mortality_Matrix!$A$4:$A$64,0),MATCH(2071,Mortality_Matrix!$B$3:$BS$3,0))</f>
        <v>1.4860183981317E-010</v>
      </c>
      <c r="BJ127" s="27" t="n">
        <f aca="false">(BJ61-INDEX(Mortality_Matrix!$B$4:$BS$64,MATCH($A127,Mortality_Matrix!$A$4:$A$64,0),MATCH(2072,Mortality_Matrix!$B$3:$BS$3,0)))/INDEX(Mortality_Matrix!$B$4:$BS$64,MATCH($A127,Mortality_Matrix!$A$4:$A$64,0),MATCH(2072,Mortality_Matrix!$B$3:$BS$3,0))</f>
        <v>2.78573908622127E-010</v>
      </c>
      <c r="BK127" s="27" t="n">
        <f aca="false">(BK61-INDEX(Mortality_Matrix!$B$4:$BS$64,MATCH($A127,Mortality_Matrix!$A$4:$A$64,0),MATCH(2073,Mortality_Matrix!$B$3:$BS$3,0)))/INDEX(Mortality_Matrix!$B$4:$BS$64,MATCH($A127,Mortality_Matrix!$A$4:$A$64,0),MATCH(2073,Mortality_Matrix!$B$3:$BS$3,0))</f>
        <v>2.3854610839505E-010</v>
      </c>
      <c r="BL127" s="27" t="n">
        <f aca="false">(BL61-INDEX(Mortality_Matrix!$B$4:$BS$64,MATCH($A127,Mortality_Matrix!$A$4:$A$64,0),MATCH(2074,Mortality_Matrix!$B$3:$BS$3,0)))/INDEX(Mortality_Matrix!$B$4:$BS$64,MATCH($A127,Mortality_Matrix!$A$4:$A$64,0),MATCH(2074,Mortality_Matrix!$B$3:$BS$3,0))</f>
        <v>-1.59417458134378E-010</v>
      </c>
      <c r="BM127" s="27" t="n">
        <f aca="false">(BM61-INDEX(Mortality_Matrix!$B$4:$BS$64,MATCH($A127,Mortality_Matrix!$A$4:$A$64,0),MATCH(2075,Mortality_Matrix!$B$3:$BS$3,0)))/INDEX(Mortality_Matrix!$B$4:$BS$64,MATCH($A127,Mortality_Matrix!$A$4:$A$64,0),MATCH(2075,Mortality_Matrix!$B$3:$BS$3,0))</f>
        <v>-1.34095574176311E-010</v>
      </c>
      <c r="BN127" s="27" t="n">
        <f aca="false">(BN61-INDEX(Mortality_Matrix!$B$4:$BS$64,MATCH($A127,Mortality_Matrix!$A$4:$A$64,0),MATCH(2076,Mortality_Matrix!$B$3:$BS$3,0)))/INDEX(Mortality_Matrix!$B$4:$BS$64,MATCH($A127,Mortality_Matrix!$A$4:$A$64,0),MATCH(2076,Mortality_Matrix!$B$3:$BS$3,0))</f>
        <v>2.75436009134377E-010</v>
      </c>
      <c r="BO127" s="27" t="n">
        <f aca="false">(BO61-INDEX(Mortality_Matrix!$B$4:$BS$64,MATCH($A127,Mortality_Matrix!$A$4:$A$64,0),MATCH(2077,Mortality_Matrix!$B$3:$BS$3,0)))/INDEX(Mortality_Matrix!$B$4:$BS$64,MATCH($A127,Mortality_Matrix!$A$4:$A$64,0),MATCH(2077,Mortality_Matrix!$B$3:$BS$3,0))</f>
        <v>1.59586449414359E-010</v>
      </c>
      <c r="BP127" s="27" t="n">
        <f aca="false">(BP61-INDEX(Mortality_Matrix!$B$4:$BS$64,MATCH($A127,Mortality_Matrix!$A$4:$A$64,0),MATCH(2078,Mortality_Matrix!$B$3:$BS$3,0)))/INDEX(Mortality_Matrix!$B$4:$BS$64,MATCH($A127,Mortality_Matrix!$A$4:$A$64,0),MATCH(2078,Mortality_Matrix!$B$3:$BS$3,0))</f>
        <v>1.27850800274177E-010</v>
      </c>
      <c r="BQ127" s="27" t="n">
        <f aca="false">(BQ61-INDEX(Mortality_Matrix!$B$4:$BS$64,MATCH($A127,Mortality_Matrix!$A$4:$A$64,0),MATCH(2079,Mortality_Matrix!$B$3:$BS$3,0)))/INDEX(Mortality_Matrix!$B$4:$BS$64,MATCH($A127,Mortality_Matrix!$A$4:$A$64,0),MATCH(2079,Mortality_Matrix!$B$3:$BS$3,0))</f>
        <v>-1.1459767998695E-010</v>
      </c>
      <c r="BR127" s="27" t="n">
        <f aca="false">(BR61-INDEX(Mortality_Matrix!$B$4:$BS$64,MATCH($A127,Mortality_Matrix!$A$4:$A$64,0),MATCH(2080,Mortality_Matrix!$B$3:$BS$3,0)))/INDEX(Mortality_Matrix!$B$4:$BS$64,MATCH($A127,Mortality_Matrix!$A$4:$A$64,0),MATCH(2080,Mortality_Matrix!$B$3:$BS$3,0))</f>
        <v>3.74742633194305E-011</v>
      </c>
      <c r="BS127" s="27" t="n">
        <f aca="false">(BS61-INDEX(Mortality_Matrix!$B$4:$BS$64,MATCH($A127,Mortality_Matrix!$A$4:$A$64,0),MATCH(2081,Mortality_Matrix!$B$3:$BS$3,0)))/INDEX(Mortality_Matrix!$B$4:$BS$64,MATCH($A127,Mortality_Matrix!$A$4:$A$64,0),MATCH(2081,Mortality_Matrix!$B$3:$BS$3,0))</f>
        <v>2.31063141332625E-010</v>
      </c>
      <c r="BT127" s="27" t="n">
        <f aca="false">(BT61-INDEX(Mortality_Matrix!$B$4:$BS$64,MATCH($A127,Mortality_Matrix!$A$4:$A$64,0),MATCH(2082,Mortality_Matrix!$B$3:$BS$3,0)))/INDEX(Mortality_Matrix!$B$4:$BS$64,MATCH($A127,Mortality_Matrix!$A$4:$A$64,0),MATCH(2082,Mortality_Matrix!$B$3:$BS$3,0))</f>
        <v>-2.71998513957932E-010</v>
      </c>
      <c r="BU127" s="27" t="n">
        <f aca="false">(BU61-INDEX(Mortality_Matrix!$B$4:$BS$64,MATCH($A127,Mortality_Matrix!$A$4:$A$64,0),MATCH(2083,Mortality_Matrix!$B$3:$BS$3,0)))/INDEX(Mortality_Matrix!$B$4:$BS$64,MATCH($A127,Mortality_Matrix!$A$4:$A$64,0),MATCH(2083,Mortality_Matrix!$B$3:$BS$3,0))</f>
        <v>-9.78644362141396E-011</v>
      </c>
      <c r="BV127" s="27" t="n">
        <f aca="false">(BV61-INDEX(Mortality_Matrix!$B$4:$BS$64,MATCH($A127,Mortality_Matrix!$A$4:$A$64,0),MATCH(2084,Mortality_Matrix!$B$3:$BS$3,0)))/INDEX(Mortality_Matrix!$B$4:$BS$64,MATCH($A127,Mortality_Matrix!$A$4:$A$64,0),MATCH(2084,Mortality_Matrix!$B$3:$BS$3,0))</f>
        <v>-1.65167758871566E-010</v>
      </c>
      <c r="BW127" s="27" t="n">
        <f aca="false">(BW61-INDEX(Mortality_Matrix!$B$4:$BS$64,MATCH($A127,Mortality_Matrix!$A$4:$A$64,0),MATCH(2085,Mortality_Matrix!$B$3:$BS$3,0)))/INDEX(Mortality_Matrix!$B$4:$BS$64,MATCH($A127,Mortality_Matrix!$A$4:$A$64,0),MATCH(2085,Mortality_Matrix!$B$3:$BS$3,0))</f>
        <v>6.2858453122112E-011</v>
      </c>
      <c r="BX127" s="27" t="n">
        <f aca="false">(BX61-INDEX(Mortality_Matrix!$B$4:$BS$64,MATCH($A127,Mortality_Matrix!$A$4:$A$64,0),MATCH(2086,Mortality_Matrix!$B$3:$BS$3,0)))/INDEX(Mortality_Matrix!$B$4:$BS$64,MATCH($A127,Mortality_Matrix!$A$4:$A$64,0),MATCH(2086,Mortality_Matrix!$B$3:$BS$3,0))</f>
        <v>2.50957849801742E-011</v>
      </c>
      <c r="BY127" s="27" t="n">
        <f aca="false">(BY61-INDEX(Mortality_Matrix!$B$4:$BS$64,MATCH($A127,Mortality_Matrix!$A$4:$A$64,0),MATCH(2087,Mortality_Matrix!$B$3:$BS$3,0)))/INDEX(Mortality_Matrix!$B$4:$BS$64,MATCH($A127,Mortality_Matrix!$A$4:$A$64,0),MATCH(2087,Mortality_Matrix!$B$3:$BS$3,0))</f>
        <v>-4.36828615488874E-011</v>
      </c>
      <c r="BZ127" s="27" t="n">
        <f aca="false">(BZ61-INDEX(Mortality_Matrix!$B$4:$BS$64,MATCH($A127,Mortality_Matrix!$A$4:$A$64,0),MATCH(2088,Mortality_Matrix!$B$3:$BS$3,0)))/INDEX(Mortality_Matrix!$B$4:$BS$64,MATCH($A127,Mortality_Matrix!$A$4:$A$64,0),MATCH(2088,Mortality_Matrix!$B$3:$BS$3,0))</f>
        <v>2.40248823538165E-010</v>
      </c>
      <c r="CA127" s="27" t="n">
        <f aca="false">(CA61-INDEX(Mortality_Matrix!$B$4:$BS$64,MATCH($A127,Mortality_Matrix!$A$4:$A$64,0),MATCH(2089,Mortality_Matrix!$B$3:$BS$3,0)))/INDEX(Mortality_Matrix!$B$4:$BS$64,MATCH($A127,Mortality_Matrix!$A$4:$A$64,0),MATCH(2089,Mortality_Matrix!$B$3:$BS$3,0))</f>
        <v>7.32005358052235E-011</v>
      </c>
      <c r="CB127" s="27" t="n">
        <f aca="false">(CB61-INDEX(Mortality_Matrix!$B$4:$BS$64,MATCH($A127,Mortality_Matrix!$A$4:$A$64,0),MATCH(2090,Mortality_Matrix!$B$3:$BS$3,0)))/INDEX(Mortality_Matrix!$B$4:$BS$64,MATCH($A127,Mortality_Matrix!$A$4:$A$64,0),MATCH(2090,Mortality_Matrix!$B$3:$BS$3,0))</f>
        <v>6.3083728511957E-011</v>
      </c>
      <c r="CC127" s="27" t="n">
        <f aca="false">(CC61-INDEX(Mortality_Matrix!$B$4:$BS$64,MATCH($A127,Mortality_Matrix!$A$4:$A$64,0),MATCH(2091,Mortality_Matrix!$B$3:$BS$3,0)))/INDEX(Mortality_Matrix!$B$4:$BS$64,MATCH($A127,Mortality_Matrix!$A$4:$A$64,0),MATCH(2091,Mortality_Matrix!$B$3:$BS$3,0))</f>
        <v>2.49726045904371E-010</v>
      </c>
    </row>
    <row r="128" customFormat="false" ht="15" hidden="false" customHeight="true" outlineLevel="0" collapsed="false">
      <c r="A128" s="3" t="n">
        <v>99</v>
      </c>
      <c r="L128" s="27" t="n">
        <f aca="false">(L62-INDEX(Mortality_Matrix!$B$4:$BS$64,MATCH($A128,Mortality_Matrix!$A$4:$A$64,0),MATCH(2022,Mortality_Matrix!$B$3:$BS$3,0)))/INDEX(Mortality_Matrix!$B$4:$BS$64,MATCH($A128,Mortality_Matrix!$A$4:$A$64,0),MATCH(2022,Mortality_Matrix!$B$3:$BS$3,0))</f>
        <v>8.16600476048382E-011</v>
      </c>
      <c r="M128" s="27" t="n">
        <f aca="false">(M62-INDEX(Mortality_Matrix!$B$4:$BS$64,MATCH($A128,Mortality_Matrix!$A$4:$A$64,0),MATCH(2023,Mortality_Matrix!$B$3:$BS$3,0)))/INDEX(Mortality_Matrix!$B$4:$BS$64,MATCH($A128,Mortality_Matrix!$A$4:$A$64,0),MATCH(2023,Mortality_Matrix!$B$3:$BS$3,0))</f>
        <v>6.49039211524769E-011</v>
      </c>
      <c r="N128" s="27" t="n">
        <f aca="false">(N62-INDEX(Mortality_Matrix!$B$4:$BS$64,MATCH($A128,Mortality_Matrix!$A$4:$A$64,0),MATCH(2024,Mortality_Matrix!$B$3:$BS$3,0)))/INDEX(Mortality_Matrix!$B$4:$BS$64,MATCH($A128,Mortality_Matrix!$A$4:$A$64,0),MATCH(2024,Mortality_Matrix!$B$3:$BS$3,0))</f>
        <v>-1.81630642401337E-010</v>
      </c>
      <c r="O128" s="27" t="n">
        <f aca="false">(O62-INDEX(Mortality_Matrix!$B$4:$BS$64,MATCH($A128,Mortality_Matrix!$A$4:$A$64,0),MATCH(2025,Mortality_Matrix!$B$3:$BS$3,0)))/INDEX(Mortality_Matrix!$B$4:$BS$64,MATCH($A128,Mortality_Matrix!$A$4:$A$64,0),MATCH(2025,Mortality_Matrix!$B$3:$BS$3,0))</f>
        <v>6.73302659506477E-011</v>
      </c>
      <c r="P128" s="27" t="n">
        <f aca="false">(P62-INDEX(Mortality_Matrix!$B$4:$BS$64,MATCH($A128,Mortality_Matrix!$A$4:$A$64,0),MATCH(2026,Mortality_Matrix!$B$3:$BS$3,0)))/INDEX(Mortality_Matrix!$B$4:$BS$64,MATCH($A128,Mortality_Matrix!$A$4:$A$64,0),MATCH(2026,Mortality_Matrix!$B$3:$BS$3,0))</f>
        <v>5.99482387395224E-011</v>
      </c>
      <c r="Q128" s="27" t="n">
        <f aca="false">(Q62-INDEX(Mortality_Matrix!$B$4:$BS$64,MATCH($A128,Mortality_Matrix!$A$4:$A$64,0),MATCH(2027,Mortality_Matrix!$B$3:$BS$3,0)))/INDEX(Mortality_Matrix!$B$4:$BS$64,MATCH($A128,Mortality_Matrix!$A$4:$A$64,0),MATCH(2027,Mortality_Matrix!$B$3:$BS$3,0))</f>
        <v>-1.41450438296286E-011</v>
      </c>
      <c r="R128" s="27" t="n">
        <f aca="false">(R62-INDEX(Mortality_Matrix!$B$4:$BS$64,MATCH($A128,Mortality_Matrix!$A$4:$A$64,0),MATCH(2028,Mortality_Matrix!$B$3:$BS$3,0)))/INDEX(Mortality_Matrix!$B$4:$BS$64,MATCH($A128,Mortality_Matrix!$A$4:$A$64,0),MATCH(2028,Mortality_Matrix!$B$3:$BS$3,0))</f>
        <v>-4.78843155836461E-011</v>
      </c>
      <c r="S128" s="27" t="n">
        <f aca="false">(S62-INDEX(Mortality_Matrix!$B$4:$BS$64,MATCH($A128,Mortality_Matrix!$A$4:$A$64,0),MATCH(2029,Mortality_Matrix!$B$3:$BS$3,0)))/INDEX(Mortality_Matrix!$B$4:$BS$64,MATCH($A128,Mortality_Matrix!$A$4:$A$64,0),MATCH(2029,Mortality_Matrix!$B$3:$BS$3,0))</f>
        <v>-1.34889625240034E-010</v>
      </c>
      <c r="T128" s="27" t="n">
        <f aca="false">(T62-INDEX(Mortality_Matrix!$B$4:$BS$64,MATCH($A128,Mortality_Matrix!$A$4:$A$64,0),MATCH(2030,Mortality_Matrix!$B$3:$BS$3,0)))/INDEX(Mortality_Matrix!$B$4:$BS$64,MATCH($A128,Mortality_Matrix!$A$4:$A$64,0),MATCH(2030,Mortality_Matrix!$B$3:$BS$3,0))</f>
        <v>-7.85151090857928E-011</v>
      </c>
      <c r="U128" s="27" t="n">
        <f aca="false">(U62-INDEX(Mortality_Matrix!$B$4:$BS$64,MATCH($A128,Mortality_Matrix!$A$4:$A$64,0),MATCH(2031,Mortality_Matrix!$B$3:$BS$3,0)))/INDEX(Mortality_Matrix!$B$4:$BS$64,MATCH($A128,Mortality_Matrix!$A$4:$A$64,0),MATCH(2031,Mortality_Matrix!$B$3:$BS$3,0))</f>
        <v>1.88230481973757E-010</v>
      </c>
      <c r="V128" s="27" t="n">
        <f aca="false">(V62-INDEX(Mortality_Matrix!$B$4:$BS$64,MATCH($A128,Mortality_Matrix!$A$4:$A$64,0),MATCH(2032,Mortality_Matrix!$B$3:$BS$3,0)))/INDEX(Mortality_Matrix!$B$4:$BS$64,MATCH($A128,Mortality_Matrix!$A$4:$A$64,0),MATCH(2032,Mortality_Matrix!$B$3:$BS$3,0))</f>
        <v>1.65916865117442E-010</v>
      </c>
      <c r="W128" s="27" t="n">
        <f aca="false">(W62-INDEX(Mortality_Matrix!$B$4:$BS$64,MATCH($A128,Mortality_Matrix!$A$4:$A$64,0),MATCH(2033,Mortality_Matrix!$B$3:$BS$3,0)))/INDEX(Mortality_Matrix!$B$4:$BS$64,MATCH($A128,Mortality_Matrix!$A$4:$A$64,0),MATCH(2033,Mortality_Matrix!$B$3:$BS$3,0))</f>
        <v>2.35460212922918E-011</v>
      </c>
      <c r="X128" s="27" t="n">
        <f aca="false">(X62-INDEX(Mortality_Matrix!$B$4:$BS$64,MATCH($A128,Mortality_Matrix!$A$4:$A$64,0),MATCH(2034,Mortality_Matrix!$B$3:$BS$3,0)))/INDEX(Mortality_Matrix!$B$4:$BS$64,MATCH($A128,Mortality_Matrix!$A$4:$A$64,0),MATCH(2034,Mortality_Matrix!$B$3:$BS$3,0))</f>
        <v>1.83013289460566E-010</v>
      </c>
      <c r="Y128" s="27" t="n">
        <f aca="false">(Y62-INDEX(Mortality_Matrix!$B$4:$BS$64,MATCH($A128,Mortality_Matrix!$A$4:$A$64,0),MATCH(2035,Mortality_Matrix!$B$3:$BS$3,0)))/INDEX(Mortality_Matrix!$B$4:$BS$64,MATCH($A128,Mortality_Matrix!$A$4:$A$64,0),MATCH(2035,Mortality_Matrix!$B$3:$BS$3,0))</f>
        <v>3.09577658912405E-011</v>
      </c>
      <c r="Z128" s="27" t="n">
        <f aca="false">(Z62-INDEX(Mortality_Matrix!$B$4:$BS$64,MATCH($A128,Mortality_Matrix!$A$4:$A$64,0),MATCH(2036,Mortality_Matrix!$B$3:$BS$3,0)))/INDEX(Mortality_Matrix!$B$4:$BS$64,MATCH($A128,Mortality_Matrix!$A$4:$A$64,0),MATCH(2036,Mortality_Matrix!$B$3:$BS$3,0))</f>
        <v>2.46695860092563E-011</v>
      </c>
      <c r="AA128" s="27" t="n">
        <f aca="false">(AA62-INDEX(Mortality_Matrix!$B$4:$BS$64,MATCH($A128,Mortality_Matrix!$A$4:$A$64,0),MATCH(2037,Mortality_Matrix!$B$3:$BS$3,0)))/INDEX(Mortality_Matrix!$B$4:$BS$64,MATCH($A128,Mortality_Matrix!$A$4:$A$64,0),MATCH(2037,Mortality_Matrix!$B$3:$BS$3,0))</f>
        <v>-1.92054842506186E-011</v>
      </c>
      <c r="AB128" s="27" t="n">
        <f aca="false">(AB62-INDEX(Mortality_Matrix!$B$4:$BS$64,MATCH($A128,Mortality_Matrix!$A$4:$A$64,0),MATCH(2038,Mortality_Matrix!$B$3:$BS$3,0)))/INDEX(Mortality_Matrix!$B$4:$BS$64,MATCH($A128,Mortality_Matrix!$A$4:$A$64,0),MATCH(2038,Mortality_Matrix!$B$3:$BS$3,0))</f>
        <v>-8.62408208305941E-011</v>
      </c>
      <c r="AC128" s="27" t="n">
        <f aca="false">(AC62-INDEX(Mortality_Matrix!$B$4:$BS$64,MATCH($A128,Mortality_Matrix!$A$4:$A$64,0),MATCH(2039,Mortality_Matrix!$B$3:$BS$3,0)))/INDEX(Mortality_Matrix!$B$4:$BS$64,MATCH($A128,Mortality_Matrix!$A$4:$A$64,0),MATCH(2039,Mortality_Matrix!$B$3:$BS$3,0))</f>
        <v>2.94779934695709E-011</v>
      </c>
      <c r="AD128" s="27" t="n">
        <f aca="false">(AD62-INDEX(Mortality_Matrix!$B$4:$BS$64,MATCH($A128,Mortality_Matrix!$A$4:$A$64,0),MATCH(2040,Mortality_Matrix!$B$3:$BS$3,0)))/INDEX(Mortality_Matrix!$B$4:$BS$64,MATCH($A128,Mortality_Matrix!$A$4:$A$64,0),MATCH(2040,Mortality_Matrix!$B$3:$BS$3,0))</f>
        <v>-1.6572945534705E-010</v>
      </c>
      <c r="AE128" s="27" t="n">
        <f aca="false">(AE62-INDEX(Mortality_Matrix!$B$4:$BS$64,MATCH($A128,Mortality_Matrix!$A$4:$A$64,0),MATCH(2041,Mortality_Matrix!$B$3:$BS$3,0)))/INDEX(Mortality_Matrix!$B$4:$BS$64,MATCH($A128,Mortality_Matrix!$A$4:$A$64,0),MATCH(2041,Mortality_Matrix!$B$3:$BS$3,0))</f>
        <v>-1.20676839704207E-010</v>
      </c>
      <c r="AF128" s="27" t="n">
        <f aca="false">(AF62-INDEX(Mortality_Matrix!$B$4:$BS$64,MATCH($A128,Mortality_Matrix!$A$4:$A$64,0),MATCH(2042,Mortality_Matrix!$B$3:$BS$3,0)))/INDEX(Mortality_Matrix!$B$4:$BS$64,MATCH($A128,Mortality_Matrix!$A$4:$A$64,0),MATCH(2042,Mortality_Matrix!$B$3:$BS$3,0))</f>
        <v>-9.89615269185678E-012</v>
      </c>
      <c r="AG128" s="27" t="n">
        <f aca="false">(AG62-INDEX(Mortality_Matrix!$B$4:$BS$64,MATCH($A128,Mortality_Matrix!$A$4:$A$64,0),MATCH(2043,Mortality_Matrix!$B$3:$BS$3,0)))/INDEX(Mortality_Matrix!$B$4:$BS$64,MATCH($A128,Mortality_Matrix!$A$4:$A$64,0),MATCH(2043,Mortality_Matrix!$B$3:$BS$3,0))</f>
        <v>1.31304246620363E-010</v>
      </c>
      <c r="AH128" s="27" t="n">
        <f aca="false">(AH62-INDEX(Mortality_Matrix!$B$4:$BS$64,MATCH($A128,Mortality_Matrix!$A$4:$A$64,0),MATCH(2044,Mortality_Matrix!$B$3:$BS$3,0)))/INDEX(Mortality_Matrix!$B$4:$BS$64,MATCH($A128,Mortality_Matrix!$A$4:$A$64,0),MATCH(2044,Mortality_Matrix!$B$3:$BS$3,0))</f>
        <v>-5.55194331217188E-011</v>
      </c>
      <c r="AI128" s="27" t="n">
        <f aca="false">(AI62-INDEX(Mortality_Matrix!$B$4:$BS$64,MATCH($A128,Mortality_Matrix!$A$4:$A$64,0),MATCH(2045,Mortality_Matrix!$B$3:$BS$3,0)))/INDEX(Mortality_Matrix!$B$4:$BS$64,MATCH($A128,Mortality_Matrix!$A$4:$A$64,0),MATCH(2045,Mortality_Matrix!$B$3:$BS$3,0))</f>
        <v>9.57918496766294E-011</v>
      </c>
      <c r="AJ128" s="27" t="n">
        <f aca="false">(AJ62-INDEX(Mortality_Matrix!$B$4:$BS$64,MATCH($A128,Mortality_Matrix!$A$4:$A$64,0),MATCH(2046,Mortality_Matrix!$B$3:$BS$3,0)))/INDEX(Mortality_Matrix!$B$4:$BS$64,MATCH($A128,Mortality_Matrix!$A$4:$A$64,0),MATCH(2046,Mortality_Matrix!$B$3:$BS$3,0))</f>
        <v>-3.60511289264895E-012</v>
      </c>
      <c r="AK128" s="27" t="n">
        <f aca="false">(AK62-INDEX(Mortality_Matrix!$B$4:$BS$64,MATCH($A128,Mortality_Matrix!$A$4:$A$64,0),MATCH(2047,Mortality_Matrix!$B$3:$BS$3,0)))/INDEX(Mortality_Matrix!$B$4:$BS$64,MATCH($A128,Mortality_Matrix!$A$4:$A$64,0),MATCH(2047,Mortality_Matrix!$B$3:$BS$3,0))</f>
        <v>6.36555900504573E-011</v>
      </c>
      <c r="AL128" s="27" t="n">
        <f aca="false">(AL62-INDEX(Mortality_Matrix!$B$4:$BS$64,MATCH($A128,Mortality_Matrix!$A$4:$A$64,0),MATCH(2048,Mortality_Matrix!$B$3:$BS$3,0)))/INDEX(Mortality_Matrix!$B$4:$BS$64,MATCH($A128,Mortality_Matrix!$A$4:$A$64,0),MATCH(2048,Mortality_Matrix!$B$3:$BS$3,0))</f>
        <v>-1.23333183368662E-010</v>
      </c>
      <c r="AM128" s="27" t="n">
        <f aca="false">(AM62-INDEX(Mortality_Matrix!$B$4:$BS$64,MATCH($A128,Mortality_Matrix!$A$4:$A$64,0),MATCH(2049,Mortality_Matrix!$B$3:$BS$3,0)))/INDEX(Mortality_Matrix!$B$4:$BS$64,MATCH($A128,Mortality_Matrix!$A$4:$A$64,0),MATCH(2049,Mortality_Matrix!$B$3:$BS$3,0))</f>
        <v>1.28877404811009E-011</v>
      </c>
      <c r="AN128" s="27" t="n">
        <f aca="false">(AN62-INDEX(Mortality_Matrix!$B$4:$BS$64,MATCH($A128,Mortality_Matrix!$A$4:$A$64,0),MATCH(2050,Mortality_Matrix!$B$3:$BS$3,0)))/INDEX(Mortality_Matrix!$B$4:$BS$64,MATCH($A128,Mortality_Matrix!$A$4:$A$64,0),MATCH(2050,Mortality_Matrix!$B$3:$BS$3,0))</f>
        <v>1.78459668359081E-010</v>
      </c>
      <c r="AO128" s="27" t="n">
        <f aca="false">(AO62-INDEX(Mortality_Matrix!$B$4:$BS$64,MATCH($A128,Mortality_Matrix!$A$4:$A$64,0),MATCH(2051,Mortality_Matrix!$B$3:$BS$3,0)))/INDEX(Mortality_Matrix!$B$4:$BS$64,MATCH($A128,Mortality_Matrix!$A$4:$A$64,0),MATCH(2051,Mortality_Matrix!$B$3:$BS$3,0))</f>
        <v>1.17384589849289E-010</v>
      </c>
      <c r="AP128" s="27" t="n">
        <f aca="false">(AP62-INDEX(Mortality_Matrix!$B$4:$BS$64,MATCH($A128,Mortality_Matrix!$A$4:$A$64,0),MATCH(2052,Mortality_Matrix!$B$3:$BS$3,0)))/INDEX(Mortality_Matrix!$B$4:$BS$64,MATCH($A128,Mortality_Matrix!$A$4:$A$64,0),MATCH(2052,Mortality_Matrix!$B$3:$BS$3,0))</f>
        <v>7.87914232081977E-011</v>
      </c>
      <c r="AQ128" s="27" t="n">
        <f aca="false">(AQ62-INDEX(Mortality_Matrix!$B$4:$BS$64,MATCH($A128,Mortality_Matrix!$A$4:$A$64,0),MATCH(2053,Mortality_Matrix!$B$3:$BS$3,0)))/INDEX(Mortality_Matrix!$B$4:$BS$64,MATCH($A128,Mortality_Matrix!$A$4:$A$64,0),MATCH(2053,Mortality_Matrix!$B$3:$BS$3,0))</f>
        <v>-1.43123032988837E-010</v>
      </c>
      <c r="AR128" s="27" t="n">
        <f aca="false">(AR62-INDEX(Mortality_Matrix!$B$4:$BS$64,MATCH($A128,Mortality_Matrix!$A$4:$A$64,0),MATCH(2054,Mortality_Matrix!$B$3:$BS$3,0)))/INDEX(Mortality_Matrix!$B$4:$BS$64,MATCH($A128,Mortality_Matrix!$A$4:$A$64,0),MATCH(2054,Mortality_Matrix!$B$3:$BS$3,0))</f>
        <v>2.18355319642132E-010</v>
      </c>
      <c r="AS128" s="27" t="n">
        <f aca="false">(AS62-INDEX(Mortality_Matrix!$B$4:$BS$64,MATCH($A128,Mortality_Matrix!$A$4:$A$64,0),MATCH(2055,Mortality_Matrix!$B$3:$BS$3,0)))/INDEX(Mortality_Matrix!$B$4:$BS$64,MATCH($A128,Mortality_Matrix!$A$4:$A$64,0),MATCH(2055,Mortality_Matrix!$B$3:$BS$3,0))</f>
        <v>-8.66676129877888E-012</v>
      </c>
      <c r="AT128" s="27" t="n">
        <f aca="false">(AT62-INDEX(Mortality_Matrix!$B$4:$BS$64,MATCH($A128,Mortality_Matrix!$A$4:$A$64,0),MATCH(2056,Mortality_Matrix!$B$3:$BS$3,0)))/INDEX(Mortality_Matrix!$B$4:$BS$64,MATCH($A128,Mortality_Matrix!$A$4:$A$64,0),MATCH(2056,Mortality_Matrix!$B$3:$BS$3,0))</f>
        <v>-7.89763788609699E-011</v>
      </c>
      <c r="AU128" s="27" t="n">
        <f aca="false">(AU62-INDEX(Mortality_Matrix!$B$4:$BS$64,MATCH($A128,Mortality_Matrix!$A$4:$A$64,0),MATCH(2057,Mortality_Matrix!$B$3:$BS$3,0)))/INDEX(Mortality_Matrix!$B$4:$BS$64,MATCH($A128,Mortality_Matrix!$A$4:$A$64,0),MATCH(2057,Mortality_Matrix!$B$3:$BS$3,0))</f>
        <v>2.4629894491348E-010</v>
      </c>
      <c r="AV128" s="27" t="n">
        <f aca="false">(AV62-INDEX(Mortality_Matrix!$B$4:$BS$64,MATCH($A128,Mortality_Matrix!$A$4:$A$64,0),MATCH(2058,Mortality_Matrix!$B$3:$BS$3,0)))/INDEX(Mortality_Matrix!$B$4:$BS$64,MATCH($A128,Mortality_Matrix!$A$4:$A$64,0),MATCH(2058,Mortality_Matrix!$B$3:$BS$3,0))</f>
        <v>1.71365136250024E-010</v>
      </c>
      <c r="AW128" s="27" t="n">
        <f aca="false">(AW62-INDEX(Mortality_Matrix!$B$4:$BS$64,MATCH($A128,Mortality_Matrix!$A$4:$A$64,0),MATCH(2059,Mortality_Matrix!$B$3:$BS$3,0)))/INDEX(Mortality_Matrix!$B$4:$BS$64,MATCH($A128,Mortality_Matrix!$A$4:$A$64,0),MATCH(2059,Mortality_Matrix!$B$3:$BS$3,0))</f>
        <v>-1.75499774210437E-010</v>
      </c>
      <c r="AX128" s="27" t="n">
        <f aca="false">(AX62-INDEX(Mortality_Matrix!$B$4:$BS$64,MATCH($A128,Mortality_Matrix!$A$4:$A$64,0),MATCH(2060,Mortality_Matrix!$B$3:$BS$3,0)))/INDEX(Mortality_Matrix!$B$4:$BS$64,MATCH($A128,Mortality_Matrix!$A$4:$A$64,0),MATCH(2060,Mortality_Matrix!$B$3:$BS$3,0))</f>
        <v>-2.28713160754765E-010</v>
      </c>
      <c r="AY128" s="27" t="n">
        <f aca="false">(AY62-INDEX(Mortality_Matrix!$B$4:$BS$64,MATCH($A128,Mortality_Matrix!$A$4:$A$64,0),MATCH(2061,Mortality_Matrix!$B$3:$BS$3,0)))/INDEX(Mortality_Matrix!$B$4:$BS$64,MATCH($A128,Mortality_Matrix!$A$4:$A$64,0),MATCH(2061,Mortality_Matrix!$B$3:$BS$3,0))</f>
        <v>-3.16399996865544E-013</v>
      </c>
      <c r="AZ128" s="27" t="n">
        <f aca="false">(AZ62-INDEX(Mortality_Matrix!$B$4:$BS$64,MATCH($A128,Mortality_Matrix!$A$4:$A$64,0),MATCH(2062,Mortality_Matrix!$B$3:$BS$3,0)))/INDEX(Mortality_Matrix!$B$4:$BS$64,MATCH($A128,Mortality_Matrix!$A$4:$A$64,0),MATCH(2062,Mortality_Matrix!$B$3:$BS$3,0))</f>
        <v>-1.12357547998592E-010</v>
      </c>
      <c r="BA128" s="27" t="n">
        <f aca="false">(BA62-INDEX(Mortality_Matrix!$B$4:$BS$64,MATCH($A128,Mortality_Matrix!$A$4:$A$64,0),MATCH(2063,Mortality_Matrix!$B$3:$BS$3,0)))/INDEX(Mortality_Matrix!$B$4:$BS$64,MATCH($A128,Mortality_Matrix!$A$4:$A$64,0),MATCH(2063,Mortality_Matrix!$B$3:$BS$3,0))</f>
        <v>2.29912545941651E-010</v>
      </c>
      <c r="BB128" s="27" t="n">
        <f aca="false">(BB62-INDEX(Mortality_Matrix!$B$4:$BS$64,MATCH($A128,Mortality_Matrix!$A$4:$A$64,0),MATCH(2064,Mortality_Matrix!$B$3:$BS$3,0)))/INDEX(Mortality_Matrix!$B$4:$BS$64,MATCH($A128,Mortality_Matrix!$A$4:$A$64,0),MATCH(2064,Mortality_Matrix!$B$3:$BS$3,0))</f>
        <v>1.61895195572599E-010</v>
      </c>
      <c r="BC128" s="27" t="n">
        <f aca="false">(BC62-INDEX(Mortality_Matrix!$B$4:$BS$64,MATCH($A128,Mortality_Matrix!$A$4:$A$64,0),MATCH(2065,Mortality_Matrix!$B$3:$BS$3,0)))/INDEX(Mortality_Matrix!$B$4:$BS$64,MATCH($A128,Mortality_Matrix!$A$4:$A$64,0),MATCH(2065,Mortality_Matrix!$B$3:$BS$3,0))</f>
        <v>2.22431801608882E-010</v>
      </c>
      <c r="BD128" s="27" t="n">
        <f aca="false">(BD62-INDEX(Mortality_Matrix!$B$4:$BS$64,MATCH($A128,Mortality_Matrix!$A$4:$A$64,0),MATCH(2066,Mortality_Matrix!$B$3:$BS$3,0)))/INDEX(Mortality_Matrix!$B$4:$BS$64,MATCH($A128,Mortality_Matrix!$A$4:$A$64,0),MATCH(2066,Mortality_Matrix!$B$3:$BS$3,0))</f>
        <v>-2.38812231169852E-010</v>
      </c>
      <c r="BE128" s="27" t="n">
        <f aca="false">(BE62-INDEX(Mortality_Matrix!$B$4:$BS$64,MATCH($A128,Mortality_Matrix!$A$4:$A$64,0),MATCH(2067,Mortality_Matrix!$B$3:$BS$3,0)))/INDEX(Mortality_Matrix!$B$4:$BS$64,MATCH($A128,Mortality_Matrix!$A$4:$A$64,0),MATCH(2067,Mortality_Matrix!$B$3:$BS$3,0))</f>
        <v>5.89162780807849E-011</v>
      </c>
      <c r="BF128" s="27" t="n">
        <f aca="false">(BF62-INDEX(Mortality_Matrix!$B$4:$BS$64,MATCH($A128,Mortality_Matrix!$A$4:$A$64,0),MATCH(2068,Mortality_Matrix!$B$3:$BS$3,0)))/INDEX(Mortality_Matrix!$B$4:$BS$64,MATCH($A128,Mortality_Matrix!$A$4:$A$64,0),MATCH(2068,Mortality_Matrix!$B$3:$BS$3,0))</f>
        <v>1.20241741937723E-010</v>
      </c>
      <c r="BG128" s="27" t="n">
        <f aca="false">(BG62-INDEX(Mortality_Matrix!$B$4:$BS$64,MATCH($A128,Mortality_Matrix!$A$4:$A$64,0),MATCH(2069,Mortality_Matrix!$B$3:$BS$3,0)))/INDEX(Mortality_Matrix!$B$4:$BS$64,MATCH($A128,Mortality_Matrix!$A$4:$A$64,0),MATCH(2069,Mortality_Matrix!$B$3:$BS$3,0))</f>
        <v>-2.00211647809804E-010</v>
      </c>
      <c r="BH128" s="27" t="n">
        <f aca="false">(BH62-INDEX(Mortality_Matrix!$B$4:$BS$64,MATCH($A128,Mortality_Matrix!$A$4:$A$64,0),MATCH(2070,Mortality_Matrix!$B$3:$BS$3,0)))/INDEX(Mortality_Matrix!$B$4:$BS$64,MATCH($A128,Mortality_Matrix!$A$4:$A$64,0),MATCH(2070,Mortality_Matrix!$B$3:$BS$3,0))</f>
        <v>-1.82086610371698E-010</v>
      </c>
      <c r="BI128" s="27" t="n">
        <f aca="false">(BI62-INDEX(Mortality_Matrix!$B$4:$BS$64,MATCH($A128,Mortality_Matrix!$A$4:$A$64,0),MATCH(2071,Mortality_Matrix!$B$3:$BS$3,0)))/INDEX(Mortality_Matrix!$B$4:$BS$64,MATCH($A128,Mortality_Matrix!$A$4:$A$64,0),MATCH(2071,Mortality_Matrix!$B$3:$BS$3,0))</f>
        <v>1.47526119415269E-010</v>
      </c>
      <c r="BJ128" s="27" t="n">
        <f aca="false">(BJ62-INDEX(Mortality_Matrix!$B$4:$BS$64,MATCH($A128,Mortality_Matrix!$A$4:$A$64,0),MATCH(2072,Mortality_Matrix!$B$3:$BS$3,0)))/INDEX(Mortality_Matrix!$B$4:$BS$64,MATCH($A128,Mortality_Matrix!$A$4:$A$64,0),MATCH(2072,Mortality_Matrix!$B$3:$BS$3,0))</f>
        <v>-2.40056706943175E-011</v>
      </c>
      <c r="BK128" s="27" t="n">
        <f aca="false">(BK62-INDEX(Mortality_Matrix!$B$4:$BS$64,MATCH($A128,Mortality_Matrix!$A$4:$A$64,0),MATCH(2073,Mortality_Matrix!$B$3:$BS$3,0)))/INDEX(Mortality_Matrix!$B$4:$BS$64,MATCH($A128,Mortality_Matrix!$A$4:$A$64,0),MATCH(2073,Mortality_Matrix!$B$3:$BS$3,0))</f>
        <v>-1.32846834944991E-010</v>
      </c>
      <c r="BL128" s="27" t="n">
        <f aca="false">(BL62-INDEX(Mortality_Matrix!$B$4:$BS$64,MATCH($A128,Mortality_Matrix!$A$4:$A$64,0),MATCH(2074,Mortality_Matrix!$B$3:$BS$3,0)))/INDEX(Mortality_Matrix!$B$4:$BS$64,MATCH($A128,Mortality_Matrix!$A$4:$A$64,0),MATCH(2074,Mortality_Matrix!$B$3:$BS$3,0))</f>
        <v>1.32699683895823E-010</v>
      </c>
      <c r="BM128" s="27" t="n">
        <f aca="false">(BM62-INDEX(Mortality_Matrix!$B$4:$BS$64,MATCH($A128,Mortality_Matrix!$A$4:$A$64,0),MATCH(2075,Mortality_Matrix!$B$3:$BS$3,0)))/INDEX(Mortality_Matrix!$B$4:$BS$64,MATCH($A128,Mortality_Matrix!$A$4:$A$64,0),MATCH(2075,Mortality_Matrix!$B$3:$BS$3,0))</f>
        <v>2.53028694395351E-010</v>
      </c>
      <c r="BN128" s="27" t="n">
        <f aca="false">(BN62-INDEX(Mortality_Matrix!$B$4:$BS$64,MATCH($A128,Mortality_Matrix!$A$4:$A$64,0),MATCH(2076,Mortality_Matrix!$B$3:$BS$3,0)))/INDEX(Mortality_Matrix!$B$4:$BS$64,MATCH($A128,Mortality_Matrix!$A$4:$A$64,0),MATCH(2076,Mortality_Matrix!$B$3:$BS$3,0))</f>
        <v>-4.08677974674715E-011</v>
      </c>
      <c r="BO128" s="27" t="n">
        <f aca="false">(BO62-INDEX(Mortality_Matrix!$B$4:$BS$64,MATCH($A128,Mortality_Matrix!$A$4:$A$64,0),MATCH(2077,Mortality_Matrix!$B$3:$BS$3,0)))/INDEX(Mortality_Matrix!$B$4:$BS$64,MATCH($A128,Mortality_Matrix!$A$4:$A$64,0),MATCH(2077,Mortality_Matrix!$B$3:$BS$3,0))</f>
        <v>-2.06760185162297E-010</v>
      </c>
      <c r="BP128" s="27" t="n">
        <f aca="false">(BP62-INDEX(Mortality_Matrix!$B$4:$BS$64,MATCH($A128,Mortality_Matrix!$A$4:$A$64,0),MATCH(2078,Mortality_Matrix!$B$3:$BS$3,0)))/INDEX(Mortality_Matrix!$B$4:$BS$64,MATCH($A128,Mortality_Matrix!$A$4:$A$64,0),MATCH(2078,Mortality_Matrix!$B$3:$BS$3,0))</f>
        <v>-1.46254474193126E-011</v>
      </c>
      <c r="BQ128" s="27" t="n">
        <f aca="false">(BQ62-INDEX(Mortality_Matrix!$B$4:$BS$64,MATCH($A128,Mortality_Matrix!$A$4:$A$64,0),MATCH(2079,Mortality_Matrix!$B$3:$BS$3,0)))/INDEX(Mortality_Matrix!$B$4:$BS$64,MATCH($A128,Mortality_Matrix!$A$4:$A$64,0),MATCH(2079,Mortality_Matrix!$B$3:$BS$3,0))</f>
        <v>-1.42764869009004E-010</v>
      </c>
      <c r="BR128" s="27" t="n">
        <f aca="false">(BR62-INDEX(Mortality_Matrix!$B$4:$BS$64,MATCH($A128,Mortality_Matrix!$A$4:$A$64,0),MATCH(2080,Mortality_Matrix!$B$3:$BS$3,0)))/INDEX(Mortality_Matrix!$B$4:$BS$64,MATCH($A128,Mortality_Matrix!$A$4:$A$64,0),MATCH(2080,Mortality_Matrix!$B$3:$BS$3,0))</f>
        <v>8.44385300390662E-011</v>
      </c>
      <c r="BS128" s="27" t="n">
        <f aca="false">(BS62-INDEX(Mortality_Matrix!$B$4:$BS$64,MATCH($A128,Mortality_Matrix!$A$4:$A$64,0),MATCH(2081,Mortality_Matrix!$B$3:$BS$3,0)))/INDEX(Mortality_Matrix!$B$4:$BS$64,MATCH($A128,Mortality_Matrix!$A$4:$A$64,0),MATCH(2081,Mortality_Matrix!$B$3:$BS$3,0))</f>
        <v>-1.7212360716388E-010</v>
      </c>
      <c r="BT128" s="27" t="n">
        <f aca="false">(BT62-INDEX(Mortality_Matrix!$B$4:$BS$64,MATCH($A128,Mortality_Matrix!$A$4:$A$64,0),MATCH(2082,Mortality_Matrix!$B$3:$BS$3,0)))/INDEX(Mortality_Matrix!$B$4:$BS$64,MATCH($A128,Mortality_Matrix!$A$4:$A$64,0),MATCH(2082,Mortality_Matrix!$B$3:$BS$3,0))</f>
        <v>1.74451195059347E-010</v>
      </c>
      <c r="BU128" s="27" t="n">
        <f aca="false">(BU62-INDEX(Mortality_Matrix!$B$4:$BS$64,MATCH($A128,Mortality_Matrix!$A$4:$A$64,0),MATCH(2083,Mortality_Matrix!$B$3:$BS$3,0)))/INDEX(Mortality_Matrix!$B$4:$BS$64,MATCH($A128,Mortality_Matrix!$A$4:$A$64,0),MATCH(2083,Mortality_Matrix!$B$3:$BS$3,0))</f>
        <v>7.29744397265158E-011</v>
      </c>
      <c r="BV128" s="27" t="n">
        <f aca="false">(BV62-INDEX(Mortality_Matrix!$B$4:$BS$64,MATCH($A128,Mortality_Matrix!$A$4:$A$64,0),MATCH(2084,Mortality_Matrix!$B$3:$BS$3,0)))/INDEX(Mortality_Matrix!$B$4:$BS$64,MATCH($A128,Mortality_Matrix!$A$4:$A$64,0),MATCH(2084,Mortality_Matrix!$B$3:$BS$3,0))</f>
        <v>-1.99270261774777E-010</v>
      </c>
      <c r="BW128" s="27" t="n">
        <f aca="false">(BW62-INDEX(Mortality_Matrix!$B$4:$BS$64,MATCH($A128,Mortality_Matrix!$A$4:$A$64,0),MATCH(2085,Mortality_Matrix!$B$3:$BS$3,0)))/INDEX(Mortality_Matrix!$B$4:$BS$64,MATCH($A128,Mortality_Matrix!$A$4:$A$64,0),MATCH(2085,Mortality_Matrix!$B$3:$BS$3,0))</f>
        <v>-1.96410604309835E-010</v>
      </c>
      <c r="BX128" s="27" t="n">
        <f aca="false">(BX62-INDEX(Mortality_Matrix!$B$4:$BS$64,MATCH($A128,Mortality_Matrix!$A$4:$A$64,0),MATCH(2086,Mortality_Matrix!$B$3:$BS$3,0)))/INDEX(Mortality_Matrix!$B$4:$BS$64,MATCH($A128,Mortality_Matrix!$A$4:$A$64,0),MATCH(2086,Mortality_Matrix!$B$3:$BS$3,0))</f>
        <v>8.88190459502792E-011</v>
      </c>
      <c r="BY128" s="27" t="n">
        <f aca="false">(BY62-INDEX(Mortality_Matrix!$B$4:$BS$64,MATCH($A128,Mortality_Matrix!$A$4:$A$64,0),MATCH(2087,Mortality_Matrix!$B$3:$BS$3,0)))/INDEX(Mortality_Matrix!$B$4:$BS$64,MATCH($A128,Mortality_Matrix!$A$4:$A$64,0),MATCH(2087,Mortality_Matrix!$B$3:$BS$3,0))</f>
        <v>1.97366219922549E-010</v>
      </c>
      <c r="BZ128" s="27" t="n">
        <f aca="false">(BZ62-INDEX(Mortality_Matrix!$B$4:$BS$64,MATCH($A128,Mortality_Matrix!$A$4:$A$64,0),MATCH(2088,Mortality_Matrix!$B$3:$BS$3,0)))/INDEX(Mortality_Matrix!$B$4:$BS$64,MATCH($A128,Mortality_Matrix!$A$4:$A$64,0),MATCH(2088,Mortality_Matrix!$B$3:$BS$3,0))</f>
        <v>-2.16856955717099E-010</v>
      </c>
      <c r="CA128" s="27" t="n">
        <f aca="false">(CA62-INDEX(Mortality_Matrix!$B$4:$BS$64,MATCH($A128,Mortality_Matrix!$A$4:$A$64,0),MATCH(2089,Mortality_Matrix!$B$3:$BS$3,0)))/INDEX(Mortality_Matrix!$B$4:$BS$64,MATCH($A128,Mortality_Matrix!$A$4:$A$64,0),MATCH(2089,Mortality_Matrix!$B$3:$BS$3,0))</f>
        <v>-1.7244327447378E-010</v>
      </c>
      <c r="CB128" s="27" t="n">
        <f aca="false">(CB62-INDEX(Mortality_Matrix!$B$4:$BS$64,MATCH($A128,Mortality_Matrix!$A$4:$A$64,0),MATCH(2090,Mortality_Matrix!$B$3:$BS$3,0)))/INDEX(Mortality_Matrix!$B$4:$BS$64,MATCH($A128,Mortality_Matrix!$A$4:$A$64,0),MATCH(2090,Mortality_Matrix!$B$3:$BS$3,0))</f>
        <v>2.07519881710949E-010</v>
      </c>
      <c r="CC128" s="27" t="n">
        <f aca="false">(CC62-INDEX(Mortality_Matrix!$B$4:$BS$64,MATCH($A128,Mortality_Matrix!$A$4:$A$64,0),MATCH(2091,Mortality_Matrix!$B$3:$BS$3,0)))/INDEX(Mortality_Matrix!$B$4:$BS$64,MATCH($A128,Mortality_Matrix!$A$4:$A$64,0),MATCH(2091,Mortality_Matrix!$B$3:$BS$3,0))</f>
        <v>2.65295917831503E-010</v>
      </c>
    </row>
    <row r="129" customFormat="false" ht="15" hidden="false" customHeight="true" outlineLevel="0" collapsed="false">
      <c r="A129" s="3" t="n">
        <v>100</v>
      </c>
      <c r="L129" s="27" t="n">
        <f aca="false">(L63-INDEX(Mortality_Matrix!$B$4:$BS$64,MATCH($A129,Mortality_Matrix!$A$4:$A$64,0),MATCH(2022,Mortality_Matrix!$B$3:$BS$3,0)))/INDEX(Mortality_Matrix!$B$4:$BS$64,MATCH($A129,Mortality_Matrix!$A$4:$A$64,0),MATCH(2022,Mortality_Matrix!$B$3:$BS$3,0))</f>
        <v>-4.02011462466137E-011</v>
      </c>
      <c r="M129" s="27" t="n">
        <f aca="false">(M63-INDEX(Mortality_Matrix!$B$4:$BS$64,MATCH($A129,Mortality_Matrix!$A$4:$A$64,0),MATCH(2023,Mortality_Matrix!$B$3:$BS$3,0)))/INDEX(Mortality_Matrix!$B$4:$BS$64,MATCH($A129,Mortality_Matrix!$A$4:$A$64,0),MATCH(2023,Mortality_Matrix!$B$3:$BS$3,0))</f>
        <v>1.232486726771E-010</v>
      </c>
      <c r="N129" s="27" t="n">
        <f aca="false">(N63-INDEX(Mortality_Matrix!$B$4:$BS$64,MATCH($A129,Mortality_Matrix!$A$4:$A$64,0),MATCH(2024,Mortality_Matrix!$B$3:$BS$3,0)))/INDEX(Mortality_Matrix!$B$4:$BS$64,MATCH($A129,Mortality_Matrix!$A$4:$A$64,0),MATCH(2024,Mortality_Matrix!$B$3:$BS$3,0))</f>
        <v>1.43178196101377E-010</v>
      </c>
      <c r="O129" s="27" t="n">
        <f aca="false">(O63-INDEX(Mortality_Matrix!$B$4:$BS$64,MATCH($A129,Mortality_Matrix!$A$4:$A$64,0),MATCH(2025,Mortality_Matrix!$B$3:$BS$3,0)))/INDEX(Mortality_Matrix!$B$4:$BS$64,MATCH($A129,Mortality_Matrix!$A$4:$A$64,0),MATCH(2025,Mortality_Matrix!$B$3:$BS$3,0))</f>
        <v>-5.96753532617709E-011</v>
      </c>
      <c r="P129" s="27" t="n">
        <f aca="false">(P63-INDEX(Mortality_Matrix!$B$4:$BS$64,MATCH($A129,Mortality_Matrix!$A$4:$A$64,0),MATCH(2026,Mortality_Matrix!$B$3:$BS$3,0)))/INDEX(Mortality_Matrix!$B$4:$BS$64,MATCH($A129,Mortality_Matrix!$A$4:$A$64,0),MATCH(2026,Mortality_Matrix!$B$3:$BS$3,0))</f>
        <v>-7.11716356326904E-011</v>
      </c>
      <c r="Q129" s="27" t="n">
        <f aca="false">(Q63-INDEX(Mortality_Matrix!$B$4:$BS$64,MATCH($A129,Mortality_Matrix!$A$4:$A$64,0),MATCH(2027,Mortality_Matrix!$B$3:$BS$3,0)))/INDEX(Mortality_Matrix!$B$4:$BS$64,MATCH($A129,Mortality_Matrix!$A$4:$A$64,0),MATCH(2027,Mortality_Matrix!$B$3:$BS$3,0))</f>
        <v>9.12907774127477E-011</v>
      </c>
      <c r="R129" s="27" t="n">
        <f aca="false">(R63-INDEX(Mortality_Matrix!$B$4:$BS$64,MATCH($A129,Mortality_Matrix!$A$4:$A$64,0),MATCH(2028,Mortality_Matrix!$B$3:$BS$3,0)))/INDEX(Mortality_Matrix!$B$4:$BS$64,MATCH($A129,Mortality_Matrix!$A$4:$A$64,0),MATCH(2028,Mortality_Matrix!$B$3:$BS$3,0))</f>
        <v>1.73798111916503E-010</v>
      </c>
      <c r="S129" s="27" t="n">
        <f aca="false">(S63-INDEX(Mortality_Matrix!$B$4:$BS$64,MATCH($A129,Mortality_Matrix!$A$4:$A$64,0),MATCH(2029,Mortality_Matrix!$B$3:$BS$3,0)))/INDEX(Mortality_Matrix!$B$4:$BS$64,MATCH($A129,Mortality_Matrix!$A$4:$A$64,0),MATCH(2029,Mortality_Matrix!$B$3:$BS$3,0))</f>
        <v>6.20638009758424E-012</v>
      </c>
      <c r="T129" s="27" t="n">
        <f aca="false">(T63-INDEX(Mortality_Matrix!$B$4:$BS$64,MATCH($A129,Mortality_Matrix!$A$4:$A$64,0),MATCH(2030,Mortality_Matrix!$B$3:$BS$3,0)))/INDEX(Mortality_Matrix!$B$4:$BS$64,MATCH($A129,Mortality_Matrix!$A$4:$A$64,0),MATCH(2030,Mortality_Matrix!$B$3:$BS$3,0))</f>
        <v>-5.34408606469982E-011</v>
      </c>
      <c r="U129" s="27" t="n">
        <f aca="false">(U63-INDEX(Mortality_Matrix!$B$4:$BS$64,MATCH($A129,Mortality_Matrix!$A$4:$A$64,0),MATCH(2031,Mortality_Matrix!$B$3:$BS$3,0)))/INDEX(Mortality_Matrix!$B$4:$BS$64,MATCH($A129,Mortality_Matrix!$A$4:$A$64,0),MATCH(2031,Mortality_Matrix!$B$3:$BS$3,0))</f>
        <v>8.89767531996285E-011</v>
      </c>
      <c r="V129" s="27" t="n">
        <f aca="false">(V63-INDEX(Mortality_Matrix!$B$4:$BS$64,MATCH($A129,Mortality_Matrix!$A$4:$A$64,0),MATCH(2032,Mortality_Matrix!$B$3:$BS$3,0)))/INDEX(Mortality_Matrix!$B$4:$BS$64,MATCH($A129,Mortality_Matrix!$A$4:$A$64,0),MATCH(2032,Mortality_Matrix!$B$3:$BS$3,0))</f>
        <v>-1.54916760268851E-010</v>
      </c>
      <c r="W129" s="27" t="n">
        <f aca="false">(W63-INDEX(Mortality_Matrix!$B$4:$BS$64,MATCH($A129,Mortality_Matrix!$A$4:$A$64,0),MATCH(2033,Mortality_Matrix!$B$3:$BS$3,0)))/INDEX(Mortality_Matrix!$B$4:$BS$64,MATCH($A129,Mortality_Matrix!$A$4:$A$64,0),MATCH(2033,Mortality_Matrix!$B$3:$BS$3,0))</f>
        <v>-6.01714885951531E-011</v>
      </c>
      <c r="X129" s="27" t="n">
        <f aca="false">(X63-INDEX(Mortality_Matrix!$B$4:$BS$64,MATCH($A129,Mortality_Matrix!$A$4:$A$64,0),MATCH(2034,Mortality_Matrix!$B$3:$BS$3,0)))/INDEX(Mortality_Matrix!$B$4:$BS$64,MATCH($A129,Mortality_Matrix!$A$4:$A$64,0),MATCH(2034,Mortality_Matrix!$B$3:$BS$3,0))</f>
        <v>-7.00174024337395E-013</v>
      </c>
      <c r="Y129" s="27" t="n">
        <f aca="false">(Y63-INDEX(Mortality_Matrix!$B$4:$BS$64,MATCH($A129,Mortality_Matrix!$A$4:$A$64,0),MATCH(2035,Mortality_Matrix!$B$3:$BS$3,0)))/INDEX(Mortality_Matrix!$B$4:$BS$64,MATCH($A129,Mortality_Matrix!$A$4:$A$64,0),MATCH(2035,Mortality_Matrix!$B$3:$BS$3,0))</f>
        <v>1.48465726169017E-010</v>
      </c>
      <c r="Z129" s="27" t="n">
        <f aca="false">(Z63-INDEX(Mortality_Matrix!$B$4:$BS$64,MATCH($A129,Mortality_Matrix!$A$4:$A$64,0),MATCH(2036,Mortality_Matrix!$B$3:$BS$3,0)))/INDEX(Mortality_Matrix!$B$4:$BS$64,MATCH($A129,Mortality_Matrix!$A$4:$A$64,0),MATCH(2036,Mortality_Matrix!$B$3:$BS$3,0))</f>
        <v>1.93815442648369E-010</v>
      </c>
      <c r="AA129" s="27" t="n">
        <f aca="false">(AA63-INDEX(Mortality_Matrix!$B$4:$BS$64,MATCH($A129,Mortality_Matrix!$A$4:$A$64,0),MATCH(2037,Mortality_Matrix!$B$3:$BS$3,0)))/INDEX(Mortality_Matrix!$B$4:$BS$64,MATCH($A129,Mortality_Matrix!$A$4:$A$64,0),MATCH(2037,Mortality_Matrix!$B$3:$BS$3,0))</f>
        <v>2.04463420162745E-011</v>
      </c>
      <c r="AB129" s="27" t="n">
        <f aca="false">(AB63-INDEX(Mortality_Matrix!$B$4:$BS$64,MATCH($A129,Mortality_Matrix!$A$4:$A$64,0),MATCH(2038,Mortality_Matrix!$B$3:$BS$3,0)))/INDEX(Mortality_Matrix!$B$4:$BS$64,MATCH($A129,Mortality_Matrix!$A$4:$A$64,0),MATCH(2038,Mortality_Matrix!$B$3:$BS$3,0))</f>
        <v>3.75583345395418E-012</v>
      </c>
      <c r="AC129" s="27" t="n">
        <f aca="false">(AC63-INDEX(Mortality_Matrix!$B$4:$BS$64,MATCH($A129,Mortality_Matrix!$A$4:$A$64,0),MATCH(2039,Mortality_Matrix!$B$3:$BS$3,0)))/INDEX(Mortality_Matrix!$B$4:$BS$64,MATCH($A129,Mortality_Matrix!$A$4:$A$64,0),MATCH(2039,Mortality_Matrix!$B$3:$BS$3,0))</f>
        <v>1.76705612819316E-010</v>
      </c>
      <c r="AD129" s="27" t="n">
        <f aca="false">(AD63-INDEX(Mortality_Matrix!$B$4:$BS$64,MATCH($A129,Mortality_Matrix!$A$4:$A$64,0),MATCH(2040,Mortality_Matrix!$B$3:$BS$3,0)))/INDEX(Mortality_Matrix!$B$4:$BS$64,MATCH($A129,Mortality_Matrix!$A$4:$A$64,0),MATCH(2040,Mortality_Matrix!$B$3:$BS$3,0))</f>
        <v>-2.10979516963038E-010</v>
      </c>
      <c r="AE129" s="27" t="n">
        <f aca="false">(AE63-INDEX(Mortality_Matrix!$B$4:$BS$64,MATCH($A129,Mortality_Matrix!$A$4:$A$64,0),MATCH(2041,Mortality_Matrix!$B$3:$BS$3,0)))/INDEX(Mortality_Matrix!$B$4:$BS$64,MATCH($A129,Mortality_Matrix!$A$4:$A$64,0),MATCH(2041,Mortality_Matrix!$B$3:$BS$3,0))</f>
        <v>-1.75290987048253E-010</v>
      </c>
      <c r="AF129" s="27" t="n">
        <f aca="false">(AF63-INDEX(Mortality_Matrix!$B$4:$BS$64,MATCH($A129,Mortality_Matrix!$A$4:$A$64,0),MATCH(2042,Mortality_Matrix!$B$3:$BS$3,0)))/INDEX(Mortality_Matrix!$B$4:$BS$64,MATCH($A129,Mortality_Matrix!$A$4:$A$64,0),MATCH(2042,Mortality_Matrix!$B$3:$BS$3,0))</f>
        <v>5.46655922632687E-011</v>
      </c>
      <c r="AG129" s="27" t="n">
        <f aca="false">(AG63-INDEX(Mortality_Matrix!$B$4:$BS$64,MATCH($A129,Mortality_Matrix!$A$4:$A$64,0),MATCH(2043,Mortality_Matrix!$B$3:$BS$3,0)))/INDEX(Mortality_Matrix!$B$4:$BS$64,MATCH($A129,Mortality_Matrix!$A$4:$A$64,0),MATCH(2043,Mortality_Matrix!$B$3:$BS$3,0))</f>
        <v>-1.48298509183518E-010</v>
      </c>
      <c r="AH129" s="27" t="n">
        <f aca="false">(AH63-INDEX(Mortality_Matrix!$B$4:$BS$64,MATCH($A129,Mortality_Matrix!$A$4:$A$64,0),MATCH(2044,Mortality_Matrix!$B$3:$BS$3,0)))/INDEX(Mortality_Matrix!$B$4:$BS$64,MATCH($A129,Mortality_Matrix!$A$4:$A$64,0),MATCH(2044,Mortality_Matrix!$B$3:$BS$3,0))</f>
        <v>-9.8981559864767E-011</v>
      </c>
      <c r="AI129" s="27" t="n">
        <f aca="false">(AI63-INDEX(Mortality_Matrix!$B$4:$BS$64,MATCH($A129,Mortality_Matrix!$A$4:$A$64,0),MATCH(2045,Mortality_Matrix!$B$3:$BS$3,0)))/INDEX(Mortality_Matrix!$B$4:$BS$64,MATCH($A129,Mortality_Matrix!$A$4:$A$64,0),MATCH(2045,Mortality_Matrix!$B$3:$BS$3,0))</f>
        <v>5.59552771563144E-011</v>
      </c>
      <c r="AJ129" s="27" t="n">
        <f aca="false">(AJ63-INDEX(Mortality_Matrix!$B$4:$BS$64,MATCH($A129,Mortality_Matrix!$A$4:$A$64,0),MATCH(2046,Mortality_Matrix!$B$3:$BS$3,0)))/INDEX(Mortality_Matrix!$B$4:$BS$64,MATCH($A129,Mortality_Matrix!$A$4:$A$64,0),MATCH(2046,Mortality_Matrix!$B$3:$BS$3,0))</f>
        <v>1.80302526420863E-010</v>
      </c>
      <c r="AK129" s="27" t="n">
        <f aca="false">(AK63-INDEX(Mortality_Matrix!$B$4:$BS$64,MATCH($A129,Mortality_Matrix!$A$4:$A$64,0),MATCH(2047,Mortality_Matrix!$B$3:$BS$3,0)))/INDEX(Mortality_Matrix!$B$4:$BS$64,MATCH($A129,Mortality_Matrix!$A$4:$A$64,0),MATCH(2047,Mortality_Matrix!$B$3:$BS$3,0))</f>
        <v>1.40658839787396E-010</v>
      </c>
      <c r="AL129" s="27" t="n">
        <f aca="false">(AL63-INDEX(Mortality_Matrix!$B$4:$BS$64,MATCH($A129,Mortality_Matrix!$A$4:$A$64,0),MATCH(2048,Mortality_Matrix!$B$3:$BS$3,0)))/INDEX(Mortality_Matrix!$B$4:$BS$64,MATCH($A129,Mortality_Matrix!$A$4:$A$64,0),MATCH(2048,Mortality_Matrix!$B$3:$BS$3,0))</f>
        <v>-2.01448647075848E-010</v>
      </c>
      <c r="AM129" s="27" t="n">
        <f aca="false">(AM63-INDEX(Mortality_Matrix!$B$4:$BS$64,MATCH($A129,Mortality_Matrix!$A$4:$A$64,0),MATCH(2049,Mortality_Matrix!$B$3:$BS$3,0)))/INDEX(Mortality_Matrix!$B$4:$BS$64,MATCH($A129,Mortality_Matrix!$A$4:$A$64,0),MATCH(2049,Mortality_Matrix!$B$3:$BS$3,0))</f>
        <v>-1.06043336288197E-010</v>
      </c>
      <c r="AN129" s="27" t="n">
        <f aca="false">(AN63-INDEX(Mortality_Matrix!$B$4:$BS$64,MATCH($A129,Mortality_Matrix!$A$4:$A$64,0),MATCH(2050,Mortality_Matrix!$B$3:$BS$3,0)))/INDEX(Mortality_Matrix!$B$4:$BS$64,MATCH($A129,Mortality_Matrix!$A$4:$A$64,0),MATCH(2050,Mortality_Matrix!$B$3:$BS$3,0))</f>
        <v>-1.78701949026635E-010</v>
      </c>
      <c r="AO129" s="27" t="n">
        <f aca="false">(AO63-INDEX(Mortality_Matrix!$B$4:$BS$64,MATCH($A129,Mortality_Matrix!$A$4:$A$64,0),MATCH(2051,Mortality_Matrix!$B$3:$BS$3,0)))/INDEX(Mortality_Matrix!$B$4:$BS$64,MATCH($A129,Mortality_Matrix!$A$4:$A$64,0),MATCH(2051,Mortality_Matrix!$B$3:$BS$3,0))</f>
        <v>-1.63360668945973E-010</v>
      </c>
      <c r="AP129" s="27" t="n">
        <f aca="false">(AP63-INDEX(Mortality_Matrix!$B$4:$BS$64,MATCH($A129,Mortality_Matrix!$A$4:$A$64,0),MATCH(2052,Mortality_Matrix!$B$3:$BS$3,0)))/INDEX(Mortality_Matrix!$B$4:$BS$64,MATCH($A129,Mortality_Matrix!$A$4:$A$64,0),MATCH(2052,Mortality_Matrix!$B$3:$BS$3,0))</f>
        <v>1.68016577849415E-010</v>
      </c>
      <c r="AQ129" s="27" t="n">
        <f aca="false">(AQ63-INDEX(Mortality_Matrix!$B$4:$BS$64,MATCH($A129,Mortality_Matrix!$A$4:$A$64,0),MATCH(2053,Mortality_Matrix!$B$3:$BS$3,0)))/INDEX(Mortality_Matrix!$B$4:$BS$64,MATCH($A129,Mortality_Matrix!$A$4:$A$64,0),MATCH(2053,Mortality_Matrix!$B$3:$BS$3,0))</f>
        <v>9.31208754216433E-011</v>
      </c>
      <c r="AR129" s="27" t="n">
        <f aca="false">(AR63-INDEX(Mortality_Matrix!$B$4:$BS$64,MATCH($A129,Mortality_Matrix!$A$4:$A$64,0),MATCH(2054,Mortality_Matrix!$B$3:$BS$3,0)))/INDEX(Mortality_Matrix!$B$4:$BS$64,MATCH($A129,Mortality_Matrix!$A$4:$A$64,0),MATCH(2054,Mortality_Matrix!$B$3:$BS$3,0))</f>
        <v>1.99710489528581E-010</v>
      </c>
      <c r="AS129" s="27" t="n">
        <f aca="false">(AS63-INDEX(Mortality_Matrix!$B$4:$BS$64,MATCH($A129,Mortality_Matrix!$A$4:$A$64,0),MATCH(2055,Mortality_Matrix!$B$3:$BS$3,0)))/INDEX(Mortality_Matrix!$B$4:$BS$64,MATCH($A129,Mortality_Matrix!$A$4:$A$64,0),MATCH(2055,Mortality_Matrix!$B$3:$BS$3,0))</f>
        <v>1.06343847168404E-010</v>
      </c>
      <c r="AT129" s="27" t="n">
        <f aca="false">(AT63-INDEX(Mortality_Matrix!$B$4:$BS$64,MATCH($A129,Mortality_Matrix!$A$4:$A$64,0),MATCH(2056,Mortality_Matrix!$B$3:$BS$3,0)))/INDEX(Mortality_Matrix!$B$4:$BS$64,MATCH($A129,Mortality_Matrix!$A$4:$A$64,0),MATCH(2056,Mortality_Matrix!$B$3:$BS$3,0))</f>
        <v>-1.80097050476683E-010</v>
      </c>
      <c r="AU129" s="27" t="n">
        <f aca="false">(AU63-INDEX(Mortality_Matrix!$B$4:$BS$64,MATCH($A129,Mortality_Matrix!$A$4:$A$64,0),MATCH(2057,Mortality_Matrix!$B$3:$BS$3,0)))/INDEX(Mortality_Matrix!$B$4:$BS$64,MATCH($A129,Mortality_Matrix!$A$4:$A$64,0),MATCH(2057,Mortality_Matrix!$B$3:$BS$3,0))</f>
        <v>2.07248162033761E-010</v>
      </c>
      <c r="AV129" s="27" t="n">
        <f aca="false">(AV63-INDEX(Mortality_Matrix!$B$4:$BS$64,MATCH($A129,Mortality_Matrix!$A$4:$A$64,0),MATCH(2058,Mortality_Matrix!$B$3:$BS$3,0)))/INDEX(Mortality_Matrix!$B$4:$BS$64,MATCH($A129,Mortality_Matrix!$A$4:$A$64,0),MATCH(2058,Mortality_Matrix!$B$3:$BS$3,0))</f>
        <v>1.89364185917744E-010</v>
      </c>
      <c r="AW129" s="27" t="n">
        <f aca="false">(AW63-INDEX(Mortality_Matrix!$B$4:$BS$64,MATCH($A129,Mortality_Matrix!$A$4:$A$64,0),MATCH(2059,Mortality_Matrix!$B$3:$BS$3,0)))/INDEX(Mortality_Matrix!$B$4:$BS$64,MATCH($A129,Mortality_Matrix!$A$4:$A$64,0),MATCH(2059,Mortality_Matrix!$B$3:$BS$3,0))</f>
        <v>-1.13884334859628E-011</v>
      </c>
      <c r="AX129" s="27" t="n">
        <f aca="false">(AX63-INDEX(Mortality_Matrix!$B$4:$BS$64,MATCH($A129,Mortality_Matrix!$A$4:$A$64,0),MATCH(2060,Mortality_Matrix!$B$3:$BS$3,0)))/INDEX(Mortality_Matrix!$B$4:$BS$64,MATCH($A129,Mortality_Matrix!$A$4:$A$64,0),MATCH(2060,Mortality_Matrix!$B$3:$BS$3,0))</f>
        <v>2.07723661169993E-010</v>
      </c>
      <c r="AY129" s="27" t="n">
        <f aca="false">(AY63-INDEX(Mortality_Matrix!$B$4:$BS$64,MATCH($A129,Mortality_Matrix!$A$4:$A$64,0),MATCH(2061,Mortality_Matrix!$B$3:$BS$3,0)))/INDEX(Mortality_Matrix!$B$4:$BS$64,MATCH($A129,Mortality_Matrix!$A$4:$A$64,0),MATCH(2061,Mortality_Matrix!$B$3:$BS$3,0))</f>
        <v>-8.36334927507232E-011</v>
      </c>
      <c r="AZ129" s="27" t="n">
        <f aca="false">(AZ63-INDEX(Mortality_Matrix!$B$4:$BS$64,MATCH($A129,Mortality_Matrix!$A$4:$A$64,0),MATCH(2062,Mortality_Matrix!$B$3:$BS$3,0)))/INDEX(Mortality_Matrix!$B$4:$BS$64,MATCH($A129,Mortality_Matrix!$A$4:$A$64,0),MATCH(2062,Mortality_Matrix!$B$3:$BS$3,0))</f>
        <v>-2.86742528084762E-011</v>
      </c>
      <c r="BA129" s="27" t="n">
        <f aca="false">(BA63-INDEX(Mortality_Matrix!$B$4:$BS$64,MATCH($A129,Mortality_Matrix!$A$4:$A$64,0),MATCH(2063,Mortality_Matrix!$B$3:$BS$3,0)))/INDEX(Mortality_Matrix!$B$4:$BS$64,MATCH($A129,Mortality_Matrix!$A$4:$A$64,0),MATCH(2063,Mortality_Matrix!$B$3:$BS$3,0))</f>
        <v>1.52719033217211E-010</v>
      </c>
      <c r="BB129" s="27" t="n">
        <f aca="false">(BB63-INDEX(Mortality_Matrix!$B$4:$BS$64,MATCH($A129,Mortality_Matrix!$A$4:$A$64,0),MATCH(2064,Mortality_Matrix!$B$3:$BS$3,0)))/INDEX(Mortality_Matrix!$B$4:$BS$64,MATCH($A129,Mortality_Matrix!$A$4:$A$64,0),MATCH(2064,Mortality_Matrix!$B$3:$BS$3,0))</f>
        <v>9.90461185825933E-011</v>
      </c>
      <c r="BC129" s="27" t="n">
        <f aca="false">(BC63-INDEX(Mortality_Matrix!$B$4:$BS$64,MATCH($A129,Mortality_Matrix!$A$4:$A$64,0),MATCH(2065,Mortality_Matrix!$B$3:$BS$3,0)))/INDEX(Mortality_Matrix!$B$4:$BS$64,MATCH($A129,Mortality_Matrix!$A$4:$A$64,0),MATCH(2065,Mortality_Matrix!$B$3:$BS$3,0))</f>
        <v>-2.14136437158725E-010</v>
      </c>
      <c r="BD129" s="27" t="n">
        <f aca="false">(BD63-INDEX(Mortality_Matrix!$B$4:$BS$64,MATCH($A129,Mortality_Matrix!$A$4:$A$64,0),MATCH(2066,Mortality_Matrix!$B$3:$BS$3,0)))/INDEX(Mortality_Matrix!$B$4:$BS$64,MATCH($A129,Mortality_Matrix!$A$4:$A$64,0),MATCH(2066,Mortality_Matrix!$B$3:$BS$3,0))</f>
        <v>2.19213772442631E-011</v>
      </c>
      <c r="BE129" s="27" t="n">
        <f aca="false">(BE63-INDEX(Mortality_Matrix!$B$4:$BS$64,MATCH($A129,Mortality_Matrix!$A$4:$A$64,0),MATCH(2067,Mortality_Matrix!$B$3:$BS$3,0)))/INDEX(Mortality_Matrix!$B$4:$BS$64,MATCH($A129,Mortality_Matrix!$A$4:$A$64,0),MATCH(2067,Mortality_Matrix!$B$3:$BS$3,0))</f>
        <v>-1.78248178692884E-011</v>
      </c>
      <c r="BF129" s="27" t="n">
        <f aca="false">(BF63-INDEX(Mortality_Matrix!$B$4:$BS$64,MATCH($A129,Mortality_Matrix!$A$4:$A$64,0),MATCH(2068,Mortality_Matrix!$B$3:$BS$3,0)))/INDEX(Mortality_Matrix!$B$4:$BS$64,MATCH($A129,Mortality_Matrix!$A$4:$A$64,0),MATCH(2068,Mortality_Matrix!$B$3:$BS$3,0))</f>
        <v>1.49116675072232E-010</v>
      </c>
      <c r="BG129" s="27" t="n">
        <f aca="false">(BG63-INDEX(Mortality_Matrix!$B$4:$BS$64,MATCH($A129,Mortality_Matrix!$A$4:$A$64,0),MATCH(2069,Mortality_Matrix!$B$3:$BS$3,0)))/INDEX(Mortality_Matrix!$B$4:$BS$64,MATCH($A129,Mortality_Matrix!$A$4:$A$64,0),MATCH(2069,Mortality_Matrix!$B$3:$BS$3,0))</f>
        <v>-1.69684917937946E-010</v>
      </c>
      <c r="BH129" s="27" t="n">
        <f aca="false">(BH63-INDEX(Mortality_Matrix!$B$4:$BS$64,MATCH($A129,Mortality_Matrix!$A$4:$A$64,0),MATCH(2070,Mortality_Matrix!$B$3:$BS$3,0)))/INDEX(Mortality_Matrix!$B$4:$BS$64,MATCH($A129,Mortality_Matrix!$A$4:$A$64,0),MATCH(2070,Mortality_Matrix!$B$3:$BS$3,0))</f>
        <v>1.50029308076194E-010</v>
      </c>
      <c r="BI129" s="27" t="n">
        <f aca="false">(BI63-INDEX(Mortality_Matrix!$B$4:$BS$64,MATCH($A129,Mortality_Matrix!$A$4:$A$64,0),MATCH(2071,Mortality_Matrix!$B$3:$BS$3,0)))/INDEX(Mortality_Matrix!$B$4:$BS$64,MATCH($A129,Mortality_Matrix!$A$4:$A$64,0),MATCH(2071,Mortality_Matrix!$B$3:$BS$3,0))</f>
        <v>2.48324832784772E-011</v>
      </c>
      <c r="BJ129" s="27" t="n">
        <f aca="false">(BJ63-INDEX(Mortality_Matrix!$B$4:$BS$64,MATCH($A129,Mortality_Matrix!$A$4:$A$64,0),MATCH(2072,Mortality_Matrix!$B$3:$BS$3,0)))/INDEX(Mortality_Matrix!$B$4:$BS$64,MATCH($A129,Mortality_Matrix!$A$4:$A$64,0),MATCH(2072,Mortality_Matrix!$B$3:$BS$3,0))</f>
        <v>1.8457716146518E-010</v>
      </c>
      <c r="BK129" s="27" t="n">
        <f aca="false">(BK63-INDEX(Mortality_Matrix!$B$4:$BS$64,MATCH($A129,Mortality_Matrix!$A$4:$A$64,0),MATCH(2073,Mortality_Matrix!$B$3:$BS$3,0)))/INDEX(Mortality_Matrix!$B$4:$BS$64,MATCH($A129,Mortality_Matrix!$A$4:$A$64,0),MATCH(2073,Mortality_Matrix!$B$3:$BS$3,0))</f>
        <v>1.28947262515655E-010</v>
      </c>
      <c r="BL129" s="27" t="n">
        <f aca="false">(BL63-INDEX(Mortality_Matrix!$B$4:$BS$64,MATCH($A129,Mortality_Matrix!$A$4:$A$64,0),MATCH(2074,Mortality_Matrix!$B$3:$BS$3,0)))/INDEX(Mortality_Matrix!$B$4:$BS$64,MATCH($A129,Mortality_Matrix!$A$4:$A$64,0),MATCH(2074,Mortality_Matrix!$B$3:$BS$3,0))</f>
        <v>1.54857323167784E-010</v>
      </c>
      <c r="BM129" s="27" t="n">
        <f aca="false">(BM63-INDEX(Mortality_Matrix!$B$4:$BS$64,MATCH($A129,Mortality_Matrix!$A$4:$A$64,0),MATCH(2075,Mortality_Matrix!$B$3:$BS$3,0)))/INDEX(Mortality_Matrix!$B$4:$BS$64,MATCH($A129,Mortality_Matrix!$A$4:$A$64,0),MATCH(2075,Mortality_Matrix!$B$3:$BS$3,0))</f>
        <v>-1.91305935699949E-010</v>
      </c>
      <c r="BN129" s="27" t="n">
        <f aca="false">(BN63-INDEX(Mortality_Matrix!$B$4:$BS$64,MATCH($A129,Mortality_Matrix!$A$4:$A$64,0),MATCH(2076,Mortality_Matrix!$B$3:$BS$3,0)))/INDEX(Mortality_Matrix!$B$4:$BS$64,MATCH($A129,Mortality_Matrix!$A$4:$A$64,0),MATCH(2076,Mortality_Matrix!$B$3:$BS$3,0))</f>
        <v>-4.65501706895922E-011</v>
      </c>
      <c r="BO129" s="27" t="n">
        <f aca="false">(BO63-INDEX(Mortality_Matrix!$B$4:$BS$64,MATCH($A129,Mortality_Matrix!$A$4:$A$64,0),MATCH(2077,Mortality_Matrix!$B$3:$BS$3,0)))/INDEX(Mortality_Matrix!$B$4:$BS$64,MATCH($A129,Mortality_Matrix!$A$4:$A$64,0),MATCH(2077,Mortality_Matrix!$B$3:$BS$3,0))</f>
        <v>1.62396292965589E-010</v>
      </c>
      <c r="BP129" s="27" t="n">
        <f aca="false">(BP63-INDEX(Mortality_Matrix!$B$4:$BS$64,MATCH($A129,Mortality_Matrix!$A$4:$A$64,0),MATCH(2078,Mortality_Matrix!$B$3:$BS$3,0)))/INDEX(Mortality_Matrix!$B$4:$BS$64,MATCH($A129,Mortality_Matrix!$A$4:$A$64,0),MATCH(2078,Mortality_Matrix!$B$3:$BS$3,0))</f>
        <v>2.64315313173241E-010</v>
      </c>
      <c r="BQ129" s="27" t="n">
        <f aca="false">(BQ63-INDEX(Mortality_Matrix!$B$4:$BS$64,MATCH($A129,Mortality_Matrix!$A$4:$A$64,0),MATCH(2079,Mortality_Matrix!$B$3:$BS$3,0)))/INDEX(Mortality_Matrix!$B$4:$BS$64,MATCH($A129,Mortality_Matrix!$A$4:$A$64,0),MATCH(2079,Mortality_Matrix!$B$3:$BS$3,0))</f>
        <v>-1.90679992744939E-010</v>
      </c>
      <c r="BR129" s="27" t="n">
        <f aca="false">(BR63-INDEX(Mortality_Matrix!$B$4:$BS$64,MATCH($A129,Mortality_Matrix!$A$4:$A$64,0),MATCH(2080,Mortality_Matrix!$B$3:$BS$3,0)))/INDEX(Mortality_Matrix!$B$4:$BS$64,MATCH($A129,Mortality_Matrix!$A$4:$A$64,0),MATCH(2080,Mortality_Matrix!$B$3:$BS$3,0))</f>
        <v>2.01516666071851E-010</v>
      </c>
      <c r="BS129" s="27" t="n">
        <f aca="false">(BS63-INDEX(Mortality_Matrix!$B$4:$BS$64,MATCH($A129,Mortality_Matrix!$A$4:$A$64,0),MATCH(2081,Mortality_Matrix!$B$3:$BS$3,0)))/INDEX(Mortality_Matrix!$B$4:$BS$64,MATCH($A129,Mortality_Matrix!$A$4:$A$64,0),MATCH(2081,Mortality_Matrix!$B$3:$BS$3,0))</f>
        <v>-1.17377632740422E-010</v>
      </c>
      <c r="BT129" s="27" t="n">
        <f aca="false">(BT63-INDEX(Mortality_Matrix!$B$4:$BS$64,MATCH($A129,Mortality_Matrix!$A$4:$A$64,0),MATCH(2082,Mortality_Matrix!$B$3:$BS$3,0)))/INDEX(Mortality_Matrix!$B$4:$BS$64,MATCH($A129,Mortality_Matrix!$A$4:$A$64,0),MATCH(2082,Mortality_Matrix!$B$3:$BS$3,0))</f>
        <v>2.15404394830066E-010</v>
      </c>
      <c r="BU129" s="27" t="n">
        <f aca="false">(BU63-INDEX(Mortality_Matrix!$B$4:$BS$64,MATCH($A129,Mortality_Matrix!$A$4:$A$64,0),MATCH(2083,Mortality_Matrix!$B$3:$BS$3,0)))/INDEX(Mortality_Matrix!$B$4:$BS$64,MATCH($A129,Mortality_Matrix!$A$4:$A$64,0),MATCH(2083,Mortality_Matrix!$B$3:$BS$3,0))</f>
        <v>9.39607005594634E-011</v>
      </c>
      <c r="BV129" s="27" t="n">
        <f aca="false">(BV63-INDEX(Mortality_Matrix!$B$4:$BS$64,MATCH($A129,Mortality_Matrix!$A$4:$A$64,0),MATCH(2084,Mortality_Matrix!$B$3:$BS$3,0)))/INDEX(Mortality_Matrix!$B$4:$BS$64,MATCH($A129,Mortality_Matrix!$A$4:$A$64,0),MATCH(2084,Mortality_Matrix!$B$3:$BS$3,0))</f>
        <v>2.63466984757804E-010</v>
      </c>
      <c r="BW129" s="27" t="n">
        <f aca="false">(BW63-INDEX(Mortality_Matrix!$B$4:$BS$64,MATCH($A129,Mortality_Matrix!$A$4:$A$64,0),MATCH(2085,Mortality_Matrix!$B$3:$BS$3,0)))/INDEX(Mortality_Matrix!$B$4:$BS$64,MATCH($A129,Mortality_Matrix!$A$4:$A$64,0),MATCH(2085,Mortality_Matrix!$B$3:$BS$3,0))</f>
        <v>4.6429409616189E-011</v>
      </c>
      <c r="BX129" s="27" t="n">
        <f aca="false">(BX63-INDEX(Mortality_Matrix!$B$4:$BS$64,MATCH($A129,Mortality_Matrix!$A$4:$A$64,0),MATCH(2086,Mortality_Matrix!$B$3:$BS$3,0)))/INDEX(Mortality_Matrix!$B$4:$BS$64,MATCH($A129,Mortality_Matrix!$A$4:$A$64,0),MATCH(2086,Mortality_Matrix!$B$3:$BS$3,0))</f>
        <v>7.65079712235062E-011</v>
      </c>
      <c r="BY129" s="27" t="n">
        <f aca="false">(BY63-INDEX(Mortality_Matrix!$B$4:$BS$64,MATCH($A129,Mortality_Matrix!$A$4:$A$64,0),MATCH(2087,Mortality_Matrix!$B$3:$BS$3,0)))/INDEX(Mortality_Matrix!$B$4:$BS$64,MATCH($A129,Mortality_Matrix!$A$4:$A$64,0),MATCH(2087,Mortality_Matrix!$B$3:$BS$3,0))</f>
        <v>8.88361337646267E-011</v>
      </c>
      <c r="BZ129" s="27" t="n">
        <f aca="false">(BZ63-INDEX(Mortality_Matrix!$B$4:$BS$64,MATCH($A129,Mortality_Matrix!$A$4:$A$64,0),MATCH(2088,Mortality_Matrix!$B$3:$BS$3,0)))/INDEX(Mortality_Matrix!$B$4:$BS$64,MATCH($A129,Mortality_Matrix!$A$4:$A$64,0),MATCH(2088,Mortality_Matrix!$B$3:$BS$3,0))</f>
        <v>1.21654837632254E-011</v>
      </c>
      <c r="CA129" s="27" t="n">
        <f aca="false">(CA63-INDEX(Mortality_Matrix!$B$4:$BS$64,MATCH($A129,Mortality_Matrix!$A$4:$A$64,0),MATCH(2089,Mortality_Matrix!$B$3:$BS$3,0)))/INDEX(Mortality_Matrix!$B$4:$BS$64,MATCH($A129,Mortality_Matrix!$A$4:$A$64,0),MATCH(2089,Mortality_Matrix!$B$3:$BS$3,0))</f>
        <v>-3.32069650600061E-011</v>
      </c>
      <c r="CB129" s="27" t="n">
        <f aca="false">(CB63-INDEX(Mortality_Matrix!$B$4:$BS$64,MATCH($A129,Mortality_Matrix!$A$4:$A$64,0),MATCH(2090,Mortality_Matrix!$B$3:$BS$3,0)))/INDEX(Mortality_Matrix!$B$4:$BS$64,MATCH($A129,Mortality_Matrix!$A$4:$A$64,0),MATCH(2090,Mortality_Matrix!$B$3:$BS$3,0))</f>
        <v>2.6235382790586E-010</v>
      </c>
      <c r="CC129" s="27" t="n">
        <f aca="false">(CC63-INDEX(Mortality_Matrix!$B$4:$BS$64,MATCH($A129,Mortality_Matrix!$A$4:$A$64,0),MATCH(2091,Mortality_Matrix!$B$3:$BS$3,0)))/INDEX(Mortality_Matrix!$B$4:$BS$64,MATCH($A129,Mortality_Matrix!$A$4:$A$64,0),MATCH(2091,Mortality_Matrix!$B$3:$BS$3,0))</f>
        <v>2.47429103844356E-010</v>
      </c>
    </row>
    <row r="130" customFormat="false" ht="15" hidden="false" customHeight="true" outlineLevel="0" collapsed="false">
      <c r="A130" s="3" t="n">
        <v>101</v>
      </c>
      <c r="L130" s="27" t="n">
        <f aca="false">(L64-INDEX(Mortality_Matrix!$B$4:$BS$64,MATCH($A130,Mortality_Matrix!$A$4:$A$64,0),MATCH(2022,Mortality_Matrix!$B$3:$BS$3,0)))/INDEX(Mortality_Matrix!$B$4:$BS$64,MATCH($A130,Mortality_Matrix!$A$4:$A$64,0),MATCH(2022,Mortality_Matrix!$B$3:$BS$3,0))</f>
        <v>1.07519850324085E-010</v>
      </c>
      <c r="M130" s="27" t="n">
        <f aca="false">(M64-INDEX(Mortality_Matrix!$B$4:$BS$64,MATCH($A130,Mortality_Matrix!$A$4:$A$64,0),MATCH(2023,Mortality_Matrix!$B$3:$BS$3,0)))/INDEX(Mortality_Matrix!$B$4:$BS$64,MATCH($A130,Mortality_Matrix!$A$4:$A$64,0),MATCH(2023,Mortality_Matrix!$B$3:$BS$3,0))</f>
        <v>-6.79005382456281E-011</v>
      </c>
      <c r="N130" s="27" t="n">
        <f aca="false">(N64-INDEX(Mortality_Matrix!$B$4:$BS$64,MATCH($A130,Mortality_Matrix!$A$4:$A$64,0),MATCH(2024,Mortality_Matrix!$B$3:$BS$3,0)))/INDEX(Mortality_Matrix!$B$4:$BS$64,MATCH($A130,Mortality_Matrix!$A$4:$A$64,0),MATCH(2024,Mortality_Matrix!$B$3:$BS$3,0))</f>
        <v>-7.84526988713116E-011</v>
      </c>
      <c r="O130" s="27" t="n">
        <f aca="false">(O64-INDEX(Mortality_Matrix!$B$4:$BS$64,MATCH($A130,Mortality_Matrix!$A$4:$A$64,0),MATCH(2025,Mortality_Matrix!$B$3:$BS$3,0)))/INDEX(Mortality_Matrix!$B$4:$BS$64,MATCH($A130,Mortality_Matrix!$A$4:$A$64,0),MATCH(2025,Mortality_Matrix!$B$3:$BS$3,0))</f>
        <v>1.74374944864453E-010</v>
      </c>
      <c r="P130" s="27" t="n">
        <f aca="false">(P64-INDEX(Mortality_Matrix!$B$4:$BS$64,MATCH($A130,Mortality_Matrix!$A$4:$A$64,0),MATCH(2026,Mortality_Matrix!$B$3:$BS$3,0)))/INDEX(Mortality_Matrix!$B$4:$BS$64,MATCH($A130,Mortality_Matrix!$A$4:$A$64,0),MATCH(2026,Mortality_Matrix!$B$3:$BS$3,0))</f>
        <v>1.24384411145169E-010</v>
      </c>
      <c r="Q130" s="27" t="n">
        <f aca="false">(Q64-INDEX(Mortality_Matrix!$B$4:$BS$64,MATCH($A130,Mortality_Matrix!$A$4:$A$64,0),MATCH(2027,Mortality_Matrix!$B$3:$BS$3,0)))/INDEX(Mortality_Matrix!$B$4:$BS$64,MATCH($A130,Mortality_Matrix!$A$4:$A$64,0),MATCH(2027,Mortality_Matrix!$B$3:$BS$3,0))</f>
        <v>-8.09861873032197E-011</v>
      </c>
      <c r="R130" s="27" t="n">
        <f aca="false">(R64-INDEX(Mortality_Matrix!$B$4:$BS$64,MATCH($A130,Mortality_Matrix!$A$4:$A$64,0),MATCH(2028,Mortality_Matrix!$B$3:$BS$3,0)))/INDEX(Mortality_Matrix!$B$4:$BS$64,MATCH($A130,Mortality_Matrix!$A$4:$A$64,0),MATCH(2028,Mortality_Matrix!$B$3:$BS$3,0))</f>
        <v>8.83894615805971E-011</v>
      </c>
      <c r="S130" s="27" t="n">
        <f aca="false">(S64-INDEX(Mortality_Matrix!$B$4:$BS$64,MATCH($A130,Mortality_Matrix!$A$4:$A$64,0),MATCH(2029,Mortality_Matrix!$B$3:$BS$3,0)))/INDEX(Mortality_Matrix!$B$4:$BS$64,MATCH($A130,Mortality_Matrix!$A$4:$A$64,0),MATCH(2029,Mortality_Matrix!$B$3:$BS$3,0))</f>
        <v>1.76538806760033E-010</v>
      </c>
      <c r="T130" s="27" t="n">
        <f aca="false">(T64-INDEX(Mortality_Matrix!$B$4:$BS$64,MATCH($A130,Mortality_Matrix!$A$4:$A$64,0),MATCH(2030,Mortality_Matrix!$B$3:$BS$3,0)))/INDEX(Mortality_Matrix!$B$4:$BS$64,MATCH($A130,Mortality_Matrix!$A$4:$A$64,0),MATCH(2030,Mortality_Matrix!$B$3:$BS$3,0))</f>
        <v>-1.77590811371218E-010</v>
      </c>
      <c r="U130" s="27" t="n">
        <f aca="false">(U64-INDEX(Mortality_Matrix!$B$4:$BS$64,MATCH($A130,Mortality_Matrix!$A$4:$A$64,0),MATCH(2031,Mortality_Matrix!$B$3:$BS$3,0)))/INDEX(Mortality_Matrix!$B$4:$BS$64,MATCH($A130,Mortality_Matrix!$A$4:$A$64,0),MATCH(2031,Mortality_Matrix!$B$3:$BS$3,0))</f>
        <v>-8.98642670757176E-011</v>
      </c>
      <c r="V130" s="27" t="n">
        <f aca="false">(V64-INDEX(Mortality_Matrix!$B$4:$BS$64,MATCH($A130,Mortality_Matrix!$A$4:$A$64,0),MATCH(2032,Mortality_Matrix!$B$3:$BS$3,0)))/INDEX(Mortality_Matrix!$B$4:$BS$64,MATCH($A130,Mortality_Matrix!$A$4:$A$64,0),MATCH(2032,Mortality_Matrix!$B$3:$BS$3,0))</f>
        <v>-1.05002487112325E-010</v>
      </c>
      <c r="W130" s="27" t="n">
        <f aca="false">(W64-INDEX(Mortality_Matrix!$B$4:$BS$64,MATCH($A130,Mortality_Matrix!$A$4:$A$64,0),MATCH(2033,Mortality_Matrix!$B$3:$BS$3,0)))/INDEX(Mortality_Matrix!$B$4:$BS$64,MATCH($A130,Mortality_Matrix!$A$4:$A$64,0),MATCH(2033,Mortality_Matrix!$B$3:$BS$3,0))</f>
        <v>8.9289360627462E-011</v>
      </c>
      <c r="X130" s="27" t="n">
        <f aca="false">(X64-INDEX(Mortality_Matrix!$B$4:$BS$64,MATCH($A130,Mortality_Matrix!$A$4:$A$64,0),MATCH(2034,Mortality_Matrix!$B$3:$BS$3,0)))/INDEX(Mortality_Matrix!$B$4:$BS$64,MATCH($A130,Mortality_Matrix!$A$4:$A$64,0),MATCH(2034,Mortality_Matrix!$B$3:$BS$3,0))</f>
        <v>1.19504975964275E-010</v>
      </c>
      <c r="Y130" s="27" t="n">
        <f aca="false">(Y64-INDEX(Mortality_Matrix!$B$4:$BS$64,MATCH($A130,Mortality_Matrix!$A$4:$A$64,0),MATCH(2035,Mortality_Matrix!$B$3:$BS$3,0)))/INDEX(Mortality_Matrix!$B$4:$BS$64,MATCH($A130,Mortality_Matrix!$A$4:$A$64,0),MATCH(2035,Mortality_Matrix!$B$3:$BS$3,0))</f>
        <v>8.0411784159907E-011</v>
      </c>
      <c r="Z130" s="27" t="n">
        <f aca="false">(Z64-INDEX(Mortality_Matrix!$B$4:$BS$64,MATCH($A130,Mortality_Matrix!$A$4:$A$64,0),MATCH(2036,Mortality_Matrix!$B$3:$BS$3,0)))/INDEX(Mortality_Matrix!$B$4:$BS$64,MATCH($A130,Mortality_Matrix!$A$4:$A$64,0),MATCH(2036,Mortality_Matrix!$B$3:$BS$3,0))</f>
        <v>1.48525261345183E-010</v>
      </c>
      <c r="AA130" s="27" t="n">
        <f aca="false">(AA64-INDEX(Mortality_Matrix!$B$4:$BS$64,MATCH($A130,Mortality_Matrix!$A$4:$A$64,0),MATCH(2037,Mortality_Matrix!$B$3:$BS$3,0)))/INDEX(Mortality_Matrix!$B$4:$BS$64,MATCH($A130,Mortality_Matrix!$A$4:$A$64,0),MATCH(2037,Mortality_Matrix!$B$3:$BS$3,0))</f>
        <v>1.82806709483616E-010</v>
      </c>
      <c r="AB130" s="27" t="n">
        <f aca="false">(AB64-INDEX(Mortality_Matrix!$B$4:$BS$64,MATCH($A130,Mortality_Matrix!$A$4:$A$64,0),MATCH(2038,Mortality_Matrix!$B$3:$BS$3,0)))/INDEX(Mortality_Matrix!$B$4:$BS$64,MATCH($A130,Mortality_Matrix!$A$4:$A$64,0),MATCH(2038,Mortality_Matrix!$B$3:$BS$3,0))</f>
        <v>1.10201983503912E-010</v>
      </c>
      <c r="AC130" s="27" t="n">
        <f aca="false">(AC64-INDEX(Mortality_Matrix!$B$4:$BS$64,MATCH($A130,Mortality_Matrix!$A$4:$A$64,0),MATCH(2039,Mortality_Matrix!$B$3:$BS$3,0)))/INDEX(Mortality_Matrix!$B$4:$BS$64,MATCH($A130,Mortality_Matrix!$A$4:$A$64,0),MATCH(2039,Mortality_Matrix!$B$3:$BS$3,0))</f>
        <v>-7.71892086092715E-011</v>
      </c>
      <c r="AD130" s="27" t="n">
        <f aca="false">(AD64-INDEX(Mortality_Matrix!$B$4:$BS$64,MATCH($A130,Mortality_Matrix!$A$4:$A$64,0),MATCH(2040,Mortality_Matrix!$B$3:$BS$3,0)))/INDEX(Mortality_Matrix!$B$4:$BS$64,MATCH($A130,Mortality_Matrix!$A$4:$A$64,0),MATCH(2040,Mortality_Matrix!$B$3:$BS$3,0))</f>
        <v>7.82317457931124E-011</v>
      </c>
      <c r="AE130" s="27" t="n">
        <f aca="false">(AE64-INDEX(Mortality_Matrix!$B$4:$BS$64,MATCH($A130,Mortality_Matrix!$A$4:$A$64,0),MATCH(2041,Mortality_Matrix!$B$3:$BS$3,0)))/INDEX(Mortality_Matrix!$B$4:$BS$64,MATCH($A130,Mortality_Matrix!$A$4:$A$64,0),MATCH(2041,Mortality_Matrix!$B$3:$BS$3,0))</f>
        <v>-1.14362359349479E-010</v>
      </c>
      <c r="AF130" s="27" t="n">
        <f aca="false">(AF64-INDEX(Mortality_Matrix!$B$4:$BS$64,MATCH($A130,Mortality_Matrix!$A$4:$A$64,0),MATCH(2042,Mortality_Matrix!$B$3:$BS$3,0)))/INDEX(Mortality_Matrix!$B$4:$BS$64,MATCH($A130,Mortality_Matrix!$A$4:$A$64,0),MATCH(2042,Mortality_Matrix!$B$3:$BS$3,0))</f>
        <v>-8.42768603471754E-011</v>
      </c>
      <c r="AG130" s="27" t="n">
        <f aca="false">(AG64-INDEX(Mortality_Matrix!$B$4:$BS$64,MATCH($A130,Mortality_Matrix!$A$4:$A$64,0),MATCH(2043,Mortality_Matrix!$B$3:$BS$3,0)))/INDEX(Mortality_Matrix!$B$4:$BS$64,MATCH($A130,Mortality_Matrix!$A$4:$A$64,0),MATCH(2043,Mortality_Matrix!$B$3:$BS$3,0))</f>
        <v>-1.89425235916611E-011</v>
      </c>
      <c r="AH130" s="27" t="n">
        <f aca="false">(AH64-INDEX(Mortality_Matrix!$B$4:$BS$64,MATCH($A130,Mortality_Matrix!$A$4:$A$64,0),MATCH(2044,Mortality_Matrix!$B$3:$BS$3,0)))/INDEX(Mortality_Matrix!$B$4:$BS$64,MATCH($A130,Mortality_Matrix!$A$4:$A$64,0),MATCH(2044,Mortality_Matrix!$B$3:$BS$3,0))</f>
        <v>-6.51802999056517E-011</v>
      </c>
      <c r="AI130" s="27" t="n">
        <f aca="false">(AI64-INDEX(Mortality_Matrix!$B$4:$BS$64,MATCH($A130,Mortality_Matrix!$A$4:$A$64,0),MATCH(2045,Mortality_Matrix!$B$3:$BS$3,0)))/INDEX(Mortality_Matrix!$B$4:$BS$64,MATCH($A130,Mortality_Matrix!$A$4:$A$64,0),MATCH(2045,Mortality_Matrix!$B$3:$BS$3,0))</f>
        <v>8.1578589406094E-011</v>
      </c>
      <c r="AJ130" s="27" t="n">
        <f aca="false">(AJ64-INDEX(Mortality_Matrix!$B$4:$BS$64,MATCH($A130,Mortality_Matrix!$A$4:$A$64,0),MATCH(2046,Mortality_Matrix!$B$3:$BS$3,0)))/INDEX(Mortality_Matrix!$B$4:$BS$64,MATCH($A130,Mortality_Matrix!$A$4:$A$64,0),MATCH(2046,Mortality_Matrix!$B$3:$BS$3,0))</f>
        <v>-6.48938681805427E-011</v>
      </c>
      <c r="AK130" s="27" t="n">
        <f aca="false">(AK64-INDEX(Mortality_Matrix!$B$4:$BS$64,MATCH($A130,Mortality_Matrix!$A$4:$A$64,0),MATCH(2047,Mortality_Matrix!$B$3:$BS$3,0)))/INDEX(Mortality_Matrix!$B$4:$BS$64,MATCH($A130,Mortality_Matrix!$A$4:$A$64,0),MATCH(2047,Mortality_Matrix!$B$3:$BS$3,0))</f>
        <v>-1.32496153881861E-010</v>
      </c>
      <c r="AL130" s="27" t="n">
        <f aca="false">(AL64-INDEX(Mortality_Matrix!$B$4:$BS$64,MATCH($A130,Mortality_Matrix!$A$4:$A$64,0),MATCH(2048,Mortality_Matrix!$B$3:$BS$3,0)))/INDEX(Mortality_Matrix!$B$4:$BS$64,MATCH($A130,Mortality_Matrix!$A$4:$A$64,0),MATCH(2048,Mortality_Matrix!$B$3:$BS$3,0))</f>
        <v>-1.35444055691007E-010</v>
      </c>
      <c r="AM130" s="27" t="n">
        <f aca="false">(AM64-INDEX(Mortality_Matrix!$B$4:$BS$64,MATCH($A130,Mortality_Matrix!$A$4:$A$64,0),MATCH(2049,Mortality_Matrix!$B$3:$BS$3,0)))/INDEX(Mortality_Matrix!$B$4:$BS$64,MATCH($A130,Mortality_Matrix!$A$4:$A$64,0),MATCH(2049,Mortality_Matrix!$B$3:$BS$3,0))</f>
        <v>-6.61740178049137E-011</v>
      </c>
      <c r="AN130" s="27" t="n">
        <f aca="false">(AN64-INDEX(Mortality_Matrix!$B$4:$BS$64,MATCH($A130,Mortality_Matrix!$A$4:$A$64,0),MATCH(2050,Mortality_Matrix!$B$3:$BS$3,0)))/INDEX(Mortality_Matrix!$B$4:$BS$64,MATCH($A130,Mortality_Matrix!$A$4:$A$64,0),MATCH(2050,Mortality_Matrix!$B$3:$BS$3,0))</f>
        <v>1.00533885556304E-010</v>
      </c>
      <c r="AO130" s="27" t="n">
        <f aca="false">(AO64-INDEX(Mortality_Matrix!$B$4:$BS$64,MATCH($A130,Mortality_Matrix!$A$4:$A$64,0),MATCH(2051,Mortality_Matrix!$B$3:$BS$3,0)))/INDEX(Mortality_Matrix!$B$4:$BS$64,MATCH($A130,Mortality_Matrix!$A$4:$A$64,0),MATCH(2051,Mortality_Matrix!$B$3:$BS$3,0))</f>
        <v>-2.47049773552486E-011</v>
      </c>
      <c r="AP130" s="27" t="n">
        <f aca="false">(AP64-INDEX(Mortality_Matrix!$B$4:$BS$64,MATCH($A130,Mortality_Matrix!$A$4:$A$64,0),MATCH(2052,Mortality_Matrix!$B$3:$BS$3,0)))/INDEX(Mortality_Matrix!$B$4:$BS$64,MATCH($A130,Mortality_Matrix!$A$4:$A$64,0),MATCH(2052,Mortality_Matrix!$B$3:$BS$3,0))</f>
        <v>2.91741125884923E-011</v>
      </c>
      <c r="AQ130" s="27" t="n">
        <f aca="false">(AQ64-INDEX(Mortality_Matrix!$B$4:$BS$64,MATCH($A130,Mortality_Matrix!$A$4:$A$64,0),MATCH(2053,Mortality_Matrix!$B$3:$BS$3,0)))/INDEX(Mortality_Matrix!$B$4:$BS$64,MATCH($A130,Mortality_Matrix!$A$4:$A$64,0),MATCH(2053,Mortality_Matrix!$B$3:$BS$3,0))</f>
        <v>-1.18283572007173E-010</v>
      </c>
      <c r="AR130" s="27" t="n">
        <f aca="false">(AR64-INDEX(Mortality_Matrix!$B$4:$BS$64,MATCH($A130,Mortality_Matrix!$A$4:$A$64,0),MATCH(2054,Mortality_Matrix!$B$3:$BS$3,0)))/INDEX(Mortality_Matrix!$B$4:$BS$64,MATCH($A130,Mortality_Matrix!$A$4:$A$64,0),MATCH(2054,Mortality_Matrix!$B$3:$BS$3,0))</f>
        <v>1.30956577364142E-011</v>
      </c>
      <c r="AS130" s="27" t="n">
        <f aca="false">(AS64-INDEX(Mortality_Matrix!$B$4:$BS$64,MATCH($A130,Mortality_Matrix!$A$4:$A$64,0),MATCH(2055,Mortality_Matrix!$B$3:$BS$3,0)))/INDEX(Mortality_Matrix!$B$4:$BS$64,MATCH($A130,Mortality_Matrix!$A$4:$A$64,0),MATCH(2055,Mortality_Matrix!$B$3:$BS$3,0))</f>
        <v>3.33032533792552E-011</v>
      </c>
      <c r="AT130" s="27" t="n">
        <f aca="false">(AT64-INDEX(Mortality_Matrix!$B$4:$BS$64,MATCH($A130,Mortality_Matrix!$A$4:$A$64,0),MATCH(2056,Mortality_Matrix!$B$3:$BS$3,0)))/INDEX(Mortality_Matrix!$B$4:$BS$64,MATCH($A130,Mortality_Matrix!$A$4:$A$64,0),MATCH(2056,Mortality_Matrix!$B$3:$BS$3,0))</f>
        <v>-2.70327162236526E-011</v>
      </c>
      <c r="AU130" s="27" t="n">
        <f aca="false">(AU64-INDEX(Mortality_Matrix!$B$4:$BS$64,MATCH($A130,Mortality_Matrix!$A$4:$A$64,0),MATCH(2057,Mortality_Matrix!$B$3:$BS$3,0)))/INDEX(Mortality_Matrix!$B$4:$BS$64,MATCH($A130,Mortality_Matrix!$A$4:$A$64,0),MATCH(2057,Mortality_Matrix!$B$3:$BS$3,0))</f>
        <v>-1.51985616923832E-010</v>
      </c>
      <c r="AV130" s="27" t="n">
        <f aca="false">(AV64-INDEX(Mortality_Matrix!$B$4:$BS$64,MATCH($A130,Mortality_Matrix!$A$4:$A$64,0),MATCH(2058,Mortality_Matrix!$B$3:$BS$3,0)))/INDEX(Mortality_Matrix!$B$4:$BS$64,MATCH($A130,Mortality_Matrix!$A$4:$A$64,0),MATCH(2058,Mortality_Matrix!$B$3:$BS$3,0))</f>
        <v>9.9099136222956E-011</v>
      </c>
      <c r="AW130" s="27" t="n">
        <f aca="false">(AW64-INDEX(Mortality_Matrix!$B$4:$BS$64,MATCH($A130,Mortality_Matrix!$A$4:$A$64,0),MATCH(2059,Mortality_Matrix!$B$3:$BS$3,0)))/INDEX(Mortality_Matrix!$B$4:$BS$64,MATCH($A130,Mortality_Matrix!$A$4:$A$64,0),MATCH(2059,Mortality_Matrix!$B$3:$BS$3,0))</f>
        <v>-1.89463786750388E-010</v>
      </c>
      <c r="AX130" s="27" t="n">
        <f aca="false">(AX64-INDEX(Mortality_Matrix!$B$4:$BS$64,MATCH($A130,Mortality_Matrix!$A$4:$A$64,0),MATCH(2060,Mortality_Matrix!$B$3:$BS$3,0)))/INDEX(Mortality_Matrix!$B$4:$BS$64,MATCH($A130,Mortality_Matrix!$A$4:$A$64,0),MATCH(2060,Mortality_Matrix!$B$3:$BS$3,0))</f>
        <v>-1.8559894759308E-010</v>
      </c>
      <c r="AY130" s="27" t="n">
        <f aca="false">(AY64-INDEX(Mortality_Matrix!$B$4:$BS$64,MATCH($A130,Mortality_Matrix!$A$4:$A$64,0),MATCH(2061,Mortality_Matrix!$B$3:$BS$3,0)))/INDEX(Mortality_Matrix!$B$4:$BS$64,MATCH($A130,Mortality_Matrix!$A$4:$A$64,0),MATCH(2061,Mortality_Matrix!$B$3:$BS$3,0))</f>
        <v>2.2516528867618E-011</v>
      </c>
      <c r="AZ130" s="27" t="n">
        <f aca="false">(AZ64-INDEX(Mortality_Matrix!$B$4:$BS$64,MATCH($A130,Mortality_Matrix!$A$4:$A$64,0),MATCH(2062,Mortality_Matrix!$B$3:$BS$3,0)))/INDEX(Mortality_Matrix!$B$4:$BS$64,MATCH($A130,Mortality_Matrix!$A$4:$A$64,0),MATCH(2062,Mortality_Matrix!$B$3:$BS$3,0))</f>
        <v>-1.49204558579039E-010</v>
      </c>
      <c r="BA130" s="27" t="n">
        <f aca="false">(BA64-INDEX(Mortality_Matrix!$B$4:$BS$64,MATCH($A130,Mortality_Matrix!$A$4:$A$64,0),MATCH(2063,Mortality_Matrix!$B$3:$BS$3,0)))/INDEX(Mortality_Matrix!$B$4:$BS$64,MATCH($A130,Mortality_Matrix!$A$4:$A$64,0),MATCH(2063,Mortality_Matrix!$B$3:$BS$3,0))</f>
        <v>2.81077933428199E-011</v>
      </c>
      <c r="BB130" s="27" t="n">
        <f aca="false">(BB64-INDEX(Mortality_Matrix!$B$4:$BS$64,MATCH($A130,Mortality_Matrix!$A$4:$A$64,0),MATCH(2064,Mortality_Matrix!$B$3:$BS$3,0)))/INDEX(Mortality_Matrix!$B$4:$BS$64,MATCH($A130,Mortality_Matrix!$A$4:$A$64,0),MATCH(2064,Mortality_Matrix!$B$3:$BS$3,0))</f>
        <v>-1.28032047584987E-010</v>
      </c>
      <c r="BC130" s="27" t="n">
        <f aca="false">(BC64-INDEX(Mortality_Matrix!$B$4:$BS$64,MATCH($A130,Mortality_Matrix!$A$4:$A$64,0),MATCH(2065,Mortality_Matrix!$B$3:$BS$3,0)))/INDEX(Mortality_Matrix!$B$4:$BS$64,MATCH($A130,Mortality_Matrix!$A$4:$A$64,0),MATCH(2065,Mortality_Matrix!$B$3:$BS$3,0))</f>
        <v>1.56578919205296E-011</v>
      </c>
      <c r="BD130" s="27" t="n">
        <f aca="false">(BD64-INDEX(Mortality_Matrix!$B$4:$BS$64,MATCH($A130,Mortality_Matrix!$A$4:$A$64,0),MATCH(2066,Mortality_Matrix!$B$3:$BS$3,0)))/INDEX(Mortality_Matrix!$B$4:$BS$64,MATCH($A130,Mortality_Matrix!$A$4:$A$64,0),MATCH(2066,Mortality_Matrix!$B$3:$BS$3,0))</f>
        <v>1.18253908100212E-010</v>
      </c>
      <c r="BE130" s="27" t="n">
        <f aca="false">(BE64-INDEX(Mortality_Matrix!$B$4:$BS$64,MATCH($A130,Mortality_Matrix!$A$4:$A$64,0),MATCH(2067,Mortality_Matrix!$B$3:$BS$3,0)))/INDEX(Mortality_Matrix!$B$4:$BS$64,MATCH($A130,Mortality_Matrix!$A$4:$A$64,0),MATCH(2067,Mortality_Matrix!$B$3:$BS$3,0))</f>
        <v>-2.33213051858314E-010</v>
      </c>
      <c r="BF130" s="27" t="n">
        <f aca="false">(BF64-INDEX(Mortality_Matrix!$B$4:$BS$64,MATCH($A130,Mortality_Matrix!$A$4:$A$64,0),MATCH(2068,Mortality_Matrix!$B$3:$BS$3,0)))/INDEX(Mortality_Matrix!$B$4:$BS$64,MATCH($A130,Mortality_Matrix!$A$4:$A$64,0),MATCH(2068,Mortality_Matrix!$B$3:$BS$3,0))</f>
        <v>-1.22460594469658E-010</v>
      </c>
      <c r="BG130" s="27" t="n">
        <f aca="false">(BG64-INDEX(Mortality_Matrix!$B$4:$BS$64,MATCH($A130,Mortality_Matrix!$A$4:$A$64,0),MATCH(2069,Mortality_Matrix!$B$3:$BS$3,0)))/INDEX(Mortality_Matrix!$B$4:$BS$64,MATCH($A130,Mortality_Matrix!$A$4:$A$64,0),MATCH(2069,Mortality_Matrix!$B$3:$BS$3,0))</f>
        <v>-1.03492673925376E-010</v>
      </c>
      <c r="BH130" s="27" t="n">
        <f aca="false">(BH64-INDEX(Mortality_Matrix!$B$4:$BS$64,MATCH($A130,Mortality_Matrix!$A$4:$A$64,0),MATCH(2070,Mortality_Matrix!$B$3:$BS$3,0)))/INDEX(Mortality_Matrix!$B$4:$BS$64,MATCH($A130,Mortality_Matrix!$A$4:$A$64,0),MATCH(2070,Mortality_Matrix!$B$3:$BS$3,0))</f>
        <v>1.26496138548764E-010</v>
      </c>
      <c r="BI130" s="27" t="n">
        <f aca="false">(BI64-INDEX(Mortality_Matrix!$B$4:$BS$64,MATCH($A130,Mortality_Matrix!$A$4:$A$64,0),MATCH(2071,Mortality_Matrix!$B$3:$BS$3,0)))/INDEX(Mortality_Matrix!$B$4:$BS$64,MATCH($A130,Mortality_Matrix!$A$4:$A$64,0),MATCH(2071,Mortality_Matrix!$B$3:$BS$3,0))</f>
        <v>-1.62073837520797E-010</v>
      </c>
      <c r="BJ130" s="27" t="n">
        <f aca="false">(BJ64-INDEX(Mortality_Matrix!$B$4:$BS$64,MATCH($A130,Mortality_Matrix!$A$4:$A$64,0),MATCH(2072,Mortality_Matrix!$B$3:$BS$3,0)))/INDEX(Mortality_Matrix!$B$4:$BS$64,MATCH($A130,Mortality_Matrix!$A$4:$A$64,0),MATCH(2072,Mortality_Matrix!$B$3:$BS$3,0))</f>
        <v>1.13388318666259E-010</v>
      </c>
      <c r="BK130" s="27" t="n">
        <f aca="false">(BK64-INDEX(Mortality_Matrix!$B$4:$BS$64,MATCH($A130,Mortality_Matrix!$A$4:$A$64,0),MATCH(2073,Mortality_Matrix!$B$3:$BS$3,0)))/INDEX(Mortality_Matrix!$B$4:$BS$64,MATCH($A130,Mortality_Matrix!$A$4:$A$64,0),MATCH(2073,Mortality_Matrix!$B$3:$BS$3,0))</f>
        <v>3.49877598495838E-011</v>
      </c>
      <c r="BL130" s="27" t="n">
        <f aca="false">(BL64-INDEX(Mortality_Matrix!$B$4:$BS$64,MATCH($A130,Mortality_Matrix!$A$4:$A$64,0),MATCH(2074,Mortality_Matrix!$B$3:$BS$3,0)))/INDEX(Mortality_Matrix!$B$4:$BS$64,MATCH($A130,Mortality_Matrix!$A$4:$A$64,0),MATCH(2074,Mortality_Matrix!$B$3:$BS$3,0))</f>
        <v>1.85049791514601E-011</v>
      </c>
      <c r="BM130" s="27" t="n">
        <f aca="false">(BM64-INDEX(Mortality_Matrix!$B$4:$BS$64,MATCH($A130,Mortality_Matrix!$A$4:$A$64,0),MATCH(2075,Mortality_Matrix!$B$3:$BS$3,0)))/INDEX(Mortality_Matrix!$B$4:$BS$64,MATCH($A130,Mortality_Matrix!$A$4:$A$64,0),MATCH(2075,Mortality_Matrix!$B$3:$BS$3,0))</f>
        <v>-1.04519364693791E-010</v>
      </c>
      <c r="BN130" s="27" t="n">
        <f aca="false">(BN64-INDEX(Mortality_Matrix!$B$4:$BS$64,MATCH($A130,Mortality_Matrix!$A$4:$A$64,0),MATCH(2076,Mortality_Matrix!$B$3:$BS$3,0)))/INDEX(Mortality_Matrix!$B$4:$BS$64,MATCH($A130,Mortality_Matrix!$A$4:$A$64,0),MATCH(2076,Mortality_Matrix!$B$3:$BS$3,0))</f>
        <v>-1.27356348763339E-010</v>
      </c>
      <c r="BO130" s="27" t="n">
        <f aca="false">(BO64-INDEX(Mortality_Matrix!$B$4:$BS$64,MATCH($A130,Mortality_Matrix!$A$4:$A$64,0),MATCH(2077,Mortality_Matrix!$B$3:$BS$3,0)))/INDEX(Mortality_Matrix!$B$4:$BS$64,MATCH($A130,Mortality_Matrix!$A$4:$A$64,0),MATCH(2077,Mortality_Matrix!$B$3:$BS$3,0))</f>
        <v>4.47033046852549E-011</v>
      </c>
      <c r="BP130" s="27" t="n">
        <f aca="false">(BP64-INDEX(Mortality_Matrix!$B$4:$BS$64,MATCH($A130,Mortality_Matrix!$A$4:$A$64,0),MATCH(2078,Mortality_Matrix!$B$3:$BS$3,0)))/INDEX(Mortality_Matrix!$B$4:$BS$64,MATCH($A130,Mortality_Matrix!$A$4:$A$64,0),MATCH(2078,Mortality_Matrix!$B$3:$BS$3,0))</f>
        <v>-1.08870781032098E-010</v>
      </c>
      <c r="BQ130" s="27" t="n">
        <f aca="false">(BQ64-INDEX(Mortality_Matrix!$B$4:$BS$64,MATCH($A130,Mortality_Matrix!$A$4:$A$64,0),MATCH(2079,Mortality_Matrix!$B$3:$BS$3,0)))/INDEX(Mortality_Matrix!$B$4:$BS$64,MATCH($A130,Mortality_Matrix!$A$4:$A$64,0),MATCH(2079,Mortality_Matrix!$B$3:$BS$3,0))</f>
        <v>2.47064651330741E-010</v>
      </c>
      <c r="BR130" s="27" t="n">
        <f aca="false">(BR64-INDEX(Mortality_Matrix!$B$4:$BS$64,MATCH($A130,Mortality_Matrix!$A$4:$A$64,0),MATCH(2080,Mortality_Matrix!$B$3:$BS$3,0)))/INDEX(Mortality_Matrix!$B$4:$BS$64,MATCH($A130,Mortality_Matrix!$A$4:$A$64,0),MATCH(2080,Mortality_Matrix!$B$3:$BS$3,0))</f>
        <v>-1.69997167353076E-010</v>
      </c>
      <c r="BS130" s="27" t="n">
        <f aca="false">(BS64-INDEX(Mortality_Matrix!$B$4:$BS$64,MATCH($A130,Mortality_Matrix!$A$4:$A$64,0),MATCH(2081,Mortality_Matrix!$B$3:$BS$3,0)))/INDEX(Mortality_Matrix!$B$4:$BS$64,MATCH($A130,Mortality_Matrix!$A$4:$A$64,0),MATCH(2081,Mortality_Matrix!$B$3:$BS$3,0))</f>
        <v>2.12471946753777E-010</v>
      </c>
      <c r="BT130" s="27" t="n">
        <f aca="false">(BT64-INDEX(Mortality_Matrix!$B$4:$BS$64,MATCH($A130,Mortality_Matrix!$A$4:$A$64,0),MATCH(2082,Mortality_Matrix!$B$3:$BS$3,0)))/INDEX(Mortality_Matrix!$B$4:$BS$64,MATCH($A130,Mortality_Matrix!$A$4:$A$64,0),MATCH(2082,Mortality_Matrix!$B$3:$BS$3,0))</f>
        <v>-1.79768488595894E-010</v>
      </c>
      <c r="BU130" s="27" t="n">
        <f aca="false">(BU64-INDEX(Mortality_Matrix!$B$4:$BS$64,MATCH($A130,Mortality_Matrix!$A$4:$A$64,0),MATCH(2083,Mortality_Matrix!$B$3:$BS$3,0)))/INDEX(Mortality_Matrix!$B$4:$BS$64,MATCH($A130,Mortality_Matrix!$A$4:$A$64,0),MATCH(2083,Mortality_Matrix!$B$3:$BS$3,0))</f>
        <v>-5.03815413621463E-011</v>
      </c>
      <c r="BV130" s="27" t="n">
        <f aca="false">(BV64-INDEX(Mortality_Matrix!$B$4:$BS$64,MATCH($A130,Mortality_Matrix!$A$4:$A$64,0),MATCH(2084,Mortality_Matrix!$B$3:$BS$3,0)))/INDEX(Mortality_Matrix!$B$4:$BS$64,MATCH($A130,Mortality_Matrix!$A$4:$A$64,0),MATCH(2084,Mortality_Matrix!$B$3:$BS$3,0))</f>
        <v>2.35384948732954E-010</v>
      </c>
      <c r="BW130" s="27" t="n">
        <f aca="false">(BW64-INDEX(Mortality_Matrix!$B$4:$BS$64,MATCH($A130,Mortality_Matrix!$A$4:$A$64,0),MATCH(2085,Mortality_Matrix!$B$3:$BS$3,0)))/INDEX(Mortality_Matrix!$B$4:$BS$64,MATCH($A130,Mortality_Matrix!$A$4:$A$64,0),MATCH(2085,Mortality_Matrix!$B$3:$BS$3,0))</f>
        <v>1.44105990623905E-010</v>
      </c>
      <c r="BX130" s="27" t="n">
        <f aca="false">(BX64-INDEX(Mortality_Matrix!$B$4:$BS$64,MATCH($A130,Mortality_Matrix!$A$4:$A$64,0),MATCH(2086,Mortality_Matrix!$B$3:$BS$3,0)))/INDEX(Mortality_Matrix!$B$4:$BS$64,MATCH($A130,Mortality_Matrix!$A$4:$A$64,0),MATCH(2086,Mortality_Matrix!$B$3:$BS$3,0))</f>
        <v>-3.32981358316656E-013</v>
      </c>
      <c r="BY130" s="27" t="n">
        <f aca="false">(BY64-INDEX(Mortality_Matrix!$B$4:$BS$64,MATCH($A130,Mortality_Matrix!$A$4:$A$64,0),MATCH(2087,Mortality_Matrix!$B$3:$BS$3,0)))/INDEX(Mortality_Matrix!$B$4:$BS$64,MATCH($A130,Mortality_Matrix!$A$4:$A$64,0),MATCH(2087,Mortality_Matrix!$B$3:$BS$3,0))</f>
        <v>-3.83031206201228E-011</v>
      </c>
      <c r="BZ130" s="27" t="n">
        <f aca="false">(BZ64-INDEX(Mortality_Matrix!$B$4:$BS$64,MATCH($A130,Mortality_Matrix!$A$4:$A$64,0),MATCH(2088,Mortality_Matrix!$B$3:$BS$3,0)))/INDEX(Mortality_Matrix!$B$4:$BS$64,MATCH($A130,Mortality_Matrix!$A$4:$A$64,0),MATCH(2088,Mortality_Matrix!$B$3:$BS$3,0))</f>
        <v>1.62942994724236E-011</v>
      </c>
      <c r="CA130" s="27" t="n">
        <f aca="false">(CA64-INDEX(Mortality_Matrix!$B$4:$BS$64,MATCH($A130,Mortality_Matrix!$A$4:$A$64,0),MATCH(2089,Mortality_Matrix!$B$3:$BS$3,0)))/INDEX(Mortality_Matrix!$B$4:$BS$64,MATCH($A130,Mortality_Matrix!$A$4:$A$64,0),MATCH(2089,Mortality_Matrix!$B$3:$BS$3,0))</f>
        <v>-3.34466339619137E-011</v>
      </c>
      <c r="CB130" s="27" t="n">
        <f aca="false">(CB64-INDEX(Mortality_Matrix!$B$4:$BS$64,MATCH($A130,Mortality_Matrix!$A$4:$A$64,0),MATCH(2090,Mortality_Matrix!$B$3:$BS$3,0)))/INDEX(Mortality_Matrix!$B$4:$BS$64,MATCH($A130,Mortality_Matrix!$A$4:$A$64,0),MATCH(2090,Mortality_Matrix!$B$3:$BS$3,0))</f>
        <v>-4.84605014668477E-011</v>
      </c>
      <c r="CC130" s="27" t="n">
        <f aca="false">(CC64-INDEX(Mortality_Matrix!$B$4:$BS$64,MATCH($A130,Mortality_Matrix!$A$4:$A$64,0),MATCH(2091,Mortality_Matrix!$B$3:$BS$3,0)))/INDEX(Mortality_Matrix!$B$4:$BS$64,MATCH($A130,Mortality_Matrix!$A$4:$A$64,0),MATCH(2091,Mortality_Matrix!$B$3:$BS$3,0))</f>
        <v>-8.07773453197748E-011</v>
      </c>
    </row>
    <row r="131" customFormat="false" ht="15" hidden="false" customHeight="true" outlineLevel="0" collapsed="false">
      <c r="A131" s="3" t="n">
        <v>102</v>
      </c>
      <c r="L131" s="27" t="n">
        <f aca="false">(L65-INDEX(Mortality_Matrix!$B$4:$BS$64,MATCH($A131,Mortality_Matrix!$A$4:$A$64,0),MATCH(2022,Mortality_Matrix!$B$3:$BS$3,0)))/INDEX(Mortality_Matrix!$B$4:$BS$64,MATCH($A131,Mortality_Matrix!$A$4:$A$64,0),MATCH(2022,Mortality_Matrix!$B$3:$BS$3,0))</f>
        <v>-8.15179863349079E-011</v>
      </c>
      <c r="M131" s="27" t="n">
        <f aca="false">(M65-INDEX(Mortality_Matrix!$B$4:$BS$64,MATCH($A131,Mortality_Matrix!$A$4:$A$64,0),MATCH(2023,Mortality_Matrix!$B$3:$BS$3,0)))/INDEX(Mortality_Matrix!$B$4:$BS$64,MATCH($A131,Mortality_Matrix!$A$4:$A$64,0),MATCH(2023,Mortality_Matrix!$B$3:$BS$3,0))</f>
        <v>8.62022550646139E-011</v>
      </c>
      <c r="N131" s="27" t="n">
        <f aca="false">(N65-INDEX(Mortality_Matrix!$B$4:$BS$64,MATCH($A131,Mortality_Matrix!$A$4:$A$64,0),MATCH(2024,Mortality_Matrix!$B$3:$BS$3,0)))/INDEX(Mortality_Matrix!$B$4:$BS$64,MATCH($A131,Mortality_Matrix!$A$4:$A$64,0),MATCH(2024,Mortality_Matrix!$B$3:$BS$3,0))</f>
        <v>1.5624832473553E-010</v>
      </c>
      <c r="O131" s="27" t="n">
        <f aca="false">(O65-INDEX(Mortality_Matrix!$B$4:$BS$64,MATCH($A131,Mortality_Matrix!$A$4:$A$64,0),MATCH(2025,Mortality_Matrix!$B$3:$BS$3,0)))/INDEX(Mortality_Matrix!$B$4:$BS$64,MATCH($A131,Mortality_Matrix!$A$4:$A$64,0),MATCH(2025,Mortality_Matrix!$B$3:$BS$3,0))</f>
        <v>-1.63213284660378E-011</v>
      </c>
      <c r="P131" s="27" t="n">
        <f aca="false">(P65-INDEX(Mortality_Matrix!$B$4:$BS$64,MATCH($A131,Mortality_Matrix!$A$4:$A$64,0),MATCH(2026,Mortality_Matrix!$B$3:$BS$3,0)))/INDEX(Mortality_Matrix!$B$4:$BS$64,MATCH($A131,Mortality_Matrix!$A$4:$A$64,0),MATCH(2026,Mortality_Matrix!$B$3:$BS$3,0))</f>
        <v>1.12697461273033E-010</v>
      </c>
      <c r="Q131" s="27" t="n">
        <f aca="false">(Q65-INDEX(Mortality_Matrix!$B$4:$BS$64,MATCH($A131,Mortality_Matrix!$A$4:$A$64,0),MATCH(2027,Mortality_Matrix!$B$3:$BS$3,0)))/INDEX(Mortality_Matrix!$B$4:$BS$64,MATCH($A131,Mortality_Matrix!$A$4:$A$64,0),MATCH(2027,Mortality_Matrix!$B$3:$BS$3,0))</f>
        <v>-9.70773922348065E-011</v>
      </c>
      <c r="R131" s="27" t="n">
        <f aca="false">(R65-INDEX(Mortality_Matrix!$B$4:$BS$64,MATCH($A131,Mortality_Matrix!$A$4:$A$64,0),MATCH(2028,Mortality_Matrix!$B$3:$BS$3,0)))/INDEX(Mortality_Matrix!$B$4:$BS$64,MATCH($A131,Mortality_Matrix!$A$4:$A$64,0),MATCH(2028,Mortality_Matrix!$B$3:$BS$3,0))</f>
        <v>1.12547793170523E-010</v>
      </c>
      <c r="S131" s="27" t="n">
        <f aca="false">(S65-INDEX(Mortality_Matrix!$B$4:$BS$64,MATCH($A131,Mortality_Matrix!$A$4:$A$64,0),MATCH(2029,Mortality_Matrix!$B$3:$BS$3,0)))/INDEX(Mortality_Matrix!$B$4:$BS$64,MATCH($A131,Mortality_Matrix!$A$4:$A$64,0),MATCH(2029,Mortality_Matrix!$B$3:$BS$3,0))</f>
        <v>1.38220731764509E-010</v>
      </c>
      <c r="T131" s="27" t="n">
        <f aca="false">(T65-INDEX(Mortality_Matrix!$B$4:$BS$64,MATCH($A131,Mortality_Matrix!$A$4:$A$64,0),MATCH(2030,Mortality_Matrix!$B$3:$BS$3,0)))/INDEX(Mortality_Matrix!$B$4:$BS$64,MATCH($A131,Mortality_Matrix!$A$4:$A$64,0),MATCH(2030,Mortality_Matrix!$B$3:$BS$3,0))</f>
        <v>-9.39517395570814E-011</v>
      </c>
      <c r="U131" s="27" t="n">
        <f aca="false">(U65-INDEX(Mortality_Matrix!$B$4:$BS$64,MATCH($A131,Mortality_Matrix!$A$4:$A$64,0),MATCH(2031,Mortality_Matrix!$B$3:$BS$3,0)))/INDEX(Mortality_Matrix!$B$4:$BS$64,MATCH($A131,Mortality_Matrix!$A$4:$A$64,0),MATCH(2031,Mortality_Matrix!$B$3:$BS$3,0))</f>
        <v>-1.18105847360814E-010</v>
      </c>
      <c r="V131" s="27" t="n">
        <f aca="false">(V65-INDEX(Mortality_Matrix!$B$4:$BS$64,MATCH($A131,Mortality_Matrix!$A$4:$A$64,0),MATCH(2032,Mortality_Matrix!$B$3:$BS$3,0)))/INDEX(Mortality_Matrix!$B$4:$BS$64,MATCH($A131,Mortality_Matrix!$A$4:$A$64,0),MATCH(2032,Mortality_Matrix!$B$3:$BS$3,0))</f>
        <v>-2.8127404254136E-011</v>
      </c>
      <c r="W131" s="27" t="n">
        <f aca="false">(W65-INDEX(Mortality_Matrix!$B$4:$BS$64,MATCH($A131,Mortality_Matrix!$A$4:$A$64,0),MATCH(2033,Mortality_Matrix!$B$3:$BS$3,0)))/INDEX(Mortality_Matrix!$B$4:$BS$64,MATCH($A131,Mortality_Matrix!$A$4:$A$64,0),MATCH(2033,Mortality_Matrix!$B$3:$BS$3,0))</f>
        <v>-1.22108567313858E-010</v>
      </c>
      <c r="X131" s="27" t="n">
        <f aca="false">(X65-INDEX(Mortality_Matrix!$B$4:$BS$64,MATCH($A131,Mortality_Matrix!$A$4:$A$64,0),MATCH(2034,Mortality_Matrix!$B$3:$BS$3,0)))/INDEX(Mortality_Matrix!$B$4:$BS$64,MATCH($A131,Mortality_Matrix!$A$4:$A$64,0),MATCH(2034,Mortality_Matrix!$B$3:$BS$3,0))</f>
        <v>-1.6275119339738E-010</v>
      </c>
      <c r="Y131" s="27" t="n">
        <f aca="false">(Y65-INDEX(Mortality_Matrix!$B$4:$BS$64,MATCH($A131,Mortality_Matrix!$A$4:$A$64,0),MATCH(2035,Mortality_Matrix!$B$3:$BS$3,0)))/INDEX(Mortality_Matrix!$B$4:$BS$64,MATCH($A131,Mortality_Matrix!$A$4:$A$64,0),MATCH(2035,Mortality_Matrix!$B$3:$BS$3,0))</f>
        <v>-1.17708467948967E-010</v>
      </c>
      <c r="Z131" s="27" t="n">
        <f aca="false">(Z65-INDEX(Mortality_Matrix!$B$4:$BS$64,MATCH($A131,Mortality_Matrix!$A$4:$A$64,0),MATCH(2036,Mortality_Matrix!$B$3:$BS$3,0)))/INDEX(Mortality_Matrix!$B$4:$BS$64,MATCH($A131,Mortality_Matrix!$A$4:$A$64,0),MATCH(2036,Mortality_Matrix!$B$3:$BS$3,0))</f>
        <v>-1.67192870377483E-010</v>
      </c>
      <c r="AA131" s="27" t="n">
        <f aca="false">(AA65-INDEX(Mortality_Matrix!$B$4:$BS$64,MATCH($A131,Mortality_Matrix!$A$4:$A$64,0),MATCH(2037,Mortality_Matrix!$B$3:$BS$3,0)))/INDEX(Mortality_Matrix!$B$4:$BS$64,MATCH($A131,Mortality_Matrix!$A$4:$A$64,0),MATCH(2037,Mortality_Matrix!$B$3:$BS$3,0))</f>
        <v>4.62518988405336E-011</v>
      </c>
      <c r="AB131" s="27" t="n">
        <f aca="false">(AB65-INDEX(Mortality_Matrix!$B$4:$BS$64,MATCH($A131,Mortality_Matrix!$A$4:$A$64,0),MATCH(2038,Mortality_Matrix!$B$3:$BS$3,0)))/INDEX(Mortality_Matrix!$B$4:$BS$64,MATCH($A131,Mortality_Matrix!$A$4:$A$64,0),MATCH(2038,Mortality_Matrix!$B$3:$BS$3,0))</f>
        <v>-9.51063880212165E-011</v>
      </c>
      <c r="AC131" s="27" t="n">
        <f aca="false">(AC65-INDEX(Mortality_Matrix!$B$4:$BS$64,MATCH($A131,Mortality_Matrix!$A$4:$A$64,0),MATCH(2039,Mortality_Matrix!$B$3:$BS$3,0)))/INDEX(Mortality_Matrix!$B$4:$BS$64,MATCH($A131,Mortality_Matrix!$A$4:$A$64,0),MATCH(2039,Mortality_Matrix!$B$3:$BS$3,0))</f>
        <v>8.55045541874316E-011</v>
      </c>
      <c r="AD131" s="27" t="n">
        <f aca="false">(AD65-INDEX(Mortality_Matrix!$B$4:$BS$64,MATCH($A131,Mortality_Matrix!$A$4:$A$64,0),MATCH(2040,Mortality_Matrix!$B$3:$BS$3,0)))/INDEX(Mortality_Matrix!$B$4:$BS$64,MATCH($A131,Mortality_Matrix!$A$4:$A$64,0),MATCH(2040,Mortality_Matrix!$B$3:$BS$3,0))</f>
        <v>-1.03359972803585E-010</v>
      </c>
      <c r="AE131" s="27" t="n">
        <f aca="false">(AE65-INDEX(Mortality_Matrix!$B$4:$BS$64,MATCH($A131,Mortality_Matrix!$A$4:$A$64,0),MATCH(2041,Mortality_Matrix!$B$3:$BS$3,0)))/INDEX(Mortality_Matrix!$B$4:$BS$64,MATCH($A131,Mortality_Matrix!$A$4:$A$64,0),MATCH(2041,Mortality_Matrix!$B$3:$BS$3,0))</f>
        <v>-5.267066117274E-011</v>
      </c>
      <c r="AF131" s="27" t="n">
        <f aca="false">(AF65-INDEX(Mortality_Matrix!$B$4:$BS$64,MATCH($A131,Mortality_Matrix!$A$4:$A$64,0),MATCH(2042,Mortality_Matrix!$B$3:$BS$3,0)))/INDEX(Mortality_Matrix!$B$4:$BS$64,MATCH($A131,Mortality_Matrix!$A$4:$A$64,0),MATCH(2042,Mortality_Matrix!$B$3:$BS$3,0))</f>
        <v>-1.53295823400497E-010</v>
      </c>
      <c r="AG131" s="27" t="n">
        <f aca="false">(AG65-INDEX(Mortality_Matrix!$B$4:$BS$64,MATCH($A131,Mortality_Matrix!$A$4:$A$64,0),MATCH(2043,Mortality_Matrix!$B$3:$BS$3,0)))/INDEX(Mortality_Matrix!$B$4:$BS$64,MATCH($A131,Mortality_Matrix!$A$4:$A$64,0),MATCH(2043,Mortality_Matrix!$B$3:$BS$3,0))</f>
        <v>1.2756625721331E-010</v>
      </c>
      <c r="AH131" s="27" t="n">
        <f aca="false">(AH65-INDEX(Mortality_Matrix!$B$4:$BS$64,MATCH($A131,Mortality_Matrix!$A$4:$A$64,0),MATCH(2044,Mortality_Matrix!$B$3:$BS$3,0)))/INDEX(Mortality_Matrix!$B$4:$BS$64,MATCH($A131,Mortality_Matrix!$A$4:$A$64,0),MATCH(2044,Mortality_Matrix!$B$3:$BS$3,0))</f>
        <v>-8.56641775771136E-011</v>
      </c>
      <c r="AI131" s="27" t="n">
        <f aca="false">(AI65-INDEX(Mortality_Matrix!$B$4:$BS$64,MATCH($A131,Mortality_Matrix!$A$4:$A$64,0),MATCH(2045,Mortality_Matrix!$B$3:$BS$3,0)))/INDEX(Mortality_Matrix!$B$4:$BS$64,MATCH($A131,Mortality_Matrix!$A$4:$A$64,0),MATCH(2045,Mortality_Matrix!$B$3:$BS$3,0))</f>
        <v>3.72195882706047E-011</v>
      </c>
      <c r="AJ131" s="27" t="n">
        <f aca="false">(AJ65-INDEX(Mortality_Matrix!$B$4:$BS$64,MATCH($A131,Mortality_Matrix!$A$4:$A$64,0),MATCH(2046,Mortality_Matrix!$B$3:$BS$3,0)))/INDEX(Mortality_Matrix!$B$4:$BS$64,MATCH($A131,Mortality_Matrix!$A$4:$A$64,0),MATCH(2046,Mortality_Matrix!$B$3:$BS$3,0))</f>
        <v>-9.51219262197881E-011</v>
      </c>
      <c r="AK131" s="27" t="n">
        <f aca="false">(AK65-INDEX(Mortality_Matrix!$B$4:$BS$64,MATCH($A131,Mortality_Matrix!$A$4:$A$64,0),MATCH(2047,Mortality_Matrix!$B$3:$BS$3,0)))/INDEX(Mortality_Matrix!$B$4:$BS$64,MATCH($A131,Mortality_Matrix!$A$4:$A$64,0),MATCH(2047,Mortality_Matrix!$B$3:$BS$3,0))</f>
        <v>-1.46659683827478E-010</v>
      </c>
      <c r="AL131" s="27" t="n">
        <f aca="false">(AL65-INDEX(Mortality_Matrix!$B$4:$BS$64,MATCH($A131,Mortality_Matrix!$A$4:$A$64,0),MATCH(2048,Mortality_Matrix!$B$3:$BS$3,0)))/INDEX(Mortality_Matrix!$B$4:$BS$64,MATCH($A131,Mortality_Matrix!$A$4:$A$64,0),MATCH(2048,Mortality_Matrix!$B$3:$BS$3,0))</f>
        <v>-3.28582028476441E-011</v>
      </c>
      <c r="AM131" s="27" t="n">
        <f aca="false">(AM65-INDEX(Mortality_Matrix!$B$4:$BS$64,MATCH($A131,Mortality_Matrix!$A$4:$A$64,0),MATCH(2049,Mortality_Matrix!$B$3:$BS$3,0)))/INDEX(Mortality_Matrix!$B$4:$BS$64,MATCH($A131,Mortality_Matrix!$A$4:$A$64,0),MATCH(2049,Mortality_Matrix!$B$3:$BS$3,0))</f>
        <v>7.05712819641393E-011</v>
      </c>
      <c r="AN131" s="27" t="n">
        <f aca="false">(AN65-INDEX(Mortality_Matrix!$B$4:$BS$64,MATCH($A131,Mortality_Matrix!$A$4:$A$64,0),MATCH(2050,Mortality_Matrix!$B$3:$BS$3,0)))/INDEX(Mortality_Matrix!$B$4:$BS$64,MATCH($A131,Mortality_Matrix!$A$4:$A$64,0),MATCH(2050,Mortality_Matrix!$B$3:$BS$3,0))</f>
        <v>1.22212690894961E-010</v>
      </c>
      <c r="AO131" s="27" t="n">
        <f aca="false">(AO65-INDEX(Mortality_Matrix!$B$4:$BS$64,MATCH($A131,Mortality_Matrix!$A$4:$A$64,0),MATCH(2051,Mortality_Matrix!$B$3:$BS$3,0)))/INDEX(Mortality_Matrix!$B$4:$BS$64,MATCH($A131,Mortality_Matrix!$A$4:$A$64,0),MATCH(2051,Mortality_Matrix!$B$3:$BS$3,0))</f>
        <v>-1.89778836342175E-010</v>
      </c>
      <c r="AP131" s="27" t="n">
        <f aca="false">(AP65-INDEX(Mortality_Matrix!$B$4:$BS$64,MATCH($A131,Mortality_Matrix!$A$4:$A$64,0),MATCH(2052,Mortality_Matrix!$B$3:$BS$3,0)))/INDEX(Mortality_Matrix!$B$4:$BS$64,MATCH($A131,Mortality_Matrix!$A$4:$A$64,0),MATCH(2052,Mortality_Matrix!$B$3:$BS$3,0))</f>
        <v>1.72599348099349E-010</v>
      </c>
      <c r="AQ131" s="27" t="n">
        <f aca="false">(AQ65-INDEX(Mortality_Matrix!$B$4:$BS$64,MATCH($A131,Mortality_Matrix!$A$4:$A$64,0),MATCH(2053,Mortality_Matrix!$B$3:$BS$3,0)))/INDEX(Mortality_Matrix!$B$4:$BS$64,MATCH($A131,Mortality_Matrix!$A$4:$A$64,0),MATCH(2053,Mortality_Matrix!$B$3:$BS$3,0))</f>
        <v>-5.66166672393746E-011</v>
      </c>
      <c r="AR131" s="27" t="n">
        <f aca="false">(AR65-INDEX(Mortality_Matrix!$B$4:$BS$64,MATCH($A131,Mortality_Matrix!$A$4:$A$64,0),MATCH(2054,Mortality_Matrix!$B$3:$BS$3,0)))/INDEX(Mortality_Matrix!$B$4:$BS$64,MATCH($A131,Mortality_Matrix!$A$4:$A$64,0),MATCH(2054,Mortality_Matrix!$B$3:$BS$3,0))</f>
        <v>1.84023238995006E-011</v>
      </c>
      <c r="AS131" s="27" t="n">
        <f aca="false">(AS65-INDEX(Mortality_Matrix!$B$4:$BS$64,MATCH($A131,Mortality_Matrix!$A$4:$A$64,0),MATCH(2055,Mortality_Matrix!$B$3:$BS$3,0)))/INDEX(Mortality_Matrix!$B$4:$BS$64,MATCH($A131,Mortality_Matrix!$A$4:$A$64,0),MATCH(2055,Mortality_Matrix!$B$3:$BS$3,0))</f>
        <v>1.98919636704196E-010</v>
      </c>
      <c r="AT131" s="27" t="n">
        <f aca="false">(AT65-INDEX(Mortality_Matrix!$B$4:$BS$64,MATCH($A131,Mortality_Matrix!$A$4:$A$64,0),MATCH(2056,Mortality_Matrix!$B$3:$BS$3,0)))/INDEX(Mortality_Matrix!$B$4:$BS$64,MATCH($A131,Mortality_Matrix!$A$4:$A$64,0),MATCH(2056,Mortality_Matrix!$B$3:$BS$3,0))</f>
        <v>-7.05214261217878E-012</v>
      </c>
      <c r="AU131" s="27" t="n">
        <f aca="false">(AU65-INDEX(Mortality_Matrix!$B$4:$BS$64,MATCH($A131,Mortality_Matrix!$A$4:$A$64,0),MATCH(2057,Mortality_Matrix!$B$3:$BS$3,0)))/INDEX(Mortality_Matrix!$B$4:$BS$64,MATCH($A131,Mortality_Matrix!$A$4:$A$64,0),MATCH(2057,Mortality_Matrix!$B$3:$BS$3,0))</f>
        <v>-1.42580966783487E-010</v>
      </c>
      <c r="AV131" s="27" t="n">
        <f aca="false">(AV65-INDEX(Mortality_Matrix!$B$4:$BS$64,MATCH($A131,Mortality_Matrix!$A$4:$A$64,0),MATCH(2058,Mortality_Matrix!$B$3:$BS$3,0)))/INDEX(Mortality_Matrix!$B$4:$BS$64,MATCH($A131,Mortality_Matrix!$A$4:$A$64,0),MATCH(2058,Mortality_Matrix!$B$3:$BS$3,0))</f>
        <v>-3.92701215634002E-011</v>
      </c>
      <c r="AW131" s="27" t="n">
        <f aca="false">(AW65-INDEX(Mortality_Matrix!$B$4:$BS$64,MATCH($A131,Mortality_Matrix!$A$4:$A$64,0),MATCH(2059,Mortality_Matrix!$B$3:$BS$3,0)))/INDEX(Mortality_Matrix!$B$4:$BS$64,MATCH($A131,Mortality_Matrix!$A$4:$A$64,0),MATCH(2059,Mortality_Matrix!$B$3:$BS$3,0))</f>
        <v>1.73066688726145E-010</v>
      </c>
      <c r="AX131" s="27" t="n">
        <f aca="false">(AX65-INDEX(Mortality_Matrix!$B$4:$BS$64,MATCH($A131,Mortality_Matrix!$A$4:$A$64,0),MATCH(2060,Mortality_Matrix!$B$3:$BS$3,0)))/INDEX(Mortality_Matrix!$B$4:$BS$64,MATCH($A131,Mortality_Matrix!$A$4:$A$64,0),MATCH(2060,Mortality_Matrix!$B$3:$BS$3,0))</f>
        <v>5.65649038777057E-011</v>
      </c>
      <c r="AY131" s="27" t="n">
        <f aca="false">(AY65-INDEX(Mortality_Matrix!$B$4:$BS$64,MATCH($A131,Mortality_Matrix!$A$4:$A$64,0),MATCH(2061,Mortality_Matrix!$B$3:$BS$3,0)))/INDEX(Mortality_Matrix!$B$4:$BS$64,MATCH($A131,Mortality_Matrix!$A$4:$A$64,0),MATCH(2061,Mortality_Matrix!$B$3:$BS$3,0))</f>
        <v>1.31431136445622E-010</v>
      </c>
      <c r="AZ131" s="27" t="n">
        <f aca="false">(AZ65-INDEX(Mortality_Matrix!$B$4:$BS$64,MATCH($A131,Mortality_Matrix!$A$4:$A$64,0),MATCH(2062,Mortality_Matrix!$B$3:$BS$3,0)))/INDEX(Mortality_Matrix!$B$4:$BS$64,MATCH($A131,Mortality_Matrix!$A$4:$A$64,0),MATCH(2062,Mortality_Matrix!$B$3:$BS$3,0))</f>
        <v>1.86825914929425E-010</v>
      </c>
      <c r="BA131" s="27" t="n">
        <f aca="false">(BA65-INDEX(Mortality_Matrix!$B$4:$BS$64,MATCH($A131,Mortality_Matrix!$A$4:$A$64,0),MATCH(2063,Mortality_Matrix!$B$3:$BS$3,0)))/INDEX(Mortality_Matrix!$B$4:$BS$64,MATCH($A131,Mortality_Matrix!$A$4:$A$64,0),MATCH(2063,Mortality_Matrix!$B$3:$BS$3,0))</f>
        <v>1.19481907517359E-010</v>
      </c>
      <c r="BB131" s="27" t="n">
        <f aca="false">(BB65-INDEX(Mortality_Matrix!$B$4:$BS$64,MATCH($A131,Mortality_Matrix!$A$4:$A$64,0),MATCH(2064,Mortality_Matrix!$B$3:$BS$3,0)))/INDEX(Mortality_Matrix!$B$4:$BS$64,MATCH($A131,Mortality_Matrix!$A$4:$A$64,0),MATCH(2064,Mortality_Matrix!$B$3:$BS$3,0))</f>
        <v>-6.62623324039567E-011</v>
      </c>
      <c r="BC131" s="27" t="n">
        <f aca="false">(BC65-INDEX(Mortality_Matrix!$B$4:$BS$64,MATCH($A131,Mortality_Matrix!$A$4:$A$64,0),MATCH(2065,Mortality_Matrix!$B$3:$BS$3,0)))/INDEX(Mortality_Matrix!$B$4:$BS$64,MATCH($A131,Mortality_Matrix!$A$4:$A$64,0),MATCH(2065,Mortality_Matrix!$B$3:$BS$3,0))</f>
        <v>1.75190254865845E-010</v>
      </c>
      <c r="BD131" s="27" t="n">
        <f aca="false">(BD65-INDEX(Mortality_Matrix!$B$4:$BS$64,MATCH($A131,Mortality_Matrix!$A$4:$A$64,0),MATCH(2066,Mortality_Matrix!$B$3:$BS$3,0)))/INDEX(Mortality_Matrix!$B$4:$BS$64,MATCH($A131,Mortality_Matrix!$A$4:$A$64,0),MATCH(2066,Mortality_Matrix!$B$3:$BS$3,0))</f>
        <v>1.98197121953804E-010</v>
      </c>
      <c r="BE131" s="27" t="n">
        <f aca="false">(BE65-INDEX(Mortality_Matrix!$B$4:$BS$64,MATCH($A131,Mortality_Matrix!$A$4:$A$64,0),MATCH(2067,Mortality_Matrix!$B$3:$BS$3,0)))/INDEX(Mortality_Matrix!$B$4:$BS$64,MATCH($A131,Mortality_Matrix!$A$4:$A$64,0),MATCH(2067,Mortality_Matrix!$B$3:$BS$3,0))</f>
        <v>-1.14242896113603E-010</v>
      </c>
      <c r="BF131" s="27" t="n">
        <f aca="false">(BF65-INDEX(Mortality_Matrix!$B$4:$BS$64,MATCH($A131,Mortality_Matrix!$A$4:$A$64,0),MATCH(2068,Mortality_Matrix!$B$3:$BS$3,0)))/INDEX(Mortality_Matrix!$B$4:$BS$64,MATCH($A131,Mortality_Matrix!$A$4:$A$64,0),MATCH(2068,Mortality_Matrix!$B$3:$BS$3,0))</f>
        <v>9.9747862304304E-011</v>
      </c>
      <c r="BG131" s="27" t="n">
        <f aca="false">(BG65-INDEX(Mortality_Matrix!$B$4:$BS$64,MATCH($A131,Mortality_Matrix!$A$4:$A$64,0),MATCH(2069,Mortality_Matrix!$B$3:$BS$3,0)))/INDEX(Mortality_Matrix!$B$4:$BS$64,MATCH($A131,Mortality_Matrix!$A$4:$A$64,0),MATCH(2069,Mortality_Matrix!$B$3:$BS$3,0))</f>
        <v>4.95285924958335E-011</v>
      </c>
      <c r="BH131" s="27" t="n">
        <f aca="false">(BH65-INDEX(Mortality_Matrix!$B$4:$BS$64,MATCH($A131,Mortality_Matrix!$A$4:$A$64,0),MATCH(2070,Mortality_Matrix!$B$3:$BS$3,0)))/INDEX(Mortality_Matrix!$B$4:$BS$64,MATCH($A131,Mortality_Matrix!$A$4:$A$64,0),MATCH(2070,Mortality_Matrix!$B$3:$BS$3,0))</f>
        <v>-8.55088882207658E-011</v>
      </c>
      <c r="BI131" s="27" t="n">
        <f aca="false">(BI65-INDEX(Mortality_Matrix!$B$4:$BS$64,MATCH($A131,Mortality_Matrix!$A$4:$A$64,0),MATCH(2071,Mortality_Matrix!$B$3:$BS$3,0)))/INDEX(Mortality_Matrix!$B$4:$BS$64,MATCH($A131,Mortality_Matrix!$A$4:$A$64,0),MATCH(2071,Mortality_Matrix!$B$3:$BS$3,0))</f>
        <v>-2.76625256958659E-011</v>
      </c>
      <c r="BJ131" s="27" t="n">
        <f aca="false">(BJ65-INDEX(Mortality_Matrix!$B$4:$BS$64,MATCH($A131,Mortality_Matrix!$A$4:$A$64,0),MATCH(2072,Mortality_Matrix!$B$3:$BS$3,0)))/INDEX(Mortality_Matrix!$B$4:$BS$64,MATCH($A131,Mortality_Matrix!$A$4:$A$64,0),MATCH(2072,Mortality_Matrix!$B$3:$BS$3,0))</f>
        <v>1.50301216266396E-010</v>
      </c>
      <c r="BK131" s="27" t="n">
        <f aca="false">(BK65-INDEX(Mortality_Matrix!$B$4:$BS$64,MATCH($A131,Mortality_Matrix!$A$4:$A$64,0),MATCH(2073,Mortality_Matrix!$B$3:$BS$3,0)))/INDEX(Mortality_Matrix!$B$4:$BS$64,MATCH($A131,Mortality_Matrix!$A$4:$A$64,0),MATCH(2073,Mortality_Matrix!$B$3:$BS$3,0))</f>
        <v>1.40214803251953E-011</v>
      </c>
      <c r="BL131" s="27" t="n">
        <f aca="false">(BL65-INDEX(Mortality_Matrix!$B$4:$BS$64,MATCH($A131,Mortality_Matrix!$A$4:$A$64,0),MATCH(2074,Mortality_Matrix!$B$3:$BS$3,0)))/INDEX(Mortality_Matrix!$B$4:$BS$64,MATCH($A131,Mortality_Matrix!$A$4:$A$64,0),MATCH(2074,Mortality_Matrix!$B$3:$BS$3,0))</f>
        <v>1.14731770688731E-010</v>
      </c>
      <c r="BM131" s="27" t="n">
        <f aca="false">(BM65-INDEX(Mortality_Matrix!$B$4:$BS$64,MATCH($A131,Mortality_Matrix!$A$4:$A$64,0),MATCH(2075,Mortality_Matrix!$B$3:$BS$3,0)))/INDEX(Mortality_Matrix!$B$4:$BS$64,MATCH($A131,Mortality_Matrix!$A$4:$A$64,0),MATCH(2075,Mortality_Matrix!$B$3:$BS$3,0))</f>
        <v>1.90446879029369E-010</v>
      </c>
      <c r="BN131" s="27" t="n">
        <f aca="false">(BN65-INDEX(Mortality_Matrix!$B$4:$BS$64,MATCH($A131,Mortality_Matrix!$A$4:$A$64,0),MATCH(2076,Mortality_Matrix!$B$3:$BS$3,0)))/INDEX(Mortality_Matrix!$B$4:$BS$64,MATCH($A131,Mortality_Matrix!$A$4:$A$64,0),MATCH(2076,Mortality_Matrix!$B$3:$BS$3,0))</f>
        <v>5.80379094826305E-011</v>
      </c>
      <c r="BO131" s="27" t="n">
        <f aca="false">(BO65-INDEX(Mortality_Matrix!$B$4:$BS$64,MATCH($A131,Mortality_Matrix!$A$4:$A$64,0),MATCH(2077,Mortality_Matrix!$B$3:$BS$3,0)))/INDEX(Mortality_Matrix!$B$4:$BS$64,MATCH($A131,Mortality_Matrix!$A$4:$A$64,0),MATCH(2077,Mortality_Matrix!$B$3:$BS$3,0))</f>
        <v>7.20041847019828E-011</v>
      </c>
      <c r="BP131" s="27" t="n">
        <f aca="false">(BP65-INDEX(Mortality_Matrix!$B$4:$BS$64,MATCH($A131,Mortality_Matrix!$A$4:$A$64,0),MATCH(2078,Mortality_Matrix!$B$3:$BS$3,0)))/INDEX(Mortality_Matrix!$B$4:$BS$64,MATCH($A131,Mortality_Matrix!$A$4:$A$64,0),MATCH(2078,Mortality_Matrix!$B$3:$BS$3,0))</f>
        <v>2.11602262542891E-010</v>
      </c>
      <c r="BQ131" s="27" t="n">
        <f aca="false">(BQ65-INDEX(Mortality_Matrix!$B$4:$BS$64,MATCH($A131,Mortality_Matrix!$A$4:$A$64,0),MATCH(2079,Mortality_Matrix!$B$3:$BS$3,0)))/INDEX(Mortality_Matrix!$B$4:$BS$64,MATCH($A131,Mortality_Matrix!$A$4:$A$64,0),MATCH(2079,Mortality_Matrix!$B$3:$BS$3,0))</f>
        <v>6.91043967976936E-011</v>
      </c>
      <c r="BR131" s="27" t="n">
        <f aca="false">(BR65-INDEX(Mortality_Matrix!$B$4:$BS$64,MATCH($A131,Mortality_Matrix!$A$4:$A$64,0),MATCH(2080,Mortality_Matrix!$B$3:$BS$3,0)))/INDEX(Mortality_Matrix!$B$4:$BS$64,MATCH($A131,Mortality_Matrix!$A$4:$A$64,0),MATCH(2080,Mortality_Matrix!$B$3:$BS$3,0))</f>
        <v>-2.29944091600859E-010</v>
      </c>
      <c r="BS131" s="27" t="n">
        <f aca="false">(BS65-INDEX(Mortality_Matrix!$B$4:$BS$64,MATCH($A131,Mortality_Matrix!$A$4:$A$64,0),MATCH(2081,Mortality_Matrix!$B$3:$BS$3,0)))/INDEX(Mortality_Matrix!$B$4:$BS$64,MATCH($A131,Mortality_Matrix!$A$4:$A$64,0),MATCH(2081,Mortality_Matrix!$B$3:$BS$3,0))</f>
        <v>-1.6378353826469E-011</v>
      </c>
      <c r="BT131" s="27" t="n">
        <f aca="false">(BT65-INDEX(Mortality_Matrix!$B$4:$BS$64,MATCH($A131,Mortality_Matrix!$A$4:$A$64,0),MATCH(2082,Mortality_Matrix!$B$3:$BS$3,0)))/INDEX(Mortality_Matrix!$B$4:$BS$64,MATCH($A131,Mortality_Matrix!$A$4:$A$64,0),MATCH(2082,Mortality_Matrix!$B$3:$BS$3,0))</f>
        <v>5.06357867643212E-011</v>
      </c>
      <c r="BU131" s="27" t="n">
        <f aca="false">(BU65-INDEX(Mortality_Matrix!$B$4:$BS$64,MATCH($A131,Mortality_Matrix!$A$4:$A$64,0),MATCH(2083,Mortality_Matrix!$B$3:$BS$3,0)))/INDEX(Mortality_Matrix!$B$4:$BS$64,MATCH($A131,Mortality_Matrix!$A$4:$A$64,0),MATCH(2083,Mortality_Matrix!$B$3:$BS$3,0))</f>
        <v>-1.59698869390103E-010</v>
      </c>
      <c r="BV131" s="27" t="n">
        <f aca="false">(BV65-INDEX(Mortality_Matrix!$B$4:$BS$64,MATCH($A131,Mortality_Matrix!$A$4:$A$64,0),MATCH(2084,Mortality_Matrix!$B$3:$BS$3,0)))/INDEX(Mortality_Matrix!$B$4:$BS$64,MATCH($A131,Mortality_Matrix!$A$4:$A$64,0),MATCH(2084,Mortality_Matrix!$B$3:$BS$3,0))</f>
        <v>2.35630441436237E-010</v>
      </c>
      <c r="BW131" s="27" t="n">
        <f aca="false">(BW65-INDEX(Mortality_Matrix!$B$4:$BS$64,MATCH($A131,Mortality_Matrix!$A$4:$A$64,0),MATCH(2085,Mortality_Matrix!$B$3:$BS$3,0)))/INDEX(Mortality_Matrix!$B$4:$BS$64,MATCH($A131,Mortality_Matrix!$A$4:$A$64,0),MATCH(2085,Mortality_Matrix!$B$3:$BS$3,0))</f>
        <v>-1.86814856505838E-010</v>
      </c>
      <c r="BX131" s="27" t="n">
        <f aca="false">(BX65-INDEX(Mortality_Matrix!$B$4:$BS$64,MATCH($A131,Mortality_Matrix!$A$4:$A$64,0),MATCH(2086,Mortality_Matrix!$B$3:$BS$3,0)))/INDEX(Mortality_Matrix!$B$4:$BS$64,MATCH($A131,Mortality_Matrix!$A$4:$A$64,0),MATCH(2086,Mortality_Matrix!$B$3:$BS$3,0))</f>
        <v>6.18874024092472E-011</v>
      </c>
      <c r="BY131" s="27" t="n">
        <f aca="false">(BY65-INDEX(Mortality_Matrix!$B$4:$BS$64,MATCH($A131,Mortality_Matrix!$A$4:$A$64,0),MATCH(2087,Mortality_Matrix!$B$3:$BS$3,0)))/INDEX(Mortality_Matrix!$B$4:$BS$64,MATCH($A131,Mortality_Matrix!$A$4:$A$64,0),MATCH(2087,Mortality_Matrix!$B$3:$BS$3,0))</f>
        <v>1.48273210311941E-010</v>
      </c>
      <c r="BZ131" s="27" t="n">
        <f aca="false">(BZ65-INDEX(Mortality_Matrix!$B$4:$BS$64,MATCH($A131,Mortality_Matrix!$A$4:$A$64,0),MATCH(2088,Mortality_Matrix!$B$3:$BS$3,0)))/INDEX(Mortality_Matrix!$B$4:$BS$64,MATCH($A131,Mortality_Matrix!$A$4:$A$64,0),MATCH(2088,Mortality_Matrix!$B$3:$BS$3,0))</f>
        <v>-2.36137830968266E-010</v>
      </c>
      <c r="CA131" s="27" t="n">
        <f aca="false">(CA65-INDEX(Mortality_Matrix!$B$4:$BS$64,MATCH($A131,Mortality_Matrix!$A$4:$A$64,0),MATCH(2089,Mortality_Matrix!$B$3:$BS$3,0)))/INDEX(Mortality_Matrix!$B$4:$BS$64,MATCH($A131,Mortality_Matrix!$A$4:$A$64,0),MATCH(2089,Mortality_Matrix!$B$3:$BS$3,0))</f>
        <v>1.08852959852162E-010</v>
      </c>
      <c r="CB131" s="27" t="n">
        <f aca="false">(CB65-INDEX(Mortality_Matrix!$B$4:$BS$64,MATCH($A131,Mortality_Matrix!$A$4:$A$64,0),MATCH(2090,Mortality_Matrix!$B$3:$BS$3,0)))/INDEX(Mortality_Matrix!$B$4:$BS$64,MATCH($A131,Mortality_Matrix!$A$4:$A$64,0),MATCH(2090,Mortality_Matrix!$B$3:$BS$3,0))</f>
        <v>1.33859437298457E-011</v>
      </c>
      <c r="CC131" s="27" t="n">
        <f aca="false">(CC65-INDEX(Mortality_Matrix!$B$4:$BS$64,MATCH($A131,Mortality_Matrix!$A$4:$A$64,0),MATCH(2091,Mortality_Matrix!$B$3:$BS$3,0)))/INDEX(Mortality_Matrix!$B$4:$BS$64,MATCH($A131,Mortality_Matrix!$A$4:$A$64,0),MATCH(2091,Mortality_Matrix!$B$3:$BS$3,0))</f>
        <v>-1.91049537611311E-010</v>
      </c>
    </row>
    <row r="132" customFormat="false" ht="15" hidden="false" customHeight="true" outlineLevel="0" collapsed="false">
      <c r="A132" s="3" t="n">
        <v>103</v>
      </c>
      <c r="L132" s="27" t="n">
        <f aca="false">(L66-INDEX(Mortality_Matrix!$B$4:$BS$64,MATCH($A132,Mortality_Matrix!$A$4:$A$64,0),MATCH(2022,Mortality_Matrix!$B$3:$BS$3,0)))/INDEX(Mortality_Matrix!$B$4:$BS$64,MATCH($A132,Mortality_Matrix!$A$4:$A$64,0),MATCH(2022,Mortality_Matrix!$B$3:$BS$3,0))</f>
        <v>9.52339007980411E-011</v>
      </c>
      <c r="M132" s="27" t="n">
        <f aca="false">(M66-INDEX(Mortality_Matrix!$B$4:$BS$64,MATCH($A132,Mortality_Matrix!$A$4:$A$64,0),MATCH(2023,Mortality_Matrix!$B$3:$BS$3,0)))/INDEX(Mortality_Matrix!$B$4:$BS$64,MATCH($A132,Mortality_Matrix!$A$4:$A$64,0),MATCH(2023,Mortality_Matrix!$B$3:$BS$3,0))</f>
        <v>-1.35615790247686E-010</v>
      </c>
      <c r="N132" s="27" t="n">
        <f aca="false">(N66-INDEX(Mortality_Matrix!$B$4:$BS$64,MATCH($A132,Mortality_Matrix!$A$4:$A$64,0),MATCH(2024,Mortality_Matrix!$B$3:$BS$3,0)))/INDEX(Mortality_Matrix!$B$4:$BS$64,MATCH($A132,Mortality_Matrix!$A$4:$A$64,0),MATCH(2024,Mortality_Matrix!$B$3:$BS$3,0))</f>
        <v>6.8709745399276E-011</v>
      </c>
      <c r="O132" s="27" t="n">
        <f aca="false">(O66-INDEX(Mortality_Matrix!$B$4:$BS$64,MATCH($A132,Mortality_Matrix!$A$4:$A$64,0),MATCH(2025,Mortality_Matrix!$B$3:$BS$3,0)))/INDEX(Mortality_Matrix!$B$4:$BS$64,MATCH($A132,Mortality_Matrix!$A$4:$A$64,0),MATCH(2025,Mortality_Matrix!$B$3:$BS$3,0))</f>
        <v>1.25376224394964E-010</v>
      </c>
      <c r="P132" s="27" t="n">
        <f aca="false">(P66-INDEX(Mortality_Matrix!$B$4:$BS$64,MATCH($A132,Mortality_Matrix!$A$4:$A$64,0),MATCH(2026,Mortality_Matrix!$B$3:$BS$3,0)))/INDEX(Mortality_Matrix!$B$4:$BS$64,MATCH($A132,Mortality_Matrix!$A$4:$A$64,0),MATCH(2026,Mortality_Matrix!$B$3:$BS$3,0))</f>
        <v>-6.31979426953366E-011</v>
      </c>
      <c r="Q132" s="27" t="n">
        <f aca="false">(Q66-INDEX(Mortality_Matrix!$B$4:$BS$64,MATCH($A132,Mortality_Matrix!$A$4:$A$64,0),MATCH(2027,Mortality_Matrix!$B$3:$BS$3,0)))/INDEX(Mortality_Matrix!$B$4:$BS$64,MATCH($A132,Mortality_Matrix!$A$4:$A$64,0),MATCH(2027,Mortality_Matrix!$B$3:$BS$3,0))</f>
        <v>-1.38608722911562E-010</v>
      </c>
      <c r="R132" s="27" t="n">
        <f aca="false">(R66-INDEX(Mortality_Matrix!$B$4:$BS$64,MATCH($A132,Mortality_Matrix!$A$4:$A$64,0),MATCH(2028,Mortality_Matrix!$B$3:$BS$3,0)))/INDEX(Mortality_Matrix!$B$4:$BS$64,MATCH($A132,Mortality_Matrix!$A$4:$A$64,0),MATCH(2028,Mortality_Matrix!$B$3:$BS$3,0))</f>
        <v>-1.18113188468094E-010</v>
      </c>
      <c r="S132" s="27" t="n">
        <f aca="false">(S66-INDEX(Mortality_Matrix!$B$4:$BS$64,MATCH($A132,Mortality_Matrix!$A$4:$A$64,0),MATCH(2029,Mortality_Matrix!$B$3:$BS$3,0)))/INDEX(Mortality_Matrix!$B$4:$BS$64,MATCH($A132,Mortality_Matrix!$A$4:$A$64,0),MATCH(2029,Mortality_Matrix!$B$3:$BS$3,0))</f>
        <v>-2.80410554286E-011</v>
      </c>
      <c r="T132" s="27" t="n">
        <f aca="false">(T66-INDEX(Mortality_Matrix!$B$4:$BS$64,MATCH($A132,Mortality_Matrix!$A$4:$A$64,0),MATCH(2030,Mortality_Matrix!$B$3:$BS$3,0)))/INDEX(Mortality_Matrix!$B$4:$BS$64,MATCH($A132,Mortality_Matrix!$A$4:$A$64,0),MATCH(2030,Mortality_Matrix!$B$3:$BS$3,0))</f>
        <v>7.09583709797415E-011</v>
      </c>
      <c r="U132" s="27" t="n">
        <f aca="false">(U66-INDEX(Mortality_Matrix!$B$4:$BS$64,MATCH($A132,Mortality_Matrix!$A$4:$A$64,0),MATCH(2031,Mortality_Matrix!$B$3:$BS$3,0)))/INDEX(Mortality_Matrix!$B$4:$BS$64,MATCH($A132,Mortality_Matrix!$A$4:$A$64,0),MATCH(2031,Mortality_Matrix!$B$3:$BS$3,0))</f>
        <v>8.18639883382222E-011</v>
      </c>
      <c r="V132" s="27" t="n">
        <f aca="false">(V66-INDEX(Mortality_Matrix!$B$4:$BS$64,MATCH($A132,Mortality_Matrix!$A$4:$A$64,0),MATCH(2032,Mortality_Matrix!$B$3:$BS$3,0)))/INDEX(Mortality_Matrix!$B$4:$BS$64,MATCH($A132,Mortality_Matrix!$A$4:$A$64,0),MATCH(2032,Mortality_Matrix!$B$3:$BS$3,0))</f>
        <v>-1.30809577442183E-010</v>
      </c>
      <c r="W132" s="27" t="n">
        <f aca="false">(W66-INDEX(Mortality_Matrix!$B$4:$BS$64,MATCH($A132,Mortality_Matrix!$A$4:$A$64,0),MATCH(2033,Mortality_Matrix!$B$3:$BS$3,0)))/INDEX(Mortality_Matrix!$B$4:$BS$64,MATCH($A132,Mortality_Matrix!$A$4:$A$64,0),MATCH(2033,Mortality_Matrix!$B$3:$BS$3,0))</f>
        <v>-3.36030079627819E-011</v>
      </c>
      <c r="X132" s="27" t="n">
        <f aca="false">(X66-INDEX(Mortality_Matrix!$B$4:$BS$64,MATCH($A132,Mortality_Matrix!$A$4:$A$64,0),MATCH(2034,Mortality_Matrix!$B$3:$BS$3,0)))/INDEX(Mortality_Matrix!$B$4:$BS$64,MATCH($A132,Mortality_Matrix!$A$4:$A$64,0),MATCH(2034,Mortality_Matrix!$B$3:$BS$3,0))</f>
        <v>1.63625055764792E-010</v>
      </c>
      <c r="Y132" s="27" t="n">
        <f aca="false">(Y66-INDEX(Mortality_Matrix!$B$4:$BS$64,MATCH($A132,Mortality_Matrix!$A$4:$A$64,0),MATCH(2035,Mortality_Matrix!$B$3:$BS$3,0)))/INDEX(Mortality_Matrix!$B$4:$BS$64,MATCH($A132,Mortality_Matrix!$A$4:$A$64,0),MATCH(2035,Mortality_Matrix!$B$3:$BS$3,0))</f>
        <v>-1.51639679911392E-010</v>
      </c>
      <c r="Z132" s="27" t="n">
        <f aca="false">(Z66-INDEX(Mortality_Matrix!$B$4:$BS$64,MATCH($A132,Mortality_Matrix!$A$4:$A$64,0),MATCH(2036,Mortality_Matrix!$B$3:$BS$3,0)))/INDEX(Mortality_Matrix!$B$4:$BS$64,MATCH($A132,Mortality_Matrix!$A$4:$A$64,0),MATCH(2036,Mortality_Matrix!$B$3:$BS$3,0))</f>
        <v>1.51302203732599E-010</v>
      </c>
      <c r="AA132" s="27" t="n">
        <f aca="false">(AA66-INDEX(Mortality_Matrix!$B$4:$BS$64,MATCH($A132,Mortality_Matrix!$A$4:$A$64,0),MATCH(2037,Mortality_Matrix!$B$3:$BS$3,0)))/INDEX(Mortality_Matrix!$B$4:$BS$64,MATCH($A132,Mortality_Matrix!$A$4:$A$64,0),MATCH(2037,Mortality_Matrix!$B$3:$BS$3,0))</f>
        <v>1.31910185219232E-011</v>
      </c>
      <c r="AB132" s="27" t="n">
        <f aca="false">(AB66-INDEX(Mortality_Matrix!$B$4:$BS$64,MATCH($A132,Mortality_Matrix!$A$4:$A$64,0),MATCH(2038,Mortality_Matrix!$B$3:$BS$3,0)))/INDEX(Mortality_Matrix!$B$4:$BS$64,MATCH($A132,Mortality_Matrix!$A$4:$A$64,0),MATCH(2038,Mortality_Matrix!$B$3:$BS$3,0))</f>
        <v>1.22537235630866E-010</v>
      </c>
      <c r="AC132" s="27" t="n">
        <f aca="false">(AC66-INDEX(Mortality_Matrix!$B$4:$BS$64,MATCH($A132,Mortality_Matrix!$A$4:$A$64,0),MATCH(2039,Mortality_Matrix!$B$3:$BS$3,0)))/INDEX(Mortality_Matrix!$B$4:$BS$64,MATCH($A132,Mortality_Matrix!$A$4:$A$64,0),MATCH(2039,Mortality_Matrix!$B$3:$BS$3,0))</f>
        <v>4.06001394683594E-011</v>
      </c>
      <c r="AD132" s="27" t="n">
        <f aca="false">(AD66-INDEX(Mortality_Matrix!$B$4:$BS$64,MATCH($A132,Mortality_Matrix!$A$4:$A$64,0),MATCH(2040,Mortality_Matrix!$B$3:$BS$3,0)))/INDEX(Mortality_Matrix!$B$4:$BS$64,MATCH($A132,Mortality_Matrix!$A$4:$A$64,0),MATCH(2040,Mortality_Matrix!$B$3:$BS$3,0))</f>
        <v>3.03952824914308E-012</v>
      </c>
      <c r="AE132" s="27" t="n">
        <f aca="false">(AE66-INDEX(Mortality_Matrix!$B$4:$BS$64,MATCH($A132,Mortality_Matrix!$A$4:$A$64,0),MATCH(2041,Mortality_Matrix!$B$3:$BS$3,0)))/INDEX(Mortality_Matrix!$B$4:$BS$64,MATCH($A132,Mortality_Matrix!$A$4:$A$64,0),MATCH(2041,Mortality_Matrix!$B$3:$BS$3,0))</f>
        <v>-1.67870591528902E-010</v>
      </c>
      <c r="AF132" s="27" t="n">
        <f aca="false">(AF66-INDEX(Mortality_Matrix!$B$4:$BS$64,MATCH($A132,Mortality_Matrix!$A$4:$A$64,0),MATCH(2042,Mortality_Matrix!$B$3:$BS$3,0)))/INDEX(Mortality_Matrix!$B$4:$BS$64,MATCH($A132,Mortality_Matrix!$A$4:$A$64,0),MATCH(2042,Mortality_Matrix!$B$3:$BS$3,0))</f>
        <v>3.20584263344461E-011</v>
      </c>
      <c r="AG132" s="27" t="n">
        <f aca="false">(AG66-INDEX(Mortality_Matrix!$B$4:$BS$64,MATCH($A132,Mortality_Matrix!$A$4:$A$64,0),MATCH(2043,Mortality_Matrix!$B$3:$BS$3,0)))/INDEX(Mortality_Matrix!$B$4:$BS$64,MATCH($A132,Mortality_Matrix!$A$4:$A$64,0),MATCH(2043,Mortality_Matrix!$B$3:$BS$3,0))</f>
        <v>-4.80874198206685E-011</v>
      </c>
      <c r="AH132" s="27" t="n">
        <f aca="false">(AH66-INDEX(Mortality_Matrix!$B$4:$BS$64,MATCH($A132,Mortality_Matrix!$A$4:$A$64,0),MATCH(2044,Mortality_Matrix!$B$3:$BS$3,0)))/INDEX(Mortality_Matrix!$B$4:$BS$64,MATCH($A132,Mortality_Matrix!$A$4:$A$64,0),MATCH(2044,Mortality_Matrix!$B$3:$BS$3,0))</f>
        <v>-1.06322930303234E-011</v>
      </c>
      <c r="AI132" s="27" t="n">
        <f aca="false">(AI66-INDEX(Mortality_Matrix!$B$4:$BS$64,MATCH($A132,Mortality_Matrix!$A$4:$A$64,0),MATCH(2045,Mortality_Matrix!$B$3:$BS$3,0)))/INDEX(Mortality_Matrix!$B$4:$BS$64,MATCH($A132,Mortality_Matrix!$A$4:$A$64,0),MATCH(2045,Mortality_Matrix!$B$3:$BS$3,0))</f>
        <v>1.1899893524937E-010</v>
      </c>
      <c r="AJ132" s="27" t="n">
        <f aca="false">(AJ66-INDEX(Mortality_Matrix!$B$4:$BS$64,MATCH($A132,Mortality_Matrix!$A$4:$A$64,0),MATCH(2046,Mortality_Matrix!$B$3:$BS$3,0)))/INDEX(Mortality_Matrix!$B$4:$BS$64,MATCH($A132,Mortality_Matrix!$A$4:$A$64,0),MATCH(2046,Mortality_Matrix!$B$3:$BS$3,0))</f>
        <v>-1.18049125220796E-010</v>
      </c>
      <c r="AK132" s="27" t="n">
        <f aca="false">(AK66-INDEX(Mortality_Matrix!$B$4:$BS$64,MATCH($A132,Mortality_Matrix!$A$4:$A$64,0),MATCH(2047,Mortality_Matrix!$B$3:$BS$3,0)))/INDEX(Mortality_Matrix!$B$4:$BS$64,MATCH($A132,Mortality_Matrix!$A$4:$A$64,0),MATCH(2047,Mortality_Matrix!$B$3:$BS$3,0))</f>
        <v>-1.19328685410416E-010</v>
      </c>
      <c r="AL132" s="27" t="n">
        <f aca="false">(AL66-INDEX(Mortality_Matrix!$B$4:$BS$64,MATCH($A132,Mortality_Matrix!$A$4:$A$64,0),MATCH(2048,Mortality_Matrix!$B$3:$BS$3,0)))/INDEX(Mortality_Matrix!$B$4:$BS$64,MATCH($A132,Mortality_Matrix!$A$4:$A$64,0),MATCH(2048,Mortality_Matrix!$B$3:$BS$3,0))</f>
        <v>-8.93997996002487E-011</v>
      </c>
      <c r="AM132" s="27" t="n">
        <f aca="false">(AM66-INDEX(Mortality_Matrix!$B$4:$BS$64,MATCH($A132,Mortality_Matrix!$A$4:$A$64,0),MATCH(2049,Mortality_Matrix!$B$3:$BS$3,0)))/INDEX(Mortality_Matrix!$B$4:$BS$64,MATCH($A132,Mortality_Matrix!$A$4:$A$64,0),MATCH(2049,Mortality_Matrix!$B$3:$BS$3,0))</f>
        <v>8.01526766143103E-011</v>
      </c>
      <c r="AN132" s="27" t="n">
        <f aca="false">(AN66-INDEX(Mortality_Matrix!$B$4:$BS$64,MATCH($A132,Mortality_Matrix!$A$4:$A$64,0),MATCH(2050,Mortality_Matrix!$B$3:$BS$3,0)))/INDEX(Mortality_Matrix!$B$4:$BS$64,MATCH($A132,Mortality_Matrix!$A$4:$A$64,0),MATCH(2050,Mortality_Matrix!$B$3:$BS$3,0))</f>
        <v>5.38580732317406E-011</v>
      </c>
      <c r="AO132" s="27" t="n">
        <f aca="false">(AO66-INDEX(Mortality_Matrix!$B$4:$BS$64,MATCH($A132,Mortality_Matrix!$A$4:$A$64,0),MATCH(2051,Mortality_Matrix!$B$3:$BS$3,0)))/INDEX(Mortality_Matrix!$B$4:$BS$64,MATCH($A132,Mortality_Matrix!$A$4:$A$64,0),MATCH(2051,Mortality_Matrix!$B$3:$BS$3,0))</f>
        <v>1.89712983351824E-010</v>
      </c>
      <c r="AP132" s="27" t="n">
        <f aca="false">(AP66-INDEX(Mortality_Matrix!$B$4:$BS$64,MATCH($A132,Mortality_Matrix!$A$4:$A$64,0),MATCH(2052,Mortality_Matrix!$B$3:$BS$3,0)))/INDEX(Mortality_Matrix!$B$4:$BS$64,MATCH($A132,Mortality_Matrix!$A$4:$A$64,0),MATCH(2052,Mortality_Matrix!$B$3:$BS$3,0))</f>
        <v>1.53157085727171E-011</v>
      </c>
      <c r="AQ132" s="27" t="n">
        <f aca="false">(AQ66-INDEX(Mortality_Matrix!$B$4:$BS$64,MATCH($A132,Mortality_Matrix!$A$4:$A$64,0),MATCH(2053,Mortality_Matrix!$B$3:$BS$3,0)))/INDEX(Mortality_Matrix!$B$4:$BS$64,MATCH($A132,Mortality_Matrix!$A$4:$A$64,0),MATCH(2053,Mortality_Matrix!$B$3:$BS$3,0))</f>
        <v>1.38580212719364E-010</v>
      </c>
      <c r="AR132" s="27" t="n">
        <f aca="false">(AR66-INDEX(Mortality_Matrix!$B$4:$BS$64,MATCH($A132,Mortality_Matrix!$A$4:$A$64,0),MATCH(2054,Mortality_Matrix!$B$3:$BS$3,0)))/INDEX(Mortality_Matrix!$B$4:$BS$64,MATCH($A132,Mortality_Matrix!$A$4:$A$64,0),MATCH(2054,Mortality_Matrix!$B$3:$BS$3,0))</f>
        <v>-5.60486496883969E-011</v>
      </c>
      <c r="AS132" s="27" t="n">
        <f aca="false">(AS66-INDEX(Mortality_Matrix!$B$4:$BS$64,MATCH($A132,Mortality_Matrix!$A$4:$A$64,0),MATCH(2055,Mortality_Matrix!$B$3:$BS$3,0)))/INDEX(Mortality_Matrix!$B$4:$BS$64,MATCH($A132,Mortality_Matrix!$A$4:$A$64,0),MATCH(2055,Mortality_Matrix!$B$3:$BS$3,0))</f>
        <v>-9.97155818148688E-011</v>
      </c>
      <c r="AT132" s="27" t="n">
        <f aca="false">(AT66-INDEX(Mortality_Matrix!$B$4:$BS$64,MATCH($A132,Mortality_Matrix!$A$4:$A$64,0),MATCH(2056,Mortality_Matrix!$B$3:$BS$3,0)))/INDEX(Mortality_Matrix!$B$4:$BS$64,MATCH($A132,Mortality_Matrix!$A$4:$A$64,0),MATCH(2056,Mortality_Matrix!$B$3:$BS$3,0))</f>
        <v>1.91745603950507E-011</v>
      </c>
      <c r="AU132" s="27" t="n">
        <f aca="false">(AU66-INDEX(Mortality_Matrix!$B$4:$BS$64,MATCH($A132,Mortality_Matrix!$A$4:$A$64,0),MATCH(2057,Mortality_Matrix!$B$3:$BS$3,0)))/INDEX(Mortality_Matrix!$B$4:$BS$64,MATCH($A132,Mortality_Matrix!$A$4:$A$64,0),MATCH(2057,Mortality_Matrix!$B$3:$BS$3,0))</f>
        <v>-1.5610559075412E-010</v>
      </c>
      <c r="AV132" s="27" t="n">
        <f aca="false">(AV66-INDEX(Mortality_Matrix!$B$4:$BS$64,MATCH($A132,Mortality_Matrix!$A$4:$A$64,0),MATCH(2058,Mortality_Matrix!$B$3:$BS$3,0)))/INDEX(Mortality_Matrix!$B$4:$BS$64,MATCH($A132,Mortality_Matrix!$A$4:$A$64,0),MATCH(2058,Mortality_Matrix!$B$3:$BS$3,0))</f>
        <v>1.47112632034494E-011</v>
      </c>
      <c r="AW132" s="27" t="n">
        <f aca="false">(AW66-INDEX(Mortality_Matrix!$B$4:$BS$64,MATCH($A132,Mortality_Matrix!$A$4:$A$64,0),MATCH(2059,Mortality_Matrix!$B$3:$BS$3,0)))/INDEX(Mortality_Matrix!$B$4:$BS$64,MATCH($A132,Mortality_Matrix!$A$4:$A$64,0),MATCH(2059,Mortality_Matrix!$B$3:$BS$3,0))</f>
        <v>-8.40000275086651E-011</v>
      </c>
      <c r="AX132" s="27" t="n">
        <f aca="false">(AX66-INDEX(Mortality_Matrix!$B$4:$BS$64,MATCH($A132,Mortality_Matrix!$A$4:$A$64,0),MATCH(2060,Mortality_Matrix!$B$3:$BS$3,0)))/INDEX(Mortality_Matrix!$B$4:$BS$64,MATCH($A132,Mortality_Matrix!$A$4:$A$64,0),MATCH(2060,Mortality_Matrix!$B$3:$BS$3,0))</f>
        <v>3.30930980931228E-011</v>
      </c>
      <c r="AY132" s="27" t="n">
        <f aca="false">(AY66-INDEX(Mortality_Matrix!$B$4:$BS$64,MATCH($A132,Mortality_Matrix!$A$4:$A$64,0),MATCH(2061,Mortality_Matrix!$B$3:$BS$3,0)))/INDEX(Mortality_Matrix!$B$4:$BS$64,MATCH($A132,Mortality_Matrix!$A$4:$A$64,0),MATCH(2061,Mortality_Matrix!$B$3:$BS$3,0))</f>
        <v>-2.14295574498396E-011</v>
      </c>
      <c r="AZ132" s="27" t="n">
        <f aca="false">(AZ66-INDEX(Mortality_Matrix!$B$4:$BS$64,MATCH($A132,Mortality_Matrix!$A$4:$A$64,0),MATCH(2062,Mortality_Matrix!$B$3:$BS$3,0)))/INDEX(Mortality_Matrix!$B$4:$BS$64,MATCH($A132,Mortality_Matrix!$A$4:$A$64,0),MATCH(2062,Mortality_Matrix!$B$3:$BS$3,0))</f>
        <v>7.5730199018537E-011</v>
      </c>
      <c r="BA132" s="27" t="n">
        <f aca="false">(BA66-INDEX(Mortality_Matrix!$B$4:$BS$64,MATCH($A132,Mortality_Matrix!$A$4:$A$64,0),MATCH(2063,Mortality_Matrix!$B$3:$BS$3,0)))/INDEX(Mortality_Matrix!$B$4:$BS$64,MATCH($A132,Mortality_Matrix!$A$4:$A$64,0),MATCH(2063,Mortality_Matrix!$B$3:$BS$3,0))</f>
        <v>1.64766384762205E-010</v>
      </c>
      <c r="BB132" s="27" t="n">
        <f aca="false">(BB66-INDEX(Mortality_Matrix!$B$4:$BS$64,MATCH($A132,Mortality_Matrix!$A$4:$A$64,0),MATCH(2064,Mortality_Matrix!$B$3:$BS$3,0)))/INDEX(Mortality_Matrix!$B$4:$BS$64,MATCH($A132,Mortality_Matrix!$A$4:$A$64,0),MATCH(2064,Mortality_Matrix!$B$3:$BS$3,0))</f>
        <v>-4.59850074411928E-012</v>
      </c>
      <c r="BC132" s="27" t="n">
        <f aca="false">(BC66-INDEX(Mortality_Matrix!$B$4:$BS$64,MATCH($A132,Mortality_Matrix!$A$4:$A$64,0),MATCH(2065,Mortality_Matrix!$B$3:$BS$3,0)))/INDEX(Mortality_Matrix!$B$4:$BS$64,MATCH($A132,Mortality_Matrix!$A$4:$A$64,0),MATCH(2065,Mortality_Matrix!$B$3:$BS$3,0))</f>
        <v>3.55061305072445E-011</v>
      </c>
      <c r="BD132" s="27" t="n">
        <f aca="false">(BD66-INDEX(Mortality_Matrix!$B$4:$BS$64,MATCH($A132,Mortality_Matrix!$A$4:$A$64,0),MATCH(2066,Mortality_Matrix!$B$3:$BS$3,0)))/INDEX(Mortality_Matrix!$B$4:$BS$64,MATCH($A132,Mortality_Matrix!$A$4:$A$64,0),MATCH(2066,Mortality_Matrix!$B$3:$BS$3,0))</f>
        <v>-1.45562572667286E-010</v>
      </c>
      <c r="BE132" s="27" t="n">
        <f aca="false">(BE66-INDEX(Mortality_Matrix!$B$4:$BS$64,MATCH($A132,Mortality_Matrix!$A$4:$A$64,0),MATCH(2067,Mortality_Matrix!$B$3:$BS$3,0)))/INDEX(Mortality_Matrix!$B$4:$BS$64,MATCH($A132,Mortality_Matrix!$A$4:$A$64,0),MATCH(2067,Mortality_Matrix!$B$3:$BS$3,0))</f>
        <v>1.49413802132546E-010</v>
      </c>
      <c r="BF132" s="27" t="n">
        <f aca="false">(BF66-INDEX(Mortality_Matrix!$B$4:$BS$64,MATCH($A132,Mortality_Matrix!$A$4:$A$64,0),MATCH(2068,Mortality_Matrix!$B$3:$BS$3,0)))/INDEX(Mortality_Matrix!$B$4:$BS$64,MATCH($A132,Mortality_Matrix!$A$4:$A$64,0),MATCH(2068,Mortality_Matrix!$B$3:$BS$3,0))</f>
        <v>-1.09481088869267E-010</v>
      </c>
      <c r="BG132" s="27" t="n">
        <f aca="false">(BG66-INDEX(Mortality_Matrix!$B$4:$BS$64,MATCH($A132,Mortality_Matrix!$A$4:$A$64,0),MATCH(2069,Mortality_Matrix!$B$3:$BS$3,0)))/INDEX(Mortality_Matrix!$B$4:$BS$64,MATCH($A132,Mortality_Matrix!$A$4:$A$64,0),MATCH(2069,Mortality_Matrix!$B$3:$BS$3,0))</f>
        <v>-1.90313044260844E-012</v>
      </c>
      <c r="BH132" s="27" t="n">
        <f aca="false">(BH66-INDEX(Mortality_Matrix!$B$4:$BS$64,MATCH($A132,Mortality_Matrix!$A$4:$A$64,0),MATCH(2070,Mortality_Matrix!$B$3:$BS$3,0)))/INDEX(Mortality_Matrix!$B$4:$BS$64,MATCH($A132,Mortality_Matrix!$A$4:$A$64,0),MATCH(2070,Mortality_Matrix!$B$3:$BS$3,0))</f>
        <v>6.63317711302566E-011</v>
      </c>
      <c r="BI132" s="27" t="n">
        <f aca="false">(BI66-INDEX(Mortality_Matrix!$B$4:$BS$64,MATCH($A132,Mortality_Matrix!$A$4:$A$64,0),MATCH(2071,Mortality_Matrix!$B$3:$BS$3,0)))/INDEX(Mortality_Matrix!$B$4:$BS$64,MATCH($A132,Mortality_Matrix!$A$4:$A$64,0),MATCH(2071,Mortality_Matrix!$B$3:$BS$3,0))</f>
        <v>-1.02535464781954E-012</v>
      </c>
      <c r="BJ132" s="27" t="n">
        <f aca="false">(BJ66-INDEX(Mortality_Matrix!$B$4:$BS$64,MATCH($A132,Mortality_Matrix!$A$4:$A$64,0),MATCH(2072,Mortality_Matrix!$B$3:$BS$3,0)))/INDEX(Mortality_Matrix!$B$4:$BS$64,MATCH($A132,Mortality_Matrix!$A$4:$A$64,0),MATCH(2072,Mortality_Matrix!$B$3:$BS$3,0))</f>
        <v>1.46099819849942E-011</v>
      </c>
      <c r="BK132" s="27" t="n">
        <f aca="false">(BK66-INDEX(Mortality_Matrix!$B$4:$BS$64,MATCH($A132,Mortality_Matrix!$A$4:$A$64,0),MATCH(2073,Mortality_Matrix!$B$3:$BS$3,0)))/INDEX(Mortality_Matrix!$B$4:$BS$64,MATCH($A132,Mortality_Matrix!$A$4:$A$64,0),MATCH(2073,Mortality_Matrix!$B$3:$BS$3,0))</f>
        <v>-1.87657899361018E-010</v>
      </c>
      <c r="BL132" s="27" t="n">
        <f aca="false">(BL66-INDEX(Mortality_Matrix!$B$4:$BS$64,MATCH($A132,Mortality_Matrix!$A$4:$A$64,0),MATCH(2074,Mortality_Matrix!$B$3:$BS$3,0)))/INDEX(Mortality_Matrix!$B$4:$BS$64,MATCH($A132,Mortality_Matrix!$A$4:$A$64,0),MATCH(2074,Mortality_Matrix!$B$3:$BS$3,0))</f>
        <v>-1.75769033397943E-010</v>
      </c>
      <c r="BM132" s="27" t="n">
        <f aca="false">(BM66-INDEX(Mortality_Matrix!$B$4:$BS$64,MATCH($A132,Mortality_Matrix!$A$4:$A$64,0),MATCH(2075,Mortality_Matrix!$B$3:$BS$3,0)))/INDEX(Mortality_Matrix!$B$4:$BS$64,MATCH($A132,Mortality_Matrix!$A$4:$A$64,0),MATCH(2075,Mortality_Matrix!$B$3:$BS$3,0))</f>
        <v>-4.06306249289733E-011</v>
      </c>
      <c r="BN132" s="27" t="n">
        <f aca="false">(BN66-INDEX(Mortality_Matrix!$B$4:$BS$64,MATCH($A132,Mortality_Matrix!$A$4:$A$64,0),MATCH(2076,Mortality_Matrix!$B$3:$BS$3,0)))/INDEX(Mortality_Matrix!$B$4:$BS$64,MATCH($A132,Mortality_Matrix!$A$4:$A$64,0),MATCH(2076,Mortality_Matrix!$B$3:$BS$3,0))</f>
        <v>1.65948009319057E-011</v>
      </c>
      <c r="BO132" s="27" t="n">
        <f aca="false">(BO66-INDEX(Mortality_Matrix!$B$4:$BS$64,MATCH($A132,Mortality_Matrix!$A$4:$A$64,0),MATCH(2077,Mortality_Matrix!$B$3:$BS$3,0)))/INDEX(Mortality_Matrix!$B$4:$BS$64,MATCH($A132,Mortality_Matrix!$A$4:$A$64,0),MATCH(2077,Mortality_Matrix!$B$3:$BS$3,0))</f>
        <v>1.07790152018632E-010</v>
      </c>
      <c r="BP132" s="27" t="n">
        <f aca="false">(BP66-INDEX(Mortality_Matrix!$B$4:$BS$64,MATCH($A132,Mortality_Matrix!$A$4:$A$64,0),MATCH(2078,Mortality_Matrix!$B$3:$BS$3,0)))/INDEX(Mortality_Matrix!$B$4:$BS$64,MATCH($A132,Mortality_Matrix!$A$4:$A$64,0),MATCH(2078,Mortality_Matrix!$B$3:$BS$3,0))</f>
        <v>-1.94303886771613E-010</v>
      </c>
      <c r="BQ132" s="27" t="n">
        <f aca="false">(BQ66-INDEX(Mortality_Matrix!$B$4:$BS$64,MATCH($A132,Mortality_Matrix!$A$4:$A$64,0),MATCH(2079,Mortality_Matrix!$B$3:$BS$3,0)))/INDEX(Mortality_Matrix!$B$4:$BS$64,MATCH($A132,Mortality_Matrix!$A$4:$A$64,0),MATCH(2079,Mortality_Matrix!$B$3:$BS$3,0))</f>
        <v>-1.46598618214269E-010</v>
      </c>
      <c r="BR132" s="27" t="n">
        <f aca="false">(BR66-INDEX(Mortality_Matrix!$B$4:$BS$64,MATCH($A132,Mortality_Matrix!$A$4:$A$64,0),MATCH(2080,Mortality_Matrix!$B$3:$BS$3,0)))/INDEX(Mortality_Matrix!$B$4:$BS$64,MATCH($A132,Mortality_Matrix!$A$4:$A$64,0),MATCH(2080,Mortality_Matrix!$B$3:$BS$3,0))</f>
        <v>2.59170122672051E-011</v>
      </c>
      <c r="BS132" s="27" t="n">
        <f aca="false">(BS66-INDEX(Mortality_Matrix!$B$4:$BS$64,MATCH($A132,Mortality_Matrix!$A$4:$A$64,0),MATCH(2081,Mortality_Matrix!$B$3:$BS$3,0)))/INDEX(Mortality_Matrix!$B$4:$BS$64,MATCH($A132,Mortality_Matrix!$A$4:$A$64,0),MATCH(2081,Mortality_Matrix!$B$3:$BS$3,0))</f>
        <v>-2.33205676693025E-011</v>
      </c>
      <c r="BT132" s="27" t="n">
        <f aca="false">(BT66-INDEX(Mortality_Matrix!$B$4:$BS$64,MATCH($A132,Mortality_Matrix!$A$4:$A$64,0),MATCH(2082,Mortality_Matrix!$B$3:$BS$3,0)))/INDEX(Mortality_Matrix!$B$4:$BS$64,MATCH($A132,Mortality_Matrix!$A$4:$A$64,0),MATCH(2082,Mortality_Matrix!$B$3:$BS$3,0))</f>
        <v>1.05742850309738E-010</v>
      </c>
      <c r="BU132" s="27" t="n">
        <f aca="false">(BU66-INDEX(Mortality_Matrix!$B$4:$BS$64,MATCH($A132,Mortality_Matrix!$A$4:$A$64,0),MATCH(2083,Mortality_Matrix!$B$3:$BS$3,0)))/INDEX(Mortality_Matrix!$B$4:$BS$64,MATCH($A132,Mortality_Matrix!$A$4:$A$64,0),MATCH(2083,Mortality_Matrix!$B$3:$BS$3,0))</f>
        <v>-1.77204618742874E-010</v>
      </c>
      <c r="BV132" s="27" t="n">
        <f aca="false">(BV66-INDEX(Mortality_Matrix!$B$4:$BS$64,MATCH($A132,Mortality_Matrix!$A$4:$A$64,0),MATCH(2084,Mortality_Matrix!$B$3:$BS$3,0)))/INDEX(Mortality_Matrix!$B$4:$BS$64,MATCH($A132,Mortality_Matrix!$A$4:$A$64,0),MATCH(2084,Mortality_Matrix!$B$3:$BS$3,0))</f>
        <v>1.63131337469614E-010</v>
      </c>
      <c r="BW132" s="27" t="n">
        <f aca="false">(BW66-INDEX(Mortality_Matrix!$B$4:$BS$64,MATCH($A132,Mortality_Matrix!$A$4:$A$64,0),MATCH(2085,Mortality_Matrix!$B$3:$BS$3,0)))/INDEX(Mortality_Matrix!$B$4:$BS$64,MATCH($A132,Mortality_Matrix!$A$4:$A$64,0),MATCH(2085,Mortality_Matrix!$B$3:$BS$3,0))</f>
        <v>-1.53382382599033E-010</v>
      </c>
      <c r="BX132" s="27" t="n">
        <f aca="false">(BX66-INDEX(Mortality_Matrix!$B$4:$BS$64,MATCH($A132,Mortality_Matrix!$A$4:$A$64,0),MATCH(2086,Mortality_Matrix!$B$3:$BS$3,0)))/INDEX(Mortality_Matrix!$B$4:$BS$64,MATCH($A132,Mortality_Matrix!$A$4:$A$64,0),MATCH(2086,Mortality_Matrix!$B$3:$BS$3,0))</f>
        <v>1.05047208909653E-010</v>
      </c>
      <c r="BY132" s="27" t="n">
        <f aca="false">(BY66-INDEX(Mortality_Matrix!$B$4:$BS$64,MATCH($A132,Mortality_Matrix!$A$4:$A$64,0),MATCH(2087,Mortality_Matrix!$B$3:$BS$3,0)))/INDEX(Mortality_Matrix!$B$4:$BS$64,MATCH($A132,Mortality_Matrix!$A$4:$A$64,0),MATCH(2087,Mortality_Matrix!$B$3:$BS$3,0))</f>
        <v>-1.64268936722546E-010</v>
      </c>
      <c r="BZ132" s="27" t="n">
        <f aca="false">(BZ66-INDEX(Mortality_Matrix!$B$4:$BS$64,MATCH($A132,Mortality_Matrix!$A$4:$A$64,0),MATCH(2088,Mortality_Matrix!$B$3:$BS$3,0)))/INDEX(Mortality_Matrix!$B$4:$BS$64,MATCH($A132,Mortality_Matrix!$A$4:$A$64,0),MATCH(2088,Mortality_Matrix!$B$3:$BS$3,0))</f>
        <v>2.24717415365283E-011</v>
      </c>
      <c r="CA132" s="27" t="n">
        <f aca="false">(CA66-INDEX(Mortality_Matrix!$B$4:$BS$64,MATCH($A132,Mortality_Matrix!$A$4:$A$64,0),MATCH(2089,Mortality_Matrix!$B$3:$BS$3,0)))/INDEX(Mortality_Matrix!$B$4:$BS$64,MATCH($A132,Mortality_Matrix!$A$4:$A$64,0),MATCH(2089,Mortality_Matrix!$B$3:$BS$3,0))</f>
        <v>1.8593031395233E-010</v>
      </c>
      <c r="CB132" s="27" t="n">
        <f aca="false">(CB66-INDEX(Mortality_Matrix!$B$4:$BS$64,MATCH($A132,Mortality_Matrix!$A$4:$A$64,0),MATCH(2090,Mortality_Matrix!$B$3:$BS$3,0)))/INDEX(Mortality_Matrix!$B$4:$BS$64,MATCH($A132,Mortality_Matrix!$A$4:$A$64,0),MATCH(2090,Mortality_Matrix!$B$3:$BS$3,0))</f>
        <v>1.55084962783854E-010</v>
      </c>
      <c r="CC132" s="27" t="n">
        <f aca="false">(CC66-INDEX(Mortality_Matrix!$B$4:$BS$64,MATCH($A132,Mortality_Matrix!$A$4:$A$64,0),MATCH(2091,Mortality_Matrix!$B$3:$BS$3,0)))/INDEX(Mortality_Matrix!$B$4:$BS$64,MATCH($A132,Mortality_Matrix!$A$4:$A$64,0),MATCH(2091,Mortality_Matrix!$B$3:$BS$3,0))</f>
        <v>7.24836998163954E-011</v>
      </c>
    </row>
    <row r="133" customFormat="false" ht="15" hidden="false" customHeight="true" outlineLevel="0" collapsed="false">
      <c r="A133" s="3" t="n">
        <v>104</v>
      </c>
      <c r="L133" s="27" t="n">
        <f aca="false">(L67-INDEX(Mortality_Matrix!$B$4:$BS$64,MATCH($A133,Mortality_Matrix!$A$4:$A$64,0),MATCH(2022,Mortality_Matrix!$B$3:$BS$3,0)))/INDEX(Mortality_Matrix!$B$4:$BS$64,MATCH($A133,Mortality_Matrix!$A$4:$A$64,0),MATCH(2022,Mortality_Matrix!$B$3:$BS$3,0))</f>
        <v>-8.15512544836326E-011</v>
      </c>
      <c r="M133" s="27" t="n">
        <f aca="false">(M67-INDEX(Mortality_Matrix!$B$4:$BS$64,MATCH($A133,Mortality_Matrix!$A$4:$A$64,0),MATCH(2023,Mortality_Matrix!$B$3:$BS$3,0)))/INDEX(Mortality_Matrix!$B$4:$BS$64,MATCH($A133,Mortality_Matrix!$A$4:$A$64,0),MATCH(2023,Mortality_Matrix!$B$3:$BS$3,0))</f>
        <v>-1.11727254720131E-010</v>
      </c>
      <c r="N133" s="27" t="n">
        <f aca="false">(N67-INDEX(Mortality_Matrix!$B$4:$BS$64,MATCH($A133,Mortality_Matrix!$A$4:$A$64,0),MATCH(2024,Mortality_Matrix!$B$3:$BS$3,0)))/INDEX(Mortality_Matrix!$B$4:$BS$64,MATCH($A133,Mortality_Matrix!$A$4:$A$64,0),MATCH(2024,Mortality_Matrix!$B$3:$BS$3,0))</f>
        <v>-4.96084093385559E-011</v>
      </c>
      <c r="O133" s="27" t="n">
        <f aca="false">(O67-INDEX(Mortality_Matrix!$B$4:$BS$64,MATCH($A133,Mortality_Matrix!$A$4:$A$64,0),MATCH(2025,Mortality_Matrix!$B$3:$BS$3,0)))/INDEX(Mortality_Matrix!$B$4:$BS$64,MATCH($A133,Mortality_Matrix!$A$4:$A$64,0),MATCH(2025,Mortality_Matrix!$B$3:$BS$3,0))</f>
        <v>1.28025943770061E-010</v>
      </c>
      <c r="P133" s="27" t="n">
        <f aca="false">(P67-INDEX(Mortality_Matrix!$B$4:$BS$64,MATCH($A133,Mortality_Matrix!$A$4:$A$64,0),MATCH(2026,Mortality_Matrix!$B$3:$BS$3,0)))/INDEX(Mortality_Matrix!$B$4:$BS$64,MATCH($A133,Mortality_Matrix!$A$4:$A$64,0),MATCH(2026,Mortality_Matrix!$B$3:$BS$3,0))</f>
        <v>-1.37840777542045E-010</v>
      </c>
      <c r="Q133" s="27" t="n">
        <f aca="false">(Q67-INDEX(Mortality_Matrix!$B$4:$BS$64,MATCH($A133,Mortality_Matrix!$A$4:$A$64,0),MATCH(2027,Mortality_Matrix!$B$3:$BS$3,0)))/INDEX(Mortality_Matrix!$B$4:$BS$64,MATCH($A133,Mortality_Matrix!$A$4:$A$64,0),MATCH(2027,Mortality_Matrix!$B$3:$BS$3,0))</f>
        <v>1.58297417504278E-011</v>
      </c>
      <c r="R133" s="27" t="n">
        <f aca="false">(R67-INDEX(Mortality_Matrix!$B$4:$BS$64,MATCH($A133,Mortality_Matrix!$A$4:$A$64,0),MATCH(2028,Mortality_Matrix!$B$3:$BS$3,0)))/INDEX(Mortality_Matrix!$B$4:$BS$64,MATCH($A133,Mortality_Matrix!$A$4:$A$64,0),MATCH(2028,Mortality_Matrix!$B$3:$BS$3,0))</f>
        <v>-2.87604779688507E-011</v>
      </c>
      <c r="S133" s="27" t="n">
        <f aca="false">(S67-INDEX(Mortality_Matrix!$B$4:$BS$64,MATCH($A133,Mortality_Matrix!$A$4:$A$64,0),MATCH(2029,Mortality_Matrix!$B$3:$BS$3,0)))/INDEX(Mortality_Matrix!$B$4:$BS$64,MATCH($A133,Mortality_Matrix!$A$4:$A$64,0),MATCH(2029,Mortality_Matrix!$B$3:$BS$3,0))</f>
        <v>-1.7527269133854E-010</v>
      </c>
      <c r="T133" s="27" t="n">
        <f aca="false">(T67-INDEX(Mortality_Matrix!$B$4:$BS$64,MATCH($A133,Mortality_Matrix!$A$4:$A$64,0),MATCH(2030,Mortality_Matrix!$B$3:$BS$3,0)))/INDEX(Mortality_Matrix!$B$4:$BS$64,MATCH($A133,Mortality_Matrix!$A$4:$A$64,0),MATCH(2030,Mortality_Matrix!$B$3:$BS$3,0))</f>
        <v>-1.5555845278257E-010</v>
      </c>
      <c r="U133" s="27" t="n">
        <f aca="false">(U67-INDEX(Mortality_Matrix!$B$4:$BS$64,MATCH($A133,Mortality_Matrix!$A$4:$A$64,0),MATCH(2031,Mortality_Matrix!$B$3:$BS$3,0)))/INDEX(Mortality_Matrix!$B$4:$BS$64,MATCH($A133,Mortality_Matrix!$A$4:$A$64,0),MATCH(2031,Mortality_Matrix!$B$3:$BS$3,0))</f>
        <v>1.00908906140578E-010</v>
      </c>
      <c r="V133" s="27" t="n">
        <f aca="false">(V67-INDEX(Mortality_Matrix!$B$4:$BS$64,MATCH($A133,Mortality_Matrix!$A$4:$A$64,0),MATCH(2032,Mortality_Matrix!$B$3:$BS$3,0)))/INDEX(Mortality_Matrix!$B$4:$BS$64,MATCH($A133,Mortality_Matrix!$A$4:$A$64,0),MATCH(2032,Mortality_Matrix!$B$3:$BS$3,0))</f>
        <v>8.95621485810272E-011</v>
      </c>
      <c r="W133" s="27" t="n">
        <f aca="false">(W67-INDEX(Mortality_Matrix!$B$4:$BS$64,MATCH($A133,Mortality_Matrix!$A$4:$A$64,0),MATCH(2033,Mortality_Matrix!$B$3:$BS$3,0)))/INDEX(Mortality_Matrix!$B$4:$BS$64,MATCH($A133,Mortality_Matrix!$A$4:$A$64,0),MATCH(2033,Mortality_Matrix!$B$3:$BS$3,0))</f>
        <v>-1.56475227680443E-010</v>
      </c>
      <c r="X133" s="27" t="n">
        <f aca="false">(X67-INDEX(Mortality_Matrix!$B$4:$BS$64,MATCH($A133,Mortality_Matrix!$A$4:$A$64,0),MATCH(2034,Mortality_Matrix!$B$3:$BS$3,0)))/INDEX(Mortality_Matrix!$B$4:$BS$64,MATCH($A133,Mortality_Matrix!$A$4:$A$64,0),MATCH(2034,Mortality_Matrix!$B$3:$BS$3,0))</f>
        <v>-5.72235953714855E-011</v>
      </c>
      <c r="Y133" s="27" t="n">
        <f aca="false">(Y67-INDEX(Mortality_Matrix!$B$4:$BS$64,MATCH($A133,Mortality_Matrix!$A$4:$A$64,0),MATCH(2035,Mortality_Matrix!$B$3:$BS$3,0)))/INDEX(Mortality_Matrix!$B$4:$BS$64,MATCH($A133,Mortality_Matrix!$A$4:$A$64,0),MATCH(2035,Mortality_Matrix!$B$3:$BS$3,0))</f>
        <v>1.41638449296312E-011</v>
      </c>
      <c r="Z133" s="27" t="n">
        <f aca="false">(Z67-INDEX(Mortality_Matrix!$B$4:$BS$64,MATCH($A133,Mortality_Matrix!$A$4:$A$64,0),MATCH(2036,Mortality_Matrix!$B$3:$BS$3,0)))/INDEX(Mortality_Matrix!$B$4:$BS$64,MATCH($A133,Mortality_Matrix!$A$4:$A$64,0),MATCH(2036,Mortality_Matrix!$B$3:$BS$3,0))</f>
        <v>-1.5048404543866E-010</v>
      </c>
      <c r="AA133" s="27" t="n">
        <f aca="false">(AA67-INDEX(Mortality_Matrix!$B$4:$BS$64,MATCH($A133,Mortality_Matrix!$A$4:$A$64,0),MATCH(2037,Mortality_Matrix!$B$3:$BS$3,0)))/INDEX(Mortality_Matrix!$B$4:$BS$64,MATCH($A133,Mortality_Matrix!$A$4:$A$64,0),MATCH(2037,Mortality_Matrix!$B$3:$BS$3,0))</f>
        <v>1.68143854690913E-010</v>
      </c>
      <c r="AB133" s="27" t="n">
        <f aca="false">(AB67-INDEX(Mortality_Matrix!$B$4:$BS$64,MATCH($A133,Mortality_Matrix!$A$4:$A$64,0),MATCH(2038,Mortality_Matrix!$B$3:$BS$3,0)))/INDEX(Mortality_Matrix!$B$4:$BS$64,MATCH($A133,Mortality_Matrix!$A$4:$A$64,0),MATCH(2038,Mortality_Matrix!$B$3:$BS$3,0))</f>
        <v>-3.6905321744936E-011</v>
      </c>
      <c r="AC133" s="27" t="n">
        <f aca="false">(AC67-INDEX(Mortality_Matrix!$B$4:$BS$64,MATCH($A133,Mortality_Matrix!$A$4:$A$64,0),MATCH(2039,Mortality_Matrix!$B$3:$BS$3,0)))/INDEX(Mortality_Matrix!$B$4:$BS$64,MATCH($A133,Mortality_Matrix!$A$4:$A$64,0),MATCH(2039,Mortality_Matrix!$B$3:$BS$3,0))</f>
        <v>-8.55968011901335E-011</v>
      </c>
      <c r="AD133" s="27" t="n">
        <f aca="false">(AD67-INDEX(Mortality_Matrix!$B$4:$BS$64,MATCH($A133,Mortality_Matrix!$A$4:$A$64,0),MATCH(2040,Mortality_Matrix!$B$3:$BS$3,0)))/INDEX(Mortality_Matrix!$B$4:$BS$64,MATCH($A133,Mortality_Matrix!$A$4:$A$64,0),MATCH(2040,Mortality_Matrix!$B$3:$BS$3,0))</f>
        <v>1.14021557822571E-010</v>
      </c>
      <c r="AE133" s="27" t="n">
        <f aca="false">(AE67-INDEX(Mortality_Matrix!$B$4:$BS$64,MATCH($A133,Mortality_Matrix!$A$4:$A$64,0),MATCH(2041,Mortality_Matrix!$B$3:$BS$3,0)))/INDEX(Mortality_Matrix!$B$4:$BS$64,MATCH($A133,Mortality_Matrix!$A$4:$A$64,0),MATCH(2041,Mortality_Matrix!$B$3:$BS$3,0))</f>
        <v>5.44901030696226E-011</v>
      </c>
      <c r="AF133" s="27" t="n">
        <f aca="false">(AF67-INDEX(Mortality_Matrix!$B$4:$BS$64,MATCH($A133,Mortality_Matrix!$A$4:$A$64,0),MATCH(2042,Mortality_Matrix!$B$3:$BS$3,0)))/INDEX(Mortality_Matrix!$B$4:$BS$64,MATCH($A133,Mortality_Matrix!$A$4:$A$64,0),MATCH(2042,Mortality_Matrix!$B$3:$BS$3,0))</f>
        <v>1.65314959839831E-010</v>
      </c>
      <c r="AG133" s="27" t="n">
        <f aca="false">(AG67-INDEX(Mortality_Matrix!$B$4:$BS$64,MATCH($A133,Mortality_Matrix!$A$4:$A$64,0),MATCH(2043,Mortality_Matrix!$B$3:$BS$3,0)))/INDEX(Mortality_Matrix!$B$4:$BS$64,MATCH($A133,Mortality_Matrix!$A$4:$A$64,0),MATCH(2043,Mortality_Matrix!$B$3:$BS$3,0))</f>
        <v>-1.12437367678984E-010</v>
      </c>
      <c r="AH133" s="27" t="n">
        <f aca="false">(AH67-INDEX(Mortality_Matrix!$B$4:$BS$64,MATCH($A133,Mortality_Matrix!$A$4:$A$64,0),MATCH(2044,Mortality_Matrix!$B$3:$BS$3,0)))/INDEX(Mortality_Matrix!$B$4:$BS$64,MATCH($A133,Mortality_Matrix!$A$4:$A$64,0),MATCH(2044,Mortality_Matrix!$B$3:$BS$3,0))</f>
        <v>-6.11108629739989E-012</v>
      </c>
      <c r="AI133" s="27" t="n">
        <f aca="false">(AI67-INDEX(Mortality_Matrix!$B$4:$BS$64,MATCH($A133,Mortality_Matrix!$A$4:$A$64,0),MATCH(2045,Mortality_Matrix!$B$3:$BS$3,0)))/INDEX(Mortality_Matrix!$B$4:$BS$64,MATCH($A133,Mortality_Matrix!$A$4:$A$64,0),MATCH(2045,Mortality_Matrix!$B$3:$BS$3,0))</f>
        <v>-1.26121294520473E-010</v>
      </c>
      <c r="AJ133" s="27" t="n">
        <f aca="false">(AJ67-INDEX(Mortality_Matrix!$B$4:$BS$64,MATCH($A133,Mortality_Matrix!$A$4:$A$64,0),MATCH(2046,Mortality_Matrix!$B$3:$BS$3,0)))/INDEX(Mortality_Matrix!$B$4:$BS$64,MATCH($A133,Mortality_Matrix!$A$4:$A$64,0),MATCH(2046,Mortality_Matrix!$B$3:$BS$3,0))</f>
        <v>-1.36171389475093E-010</v>
      </c>
      <c r="AK133" s="27" t="n">
        <f aca="false">(AK67-INDEX(Mortality_Matrix!$B$4:$BS$64,MATCH($A133,Mortality_Matrix!$A$4:$A$64,0),MATCH(2047,Mortality_Matrix!$B$3:$BS$3,0)))/INDEX(Mortality_Matrix!$B$4:$BS$64,MATCH($A133,Mortality_Matrix!$A$4:$A$64,0),MATCH(2047,Mortality_Matrix!$B$3:$BS$3,0))</f>
        <v>8.1316165248904E-011</v>
      </c>
      <c r="AL133" s="27" t="n">
        <f aca="false">(AL67-INDEX(Mortality_Matrix!$B$4:$BS$64,MATCH($A133,Mortality_Matrix!$A$4:$A$64,0),MATCH(2048,Mortality_Matrix!$B$3:$BS$3,0)))/INDEX(Mortality_Matrix!$B$4:$BS$64,MATCH($A133,Mortality_Matrix!$A$4:$A$64,0),MATCH(2048,Mortality_Matrix!$B$3:$BS$3,0))</f>
        <v>2.51661059799662E-011</v>
      </c>
      <c r="AM133" s="27" t="n">
        <f aca="false">(AM67-INDEX(Mortality_Matrix!$B$4:$BS$64,MATCH($A133,Mortality_Matrix!$A$4:$A$64,0),MATCH(2049,Mortality_Matrix!$B$3:$BS$3,0)))/INDEX(Mortality_Matrix!$B$4:$BS$64,MATCH($A133,Mortality_Matrix!$A$4:$A$64,0),MATCH(2049,Mortality_Matrix!$B$3:$BS$3,0))</f>
        <v>1.5104740109978E-010</v>
      </c>
      <c r="AN133" s="27" t="n">
        <f aca="false">(AN67-INDEX(Mortality_Matrix!$B$4:$BS$64,MATCH($A133,Mortality_Matrix!$A$4:$A$64,0),MATCH(2050,Mortality_Matrix!$B$3:$BS$3,0)))/INDEX(Mortality_Matrix!$B$4:$BS$64,MATCH($A133,Mortality_Matrix!$A$4:$A$64,0),MATCH(2050,Mortality_Matrix!$B$3:$BS$3,0))</f>
        <v>-1.03218040117303E-010</v>
      </c>
      <c r="AO133" s="27" t="n">
        <f aca="false">(AO67-INDEX(Mortality_Matrix!$B$4:$BS$64,MATCH($A133,Mortality_Matrix!$A$4:$A$64,0),MATCH(2051,Mortality_Matrix!$B$3:$BS$3,0)))/INDEX(Mortality_Matrix!$B$4:$BS$64,MATCH($A133,Mortality_Matrix!$A$4:$A$64,0),MATCH(2051,Mortality_Matrix!$B$3:$BS$3,0))</f>
        <v>6.16281650069438E-011</v>
      </c>
      <c r="AP133" s="27" t="n">
        <f aca="false">(AP67-INDEX(Mortality_Matrix!$B$4:$BS$64,MATCH($A133,Mortality_Matrix!$A$4:$A$64,0),MATCH(2052,Mortality_Matrix!$B$3:$BS$3,0)))/INDEX(Mortality_Matrix!$B$4:$BS$64,MATCH($A133,Mortality_Matrix!$A$4:$A$64,0),MATCH(2052,Mortality_Matrix!$B$3:$BS$3,0))</f>
        <v>2.21531921643677E-011</v>
      </c>
      <c r="AQ133" s="27" t="n">
        <f aca="false">(AQ67-INDEX(Mortality_Matrix!$B$4:$BS$64,MATCH($A133,Mortality_Matrix!$A$4:$A$64,0),MATCH(2053,Mortality_Matrix!$B$3:$BS$3,0)))/INDEX(Mortality_Matrix!$B$4:$BS$64,MATCH($A133,Mortality_Matrix!$A$4:$A$64,0),MATCH(2053,Mortality_Matrix!$B$3:$BS$3,0))</f>
        <v>1.21519250343796E-010</v>
      </c>
      <c r="AR133" s="27" t="n">
        <f aca="false">(AR67-INDEX(Mortality_Matrix!$B$4:$BS$64,MATCH($A133,Mortality_Matrix!$A$4:$A$64,0),MATCH(2054,Mortality_Matrix!$B$3:$BS$3,0)))/INDEX(Mortality_Matrix!$B$4:$BS$64,MATCH($A133,Mortality_Matrix!$A$4:$A$64,0),MATCH(2054,Mortality_Matrix!$B$3:$BS$3,0))</f>
        <v>7.01212196870517E-011</v>
      </c>
      <c r="AS133" s="27" t="n">
        <f aca="false">(AS67-INDEX(Mortality_Matrix!$B$4:$BS$64,MATCH($A133,Mortality_Matrix!$A$4:$A$64,0),MATCH(2055,Mortality_Matrix!$B$3:$BS$3,0)))/INDEX(Mortality_Matrix!$B$4:$BS$64,MATCH($A133,Mortality_Matrix!$A$4:$A$64,0),MATCH(2055,Mortality_Matrix!$B$3:$BS$3,0))</f>
        <v>1.50092116303836E-010</v>
      </c>
      <c r="AT133" s="27" t="n">
        <f aca="false">(AT67-INDEX(Mortality_Matrix!$B$4:$BS$64,MATCH($A133,Mortality_Matrix!$A$4:$A$64,0),MATCH(2056,Mortality_Matrix!$B$3:$BS$3,0)))/INDEX(Mortality_Matrix!$B$4:$BS$64,MATCH($A133,Mortality_Matrix!$A$4:$A$64,0),MATCH(2056,Mortality_Matrix!$B$3:$BS$3,0))</f>
        <v>4.06130186536368E-012</v>
      </c>
      <c r="AU133" s="27" t="n">
        <f aca="false">(AU67-INDEX(Mortality_Matrix!$B$4:$BS$64,MATCH($A133,Mortality_Matrix!$A$4:$A$64,0),MATCH(2057,Mortality_Matrix!$B$3:$BS$3,0)))/INDEX(Mortality_Matrix!$B$4:$BS$64,MATCH($A133,Mortality_Matrix!$A$4:$A$64,0),MATCH(2057,Mortality_Matrix!$B$3:$BS$3,0))</f>
        <v>-1.5164675910032E-010</v>
      </c>
      <c r="AV133" s="27" t="n">
        <f aca="false">(AV67-INDEX(Mortality_Matrix!$B$4:$BS$64,MATCH($A133,Mortality_Matrix!$A$4:$A$64,0),MATCH(2058,Mortality_Matrix!$B$3:$BS$3,0)))/INDEX(Mortality_Matrix!$B$4:$BS$64,MATCH($A133,Mortality_Matrix!$A$4:$A$64,0),MATCH(2058,Mortality_Matrix!$B$3:$BS$3,0))</f>
        <v>7.28385474706696E-011</v>
      </c>
      <c r="AW133" s="27" t="n">
        <f aca="false">(AW67-INDEX(Mortality_Matrix!$B$4:$BS$64,MATCH($A133,Mortality_Matrix!$A$4:$A$64,0),MATCH(2059,Mortality_Matrix!$B$3:$BS$3,0)))/INDEX(Mortality_Matrix!$B$4:$BS$64,MATCH($A133,Mortality_Matrix!$A$4:$A$64,0),MATCH(2059,Mortality_Matrix!$B$3:$BS$3,0))</f>
        <v>9.14997572226974E-012</v>
      </c>
      <c r="AX133" s="27" t="n">
        <f aca="false">(AX67-INDEX(Mortality_Matrix!$B$4:$BS$64,MATCH($A133,Mortality_Matrix!$A$4:$A$64,0),MATCH(2060,Mortality_Matrix!$B$3:$BS$3,0)))/INDEX(Mortality_Matrix!$B$4:$BS$64,MATCH($A133,Mortality_Matrix!$A$4:$A$64,0),MATCH(2060,Mortality_Matrix!$B$3:$BS$3,0))</f>
        <v>-2.45437909052596E-011</v>
      </c>
      <c r="AY133" s="27" t="n">
        <f aca="false">(AY67-INDEX(Mortality_Matrix!$B$4:$BS$64,MATCH($A133,Mortality_Matrix!$A$4:$A$64,0),MATCH(2061,Mortality_Matrix!$B$3:$BS$3,0)))/INDEX(Mortality_Matrix!$B$4:$BS$64,MATCH($A133,Mortality_Matrix!$A$4:$A$64,0),MATCH(2061,Mortality_Matrix!$B$3:$BS$3,0))</f>
        <v>5.05460291032432E-011</v>
      </c>
      <c r="AZ133" s="27" t="n">
        <f aca="false">(AZ67-INDEX(Mortality_Matrix!$B$4:$BS$64,MATCH($A133,Mortality_Matrix!$A$4:$A$64,0),MATCH(2062,Mortality_Matrix!$B$3:$BS$3,0)))/INDEX(Mortality_Matrix!$B$4:$BS$64,MATCH($A133,Mortality_Matrix!$A$4:$A$64,0),MATCH(2062,Mortality_Matrix!$B$3:$BS$3,0))</f>
        <v>6.88456982405561E-011</v>
      </c>
      <c r="BA133" s="27" t="n">
        <f aca="false">(BA67-INDEX(Mortality_Matrix!$B$4:$BS$64,MATCH($A133,Mortality_Matrix!$A$4:$A$64,0),MATCH(2063,Mortality_Matrix!$B$3:$BS$3,0)))/INDEX(Mortality_Matrix!$B$4:$BS$64,MATCH($A133,Mortality_Matrix!$A$4:$A$64,0),MATCH(2063,Mortality_Matrix!$B$3:$BS$3,0))</f>
        <v>3.27819134947856E-011</v>
      </c>
      <c r="BB133" s="27" t="n">
        <f aca="false">(BB67-INDEX(Mortality_Matrix!$B$4:$BS$64,MATCH($A133,Mortality_Matrix!$A$4:$A$64,0),MATCH(2064,Mortality_Matrix!$B$3:$BS$3,0)))/INDEX(Mortality_Matrix!$B$4:$BS$64,MATCH($A133,Mortality_Matrix!$A$4:$A$64,0),MATCH(2064,Mortality_Matrix!$B$3:$BS$3,0))</f>
        <v>1.15223678720666E-010</v>
      </c>
      <c r="BC133" s="27" t="n">
        <f aca="false">(BC67-INDEX(Mortality_Matrix!$B$4:$BS$64,MATCH($A133,Mortality_Matrix!$A$4:$A$64,0),MATCH(2065,Mortality_Matrix!$B$3:$BS$3,0)))/INDEX(Mortality_Matrix!$B$4:$BS$64,MATCH($A133,Mortality_Matrix!$A$4:$A$64,0),MATCH(2065,Mortality_Matrix!$B$3:$BS$3,0))</f>
        <v>-1.78905610188087E-010</v>
      </c>
      <c r="BD133" s="27" t="n">
        <f aca="false">(BD67-INDEX(Mortality_Matrix!$B$4:$BS$64,MATCH($A133,Mortality_Matrix!$A$4:$A$64,0),MATCH(2066,Mortality_Matrix!$B$3:$BS$3,0)))/INDEX(Mortality_Matrix!$B$4:$BS$64,MATCH($A133,Mortality_Matrix!$A$4:$A$64,0),MATCH(2066,Mortality_Matrix!$B$3:$BS$3,0))</f>
        <v>8.43873963398374E-011</v>
      </c>
      <c r="BE133" s="27" t="n">
        <f aca="false">(BE67-INDEX(Mortality_Matrix!$B$4:$BS$64,MATCH($A133,Mortality_Matrix!$A$4:$A$64,0),MATCH(2067,Mortality_Matrix!$B$3:$BS$3,0)))/INDEX(Mortality_Matrix!$B$4:$BS$64,MATCH($A133,Mortality_Matrix!$A$4:$A$64,0),MATCH(2067,Mortality_Matrix!$B$3:$BS$3,0))</f>
        <v>-9.43163802086912E-011</v>
      </c>
      <c r="BF133" s="27" t="n">
        <f aca="false">(BF67-INDEX(Mortality_Matrix!$B$4:$BS$64,MATCH($A133,Mortality_Matrix!$A$4:$A$64,0),MATCH(2068,Mortality_Matrix!$B$3:$BS$3,0)))/INDEX(Mortality_Matrix!$B$4:$BS$64,MATCH($A133,Mortality_Matrix!$A$4:$A$64,0),MATCH(2068,Mortality_Matrix!$B$3:$BS$3,0))</f>
        <v>1.41472825517908E-010</v>
      </c>
      <c r="BG133" s="27" t="n">
        <f aca="false">(BG67-INDEX(Mortality_Matrix!$B$4:$BS$64,MATCH($A133,Mortality_Matrix!$A$4:$A$64,0),MATCH(2069,Mortality_Matrix!$B$3:$BS$3,0)))/INDEX(Mortality_Matrix!$B$4:$BS$64,MATCH($A133,Mortality_Matrix!$A$4:$A$64,0),MATCH(2069,Mortality_Matrix!$B$3:$BS$3,0))</f>
        <v>1.249232229285E-010</v>
      </c>
      <c r="BH133" s="27" t="n">
        <f aca="false">(BH67-INDEX(Mortality_Matrix!$B$4:$BS$64,MATCH($A133,Mortality_Matrix!$A$4:$A$64,0),MATCH(2070,Mortality_Matrix!$B$3:$BS$3,0)))/INDEX(Mortality_Matrix!$B$4:$BS$64,MATCH($A133,Mortality_Matrix!$A$4:$A$64,0),MATCH(2070,Mortality_Matrix!$B$3:$BS$3,0))</f>
        <v>2.06086224298328E-010</v>
      </c>
      <c r="BI133" s="27" t="n">
        <f aca="false">(BI67-INDEX(Mortality_Matrix!$B$4:$BS$64,MATCH($A133,Mortality_Matrix!$A$4:$A$64,0),MATCH(2071,Mortality_Matrix!$B$3:$BS$3,0)))/INDEX(Mortality_Matrix!$B$4:$BS$64,MATCH($A133,Mortality_Matrix!$A$4:$A$64,0),MATCH(2071,Mortality_Matrix!$B$3:$BS$3,0))</f>
        <v>5.1250462791032E-011</v>
      </c>
      <c r="BJ133" s="27" t="n">
        <f aca="false">(BJ67-INDEX(Mortality_Matrix!$B$4:$BS$64,MATCH($A133,Mortality_Matrix!$A$4:$A$64,0),MATCH(2072,Mortality_Matrix!$B$3:$BS$3,0)))/INDEX(Mortality_Matrix!$B$4:$BS$64,MATCH($A133,Mortality_Matrix!$A$4:$A$64,0),MATCH(2072,Mortality_Matrix!$B$3:$BS$3,0))</f>
        <v>-7.65495077016447E-011</v>
      </c>
      <c r="BK133" s="27" t="n">
        <f aca="false">(BK67-INDEX(Mortality_Matrix!$B$4:$BS$64,MATCH($A133,Mortality_Matrix!$A$4:$A$64,0),MATCH(2073,Mortality_Matrix!$B$3:$BS$3,0)))/INDEX(Mortality_Matrix!$B$4:$BS$64,MATCH($A133,Mortality_Matrix!$A$4:$A$64,0),MATCH(2073,Mortality_Matrix!$B$3:$BS$3,0))</f>
        <v>-1.72789081458255E-010</v>
      </c>
      <c r="BL133" s="27" t="n">
        <f aca="false">(BL67-INDEX(Mortality_Matrix!$B$4:$BS$64,MATCH($A133,Mortality_Matrix!$A$4:$A$64,0),MATCH(2074,Mortality_Matrix!$B$3:$BS$3,0)))/INDEX(Mortality_Matrix!$B$4:$BS$64,MATCH($A133,Mortality_Matrix!$A$4:$A$64,0),MATCH(2074,Mortality_Matrix!$B$3:$BS$3,0))</f>
        <v>-6.24781577778148E-011</v>
      </c>
      <c r="BM133" s="27" t="n">
        <f aca="false">(BM67-INDEX(Mortality_Matrix!$B$4:$BS$64,MATCH($A133,Mortality_Matrix!$A$4:$A$64,0),MATCH(2075,Mortality_Matrix!$B$3:$BS$3,0)))/INDEX(Mortality_Matrix!$B$4:$BS$64,MATCH($A133,Mortality_Matrix!$A$4:$A$64,0),MATCH(2075,Mortality_Matrix!$B$3:$BS$3,0))</f>
        <v>1.6643774059693E-010</v>
      </c>
      <c r="BN133" s="27" t="n">
        <f aca="false">(BN67-INDEX(Mortality_Matrix!$B$4:$BS$64,MATCH($A133,Mortality_Matrix!$A$4:$A$64,0),MATCH(2076,Mortality_Matrix!$B$3:$BS$3,0)))/INDEX(Mortality_Matrix!$B$4:$BS$64,MATCH($A133,Mortality_Matrix!$A$4:$A$64,0),MATCH(2076,Mortality_Matrix!$B$3:$BS$3,0))</f>
        <v>1.57688887733688E-010</v>
      </c>
      <c r="BO133" s="27" t="n">
        <f aca="false">(BO67-INDEX(Mortality_Matrix!$B$4:$BS$64,MATCH($A133,Mortality_Matrix!$A$4:$A$64,0),MATCH(2077,Mortality_Matrix!$B$3:$BS$3,0)))/INDEX(Mortality_Matrix!$B$4:$BS$64,MATCH($A133,Mortality_Matrix!$A$4:$A$64,0),MATCH(2077,Mortality_Matrix!$B$3:$BS$3,0))</f>
        <v>1.59269384493924E-010</v>
      </c>
      <c r="BP133" s="27" t="n">
        <f aca="false">(BP67-INDEX(Mortality_Matrix!$B$4:$BS$64,MATCH($A133,Mortality_Matrix!$A$4:$A$64,0),MATCH(2078,Mortality_Matrix!$B$3:$BS$3,0)))/INDEX(Mortality_Matrix!$B$4:$BS$64,MATCH($A133,Mortality_Matrix!$A$4:$A$64,0),MATCH(2078,Mortality_Matrix!$B$3:$BS$3,0))</f>
        <v>1.52572081223577E-010</v>
      </c>
      <c r="BQ133" s="27" t="n">
        <f aca="false">(BQ67-INDEX(Mortality_Matrix!$B$4:$BS$64,MATCH($A133,Mortality_Matrix!$A$4:$A$64,0),MATCH(2079,Mortality_Matrix!$B$3:$BS$3,0)))/INDEX(Mortality_Matrix!$B$4:$BS$64,MATCH($A133,Mortality_Matrix!$A$4:$A$64,0),MATCH(2079,Mortality_Matrix!$B$3:$BS$3,0))</f>
        <v>-1.53074967751817E-010</v>
      </c>
      <c r="BR133" s="27" t="n">
        <f aca="false">(BR67-INDEX(Mortality_Matrix!$B$4:$BS$64,MATCH($A133,Mortality_Matrix!$A$4:$A$64,0),MATCH(2080,Mortality_Matrix!$B$3:$BS$3,0)))/INDEX(Mortality_Matrix!$B$4:$BS$64,MATCH($A133,Mortality_Matrix!$A$4:$A$64,0),MATCH(2080,Mortality_Matrix!$B$3:$BS$3,0))</f>
        <v>5.4486533242368E-012</v>
      </c>
      <c r="BS133" s="27" t="n">
        <f aca="false">(BS67-INDEX(Mortality_Matrix!$B$4:$BS$64,MATCH($A133,Mortality_Matrix!$A$4:$A$64,0),MATCH(2081,Mortality_Matrix!$B$3:$BS$3,0)))/INDEX(Mortality_Matrix!$B$4:$BS$64,MATCH($A133,Mortality_Matrix!$A$4:$A$64,0),MATCH(2081,Mortality_Matrix!$B$3:$BS$3,0))</f>
        <v>-2.08877236409586E-010</v>
      </c>
      <c r="BT133" s="27" t="n">
        <f aca="false">(BT67-INDEX(Mortality_Matrix!$B$4:$BS$64,MATCH($A133,Mortality_Matrix!$A$4:$A$64,0),MATCH(2082,Mortality_Matrix!$B$3:$BS$3,0)))/INDEX(Mortality_Matrix!$B$4:$BS$64,MATCH($A133,Mortality_Matrix!$A$4:$A$64,0),MATCH(2082,Mortality_Matrix!$B$3:$BS$3,0))</f>
        <v>-1.33779951270032E-010</v>
      </c>
      <c r="BU133" s="27" t="n">
        <f aca="false">(BU67-INDEX(Mortality_Matrix!$B$4:$BS$64,MATCH($A133,Mortality_Matrix!$A$4:$A$64,0),MATCH(2083,Mortality_Matrix!$B$3:$BS$3,0)))/INDEX(Mortality_Matrix!$B$4:$BS$64,MATCH($A133,Mortality_Matrix!$A$4:$A$64,0),MATCH(2083,Mortality_Matrix!$B$3:$BS$3,0))</f>
        <v>1.75769848714756E-010</v>
      </c>
      <c r="BV133" s="27" t="n">
        <f aca="false">(BV67-INDEX(Mortality_Matrix!$B$4:$BS$64,MATCH($A133,Mortality_Matrix!$A$4:$A$64,0),MATCH(2084,Mortality_Matrix!$B$3:$BS$3,0)))/INDEX(Mortality_Matrix!$B$4:$BS$64,MATCH($A133,Mortality_Matrix!$A$4:$A$64,0),MATCH(2084,Mortality_Matrix!$B$3:$BS$3,0))</f>
        <v>-6.61012122999869E-011</v>
      </c>
      <c r="BW133" s="27" t="n">
        <f aca="false">(BW67-INDEX(Mortality_Matrix!$B$4:$BS$64,MATCH($A133,Mortality_Matrix!$A$4:$A$64,0),MATCH(2085,Mortality_Matrix!$B$3:$BS$3,0)))/INDEX(Mortality_Matrix!$B$4:$BS$64,MATCH($A133,Mortality_Matrix!$A$4:$A$64,0),MATCH(2085,Mortality_Matrix!$B$3:$BS$3,0))</f>
        <v>-1.30628463963829E-010</v>
      </c>
      <c r="BX133" s="27" t="n">
        <f aca="false">(BX67-INDEX(Mortality_Matrix!$B$4:$BS$64,MATCH($A133,Mortality_Matrix!$A$4:$A$64,0),MATCH(2086,Mortality_Matrix!$B$3:$BS$3,0)))/INDEX(Mortality_Matrix!$B$4:$BS$64,MATCH($A133,Mortality_Matrix!$A$4:$A$64,0),MATCH(2086,Mortality_Matrix!$B$3:$BS$3,0))</f>
        <v>-1.50758679638394E-011</v>
      </c>
      <c r="BY133" s="27" t="n">
        <f aca="false">(BY67-INDEX(Mortality_Matrix!$B$4:$BS$64,MATCH($A133,Mortality_Matrix!$A$4:$A$64,0),MATCH(2087,Mortality_Matrix!$B$3:$BS$3,0)))/INDEX(Mortality_Matrix!$B$4:$BS$64,MATCH($A133,Mortality_Matrix!$A$4:$A$64,0),MATCH(2087,Mortality_Matrix!$B$3:$BS$3,0))</f>
        <v>-1.42168650674975E-012</v>
      </c>
      <c r="BZ133" s="27" t="n">
        <f aca="false">(BZ67-INDEX(Mortality_Matrix!$B$4:$BS$64,MATCH($A133,Mortality_Matrix!$A$4:$A$64,0),MATCH(2088,Mortality_Matrix!$B$3:$BS$3,0)))/INDEX(Mortality_Matrix!$B$4:$BS$64,MATCH($A133,Mortality_Matrix!$A$4:$A$64,0),MATCH(2088,Mortality_Matrix!$B$3:$BS$3,0))</f>
        <v>-2.0533104737616E-010</v>
      </c>
      <c r="CA133" s="27" t="n">
        <f aca="false">(CA67-INDEX(Mortality_Matrix!$B$4:$BS$64,MATCH($A133,Mortality_Matrix!$A$4:$A$64,0),MATCH(2089,Mortality_Matrix!$B$3:$BS$3,0)))/INDEX(Mortality_Matrix!$B$4:$BS$64,MATCH($A133,Mortality_Matrix!$A$4:$A$64,0),MATCH(2089,Mortality_Matrix!$B$3:$BS$3,0))</f>
        <v>-1.15294221333978E-010</v>
      </c>
      <c r="CB133" s="27" t="n">
        <f aca="false">(CB67-INDEX(Mortality_Matrix!$B$4:$BS$64,MATCH($A133,Mortality_Matrix!$A$4:$A$64,0),MATCH(2090,Mortality_Matrix!$B$3:$BS$3,0)))/INDEX(Mortality_Matrix!$B$4:$BS$64,MATCH($A133,Mortality_Matrix!$A$4:$A$64,0),MATCH(2090,Mortality_Matrix!$B$3:$BS$3,0))</f>
        <v>3.7824653947376E-011</v>
      </c>
      <c r="CC133" s="27" t="n">
        <f aca="false">(CC67-INDEX(Mortality_Matrix!$B$4:$BS$64,MATCH($A133,Mortality_Matrix!$A$4:$A$64,0),MATCH(2091,Mortality_Matrix!$B$3:$BS$3,0)))/INDEX(Mortality_Matrix!$B$4:$BS$64,MATCH($A133,Mortality_Matrix!$A$4:$A$64,0),MATCH(2091,Mortality_Matrix!$B$3:$BS$3,0))</f>
        <v>1.90203750009784E-010</v>
      </c>
    </row>
    <row r="134" customFormat="false" ht="15" hidden="false" customHeight="true" outlineLevel="0" collapsed="false">
      <c r="A134" s="3" t="n">
        <v>105</v>
      </c>
      <c r="L134" s="27" t="n">
        <f aca="false">(L68-INDEX(Mortality_Matrix!$B$4:$BS$64,MATCH($A134,Mortality_Matrix!$A$4:$A$64,0),MATCH(2022,Mortality_Matrix!$B$3:$BS$3,0)))/INDEX(Mortality_Matrix!$B$4:$BS$64,MATCH($A134,Mortality_Matrix!$A$4:$A$64,0),MATCH(2022,Mortality_Matrix!$B$3:$BS$3,0))</f>
        <v>-2.92912697480229E-010</v>
      </c>
      <c r="M134" s="27" t="n">
        <f aca="false">(M68-INDEX(Mortality_Matrix!$B$4:$BS$64,MATCH($A134,Mortality_Matrix!$A$4:$A$64,0),MATCH(2023,Mortality_Matrix!$B$3:$BS$3,0)))/INDEX(Mortality_Matrix!$B$4:$BS$64,MATCH($A134,Mortality_Matrix!$A$4:$A$64,0),MATCH(2023,Mortality_Matrix!$B$3:$BS$3,0))</f>
        <v>-1.41280863399466E-010</v>
      </c>
      <c r="N134" s="27" t="n">
        <f aca="false">(N68-INDEX(Mortality_Matrix!$B$4:$BS$64,MATCH($A134,Mortality_Matrix!$A$4:$A$64,0),MATCH(2024,Mortality_Matrix!$B$3:$BS$3,0)))/INDEX(Mortality_Matrix!$B$4:$BS$64,MATCH($A134,Mortality_Matrix!$A$4:$A$64,0),MATCH(2024,Mortality_Matrix!$B$3:$BS$3,0))</f>
        <v>-1.24665743217214E-012</v>
      </c>
      <c r="O134" s="27" t="n">
        <f aca="false">(O68-INDEX(Mortality_Matrix!$B$4:$BS$64,MATCH($A134,Mortality_Matrix!$A$4:$A$64,0),MATCH(2025,Mortality_Matrix!$B$3:$BS$3,0)))/INDEX(Mortality_Matrix!$B$4:$BS$64,MATCH($A134,Mortality_Matrix!$A$4:$A$64,0),MATCH(2025,Mortality_Matrix!$B$3:$BS$3,0))</f>
        <v>-2.34467671057611E-010</v>
      </c>
      <c r="P134" s="27" t="n">
        <f aca="false">(P68-INDEX(Mortality_Matrix!$B$4:$BS$64,MATCH($A134,Mortality_Matrix!$A$4:$A$64,0),MATCH(2026,Mortality_Matrix!$B$3:$BS$3,0)))/INDEX(Mortality_Matrix!$B$4:$BS$64,MATCH($A134,Mortality_Matrix!$A$4:$A$64,0),MATCH(2026,Mortality_Matrix!$B$3:$BS$3,0))</f>
        <v>-1.55587306853584E-010</v>
      </c>
      <c r="Q134" s="27" t="n">
        <f aca="false">(Q68-INDEX(Mortality_Matrix!$B$4:$BS$64,MATCH($A134,Mortality_Matrix!$A$4:$A$64,0),MATCH(2027,Mortality_Matrix!$B$3:$BS$3,0)))/INDEX(Mortality_Matrix!$B$4:$BS$64,MATCH($A134,Mortality_Matrix!$A$4:$A$64,0),MATCH(2027,Mortality_Matrix!$B$3:$BS$3,0))</f>
        <v>1.73150284462358E-010</v>
      </c>
      <c r="R134" s="27" t="n">
        <f aca="false">(R68-INDEX(Mortality_Matrix!$B$4:$BS$64,MATCH($A134,Mortality_Matrix!$A$4:$A$64,0),MATCH(2028,Mortality_Matrix!$B$3:$BS$3,0)))/INDEX(Mortality_Matrix!$B$4:$BS$64,MATCH($A134,Mortality_Matrix!$A$4:$A$64,0),MATCH(2028,Mortality_Matrix!$B$3:$BS$3,0))</f>
        <v>5.69050464405938E-011</v>
      </c>
      <c r="S134" s="27" t="n">
        <f aca="false">(S68-INDEX(Mortality_Matrix!$B$4:$BS$64,MATCH($A134,Mortality_Matrix!$A$4:$A$64,0),MATCH(2029,Mortality_Matrix!$B$3:$BS$3,0)))/INDEX(Mortality_Matrix!$B$4:$BS$64,MATCH($A134,Mortality_Matrix!$A$4:$A$64,0),MATCH(2029,Mortality_Matrix!$B$3:$BS$3,0))</f>
        <v>1.12635830074043E-010</v>
      </c>
      <c r="T134" s="27" t="n">
        <f aca="false">(T68-INDEX(Mortality_Matrix!$B$4:$BS$64,MATCH($A134,Mortality_Matrix!$A$4:$A$64,0),MATCH(2030,Mortality_Matrix!$B$3:$BS$3,0)))/INDEX(Mortality_Matrix!$B$4:$BS$64,MATCH($A134,Mortality_Matrix!$A$4:$A$64,0),MATCH(2030,Mortality_Matrix!$B$3:$BS$3,0))</f>
        <v>3.1122288417616E-010</v>
      </c>
      <c r="U134" s="27" t="n">
        <f aca="false">(U68-INDEX(Mortality_Matrix!$B$4:$BS$64,MATCH($A134,Mortality_Matrix!$A$4:$A$64,0),MATCH(2031,Mortality_Matrix!$B$3:$BS$3,0)))/INDEX(Mortality_Matrix!$B$4:$BS$64,MATCH($A134,Mortality_Matrix!$A$4:$A$64,0),MATCH(2031,Mortality_Matrix!$B$3:$BS$3,0))</f>
        <v>-3.2554996748392E-011</v>
      </c>
      <c r="V134" s="27" t="n">
        <f aca="false">(V68-INDEX(Mortality_Matrix!$B$4:$BS$64,MATCH($A134,Mortality_Matrix!$A$4:$A$64,0),MATCH(2032,Mortality_Matrix!$B$3:$BS$3,0)))/INDEX(Mortality_Matrix!$B$4:$BS$64,MATCH($A134,Mortality_Matrix!$A$4:$A$64,0),MATCH(2032,Mortality_Matrix!$B$3:$BS$3,0))</f>
        <v>-5.03135483439502E-011</v>
      </c>
      <c r="W134" s="27" t="n">
        <f aca="false">(W68-INDEX(Mortality_Matrix!$B$4:$BS$64,MATCH($A134,Mortality_Matrix!$A$4:$A$64,0),MATCH(2033,Mortality_Matrix!$B$3:$BS$3,0)))/INDEX(Mortality_Matrix!$B$4:$BS$64,MATCH($A134,Mortality_Matrix!$A$4:$A$64,0),MATCH(2033,Mortality_Matrix!$B$3:$BS$3,0))</f>
        <v>-2.65542038630395E-010</v>
      </c>
      <c r="X134" s="27" t="n">
        <f aca="false">(X68-INDEX(Mortality_Matrix!$B$4:$BS$64,MATCH($A134,Mortality_Matrix!$A$4:$A$64,0),MATCH(2034,Mortality_Matrix!$B$3:$BS$3,0)))/INDEX(Mortality_Matrix!$B$4:$BS$64,MATCH($A134,Mortality_Matrix!$A$4:$A$64,0),MATCH(2034,Mortality_Matrix!$B$3:$BS$3,0))</f>
        <v>3.62732061830366E-010</v>
      </c>
      <c r="Y134" s="27" t="n">
        <f aca="false">(Y68-INDEX(Mortality_Matrix!$B$4:$BS$64,MATCH($A134,Mortality_Matrix!$A$4:$A$64,0),MATCH(2035,Mortality_Matrix!$B$3:$BS$3,0)))/INDEX(Mortality_Matrix!$B$4:$BS$64,MATCH($A134,Mortality_Matrix!$A$4:$A$64,0),MATCH(2035,Mortality_Matrix!$B$3:$BS$3,0))</f>
        <v>-1.65613405944928E-011</v>
      </c>
      <c r="Z134" s="27" t="n">
        <f aca="false">(Z68-INDEX(Mortality_Matrix!$B$4:$BS$64,MATCH($A134,Mortality_Matrix!$A$4:$A$64,0),MATCH(2036,Mortality_Matrix!$B$3:$BS$3,0)))/INDEX(Mortality_Matrix!$B$4:$BS$64,MATCH($A134,Mortality_Matrix!$A$4:$A$64,0),MATCH(2036,Mortality_Matrix!$B$3:$BS$3,0))</f>
        <v>-1.99289815627193E-010</v>
      </c>
      <c r="AA134" s="27" t="n">
        <f aca="false">(AA68-INDEX(Mortality_Matrix!$B$4:$BS$64,MATCH($A134,Mortality_Matrix!$A$4:$A$64,0),MATCH(2037,Mortality_Matrix!$B$3:$BS$3,0)))/INDEX(Mortality_Matrix!$B$4:$BS$64,MATCH($A134,Mortality_Matrix!$A$4:$A$64,0),MATCH(2037,Mortality_Matrix!$B$3:$BS$3,0))</f>
        <v>3.6406576581905E-010</v>
      </c>
      <c r="AB134" s="27" t="n">
        <f aca="false">(AB68-INDEX(Mortality_Matrix!$B$4:$BS$64,MATCH($A134,Mortality_Matrix!$A$4:$A$64,0),MATCH(2038,Mortality_Matrix!$B$3:$BS$3,0)))/INDEX(Mortality_Matrix!$B$4:$BS$64,MATCH($A134,Mortality_Matrix!$A$4:$A$64,0),MATCH(2038,Mortality_Matrix!$B$3:$BS$3,0))</f>
        <v>5.14044310667022E-011</v>
      </c>
      <c r="AC134" s="27" t="n">
        <f aca="false">(AC68-INDEX(Mortality_Matrix!$B$4:$BS$64,MATCH($A134,Mortality_Matrix!$A$4:$A$64,0),MATCH(2039,Mortality_Matrix!$B$3:$BS$3,0)))/INDEX(Mortality_Matrix!$B$4:$BS$64,MATCH($A134,Mortality_Matrix!$A$4:$A$64,0),MATCH(2039,Mortality_Matrix!$B$3:$BS$3,0))</f>
        <v>3.25711848050551E-010</v>
      </c>
      <c r="AD134" s="27" t="n">
        <f aca="false">(AD68-INDEX(Mortality_Matrix!$B$4:$BS$64,MATCH($A134,Mortality_Matrix!$A$4:$A$64,0),MATCH(2040,Mortality_Matrix!$B$3:$BS$3,0)))/INDEX(Mortality_Matrix!$B$4:$BS$64,MATCH($A134,Mortality_Matrix!$A$4:$A$64,0),MATCH(2040,Mortality_Matrix!$B$3:$BS$3,0))</f>
        <v>-2.82157425801594E-010</v>
      </c>
      <c r="AE134" s="27" t="n">
        <f aca="false">(AE68-INDEX(Mortality_Matrix!$B$4:$BS$64,MATCH($A134,Mortality_Matrix!$A$4:$A$64,0),MATCH(2041,Mortality_Matrix!$B$3:$BS$3,0)))/INDEX(Mortality_Matrix!$B$4:$BS$64,MATCH($A134,Mortality_Matrix!$A$4:$A$64,0),MATCH(2041,Mortality_Matrix!$B$3:$BS$3,0))</f>
        <v>-1.36194677081525E-010</v>
      </c>
      <c r="AF134" s="27" t="n">
        <f aca="false">(AF68-INDEX(Mortality_Matrix!$B$4:$BS$64,MATCH($A134,Mortality_Matrix!$A$4:$A$64,0),MATCH(2042,Mortality_Matrix!$B$3:$BS$3,0)))/INDEX(Mortality_Matrix!$B$4:$BS$64,MATCH($A134,Mortality_Matrix!$A$4:$A$64,0),MATCH(2042,Mortality_Matrix!$B$3:$BS$3,0))</f>
        <v>2.13797265819949E-010</v>
      </c>
      <c r="AG134" s="27" t="n">
        <f aca="false">(AG68-INDEX(Mortality_Matrix!$B$4:$BS$64,MATCH($A134,Mortality_Matrix!$A$4:$A$64,0),MATCH(2043,Mortality_Matrix!$B$3:$BS$3,0)))/INDEX(Mortality_Matrix!$B$4:$BS$64,MATCH($A134,Mortality_Matrix!$A$4:$A$64,0),MATCH(2043,Mortality_Matrix!$B$3:$BS$3,0))</f>
        <v>2.93336921538856E-010</v>
      </c>
      <c r="AH134" s="27" t="n">
        <f aca="false">(AH68-INDEX(Mortality_Matrix!$B$4:$BS$64,MATCH($A134,Mortality_Matrix!$A$4:$A$64,0),MATCH(2044,Mortality_Matrix!$B$3:$BS$3,0)))/INDEX(Mortality_Matrix!$B$4:$BS$64,MATCH($A134,Mortality_Matrix!$A$4:$A$64,0),MATCH(2044,Mortality_Matrix!$B$3:$BS$3,0))</f>
        <v>-2.95800044755366E-010</v>
      </c>
      <c r="AI134" s="27" t="n">
        <f aca="false">(AI68-INDEX(Mortality_Matrix!$B$4:$BS$64,MATCH($A134,Mortality_Matrix!$A$4:$A$64,0),MATCH(2045,Mortality_Matrix!$B$3:$BS$3,0)))/INDEX(Mortality_Matrix!$B$4:$BS$64,MATCH($A134,Mortality_Matrix!$A$4:$A$64,0),MATCH(2045,Mortality_Matrix!$B$3:$BS$3,0))</f>
        <v>-3.35809585222605E-010</v>
      </c>
      <c r="AJ134" s="27" t="n">
        <f aca="false">(AJ68-INDEX(Mortality_Matrix!$B$4:$BS$64,MATCH($A134,Mortality_Matrix!$A$4:$A$64,0),MATCH(2046,Mortality_Matrix!$B$3:$BS$3,0)))/INDEX(Mortality_Matrix!$B$4:$BS$64,MATCH($A134,Mortality_Matrix!$A$4:$A$64,0),MATCH(2046,Mortality_Matrix!$B$3:$BS$3,0))</f>
        <v>-5.56721506098034E-011</v>
      </c>
      <c r="AK134" s="27" t="n">
        <f aca="false">(AK68-INDEX(Mortality_Matrix!$B$4:$BS$64,MATCH($A134,Mortality_Matrix!$A$4:$A$64,0),MATCH(2047,Mortality_Matrix!$B$3:$BS$3,0)))/INDEX(Mortality_Matrix!$B$4:$BS$64,MATCH($A134,Mortality_Matrix!$A$4:$A$64,0),MATCH(2047,Mortality_Matrix!$B$3:$BS$3,0))</f>
        <v>-3.79225498675587E-010</v>
      </c>
      <c r="AL134" s="27" t="n">
        <f aca="false">(AL68-INDEX(Mortality_Matrix!$B$4:$BS$64,MATCH($A134,Mortality_Matrix!$A$4:$A$64,0),MATCH(2048,Mortality_Matrix!$B$3:$BS$3,0)))/INDEX(Mortality_Matrix!$B$4:$BS$64,MATCH($A134,Mortality_Matrix!$A$4:$A$64,0),MATCH(2048,Mortality_Matrix!$B$3:$BS$3,0))</f>
        <v>1.696754462082E-010</v>
      </c>
      <c r="AM134" s="27" t="n">
        <f aca="false">(AM68-INDEX(Mortality_Matrix!$B$4:$BS$64,MATCH($A134,Mortality_Matrix!$A$4:$A$64,0),MATCH(2049,Mortality_Matrix!$B$3:$BS$3,0)))/INDEX(Mortality_Matrix!$B$4:$BS$64,MATCH($A134,Mortality_Matrix!$A$4:$A$64,0),MATCH(2049,Mortality_Matrix!$B$3:$BS$3,0))</f>
        <v>5.20892829273242E-011</v>
      </c>
      <c r="AN134" s="27" t="n">
        <f aca="false">(AN68-INDEX(Mortality_Matrix!$B$4:$BS$64,MATCH($A134,Mortality_Matrix!$A$4:$A$64,0),MATCH(2050,Mortality_Matrix!$B$3:$BS$3,0)))/INDEX(Mortality_Matrix!$B$4:$BS$64,MATCH($A134,Mortality_Matrix!$A$4:$A$64,0),MATCH(2050,Mortality_Matrix!$B$3:$BS$3,0))</f>
        <v>1.3566240906944E-010</v>
      </c>
      <c r="AO134" s="27" t="n">
        <f aca="false">(AO68-INDEX(Mortality_Matrix!$B$4:$BS$64,MATCH($A134,Mortality_Matrix!$A$4:$A$64,0),MATCH(2051,Mortality_Matrix!$B$3:$BS$3,0)))/INDEX(Mortality_Matrix!$B$4:$BS$64,MATCH($A134,Mortality_Matrix!$A$4:$A$64,0),MATCH(2051,Mortality_Matrix!$B$3:$BS$3,0))</f>
        <v>-1.86319022259067E-010</v>
      </c>
      <c r="AP134" s="27" t="n">
        <f aca="false">(AP68-INDEX(Mortality_Matrix!$B$4:$BS$64,MATCH($A134,Mortality_Matrix!$A$4:$A$64,0),MATCH(2052,Mortality_Matrix!$B$3:$BS$3,0)))/INDEX(Mortality_Matrix!$B$4:$BS$64,MATCH($A134,Mortality_Matrix!$A$4:$A$64,0),MATCH(2052,Mortality_Matrix!$B$3:$BS$3,0))</f>
        <v>1.25630530364438E-010</v>
      </c>
      <c r="AQ134" s="27" t="n">
        <f aca="false">(AQ68-INDEX(Mortality_Matrix!$B$4:$BS$64,MATCH($A134,Mortality_Matrix!$A$4:$A$64,0),MATCH(2053,Mortality_Matrix!$B$3:$BS$3,0)))/INDEX(Mortality_Matrix!$B$4:$BS$64,MATCH($A134,Mortality_Matrix!$A$4:$A$64,0),MATCH(2053,Mortality_Matrix!$B$3:$BS$3,0))</f>
        <v>-1.58884994526528E-010</v>
      </c>
      <c r="AR134" s="27" t="n">
        <f aca="false">(AR68-INDEX(Mortality_Matrix!$B$4:$BS$64,MATCH($A134,Mortality_Matrix!$A$4:$A$64,0),MATCH(2054,Mortality_Matrix!$B$3:$BS$3,0)))/INDEX(Mortality_Matrix!$B$4:$BS$64,MATCH($A134,Mortality_Matrix!$A$4:$A$64,0),MATCH(2054,Mortality_Matrix!$B$3:$BS$3,0))</f>
        <v>1.68383192787839E-010</v>
      </c>
      <c r="AS134" s="27" t="n">
        <f aca="false">(AS68-INDEX(Mortality_Matrix!$B$4:$BS$64,MATCH($A134,Mortality_Matrix!$A$4:$A$64,0),MATCH(2055,Mortality_Matrix!$B$3:$BS$3,0)))/INDEX(Mortality_Matrix!$B$4:$BS$64,MATCH($A134,Mortality_Matrix!$A$4:$A$64,0),MATCH(2055,Mortality_Matrix!$B$3:$BS$3,0))</f>
        <v>3.35932906871028E-011</v>
      </c>
      <c r="AT134" s="27" t="n">
        <f aca="false">(AT68-INDEX(Mortality_Matrix!$B$4:$BS$64,MATCH($A134,Mortality_Matrix!$A$4:$A$64,0),MATCH(2056,Mortality_Matrix!$B$3:$BS$3,0)))/INDEX(Mortality_Matrix!$B$4:$BS$64,MATCH($A134,Mortality_Matrix!$A$4:$A$64,0),MATCH(2056,Mortality_Matrix!$B$3:$BS$3,0))</f>
        <v>2.2459604906376E-011</v>
      </c>
      <c r="AU134" s="27" t="n">
        <f aca="false">(AU68-INDEX(Mortality_Matrix!$B$4:$BS$64,MATCH($A134,Mortality_Matrix!$A$4:$A$64,0),MATCH(2057,Mortality_Matrix!$B$3:$BS$3,0)))/INDEX(Mortality_Matrix!$B$4:$BS$64,MATCH($A134,Mortality_Matrix!$A$4:$A$64,0),MATCH(2057,Mortality_Matrix!$B$3:$BS$3,0))</f>
        <v>1.20899509440713E-011</v>
      </c>
      <c r="AV134" s="27" t="n">
        <f aca="false">(AV68-INDEX(Mortality_Matrix!$B$4:$BS$64,MATCH($A134,Mortality_Matrix!$A$4:$A$64,0),MATCH(2058,Mortality_Matrix!$B$3:$BS$3,0)))/INDEX(Mortality_Matrix!$B$4:$BS$64,MATCH($A134,Mortality_Matrix!$A$4:$A$64,0),MATCH(2058,Mortality_Matrix!$B$3:$BS$3,0))</f>
        <v>-3.99139855184362E-011</v>
      </c>
      <c r="AW134" s="27" t="n">
        <f aca="false">(AW68-INDEX(Mortality_Matrix!$B$4:$BS$64,MATCH($A134,Mortality_Matrix!$A$4:$A$64,0),MATCH(2059,Mortality_Matrix!$B$3:$BS$3,0)))/INDEX(Mortality_Matrix!$B$4:$BS$64,MATCH($A134,Mortality_Matrix!$A$4:$A$64,0),MATCH(2059,Mortality_Matrix!$B$3:$BS$3,0))</f>
        <v>-9.44818993568876E-011</v>
      </c>
      <c r="AX134" s="27" t="n">
        <f aca="false">(AX68-INDEX(Mortality_Matrix!$B$4:$BS$64,MATCH($A134,Mortality_Matrix!$A$4:$A$64,0),MATCH(2060,Mortality_Matrix!$B$3:$BS$3,0)))/INDEX(Mortality_Matrix!$B$4:$BS$64,MATCH($A134,Mortality_Matrix!$A$4:$A$64,0),MATCH(2060,Mortality_Matrix!$B$3:$BS$3,0))</f>
        <v>-3.00912837486863E-011</v>
      </c>
      <c r="AY134" s="27" t="n">
        <f aca="false">(AY68-INDEX(Mortality_Matrix!$B$4:$BS$64,MATCH($A134,Mortality_Matrix!$A$4:$A$64,0),MATCH(2061,Mortality_Matrix!$B$3:$BS$3,0)))/INDEX(Mortality_Matrix!$B$4:$BS$64,MATCH($A134,Mortality_Matrix!$A$4:$A$64,0),MATCH(2061,Mortality_Matrix!$B$3:$BS$3,0))</f>
        <v>3.5822215019138E-010</v>
      </c>
      <c r="AZ134" s="27" t="n">
        <f aca="false">(AZ68-INDEX(Mortality_Matrix!$B$4:$BS$64,MATCH($A134,Mortality_Matrix!$A$4:$A$64,0),MATCH(2062,Mortality_Matrix!$B$3:$BS$3,0)))/INDEX(Mortality_Matrix!$B$4:$BS$64,MATCH($A134,Mortality_Matrix!$A$4:$A$64,0),MATCH(2062,Mortality_Matrix!$B$3:$BS$3,0))</f>
        <v>-2.59604631282417E-010</v>
      </c>
      <c r="BA134" s="27" t="n">
        <f aca="false">(BA68-INDEX(Mortality_Matrix!$B$4:$BS$64,MATCH($A134,Mortality_Matrix!$A$4:$A$64,0),MATCH(2063,Mortality_Matrix!$B$3:$BS$3,0)))/INDEX(Mortality_Matrix!$B$4:$BS$64,MATCH($A134,Mortality_Matrix!$A$4:$A$64,0),MATCH(2063,Mortality_Matrix!$B$3:$BS$3,0))</f>
        <v>1.00998986188608E-010</v>
      </c>
      <c r="BB134" s="27" t="n">
        <f aca="false">(BB68-INDEX(Mortality_Matrix!$B$4:$BS$64,MATCH($A134,Mortality_Matrix!$A$4:$A$64,0),MATCH(2064,Mortality_Matrix!$B$3:$BS$3,0)))/INDEX(Mortality_Matrix!$B$4:$BS$64,MATCH($A134,Mortality_Matrix!$A$4:$A$64,0),MATCH(2064,Mortality_Matrix!$B$3:$BS$3,0))</f>
        <v>2.72068035062232E-010</v>
      </c>
      <c r="BC134" s="27" t="n">
        <f aca="false">(BC68-INDEX(Mortality_Matrix!$B$4:$BS$64,MATCH($A134,Mortality_Matrix!$A$4:$A$64,0),MATCH(2065,Mortality_Matrix!$B$3:$BS$3,0)))/INDEX(Mortality_Matrix!$B$4:$BS$64,MATCH($A134,Mortality_Matrix!$A$4:$A$64,0),MATCH(2065,Mortality_Matrix!$B$3:$BS$3,0))</f>
        <v>-2.94290529148032E-011</v>
      </c>
      <c r="BD134" s="27" t="n">
        <f aca="false">(BD68-INDEX(Mortality_Matrix!$B$4:$BS$64,MATCH($A134,Mortality_Matrix!$A$4:$A$64,0),MATCH(2066,Mortality_Matrix!$B$3:$BS$3,0)))/INDEX(Mortality_Matrix!$B$4:$BS$64,MATCH($A134,Mortality_Matrix!$A$4:$A$64,0),MATCH(2066,Mortality_Matrix!$B$3:$BS$3,0))</f>
        <v>-1.88416715096078E-010</v>
      </c>
      <c r="BE134" s="27" t="n">
        <f aca="false">(BE68-INDEX(Mortality_Matrix!$B$4:$BS$64,MATCH($A134,Mortality_Matrix!$A$4:$A$64,0),MATCH(2067,Mortality_Matrix!$B$3:$BS$3,0)))/INDEX(Mortality_Matrix!$B$4:$BS$64,MATCH($A134,Mortality_Matrix!$A$4:$A$64,0),MATCH(2067,Mortality_Matrix!$B$3:$BS$3,0))</f>
        <v>-3.22401085854624E-010</v>
      </c>
      <c r="BF134" s="27" t="n">
        <f aca="false">(BF68-INDEX(Mortality_Matrix!$B$4:$BS$64,MATCH($A134,Mortality_Matrix!$A$4:$A$64,0),MATCH(2068,Mortality_Matrix!$B$3:$BS$3,0)))/INDEX(Mortality_Matrix!$B$4:$BS$64,MATCH($A134,Mortality_Matrix!$A$4:$A$64,0),MATCH(2068,Mortality_Matrix!$B$3:$BS$3,0))</f>
        <v>3.561321783671E-010</v>
      </c>
      <c r="BG134" s="27" t="n">
        <f aca="false">(BG68-INDEX(Mortality_Matrix!$B$4:$BS$64,MATCH($A134,Mortality_Matrix!$A$4:$A$64,0),MATCH(2069,Mortality_Matrix!$B$3:$BS$3,0)))/INDEX(Mortality_Matrix!$B$4:$BS$64,MATCH($A134,Mortality_Matrix!$A$4:$A$64,0),MATCH(2069,Mortality_Matrix!$B$3:$BS$3,0))</f>
        <v>2.45321615453404E-010</v>
      </c>
      <c r="BH134" s="27" t="n">
        <f aca="false">(BH68-INDEX(Mortality_Matrix!$B$4:$BS$64,MATCH($A134,Mortality_Matrix!$A$4:$A$64,0),MATCH(2070,Mortality_Matrix!$B$3:$BS$3,0)))/INDEX(Mortality_Matrix!$B$4:$BS$64,MATCH($A134,Mortality_Matrix!$A$4:$A$64,0),MATCH(2070,Mortality_Matrix!$B$3:$BS$3,0))</f>
        <v>2.94258145815377E-010</v>
      </c>
      <c r="BI134" s="27" t="n">
        <f aca="false">(BI68-INDEX(Mortality_Matrix!$B$4:$BS$64,MATCH($A134,Mortality_Matrix!$A$4:$A$64,0),MATCH(2071,Mortality_Matrix!$B$3:$BS$3,0)))/INDEX(Mortality_Matrix!$B$4:$BS$64,MATCH($A134,Mortality_Matrix!$A$4:$A$64,0),MATCH(2071,Mortality_Matrix!$B$3:$BS$3,0))</f>
        <v>-1.18378228890615E-010</v>
      </c>
      <c r="BJ134" s="27" t="n">
        <f aca="false">(BJ68-INDEX(Mortality_Matrix!$B$4:$BS$64,MATCH($A134,Mortality_Matrix!$A$4:$A$64,0),MATCH(2072,Mortality_Matrix!$B$3:$BS$3,0)))/INDEX(Mortality_Matrix!$B$4:$BS$64,MATCH($A134,Mortality_Matrix!$A$4:$A$64,0),MATCH(2072,Mortality_Matrix!$B$3:$BS$3,0))</f>
        <v>1.2944784269313E-010</v>
      </c>
      <c r="BK134" s="27" t="n">
        <f aca="false">(BK68-INDEX(Mortality_Matrix!$B$4:$BS$64,MATCH($A134,Mortality_Matrix!$A$4:$A$64,0),MATCH(2073,Mortality_Matrix!$B$3:$BS$3,0)))/INDEX(Mortality_Matrix!$B$4:$BS$64,MATCH($A134,Mortality_Matrix!$A$4:$A$64,0),MATCH(2073,Mortality_Matrix!$B$3:$BS$3,0))</f>
        <v>-2.55545609955379E-010</v>
      </c>
      <c r="BL134" s="27" t="n">
        <f aca="false">(BL68-INDEX(Mortality_Matrix!$B$4:$BS$64,MATCH($A134,Mortality_Matrix!$A$4:$A$64,0),MATCH(2074,Mortality_Matrix!$B$3:$BS$3,0)))/INDEX(Mortality_Matrix!$B$4:$BS$64,MATCH($A134,Mortality_Matrix!$A$4:$A$64,0),MATCH(2074,Mortality_Matrix!$B$3:$BS$3,0))</f>
        <v>1.81185560255049E-011</v>
      </c>
      <c r="BM134" s="27" t="n">
        <f aca="false">(BM68-INDEX(Mortality_Matrix!$B$4:$BS$64,MATCH($A134,Mortality_Matrix!$A$4:$A$64,0),MATCH(2075,Mortality_Matrix!$B$3:$BS$3,0)))/INDEX(Mortality_Matrix!$B$4:$BS$64,MATCH($A134,Mortality_Matrix!$A$4:$A$64,0),MATCH(2075,Mortality_Matrix!$B$3:$BS$3,0))</f>
        <v>-1.86484174418166E-010</v>
      </c>
      <c r="BN134" s="27" t="n">
        <f aca="false">(BN68-INDEX(Mortality_Matrix!$B$4:$BS$64,MATCH($A134,Mortality_Matrix!$A$4:$A$64,0),MATCH(2076,Mortality_Matrix!$B$3:$BS$3,0)))/INDEX(Mortality_Matrix!$B$4:$BS$64,MATCH($A134,Mortality_Matrix!$A$4:$A$64,0),MATCH(2076,Mortality_Matrix!$B$3:$BS$3,0))</f>
        <v>-2.48978739382132E-010</v>
      </c>
      <c r="BO134" s="27" t="n">
        <f aca="false">(BO68-INDEX(Mortality_Matrix!$B$4:$BS$64,MATCH($A134,Mortality_Matrix!$A$4:$A$64,0),MATCH(2077,Mortality_Matrix!$B$3:$BS$3,0)))/INDEX(Mortality_Matrix!$B$4:$BS$64,MATCH($A134,Mortality_Matrix!$A$4:$A$64,0),MATCH(2077,Mortality_Matrix!$B$3:$BS$3,0))</f>
        <v>-3.06578851682328E-010</v>
      </c>
      <c r="BP134" s="27" t="n">
        <f aca="false">(BP68-INDEX(Mortality_Matrix!$B$4:$BS$64,MATCH($A134,Mortality_Matrix!$A$4:$A$64,0),MATCH(2078,Mortality_Matrix!$B$3:$BS$3,0)))/INDEX(Mortality_Matrix!$B$4:$BS$64,MATCH($A134,Mortality_Matrix!$A$4:$A$64,0),MATCH(2078,Mortality_Matrix!$B$3:$BS$3,0))</f>
        <v>-4.16178567418604E-010</v>
      </c>
      <c r="BQ134" s="27" t="n">
        <f aca="false">(BQ68-INDEX(Mortality_Matrix!$B$4:$BS$64,MATCH($A134,Mortality_Matrix!$A$4:$A$64,0),MATCH(2079,Mortality_Matrix!$B$3:$BS$3,0)))/INDEX(Mortality_Matrix!$B$4:$BS$64,MATCH($A134,Mortality_Matrix!$A$4:$A$64,0),MATCH(2079,Mortality_Matrix!$B$3:$BS$3,0))</f>
        <v>2.98789238481168E-010</v>
      </c>
      <c r="BR134" s="27" t="n">
        <f aca="false">(BR68-INDEX(Mortality_Matrix!$B$4:$BS$64,MATCH($A134,Mortality_Matrix!$A$4:$A$64,0),MATCH(2080,Mortality_Matrix!$B$3:$BS$3,0)))/INDEX(Mortality_Matrix!$B$4:$BS$64,MATCH($A134,Mortality_Matrix!$A$4:$A$64,0),MATCH(2080,Mortality_Matrix!$B$3:$BS$3,0))</f>
        <v>2.43231836019158E-010</v>
      </c>
      <c r="BS134" s="27" t="n">
        <f aca="false">(BS68-INDEX(Mortality_Matrix!$B$4:$BS$64,MATCH($A134,Mortality_Matrix!$A$4:$A$64,0),MATCH(2081,Mortality_Matrix!$B$3:$BS$3,0)))/INDEX(Mortality_Matrix!$B$4:$BS$64,MATCH($A134,Mortality_Matrix!$A$4:$A$64,0),MATCH(2081,Mortality_Matrix!$B$3:$BS$3,0))</f>
        <v>-4.00602671078668E-010</v>
      </c>
      <c r="BT134" s="27" t="n">
        <f aca="false">(BT68-INDEX(Mortality_Matrix!$B$4:$BS$64,MATCH($A134,Mortality_Matrix!$A$4:$A$64,0),MATCH(2082,Mortality_Matrix!$B$3:$BS$3,0)))/INDEX(Mortality_Matrix!$B$4:$BS$64,MATCH($A134,Mortality_Matrix!$A$4:$A$64,0),MATCH(2082,Mortality_Matrix!$B$3:$BS$3,0))</f>
        <v>3.53514288275756E-010</v>
      </c>
      <c r="BU134" s="27" t="n">
        <f aca="false">(BU68-INDEX(Mortality_Matrix!$B$4:$BS$64,MATCH($A134,Mortality_Matrix!$A$4:$A$64,0),MATCH(2083,Mortality_Matrix!$B$3:$BS$3,0)))/INDEX(Mortality_Matrix!$B$4:$BS$64,MATCH($A134,Mortality_Matrix!$A$4:$A$64,0),MATCH(2083,Mortality_Matrix!$B$3:$BS$3,0))</f>
        <v>2.85379204261898E-010</v>
      </c>
      <c r="BV134" s="27" t="n">
        <f aca="false">(BV68-INDEX(Mortality_Matrix!$B$4:$BS$64,MATCH($A134,Mortality_Matrix!$A$4:$A$64,0),MATCH(2084,Mortality_Matrix!$B$3:$BS$3,0)))/INDEX(Mortality_Matrix!$B$4:$BS$64,MATCH($A134,Mortality_Matrix!$A$4:$A$64,0),MATCH(2084,Mortality_Matrix!$B$3:$BS$3,0))</f>
        <v>-1.74835407440031E-010</v>
      </c>
      <c r="BW134" s="27" t="n">
        <f aca="false">(BW68-INDEX(Mortality_Matrix!$B$4:$BS$64,MATCH($A134,Mortality_Matrix!$A$4:$A$64,0),MATCH(2085,Mortality_Matrix!$B$3:$BS$3,0)))/INDEX(Mortality_Matrix!$B$4:$BS$64,MATCH($A134,Mortality_Matrix!$A$4:$A$64,0),MATCH(2085,Mortality_Matrix!$B$3:$BS$3,0))</f>
        <v>3.57912851911075E-010</v>
      </c>
      <c r="BX134" s="27" t="n">
        <f aca="false">(BX68-INDEX(Mortality_Matrix!$B$4:$BS$64,MATCH($A134,Mortality_Matrix!$A$4:$A$64,0),MATCH(2086,Mortality_Matrix!$B$3:$BS$3,0)))/INDEX(Mortality_Matrix!$B$4:$BS$64,MATCH($A134,Mortality_Matrix!$A$4:$A$64,0),MATCH(2086,Mortality_Matrix!$B$3:$BS$3,0))</f>
        <v>-1.13778328674086E-010</v>
      </c>
      <c r="BY134" s="27" t="n">
        <f aca="false">(BY68-INDEX(Mortality_Matrix!$B$4:$BS$64,MATCH($A134,Mortality_Matrix!$A$4:$A$64,0),MATCH(2087,Mortality_Matrix!$B$3:$BS$3,0)))/INDEX(Mortality_Matrix!$B$4:$BS$64,MATCH($A134,Mortality_Matrix!$A$4:$A$64,0),MATCH(2087,Mortality_Matrix!$B$3:$BS$3,0))</f>
        <v>-3.78363939109543E-011</v>
      </c>
      <c r="BZ134" s="27" t="n">
        <f aca="false">(BZ68-INDEX(Mortality_Matrix!$B$4:$BS$64,MATCH($A134,Mortality_Matrix!$A$4:$A$64,0),MATCH(2088,Mortality_Matrix!$B$3:$BS$3,0)))/INDEX(Mortality_Matrix!$B$4:$BS$64,MATCH($A134,Mortality_Matrix!$A$4:$A$64,0),MATCH(2088,Mortality_Matrix!$B$3:$BS$3,0))</f>
        <v>-3.88046078079919E-010</v>
      </c>
      <c r="CA134" s="27" t="n">
        <f aca="false">(CA68-INDEX(Mortality_Matrix!$B$4:$BS$64,MATCH($A134,Mortality_Matrix!$A$4:$A$64,0),MATCH(2089,Mortality_Matrix!$B$3:$BS$3,0)))/INDEX(Mortality_Matrix!$B$4:$BS$64,MATCH($A134,Mortality_Matrix!$A$4:$A$64,0),MATCH(2089,Mortality_Matrix!$B$3:$BS$3,0))</f>
        <v>-3.11646301832346E-010</v>
      </c>
      <c r="CB134" s="27" t="n">
        <f aca="false">(CB68-INDEX(Mortality_Matrix!$B$4:$BS$64,MATCH($A134,Mortality_Matrix!$A$4:$A$64,0),MATCH(2090,Mortality_Matrix!$B$3:$BS$3,0)))/INDEX(Mortality_Matrix!$B$4:$BS$64,MATCH($A134,Mortality_Matrix!$A$4:$A$64,0),MATCH(2090,Mortality_Matrix!$B$3:$BS$3,0))</f>
        <v>2.55589583141158E-010</v>
      </c>
      <c r="CC134" s="27" t="n">
        <f aca="false">(CC68-INDEX(Mortality_Matrix!$B$4:$BS$64,MATCH($A134,Mortality_Matrix!$A$4:$A$64,0),MATCH(2091,Mortality_Matrix!$B$3:$BS$3,0)))/INDEX(Mortality_Matrix!$B$4:$BS$64,MATCH($A134,Mortality_Matrix!$A$4:$A$64,0),MATCH(2091,Mortality_Matrix!$B$3:$BS$3,0))</f>
        <v>-3.06285503871284E-010</v>
      </c>
    </row>
    <row r="135" customFormat="false" ht="15" hidden="false" customHeight="true" outlineLevel="0" collapsed="false">
      <c r="A135" s="3" t="n">
        <v>106</v>
      </c>
      <c r="L135" s="27" t="n">
        <f aca="false">(L69-INDEX(Mortality_Matrix!$B$4:$BS$64,MATCH($A135,Mortality_Matrix!$A$4:$A$64,0),MATCH(2022,Mortality_Matrix!$B$3:$BS$3,0)))/INDEX(Mortality_Matrix!$B$4:$BS$64,MATCH($A135,Mortality_Matrix!$A$4:$A$64,0),MATCH(2022,Mortality_Matrix!$B$3:$BS$3,0))</f>
        <v>-5.77931698882757E-011</v>
      </c>
      <c r="M135" s="27" t="n">
        <f aca="false">(M69-INDEX(Mortality_Matrix!$B$4:$BS$64,MATCH($A135,Mortality_Matrix!$A$4:$A$64,0),MATCH(2023,Mortality_Matrix!$B$3:$BS$3,0)))/INDEX(Mortality_Matrix!$B$4:$BS$64,MATCH($A135,Mortality_Matrix!$A$4:$A$64,0),MATCH(2023,Mortality_Matrix!$B$3:$BS$3,0))</f>
        <v>1.24538334561816E-010</v>
      </c>
      <c r="N135" s="27" t="n">
        <f aca="false">(N69-INDEX(Mortality_Matrix!$B$4:$BS$64,MATCH($A135,Mortality_Matrix!$A$4:$A$64,0),MATCH(2024,Mortality_Matrix!$B$3:$BS$3,0)))/INDEX(Mortality_Matrix!$B$4:$BS$64,MATCH($A135,Mortality_Matrix!$A$4:$A$64,0),MATCH(2024,Mortality_Matrix!$B$3:$BS$3,0))</f>
        <v>9.8090114817647E-011</v>
      </c>
      <c r="O135" s="27" t="n">
        <f aca="false">(O69-INDEX(Mortality_Matrix!$B$4:$BS$64,MATCH($A135,Mortality_Matrix!$A$4:$A$64,0),MATCH(2025,Mortality_Matrix!$B$3:$BS$3,0)))/INDEX(Mortality_Matrix!$B$4:$BS$64,MATCH($A135,Mortality_Matrix!$A$4:$A$64,0),MATCH(2025,Mortality_Matrix!$B$3:$BS$3,0))</f>
        <v>9.59302820030857E-011</v>
      </c>
      <c r="P135" s="27" t="n">
        <f aca="false">(P69-INDEX(Mortality_Matrix!$B$4:$BS$64,MATCH($A135,Mortality_Matrix!$A$4:$A$64,0),MATCH(2026,Mortality_Matrix!$B$3:$BS$3,0)))/INDEX(Mortality_Matrix!$B$4:$BS$64,MATCH($A135,Mortality_Matrix!$A$4:$A$64,0),MATCH(2026,Mortality_Matrix!$B$3:$BS$3,0))</f>
        <v>1.14769122621907E-010</v>
      </c>
      <c r="Q135" s="27" t="n">
        <f aca="false">(Q69-INDEX(Mortality_Matrix!$B$4:$BS$64,MATCH($A135,Mortality_Matrix!$A$4:$A$64,0),MATCH(2027,Mortality_Matrix!$B$3:$BS$3,0)))/INDEX(Mortality_Matrix!$B$4:$BS$64,MATCH($A135,Mortality_Matrix!$A$4:$A$64,0),MATCH(2027,Mortality_Matrix!$B$3:$BS$3,0))</f>
        <v>-1.25827848853679E-010</v>
      </c>
      <c r="R135" s="27" t="n">
        <f aca="false">(R69-INDEX(Mortality_Matrix!$B$4:$BS$64,MATCH($A135,Mortality_Matrix!$A$4:$A$64,0),MATCH(2028,Mortality_Matrix!$B$3:$BS$3,0)))/INDEX(Mortality_Matrix!$B$4:$BS$64,MATCH($A135,Mortality_Matrix!$A$4:$A$64,0),MATCH(2028,Mortality_Matrix!$B$3:$BS$3,0))</f>
        <v>3.29209137895223E-011</v>
      </c>
      <c r="S135" s="27" t="n">
        <f aca="false">(S69-INDEX(Mortality_Matrix!$B$4:$BS$64,MATCH($A135,Mortality_Matrix!$A$4:$A$64,0),MATCH(2029,Mortality_Matrix!$B$3:$BS$3,0)))/INDEX(Mortality_Matrix!$B$4:$BS$64,MATCH($A135,Mortality_Matrix!$A$4:$A$64,0),MATCH(2029,Mortality_Matrix!$B$3:$BS$3,0))</f>
        <v>5.82768133126269E-011</v>
      </c>
      <c r="T135" s="27" t="n">
        <f aca="false">(T69-INDEX(Mortality_Matrix!$B$4:$BS$64,MATCH($A135,Mortality_Matrix!$A$4:$A$64,0),MATCH(2030,Mortality_Matrix!$B$3:$BS$3,0)))/INDEX(Mortality_Matrix!$B$4:$BS$64,MATCH($A135,Mortality_Matrix!$A$4:$A$64,0),MATCH(2030,Mortality_Matrix!$B$3:$BS$3,0))</f>
        <v>-6.36117425224603E-012</v>
      </c>
      <c r="U135" s="27" t="n">
        <f aca="false">(U69-INDEX(Mortality_Matrix!$B$4:$BS$64,MATCH($A135,Mortality_Matrix!$A$4:$A$64,0),MATCH(2031,Mortality_Matrix!$B$3:$BS$3,0)))/INDEX(Mortality_Matrix!$B$4:$BS$64,MATCH($A135,Mortality_Matrix!$A$4:$A$64,0),MATCH(2031,Mortality_Matrix!$B$3:$BS$3,0))</f>
        <v>-8.36739159719329E-011</v>
      </c>
      <c r="V135" s="27" t="n">
        <f aca="false">(V69-INDEX(Mortality_Matrix!$B$4:$BS$64,MATCH($A135,Mortality_Matrix!$A$4:$A$64,0),MATCH(2032,Mortality_Matrix!$B$3:$BS$3,0)))/INDEX(Mortality_Matrix!$B$4:$BS$64,MATCH($A135,Mortality_Matrix!$A$4:$A$64,0),MATCH(2032,Mortality_Matrix!$B$3:$BS$3,0))</f>
        <v>-6.20976004169045E-011</v>
      </c>
      <c r="W135" s="27" t="n">
        <f aca="false">(W69-INDEX(Mortality_Matrix!$B$4:$BS$64,MATCH($A135,Mortality_Matrix!$A$4:$A$64,0),MATCH(2033,Mortality_Matrix!$B$3:$BS$3,0)))/INDEX(Mortality_Matrix!$B$4:$BS$64,MATCH($A135,Mortality_Matrix!$A$4:$A$64,0),MATCH(2033,Mortality_Matrix!$B$3:$BS$3,0))</f>
        <v>-7.13667451615093E-011</v>
      </c>
      <c r="X135" s="27" t="n">
        <f aca="false">(X69-INDEX(Mortality_Matrix!$B$4:$BS$64,MATCH($A135,Mortality_Matrix!$A$4:$A$64,0),MATCH(2034,Mortality_Matrix!$B$3:$BS$3,0)))/INDEX(Mortality_Matrix!$B$4:$BS$64,MATCH($A135,Mortality_Matrix!$A$4:$A$64,0),MATCH(2034,Mortality_Matrix!$B$3:$BS$3,0))</f>
        <v>6.75645829509311E-011</v>
      </c>
      <c r="Y135" s="27" t="n">
        <f aca="false">(Y69-INDEX(Mortality_Matrix!$B$4:$BS$64,MATCH($A135,Mortality_Matrix!$A$4:$A$64,0),MATCH(2035,Mortality_Matrix!$B$3:$BS$3,0)))/INDEX(Mortality_Matrix!$B$4:$BS$64,MATCH($A135,Mortality_Matrix!$A$4:$A$64,0),MATCH(2035,Mortality_Matrix!$B$3:$BS$3,0))</f>
        <v>1.45638453436499E-011</v>
      </c>
      <c r="Z135" s="27" t="n">
        <f aca="false">(Z69-INDEX(Mortality_Matrix!$B$4:$BS$64,MATCH($A135,Mortality_Matrix!$A$4:$A$64,0),MATCH(2036,Mortality_Matrix!$B$3:$BS$3,0)))/INDEX(Mortality_Matrix!$B$4:$BS$64,MATCH($A135,Mortality_Matrix!$A$4:$A$64,0),MATCH(2036,Mortality_Matrix!$B$3:$BS$3,0))</f>
        <v>1.54531037826743E-011</v>
      </c>
      <c r="AA135" s="27" t="n">
        <f aca="false">(AA69-INDEX(Mortality_Matrix!$B$4:$BS$64,MATCH($A135,Mortality_Matrix!$A$4:$A$64,0),MATCH(2037,Mortality_Matrix!$B$3:$BS$3,0)))/INDEX(Mortality_Matrix!$B$4:$BS$64,MATCH($A135,Mortality_Matrix!$A$4:$A$64,0),MATCH(2037,Mortality_Matrix!$B$3:$BS$3,0))</f>
        <v>7.33886516516967E-011</v>
      </c>
      <c r="AB135" s="27" t="n">
        <f aca="false">(AB69-INDEX(Mortality_Matrix!$B$4:$BS$64,MATCH($A135,Mortality_Matrix!$A$4:$A$64,0),MATCH(2038,Mortality_Matrix!$B$3:$BS$3,0)))/INDEX(Mortality_Matrix!$B$4:$BS$64,MATCH($A135,Mortality_Matrix!$A$4:$A$64,0),MATCH(2038,Mortality_Matrix!$B$3:$BS$3,0))</f>
        <v>-5.4152520137861E-011</v>
      </c>
      <c r="AC135" s="27" t="n">
        <f aca="false">(AC69-INDEX(Mortality_Matrix!$B$4:$BS$64,MATCH($A135,Mortality_Matrix!$A$4:$A$64,0),MATCH(2039,Mortality_Matrix!$B$3:$BS$3,0)))/INDEX(Mortality_Matrix!$B$4:$BS$64,MATCH($A135,Mortality_Matrix!$A$4:$A$64,0),MATCH(2039,Mortality_Matrix!$B$3:$BS$3,0))</f>
        <v>-1.87761033857836E-011</v>
      </c>
      <c r="AD135" s="27" t="n">
        <f aca="false">(AD69-INDEX(Mortality_Matrix!$B$4:$BS$64,MATCH($A135,Mortality_Matrix!$A$4:$A$64,0),MATCH(2040,Mortality_Matrix!$B$3:$BS$3,0)))/INDEX(Mortality_Matrix!$B$4:$BS$64,MATCH($A135,Mortality_Matrix!$A$4:$A$64,0),MATCH(2040,Mortality_Matrix!$B$3:$BS$3,0))</f>
        <v>3.66807176487209E-012</v>
      </c>
      <c r="AE135" s="27" t="n">
        <f aca="false">(AE69-INDEX(Mortality_Matrix!$B$4:$BS$64,MATCH($A135,Mortality_Matrix!$A$4:$A$64,0),MATCH(2041,Mortality_Matrix!$B$3:$BS$3,0)))/INDEX(Mortality_Matrix!$B$4:$BS$64,MATCH($A135,Mortality_Matrix!$A$4:$A$64,0),MATCH(2041,Mortality_Matrix!$B$3:$BS$3,0))</f>
        <v>-1.30870220526876E-010</v>
      </c>
      <c r="AF135" s="27" t="n">
        <f aca="false">(AF69-INDEX(Mortality_Matrix!$B$4:$BS$64,MATCH($A135,Mortality_Matrix!$A$4:$A$64,0),MATCH(2042,Mortality_Matrix!$B$3:$BS$3,0)))/INDEX(Mortality_Matrix!$B$4:$BS$64,MATCH($A135,Mortality_Matrix!$A$4:$A$64,0),MATCH(2042,Mortality_Matrix!$B$3:$BS$3,0))</f>
        <v>2.94757651118203E-011</v>
      </c>
      <c r="AG135" s="27" t="n">
        <f aca="false">(AG69-INDEX(Mortality_Matrix!$B$4:$BS$64,MATCH($A135,Mortality_Matrix!$A$4:$A$64,0),MATCH(2043,Mortality_Matrix!$B$3:$BS$3,0)))/INDEX(Mortality_Matrix!$B$4:$BS$64,MATCH($A135,Mortality_Matrix!$A$4:$A$64,0),MATCH(2043,Mortality_Matrix!$B$3:$BS$3,0))</f>
        <v>1.2668354099433E-010</v>
      </c>
      <c r="AH135" s="27" t="n">
        <f aca="false">(AH69-INDEX(Mortality_Matrix!$B$4:$BS$64,MATCH($A135,Mortality_Matrix!$A$4:$A$64,0),MATCH(2044,Mortality_Matrix!$B$3:$BS$3,0)))/INDEX(Mortality_Matrix!$B$4:$BS$64,MATCH($A135,Mortality_Matrix!$A$4:$A$64,0),MATCH(2044,Mortality_Matrix!$B$3:$BS$3,0))</f>
        <v>1.16032859921026E-010</v>
      </c>
      <c r="AI135" s="27" t="n">
        <f aca="false">(AI69-INDEX(Mortality_Matrix!$B$4:$BS$64,MATCH($A135,Mortality_Matrix!$A$4:$A$64,0),MATCH(2045,Mortality_Matrix!$B$3:$BS$3,0)))/INDEX(Mortality_Matrix!$B$4:$BS$64,MATCH($A135,Mortality_Matrix!$A$4:$A$64,0),MATCH(2045,Mortality_Matrix!$B$3:$BS$3,0))</f>
        <v>-1.41259991247281E-011</v>
      </c>
      <c r="AJ135" s="27" t="n">
        <f aca="false">(AJ69-INDEX(Mortality_Matrix!$B$4:$BS$64,MATCH($A135,Mortality_Matrix!$A$4:$A$64,0),MATCH(2046,Mortality_Matrix!$B$3:$BS$3,0)))/INDEX(Mortality_Matrix!$B$4:$BS$64,MATCH($A135,Mortality_Matrix!$A$4:$A$64,0),MATCH(2046,Mortality_Matrix!$B$3:$BS$3,0))</f>
        <v>4.25714303831743E-011</v>
      </c>
      <c r="AK135" s="27" t="n">
        <f aca="false">(AK69-INDEX(Mortality_Matrix!$B$4:$BS$64,MATCH($A135,Mortality_Matrix!$A$4:$A$64,0),MATCH(2047,Mortality_Matrix!$B$3:$BS$3,0)))/INDEX(Mortality_Matrix!$B$4:$BS$64,MATCH($A135,Mortality_Matrix!$A$4:$A$64,0),MATCH(2047,Mortality_Matrix!$B$3:$BS$3,0))</f>
        <v>5.83205449694608E-011</v>
      </c>
      <c r="AL135" s="27" t="n">
        <f aca="false">(AL69-INDEX(Mortality_Matrix!$B$4:$BS$64,MATCH($A135,Mortality_Matrix!$A$4:$A$64,0),MATCH(2048,Mortality_Matrix!$B$3:$BS$3,0)))/INDEX(Mortality_Matrix!$B$4:$BS$64,MATCH($A135,Mortality_Matrix!$A$4:$A$64,0),MATCH(2048,Mortality_Matrix!$B$3:$BS$3,0))</f>
        <v>1.22612599598086E-010</v>
      </c>
      <c r="AM135" s="27" t="n">
        <f aca="false">(AM69-INDEX(Mortality_Matrix!$B$4:$BS$64,MATCH($A135,Mortality_Matrix!$A$4:$A$64,0),MATCH(2049,Mortality_Matrix!$B$3:$BS$3,0)))/INDEX(Mortality_Matrix!$B$4:$BS$64,MATCH($A135,Mortality_Matrix!$A$4:$A$64,0),MATCH(2049,Mortality_Matrix!$B$3:$BS$3,0))</f>
        <v>7.26148643459234E-011</v>
      </c>
      <c r="AN135" s="27" t="n">
        <f aca="false">(AN69-INDEX(Mortality_Matrix!$B$4:$BS$64,MATCH($A135,Mortality_Matrix!$A$4:$A$64,0),MATCH(2050,Mortality_Matrix!$B$3:$BS$3,0)))/INDEX(Mortality_Matrix!$B$4:$BS$64,MATCH($A135,Mortality_Matrix!$A$4:$A$64,0),MATCH(2050,Mortality_Matrix!$B$3:$BS$3,0))</f>
        <v>6.47983427548736E-011</v>
      </c>
      <c r="AO135" s="27" t="n">
        <f aca="false">(AO69-INDEX(Mortality_Matrix!$B$4:$BS$64,MATCH($A135,Mortality_Matrix!$A$4:$A$64,0),MATCH(2051,Mortality_Matrix!$B$3:$BS$3,0)))/INDEX(Mortality_Matrix!$B$4:$BS$64,MATCH($A135,Mortality_Matrix!$A$4:$A$64,0),MATCH(2051,Mortality_Matrix!$B$3:$BS$3,0))</f>
        <v>2.57644098957674E-012</v>
      </c>
      <c r="AP135" s="27" t="n">
        <f aca="false">(AP69-INDEX(Mortality_Matrix!$B$4:$BS$64,MATCH($A135,Mortality_Matrix!$A$4:$A$64,0),MATCH(2052,Mortality_Matrix!$B$3:$BS$3,0)))/INDEX(Mortality_Matrix!$B$4:$BS$64,MATCH($A135,Mortality_Matrix!$A$4:$A$64,0),MATCH(2052,Mortality_Matrix!$B$3:$BS$3,0))</f>
        <v>1.10687381941508E-010</v>
      </c>
      <c r="AQ135" s="27" t="n">
        <f aca="false">(AQ69-INDEX(Mortality_Matrix!$B$4:$BS$64,MATCH($A135,Mortality_Matrix!$A$4:$A$64,0),MATCH(2053,Mortality_Matrix!$B$3:$BS$3,0)))/INDEX(Mortality_Matrix!$B$4:$BS$64,MATCH($A135,Mortality_Matrix!$A$4:$A$64,0),MATCH(2053,Mortality_Matrix!$B$3:$BS$3,0))</f>
        <v>7.06272145227294E-011</v>
      </c>
      <c r="AR135" s="27" t="n">
        <f aca="false">(AR69-INDEX(Mortality_Matrix!$B$4:$BS$64,MATCH($A135,Mortality_Matrix!$A$4:$A$64,0),MATCH(2054,Mortality_Matrix!$B$3:$BS$3,0)))/INDEX(Mortality_Matrix!$B$4:$BS$64,MATCH($A135,Mortality_Matrix!$A$4:$A$64,0),MATCH(2054,Mortality_Matrix!$B$3:$BS$3,0))</f>
        <v>-1.15532312681686E-010</v>
      </c>
      <c r="AS135" s="27" t="n">
        <f aca="false">(AS69-INDEX(Mortality_Matrix!$B$4:$BS$64,MATCH($A135,Mortality_Matrix!$A$4:$A$64,0),MATCH(2055,Mortality_Matrix!$B$3:$BS$3,0)))/INDEX(Mortality_Matrix!$B$4:$BS$64,MATCH($A135,Mortality_Matrix!$A$4:$A$64,0),MATCH(2055,Mortality_Matrix!$B$3:$BS$3,0))</f>
        <v>-1.21349372353832E-010</v>
      </c>
      <c r="AT135" s="27" t="n">
        <f aca="false">(AT69-INDEX(Mortality_Matrix!$B$4:$BS$64,MATCH($A135,Mortality_Matrix!$A$4:$A$64,0),MATCH(2056,Mortality_Matrix!$B$3:$BS$3,0)))/INDEX(Mortality_Matrix!$B$4:$BS$64,MATCH($A135,Mortality_Matrix!$A$4:$A$64,0),MATCH(2056,Mortality_Matrix!$B$3:$BS$3,0))</f>
        <v>1.2471629046871E-010</v>
      </c>
      <c r="AU135" s="27" t="n">
        <f aca="false">(AU69-INDEX(Mortality_Matrix!$B$4:$BS$64,MATCH($A135,Mortality_Matrix!$A$4:$A$64,0),MATCH(2057,Mortality_Matrix!$B$3:$BS$3,0)))/INDEX(Mortality_Matrix!$B$4:$BS$64,MATCH($A135,Mortality_Matrix!$A$4:$A$64,0),MATCH(2057,Mortality_Matrix!$B$3:$BS$3,0))</f>
        <v>1.43887775073025E-010</v>
      </c>
      <c r="AV135" s="27" t="n">
        <f aca="false">(AV69-INDEX(Mortality_Matrix!$B$4:$BS$64,MATCH($A135,Mortality_Matrix!$A$4:$A$64,0),MATCH(2058,Mortality_Matrix!$B$3:$BS$3,0)))/INDEX(Mortality_Matrix!$B$4:$BS$64,MATCH($A135,Mortality_Matrix!$A$4:$A$64,0),MATCH(2058,Mortality_Matrix!$B$3:$BS$3,0))</f>
        <v>7.21733163066018E-011</v>
      </c>
      <c r="AW135" s="27" t="n">
        <f aca="false">(AW69-INDEX(Mortality_Matrix!$B$4:$BS$64,MATCH($A135,Mortality_Matrix!$A$4:$A$64,0),MATCH(2059,Mortality_Matrix!$B$3:$BS$3,0)))/INDEX(Mortality_Matrix!$B$4:$BS$64,MATCH($A135,Mortality_Matrix!$A$4:$A$64,0),MATCH(2059,Mortality_Matrix!$B$3:$BS$3,0))</f>
        <v>8.03958229568989E-011</v>
      </c>
      <c r="AX135" s="27" t="n">
        <f aca="false">(AX69-INDEX(Mortality_Matrix!$B$4:$BS$64,MATCH($A135,Mortality_Matrix!$A$4:$A$64,0),MATCH(2060,Mortality_Matrix!$B$3:$BS$3,0)))/INDEX(Mortality_Matrix!$B$4:$BS$64,MATCH($A135,Mortality_Matrix!$A$4:$A$64,0),MATCH(2060,Mortality_Matrix!$B$3:$BS$3,0))</f>
        <v>8.01604649322668E-011</v>
      </c>
      <c r="AY135" s="27" t="n">
        <f aca="false">(AY69-INDEX(Mortality_Matrix!$B$4:$BS$64,MATCH($A135,Mortality_Matrix!$A$4:$A$64,0),MATCH(2061,Mortality_Matrix!$B$3:$BS$3,0)))/INDEX(Mortality_Matrix!$B$4:$BS$64,MATCH($A135,Mortality_Matrix!$A$4:$A$64,0),MATCH(2061,Mortality_Matrix!$B$3:$BS$3,0))</f>
        <v>1.57169917684805E-011</v>
      </c>
      <c r="AZ135" s="27" t="n">
        <f aca="false">(AZ69-INDEX(Mortality_Matrix!$B$4:$BS$64,MATCH($A135,Mortality_Matrix!$A$4:$A$64,0),MATCH(2062,Mortality_Matrix!$B$3:$BS$3,0)))/INDEX(Mortality_Matrix!$B$4:$BS$64,MATCH($A135,Mortality_Matrix!$A$4:$A$64,0),MATCH(2062,Mortality_Matrix!$B$3:$BS$3,0))</f>
        <v>-1.35722588065824E-010</v>
      </c>
      <c r="BA135" s="27" t="n">
        <f aca="false">(BA69-INDEX(Mortality_Matrix!$B$4:$BS$64,MATCH($A135,Mortality_Matrix!$A$4:$A$64,0),MATCH(2063,Mortality_Matrix!$B$3:$BS$3,0)))/INDEX(Mortality_Matrix!$B$4:$BS$64,MATCH($A135,Mortality_Matrix!$A$4:$A$64,0),MATCH(2063,Mortality_Matrix!$B$3:$BS$3,0))</f>
        <v>-6.7173559933832E-011</v>
      </c>
      <c r="BB135" s="27" t="n">
        <f aca="false">(BB69-INDEX(Mortality_Matrix!$B$4:$BS$64,MATCH($A135,Mortality_Matrix!$A$4:$A$64,0),MATCH(2064,Mortality_Matrix!$B$3:$BS$3,0)))/INDEX(Mortality_Matrix!$B$4:$BS$64,MATCH($A135,Mortality_Matrix!$A$4:$A$64,0),MATCH(2064,Mortality_Matrix!$B$3:$BS$3,0))</f>
        <v>-2.96067109488266E-011</v>
      </c>
      <c r="BC135" s="27" t="n">
        <f aca="false">(BC69-INDEX(Mortality_Matrix!$B$4:$BS$64,MATCH($A135,Mortality_Matrix!$A$4:$A$64,0),MATCH(2065,Mortality_Matrix!$B$3:$BS$3,0)))/INDEX(Mortality_Matrix!$B$4:$BS$64,MATCH($A135,Mortality_Matrix!$A$4:$A$64,0),MATCH(2065,Mortality_Matrix!$B$3:$BS$3,0))</f>
        <v>5.50027677762101E-011</v>
      </c>
      <c r="BD135" s="27" t="n">
        <f aca="false">(BD69-INDEX(Mortality_Matrix!$B$4:$BS$64,MATCH($A135,Mortality_Matrix!$A$4:$A$64,0),MATCH(2066,Mortality_Matrix!$B$3:$BS$3,0)))/INDEX(Mortality_Matrix!$B$4:$BS$64,MATCH($A135,Mortality_Matrix!$A$4:$A$64,0),MATCH(2066,Mortality_Matrix!$B$3:$BS$3,0))</f>
        <v>2.92430536094099E-013</v>
      </c>
      <c r="BE135" s="27" t="n">
        <f aca="false">(BE69-INDEX(Mortality_Matrix!$B$4:$BS$64,MATCH($A135,Mortality_Matrix!$A$4:$A$64,0),MATCH(2067,Mortality_Matrix!$B$3:$BS$3,0)))/INDEX(Mortality_Matrix!$B$4:$BS$64,MATCH($A135,Mortality_Matrix!$A$4:$A$64,0),MATCH(2067,Mortality_Matrix!$B$3:$BS$3,0))</f>
        <v>-4.90412946378705E-011</v>
      </c>
      <c r="BF135" s="27" t="n">
        <f aca="false">(BF69-INDEX(Mortality_Matrix!$B$4:$BS$64,MATCH($A135,Mortality_Matrix!$A$4:$A$64,0),MATCH(2068,Mortality_Matrix!$B$3:$BS$3,0)))/INDEX(Mortality_Matrix!$B$4:$BS$64,MATCH($A135,Mortality_Matrix!$A$4:$A$64,0),MATCH(2068,Mortality_Matrix!$B$3:$BS$3,0))</f>
        <v>8.65929676263395E-011</v>
      </c>
      <c r="BG135" s="27" t="n">
        <f aca="false">(BG69-INDEX(Mortality_Matrix!$B$4:$BS$64,MATCH($A135,Mortality_Matrix!$A$4:$A$64,0),MATCH(2069,Mortality_Matrix!$B$3:$BS$3,0)))/INDEX(Mortality_Matrix!$B$4:$BS$64,MATCH($A135,Mortality_Matrix!$A$4:$A$64,0),MATCH(2069,Mortality_Matrix!$B$3:$BS$3,0))</f>
        <v>2.04175272995571E-011</v>
      </c>
      <c r="BH135" s="27" t="n">
        <f aca="false">(BH69-INDEX(Mortality_Matrix!$B$4:$BS$64,MATCH($A135,Mortality_Matrix!$A$4:$A$64,0),MATCH(2070,Mortality_Matrix!$B$3:$BS$3,0)))/INDEX(Mortality_Matrix!$B$4:$BS$64,MATCH($A135,Mortality_Matrix!$A$4:$A$64,0),MATCH(2070,Mortality_Matrix!$B$3:$BS$3,0))</f>
        <v>-1.53318249262367E-012</v>
      </c>
      <c r="BI135" s="27" t="n">
        <f aca="false">(BI69-INDEX(Mortality_Matrix!$B$4:$BS$64,MATCH($A135,Mortality_Matrix!$A$4:$A$64,0),MATCH(2071,Mortality_Matrix!$B$3:$BS$3,0)))/INDEX(Mortality_Matrix!$B$4:$BS$64,MATCH($A135,Mortality_Matrix!$A$4:$A$64,0),MATCH(2071,Mortality_Matrix!$B$3:$BS$3,0))</f>
        <v>4.01163593921293E-013</v>
      </c>
      <c r="BJ135" s="27" t="n">
        <f aca="false">(BJ69-INDEX(Mortality_Matrix!$B$4:$BS$64,MATCH($A135,Mortality_Matrix!$A$4:$A$64,0),MATCH(2072,Mortality_Matrix!$B$3:$BS$3,0)))/INDEX(Mortality_Matrix!$B$4:$BS$64,MATCH($A135,Mortality_Matrix!$A$4:$A$64,0),MATCH(2072,Mortality_Matrix!$B$3:$BS$3,0))</f>
        <v>3.91819004169052E-011</v>
      </c>
      <c r="BK135" s="27" t="n">
        <f aca="false">(BK69-INDEX(Mortality_Matrix!$B$4:$BS$64,MATCH($A135,Mortality_Matrix!$A$4:$A$64,0),MATCH(2073,Mortality_Matrix!$B$3:$BS$3,0)))/INDEX(Mortality_Matrix!$B$4:$BS$64,MATCH($A135,Mortality_Matrix!$A$4:$A$64,0),MATCH(2073,Mortality_Matrix!$B$3:$BS$3,0))</f>
        <v>-1.42310974130846E-010</v>
      </c>
      <c r="BL135" s="27" t="n">
        <f aca="false">(BL69-INDEX(Mortality_Matrix!$B$4:$BS$64,MATCH($A135,Mortality_Matrix!$A$4:$A$64,0),MATCH(2074,Mortality_Matrix!$B$3:$BS$3,0)))/INDEX(Mortality_Matrix!$B$4:$BS$64,MATCH($A135,Mortality_Matrix!$A$4:$A$64,0),MATCH(2074,Mortality_Matrix!$B$3:$BS$3,0))</f>
        <v>1.43126019858626E-010</v>
      </c>
      <c r="BM135" s="27" t="n">
        <f aca="false">(BM69-INDEX(Mortality_Matrix!$B$4:$BS$64,MATCH($A135,Mortality_Matrix!$A$4:$A$64,0),MATCH(2075,Mortality_Matrix!$B$3:$BS$3,0)))/INDEX(Mortality_Matrix!$B$4:$BS$64,MATCH($A135,Mortality_Matrix!$A$4:$A$64,0),MATCH(2075,Mortality_Matrix!$B$3:$BS$3,0))</f>
        <v>9.69848288576938E-011</v>
      </c>
      <c r="BN135" s="27" t="n">
        <f aca="false">(BN69-INDEX(Mortality_Matrix!$B$4:$BS$64,MATCH($A135,Mortality_Matrix!$A$4:$A$64,0),MATCH(2076,Mortality_Matrix!$B$3:$BS$3,0)))/INDEX(Mortality_Matrix!$B$4:$BS$64,MATCH($A135,Mortality_Matrix!$A$4:$A$64,0),MATCH(2076,Mortality_Matrix!$B$3:$BS$3,0))</f>
        <v>-1.35743822883903E-010</v>
      </c>
      <c r="BO135" s="27" t="n">
        <f aca="false">(BO69-INDEX(Mortality_Matrix!$B$4:$BS$64,MATCH($A135,Mortality_Matrix!$A$4:$A$64,0),MATCH(2077,Mortality_Matrix!$B$3:$BS$3,0)))/INDEX(Mortality_Matrix!$B$4:$BS$64,MATCH($A135,Mortality_Matrix!$A$4:$A$64,0),MATCH(2077,Mortality_Matrix!$B$3:$BS$3,0))</f>
        <v>-6.85290809543667E-011</v>
      </c>
      <c r="BP135" s="27" t="n">
        <f aca="false">(BP69-INDEX(Mortality_Matrix!$B$4:$BS$64,MATCH($A135,Mortality_Matrix!$A$4:$A$64,0),MATCH(2078,Mortality_Matrix!$B$3:$BS$3,0)))/INDEX(Mortality_Matrix!$B$4:$BS$64,MATCH($A135,Mortality_Matrix!$A$4:$A$64,0),MATCH(2078,Mortality_Matrix!$B$3:$BS$3,0))</f>
        <v>-9.87747416057896E-011</v>
      </c>
      <c r="BQ135" s="27" t="n">
        <f aca="false">(BQ69-INDEX(Mortality_Matrix!$B$4:$BS$64,MATCH($A135,Mortality_Matrix!$A$4:$A$64,0),MATCH(2079,Mortality_Matrix!$B$3:$BS$3,0)))/INDEX(Mortality_Matrix!$B$4:$BS$64,MATCH($A135,Mortality_Matrix!$A$4:$A$64,0),MATCH(2079,Mortality_Matrix!$B$3:$BS$3,0))</f>
        <v>2.20056378069181E-011</v>
      </c>
      <c r="BR135" s="27" t="n">
        <f aca="false">(BR69-INDEX(Mortality_Matrix!$B$4:$BS$64,MATCH($A135,Mortality_Matrix!$A$4:$A$64,0),MATCH(2080,Mortality_Matrix!$B$3:$BS$3,0)))/INDEX(Mortality_Matrix!$B$4:$BS$64,MATCH($A135,Mortality_Matrix!$A$4:$A$64,0),MATCH(2080,Mortality_Matrix!$B$3:$BS$3,0))</f>
        <v>-3.95180477759831E-011</v>
      </c>
      <c r="BS135" s="27" t="n">
        <f aca="false">(BS69-INDEX(Mortality_Matrix!$B$4:$BS$64,MATCH($A135,Mortality_Matrix!$A$4:$A$64,0),MATCH(2081,Mortality_Matrix!$B$3:$BS$3,0)))/INDEX(Mortality_Matrix!$B$4:$BS$64,MATCH($A135,Mortality_Matrix!$A$4:$A$64,0),MATCH(2081,Mortality_Matrix!$B$3:$BS$3,0))</f>
        <v>3.28039833389949E-011</v>
      </c>
      <c r="BT135" s="27" t="n">
        <f aca="false">(BT69-INDEX(Mortality_Matrix!$B$4:$BS$64,MATCH($A135,Mortality_Matrix!$A$4:$A$64,0),MATCH(2082,Mortality_Matrix!$B$3:$BS$3,0)))/INDEX(Mortality_Matrix!$B$4:$BS$64,MATCH($A135,Mortality_Matrix!$A$4:$A$64,0),MATCH(2082,Mortality_Matrix!$B$3:$BS$3,0))</f>
        <v>-2.90162003133406E-011</v>
      </c>
      <c r="BU135" s="27" t="n">
        <f aca="false">(BU69-INDEX(Mortality_Matrix!$B$4:$BS$64,MATCH($A135,Mortality_Matrix!$A$4:$A$64,0),MATCH(2083,Mortality_Matrix!$B$3:$BS$3,0)))/INDEX(Mortality_Matrix!$B$4:$BS$64,MATCH($A135,Mortality_Matrix!$A$4:$A$64,0),MATCH(2083,Mortality_Matrix!$B$3:$BS$3,0))</f>
        <v>-1.50962988896001E-010</v>
      </c>
      <c r="BV135" s="27" t="n">
        <f aca="false">(BV69-INDEX(Mortality_Matrix!$B$4:$BS$64,MATCH($A135,Mortality_Matrix!$A$4:$A$64,0),MATCH(2084,Mortality_Matrix!$B$3:$BS$3,0)))/INDEX(Mortality_Matrix!$B$4:$BS$64,MATCH($A135,Mortality_Matrix!$A$4:$A$64,0),MATCH(2084,Mortality_Matrix!$B$3:$BS$3,0))</f>
        <v>8.70312007564412E-011</v>
      </c>
      <c r="BW135" s="27" t="n">
        <f aca="false">(BW69-INDEX(Mortality_Matrix!$B$4:$BS$64,MATCH($A135,Mortality_Matrix!$A$4:$A$64,0),MATCH(2085,Mortality_Matrix!$B$3:$BS$3,0)))/INDEX(Mortality_Matrix!$B$4:$BS$64,MATCH($A135,Mortality_Matrix!$A$4:$A$64,0),MATCH(2085,Mortality_Matrix!$B$3:$BS$3,0))</f>
        <v>-1.0777313171382E-010</v>
      </c>
      <c r="BX135" s="27" t="n">
        <f aca="false">(BX69-INDEX(Mortality_Matrix!$B$4:$BS$64,MATCH($A135,Mortality_Matrix!$A$4:$A$64,0),MATCH(2086,Mortality_Matrix!$B$3:$BS$3,0)))/INDEX(Mortality_Matrix!$B$4:$BS$64,MATCH($A135,Mortality_Matrix!$A$4:$A$64,0),MATCH(2086,Mortality_Matrix!$B$3:$BS$3,0))</f>
        <v>6.44382424350892E-011</v>
      </c>
      <c r="BY135" s="27" t="n">
        <f aca="false">(BY69-INDEX(Mortality_Matrix!$B$4:$BS$64,MATCH($A135,Mortality_Matrix!$A$4:$A$64,0),MATCH(2087,Mortality_Matrix!$B$3:$BS$3,0)))/INDEX(Mortality_Matrix!$B$4:$BS$64,MATCH($A135,Mortality_Matrix!$A$4:$A$64,0),MATCH(2087,Mortality_Matrix!$B$3:$BS$3,0))</f>
        <v>-1.25776636586487E-010</v>
      </c>
      <c r="BZ135" s="27" t="n">
        <f aca="false">(BZ69-INDEX(Mortality_Matrix!$B$4:$BS$64,MATCH($A135,Mortality_Matrix!$A$4:$A$64,0),MATCH(2088,Mortality_Matrix!$B$3:$BS$3,0)))/INDEX(Mortality_Matrix!$B$4:$BS$64,MATCH($A135,Mortality_Matrix!$A$4:$A$64,0),MATCH(2088,Mortality_Matrix!$B$3:$BS$3,0))</f>
        <v>-1.21998375766023E-010</v>
      </c>
      <c r="CA135" s="27" t="n">
        <f aca="false">(CA69-INDEX(Mortality_Matrix!$B$4:$BS$64,MATCH($A135,Mortality_Matrix!$A$4:$A$64,0),MATCH(2089,Mortality_Matrix!$B$3:$BS$3,0)))/INDEX(Mortality_Matrix!$B$4:$BS$64,MATCH($A135,Mortality_Matrix!$A$4:$A$64,0),MATCH(2089,Mortality_Matrix!$B$3:$BS$3,0))</f>
        <v>3.98446430944163E-011</v>
      </c>
      <c r="CB135" s="27" t="n">
        <f aca="false">(CB69-INDEX(Mortality_Matrix!$B$4:$BS$64,MATCH($A135,Mortality_Matrix!$A$4:$A$64,0),MATCH(2090,Mortality_Matrix!$B$3:$BS$3,0)))/INDEX(Mortality_Matrix!$B$4:$BS$64,MATCH($A135,Mortality_Matrix!$A$4:$A$64,0),MATCH(2090,Mortality_Matrix!$B$3:$BS$3,0))</f>
        <v>4.06039859262782E-011</v>
      </c>
      <c r="CC135" s="27" t="n">
        <f aca="false">(CC69-INDEX(Mortality_Matrix!$B$4:$BS$64,MATCH($A135,Mortality_Matrix!$A$4:$A$64,0),MATCH(2091,Mortality_Matrix!$B$3:$BS$3,0)))/INDEX(Mortality_Matrix!$B$4:$BS$64,MATCH($A135,Mortality_Matrix!$A$4:$A$64,0),MATCH(2091,Mortality_Matrix!$B$3:$BS$3,0))</f>
        <v>-9.13205936287533E-011</v>
      </c>
    </row>
    <row r="136" customFormat="false" ht="15" hidden="false" customHeight="true" outlineLevel="0" collapsed="false">
      <c r="A136" s="3" t="n">
        <v>107</v>
      </c>
      <c r="L136" s="27" t="n">
        <f aca="false">(L70-INDEX(Mortality_Matrix!$B$4:$BS$64,MATCH($A136,Mortality_Matrix!$A$4:$A$64,0),MATCH(2022,Mortality_Matrix!$B$3:$BS$3,0)))/INDEX(Mortality_Matrix!$B$4:$BS$64,MATCH($A136,Mortality_Matrix!$A$4:$A$64,0),MATCH(2022,Mortality_Matrix!$B$3:$BS$3,0))</f>
        <v>-1.5469898954959E-011</v>
      </c>
      <c r="M136" s="27" t="n">
        <f aca="false">(M70-INDEX(Mortality_Matrix!$B$4:$BS$64,MATCH($A136,Mortality_Matrix!$A$4:$A$64,0),MATCH(2023,Mortality_Matrix!$B$3:$BS$3,0)))/INDEX(Mortality_Matrix!$B$4:$BS$64,MATCH($A136,Mortality_Matrix!$A$4:$A$64,0),MATCH(2023,Mortality_Matrix!$B$3:$BS$3,0))</f>
        <v>-7.83120251774621E-011</v>
      </c>
      <c r="N136" s="27" t="n">
        <f aca="false">(N70-INDEX(Mortality_Matrix!$B$4:$BS$64,MATCH($A136,Mortality_Matrix!$A$4:$A$64,0),MATCH(2024,Mortality_Matrix!$B$3:$BS$3,0)))/INDEX(Mortality_Matrix!$B$4:$BS$64,MATCH($A136,Mortality_Matrix!$A$4:$A$64,0),MATCH(2024,Mortality_Matrix!$B$3:$BS$3,0))</f>
        <v>9.64614371703503E-011</v>
      </c>
      <c r="O136" s="27" t="n">
        <f aca="false">(O70-INDEX(Mortality_Matrix!$B$4:$BS$64,MATCH($A136,Mortality_Matrix!$A$4:$A$64,0),MATCH(2025,Mortality_Matrix!$B$3:$BS$3,0)))/INDEX(Mortality_Matrix!$B$4:$BS$64,MATCH($A136,Mortality_Matrix!$A$4:$A$64,0),MATCH(2025,Mortality_Matrix!$B$3:$BS$3,0))</f>
        <v>-1.03117625265357E-010</v>
      </c>
      <c r="P136" s="27" t="n">
        <f aca="false">(P70-INDEX(Mortality_Matrix!$B$4:$BS$64,MATCH($A136,Mortality_Matrix!$A$4:$A$64,0),MATCH(2026,Mortality_Matrix!$B$3:$BS$3,0)))/INDEX(Mortality_Matrix!$B$4:$BS$64,MATCH($A136,Mortality_Matrix!$A$4:$A$64,0),MATCH(2026,Mortality_Matrix!$B$3:$BS$3,0))</f>
        <v>-7.94297706023976E-011</v>
      </c>
      <c r="Q136" s="27" t="n">
        <f aca="false">(Q70-INDEX(Mortality_Matrix!$B$4:$BS$64,MATCH($A136,Mortality_Matrix!$A$4:$A$64,0),MATCH(2027,Mortality_Matrix!$B$3:$BS$3,0)))/INDEX(Mortality_Matrix!$B$4:$BS$64,MATCH($A136,Mortality_Matrix!$A$4:$A$64,0),MATCH(2027,Mortality_Matrix!$B$3:$BS$3,0))</f>
        <v>-3.1204675514548E-011</v>
      </c>
      <c r="R136" s="27" t="n">
        <f aca="false">(R70-INDEX(Mortality_Matrix!$B$4:$BS$64,MATCH($A136,Mortality_Matrix!$A$4:$A$64,0),MATCH(2028,Mortality_Matrix!$B$3:$BS$3,0)))/INDEX(Mortality_Matrix!$B$4:$BS$64,MATCH($A136,Mortality_Matrix!$A$4:$A$64,0),MATCH(2028,Mortality_Matrix!$B$3:$BS$3,0))</f>
        <v>-1.91478876657218E-013</v>
      </c>
      <c r="S136" s="27" t="n">
        <f aca="false">(S70-INDEX(Mortality_Matrix!$B$4:$BS$64,MATCH($A136,Mortality_Matrix!$A$4:$A$64,0),MATCH(2029,Mortality_Matrix!$B$3:$BS$3,0)))/INDEX(Mortality_Matrix!$B$4:$BS$64,MATCH($A136,Mortality_Matrix!$A$4:$A$64,0),MATCH(2029,Mortality_Matrix!$B$3:$BS$3,0))</f>
        <v>-1.25456900758829E-010</v>
      </c>
      <c r="T136" s="27" t="n">
        <f aca="false">(T70-INDEX(Mortality_Matrix!$B$4:$BS$64,MATCH($A136,Mortality_Matrix!$A$4:$A$64,0),MATCH(2030,Mortality_Matrix!$B$3:$BS$3,0)))/INDEX(Mortality_Matrix!$B$4:$BS$64,MATCH($A136,Mortality_Matrix!$A$4:$A$64,0),MATCH(2030,Mortality_Matrix!$B$3:$BS$3,0))</f>
        <v>-1.51371550838785E-011</v>
      </c>
      <c r="U136" s="27" t="n">
        <f aca="false">(U70-INDEX(Mortality_Matrix!$B$4:$BS$64,MATCH($A136,Mortality_Matrix!$A$4:$A$64,0),MATCH(2031,Mortality_Matrix!$B$3:$BS$3,0)))/INDEX(Mortality_Matrix!$B$4:$BS$64,MATCH($A136,Mortality_Matrix!$A$4:$A$64,0),MATCH(2031,Mortality_Matrix!$B$3:$BS$3,0))</f>
        <v>-4.74153299664118E-011</v>
      </c>
      <c r="V136" s="27" t="n">
        <f aca="false">(V70-INDEX(Mortality_Matrix!$B$4:$BS$64,MATCH($A136,Mortality_Matrix!$A$4:$A$64,0),MATCH(2032,Mortality_Matrix!$B$3:$BS$3,0)))/INDEX(Mortality_Matrix!$B$4:$BS$64,MATCH($A136,Mortality_Matrix!$A$4:$A$64,0),MATCH(2032,Mortality_Matrix!$B$3:$BS$3,0))</f>
        <v>-6.93914481013464E-011</v>
      </c>
      <c r="W136" s="27" t="n">
        <f aca="false">(W70-INDEX(Mortality_Matrix!$B$4:$BS$64,MATCH($A136,Mortality_Matrix!$A$4:$A$64,0),MATCH(2033,Mortality_Matrix!$B$3:$BS$3,0)))/INDEX(Mortality_Matrix!$B$4:$BS$64,MATCH($A136,Mortality_Matrix!$A$4:$A$64,0),MATCH(2033,Mortality_Matrix!$B$3:$BS$3,0))</f>
        <v>8.35133567113544E-011</v>
      </c>
      <c r="X136" s="27" t="n">
        <f aca="false">(X70-INDEX(Mortality_Matrix!$B$4:$BS$64,MATCH($A136,Mortality_Matrix!$A$4:$A$64,0),MATCH(2034,Mortality_Matrix!$B$3:$BS$3,0)))/INDEX(Mortality_Matrix!$B$4:$BS$64,MATCH($A136,Mortality_Matrix!$A$4:$A$64,0),MATCH(2034,Mortality_Matrix!$B$3:$BS$3,0))</f>
        <v>6.25080544842553E-011</v>
      </c>
      <c r="Y136" s="27" t="n">
        <f aca="false">(Y70-INDEX(Mortality_Matrix!$B$4:$BS$64,MATCH($A136,Mortality_Matrix!$A$4:$A$64,0),MATCH(2035,Mortality_Matrix!$B$3:$BS$3,0)))/INDEX(Mortality_Matrix!$B$4:$BS$64,MATCH($A136,Mortality_Matrix!$A$4:$A$64,0),MATCH(2035,Mortality_Matrix!$B$3:$BS$3,0))</f>
        <v>5.29334999723416E-011</v>
      </c>
      <c r="Z136" s="27" t="n">
        <f aca="false">(Z70-INDEX(Mortality_Matrix!$B$4:$BS$64,MATCH($A136,Mortality_Matrix!$A$4:$A$64,0),MATCH(2036,Mortality_Matrix!$B$3:$BS$3,0)))/INDEX(Mortality_Matrix!$B$4:$BS$64,MATCH($A136,Mortality_Matrix!$A$4:$A$64,0),MATCH(2036,Mortality_Matrix!$B$3:$BS$3,0))</f>
        <v>-1.14691589047601E-011</v>
      </c>
      <c r="AA136" s="27" t="n">
        <f aca="false">(AA70-INDEX(Mortality_Matrix!$B$4:$BS$64,MATCH($A136,Mortality_Matrix!$A$4:$A$64,0),MATCH(2037,Mortality_Matrix!$B$3:$BS$3,0)))/INDEX(Mortality_Matrix!$B$4:$BS$64,MATCH($A136,Mortality_Matrix!$A$4:$A$64,0),MATCH(2037,Mortality_Matrix!$B$3:$BS$3,0))</f>
        <v>7.71253683121354E-011</v>
      </c>
      <c r="AB136" s="27" t="n">
        <f aca="false">(AB70-INDEX(Mortality_Matrix!$B$4:$BS$64,MATCH($A136,Mortality_Matrix!$A$4:$A$64,0),MATCH(2038,Mortality_Matrix!$B$3:$BS$3,0)))/INDEX(Mortality_Matrix!$B$4:$BS$64,MATCH($A136,Mortality_Matrix!$A$4:$A$64,0),MATCH(2038,Mortality_Matrix!$B$3:$BS$3,0))</f>
        <v>9.68692148974705E-012</v>
      </c>
      <c r="AC136" s="27" t="n">
        <f aca="false">(AC70-INDEX(Mortality_Matrix!$B$4:$BS$64,MATCH($A136,Mortality_Matrix!$A$4:$A$64,0),MATCH(2039,Mortality_Matrix!$B$3:$BS$3,0)))/INDEX(Mortality_Matrix!$B$4:$BS$64,MATCH($A136,Mortality_Matrix!$A$4:$A$64,0),MATCH(2039,Mortality_Matrix!$B$3:$BS$3,0))</f>
        <v>1.54097479266182E-011</v>
      </c>
      <c r="AD136" s="27" t="n">
        <f aca="false">(AD70-INDEX(Mortality_Matrix!$B$4:$BS$64,MATCH($A136,Mortality_Matrix!$A$4:$A$64,0),MATCH(2040,Mortality_Matrix!$B$3:$BS$3,0)))/INDEX(Mortality_Matrix!$B$4:$BS$64,MATCH($A136,Mortality_Matrix!$A$4:$A$64,0),MATCH(2040,Mortality_Matrix!$B$3:$BS$3,0))</f>
        <v>7.02981963723874E-011</v>
      </c>
      <c r="AE136" s="27" t="n">
        <f aca="false">(AE70-INDEX(Mortality_Matrix!$B$4:$BS$64,MATCH($A136,Mortality_Matrix!$A$4:$A$64,0),MATCH(2041,Mortality_Matrix!$B$3:$BS$3,0)))/INDEX(Mortality_Matrix!$B$4:$BS$64,MATCH($A136,Mortality_Matrix!$A$4:$A$64,0),MATCH(2041,Mortality_Matrix!$B$3:$BS$3,0))</f>
        <v>-1.05140832488856E-010</v>
      </c>
      <c r="AF136" s="27" t="n">
        <f aca="false">(AF70-INDEX(Mortality_Matrix!$B$4:$BS$64,MATCH($A136,Mortality_Matrix!$A$4:$A$64,0),MATCH(2042,Mortality_Matrix!$B$3:$BS$3,0)))/INDEX(Mortality_Matrix!$B$4:$BS$64,MATCH($A136,Mortality_Matrix!$A$4:$A$64,0),MATCH(2042,Mortality_Matrix!$B$3:$BS$3,0))</f>
        <v>1.7285875856821E-011</v>
      </c>
      <c r="AG136" s="27" t="n">
        <f aca="false">(AG70-INDEX(Mortality_Matrix!$B$4:$BS$64,MATCH($A136,Mortality_Matrix!$A$4:$A$64,0),MATCH(2043,Mortality_Matrix!$B$3:$BS$3,0)))/INDEX(Mortality_Matrix!$B$4:$BS$64,MATCH($A136,Mortality_Matrix!$A$4:$A$64,0),MATCH(2043,Mortality_Matrix!$B$3:$BS$3,0))</f>
        <v>-8.72687301509742E-011</v>
      </c>
      <c r="AH136" s="27" t="n">
        <f aca="false">(AH70-INDEX(Mortality_Matrix!$B$4:$BS$64,MATCH($A136,Mortality_Matrix!$A$4:$A$64,0),MATCH(2044,Mortality_Matrix!$B$3:$BS$3,0)))/INDEX(Mortality_Matrix!$B$4:$BS$64,MATCH($A136,Mortality_Matrix!$A$4:$A$64,0),MATCH(2044,Mortality_Matrix!$B$3:$BS$3,0))</f>
        <v>1.32483377204022E-010</v>
      </c>
      <c r="AI136" s="27" t="n">
        <f aca="false">(AI70-INDEX(Mortality_Matrix!$B$4:$BS$64,MATCH($A136,Mortality_Matrix!$A$4:$A$64,0),MATCH(2045,Mortality_Matrix!$B$3:$BS$3,0)))/INDEX(Mortality_Matrix!$B$4:$BS$64,MATCH($A136,Mortality_Matrix!$A$4:$A$64,0),MATCH(2045,Mortality_Matrix!$B$3:$BS$3,0))</f>
        <v>-9.67174556665974E-011</v>
      </c>
      <c r="AJ136" s="27" t="n">
        <f aca="false">(AJ70-INDEX(Mortality_Matrix!$B$4:$BS$64,MATCH($A136,Mortality_Matrix!$A$4:$A$64,0),MATCH(2046,Mortality_Matrix!$B$3:$BS$3,0)))/INDEX(Mortality_Matrix!$B$4:$BS$64,MATCH($A136,Mortality_Matrix!$A$4:$A$64,0),MATCH(2046,Mortality_Matrix!$B$3:$BS$3,0))</f>
        <v>6.66794134200603E-011</v>
      </c>
      <c r="AK136" s="27" t="n">
        <f aca="false">(AK70-INDEX(Mortality_Matrix!$B$4:$BS$64,MATCH($A136,Mortality_Matrix!$A$4:$A$64,0),MATCH(2047,Mortality_Matrix!$B$3:$BS$3,0)))/INDEX(Mortality_Matrix!$B$4:$BS$64,MATCH($A136,Mortality_Matrix!$A$4:$A$64,0),MATCH(2047,Mortality_Matrix!$B$3:$BS$3,0))</f>
        <v>-1.31846869944286E-010</v>
      </c>
      <c r="AL136" s="27" t="n">
        <f aca="false">(AL70-INDEX(Mortality_Matrix!$B$4:$BS$64,MATCH($A136,Mortality_Matrix!$A$4:$A$64,0),MATCH(2048,Mortality_Matrix!$B$3:$BS$3,0)))/INDEX(Mortality_Matrix!$B$4:$BS$64,MATCH($A136,Mortality_Matrix!$A$4:$A$64,0),MATCH(2048,Mortality_Matrix!$B$3:$BS$3,0))</f>
        <v>-9.53337040285973E-011</v>
      </c>
      <c r="AM136" s="27" t="n">
        <f aca="false">(AM70-INDEX(Mortality_Matrix!$B$4:$BS$64,MATCH($A136,Mortality_Matrix!$A$4:$A$64,0),MATCH(2049,Mortality_Matrix!$B$3:$BS$3,0)))/INDEX(Mortality_Matrix!$B$4:$BS$64,MATCH($A136,Mortality_Matrix!$A$4:$A$64,0),MATCH(2049,Mortality_Matrix!$B$3:$BS$3,0))</f>
        <v>-2.1204269102192E-011</v>
      </c>
      <c r="AN136" s="27" t="n">
        <f aca="false">(AN70-INDEX(Mortality_Matrix!$B$4:$BS$64,MATCH($A136,Mortality_Matrix!$A$4:$A$64,0),MATCH(2050,Mortality_Matrix!$B$3:$BS$3,0)))/INDEX(Mortality_Matrix!$B$4:$BS$64,MATCH($A136,Mortality_Matrix!$A$4:$A$64,0),MATCH(2050,Mortality_Matrix!$B$3:$BS$3,0))</f>
        <v>-9.77373980800738E-011</v>
      </c>
      <c r="AO136" s="27" t="n">
        <f aca="false">(AO70-INDEX(Mortality_Matrix!$B$4:$BS$64,MATCH($A136,Mortality_Matrix!$A$4:$A$64,0),MATCH(2051,Mortality_Matrix!$B$3:$BS$3,0)))/INDEX(Mortality_Matrix!$B$4:$BS$64,MATCH($A136,Mortality_Matrix!$A$4:$A$64,0),MATCH(2051,Mortality_Matrix!$B$3:$BS$3,0))</f>
        <v>3.74658716556512E-011</v>
      </c>
      <c r="AP136" s="27" t="n">
        <f aca="false">(AP70-INDEX(Mortality_Matrix!$B$4:$BS$64,MATCH($A136,Mortality_Matrix!$A$4:$A$64,0),MATCH(2052,Mortality_Matrix!$B$3:$BS$3,0)))/INDEX(Mortality_Matrix!$B$4:$BS$64,MATCH($A136,Mortality_Matrix!$A$4:$A$64,0),MATCH(2052,Mortality_Matrix!$B$3:$BS$3,0))</f>
        <v>-5.36638177521533E-011</v>
      </c>
      <c r="AQ136" s="27" t="n">
        <f aca="false">(AQ70-INDEX(Mortality_Matrix!$B$4:$BS$64,MATCH($A136,Mortality_Matrix!$A$4:$A$64,0),MATCH(2053,Mortality_Matrix!$B$3:$BS$3,0)))/INDEX(Mortality_Matrix!$B$4:$BS$64,MATCH($A136,Mortality_Matrix!$A$4:$A$64,0),MATCH(2053,Mortality_Matrix!$B$3:$BS$3,0))</f>
        <v>1.33394309151487E-011</v>
      </c>
      <c r="AR136" s="27" t="n">
        <f aca="false">(AR70-INDEX(Mortality_Matrix!$B$4:$BS$64,MATCH($A136,Mortality_Matrix!$A$4:$A$64,0),MATCH(2054,Mortality_Matrix!$B$3:$BS$3,0)))/INDEX(Mortality_Matrix!$B$4:$BS$64,MATCH($A136,Mortality_Matrix!$A$4:$A$64,0),MATCH(2054,Mortality_Matrix!$B$3:$BS$3,0))</f>
        <v>9.18958891477653E-011</v>
      </c>
      <c r="AS136" s="27" t="n">
        <f aca="false">(AS70-INDEX(Mortality_Matrix!$B$4:$BS$64,MATCH($A136,Mortality_Matrix!$A$4:$A$64,0),MATCH(2055,Mortality_Matrix!$B$3:$BS$3,0)))/INDEX(Mortality_Matrix!$B$4:$BS$64,MATCH($A136,Mortality_Matrix!$A$4:$A$64,0),MATCH(2055,Mortality_Matrix!$B$3:$BS$3,0))</f>
        <v>4.49387192303791E-011</v>
      </c>
      <c r="AT136" s="27" t="n">
        <f aca="false">(AT70-INDEX(Mortality_Matrix!$B$4:$BS$64,MATCH($A136,Mortality_Matrix!$A$4:$A$64,0),MATCH(2056,Mortality_Matrix!$B$3:$BS$3,0)))/INDEX(Mortality_Matrix!$B$4:$BS$64,MATCH($A136,Mortality_Matrix!$A$4:$A$64,0),MATCH(2056,Mortality_Matrix!$B$3:$BS$3,0))</f>
        <v>1.81670392281673E-011</v>
      </c>
      <c r="AU136" s="27" t="n">
        <f aca="false">(AU70-INDEX(Mortality_Matrix!$B$4:$BS$64,MATCH($A136,Mortality_Matrix!$A$4:$A$64,0),MATCH(2057,Mortality_Matrix!$B$3:$BS$3,0)))/INDEX(Mortality_Matrix!$B$4:$BS$64,MATCH($A136,Mortality_Matrix!$A$4:$A$64,0),MATCH(2057,Mortality_Matrix!$B$3:$BS$3,0))</f>
        <v>-1.04767150743426E-010</v>
      </c>
      <c r="AV136" s="27" t="n">
        <f aca="false">(AV70-INDEX(Mortality_Matrix!$B$4:$BS$64,MATCH($A136,Mortality_Matrix!$A$4:$A$64,0),MATCH(2058,Mortality_Matrix!$B$3:$BS$3,0)))/INDEX(Mortality_Matrix!$B$4:$BS$64,MATCH($A136,Mortality_Matrix!$A$4:$A$64,0),MATCH(2058,Mortality_Matrix!$B$3:$BS$3,0))</f>
        <v>1.17856593373912E-010</v>
      </c>
      <c r="AW136" s="27" t="n">
        <f aca="false">(AW70-INDEX(Mortality_Matrix!$B$4:$BS$64,MATCH($A136,Mortality_Matrix!$A$4:$A$64,0),MATCH(2059,Mortality_Matrix!$B$3:$BS$3,0)))/INDEX(Mortality_Matrix!$B$4:$BS$64,MATCH($A136,Mortality_Matrix!$A$4:$A$64,0),MATCH(2059,Mortality_Matrix!$B$3:$BS$3,0))</f>
        <v>4.28739582649412E-011</v>
      </c>
      <c r="AX136" s="27" t="n">
        <f aca="false">(AX70-INDEX(Mortality_Matrix!$B$4:$BS$64,MATCH($A136,Mortality_Matrix!$A$4:$A$64,0),MATCH(2060,Mortality_Matrix!$B$3:$BS$3,0)))/INDEX(Mortality_Matrix!$B$4:$BS$64,MATCH($A136,Mortality_Matrix!$A$4:$A$64,0),MATCH(2060,Mortality_Matrix!$B$3:$BS$3,0))</f>
        <v>1.3367559583858E-010</v>
      </c>
      <c r="AY136" s="27" t="n">
        <f aca="false">(AY70-INDEX(Mortality_Matrix!$B$4:$BS$64,MATCH($A136,Mortality_Matrix!$A$4:$A$64,0),MATCH(2061,Mortality_Matrix!$B$3:$BS$3,0)))/INDEX(Mortality_Matrix!$B$4:$BS$64,MATCH($A136,Mortality_Matrix!$A$4:$A$64,0),MATCH(2061,Mortality_Matrix!$B$3:$BS$3,0))</f>
        <v>4.06151659358204E-011</v>
      </c>
      <c r="AZ136" s="27" t="n">
        <f aca="false">(AZ70-INDEX(Mortality_Matrix!$B$4:$BS$64,MATCH($A136,Mortality_Matrix!$A$4:$A$64,0),MATCH(2062,Mortality_Matrix!$B$3:$BS$3,0)))/INDEX(Mortality_Matrix!$B$4:$BS$64,MATCH($A136,Mortality_Matrix!$A$4:$A$64,0),MATCH(2062,Mortality_Matrix!$B$3:$BS$3,0))</f>
        <v>-2.56056408277108E-011</v>
      </c>
      <c r="BA136" s="27" t="n">
        <f aca="false">(BA70-INDEX(Mortality_Matrix!$B$4:$BS$64,MATCH($A136,Mortality_Matrix!$A$4:$A$64,0),MATCH(2063,Mortality_Matrix!$B$3:$BS$3,0)))/INDEX(Mortality_Matrix!$B$4:$BS$64,MATCH($A136,Mortality_Matrix!$A$4:$A$64,0),MATCH(2063,Mortality_Matrix!$B$3:$BS$3,0))</f>
        <v>-1.188361337165E-010</v>
      </c>
      <c r="BB136" s="27" t="n">
        <f aca="false">(BB70-INDEX(Mortality_Matrix!$B$4:$BS$64,MATCH($A136,Mortality_Matrix!$A$4:$A$64,0),MATCH(2064,Mortality_Matrix!$B$3:$BS$3,0)))/INDEX(Mortality_Matrix!$B$4:$BS$64,MATCH($A136,Mortality_Matrix!$A$4:$A$64,0),MATCH(2064,Mortality_Matrix!$B$3:$BS$3,0))</f>
        <v>-5.59374116776238E-012</v>
      </c>
      <c r="BC136" s="27" t="n">
        <f aca="false">(BC70-INDEX(Mortality_Matrix!$B$4:$BS$64,MATCH($A136,Mortality_Matrix!$A$4:$A$64,0),MATCH(2065,Mortality_Matrix!$B$3:$BS$3,0)))/INDEX(Mortality_Matrix!$B$4:$BS$64,MATCH($A136,Mortality_Matrix!$A$4:$A$64,0),MATCH(2065,Mortality_Matrix!$B$3:$BS$3,0))</f>
        <v>4.56810857891227E-012</v>
      </c>
      <c r="BD136" s="27" t="n">
        <f aca="false">(BD70-INDEX(Mortality_Matrix!$B$4:$BS$64,MATCH($A136,Mortality_Matrix!$A$4:$A$64,0),MATCH(2066,Mortality_Matrix!$B$3:$BS$3,0)))/INDEX(Mortality_Matrix!$B$4:$BS$64,MATCH($A136,Mortality_Matrix!$A$4:$A$64,0),MATCH(2066,Mortality_Matrix!$B$3:$BS$3,0))</f>
        <v>-1.11419410899315E-010</v>
      </c>
      <c r="BE136" s="27" t="n">
        <f aca="false">(BE70-INDEX(Mortality_Matrix!$B$4:$BS$64,MATCH($A136,Mortality_Matrix!$A$4:$A$64,0),MATCH(2067,Mortality_Matrix!$B$3:$BS$3,0)))/INDEX(Mortality_Matrix!$B$4:$BS$64,MATCH($A136,Mortality_Matrix!$A$4:$A$64,0),MATCH(2067,Mortality_Matrix!$B$3:$BS$3,0))</f>
        <v>-8.75670800318332E-011</v>
      </c>
      <c r="BF136" s="27" t="n">
        <f aca="false">(BF70-INDEX(Mortality_Matrix!$B$4:$BS$64,MATCH($A136,Mortality_Matrix!$A$4:$A$64,0),MATCH(2068,Mortality_Matrix!$B$3:$BS$3,0)))/INDEX(Mortality_Matrix!$B$4:$BS$64,MATCH($A136,Mortality_Matrix!$A$4:$A$64,0),MATCH(2068,Mortality_Matrix!$B$3:$BS$3,0))</f>
        <v>7.5457405641836E-011</v>
      </c>
      <c r="BG136" s="27" t="n">
        <f aca="false">(BG70-INDEX(Mortality_Matrix!$B$4:$BS$64,MATCH($A136,Mortality_Matrix!$A$4:$A$64,0),MATCH(2069,Mortality_Matrix!$B$3:$BS$3,0)))/INDEX(Mortality_Matrix!$B$4:$BS$64,MATCH($A136,Mortality_Matrix!$A$4:$A$64,0),MATCH(2069,Mortality_Matrix!$B$3:$BS$3,0))</f>
        <v>1.07897289267943E-010</v>
      </c>
      <c r="BH136" s="27" t="n">
        <f aca="false">(BH70-INDEX(Mortality_Matrix!$B$4:$BS$64,MATCH($A136,Mortality_Matrix!$A$4:$A$64,0),MATCH(2070,Mortality_Matrix!$B$3:$BS$3,0)))/INDEX(Mortality_Matrix!$B$4:$BS$64,MATCH($A136,Mortality_Matrix!$A$4:$A$64,0),MATCH(2070,Mortality_Matrix!$B$3:$BS$3,0))</f>
        <v>2.87802958979054E-011</v>
      </c>
      <c r="BI136" s="27" t="n">
        <f aca="false">(BI70-INDEX(Mortality_Matrix!$B$4:$BS$64,MATCH($A136,Mortality_Matrix!$A$4:$A$64,0),MATCH(2071,Mortality_Matrix!$B$3:$BS$3,0)))/INDEX(Mortality_Matrix!$B$4:$BS$64,MATCH($A136,Mortality_Matrix!$A$4:$A$64,0),MATCH(2071,Mortality_Matrix!$B$3:$BS$3,0))</f>
        <v>-1.32152527726986E-010</v>
      </c>
      <c r="BJ136" s="27" t="n">
        <f aca="false">(BJ70-INDEX(Mortality_Matrix!$B$4:$BS$64,MATCH($A136,Mortality_Matrix!$A$4:$A$64,0),MATCH(2072,Mortality_Matrix!$B$3:$BS$3,0)))/INDEX(Mortality_Matrix!$B$4:$BS$64,MATCH($A136,Mortality_Matrix!$A$4:$A$64,0),MATCH(2072,Mortality_Matrix!$B$3:$BS$3,0))</f>
        <v>-5.32000372959755E-011</v>
      </c>
      <c r="BK136" s="27" t="n">
        <f aca="false">(BK70-INDEX(Mortality_Matrix!$B$4:$BS$64,MATCH($A136,Mortality_Matrix!$A$4:$A$64,0),MATCH(2073,Mortality_Matrix!$B$3:$BS$3,0)))/INDEX(Mortality_Matrix!$B$4:$BS$64,MATCH($A136,Mortality_Matrix!$A$4:$A$64,0),MATCH(2073,Mortality_Matrix!$B$3:$BS$3,0))</f>
        <v>3.6880419115505E-011</v>
      </c>
      <c r="BL136" s="27" t="n">
        <f aca="false">(BL70-INDEX(Mortality_Matrix!$B$4:$BS$64,MATCH($A136,Mortality_Matrix!$A$4:$A$64,0),MATCH(2074,Mortality_Matrix!$B$3:$BS$3,0)))/INDEX(Mortality_Matrix!$B$4:$BS$64,MATCH($A136,Mortality_Matrix!$A$4:$A$64,0),MATCH(2074,Mortality_Matrix!$B$3:$BS$3,0))</f>
        <v>-8.17503453636128E-011</v>
      </c>
      <c r="BM136" s="27" t="n">
        <f aca="false">(BM70-INDEX(Mortality_Matrix!$B$4:$BS$64,MATCH($A136,Mortality_Matrix!$A$4:$A$64,0),MATCH(2075,Mortality_Matrix!$B$3:$BS$3,0)))/INDEX(Mortality_Matrix!$B$4:$BS$64,MATCH($A136,Mortality_Matrix!$A$4:$A$64,0),MATCH(2075,Mortality_Matrix!$B$3:$BS$3,0))</f>
        <v>-5.45551434420615E-011</v>
      </c>
      <c r="BN136" s="27" t="n">
        <f aca="false">(BN70-INDEX(Mortality_Matrix!$B$4:$BS$64,MATCH($A136,Mortality_Matrix!$A$4:$A$64,0),MATCH(2076,Mortality_Matrix!$B$3:$BS$3,0)))/INDEX(Mortality_Matrix!$B$4:$BS$64,MATCH($A136,Mortality_Matrix!$A$4:$A$64,0),MATCH(2076,Mortality_Matrix!$B$3:$BS$3,0))</f>
        <v>-8.02700727162842E-011</v>
      </c>
      <c r="BO136" s="27" t="n">
        <f aca="false">(BO70-INDEX(Mortality_Matrix!$B$4:$BS$64,MATCH($A136,Mortality_Matrix!$A$4:$A$64,0),MATCH(2077,Mortality_Matrix!$B$3:$BS$3,0)))/INDEX(Mortality_Matrix!$B$4:$BS$64,MATCH($A136,Mortality_Matrix!$A$4:$A$64,0),MATCH(2077,Mortality_Matrix!$B$3:$BS$3,0))</f>
        <v>-6.47793569785641E-011</v>
      </c>
      <c r="BP136" s="27" t="n">
        <f aca="false">(BP70-INDEX(Mortality_Matrix!$B$4:$BS$64,MATCH($A136,Mortality_Matrix!$A$4:$A$64,0),MATCH(2078,Mortality_Matrix!$B$3:$BS$3,0)))/INDEX(Mortality_Matrix!$B$4:$BS$64,MATCH($A136,Mortality_Matrix!$A$4:$A$64,0),MATCH(2078,Mortality_Matrix!$B$3:$BS$3,0))</f>
        <v>9.72865875397493E-011</v>
      </c>
      <c r="BQ136" s="27" t="n">
        <f aca="false">(BQ70-INDEX(Mortality_Matrix!$B$4:$BS$64,MATCH($A136,Mortality_Matrix!$A$4:$A$64,0),MATCH(2079,Mortality_Matrix!$B$3:$BS$3,0)))/INDEX(Mortality_Matrix!$B$4:$BS$64,MATCH($A136,Mortality_Matrix!$A$4:$A$64,0),MATCH(2079,Mortality_Matrix!$B$3:$BS$3,0))</f>
        <v>-4.68484143789378E-011</v>
      </c>
      <c r="BR136" s="27" t="n">
        <f aca="false">(BR70-INDEX(Mortality_Matrix!$B$4:$BS$64,MATCH($A136,Mortality_Matrix!$A$4:$A$64,0),MATCH(2080,Mortality_Matrix!$B$3:$BS$3,0)))/INDEX(Mortality_Matrix!$B$4:$BS$64,MATCH($A136,Mortality_Matrix!$A$4:$A$64,0),MATCH(2080,Mortality_Matrix!$B$3:$BS$3,0))</f>
        <v>-8.68978930259701E-011</v>
      </c>
      <c r="BS136" s="27" t="n">
        <f aca="false">(BS70-INDEX(Mortality_Matrix!$B$4:$BS$64,MATCH($A136,Mortality_Matrix!$A$4:$A$64,0),MATCH(2081,Mortality_Matrix!$B$3:$BS$3,0)))/INDEX(Mortality_Matrix!$B$4:$BS$64,MATCH($A136,Mortality_Matrix!$A$4:$A$64,0),MATCH(2081,Mortality_Matrix!$B$3:$BS$3,0))</f>
        <v>1.15196291668323E-010</v>
      </c>
      <c r="BT136" s="27" t="n">
        <f aca="false">(BT70-INDEX(Mortality_Matrix!$B$4:$BS$64,MATCH($A136,Mortality_Matrix!$A$4:$A$64,0),MATCH(2082,Mortality_Matrix!$B$3:$BS$3,0)))/INDEX(Mortality_Matrix!$B$4:$BS$64,MATCH($A136,Mortality_Matrix!$A$4:$A$64,0),MATCH(2082,Mortality_Matrix!$B$3:$BS$3,0))</f>
        <v>1.36495672520206E-010</v>
      </c>
      <c r="BU136" s="27" t="n">
        <f aca="false">(BU70-INDEX(Mortality_Matrix!$B$4:$BS$64,MATCH($A136,Mortality_Matrix!$A$4:$A$64,0),MATCH(2083,Mortality_Matrix!$B$3:$BS$3,0)))/INDEX(Mortality_Matrix!$B$4:$BS$64,MATCH($A136,Mortality_Matrix!$A$4:$A$64,0),MATCH(2083,Mortality_Matrix!$B$3:$BS$3,0))</f>
        <v>1.35176185844618E-010</v>
      </c>
      <c r="BV136" s="27" t="n">
        <f aca="false">(BV70-INDEX(Mortality_Matrix!$B$4:$BS$64,MATCH($A136,Mortality_Matrix!$A$4:$A$64,0),MATCH(2084,Mortality_Matrix!$B$3:$BS$3,0)))/INDEX(Mortality_Matrix!$B$4:$BS$64,MATCH($A136,Mortality_Matrix!$A$4:$A$64,0),MATCH(2084,Mortality_Matrix!$B$3:$BS$3,0))</f>
        <v>-6.18302952722718E-012</v>
      </c>
      <c r="BW136" s="27" t="n">
        <f aca="false">(BW70-INDEX(Mortality_Matrix!$B$4:$BS$64,MATCH($A136,Mortality_Matrix!$A$4:$A$64,0),MATCH(2085,Mortality_Matrix!$B$3:$BS$3,0)))/INDEX(Mortality_Matrix!$B$4:$BS$64,MATCH($A136,Mortality_Matrix!$A$4:$A$64,0),MATCH(2085,Mortality_Matrix!$B$3:$BS$3,0))</f>
        <v>-1.07442730729025E-010</v>
      </c>
      <c r="BX136" s="27" t="n">
        <f aca="false">(BX70-INDEX(Mortality_Matrix!$B$4:$BS$64,MATCH($A136,Mortality_Matrix!$A$4:$A$64,0),MATCH(2086,Mortality_Matrix!$B$3:$BS$3,0)))/INDEX(Mortality_Matrix!$B$4:$BS$64,MATCH($A136,Mortality_Matrix!$A$4:$A$64,0),MATCH(2086,Mortality_Matrix!$B$3:$BS$3,0))</f>
        <v>2.34115174644581E-011</v>
      </c>
      <c r="BY136" s="27" t="n">
        <f aca="false">(BY70-INDEX(Mortality_Matrix!$B$4:$BS$64,MATCH($A136,Mortality_Matrix!$A$4:$A$64,0),MATCH(2087,Mortality_Matrix!$B$3:$BS$3,0)))/INDEX(Mortality_Matrix!$B$4:$BS$64,MATCH($A136,Mortality_Matrix!$A$4:$A$64,0),MATCH(2087,Mortality_Matrix!$B$3:$BS$3,0))</f>
        <v>1.26077050655367E-011</v>
      </c>
      <c r="BZ136" s="27" t="n">
        <f aca="false">(BZ70-INDEX(Mortality_Matrix!$B$4:$BS$64,MATCH($A136,Mortality_Matrix!$A$4:$A$64,0),MATCH(2088,Mortality_Matrix!$B$3:$BS$3,0)))/INDEX(Mortality_Matrix!$B$4:$BS$64,MATCH($A136,Mortality_Matrix!$A$4:$A$64,0),MATCH(2088,Mortality_Matrix!$B$3:$BS$3,0))</f>
        <v>7.30330288737802E-011</v>
      </c>
      <c r="CA136" s="27" t="n">
        <f aca="false">(CA70-INDEX(Mortality_Matrix!$B$4:$BS$64,MATCH($A136,Mortality_Matrix!$A$4:$A$64,0),MATCH(2089,Mortality_Matrix!$B$3:$BS$3,0)))/INDEX(Mortality_Matrix!$B$4:$BS$64,MATCH($A136,Mortality_Matrix!$A$4:$A$64,0),MATCH(2089,Mortality_Matrix!$B$3:$BS$3,0))</f>
        <v>1.3977149845955E-010</v>
      </c>
      <c r="CB136" s="27" t="n">
        <f aca="false">(CB70-INDEX(Mortality_Matrix!$B$4:$BS$64,MATCH($A136,Mortality_Matrix!$A$4:$A$64,0),MATCH(2090,Mortality_Matrix!$B$3:$BS$3,0)))/INDEX(Mortality_Matrix!$B$4:$BS$64,MATCH($A136,Mortality_Matrix!$A$4:$A$64,0),MATCH(2090,Mortality_Matrix!$B$3:$BS$3,0))</f>
        <v>-1.32427078902081E-010</v>
      </c>
      <c r="CC136" s="27" t="n">
        <f aca="false">(CC70-INDEX(Mortality_Matrix!$B$4:$BS$64,MATCH($A136,Mortality_Matrix!$A$4:$A$64,0),MATCH(2091,Mortality_Matrix!$B$3:$BS$3,0)))/INDEX(Mortality_Matrix!$B$4:$BS$64,MATCH($A136,Mortality_Matrix!$A$4:$A$64,0),MATCH(2091,Mortality_Matrix!$B$3:$BS$3,0))</f>
        <v>8.3117382286672E-011</v>
      </c>
    </row>
    <row r="137" customFormat="false" ht="15" hidden="false" customHeight="true" outlineLevel="0" collapsed="false">
      <c r="A137" s="3" t="n">
        <v>108</v>
      </c>
      <c r="L137" s="27" t="n">
        <f aca="false">(L71-INDEX(Mortality_Matrix!$B$4:$BS$64,MATCH($A137,Mortality_Matrix!$A$4:$A$64,0),MATCH(2022,Mortality_Matrix!$B$3:$BS$3,0)))/INDEX(Mortality_Matrix!$B$4:$BS$64,MATCH($A137,Mortality_Matrix!$A$4:$A$64,0),MATCH(2022,Mortality_Matrix!$B$3:$BS$3,0))</f>
        <v>2.15759338268385E-011</v>
      </c>
      <c r="M137" s="27" t="n">
        <f aca="false">(M71-INDEX(Mortality_Matrix!$B$4:$BS$64,MATCH($A137,Mortality_Matrix!$A$4:$A$64,0),MATCH(2023,Mortality_Matrix!$B$3:$BS$3,0)))/INDEX(Mortality_Matrix!$B$4:$BS$64,MATCH($A137,Mortality_Matrix!$A$4:$A$64,0),MATCH(2023,Mortality_Matrix!$B$3:$BS$3,0))</f>
        <v>2.98836839190132E-011</v>
      </c>
      <c r="N137" s="27" t="n">
        <f aca="false">(N71-INDEX(Mortality_Matrix!$B$4:$BS$64,MATCH($A137,Mortality_Matrix!$A$4:$A$64,0),MATCH(2024,Mortality_Matrix!$B$3:$BS$3,0)))/INDEX(Mortality_Matrix!$B$4:$BS$64,MATCH($A137,Mortality_Matrix!$A$4:$A$64,0),MATCH(2024,Mortality_Matrix!$B$3:$BS$3,0))</f>
        <v>6.6801823959012E-011</v>
      </c>
      <c r="O137" s="27" t="n">
        <f aca="false">(O71-INDEX(Mortality_Matrix!$B$4:$BS$64,MATCH($A137,Mortality_Matrix!$A$4:$A$64,0),MATCH(2025,Mortality_Matrix!$B$3:$BS$3,0)))/INDEX(Mortality_Matrix!$B$4:$BS$64,MATCH($A137,Mortality_Matrix!$A$4:$A$64,0),MATCH(2025,Mortality_Matrix!$B$3:$BS$3,0))</f>
        <v>-3.65550450294998E-012</v>
      </c>
      <c r="P137" s="27" t="n">
        <f aca="false">(P71-INDEX(Mortality_Matrix!$B$4:$BS$64,MATCH($A137,Mortality_Matrix!$A$4:$A$64,0),MATCH(2026,Mortality_Matrix!$B$3:$BS$3,0)))/INDEX(Mortality_Matrix!$B$4:$BS$64,MATCH($A137,Mortality_Matrix!$A$4:$A$64,0),MATCH(2026,Mortality_Matrix!$B$3:$BS$3,0))</f>
        <v>5.07318823812928E-011</v>
      </c>
      <c r="Q137" s="27" t="n">
        <f aca="false">(Q71-INDEX(Mortality_Matrix!$B$4:$BS$64,MATCH($A137,Mortality_Matrix!$A$4:$A$64,0),MATCH(2027,Mortality_Matrix!$B$3:$BS$3,0)))/INDEX(Mortality_Matrix!$B$4:$BS$64,MATCH($A137,Mortality_Matrix!$A$4:$A$64,0),MATCH(2027,Mortality_Matrix!$B$3:$BS$3,0))</f>
        <v>2.05225195303652E-011</v>
      </c>
      <c r="R137" s="27" t="n">
        <f aca="false">(R71-INDEX(Mortality_Matrix!$B$4:$BS$64,MATCH($A137,Mortality_Matrix!$A$4:$A$64,0),MATCH(2028,Mortality_Matrix!$B$3:$BS$3,0)))/INDEX(Mortality_Matrix!$B$4:$BS$64,MATCH($A137,Mortality_Matrix!$A$4:$A$64,0),MATCH(2028,Mortality_Matrix!$B$3:$BS$3,0))</f>
        <v>8.94429643587975E-011</v>
      </c>
      <c r="S137" s="27" t="n">
        <f aca="false">(S71-INDEX(Mortality_Matrix!$B$4:$BS$64,MATCH($A137,Mortality_Matrix!$A$4:$A$64,0),MATCH(2029,Mortality_Matrix!$B$3:$BS$3,0)))/INDEX(Mortality_Matrix!$B$4:$BS$64,MATCH($A137,Mortality_Matrix!$A$4:$A$64,0),MATCH(2029,Mortality_Matrix!$B$3:$BS$3,0))</f>
        <v>1.28940133901284E-011</v>
      </c>
      <c r="T137" s="27" t="n">
        <f aca="false">(T71-INDEX(Mortality_Matrix!$B$4:$BS$64,MATCH($A137,Mortality_Matrix!$A$4:$A$64,0),MATCH(2030,Mortality_Matrix!$B$3:$BS$3,0)))/INDEX(Mortality_Matrix!$B$4:$BS$64,MATCH($A137,Mortality_Matrix!$A$4:$A$64,0),MATCH(2030,Mortality_Matrix!$B$3:$BS$3,0))</f>
        <v>4.42064319562471E-011</v>
      </c>
      <c r="U137" s="27" t="n">
        <f aca="false">(U71-INDEX(Mortality_Matrix!$B$4:$BS$64,MATCH($A137,Mortality_Matrix!$A$4:$A$64,0),MATCH(2031,Mortality_Matrix!$B$3:$BS$3,0)))/INDEX(Mortality_Matrix!$B$4:$BS$64,MATCH($A137,Mortality_Matrix!$A$4:$A$64,0),MATCH(2031,Mortality_Matrix!$B$3:$BS$3,0))</f>
        <v>-5.76065064988295E-011</v>
      </c>
      <c r="V137" s="27" t="n">
        <f aca="false">(V71-INDEX(Mortality_Matrix!$B$4:$BS$64,MATCH($A137,Mortality_Matrix!$A$4:$A$64,0),MATCH(2032,Mortality_Matrix!$B$3:$BS$3,0)))/INDEX(Mortality_Matrix!$B$4:$BS$64,MATCH($A137,Mortality_Matrix!$A$4:$A$64,0),MATCH(2032,Mortality_Matrix!$B$3:$BS$3,0))</f>
        <v>-3.43895150012702E-011</v>
      </c>
      <c r="W137" s="27" t="n">
        <f aca="false">(W71-INDEX(Mortality_Matrix!$B$4:$BS$64,MATCH($A137,Mortality_Matrix!$A$4:$A$64,0),MATCH(2033,Mortality_Matrix!$B$3:$BS$3,0)))/INDEX(Mortality_Matrix!$B$4:$BS$64,MATCH($A137,Mortality_Matrix!$A$4:$A$64,0),MATCH(2033,Mortality_Matrix!$B$3:$BS$3,0))</f>
        <v>-1.23478135255881E-010</v>
      </c>
      <c r="X137" s="27" t="n">
        <f aca="false">(X71-INDEX(Mortality_Matrix!$B$4:$BS$64,MATCH($A137,Mortality_Matrix!$A$4:$A$64,0),MATCH(2034,Mortality_Matrix!$B$3:$BS$3,0)))/INDEX(Mortality_Matrix!$B$4:$BS$64,MATCH($A137,Mortality_Matrix!$A$4:$A$64,0),MATCH(2034,Mortality_Matrix!$B$3:$BS$3,0))</f>
        <v>-6.18503232224546E-011</v>
      </c>
      <c r="Y137" s="27" t="n">
        <f aca="false">(Y71-INDEX(Mortality_Matrix!$B$4:$BS$64,MATCH($A137,Mortality_Matrix!$A$4:$A$64,0),MATCH(2035,Mortality_Matrix!$B$3:$BS$3,0)))/INDEX(Mortality_Matrix!$B$4:$BS$64,MATCH($A137,Mortality_Matrix!$A$4:$A$64,0),MATCH(2035,Mortality_Matrix!$B$3:$BS$3,0))</f>
        <v>-8.31508203314426E-011</v>
      </c>
      <c r="Z137" s="27" t="n">
        <f aca="false">(Z71-INDEX(Mortality_Matrix!$B$4:$BS$64,MATCH($A137,Mortality_Matrix!$A$4:$A$64,0),MATCH(2036,Mortality_Matrix!$B$3:$BS$3,0)))/INDEX(Mortality_Matrix!$B$4:$BS$64,MATCH($A137,Mortality_Matrix!$A$4:$A$64,0),MATCH(2036,Mortality_Matrix!$B$3:$BS$3,0))</f>
        <v>8.05506647725729E-011</v>
      </c>
      <c r="AA137" s="27" t="n">
        <f aca="false">(AA71-INDEX(Mortality_Matrix!$B$4:$BS$64,MATCH($A137,Mortality_Matrix!$A$4:$A$64,0),MATCH(2037,Mortality_Matrix!$B$3:$BS$3,0)))/INDEX(Mortality_Matrix!$B$4:$BS$64,MATCH($A137,Mortality_Matrix!$A$4:$A$64,0),MATCH(2037,Mortality_Matrix!$B$3:$BS$3,0))</f>
        <v>-5.126949990216E-011</v>
      </c>
      <c r="AB137" s="27" t="n">
        <f aca="false">(AB71-INDEX(Mortality_Matrix!$B$4:$BS$64,MATCH($A137,Mortality_Matrix!$A$4:$A$64,0),MATCH(2038,Mortality_Matrix!$B$3:$BS$3,0)))/INDEX(Mortality_Matrix!$B$4:$BS$64,MATCH($A137,Mortality_Matrix!$A$4:$A$64,0),MATCH(2038,Mortality_Matrix!$B$3:$BS$3,0))</f>
        <v>4.42771070818811E-011</v>
      </c>
      <c r="AC137" s="27" t="n">
        <f aca="false">(AC71-INDEX(Mortality_Matrix!$B$4:$BS$64,MATCH($A137,Mortality_Matrix!$A$4:$A$64,0),MATCH(2039,Mortality_Matrix!$B$3:$BS$3,0)))/INDEX(Mortality_Matrix!$B$4:$BS$64,MATCH($A137,Mortality_Matrix!$A$4:$A$64,0),MATCH(2039,Mortality_Matrix!$B$3:$BS$3,0))</f>
        <v>-1.10167761923642E-010</v>
      </c>
      <c r="AD137" s="27" t="n">
        <f aca="false">(AD71-INDEX(Mortality_Matrix!$B$4:$BS$64,MATCH($A137,Mortality_Matrix!$A$4:$A$64,0),MATCH(2040,Mortality_Matrix!$B$3:$BS$3,0)))/INDEX(Mortality_Matrix!$B$4:$BS$64,MATCH($A137,Mortality_Matrix!$A$4:$A$64,0),MATCH(2040,Mortality_Matrix!$B$3:$BS$3,0))</f>
        <v>1.38785810575748E-011</v>
      </c>
      <c r="AE137" s="27" t="n">
        <f aca="false">(AE71-INDEX(Mortality_Matrix!$B$4:$BS$64,MATCH($A137,Mortality_Matrix!$A$4:$A$64,0),MATCH(2041,Mortality_Matrix!$B$3:$BS$3,0)))/INDEX(Mortality_Matrix!$B$4:$BS$64,MATCH($A137,Mortality_Matrix!$A$4:$A$64,0),MATCH(2041,Mortality_Matrix!$B$3:$BS$3,0))</f>
        <v>-5.77376348654155E-011</v>
      </c>
      <c r="AF137" s="27" t="n">
        <f aca="false">(AF71-INDEX(Mortality_Matrix!$B$4:$BS$64,MATCH($A137,Mortality_Matrix!$A$4:$A$64,0),MATCH(2042,Mortality_Matrix!$B$3:$BS$3,0)))/INDEX(Mortality_Matrix!$B$4:$BS$64,MATCH($A137,Mortality_Matrix!$A$4:$A$64,0),MATCH(2042,Mortality_Matrix!$B$3:$BS$3,0))</f>
        <v>-4.30140455256014E-011</v>
      </c>
      <c r="AG137" s="27" t="n">
        <f aca="false">(AG71-INDEX(Mortality_Matrix!$B$4:$BS$64,MATCH($A137,Mortality_Matrix!$A$4:$A$64,0),MATCH(2043,Mortality_Matrix!$B$3:$BS$3,0)))/INDEX(Mortality_Matrix!$B$4:$BS$64,MATCH($A137,Mortality_Matrix!$A$4:$A$64,0),MATCH(2043,Mortality_Matrix!$B$3:$BS$3,0))</f>
        <v>9.10720021750082E-011</v>
      </c>
      <c r="AH137" s="27" t="n">
        <f aca="false">(AH71-INDEX(Mortality_Matrix!$B$4:$BS$64,MATCH($A137,Mortality_Matrix!$A$4:$A$64,0),MATCH(2044,Mortality_Matrix!$B$3:$BS$3,0)))/INDEX(Mortality_Matrix!$B$4:$BS$64,MATCH($A137,Mortality_Matrix!$A$4:$A$64,0),MATCH(2044,Mortality_Matrix!$B$3:$BS$3,0))</f>
        <v>-1.25664309219815E-010</v>
      </c>
      <c r="AI137" s="27" t="n">
        <f aca="false">(AI71-INDEX(Mortality_Matrix!$B$4:$BS$64,MATCH($A137,Mortality_Matrix!$A$4:$A$64,0),MATCH(2045,Mortality_Matrix!$B$3:$BS$3,0)))/INDEX(Mortality_Matrix!$B$4:$BS$64,MATCH($A137,Mortality_Matrix!$A$4:$A$64,0),MATCH(2045,Mortality_Matrix!$B$3:$BS$3,0))</f>
        <v>1.01554705090968E-010</v>
      </c>
      <c r="AJ137" s="27" t="n">
        <f aca="false">(AJ71-INDEX(Mortality_Matrix!$B$4:$BS$64,MATCH($A137,Mortality_Matrix!$A$4:$A$64,0),MATCH(2046,Mortality_Matrix!$B$3:$BS$3,0)))/INDEX(Mortality_Matrix!$B$4:$BS$64,MATCH($A137,Mortality_Matrix!$A$4:$A$64,0),MATCH(2046,Mortality_Matrix!$B$3:$BS$3,0))</f>
        <v>5.34216842452769E-011</v>
      </c>
      <c r="AK137" s="27" t="n">
        <f aca="false">(AK71-INDEX(Mortality_Matrix!$B$4:$BS$64,MATCH($A137,Mortality_Matrix!$A$4:$A$64,0),MATCH(2047,Mortality_Matrix!$B$3:$BS$3,0)))/INDEX(Mortality_Matrix!$B$4:$BS$64,MATCH($A137,Mortality_Matrix!$A$4:$A$64,0),MATCH(2047,Mortality_Matrix!$B$3:$BS$3,0))</f>
        <v>2.37969807145223E-011</v>
      </c>
      <c r="AL137" s="27" t="n">
        <f aca="false">(AL71-INDEX(Mortality_Matrix!$B$4:$BS$64,MATCH($A137,Mortality_Matrix!$A$4:$A$64,0),MATCH(2048,Mortality_Matrix!$B$3:$BS$3,0)))/INDEX(Mortality_Matrix!$B$4:$BS$64,MATCH($A137,Mortality_Matrix!$A$4:$A$64,0),MATCH(2048,Mortality_Matrix!$B$3:$BS$3,0))</f>
        <v>5.60982204039634E-011</v>
      </c>
      <c r="AM137" s="27" t="n">
        <f aca="false">(AM71-INDEX(Mortality_Matrix!$B$4:$BS$64,MATCH($A137,Mortality_Matrix!$A$4:$A$64,0),MATCH(2049,Mortality_Matrix!$B$3:$BS$3,0)))/INDEX(Mortality_Matrix!$B$4:$BS$64,MATCH($A137,Mortality_Matrix!$A$4:$A$64,0),MATCH(2049,Mortality_Matrix!$B$3:$BS$3,0))</f>
        <v>-5.82106637592751E-011</v>
      </c>
      <c r="AN137" s="27" t="n">
        <f aca="false">(AN71-INDEX(Mortality_Matrix!$B$4:$BS$64,MATCH($A137,Mortality_Matrix!$A$4:$A$64,0),MATCH(2050,Mortality_Matrix!$B$3:$BS$3,0)))/INDEX(Mortality_Matrix!$B$4:$BS$64,MATCH($A137,Mortality_Matrix!$A$4:$A$64,0),MATCH(2050,Mortality_Matrix!$B$3:$BS$3,0))</f>
        <v>-1.74824703607052E-011</v>
      </c>
      <c r="AO137" s="27" t="n">
        <f aca="false">(AO71-INDEX(Mortality_Matrix!$B$4:$BS$64,MATCH($A137,Mortality_Matrix!$A$4:$A$64,0),MATCH(2051,Mortality_Matrix!$B$3:$BS$3,0)))/INDEX(Mortality_Matrix!$B$4:$BS$64,MATCH($A137,Mortality_Matrix!$A$4:$A$64,0),MATCH(2051,Mortality_Matrix!$B$3:$BS$3,0))</f>
        <v>-2.62495528258317E-011</v>
      </c>
      <c r="AP137" s="27" t="n">
        <f aca="false">(AP71-INDEX(Mortality_Matrix!$B$4:$BS$64,MATCH($A137,Mortality_Matrix!$A$4:$A$64,0),MATCH(2052,Mortality_Matrix!$B$3:$BS$3,0)))/INDEX(Mortality_Matrix!$B$4:$BS$64,MATCH($A137,Mortality_Matrix!$A$4:$A$64,0),MATCH(2052,Mortality_Matrix!$B$3:$BS$3,0))</f>
        <v>-3.27817091310429E-011</v>
      </c>
      <c r="AQ137" s="27" t="n">
        <f aca="false">(AQ71-INDEX(Mortality_Matrix!$B$4:$BS$64,MATCH($A137,Mortality_Matrix!$A$4:$A$64,0),MATCH(2053,Mortality_Matrix!$B$3:$BS$3,0)))/INDEX(Mortality_Matrix!$B$4:$BS$64,MATCH($A137,Mortality_Matrix!$A$4:$A$64,0),MATCH(2053,Mortality_Matrix!$B$3:$BS$3,0))</f>
        <v>1.69839736647251E-011</v>
      </c>
      <c r="AR137" s="27" t="n">
        <f aca="false">(AR71-INDEX(Mortality_Matrix!$B$4:$BS$64,MATCH($A137,Mortality_Matrix!$A$4:$A$64,0),MATCH(2054,Mortality_Matrix!$B$3:$BS$3,0)))/INDEX(Mortality_Matrix!$B$4:$BS$64,MATCH($A137,Mortality_Matrix!$A$4:$A$64,0),MATCH(2054,Mortality_Matrix!$B$3:$BS$3,0))</f>
        <v>-7.63234821909213E-011</v>
      </c>
      <c r="AS137" s="27" t="n">
        <f aca="false">(AS71-INDEX(Mortality_Matrix!$B$4:$BS$64,MATCH($A137,Mortality_Matrix!$A$4:$A$64,0),MATCH(2055,Mortality_Matrix!$B$3:$BS$3,0)))/INDEX(Mortality_Matrix!$B$4:$BS$64,MATCH($A137,Mortality_Matrix!$A$4:$A$64,0),MATCH(2055,Mortality_Matrix!$B$3:$BS$3,0))</f>
        <v>1.21883994676547E-012</v>
      </c>
      <c r="AT137" s="27" t="n">
        <f aca="false">(AT71-INDEX(Mortality_Matrix!$B$4:$BS$64,MATCH($A137,Mortality_Matrix!$A$4:$A$64,0),MATCH(2056,Mortality_Matrix!$B$3:$BS$3,0)))/INDEX(Mortality_Matrix!$B$4:$BS$64,MATCH($A137,Mortality_Matrix!$A$4:$A$64,0),MATCH(2056,Mortality_Matrix!$B$3:$BS$3,0))</f>
        <v>5.43433932030025E-011</v>
      </c>
      <c r="AU137" s="27" t="n">
        <f aca="false">(AU71-INDEX(Mortality_Matrix!$B$4:$BS$64,MATCH($A137,Mortality_Matrix!$A$4:$A$64,0),MATCH(2057,Mortality_Matrix!$B$3:$BS$3,0)))/INDEX(Mortality_Matrix!$B$4:$BS$64,MATCH($A137,Mortality_Matrix!$A$4:$A$64,0),MATCH(2057,Mortality_Matrix!$B$3:$BS$3,0))</f>
        <v>-1.11074094357241E-010</v>
      </c>
      <c r="AV137" s="27" t="n">
        <f aca="false">(AV71-INDEX(Mortality_Matrix!$B$4:$BS$64,MATCH($A137,Mortality_Matrix!$A$4:$A$64,0),MATCH(2058,Mortality_Matrix!$B$3:$BS$3,0)))/INDEX(Mortality_Matrix!$B$4:$BS$64,MATCH($A137,Mortality_Matrix!$A$4:$A$64,0),MATCH(2058,Mortality_Matrix!$B$3:$BS$3,0))</f>
        <v>8.3018705375807E-011</v>
      </c>
      <c r="AW137" s="27" t="n">
        <f aca="false">(AW71-INDEX(Mortality_Matrix!$B$4:$BS$64,MATCH($A137,Mortality_Matrix!$A$4:$A$64,0),MATCH(2059,Mortality_Matrix!$B$3:$BS$3,0)))/INDEX(Mortality_Matrix!$B$4:$BS$64,MATCH($A137,Mortality_Matrix!$A$4:$A$64,0),MATCH(2059,Mortality_Matrix!$B$3:$BS$3,0))</f>
        <v>-6.70486905306218E-011</v>
      </c>
      <c r="AX137" s="27" t="n">
        <f aca="false">(AX71-INDEX(Mortality_Matrix!$B$4:$BS$64,MATCH($A137,Mortality_Matrix!$A$4:$A$64,0),MATCH(2060,Mortality_Matrix!$B$3:$BS$3,0)))/INDEX(Mortality_Matrix!$B$4:$BS$64,MATCH($A137,Mortality_Matrix!$A$4:$A$64,0),MATCH(2060,Mortality_Matrix!$B$3:$BS$3,0))</f>
        <v>2.1883884091963E-011</v>
      </c>
      <c r="AY137" s="27" t="n">
        <f aca="false">(AY71-INDEX(Mortality_Matrix!$B$4:$BS$64,MATCH($A137,Mortality_Matrix!$A$4:$A$64,0),MATCH(2061,Mortality_Matrix!$B$3:$BS$3,0)))/INDEX(Mortality_Matrix!$B$4:$BS$64,MATCH($A137,Mortality_Matrix!$A$4:$A$64,0),MATCH(2061,Mortality_Matrix!$B$3:$BS$3,0))</f>
        <v>-9.38776212650192E-011</v>
      </c>
      <c r="AZ137" s="27" t="n">
        <f aca="false">(AZ71-INDEX(Mortality_Matrix!$B$4:$BS$64,MATCH($A137,Mortality_Matrix!$A$4:$A$64,0),MATCH(2062,Mortality_Matrix!$B$3:$BS$3,0)))/INDEX(Mortality_Matrix!$B$4:$BS$64,MATCH($A137,Mortality_Matrix!$A$4:$A$64,0),MATCH(2062,Mortality_Matrix!$B$3:$BS$3,0))</f>
        <v>-8.33412683922389E-011</v>
      </c>
      <c r="BA137" s="27" t="n">
        <f aca="false">(BA71-INDEX(Mortality_Matrix!$B$4:$BS$64,MATCH($A137,Mortality_Matrix!$A$4:$A$64,0),MATCH(2063,Mortality_Matrix!$B$3:$BS$3,0)))/INDEX(Mortality_Matrix!$B$4:$BS$64,MATCH($A137,Mortality_Matrix!$A$4:$A$64,0),MATCH(2063,Mortality_Matrix!$B$3:$BS$3,0))</f>
        <v>-1.28950503809547E-010</v>
      </c>
      <c r="BB137" s="27" t="n">
        <f aca="false">(BB71-INDEX(Mortality_Matrix!$B$4:$BS$64,MATCH($A137,Mortality_Matrix!$A$4:$A$64,0),MATCH(2064,Mortality_Matrix!$B$3:$BS$3,0)))/INDEX(Mortality_Matrix!$B$4:$BS$64,MATCH($A137,Mortality_Matrix!$A$4:$A$64,0),MATCH(2064,Mortality_Matrix!$B$3:$BS$3,0))</f>
        <v>1.05789694165665E-010</v>
      </c>
      <c r="BC137" s="27" t="n">
        <f aca="false">(BC71-INDEX(Mortality_Matrix!$B$4:$BS$64,MATCH($A137,Mortality_Matrix!$A$4:$A$64,0),MATCH(2065,Mortality_Matrix!$B$3:$BS$3,0)))/INDEX(Mortality_Matrix!$B$4:$BS$64,MATCH($A137,Mortality_Matrix!$A$4:$A$64,0),MATCH(2065,Mortality_Matrix!$B$3:$BS$3,0))</f>
        <v>-7.56346492581109E-011</v>
      </c>
      <c r="BD137" s="27" t="n">
        <f aca="false">(BD71-INDEX(Mortality_Matrix!$B$4:$BS$64,MATCH($A137,Mortality_Matrix!$A$4:$A$64,0),MATCH(2066,Mortality_Matrix!$B$3:$BS$3,0)))/INDEX(Mortality_Matrix!$B$4:$BS$64,MATCH($A137,Mortality_Matrix!$A$4:$A$64,0),MATCH(2066,Mortality_Matrix!$B$3:$BS$3,0))</f>
        <v>-7.35586452495622E-011</v>
      </c>
      <c r="BE137" s="27" t="n">
        <f aca="false">(BE71-INDEX(Mortality_Matrix!$B$4:$BS$64,MATCH($A137,Mortality_Matrix!$A$4:$A$64,0),MATCH(2067,Mortality_Matrix!$B$3:$BS$3,0)))/INDEX(Mortality_Matrix!$B$4:$BS$64,MATCH($A137,Mortality_Matrix!$A$4:$A$64,0),MATCH(2067,Mortality_Matrix!$B$3:$BS$3,0))</f>
        <v>-6.2750885812375E-011</v>
      </c>
      <c r="BF137" s="27" t="n">
        <f aca="false">(BF71-INDEX(Mortality_Matrix!$B$4:$BS$64,MATCH($A137,Mortality_Matrix!$A$4:$A$64,0),MATCH(2068,Mortality_Matrix!$B$3:$BS$3,0)))/INDEX(Mortality_Matrix!$B$4:$BS$64,MATCH($A137,Mortality_Matrix!$A$4:$A$64,0),MATCH(2068,Mortality_Matrix!$B$3:$BS$3,0))</f>
        <v>4.33754143613687E-011</v>
      </c>
      <c r="BG137" s="27" t="n">
        <f aca="false">(BG71-INDEX(Mortality_Matrix!$B$4:$BS$64,MATCH($A137,Mortality_Matrix!$A$4:$A$64,0),MATCH(2069,Mortality_Matrix!$B$3:$BS$3,0)))/INDEX(Mortality_Matrix!$B$4:$BS$64,MATCH($A137,Mortality_Matrix!$A$4:$A$64,0),MATCH(2069,Mortality_Matrix!$B$3:$BS$3,0))</f>
        <v>7.34806063138987E-011</v>
      </c>
      <c r="BH137" s="27" t="n">
        <f aca="false">(BH71-INDEX(Mortality_Matrix!$B$4:$BS$64,MATCH($A137,Mortality_Matrix!$A$4:$A$64,0),MATCH(2070,Mortality_Matrix!$B$3:$BS$3,0)))/INDEX(Mortality_Matrix!$B$4:$BS$64,MATCH($A137,Mortality_Matrix!$A$4:$A$64,0),MATCH(2070,Mortality_Matrix!$B$3:$BS$3,0))</f>
        <v>1.182234374803E-010</v>
      </c>
      <c r="BI137" s="27" t="n">
        <f aca="false">(BI71-INDEX(Mortality_Matrix!$B$4:$BS$64,MATCH($A137,Mortality_Matrix!$A$4:$A$64,0),MATCH(2071,Mortality_Matrix!$B$3:$BS$3,0)))/INDEX(Mortality_Matrix!$B$4:$BS$64,MATCH($A137,Mortality_Matrix!$A$4:$A$64,0),MATCH(2071,Mortality_Matrix!$B$3:$BS$3,0))</f>
        <v>9.73031293160045E-012</v>
      </c>
      <c r="BJ137" s="27" t="n">
        <f aca="false">(BJ71-INDEX(Mortality_Matrix!$B$4:$BS$64,MATCH($A137,Mortality_Matrix!$A$4:$A$64,0),MATCH(2072,Mortality_Matrix!$B$3:$BS$3,0)))/INDEX(Mortality_Matrix!$B$4:$BS$64,MATCH($A137,Mortality_Matrix!$A$4:$A$64,0),MATCH(2072,Mortality_Matrix!$B$3:$BS$3,0))</f>
        <v>1.04135524480623E-010</v>
      </c>
      <c r="BK137" s="27" t="n">
        <f aca="false">(BK71-INDEX(Mortality_Matrix!$B$4:$BS$64,MATCH($A137,Mortality_Matrix!$A$4:$A$64,0),MATCH(2073,Mortality_Matrix!$B$3:$BS$3,0)))/INDEX(Mortality_Matrix!$B$4:$BS$64,MATCH($A137,Mortality_Matrix!$A$4:$A$64,0),MATCH(2073,Mortality_Matrix!$B$3:$BS$3,0))</f>
        <v>-2.3668567584224E-011</v>
      </c>
      <c r="BL137" s="27" t="n">
        <f aca="false">(BL71-INDEX(Mortality_Matrix!$B$4:$BS$64,MATCH($A137,Mortality_Matrix!$A$4:$A$64,0),MATCH(2074,Mortality_Matrix!$B$3:$BS$3,0)))/INDEX(Mortality_Matrix!$B$4:$BS$64,MATCH($A137,Mortality_Matrix!$A$4:$A$64,0),MATCH(2074,Mortality_Matrix!$B$3:$BS$3,0))</f>
        <v>-1.27696917923983E-011</v>
      </c>
      <c r="BM137" s="27" t="n">
        <f aca="false">(BM71-INDEX(Mortality_Matrix!$B$4:$BS$64,MATCH($A137,Mortality_Matrix!$A$4:$A$64,0),MATCH(2075,Mortality_Matrix!$B$3:$BS$3,0)))/INDEX(Mortality_Matrix!$B$4:$BS$64,MATCH($A137,Mortality_Matrix!$A$4:$A$64,0),MATCH(2075,Mortality_Matrix!$B$3:$BS$3,0))</f>
        <v>-2.30521718644741E-011</v>
      </c>
      <c r="BN137" s="27" t="n">
        <f aca="false">(BN71-INDEX(Mortality_Matrix!$B$4:$BS$64,MATCH($A137,Mortality_Matrix!$A$4:$A$64,0),MATCH(2076,Mortality_Matrix!$B$3:$BS$3,0)))/INDEX(Mortality_Matrix!$B$4:$BS$64,MATCH($A137,Mortality_Matrix!$A$4:$A$64,0),MATCH(2076,Mortality_Matrix!$B$3:$BS$3,0))</f>
        <v>4.95369996827003E-011</v>
      </c>
      <c r="BO137" s="27" t="n">
        <f aca="false">(BO71-INDEX(Mortality_Matrix!$B$4:$BS$64,MATCH($A137,Mortality_Matrix!$A$4:$A$64,0),MATCH(2077,Mortality_Matrix!$B$3:$BS$3,0)))/INDEX(Mortality_Matrix!$B$4:$BS$64,MATCH($A137,Mortality_Matrix!$A$4:$A$64,0),MATCH(2077,Mortality_Matrix!$B$3:$BS$3,0))</f>
        <v>4.86956470525124E-011</v>
      </c>
      <c r="BP137" s="27" t="n">
        <f aca="false">(BP71-INDEX(Mortality_Matrix!$B$4:$BS$64,MATCH($A137,Mortality_Matrix!$A$4:$A$64,0),MATCH(2078,Mortality_Matrix!$B$3:$BS$3,0)))/INDEX(Mortality_Matrix!$B$4:$BS$64,MATCH($A137,Mortality_Matrix!$A$4:$A$64,0),MATCH(2078,Mortality_Matrix!$B$3:$BS$3,0))</f>
        <v>8.27082444199051E-011</v>
      </c>
      <c r="BQ137" s="27" t="n">
        <f aca="false">(BQ71-INDEX(Mortality_Matrix!$B$4:$BS$64,MATCH($A137,Mortality_Matrix!$A$4:$A$64,0),MATCH(2079,Mortality_Matrix!$B$3:$BS$3,0)))/INDEX(Mortality_Matrix!$B$4:$BS$64,MATCH($A137,Mortality_Matrix!$A$4:$A$64,0),MATCH(2079,Mortality_Matrix!$B$3:$BS$3,0))</f>
        <v>-1.10743156318756E-012</v>
      </c>
      <c r="BR137" s="27" t="n">
        <f aca="false">(BR71-INDEX(Mortality_Matrix!$B$4:$BS$64,MATCH($A137,Mortality_Matrix!$A$4:$A$64,0),MATCH(2080,Mortality_Matrix!$B$3:$BS$3,0)))/INDEX(Mortality_Matrix!$B$4:$BS$64,MATCH($A137,Mortality_Matrix!$A$4:$A$64,0),MATCH(2080,Mortality_Matrix!$B$3:$BS$3,0))</f>
        <v>-9.01960151910759E-011</v>
      </c>
      <c r="BS137" s="27" t="n">
        <f aca="false">(BS71-INDEX(Mortality_Matrix!$B$4:$BS$64,MATCH($A137,Mortality_Matrix!$A$4:$A$64,0),MATCH(2081,Mortality_Matrix!$B$3:$BS$3,0)))/INDEX(Mortality_Matrix!$B$4:$BS$64,MATCH($A137,Mortality_Matrix!$A$4:$A$64,0),MATCH(2081,Mortality_Matrix!$B$3:$BS$3,0))</f>
        <v>-6.93767070117967E-011</v>
      </c>
      <c r="BT137" s="27" t="n">
        <f aca="false">(BT71-INDEX(Mortality_Matrix!$B$4:$BS$64,MATCH($A137,Mortality_Matrix!$A$4:$A$64,0),MATCH(2082,Mortality_Matrix!$B$3:$BS$3,0)))/INDEX(Mortality_Matrix!$B$4:$BS$64,MATCH($A137,Mortality_Matrix!$A$4:$A$64,0),MATCH(2082,Mortality_Matrix!$B$3:$BS$3,0))</f>
        <v>-8.53538158409984E-011</v>
      </c>
      <c r="BU137" s="27" t="n">
        <f aca="false">(BU71-INDEX(Mortality_Matrix!$B$4:$BS$64,MATCH($A137,Mortality_Matrix!$A$4:$A$64,0),MATCH(2083,Mortality_Matrix!$B$3:$BS$3,0)))/INDEX(Mortality_Matrix!$B$4:$BS$64,MATCH($A137,Mortality_Matrix!$A$4:$A$64,0),MATCH(2083,Mortality_Matrix!$B$3:$BS$3,0))</f>
        <v>-1.86139750053653E-011</v>
      </c>
      <c r="BV137" s="27" t="n">
        <f aca="false">(BV71-INDEX(Mortality_Matrix!$B$4:$BS$64,MATCH($A137,Mortality_Matrix!$A$4:$A$64,0),MATCH(2084,Mortality_Matrix!$B$3:$BS$3,0)))/INDEX(Mortality_Matrix!$B$4:$BS$64,MATCH($A137,Mortality_Matrix!$A$4:$A$64,0),MATCH(2084,Mortality_Matrix!$B$3:$BS$3,0))</f>
        <v>-1.21441183866316E-011</v>
      </c>
      <c r="BW137" s="27" t="n">
        <f aca="false">(BW71-INDEX(Mortality_Matrix!$B$4:$BS$64,MATCH($A137,Mortality_Matrix!$A$4:$A$64,0),MATCH(2085,Mortality_Matrix!$B$3:$BS$3,0)))/INDEX(Mortality_Matrix!$B$4:$BS$64,MATCH($A137,Mortality_Matrix!$A$4:$A$64,0),MATCH(2085,Mortality_Matrix!$B$3:$BS$3,0))</f>
        <v>5.79419471233915E-011</v>
      </c>
      <c r="BX137" s="27" t="n">
        <f aca="false">(BX71-INDEX(Mortality_Matrix!$B$4:$BS$64,MATCH($A137,Mortality_Matrix!$A$4:$A$64,0),MATCH(2086,Mortality_Matrix!$B$3:$BS$3,0)))/INDEX(Mortality_Matrix!$B$4:$BS$64,MATCH($A137,Mortality_Matrix!$A$4:$A$64,0),MATCH(2086,Mortality_Matrix!$B$3:$BS$3,0))</f>
        <v>5.24133549879489E-011</v>
      </c>
      <c r="BY137" s="27" t="n">
        <f aca="false">(BY71-INDEX(Mortality_Matrix!$B$4:$BS$64,MATCH($A137,Mortality_Matrix!$A$4:$A$64,0),MATCH(2087,Mortality_Matrix!$B$3:$BS$3,0)))/INDEX(Mortality_Matrix!$B$4:$BS$64,MATCH($A137,Mortality_Matrix!$A$4:$A$64,0),MATCH(2087,Mortality_Matrix!$B$3:$BS$3,0))</f>
        <v>9.95690113127666E-011</v>
      </c>
      <c r="BZ137" s="27" t="n">
        <f aca="false">(BZ71-INDEX(Mortality_Matrix!$B$4:$BS$64,MATCH($A137,Mortality_Matrix!$A$4:$A$64,0),MATCH(2088,Mortality_Matrix!$B$3:$BS$3,0)))/INDEX(Mortality_Matrix!$B$4:$BS$64,MATCH($A137,Mortality_Matrix!$A$4:$A$64,0),MATCH(2088,Mortality_Matrix!$B$3:$BS$3,0))</f>
        <v>6.39733169367414E-011</v>
      </c>
      <c r="CA137" s="27" t="n">
        <f aca="false">(CA71-INDEX(Mortality_Matrix!$B$4:$BS$64,MATCH($A137,Mortality_Matrix!$A$4:$A$64,0),MATCH(2089,Mortality_Matrix!$B$3:$BS$3,0)))/INDEX(Mortality_Matrix!$B$4:$BS$64,MATCH($A137,Mortality_Matrix!$A$4:$A$64,0),MATCH(2089,Mortality_Matrix!$B$3:$BS$3,0))</f>
        <v>7.83781393338984E-011</v>
      </c>
      <c r="CB137" s="27" t="n">
        <f aca="false">(CB71-INDEX(Mortality_Matrix!$B$4:$BS$64,MATCH($A137,Mortality_Matrix!$A$4:$A$64,0),MATCH(2090,Mortality_Matrix!$B$3:$BS$3,0)))/INDEX(Mortality_Matrix!$B$4:$BS$64,MATCH($A137,Mortality_Matrix!$A$4:$A$64,0),MATCH(2090,Mortality_Matrix!$B$3:$BS$3,0))</f>
        <v>1.11818217841838E-011</v>
      </c>
      <c r="CC137" s="27" t="n">
        <f aca="false">(CC71-INDEX(Mortality_Matrix!$B$4:$BS$64,MATCH($A137,Mortality_Matrix!$A$4:$A$64,0),MATCH(2091,Mortality_Matrix!$B$3:$BS$3,0)))/INDEX(Mortality_Matrix!$B$4:$BS$64,MATCH($A137,Mortality_Matrix!$A$4:$A$64,0),MATCH(2091,Mortality_Matrix!$B$3:$BS$3,0))</f>
        <v>-3.69751304971871E-013</v>
      </c>
    </row>
    <row r="138" customFormat="false" ht="15" hidden="false" customHeight="true" outlineLevel="0" collapsed="false">
      <c r="A138" s="3" t="n">
        <v>109</v>
      </c>
      <c r="L138" s="27" t="n">
        <f aca="false">(L72-INDEX(Mortality_Matrix!$B$4:$BS$64,MATCH($A138,Mortality_Matrix!$A$4:$A$64,0),MATCH(2022,Mortality_Matrix!$B$3:$BS$3,0)))/INDEX(Mortality_Matrix!$B$4:$BS$64,MATCH($A138,Mortality_Matrix!$A$4:$A$64,0),MATCH(2022,Mortality_Matrix!$B$3:$BS$3,0))</f>
        <v>-3.14377556978474E-011</v>
      </c>
      <c r="M138" s="27" t="n">
        <f aca="false">(M72-INDEX(Mortality_Matrix!$B$4:$BS$64,MATCH($A138,Mortality_Matrix!$A$4:$A$64,0),MATCH(2023,Mortality_Matrix!$B$3:$BS$3,0)))/INDEX(Mortality_Matrix!$B$4:$BS$64,MATCH($A138,Mortality_Matrix!$A$4:$A$64,0),MATCH(2023,Mortality_Matrix!$B$3:$BS$3,0))</f>
        <v>-1.06568167726825E-010</v>
      </c>
      <c r="N138" s="27" t="n">
        <f aca="false">(N72-INDEX(Mortality_Matrix!$B$4:$BS$64,MATCH($A138,Mortality_Matrix!$A$4:$A$64,0),MATCH(2024,Mortality_Matrix!$B$3:$BS$3,0)))/INDEX(Mortality_Matrix!$B$4:$BS$64,MATCH($A138,Mortality_Matrix!$A$4:$A$64,0),MATCH(2024,Mortality_Matrix!$B$3:$BS$3,0))</f>
        <v>1.79434151890689E-011</v>
      </c>
      <c r="O138" s="27" t="n">
        <f aca="false">(O72-INDEX(Mortality_Matrix!$B$4:$BS$64,MATCH($A138,Mortality_Matrix!$A$4:$A$64,0),MATCH(2025,Mortality_Matrix!$B$3:$BS$3,0)))/INDEX(Mortality_Matrix!$B$4:$BS$64,MATCH($A138,Mortality_Matrix!$A$4:$A$64,0),MATCH(2025,Mortality_Matrix!$B$3:$BS$3,0))</f>
        <v>-5.92421732605989E-011</v>
      </c>
      <c r="P138" s="27" t="n">
        <f aca="false">(P72-INDEX(Mortality_Matrix!$B$4:$BS$64,MATCH($A138,Mortality_Matrix!$A$4:$A$64,0),MATCH(2026,Mortality_Matrix!$B$3:$BS$3,0)))/INDEX(Mortality_Matrix!$B$4:$BS$64,MATCH($A138,Mortality_Matrix!$A$4:$A$64,0),MATCH(2026,Mortality_Matrix!$B$3:$BS$3,0))</f>
        <v>-4.55827949498728E-011</v>
      </c>
      <c r="Q138" s="27" t="n">
        <f aca="false">(Q72-INDEX(Mortality_Matrix!$B$4:$BS$64,MATCH($A138,Mortality_Matrix!$A$4:$A$64,0),MATCH(2027,Mortality_Matrix!$B$3:$BS$3,0)))/INDEX(Mortality_Matrix!$B$4:$BS$64,MATCH($A138,Mortality_Matrix!$A$4:$A$64,0),MATCH(2027,Mortality_Matrix!$B$3:$BS$3,0))</f>
        <v>1.42987287505561E-011</v>
      </c>
      <c r="R138" s="27" t="n">
        <f aca="false">(R72-INDEX(Mortality_Matrix!$B$4:$BS$64,MATCH($A138,Mortality_Matrix!$A$4:$A$64,0),MATCH(2028,Mortality_Matrix!$B$3:$BS$3,0)))/INDEX(Mortality_Matrix!$B$4:$BS$64,MATCH($A138,Mortality_Matrix!$A$4:$A$64,0),MATCH(2028,Mortality_Matrix!$B$3:$BS$3,0))</f>
        <v>6.24023205942048E-012</v>
      </c>
      <c r="S138" s="27" t="n">
        <f aca="false">(S72-INDEX(Mortality_Matrix!$B$4:$BS$64,MATCH($A138,Mortality_Matrix!$A$4:$A$64,0),MATCH(2029,Mortality_Matrix!$B$3:$BS$3,0)))/INDEX(Mortality_Matrix!$B$4:$BS$64,MATCH($A138,Mortality_Matrix!$A$4:$A$64,0),MATCH(2029,Mortality_Matrix!$B$3:$BS$3,0))</f>
        <v>-4.9112433810627E-011</v>
      </c>
      <c r="T138" s="27" t="n">
        <f aca="false">(T72-INDEX(Mortality_Matrix!$B$4:$BS$64,MATCH($A138,Mortality_Matrix!$A$4:$A$64,0),MATCH(2030,Mortality_Matrix!$B$3:$BS$3,0)))/INDEX(Mortality_Matrix!$B$4:$BS$64,MATCH($A138,Mortality_Matrix!$A$4:$A$64,0),MATCH(2030,Mortality_Matrix!$B$3:$BS$3,0))</f>
        <v>1.06366535995502E-010</v>
      </c>
      <c r="U138" s="27" t="n">
        <f aca="false">(U72-INDEX(Mortality_Matrix!$B$4:$BS$64,MATCH($A138,Mortality_Matrix!$A$4:$A$64,0),MATCH(2031,Mortality_Matrix!$B$3:$BS$3,0)))/INDEX(Mortality_Matrix!$B$4:$BS$64,MATCH($A138,Mortality_Matrix!$A$4:$A$64,0),MATCH(2031,Mortality_Matrix!$B$3:$BS$3,0))</f>
        <v>1.92249851823163E-011</v>
      </c>
      <c r="V138" s="27" t="n">
        <f aca="false">(V72-INDEX(Mortality_Matrix!$B$4:$BS$64,MATCH($A138,Mortality_Matrix!$A$4:$A$64,0),MATCH(2032,Mortality_Matrix!$B$3:$BS$3,0)))/INDEX(Mortality_Matrix!$B$4:$BS$64,MATCH($A138,Mortality_Matrix!$A$4:$A$64,0),MATCH(2032,Mortality_Matrix!$B$3:$BS$3,0))</f>
        <v>-5.21931767385517E-011</v>
      </c>
      <c r="W138" s="27" t="n">
        <f aca="false">(W72-INDEX(Mortality_Matrix!$B$4:$BS$64,MATCH($A138,Mortality_Matrix!$A$4:$A$64,0),MATCH(2033,Mortality_Matrix!$B$3:$BS$3,0)))/INDEX(Mortality_Matrix!$B$4:$BS$64,MATCH($A138,Mortality_Matrix!$A$4:$A$64,0),MATCH(2033,Mortality_Matrix!$B$3:$BS$3,0))</f>
        <v>-8.65211287103326E-011</v>
      </c>
      <c r="X138" s="27" t="n">
        <f aca="false">(X72-INDEX(Mortality_Matrix!$B$4:$BS$64,MATCH($A138,Mortality_Matrix!$A$4:$A$64,0),MATCH(2034,Mortality_Matrix!$B$3:$BS$3,0)))/INDEX(Mortality_Matrix!$B$4:$BS$64,MATCH($A138,Mortality_Matrix!$A$4:$A$64,0),MATCH(2034,Mortality_Matrix!$B$3:$BS$3,0))</f>
        <v>-6.22108406943753E-011</v>
      </c>
      <c r="Y138" s="27" t="n">
        <f aca="false">(Y72-INDEX(Mortality_Matrix!$B$4:$BS$64,MATCH($A138,Mortality_Matrix!$A$4:$A$64,0),MATCH(2035,Mortality_Matrix!$B$3:$BS$3,0)))/INDEX(Mortality_Matrix!$B$4:$BS$64,MATCH($A138,Mortality_Matrix!$A$4:$A$64,0),MATCH(2035,Mortality_Matrix!$B$3:$BS$3,0))</f>
        <v>4.2467393324912E-011</v>
      </c>
      <c r="Z138" s="27" t="n">
        <f aca="false">(Z72-INDEX(Mortality_Matrix!$B$4:$BS$64,MATCH($A138,Mortality_Matrix!$A$4:$A$64,0),MATCH(2036,Mortality_Matrix!$B$3:$BS$3,0)))/INDEX(Mortality_Matrix!$B$4:$BS$64,MATCH($A138,Mortality_Matrix!$A$4:$A$64,0),MATCH(2036,Mortality_Matrix!$B$3:$BS$3,0))</f>
        <v>1.12688697077398E-011</v>
      </c>
      <c r="AA138" s="27" t="n">
        <f aca="false">(AA72-INDEX(Mortality_Matrix!$B$4:$BS$64,MATCH($A138,Mortality_Matrix!$A$4:$A$64,0),MATCH(2037,Mortality_Matrix!$B$3:$BS$3,0)))/INDEX(Mortality_Matrix!$B$4:$BS$64,MATCH($A138,Mortality_Matrix!$A$4:$A$64,0),MATCH(2037,Mortality_Matrix!$B$3:$BS$3,0))</f>
        <v>1.04157718440142E-010</v>
      </c>
      <c r="AB138" s="27" t="n">
        <f aca="false">(AB72-INDEX(Mortality_Matrix!$B$4:$BS$64,MATCH($A138,Mortality_Matrix!$A$4:$A$64,0),MATCH(2038,Mortality_Matrix!$B$3:$BS$3,0)))/INDEX(Mortality_Matrix!$B$4:$BS$64,MATCH($A138,Mortality_Matrix!$A$4:$A$64,0),MATCH(2038,Mortality_Matrix!$B$3:$BS$3,0))</f>
        <v>1.04968360615547E-010</v>
      </c>
      <c r="AC138" s="27" t="n">
        <f aca="false">(AC72-INDEX(Mortality_Matrix!$B$4:$BS$64,MATCH($A138,Mortality_Matrix!$A$4:$A$64,0),MATCH(2039,Mortality_Matrix!$B$3:$BS$3,0)))/INDEX(Mortality_Matrix!$B$4:$BS$64,MATCH($A138,Mortality_Matrix!$A$4:$A$64,0),MATCH(2039,Mortality_Matrix!$B$3:$BS$3,0))</f>
        <v>3.57308530874922E-011</v>
      </c>
      <c r="AD138" s="27" t="n">
        <f aca="false">(AD72-INDEX(Mortality_Matrix!$B$4:$BS$64,MATCH($A138,Mortality_Matrix!$A$4:$A$64,0),MATCH(2040,Mortality_Matrix!$B$3:$BS$3,0)))/INDEX(Mortality_Matrix!$B$4:$BS$64,MATCH($A138,Mortality_Matrix!$A$4:$A$64,0),MATCH(2040,Mortality_Matrix!$B$3:$BS$3,0))</f>
        <v>-8.13416411001045E-011</v>
      </c>
      <c r="AE138" s="27" t="n">
        <f aca="false">(AE72-INDEX(Mortality_Matrix!$B$4:$BS$64,MATCH($A138,Mortality_Matrix!$A$4:$A$64,0),MATCH(2041,Mortality_Matrix!$B$3:$BS$3,0)))/INDEX(Mortality_Matrix!$B$4:$BS$64,MATCH($A138,Mortality_Matrix!$A$4:$A$64,0),MATCH(2041,Mortality_Matrix!$B$3:$BS$3,0))</f>
        <v>1.5019265131686E-011</v>
      </c>
      <c r="AF138" s="27" t="n">
        <f aca="false">(AF72-INDEX(Mortality_Matrix!$B$4:$BS$64,MATCH($A138,Mortality_Matrix!$A$4:$A$64,0),MATCH(2042,Mortality_Matrix!$B$3:$BS$3,0)))/INDEX(Mortality_Matrix!$B$4:$BS$64,MATCH($A138,Mortality_Matrix!$A$4:$A$64,0),MATCH(2042,Mortality_Matrix!$B$3:$BS$3,0))</f>
        <v>1.08808864891174E-010</v>
      </c>
      <c r="AG138" s="27" t="n">
        <f aca="false">(AG72-INDEX(Mortality_Matrix!$B$4:$BS$64,MATCH($A138,Mortality_Matrix!$A$4:$A$64,0),MATCH(2043,Mortality_Matrix!$B$3:$BS$3,0)))/INDEX(Mortality_Matrix!$B$4:$BS$64,MATCH($A138,Mortality_Matrix!$A$4:$A$64,0),MATCH(2043,Mortality_Matrix!$B$3:$BS$3,0))</f>
        <v>-1.63668938993134E-011</v>
      </c>
      <c r="AH138" s="27" t="n">
        <f aca="false">(AH72-INDEX(Mortality_Matrix!$B$4:$BS$64,MATCH($A138,Mortality_Matrix!$A$4:$A$64,0),MATCH(2044,Mortality_Matrix!$B$3:$BS$3,0)))/INDEX(Mortality_Matrix!$B$4:$BS$64,MATCH($A138,Mortality_Matrix!$A$4:$A$64,0),MATCH(2044,Mortality_Matrix!$B$3:$BS$3,0))</f>
        <v>-9.86870000715453E-011</v>
      </c>
      <c r="AI138" s="27" t="n">
        <f aca="false">(AI72-INDEX(Mortality_Matrix!$B$4:$BS$64,MATCH($A138,Mortality_Matrix!$A$4:$A$64,0),MATCH(2045,Mortality_Matrix!$B$3:$BS$3,0)))/INDEX(Mortality_Matrix!$B$4:$BS$64,MATCH($A138,Mortality_Matrix!$A$4:$A$64,0),MATCH(2045,Mortality_Matrix!$B$3:$BS$3,0))</f>
        <v>-1.15017292844929E-010</v>
      </c>
      <c r="AJ138" s="27" t="n">
        <f aca="false">(AJ72-INDEX(Mortality_Matrix!$B$4:$BS$64,MATCH($A138,Mortality_Matrix!$A$4:$A$64,0),MATCH(2046,Mortality_Matrix!$B$3:$BS$3,0)))/INDEX(Mortality_Matrix!$B$4:$BS$64,MATCH($A138,Mortality_Matrix!$A$4:$A$64,0),MATCH(2046,Mortality_Matrix!$B$3:$BS$3,0))</f>
        <v>-4.20383418101925E-011</v>
      </c>
      <c r="AK138" s="27" t="n">
        <f aca="false">(AK72-INDEX(Mortality_Matrix!$B$4:$BS$64,MATCH($A138,Mortality_Matrix!$A$4:$A$64,0),MATCH(2047,Mortality_Matrix!$B$3:$BS$3,0)))/INDEX(Mortality_Matrix!$B$4:$BS$64,MATCH($A138,Mortality_Matrix!$A$4:$A$64,0),MATCH(2047,Mortality_Matrix!$B$3:$BS$3,0))</f>
        <v>-9.59783686228594E-011</v>
      </c>
      <c r="AL138" s="27" t="n">
        <f aca="false">(AL72-INDEX(Mortality_Matrix!$B$4:$BS$64,MATCH($A138,Mortality_Matrix!$A$4:$A$64,0),MATCH(2048,Mortality_Matrix!$B$3:$BS$3,0)))/INDEX(Mortality_Matrix!$B$4:$BS$64,MATCH($A138,Mortality_Matrix!$A$4:$A$64,0),MATCH(2048,Mortality_Matrix!$B$3:$BS$3,0))</f>
        <v>-1.3700442534752E-011</v>
      </c>
      <c r="AM138" s="27" t="n">
        <f aca="false">(AM72-INDEX(Mortality_Matrix!$B$4:$BS$64,MATCH($A138,Mortality_Matrix!$A$4:$A$64,0),MATCH(2049,Mortality_Matrix!$B$3:$BS$3,0)))/INDEX(Mortality_Matrix!$B$4:$BS$64,MATCH($A138,Mortality_Matrix!$A$4:$A$64,0),MATCH(2049,Mortality_Matrix!$B$3:$BS$3,0))</f>
        <v>-1.13482101737973E-011</v>
      </c>
      <c r="AN138" s="27" t="n">
        <f aca="false">(AN72-INDEX(Mortality_Matrix!$B$4:$BS$64,MATCH($A138,Mortality_Matrix!$A$4:$A$64,0),MATCH(2050,Mortality_Matrix!$B$3:$BS$3,0)))/INDEX(Mortality_Matrix!$B$4:$BS$64,MATCH($A138,Mortality_Matrix!$A$4:$A$64,0),MATCH(2050,Mortality_Matrix!$B$3:$BS$3,0))</f>
        <v>-6.52895168635383E-011</v>
      </c>
      <c r="AO138" s="27" t="n">
        <f aca="false">(AO72-INDEX(Mortality_Matrix!$B$4:$BS$64,MATCH($A138,Mortality_Matrix!$A$4:$A$64,0),MATCH(2051,Mortality_Matrix!$B$3:$BS$3,0)))/INDEX(Mortality_Matrix!$B$4:$BS$64,MATCH($A138,Mortality_Matrix!$A$4:$A$64,0),MATCH(2051,Mortality_Matrix!$B$3:$BS$3,0))</f>
        <v>8.86047990070362E-011</v>
      </c>
      <c r="AP138" s="27" t="n">
        <f aca="false">(AP72-INDEX(Mortality_Matrix!$B$4:$BS$64,MATCH($A138,Mortality_Matrix!$A$4:$A$64,0),MATCH(2052,Mortality_Matrix!$B$3:$BS$3,0)))/INDEX(Mortality_Matrix!$B$4:$BS$64,MATCH($A138,Mortality_Matrix!$A$4:$A$64,0),MATCH(2052,Mortality_Matrix!$B$3:$BS$3,0))</f>
        <v>-6.13415450360472E-012</v>
      </c>
      <c r="AQ138" s="27" t="n">
        <f aca="false">(AQ72-INDEX(Mortality_Matrix!$B$4:$BS$64,MATCH($A138,Mortality_Matrix!$A$4:$A$64,0),MATCH(2053,Mortality_Matrix!$B$3:$BS$3,0)))/INDEX(Mortality_Matrix!$B$4:$BS$64,MATCH($A138,Mortality_Matrix!$A$4:$A$64,0),MATCH(2053,Mortality_Matrix!$B$3:$BS$3,0))</f>
        <v>-8.51466644845379E-011</v>
      </c>
      <c r="AR138" s="27" t="n">
        <f aca="false">(AR72-INDEX(Mortality_Matrix!$B$4:$BS$64,MATCH($A138,Mortality_Matrix!$A$4:$A$64,0),MATCH(2054,Mortality_Matrix!$B$3:$BS$3,0)))/INDEX(Mortality_Matrix!$B$4:$BS$64,MATCH($A138,Mortality_Matrix!$A$4:$A$64,0),MATCH(2054,Mortality_Matrix!$B$3:$BS$3,0))</f>
        <v>1.1669212761943E-010</v>
      </c>
      <c r="AS138" s="27" t="n">
        <f aca="false">(AS72-INDEX(Mortality_Matrix!$B$4:$BS$64,MATCH($A138,Mortality_Matrix!$A$4:$A$64,0),MATCH(2055,Mortality_Matrix!$B$3:$BS$3,0)))/INDEX(Mortality_Matrix!$B$4:$BS$64,MATCH($A138,Mortality_Matrix!$A$4:$A$64,0),MATCH(2055,Mortality_Matrix!$B$3:$BS$3,0))</f>
        <v>-9.82760112354522E-011</v>
      </c>
      <c r="AT138" s="27" t="n">
        <f aca="false">(AT72-INDEX(Mortality_Matrix!$B$4:$BS$64,MATCH($A138,Mortality_Matrix!$A$4:$A$64,0),MATCH(2056,Mortality_Matrix!$B$3:$BS$3,0)))/INDEX(Mortality_Matrix!$B$4:$BS$64,MATCH($A138,Mortality_Matrix!$A$4:$A$64,0),MATCH(2056,Mortality_Matrix!$B$3:$BS$3,0))</f>
        <v>1.69374352414551E-011</v>
      </c>
      <c r="AU138" s="27" t="n">
        <f aca="false">(AU72-INDEX(Mortality_Matrix!$B$4:$BS$64,MATCH($A138,Mortality_Matrix!$A$4:$A$64,0),MATCH(2057,Mortality_Matrix!$B$3:$BS$3,0)))/INDEX(Mortality_Matrix!$B$4:$BS$64,MATCH($A138,Mortality_Matrix!$A$4:$A$64,0),MATCH(2057,Mortality_Matrix!$B$3:$BS$3,0))</f>
        <v>5.3609575876481E-012</v>
      </c>
      <c r="AV138" s="27" t="n">
        <f aca="false">(AV72-INDEX(Mortality_Matrix!$B$4:$BS$64,MATCH($A138,Mortality_Matrix!$A$4:$A$64,0),MATCH(2058,Mortality_Matrix!$B$3:$BS$3,0)))/INDEX(Mortality_Matrix!$B$4:$BS$64,MATCH($A138,Mortality_Matrix!$A$4:$A$64,0),MATCH(2058,Mortality_Matrix!$B$3:$BS$3,0))</f>
        <v>-1.08301486894678E-010</v>
      </c>
      <c r="AW138" s="27" t="n">
        <f aca="false">(AW72-INDEX(Mortality_Matrix!$B$4:$BS$64,MATCH($A138,Mortality_Matrix!$A$4:$A$64,0),MATCH(2059,Mortality_Matrix!$B$3:$BS$3,0)))/INDEX(Mortality_Matrix!$B$4:$BS$64,MATCH($A138,Mortality_Matrix!$A$4:$A$64,0),MATCH(2059,Mortality_Matrix!$B$3:$BS$3,0))</f>
        <v>-5.76902303802644E-011</v>
      </c>
      <c r="AX138" s="27" t="n">
        <f aca="false">(AX72-INDEX(Mortality_Matrix!$B$4:$BS$64,MATCH($A138,Mortality_Matrix!$A$4:$A$64,0),MATCH(2060,Mortality_Matrix!$B$3:$BS$3,0)))/INDEX(Mortality_Matrix!$B$4:$BS$64,MATCH($A138,Mortality_Matrix!$A$4:$A$64,0),MATCH(2060,Mortality_Matrix!$B$3:$BS$3,0))</f>
        <v>-5.88984266058303E-011</v>
      </c>
      <c r="AY138" s="27" t="n">
        <f aca="false">(AY72-INDEX(Mortality_Matrix!$B$4:$BS$64,MATCH($A138,Mortality_Matrix!$A$4:$A$64,0),MATCH(2061,Mortality_Matrix!$B$3:$BS$3,0)))/INDEX(Mortality_Matrix!$B$4:$BS$64,MATCH($A138,Mortality_Matrix!$A$4:$A$64,0),MATCH(2061,Mortality_Matrix!$B$3:$BS$3,0))</f>
        <v>-8.66520977887331E-011</v>
      </c>
      <c r="AZ138" s="27" t="n">
        <f aca="false">(AZ72-INDEX(Mortality_Matrix!$B$4:$BS$64,MATCH($A138,Mortality_Matrix!$A$4:$A$64,0),MATCH(2062,Mortality_Matrix!$B$3:$BS$3,0)))/INDEX(Mortality_Matrix!$B$4:$BS$64,MATCH($A138,Mortality_Matrix!$A$4:$A$64,0),MATCH(2062,Mortality_Matrix!$B$3:$BS$3,0))</f>
        <v>-1.15486743290773E-010</v>
      </c>
      <c r="BA138" s="27" t="n">
        <f aca="false">(BA72-INDEX(Mortality_Matrix!$B$4:$BS$64,MATCH($A138,Mortality_Matrix!$A$4:$A$64,0),MATCH(2063,Mortality_Matrix!$B$3:$BS$3,0)))/INDEX(Mortality_Matrix!$B$4:$BS$64,MATCH($A138,Mortality_Matrix!$A$4:$A$64,0),MATCH(2063,Mortality_Matrix!$B$3:$BS$3,0))</f>
        <v>-1.19746724558291E-010</v>
      </c>
      <c r="BB138" s="27" t="n">
        <f aca="false">(BB72-INDEX(Mortality_Matrix!$B$4:$BS$64,MATCH($A138,Mortality_Matrix!$A$4:$A$64,0),MATCH(2064,Mortality_Matrix!$B$3:$BS$3,0)))/INDEX(Mortality_Matrix!$B$4:$BS$64,MATCH($A138,Mortality_Matrix!$A$4:$A$64,0),MATCH(2064,Mortality_Matrix!$B$3:$BS$3,0))</f>
        <v>-7.35850520852187E-011</v>
      </c>
      <c r="BC138" s="27" t="n">
        <f aca="false">(BC72-INDEX(Mortality_Matrix!$B$4:$BS$64,MATCH($A138,Mortality_Matrix!$A$4:$A$64,0),MATCH(2065,Mortality_Matrix!$B$3:$BS$3,0)))/INDEX(Mortality_Matrix!$B$4:$BS$64,MATCH($A138,Mortality_Matrix!$A$4:$A$64,0),MATCH(2065,Mortality_Matrix!$B$3:$BS$3,0))</f>
        <v>4.90377691521966E-011</v>
      </c>
      <c r="BD138" s="27" t="n">
        <f aca="false">(BD72-INDEX(Mortality_Matrix!$B$4:$BS$64,MATCH($A138,Mortality_Matrix!$A$4:$A$64,0),MATCH(2066,Mortality_Matrix!$B$3:$BS$3,0)))/INDEX(Mortality_Matrix!$B$4:$BS$64,MATCH($A138,Mortality_Matrix!$A$4:$A$64,0),MATCH(2066,Mortality_Matrix!$B$3:$BS$3,0))</f>
        <v>3.18697870166863E-011</v>
      </c>
      <c r="BE138" s="27" t="n">
        <f aca="false">(BE72-INDEX(Mortality_Matrix!$B$4:$BS$64,MATCH($A138,Mortality_Matrix!$A$4:$A$64,0),MATCH(2067,Mortality_Matrix!$B$3:$BS$3,0)))/INDEX(Mortality_Matrix!$B$4:$BS$64,MATCH($A138,Mortality_Matrix!$A$4:$A$64,0),MATCH(2067,Mortality_Matrix!$B$3:$BS$3,0))</f>
        <v>-9.91011182854179E-011</v>
      </c>
      <c r="BF138" s="27" t="n">
        <f aca="false">(BF72-INDEX(Mortality_Matrix!$B$4:$BS$64,MATCH($A138,Mortality_Matrix!$A$4:$A$64,0),MATCH(2068,Mortality_Matrix!$B$3:$BS$3,0)))/INDEX(Mortality_Matrix!$B$4:$BS$64,MATCH($A138,Mortality_Matrix!$A$4:$A$64,0),MATCH(2068,Mortality_Matrix!$B$3:$BS$3,0))</f>
        <v>-7.49209160526563E-011</v>
      </c>
      <c r="BG138" s="27" t="n">
        <f aca="false">(BG72-INDEX(Mortality_Matrix!$B$4:$BS$64,MATCH($A138,Mortality_Matrix!$A$4:$A$64,0),MATCH(2069,Mortality_Matrix!$B$3:$BS$3,0)))/INDEX(Mortality_Matrix!$B$4:$BS$64,MATCH($A138,Mortality_Matrix!$A$4:$A$64,0),MATCH(2069,Mortality_Matrix!$B$3:$BS$3,0))</f>
        <v>-1.116990900316E-010</v>
      </c>
      <c r="BH138" s="27" t="n">
        <f aca="false">(BH72-INDEX(Mortality_Matrix!$B$4:$BS$64,MATCH($A138,Mortality_Matrix!$A$4:$A$64,0),MATCH(2070,Mortality_Matrix!$B$3:$BS$3,0)))/INDEX(Mortality_Matrix!$B$4:$BS$64,MATCH($A138,Mortality_Matrix!$A$4:$A$64,0),MATCH(2070,Mortality_Matrix!$B$3:$BS$3,0))</f>
        <v>6.01970821531039E-011</v>
      </c>
      <c r="BI138" s="27" t="n">
        <f aca="false">(BI72-INDEX(Mortality_Matrix!$B$4:$BS$64,MATCH($A138,Mortality_Matrix!$A$4:$A$64,0),MATCH(2071,Mortality_Matrix!$B$3:$BS$3,0)))/INDEX(Mortality_Matrix!$B$4:$BS$64,MATCH($A138,Mortality_Matrix!$A$4:$A$64,0),MATCH(2071,Mortality_Matrix!$B$3:$BS$3,0))</f>
        <v>-1.84575794379438E-011</v>
      </c>
      <c r="BJ138" s="27" t="n">
        <f aca="false">(BJ72-INDEX(Mortality_Matrix!$B$4:$BS$64,MATCH($A138,Mortality_Matrix!$A$4:$A$64,0),MATCH(2072,Mortality_Matrix!$B$3:$BS$3,0)))/INDEX(Mortality_Matrix!$B$4:$BS$64,MATCH($A138,Mortality_Matrix!$A$4:$A$64,0),MATCH(2072,Mortality_Matrix!$B$3:$BS$3,0))</f>
        <v>-7.77883564240974E-011</v>
      </c>
      <c r="BK138" s="27" t="n">
        <f aca="false">(BK72-INDEX(Mortality_Matrix!$B$4:$BS$64,MATCH($A138,Mortality_Matrix!$A$4:$A$64,0),MATCH(2073,Mortality_Matrix!$B$3:$BS$3,0)))/INDEX(Mortality_Matrix!$B$4:$BS$64,MATCH($A138,Mortality_Matrix!$A$4:$A$64,0),MATCH(2073,Mortality_Matrix!$B$3:$BS$3,0))</f>
        <v>-9.06454284054352E-011</v>
      </c>
      <c r="BL138" s="27" t="n">
        <f aca="false">(BL72-INDEX(Mortality_Matrix!$B$4:$BS$64,MATCH($A138,Mortality_Matrix!$A$4:$A$64,0),MATCH(2074,Mortality_Matrix!$B$3:$BS$3,0)))/INDEX(Mortality_Matrix!$B$4:$BS$64,MATCH($A138,Mortality_Matrix!$A$4:$A$64,0),MATCH(2074,Mortality_Matrix!$B$3:$BS$3,0))</f>
        <v>-2.96842457738613E-011</v>
      </c>
      <c r="BM138" s="27" t="n">
        <f aca="false">(BM72-INDEX(Mortality_Matrix!$B$4:$BS$64,MATCH($A138,Mortality_Matrix!$A$4:$A$64,0),MATCH(2075,Mortality_Matrix!$B$3:$BS$3,0)))/INDEX(Mortality_Matrix!$B$4:$BS$64,MATCH($A138,Mortality_Matrix!$A$4:$A$64,0),MATCH(2075,Mortality_Matrix!$B$3:$BS$3,0))</f>
        <v>-1.11161073878048E-010</v>
      </c>
      <c r="BN138" s="27" t="n">
        <f aca="false">(BN72-INDEX(Mortality_Matrix!$B$4:$BS$64,MATCH($A138,Mortality_Matrix!$A$4:$A$64,0),MATCH(2076,Mortality_Matrix!$B$3:$BS$3,0)))/INDEX(Mortality_Matrix!$B$4:$BS$64,MATCH($A138,Mortality_Matrix!$A$4:$A$64,0),MATCH(2076,Mortality_Matrix!$B$3:$BS$3,0))</f>
        <v>-6.38361958024874E-011</v>
      </c>
      <c r="BO138" s="27" t="n">
        <f aca="false">(BO72-INDEX(Mortality_Matrix!$B$4:$BS$64,MATCH($A138,Mortality_Matrix!$A$4:$A$64,0),MATCH(2077,Mortality_Matrix!$B$3:$BS$3,0)))/INDEX(Mortality_Matrix!$B$4:$BS$64,MATCH($A138,Mortality_Matrix!$A$4:$A$64,0),MATCH(2077,Mortality_Matrix!$B$3:$BS$3,0))</f>
        <v>-1.03866791259039E-010</v>
      </c>
      <c r="BP138" s="27" t="n">
        <f aca="false">(BP72-INDEX(Mortality_Matrix!$B$4:$BS$64,MATCH($A138,Mortality_Matrix!$A$4:$A$64,0),MATCH(2078,Mortality_Matrix!$B$3:$BS$3,0)))/INDEX(Mortality_Matrix!$B$4:$BS$64,MATCH($A138,Mortality_Matrix!$A$4:$A$64,0),MATCH(2078,Mortality_Matrix!$B$3:$BS$3,0))</f>
        <v>4.06719361727042E-011</v>
      </c>
      <c r="BQ138" s="27" t="n">
        <f aca="false">(BQ72-INDEX(Mortality_Matrix!$B$4:$BS$64,MATCH($A138,Mortality_Matrix!$A$4:$A$64,0),MATCH(2079,Mortality_Matrix!$B$3:$BS$3,0)))/INDEX(Mortality_Matrix!$B$4:$BS$64,MATCH($A138,Mortality_Matrix!$A$4:$A$64,0),MATCH(2079,Mortality_Matrix!$B$3:$BS$3,0))</f>
        <v>-9.06592005685461E-011</v>
      </c>
      <c r="BR138" s="27" t="n">
        <f aca="false">(BR72-INDEX(Mortality_Matrix!$B$4:$BS$64,MATCH($A138,Mortality_Matrix!$A$4:$A$64,0),MATCH(2080,Mortality_Matrix!$B$3:$BS$3,0)))/INDEX(Mortality_Matrix!$B$4:$BS$64,MATCH($A138,Mortality_Matrix!$A$4:$A$64,0),MATCH(2080,Mortality_Matrix!$B$3:$BS$3,0))</f>
        <v>1.88409771054619E-011</v>
      </c>
      <c r="BS138" s="27" t="n">
        <f aca="false">(BS72-INDEX(Mortality_Matrix!$B$4:$BS$64,MATCH($A138,Mortality_Matrix!$A$4:$A$64,0),MATCH(2081,Mortality_Matrix!$B$3:$BS$3,0)))/INDEX(Mortality_Matrix!$B$4:$BS$64,MATCH($A138,Mortality_Matrix!$A$4:$A$64,0),MATCH(2081,Mortality_Matrix!$B$3:$BS$3,0))</f>
        <v>-9.1459018277803E-011</v>
      </c>
      <c r="BT138" s="27" t="n">
        <f aca="false">(BT72-INDEX(Mortality_Matrix!$B$4:$BS$64,MATCH($A138,Mortality_Matrix!$A$4:$A$64,0),MATCH(2082,Mortality_Matrix!$B$3:$BS$3,0)))/INDEX(Mortality_Matrix!$B$4:$BS$64,MATCH($A138,Mortality_Matrix!$A$4:$A$64,0),MATCH(2082,Mortality_Matrix!$B$3:$BS$3,0))</f>
        <v>9.61240610489548E-011</v>
      </c>
      <c r="BU138" s="27" t="n">
        <f aca="false">(BU72-INDEX(Mortality_Matrix!$B$4:$BS$64,MATCH($A138,Mortality_Matrix!$A$4:$A$64,0),MATCH(2083,Mortality_Matrix!$B$3:$BS$3,0)))/INDEX(Mortality_Matrix!$B$4:$BS$64,MATCH($A138,Mortality_Matrix!$A$4:$A$64,0),MATCH(2083,Mortality_Matrix!$B$3:$BS$3,0))</f>
        <v>1.20767959217924E-010</v>
      </c>
      <c r="BV138" s="27" t="n">
        <f aca="false">(BV72-INDEX(Mortality_Matrix!$B$4:$BS$64,MATCH($A138,Mortality_Matrix!$A$4:$A$64,0),MATCH(2084,Mortality_Matrix!$B$3:$BS$3,0)))/INDEX(Mortality_Matrix!$B$4:$BS$64,MATCH($A138,Mortality_Matrix!$A$4:$A$64,0),MATCH(2084,Mortality_Matrix!$B$3:$BS$3,0))</f>
        <v>1.09066024440239E-011</v>
      </c>
      <c r="BW138" s="27" t="n">
        <f aca="false">(BW72-INDEX(Mortality_Matrix!$B$4:$BS$64,MATCH($A138,Mortality_Matrix!$A$4:$A$64,0),MATCH(2085,Mortality_Matrix!$B$3:$BS$3,0)))/INDEX(Mortality_Matrix!$B$4:$BS$64,MATCH($A138,Mortality_Matrix!$A$4:$A$64,0),MATCH(2085,Mortality_Matrix!$B$3:$BS$3,0))</f>
        <v>4.0436356136917E-011</v>
      </c>
      <c r="BX138" s="27" t="n">
        <f aca="false">(BX72-INDEX(Mortality_Matrix!$B$4:$BS$64,MATCH($A138,Mortality_Matrix!$A$4:$A$64,0),MATCH(2086,Mortality_Matrix!$B$3:$BS$3,0)))/INDEX(Mortality_Matrix!$B$4:$BS$64,MATCH($A138,Mortality_Matrix!$A$4:$A$64,0),MATCH(2086,Mortality_Matrix!$B$3:$BS$3,0))</f>
        <v>-6.78087946979995E-012</v>
      </c>
      <c r="BY138" s="27" t="n">
        <f aca="false">(BY72-INDEX(Mortality_Matrix!$B$4:$BS$64,MATCH($A138,Mortality_Matrix!$A$4:$A$64,0),MATCH(2087,Mortality_Matrix!$B$3:$BS$3,0)))/INDEX(Mortality_Matrix!$B$4:$BS$64,MATCH($A138,Mortality_Matrix!$A$4:$A$64,0),MATCH(2087,Mortality_Matrix!$B$3:$BS$3,0))</f>
        <v>-1.01713870191606E-010</v>
      </c>
      <c r="BZ138" s="27" t="n">
        <f aca="false">(BZ72-INDEX(Mortality_Matrix!$B$4:$BS$64,MATCH($A138,Mortality_Matrix!$A$4:$A$64,0),MATCH(2088,Mortality_Matrix!$B$3:$BS$3,0)))/INDEX(Mortality_Matrix!$B$4:$BS$64,MATCH($A138,Mortality_Matrix!$A$4:$A$64,0),MATCH(2088,Mortality_Matrix!$B$3:$BS$3,0))</f>
        <v>3.05742717484232E-011</v>
      </c>
      <c r="CA138" s="27" t="n">
        <f aca="false">(CA72-INDEX(Mortality_Matrix!$B$4:$BS$64,MATCH($A138,Mortality_Matrix!$A$4:$A$64,0),MATCH(2089,Mortality_Matrix!$B$3:$BS$3,0)))/INDEX(Mortality_Matrix!$B$4:$BS$64,MATCH($A138,Mortality_Matrix!$A$4:$A$64,0),MATCH(2089,Mortality_Matrix!$B$3:$BS$3,0))</f>
        <v>-7.17500088762668E-011</v>
      </c>
      <c r="CB138" s="27" t="n">
        <f aca="false">(CB72-INDEX(Mortality_Matrix!$B$4:$BS$64,MATCH($A138,Mortality_Matrix!$A$4:$A$64,0),MATCH(2090,Mortality_Matrix!$B$3:$BS$3,0)))/INDEX(Mortality_Matrix!$B$4:$BS$64,MATCH($A138,Mortality_Matrix!$A$4:$A$64,0),MATCH(2090,Mortality_Matrix!$B$3:$BS$3,0))</f>
        <v>1.12504732999772E-010</v>
      </c>
      <c r="CC138" s="27" t="n">
        <f aca="false">(CC72-INDEX(Mortality_Matrix!$B$4:$BS$64,MATCH($A138,Mortality_Matrix!$A$4:$A$64,0),MATCH(2091,Mortality_Matrix!$B$3:$BS$3,0)))/INDEX(Mortality_Matrix!$B$4:$BS$64,MATCH($A138,Mortality_Matrix!$A$4:$A$64,0),MATCH(2091,Mortality_Matrix!$B$3:$BS$3,0))</f>
        <v>1.21316830017243E-010</v>
      </c>
    </row>
    <row r="139" customFormat="false" ht="15" hidden="false" customHeight="true" outlineLevel="0" collapsed="false">
      <c r="A139" s="3" t="n">
        <v>110</v>
      </c>
      <c r="L139" s="27" t="n">
        <f aca="false">(L73-INDEX(Mortality_Matrix!$B$4:$BS$64,MATCH($A139,Mortality_Matrix!$A$4:$A$64,0),MATCH(2022,Mortality_Matrix!$B$3:$BS$3,0)))/INDEX(Mortality_Matrix!$B$4:$BS$64,MATCH($A139,Mortality_Matrix!$A$4:$A$64,0),MATCH(2022,Mortality_Matrix!$B$3:$BS$3,0))</f>
        <v>2.67436730476994E-012</v>
      </c>
      <c r="M139" s="27" t="n">
        <f aca="false">(M73-INDEX(Mortality_Matrix!$B$4:$BS$64,MATCH($A139,Mortality_Matrix!$A$4:$A$64,0),MATCH(2023,Mortality_Matrix!$B$3:$BS$3,0)))/INDEX(Mortality_Matrix!$B$4:$BS$64,MATCH($A139,Mortality_Matrix!$A$4:$A$64,0),MATCH(2023,Mortality_Matrix!$B$3:$BS$3,0))</f>
        <v>2.78421441304542E-011</v>
      </c>
      <c r="N139" s="27" t="n">
        <f aca="false">(N73-INDEX(Mortality_Matrix!$B$4:$BS$64,MATCH($A139,Mortality_Matrix!$A$4:$A$64,0),MATCH(2024,Mortality_Matrix!$B$3:$BS$3,0)))/INDEX(Mortality_Matrix!$B$4:$BS$64,MATCH($A139,Mortality_Matrix!$A$4:$A$64,0),MATCH(2024,Mortality_Matrix!$B$3:$BS$3,0))</f>
        <v>7.28491532640211E-011</v>
      </c>
      <c r="O139" s="27" t="n">
        <f aca="false">(O73-INDEX(Mortality_Matrix!$B$4:$BS$64,MATCH($A139,Mortality_Matrix!$A$4:$A$64,0),MATCH(2025,Mortality_Matrix!$B$3:$BS$3,0)))/INDEX(Mortality_Matrix!$B$4:$BS$64,MATCH($A139,Mortality_Matrix!$A$4:$A$64,0),MATCH(2025,Mortality_Matrix!$B$3:$BS$3,0))</f>
        <v>-9.66926496491643E-011</v>
      </c>
      <c r="P139" s="27" t="n">
        <f aca="false">(P73-INDEX(Mortality_Matrix!$B$4:$BS$64,MATCH($A139,Mortality_Matrix!$A$4:$A$64,0),MATCH(2026,Mortality_Matrix!$B$3:$BS$3,0)))/INDEX(Mortality_Matrix!$B$4:$BS$64,MATCH($A139,Mortality_Matrix!$A$4:$A$64,0),MATCH(2026,Mortality_Matrix!$B$3:$BS$3,0))</f>
        <v>4.22276478489651E-012</v>
      </c>
      <c r="Q139" s="27" t="n">
        <f aca="false">(Q73-INDEX(Mortality_Matrix!$B$4:$BS$64,MATCH($A139,Mortality_Matrix!$A$4:$A$64,0),MATCH(2027,Mortality_Matrix!$B$3:$BS$3,0)))/INDEX(Mortality_Matrix!$B$4:$BS$64,MATCH($A139,Mortality_Matrix!$A$4:$A$64,0),MATCH(2027,Mortality_Matrix!$B$3:$BS$3,0))</f>
        <v>4.22276478489651E-012</v>
      </c>
      <c r="R139" s="27" t="n">
        <f aca="false">(R73-INDEX(Mortality_Matrix!$B$4:$BS$64,MATCH($A139,Mortality_Matrix!$A$4:$A$64,0),MATCH(2028,Mortality_Matrix!$B$3:$BS$3,0)))/INDEX(Mortality_Matrix!$B$4:$BS$64,MATCH($A139,Mortality_Matrix!$A$4:$A$64,0),MATCH(2028,Mortality_Matrix!$B$3:$BS$3,0))</f>
        <v>4.22276478489651E-012</v>
      </c>
      <c r="S139" s="27" t="n">
        <f aca="false">(S73-INDEX(Mortality_Matrix!$B$4:$BS$64,MATCH($A139,Mortality_Matrix!$A$4:$A$64,0),MATCH(2029,Mortality_Matrix!$B$3:$BS$3,0)))/INDEX(Mortality_Matrix!$B$4:$BS$64,MATCH($A139,Mortality_Matrix!$A$4:$A$64,0),MATCH(2029,Mortality_Matrix!$B$3:$BS$3,0))</f>
        <v>4.22276478489651E-012</v>
      </c>
      <c r="T139" s="27" t="n">
        <f aca="false">(T73-INDEX(Mortality_Matrix!$B$4:$BS$64,MATCH($A139,Mortality_Matrix!$A$4:$A$64,0),MATCH(2030,Mortality_Matrix!$B$3:$BS$3,0)))/INDEX(Mortality_Matrix!$B$4:$BS$64,MATCH($A139,Mortality_Matrix!$A$4:$A$64,0),MATCH(2030,Mortality_Matrix!$B$3:$BS$3,0))</f>
        <v>4.22276478489651E-012</v>
      </c>
      <c r="U139" s="27" t="n">
        <f aca="false">(U73-INDEX(Mortality_Matrix!$B$4:$BS$64,MATCH($A139,Mortality_Matrix!$A$4:$A$64,0),MATCH(2031,Mortality_Matrix!$B$3:$BS$3,0)))/INDEX(Mortality_Matrix!$B$4:$BS$64,MATCH($A139,Mortality_Matrix!$A$4:$A$64,0),MATCH(2031,Mortality_Matrix!$B$3:$BS$3,0))</f>
        <v>4.22276478489651E-012</v>
      </c>
      <c r="V139" s="27" t="n">
        <f aca="false">(V73-INDEX(Mortality_Matrix!$B$4:$BS$64,MATCH($A139,Mortality_Matrix!$A$4:$A$64,0),MATCH(2032,Mortality_Matrix!$B$3:$BS$3,0)))/INDEX(Mortality_Matrix!$B$4:$BS$64,MATCH($A139,Mortality_Matrix!$A$4:$A$64,0),MATCH(2032,Mortality_Matrix!$B$3:$BS$3,0))</f>
        <v>4.22276478489651E-012</v>
      </c>
      <c r="W139" s="27" t="n">
        <f aca="false">(W73-INDEX(Mortality_Matrix!$B$4:$BS$64,MATCH($A139,Mortality_Matrix!$A$4:$A$64,0),MATCH(2033,Mortality_Matrix!$B$3:$BS$3,0)))/INDEX(Mortality_Matrix!$B$4:$BS$64,MATCH($A139,Mortality_Matrix!$A$4:$A$64,0),MATCH(2033,Mortality_Matrix!$B$3:$BS$3,0))</f>
        <v>4.22276478489651E-012</v>
      </c>
      <c r="X139" s="27" t="n">
        <f aca="false">(X73-INDEX(Mortality_Matrix!$B$4:$BS$64,MATCH($A139,Mortality_Matrix!$A$4:$A$64,0),MATCH(2034,Mortality_Matrix!$B$3:$BS$3,0)))/INDEX(Mortality_Matrix!$B$4:$BS$64,MATCH($A139,Mortality_Matrix!$A$4:$A$64,0),MATCH(2034,Mortality_Matrix!$B$3:$BS$3,0))</f>
        <v>4.22276478489651E-012</v>
      </c>
      <c r="Y139" s="27" t="n">
        <f aca="false">(Y73-INDEX(Mortality_Matrix!$B$4:$BS$64,MATCH($A139,Mortality_Matrix!$A$4:$A$64,0),MATCH(2035,Mortality_Matrix!$B$3:$BS$3,0)))/INDEX(Mortality_Matrix!$B$4:$BS$64,MATCH($A139,Mortality_Matrix!$A$4:$A$64,0),MATCH(2035,Mortality_Matrix!$B$3:$BS$3,0))</f>
        <v>4.22276478489651E-012</v>
      </c>
      <c r="Z139" s="27" t="n">
        <f aca="false">(Z73-INDEX(Mortality_Matrix!$B$4:$BS$64,MATCH($A139,Mortality_Matrix!$A$4:$A$64,0),MATCH(2036,Mortality_Matrix!$B$3:$BS$3,0)))/INDEX(Mortality_Matrix!$B$4:$BS$64,MATCH($A139,Mortality_Matrix!$A$4:$A$64,0),MATCH(2036,Mortality_Matrix!$B$3:$BS$3,0))</f>
        <v>4.22276478489651E-012</v>
      </c>
      <c r="AA139" s="27" t="n">
        <f aca="false">(AA73-INDEX(Mortality_Matrix!$B$4:$BS$64,MATCH($A139,Mortality_Matrix!$A$4:$A$64,0),MATCH(2037,Mortality_Matrix!$B$3:$BS$3,0)))/INDEX(Mortality_Matrix!$B$4:$BS$64,MATCH($A139,Mortality_Matrix!$A$4:$A$64,0),MATCH(2037,Mortality_Matrix!$B$3:$BS$3,0))</f>
        <v>4.22276478489651E-012</v>
      </c>
      <c r="AB139" s="27" t="n">
        <f aca="false">(AB73-INDEX(Mortality_Matrix!$B$4:$BS$64,MATCH($A139,Mortality_Matrix!$A$4:$A$64,0),MATCH(2038,Mortality_Matrix!$B$3:$BS$3,0)))/INDEX(Mortality_Matrix!$B$4:$BS$64,MATCH($A139,Mortality_Matrix!$A$4:$A$64,0),MATCH(2038,Mortality_Matrix!$B$3:$BS$3,0))</f>
        <v>4.22276478489651E-012</v>
      </c>
      <c r="AC139" s="27" t="n">
        <f aca="false">(AC73-INDEX(Mortality_Matrix!$B$4:$BS$64,MATCH($A139,Mortality_Matrix!$A$4:$A$64,0),MATCH(2039,Mortality_Matrix!$B$3:$BS$3,0)))/INDEX(Mortality_Matrix!$B$4:$BS$64,MATCH($A139,Mortality_Matrix!$A$4:$A$64,0),MATCH(2039,Mortality_Matrix!$B$3:$BS$3,0))</f>
        <v>4.22276478489651E-012</v>
      </c>
      <c r="AD139" s="27" t="n">
        <f aca="false">(AD73-INDEX(Mortality_Matrix!$B$4:$BS$64,MATCH($A139,Mortality_Matrix!$A$4:$A$64,0),MATCH(2040,Mortality_Matrix!$B$3:$BS$3,0)))/INDEX(Mortality_Matrix!$B$4:$BS$64,MATCH($A139,Mortality_Matrix!$A$4:$A$64,0),MATCH(2040,Mortality_Matrix!$B$3:$BS$3,0))</f>
        <v>4.22276478489651E-012</v>
      </c>
      <c r="AE139" s="27" t="n">
        <f aca="false">(AE73-INDEX(Mortality_Matrix!$B$4:$BS$64,MATCH($A139,Mortality_Matrix!$A$4:$A$64,0),MATCH(2041,Mortality_Matrix!$B$3:$BS$3,0)))/INDEX(Mortality_Matrix!$B$4:$BS$64,MATCH($A139,Mortality_Matrix!$A$4:$A$64,0),MATCH(2041,Mortality_Matrix!$B$3:$BS$3,0))</f>
        <v>4.22276478489651E-012</v>
      </c>
      <c r="AF139" s="27" t="n">
        <f aca="false">(AF73-INDEX(Mortality_Matrix!$B$4:$BS$64,MATCH($A139,Mortality_Matrix!$A$4:$A$64,0),MATCH(2042,Mortality_Matrix!$B$3:$BS$3,0)))/INDEX(Mortality_Matrix!$B$4:$BS$64,MATCH($A139,Mortality_Matrix!$A$4:$A$64,0),MATCH(2042,Mortality_Matrix!$B$3:$BS$3,0))</f>
        <v>4.22276478489651E-012</v>
      </c>
      <c r="AG139" s="27" t="n">
        <f aca="false">(AG73-INDEX(Mortality_Matrix!$B$4:$BS$64,MATCH($A139,Mortality_Matrix!$A$4:$A$64,0),MATCH(2043,Mortality_Matrix!$B$3:$BS$3,0)))/INDEX(Mortality_Matrix!$B$4:$BS$64,MATCH($A139,Mortality_Matrix!$A$4:$A$64,0),MATCH(2043,Mortality_Matrix!$B$3:$BS$3,0))</f>
        <v>4.22276478489651E-012</v>
      </c>
      <c r="AH139" s="27" t="n">
        <f aca="false">(AH73-INDEX(Mortality_Matrix!$B$4:$BS$64,MATCH($A139,Mortality_Matrix!$A$4:$A$64,0),MATCH(2044,Mortality_Matrix!$B$3:$BS$3,0)))/INDEX(Mortality_Matrix!$B$4:$BS$64,MATCH($A139,Mortality_Matrix!$A$4:$A$64,0),MATCH(2044,Mortality_Matrix!$B$3:$BS$3,0))</f>
        <v>4.22276478489651E-012</v>
      </c>
      <c r="AI139" s="27" t="n">
        <f aca="false">(AI73-INDEX(Mortality_Matrix!$B$4:$BS$64,MATCH($A139,Mortality_Matrix!$A$4:$A$64,0),MATCH(2045,Mortality_Matrix!$B$3:$BS$3,0)))/INDEX(Mortality_Matrix!$B$4:$BS$64,MATCH($A139,Mortality_Matrix!$A$4:$A$64,0),MATCH(2045,Mortality_Matrix!$B$3:$BS$3,0))</f>
        <v>4.22276478489651E-012</v>
      </c>
      <c r="AJ139" s="27" t="n">
        <f aca="false">(AJ73-INDEX(Mortality_Matrix!$B$4:$BS$64,MATCH($A139,Mortality_Matrix!$A$4:$A$64,0),MATCH(2046,Mortality_Matrix!$B$3:$BS$3,0)))/INDEX(Mortality_Matrix!$B$4:$BS$64,MATCH($A139,Mortality_Matrix!$A$4:$A$64,0),MATCH(2046,Mortality_Matrix!$B$3:$BS$3,0))</f>
        <v>4.22276478489651E-012</v>
      </c>
      <c r="AK139" s="27" t="n">
        <f aca="false">(AK73-INDEX(Mortality_Matrix!$B$4:$BS$64,MATCH($A139,Mortality_Matrix!$A$4:$A$64,0),MATCH(2047,Mortality_Matrix!$B$3:$BS$3,0)))/INDEX(Mortality_Matrix!$B$4:$BS$64,MATCH($A139,Mortality_Matrix!$A$4:$A$64,0),MATCH(2047,Mortality_Matrix!$B$3:$BS$3,0))</f>
        <v>4.22276478489651E-012</v>
      </c>
      <c r="AL139" s="27" t="n">
        <f aca="false">(AL73-INDEX(Mortality_Matrix!$B$4:$BS$64,MATCH($A139,Mortality_Matrix!$A$4:$A$64,0),MATCH(2048,Mortality_Matrix!$B$3:$BS$3,0)))/INDEX(Mortality_Matrix!$B$4:$BS$64,MATCH($A139,Mortality_Matrix!$A$4:$A$64,0),MATCH(2048,Mortality_Matrix!$B$3:$BS$3,0))</f>
        <v>4.22276478489651E-012</v>
      </c>
      <c r="AM139" s="27" t="n">
        <f aca="false">(AM73-INDEX(Mortality_Matrix!$B$4:$BS$64,MATCH($A139,Mortality_Matrix!$A$4:$A$64,0),MATCH(2049,Mortality_Matrix!$B$3:$BS$3,0)))/INDEX(Mortality_Matrix!$B$4:$BS$64,MATCH($A139,Mortality_Matrix!$A$4:$A$64,0),MATCH(2049,Mortality_Matrix!$B$3:$BS$3,0))</f>
        <v>4.22276478489651E-012</v>
      </c>
      <c r="AN139" s="27" t="n">
        <f aca="false">(AN73-INDEX(Mortality_Matrix!$B$4:$BS$64,MATCH($A139,Mortality_Matrix!$A$4:$A$64,0),MATCH(2050,Mortality_Matrix!$B$3:$BS$3,0)))/INDEX(Mortality_Matrix!$B$4:$BS$64,MATCH($A139,Mortality_Matrix!$A$4:$A$64,0),MATCH(2050,Mortality_Matrix!$B$3:$BS$3,0))</f>
        <v>4.22276478489651E-012</v>
      </c>
      <c r="AO139" s="27" t="n">
        <f aca="false">(AO73-INDEX(Mortality_Matrix!$B$4:$BS$64,MATCH($A139,Mortality_Matrix!$A$4:$A$64,0),MATCH(2051,Mortality_Matrix!$B$3:$BS$3,0)))/INDEX(Mortality_Matrix!$B$4:$BS$64,MATCH($A139,Mortality_Matrix!$A$4:$A$64,0),MATCH(2051,Mortality_Matrix!$B$3:$BS$3,0))</f>
        <v>4.22276478489651E-012</v>
      </c>
      <c r="AP139" s="27" t="n">
        <f aca="false">(AP73-INDEX(Mortality_Matrix!$B$4:$BS$64,MATCH($A139,Mortality_Matrix!$A$4:$A$64,0),MATCH(2052,Mortality_Matrix!$B$3:$BS$3,0)))/INDEX(Mortality_Matrix!$B$4:$BS$64,MATCH($A139,Mortality_Matrix!$A$4:$A$64,0),MATCH(2052,Mortality_Matrix!$B$3:$BS$3,0))</f>
        <v>4.22276478489651E-012</v>
      </c>
      <c r="AQ139" s="27" t="n">
        <f aca="false">(AQ73-INDEX(Mortality_Matrix!$B$4:$BS$64,MATCH($A139,Mortality_Matrix!$A$4:$A$64,0),MATCH(2053,Mortality_Matrix!$B$3:$BS$3,0)))/INDEX(Mortality_Matrix!$B$4:$BS$64,MATCH($A139,Mortality_Matrix!$A$4:$A$64,0),MATCH(2053,Mortality_Matrix!$B$3:$BS$3,0))</f>
        <v>4.22276478489651E-012</v>
      </c>
      <c r="AR139" s="27" t="n">
        <f aca="false">(AR73-INDEX(Mortality_Matrix!$B$4:$BS$64,MATCH($A139,Mortality_Matrix!$A$4:$A$64,0),MATCH(2054,Mortality_Matrix!$B$3:$BS$3,0)))/INDEX(Mortality_Matrix!$B$4:$BS$64,MATCH($A139,Mortality_Matrix!$A$4:$A$64,0),MATCH(2054,Mortality_Matrix!$B$3:$BS$3,0))</f>
        <v>4.22276478489651E-012</v>
      </c>
      <c r="AS139" s="27" t="n">
        <f aca="false">(AS73-INDEX(Mortality_Matrix!$B$4:$BS$64,MATCH($A139,Mortality_Matrix!$A$4:$A$64,0),MATCH(2055,Mortality_Matrix!$B$3:$BS$3,0)))/INDEX(Mortality_Matrix!$B$4:$BS$64,MATCH($A139,Mortality_Matrix!$A$4:$A$64,0),MATCH(2055,Mortality_Matrix!$B$3:$BS$3,0))</f>
        <v>4.22276478489651E-012</v>
      </c>
      <c r="AT139" s="27" t="n">
        <f aca="false">(AT73-INDEX(Mortality_Matrix!$B$4:$BS$64,MATCH($A139,Mortality_Matrix!$A$4:$A$64,0),MATCH(2056,Mortality_Matrix!$B$3:$BS$3,0)))/INDEX(Mortality_Matrix!$B$4:$BS$64,MATCH($A139,Mortality_Matrix!$A$4:$A$64,0),MATCH(2056,Mortality_Matrix!$B$3:$BS$3,0))</f>
        <v>4.22276478489651E-012</v>
      </c>
      <c r="AU139" s="27" t="n">
        <f aca="false">(AU73-INDEX(Mortality_Matrix!$B$4:$BS$64,MATCH($A139,Mortality_Matrix!$A$4:$A$64,0),MATCH(2057,Mortality_Matrix!$B$3:$BS$3,0)))/INDEX(Mortality_Matrix!$B$4:$BS$64,MATCH($A139,Mortality_Matrix!$A$4:$A$64,0),MATCH(2057,Mortality_Matrix!$B$3:$BS$3,0))</f>
        <v>4.22276478489651E-012</v>
      </c>
      <c r="AV139" s="27" t="n">
        <f aca="false">(AV73-INDEX(Mortality_Matrix!$B$4:$BS$64,MATCH($A139,Mortality_Matrix!$A$4:$A$64,0),MATCH(2058,Mortality_Matrix!$B$3:$BS$3,0)))/INDEX(Mortality_Matrix!$B$4:$BS$64,MATCH($A139,Mortality_Matrix!$A$4:$A$64,0),MATCH(2058,Mortality_Matrix!$B$3:$BS$3,0))</f>
        <v>4.22276478489651E-012</v>
      </c>
      <c r="AW139" s="27" t="n">
        <f aca="false">(AW73-INDEX(Mortality_Matrix!$B$4:$BS$64,MATCH($A139,Mortality_Matrix!$A$4:$A$64,0),MATCH(2059,Mortality_Matrix!$B$3:$BS$3,0)))/INDEX(Mortality_Matrix!$B$4:$BS$64,MATCH($A139,Mortality_Matrix!$A$4:$A$64,0),MATCH(2059,Mortality_Matrix!$B$3:$BS$3,0))</f>
        <v>4.22276478489651E-012</v>
      </c>
      <c r="AX139" s="27" t="n">
        <f aca="false">(AX73-INDEX(Mortality_Matrix!$B$4:$BS$64,MATCH($A139,Mortality_Matrix!$A$4:$A$64,0),MATCH(2060,Mortality_Matrix!$B$3:$BS$3,0)))/INDEX(Mortality_Matrix!$B$4:$BS$64,MATCH($A139,Mortality_Matrix!$A$4:$A$64,0),MATCH(2060,Mortality_Matrix!$B$3:$BS$3,0))</f>
        <v>4.22276478489651E-012</v>
      </c>
      <c r="AY139" s="27" t="n">
        <f aca="false">(AY73-INDEX(Mortality_Matrix!$B$4:$BS$64,MATCH($A139,Mortality_Matrix!$A$4:$A$64,0),MATCH(2061,Mortality_Matrix!$B$3:$BS$3,0)))/INDEX(Mortality_Matrix!$B$4:$BS$64,MATCH($A139,Mortality_Matrix!$A$4:$A$64,0),MATCH(2061,Mortality_Matrix!$B$3:$BS$3,0))</f>
        <v>4.22276478489651E-012</v>
      </c>
      <c r="AZ139" s="27" t="n">
        <f aca="false">(AZ73-INDEX(Mortality_Matrix!$B$4:$BS$64,MATCH($A139,Mortality_Matrix!$A$4:$A$64,0),MATCH(2062,Mortality_Matrix!$B$3:$BS$3,0)))/INDEX(Mortality_Matrix!$B$4:$BS$64,MATCH($A139,Mortality_Matrix!$A$4:$A$64,0),MATCH(2062,Mortality_Matrix!$B$3:$BS$3,0))</f>
        <v>4.22276478489651E-012</v>
      </c>
      <c r="BA139" s="27" t="n">
        <f aca="false">(BA73-INDEX(Mortality_Matrix!$B$4:$BS$64,MATCH($A139,Mortality_Matrix!$A$4:$A$64,0),MATCH(2063,Mortality_Matrix!$B$3:$BS$3,0)))/INDEX(Mortality_Matrix!$B$4:$BS$64,MATCH($A139,Mortality_Matrix!$A$4:$A$64,0),MATCH(2063,Mortality_Matrix!$B$3:$BS$3,0))</f>
        <v>4.22276478489651E-012</v>
      </c>
      <c r="BB139" s="27" t="n">
        <f aca="false">(BB73-INDEX(Mortality_Matrix!$B$4:$BS$64,MATCH($A139,Mortality_Matrix!$A$4:$A$64,0),MATCH(2064,Mortality_Matrix!$B$3:$BS$3,0)))/INDEX(Mortality_Matrix!$B$4:$BS$64,MATCH($A139,Mortality_Matrix!$A$4:$A$64,0),MATCH(2064,Mortality_Matrix!$B$3:$BS$3,0))</f>
        <v>4.22276478489651E-012</v>
      </c>
      <c r="BC139" s="27" t="n">
        <f aca="false">(BC73-INDEX(Mortality_Matrix!$B$4:$BS$64,MATCH($A139,Mortality_Matrix!$A$4:$A$64,0),MATCH(2065,Mortality_Matrix!$B$3:$BS$3,0)))/INDEX(Mortality_Matrix!$B$4:$BS$64,MATCH($A139,Mortality_Matrix!$A$4:$A$64,0),MATCH(2065,Mortality_Matrix!$B$3:$BS$3,0))</f>
        <v>4.22276478489651E-012</v>
      </c>
      <c r="BD139" s="27" t="n">
        <f aca="false">(BD73-INDEX(Mortality_Matrix!$B$4:$BS$64,MATCH($A139,Mortality_Matrix!$A$4:$A$64,0),MATCH(2066,Mortality_Matrix!$B$3:$BS$3,0)))/INDEX(Mortality_Matrix!$B$4:$BS$64,MATCH($A139,Mortality_Matrix!$A$4:$A$64,0),MATCH(2066,Mortality_Matrix!$B$3:$BS$3,0))</f>
        <v>4.22276478489651E-012</v>
      </c>
      <c r="BE139" s="27" t="n">
        <f aca="false">(BE73-INDEX(Mortality_Matrix!$B$4:$BS$64,MATCH($A139,Mortality_Matrix!$A$4:$A$64,0),MATCH(2067,Mortality_Matrix!$B$3:$BS$3,0)))/INDEX(Mortality_Matrix!$B$4:$BS$64,MATCH($A139,Mortality_Matrix!$A$4:$A$64,0),MATCH(2067,Mortality_Matrix!$B$3:$BS$3,0))</f>
        <v>4.22276478489651E-012</v>
      </c>
      <c r="BF139" s="27" t="n">
        <f aca="false">(BF73-INDEX(Mortality_Matrix!$B$4:$BS$64,MATCH($A139,Mortality_Matrix!$A$4:$A$64,0),MATCH(2068,Mortality_Matrix!$B$3:$BS$3,0)))/INDEX(Mortality_Matrix!$B$4:$BS$64,MATCH($A139,Mortality_Matrix!$A$4:$A$64,0),MATCH(2068,Mortality_Matrix!$B$3:$BS$3,0))</f>
        <v>4.22276478489651E-012</v>
      </c>
      <c r="BG139" s="27" t="n">
        <f aca="false">(BG73-INDEX(Mortality_Matrix!$B$4:$BS$64,MATCH($A139,Mortality_Matrix!$A$4:$A$64,0),MATCH(2069,Mortality_Matrix!$B$3:$BS$3,0)))/INDEX(Mortality_Matrix!$B$4:$BS$64,MATCH($A139,Mortality_Matrix!$A$4:$A$64,0),MATCH(2069,Mortality_Matrix!$B$3:$BS$3,0))</f>
        <v>4.22276478489651E-012</v>
      </c>
      <c r="BH139" s="27" t="n">
        <f aca="false">(BH73-INDEX(Mortality_Matrix!$B$4:$BS$64,MATCH($A139,Mortality_Matrix!$A$4:$A$64,0),MATCH(2070,Mortality_Matrix!$B$3:$BS$3,0)))/INDEX(Mortality_Matrix!$B$4:$BS$64,MATCH($A139,Mortality_Matrix!$A$4:$A$64,0),MATCH(2070,Mortality_Matrix!$B$3:$BS$3,0))</f>
        <v>4.22276478489651E-012</v>
      </c>
      <c r="BI139" s="27" t="n">
        <f aca="false">(BI73-INDEX(Mortality_Matrix!$B$4:$BS$64,MATCH($A139,Mortality_Matrix!$A$4:$A$64,0),MATCH(2071,Mortality_Matrix!$B$3:$BS$3,0)))/INDEX(Mortality_Matrix!$B$4:$BS$64,MATCH($A139,Mortality_Matrix!$A$4:$A$64,0),MATCH(2071,Mortality_Matrix!$B$3:$BS$3,0))</f>
        <v>4.22276478489651E-012</v>
      </c>
      <c r="BJ139" s="27" t="n">
        <f aca="false">(BJ73-INDEX(Mortality_Matrix!$B$4:$BS$64,MATCH($A139,Mortality_Matrix!$A$4:$A$64,0),MATCH(2072,Mortality_Matrix!$B$3:$BS$3,0)))/INDEX(Mortality_Matrix!$B$4:$BS$64,MATCH($A139,Mortality_Matrix!$A$4:$A$64,0),MATCH(2072,Mortality_Matrix!$B$3:$BS$3,0))</f>
        <v>4.22276478489651E-012</v>
      </c>
      <c r="BK139" s="27" t="n">
        <f aca="false">(BK73-INDEX(Mortality_Matrix!$B$4:$BS$64,MATCH($A139,Mortality_Matrix!$A$4:$A$64,0),MATCH(2073,Mortality_Matrix!$B$3:$BS$3,0)))/INDEX(Mortality_Matrix!$B$4:$BS$64,MATCH($A139,Mortality_Matrix!$A$4:$A$64,0),MATCH(2073,Mortality_Matrix!$B$3:$BS$3,0))</f>
        <v>4.22276478489651E-012</v>
      </c>
      <c r="BL139" s="27" t="n">
        <f aca="false">(BL73-INDEX(Mortality_Matrix!$B$4:$BS$64,MATCH($A139,Mortality_Matrix!$A$4:$A$64,0),MATCH(2074,Mortality_Matrix!$B$3:$BS$3,0)))/INDEX(Mortality_Matrix!$B$4:$BS$64,MATCH($A139,Mortality_Matrix!$A$4:$A$64,0),MATCH(2074,Mortality_Matrix!$B$3:$BS$3,0))</f>
        <v>4.22276478489651E-012</v>
      </c>
      <c r="BM139" s="27" t="n">
        <f aca="false">(BM73-INDEX(Mortality_Matrix!$B$4:$BS$64,MATCH($A139,Mortality_Matrix!$A$4:$A$64,0),MATCH(2075,Mortality_Matrix!$B$3:$BS$3,0)))/INDEX(Mortality_Matrix!$B$4:$BS$64,MATCH($A139,Mortality_Matrix!$A$4:$A$64,0),MATCH(2075,Mortality_Matrix!$B$3:$BS$3,0))</f>
        <v>4.22276478489651E-012</v>
      </c>
      <c r="BN139" s="27" t="n">
        <f aca="false">(BN73-INDEX(Mortality_Matrix!$B$4:$BS$64,MATCH($A139,Mortality_Matrix!$A$4:$A$64,0),MATCH(2076,Mortality_Matrix!$B$3:$BS$3,0)))/INDEX(Mortality_Matrix!$B$4:$BS$64,MATCH($A139,Mortality_Matrix!$A$4:$A$64,0),MATCH(2076,Mortality_Matrix!$B$3:$BS$3,0))</f>
        <v>4.22276478489651E-012</v>
      </c>
      <c r="BO139" s="27" t="n">
        <f aca="false">(BO73-INDEX(Mortality_Matrix!$B$4:$BS$64,MATCH($A139,Mortality_Matrix!$A$4:$A$64,0),MATCH(2077,Mortality_Matrix!$B$3:$BS$3,0)))/INDEX(Mortality_Matrix!$B$4:$BS$64,MATCH($A139,Mortality_Matrix!$A$4:$A$64,0),MATCH(2077,Mortality_Matrix!$B$3:$BS$3,0))</f>
        <v>4.22276478489651E-012</v>
      </c>
      <c r="BP139" s="27" t="n">
        <f aca="false">(BP73-INDEX(Mortality_Matrix!$B$4:$BS$64,MATCH($A139,Mortality_Matrix!$A$4:$A$64,0),MATCH(2078,Mortality_Matrix!$B$3:$BS$3,0)))/INDEX(Mortality_Matrix!$B$4:$BS$64,MATCH($A139,Mortality_Matrix!$A$4:$A$64,0),MATCH(2078,Mortality_Matrix!$B$3:$BS$3,0))</f>
        <v>4.22276478489651E-012</v>
      </c>
      <c r="BQ139" s="27" t="n">
        <f aca="false">(BQ73-INDEX(Mortality_Matrix!$B$4:$BS$64,MATCH($A139,Mortality_Matrix!$A$4:$A$64,0),MATCH(2079,Mortality_Matrix!$B$3:$BS$3,0)))/INDEX(Mortality_Matrix!$B$4:$BS$64,MATCH($A139,Mortality_Matrix!$A$4:$A$64,0),MATCH(2079,Mortality_Matrix!$B$3:$BS$3,0))</f>
        <v>4.22276478489651E-012</v>
      </c>
      <c r="BR139" s="27" t="n">
        <f aca="false">(BR73-INDEX(Mortality_Matrix!$B$4:$BS$64,MATCH($A139,Mortality_Matrix!$A$4:$A$64,0),MATCH(2080,Mortality_Matrix!$B$3:$BS$3,0)))/INDEX(Mortality_Matrix!$B$4:$BS$64,MATCH($A139,Mortality_Matrix!$A$4:$A$64,0),MATCH(2080,Mortality_Matrix!$B$3:$BS$3,0))</f>
        <v>4.22276478489651E-012</v>
      </c>
      <c r="BS139" s="27" t="n">
        <f aca="false">(BS73-INDEX(Mortality_Matrix!$B$4:$BS$64,MATCH($A139,Mortality_Matrix!$A$4:$A$64,0),MATCH(2081,Mortality_Matrix!$B$3:$BS$3,0)))/INDEX(Mortality_Matrix!$B$4:$BS$64,MATCH($A139,Mortality_Matrix!$A$4:$A$64,0),MATCH(2081,Mortality_Matrix!$B$3:$BS$3,0))</f>
        <v>4.22276478489651E-012</v>
      </c>
      <c r="BT139" s="27" t="n">
        <f aca="false">(BT73-INDEX(Mortality_Matrix!$B$4:$BS$64,MATCH($A139,Mortality_Matrix!$A$4:$A$64,0),MATCH(2082,Mortality_Matrix!$B$3:$BS$3,0)))/INDEX(Mortality_Matrix!$B$4:$BS$64,MATCH($A139,Mortality_Matrix!$A$4:$A$64,0),MATCH(2082,Mortality_Matrix!$B$3:$BS$3,0))</f>
        <v>4.22276478489651E-012</v>
      </c>
      <c r="BU139" s="27" t="n">
        <f aca="false">(BU73-INDEX(Mortality_Matrix!$B$4:$BS$64,MATCH($A139,Mortality_Matrix!$A$4:$A$64,0),MATCH(2083,Mortality_Matrix!$B$3:$BS$3,0)))/INDEX(Mortality_Matrix!$B$4:$BS$64,MATCH($A139,Mortality_Matrix!$A$4:$A$64,0),MATCH(2083,Mortality_Matrix!$B$3:$BS$3,0))</f>
        <v>4.22276478489651E-012</v>
      </c>
      <c r="BV139" s="27" t="n">
        <f aca="false">(BV73-INDEX(Mortality_Matrix!$B$4:$BS$64,MATCH($A139,Mortality_Matrix!$A$4:$A$64,0),MATCH(2084,Mortality_Matrix!$B$3:$BS$3,0)))/INDEX(Mortality_Matrix!$B$4:$BS$64,MATCH($A139,Mortality_Matrix!$A$4:$A$64,0),MATCH(2084,Mortality_Matrix!$B$3:$BS$3,0))</f>
        <v>4.22276478489651E-012</v>
      </c>
      <c r="BW139" s="27" t="n">
        <f aca="false">(BW73-INDEX(Mortality_Matrix!$B$4:$BS$64,MATCH($A139,Mortality_Matrix!$A$4:$A$64,0),MATCH(2085,Mortality_Matrix!$B$3:$BS$3,0)))/INDEX(Mortality_Matrix!$B$4:$BS$64,MATCH($A139,Mortality_Matrix!$A$4:$A$64,0),MATCH(2085,Mortality_Matrix!$B$3:$BS$3,0))</f>
        <v>4.22276478489651E-012</v>
      </c>
      <c r="BX139" s="27" t="n">
        <f aca="false">(BX73-INDEX(Mortality_Matrix!$B$4:$BS$64,MATCH($A139,Mortality_Matrix!$A$4:$A$64,0),MATCH(2086,Mortality_Matrix!$B$3:$BS$3,0)))/INDEX(Mortality_Matrix!$B$4:$BS$64,MATCH($A139,Mortality_Matrix!$A$4:$A$64,0),MATCH(2086,Mortality_Matrix!$B$3:$BS$3,0))</f>
        <v>4.22276478489651E-012</v>
      </c>
      <c r="BY139" s="27" t="n">
        <f aca="false">(BY73-INDEX(Mortality_Matrix!$B$4:$BS$64,MATCH($A139,Mortality_Matrix!$A$4:$A$64,0),MATCH(2087,Mortality_Matrix!$B$3:$BS$3,0)))/INDEX(Mortality_Matrix!$B$4:$BS$64,MATCH($A139,Mortality_Matrix!$A$4:$A$64,0),MATCH(2087,Mortality_Matrix!$B$3:$BS$3,0))</f>
        <v>4.22276478489651E-012</v>
      </c>
      <c r="BZ139" s="27" t="n">
        <f aca="false">(BZ73-INDEX(Mortality_Matrix!$B$4:$BS$64,MATCH($A139,Mortality_Matrix!$A$4:$A$64,0),MATCH(2088,Mortality_Matrix!$B$3:$BS$3,0)))/INDEX(Mortality_Matrix!$B$4:$BS$64,MATCH($A139,Mortality_Matrix!$A$4:$A$64,0),MATCH(2088,Mortality_Matrix!$B$3:$BS$3,0))</f>
        <v>4.22276478489651E-012</v>
      </c>
      <c r="CA139" s="27" t="n">
        <f aca="false">(CA73-INDEX(Mortality_Matrix!$B$4:$BS$64,MATCH($A139,Mortality_Matrix!$A$4:$A$64,0),MATCH(2089,Mortality_Matrix!$B$3:$BS$3,0)))/INDEX(Mortality_Matrix!$B$4:$BS$64,MATCH($A139,Mortality_Matrix!$A$4:$A$64,0),MATCH(2089,Mortality_Matrix!$B$3:$BS$3,0))</f>
        <v>4.22276478489651E-012</v>
      </c>
      <c r="CB139" s="27" t="n">
        <f aca="false">(CB73-INDEX(Mortality_Matrix!$B$4:$BS$64,MATCH($A139,Mortality_Matrix!$A$4:$A$64,0),MATCH(2090,Mortality_Matrix!$B$3:$BS$3,0)))/INDEX(Mortality_Matrix!$B$4:$BS$64,MATCH($A139,Mortality_Matrix!$A$4:$A$64,0),MATCH(2090,Mortality_Matrix!$B$3:$BS$3,0))</f>
        <v>4.22276478489651E-012</v>
      </c>
      <c r="CC139" s="27" t="n">
        <f aca="false">(CC73-INDEX(Mortality_Matrix!$B$4:$BS$64,MATCH($A139,Mortality_Matrix!$A$4:$A$64,0),MATCH(2091,Mortality_Matrix!$B$3:$BS$3,0)))/INDEX(Mortality_Matrix!$B$4:$BS$64,MATCH($A139,Mortality_Matrix!$A$4:$A$64,0),MATCH(2091,Mortality_Matrix!$B$3:$BS$3,0))</f>
        <v>4.22276478489651E-012</v>
      </c>
    </row>
    <row r="140" customFormat="false" ht="15" hidden="false" customHeight="true" outlineLevel="0" collapsed="false">
      <c r="A140" s="3" t="n">
        <v>111</v>
      </c>
      <c r="L140" s="27" t="n">
        <f aca="false">(L74-INDEX(Mortality_Matrix!$B$4:$BS$64,MATCH($A140,Mortality_Matrix!$A$4:$A$64,0),MATCH(2022,Mortality_Matrix!$B$3:$BS$3,0)))/INDEX(Mortality_Matrix!$B$4:$BS$64,MATCH($A140,Mortality_Matrix!$A$4:$A$64,0),MATCH(2022,Mortality_Matrix!$B$3:$BS$3,0))</f>
        <v>-6.23464216288911E-011</v>
      </c>
      <c r="M140" s="27" t="n">
        <f aca="false">(M74-INDEX(Mortality_Matrix!$B$4:$BS$64,MATCH($A140,Mortality_Matrix!$A$4:$A$64,0),MATCH(2023,Mortality_Matrix!$B$3:$BS$3,0)))/INDEX(Mortality_Matrix!$B$4:$BS$64,MATCH($A140,Mortality_Matrix!$A$4:$A$64,0),MATCH(2023,Mortality_Matrix!$B$3:$BS$3,0))</f>
        <v>-5.26764587661047E-012</v>
      </c>
      <c r="N140" s="27" t="n">
        <f aca="false">(N74-INDEX(Mortality_Matrix!$B$4:$BS$64,MATCH($A140,Mortality_Matrix!$A$4:$A$64,0),MATCH(2024,Mortality_Matrix!$B$3:$BS$3,0)))/INDEX(Mortality_Matrix!$B$4:$BS$64,MATCH($A140,Mortality_Matrix!$A$4:$A$64,0),MATCH(2024,Mortality_Matrix!$B$3:$BS$3,0))</f>
        <v>3.2524128868729E-011</v>
      </c>
      <c r="O140" s="27" t="n">
        <f aca="false">(O74-INDEX(Mortality_Matrix!$B$4:$BS$64,MATCH($A140,Mortality_Matrix!$A$4:$A$64,0),MATCH(2025,Mortality_Matrix!$B$3:$BS$3,0)))/INDEX(Mortality_Matrix!$B$4:$BS$64,MATCH($A140,Mortality_Matrix!$A$4:$A$64,0),MATCH(2025,Mortality_Matrix!$B$3:$BS$3,0))</f>
        <v>5.39904507748064E-011</v>
      </c>
      <c r="P140" s="27" t="n">
        <f aca="false">(P74-INDEX(Mortality_Matrix!$B$4:$BS$64,MATCH($A140,Mortality_Matrix!$A$4:$A$64,0),MATCH(2026,Mortality_Matrix!$B$3:$BS$3,0)))/INDEX(Mortality_Matrix!$B$4:$BS$64,MATCH($A140,Mortality_Matrix!$A$4:$A$64,0),MATCH(2026,Mortality_Matrix!$B$3:$BS$3,0))</f>
        <v>-2.61870413091717E-011</v>
      </c>
      <c r="Q140" s="27" t="n">
        <f aca="false">(Q74-INDEX(Mortality_Matrix!$B$4:$BS$64,MATCH($A140,Mortality_Matrix!$A$4:$A$64,0),MATCH(2027,Mortality_Matrix!$B$3:$BS$3,0)))/INDEX(Mortality_Matrix!$B$4:$BS$64,MATCH($A140,Mortality_Matrix!$A$4:$A$64,0),MATCH(2027,Mortality_Matrix!$B$3:$BS$3,0))</f>
        <v>-2.61870413091717E-011</v>
      </c>
      <c r="R140" s="27" t="n">
        <f aca="false">(R74-INDEX(Mortality_Matrix!$B$4:$BS$64,MATCH($A140,Mortality_Matrix!$A$4:$A$64,0),MATCH(2028,Mortality_Matrix!$B$3:$BS$3,0)))/INDEX(Mortality_Matrix!$B$4:$BS$64,MATCH($A140,Mortality_Matrix!$A$4:$A$64,0),MATCH(2028,Mortality_Matrix!$B$3:$BS$3,0))</f>
        <v>-2.61870413091717E-011</v>
      </c>
      <c r="S140" s="27" t="n">
        <f aca="false">(S74-INDEX(Mortality_Matrix!$B$4:$BS$64,MATCH($A140,Mortality_Matrix!$A$4:$A$64,0),MATCH(2029,Mortality_Matrix!$B$3:$BS$3,0)))/INDEX(Mortality_Matrix!$B$4:$BS$64,MATCH($A140,Mortality_Matrix!$A$4:$A$64,0),MATCH(2029,Mortality_Matrix!$B$3:$BS$3,0))</f>
        <v>-2.61870413091717E-011</v>
      </c>
      <c r="T140" s="27" t="n">
        <f aca="false">(T74-INDEX(Mortality_Matrix!$B$4:$BS$64,MATCH($A140,Mortality_Matrix!$A$4:$A$64,0),MATCH(2030,Mortality_Matrix!$B$3:$BS$3,0)))/INDEX(Mortality_Matrix!$B$4:$BS$64,MATCH($A140,Mortality_Matrix!$A$4:$A$64,0),MATCH(2030,Mortality_Matrix!$B$3:$BS$3,0))</f>
        <v>-2.61870413091717E-011</v>
      </c>
      <c r="U140" s="27" t="n">
        <f aca="false">(U74-INDEX(Mortality_Matrix!$B$4:$BS$64,MATCH($A140,Mortality_Matrix!$A$4:$A$64,0),MATCH(2031,Mortality_Matrix!$B$3:$BS$3,0)))/INDEX(Mortality_Matrix!$B$4:$BS$64,MATCH($A140,Mortality_Matrix!$A$4:$A$64,0),MATCH(2031,Mortality_Matrix!$B$3:$BS$3,0))</f>
        <v>-2.61870413091717E-011</v>
      </c>
      <c r="V140" s="27" t="n">
        <f aca="false">(V74-INDEX(Mortality_Matrix!$B$4:$BS$64,MATCH($A140,Mortality_Matrix!$A$4:$A$64,0),MATCH(2032,Mortality_Matrix!$B$3:$BS$3,0)))/INDEX(Mortality_Matrix!$B$4:$BS$64,MATCH($A140,Mortality_Matrix!$A$4:$A$64,0),MATCH(2032,Mortality_Matrix!$B$3:$BS$3,0))</f>
        <v>-2.61870413091717E-011</v>
      </c>
      <c r="W140" s="27" t="n">
        <f aca="false">(W74-INDEX(Mortality_Matrix!$B$4:$BS$64,MATCH($A140,Mortality_Matrix!$A$4:$A$64,0),MATCH(2033,Mortality_Matrix!$B$3:$BS$3,0)))/INDEX(Mortality_Matrix!$B$4:$BS$64,MATCH($A140,Mortality_Matrix!$A$4:$A$64,0),MATCH(2033,Mortality_Matrix!$B$3:$BS$3,0))</f>
        <v>-2.61870413091717E-011</v>
      </c>
      <c r="X140" s="27" t="n">
        <f aca="false">(X74-INDEX(Mortality_Matrix!$B$4:$BS$64,MATCH($A140,Mortality_Matrix!$A$4:$A$64,0),MATCH(2034,Mortality_Matrix!$B$3:$BS$3,0)))/INDEX(Mortality_Matrix!$B$4:$BS$64,MATCH($A140,Mortality_Matrix!$A$4:$A$64,0),MATCH(2034,Mortality_Matrix!$B$3:$BS$3,0))</f>
        <v>-2.61870413091717E-011</v>
      </c>
      <c r="Y140" s="27" t="n">
        <f aca="false">(Y74-INDEX(Mortality_Matrix!$B$4:$BS$64,MATCH($A140,Mortality_Matrix!$A$4:$A$64,0),MATCH(2035,Mortality_Matrix!$B$3:$BS$3,0)))/INDEX(Mortality_Matrix!$B$4:$BS$64,MATCH($A140,Mortality_Matrix!$A$4:$A$64,0),MATCH(2035,Mortality_Matrix!$B$3:$BS$3,0))</f>
        <v>-2.61870413091717E-011</v>
      </c>
      <c r="Z140" s="27" t="n">
        <f aca="false">(Z74-INDEX(Mortality_Matrix!$B$4:$BS$64,MATCH($A140,Mortality_Matrix!$A$4:$A$64,0),MATCH(2036,Mortality_Matrix!$B$3:$BS$3,0)))/INDEX(Mortality_Matrix!$B$4:$BS$64,MATCH($A140,Mortality_Matrix!$A$4:$A$64,0),MATCH(2036,Mortality_Matrix!$B$3:$BS$3,0))</f>
        <v>-2.61870413091717E-011</v>
      </c>
      <c r="AA140" s="27" t="n">
        <f aca="false">(AA74-INDEX(Mortality_Matrix!$B$4:$BS$64,MATCH($A140,Mortality_Matrix!$A$4:$A$64,0),MATCH(2037,Mortality_Matrix!$B$3:$BS$3,0)))/INDEX(Mortality_Matrix!$B$4:$BS$64,MATCH($A140,Mortality_Matrix!$A$4:$A$64,0),MATCH(2037,Mortality_Matrix!$B$3:$BS$3,0))</f>
        <v>-2.61870413091717E-011</v>
      </c>
      <c r="AB140" s="27" t="n">
        <f aca="false">(AB74-INDEX(Mortality_Matrix!$B$4:$BS$64,MATCH($A140,Mortality_Matrix!$A$4:$A$64,0),MATCH(2038,Mortality_Matrix!$B$3:$BS$3,0)))/INDEX(Mortality_Matrix!$B$4:$BS$64,MATCH($A140,Mortality_Matrix!$A$4:$A$64,0),MATCH(2038,Mortality_Matrix!$B$3:$BS$3,0))</f>
        <v>-2.61870413091717E-011</v>
      </c>
      <c r="AC140" s="27" t="n">
        <f aca="false">(AC74-INDEX(Mortality_Matrix!$B$4:$BS$64,MATCH($A140,Mortality_Matrix!$A$4:$A$64,0),MATCH(2039,Mortality_Matrix!$B$3:$BS$3,0)))/INDEX(Mortality_Matrix!$B$4:$BS$64,MATCH($A140,Mortality_Matrix!$A$4:$A$64,0),MATCH(2039,Mortality_Matrix!$B$3:$BS$3,0))</f>
        <v>-2.61870413091717E-011</v>
      </c>
      <c r="AD140" s="27" t="n">
        <f aca="false">(AD74-INDEX(Mortality_Matrix!$B$4:$BS$64,MATCH($A140,Mortality_Matrix!$A$4:$A$64,0),MATCH(2040,Mortality_Matrix!$B$3:$BS$3,0)))/INDEX(Mortality_Matrix!$B$4:$BS$64,MATCH($A140,Mortality_Matrix!$A$4:$A$64,0),MATCH(2040,Mortality_Matrix!$B$3:$BS$3,0))</f>
        <v>-2.61870413091717E-011</v>
      </c>
      <c r="AE140" s="27" t="n">
        <f aca="false">(AE74-INDEX(Mortality_Matrix!$B$4:$BS$64,MATCH($A140,Mortality_Matrix!$A$4:$A$64,0),MATCH(2041,Mortality_Matrix!$B$3:$BS$3,0)))/INDEX(Mortality_Matrix!$B$4:$BS$64,MATCH($A140,Mortality_Matrix!$A$4:$A$64,0),MATCH(2041,Mortality_Matrix!$B$3:$BS$3,0))</f>
        <v>-2.61870413091717E-011</v>
      </c>
      <c r="AF140" s="27" t="n">
        <f aca="false">(AF74-INDEX(Mortality_Matrix!$B$4:$BS$64,MATCH($A140,Mortality_Matrix!$A$4:$A$64,0),MATCH(2042,Mortality_Matrix!$B$3:$BS$3,0)))/INDEX(Mortality_Matrix!$B$4:$BS$64,MATCH($A140,Mortality_Matrix!$A$4:$A$64,0),MATCH(2042,Mortality_Matrix!$B$3:$BS$3,0))</f>
        <v>-2.61870413091717E-011</v>
      </c>
      <c r="AG140" s="27" t="n">
        <f aca="false">(AG74-INDEX(Mortality_Matrix!$B$4:$BS$64,MATCH($A140,Mortality_Matrix!$A$4:$A$64,0),MATCH(2043,Mortality_Matrix!$B$3:$BS$3,0)))/INDEX(Mortality_Matrix!$B$4:$BS$64,MATCH($A140,Mortality_Matrix!$A$4:$A$64,0),MATCH(2043,Mortality_Matrix!$B$3:$BS$3,0))</f>
        <v>-2.61870413091717E-011</v>
      </c>
      <c r="AH140" s="27" t="n">
        <f aca="false">(AH74-INDEX(Mortality_Matrix!$B$4:$BS$64,MATCH($A140,Mortality_Matrix!$A$4:$A$64,0),MATCH(2044,Mortality_Matrix!$B$3:$BS$3,0)))/INDEX(Mortality_Matrix!$B$4:$BS$64,MATCH($A140,Mortality_Matrix!$A$4:$A$64,0),MATCH(2044,Mortality_Matrix!$B$3:$BS$3,0))</f>
        <v>-2.61870413091717E-011</v>
      </c>
      <c r="AI140" s="27" t="n">
        <f aca="false">(AI74-INDEX(Mortality_Matrix!$B$4:$BS$64,MATCH($A140,Mortality_Matrix!$A$4:$A$64,0),MATCH(2045,Mortality_Matrix!$B$3:$BS$3,0)))/INDEX(Mortality_Matrix!$B$4:$BS$64,MATCH($A140,Mortality_Matrix!$A$4:$A$64,0),MATCH(2045,Mortality_Matrix!$B$3:$BS$3,0))</f>
        <v>-2.61870413091717E-011</v>
      </c>
      <c r="AJ140" s="27" t="n">
        <f aca="false">(AJ74-INDEX(Mortality_Matrix!$B$4:$BS$64,MATCH($A140,Mortality_Matrix!$A$4:$A$64,0),MATCH(2046,Mortality_Matrix!$B$3:$BS$3,0)))/INDEX(Mortality_Matrix!$B$4:$BS$64,MATCH($A140,Mortality_Matrix!$A$4:$A$64,0),MATCH(2046,Mortality_Matrix!$B$3:$BS$3,0))</f>
        <v>-2.61870413091717E-011</v>
      </c>
      <c r="AK140" s="27" t="n">
        <f aca="false">(AK74-INDEX(Mortality_Matrix!$B$4:$BS$64,MATCH($A140,Mortality_Matrix!$A$4:$A$64,0),MATCH(2047,Mortality_Matrix!$B$3:$BS$3,0)))/INDEX(Mortality_Matrix!$B$4:$BS$64,MATCH($A140,Mortality_Matrix!$A$4:$A$64,0),MATCH(2047,Mortality_Matrix!$B$3:$BS$3,0))</f>
        <v>-2.61870413091717E-011</v>
      </c>
      <c r="AL140" s="27" t="n">
        <f aca="false">(AL74-INDEX(Mortality_Matrix!$B$4:$BS$64,MATCH($A140,Mortality_Matrix!$A$4:$A$64,0),MATCH(2048,Mortality_Matrix!$B$3:$BS$3,0)))/INDEX(Mortality_Matrix!$B$4:$BS$64,MATCH($A140,Mortality_Matrix!$A$4:$A$64,0),MATCH(2048,Mortality_Matrix!$B$3:$BS$3,0))</f>
        <v>-2.61870413091717E-011</v>
      </c>
      <c r="AM140" s="27" t="n">
        <f aca="false">(AM74-INDEX(Mortality_Matrix!$B$4:$BS$64,MATCH($A140,Mortality_Matrix!$A$4:$A$64,0),MATCH(2049,Mortality_Matrix!$B$3:$BS$3,0)))/INDEX(Mortality_Matrix!$B$4:$BS$64,MATCH($A140,Mortality_Matrix!$A$4:$A$64,0),MATCH(2049,Mortality_Matrix!$B$3:$BS$3,0))</f>
        <v>-2.61870413091717E-011</v>
      </c>
      <c r="AN140" s="27" t="n">
        <f aca="false">(AN74-INDEX(Mortality_Matrix!$B$4:$BS$64,MATCH($A140,Mortality_Matrix!$A$4:$A$64,0),MATCH(2050,Mortality_Matrix!$B$3:$BS$3,0)))/INDEX(Mortality_Matrix!$B$4:$BS$64,MATCH($A140,Mortality_Matrix!$A$4:$A$64,0),MATCH(2050,Mortality_Matrix!$B$3:$BS$3,0))</f>
        <v>-2.61870413091717E-011</v>
      </c>
      <c r="AO140" s="27" t="n">
        <f aca="false">(AO74-INDEX(Mortality_Matrix!$B$4:$BS$64,MATCH($A140,Mortality_Matrix!$A$4:$A$64,0),MATCH(2051,Mortality_Matrix!$B$3:$BS$3,0)))/INDEX(Mortality_Matrix!$B$4:$BS$64,MATCH($A140,Mortality_Matrix!$A$4:$A$64,0),MATCH(2051,Mortality_Matrix!$B$3:$BS$3,0))</f>
        <v>-2.61870413091717E-011</v>
      </c>
      <c r="AP140" s="27" t="n">
        <f aca="false">(AP74-INDEX(Mortality_Matrix!$B$4:$BS$64,MATCH($A140,Mortality_Matrix!$A$4:$A$64,0),MATCH(2052,Mortality_Matrix!$B$3:$BS$3,0)))/INDEX(Mortality_Matrix!$B$4:$BS$64,MATCH($A140,Mortality_Matrix!$A$4:$A$64,0),MATCH(2052,Mortality_Matrix!$B$3:$BS$3,0))</f>
        <v>-2.61870413091717E-011</v>
      </c>
      <c r="AQ140" s="27" t="n">
        <f aca="false">(AQ74-INDEX(Mortality_Matrix!$B$4:$BS$64,MATCH($A140,Mortality_Matrix!$A$4:$A$64,0),MATCH(2053,Mortality_Matrix!$B$3:$BS$3,0)))/INDEX(Mortality_Matrix!$B$4:$BS$64,MATCH($A140,Mortality_Matrix!$A$4:$A$64,0),MATCH(2053,Mortality_Matrix!$B$3:$BS$3,0))</f>
        <v>-2.61870413091717E-011</v>
      </c>
      <c r="AR140" s="27" t="n">
        <f aca="false">(AR74-INDEX(Mortality_Matrix!$B$4:$BS$64,MATCH($A140,Mortality_Matrix!$A$4:$A$64,0),MATCH(2054,Mortality_Matrix!$B$3:$BS$3,0)))/INDEX(Mortality_Matrix!$B$4:$BS$64,MATCH($A140,Mortality_Matrix!$A$4:$A$64,0),MATCH(2054,Mortality_Matrix!$B$3:$BS$3,0))</f>
        <v>-2.61870413091717E-011</v>
      </c>
      <c r="AS140" s="27" t="n">
        <f aca="false">(AS74-INDEX(Mortality_Matrix!$B$4:$BS$64,MATCH($A140,Mortality_Matrix!$A$4:$A$64,0),MATCH(2055,Mortality_Matrix!$B$3:$BS$3,0)))/INDEX(Mortality_Matrix!$B$4:$BS$64,MATCH($A140,Mortality_Matrix!$A$4:$A$64,0),MATCH(2055,Mortality_Matrix!$B$3:$BS$3,0))</f>
        <v>-2.61870413091717E-011</v>
      </c>
      <c r="AT140" s="27" t="n">
        <f aca="false">(AT74-INDEX(Mortality_Matrix!$B$4:$BS$64,MATCH($A140,Mortality_Matrix!$A$4:$A$64,0),MATCH(2056,Mortality_Matrix!$B$3:$BS$3,0)))/INDEX(Mortality_Matrix!$B$4:$BS$64,MATCH($A140,Mortality_Matrix!$A$4:$A$64,0),MATCH(2056,Mortality_Matrix!$B$3:$BS$3,0))</f>
        <v>-2.61870413091717E-011</v>
      </c>
      <c r="AU140" s="27" t="n">
        <f aca="false">(AU74-INDEX(Mortality_Matrix!$B$4:$BS$64,MATCH($A140,Mortality_Matrix!$A$4:$A$64,0),MATCH(2057,Mortality_Matrix!$B$3:$BS$3,0)))/INDEX(Mortality_Matrix!$B$4:$BS$64,MATCH($A140,Mortality_Matrix!$A$4:$A$64,0),MATCH(2057,Mortality_Matrix!$B$3:$BS$3,0))</f>
        <v>-2.61870413091717E-011</v>
      </c>
      <c r="AV140" s="27" t="n">
        <f aca="false">(AV74-INDEX(Mortality_Matrix!$B$4:$BS$64,MATCH($A140,Mortality_Matrix!$A$4:$A$64,0),MATCH(2058,Mortality_Matrix!$B$3:$BS$3,0)))/INDEX(Mortality_Matrix!$B$4:$BS$64,MATCH($A140,Mortality_Matrix!$A$4:$A$64,0),MATCH(2058,Mortality_Matrix!$B$3:$BS$3,0))</f>
        <v>-2.61870413091717E-011</v>
      </c>
      <c r="AW140" s="27" t="n">
        <f aca="false">(AW74-INDEX(Mortality_Matrix!$B$4:$BS$64,MATCH($A140,Mortality_Matrix!$A$4:$A$64,0),MATCH(2059,Mortality_Matrix!$B$3:$BS$3,0)))/INDEX(Mortality_Matrix!$B$4:$BS$64,MATCH($A140,Mortality_Matrix!$A$4:$A$64,0),MATCH(2059,Mortality_Matrix!$B$3:$BS$3,0))</f>
        <v>-2.61870413091717E-011</v>
      </c>
      <c r="AX140" s="27" t="n">
        <f aca="false">(AX74-INDEX(Mortality_Matrix!$B$4:$BS$64,MATCH($A140,Mortality_Matrix!$A$4:$A$64,0),MATCH(2060,Mortality_Matrix!$B$3:$BS$3,0)))/INDEX(Mortality_Matrix!$B$4:$BS$64,MATCH($A140,Mortality_Matrix!$A$4:$A$64,0),MATCH(2060,Mortality_Matrix!$B$3:$BS$3,0))</f>
        <v>-2.61870413091717E-011</v>
      </c>
      <c r="AY140" s="27" t="n">
        <f aca="false">(AY74-INDEX(Mortality_Matrix!$B$4:$BS$64,MATCH($A140,Mortality_Matrix!$A$4:$A$64,0),MATCH(2061,Mortality_Matrix!$B$3:$BS$3,0)))/INDEX(Mortality_Matrix!$B$4:$BS$64,MATCH($A140,Mortality_Matrix!$A$4:$A$64,0),MATCH(2061,Mortality_Matrix!$B$3:$BS$3,0))</f>
        <v>-2.61870413091717E-011</v>
      </c>
      <c r="AZ140" s="27" t="n">
        <f aca="false">(AZ74-INDEX(Mortality_Matrix!$B$4:$BS$64,MATCH($A140,Mortality_Matrix!$A$4:$A$64,0),MATCH(2062,Mortality_Matrix!$B$3:$BS$3,0)))/INDEX(Mortality_Matrix!$B$4:$BS$64,MATCH($A140,Mortality_Matrix!$A$4:$A$64,0),MATCH(2062,Mortality_Matrix!$B$3:$BS$3,0))</f>
        <v>-2.61870413091717E-011</v>
      </c>
      <c r="BA140" s="27" t="n">
        <f aca="false">(BA74-INDEX(Mortality_Matrix!$B$4:$BS$64,MATCH($A140,Mortality_Matrix!$A$4:$A$64,0),MATCH(2063,Mortality_Matrix!$B$3:$BS$3,0)))/INDEX(Mortality_Matrix!$B$4:$BS$64,MATCH($A140,Mortality_Matrix!$A$4:$A$64,0),MATCH(2063,Mortality_Matrix!$B$3:$BS$3,0))</f>
        <v>-2.61870413091717E-011</v>
      </c>
      <c r="BB140" s="27" t="n">
        <f aca="false">(BB74-INDEX(Mortality_Matrix!$B$4:$BS$64,MATCH($A140,Mortality_Matrix!$A$4:$A$64,0),MATCH(2064,Mortality_Matrix!$B$3:$BS$3,0)))/INDEX(Mortality_Matrix!$B$4:$BS$64,MATCH($A140,Mortality_Matrix!$A$4:$A$64,0),MATCH(2064,Mortality_Matrix!$B$3:$BS$3,0))</f>
        <v>-2.61870413091717E-011</v>
      </c>
      <c r="BC140" s="27" t="n">
        <f aca="false">(BC74-INDEX(Mortality_Matrix!$B$4:$BS$64,MATCH($A140,Mortality_Matrix!$A$4:$A$64,0),MATCH(2065,Mortality_Matrix!$B$3:$BS$3,0)))/INDEX(Mortality_Matrix!$B$4:$BS$64,MATCH($A140,Mortality_Matrix!$A$4:$A$64,0),MATCH(2065,Mortality_Matrix!$B$3:$BS$3,0))</f>
        <v>-2.61870413091717E-011</v>
      </c>
      <c r="BD140" s="27" t="n">
        <f aca="false">(BD74-INDEX(Mortality_Matrix!$B$4:$BS$64,MATCH($A140,Mortality_Matrix!$A$4:$A$64,0),MATCH(2066,Mortality_Matrix!$B$3:$BS$3,0)))/INDEX(Mortality_Matrix!$B$4:$BS$64,MATCH($A140,Mortality_Matrix!$A$4:$A$64,0),MATCH(2066,Mortality_Matrix!$B$3:$BS$3,0))</f>
        <v>-2.61870413091717E-011</v>
      </c>
      <c r="BE140" s="27" t="n">
        <f aca="false">(BE74-INDEX(Mortality_Matrix!$B$4:$BS$64,MATCH($A140,Mortality_Matrix!$A$4:$A$64,0),MATCH(2067,Mortality_Matrix!$B$3:$BS$3,0)))/INDEX(Mortality_Matrix!$B$4:$BS$64,MATCH($A140,Mortality_Matrix!$A$4:$A$64,0),MATCH(2067,Mortality_Matrix!$B$3:$BS$3,0))</f>
        <v>-2.61870413091717E-011</v>
      </c>
      <c r="BF140" s="27" t="n">
        <f aca="false">(BF74-INDEX(Mortality_Matrix!$B$4:$BS$64,MATCH($A140,Mortality_Matrix!$A$4:$A$64,0),MATCH(2068,Mortality_Matrix!$B$3:$BS$3,0)))/INDEX(Mortality_Matrix!$B$4:$BS$64,MATCH($A140,Mortality_Matrix!$A$4:$A$64,0),MATCH(2068,Mortality_Matrix!$B$3:$BS$3,0))</f>
        <v>-2.61870413091717E-011</v>
      </c>
      <c r="BG140" s="27" t="n">
        <f aca="false">(BG74-INDEX(Mortality_Matrix!$B$4:$BS$64,MATCH($A140,Mortality_Matrix!$A$4:$A$64,0),MATCH(2069,Mortality_Matrix!$B$3:$BS$3,0)))/INDEX(Mortality_Matrix!$B$4:$BS$64,MATCH($A140,Mortality_Matrix!$A$4:$A$64,0),MATCH(2069,Mortality_Matrix!$B$3:$BS$3,0))</f>
        <v>-2.61870413091717E-011</v>
      </c>
      <c r="BH140" s="27" t="n">
        <f aca="false">(BH74-INDEX(Mortality_Matrix!$B$4:$BS$64,MATCH($A140,Mortality_Matrix!$A$4:$A$64,0),MATCH(2070,Mortality_Matrix!$B$3:$BS$3,0)))/INDEX(Mortality_Matrix!$B$4:$BS$64,MATCH($A140,Mortality_Matrix!$A$4:$A$64,0),MATCH(2070,Mortality_Matrix!$B$3:$BS$3,0))</f>
        <v>-2.61870413091717E-011</v>
      </c>
      <c r="BI140" s="27" t="n">
        <f aca="false">(BI74-INDEX(Mortality_Matrix!$B$4:$BS$64,MATCH($A140,Mortality_Matrix!$A$4:$A$64,0),MATCH(2071,Mortality_Matrix!$B$3:$BS$3,0)))/INDEX(Mortality_Matrix!$B$4:$BS$64,MATCH($A140,Mortality_Matrix!$A$4:$A$64,0),MATCH(2071,Mortality_Matrix!$B$3:$BS$3,0))</f>
        <v>-2.61870413091717E-011</v>
      </c>
      <c r="BJ140" s="27" t="n">
        <f aca="false">(BJ74-INDEX(Mortality_Matrix!$B$4:$BS$64,MATCH($A140,Mortality_Matrix!$A$4:$A$64,0),MATCH(2072,Mortality_Matrix!$B$3:$BS$3,0)))/INDEX(Mortality_Matrix!$B$4:$BS$64,MATCH($A140,Mortality_Matrix!$A$4:$A$64,0),MATCH(2072,Mortality_Matrix!$B$3:$BS$3,0))</f>
        <v>-2.61870413091717E-011</v>
      </c>
      <c r="BK140" s="27" t="n">
        <f aca="false">(BK74-INDEX(Mortality_Matrix!$B$4:$BS$64,MATCH($A140,Mortality_Matrix!$A$4:$A$64,0),MATCH(2073,Mortality_Matrix!$B$3:$BS$3,0)))/INDEX(Mortality_Matrix!$B$4:$BS$64,MATCH($A140,Mortality_Matrix!$A$4:$A$64,0),MATCH(2073,Mortality_Matrix!$B$3:$BS$3,0))</f>
        <v>-2.61870413091717E-011</v>
      </c>
      <c r="BL140" s="27" t="n">
        <f aca="false">(BL74-INDEX(Mortality_Matrix!$B$4:$BS$64,MATCH($A140,Mortality_Matrix!$A$4:$A$64,0),MATCH(2074,Mortality_Matrix!$B$3:$BS$3,0)))/INDEX(Mortality_Matrix!$B$4:$BS$64,MATCH($A140,Mortality_Matrix!$A$4:$A$64,0),MATCH(2074,Mortality_Matrix!$B$3:$BS$3,0))</f>
        <v>-2.61870413091717E-011</v>
      </c>
      <c r="BM140" s="27" t="n">
        <f aca="false">(BM74-INDEX(Mortality_Matrix!$B$4:$BS$64,MATCH($A140,Mortality_Matrix!$A$4:$A$64,0),MATCH(2075,Mortality_Matrix!$B$3:$BS$3,0)))/INDEX(Mortality_Matrix!$B$4:$BS$64,MATCH($A140,Mortality_Matrix!$A$4:$A$64,0),MATCH(2075,Mortality_Matrix!$B$3:$BS$3,0))</f>
        <v>-2.61870413091717E-011</v>
      </c>
      <c r="BN140" s="27" t="n">
        <f aca="false">(BN74-INDEX(Mortality_Matrix!$B$4:$BS$64,MATCH($A140,Mortality_Matrix!$A$4:$A$64,0),MATCH(2076,Mortality_Matrix!$B$3:$BS$3,0)))/INDEX(Mortality_Matrix!$B$4:$BS$64,MATCH($A140,Mortality_Matrix!$A$4:$A$64,0),MATCH(2076,Mortality_Matrix!$B$3:$BS$3,0))</f>
        <v>-2.61870413091717E-011</v>
      </c>
      <c r="BO140" s="27" t="n">
        <f aca="false">(BO74-INDEX(Mortality_Matrix!$B$4:$BS$64,MATCH($A140,Mortality_Matrix!$A$4:$A$64,0),MATCH(2077,Mortality_Matrix!$B$3:$BS$3,0)))/INDEX(Mortality_Matrix!$B$4:$BS$64,MATCH($A140,Mortality_Matrix!$A$4:$A$64,0),MATCH(2077,Mortality_Matrix!$B$3:$BS$3,0))</f>
        <v>-2.61870413091717E-011</v>
      </c>
      <c r="BP140" s="27" t="n">
        <f aca="false">(BP74-INDEX(Mortality_Matrix!$B$4:$BS$64,MATCH($A140,Mortality_Matrix!$A$4:$A$64,0),MATCH(2078,Mortality_Matrix!$B$3:$BS$3,0)))/INDEX(Mortality_Matrix!$B$4:$BS$64,MATCH($A140,Mortality_Matrix!$A$4:$A$64,0),MATCH(2078,Mortality_Matrix!$B$3:$BS$3,0))</f>
        <v>-2.61870413091717E-011</v>
      </c>
      <c r="BQ140" s="27" t="n">
        <f aca="false">(BQ74-INDEX(Mortality_Matrix!$B$4:$BS$64,MATCH($A140,Mortality_Matrix!$A$4:$A$64,0),MATCH(2079,Mortality_Matrix!$B$3:$BS$3,0)))/INDEX(Mortality_Matrix!$B$4:$BS$64,MATCH($A140,Mortality_Matrix!$A$4:$A$64,0),MATCH(2079,Mortality_Matrix!$B$3:$BS$3,0))</f>
        <v>-2.61870413091717E-011</v>
      </c>
      <c r="BR140" s="27" t="n">
        <f aca="false">(BR74-INDEX(Mortality_Matrix!$B$4:$BS$64,MATCH($A140,Mortality_Matrix!$A$4:$A$64,0),MATCH(2080,Mortality_Matrix!$B$3:$BS$3,0)))/INDEX(Mortality_Matrix!$B$4:$BS$64,MATCH($A140,Mortality_Matrix!$A$4:$A$64,0),MATCH(2080,Mortality_Matrix!$B$3:$BS$3,0))</f>
        <v>-2.61870413091717E-011</v>
      </c>
      <c r="BS140" s="27" t="n">
        <f aca="false">(BS74-INDEX(Mortality_Matrix!$B$4:$BS$64,MATCH($A140,Mortality_Matrix!$A$4:$A$64,0),MATCH(2081,Mortality_Matrix!$B$3:$BS$3,0)))/INDEX(Mortality_Matrix!$B$4:$BS$64,MATCH($A140,Mortality_Matrix!$A$4:$A$64,0),MATCH(2081,Mortality_Matrix!$B$3:$BS$3,0))</f>
        <v>-2.61870413091717E-011</v>
      </c>
      <c r="BT140" s="27" t="n">
        <f aca="false">(BT74-INDEX(Mortality_Matrix!$B$4:$BS$64,MATCH($A140,Mortality_Matrix!$A$4:$A$64,0),MATCH(2082,Mortality_Matrix!$B$3:$BS$3,0)))/INDEX(Mortality_Matrix!$B$4:$BS$64,MATCH($A140,Mortality_Matrix!$A$4:$A$64,0),MATCH(2082,Mortality_Matrix!$B$3:$BS$3,0))</f>
        <v>-2.61870413091717E-011</v>
      </c>
      <c r="BU140" s="27" t="n">
        <f aca="false">(BU74-INDEX(Mortality_Matrix!$B$4:$BS$64,MATCH($A140,Mortality_Matrix!$A$4:$A$64,0),MATCH(2083,Mortality_Matrix!$B$3:$BS$3,0)))/INDEX(Mortality_Matrix!$B$4:$BS$64,MATCH($A140,Mortality_Matrix!$A$4:$A$64,0),MATCH(2083,Mortality_Matrix!$B$3:$BS$3,0))</f>
        <v>-2.61870413091717E-011</v>
      </c>
      <c r="BV140" s="27" t="n">
        <f aca="false">(BV74-INDEX(Mortality_Matrix!$B$4:$BS$64,MATCH($A140,Mortality_Matrix!$A$4:$A$64,0),MATCH(2084,Mortality_Matrix!$B$3:$BS$3,0)))/INDEX(Mortality_Matrix!$B$4:$BS$64,MATCH($A140,Mortality_Matrix!$A$4:$A$64,0),MATCH(2084,Mortality_Matrix!$B$3:$BS$3,0))</f>
        <v>-2.61870413091717E-011</v>
      </c>
      <c r="BW140" s="27" t="n">
        <f aca="false">(BW74-INDEX(Mortality_Matrix!$B$4:$BS$64,MATCH($A140,Mortality_Matrix!$A$4:$A$64,0),MATCH(2085,Mortality_Matrix!$B$3:$BS$3,0)))/INDEX(Mortality_Matrix!$B$4:$BS$64,MATCH($A140,Mortality_Matrix!$A$4:$A$64,0),MATCH(2085,Mortality_Matrix!$B$3:$BS$3,0))</f>
        <v>-2.61870413091717E-011</v>
      </c>
      <c r="BX140" s="27" t="n">
        <f aca="false">(BX74-INDEX(Mortality_Matrix!$B$4:$BS$64,MATCH($A140,Mortality_Matrix!$A$4:$A$64,0),MATCH(2086,Mortality_Matrix!$B$3:$BS$3,0)))/INDEX(Mortality_Matrix!$B$4:$BS$64,MATCH($A140,Mortality_Matrix!$A$4:$A$64,0),MATCH(2086,Mortality_Matrix!$B$3:$BS$3,0))</f>
        <v>-2.61870413091717E-011</v>
      </c>
      <c r="BY140" s="27" t="n">
        <f aca="false">(BY74-INDEX(Mortality_Matrix!$B$4:$BS$64,MATCH($A140,Mortality_Matrix!$A$4:$A$64,0),MATCH(2087,Mortality_Matrix!$B$3:$BS$3,0)))/INDEX(Mortality_Matrix!$B$4:$BS$64,MATCH($A140,Mortality_Matrix!$A$4:$A$64,0),MATCH(2087,Mortality_Matrix!$B$3:$BS$3,0))</f>
        <v>-2.61870413091717E-011</v>
      </c>
      <c r="BZ140" s="27" t="n">
        <f aca="false">(BZ74-INDEX(Mortality_Matrix!$B$4:$BS$64,MATCH($A140,Mortality_Matrix!$A$4:$A$64,0),MATCH(2088,Mortality_Matrix!$B$3:$BS$3,0)))/INDEX(Mortality_Matrix!$B$4:$BS$64,MATCH($A140,Mortality_Matrix!$A$4:$A$64,0),MATCH(2088,Mortality_Matrix!$B$3:$BS$3,0))</f>
        <v>-2.61870413091717E-011</v>
      </c>
      <c r="CA140" s="27" t="n">
        <f aca="false">(CA74-INDEX(Mortality_Matrix!$B$4:$BS$64,MATCH($A140,Mortality_Matrix!$A$4:$A$64,0),MATCH(2089,Mortality_Matrix!$B$3:$BS$3,0)))/INDEX(Mortality_Matrix!$B$4:$BS$64,MATCH($A140,Mortality_Matrix!$A$4:$A$64,0),MATCH(2089,Mortality_Matrix!$B$3:$BS$3,0))</f>
        <v>-2.61870413091717E-011</v>
      </c>
      <c r="CB140" s="27" t="n">
        <f aca="false">(CB74-INDEX(Mortality_Matrix!$B$4:$BS$64,MATCH($A140,Mortality_Matrix!$A$4:$A$64,0),MATCH(2090,Mortality_Matrix!$B$3:$BS$3,0)))/INDEX(Mortality_Matrix!$B$4:$BS$64,MATCH($A140,Mortality_Matrix!$A$4:$A$64,0),MATCH(2090,Mortality_Matrix!$B$3:$BS$3,0))</f>
        <v>-2.61870413091717E-011</v>
      </c>
      <c r="CC140" s="27" t="n">
        <f aca="false">(CC74-INDEX(Mortality_Matrix!$B$4:$BS$64,MATCH($A140,Mortality_Matrix!$A$4:$A$64,0),MATCH(2091,Mortality_Matrix!$B$3:$BS$3,0)))/INDEX(Mortality_Matrix!$B$4:$BS$64,MATCH($A140,Mortality_Matrix!$A$4:$A$64,0),MATCH(2091,Mortality_Matrix!$B$3:$BS$3,0))</f>
        <v>-2.61870413091717E-011</v>
      </c>
    </row>
    <row r="141" customFormat="false" ht="15" hidden="false" customHeight="true" outlineLevel="0" collapsed="false">
      <c r="A141" s="3" t="n">
        <v>112</v>
      </c>
      <c r="L141" s="27" t="n">
        <f aca="false">(L75-INDEX(Mortality_Matrix!$B$4:$BS$64,MATCH($A141,Mortality_Matrix!$A$4:$A$64,0),MATCH(2022,Mortality_Matrix!$B$3:$BS$3,0)))/INDEX(Mortality_Matrix!$B$4:$BS$64,MATCH($A141,Mortality_Matrix!$A$4:$A$64,0),MATCH(2022,Mortality_Matrix!$B$3:$BS$3,0))</f>
        <v>8.33689219833742E-011</v>
      </c>
      <c r="M141" s="27" t="n">
        <f aca="false">(M75-INDEX(Mortality_Matrix!$B$4:$BS$64,MATCH($A141,Mortality_Matrix!$A$4:$A$64,0),MATCH(2023,Mortality_Matrix!$B$3:$BS$3,0)))/INDEX(Mortality_Matrix!$B$4:$BS$64,MATCH($A141,Mortality_Matrix!$A$4:$A$64,0),MATCH(2023,Mortality_Matrix!$B$3:$BS$3,0))</f>
        <v>-9.8894424120748E-011</v>
      </c>
      <c r="N141" s="27" t="n">
        <f aca="false">(N75-INDEX(Mortality_Matrix!$B$4:$BS$64,MATCH($A141,Mortality_Matrix!$A$4:$A$64,0),MATCH(2024,Mortality_Matrix!$B$3:$BS$3,0)))/INDEX(Mortality_Matrix!$B$4:$BS$64,MATCH($A141,Mortality_Matrix!$A$4:$A$64,0),MATCH(2024,Mortality_Matrix!$B$3:$BS$3,0))</f>
        <v>2.5847374330055E-011</v>
      </c>
      <c r="O141" s="27" t="n">
        <f aca="false">(O75-INDEX(Mortality_Matrix!$B$4:$BS$64,MATCH($A141,Mortality_Matrix!$A$4:$A$64,0),MATCH(2025,Mortality_Matrix!$B$3:$BS$3,0)))/INDEX(Mortality_Matrix!$B$4:$BS$64,MATCH($A141,Mortality_Matrix!$A$4:$A$64,0),MATCH(2025,Mortality_Matrix!$B$3:$BS$3,0))</f>
        <v>9.92250635320279E-011</v>
      </c>
      <c r="P141" s="27" t="n">
        <f aca="false">(P75-INDEX(Mortality_Matrix!$B$4:$BS$64,MATCH($A141,Mortality_Matrix!$A$4:$A$64,0),MATCH(2026,Mortality_Matrix!$B$3:$BS$3,0)))/INDEX(Mortality_Matrix!$B$4:$BS$64,MATCH($A141,Mortality_Matrix!$A$4:$A$64,0),MATCH(2026,Mortality_Matrix!$B$3:$BS$3,0))</f>
        <v>-1.85544053580536E-011</v>
      </c>
      <c r="Q141" s="27" t="n">
        <f aca="false">(Q75-INDEX(Mortality_Matrix!$B$4:$BS$64,MATCH($A141,Mortality_Matrix!$A$4:$A$64,0),MATCH(2027,Mortality_Matrix!$B$3:$BS$3,0)))/INDEX(Mortality_Matrix!$B$4:$BS$64,MATCH($A141,Mortality_Matrix!$A$4:$A$64,0),MATCH(2027,Mortality_Matrix!$B$3:$BS$3,0))</f>
        <v>-1.85544053580536E-011</v>
      </c>
      <c r="R141" s="27" t="n">
        <f aca="false">(R75-INDEX(Mortality_Matrix!$B$4:$BS$64,MATCH($A141,Mortality_Matrix!$A$4:$A$64,0),MATCH(2028,Mortality_Matrix!$B$3:$BS$3,0)))/INDEX(Mortality_Matrix!$B$4:$BS$64,MATCH($A141,Mortality_Matrix!$A$4:$A$64,0),MATCH(2028,Mortality_Matrix!$B$3:$BS$3,0))</f>
        <v>-1.85544053580536E-011</v>
      </c>
      <c r="S141" s="27" t="n">
        <f aca="false">(S75-INDEX(Mortality_Matrix!$B$4:$BS$64,MATCH($A141,Mortality_Matrix!$A$4:$A$64,0),MATCH(2029,Mortality_Matrix!$B$3:$BS$3,0)))/INDEX(Mortality_Matrix!$B$4:$BS$64,MATCH($A141,Mortality_Matrix!$A$4:$A$64,0),MATCH(2029,Mortality_Matrix!$B$3:$BS$3,0))</f>
        <v>-1.85544053580536E-011</v>
      </c>
      <c r="T141" s="27" t="n">
        <f aca="false">(T75-INDEX(Mortality_Matrix!$B$4:$BS$64,MATCH($A141,Mortality_Matrix!$A$4:$A$64,0),MATCH(2030,Mortality_Matrix!$B$3:$BS$3,0)))/INDEX(Mortality_Matrix!$B$4:$BS$64,MATCH($A141,Mortality_Matrix!$A$4:$A$64,0),MATCH(2030,Mortality_Matrix!$B$3:$BS$3,0))</f>
        <v>-1.85544053580536E-011</v>
      </c>
      <c r="U141" s="27" t="n">
        <f aca="false">(U75-INDEX(Mortality_Matrix!$B$4:$BS$64,MATCH($A141,Mortality_Matrix!$A$4:$A$64,0),MATCH(2031,Mortality_Matrix!$B$3:$BS$3,0)))/INDEX(Mortality_Matrix!$B$4:$BS$64,MATCH($A141,Mortality_Matrix!$A$4:$A$64,0),MATCH(2031,Mortality_Matrix!$B$3:$BS$3,0))</f>
        <v>-1.85544053580536E-011</v>
      </c>
      <c r="V141" s="27" t="n">
        <f aca="false">(V75-INDEX(Mortality_Matrix!$B$4:$BS$64,MATCH($A141,Mortality_Matrix!$A$4:$A$64,0),MATCH(2032,Mortality_Matrix!$B$3:$BS$3,0)))/INDEX(Mortality_Matrix!$B$4:$BS$64,MATCH($A141,Mortality_Matrix!$A$4:$A$64,0),MATCH(2032,Mortality_Matrix!$B$3:$BS$3,0))</f>
        <v>-1.85544053580536E-011</v>
      </c>
      <c r="W141" s="27" t="n">
        <f aca="false">(W75-INDEX(Mortality_Matrix!$B$4:$BS$64,MATCH($A141,Mortality_Matrix!$A$4:$A$64,0),MATCH(2033,Mortality_Matrix!$B$3:$BS$3,0)))/INDEX(Mortality_Matrix!$B$4:$BS$64,MATCH($A141,Mortality_Matrix!$A$4:$A$64,0),MATCH(2033,Mortality_Matrix!$B$3:$BS$3,0))</f>
        <v>-1.85544053580536E-011</v>
      </c>
      <c r="X141" s="27" t="n">
        <f aca="false">(X75-INDEX(Mortality_Matrix!$B$4:$BS$64,MATCH($A141,Mortality_Matrix!$A$4:$A$64,0),MATCH(2034,Mortality_Matrix!$B$3:$BS$3,0)))/INDEX(Mortality_Matrix!$B$4:$BS$64,MATCH($A141,Mortality_Matrix!$A$4:$A$64,0),MATCH(2034,Mortality_Matrix!$B$3:$BS$3,0))</f>
        <v>-1.85544053580536E-011</v>
      </c>
      <c r="Y141" s="27" t="n">
        <f aca="false">(Y75-INDEX(Mortality_Matrix!$B$4:$BS$64,MATCH($A141,Mortality_Matrix!$A$4:$A$64,0),MATCH(2035,Mortality_Matrix!$B$3:$BS$3,0)))/INDEX(Mortality_Matrix!$B$4:$BS$64,MATCH($A141,Mortality_Matrix!$A$4:$A$64,0),MATCH(2035,Mortality_Matrix!$B$3:$BS$3,0))</f>
        <v>-1.85544053580536E-011</v>
      </c>
      <c r="Z141" s="27" t="n">
        <f aca="false">(Z75-INDEX(Mortality_Matrix!$B$4:$BS$64,MATCH($A141,Mortality_Matrix!$A$4:$A$64,0),MATCH(2036,Mortality_Matrix!$B$3:$BS$3,0)))/INDEX(Mortality_Matrix!$B$4:$BS$64,MATCH($A141,Mortality_Matrix!$A$4:$A$64,0),MATCH(2036,Mortality_Matrix!$B$3:$BS$3,0))</f>
        <v>-1.85544053580536E-011</v>
      </c>
      <c r="AA141" s="27" t="n">
        <f aca="false">(AA75-INDEX(Mortality_Matrix!$B$4:$BS$64,MATCH($A141,Mortality_Matrix!$A$4:$A$64,0),MATCH(2037,Mortality_Matrix!$B$3:$BS$3,0)))/INDEX(Mortality_Matrix!$B$4:$BS$64,MATCH($A141,Mortality_Matrix!$A$4:$A$64,0),MATCH(2037,Mortality_Matrix!$B$3:$BS$3,0))</f>
        <v>-1.85544053580536E-011</v>
      </c>
      <c r="AB141" s="27" t="n">
        <f aca="false">(AB75-INDEX(Mortality_Matrix!$B$4:$BS$64,MATCH($A141,Mortality_Matrix!$A$4:$A$64,0),MATCH(2038,Mortality_Matrix!$B$3:$BS$3,0)))/INDEX(Mortality_Matrix!$B$4:$BS$64,MATCH($A141,Mortality_Matrix!$A$4:$A$64,0),MATCH(2038,Mortality_Matrix!$B$3:$BS$3,0))</f>
        <v>-1.85544053580536E-011</v>
      </c>
      <c r="AC141" s="27" t="n">
        <f aca="false">(AC75-INDEX(Mortality_Matrix!$B$4:$BS$64,MATCH($A141,Mortality_Matrix!$A$4:$A$64,0),MATCH(2039,Mortality_Matrix!$B$3:$BS$3,0)))/INDEX(Mortality_Matrix!$B$4:$BS$64,MATCH($A141,Mortality_Matrix!$A$4:$A$64,0),MATCH(2039,Mortality_Matrix!$B$3:$BS$3,0))</f>
        <v>-1.85544053580536E-011</v>
      </c>
      <c r="AD141" s="27" t="n">
        <f aca="false">(AD75-INDEX(Mortality_Matrix!$B$4:$BS$64,MATCH($A141,Mortality_Matrix!$A$4:$A$64,0),MATCH(2040,Mortality_Matrix!$B$3:$BS$3,0)))/INDEX(Mortality_Matrix!$B$4:$BS$64,MATCH($A141,Mortality_Matrix!$A$4:$A$64,0),MATCH(2040,Mortality_Matrix!$B$3:$BS$3,0))</f>
        <v>-1.85544053580536E-011</v>
      </c>
      <c r="AE141" s="27" t="n">
        <f aca="false">(AE75-INDEX(Mortality_Matrix!$B$4:$BS$64,MATCH($A141,Mortality_Matrix!$A$4:$A$64,0),MATCH(2041,Mortality_Matrix!$B$3:$BS$3,0)))/INDEX(Mortality_Matrix!$B$4:$BS$64,MATCH($A141,Mortality_Matrix!$A$4:$A$64,0),MATCH(2041,Mortality_Matrix!$B$3:$BS$3,0))</f>
        <v>-1.85544053580536E-011</v>
      </c>
      <c r="AF141" s="27" t="n">
        <f aca="false">(AF75-INDEX(Mortality_Matrix!$B$4:$BS$64,MATCH($A141,Mortality_Matrix!$A$4:$A$64,0),MATCH(2042,Mortality_Matrix!$B$3:$BS$3,0)))/INDEX(Mortality_Matrix!$B$4:$BS$64,MATCH($A141,Mortality_Matrix!$A$4:$A$64,0),MATCH(2042,Mortality_Matrix!$B$3:$BS$3,0))</f>
        <v>-1.85544053580536E-011</v>
      </c>
      <c r="AG141" s="27" t="n">
        <f aca="false">(AG75-INDEX(Mortality_Matrix!$B$4:$BS$64,MATCH($A141,Mortality_Matrix!$A$4:$A$64,0),MATCH(2043,Mortality_Matrix!$B$3:$BS$3,0)))/INDEX(Mortality_Matrix!$B$4:$BS$64,MATCH($A141,Mortality_Matrix!$A$4:$A$64,0),MATCH(2043,Mortality_Matrix!$B$3:$BS$3,0))</f>
        <v>-1.85544053580536E-011</v>
      </c>
      <c r="AH141" s="27" t="n">
        <f aca="false">(AH75-INDEX(Mortality_Matrix!$B$4:$BS$64,MATCH($A141,Mortality_Matrix!$A$4:$A$64,0),MATCH(2044,Mortality_Matrix!$B$3:$BS$3,0)))/INDEX(Mortality_Matrix!$B$4:$BS$64,MATCH($A141,Mortality_Matrix!$A$4:$A$64,0),MATCH(2044,Mortality_Matrix!$B$3:$BS$3,0))</f>
        <v>-1.85544053580536E-011</v>
      </c>
      <c r="AI141" s="27" t="n">
        <f aca="false">(AI75-INDEX(Mortality_Matrix!$B$4:$BS$64,MATCH($A141,Mortality_Matrix!$A$4:$A$64,0),MATCH(2045,Mortality_Matrix!$B$3:$BS$3,0)))/INDEX(Mortality_Matrix!$B$4:$BS$64,MATCH($A141,Mortality_Matrix!$A$4:$A$64,0),MATCH(2045,Mortality_Matrix!$B$3:$BS$3,0))</f>
        <v>-1.85544053580536E-011</v>
      </c>
      <c r="AJ141" s="27" t="n">
        <f aca="false">(AJ75-INDEX(Mortality_Matrix!$B$4:$BS$64,MATCH($A141,Mortality_Matrix!$A$4:$A$64,0),MATCH(2046,Mortality_Matrix!$B$3:$BS$3,0)))/INDEX(Mortality_Matrix!$B$4:$BS$64,MATCH($A141,Mortality_Matrix!$A$4:$A$64,0),MATCH(2046,Mortality_Matrix!$B$3:$BS$3,0))</f>
        <v>-1.85544053580536E-011</v>
      </c>
      <c r="AK141" s="27" t="n">
        <f aca="false">(AK75-INDEX(Mortality_Matrix!$B$4:$BS$64,MATCH($A141,Mortality_Matrix!$A$4:$A$64,0),MATCH(2047,Mortality_Matrix!$B$3:$BS$3,0)))/INDEX(Mortality_Matrix!$B$4:$BS$64,MATCH($A141,Mortality_Matrix!$A$4:$A$64,0),MATCH(2047,Mortality_Matrix!$B$3:$BS$3,0))</f>
        <v>-1.85544053580536E-011</v>
      </c>
      <c r="AL141" s="27" t="n">
        <f aca="false">(AL75-INDEX(Mortality_Matrix!$B$4:$BS$64,MATCH($A141,Mortality_Matrix!$A$4:$A$64,0),MATCH(2048,Mortality_Matrix!$B$3:$BS$3,0)))/INDEX(Mortality_Matrix!$B$4:$BS$64,MATCH($A141,Mortality_Matrix!$A$4:$A$64,0),MATCH(2048,Mortality_Matrix!$B$3:$BS$3,0))</f>
        <v>-1.85544053580536E-011</v>
      </c>
      <c r="AM141" s="27" t="n">
        <f aca="false">(AM75-INDEX(Mortality_Matrix!$B$4:$BS$64,MATCH($A141,Mortality_Matrix!$A$4:$A$64,0),MATCH(2049,Mortality_Matrix!$B$3:$BS$3,0)))/INDEX(Mortality_Matrix!$B$4:$BS$64,MATCH($A141,Mortality_Matrix!$A$4:$A$64,0),MATCH(2049,Mortality_Matrix!$B$3:$BS$3,0))</f>
        <v>-1.85544053580536E-011</v>
      </c>
      <c r="AN141" s="27" t="n">
        <f aca="false">(AN75-INDEX(Mortality_Matrix!$B$4:$BS$64,MATCH($A141,Mortality_Matrix!$A$4:$A$64,0),MATCH(2050,Mortality_Matrix!$B$3:$BS$3,0)))/INDEX(Mortality_Matrix!$B$4:$BS$64,MATCH($A141,Mortality_Matrix!$A$4:$A$64,0),MATCH(2050,Mortality_Matrix!$B$3:$BS$3,0))</f>
        <v>-1.85544053580536E-011</v>
      </c>
      <c r="AO141" s="27" t="n">
        <f aca="false">(AO75-INDEX(Mortality_Matrix!$B$4:$BS$64,MATCH($A141,Mortality_Matrix!$A$4:$A$64,0),MATCH(2051,Mortality_Matrix!$B$3:$BS$3,0)))/INDEX(Mortality_Matrix!$B$4:$BS$64,MATCH($A141,Mortality_Matrix!$A$4:$A$64,0),MATCH(2051,Mortality_Matrix!$B$3:$BS$3,0))</f>
        <v>-1.85544053580536E-011</v>
      </c>
      <c r="AP141" s="27" t="n">
        <f aca="false">(AP75-INDEX(Mortality_Matrix!$B$4:$BS$64,MATCH($A141,Mortality_Matrix!$A$4:$A$64,0),MATCH(2052,Mortality_Matrix!$B$3:$BS$3,0)))/INDEX(Mortality_Matrix!$B$4:$BS$64,MATCH($A141,Mortality_Matrix!$A$4:$A$64,0),MATCH(2052,Mortality_Matrix!$B$3:$BS$3,0))</f>
        <v>-1.85544053580536E-011</v>
      </c>
      <c r="AQ141" s="27" t="n">
        <f aca="false">(AQ75-INDEX(Mortality_Matrix!$B$4:$BS$64,MATCH($A141,Mortality_Matrix!$A$4:$A$64,0),MATCH(2053,Mortality_Matrix!$B$3:$BS$3,0)))/INDEX(Mortality_Matrix!$B$4:$BS$64,MATCH($A141,Mortality_Matrix!$A$4:$A$64,0),MATCH(2053,Mortality_Matrix!$B$3:$BS$3,0))</f>
        <v>-1.85544053580536E-011</v>
      </c>
      <c r="AR141" s="27" t="n">
        <f aca="false">(AR75-INDEX(Mortality_Matrix!$B$4:$BS$64,MATCH($A141,Mortality_Matrix!$A$4:$A$64,0),MATCH(2054,Mortality_Matrix!$B$3:$BS$3,0)))/INDEX(Mortality_Matrix!$B$4:$BS$64,MATCH($A141,Mortality_Matrix!$A$4:$A$64,0),MATCH(2054,Mortality_Matrix!$B$3:$BS$3,0))</f>
        <v>-1.85544053580536E-011</v>
      </c>
      <c r="AS141" s="27" t="n">
        <f aca="false">(AS75-INDEX(Mortality_Matrix!$B$4:$BS$64,MATCH($A141,Mortality_Matrix!$A$4:$A$64,0),MATCH(2055,Mortality_Matrix!$B$3:$BS$3,0)))/INDEX(Mortality_Matrix!$B$4:$BS$64,MATCH($A141,Mortality_Matrix!$A$4:$A$64,0),MATCH(2055,Mortality_Matrix!$B$3:$BS$3,0))</f>
        <v>-1.85544053580536E-011</v>
      </c>
      <c r="AT141" s="27" t="n">
        <f aca="false">(AT75-INDEX(Mortality_Matrix!$B$4:$BS$64,MATCH($A141,Mortality_Matrix!$A$4:$A$64,0),MATCH(2056,Mortality_Matrix!$B$3:$BS$3,0)))/INDEX(Mortality_Matrix!$B$4:$BS$64,MATCH($A141,Mortality_Matrix!$A$4:$A$64,0),MATCH(2056,Mortality_Matrix!$B$3:$BS$3,0))</f>
        <v>-1.85544053580536E-011</v>
      </c>
      <c r="AU141" s="27" t="n">
        <f aca="false">(AU75-INDEX(Mortality_Matrix!$B$4:$BS$64,MATCH($A141,Mortality_Matrix!$A$4:$A$64,0),MATCH(2057,Mortality_Matrix!$B$3:$BS$3,0)))/INDEX(Mortality_Matrix!$B$4:$BS$64,MATCH($A141,Mortality_Matrix!$A$4:$A$64,0),MATCH(2057,Mortality_Matrix!$B$3:$BS$3,0))</f>
        <v>-1.85544053580536E-011</v>
      </c>
      <c r="AV141" s="27" t="n">
        <f aca="false">(AV75-INDEX(Mortality_Matrix!$B$4:$BS$64,MATCH($A141,Mortality_Matrix!$A$4:$A$64,0),MATCH(2058,Mortality_Matrix!$B$3:$BS$3,0)))/INDEX(Mortality_Matrix!$B$4:$BS$64,MATCH($A141,Mortality_Matrix!$A$4:$A$64,0),MATCH(2058,Mortality_Matrix!$B$3:$BS$3,0))</f>
        <v>-1.85544053580536E-011</v>
      </c>
      <c r="AW141" s="27" t="n">
        <f aca="false">(AW75-INDEX(Mortality_Matrix!$B$4:$BS$64,MATCH($A141,Mortality_Matrix!$A$4:$A$64,0),MATCH(2059,Mortality_Matrix!$B$3:$BS$3,0)))/INDEX(Mortality_Matrix!$B$4:$BS$64,MATCH($A141,Mortality_Matrix!$A$4:$A$64,0),MATCH(2059,Mortality_Matrix!$B$3:$BS$3,0))</f>
        <v>-1.85544053580536E-011</v>
      </c>
      <c r="AX141" s="27" t="n">
        <f aca="false">(AX75-INDEX(Mortality_Matrix!$B$4:$BS$64,MATCH($A141,Mortality_Matrix!$A$4:$A$64,0),MATCH(2060,Mortality_Matrix!$B$3:$BS$3,0)))/INDEX(Mortality_Matrix!$B$4:$BS$64,MATCH($A141,Mortality_Matrix!$A$4:$A$64,0),MATCH(2060,Mortality_Matrix!$B$3:$BS$3,0))</f>
        <v>-1.85544053580536E-011</v>
      </c>
      <c r="AY141" s="27" t="n">
        <f aca="false">(AY75-INDEX(Mortality_Matrix!$B$4:$BS$64,MATCH($A141,Mortality_Matrix!$A$4:$A$64,0),MATCH(2061,Mortality_Matrix!$B$3:$BS$3,0)))/INDEX(Mortality_Matrix!$B$4:$BS$64,MATCH($A141,Mortality_Matrix!$A$4:$A$64,0),MATCH(2061,Mortality_Matrix!$B$3:$BS$3,0))</f>
        <v>-1.85544053580536E-011</v>
      </c>
      <c r="AZ141" s="27" t="n">
        <f aca="false">(AZ75-INDEX(Mortality_Matrix!$B$4:$BS$64,MATCH($A141,Mortality_Matrix!$A$4:$A$64,0),MATCH(2062,Mortality_Matrix!$B$3:$BS$3,0)))/INDEX(Mortality_Matrix!$B$4:$BS$64,MATCH($A141,Mortality_Matrix!$A$4:$A$64,0),MATCH(2062,Mortality_Matrix!$B$3:$BS$3,0))</f>
        <v>-1.85544053580536E-011</v>
      </c>
      <c r="BA141" s="27" t="n">
        <f aca="false">(BA75-INDEX(Mortality_Matrix!$B$4:$BS$64,MATCH($A141,Mortality_Matrix!$A$4:$A$64,0),MATCH(2063,Mortality_Matrix!$B$3:$BS$3,0)))/INDEX(Mortality_Matrix!$B$4:$BS$64,MATCH($A141,Mortality_Matrix!$A$4:$A$64,0),MATCH(2063,Mortality_Matrix!$B$3:$BS$3,0))</f>
        <v>-1.85544053580536E-011</v>
      </c>
      <c r="BB141" s="27" t="n">
        <f aca="false">(BB75-INDEX(Mortality_Matrix!$B$4:$BS$64,MATCH($A141,Mortality_Matrix!$A$4:$A$64,0),MATCH(2064,Mortality_Matrix!$B$3:$BS$3,0)))/INDEX(Mortality_Matrix!$B$4:$BS$64,MATCH($A141,Mortality_Matrix!$A$4:$A$64,0),MATCH(2064,Mortality_Matrix!$B$3:$BS$3,0))</f>
        <v>-1.85544053580536E-011</v>
      </c>
      <c r="BC141" s="27" t="n">
        <f aca="false">(BC75-INDEX(Mortality_Matrix!$B$4:$BS$64,MATCH($A141,Mortality_Matrix!$A$4:$A$64,0),MATCH(2065,Mortality_Matrix!$B$3:$BS$3,0)))/INDEX(Mortality_Matrix!$B$4:$BS$64,MATCH($A141,Mortality_Matrix!$A$4:$A$64,0),MATCH(2065,Mortality_Matrix!$B$3:$BS$3,0))</f>
        <v>-1.85544053580536E-011</v>
      </c>
      <c r="BD141" s="27" t="n">
        <f aca="false">(BD75-INDEX(Mortality_Matrix!$B$4:$BS$64,MATCH($A141,Mortality_Matrix!$A$4:$A$64,0),MATCH(2066,Mortality_Matrix!$B$3:$BS$3,0)))/INDEX(Mortality_Matrix!$B$4:$BS$64,MATCH($A141,Mortality_Matrix!$A$4:$A$64,0),MATCH(2066,Mortality_Matrix!$B$3:$BS$3,0))</f>
        <v>-1.85544053580536E-011</v>
      </c>
      <c r="BE141" s="27" t="n">
        <f aca="false">(BE75-INDEX(Mortality_Matrix!$B$4:$BS$64,MATCH($A141,Mortality_Matrix!$A$4:$A$64,0),MATCH(2067,Mortality_Matrix!$B$3:$BS$3,0)))/INDEX(Mortality_Matrix!$B$4:$BS$64,MATCH($A141,Mortality_Matrix!$A$4:$A$64,0),MATCH(2067,Mortality_Matrix!$B$3:$BS$3,0))</f>
        <v>-1.85544053580536E-011</v>
      </c>
      <c r="BF141" s="27" t="n">
        <f aca="false">(BF75-INDEX(Mortality_Matrix!$B$4:$BS$64,MATCH($A141,Mortality_Matrix!$A$4:$A$64,0),MATCH(2068,Mortality_Matrix!$B$3:$BS$3,0)))/INDEX(Mortality_Matrix!$B$4:$BS$64,MATCH($A141,Mortality_Matrix!$A$4:$A$64,0),MATCH(2068,Mortality_Matrix!$B$3:$BS$3,0))</f>
        <v>-1.85544053580536E-011</v>
      </c>
      <c r="BG141" s="27" t="n">
        <f aca="false">(BG75-INDEX(Mortality_Matrix!$B$4:$BS$64,MATCH($A141,Mortality_Matrix!$A$4:$A$64,0),MATCH(2069,Mortality_Matrix!$B$3:$BS$3,0)))/INDEX(Mortality_Matrix!$B$4:$BS$64,MATCH($A141,Mortality_Matrix!$A$4:$A$64,0),MATCH(2069,Mortality_Matrix!$B$3:$BS$3,0))</f>
        <v>-1.85544053580536E-011</v>
      </c>
      <c r="BH141" s="27" t="n">
        <f aca="false">(BH75-INDEX(Mortality_Matrix!$B$4:$BS$64,MATCH($A141,Mortality_Matrix!$A$4:$A$64,0),MATCH(2070,Mortality_Matrix!$B$3:$BS$3,0)))/INDEX(Mortality_Matrix!$B$4:$BS$64,MATCH($A141,Mortality_Matrix!$A$4:$A$64,0),MATCH(2070,Mortality_Matrix!$B$3:$BS$3,0))</f>
        <v>-1.85544053580536E-011</v>
      </c>
      <c r="BI141" s="27" t="n">
        <f aca="false">(BI75-INDEX(Mortality_Matrix!$B$4:$BS$64,MATCH($A141,Mortality_Matrix!$A$4:$A$64,0),MATCH(2071,Mortality_Matrix!$B$3:$BS$3,0)))/INDEX(Mortality_Matrix!$B$4:$BS$64,MATCH($A141,Mortality_Matrix!$A$4:$A$64,0),MATCH(2071,Mortality_Matrix!$B$3:$BS$3,0))</f>
        <v>-1.85544053580536E-011</v>
      </c>
      <c r="BJ141" s="27" t="n">
        <f aca="false">(BJ75-INDEX(Mortality_Matrix!$B$4:$BS$64,MATCH($A141,Mortality_Matrix!$A$4:$A$64,0),MATCH(2072,Mortality_Matrix!$B$3:$BS$3,0)))/INDEX(Mortality_Matrix!$B$4:$BS$64,MATCH($A141,Mortality_Matrix!$A$4:$A$64,0),MATCH(2072,Mortality_Matrix!$B$3:$BS$3,0))</f>
        <v>-1.85544053580536E-011</v>
      </c>
      <c r="BK141" s="27" t="n">
        <f aca="false">(BK75-INDEX(Mortality_Matrix!$B$4:$BS$64,MATCH($A141,Mortality_Matrix!$A$4:$A$64,0),MATCH(2073,Mortality_Matrix!$B$3:$BS$3,0)))/INDEX(Mortality_Matrix!$B$4:$BS$64,MATCH($A141,Mortality_Matrix!$A$4:$A$64,0),MATCH(2073,Mortality_Matrix!$B$3:$BS$3,0))</f>
        <v>-1.85544053580536E-011</v>
      </c>
      <c r="BL141" s="27" t="n">
        <f aca="false">(BL75-INDEX(Mortality_Matrix!$B$4:$BS$64,MATCH($A141,Mortality_Matrix!$A$4:$A$64,0),MATCH(2074,Mortality_Matrix!$B$3:$BS$3,0)))/INDEX(Mortality_Matrix!$B$4:$BS$64,MATCH($A141,Mortality_Matrix!$A$4:$A$64,0),MATCH(2074,Mortality_Matrix!$B$3:$BS$3,0))</f>
        <v>-1.85544053580536E-011</v>
      </c>
      <c r="BM141" s="27" t="n">
        <f aca="false">(BM75-INDEX(Mortality_Matrix!$B$4:$BS$64,MATCH($A141,Mortality_Matrix!$A$4:$A$64,0),MATCH(2075,Mortality_Matrix!$B$3:$BS$3,0)))/INDEX(Mortality_Matrix!$B$4:$BS$64,MATCH($A141,Mortality_Matrix!$A$4:$A$64,0),MATCH(2075,Mortality_Matrix!$B$3:$BS$3,0))</f>
        <v>-1.85544053580536E-011</v>
      </c>
      <c r="BN141" s="27" t="n">
        <f aca="false">(BN75-INDEX(Mortality_Matrix!$B$4:$BS$64,MATCH($A141,Mortality_Matrix!$A$4:$A$64,0),MATCH(2076,Mortality_Matrix!$B$3:$BS$3,0)))/INDEX(Mortality_Matrix!$B$4:$BS$64,MATCH($A141,Mortality_Matrix!$A$4:$A$64,0),MATCH(2076,Mortality_Matrix!$B$3:$BS$3,0))</f>
        <v>-1.85544053580536E-011</v>
      </c>
      <c r="BO141" s="27" t="n">
        <f aca="false">(BO75-INDEX(Mortality_Matrix!$B$4:$BS$64,MATCH($A141,Mortality_Matrix!$A$4:$A$64,0),MATCH(2077,Mortality_Matrix!$B$3:$BS$3,0)))/INDEX(Mortality_Matrix!$B$4:$BS$64,MATCH($A141,Mortality_Matrix!$A$4:$A$64,0),MATCH(2077,Mortality_Matrix!$B$3:$BS$3,0))</f>
        <v>-1.85544053580536E-011</v>
      </c>
      <c r="BP141" s="27" t="n">
        <f aca="false">(BP75-INDEX(Mortality_Matrix!$B$4:$BS$64,MATCH($A141,Mortality_Matrix!$A$4:$A$64,0),MATCH(2078,Mortality_Matrix!$B$3:$BS$3,0)))/INDEX(Mortality_Matrix!$B$4:$BS$64,MATCH($A141,Mortality_Matrix!$A$4:$A$64,0),MATCH(2078,Mortality_Matrix!$B$3:$BS$3,0))</f>
        <v>-1.85544053580536E-011</v>
      </c>
      <c r="BQ141" s="27" t="n">
        <f aca="false">(BQ75-INDEX(Mortality_Matrix!$B$4:$BS$64,MATCH($A141,Mortality_Matrix!$A$4:$A$64,0),MATCH(2079,Mortality_Matrix!$B$3:$BS$3,0)))/INDEX(Mortality_Matrix!$B$4:$BS$64,MATCH($A141,Mortality_Matrix!$A$4:$A$64,0),MATCH(2079,Mortality_Matrix!$B$3:$BS$3,0))</f>
        <v>-1.85544053580536E-011</v>
      </c>
      <c r="BR141" s="27" t="n">
        <f aca="false">(BR75-INDEX(Mortality_Matrix!$B$4:$BS$64,MATCH($A141,Mortality_Matrix!$A$4:$A$64,0),MATCH(2080,Mortality_Matrix!$B$3:$BS$3,0)))/INDEX(Mortality_Matrix!$B$4:$BS$64,MATCH($A141,Mortality_Matrix!$A$4:$A$64,0),MATCH(2080,Mortality_Matrix!$B$3:$BS$3,0))</f>
        <v>-1.85544053580536E-011</v>
      </c>
      <c r="BS141" s="27" t="n">
        <f aca="false">(BS75-INDEX(Mortality_Matrix!$B$4:$BS$64,MATCH($A141,Mortality_Matrix!$A$4:$A$64,0),MATCH(2081,Mortality_Matrix!$B$3:$BS$3,0)))/INDEX(Mortality_Matrix!$B$4:$BS$64,MATCH($A141,Mortality_Matrix!$A$4:$A$64,0),MATCH(2081,Mortality_Matrix!$B$3:$BS$3,0))</f>
        <v>-1.85544053580536E-011</v>
      </c>
      <c r="BT141" s="27" t="n">
        <f aca="false">(BT75-INDEX(Mortality_Matrix!$B$4:$BS$64,MATCH($A141,Mortality_Matrix!$A$4:$A$64,0),MATCH(2082,Mortality_Matrix!$B$3:$BS$3,0)))/INDEX(Mortality_Matrix!$B$4:$BS$64,MATCH($A141,Mortality_Matrix!$A$4:$A$64,0),MATCH(2082,Mortality_Matrix!$B$3:$BS$3,0))</f>
        <v>-1.85544053580536E-011</v>
      </c>
      <c r="BU141" s="27" t="n">
        <f aca="false">(BU75-INDEX(Mortality_Matrix!$B$4:$BS$64,MATCH($A141,Mortality_Matrix!$A$4:$A$64,0),MATCH(2083,Mortality_Matrix!$B$3:$BS$3,0)))/INDEX(Mortality_Matrix!$B$4:$BS$64,MATCH($A141,Mortality_Matrix!$A$4:$A$64,0),MATCH(2083,Mortality_Matrix!$B$3:$BS$3,0))</f>
        <v>-1.85544053580536E-011</v>
      </c>
      <c r="BV141" s="27" t="n">
        <f aca="false">(BV75-INDEX(Mortality_Matrix!$B$4:$BS$64,MATCH($A141,Mortality_Matrix!$A$4:$A$64,0),MATCH(2084,Mortality_Matrix!$B$3:$BS$3,0)))/INDEX(Mortality_Matrix!$B$4:$BS$64,MATCH($A141,Mortality_Matrix!$A$4:$A$64,0),MATCH(2084,Mortality_Matrix!$B$3:$BS$3,0))</f>
        <v>-1.85544053580536E-011</v>
      </c>
      <c r="BW141" s="27" t="n">
        <f aca="false">(BW75-INDEX(Mortality_Matrix!$B$4:$BS$64,MATCH($A141,Mortality_Matrix!$A$4:$A$64,0),MATCH(2085,Mortality_Matrix!$B$3:$BS$3,0)))/INDEX(Mortality_Matrix!$B$4:$BS$64,MATCH($A141,Mortality_Matrix!$A$4:$A$64,0),MATCH(2085,Mortality_Matrix!$B$3:$BS$3,0))</f>
        <v>-1.85544053580536E-011</v>
      </c>
      <c r="BX141" s="27" t="n">
        <f aca="false">(BX75-INDEX(Mortality_Matrix!$B$4:$BS$64,MATCH($A141,Mortality_Matrix!$A$4:$A$64,0),MATCH(2086,Mortality_Matrix!$B$3:$BS$3,0)))/INDEX(Mortality_Matrix!$B$4:$BS$64,MATCH($A141,Mortality_Matrix!$A$4:$A$64,0),MATCH(2086,Mortality_Matrix!$B$3:$BS$3,0))</f>
        <v>-1.85544053580536E-011</v>
      </c>
      <c r="BY141" s="27" t="n">
        <f aca="false">(BY75-INDEX(Mortality_Matrix!$B$4:$BS$64,MATCH($A141,Mortality_Matrix!$A$4:$A$64,0),MATCH(2087,Mortality_Matrix!$B$3:$BS$3,0)))/INDEX(Mortality_Matrix!$B$4:$BS$64,MATCH($A141,Mortality_Matrix!$A$4:$A$64,0),MATCH(2087,Mortality_Matrix!$B$3:$BS$3,0))</f>
        <v>-1.85544053580536E-011</v>
      </c>
      <c r="BZ141" s="27" t="n">
        <f aca="false">(BZ75-INDEX(Mortality_Matrix!$B$4:$BS$64,MATCH($A141,Mortality_Matrix!$A$4:$A$64,0),MATCH(2088,Mortality_Matrix!$B$3:$BS$3,0)))/INDEX(Mortality_Matrix!$B$4:$BS$64,MATCH($A141,Mortality_Matrix!$A$4:$A$64,0),MATCH(2088,Mortality_Matrix!$B$3:$BS$3,0))</f>
        <v>-1.85544053580536E-011</v>
      </c>
      <c r="CA141" s="27" t="n">
        <f aca="false">(CA75-INDEX(Mortality_Matrix!$B$4:$BS$64,MATCH($A141,Mortality_Matrix!$A$4:$A$64,0),MATCH(2089,Mortality_Matrix!$B$3:$BS$3,0)))/INDEX(Mortality_Matrix!$B$4:$BS$64,MATCH($A141,Mortality_Matrix!$A$4:$A$64,0),MATCH(2089,Mortality_Matrix!$B$3:$BS$3,0))</f>
        <v>-1.85544053580536E-011</v>
      </c>
      <c r="CB141" s="27" t="n">
        <f aca="false">(CB75-INDEX(Mortality_Matrix!$B$4:$BS$64,MATCH($A141,Mortality_Matrix!$A$4:$A$64,0),MATCH(2090,Mortality_Matrix!$B$3:$BS$3,0)))/INDEX(Mortality_Matrix!$B$4:$BS$64,MATCH($A141,Mortality_Matrix!$A$4:$A$64,0),MATCH(2090,Mortality_Matrix!$B$3:$BS$3,0))</f>
        <v>-1.85544053580536E-011</v>
      </c>
      <c r="CC141" s="27" t="n">
        <f aca="false">(CC75-INDEX(Mortality_Matrix!$B$4:$BS$64,MATCH($A141,Mortality_Matrix!$A$4:$A$64,0),MATCH(2091,Mortality_Matrix!$B$3:$BS$3,0)))/INDEX(Mortality_Matrix!$B$4:$BS$64,MATCH($A141,Mortality_Matrix!$A$4:$A$64,0),MATCH(2091,Mortality_Matrix!$B$3:$BS$3,0))</f>
        <v>-1.85544053580536E-011</v>
      </c>
    </row>
    <row r="142" customFormat="false" ht="15" hidden="false" customHeight="true" outlineLevel="0" collapsed="false">
      <c r="A142" s="3" t="n">
        <v>113</v>
      </c>
      <c r="L142" s="27" t="n">
        <f aca="false">(L76-INDEX(Mortality_Matrix!$B$4:$BS$64,MATCH($A142,Mortality_Matrix!$A$4:$A$64,0),MATCH(2022,Mortality_Matrix!$B$3:$BS$3,0)))/INDEX(Mortality_Matrix!$B$4:$BS$64,MATCH($A142,Mortality_Matrix!$A$4:$A$64,0),MATCH(2022,Mortality_Matrix!$B$3:$BS$3,0))</f>
        <v>-7.73705109615378E-011</v>
      </c>
      <c r="M142" s="27" t="n">
        <f aca="false">(M76-INDEX(Mortality_Matrix!$B$4:$BS$64,MATCH($A142,Mortality_Matrix!$A$4:$A$64,0),MATCH(2023,Mortality_Matrix!$B$3:$BS$3,0)))/INDEX(Mortality_Matrix!$B$4:$BS$64,MATCH($A142,Mortality_Matrix!$A$4:$A$64,0),MATCH(2023,Mortality_Matrix!$B$3:$BS$3,0))</f>
        <v>-1.65393118120945E-011</v>
      </c>
      <c r="N142" s="27" t="n">
        <f aca="false">(N76-INDEX(Mortality_Matrix!$B$4:$BS$64,MATCH($A142,Mortality_Matrix!$A$4:$A$64,0),MATCH(2024,Mortality_Matrix!$B$3:$BS$3,0)))/INDEX(Mortality_Matrix!$B$4:$BS$64,MATCH($A142,Mortality_Matrix!$A$4:$A$64,0),MATCH(2024,Mortality_Matrix!$B$3:$BS$3,0))</f>
        <v>-6.32365219742012E-011</v>
      </c>
      <c r="O142" s="27" t="n">
        <f aca="false">(O76-INDEX(Mortality_Matrix!$B$4:$BS$64,MATCH($A142,Mortality_Matrix!$A$4:$A$64,0),MATCH(2025,Mortality_Matrix!$B$3:$BS$3,0)))/INDEX(Mortality_Matrix!$B$4:$BS$64,MATCH($A142,Mortality_Matrix!$A$4:$A$64,0),MATCH(2025,Mortality_Matrix!$B$3:$BS$3,0))</f>
        <v>9.79849879164198E-011</v>
      </c>
      <c r="P142" s="27" t="n">
        <f aca="false">(P76-INDEX(Mortality_Matrix!$B$4:$BS$64,MATCH($A142,Mortality_Matrix!$A$4:$A$64,0),MATCH(2026,Mortality_Matrix!$B$3:$BS$3,0)))/INDEX(Mortality_Matrix!$B$4:$BS$64,MATCH($A142,Mortality_Matrix!$A$4:$A$64,0),MATCH(2026,Mortality_Matrix!$B$3:$BS$3,0))</f>
        <v>-1.82516299426713E-011</v>
      </c>
      <c r="Q142" s="27" t="n">
        <f aca="false">(Q76-INDEX(Mortality_Matrix!$B$4:$BS$64,MATCH($A142,Mortality_Matrix!$A$4:$A$64,0),MATCH(2027,Mortality_Matrix!$B$3:$BS$3,0)))/INDEX(Mortality_Matrix!$B$4:$BS$64,MATCH($A142,Mortality_Matrix!$A$4:$A$64,0),MATCH(2027,Mortality_Matrix!$B$3:$BS$3,0))</f>
        <v>-1.82516299426713E-011</v>
      </c>
      <c r="R142" s="27" t="n">
        <f aca="false">(R76-INDEX(Mortality_Matrix!$B$4:$BS$64,MATCH($A142,Mortality_Matrix!$A$4:$A$64,0),MATCH(2028,Mortality_Matrix!$B$3:$BS$3,0)))/INDEX(Mortality_Matrix!$B$4:$BS$64,MATCH($A142,Mortality_Matrix!$A$4:$A$64,0),MATCH(2028,Mortality_Matrix!$B$3:$BS$3,0))</f>
        <v>-1.82516299426713E-011</v>
      </c>
      <c r="S142" s="27" t="n">
        <f aca="false">(S76-INDEX(Mortality_Matrix!$B$4:$BS$64,MATCH($A142,Mortality_Matrix!$A$4:$A$64,0),MATCH(2029,Mortality_Matrix!$B$3:$BS$3,0)))/INDEX(Mortality_Matrix!$B$4:$BS$64,MATCH($A142,Mortality_Matrix!$A$4:$A$64,0),MATCH(2029,Mortality_Matrix!$B$3:$BS$3,0))</f>
        <v>-1.82516299426713E-011</v>
      </c>
      <c r="T142" s="27" t="n">
        <f aca="false">(T76-INDEX(Mortality_Matrix!$B$4:$BS$64,MATCH($A142,Mortality_Matrix!$A$4:$A$64,0),MATCH(2030,Mortality_Matrix!$B$3:$BS$3,0)))/INDEX(Mortality_Matrix!$B$4:$BS$64,MATCH($A142,Mortality_Matrix!$A$4:$A$64,0),MATCH(2030,Mortality_Matrix!$B$3:$BS$3,0))</f>
        <v>-1.82516299426713E-011</v>
      </c>
      <c r="U142" s="27" t="n">
        <f aca="false">(U76-INDEX(Mortality_Matrix!$B$4:$BS$64,MATCH($A142,Mortality_Matrix!$A$4:$A$64,0),MATCH(2031,Mortality_Matrix!$B$3:$BS$3,0)))/INDEX(Mortality_Matrix!$B$4:$BS$64,MATCH($A142,Mortality_Matrix!$A$4:$A$64,0),MATCH(2031,Mortality_Matrix!$B$3:$BS$3,0))</f>
        <v>-1.82516299426713E-011</v>
      </c>
      <c r="V142" s="27" t="n">
        <f aca="false">(V76-INDEX(Mortality_Matrix!$B$4:$BS$64,MATCH($A142,Mortality_Matrix!$A$4:$A$64,0),MATCH(2032,Mortality_Matrix!$B$3:$BS$3,0)))/INDEX(Mortality_Matrix!$B$4:$BS$64,MATCH($A142,Mortality_Matrix!$A$4:$A$64,0),MATCH(2032,Mortality_Matrix!$B$3:$BS$3,0))</f>
        <v>-1.82516299426713E-011</v>
      </c>
      <c r="W142" s="27" t="n">
        <f aca="false">(W76-INDEX(Mortality_Matrix!$B$4:$BS$64,MATCH($A142,Mortality_Matrix!$A$4:$A$64,0),MATCH(2033,Mortality_Matrix!$B$3:$BS$3,0)))/INDEX(Mortality_Matrix!$B$4:$BS$64,MATCH($A142,Mortality_Matrix!$A$4:$A$64,0),MATCH(2033,Mortality_Matrix!$B$3:$BS$3,0))</f>
        <v>-1.82516299426713E-011</v>
      </c>
      <c r="X142" s="27" t="n">
        <f aca="false">(X76-INDEX(Mortality_Matrix!$B$4:$BS$64,MATCH($A142,Mortality_Matrix!$A$4:$A$64,0),MATCH(2034,Mortality_Matrix!$B$3:$BS$3,0)))/INDEX(Mortality_Matrix!$B$4:$BS$64,MATCH($A142,Mortality_Matrix!$A$4:$A$64,0),MATCH(2034,Mortality_Matrix!$B$3:$BS$3,0))</f>
        <v>-1.82516299426713E-011</v>
      </c>
      <c r="Y142" s="27" t="n">
        <f aca="false">(Y76-INDEX(Mortality_Matrix!$B$4:$BS$64,MATCH($A142,Mortality_Matrix!$A$4:$A$64,0),MATCH(2035,Mortality_Matrix!$B$3:$BS$3,0)))/INDEX(Mortality_Matrix!$B$4:$BS$64,MATCH($A142,Mortality_Matrix!$A$4:$A$64,0),MATCH(2035,Mortality_Matrix!$B$3:$BS$3,0))</f>
        <v>-1.82516299426713E-011</v>
      </c>
      <c r="Z142" s="27" t="n">
        <f aca="false">(Z76-INDEX(Mortality_Matrix!$B$4:$BS$64,MATCH($A142,Mortality_Matrix!$A$4:$A$64,0),MATCH(2036,Mortality_Matrix!$B$3:$BS$3,0)))/INDEX(Mortality_Matrix!$B$4:$BS$64,MATCH($A142,Mortality_Matrix!$A$4:$A$64,0),MATCH(2036,Mortality_Matrix!$B$3:$BS$3,0))</f>
        <v>-1.82516299426713E-011</v>
      </c>
      <c r="AA142" s="27" t="n">
        <f aca="false">(AA76-INDEX(Mortality_Matrix!$B$4:$BS$64,MATCH($A142,Mortality_Matrix!$A$4:$A$64,0),MATCH(2037,Mortality_Matrix!$B$3:$BS$3,0)))/INDEX(Mortality_Matrix!$B$4:$BS$64,MATCH($A142,Mortality_Matrix!$A$4:$A$64,0),MATCH(2037,Mortality_Matrix!$B$3:$BS$3,0))</f>
        <v>-1.82516299426713E-011</v>
      </c>
      <c r="AB142" s="27" t="n">
        <f aca="false">(AB76-INDEX(Mortality_Matrix!$B$4:$BS$64,MATCH($A142,Mortality_Matrix!$A$4:$A$64,0),MATCH(2038,Mortality_Matrix!$B$3:$BS$3,0)))/INDEX(Mortality_Matrix!$B$4:$BS$64,MATCH($A142,Mortality_Matrix!$A$4:$A$64,0),MATCH(2038,Mortality_Matrix!$B$3:$BS$3,0))</f>
        <v>-1.82516299426713E-011</v>
      </c>
      <c r="AC142" s="27" t="n">
        <f aca="false">(AC76-INDEX(Mortality_Matrix!$B$4:$BS$64,MATCH($A142,Mortality_Matrix!$A$4:$A$64,0),MATCH(2039,Mortality_Matrix!$B$3:$BS$3,0)))/INDEX(Mortality_Matrix!$B$4:$BS$64,MATCH($A142,Mortality_Matrix!$A$4:$A$64,0),MATCH(2039,Mortality_Matrix!$B$3:$BS$3,0))</f>
        <v>-1.82516299426713E-011</v>
      </c>
      <c r="AD142" s="27" t="n">
        <f aca="false">(AD76-INDEX(Mortality_Matrix!$B$4:$BS$64,MATCH($A142,Mortality_Matrix!$A$4:$A$64,0),MATCH(2040,Mortality_Matrix!$B$3:$BS$3,0)))/INDEX(Mortality_Matrix!$B$4:$BS$64,MATCH($A142,Mortality_Matrix!$A$4:$A$64,0),MATCH(2040,Mortality_Matrix!$B$3:$BS$3,0))</f>
        <v>-1.82516299426713E-011</v>
      </c>
      <c r="AE142" s="27" t="n">
        <f aca="false">(AE76-INDEX(Mortality_Matrix!$B$4:$BS$64,MATCH($A142,Mortality_Matrix!$A$4:$A$64,0),MATCH(2041,Mortality_Matrix!$B$3:$BS$3,0)))/INDEX(Mortality_Matrix!$B$4:$BS$64,MATCH($A142,Mortality_Matrix!$A$4:$A$64,0),MATCH(2041,Mortality_Matrix!$B$3:$BS$3,0))</f>
        <v>-1.82516299426713E-011</v>
      </c>
      <c r="AF142" s="27" t="n">
        <f aca="false">(AF76-INDEX(Mortality_Matrix!$B$4:$BS$64,MATCH($A142,Mortality_Matrix!$A$4:$A$64,0),MATCH(2042,Mortality_Matrix!$B$3:$BS$3,0)))/INDEX(Mortality_Matrix!$B$4:$BS$64,MATCH($A142,Mortality_Matrix!$A$4:$A$64,0),MATCH(2042,Mortality_Matrix!$B$3:$BS$3,0))</f>
        <v>-1.82516299426713E-011</v>
      </c>
      <c r="AG142" s="27" t="n">
        <f aca="false">(AG76-INDEX(Mortality_Matrix!$B$4:$BS$64,MATCH($A142,Mortality_Matrix!$A$4:$A$64,0),MATCH(2043,Mortality_Matrix!$B$3:$BS$3,0)))/INDEX(Mortality_Matrix!$B$4:$BS$64,MATCH($A142,Mortality_Matrix!$A$4:$A$64,0),MATCH(2043,Mortality_Matrix!$B$3:$BS$3,0))</f>
        <v>-1.82516299426713E-011</v>
      </c>
      <c r="AH142" s="27" t="n">
        <f aca="false">(AH76-INDEX(Mortality_Matrix!$B$4:$BS$64,MATCH($A142,Mortality_Matrix!$A$4:$A$64,0),MATCH(2044,Mortality_Matrix!$B$3:$BS$3,0)))/INDEX(Mortality_Matrix!$B$4:$BS$64,MATCH($A142,Mortality_Matrix!$A$4:$A$64,0),MATCH(2044,Mortality_Matrix!$B$3:$BS$3,0))</f>
        <v>-1.82516299426713E-011</v>
      </c>
      <c r="AI142" s="27" t="n">
        <f aca="false">(AI76-INDEX(Mortality_Matrix!$B$4:$BS$64,MATCH($A142,Mortality_Matrix!$A$4:$A$64,0),MATCH(2045,Mortality_Matrix!$B$3:$BS$3,0)))/INDEX(Mortality_Matrix!$B$4:$BS$64,MATCH($A142,Mortality_Matrix!$A$4:$A$64,0),MATCH(2045,Mortality_Matrix!$B$3:$BS$3,0))</f>
        <v>-1.82516299426713E-011</v>
      </c>
      <c r="AJ142" s="27" t="n">
        <f aca="false">(AJ76-INDEX(Mortality_Matrix!$B$4:$BS$64,MATCH($A142,Mortality_Matrix!$A$4:$A$64,0),MATCH(2046,Mortality_Matrix!$B$3:$BS$3,0)))/INDEX(Mortality_Matrix!$B$4:$BS$64,MATCH($A142,Mortality_Matrix!$A$4:$A$64,0),MATCH(2046,Mortality_Matrix!$B$3:$BS$3,0))</f>
        <v>-1.82516299426713E-011</v>
      </c>
      <c r="AK142" s="27" t="n">
        <f aca="false">(AK76-INDEX(Mortality_Matrix!$B$4:$BS$64,MATCH($A142,Mortality_Matrix!$A$4:$A$64,0),MATCH(2047,Mortality_Matrix!$B$3:$BS$3,0)))/INDEX(Mortality_Matrix!$B$4:$BS$64,MATCH($A142,Mortality_Matrix!$A$4:$A$64,0),MATCH(2047,Mortality_Matrix!$B$3:$BS$3,0))</f>
        <v>-1.82516299426713E-011</v>
      </c>
      <c r="AL142" s="27" t="n">
        <f aca="false">(AL76-INDEX(Mortality_Matrix!$B$4:$BS$64,MATCH($A142,Mortality_Matrix!$A$4:$A$64,0),MATCH(2048,Mortality_Matrix!$B$3:$BS$3,0)))/INDEX(Mortality_Matrix!$B$4:$BS$64,MATCH($A142,Mortality_Matrix!$A$4:$A$64,0),MATCH(2048,Mortality_Matrix!$B$3:$BS$3,0))</f>
        <v>-1.82516299426713E-011</v>
      </c>
      <c r="AM142" s="27" t="n">
        <f aca="false">(AM76-INDEX(Mortality_Matrix!$B$4:$BS$64,MATCH($A142,Mortality_Matrix!$A$4:$A$64,0),MATCH(2049,Mortality_Matrix!$B$3:$BS$3,0)))/INDEX(Mortality_Matrix!$B$4:$BS$64,MATCH($A142,Mortality_Matrix!$A$4:$A$64,0),MATCH(2049,Mortality_Matrix!$B$3:$BS$3,0))</f>
        <v>-1.82516299426713E-011</v>
      </c>
      <c r="AN142" s="27" t="n">
        <f aca="false">(AN76-INDEX(Mortality_Matrix!$B$4:$BS$64,MATCH($A142,Mortality_Matrix!$A$4:$A$64,0),MATCH(2050,Mortality_Matrix!$B$3:$BS$3,0)))/INDEX(Mortality_Matrix!$B$4:$BS$64,MATCH($A142,Mortality_Matrix!$A$4:$A$64,0),MATCH(2050,Mortality_Matrix!$B$3:$BS$3,0))</f>
        <v>-1.82516299426713E-011</v>
      </c>
      <c r="AO142" s="27" t="n">
        <f aca="false">(AO76-INDEX(Mortality_Matrix!$B$4:$BS$64,MATCH($A142,Mortality_Matrix!$A$4:$A$64,0),MATCH(2051,Mortality_Matrix!$B$3:$BS$3,0)))/INDEX(Mortality_Matrix!$B$4:$BS$64,MATCH($A142,Mortality_Matrix!$A$4:$A$64,0),MATCH(2051,Mortality_Matrix!$B$3:$BS$3,0))</f>
        <v>-1.82516299426713E-011</v>
      </c>
      <c r="AP142" s="27" t="n">
        <f aca="false">(AP76-INDEX(Mortality_Matrix!$B$4:$BS$64,MATCH($A142,Mortality_Matrix!$A$4:$A$64,0),MATCH(2052,Mortality_Matrix!$B$3:$BS$3,0)))/INDEX(Mortality_Matrix!$B$4:$BS$64,MATCH($A142,Mortality_Matrix!$A$4:$A$64,0),MATCH(2052,Mortality_Matrix!$B$3:$BS$3,0))</f>
        <v>-1.82516299426713E-011</v>
      </c>
      <c r="AQ142" s="27" t="n">
        <f aca="false">(AQ76-INDEX(Mortality_Matrix!$B$4:$BS$64,MATCH($A142,Mortality_Matrix!$A$4:$A$64,0),MATCH(2053,Mortality_Matrix!$B$3:$BS$3,0)))/INDEX(Mortality_Matrix!$B$4:$BS$64,MATCH($A142,Mortality_Matrix!$A$4:$A$64,0),MATCH(2053,Mortality_Matrix!$B$3:$BS$3,0))</f>
        <v>-1.82516299426713E-011</v>
      </c>
      <c r="AR142" s="27" t="n">
        <f aca="false">(AR76-INDEX(Mortality_Matrix!$B$4:$BS$64,MATCH($A142,Mortality_Matrix!$A$4:$A$64,0),MATCH(2054,Mortality_Matrix!$B$3:$BS$3,0)))/INDEX(Mortality_Matrix!$B$4:$BS$64,MATCH($A142,Mortality_Matrix!$A$4:$A$64,0),MATCH(2054,Mortality_Matrix!$B$3:$BS$3,0))</f>
        <v>-1.82516299426713E-011</v>
      </c>
      <c r="AS142" s="27" t="n">
        <f aca="false">(AS76-INDEX(Mortality_Matrix!$B$4:$BS$64,MATCH($A142,Mortality_Matrix!$A$4:$A$64,0),MATCH(2055,Mortality_Matrix!$B$3:$BS$3,0)))/INDEX(Mortality_Matrix!$B$4:$BS$64,MATCH($A142,Mortality_Matrix!$A$4:$A$64,0),MATCH(2055,Mortality_Matrix!$B$3:$BS$3,0))</f>
        <v>-1.82516299426713E-011</v>
      </c>
      <c r="AT142" s="27" t="n">
        <f aca="false">(AT76-INDEX(Mortality_Matrix!$B$4:$BS$64,MATCH($A142,Mortality_Matrix!$A$4:$A$64,0),MATCH(2056,Mortality_Matrix!$B$3:$BS$3,0)))/INDEX(Mortality_Matrix!$B$4:$BS$64,MATCH($A142,Mortality_Matrix!$A$4:$A$64,0),MATCH(2056,Mortality_Matrix!$B$3:$BS$3,0))</f>
        <v>-1.82516299426713E-011</v>
      </c>
      <c r="AU142" s="27" t="n">
        <f aca="false">(AU76-INDEX(Mortality_Matrix!$B$4:$BS$64,MATCH($A142,Mortality_Matrix!$A$4:$A$64,0),MATCH(2057,Mortality_Matrix!$B$3:$BS$3,0)))/INDEX(Mortality_Matrix!$B$4:$BS$64,MATCH($A142,Mortality_Matrix!$A$4:$A$64,0),MATCH(2057,Mortality_Matrix!$B$3:$BS$3,0))</f>
        <v>-1.82516299426713E-011</v>
      </c>
      <c r="AV142" s="27" t="n">
        <f aca="false">(AV76-INDEX(Mortality_Matrix!$B$4:$BS$64,MATCH($A142,Mortality_Matrix!$A$4:$A$64,0),MATCH(2058,Mortality_Matrix!$B$3:$BS$3,0)))/INDEX(Mortality_Matrix!$B$4:$BS$64,MATCH($A142,Mortality_Matrix!$A$4:$A$64,0),MATCH(2058,Mortality_Matrix!$B$3:$BS$3,0))</f>
        <v>-1.82516299426713E-011</v>
      </c>
      <c r="AW142" s="27" t="n">
        <f aca="false">(AW76-INDEX(Mortality_Matrix!$B$4:$BS$64,MATCH($A142,Mortality_Matrix!$A$4:$A$64,0),MATCH(2059,Mortality_Matrix!$B$3:$BS$3,0)))/INDEX(Mortality_Matrix!$B$4:$BS$64,MATCH($A142,Mortality_Matrix!$A$4:$A$64,0),MATCH(2059,Mortality_Matrix!$B$3:$BS$3,0))</f>
        <v>-1.82516299426713E-011</v>
      </c>
      <c r="AX142" s="27" t="n">
        <f aca="false">(AX76-INDEX(Mortality_Matrix!$B$4:$BS$64,MATCH($A142,Mortality_Matrix!$A$4:$A$64,0),MATCH(2060,Mortality_Matrix!$B$3:$BS$3,0)))/INDEX(Mortality_Matrix!$B$4:$BS$64,MATCH($A142,Mortality_Matrix!$A$4:$A$64,0),MATCH(2060,Mortality_Matrix!$B$3:$BS$3,0))</f>
        <v>-1.82516299426713E-011</v>
      </c>
      <c r="AY142" s="27" t="n">
        <f aca="false">(AY76-INDEX(Mortality_Matrix!$B$4:$BS$64,MATCH($A142,Mortality_Matrix!$A$4:$A$64,0),MATCH(2061,Mortality_Matrix!$B$3:$BS$3,0)))/INDEX(Mortality_Matrix!$B$4:$BS$64,MATCH($A142,Mortality_Matrix!$A$4:$A$64,0),MATCH(2061,Mortality_Matrix!$B$3:$BS$3,0))</f>
        <v>-1.82516299426713E-011</v>
      </c>
      <c r="AZ142" s="27" t="n">
        <f aca="false">(AZ76-INDEX(Mortality_Matrix!$B$4:$BS$64,MATCH($A142,Mortality_Matrix!$A$4:$A$64,0),MATCH(2062,Mortality_Matrix!$B$3:$BS$3,0)))/INDEX(Mortality_Matrix!$B$4:$BS$64,MATCH($A142,Mortality_Matrix!$A$4:$A$64,0),MATCH(2062,Mortality_Matrix!$B$3:$BS$3,0))</f>
        <v>-1.82516299426713E-011</v>
      </c>
      <c r="BA142" s="27" t="n">
        <f aca="false">(BA76-INDEX(Mortality_Matrix!$B$4:$BS$64,MATCH($A142,Mortality_Matrix!$A$4:$A$64,0),MATCH(2063,Mortality_Matrix!$B$3:$BS$3,0)))/INDEX(Mortality_Matrix!$B$4:$BS$64,MATCH($A142,Mortality_Matrix!$A$4:$A$64,0),MATCH(2063,Mortality_Matrix!$B$3:$BS$3,0))</f>
        <v>-1.82516299426713E-011</v>
      </c>
      <c r="BB142" s="27" t="n">
        <f aca="false">(BB76-INDEX(Mortality_Matrix!$B$4:$BS$64,MATCH($A142,Mortality_Matrix!$A$4:$A$64,0),MATCH(2064,Mortality_Matrix!$B$3:$BS$3,0)))/INDEX(Mortality_Matrix!$B$4:$BS$64,MATCH($A142,Mortality_Matrix!$A$4:$A$64,0),MATCH(2064,Mortality_Matrix!$B$3:$BS$3,0))</f>
        <v>-1.82516299426713E-011</v>
      </c>
      <c r="BC142" s="27" t="n">
        <f aca="false">(BC76-INDEX(Mortality_Matrix!$B$4:$BS$64,MATCH($A142,Mortality_Matrix!$A$4:$A$64,0),MATCH(2065,Mortality_Matrix!$B$3:$BS$3,0)))/INDEX(Mortality_Matrix!$B$4:$BS$64,MATCH($A142,Mortality_Matrix!$A$4:$A$64,0),MATCH(2065,Mortality_Matrix!$B$3:$BS$3,0))</f>
        <v>-1.82516299426713E-011</v>
      </c>
      <c r="BD142" s="27" t="n">
        <f aca="false">(BD76-INDEX(Mortality_Matrix!$B$4:$BS$64,MATCH($A142,Mortality_Matrix!$A$4:$A$64,0),MATCH(2066,Mortality_Matrix!$B$3:$BS$3,0)))/INDEX(Mortality_Matrix!$B$4:$BS$64,MATCH($A142,Mortality_Matrix!$A$4:$A$64,0),MATCH(2066,Mortality_Matrix!$B$3:$BS$3,0))</f>
        <v>-1.82516299426713E-011</v>
      </c>
      <c r="BE142" s="27" t="n">
        <f aca="false">(BE76-INDEX(Mortality_Matrix!$B$4:$BS$64,MATCH($A142,Mortality_Matrix!$A$4:$A$64,0),MATCH(2067,Mortality_Matrix!$B$3:$BS$3,0)))/INDEX(Mortality_Matrix!$B$4:$BS$64,MATCH($A142,Mortality_Matrix!$A$4:$A$64,0),MATCH(2067,Mortality_Matrix!$B$3:$BS$3,0))</f>
        <v>-1.82516299426713E-011</v>
      </c>
      <c r="BF142" s="27" t="n">
        <f aca="false">(BF76-INDEX(Mortality_Matrix!$B$4:$BS$64,MATCH($A142,Mortality_Matrix!$A$4:$A$64,0),MATCH(2068,Mortality_Matrix!$B$3:$BS$3,0)))/INDEX(Mortality_Matrix!$B$4:$BS$64,MATCH($A142,Mortality_Matrix!$A$4:$A$64,0),MATCH(2068,Mortality_Matrix!$B$3:$BS$3,0))</f>
        <v>-1.82516299426713E-011</v>
      </c>
      <c r="BG142" s="27" t="n">
        <f aca="false">(BG76-INDEX(Mortality_Matrix!$B$4:$BS$64,MATCH($A142,Mortality_Matrix!$A$4:$A$64,0),MATCH(2069,Mortality_Matrix!$B$3:$BS$3,0)))/INDEX(Mortality_Matrix!$B$4:$BS$64,MATCH($A142,Mortality_Matrix!$A$4:$A$64,0),MATCH(2069,Mortality_Matrix!$B$3:$BS$3,0))</f>
        <v>-1.82516299426713E-011</v>
      </c>
      <c r="BH142" s="27" t="n">
        <f aca="false">(BH76-INDEX(Mortality_Matrix!$B$4:$BS$64,MATCH($A142,Mortality_Matrix!$A$4:$A$64,0),MATCH(2070,Mortality_Matrix!$B$3:$BS$3,0)))/INDEX(Mortality_Matrix!$B$4:$BS$64,MATCH($A142,Mortality_Matrix!$A$4:$A$64,0),MATCH(2070,Mortality_Matrix!$B$3:$BS$3,0))</f>
        <v>-1.82516299426713E-011</v>
      </c>
      <c r="BI142" s="27" t="n">
        <f aca="false">(BI76-INDEX(Mortality_Matrix!$B$4:$BS$64,MATCH($A142,Mortality_Matrix!$A$4:$A$64,0),MATCH(2071,Mortality_Matrix!$B$3:$BS$3,0)))/INDEX(Mortality_Matrix!$B$4:$BS$64,MATCH($A142,Mortality_Matrix!$A$4:$A$64,0),MATCH(2071,Mortality_Matrix!$B$3:$BS$3,0))</f>
        <v>-1.82516299426713E-011</v>
      </c>
      <c r="BJ142" s="27" t="n">
        <f aca="false">(BJ76-INDEX(Mortality_Matrix!$B$4:$BS$64,MATCH($A142,Mortality_Matrix!$A$4:$A$64,0),MATCH(2072,Mortality_Matrix!$B$3:$BS$3,0)))/INDEX(Mortality_Matrix!$B$4:$BS$64,MATCH($A142,Mortality_Matrix!$A$4:$A$64,0),MATCH(2072,Mortality_Matrix!$B$3:$BS$3,0))</f>
        <v>-1.82516299426713E-011</v>
      </c>
      <c r="BK142" s="27" t="n">
        <f aca="false">(BK76-INDEX(Mortality_Matrix!$B$4:$BS$64,MATCH($A142,Mortality_Matrix!$A$4:$A$64,0),MATCH(2073,Mortality_Matrix!$B$3:$BS$3,0)))/INDEX(Mortality_Matrix!$B$4:$BS$64,MATCH($A142,Mortality_Matrix!$A$4:$A$64,0),MATCH(2073,Mortality_Matrix!$B$3:$BS$3,0))</f>
        <v>-1.82516299426713E-011</v>
      </c>
      <c r="BL142" s="27" t="n">
        <f aca="false">(BL76-INDEX(Mortality_Matrix!$B$4:$BS$64,MATCH($A142,Mortality_Matrix!$A$4:$A$64,0),MATCH(2074,Mortality_Matrix!$B$3:$BS$3,0)))/INDEX(Mortality_Matrix!$B$4:$BS$64,MATCH($A142,Mortality_Matrix!$A$4:$A$64,0),MATCH(2074,Mortality_Matrix!$B$3:$BS$3,0))</f>
        <v>-1.82516299426713E-011</v>
      </c>
      <c r="BM142" s="27" t="n">
        <f aca="false">(BM76-INDEX(Mortality_Matrix!$B$4:$BS$64,MATCH($A142,Mortality_Matrix!$A$4:$A$64,0),MATCH(2075,Mortality_Matrix!$B$3:$BS$3,0)))/INDEX(Mortality_Matrix!$B$4:$BS$64,MATCH($A142,Mortality_Matrix!$A$4:$A$64,0),MATCH(2075,Mortality_Matrix!$B$3:$BS$3,0))</f>
        <v>-1.82516299426713E-011</v>
      </c>
      <c r="BN142" s="27" t="n">
        <f aca="false">(BN76-INDEX(Mortality_Matrix!$B$4:$BS$64,MATCH($A142,Mortality_Matrix!$A$4:$A$64,0),MATCH(2076,Mortality_Matrix!$B$3:$BS$3,0)))/INDEX(Mortality_Matrix!$B$4:$BS$64,MATCH($A142,Mortality_Matrix!$A$4:$A$64,0),MATCH(2076,Mortality_Matrix!$B$3:$BS$3,0))</f>
        <v>-1.82516299426713E-011</v>
      </c>
      <c r="BO142" s="27" t="n">
        <f aca="false">(BO76-INDEX(Mortality_Matrix!$B$4:$BS$64,MATCH($A142,Mortality_Matrix!$A$4:$A$64,0),MATCH(2077,Mortality_Matrix!$B$3:$BS$3,0)))/INDEX(Mortality_Matrix!$B$4:$BS$64,MATCH($A142,Mortality_Matrix!$A$4:$A$64,0),MATCH(2077,Mortality_Matrix!$B$3:$BS$3,0))</f>
        <v>-1.82516299426713E-011</v>
      </c>
      <c r="BP142" s="27" t="n">
        <f aca="false">(BP76-INDEX(Mortality_Matrix!$B$4:$BS$64,MATCH($A142,Mortality_Matrix!$A$4:$A$64,0),MATCH(2078,Mortality_Matrix!$B$3:$BS$3,0)))/INDEX(Mortality_Matrix!$B$4:$BS$64,MATCH($A142,Mortality_Matrix!$A$4:$A$64,0),MATCH(2078,Mortality_Matrix!$B$3:$BS$3,0))</f>
        <v>-1.82516299426713E-011</v>
      </c>
      <c r="BQ142" s="27" t="n">
        <f aca="false">(BQ76-INDEX(Mortality_Matrix!$B$4:$BS$64,MATCH($A142,Mortality_Matrix!$A$4:$A$64,0),MATCH(2079,Mortality_Matrix!$B$3:$BS$3,0)))/INDEX(Mortality_Matrix!$B$4:$BS$64,MATCH($A142,Mortality_Matrix!$A$4:$A$64,0),MATCH(2079,Mortality_Matrix!$B$3:$BS$3,0))</f>
        <v>-1.82516299426713E-011</v>
      </c>
      <c r="BR142" s="27" t="n">
        <f aca="false">(BR76-INDEX(Mortality_Matrix!$B$4:$BS$64,MATCH($A142,Mortality_Matrix!$A$4:$A$64,0),MATCH(2080,Mortality_Matrix!$B$3:$BS$3,0)))/INDEX(Mortality_Matrix!$B$4:$BS$64,MATCH($A142,Mortality_Matrix!$A$4:$A$64,0),MATCH(2080,Mortality_Matrix!$B$3:$BS$3,0))</f>
        <v>-1.82516299426713E-011</v>
      </c>
      <c r="BS142" s="27" t="n">
        <f aca="false">(BS76-INDEX(Mortality_Matrix!$B$4:$BS$64,MATCH($A142,Mortality_Matrix!$A$4:$A$64,0),MATCH(2081,Mortality_Matrix!$B$3:$BS$3,0)))/INDEX(Mortality_Matrix!$B$4:$BS$64,MATCH($A142,Mortality_Matrix!$A$4:$A$64,0),MATCH(2081,Mortality_Matrix!$B$3:$BS$3,0))</f>
        <v>-1.82516299426713E-011</v>
      </c>
      <c r="BT142" s="27" t="n">
        <f aca="false">(BT76-INDEX(Mortality_Matrix!$B$4:$BS$64,MATCH($A142,Mortality_Matrix!$A$4:$A$64,0),MATCH(2082,Mortality_Matrix!$B$3:$BS$3,0)))/INDEX(Mortality_Matrix!$B$4:$BS$64,MATCH($A142,Mortality_Matrix!$A$4:$A$64,0),MATCH(2082,Mortality_Matrix!$B$3:$BS$3,0))</f>
        <v>-1.82516299426713E-011</v>
      </c>
      <c r="BU142" s="27" t="n">
        <f aca="false">(BU76-INDEX(Mortality_Matrix!$B$4:$BS$64,MATCH($A142,Mortality_Matrix!$A$4:$A$64,0),MATCH(2083,Mortality_Matrix!$B$3:$BS$3,0)))/INDEX(Mortality_Matrix!$B$4:$BS$64,MATCH($A142,Mortality_Matrix!$A$4:$A$64,0),MATCH(2083,Mortality_Matrix!$B$3:$BS$3,0))</f>
        <v>-1.82516299426713E-011</v>
      </c>
      <c r="BV142" s="27" t="n">
        <f aca="false">(BV76-INDEX(Mortality_Matrix!$B$4:$BS$64,MATCH($A142,Mortality_Matrix!$A$4:$A$64,0),MATCH(2084,Mortality_Matrix!$B$3:$BS$3,0)))/INDEX(Mortality_Matrix!$B$4:$BS$64,MATCH($A142,Mortality_Matrix!$A$4:$A$64,0),MATCH(2084,Mortality_Matrix!$B$3:$BS$3,0))</f>
        <v>-1.82516299426713E-011</v>
      </c>
      <c r="BW142" s="27" t="n">
        <f aca="false">(BW76-INDEX(Mortality_Matrix!$B$4:$BS$64,MATCH($A142,Mortality_Matrix!$A$4:$A$64,0),MATCH(2085,Mortality_Matrix!$B$3:$BS$3,0)))/INDEX(Mortality_Matrix!$B$4:$BS$64,MATCH($A142,Mortality_Matrix!$A$4:$A$64,0),MATCH(2085,Mortality_Matrix!$B$3:$BS$3,0))</f>
        <v>-1.82516299426713E-011</v>
      </c>
      <c r="BX142" s="27" t="n">
        <f aca="false">(BX76-INDEX(Mortality_Matrix!$B$4:$BS$64,MATCH($A142,Mortality_Matrix!$A$4:$A$64,0),MATCH(2086,Mortality_Matrix!$B$3:$BS$3,0)))/INDEX(Mortality_Matrix!$B$4:$BS$64,MATCH($A142,Mortality_Matrix!$A$4:$A$64,0),MATCH(2086,Mortality_Matrix!$B$3:$BS$3,0))</f>
        <v>-1.82516299426713E-011</v>
      </c>
      <c r="BY142" s="27" t="n">
        <f aca="false">(BY76-INDEX(Mortality_Matrix!$B$4:$BS$64,MATCH($A142,Mortality_Matrix!$A$4:$A$64,0),MATCH(2087,Mortality_Matrix!$B$3:$BS$3,0)))/INDEX(Mortality_Matrix!$B$4:$BS$64,MATCH($A142,Mortality_Matrix!$A$4:$A$64,0),MATCH(2087,Mortality_Matrix!$B$3:$BS$3,0))</f>
        <v>-1.82516299426713E-011</v>
      </c>
      <c r="BZ142" s="27" t="n">
        <f aca="false">(BZ76-INDEX(Mortality_Matrix!$B$4:$BS$64,MATCH($A142,Mortality_Matrix!$A$4:$A$64,0),MATCH(2088,Mortality_Matrix!$B$3:$BS$3,0)))/INDEX(Mortality_Matrix!$B$4:$BS$64,MATCH($A142,Mortality_Matrix!$A$4:$A$64,0),MATCH(2088,Mortality_Matrix!$B$3:$BS$3,0))</f>
        <v>-1.82516299426713E-011</v>
      </c>
      <c r="CA142" s="27" t="n">
        <f aca="false">(CA76-INDEX(Mortality_Matrix!$B$4:$BS$64,MATCH($A142,Mortality_Matrix!$A$4:$A$64,0),MATCH(2089,Mortality_Matrix!$B$3:$BS$3,0)))/INDEX(Mortality_Matrix!$B$4:$BS$64,MATCH($A142,Mortality_Matrix!$A$4:$A$64,0),MATCH(2089,Mortality_Matrix!$B$3:$BS$3,0))</f>
        <v>-1.82516299426713E-011</v>
      </c>
      <c r="CB142" s="27" t="n">
        <f aca="false">(CB76-INDEX(Mortality_Matrix!$B$4:$BS$64,MATCH($A142,Mortality_Matrix!$A$4:$A$64,0),MATCH(2090,Mortality_Matrix!$B$3:$BS$3,0)))/INDEX(Mortality_Matrix!$B$4:$BS$64,MATCH($A142,Mortality_Matrix!$A$4:$A$64,0),MATCH(2090,Mortality_Matrix!$B$3:$BS$3,0))</f>
        <v>-1.82516299426713E-011</v>
      </c>
      <c r="CC142" s="27" t="n">
        <f aca="false">(CC76-INDEX(Mortality_Matrix!$B$4:$BS$64,MATCH($A142,Mortality_Matrix!$A$4:$A$64,0),MATCH(2091,Mortality_Matrix!$B$3:$BS$3,0)))/INDEX(Mortality_Matrix!$B$4:$BS$64,MATCH($A142,Mortality_Matrix!$A$4:$A$64,0),MATCH(2091,Mortality_Matrix!$B$3:$BS$3,0))</f>
        <v>-1.82516299426713E-011</v>
      </c>
    </row>
    <row r="143" customFormat="false" ht="15" hidden="false" customHeight="true" outlineLevel="0" collapsed="false">
      <c r="A143" s="3" t="n">
        <v>114</v>
      </c>
      <c r="L143" s="27" t="n">
        <f aca="false">(L77-INDEX(Mortality_Matrix!$B$4:$BS$64,MATCH($A143,Mortality_Matrix!$A$4:$A$64,0),MATCH(2022,Mortality_Matrix!$B$3:$BS$3,0)))/INDEX(Mortality_Matrix!$B$4:$BS$64,MATCH($A143,Mortality_Matrix!$A$4:$A$64,0),MATCH(2022,Mortality_Matrix!$B$3:$BS$3,0))</f>
        <v>6.49279414786129E-011</v>
      </c>
      <c r="M143" s="27" t="n">
        <f aca="false">(M77-INDEX(Mortality_Matrix!$B$4:$BS$64,MATCH($A143,Mortality_Matrix!$A$4:$A$64,0),MATCH(2023,Mortality_Matrix!$B$3:$BS$3,0)))/INDEX(Mortality_Matrix!$B$4:$BS$64,MATCH($A143,Mortality_Matrix!$A$4:$A$64,0),MATCH(2023,Mortality_Matrix!$B$3:$BS$3,0))</f>
        <v>-9.71716718339863E-011</v>
      </c>
      <c r="N143" s="27" t="n">
        <f aca="false">(N77-INDEX(Mortality_Matrix!$B$4:$BS$64,MATCH($A143,Mortality_Matrix!$A$4:$A$64,0),MATCH(2024,Mortality_Matrix!$B$3:$BS$3,0)))/INDEX(Mortality_Matrix!$B$4:$BS$64,MATCH($A143,Mortality_Matrix!$A$4:$A$64,0),MATCH(2024,Mortality_Matrix!$B$3:$BS$3,0))</f>
        <v>1.56416625227373E-012</v>
      </c>
      <c r="O143" s="27" t="n">
        <f aca="false">(O77-INDEX(Mortality_Matrix!$B$4:$BS$64,MATCH($A143,Mortality_Matrix!$A$4:$A$64,0),MATCH(2025,Mortality_Matrix!$B$3:$BS$3,0)))/INDEX(Mortality_Matrix!$B$4:$BS$64,MATCH($A143,Mortality_Matrix!$A$4:$A$64,0),MATCH(2025,Mortality_Matrix!$B$3:$BS$3,0))</f>
        <v>-3.88049052892163E-011</v>
      </c>
      <c r="P143" s="27" t="n">
        <f aca="false">(P77-INDEX(Mortality_Matrix!$B$4:$BS$64,MATCH($A143,Mortality_Matrix!$A$4:$A$64,0),MATCH(2026,Mortality_Matrix!$B$3:$BS$3,0)))/INDEX(Mortality_Matrix!$B$4:$BS$64,MATCH($A143,Mortality_Matrix!$A$4:$A$64,0),MATCH(2026,Mortality_Matrix!$B$3:$BS$3,0))</f>
        <v>1.17973580895878E-011</v>
      </c>
      <c r="Q143" s="27" t="n">
        <f aca="false">(Q77-INDEX(Mortality_Matrix!$B$4:$BS$64,MATCH($A143,Mortality_Matrix!$A$4:$A$64,0),MATCH(2027,Mortality_Matrix!$B$3:$BS$3,0)))/INDEX(Mortality_Matrix!$B$4:$BS$64,MATCH($A143,Mortality_Matrix!$A$4:$A$64,0),MATCH(2027,Mortality_Matrix!$B$3:$BS$3,0))</f>
        <v>1.17973580895878E-011</v>
      </c>
      <c r="R143" s="27" t="n">
        <f aca="false">(R77-INDEX(Mortality_Matrix!$B$4:$BS$64,MATCH($A143,Mortality_Matrix!$A$4:$A$64,0),MATCH(2028,Mortality_Matrix!$B$3:$BS$3,0)))/INDEX(Mortality_Matrix!$B$4:$BS$64,MATCH($A143,Mortality_Matrix!$A$4:$A$64,0),MATCH(2028,Mortality_Matrix!$B$3:$BS$3,0))</f>
        <v>1.17973580895878E-011</v>
      </c>
      <c r="S143" s="27" t="n">
        <f aca="false">(S77-INDEX(Mortality_Matrix!$B$4:$BS$64,MATCH($A143,Mortality_Matrix!$A$4:$A$64,0),MATCH(2029,Mortality_Matrix!$B$3:$BS$3,0)))/INDEX(Mortality_Matrix!$B$4:$BS$64,MATCH($A143,Mortality_Matrix!$A$4:$A$64,0),MATCH(2029,Mortality_Matrix!$B$3:$BS$3,0))</f>
        <v>1.17973580895878E-011</v>
      </c>
      <c r="T143" s="27" t="n">
        <f aca="false">(T77-INDEX(Mortality_Matrix!$B$4:$BS$64,MATCH($A143,Mortality_Matrix!$A$4:$A$64,0),MATCH(2030,Mortality_Matrix!$B$3:$BS$3,0)))/INDEX(Mortality_Matrix!$B$4:$BS$64,MATCH($A143,Mortality_Matrix!$A$4:$A$64,0),MATCH(2030,Mortality_Matrix!$B$3:$BS$3,0))</f>
        <v>1.17973580895878E-011</v>
      </c>
      <c r="U143" s="27" t="n">
        <f aca="false">(U77-INDEX(Mortality_Matrix!$B$4:$BS$64,MATCH($A143,Mortality_Matrix!$A$4:$A$64,0),MATCH(2031,Mortality_Matrix!$B$3:$BS$3,0)))/INDEX(Mortality_Matrix!$B$4:$BS$64,MATCH($A143,Mortality_Matrix!$A$4:$A$64,0),MATCH(2031,Mortality_Matrix!$B$3:$BS$3,0))</f>
        <v>1.17973580895878E-011</v>
      </c>
      <c r="V143" s="27" t="n">
        <f aca="false">(V77-INDEX(Mortality_Matrix!$B$4:$BS$64,MATCH($A143,Mortality_Matrix!$A$4:$A$64,0),MATCH(2032,Mortality_Matrix!$B$3:$BS$3,0)))/INDEX(Mortality_Matrix!$B$4:$BS$64,MATCH($A143,Mortality_Matrix!$A$4:$A$64,0),MATCH(2032,Mortality_Matrix!$B$3:$BS$3,0))</f>
        <v>1.17973580895878E-011</v>
      </c>
      <c r="W143" s="27" t="n">
        <f aca="false">(W77-INDEX(Mortality_Matrix!$B$4:$BS$64,MATCH($A143,Mortality_Matrix!$A$4:$A$64,0),MATCH(2033,Mortality_Matrix!$B$3:$BS$3,0)))/INDEX(Mortality_Matrix!$B$4:$BS$64,MATCH($A143,Mortality_Matrix!$A$4:$A$64,0),MATCH(2033,Mortality_Matrix!$B$3:$BS$3,0))</f>
        <v>1.17973580895878E-011</v>
      </c>
      <c r="X143" s="27" t="n">
        <f aca="false">(X77-INDEX(Mortality_Matrix!$B$4:$BS$64,MATCH($A143,Mortality_Matrix!$A$4:$A$64,0),MATCH(2034,Mortality_Matrix!$B$3:$BS$3,0)))/INDEX(Mortality_Matrix!$B$4:$BS$64,MATCH($A143,Mortality_Matrix!$A$4:$A$64,0),MATCH(2034,Mortality_Matrix!$B$3:$BS$3,0))</f>
        <v>1.17973580895878E-011</v>
      </c>
      <c r="Y143" s="27" t="n">
        <f aca="false">(Y77-INDEX(Mortality_Matrix!$B$4:$BS$64,MATCH($A143,Mortality_Matrix!$A$4:$A$64,0),MATCH(2035,Mortality_Matrix!$B$3:$BS$3,0)))/INDEX(Mortality_Matrix!$B$4:$BS$64,MATCH($A143,Mortality_Matrix!$A$4:$A$64,0),MATCH(2035,Mortality_Matrix!$B$3:$BS$3,0))</f>
        <v>1.17973580895878E-011</v>
      </c>
      <c r="Z143" s="27" t="n">
        <f aca="false">(Z77-INDEX(Mortality_Matrix!$B$4:$BS$64,MATCH($A143,Mortality_Matrix!$A$4:$A$64,0),MATCH(2036,Mortality_Matrix!$B$3:$BS$3,0)))/INDEX(Mortality_Matrix!$B$4:$BS$64,MATCH($A143,Mortality_Matrix!$A$4:$A$64,0),MATCH(2036,Mortality_Matrix!$B$3:$BS$3,0))</f>
        <v>1.17973580895878E-011</v>
      </c>
      <c r="AA143" s="27" t="n">
        <f aca="false">(AA77-INDEX(Mortality_Matrix!$B$4:$BS$64,MATCH($A143,Mortality_Matrix!$A$4:$A$64,0),MATCH(2037,Mortality_Matrix!$B$3:$BS$3,0)))/INDEX(Mortality_Matrix!$B$4:$BS$64,MATCH($A143,Mortality_Matrix!$A$4:$A$64,0),MATCH(2037,Mortality_Matrix!$B$3:$BS$3,0))</f>
        <v>1.17973580895878E-011</v>
      </c>
      <c r="AB143" s="27" t="n">
        <f aca="false">(AB77-INDEX(Mortality_Matrix!$B$4:$BS$64,MATCH($A143,Mortality_Matrix!$A$4:$A$64,0),MATCH(2038,Mortality_Matrix!$B$3:$BS$3,0)))/INDEX(Mortality_Matrix!$B$4:$BS$64,MATCH($A143,Mortality_Matrix!$A$4:$A$64,0),MATCH(2038,Mortality_Matrix!$B$3:$BS$3,0))</f>
        <v>1.17973580895878E-011</v>
      </c>
      <c r="AC143" s="27" t="n">
        <f aca="false">(AC77-INDEX(Mortality_Matrix!$B$4:$BS$64,MATCH($A143,Mortality_Matrix!$A$4:$A$64,0),MATCH(2039,Mortality_Matrix!$B$3:$BS$3,0)))/INDEX(Mortality_Matrix!$B$4:$BS$64,MATCH($A143,Mortality_Matrix!$A$4:$A$64,0),MATCH(2039,Mortality_Matrix!$B$3:$BS$3,0))</f>
        <v>1.17973580895878E-011</v>
      </c>
      <c r="AD143" s="27" t="n">
        <f aca="false">(AD77-INDEX(Mortality_Matrix!$B$4:$BS$64,MATCH($A143,Mortality_Matrix!$A$4:$A$64,0),MATCH(2040,Mortality_Matrix!$B$3:$BS$3,0)))/INDEX(Mortality_Matrix!$B$4:$BS$64,MATCH($A143,Mortality_Matrix!$A$4:$A$64,0),MATCH(2040,Mortality_Matrix!$B$3:$BS$3,0))</f>
        <v>1.17973580895878E-011</v>
      </c>
      <c r="AE143" s="27" t="n">
        <f aca="false">(AE77-INDEX(Mortality_Matrix!$B$4:$BS$64,MATCH($A143,Mortality_Matrix!$A$4:$A$64,0),MATCH(2041,Mortality_Matrix!$B$3:$BS$3,0)))/INDEX(Mortality_Matrix!$B$4:$BS$64,MATCH($A143,Mortality_Matrix!$A$4:$A$64,0),MATCH(2041,Mortality_Matrix!$B$3:$BS$3,0))</f>
        <v>1.17973580895878E-011</v>
      </c>
      <c r="AF143" s="27" t="n">
        <f aca="false">(AF77-INDEX(Mortality_Matrix!$B$4:$BS$64,MATCH($A143,Mortality_Matrix!$A$4:$A$64,0),MATCH(2042,Mortality_Matrix!$B$3:$BS$3,0)))/INDEX(Mortality_Matrix!$B$4:$BS$64,MATCH($A143,Mortality_Matrix!$A$4:$A$64,0),MATCH(2042,Mortality_Matrix!$B$3:$BS$3,0))</f>
        <v>1.17973580895878E-011</v>
      </c>
      <c r="AG143" s="27" t="n">
        <f aca="false">(AG77-INDEX(Mortality_Matrix!$B$4:$BS$64,MATCH($A143,Mortality_Matrix!$A$4:$A$64,0),MATCH(2043,Mortality_Matrix!$B$3:$BS$3,0)))/INDEX(Mortality_Matrix!$B$4:$BS$64,MATCH($A143,Mortality_Matrix!$A$4:$A$64,0),MATCH(2043,Mortality_Matrix!$B$3:$BS$3,0))</f>
        <v>1.17973580895878E-011</v>
      </c>
      <c r="AH143" s="27" t="n">
        <f aca="false">(AH77-INDEX(Mortality_Matrix!$B$4:$BS$64,MATCH($A143,Mortality_Matrix!$A$4:$A$64,0),MATCH(2044,Mortality_Matrix!$B$3:$BS$3,0)))/INDEX(Mortality_Matrix!$B$4:$BS$64,MATCH($A143,Mortality_Matrix!$A$4:$A$64,0),MATCH(2044,Mortality_Matrix!$B$3:$BS$3,0))</f>
        <v>1.17973580895878E-011</v>
      </c>
      <c r="AI143" s="27" t="n">
        <f aca="false">(AI77-INDEX(Mortality_Matrix!$B$4:$BS$64,MATCH($A143,Mortality_Matrix!$A$4:$A$64,0),MATCH(2045,Mortality_Matrix!$B$3:$BS$3,0)))/INDEX(Mortality_Matrix!$B$4:$BS$64,MATCH($A143,Mortality_Matrix!$A$4:$A$64,0),MATCH(2045,Mortality_Matrix!$B$3:$BS$3,0))</f>
        <v>1.17973580895878E-011</v>
      </c>
      <c r="AJ143" s="27" t="n">
        <f aca="false">(AJ77-INDEX(Mortality_Matrix!$B$4:$BS$64,MATCH($A143,Mortality_Matrix!$A$4:$A$64,0),MATCH(2046,Mortality_Matrix!$B$3:$BS$3,0)))/INDEX(Mortality_Matrix!$B$4:$BS$64,MATCH($A143,Mortality_Matrix!$A$4:$A$64,0),MATCH(2046,Mortality_Matrix!$B$3:$BS$3,0))</f>
        <v>1.17973580895878E-011</v>
      </c>
      <c r="AK143" s="27" t="n">
        <f aca="false">(AK77-INDEX(Mortality_Matrix!$B$4:$BS$64,MATCH($A143,Mortality_Matrix!$A$4:$A$64,0),MATCH(2047,Mortality_Matrix!$B$3:$BS$3,0)))/INDEX(Mortality_Matrix!$B$4:$BS$64,MATCH($A143,Mortality_Matrix!$A$4:$A$64,0),MATCH(2047,Mortality_Matrix!$B$3:$BS$3,0))</f>
        <v>1.17973580895878E-011</v>
      </c>
      <c r="AL143" s="27" t="n">
        <f aca="false">(AL77-INDEX(Mortality_Matrix!$B$4:$BS$64,MATCH($A143,Mortality_Matrix!$A$4:$A$64,0),MATCH(2048,Mortality_Matrix!$B$3:$BS$3,0)))/INDEX(Mortality_Matrix!$B$4:$BS$64,MATCH($A143,Mortality_Matrix!$A$4:$A$64,0),MATCH(2048,Mortality_Matrix!$B$3:$BS$3,0))</f>
        <v>1.17973580895878E-011</v>
      </c>
      <c r="AM143" s="27" t="n">
        <f aca="false">(AM77-INDEX(Mortality_Matrix!$B$4:$BS$64,MATCH($A143,Mortality_Matrix!$A$4:$A$64,0),MATCH(2049,Mortality_Matrix!$B$3:$BS$3,0)))/INDEX(Mortality_Matrix!$B$4:$BS$64,MATCH($A143,Mortality_Matrix!$A$4:$A$64,0),MATCH(2049,Mortality_Matrix!$B$3:$BS$3,0))</f>
        <v>1.17973580895878E-011</v>
      </c>
      <c r="AN143" s="27" t="n">
        <f aca="false">(AN77-INDEX(Mortality_Matrix!$B$4:$BS$64,MATCH($A143,Mortality_Matrix!$A$4:$A$64,0),MATCH(2050,Mortality_Matrix!$B$3:$BS$3,0)))/INDEX(Mortality_Matrix!$B$4:$BS$64,MATCH($A143,Mortality_Matrix!$A$4:$A$64,0),MATCH(2050,Mortality_Matrix!$B$3:$BS$3,0))</f>
        <v>1.17973580895878E-011</v>
      </c>
      <c r="AO143" s="27" t="n">
        <f aca="false">(AO77-INDEX(Mortality_Matrix!$B$4:$BS$64,MATCH($A143,Mortality_Matrix!$A$4:$A$64,0),MATCH(2051,Mortality_Matrix!$B$3:$BS$3,0)))/INDEX(Mortality_Matrix!$B$4:$BS$64,MATCH($A143,Mortality_Matrix!$A$4:$A$64,0),MATCH(2051,Mortality_Matrix!$B$3:$BS$3,0))</f>
        <v>1.17973580895878E-011</v>
      </c>
      <c r="AP143" s="27" t="n">
        <f aca="false">(AP77-INDEX(Mortality_Matrix!$B$4:$BS$64,MATCH($A143,Mortality_Matrix!$A$4:$A$64,0),MATCH(2052,Mortality_Matrix!$B$3:$BS$3,0)))/INDEX(Mortality_Matrix!$B$4:$BS$64,MATCH($A143,Mortality_Matrix!$A$4:$A$64,0),MATCH(2052,Mortality_Matrix!$B$3:$BS$3,0))</f>
        <v>1.17973580895878E-011</v>
      </c>
      <c r="AQ143" s="27" t="n">
        <f aca="false">(AQ77-INDEX(Mortality_Matrix!$B$4:$BS$64,MATCH($A143,Mortality_Matrix!$A$4:$A$64,0),MATCH(2053,Mortality_Matrix!$B$3:$BS$3,0)))/INDEX(Mortality_Matrix!$B$4:$BS$64,MATCH($A143,Mortality_Matrix!$A$4:$A$64,0),MATCH(2053,Mortality_Matrix!$B$3:$BS$3,0))</f>
        <v>1.17973580895878E-011</v>
      </c>
      <c r="AR143" s="27" t="n">
        <f aca="false">(AR77-INDEX(Mortality_Matrix!$B$4:$BS$64,MATCH($A143,Mortality_Matrix!$A$4:$A$64,0),MATCH(2054,Mortality_Matrix!$B$3:$BS$3,0)))/INDEX(Mortality_Matrix!$B$4:$BS$64,MATCH($A143,Mortality_Matrix!$A$4:$A$64,0),MATCH(2054,Mortality_Matrix!$B$3:$BS$3,0))</f>
        <v>1.17973580895878E-011</v>
      </c>
      <c r="AS143" s="27" t="n">
        <f aca="false">(AS77-INDEX(Mortality_Matrix!$B$4:$BS$64,MATCH($A143,Mortality_Matrix!$A$4:$A$64,0),MATCH(2055,Mortality_Matrix!$B$3:$BS$3,0)))/INDEX(Mortality_Matrix!$B$4:$BS$64,MATCH($A143,Mortality_Matrix!$A$4:$A$64,0),MATCH(2055,Mortality_Matrix!$B$3:$BS$3,0))</f>
        <v>1.17973580895878E-011</v>
      </c>
      <c r="AT143" s="27" t="n">
        <f aca="false">(AT77-INDEX(Mortality_Matrix!$B$4:$BS$64,MATCH($A143,Mortality_Matrix!$A$4:$A$64,0),MATCH(2056,Mortality_Matrix!$B$3:$BS$3,0)))/INDEX(Mortality_Matrix!$B$4:$BS$64,MATCH($A143,Mortality_Matrix!$A$4:$A$64,0),MATCH(2056,Mortality_Matrix!$B$3:$BS$3,0))</f>
        <v>1.17973580895878E-011</v>
      </c>
      <c r="AU143" s="27" t="n">
        <f aca="false">(AU77-INDEX(Mortality_Matrix!$B$4:$BS$64,MATCH($A143,Mortality_Matrix!$A$4:$A$64,0),MATCH(2057,Mortality_Matrix!$B$3:$BS$3,0)))/INDEX(Mortality_Matrix!$B$4:$BS$64,MATCH($A143,Mortality_Matrix!$A$4:$A$64,0),MATCH(2057,Mortality_Matrix!$B$3:$BS$3,0))</f>
        <v>1.17973580895878E-011</v>
      </c>
      <c r="AV143" s="27" t="n">
        <f aca="false">(AV77-INDEX(Mortality_Matrix!$B$4:$BS$64,MATCH($A143,Mortality_Matrix!$A$4:$A$64,0),MATCH(2058,Mortality_Matrix!$B$3:$BS$3,0)))/INDEX(Mortality_Matrix!$B$4:$BS$64,MATCH($A143,Mortality_Matrix!$A$4:$A$64,0),MATCH(2058,Mortality_Matrix!$B$3:$BS$3,0))</f>
        <v>1.17973580895878E-011</v>
      </c>
      <c r="AW143" s="27" t="n">
        <f aca="false">(AW77-INDEX(Mortality_Matrix!$B$4:$BS$64,MATCH($A143,Mortality_Matrix!$A$4:$A$64,0),MATCH(2059,Mortality_Matrix!$B$3:$BS$3,0)))/INDEX(Mortality_Matrix!$B$4:$BS$64,MATCH($A143,Mortality_Matrix!$A$4:$A$64,0),MATCH(2059,Mortality_Matrix!$B$3:$BS$3,0))</f>
        <v>1.17973580895878E-011</v>
      </c>
      <c r="AX143" s="27" t="n">
        <f aca="false">(AX77-INDEX(Mortality_Matrix!$B$4:$BS$64,MATCH($A143,Mortality_Matrix!$A$4:$A$64,0),MATCH(2060,Mortality_Matrix!$B$3:$BS$3,0)))/INDEX(Mortality_Matrix!$B$4:$BS$64,MATCH($A143,Mortality_Matrix!$A$4:$A$64,0),MATCH(2060,Mortality_Matrix!$B$3:$BS$3,0))</f>
        <v>1.17973580895878E-011</v>
      </c>
      <c r="AY143" s="27" t="n">
        <f aca="false">(AY77-INDEX(Mortality_Matrix!$B$4:$BS$64,MATCH($A143,Mortality_Matrix!$A$4:$A$64,0),MATCH(2061,Mortality_Matrix!$B$3:$BS$3,0)))/INDEX(Mortality_Matrix!$B$4:$BS$64,MATCH($A143,Mortality_Matrix!$A$4:$A$64,0),MATCH(2061,Mortality_Matrix!$B$3:$BS$3,0))</f>
        <v>1.17973580895878E-011</v>
      </c>
      <c r="AZ143" s="27" t="n">
        <f aca="false">(AZ77-INDEX(Mortality_Matrix!$B$4:$BS$64,MATCH($A143,Mortality_Matrix!$A$4:$A$64,0),MATCH(2062,Mortality_Matrix!$B$3:$BS$3,0)))/INDEX(Mortality_Matrix!$B$4:$BS$64,MATCH($A143,Mortality_Matrix!$A$4:$A$64,0),MATCH(2062,Mortality_Matrix!$B$3:$BS$3,0))</f>
        <v>1.17973580895878E-011</v>
      </c>
      <c r="BA143" s="27" t="n">
        <f aca="false">(BA77-INDEX(Mortality_Matrix!$B$4:$BS$64,MATCH($A143,Mortality_Matrix!$A$4:$A$64,0),MATCH(2063,Mortality_Matrix!$B$3:$BS$3,0)))/INDEX(Mortality_Matrix!$B$4:$BS$64,MATCH($A143,Mortality_Matrix!$A$4:$A$64,0),MATCH(2063,Mortality_Matrix!$B$3:$BS$3,0))</f>
        <v>1.17973580895878E-011</v>
      </c>
      <c r="BB143" s="27" t="n">
        <f aca="false">(BB77-INDEX(Mortality_Matrix!$B$4:$BS$64,MATCH($A143,Mortality_Matrix!$A$4:$A$64,0),MATCH(2064,Mortality_Matrix!$B$3:$BS$3,0)))/INDEX(Mortality_Matrix!$B$4:$BS$64,MATCH($A143,Mortality_Matrix!$A$4:$A$64,0),MATCH(2064,Mortality_Matrix!$B$3:$BS$3,0))</f>
        <v>1.17973580895878E-011</v>
      </c>
      <c r="BC143" s="27" t="n">
        <f aca="false">(BC77-INDEX(Mortality_Matrix!$B$4:$BS$64,MATCH($A143,Mortality_Matrix!$A$4:$A$64,0),MATCH(2065,Mortality_Matrix!$B$3:$BS$3,0)))/INDEX(Mortality_Matrix!$B$4:$BS$64,MATCH($A143,Mortality_Matrix!$A$4:$A$64,0),MATCH(2065,Mortality_Matrix!$B$3:$BS$3,0))</f>
        <v>1.17973580895878E-011</v>
      </c>
      <c r="BD143" s="27" t="n">
        <f aca="false">(BD77-INDEX(Mortality_Matrix!$B$4:$BS$64,MATCH($A143,Mortality_Matrix!$A$4:$A$64,0),MATCH(2066,Mortality_Matrix!$B$3:$BS$3,0)))/INDEX(Mortality_Matrix!$B$4:$BS$64,MATCH($A143,Mortality_Matrix!$A$4:$A$64,0),MATCH(2066,Mortality_Matrix!$B$3:$BS$3,0))</f>
        <v>1.17973580895878E-011</v>
      </c>
      <c r="BE143" s="27" t="n">
        <f aca="false">(BE77-INDEX(Mortality_Matrix!$B$4:$BS$64,MATCH($A143,Mortality_Matrix!$A$4:$A$64,0),MATCH(2067,Mortality_Matrix!$B$3:$BS$3,0)))/INDEX(Mortality_Matrix!$B$4:$BS$64,MATCH($A143,Mortality_Matrix!$A$4:$A$64,0),MATCH(2067,Mortality_Matrix!$B$3:$BS$3,0))</f>
        <v>1.17973580895878E-011</v>
      </c>
      <c r="BF143" s="27" t="n">
        <f aca="false">(BF77-INDEX(Mortality_Matrix!$B$4:$BS$64,MATCH($A143,Mortality_Matrix!$A$4:$A$64,0),MATCH(2068,Mortality_Matrix!$B$3:$BS$3,0)))/INDEX(Mortality_Matrix!$B$4:$BS$64,MATCH($A143,Mortality_Matrix!$A$4:$A$64,0),MATCH(2068,Mortality_Matrix!$B$3:$BS$3,0))</f>
        <v>1.17973580895878E-011</v>
      </c>
      <c r="BG143" s="27" t="n">
        <f aca="false">(BG77-INDEX(Mortality_Matrix!$B$4:$BS$64,MATCH($A143,Mortality_Matrix!$A$4:$A$64,0),MATCH(2069,Mortality_Matrix!$B$3:$BS$3,0)))/INDEX(Mortality_Matrix!$B$4:$BS$64,MATCH($A143,Mortality_Matrix!$A$4:$A$64,0),MATCH(2069,Mortality_Matrix!$B$3:$BS$3,0))</f>
        <v>1.17973580895878E-011</v>
      </c>
      <c r="BH143" s="27" t="n">
        <f aca="false">(BH77-INDEX(Mortality_Matrix!$B$4:$BS$64,MATCH($A143,Mortality_Matrix!$A$4:$A$64,0),MATCH(2070,Mortality_Matrix!$B$3:$BS$3,0)))/INDEX(Mortality_Matrix!$B$4:$BS$64,MATCH($A143,Mortality_Matrix!$A$4:$A$64,0),MATCH(2070,Mortality_Matrix!$B$3:$BS$3,0))</f>
        <v>1.17973580895878E-011</v>
      </c>
      <c r="BI143" s="27" t="n">
        <f aca="false">(BI77-INDEX(Mortality_Matrix!$B$4:$BS$64,MATCH($A143,Mortality_Matrix!$A$4:$A$64,0),MATCH(2071,Mortality_Matrix!$B$3:$BS$3,0)))/INDEX(Mortality_Matrix!$B$4:$BS$64,MATCH($A143,Mortality_Matrix!$A$4:$A$64,0),MATCH(2071,Mortality_Matrix!$B$3:$BS$3,0))</f>
        <v>1.17973580895878E-011</v>
      </c>
      <c r="BJ143" s="27" t="n">
        <f aca="false">(BJ77-INDEX(Mortality_Matrix!$B$4:$BS$64,MATCH($A143,Mortality_Matrix!$A$4:$A$64,0),MATCH(2072,Mortality_Matrix!$B$3:$BS$3,0)))/INDEX(Mortality_Matrix!$B$4:$BS$64,MATCH($A143,Mortality_Matrix!$A$4:$A$64,0),MATCH(2072,Mortality_Matrix!$B$3:$BS$3,0))</f>
        <v>1.17973580895878E-011</v>
      </c>
      <c r="BK143" s="27" t="n">
        <f aca="false">(BK77-INDEX(Mortality_Matrix!$B$4:$BS$64,MATCH($A143,Mortality_Matrix!$A$4:$A$64,0),MATCH(2073,Mortality_Matrix!$B$3:$BS$3,0)))/INDEX(Mortality_Matrix!$B$4:$BS$64,MATCH($A143,Mortality_Matrix!$A$4:$A$64,0),MATCH(2073,Mortality_Matrix!$B$3:$BS$3,0))</f>
        <v>1.17973580895878E-011</v>
      </c>
      <c r="BL143" s="27" t="n">
        <f aca="false">(BL77-INDEX(Mortality_Matrix!$B$4:$BS$64,MATCH($A143,Mortality_Matrix!$A$4:$A$64,0),MATCH(2074,Mortality_Matrix!$B$3:$BS$3,0)))/INDEX(Mortality_Matrix!$B$4:$BS$64,MATCH($A143,Mortality_Matrix!$A$4:$A$64,0),MATCH(2074,Mortality_Matrix!$B$3:$BS$3,0))</f>
        <v>1.17973580895878E-011</v>
      </c>
      <c r="BM143" s="27" t="n">
        <f aca="false">(BM77-INDEX(Mortality_Matrix!$B$4:$BS$64,MATCH($A143,Mortality_Matrix!$A$4:$A$64,0),MATCH(2075,Mortality_Matrix!$B$3:$BS$3,0)))/INDEX(Mortality_Matrix!$B$4:$BS$64,MATCH($A143,Mortality_Matrix!$A$4:$A$64,0),MATCH(2075,Mortality_Matrix!$B$3:$BS$3,0))</f>
        <v>1.17973580895878E-011</v>
      </c>
      <c r="BN143" s="27" t="n">
        <f aca="false">(BN77-INDEX(Mortality_Matrix!$B$4:$BS$64,MATCH($A143,Mortality_Matrix!$A$4:$A$64,0),MATCH(2076,Mortality_Matrix!$B$3:$BS$3,0)))/INDEX(Mortality_Matrix!$B$4:$BS$64,MATCH($A143,Mortality_Matrix!$A$4:$A$64,0),MATCH(2076,Mortality_Matrix!$B$3:$BS$3,0))</f>
        <v>1.17973580895878E-011</v>
      </c>
      <c r="BO143" s="27" t="n">
        <f aca="false">(BO77-INDEX(Mortality_Matrix!$B$4:$BS$64,MATCH($A143,Mortality_Matrix!$A$4:$A$64,0),MATCH(2077,Mortality_Matrix!$B$3:$BS$3,0)))/INDEX(Mortality_Matrix!$B$4:$BS$64,MATCH($A143,Mortality_Matrix!$A$4:$A$64,0),MATCH(2077,Mortality_Matrix!$B$3:$BS$3,0))</f>
        <v>1.17973580895878E-011</v>
      </c>
      <c r="BP143" s="27" t="n">
        <f aca="false">(BP77-INDEX(Mortality_Matrix!$B$4:$BS$64,MATCH($A143,Mortality_Matrix!$A$4:$A$64,0),MATCH(2078,Mortality_Matrix!$B$3:$BS$3,0)))/INDEX(Mortality_Matrix!$B$4:$BS$64,MATCH($A143,Mortality_Matrix!$A$4:$A$64,0),MATCH(2078,Mortality_Matrix!$B$3:$BS$3,0))</f>
        <v>1.17973580895878E-011</v>
      </c>
      <c r="BQ143" s="27" t="n">
        <f aca="false">(BQ77-INDEX(Mortality_Matrix!$B$4:$BS$64,MATCH($A143,Mortality_Matrix!$A$4:$A$64,0),MATCH(2079,Mortality_Matrix!$B$3:$BS$3,0)))/INDEX(Mortality_Matrix!$B$4:$BS$64,MATCH($A143,Mortality_Matrix!$A$4:$A$64,0),MATCH(2079,Mortality_Matrix!$B$3:$BS$3,0))</f>
        <v>1.17973580895878E-011</v>
      </c>
      <c r="BR143" s="27" t="n">
        <f aca="false">(BR77-INDEX(Mortality_Matrix!$B$4:$BS$64,MATCH($A143,Mortality_Matrix!$A$4:$A$64,0),MATCH(2080,Mortality_Matrix!$B$3:$BS$3,0)))/INDEX(Mortality_Matrix!$B$4:$BS$64,MATCH($A143,Mortality_Matrix!$A$4:$A$64,0),MATCH(2080,Mortality_Matrix!$B$3:$BS$3,0))</f>
        <v>1.17973580895878E-011</v>
      </c>
      <c r="BS143" s="27" t="n">
        <f aca="false">(BS77-INDEX(Mortality_Matrix!$B$4:$BS$64,MATCH($A143,Mortality_Matrix!$A$4:$A$64,0),MATCH(2081,Mortality_Matrix!$B$3:$BS$3,0)))/INDEX(Mortality_Matrix!$B$4:$BS$64,MATCH($A143,Mortality_Matrix!$A$4:$A$64,0),MATCH(2081,Mortality_Matrix!$B$3:$BS$3,0))</f>
        <v>1.17973580895878E-011</v>
      </c>
      <c r="BT143" s="27" t="n">
        <f aca="false">(BT77-INDEX(Mortality_Matrix!$B$4:$BS$64,MATCH($A143,Mortality_Matrix!$A$4:$A$64,0),MATCH(2082,Mortality_Matrix!$B$3:$BS$3,0)))/INDEX(Mortality_Matrix!$B$4:$BS$64,MATCH($A143,Mortality_Matrix!$A$4:$A$64,0),MATCH(2082,Mortality_Matrix!$B$3:$BS$3,0))</f>
        <v>1.17973580895878E-011</v>
      </c>
      <c r="BU143" s="27" t="n">
        <f aca="false">(BU77-INDEX(Mortality_Matrix!$B$4:$BS$64,MATCH($A143,Mortality_Matrix!$A$4:$A$64,0),MATCH(2083,Mortality_Matrix!$B$3:$BS$3,0)))/INDEX(Mortality_Matrix!$B$4:$BS$64,MATCH($A143,Mortality_Matrix!$A$4:$A$64,0),MATCH(2083,Mortality_Matrix!$B$3:$BS$3,0))</f>
        <v>1.17973580895878E-011</v>
      </c>
      <c r="BV143" s="27" t="n">
        <f aca="false">(BV77-INDEX(Mortality_Matrix!$B$4:$BS$64,MATCH($A143,Mortality_Matrix!$A$4:$A$64,0),MATCH(2084,Mortality_Matrix!$B$3:$BS$3,0)))/INDEX(Mortality_Matrix!$B$4:$BS$64,MATCH($A143,Mortality_Matrix!$A$4:$A$64,0),MATCH(2084,Mortality_Matrix!$B$3:$BS$3,0))</f>
        <v>1.17973580895878E-011</v>
      </c>
      <c r="BW143" s="27" t="n">
        <f aca="false">(BW77-INDEX(Mortality_Matrix!$B$4:$BS$64,MATCH($A143,Mortality_Matrix!$A$4:$A$64,0),MATCH(2085,Mortality_Matrix!$B$3:$BS$3,0)))/INDEX(Mortality_Matrix!$B$4:$BS$64,MATCH($A143,Mortality_Matrix!$A$4:$A$64,0),MATCH(2085,Mortality_Matrix!$B$3:$BS$3,0))</f>
        <v>1.17973580895878E-011</v>
      </c>
      <c r="BX143" s="27" t="n">
        <f aca="false">(BX77-INDEX(Mortality_Matrix!$B$4:$BS$64,MATCH($A143,Mortality_Matrix!$A$4:$A$64,0),MATCH(2086,Mortality_Matrix!$B$3:$BS$3,0)))/INDEX(Mortality_Matrix!$B$4:$BS$64,MATCH($A143,Mortality_Matrix!$A$4:$A$64,0),MATCH(2086,Mortality_Matrix!$B$3:$BS$3,0))</f>
        <v>1.17973580895878E-011</v>
      </c>
      <c r="BY143" s="27" t="n">
        <f aca="false">(BY77-INDEX(Mortality_Matrix!$B$4:$BS$64,MATCH($A143,Mortality_Matrix!$A$4:$A$64,0),MATCH(2087,Mortality_Matrix!$B$3:$BS$3,0)))/INDEX(Mortality_Matrix!$B$4:$BS$64,MATCH($A143,Mortality_Matrix!$A$4:$A$64,0),MATCH(2087,Mortality_Matrix!$B$3:$BS$3,0))</f>
        <v>1.17973580895878E-011</v>
      </c>
      <c r="BZ143" s="27" t="n">
        <f aca="false">(BZ77-INDEX(Mortality_Matrix!$B$4:$BS$64,MATCH($A143,Mortality_Matrix!$A$4:$A$64,0),MATCH(2088,Mortality_Matrix!$B$3:$BS$3,0)))/INDEX(Mortality_Matrix!$B$4:$BS$64,MATCH($A143,Mortality_Matrix!$A$4:$A$64,0),MATCH(2088,Mortality_Matrix!$B$3:$BS$3,0))</f>
        <v>1.17973580895878E-011</v>
      </c>
      <c r="CA143" s="27" t="n">
        <f aca="false">(CA77-INDEX(Mortality_Matrix!$B$4:$BS$64,MATCH($A143,Mortality_Matrix!$A$4:$A$64,0),MATCH(2089,Mortality_Matrix!$B$3:$BS$3,0)))/INDEX(Mortality_Matrix!$B$4:$BS$64,MATCH($A143,Mortality_Matrix!$A$4:$A$64,0),MATCH(2089,Mortality_Matrix!$B$3:$BS$3,0))</f>
        <v>1.17973580895878E-011</v>
      </c>
      <c r="CB143" s="27" t="n">
        <f aca="false">(CB77-INDEX(Mortality_Matrix!$B$4:$BS$64,MATCH($A143,Mortality_Matrix!$A$4:$A$64,0),MATCH(2090,Mortality_Matrix!$B$3:$BS$3,0)))/INDEX(Mortality_Matrix!$B$4:$BS$64,MATCH($A143,Mortality_Matrix!$A$4:$A$64,0),MATCH(2090,Mortality_Matrix!$B$3:$BS$3,0))</f>
        <v>1.17973580895878E-011</v>
      </c>
      <c r="CC143" s="27" t="n">
        <f aca="false">(CC77-INDEX(Mortality_Matrix!$B$4:$BS$64,MATCH($A143,Mortality_Matrix!$A$4:$A$64,0),MATCH(2091,Mortality_Matrix!$B$3:$BS$3,0)))/INDEX(Mortality_Matrix!$B$4:$BS$64,MATCH($A143,Mortality_Matrix!$A$4:$A$64,0),MATCH(2091,Mortality_Matrix!$B$3:$BS$3,0))</f>
        <v>1.17973580895878E-011</v>
      </c>
    </row>
    <row r="144" customFormat="false" ht="15" hidden="false" customHeight="true" outlineLevel="0" collapsed="false">
      <c r="A144" s="3" t="n">
        <v>115</v>
      </c>
      <c r="L144" s="27" t="n">
        <f aca="false">(L78-INDEX(Mortality_Matrix!$B$4:$BS$64,MATCH($A144,Mortality_Matrix!$A$4:$A$64,0),MATCH(2022,Mortality_Matrix!$B$3:$BS$3,0)))/INDEX(Mortality_Matrix!$B$4:$BS$64,MATCH($A144,Mortality_Matrix!$A$4:$A$64,0),MATCH(2022,Mortality_Matrix!$B$3:$BS$3,0))</f>
        <v>9.25827201617675E-011</v>
      </c>
      <c r="M144" s="27" t="n">
        <f aca="false">(M78-INDEX(Mortality_Matrix!$B$4:$BS$64,MATCH($A144,Mortality_Matrix!$A$4:$A$64,0),MATCH(2023,Mortality_Matrix!$B$3:$BS$3,0)))/INDEX(Mortality_Matrix!$B$4:$BS$64,MATCH($A144,Mortality_Matrix!$A$4:$A$64,0),MATCH(2023,Mortality_Matrix!$B$3:$BS$3,0))</f>
        <v>-8.22560596332944E-011</v>
      </c>
      <c r="N144" s="27" t="n">
        <f aca="false">(N78-INDEX(Mortality_Matrix!$B$4:$BS$64,MATCH($A144,Mortality_Matrix!$A$4:$A$64,0),MATCH(2024,Mortality_Matrix!$B$3:$BS$3,0)))/INDEX(Mortality_Matrix!$B$4:$BS$64,MATCH($A144,Mortality_Matrix!$A$4:$A$64,0),MATCH(2024,Mortality_Matrix!$B$3:$BS$3,0))</f>
        <v>-6.06691300977785E-011</v>
      </c>
      <c r="O144" s="27" t="n">
        <f aca="false">(O78-INDEX(Mortality_Matrix!$B$4:$BS$64,MATCH($A144,Mortality_Matrix!$A$4:$A$64,0),MATCH(2025,Mortality_Matrix!$B$3:$BS$3,0)))/INDEX(Mortality_Matrix!$B$4:$BS$64,MATCH($A144,Mortality_Matrix!$A$4:$A$64,0),MATCH(2025,Mortality_Matrix!$B$3:$BS$3,0))</f>
        <v>6.1609807852383E-011</v>
      </c>
      <c r="P144" s="27" t="n">
        <f aca="false">(P78-INDEX(Mortality_Matrix!$B$4:$BS$64,MATCH($A144,Mortality_Matrix!$A$4:$A$64,0),MATCH(2026,Mortality_Matrix!$B$3:$BS$3,0)))/INDEX(Mortality_Matrix!$B$4:$BS$64,MATCH($A144,Mortality_Matrix!$A$4:$A$64,0),MATCH(2026,Mortality_Matrix!$B$3:$BS$3,0))</f>
        <v>3.20851317553828E-011</v>
      </c>
      <c r="Q144" s="27" t="n">
        <f aca="false">(Q78-INDEX(Mortality_Matrix!$B$4:$BS$64,MATCH($A144,Mortality_Matrix!$A$4:$A$64,0),MATCH(2027,Mortality_Matrix!$B$3:$BS$3,0)))/INDEX(Mortality_Matrix!$B$4:$BS$64,MATCH($A144,Mortality_Matrix!$A$4:$A$64,0),MATCH(2027,Mortality_Matrix!$B$3:$BS$3,0))</f>
        <v>3.20851317553828E-011</v>
      </c>
      <c r="R144" s="27" t="n">
        <f aca="false">(R78-INDEX(Mortality_Matrix!$B$4:$BS$64,MATCH($A144,Mortality_Matrix!$A$4:$A$64,0),MATCH(2028,Mortality_Matrix!$B$3:$BS$3,0)))/INDEX(Mortality_Matrix!$B$4:$BS$64,MATCH($A144,Mortality_Matrix!$A$4:$A$64,0),MATCH(2028,Mortality_Matrix!$B$3:$BS$3,0))</f>
        <v>3.20851317553828E-011</v>
      </c>
      <c r="S144" s="27" t="n">
        <f aca="false">(S78-INDEX(Mortality_Matrix!$B$4:$BS$64,MATCH($A144,Mortality_Matrix!$A$4:$A$64,0),MATCH(2029,Mortality_Matrix!$B$3:$BS$3,0)))/INDEX(Mortality_Matrix!$B$4:$BS$64,MATCH($A144,Mortality_Matrix!$A$4:$A$64,0),MATCH(2029,Mortality_Matrix!$B$3:$BS$3,0))</f>
        <v>3.20851317553828E-011</v>
      </c>
      <c r="T144" s="27" t="n">
        <f aca="false">(T78-INDEX(Mortality_Matrix!$B$4:$BS$64,MATCH($A144,Mortality_Matrix!$A$4:$A$64,0),MATCH(2030,Mortality_Matrix!$B$3:$BS$3,0)))/INDEX(Mortality_Matrix!$B$4:$BS$64,MATCH($A144,Mortality_Matrix!$A$4:$A$64,0),MATCH(2030,Mortality_Matrix!$B$3:$BS$3,0))</f>
        <v>3.20851317553828E-011</v>
      </c>
      <c r="U144" s="27" t="n">
        <f aca="false">(U78-INDEX(Mortality_Matrix!$B$4:$BS$64,MATCH($A144,Mortality_Matrix!$A$4:$A$64,0),MATCH(2031,Mortality_Matrix!$B$3:$BS$3,0)))/INDEX(Mortality_Matrix!$B$4:$BS$64,MATCH($A144,Mortality_Matrix!$A$4:$A$64,0),MATCH(2031,Mortality_Matrix!$B$3:$BS$3,0))</f>
        <v>3.20851317553828E-011</v>
      </c>
      <c r="V144" s="27" t="n">
        <f aca="false">(V78-INDEX(Mortality_Matrix!$B$4:$BS$64,MATCH($A144,Mortality_Matrix!$A$4:$A$64,0),MATCH(2032,Mortality_Matrix!$B$3:$BS$3,0)))/INDEX(Mortality_Matrix!$B$4:$BS$64,MATCH($A144,Mortality_Matrix!$A$4:$A$64,0),MATCH(2032,Mortality_Matrix!$B$3:$BS$3,0))</f>
        <v>3.20851317553828E-011</v>
      </c>
      <c r="W144" s="27" t="n">
        <f aca="false">(W78-INDEX(Mortality_Matrix!$B$4:$BS$64,MATCH($A144,Mortality_Matrix!$A$4:$A$64,0),MATCH(2033,Mortality_Matrix!$B$3:$BS$3,0)))/INDEX(Mortality_Matrix!$B$4:$BS$64,MATCH($A144,Mortality_Matrix!$A$4:$A$64,0),MATCH(2033,Mortality_Matrix!$B$3:$BS$3,0))</f>
        <v>3.20851317553828E-011</v>
      </c>
      <c r="X144" s="27" t="n">
        <f aca="false">(X78-INDEX(Mortality_Matrix!$B$4:$BS$64,MATCH($A144,Mortality_Matrix!$A$4:$A$64,0),MATCH(2034,Mortality_Matrix!$B$3:$BS$3,0)))/INDEX(Mortality_Matrix!$B$4:$BS$64,MATCH($A144,Mortality_Matrix!$A$4:$A$64,0),MATCH(2034,Mortality_Matrix!$B$3:$BS$3,0))</f>
        <v>3.20851317553828E-011</v>
      </c>
      <c r="Y144" s="27" t="n">
        <f aca="false">(Y78-INDEX(Mortality_Matrix!$B$4:$BS$64,MATCH($A144,Mortality_Matrix!$A$4:$A$64,0),MATCH(2035,Mortality_Matrix!$B$3:$BS$3,0)))/INDEX(Mortality_Matrix!$B$4:$BS$64,MATCH($A144,Mortality_Matrix!$A$4:$A$64,0),MATCH(2035,Mortality_Matrix!$B$3:$BS$3,0))</f>
        <v>3.20851317553828E-011</v>
      </c>
      <c r="Z144" s="27" t="n">
        <f aca="false">(Z78-INDEX(Mortality_Matrix!$B$4:$BS$64,MATCH($A144,Mortality_Matrix!$A$4:$A$64,0),MATCH(2036,Mortality_Matrix!$B$3:$BS$3,0)))/INDEX(Mortality_Matrix!$B$4:$BS$64,MATCH($A144,Mortality_Matrix!$A$4:$A$64,0),MATCH(2036,Mortality_Matrix!$B$3:$BS$3,0))</f>
        <v>3.20851317553828E-011</v>
      </c>
      <c r="AA144" s="27" t="n">
        <f aca="false">(AA78-INDEX(Mortality_Matrix!$B$4:$BS$64,MATCH($A144,Mortality_Matrix!$A$4:$A$64,0),MATCH(2037,Mortality_Matrix!$B$3:$BS$3,0)))/INDEX(Mortality_Matrix!$B$4:$BS$64,MATCH($A144,Mortality_Matrix!$A$4:$A$64,0),MATCH(2037,Mortality_Matrix!$B$3:$BS$3,0))</f>
        <v>3.20851317553828E-011</v>
      </c>
      <c r="AB144" s="27" t="n">
        <f aca="false">(AB78-INDEX(Mortality_Matrix!$B$4:$BS$64,MATCH($A144,Mortality_Matrix!$A$4:$A$64,0),MATCH(2038,Mortality_Matrix!$B$3:$BS$3,0)))/INDEX(Mortality_Matrix!$B$4:$BS$64,MATCH($A144,Mortality_Matrix!$A$4:$A$64,0),MATCH(2038,Mortality_Matrix!$B$3:$BS$3,0))</f>
        <v>3.20851317553828E-011</v>
      </c>
      <c r="AC144" s="27" t="n">
        <f aca="false">(AC78-INDEX(Mortality_Matrix!$B$4:$BS$64,MATCH($A144,Mortality_Matrix!$A$4:$A$64,0),MATCH(2039,Mortality_Matrix!$B$3:$BS$3,0)))/INDEX(Mortality_Matrix!$B$4:$BS$64,MATCH($A144,Mortality_Matrix!$A$4:$A$64,0),MATCH(2039,Mortality_Matrix!$B$3:$BS$3,0))</f>
        <v>3.20851317553828E-011</v>
      </c>
      <c r="AD144" s="27" t="n">
        <f aca="false">(AD78-INDEX(Mortality_Matrix!$B$4:$BS$64,MATCH($A144,Mortality_Matrix!$A$4:$A$64,0),MATCH(2040,Mortality_Matrix!$B$3:$BS$3,0)))/INDEX(Mortality_Matrix!$B$4:$BS$64,MATCH($A144,Mortality_Matrix!$A$4:$A$64,0),MATCH(2040,Mortality_Matrix!$B$3:$BS$3,0))</f>
        <v>3.20851317553828E-011</v>
      </c>
      <c r="AE144" s="27" t="n">
        <f aca="false">(AE78-INDEX(Mortality_Matrix!$B$4:$BS$64,MATCH($A144,Mortality_Matrix!$A$4:$A$64,0),MATCH(2041,Mortality_Matrix!$B$3:$BS$3,0)))/INDEX(Mortality_Matrix!$B$4:$BS$64,MATCH($A144,Mortality_Matrix!$A$4:$A$64,0),MATCH(2041,Mortality_Matrix!$B$3:$BS$3,0))</f>
        <v>3.20851317553828E-011</v>
      </c>
      <c r="AF144" s="27" t="n">
        <f aca="false">(AF78-INDEX(Mortality_Matrix!$B$4:$BS$64,MATCH($A144,Mortality_Matrix!$A$4:$A$64,0),MATCH(2042,Mortality_Matrix!$B$3:$BS$3,0)))/INDEX(Mortality_Matrix!$B$4:$BS$64,MATCH($A144,Mortality_Matrix!$A$4:$A$64,0),MATCH(2042,Mortality_Matrix!$B$3:$BS$3,0))</f>
        <v>3.20851317553828E-011</v>
      </c>
      <c r="AG144" s="27" t="n">
        <f aca="false">(AG78-INDEX(Mortality_Matrix!$B$4:$BS$64,MATCH($A144,Mortality_Matrix!$A$4:$A$64,0),MATCH(2043,Mortality_Matrix!$B$3:$BS$3,0)))/INDEX(Mortality_Matrix!$B$4:$BS$64,MATCH($A144,Mortality_Matrix!$A$4:$A$64,0),MATCH(2043,Mortality_Matrix!$B$3:$BS$3,0))</f>
        <v>3.20851317553828E-011</v>
      </c>
      <c r="AH144" s="27" t="n">
        <f aca="false">(AH78-INDEX(Mortality_Matrix!$B$4:$BS$64,MATCH($A144,Mortality_Matrix!$A$4:$A$64,0),MATCH(2044,Mortality_Matrix!$B$3:$BS$3,0)))/INDEX(Mortality_Matrix!$B$4:$BS$64,MATCH($A144,Mortality_Matrix!$A$4:$A$64,0),MATCH(2044,Mortality_Matrix!$B$3:$BS$3,0))</f>
        <v>3.20851317553828E-011</v>
      </c>
      <c r="AI144" s="27" t="n">
        <f aca="false">(AI78-INDEX(Mortality_Matrix!$B$4:$BS$64,MATCH($A144,Mortality_Matrix!$A$4:$A$64,0),MATCH(2045,Mortality_Matrix!$B$3:$BS$3,0)))/INDEX(Mortality_Matrix!$B$4:$BS$64,MATCH($A144,Mortality_Matrix!$A$4:$A$64,0),MATCH(2045,Mortality_Matrix!$B$3:$BS$3,0))</f>
        <v>3.20851317553828E-011</v>
      </c>
      <c r="AJ144" s="27" t="n">
        <f aca="false">(AJ78-INDEX(Mortality_Matrix!$B$4:$BS$64,MATCH($A144,Mortality_Matrix!$A$4:$A$64,0),MATCH(2046,Mortality_Matrix!$B$3:$BS$3,0)))/INDEX(Mortality_Matrix!$B$4:$BS$64,MATCH($A144,Mortality_Matrix!$A$4:$A$64,0),MATCH(2046,Mortality_Matrix!$B$3:$BS$3,0))</f>
        <v>3.20851317553828E-011</v>
      </c>
      <c r="AK144" s="27" t="n">
        <f aca="false">(AK78-INDEX(Mortality_Matrix!$B$4:$BS$64,MATCH($A144,Mortality_Matrix!$A$4:$A$64,0),MATCH(2047,Mortality_Matrix!$B$3:$BS$3,0)))/INDEX(Mortality_Matrix!$B$4:$BS$64,MATCH($A144,Mortality_Matrix!$A$4:$A$64,0),MATCH(2047,Mortality_Matrix!$B$3:$BS$3,0))</f>
        <v>3.20851317553828E-011</v>
      </c>
      <c r="AL144" s="27" t="n">
        <f aca="false">(AL78-INDEX(Mortality_Matrix!$B$4:$BS$64,MATCH($A144,Mortality_Matrix!$A$4:$A$64,0),MATCH(2048,Mortality_Matrix!$B$3:$BS$3,0)))/INDEX(Mortality_Matrix!$B$4:$BS$64,MATCH($A144,Mortality_Matrix!$A$4:$A$64,0),MATCH(2048,Mortality_Matrix!$B$3:$BS$3,0))</f>
        <v>3.20851317553828E-011</v>
      </c>
      <c r="AM144" s="27" t="n">
        <f aca="false">(AM78-INDEX(Mortality_Matrix!$B$4:$BS$64,MATCH($A144,Mortality_Matrix!$A$4:$A$64,0),MATCH(2049,Mortality_Matrix!$B$3:$BS$3,0)))/INDEX(Mortality_Matrix!$B$4:$BS$64,MATCH($A144,Mortality_Matrix!$A$4:$A$64,0),MATCH(2049,Mortality_Matrix!$B$3:$BS$3,0))</f>
        <v>3.20851317553828E-011</v>
      </c>
      <c r="AN144" s="27" t="n">
        <f aca="false">(AN78-INDEX(Mortality_Matrix!$B$4:$BS$64,MATCH($A144,Mortality_Matrix!$A$4:$A$64,0),MATCH(2050,Mortality_Matrix!$B$3:$BS$3,0)))/INDEX(Mortality_Matrix!$B$4:$BS$64,MATCH($A144,Mortality_Matrix!$A$4:$A$64,0),MATCH(2050,Mortality_Matrix!$B$3:$BS$3,0))</f>
        <v>3.20851317553828E-011</v>
      </c>
      <c r="AO144" s="27" t="n">
        <f aca="false">(AO78-INDEX(Mortality_Matrix!$B$4:$BS$64,MATCH($A144,Mortality_Matrix!$A$4:$A$64,0),MATCH(2051,Mortality_Matrix!$B$3:$BS$3,0)))/INDEX(Mortality_Matrix!$B$4:$BS$64,MATCH($A144,Mortality_Matrix!$A$4:$A$64,0),MATCH(2051,Mortality_Matrix!$B$3:$BS$3,0))</f>
        <v>3.20851317553828E-011</v>
      </c>
      <c r="AP144" s="27" t="n">
        <f aca="false">(AP78-INDEX(Mortality_Matrix!$B$4:$BS$64,MATCH($A144,Mortality_Matrix!$A$4:$A$64,0),MATCH(2052,Mortality_Matrix!$B$3:$BS$3,0)))/INDEX(Mortality_Matrix!$B$4:$BS$64,MATCH($A144,Mortality_Matrix!$A$4:$A$64,0),MATCH(2052,Mortality_Matrix!$B$3:$BS$3,0))</f>
        <v>3.20851317553828E-011</v>
      </c>
      <c r="AQ144" s="27" t="n">
        <f aca="false">(AQ78-INDEX(Mortality_Matrix!$B$4:$BS$64,MATCH($A144,Mortality_Matrix!$A$4:$A$64,0),MATCH(2053,Mortality_Matrix!$B$3:$BS$3,0)))/INDEX(Mortality_Matrix!$B$4:$BS$64,MATCH($A144,Mortality_Matrix!$A$4:$A$64,0),MATCH(2053,Mortality_Matrix!$B$3:$BS$3,0))</f>
        <v>3.20851317553828E-011</v>
      </c>
      <c r="AR144" s="27" t="n">
        <f aca="false">(AR78-INDEX(Mortality_Matrix!$B$4:$BS$64,MATCH($A144,Mortality_Matrix!$A$4:$A$64,0),MATCH(2054,Mortality_Matrix!$B$3:$BS$3,0)))/INDEX(Mortality_Matrix!$B$4:$BS$64,MATCH($A144,Mortality_Matrix!$A$4:$A$64,0),MATCH(2054,Mortality_Matrix!$B$3:$BS$3,0))</f>
        <v>3.20851317553828E-011</v>
      </c>
      <c r="AS144" s="27" t="n">
        <f aca="false">(AS78-INDEX(Mortality_Matrix!$B$4:$BS$64,MATCH($A144,Mortality_Matrix!$A$4:$A$64,0),MATCH(2055,Mortality_Matrix!$B$3:$BS$3,0)))/INDEX(Mortality_Matrix!$B$4:$BS$64,MATCH($A144,Mortality_Matrix!$A$4:$A$64,0),MATCH(2055,Mortality_Matrix!$B$3:$BS$3,0))</f>
        <v>3.20851317553828E-011</v>
      </c>
      <c r="AT144" s="27" t="n">
        <f aca="false">(AT78-INDEX(Mortality_Matrix!$B$4:$BS$64,MATCH($A144,Mortality_Matrix!$A$4:$A$64,0),MATCH(2056,Mortality_Matrix!$B$3:$BS$3,0)))/INDEX(Mortality_Matrix!$B$4:$BS$64,MATCH($A144,Mortality_Matrix!$A$4:$A$64,0),MATCH(2056,Mortality_Matrix!$B$3:$BS$3,0))</f>
        <v>3.20851317553828E-011</v>
      </c>
      <c r="AU144" s="27" t="n">
        <f aca="false">(AU78-INDEX(Mortality_Matrix!$B$4:$BS$64,MATCH($A144,Mortality_Matrix!$A$4:$A$64,0),MATCH(2057,Mortality_Matrix!$B$3:$BS$3,0)))/INDEX(Mortality_Matrix!$B$4:$BS$64,MATCH($A144,Mortality_Matrix!$A$4:$A$64,0),MATCH(2057,Mortality_Matrix!$B$3:$BS$3,0))</f>
        <v>3.20851317553828E-011</v>
      </c>
      <c r="AV144" s="27" t="n">
        <f aca="false">(AV78-INDEX(Mortality_Matrix!$B$4:$BS$64,MATCH($A144,Mortality_Matrix!$A$4:$A$64,0),MATCH(2058,Mortality_Matrix!$B$3:$BS$3,0)))/INDEX(Mortality_Matrix!$B$4:$BS$64,MATCH($A144,Mortality_Matrix!$A$4:$A$64,0),MATCH(2058,Mortality_Matrix!$B$3:$BS$3,0))</f>
        <v>3.20851317553828E-011</v>
      </c>
      <c r="AW144" s="27" t="n">
        <f aca="false">(AW78-INDEX(Mortality_Matrix!$B$4:$BS$64,MATCH($A144,Mortality_Matrix!$A$4:$A$64,0),MATCH(2059,Mortality_Matrix!$B$3:$BS$3,0)))/INDEX(Mortality_Matrix!$B$4:$BS$64,MATCH($A144,Mortality_Matrix!$A$4:$A$64,0),MATCH(2059,Mortality_Matrix!$B$3:$BS$3,0))</f>
        <v>3.20851317553828E-011</v>
      </c>
      <c r="AX144" s="27" t="n">
        <f aca="false">(AX78-INDEX(Mortality_Matrix!$B$4:$BS$64,MATCH($A144,Mortality_Matrix!$A$4:$A$64,0),MATCH(2060,Mortality_Matrix!$B$3:$BS$3,0)))/INDEX(Mortality_Matrix!$B$4:$BS$64,MATCH($A144,Mortality_Matrix!$A$4:$A$64,0),MATCH(2060,Mortality_Matrix!$B$3:$BS$3,0))</f>
        <v>3.20851317553828E-011</v>
      </c>
      <c r="AY144" s="27" t="n">
        <f aca="false">(AY78-INDEX(Mortality_Matrix!$B$4:$BS$64,MATCH($A144,Mortality_Matrix!$A$4:$A$64,0),MATCH(2061,Mortality_Matrix!$B$3:$BS$3,0)))/INDEX(Mortality_Matrix!$B$4:$BS$64,MATCH($A144,Mortality_Matrix!$A$4:$A$64,0),MATCH(2061,Mortality_Matrix!$B$3:$BS$3,0))</f>
        <v>3.20851317553828E-011</v>
      </c>
      <c r="AZ144" s="27" t="n">
        <f aca="false">(AZ78-INDEX(Mortality_Matrix!$B$4:$BS$64,MATCH($A144,Mortality_Matrix!$A$4:$A$64,0),MATCH(2062,Mortality_Matrix!$B$3:$BS$3,0)))/INDEX(Mortality_Matrix!$B$4:$BS$64,MATCH($A144,Mortality_Matrix!$A$4:$A$64,0),MATCH(2062,Mortality_Matrix!$B$3:$BS$3,0))</f>
        <v>3.20851317553828E-011</v>
      </c>
      <c r="BA144" s="27" t="n">
        <f aca="false">(BA78-INDEX(Mortality_Matrix!$B$4:$BS$64,MATCH($A144,Mortality_Matrix!$A$4:$A$64,0),MATCH(2063,Mortality_Matrix!$B$3:$BS$3,0)))/INDEX(Mortality_Matrix!$B$4:$BS$64,MATCH($A144,Mortality_Matrix!$A$4:$A$64,0),MATCH(2063,Mortality_Matrix!$B$3:$BS$3,0))</f>
        <v>3.20851317553828E-011</v>
      </c>
      <c r="BB144" s="27" t="n">
        <f aca="false">(BB78-INDEX(Mortality_Matrix!$B$4:$BS$64,MATCH($A144,Mortality_Matrix!$A$4:$A$64,0),MATCH(2064,Mortality_Matrix!$B$3:$BS$3,0)))/INDEX(Mortality_Matrix!$B$4:$BS$64,MATCH($A144,Mortality_Matrix!$A$4:$A$64,0),MATCH(2064,Mortality_Matrix!$B$3:$BS$3,0))</f>
        <v>3.20851317553828E-011</v>
      </c>
      <c r="BC144" s="27" t="n">
        <f aca="false">(BC78-INDEX(Mortality_Matrix!$B$4:$BS$64,MATCH($A144,Mortality_Matrix!$A$4:$A$64,0),MATCH(2065,Mortality_Matrix!$B$3:$BS$3,0)))/INDEX(Mortality_Matrix!$B$4:$BS$64,MATCH($A144,Mortality_Matrix!$A$4:$A$64,0),MATCH(2065,Mortality_Matrix!$B$3:$BS$3,0))</f>
        <v>3.20851317553828E-011</v>
      </c>
      <c r="BD144" s="27" t="n">
        <f aca="false">(BD78-INDEX(Mortality_Matrix!$B$4:$BS$64,MATCH($A144,Mortality_Matrix!$A$4:$A$64,0),MATCH(2066,Mortality_Matrix!$B$3:$BS$3,0)))/INDEX(Mortality_Matrix!$B$4:$BS$64,MATCH($A144,Mortality_Matrix!$A$4:$A$64,0),MATCH(2066,Mortality_Matrix!$B$3:$BS$3,0))</f>
        <v>3.20851317553828E-011</v>
      </c>
      <c r="BE144" s="27" t="n">
        <f aca="false">(BE78-INDEX(Mortality_Matrix!$B$4:$BS$64,MATCH($A144,Mortality_Matrix!$A$4:$A$64,0),MATCH(2067,Mortality_Matrix!$B$3:$BS$3,0)))/INDEX(Mortality_Matrix!$B$4:$BS$64,MATCH($A144,Mortality_Matrix!$A$4:$A$64,0),MATCH(2067,Mortality_Matrix!$B$3:$BS$3,0))</f>
        <v>3.20851317553828E-011</v>
      </c>
      <c r="BF144" s="27" t="n">
        <f aca="false">(BF78-INDEX(Mortality_Matrix!$B$4:$BS$64,MATCH($A144,Mortality_Matrix!$A$4:$A$64,0),MATCH(2068,Mortality_Matrix!$B$3:$BS$3,0)))/INDEX(Mortality_Matrix!$B$4:$BS$64,MATCH($A144,Mortality_Matrix!$A$4:$A$64,0),MATCH(2068,Mortality_Matrix!$B$3:$BS$3,0))</f>
        <v>3.20851317553828E-011</v>
      </c>
      <c r="BG144" s="27" t="n">
        <f aca="false">(BG78-INDEX(Mortality_Matrix!$B$4:$BS$64,MATCH($A144,Mortality_Matrix!$A$4:$A$64,0),MATCH(2069,Mortality_Matrix!$B$3:$BS$3,0)))/INDEX(Mortality_Matrix!$B$4:$BS$64,MATCH($A144,Mortality_Matrix!$A$4:$A$64,0),MATCH(2069,Mortality_Matrix!$B$3:$BS$3,0))</f>
        <v>3.20851317553828E-011</v>
      </c>
      <c r="BH144" s="27" t="n">
        <f aca="false">(BH78-INDEX(Mortality_Matrix!$B$4:$BS$64,MATCH($A144,Mortality_Matrix!$A$4:$A$64,0),MATCH(2070,Mortality_Matrix!$B$3:$BS$3,0)))/INDEX(Mortality_Matrix!$B$4:$BS$64,MATCH($A144,Mortality_Matrix!$A$4:$A$64,0),MATCH(2070,Mortality_Matrix!$B$3:$BS$3,0))</f>
        <v>3.20851317553828E-011</v>
      </c>
      <c r="BI144" s="27" t="n">
        <f aca="false">(BI78-INDEX(Mortality_Matrix!$B$4:$BS$64,MATCH($A144,Mortality_Matrix!$A$4:$A$64,0),MATCH(2071,Mortality_Matrix!$B$3:$BS$3,0)))/INDEX(Mortality_Matrix!$B$4:$BS$64,MATCH($A144,Mortality_Matrix!$A$4:$A$64,0),MATCH(2071,Mortality_Matrix!$B$3:$BS$3,0))</f>
        <v>3.20851317553828E-011</v>
      </c>
      <c r="BJ144" s="27" t="n">
        <f aca="false">(BJ78-INDEX(Mortality_Matrix!$B$4:$BS$64,MATCH($A144,Mortality_Matrix!$A$4:$A$64,0),MATCH(2072,Mortality_Matrix!$B$3:$BS$3,0)))/INDEX(Mortality_Matrix!$B$4:$BS$64,MATCH($A144,Mortality_Matrix!$A$4:$A$64,0),MATCH(2072,Mortality_Matrix!$B$3:$BS$3,0))</f>
        <v>3.20851317553828E-011</v>
      </c>
      <c r="BK144" s="27" t="n">
        <f aca="false">(BK78-INDEX(Mortality_Matrix!$B$4:$BS$64,MATCH($A144,Mortality_Matrix!$A$4:$A$64,0),MATCH(2073,Mortality_Matrix!$B$3:$BS$3,0)))/INDEX(Mortality_Matrix!$B$4:$BS$64,MATCH($A144,Mortality_Matrix!$A$4:$A$64,0),MATCH(2073,Mortality_Matrix!$B$3:$BS$3,0))</f>
        <v>3.20851317553828E-011</v>
      </c>
      <c r="BL144" s="27" t="n">
        <f aca="false">(BL78-INDEX(Mortality_Matrix!$B$4:$BS$64,MATCH($A144,Mortality_Matrix!$A$4:$A$64,0),MATCH(2074,Mortality_Matrix!$B$3:$BS$3,0)))/INDEX(Mortality_Matrix!$B$4:$BS$64,MATCH($A144,Mortality_Matrix!$A$4:$A$64,0),MATCH(2074,Mortality_Matrix!$B$3:$BS$3,0))</f>
        <v>3.20851317553828E-011</v>
      </c>
      <c r="BM144" s="27" t="n">
        <f aca="false">(BM78-INDEX(Mortality_Matrix!$B$4:$BS$64,MATCH($A144,Mortality_Matrix!$A$4:$A$64,0),MATCH(2075,Mortality_Matrix!$B$3:$BS$3,0)))/INDEX(Mortality_Matrix!$B$4:$BS$64,MATCH($A144,Mortality_Matrix!$A$4:$A$64,0),MATCH(2075,Mortality_Matrix!$B$3:$BS$3,0))</f>
        <v>3.20851317553828E-011</v>
      </c>
      <c r="BN144" s="27" t="n">
        <f aca="false">(BN78-INDEX(Mortality_Matrix!$B$4:$BS$64,MATCH($A144,Mortality_Matrix!$A$4:$A$64,0),MATCH(2076,Mortality_Matrix!$B$3:$BS$3,0)))/INDEX(Mortality_Matrix!$B$4:$BS$64,MATCH($A144,Mortality_Matrix!$A$4:$A$64,0),MATCH(2076,Mortality_Matrix!$B$3:$BS$3,0))</f>
        <v>3.20851317553828E-011</v>
      </c>
      <c r="BO144" s="27" t="n">
        <f aca="false">(BO78-INDEX(Mortality_Matrix!$B$4:$BS$64,MATCH($A144,Mortality_Matrix!$A$4:$A$64,0),MATCH(2077,Mortality_Matrix!$B$3:$BS$3,0)))/INDEX(Mortality_Matrix!$B$4:$BS$64,MATCH($A144,Mortality_Matrix!$A$4:$A$64,0),MATCH(2077,Mortality_Matrix!$B$3:$BS$3,0))</f>
        <v>3.20851317553828E-011</v>
      </c>
      <c r="BP144" s="27" t="n">
        <f aca="false">(BP78-INDEX(Mortality_Matrix!$B$4:$BS$64,MATCH($A144,Mortality_Matrix!$A$4:$A$64,0),MATCH(2078,Mortality_Matrix!$B$3:$BS$3,0)))/INDEX(Mortality_Matrix!$B$4:$BS$64,MATCH($A144,Mortality_Matrix!$A$4:$A$64,0),MATCH(2078,Mortality_Matrix!$B$3:$BS$3,0))</f>
        <v>3.20851317553828E-011</v>
      </c>
      <c r="BQ144" s="27" t="n">
        <f aca="false">(BQ78-INDEX(Mortality_Matrix!$B$4:$BS$64,MATCH($A144,Mortality_Matrix!$A$4:$A$64,0),MATCH(2079,Mortality_Matrix!$B$3:$BS$3,0)))/INDEX(Mortality_Matrix!$B$4:$BS$64,MATCH($A144,Mortality_Matrix!$A$4:$A$64,0),MATCH(2079,Mortality_Matrix!$B$3:$BS$3,0))</f>
        <v>3.20851317553828E-011</v>
      </c>
      <c r="BR144" s="27" t="n">
        <f aca="false">(BR78-INDEX(Mortality_Matrix!$B$4:$BS$64,MATCH($A144,Mortality_Matrix!$A$4:$A$64,0),MATCH(2080,Mortality_Matrix!$B$3:$BS$3,0)))/INDEX(Mortality_Matrix!$B$4:$BS$64,MATCH($A144,Mortality_Matrix!$A$4:$A$64,0),MATCH(2080,Mortality_Matrix!$B$3:$BS$3,0))</f>
        <v>3.20851317553828E-011</v>
      </c>
      <c r="BS144" s="27" t="n">
        <f aca="false">(BS78-INDEX(Mortality_Matrix!$B$4:$BS$64,MATCH($A144,Mortality_Matrix!$A$4:$A$64,0),MATCH(2081,Mortality_Matrix!$B$3:$BS$3,0)))/INDEX(Mortality_Matrix!$B$4:$BS$64,MATCH($A144,Mortality_Matrix!$A$4:$A$64,0),MATCH(2081,Mortality_Matrix!$B$3:$BS$3,0))</f>
        <v>3.20851317553828E-011</v>
      </c>
      <c r="BT144" s="27" t="n">
        <f aca="false">(BT78-INDEX(Mortality_Matrix!$B$4:$BS$64,MATCH($A144,Mortality_Matrix!$A$4:$A$64,0),MATCH(2082,Mortality_Matrix!$B$3:$BS$3,0)))/INDEX(Mortality_Matrix!$B$4:$BS$64,MATCH($A144,Mortality_Matrix!$A$4:$A$64,0),MATCH(2082,Mortality_Matrix!$B$3:$BS$3,0))</f>
        <v>3.20851317553828E-011</v>
      </c>
      <c r="BU144" s="27" t="n">
        <f aca="false">(BU78-INDEX(Mortality_Matrix!$B$4:$BS$64,MATCH($A144,Mortality_Matrix!$A$4:$A$64,0),MATCH(2083,Mortality_Matrix!$B$3:$BS$3,0)))/INDEX(Mortality_Matrix!$B$4:$BS$64,MATCH($A144,Mortality_Matrix!$A$4:$A$64,0),MATCH(2083,Mortality_Matrix!$B$3:$BS$3,0))</f>
        <v>3.20851317553828E-011</v>
      </c>
      <c r="BV144" s="27" t="n">
        <f aca="false">(BV78-INDEX(Mortality_Matrix!$B$4:$BS$64,MATCH($A144,Mortality_Matrix!$A$4:$A$64,0),MATCH(2084,Mortality_Matrix!$B$3:$BS$3,0)))/INDEX(Mortality_Matrix!$B$4:$BS$64,MATCH($A144,Mortality_Matrix!$A$4:$A$64,0),MATCH(2084,Mortality_Matrix!$B$3:$BS$3,0))</f>
        <v>3.20851317553828E-011</v>
      </c>
      <c r="BW144" s="27" t="n">
        <f aca="false">(BW78-INDEX(Mortality_Matrix!$B$4:$BS$64,MATCH($A144,Mortality_Matrix!$A$4:$A$64,0),MATCH(2085,Mortality_Matrix!$B$3:$BS$3,0)))/INDEX(Mortality_Matrix!$B$4:$BS$64,MATCH($A144,Mortality_Matrix!$A$4:$A$64,0),MATCH(2085,Mortality_Matrix!$B$3:$BS$3,0))</f>
        <v>3.20851317553828E-011</v>
      </c>
      <c r="BX144" s="27" t="n">
        <f aca="false">(BX78-INDEX(Mortality_Matrix!$B$4:$BS$64,MATCH($A144,Mortality_Matrix!$A$4:$A$64,0),MATCH(2086,Mortality_Matrix!$B$3:$BS$3,0)))/INDEX(Mortality_Matrix!$B$4:$BS$64,MATCH($A144,Mortality_Matrix!$A$4:$A$64,0),MATCH(2086,Mortality_Matrix!$B$3:$BS$3,0))</f>
        <v>3.20851317553828E-011</v>
      </c>
      <c r="BY144" s="27" t="n">
        <f aca="false">(BY78-INDEX(Mortality_Matrix!$B$4:$BS$64,MATCH($A144,Mortality_Matrix!$A$4:$A$64,0),MATCH(2087,Mortality_Matrix!$B$3:$BS$3,0)))/INDEX(Mortality_Matrix!$B$4:$BS$64,MATCH($A144,Mortality_Matrix!$A$4:$A$64,0),MATCH(2087,Mortality_Matrix!$B$3:$BS$3,0))</f>
        <v>3.20851317553828E-011</v>
      </c>
      <c r="BZ144" s="27" t="n">
        <f aca="false">(BZ78-INDEX(Mortality_Matrix!$B$4:$BS$64,MATCH($A144,Mortality_Matrix!$A$4:$A$64,0),MATCH(2088,Mortality_Matrix!$B$3:$BS$3,0)))/INDEX(Mortality_Matrix!$B$4:$BS$64,MATCH($A144,Mortality_Matrix!$A$4:$A$64,0),MATCH(2088,Mortality_Matrix!$B$3:$BS$3,0))</f>
        <v>3.20851317553828E-011</v>
      </c>
      <c r="CA144" s="27" t="n">
        <f aca="false">(CA78-INDEX(Mortality_Matrix!$B$4:$BS$64,MATCH($A144,Mortality_Matrix!$A$4:$A$64,0),MATCH(2089,Mortality_Matrix!$B$3:$BS$3,0)))/INDEX(Mortality_Matrix!$B$4:$BS$64,MATCH($A144,Mortality_Matrix!$A$4:$A$64,0),MATCH(2089,Mortality_Matrix!$B$3:$BS$3,0))</f>
        <v>3.20851317553828E-011</v>
      </c>
      <c r="CB144" s="27" t="n">
        <f aca="false">(CB78-INDEX(Mortality_Matrix!$B$4:$BS$64,MATCH($A144,Mortality_Matrix!$A$4:$A$64,0),MATCH(2090,Mortality_Matrix!$B$3:$BS$3,0)))/INDEX(Mortality_Matrix!$B$4:$BS$64,MATCH($A144,Mortality_Matrix!$A$4:$A$64,0),MATCH(2090,Mortality_Matrix!$B$3:$BS$3,0))</f>
        <v>3.20851317553828E-011</v>
      </c>
      <c r="CC144" s="27" t="n">
        <f aca="false">(CC78-INDEX(Mortality_Matrix!$B$4:$BS$64,MATCH($A144,Mortality_Matrix!$A$4:$A$64,0),MATCH(2091,Mortality_Matrix!$B$3:$BS$3,0)))/INDEX(Mortality_Matrix!$B$4:$BS$64,MATCH($A144,Mortality_Matrix!$A$4:$A$64,0),MATCH(2091,Mortality_Matrix!$B$3:$BS$3,0))</f>
        <v>3.20851317553828E-011</v>
      </c>
    </row>
    <row r="145" customFormat="false" ht="15" hidden="false" customHeight="true" outlineLevel="0" collapsed="false">
      <c r="A145" s="3" t="n">
        <v>116</v>
      </c>
      <c r="L145" s="27" t="n">
        <f aca="false">(L79-INDEX(Mortality_Matrix!$B$4:$BS$64,MATCH($A145,Mortality_Matrix!$A$4:$A$64,0),MATCH(2022,Mortality_Matrix!$B$3:$BS$3,0)))/INDEX(Mortality_Matrix!$B$4:$BS$64,MATCH($A145,Mortality_Matrix!$A$4:$A$64,0),MATCH(2022,Mortality_Matrix!$B$3:$BS$3,0))</f>
        <v>3.9664598081923E-011</v>
      </c>
      <c r="M145" s="27" t="n">
        <f aca="false">(M79-INDEX(Mortality_Matrix!$B$4:$BS$64,MATCH($A145,Mortality_Matrix!$A$4:$A$64,0),MATCH(2023,Mortality_Matrix!$B$3:$BS$3,0)))/INDEX(Mortality_Matrix!$B$4:$BS$64,MATCH($A145,Mortality_Matrix!$A$4:$A$64,0),MATCH(2023,Mortality_Matrix!$B$3:$BS$3,0))</f>
        <v>-3.19814642000649E-011</v>
      </c>
      <c r="N145" s="27" t="n">
        <f aca="false">(N79-INDEX(Mortality_Matrix!$B$4:$BS$64,MATCH($A145,Mortality_Matrix!$A$4:$A$64,0),MATCH(2024,Mortality_Matrix!$B$3:$BS$3,0)))/INDEX(Mortality_Matrix!$B$4:$BS$64,MATCH($A145,Mortality_Matrix!$A$4:$A$64,0),MATCH(2024,Mortality_Matrix!$B$3:$BS$3,0))</f>
        <v>-3.27113401622771E-011</v>
      </c>
      <c r="O145" s="27" t="n">
        <f aca="false">(O79-INDEX(Mortality_Matrix!$B$4:$BS$64,MATCH($A145,Mortality_Matrix!$A$4:$A$64,0),MATCH(2025,Mortality_Matrix!$B$3:$BS$3,0)))/INDEX(Mortality_Matrix!$B$4:$BS$64,MATCH($A145,Mortality_Matrix!$A$4:$A$64,0),MATCH(2025,Mortality_Matrix!$B$3:$BS$3,0))</f>
        <v>1.13447323116432E-011</v>
      </c>
      <c r="P145" s="27" t="n">
        <f aca="false">(P79-INDEX(Mortality_Matrix!$B$4:$BS$64,MATCH($A145,Mortality_Matrix!$A$4:$A$64,0),MATCH(2026,Mortality_Matrix!$B$3:$BS$3,0)))/INDEX(Mortality_Matrix!$B$4:$BS$64,MATCH($A145,Mortality_Matrix!$A$4:$A$64,0),MATCH(2026,Mortality_Matrix!$B$3:$BS$3,0))</f>
        <v>-8.7959034053266E-011</v>
      </c>
      <c r="Q145" s="27" t="n">
        <f aca="false">(Q79-INDEX(Mortality_Matrix!$B$4:$BS$64,MATCH($A145,Mortality_Matrix!$A$4:$A$64,0),MATCH(2027,Mortality_Matrix!$B$3:$BS$3,0)))/INDEX(Mortality_Matrix!$B$4:$BS$64,MATCH($A145,Mortality_Matrix!$A$4:$A$64,0),MATCH(2027,Mortality_Matrix!$B$3:$BS$3,0))</f>
        <v>-8.7959034053266E-011</v>
      </c>
      <c r="R145" s="27" t="n">
        <f aca="false">(R79-INDEX(Mortality_Matrix!$B$4:$BS$64,MATCH($A145,Mortality_Matrix!$A$4:$A$64,0),MATCH(2028,Mortality_Matrix!$B$3:$BS$3,0)))/INDEX(Mortality_Matrix!$B$4:$BS$64,MATCH($A145,Mortality_Matrix!$A$4:$A$64,0),MATCH(2028,Mortality_Matrix!$B$3:$BS$3,0))</f>
        <v>-8.7959034053266E-011</v>
      </c>
      <c r="S145" s="27" t="n">
        <f aca="false">(S79-INDEX(Mortality_Matrix!$B$4:$BS$64,MATCH($A145,Mortality_Matrix!$A$4:$A$64,0),MATCH(2029,Mortality_Matrix!$B$3:$BS$3,0)))/INDEX(Mortality_Matrix!$B$4:$BS$64,MATCH($A145,Mortality_Matrix!$A$4:$A$64,0),MATCH(2029,Mortality_Matrix!$B$3:$BS$3,0))</f>
        <v>-8.7959034053266E-011</v>
      </c>
      <c r="T145" s="27" t="n">
        <f aca="false">(T79-INDEX(Mortality_Matrix!$B$4:$BS$64,MATCH($A145,Mortality_Matrix!$A$4:$A$64,0),MATCH(2030,Mortality_Matrix!$B$3:$BS$3,0)))/INDEX(Mortality_Matrix!$B$4:$BS$64,MATCH($A145,Mortality_Matrix!$A$4:$A$64,0),MATCH(2030,Mortality_Matrix!$B$3:$BS$3,0))</f>
        <v>-8.7959034053266E-011</v>
      </c>
      <c r="U145" s="27" t="n">
        <f aca="false">(U79-INDEX(Mortality_Matrix!$B$4:$BS$64,MATCH($A145,Mortality_Matrix!$A$4:$A$64,0),MATCH(2031,Mortality_Matrix!$B$3:$BS$3,0)))/INDEX(Mortality_Matrix!$B$4:$BS$64,MATCH($A145,Mortality_Matrix!$A$4:$A$64,0),MATCH(2031,Mortality_Matrix!$B$3:$BS$3,0))</f>
        <v>-8.7959034053266E-011</v>
      </c>
      <c r="V145" s="27" t="n">
        <f aca="false">(V79-INDEX(Mortality_Matrix!$B$4:$BS$64,MATCH($A145,Mortality_Matrix!$A$4:$A$64,0),MATCH(2032,Mortality_Matrix!$B$3:$BS$3,0)))/INDEX(Mortality_Matrix!$B$4:$BS$64,MATCH($A145,Mortality_Matrix!$A$4:$A$64,0),MATCH(2032,Mortality_Matrix!$B$3:$BS$3,0))</f>
        <v>-8.7959034053266E-011</v>
      </c>
      <c r="W145" s="27" t="n">
        <f aca="false">(W79-INDEX(Mortality_Matrix!$B$4:$BS$64,MATCH($A145,Mortality_Matrix!$A$4:$A$64,0),MATCH(2033,Mortality_Matrix!$B$3:$BS$3,0)))/INDEX(Mortality_Matrix!$B$4:$BS$64,MATCH($A145,Mortality_Matrix!$A$4:$A$64,0),MATCH(2033,Mortality_Matrix!$B$3:$BS$3,0))</f>
        <v>-8.7959034053266E-011</v>
      </c>
      <c r="X145" s="27" t="n">
        <f aca="false">(X79-INDEX(Mortality_Matrix!$B$4:$BS$64,MATCH($A145,Mortality_Matrix!$A$4:$A$64,0),MATCH(2034,Mortality_Matrix!$B$3:$BS$3,0)))/INDEX(Mortality_Matrix!$B$4:$BS$64,MATCH($A145,Mortality_Matrix!$A$4:$A$64,0),MATCH(2034,Mortality_Matrix!$B$3:$BS$3,0))</f>
        <v>-8.7959034053266E-011</v>
      </c>
      <c r="Y145" s="27" t="n">
        <f aca="false">(Y79-INDEX(Mortality_Matrix!$B$4:$BS$64,MATCH($A145,Mortality_Matrix!$A$4:$A$64,0),MATCH(2035,Mortality_Matrix!$B$3:$BS$3,0)))/INDEX(Mortality_Matrix!$B$4:$BS$64,MATCH($A145,Mortality_Matrix!$A$4:$A$64,0),MATCH(2035,Mortality_Matrix!$B$3:$BS$3,0))</f>
        <v>-8.7959034053266E-011</v>
      </c>
      <c r="Z145" s="27" t="n">
        <f aca="false">(Z79-INDEX(Mortality_Matrix!$B$4:$BS$64,MATCH($A145,Mortality_Matrix!$A$4:$A$64,0),MATCH(2036,Mortality_Matrix!$B$3:$BS$3,0)))/INDEX(Mortality_Matrix!$B$4:$BS$64,MATCH($A145,Mortality_Matrix!$A$4:$A$64,0),MATCH(2036,Mortality_Matrix!$B$3:$BS$3,0))</f>
        <v>-8.7959034053266E-011</v>
      </c>
      <c r="AA145" s="27" t="n">
        <f aca="false">(AA79-INDEX(Mortality_Matrix!$B$4:$BS$64,MATCH($A145,Mortality_Matrix!$A$4:$A$64,0),MATCH(2037,Mortality_Matrix!$B$3:$BS$3,0)))/INDEX(Mortality_Matrix!$B$4:$BS$64,MATCH($A145,Mortality_Matrix!$A$4:$A$64,0),MATCH(2037,Mortality_Matrix!$B$3:$BS$3,0))</f>
        <v>-8.7959034053266E-011</v>
      </c>
      <c r="AB145" s="27" t="n">
        <f aca="false">(AB79-INDEX(Mortality_Matrix!$B$4:$BS$64,MATCH($A145,Mortality_Matrix!$A$4:$A$64,0),MATCH(2038,Mortality_Matrix!$B$3:$BS$3,0)))/INDEX(Mortality_Matrix!$B$4:$BS$64,MATCH($A145,Mortality_Matrix!$A$4:$A$64,0),MATCH(2038,Mortality_Matrix!$B$3:$BS$3,0))</f>
        <v>-8.7959034053266E-011</v>
      </c>
      <c r="AC145" s="27" t="n">
        <f aca="false">(AC79-INDEX(Mortality_Matrix!$B$4:$BS$64,MATCH($A145,Mortality_Matrix!$A$4:$A$64,0),MATCH(2039,Mortality_Matrix!$B$3:$BS$3,0)))/INDEX(Mortality_Matrix!$B$4:$BS$64,MATCH($A145,Mortality_Matrix!$A$4:$A$64,0),MATCH(2039,Mortality_Matrix!$B$3:$BS$3,0))</f>
        <v>-8.7959034053266E-011</v>
      </c>
      <c r="AD145" s="27" t="n">
        <f aca="false">(AD79-INDEX(Mortality_Matrix!$B$4:$BS$64,MATCH($A145,Mortality_Matrix!$A$4:$A$64,0),MATCH(2040,Mortality_Matrix!$B$3:$BS$3,0)))/INDEX(Mortality_Matrix!$B$4:$BS$64,MATCH($A145,Mortality_Matrix!$A$4:$A$64,0),MATCH(2040,Mortality_Matrix!$B$3:$BS$3,0))</f>
        <v>-8.7959034053266E-011</v>
      </c>
      <c r="AE145" s="27" t="n">
        <f aca="false">(AE79-INDEX(Mortality_Matrix!$B$4:$BS$64,MATCH($A145,Mortality_Matrix!$A$4:$A$64,0),MATCH(2041,Mortality_Matrix!$B$3:$BS$3,0)))/INDEX(Mortality_Matrix!$B$4:$BS$64,MATCH($A145,Mortality_Matrix!$A$4:$A$64,0),MATCH(2041,Mortality_Matrix!$B$3:$BS$3,0))</f>
        <v>-8.7959034053266E-011</v>
      </c>
      <c r="AF145" s="27" t="n">
        <f aca="false">(AF79-INDEX(Mortality_Matrix!$B$4:$BS$64,MATCH($A145,Mortality_Matrix!$A$4:$A$64,0),MATCH(2042,Mortality_Matrix!$B$3:$BS$3,0)))/INDEX(Mortality_Matrix!$B$4:$BS$64,MATCH($A145,Mortality_Matrix!$A$4:$A$64,0),MATCH(2042,Mortality_Matrix!$B$3:$BS$3,0))</f>
        <v>-8.7959034053266E-011</v>
      </c>
      <c r="AG145" s="27" t="n">
        <f aca="false">(AG79-INDEX(Mortality_Matrix!$B$4:$BS$64,MATCH($A145,Mortality_Matrix!$A$4:$A$64,0),MATCH(2043,Mortality_Matrix!$B$3:$BS$3,0)))/INDEX(Mortality_Matrix!$B$4:$BS$64,MATCH($A145,Mortality_Matrix!$A$4:$A$64,0),MATCH(2043,Mortality_Matrix!$B$3:$BS$3,0))</f>
        <v>-8.7959034053266E-011</v>
      </c>
      <c r="AH145" s="27" t="n">
        <f aca="false">(AH79-INDEX(Mortality_Matrix!$B$4:$BS$64,MATCH($A145,Mortality_Matrix!$A$4:$A$64,0),MATCH(2044,Mortality_Matrix!$B$3:$BS$3,0)))/INDEX(Mortality_Matrix!$B$4:$BS$64,MATCH($A145,Mortality_Matrix!$A$4:$A$64,0),MATCH(2044,Mortality_Matrix!$B$3:$BS$3,0))</f>
        <v>-8.7959034053266E-011</v>
      </c>
      <c r="AI145" s="27" t="n">
        <f aca="false">(AI79-INDEX(Mortality_Matrix!$B$4:$BS$64,MATCH($A145,Mortality_Matrix!$A$4:$A$64,0),MATCH(2045,Mortality_Matrix!$B$3:$BS$3,0)))/INDEX(Mortality_Matrix!$B$4:$BS$64,MATCH($A145,Mortality_Matrix!$A$4:$A$64,0),MATCH(2045,Mortality_Matrix!$B$3:$BS$3,0))</f>
        <v>-8.7959034053266E-011</v>
      </c>
      <c r="AJ145" s="27" t="n">
        <f aca="false">(AJ79-INDEX(Mortality_Matrix!$B$4:$BS$64,MATCH($A145,Mortality_Matrix!$A$4:$A$64,0),MATCH(2046,Mortality_Matrix!$B$3:$BS$3,0)))/INDEX(Mortality_Matrix!$B$4:$BS$64,MATCH($A145,Mortality_Matrix!$A$4:$A$64,0),MATCH(2046,Mortality_Matrix!$B$3:$BS$3,0))</f>
        <v>-8.7959034053266E-011</v>
      </c>
      <c r="AK145" s="27" t="n">
        <f aca="false">(AK79-INDEX(Mortality_Matrix!$B$4:$BS$64,MATCH($A145,Mortality_Matrix!$A$4:$A$64,0),MATCH(2047,Mortality_Matrix!$B$3:$BS$3,0)))/INDEX(Mortality_Matrix!$B$4:$BS$64,MATCH($A145,Mortality_Matrix!$A$4:$A$64,0),MATCH(2047,Mortality_Matrix!$B$3:$BS$3,0))</f>
        <v>-8.7959034053266E-011</v>
      </c>
      <c r="AL145" s="27" t="n">
        <f aca="false">(AL79-INDEX(Mortality_Matrix!$B$4:$BS$64,MATCH($A145,Mortality_Matrix!$A$4:$A$64,0),MATCH(2048,Mortality_Matrix!$B$3:$BS$3,0)))/INDEX(Mortality_Matrix!$B$4:$BS$64,MATCH($A145,Mortality_Matrix!$A$4:$A$64,0),MATCH(2048,Mortality_Matrix!$B$3:$BS$3,0))</f>
        <v>-8.7959034053266E-011</v>
      </c>
      <c r="AM145" s="27" t="n">
        <f aca="false">(AM79-INDEX(Mortality_Matrix!$B$4:$BS$64,MATCH($A145,Mortality_Matrix!$A$4:$A$64,0),MATCH(2049,Mortality_Matrix!$B$3:$BS$3,0)))/INDEX(Mortality_Matrix!$B$4:$BS$64,MATCH($A145,Mortality_Matrix!$A$4:$A$64,0),MATCH(2049,Mortality_Matrix!$B$3:$BS$3,0))</f>
        <v>-8.7959034053266E-011</v>
      </c>
      <c r="AN145" s="27" t="n">
        <f aca="false">(AN79-INDEX(Mortality_Matrix!$B$4:$BS$64,MATCH($A145,Mortality_Matrix!$A$4:$A$64,0),MATCH(2050,Mortality_Matrix!$B$3:$BS$3,0)))/INDEX(Mortality_Matrix!$B$4:$BS$64,MATCH($A145,Mortality_Matrix!$A$4:$A$64,0),MATCH(2050,Mortality_Matrix!$B$3:$BS$3,0))</f>
        <v>-8.7959034053266E-011</v>
      </c>
      <c r="AO145" s="27" t="n">
        <f aca="false">(AO79-INDEX(Mortality_Matrix!$B$4:$BS$64,MATCH($A145,Mortality_Matrix!$A$4:$A$64,0),MATCH(2051,Mortality_Matrix!$B$3:$BS$3,0)))/INDEX(Mortality_Matrix!$B$4:$BS$64,MATCH($A145,Mortality_Matrix!$A$4:$A$64,0),MATCH(2051,Mortality_Matrix!$B$3:$BS$3,0))</f>
        <v>-8.7959034053266E-011</v>
      </c>
      <c r="AP145" s="27" t="n">
        <f aca="false">(AP79-INDEX(Mortality_Matrix!$B$4:$BS$64,MATCH($A145,Mortality_Matrix!$A$4:$A$64,0),MATCH(2052,Mortality_Matrix!$B$3:$BS$3,0)))/INDEX(Mortality_Matrix!$B$4:$BS$64,MATCH($A145,Mortality_Matrix!$A$4:$A$64,0),MATCH(2052,Mortality_Matrix!$B$3:$BS$3,0))</f>
        <v>-8.7959034053266E-011</v>
      </c>
      <c r="AQ145" s="27" t="n">
        <f aca="false">(AQ79-INDEX(Mortality_Matrix!$B$4:$BS$64,MATCH($A145,Mortality_Matrix!$A$4:$A$64,0),MATCH(2053,Mortality_Matrix!$B$3:$BS$3,0)))/INDEX(Mortality_Matrix!$B$4:$BS$64,MATCH($A145,Mortality_Matrix!$A$4:$A$64,0),MATCH(2053,Mortality_Matrix!$B$3:$BS$3,0))</f>
        <v>-8.7959034053266E-011</v>
      </c>
      <c r="AR145" s="27" t="n">
        <f aca="false">(AR79-INDEX(Mortality_Matrix!$B$4:$BS$64,MATCH($A145,Mortality_Matrix!$A$4:$A$64,0),MATCH(2054,Mortality_Matrix!$B$3:$BS$3,0)))/INDEX(Mortality_Matrix!$B$4:$BS$64,MATCH($A145,Mortality_Matrix!$A$4:$A$64,0),MATCH(2054,Mortality_Matrix!$B$3:$BS$3,0))</f>
        <v>-8.7959034053266E-011</v>
      </c>
      <c r="AS145" s="27" t="n">
        <f aca="false">(AS79-INDEX(Mortality_Matrix!$B$4:$BS$64,MATCH($A145,Mortality_Matrix!$A$4:$A$64,0),MATCH(2055,Mortality_Matrix!$B$3:$BS$3,0)))/INDEX(Mortality_Matrix!$B$4:$BS$64,MATCH($A145,Mortality_Matrix!$A$4:$A$64,0),MATCH(2055,Mortality_Matrix!$B$3:$BS$3,0))</f>
        <v>-8.7959034053266E-011</v>
      </c>
      <c r="AT145" s="27" t="n">
        <f aca="false">(AT79-INDEX(Mortality_Matrix!$B$4:$BS$64,MATCH($A145,Mortality_Matrix!$A$4:$A$64,0),MATCH(2056,Mortality_Matrix!$B$3:$BS$3,0)))/INDEX(Mortality_Matrix!$B$4:$BS$64,MATCH($A145,Mortality_Matrix!$A$4:$A$64,0),MATCH(2056,Mortality_Matrix!$B$3:$BS$3,0))</f>
        <v>-8.7959034053266E-011</v>
      </c>
      <c r="AU145" s="27" t="n">
        <f aca="false">(AU79-INDEX(Mortality_Matrix!$B$4:$BS$64,MATCH($A145,Mortality_Matrix!$A$4:$A$64,0),MATCH(2057,Mortality_Matrix!$B$3:$BS$3,0)))/INDEX(Mortality_Matrix!$B$4:$BS$64,MATCH($A145,Mortality_Matrix!$A$4:$A$64,0),MATCH(2057,Mortality_Matrix!$B$3:$BS$3,0))</f>
        <v>-8.7959034053266E-011</v>
      </c>
      <c r="AV145" s="27" t="n">
        <f aca="false">(AV79-INDEX(Mortality_Matrix!$B$4:$BS$64,MATCH($A145,Mortality_Matrix!$A$4:$A$64,0),MATCH(2058,Mortality_Matrix!$B$3:$BS$3,0)))/INDEX(Mortality_Matrix!$B$4:$BS$64,MATCH($A145,Mortality_Matrix!$A$4:$A$64,0),MATCH(2058,Mortality_Matrix!$B$3:$BS$3,0))</f>
        <v>-8.7959034053266E-011</v>
      </c>
      <c r="AW145" s="27" t="n">
        <f aca="false">(AW79-INDEX(Mortality_Matrix!$B$4:$BS$64,MATCH($A145,Mortality_Matrix!$A$4:$A$64,0),MATCH(2059,Mortality_Matrix!$B$3:$BS$3,0)))/INDEX(Mortality_Matrix!$B$4:$BS$64,MATCH($A145,Mortality_Matrix!$A$4:$A$64,0),MATCH(2059,Mortality_Matrix!$B$3:$BS$3,0))</f>
        <v>-8.7959034053266E-011</v>
      </c>
      <c r="AX145" s="27" t="n">
        <f aca="false">(AX79-INDEX(Mortality_Matrix!$B$4:$BS$64,MATCH($A145,Mortality_Matrix!$A$4:$A$64,0),MATCH(2060,Mortality_Matrix!$B$3:$BS$3,0)))/INDEX(Mortality_Matrix!$B$4:$BS$64,MATCH($A145,Mortality_Matrix!$A$4:$A$64,0),MATCH(2060,Mortality_Matrix!$B$3:$BS$3,0))</f>
        <v>-8.7959034053266E-011</v>
      </c>
      <c r="AY145" s="27" t="n">
        <f aca="false">(AY79-INDEX(Mortality_Matrix!$B$4:$BS$64,MATCH($A145,Mortality_Matrix!$A$4:$A$64,0),MATCH(2061,Mortality_Matrix!$B$3:$BS$3,0)))/INDEX(Mortality_Matrix!$B$4:$BS$64,MATCH($A145,Mortality_Matrix!$A$4:$A$64,0),MATCH(2061,Mortality_Matrix!$B$3:$BS$3,0))</f>
        <v>-8.7959034053266E-011</v>
      </c>
      <c r="AZ145" s="27" t="n">
        <f aca="false">(AZ79-INDEX(Mortality_Matrix!$B$4:$BS$64,MATCH($A145,Mortality_Matrix!$A$4:$A$64,0),MATCH(2062,Mortality_Matrix!$B$3:$BS$3,0)))/INDEX(Mortality_Matrix!$B$4:$BS$64,MATCH($A145,Mortality_Matrix!$A$4:$A$64,0),MATCH(2062,Mortality_Matrix!$B$3:$BS$3,0))</f>
        <v>-8.7959034053266E-011</v>
      </c>
      <c r="BA145" s="27" t="n">
        <f aca="false">(BA79-INDEX(Mortality_Matrix!$B$4:$BS$64,MATCH($A145,Mortality_Matrix!$A$4:$A$64,0),MATCH(2063,Mortality_Matrix!$B$3:$BS$3,0)))/INDEX(Mortality_Matrix!$B$4:$BS$64,MATCH($A145,Mortality_Matrix!$A$4:$A$64,0),MATCH(2063,Mortality_Matrix!$B$3:$BS$3,0))</f>
        <v>-8.7959034053266E-011</v>
      </c>
      <c r="BB145" s="27" t="n">
        <f aca="false">(BB79-INDEX(Mortality_Matrix!$B$4:$BS$64,MATCH($A145,Mortality_Matrix!$A$4:$A$64,0),MATCH(2064,Mortality_Matrix!$B$3:$BS$3,0)))/INDEX(Mortality_Matrix!$B$4:$BS$64,MATCH($A145,Mortality_Matrix!$A$4:$A$64,0),MATCH(2064,Mortality_Matrix!$B$3:$BS$3,0))</f>
        <v>-8.7959034053266E-011</v>
      </c>
      <c r="BC145" s="27" t="n">
        <f aca="false">(BC79-INDEX(Mortality_Matrix!$B$4:$BS$64,MATCH($A145,Mortality_Matrix!$A$4:$A$64,0),MATCH(2065,Mortality_Matrix!$B$3:$BS$3,0)))/INDEX(Mortality_Matrix!$B$4:$BS$64,MATCH($A145,Mortality_Matrix!$A$4:$A$64,0),MATCH(2065,Mortality_Matrix!$B$3:$BS$3,0))</f>
        <v>-8.7959034053266E-011</v>
      </c>
      <c r="BD145" s="27" t="n">
        <f aca="false">(BD79-INDEX(Mortality_Matrix!$B$4:$BS$64,MATCH($A145,Mortality_Matrix!$A$4:$A$64,0),MATCH(2066,Mortality_Matrix!$B$3:$BS$3,0)))/INDEX(Mortality_Matrix!$B$4:$BS$64,MATCH($A145,Mortality_Matrix!$A$4:$A$64,0),MATCH(2066,Mortality_Matrix!$B$3:$BS$3,0))</f>
        <v>-8.7959034053266E-011</v>
      </c>
      <c r="BE145" s="27" t="n">
        <f aca="false">(BE79-INDEX(Mortality_Matrix!$B$4:$BS$64,MATCH($A145,Mortality_Matrix!$A$4:$A$64,0),MATCH(2067,Mortality_Matrix!$B$3:$BS$3,0)))/INDEX(Mortality_Matrix!$B$4:$BS$64,MATCH($A145,Mortality_Matrix!$A$4:$A$64,0),MATCH(2067,Mortality_Matrix!$B$3:$BS$3,0))</f>
        <v>-8.7959034053266E-011</v>
      </c>
      <c r="BF145" s="27" t="n">
        <f aca="false">(BF79-INDEX(Mortality_Matrix!$B$4:$BS$64,MATCH($A145,Mortality_Matrix!$A$4:$A$64,0),MATCH(2068,Mortality_Matrix!$B$3:$BS$3,0)))/INDEX(Mortality_Matrix!$B$4:$BS$64,MATCH($A145,Mortality_Matrix!$A$4:$A$64,0),MATCH(2068,Mortality_Matrix!$B$3:$BS$3,0))</f>
        <v>-8.7959034053266E-011</v>
      </c>
      <c r="BG145" s="27" t="n">
        <f aca="false">(BG79-INDEX(Mortality_Matrix!$B$4:$BS$64,MATCH($A145,Mortality_Matrix!$A$4:$A$64,0),MATCH(2069,Mortality_Matrix!$B$3:$BS$3,0)))/INDEX(Mortality_Matrix!$B$4:$BS$64,MATCH($A145,Mortality_Matrix!$A$4:$A$64,0),MATCH(2069,Mortality_Matrix!$B$3:$BS$3,0))</f>
        <v>-8.7959034053266E-011</v>
      </c>
      <c r="BH145" s="27" t="n">
        <f aca="false">(BH79-INDEX(Mortality_Matrix!$B$4:$BS$64,MATCH($A145,Mortality_Matrix!$A$4:$A$64,0),MATCH(2070,Mortality_Matrix!$B$3:$BS$3,0)))/INDEX(Mortality_Matrix!$B$4:$BS$64,MATCH($A145,Mortality_Matrix!$A$4:$A$64,0),MATCH(2070,Mortality_Matrix!$B$3:$BS$3,0))</f>
        <v>-8.7959034053266E-011</v>
      </c>
      <c r="BI145" s="27" t="n">
        <f aca="false">(BI79-INDEX(Mortality_Matrix!$B$4:$BS$64,MATCH($A145,Mortality_Matrix!$A$4:$A$64,0),MATCH(2071,Mortality_Matrix!$B$3:$BS$3,0)))/INDEX(Mortality_Matrix!$B$4:$BS$64,MATCH($A145,Mortality_Matrix!$A$4:$A$64,0),MATCH(2071,Mortality_Matrix!$B$3:$BS$3,0))</f>
        <v>-8.7959034053266E-011</v>
      </c>
      <c r="BJ145" s="27" t="n">
        <f aca="false">(BJ79-INDEX(Mortality_Matrix!$B$4:$BS$64,MATCH($A145,Mortality_Matrix!$A$4:$A$64,0),MATCH(2072,Mortality_Matrix!$B$3:$BS$3,0)))/INDEX(Mortality_Matrix!$B$4:$BS$64,MATCH($A145,Mortality_Matrix!$A$4:$A$64,0),MATCH(2072,Mortality_Matrix!$B$3:$BS$3,0))</f>
        <v>-8.7959034053266E-011</v>
      </c>
      <c r="BK145" s="27" t="n">
        <f aca="false">(BK79-INDEX(Mortality_Matrix!$B$4:$BS$64,MATCH($A145,Mortality_Matrix!$A$4:$A$64,0),MATCH(2073,Mortality_Matrix!$B$3:$BS$3,0)))/INDEX(Mortality_Matrix!$B$4:$BS$64,MATCH($A145,Mortality_Matrix!$A$4:$A$64,0),MATCH(2073,Mortality_Matrix!$B$3:$BS$3,0))</f>
        <v>-8.7959034053266E-011</v>
      </c>
      <c r="BL145" s="27" t="n">
        <f aca="false">(BL79-INDEX(Mortality_Matrix!$B$4:$BS$64,MATCH($A145,Mortality_Matrix!$A$4:$A$64,0),MATCH(2074,Mortality_Matrix!$B$3:$BS$3,0)))/INDEX(Mortality_Matrix!$B$4:$BS$64,MATCH($A145,Mortality_Matrix!$A$4:$A$64,0),MATCH(2074,Mortality_Matrix!$B$3:$BS$3,0))</f>
        <v>-8.7959034053266E-011</v>
      </c>
      <c r="BM145" s="27" t="n">
        <f aca="false">(BM79-INDEX(Mortality_Matrix!$B$4:$BS$64,MATCH($A145,Mortality_Matrix!$A$4:$A$64,0),MATCH(2075,Mortality_Matrix!$B$3:$BS$3,0)))/INDEX(Mortality_Matrix!$B$4:$BS$64,MATCH($A145,Mortality_Matrix!$A$4:$A$64,0),MATCH(2075,Mortality_Matrix!$B$3:$BS$3,0))</f>
        <v>-8.7959034053266E-011</v>
      </c>
      <c r="BN145" s="27" t="n">
        <f aca="false">(BN79-INDEX(Mortality_Matrix!$B$4:$BS$64,MATCH($A145,Mortality_Matrix!$A$4:$A$64,0),MATCH(2076,Mortality_Matrix!$B$3:$BS$3,0)))/INDEX(Mortality_Matrix!$B$4:$BS$64,MATCH($A145,Mortality_Matrix!$A$4:$A$64,0),MATCH(2076,Mortality_Matrix!$B$3:$BS$3,0))</f>
        <v>-8.7959034053266E-011</v>
      </c>
      <c r="BO145" s="27" t="n">
        <f aca="false">(BO79-INDEX(Mortality_Matrix!$B$4:$BS$64,MATCH($A145,Mortality_Matrix!$A$4:$A$64,0),MATCH(2077,Mortality_Matrix!$B$3:$BS$3,0)))/INDEX(Mortality_Matrix!$B$4:$BS$64,MATCH($A145,Mortality_Matrix!$A$4:$A$64,0),MATCH(2077,Mortality_Matrix!$B$3:$BS$3,0))</f>
        <v>-8.7959034053266E-011</v>
      </c>
      <c r="BP145" s="27" t="n">
        <f aca="false">(BP79-INDEX(Mortality_Matrix!$B$4:$BS$64,MATCH($A145,Mortality_Matrix!$A$4:$A$64,0),MATCH(2078,Mortality_Matrix!$B$3:$BS$3,0)))/INDEX(Mortality_Matrix!$B$4:$BS$64,MATCH($A145,Mortality_Matrix!$A$4:$A$64,0),MATCH(2078,Mortality_Matrix!$B$3:$BS$3,0))</f>
        <v>-8.7959034053266E-011</v>
      </c>
      <c r="BQ145" s="27" t="n">
        <f aca="false">(BQ79-INDEX(Mortality_Matrix!$B$4:$BS$64,MATCH($A145,Mortality_Matrix!$A$4:$A$64,0),MATCH(2079,Mortality_Matrix!$B$3:$BS$3,0)))/INDEX(Mortality_Matrix!$B$4:$BS$64,MATCH($A145,Mortality_Matrix!$A$4:$A$64,0),MATCH(2079,Mortality_Matrix!$B$3:$BS$3,0))</f>
        <v>-8.7959034053266E-011</v>
      </c>
      <c r="BR145" s="27" t="n">
        <f aca="false">(BR79-INDEX(Mortality_Matrix!$B$4:$BS$64,MATCH($A145,Mortality_Matrix!$A$4:$A$64,0),MATCH(2080,Mortality_Matrix!$B$3:$BS$3,0)))/INDEX(Mortality_Matrix!$B$4:$BS$64,MATCH($A145,Mortality_Matrix!$A$4:$A$64,0),MATCH(2080,Mortality_Matrix!$B$3:$BS$3,0))</f>
        <v>-8.7959034053266E-011</v>
      </c>
      <c r="BS145" s="27" t="n">
        <f aca="false">(BS79-INDEX(Mortality_Matrix!$B$4:$BS$64,MATCH($A145,Mortality_Matrix!$A$4:$A$64,0),MATCH(2081,Mortality_Matrix!$B$3:$BS$3,0)))/INDEX(Mortality_Matrix!$B$4:$BS$64,MATCH($A145,Mortality_Matrix!$A$4:$A$64,0),MATCH(2081,Mortality_Matrix!$B$3:$BS$3,0))</f>
        <v>-8.7959034053266E-011</v>
      </c>
      <c r="BT145" s="27" t="n">
        <f aca="false">(BT79-INDEX(Mortality_Matrix!$B$4:$BS$64,MATCH($A145,Mortality_Matrix!$A$4:$A$64,0),MATCH(2082,Mortality_Matrix!$B$3:$BS$3,0)))/INDEX(Mortality_Matrix!$B$4:$BS$64,MATCH($A145,Mortality_Matrix!$A$4:$A$64,0),MATCH(2082,Mortality_Matrix!$B$3:$BS$3,0))</f>
        <v>-8.7959034053266E-011</v>
      </c>
      <c r="BU145" s="27" t="n">
        <f aca="false">(BU79-INDEX(Mortality_Matrix!$B$4:$BS$64,MATCH($A145,Mortality_Matrix!$A$4:$A$64,0),MATCH(2083,Mortality_Matrix!$B$3:$BS$3,0)))/INDEX(Mortality_Matrix!$B$4:$BS$64,MATCH($A145,Mortality_Matrix!$A$4:$A$64,0),MATCH(2083,Mortality_Matrix!$B$3:$BS$3,0))</f>
        <v>-8.7959034053266E-011</v>
      </c>
      <c r="BV145" s="27" t="n">
        <f aca="false">(BV79-INDEX(Mortality_Matrix!$B$4:$BS$64,MATCH($A145,Mortality_Matrix!$A$4:$A$64,0),MATCH(2084,Mortality_Matrix!$B$3:$BS$3,0)))/INDEX(Mortality_Matrix!$B$4:$BS$64,MATCH($A145,Mortality_Matrix!$A$4:$A$64,0),MATCH(2084,Mortality_Matrix!$B$3:$BS$3,0))</f>
        <v>-8.7959034053266E-011</v>
      </c>
      <c r="BW145" s="27" t="n">
        <f aca="false">(BW79-INDEX(Mortality_Matrix!$B$4:$BS$64,MATCH($A145,Mortality_Matrix!$A$4:$A$64,0),MATCH(2085,Mortality_Matrix!$B$3:$BS$3,0)))/INDEX(Mortality_Matrix!$B$4:$BS$64,MATCH($A145,Mortality_Matrix!$A$4:$A$64,0),MATCH(2085,Mortality_Matrix!$B$3:$BS$3,0))</f>
        <v>-8.7959034053266E-011</v>
      </c>
      <c r="BX145" s="27" t="n">
        <f aca="false">(BX79-INDEX(Mortality_Matrix!$B$4:$BS$64,MATCH($A145,Mortality_Matrix!$A$4:$A$64,0),MATCH(2086,Mortality_Matrix!$B$3:$BS$3,0)))/INDEX(Mortality_Matrix!$B$4:$BS$64,MATCH($A145,Mortality_Matrix!$A$4:$A$64,0),MATCH(2086,Mortality_Matrix!$B$3:$BS$3,0))</f>
        <v>-8.7959034053266E-011</v>
      </c>
      <c r="BY145" s="27" t="n">
        <f aca="false">(BY79-INDEX(Mortality_Matrix!$B$4:$BS$64,MATCH($A145,Mortality_Matrix!$A$4:$A$64,0),MATCH(2087,Mortality_Matrix!$B$3:$BS$3,0)))/INDEX(Mortality_Matrix!$B$4:$BS$64,MATCH($A145,Mortality_Matrix!$A$4:$A$64,0),MATCH(2087,Mortality_Matrix!$B$3:$BS$3,0))</f>
        <v>-8.7959034053266E-011</v>
      </c>
      <c r="BZ145" s="27" t="n">
        <f aca="false">(BZ79-INDEX(Mortality_Matrix!$B$4:$BS$64,MATCH($A145,Mortality_Matrix!$A$4:$A$64,0),MATCH(2088,Mortality_Matrix!$B$3:$BS$3,0)))/INDEX(Mortality_Matrix!$B$4:$BS$64,MATCH($A145,Mortality_Matrix!$A$4:$A$64,0),MATCH(2088,Mortality_Matrix!$B$3:$BS$3,0))</f>
        <v>-8.7959034053266E-011</v>
      </c>
      <c r="CA145" s="27" t="n">
        <f aca="false">(CA79-INDEX(Mortality_Matrix!$B$4:$BS$64,MATCH($A145,Mortality_Matrix!$A$4:$A$64,0),MATCH(2089,Mortality_Matrix!$B$3:$BS$3,0)))/INDEX(Mortality_Matrix!$B$4:$BS$64,MATCH($A145,Mortality_Matrix!$A$4:$A$64,0),MATCH(2089,Mortality_Matrix!$B$3:$BS$3,0))</f>
        <v>-8.7959034053266E-011</v>
      </c>
      <c r="CB145" s="27" t="n">
        <f aca="false">(CB79-INDEX(Mortality_Matrix!$B$4:$BS$64,MATCH($A145,Mortality_Matrix!$A$4:$A$64,0),MATCH(2090,Mortality_Matrix!$B$3:$BS$3,0)))/INDEX(Mortality_Matrix!$B$4:$BS$64,MATCH($A145,Mortality_Matrix!$A$4:$A$64,0),MATCH(2090,Mortality_Matrix!$B$3:$BS$3,0))</f>
        <v>-8.7959034053266E-011</v>
      </c>
      <c r="CC145" s="27" t="n">
        <f aca="false">(CC79-INDEX(Mortality_Matrix!$B$4:$BS$64,MATCH($A145,Mortality_Matrix!$A$4:$A$64,0),MATCH(2091,Mortality_Matrix!$B$3:$BS$3,0)))/INDEX(Mortality_Matrix!$B$4:$BS$64,MATCH($A145,Mortality_Matrix!$A$4:$A$64,0),MATCH(2091,Mortality_Matrix!$B$3:$BS$3,0))</f>
        <v>-8.7959034053266E-011</v>
      </c>
    </row>
    <row r="146" customFormat="false" ht="15" hidden="false" customHeight="true" outlineLevel="0" collapsed="false">
      <c r="A146" s="3" t="n">
        <v>117</v>
      </c>
      <c r="L146" s="27" t="n">
        <f aca="false">(L80-INDEX(Mortality_Matrix!$B$4:$BS$64,MATCH($A146,Mortality_Matrix!$A$4:$A$64,0),MATCH(2022,Mortality_Matrix!$B$3:$BS$3,0)))/INDEX(Mortality_Matrix!$B$4:$BS$64,MATCH($A146,Mortality_Matrix!$A$4:$A$64,0),MATCH(2022,Mortality_Matrix!$B$3:$BS$3,0))</f>
        <v>-3.32869782657784E-011</v>
      </c>
      <c r="M146" s="27" t="n">
        <f aca="false">(M80-INDEX(Mortality_Matrix!$B$4:$BS$64,MATCH($A146,Mortality_Matrix!$A$4:$A$64,0),MATCH(2023,Mortality_Matrix!$B$3:$BS$3,0)))/INDEX(Mortality_Matrix!$B$4:$BS$64,MATCH($A146,Mortality_Matrix!$A$4:$A$64,0),MATCH(2023,Mortality_Matrix!$B$3:$BS$3,0))</f>
        <v>-8.49989827944324E-011</v>
      </c>
      <c r="N146" s="27" t="n">
        <f aca="false">(N80-INDEX(Mortality_Matrix!$B$4:$BS$64,MATCH($A146,Mortality_Matrix!$A$4:$A$64,0),MATCH(2024,Mortality_Matrix!$B$3:$BS$3,0)))/INDEX(Mortality_Matrix!$B$4:$BS$64,MATCH($A146,Mortality_Matrix!$A$4:$A$64,0),MATCH(2024,Mortality_Matrix!$B$3:$BS$3,0))</f>
        <v>-1.96578420853362E-011</v>
      </c>
      <c r="O146" s="27" t="n">
        <f aca="false">(O80-INDEX(Mortality_Matrix!$B$4:$BS$64,MATCH($A146,Mortality_Matrix!$A$4:$A$64,0),MATCH(2025,Mortality_Matrix!$B$3:$BS$3,0)))/INDEX(Mortality_Matrix!$B$4:$BS$64,MATCH($A146,Mortality_Matrix!$A$4:$A$64,0),MATCH(2025,Mortality_Matrix!$B$3:$BS$3,0))</f>
        <v>4.11290874404402E-012</v>
      </c>
      <c r="P146" s="27" t="n">
        <f aca="false">(P80-INDEX(Mortality_Matrix!$B$4:$BS$64,MATCH($A146,Mortality_Matrix!$A$4:$A$64,0),MATCH(2026,Mortality_Matrix!$B$3:$BS$3,0)))/INDEX(Mortality_Matrix!$B$4:$BS$64,MATCH($A146,Mortality_Matrix!$A$4:$A$64,0),MATCH(2026,Mortality_Matrix!$B$3:$BS$3,0))</f>
        <v>1.7263154066239E-011</v>
      </c>
      <c r="Q146" s="27" t="n">
        <f aca="false">(Q80-INDEX(Mortality_Matrix!$B$4:$BS$64,MATCH($A146,Mortality_Matrix!$A$4:$A$64,0),MATCH(2027,Mortality_Matrix!$B$3:$BS$3,0)))/INDEX(Mortality_Matrix!$B$4:$BS$64,MATCH($A146,Mortality_Matrix!$A$4:$A$64,0),MATCH(2027,Mortality_Matrix!$B$3:$BS$3,0))</f>
        <v>1.7263154066239E-011</v>
      </c>
      <c r="R146" s="27" t="n">
        <f aca="false">(R80-INDEX(Mortality_Matrix!$B$4:$BS$64,MATCH($A146,Mortality_Matrix!$A$4:$A$64,0),MATCH(2028,Mortality_Matrix!$B$3:$BS$3,0)))/INDEX(Mortality_Matrix!$B$4:$BS$64,MATCH($A146,Mortality_Matrix!$A$4:$A$64,0),MATCH(2028,Mortality_Matrix!$B$3:$BS$3,0))</f>
        <v>1.7263154066239E-011</v>
      </c>
      <c r="S146" s="27" t="n">
        <f aca="false">(S80-INDEX(Mortality_Matrix!$B$4:$BS$64,MATCH($A146,Mortality_Matrix!$A$4:$A$64,0),MATCH(2029,Mortality_Matrix!$B$3:$BS$3,0)))/INDEX(Mortality_Matrix!$B$4:$BS$64,MATCH($A146,Mortality_Matrix!$A$4:$A$64,0),MATCH(2029,Mortality_Matrix!$B$3:$BS$3,0))</f>
        <v>1.7263154066239E-011</v>
      </c>
      <c r="T146" s="27" t="n">
        <f aca="false">(T80-INDEX(Mortality_Matrix!$B$4:$BS$64,MATCH($A146,Mortality_Matrix!$A$4:$A$64,0),MATCH(2030,Mortality_Matrix!$B$3:$BS$3,0)))/INDEX(Mortality_Matrix!$B$4:$BS$64,MATCH($A146,Mortality_Matrix!$A$4:$A$64,0),MATCH(2030,Mortality_Matrix!$B$3:$BS$3,0))</f>
        <v>1.7263154066239E-011</v>
      </c>
      <c r="U146" s="27" t="n">
        <f aca="false">(U80-INDEX(Mortality_Matrix!$B$4:$BS$64,MATCH($A146,Mortality_Matrix!$A$4:$A$64,0),MATCH(2031,Mortality_Matrix!$B$3:$BS$3,0)))/INDEX(Mortality_Matrix!$B$4:$BS$64,MATCH($A146,Mortality_Matrix!$A$4:$A$64,0),MATCH(2031,Mortality_Matrix!$B$3:$BS$3,0))</f>
        <v>1.7263154066239E-011</v>
      </c>
      <c r="V146" s="27" t="n">
        <f aca="false">(V80-INDEX(Mortality_Matrix!$B$4:$BS$64,MATCH($A146,Mortality_Matrix!$A$4:$A$64,0),MATCH(2032,Mortality_Matrix!$B$3:$BS$3,0)))/INDEX(Mortality_Matrix!$B$4:$BS$64,MATCH($A146,Mortality_Matrix!$A$4:$A$64,0),MATCH(2032,Mortality_Matrix!$B$3:$BS$3,0))</f>
        <v>1.7263154066239E-011</v>
      </c>
      <c r="W146" s="27" t="n">
        <f aca="false">(W80-INDEX(Mortality_Matrix!$B$4:$BS$64,MATCH($A146,Mortality_Matrix!$A$4:$A$64,0),MATCH(2033,Mortality_Matrix!$B$3:$BS$3,0)))/INDEX(Mortality_Matrix!$B$4:$BS$64,MATCH($A146,Mortality_Matrix!$A$4:$A$64,0),MATCH(2033,Mortality_Matrix!$B$3:$BS$3,0))</f>
        <v>1.7263154066239E-011</v>
      </c>
      <c r="X146" s="27" t="n">
        <f aca="false">(X80-INDEX(Mortality_Matrix!$B$4:$BS$64,MATCH($A146,Mortality_Matrix!$A$4:$A$64,0),MATCH(2034,Mortality_Matrix!$B$3:$BS$3,0)))/INDEX(Mortality_Matrix!$B$4:$BS$64,MATCH($A146,Mortality_Matrix!$A$4:$A$64,0),MATCH(2034,Mortality_Matrix!$B$3:$BS$3,0))</f>
        <v>1.7263154066239E-011</v>
      </c>
      <c r="Y146" s="27" t="n">
        <f aca="false">(Y80-INDEX(Mortality_Matrix!$B$4:$BS$64,MATCH($A146,Mortality_Matrix!$A$4:$A$64,0),MATCH(2035,Mortality_Matrix!$B$3:$BS$3,0)))/INDEX(Mortality_Matrix!$B$4:$BS$64,MATCH($A146,Mortality_Matrix!$A$4:$A$64,0),MATCH(2035,Mortality_Matrix!$B$3:$BS$3,0))</f>
        <v>1.7263154066239E-011</v>
      </c>
      <c r="Z146" s="27" t="n">
        <f aca="false">(Z80-INDEX(Mortality_Matrix!$B$4:$BS$64,MATCH($A146,Mortality_Matrix!$A$4:$A$64,0),MATCH(2036,Mortality_Matrix!$B$3:$BS$3,0)))/INDEX(Mortality_Matrix!$B$4:$BS$64,MATCH($A146,Mortality_Matrix!$A$4:$A$64,0),MATCH(2036,Mortality_Matrix!$B$3:$BS$3,0))</f>
        <v>1.7263154066239E-011</v>
      </c>
      <c r="AA146" s="27" t="n">
        <f aca="false">(AA80-INDEX(Mortality_Matrix!$B$4:$BS$64,MATCH($A146,Mortality_Matrix!$A$4:$A$64,0),MATCH(2037,Mortality_Matrix!$B$3:$BS$3,0)))/INDEX(Mortality_Matrix!$B$4:$BS$64,MATCH($A146,Mortality_Matrix!$A$4:$A$64,0),MATCH(2037,Mortality_Matrix!$B$3:$BS$3,0))</f>
        <v>1.7263154066239E-011</v>
      </c>
      <c r="AB146" s="27" t="n">
        <f aca="false">(AB80-INDEX(Mortality_Matrix!$B$4:$BS$64,MATCH($A146,Mortality_Matrix!$A$4:$A$64,0),MATCH(2038,Mortality_Matrix!$B$3:$BS$3,0)))/INDEX(Mortality_Matrix!$B$4:$BS$64,MATCH($A146,Mortality_Matrix!$A$4:$A$64,0),MATCH(2038,Mortality_Matrix!$B$3:$BS$3,0))</f>
        <v>1.7263154066239E-011</v>
      </c>
      <c r="AC146" s="27" t="n">
        <f aca="false">(AC80-INDEX(Mortality_Matrix!$B$4:$BS$64,MATCH($A146,Mortality_Matrix!$A$4:$A$64,0),MATCH(2039,Mortality_Matrix!$B$3:$BS$3,0)))/INDEX(Mortality_Matrix!$B$4:$BS$64,MATCH($A146,Mortality_Matrix!$A$4:$A$64,0),MATCH(2039,Mortality_Matrix!$B$3:$BS$3,0))</f>
        <v>1.7263154066239E-011</v>
      </c>
      <c r="AD146" s="27" t="n">
        <f aca="false">(AD80-INDEX(Mortality_Matrix!$B$4:$BS$64,MATCH($A146,Mortality_Matrix!$A$4:$A$64,0),MATCH(2040,Mortality_Matrix!$B$3:$BS$3,0)))/INDEX(Mortality_Matrix!$B$4:$BS$64,MATCH($A146,Mortality_Matrix!$A$4:$A$64,0),MATCH(2040,Mortality_Matrix!$B$3:$BS$3,0))</f>
        <v>1.7263154066239E-011</v>
      </c>
      <c r="AE146" s="27" t="n">
        <f aca="false">(AE80-INDEX(Mortality_Matrix!$B$4:$BS$64,MATCH($A146,Mortality_Matrix!$A$4:$A$64,0),MATCH(2041,Mortality_Matrix!$B$3:$BS$3,0)))/INDEX(Mortality_Matrix!$B$4:$BS$64,MATCH($A146,Mortality_Matrix!$A$4:$A$64,0),MATCH(2041,Mortality_Matrix!$B$3:$BS$3,0))</f>
        <v>1.7263154066239E-011</v>
      </c>
      <c r="AF146" s="27" t="n">
        <f aca="false">(AF80-INDEX(Mortality_Matrix!$B$4:$BS$64,MATCH($A146,Mortality_Matrix!$A$4:$A$64,0),MATCH(2042,Mortality_Matrix!$B$3:$BS$3,0)))/INDEX(Mortality_Matrix!$B$4:$BS$64,MATCH($A146,Mortality_Matrix!$A$4:$A$64,0),MATCH(2042,Mortality_Matrix!$B$3:$BS$3,0))</f>
        <v>1.7263154066239E-011</v>
      </c>
      <c r="AG146" s="27" t="n">
        <f aca="false">(AG80-INDEX(Mortality_Matrix!$B$4:$BS$64,MATCH($A146,Mortality_Matrix!$A$4:$A$64,0),MATCH(2043,Mortality_Matrix!$B$3:$BS$3,0)))/INDEX(Mortality_Matrix!$B$4:$BS$64,MATCH($A146,Mortality_Matrix!$A$4:$A$64,0),MATCH(2043,Mortality_Matrix!$B$3:$BS$3,0))</f>
        <v>1.7263154066239E-011</v>
      </c>
      <c r="AH146" s="27" t="n">
        <f aca="false">(AH80-INDEX(Mortality_Matrix!$B$4:$BS$64,MATCH($A146,Mortality_Matrix!$A$4:$A$64,0),MATCH(2044,Mortality_Matrix!$B$3:$BS$3,0)))/INDEX(Mortality_Matrix!$B$4:$BS$64,MATCH($A146,Mortality_Matrix!$A$4:$A$64,0),MATCH(2044,Mortality_Matrix!$B$3:$BS$3,0))</f>
        <v>1.7263154066239E-011</v>
      </c>
      <c r="AI146" s="27" t="n">
        <f aca="false">(AI80-INDEX(Mortality_Matrix!$B$4:$BS$64,MATCH($A146,Mortality_Matrix!$A$4:$A$64,0),MATCH(2045,Mortality_Matrix!$B$3:$BS$3,0)))/INDEX(Mortality_Matrix!$B$4:$BS$64,MATCH($A146,Mortality_Matrix!$A$4:$A$64,0),MATCH(2045,Mortality_Matrix!$B$3:$BS$3,0))</f>
        <v>1.7263154066239E-011</v>
      </c>
      <c r="AJ146" s="27" t="n">
        <f aca="false">(AJ80-INDEX(Mortality_Matrix!$B$4:$BS$64,MATCH($A146,Mortality_Matrix!$A$4:$A$64,0),MATCH(2046,Mortality_Matrix!$B$3:$BS$3,0)))/INDEX(Mortality_Matrix!$B$4:$BS$64,MATCH($A146,Mortality_Matrix!$A$4:$A$64,0),MATCH(2046,Mortality_Matrix!$B$3:$BS$3,0))</f>
        <v>1.7263154066239E-011</v>
      </c>
      <c r="AK146" s="27" t="n">
        <f aca="false">(AK80-INDEX(Mortality_Matrix!$B$4:$BS$64,MATCH($A146,Mortality_Matrix!$A$4:$A$64,0),MATCH(2047,Mortality_Matrix!$B$3:$BS$3,0)))/INDEX(Mortality_Matrix!$B$4:$BS$64,MATCH($A146,Mortality_Matrix!$A$4:$A$64,0),MATCH(2047,Mortality_Matrix!$B$3:$BS$3,0))</f>
        <v>1.7263154066239E-011</v>
      </c>
      <c r="AL146" s="27" t="n">
        <f aca="false">(AL80-INDEX(Mortality_Matrix!$B$4:$BS$64,MATCH($A146,Mortality_Matrix!$A$4:$A$64,0),MATCH(2048,Mortality_Matrix!$B$3:$BS$3,0)))/INDEX(Mortality_Matrix!$B$4:$BS$64,MATCH($A146,Mortality_Matrix!$A$4:$A$64,0),MATCH(2048,Mortality_Matrix!$B$3:$BS$3,0))</f>
        <v>1.7263154066239E-011</v>
      </c>
      <c r="AM146" s="27" t="n">
        <f aca="false">(AM80-INDEX(Mortality_Matrix!$B$4:$BS$64,MATCH($A146,Mortality_Matrix!$A$4:$A$64,0),MATCH(2049,Mortality_Matrix!$B$3:$BS$3,0)))/INDEX(Mortality_Matrix!$B$4:$BS$64,MATCH($A146,Mortality_Matrix!$A$4:$A$64,0),MATCH(2049,Mortality_Matrix!$B$3:$BS$3,0))</f>
        <v>1.7263154066239E-011</v>
      </c>
      <c r="AN146" s="27" t="n">
        <f aca="false">(AN80-INDEX(Mortality_Matrix!$B$4:$BS$64,MATCH($A146,Mortality_Matrix!$A$4:$A$64,0),MATCH(2050,Mortality_Matrix!$B$3:$BS$3,0)))/INDEX(Mortality_Matrix!$B$4:$BS$64,MATCH($A146,Mortality_Matrix!$A$4:$A$64,0),MATCH(2050,Mortality_Matrix!$B$3:$BS$3,0))</f>
        <v>1.7263154066239E-011</v>
      </c>
      <c r="AO146" s="27" t="n">
        <f aca="false">(AO80-INDEX(Mortality_Matrix!$B$4:$BS$64,MATCH($A146,Mortality_Matrix!$A$4:$A$64,0),MATCH(2051,Mortality_Matrix!$B$3:$BS$3,0)))/INDEX(Mortality_Matrix!$B$4:$BS$64,MATCH($A146,Mortality_Matrix!$A$4:$A$64,0),MATCH(2051,Mortality_Matrix!$B$3:$BS$3,0))</f>
        <v>1.7263154066239E-011</v>
      </c>
      <c r="AP146" s="27" t="n">
        <f aca="false">(AP80-INDEX(Mortality_Matrix!$B$4:$BS$64,MATCH($A146,Mortality_Matrix!$A$4:$A$64,0),MATCH(2052,Mortality_Matrix!$B$3:$BS$3,0)))/INDEX(Mortality_Matrix!$B$4:$BS$64,MATCH($A146,Mortality_Matrix!$A$4:$A$64,0),MATCH(2052,Mortality_Matrix!$B$3:$BS$3,0))</f>
        <v>1.7263154066239E-011</v>
      </c>
      <c r="AQ146" s="27" t="n">
        <f aca="false">(AQ80-INDEX(Mortality_Matrix!$B$4:$BS$64,MATCH($A146,Mortality_Matrix!$A$4:$A$64,0),MATCH(2053,Mortality_Matrix!$B$3:$BS$3,0)))/INDEX(Mortality_Matrix!$B$4:$BS$64,MATCH($A146,Mortality_Matrix!$A$4:$A$64,0),MATCH(2053,Mortality_Matrix!$B$3:$BS$3,0))</f>
        <v>1.7263154066239E-011</v>
      </c>
      <c r="AR146" s="27" t="n">
        <f aca="false">(AR80-INDEX(Mortality_Matrix!$B$4:$BS$64,MATCH($A146,Mortality_Matrix!$A$4:$A$64,0),MATCH(2054,Mortality_Matrix!$B$3:$BS$3,0)))/INDEX(Mortality_Matrix!$B$4:$BS$64,MATCH($A146,Mortality_Matrix!$A$4:$A$64,0),MATCH(2054,Mortality_Matrix!$B$3:$BS$3,0))</f>
        <v>1.7263154066239E-011</v>
      </c>
      <c r="AS146" s="27" t="n">
        <f aca="false">(AS80-INDEX(Mortality_Matrix!$B$4:$BS$64,MATCH($A146,Mortality_Matrix!$A$4:$A$64,0),MATCH(2055,Mortality_Matrix!$B$3:$BS$3,0)))/INDEX(Mortality_Matrix!$B$4:$BS$64,MATCH($A146,Mortality_Matrix!$A$4:$A$64,0),MATCH(2055,Mortality_Matrix!$B$3:$BS$3,0))</f>
        <v>1.7263154066239E-011</v>
      </c>
      <c r="AT146" s="27" t="n">
        <f aca="false">(AT80-INDEX(Mortality_Matrix!$B$4:$BS$64,MATCH($A146,Mortality_Matrix!$A$4:$A$64,0),MATCH(2056,Mortality_Matrix!$B$3:$BS$3,0)))/INDEX(Mortality_Matrix!$B$4:$BS$64,MATCH($A146,Mortality_Matrix!$A$4:$A$64,0),MATCH(2056,Mortality_Matrix!$B$3:$BS$3,0))</f>
        <v>1.7263154066239E-011</v>
      </c>
      <c r="AU146" s="27" t="n">
        <f aca="false">(AU80-INDEX(Mortality_Matrix!$B$4:$BS$64,MATCH($A146,Mortality_Matrix!$A$4:$A$64,0),MATCH(2057,Mortality_Matrix!$B$3:$BS$3,0)))/INDEX(Mortality_Matrix!$B$4:$BS$64,MATCH($A146,Mortality_Matrix!$A$4:$A$64,0),MATCH(2057,Mortality_Matrix!$B$3:$BS$3,0))</f>
        <v>1.7263154066239E-011</v>
      </c>
      <c r="AV146" s="27" t="n">
        <f aca="false">(AV80-INDEX(Mortality_Matrix!$B$4:$BS$64,MATCH($A146,Mortality_Matrix!$A$4:$A$64,0),MATCH(2058,Mortality_Matrix!$B$3:$BS$3,0)))/INDEX(Mortality_Matrix!$B$4:$BS$64,MATCH($A146,Mortality_Matrix!$A$4:$A$64,0),MATCH(2058,Mortality_Matrix!$B$3:$BS$3,0))</f>
        <v>1.7263154066239E-011</v>
      </c>
      <c r="AW146" s="27" t="n">
        <f aca="false">(AW80-INDEX(Mortality_Matrix!$B$4:$BS$64,MATCH($A146,Mortality_Matrix!$A$4:$A$64,0),MATCH(2059,Mortality_Matrix!$B$3:$BS$3,0)))/INDEX(Mortality_Matrix!$B$4:$BS$64,MATCH($A146,Mortality_Matrix!$A$4:$A$64,0),MATCH(2059,Mortality_Matrix!$B$3:$BS$3,0))</f>
        <v>1.7263154066239E-011</v>
      </c>
      <c r="AX146" s="27" t="n">
        <f aca="false">(AX80-INDEX(Mortality_Matrix!$B$4:$BS$64,MATCH($A146,Mortality_Matrix!$A$4:$A$64,0),MATCH(2060,Mortality_Matrix!$B$3:$BS$3,0)))/INDEX(Mortality_Matrix!$B$4:$BS$64,MATCH($A146,Mortality_Matrix!$A$4:$A$64,0),MATCH(2060,Mortality_Matrix!$B$3:$BS$3,0))</f>
        <v>1.7263154066239E-011</v>
      </c>
      <c r="AY146" s="27" t="n">
        <f aca="false">(AY80-INDEX(Mortality_Matrix!$B$4:$BS$64,MATCH($A146,Mortality_Matrix!$A$4:$A$64,0),MATCH(2061,Mortality_Matrix!$B$3:$BS$3,0)))/INDEX(Mortality_Matrix!$B$4:$BS$64,MATCH($A146,Mortality_Matrix!$A$4:$A$64,0),MATCH(2061,Mortality_Matrix!$B$3:$BS$3,0))</f>
        <v>1.7263154066239E-011</v>
      </c>
      <c r="AZ146" s="27" t="n">
        <f aca="false">(AZ80-INDEX(Mortality_Matrix!$B$4:$BS$64,MATCH($A146,Mortality_Matrix!$A$4:$A$64,0),MATCH(2062,Mortality_Matrix!$B$3:$BS$3,0)))/INDEX(Mortality_Matrix!$B$4:$BS$64,MATCH($A146,Mortality_Matrix!$A$4:$A$64,0),MATCH(2062,Mortality_Matrix!$B$3:$BS$3,0))</f>
        <v>1.7263154066239E-011</v>
      </c>
      <c r="BA146" s="27" t="n">
        <f aca="false">(BA80-INDEX(Mortality_Matrix!$B$4:$BS$64,MATCH($A146,Mortality_Matrix!$A$4:$A$64,0),MATCH(2063,Mortality_Matrix!$B$3:$BS$3,0)))/INDEX(Mortality_Matrix!$B$4:$BS$64,MATCH($A146,Mortality_Matrix!$A$4:$A$64,0),MATCH(2063,Mortality_Matrix!$B$3:$BS$3,0))</f>
        <v>1.7263154066239E-011</v>
      </c>
      <c r="BB146" s="27" t="n">
        <f aca="false">(BB80-INDEX(Mortality_Matrix!$B$4:$BS$64,MATCH($A146,Mortality_Matrix!$A$4:$A$64,0),MATCH(2064,Mortality_Matrix!$B$3:$BS$3,0)))/INDEX(Mortality_Matrix!$B$4:$BS$64,MATCH($A146,Mortality_Matrix!$A$4:$A$64,0),MATCH(2064,Mortality_Matrix!$B$3:$BS$3,0))</f>
        <v>1.7263154066239E-011</v>
      </c>
      <c r="BC146" s="27" t="n">
        <f aca="false">(BC80-INDEX(Mortality_Matrix!$B$4:$BS$64,MATCH($A146,Mortality_Matrix!$A$4:$A$64,0),MATCH(2065,Mortality_Matrix!$B$3:$BS$3,0)))/INDEX(Mortality_Matrix!$B$4:$BS$64,MATCH($A146,Mortality_Matrix!$A$4:$A$64,0),MATCH(2065,Mortality_Matrix!$B$3:$BS$3,0))</f>
        <v>1.7263154066239E-011</v>
      </c>
      <c r="BD146" s="27" t="n">
        <f aca="false">(BD80-INDEX(Mortality_Matrix!$B$4:$BS$64,MATCH($A146,Mortality_Matrix!$A$4:$A$64,0),MATCH(2066,Mortality_Matrix!$B$3:$BS$3,0)))/INDEX(Mortality_Matrix!$B$4:$BS$64,MATCH($A146,Mortality_Matrix!$A$4:$A$64,0),MATCH(2066,Mortality_Matrix!$B$3:$BS$3,0))</f>
        <v>1.7263154066239E-011</v>
      </c>
      <c r="BE146" s="27" t="n">
        <f aca="false">(BE80-INDEX(Mortality_Matrix!$B$4:$BS$64,MATCH($A146,Mortality_Matrix!$A$4:$A$64,0),MATCH(2067,Mortality_Matrix!$B$3:$BS$3,0)))/INDEX(Mortality_Matrix!$B$4:$BS$64,MATCH($A146,Mortality_Matrix!$A$4:$A$64,0),MATCH(2067,Mortality_Matrix!$B$3:$BS$3,0))</f>
        <v>1.7263154066239E-011</v>
      </c>
      <c r="BF146" s="27" t="n">
        <f aca="false">(BF80-INDEX(Mortality_Matrix!$B$4:$BS$64,MATCH($A146,Mortality_Matrix!$A$4:$A$64,0),MATCH(2068,Mortality_Matrix!$B$3:$BS$3,0)))/INDEX(Mortality_Matrix!$B$4:$BS$64,MATCH($A146,Mortality_Matrix!$A$4:$A$64,0),MATCH(2068,Mortality_Matrix!$B$3:$BS$3,0))</f>
        <v>1.7263154066239E-011</v>
      </c>
      <c r="BG146" s="27" t="n">
        <f aca="false">(BG80-INDEX(Mortality_Matrix!$B$4:$BS$64,MATCH($A146,Mortality_Matrix!$A$4:$A$64,0),MATCH(2069,Mortality_Matrix!$B$3:$BS$3,0)))/INDEX(Mortality_Matrix!$B$4:$BS$64,MATCH($A146,Mortality_Matrix!$A$4:$A$64,0),MATCH(2069,Mortality_Matrix!$B$3:$BS$3,0))</f>
        <v>1.7263154066239E-011</v>
      </c>
      <c r="BH146" s="27" t="n">
        <f aca="false">(BH80-INDEX(Mortality_Matrix!$B$4:$BS$64,MATCH($A146,Mortality_Matrix!$A$4:$A$64,0),MATCH(2070,Mortality_Matrix!$B$3:$BS$3,0)))/INDEX(Mortality_Matrix!$B$4:$BS$64,MATCH($A146,Mortality_Matrix!$A$4:$A$64,0),MATCH(2070,Mortality_Matrix!$B$3:$BS$3,0))</f>
        <v>1.7263154066239E-011</v>
      </c>
      <c r="BI146" s="27" t="n">
        <f aca="false">(BI80-INDEX(Mortality_Matrix!$B$4:$BS$64,MATCH($A146,Mortality_Matrix!$A$4:$A$64,0),MATCH(2071,Mortality_Matrix!$B$3:$BS$3,0)))/INDEX(Mortality_Matrix!$B$4:$BS$64,MATCH($A146,Mortality_Matrix!$A$4:$A$64,0),MATCH(2071,Mortality_Matrix!$B$3:$BS$3,0))</f>
        <v>1.7263154066239E-011</v>
      </c>
      <c r="BJ146" s="27" t="n">
        <f aca="false">(BJ80-INDEX(Mortality_Matrix!$B$4:$BS$64,MATCH($A146,Mortality_Matrix!$A$4:$A$64,0),MATCH(2072,Mortality_Matrix!$B$3:$BS$3,0)))/INDEX(Mortality_Matrix!$B$4:$BS$64,MATCH($A146,Mortality_Matrix!$A$4:$A$64,0),MATCH(2072,Mortality_Matrix!$B$3:$BS$3,0))</f>
        <v>1.7263154066239E-011</v>
      </c>
      <c r="BK146" s="27" t="n">
        <f aca="false">(BK80-INDEX(Mortality_Matrix!$B$4:$BS$64,MATCH($A146,Mortality_Matrix!$A$4:$A$64,0),MATCH(2073,Mortality_Matrix!$B$3:$BS$3,0)))/INDEX(Mortality_Matrix!$B$4:$BS$64,MATCH($A146,Mortality_Matrix!$A$4:$A$64,0),MATCH(2073,Mortality_Matrix!$B$3:$BS$3,0))</f>
        <v>1.7263154066239E-011</v>
      </c>
      <c r="BL146" s="27" t="n">
        <f aca="false">(BL80-INDEX(Mortality_Matrix!$B$4:$BS$64,MATCH($A146,Mortality_Matrix!$A$4:$A$64,0),MATCH(2074,Mortality_Matrix!$B$3:$BS$3,0)))/INDEX(Mortality_Matrix!$B$4:$BS$64,MATCH($A146,Mortality_Matrix!$A$4:$A$64,0),MATCH(2074,Mortality_Matrix!$B$3:$BS$3,0))</f>
        <v>1.7263154066239E-011</v>
      </c>
      <c r="BM146" s="27" t="n">
        <f aca="false">(BM80-INDEX(Mortality_Matrix!$B$4:$BS$64,MATCH($A146,Mortality_Matrix!$A$4:$A$64,0),MATCH(2075,Mortality_Matrix!$B$3:$BS$3,0)))/INDEX(Mortality_Matrix!$B$4:$BS$64,MATCH($A146,Mortality_Matrix!$A$4:$A$64,0),MATCH(2075,Mortality_Matrix!$B$3:$BS$3,0))</f>
        <v>1.7263154066239E-011</v>
      </c>
      <c r="BN146" s="27" t="n">
        <f aca="false">(BN80-INDEX(Mortality_Matrix!$B$4:$BS$64,MATCH($A146,Mortality_Matrix!$A$4:$A$64,0),MATCH(2076,Mortality_Matrix!$B$3:$BS$3,0)))/INDEX(Mortality_Matrix!$B$4:$BS$64,MATCH($A146,Mortality_Matrix!$A$4:$A$64,0),MATCH(2076,Mortality_Matrix!$B$3:$BS$3,0))</f>
        <v>1.7263154066239E-011</v>
      </c>
      <c r="BO146" s="27" t="n">
        <f aca="false">(BO80-INDEX(Mortality_Matrix!$B$4:$BS$64,MATCH($A146,Mortality_Matrix!$A$4:$A$64,0),MATCH(2077,Mortality_Matrix!$B$3:$BS$3,0)))/INDEX(Mortality_Matrix!$B$4:$BS$64,MATCH($A146,Mortality_Matrix!$A$4:$A$64,0),MATCH(2077,Mortality_Matrix!$B$3:$BS$3,0))</f>
        <v>1.7263154066239E-011</v>
      </c>
      <c r="BP146" s="27" t="n">
        <f aca="false">(BP80-INDEX(Mortality_Matrix!$B$4:$BS$64,MATCH($A146,Mortality_Matrix!$A$4:$A$64,0),MATCH(2078,Mortality_Matrix!$B$3:$BS$3,0)))/INDEX(Mortality_Matrix!$B$4:$BS$64,MATCH($A146,Mortality_Matrix!$A$4:$A$64,0),MATCH(2078,Mortality_Matrix!$B$3:$BS$3,0))</f>
        <v>1.7263154066239E-011</v>
      </c>
      <c r="BQ146" s="27" t="n">
        <f aca="false">(BQ80-INDEX(Mortality_Matrix!$B$4:$BS$64,MATCH($A146,Mortality_Matrix!$A$4:$A$64,0),MATCH(2079,Mortality_Matrix!$B$3:$BS$3,0)))/INDEX(Mortality_Matrix!$B$4:$BS$64,MATCH($A146,Mortality_Matrix!$A$4:$A$64,0),MATCH(2079,Mortality_Matrix!$B$3:$BS$3,0))</f>
        <v>1.7263154066239E-011</v>
      </c>
      <c r="BR146" s="27" t="n">
        <f aca="false">(BR80-INDEX(Mortality_Matrix!$B$4:$BS$64,MATCH($A146,Mortality_Matrix!$A$4:$A$64,0),MATCH(2080,Mortality_Matrix!$B$3:$BS$3,0)))/INDEX(Mortality_Matrix!$B$4:$BS$64,MATCH($A146,Mortality_Matrix!$A$4:$A$64,0),MATCH(2080,Mortality_Matrix!$B$3:$BS$3,0))</f>
        <v>1.7263154066239E-011</v>
      </c>
      <c r="BS146" s="27" t="n">
        <f aca="false">(BS80-INDEX(Mortality_Matrix!$B$4:$BS$64,MATCH($A146,Mortality_Matrix!$A$4:$A$64,0),MATCH(2081,Mortality_Matrix!$B$3:$BS$3,0)))/INDEX(Mortality_Matrix!$B$4:$BS$64,MATCH($A146,Mortality_Matrix!$A$4:$A$64,0),MATCH(2081,Mortality_Matrix!$B$3:$BS$3,0))</f>
        <v>1.7263154066239E-011</v>
      </c>
      <c r="BT146" s="27" t="n">
        <f aca="false">(BT80-INDEX(Mortality_Matrix!$B$4:$BS$64,MATCH($A146,Mortality_Matrix!$A$4:$A$64,0),MATCH(2082,Mortality_Matrix!$B$3:$BS$3,0)))/INDEX(Mortality_Matrix!$B$4:$BS$64,MATCH($A146,Mortality_Matrix!$A$4:$A$64,0),MATCH(2082,Mortality_Matrix!$B$3:$BS$3,0))</f>
        <v>1.7263154066239E-011</v>
      </c>
      <c r="BU146" s="27" t="n">
        <f aca="false">(BU80-INDEX(Mortality_Matrix!$B$4:$BS$64,MATCH($A146,Mortality_Matrix!$A$4:$A$64,0),MATCH(2083,Mortality_Matrix!$B$3:$BS$3,0)))/INDEX(Mortality_Matrix!$B$4:$BS$64,MATCH($A146,Mortality_Matrix!$A$4:$A$64,0),MATCH(2083,Mortality_Matrix!$B$3:$BS$3,0))</f>
        <v>1.7263154066239E-011</v>
      </c>
      <c r="BV146" s="27" t="n">
        <f aca="false">(BV80-INDEX(Mortality_Matrix!$B$4:$BS$64,MATCH($A146,Mortality_Matrix!$A$4:$A$64,0),MATCH(2084,Mortality_Matrix!$B$3:$BS$3,0)))/INDEX(Mortality_Matrix!$B$4:$BS$64,MATCH($A146,Mortality_Matrix!$A$4:$A$64,0),MATCH(2084,Mortality_Matrix!$B$3:$BS$3,0))</f>
        <v>1.7263154066239E-011</v>
      </c>
      <c r="BW146" s="27" t="n">
        <f aca="false">(BW80-INDEX(Mortality_Matrix!$B$4:$BS$64,MATCH($A146,Mortality_Matrix!$A$4:$A$64,0),MATCH(2085,Mortality_Matrix!$B$3:$BS$3,0)))/INDEX(Mortality_Matrix!$B$4:$BS$64,MATCH($A146,Mortality_Matrix!$A$4:$A$64,0),MATCH(2085,Mortality_Matrix!$B$3:$BS$3,0))</f>
        <v>1.7263154066239E-011</v>
      </c>
      <c r="BX146" s="27" t="n">
        <f aca="false">(BX80-INDEX(Mortality_Matrix!$B$4:$BS$64,MATCH($A146,Mortality_Matrix!$A$4:$A$64,0),MATCH(2086,Mortality_Matrix!$B$3:$BS$3,0)))/INDEX(Mortality_Matrix!$B$4:$BS$64,MATCH($A146,Mortality_Matrix!$A$4:$A$64,0),MATCH(2086,Mortality_Matrix!$B$3:$BS$3,0))</f>
        <v>1.7263154066239E-011</v>
      </c>
      <c r="BY146" s="27" t="n">
        <f aca="false">(BY80-INDEX(Mortality_Matrix!$B$4:$BS$64,MATCH($A146,Mortality_Matrix!$A$4:$A$64,0),MATCH(2087,Mortality_Matrix!$B$3:$BS$3,0)))/INDEX(Mortality_Matrix!$B$4:$BS$64,MATCH($A146,Mortality_Matrix!$A$4:$A$64,0),MATCH(2087,Mortality_Matrix!$B$3:$BS$3,0))</f>
        <v>1.7263154066239E-011</v>
      </c>
      <c r="BZ146" s="27" t="n">
        <f aca="false">(BZ80-INDEX(Mortality_Matrix!$B$4:$BS$64,MATCH($A146,Mortality_Matrix!$A$4:$A$64,0),MATCH(2088,Mortality_Matrix!$B$3:$BS$3,0)))/INDEX(Mortality_Matrix!$B$4:$BS$64,MATCH($A146,Mortality_Matrix!$A$4:$A$64,0),MATCH(2088,Mortality_Matrix!$B$3:$BS$3,0))</f>
        <v>1.7263154066239E-011</v>
      </c>
      <c r="CA146" s="27" t="n">
        <f aca="false">(CA80-INDEX(Mortality_Matrix!$B$4:$BS$64,MATCH($A146,Mortality_Matrix!$A$4:$A$64,0),MATCH(2089,Mortality_Matrix!$B$3:$BS$3,0)))/INDEX(Mortality_Matrix!$B$4:$BS$64,MATCH($A146,Mortality_Matrix!$A$4:$A$64,0),MATCH(2089,Mortality_Matrix!$B$3:$BS$3,0))</f>
        <v>1.7263154066239E-011</v>
      </c>
      <c r="CB146" s="27" t="n">
        <f aca="false">(CB80-INDEX(Mortality_Matrix!$B$4:$BS$64,MATCH($A146,Mortality_Matrix!$A$4:$A$64,0),MATCH(2090,Mortality_Matrix!$B$3:$BS$3,0)))/INDEX(Mortality_Matrix!$B$4:$BS$64,MATCH($A146,Mortality_Matrix!$A$4:$A$64,0),MATCH(2090,Mortality_Matrix!$B$3:$BS$3,0))</f>
        <v>1.7263154066239E-011</v>
      </c>
      <c r="CC146" s="27" t="n">
        <f aca="false">(CC80-INDEX(Mortality_Matrix!$B$4:$BS$64,MATCH($A146,Mortality_Matrix!$A$4:$A$64,0),MATCH(2091,Mortality_Matrix!$B$3:$BS$3,0)))/INDEX(Mortality_Matrix!$B$4:$BS$64,MATCH($A146,Mortality_Matrix!$A$4:$A$64,0),MATCH(2091,Mortality_Matrix!$B$3:$BS$3,0))</f>
        <v>1.7263154066239E-011</v>
      </c>
    </row>
    <row r="147" customFormat="false" ht="15" hidden="false" customHeight="true" outlineLevel="0" collapsed="false">
      <c r="A147" s="3" t="n">
        <v>118</v>
      </c>
      <c r="L147" s="27" t="n">
        <f aca="false">(L81-INDEX(Mortality_Matrix!$B$4:$BS$64,MATCH($A147,Mortality_Matrix!$A$4:$A$64,0),MATCH(2022,Mortality_Matrix!$B$3:$BS$3,0)))/INDEX(Mortality_Matrix!$B$4:$BS$64,MATCH($A147,Mortality_Matrix!$A$4:$A$64,0),MATCH(2022,Mortality_Matrix!$B$3:$BS$3,0))</f>
        <v>-1.51310320000929E-011</v>
      </c>
      <c r="M147" s="27" t="n">
        <f aca="false">(M81-INDEX(Mortality_Matrix!$B$4:$BS$64,MATCH($A147,Mortality_Matrix!$A$4:$A$64,0),MATCH(2023,Mortality_Matrix!$B$3:$BS$3,0)))/INDEX(Mortality_Matrix!$B$4:$BS$64,MATCH($A147,Mortality_Matrix!$A$4:$A$64,0),MATCH(2023,Mortality_Matrix!$B$3:$BS$3,0))</f>
        <v>7.30814059258581E-011</v>
      </c>
      <c r="N147" s="27" t="n">
        <f aca="false">(N81-INDEX(Mortality_Matrix!$B$4:$BS$64,MATCH($A147,Mortality_Matrix!$A$4:$A$64,0),MATCH(2024,Mortality_Matrix!$B$3:$BS$3,0)))/INDEX(Mortality_Matrix!$B$4:$BS$64,MATCH($A147,Mortality_Matrix!$A$4:$A$64,0),MATCH(2024,Mortality_Matrix!$B$3:$BS$3,0))</f>
        <v>-2.81464767737364E-011</v>
      </c>
      <c r="O147" s="27" t="n">
        <f aca="false">(O81-INDEX(Mortality_Matrix!$B$4:$BS$64,MATCH($A147,Mortality_Matrix!$A$4:$A$64,0),MATCH(2025,Mortality_Matrix!$B$3:$BS$3,0)))/INDEX(Mortality_Matrix!$B$4:$BS$64,MATCH($A147,Mortality_Matrix!$A$4:$A$64,0),MATCH(2025,Mortality_Matrix!$B$3:$BS$3,0))</f>
        <v>8.50924031569014E-011</v>
      </c>
      <c r="P147" s="27" t="n">
        <f aca="false">(P81-INDEX(Mortality_Matrix!$B$4:$BS$64,MATCH($A147,Mortality_Matrix!$A$4:$A$64,0),MATCH(2026,Mortality_Matrix!$B$3:$BS$3,0)))/INDEX(Mortality_Matrix!$B$4:$BS$64,MATCH($A147,Mortality_Matrix!$A$4:$A$64,0),MATCH(2026,Mortality_Matrix!$B$3:$BS$3,0))</f>
        <v>7.59485094562152E-012</v>
      </c>
      <c r="Q147" s="27" t="n">
        <f aca="false">(Q81-INDEX(Mortality_Matrix!$B$4:$BS$64,MATCH($A147,Mortality_Matrix!$A$4:$A$64,0),MATCH(2027,Mortality_Matrix!$B$3:$BS$3,0)))/INDEX(Mortality_Matrix!$B$4:$BS$64,MATCH($A147,Mortality_Matrix!$A$4:$A$64,0),MATCH(2027,Mortality_Matrix!$B$3:$BS$3,0))</f>
        <v>7.59485094562152E-012</v>
      </c>
      <c r="R147" s="27" t="n">
        <f aca="false">(R81-INDEX(Mortality_Matrix!$B$4:$BS$64,MATCH($A147,Mortality_Matrix!$A$4:$A$64,0),MATCH(2028,Mortality_Matrix!$B$3:$BS$3,0)))/INDEX(Mortality_Matrix!$B$4:$BS$64,MATCH($A147,Mortality_Matrix!$A$4:$A$64,0),MATCH(2028,Mortality_Matrix!$B$3:$BS$3,0))</f>
        <v>7.59485094562152E-012</v>
      </c>
      <c r="S147" s="27" t="n">
        <f aca="false">(S81-INDEX(Mortality_Matrix!$B$4:$BS$64,MATCH($A147,Mortality_Matrix!$A$4:$A$64,0),MATCH(2029,Mortality_Matrix!$B$3:$BS$3,0)))/INDEX(Mortality_Matrix!$B$4:$BS$64,MATCH($A147,Mortality_Matrix!$A$4:$A$64,0),MATCH(2029,Mortality_Matrix!$B$3:$BS$3,0))</f>
        <v>7.59485094562152E-012</v>
      </c>
      <c r="T147" s="27" t="n">
        <f aca="false">(T81-INDEX(Mortality_Matrix!$B$4:$BS$64,MATCH($A147,Mortality_Matrix!$A$4:$A$64,0),MATCH(2030,Mortality_Matrix!$B$3:$BS$3,0)))/INDEX(Mortality_Matrix!$B$4:$BS$64,MATCH($A147,Mortality_Matrix!$A$4:$A$64,0),MATCH(2030,Mortality_Matrix!$B$3:$BS$3,0))</f>
        <v>7.59485094562152E-012</v>
      </c>
      <c r="U147" s="27" t="n">
        <f aca="false">(U81-INDEX(Mortality_Matrix!$B$4:$BS$64,MATCH($A147,Mortality_Matrix!$A$4:$A$64,0),MATCH(2031,Mortality_Matrix!$B$3:$BS$3,0)))/INDEX(Mortality_Matrix!$B$4:$BS$64,MATCH($A147,Mortality_Matrix!$A$4:$A$64,0),MATCH(2031,Mortality_Matrix!$B$3:$BS$3,0))</f>
        <v>7.59485094562152E-012</v>
      </c>
      <c r="V147" s="27" t="n">
        <f aca="false">(V81-INDEX(Mortality_Matrix!$B$4:$BS$64,MATCH($A147,Mortality_Matrix!$A$4:$A$64,0),MATCH(2032,Mortality_Matrix!$B$3:$BS$3,0)))/INDEX(Mortality_Matrix!$B$4:$BS$64,MATCH($A147,Mortality_Matrix!$A$4:$A$64,0),MATCH(2032,Mortality_Matrix!$B$3:$BS$3,0))</f>
        <v>7.59485094562152E-012</v>
      </c>
      <c r="W147" s="27" t="n">
        <f aca="false">(W81-INDEX(Mortality_Matrix!$B$4:$BS$64,MATCH($A147,Mortality_Matrix!$A$4:$A$64,0),MATCH(2033,Mortality_Matrix!$B$3:$BS$3,0)))/INDEX(Mortality_Matrix!$B$4:$BS$64,MATCH($A147,Mortality_Matrix!$A$4:$A$64,0),MATCH(2033,Mortality_Matrix!$B$3:$BS$3,0))</f>
        <v>7.59485094562152E-012</v>
      </c>
      <c r="X147" s="27" t="n">
        <f aca="false">(X81-INDEX(Mortality_Matrix!$B$4:$BS$64,MATCH($A147,Mortality_Matrix!$A$4:$A$64,0),MATCH(2034,Mortality_Matrix!$B$3:$BS$3,0)))/INDEX(Mortality_Matrix!$B$4:$BS$64,MATCH($A147,Mortality_Matrix!$A$4:$A$64,0),MATCH(2034,Mortality_Matrix!$B$3:$BS$3,0))</f>
        <v>7.59485094562152E-012</v>
      </c>
      <c r="Y147" s="27" t="n">
        <f aca="false">(Y81-INDEX(Mortality_Matrix!$B$4:$BS$64,MATCH($A147,Mortality_Matrix!$A$4:$A$64,0),MATCH(2035,Mortality_Matrix!$B$3:$BS$3,0)))/INDEX(Mortality_Matrix!$B$4:$BS$64,MATCH($A147,Mortality_Matrix!$A$4:$A$64,0),MATCH(2035,Mortality_Matrix!$B$3:$BS$3,0))</f>
        <v>7.59485094562152E-012</v>
      </c>
      <c r="Z147" s="27" t="n">
        <f aca="false">(Z81-INDEX(Mortality_Matrix!$B$4:$BS$64,MATCH($A147,Mortality_Matrix!$A$4:$A$64,0),MATCH(2036,Mortality_Matrix!$B$3:$BS$3,0)))/INDEX(Mortality_Matrix!$B$4:$BS$64,MATCH($A147,Mortality_Matrix!$A$4:$A$64,0),MATCH(2036,Mortality_Matrix!$B$3:$BS$3,0))</f>
        <v>7.59485094562152E-012</v>
      </c>
      <c r="AA147" s="27" t="n">
        <f aca="false">(AA81-INDEX(Mortality_Matrix!$B$4:$BS$64,MATCH($A147,Mortality_Matrix!$A$4:$A$64,0),MATCH(2037,Mortality_Matrix!$B$3:$BS$3,0)))/INDEX(Mortality_Matrix!$B$4:$BS$64,MATCH($A147,Mortality_Matrix!$A$4:$A$64,0),MATCH(2037,Mortality_Matrix!$B$3:$BS$3,0))</f>
        <v>7.59485094562152E-012</v>
      </c>
      <c r="AB147" s="27" t="n">
        <f aca="false">(AB81-INDEX(Mortality_Matrix!$B$4:$BS$64,MATCH($A147,Mortality_Matrix!$A$4:$A$64,0),MATCH(2038,Mortality_Matrix!$B$3:$BS$3,0)))/INDEX(Mortality_Matrix!$B$4:$BS$64,MATCH($A147,Mortality_Matrix!$A$4:$A$64,0),MATCH(2038,Mortality_Matrix!$B$3:$BS$3,0))</f>
        <v>7.59485094562152E-012</v>
      </c>
      <c r="AC147" s="27" t="n">
        <f aca="false">(AC81-INDEX(Mortality_Matrix!$B$4:$BS$64,MATCH($A147,Mortality_Matrix!$A$4:$A$64,0),MATCH(2039,Mortality_Matrix!$B$3:$BS$3,0)))/INDEX(Mortality_Matrix!$B$4:$BS$64,MATCH($A147,Mortality_Matrix!$A$4:$A$64,0),MATCH(2039,Mortality_Matrix!$B$3:$BS$3,0))</f>
        <v>7.59485094562152E-012</v>
      </c>
      <c r="AD147" s="27" t="n">
        <f aca="false">(AD81-INDEX(Mortality_Matrix!$B$4:$BS$64,MATCH($A147,Mortality_Matrix!$A$4:$A$64,0),MATCH(2040,Mortality_Matrix!$B$3:$BS$3,0)))/INDEX(Mortality_Matrix!$B$4:$BS$64,MATCH($A147,Mortality_Matrix!$A$4:$A$64,0),MATCH(2040,Mortality_Matrix!$B$3:$BS$3,0))</f>
        <v>7.59485094562152E-012</v>
      </c>
      <c r="AE147" s="27" t="n">
        <f aca="false">(AE81-INDEX(Mortality_Matrix!$B$4:$BS$64,MATCH($A147,Mortality_Matrix!$A$4:$A$64,0),MATCH(2041,Mortality_Matrix!$B$3:$BS$3,0)))/INDEX(Mortality_Matrix!$B$4:$BS$64,MATCH($A147,Mortality_Matrix!$A$4:$A$64,0),MATCH(2041,Mortality_Matrix!$B$3:$BS$3,0))</f>
        <v>7.59485094562152E-012</v>
      </c>
      <c r="AF147" s="27" t="n">
        <f aca="false">(AF81-INDEX(Mortality_Matrix!$B$4:$BS$64,MATCH($A147,Mortality_Matrix!$A$4:$A$64,0),MATCH(2042,Mortality_Matrix!$B$3:$BS$3,0)))/INDEX(Mortality_Matrix!$B$4:$BS$64,MATCH($A147,Mortality_Matrix!$A$4:$A$64,0),MATCH(2042,Mortality_Matrix!$B$3:$BS$3,0))</f>
        <v>7.59485094562152E-012</v>
      </c>
      <c r="AG147" s="27" t="n">
        <f aca="false">(AG81-INDEX(Mortality_Matrix!$B$4:$BS$64,MATCH($A147,Mortality_Matrix!$A$4:$A$64,0),MATCH(2043,Mortality_Matrix!$B$3:$BS$3,0)))/INDEX(Mortality_Matrix!$B$4:$BS$64,MATCH($A147,Mortality_Matrix!$A$4:$A$64,0),MATCH(2043,Mortality_Matrix!$B$3:$BS$3,0))</f>
        <v>7.59485094562152E-012</v>
      </c>
      <c r="AH147" s="27" t="n">
        <f aca="false">(AH81-INDEX(Mortality_Matrix!$B$4:$BS$64,MATCH($A147,Mortality_Matrix!$A$4:$A$64,0),MATCH(2044,Mortality_Matrix!$B$3:$BS$3,0)))/INDEX(Mortality_Matrix!$B$4:$BS$64,MATCH($A147,Mortality_Matrix!$A$4:$A$64,0),MATCH(2044,Mortality_Matrix!$B$3:$BS$3,0))</f>
        <v>7.59485094562152E-012</v>
      </c>
      <c r="AI147" s="27" t="n">
        <f aca="false">(AI81-INDEX(Mortality_Matrix!$B$4:$BS$64,MATCH($A147,Mortality_Matrix!$A$4:$A$64,0),MATCH(2045,Mortality_Matrix!$B$3:$BS$3,0)))/INDEX(Mortality_Matrix!$B$4:$BS$64,MATCH($A147,Mortality_Matrix!$A$4:$A$64,0),MATCH(2045,Mortality_Matrix!$B$3:$BS$3,0))</f>
        <v>7.59485094562152E-012</v>
      </c>
      <c r="AJ147" s="27" t="n">
        <f aca="false">(AJ81-INDEX(Mortality_Matrix!$B$4:$BS$64,MATCH($A147,Mortality_Matrix!$A$4:$A$64,0),MATCH(2046,Mortality_Matrix!$B$3:$BS$3,0)))/INDEX(Mortality_Matrix!$B$4:$BS$64,MATCH($A147,Mortality_Matrix!$A$4:$A$64,0),MATCH(2046,Mortality_Matrix!$B$3:$BS$3,0))</f>
        <v>7.59485094562152E-012</v>
      </c>
      <c r="AK147" s="27" t="n">
        <f aca="false">(AK81-INDEX(Mortality_Matrix!$B$4:$BS$64,MATCH($A147,Mortality_Matrix!$A$4:$A$64,0),MATCH(2047,Mortality_Matrix!$B$3:$BS$3,0)))/INDEX(Mortality_Matrix!$B$4:$BS$64,MATCH($A147,Mortality_Matrix!$A$4:$A$64,0),MATCH(2047,Mortality_Matrix!$B$3:$BS$3,0))</f>
        <v>7.59485094562152E-012</v>
      </c>
      <c r="AL147" s="27" t="n">
        <f aca="false">(AL81-INDEX(Mortality_Matrix!$B$4:$BS$64,MATCH($A147,Mortality_Matrix!$A$4:$A$64,0),MATCH(2048,Mortality_Matrix!$B$3:$BS$3,0)))/INDEX(Mortality_Matrix!$B$4:$BS$64,MATCH($A147,Mortality_Matrix!$A$4:$A$64,0),MATCH(2048,Mortality_Matrix!$B$3:$BS$3,0))</f>
        <v>7.59485094562152E-012</v>
      </c>
      <c r="AM147" s="27" t="n">
        <f aca="false">(AM81-INDEX(Mortality_Matrix!$B$4:$BS$64,MATCH($A147,Mortality_Matrix!$A$4:$A$64,0),MATCH(2049,Mortality_Matrix!$B$3:$BS$3,0)))/INDEX(Mortality_Matrix!$B$4:$BS$64,MATCH($A147,Mortality_Matrix!$A$4:$A$64,0),MATCH(2049,Mortality_Matrix!$B$3:$BS$3,0))</f>
        <v>7.59485094562152E-012</v>
      </c>
      <c r="AN147" s="27" t="n">
        <f aca="false">(AN81-INDEX(Mortality_Matrix!$B$4:$BS$64,MATCH($A147,Mortality_Matrix!$A$4:$A$64,0),MATCH(2050,Mortality_Matrix!$B$3:$BS$3,0)))/INDEX(Mortality_Matrix!$B$4:$BS$64,MATCH($A147,Mortality_Matrix!$A$4:$A$64,0),MATCH(2050,Mortality_Matrix!$B$3:$BS$3,0))</f>
        <v>7.59485094562152E-012</v>
      </c>
      <c r="AO147" s="27" t="n">
        <f aca="false">(AO81-INDEX(Mortality_Matrix!$B$4:$BS$64,MATCH($A147,Mortality_Matrix!$A$4:$A$64,0),MATCH(2051,Mortality_Matrix!$B$3:$BS$3,0)))/INDEX(Mortality_Matrix!$B$4:$BS$64,MATCH($A147,Mortality_Matrix!$A$4:$A$64,0),MATCH(2051,Mortality_Matrix!$B$3:$BS$3,0))</f>
        <v>7.59485094562152E-012</v>
      </c>
      <c r="AP147" s="27" t="n">
        <f aca="false">(AP81-INDEX(Mortality_Matrix!$B$4:$BS$64,MATCH($A147,Mortality_Matrix!$A$4:$A$64,0),MATCH(2052,Mortality_Matrix!$B$3:$BS$3,0)))/INDEX(Mortality_Matrix!$B$4:$BS$64,MATCH($A147,Mortality_Matrix!$A$4:$A$64,0),MATCH(2052,Mortality_Matrix!$B$3:$BS$3,0))</f>
        <v>7.59485094562152E-012</v>
      </c>
      <c r="AQ147" s="27" t="n">
        <f aca="false">(AQ81-INDEX(Mortality_Matrix!$B$4:$BS$64,MATCH($A147,Mortality_Matrix!$A$4:$A$64,0),MATCH(2053,Mortality_Matrix!$B$3:$BS$3,0)))/INDEX(Mortality_Matrix!$B$4:$BS$64,MATCH($A147,Mortality_Matrix!$A$4:$A$64,0),MATCH(2053,Mortality_Matrix!$B$3:$BS$3,0))</f>
        <v>7.59485094562152E-012</v>
      </c>
      <c r="AR147" s="27" t="n">
        <f aca="false">(AR81-INDEX(Mortality_Matrix!$B$4:$BS$64,MATCH($A147,Mortality_Matrix!$A$4:$A$64,0),MATCH(2054,Mortality_Matrix!$B$3:$BS$3,0)))/INDEX(Mortality_Matrix!$B$4:$BS$64,MATCH($A147,Mortality_Matrix!$A$4:$A$64,0),MATCH(2054,Mortality_Matrix!$B$3:$BS$3,0))</f>
        <v>7.59485094562152E-012</v>
      </c>
      <c r="AS147" s="27" t="n">
        <f aca="false">(AS81-INDEX(Mortality_Matrix!$B$4:$BS$64,MATCH($A147,Mortality_Matrix!$A$4:$A$64,0),MATCH(2055,Mortality_Matrix!$B$3:$BS$3,0)))/INDEX(Mortality_Matrix!$B$4:$BS$64,MATCH($A147,Mortality_Matrix!$A$4:$A$64,0),MATCH(2055,Mortality_Matrix!$B$3:$BS$3,0))</f>
        <v>7.59485094562152E-012</v>
      </c>
      <c r="AT147" s="27" t="n">
        <f aca="false">(AT81-INDEX(Mortality_Matrix!$B$4:$BS$64,MATCH($A147,Mortality_Matrix!$A$4:$A$64,0),MATCH(2056,Mortality_Matrix!$B$3:$BS$3,0)))/INDEX(Mortality_Matrix!$B$4:$BS$64,MATCH($A147,Mortality_Matrix!$A$4:$A$64,0),MATCH(2056,Mortality_Matrix!$B$3:$BS$3,0))</f>
        <v>7.59485094562152E-012</v>
      </c>
      <c r="AU147" s="27" t="n">
        <f aca="false">(AU81-INDEX(Mortality_Matrix!$B$4:$BS$64,MATCH($A147,Mortality_Matrix!$A$4:$A$64,0),MATCH(2057,Mortality_Matrix!$B$3:$BS$3,0)))/INDEX(Mortality_Matrix!$B$4:$BS$64,MATCH($A147,Mortality_Matrix!$A$4:$A$64,0),MATCH(2057,Mortality_Matrix!$B$3:$BS$3,0))</f>
        <v>7.59485094562152E-012</v>
      </c>
      <c r="AV147" s="27" t="n">
        <f aca="false">(AV81-INDEX(Mortality_Matrix!$B$4:$BS$64,MATCH($A147,Mortality_Matrix!$A$4:$A$64,0),MATCH(2058,Mortality_Matrix!$B$3:$BS$3,0)))/INDEX(Mortality_Matrix!$B$4:$BS$64,MATCH($A147,Mortality_Matrix!$A$4:$A$64,0),MATCH(2058,Mortality_Matrix!$B$3:$BS$3,0))</f>
        <v>7.59485094562152E-012</v>
      </c>
      <c r="AW147" s="27" t="n">
        <f aca="false">(AW81-INDEX(Mortality_Matrix!$B$4:$BS$64,MATCH($A147,Mortality_Matrix!$A$4:$A$64,0),MATCH(2059,Mortality_Matrix!$B$3:$BS$3,0)))/INDEX(Mortality_Matrix!$B$4:$BS$64,MATCH($A147,Mortality_Matrix!$A$4:$A$64,0),MATCH(2059,Mortality_Matrix!$B$3:$BS$3,0))</f>
        <v>7.59485094562152E-012</v>
      </c>
      <c r="AX147" s="27" t="n">
        <f aca="false">(AX81-INDEX(Mortality_Matrix!$B$4:$BS$64,MATCH($A147,Mortality_Matrix!$A$4:$A$64,0),MATCH(2060,Mortality_Matrix!$B$3:$BS$3,0)))/INDEX(Mortality_Matrix!$B$4:$BS$64,MATCH($A147,Mortality_Matrix!$A$4:$A$64,0),MATCH(2060,Mortality_Matrix!$B$3:$BS$3,0))</f>
        <v>7.59485094562152E-012</v>
      </c>
      <c r="AY147" s="27" t="n">
        <f aca="false">(AY81-INDEX(Mortality_Matrix!$B$4:$BS$64,MATCH($A147,Mortality_Matrix!$A$4:$A$64,0),MATCH(2061,Mortality_Matrix!$B$3:$BS$3,0)))/INDEX(Mortality_Matrix!$B$4:$BS$64,MATCH($A147,Mortality_Matrix!$A$4:$A$64,0),MATCH(2061,Mortality_Matrix!$B$3:$BS$3,0))</f>
        <v>7.59485094562152E-012</v>
      </c>
      <c r="AZ147" s="27" t="n">
        <f aca="false">(AZ81-INDEX(Mortality_Matrix!$B$4:$BS$64,MATCH($A147,Mortality_Matrix!$A$4:$A$64,0),MATCH(2062,Mortality_Matrix!$B$3:$BS$3,0)))/INDEX(Mortality_Matrix!$B$4:$BS$64,MATCH($A147,Mortality_Matrix!$A$4:$A$64,0),MATCH(2062,Mortality_Matrix!$B$3:$BS$3,0))</f>
        <v>7.59485094562152E-012</v>
      </c>
      <c r="BA147" s="27" t="n">
        <f aca="false">(BA81-INDEX(Mortality_Matrix!$B$4:$BS$64,MATCH($A147,Mortality_Matrix!$A$4:$A$64,0),MATCH(2063,Mortality_Matrix!$B$3:$BS$3,0)))/INDEX(Mortality_Matrix!$B$4:$BS$64,MATCH($A147,Mortality_Matrix!$A$4:$A$64,0),MATCH(2063,Mortality_Matrix!$B$3:$BS$3,0))</f>
        <v>7.59485094562152E-012</v>
      </c>
      <c r="BB147" s="27" t="n">
        <f aca="false">(BB81-INDEX(Mortality_Matrix!$B$4:$BS$64,MATCH($A147,Mortality_Matrix!$A$4:$A$64,0),MATCH(2064,Mortality_Matrix!$B$3:$BS$3,0)))/INDEX(Mortality_Matrix!$B$4:$BS$64,MATCH($A147,Mortality_Matrix!$A$4:$A$64,0),MATCH(2064,Mortality_Matrix!$B$3:$BS$3,0))</f>
        <v>7.59485094562152E-012</v>
      </c>
      <c r="BC147" s="27" t="n">
        <f aca="false">(BC81-INDEX(Mortality_Matrix!$B$4:$BS$64,MATCH($A147,Mortality_Matrix!$A$4:$A$64,0),MATCH(2065,Mortality_Matrix!$B$3:$BS$3,0)))/INDEX(Mortality_Matrix!$B$4:$BS$64,MATCH($A147,Mortality_Matrix!$A$4:$A$64,0),MATCH(2065,Mortality_Matrix!$B$3:$BS$3,0))</f>
        <v>7.59485094562152E-012</v>
      </c>
      <c r="BD147" s="27" t="n">
        <f aca="false">(BD81-INDEX(Mortality_Matrix!$B$4:$BS$64,MATCH($A147,Mortality_Matrix!$A$4:$A$64,0),MATCH(2066,Mortality_Matrix!$B$3:$BS$3,0)))/INDEX(Mortality_Matrix!$B$4:$BS$64,MATCH($A147,Mortality_Matrix!$A$4:$A$64,0),MATCH(2066,Mortality_Matrix!$B$3:$BS$3,0))</f>
        <v>7.59485094562152E-012</v>
      </c>
      <c r="BE147" s="27" t="n">
        <f aca="false">(BE81-INDEX(Mortality_Matrix!$B$4:$BS$64,MATCH($A147,Mortality_Matrix!$A$4:$A$64,0),MATCH(2067,Mortality_Matrix!$B$3:$BS$3,0)))/INDEX(Mortality_Matrix!$B$4:$BS$64,MATCH($A147,Mortality_Matrix!$A$4:$A$64,0),MATCH(2067,Mortality_Matrix!$B$3:$BS$3,0))</f>
        <v>7.59485094562152E-012</v>
      </c>
      <c r="BF147" s="27" t="n">
        <f aca="false">(BF81-INDEX(Mortality_Matrix!$B$4:$BS$64,MATCH($A147,Mortality_Matrix!$A$4:$A$64,0),MATCH(2068,Mortality_Matrix!$B$3:$BS$3,0)))/INDEX(Mortality_Matrix!$B$4:$BS$64,MATCH($A147,Mortality_Matrix!$A$4:$A$64,0),MATCH(2068,Mortality_Matrix!$B$3:$BS$3,0))</f>
        <v>7.59485094562152E-012</v>
      </c>
      <c r="BG147" s="27" t="n">
        <f aca="false">(BG81-INDEX(Mortality_Matrix!$B$4:$BS$64,MATCH($A147,Mortality_Matrix!$A$4:$A$64,0),MATCH(2069,Mortality_Matrix!$B$3:$BS$3,0)))/INDEX(Mortality_Matrix!$B$4:$BS$64,MATCH($A147,Mortality_Matrix!$A$4:$A$64,0),MATCH(2069,Mortality_Matrix!$B$3:$BS$3,0))</f>
        <v>7.59485094562152E-012</v>
      </c>
      <c r="BH147" s="27" t="n">
        <f aca="false">(BH81-INDEX(Mortality_Matrix!$B$4:$BS$64,MATCH($A147,Mortality_Matrix!$A$4:$A$64,0),MATCH(2070,Mortality_Matrix!$B$3:$BS$3,0)))/INDEX(Mortality_Matrix!$B$4:$BS$64,MATCH($A147,Mortality_Matrix!$A$4:$A$64,0),MATCH(2070,Mortality_Matrix!$B$3:$BS$3,0))</f>
        <v>7.59485094562152E-012</v>
      </c>
      <c r="BI147" s="27" t="n">
        <f aca="false">(BI81-INDEX(Mortality_Matrix!$B$4:$BS$64,MATCH($A147,Mortality_Matrix!$A$4:$A$64,0),MATCH(2071,Mortality_Matrix!$B$3:$BS$3,0)))/INDEX(Mortality_Matrix!$B$4:$BS$64,MATCH($A147,Mortality_Matrix!$A$4:$A$64,0),MATCH(2071,Mortality_Matrix!$B$3:$BS$3,0))</f>
        <v>7.59485094562152E-012</v>
      </c>
      <c r="BJ147" s="27" t="n">
        <f aca="false">(BJ81-INDEX(Mortality_Matrix!$B$4:$BS$64,MATCH($A147,Mortality_Matrix!$A$4:$A$64,0),MATCH(2072,Mortality_Matrix!$B$3:$BS$3,0)))/INDEX(Mortality_Matrix!$B$4:$BS$64,MATCH($A147,Mortality_Matrix!$A$4:$A$64,0),MATCH(2072,Mortality_Matrix!$B$3:$BS$3,0))</f>
        <v>7.59485094562152E-012</v>
      </c>
      <c r="BK147" s="27" t="n">
        <f aca="false">(BK81-INDEX(Mortality_Matrix!$B$4:$BS$64,MATCH($A147,Mortality_Matrix!$A$4:$A$64,0),MATCH(2073,Mortality_Matrix!$B$3:$BS$3,0)))/INDEX(Mortality_Matrix!$B$4:$BS$64,MATCH($A147,Mortality_Matrix!$A$4:$A$64,0),MATCH(2073,Mortality_Matrix!$B$3:$BS$3,0))</f>
        <v>7.59485094562152E-012</v>
      </c>
      <c r="BL147" s="27" t="n">
        <f aca="false">(BL81-INDEX(Mortality_Matrix!$B$4:$BS$64,MATCH($A147,Mortality_Matrix!$A$4:$A$64,0),MATCH(2074,Mortality_Matrix!$B$3:$BS$3,0)))/INDEX(Mortality_Matrix!$B$4:$BS$64,MATCH($A147,Mortality_Matrix!$A$4:$A$64,0),MATCH(2074,Mortality_Matrix!$B$3:$BS$3,0))</f>
        <v>7.59485094562152E-012</v>
      </c>
      <c r="BM147" s="27" t="n">
        <f aca="false">(BM81-INDEX(Mortality_Matrix!$B$4:$BS$64,MATCH($A147,Mortality_Matrix!$A$4:$A$64,0),MATCH(2075,Mortality_Matrix!$B$3:$BS$3,0)))/INDEX(Mortality_Matrix!$B$4:$BS$64,MATCH($A147,Mortality_Matrix!$A$4:$A$64,0),MATCH(2075,Mortality_Matrix!$B$3:$BS$3,0))</f>
        <v>7.59485094562152E-012</v>
      </c>
      <c r="BN147" s="27" t="n">
        <f aca="false">(BN81-INDEX(Mortality_Matrix!$B$4:$BS$64,MATCH($A147,Mortality_Matrix!$A$4:$A$64,0),MATCH(2076,Mortality_Matrix!$B$3:$BS$3,0)))/INDEX(Mortality_Matrix!$B$4:$BS$64,MATCH($A147,Mortality_Matrix!$A$4:$A$64,0),MATCH(2076,Mortality_Matrix!$B$3:$BS$3,0))</f>
        <v>7.59485094562152E-012</v>
      </c>
      <c r="BO147" s="27" t="n">
        <f aca="false">(BO81-INDEX(Mortality_Matrix!$B$4:$BS$64,MATCH($A147,Mortality_Matrix!$A$4:$A$64,0),MATCH(2077,Mortality_Matrix!$B$3:$BS$3,0)))/INDEX(Mortality_Matrix!$B$4:$BS$64,MATCH($A147,Mortality_Matrix!$A$4:$A$64,0),MATCH(2077,Mortality_Matrix!$B$3:$BS$3,0))</f>
        <v>7.59485094562152E-012</v>
      </c>
      <c r="BP147" s="27" t="n">
        <f aca="false">(BP81-INDEX(Mortality_Matrix!$B$4:$BS$64,MATCH($A147,Mortality_Matrix!$A$4:$A$64,0),MATCH(2078,Mortality_Matrix!$B$3:$BS$3,0)))/INDEX(Mortality_Matrix!$B$4:$BS$64,MATCH($A147,Mortality_Matrix!$A$4:$A$64,0),MATCH(2078,Mortality_Matrix!$B$3:$BS$3,0))</f>
        <v>7.59485094562152E-012</v>
      </c>
      <c r="BQ147" s="27" t="n">
        <f aca="false">(BQ81-INDEX(Mortality_Matrix!$B$4:$BS$64,MATCH($A147,Mortality_Matrix!$A$4:$A$64,0),MATCH(2079,Mortality_Matrix!$B$3:$BS$3,0)))/INDEX(Mortality_Matrix!$B$4:$BS$64,MATCH($A147,Mortality_Matrix!$A$4:$A$64,0),MATCH(2079,Mortality_Matrix!$B$3:$BS$3,0))</f>
        <v>7.59485094562152E-012</v>
      </c>
      <c r="BR147" s="27" t="n">
        <f aca="false">(BR81-INDEX(Mortality_Matrix!$B$4:$BS$64,MATCH($A147,Mortality_Matrix!$A$4:$A$64,0),MATCH(2080,Mortality_Matrix!$B$3:$BS$3,0)))/INDEX(Mortality_Matrix!$B$4:$BS$64,MATCH($A147,Mortality_Matrix!$A$4:$A$64,0),MATCH(2080,Mortality_Matrix!$B$3:$BS$3,0))</f>
        <v>7.59485094562152E-012</v>
      </c>
      <c r="BS147" s="27" t="n">
        <f aca="false">(BS81-INDEX(Mortality_Matrix!$B$4:$BS$64,MATCH($A147,Mortality_Matrix!$A$4:$A$64,0),MATCH(2081,Mortality_Matrix!$B$3:$BS$3,0)))/INDEX(Mortality_Matrix!$B$4:$BS$64,MATCH($A147,Mortality_Matrix!$A$4:$A$64,0),MATCH(2081,Mortality_Matrix!$B$3:$BS$3,0))</f>
        <v>7.59485094562152E-012</v>
      </c>
      <c r="BT147" s="27" t="n">
        <f aca="false">(BT81-INDEX(Mortality_Matrix!$B$4:$BS$64,MATCH($A147,Mortality_Matrix!$A$4:$A$64,0),MATCH(2082,Mortality_Matrix!$B$3:$BS$3,0)))/INDEX(Mortality_Matrix!$B$4:$BS$64,MATCH($A147,Mortality_Matrix!$A$4:$A$64,0),MATCH(2082,Mortality_Matrix!$B$3:$BS$3,0))</f>
        <v>7.59485094562152E-012</v>
      </c>
      <c r="BU147" s="27" t="n">
        <f aca="false">(BU81-INDEX(Mortality_Matrix!$B$4:$BS$64,MATCH($A147,Mortality_Matrix!$A$4:$A$64,0),MATCH(2083,Mortality_Matrix!$B$3:$BS$3,0)))/INDEX(Mortality_Matrix!$B$4:$BS$64,MATCH($A147,Mortality_Matrix!$A$4:$A$64,0),MATCH(2083,Mortality_Matrix!$B$3:$BS$3,0))</f>
        <v>7.59485094562152E-012</v>
      </c>
      <c r="BV147" s="27" t="n">
        <f aca="false">(BV81-INDEX(Mortality_Matrix!$B$4:$BS$64,MATCH($A147,Mortality_Matrix!$A$4:$A$64,0),MATCH(2084,Mortality_Matrix!$B$3:$BS$3,0)))/INDEX(Mortality_Matrix!$B$4:$BS$64,MATCH($A147,Mortality_Matrix!$A$4:$A$64,0),MATCH(2084,Mortality_Matrix!$B$3:$BS$3,0))</f>
        <v>7.59485094562152E-012</v>
      </c>
      <c r="BW147" s="27" t="n">
        <f aca="false">(BW81-INDEX(Mortality_Matrix!$B$4:$BS$64,MATCH($A147,Mortality_Matrix!$A$4:$A$64,0),MATCH(2085,Mortality_Matrix!$B$3:$BS$3,0)))/INDEX(Mortality_Matrix!$B$4:$BS$64,MATCH($A147,Mortality_Matrix!$A$4:$A$64,0),MATCH(2085,Mortality_Matrix!$B$3:$BS$3,0))</f>
        <v>7.59485094562152E-012</v>
      </c>
      <c r="BX147" s="27" t="n">
        <f aca="false">(BX81-INDEX(Mortality_Matrix!$B$4:$BS$64,MATCH($A147,Mortality_Matrix!$A$4:$A$64,0),MATCH(2086,Mortality_Matrix!$B$3:$BS$3,0)))/INDEX(Mortality_Matrix!$B$4:$BS$64,MATCH($A147,Mortality_Matrix!$A$4:$A$64,0),MATCH(2086,Mortality_Matrix!$B$3:$BS$3,0))</f>
        <v>7.59485094562152E-012</v>
      </c>
      <c r="BY147" s="27" t="n">
        <f aca="false">(BY81-INDEX(Mortality_Matrix!$B$4:$BS$64,MATCH($A147,Mortality_Matrix!$A$4:$A$64,0),MATCH(2087,Mortality_Matrix!$B$3:$BS$3,0)))/INDEX(Mortality_Matrix!$B$4:$BS$64,MATCH($A147,Mortality_Matrix!$A$4:$A$64,0),MATCH(2087,Mortality_Matrix!$B$3:$BS$3,0))</f>
        <v>7.59485094562152E-012</v>
      </c>
      <c r="BZ147" s="27" t="n">
        <f aca="false">(BZ81-INDEX(Mortality_Matrix!$B$4:$BS$64,MATCH($A147,Mortality_Matrix!$A$4:$A$64,0),MATCH(2088,Mortality_Matrix!$B$3:$BS$3,0)))/INDEX(Mortality_Matrix!$B$4:$BS$64,MATCH($A147,Mortality_Matrix!$A$4:$A$64,0),MATCH(2088,Mortality_Matrix!$B$3:$BS$3,0))</f>
        <v>7.59485094562152E-012</v>
      </c>
      <c r="CA147" s="27" t="n">
        <f aca="false">(CA81-INDEX(Mortality_Matrix!$B$4:$BS$64,MATCH($A147,Mortality_Matrix!$A$4:$A$64,0),MATCH(2089,Mortality_Matrix!$B$3:$BS$3,0)))/INDEX(Mortality_Matrix!$B$4:$BS$64,MATCH($A147,Mortality_Matrix!$A$4:$A$64,0),MATCH(2089,Mortality_Matrix!$B$3:$BS$3,0))</f>
        <v>7.59485094562152E-012</v>
      </c>
      <c r="CB147" s="27" t="n">
        <f aca="false">(CB81-INDEX(Mortality_Matrix!$B$4:$BS$64,MATCH($A147,Mortality_Matrix!$A$4:$A$64,0),MATCH(2090,Mortality_Matrix!$B$3:$BS$3,0)))/INDEX(Mortality_Matrix!$B$4:$BS$64,MATCH($A147,Mortality_Matrix!$A$4:$A$64,0),MATCH(2090,Mortality_Matrix!$B$3:$BS$3,0))</f>
        <v>7.59485094562152E-012</v>
      </c>
      <c r="CC147" s="27" t="n">
        <f aca="false">(CC81-INDEX(Mortality_Matrix!$B$4:$BS$64,MATCH($A147,Mortality_Matrix!$A$4:$A$64,0),MATCH(2091,Mortality_Matrix!$B$3:$BS$3,0)))/INDEX(Mortality_Matrix!$B$4:$BS$64,MATCH($A147,Mortality_Matrix!$A$4:$A$64,0),MATCH(2091,Mortality_Matrix!$B$3:$BS$3,0))</f>
        <v>7.59485094562152E-012</v>
      </c>
    </row>
    <row r="148" customFormat="false" ht="15" hidden="false" customHeight="true" outlineLevel="0" collapsed="false">
      <c r="A148" s="3" t="n">
        <v>119</v>
      </c>
      <c r="L148" s="27" t="n">
        <f aca="false">(L82-INDEX(Mortality_Matrix!$B$4:$BS$64,MATCH($A148,Mortality_Matrix!$A$4:$A$64,0),MATCH(2022,Mortality_Matrix!$B$3:$BS$3,0)))/INDEX(Mortality_Matrix!$B$4:$BS$64,MATCH($A148,Mortality_Matrix!$A$4:$A$64,0),MATCH(2022,Mortality_Matrix!$B$3:$BS$3,0))</f>
        <v>2.57677216317343E-012</v>
      </c>
      <c r="M148" s="27" t="n">
        <f aca="false">(M82-INDEX(Mortality_Matrix!$B$4:$BS$64,MATCH($A148,Mortality_Matrix!$A$4:$A$64,0),MATCH(2023,Mortality_Matrix!$B$3:$BS$3,0)))/INDEX(Mortality_Matrix!$B$4:$BS$64,MATCH($A148,Mortality_Matrix!$A$4:$A$64,0),MATCH(2023,Mortality_Matrix!$B$3:$BS$3,0))</f>
        <v>-4.07923472801835E-011</v>
      </c>
      <c r="N148" s="27" t="n">
        <f aca="false">(N82-INDEX(Mortality_Matrix!$B$4:$BS$64,MATCH($A148,Mortality_Matrix!$A$4:$A$64,0),MATCH(2024,Mortality_Matrix!$B$3:$BS$3,0)))/INDEX(Mortality_Matrix!$B$4:$BS$64,MATCH($A148,Mortality_Matrix!$A$4:$A$64,0),MATCH(2024,Mortality_Matrix!$B$3:$BS$3,0))</f>
        <v>3.91990928789861E-011</v>
      </c>
      <c r="O148" s="27" t="n">
        <f aca="false">(O82-INDEX(Mortality_Matrix!$B$4:$BS$64,MATCH($A148,Mortality_Matrix!$A$4:$A$64,0),MATCH(2025,Mortality_Matrix!$B$3:$BS$3,0)))/INDEX(Mortality_Matrix!$B$4:$BS$64,MATCH($A148,Mortality_Matrix!$A$4:$A$64,0),MATCH(2025,Mortality_Matrix!$B$3:$BS$3,0))</f>
        <v>-6.30116019856764E-011</v>
      </c>
      <c r="P148" s="27" t="n">
        <f aca="false">(P82-INDEX(Mortality_Matrix!$B$4:$BS$64,MATCH($A148,Mortality_Matrix!$A$4:$A$64,0),MATCH(2026,Mortality_Matrix!$B$3:$BS$3,0)))/INDEX(Mortality_Matrix!$B$4:$BS$64,MATCH($A148,Mortality_Matrix!$A$4:$A$64,0),MATCH(2026,Mortality_Matrix!$B$3:$BS$3,0))</f>
        <v>4.13553866036181E-011</v>
      </c>
      <c r="Q148" s="27" t="n">
        <f aca="false">(Q82-INDEX(Mortality_Matrix!$B$4:$BS$64,MATCH($A148,Mortality_Matrix!$A$4:$A$64,0),MATCH(2027,Mortality_Matrix!$B$3:$BS$3,0)))/INDEX(Mortality_Matrix!$B$4:$BS$64,MATCH($A148,Mortality_Matrix!$A$4:$A$64,0),MATCH(2027,Mortality_Matrix!$B$3:$BS$3,0))</f>
        <v>4.13553866036181E-011</v>
      </c>
      <c r="R148" s="27" t="n">
        <f aca="false">(R82-INDEX(Mortality_Matrix!$B$4:$BS$64,MATCH($A148,Mortality_Matrix!$A$4:$A$64,0),MATCH(2028,Mortality_Matrix!$B$3:$BS$3,0)))/INDEX(Mortality_Matrix!$B$4:$BS$64,MATCH($A148,Mortality_Matrix!$A$4:$A$64,0),MATCH(2028,Mortality_Matrix!$B$3:$BS$3,0))</f>
        <v>4.13553866036181E-011</v>
      </c>
      <c r="S148" s="27" t="n">
        <f aca="false">(S82-INDEX(Mortality_Matrix!$B$4:$BS$64,MATCH($A148,Mortality_Matrix!$A$4:$A$64,0),MATCH(2029,Mortality_Matrix!$B$3:$BS$3,0)))/INDEX(Mortality_Matrix!$B$4:$BS$64,MATCH($A148,Mortality_Matrix!$A$4:$A$64,0),MATCH(2029,Mortality_Matrix!$B$3:$BS$3,0))</f>
        <v>4.13553866036181E-011</v>
      </c>
      <c r="T148" s="27" t="n">
        <f aca="false">(T82-INDEX(Mortality_Matrix!$B$4:$BS$64,MATCH($A148,Mortality_Matrix!$A$4:$A$64,0),MATCH(2030,Mortality_Matrix!$B$3:$BS$3,0)))/INDEX(Mortality_Matrix!$B$4:$BS$64,MATCH($A148,Mortality_Matrix!$A$4:$A$64,0),MATCH(2030,Mortality_Matrix!$B$3:$BS$3,0))</f>
        <v>4.13553866036181E-011</v>
      </c>
      <c r="U148" s="27" t="n">
        <f aca="false">(U82-INDEX(Mortality_Matrix!$B$4:$BS$64,MATCH($A148,Mortality_Matrix!$A$4:$A$64,0),MATCH(2031,Mortality_Matrix!$B$3:$BS$3,0)))/INDEX(Mortality_Matrix!$B$4:$BS$64,MATCH($A148,Mortality_Matrix!$A$4:$A$64,0),MATCH(2031,Mortality_Matrix!$B$3:$BS$3,0))</f>
        <v>4.13553866036181E-011</v>
      </c>
      <c r="V148" s="27" t="n">
        <f aca="false">(V82-INDEX(Mortality_Matrix!$B$4:$BS$64,MATCH($A148,Mortality_Matrix!$A$4:$A$64,0),MATCH(2032,Mortality_Matrix!$B$3:$BS$3,0)))/INDEX(Mortality_Matrix!$B$4:$BS$64,MATCH($A148,Mortality_Matrix!$A$4:$A$64,0),MATCH(2032,Mortality_Matrix!$B$3:$BS$3,0))</f>
        <v>4.13553866036181E-011</v>
      </c>
      <c r="W148" s="27" t="n">
        <f aca="false">(W82-INDEX(Mortality_Matrix!$B$4:$BS$64,MATCH($A148,Mortality_Matrix!$A$4:$A$64,0),MATCH(2033,Mortality_Matrix!$B$3:$BS$3,0)))/INDEX(Mortality_Matrix!$B$4:$BS$64,MATCH($A148,Mortality_Matrix!$A$4:$A$64,0),MATCH(2033,Mortality_Matrix!$B$3:$BS$3,0))</f>
        <v>4.13553866036181E-011</v>
      </c>
      <c r="X148" s="27" t="n">
        <f aca="false">(X82-INDEX(Mortality_Matrix!$B$4:$BS$64,MATCH($A148,Mortality_Matrix!$A$4:$A$64,0),MATCH(2034,Mortality_Matrix!$B$3:$BS$3,0)))/INDEX(Mortality_Matrix!$B$4:$BS$64,MATCH($A148,Mortality_Matrix!$A$4:$A$64,0),MATCH(2034,Mortality_Matrix!$B$3:$BS$3,0))</f>
        <v>4.13553866036181E-011</v>
      </c>
      <c r="Y148" s="27" t="n">
        <f aca="false">(Y82-INDEX(Mortality_Matrix!$B$4:$BS$64,MATCH($A148,Mortality_Matrix!$A$4:$A$64,0),MATCH(2035,Mortality_Matrix!$B$3:$BS$3,0)))/INDEX(Mortality_Matrix!$B$4:$BS$64,MATCH($A148,Mortality_Matrix!$A$4:$A$64,0),MATCH(2035,Mortality_Matrix!$B$3:$BS$3,0))</f>
        <v>4.13553866036181E-011</v>
      </c>
      <c r="Z148" s="27" t="n">
        <f aca="false">(Z82-INDEX(Mortality_Matrix!$B$4:$BS$64,MATCH($A148,Mortality_Matrix!$A$4:$A$64,0),MATCH(2036,Mortality_Matrix!$B$3:$BS$3,0)))/INDEX(Mortality_Matrix!$B$4:$BS$64,MATCH($A148,Mortality_Matrix!$A$4:$A$64,0),MATCH(2036,Mortality_Matrix!$B$3:$BS$3,0))</f>
        <v>4.13553866036181E-011</v>
      </c>
      <c r="AA148" s="27" t="n">
        <f aca="false">(AA82-INDEX(Mortality_Matrix!$B$4:$BS$64,MATCH($A148,Mortality_Matrix!$A$4:$A$64,0),MATCH(2037,Mortality_Matrix!$B$3:$BS$3,0)))/INDEX(Mortality_Matrix!$B$4:$BS$64,MATCH($A148,Mortality_Matrix!$A$4:$A$64,0),MATCH(2037,Mortality_Matrix!$B$3:$BS$3,0))</f>
        <v>4.13553866036181E-011</v>
      </c>
      <c r="AB148" s="27" t="n">
        <f aca="false">(AB82-INDEX(Mortality_Matrix!$B$4:$BS$64,MATCH($A148,Mortality_Matrix!$A$4:$A$64,0),MATCH(2038,Mortality_Matrix!$B$3:$BS$3,0)))/INDEX(Mortality_Matrix!$B$4:$BS$64,MATCH($A148,Mortality_Matrix!$A$4:$A$64,0),MATCH(2038,Mortality_Matrix!$B$3:$BS$3,0))</f>
        <v>4.13553866036181E-011</v>
      </c>
      <c r="AC148" s="27" t="n">
        <f aca="false">(AC82-INDEX(Mortality_Matrix!$B$4:$BS$64,MATCH($A148,Mortality_Matrix!$A$4:$A$64,0),MATCH(2039,Mortality_Matrix!$B$3:$BS$3,0)))/INDEX(Mortality_Matrix!$B$4:$BS$64,MATCH($A148,Mortality_Matrix!$A$4:$A$64,0),MATCH(2039,Mortality_Matrix!$B$3:$BS$3,0))</f>
        <v>4.13553866036181E-011</v>
      </c>
      <c r="AD148" s="27" t="n">
        <f aca="false">(AD82-INDEX(Mortality_Matrix!$B$4:$BS$64,MATCH($A148,Mortality_Matrix!$A$4:$A$64,0),MATCH(2040,Mortality_Matrix!$B$3:$BS$3,0)))/INDEX(Mortality_Matrix!$B$4:$BS$64,MATCH($A148,Mortality_Matrix!$A$4:$A$64,0),MATCH(2040,Mortality_Matrix!$B$3:$BS$3,0))</f>
        <v>4.13553866036181E-011</v>
      </c>
      <c r="AE148" s="27" t="n">
        <f aca="false">(AE82-INDEX(Mortality_Matrix!$B$4:$BS$64,MATCH($A148,Mortality_Matrix!$A$4:$A$64,0),MATCH(2041,Mortality_Matrix!$B$3:$BS$3,0)))/INDEX(Mortality_Matrix!$B$4:$BS$64,MATCH($A148,Mortality_Matrix!$A$4:$A$64,0),MATCH(2041,Mortality_Matrix!$B$3:$BS$3,0))</f>
        <v>4.13553866036181E-011</v>
      </c>
      <c r="AF148" s="27" t="n">
        <f aca="false">(AF82-INDEX(Mortality_Matrix!$B$4:$BS$64,MATCH($A148,Mortality_Matrix!$A$4:$A$64,0),MATCH(2042,Mortality_Matrix!$B$3:$BS$3,0)))/INDEX(Mortality_Matrix!$B$4:$BS$64,MATCH($A148,Mortality_Matrix!$A$4:$A$64,0),MATCH(2042,Mortality_Matrix!$B$3:$BS$3,0))</f>
        <v>4.13553866036181E-011</v>
      </c>
      <c r="AG148" s="27" t="n">
        <f aca="false">(AG82-INDEX(Mortality_Matrix!$B$4:$BS$64,MATCH($A148,Mortality_Matrix!$A$4:$A$64,0),MATCH(2043,Mortality_Matrix!$B$3:$BS$3,0)))/INDEX(Mortality_Matrix!$B$4:$BS$64,MATCH($A148,Mortality_Matrix!$A$4:$A$64,0),MATCH(2043,Mortality_Matrix!$B$3:$BS$3,0))</f>
        <v>4.13553866036181E-011</v>
      </c>
      <c r="AH148" s="27" t="n">
        <f aca="false">(AH82-INDEX(Mortality_Matrix!$B$4:$BS$64,MATCH($A148,Mortality_Matrix!$A$4:$A$64,0),MATCH(2044,Mortality_Matrix!$B$3:$BS$3,0)))/INDEX(Mortality_Matrix!$B$4:$BS$64,MATCH($A148,Mortality_Matrix!$A$4:$A$64,0),MATCH(2044,Mortality_Matrix!$B$3:$BS$3,0))</f>
        <v>4.13553866036181E-011</v>
      </c>
      <c r="AI148" s="27" t="n">
        <f aca="false">(AI82-INDEX(Mortality_Matrix!$B$4:$BS$64,MATCH($A148,Mortality_Matrix!$A$4:$A$64,0),MATCH(2045,Mortality_Matrix!$B$3:$BS$3,0)))/INDEX(Mortality_Matrix!$B$4:$BS$64,MATCH($A148,Mortality_Matrix!$A$4:$A$64,0),MATCH(2045,Mortality_Matrix!$B$3:$BS$3,0))</f>
        <v>4.13553866036181E-011</v>
      </c>
      <c r="AJ148" s="27" t="n">
        <f aca="false">(AJ82-INDEX(Mortality_Matrix!$B$4:$BS$64,MATCH($A148,Mortality_Matrix!$A$4:$A$64,0),MATCH(2046,Mortality_Matrix!$B$3:$BS$3,0)))/INDEX(Mortality_Matrix!$B$4:$BS$64,MATCH($A148,Mortality_Matrix!$A$4:$A$64,0),MATCH(2046,Mortality_Matrix!$B$3:$BS$3,0))</f>
        <v>4.13553866036181E-011</v>
      </c>
      <c r="AK148" s="27" t="n">
        <f aca="false">(AK82-INDEX(Mortality_Matrix!$B$4:$BS$64,MATCH($A148,Mortality_Matrix!$A$4:$A$64,0),MATCH(2047,Mortality_Matrix!$B$3:$BS$3,0)))/INDEX(Mortality_Matrix!$B$4:$BS$64,MATCH($A148,Mortality_Matrix!$A$4:$A$64,0),MATCH(2047,Mortality_Matrix!$B$3:$BS$3,0))</f>
        <v>4.13553866036181E-011</v>
      </c>
      <c r="AL148" s="27" t="n">
        <f aca="false">(AL82-INDEX(Mortality_Matrix!$B$4:$BS$64,MATCH($A148,Mortality_Matrix!$A$4:$A$64,0),MATCH(2048,Mortality_Matrix!$B$3:$BS$3,0)))/INDEX(Mortality_Matrix!$B$4:$BS$64,MATCH($A148,Mortality_Matrix!$A$4:$A$64,0),MATCH(2048,Mortality_Matrix!$B$3:$BS$3,0))</f>
        <v>4.13553866036181E-011</v>
      </c>
      <c r="AM148" s="27" t="n">
        <f aca="false">(AM82-INDEX(Mortality_Matrix!$B$4:$BS$64,MATCH($A148,Mortality_Matrix!$A$4:$A$64,0),MATCH(2049,Mortality_Matrix!$B$3:$BS$3,0)))/INDEX(Mortality_Matrix!$B$4:$BS$64,MATCH($A148,Mortality_Matrix!$A$4:$A$64,0),MATCH(2049,Mortality_Matrix!$B$3:$BS$3,0))</f>
        <v>4.13553866036181E-011</v>
      </c>
      <c r="AN148" s="27" t="n">
        <f aca="false">(AN82-INDEX(Mortality_Matrix!$B$4:$BS$64,MATCH($A148,Mortality_Matrix!$A$4:$A$64,0),MATCH(2050,Mortality_Matrix!$B$3:$BS$3,0)))/INDEX(Mortality_Matrix!$B$4:$BS$64,MATCH($A148,Mortality_Matrix!$A$4:$A$64,0),MATCH(2050,Mortality_Matrix!$B$3:$BS$3,0))</f>
        <v>4.13553866036181E-011</v>
      </c>
      <c r="AO148" s="27" t="n">
        <f aca="false">(AO82-INDEX(Mortality_Matrix!$B$4:$BS$64,MATCH($A148,Mortality_Matrix!$A$4:$A$64,0),MATCH(2051,Mortality_Matrix!$B$3:$BS$3,0)))/INDEX(Mortality_Matrix!$B$4:$BS$64,MATCH($A148,Mortality_Matrix!$A$4:$A$64,0),MATCH(2051,Mortality_Matrix!$B$3:$BS$3,0))</f>
        <v>4.13553866036181E-011</v>
      </c>
      <c r="AP148" s="27" t="n">
        <f aca="false">(AP82-INDEX(Mortality_Matrix!$B$4:$BS$64,MATCH($A148,Mortality_Matrix!$A$4:$A$64,0),MATCH(2052,Mortality_Matrix!$B$3:$BS$3,0)))/INDEX(Mortality_Matrix!$B$4:$BS$64,MATCH($A148,Mortality_Matrix!$A$4:$A$64,0),MATCH(2052,Mortality_Matrix!$B$3:$BS$3,0))</f>
        <v>4.13553866036181E-011</v>
      </c>
      <c r="AQ148" s="27" t="n">
        <f aca="false">(AQ82-INDEX(Mortality_Matrix!$B$4:$BS$64,MATCH($A148,Mortality_Matrix!$A$4:$A$64,0),MATCH(2053,Mortality_Matrix!$B$3:$BS$3,0)))/INDEX(Mortality_Matrix!$B$4:$BS$64,MATCH($A148,Mortality_Matrix!$A$4:$A$64,0),MATCH(2053,Mortality_Matrix!$B$3:$BS$3,0))</f>
        <v>4.13553866036181E-011</v>
      </c>
      <c r="AR148" s="27" t="n">
        <f aca="false">(AR82-INDEX(Mortality_Matrix!$B$4:$BS$64,MATCH($A148,Mortality_Matrix!$A$4:$A$64,0),MATCH(2054,Mortality_Matrix!$B$3:$BS$3,0)))/INDEX(Mortality_Matrix!$B$4:$BS$64,MATCH($A148,Mortality_Matrix!$A$4:$A$64,0),MATCH(2054,Mortality_Matrix!$B$3:$BS$3,0))</f>
        <v>4.13553866036181E-011</v>
      </c>
      <c r="AS148" s="27" t="n">
        <f aca="false">(AS82-INDEX(Mortality_Matrix!$B$4:$BS$64,MATCH($A148,Mortality_Matrix!$A$4:$A$64,0),MATCH(2055,Mortality_Matrix!$B$3:$BS$3,0)))/INDEX(Mortality_Matrix!$B$4:$BS$64,MATCH($A148,Mortality_Matrix!$A$4:$A$64,0),MATCH(2055,Mortality_Matrix!$B$3:$BS$3,0))</f>
        <v>4.13553866036181E-011</v>
      </c>
      <c r="AT148" s="27" t="n">
        <f aca="false">(AT82-INDEX(Mortality_Matrix!$B$4:$BS$64,MATCH($A148,Mortality_Matrix!$A$4:$A$64,0),MATCH(2056,Mortality_Matrix!$B$3:$BS$3,0)))/INDEX(Mortality_Matrix!$B$4:$BS$64,MATCH($A148,Mortality_Matrix!$A$4:$A$64,0),MATCH(2056,Mortality_Matrix!$B$3:$BS$3,0))</f>
        <v>4.13553866036181E-011</v>
      </c>
      <c r="AU148" s="27" t="n">
        <f aca="false">(AU82-INDEX(Mortality_Matrix!$B$4:$BS$64,MATCH($A148,Mortality_Matrix!$A$4:$A$64,0),MATCH(2057,Mortality_Matrix!$B$3:$BS$3,0)))/INDEX(Mortality_Matrix!$B$4:$BS$64,MATCH($A148,Mortality_Matrix!$A$4:$A$64,0),MATCH(2057,Mortality_Matrix!$B$3:$BS$3,0))</f>
        <v>4.13553866036181E-011</v>
      </c>
      <c r="AV148" s="27" t="n">
        <f aca="false">(AV82-INDEX(Mortality_Matrix!$B$4:$BS$64,MATCH($A148,Mortality_Matrix!$A$4:$A$64,0),MATCH(2058,Mortality_Matrix!$B$3:$BS$3,0)))/INDEX(Mortality_Matrix!$B$4:$BS$64,MATCH($A148,Mortality_Matrix!$A$4:$A$64,0),MATCH(2058,Mortality_Matrix!$B$3:$BS$3,0))</f>
        <v>4.13553866036181E-011</v>
      </c>
      <c r="AW148" s="27" t="n">
        <f aca="false">(AW82-INDEX(Mortality_Matrix!$B$4:$BS$64,MATCH($A148,Mortality_Matrix!$A$4:$A$64,0),MATCH(2059,Mortality_Matrix!$B$3:$BS$3,0)))/INDEX(Mortality_Matrix!$B$4:$BS$64,MATCH($A148,Mortality_Matrix!$A$4:$A$64,0),MATCH(2059,Mortality_Matrix!$B$3:$BS$3,0))</f>
        <v>4.13553866036181E-011</v>
      </c>
      <c r="AX148" s="27" t="n">
        <f aca="false">(AX82-INDEX(Mortality_Matrix!$B$4:$BS$64,MATCH($A148,Mortality_Matrix!$A$4:$A$64,0),MATCH(2060,Mortality_Matrix!$B$3:$BS$3,0)))/INDEX(Mortality_Matrix!$B$4:$BS$64,MATCH($A148,Mortality_Matrix!$A$4:$A$64,0),MATCH(2060,Mortality_Matrix!$B$3:$BS$3,0))</f>
        <v>4.13553866036181E-011</v>
      </c>
      <c r="AY148" s="27" t="n">
        <f aca="false">(AY82-INDEX(Mortality_Matrix!$B$4:$BS$64,MATCH($A148,Mortality_Matrix!$A$4:$A$64,0),MATCH(2061,Mortality_Matrix!$B$3:$BS$3,0)))/INDEX(Mortality_Matrix!$B$4:$BS$64,MATCH($A148,Mortality_Matrix!$A$4:$A$64,0),MATCH(2061,Mortality_Matrix!$B$3:$BS$3,0))</f>
        <v>4.13553866036181E-011</v>
      </c>
      <c r="AZ148" s="27" t="n">
        <f aca="false">(AZ82-INDEX(Mortality_Matrix!$B$4:$BS$64,MATCH($A148,Mortality_Matrix!$A$4:$A$64,0),MATCH(2062,Mortality_Matrix!$B$3:$BS$3,0)))/INDEX(Mortality_Matrix!$B$4:$BS$64,MATCH($A148,Mortality_Matrix!$A$4:$A$64,0),MATCH(2062,Mortality_Matrix!$B$3:$BS$3,0))</f>
        <v>4.13553866036181E-011</v>
      </c>
      <c r="BA148" s="27" t="n">
        <f aca="false">(BA82-INDEX(Mortality_Matrix!$B$4:$BS$64,MATCH($A148,Mortality_Matrix!$A$4:$A$64,0),MATCH(2063,Mortality_Matrix!$B$3:$BS$3,0)))/INDEX(Mortality_Matrix!$B$4:$BS$64,MATCH($A148,Mortality_Matrix!$A$4:$A$64,0),MATCH(2063,Mortality_Matrix!$B$3:$BS$3,0))</f>
        <v>4.13553866036181E-011</v>
      </c>
      <c r="BB148" s="27" t="n">
        <f aca="false">(BB82-INDEX(Mortality_Matrix!$B$4:$BS$64,MATCH($A148,Mortality_Matrix!$A$4:$A$64,0),MATCH(2064,Mortality_Matrix!$B$3:$BS$3,0)))/INDEX(Mortality_Matrix!$B$4:$BS$64,MATCH($A148,Mortality_Matrix!$A$4:$A$64,0),MATCH(2064,Mortality_Matrix!$B$3:$BS$3,0))</f>
        <v>4.13553866036181E-011</v>
      </c>
      <c r="BC148" s="27" t="n">
        <f aca="false">(BC82-INDEX(Mortality_Matrix!$B$4:$BS$64,MATCH($A148,Mortality_Matrix!$A$4:$A$64,0),MATCH(2065,Mortality_Matrix!$B$3:$BS$3,0)))/INDEX(Mortality_Matrix!$B$4:$BS$64,MATCH($A148,Mortality_Matrix!$A$4:$A$64,0),MATCH(2065,Mortality_Matrix!$B$3:$BS$3,0))</f>
        <v>4.13553866036181E-011</v>
      </c>
      <c r="BD148" s="27" t="n">
        <f aca="false">(BD82-INDEX(Mortality_Matrix!$B$4:$BS$64,MATCH($A148,Mortality_Matrix!$A$4:$A$64,0),MATCH(2066,Mortality_Matrix!$B$3:$BS$3,0)))/INDEX(Mortality_Matrix!$B$4:$BS$64,MATCH($A148,Mortality_Matrix!$A$4:$A$64,0),MATCH(2066,Mortality_Matrix!$B$3:$BS$3,0))</f>
        <v>4.13553866036181E-011</v>
      </c>
      <c r="BE148" s="27" t="n">
        <f aca="false">(BE82-INDEX(Mortality_Matrix!$B$4:$BS$64,MATCH($A148,Mortality_Matrix!$A$4:$A$64,0),MATCH(2067,Mortality_Matrix!$B$3:$BS$3,0)))/INDEX(Mortality_Matrix!$B$4:$BS$64,MATCH($A148,Mortality_Matrix!$A$4:$A$64,0),MATCH(2067,Mortality_Matrix!$B$3:$BS$3,0))</f>
        <v>4.13553866036181E-011</v>
      </c>
      <c r="BF148" s="27" t="n">
        <f aca="false">(BF82-INDEX(Mortality_Matrix!$B$4:$BS$64,MATCH($A148,Mortality_Matrix!$A$4:$A$64,0),MATCH(2068,Mortality_Matrix!$B$3:$BS$3,0)))/INDEX(Mortality_Matrix!$B$4:$BS$64,MATCH($A148,Mortality_Matrix!$A$4:$A$64,0),MATCH(2068,Mortality_Matrix!$B$3:$BS$3,0))</f>
        <v>4.13553866036181E-011</v>
      </c>
      <c r="BG148" s="27" t="n">
        <f aca="false">(BG82-INDEX(Mortality_Matrix!$B$4:$BS$64,MATCH($A148,Mortality_Matrix!$A$4:$A$64,0),MATCH(2069,Mortality_Matrix!$B$3:$BS$3,0)))/INDEX(Mortality_Matrix!$B$4:$BS$64,MATCH($A148,Mortality_Matrix!$A$4:$A$64,0),MATCH(2069,Mortality_Matrix!$B$3:$BS$3,0))</f>
        <v>4.13553866036181E-011</v>
      </c>
      <c r="BH148" s="27" t="n">
        <f aca="false">(BH82-INDEX(Mortality_Matrix!$B$4:$BS$64,MATCH($A148,Mortality_Matrix!$A$4:$A$64,0),MATCH(2070,Mortality_Matrix!$B$3:$BS$3,0)))/INDEX(Mortality_Matrix!$B$4:$BS$64,MATCH($A148,Mortality_Matrix!$A$4:$A$64,0),MATCH(2070,Mortality_Matrix!$B$3:$BS$3,0))</f>
        <v>4.13553866036181E-011</v>
      </c>
      <c r="BI148" s="27" t="n">
        <f aca="false">(BI82-INDEX(Mortality_Matrix!$B$4:$BS$64,MATCH($A148,Mortality_Matrix!$A$4:$A$64,0),MATCH(2071,Mortality_Matrix!$B$3:$BS$3,0)))/INDEX(Mortality_Matrix!$B$4:$BS$64,MATCH($A148,Mortality_Matrix!$A$4:$A$64,0),MATCH(2071,Mortality_Matrix!$B$3:$BS$3,0))</f>
        <v>4.13553866036181E-011</v>
      </c>
      <c r="BJ148" s="27" t="n">
        <f aca="false">(BJ82-INDEX(Mortality_Matrix!$B$4:$BS$64,MATCH($A148,Mortality_Matrix!$A$4:$A$64,0),MATCH(2072,Mortality_Matrix!$B$3:$BS$3,0)))/INDEX(Mortality_Matrix!$B$4:$BS$64,MATCH($A148,Mortality_Matrix!$A$4:$A$64,0),MATCH(2072,Mortality_Matrix!$B$3:$BS$3,0))</f>
        <v>4.13553866036181E-011</v>
      </c>
      <c r="BK148" s="27" t="n">
        <f aca="false">(BK82-INDEX(Mortality_Matrix!$B$4:$BS$64,MATCH($A148,Mortality_Matrix!$A$4:$A$64,0),MATCH(2073,Mortality_Matrix!$B$3:$BS$3,0)))/INDEX(Mortality_Matrix!$B$4:$BS$64,MATCH($A148,Mortality_Matrix!$A$4:$A$64,0),MATCH(2073,Mortality_Matrix!$B$3:$BS$3,0))</f>
        <v>4.13553866036181E-011</v>
      </c>
      <c r="BL148" s="27" t="n">
        <f aca="false">(BL82-INDEX(Mortality_Matrix!$B$4:$BS$64,MATCH($A148,Mortality_Matrix!$A$4:$A$64,0),MATCH(2074,Mortality_Matrix!$B$3:$BS$3,0)))/INDEX(Mortality_Matrix!$B$4:$BS$64,MATCH($A148,Mortality_Matrix!$A$4:$A$64,0),MATCH(2074,Mortality_Matrix!$B$3:$BS$3,0))</f>
        <v>4.13553866036181E-011</v>
      </c>
      <c r="BM148" s="27" t="n">
        <f aca="false">(BM82-INDEX(Mortality_Matrix!$B$4:$BS$64,MATCH($A148,Mortality_Matrix!$A$4:$A$64,0),MATCH(2075,Mortality_Matrix!$B$3:$BS$3,0)))/INDEX(Mortality_Matrix!$B$4:$BS$64,MATCH($A148,Mortality_Matrix!$A$4:$A$64,0),MATCH(2075,Mortality_Matrix!$B$3:$BS$3,0))</f>
        <v>4.13553866036181E-011</v>
      </c>
      <c r="BN148" s="27" t="n">
        <f aca="false">(BN82-INDEX(Mortality_Matrix!$B$4:$BS$64,MATCH($A148,Mortality_Matrix!$A$4:$A$64,0),MATCH(2076,Mortality_Matrix!$B$3:$BS$3,0)))/INDEX(Mortality_Matrix!$B$4:$BS$64,MATCH($A148,Mortality_Matrix!$A$4:$A$64,0),MATCH(2076,Mortality_Matrix!$B$3:$BS$3,0))</f>
        <v>4.13553866036181E-011</v>
      </c>
      <c r="BO148" s="27" t="n">
        <f aca="false">(BO82-INDEX(Mortality_Matrix!$B$4:$BS$64,MATCH($A148,Mortality_Matrix!$A$4:$A$64,0),MATCH(2077,Mortality_Matrix!$B$3:$BS$3,0)))/INDEX(Mortality_Matrix!$B$4:$BS$64,MATCH($A148,Mortality_Matrix!$A$4:$A$64,0),MATCH(2077,Mortality_Matrix!$B$3:$BS$3,0))</f>
        <v>4.13553866036181E-011</v>
      </c>
      <c r="BP148" s="27" t="n">
        <f aca="false">(BP82-INDEX(Mortality_Matrix!$B$4:$BS$64,MATCH($A148,Mortality_Matrix!$A$4:$A$64,0),MATCH(2078,Mortality_Matrix!$B$3:$BS$3,0)))/INDEX(Mortality_Matrix!$B$4:$BS$64,MATCH($A148,Mortality_Matrix!$A$4:$A$64,0),MATCH(2078,Mortality_Matrix!$B$3:$BS$3,0))</f>
        <v>4.13553866036181E-011</v>
      </c>
      <c r="BQ148" s="27" t="n">
        <f aca="false">(BQ82-INDEX(Mortality_Matrix!$B$4:$BS$64,MATCH($A148,Mortality_Matrix!$A$4:$A$64,0),MATCH(2079,Mortality_Matrix!$B$3:$BS$3,0)))/INDEX(Mortality_Matrix!$B$4:$BS$64,MATCH($A148,Mortality_Matrix!$A$4:$A$64,0),MATCH(2079,Mortality_Matrix!$B$3:$BS$3,0))</f>
        <v>4.13553866036181E-011</v>
      </c>
      <c r="BR148" s="27" t="n">
        <f aca="false">(BR82-INDEX(Mortality_Matrix!$B$4:$BS$64,MATCH($A148,Mortality_Matrix!$A$4:$A$64,0),MATCH(2080,Mortality_Matrix!$B$3:$BS$3,0)))/INDEX(Mortality_Matrix!$B$4:$BS$64,MATCH($A148,Mortality_Matrix!$A$4:$A$64,0),MATCH(2080,Mortality_Matrix!$B$3:$BS$3,0))</f>
        <v>4.13553866036181E-011</v>
      </c>
      <c r="BS148" s="27" t="n">
        <f aca="false">(BS82-INDEX(Mortality_Matrix!$B$4:$BS$64,MATCH($A148,Mortality_Matrix!$A$4:$A$64,0),MATCH(2081,Mortality_Matrix!$B$3:$BS$3,0)))/INDEX(Mortality_Matrix!$B$4:$BS$64,MATCH($A148,Mortality_Matrix!$A$4:$A$64,0),MATCH(2081,Mortality_Matrix!$B$3:$BS$3,0))</f>
        <v>4.13553866036181E-011</v>
      </c>
      <c r="BT148" s="27" t="n">
        <f aca="false">(BT82-INDEX(Mortality_Matrix!$B$4:$BS$64,MATCH($A148,Mortality_Matrix!$A$4:$A$64,0),MATCH(2082,Mortality_Matrix!$B$3:$BS$3,0)))/INDEX(Mortality_Matrix!$B$4:$BS$64,MATCH($A148,Mortality_Matrix!$A$4:$A$64,0),MATCH(2082,Mortality_Matrix!$B$3:$BS$3,0))</f>
        <v>4.13553866036181E-011</v>
      </c>
      <c r="BU148" s="27" t="n">
        <f aca="false">(BU82-INDEX(Mortality_Matrix!$B$4:$BS$64,MATCH($A148,Mortality_Matrix!$A$4:$A$64,0),MATCH(2083,Mortality_Matrix!$B$3:$BS$3,0)))/INDEX(Mortality_Matrix!$B$4:$BS$64,MATCH($A148,Mortality_Matrix!$A$4:$A$64,0),MATCH(2083,Mortality_Matrix!$B$3:$BS$3,0))</f>
        <v>4.13553866036181E-011</v>
      </c>
      <c r="BV148" s="27" t="n">
        <f aca="false">(BV82-INDEX(Mortality_Matrix!$B$4:$BS$64,MATCH($A148,Mortality_Matrix!$A$4:$A$64,0),MATCH(2084,Mortality_Matrix!$B$3:$BS$3,0)))/INDEX(Mortality_Matrix!$B$4:$BS$64,MATCH($A148,Mortality_Matrix!$A$4:$A$64,0),MATCH(2084,Mortality_Matrix!$B$3:$BS$3,0))</f>
        <v>4.13553866036181E-011</v>
      </c>
      <c r="BW148" s="27" t="n">
        <f aca="false">(BW82-INDEX(Mortality_Matrix!$B$4:$BS$64,MATCH($A148,Mortality_Matrix!$A$4:$A$64,0),MATCH(2085,Mortality_Matrix!$B$3:$BS$3,0)))/INDEX(Mortality_Matrix!$B$4:$BS$64,MATCH($A148,Mortality_Matrix!$A$4:$A$64,0),MATCH(2085,Mortality_Matrix!$B$3:$BS$3,0))</f>
        <v>4.13553866036181E-011</v>
      </c>
      <c r="BX148" s="27" t="n">
        <f aca="false">(BX82-INDEX(Mortality_Matrix!$B$4:$BS$64,MATCH($A148,Mortality_Matrix!$A$4:$A$64,0),MATCH(2086,Mortality_Matrix!$B$3:$BS$3,0)))/INDEX(Mortality_Matrix!$B$4:$BS$64,MATCH($A148,Mortality_Matrix!$A$4:$A$64,0),MATCH(2086,Mortality_Matrix!$B$3:$BS$3,0))</f>
        <v>4.13553866036181E-011</v>
      </c>
      <c r="BY148" s="27" t="n">
        <f aca="false">(BY82-INDEX(Mortality_Matrix!$B$4:$BS$64,MATCH($A148,Mortality_Matrix!$A$4:$A$64,0),MATCH(2087,Mortality_Matrix!$B$3:$BS$3,0)))/INDEX(Mortality_Matrix!$B$4:$BS$64,MATCH($A148,Mortality_Matrix!$A$4:$A$64,0),MATCH(2087,Mortality_Matrix!$B$3:$BS$3,0))</f>
        <v>4.13553866036181E-011</v>
      </c>
      <c r="BZ148" s="27" t="n">
        <f aca="false">(BZ82-INDEX(Mortality_Matrix!$B$4:$BS$64,MATCH($A148,Mortality_Matrix!$A$4:$A$64,0),MATCH(2088,Mortality_Matrix!$B$3:$BS$3,0)))/INDEX(Mortality_Matrix!$B$4:$BS$64,MATCH($A148,Mortality_Matrix!$A$4:$A$64,0),MATCH(2088,Mortality_Matrix!$B$3:$BS$3,0))</f>
        <v>4.13553866036181E-011</v>
      </c>
      <c r="CA148" s="27" t="n">
        <f aca="false">(CA82-INDEX(Mortality_Matrix!$B$4:$BS$64,MATCH($A148,Mortality_Matrix!$A$4:$A$64,0),MATCH(2089,Mortality_Matrix!$B$3:$BS$3,0)))/INDEX(Mortality_Matrix!$B$4:$BS$64,MATCH($A148,Mortality_Matrix!$A$4:$A$64,0),MATCH(2089,Mortality_Matrix!$B$3:$BS$3,0))</f>
        <v>4.13553866036181E-011</v>
      </c>
      <c r="CB148" s="27" t="n">
        <f aca="false">(CB82-INDEX(Mortality_Matrix!$B$4:$BS$64,MATCH($A148,Mortality_Matrix!$A$4:$A$64,0),MATCH(2090,Mortality_Matrix!$B$3:$BS$3,0)))/INDEX(Mortality_Matrix!$B$4:$BS$64,MATCH($A148,Mortality_Matrix!$A$4:$A$64,0),MATCH(2090,Mortality_Matrix!$B$3:$BS$3,0))</f>
        <v>4.13553866036181E-011</v>
      </c>
      <c r="CC148" s="27" t="n">
        <f aca="false">(CC82-INDEX(Mortality_Matrix!$B$4:$BS$64,MATCH($A148,Mortality_Matrix!$A$4:$A$64,0),MATCH(2091,Mortality_Matrix!$B$3:$BS$3,0)))/INDEX(Mortality_Matrix!$B$4:$BS$64,MATCH($A148,Mortality_Matrix!$A$4:$A$64,0),MATCH(2091,Mortality_Matrix!$B$3:$BS$3,0))</f>
        <v>4.13553866036181E-011</v>
      </c>
    </row>
    <row r="149" customFormat="false" ht="15" hidden="false" customHeight="true" outlineLevel="0" collapsed="false">
      <c r="A149" s="3" t="n">
        <v>120</v>
      </c>
      <c r="L149" s="27" t="n">
        <f aca="false">(L83-INDEX(Mortality_Matrix!$B$4:$BS$64,MATCH($A149,Mortality_Matrix!$A$4:$A$64,0),MATCH(2022,Mortality_Matrix!$B$3:$BS$3,0)))/INDEX(Mortality_Matrix!$B$4:$BS$64,MATCH($A149,Mortality_Matrix!$A$4:$A$64,0),MATCH(2022,Mortality_Matrix!$B$3:$BS$3,0))</f>
        <v>5.31514641478749E-012</v>
      </c>
      <c r="M149" s="27" t="n">
        <f aca="false">(M83-INDEX(Mortality_Matrix!$B$4:$BS$64,MATCH($A149,Mortality_Matrix!$A$4:$A$64,0),MATCH(2023,Mortality_Matrix!$B$3:$BS$3,0)))/INDEX(Mortality_Matrix!$B$4:$BS$64,MATCH($A149,Mortality_Matrix!$A$4:$A$64,0),MATCH(2023,Mortality_Matrix!$B$3:$BS$3,0))</f>
        <v>-3.70840374419551E-011</v>
      </c>
      <c r="N149" s="27" t="n">
        <f aca="false">(N83-INDEX(Mortality_Matrix!$B$4:$BS$64,MATCH($A149,Mortality_Matrix!$A$4:$A$64,0),MATCH(2024,Mortality_Matrix!$B$3:$BS$3,0)))/INDEX(Mortality_Matrix!$B$4:$BS$64,MATCH($A149,Mortality_Matrix!$A$4:$A$64,0),MATCH(2024,Mortality_Matrix!$B$3:$BS$3,0))</f>
        <v>-5.20467356867535E-011</v>
      </c>
      <c r="O149" s="27" t="n">
        <f aca="false">(O83-INDEX(Mortality_Matrix!$B$4:$BS$64,MATCH($A149,Mortality_Matrix!$A$4:$A$64,0),MATCH(2025,Mortality_Matrix!$B$3:$BS$3,0)))/INDEX(Mortality_Matrix!$B$4:$BS$64,MATCH($A149,Mortality_Matrix!$A$4:$A$64,0),MATCH(2025,Mortality_Matrix!$B$3:$BS$3,0))</f>
        <v>3.73871450453004E-011</v>
      </c>
      <c r="P149" s="27" t="n">
        <f aca="false">(P83-INDEX(Mortality_Matrix!$B$4:$BS$64,MATCH($A149,Mortality_Matrix!$A$4:$A$64,0),MATCH(2026,Mortality_Matrix!$B$3:$BS$3,0)))/INDEX(Mortality_Matrix!$B$4:$BS$64,MATCH($A149,Mortality_Matrix!$A$4:$A$64,0),MATCH(2026,Mortality_Matrix!$B$3:$BS$3,0))</f>
        <v>-4.80177295137843E-011</v>
      </c>
      <c r="Q149" s="27" t="n">
        <f aca="false">(Q83-INDEX(Mortality_Matrix!$B$4:$BS$64,MATCH($A149,Mortality_Matrix!$A$4:$A$64,0),MATCH(2027,Mortality_Matrix!$B$3:$BS$3,0)))/INDEX(Mortality_Matrix!$B$4:$BS$64,MATCH($A149,Mortality_Matrix!$A$4:$A$64,0),MATCH(2027,Mortality_Matrix!$B$3:$BS$3,0))</f>
        <v>-4.80177295137843E-011</v>
      </c>
      <c r="R149" s="27" t="n">
        <f aca="false">(R83-INDEX(Mortality_Matrix!$B$4:$BS$64,MATCH($A149,Mortality_Matrix!$A$4:$A$64,0),MATCH(2028,Mortality_Matrix!$B$3:$BS$3,0)))/INDEX(Mortality_Matrix!$B$4:$BS$64,MATCH($A149,Mortality_Matrix!$A$4:$A$64,0),MATCH(2028,Mortality_Matrix!$B$3:$BS$3,0))</f>
        <v>-4.80177295137843E-011</v>
      </c>
      <c r="S149" s="27" t="n">
        <f aca="false">(S83-INDEX(Mortality_Matrix!$B$4:$BS$64,MATCH($A149,Mortality_Matrix!$A$4:$A$64,0),MATCH(2029,Mortality_Matrix!$B$3:$BS$3,0)))/INDEX(Mortality_Matrix!$B$4:$BS$64,MATCH($A149,Mortality_Matrix!$A$4:$A$64,0),MATCH(2029,Mortality_Matrix!$B$3:$BS$3,0))</f>
        <v>-4.80177295137843E-011</v>
      </c>
      <c r="T149" s="27" t="n">
        <f aca="false">(T83-INDEX(Mortality_Matrix!$B$4:$BS$64,MATCH($A149,Mortality_Matrix!$A$4:$A$64,0),MATCH(2030,Mortality_Matrix!$B$3:$BS$3,0)))/INDEX(Mortality_Matrix!$B$4:$BS$64,MATCH($A149,Mortality_Matrix!$A$4:$A$64,0),MATCH(2030,Mortality_Matrix!$B$3:$BS$3,0))</f>
        <v>-4.80177295137843E-011</v>
      </c>
      <c r="U149" s="27" t="n">
        <f aca="false">(U83-INDEX(Mortality_Matrix!$B$4:$BS$64,MATCH($A149,Mortality_Matrix!$A$4:$A$64,0),MATCH(2031,Mortality_Matrix!$B$3:$BS$3,0)))/INDEX(Mortality_Matrix!$B$4:$BS$64,MATCH($A149,Mortality_Matrix!$A$4:$A$64,0),MATCH(2031,Mortality_Matrix!$B$3:$BS$3,0))</f>
        <v>-4.80177295137843E-011</v>
      </c>
      <c r="V149" s="27" t="n">
        <f aca="false">(V83-INDEX(Mortality_Matrix!$B$4:$BS$64,MATCH($A149,Mortality_Matrix!$A$4:$A$64,0),MATCH(2032,Mortality_Matrix!$B$3:$BS$3,0)))/INDEX(Mortality_Matrix!$B$4:$BS$64,MATCH($A149,Mortality_Matrix!$A$4:$A$64,0),MATCH(2032,Mortality_Matrix!$B$3:$BS$3,0))</f>
        <v>-4.80177295137843E-011</v>
      </c>
      <c r="W149" s="27" t="n">
        <f aca="false">(W83-INDEX(Mortality_Matrix!$B$4:$BS$64,MATCH($A149,Mortality_Matrix!$A$4:$A$64,0),MATCH(2033,Mortality_Matrix!$B$3:$BS$3,0)))/INDEX(Mortality_Matrix!$B$4:$BS$64,MATCH($A149,Mortality_Matrix!$A$4:$A$64,0),MATCH(2033,Mortality_Matrix!$B$3:$BS$3,0))</f>
        <v>-4.80177295137843E-011</v>
      </c>
      <c r="X149" s="27" t="n">
        <f aca="false">(X83-INDEX(Mortality_Matrix!$B$4:$BS$64,MATCH($A149,Mortality_Matrix!$A$4:$A$64,0),MATCH(2034,Mortality_Matrix!$B$3:$BS$3,0)))/INDEX(Mortality_Matrix!$B$4:$BS$64,MATCH($A149,Mortality_Matrix!$A$4:$A$64,0),MATCH(2034,Mortality_Matrix!$B$3:$BS$3,0))</f>
        <v>-4.80177295137843E-011</v>
      </c>
      <c r="Y149" s="27" t="n">
        <f aca="false">(Y83-INDEX(Mortality_Matrix!$B$4:$BS$64,MATCH($A149,Mortality_Matrix!$A$4:$A$64,0),MATCH(2035,Mortality_Matrix!$B$3:$BS$3,0)))/INDEX(Mortality_Matrix!$B$4:$BS$64,MATCH($A149,Mortality_Matrix!$A$4:$A$64,0),MATCH(2035,Mortality_Matrix!$B$3:$BS$3,0))</f>
        <v>-4.80177295137843E-011</v>
      </c>
      <c r="Z149" s="27" t="n">
        <f aca="false">(Z83-INDEX(Mortality_Matrix!$B$4:$BS$64,MATCH($A149,Mortality_Matrix!$A$4:$A$64,0),MATCH(2036,Mortality_Matrix!$B$3:$BS$3,0)))/INDEX(Mortality_Matrix!$B$4:$BS$64,MATCH($A149,Mortality_Matrix!$A$4:$A$64,0),MATCH(2036,Mortality_Matrix!$B$3:$BS$3,0))</f>
        <v>-4.80177295137843E-011</v>
      </c>
      <c r="AA149" s="27" t="n">
        <f aca="false">(AA83-INDEX(Mortality_Matrix!$B$4:$BS$64,MATCH($A149,Mortality_Matrix!$A$4:$A$64,0),MATCH(2037,Mortality_Matrix!$B$3:$BS$3,0)))/INDEX(Mortality_Matrix!$B$4:$BS$64,MATCH($A149,Mortality_Matrix!$A$4:$A$64,0),MATCH(2037,Mortality_Matrix!$B$3:$BS$3,0))</f>
        <v>-4.80177295137843E-011</v>
      </c>
      <c r="AB149" s="27" t="n">
        <f aca="false">(AB83-INDEX(Mortality_Matrix!$B$4:$BS$64,MATCH($A149,Mortality_Matrix!$A$4:$A$64,0),MATCH(2038,Mortality_Matrix!$B$3:$BS$3,0)))/INDEX(Mortality_Matrix!$B$4:$BS$64,MATCH($A149,Mortality_Matrix!$A$4:$A$64,0),MATCH(2038,Mortality_Matrix!$B$3:$BS$3,0))</f>
        <v>-4.80177295137843E-011</v>
      </c>
      <c r="AC149" s="27" t="n">
        <f aca="false">(AC83-INDEX(Mortality_Matrix!$B$4:$BS$64,MATCH($A149,Mortality_Matrix!$A$4:$A$64,0),MATCH(2039,Mortality_Matrix!$B$3:$BS$3,0)))/INDEX(Mortality_Matrix!$B$4:$BS$64,MATCH($A149,Mortality_Matrix!$A$4:$A$64,0),MATCH(2039,Mortality_Matrix!$B$3:$BS$3,0))</f>
        <v>-4.80177295137843E-011</v>
      </c>
      <c r="AD149" s="27" t="n">
        <f aca="false">(AD83-INDEX(Mortality_Matrix!$B$4:$BS$64,MATCH($A149,Mortality_Matrix!$A$4:$A$64,0),MATCH(2040,Mortality_Matrix!$B$3:$BS$3,0)))/INDEX(Mortality_Matrix!$B$4:$BS$64,MATCH($A149,Mortality_Matrix!$A$4:$A$64,0),MATCH(2040,Mortality_Matrix!$B$3:$BS$3,0))</f>
        <v>-4.80177295137843E-011</v>
      </c>
      <c r="AE149" s="27" t="n">
        <f aca="false">(AE83-INDEX(Mortality_Matrix!$B$4:$BS$64,MATCH($A149,Mortality_Matrix!$A$4:$A$64,0),MATCH(2041,Mortality_Matrix!$B$3:$BS$3,0)))/INDEX(Mortality_Matrix!$B$4:$BS$64,MATCH($A149,Mortality_Matrix!$A$4:$A$64,0),MATCH(2041,Mortality_Matrix!$B$3:$BS$3,0))</f>
        <v>-4.80177295137843E-011</v>
      </c>
      <c r="AF149" s="27" t="n">
        <f aca="false">(AF83-INDEX(Mortality_Matrix!$B$4:$BS$64,MATCH($A149,Mortality_Matrix!$A$4:$A$64,0),MATCH(2042,Mortality_Matrix!$B$3:$BS$3,0)))/INDEX(Mortality_Matrix!$B$4:$BS$64,MATCH($A149,Mortality_Matrix!$A$4:$A$64,0),MATCH(2042,Mortality_Matrix!$B$3:$BS$3,0))</f>
        <v>-4.80177295137843E-011</v>
      </c>
      <c r="AG149" s="27" t="n">
        <f aca="false">(AG83-INDEX(Mortality_Matrix!$B$4:$BS$64,MATCH($A149,Mortality_Matrix!$A$4:$A$64,0),MATCH(2043,Mortality_Matrix!$B$3:$BS$3,0)))/INDEX(Mortality_Matrix!$B$4:$BS$64,MATCH($A149,Mortality_Matrix!$A$4:$A$64,0),MATCH(2043,Mortality_Matrix!$B$3:$BS$3,0))</f>
        <v>-4.80177295137843E-011</v>
      </c>
      <c r="AH149" s="27" t="n">
        <f aca="false">(AH83-INDEX(Mortality_Matrix!$B$4:$BS$64,MATCH($A149,Mortality_Matrix!$A$4:$A$64,0),MATCH(2044,Mortality_Matrix!$B$3:$BS$3,0)))/INDEX(Mortality_Matrix!$B$4:$BS$64,MATCH($A149,Mortality_Matrix!$A$4:$A$64,0),MATCH(2044,Mortality_Matrix!$B$3:$BS$3,0))</f>
        <v>-4.80177295137843E-011</v>
      </c>
      <c r="AI149" s="27" t="n">
        <f aca="false">(AI83-INDEX(Mortality_Matrix!$B$4:$BS$64,MATCH($A149,Mortality_Matrix!$A$4:$A$64,0),MATCH(2045,Mortality_Matrix!$B$3:$BS$3,0)))/INDEX(Mortality_Matrix!$B$4:$BS$64,MATCH($A149,Mortality_Matrix!$A$4:$A$64,0),MATCH(2045,Mortality_Matrix!$B$3:$BS$3,0))</f>
        <v>-4.80177295137843E-011</v>
      </c>
      <c r="AJ149" s="27" t="n">
        <f aca="false">(AJ83-INDEX(Mortality_Matrix!$B$4:$BS$64,MATCH($A149,Mortality_Matrix!$A$4:$A$64,0),MATCH(2046,Mortality_Matrix!$B$3:$BS$3,0)))/INDEX(Mortality_Matrix!$B$4:$BS$64,MATCH($A149,Mortality_Matrix!$A$4:$A$64,0),MATCH(2046,Mortality_Matrix!$B$3:$BS$3,0))</f>
        <v>-4.80177295137843E-011</v>
      </c>
      <c r="AK149" s="27" t="n">
        <f aca="false">(AK83-INDEX(Mortality_Matrix!$B$4:$BS$64,MATCH($A149,Mortality_Matrix!$A$4:$A$64,0),MATCH(2047,Mortality_Matrix!$B$3:$BS$3,0)))/INDEX(Mortality_Matrix!$B$4:$BS$64,MATCH($A149,Mortality_Matrix!$A$4:$A$64,0),MATCH(2047,Mortality_Matrix!$B$3:$BS$3,0))</f>
        <v>-4.80177295137843E-011</v>
      </c>
      <c r="AL149" s="27" t="n">
        <f aca="false">(AL83-INDEX(Mortality_Matrix!$B$4:$BS$64,MATCH($A149,Mortality_Matrix!$A$4:$A$64,0),MATCH(2048,Mortality_Matrix!$B$3:$BS$3,0)))/INDEX(Mortality_Matrix!$B$4:$BS$64,MATCH($A149,Mortality_Matrix!$A$4:$A$64,0),MATCH(2048,Mortality_Matrix!$B$3:$BS$3,0))</f>
        <v>-4.80177295137843E-011</v>
      </c>
      <c r="AM149" s="27" t="n">
        <f aca="false">(AM83-INDEX(Mortality_Matrix!$B$4:$BS$64,MATCH($A149,Mortality_Matrix!$A$4:$A$64,0),MATCH(2049,Mortality_Matrix!$B$3:$BS$3,0)))/INDEX(Mortality_Matrix!$B$4:$BS$64,MATCH($A149,Mortality_Matrix!$A$4:$A$64,0),MATCH(2049,Mortality_Matrix!$B$3:$BS$3,0))</f>
        <v>-4.80177295137843E-011</v>
      </c>
      <c r="AN149" s="27" t="n">
        <f aca="false">(AN83-INDEX(Mortality_Matrix!$B$4:$BS$64,MATCH($A149,Mortality_Matrix!$A$4:$A$64,0),MATCH(2050,Mortality_Matrix!$B$3:$BS$3,0)))/INDEX(Mortality_Matrix!$B$4:$BS$64,MATCH($A149,Mortality_Matrix!$A$4:$A$64,0),MATCH(2050,Mortality_Matrix!$B$3:$BS$3,0))</f>
        <v>-4.80177295137843E-011</v>
      </c>
      <c r="AO149" s="27" t="n">
        <f aca="false">(AO83-INDEX(Mortality_Matrix!$B$4:$BS$64,MATCH($A149,Mortality_Matrix!$A$4:$A$64,0),MATCH(2051,Mortality_Matrix!$B$3:$BS$3,0)))/INDEX(Mortality_Matrix!$B$4:$BS$64,MATCH($A149,Mortality_Matrix!$A$4:$A$64,0),MATCH(2051,Mortality_Matrix!$B$3:$BS$3,0))</f>
        <v>-4.80177295137843E-011</v>
      </c>
      <c r="AP149" s="27" t="n">
        <f aca="false">(AP83-INDEX(Mortality_Matrix!$B$4:$BS$64,MATCH($A149,Mortality_Matrix!$A$4:$A$64,0),MATCH(2052,Mortality_Matrix!$B$3:$BS$3,0)))/INDEX(Mortality_Matrix!$B$4:$BS$64,MATCH($A149,Mortality_Matrix!$A$4:$A$64,0),MATCH(2052,Mortality_Matrix!$B$3:$BS$3,0))</f>
        <v>-4.80177295137843E-011</v>
      </c>
      <c r="AQ149" s="27" t="n">
        <f aca="false">(AQ83-INDEX(Mortality_Matrix!$B$4:$BS$64,MATCH($A149,Mortality_Matrix!$A$4:$A$64,0),MATCH(2053,Mortality_Matrix!$B$3:$BS$3,0)))/INDEX(Mortality_Matrix!$B$4:$BS$64,MATCH($A149,Mortality_Matrix!$A$4:$A$64,0),MATCH(2053,Mortality_Matrix!$B$3:$BS$3,0))</f>
        <v>-4.80177295137843E-011</v>
      </c>
      <c r="AR149" s="27" t="n">
        <f aca="false">(AR83-INDEX(Mortality_Matrix!$B$4:$BS$64,MATCH($A149,Mortality_Matrix!$A$4:$A$64,0),MATCH(2054,Mortality_Matrix!$B$3:$BS$3,0)))/INDEX(Mortality_Matrix!$B$4:$BS$64,MATCH($A149,Mortality_Matrix!$A$4:$A$64,0),MATCH(2054,Mortality_Matrix!$B$3:$BS$3,0))</f>
        <v>-4.80177295137843E-011</v>
      </c>
      <c r="AS149" s="27" t="n">
        <f aca="false">(AS83-INDEX(Mortality_Matrix!$B$4:$BS$64,MATCH($A149,Mortality_Matrix!$A$4:$A$64,0),MATCH(2055,Mortality_Matrix!$B$3:$BS$3,0)))/INDEX(Mortality_Matrix!$B$4:$BS$64,MATCH($A149,Mortality_Matrix!$A$4:$A$64,0),MATCH(2055,Mortality_Matrix!$B$3:$BS$3,0))</f>
        <v>-4.80177295137843E-011</v>
      </c>
      <c r="AT149" s="27" t="n">
        <f aca="false">(AT83-INDEX(Mortality_Matrix!$B$4:$BS$64,MATCH($A149,Mortality_Matrix!$A$4:$A$64,0),MATCH(2056,Mortality_Matrix!$B$3:$BS$3,0)))/INDEX(Mortality_Matrix!$B$4:$BS$64,MATCH($A149,Mortality_Matrix!$A$4:$A$64,0),MATCH(2056,Mortality_Matrix!$B$3:$BS$3,0))</f>
        <v>-4.80177295137843E-011</v>
      </c>
      <c r="AU149" s="27" t="n">
        <f aca="false">(AU83-INDEX(Mortality_Matrix!$B$4:$BS$64,MATCH($A149,Mortality_Matrix!$A$4:$A$64,0),MATCH(2057,Mortality_Matrix!$B$3:$BS$3,0)))/INDEX(Mortality_Matrix!$B$4:$BS$64,MATCH($A149,Mortality_Matrix!$A$4:$A$64,0),MATCH(2057,Mortality_Matrix!$B$3:$BS$3,0))</f>
        <v>-4.80177295137843E-011</v>
      </c>
      <c r="AV149" s="27" t="n">
        <f aca="false">(AV83-INDEX(Mortality_Matrix!$B$4:$BS$64,MATCH($A149,Mortality_Matrix!$A$4:$A$64,0),MATCH(2058,Mortality_Matrix!$B$3:$BS$3,0)))/INDEX(Mortality_Matrix!$B$4:$BS$64,MATCH($A149,Mortality_Matrix!$A$4:$A$64,0),MATCH(2058,Mortality_Matrix!$B$3:$BS$3,0))</f>
        <v>-4.80177295137843E-011</v>
      </c>
      <c r="AW149" s="27" t="n">
        <f aca="false">(AW83-INDEX(Mortality_Matrix!$B$4:$BS$64,MATCH($A149,Mortality_Matrix!$A$4:$A$64,0),MATCH(2059,Mortality_Matrix!$B$3:$BS$3,0)))/INDEX(Mortality_Matrix!$B$4:$BS$64,MATCH($A149,Mortality_Matrix!$A$4:$A$64,0),MATCH(2059,Mortality_Matrix!$B$3:$BS$3,0))</f>
        <v>-4.80177295137843E-011</v>
      </c>
      <c r="AX149" s="27" t="n">
        <f aca="false">(AX83-INDEX(Mortality_Matrix!$B$4:$BS$64,MATCH($A149,Mortality_Matrix!$A$4:$A$64,0),MATCH(2060,Mortality_Matrix!$B$3:$BS$3,0)))/INDEX(Mortality_Matrix!$B$4:$BS$64,MATCH($A149,Mortality_Matrix!$A$4:$A$64,0),MATCH(2060,Mortality_Matrix!$B$3:$BS$3,0))</f>
        <v>-4.80177295137843E-011</v>
      </c>
      <c r="AY149" s="27" t="n">
        <f aca="false">(AY83-INDEX(Mortality_Matrix!$B$4:$BS$64,MATCH($A149,Mortality_Matrix!$A$4:$A$64,0),MATCH(2061,Mortality_Matrix!$B$3:$BS$3,0)))/INDEX(Mortality_Matrix!$B$4:$BS$64,MATCH($A149,Mortality_Matrix!$A$4:$A$64,0),MATCH(2061,Mortality_Matrix!$B$3:$BS$3,0))</f>
        <v>-4.80177295137843E-011</v>
      </c>
      <c r="AZ149" s="27" t="n">
        <f aca="false">(AZ83-INDEX(Mortality_Matrix!$B$4:$BS$64,MATCH($A149,Mortality_Matrix!$A$4:$A$64,0),MATCH(2062,Mortality_Matrix!$B$3:$BS$3,0)))/INDEX(Mortality_Matrix!$B$4:$BS$64,MATCH($A149,Mortality_Matrix!$A$4:$A$64,0),MATCH(2062,Mortality_Matrix!$B$3:$BS$3,0))</f>
        <v>-4.80177295137843E-011</v>
      </c>
      <c r="BA149" s="27" t="n">
        <f aca="false">(BA83-INDEX(Mortality_Matrix!$B$4:$BS$64,MATCH($A149,Mortality_Matrix!$A$4:$A$64,0),MATCH(2063,Mortality_Matrix!$B$3:$BS$3,0)))/INDEX(Mortality_Matrix!$B$4:$BS$64,MATCH($A149,Mortality_Matrix!$A$4:$A$64,0),MATCH(2063,Mortality_Matrix!$B$3:$BS$3,0))</f>
        <v>-4.80177295137843E-011</v>
      </c>
      <c r="BB149" s="27" t="n">
        <f aca="false">(BB83-INDEX(Mortality_Matrix!$B$4:$BS$64,MATCH($A149,Mortality_Matrix!$A$4:$A$64,0),MATCH(2064,Mortality_Matrix!$B$3:$BS$3,0)))/INDEX(Mortality_Matrix!$B$4:$BS$64,MATCH($A149,Mortality_Matrix!$A$4:$A$64,0),MATCH(2064,Mortality_Matrix!$B$3:$BS$3,0))</f>
        <v>-4.80177295137843E-011</v>
      </c>
      <c r="BC149" s="27" t="n">
        <f aca="false">(BC83-INDEX(Mortality_Matrix!$B$4:$BS$64,MATCH($A149,Mortality_Matrix!$A$4:$A$64,0),MATCH(2065,Mortality_Matrix!$B$3:$BS$3,0)))/INDEX(Mortality_Matrix!$B$4:$BS$64,MATCH($A149,Mortality_Matrix!$A$4:$A$64,0),MATCH(2065,Mortality_Matrix!$B$3:$BS$3,0))</f>
        <v>-4.80177295137843E-011</v>
      </c>
      <c r="BD149" s="27" t="n">
        <f aca="false">(BD83-INDEX(Mortality_Matrix!$B$4:$BS$64,MATCH($A149,Mortality_Matrix!$A$4:$A$64,0),MATCH(2066,Mortality_Matrix!$B$3:$BS$3,0)))/INDEX(Mortality_Matrix!$B$4:$BS$64,MATCH($A149,Mortality_Matrix!$A$4:$A$64,0),MATCH(2066,Mortality_Matrix!$B$3:$BS$3,0))</f>
        <v>-4.80177295137843E-011</v>
      </c>
      <c r="BE149" s="27" t="n">
        <f aca="false">(BE83-INDEX(Mortality_Matrix!$B$4:$BS$64,MATCH($A149,Mortality_Matrix!$A$4:$A$64,0),MATCH(2067,Mortality_Matrix!$B$3:$BS$3,0)))/INDEX(Mortality_Matrix!$B$4:$BS$64,MATCH($A149,Mortality_Matrix!$A$4:$A$64,0),MATCH(2067,Mortality_Matrix!$B$3:$BS$3,0))</f>
        <v>-4.80177295137843E-011</v>
      </c>
      <c r="BF149" s="27" t="n">
        <f aca="false">(BF83-INDEX(Mortality_Matrix!$B$4:$BS$64,MATCH($A149,Mortality_Matrix!$A$4:$A$64,0),MATCH(2068,Mortality_Matrix!$B$3:$BS$3,0)))/INDEX(Mortality_Matrix!$B$4:$BS$64,MATCH($A149,Mortality_Matrix!$A$4:$A$64,0),MATCH(2068,Mortality_Matrix!$B$3:$BS$3,0))</f>
        <v>-4.80177295137843E-011</v>
      </c>
      <c r="BG149" s="27" t="n">
        <f aca="false">(BG83-INDEX(Mortality_Matrix!$B$4:$BS$64,MATCH($A149,Mortality_Matrix!$A$4:$A$64,0),MATCH(2069,Mortality_Matrix!$B$3:$BS$3,0)))/INDEX(Mortality_Matrix!$B$4:$BS$64,MATCH($A149,Mortality_Matrix!$A$4:$A$64,0),MATCH(2069,Mortality_Matrix!$B$3:$BS$3,0))</f>
        <v>-4.80177295137843E-011</v>
      </c>
      <c r="BH149" s="27" t="n">
        <f aca="false">(BH83-INDEX(Mortality_Matrix!$B$4:$BS$64,MATCH($A149,Mortality_Matrix!$A$4:$A$64,0),MATCH(2070,Mortality_Matrix!$B$3:$BS$3,0)))/INDEX(Mortality_Matrix!$B$4:$BS$64,MATCH($A149,Mortality_Matrix!$A$4:$A$64,0),MATCH(2070,Mortality_Matrix!$B$3:$BS$3,0))</f>
        <v>-4.80177295137843E-011</v>
      </c>
      <c r="BI149" s="27" t="n">
        <f aca="false">(BI83-INDEX(Mortality_Matrix!$B$4:$BS$64,MATCH($A149,Mortality_Matrix!$A$4:$A$64,0),MATCH(2071,Mortality_Matrix!$B$3:$BS$3,0)))/INDEX(Mortality_Matrix!$B$4:$BS$64,MATCH($A149,Mortality_Matrix!$A$4:$A$64,0),MATCH(2071,Mortality_Matrix!$B$3:$BS$3,0))</f>
        <v>-4.80177295137843E-011</v>
      </c>
      <c r="BJ149" s="27" t="n">
        <f aca="false">(BJ83-INDEX(Mortality_Matrix!$B$4:$BS$64,MATCH($A149,Mortality_Matrix!$A$4:$A$64,0),MATCH(2072,Mortality_Matrix!$B$3:$BS$3,0)))/INDEX(Mortality_Matrix!$B$4:$BS$64,MATCH($A149,Mortality_Matrix!$A$4:$A$64,0),MATCH(2072,Mortality_Matrix!$B$3:$BS$3,0))</f>
        <v>-4.80177295137843E-011</v>
      </c>
      <c r="BK149" s="27" t="n">
        <f aca="false">(BK83-INDEX(Mortality_Matrix!$B$4:$BS$64,MATCH($A149,Mortality_Matrix!$A$4:$A$64,0),MATCH(2073,Mortality_Matrix!$B$3:$BS$3,0)))/INDEX(Mortality_Matrix!$B$4:$BS$64,MATCH($A149,Mortality_Matrix!$A$4:$A$64,0),MATCH(2073,Mortality_Matrix!$B$3:$BS$3,0))</f>
        <v>-4.80177295137843E-011</v>
      </c>
      <c r="BL149" s="27" t="n">
        <f aca="false">(BL83-INDEX(Mortality_Matrix!$B$4:$BS$64,MATCH($A149,Mortality_Matrix!$A$4:$A$64,0),MATCH(2074,Mortality_Matrix!$B$3:$BS$3,0)))/INDEX(Mortality_Matrix!$B$4:$BS$64,MATCH($A149,Mortality_Matrix!$A$4:$A$64,0),MATCH(2074,Mortality_Matrix!$B$3:$BS$3,0))</f>
        <v>-4.80177295137843E-011</v>
      </c>
      <c r="BM149" s="27" t="n">
        <f aca="false">(BM83-INDEX(Mortality_Matrix!$B$4:$BS$64,MATCH($A149,Mortality_Matrix!$A$4:$A$64,0),MATCH(2075,Mortality_Matrix!$B$3:$BS$3,0)))/INDEX(Mortality_Matrix!$B$4:$BS$64,MATCH($A149,Mortality_Matrix!$A$4:$A$64,0),MATCH(2075,Mortality_Matrix!$B$3:$BS$3,0))</f>
        <v>-4.80177295137843E-011</v>
      </c>
      <c r="BN149" s="27" t="n">
        <f aca="false">(BN83-INDEX(Mortality_Matrix!$B$4:$BS$64,MATCH($A149,Mortality_Matrix!$A$4:$A$64,0),MATCH(2076,Mortality_Matrix!$B$3:$BS$3,0)))/INDEX(Mortality_Matrix!$B$4:$BS$64,MATCH($A149,Mortality_Matrix!$A$4:$A$64,0),MATCH(2076,Mortality_Matrix!$B$3:$BS$3,0))</f>
        <v>-4.80177295137843E-011</v>
      </c>
      <c r="BO149" s="27" t="n">
        <f aca="false">(BO83-INDEX(Mortality_Matrix!$B$4:$BS$64,MATCH($A149,Mortality_Matrix!$A$4:$A$64,0),MATCH(2077,Mortality_Matrix!$B$3:$BS$3,0)))/INDEX(Mortality_Matrix!$B$4:$BS$64,MATCH($A149,Mortality_Matrix!$A$4:$A$64,0),MATCH(2077,Mortality_Matrix!$B$3:$BS$3,0))</f>
        <v>-4.80177295137843E-011</v>
      </c>
      <c r="BP149" s="27" t="n">
        <f aca="false">(BP83-INDEX(Mortality_Matrix!$B$4:$BS$64,MATCH($A149,Mortality_Matrix!$A$4:$A$64,0),MATCH(2078,Mortality_Matrix!$B$3:$BS$3,0)))/INDEX(Mortality_Matrix!$B$4:$BS$64,MATCH($A149,Mortality_Matrix!$A$4:$A$64,0),MATCH(2078,Mortality_Matrix!$B$3:$BS$3,0))</f>
        <v>-4.80177295137843E-011</v>
      </c>
      <c r="BQ149" s="27" t="n">
        <f aca="false">(BQ83-INDEX(Mortality_Matrix!$B$4:$BS$64,MATCH($A149,Mortality_Matrix!$A$4:$A$64,0),MATCH(2079,Mortality_Matrix!$B$3:$BS$3,0)))/INDEX(Mortality_Matrix!$B$4:$BS$64,MATCH($A149,Mortality_Matrix!$A$4:$A$64,0),MATCH(2079,Mortality_Matrix!$B$3:$BS$3,0))</f>
        <v>-4.80177295137843E-011</v>
      </c>
      <c r="BR149" s="27" t="n">
        <f aca="false">(BR83-INDEX(Mortality_Matrix!$B$4:$BS$64,MATCH($A149,Mortality_Matrix!$A$4:$A$64,0),MATCH(2080,Mortality_Matrix!$B$3:$BS$3,0)))/INDEX(Mortality_Matrix!$B$4:$BS$64,MATCH($A149,Mortality_Matrix!$A$4:$A$64,0),MATCH(2080,Mortality_Matrix!$B$3:$BS$3,0))</f>
        <v>-4.80177295137843E-011</v>
      </c>
      <c r="BS149" s="27" t="n">
        <f aca="false">(BS83-INDEX(Mortality_Matrix!$B$4:$BS$64,MATCH($A149,Mortality_Matrix!$A$4:$A$64,0),MATCH(2081,Mortality_Matrix!$B$3:$BS$3,0)))/INDEX(Mortality_Matrix!$B$4:$BS$64,MATCH($A149,Mortality_Matrix!$A$4:$A$64,0),MATCH(2081,Mortality_Matrix!$B$3:$BS$3,0))</f>
        <v>-4.80177295137843E-011</v>
      </c>
      <c r="BT149" s="27" t="n">
        <f aca="false">(BT83-INDEX(Mortality_Matrix!$B$4:$BS$64,MATCH($A149,Mortality_Matrix!$A$4:$A$64,0),MATCH(2082,Mortality_Matrix!$B$3:$BS$3,0)))/INDEX(Mortality_Matrix!$B$4:$BS$64,MATCH($A149,Mortality_Matrix!$A$4:$A$64,0),MATCH(2082,Mortality_Matrix!$B$3:$BS$3,0))</f>
        <v>-4.80177295137843E-011</v>
      </c>
      <c r="BU149" s="27" t="n">
        <f aca="false">(BU83-INDEX(Mortality_Matrix!$B$4:$BS$64,MATCH($A149,Mortality_Matrix!$A$4:$A$64,0),MATCH(2083,Mortality_Matrix!$B$3:$BS$3,0)))/INDEX(Mortality_Matrix!$B$4:$BS$64,MATCH($A149,Mortality_Matrix!$A$4:$A$64,0),MATCH(2083,Mortality_Matrix!$B$3:$BS$3,0))</f>
        <v>-4.80177295137843E-011</v>
      </c>
      <c r="BV149" s="27" t="n">
        <f aca="false">(BV83-INDEX(Mortality_Matrix!$B$4:$BS$64,MATCH($A149,Mortality_Matrix!$A$4:$A$64,0),MATCH(2084,Mortality_Matrix!$B$3:$BS$3,0)))/INDEX(Mortality_Matrix!$B$4:$BS$64,MATCH($A149,Mortality_Matrix!$A$4:$A$64,0),MATCH(2084,Mortality_Matrix!$B$3:$BS$3,0))</f>
        <v>-4.80177295137843E-011</v>
      </c>
      <c r="BW149" s="27" t="n">
        <f aca="false">(BW83-INDEX(Mortality_Matrix!$B$4:$BS$64,MATCH($A149,Mortality_Matrix!$A$4:$A$64,0),MATCH(2085,Mortality_Matrix!$B$3:$BS$3,0)))/INDEX(Mortality_Matrix!$B$4:$BS$64,MATCH($A149,Mortality_Matrix!$A$4:$A$64,0),MATCH(2085,Mortality_Matrix!$B$3:$BS$3,0))</f>
        <v>-4.80177295137843E-011</v>
      </c>
      <c r="BX149" s="27" t="n">
        <f aca="false">(BX83-INDEX(Mortality_Matrix!$B$4:$BS$64,MATCH($A149,Mortality_Matrix!$A$4:$A$64,0),MATCH(2086,Mortality_Matrix!$B$3:$BS$3,0)))/INDEX(Mortality_Matrix!$B$4:$BS$64,MATCH($A149,Mortality_Matrix!$A$4:$A$64,0),MATCH(2086,Mortality_Matrix!$B$3:$BS$3,0))</f>
        <v>-4.80177295137843E-011</v>
      </c>
      <c r="BY149" s="27" t="n">
        <f aca="false">(BY83-INDEX(Mortality_Matrix!$B$4:$BS$64,MATCH($A149,Mortality_Matrix!$A$4:$A$64,0),MATCH(2087,Mortality_Matrix!$B$3:$BS$3,0)))/INDEX(Mortality_Matrix!$B$4:$BS$64,MATCH($A149,Mortality_Matrix!$A$4:$A$64,0),MATCH(2087,Mortality_Matrix!$B$3:$BS$3,0))</f>
        <v>-4.80177295137843E-011</v>
      </c>
      <c r="BZ149" s="27" t="n">
        <f aca="false">(BZ83-INDEX(Mortality_Matrix!$B$4:$BS$64,MATCH($A149,Mortality_Matrix!$A$4:$A$64,0),MATCH(2088,Mortality_Matrix!$B$3:$BS$3,0)))/INDEX(Mortality_Matrix!$B$4:$BS$64,MATCH($A149,Mortality_Matrix!$A$4:$A$64,0),MATCH(2088,Mortality_Matrix!$B$3:$BS$3,0))</f>
        <v>-4.80177295137843E-011</v>
      </c>
      <c r="CA149" s="27" t="n">
        <f aca="false">(CA83-INDEX(Mortality_Matrix!$B$4:$BS$64,MATCH($A149,Mortality_Matrix!$A$4:$A$64,0),MATCH(2089,Mortality_Matrix!$B$3:$BS$3,0)))/INDEX(Mortality_Matrix!$B$4:$BS$64,MATCH($A149,Mortality_Matrix!$A$4:$A$64,0),MATCH(2089,Mortality_Matrix!$B$3:$BS$3,0))</f>
        <v>-4.80177295137843E-011</v>
      </c>
      <c r="CB149" s="27" t="n">
        <f aca="false">(CB83-INDEX(Mortality_Matrix!$B$4:$BS$64,MATCH($A149,Mortality_Matrix!$A$4:$A$64,0),MATCH(2090,Mortality_Matrix!$B$3:$BS$3,0)))/INDEX(Mortality_Matrix!$B$4:$BS$64,MATCH($A149,Mortality_Matrix!$A$4:$A$64,0),MATCH(2090,Mortality_Matrix!$B$3:$BS$3,0))</f>
        <v>-4.80177295137843E-011</v>
      </c>
      <c r="CC149" s="27" t="n">
        <f aca="false">(CC83-INDEX(Mortality_Matrix!$B$4:$BS$64,MATCH($A149,Mortality_Matrix!$A$4:$A$64,0),MATCH(2091,Mortality_Matrix!$B$3:$BS$3,0)))/INDEX(Mortality_Matrix!$B$4:$BS$64,MATCH($A149,Mortality_Matrix!$A$4:$A$64,0),MATCH(2091,Mortality_Matrix!$B$3:$BS$3,0))</f>
        <v>-4.80177295137843E-011</v>
      </c>
    </row>
    <row r="152" customFormat="false" ht="15" hidden="false" customHeight="true" outlineLevel="0" collapsed="false">
      <c r="A152" s="1" t="s">
        <v>548</v>
      </c>
      <c r="B152" s="12" t="n">
        <f aca="false">COUNT(L89:CE149)</f>
        <v>4270</v>
      </c>
    </row>
    <row r="153" customFormat="false" ht="15" hidden="false" customHeight="true" outlineLevel="0" collapsed="false">
      <c r="A153" s="1" t="s">
        <v>549</v>
      </c>
      <c r="B153" s="27" t="n">
        <f aca="false">MAX(ABS(MIN(L89:CE149)),ABS(MAX(L89:CE149)))</f>
        <v>4.27121694339155E-008</v>
      </c>
    </row>
    <row r="154" customFormat="false" ht="15" hidden="false" customHeight="true" outlineLevel="0" collapsed="false">
      <c r="A154" s="1" t="s">
        <v>550</v>
      </c>
      <c r="B154" s="27" t="n">
        <f aca="false">SUMPRODUCT(ABS(L89:CE149))/B152</f>
        <v>2.16053721824146E-009</v>
      </c>
    </row>
    <row r="155" customFormat="false" ht="15" hidden="false" customHeight="true" outlineLevel="0" collapsed="false">
      <c r="A155" s="3" t="s">
        <v>458</v>
      </c>
      <c r="B155" s="28" t="str">
        <f aca="false">IF(B153&lt;0.00001,"PASS — the projection is reproduced from documented parameters and published model structure. Layer VERIFIED.",IF(B153&lt;0.01,"CLOSE — small residual, investigate","FAIL — rebuilt projection does not reproduce the supplied matrix"))</f>
        <v>PASS — the projection is reproduced from documented parameters and published model structure. Layer VERIFIED.</v>
      </c>
    </row>
    <row r="157" customFormat="false" ht="15" hidden="false" customHeight="true" outlineLevel="0" collapsed="false">
      <c r="A157" s="1" t="s">
        <v>551</v>
      </c>
      <c r="B157" s="27" t="n">
        <f aca="false">SQRT(SUMPRODUCT(L89:CE149,L89:CE149)/B152)</f>
        <v>4.98875879431214E-009</v>
      </c>
    </row>
    <row r="158" customFormat="false" ht="15" hidden="false" customHeight="true" outlineLevel="0" collapsed="false">
      <c r="A158" s="1" t="s">
        <v>552</v>
      </c>
      <c r="B158" s="5" t="str">
        <f aca="false">IF(B153&lt;0.000001,"yes — residual is at CSV rounding precision","no")</f>
        <v>yes — residual is at CSV rounding precision</v>
      </c>
    </row>
    <row r="159" customFormat="false" ht="15" hidden="false" customHeight="true" outlineLevel="0" collapsed="false">
      <c r="A159" s="3" t="s">
        <v>553</v>
      </c>
    </row>
    <row r="160" customFormat="false" ht="15" hidden="false" customHeight="true" outlineLevel="0" collapsed="false">
      <c r="A160" s="7" t="s">
        <v>554</v>
      </c>
    </row>
    <row r="161" customFormat="false" ht="15" hidden="false" customHeight="true" outlineLevel="0" collapsed="false">
      <c r="A161" s="7" t="s">
        <v>555</v>
      </c>
    </row>
    <row r="162" customFormat="false" ht="15" hidden="false" customHeight="true" outlineLevel="0" collapsed="false">
      <c r="A162" s="7" t="s">
        <v>556</v>
      </c>
    </row>
    <row r="172" customFormat="false" ht="15" hidden="false" customHeight="true" outlineLevel="0" collapsed="false">
      <c r="A172" s="1" t="s">
        <v>557</v>
      </c>
    </row>
    <row r="182" customFormat="false" ht="15" hidden="false" customHeight="false" outlineLevel="0" collapsed="false">
      <c r="A182" s="1" t="s">
        <v>558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6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2"/>
    <col collapsed="false" customWidth="true" hidden="false" outlineLevel="0" max="2" min="2" style="1" width="30"/>
  </cols>
  <sheetData>
    <row r="1" customFormat="false" ht="15.75" hidden="false" customHeight="true" outlineLevel="0" collapsed="false">
      <c r="A1" s="15" t="s">
        <v>559</v>
      </c>
    </row>
    <row r="2" customFormat="false" ht="15" hidden="false" customHeight="true" outlineLevel="0" collapsed="false">
      <c r="A2" s="7" t="s">
        <v>560</v>
      </c>
    </row>
    <row r="3" customFormat="false" ht="15" hidden="false" customHeight="true" outlineLevel="0" collapsed="false">
      <c r="A3" s="7" t="s">
        <v>561</v>
      </c>
    </row>
    <row r="5" customFormat="false" ht="15" hidden="false" customHeight="true" outlineLevel="0" collapsed="false">
      <c r="A5" s="6" t="s">
        <v>562</v>
      </c>
    </row>
    <row r="6" customFormat="false" ht="15" hidden="false" customHeight="true" outlineLevel="0" collapsed="false">
      <c r="A6" s="7" t="s">
        <v>563</v>
      </c>
      <c r="B6" s="40" t="s">
        <v>564</v>
      </c>
    </row>
    <row r="7" customFormat="false" ht="15" hidden="false" customHeight="true" outlineLevel="0" collapsed="false">
      <c r="A7" s="7" t="s">
        <v>565</v>
      </c>
      <c r="B7" s="40" t="n">
        <v>1</v>
      </c>
    </row>
    <row r="8" customFormat="false" ht="15" hidden="false" customHeight="true" outlineLevel="0" collapsed="false">
      <c r="A8" s="7" t="s">
        <v>566</v>
      </c>
      <c r="B8" s="40" t="n">
        <v>20</v>
      </c>
    </row>
    <row r="9" customFormat="false" ht="15" hidden="false" customHeight="true" outlineLevel="0" collapsed="false">
      <c r="A9" s="7" t="s">
        <v>567</v>
      </c>
      <c r="B9" s="40" t="n">
        <v>40</v>
      </c>
    </row>
    <row r="10" customFormat="false" ht="15" hidden="false" customHeight="true" outlineLevel="0" collapsed="false">
      <c r="A10" s="7" t="s">
        <v>568</v>
      </c>
      <c r="B10" s="40" t="n">
        <v>3.3</v>
      </c>
    </row>
    <row r="11" customFormat="false" ht="15" hidden="false" customHeight="true" outlineLevel="0" collapsed="false">
      <c r="A11" s="7" t="s">
        <v>569</v>
      </c>
      <c r="B11" s="40" t="n">
        <v>0.059979</v>
      </c>
    </row>
    <row r="12" customFormat="false" ht="15" hidden="false" customHeight="true" outlineLevel="0" collapsed="false">
      <c r="A12" s="7" t="s">
        <v>570</v>
      </c>
      <c r="B12" s="40" t="n">
        <v>10</v>
      </c>
    </row>
    <row r="14" customFormat="false" ht="15" hidden="false" customHeight="true" outlineLevel="0" collapsed="false">
      <c r="A14" s="7" t="s">
        <v>571</v>
      </c>
    </row>
    <row r="16" customFormat="false" ht="15" hidden="false" customHeight="true" outlineLevel="0" collapsed="false">
      <c r="A16" s="6" t="s">
        <v>572</v>
      </c>
    </row>
    <row r="17" customFormat="false" ht="15" hidden="false" customHeight="true" outlineLevel="0" collapsed="false">
      <c r="A17" s="8" t="s">
        <v>573</v>
      </c>
      <c r="B17" s="8" t="s">
        <v>574</v>
      </c>
      <c r="D17" s="7" t="s">
        <v>575</v>
      </c>
    </row>
    <row r="18" customFormat="false" ht="15" hidden="false" customHeight="true" outlineLevel="0" collapsed="false">
      <c r="A18" s="3" t="n">
        <v>1</v>
      </c>
      <c r="B18" s="41" t="n">
        <v>0.02596</v>
      </c>
    </row>
    <row r="19" customFormat="false" ht="15" hidden="false" customHeight="true" outlineLevel="0" collapsed="false">
      <c r="A19" s="3" t="n">
        <v>2</v>
      </c>
      <c r="B19" s="41" t="n">
        <v>0.02626</v>
      </c>
    </row>
    <row r="20" customFormat="false" ht="15" hidden="false" customHeight="true" outlineLevel="0" collapsed="false">
      <c r="A20" s="3" t="n">
        <v>3</v>
      </c>
      <c r="B20" s="41" t="n">
        <v>0.02624</v>
      </c>
    </row>
    <row r="21" customFormat="false" ht="15" hidden="false" customHeight="true" outlineLevel="0" collapsed="false">
      <c r="A21" s="3" t="n">
        <v>4</v>
      </c>
      <c r="B21" s="41" t="n">
        <v>0.02636</v>
      </c>
    </row>
    <row r="22" customFormat="false" ht="15" hidden="false" customHeight="true" outlineLevel="0" collapsed="false">
      <c r="A22" s="3" t="n">
        <v>5</v>
      </c>
      <c r="B22" s="41" t="n">
        <v>0.02669</v>
      </c>
    </row>
    <row r="23" customFormat="false" ht="15" hidden="false" customHeight="true" outlineLevel="0" collapsed="false">
      <c r="A23" s="3" t="n">
        <v>6</v>
      </c>
      <c r="B23" s="41" t="n">
        <v>0.02706</v>
      </c>
    </row>
    <row r="24" customFormat="false" ht="15" hidden="false" customHeight="true" outlineLevel="0" collapsed="false">
      <c r="A24" s="3" t="n">
        <v>7</v>
      </c>
      <c r="B24" s="41" t="n">
        <v>0.0275</v>
      </c>
    </row>
    <row r="25" customFormat="false" ht="15" hidden="false" customHeight="true" outlineLevel="0" collapsed="false">
      <c r="A25" s="3" t="n">
        <v>8</v>
      </c>
      <c r="B25" s="41" t="n">
        <v>0.02798</v>
      </c>
    </row>
    <row r="26" customFormat="false" ht="15" hidden="false" customHeight="true" outlineLevel="0" collapsed="false">
      <c r="A26" s="3" t="n">
        <v>9</v>
      </c>
      <c r="B26" s="41" t="n">
        <v>0.02847</v>
      </c>
    </row>
    <row r="27" customFormat="false" ht="15" hidden="false" customHeight="true" outlineLevel="0" collapsed="false">
      <c r="A27" s="3" t="n">
        <v>10</v>
      </c>
      <c r="B27" s="41" t="n">
        <v>0.02911</v>
      </c>
    </row>
    <row r="28" customFormat="false" ht="15" hidden="false" customHeight="true" outlineLevel="0" collapsed="false">
      <c r="A28" s="3" t="n">
        <v>11</v>
      </c>
      <c r="B28" s="41" t="n">
        <v>0.02941</v>
      </c>
    </row>
    <row r="29" customFormat="false" ht="15" hidden="false" customHeight="true" outlineLevel="0" collapsed="false">
      <c r="A29" s="3" t="n">
        <v>12</v>
      </c>
      <c r="B29" s="41" t="n">
        <v>0.02992</v>
      </c>
    </row>
    <row r="30" customFormat="false" ht="15" hidden="false" customHeight="true" outlineLevel="0" collapsed="false">
      <c r="A30" s="3" t="n">
        <v>13</v>
      </c>
      <c r="B30" s="41" t="n">
        <v>0.03033</v>
      </c>
    </row>
    <row r="31" customFormat="false" ht="15" hidden="false" customHeight="true" outlineLevel="0" collapsed="false">
      <c r="A31" s="3" t="n">
        <v>14</v>
      </c>
      <c r="B31" s="41" t="n">
        <v>0.03063</v>
      </c>
    </row>
    <row r="32" customFormat="false" ht="15" hidden="false" customHeight="true" outlineLevel="0" collapsed="false">
      <c r="A32" s="3" t="n">
        <v>15</v>
      </c>
      <c r="B32" s="41" t="n">
        <v>0.03107</v>
      </c>
    </row>
    <row r="33" customFormat="false" ht="15" hidden="false" customHeight="true" outlineLevel="0" collapsed="false">
      <c r="A33" s="3" t="n">
        <v>16</v>
      </c>
      <c r="B33" s="41" t="n">
        <v>0.03139</v>
      </c>
    </row>
    <row r="34" customFormat="false" ht="15" hidden="false" customHeight="true" outlineLevel="0" collapsed="false">
      <c r="A34" s="3" t="n">
        <v>17</v>
      </c>
      <c r="B34" s="41" t="n">
        <v>0.03156</v>
      </c>
    </row>
    <row r="35" customFormat="false" ht="15" hidden="false" customHeight="true" outlineLevel="0" collapsed="false">
      <c r="A35" s="3" t="n">
        <v>18</v>
      </c>
      <c r="B35" s="41" t="n">
        <v>0.03165</v>
      </c>
    </row>
    <row r="36" customFormat="false" ht="15" hidden="false" customHeight="true" outlineLevel="0" collapsed="false">
      <c r="A36" s="3" t="n">
        <v>19</v>
      </c>
      <c r="B36" s="41" t="n">
        <v>0.03168</v>
      </c>
    </row>
    <row r="37" customFormat="false" ht="15" hidden="false" customHeight="true" outlineLevel="0" collapsed="false">
      <c r="A37" s="3" t="n">
        <v>20</v>
      </c>
      <c r="B37" s="41" t="n">
        <v>0.03169</v>
      </c>
    </row>
    <row r="38" customFormat="false" ht="15" hidden="false" customHeight="true" outlineLevel="0" collapsed="false">
      <c r="A38" s="3" t="n">
        <v>21</v>
      </c>
      <c r="B38" s="41" t="n">
        <v>0.0317</v>
      </c>
    </row>
    <row r="39" customFormat="false" ht="15" hidden="false" customHeight="true" outlineLevel="0" collapsed="false">
      <c r="A39" s="3" t="n">
        <v>22</v>
      </c>
      <c r="B39" s="41" t="n">
        <v>0.03171</v>
      </c>
    </row>
    <row r="40" customFormat="false" ht="15" hidden="false" customHeight="true" outlineLevel="0" collapsed="false">
      <c r="A40" s="3" t="n">
        <v>23</v>
      </c>
      <c r="B40" s="41" t="n">
        <v>0.03172</v>
      </c>
    </row>
    <row r="41" customFormat="false" ht="15" hidden="false" customHeight="true" outlineLevel="0" collapsed="false">
      <c r="A41" s="3" t="n">
        <v>24</v>
      </c>
      <c r="B41" s="41" t="n">
        <v>0.03174</v>
      </c>
    </row>
    <row r="42" customFormat="false" ht="15" hidden="false" customHeight="true" outlineLevel="0" collapsed="false">
      <c r="A42" s="3" t="n">
        <v>25</v>
      </c>
      <c r="B42" s="41" t="n">
        <v>0.03175</v>
      </c>
    </row>
    <row r="43" customFormat="false" ht="15" hidden="false" customHeight="true" outlineLevel="0" collapsed="false">
      <c r="A43" s="3" t="n">
        <v>26</v>
      </c>
      <c r="B43" s="41" t="n">
        <v>0.03177</v>
      </c>
    </row>
    <row r="44" customFormat="false" ht="15" hidden="false" customHeight="true" outlineLevel="0" collapsed="false">
      <c r="A44" s="3" t="n">
        <v>27</v>
      </c>
      <c r="B44" s="41" t="n">
        <v>0.03178</v>
      </c>
    </row>
    <row r="45" customFormat="false" ht="15" hidden="false" customHeight="true" outlineLevel="0" collapsed="false">
      <c r="A45" s="3" t="n">
        <v>28</v>
      </c>
      <c r="B45" s="41" t="n">
        <v>0.0318</v>
      </c>
    </row>
    <row r="46" customFormat="false" ht="15" hidden="false" customHeight="true" outlineLevel="0" collapsed="false">
      <c r="A46" s="3" t="n">
        <v>29</v>
      </c>
      <c r="B46" s="41" t="n">
        <v>0.03182</v>
      </c>
    </row>
    <row r="47" customFormat="false" ht="15" hidden="false" customHeight="true" outlineLevel="0" collapsed="false">
      <c r="A47" s="3" t="n">
        <v>30</v>
      </c>
      <c r="B47" s="41" t="n">
        <v>0.03184</v>
      </c>
    </row>
    <row r="48" customFormat="false" ht="15" hidden="false" customHeight="true" outlineLevel="0" collapsed="false">
      <c r="A48" s="3" t="n">
        <v>31</v>
      </c>
      <c r="B48" s="41" t="n">
        <v>0.03185</v>
      </c>
    </row>
    <row r="49" customFormat="false" ht="15" hidden="false" customHeight="true" outlineLevel="0" collapsed="false">
      <c r="A49" s="3" t="n">
        <v>32</v>
      </c>
      <c r="B49" s="41" t="n">
        <v>0.03187</v>
      </c>
    </row>
    <row r="50" customFormat="false" ht="15" hidden="false" customHeight="true" outlineLevel="0" collapsed="false">
      <c r="A50" s="3" t="n">
        <v>33</v>
      </c>
      <c r="B50" s="41" t="n">
        <v>0.03189</v>
      </c>
    </row>
    <row r="51" customFormat="false" ht="15" hidden="false" customHeight="true" outlineLevel="0" collapsed="false">
      <c r="A51" s="3" t="n">
        <v>34</v>
      </c>
      <c r="B51" s="41" t="n">
        <v>0.03191</v>
      </c>
    </row>
    <row r="52" customFormat="false" ht="15" hidden="false" customHeight="true" outlineLevel="0" collapsed="false">
      <c r="A52" s="3" t="n">
        <v>35</v>
      </c>
      <c r="B52" s="41" t="n">
        <v>0.03193</v>
      </c>
    </row>
    <row r="53" customFormat="false" ht="15" hidden="false" customHeight="true" outlineLevel="0" collapsed="false">
      <c r="A53" s="3" t="n">
        <v>36</v>
      </c>
      <c r="B53" s="41" t="n">
        <v>0.03194</v>
      </c>
    </row>
    <row r="54" customFormat="false" ht="15" hidden="false" customHeight="true" outlineLevel="0" collapsed="false">
      <c r="A54" s="3" t="n">
        <v>37</v>
      </c>
      <c r="B54" s="41" t="n">
        <v>0.03196</v>
      </c>
    </row>
    <row r="55" customFormat="false" ht="15" hidden="false" customHeight="true" outlineLevel="0" collapsed="false">
      <c r="A55" s="3" t="n">
        <v>38</v>
      </c>
      <c r="B55" s="41" t="n">
        <v>0.03198</v>
      </c>
    </row>
    <row r="56" customFormat="false" ht="15" hidden="false" customHeight="true" outlineLevel="0" collapsed="false">
      <c r="A56" s="3" t="n">
        <v>39</v>
      </c>
      <c r="B56" s="41" t="n">
        <v>0.03199</v>
      </c>
    </row>
    <row r="57" customFormat="false" ht="15" hidden="false" customHeight="true" outlineLevel="0" collapsed="false">
      <c r="A57" s="3" t="n">
        <v>40</v>
      </c>
      <c r="B57" s="41" t="n">
        <v>0.03201</v>
      </c>
    </row>
    <row r="58" customFormat="false" ht="15" hidden="false" customHeight="true" outlineLevel="0" collapsed="false">
      <c r="A58" s="3" t="n">
        <v>41</v>
      </c>
      <c r="B58" s="41" t="n">
        <v>0.03203</v>
      </c>
    </row>
    <row r="59" customFormat="false" ht="15" hidden="false" customHeight="true" outlineLevel="0" collapsed="false">
      <c r="A59" s="3" t="n">
        <v>42</v>
      </c>
      <c r="B59" s="41" t="n">
        <v>0.03204</v>
      </c>
    </row>
    <row r="60" customFormat="false" ht="15" hidden="false" customHeight="true" outlineLevel="0" collapsed="false">
      <c r="A60" s="3" t="n">
        <v>43</v>
      </c>
      <c r="B60" s="41" t="n">
        <v>0.03206</v>
      </c>
    </row>
    <row r="61" customFormat="false" ht="15" hidden="false" customHeight="true" outlineLevel="0" collapsed="false">
      <c r="A61" s="3" t="n">
        <v>44</v>
      </c>
      <c r="B61" s="41" t="n">
        <v>0.03207</v>
      </c>
    </row>
    <row r="62" customFormat="false" ht="15" hidden="false" customHeight="true" outlineLevel="0" collapsed="false">
      <c r="A62" s="3" t="n">
        <v>45</v>
      </c>
      <c r="B62" s="41" t="n">
        <v>0.03209</v>
      </c>
    </row>
    <row r="63" customFormat="false" ht="15" hidden="false" customHeight="true" outlineLevel="0" collapsed="false">
      <c r="A63" s="3" t="n">
        <v>46</v>
      </c>
      <c r="B63" s="41" t="n">
        <v>0.0321</v>
      </c>
    </row>
    <row r="64" customFormat="false" ht="15" hidden="false" customHeight="true" outlineLevel="0" collapsed="false">
      <c r="A64" s="3" t="n">
        <v>47</v>
      </c>
      <c r="B64" s="41" t="n">
        <v>0.03211</v>
      </c>
    </row>
    <row r="65" customFormat="false" ht="15" hidden="false" customHeight="true" outlineLevel="0" collapsed="false">
      <c r="A65" s="3" t="n">
        <v>48</v>
      </c>
      <c r="B65" s="41" t="n">
        <v>0.03213</v>
      </c>
    </row>
    <row r="66" customFormat="false" ht="15" hidden="false" customHeight="true" outlineLevel="0" collapsed="false">
      <c r="A66" s="3" t="n">
        <v>49</v>
      </c>
      <c r="B66" s="41" t="n">
        <v>0.03214</v>
      </c>
    </row>
    <row r="67" customFormat="false" ht="15" hidden="false" customHeight="true" outlineLevel="0" collapsed="false">
      <c r="A67" s="3" t="n">
        <v>50</v>
      </c>
      <c r="B67" s="41" t="n">
        <v>0.03216</v>
      </c>
    </row>
    <row r="68" customFormat="false" ht="15" hidden="false" customHeight="true" outlineLevel="0" collapsed="false">
      <c r="A68" s="3" t="n">
        <v>51</v>
      </c>
      <c r="B68" s="41" t="n">
        <v>0.03217</v>
      </c>
    </row>
    <row r="69" customFormat="false" ht="15" hidden="false" customHeight="true" outlineLevel="0" collapsed="false">
      <c r="A69" s="3" t="n">
        <v>52</v>
      </c>
      <c r="B69" s="41" t="n">
        <v>0.03218</v>
      </c>
    </row>
    <row r="70" customFormat="false" ht="15" hidden="false" customHeight="true" outlineLevel="0" collapsed="false">
      <c r="A70" s="3" t="n">
        <v>53</v>
      </c>
      <c r="B70" s="41" t="n">
        <v>0.03219</v>
      </c>
    </row>
    <row r="71" customFormat="false" ht="15" hidden="false" customHeight="true" outlineLevel="0" collapsed="false">
      <c r="A71" s="3" t="n">
        <v>54</v>
      </c>
      <c r="B71" s="41" t="n">
        <v>0.03221</v>
      </c>
    </row>
    <row r="72" customFormat="false" ht="15" hidden="false" customHeight="true" outlineLevel="0" collapsed="false">
      <c r="A72" s="3" t="n">
        <v>55</v>
      </c>
      <c r="B72" s="41" t="n">
        <v>0.03222</v>
      </c>
    </row>
    <row r="73" customFormat="false" ht="15" hidden="false" customHeight="true" outlineLevel="0" collapsed="false">
      <c r="A73" s="3" t="n">
        <v>56</v>
      </c>
      <c r="B73" s="41" t="n">
        <v>0.03223</v>
      </c>
    </row>
    <row r="74" customFormat="false" ht="15" hidden="false" customHeight="true" outlineLevel="0" collapsed="false">
      <c r="A74" s="3" t="n">
        <v>57</v>
      </c>
      <c r="B74" s="41" t="n">
        <v>0.03224</v>
      </c>
    </row>
    <row r="75" customFormat="false" ht="15" hidden="false" customHeight="true" outlineLevel="0" collapsed="false">
      <c r="A75" s="3" t="n">
        <v>58</v>
      </c>
      <c r="B75" s="41" t="n">
        <v>0.03225</v>
      </c>
    </row>
    <row r="76" customFormat="false" ht="15" hidden="false" customHeight="true" outlineLevel="0" collapsed="false">
      <c r="A76" s="3" t="n">
        <v>59</v>
      </c>
      <c r="B76" s="41" t="n">
        <v>0.03226</v>
      </c>
    </row>
    <row r="77" customFormat="false" ht="15" hidden="false" customHeight="true" outlineLevel="0" collapsed="false">
      <c r="A77" s="3" t="n">
        <v>60</v>
      </c>
      <c r="B77" s="41" t="n">
        <v>0.03227</v>
      </c>
    </row>
    <row r="78" customFormat="false" ht="15" hidden="false" customHeight="true" outlineLevel="0" collapsed="false">
      <c r="A78" s="3" t="n">
        <v>61</v>
      </c>
      <c r="B78" s="41" t="n">
        <v>0.03228</v>
      </c>
    </row>
    <row r="79" customFormat="false" ht="15" hidden="false" customHeight="true" outlineLevel="0" collapsed="false">
      <c r="A79" s="3" t="n">
        <v>62</v>
      </c>
      <c r="B79" s="41" t="n">
        <v>0.03229</v>
      </c>
    </row>
    <row r="80" customFormat="false" ht="15" hidden="false" customHeight="true" outlineLevel="0" collapsed="false">
      <c r="A80" s="3" t="n">
        <v>63</v>
      </c>
      <c r="B80" s="41" t="n">
        <v>0.0323</v>
      </c>
    </row>
    <row r="81" customFormat="false" ht="15" hidden="false" customHeight="true" outlineLevel="0" collapsed="false">
      <c r="A81" s="3" t="n">
        <v>64</v>
      </c>
      <c r="B81" s="41" t="n">
        <v>0.03231</v>
      </c>
    </row>
    <row r="82" customFormat="false" ht="15" hidden="false" customHeight="true" outlineLevel="0" collapsed="false">
      <c r="A82" s="3" t="n">
        <v>65</v>
      </c>
      <c r="B82" s="41" t="n">
        <v>0.03232</v>
      </c>
    </row>
    <row r="83" customFormat="false" ht="15" hidden="false" customHeight="true" outlineLevel="0" collapsed="false">
      <c r="A83" s="3" t="n">
        <v>66</v>
      </c>
      <c r="B83" s="41" t="n">
        <v>0.03233</v>
      </c>
    </row>
    <row r="84" customFormat="false" ht="15" hidden="false" customHeight="true" outlineLevel="0" collapsed="false">
      <c r="A84" s="3" t="n">
        <v>67</v>
      </c>
      <c r="B84" s="41" t="n">
        <v>0.03234</v>
      </c>
    </row>
    <row r="85" customFormat="false" ht="15" hidden="false" customHeight="true" outlineLevel="0" collapsed="false">
      <c r="A85" s="3" t="n">
        <v>68</v>
      </c>
      <c r="B85" s="41" t="n">
        <v>0.03235</v>
      </c>
    </row>
    <row r="86" customFormat="false" ht="15" hidden="false" customHeight="true" outlineLevel="0" collapsed="false">
      <c r="A86" s="3" t="n">
        <v>69</v>
      </c>
      <c r="B86" s="41" t="n">
        <v>0.03236</v>
      </c>
    </row>
    <row r="87" customFormat="false" ht="15" hidden="false" customHeight="true" outlineLevel="0" collapsed="false">
      <c r="A87" s="3" t="n">
        <v>70</v>
      </c>
      <c r="B87" s="41" t="n">
        <v>0.03237</v>
      </c>
    </row>
    <row r="88" customFormat="false" ht="15" hidden="false" customHeight="true" outlineLevel="0" collapsed="false">
      <c r="A88" s="3" t="n">
        <v>71</v>
      </c>
      <c r="B88" s="41" t="n">
        <v>0.03237</v>
      </c>
    </row>
    <row r="89" customFormat="false" ht="15" hidden="false" customHeight="true" outlineLevel="0" collapsed="false">
      <c r="A89" s="3" t="n">
        <v>72</v>
      </c>
      <c r="B89" s="41" t="n">
        <v>0.03238</v>
      </c>
    </row>
    <row r="90" customFormat="false" ht="15" hidden="false" customHeight="true" outlineLevel="0" collapsed="false">
      <c r="A90" s="3" t="n">
        <v>73</v>
      </c>
      <c r="B90" s="41" t="n">
        <v>0.03239</v>
      </c>
    </row>
    <row r="91" customFormat="false" ht="15" hidden="false" customHeight="true" outlineLevel="0" collapsed="false">
      <c r="A91" s="3" t="n">
        <v>74</v>
      </c>
      <c r="B91" s="41" t="n">
        <v>0.0324</v>
      </c>
    </row>
    <row r="92" customFormat="false" ht="15" hidden="false" customHeight="true" outlineLevel="0" collapsed="false">
      <c r="A92" s="3" t="n">
        <v>75</v>
      </c>
      <c r="B92" s="41" t="n">
        <v>0.0324</v>
      </c>
    </row>
    <row r="93" customFormat="false" ht="15" hidden="false" customHeight="true" outlineLevel="0" collapsed="false">
      <c r="A93" s="3" t="n">
        <v>76</v>
      </c>
      <c r="B93" s="41" t="n">
        <v>0.03241</v>
      </c>
    </row>
    <row r="94" customFormat="false" ht="15" hidden="false" customHeight="true" outlineLevel="0" collapsed="false">
      <c r="A94" s="3" t="n">
        <v>77</v>
      </c>
      <c r="B94" s="41" t="n">
        <v>0.03242</v>
      </c>
    </row>
    <row r="95" customFormat="false" ht="15" hidden="false" customHeight="true" outlineLevel="0" collapsed="false">
      <c r="A95" s="3" t="n">
        <v>78</v>
      </c>
      <c r="B95" s="41" t="n">
        <v>0.03243</v>
      </c>
    </row>
    <row r="96" customFormat="false" ht="15" hidden="false" customHeight="true" outlineLevel="0" collapsed="false">
      <c r="A96" s="3" t="n">
        <v>79</v>
      </c>
      <c r="B96" s="41" t="n">
        <v>0.03243</v>
      </c>
    </row>
    <row r="97" customFormat="false" ht="15" hidden="false" customHeight="true" outlineLevel="0" collapsed="false">
      <c r="A97" s="3" t="n">
        <v>80</v>
      </c>
      <c r="B97" s="41" t="n">
        <v>0.03244</v>
      </c>
    </row>
    <row r="98" customFormat="false" ht="15" hidden="false" customHeight="true" outlineLevel="0" collapsed="false">
      <c r="A98" s="3" t="n">
        <v>81</v>
      </c>
      <c r="B98" s="41" t="n">
        <v>0.03245</v>
      </c>
    </row>
    <row r="99" customFormat="false" ht="15" hidden="false" customHeight="true" outlineLevel="0" collapsed="false">
      <c r="A99" s="3" t="n">
        <v>82</v>
      </c>
      <c r="B99" s="41" t="n">
        <v>0.03245</v>
      </c>
    </row>
    <row r="100" customFormat="false" ht="15" hidden="false" customHeight="true" outlineLevel="0" collapsed="false">
      <c r="A100" s="3" t="n">
        <v>83</v>
      </c>
      <c r="B100" s="41" t="n">
        <v>0.03246</v>
      </c>
    </row>
    <row r="101" customFormat="false" ht="15" hidden="false" customHeight="true" outlineLevel="0" collapsed="false">
      <c r="A101" s="3" t="n">
        <v>84</v>
      </c>
      <c r="B101" s="41" t="n">
        <v>0.03246</v>
      </c>
    </row>
    <row r="102" customFormat="false" ht="15" hidden="false" customHeight="true" outlineLevel="0" collapsed="false">
      <c r="A102" s="3" t="n">
        <v>85</v>
      </c>
      <c r="B102" s="41" t="n">
        <v>0.03247</v>
      </c>
    </row>
    <row r="103" customFormat="false" ht="15" hidden="false" customHeight="true" outlineLevel="0" collapsed="false">
      <c r="A103" s="3" t="n">
        <v>86</v>
      </c>
      <c r="B103" s="41" t="n">
        <v>0.03248</v>
      </c>
    </row>
    <row r="104" customFormat="false" ht="15" hidden="false" customHeight="true" outlineLevel="0" collapsed="false">
      <c r="A104" s="3" t="n">
        <v>87</v>
      </c>
      <c r="B104" s="41" t="n">
        <v>0.03248</v>
      </c>
    </row>
    <row r="105" customFormat="false" ht="15" hidden="false" customHeight="true" outlineLevel="0" collapsed="false">
      <c r="A105" s="3" t="n">
        <v>88</v>
      </c>
      <c r="B105" s="41" t="n">
        <v>0.03249</v>
      </c>
    </row>
    <row r="106" customFormat="false" ht="15" hidden="false" customHeight="true" outlineLevel="0" collapsed="false">
      <c r="A106" s="3" t="n">
        <v>89</v>
      </c>
      <c r="B106" s="41" t="n">
        <v>0.03249</v>
      </c>
    </row>
    <row r="107" customFormat="false" ht="15" hidden="false" customHeight="true" outlineLevel="0" collapsed="false">
      <c r="A107" s="3" t="n">
        <v>90</v>
      </c>
      <c r="B107" s="41" t="n">
        <v>0.0325</v>
      </c>
    </row>
    <row r="108" customFormat="false" ht="15" hidden="false" customHeight="true" outlineLevel="0" collapsed="false">
      <c r="A108" s="3" t="n">
        <v>91</v>
      </c>
      <c r="B108" s="41" t="n">
        <v>0.0325</v>
      </c>
    </row>
    <row r="109" customFormat="false" ht="15" hidden="false" customHeight="true" outlineLevel="0" collapsed="false">
      <c r="A109" s="3" t="n">
        <v>92</v>
      </c>
      <c r="B109" s="41" t="n">
        <v>0.03251</v>
      </c>
    </row>
    <row r="110" customFormat="false" ht="15" hidden="false" customHeight="true" outlineLevel="0" collapsed="false">
      <c r="A110" s="3" t="n">
        <v>93</v>
      </c>
      <c r="B110" s="41" t="n">
        <v>0.03251</v>
      </c>
    </row>
    <row r="111" customFormat="false" ht="15" hidden="false" customHeight="true" outlineLevel="0" collapsed="false">
      <c r="A111" s="3" t="n">
        <v>94</v>
      </c>
      <c r="B111" s="41" t="n">
        <v>0.03252</v>
      </c>
    </row>
    <row r="112" customFormat="false" ht="15" hidden="false" customHeight="true" outlineLevel="0" collapsed="false">
      <c r="A112" s="3" t="n">
        <v>95</v>
      </c>
      <c r="B112" s="41" t="n">
        <v>0.03252</v>
      </c>
    </row>
    <row r="113" customFormat="false" ht="15" hidden="false" customHeight="true" outlineLevel="0" collapsed="false">
      <c r="A113" s="3" t="n">
        <v>96</v>
      </c>
      <c r="B113" s="41" t="n">
        <v>0.03253</v>
      </c>
    </row>
    <row r="114" customFormat="false" ht="15" hidden="false" customHeight="true" outlineLevel="0" collapsed="false">
      <c r="A114" s="3" t="n">
        <v>97</v>
      </c>
      <c r="B114" s="41" t="n">
        <v>0.03253</v>
      </c>
    </row>
    <row r="115" customFormat="false" ht="15" hidden="false" customHeight="true" outlineLevel="0" collapsed="false">
      <c r="A115" s="3" t="n">
        <v>98</v>
      </c>
      <c r="B115" s="41" t="n">
        <v>0.03254</v>
      </c>
    </row>
    <row r="116" customFormat="false" ht="15" hidden="false" customHeight="true" outlineLevel="0" collapsed="false">
      <c r="A116" s="3" t="n">
        <v>99</v>
      </c>
      <c r="B116" s="41" t="n">
        <v>0.03254</v>
      </c>
    </row>
    <row r="117" customFormat="false" ht="15" hidden="false" customHeight="true" outlineLevel="0" collapsed="false">
      <c r="A117" s="3" t="n">
        <v>100</v>
      </c>
      <c r="B117" s="41" t="n">
        <v>0.03255</v>
      </c>
    </row>
    <row r="118" customFormat="false" ht="15" hidden="false" customHeight="true" outlineLevel="0" collapsed="false">
      <c r="A118" s="3" t="n">
        <v>101</v>
      </c>
      <c r="B118" s="41" t="n">
        <v>0.03255</v>
      </c>
    </row>
    <row r="119" customFormat="false" ht="15" hidden="false" customHeight="true" outlineLevel="0" collapsed="false">
      <c r="A119" s="3" t="n">
        <v>102</v>
      </c>
      <c r="B119" s="41" t="n">
        <v>0.03256</v>
      </c>
    </row>
    <row r="120" customFormat="false" ht="15" hidden="false" customHeight="true" outlineLevel="0" collapsed="false">
      <c r="A120" s="3" t="n">
        <v>103</v>
      </c>
      <c r="B120" s="41" t="n">
        <v>0.03256</v>
      </c>
    </row>
    <row r="121" customFormat="false" ht="15" hidden="false" customHeight="true" outlineLevel="0" collapsed="false">
      <c r="A121" s="3" t="n">
        <v>104</v>
      </c>
      <c r="B121" s="41" t="n">
        <v>0.03257</v>
      </c>
    </row>
    <row r="122" customFormat="false" ht="15" hidden="false" customHeight="true" outlineLevel="0" collapsed="false">
      <c r="A122" s="3" t="n">
        <v>105</v>
      </c>
      <c r="B122" s="41" t="n">
        <v>0.03257</v>
      </c>
    </row>
    <row r="123" customFormat="false" ht="15" hidden="false" customHeight="true" outlineLevel="0" collapsed="false">
      <c r="A123" s="3" t="n">
        <v>106</v>
      </c>
      <c r="B123" s="41" t="n">
        <v>0.03257</v>
      </c>
    </row>
    <row r="124" customFormat="false" ht="15" hidden="false" customHeight="true" outlineLevel="0" collapsed="false">
      <c r="A124" s="3" t="n">
        <v>107</v>
      </c>
      <c r="B124" s="41" t="n">
        <v>0.03258</v>
      </c>
    </row>
    <row r="125" customFormat="false" ht="15" hidden="false" customHeight="true" outlineLevel="0" collapsed="false">
      <c r="A125" s="3" t="n">
        <v>108</v>
      </c>
      <c r="B125" s="41" t="n">
        <v>0.03258</v>
      </c>
    </row>
    <row r="126" customFormat="false" ht="15" hidden="false" customHeight="true" outlineLevel="0" collapsed="false">
      <c r="A126" s="3" t="n">
        <v>109</v>
      </c>
      <c r="B126" s="41" t="n">
        <v>0.03258</v>
      </c>
    </row>
    <row r="127" customFormat="false" ht="15" hidden="false" customHeight="true" outlineLevel="0" collapsed="false">
      <c r="A127" s="3" t="n">
        <v>110</v>
      </c>
      <c r="B127" s="41" t="n">
        <v>0.03259</v>
      </c>
    </row>
    <row r="128" customFormat="false" ht="15" hidden="false" customHeight="true" outlineLevel="0" collapsed="false">
      <c r="A128" s="3" t="n">
        <v>111</v>
      </c>
      <c r="B128" s="41" t="n">
        <v>0.03259</v>
      </c>
    </row>
    <row r="129" customFormat="false" ht="15" hidden="false" customHeight="true" outlineLevel="0" collapsed="false">
      <c r="A129" s="3" t="n">
        <v>112</v>
      </c>
      <c r="B129" s="41" t="n">
        <v>0.0326</v>
      </c>
    </row>
    <row r="130" customFormat="false" ht="15" hidden="false" customHeight="true" outlineLevel="0" collapsed="false">
      <c r="A130" s="3" t="n">
        <v>113</v>
      </c>
      <c r="B130" s="41" t="n">
        <v>0.0326</v>
      </c>
    </row>
    <row r="131" customFormat="false" ht="15" hidden="false" customHeight="true" outlineLevel="0" collapsed="false">
      <c r="A131" s="3" t="n">
        <v>114</v>
      </c>
      <c r="B131" s="41" t="n">
        <v>0.0326</v>
      </c>
    </row>
    <row r="132" customFormat="false" ht="15" hidden="false" customHeight="true" outlineLevel="0" collapsed="false">
      <c r="A132" s="3" t="n">
        <v>115</v>
      </c>
      <c r="B132" s="41" t="n">
        <v>0.03261</v>
      </c>
    </row>
    <row r="133" customFormat="false" ht="15" hidden="false" customHeight="true" outlineLevel="0" collapsed="false">
      <c r="A133" s="3" t="n">
        <v>116</v>
      </c>
      <c r="B133" s="41" t="n">
        <v>0.03261</v>
      </c>
    </row>
    <row r="134" customFormat="false" ht="15" hidden="false" customHeight="true" outlineLevel="0" collapsed="false">
      <c r="A134" s="3" t="n">
        <v>117</v>
      </c>
      <c r="B134" s="41" t="n">
        <v>0.03261</v>
      </c>
    </row>
    <row r="135" customFormat="false" ht="15" hidden="false" customHeight="true" outlineLevel="0" collapsed="false">
      <c r="A135" s="3" t="n">
        <v>118</v>
      </c>
      <c r="B135" s="41" t="n">
        <v>0.03262</v>
      </c>
    </row>
    <row r="136" customFormat="false" ht="15" hidden="false" customHeight="true" outlineLevel="0" collapsed="false">
      <c r="A136" s="3" t="n">
        <v>119</v>
      </c>
      <c r="B136" s="41" t="n">
        <v>0.03262</v>
      </c>
    </row>
    <row r="137" customFormat="false" ht="15" hidden="false" customHeight="true" outlineLevel="0" collapsed="false">
      <c r="A137" s="3" t="n">
        <v>120</v>
      </c>
      <c r="B137" s="41" t="n">
        <v>0.03262</v>
      </c>
    </row>
    <row r="138" customFormat="false" ht="15" hidden="false" customHeight="true" outlineLevel="0" collapsed="false">
      <c r="A138" s="3" t="n">
        <v>121</v>
      </c>
      <c r="B138" s="41" t="n">
        <v>0.03263</v>
      </c>
    </row>
    <row r="139" customFormat="false" ht="15" hidden="false" customHeight="true" outlineLevel="0" collapsed="false">
      <c r="A139" s="3" t="n">
        <v>122</v>
      </c>
      <c r="B139" s="41" t="n">
        <v>0.03263</v>
      </c>
    </row>
    <row r="140" customFormat="false" ht="15" hidden="false" customHeight="true" outlineLevel="0" collapsed="false">
      <c r="A140" s="3" t="n">
        <v>123</v>
      </c>
      <c r="B140" s="41" t="n">
        <v>0.03263</v>
      </c>
    </row>
    <row r="141" customFormat="false" ht="15" hidden="false" customHeight="true" outlineLevel="0" collapsed="false">
      <c r="A141" s="3" t="n">
        <v>124</v>
      </c>
      <c r="B141" s="41" t="n">
        <v>0.03263</v>
      </c>
    </row>
    <row r="142" customFormat="false" ht="15" hidden="false" customHeight="true" outlineLevel="0" collapsed="false">
      <c r="A142" s="3" t="n">
        <v>125</v>
      </c>
      <c r="B142" s="41" t="n">
        <v>0.03264</v>
      </c>
    </row>
    <row r="143" customFormat="false" ht="15" hidden="false" customHeight="true" outlineLevel="0" collapsed="false">
      <c r="A143" s="3" t="n">
        <v>126</v>
      </c>
      <c r="B143" s="41" t="n">
        <v>0.03264</v>
      </c>
    </row>
    <row r="144" customFormat="false" ht="15" hidden="false" customHeight="true" outlineLevel="0" collapsed="false">
      <c r="A144" s="3" t="n">
        <v>127</v>
      </c>
      <c r="B144" s="41" t="n">
        <v>0.03264</v>
      </c>
    </row>
    <row r="145" customFormat="false" ht="15" hidden="false" customHeight="true" outlineLevel="0" collapsed="false">
      <c r="A145" s="3" t="n">
        <v>128</v>
      </c>
      <c r="B145" s="41" t="n">
        <v>0.03265</v>
      </c>
    </row>
    <row r="146" customFormat="false" ht="15" hidden="false" customHeight="true" outlineLevel="0" collapsed="false">
      <c r="A146" s="3" t="n">
        <v>129</v>
      </c>
      <c r="B146" s="41" t="n">
        <v>0.03265</v>
      </c>
    </row>
    <row r="147" customFormat="false" ht="15" hidden="false" customHeight="true" outlineLevel="0" collapsed="false">
      <c r="A147" s="3" t="n">
        <v>130</v>
      </c>
      <c r="B147" s="41" t="n">
        <v>0.03265</v>
      </c>
    </row>
    <row r="148" customFormat="false" ht="15" hidden="false" customHeight="true" outlineLevel="0" collapsed="false">
      <c r="A148" s="3" t="n">
        <v>131</v>
      </c>
      <c r="B148" s="41" t="n">
        <v>0.03265</v>
      </c>
    </row>
    <row r="149" customFormat="false" ht="15" hidden="false" customHeight="true" outlineLevel="0" collapsed="false">
      <c r="A149" s="3" t="n">
        <v>132</v>
      </c>
      <c r="B149" s="41" t="n">
        <v>0.03266</v>
      </c>
    </row>
    <row r="150" customFormat="false" ht="15" hidden="false" customHeight="true" outlineLevel="0" collapsed="false">
      <c r="A150" s="3" t="n">
        <v>133</v>
      </c>
      <c r="B150" s="41" t="n">
        <v>0.03266</v>
      </c>
    </row>
    <row r="151" customFormat="false" ht="15" hidden="false" customHeight="true" outlineLevel="0" collapsed="false">
      <c r="A151" s="3" t="n">
        <v>134</v>
      </c>
      <c r="B151" s="41" t="n">
        <v>0.03266</v>
      </c>
    </row>
    <row r="152" customFormat="false" ht="15" hidden="false" customHeight="true" outlineLevel="0" collapsed="false">
      <c r="A152" s="3" t="n">
        <v>135</v>
      </c>
      <c r="B152" s="41" t="n">
        <v>0.03266</v>
      </c>
    </row>
    <row r="153" customFormat="false" ht="15" hidden="false" customHeight="true" outlineLevel="0" collapsed="false">
      <c r="A153" s="3" t="n">
        <v>136</v>
      </c>
      <c r="B153" s="41" t="n">
        <v>0.03267</v>
      </c>
    </row>
    <row r="154" customFormat="false" ht="15" hidden="false" customHeight="true" outlineLevel="0" collapsed="false">
      <c r="A154" s="3" t="n">
        <v>137</v>
      </c>
      <c r="B154" s="41" t="n">
        <v>0.03267</v>
      </c>
    </row>
    <row r="155" customFormat="false" ht="15" hidden="false" customHeight="true" outlineLevel="0" collapsed="false">
      <c r="A155" s="3" t="n">
        <v>138</v>
      </c>
      <c r="B155" s="41" t="n">
        <v>0.03267</v>
      </c>
    </row>
    <row r="156" customFormat="false" ht="15" hidden="false" customHeight="true" outlineLevel="0" collapsed="false">
      <c r="A156" s="3" t="n">
        <v>139</v>
      </c>
      <c r="B156" s="41" t="n">
        <v>0.03267</v>
      </c>
    </row>
    <row r="157" customFormat="false" ht="15" hidden="false" customHeight="true" outlineLevel="0" collapsed="false">
      <c r="A157" s="3" t="n">
        <v>140</v>
      </c>
      <c r="B157" s="41" t="n">
        <v>0.03268</v>
      </c>
    </row>
    <row r="158" customFormat="false" ht="15" hidden="false" customHeight="true" outlineLevel="0" collapsed="false">
      <c r="A158" s="3" t="n">
        <v>141</v>
      </c>
      <c r="B158" s="41" t="n">
        <v>0.03268</v>
      </c>
    </row>
    <row r="159" customFormat="false" ht="15" hidden="false" customHeight="true" outlineLevel="0" collapsed="false">
      <c r="A159" s="3" t="n">
        <v>142</v>
      </c>
      <c r="B159" s="41" t="n">
        <v>0.03268</v>
      </c>
    </row>
    <row r="160" customFormat="false" ht="15" hidden="false" customHeight="true" outlineLevel="0" collapsed="false">
      <c r="A160" s="3" t="n">
        <v>143</v>
      </c>
      <c r="B160" s="41" t="n">
        <v>0.03268</v>
      </c>
    </row>
    <row r="161" customFormat="false" ht="15" hidden="false" customHeight="true" outlineLevel="0" collapsed="false">
      <c r="A161" s="3" t="n">
        <v>144</v>
      </c>
      <c r="B161" s="41" t="n">
        <v>0.03269</v>
      </c>
    </row>
    <row r="162" customFormat="false" ht="15" hidden="false" customHeight="true" outlineLevel="0" collapsed="false">
      <c r="A162" s="3" t="n">
        <v>145</v>
      </c>
      <c r="B162" s="41" t="n">
        <v>0.03269</v>
      </c>
    </row>
    <row r="163" customFormat="false" ht="15" hidden="false" customHeight="true" outlineLevel="0" collapsed="false">
      <c r="A163" s="3" t="n">
        <v>146</v>
      </c>
      <c r="B163" s="41" t="n">
        <v>0.03269</v>
      </c>
    </row>
    <row r="164" customFormat="false" ht="15" hidden="false" customHeight="true" outlineLevel="0" collapsed="false">
      <c r="A164" s="3" t="n">
        <v>147</v>
      </c>
      <c r="B164" s="41" t="n">
        <v>0.03269</v>
      </c>
    </row>
    <row r="165" customFormat="false" ht="15" hidden="false" customHeight="true" outlineLevel="0" collapsed="false">
      <c r="A165" s="3" t="n">
        <v>148</v>
      </c>
      <c r="B165" s="41" t="n">
        <v>0.03269</v>
      </c>
    </row>
    <row r="166" customFormat="false" ht="15" hidden="false" customHeight="true" outlineLevel="0" collapsed="false">
      <c r="A166" s="3" t="n">
        <v>149</v>
      </c>
      <c r="B166" s="41" t="n">
        <v>0.0327</v>
      </c>
    </row>
    <row r="167" customFormat="false" ht="15" hidden="false" customHeight="true" outlineLevel="0" collapsed="false">
      <c r="A167" s="3" t="n">
        <v>150</v>
      </c>
      <c r="B167" s="41" t="n">
        <v>0.0327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B8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7" min="2" style="1" width="10"/>
    <col collapsed="false" customWidth="true" hidden="false" outlineLevel="0" max="54" min="29" style="1" width="10"/>
  </cols>
  <sheetData>
    <row r="1" customFormat="false" ht="15.75" hidden="false" customHeight="true" outlineLevel="0" collapsed="false">
      <c r="A1" s="15" t="s">
        <v>576</v>
      </c>
    </row>
    <row r="2" customFormat="false" ht="15" hidden="false" customHeight="true" outlineLevel="0" collapsed="false">
      <c r="A2" s="7" t="s">
        <v>577</v>
      </c>
    </row>
    <row r="3" customFormat="false" ht="15" hidden="false" customHeight="true" outlineLevel="0" collapsed="false">
      <c r="A3" s="3" t="s">
        <v>578</v>
      </c>
      <c r="AC3" s="3" t="s">
        <v>579</v>
      </c>
    </row>
    <row r="4" customFormat="false" ht="15" hidden="false" customHeight="true" outlineLevel="0" collapsed="false">
      <c r="A4" s="8" t="s">
        <v>580</v>
      </c>
      <c r="B4" s="8" t="n">
        <v>60</v>
      </c>
      <c r="C4" s="8" t="n">
        <v>61</v>
      </c>
      <c r="D4" s="8" t="n">
        <v>62</v>
      </c>
      <c r="E4" s="8" t="n">
        <v>63</v>
      </c>
      <c r="F4" s="8" t="n">
        <v>64</v>
      </c>
      <c r="G4" s="8" t="n">
        <v>65</v>
      </c>
      <c r="H4" s="8" t="n">
        <v>66</v>
      </c>
      <c r="I4" s="8" t="n">
        <v>67</v>
      </c>
      <c r="J4" s="8" t="n">
        <v>68</v>
      </c>
      <c r="K4" s="8" t="n">
        <v>69</v>
      </c>
      <c r="L4" s="8" t="n">
        <v>70</v>
      </c>
      <c r="M4" s="8" t="n">
        <v>71</v>
      </c>
      <c r="N4" s="8" t="n">
        <v>72</v>
      </c>
      <c r="O4" s="8" t="n">
        <v>73</v>
      </c>
      <c r="P4" s="8" t="n">
        <v>74</v>
      </c>
      <c r="Q4" s="8" t="n">
        <v>75</v>
      </c>
      <c r="R4" s="8" t="n">
        <v>76</v>
      </c>
      <c r="S4" s="8" t="n">
        <v>77</v>
      </c>
      <c r="T4" s="8" t="n">
        <v>78</v>
      </c>
      <c r="U4" s="8" t="n">
        <v>79</v>
      </c>
      <c r="V4" s="8" t="n">
        <v>80</v>
      </c>
      <c r="W4" s="8" t="n">
        <v>81</v>
      </c>
      <c r="X4" s="8" t="n">
        <v>82</v>
      </c>
      <c r="Y4" s="8" t="n">
        <v>83</v>
      </c>
      <c r="Z4" s="8" t="n">
        <v>84</v>
      </c>
      <c r="AA4" s="8" t="n">
        <v>85</v>
      </c>
      <c r="AC4" s="8" t="n">
        <v>60</v>
      </c>
      <c r="AD4" s="8" t="n">
        <v>61</v>
      </c>
      <c r="AE4" s="8" t="n">
        <v>62</v>
      </c>
      <c r="AF4" s="8" t="n">
        <v>63</v>
      </c>
      <c r="AG4" s="8" t="n">
        <v>64</v>
      </c>
      <c r="AH4" s="8" t="n">
        <v>65</v>
      </c>
      <c r="AI4" s="8" t="n">
        <v>66</v>
      </c>
      <c r="AJ4" s="8" t="n">
        <v>67</v>
      </c>
      <c r="AK4" s="8" t="n">
        <v>68</v>
      </c>
      <c r="AL4" s="8" t="n">
        <v>69</v>
      </c>
      <c r="AM4" s="8" t="n">
        <v>70</v>
      </c>
      <c r="AN4" s="8" t="n">
        <v>71</v>
      </c>
      <c r="AO4" s="8" t="n">
        <v>72</v>
      </c>
      <c r="AP4" s="8" t="n">
        <v>73</v>
      </c>
      <c r="AQ4" s="8" t="n">
        <v>74</v>
      </c>
      <c r="AR4" s="8" t="n">
        <v>75</v>
      </c>
      <c r="AS4" s="8" t="n">
        <v>76</v>
      </c>
      <c r="AT4" s="8" t="n">
        <v>77</v>
      </c>
      <c r="AU4" s="8" t="n">
        <v>78</v>
      </c>
      <c r="AV4" s="8" t="n">
        <v>79</v>
      </c>
      <c r="AW4" s="8" t="n">
        <v>80</v>
      </c>
      <c r="AX4" s="8" t="n">
        <v>81</v>
      </c>
      <c r="AY4" s="8" t="n">
        <v>82</v>
      </c>
      <c r="AZ4" s="8" t="n">
        <v>83</v>
      </c>
      <c r="BA4" s="8" t="n">
        <v>84</v>
      </c>
      <c r="BB4" s="8" t="n">
        <v>85</v>
      </c>
    </row>
    <row r="5" customFormat="false" ht="15" hidden="false" customHeight="true" outlineLevel="0" collapsed="false">
      <c r="A5" s="3" t="n">
        <v>60</v>
      </c>
      <c r="B5" s="30" t="n">
        <f aca="false">IF($A5&lt;B$4,"",MIN(1,IF(AND(Assumptions!$B$42=1,OR($A5=104,$A5=105)),INDEX(B$68:B$69,MATCH($A5,$A$68:$A$69,0)),INDEX(CMI_Projection!$L$23:$CC$83,$A5-59,2026+($A5-B$4)-2021))))</f>
        <v>0.00291244730502904</v>
      </c>
      <c r="C5" s="30" t="str">
        <f aca="false">IF($A5&lt;C$4,"",MIN(1,IF(AND(Assumptions!$B$42=1,OR($A5=104,$A5=105)),INDEX(C$68:C$69,MATCH($A5,$A$68:$A$69,0)),INDEX(CMI_Projection!$L$23:$CC$83,$A5-59,2026+($A5-C$4)-2021))))</f>
        <v/>
      </c>
      <c r="D5" s="30" t="str">
        <f aca="false">IF($A5&lt;D$4,"",MIN(1,IF(AND(Assumptions!$B$42=1,OR($A5=104,$A5=105)),INDEX(D$68:D$69,MATCH($A5,$A$68:$A$69,0)),INDEX(CMI_Projection!$L$23:$CC$83,$A5-59,2026+($A5-D$4)-2021))))</f>
        <v/>
      </c>
      <c r="E5" s="30" t="str">
        <f aca="false">IF($A5&lt;E$4,"",MIN(1,IF(AND(Assumptions!$B$42=1,OR($A5=104,$A5=105)),INDEX(E$68:E$69,MATCH($A5,$A$68:$A$69,0)),INDEX(CMI_Projection!$L$23:$CC$83,$A5-59,2026+($A5-E$4)-2021))))</f>
        <v/>
      </c>
      <c r="F5" s="30" t="str">
        <f aca="false">IF($A5&lt;F$4,"",MIN(1,IF(AND(Assumptions!$B$42=1,OR($A5=104,$A5=105)),INDEX(F$68:F$69,MATCH($A5,$A$68:$A$69,0)),INDEX(CMI_Projection!$L$23:$CC$83,$A5-59,2026+($A5-F$4)-2021))))</f>
        <v/>
      </c>
      <c r="G5" s="30" t="str">
        <f aca="false">IF($A5&lt;G$4,"",MIN(1,IF(AND(Assumptions!$B$42=1,OR($A5=104,$A5=105)),INDEX(G$68:G$69,MATCH($A5,$A$68:$A$69,0)),INDEX(CMI_Projection!$L$23:$CC$83,$A5-59,2026+($A5-G$4)-2021))))</f>
        <v/>
      </c>
      <c r="H5" s="30" t="str">
        <f aca="false">IF($A5&lt;H$4,"",MIN(1,IF(AND(Assumptions!$B$42=1,OR($A5=104,$A5=105)),INDEX(H$68:H$69,MATCH($A5,$A$68:$A$69,0)),INDEX(CMI_Projection!$L$23:$CC$83,$A5-59,2026+($A5-H$4)-2021))))</f>
        <v/>
      </c>
      <c r="I5" s="30" t="str">
        <f aca="false">IF($A5&lt;I$4,"",MIN(1,IF(AND(Assumptions!$B$42=1,OR($A5=104,$A5=105)),INDEX(I$68:I$69,MATCH($A5,$A$68:$A$69,0)),INDEX(CMI_Projection!$L$23:$CC$83,$A5-59,2026+($A5-I$4)-2021))))</f>
        <v/>
      </c>
      <c r="J5" s="30" t="str">
        <f aca="false">IF($A5&lt;J$4,"",MIN(1,IF(AND(Assumptions!$B$42=1,OR($A5=104,$A5=105)),INDEX(J$68:J$69,MATCH($A5,$A$68:$A$69,0)),INDEX(CMI_Projection!$L$23:$CC$83,$A5-59,2026+($A5-J$4)-2021))))</f>
        <v/>
      </c>
      <c r="K5" s="30" t="str">
        <f aca="false">IF($A5&lt;K$4,"",MIN(1,IF(AND(Assumptions!$B$42=1,OR($A5=104,$A5=105)),INDEX(K$68:K$69,MATCH($A5,$A$68:$A$69,0)),INDEX(CMI_Projection!$L$23:$CC$83,$A5-59,2026+($A5-K$4)-2021))))</f>
        <v/>
      </c>
      <c r="L5" s="30" t="str">
        <f aca="false">IF($A5&lt;L$4,"",MIN(1,IF(AND(Assumptions!$B$42=1,OR($A5=104,$A5=105)),INDEX(L$68:L$69,MATCH($A5,$A$68:$A$69,0)),INDEX(CMI_Projection!$L$23:$CC$83,$A5-59,2026+($A5-L$4)-2021))))</f>
        <v/>
      </c>
      <c r="M5" s="30" t="str">
        <f aca="false">IF($A5&lt;M$4,"",MIN(1,IF(AND(Assumptions!$B$42=1,OR($A5=104,$A5=105)),INDEX(M$68:M$69,MATCH($A5,$A$68:$A$69,0)),INDEX(CMI_Projection!$L$23:$CC$83,$A5-59,2026+($A5-M$4)-2021))))</f>
        <v/>
      </c>
      <c r="N5" s="30" t="str">
        <f aca="false">IF($A5&lt;N$4,"",MIN(1,IF(AND(Assumptions!$B$42=1,OR($A5=104,$A5=105)),INDEX(N$68:N$69,MATCH($A5,$A$68:$A$69,0)),INDEX(CMI_Projection!$L$23:$CC$83,$A5-59,2026+($A5-N$4)-2021))))</f>
        <v/>
      </c>
      <c r="O5" s="30" t="str">
        <f aca="false">IF($A5&lt;O$4,"",MIN(1,IF(AND(Assumptions!$B$42=1,OR($A5=104,$A5=105)),INDEX(O$68:O$69,MATCH($A5,$A$68:$A$69,0)),INDEX(CMI_Projection!$L$23:$CC$83,$A5-59,2026+($A5-O$4)-2021))))</f>
        <v/>
      </c>
      <c r="P5" s="30" t="str">
        <f aca="false">IF($A5&lt;P$4,"",MIN(1,IF(AND(Assumptions!$B$42=1,OR($A5=104,$A5=105)),INDEX(P$68:P$69,MATCH($A5,$A$68:$A$69,0)),INDEX(CMI_Projection!$L$23:$CC$83,$A5-59,2026+($A5-P$4)-2021))))</f>
        <v/>
      </c>
      <c r="Q5" s="30" t="str">
        <f aca="false">IF($A5&lt;Q$4,"",MIN(1,IF(AND(Assumptions!$B$42=1,OR($A5=104,$A5=105)),INDEX(Q$68:Q$69,MATCH($A5,$A$68:$A$69,0)),INDEX(CMI_Projection!$L$23:$CC$83,$A5-59,2026+($A5-Q$4)-2021))))</f>
        <v/>
      </c>
      <c r="R5" s="30" t="str">
        <f aca="false">IF($A5&lt;R$4,"",MIN(1,IF(AND(Assumptions!$B$42=1,OR($A5=104,$A5=105)),INDEX(R$68:R$69,MATCH($A5,$A$68:$A$69,0)),INDEX(CMI_Projection!$L$23:$CC$83,$A5-59,2026+($A5-R$4)-2021))))</f>
        <v/>
      </c>
      <c r="S5" s="30" t="str">
        <f aca="false">IF($A5&lt;S$4,"",MIN(1,IF(AND(Assumptions!$B$42=1,OR($A5=104,$A5=105)),INDEX(S$68:S$69,MATCH($A5,$A$68:$A$69,0)),INDEX(CMI_Projection!$L$23:$CC$83,$A5-59,2026+($A5-S$4)-2021))))</f>
        <v/>
      </c>
      <c r="T5" s="30" t="str">
        <f aca="false">IF($A5&lt;T$4,"",MIN(1,IF(AND(Assumptions!$B$42=1,OR($A5=104,$A5=105)),INDEX(T$68:T$69,MATCH($A5,$A$68:$A$69,0)),INDEX(CMI_Projection!$L$23:$CC$83,$A5-59,2026+($A5-T$4)-2021))))</f>
        <v/>
      </c>
      <c r="U5" s="30" t="str">
        <f aca="false">IF($A5&lt;U$4,"",MIN(1,IF(AND(Assumptions!$B$42=1,OR($A5=104,$A5=105)),INDEX(U$68:U$69,MATCH($A5,$A$68:$A$69,0)),INDEX(CMI_Projection!$L$23:$CC$83,$A5-59,2026+($A5-U$4)-2021))))</f>
        <v/>
      </c>
      <c r="V5" s="30" t="str">
        <f aca="false">IF($A5&lt;V$4,"",MIN(1,IF(AND(Assumptions!$B$42=1,OR($A5=104,$A5=105)),INDEX(V$68:V$69,MATCH($A5,$A$68:$A$69,0)),INDEX(CMI_Projection!$L$23:$CC$83,$A5-59,2026+($A5-V$4)-2021))))</f>
        <v/>
      </c>
      <c r="W5" s="30" t="str">
        <f aca="false">IF($A5&lt;W$4,"",MIN(1,IF(AND(Assumptions!$B$42=1,OR($A5=104,$A5=105)),INDEX(W$68:W$69,MATCH($A5,$A$68:$A$69,0)),INDEX(CMI_Projection!$L$23:$CC$83,$A5-59,2026+($A5-W$4)-2021))))</f>
        <v/>
      </c>
      <c r="X5" s="30" t="str">
        <f aca="false">IF($A5&lt;X$4,"",MIN(1,IF(AND(Assumptions!$B$42=1,OR($A5=104,$A5=105)),INDEX(X$68:X$69,MATCH($A5,$A$68:$A$69,0)),INDEX(CMI_Projection!$L$23:$CC$83,$A5-59,2026+($A5-X$4)-2021))))</f>
        <v/>
      </c>
      <c r="Y5" s="30" t="str">
        <f aca="false">IF($A5&lt;Y$4,"",MIN(1,IF(AND(Assumptions!$B$42=1,OR($A5=104,$A5=105)),INDEX(Y$68:Y$69,MATCH($A5,$A$68:$A$69,0)),INDEX(CMI_Projection!$L$23:$CC$83,$A5-59,2026+($A5-Y$4)-2021))))</f>
        <v/>
      </c>
      <c r="Z5" s="30" t="str">
        <f aca="false">IF($A5&lt;Z$4,"",MIN(1,IF(AND(Assumptions!$B$42=1,OR($A5=104,$A5=105)),INDEX(Z$68:Z$69,MATCH($A5,$A$68:$A$69,0)),INDEX(CMI_Projection!$L$23:$CC$83,$A5-59,2026+($A5-Z$4)-2021))))</f>
        <v/>
      </c>
      <c r="AA5" s="30" t="str">
        <f aca="false">IF($A5&lt;AA$4,"",MIN(1,IF(AND(Assumptions!$B$42=1,OR($A5=104,$A5=105)),INDEX(AA$68:AA$69,MATCH($A5,$A$68:$A$69,0)),INDEX(CMI_Projection!$L$23:$CC$83,$A5-59,2026+($A5-AA$4)-2021))))</f>
        <v/>
      </c>
      <c r="AC5" s="30" t="n">
        <f aca="false">IF($A5&lt;AC$4,"",1)</f>
        <v>1</v>
      </c>
      <c r="AD5" s="30" t="str">
        <f aca="false">IF($A5&lt;AD$4,"",1)</f>
        <v/>
      </c>
      <c r="AE5" s="30" t="str">
        <f aca="false">IF($A5&lt;AE$4,"",1)</f>
        <v/>
      </c>
      <c r="AF5" s="30" t="str">
        <f aca="false">IF($A5&lt;AF$4,"",1)</f>
        <v/>
      </c>
      <c r="AG5" s="30" t="str">
        <f aca="false">IF($A5&lt;AG$4,"",1)</f>
        <v/>
      </c>
      <c r="AH5" s="30" t="str">
        <f aca="false">IF($A5&lt;AH$4,"",1)</f>
        <v/>
      </c>
      <c r="AI5" s="30" t="str">
        <f aca="false">IF($A5&lt;AI$4,"",1)</f>
        <v/>
      </c>
      <c r="AJ5" s="30" t="str">
        <f aca="false">IF($A5&lt;AJ$4,"",1)</f>
        <v/>
      </c>
      <c r="AK5" s="30" t="str">
        <f aca="false">IF($A5&lt;AK$4,"",1)</f>
        <v/>
      </c>
      <c r="AL5" s="30" t="str">
        <f aca="false">IF($A5&lt;AL$4,"",1)</f>
        <v/>
      </c>
      <c r="AM5" s="30" t="str">
        <f aca="false">IF($A5&lt;AM$4,"",1)</f>
        <v/>
      </c>
      <c r="AN5" s="30" t="str">
        <f aca="false">IF($A5&lt;AN$4,"",1)</f>
        <v/>
      </c>
      <c r="AO5" s="30" t="str">
        <f aca="false">IF($A5&lt;AO$4,"",1)</f>
        <v/>
      </c>
      <c r="AP5" s="30" t="str">
        <f aca="false">IF($A5&lt;AP$4,"",1)</f>
        <v/>
      </c>
      <c r="AQ5" s="30" t="str">
        <f aca="false">IF($A5&lt;AQ$4,"",1)</f>
        <v/>
      </c>
      <c r="AR5" s="30" t="str">
        <f aca="false">IF($A5&lt;AR$4,"",1)</f>
        <v/>
      </c>
      <c r="AS5" s="30" t="str">
        <f aca="false">IF($A5&lt;AS$4,"",1)</f>
        <v/>
      </c>
      <c r="AT5" s="30" t="str">
        <f aca="false">IF($A5&lt;AT$4,"",1)</f>
        <v/>
      </c>
      <c r="AU5" s="30" t="str">
        <f aca="false">IF($A5&lt;AU$4,"",1)</f>
        <v/>
      </c>
      <c r="AV5" s="30" t="str">
        <f aca="false">IF($A5&lt;AV$4,"",1)</f>
        <v/>
      </c>
      <c r="AW5" s="30" t="str">
        <f aca="false">IF($A5&lt;AW$4,"",1)</f>
        <v/>
      </c>
      <c r="AX5" s="30" t="str">
        <f aca="false">IF($A5&lt;AX$4,"",1)</f>
        <v/>
      </c>
      <c r="AY5" s="30" t="str">
        <f aca="false">IF($A5&lt;AY$4,"",1)</f>
        <v/>
      </c>
      <c r="AZ5" s="30" t="str">
        <f aca="false">IF($A5&lt;AZ$4,"",1)</f>
        <v/>
      </c>
      <c r="BA5" s="30" t="str">
        <f aca="false">IF($A5&lt;BA$4,"",1)</f>
        <v/>
      </c>
      <c r="BB5" s="30" t="str">
        <f aca="false">IF($A5&lt;BB$4,"",1)</f>
        <v/>
      </c>
    </row>
    <row r="6" customFormat="false" ht="15" hidden="false" customHeight="true" outlineLevel="0" collapsed="false">
      <c r="A6" s="3" t="n">
        <v>61</v>
      </c>
      <c r="B6" s="30" t="n">
        <f aca="false">IF($A6&lt;B$4,"",MIN(1,IF(AND(Assumptions!$B$42=1,OR($A6=104,$A6=105)),INDEX(B$68:B$69,MATCH($A6,$A$68:$A$69,0)),INDEX(CMI_Projection!$L$23:$CC$83,$A6-59,2026+($A6-B$4)-2021))))</f>
        <v>0.00314731431192838</v>
      </c>
      <c r="C6" s="30" t="n">
        <f aca="false">IF($A6&lt;C$4,"",MIN(1,IF(AND(Assumptions!$B$42=1,OR($A6=104,$A6=105)),INDEX(C$68:C$69,MATCH($A6,$A$68:$A$69,0)),INDEX(CMI_Projection!$L$23:$CC$83,$A6-59,2026+($A6-C$4)-2021))))</f>
        <v>0.00322983682293205</v>
      </c>
      <c r="D6" s="30" t="str">
        <f aca="false">IF($A6&lt;D$4,"",MIN(1,IF(AND(Assumptions!$B$42=1,OR($A6=104,$A6=105)),INDEX(D$68:D$69,MATCH($A6,$A$68:$A$69,0)),INDEX(CMI_Projection!$L$23:$CC$83,$A6-59,2026+($A6-D$4)-2021))))</f>
        <v/>
      </c>
      <c r="E6" s="30" t="str">
        <f aca="false">IF($A6&lt;E$4,"",MIN(1,IF(AND(Assumptions!$B$42=1,OR($A6=104,$A6=105)),INDEX(E$68:E$69,MATCH($A6,$A$68:$A$69,0)),INDEX(CMI_Projection!$L$23:$CC$83,$A6-59,2026+($A6-E$4)-2021))))</f>
        <v/>
      </c>
      <c r="F6" s="30" t="str">
        <f aca="false">IF($A6&lt;F$4,"",MIN(1,IF(AND(Assumptions!$B$42=1,OR($A6=104,$A6=105)),INDEX(F$68:F$69,MATCH($A6,$A$68:$A$69,0)),INDEX(CMI_Projection!$L$23:$CC$83,$A6-59,2026+($A6-F$4)-2021))))</f>
        <v/>
      </c>
      <c r="G6" s="30" t="str">
        <f aca="false">IF($A6&lt;G$4,"",MIN(1,IF(AND(Assumptions!$B$42=1,OR($A6=104,$A6=105)),INDEX(G$68:G$69,MATCH($A6,$A$68:$A$69,0)),INDEX(CMI_Projection!$L$23:$CC$83,$A6-59,2026+($A6-G$4)-2021))))</f>
        <v/>
      </c>
      <c r="H6" s="30" t="str">
        <f aca="false">IF($A6&lt;H$4,"",MIN(1,IF(AND(Assumptions!$B$42=1,OR($A6=104,$A6=105)),INDEX(H$68:H$69,MATCH($A6,$A$68:$A$69,0)),INDEX(CMI_Projection!$L$23:$CC$83,$A6-59,2026+($A6-H$4)-2021))))</f>
        <v/>
      </c>
      <c r="I6" s="30" t="str">
        <f aca="false">IF($A6&lt;I$4,"",MIN(1,IF(AND(Assumptions!$B$42=1,OR($A6=104,$A6=105)),INDEX(I$68:I$69,MATCH($A6,$A$68:$A$69,0)),INDEX(CMI_Projection!$L$23:$CC$83,$A6-59,2026+($A6-I$4)-2021))))</f>
        <v/>
      </c>
      <c r="J6" s="30" t="str">
        <f aca="false">IF($A6&lt;J$4,"",MIN(1,IF(AND(Assumptions!$B$42=1,OR($A6=104,$A6=105)),INDEX(J$68:J$69,MATCH($A6,$A$68:$A$69,0)),INDEX(CMI_Projection!$L$23:$CC$83,$A6-59,2026+($A6-J$4)-2021))))</f>
        <v/>
      </c>
      <c r="K6" s="30" t="str">
        <f aca="false">IF($A6&lt;K$4,"",MIN(1,IF(AND(Assumptions!$B$42=1,OR($A6=104,$A6=105)),INDEX(K$68:K$69,MATCH($A6,$A$68:$A$69,0)),INDEX(CMI_Projection!$L$23:$CC$83,$A6-59,2026+($A6-K$4)-2021))))</f>
        <v/>
      </c>
      <c r="L6" s="30" t="str">
        <f aca="false">IF($A6&lt;L$4,"",MIN(1,IF(AND(Assumptions!$B$42=1,OR($A6=104,$A6=105)),INDEX(L$68:L$69,MATCH($A6,$A$68:$A$69,0)),INDEX(CMI_Projection!$L$23:$CC$83,$A6-59,2026+($A6-L$4)-2021))))</f>
        <v/>
      </c>
      <c r="M6" s="30" t="str">
        <f aca="false">IF($A6&lt;M$4,"",MIN(1,IF(AND(Assumptions!$B$42=1,OR($A6=104,$A6=105)),INDEX(M$68:M$69,MATCH($A6,$A$68:$A$69,0)),INDEX(CMI_Projection!$L$23:$CC$83,$A6-59,2026+($A6-M$4)-2021))))</f>
        <v/>
      </c>
      <c r="N6" s="30" t="str">
        <f aca="false">IF($A6&lt;N$4,"",MIN(1,IF(AND(Assumptions!$B$42=1,OR($A6=104,$A6=105)),INDEX(N$68:N$69,MATCH($A6,$A$68:$A$69,0)),INDEX(CMI_Projection!$L$23:$CC$83,$A6-59,2026+($A6-N$4)-2021))))</f>
        <v/>
      </c>
      <c r="O6" s="30" t="str">
        <f aca="false">IF($A6&lt;O$4,"",MIN(1,IF(AND(Assumptions!$B$42=1,OR($A6=104,$A6=105)),INDEX(O$68:O$69,MATCH($A6,$A$68:$A$69,0)),INDEX(CMI_Projection!$L$23:$CC$83,$A6-59,2026+($A6-O$4)-2021))))</f>
        <v/>
      </c>
      <c r="P6" s="30" t="str">
        <f aca="false">IF($A6&lt;P$4,"",MIN(1,IF(AND(Assumptions!$B$42=1,OR($A6=104,$A6=105)),INDEX(P$68:P$69,MATCH($A6,$A$68:$A$69,0)),INDEX(CMI_Projection!$L$23:$CC$83,$A6-59,2026+($A6-P$4)-2021))))</f>
        <v/>
      </c>
      <c r="Q6" s="30" t="str">
        <f aca="false">IF($A6&lt;Q$4,"",MIN(1,IF(AND(Assumptions!$B$42=1,OR($A6=104,$A6=105)),INDEX(Q$68:Q$69,MATCH($A6,$A$68:$A$69,0)),INDEX(CMI_Projection!$L$23:$CC$83,$A6-59,2026+($A6-Q$4)-2021))))</f>
        <v/>
      </c>
      <c r="R6" s="30" t="str">
        <f aca="false">IF($A6&lt;R$4,"",MIN(1,IF(AND(Assumptions!$B$42=1,OR($A6=104,$A6=105)),INDEX(R$68:R$69,MATCH($A6,$A$68:$A$69,0)),INDEX(CMI_Projection!$L$23:$CC$83,$A6-59,2026+($A6-R$4)-2021))))</f>
        <v/>
      </c>
      <c r="S6" s="30" t="str">
        <f aca="false">IF($A6&lt;S$4,"",MIN(1,IF(AND(Assumptions!$B$42=1,OR($A6=104,$A6=105)),INDEX(S$68:S$69,MATCH($A6,$A$68:$A$69,0)),INDEX(CMI_Projection!$L$23:$CC$83,$A6-59,2026+($A6-S$4)-2021))))</f>
        <v/>
      </c>
      <c r="T6" s="30" t="str">
        <f aca="false">IF($A6&lt;T$4,"",MIN(1,IF(AND(Assumptions!$B$42=1,OR($A6=104,$A6=105)),INDEX(T$68:T$69,MATCH($A6,$A$68:$A$69,0)),INDEX(CMI_Projection!$L$23:$CC$83,$A6-59,2026+($A6-T$4)-2021))))</f>
        <v/>
      </c>
      <c r="U6" s="30" t="str">
        <f aca="false">IF($A6&lt;U$4,"",MIN(1,IF(AND(Assumptions!$B$42=1,OR($A6=104,$A6=105)),INDEX(U$68:U$69,MATCH($A6,$A$68:$A$69,0)),INDEX(CMI_Projection!$L$23:$CC$83,$A6-59,2026+($A6-U$4)-2021))))</f>
        <v/>
      </c>
      <c r="V6" s="30" t="str">
        <f aca="false">IF($A6&lt;V$4,"",MIN(1,IF(AND(Assumptions!$B$42=1,OR($A6=104,$A6=105)),INDEX(V$68:V$69,MATCH($A6,$A$68:$A$69,0)),INDEX(CMI_Projection!$L$23:$CC$83,$A6-59,2026+($A6-V$4)-2021))))</f>
        <v/>
      </c>
      <c r="W6" s="30" t="str">
        <f aca="false">IF($A6&lt;W$4,"",MIN(1,IF(AND(Assumptions!$B$42=1,OR($A6=104,$A6=105)),INDEX(W$68:W$69,MATCH($A6,$A$68:$A$69,0)),INDEX(CMI_Projection!$L$23:$CC$83,$A6-59,2026+($A6-W$4)-2021))))</f>
        <v/>
      </c>
      <c r="X6" s="30" t="str">
        <f aca="false">IF($A6&lt;X$4,"",MIN(1,IF(AND(Assumptions!$B$42=1,OR($A6=104,$A6=105)),INDEX(X$68:X$69,MATCH($A6,$A$68:$A$69,0)),INDEX(CMI_Projection!$L$23:$CC$83,$A6-59,2026+($A6-X$4)-2021))))</f>
        <v/>
      </c>
      <c r="Y6" s="30" t="str">
        <f aca="false">IF($A6&lt;Y$4,"",MIN(1,IF(AND(Assumptions!$B$42=1,OR($A6=104,$A6=105)),INDEX(Y$68:Y$69,MATCH($A6,$A$68:$A$69,0)),INDEX(CMI_Projection!$L$23:$CC$83,$A6-59,2026+($A6-Y$4)-2021))))</f>
        <v/>
      </c>
      <c r="Z6" s="30" t="str">
        <f aca="false">IF($A6&lt;Z$4,"",MIN(1,IF(AND(Assumptions!$B$42=1,OR($A6=104,$A6=105)),INDEX(Z$68:Z$69,MATCH($A6,$A$68:$A$69,0)),INDEX(CMI_Projection!$L$23:$CC$83,$A6-59,2026+($A6-Z$4)-2021))))</f>
        <v/>
      </c>
      <c r="AA6" s="30" t="str">
        <f aca="false">IF($A6&lt;AA$4,"",MIN(1,IF(AND(Assumptions!$B$42=1,OR($A6=104,$A6=105)),INDEX(AA$68:AA$69,MATCH($A6,$A$68:$A$69,0)),INDEX(CMI_Projection!$L$23:$CC$83,$A6-59,2026+($A6-AA$4)-2021))))</f>
        <v/>
      </c>
      <c r="AC6" s="30" t="n">
        <f aca="false">IF($A6&lt;AC$4,"",IF($A6=AC$4,1,AC5*(1-B5)))</f>
        <v>0.997087552694971</v>
      </c>
      <c r="AD6" s="30" t="n">
        <f aca="false">IF($A6&lt;AD$4,"",IF($A6=AD$4,1,AD5*(1-C5)))</f>
        <v>1</v>
      </c>
      <c r="AE6" s="30" t="str">
        <f aca="false">IF($A6&lt;AE$4,"",IF($A6=AE$4,1,AE5*(1-D5)))</f>
        <v/>
      </c>
      <c r="AF6" s="30" t="str">
        <f aca="false">IF($A6&lt;AF$4,"",IF($A6=AF$4,1,AF5*(1-E5)))</f>
        <v/>
      </c>
      <c r="AG6" s="30" t="str">
        <f aca="false">IF($A6&lt;AG$4,"",IF($A6=AG$4,1,AG5*(1-F5)))</f>
        <v/>
      </c>
      <c r="AH6" s="30" t="str">
        <f aca="false">IF($A6&lt;AH$4,"",IF($A6=AH$4,1,AH5*(1-G5)))</f>
        <v/>
      </c>
      <c r="AI6" s="30" t="str">
        <f aca="false">IF($A6&lt;AI$4,"",IF($A6=AI$4,1,AI5*(1-H5)))</f>
        <v/>
      </c>
      <c r="AJ6" s="30" t="str">
        <f aca="false">IF($A6&lt;AJ$4,"",IF($A6=AJ$4,1,AJ5*(1-I5)))</f>
        <v/>
      </c>
      <c r="AK6" s="30" t="str">
        <f aca="false">IF($A6&lt;AK$4,"",IF($A6=AK$4,1,AK5*(1-J5)))</f>
        <v/>
      </c>
      <c r="AL6" s="30" t="str">
        <f aca="false">IF($A6&lt;AL$4,"",IF($A6=AL$4,1,AL5*(1-K5)))</f>
        <v/>
      </c>
      <c r="AM6" s="30" t="str">
        <f aca="false">IF($A6&lt;AM$4,"",IF($A6=AM$4,1,AM5*(1-L5)))</f>
        <v/>
      </c>
      <c r="AN6" s="30" t="str">
        <f aca="false">IF($A6&lt;AN$4,"",IF($A6=AN$4,1,AN5*(1-M5)))</f>
        <v/>
      </c>
      <c r="AO6" s="30" t="str">
        <f aca="false">IF($A6&lt;AO$4,"",IF($A6=AO$4,1,AO5*(1-N5)))</f>
        <v/>
      </c>
      <c r="AP6" s="30" t="str">
        <f aca="false">IF($A6&lt;AP$4,"",IF($A6=AP$4,1,AP5*(1-O5)))</f>
        <v/>
      </c>
      <c r="AQ6" s="30" t="str">
        <f aca="false">IF($A6&lt;AQ$4,"",IF($A6=AQ$4,1,AQ5*(1-P5)))</f>
        <v/>
      </c>
      <c r="AR6" s="30" t="str">
        <f aca="false">IF($A6&lt;AR$4,"",IF($A6=AR$4,1,AR5*(1-Q5)))</f>
        <v/>
      </c>
      <c r="AS6" s="30" t="str">
        <f aca="false">IF($A6&lt;AS$4,"",IF($A6=AS$4,1,AS5*(1-R5)))</f>
        <v/>
      </c>
      <c r="AT6" s="30" t="str">
        <f aca="false">IF($A6&lt;AT$4,"",IF($A6=AT$4,1,AT5*(1-S5)))</f>
        <v/>
      </c>
      <c r="AU6" s="30" t="str">
        <f aca="false">IF($A6&lt;AU$4,"",IF($A6=AU$4,1,AU5*(1-T5)))</f>
        <v/>
      </c>
      <c r="AV6" s="30" t="str">
        <f aca="false">IF($A6&lt;AV$4,"",IF($A6=AV$4,1,AV5*(1-U5)))</f>
        <v/>
      </c>
      <c r="AW6" s="30" t="str">
        <f aca="false">IF($A6&lt;AW$4,"",IF($A6=AW$4,1,AW5*(1-V5)))</f>
        <v/>
      </c>
      <c r="AX6" s="30" t="str">
        <f aca="false">IF($A6&lt;AX$4,"",IF($A6=AX$4,1,AX5*(1-W5)))</f>
        <v/>
      </c>
      <c r="AY6" s="30" t="str">
        <f aca="false">IF($A6&lt;AY$4,"",IF($A6=AY$4,1,AY5*(1-X5)))</f>
        <v/>
      </c>
      <c r="AZ6" s="30" t="str">
        <f aca="false">IF($A6&lt;AZ$4,"",IF($A6=AZ$4,1,AZ5*(1-Y5)))</f>
        <v/>
      </c>
      <c r="BA6" s="30" t="str">
        <f aca="false">IF($A6&lt;BA$4,"",IF($A6=BA$4,1,BA5*(1-Z5)))</f>
        <v/>
      </c>
      <c r="BB6" s="30" t="str">
        <f aca="false">IF($A6&lt;BB$4,"",IF($A6=BB$4,1,BB5*(1-AA5)))</f>
        <v/>
      </c>
    </row>
    <row r="7" customFormat="false" ht="15" hidden="false" customHeight="true" outlineLevel="0" collapsed="false">
      <c r="A7" s="3" t="n">
        <v>62</v>
      </c>
      <c r="B7" s="30" t="n">
        <f aca="false">IF($A7&lt;B$4,"",MIN(1,IF(AND(Assumptions!$B$42=1,OR($A7=104,$A7=105)),INDEX(B$68:B$69,MATCH($A7,$A$68:$A$69,0)),INDEX(CMI_Projection!$L$23:$CC$83,$A7-59,2026+($A7-B$4)-2021))))</f>
        <v>0.00341132454705422</v>
      </c>
      <c r="C7" s="30" t="n">
        <f aca="false">IF($A7&lt;C$4,"",MIN(1,IF(AND(Assumptions!$B$42=1,OR($A7=104,$A7=105)),INDEX(C$68:C$69,MATCH($A7,$A$68:$A$69,0)),INDEX(CMI_Projection!$L$23:$CC$83,$A7-59,2026+($A7-C$4)-2021))))</f>
        <v>0.00349491030076963</v>
      </c>
      <c r="D7" s="30" t="n">
        <f aca="false">IF($A7&lt;D$4,"",MIN(1,IF(AND(Assumptions!$B$42=1,OR($A7=104,$A7=105)),INDEX(D$68:D$69,MATCH($A7,$A$68:$A$69,0)),INDEX(CMI_Projection!$L$23:$CC$83,$A7-59,2026+($A7-D$4)-2021))))</f>
        <v>0.00358459043866387</v>
      </c>
      <c r="E7" s="30" t="str">
        <f aca="false">IF($A7&lt;E$4,"",MIN(1,IF(AND(Assumptions!$B$42=1,OR($A7=104,$A7=105)),INDEX(E$68:E$69,MATCH($A7,$A$68:$A$69,0)),INDEX(CMI_Projection!$L$23:$CC$83,$A7-59,2026+($A7-E$4)-2021))))</f>
        <v/>
      </c>
      <c r="F7" s="30" t="str">
        <f aca="false">IF($A7&lt;F$4,"",MIN(1,IF(AND(Assumptions!$B$42=1,OR($A7=104,$A7=105)),INDEX(F$68:F$69,MATCH($A7,$A$68:$A$69,0)),INDEX(CMI_Projection!$L$23:$CC$83,$A7-59,2026+($A7-F$4)-2021))))</f>
        <v/>
      </c>
      <c r="G7" s="30" t="str">
        <f aca="false">IF($A7&lt;G$4,"",MIN(1,IF(AND(Assumptions!$B$42=1,OR($A7=104,$A7=105)),INDEX(G$68:G$69,MATCH($A7,$A$68:$A$69,0)),INDEX(CMI_Projection!$L$23:$CC$83,$A7-59,2026+($A7-G$4)-2021))))</f>
        <v/>
      </c>
      <c r="H7" s="30" t="str">
        <f aca="false">IF($A7&lt;H$4,"",MIN(1,IF(AND(Assumptions!$B$42=1,OR($A7=104,$A7=105)),INDEX(H$68:H$69,MATCH($A7,$A$68:$A$69,0)),INDEX(CMI_Projection!$L$23:$CC$83,$A7-59,2026+($A7-H$4)-2021))))</f>
        <v/>
      </c>
      <c r="I7" s="30" t="str">
        <f aca="false">IF($A7&lt;I$4,"",MIN(1,IF(AND(Assumptions!$B$42=1,OR($A7=104,$A7=105)),INDEX(I$68:I$69,MATCH($A7,$A$68:$A$69,0)),INDEX(CMI_Projection!$L$23:$CC$83,$A7-59,2026+($A7-I$4)-2021))))</f>
        <v/>
      </c>
      <c r="J7" s="30" t="str">
        <f aca="false">IF($A7&lt;J$4,"",MIN(1,IF(AND(Assumptions!$B$42=1,OR($A7=104,$A7=105)),INDEX(J$68:J$69,MATCH($A7,$A$68:$A$69,0)),INDEX(CMI_Projection!$L$23:$CC$83,$A7-59,2026+($A7-J$4)-2021))))</f>
        <v/>
      </c>
      <c r="K7" s="30" t="str">
        <f aca="false">IF($A7&lt;K$4,"",MIN(1,IF(AND(Assumptions!$B$42=1,OR($A7=104,$A7=105)),INDEX(K$68:K$69,MATCH($A7,$A$68:$A$69,0)),INDEX(CMI_Projection!$L$23:$CC$83,$A7-59,2026+($A7-K$4)-2021))))</f>
        <v/>
      </c>
      <c r="L7" s="30" t="str">
        <f aca="false">IF($A7&lt;L$4,"",MIN(1,IF(AND(Assumptions!$B$42=1,OR($A7=104,$A7=105)),INDEX(L$68:L$69,MATCH($A7,$A$68:$A$69,0)),INDEX(CMI_Projection!$L$23:$CC$83,$A7-59,2026+($A7-L$4)-2021))))</f>
        <v/>
      </c>
      <c r="M7" s="30" t="str">
        <f aca="false">IF($A7&lt;M$4,"",MIN(1,IF(AND(Assumptions!$B$42=1,OR($A7=104,$A7=105)),INDEX(M$68:M$69,MATCH($A7,$A$68:$A$69,0)),INDEX(CMI_Projection!$L$23:$CC$83,$A7-59,2026+($A7-M$4)-2021))))</f>
        <v/>
      </c>
      <c r="N7" s="30" t="str">
        <f aca="false">IF($A7&lt;N$4,"",MIN(1,IF(AND(Assumptions!$B$42=1,OR($A7=104,$A7=105)),INDEX(N$68:N$69,MATCH($A7,$A$68:$A$69,0)),INDEX(CMI_Projection!$L$23:$CC$83,$A7-59,2026+($A7-N$4)-2021))))</f>
        <v/>
      </c>
      <c r="O7" s="30" t="str">
        <f aca="false">IF($A7&lt;O$4,"",MIN(1,IF(AND(Assumptions!$B$42=1,OR($A7=104,$A7=105)),INDEX(O$68:O$69,MATCH($A7,$A$68:$A$69,0)),INDEX(CMI_Projection!$L$23:$CC$83,$A7-59,2026+($A7-O$4)-2021))))</f>
        <v/>
      </c>
      <c r="P7" s="30" t="str">
        <f aca="false">IF($A7&lt;P$4,"",MIN(1,IF(AND(Assumptions!$B$42=1,OR($A7=104,$A7=105)),INDEX(P$68:P$69,MATCH($A7,$A$68:$A$69,0)),INDEX(CMI_Projection!$L$23:$CC$83,$A7-59,2026+($A7-P$4)-2021))))</f>
        <v/>
      </c>
      <c r="Q7" s="30" t="str">
        <f aca="false">IF($A7&lt;Q$4,"",MIN(1,IF(AND(Assumptions!$B$42=1,OR($A7=104,$A7=105)),INDEX(Q$68:Q$69,MATCH($A7,$A$68:$A$69,0)),INDEX(CMI_Projection!$L$23:$CC$83,$A7-59,2026+($A7-Q$4)-2021))))</f>
        <v/>
      </c>
      <c r="R7" s="30" t="str">
        <f aca="false">IF($A7&lt;R$4,"",MIN(1,IF(AND(Assumptions!$B$42=1,OR($A7=104,$A7=105)),INDEX(R$68:R$69,MATCH($A7,$A$68:$A$69,0)),INDEX(CMI_Projection!$L$23:$CC$83,$A7-59,2026+($A7-R$4)-2021))))</f>
        <v/>
      </c>
      <c r="S7" s="30" t="str">
        <f aca="false">IF($A7&lt;S$4,"",MIN(1,IF(AND(Assumptions!$B$42=1,OR($A7=104,$A7=105)),INDEX(S$68:S$69,MATCH($A7,$A$68:$A$69,0)),INDEX(CMI_Projection!$L$23:$CC$83,$A7-59,2026+($A7-S$4)-2021))))</f>
        <v/>
      </c>
      <c r="T7" s="30" t="str">
        <f aca="false">IF($A7&lt;T$4,"",MIN(1,IF(AND(Assumptions!$B$42=1,OR($A7=104,$A7=105)),INDEX(T$68:T$69,MATCH($A7,$A$68:$A$69,0)),INDEX(CMI_Projection!$L$23:$CC$83,$A7-59,2026+($A7-T$4)-2021))))</f>
        <v/>
      </c>
      <c r="U7" s="30" t="str">
        <f aca="false">IF($A7&lt;U$4,"",MIN(1,IF(AND(Assumptions!$B$42=1,OR($A7=104,$A7=105)),INDEX(U$68:U$69,MATCH($A7,$A$68:$A$69,0)),INDEX(CMI_Projection!$L$23:$CC$83,$A7-59,2026+($A7-U$4)-2021))))</f>
        <v/>
      </c>
      <c r="V7" s="30" t="str">
        <f aca="false">IF($A7&lt;V$4,"",MIN(1,IF(AND(Assumptions!$B$42=1,OR($A7=104,$A7=105)),INDEX(V$68:V$69,MATCH($A7,$A$68:$A$69,0)),INDEX(CMI_Projection!$L$23:$CC$83,$A7-59,2026+($A7-V$4)-2021))))</f>
        <v/>
      </c>
      <c r="W7" s="30" t="str">
        <f aca="false">IF($A7&lt;W$4,"",MIN(1,IF(AND(Assumptions!$B$42=1,OR($A7=104,$A7=105)),INDEX(W$68:W$69,MATCH($A7,$A$68:$A$69,0)),INDEX(CMI_Projection!$L$23:$CC$83,$A7-59,2026+($A7-W$4)-2021))))</f>
        <v/>
      </c>
      <c r="X7" s="30" t="str">
        <f aca="false">IF($A7&lt;X$4,"",MIN(1,IF(AND(Assumptions!$B$42=1,OR($A7=104,$A7=105)),INDEX(X$68:X$69,MATCH($A7,$A$68:$A$69,0)),INDEX(CMI_Projection!$L$23:$CC$83,$A7-59,2026+($A7-X$4)-2021))))</f>
        <v/>
      </c>
      <c r="Y7" s="30" t="str">
        <f aca="false">IF($A7&lt;Y$4,"",MIN(1,IF(AND(Assumptions!$B$42=1,OR($A7=104,$A7=105)),INDEX(Y$68:Y$69,MATCH($A7,$A$68:$A$69,0)),INDEX(CMI_Projection!$L$23:$CC$83,$A7-59,2026+($A7-Y$4)-2021))))</f>
        <v/>
      </c>
      <c r="Z7" s="30" t="str">
        <f aca="false">IF($A7&lt;Z$4,"",MIN(1,IF(AND(Assumptions!$B$42=1,OR($A7=104,$A7=105)),INDEX(Z$68:Z$69,MATCH($A7,$A$68:$A$69,0)),INDEX(CMI_Projection!$L$23:$CC$83,$A7-59,2026+($A7-Z$4)-2021))))</f>
        <v/>
      </c>
      <c r="AA7" s="30" t="str">
        <f aca="false">IF($A7&lt;AA$4,"",MIN(1,IF(AND(Assumptions!$B$42=1,OR($A7=104,$A7=105)),INDEX(AA$68:AA$69,MATCH($A7,$A$68:$A$69,0)),INDEX(CMI_Projection!$L$23:$CC$83,$A7-59,2026+($A7-AA$4)-2021))))</f>
        <v/>
      </c>
      <c r="AC7" s="30" t="n">
        <f aca="false">IF($A7&lt;AC$4,"",IF($A7=AC$4,1,AC6*(1-B6)))</f>
        <v>0.993949404770128</v>
      </c>
      <c r="AD7" s="30" t="n">
        <f aca="false">IF($A7&lt;AD$4,"",IF($A7=AD$4,1,AD6*(1-C6)))</f>
        <v>0.996770163177068</v>
      </c>
      <c r="AE7" s="30" t="n">
        <f aca="false">IF($A7&lt;AE$4,"",IF($A7=AE$4,1,AE6*(1-D6)))</f>
        <v>1</v>
      </c>
      <c r="AF7" s="30" t="str">
        <f aca="false">IF($A7&lt;AF$4,"",IF($A7=AF$4,1,AF6*(1-E6)))</f>
        <v/>
      </c>
      <c r="AG7" s="30" t="str">
        <f aca="false">IF($A7&lt;AG$4,"",IF($A7=AG$4,1,AG6*(1-F6)))</f>
        <v/>
      </c>
      <c r="AH7" s="30" t="str">
        <f aca="false">IF($A7&lt;AH$4,"",IF($A7=AH$4,1,AH6*(1-G6)))</f>
        <v/>
      </c>
      <c r="AI7" s="30" t="str">
        <f aca="false">IF($A7&lt;AI$4,"",IF($A7=AI$4,1,AI6*(1-H6)))</f>
        <v/>
      </c>
      <c r="AJ7" s="30" t="str">
        <f aca="false">IF($A7&lt;AJ$4,"",IF($A7=AJ$4,1,AJ6*(1-I6)))</f>
        <v/>
      </c>
      <c r="AK7" s="30" t="str">
        <f aca="false">IF($A7&lt;AK$4,"",IF($A7=AK$4,1,AK6*(1-J6)))</f>
        <v/>
      </c>
      <c r="AL7" s="30" t="str">
        <f aca="false">IF($A7&lt;AL$4,"",IF($A7=AL$4,1,AL6*(1-K6)))</f>
        <v/>
      </c>
      <c r="AM7" s="30" t="str">
        <f aca="false">IF($A7&lt;AM$4,"",IF($A7=AM$4,1,AM6*(1-L6)))</f>
        <v/>
      </c>
      <c r="AN7" s="30" t="str">
        <f aca="false">IF($A7&lt;AN$4,"",IF($A7=AN$4,1,AN6*(1-M6)))</f>
        <v/>
      </c>
      <c r="AO7" s="30" t="str">
        <f aca="false">IF($A7&lt;AO$4,"",IF($A7=AO$4,1,AO6*(1-N6)))</f>
        <v/>
      </c>
      <c r="AP7" s="30" t="str">
        <f aca="false">IF($A7&lt;AP$4,"",IF($A7=AP$4,1,AP6*(1-O6)))</f>
        <v/>
      </c>
      <c r="AQ7" s="30" t="str">
        <f aca="false">IF($A7&lt;AQ$4,"",IF($A7=AQ$4,1,AQ6*(1-P6)))</f>
        <v/>
      </c>
      <c r="AR7" s="30" t="str">
        <f aca="false">IF($A7&lt;AR$4,"",IF($A7=AR$4,1,AR6*(1-Q6)))</f>
        <v/>
      </c>
      <c r="AS7" s="30" t="str">
        <f aca="false">IF($A7&lt;AS$4,"",IF($A7=AS$4,1,AS6*(1-R6)))</f>
        <v/>
      </c>
      <c r="AT7" s="30" t="str">
        <f aca="false">IF($A7&lt;AT$4,"",IF($A7=AT$4,1,AT6*(1-S6)))</f>
        <v/>
      </c>
      <c r="AU7" s="30" t="str">
        <f aca="false">IF($A7&lt;AU$4,"",IF($A7=AU$4,1,AU6*(1-T6)))</f>
        <v/>
      </c>
      <c r="AV7" s="30" t="str">
        <f aca="false">IF($A7&lt;AV$4,"",IF($A7=AV$4,1,AV6*(1-U6)))</f>
        <v/>
      </c>
      <c r="AW7" s="30" t="str">
        <f aca="false">IF($A7&lt;AW$4,"",IF($A7=AW$4,1,AW6*(1-V6)))</f>
        <v/>
      </c>
      <c r="AX7" s="30" t="str">
        <f aca="false">IF($A7&lt;AX$4,"",IF($A7=AX$4,1,AX6*(1-W6)))</f>
        <v/>
      </c>
      <c r="AY7" s="30" t="str">
        <f aca="false">IF($A7&lt;AY$4,"",IF($A7=AY$4,1,AY6*(1-X6)))</f>
        <v/>
      </c>
      <c r="AZ7" s="30" t="str">
        <f aca="false">IF($A7&lt;AZ$4,"",IF($A7=AZ$4,1,AZ6*(1-Y6)))</f>
        <v/>
      </c>
      <c r="BA7" s="30" t="str">
        <f aca="false">IF($A7&lt;BA$4,"",IF($A7=BA$4,1,BA6*(1-Z6)))</f>
        <v/>
      </c>
      <c r="BB7" s="30" t="str">
        <f aca="false">IF($A7&lt;BB$4,"",IF($A7=BB$4,1,BB6*(1-AA6)))</f>
        <v/>
      </c>
    </row>
    <row r="8" customFormat="false" ht="15" hidden="false" customHeight="true" outlineLevel="0" collapsed="false">
      <c r="A8" s="3" t="n">
        <v>63</v>
      </c>
      <c r="B8" s="30" t="n">
        <f aca="false">IF($A8&lt;B$4,"",MIN(1,IF(AND(Assumptions!$B$42=1,OR($A8=104,$A8=105)),INDEX(B$68:B$69,MATCH($A8,$A$68:$A$69,0)),INDEX(CMI_Projection!$L$23:$CC$83,$A8-59,2026+($A8-B$4)-2021))))</f>
        <v>0.00370901991490525</v>
      </c>
      <c r="C8" s="30" t="n">
        <f aca="false">IF($A8&lt;C$4,"",MIN(1,IF(AND(Assumptions!$B$42=1,OR($A8=104,$A8=105)),INDEX(C$68:C$69,MATCH($A8,$A$68:$A$69,0)),INDEX(CMI_Projection!$L$23:$CC$83,$A8-59,2026+($A8-C$4)-2021))))</f>
        <v>0.00379338481559223</v>
      </c>
      <c r="D8" s="30" t="n">
        <f aca="false">IF($A8&lt;D$4,"",MIN(1,IF(AND(Assumptions!$B$42=1,OR($A8=104,$A8=105)),INDEX(D$68:D$69,MATCH($A8,$A$68:$A$69,0)),INDEX(CMI_Projection!$L$23:$CC$83,$A8-59,2026+($A8-D$4)-2021))))</f>
        <v>0.00388427666566778</v>
      </c>
      <c r="E8" s="30" t="n">
        <f aca="false">IF($A8&lt;E$4,"",MIN(1,IF(AND(Assumptions!$B$42=1,OR($A8=104,$A8=105)),INDEX(E$68:E$69,MATCH($A8,$A$68:$A$69,0)),INDEX(CMI_Projection!$L$23:$CC$83,$A8-59,2026+($A8-E$4)-2021))))</f>
        <v>0.0039817841820016</v>
      </c>
      <c r="F8" s="30" t="str">
        <f aca="false">IF($A8&lt;F$4,"",MIN(1,IF(AND(Assumptions!$B$42=1,OR($A8=104,$A8=105)),INDEX(F$68:F$69,MATCH($A8,$A$68:$A$69,0)),INDEX(CMI_Projection!$L$23:$CC$83,$A8-59,2026+($A8-F$4)-2021))))</f>
        <v/>
      </c>
      <c r="G8" s="30" t="str">
        <f aca="false">IF($A8&lt;G$4,"",MIN(1,IF(AND(Assumptions!$B$42=1,OR($A8=104,$A8=105)),INDEX(G$68:G$69,MATCH($A8,$A$68:$A$69,0)),INDEX(CMI_Projection!$L$23:$CC$83,$A8-59,2026+($A8-G$4)-2021))))</f>
        <v/>
      </c>
      <c r="H8" s="30" t="str">
        <f aca="false">IF($A8&lt;H$4,"",MIN(1,IF(AND(Assumptions!$B$42=1,OR($A8=104,$A8=105)),INDEX(H$68:H$69,MATCH($A8,$A$68:$A$69,0)),INDEX(CMI_Projection!$L$23:$CC$83,$A8-59,2026+($A8-H$4)-2021))))</f>
        <v/>
      </c>
      <c r="I8" s="30" t="str">
        <f aca="false">IF($A8&lt;I$4,"",MIN(1,IF(AND(Assumptions!$B$42=1,OR($A8=104,$A8=105)),INDEX(I$68:I$69,MATCH($A8,$A$68:$A$69,0)),INDEX(CMI_Projection!$L$23:$CC$83,$A8-59,2026+($A8-I$4)-2021))))</f>
        <v/>
      </c>
      <c r="J8" s="30" t="str">
        <f aca="false">IF($A8&lt;J$4,"",MIN(1,IF(AND(Assumptions!$B$42=1,OR($A8=104,$A8=105)),INDEX(J$68:J$69,MATCH($A8,$A$68:$A$69,0)),INDEX(CMI_Projection!$L$23:$CC$83,$A8-59,2026+($A8-J$4)-2021))))</f>
        <v/>
      </c>
      <c r="K8" s="30" t="str">
        <f aca="false">IF($A8&lt;K$4,"",MIN(1,IF(AND(Assumptions!$B$42=1,OR($A8=104,$A8=105)),INDEX(K$68:K$69,MATCH($A8,$A$68:$A$69,0)),INDEX(CMI_Projection!$L$23:$CC$83,$A8-59,2026+($A8-K$4)-2021))))</f>
        <v/>
      </c>
      <c r="L8" s="30" t="str">
        <f aca="false">IF($A8&lt;L$4,"",MIN(1,IF(AND(Assumptions!$B$42=1,OR($A8=104,$A8=105)),INDEX(L$68:L$69,MATCH($A8,$A$68:$A$69,0)),INDEX(CMI_Projection!$L$23:$CC$83,$A8-59,2026+($A8-L$4)-2021))))</f>
        <v/>
      </c>
      <c r="M8" s="30" t="str">
        <f aca="false">IF($A8&lt;M$4,"",MIN(1,IF(AND(Assumptions!$B$42=1,OR($A8=104,$A8=105)),INDEX(M$68:M$69,MATCH($A8,$A$68:$A$69,0)),INDEX(CMI_Projection!$L$23:$CC$83,$A8-59,2026+($A8-M$4)-2021))))</f>
        <v/>
      </c>
      <c r="N8" s="30" t="str">
        <f aca="false">IF($A8&lt;N$4,"",MIN(1,IF(AND(Assumptions!$B$42=1,OR($A8=104,$A8=105)),INDEX(N$68:N$69,MATCH($A8,$A$68:$A$69,0)),INDEX(CMI_Projection!$L$23:$CC$83,$A8-59,2026+($A8-N$4)-2021))))</f>
        <v/>
      </c>
      <c r="O8" s="30" t="str">
        <f aca="false">IF($A8&lt;O$4,"",MIN(1,IF(AND(Assumptions!$B$42=1,OR($A8=104,$A8=105)),INDEX(O$68:O$69,MATCH($A8,$A$68:$A$69,0)),INDEX(CMI_Projection!$L$23:$CC$83,$A8-59,2026+($A8-O$4)-2021))))</f>
        <v/>
      </c>
      <c r="P8" s="30" t="str">
        <f aca="false">IF($A8&lt;P$4,"",MIN(1,IF(AND(Assumptions!$B$42=1,OR($A8=104,$A8=105)),INDEX(P$68:P$69,MATCH($A8,$A$68:$A$69,0)),INDEX(CMI_Projection!$L$23:$CC$83,$A8-59,2026+($A8-P$4)-2021))))</f>
        <v/>
      </c>
      <c r="Q8" s="30" t="str">
        <f aca="false">IF($A8&lt;Q$4,"",MIN(1,IF(AND(Assumptions!$B$42=1,OR($A8=104,$A8=105)),INDEX(Q$68:Q$69,MATCH($A8,$A$68:$A$69,0)),INDEX(CMI_Projection!$L$23:$CC$83,$A8-59,2026+($A8-Q$4)-2021))))</f>
        <v/>
      </c>
      <c r="R8" s="30" t="str">
        <f aca="false">IF($A8&lt;R$4,"",MIN(1,IF(AND(Assumptions!$B$42=1,OR($A8=104,$A8=105)),INDEX(R$68:R$69,MATCH($A8,$A$68:$A$69,0)),INDEX(CMI_Projection!$L$23:$CC$83,$A8-59,2026+($A8-R$4)-2021))))</f>
        <v/>
      </c>
      <c r="S8" s="30" t="str">
        <f aca="false">IF($A8&lt;S$4,"",MIN(1,IF(AND(Assumptions!$B$42=1,OR($A8=104,$A8=105)),INDEX(S$68:S$69,MATCH($A8,$A$68:$A$69,0)),INDEX(CMI_Projection!$L$23:$CC$83,$A8-59,2026+($A8-S$4)-2021))))</f>
        <v/>
      </c>
      <c r="T8" s="30" t="str">
        <f aca="false">IF($A8&lt;T$4,"",MIN(1,IF(AND(Assumptions!$B$42=1,OR($A8=104,$A8=105)),INDEX(T$68:T$69,MATCH($A8,$A$68:$A$69,0)),INDEX(CMI_Projection!$L$23:$CC$83,$A8-59,2026+($A8-T$4)-2021))))</f>
        <v/>
      </c>
      <c r="U8" s="30" t="str">
        <f aca="false">IF($A8&lt;U$4,"",MIN(1,IF(AND(Assumptions!$B$42=1,OR($A8=104,$A8=105)),INDEX(U$68:U$69,MATCH($A8,$A$68:$A$69,0)),INDEX(CMI_Projection!$L$23:$CC$83,$A8-59,2026+($A8-U$4)-2021))))</f>
        <v/>
      </c>
      <c r="V8" s="30" t="str">
        <f aca="false">IF($A8&lt;V$4,"",MIN(1,IF(AND(Assumptions!$B$42=1,OR($A8=104,$A8=105)),INDEX(V$68:V$69,MATCH($A8,$A$68:$A$69,0)),INDEX(CMI_Projection!$L$23:$CC$83,$A8-59,2026+($A8-V$4)-2021))))</f>
        <v/>
      </c>
      <c r="W8" s="30" t="str">
        <f aca="false">IF($A8&lt;W$4,"",MIN(1,IF(AND(Assumptions!$B$42=1,OR($A8=104,$A8=105)),INDEX(W$68:W$69,MATCH($A8,$A$68:$A$69,0)),INDEX(CMI_Projection!$L$23:$CC$83,$A8-59,2026+($A8-W$4)-2021))))</f>
        <v/>
      </c>
      <c r="X8" s="30" t="str">
        <f aca="false">IF($A8&lt;X$4,"",MIN(1,IF(AND(Assumptions!$B$42=1,OR($A8=104,$A8=105)),INDEX(X$68:X$69,MATCH($A8,$A$68:$A$69,0)),INDEX(CMI_Projection!$L$23:$CC$83,$A8-59,2026+($A8-X$4)-2021))))</f>
        <v/>
      </c>
      <c r="Y8" s="30" t="str">
        <f aca="false">IF($A8&lt;Y$4,"",MIN(1,IF(AND(Assumptions!$B$42=1,OR($A8=104,$A8=105)),INDEX(Y$68:Y$69,MATCH($A8,$A$68:$A$69,0)),INDEX(CMI_Projection!$L$23:$CC$83,$A8-59,2026+($A8-Y$4)-2021))))</f>
        <v/>
      </c>
      <c r="Z8" s="30" t="str">
        <f aca="false">IF($A8&lt;Z$4,"",MIN(1,IF(AND(Assumptions!$B$42=1,OR($A8=104,$A8=105)),INDEX(Z$68:Z$69,MATCH($A8,$A$68:$A$69,0)),INDEX(CMI_Projection!$L$23:$CC$83,$A8-59,2026+($A8-Z$4)-2021))))</f>
        <v/>
      </c>
      <c r="AA8" s="30" t="str">
        <f aca="false">IF($A8&lt;AA$4,"",MIN(1,IF(AND(Assumptions!$B$42=1,OR($A8=104,$A8=105)),INDEX(AA$68:AA$69,MATCH($A8,$A$68:$A$69,0)),INDEX(CMI_Projection!$L$23:$CC$83,$A8-59,2026+($A8-AA$4)-2021))))</f>
        <v/>
      </c>
      <c r="AC8" s="30" t="n">
        <f aca="false">IF($A8&lt;AC$4,"",IF($A8=AC$4,1,AC7*(1-B7)))</f>
        <v>0.990558720767106</v>
      </c>
      <c r="AD8" s="30" t="n">
        <f aca="false">IF($A8&lt;AD$4,"",IF($A8=AD$4,1,AD7*(1-C7)))</f>
        <v>0.993286540866281</v>
      </c>
      <c r="AE8" s="30" t="n">
        <f aca="false">IF($A8&lt;AE$4,"",IF($A8=AE$4,1,AE7*(1-D7)))</f>
        <v>0.996415409561336</v>
      </c>
      <c r="AF8" s="30" t="n">
        <f aca="false">IF($A8&lt;AF$4,"",IF($A8=AF$4,1,AF7*(1-E7)))</f>
        <v>1</v>
      </c>
      <c r="AG8" s="30" t="str">
        <f aca="false">IF($A8&lt;AG$4,"",IF($A8=AG$4,1,AG7*(1-F7)))</f>
        <v/>
      </c>
      <c r="AH8" s="30" t="str">
        <f aca="false">IF($A8&lt;AH$4,"",IF($A8=AH$4,1,AH7*(1-G7)))</f>
        <v/>
      </c>
      <c r="AI8" s="30" t="str">
        <f aca="false">IF($A8&lt;AI$4,"",IF($A8=AI$4,1,AI7*(1-H7)))</f>
        <v/>
      </c>
      <c r="AJ8" s="30" t="str">
        <f aca="false">IF($A8&lt;AJ$4,"",IF($A8=AJ$4,1,AJ7*(1-I7)))</f>
        <v/>
      </c>
      <c r="AK8" s="30" t="str">
        <f aca="false">IF($A8&lt;AK$4,"",IF($A8=AK$4,1,AK7*(1-J7)))</f>
        <v/>
      </c>
      <c r="AL8" s="30" t="str">
        <f aca="false">IF($A8&lt;AL$4,"",IF($A8=AL$4,1,AL7*(1-K7)))</f>
        <v/>
      </c>
      <c r="AM8" s="30" t="str">
        <f aca="false">IF($A8&lt;AM$4,"",IF($A8=AM$4,1,AM7*(1-L7)))</f>
        <v/>
      </c>
      <c r="AN8" s="30" t="str">
        <f aca="false">IF($A8&lt;AN$4,"",IF($A8=AN$4,1,AN7*(1-M7)))</f>
        <v/>
      </c>
      <c r="AO8" s="30" t="str">
        <f aca="false">IF($A8&lt;AO$4,"",IF($A8=AO$4,1,AO7*(1-N7)))</f>
        <v/>
      </c>
      <c r="AP8" s="30" t="str">
        <f aca="false">IF($A8&lt;AP$4,"",IF($A8=AP$4,1,AP7*(1-O7)))</f>
        <v/>
      </c>
      <c r="AQ8" s="30" t="str">
        <f aca="false">IF($A8&lt;AQ$4,"",IF($A8=AQ$4,1,AQ7*(1-P7)))</f>
        <v/>
      </c>
      <c r="AR8" s="30" t="str">
        <f aca="false">IF($A8&lt;AR$4,"",IF($A8=AR$4,1,AR7*(1-Q7)))</f>
        <v/>
      </c>
      <c r="AS8" s="30" t="str">
        <f aca="false">IF($A8&lt;AS$4,"",IF($A8=AS$4,1,AS7*(1-R7)))</f>
        <v/>
      </c>
      <c r="AT8" s="30" t="str">
        <f aca="false">IF($A8&lt;AT$4,"",IF($A8=AT$4,1,AT7*(1-S7)))</f>
        <v/>
      </c>
      <c r="AU8" s="30" t="str">
        <f aca="false">IF($A8&lt;AU$4,"",IF($A8=AU$4,1,AU7*(1-T7)))</f>
        <v/>
      </c>
      <c r="AV8" s="30" t="str">
        <f aca="false">IF($A8&lt;AV$4,"",IF($A8=AV$4,1,AV7*(1-U7)))</f>
        <v/>
      </c>
      <c r="AW8" s="30" t="str">
        <f aca="false">IF($A8&lt;AW$4,"",IF($A8=AW$4,1,AW7*(1-V7)))</f>
        <v/>
      </c>
      <c r="AX8" s="30" t="str">
        <f aca="false">IF($A8&lt;AX$4,"",IF($A8=AX$4,1,AX7*(1-W7)))</f>
        <v/>
      </c>
      <c r="AY8" s="30" t="str">
        <f aca="false">IF($A8&lt;AY$4,"",IF($A8=AY$4,1,AY7*(1-X7)))</f>
        <v/>
      </c>
      <c r="AZ8" s="30" t="str">
        <f aca="false">IF($A8&lt;AZ$4,"",IF($A8=AZ$4,1,AZ7*(1-Y7)))</f>
        <v/>
      </c>
      <c r="BA8" s="30" t="str">
        <f aca="false">IF($A8&lt;BA$4,"",IF($A8=BA$4,1,BA7*(1-Z7)))</f>
        <v/>
      </c>
      <c r="BB8" s="30" t="str">
        <f aca="false">IF($A8&lt;BB$4,"",IF($A8=BB$4,1,BB7*(1-AA7)))</f>
        <v/>
      </c>
    </row>
    <row r="9" customFormat="false" ht="15" hidden="false" customHeight="true" outlineLevel="0" collapsed="false">
      <c r="A9" s="3" t="n">
        <v>64</v>
      </c>
      <c r="B9" s="30" t="n">
        <f aca="false">IF($A9&lt;B$4,"",MIN(1,IF(AND(Assumptions!$B$42=1,OR($A9=104,$A9=105)),INDEX(B$68:B$69,MATCH($A9,$A$68:$A$69,0)),INDEX(CMI_Projection!$L$23:$CC$83,$A9-59,2026+($A9-B$4)-2021))))</f>
        <v>0.00404545405914894</v>
      </c>
      <c r="C9" s="30" t="n">
        <f aca="false">IF($A9&lt;C$4,"",MIN(1,IF(AND(Assumptions!$B$42=1,OR($A9=104,$A9=105)),INDEX(C$68:C$69,MATCH($A9,$A$68:$A$69,0)),INDEX(CMI_Projection!$L$23:$CC$83,$A9-59,2026+($A9-C$4)-2021))))</f>
        <v>0.00413046707017566</v>
      </c>
      <c r="D9" s="30" t="n">
        <f aca="false">IF($A9&lt;D$4,"",MIN(1,IF(AND(Assumptions!$B$42=1,OR($A9=104,$A9=105)),INDEX(D$68:D$69,MATCH($A9,$A$68:$A$69,0)),INDEX(CMI_Projection!$L$23:$CC$83,$A9-59,2026+($A9-D$4)-2021))))</f>
        <v>0.00422229346202879</v>
      </c>
      <c r="E9" s="30" t="n">
        <f aca="false">IF($A9&lt;E$4,"",MIN(1,IF(AND(Assumptions!$B$42=1,OR($A9=104,$A9=105)),INDEX(E$68:E$69,MATCH($A9,$A$68:$A$69,0)),INDEX(CMI_Projection!$L$23:$CC$83,$A9-59,2026+($A9-E$4)-2021))))</f>
        <v>0.00432119498655692</v>
      </c>
      <c r="F9" s="30" t="n">
        <f aca="false">IF($A9&lt;F$4,"",MIN(1,IF(AND(Assumptions!$B$42=1,OR($A9=104,$A9=105)),INDEX(F$68:F$69,MATCH($A9,$A$68:$A$69,0)),INDEX(CMI_Projection!$L$23:$CC$83,$A9-59,2026+($A9-F$4)-2021))))</f>
        <v>0.0044272762381868</v>
      </c>
      <c r="G9" s="30" t="str">
        <f aca="false">IF($A9&lt;G$4,"",MIN(1,IF(AND(Assumptions!$B$42=1,OR($A9=104,$A9=105)),INDEX(G$68:G$69,MATCH($A9,$A$68:$A$69,0)),INDEX(CMI_Projection!$L$23:$CC$83,$A9-59,2026+($A9-G$4)-2021))))</f>
        <v/>
      </c>
      <c r="H9" s="30" t="str">
        <f aca="false">IF($A9&lt;H$4,"",MIN(1,IF(AND(Assumptions!$B$42=1,OR($A9=104,$A9=105)),INDEX(H$68:H$69,MATCH($A9,$A$68:$A$69,0)),INDEX(CMI_Projection!$L$23:$CC$83,$A9-59,2026+($A9-H$4)-2021))))</f>
        <v/>
      </c>
      <c r="I9" s="30" t="str">
        <f aca="false">IF($A9&lt;I$4,"",MIN(1,IF(AND(Assumptions!$B$42=1,OR($A9=104,$A9=105)),INDEX(I$68:I$69,MATCH($A9,$A$68:$A$69,0)),INDEX(CMI_Projection!$L$23:$CC$83,$A9-59,2026+($A9-I$4)-2021))))</f>
        <v/>
      </c>
      <c r="J9" s="30" t="str">
        <f aca="false">IF($A9&lt;J$4,"",MIN(1,IF(AND(Assumptions!$B$42=1,OR($A9=104,$A9=105)),INDEX(J$68:J$69,MATCH($A9,$A$68:$A$69,0)),INDEX(CMI_Projection!$L$23:$CC$83,$A9-59,2026+($A9-J$4)-2021))))</f>
        <v/>
      </c>
      <c r="K9" s="30" t="str">
        <f aca="false">IF($A9&lt;K$4,"",MIN(1,IF(AND(Assumptions!$B$42=1,OR($A9=104,$A9=105)),INDEX(K$68:K$69,MATCH($A9,$A$68:$A$69,0)),INDEX(CMI_Projection!$L$23:$CC$83,$A9-59,2026+($A9-K$4)-2021))))</f>
        <v/>
      </c>
      <c r="L9" s="30" t="str">
        <f aca="false">IF($A9&lt;L$4,"",MIN(1,IF(AND(Assumptions!$B$42=1,OR($A9=104,$A9=105)),INDEX(L$68:L$69,MATCH($A9,$A$68:$A$69,0)),INDEX(CMI_Projection!$L$23:$CC$83,$A9-59,2026+($A9-L$4)-2021))))</f>
        <v/>
      </c>
      <c r="M9" s="30" t="str">
        <f aca="false">IF($A9&lt;M$4,"",MIN(1,IF(AND(Assumptions!$B$42=1,OR($A9=104,$A9=105)),INDEX(M$68:M$69,MATCH($A9,$A$68:$A$69,0)),INDEX(CMI_Projection!$L$23:$CC$83,$A9-59,2026+($A9-M$4)-2021))))</f>
        <v/>
      </c>
      <c r="N9" s="30" t="str">
        <f aca="false">IF($A9&lt;N$4,"",MIN(1,IF(AND(Assumptions!$B$42=1,OR($A9=104,$A9=105)),INDEX(N$68:N$69,MATCH($A9,$A$68:$A$69,0)),INDEX(CMI_Projection!$L$23:$CC$83,$A9-59,2026+($A9-N$4)-2021))))</f>
        <v/>
      </c>
      <c r="O9" s="30" t="str">
        <f aca="false">IF($A9&lt;O$4,"",MIN(1,IF(AND(Assumptions!$B$42=1,OR($A9=104,$A9=105)),INDEX(O$68:O$69,MATCH($A9,$A$68:$A$69,0)),INDEX(CMI_Projection!$L$23:$CC$83,$A9-59,2026+($A9-O$4)-2021))))</f>
        <v/>
      </c>
      <c r="P9" s="30" t="str">
        <f aca="false">IF($A9&lt;P$4,"",MIN(1,IF(AND(Assumptions!$B$42=1,OR($A9=104,$A9=105)),INDEX(P$68:P$69,MATCH($A9,$A$68:$A$69,0)),INDEX(CMI_Projection!$L$23:$CC$83,$A9-59,2026+($A9-P$4)-2021))))</f>
        <v/>
      </c>
      <c r="Q9" s="30" t="str">
        <f aca="false">IF($A9&lt;Q$4,"",MIN(1,IF(AND(Assumptions!$B$42=1,OR($A9=104,$A9=105)),INDEX(Q$68:Q$69,MATCH($A9,$A$68:$A$69,0)),INDEX(CMI_Projection!$L$23:$CC$83,$A9-59,2026+($A9-Q$4)-2021))))</f>
        <v/>
      </c>
      <c r="R9" s="30" t="str">
        <f aca="false">IF($A9&lt;R$4,"",MIN(1,IF(AND(Assumptions!$B$42=1,OR($A9=104,$A9=105)),INDEX(R$68:R$69,MATCH($A9,$A$68:$A$69,0)),INDEX(CMI_Projection!$L$23:$CC$83,$A9-59,2026+($A9-R$4)-2021))))</f>
        <v/>
      </c>
      <c r="S9" s="30" t="str">
        <f aca="false">IF($A9&lt;S$4,"",MIN(1,IF(AND(Assumptions!$B$42=1,OR($A9=104,$A9=105)),INDEX(S$68:S$69,MATCH($A9,$A$68:$A$69,0)),INDEX(CMI_Projection!$L$23:$CC$83,$A9-59,2026+($A9-S$4)-2021))))</f>
        <v/>
      </c>
      <c r="T9" s="30" t="str">
        <f aca="false">IF($A9&lt;T$4,"",MIN(1,IF(AND(Assumptions!$B$42=1,OR($A9=104,$A9=105)),INDEX(T$68:T$69,MATCH($A9,$A$68:$A$69,0)),INDEX(CMI_Projection!$L$23:$CC$83,$A9-59,2026+($A9-T$4)-2021))))</f>
        <v/>
      </c>
      <c r="U9" s="30" t="str">
        <f aca="false">IF($A9&lt;U$4,"",MIN(1,IF(AND(Assumptions!$B$42=1,OR($A9=104,$A9=105)),INDEX(U$68:U$69,MATCH($A9,$A$68:$A$69,0)),INDEX(CMI_Projection!$L$23:$CC$83,$A9-59,2026+($A9-U$4)-2021))))</f>
        <v/>
      </c>
      <c r="V9" s="30" t="str">
        <f aca="false">IF($A9&lt;V$4,"",MIN(1,IF(AND(Assumptions!$B$42=1,OR($A9=104,$A9=105)),INDEX(V$68:V$69,MATCH($A9,$A$68:$A$69,0)),INDEX(CMI_Projection!$L$23:$CC$83,$A9-59,2026+($A9-V$4)-2021))))</f>
        <v/>
      </c>
      <c r="W9" s="30" t="str">
        <f aca="false">IF($A9&lt;W$4,"",MIN(1,IF(AND(Assumptions!$B$42=1,OR($A9=104,$A9=105)),INDEX(W$68:W$69,MATCH($A9,$A$68:$A$69,0)),INDEX(CMI_Projection!$L$23:$CC$83,$A9-59,2026+($A9-W$4)-2021))))</f>
        <v/>
      </c>
      <c r="X9" s="30" t="str">
        <f aca="false">IF($A9&lt;X$4,"",MIN(1,IF(AND(Assumptions!$B$42=1,OR($A9=104,$A9=105)),INDEX(X$68:X$69,MATCH($A9,$A$68:$A$69,0)),INDEX(CMI_Projection!$L$23:$CC$83,$A9-59,2026+($A9-X$4)-2021))))</f>
        <v/>
      </c>
      <c r="Y9" s="30" t="str">
        <f aca="false">IF($A9&lt;Y$4,"",MIN(1,IF(AND(Assumptions!$B$42=1,OR($A9=104,$A9=105)),INDEX(Y$68:Y$69,MATCH($A9,$A$68:$A$69,0)),INDEX(CMI_Projection!$L$23:$CC$83,$A9-59,2026+($A9-Y$4)-2021))))</f>
        <v/>
      </c>
      <c r="Z9" s="30" t="str">
        <f aca="false">IF($A9&lt;Z$4,"",MIN(1,IF(AND(Assumptions!$B$42=1,OR($A9=104,$A9=105)),INDEX(Z$68:Z$69,MATCH($A9,$A$68:$A$69,0)),INDEX(CMI_Projection!$L$23:$CC$83,$A9-59,2026+($A9-Z$4)-2021))))</f>
        <v/>
      </c>
      <c r="AA9" s="30" t="str">
        <f aca="false">IF($A9&lt;AA$4,"",MIN(1,IF(AND(Assumptions!$B$42=1,OR($A9=104,$A9=105)),INDEX(AA$68:AA$69,MATCH($A9,$A$68:$A$69,0)),INDEX(CMI_Projection!$L$23:$CC$83,$A9-59,2026+($A9-AA$4)-2021))))</f>
        <v/>
      </c>
      <c r="AC9" s="30" t="n">
        <f aca="false">IF($A9&lt;AC$4,"",IF($A9=AC$4,1,AC8*(1-B8)))</f>
        <v>0.986884718744898</v>
      </c>
      <c r="AD9" s="30" t="n">
        <f aca="false">IF($A9&lt;AD$4,"",IF($A9=AD$4,1,AD8*(1-C8)))</f>
        <v>0.989518622784626</v>
      </c>
      <c r="AE9" s="30" t="n">
        <f aca="false">IF($A9&lt;AE$4,"",IF($A9=AE$4,1,AE8*(1-D8)))</f>
        <v>0.992545056436665</v>
      </c>
      <c r="AF9" s="30" t="n">
        <f aca="false">IF($A9&lt;AF$4,"",IF($A9=AF$4,1,AF8*(1-E8)))</f>
        <v>0.996018215817998</v>
      </c>
      <c r="AG9" s="30" t="n">
        <f aca="false">IF($A9&lt;AG$4,"",IF($A9=AG$4,1,AG8*(1-F8)))</f>
        <v>1</v>
      </c>
      <c r="AH9" s="30" t="str">
        <f aca="false">IF($A9&lt;AH$4,"",IF($A9=AH$4,1,AH8*(1-G8)))</f>
        <v/>
      </c>
      <c r="AI9" s="30" t="str">
        <f aca="false">IF($A9&lt;AI$4,"",IF($A9=AI$4,1,AI8*(1-H8)))</f>
        <v/>
      </c>
      <c r="AJ9" s="30" t="str">
        <f aca="false">IF($A9&lt;AJ$4,"",IF($A9=AJ$4,1,AJ8*(1-I8)))</f>
        <v/>
      </c>
      <c r="AK9" s="30" t="str">
        <f aca="false">IF($A9&lt;AK$4,"",IF($A9=AK$4,1,AK8*(1-J8)))</f>
        <v/>
      </c>
      <c r="AL9" s="30" t="str">
        <f aca="false">IF($A9&lt;AL$4,"",IF($A9=AL$4,1,AL8*(1-K8)))</f>
        <v/>
      </c>
      <c r="AM9" s="30" t="str">
        <f aca="false">IF($A9&lt;AM$4,"",IF($A9=AM$4,1,AM8*(1-L8)))</f>
        <v/>
      </c>
      <c r="AN9" s="30" t="str">
        <f aca="false">IF($A9&lt;AN$4,"",IF($A9=AN$4,1,AN8*(1-M8)))</f>
        <v/>
      </c>
      <c r="AO9" s="30" t="str">
        <f aca="false">IF($A9&lt;AO$4,"",IF($A9=AO$4,1,AO8*(1-N8)))</f>
        <v/>
      </c>
      <c r="AP9" s="30" t="str">
        <f aca="false">IF($A9&lt;AP$4,"",IF($A9=AP$4,1,AP8*(1-O8)))</f>
        <v/>
      </c>
      <c r="AQ9" s="30" t="str">
        <f aca="false">IF($A9&lt;AQ$4,"",IF($A9=AQ$4,1,AQ8*(1-P8)))</f>
        <v/>
      </c>
      <c r="AR9" s="30" t="str">
        <f aca="false">IF($A9&lt;AR$4,"",IF($A9=AR$4,1,AR8*(1-Q8)))</f>
        <v/>
      </c>
      <c r="AS9" s="30" t="str">
        <f aca="false">IF($A9&lt;AS$4,"",IF($A9=AS$4,1,AS8*(1-R8)))</f>
        <v/>
      </c>
      <c r="AT9" s="30" t="str">
        <f aca="false">IF($A9&lt;AT$4,"",IF($A9=AT$4,1,AT8*(1-S8)))</f>
        <v/>
      </c>
      <c r="AU9" s="30" t="str">
        <f aca="false">IF($A9&lt;AU$4,"",IF($A9=AU$4,1,AU8*(1-T8)))</f>
        <v/>
      </c>
      <c r="AV9" s="30" t="str">
        <f aca="false">IF($A9&lt;AV$4,"",IF($A9=AV$4,1,AV8*(1-U8)))</f>
        <v/>
      </c>
      <c r="AW9" s="30" t="str">
        <f aca="false">IF($A9&lt;AW$4,"",IF($A9=AW$4,1,AW8*(1-V8)))</f>
        <v/>
      </c>
      <c r="AX9" s="30" t="str">
        <f aca="false">IF($A9&lt;AX$4,"",IF($A9=AX$4,1,AX8*(1-W8)))</f>
        <v/>
      </c>
      <c r="AY9" s="30" t="str">
        <f aca="false">IF($A9&lt;AY$4,"",IF($A9=AY$4,1,AY8*(1-X8)))</f>
        <v/>
      </c>
      <c r="AZ9" s="30" t="str">
        <f aca="false">IF($A9&lt;AZ$4,"",IF($A9=AZ$4,1,AZ8*(1-Y8)))</f>
        <v/>
      </c>
      <c r="BA9" s="30" t="str">
        <f aca="false">IF($A9&lt;BA$4,"",IF($A9=BA$4,1,BA8*(1-Z8)))</f>
        <v/>
      </c>
      <c r="BB9" s="30" t="str">
        <f aca="false">IF($A9&lt;BB$4,"",IF($A9=BB$4,1,BB8*(1-AA8)))</f>
        <v/>
      </c>
    </row>
    <row r="10" customFormat="false" ht="15" hidden="false" customHeight="true" outlineLevel="0" collapsed="false">
      <c r="A10" s="3" t="n">
        <v>65</v>
      </c>
      <c r="B10" s="30" t="n">
        <f aca="false">IF($A10&lt;B$4,"",MIN(1,IF(AND(Assumptions!$B$42=1,OR($A10=104,$A10=105)),INDEX(B$68:B$69,MATCH($A10,$A$68:$A$69,0)),INDEX(CMI_Projection!$L$23:$CC$83,$A10-59,2026+($A10-B$4)-2021))))</f>
        <v>0.00465316106406254</v>
      </c>
      <c r="C10" s="30" t="n">
        <f aca="false">IF($A10&lt;C$4,"",MIN(1,IF(AND(Assumptions!$B$42=1,OR($A10=104,$A10=105)),INDEX(C$68:C$69,MATCH($A10,$A$68:$A$69,0)),INDEX(CMI_Projection!$L$23:$CC$83,$A10-59,2026+($A10-C$4)-2021))))</f>
        <v>0.00474332572236526</v>
      </c>
      <c r="D10" s="30" t="n">
        <f aca="false">IF($A10&lt;D$4,"",MIN(1,IF(AND(Assumptions!$B$42=1,OR($A10=104,$A10=105)),INDEX(D$68:D$69,MATCH($A10,$A$68:$A$69,0)),INDEX(CMI_Projection!$L$23:$CC$83,$A10-59,2026+($A10-D$4)-2021))))</f>
        <v>0.00484074897454036</v>
      </c>
      <c r="E10" s="30" t="n">
        <f aca="false">IF($A10&lt;E$4,"",MIN(1,IF(AND(Assumptions!$B$42=1,OR($A10=104,$A10=105)),INDEX(E$68:E$69,MATCH($A10,$A$68:$A$69,0)),INDEX(CMI_Projection!$L$23:$CC$83,$A10-59,2026+($A10-E$4)-2021))))</f>
        <v>0.00494591301749585</v>
      </c>
      <c r="F10" s="30" t="n">
        <f aca="false">IF($A10&lt;F$4,"",MIN(1,IF(AND(Assumptions!$B$42=1,OR($A10=104,$A10=105)),INDEX(F$68:F$69,MATCH($A10,$A$68:$A$69,0)),INDEX(CMI_Projection!$L$23:$CC$83,$A10-59,2026+($A10-F$4)-2021))))</f>
        <v>0.00505913509971491</v>
      </c>
      <c r="G10" s="30" t="n">
        <f aca="false">IF($A10&lt;G$4,"",MIN(1,IF(AND(Assumptions!$B$42=1,OR($A10=104,$A10=105)),INDEX(G$68:G$69,MATCH($A10,$A$68:$A$69,0)),INDEX(CMI_Projection!$L$23:$CC$83,$A10-59,2026+($A10-G$4)-2021))))</f>
        <v>0.00518054588826009</v>
      </c>
      <c r="H10" s="30" t="str">
        <f aca="false">IF($A10&lt;H$4,"",MIN(1,IF(AND(Assumptions!$B$42=1,OR($A10=104,$A10=105)),INDEX(H$68:H$69,MATCH($A10,$A$68:$A$69,0)),INDEX(CMI_Projection!$L$23:$CC$83,$A10-59,2026+($A10-H$4)-2021))))</f>
        <v/>
      </c>
      <c r="I10" s="30" t="str">
        <f aca="false">IF($A10&lt;I$4,"",MIN(1,IF(AND(Assumptions!$B$42=1,OR($A10=104,$A10=105)),INDEX(I$68:I$69,MATCH($A10,$A$68:$A$69,0)),INDEX(CMI_Projection!$L$23:$CC$83,$A10-59,2026+($A10-I$4)-2021))))</f>
        <v/>
      </c>
      <c r="J10" s="30" t="str">
        <f aca="false">IF($A10&lt;J$4,"",MIN(1,IF(AND(Assumptions!$B$42=1,OR($A10=104,$A10=105)),INDEX(J$68:J$69,MATCH($A10,$A$68:$A$69,0)),INDEX(CMI_Projection!$L$23:$CC$83,$A10-59,2026+($A10-J$4)-2021))))</f>
        <v/>
      </c>
      <c r="K10" s="30" t="str">
        <f aca="false">IF($A10&lt;K$4,"",MIN(1,IF(AND(Assumptions!$B$42=1,OR($A10=104,$A10=105)),INDEX(K$68:K$69,MATCH($A10,$A$68:$A$69,0)),INDEX(CMI_Projection!$L$23:$CC$83,$A10-59,2026+($A10-K$4)-2021))))</f>
        <v/>
      </c>
      <c r="L10" s="30" t="str">
        <f aca="false">IF($A10&lt;L$4,"",MIN(1,IF(AND(Assumptions!$B$42=1,OR($A10=104,$A10=105)),INDEX(L$68:L$69,MATCH($A10,$A$68:$A$69,0)),INDEX(CMI_Projection!$L$23:$CC$83,$A10-59,2026+($A10-L$4)-2021))))</f>
        <v/>
      </c>
      <c r="M10" s="30" t="str">
        <f aca="false">IF($A10&lt;M$4,"",MIN(1,IF(AND(Assumptions!$B$42=1,OR($A10=104,$A10=105)),INDEX(M$68:M$69,MATCH($A10,$A$68:$A$69,0)),INDEX(CMI_Projection!$L$23:$CC$83,$A10-59,2026+($A10-M$4)-2021))))</f>
        <v/>
      </c>
      <c r="N10" s="30" t="str">
        <f aca="false">IF($A10&lt;N$4,"",MIN(1,IF(AND(Assumptions!$B$42=1,OR($A10=104,$A10=105)),INDEX(N$68:N$69,MATCH($A10,$A$68:$A$69,0)),INDEX(CMI_Projection!$L$23:$CC$83,$A10-59,2026+($A10-N$4)-2021))))</f>
        <v/>
      </c>
      <c r="O10" s="30" t="str">
        <f aca="false">IF($A10&lt;O$4,"",MIN(1,IF(AND(Assumptions!$B$42=1,OR($A10=104,$A10=105)),INDEX(O$68:O$69,MATCH($A10,$A$68:$A$69,0)),INDEX(CMI_Projection!$L$23:$CC$83,$A10-59,2026+($A10-O$4)-2021))))</f>
        <v/>
      </c>
      <c r="P10" s="30" t="str">
        <f aca="false">IF($A10&lt;P$4,"",MIN(1,IF(AND(Assumptions!$B$42=1,OR($A10=104,$A10=105)),INDEX(P$68:P$69,MATCH($A10,$A$68:$A$69,0)),INDEX(CMI_Projection!$L$23:$CC$83,$A10-59,2026+($A10-P$4)-2021))))</f>
        <v/>
      </c>
      <c r="Q10" s="30" t="str">
        <f aca="false">IF($A10&lt;Q$4,"",MIN(1,IF(AND(Assumptions!$B$42=1,OR($A10=104,$A10=105)),INDEX(Q$68:Q$69,MATCH($A10,$A$68:$A$69,0)),INDEX(CMI_Projection!$L$23:$CC$83,$A10-59,2026+($A10-Q$4)-2021))))</f>
        <v/>
      </c>
      <c r="R10" s="30" t="str">
        <f aca="false">IF($A10&lt;R$4,"",MIN(1,IF(AND(Assumptions!$B$42=1,OR($A10=104,$A10=105)),INDEX(R$68:R$69,MATCH($A10,$A$68:$A$69,0)),INDEX(CMI_Projection!$L$23:$CC$83,$A10-59,2026+($A10-R$4)-2021))))</f>
        <v/>
      </c>
      <c r="S10" s="30" t="str">
        <f aca="false">IF($A10&lt;S$4,"",MIN(1,IF(AND(Assumptions!$B$42=1,OR($A10=104,$A10=105)),INDEX(S$68:S$69,MATCH($A10,$A$68:$A$69,0)),INDEX(CMI_Projection!$L$23:$CC$83,$A10-59,2026+($A10-S$4)-2021))))</f>
        <v/>
      </c>
      <c r="T10" s="30" t="str">
        <f aca="false">IF($A10&lt;T$4,"",MIN(1,IF(AND(Assumptions!$B$42=1,OR($A10=104,$A10=105)),INDEX(T$68:T$69,MATCH($A10,$A$68:$A$69,0)),INDEX(CMI_Projection!$L$23:$CC$83,$A10-59,2026+($A10-T$4)-2021))))</f>
        <v/>
      </c>
      <c r="U10" s="30" t="str">
        <f aca="false">IF($A10&lt;U$4,"",MIN(1,IF(AND(Assumptions!$B$42=1,OR($A10=104,$A10=105)),INDEX(U$68:U$69,MATCH($A10,$A$68:$A$69,0)),INDEX(CMI_Projection!$L$23:$CC$83,$A10-59,2026+($A10-U$4)-2021))))</f>
        <v/>
      </c>
      <c r="V10" s="30" t="str">
        <f aca="false">IF($A10&lt;V$4,"",MIN(1,IF(AND(Assumptions!$B$42=1,OR($A10=104,$A10=105)),INDEX(V$68:V$69,MATCH($A10,$A$68:$A$69,0)),INDEX(CMI_Projection!$L$23:$CC$83,$A10-59,2026+($A10-V$4)-2021))))</f>
        <v/>
      </c>
      <c r="W10" s="30" t="str">
        <f aca="false">IF($A10&lt;W$4,"",MIN(1,IF(AND(Assumptions!$B$42=1,OR($A10=104,$A10=105)),INDEX(W$68:W$69,MATCH($A10,$A$68:$A$69,0)),INDEX(CMI_Projection!$L$23:$CC$83,$A10-59,2026+($A10-W$4)-2021))))</f>
        <v/>
      </c>
      <c r="X10" s="30" t="str">
        <f aca="false">IF($A10&lt;X$4,"",MIN(1,IF(AND(Assumptions!$B$42=1,OR($A10=104,$A10=105)),INDEX(X$68:X$69,MATCH($A10,$A$68:$A$69,0)),INDEX(CMI_Projection!$L$23:$CC$83,$A10-59,2026+($A10-X$4)-2021))))</f>
        <v/>
      </c>
      <c r="Y10" s="30" t="str">
        <f aca="false">IF($A10&lt;Y$4,"",MIN(1,IF(AND(Assumptions!$B$42=1,OR($A10=104,$A10=105)),INDEX(Y$68:Y$69,MATCH($A10,$A$68:$A$69,0)),INDEX(CMI_Projection!$L$23:$CC$83,$A10-59,2026+($A10-Y$4)-2021))))</f>
        <v/>
      </c>
      <c r="Z10" s="30" t="str">
        <f aca="false">IF($A10&lt;Z$4,"",MIN(1,IF(AND(Assumptions!$B$42=1,OR($A10=104,$A10=105)),INDEX(Z$68:Z$69,MATCH($A10,$A$68:$A$69,0)),INDEX(CMI_Projection!$L$23:$CC$83,$A10-59,2026+($A10-Z$4)-2021))))</f>
        <v/>
      </c>
      <c r="AA10" s="30" t="str">
        <f aca="false">IF($A10&lt;AA$4,"",MIN(1,IF(AND(Assumptions!$B$42=1,OR($A10=104,$A10=105)),INDEX(AA$68:AA$69,MATCH($A10,$A$68:$A$69,0)),INDEX(CMI_Projection!$L$23:$CC$83,$A10-59,2026+($A10-AA$4)-2021))))</f>
        <v/>
      </c>
      <c r="AC10" s="30" t="n">
        <f aca="false">IF($A10&lt;AC$4,"",IF($A10=AC$4,1,AC9*(1-B9)))</f>
        <v>0.982892321953539</v>
      </c>
      <c r="AD10" s="30" t="n">
        <f aca="false">IF($A10&lt;AD$4,"",IF($A10=AD$4,1,AD9*(1-C9)))</f>
        <v>0.985431448697889</v>
      </c>
      <c r="AE10" s="30" t="n">
        <f aca="false">IF($A10&lt;AE$4,"",IF($A10=AE$4,1,AE9*(1-D9)))</f>
        <v>0.988354239934104</v>
      </c>
      <c r="AF10" s="30" t="n">
        <f aca="false">IF($A10&lt;AF$4,"",IF($A10=AF$4,1,AF9*(1-E9)))</f>
        <v>0.991714226897286</v>
      </c>
      <c r="AG10" s="30" t="n">
        <f aca="false">IF($A10&lt;AG$4,"",IF($A10=AG$4,1,AG9*(1-F9)))</f>
        <v>0.995572723761813</v>
      </c>
      <c r="AH10" s="30" t="n">
        <f aca="false">IF($A10&lt;AH$4,"",IF($A10=AH$4,1,AH9*(1-G9)))</f>
        <v>1</v>
      </c>
      <c r="AI10" s="30" t="str">
        <f aca="false">IF($A10&lt;AI$4,"",IF($A10=AI$4,1,AI9*(1-H9)))</f>
        <v/>
      </c>
      <c r="AJ10" s="30" t="str">
        <f aca="false">IF($A10&lt;AJ$4,"",IF($A10=AJ$4,1,AJ9*(1-I9)))</f>
        <v/>
      </c>
      <c r="AK10" s="30" t="str">
        <f aca="false">IF($A10&lt;AK$4,"",IF($A10=AK$4,1,AK9*(1-J9)))</f>
        <v/>
      </c>
      <c r="AL10" s="30" t="str">
        <f aca="false">IF($A10&lt;AL$4,"",IF($A10=AL$4,1,AL9*(1-K9)))</f>
        <v/>
      </c>
      <c r="AM10" s="30" t="str">
        <f aca="false">IF($A10&lt;AM$4,"",IF($A10=AM$4,1,AM9*(1-L9)))</f>
        <v/>
      </c>
      <c r="AN10" s="30" t="str">
        <f aca="false">IF($A10&lt;AN$4,"",IF($A10=AN$4,1,AN9*(1-M9)))</f>
        <v/>
      </c>
      <c r="AO10" s="30" t="str">
        <f aca="false">IF($A10&lt;AO$4,"",IF($A10=AO$4,1,AO9*(1-N9)))</f>
        <v/>
      </c>
      <c r="AP10" s="30" t="str">
        <f aca="false">IF($A10&lt;AP$4,"",IF($A10=AP$4,1,AP9*(1-O9)))</f>
        <v/>
      </c>
      <c r="AQ10" s="30" t="str">
        <f aca="false">IF($A10&lt;AQ$4,"",IF($A10=AQ$4,1,AQ9*(1-P9)))</f>
        <v/>
      </c>
      <c r="AR10" s="30" t="str">
        <f aca="false">IF($A10&lt;AR$4,"",IF($A10=AR$4,1,AR9*(1-Q9)))</f>
        <v/>
      </c>
      <c r="AS10" s="30" t="str">
        <f aca="false">IF($A10&lt;AS$4,"",IF($A10=AS$4,1,AS9*(1-R9)))</f>
        <v/>
      </c>
      <c r="AT10" s="30" t="str">
        <f aca="false">IF($A10&lt;AT$4,"",IF($A10=AT$4,1,AT9*(1-S9)))</f>
        <v/>
      </c>
      <c r="AU10" s="30" t="str">
        <f aca="false">IF($A10&lt;AU$4,"",IF($A10=AU$4,1,AU9*(1-T9)))</f>
        <v/>
      </c>
      <c r="AV10" s="30" t="str">
        <f aca="false">IF($A10&lt;AV$4,"",IF($A10=AV$4,1,AV9*(1-U9)))</f>
        <v/>
      </c>
      <c r="AW10" s="30" t="str">
        <f aca="false">IF($A10&lt;AW$4,"",IF($A10=AW$4,1,AW9*(1-V9)))</f>
        <v/>
      </c>
      <c r="AX10" s="30" t="str">
        <f aca="false">IF($A10&lt;AX$4,"",IF($A10=AX$4,1,AX9*(1-W9)))</f>
        <v/>
      </c>
      <c r="AY10" s="30" t="str">
        <f aca="false">IF($A10&lt;AY$4,"",IF($A10=AY$4,1,AY9*(1-X9)))</f>
        <v/>
      </c>
      <c r="AZ10" s="30" t="str">
        <f aca="false">IF($A10&lt;AZ$4,"",IF($A10=AZ$4,1,AZ9*(1-Y9)))</f>
        <v/>
      </c>
      <c r="BA10" s="30" t="str">
        <f aca="false">IF($A10&lt;BA$4,"",IF($A10=BA$4,1,BA9*(1-Z9)))</f>
        <v/>
      </c>
      <c r="BB10" s="30" t="str">
        <f aca="false">IF($A10&lt;BB$4,"",IF($A10=BB$4,1,BB9*(1-AA9)))</f>
        <v/>
      </c>
    </row>
    <row r="11" customFormat="false" ht="15" hidden="false" customHeight="true" outlineLevel="0" collapsed="false">
      <c r="A11" s="3" t="n">
        <v>66</v>
      </c>
      <c r="B11" s="30" t="n">
        <f aca="false">IF($A11&lt;B$4,"",MIN(1,IF(AND(Assumptions!$B$42=1,OR($A11=104,$A11=105)),INDEX(B$68:B$69,MATCH($A11,$A$68:$A$69,0)),INDEX(CMI_Projection!$L$23:$CC$83,$A11-59,2026+($A11-B$4)-2021))))</f>
        <v>0.00510625088705159</v>
      </c>
      <c r="C11" s="30" t="n">
        <f aca="false">IF($A11&lt;C$4,"",MIN(1,IF(AND(Assumptions!$B$42=1,OR($A11=104,$A11=105)),INDEX(C$68:C$69,MATCH($A11,$A$68:$A$69,0)),INDEX(CMI_Projection!$L$23:$CC$83,$A11-59,2026+($A11-C$4)-2021))))</f>
        <v>0.0051976893391478</v>
      </c>
      <c r="D11" s="30" t="n">
        <f aca="false">IF($A11&lt;D$4,"",MIN(1,IF(AND(Assumptions!$B$42=1,OR($A11=104,$A11=105)),INDEX(D$68:D$69,MATCH($A11,$A$68:$A$69,0)),INDEX(CMI_Projection!$L$23:$CC$83,$A11-59,2026+($A11-D$4)-2021))))</f>
        <v>0.00529620711753292</v>
      </c>
      <c r="E11" s="30" t="n">
        <f aca="false">IF($A11&lt;E$4,"",MIN(1,IF(AND(Assumptions!$B$42=1,OR($A11=104,$A11=105)),INDEX(E$68:E$69,MATCH($A11,$A$68:$A$69,0)),INDEX(CMI_Projection!$L$23:$CC$83,$A11-59,2026+($A11-E$4)-2021))))</f>
        <v>0.00540252711376813</v>
      </c>
      <c r="F11" s="30" t="n">
        <f aca="false">IF($A11&lt;F$4,"",MIN(1,IF(AND(Assumptions!$B$42=1,OR($A11=104,$A11=105)),INDEX(F$68:F$69,MATCH($A11,$A$68:$A$69,0)),INDEX(CMI_Projection!$L$23:$CC$83,$A11-59,2026+($A11-F$4)-2021))))</f>
        <v>0.00551720358301704</v>
      </c>
      <c r="G11" s="30" t="n">
        <f aca="false">IF($A11&lt;G$4,"",MIN(1,IF(AND(Assumptions!$B$42=1,OR($A11=104,$A11=105)),INDEX(G$68:G$69,MATCH($A11,$A$68:$A$69,0)),INDEX(CMI_Projection!$L$23:$CC$83,$A11-59,2026+($A11-G$4)-2021))))</f>
        <v>0.00564060359024671</v>
      </c>
      <c r="H11" s="30" t="n">
        <f aca="false">IF($A11&lt;H$4,"",MIN(1,IF(AND(Assumptions!$B$42=1,OR($A11=104,$A11=105)),INDEX(H$68:H$69,MATCH($A11,$A$68:$A$69,0)),INDEX(CMI_Projection!$L$23:$CC$83,$A11-59,2026+($A11-H$4)-2021))))</f>
        <v>0.00577288342642332</v>
      </c>
      <c r="I11" s="30" t="str">
        <f aca="false">IF($A11&lt;I$4,"",MIN(1,IF(AND(Assumptions!$B$42=1,OR($A11=104,$A11=105)),INDEX(I$68:I$69,MATCH($A11,$A$68:$A$69,0)),INDEX(CMI_Projection!$L$23:$CC$83,$A11-59,2026+($A11-I$4)-2021))))</f>
        <v/>
      </c>
      <c r="J11" s="30" t="str">
        <f aca="false">IF($A11&lt;J$4,"",MIN(1,IF(AND(Assumptions!$B$42=1,OR($A11=104,$A11=105)),INDEX(J$68:J$69,MATCH($A11,$A$68:$A$69,0)),INDEX(CMI_Projection!$L$23:$CC$83,$A11-59,2026+($A11-J$4)-2021))))</f>
        <v/>
      </c>
      <c r="K11" s="30" t="str">
        <f aca="false">IF($A11&lt;K$4,"",MIN(1,IF(AND(Assumptions!$B$42=1,OR($A11=104,$A11=105)),INDEX(K$68:K$69,MATCH($A11,$A$68:$A$69,0)),INDEX(CMI_Projection!$L$23:$CC$83,$A11-59,2026+($A11-K$4)-2021))))</f>
        <v/>
      </c>
      <c r="L11" s="30" t="str">
        <f aca="false">IF($A11&lt;L$4,"",MIN(1,IF(AND(Assumptions!$B$42=1,OR($A11=104,$A11=105)),INDEX(L$68:L$69,MATCH($A11,$A$68:$A$69,0)),INDEX(CMI_Projection!$L$23:$CC$83,$A11-59,2026+($A11-L$4)-2021))))</f>
        <v/>
      </c>
      <c r="M11" s="30" t="str">
        <f aca="false">IF($A11&lt;M$4,"",MIN(1,IF(AND(Assumptions!$B$42=1,OR($A11=104,$A11=105)),INDEX(M$68:M$69,MATCH($A11,$A$68:$A$69,0)),INDEX(CMI_Projection!$L$23:$CC$83,$A11-59,2026+($A11-M$4)-2021))))</f>
        <v/>
      </c>
      <c r="N11" s="30" t="str">
        <f aca="false">IF($A11&lt;N$4,"",MIN(1,IF(AND(Assumptions!$B$42=1,OR($A11=104,$A11=105)),INDEX(N$68:N$69,MATCH($A11,$A$68:$A$69,0)),INDEX(CMI_Projection!$L$23:$CC$83,$A11-59,2026+($A11-N$4)-2021))))</f>
        <v/>
      </c>
      <c r="O11" s="30" t="str">
        <f aca="false">IF($A11&lt;O$4,"",MIN(1,IF(AND(Assumptions!$B$42=1,OR($A11=104,$A11=105)),INDEX(O$68:O$69,MATCH($A11,$A$68:$A$69,0)),INDEX(CMI_Projection!$L$23:$CC$83,$A11-59,2026+($A11-O$4)-2021))))</f>
        <v/>
      </c>
      <c r="P11" s="30" t="str">
        <f aca="false">IF($A11&lt;P$4,"",MIN(1,IF(AND(Assumptions!$B$42=1,OR($A11=104,$A11=105)),INDEX(P$68:P$69,MATCH($A11,$A$68:$A$69,0)),INDEX(CMI_Projection!$L$23:$CC$83,$A11-59,2026+($A11-P$4)-2021))))</f>
        <v/>
      </c>
      <c r="Q11" s="30" t="str">
        <f aca="false">IF($A11&lt;Q$4,"",MIN(1,IF(AND(Assumptions!$B$42=1,OR($A11=104,$A11=105)),INDEX(Q$68:Q$69,MATCH($A11,$A$68:$A$69,0)),INDEX(CMI_Projection!$L$23:$CC$83,$A11-59,2026+($A11-Q$4)-2021))))</f>
        <v/>
      </c>
      <c r="R11" s="30" t="str">
        <f aca="false">IF($A11&lt;R$4,"",MIN(1,IF(AND(Assumptions!$B$42=1,OR($A11=104,$A11=105)),INDEX(R$68:R$69,MATCH($A11,$A$68:$A$69,0)),INDEX(CMI_Projection!$L$23:$CC$83,$A11-59,2026+($A11-R$4)-2021))))</f>
        <v/>
      </c>
      <c r="S11" s="30" t="str">
        <f aca="false">IF($A11&lt;S$4,"",MIN(1,IF(AND(Assumptions!$B$42=1,OR($A11=104,$A11=105)),INDEX(S$68:S$69,MATCH($A11,$A$68:$A$69,0)),INDEX(CMI_Projection!$L$23:$CC$83,$A11-59,2026+($A11-S$4)-2021))))</f>
        <v/>
      </c>
      <c r="T11" s="30" t="str">
        <f aca="false">IF($A11&lt;T$4,"",MIN(1,IF(AND(Assumptions!$B$42=1,OR($A11=104,$A11=105)),INDEX(T$68:T$69,MATCH($A11,$A$68:$A$69,0)),INDEX(CMI_Projection!$L$23:$CC$83,$A11-59,2026+($A11-T$4)-2021))))</f>
        <v/>
      </c>
      <c r="U11" s="30" t="str">
        <f aca="false">IF($A11&lt;U$4,"",MIN(1,IF(AND(Assumptions!$B$42=1,OR($A11=104,$A11=105)),INDEX(U$68:U$69,MATCH($A11,$A$68:$A$69,0)),INDEX(CMI_Projection!$L$23:$CC$83,$A11-59,2026+($A11-U$4)-2021))))</f>
        <v/>
      </c>
      <c r="V11" s="30" t="str">
        <f aca="false">IF($A11&lt;V$4,"",MIN(1,IF(AND(Assumptions!$B$42=1,OR($A11=104,$A11=105)),INDEX(V$68:V$69,MATCH($A11,$A$68:$A$69,0)),INDEX(CMI_Projection!$L$23:$CC$83,$A11-59,2026+($A11-V$4)-2021))))</f>
        <v/>
      </c>
      <c r="W11" s="30" t="str">
        <f aca="false">IF($A11&lt;W$4,"",MIN(1,IF(AND(Assumptions!$B$42=1,OR($A11=104,$A11=105)),INDEX(W$68:W$69,MATCH($A11,$A$68:$A$69,0)),INDEX(CMI_Projection!$L$23:$CC$83,$A11-59,2026+($A11-W$4)-2021))))</f>
        <v/>
      </c>
      <c r="X11" s="30" t="str">
        <f aca="false">IF($A11&lt;X$4,"",MIN(1,IF(AND(Assumptions!$B$42=1,OR($A11=104,$A11=105)),INDEX(X$68:X$69,MATCH($A11,$A$68:$A$69,0)),INDEX(CMI_Projection!$L$23:$CC$83,$A11-59,2026+($A11-X$4)-2021))))</f>
        <v/>
      </c>
      <c r="Y11" s="30" t="str">
        <f aca="false">IF($A11&lt;Y$4,"",MIN(1,IF(AND(Assumptions!$B$42=1,OR($A11=104,$A11=105)),INDEX(Y$68:Y$69,MATCH($A11,$A$68:$A$69,0)),INDEX(CMI_Projection!$L$23:$CC$83,$A11-59,2026+($A11-Y$4)-2021))))</f>
        <v/>
      </c>
      <c r="Z11" s="30" t="str">
        <f aca="false">IF($A11&lt;Z$4,"",MIN(1,IF(AND(Assumptions!$B$42=1,OR($A11=104,$A11=105)),INDEX(Z$68:Z$69,MATCH($A11,$A$68:$A$69,0)),INDEX(CMI_Projection!$L$23:$CC$83,$A11-59,2026+($A11-Z$4)-2021))))</f>
        <v/>
      </c>
      <c r="AA11" s="30" t="str">
        <f aca="false">IF($A11&lt;AA$4,"",MIN(1,IF(AND(Assumptions!$B$42=1,OR($A11=104,$A11=105)),INDEX(AA$68:AA$69,MATCH($A11,$A$68:$A$69,0)),INDEX(CMI_Projection!$L$23:$CC$83,$A11-59,2026+($A11-AA$4)-2021))))</f>
        <v/>
      </c>
      <c r="AC11" s="30" t="n">
        <f aca="false">IF($A11&lt;AC$4,"",IF($A11=AC$4,1,AC10*(1-B10)))</f>
        <v>0.978318765670859</v>
      </c>
      <c r="AD11" s="30" t="n">
        <f aca="false">IF($A11&lt;AD$4,"",IF($A11=AD$4,1,AD10*(1-C10)))</f>
        <v>0.980757226359653</v>
      </c>
      <c r="AE11" s="30" t="n">
        <f aca="false">IF($A11&lt;AE$4,"",IF($A11=AE$4,1,AE10*(1-D10)))</f>
        <v>0.98356986516066</v>
      </c>
      <c r="AF11" s="30" t="n">
        <f aca="false">IF($A11&lt;AF$4,"",IF($A11=AF$4,1,AF10*(1-E10)))</f>
        <v>0.986809294592839</v>
      </c>
      <c r="AG11" s="30" t="n">
        <f aca="false">IF($A11&lt;AG$4,"",IF($A11=AG$4,1,AG10*(1-F10)))</f>
        <v>0.990535986850711</v>
      </c>
      <c r="AH11" s="30" t="n">
        <f aca="false">IF($A11&lt;AH$4,"",IF($A11=AH$4,1,AH10*(1-G10)))</f>
        <v>0.99481945411174</v>
      </c>
      <c r="AI11" s="30" t="n">
        <f aca="false">IF($A11&lt;AI$4,"",IF($A11=AI$4,1,AI10*(1-H10)))</f>
        <v>1</v>
      </c>
      <c r="AJ11" s="30" t="str">
        <f aca="false">IF($A11&lt;AJ$4,"",IF($A11=AJ$4,1,AJ10*(1-I10)))</f>
        <v/>
      </c>
      <c r="AK11" s="30" t="str">
        <f aca="false">IF($A11&lt;AK$4,"",IF($A11=AK$4,1,AK10*(1-J10)))</f>
        <v/>
      </c>
      <c r="AL11" s="30" t="str">
        <f aca="false">IF($A11&lt;AL$4,"",IF($A11=AL$4,1,AL10*(1-K10)))</f>
        <v/>
      </c>
      <c r="AM11" s="30" t="str">
        <f aca="false">IF($A11&lt;AM$4,"",IF($A11=AM$4,1,AM10*(1-L10)))</f>
        <v/>
      </c>
      <c r="AN11" s="30" t="str">
        <f aca="false">IF($A11&lt;AN$4,"",IF($A11=AN$4,1,AN10*(1-M10)))</f>
        <v/>
      </c>
      <c r="AO11" s="30" t="str">
        <f aca="false">IF($A11&lt;AO$4,"",IF($A11=AO$4,1,AO10*(1-N10)))</f>
        <v/>
      </c>
      <c r="AP11" s="30" t="str">
        <f aca="false">IF($A11&lt;AP$4,"",IF($A11=AP$4,1,AP10*(1-O10)))</f>
        <v/>
      </c>
      <c r="AQ11" s="30" t="str">
        <f aca="false">IF($A11&lt;AQ$4,"",IF($A11=AQ$4,1,AQ10*(1-P10)))</f>
        <v/>
      </c>
      <c r="AR11" s="30" t="str">
        <f aca="false">IF($A11&lt;AR$4,"",IF($A11=AR$4,1,AR10*(1-Q10)))</f>
        <v/>
      </c>
      <c r="AS11" s="30" t="str">
        <f aca="false">IF($A11&lt;AS$4,"",IF($A11=AS$4,1,AS10*(1-R10)))</f>
        <v/>
      </c>
      <c r="AT11" s="30" t="str">
        <f aca="false">IF($A11&lt;AT$4,"",IF($A11=AT$4,1,AT10*(1-S10)))</f>
        <v/>
      </c>
      <c r="AU11" s="30" t="str">
        <f aca="false">IF($A11&lt;AU$4,"",IF($A11=AU$4,1,AU10*(1-T10)))</f>
        <v/>
      </c>
      <c r="AV11" s="30" t="str">
        <f aca="false">IF($A11&lt;AV$4,"",IF($A11=AV$4,1,AV10*(1-U10)))</f>
        <v/>
      </c>
      <c r="AW11" s="30" t="str">
        <f aca="false">IF($A11&lt;AW$4,"",IF($A11=AW$4,1,AW10*(1-V10)))</f>
        <v/>
      </c>
      <c r="AX11" s="30" t="str">
        <f aca="false">IF($A11&lt;AX$4,"",IF($A11=AX$4,1,AX10*(1-W10)))</f>
        <v/>
      </c>
      <c r="AY11" s="30" t="str">
        <f aca="false">IF($A11&lt;AY$4,"",IF($A11=AY$4,1,AY10*(1-X10)))</f>
        <v/>
      </c>
      <c r="AZ11" s="30" t="str">
        <f aca="false">IF($A11&lt;AZ$4,"",IF($A11=AZ$4,1,AZ10*(1-Y10)))</f>
        <v/>
      </c>
      <c r="BA11" s="30" t="str">
        <f aca="false">IF($A11&lt;BA$4,"",IF($A11=BA$4,1,BA10*(1-Z10)))</f>
        <v/>
      </c>
      <c r="BB11" s="30" t="str">
        <f aca="false">IF($A11&lt;BB$4,"",IF($A11=BB$4,1,BB10*(1-AA10)))</f>
        <v/>
      </c>
    </row>
    <row r="12" customFormat="false" ht="15" hidden="false" customHeight="true" outlineLevel="0" collapsed="false">
      <c r="A12" s="3" t="n">
        <v>67</v>
      </c>
      <c r="B12" s="30" t="n">
        <f aca="false">IF($A12&lt;B$4,"",MIN(1,IF(AND(Assumptions!$B$42=1,OR($A12=104,$A12=105)),INDEX(B$68:B$69,MATCH($A12,$A$68:$A$69,0)),INDEX(CMI_Projection!$L$23:$CC$83,$A12-59,2026+($A12-B$4)-2021))))</f>
        <v>0.00561880929993831</v>
      </c>
      <c r="C12" s="30" t="n">
        <f aca="false">IF($A12&lt;C$4,"",MIN(1,IF(AND(Assumptions!$B$42=1,OR($A12=104,$A12=105)),INDEX(C$68:C$69,MATCH($A12,$A$68:$A$69,0)),INDEX(CMI_Projection!$L$23:$CC$83,$A12-59,2026+($A12-C$4)-2021))))</f>
        <v>0.00571254361036002</v>
      </c>
      <c r="D12" s="30" t="n">
        <f aca="false">IF($A12&lt;D$4,"",MIN(1,IF(AND(Assumptions!$B$42=1,OR($A12=104,$A12=105)),INDEX(D$68:D$69,MATCH($A12,$A$68:$A$69,0)),INDEX(CMI_Projection!$L$23:$CC$83,$A12-59,2026+($A12-D$4)-2021))))</f>
        <v>0.00581281079808477</v>
      </c>
      <c r="E12" s="30" t="n">
        <f aca="false">IF($A12&lt;E$4,"",MIN(1,IF(AND(Assumptions!$B$42=1,OR($A12=104,$A12=105)),INDEX(E$68:E$69,MATCH($A12,$A$68:$A$69,0)),INDEX(CMI_Projection!$L$23:$CC$83,$A12-59,2026+($A12-E$4)-2021))))</f>
        <v>0.00592061821610498</v>
      </c>
      <c r="F12" s="30" t="n">
        <f aca="false">IF($A12&lt;F$4,"",MIN(1,IF(AND(Assumptions!$B$42=1,OR($A12=104,$A12=105)),INDEX(F$68:F$69,MATCH($A12,$A$68:$A$69,0)),INDEX(CMI_Projection!$L$23:$CC$83,$A12-59,2026+($A12-F$4)-2021))))</f>
        <v>0.00603679656280284</v>
      </c>
      <c r="G12" s="30" t="n">
        <f aca="false">IF($A12&lt;G$4,"",MIN(1,IF(AND(Assumptions!$B$42=1,OR($A12=104,$A12=105)),INDEX(G$68:G$69,MATCH($A12,$A$68:$A$69,0)),INDEX(CMI_Projection!$L$23:$CC$83,$A12-59,2026+($A12-G$4)-2021))))</f>
        <v>0.00616198432267925</v>
      </c>
      <c r="H12" s="30" t="n">
        <f aca="false">IF($A12&lt;H$4,"",MIN(1,IF(AND(Assumptions!$B$42=1,OR($A12=104,$A12=105)),INDEX(H$68:H$69,MATCH($A12,$A$68:$A$69,0)),INDEX(CMI_Projection!$L$23:$CC$83,$A12-59,2026+($A12-H$4)-2021))))</f>
        <v>0.00629660753699317</v>
      </c>
      <c r="I12" s="30" t="n">
        <f aca="false">IF($A12&lt;I$4,"",MIN(1,IF(AND(Assumptions!$B$42=1,OR($A12=104,$A12=105)),INDEX(I$68:I$69,MATCH($A12,$A$68:$A$69,0)),INDEX(CMI_Projection!$L$23:$CC$83,$A12-59,2026+($A12-I$4)-2021))))</f>
        <v>0.006440854103808</v>
      </c>
      <c r="J12" s="30" t="str">
        <f aca="false">IF($A12&lt;J$4,"",MIN(1,IF(AND(Assumptions!$B$42=1,OR($A12=104,$A12=105)),INDEX(J$68:J$69,MATCH($A12,$A$68:$A$69,0)),INDEX(CMI_Projection!$L$23:$CC$83,$A12-59,2026+($A12-J$4)-2021))))</f>
        <v/>
      </c>
      <c r="K12" s="30" t="str">
        <f aca="false">IF($A12&lt;K$4,"",MIN(1,IF(AND(Assumptions!$B$42=1,OR($A12=104,$A12=105)),INDEX(K$68:K$69,MATCH($A12,$A$68:$A$69,0)),INDEX(CMI_Projection!$L$23:$CC$83,$A12-59,2026+($A12-K$4)-2021))))</f>
        <v/>
      </c>
      <c r="L12" s="30" t="str">
        <f aca="false">IF($A12&lt;L$4,"",MIN(1,IF(AND(Assumptions!$B$42=1,OR($A12=104,$A12=105)),INDEX(L$68:L$69,MATCH($A12,$A$68:$A$69,0)),INDEX(CMI_Projection!$L$23:$CC$83,$A12-59,2026+($A12-L$4)-2021))))</f>
        <v/>
      </c>
      <c r="M12" s="30" t="str">
        <f aca="false">IF($A12&lt;M$4,"",MIN(1,IF(AND(Assumptions!$B$42=1,OR($A12=104,$A12=105)),INDEX(M$68:M$69,MATCH($A12,$A$68:$A$69,0)),INDEX(CMI_Projection!$L$23:$CC$83,$A12-59,2026+($A12-M$4)-2021))))</f>
        <v/>
      </c>
      <c r="N12" s="30" t="str">
        <f aca="false">IF($A12&lt;N$4,"",MIN(1,IF(AND(Assumptions!$B$42=1,OR($A12=104,$A12=105)),INDEX(N$68:N$69,MATCH($A12,$A$68:$A$69,0)),INDEX(CMI_Projection!$L$23:$CC$83,$A12-59,2026+($A12-N$4)-2021))))</f>
        <v/>
      </c>
      <c r="O12" s="30" t="str">
        <f aca="false">IF($A12&lt;O$4,"",MIN(1,IF(AND(Assumptions!$B$42=1,OR($A12=104,$A12=105)),INDEX(O$68:O$69,MATCH($A12,$A$68:$A$69,0)),INDEX(CMI_Projection!$L$23:$CC$83,$A12-59,2026+($A12-O$4)-2021))))</f>
        <v/>
      </c>
      <c r="P12" s="30" t="str">
        <f aca="false">IF($A12&lt;P$4,"",MIN(1,IF(AND(Assumptions!$B$42=1,OR($A12=104,$A12=105)),INDEX(P$68:P$69,MATCH($A12,$A$68:$A$69,0)),INDEX(CMI_Projection!$L$23:$CC$83,$A12-59,2026+($A12-P$4)-2021))))</f>
        <v/>
      </c>
      <c r="Q12" s="30" t="str">
        <f aca="false">IF($A12&lt;Q$4,"",MIN(1,IF(AND(Assumptions!$B$42=1,OR($A12=104,$A12=105)),INDEX(Q$68:Q$69,MATCH($A12,$A$68:$A$69,0)),INDEX(CMI_Projection!$L$23:$CC$83,$A12-59,2026+($A12-Q$4)-2021))))</f>
        <v/>
      </c>
      <c r="R12" s="30" t="str">
        <f aca="false">IF($A12&lt;R$4,"",MIN(1,IF(AND(Assumptions!$B$42=1,OR($A12=104,$A12=105)),INDEX(R$68:R$69,MATCH($A12,$A$68:$A$69,0)),INDEX(CMI_Projection!$L$23:$CC$83,$A12-59,2026+($A12-R$4)-2021))))</f>
        <v/>
      </c>
      <c r="S12" s="30" t="str">
        <f aca="false">IF($A12&lt;S$4,"",MIN(1,IF(AND(Assumptions!$B$42=1,OR($A12=104,$A12=105)),INDEX(S$68:S$69,MATCH($A12,$A$68:$A$69,0)),INDEX(CMI_Projection!$L$23:$CC$83,$A12-59,2026+($A12-S$4)-2021))))</f>
        <v/>
      </c>
      <c r="T12" s="30" t="str">
        <f aca="false">IF($A12&lt;T$4,"",MIN(1,IF(AND(Assumptions!$B$42=1,OR($A12=104,$A12=105)),INDEX(T$68:T$69,MATCH($A12,$A$68:$A$69,0)),INDEX(CMI_Projection!$L$23:$CC$83,$A12-59,2026+($A12-T$4)-2021))))</f>
        <v/>
      </c>
      <c r="U12" s="30" t="str">
        <f aca="false">IF($A12&lt;U$4,"",MIN(1,IF(AND(Assumptions!$B$42=1,OR($A12=104,$A12=105)),INDEX(U$68:U$69,MATCH($A12,$A$68:$A$69,0)),INDEX(CMI_Projection!$L$23:$CC$83,$A12-59,2026+($A12-U$4)-2021))))</f>
        <v/>
      </c>
      <c r="V12" s="30" t="str">
        <f aca="false">IF($A12&lt;V$4,"",MIN(1,IF(AND(Assumptions!$B$42=1,OR($A12=104,$A12=105)),INDEX(V$68:V$69,MATCH($A12,$A$68:$A$69,0)),INDEX(CMI_Projection!$L$23:$CC$83,$A12-59,2026+($A12-V$4)-2021))))</f>
        <v/>
      </c>
      <c r="W12" s="30" t="str">
        <f aca="false">IF($A12&lt;W$4,"",MIN(1,IF(AND(Assumptions!$B$42=1,OR($A12=104,$A12=105)),INDEX(W$68:W$69,MATCH($A12,$A$68:$A$69,0)),INDEX(CMI_Projection!$L$23:$CC$83,$A12-59,2026+($A12-W$4)-2021))))</f>
        <v/>
      </c>
      <c r="X12" s="30" t="str">
        <f aca="false">IF($A12&lt;X$4,"",MIN(1,IF(AND(Assumptions!$B$42=1,OR($A12=104,$A12=105)),INDEX(X$68:X$69,MATCH($A12,$A$68:$A$69,0)),INDEX(CMI_Projection!$L$23:$CC$83,$A12-59,2026+($A12-X$4)-2021))))</f>
        <v/>
      </c>
      <c r="Y12" s="30" t="str">
        <f aca="false">IF($A12&lt;Y$4,"",MIN(1,IF(AND(Assumptions!$B$42=1,OR($A12=104,$A12=105)),INDEX(Y$68:Y$69,MATCH($A12,$A$68:$A$69,0)),INDEX(CMI_Projection!$L$23:$CC$83,$A12-59,2026+($A12-Y$4)-2021))))</f>
        <v/>
      </c>
      <c r="Z12" s="30" t="str">
        <f aca="false">IF($A12&lt;Z$4,"",MIN(1,IF(AND(Assumptions!$B$42=1,OR($A12=104,$A12=105)),INDEX(Z$68:Z$69,MATCH($A12,$A$68:$A$69,0)),INDEX(CMI_Projection!$L$23:$CC$83,$A12-59,2026+($A12-Z$4)-2021))))</f>
        <v/>
      </c>
      <c r="AA12" s="30" t="str">
        <f aca="false">IF($A12&lt;AA$4,"",MIN(1,IF(AND(Assumptions!$B$42=1,OR($A12=104,$A12=105)),INDEX(AA$68:AA$69,MATCH($A12,$A$68:$A$69,0)),INDEX(CMI_Projection!$L$23:$CC$83,$A12-59,2026+($A12-AA$4)-2021))))</f>
        <v/>
      </c>
      <c r="AC12" s="30" t="n">
        <f aca="false">IF($A12&lt;AC$4,"",IF($A12=AC$4,1,AC11*(1-B11)))</f>
        <v>0.973323224605833</v>
      </c>
      <c r="AD12" s="30" t="n">
        <f aca="false">IF($A12&lt;AD$4,"",IF($A12=AD$4,1,AD11*(1-C11)))</f>
        <v>0.975659554979911</v>
      </c>
      <c r="AE12" s="30" t="n">
        <f aca="false">IF($A12&lt;AE$4,"",IF($A12=AE$4,1,AE11*(1-D11)))</f>
        <v>0.978360675440205</v>
      </c>
      <c r="AF12" s="30" t="n">
        <f aca="false">IF($A12&lt;AF$4,"",IF($A12=AF$4,1,AF11*(1-E11)))</f>
        <v>0.981478030622683</v>
      </c>
      <c r="AG12" s="30" t="n">
        <f aca="false">IF($A12&lt;AG$4,"",IF($A12=AG$4,1,AG11*(1-F11)))</f>
        <v>0.985070998154951</v>
      </c>
      <c r="AH12" s="30" t="n">
        <f aca="false">IF($A12&lt;AH$4,"",IF($A12=AH$4,1,AH11*(1-G11)))</f>
        <v>0.98920807192723</v>
      </c>
      <c r="AI12" s="30" t="n">
        <f aca="false">IF($A12&lt;AI$4,"",IF($A12=AI$4,1,AI11*(1-H11)))</f>
        <v>0.994227116573577</v>
      </c>
      <c r="AJ12" s="30" t="n">
        <f aca="false">IF($A12&lt;AJ$4,"",IF($A12=AJ$4,1,AJ11*(1-I11)))</f>
        <v>1</v>
      </c>
      <c r="AK12" s="30" t="str">
        <f aca="false">IF($A12&lt;AK$4,"",IF($A12=AK$4,1,AK11*(1-J11)))</f>
        <v/>
      </c>
      <c r="AL12" s="30" t="str">
        <f aca="false">IF($A12&lt;AL$4,"",IF($A12=AL$4,1,AL11*(1-K11)))</f>
        <v/>
      </c>
      <c r="AM12" s="30" t="str">
        <f aca="false">IF($A12&lt;AM$4,"",IF($A12=AM$4,1,AM11*(1-L11)))</f>
        <v/>
      </c>
      <c r="AN12" s="30" t="str">
        <f aca="false">IF($A12&lt;AN$4,"",IF($A12=AN$4,1,AN11*(1-M11)))</f>
        <v/>
      </c>
      <c r="AO12" s="30" t="str">
        <f aca="false">IF($A12&lt;AO$4,"",IF($A12=AO$4,1,AO11*(1-N11)))</f>
        <v/>
      </c>
      <c r="AP12" s="30" t="str">
        <f aca="false">IF($A12&lt;AP$4,"",IF($A12=AP$4,1,AP11*(1-O11)))</f>
        <v/>
      </c>
      <c r="AQ12" s="30" t="str">
        <f aca="false">IF($A12&lt;AQ$4,"",IF($A12=AQ$4,1,AQ11*(1-P11)))</f>
        <v/>
      </c>
      <c r="AR12" s="30" t="str">
        <f aca="false">IF($A12&lt;AR$4,"",IF($A12=AR$4,1,AR11*(1-Q11)))</f>
        <v/>
      </c>
      <c r="AS12" s="30" t="str">
        <f aca="false">IF($A12&lt;AS$4,"",IF($A12=AS$4,1,AS11*(1-R11)))</f>
        <v/>
      </c>
      <c r="AT12" s="30" t="str">
        <f aca="false">IF($A12&lt;AT$4,"",IF($A12=AT$4,1,AT11*(1-S11)))</f>
        <v/>
      </c>
      <c r="AU12" s="30" t="str">
        <f aca="false">IF($A12&lt;AU$4,"",IF($A12=AU$4,1,AU11*(1-T11)))</f>
        <v/>
      </c>
      <c r="AV12" s="30" t="str">
        <f aca="false">IF($A12&lt;AV$4,"",IF($A12=AV$4,1,AV11*(1-U11)))</f>
        <v/>
      </c>
      <c r="AW12" s="30" t="str">
        <f aca="false">IF($A12&lt;AW$4,"",IF($A12=AW$4,1,AW11*(1-V11)))</f>
        <v/>
      </c>
      <c r="AX12" s="30" t="str">
        <f aca="false">IF($A12&lt;AX$4,"",IF($A12=AX$4,1,AX11*(1-W11)))</f>
        <v/>
      </c>
      <c r="AY12" s="30" t="str">
        <f aca="false">IF($A12&lt;AY$4,"",IF($A12=AY$4,1,AY11*(1-X11)))</f>
        <v/>
      </c>
      <c r="AZ12" s="30" t="str">
        <f aca="false">IF($A12&lt;AZ$4,"",IF($A12=AZ$4,1,AZ11*(1-Y11)))</f>
        <v/>
      </c>
      <c r="BA12" s="30" t="str">
        <f aca="false">IF($A12&lt;BA$4,"",IF($A12=BA$4,1,BA11*(1-Z11)))</f>
        <v/>
      </c>
      <c r="BB12" s="30" t="str">
        <f aca="false">IF($A12&lt;BB$4,"",IF($A12=BB$4,1,BB11*(1-AA11)))</f>
        <v/>
      </c>
    </row>
    <row r="13" customFormat="false" ht="15" hidden="false" customHeight="true" outlineLevel="0" collapsed="false">
      <c r="A13" s="3" t="n">
        <v>68</v>
      </c>
      <c r="B13" s="30" t="n">
        <f aca="false">IF($A13&lt;B$4,"",MIN(1,IF(AND(Assumptions!$B$42=1,OR($A13=104,$A13=105)),INDEX(B$68:B$69,MATCH($A13,$A$68:$A$69,0)),INDEX(CMI_Projection!$L$23:$CC$83,$A13-59,2026+($A13-B$4)-2021))))</f>
        <v>0.00619759047052662</v>
      </c>
      <c r="C13" s="30" t="n">
        <f aca="false">IF($A13&lt;C$4,"",MIN(1,IF(AND(Assumptions!$B$42=1,OR($A13=104,$A13=105)),INDEX(C$68:C$69,MATCH($A13,$A$68:$A$69,0)),INDEX(CMI_Projection!$L$23:$CC$83,$A13-59,2026+($A13-C$4)-2021))))</f>
        <v>0.00629540872378954</v>
      </c>
      <c r="D13" s="30" t="n">
        <f aca="false">IF($A13&lt;D$4,"",MIN(1,IF(AND(Assumptions!$B$42=1,OR($A13=104,$A13=105)),INDEX(D$68:D$69,MATCH($A13,$A$68:$A$69,0)),INDEX(CMI_Projection!$L$23:$CC$83,$A13-59,2026+($A13-D$4)-2021))))</f>
        <v>0.00639872805569487</v>
      </c>
      <c r="E13" s="30" t="n">
        <f aca="false">IF($A13&lt;E$4,"",MIN(1,IF(AND(Assumptions!$B$42=1,OR($A13=104,$A13=105)),INDEX(E$68:E$69,MATCH($A13,$A$68:$A$69,0)),INDEX(CMI_Projection!$L$23:$CC$83,$A13-59,2026+($A13-E$4)-2021))))</f>
        <v>0.00650889489735073</v>
      </c>
      <c r="F13" s="30" t="n">
        <f aca="false">IF($A13&lt;F$4,"",MIN(1,IF(AND(Assumptions!$B$42=1,OR($A13=104,$A13=105)),INDEX(F$68:F$69,MATCH($A13,$A$68:$A$69,0)),INDEX(CMI_Projection!$L$23:$CC$83,$A13-59,2026+($A13-F$4)-2021))))</f>
        <v>0.00662706703294204</v>
      </c>
      <c r="G13" s="30" t="n">
        <f aca="false">IF($A13&lt;G$4,"",MIN(1,IF(AND(Assumptions!$B$42=1,OR($A13=104,$A13=105)),INDEX(G$68:G$69,MATCH($A13,$A$68:$A$69,0)),INDEX(CMI_Projection!$L$23:$CC$83,$A13-59,2026+($A13-G$4)-2021))))</f>
        <v>0.00675420032480476</v>
      </c>
      <c r="H13" s="30" t="n">
        <f aca="false">IF($A13&lt;H$4,"",MIN(1,IF(AND(Assumptions!$B$42=1,OR($A13=104,$A13=105)),INDEX(H$68:H$69,MATCH($A13,$A$68:$A$69,0)),INDEX(CMI_Projection!$L$23:$CC$83,$A13-59,2026+($A13-H$4)-2021))))</f>
        <v>0.00689103163917596</v>
      </c>
      <c r="I13" s="30" t="n">
        <f aca="false">IF($A13&lt;I$4,"",MIN(1,IF(AND(Assumptions!$B$42=1,OR($A13=104,$A13=105)),INDEX(I$68:I$69,MATCH($A13,$A$68:$A$69,0)),INDEX(CMI_Projection!$L$23:$CC$83,$A13-59,2026+($A13-I$4)-2021))))</f>
        <v>0.00703805677886491</v>
      </c>
      <c r="J13" s="30" t="n">
        <f aca="false">IF($A13&lt;J$4,"",MIN(1,IF(AND(Assumptions!$B$42=1,OR($A13=104,$A13=105)),INDEX(J$68:J$69,MATCH($A13,$A$68:$A$69,0)),INDEX(CMI_Projection!$L$23:$CC$83,$A13-59,2026+($A13-J$4)-2021))))</f>
        <v>0.0071955024894459</v>
      </c>
      <c r="K13" s="30" t="str">
        <f aca="false">IF($A13&lt;K$4,"",MIN(1,IF(AND(Assumptions!$B$42=1,OR($A13=104,$A13=105)),INDEX(K$68:K$69,MATCH($A13,$A$68:$A$69,0)),INDEX(CMI_Projection!$L$23:$CC$83,$A13-59,2026+($A13-K$4)-2021))))</f>
        <v/>
      </c>
      <c r="L13" s="30" t="str">
        <f aca="false">IF($A13&lt;L$4,"",MIN(1,IF(AND(Assumptions!$B$42=1,OR($A13=104,$A13=105)),INDEX(L$68:L$69,MATCH($A13,$A$68:$A$69,0)),INDEX(CMI_Projection!$L$23:$CC$83,$A13-59,2026+($A13-L$4)-2021))))</f>
        <v/>
      </c>
      <c r="M13" s="30" t="str">
        <f aca="false">IF($A13&lt;M$4,"",MIN(1,IF(AND(Assumptions!$B$42=1,OR($A13=104,$A13=105)),INDEX(M$68:M$69,MATCH($A13,$A$68:$A$69,0)),INDEX(CMI_Projection!$L$23:$CC$83,$A13-59,2026+($A13-M$4)-2021))))</f>
        <v/>
      </c>
      <c r="N13" s="30" t="str">
        <f aca="false">IF($A13&lt;N$4,"",MIN(1,IF(AND(Assumptions!$B$42=1,OR($A13=104,$A13=105)),INDEX(N$68:N$69,MATCH($A13,$A$68:$A$69,0)),INDEX(CMI_Projection!$L$23:$CC$83,$A13-59,2026+($A13-N$4)-2021))))</f>
        <v/>
      </c>
      <c r="O13" s="30" t="str">
        <f aca="false">IF($A13&lt;O$4,"",MIN(1,IF(AND(Assumptions!$B$42=1,OR($A13=104,$A13=105)),INDEX(O$68:O$69,MATCH($A13,$A$68:$A$69,0)),INDEX(CMI_Projection!$L$23:$CC$83,$A13-59,2026+($A13-O$4)-2021))))</f>
        <v/>
      </c>
      <c r="P13" s="30" t="str">
        <f aca="false">IF($A13&lt;P$4,"",MIN(1,IF(AND(Assumptions!$B$42=1,OR($A13=104,$A13=105)),INDEX(P$68:P$69,MATCH($A13,$A$68:$A$69,0)),INDEX(CMI_Projection!$L$23:$CC$83,$A13-59,2026+($A13-P$4)-2021))))</f>
        <v/>
      </c>
      <c r="Q13" s="30" t="str">
        <f aca="false">IF($A13&lt;Q$4,"",MIN(1,IF(AND(Assumptions!$B$42=1,OR($A13=104,$A13=105)),INDEX(Q$68:Q$69,MATCH($A13,$A$68:$A$69,0)),INDEX(CMI_Projection!$L$23:$CC$83,$A13-59,2026+($A13-Q$4)-2021))))</f>
        <v/>
      </c>
      <c r="R13" s="30" t="str">
        <f aca="false">IF($A13&lt;R$4,"",MIN(1,IF(AND(Assumptions!$B$42=1,OR($A13=104,$A13=105)),INDEX(R$68:R$69,MATCH($A13,$A$68:$A$69,0)),INDEX(CMI_Projection!$L$23:$CC$83,$A13-59,2026+($A13-R$4)-2021))))</f>
        <v/>
      </c>
      <c r="S13" s="30" t="str">
        <f aca="false">IF($A13&lt;S$4,"",MIN(1,IF(AND(Assumptions!$B$42=1,OR($A13=104,$A13=105)),INDEX(S$68:S$69,MATCH($A13,$A$68:$A$69,0)),INDEX(CMI_Projection!$L$23:$CC$83,$A13-59,2026+($A13-S$4)-2021))))</f>
        <v/>
      </c>
      <c r="T13" s="30" t="str">
        <f aca="false">IF($A13&lt;T$4,"",MIN(1,IF(AND(Assumptions!$B$42=1,OR($A13=104,$A13=105)),INDEX(T$68:T$69,MATCH($A13,$A$68:$A$69,0)),INDEX(CMI_Projection!$L$23:$CC$83,$A13-59,2026+($A13-T$4)-2021))))</f>
        <v/>
      </c>
      <c r="U13" s="30" t="str">
        <f aca="false">IF($A13&lt;U$4,"",MIN(1,IF(AND(Assumptions!$B$42=1,OR($A13=104,$A13=105)),INDEX(U$68:U$69,MATCH($A13,$A$68:$A$69,0)),INDEX(CMI_Projection!$L$23:$CC$83,$A13-59,2026+($A13-U$4)-2021))))</f>
        <v/>
      </c>
      <c r="V13" s="30" t="str">
        <f aca="false">IF($A13&lt;V$4,"",MIN(1,IF(AND(Assumptions!$B$42=1,OR($A13=104,$A13=105)),INDEX(V$68:V$69,MATCH($A13,$A$68:$A$69,0)),INDEX(CMI_Projection!$L$23:$CC$83,$A13-59,2026+($A13-V$4)-2021))))</f>
        <v/>
      </c>
      <c r="W13" s="30" t="str">
        <f aca="false">IF($A13&lt;W$4,"",MIN(1,IF(AND(Assumptions!$B$42=1,OR($A13=104,$A13=105)),INDEX(W$68:W$69,MATCH($A13,$A$68:$A$69,0)),INDEX(CMI_Projection!$L$23:$CC$83,$A13-59,2026+($A13-W$4)-2021))))</f>
        <v/>
      </c>
      <c r="X13" s="30" t="str">
        <f aca="false">IF($A13&lt;X$4,"",MIN(1,IF(AND(Assumptions!$B$42=1,OR($A13=104,$A13=105)),INDEX(X$68:X$69,MATCH($A13,$A$68:$A$69,0)),INDEX(CMI_Projection!$L$23:$CC$83,$A13-59,2026+($A13-X$4)-2021))))</f>
        <v/>
      </c>
      <c r="Y13" s="30" t="str">
        <f aca="false">IF($A13&lt;Y$4,"",MIN(1,IF(AND(Assumptions!$B$42=1,OR($A13=104,$A13=105)),INDEX(Y$68:Y$69,MATCH($A13,$A$68:$A$69,0)),INDEX(CMI_Projection!$L$23:$CC$83,$A13-59,2026+($A13-Y$4)-2021))))</f>
        <v/>
      </c>
      <c r="Z13" s="30" t="str">
        <f aca="false">IF($A13&lt;Z$4,"",MIN(1,IF(AND(Assumptions!$B$42=1,OR($A13=104,$A13=105)),INDEX(Z$68:Z$69,MATCH($A13,$A$68:$A$69,0)),INDEX(CMI_Projection!$L$23:$CC$83,$A13-59,2026+($A13-Z$4)-2021))))</f>
        <v/>
      </c>
      <c r="AA13" s="30" t="str">
        <f aca="false">IF($A13&lt;AA$4,"",MIN(1,IF(AND(Assumptions!$B$42=1,OR($A13=104,$A13=105)),INDEX(AA$68:AA$69,MATCH($A13,$A$68:$A$69,0)),INDEX(CMI_Projection!$L$23:$CC$83,$A13-59,2026+($A13-AA$4)-2021))))</f>
        <v/>
      </c>
      <c r="AC13" s="30" t="n">
        <f aca="false">IF($A13&lt;AC$4,"",IF($A13=AC$4,1,AC12*(1-B12)))</f>
        <v>0.967854307019572</v>
      </c>
      <c r="AD13" s="30" t="n">
        <f aca="false">IF($A13&lt;AD$4,"",IF($A13=AD$4,1,AD12*(1-C12)))</f>
        <v>0.970086057223224</v>
      </c>
      <c r="AE13" s="30" t="n">
        <f aca="false">IF($A13&lt;AE$4,"",IF($A13=AE$4,1,AE12*(1-D12)))</f>
        <v>0.972673649941585</v>
      </c>
      <c r="AF13" s="30" t="n">
        <f aca="false">IF($A13&lt;AF$4,"",IF($A13=AF$4,1,AF12*(1-E12)))</f>
        <v>0.975667073915872</v>
      </c>
      <c r="AG13" s="30" t="n">
        <f aca="false">IF($A13&lt;AG$4,"",IF($A13=AG$4,1,AG12*(1-F12)))</f>
        <v>0.979124324939172</v>
      </c>
      <c r="AH13" s="30" t="n">
        <f aca="false">IF($A13&lt;AH$4,"",IF($A13=AH$4,1,AH12*(1-G12)))</f>
        <v>0.983112587296147</v>
      </c>
      <c r="AI13" s="30" t="n">
        <f aca="false">IF($A13&lt;AI$4,"",IF($A13=AI$4,1,AI12*(1-H12)))</f>
        <v>0.987966858617877</v>
      </c>
      <c r="AJ13" s="30" t="n">
        <f aca="false">IF($A13&lt;AJ$4,"",IF($A13=AJ$4,1,AJ12*(1-I12)))</f>
        <v>0.993559145896192</v>
      </c>
      <c r="AK13" s="30" t="n">
        <f aca="false">IF($A13&lt;AK$4,"",IF($A13=AK$4,1,AK12*(1-J12)))</f>
        <v>1</v>
      </c>
      <c r="AL13" s="30" t="str">
        <f aca="false">IF($A13&lt;AL$4,"",IF($A13=AL$4,1,AL12*(1-K12)))</f>
        <v/>
      </c>
      <c r="AM13" s="30" t="str">
        <f aca="false">IF($A13&lt;AM$4,"",IF($A13=AM$4,1,AM12*(1-L12)))</f>
        <v/>
      </c>
      <c r="AN13" s="30" t="str">
        <f aca="false">IF($A13&lt;AN$4,"",IF($A13=AN$4,1,AN12*(1-M12)))</f>
        <v/>
      </c>
      <c r="AO13" s="30" t="str">
        <f aca="false">IF($A13&lt;AO$4,"",IF($A13=AO$4,1,AO12*(1-N12)))</f>
        <v/>
      </c>
      <c r="AP13" s="30" t="str">
        <f aca="false">IF($A13&lt;AP$4,"",IF($A13=AP$4,1,AP12*(1-O12)))</f>
        <v/>
      </c>
      <c r="AQ13" s="30" t="str">
        <f aca="false">IF($A13&lt;AQ$4,"",IF($A13=AQ$4,1,AQ12*(1-P12)))</f>
        <v/>
      </c>
      <c r="AR13" s="30" t="str">
        <f aca="false">IF($A13&lt;AR$4,"",IF($A13=AR$4,1,AR12*(1-Q12)))</f>
        <v/>
      </c>
      <c r="AS13" s="30" t="str">
        <f aca="false">IF($A13&lt;AS$4,"",IF($A13=AS$4,1,AS12*(1-R12)))</f>
        <v/>
      </c>
      <c r="AT13" s="30" t="str">
        <f aca="false">IF($A13&lt;AT$4,"",IF($A13=AT$4,1,AT12*(1-S12)))</f>
        <v/>
      </c>
      <c r="AU13" s="30" t="str">
        <f aca="false">IF($A13&lt;AU$4,"",IF($A13=AU$4,1,AU12*(1-T12)))</f>
        <v/>
      </c>
      <c r="AV13" s="30" t="str">
        <f aca="false">IF($A13&lt;AV$4,"",IF($A13=AV$4,1,AV12*(1-U12)))</f>
        <v/>
      </c>
      <c r="AW13" s="30" t="str">
        <f aca="false">IF($A13&lt;AW$4,"",IF($A13=AW$4,1,AW12*(1-V12)))</f>
        <v/>
      </c>
      <c r="AX13" s="30" t="str">
        <f aca="false">IF($A13&lt;AX$4,"",IF($A13=AX$4,1,AX12*(1-W12)))</f>
        <v/>
      </c>
      <c r="AY13" s="30" t="str">
        <f aca="false">IF($A13&lt;AY$4,"",IF($A13=AY$4,1,AY12*(1-X12)))</f>
        <v/>
      </c>
      <c r="AZ13" s="30" t="str">
        <f aca="false">IF($A13&lt;AZ$4,"",IF($A13=AZ$4,1,AZ12*(1-Y12)))</f>
        <v/>
      </c>
      <c r="BA13" s="30" t="str">
        <f aca="false">IF($A13&lt;BA$4,"",IF($A13=BA$4,1,BA12*(1-Z12)))</f>
        <v/>
      </c>
      <c r="BB13" s="30" t="str">
        <f aca="false">IF($A13&lt;BB$4,"",IF($A13=BB$4,1,BB12*(1-AA12)))</f>
        <v/>
      </c>
    </row>
    <row r="14" customFormat="false" ht="15" hidden="false" customHeight="true" outlineLevel="0" collapsed="false">
      <c r="A14" s="3" t="n">
        <v>69</v>
      </c>
      <c r="B14" s="30" t="n">
        <f aca="false">IF($A14&lt;B$4,"",MIN(1,IF(AND(Assumptions!$B$42=1,OR($A14=104,$A14=105)),INDEX(B$68:B$69,MATCH($A14,$A$68:$A$69,0)),INDEX(CMI_Projection!$L$23:$CC$83,$A14-59,2026+($A14-B$4)-2021))))</f>
        <v>0.00684915488874994</v>
      </c>
      <c r="C14" s="30" t="n">
        <f aca="false">IF($A14&lt;C$4,"",MIN(1,IF(AND(Assumptions!$B$42=1,OR($A14=104,$A14=105)),INDEX(C$68:C$69,MATCH($A14,$A$68:$A$69,0)),INDEX(CMI_Projection!$L$23:$CC$83,$A14-59,2026+($A14-C$4)-2021))))</f>
        <v>0.00695390282835871</v>
      </c>
      <c r="D14" s="30" t="n">
        <f aca="false">IF($A14&lt;D$4,"",MIN(1,IF(AND(Assumptions!$B$42=1,OR($A14=104,$A14=105)),INDEX(D$68:D$69,MATCH($A14,$A$68:$A$69,0)),INDEX(CMI_Projection!$L$23:$CC$83,$A14-59,2026+($A14-D$4)-2021))))</f>
        <v>0.00706248864545195</v>
      </c>
      <c r="E14" s="30" t="n">
        <f aca="false">IF($A14&lt;E$4,"",MIN(1,IF(AND(Assumptions!$B$42=1,OR($A14=104,$A14=105)),INDEX(E$68:E$69,MATCH($A14,$A$68:$A$69,0)),INDEX(CMI_Projection!$L$23:$CC$83,$A14-59,2026+($A14-E$4)-2021))))</f>
        <v>0.00717666249301753</v>
      </c>
      <c r="F14" s="30" t="n">
        <f aca="false">IF($A14&lt;F$4,"",MIN(1,IF(AND(Assumptions!$B$42=1,OR($A14=104,$A14=105)),INDEX(F$68:F$69,MATCH($A14,$A$68:$A$69,0)),INDEX(CMI_Projection!$L$23:$CC$83,$A14-59,2026+($A14-F$4)-2021))))</f>
        <v>0.00729797149020988</v>
      </c>
      <c r="G14" s="30" t="n">
        <f aca="false">IF($A14&lt;G$4,"",MIN(1,IF(AND(Assumptions!$B$42=1,OR($A14=104,$A14=105)),INDEX(G$68:G$69,MATCH($A14,$A$68:$A$69,0)),INDEX(CMI_Projection!$L$23:$CC$83,$A14-59,2026+($A14-G$4)-2021))))</f>
        <v>0.00742774709662436</v>
      </c>
      <c r="H14" s="30" t="n">
        <f aca="false">IF($A14&lt;H$4,"",MIN(1,IF(AND(Assumptions!$B$42=1,OR($A14=104,$A14=105)),INDEX(H$68:H$69,MATCH($A14,$A$68:$A$69,0)),INDEX(CMI_Projection!$L$23:$CC$83,$A14-59,2026+($A14-H$4)-2021))))</f>
        <v>0.00756709023449948</v>
      </c>
      <c r="I14" s="30" t="n">
        <f aca="false">IF($A14&lt;I$4,"",MIN(1,IF(AND(Assumptions!$B$42=1,OR($A14=104,$A14=105)),INDEX(I$68:I$69,MATCH($A14,$A$68:$A$69,0)),INDEX(CMI_Projection!$L$23:$CC$83,$A14-59,2026+($A14-I$4)-2021))))</f>
        <v>0.00771685250120156</v>
      </c>
      <c r="J14" s="30" t="n">
        <f aca="false">IF($A14&lt;J$4,"",MIN(1,IF(AND(Assumptions!$B$42=1,OR($A14=104,$A14=105)),INDEX(J$68:J$69,MATCH($A14,$A$68:$A$69,0)),INDEX(CMI_Projection!$L$23:$CC$83,$A14-59,2026+($A14-J$4)-2021))))</f>
        <v>0.00787761208099413</v>
      </c>
      <c r="K14" s="30" t="n">
        <f aca="false">IF($A14&lt;K$4,"",MIN(1,IF(AND(Assumptions!$B$42=1,OR($A14=104,$A14=105)),INDEX(K$68:K$69,MATCH($A14,$A$68:$A$69,0)),INDEX(CMI_Projection!$L$23:$CC$83,$A14-59,2026+($A14-K$4)-2021))))</f>
        <v>0.00804964326722808</v>
      </c>
      <c r="L14" s="30" t="str">
        <f aca="false">IF($A14&lt;L$4,"",MIN(1,IF(AND(Assumptions!$B$42=1,OR($A14=104,$A14=105)),INDEX(L$68:L$69,MATCH($A14,$A$68:$A$69,0)),INDEX(CMI_Projection!$L$23:$CC$83,$A14-59,2026+($A14-L$4)-2021))))</f>
        <v/>
      </c>
      <c r="M14" s="30" t="str">
        <f aca="false">IF($A14&lt;M$4,"",MIN(1,IF(AND(Assumptions!$B$42=1,OR($A14=104,$A14=105)),INDEX(M$68:M$69,MATCH($A14,$A$68:$A$69,0)),INDEX(CMI_Projection!$L$23:$CC$83,$A14-59,2026+($A14-M$4)-2021))))</f>
        <v/>
      </c>
      <c r="N14" s="30" t="str">
        <f aca="false">IF($A14&lt;N$4,"",MIN(1,IF(AND(Assumptions!$B$42=1,OR($A14=104,$A14=105)),INDEX(N$68:N$69,MATCH($A14,$A$68:$A$69,0)),INDEX(CMI_Projection!$L$23:$CC$83,$A14-59,2026+($A14-N$4)-2021))))</f>
        <v/>
      </c>
      <c r="O14" s="30" t="str">
        <f aca="false">IF($A14&lt;O$4,"",MIN(1,IF(AND(Assumptions!$B$42=1,OR($A14=104,$A14=105)),INDEX(O$68:O$69,MATCH($A14,$A$68:$A$69,0)),INDEX(CMI_Projection!$L$23:$CC$83,$A14-59,2026+($A14-O$4)-2021))))</f>
        <v/>
      </c>
      <c r="P14" s="30" t="str">
        <f aca="false">IF($A14&lt;P$4,"",MIN(1,IF(AND(Assumptions!$B$42=1,OR($A14=104,$A14=105)),INDEX(P$68:P$69,MATCH($A14,$A$68:$A$69,0)),INDEX(CMI_Projection!$L$23:$CC$83,$A14-59,2026+($A14-P$4)-2021))))</f>
        <v/>
      </c>
      <c r="Q14" s="30" t="str">
        <f aca="false">IF($A14&lt;Q$4,"",MIN(1,IF(AND(Assumptions!$B$42=1,OR($A14=104,$A14=105)),INDEX(Q$68:Q$69,MATCH($A14,$A$68:$A$69,0)),INDEX(CMI_Projection!$L$23:$CC$83,$A14-59,2026+($A14-Q$4)-2021))))</f>
        <v/>
      </c>
      <c r="R14" s="30" t="str">
        <f aca="false">IF($A14&lt;R$4,"",MIN(1,IF(AND(Assumptions!$B$42=1,OR($A14=104,$A14=105)),INDEX(R$68:R$69,MATCH($A14,$A$68:$A$69,0)),INDEX(CMI_Projection!$L$23:$CC$83,$A14-59,2026+($A14-R$4)-2021))))</f>
        <v/>
      </c>
      <c r="S14" s="30" t="str">
        <f aca="false">IF($A14&lt;S$4,"",MIN(1,IF(AND(Assumptions!$B$42=1,OR($A14=104,$A14=105)),INDEX(S$68:S$69,MATCH($A14,$A$68:$A$69,0)),INDEX(CMI_Projection!$L$23:$CC$83,$A14-59,2026+($A14-S$4)-2021))))</f>
        <v/>
      </c>
      <c r="T14" s="30" t="str">
        <f aca="false">IF($A14&lt;T$4,"",MIN(1,IF(AND(Assumptions!$B$42=1,OR($A14=104,$A14=105)),INDEX(T$68:T$69,MATCH($A14,$A$68:$A$69,0)),INDEX(CMI_Projection!$L$23:$CC$83,$A14-59,2026+($A14-T$4)-2021))))</f>
        <v/>
      </c>
      <c r="U14" s="30" t="str">
        <f aca="false">IF($A14&lt;U$4,"",MIN(1,IF(AND(Assumptions!$B$42=1,OR($A14=104,$A14=105)),INDEX(U$68:U$69,MATCH($A14,$A$68:$A$69,0)),INDEX(CMI_Projection!$L$23:$CC$83,$A14-59,2026+($A14-U$4)-2021))))</f>
        <v/>
      </c>
      <c r="V14" s="30" t="str">
        <f aca="false">IF($A14&lt;V$4,"",MIN(1,IF(AND(Assumptions!$B$42=1,OR($A14=104,$A14=105)),INDEX(V$68:V$69,MATCH($A14,$A$68:$A$69,0)),INDEX(CMI_Projection!$L$23:$CC$83,$A14-59,2026+($A14-V$4)-2021))))</f>
        <v/>
      </c>
      <c r="W14" s="30" t="str">
        <f aca="false">IF($A14&lt;W$4,"",MIN(1,IF(AND(Assumptions!$B$42=1,OR($A14=104,$A14=105)),INDEX(W$68:W$69,MATCH($A14,$A$68:$A$69,0)),INDEX(CMI_Projection!$L$23:$CC$83,$A14-59,2026+($A14-W$4)-2021))))</f>
        <v/>
      </c>
      <c r="X14" s="30" t="str">
        <f aca="false">IF($A14&lt;X$4,"",MIN(1,IF(AND(Assumptions!$B$42=1,OR($A14=104,$A14=105)),INDEX(X$68:X$69,MATCH($A14,$A$68:$A$69,0)),INDEX(CMI_Projection!$L$23:$CC$83,$A14-59,2026+($A14-X$4)-2021))))</f>
        <v/>
      </c>
      <c r="Y14" s="30" t="str">
        <f aca="false">IF($A14&lt;Y$4,"",MIN(1,IF(AND(Assumptions!$B$42=1,OR($A14=104,$A14=105)),INDEX(Y$68:Y$69,MATCH($A14,$A$68:$A$69,0)),INDEX(CMI_Projection!$L$23:$CC$83,$A14-59,2026+($A14-Y$4)-2021))))</f>
        <v/>
      </c>
      <c r="Z14" s="30" t="str">
        <f aca="false">IF($A14&lt;Z$4,"",MIN(1,IF(AND(Assumptions!$B$42=1,OR($A14=104,$A14=105)),INDEX(Z$68:Z$69,MATCH($A14,$A$68:$A$69,0)),INDEX(CMI_Projection!$L$23:$CC$83,$A14-59,2026+($A14-Z$4)-2021))))</f>
        <v/>
      </c>
      <c r="AA14" s="30" t="str">
        <f aca="false">IF($A14&lt;AA$4,"",MIN(1,IF(AND(Assumptions!$B$42=1,OR($A14=104,$A14=105)),INDEX(AA$68:AA$69,MATCH($A14,$A$68:$A$69,0)),INDEX(CMI_Projection!$L$23:$CC$83,$A14-59,2026+($A14-AA$4)-2021))))</f>
        <v/>
      </c>
      <c r="AC14" s="30" t="n">
        <f aca="false">IF($A14&lt;AC$4,"",IF($A14=AC$4,1,AC13*(1-B13)))</f>
        <v>0.961855942389529</v>
      </c>
      <c r="AD14" s="30" t="n">
        <f aca="false">IF($A14&lt;AD$4,"",IF($A14=AD$4,1,AD13*(1-C13)))</f>
        <v>0.963978968995754</v>
      </c>
      <c r="AE14" s="30" t="n">
        <f aca="false">IF($A14&lt;AE$4,"",IF($A14=AE$4,1,AE13*(1-D13)))</f>
        <v>0.966449775768669</v>
      </c>
      <c r="AF14" s="30" t="n">
        <f aca="false">IF($A14&lt;AF$4,"",IF($A14=AF$4,1,AF13*(1-E13)))</f>
        <v>0.969316559476947</v>
      </c>
      <c r="AG14" s="30" t="n">
        <f aca="false">IF($A14&lt;AG$4,"",IF($A14=AG$4,1,AG13*(1-F13)))</f>
        <v>0.972635602404216</v>
      </c>
      <c r="AH14" s="30" t="n">
        <f aca="false">IF($A14&lt;AH$4,"",IF($A14=AH$4,1,AH13*(1-G13)))</f>
        <v>0.976472447939711</v>
      </c>
      <c r="AI14" s="30" t="n">
        <f aca="false">IF($A14&lt;AI$4,"",IF($A14=AI$4,1,AI13*(1-H13)))</f>
        <v>0.981158747736683</v>
      </c>
      <c r="AJ14" s="30" t="n">
        <f aca="false">IF($A14&lt;AJ$4,"",IF($A14=AJ$4,1,AJ13*(1-I13)))</f>
        <v>0.986566420214214</v>
      </c>
      <c r="AK14" s="30" t="n">
        <f aca="false">IF($A14&lt;AK$4,"",IF($A14=AK$4,1,AK13*(1-J13)))</f>
        <v>0.992804497510554</v>
      </c>
      <c r="AL14" s="30" t="n">
        <f aca="false">IF($A14&lt;AL$4,"",IF($A14=AL$4,1,AL13*(1-K13)))</f>
        <v>1</v>
      </c>
      <c r="AM14" s="30" t="str">
        <f aca="false">IF($A14&lt;AM$4,"",IF($A14=AM$4,1,AM13*(1-L13)))</f>
        <v/>
      </c>
      <c r="AN14" s="30" t="str">
        <f aca="false">IF($A14&lt;AN$4,"",IF($A14=AN$4,1,AN13*(1-M13)))</f>
        <v/>
      </c>
      <c r="AO14" s="30" t="str">
        <f aca="false">IF($A14&lt;AO$4,"",IF($A14=AO$4,1,AO13*(1-N13)))</f>
        <v/>
      </c>
      <c r="AP14" s="30" t="str">
        <f aca="false">IF($A14&lt;AP$4,"",IF($A14=AP$4,1,AP13*(1-O13)))</f>
        <v/>
      </c>
      <c r="AQ14" s="30" t="str">
        <f aca="false">IF($A14&lt;AQ$4,"",IF($A14=AQ$4,1,AQ13*(1-P13)))</f>
        <v/>
      </c>
      <c r="AR14" s="30" t="str">
        <f aca="false">IF($A14&lt;AR$4,"",IF($A14=AR$4,1,AR13*(1-Q13)))</f>
        <v/>
      </c>
      <c r="AS14" s="30" t="str">
        <f aca="false">IF($A14&lt;AS$4,"",IF($A14=AS$4,1,AS13*(1-R13)))</f>
        <v/>
      </c>
      <c r="AT14" s="30" t="str">
        <f aca="false">IF($A14&lt;AT$4,"",IF($A14=AT$4,1,AT13*(1-S13)))</f>
        <v/>
      </c>
      <c r="AU14" s="30" t="str">
        <f aca="false">IF($A14&lt;AU$4,"",IF($A14=AU$4,1,AU13*(1-T13)))</f>
        <v/>
      </c>
      <c r="AV14" s="30" t="str">
        <f aca="false">IF($A14&lt;AV$4,"",IF($A14=AV$4,1,AV13*(1-U13)))</f>
        <v/>
      </c>
      <c r="AW14" s="30" t="str">
        <f aca="false">IF($A14&lt;AW$4,"",IF($A14=AW$4,1,AW13*(1-V13)))</f>
        <v/>
      </c>
      <c r="AX14" s="30" t="str">
        <f aca="false">IF($A14&lt;AX$4,"",IF($A14=AX$4,1,AX13*(1-W13)))</f>
        <v/>
      </c>
      <c r="AY14" s="30" t="str">
        <f aca="false">IF($A14&lt;AY$4,"",IF($A14=AY$4,1,AY13*(1-X13)))</f>
        <v/>
      </c>
      <c r="AZ14" s="30" t="str">
        <f aca="false">IF($A14&lt;AZ$4,"",IF($A14=AZ$4,1,AZ13*(1-Y13)))</f>
        <v/>
      </c>
      <c r="BA14" s="30" t="str">
        <f aca="false">IF($A14&lt;BA$4,"",IF($A14=BA$4,1,BA13*(1-Z13)))</f>
        <v/>
      </c>
      <c r="BB14" s="30" t="str">
        <f aca="false">IF($A14&lt;BB$4,"",IF($A14=BB$4,1,BB13*(1-AA13)))</f>
        <v/>
      </c>
    </row>
    <row r="15" customFormat="false" ht="15" hidden="false" customHeight="true" outlineLevel="0" collapsed="false">
      <c r="A15" s="3" t="n">
        <v>70</v>
      </c>
      <c r="B15" s="30" t="n">
        <f aca="false">IF($A15&lt;B$4,"",MIN(1,IF(AND(Assumptions!$B$42=1,OR($A15=104,$A15=105)),INDEX(B$68:B$69,MATCH($A15,$A$68:$A$69,0)),INDEX(CMI_Projection!$L$23:$CC$83,$A15-59,2026+($A15-B$4)-2021))))</f>
        <v>0.00785729691153808</v>
      </c>
      <c r="C15" s="30" t="n">
        <f aca="false">IF($A15&lt;C$4,"",MIN(1,IF(AND(Assumptions!$B$42=1,OR($A15=104,$A15=105)),INDEX(C$68:C$69,MATCH($A15,$A$68:$A$69,0)),INDEX(CMI_Projection!$L$23:$CC$83,$A15-59,2026+($A15-C$4)-2021))))</f>
        <v>0.00797695117922648</v>
      </c>
      <c r="D15" s="30" t="n">
        <f aca="false">IF($A15&lt;D$4,"",MIN(1,IF(AND(Assumptions!$B$42=1,OR($A15=104,$A15=105)),INDEX(D$68:D$69,MATCH($A15,$A$68:$A$69,0)),INDEX(CMI_Projection!$L$23:$CC$83,$A15-59,2026+($A15-D$4)-2021))))</f>
        <v>0.00809855769083066</v>
      </c>
      <c r="E15" s="30" t="n">
        <f aca="false">IF($A15&lt;E$4,"",MIN(1,IF(AND(Assumptions!$B$42=1,OR($A15=104,$A15=105)),INDEX(E$68:E$69,MATCH($A15,$A$68:$A$69,0)),INDEX(CMI_Projection!$L$23:$CC$83,$A15-59,2026+($A15-E$4)-2021))))</f>
        <v>0.00822389227823264</v>
      </c>
      <c r="F15" s="30" t="n">
        <f aca="false">IF($A15&lt;F$4,"",MIN(1,IF(AND(Assumptions!$B$42=1,OR($A15=104,$A15=105)),INDEX(F$68:F$69,MATCH($A15,$A$68:$A$69,0)),INDEX(CMI_Projection!$L$23:$CC$83,$A15-59,2026+($A15-F$4)-2021))))</f>
        <v>0.0083550370776668</v>
      </c>
      <c r="G15" s="30" t="n">
        <f aca="false">IF($A15&lt;G$4,"",MIN(1,IF(AND(Assumptions!$B$42=1,OR($A15=104,$A15=105)),INDEX(G$68:G$69,MATCH($A15,$A$68:$A$69,0)),INDEX(CMI_Projection!$L$23:$CC$83,$A15-59,2026+($A15-G$4)-2021))))</f>
        <v>0.0084938344969428</v>
      </c>
      <c r="H15" s="30" t="n">
        <f aca="false">IF($A15&lt;H$4,"",MIN(1,IF(AND(Assumptions!$B$42=1,OR($A15=104,$A15=105)),INDEX(H$68:H$69,MATCH($A15,$A$68:$A$69,0)),INDEX(CMI_Projection!$L$23:$CC$83,$A15-59,2026+($A15-H$4)-2021))))</f>
        <v>0.00864187193080626</v>
      </c>
      <c r="I15" s="30" t="n">
        <f aca="false">IF($A15&lt;I$4,"",MIN(1,IF(AND(Assumptions!$B$42=1,OR($A15=104,$A15=105)),INDEX(I$68:I$69,MATCH($A15,$A$68:$A$69,0)),INDEX(CMI_Projection!$L$23:$CC$83,$A15-59,2026+($A15-I$4)-2021))))</f>
        <v>0.00880046437065341</v>
      </c>
      <c r="J15" s="30" t="n">
        <f aca="false">IF($A15&lt;J$4,"",MIN(1,IF(AND(Assumptions!$B$42=1,OR($A15=104,$A15=105)),INDEX(J$68:J$69,MATCH($A15,$A$68:$A$69,0)),INDEX(CMI_Projection!$L$23:$CC$83,$A15-59,2026+($A15-J$4)-2021))))</f>
        <v>0.00897063290921202</v>
      </c>
      <c r="K15" s="30" t="n">
        <f aca="false">IF($A15&lt;K$4,"",MIN(1,IF(AND(Assumptions!$B$42=1,OR($A15=104,$A15=105)),INDEX(K$68:K$69,MATCH($A15,$A$68:$A$69,0)),INDEX(CMI_Projection!$L$23:$CC$83,$A15-59,2026+($A15-K$4)-2021))))</f>
        <v>0.00915307746217681</v>
      </c>
      <c r="L15" s="30" t="n">
        <f aca="false">IF($A15&lt;L$4,"",MIN(1,IF(AND(Assumptions!$B$42=1,OR($A15=104,$A15=105)),INDEX(L$68:L$69,MATCH($A15,$A$68:$A$69,0)),INDEX(CMI_Projection!$L$23:$CC$83,$A15-59,2026+($A15-L$4)-2021))))</f>
        <v>0.00934814239081754</v>
      </c>
      <c r="M15" s="30" t="str">
        <f aca="false">IF($A15&lt;M$4,"",MIN(1,IF(AND(Assumptions!$B$42=1,OR($A15=104,$A15=105)),INDEX(M$68:M$69,MATCH($A15,$A$68:$A$69,0)),INDEX(CMI_Projection!$L$23:$CC$83,$A15-59,2026+($A15-M$4)-2021))))</f>
        <v/>
      </c>
      <c r="N15" s="30" t="str">
        <f aca="false">IF($A15&lt;N$4,"",MIN(1,IF(AND(Assumptions!$B$42=1,OR($A15=104,$A15=105)),INDEX(N$68:N$69,MATCH($A15,$A$68:$A$69,0)),INDEX(CMI_Projection!$L$23:$CC$83,$A15-59,2026+($A15-N$4)-2021))))</f>
        <v/>
      </c>
      <c r="O15" s="30" t="str">
        <f aca="false">IF($A15&lt;O$4,"",MIN(1,IF(AND(Assumptions!$B$42=1,OR($A15=104,$A15=105)),INDEX(O$68:O$69,MATCH($A15,$A$68:$A$69,0)),INDEX(CMI_Projection!$L$23:$CC$83,$A15-59,2026+($A15-O$4)-2021))))</f>
        <v/>
      </c>
      <c r="P15" s="30" t="str">
        <f aca="false">IF($A15&lt;P$4,"",MIN(1,IF(AND(Assumptions!$B$42=1,OR($A15=104,$A15=105)),INDEX(P$68:P$69,MATCH($A15,$A$68:$A$69,0)),INDEX(CMI_Projection!$L$23:$CC$83,$A15-59,2026+($A15-P$4)-2021))))</f>
        <v/>
      </c>
      <c r="Q15" s="30" t="str">
        <f aca="false">IF($A15&lt;Q$4,"",MIN(1,IF(AND(Assumptions!$B$42=1,OR($A15=104,$A15=105)),INDEX(Q$68:Q$69,MATCH($A15,$A$68:$A$69,0)),INDEX(CMI_Projection!$L$23:$CC$83,$A15-59,2026+($A15-Q$4)-2021))))</f>
        <v/>
      </c>
      <c r="R15" s="30" t="str">
        <f aca="false">IF($A15&lt;R$4,"",MIN(1,IF(AND(Assumptions!$B$42=1,OR($A15=104,$A15=105)),INDEX(R$68:R$69,MATCH($A15,$A$68:$A$69,0)),INDEX(CMI_Projection!$L$23:$CC$83,$A15-59,2026+($A15-R$4)-2021))))</f>
        <v/>
      </c>
      <c r="S15" s="30" t="str">
        <f aca="false">IF($A15&lt;S$4,"",MIN(1,IF(AND(Assumptions!$B$42=1,OR($A15=104,$A15=105)),INDEX(S$68:S$69,MATCH($A15,$A$68:$A$69,0)),INDEX(CMI_Projection!$L$23:$CC$83,$A15-59,2026+($A15-S$4)-2021))))</f>
        <v/>
      </c>
      <c r="T15" s="30" t="str">
        <f aca="false">IF($A15&lt;T$4,"",MIN(1,IF(AND(Assumptions!$B$42=1,OR($A15=104,$A15=105)),INDEX(T$68:T$69,MATCH($A15,$A$68:$A$69,0)),INDEX(CMI_Projection!$L$23:$CC$83,$A15-59,2026+($A15-T$4)-2021))))</f>
        <v/>
      </c>
      <c r="U15" s="30" t="str">
        <f aca="false">IF($A15&lt;U$4,"",MIN(1,IF(AND(Assumptions!$B$42=1,OR($A15=104,$A15=105)),INDEX(U$68:U$69,MATCH($A15,$A$68:$A$69,0)),INDEX(CMI_Projection!$L$23:$CC$83,$A15-59,2026+($A15-U$4)-2021))))</f>
        <v/>
      </c>
      <c r="V15" s="30" t="str">
        <f aca="false">IF($A15&lt;V$4,"",MIN(1,IF(AND(Assumptions!$B$42=1,OR($A15=104,$A15=105)),INDEX(V$68:V$69,MATCH($A15,$A$68:$A$69,0)),INDEX(CMI_Projection!$L$23:$CC$83,$A15-59,2026+($A15-V$4)-2021))))</f>
        <v/>
      </c>
      <c r="W15" s="30" t="str">
        <f aca="false">IF($A15&lt;W$4,"",MIN(1,IF(AND(Assumptions!$B$42=1,OR($A15=104,$A15=105)),INDEX(W$68:W$69,MATCH($A15,$A$68:$A$69,0)),INDEX(CMI_Projection!$L$23:$CC$83,$A15-59,2026+($A15-W$4)-2021))))</f>
        <v/>
      </c>
      <c r="X15" s="30" t="str">
        <f aca="false">IF($A15&lt;X$4,"",MIN(1,IF(AND(Assumptions!$B$42=1,OR($A15=104,$A15=105)),INDEX(X$68:X$69,MATCH($A15,$A$68:$A$69,0)),INDEX(CMI_Projection!$L$23:$CC$83,$A15-59,2026+($A15-X$4)-2021))))</f>
        <v/>
      </c>
      <c r="Y15" s="30" t="str">
        <f aca="false">IF($A15&lt;Y$4,"",MIN(1,IF(AND(Assumptions!$B$42=1,OR($A15=104,$A15=105)),INDEX(Y$68:Y$69,MATCH($A15,$A$68:$A$69,0)),INDEX(CMI_Projection!$L$23:$CC$83,$A15-59,2026+($A15-Y$4)-2021))))</f>
        <v/>
      </c>
      <c r="Z15" s="30" t="str">
        <f aca="false">IF($A15&lt;Z$4,"",MIN(1,IF(AND(Assumptions!$B$42=1,OR($A15=104,$A15=105)),INDEX(Z$68:Z$69,MATCH($A15,$A$68:$A$69,0)),INDEX(CMI_Projection!$L$23:$CC$83,$A15-59,2026+($A15-Z$4)-2021))))</f>
        <v/>
      </c>
      <c r="AA15" s="30" t="str">
        <f aca="false">IF($A15&lt;AA$4,"",MIN(1,IF(AND(Assumptions!$B$42=1,OR($A15=104,$A15=105)),INDEX(AA$68:AA$69,MATCH($A15,$A$68:$A$69,0)),INDEX(CMI_Projection!$L$23:$CC$83,$A15-59,2026+($A15-AA$4)-2021))))</f>
        <v/>
      </c>
      <c r="AC15" s="30" t="n">
        <f aca="false">IF($A15&lt;AC$4,"",IF($A15=AC$4,1,AC14*(1-B14)))</f>
        <v>0.955268042059439</v>
      </c>
      <c r="AD15" s="30" t="n">
        <f aca="false">IF($A15&lt;AD$4,"",IF($A15=AD$4,1,AD14*(1-C14)))</f>
        <v>0.957275552916776</v>
      </c>
      <c r="AE15" s="30" t="n">
        <f aca="false">IF($A15&lt;AE$4,"",IF($A15=AE$4,1,AE14*(1-D14)))</f>
        <v>0.959624235200903</v>
      </c>
      <c r="AF15" s="30" t="n">
        <f aca="false">IF($A15&lt;AF$4,"",IF($A15=AF$4,1,AF14*(1-E14)))</f>
        <v>0.962360101680688</v>
      </c>
      <c r="AG15" s="30" t="n">
        <f aca="false">IF($A15&lt;AG$4,"",IF($A15=AG$4,1,AG14*(1-F14)))</f>
        <v>0.965537335507507</v>
      </c>
      <c r="AH15" s="30" t="n">
        <f aca="false">IF($A15&lt;AH$4,"",IF($A15=AH$4,1,AH14*(1-G14)))</f>
        <v>0.969219457549594</v>
      </c>
      <c r="AI15" s="30" t="n">
        <f aca="false">IF($A15&lt;AI$4,"",IF($A15=AI$4,1,AI14*(1-H14)))</f>
        <v>0.973734230958191</v>
      </c>
      <c r="AJ15" s="30" t="n">
        <f aca="false">IF($A15&lt;AJ$4,"",IF($A15=AJ$4,1,AJ14*(1-I14)))</f>
        <v>0.978953232666783</v>
      </c>
      <c r="AK15" s="30" t="n">
        <f aca="false">IF($A15&lt;AK$4,"",IF($A15=AK$4,1,AK14*(1-J14)))</f>
        <v>0.9849835688069</v>
      </c>
      <c r="AL15" s="30" t="n">
        <f aca="false">IF($A15&lt;AL$4,"",IF($A15=AL$4,1,AL14*(1-K14)))</f>
        <v>0.991950356732772</v>
      </c>
      <c r="AM15" s="30" t="n">
        <f aca="false">IF($A15&lt;AM$4,"",IF($A15=AM$4,1,AM14*(1-L14)))</f>
        <v>1</v>
      </c>
      <c r="AN15" s="30" t="str">
        <f aca="false">IF($A15&lt;AN$4,"",IF($A15=AN$4,1,AN14*(1-M14)))</f>
        <v/>
      </c>
      <c r="AO15" s="30" t="str">
        <f aca="false">IF($A15&lt;AO$4,"",IF($A15=AO$4,1,AO14*(1-N14)))</f>
        <v/>
      </c>
      <c r="AP15" s="30" t="str">
        <f aca="false">IF($A15&lt;AP$4,"",IF($A15=AP$4,1,AP14*(1-O14)))</f>
        <v/>
      </c>
      <c r="AQ15" s="30" t="str">
        <f aca="false">IF($A15&lt;AQ$4,"",IF($A15=AQ$4,1,AQ14*(1-P14)))</f>
        <v/>
      </c>
      <c r="AR15" s="30" t="str">
        <f aca="false">IF($A15&lt;AR$4,"",IF($A15=AR$4,1,AR14*(1-Q14)))</f>
        <v/>
      </c>
      <c r="AS15" s="30" t="str">
        <f aca="false">IF($A15&lt;AS$4,"",IF($A15=AS$4,1,AS14*(1-R14)))</f>
        <v/>
      </c>
      <c r="AT15" s="30" t="str">
        <f aca="false">IF($A15&lt;AT$4,"",IF($A15=AT$4,1,AT14*(1-S14)))</f>
        <v/>
      </c>
      <c r="AU15" s="30" t="str">
        <f aca="false">IF($A15&lt;AU$4,"",IF($A15=AU$4,1,AU14*(1-T14)))</f>
        <v/>
      </c>
      <c r="AV15" s="30" t="str">
        <f aca="false">IF($A15&lt;AV$4,"",IF($A15=AV$4,1,AV14*(1-U14)))</f>
        <v/>
      </c>
      <c r="AW15" s="30" t="str">
        <f aca="false">IF($A15&lt;AW$4,"",IF($A15=AW$4,1,AW14*(1-V14)))</f>
        <v/>
      </c>
      <c r="AX15" s="30" t="str">
        <f aca="false">IF($A15&lt;AX$4,"",IF($A15=AX$4,1,AX14*(1-W14)))</f>
        <v/>
      </c>
      <c r="AY15" s="30" t="str">
        <f aca="false">IF($A15&lt;AY$4,"",IF($A15=AY$4,1,AY14*(1-X14)))</f>
        <v/>
      </c>
      <c r="AZ15" s="30" t="str">
        <f aca="false">IF($A15&lt;AZ$4,"",IF($A15=AZ$4,1,AZ14*(1-Y14)))</f>
        <v/>
      </c>
      <c r="BA15" s="30" t="str">
        <f aca="false">IF($A15&lt;BA$4,"",IF($A15=BA$4,1,BA14*(1-Z14)))</f>
        <v/>
      </c>
      <c r="BB15" s="30" t="str">
        <f aca="false">IF($A15&lt;BB$4,"",IF($A15=BB$4,1,BB14*(1-AA14)))</f>
        <v/>
      </c>
    </row>
    <row r="16" customFormat="false" ht="15" hidden="false" customHeight="true" outlineLevel="0" collapsed="false">
      <c r="A16" s="3" t="n">
        <v>71</v>
      </c>
      <c r="B16" s="30" t="n">
        <f aca="false">IF($A16&lt;B$4,"",MIN(1,IF(AND(Assumptions!$B$42=1,OR($A16=104,$A16=105)),INDEX(B$68:B$69,MATCH($A16,$A$68:$A$69,0)),INDEX(CMI_Projection!$L$23:$CC$83,$A16-59,2026+($A16-B$4)-2021))))</f>
        <v>0.0087072711370432</v>
      </c>
      <c r="C16" s="30" t="n">
        <f aca="false">IF($A16&lt;C$4,"",MIN(1,IF(AND(Assumptions!$B$42=1,OR($A16=104,$A16=105)),INDEX(C$68:C$69,MATCH($A16,$A$68:$A$69,0)),INDEX(CMI_Projection!$L$23:$CC$83,$A16-59,2026+($A16-C$4)-2021))))</f>
        <v>0.00883986917466315</v>
      </c>
      <c r="D16" s="30" t="n">
        <f aca="false">IF($A16&lt;D$4,"",MIN(1,IF(AND(Assumptions!$B$42=1,OR($A16=104,$A16=105)),INDEX(D$68:D$69,MATCH($A16,$A$68:$A$69,0)),INDEX(CMI_Projection!$L$23:$CC$83,$A16-59,2026+($A16-D$4)-2021))))</f>
        <v>0.00897448647173923</v>
      </c>
      <c r="E16" s="30" t="n">
        <f aca="false">IF($A16&lt;E$4,"",MIN(1,IF(AND(Assumptions!$B$42=1,OR($A16=104,$A16=105)),INDEX(E$68:E$69,MATCH($A16,$A$68:$A$69,0)),INDEX(CMI_Projection!$L$23:$CC$83,$A16-59,2026+($A16-E$4)-2021))))</f>
        <v>0.00911115377841546</v>
      </c>
      <c r="F16" s="30" t="n">
        <f aca="false">IF($A16&lt;F$4,"",MIN(1,IF(AND(Assumptions!$B$42=1,OR($A16=104,$A16=105)),INDEX(F$68:F$69,MATCH($A16,$A$68:$A$69,0)),INDEX(CMI_Projection!$L$23:$CC$83,$A16-59,2026+($A16-F$4)-2021))))</f>
        <v>0.00925116961924714</v>
      </c>
      <c r="G16" s="30" t="n">
        <f aca="false">IF($A16&lt;G$4,"",MIN(1,IF(AND(Assumptions!$B$42=1,OR($A16=104,$A16=105)),INDEX(G$68:G$69,MATCH($A16,$A$68:$A$69,0)),INDEX(CMI_Projection!$L$23:$CC$83,$A16-59,2026+($A16-G$4)-2021))))</f>
        <v>0.0093969211355016</v>
      </c>
      <c r="H16" s="30" t="n">
        <f aca="false">IF($A16&lt;H$4,"",MIN(1,IF(AND(Assumptions!$B$42=1,OR($A16=104,$A16=105)),INDEX(H$68:H$69,MATCH($A16,$A$68:$A$69,0)),INDEX(CMI_Projection!$L$23:$CC$83,$A16-59,2026+($A16-H$4)-2021))))</f>
        <v>0.0095505233310051</v>
      </c>
      <c r="I16" s="30" t="n">
        <f aca="false">IF($A16&lt;I$4,"",MIN(1,IF(AND(Assumptions!$B$42=1,OR($A16=104,$A16=105)),INDEX(I$68:I$69,MATCH($A16,$A$68:$A$69,0)),INDEX(CMI_Projection!$L$23:$CC$83,$A16-59,2026+($A16-I$4)-2021))))</f>
        <v>0.00971380109678211</v>
      </c>
      <c r="J16" s="30" t="n">
        <f aca="false">IF($A16&lt;J$4,"",MIN(1,IF(AND(Assumptions!$B$42=1,OR($A16=104,$A16=105)),INDEX(J$68:J$69,MATCH($A16,$A$68:$A$69,0)),INDEX(CMI_Projection!$L$23:$CC$83,$A16-59,2026+($A16-J$4)-2021))))</f>
        <v>0.00988826948002108</v>
      </c>
      <c r="K16" s="30" t="n">
        <f aca="false">IF($A16&lt;K$4,"",MIN(1,IF(AND(Assumptions!$B$42=1,OR($A16=104,$A16=105)),INDEX(K$68:K$69,MATCH($A16,$A$68:$A$69,0)),INDEX(CMI_Projection!$L$23:$CC$83,$A16-59,2026+($A16-K$4)-2021))))</f>
        <v>0.010075109878352</v>
      </c>
      <c r="L16" s="30" t="n">
        <f aca="false">IF($A16&lt;L$4,"",MIN(1,IF(AND(Assumptions!$B$42=1,OR($A16=104,$A16=105)),INDEX(L$68:L$69,MATCH($A16,$A$68:$A$69,0)),INDEX(CMI_Projection!$L$23:$CC$83,$A16-59,2026+($A16-L$4)-2021))))</f>
        <v>0.010275140211477</v>
      </c>
      <c r="M16" s="30" t="n">
        <f aca="false">IF($A16&lt;M$4,"",MIN(1,IF(AND(Assumptions!$B$42=1,OR($A16=104,$A16=105)),INDEX(M$68:M$69,MATCH($A16,$A$68:$A$69,0)),INDEX(CMI_Projection!$L$23:$CC$83,$A16-59,2026+($A16-M$4)-2021))))</f>
        <v>0.0104887775385442</v>
      </c>
      <c r="N16" s="30" t="str">
        <f aca="false">IF($A16&lt;N$4,"",MIN(1,IF(AND(Assumptions!$B$42=1,OR($A16=104,$A16=105)),INDEX(N$68:N$69,MATCH($A16,$A$68:$A$69,0)),INDEX(CMI_Projection!$L$23:$CC$83,$A16-59,2026+($A16-N$4)-2021))))</f>
        <v/>
      </c>
      <c r="O16" s="30" t="str">
        <f aca="false">IF($A16&lt;O$4,"",MIN(1,IF(AND(Assumptions!$B$42=1,OR($A16=104,$A16=105)),INDEX(O$68:O$69,MATCH($A16,$A$68:$A$69,0)),INDEX(CMI_Projection!$L$23:$CC$83,$A16-59,2026+($A16-O$4)-2021))))</f>
        <v/>
      </c>
      <c r="P16" s="30" t="str">
        <f aca="false">IF($A16&lt;P$4,"",MIN(1,IF(AND(Assumptions!$B$42=1,OR($A16=104,$A16=105)),INDEX(P$68:P$69,MATCH($A16,$A$68:$A$69,0)),INDEX(CMI_Projection!$L$23:$CC$83,$A16-59,2026+($A16-P$4)-2021))))</f>
        <v/>
      </c>
      <c r="Q16" s="30" t="str">
        <f aca="false">IF($A16&lt;Q$4,"",MIN(1,IF(AND(Assumptions!$B$42=1,OR($A16=104,$A16=105)),INDEX(Q$68:Q$69,MATCH($A16,$A$68:$A$69,0)),INDEX(CMI_Projection!$L$23:$CC$83,$A16-59,2026+($A16-Q$4)-2021))))</f>
        <v/>
      </c>
      <c r="R16" s="30" t="str">
        <f aca="false">IF($A16&lt;R$4,"",MIN(1,IF(AND(Assumptions!$B$42=1,OR($A16=104,$A16=105)),INDEX(R$68:R$69,MATCH($A16,$A$68:$A$69,0)),INDEX(CMI_Projection!$L$23:$CC$83,$A16-59,2026+($A16-R$4)-2021))))</f>
        <v/>
      </c>
      <c r="S16" s="30" t="str">
        <f aca="false">IF($A16&lt;S$4,"",MIN(1,IF(AND(Assumptions!$B$42=1,OR($A16=104,$A16=105)),INDEX(S$68:S$69,MATCH($A16,$A$68:$A$69,0)),INDEX(CMI_Projection!$L$23:$CC$83,$A16-59,2026+($A16-S$4)-2021))))</f>
        <v/>
      </c>
      <c r="T16" s="30" t="str">
        <f aca="false">IF($A16&lt;T$4,"",MIN(1,IF(AND(Assumptions!$B$42=1,OR($A16=104,$A16=105)),INDEX(T$68:T$69,MATCH($A16,$A$68:$A$69,0)),INDEX(CMI_Projection!$L$23:$CC$83,$A16-59,2026+($A16-T$4)-2021))))</f>
        <v/>
      </c>
      <c r="U16" s="30" t="str">
        <f aca="false">IF($A16&lt;U$4,"",MIN(1,IF(AND(Assumptions!$B$42=1,OR($A16=104,$A16=105)),INDEX(U$68:U$69,MATCH($A16,$A$68:$A$69,0)),INDEX(CMI_Projection!$L$23:$CC$83,$A16-59,2026+($A16-U$4)-2021))))</f>
        <v/>
      </c>
      <c r="V16" s="30" t="str">
        <f aca="false">IF($A16&lt;V$4,"",MIN(1,IF(AND(Assumptions!$B$42=1,OR($A16=104,$A16=105)),INDEX(V$68:V$69,MATCH($A16,$A$68:$A$69,0)),INDEX(CMI_Projection!$L$23:$CC$83,$A16-59,2026+($A16-V$4)-2021))))</f>
        <v/>
      </c>
      <c r="W16" s="30" t="str">
        <f aca="false">IF($A16&lt;W$4,"",MIN(1,IF(AND(Assumptions!$B$42=1,OR($A16=104,$A16=105)),INDEX(W$68:W$69,MATCH($A16,$A$68:$A$69,0)),INDEX(CMI_Projection!$L$23:$CC$83,$A16-59,2026+($A16-W$4)-2021))))</f>
        <v/>
      </c>
      <c r="X16" s="30" t="str">
        <f aca="false">IF($A16&lt;X$4,"",MIN(1,IF(AND(Assumptions!$B$42=1,OR($A16=104,$A16=105)),INDEX(X$68:X$69,MATCH($A16,$A$68:$A$69,0)),INDEX(CMI_Projection!$L$23:$CC$83,$A16-59,2026+($A16-X$4)-2021))))</f>
        <v/>
      </c>
      <c r="Y16" s="30" t="str">
        <f aca="false">IF($A16&lt;Y$4,"",MIN(1,IF(AND(Assumptions!$B$42=1,OR($A16=104,$A16=105)),INDEX(Y$68:Y$69,MATCH($A16,$A$68:$A$69,0)),INDEX(CMI_Projection!$L$23:$CC$83,$A16-59,2026+($A16-Y$4)-2021))))</f>
        <v/>
      </c>
      <c r="Z16" s="30" t="str">
        <f aca="false">IF($A16&lt;Z$4,"",MIN(1,IF(AND(Assumptions!$B$42=1,OR($A16=104,$A16=105)),INDEX(Z$68:Z$69,MATCH($A16,$A$68:$A$69,0)),INDEX(CMI_Projection!$L$23:$CC$83,$A16-59,2026+($A16-Z$4)-2021))))</f>
        <v/>
      </c>
      <c r="AA16" s="30" t="str">
        <f aca="false">IF($A16&lt;AA$4,"",MIN(1,IF(AND(Assumptions!$B$42=1,OR($A16=104,$A16=105)),INDEX(AA$68:AA$69,MATCH($A16,$A$68:$A$69,0)),INDEX(CMI_Projection!$L$23:$CC$83,$A16-59,2026+($A16-AA$4)-2021))))</f>
        <v/>
      </c>
      <c r="AC16" s="30" t="n">
        <f aca="false">IF($A16&lt;AC$4,"",IF($A16=AC$4,1,AC15*(1-B15)))</f>
        <v>0.947762217422874</v>
      </c>
      <c r="AD16" s="30" t="n">
        <f aca="false">IF($A16&lt;AD$4,"",IF($A16=AD$4,1,AD15*(1-C15)))</f>
        <v>0.949639412566092</v>
      </c>
      <c r="AE16" s="30" t="n">
        <f aca="false">IF($A16&lt;AE$4,"",IF($A16=AE$4,1,AE15*(1-D15)))</f>
        <v>0.951852662970609</v>
      </c>
      <c r="AF16" s="30" t="n">
        <f aca="false">IF($A16&lt;AF$4,"",IF($A16=AF$4,1,AF15*(1-E15)))</f>
        <v>0.954445755871597</v>
      </c>
      <c r="AG16" s="30" t="n">
        <f aca="false">IF($A16&lt;AG$4,"",IF($A16=AG$4,1,AG15*(1-F15)))</f>
        <v>0.957470235269471</v>
      </c>
      <c r="AH16" s="30" t="n">
        <f aca="false">IF($A16&lt;AH$4,"",IF($A16=AH$4,1,AH15*(1-G15)))</f>
        <v>0.960987067885951</v>
      </c>
      <c r="AI16" s="30" t="n">
        <f aca="false">IF($A16&lt;AI$4,"",IF($A16=AI$4,1,AI15*(1-H15)))</f>
        <v>0.965319344439609</v>
      </c>
      <c r="AJ16" s="30" t="n">
        <f aca="false">IF($A16&lt;AJ$4,"",IF($A16=AJ$4,1,AJ15*(1-I15)))</f>
        <v>0.970337989622162</v>
      </c>
      <c r="AK16" s="30" t="n">
        <f aca="false">IF($A16&lt;AK$4,"",IF($A16=AK$4,1,AK15*(1-J15)))</f>
        <v>0.976147642789527</v>
      </c>
      <c r="AL16" s="30" t="n">
        <f aca="false">IF($A16&lt;AL$4,"",IF($A16=AL$4,1,AL15*(1-K15)))</f>
        <v>0.982870958278963</v>
      </c>
      <c r="AM16" s="30" t="n">
        <f aca="false">IF($A16&lt;AM$4,"",IF($A16=AM$4,1,AM15*(1-L15)))</f>
        <v>0.990651857609183</v>
      </c>
      <c r="AN16" s="30" t="n">
        <f aca="false">IF($A16&lt;AN$4,"",IF($A16=AN$4,1,AN15*(1-M15)))</f>
        <v>1</v>
      </c>
      <c r="AO16" s="30" t="str">
        <f aca="false">IF($A16&lt;AO$4,"",IF($A16=AO$4,1,AO15*(1-N15)))</f>
        <v/>
      </c>
      <c r="AP16" s="30" t="str">
        <f aca="false">IF($A16&lt;AP$4,"",IF($A16=AP$4,1,AP15*(1-O15)))</f>
        <v/>
      </c>
      <c r="AQ16" s="30" t="str">
        <f aca="false">IF($A16&lt;AQ$4,"",IF($A16=AQ$4,1,AQ15*(1-P15)))</f>
        <v/>
      </c>
      <c r="AR16" s="30" t="str">
        <f aca="false">IF($A16&lt;AR$4,"",IF($A16=AR$4,1,AR15*(1-Q15)))</f>
        <v/>
      </c>
      <c r="AS16" s="30" t="str">
        <f aca="false">IF($A16&lt;AS$4,"",IF($A16=AS$4,1,AS15*(1-R15)))</f>
        <v/>
      </c>
      <c r="AT16" s="30" t="str">
        <f aca="false">IF($A16&lt;AT$4,"",IF($A16=AT$4,1,AT15*(1-S15)))</f>
        <v/>
      </c>
      <c r="AU16" s="30" t="str">
        <f aca="false">IF($A16&lt;AU$4,"",IF($A16=AU$4,1,AU15*(1-T15)))</f>
        <v/>
      </c>
      <c r="AV16" s="30" t="str">
        <f aca="false">IF($A16&lt;AV$4,"",IF($A16=AV$4,1,AV15*(1-U15)))</f>
        <v/>
      </c>
      <c r="AW16" s="30" t="str">
        <f aca="false">IF($A16&lt;AW$4,"",IF($A16=AW$4,1,AW15*(1-V15)))</f>
        <v/>
      </c>
      <c r="AX16" s="30" t="str">
        <f aca="false">IF($A16&lt;AX$4,"",IF($A16=AX$4,1,AX15*(1-W15)))</f>
        <v/>
      </c>
      <c r="AY16" s="30" t="str">
        <f aca="false">IF($A16&lt;AY$4,"",IF($A16=AY$4,1,AY15*(1-X15)))</f>
        <v/>
      </c>
      <c r="AZ16" s="30" t="str">
        <f aca="false">IF($A16&lt;AZ$4,"",IF($A16=AZ$4,1,AZ15*(1-Y15)))</f>
        <v/>
      </c>
      <c r="BA16" s="30" t="str">
        <f aca="false">IF($A16&lt;BA$4,"",IF($A16=BA$4,1,BA15*(1-Z15)))</f>
        <v/>
      </c>
      <c r="BB16" s="30" t="str">
        <f aca="false">IF($A16&lt;BB$4,"",IF($A16=BB$4,1,BB15*(1-AA15)))</f>
        <v/>
      </c>
    </row>
    <row r="17" customFormat="false" ht="15" hidden="false" customHeight="true" outlineLevel="0" collapsed="false">
      <c r="A17" s="3" t="n">
        <v>72</v>
      </c>
      <c r="B17" s="30" t="n">
        <f aca="false">IF($A17&lt;B$4,"",MIN(1,IF(AND(Assumptions!$B$42=1,OR($A17=104,$A17=105)),INDEX(B$68:B$69,MATCH($A17,$A$68:$A$69,0)),INDEX(CMI_Projection!$L$23:$CC$83,$A17-59,2026+($A17-B$4)-2021))))</f>
        <v>0.00966270879593541</v>
      </c>
      <c r="C17" s="30" t="n">
        <f aca="false">IF($A17&lt;C$4,"",MIN(1,IF(AND(Assumptions!$B$42=1,OR($A17=104,$A17=105)),INDEX(C$68:C$69,MATCH($A17,$A$68:$A$69,0)),INDEX(CMI_Projection!$L$23:$CC$83,$A17-59,2026+($A17-C$4)-2021))))</f>
        <v>0.00980985664561971</v>
      </c>
      <c r="D17" s="30" t="n">
        <f aca="false">IF($A17&lt;D$4,"",MIN(1,IF(AND(Assumptions!$B$42=1,OR($A17=104,$A17=105)),INDEX(D$68:D$69,MATCH($A17,$A$68:$A$69,0)),INDEX(CMI_Projection!$L$23:$CC$83,$A17-59,2026+($A17-D$4)-2021))))</f>
        <v>0.00995924532550224</v>
      </c>
      <c r="E17" s="30" t="n">
        <f aca="false">IF($A17&lt;E$4,"",MIN(1,IF(AND(Assumptions!$B$42=1,OR($A17=104,$A17=105)),INDEX(E$68:E$69,MATCH($A17,$A$68:$A$69,0)),INDEX(CMI_Projection!$L$23:$CC$83,$A17-59,2026+($A17-E$4)-2021))))</f>
        <v>0.0101109089599008</v>
      </c>
      <c r="F17" s="30" t="n">
        <f aca="false">IF($A17&lt;F$4,"",MIN(1,IF(AND(Assumptions!$B$42=1,OR($A17=104,$A17=105)),INDEX(F$68:F$69,MATCH($A17,$A$68:$A$69,0)),INDEX(CMI_Projection!$L$23:$CC$83,$A17-59,2026+($A17-F$4)-2021))))</f>
        <v>0.0102648821927926</v>
      </c>
      <c r="G17" s="30" t="n">
        <f aca="false">IF($A17&lt;G$4,"",MIN(1,IF(AND(Assumptions!$B$42=1,OR($A17=104,$A17=105)),INDEX(G$68:G$69,MATCH($A17,$A$68:$A$69,0)),INDEX(CMI_Projection!$L$23:$CC$83,$A17-59,2026+($A17-G$4)-2021))))</f>
        <v>0.0104218313182508</v>
      </c>
      <c r="H17" s="30" t="n">
        <f aca="false">IF($A17&lt;H$4,"",MIN(1,IF(AND(Assumptions!$B$42=1,OR($A17=104,$A17=105)),INDEX(H$68:H$69,MATCH($A17,$A$68:$A$69,0)),INDEX(CMI_Projection!$L$23:$CC$83,$A17-59,2026+($A17-H$4)-2021))))</f>
        <v>0.010584326917366</v>
      </c>
      <c r="I17" s="30" t="n">
        <f aca="false">IF($A17&lt;I$4,"",MIN(1,IF(AND(Assumptions!$B$42=1,OR($A17=104,$A17=105)),INDEX(I$68:I$69,MATCH($A17,$A$68:$A$69,0)),INDEX(CMI_Projection!$L$23:$CC$83,$A17-59,2026+($A17-I$4)-2021))))</f>
        <v>0.0107547933459437</v>
      </c>
      <c r="J17" s="30" t="n">
        <f aca="false">IF($A17&lt;J$4,"",MIN(1,IF(AND(Assumptions!$B$42=1,OR($A17=104,$A17=105)),INDEX(J$68:J$69,MATCH($A17,$A$68:$A$69,0)),INDEX(CMI_Projection!$L$23:$CC$83,$A17-59,2026+($A17-J$4)-2021))))</f>
        <v>0.0109353260554346</v>
      </c>
      <c r="K17" s="30" t="n">
        <f aca="false">IF($A17&lt;K$4,"",MIN(1,IF(AND(Assumptions!$B$42=1,OR($A17=104,$A17=105)),INDEX(K$68:K$69,MATCH($A17,$A$68:$A$69,0)),INDEX(CMI_Projection!$L$23:$CC$83,$A17-59,2026+($A17-K$4)-2021))))</f>
        <v>0.011127669074845</v>
      </c>
      <c r="L17" s="30" t="n">
        <f aca="false">IF($A17&lt;L$4,"",MIN(1,IF(AND(Assumptions!$B$42=1,OR($A17=104,$A17=105)),INDEX(L$68:L$69,MATCH($A17,$A$68:$A$69,0)),INDEX(CMI_Projection!$L$23:$CC$83,$A17-59,2026+($A17-L$4)-2021))))</f>
        <v>0.0113331885536636</v>
      </c>
      <c r="M17" s="30" t="n">
        <f aca="false">IF($A17&lt;M$4,"",MIN(1,IF(AND(Assumptions!$B$42=1,OR($A17=104,$A17=105)),INDEX(M$68:M$69,MATCH($A17,$A$68:$A$69,0)),INDEX(CMI_Projection!$L$23:$CC$83,$A17-59,2026+($A17-M$4)-2021))))</f>
        <v>0.0115528401134868</v>
      </c>
      <c r="N17" s="30" t="n">
        <f aca="false">IF($A17&lt;N$4,"",MIN(1,IF(AND(Assumptions!$B$42=1,OR($A17=104,$A17=105)),INDEX(N$68:N$69,MATCH($A17,$A$68:$A$69,0)),INDEX(CMI_Projection!$L$23:$CC$83,$A17-59,2026+($A17-N$4)-2021))))</f>
        <v>0.0117871282316565</v>
      </c>
      <c r="O17" s="30" t="str">
        <f aca="false">IF($A17&lt;O$4,"",MIN(1,IF(AND(Assumptions!$B$42=1,OR($A17=104,$A17=105)),INDEX(O$68:O$69,MATCH($A17,$A$68:$A$69,0)),INDEX(CMI_Projection!$L$23:$CC$83,$A17-59,2026+($A17-O$4)-2021))))</f>
        <v/>
      </c>
      <c r="P17" s="30" t="str">
        <f aca="false">IF($A17&lt;P$4,"",MIN(1,IF(AND(Assumptions!$B$42=1,OR($A17=104,$A17=105)),INDEX(P$68:P$69,MATCH($A17,$A$68:$A$69,0)),INDEX(CMI_Projection!$L$23:$CC$83,$A17-59,2026+($A17-P$4)-2021))))</f>
        <v/>
      </c>
      <c r="Q17" s="30" t="str">
        <f aca="false">IF($A17&lt;Q$4,"",MIN(1,IF(AND(Assumptions!$B$42=1,OR($A17=104,$A17=105)),INDEX(Q$68:Q$69,MATCH($A17,$A$68:$A$69,0)),INDEX(CMI_Projection!$L$23:$CC$83,$A17-59,2026+($A17-Q$4)-2021))))</f>
        <v/>
      </c>
      <c r="R17" s="30" t="str">
        <f aca="false">IF($A17&lt;R$4,"",MIN(1,IF(AND(Assumptions!$B$42=1,OR($A17=104,$A17=105)),INDEX(R$68:R$69,MATCH($A17,$A$68:$A$69,0)),INDEX(CMI_Projection!$L$23:$CC$83,$A17-59,2026+($A17-R$4)-2021))))</f>
        <v/>
      </c>
      <c r="S17" s="30" t="str">
        <f aca="false">IF($A17&lt;S$4,"",MIN(1,IF(AND(Assumptions!$B$42=1,OR($A17=104,$A17=105)),INDEX(S$68:S$69,MATCH($A17,$A$68:$A$69,0)),INDEX(CMI_Projection!$L$23:$CC$83,$A17-59,2026+($A17-S$4)-2021))))</f>
        <v/>
      </c>
      <c r="T17" s="30" t="str">
        <f aca="false">IF($A17&lt;T$4,"",MIN(1,IF(AND(Assumptions!$B$42=1,OR($A17=104,$A17=105)),INDEX(T$68:T$69,MATCH($A17,$A$68:$A$69,0)),INDEX(CMI_Projection!$L$23:$CC$83,$A17-59,2026+($A17-T$4)-2021))))</f>
        <v/>
      </c>
      <c r="U17" s="30" t="str">
        <f aca="false">IF($A17&lt;U$4,"",MIN(1,IF(AND(Assumptions!$B$42=1,OR($A17=104,$A17=105)),INDEX(U$68:U$69,MATCH($A17,$A$68:$A$69,0)),INDEX(CMI_Projection!$L$23:$CC$83,$A17-59,2026+($A17-U$4)-2021))))</f>
        <v/>
      </c>
      <c r="V17" s="30" t="str">
        <f aca="false">IF($A17&lt;V$4,"",MIN(1,IF(AND(Assumptions!$B$42=1,OR($A17=104,$A17=105)),INDEX(V$68:V$69,MATCH($A17,$A$68:$A$69,0)),INDEX(CMI_Projection!$L$23:$CC$83,$A17-59,2026+($A17-V$4)-2021))))</f>
        <v/>
      </c>
      <c r="W17" s="30" t="str">
        <f aca="false">IF($A17&lt;W$4,"",MIN(1,IF(AND(Assumptions!$B$42=1,OR($A17=104,$A17=105)),INDEX(W$68:W$69,MATCH($A17,$A$68:$A$69,0)),INDEX(CMI_Projection!$L$23:$CC$83,$A17-59,2026+($A17-W$4)-2021))))</f>
        <v/>
      </c>
      <c r="X17" s="30" t="str">
        <f aca="false">IF($A17&lt;X$4,"",MIN(1,IF(AND(Assumptions!$B$42=1,OR($A17=104,$A17=105)),INDEX(X$68:X$69,MATCH($A17,$A$68:$A$69,0)),INDEX(CMI_Projection!$L$23:$CC$83,$A17-59,2026+($A17-X$4)-2021))))</f>
        <v/>
      </c>
      <c r="Y17" s="30" t="str">
        <f aca="false">IF($A17&lt;Y$4,"",MIN(1,IF(AND(Assumptions!$B$42=1,OR($A17=104,$A17=105)),INDEX(Y$68:Y$69,MATCH($A17,$A$68:$A$69,0)),INDEX(CMI_Projection!$L$23:$CC$83,$A17-59,2026+($A17-Y$4)-2021))))</f>
        <v/>
      </c>
      <c r="Z17" s="30" t="str">
        <f aca="false">IF($A17&lt;Z$4,"",MIN(1,IF(AND(Assumptions!$B$42=1,OR($A17=104,$A17=105)),INDEX(Z$68:Z$69,MATCH($A17,$A$68:$A$69,0)),INDEX(CMI_Projection!$L$23:$CC$83,$A17-59,2026+($A17-Z$4)-2021))))</f>
        <v/>
      </c>
      <c r="AA17" s="30" t="str">
        <f aca="false">IF($A17&lt;AA$4,"",MIN(1,IF(AND(Assumptions!$B$42=1,OR($A17=104,$A17=105)),INDEX(AA$68:AA$69,MATCH($A17,$A$68:$A$69,0)),INDEX(CMI_Projection!$L$23:$CC$83,$A17-59,2026+($A17-AA$4)-2021))))</f>
        <v/>
      </c>
      <c r="AC17" s="30" t="n">
        <f aca="false">IF($A17&lt;AC$4,"",IF($A17=AC$4,1,AC16*(1-B16)))</f>
        <v>0.939509794822328</v>
      </c>
      <c r="AD17" s="30" t="n">
        <f aca="false">IF($A17&lt;AD$4,"",IF($A17=AD$4,1,AD16*(1-C16)))</f>
        <v>0.941244724395904</v>
      </c>
      <c r="AE17" s="30" t="n">
        <f aca="false">IF($A17&lt;AE$4,"",IF($A17=AE$4,1,AE16*(1-D16)))</f>
        <v>0.94331027412369</v>
      </c>
      <c r="AF17" s="30" t="n">
        <f aca="false">IF($A17&lt;AF$4,"",IF($A17=AF$4,1,AF16*(1-E16)))</f>
        <v>0.945749653816695</v>
      </c>
      <c r="AG17" s="30" t="n">
        <f aca="false">IF($A17&lt;AG$4,"",IF($A17=AG$4,1,AG16*(1-F16)))</f>
        <v>0.948612515717612</v>
      </c>
      <c r="AH17" s="30" t="n">
        <f aca="false">IF($A17&lt;AH$4,"",IF($A17=AH$4,1,AH16*(1-G16)))</f>
        <v>0.951956748196789</v>
      </c>
      <c r="AI17" s="30" t="n">
        <f aca="false">IF($A17&lt;AI$4,"",IF($A17=AI$4,1,AI16*(1-H16)))</f>
        <v>0.956100039518668</v>
      </c>
      <c r="AJ17" s="30" t="n">
        <f aca="false">IF($A17&lt;AJ$4,"",IF($A17=AJ$4,1,AJ16*(1-I16)))</f>
        <v>0.960912319394321</v>
      </c>
      <c r="AK17" s="30" t="n">
        <f aca="false">IF($A17&lt;AK$4,"",IF($A17=AK$4,1,AK16*(1-J16)))</f>
        <v>0.966495231845337</v>
      </c>
      <c r="AL17" s="30" t="n">
        <f aca="false">IF($A17&lt;AL$4,"",IF($A17=AL$4,1,AL16*(1-K16)))</f>
        <v>0.972968425378061</v>
      </c>
      <c r="AM17" s="30" t="n">
        <f aca="false">IF($A17&lt;AM$4,"",IF($A17=AM$4,1,AM16*(1-L16)))</f>
        <v>0.980472770871488</v>
      </c>
      <c r="AN17" s="30" t="n">
        <f aca="false">IF($A17&lt;AN$4,"",IF($A17=AN$4,1,AN16*(1-M16)))</f>
        <v>0.989511222461456</v>
      </c>
      <c r="AO17" s="30" t="n">
        <f aca="false">IF($A17&lt;AO$4,"",IF($A17=AO$4,1,AO16*(1-N16)))</f>
        <v>1</v>
      </c>
      <c r="AP17" s="30" t="str">
        <f aca="false">IF($A17&lt;AP$4,"",IF($A17=AP$4,1,AP16*(1-O16)))</f>
        <v/>
      </c>
      <c r="AQ17" s="30" t="str">
        <f aca="false">IF($A17&lt;AQ$4,"",IF($A17=AQ$4,1,AQ16*(1-P16)))</f>
        <v/>
      </c>
      <c r="AR17" s="30" t="str">
        <f aca="false">IF($A17&lt;AR$4,"",IF($A17=AR$4,1,AR16*(1-Q16)))</f>
        <v/>
      </c>
      <c r="AS17" s="30" t="str">
        <f aca="false">IF($A17&lt;AS$4,"",IF($A17=AS$4,1,AS16*(1-R16)))</f>
        <v/>
      </c>
      <c r="AT17" s="30" t="str">
        <f aca="false">IF($A17&lt;AT$4,"",IF($A17=AT$4,1,AT16*(1-S16)))</f>
        <v/>
      </c>
      <c r="AU17" s="30" t="str">
        <f aca="false">IF($A17&lt;AU$4,"",IF($A17=AU$4,1,AU16*(1-T16)))</f>
        <v/>
      </c>
      <c r="AV17" s="30" t="str">
        <f aca="false">IF($A17&lt;AV$4,"",IF($A17=AV$4,1,AV16*(1-U16)))</f>
        <v/>
      </c>
      <c r="AW17" s="30" t="str">
        <f aca="false">IF($A17&lt;AW$4,"",IF($A17=AW$4,1,AW16*(1-V16)))</f>
        <v/>
      </c>
      <c r="AX17" s="30" t="str">
        <f aca="false">IF($A17&lt;AX$4,"",IF($A17=AX$4,1,AX16*(1-W16)))</f>
        <v/>
      </c>
      <c r="AY17" s="30" t="str">
        <f aca="false">IF($A17&lt;AY$4,"",IF($A17=AY$4,1,AY16*(1-X16)))</f>
        <v/>
      </c>
      <c r="AZ17" s="30" t="str">
        <f aca="false">IF($A17&lt;AZ$4,"",IF($A17=AZ$4,1,AZ16*(1-Y16)))</f>
        <v/>
      </c>
      <c r="BA17" s="30" t="str">
        <f aca="false">IF($A17&lt;BA$4,"",IF($A17=BA$4,1,BA16*(1-Z16)))</f>
        <v/>
      </c>
      <c r="BB17" s="30" t="str">
        <f aca="false">IF($A17&lt;BB$4,"",IF($A17=BB$4,1,BB16*(1-AA16)))</f>
        <v/>
      </c>
    </row>
    <row r="18" customFormat="false" ht="15" hidden="false" customHeight="true" outlineLevel="0" collapsed="false">
      <c r="A18" s="3" t="n">
        <v>73</v>
      </c>
      <c r="B18" s="30" t="n">
        <f aca="false">IF($A18&lt;B$4,"",MIN(1,IF(AND(Assumptions!$B$42=1,OR($A18=104,$A18=105)),INDEX(B$68:B$69,MATCH($A18,$A$68:$A$69,0)),INDEX(CMI_Projection!$L$23:$CC$83,$A18-59,2026+($A18-B$4)-2021))))</f>
        <v>0.0107387271349947</v>
      </c>
      <c r="C18" s="30" t="n">
        <f aca="false">IF($A18&lt;C$4,"",MIN(1,IF(AND(Assumptions!$B$42=1,OR($A18=104,$A18=105)),INDEX(C$68:C$69,MATCH($A18,$A$68:$A$69,0)),INDEX(CMI_Projection!$L$23:$CC$83,$A18-59,2026+($A18-C$4)-2021))))</f>
        <v>0.010902261050756</v>
      </c>
      <c r="D18" s="30" t="n">
        <f aca="false">IF($A18&lt;D$4,"",MIN(1,IF(AND(Assumptions!$B$42=1,OR($A18=104,$A18=105)),INDEX(D$68:D$69,MATCH($A18,$A$68:$A$69,0)),INDEX(CMI_Projection!$L$23:$CC$83,$A18-59,2026+($A18-D$4)-2021))))</f>
        <v>0.0110682853307168</v>
      </c>
      <c r="E18" s="30" t="n">
        <f aca="false">IF($A18&lt;E$4,"",MIN(1,IF(AND(Assumptions!$B$42=1,OR($A18=104,$A18=105)),INDEX(E$68:E$69,MATCH($A18,$A$68:$A$69,0)),INDEX(CMI_Projection!$L$23:$CC$83,$A18-59,2026+($A18-E$4)-2021))))</f>
        <v>0.0112368378992049</v>
      </c>
      <c r="F18" s="30" t="n">
        <f aca="false">IF($A18&lt;F$4,"",MIN(1,IF(AND(Assumptions!$B$42=1,OR($A18=104,$A18=105)),INDEX(F$68:F$69,MATCH($A18,$A$68:$A$69,0)),INDEX(CMI_Projection!$L$23:$CC$83,$A18-59,2026+($A18-F$4)-2021))))</f>
        <v>0.011407957258076</v>
      </c>
      <c r="G18" s="30" t="n">
        <f aca="false">IF($A18&lt;G$4,"",MIN(1,IF(AND(Assumptions!$B$42=1,OR($A18=104,$A18=105)),INDEX(G$68:G$69,MATCH($A18,$A$68:$A$69,0)),INDEX(CMI_Projection!$L$23:$CC$83,$A18-59,2026+($A18-G$4)-2021))))</f>
        <v>0.0115816824955086</v>
      </c>
      <c r="H18" s="30" t="n">
        <f aca="false">IF($A18&lt;H$4,"",MIN(1,IF(AND(Assumptions!$B$42=1,OR($A18=104,$A18=105)),INDEX(H$68:H$69,MATCH($A18,$A$68:$A$69,0)),INDEX(CMI_Projection!$L$23:$CC$83,$A18-59,2026+($A18-H$4)-2021))))</f>
        <v>0.0117582295631838</v>
      </c>
      <c r="I18" s="30" t="n">
        <f aca="false">IF($A18&lt;I$4,"",MIN(1,IF(AND(Assumptions!$B$42=1,OR($A18=104,$A18=105)),INDEX(I$68:I$69,MATCH($A18,$A$68:$A$69,0)),INDEX(CMI_Projection!$L$23:$CC$83,$A18-59,2026+($A18-I$4)-2021))))</f>
        <v>0.0119399951410654</v>
      </c>
      <c r="J18" s="30" t="n">
        <f aca="false">IF($A18&lt;J$4,"",MIN(1,IF(AND(Assumptions!$B$42=1,OR($A18=104,$A18=105)),INDEX(J$68:J$69,MATCH($A18,$A$68:$A$69,0)),INDEX(CMI_Projection!$L$23:$CC$83,$A18-59,2026+($A18-J$4)-2021))))</f>
        <v>0.0121297516054308</v>
      </c>
      <c r="K18" s="30" t="n">
        <f aca="false">IF($A18&lt;K$4,"",MIN(1,IF(AND(Assumptions!$B$42=1,OR($A18=104,$A18=105)),INDEX(K$68:K$69,MATCH($A18,$A$68:$A$69,0)),INDEX(CMI_Projection!$L$23:$CC$83,$A18-59,2026+($A18-K$4)-2021))))</f>
        <v>0.0123299000805572</v>
      </c>
      <c r="L18" s="30" t="n">
        <f aca="false">IF($A18&lt;L$4,"",MIN(1,IF(AND(Assumptions!$B$42=1,OR($A18=104,$A18=105)),INDEX(L$68:L$69,MATCH($A18,$A$68:$A$69,0)),INDEX(CMI_Projection!$L$23:$CC$83,$A18-59,2026+($A18-L$4)-2021))))</f>
        <v>0.0125424446103744</v>
      </c>
      <c r="M18" s="30" t="n">
        <f aca="false">IF($A18&lt;M$4,"",MIN(1,IF(AND(Assumptions!$B$42=1,OR($A18=104,$A18=105)),INDEX(M$68:M$69,MATCH($A18,$A$68:$A$69,0)),INDEX(CMI_Projection!$L$23:$CC$83,$A18-59,2026+($A18-M$4)-2021))))</f>
        <v>0.0127689626556874</v>
      </c>
      <c r="N18" s="30" t="n">
        <f aca="false">IF($A18&lt;N$4,"",MIN(1,IF(AND(Assumptions!$B$42=1,OR($A18=104,$A18=105)),INDEX(N$68:N$69,MATCH($A18,$A$68:$A$69,0)),INDEX(CMI_Projection!$L$23:$CC$83,$A18-59,2026+($A18-N$4)-2021))))</f>
        <v>0.0130105693280133</v>
      </c>
      <c r="O18" s="30" t="n">
        <f aca="false">IF($A18&lt;O$4,"",MIN(1,IF(AND(Assumptions!$B$42=1,OR($A18=104,$A18=105)),INDEX(O$68:O$69,MATCH($A18,$A$68:$A$69,0)),INDEX(CMI_Projection!$L$23:$CC$83,$A18-59,2026+($A18-O$4)-2021))))</f>
        <v>0.0132678733097674</v>
      </c>
      <c r="P18" s="30" t="str">
        <f aca="false">IF($A18&lt;P$4,"",MIN(1,IF(AND(Assumptions!$B$42=1,OR($A18=104,$A18=105)),INDEX(P$68:P$69,MATCH($A18,$A$68:$A$69,0)),INDEX(CMI_Projection!$L$23:$CC$83,$A18-59,2026+($A18-P$4)-2021))))</f>
        <v/>
      </c>
      <c r="Q18" s="30" t="str">
        <f aca="false">IF($A18&lt;Q$4,"",MIN(1,IF(AND(Assumptions!$B$42=1,OR($A18=104,$A18=105)),INDEX(Q$68:Q$69,MATCH($A18,$A$68:$A$69,0)),INDEX(CMI_Projection!$L$23:$CC$83,$A18-59,2026+($A18-Q$4)-2021))))</f>
        <v/>
      </c>
      <c r="R18" s="30" t="str">
        <f aca="false">IF($A18&lt;R$4,"",MIN(1,IF(AND(Assumptions!$B$42=1,OR($A18=104,$A18=105)),INDEX(R$68:R$69,MATCH($A18,$A$68:$A$69,0)),INDEX(CMI_Projection!$L$23:$CC$83,$A18-59,2026+($A18-R$4)-2021))))</f>
        <v/>
      </c>
      <c r="S18" s="30" t="str">
        <f aca="false">IF($A18&lt;S$4,"",MIN(1,IF(AND(Assumptions!$B$42=1,OR($A18=104,$A18=105)),INDEX(S$68:S$69,MATCH($A18,$A$68:$A$69,0)),INDEX(CMI_Projection!$L$23:$CC$83,$A18-59,2026+($A18-S$4)-2021))))</f>
        <v/>
      </c>
      <c r="T18" s="30" t="str">
        <f aca="false">IF($A18&lt;T$4,"",MIN(1,IF(AND(Assumptions!$B$42=1,OR($A18=104,$A18=105)),INDEX(T$68:T$69,MATCH($A18,$A$68:$A$69,0)),INDEX(CMI_Projection!$L$23:$CC$83,$A18-59,2026+($A18-T$4)-2021))))</f>
        <v/>
      </c>
      <c r="U18" s="30" t="str">
        <f aca="false">IF($A18&lt;U$4,"",MIN(1,IF(AND(Assumptions!$B$42=1,OR($A18=104,$A18=105)),INDEX(U$68:U$69,MATCH($A18,$A$68:$A$69,0)),INDEX(CMI_Projection!$L$23:$CC$83,$A18-59,2026+($A18-U$4)-2021))))</f>
        <v/>
      </c>
      <c r="V18" s="30" t="str">
        <f aca="false">IF($A18&lt;V$4,"",MIN(1,IF(AND(Assumptions!$B$42=1,OR($A18=104,$A18=105)),INDEX(V$68:V$69,MATCH($A18,$A$68:$A$69,0)),INDEX(CMI_Projection!$L$23:$CC$83,$A18-59,2026+($A18-V$4)-2021))))</f>
        <v/>
      </c>
      <c r="W18" s="30" t="str">
        <f aca="false">IF($A18&lt;W$4,"",MIN(1,IF(AND(Assumptions!$B$42=1,OR($A18=104,$A18=105)),INDEX(W$68:W$69,MATCH($A18,$A$68:$A$69,0)),INDEX(CMI_Projection!$L$23:$CC$83,$A18-59,2026+($A18-W$4)-2021))))</f>
        <v/>
      </c>
      <c r="X18" s="30" t="str">
        <f aca="false">IF($A18&lt;X$4,"",MIN(1,IF(AND(Assumptions!$B$42=1,OR($A18=104,$A18=105)),INDEX(X$68:X$69,MATCH($A18,$A$68:$A$69,0)),INDEX(CMI_Projection!$L$23:$CC$83,$A18-59,2026+($A18-X$4)-2021))))</f>
        <v/>
      </c>
      <c r="Y18" s="30" t="str">
        <f aca="false">IF($A18&lt;Y$4,"",MIN(1,IF(AND(Assumptions!$B$42=1,OR($A18=104,$A18=105)),INDEX(Y$68:Y$69,MATCH($A18,$A$68:$A$69,0)),INDEX(CMI_Projection!$L$23:$CC$83,$A18-59,2026+($A18-Y$4)-2021))))</f>
        <v/>
      </c>
      <c r="Z18" s="30" t="str">
        <f aca="false">IF($A18&lt;Z$4,"",MIN(1,IF(AND(Assumptions!$B$42=1,OR($A18=104,$A18=105)),INDEX(Z$68:Z$69,MATCH($A18,$A$68:$A$69,0)),INDEX(CMI_Projection!$L$23:$CC$83,$A18-59,2026+($A18-Z$4)-2021))))</f>
        <v/>
      </c>
      <c r="AA18" s="30" t="str">
        <f aca="false">IF($A18&lt;AA$4,"",MIN(1,IF(AND(Assumptions!$B$42=1,OR($A18=104,$A18=105)),INDEX(AA$68:AA$69,MATCH($A18,$A$68:$A$69,0)),INDEX(CMI_Projection!$L$23:$CC$83,$A18-59,2026+($A18-AA$4)-2021))))</f>
        <v/>
      </c>
      <c r="AC18" s="30" t="n">
        <f aca="false">IF($A18&lt;AC$4,"",IF($A18=AC$4,1,AC17*(1-B17)))</f>
        <v>0.930431585264031</v>
      </c>
      <c r="AD18" s="30" t="n">
        <f aca="false">IF($A18&lt;AD$4,"",IF($A18=AD$4,1,AD17*(1-C17)))</f>
        <v>0.932011248581134</v>
      </c>
      <c r="AE18" s="30" t="n">
        <f aca="false">IF($A18&lt;AE$4,"",IF($A18=AE$4,1,AE17*(1-D17)))</f>
        <v>0.933915615685626</v>
      </c>
      <c r="AF18" s="30" t="n">
        <f aca="false">IF($A18&lt;AF$4,"",IF($A18=AF$4,1,AF17*(1-E17)))</f>
        <v>0.936187265168097</v>
      </c>
      <c r="AG18" s="30" t="n">
        <f aca="false">IF($A18&lt;AG$4,"",IF($A18=AG$4,1,AG17*(1-F17)))</f>
        <v>0.938875119997162</v>
      </c>
      <c r="AH18" s="30" t="n">
        <f aca="false">IF($A18&lt;AH$4,"",IF($A18=AH$4,1,AH17*(1-G17)))</f>
        <v>0.942035615544812</v>
      </c>
      <c r="AI18" s="30" t="n">
        <f aca="false">IF($A18&lt;AI$4,"",IF($A18=AI$4,1,AI17*(1-H17)))</f>
        <v>0.945980364134695</v>
      </c>
      <c r="AJ18" s="30" t="n">
        <f aca="false">IF($A18&lt;AJ$4,"",IF($A18=AJ$4,1,AJ17*(1-I17)))</f>
        <v>0.950577905975664</v>
      </c>
      <c r="AK18" s="30" t="n">
        <f aca="false">IF($A18&lt;AK$4,"",IF($A18=AK$4,1,AK17*(1-J17)))</f>
        <v>0.955926291354085</v>
      </c>
      <c r="AL18" s="30" t="n">
        <f aca="false">IF($A18&lt;AL$4,"",IF($A18=AL$4,1,AL17*(1-K17)))</f>
        <v>0.962141554720181</v>
      </c>
      <c r="AM18" s="30" t="n">
        <f aca="false">IF($A18&lt;AM$4,"",IF($A18=AM$4,1,AM17*(1-L17)))</f>
        <v>0.969360888087468</v>
      </c>
      <c r="AN18" s="30" t="n">
        <f aca="false">IF($A18&lt;AN$4,"",IF($A18=AN$4,1,AN17*(1-M17)))</f>
        <v>0.978079557517858</v>
      </c>
      <c r="AO18" s="30" t="n">
        <f aca="false">IF($A18&lt;AO$4,"",IF($A18=AO$4,1,AO17*(1-N17)))</f>
        <v>0.988212871768344</v>
      </c>
      <c r="AP18" s="30" t="n">
        <f aca="false">IF($A18&lt;AP$4,"",IF($A18=AP$4,1,AP17*(1-O17)))</f>
        <v>1</v>
      </c>
      <c r="AQ18" s="30" t="str">
        <f aca="false">IF($A18&lt;AQ$4,"",IF($A18=AQ$4,1,AQ17*(1-P17)))</f>
        <v/>
      </c>
      <c r="AR18" s="30" t="str">
        <f aca="false">IF($A18&lt;AR$4,"",IF($A18=AR$4,1,AR17*(1-Q17)))</f>
        <v/>
      </c>
      <c r="AS18" s="30" t="str">
        <f aca="false">IF($A18&lt;AS$4,"",IF($A18=AS$4,1,AS17*(1-R17)))</f>
        <v/>
      </c>
      <c r="AT18" s="30" t="str">
        <f aca="false">IF($A18&lt;AT$4,"",IF($A18=AT$4,1,AT17*(1-S17)))</f>
        <v/>
      </c>
      <c r="AU18" s="30" t="str">
        <f aca="false">IF($A18&lt;AU$4,"",IF($A18=AU$4,1,AU17*(1-T17)))</f>
        <v/>
      </c>
      <c r="AV18" s="30" t="str">
        <f aca="false">IF($A18&lt;AV$4,"",IF($A18=AV$4,1,AV17*(1-U17)))</f>
        <v/>
      </c>
      <c r="AW18" s="30" t="str">
        <f aca="false">IF($A18&lt;AW$4,"",IF($A18=AW$4,1,AW17*(1-V17)))</f>
        <v/>
      </c>
      <c r="AX18" s="30" t="str">
        <f aca="false">IF($A18&lt;AX$4,"",IF($A18=AX$4,1,AX17*(1-W17)))</f>
        <v/>
      </c>
      <c r="AY18" s="30" t="str">
        <f aca="false">IF($A18&lt;AY$4,"",IF($A18=AY$4,1,AY17*(1-X17)))</f>
        <v/>
      </c>
      <c r="AZ18" s="30" t="str">
        <f aca="false">IF($A18&lt;AZ$4,"",IF($A18=AZ$4,1,AZ17*(1-Y17)))</f>
        <v/>
      </c>
      <c r="BA18" s="30" t="str">
        <f aca="false">IF($A18&lt;BA$4,"",IF($A18=BA$4,1,BA17*(1-Z17)))</f>
        <v/>
      </c>
      <c r="BB18" s="30" t="str">
        <f aca="false">IF($A18&lt;BB$4,"",IF($A18=BB$4,1,BB17*(1-AA17)))</f>
        <v/>
      </c>
    </row>
    <row r="19" customFormat="false" ht="15" hidden="false" customHeight="true" outlineLevel="0" collapsed="false">
      <c r="A19" s="3" t="n">
        <v>74</v>
      </c>
      <c r="B19" s="30" t="n">
        <f aca="false">IF($A19&lt;B$4,"",MIN(1,IF(AND(Assumptions!$B$42=1,OR($A19=104,$A19=105)),INDEX(B$68:B$69,MATCH($A19,$A$68:$A$69,0)),INDEX(CMI_Projection!$L$23:$CC$83,$A19-59,2026+($A19-B$4)-2021))))</f>
        <v>0.0119527153431252</v>
      </c>
      <c r="C19" s="30" t="n">
        <f aca="false">IF($A19&lt;C$4,"",MIN(1,IF(AND(Assumptions!$B$42=1,OR($A19=104,$A19=105)),INDEX(C$68:C$69,MATCH($A19,$A$68:$A$69,0)),INDEX(CMI_Projection!$L$23:$CC$83,$A19-59,2026+($A19-C$4)-2021))))</f>
        <v>0.0121347363889596</v>
      </c>
      <c r="D19" s="30" t="n">
        <f aca="false">IF($A19&lt;D$4,"",MIN(1,IF(AND(Assumptions!$B$42=1,OR($A19=104,$A19=105)),INDEX(D$68:D$69,MATCH($A19,$A$68:$A$69,0)),INDEX(CMI_Projection!$L$23:$CC$83,$A19-59,2026+($A19-D$4)-2021))))</f>
        <v>0.012319529328893</v>
      </c>
      <c r="E19" s="30" t="n">
        <f aca="false">IF($A19&lt;E$4,"",MIN(1,IF(AND(Assumptions!$B$42=1,OR($A19=104,$A19=105)),INDEX(E$68:E$69,MATCH($A19,$A$68:$A$69,0)),INDEX(CMI_Projection!$L$23:$CC$83,$A19-59,2026+($A19-E$4)-2021))))</f>
        <v>0.0125071363745107</v>
      </c>
      <c r="F19" s="30" t="n">
        <f aca="false">IF($A19&lt;F$4,"",MIN(1,IF(AND(Assumptions!$B$42=1,OR($A19=104,$A19=105)),INDEX(F$68:F$69,MATCH($A19,$A$68:$A$69,0)),INDEX(CMI_Projection!$L$23:$CC$83,$A19-59,2026+($A19-F$4)-2021))))</f>
        <v>0.0126976003802139</v>
      </c>
      <c r="G19" s="30" t="n">
        <f aca="false">IF($A19&lt;G$4,"",MIN(1,IF(AND(Assumptions!$B$42=1,OR($A19=104,$A19=105)),INDEX(G$68:G$69,MATCH($A19,$A$68:$A$69,0)),INDEX(CMI_Projection!$L$23:$CC$83,$A19-59,2026+($A19-G$4)-2021))))</f>
        <v>0.012890964853009</v>
      </c>
      <c r="H19" s="30" t="n">
        <f aca="false">IF($A19&lt;H$4,"",MIN(1,IF(AND(Assumptions!$B$42=1,OR($A19=104,$A19=105)),INDEX(H$68:H$69,MATCH($A19,$A$68:$A$69,0)),INDEX(CMI_Projection!$L$23:$CC$83,$A19-59,2026+($A19-H$4)-2021))))</f>
        <v>0.0130872739624457</v>
      </c>
      <c r="I19" s="30" t="n">
        <f aca="false">IF($A19&lt;I$4,"",MIN(1,IF(AND(Assumptions!$B$42=1,OR($A19=104,$A19=105)),INDEX(I$68:I$69,MATCH($A19,$A$68:$A$69,0)),INDEX(CMI_Projection!$L$23:$CC$83,$A19-59,2026+($A19-I$4)-2021))))</f>
        <v>0.0132865725507063</v>
      </c>
      <c r="J19" s="30" t="n">
        <f aca="false">IF($A19&lt;J$4,"",MIN(1,IF(AND(Assumptions!$B$42=1,OR($A19=104,$A19=105)),INDEX(J$68:J$69,MATCH($A19,$A$68:$A$69,0)),INDEX(CMI_Projection!$L$23:$CC$83,$A19-59,2026+($A19-J$4)-2021))))</f>
        <v>0.0134905988507503</v>
      </c>
      <c r="K19" s="30" t="n">
        <f aca="false">IF($A19&lt;K$4,"",MIN(1,IF(AND(Assumptions!$B$42=1,OR($A19=104,$A19=105)),INDEX(K$68:K$69,MATCH($A19,$A$68:$A$69,0)),INDEX(CMI_Projection!$L$23:$CC$83,$A19-59,2026+($A19-K$4)-2021))))</f>
        <v>0.0137025120911299</v>
      </c>
      <c r="L19" s="30" t="n">
        <f aca="false">IF($A19&lt;L$4,"",MIN(1,IF(AND(Assumptions!$B$42=1,OR($A19=104,$A19=105)),INDEX(L$68:L$69,MATCH($A19,$A$68:$A$69,0)),INDEX(CMI_Projection!$L$23:$CC$83,$A19-59,2026+($A19-L$4)-2021))))</f>
        <v>0.0139250547739032</v>
      </c>
      <c r="M19" s="30" t="n">
        <f aca="false">IF($A19&lt;M$4,"",MIN(1,IF(AND(Assumptions!$B$42=1,OR($A19=104,$A19=105)),INDEX(M$68:M$69,MATCH($A19,$A$68:$A$69,0)),INDEX(CMI_Projection!$L$23:$CC$83,$A19-59,2026+($A19-M$4)-2021))))</f>
        <v>0.0141605229424343</v>
      </c>
      <c r="N19" s="30" t="n">
        <f aca="false">IF($A19&lt;N$4,"",MIN(1,IF(AND(Assumptions!$B$42=1,OR($A19=104,$A19=105)),INDEX(N$68:N$69,MATCH($A19,$A$68:$A$69,0)),INDEX(CMI_Projection!$L$23:$CC$83,$A19-59,2026+($A19-N$4)-2021))))</f>
        <v>0.0144107331895105</v>
      </c>
      <c r="O19" s="30" t="n">
        <f aca="false">IF($A19&lt;O$4,"",MIN(1,IF(AND(Assumptions!$B$42=1,OR($A19=104,$A19=105)),INDEX(O$68:O$69,MATCH($A19,$A$68:$A$69,0)),INDEX(CMI_Projection!$L$23:$CC$83,$A19-59,2026+($A19-O$4)-2021))))</f>
        <v>0.0146769834544162</v>
      </c>
      <c r="P19" s="30" t="n">
        <f aca="false">IF($A19&lt;P$4,"",MIN(1,IF(AND(Assumptions!$B$42=1,OR($A19=104,$A19=105)),INDEX(P$68:P$69,MATCH($A19,$A$68:$A$69,0)),INDEX(CMI_Projection!$L$23:$CC$83,$A19-59,2026+($A19-P$4)-2021))))</f>
        <v>0.0149600052609816</v>
      </c>
      <c r="Q19" s="30" t="str">
        <f aca="false">IF($A19&lt;Q$4,"",MIN(1,IF(AND(Assumptions!$B$42=1,OR($A19=104,$A19=105)),INDEX(Q$68:Q$69,MATCH($A19,$A$68:$A$69,0)),INDEX(CMI_Projection!$L$23:$CC$83,$A19-59,2026+($A19-Q$4)-2021))))</f>
        <v/>
      </c>
      <c r="R19" s="30" t="str">
        <f aca="false">IF($A19&lt;R$4,"",MIN(1,IF(AND(Assumptions!$B$42=1,OR($A19=104,$A19=105)),INDEX(R$68:R$69,MATCH($A19,$A$68:$A$69,0)),INDEX(CMI_Projection!$L$23:$CC$83,$A19-59,2026+($A19-R$4)-2021))))</f>
        <v/>
      </c>
      <c r="S19" s="30" t="str">
        <f aca="false">IF($A19&lt;S$4,"",MIN(1,IF(AND(Assumptions!$B$42=1,OR($A19=104,$A19=105)),INDEX(S$68:S$69,MATCH($A19,$A$68:$A$69,0)),INDEX(CMI_Projection!$L$23:$CC$83,$A19-59,2026+($A19-S$4)-2021))))</f>
        <v/>
      </c>
      <c r="T19" s="30" t="str">
        <f aca="false">IF($A19&lt;T$4,"",MIN(1,IF(AND(Assumptions!$B$42=1,OR($A19=104,$A19=105)),INDEX(T$68:T$69,MATCH($A19,$A$68:$A$69,0)),INDEX(CMI_Projection!$L$23:$CC$83,$A19-59,2026+($A19-T$4)-2021))))</f>
        <v/>
      </c>
      <c r="U19" s="30" t="str">
        <f aca="false">IF($A19&lt;U$4,"",MIN(1,IF(AND(Assumptions!$B$42=1,OR($A19=104,$A19=105)),INDEX(U$68:U$69,MATCH($A19,$A$68:$A$69,0)),INDEX(CMI_Projection!$L$23:$CC$83,$A19-59,2026+($A19-U$4)-2021))))</f>
        <v/>
      </c>
      <c r="V19" s="30" t="str">
        <f aca="false">IF($A19&lt;V$4,"",MIN(1,IF(AND(Assumptions!$B$42=1,OR($A19=104,$A19=105)),INDEX(V$68:V$69,MATCH($A19,$A$68:$A$69,0)),INDEX(CMI_Projection!$L$23:$CC$83,$A19-59,2026+($A19-V$4)-2021))))</f>
        <v/>
      </c>
      <c r="W19" s="30" t="str">
        <f aca="false">IF($A19&lt;W$4,"",MIN(1,IF(AND(Assumptions!$B$42=1,OR($A19=104,$A19=105)),INDEX(W$68:W$69,MATCH($A19,$A$68:$A$69,0)),INDEX(CMI_Projection!$L$23:$CC$83,$A19-59,2026+($A19-W$4)-2021))))</f>
        <v/>
      </c>
      <c r="X19" s="30" t="str">
        <f aca="false">IF($A19&lt;X$4,"",MIN(1,IF(AND(Assumptions!$B$42=1,OR($A19=104,$A19=105)),INDEX(X$68:X$69,MATCH($A19,$A$68:$A$69,0)),INDEX(CMI_Projection!$L$23:$CC$83,$A19-59,2026+($A19-X$4)-2021))))</f>
        <v/>
      </c>
      <c r="Y19" s="30" t="str">
        <f aca="false">IF($A19&lt;Y$4,"",MIN(1,IF(AND(Assumptions!$B$42=1,OR($A19=104,$A19=105)),INDEX(Y$68:Y$69,MATCH($A19,$A$68:$A$69,0)),INDEX(CMI_Projection!$L$23:$CC$83,$A19-59,2026+($A19-Y$4)-2021))))</f>
        <v/>
      </c>
      <c r="Z19" s="30" t="str">
        <f aca="false">IF($A19&lt;Z$4,"",MIN(1,IF(AND(Assumptions!$B$42=1,OR($A19=104,$A19=105)),INDEX(Z$68:Z$69,MATCH($A19,$A$68:$A$69,0)),INDEX(CMI_Projection!$L$23:$CC$83,$A19-59,2026+($A19-Z$4)-2021))))</f>
        <v/>
      </c>
      <c r="AA19" s="30" t="str">
        <f aca="false">IF($A19&lt;AA$4,"",MIN(1,IF(AND(Assumptions!$B$42=1,OR($A19=104,$A19=105)),INDEX(AA$68:AA$69,MATCH($A19,$A$68:$A$69,0)),INDEX(CMI_Projection!$L$23:$CC$83,$A19-59,2026+($A19-AA$4)-2021))))</f>
        <v/>
      </c>
      <c r="AC19" s="30" t="n">
        <f aca="false">IF($A19&lt;AC$4,"",IF($A19=AC$4,1,AC18*(1-B18)))</f>
        <v>0.9204399343521</v>
      </c>
      <c r="AD19" s="30" t="n">
        <f aca="false">IF($A19&lt;AD$4,"",IF($A19=AD$4,1,AD18*(1-C18)))</f>
        <v>0.921850218646861</v>
      </c>
      <c r="AE19" s="30" t="n">
        <f aca="false">IF($A19&lt;AE$4,"",IF($A19=AE$4,1,AE18*(1-D18)))</f>
        <v>0.923578771176405</v>
      </c>
      <c r="AF19" s="30" t="n">
        <f aca="false">IF($A19&lt;AF$4,"",IF($A19=AF$4,1,AF18*(1-E18)))</f>
        <v>0.925667480626103</v>
      </c>
      <c r="AG19" s="30" t="n">
        <f aca="false">IF($A19&lt;AG$4,"",IF($A19=AG$4,1,AG18*(1-F18)))</f>
        <v>0.928164472757564</v>
      </c>
      <c r="AH19" s="30" t="n">
        <f aca="false">IF($A19&lt;AH$4,"",IF($A19=AH$4,1,AH18*(1-G18)))</f>
        <v>0.931125258146111</v>
      </c>
      <c r="AI19" s="30" t="n">
        <f aca="false">IF($A19&lt;AI$4,"",IF($A19=AI$4,1,AI18*(1-H18)))</f>
        <v>0.934857309850936</v>
      </c>
      <c r="AJ19" s="30" t="n">
        <f aca="false">IF($A19&lt;AJ$4,"",IF($A19=AJ$4,1,AJ18*(1-I18)))</f>
        <v>0.93922801039711</v>
      </c>
      <c r="AK19" s="30" t="n">
        <f aca="false">IF($A19&lt;AK$4,"",IF($A19=AK$4,1,AK18*(1-J18)))</f>
        <v>0.94433114288686</v>
      </c>
      <c r="AL19" s="30" t="n">
        <f aca="false">IF($A19&lt;AL$4,"",IF($A19=AL$4,1,AL18*(1-K18)))</f>
        <v>0.950278445487129</v>
      </c>
      <c r="AM19" s="30" t="n">
        <f aca="false">IF($A19&lt;AM$4,"",IF($A19=AM$4,1,AM18*(1-L18)))</f>
        <v>0.957202732841168</v>
      </c>
      <c r="AN19" s="30" t="n">
        <f aca="false">IF($A19&lt;AN$4,"",IF($A19=AN$4,1,AN18*(1-M18)))</f>
        <v>0.965590496173621</v>
      </c>
      <c r="AO19" s="30" t="n">
        <f aca="false">IF($A19&lt;AO$4,"",IF($A19=AO$4,1,AO18*(1-N18)))</f>
        <v>0.975355659689366</v>
      </c>
      <c r="AP19" s="30" t="n">
        <f aca="false">IF($A19&lt;AP$4,"",IF($A19=AP$4,1,AP18*(1-O18)))</f>
        <v>0.986732126690233</v>
      </c>
      <c r="AQ19" s="30" t="n">
        <f aca="false">IF($A19&lt;AQ$4,"",IF($A19=AQ$4,1,AQ18*(1-P18)))</f>
        <v>1</v>
      </c>
      <c r="AR19" s="30" t="str">
        <f aca="false">IF($A19&lt;AR$4,"",IF($A19=AR$4,1,AR18*(1-Q18)))</f>
        <v/>
      </c>
      <c r="AS19" s="30" t="str">
        <f aca="false">IF($A19&lt;AS$4,"",IF($A19=AS$4,1,AS18*(1-R18)))</f>
        <v/>
      </c>
      <c r="AT19" s="30" t="str">
        <f aca="false">IF($A19&lt;AT$4,"",IF($A19=AT$4,1,AT18*(1-S18)))</f>
        <v/>
      </c>
      <c r="AU19" s="30" t="str">
        <f aca="false">IF($A19&lt;AU$4,"",IF($A19=AU$4,1,AU18*(1-T18)))</f>
        <v/>
      </c>
      <c r="AV19" s="30" t="str">
        <f aca="false">IF($A19&lt;AV$4,"",IF($A19=AV$4,1,AV18*(1-U18)))</f>
        <v/>
      </c>
      <c r="AW19" s="30" t="str">
        <f aca="false">IF($A19&lt;AW$4,"",IF($A19=AW$4,1,AW18*(1-V18)))</f>
        <v/>
      </c>
      <c r="AX19" s="30" t="str">
        <f aca="false">IF($A19&lt;AX$4,"",IF($A19=AX$4,1,AX18*(1-W18)))</f>
        <v/>
      </c>
      <c r="AY19" s="30" t="str">
        <f aca="false">IF($A19&lt;AY$4,"",IF($A19=AY$4,1,AY18*(1-X18)))</f>
        <v/>
      </c>
      <c r="AZ19" s="30" t="str">
        <f aca="false">IF($A19&lt;AZ$4,"",IF($A19=AZ$4,1,AZ18*(1-Y18)))</f>
        <v/>
      </c>
      <c r="BA19" s="30" t="str">
        <f aca="false">IF($A19&lt;BA$4,"",IF($A19=BA$4,1,BA18*(1-Z18)))</f>
        <v/>
      </c>
      <c r="BB19" s="30" t="str">
        <f aca="false">IF($A19&lt;BB$4,"",IF($A19=BB$4,1,BB18*(1-AA18)))</f>
        <v/>
      </c>
    </row>
    <row r="20" customFormat="false" ht="15" hidden="false" customHeight="true" outlineLevel="0" collapsed="false">
      <c r="A20" s="3" t="n">
        <v>75</v>
      </c>
      <c r="B20" s="30" t="n">
        <f aca="false">IF($A20&lt;B$4,"",MIN(1,IF(AND(Assumptions!$B$42=1,OR($A20=104,$A20=105)),INDEX(B$68:B$69,MATCH($A20,$A$68:$A$69,0)),INDEX(CMI_Projection!$L$23:$CC$83,$A20-59,2026+($A20-B$4)-2021))))</f>
        <v>0.0137953861938888</v>
      </c>
      <c r="C20" s="30" t="n">
        <f aca="false">IF($A20&lt;C$4,"",MIN(1,IF(AND(Assumptions!$B$42=1,OR($A20=104,$A20=105)),INDEX(C$68:C$69,MATCH($A20,$A$68:$A$69,0)),INDEX(CMI_Projection!$L$23:$CC$83,$A20-59,2026+($A20-C$4)-2021))))</f>
        <v>0.014005468217146</v>
      </c>
      <c r="D20" s="30" t="n">
        <f aca="false">IF($A20&lt;D$4,"",MIN(1,IF(AND(Assumptions!$B$42=1,OR($A20=104,$A20=105)),INDEX(D$68:D$69,MATCH($A20,$A$68:$A$69,0)),INDEX(CMI_Projection!$L$23:$CC$83,$A20-59,2026+($A20-D$4)-2021))))</f>
        <v>0.0142187494590315</v>
      </c>
      <c r="E20" s="30" t="n">
        <f aca="false">IF($A20&lt;E$4,"",MIN(1,IF(AND(Assumptions!$B$42=1,OR($A20=104,$A20=105)),INDEX(E$68:E$69,MATCH($A20,$A$68:$A$69,0)),INDEX(CMI_Projection!$L$23:$CC$83,$A20-59,2026+($A20-E$4)-2021))))</f>
        <v>0.0144352786386106</v>
      </c>
      <c r="F20" s="30" t="n">
        <f aca="false">IF($A20&lt;F$4,"",MIN(1,IF(AND(Assumptions!$B$42=1,OR($A20=104,$A20=105)),INDEX(F$68:F$69,MATCH($A20,$A$68:$A$69,0)),INDEX(CMI_Projection!$L$23:$CC$83,$A20-59,2026+($A20-F$4)-2021))))</f>
        <v>0.0146551052168636</v>
      </c>
      <c r="G20" s="30" t="n">
        <f aca="false">IF($A20&lt;G$4,"",MIN(1,IF(AND(Assumptions!$B$42=1,OR($A20=104,$A20=105)),INDEX(G$68:G$69,MATCH($A20,$A$68:$A$69,0)),INDEX(CMI_Projection!$L$23:$CC$83,$A20-59,2026+($A20-G$4)-2021))))</f>
        <v>0.0148782794079833</v>
      </c>
      <c r="H20" s="30" t="n">
        <f aca="false">IF($A20&lt;H$4,"",MIN(1,IF(AND(Assumptions!$B$42=1,OR($A20=104,$A20=105)),INDEX(H$68:H$69,MATCH($A20,$A$68:$A$69,0)),INDEX(CMI_Projection!$L$23:$CC$83,$A20-59,2026+($A20-H$4)-2021))))</f>
        <v>0.015104852190846</v>
      </c>
      <c r="I20" s="30" t="n">
        <f aca="false">IF($A20&lt;I$4,"",MIN(1,IF(AND(Assumptions!$B$42=1,OR($A20=104,$A20=105)),INDEX(I$68:I$69,MATCH($A20,$A$68:$A$69,0)),INDEX(CMI_Projection!$L$23:$CC$83,$A20-59,2026+($A20-I$4)-2021))))</f>
        <v>0.0153348753206558</v>
      </c>
      <c r="J20" s="30" t="n">
        <f aca="false">IF($A20&lt;J$4,"",MIN(1,IF(AND(Assumptions!$B$42=1,OR($A20=104,$A20=105)),INDEX(J$68:J$69,MATCH($A20,$A$68:$A$69,0)),INDEX(CMI_Projection!$L$23:$CC$83,$A20-59,2026+($A20-J$4)-2021))))</f>
        <v>0.0155684013407674</v>
      </c>
      <c r="K20" s="30" t="n">
        <f aca="false">IF($A20&lt;K$4,"",MIN(1,IF(AND(Assumptions!$B$42=1,OR($A20=104,$A20=105)),INDEX(K$68:K$69,MATCH($A20,$A$68:$A$69,0)),INDEX(CMI_Projection!$L$23:$CC$83,$A20-59,2026+($A20-K$4)-2021))))</f>
        <v>0.0158063449919103</v>
      </c>
      <c r="L20" s="30" t="n">
        <f aca="false">IF($A20&lt;L$4,"",MIN(1,IF(AND(Assumptions!$B$42=1,OR($A20=104,$A20=105)),INDEX(L$68:L$69,MATCH($A20,$A$68:$A$69,0)),INDEX(CMI_Projection!$L$23:$CC$83,$A20-59,2026+($A20-L$4)-2021))))</f>
        <v>0.0160521934230489</v>
      </c>
      <c r="M20" s="30" t="n">
        <f aca="false">IF($A20&lt;M$4,"",MIN(1,IF(AND(Assumptions!$B$42=1,OR($A20=104,$A20=105)),INDEX(M$68:M$69,MATCH($A20,$A$68:$A$69,0)),INDEX(CMI_Projection!$L$23:$CC$83,$A20-59,2026+($A20-M$4)-2021))))</f>
        <v>0.016309174267291</v>
      </c>
      <c r="N20" s="30" t="n">
        <f aca="false">IF($A20&lt;N$4,"",MIN(1,IF(AND(Assumptions!$B$42=1,OR($A20=104,$A20=105)),INDEX(N$68:N$69,MATCH($A20,$A$68:$A$69,0)),INDEX(CMI_Projection!$L$23:$CC$83,$A20-59,2026+($A20-N$4)-2021))))</f>
        <v>0.0165799988193297</v>
      </c>
      <c r="O20" s="30" t="n">
        <f aca="false">IF($A20&lt;O$4,"",MIN(1,IF(AND(Assumptions!$B$42=1,OR($A20=104,$A20=105)),INDEX(O$68:O$69,MATCH($A20,$A$68:$A$69,0)),INDEX(CMI_Projection!$L$23:$CC$83,$A20-59,2026+($A20-O$4)-2021))))</f>
        <v>0.0168668237752045</v>
      </c>
      <c r="P20" s="30" t="n">
        <f aca="false">IF($A20&lt;P$4,"",MIN(1,IF(AND(Assumptions!$B$42=1,OR($A20=104,$A20=105)),INDEX(P$68:P$69,MATCH($A20,$A$68:$A$69,0)),INDEX(CMI_Projection!$L$23:$CC$83,$A20-59,2026+($A20-P$4)-2021))))</f>
        <v>0.017171206753301</v>
      </c>
      <c r="Q20" s="30" t="n">
        <f aca="false">IF($A20&lt;Q$4,"",MIN(1,IF(AND(Assumptions!$B$42=1,OR($A20=104,$A20=105)),INDEX(Q$68:Q$69,MATCH($A20,$A$68:$A$69,0)),INDEX(CMI_Projection!$L$23:$CC$83,$A20-59,2026+($A20-Q$4)-2021))))</f>
        <v>0.0174940528425382</v>
      </c>
      <c r="R20" s="30" t="str">
        <f aca="false">IF($A20&lt;R$4,"",MIN(1,IF(AND(Assumptions!$B$42=1,OR($A20=104,$A20=105)),INDEX(R$68:R$69,MATCH($A20,$A$68:$A$69,0)),INDEX(CMI_Projection!$L$23:$CC$83,$A20-59,2026+($A20-R$4)-2021))))</f>
        <v/>
      </c>
      <c r="S20" s="30" t="str">
        <f aca="false">IF($A20&lt;S$4,"",MIN(1,IF(AND(Assumptions!$B$42=1,OR($A20=104,$A20=105)),INDEX(S$68:S$69,MATCH($A20,$A$68:$A$69,0)),INDEX(CMI_Projection!$L$23:$CC$83,$A20-59,2026+($A20-S$4)-2021))))</f>
        <v/>
      </c>
      <c r="T20" s="30" t="str">
        <f aca="false">IF($A20&lt;T$4,"",MIN(1,IF(AND(Assumptions!$B$42=1,OR($A20=104,$A20=105)),INDEX(T$68:T$69,MATCH($A20,$A$68:$A$69,0)),INDEX(CMI_Projection!$L$23:$CC$83,$A20-59,2026+($A20-T$4)-2021))))</f>
        <v/>
      </c>
      <c r="U20" s="30" t="str">
        <f aca="false">IF($A20&lt;U$4,"",MIN(1,IF(AND(Assumptions!$B$42=1,OR($A20=104,$A20=105)),INDEX(U$68:U$69,MATCH($A20,$A$68:$A$69,0)),INDEX(CMI_Projection!$L$23:$CC$83,$A20-59,2026+($A20-U$4)-2021))))</f>
        <v/>
      </c>
      <c r="V20" s="30" t="str">
        <f aca="false">IF($A20&lt;V$4,"",MIN(1,IF(AND(Assumptions!$B$42=1,OR($A20=104,$A20=105)),INDEX(V$68:V$69,MATCH($A20,$A$68:$A$69,0)),INDEX(CMI_Projection!$L$23:$CC$83,$A20-59,2026+($A20-V$4)-2021))))</f>
        <v/>
      </c>
      <c r="W20" s="30" t="str">
        <f aca="false">IF($A20&lt;W$4,"",MIN(1,IF(AND(Assumptions!$B$42=1,OR($A20=104,$A20=105)),INDEX(W$68:W$69,MATCH($A20,$A$68:$A$69,0)),INDEX(CMI_Projection!$L$23:$CC$83,$A20-59,2026+($A20-W$4)-2021))))</f>
        <v/>
      </c>
      <c r="X20" s="30" t="str">
        <f aca="false">IF($A20&lt;X$4,"",MIN(1,IF(AND(Assumptions!$B$42=1,OR($A20=104,$A20=105)),INDEX(X$68:X$69,MATCH($A20,$A$68:$A$69,0)),INDEX(CMI_Projection!$L$23:$CC$83,$A20-59,2026+($A20-X$4)-2021))))</f>
        <v/>
      </c>
      <c r="Y20" s="30" t="str">
        <f aca="false">IF($A20&lt;Y$4,"",MIN(1,IF(AND(Assumptions!$B$42=1,OR($A20=104,$A20=105)),INDEX(Y$68:Y$69,MATCH($A20,$A$68:$A$69,0)),INDEX(CMI_Projection!$L$23:$CC$83,$A20-59,2026+($A20-Y$4)-2021))))</f>
        <v/>
      </c>
      <c r="Z20" s="30" t="str">
        <f aca="false">IF($A20&lt;Z$4,"",MIN(1,IF(AND(Assumptions!$B$42=1,OR($A20=104,$A20=105)),INDEX(Z$68:Z$69,MATCH($A20,$A$68:$A$69,0)),INDEX(CMI_Projection!$L$23:$CC$83,$A20-59,2026+($A20-Z$4)-2021))))</f>
        <v/>
      </c>
      <c r="AA20" s="30" t="str">
        <f aca="false">IF($A20&lt;AA$4,"",MIN(1,IF(AND(Assumptions!$B$42=1,OR($A20=104,$A20=105)),INDEX(AA$68:AA$69,MATCH($A20,$A$68:$A$69,0)),INDEX(CMI_Projection!$L$23:$CC$83,$A20-59,2026+($A20-AA$4)-2021))))</f>
        <v/>
      </c>
      <c r="AC20" s="30" t="n">
        <f aca="false">IF($A20&lt;AC$4,"",IF($A20=AC$4,1,AC19*(1-B19)))</f>
        <v>0.909438177826344</v>
      </c>
      <c r="AD20" s="30" t="n">
        <f aca="false">IF($A20&lt;AD$4,"",IF($A20=AD$4,1,AD19*(1-C19)))</f>
        <v>0.910663809253477</v>
      </c>
      <c r="AE20" s="30" t="n">
        <f aca="false">IF($A20&lt;AE$4,"",IF($A20=AE$4,1,AE19*(1-D19)))</f>
        <v>0.912200715417354</v>
      </c>
      <c r="AF20" s="30" t="n">
        <f aca="false">IF($A20&lt;AF$4,"",IF($A20=AF$4,1,AF19*(1-E19)))</f>
        <v>0.914090031208463</v>
      </c>
      <c r="AG20" s="30" t="n">
        <f aca="false">IF($A20&lt;AG$4,"",IF($A20=AG$4,1,AG19*(1-F19)))</f>
        <v>0.916379011195376</v>
      </c>
      <c r="AH20" s="30" t="n">
        <f aca="false">IF($A20&lt;AH$4,"",IF($A20=AH$4,1,AH19*(1-G19)))</f>
        <v>0.919122155169601</v>
      </c>
      <c r="AI20" s="30" t="n">
        <f aca="false">IF($A20&lt;AI$4,"",IF($A20=AI$4,1,AI19*(1-H19)))</f>
        <v>0.922622576121121</v>
      </c>
      <c r="AJ20" s="30" t="n">
        <f aca="false">IF($A20&lt;AJ$4,"",IF($A20=AJ$4,1,AJ19*(1-I19)))</f>
        <v>0.926748889295314</v>
      </c>
      <c r="AK20" s="30" t="n">
        <f aca="false">IF($A20&lt;AK$4,"",IF($A20=AK$4,1,AK19*(1-J19)))</f>
        <v>0.931591550255902</v>
      </c>
      <c r="AL20" s="30" t="n">
        <f aca="false">IF($A20&lt;AL$4,"",IF($A20=AL$4,1,AL19*(1-K19)))</f>
        <v>0.937257243597902</v>
      </c>
      <c r="AM20" s="30" t="n">
        <f aca="false">IF($A20&lt;AM$4,"",IF($A20=AM$4,1,AM19*(1-L19)))</f>
        <v>0.943873632356625</v>
      </c>
      <c r="AN20" s="30" t="n">
        <f aca="false">IF($A20&lt;AN$4,"",IF($A20=AN$4,1,AN19*(1-M19)))</f>
        <v>0.951917229799558</v>
      </c>
      <c r="AO20" s="30" t="n">
        <f aca="false">IF($A20&lt;AO$4,"",IF($A20=AO$4,1,AO19*(1-N19)))</f>
        <v>0.961300069512704</v>
      </c>
      <c r="AP20" s="30" t="n">
        <f aca="false">IF($A20&lt;AP$4,"",IF($A20=AP$4,1,AP19*(1-O19)))</f>
        <v>0.972249875592859</v>
      </c>
      <c r="AQ20" s="30" t="n">
        <f aca="false">IF($A20&lt;AQ$4,"",IF($A20=AQ$4,1,AQ19*(1-P19)))</f>
        <v>0.985039994739018</v>
      </c>
      <c r="AR20" s="30" t="n">
        <f aca="false">IF($A20&lt;AR$4,"",IF($A20=AR$4,1,AR19*(1-Q19)))</f>
        <v>1</v>
      </c>
      <c r="AS20" s="30" t="str">
        <f aca="false">IF($A20&lt;AS$4,"",IF($A20=AS$4,1,AS19*(1-R19)))</f>
        <v/>
      </c>
      <c r="AT20" s="30" t="str">
        <f aca="false">IF($A20&lt;AT$4,"",IF($A20=AT$4,1,AT19*(1-S19)))</f>
        <v/>
      </c>
      <c r="AU20" s="30" t="str">
        <f aca="false">IF($A20&lt;AU$4,"",IF($A20=AU$4,1,AU19*(1-T19)))</f>
        <v/>
      </c>
      <c r="AV20" s="30" t="str">
        <f aca="false">IF($A20&lt;AV$4,"",IF($A20=AV$4,1,AV19*(1-U19)))</f>
        <v/>
      </c>
      <c r="AW20" s="30" t="str">
        <f aca="false">IF($A20&lt;AW$4,"",IF($A20=AW$4,1,AW19*(1-V19)))</f>
        <v/>
      </c>
      <c r="AX20" s="30" t="str">
        <f aca="false">IF($A20&lt;AX$4,"",IF($A20=AX$4,1,AX19*(1-W19)))</f>
        <v/>
      </c>
      <c r="AY20" s="30" t="str">
        <f aca="false">IF($A20&lt;AY$4,"",IF($A20=AY$4,1,AY19*(1-X19)))</f>
        <v/>
      </c>
      <c r="AZ20" s="30" t="str">
        <f aca="false">IF($A20&lt;AZ$4,"",IF($A20=AZ$4,1,AZ19*(1-Y19)))</f>
        <v/>
      </c>
      <c r="BA20" s="30" t="str">
        <f aca="false">IF($A20&lt;BA$4,"",IF($A20=BA$4,1,BA19*(1-Z19)))</f>
        <v/>
      </c>
      <c r="BB20" s="30" t="str">
        <f aca="false">IF($A20&lt;BB$4,"",IF($A20=BB$4,1,BB19*(1-AA19)))</f>
        <v/>
      </c>
    </row>
    <row r="21" customFormat="false" ht="15" hidden="false" customHeight="true" outlineLevel="0" collapsed="false">
      <c r="A21" s="3" t="n">
        <v>76</v>
      </c>
      <c r="B21" s="30" t="n">
        <f aca="false">IF($A21&lt;B$4,"",MIN(1,IF(AND(Assumptions!$B$42=1,OR($A21=104,$A21=105)),INDEX(B$68:B$69,MATCH($A21,$A$68:$A$69,0)),INDEX(CMI_Projection!$L$23:$CC$83,$A21-59,2026+($A21-B$4)-2021))))</f>
        <v>0.0154047257968983</v>
      </c>
      <c r="C21" s="30" t="n">
        <f aca="false">IF($A21&lt;C$4,"",MIN(1,IF(AND(Assumptions!$B$42=1,OR($A21=104,$A21=105)),INDEX(C$68:C$69,MATCH($A21,$A$68:$A$69,0)),INDEX(CMI_Projection!$L$23:$CC$83,$A21-59,2026+($A21-C$4)-2021))))</f>
        <v>0.015639315529846</v>
      </c>
      <c r="D21" s="30" t="n">
        <f aca="false">IF($A21&lt;D$4,"",MIN(1,IF(AND(Assumptions!$B$42=1,OR($A21=104,$A21=105)),INDEX(D$68:D$69,MATCH($A21,$A$68:$A$69,0)),INDEX(CMI_Projection!$L$23:$CC$83,$A21-59,2026+($A21-D$4)-2021))))</f>
        <v>0.0158774776952752</v>
      </c>
      <c r="E21" s="30" t="n">
        <f aca="false">IF($A21&lt;E$4,"",MIN(1,IF(AND(Assumptions!$B$42=1,OR($A21=104,$A21=105)),INDEX(E$68:E$69,MATCH($A21,$A$68:$A$69,0)),INDEX(CMI_Projection!$L$23:$CC$83,$A21-59,2026+($A21-E$4)-2021))))</f>
        <v>0.0161192666957108</v>
      </c>
      <c r="F21" s="30" t="n">
        <f aca="false">IF($A21&lt;F$4,"",MIN(1,IF(AND(Assumptions!$B$42=1,OR($A21=104,$A21=105)),INDEX(F$68:F$69,MATCH($A21,$A$68:$A$69,0)),INDEX(CMI_Projection!$L$23:$CC$83,$A21-59,2026+($A21-F$4)-2021))))</f>
        <v>0.016364737762143</v>
      </c>
      <c r="G21" s="30" t="n">
        <f aca="false">IF($A21&lt;G$4,"",MIN(1,IF(AND(Assumptions!$B$42=1,OR($A21=104,$A21=105)),INDEX(G$68:G$69,MATCH($A21,$A$68:$A$69,0)),INDEX(CMI_Projection!$L$23:$CC$83,$A21-59,2026+($A21-G$4)-2021))))</f>
        <v>0.0166139469666426</v>
      </c>
      <c r="H21" s="30" t="n">
        <f aca="false">IF($A21&lt;H$4,"",MIN(1,IF(AND(Assumptions!$B$42=1,OR($A21=104,$A21=105)),INDEX(H$68:H$69,MATCH($A21,$A$68:$A$69,0)),INDEX(CMI_Projection!$L$23:$CC$83,$A21-59,2026+($A21-H$4)-2021))))</f>
        <v>0.0168669512351702</v>
      </c>
      <c r="I21" s="30" t="n">
        <f aca="false">IF($A21&lt;I$4,"",MIN(1,IF(AND(Assumptions!$B$42=1,OR($A21=104,$A21=105)),INDEX(I$68:I$69,MATCH($A21,$A$68:$A$69,0)),INDEX(CMI_Projection!$L$23:$CC$83,$A21-59,2026+($A21-I$4)-2021))))</f>
        <v>0.0171238083605788</v>
      </c>
      <c r="J21" s="30" t="n">
        <f aca="false">IF($A21&lt;J$4,"",MIN(1,IF(AND(Assumptions!$B$42=1,OR($A21=104,$A21=105)),INDEX(J$68:J$69,MATCH($A21,$A$68:$A$69,0)),INDEX(CMI_Projection!$L$23:$CC$83,$A21-59,2026+($A21-J$4)-2021))))</f>
        <v>0.0173845770158161</v>
      </c>
      <c r="K21" s="30" t="n">
        <f aca="false">IF($A21&lt;K$4,"",MIN(1,IF(AND(Assumptions!$B$42=1,OR($A21=104,$A21=105)),INDEX(K$68:K$69,MATCH($A21,$A$68:$A$69,0)),INDEX(CMI_Projection!$L$23:$CC$83,$A21-59,2026+($A21-K$4)-2021))))</f>
        <v>0.017649316767326</v>
      </c>
      <c r="L21" s="30" t="n">
        <f aca="false">IF($A21&lt;L$4,"",MIN(1,IF(AND(Assumptions!$B$42=1,OR($A21=104,$A21=105)),INDEX(L$68:L$69,MATCH($A21,$A$68:$A$69,0)),INDEX(CMI_Projection!$L$23:$CC$83,$A21-59,2026+($A21-L$4)-2021))))</f>
        <v>0.0179183245111494</v>
      </c>
      <c r="M21" s="30" t="n">
        <f aca="false">IF($A21&lt;M$4,"",MIN(1,IF(AND(Assumptions!$B$42=1,OR($A21=104,$A21=105)),INDEX(M$68:M$69,MATCH($A21,$A$68:$A$69,0)),INDEX(CMI_Projection!$L$23:$CC$83,$A21-59,2026+($A21-M$4)-2021))))</f>
        <v>0.0181948030570767</v>
      </c>
      <c r="N21" s="30" t="n">
        <f aca="false">IF($A21&lt;N$4,"",MIN(1,IF(AND(Assumptions!$B$42=1,OR($A21=104,$A21=105)),INDEX(N$68:N$69,MATCH($A21,$A$68:$A$69,0)),INDEX(CMI_Projection!$L$23:$CC$83,$A21-59,2026+($A21-N$4)-2021))))</f>
        <v>0.0184823967401149</v>
      </c>
      <c r="O21" s="30" t="n">
        <f aca="false">IF($A21&lt;O$4,"",MIN(1,IF(AND(Assumptions!$B$42=1,OR($A21=104,$A21=105)),INDEX(O$68:O$69,MATCH($A21,$A$68:$A$69,0)),INDEX(CMI_Projection!$L$23:$CC$83,$A21-59,2026+($A21-O$4)-2021))))</f>
        <v>0.0187841780089642</v>
      </c>
      <c r="P21" s="30" t="n">
        <f aca="false">IF($A21&lt;P$4,"",MIN(1,IF(AND(Assumptions!$B$42=1,OR($A21=104,$A21=105)),INDEX(P$68:P$69,MATCH($A21,$A$68:$A$69,0)),INDEX(CMI_Projection!$L$23:$CC$83,$A21-59,2026+($A21-P$4)-2021))))</f>
        <v>0.019102604580434</v>
      </c>
      <c r="Q21" s="30" t="n">
        <f aca="false">IF($A21&lt;Q$4,"",MIN(1,IF(AND(Assumptions!$B$42=1,OR($A21=104,$A21=105)),INDEX(Q$68:Q$69,MATCH($A21,$A$68:$A$69,0)),INDEX(CMI_Projection!$L$23:$CC$83,$A21-59,2026+($A21-Q$4)-2021))))</f>
        <v>0.0194394707672937</v>
      </c>
      <c r="R21" s="30" t="n">
        <f aca="false">IF($A21&lt;R$4,"",MIN(1,IF(AND(Assumptions!$B$42=1,OR($A21=104,$A21=105)),INDEX(R$68:R$69,MATCH($A21,$A$68:$A$69,0)),INDEX(CMI_Projection!$L$23:$CC$83,$A21-59,2026+($A21-R$4)-2021))))</f>
        <v>0.0197958499056</v>
      </c>
      <c r="S21" s="30" t="str">
        <f aca="false">IF($A21&lt;S$4,"",MIN(1,IF(AND(Assumptions!$B$42=1,OR($A21=104,$A21=105)),INDEX(S$68:S$69,MATCH($A21,$A$68:$A$69,0)),INDEX(CMI_Projection!$L$23:$CC$83,$A21-59,2026+($A21-S$4)-2021))))</f>
        <v/>
      </c>
      <c r="T21" s="30" t="str">
        <f aca="false">IF($A21&lt;T$4,"",MIN(1,IF(AND(Assumptions!$B$42=1,OR($A21=104,$A21=105)),INDEX(T$68:T$69,MATCH($A21,$A$68:$A$69,0)),INDEX(CMI_Projection!$L$23:$CC$83,$A21-59,2026+($A21-T$4)-2021))))</f>
        <v/>
      </c>
      <c r="U21" s="30" t="str">
        <f aca="false">IF($A21&lt;U$4,"",MIN(1,IF(AND(Assumptions!$B$42=1,OR($A21=104,$A21=105)),INDEX(U$68:U$69,MATCH($A21,$A$68:$A$69,0)),INDEX(CMI_Projection!$L$23:$CC$83,$A21-59,2026+($A21-U$4)-2021))))</f>
        <v/>
      </c>
      <c r="V21" s="30" t="str">
        <f aca="false">IF($A21&lt;V$4,"",MIN(1,IF(AND(Assumptions!$B$42=1,OR($A21=104,$A21=105)),INDEX(V$68:V$69,MATCH($A21,$A$68:$A$69,0)),INDEX(CMI_Projection!$L$23:$CC$83,$A21-59,2026+($A21-V$4)-2021))))</f>
        <v/>
      </c>
      <c r="W21" s="30" t="str">
        <f aca="false">IF($A21&lt;W$4,"",MIN(1,IF(AND(Assumptions!$B$42=1,OR($A21=104,$A21=105)),INDEX(W$68:W$69,MATCH($A21,$A$68:$A$69,0)),INDEX(CMI_Projection!$L$23:$CC$83,$A21-59,2026+($A21-W$4)-2021))))</f>
        <v/>
      </c>
      <c r="X21" s="30" t="str">
        <f aca="false">IF($A21&lt;X$4,"",MIN(1,IF(AND(Assumptions!$B$42=1,OR($A21=104,$A21=105)),INDEX(X$68:X$69,MATCH($A21,$A$68:$A$69,0)),INDEX(CMI_Projection!$L$23:$CC$83,$A21-59,2026+($A21-X$4)-2021))))</f>
        <v/>
      </c>
      <c r="Y21" s="30" t="str">
        <f aca="false">IF($A21&lt;Y$4,"",MIN(1,IF(AND(Assumptions!$B$42=1,OR($A21=104,$A21=105)),INDEX(Y$68:Y$69,MATCH($A21,$A$68:$A$69,0)),INDEX(CMI_Projection!$L$23:$CC$83,$A21-59,2026+($A21-Y$4)-2021))))</f>
        <v/>
      </c>
      <c r="Z21" s="30" t="str">
        <f aca="false">IF($A21&lt;Z$4,"",MIN(1,IF(AND(Assumptions!$B$42=1,OR($A21=104,$A21=105)),INDEX(Z$68:Z$69,MATCH($A21,$A$68:$A$69,0)),INDEX(CMI_Projection!$L$23:$CC$83,$A21-59,2026+($A21-Z$4)-2021))))</f>
        <v/>
      </c>
      <c r="AA21" s="30" t="str">
        <f aca="false">IF($A21&lt;AA$4,"",MIN(1,IF(AND(Assumptions!$B$42=1,OR($A21=104,$A21=105)),INDEX(AA$68:AA$69,MATCH($A21,$A$68:$A$69,0)),INDEX(CMI_Projection!$L$23:$CC$83,$A21-59,2026+($A21-AA$4)-2021))))</f>
        <v/>
      </c>
      <c r="AC21" s="30" t="n">
        <f aca="false">IF($A21&lt;AC$4,"",IF($A21=AC$4,1,AC20*(1-B20)))</f>
        <v>0.896892126943763</v>
      </c>
      <c r="AD21" s="30" t="n">
        <f aca="false">IF($A21&lt;AD$4,"",IF($A21=AD$4,1,AD20*(1-C20)))</f>
        <v>0.897909536216472</v>
      </c>
      <c r="AE21" s="30" t="n">
        <f aca="false">IF($A21&lt;AE$4,"",IF($A21=AE$4,1,AE20*(1-D20)))</f>
        <v>0.899230361988486</v>
      </c>
      <c r="AF21" s="30" t="n">
        <f aca="false">IF($A21&lt;AF$4,"",IF($A21=AF$4,1,AF20*(1-E20)))</f>
        <v>0.900894886907192</v>
      </c>
      <c r="AG21" s="30" t="n">
        <f aca="false">IF($A21&lt;AG$4,"",IF($A21=AG$4,1,AG20*(1-F20)))</f>
        <v>0.902949380367783</v>
      </c>
      <c r="AH21" s="30" t="n">
        <f aca="false">IF($A21&lt;AH$4,"",IF($A21=AH$4,1,AH20*(1-G20)))</f>
        <v>0.905447198934919</v>
      </c>
      <c r="AI21" s="30" t="n">
        <f aca="false">IF($A21&lt;AI$4,"",IF($A21=AI$4,1,AI20*(1-H20)))</f>
        <v>0.908686498480874</v>
      </c>
      <c r="AJ21" s="30" t="n">
        <f aca="false">IF($A21&lt;AJ$4,"",IF($A21=AJ$4,1,AJ20*(1-I20)))</f>
        <v>0.912537310624414</v>
      </c>
      <c r="AK21" s="30" t="n">
        <f aca="false">IF($A21&lt;AK$4,"",IF($A21=AK$4,1,AK20*(1-J20)))</f>
        <v>0.917088159115851</v>
      </c>
      <c r="AL21" s="30" t="n">
        <f aca="false">IF($A21&lt;AL$4,"",IF($A21=AL$4,1,AL20*(1-K20)))</f>
        <v>0.922442632259427</v>
      </c>
      <c r="AM21" s="30" t="n">
        <f aca="false">IF($A21&lt;AM$4,"",IF($A21=AM$4,1,AM20*(1-L20)))</f>
        <v>0.928722390243121</v>
      </c>
      <c r="AN21" s="30" t="n">
        <f aca="false">IF($A21&lt;AN$4,"",IF($A21=AN$4,1,AN20*(1-M20)))</f>
        <v>0.93639224581072</v>
      </c>
      <c r="AO21" s="30" t="n">
        <f aca="false">IF($A21&lt;AO$4,"",IF($A21=AO$4,1,AO20*(1-N20)))</f>
        <v>0.945361715495162</v>
      </c>
      <c r="AP21" s="30" t="n">
        <f aca="false">IF($A21&lt;AP$4,"",IF($A21=AP$4,1,AP20*(1-O20)))</f>
        <v>0.95585110827577</v>
      </c>
      <c r="AQ21" s="30" t="n">
        <f aca="false">IF($A21&lt;AQ$4,"",IF($A21=AQ$4,1,AQ20*(1-P20)))</f>
        <v>0.968125669329084</v>
      </c>
      <c r="AR21" s="30" t="n">
        <f aca="false">IF($A21&lt;AR$4,"",IF($A21=AR$4,1,AR20*(1-Q20)))</f>
        <v>0.982505947157462</v>
      </c>
      <c r="AS21" s="30" t="n">
        <f aca="false">IF($A21&lt;AS$4,"",IF($A21=AS$4,1,AS20*(1-R20)))</f>
        <v>1</v>
      </c>
      <c r="AT21" s="30" t="str">
        <f aca="false">IF($A21&lt;AT$4,"",IF($A21=AT$4,1,AT20*(1-S20)))</f>
        <v/>
      </c>
      <c r="AU21" s="30" t="str">
        <f aca="false">IF($A21&lt;AU$4,"",IF($A21=AU$4,1,AU20*(1-T20)))</f>
        <v/>
      </c>
      <c r="AV21" s="30" t="str">
        <f aca="false">IF($A21&lt;AV$4,"",IF($A21=AV$4,1,AV20*(1-U20)))</f>
        <v/>
      </c>
      <c r="AW21" s="30" t="str">
        <f aca="false">IF($A21&lt;AW$4,"",IF($A21=AW$4,1,AW20*(1-V20)))</f>
        <v/>
      </c>
      <c r="AX21" s="30" t="str">
        <f aca="false">IF($A21&lt;AX$4,"",IF($A21=AX$4,1,AX20*(1-W20)))</f>
        <v/>
      </c>
      <c r="AY21" s="30" t="str">
        <f aca="false">IF($A21&lt;AY$4,"",IF($A21=AY$4,1,AY20*(1-X20)))</f>
        <v/>
      </c>
      <c r="AZ21" s="30" t="str">
        <f aca="false">IF($A21&lt;AZ$4,"",IF($A21=AZ$4,1,AZ20*(1-Y20)))</f>
        <v/>
      </c>
      <c r="BA21" s="30" t="str">
        <f aca="false">IF($A21&lt;BA$4,"",IF($A21=BA$4,1,BA20*(1-Z20)))</f>
        <v/>
      </c>
      <c r="BB21" s="30" t="str">
        <f aca="false">IF($A21&lt;BB$4,"",IF($A21=BB$4,1,BB20*(1-AA20)))</f>
        <v/>
      </c>
    </row>
    <row r="22" customFormat="false" ht="15" hidden="false" customHeight="true" outlineLevel="0" collapsed="false">
      <c r="A22" s="3" t="n">
        <v>77</v>
      </c>
      <c r="B22" s="30" t="n">
        <f aca="false">IF($A22&lt;B$4,"",MIN(1,IF(AND(Assumptions!$B$42=1,OR($A22=104,$A22=105)),INDEX(B$68:B$69,MATCH($A22,$A$68:$A$69,0)),INDEX(CMI_Projection!$L$23:$CC$83,$A22-59,2026+($A22-B$4)-2021))))</f>
        <v>0.0172281142710887</v>
      </c>
      <c r="C22" s="30" t="n">
        <f aca="false">IF($A22&lt;C$4,"",MIN(1,IF(AND(Assumptions!$B$42=1,OR($A22=104,$A22=105)),INDEX(C$68:C$69,MATCH($A22,$A$68:$A$69,0)),INDEX(CMI_Projection!$L$23:$CC$83,$A22-59,2026+($A22-C$4)-2021))))</f>
        <v>0.0174904713412068</v>
      </c>
      <c r="D22" s="30" t="n">
        <f aca="false">IF($A22&lt;D$4,"",MIN(1,IF(AND(Assumptions!$B$42=1,OR($A22=104,$A22=105)),INDEX(D$68:D$69,MATCH($A22,$A$68:$A$69,0)),INDEX(CMI_Projection!$L$23:$CC$83,$A22-59,2026+($A22-D$4)-2021))))</f>
        <v>0.0177568236966566</v>
      </c>
      <c r="E22" s="30" t="n">
        <f aca="false">IF($A22&lt;E$4,"",MIN(1,IF(AND(Assumptions!$B$42=1,OR($A22=104,$A22=105)),INDEX(E$68:E$69,MATCH($A22,$A$68:$A$69,0)),INDEX(CMI_Projection!$L$23:$CC$83,$A22-59,2026+($A22-E$4)-2021))))</f>
        <v>0.0180272321793468</v>
      </c>
      <c r="F22" s="30" t="n">
        <f aca="false">IF($A22&lt;F$4,"",MIN(1,IF(AND(Assumptions!$B$42=1,OR($A22=104,$A22=105)),INDEX(F$68:F$69,MATCH($A22,$A$68:$A$69,0)),INDEX(CMI_Projection!$L$23:$CC$83,$A22-59,2026+($A22-F$4)-2021))))</f>
        <v>0.0183017585577125</v>
      </c>
      <c r="G22" s="30" t="n">
        <f aca="false">IF($A22&lt;G$4,"",MIN(1,IF(AND(Assumptions!$B$42=1,OR($A22=104,$A22=105)),INDEX(G$68:G$69,MATCH($A22,$A$68:$A$69,0)),INDEX(CMI_Projection!$L$23:$CC$83,$A22-59,2026+($A22-G$4)-2021))))</f>
        <v>0.0185804655408249</v>
      </c>
      <c r="H22" s="30" t="n">
        <f aca="false">IF($A22&lt;H$4,"",MIN(1,IF(AND(Assumptions!$B$42=1,OR($A22=104,$A22=105)),INDEX(H$68:H$69,MATCH($A22,$A$68:$A$69,0)),INDEX(CMI_Projection!$L$23:$CC$83,$A22-59,2026+($A22-H$4)-2021))))</f>
        <v>0.0188634167927156</v>
      </c>
      <c r="I22" s="30" t="n">
        <f aca="false">IF($A22&lt;I$4,"",MIN(1,IF(AND(Assumptions!$B$42=1,OR($A22=104,$A22=105)),INDEX(I$68:I$69,MATCH($A22,$A$68:$A$69,0)),INDEX(CMI_Projection!$L$23:$CC$83,$A22-59,2026+($A22-I$4)-2021))))</f>
        <v>0.0191506769469194</v>
      </c>
      <c r="J22" s="30" t="n">
        <f aca="false">IF($A22&lt;J$4,"",MIN(1,IF(AND(Assumptions!$B$42=1,OR($A22=104,$A22=105)),INDEX(J$68:J$69,MATCH($A22,$A$68:$A$69,0)),INDEX(CMI_Projection!$L$23:$CC$83,$A22-59,2026+($A22-J$4)-2021))))</f>
        <v>0.019442311621238</v>
      </c>
      <c r="K22" s="30" t="n">
        <f aca="false">IF($A22&lt;K$4,"",MIN(1,IF(AND(Assumptions!$B$42=1,OR($A22=104,$A22=105)),INDEX(K$68:K$69,MATCH($A22,$A$68:$A$69,0)),INDEX(CMI_Projection!$L$23:$CC$83,$A22-59,2026+($A22-K$4)-2021))))</f>
        <v>0.0197383874327289</v>
      </c>
      <c r="L22" s="30" t="n">
        <f aca="false">IF($A22&lt;L$4,"",MIN(1,IF(AND(Assumptions!$B$42=1,OR($A22=104,$A22=105)),INDEX(L$68:L$69,MATCH($A22,$A$68:$A$69,0)),INDEX(CMI_Projection!$L$23:$CC$83,$A22-59,2026+($A22-L$4)-2021))))</f>
        <v>0.0200389720129227</v>
      </c>
      <c r="M22" s="30" t="n">
        <f aca="false">IF($A22&lt;M$4,"",MIN(1,IF(AND(Assumptions!$B$42=1,OR($A22=104,$A22=105)),INDEX(M$68:M$69,MATCH($A22,$A$68:$A$69,0)),INDEX(CMI_Projection!$L$23:$CC$83,$A22-59,2026+($A22-M$4)-2021))))</f>
        <v>0.0203441340232718</v>
      </c>
      <c r="N22" s="30" t="n">
        <f aca="false">IF($A22&lt;N$4,"",MIN(1,IF(AND(Assumptions!$B$42=1,OR($A22=104,$A22=105)),INDEX(N$68:N$69,MATCH($A22,$A$68:$A$69,0)),INDEX(CMI_Projection!$L$23:$CC$83,$A22-59,2026+($A22-N$4)-2021))))</f>
        <v>0.0206561485182563</v>
      </c>
      <c r="O22" s="30" t="n">
        <f aca="false">IF($A22&lt;O$4,"",MIN(1,IF(AND(Assumptions!$B$42=1,OR($A22=104,$A22=105)),INDEX(O$68:O$69,MATCH($A22,$A$68:$A$69,0)),INDEX(CMI_Projection!$L$23:$CC$83,$A22-59,2026+($A22-O$4)-2021))))</f>
        <v>0.0209790904407938</v>
      </c>
      <c r="P22" s="30" t="n">
        <f aca="false">IF($A22&lt;P$4,"",MIN(1,IF(AND(Assumptions!$B$42=1,OR($A22=104,$A22=105)),INDEX(P$68:P$69,MATCH($A22,$A$68:$A$69,0)),INDEX(CMI_Projection!$L$23:$CC$83,$A22-59,2026+($A22-P$4)-2021))))</f>
        <v>0.0213164086236074</v>
      </c>
      <c r="Q22" s="30" t="n">
        <f aca="false">IF($A22&lt;Q$4,"",MIN(1,IF(AND(Assumptions!$B$42=1,OR($A22=104,$A22=105)),INDEX(Q$68:Q$69,MATCH($A22,$A$68:$A$69,0)),INDEX(CMI_Projection!$L$23:$CC$83,$A22-59,2026+($A22-Q$4)-2021))))</f>
        <v>0.021670877979547</v>
      </c>
      <c r="R22" s="30" t="n">
        <f aca="false">IF($A22&lt;R$4,"",MIN(1,IF(AND(Assumptions!$B$42=1,OR($A22=104,$A22=105)),INDEX(R$68:R$69,MATCH($A22,$A$68:$A$69,0)),INDEX(CMI_Projection!$L$23:$CC$83,$A22-59,2026+($A22-R$4)-2021))))</f>
        <v>0.0220445464498132</v>
      </c>
      <c r="S22" s="30" t="n">
        <f aca="false">IF($A22&lt;S$4,"",MIN(1,IF(AND(Assumptions!$B$42=1,OR($A22=104,$A22=105)),INDEX(S$68:S$69,MATCH($A22,$A$68:$A$69,0)),INDEX(CMI_Projection!$L$23:$CC$83,$A22-59,2026+($A22-S$4)-2021))))</f>
        <v>0.0224386733498554</v>
      </c>
      <c r="T22" s="30" t="str">
        <f aca="false">IF($A22&lt;T$4,"",MIN(1,IF(AND(Assumptions!$B$42=1,OR($A22=104,$A22=105)),INDEX(T$68:T$69,MATCH($A22,$A$68:$A$69,0)),INDEX(CMI_Projection!$L$23:$CC$83,$A22-59,2026+($A22-T$4)-2021))))</f>
        <v/>
      </c>
      <c r="U22" s="30" t="str">
        <f aca="false">IF($A22&lt;U$4,"",MIN(1,IF(AND(Assumptions!$B$42=1,OR($A22=104,$A22=105)),INDEX(U$68:U$69,MATCH($A22,$A$68:$A$69,0)),INDEX(CMI_Projection!$L$23:$CC$83,$A22-59,2026+($A22-U$4)-2021))))</f>
        <v/>
      </c>
      <c r="V22" s="30" t="str">
        <f aca="false">IF($A22&lt;V$4,"",MIN(1,IF(AND(Assumptions!$B$42=1,OR($A22=104,$A22=105)),INDEX(V$68:V$69,MATCH($A22,$A$68:$A$69,0)),INDEX(CMI_Projection!$L$23:$CC$83,$A22-59,2026+($A22-V$4)-2021))))</f>
        <v/>
      </c>
      <c r="W22" s="30" t="str">
        <f aca="false">IF($A22&lt;W$4,"",MIN(1,IF(AND(Assumptions!$B$42=1,OR($A22=104,$A22=105)),INDEX(W$68:W$69,MATCH($A22,$A$68:$A$69,0)),INDEX(CMI_Projection!$L$23:$CC$83,$A22-59,2026+($A22-W$4)-2021))))</f>
        <v/>
      </c>
      <c r="X22" s="30" t="str">
        <f aca="false">IF($A22&lt;X$4,"",MIN(1,IF(AND(Assumptions!$B$42=1,OR($A22=104,$A22=105)),INDEX(X$68:X$69,MATCH($A22,$A$68:$A$69,0)),INDEX(CMI_Projection!$L$23:$CC$83,$A22-59,2026+($A22-X$4)-2021))))</f>
        <v/>
      </c>
      <c r="Y22" s="30" t="str">
        <f aca="false">IF($A22&lt;Y$4,"",MIN(1,IF(AND(Assumptions!$B$42=1,OR($A22=104,$A22=105)),INDEX(Y$68:Y$69,MATCH($A22,$A$68:$A$69,0)),INDEX(CMI_Projection!$L$23:$CC$83,$A22-59,2026+($A22-Y$4)-2021))))</f>
        <v/>
      </c>
      <c r="Z22" s="30" t="str">
        <f aca="false">IF($A22&lt;Z$4,"",MIN(1,IF(AND(Assumptions!$B$42=1,OR($A22=104,$A22=105)),INDEX(Z$68:Z$69,MATCH($A22,$A$68:$A$69,0)),INDEX(CMI_Projection!$L$23:$CC$83,$A22-59,2026+($A22-Z$4)-2021))))</f>
        <v/>
      </c>
      <c r="AA22" s="30" t="str">
        <f aca="false">IF($A22&lt;AA$4,"",MIN(1,IF(AND(Assumptions!$B$42=1,OR($A22=104,$A22=105)),INDEX(AA$68:AA$69,MATCH($A22,$A$68:$A$69,0)),INDEX(CMI_Projection!$L$23:$CC$83,$A22-59,2026+($A22-AA$4)-2021))))</f>
        <v/>
      </c>
      <c r="AC22" s="30" t="n">
        <f aca="false">IF($A22&lt;AC$4,"",IF($A22=AC$4,1,AC21*(1-B21)))</f>
        <v>0.883075749658798</v>
      </c>
      <c r="AD22" s="30" t="n">
        <f aca="false">IF($A22&lt;AD$4,"",IF($A22=AD$4,1,AD21*(1-C21)))</f>
        <v>0.883866845662325</v>
      </c>
      <c r="AE22" s="30" t="n">
        <f aca="false">IF($A22&lt;AE$4,"",IF($A22=AE$4,1,AE21*(1-D21)))</f>
        <v>0.884952851973099</v>
      </c>
      <c r="AF22" s="30" t="n">
        <f aca="false">IF($A22&lt;AF$4,"",IF($A22=AF$4,1,AF21*(1-E21)))</f>
        <v>0.886373121960333</v>
      </c>
      <c r="AG22" s="30" t="n">
        <f aca="false">IF($A22&lt;AG$4,"",IF($A22=AG$4,1,AG21*(1-F21)))</f>
        <v>0.888172850545574</v>
      </c>
      <c r="AH22" s="30" t="n">
        <f aca="false">IF($A22&lt;AH$4,"",IF($A22=AH$4,1,AH21*(1-G21)))</f>
        <v>0.89040414719072</v>
      </c>
      <c r="AI22" s="30" t="n">
        <f aca="false">IF($A22&lt;AI$4,"",IF($A22=AI$4,1,AI21*(1-H21)))</f>
        <v>0.89335972762294</v>
      </c>
      <c r="AJ22" s="30" t="n">
        <f aca="false">IF($A22&lt;AJ$4,"",IF($A22=AJ$4,1,AJ21*(1-I21)))</f>
        <v>0.896911196595403</v>
      </c>
      <c r="AK22" s="30" t="n">
        <f aca="false">IF($A22&lt;AK$4,"",IF($A22=AK$4,1,AK21*(1-J21)))</f>
        <v>0.901144969383408</v>
      </c>
      <c r="AL22" s="30" t="n">
        <f aca="false">IF($A22&lt;AL$4,"",IF($A22=AL$4,1,AL21*(1-K21)))</f>
        <v>0.906162150042994</v>
      </c>
      <c r="AM22" s="30" t="n">
        <f aca="false">IF($A22&lt;AM$4,"",IF($A22=AM$4,1,AM21*(1-L21)))</f>
        <v>0.912081241073974</v>
      </c>
      <c r="AN22" s="30" t="n">
        <f aca="false">IF($A22&lt;AN$4,"",IF($A22=AN$4,1,AN21*(1-M21)))</f>
        <v>0.91935477331402</v>
      </c>
      <c r="AO22" s="30" t="n">
        <f aca="false">IF($A22&lt;AO$4,"",IF($A22=AO$4,1,AO21*(1-N21)))</f>
        <v>0.927889165206465</v>
      </c>
      <c r="AP22" s="30" t="n">
        <f aca="false">IF($A22&lt;AP$4,"",IF($A22=AP$4,1,AP21*(1-O21)))</f>
        <v>0.937896230907852</v>
      </c>
      <c r="AQ22" s="30" t="n">
        <f aca="false">IF($A22&lt;AQ$4,"",IF($A22=AQ$4,1,AQ21*(1-P21)))</f>
        <v>0.949631947483723</v>
      </c>
      <c r="AR22" s="30" t="n">
        <f aca="false">IF($A22&lt;AR$4,"",IF($A22=AR$4,1,AR21*(1-Q21)))</f>
        <v>0.963406551519002</v>
      </c>
      <c r="AS22" s="30" t="n">
        <f aca="false">IF($A22&lt;AS$4,"",IF($A22=AS$4,1,AS21*(1-R21)))</f>
        <v>0.9802041500944</v>
      </c>
      <c r="AT22" s="30" t="n">
        <f aca="false">IF($A22&lt;AT$4,"",IF($A22=AT$4,1,AT21*(1-S21)))</f>
        <v>1</v>
      </c>
      <c r="AU22" s="30" t="str">
        <f aca="false">IF($A22&lt;AU$4,"",IF($A22=AU$4,1,AU21*(1-T21)))</f>
        <v/>
      </c>
      <c r="AV22" s="30" t="str">
        <f aca="false">IF($A22&lt;AV$4,"",IF($A22=AV$4,1,AV21*(1-U21)))</f>
        <v/>
      </c>
      <c r="AW22" s="30" t="str">
        <f aca="false">IF($A22&lt;AW$4,"",IF($A22=AW$4,1,AW21*(1-V21)))</f>
        <v/>
      </c>
      <c r="AX22" s="30" t="str">
        <f aca="false">IF($A22&lt;AX$4,"",IF($A22=AX$4,1,AX21*(1-W21)))</f>
        <v/>
      </c>
      <c r="AY22" s="30" t="str">
        <f aca="false">IF($A22&lt;AY$4,"",IF($A22=AY$4,1,AY21*(1-X21)))</f>
        <v/>
      </c>
      <c r="AZ22" s="30" t="str">
        <f aca="false">IF($A22&lt;AZ$4,"",IF($A22=AZ$4,1,AZ21*(1-Y21)))</f>
        <v/>
      </c>
      <c r="BA22" s="30" t="str">
        <f aca="false">IF($A22&lt;BA$4,"",IF($A22=BA$4,1,BA21*(1-Z21)))</f>
        <v/>
      </c>
      <c r="BB22" s="30" t="str">
        <f aca="false">IF($A22&lt;BB$4,"",IF($A22=BB$4,1,BB21*(1-AA21)))</f>
        <v/>
      </c>
    </row>
    <row r="23" customFormat="false" ht="15" hidden="false" customHeight="true" outlineLevel="0" collapsed="false">
      <c r="A23" s="3" t="n">
        <v>78</v>
      </c>
      <c r="B23" s="30" t="n">
        <f aca="false">IF($A23&lt;B$4,"",MIN(1,IF(AND(Assumptions!$B$42=1,OR($A23=104,$A23=105)),INDEX(B$68:B$69,MATCH($A23,$A$68:$A$69,0)),INDEX(CMI_Projection!$L$23:$CC$83,$A23-59,2026+($A23-B$4)-2021))))</f>
        <v>0.0192919879571019</v>
      </c>
      <c r="C23" s="30" t="n">
        <f aca="false">IF($A23&lt;C$4,"",MIN(1,IF(AND(Assumptions!$B$42=1,OR($A23=104,$A23=105)),INDEX(C$68:C$69,MATCH($A23,$A$68:$A$69,0)),INDEX(CMI_Projection!$L$23:$CC$83,$A23-59,2026+($A23-C$4)-2021))))</f>
        <v>0.0195857745757379</v>
      </c>
      <c r="D23" s="30" t="n">
        <f aca="false">IF($A23&lt;D$4,"",MIN(1,IF(AND(Assumptions!$B$42=1,OR($A23=104,$A23=105)),INDEX(D$68:D$69,MATCH($A23,$A$68:$A$69,0)),INDEX(CMI_Projection!$L$23:$CC$83,$A23-59,2026+($A23-D$4)-2021))))</f>
        <v>0.019884035102272</v>
      </c>
      <c r="E23" s="30" t="n">
        <f aca="false">IF($A23&lt;E$4,"",MIN(1,IF(AND(Assumptions!$B$42=1,OR($A23=104,$A23=105)),INDEX(E$68:E$69,MATCH($A23,$A$68:$A$69,0)),INDEX(CMI_Projection!$L$23:$CC$83,$A23-59,2026+($A23-E$4)-2021))))</f>
        <v>0.0201868376672812</v>
      </c>
      <c r="F23" s="30" t="n">
        <f aca="false">IF($A23&lt;F$4,"",MIN(1,IF(AND(Assumptions!$B$42=1,OR($A23=104,$A23=105)),INDEX(F$68:F$69,MATCH($A23,$A$68:$A$69,0)),INDEX(CMI_Projection!$L$23:$CC$83,$A23-59,2026+($A23-F$4)-2021))))</f>
        <v>0.0204942514388642</v>
      </c>
      <c r="G23" s="30" t="n">
        <f aca="false">IF($A23&lt;G$4,"",MIN(1,IF(AND(Assumptions!$B$42=1,OR($A23=104,$A23=105)),INDEX(G$68:G$69,MATCH($A23,$A$68:$A$69,0)),INDEX(CMI_Projection!$L$23:$CC$83,$A23-59,2026+($A23-G$4)-2021))))</f>
        <v>0.0208063466384408</v>
      </c>
      <c r="H23" s="30" t="n">
        <f aca="false">IF($A23&lt;H$4,"",MIN(1,IF(AND(Assumptions!$B$42=1,OR($A23=104,$A23=105)),INDEX(H$68:H$69,MATCH($A23,$A$68:$A$69,0)),INDEX(CMI_Projection!$L$23:$CC$83,$A23-59,2026+($A23-H$4)-2021))))</f>
        <v>0.0211231945567927</v>
      </c>
      <c r="I23" s="30" t="n">
        <f aca="false">IF($A23&lt;I$4,"",MIN(1,IF(AND(Assumptions!$B$42=1,OR($A23=104,$A23=105)),INDEX(I$68:I$69,MATCH($A23,$A$68:$A$69,0)),INDEX(CMI_Projection!$L$23:$CC$83,$A23-59,2026+($A23-I$4)-2021))))</f>
        <v>0.0214448675703479</v>
      </c>
      <c r="J23" s="30" t="n">
        <f aca="false">IF($A23&lt;J$4,"",MIN(1,IF(AND(Assumptions!$B$42=1,OR($A23=104,$A23=105)),INDEX(J$68:J$69,MATCH($A23,$A$68:$A$69,0)),INDEX(CMI_Projection!$L$23:$CC$83,$A23-59,2026+($A23-J$4)-2021))))</f>
        <v>0.0217714391577136</v>
      </c>
      <c r="K23" s="30" t="n">
        <f aca="false">IF($A23&lt;K$4,"",MIN(1,IF(AND(Assumptions!$B$42=1,OR($A23=104,$A23=105)),INDEX(K$68:K$69,MATCH($A23,$A$68:$A$69,0)),INDEX(CMI_Projection!$L$23:$CC$83,$A23-59,2026+($A23-K$4)-2021))))</f>
        <v>0.0221029839164605</v>
      </c>
      <c r="L23" s="30" t="n">
        <f aca="false">IF($A23&lt;L$4,"",MIN(1,IF(AND(Assumptions!$B$42=1,OR($A23=104,$A23=105)),INDEX(L$68:L$69,MATCH($A23,$A$68:$A$69,0)),INDEX(CMI_Projection!$L$23:$CC$83,$A23-59,2026+($A23-L$4)-2021))))</f>
        <v>0.022439577580163</v>
      </c>
      <c r="M23" s="30" t="n">
        <f aca="false">IF($A23&lt;M$4,"",MIN(1,IF(AND(Assumptions!$B$42=1,OR($A23=104,$A23=105)),INDEX(M$68:M$69,MATCH($A23,$A$68:$A$69,0)),INDEX(CMI_Projection!$L$23:$CC$83,$A23-59,2026+($A23-M$4)-2021))))</f>
        <v>0.0227812970356985</v>
      </c>
      <c r="N23" s="30" t="n">
        <f aca="false">IF($A23&lt;N$4,"",MIN(1,IF(AND(Assumptions!$B$42=1,OR($A23=104,$A23=105)),INDEX(N$68:N$69,MATCH($A23,$A$68:$A$69,0)),INDEX(CMI_Projection!$L$23:$CC$83,$A23-59,2026+($A23-N$4)-2021))))</f>
        <v>0.0231282203408106</v>
      </c>
      <c r="O23" s="30" t="n">
        <f aca="false">IF($A23&lt;O$4,"",MIN(1,IF(AND(Assumptions!$B$42=1,OR($A23=104,$A23=105)),INDEX(O$68:O$69,MATCH($A23,$A$68:$A$69,0)),INDEX(CMI_Projection!$L$23:$CC$83,$A23-59,2026+($A23-O$4)-2021))))</f>
        <v>0.0234814756488586</v>
      </c>
      <c r="P23" s="30" t="n">
        <f aca="false">IF($A23&lt;P$4,"",MIN(1,IF(AND(Assumptions!$B$42=1,OR($A23=104,$A23=105)),INDEX(P$68:P$69,MATCH($A23,$A$68:$A$69,0)),INDEX(CMI_Projection!$L$23:$CC$83,$A23-59,2026+($A23-P$4)-2021))))</f>
        <v>0.0238452846428807</v>
      </c>
      <c r="Q23" s="30" t="n">
        <f aca="false">IF($A23&lt;Q$4,"",MIN(1,IF(AND(Assumptions!$B$42=1,OR($A23=104,$A23=105)),INDEX(Q$68:Q$69,MATCH($A23,$A$68:$A$69,0)),INDEX(CMI_Projection!$L$23:$CC$83,$A23-59,2026+($A23-Q$4)-2021))))</f>
        <v>0.0242234654312862</v>
      </c>
      <c r="R23" s="30" t="n">
        <f aca="false">IF($A23&lt;R$4,"",MIN(1,IF(AND(Assumptions!$B$42=1,OR($A23=104,$A23=105)),INDEX(R$68:R$69,MATCH($A23,$A$68:$A$69,0)),INDEX(CMI_Projection!$L$23:$CC$83,$A23-59,2026+($A23-R$4)-2021))))</f>
        <v>0.0246191086615606</v>
      </c>
      <c r="S23" s="30" t="n">
        <f aca="false">IF($A23&lt;S$4,"",MIN(1,IF(AND(Assumptions!$B$42=1,OR($A23=104,$A23=105)),INDEX(S$68:S$69,MATCH($A23,$A$68:$A$69,0)),INDEX(CMI_Projection!$L$23:$CC$83,$A23-59,2026+($A23-S$4)-2021))))</f>
        <v>0.0250345201560277</v>
      </c>
      <c r="T23" s="30" t="n">
        <f aca="false">IF($A23&lt;T$4,"",MIN(1,IF(AND(Assumptions!$B$42=1,OR($A23=104,$A23=105)),INDEX(T$68:T$69,MATCH($A23,$A$68:$A$69,0)),INDEX(CMI_Projection!$L$23:$CC$83,$A23-59,2026+($A23-T$4)-2021))))</f>
        <v>0.0254711555035468</v>
      </c>
      <c r="U23" s="30" t="str">
        <f aca="false">IF($A23&lt;U$4,"",MIN(1,IF(AND(Assumptions!$B$42=1,OR($A23=104,$A23=105)),INDEX(U$68:U$69,MATCH($A23,$A$68:$A$69,0)),INDEX(CMI_Projection!$L$23:$CC$83,$A23-59,2026+($A23-U$4)-2021))))</f>
        <v/>
      </c>
      <c r="V23" s="30" t="str">
        <f aca="false">IF($A23&lt;V$4,"",MIN(1,IF(AND(Assumptions!$B$42=1,OR($A23=104,$A23=105)),INDEX(V$68:V$69,MATCH($A23,$A$68:$A$69,0)),INDEX(CMI_Projection!$L$23:$CC$83,$A23-59,2026+($A23-V$4)-2021))))</f>
        <v/>
      </c>
      <c r="W23" s="30" t="str">
        <f aca="false">IF($A23&lt;W$4,"",MIN(1,IF(AND(Assumptions!$B$42=1,OR($A23=104,$A23=105)),INDEX(W$68:W$69,MATCH($A23,$A$68:$A$69,0)),INDEX(CMI_Projection!$L$23:$CC$83,$A23-59,2026+($A23-W$4)-2021))))</f>
        <v/>
      </c>
      <c r="X23" s="30" t="str">
        <f aca="false">IF($A23&lt;X$4,"",MIN(1,IF(AND(Assumptions!$B$42=1,OR($A23=104,$A23=105)),INDEX(X$68:X$69,MATCH($A23,$A$68:$A$69,0)),INDEX(CMI_Projection!$L$23:$CC$83,$A23-59,2026+($A23-X$4)-2021))))</f>
        <v/>
      </c>
      <c r="Y23" s="30" t="str">
        <f aca="false">IF($A23&lt;Y$4,"",MIN(1,IF(AND(Assumptions!$B$42=1,OR($A23=104,$A23=105)),INDEX(Y$68:Y$69,MATCH($A23,$A$68:$A$69,0)),INDEX(CMI_Projection!$L$23:$CC$83,$A23-59,2026+($A23-Y$4)-2021))))</f>
        <v/>
      </c>
      <c r="Z23" s="30" t="str">
        <f aca="false">IF($A23&lt;Z$4,"",MIN(1,IF(AND(Assumptions!$B$42=1,OR($A23=104,$A23=105)),INDEX(Z$68:Z$69,MATCH($A23,$A$68:$A$69,0)),INDEX(CMI_Projection!$L$23:$CC$83,$A23-59,2026+($A23-Z$4)-2021))))</f>
        <v/>
      </c>
      <c r="AA23" s="30" t="str">
        <f aca="false">IF($A23&lt;AA$4,"",MIN(1,IF(AND(Assumptions!$B$42=1,OR($A23=104,$A23=105)),INDEX(AA$68:AA$69,MATCH($A23,$A$68:$A$69,0)),INDEX(CMI_Projection!$L$23:$CC$83,$A23-59,2026+($A23-AA$4)-2021))))</f>
        <v/>
      </c>
      <c r="AC23" s="30" t="n">
        <f aca="false">IF($A23&lt;AC$4,"",IF($A23=AC$4,1,AC22*(1-B22)))</f>
        <v>0.867862019733649</v>
      </c>
      <c r="AD23" s="30" t="n">
        <f aca="false">IF($A23&lt;AD$4,"",IF($A23=AD$4,1,AD22*(1-C22)))</f>
        <v>0.868407597928825</v>
      </c>
      <c r="AE23" s="30" t="n">
        <f aca="false">IF($A23&lt;AE$4,"",IF($A23=AE$4,1,AE22*(1-D22)))</f>
        <v>0.86923890020076</v>
      </c>
      <c r="AF23" s="30" t="n">
        <f aca="false">IF($A23&lt;AF$4,"",IF($A23=AF$4,1,AF22*(1-E22)))</f>
        <v>0.870394267893222</v>
      </c>
      <c r="AG23" s="30" t="n">
        <f aca="false">IF($A23&lt;AG$4,"",IF($A23=AG$4,1,AG22*(1-F22)))</f>
        <v>0.871917725477374</v>
      </c>
      <c r="AH23" s="30" t="n">
        <f aca="false">IF($A23&lt;AH$4,"",IF($A23=AH$4,1,AH22*(1-G22)))</f>
        <v>0.873860023616435</v>
      </c>
      <c r="AI23" s="30" t="n">
        <f aca="false">IF($A23&lt;AI$4,"",IF($A23=AI$4,1,AI22*(1-H22)))</f>
        <v>0.876507910734961</v>
      </c>
      <c r="AJ23" s="30" t="n">
        <f aca="false">IF($A23&lt;AJ$4,"",IF($A23=AJ$4,1,AJ22*(1-I22)))</f>
        <v>0.87973474001933</v>
      </c>
      <c r="AK23" s="30" t="n">
        <f aca="false">IF($A23&lt;AK$4,"",IF($A23=AK$4,1,AK22*(1-J22)))</f>
        <v>0.883624628072745</v>
      </c>
      <c r="AL23" s="30" t="n">
        <f aca="false">IF($A23&lt;AL$4,"",IF($A23=AL$4,1,AL22*(1-K22)))</f>
        <v>0.888275970448571</v>
      </c>
      <c r="AM23" s="30" t="n">
        <f aca="false">IF($A23&lt;AM$4,"",IF($A23=AM$4,1,AM22*(1-L22)))</f>
        <v>0.893804070610581</v>
      </c>
      <c r="AN23" s="30" t="n">
        <f aca="false">IF($A23&lt;AN$4,"",IF($A23=AN$4,1,AN22*(1-M22)))</f>
        <v>0.900651296590785</v>
      </c>
      <c r="AO23" s="30" t="n">
        <f aca="false">IF($A23&lt;AO$4,"",IF($A23=AO$4,1,AO22*(1-N22)))</f>
        <v>0.908722548801479</v>
      </c>
      <c r="AP23" s="30" t="n">
        <f aca="false">IF($A23&lt;AP$4,"",IF($A23=AP$4,1,AP22*(1-O22)))</f>
        <v>0.918220021055557</v>
      </c>
      <c r="AQ23" s="30" t="n">
        <f aca="false">IF($A23&lt;AQ$4,"",IF($A23=AQ$4,1,AQ22*(1-P22)))</f>
        <v>0.929389204849128</v>
      </c>
      <c r="AR23" s="30" t="n">
        <f aca="false">IF($A23&lt;AR$4,"",IF($A23=AR$4,1,AR22*(1-Q22)))</f>
        <v>0.942528685696338</v>
      </c>
      <c r="AS23" s="30" t="n">
        <f aca="false">IF($A23&lt;AS$4,"",IF($A23=AS$4,1,AS22*(1-R22)))</f>
        <v>0.958595994177344</v>
      </c>
      <c r="AT23" s="30" t="n">
        <f aca="false">IF($A23&lt;AT$4,"",IF($A23=AT$4,1,AT22*(1-S22)))</f>
        <v>0.977561326650145</v>
      </c>
      <c r="AU23" s="30" t="n">
        <f aca="false">IF($A23&lt;AU$4,"",IF($A23=AU$4,1,AU22*(1-T22)))</f>
        <v>1</v>
      </c>
      <c r="AV23" s="30" t="str">
        <f aca="false">IF($A23&lt;AV$4,"",IF($A23=AV$4,1,AV22*(1-U22)))</f>
        <v/>
      </c>
      <c r="AW23" s="30" t="str">
        <f aca="false">IF($A23&lt;AW$4,"",IF($A23=AW$4,1,AW22*(1-V22)))</f>
        <v/>
      </c>
      <c r="AX23" s="30" t="str">
        <f aca="false">IF($A23&lt;AX$4,"",IF($A23=AX$4,1,AX22*(1-W22)))</f>
        <v/>
      </c>
      <c r="AY23" s="30" t="str">
        <f aca="false">IF($A23&lt;AY$4,"",IF($A23=AY$4,1,AY22*(1-X22)))</f>
        <v/>
      </c>
      <c r="AZ23" s="30" t="str">
        <f aca="false">IF($A23&lt;AZ$4,"",IF($A23=AZ$4,1,AZ22*(1-Y22)))</f>
        <v/>
      </c>
      <c r="BA23" s="30" t="str">
        <f aca="false">IF($A23&lt;BA$4,"",IF($A23=BA$4,1,BA22*(1-Z22)))</f>
        <v/>
      </c>
      <c r="BB23" s="30" t="str">
        <f aca="false">IF($A23&lt;BB$4,"",IF($A23=BB$4,1,BB22*(1-AA22)))</f>
        <v/>
      </c>
    </row>
    <row r="24" customFormat="false" ht="15" hidden="false" customHeight="true" outlineLevel="0" collapsed="false">
      <c r="A24" s="3" t="n">
        <v>79</v>
      </c>
      <c r="B24" s="30" t="n">
        <f aca="false">IF($A24&lt;B$4,"",MIN(1,IF(AND(Assumptions!$B$42=1,OR($A24=104,$A24=105)),INDEX(B$68:B$69,MATCH($A24,$A$68:$A$69,0)),INDEX(CMI_Projection!$L$23:$CC$83,$A24-59,2026+($A24-B$4)-2021))))</f>
        <v>0.0216251478274</v>
      </c>
      <c r="C24" s="30" t="n">
        <f aca="false">IF($A24&lt;C$4,"",MIN(1,IF(AND(Assumptions!$B$42=1,OR($A24=104,$A24=105)),INDEX(C$68:C$69,MATCH($A24,$A$68:$A$69,0)),INDEX(CMI_Projection!$L$23:$CC$83,$A24-59,2026+($A24-C$4)-2021))))</f>
        <v>0.0219544647993909</v>
      </c>
      <c r="D24" s="30" t="n">
        <f aca="false">IF($A24&lt;D$4,"",MIN(1,IF(AND(Assumptions!$B$42=1,OR($A24=104,$A24=105)),INDEX(D$68:D$69,MATCH($A24,$A$68:$A$69,0)),INDEX(CMI_Projection!$L$23:$CC$83,$A24-59,2026+($A24-D$4)-2021))))</f>
        <v>0.0222887967506507</v>
      </c>
      <c r="E24" s="30" t="n">
        <f aca="false">IF($A24&lt;E$4,"",MIN(1,IF(AND(Assumptions!$B$42=1,OR($A24=104,$A24=105)),INDEX(E$68:E$69,MATCH($A24,$A$68:$A$69,0)),INDEX(CMI_Projection!$L$23:$CC$83,$A24-59,2026+($A24-E$4)-2021))))</f>
        <v>0.022628220051422</v>
      </c>
      <c r="F24" s="30" t="n">
        <f aca="false">IF($A24&lt;F$4,"",MIN(1,IF(AND(Assumptions!$B$42=1,OR($A24=104,$A24=105)),INDEX(F$68:F$69,MATCH($A24,$A$68:$A$69,0)),INDEX(CMI_Projection!$L$23:$CC$83,$A24-59,2026+($A24-F$4)-2021))))</f>
        <v>0.0229728122349462</v>
      </c>
      <c r="G24" s="30" t="n">
        <f aca="false">IF($A24&lt;G$4,"",MIN(1,IF(AND(Assumptions!$B$42=1,OR($A24=104,$A24=105)),INDEX(G$68:G$69,MATCH($A24,$A$68:$A$69,0)),INDEX(CMI_Projection!$L$23:$CC$83,$A24-59,2026+($A24-G$4)-2021))))</f>
        <v>0.0233226520151738</v>
      </c>
      <c r="H24" s="30" t="n">
        <f aca="false">IF($A24&lt;H$4,"",MIN(1,IF(AND(Assumptions!$B$42=1,OR($A24=104,$A24=105)),INDEX(H$68:H$69,MATCH($A24,$A$68:$A$69,0)),INDEX(CMI_Projection!$L$23:$CC$83,$A24-59,2026+($A24-H$4)-2021))))</f>
        <v>0.023677819304745</v>
      </c>
      <c r="I24" s="30" t="n">
        <f aca="false">IF($A24&lt;I$4,"",MIN(1,IF(AND(Assumptions!$B$42=1,OR($A24=104,$A24=105)),INDEX(I$68:I$69,MATCH($A24,$A$68:$A$69,0)),INDEX(CMI_Projection!$L$23:$CC$83,$A24-59,2026+($A24-I$4)-2021))))</f>
        <v>0.0240383952332436</v>
      </c>
      <c r="J24" s="30" t="n">
        <f aca="false">IF($A24&lt;J$4,"",MIN(1,IF(AND(Assumptions!$B$42=1,OR($A24=104,$A24=105)),INDEX(J$68:J$69,MATCH($A24,$A$68:$A$69,0)),INDEX(CMI_Projection!$L$23:$CC$83,$A24-59,2026+($A24-J$4)-2021))))</f>
        <v>0.0244044621657296</v>
      </c>
      <c r="K24" s="30" t="n">
        <f aca="false">IF($A24&lt;K$4,"",MIN(1,IF(AND(Assumptions!$B$42=1,OR($A24=104,$A24=105)),INDEX(K$68:K$69,MATCH($A24,$A$68:$A$69,0)),INDEX(CMI_Projection!$L$23:$CC$83,$A24-59,2026+($A24-K$4)-2021))))</f>
        <v>0.0247761037215529</v>
      </c>
      <c r="L24" s="30" t="n">
        <f aca="false">IF($A24&lt;L$4,"",MIN(1,IF(AND(Assumptions!$B$42=1,OR($A24=104,$A24=105)),INDEX(L$68:L$69,MATCH($A24,$A$68:$A$69,0)),INDEX(CMI_Projection!$L$23:$CC$83,$A24-59,2026+($A24-L$4)-2021))))</f>
        <v>0.0251534047934547</v>
      </c>
      <c r="M24" s="30" t="n">
        <f aca="false">IF($A24&lt;M$4,"",MIN(1,IF(AND(Assumptions!$B$42=1,OR($A24=104,$A24=105)),INDEX(M$68:M$69,MATCH($A24,$A$68:$A$69,0)),INDEX(CMI_Projection!$L$23:$CC$83,$A24-59,2026+($A24-M$4)-2021))))</f>
        <v>0.0255364515669591</v>
      </c>
      <c r="N24" s="30" t="n">
        <f aca="false">IF($A24&lt;N$4,"",MIN(1,IF(AND(Assumptions!$B$42=1,OR($A24=104,$A24=105)),INDEX(N$68:N$69,MATCH($A24,$A$68:$A$69,0)),INDEX(CMI_Projection!$L$23:$CC$83,$A24-59,2026+($A24-N$4)-2021))))</f>
        <v>0.02592533154006</v>
      </c>
      <c r="O24" s="30" t="n">
        <f aca="false">IF($A24&lt;O$4,"",MIN(1,IF(AND(Assumptions!$B$42=1,OR($A24=104,$A24=105)),INDEX(O$68:O$69,MATCH($A24,$A$68:$A$69,0)),INDEX(CMI_Projection!$L$23:$CC$83,$A24-59,2026+($A24-O$4)-2021))))</f>
        <v>0.0263201335432081</v>
      </c>
      <c r="P24" s="30" t="n">
        <f aca="false">IF($A24&lt;P$4,"",MIN(1,IF(AND(Assumptions!$B$42=1,OR($A24=104,$A24=105)),INDEX(P$68:P$69,MATCH($A24,$A$68:$A$69,0)),INDEX(CMI_Projection!$L$23:$CC$83,$A24-59,2026+($A24-P$4)-2021))))</f>
        <v>0.02672122253741</v>
      </c>
      <c r="Q24" s="30" t="n">
        <f aca="false">IF($A24&lt;Q$4,"",MIN(1,IF(AND(Assumptions!$B$42=1,OR($A24=104,$A24=105)),INDEX(Q$68:Q$69,MATCH($A24,$A$68:$A$69,0)),INDEX(CMI_Projection!$L$23:$CC$83,$A24-59,2026+($A24-Q$4)-2021))))</f>
        <v>0.0271323144548724</v>
      </c>
      <c r="R24" s="30" t="n">
        <f aca="false">IF($A24&lt;R$4,"",MIN(1,IF(AND(Assumptions!$B$42=1,OR($A24=104,$A24=105)),INDEX(R$68:R$69,MATCH($A24,$A$68:$A$69,0)),INDEX(CMI_Projection!$L$23:$CC$83,$A24-59,2026+($A24-R$4)-2021))))</f>
        <v>0.0275575513678072</v>
      </c>
      <c r="S24" s="30" t="n">
        <f aca="false">IF($A24&lt;S$4,"",MIN(1,IF(AND(Assumptions!$B$42=1,OR($A24=104,$A24=105)),INDEX(S$68:S$69,MATCH($A24,$A$68:$A$69,0)),INDEX(CMI_Projection!$L$23:$CC$83,$A24-59,2026+($A24-S$4)-2021))))</f>
        <v>0.0280003072561571</v>
      </c>
      <c r="T24" s="30" t="n">
        <f aca="false">IF($A24&lt;T$4,"",MIN(1,IF(AND(Assumptions!$B$42=1,OR($A24=104,$A24=105)),INDEX(T$68:T$69,MATCH($A24,$A$68:$A$69,0)),INDEX(CMI_Projection!$L$23:$CC$83,$A24-59,2026+($A24-T$4)-2021))))</f>
        <v>0.0284631268774282</v>
      </c>
      <c r="U24" s="30" t="n">
        <f aca="false">IF($A24&lt;U$4,"",MIN(1,IF(AND(Assumptions!$B$42=1,OR($A24=104,$A24=105)),INDEX(U$68:U$69,MATCH($A24,$A$68:$A$69,0)),INDEX(CMI_Projection!$L$23:$CC$83,$A24-59,2026+($A24-U$4)-2021))))</f>
        <v>0.02894765742425</v>
      </c>
      <c r="V24" s="30" t="str">
        <f aca="false">IF($A24&lt;V$4,"",MIN(1,IF(AND(Assumptions!$B$42=1,OR($A24=104,$A24=105)),INDEX(V$68:V$69,MATCH($A24,$A$68:$A$69,0)),INDEX(CMI_Projection!$L$23:$CC$83,$A24-59,2026+($A24-V$4)-2021))))</f>
        <v/>
      </c>
      <c r="W24" s="30" t="str">
        <f aca="false">IF($A24&lt;W$4,"",MIN(1,IF(AND(Assumptions!$B$42=1,OR($A24=104,$A24=105)),INDEX(W$68:W$69,MATCH($A24,$A$68:$A$69,0)),INDEX(CMI_Projection!$L$23:$CC$83,$A24-59,2026+($A24-W$4)-2021))))</f>
        <v/>
      </c>
      <c r="X24" s="30" t="str">
        <f aca="false">IF($A24&lt;X$4,"",MIN(1,IF(AND(Assumptions!$B$42=1,OR($A24=104,$A24=105)),INDEX(X$68:X$69,MATCH($A24,$A$68:$A$69,0)),INDEX(CMI_Projection!$L$23:$CC$83,$A24-59,2026+($A24-X$4)-2021))))</f>
        <v/>
      </c>
      <c r="Y24" s="30" t="str">
        <f aca="false">IF($A24&lt;Y$4,"",MIN(1,IF(AND(Assumptions!$B$42=1,OR($A24=104,$A24=105)),INDEX(Y$68:Y$69,MATCH($A24,$A$68:$A$69,0)),INDEX(CMI_Projection!$L$23:$CC$83,$A24-59,2026+($A24-Y$4)-2021))))</f>
        <v/>
      </c>
      <c r="Z24" s="30" t="str">
        <f aca="false">IF($A24&lt;Z$4,"",MIN(1,IF(AND(Assumptions!$B$42=1,OR($A24=104,$A24=105)),INDEX(Z$68:Z$69,MATCH($A24,$A$68:$A$69,0)),INDEX(CMI_Projection!$L$23:$CC$83,$A24-59,2026+($A24-Z$4)-2021))))</f>
        <v/>
      </c>
      <c r="AA24" s="30" t="str">
        <f aca="false">IF($A24&lt;AA$4,"",MIN(1,IF(AND(Assumptions!$B$42=1,OR($A24=104,$A24=105)),INDEX(AA$68:AA$69,MATCH($A24,$A$68:$A$69,0)),INDEX(CMI_Projection!$L$23:$CC$83,$A24-59,2026+($A24-AA$4)-2021))))</f>
        <v/>
      </c>
      <c r="AC24" s="30" t="n">
        <f aca="false">IF($A24&lt;AC$4,"",IF($A24=AC$4,1,AC23*(1-B23)))</f>
        <v>0.851119236100521</v>
      </c>
      <c r="AD24" s="30" t="n">
        <f aca="false">IF($A24&lt;AD$4,"",IF($A24=AD$4,1,AD23*(1-C23)))</f>
        <v>0.851399162475933</v>
      </c>
      <c r="AE24" s="30" t="n">
        <f aca="false">IF($A24&lt;AE$4,"",IF($A24=AE$4,1,AE23*(1-D23)))</f>
        <v>0.851954923396907</v>
      </c>
      <c r="AF24" s="30" t="n">
        <f aca="false">IF($A24&lt;AF$4,"",IF($A24=AF$4,1,AF23*(1-E23)))</f>
        <v>0.852823760100729</v>
      </c>
      <c r="AG24" s="30" t="n">
        <f aca="false">IF($A24&lt;AG$4,"",IF($A24=AG$4,1,AG23*(1-F23)))</f>
        <v>0.854048424377438</v>
      </c>
      <c r="AH24" s="30" t="n">
        <f aca="false">IF($A24&lt;AH$4,"",IF($A24=AH$4,1,AH23*(1-G23)))</f>
        <v>0.855678189051595</v>
      </c>
      <c r="AI24" s="30" t="n">
        <f aca="false">IF($A24&lt;AI$4,"",IF($A24=AI$4,1,AI23*(1-H23)))</f>
        <v>0.857993263605939</v>
      </c>
      <c r="AJ24" s="30" t="n">
        <f aca="false">IF($A24&lt;AJ$4,"",IF($A24=AJ$4,1,AJ23*(1-I23)))</f>
        <v>0.860868945022581</v>
      </c>
      <c r="AK24" s="30" t="n">
        <f aca="false">IF($A24&lt;AK$4,"",IF($A24=AK$4,1,AK23*(1-J23)))</f>
        <v>0.864386848244402</v>
      </c>
      <c r="AL24" s="30" t="n">
        <f aca="false">IF($A24&lt;AL$4,"",IF($A24=AL$4,1,AL23*(1-K23)))</f>
        <v>0.868642420960368</v>
      </c>
      <c r="AM24" s="30" t="n">
        <f aca="false">IF($A24&lt;AM$4,"",IF($A24=AM$4,1,AM23*(1-L23)))</f>
        <v>0.873747484826649</v>
      </c>
      <c r="AN24" s="30" t="n">
        <f aca="false">IF($A24&lt;AN$4,"",IF($A24=AN$4,1,AN23*(1-M23)))</f>
        <v>0.880133291877564</v>
      </c>
      <c r="AO24" s="30" t="n">
        <f aca="false">IF($A24&lt;AO$4,"",IF($A24=AO$4,1,AO23*(1-N23)))</f>
        <v>0.887705413464136</v>
      </c>
      <c r="AP24" s="30" t="n">
        <f aca="false">IF($A24&lt;AP$4,"",IF($A24=AP$4,1,AP23*(1-O23)))</f>
        <v>0.896658859990846</v>
      </c>
      <c r="AQ24" s="30" t="n">
        <f aca="false">IF($A24&lt;AQ$4,"",IF($A24=AQ$4,1,AQ23*(1-P23)))</f>
        <v>0.90722765471548</v>
      </c>
      <c r="AR24" s="30" t="n">
        <f aca="false">IF($A24&lt;AR$4,"",IF($A24=AR$4,1,AR23*(1-Q23)))</f>
        <v>0.919697374660377</v>
      </c>
      <c r="AS24" s="30" t="n">
        <f aca="false">IF($A24&lt;AS$4,"",IF($A24=AS$4,1,AS23*(1-R23)))</f>
        <v>0.934996215234156</v>
      </c>
      <c r="AT24" s="30" t="n">
        <f aca="false">IF($A24&lt;AT$4,"",IF($A24=AT$4,1,AT23*(1-S23)))</f>
        <v>0.953088547914368</v>
      </c>
      <c r="AU24" s="30" t="n">
        <f aca="false">IF($A24&lt;AU$4,"",IF($A24=AU$4,1,AU23*(1-T23)))</f>
        <v>0.974528844496453</v>
      </c>
      <c r="AV24" s="30" t="n">
        <f aca="false">IF($A24&lt;AV$4,"",IF($A24=AV$4,1,AV23*(1-U23)))</f>
        <v>1</v>
      </c>
      <c r="AW24" s="30" t="str">
        <f aca="false">IF($A24&lt;AW$4,"",IF($A24=AW$4,1,AW23*(1-V23)))</f>
        <v/>
      </c>
      <c r="AX24" s="30" t="str">
        <f aca="false">IF($A24&lt;AX$4,"",IF($A24=AX$4,1,AX23*(1-W23)))</f>
        <v/>
      </c>
      <c r="AY24" s="30" t="str">
        <f aca="false">IF($A24&lt;AY$4,"",IF($A24=AY$4,1,AY23*(1-X23)))</f>
        <v/>
      </c>
      <c r="AZ24" s="30" t="str">
        <f aca="false">IF($A24&lt;AZ$4,"",IF($A24=AZ$4,1,AZ23*(1-Y23)))</f>
        <v/>
      </c>
      <c r="BA24" s="30" t="str">
        <f aca="false">IF($A24&lt;BA$4,"",IF($A24=BA$4,1,BA23*(1-Z23)))</f>
        <v/>
      </c>
      <c r="BB24" s="30" t="str">
        <f aca="false">IF($A24&lt;BB$4,"",IF($A24=BB$4,1,BB23*(1-AA23)))</f>
        <v/>
      </c>
    </row>
    <row r="25" customFormat="false" ht="15" hidden="false" customHeight="true" outlineLevel="0" collapsed="false">
      <c r="A25" s="3" t="n">
        <v>80</v>
      </c>
      <c r="B25" s="30" t="n">
        <f aca="false">IF($A25&lt;B$4,"",MIN(1,IF(AND(Assumptions!$B$42=1,OR($A25=104,$A25=105)),INDEX(B$68:B$69,MATCH($A25,$A$68:$A$69,0)),INDEX(CMI_Projection!$L$23:$CC$83,$A25-59,2026+($A25-B$4)-2021))))</f>
        <v>0.0250854176505492</v>
      </c>
      <c r="C25" s="30" t="n">
        <f aca="false">IF($A25&lt;C$4,"",MIN(1,IF(AND(Assumptions!$B$42=1,OR($A25=104,$A25=105)),INDEX(C$68:C$69,MATCH($A25,$A$68:$A$69,0)),INDEX(CMI_Projection!$L$23:$CC$83,$A25-59,2026+($A25-C$4)-2021))))</f>
        <v>0.025467429086852</v>
      </c>
      <c r="D25" s="30" t="n">
        <f aca="false">IF($A25&lt;D$4,"",MIN(1,IF(AND(Assumptions!$B$42=1,OR($A25=104,$A25=105)),INDEX(D$68:D$69,MATCH($A25,$A$68:$A$69,0)),INDEX(CMI_Projection!$L$23:$CC$83,$A25-59,2026+($A25-D$4)-2021))))</f>
        <v>0.0258552579561949</v>
      </c>
      <c r="E25" s="30" t="n">
        <f aca="false">IF($A25&lt;E$4,"",MIN(1,IF(AND(Assumptions!$B$42=1,OR($A25=104,$A25=105)),INDEX(E$68:E$69,MATCH($A25,$A$68:$A$69,0)),INDEX(CMI_Projection!$L$23:$CC$83,$A25-59,2026+($A25-E$4)-2021))))</f>
        <v>0.0262489928489289</v>
      </c>
      <c r="F25" s="30" t="n">
        <f aca="false">IF($A25&lt;F$4,"",MIN(1,IF(AND(Assumptions!$B$42=1,OR($A25=104,$A25=105)),INDEX(F$68:F$69,MATCH($A25,$A$68:$A$69,0)),INDEX(CMI_Projection!$L$23:$CC$83,$A25-59,2026+($A25-F$4)-2021))))</f>
        <v>0.0266487237044963</v>
      </c>
      <c r="G25" s="30" t="n">
        <f aca="false">IF($A25&lt;G$4,"",MIN(1,IF(AND(Assumptions!$B$42=1,OR($A25=104,$A25=105)),INDEX(G$68:G$69,MATCH($A25,$A$68:$A$69,0)),INDEX(CMI_Projection!$L$23:$CC$83,$A25-59,2026+($A25-G$4)-2021))))</f>
        <v>0.027054541831976</v>
      </c>
      <c r="H25" s="30" t="n">
        <f aca="false">IF($A25&lt;H$4,"",MIN(1,IF(AND(Assumptions!$B$42=1,OR($A25=104,$A25=105)),INDEX(H$68:H$69,MATCH($A25,$A$68:$A$69,0)),INDEX(CMI_Projection!$L$23:$CC$83,$A25-59,2026+($A25-H$4)-2021))))</f>
        <v>0.0274665399309401</v>
      </c>
      <c r="I25" s="30" t="n">
        <f aca="false">IF($A25&lt;I$4,"",MIN(1,IF(AND(Assumptions!$B$42=1,OR($A25=104,$A25=105)),INDEX(I$68:I$69,MATCH($A25,$A$68:$A$69,0)),INDEX(CMI_Projection!$L$23:$CC$83,$A25-59,2026+($A25-I$4)-2021))))</f>
        <v>0.0278848121126295</v>
      </c>
      <c r="J25" s="30" t="n">
        <f aca="false">IF($A25&lt;J$4,"",MIN(1,IF(AND(Assumptions!$B$42=1,OR($A25=104,$A25=105)),INDEX(J$68:J$69,MATCH($A25,$A$68:$A$69,0)),INDEX(CMI_Projection!$L$23:$CC$83,$A25-59,2026+($A25-J$4)-2021))))</f>
        <v>0.0283094539214513</v>
      </c>
      <c r="K25" s="30" t="n">
        <f aca="false">IF($A25&lt;K$4,"",MIN(1,IF(AND(Assumptions!$B$42=1,OR($A25=104,$A25=105)),INDEX(K$68:K$69,MATCH($A25,$A$68:$A$69,0)),INDEX(CMI_Projection!$L$23:$CC$83,$A25-59,2026+($A25-K$4)-2021))))</f>
        <v>0.0287405623568033</v>
      </c>
      <c r="L25" s="30" t="n">
        <f aca="false">IF($A25&lt;L$4,"",MIN(1,IF(AND(Assumptions!$B$42=1,OR($A25=104,$A25=105)),INDEX(L$68:L$69,MATCH($A25,$A$68:$A$69,0)),INDEX(CMI_Projection!$L$23:$CC$83,$A25-59,2026+($A25-L$4)-2021))))</f>
        <v>0.0291782358952318</v>
      </c>
      <c r="M25" s="30" t="n">
        <f aca="false">IF($A25&lt;M$4,"",MIN(1,IF(AND(Assumptions!$B$42=1,OR($A25=104,$A25=105)),INDEX(M$68:M$69,MATCH($A25,$A$68:$A$69,0)),INDEX(CMI_Projection!$L$23:$CC$83,$A25-59,2026+($A25-M$4)-2021))))</f>
        <v>0.0296225745129257</v>
      </c>
      <c r="N25" s="30" t="n">
        <f aca="false">IF($A25&lt;N$4,"",MIN(1,IF(AND(Assumptions!$B$42=1,OR($A25=104,$A25=105)),INDEX(N$68:N$69,MATCH($A25,$A$68:$A$69,0)),INDEX(CMI_Projection!$L$23:$CC$83,$A25-59,2026+($A25-N$4)-2021))))</f>
        <v>0.030073679708554</v>
      </c>
      <c r="O25" s="30" t="n">
        <f aca="false">IF($A25&lt;O$4,"",MIN(1,IF(AND(Assumptions!$B$42=1,OR($A25=104,$A25=105)),INDEX(O$68:O$69,MATCH($A25,$A$68:$A$69,0)),INDEX(CMI_Projection!$L$23:$CC$83,$A25-59,2026+($A25-O$4)-2021))))</f>
        <v>0.0305316545264507</v>
      </c>
      <c r="P25" s="30" t="n">
        <f aca="false">IF($A25&lt;P$4,"",MIN(1,IF(AND(Assumptions!$B$42=1,OR($A25=104,$A25=105)),INDEX(P$68:P$69,MATCH($A25,$A$68:$A$69,0)),INDEX(CMI_Projection!$L$23:$CC$83,$A25-59,2026+($A25-P$4)-2021))))</f>
        <v>0.030996603580153</v>
      </c>
      <c r="Q25" s="30" t="n">
        <f aca="false">IF($A25&lt;Q$4,"",MIN(1,IF(AND(Assumptions!$B$42=1,OR($A25=104,$A25=105)),INDEX(Q$68:Q$69,MATCH($A25,$A$68:$A$69,0)),INDEX(CMI_Projection!$L$23:$CC$83,$A25-59,2026+($A25-Q$4)-2021))))</f>
        <v>0.0314686330762975</v>
      </c>
      <c r="R25" s="30" t="n">
        <f aca="false">IF($A25&lt;R$4,"",MIN(1,IF(AND(Assumptions!$B$42=1,OR($A25=104,$A25=105)),INDEX(R$68:R$69,MATCH($A25,$A$68:$A$69,0)),INDEX(CMI_Projection!$L$23:$CC$83,$A25-59,2026+($A25-R$4)-2021))))</f>
        <v>0.0319503115220893</v>
      </c>
      <c r="S25" s="30" t="n">
        <f aca="false">IF($A25&lt;S$4,"",MIN(1,IF(AND(Assumptions!$B$42=1,OR($A25=104,$A25=105)),INDEX(S$68:S$69,MATCH($A25,$A$68:$A$69,0)),INDEX(CMI_Projection!$L$23:$CC$83,$A25-59,2026+($A25-S$4)-2021))))</f>
        <v>0.0324461460079353</v>
      </c>
      <c r="T25" s="30" t="n">
        <f aca="false">IF($A25&lt;T$4,"",MIN(1,IF(AND(Assumptions!$B$42=1,OR($A25=104,$A25=105)),INDEX(T$68:T$69,MATCH($A25,$A$68:$A$69,0)),INDEX(CMI_Projection!$L$23:$CC$83,$A25-59,2026+($A25-T$4)-2021))))</f>
        <v>0.0329598319468251</v>
      </c>
      <c r="U25" s="30" t="n">
        <f aca="false">IF($A25&lt;U$4,"",MIN(1,IF(AND(Assumptions!$B$42=1,OR($A25=104,$A25=105)),INDEX(U$68:U$69,MATCH($A25,$A$68:$A$69,0)),INDEX(CMI_Projection!$L$23:$CC$83,$A25-59,2026+($A25-U$4)-2021))))</f>
        <v>0.0334941874060341</v>
      </c>
      <c r="V25" s="30" t="n">
        <f aca="false">IF($A25&lt;V$4,"",MIN(1,IF(AND(Assumptions!$B$42=1,OR($A25=104,$A25=105)),INDEX(V$68:V$69,MATCH($A25,$A$68:$A$69,0)),INDEX(CMI_Projection!$L$23:$CC$83,$A25-59,2026+($A25-V$4)-2021))))</f>
        <v>0.0340510811012834</v>
      </c>
      <c r="W25" s="30" t="str">
        <f aca="false">IF($A25&lt;W$4,"",MIN(1,IF(AND(Assumptions!$B$42=1,OR($A25=104,$A25=105)),INDEX(W$68:W$69,MATCH($A25,$A$68:$A$69,0)),INDEX(CMI_Projection!$L$23:$CC$83,$A25-59,2026+($A25-W$4)-2021))))</f>
        <v/>
      </c>
      <c r="X25" s="30" t="str">
        <f aca="false">IF($A25&lt;X$4,"",MIN(1,IF(AND(Assumptions!$B$42=1,OR($A25=104,$A25=105)),INDEX(X$68:X$69,MATCH($A25,$A$68:$A$69,0)),INDEX(CMI_Projection!$L$23:$CC$83,$A25-59,2026+($A25-X$4)-2021))))</f>
        <v/>
      </c>
      <c r="Y25" s="30" t="str">
        <f aca="false">IF($A25&lt;Y$4,"",MIN(1,IF(AND(Assumptions!$B$42=1,OR($A25=104,$A25=105)),INDEX(Y$68:Y$69,MATCH($A25,$A$68:$A$69,0)),INDEX(CMI_Projection!$L$23:$CC$83,$A25-59,2026+($A25-Y$4)-2021))))</f>
        <v/>
      </c>
      <c r="Z25" s="30" t="str">
        <f aca="false">IF($A25&lt;Z$4,"",MIN(1,IF(AND(Assumptions!$B$42=1,OR($A25=104,$A25=105)),INDEX(Z$68:Z$69,MATCH($A25,$A$68:$A$69,0)),INDEX(CMI_Projection!$L$23:$CC$83,$A25-59,2026+($A25-Z$4)-2021))))</f>
        <v/>
      </c>
      <c r="AA25" s="30" t="str">
        <f aca="false">IF($A25&lt;AA$4,"",MIN(1,IF(AND(Assumptions!$B$42=1,OR($A25=104,$A25=105)),INDEX(AA$68:AA$69,MATCH($A25,$A$68:$A$69,0)),INDEX(CMI_Projection!$L$23:$CC$83,$A25-59,2026+($A25-AA$4)-2021))))</f>
        <v/>
      </c>
      <c r="AC25" s="30" t="n">
        <f aca="false">IF($A25&lt;AC$4,"",IF($A25=AC$4,1,AC24*(1-B24)))</f>
        <v>0.832713656801104</v>
      </c>
      <c r="AD25" s="30" t="n">
        <f aca="false">IF($A25&lt;AD$4,"",IF($A25=AD$4,1,AD24*(1-C24)))</f>
        <v>0.832707149533124</v>
      </c>
      <c r="AE25" s="30" t="n">
        <f aca="false">IF($A25&lt;AE$4,"",IF($A25=AE$4,1,AE24*(1-D24)))</f>
        <v>0.832965873268598</v>
      </c>
      <c r="AF25" s="30" t="n">
        <f aca="false">IF($A25&lt;AF$4,"",IF($A25=AF$4,1,AF24*(1-E24)))</f>
        <v>0.833525876392089</v>
      </c>
      <c r="AG25" s="30" t="n">
        <f aca="false">IF($A25&lt;AG$4,"",IF($A25=AG$4,1,AG24*(1-F24)))</f>
        <v>0.834428530284664</v>
      </c>
      <c r="AH25" s="30" t="n">
        <f aca="false">IF($A25&lt;AH$4,"",IF($A25=AH$4,1,AH24*(1-G24)))</f>
        <v>0.835721504411371</v>
      </c>
      <c r="AI25" s="30" t="n">
        <f aca="false">IF($A25&lt;AI$4,"",IF($A25=AI$4,1,AI24*(1-H24)))</f>
        <v>0.837677854145589</v>
      </c>
      <c r="AJ25" s="30" t="n">
        <f aca="false">IF($A25&lt;AJ$4,"",IF($A25=AJ$4,1,AJ24*(1-I24)))</f>
        <v>0.840175037078103</v>
      </c>
      <c r="AK25" s="30" t="n">
        <f aca="false">IF($A25&lt;AK$4,"",IF($A25=AK$4,1,AK24*(1-J24)))</f>
        <v>0.843291952109867</v>
      </c>
      <c r="AL25" s="30" t="n">
        <f aca="false">IF($A25&lt;AL$4,"",IF($A25=AL$4,1,AL24*(1-K24)))</f>
        <v>0.847120846241713</v>
      </c>
      <c r="AM25" s="30" t="n">
        <f aca="false">IF($A25&lt;AM$4,"",IF($A25=AM$4,1,AM24*(1-L24)))</f>
        <v>0.851769760653542</v>
      </c>
      <c r="AN25" s="30" t="n">
        <f aca="false">IF($A25&lt;AN$4,"",IF($A25=AN$4,1,AN24*(1-M24)))</f>
        <v>0.857657810697064</v>
      </c>
      <c r="AO25" s="30" t="n">
        <f aca="false">IF($A25&lt;AO$4,"",IF($A25=AO$4,1,AO24*(1-N24)))</f>
        <v>0.864691356310172</v>
      </c>
      <c r="AP25" s="30" t="n">
        <f aca="false">IF($A25&lt;AP$4,"",IF($A25=AP$4,1,AP24*(1-O24)))</f>
        <v>0.873058679053186</v>
      </c>
      <c r="AQ25" s="30" t="n">
        <f aca="false">IF($A25&lt;AQ$4,"",IF($A25=AQ$4,1,AQ24*(1-P24)))</f>
        <v>0.882985422661735</v>
      </c>
      <c r="AR25" s="30" t="n">
        <f aca="false">IF($A25&lt;AR$4,"",IF($A25=AR$4,1,AR24*(1-Q24)))</f>
        <v>0.894743856287771</v>
      </c>
      <c r="AS25" s="30" t="n">
        <f aca="false">IF($A25&lt;AS$4,"",IF($A25=AS$4,1,AS24*(1-R24)))</f>
        <v>0.909230009004135</v>
      </c>
      <c r="AT25" s="30" t="n">
        <f aca="false">IF($A25&lt;AT$4,"",IF($A25=AT$4,1,AT24*(1-S24)))</f>
        <v>0.926401775730442</v>
      </c>
      <c r="AU25" s="30" t="n">
        <f aca="false">IF($A25&lt;AU$4,"",IF($A25=AU$4,1,AU24*(1-T24)))</f>
        <v>0.946790706349837</v>
      </c>
      <c r="AV25" s="30" t="n">
        <f aca="false">IF($A25&lt;AV$4,"",IF($A25=AV$4,1,AV24*(1-U24)))</f>
        <v>0.97105234257575</v>
      </c>
      <c r="AW25" s="30" t="n">
        <f aca="false">IF($A25&lt;AW$4,"",IF($A25=AW$4,1,AW24*(1-V24)))</f>
        <v>1</v>
      </c>
      <c r="AX25" s="30" t="str">
        <f aca="false">IF($A25&lt;AX$4,"",IF($A25=AX$4,1,AX24*(1-W24)))</f>
        <v/>
      </c>
      <c r="AY25" s="30" t="str">
        <f aca="false">IF($A25&lt;AY$4,"",IF($A25=AY$4,1,AY24*(1-X24)))</f>
        <v/>
      </c>
      <c r="AZ25" s="30" t="str">
        <f aca="false">IF($A25&lt;AZ$4,"",IF($A25=AZ$4,1,AZ24*(1-Y24)))</f>
        <v/>
      </c>
      <c r="BA25" s="30" t="str">
        <f aca="false">IF($A25&lt;BA$4,"",IF($A25=BA$4,1,BA24*(1-Z24)))</f>
        <v/>
      </c>
      <c r="BB25" s="30" t="str">
        <f aca="false">IF($A25&lt;BB$4,"",IF($A25=BB$4,1,BB24*(1-AA24)))</f>
        <v/>
      </c>
    </row>
    <row r="26" customFormat="false" ht="15" hidden="false" customHeight="true" outlineLevel="0" collapsed="false">
      <c r="A26" s="3" t="n">
        <v>81</v>
      </c>
      <c r="B26" s="30" t="n">
        <f aca="false">IF($A26&lt;B$4,"",MIN(1,IF(AND(Assumptions!$B$42=1,OR($A26=104,$A26=105)),INDEX(B$68:B$69,MATCH($A26,$A$68:$A$69,0)),INDEX(CMI_Projection!$L$23:$CC$83,$A26-59,2026+($A26-B$4)-2021))))</f>
        <v>0.0281529972851669</v>
      </c>
      <c r="C26" s="30" t="n">
        <f aca="false">IF($A26&lt;C$4,"",MIN(1,IF(AND(Assumptions!$B$42=1,OR($A26=104,$A26=105)),INDEX(C$68:C$69,MATCH($A26,$A$68:$A$69,0)),INDEX(CMI_Projection!$L$23:$CC$83,$A26-59,2026+($A26-C$4)-2021))))</f>
        <v>0.0285817231321491</v>
      </c>
      <c r="D26" s="30" t="n">
        <f aca="false">IF($A26&lt;D$4,"",MIN(1,IF(AND(Assumptions!$B$42=1,OR($A26=104,$A26=105)),INDEX(D$68:D$69,MATCH($A26,$A$68:$A$69,0)),INDEX(CMI_Projection!$L$23:$CC$83,$A26-59,2026+($A26-D$4)-2021))))</f>
        <v>0.0290169777991361</v>
      </c>
      <c r="E26" s="30" t="n">
        <f aca="false">IF($A26&lt;E$4,"",MIN(1,IF(AND(Assumptions!$B$42=1,OR($A26=104,$A26=105)),INDEX(E$68:E$69,MATCH($A26,$A$68:$A$69,0)),INDEX(CMI_Projection!$L$23:$CC$83,$A26-59,2026+($A26-E$4)-2021))))</f>
        <v>0.0294588607097829</v>
      </c>
      <c r="F26" s="30" t="n">
        <f aca="false">IF($A26&lt;F$4,"",MIN(1,IF(AND(Assumptions!$B$42=1,OR($A26=104,$A26=105)),INDEX(F$68:F$69,MATCH($A26,$A$68:$A$69,0)),INDEX(CMI_Projection!$L$23:$CC$83,$A26-59,2026+($A26-F$4)-2021))))</f>
        <v>0.02990747280181</v>
      </c>
      <c r="G26" s="30" t="n">
        <f aca="false">IF($A26&lt;G$4,"",MIN(1,IF(AND(Assumptions!$B$42=1,OR($A26=104,$A26=105)),INDEX(G$68:G$69,MATCH($A26,$A$68:$A$69,0)),INDEX(CMI_Projection!$L$23:$CC$83,$A26-59,2026+($A26-G$4)-2021))))</f>
        <v>0.0303629165500609</v>
      </c>
      <c r="H26" s="30" t="n">
        <f aca="false">IF($A26&lt;H$4,"",MIN(1,IF(AND(Assumptions!$B$42=1,OR($A26=104,$A26=105)),INDEX(H$68:H$69,MATCH($A26,$A$68:$A$69,0)),INDEX(CMI_Projection!$L$23:$CC$83,$A26-59,2026+($A26-H$4)-2021))))</f>
        <v>0.0308252959899096</v>
      </c>
      <c r="I26" s="30" t="n">
        <f aca="false">IF($A26&lt;I$4,"",MIN(1,IF(AND(Assumptions!$B$42=1,OR($A26=104,$A26=105)),INDEX(I$68:I$69,MATCH($A26,$A$68:$A$69,0)),INDEX(CMI_Projection!$L$23:$CC$83,$A26-59,2026+($A26-I$4)-2021))))</f>
        <v>0.031294716741025</v>
      </c>
      <c r="J26" s="30" t="n">
        <f aca="false">IF($A26&lt;J$4,"",MIN(1,IF(AND(Assumptions!$B$42=1,OR($A26=104,$A26=105)),INDEX(J$68:J$69,MATCH($A26,$A$68:$A$69,0)),INDEX(CMI_Projection!$L$23:$CC$83,$A26-59,2026+($A26-J$4)-2021))))</f>
        <v>0.0317712860314974</v>
      </c>
      <c r="K26" s="30" t="n">
        <f aca="false">IF($A26&lt;K$4,"",MIN(1,IF(AND(Assumptions!$B$42=1,OR($A26=104,$A26=105)),INDEX(K$68:K$69,MATCH($A26,$A$68:$A$69,0)),INDEX(CMI_Projection!$L$23:$CC$83,$A26-59,2026+($A26-K$4)-2021))))</f>
        <v>0.0322551127223324</v>
      </c>
      <c r="L26" s="30" t="n">
        <f aca="false">IF($A26&lt;L$4,"",MIN(1,IF(AND(Assumptions!$B$42=1,OR($A26=104,$A26=105)),INDEX(L$68:L$69,MATCH($A26,$A$68:$A$69,0)),INDEX(CMI_Projection!$L$23:$CC$83,$A26-59,2026+($A26-L$4)-2021))))</f>
        <v>0.0327463073323172</v>
      </c>
      <c r="M26" s="30" t="n">
        <f aca="false">IF($A26&lt;M$4,"",MIN(1,IF(AND(Assumptions!$B$42=1,OR($A26=104,$A26=105)),INDEX(M$68:M$69,MATCH($A26,$A$68:$A$69,0)),INDEX(CMI_Projection!$L$23:$CC$83,$A26-59,2026+($A26-M$4)-2021))))</f>
        <v>0.0332449820632662</v>
      </c>
      <c r="N26" s="30" t="n">
        <f aca="false">IF($A26&lt;N$4,"",MIN(1,IF(AND(Assumptions!$B$42=1,OR($A26=104,$A26=105)),INDEX(N$68:N$69,MATCH($A26,$A$68:$A$69,0)),INDEX(CMI_Projection!$L$23:$CC$83,$A26-59,2026+($A26-N$4)-2021))))</f>
        <v>0.0337512508256509</v>
      </c>
      <c r="O26" s="30" t="n">
        <f aca="false">IF($A26&lt;O$4,"",MIN(1,IF(AND(Assumptions!$B$42=1,OR($A26=104,$A26=105)),INDEX(O$68:O$69,MATCH($A26,$A$68:$A$69,0)),INDEX(CMI_Projection!$L$23:$CC$83,$A26-59,2026+($A26-O$4)-2021))))</f>
        <v>0.0342652292646202</v>
      </c>
      <c r="P26" s="30" t="n">
        <f aca="false">IF($A26&lt;P$4,"",MIN(1,IF(AND(Assumptions!$B$42=1,OR($A26=104,$A26=105)),INDEX(P$68:P$69,MATCH($A26,$A$68:$A$69,0)),INDEX(CMI_Projection!$L$23:$CC$83,$A26-59,2026+($A26-P$4)-2021))))</f>
        <v>0.0347870347864165</v>
      </c>
      <c r="Q26" s="30" t="n">
        <f aca="false">IF($A26&lt;Q$4,"",MIN(1,IF(AND(Assumptions!$B$42=1,OR($A26=104,$A26=105)),INDEX(Q$68:Q$69,MATCH($A26,$A$68:$A$69,0)),INDEX(CMI_Projection!$L$23:$CC$83,$A26-59,2026+($A26-Q$4)-2021))))</f>
        <v>0.0353167865851944</v>
      </c>
      <c r="R26" s="30" t="n">
        <f aca="false">IF($A26&lt;R$4,"",MIN(1,IF(AND(Assumptions!$B$42=1,OR($A26=104,$A26=105)),INDEX(R$68:R$69,MATCH($A26,$A$68:$A$69,0)),INDEX(CMI_Projection!$L$23:$CC$83,$A26-59,2026+($A26-R$4)-2021))))</f>
        <v>0.0358546056702481</v>
      </c>
      <c r="S26" s="30" t="n">
        <f aca="false">IF($A26&lt;S$4,"",MIN(1,IF(AND(Assumptions!$B$42=1,OR($A26=104,$A26=105)),INDEX(S$68:S$69,MATCH($A26,$A$68:$A$69,0)),INDEX(CMI_Projection!$L$23:$CC$83,$A26-59,2026+($A26-S$4)-2021))))</f>
        <v>0.036401670310634</v>
      </c>
      <c r="T26" s="30" t="n">
        <f aca="false">IF($A26&lt;T$4,"",MIN(1,IF(AND(Assumptions!$B$42=1,OR($A26=104,$A26=105)),INDEX(T$68:T$69,MATCH($A26,$A$68:$A$69,0)),INDEX(CMI_Projection!$L$23:$CC$83,$A26-59,2026+($A26-T$4)-2021))))</f>
        <v>0.036962224213881</v>
      </c>
      <c r="U26" s="30" t="n">
        <f aca="false">IF($A26&lt;U$4,"",MIN(1,IF(AND(Assumptions!$B$42=1,OR($A26=104,$A26=105)),INDEX(U$68:U$69,MATCH($A26,$A$68:$A$69,0)),INDEX(CMI_Projection!$L$23:$CC$83,$A26-59,2026+($A26-U$4)-2021))))</f>
        <v>0.0375399976708334</v>
      </c>
      <c r="V26" s="30" t="n">
        <f aca="false">IF($A26&lt;V$4,"",MIN(1,IF(AND(Assumptions!$B$42=1,OR($A26=104,$A26=105)),INDEX(V$68:V$69,MATCH($A26,$A$68:$A$69,0)),INDEX(CMI_Projection!$L$23:$CC$83,$A26-59,2026+($A26-V$4)-2021))))</f>
        <v>0.0381378678476466</v>
      </c>
      <c r="W26" s="30" t="n">
        <f aca="false">IF($A26&lt;W$4,"",MIN(1,IF(AND(Assumptions!$B$42=1,OR($A26=104,$A26=105)),INDEX(W$68:W$69,MATCH($A26,$A$68:$A$69,0)),INDEX(CMI_Projection!$L$23:$CC$83,$A26-59,2026+($A26-W$4)-2021))))</f>
        <v>0.0387577885463441</v>
      </c>
      <c r="X26" s="30" t="str">
        <f aca="false">IF($A26&lt;X$4,"",MIN(1,IF(AND(Assumptions!$B$42=1,OR($A26=104,$A26=105)),INDEX(X$68:X$69,MATCH($A26,$A$68:$A$69,0)),INDEX(CMI_Projection!$L$23:$CC$83,$A26-59,2026+($A26-X$4)-2021))))</f>
        <v/>
      </c>
      <c r="Y26" s="30" t="str">
        <f aca="false">IF($A26&lt;Y$4,"",MIN(1,IF(AND(Assumptions!$B$42=1,OR($A26=104,$A26=105)),INDEX(Y$68:Y$69,MATCH($A26,$A$68:$A$69,0)),INDEX(CMI_Projection!$L$23:$CC$83,$A26-59,2026+($A26-Y$4)-2021))))</f>
        <v/>
      </c>
      <c r="Z26" s="30" t="str">
        <f aca="false">IF($A26&lt;Z$4,"",MIN(1,IF(AND(Assumptions!$B$42=1,OR($A26=104,$A26=105)),INDEX(Z$68:Z$69,MATCH($A26,$A$68:$A$69,0)),INDEX(CMI_Projection!$L$23:$CC$83,$A26-59,2026+($A26-Z$4)-2021))))</f>
        <v/>
      </c>
      <c r="AA26" s="30" t="str">
        <f aca="false">IF($A26&lt;AA$4,"",MIN(1,IF(AND(Assumptions!$B$42=1,OR($A26=104,$A26=105)),INDEX(AA$68:AA$69,MATCH($A26,$A$68:$A$69,0)),INDEX(CMI_Projection!$L$23:$CC$83,$A26-59,2026+($A26-AA$4)-2021))))</f>
        <v/>
      </c>
      <c r="AC26" s="30" t="n">
        <f aca="false">IF($A26&lt;AC$4,"",IF($A26=AC$4,1,AC25*(1-B25)))</f>
        <v>0.811824686936932</v>
      </c>
      <c r="AD26" s="30" t="n">
        <f aca="false">IF($A26&lt;AD$4,"",IF($A26=AD$4,1,AD25*(1-C25)))</f>
        <v>0.811500239252275</v>
      </c>
      <c r="AE26" s="30" t="n">
        <f aca="false">IF($A26&lt;AE$4,"",IF($A26=AE$4,1,AE25*(1-D25)))</f>
        <v>0.811429325746531</v>
      </c>
      <c r="AF26" s="30" t="n">
        <f aca="false">IF($A26&lt;AF$4,"",IF($A26=AF$4,1,AF25*(1-E25)))</f>
        <v>0.811646661623276</v>
      </c>
      <c r="AG26" s="30" t="n">
        <f aca="false">IF($A26&lt;AG$4,"",IF($A26=AG$4,1,AG25*(1-F25)))</f>
        <v>0.812192074929959</v>
      </c>
      <c r="AH26" s="30" t="n">
        <f aca="false">IF($A26&lt;AH$4,"",IF($A26=AH$4,1,AH25*(1-G25)))</f>
        <v>0.813111442010391</v>
      </c>
      <c r="AI26" s="30" t="n">
        <f aca="false">IF($A26&lt;AI$4,"",IF($A26=AI$4,1,AI25*(1-H25)))</f>
        <v>0.814669741915435</v>
      </c>
      <c r="AJ26" s="30" t="n">
        <f aca="false">IF($A26&lt;AJ$4,"",IF($A26=AJ$4,1,AJ25*(1-I25)))</f>
        <v>0.816746914027458</v>
      </c>
      <c r="AK26" s="30" t="n">
        <f aca="false">IF($A26&lt;AK$4,"",IF($A26=AK$4,1,AK25*(1-J25)))</f>
        <v>0.819418817449283</v>
      </c>
      <c r="AL26" s="30" t="n">
        <f aca="false">IF($A26&lt;AL$4,"",IF($A26=AL$4,1,AL25*(1-K25)))</f>
        <v>0.822774116736555</v>
      </c>
      <c r="AM26" s="30" t="n">
        <f aca="false">IF($A26&lt;AM$4,"",IF($A26=AM$4,1,AM25*(1-L25)))</f>
        <v>0.826916621648767</v>
      </c>
      <c r="AN26" s="30" t="n">
        <f aca="false">IF($A26&lt;AN$4,"",IF($A26=AN$4,1,AN25*(1-M25)))</f>
        <v>0.832251778293097</v>
      </c>
      <c r="AO26" s="30" t="n">
        <f aca="false">IF($A26&lt;AO$4,"",IF($A26=AO$4,1,AO25*(1-N25)))</f>
        <v>0.838686905413745</v>
      </c>
      <c r="AP26" s="30" t="n">
        <f aca="false">IF($A26&lt;AP$4,"",IF($A26=AP$4,1,AP25*(1-O25)))</f>
        <v>0.846402753083015</v>
      </c>
      <c r="AQ26" s="30" t="n">
        <f aca="false">IF($A26&lt;AQ$4,"",IF($A26=AQ$4,1,AQ25*(1-P25)))</f>
        <v>0.855615873548435</v>
      </c>
      <c r="AR26" s="30" t="n">
        <f aca="false">IF($A26&lt;AR$4,"",IF($A26=AR$4,1,AR25*(1-Q25)))</f>
        <v>0.866587490176979</v>
      </c>
      <c r="AS26" s="30" t="n">
        <f aca="false">IF($A26&lt;AS$4,"",IF($A26=AS$4,1,AS25*(1-R25)))</f>
        <v>0.880179826971221</v>
      </c>
      <c r="AT26" s="30" t="n">
        <f aca="false">IF($A26&lt;AT$4,"",IF($A26=AT$4,1,AT25*(1-S25)))</f>
        <v>0.896343608453081</v>
      </c>
      <c r="AU26" s="30" t="n">
        <f aca="false">IF($A26&lt;AU$4,"",IF($A26=AU$4,1,AU25*(1-T25)))</f>
        <v>0.915584643779731</v>
      </c>
      <c r="AV26" s="30" t="n">
        <f aca="false">IF($A26&lt;AV$4,"",IF($A26=AV$4,1,AV25*(1-U25)))</f>
        <v>0.938527733432449</v>
      </c>
      <c r="AW26" s="30" t="n">
        <f aca="false">IF($A26&lt;AW$4,"",IF($A26=AW$4,1,AW25*(1-V25)))</f>
        <v>0.965948918898717</v>
      </c>
      <c r="AX26" s="30" t="n">
        <f aca="false">IF($A26&lt;AX$4,"",IF($A26=AX$4,1,AX25*(1-W25)))</f>
        <v>1</v>
      </c>
      <c r="AY26" s="30" t="str">
        <f aca="false">IF($A26&lt;AY$4,"",IF($A26=AY$4,1,AY25*(1-X25)))</f>
        <v/>
      </c>
      <c r="AZ26" s="30" t="str">
        <f aca="false">IF($A26&lt;AZ$4,"",IF($A26=AZ$4,1,AZ25*(1-Y25)))</f>
        <v/>
      </c>
      <c r="BA26" s="30" t="str">
        <f aca="false">IF($A26&lt;BA$4,"",IF($A26=BA$4,1,BA25*(1-Z25)))</f>
        <v/>
      </c>
      <c r="BB26" s="30" t="str">
        <f aca="false">IF($A26&lt;BB$4,"",IF($A26=BB$4,1,BB25*(1-AA25)))</f>
        <v/>
      </c>
    </row>
    <row r="27" customFormat="false" ht="15" hidden="false" customHeight="true" outlineLevel="0" collapsed="false">
      <c r="A27" s="3" t="n">
        <v>82</v>
      </c>
      <c r="B27" s="30" t="n">
        <f aca="false">IF($A27&lt;B$4,"",MIN(1,IF(AND(Assumptions!$B$42=1,OR($A27=104,$A27=105)),INDEX(B$68:B$69,MATCH($A27,$A$68:$A$69,0)),INDEX(CMI_Projection!$L$23:$CC$83,$A27-59,2026+($A27-B$4)-2021))))</f>
        <v>0.0316008771328467</v>
      </c>
      <c r="C27" s="30" t="n">
        <f aca="false">IF($A27&lt;C$4,"",MIN(1,IF(AND(Assumptions!$B$42=1,OR($A27=104,$A27=105)),INDEX(C$68:C$69,MATCH($A27,$A$68:$A$69,0)),INDEX(CMI_Projection!$L$23:$CC$83,$A27-59,2026+($A27-C$4)-2021))))</f>
        <v>0.0320821087643114</v>
      </c>
      <c r="D27" s="30" t="n">
        <f aca="false">IF($A27&lt;D$4,"",MIN(1,IF(AND(Assumptions!$B$42=1,OR($A27=104,$A27=105)),INDEX(D$68:D$69,MATCH($A27,$A$68:$A$69,0)),INDEX(CMI_Projection!$L$23:$CC$83,$A27-59,2026+($A27-D$4)-2021))))</f>
        <v>0.0325706687962552</v>
      </c>
      <c r="E27" s="30" t="n">
        <f aca="false">IF($A27&lt;E$4,"",MIN(1,IF(AND(Assumptions!$B$42=1,OR($A27=104,$A27=105)),INDEX(E$68:E$69,MATCH($A27,$A$68:$A$69,0)),INDEX(CMI_Projection!$L$23:$CC$83,$A27-59,2026+($A27-E$4)-2021))))</f>
        <v>0.0330666688286855</v>
      </c>
      <c r="F27" s="30" t="n">
        <f aca="false">IF($A27&lt;F$4,"",MIN(1,IF(AND(Assumptions!$B$42=1,OR($A27=104,$A27=105)),INDEX(F$68:F$69,MATCH($A27,$A$68:$A$69,0)),INDEX(CMI_Projection!$L$23:$CC$83,$A27-59,2026+($A27-F$4)-2021))))</f>
        <v>0.033570222161102</v>
      </c>
      <c r="G27" s="30" t="n">
        <f aca="false">IF($A27&lt;G$4,"",MIN(1,IF(AND(Assumptions!$B$42=1,OR($A27=104,$A27=105)),INDEX(G$68:G$69,MATCH($A27,$A$68:$A$69,0)),INDEX(CMI_Projection!$L$23:$CC$83,$A27-59,2026+($A27-G$4)-2021))))</f>
        <v>0.0340814438183777</v>
      </c>
      <c r="H27" s="30" t="n">
        <f aca="false">IF($A27&lt;H$4,"",MIN(1,IF(AND(Assumptions!$B$42=1,OR($A27=104,$A27=105)),INDEX(H$68:H$69,MATCH($A27,$A$68:$A$69,0)),INDEX(CMI_Projection!$L$23:$CC$83,$A27-59,2026+($A27-H$4)-2021))))</f>
        <v>0.0346004505770332</v>
      </c>
      <c r="I27" s="30" t="n">
        <f aca="false">IF($A27&lt;I$4,"",MIN(1,IF(AND(Assumptions!$B$42=1,OR($A27=104,$A27=105)),INDEX(I$68:I$69,MATCH($A27,$A$68:$A$69,0)),INDEX(CMI_Projection!$L$23:$CC$83,$A27-59,2026+($A27-I$4)-2021))))</f>
        <v>0.0351273609919119</v>
      </c>
      <c r="J27" s="30" t="n">
        <f aca="false">IF($A27&lt;J$4,"",MIN(1,IF(AND(Assumptions!$B$42=1,OR($A27=104,$A27=105)),INDEX(J$68:J$69,MATCH($A27,$A$68:$A$69,0)),INDEX(CMI_Projection!$L$23:$CC$83,$A27-59,2026+($A27-J$4)-2021))))</f>
        <v>0.0356622954232608</v>
      </c>
      <c r="K27" s="30" t="n">
        <f aca="false">IF($A27&lt;K$4,"",MIN(1,IF(AND(Assumptions!$B$42=1,OR($A27=104,$A27=105)),INDEX(K$68:K$69,MATCH($A27,$A$68:$A$69,0)),INDEX(CMI_Projection!$L$23:$CC$83,$A27-59,2026+($A27-K$4)-2021))))</f>
        <v>0.0362053760642241</v>
      </c>
      <c r="L27" s="30" t="n">
        <f aca="false">IF($A27&lt;L$4,"",MIN(1,IF(AND(Assumptions!$B$42=1,OR($A27=104,$A27=105)),INDEX(L$68:L$69,MATCH($A27,$A$68:$A$69,0)),INDEX(CMI_Projection!$L$23:$CC$83,$A27-59,2026+($A27-L$4)-2021))))</f>
        <v>0.0367567269687555</v>
      </c>
      <c r="M27" s="30" t="n">
        <f aca="false">IF($A27&lt;M$4,"",MIN(1,IF(AND(Assumptions!$B$42=1,OR($A27=104,$A27=105)),INDEX(M$68:M$69,MATCH($A27,$A$68:$A$69,0)),INDEX(CMI_Projection!$L$23:$CC$83,$A27-59,2026+($A27-M$4)-2021))))</f>
        <v>0.0373164740799548</v>
      </c>
      <c r="N27" s="30" t="n">
        <f aca="false">IF($A27&lt;N$4,"",MIN(1,IF(AND(Assumptions!$B$42=1,OR($A27=104,$A27=105)),INDEX(N$68:N$69,MATCH($A27,$A$68:$A$69,0)),INDEX(CMI_Projection!$L$23:$CC$83,$A27-59,2026+($A27-N$4)-2021))))</f>
        <v>0.0378847452588373</v>
      </c>
      <c r="O27" s="30" t="n">
        <f aca="false">IF($A27&lt;O$4,"",MIN(1,IF(AND(Assumptions!$B$42=1,OR($A27=104,$A27=105)),INDEX(O$68:O$69,MATCH($A27,$A$68:$A$69,0)),INDEX(CMI_Projection!$L$23:$CC$83,$A27-59,2026+($A27-O$4)-2021))))</f>
        <v>0.0384616703135405</v>
      </c>
      <c r="P27" s="30" t="n">
        <f aca="false">IF($A27&lt;P$4,"",MIN(1,IF(AND(Assumptions!$B$42=1,OR($A27=104,$A27=105)),INDEX(P$68:P$69,MATCH($A27,$A$68:$A$69,0)),INDEX(CMI_Projection!$L$23:$CC$83,$A27-59,2026+($A27-P$4)-2021))))</f>
        <v>0.0390473810289751</v>
      </c>
      <c r="Q27" s="30" t="n">
        <f aca="false">IF($A27&lt;Q$4,"",MIN(1,IF(AND(Assumptions!$B$42=1,OR($A27=104,$A27=105)),INDEX(Q$68:Q$69,MATCH($A27,$A$68:$A$69,0)),INDEX(CMI_Projection!$L$23:$CC$83,$A27-59,2026+($A27-Q$4)-2021))))</f>
        <v>0.039642011196929</v>
      </c>
      <c r="R27" s="30" t="n">
        <f aca="false">IF($A27&lt;R$4,"",MIN(1,IF(AND(Assumptions!$B$42=1,OR($A27=104,$A27=105)),INDEX(R$68:R$69,MATCH($A27,$A$68:$A$69,0)),INDEX(CMI_Projection!$L$23:$CC$83,$A27-59,2026+($A27-R$4)-2021))))</f>
        <v>0.0402456966466284</v>
      </c>
      <c r="S27" s="30" t="n">
        <f aca="false">IF($A27&lt;S$4,"",MIN(1,IF(AND(Assumptions!$B$42=1,OR($A27=104,$A27=105)),INDEX(S$68:S$69,MATCH($A27,$A$68:$A$69,0)),INDEX(CMI_Projection!$L$23:$CC$83,$A27-59,2026+($A27-S$4)-2021))))</f>
        <v>0.0408585752757649</v>
      </c>
      <c r="T27" s="30" t="n">
        <f aca="false">IF($A27&lt;T$4,"",MIN(1,IF(AND(Assumptions!$B$42=1,OR($A27=104,$A27=105)),INDEX(T$68:T$69,MATCH($A27,$A$68:$A$69,0)),INDEX(CMI_Projection!$L$23:$CC$83,$A27-59,2026+($A27-T$4)-2021))))</f>
        <v>0.0414810201867003</v>
      </c>
      <c r="U27" s="30" t="n">
        <f aca="false">IF($A27&lt;U$4,"",MIN(1,IF(AND(Assumptions!$B$42=1,OR($A27=104,$A27=105)),INDEX(U$68:U$69,MATCH($A27,$A$68:$A$69,0)),INDEX(CMI_Projection!$L$23:$CC$83,$A27-59,2026+($A27-U$4)-2021))))</f>
        <v>0.0421162205553376</v>
      </c>
      <c r="V27" s="30" t="n">
        <f aca="false">IF($A27&lt;V$4,"",MIN(1,IF(AND(Assumptions!$B$42=1,OR($A27=104,$A27=105)),INDEX(V$68:V$69,MATCH($A27,$A$68:$A$69,0)),INDEX(CMI_Projection!$L$23:$CC$83,$A27-59,2026+($A27-V$4)-2021))))</f>
        <v>0.0427676373538264</v>
      </c>
      <c r="W27" s="30" t="n">
        <f aca="false">IF($A27&lt;W$4,"",MIN(1,IF(AND(Assumptions!$B$42=1,OR($A27=104,$A27=105)),INDEX(W$68:W$69,MATCH($A27,$A$68:$A$69,0)),INDEX(CMI_Projection!$L$23:$CC$83,$A27-59,2026+($A27-W$4)-2021))))</f>
        <v>0.0434379730271306</v>
      </c>
      <c r="X27" s="30" t="n">
        <f aca="false">IF($A27&lt;X$4,"",MIN(1,IF(AND(Assumptions!$B$42=1,OR($A27=104,$A27=105)),INDEX(X$68:X$69,MATCH($A27,$A$68:$A$69,0)),INDEX(CMI_Projection!$L$23:$CC$83,$A27-59,2026+($A27-X$4)-2021))))</f>
        <v>0.0441291083745509</v>
      </c>
      <c r="Y27" s="30" t="str">
        <f aca="false">IF($A27&lt;Y$4,"",MIN(1,IF(AND(Assumptions!$B$42=1,OR($A27=104,$A27=105)),INDEX(Y$68:Y$69,MATCH($A27,$A$68:$A$69,0)),INDEX(CMI_Projection!$L$23:$CC$83,$A27-59,2026+($A27-Y$4)-2021))))</f>
        <v/>
      </c>
      <c r="Z27" s="30" t="str">
        <f aca="false">IF($A27&lt;Z$4,"",MIN(1,IF(AND(Assumptions!$B$42=1,OR($A27=104,$A27=105)),INDEX(Z$68:Z$69,MATCH($A27,$A$68:$A$69,0)),INDEX(CMI_Projection!$L$23:$CC$83,$A27-59,2026+($A27-Z$4)-2021))))</f>
        <v/>
      </c>
      <c r="AA27" s="30" t="str">
        <f aca="false">IF($A27&lt;AA$4,"",MIN(1,IF(AND(Assumptions!$B$42=1,OR($A27=104,$A27=105)),INDEX(AA$68:AA$69,MATCH($A27,$A$68:$A$69,0)),INDEX(CMI_Projection!$L$23:$CC$83,$A27-59,2026+($A27-AA$4)-2021))))</f>
        <v/>
      </c>
      <c r="AC27" s="30" t="n">
        <f aca="false">IF($A27&lt;AC$4,"",IF($A27=AC$4,1,AC26*(1-B26)))</f>
        <v>0.788969388729565</v>
      </c>
      <c r="AD27" s="30" t="n">
        <f aca="false">IF($A27&lt;AD$4,"",IF($A27=AD$4,1,AD26*(1-C26)))</f>
        <v>0.788306164092294</v>
      </c>
      <c r="AE27" s="30" t="n">
        <f aca="false">IF($A27&lt;AE$4,"",IF($A27=AE$4,1,AE26*(1-D26)))</f>
        <v>0.787884099015776</v>
      </c>
      <c r="AF27" s="30" t="n">
        <f aca="false">IF($A27&lt;AF$4,"",IF($A27=AF$4,1,AF26*(1-E26)))</f>
        <v>0.787736475672955</v>
      </c>
      <c r="AG27" s="30" t="n">
        <f aca="false">IF($A27&lt;AG$4,"",IF($A27=AG$4,1,AG26*(1-F26)))</f>
        <v>0.787901462539145</v>
      </c>
      <c r="AH27" s="30" t="n">
        <f aca="false">IF($A27&lt;AH$4,"",IF($A27=AH$4,1,AH26*(1-G26)))</f>
        <v>0.78842300715073</v>
      </c>
      <c r="AI27" s="30" t="n">
        <f aca="false">IF($A27&lt;AI$4,"",IF($A27=AI$4,1,AI26*(1-H26)))</f>
        <v>0.789557305986869</v>
      </c>
      <c r="AJ27" s="30" t="n">
        <f aca="false">IF($A27&lt;AJ$4,"",IF($A27=AJ$4,1,AJ26*(1-I26)))</f>
        <v>0.791187050703863</v>
      </c>
      <c r="AK27" s="30" t="n">
        <f aca="false">IF($A27&lt;AK$4,"",IF($A27=AK$4,1,AK26*(1-J26)))</f>
        <v>0.79338482782051</v>
      </c>
      <c r="AL27" s="30" t="n">
        <f aca="false">IF($A27&lt;AL$4,"",IF($A27=AL$4,1,AL26*(1-K26)))</f>
        <v>0.7962354448562</v>
      </c>
      <c r="AM27" s="30" t="n">
        <f aca="false">IF($A27&lt;AM$4,"",IF($A27=AM$4,1,AM26*(1-L26)))</f>
        <v>0.799838155818055</v>
      </c>
      <c r="AN27" s="30" t="n">
        <f aca="false">IF($A27&lt;AN$4,"",IF($A27=AN$4,1,AN26*(1-M26)))</f>
        <v>0.804583582851622</v>
      </c>
      <c r="AO27" s="30" t="n">
        <f aca="false">IF($A27&lt;AO$4,"",IF($A27=AO$4,1,AO26*(1-N26)))</f>
        <v>0.810380173304936</v>
      </c>
      <c r="AP27" s="30" t="n">
        <f aca="false">IF($A27&lt;AP$4,"",IF($A27=AP$4,1,AP26*(1-O26)))</f>
        <v>0.81740056869842</v>
      </c>
      <c r="AQ27" s="30" t="n">
        <f aca="false">IF($A27&lt;AQ$4,"",IF($A27=AQ$4,1,AQ26*(1-P26)))</f>
        <v>0.825851534391496</v>
      </c>
      <c r="AR27" s="30" t="n">
        <f aca="false">IF($A27&lt;AR$4,"",IF($A27=AR$4,1,AR26*(1-Q26)))</f>
        <v>0.835982404729</v>
      </c>
      <c r="AS27" s="30" t="n">
        <f aca="false">IF($A27&lt;AS$4,"",IF($A27=AS$4,1,AS26*(1-R26)))</f>
        <v>0.84862132635626</v>
      </c>
      <c r="AT27" s="30" t="n">
        <f aca="false">IF($A27&lt;AT$4,"",IF($A27=AT$4,1,AT26*(1-S26)))</f>
        <v>0.863715203933128</v>
      </c>
      <c r="AU27" s="30" t="n">
        <f aca="false">IF($A27&lt;AU$4,"",IF($A27=AU$4,1,AU26*(1-T26)))</f>
        <v>0.881742598889558</v>
      </c>
      <c r="AV27" s="30" t="n">
        <f aca="false">IF($A27&lt;AV$4,"",IF($A27=AV$4,1,AV26*(1-U26)))</f>
        <v>0.903295404505383</v>
      </c>
      <c r="AW27" s="30" t="n">
        <f aca="false">IF($A27&lt;AW$4,"",IF($A27=AW$4,1,AW26*(1-V26)))</f>
        <v>0.92910968668218</v>
      </c>
      <c r="AX27" s="30" t="n">
        <f aca="false">IF($A27&lt;AX$4,"",IF($A27=AX$4,1,AX26*(1-W26)))</f>
        <v>0.961242211453656</v>
      </c>
      <c r="AY27" s="30" t="n">
        <f aca="false">IF($A27&lt;AY$4,"",IF($A27=AY$4,1,AY26*(1-X26)))</f>
        <v>1</v>
      </c>
      <c r="AZ27" s="30" t="str">
        <f aca="false">IF($A27&lt;AZ$4,"",IF($A27=AZ$4,1,AZ26*(1-Y26)))</f>
        <v/>
      </c>
      <c r="BA27" s="30" t="str">
        <f aca="false">IF($A27&lt;BA$4,"",IF($A27=BA$4,1,BA26*(1-Z26)))</f>
        <v/>
      </c>
      <c r="BB27" s="30" t="str">
        <f aca="false">IF($A27&lt;BB$4,"",IF($A27=BB$4,1,BB26*(1-AA26)))</f>
        <v/>
      </c>
    </row>
    <row r="28" customFormat="false" ht="15" hidden="false" customHeight="true" outlineLevel="0" collapsed="false">
      <c r="A28" s="3" t="n">
        <v>83</v>
      </c>
      <c r="B28" s="30" t="n">
        <f aca="false">IF($A28&lt;B$4,"",MIN(1,IF(AND(Assumptions!$B$42=1,OR($A28=104,$A28=105)),INDEX(B$68:B$69,MATCH($A28,$A$68:$A$69,0)),INDEX(CMI_Projection!$L$23:$CC$83,$A28-59,2026+($A28-B$4)-2021))))</f>
        <v>0.0354655542724598</v>
      </c>
      <c r="C28" s="30" t="n">
        <f aca="false">IF($A28&lt;C$4,"",MIN(1,IF(AND(Assumptions!$B$42=1,OR($A28=104,$A28=105)),INDEX(C$68:C$69,MATCH($A28,$A$68:$A$69,0)),INDEX(CMI_Projection!$L$23:$CC$83,$A28-59,2026+($A28-C$4)-2021))))</f>
        <v>0.0360056388552891</v>
      </c>
      <c r="D28" s="30" t="n">
        <f aca="false">IF($A28&lt;D$4,"",MIN(1,IF(AND(Assumptions!$B$42=1,OR($A28=104,$A28=105)),INDEX(D$68:D$69,MATCH($A28,$A$68:$A$69,0)),INDEX(CMI_Projection!$L$23:$CC$83,$A28-59,2026+($A28-D$4)-2021))))</f>
        <v>0.0365539480764356</v>
      </c>
      <c r="E28" s="30" t="n">
        <f aca="false">IF($A28&lt;E$4,"",MIN(1,IF(AND(Assumptions!$B$42=1,OR($A28=104,$A28=105)),INDEX(E$68:E$69,MATCH($A28,$A$68:$A$69,0)),INDEX(CMI_Projection!$L$23:$CC$83,$A28-59,2026+($A28-E$4)-2021))))</f>
        <v>0.0371106071841986</v>
      </c>
      <c r="F28" s="30" t="n">
        <f aca="false">IF($A28&lt;F$4,"",MIN(1,IF(AND(Assumptions!$B$42=1,OR($A28=104,$A28=105)),INDEX(F$68:F$69,MATCH($A28,$A$68:$A$69,0)),INDEX(CMI_Projection!$L$23:$CC$83,$A28-59,2026+($A28-F$4)-2021))))</f>
        <v>0.0376757433342118</v>
      </c>
      <c r="G28" s="30" t="n">
        <f aca="false">IF($A28&lt;G$4,"",MIN(1,IF(AND(Assumptions!$B$42=1,OR($A28=104,$A28=105)),INDEX(G$68:G$69,MATCH($A28,$A$68:$A$69,0)),INDEX(CMI_Projection!$L$23:$CC$83,$A28-59,2026+($A28-G$4)-2021))))</f>
        <v>0.0382494856184891</v>
      </c>
      <c r="H28" s="30" t="n">
        <f aca="false">IF($A28&lt;H$4,"",MIN(1,IF(AND(Assumptions!$B$42=1,OR($A28=104,$A28=105)),INDEX(H$68:H$69,MATCH($A28,$A$68:$A$69,0)),INDEX(CMI_Projection!$L$23:$CC$83,$A28-59,2026+($A28-H$4)-2021))))</f>
        <v>0.0388319650949128</v>
      </c>
      <c r="I28" s="30" t="n">
        <f aca="false">IF($A28&lt;I$4,"",MIN(1,IF(AND(Assumptions!$B$42=1,OR($A28=104,$A28=105)),INDEX(I$68:I$69,MATCH($A28,$A$68:$A$69,0)),INDEX(CMI_Projection!$L$23:$CC$83,$A28-59,2026+($A28-I$4)-2021))))</f>
        <v>0.0394233148171704</v>
      </c>
      <c r="J28" s="30" t="n">
        <f aca="false">IF($A28&lt;J$4,"",MIN(1,IF(AND(Assumptions!$B$42=1,OR($A28=104,$A28=105)),INDEX(J$68:J$69,MATCH($A28,$A$68:$A$69,0)),INDEX(CMI_Projection!$L$23:$CC$83,$A28-59,2026+($A28-J$4)-2021))))</f>
        <v>0.0400236698651476</v>
      </c>
      <c r="K28" s="30" t="n">
        <f aca="false">IF($A28&lt;K$4,"",MIN(1,IF(AND(Assumptions!$B$42=1,OR($A28=104,$A28=105)),INDEX(K$68:K$69,MATCH($A28,$A$68:$A$69,0)),INDEX(CMI_Projection!$L$23:$CC$83,$A28-59,2026+($A28-K$4)-2021))))</f>
        <v>0.0406331673757844</v>
      </c>
      <c r="L28" s="30" t="n">
        <f aca="false">IF($A28&lt;L$4,"",MIN(1,IF(AND(Assumptions!$B$42=1,OR($A28=104,$A28=105)),INDEX(L$68:L$69,MATCH($A28,$A$68:$A$69,0)),INDEX(CMI_Projection!$L$23:$CC$83,$A28-59,2026+($A28-L$4)-2021))))</f>
        <v>0.0412519465744004</v>
      </c>
      <c r="M28" s="30" t="n">
        <f aca="false">IF($A28&lt;M$4,"",MIN(1,IF(AND(Assumptions!$B$42=1,OR($A28=104,$A28=105)),INDEX(M$68:M$69,MATCH($A28,$A$68:$A$69,0)),INDEX(CMI_Projection!$L$23:$CC$83,$A28-59,2026+($A28-M$4)-2021))))</f>
        <v>0.0418801488064979</v>
      </c>
      <c r="N28" s="30" t="n">
        <f aca="false">IF($A28&lt;N$4,"",MIN(1,IF(AND(Assumptions!$B$42=1,OR($A28=104,$A28=105)),INDEX(N$68:N$69,MATCH($A28,$A$68:$A$69,0)),INDEX(CMI_Projection!$L$23:$CC$83,$A28-59,2026+($A28-N$4)-2021))))</f>
        <v>0.0425179175700486</v>
      </c>
      <c r="O28" s="30" t="n">
        <f aca="false">IF($A28&lt;O$4,"",MIN(1,IF(AND(Assumptions!$B$42=1,OR($A28=104,$A28=105)),INDEX(O$68:O$69,MATCH($A28,$A$68:$A$69,0)),INDEX(CMI_Projection!$L$23:$CC$83,$A28-59,2026+($A28-O$4)-2021))))</f>
        <v>0.0431653985482727</v>
      </c>
      <c r="P28" s="30" t="n">
        <f aca="false">IF($A28&lt;P$4,"",MIN(1,IF(AND(Assumptions!$B$42=1,OR($A28=104,$A28=105)),INDEX(P$68:P$69,MATCH($A28,$A$68:$A$69,0)),INDEX(CMI_Projection!$L$23:$CC$83,$A28-59,2026+($A28-P$4)-2021))))</f>
        <v>0.0438227396429164</v>
      </c>
      <c r="Q28" s="30" t="n">
        <f aca="false">IF($A28&lt;Q$4,"",MIN(1,IF(AND(Assumptions!$B$42=1,OR($A28=104,$A28=105)),INDEX(Q$68:Q$69,MATCH($A28,$A$68:$A$69,0)),INDEX(CMI_Projection!$L$23:$CC$83,$A28-59,2026+($A28-Q$4)-2021))))</f>
        <v>0.044490091008037</v>
      </c>
      <c r="R28" s="30" t="n">
        <f aca="false">IF($A28&lt;R$4,"",MIN(1,IF(AND(Assumptions!$B$42=1,OR($A28=104,$A28=105)),INDEX(R$68:R$69,MATCH($A28,$A$68:$A$69,0)),INDEX(CMI_Projection!$L$23:$CC$83,$A28-59,2026+($A28-R$4)-2021))))</f>
        <v>0.0451676050843015</v>
      </c>
      <c r="S28" s="30" t="n">
        <f aca="false">IF($A28&lt;S$4,"",MIN(1,IF(AND(Assumptions!$B$42=1,OR($A28=104,$A28=105)),INDEX(S$68:S$69,MATCH($A28,$A$68:$A$69,0)),INDEX(CMI_Projection!$L$23:$CC$83,$A28-59,2026+($A28-S$4)-2021))))</f>
        <v>0.0458554366338086</v>
      </c>
      <c r="T28" s="30" t="n">
        <f aca="false">IF($A28&lt;T$4,"",MIN(1,IF(AND(Assumptions!$B$42=1,OR($A28=104,$A28=105)),INDEX(T$68:T$69,MATCH($A28,$A$68:$A$69,0)),INDEX(CMI_Projection!$L$23:$CC$83,$A28-59,2026+($A28-T$4)-2021))))</f>
        <v>0.0465537427754402</v>
      </c>
      <c r="U28" s="30" t="n">
        <f aca="false">IF($A28&lt;U$4,"",MIN(1,IF(AND(Assumptions!$B$42=1,OR($A28=104,$A28=105)),INDEX(U$68:U$69,MATCH($A28,$A$68:$A$69,0)),INDEX(CMI_Projection!$L$23:$CC$83,$A28-59,2026+($A28-U$4)-2021))))</f>
        <v>0.0472626830207515</v>
      </c>
      <c r="V28" s="30" t="n">
        <f aca="false">IF($A28&lt;V$4,"",MIN(1,IF(AND(Assumptions!$B$42=1,OR($A28=104,$A28=105)),INDEX(V$68:V$69,MATCH($A28,$A$68:$A$69,0)),INDEX(CMI_Projection!$L$23:$CC$83,$A28-59,2026+($A28-V$4)-2021))))</f>
        <v>0.0479838576885857</v>
      </c>
      <c r="W28" s="30" t="n">
        <f aca="false">IF($A28&lt;W$4,"",MIN(1,IF(AND(Assumptions!$B$42=1,OR($A28=104,$A28=105)),INDEX(W$68:W$69,MATCH($A28,$A$68:$A$69,0)),INDEX(CMI_Projection!$L$23:$CC$83,$A28-59,2026+($A28-W$4)-2021))))</f>
        <v>0.0487199507657424</v>
      </c>
      <c r="X28" s="30" t="n">
        <f aca="false">IF($A28&lt;X$4,"",MIN(1,IF(AND(Assumptions!$B$42=1,OR($A28=104,$A28=105)),INDEX(X$68:X$69,MATCH($A28,$A$68:$A$69,0)),INDEX(CMI_Projection!$L$23:$CC$83,$A28-59,2026+($A28-X$4)-2021))))</f>
        <v>0.0494730905801305</v>
      </c>
      <c r="Y28" s="30" t="n">
        <f aca="false">IF($A28&lt;Y$4,"",MIN(1,IF(AND(Assumptions!$B$42=1,OR($A28=104,$A28=105)),INDEX(Y$68:Y$69,MATCH($A28,$A$68:$A$69,0)),INDEX(CMI_Projection!$L$23:$CC$83,$A28-59,2026+($A28-Y$4)-2021))))</f>
        <v>0.050244802718223</v>
      </c>
      <c r="Z28" s="30" t="str">
        <f aca="false">IF($A28&lt;Z$4,"",MIN(1,IF(AND(Assumptions!$B$42=1,OR($A28=104,$A28=105)),INDEX(Z$68:Z$69,MATCH($A28,$A$68:$A$69,0)),INDEX(CMI_Projection!$L$23:$CC$83,$A28-59,2026+($A28-Z$4)-2021))))</f>
        <v/>
      </c>
      <c r="AA28" s="30" t="str">
        <f aca="false">IF($A28&lt;AA$4,"",MIN(1,IF(AND(Assumptions!$B$42=1,OR($A28=104,$A28=105)),INDEX(AA$68:AA$69,MATCH($A28,$A$68:$A$69,0)),INDEX(CMI_Projection!$L$23:$CC$83,$A28-59,2026+($A28-AA$4)-2021))))</f>
        <v/>
      </c>
      <c r="AC28" s="30" t="n">
        <f aca="false">IF($A28&lt;AC$4,"",IF($A28=AC$4,1,AC27*(1-B27)))</f>
        <v>0.764037264014745</v>
      </c>
      <c r="AD28" s="30" t="n">
        <f aca="false">IF($A28&lt;AD$4,"",IF($A28=AD$4,1,AD27*(1-C27)))</f>
        <v>0.763015639996308</v>
      </c>
      <c r="AE28" s="30" t="n">
        <f aca="false">IF($A28&lt;AE$4,"",IF($A28=AE$4,1,AE27*(1-D27)))</f>
        <v>0.762222186976897</v>
      </c>
      <c r="AF28" s="30" t="n">
        <f aca="false">IF($A28&lt;AF$4,"",IF($A28=AF$4,1,AF27*(1-E27)))</f>
        <v>0.761688654507602</v>
      </c>
      <c r="AG28" s="30" t="n">
        <f aca="false">IF($A28&lt;AG$4,"",IF($A28=AG$4,1,AG27*(1-F27)))</f>
        <v>0.761451435400649</v>
      </c>
      <c r="AH28" s="30" t="n">
        <f aca="false">IF($A28&lt;AH$4,"",IF($A28=AH$4,1,AH27*(1-G27)))</f>
        <v>0.761552412727406</v>
      </c>
      <c r="AI28" s="30" t="n">
        <f aca="false">IF($A28&lt;AI$4,"",IF($A28=AI$4,1,AI27*(1-H27)))</f>
        <v>0.762238267443334</v>
      </c>
      <c r="AJ28" s="30" t="n">
        <f aca="false">IF($A28&lt;AJ$4,"",IF($A28=AJ$4,1,AJ27*(1-I27)))</f>
        <v>0.763394737561662</v>
      </c>
      <c r="AK28" s="30" t="n">
        <f aca="false">IF($A28&lt;AK$4,"",IF($A28=AK$4,1,AK27*(1-J27)))</f>
        <v>0.765090903706442</v>
      </c>
      <c r="AL28" s="30" t="n">
        <f aca="false">IF($A28&lt;AL$4,"",IF($A28=AL$4,1,AL27*(1-K27)))</f>
        <v>0.767407441139516</v>
      </c>
      <c r="AM28" s="30" t="n">
        <f aca="false">IF($A28&lt;AM$4,"",IF($A28=AM$4,1,AM27*(1-L27)))</f>
        <v>0.770438723105458</v>
      </c>
      <c r="AN28" s="30" t="n">
        <f aca="false">IF($A28&lt;AN$4,"",IF($A28=AN$4,1,AN27*(1-M27)))</f>
        <v>0.774559360436982</v>
      </c>
      <c r="AO28" s="30" t="n">
        <f aca="false">IF($A28&lt;AO$4,"",IF($A28=AO$4,1,AO27*(1-N27)))</f>
        <v>0.779679126876467</v>
      </c>
      <c r="AP28" s="30" t="n">
        <f aca="false">IF($A28&lt;AP$4,"",IF($A28=AP$4,1,AP27*(1-O27)))</f>
        <v>0.785961977511041</v>
      </c>
      <c r="AQ28" s="30" t="n">
        <f aca="false">IF($A28&lt;AQ$4,"",IF($A28=AQ$4,1,AQ27*(1-P27)))</f>
        <v>0.793604194854747</v>
      </c>
      <c r="AR28" s="30" t="n">
        <f aca="false">IF($A28&lt;AR$4,"",IF($A28=AR$4,1,AR27*(1-Q27)))</f>
        <v>0.802842380880297</v>
      </c>
      <c r="AS28" s="30" t="n">
        <f aca="false">IF($A28&lt;AS$4,"",IF($A28=AS$4,1,AS27*(1-R27)))</f>
        <v>0.814467969887867</v>
      </c>
      <c r="AT28" s="30" t="n">
        <f aca="false">IF($A28&lt;AT$4,"",IF($A28=AT$4,1,AT27*(1-S27)))</f>
        <v>0.828425031256404</v>
      </c>
      <c r="AU28" s="30" t="n">
        <f aca="false">IF($A28&lt;AU$4,"",IF($A28=AU$4,1,AU27*(1-T27)))</f>
        <v>0.845167016345547</v>
      </c>
      <c r="AV28" s="30" t="n">
        <f aca="false">IF($A28&lt;AV$4,"",IF($A28=AV$4,1,AV27*(1-U27)))</f>
        <v>0.865252016022611</v>
      </c>
      <c r="AW28" s="30" t="n">
        <f aca="false">IF($A28&lt;AW$4,"",IF($A28=AW$4,1,AW27*(1-V27)))</f>
        <v>0.88937386054023</v>
      </c>
      <c r="AX28" s="30" t="n">
        <f aca="false">IF($A28&lt;AX$4,"",IF($A28=AX$4,1,AX27*(1-W27)))</f>
        <v>0.919487798199993</v>
      </c>
      <c r="AY28" s="30" t="n">
        <f aca="false">IF($A28&lt;AY$4,"",IF($A28=AY$4,1,AY27*(1-X27)))</f>
        <v>0.955870891625449</v>
      </c>
      <c r="AZ28" s="30" t="n">
        <f aca="false">IF($A28&lt;AZ$4,"",IF($A28=AZ$4,1,AZ27*(1-Y27)))</f>
        <v>1</v>
      </c>
      <c r="BA28" s="30" t="str">
        <f aca="false">IF($A28&lt;BA$4,"",IF($A28=BA$4,1,BA27*(1-Z27)))</f>
        <v/>
      </c>
      <c r="BB28" s="30" t="str">
        <f aca="false">IF($A28&lt;BB$4,"",IF($A28=BB$4,1,BB27*(1-AA27)))</f>
        <v/>
      </c>
    </row>
    <row r="29" customFormat="false" ht="15" hidden="false" customHeight="true" outlineLevel="0" collapsed="false">
      <c r="A29" s="3" t="n">
        <v>84</v>
      </c>
      <c r="B29" s="30" t="n">
        <f aca="false">IF($A29&lt;B$4,"",MIN(1,IF(AND(Assumptions!$B$42=1,OR($A29=104,$A29=105)),INDEX(B$68:B$69,MATCH($A29,$A$68:$A$69,0)),INDEX(CMI_Projection!$L$23:$CC$83,$A29-59,2026+($A29-B$4)-2021))))</f>
        <v>0.0397837072084371</v>
      </c>
      <c r="C29" s="30" t="n">
        <f aca="false">IF($A29&lt;C$4,"",MIN(1,IF(AND(Assumptions!$B$42=1,OR($A29=104,$A29=105)),INDEX(C$68:C$69,MATCH($A29,$A$68:$A$69,0)),INDEX(CMI_Projection!$L$23:$CC$83,$A29-59,2026+($A29-C$4)-2021))))</f>
        <v>0.0403895504654183</v>
      </c>
      <c r="D29" s="30" t="n">
        <f aca="false">IF($A29&lt;D$4,"",MIN(1,IF(AND(Assumptions!$B$42=1,OR($A29=104,$A29=105)),INDEX(D$68:D$69,MATCH($A29,$A$68:$A$69,0)),INDEX(CMI_Projection!$L$23:$CC$83,$A29-59,2026+($A29-D$4)-2021))))</f>
        <v>0.041004619761846</v>
      </c>
      <c r="E29" s="30" t="n">
        <f aca="false">IF($A29&lt;E$4,"",MIN(1,IF(AND(Assumptions!$B$42=1,OR($A29=104,$A29=105)),INDEX(E$68:E$69,MATCH($A29,$A$68:$A$69,0)),INDEX(CMI_Projection!$L$23:$CC$83,$A29-59,2026+($A29-E$4)-2021))))</f>
        <v>0.0416290555957828</v>
      </c>
      <c r="F29" s="30" t="n">
        <f aca="false">IF($A29&lt;F$4,"",MIN(1,IF(AND(Assumptions!$B$42=1,OR($A29=104,$A29=105)),INDEX(F$68:F$69,MATCH($A29,$A$68:$A$69,0)),INDEX(CMI_Projection!$L$23:$CC$83,$A29-59,2026+($A29-F$4)-2021))))</f>
        <v>0.0422630006048556</v>
      </c>
      <c r="G29" s="30" t="n">
        <f aca="false">IF($A29&lt;G$4,"",MIN(1,IF(AND(Assumptions!$B$42=1,OR($A29=104,$A29=105)),INDEX(G$68:G$69,MATCH($A29,$A$68:$A$69,0)),INDEX(CMI_Projection!$L$23:$CC$83,$A29-59,2026+($A29-G$4)-2021))))</f>
        <v>0.0429065995988382</v>
      </c>
      <c r="H29" s="30" t="n">
        <f aca="false">IF($A29&lt;H$4,"",MIN(1,IF(AND(Assumptions!$B$42=1,OR($A29=104,$A29=105)),INDEX(H$68:H$69,MATCH($A29,$A$68:$A$69,0)),INDEX(CMI_Projection!$L$23:$CC$83,$A29-59,2026+($A29-H$4)-2021))))</f>
        <v>0.0435599995927291</v>
      </c>
      <c r="I29" s="30" t="n">
        <f aca="false">IF($A29&lt;I$4,"",MIN(1,IF(AND(Assumptions!$B$42=1,OR($A29=104,$A29=105)),INDEX(I$68:I$69,MATCH($A29,$A$68:$A$69,0)),INDEX(CMI_Projection!$L$23:$CC$83,$A29-59,2026+($A29-I$4)-2021))))</f>
        <v>0.0442233498403341</v>
      </c>
      <c r="J29" s="30" t="n">
        <f aca="false">IF($A29&lt;J$4,"",MIN(1,IF(AND(Assumptions!$B$42=1,OR($A29=104,$A29=105)),INDEX(J$68:J$69,MATCH($A29,$A$68:$A$69,0)),INDEX(CMI_Projection!$L$23:$CC$83,$A29-59,2026+($A29-J$4)-2021))))</f>
        <v>0.0448968018683595</v>
      </c>
      <c r="K29" s="30" t="n">
        <f aca="false">IF($A29&lt;K$4,"",MIN(1,IF(AND(Assumptions!$B$42=1,OR($A29=104,$A29=105)),INDEX(K$68:K$69,MATCH($A29,$A$68:$A$69,0)),INDEX(CMI_Projection!$L$23:$CC$83,$A29-59,2026+($A29-K$4)-2021))))</f>
        <v>0.0455805095110249</v>
      </c>
      <c r="L29" s="30" t="n">
        <f aca="false">IF($A29&lt;L$4,"",MIN(1,IF(AND(Assumptions!$B$42=1,OR($A29=104,$A29=105)),INDEX(L$68:L$69,MATCH($A29,$A$68:$A$69,0)),INDEX(CMI_Projection!$L$23:$CC$83,$A29-59,2026+($A29-L$4)-2021))))</f>
        <v>0.046274628945203</v>
      </c>
      <c r="M29" s="30" t="n">
        <f aca="false">IF($A29&lt;M$4,"",MIN(1,IF(AND(Assumptions!$B$42=1,OR($A29=104,$A29=105)),INDEX(M$68:M$69,MATCH($A29,$A$68:$A$69,0)),INDEX(CMI_Projection!$L$23:$CC$83,$A29-59,2026+($A29-M$4)-2021))))</f>
        <v>0.0469793187260944</v>
      </c>
      <c r="N29" s="30" t="n">
        <f aca="false">IF($A29&lt;N$4,"",MIN(1,IF(AND(Assumptions!$B$42=1,OR($A29=104,$A29=105)),INDEX(N$68:N$69,MATCH($A29,$A$68:$A$69,0)),INDEX(CMI_Projection!$L$23:$CC$83,$A29-59,2026+($A29-N$4)-2021))))</f>
        <v>0.0476947398234461</v>
      </c>
      <c r="O29" s="30" t="n">
        <f aca="false">IF($A29&lt;O$4,"",MIN(1,IF(AND(Assumptions!$B$42=1,OR($A29=104,$A29=105)),INDEX(O$68:O$69,MATCH($A29,$A$68:$A$69,0)),INDEX(CMI_Projection!$L$23:$CC$83,$A29-59,2026+($A29-O$4)-2021))))</f>
        <v>0.0484210556583209</v>
      </c>
      <c r="P29" s="30" t="n">
        <f aca="false">IF($A29&lt;P$4,"",MIN(1,IF(AND(Assumptions!$B$42=1,OR($A29=104,$A29=105)),INDEX(P$68:P$69,MATCH($A29,$A$68:$A$69,0)),INDEX(CMI_Projection!$L$23:$CC$83,$A29-59,2026+($A29-P$4)-2021))))</f>
        <v>0.0491584321404273</v>
      </c>
      <c r="Q29" s="30" t="n">
        <f aca="false">IF($A29&lt;Q$4,"",MIN(1,IF(AND(Assumptions!$B$42=1,OR($A29=104,$A29=105)),INDEX(Q$68:Q$69,MATCH($A29,$A$68:$A$69,0)),INDEX(CMI_Projection!$L$23:$CC$83,$A29-59,2026+($A29-Q$4)-2021))))</f>
        <v>0.0499070377060175</v>
      </c>
      <c r="R29" s="30" t="n">
        <f aca="false">IF($A29&lt;R$4,"",MIN(1,IF(AND(Assumptions!$B$42=1,OR($A29=104,$A29=105)),INDEX(R$68:R$69,MATCH($A29,$A$68:$A$69,0)),INDEX(CMI_Projection!$L$23:$CC$83,$A29-59,2026+($A29-R$4)-2021))))</f>
        <v>0.050667043356363</v>
      </c>
      <c r="S29" s="30" t="n">
        <f aca="false">IF($A29&lt;S$4,"",MIN(1,IF(AND(Assumptions!$B$42=1,OR($A29=104,$A29=105)),INDEX(S$68:S$69,MATCH($A29,$A$68:$A$69,0)),INDEX(CMI_Projection!$L$23:$CC$83,$A29-59,2026+($A29-S$4)-2021))))</f>
        <v>0.0514386226968152</v>
      </c>
      <c r="T29" s="30" t="n">
        <f aca="false">IF($A29&lt;T$4,"",MIN(1,IF(AND(Assumptions!$B$42=1,OR($A29=104,$A29=105)),INDEX(T$68:T$69,MATCH($A29,$A$68:$A$69,0)),INDEX(CMI_Projection!$L$23:$CC$83,$A29-59,2026+($A29-T$4)-2021))))</f>
        <v>0.0522219519764621</v>
      </c>
      <c r="U29" s="30" t="n">
        <f aca="false">IF($A29&lt;U$4,"",MIN(1,IF(AND(Assumptions!$B$42=1,OR($A29=104,$A29=105)),INDEX(U$68:U$69,MATCH($A29,$A$68:$A$69,0)),INDEX(CMI_Projection!$L$23:$CC$83,$A29-59,2026+($A29-U$4)-2021))))</f>
        <v>0.053017210128388</v>
      </c>
      <c r="V29" s="30" t="n">
        <f aca="false">IF($A29&lt;V$4,"",MIN(1,IF(AND(Assumptions!$B$42=1,OR($A29=104,$A29=105)),INDEX(V$68:V$69,MATCH($A29,$A$68:$A$69,0)),INDEX(CMI_Projection!$L$23:$CC$83,$A29-59,2026+($A29-V$4)-2021))))</f>
        <v>0.0538245788105462</v>
      </c>
      <c r="W29" s="30" t="n">
        <f aca="false">IF($A29&lt;W$4,"",MIN(1,IF(AND(Assumptions!$B$42=1,OR($A29=104,$A29=105)),INDEX(W$68:W$69,MATCH($A29,$A$68:$A$69,0)),INDEX(CMI_Projection!$L$23:$CC$83,$A29-59,2026+($A29-W$4)-2021))))</f>
        <v>0.0546444625409593</v>
      </c>
      <c r="X29" s="30" t="n">
        <f aca="false">IF($A29&lt;X$4,"",MIN(1,IF(AND(Assumptions!$B$42=1,OR($A29=104,$A29=105)),INDEX(X$68:X$69,MATCH($A29,$A$68:$A$69,0)),INDEX(CMI_Projection!$L$23:$CC$83,$A29-59,2026+($A29-X$4)-2021))))</f>
        <v>0.0554778950475944</v>
      </c>
      <c r="Y29" s="30" t="n">
        <f aca="false">IF($A29&lt;Y$4,"",MIN(1,IF(AND(Assumptions!$B$42=1,OR($A29=104,$A29=105)),INDEX(Y$68:Y$69,MATCH($A29,$A$68:$A$69,0)),INDEX(CMI_Projection!$L$23:$CC$83,$A29-59,2026+($A29-Y$4)-2021))))</f>
        <v>0.0563257773143169</v>
      </c>
      <c r="Z29" s="30" t="n">
        <f aca="false">IF($A29&lt;Z$4,"",MIN(1,IF(AND(Assumptions!$B$42=1,OR($A29=104,$A29=105)),INDEX(Z$68:Z$69,MATCH($A29,$A$68:$A$69,0)),INDEX(CMI_Projection!$L$23:$CC$83,$A29-59,2026+($A29-Z$4)-2021))))</f>
        <v>0.0571888032244424</v>
      </c>
      <c r="AA29" s="30" t="str">
        <f aca="false">IF($A29&lt;AA$4,"",MIN(1,IF(AND(Assumptions!$B$42=1,OR($A29=104,$A29=105)),INDEX(AA$68:AA$69,MATCH($A29,$A$68:$A$69,0)),INDEX(CMI_Projection!$L$23:$CC$83,$A29-59,2026+($A29-AA$4)-2021))))</f>
        <v/>
      </c>
      <c r="AC29" s="30" t="n">
        <f aca="false">IF($A29&lt;AC$4,"",IF($A29=AC$4,1,AC28*(1-B28)))</f>
        <v>0.736940258961648</v>
      </c>
      <c r="AD29" s="30" t="n">
        <f aca="false">IF($A29&lt;AD$4,"",IF($A29=AD$4,1,AD28*(1-C28)))</f>
        <v>0.735542774421663</v>
      </c>
      <c r="AE29" s="30" t="n">
        <f aca="false">IF($A29&lt;AE$4,"",IF($A29=AE$4,1,AE28*(1-D28)))</f>
        <v>0.734359956731436</v>
      </c>
      <c r="AF29" s="30" t="n">
        <f aca="false">IF($A29&lt;AF$4,"",IF($A29=AF$4,1,AF28*(1-E28)))</f>
        <v>0.733421926053509</v>
      </c>
      <c r="AG29" s="30" t="n">
        <f aca="false">IF($A29&lt;AG$4,"",IF($A29=AG$4,1,AG28*(1-F28)))</f>
        <v>0.732763186559027</v>
      </c>
      <c r="AH29" s="30" t="n">
        <f aca="false">IF($A29&lt;AH$4,"",IF($A29=AH$4,1,AH28*(1-G28)))</f>
        <v>0.732423424669064</v>
      </c>
      <c r="AI29" s="30" t="n">
        <f aca="false">IF($A29&lt;AI$4,"",IF($A29=AI$4,1,AI28*(1-H28)))</f>
        <v>0.732639057647968</v>
      </c>
      <c r="AJ29" s="30" t="n">
        <f aca="false">IF($A29&lt;AJ$4,"",IF($A29=AJ$4,1,AJ28*(1-I28)))</f>
        <v>0.733299186492997</v>
      </c>
      <c r="AK29" s="30" t="n">
        <f aca="false">IF($A29&lt;AK$4,"",IF($A29=AK$4,1,AK28*(1-J28)))</f>
        <v>0.734469157959668</v>
      </c>
      <c r="AL29" s="30" t="n">
        <f aca="false">IF($A29&lt;AL$4,"",IF($A29=AL$4,1,AL28*(1-K28)))</f>
        <v>0.736225246138272</v>
      </c>
      <c r="AM29" s="30" t="n">
        <f aca="false">IF($A29&lt;AM$4,"",IF($A29=AM$4,1,AM28*(1-L28)))</f>
        <v>0.738656626061063</v>
      </c>
      <c r="AN29" s="30" t="n">
        <f aca="false">IF($A29&lt;AN$4,"",IF($A29=AN$4,1,AN28*(1-M28)))</f>
        <v>0.742120699162416</v>
      </c>
      <c r="AO29" s="30" t="n">
        <f aca="false">IF($A29&lt;AO$4,"",IF($A29=AO$4,1,AO28*(1-N28)))</f>
        <v>0.746528794028845</v>
      </c>
      <c r="AP29" s="30" t="n">
        <f aca="false">IF($A29&lt;AP$4,"",IF($A29=AP$4,1,AP28*(1-O28)))</f>
        <v>0.752035615507988</v>
      </c>
      <c r="AQ29" s="30" t="n">
        <f aca="false">IF($A29&lt;AQ$4,"",IF($A29=AQ$4,1,AQ28*(1-P28)))</f>
        <v>0.758826284844101</v>
      </c>
      <c r="AR29" s="30" t="n">
        <f aca="false">IF($A29&lt;AR$4,"",IF($A29=AR$4,1,AR28*(1-Q28)))</f>
        <v>0.767123850289824</v>
      </c>
      <c r="AS29" s="30" t="n">
        <f aca="false">IF($A29&lt;AS$4,"",IF($A29=AS$4,1,AS28*(1-R28)))</f>
        <v>0.777680402270159</v>
      </c>
      <c r="AT29" s="30" t="n">
        <f aca="false">IF($A29&lt;AT$4,"",IF($A29=AT$4,1,AT28*(1-S28)))</f>
        <v>0.790437239729765</v>
      </c>
      <c r="AU29" s="30" t="n">
        <f aca="false">IF($A29&lt;AU$4,"",IF($A29=AU$4,1,AU28*(1-T28)))</f>
        <v>0.80582132846431</v>
      </c>
      <c r="AV29" s="30" t="n">
        <f aca="false">IF($A29&lt;AV$4,"",IF($A29=AV$4,1,AV28*(1-U28)))</f>
        <v>0.824357884256268</v>
      </c>
      <c r="AW29" s="30" t="n">
        <f aca="false">IF($A29&lt;AW$4,"",IF($A29=AW$4,1,AW28*(1-V28)))</f>
        <v>0.846698271784119</v>
      </c>
      <c r="AX29" s="30" t="n">
        <f aca="false">IF($A29&lt;AX$4,"",IF($A29=AX$4,1,AX28*(1-W28)))</f>
        <v>0.874690397941988</v>
      </c>
      <c r="AY29" s="30" t="n">
        <f aca="false">IF($A29&lt;AY$4,"",IF($A29=AY$4,1,AY28*(1-X28)))</f>
        <v>0.908581004421153</v>
      </c>
      <c r="AZ29" s="30" t="n">
        <f aca="false">IF($A29&lt;AZ$4,"",IF($A29=AZ$4,1,AZ28*(1-Y28)))</f>
        <v>0.949755197281777</v>
      </c>
      <c r="BA29" s="30" t="n">
        <f aca="false">IF($A29&lt;BA$4,"",IF($A29=BA$4,1,BA28*(1-Z28)))</f>
        <v>1</v>
      </c>
      <c r="BB29" s="30" t="str">
        <f aca="false">IF($A29&lt;BB$4,"",IF($A29=BB$4,1,BB28*(1-AA28)))</f>
        <v/>
      </c>
    </row>
    <row r="30" customFormat="false" ht="15" hidden="false" customHeight="true" outlineLevel="0" collapsed="false">
      <c r="A30" s="3" t="n">
        <v>85</v>
      </c>
      <c r="B30" s="30" t="n">
        <f aca="false">IF($A30&lt;B$4,"",MIN(1,IF(AND(Assumptions!$B$42=1,OR($A30=104,$A30=105)),INDEX(B$68:B$69,MATCH($A30,$A$68:$A$69,0)),INDEX(CMI_Projection!$L$23:$CC$83,$A30-59,2026+($A30-B$4)-2021))))</f>
        <v>0.0460607265089864</v>
      </c>
      <c r="C30" s="30" t="n">
        <f aca="false">IF($A30&lt;C$4,"",MIN(1,IF(AND(Assumptions!$B$42=1,OR($A30=104,$A30=105)),INDEX(C$68:C$69,MATCH($A30,$A$68:$A$69,0)),INDEX(CMI_Projection!$L$23:$CC$83,$A30-59,2026+($A30-C$4)-2021))))</f>
        <v>0.046762158892372</v>
      </c>
      <c r="D30" s="30" t="n">
        <f aca="false">IF($A30&lt;D$4,"",MIN(1,IF(AND(Assumptions!$B$42=1,OR($A30=104,$A30=105)),INDEX(D$68:D$69,MATCH($A30,$A$68:$A$69,0)),INDEX(CMI_Projection!$L$23:$CC$83,$A30-59,2026+($A30-D$4)-2021))))</f>
        <v>0.0474742729871797</v>
      </c>
      <c r="E30" s="30" t="n">
        <f aca="false">IF($A30&lt;E$4,"",MIN(1,IF(AND(Assumptions!$B$42=1,OR($A30=104,$A30=105)),INDEX(E$68:E$69,MATCH($A30,$A$68:$A$69,0)),INDEX(CMI_Projection!$L$23:$CC$83,$A30-59,2026+($A30-E$4)-2021))))</f>
        <v>0.0481972314590657</v>
      </c>
      <c r="F30" s="30" t="n">
        <f aca="false">IF($A30&lt;F$4,"",MIN(1,IF(AND(Assumptions!$B$42=1,OR($A30=104,$A30=105)),INDEX(F$68:F$69,MATCH($A30,$A$68:$A$69,0)),INDEX(CMI_Projection!$L$23:$CC$83,$A30-59,2026+($A30-F$4)-2021))))</f>
        <v>0.0489311994508281</v>
      </c>
      <c r="G30" s="30" t="n">
        <f aca="false">IF($A30&lt;G$4,"",MIN(1,IF(AND(Assumptions!$B$42=1,OR($A30=104,$A30=105)),INDEX(G$68:G$69,MATCH($A30,$A$68:$A$69,0)),INDEX(CMI_Projection!$L$23:$CC$83,$A30-59,2026+($A30-G$4)-2021))))</f>
        <v>0.0496763446201301</v>
      </c>
      <c r="H30" s="30" t="n">
        <f aca="false">IF($A30&lt;H$4,"",MIN(1,IF(AND(Assumptions!$B$42=1,OR($A30=104,$A30=105)),INDEX(H$68:H$69,MATCH($A30,$A$68:$A$69,0)),INDEX(CMI_Projection!$L$23:$CC$83,$A30-59,2026+($A30-H$4)-2021))))</f>
        <v>0.050432837177797</v>
      </c>
      <c r="I30" s="30" t="n">
        <f aca="false">IF($A30&lt;I$4,"",MIN(1,IF(AND(Assumptions!$B$42=1,OR($A30=104,$A30=105)),INDEX(I$68:I$69,MATCH($A30,$A$68:$A$69,0)),INDEX(CMI_Projection!$L$23:$CC$83,$A30-59,2026+($A30-I$4)-2021))))</f>
        <v>0.0512008499266975</v>
      </c>
      <c r="J30" s="30" t="n">
        <f aca="false">IF($A30&lt;J$4,"",MIN(1,IF(AND(Assumptions!$B$42=1,OR($A30=104,$A30=105)),INDEX(J$68:J$69,MATCH($A30,$A$68:$A$69,0)),INDEX(CMI_Projection!$L$23:$CC$83,$A30-59,2026+($A30-J$4)-2021))))</f>
        <v>0.0519805583012157</v>
      </c>
      <c r="K30" s="30" t="n">
        <f aca="false">IF($A30&lt;K$4,"",MIN(1,IF(AND(Assumptions!$B$42=1,OR($A30=104,$A30=105)),INDEX(K$68:K$69,MATCH($A30,$A$68:$A$69,0)),INDEX(CMI_Projection!$L$23:$CC$83,$A30-59,2026+($A30-K$4)-2021))))</f>
        <v>0.0527721404073256</v>
      </c>
      <c r="L30" s="30" t="n">
        <f aca="false">IF($A30&lt;L$4,"",MIN(1,IF(AND(Assumptions!$B$42=1,OR($A30=104,$A30=105)),INDEX(L$68:L$69,MATCH($A30,$A$68:$A$69,0)),INDEX(CMI_Projection!$L$23:$CC$83,$A30-59,2026+($A30-L$4)-2021))))</f>
        <v>0.0535757770632747</v>
      </c>
      <c r="M30" s="30" t="n">
        <f aca="false">IF($A30&lt;M$4,"",MIN(1,IF(AND(Assumptions!$B$42=1,OR($A30=104,$A30=105)),INDEX(M$68:M$69,MATCH($A30,$A$68:$A$69,0)),INDEX(CMI_Projection!$L$23:$CC$83,$A30-59,2026+($A30-M$4)-2021))))</f>
        <v>0.0543916518408881</v>
      </c>
      <c r="N30" s="30" t="n">
        <f aca="false">IF($A30&lt;N$4,"",MIN(1,IF(AND(Assumptions!$B$42=1,OR($A30=104,$A30=105)),INDEX(N$68:N$69,MATCH($A30,$A$68:$A$69,0)),INDEX(CMI_Projection!$L$23:$CC$83,$A30-59,2026+($A30-N$4)-2021))))</f>
        <v>0.0552199511075006</v>
      </c>
      <c r="O30" s="30" t="n">
        <f aca="false">IF($A30&lt;O$4,"",MIN(1,IF(AND(Assumptions!$B$42=1,OR($A30=104,$A30=105)),INDEX(O$68:O$69,MATCH($A30,$A$68:$A$69,0)),INDEX(CMI_Projection!$L$23:$CC$83,$A30-59,2026+($A30-O$4)-2021))))</f>
        <v>0.0560608640685285</v>
      </c>
      <c r="P30" s="30" t="n">
        <f aca="false">IF($A30&lt;P$4,"",MIN(1,IF(AND(Assumptions!$B$42=1,OR($A30=104,$A30=105)),INDEX(P$68:P$69,MATCH($A30,$A$68:$A$69,0)),INDEX(CMI_Projection!$L$23:$CC$83,$A30-59,2026+($A30-P$4)-2021))))</f>
        <v>0.0569145828106888</v>
      </c>
      <c r="Q30" s="30" t="n">
        <f aca="false">IF($A30&lt;Q$4,"",MIN(1,IF(AND(Assumptions!$B$42=1,OR($A30=104,$A30=105)),INDEX(Q$68:Q$69,MATCH($A30,$A$68:$A$69,0)),INDEX(CMI_Projection!$L$23:$CC$83,$A30-59,2026+($A30-Q$4)-2021))))</f>
        <v>0.057781302345877</v>
      </c>
      <c r="R30" s="30" t="n">
        <f aca="false">IF($A30&lt;R$4,"",MIN(1,IF(AND(Assumptions!$B$42=1,OR($A30=104,$A30=105)),INDEX(R$68:R$69,MATCH($A30,$A$68:$A$69,0)),INDEX(CMI_Projection!$L$23:$CC$83,$A30-59,2026+($A30-R$4)-2021))))</f>
        <v>0.0586612206557127</v>
      </c>
      <c r="S30" s="30" t="n">
        <f aca="false">IF($A30&lt;S$4,"",MIN(1,IF(AND(Assumptions!$B$42=1,OR($A30=104,$A30=105)),INDEX(S$68:S$69,MATCH($A30,$A$68:$A$69,0)),INDEX(CMI_Projection!$L$23:$CC$83,$A30-59,2026+($A30-S$4)-2021))))</f>
        <v>0.0595545387367641</v>
      </c>
      <c r="T30" s="30" t="n">
        <f aca="false">IF($A30&lt;T$4,"",MIN(1,IF(AND(Assumptions!$B$42=1,OR($A30=104,$A30=105)),INDEX(T$68:T$69,MATCH($A30,$A$68:$A$69,0)),INDEX(CMI_Projection!$L$23:$CC$83,$A30-59,2026+($A30-T$4)-2021))))</f>
        <v>0.060461460646461</v>
      </c>
      <c r="U30" s="30" t="n">
        <f aca="false">IF($A30&lt;U$4,"",MIN(1,IF(AND(Assumptions!$B$42=1,OR($A30=104,$A30=105)),INDEX(U$68:U$69,MATCH($A30,$A$68:$A$69,0)),INDEX(CMI_Projection!$L$23:$CC$83,$A30-59,2026+($A30-U$4)-2021))))</f>
        <v>0.0613821935497067</v>
      </c>
      <c r="V30" s="30" t="n">
        <f aca="false">IF($A30&lt;V$4,"",MIN(1,IF(AND(Assumptions!$B$42=1,OR($A30=104,$A30=105)),INDEX(V$68:V$69,MATCH($A30,$A$68:$A$69,0)),INDEX(CMI_Projection!$L$23:$CC$83,$A30-59,2026+($A30-V$4)-2021))))</f>
        <v>0.0623169477661996</v>
      </c>
      <c r="W30" s="30" t="n">
        <f aca="false">IF($A30&lt;W$4,"",MIN(1,IF(AND(Assumptions!$B$42=1,OR($A30=104,$A30=105)),INDEX(W$68:W$69,MATCH($A30,$A$68:$A$69,0)),INDEX(CMI_Projection!$L$23:$CC$83,$A30-59,2026+($A30-W$4)-2021))))</f>
        <v>0.0632659368184768</v>
      </c>
      <c r="X30" s="30" t="n">
        <f aca="false">IF($A30&lt;X$4,"",MIN(1,IF(AND(Assumptions!$B$42=1,OR($A30=104,$A30=105)),INDEX(X$68:X$69,MATCH($A30,$A$68:$A$69,0)),INDEX(CMI_Projection!$L$23:$CC$83,$A30-59,2026+($A30-X$4)-2021))))</f>
        <v>0.0642292573776744</v>
      </c>
      <c r="Y30" s="30" t="n">
        <f aca="false">IF($A30&lt;Y$4,"",MIN(1,IF(AND(Assumptions!$B$42=1,OR($A30=104,$A30=105)),INDEX(Y$68:Y$69,MATCH($A30,$A$68:$A$69,0)),INDEX(CMI_Projection!$L$23:$CC$83,$A30-59,2026+($A30-Y$4)-2021))))</f>
        <v>0.0652055773823227</v>
      </c>
      <c r="Z30" s="30" t="n">
        <f aca="false">IF($A30&lt;Z$4,"",MIN(1,IF(AND(Assumptions!$B$42=1,OR($A30=104,$A30=105)),INDEX(Z$68:Z$69,MATCH($A30,$A$68:$A$69,0)),INDEX(CMI_Projection!$L$23:$CC$83,$A30-59,2026+($A30-Z$4)-2021))))</f>
        <v>0.0661934876864234</v>
      </c>
      <c r="AA30" s="30" t="n">
        <f aca="false">IF($A30&lt;AA$4,"",MIN(1,IF(AND(Assumptions!$B$42=1,OR($A30=104,$A30=105)),INDEX(AA$68:AA$69,MATCH($A30,$A$68:$A$69,0)),INDEX(CMI_Projection!$L$23:$CC$83,$A30-59,2026+($A30-AA$4)-2021))))</f>
        <v>0.0671920440759928</v>
      </c>
      <c r="AC30" s="30" t="n">
        <f aca="false">IF($A30&lt;AC$4,"",IF($A30=AC$4,1,AC29*(1-B29)))</f>
        <v>0.707622043469008</v>
      </c>
      <c r="AD30" s="30" t="n">
        <f aca="false">IF($A30&lt;AD$4,"",IF($A30=AD$4,1,AD29*(1-C29)))</f>
        <v>0.705834532414686</v>
      </c>
      <c r="AE30" s="30" t="n">
        <f aca="false">IF($A30&lt;AE$4,"",IF($A30=AE$4,1,AE29*(1-D29)))</f>
        <v>0.704247805937338</v>
      </c>
      <c r="AF30" s="30" t="n">
        <f aca="false">IF($A30&lt;AF$4,"",IF($A30=AF$4,1,AF29*(1-E29)))</f>
        <v>0.702890263918662</v>
      </c>
      <c r="AG30" s="30" t="n">
        <f aca="false">IF($A30&lt;AG$4,"",IF($A30=AG$4,1,AG29*(1-F29)))</f>
        <v>0.701794415562267</v>
      </c>
      <c r="AH30" s="30" t="n">
        <f aca="false">IF($A30&lt;AH$4,"",IF($A30=AH$4,1,AH29*(1-G29)))</f>
        <v>0.700997626049978</v>
      </c>
      <c r="AI30" s="30" t="n">
        <f aca="false">IF($A30&lt;AI$4,"",IF($A30=AI$4,1,AI29*(1-H29)))</f>
        <v>0.700725300595205</v>
      </c>
      <c r="AJ30" s="30" t="n">
        <f aca="false">IF($A30&lt;AJ$4,"",IF($A30=AJ$4,1,AJ29*(1-I29)))</f>
        <v>0.700870240031085</v>
      </c>
      <c r="AK30" s="30" t="n">
        <f aca="false">IF($A30&lt;AK$4,"",IF($A30=AK$4,1,AK29*(1-J29)))</f>
        <v>0.701493841696332</v>
      </c>
      <c r="AL30" s="30" t="n">
        <f aca="false">IF($A30&lt;AL$4,"",IF($A30=AL$4,1,AL29*(1-K29)))</f>
        <v>0.70266772430441</v>
      </c>
      <c r="AM30" s="30" t="n">
        <f aca="false">IF($A30&lt;AM$4,"",IF($A30=AM$4,1,AM29*(1-L29)))</f>
        <v>0.704475564772171</v>
      </c>
      <c r="AN30" s="30" t="n">
        <f aca="false">IF($A30&lt;AN$4,"",IF($A30=AN$4,1,AN29*(1-M29)))</f>
        <v>0.707256374303233</v>
      </c>
      <c r="AO30" s="30" t="n">
        <f aca="false">IF($A30&lt;AO$4,"",IF($A30=AO$4,1,AO29*(1-N29)))</f>
        <v>0.710923297426929</v>
      </c>
      <c r="AP30" s="30" t="n">
        <f aca="false">IF($A30&lt;AP$4,"",IF($A30=AP$4,1,AP29*(1-O29)))</f>
        <v>0.715621257112436</v>
      </c>
      <c r="AQ30" s="30" t="n">
        <f aca="false">IF($A30&lt;AQ$4,"",IF($A30=AQ$4,1,AQ29*(1-P29)))</f>
        <v>0.72152357441422</v>
      </c>
      <c r="AR30" s="30" t="n">
        <f aca="false">IF($A30&lt;AR$4,"",IF($A30=AR$4,1,AR29*(1-Q29)))</f>
        <v>0.728838971368224</v>
      </c>
      <c r="AS30" s="30" t="n">
        <f aca="false">IF($A30&lt;AS$4,"",IF($A30=AS$4,1,AS29*(1-R29)))</f>
        <v>0.738277635610943</v>
      </c>
      <c r="AT30" s="30" t="n">
        <f aca="false">IF($A30&lt;AT$4,"",IF($A30=AT$4,1,AT29*(1-S29)))</f>
        <v>0.749778236789793</v>
      </c>
      <c r="AU30" s="30" t="n">
        <f aca="false">IF($A30&lt;AU$4,"",IF($A30=AU$4,1,AU29*(1-T29)))</f>
        <v>0.763739765747638</v>
      </c>
      <c r="AV30" s="30" t="n">
        <f aca="false">IF($A30&lt;AV$4,"",IF($A30=AV$4,1,AV29*(1-U29)))</f>
        <v>0.78065272908566</v>
      </c>
      <c r="AW30" s="30" t="n">
        <f aca="false">IF($A30&lt;AW$4,"",IF($A30=AW$4,1,AW29*(1-V29)))</f>
        <v>0.801125093925722</v>
      </c>
      <c r="AX30" s="30" t="n">
        <f aca="false">IF($A30&lt;AX$4,"",IF($A30=AX$4,1,AX29*(1-W29)))</f>
        <v>0.82689341125671</v>
      </c>
      <c r="AY30" s="30" t="n">
        <f aca="false">IF($A30&lt;AY$4,"",IF($A30=AY$4,1,AY29*(1-X29)))</f>
        <v>0.858174842815639</v>
      </c>
      <c r="AZ30" s="30" t="n">
        <f aca="false">IF($A30&lt;AZ$4,"",IF($A30=AZ$4,1,AZ29*(1-Y29)))</f>
        <v>0.896259497536568</v>
      </c>
      <c r="BA30" s="30" t="n">
        <f aca="false">IF($A30&lt;BA$4,"",IF($A30=BA$4,1,BA29*(1-Z29)))</f>
        <v>0.942811196775558</v>
      </c>
      <c r="BB30" s="30" t="n">
        <f aca="false">IF($A30&lt;BB$4,"",IF($A30=BB$4,1,BB29*(1-AA29)))</f>
        <v>1</v>
      </c>
    </row>
    <row r="31" customFormat="false" ht="15" hidden="false" customHeight="true" outlineLevel="0" collapsed="false">
      <c r="A31" s="3" t="n">
        <v>86</v>
      </c>
      <c r="B31" s="30" t="n">
        <f aca="false">IF($A31&lt;B$4,"",MIN(1,IF(AND(Assumptions!$B$42=1,OR($A31=104,$A31=105)),INDEX(B$68:B$69,MATCH($A31,$A$68:$A$69,0)),INDEX(CMI_Projection!$L$23:$CC$83,$A31-59,2026+($A31-B$4)-2021))))</f>
        <v>0.0524037051946719</v>
      </c>
      <c r="C31" s="30" t="n">
        <f aca="false">IF($A31&lt;C$4,"",MIN(1,IF(AND(Assumptions!$B$42=1,OR($A31=104,$A31=105)),INDEX(C$68:C$69,MATCH($A31,$A$68:$A$69,0)),INDEX(CMI_Projection!$L$23:$CC$83,$A31-59,2026+($A31-C$4)-2021))))</f>
        <v>0.0531693437445941</v>
      </c>
      <c r="D31" s="30" t="n">
        <f aca="false">IF($A31&lt;D$4,"",MIN(1,IF(AND(Assumptions!$B$42=1,OR($A31=104,$A31=105)),INDEX(D$68:D$69,MATCH($A31,$A$68:$A$69,0)),INDEX(CMI_Projection!$L$23:$CC$83,$A31-59,2026+($A31-D$4)-2021))))</f>
        <v>0.0539461685720313</v>
      </c>
      <c r="E31" s="30" t="n">
        <f aca="false">IF($A31&lt;E$4,"",MIN(1,IF(AND(Assumptions!$B$42=1,OR($A31=104,$A31=105)),INDEX(E$68:E$69,MATCH($A31,$A$68:$A$69,0)),INDEX(CMI_Projection!$L$23:$CC$83,$A31-59,2026+($A31-E$4)-2021))))</f>
        <v>0.0547343431128565</v>
      </c>
      <c r="F31" s="30" t="n">
        <f aca="false">IF($A31&lt;F$4,"",MIN(1,IF(AND(Assumptions!$B$42=1,OR($A31=104,$A31=105)),INDEX(F$68:F$69,MATCH($A31,$A$68:$A$69,0)),INDEX(CMI_Projection!$L$23:$CC$83,$A31-59,2026+($A31-F$4)-2021))))</f>
        <v>0.055534033190804</v>
      </c>
      <c r="G31" s="30" t="n">
        <f aca="false">IF($A31&lt;G$4,"",MIN(1,IF(AND(Assumptions!$B$42=1,OR($A31=104,$A31=105)),INDEX(G$68:G$69,MATCH($A31,$A$68:$A$69,0)),INDEX(CMI_Projection!$L$23:$CC$83,$A31-59,2026+($A31-G$4)-2021))))</f>
        <v>0.056345407052358</v>
      </c>
      <c r="H31" s="30" t="n">
        <f aca="false">IF($A31&lt;H$4,"",MIN(1,IF(AND(Assumptions!$B$42=1,OR($A31=104,$A31=105)),INDEX(H$68:H$69,MATCH($A31,$A$68:$A$69,0)),INDEX(CMI_Projection!$L$23:$CC$83,$A31-59,2026+($A31-H$4)-2021))))</f>
        <v>0.0571686354021489</v>
      </c>
      <c r="I31" s="30" t="n">
        <f aca="false">IF($A31&lt;I$4,"",MIN(1,IF(AND(Assumptions!$B$42=1,OR($A31=104,$A31=105)),INDEX(I$68:I$69,MATCH($A31,$A$68:$A$69,0)),INDEX(CMI_Projection!$L$23:$CC$83,$A31-59,2026+($A31-I$4)-2021))))</f>
        <v>0.0580038914388686</v>
      </c>
      <c r="J31" s="30" t="n">
        <f aca="false">IF($A31&lt;J$4,"",MIN(1,IF(AND(Assumptions!$B$42=1,OR($A31=104,$A31=105)),INDEX(J$68:J$69,MATCH($A31,$A$68:$A$69,0)),INDEX(CMI_Projection!$L$23:$CC$83,$A31-59,2026+($A31-J$4)-2021))))</f>
        <v>0.0588513508917093</v>
      </c>
      <c r="K31" s="30" t="n">
        <f aca="false">IF($A31&lt;K$4,"",MIN(1,IF(AND(Assumptions!$B$42=1,OR($A31=104,$A31=105)),INDEX(K$68:K$69,MATCH($A31,$A$68:$A$69,0)),INDEX(CMI_Projection!$L$23:$CC$83,$A31-59,2026+($A31-K$4)-2021))))</f>
        <v>0.0597111920573349</v>
      </c>
      <c r="L31" s="30" t="n">
        <f aca="false">IF($A31&lt;L$4,"",MIN(1,IF(AND(Assumptions!$B$42=1,OR($A31=104,$A31=105)),INDEX(L$68:L$69,MATCH($A31,$A$68:$A$69,0)),INDEX(CMI_Projection!$L$23:$CC$83,$A31-59,2026+($A31-L$4)-2021))))</f>
        <v>0.0605835958373933</v>
      </c>
      <c r="M31" s="30" t="n">
        <f aca="false">IF($A31&lt;M$4,"",MIN(1,IF(AND(Assumptions!$B$42=1,OR($A31=104,$A31=105)),INDEX(M$68:M$69,MATCH($A31,$A$68:$A$69,0)),INDEX(CMI_Projection!$L$23:$CC$83,$A31-59,2026+($A31-M$4)-2021))))</f>
        <v>0.061468745776576</v>
      </c>
      <c r="N31" s="30" t="n">
        <f aca="false">IF($A31&lt;N$4,"",MIN(1,IF(AND(Assumptions!$B$42=1,OR($A31=104,$A31=105)),INDEX(N$68:N$69,MATCH($A31,$A$68:$A$69,0)),INDEX(CMI_Projection!$L$23:$CC$83,$A31-59,2026+($A31-N$4)-2021))))</f>
        <v>0.0623668281012338</v>
      </c>
      <c r="O31" s="30" t="n">
        <f aca="false">IF($A31&lt;O$4,"",MIN(1,IF(AND(Assumptions!$B$42=1,OR($A31=104,$A31=105)),INDEX(O$68:O$69,MATCH($A31,$A$68:$A$69,0)),INDEX(CMI_Projection!$L$23:$CC$83,$A31-59,2026+($A31-O$4)-2021))))</f>
        <v>0.063278031758557</v>
      </c>
      <c r="P31" s="30" t="n">
        <f aca="false">IF($A31&lt;P$4,"",MIN(1,IF(AND(Assumptions!$B$42=1,OR($A31=104,$A31=105)),INDEX(P$68:P$69,MATCH($A31,$A$68:$A$69,0)),INDEX(CMI_Projection!$L$23:$CC$83,$A31-59,2026+($A31-P$4)-2021))))</f>
        <v>0.0642025484563281</v>
      </c>
      <c r="Q31" s="30" t="n">
        <f aca="false">IF($A31&lt;Q$4,"",MIN(1,IF(AND(Assumptions!$B$42=1,OR($A31=104,$A31=105)),INDEX(Q$68:Q$69,MATCH($A31,$A$68:$A$69,0)),INDEX(CMI_Projection!$L$23:$CC$83,$A31-59,2026+($A31-Q$4)-2021))))</f>
        <v>0.065140572703255</v>
      </c>
      <c r="R31" s="30" t="n">
        <f aca="false">IF($A31&lt;R$4,"",MIN(1,IF(AND(Assumptions!$B$42=1,OR($A31=104,$A31=105)),INDEX(R$68:R$69,MATCH($A31,$A$68:$A$69,0)),INDEX(CMI_Projection!$L$23:$CC$83,$A31-59,2026+($A31-R$4)-2021))))</f>
        <v>0.0660923018498935</v>
      </c>
      <c r="S31" s="30" t="n">
        <f aca="false">IF($A31&lt;S$4,"",MIN(1,IF(AND(Assumptions!$B$42=1,OR($A31=104,$A31=105)),INDEX(S$68:S$69,MATCH($A31,$A$68:$A$69,0)),INDEX(CMI_Projection!$L$23:$CC$83,$A31-59,2026+($A31-S$4)-2021))))</f>
        <v>0.0670579361301679</v>
      </c>
      <c r="T31" s="30" t="n">
        <f aca="false">IF($A31&lt;T$4,"",MIN(1,IF(AND(Assumptions!$B$42=1,OR($A31=104,$A31=105)),INDEX(T$68:T$69,MATCH($A31,$A$68:$A$69,0)),INDEX(CMI_Projection!$L$23:$CC$83,$A31-59,2026+($A31-T$4)-2021))))</f>
        <v>0.0680376787034983</v>
      </c>
      <c r="U31" s="30" t="n">
        <f aca="false">IF($A31&lt;U$4,"",MIN(1,IF(AND(Assumptions!$B$42=1,OR($A31=104,$A31=105)),INDEX(U$68:U$69,MATCH($A31,$A$68:$A$69,0)),INDEX(CMI_Projection!$L$23:$CC$83,$A31-59,2026+($A31-U$4)-2021))))</f>
        <v>0.0690317356975429</v>
      </c>
      <c r="V31" s="30" t="n">
        <f aca="false">IF($A31&lt;V$4,"",MIN(1,IF(AND(Assumptions!$B$42=1,OR($A31=104,$A31=105)),INDEX(V$68:V$69,MATCH($A31,$A$68:$A$69,0)),INDEX(CMI_Projection!$L$23:$CC$83,$A31-59,2026+($A31-V$4)-2021))))</f>
        <v>0.0700403162515654</v>
      </c>
      <c r="W31" s="30" t="n">
        <f aca="false">IF($A31&lt;W$4,"",MIN(1,IF(AND(Assumptions!$B$42=1,OR($A31=104,$A31=105)),INDEX(W$68:W$69,MATCH($A31,$A$68:$A$69,0)),INDEX(CMI_Projection!$L$23:$CC$83,$A31-59,2026+($A31-W$4)-2021))))</f>
        <v>0.0710636325604357</v>
      </c>
      <c r="X31" s="30" t="n">
        <f aca="false">IF($A31&lt;X$4,"",MIN(1,IF(AND(Assumptions!$B$42=1,OR($A31=104,$A31=105)),INDEX(X$68:X$69,MATCH($A31,$A$68:$A$69,0)),INDEX(CMI_Projection!$L$23:$CC$83,$A31-59,2026+($A31-X$4)-2021))))</f>
        <v>0.0721018999192732</v>
      </c>
      <c r="Y31" s="30" t="n">
        <f aca="false">IF($A31&lt;Y$4,"",MIN(1,IF(AND(Assumptions!$B$42=1,OR($A31=104,$A31=105)),INDEX(Y$68:Y$69,MATCH($A31,$A$68:$A$69,0)),INDEX(CMI_Projection!$L$23:$CC$83,$A31-59,2026+($A31-Y$4)-2021))))</f>
        <v>0.0731553367687431</v>
      </c>
      <c r="Z31" s="30" t="n">
        <f aca="false">IF($A31&lt;Z$4,"",MIN(1,IF(AND(Assumptions!$B$42=1,OR($A31=104,$A31=105)),INDEX(Z$68:Z$69,MATCH($A31,$A$68:$A$69,0)),INDEX(CMI_Projection!$L$23:$CC$83,$A31-59,2026+($A31-Z$4)-2021))))</f>
        <v>0.0742227794247311</v>
      </c>
      <c r="AA31" s="30" t="n">
        <f aca="false">IF($A31&lt;AA$4,"",MIN(1,IF(AND(Assumptions!$B$42=1,OR($A31=104,$A31=105)),INDEX(AA$68:AA$69,MATCH($A31,$A$68:$A$69,0)),INDEX(CMI_Projection!$L$23:$CC$83,$A31-59,2026+($A31-AA$4)-2021))))</f>
        <v>0.0753020923831677</v>
      </c>
      <c r="AC31" s="30" t="n">
        <f aca="false">IF($A31&lt;AC$4,"",IF($A31=AC$4,1,AC30*(1-B30)))</f>
        <v>0.675028458053052</v>
      </c>
      <c r="AD31" s="30" t="n">
        <f aca="false">IF($A31&lt;AD$4,"",IF($A31=AD$4,1,AD30*(1-C30)))</f>
        <v>0.672828185858187</v>
      </c>
      <c r="AE31" s="30" t="n">
        <f aca="false">IF($A31&lt;AE$4,"",IF($A31=AE$4,1,AE30*(1-D30)))</f>
        <v>0.670814153347646</v>
      </c>
      <c r="AF31" s="30" t="n">
        <f aca="false">IF($A31&lt;AF$4,"",IF($A31=AF$4,1,AF30*(1-E30)))</f>
        <v>0.66901289917825</v>
      </c>
      <c r="AG31" s="30" t="n">
        <f aca="false">IF($A31&lt;AG$4,"",IF($A31=AG$4,1,AG30*(1-F30)))</f>
        <v>0.667454773040912</v>
      </c>
      <c r="AH31" s="30" t="n">
        <f aca="false">IF($A31&lt;AH$4,"",IF($A31=AH$4,1,AH30*(1-G30)))</f>
        <v>0.666174626400427</v>
      </c>
      <c r="AI31" s="30" t="n">
        <f aca="false">IF($A31&lt;AI$4,"",IF($A31=AI$4,1,AI30*(1-H30)))</f>
        <v>0.665385735603924</v>
      </c>
      <c r="AJ31" s="30" t="n">
        <f aca="false">IF($A31&lt;AJ$4,"",IF($A31=AJ$4,1,AJ30*(1-I30)))</f>
        <v>0.664985088053165</v>
      </c>
      <c r="AK31" s="30" t="n">
        <f aca="false">IF($A31&lt;AK$4,"",IF($A31=AK$4,1,AK30*(1-J30)))</f>
        <v>0.665029800160092</v>
      </c>
      <c r="AL31" s="30" t="n">
        <f aca="false">IF($A31&lt;AL$4,"",IF($A31=AL$4,1,AL30*(1-K30)))</f>
        <v>0.665586444497721</v>
      </c>
      <c r="AM31" s="30" t="n">
        <f aca="false">IF($A31&lt;AM$4,"",IF($A31=AM$4,1,AM30*(1-L30)))</f>
        <v>0.666732738967413</v>
      </c>
      <c r="AN31" s="30" t="n">
        <f aca="false">IF($A31&lt;AN$4,"",IF($A31=AN$4,1,AN30*(1-M30)))</f>
        <v>0.668787531829882</v>
      </c>
      <c r="AO31" s="30" t="n">
        <f aca="false">IF($A31&lt;AO$4,"",IF($A31=AO$4,1,AO30*(1-N30)))</f>
        <v>0.671666147701831</v>
      </c>
      <c r="AP31" s="30" t="n">
        <f aca="false">IF($A31&lt;AP$4,"",IF($A31=AP$4,1,AP30*(1-O30)))</f>
        <v>0.675502911092906</v>
      </c>
      <c r="AQ31" s="30" t="n">
        <f aca="false">IF($A31&lt;AQ$4,"",IF($A31=AQ$4,1,AQ30*(1-P30)))</f>
        <v>0.680458361188358</v>
      </c>
      <c r="AR31" s="30" t="n">
        <f aca="false">IF($A31&lt;AR$4,"",IF($A31=AR$4,1,AR30*(1-Q30)))</f>
        <v>0.686725706402139</v>
      </c>
      <c r="AS31" s="30" t="n">
        <f aca="false">IF($A31&lt;AS$4,"",IF($A31=AS$4,1,AS30*(1-R30)))</f>
        <v>0.694969368323192</v>
      </c>
      <c r="AT31" s="30" t="n">
        <f aca="false">IF($A31&lt;AT$4,"",IF($A31=AT$4,1,AT30*(1-S30)))</f>
        <v>0.705125539742913</v>
      </c>
      <c r="AU31" s="30" t="n">
        <f aca="false">IF($A31&lt;AU$4,"",IF($A31=AU$4,1,AU30*(1-T30)))</f>
        <v>0.71756294395675</v>
      </c>
      <c r="AV31" s="30" t="n">
        <f aca="false">IF($A31&lt;AV$4,"",IF($A31=AV$4,1,AV30*(1-U30)))</f>
        <v>0.732734552173818</v>
      </c>
      <c r="AW31" s="30" t="n">
        <f aca="false">IF($A31&lt;AW$4,"",IF($A31=AW$4,1,AW30*(1-V30)))</f>
        <v>0.751201423293361</v>
      </c>
      <c r="AX31" s="30" t="n">
        <f aca="false">IF($A31&lt;AX$4,"",IF($A31=AX$4,1,AX30*(1-W30)))</f>
        <v>0.774579224944529</v>
      </c>
      <c r="AY31" s="30" t="n">
        <f aca="false">IF($A31&lt;AY$4,"",IF($A31=AY$4,1,AY30*(1-X30)))</f>
        <v>0.803054909961388</v>
      </c>
      <c r="AZ31" s="30" t="n">
        <f aca="false">IF($A31&lt;AZ$4,"",IF($A31=AZ$4,1,AZ30*(1-Y30)))</f>
        <v>0.837818379515306</v>
      </c>
      <c r="BA31" s="30" t="n">
        <f aca="false">IF($A31&lt;BA$4,"",IF($A31=BA$4,1,BA30*(1-Z30)))</f>
        <v>0.880403235431173</v>
      </c>
      <c r="BB31" s="30" t="n">
        <f aca="false">IF($A31&lt;BB$4,"",IF($A31=BB$4,1,BB30*(1-AA30)))</f>
        <v>0.932807955924007</v>
      </c>
    </row>
    <row r="32" customFormat="false" ht="15" hidden="false" customHeight="true" outlineLevel="0" collapsed="false">
      <c r="A32" s="3" t="n">
        <v>87</v>
      </c>
      <c r="B32" s="30" t="n">
        <f aca="false">IF($A32&lt;B$4,"",MIN(1,IF(AND(Assumptions!$B$42=1,OR($A32=104,$A32=105)),INDEX(B$68:B$69,MATCH($A32,$A$68:$A$69,0)),INDEX(CMI_Projection!$L$23:$CC$83,$A32-59,2026+($A32-B$4)-2021))))</f>
        <v>0.0596111501359243</v>
      </c>
      <c r="C32" s="30" t="n">
        <f aca="false">IF($A32&lt;C$4,"",MIN(1,IF(AND(Assumptions!$B$42=1,OR($A32=104,$A32=105)),INDEX(C$68:C$69,MATCH($A32,$A$68:$A$69,0)),INDEX(CMI_Projection!$L$23:$CC$83,$A32-59,2026+($A32-C$4)-2021))))</f>
        <v>0.0604452952098198</v>
      </c>
      <c r="D32" s="30" t="n">
        <f aca="false">IF($A32&lt;D$4,"",MIN(1,IF(AND(Assumptions!$B$42=1,OR($A32=104,$A32=105)),INDEX(D$68:D$69,MATCH($A32,$A$68:$A$69,0)),INDEX(CMI_Projection!$L$23:$CC$83,$A32-59,2026+($A32-D$4)-2021))))</f>
        <v>0.0612911125631918</v>
      </c>
      <c r="E32" s="30" t="n">
        <f aca="false">IF($A32&lt;E$4,"",MIN(1,IF(AND(Assumptions!$B$42=1,OR($A32=104,$A32=105)),INDEX(E$68:E$69,MATCH($A32,$A$68:$A$69,0)),INDEX(CMI_Projection!$L$23:$CC$83,$A32-59,2026+($A32-E$4)-2021))))</f>
        <v>0.0621487655274709</v>
      </c>
      <c r="F32" s="30" t="n">
        <f aca="false">IF($A32&lt;F$4,"",MIN(1,IF(AND(Assumptions!$B$42=1,OR($A32=104,$A32=105)),INDEX(F$68:F$69,MATCH($A32,$A$68:$A$69,0)),INDEX(CMI_Projection!$L$23:$CC$83,$A32-59,2026+($A32-F$4)-2021))))</f>
        <v>0.0630184197196014</v>
      </c>
      <c r="G32" s="30" t="n">
        <f aca="false">IF($A32&lt;G$4,"",MIN(1,IF(AND(Assumptions!$B$42=1,OR($A32=104,$A32=105)),INDEX(G$68:G$69,MATCH($A32,$A$68:$A$69,0)),INDEX(CMI_Projection!$L$23:$CC$83,$A32-59,2026+($A32-G$4)-2021))))</f>
        <v>0.063900243074023</v>
      </c>
      <c r="H32" s="30" t="n">
        <f aca="false">IF($A32&lt;H$4,"",MIN(1,IF(AND(Assumptions!$B$42=1,OR($A32=104,$A32=105)),INDEX(H$68:H$69,MATCH($A32,$A$68:$A$69,0)),INDEX(CMI_Projection!$L$23:$CC$83,$A32-59,2026+($A32-H$4)-2021))))</f>
        <v>0.0647944058750993</v>
      </c>
      <c r="I32" s="30" t="n">
        <f aca="false">IF($A32&lt;I$4,"",MIN(1,IF(AND(Assumptions!$B$42=1,OR($A32=104,$A32=105)),INDEX(I$68:I$69,MATCH($A32,$A$68:$A$69,0)),INDEX(CMI_Projection!$L$23:$CC$83,$A32-59,2026+($A32-I$4)-2021))))</f>
        <v>0.0657010807900014</v>
      </c>
      <c r="J32" s="30" t="n">
        <f aca="false">IF($A32&lt;J$4,"",MIN(1,IF(AND(Assumptions!$B$42=1,OR($A32=104,$A32=105)),INDEX(J$68:J$69,MATCH($A32,$A$68:$A$69,0)),INDEX(CMI_Projection!$L$23:$CC$83,$A32-59,2026+($A32-J$4)-2021))))</f>
        <v>0.0666204429020497</v>
      </c>
      <c r="K32" s="30" t="n">
        <f aca="false">IF($A32&lt;K$4,"",MIN(1,IF(AND(Assumptions!$B$42=1,OR($A32=104,$A32=105)),INDEX(K$68:K$69,MATCH($A32,$A$68:$A$69,0)),INDEX(CMI_Projection!$L$23:$CC$83,$A32-59,2026+($A32-K$4)-2021))))</f>
        <v>0.0675526697445241</v>
      </c>
      <c r="L32" s="30" t="n">
        <f aca="false">IF($A32&lt;L$4,"",MIN(1,IF(AND(Assumptions!$B$42=1,OR($A32=104,$A32=105)),INDEX(L$68:L$69,MATCH($A32,$A$68:$A$69,0)),INDEX(CMI_Projection!$L$23:$CC$83,$A32-59,2026+($A32-L$4)-2021))))</f>
        <v>0.0684979413349464</v>
      </c>
      <c r="M32" s="30" t="n">
        <f aca="false">IF($A32&lt;M$4,"",MIN(1,IF(AND(Assumptions!$B$42=1,OR($A32=104,$A32=105)),INDEX(M$68:M$69,MATCH($A32,$A$68:$A$69,0)),INDEX(CMI_Projection!$L$23:$CC$83,$A32-59,2026+($A32-M$4)-2021))))</f>
        <v>0.0694564402098422</v>
      </c>
      <c r="N32" s="30" t="n">
        <f aca="false">IF($A32&lt;N$4,"",MIN(1,IF(AND(Assumptions!$B$42=1,OR($A32=104,$A32=105)),INDEX(N$68:N$69,MATCH($A32,$A$68:$A$69,0)),INDEX(CMI_Projection!$L$23:$CC$83,$A32-59,2026+($A32-N$4)-2021))))</f>
        <v>0.0704283514599901</v>
      </c>
      <c r="O32" s="30" t="n">
        <f aca="false">IF($A32&lt;O$4,"",MIN(1,IF(AND(Assumptions!$B$42=1,OR($A32=104,$A32=105)),INDEX(O$68:O$69,MATCH($A32,$A$68:$A$69,0)),INDEX(CMI_Projection!$L$23:$CC$83,$A32-59,2026+($A32-O$4)-2021))))</f>
        <v>0.0714138627661631</v>
      </c>
      <c r="P32" s="30" t="n">
        <f aca="false">IF($A32&lt;P$4,"",MIN(1,IF(AND(Assumptions!$B$42=1,OR($A32=104,$A32=105)),INDEX(P$68:P$69,MATCH($A32,$A$68:$A$69,0)),INDEX(CMI_Projection!$L$23:$CC$83,$A32-59,2026+($A32-P$4)-2021))))</f>
        <v>0.0724131644353712</v>
      </c>
      <c r="Q32" s="30" t="n">
        <f aca="false">IF($A32&lt;Q$4,"",MIN(1,IF(AND(Assumptions!$B$42=1,OR($A32=104,$A32=105)),INDEX(Q$68:Q$69,MATCH($A32,$A$68:$A$69,0)),INDEX(CMI_Projection!$L$23:$CC$83,$A32-59,2026+($A32-Q$4)-2021))))</f>
        <v>0.0734264494376102</v>
      </c>
      <c r="R32" s="30" t="n">
        <f aca="false">IF($A32&lt;R$4,"",MIN(1,IF(AND(Assumptions!$B$42=1,OR($A32=104,$A32=105)),INDEX(R$68:R$69,MATCH($A32,$A$68:$A$69,0)),INDEX(CMI_Projection!$L$23:$CC$83,$A32-59,2026+($A32-R$4)-2021))))</f>
        <v>0.0744539134431254</v>
      </c>
      <c r="S32" s="30" t="n">
        <f aca="false">IF($A32&lt;S$4,"",MIN(1,IF(AND(Assumptions!$B$42=1,OR($A32=104,$A32=105)),INDEX(S$68:S$69,MATCH($A32,$A$68:$A$69,0)),INDEX(CMI_Projection!$L$23:$CC$83,$A32-59,2026+($A32-S$4)-2021))))</f>
        <v>0.0754957548601961</v>
      </c>
      <c r="T32" s="30" t="n">
        <f aca="false">IF($A32&lt;T$4,"",MIN(1,IF(AND(Assumptions!$B$42=1,OR($A32=104,$A32=105)),INDEX(T$68:T$69,MATCH($A32,$A$68:$A$69,0)),INDEX(CMI_Projection!$L$23:$CC$83,$A32-59,2026+($A32-T$4)-2021))))</f>
        <v>0.0765521748734497</v>
      </c>
      <c r="U32" s="30" t="n">
        <f aca="false">IF($A32&lt;U$4,"",MIN(1,IF(AND(Assumptions!$B$42=1,OR($A32=104,$A32=105)),INDEX(U$68:U$69,MATCH($A32,$A$68:$A$69,0)),INDEX(CMI_Projection!$L$23:$CC$83,$A32-59,2026+($A32-U$4)-2021))))</f>
        <v>0.0776233774827111</v>
      </c>
      <c r="V32" s="30" t="n">
        <f aca="false">IF($A32&lt;V$4,"",MIN(1,IF(AND(Assumptions!$B$42=1,OR($A32=104,$A32=105)),INDEX(V$68:V$69,MATCH($A32,$A$68:$A$69,0)),INDEX(CMI_Projection!$L$23:$CC$83,$A32-59,2026+($A32-V$4)-2021))))</f>
        <v>0.0787095695423962</v>
      </c>
      <c r="W32" s="30" t="n">
        <f aca="false">IF($A32&lt;W$4,"",MIN(1,IF(AND(Assumptions!$B$42=1,OR($A32=104,$A32=105)),INDEX(W$68:W$69,MATCH($A32,$A$68:$A$69,0)),INDEX(CMI_Projection!$L$23:$CC$83,$A32-59,2026+($A32-W$4)-2021))))</f>
        <v>0.0798109608014563</v>
      </c>
      <c r="X32" s="30" t="n">
        <f aca="false">IF($A32&lt;X$4,"",MIN(1,IF(AND(Assumptions!$B$42=1,OR($A32=104,$A32=105)),INDEX(X$68:X$69,MATCH($A32,$A$68:$A$69,0)),INDEX(CMI_Projection!$L$23:$CC$83,$A32-59,2026+($A32-X$4)-2021))))</f>
        <v>0.0809277639438819</v>
      </c>
      <c r="Y32" s="30" t="n">
        <f aca="false">IF($A32&lt;Y$4,"",MIN(1,IF(AND(Assumptions!$B$42=1,OR($A32=104,$A32=105)),INDEX(Y$68:Y$69,MATCH($A32,$A$68:$A$69,0)),INDEX(CMI_Projection!$L$23:$CC$83,$A32-59,2026+($A32-Y$4)-2021))))</f>
        <v>0.0820601946297727</v>
      </c>
      <c r="Z32" s="30" t="n">
        <f aca="false">IF($A32&lt;Z$4,"",MIN(1,IF(AND(Assumptions!$B$42=1,OR($A32=104,$A32=105)),INDEX(Z$68:Z$69,MATCH($A32,$A$68:$A$69,0)),INDEX(CMI_Projection!$L$23:$CC$83,$A32-59,2026+($A32-Z$4)-2021))))</f>
        <v>0.0832084715369831</v>
      </c>
      <c r="AA32" s="30" t="n">
        <f aca="false">IF($A32&lt;AA$4,"",MIN(1,IF(AND(Assumptions!$B$42=1,OR($A32=104,$A32=105)),INDEX(AA$68:AA$69,MATCH($A32,$A$68:$A$69,0)),INDEX(CMI_Projection!$L$23:$CC$83,$A32-59,2026+($A32-AA$4)-2021))))</f>
        <v>0.0843719651290412</v>
      </c>
      <c r="AC32" s="30" t="n">
        <f aca="false">IF($A32&lt;AC$4,"",IF($A32=AC$4,1,AC31*(1-B31)))</f>
        <v>0.639654465739226</v>
      </c>
      <c r="AD32" s="30" t="n">
        <f aca="false">IF($A32&lt;AD$4,"",IF($A32=AD$4,1,AD31*(1-C31)))</f>
        <v>0.637054352763241</v>
      </c>
      <c r="AE32" s="30" t="n">
        <f aca="false">IF($A32&lt;AE$4,"",IF($A32=AE$4,1,AE31*(1-D31)))</f>
        <v>0.63462629995065</v>
      </c>
      <c r="AF32" s="30" t="n">
        <f aca="false">IF($A32&lt;AF$4,"",IF($A32=AF$4,1,AF31*(1-E31)))</f>
        <v>0.632394917607701</v>
      </c>
      <c r="AG32" s="30" t="n">
        <f aca="false">IF($A32&lt;AG$4,"",IF($A32=AG$4,1,AG31*(1-F31)))</f>
        <v>0.630388317521498</v>
      </c>
      <c r="AH32" s="30" t="n">
        <f aca="false">IF($A32&lt;AH$4,"",IF($A32=AH$4,1,AH31*(1-G31)))</f>
        <v>0.628638745907942</v>
      </c>
      <c r="AI32" s="30" t="n">
        <f aca="false">IF($A32&lt;AI$4,"",IF($A32=AI$4,1,AI31*(1-H31)))</f>
        <v>0.627346541083393</v>
      </c>
      <c r="AJ32" s="30" t="n">
        <f aca="false">IF($A32&lt;AJ$4,"",IF($A32=AJ$4,1,AJ31*(1-I31)))</f>
        <v>0.626413365197263</v>
      </c>
      <c r="AK32" s="30" t="n">
        <f aca="false">IF($A32&lt;AK$4,"",IF($A32=AK$4,1,AK31*(1-J31)))</f>
        <v>0.625891898037427</v>
      </c>
      <c r="AL32" s="30" t="n">
        <f aca="false">IF($A32&lt;AL$4,"",IF($A32=AL$4,1,AL31*(1-K31)))</f>
        <v>0.625843484479559</v>
      </c>
      <c r="AM32" s="30" t="n">
        <f aca="false">IF($A32&lt;AM$4,"",IF($A32=AM$4,1,AM31*(1-L31)))</f>
        <v>0.626339672178253</v>
      </c>
      <c r="AN32" s="30" t="n">
        <f aca="false">IF($A32&lt;AN$4,"",IF($A32=AN$4,1,AN31*(1-M31)))</f>
        <v>0.627678001057287</v>
      </c>
      <c r="AO32" s="30" t="n">
        <f aca="false">IF($A32&lt;AO$4,"",IF($A32=AO$4,1,AO31*(1-N31)))</f>
        <v>0.629776460526693</v>
      </c>
      <c r="AP32" s="30" t="n">
        <f aca="false">IF($A32&lt;AP$4,"",IF($A32=AP$4,1,AP31*(1-O31)))</f>
        <v>0.632758416431772</v>
      </c>
      <c r="AQ32" s="30" t="n">
        <f aca="false">IF($A32&lt;AQ$4,"",IF($A32=AQ$4,1,AQ31*(1-P31)))</f>
        <v>0.636771200281649</v>
      </c>
      <c r="AR32" s="30" t="n">
        <f aca="false">IF($A32&lt;AR$4,"",IF($A32=AR$4,1,AR31*(1-Q31)))</f>
        <v>0.641992000597056</v>
      </c>
      <c r="AS32" s="30" t="n">
        <f aca="false">IF($A32&lt;AS$4,"",IF($A32=AS$4,1,AS31*(1-R31)))</f>
        <v>0.649037243055545</v>
      </c>
      <c r="AT32" s="30" t="n">
        <f aca="false">IF($A32&lt;AT$4,"",IF($A32=AT$4,1,AT31*(1-S31)))</f>
        <v>0.657841276335082</v>
      </c>
      <c r="AU32" s="30" t="n">
        <f aca="false">IF($A32&lt;AU$4,"",IF($A32=AU$4,1,AU31*(1-T31)))</f>
        <v>0.668741626926284</v>
      </c>
      <c r="AV32" s="30" t="n">
        <f aca="false">IF($A32&lt;AV$4,"",IF($A32=AV$4,1,AV31*(1-U31)))</f>
        <v>0.682152614231697</v>
      </c>
      <c r="AW32" s="30" t="n">
        <f aca="false">IF($A32&lt;AW$4,"",IF($A32=AW$4,1,AW31*(1-V31)))</f>
        <v>0.698587038037268</v>
      </c>
      <c r="AX32" s="30" t="n">
        <f aca="false">IF($A32&lt;AX$4,"",IF($A32=AX$4,1,AX31*(1-W31)))</f>
        <v>0.719534811514124</v>
      </c>
      <c r="AY32" s="30" t="n">
        <f aca="false">IF($A32&lt;AY$4,"",IF($A32=AY$4,1,AY31*(1-X31)))</f>
        <v>0.745153125213671</v>
      </c>
      <c r="AZ32" s="30" t="n">
        <f aca="false">IF($A32&lt;AZ$4,"",IF($A32=AZ$4,1,AZ31*(1-Y31)))</f>
        <v>0.776527493810821</v>
      </c>
      <c r="BA32" s="30" t="n">
        <f aca="false">IF($A32&lt;BA$4,"",IF($A32=BA$4,1,BA31*(1-Z31)))</f>
        <v>0.815057260282945</v>
      </c>
      <c r="BB32" s="30" t="n">
        <f aca="false">IF($A32&lt;BB$4,"",IF($A32=BB$4,1,BB31*(1-AA31)))</f>
        <v>0.862565565051264</v>
      </c>
    </row>
    <row r="33" customFormat="false" ht="15" hidden="false" customHeight="true" outlineLevel="0" collapsed="false">
      <c r="A33" s="3" t="n">
        <v>88</v>
      </c>
      <c r="B33" s="30" t="n">
        <f aca="false">IF($A33&lt;B$4,"",MIN(1,IF(AND(Assumptions!$B$42=1,OR($A33=104,$A33=105)),INDEX(B$68:B$69,MATCH($A33,$A$68:$A$69,0)),INDEX(CMI_Projection!$L$23:$CC$83,$A33-59,2026+($A33-B$4)-2021))))</f>
        <v>0.0677734743716227</v>
      </c>
      <c r="C33" s="30" t="n">
        <f aca="false">IF($A33&lt;C$4,"",MIN(1,IF(AND(Assumptions!$B$42=1,OR($A33=104,$A33=105)),INDEX(C$68:C$69,MATCH($A33,$A$68:$A$69,0)),INDEX(CMI_Projection!$L$23:$CC$83,$A33-59,2026+($A33-C$4)-2021))))</f>
        <v>0.0686800510454222</v>
      </c>
      <c r="D33" s="30" t="n">
        <f aca="false">IF($A33&lt;D$4,"",MIN(1,IF(AND(Assumptions!$B$42=1,OR($A33=104,$A33=105)),INDEX(D$68:D$69,MATCH($A33,$A$68:$A$69,0)),INDEX(CMI_Projection!$L$23:$CC$83,$A33-59,2026+($A33-D$4)-2021))))</f>
        <v>0.0695987546062244</v>
      </c>
      <c r="E33" s="30" t="n">
        <f aca="false">IF($A33&lt;E$4,"",MIN(1,IF(AND(Assumptions!$B$42=1,OR($A33=104,$A33=105)),INDEX(E$68:E$69,MATCH($A33,$A$68:$A$69,0)),INDEX(CMI_Projection!$L$23:$CC$83,$A33-59,2026+($A33-E$4)-2021))))</f>
        <v>0.0705297472701909</v>
      </c>
      <c r="F33" s="30" t="n">
        <f aca="false">IF($A33&lt;F$4,"",MIN(1,IF(AND(Assumptions!$B$42=1,OR($A33=104,$A33=105)),INDEX(F$68:F$69,MATCH($A33,$A$68:$A$69,0)),INDEX(CMI_Projection!$L$23:$CC$83,$A33-59,2026+($A33-F$4)-2021))))</f>
        <v>0.0714731934233795</v>
      </c>
      <c r="G33" s="30" t="n">
        <f aca="false">IF($A33&lt;G$4,"",MIN(1,IF(AND(Assumptions!$B$42=1,OR($A33=104,$A33=105)),INDEX(G$68:G$69,MATCH($A33,$A$68:$A$69,0)),INDEX(CMI_Projection!$L$23:$CC$83,$A33-59,2026+($A33-G$4)-2021))))</f>
        <v>0.0724292596507697</v>
      </c>
      <c r="H33" s="30" t="n">
        <f aca="false">IF($A33&lt;H$4,"",MIN(1,IF(AND(Assumptions!$B$42=1,OR($A33=104,$A33=105)),INDEX(H$68:H$69,MATCH($A33,$A$68:$A$69,0)),INDEX(CMI_Projection!$L$23:$CC$83,$A33-59,2026+($A33-H$4)-2021))))</f>
        <v>0.0733981147656766</v>
      </c>
      <c r="I33" s="30" t="n">
        <f aca="false">IF($A33&lt;I$4,"",MIN(1,IF(AND(Assumptions!$B$42=1,OR($A33=104,$A33=105)),INDEX(I$68:I$69,MATCH($A33,$A$68:$A$69,0)),INDEX(CMI_Projection!$L$23:$CC$83,$A33-59,2026+($A33-I$4)-2021))))</f>
        <v>0.0743799298395588</v>
      </c>
      <c r="J33" s="30" t="n">
        <f aca="false">IF($A33&lt;J$4,"",MIN(1,IF(AND(Assumptions!$B$42=1,OR($A33=104,$A33=105)),INDEX(J$68:J$69,MATCH($A33,$A$68:$A$69,0)),INDEX(CMI_Projection!$L$23:$CC$83,$A33-59,2026+($A33-J$4)-2021))))</f>
        <v>0.0753748782322242</v>
      </c>
      <c r="K33" s="30" t="n">
        <f aca="false">IF($A33&lt;K$4,"",MIN(1,IF(AND(Assumptions!$B$42=1,OR($A33=104,$A33=105)),INDEX(K$68:K$69,MATCH($A33,$A$68:$A$69,0)),INDEX(CMI_Projection!$L$23:$CC$83,$A33-59,2026+($A33-K$4)-2021))))</f>
        <v>0.0763831356224404</v>
      </c>
      <c r="L33" s="30" t="n">
        <f aca="false">IF($A33&lt;L$4,"",MIN(1,IF(AND(Assumptions!$B$42=1,OR($A33=104,$A33=105)),INDEX(L$68:L$69,MATCH($A33,$A$68:$A$69,0)),INDEX(CMI_Projection!$L$23:$CC$83,$A33-59,2026+($A33-L$4)-2021))))</f>
        <v>0.0774048800389546</v>
      </c>
      <c r="M33" s="30" t="n">
        <f aca="false">IF($A33&lt;M$4,"",MIN(1,IF(AND(Assumptions!$B$42=1,OR($A33=104,$A33=105)),INDEX(M$68:M$69,MATCH($A33,$A$68:$A$69,0)),INDEX(CMI_Projection!$L$23:$CC$83,$A33-59,2026+($A33-M$4)-2021))))</f>
        <v>0.078440291891928</v>
      </c>
      <c r="N33" s="30" t="n">
        <f aca="false">IF($A33&lt;N$4,"",MIN(1,IF(AND(Assumptions!$B$42=1,OR($A33=104,$A33=105)),INDEX(N$68:N$69,MATCH($A33,$A$68:$A$69,0)),INDEX(CMI_Projection!$L$23:$CC$83,$A33-59,2026+($A33-N$4)-2021))))</f>
        <v>0.0794895540047913</v>
      </c>
      <c r="O33" s="30" t="n">
        <f aca="false">IF($A33&lt;O$4,"",MIN(1,IF(AND(Assumptions!$B$42=1,OR($A33=104,$A33=105)),INDEX(O$68:O$69,MATCH($A33,$A$68:$A$69,0)),INDEX(CMI_Projection!$L$23:$CC$83,$A33-59,2026+($A33-O$4)-2021))))</f>
        <v>0.0805528516465254</v>
      </c>
      <c r="P33" s="30" t="n">
        <f aca="false">IF($A33&lt;P$4,"",MIN(1,IF(AND(Assumptions!$B$42=1,OR($A33=104,$A33=105)),INDEX(P$68:P$69,MATCH($A33,$A$68:$A$69,0)),INDEX(CMI_Projection!$L$23:$CC$83,$A33-59,2026+($A33-P$4)-2021))))</f>
        <v>0.0816303725643751</v>
      </c>
      <c r="Q33" s="30" t="n">
        <f aca="false">IF($A33&lt;Q$4,"",MIN(1,IF(AND(Assumptions!$B$42=1,OR($A33=104,$A33=105)),INDEX(Q$68:Q$69,MATCH($A33,$A$68:$A$69,0)),INDEX(CMI_Projection!$L$23:$CC$83,$A33-59,2026+($A33-Q$4)-2021))))</f>
        <v>0.0827223070169995</v>
      </c>
      <c r="R33" s="30" t="n">
        <f aca="false">IF($A33&lt;R$4,"",MIN(1,IF(AND(Assumptions!$B$42=1,OR($A33=104,$A33=105)),INDEX(R$68:R$69,MATCH($A33,$A$68:$A$69,0)),INDEX(CMI_Projection!$L$23:$CC$83,$A33-59,2026+($A33-R$4)-2021))))</f>
        <v>0.083828847808066</v>
      </c>
      <c r="S33" s="30" t="n">
        <f aca="false">IF($A33&lt;S$4,"",MIN(1,IF(AND(Assumptions!$B$42=1,OR($A33=104,$A33=105)),INDEX(S$68:S$69,MATCH($A33,$A$68:$A$69,0)),INDEX(CMI_Projection!$L$23:$CC$83,$A33-59,2026+($A33-S$4)-2021))))</f>
        <v>0.0849501903202939</v>
      </c>
      <c r="T33" s="30" t="n">
        <f aca="false">IF($A33&lt;T$4,"",MIN(1,IF(AND(Assumptions!$B$42=1,OR($A33=104,$A33=105)),INDEX(T$68:T$69,MATCH($A33,$A$68:$A$69,0)),INDEX(CMI_Projection!$L$23:$CC$83,$A33-59,2026+($A33-T$4)-2021))))</f>
        <v>0.0860865325499533</v>
      </c>
      <c r="U33" s="30" t="n">
        <f aca="false">IF($A33&lt;U$4,"",MIN(1,IF(AND(Assumptions!$B$42=1,OR($A33=104,$A33=105)),INDEX(U$68:U$69,MATCH($A33,$A$68:$A$69,0)),INDEX(CMI_Projection!$L$23:$CC$83,$A33-59,2026+($A33-U$4)-2021))))</f>
        <v>0.0872380751418254</v>
      </c>
      <c r="V33" s="30" t="n">
        <f aca="false">IF($A33&lt;V$4,"",MIN(1,IF(AND(Assumptions!$B$42=1,OR($A33=104,$A33=105)),INDEX(V$68:V$69,MATCH($A33,$A$68:$A$69,0)),INDEX(CMI_Projection!$L$23:$CC$83,$A33-59,2026+($A33-V$4)-2021))))</f>
        <v>0.0884050214246305</v>
      </c>
      <c r="W33" s="30" t="n">
        <f aca="false">IF($A33&lt;W$4,"",MIN(1,IF(AND(Assumptions!$B$42=1,OR($A33=104,$A33=105)),INDEX(W$68:W$69,MATCH($A33,$A$68:$A$69,0)),INDEX(CMI_Projection!$L$23:$CC$83,$A33-59,2026+($A33-W$4)-2021))))</f>
        <v>0.08958757744693</v>
      </c>
      <c r="X33" s="30" t="n">
        <f aca="false">IF($A33&lt;X$4,"",MIN(1,IF(AND(Assumptions!$B$42=1,OR($A33=104,$A33=105)),INDEX(X$68:X$69,MATCH($A33,$A$68:$A$69,0)),INDEX(CMI_Projection!$L$23:$CC$83,$A33-59,2026+($A33-X$4)-2021))))</f>
        <v>0.0907859520135083</v>
      </c>
      <c r="Y33" s="30" t="n">
        <f aca="false">IF($A33&lt;Y$4,"",MIN(1,IF(AND(Assumptions!$B$42=1,OR($A33=104,$A33=105)),INDEX(Y$68:Y$69,MATCH($A33,$A$68:$A$69,0)),INDEX(CMI_Projection!$L$23:$CC$83,$A33-59,2026+($A33-Y$4)-2021))))</f>
        <v>0.0920003567222419</v>
      </c>
      <c r="Z33" s="30" t="n">
        <f aca="false">IF($A33&lt;Z$4,"",MIN(1,IF(AND(Assumptions!$B$42=1,OR($A33=104,$A33=105)),INDEX(Z$68:Z$69,MATCH($A33,$A$68:$A$69,0)),INDEX(CMI_Projection!$L$23:$CC$83,$A33-59,2026+($A33-Z$4)-2021))))</f>
        <v>0.0932310060014611</v>
      </c>
      <c r="AA33" s="30" t="n">
        <f aca="false">IF($A33&lt;AA$4,"",MIN(1,IF(AND(Assumptions!$B$42=1,OR($A33=104,$A33=105)),INDEX(AA$68:AA$69,MATCH($A33,$A$68:$A$69,0)),INDEX(CMI_Projection!$L$23:$CC$83,$A33-59,2026+($A33-AA$4)-2021))))</f>
        <v>0.0944781171478123</v>
      </c>
      <c r="AC33" s="30" t="n">
        <f aca="false">IF($A33&lt;AC$4,"",IF($A33=AC$4,1,AC32*(1-B32)))</f>
        <v>0.601523927346931</v>
      </c>
      <c r="AD33" s="30" t="n">
        <f aca="false">IF($A33&lt;AD$4,"",IF($A33=AD$4,1,AD32*(1-C32)))</f>
        <v>0.598547414345767</v>
      </c>
      <c r="AE33" s="30" t="n">
        <f aca="false">IF($A33&lt;AE$4,"",IF($A33=AE$4,1,AE32*(1-D32)))</f>
        <v>0.595729347964813</v>
      </c>
      <c r="AF33" s="30" t="n">
        <f aca="false">IF($A33&lt;AF$4,"",IF($A33=AF$4,1,AF32*(1-E32)))</f>
        <v>0.593092354152536</v>
      </c>
      <c r="AG33" s="30" t="n">
        <f aca="false">IF($A33&lt;AG$4,"",IF($A33=AG$4,1,AG32*(1-F32)))</f>
        <v>0.590662241941594</v>
      </c>
      <c r="AH33" s="30" t="n">
        <f aca="false">IF($A33&lt;AH$4,"",IF($A33=AH$4,1,AH32*(1-G32)))</f>
        <v>0.588468577238675</v>
      </c>
      <c r="AI33" s="30" t="n">
        <f aca="false">IF($A33&lt;AI$4,"",IF($A33=AI$4,1,AI32*(1-H32)))</f>
        <v>0.586697994676096</v>
      </c>
      <c r="AJ33" s="30" t="n">
        <f aca="false">IF($A33&lt;AJ$4,"",IF($A33=AJ$4,1,AJ32*(1-I32)))</f>
        <v>0.585257330082501</v>
      </c>
      <c r="AK33" s="30" t="n">
        <f aca="false">IF($A33&lt;AK$4,"",IF($A33=AK$4,1,AK32*(1-J32)))</f>
        <v>0.584194702581369</v>
      </c>
      <c r="AL33" s="30" t="n">
        <f aca="false">IF($A33&lt;AL$4,"",IF($A33=AL$4,1,AL32*(1-K32)))</f>
        <v>0.58356608626075</v>
      </c>
      <c r="AM33" s="30" t="n">
        <f aca="false">IF($A33&lt;AM$4,"",IF($A33=AM$4,1,AM32*(1-L32)))</f>
        <v>0.583436694057638</v>
      </c>
      <c r="AN33" s="30" t="n">
        <f aca="false">IF($A33&lt;AN$4,"",IF($A33=AN$4,1,AN32*(1-M32)))</f>
        <v>0.584081721505819</v>
      </c>
      <c r="AO33" s="30" t="n">
        <f aca="false">IF($A33&lt;AO$4,"",IF($A33=AO$4,1,AO32*(1-N32)))</f>
        <v>0.58542234262349</v>
      </c>
      <c r="AP33" s="30" t="n">
        <f aca="false">IF($A33&lt;AP$4,"",IF($A33=AP$4,1,AP32*(1-O32)))</f>
        <v>0.587570693716578</v>
      </c>
      <c r="AQ33" s="30" t="n">
        <f aca="false">IF($A33&lt;AQ$4,"",IF($A33=AQ$4,1,AQ32*(1-P32)))</f>
        <v>0.590660582647945</v>
      </c>
      <c r="AR33" s="30" t="n">
        <f aca="false">IF($A33&lt;AR$4,"",IF($A33=AR$4,1,AR32*(1-Q32)))</f>
        <v>0.594852807425866</v>
      </c>
      <c r="AS33" s="30" t="n">
        <f aca="false">IF($A33&lt;AS$4,"",IF($A33=AS$4,1,AS32*(1-R32)))</f>
        <v>0.600713880339723</v>
      </c>
      <c r="AT33" s="30" t="n">
        <f aca="false">IF($A33&lt;AT$4,"",IF($A33=AT$4,1,AT32*(1-S32)))</f>
        <v>0.60817705259997</v>
      </c>
      <c r="AU33" s="30" t="n">
        <f aca="false">IF($A33&lt;AU$4,"",IF($A33=AU$4,1,AU32*(1-T32)))</f>
        <v>0.617548000956668</v>
      </c>
      <c r="AV33" s="30" t="n">
        <f aca="false">IF($A33&lt;AV$4,"",IF($A33=AV$4,1,AV32*(1-U32)))</f>
        <v>0.629201624356372</v>
      </c>
      <c r="AW33" s="30" t="n">
        <f aca="false">IF($A33&lt;AW$4,"",IF($A33=AW$4,1,AW32*(1-V32)))</f>
        <v>0.643601552985457</v>
      </c>
      <c r="AX33" s="30" t="n">
        <f aca="false">IF($A33&lt;AX$4,"",IF($A33=AX$4,1,AX32*(1-W32)))</f>
        <v>0.662108046877087</v>
      </c>
      <c r="AY33" s="30" t="n">
        <f aca="false">IF($A33&lt;AY$4,"",IF($A33=AY$4,1,AY32*(1-X32)))</f>
        <v>0.684849548994333</v>
      </c>
      <c r="AZ33" s="30" t="n">
        <f aca="false">IF($A33&lt;AZ$4,"",IF($A33=AZ$4,1,AZ32*(1-Y32)))</f>
        <v>0.712805496533336</v>
      </c>
      <c r="BA33" s="30" t="n">
        <f aca="false">IF($A33&lt;BA$4,"",IF($A33=BA$4,1,BA32*(1-Z32)))</f>
        <v>0.74723759143968</v>
      </c>
      <c r="BB33" s="30" t="n">
        <f aca="false">IF($A33&lt;BB$4,"",IF($A33=BB$4,1,BB32*(1-AA32)))</f>
        <v>0.789789213275247</v>
      </c>
    </row>
    <row r="34" customFormat="false" ht="15" hidden="false" customHeight="true" outlineLevel="0" collapsed="false">
      <c r="A34" s="3" t="n">
        <v>89</v>
      </c>
      <c r="B34" s="30" t="n">
        <f aca="false">IF($A34&lt;B$4,"",MIN(1,IF(AND(Assumptions!$B$42=1,OR($A34=104,$A34=105)),INDEX(B$68:B$69,MATCH($A34,$A$68:$A$69,0)),INDEX(CMI_Projection!$L$23:$CC$83,$A34-59,2026+($A34-B$4)-2021))))</f>
        <v>0.0769821285093277</v>
      </c>
      <c r="C34" s="30" t="n">
        <f aca="false">IF($A34&lt;C$4,"",MIN(1,IF(AND(Assumptions!$B$42=1,OR($A34=104,$A34=105)),INDEX(C$68:C$69,MATCH($A34,$A$68:$A$69,0)),INDEX(CMI_Projection!$L$23:$CC$83,$A34-59,2026+($A34-C$4)-2021))))</f>
        <v>0.077964480969544</v>
      </c>
      <c r="D34" s="30" t="n">
        <f aca="false">IF($A34&lt;D$4,"",MIN(1,IF(AND(Assumptions!$B$42=1,OR($A34=104,$A34=105)),INDEX(D$68:D$69,MATCH($A34,$A$68:$A$69,0)),INDEX(CMI_Projection!$L$23:$CC$83,$A34-59,2026+($A34-D$4)-2021))))</f>
        <v>0.0789593690191857</v>
      </c>
      <c r="E34" s="30" t="n">
        <f aca="false">IF($A34&lt;E$4,"",MIN(1,IF(AND(Assumptions!$B$42=1,OR($A34=104,$A34=105)),INDEX(E$68:E$69,MATCH($A34,$A$68:$A$69,0)),INDEX(CMI_Projection!$L$23:$CC$83,$A34-59,2026+($A34-E$4)-2021))))</f>
        <v>0.0799669526222257</v>
      </c>
      <c r="F34" s="30" t="n">
        <f aca="false">IF($A34&lt;F$4,"",MIN(1,IF(AND(Assumptions!$B$42=1,OR($A34=104,$A34=105)),INDEX(F$68:F$69,MATCH($A34,$A$68:$A$69,0)),INDEX(CMI_Projection!$L$23:$CC$83,$A34-59,2026+($A34-F$4)-2021))))</f>
        <v>0.0809873937839029</v>
      </c>
      <c r="G34" s="30" t="n">
        <f aca="false">IF($A34&lt;G$4,"",MIN(1,IF(AND(Assumptions!$B$42=1,OR($A34=104,$A34=105)),INDEX(G$68:G$69,MATCH($A34,$A$68:$A$69,0)),INDEX(CMI_Projection!$L$23:$CC$83,$A34-59,2026+($A34-G$4)-2021))))</f>
        <v>0.0820208565767702</v>
      </c>
      <c r="H34" s="30" t="n">
        <f aca="false">IF($A34&lt;H$4,"",MIN(1,IF(AND(Assumptions!$B$42=1,OR($A34=104,$A34=105)),INDEX(H$68:H$69,MATCH($A34,$A$68:$A$69,0)),INDEX(CMI_Projection!$L$23:$CC$83,$A34-59,2026+($A34-H$4)-2021))))</f>
        <v>0.0830675071670754</v>
      </c>
      <c r="I34" s="30" t="n">
        <f aca="false">IF($A34&lt;I$4,"",MIN(1,IF(AND(Assumptions!$B$42=1,OR($A34=104,$A34=105)),INDEX(I$68:I$69,MATCH($A34,$A$68:$A$69,0)),INDEX(CMI_Projection!$L$23:$CC$83,$A34-59,2026+($A34-I$4)-2021))))</f>
        <v>0.084127513841478</v>
      </c>
      <c r="J34" s="30" t="n">
        <f aca="false">IF($A34&lt;J$4,"",MIN(1,IF(AND(Assumptions!$B$42=1,OR($A34=104,$A34=105)),INDEX(J$68:J$69,MATCH($A34,$A$68:$A$69,0)),INDEX(CMI_Projection!$L$23:$CC$83,$A34-59,2026+($A34-J$4)-2021))))</f>
        <v>0.0852010470341077</v>
      </c>
      <c r="K34" s="30" t="n">
        <f aca="false">IF($A34&lt;K$4,"",MIN(1,IF(AND(Assumptions!$B$42=1,OR($A34=104,$A34=105)),INDEX(K$68:K$69,MATCH($A34,$A$68:$A$69,0)),INDEX(CMI_Projection!$L$23:$CC$83,$A34-59,2026+($A34-K$4)-2021))))</f>
        <v>0.0862882793539677</v>
      </c>
      <c r="L34" s="30" t="n">
        <f aca="false">IF($A34&lt;L$4,"",MIN(1,IF(AND(Assumptions!$B$42=1,OR($A34=104,$A34=105)),INDEX(L$68:L$69,MATCH($A34,$A$68:$A$69,0)),INDEX(CMI_Projection!$L$23:$CC$83,$A34-59,2026+($A34-L$4)-2021))))</f>
        <v>0.0873893856126876</v>
      </c>
      <c r="M34" s="30" t="n">
        <f aca="false">IF($A34&lt;M$4,"",MIN(1,IF(AND(Assumptions!$B$42=1,OR($A34=104,$A34=105)),INDEX(M$68:M$69,MATCH($A34,$A$68:$A$69,0)),INDEX(CMI_Projection!$L$23:$CC$83,$A34-59,2026+($A34-M$4)-2021))))</f>
        <v>0.0885045428526307</v>
      </c>
      <c r="N34" s="30" t="n">
        <f aca="false">IF($A34&lt;N$4,"",MIN(1,IF(AND(Assumptions!$B$42=1,OR($A34=104,$A34=105)),INDEX(N$68:N$69,MATCH($A34,$A$68:$A$69,0)),INDEX(CMI_Projection!$L$23:$CC$83,$A34-59,2026+($A34-N$4)-2021))))</f>
        <v>0.0896339303753602</v>
      </c>
      <c r="O34" s="30" t="n">
        <f aca="false">IF($A34&lt;O$4,"",MIN(1,IF(AND(Assumptions!$B$42=1,OR($A34=104,$A34=105)),INDEX(O$68:O$69,MATCH($A34,$A$68:$A$69,0)),INDEX(CMI_Projection!$L$23:$CC$83,$A34-59,2026+($A34-O$4)-2021))))</f>
        <v>0.0907777297704681</v>
      </c>
      <c r="P34" s="30" t="n">
        <f aca="false">IF($A34&lt;P$4,"",MIN(1,IF(AND(Assumptions!$B$42=1,OR($A34=104,$A34=105)),INDEX(P$68:P$69,MATCH($A34,$A$68:$A$69,0)),INDEX(CMI_Projection!$L$23:$CC$83,$A34-59,2026+($A34-P$4)-2021))))</f>
        <v>0.0919361249447723</v>
      </c>
      <c r="Q34" s="30" t="n">
        <f aca="false">IF($A34&lt;Q$4,"",MIN(1,IF(AND(Assumptions!$B$42=1,OR($A34=104,$A34=105)),INDEX(Q$68:Q$69,MATCH($A34,$A$68:$A$69,0)),INDEX(CMI_Projection!$L$23:$CC$83,$A34-59,2026+($A34-Q$4)-2021))))</f>
        <v>0.093109302151886</v>
      </c>
      <c r="R34" s="30" t="n">
        <f aca="false">IF($A34&lt;R$4,"",MIN(1,IF(AND(Assumptions!$B$42=1,OR($A34=104,$A34=105)),INDEX(R$68:R$69,MATCH($A34,$A$68:$A$69,0)),INDEX(CMI_Projection!$L$23:$CC$83,$A34-59,2026+($A34-R$4)-2021))))</f>
        <v>0.0942974500221653</v>
      </c>
      <c r="S34" s="30" t="n">
        <f aca="false">IF($A34&lt;S$4,"",MIN(1,IF(AND(Assumptions!$B$42=1,OR($A34=104,$A34=105)),INDEX(S$68:S$69,MATCH($A34,$A$68:$A$69,0)),INDEX(CMI_Projection!$L$23:$CC$83,$A34-59,2026+($A34-S$4)-2021))))</f>
        <v>0.0955007595930376</v>
      </c>
      <c r="T34" s="30" t="n">
        <f aca="false">IF($A34&lt;T$4,"",MIN(1,IF(AND(Assumptions!$B$42=1,OR($A34=104,$A34=105)),INDEX(T$68:T$69,MATCH($A34,$A$68:$A$69,0)),INDEX(CMI_Projection!$L$23:$CC$83,$A34-59,2026+($A34-T$4)-2021))))</f>
        <v>0.096719424339718</v>
      </c>
      <c r="U34" s="30" t="n">
        <f aca="false">IF($A34&lt;U$4,"",MIN(1,IF(AND(Assumptions!$B$42=1,OR($A34=104,$A34=105)),INDEX(U$68:U$69,MATCH($A34,$A$68:$A$69,0)),INDEX(CMI_Projection!$L$23:$CC$83,$A34-59,2026+($A34-U$4)-2021))))</f>
        <v>0.0979536402063176</v>
      </c>
      <c r="V34" s="30" t="n">
        <f aca="false">IF($A34&lt;V$4,"",MIN(1,IF(AND(Assumptions!$B$42=1,OR($A34=104,$A34=105)),INDEX(V$68:V$69,MATCH($A34,$A$68:$A$69,0)),INDEX(CMI_Projection!$L$23:$CC$83,$A34-59,2026+($A34-V$4)-2021))))</f>
        <v>0.0992036056373482</v>
      </c>
      <c r="W34" s="30" t="n">
        <f aca="false">IF($A34&lt;W$4,"",MIN(1,IF(AND(Assumptions!$B$42=1,OR($A34=104,$A34=105)),INDEX(W$68:W$69,MATCH($A34,$A$68:$A$69,0)),INDEX(CMI_Projection!$L$23:$CC$83,$A34-59,2026+($A34-W$4)-2021))))</f>
        <v>0.10046952160963</v>
      </c>
      <c r="X34" s="30" t="n">
        <f aca="false">IF($A34&lt;X$4,"",MIN(1,IF(AND(Assumptions!$B$42=1,OR($A34=104,$A34=105)),INDEX(X$68:X$69,MATCH($A34,$A$68:$A$69,0)),INDEX(CMI_Projection!$L$23:$CC$83,$A34-59,2026+($A34-X$4)-2021))))</f>
        <v>0.101751591664604</v>
      </c>
      <c r="Y34" s="30" t="n">
        <f aca="false">IF($A34&lt;Y$4,"",MIN(1,IF(AND(Assumptions!$B$42=1,OR($A34=104,$A34=105)),INDEX(Y$68:Y$69,MATCH($A34,$A$68:$A$69,0)),INDEX(CMI_Projection!$L$23:$CC$83,$A34-59,2026+($A34-Y$4)-2021))))</f>
        <v>0.103050021941061</v>
      </c>
      <c r="Z34" s="30" t="n">
        <f aca="false">IF($A34&lt;Z$4,"",MIN(1,IF(AND(Assumptions!$B$42=1,OR($A34=104,$A34=105)),INDEX(Z$68:Z$69,MATCH($A34,$A$68:$A$69,0)),INDEX(CMI_Projection!$L$23:$CC$83,$A34-59,2026+($A34-Z$4)-2021))))</f>
        <v>0.104365021208285</v>
      </c>
      <c r="AA34" s="30" t="n">
        <f aca="false">IF($A34&lt;AA$4,"",MIN(1,IF(AND(Assumptions!$B$42=1,OR($A34=104,$A34=105)),INDEX(AA$68:AA$69,MATCH($A34,$A$68:$A$69,0)),INDEX(CMI_Projection!$L$23:$CC$83,$A34-59,2026+($A34-AA$4)-2021))))</f>
        <v>0.10569680089962</v>
      </c>
      <c r="AC34" s="30" t="n">
        <f aca="false">IF($A34&lt;AC$4,"",IF($A34=AC$4,1,AC33*(1-B33)))</f>
        <v>0.560756560872966</v>
      </c>
      <c r="AD34" s="30" t="n">
        <f aca="false">IF($A34&lt;AD$4,"",IF($A34=AD$4,1,AD33*(1-C33)))</f>
        <v>0.557439147375394</v>
      </c>
      <c r="AE34" s="30" t="n">
        <f aca="false">IF($A34&lt;AE$4,"",IF($A34=AE$4,1,AE33*(1-D33)))</f>
        <v>0.554267327264084</v>
      </c>
      <c r="AF34" s="30" t="n">
        <f aca="false">IF($A34&lt;AF$4,"",IF($A34=AF$4,1,AF33*(1-E33)))</f>
        <v>0.551261700306275</v>
      </c>
      <c r="AG34" s="30" t="n">
        <f aca="false">IF($A34&lt;AG$4,"",IF($A34=AG$4,1,AG33*(1-F33)))</f>
        <v>0.548445725275416</v>
      </c>
      <c r="AH34" s="30" t="n">
        <f aca="false">IF($A34&lt;AH$4,"",IF($A34=AH$4,1,AH33*(1-G33)))</f>
        <v>0.545846233861536</v>
      </c>
      <c r="AI34" s="30" t="n">
        <f aca="false">IF($A34&lt;AI$4,"",IF($A34=AI$4,1,AI33*(1-H33)))</f>
        <v>0.543635467930068</v>
      </c>
      <c r="AJ34" s="30" t="n">
        <f aca="false">IF($A34&lt;AJ$4,"",IF($A34=AJ$4,1,AJ33*(1-I33)))</f>
        <v>0.541725930932877</v>
      </c>
      <c r="AK34" s="30" t="n">
        <f aca="false">IF($A34&lt;AK$4,"",IF($A34=AK$4,1,AK33*(1-J33)))</f>
        <v>0.540161098010388</v>
      </c>
      <c r="AL34" s="30" t="n">
        <f aca="false">IF($A34&lt;AL$4,"",IF($A34=AL$4,1,AL33*(1-K33)))</f>
        <v>0.538991478749238</v>
      </c>
      <c r="AM34" s="30" t="n">
        <f aca="false">IF($A34&lt;AM$4,"",IF($A34=AM$4,1,AM33*(1-L33)))</f>
        <v>0.538275846743782</v>
      </c>
      <c r="AN34" s="30" t="n">
        <f aca="false">IF($A34&lt;AN$4,"",IF($A34=AN$4,1,AN33*(1-M33)))</f>
        <v>0.538266180782163</v>
      </c>
      <c r="AO34" s="30" t="n">
        <f aca="false">IF($A34&lt;AO$4,"",IF($A34=AO$4,1,AO33*(1-N33)))</f>
        <v>0.538887381703909</v>
      </c>
      <c r="AP34" s="30" t="n">
        <f aca="false">IF($A34&lt;AP$4,"",IF($A34=AP$4,1,AP33*(1-O33)))</f>
        <v>0.540240198793781</v>
      </c>
      <c r="AQ34" s="30" t="n">
        <f aca="false">IF($A34&lt;AQ$4,"",IF($A34=AQ$4,1,AQ33*(1-P33)))</f>
        <v>0.542444739227302</v>
      </c>
      <c r="AR34" s="30" t="n">
        <f aca="false">IF($A34&lt;AR$4,"",IF($A34=AR$4,1,AR33*(1-Q33)))</f>
        <v>0.545645210860059</v>
      </c>
      <c r="AS34" s="30" t="n">
        <f aca="false">IF($A34&lt;AS$4,"",IF($A34=AS$4,1,AS33*(1-R33)))</f>
        <v>0.550356727888532</v>
      </c>
      <c r="AT34" s="30" t="n">
        <f aca="false">IF($A34&lt;AT$4,"",IF($A34=AT$4,1,AT33*(1-S33)))</f>
        <v>0.556512296233168</v>
      </c>
      <c r="AU34" s="30" t="n">
        <f aca="false">IF($A34&lt;AU$4,"",IF($A34=AU$4,1,AU33*(1-T33)))</f>
        <v>0.564385434871153</v>
      </c>
      <c r="AV34" s="30" t="n">
        <f aca="false">IF($A34&lt;AV$4,"",IF($A34=AV$4,1,AV33*(1-U33)))</f>
        <v>0.574311285771412</v>
      </c>
      <c r="AW34" s="30" t="n">
        <f aca="false">IF($A34&lt;AW$4,"",IF($A34=AW$4,1,AW33*(1-V33)))</f>
        <v>0.586703943904852</v>
      </c>
      <c r="AX34" s="30" t="n">
        <f aca="false">IF($A34&lt;AX$4,"",IF($A34=AX$4,1,AX33*(1-W33)))</f>
        <v>0.60279139094925</v>
      </c>
      <c r="AY34" s="30" t="n">
        <f aca="false">IF($A34&lt;AY$4,"",IF($A34=AY$4,1,AY33*(1-X33)))</f>
        <v>0.622674830702861</v>
      </c>
      <c r="AZ34" s="30" t="n">
        <f aca="false">IF($A34&lt;AZ$4,"",IF($A34=AZ$4,1,AZ33*(1-Y33)))</f>
        <v>0.647227136578694</v>
      </c>
      <c r="BA34" s="30" t="n">
        <f aca="false">IF($A34&lt;BA$4,"",IF($A34=BA$4,1,BA33*(1-Z33)))</f>
        <v>0.67757187906765</v>
      </c>
      <c r="BB34" s="30" t="n">
        <f aca="false">IF($A34&lt;BB$4,"",IF($A34=BB$4,1,BB33*(1-AA33)))</f>
        <v>0.71517141546135</v>
      </c>
    </row>
    <row r="35" customFormat="false" ht="15" hidden="false" customHeight="true" outlineLevel="0" collapsed="false">
      <c r="A35" s="3" t="n">
        <v>90</v>
      </c>
      <c r="B35" s="30" t="n">
        <f aca="false">IF($A35&lt;B$4,"",MIN(1,IF(AND(Assumptions!$B$42=1,OR($A35=104,$A35=105)),INDEX(B$68:B$69,MATCH($A35,$A$68:$A$69,0)),INDEX(CMI_Projection!$L$23:$CC$83,$A35-59,2026+($A35-B$4)-2021))))</f>
        <v>0.0901136590109992</v>
      </c>
      <c r="C35" s="30" t="n">
        <f aca="false">IF($A35&lt;C$4,"",MIN(1,IF(AND(Assumptions!$B$42=1,OR($A35=104,$A35=105)),INDEX(C$68:C$69,MATCH($A35,$A$68:$A$69,0)),INDEX(CMI_Projection!$L$23:$CC$83,$A35-59,2026+($A35-C$4)-2021))))</f>
        <v>0.0912081568937239</v>
      </c>
      <c r="D35" s="30" t="n">
        <f aca="false">IF($A35&lt;D$4,"",MIN(1,IF(AND(Assumptions!$B$42=1,OR($A35=104,$A35=105)),INDEX(D$68:D$69,MATCH($A35,$A$68:$A$69,0)),INDEX(CMI_Projection!$L$23:$CC$83,$A35-59,2026+($A35-D$4)-2021))))</f>
        <v>0.0923159482729999</v>
      </c>
      <c r="E35" s="30" t="n">
        <f aca="false">IF($A35&lt;E$4,"",MIN(1,IF(AND(Assumptions!$B$42=1,OR($A35=104,$A35=105)),INDEX(E$68:E$69,MATCH($A35,$A$68:$A$69,0)),INDEX(CMI_Projection!$L$23:$CC$83,$A35-59,2026+($A35-E$4)-2021))))</f>
        <v>0.0934371946082995</v>
      </c>
      <c r="F35" s="30" t="n">
        <f aca="false">IF($A35&lt;F$4,"",MIN(1,IF(AND(Assumptions!$B$42=1,OR($A35=104,$A35=105)),INDEX(F$68:F$69,MATCH($A35,$A$68:$A$69,0)),INDEX(CMI_Projection!$L$23:$CC$83,$A35-59,2026+($A35-F$4)-2021))))</f>
        <v>0.0945720593201412</v>
      </c>
      <c r="G35" s="30" t="n">
        <f aca="false">IF($A35&lt;G$4,"",MIN(1,IF(AND(Assumptions!$B$42=1,OR($A35=104,$A35=105)),INDEX(G$68:G$69,MATCH($A35,$A$68:$A$69,0)),INDEX(CMI_Projection!$L$23:$CC$83,$A35-59,2026+($A35-G$4)-2021))))</f>
        <v>0.0957207078139081</v>
      </c>
      <c r="H35" s="30" t="n">
        <f aca="false">IF($A35&lt;H$4,"",MIN(1,IF(AND(Assumptions!$B$42=1,OR($A35=104,$A35=105)),INDEX(H$68:H$69,MATCH($A35,$A$68:$A$69,0)),INDEX(CMI_Projection!$L$23:$CC$83,$A35-59,2026+($A35-H$4)-2021))))</f>
        <v>0.0968833075039556</v>
      </c>
      <c r="I35" s="30" t="n">
        <f aca="false">IF($A35&lt;I$4,"",MIN(1,IF(AND(Assumptions!$B$42=1,OR($A35=104,$A35=105)),INDEX(I$68:I$69,MATCH($A35,$A$68:$A$69,0)),INDEX(CMI_Projection!$L$23:$CC$83,$A35-59,2026+($A35-I$4)-2021))))</f>
        <v>0.0980600278380117</v>
      </c>
      <c r="J35" s="30" t="n">
        <f aca="false">IF($A35&lt;J$4,"",MIN(1,IF(AND(Assumptions!$B$42=1,OR($A35=104,$A35=105)),INDEX(J$68:J$69,MATCH($A35,$A$68:$A$69,0)),INDEX(CMI_Projection!$L$23:$CC$83,$A35-59,2026+($A35-J$4)-2021))))</f>
        <v>0.0992510403218742</v>
      </c>
      <c r="K35" s="30" t="n">
        <f aca="false">IF($A35&lt;K$4,"",MIN(1,IF(AND(Assumptions!$B$42=1,OR($A35=104,$A35=105)),INDEX(K$68:K$69,MATCH($A35,$A$68:$A$69,0)),INDEX(CMI_Projection!$L$23:$CC$83,$A35-59,2026+($A35-K$4)-2021))))</f>
        <v>0.100456518544407</v>
      </c>
      <c r="L35" s="30" t="n">
        <f aca="false">IF($A35&lt;L$4,"",MIN(1,IF(AND(Assumptions!$B$42=1,OR($A35=104,$A35=105)),INDEX(L$68:L$69,MATCH($A35,$A$68:$A$69,0)),INDEX(CMI_Projection!$L$23:$CC$83,$A35-59,2026+($A35-L$4)-2021))))</f>
        <v>0.101676638202841</v>
      </c>
      <c r="M35" s="30" t="n">
        <f aca="false">IF($A35&lt;M$4,"",MIN(1,IF(AND(Assumptions!$B$42=1,OR($A35=104,$A35=105)),INDEX(M$68:M$69,MATCH($A35,$A$68:$A$69,0)),INDEX(CMI_Projection!$L$23:$CC$83,$A35-59,2026+($A35-M$4)-2021))))</f>
        <v>0.102911577128382</v>
      </c>
      <c r="N35" s="30" t="n">
        <f aca="false">IF($A35&lt;N$4,"",MIN(1,IF(AND(Assumptions!$B$42=1,OR($A35=104,$A35=105)),INDEX(N$68:N$69,MATCH($A35,$A$68:$A$69,0)),INDEX(CMI_Projection!$L$23:$CC$83,$A35-59,2026+($A35-N$4)-2021))))</f>
        <v>0.104161515312127</v>
      </c>
      <c r="O35" s="30" t="n">
        <f aca="false">IF($A35&lt;O$4,"",MIN(1,IF(AND(Assumptions!$B$42=1,OR($A35=104,$A35=105)),INDEX(O$68:O$69,MATCH($A35,$A$68:$A$69,0)),INDEX(CMI_Projection!$L$23:$CC$83,$A35-59,2026+($A35-O$4)-2021))))</f>
        <v>0.105426634931303</v>
      </c>
      <c r="P35" s="30" t="n">
        <f aca="false">IF($A35&lt;P$4,"",MIN(1,IF(AND(Assumptions!$B$42=1,OR($A35=104,$A35=105)),INDEX(P$68:P$69,MATCH($A35,$A$68:$A$69,0)),INDEX(CMI_Projection!$L$23:$CC$83,$A35-59,2026+($A35-P$4)-2021))))</f>
        <v>0.106707120375813</v>
      </c>
      <c r="Q35" s="30" t="n">
        <f aca="false">IF($A35&lt;Q$4,"",MIN(1,IF(AND(Assumptions!$B$42=1,OR($A35=104,$A35=105)),INDEX(Q$68:Q$69,MATCH($A35,$A$68:$A$69,0)),INDEX(CMI_Projection!$L$23:$CC$83,$A35-59,2026+($A35-Q$4)-2021))))</f>
        <v>0.108003158275114</v>
      </c>
      <c r="R35" s="30" t="n">
        <f aca="false">IF($A35&lt;R$4,"",MIN(1,IF(AND(Assumptions!$B$42=1,OR($A35=104,$A35=105)),INDEX(R$68:R$69,MATCH($A35,$A$68:$A$69,0)),INDEX(CMI_Projection!$L$23:$CC$83,$A35-59,2026+($A35-R$4)-2021))))</f>
        <v>0.109314937525419</v>
      </c>
      <c r="S35" s="30" t="n">
        <f aca="false">IF($A35&lt;S$4,"",MIN(1,IF(AND(Assumptions!$B$42=1,OR($A35=104,$A35=105)),INDEX(S$68:S$69,MATCH($A35,$A$68:$A$69,0)),INDEX(CMI_Projection!$L$23:$CC$83,$A35-59,2026+($A35-S$4)-2021))))</f>
        <v>0.110642649317226</v>
      </c>
      <c r="T35" s="30" t="n">
        <f aca="false">IF($A35&lt;T$4,"",MIN(1,IF(AND(Assumptions!$B$42=1,OR($A35=104,$A35=105)),INDEX(T$68:T$69,MATCH($A35,$A$68:$A$69,0)),INDEX(CMI_Projection!$L$23:$CC$83,$A35-59,2026+($A35-T$4)-2021))))</f>
        <v>0.111986487163184</v>
      </c>
      <c r="U35" s="30" t="n">
        <f aca="false">IF($A35&lt;U$4,"",MIN(1,IF(AND(Assumptions!$B$42=1,OR($A35=104,$A35=105)),INDEX(U$68:U$69,MATCH($A35,$A$68:$A$69,0)),INDEX(CMI_Projection!$L$23:$CC$83,$A35-59,2026+($A35-U$4)-2021))))</f>
        <v>0.1133466469263</v>
      </c>
      <c r="V35" s="30" t="n">
        <f aca="false">IF($A35&lt;V$4,"",MIN(1,IF(AND(Assumptions!$B$42=1,OR($A35=104,$A35=105)),INDEX(V$68:V$69,MATCH($A35,$A$68:$A$69,0)),INDEX(CMI_Projection!$L$23:$CC$83,$A35-59,2026+($A35-V$4)-2021))))</f>
        <v>0.114723326848481</v>
      </c>
      <c r="W35" s="30" t="n">
        <f aca="false">IF($A35&lt;W$4,"",MIN(1,IF(AND(Assumptions!$B$42=1,OR($A35=104,$A35=105)),INDEX(W$68:W$69,MATCH($A35,$A$68:$A$69,0)),INDEX(CMI_Projection!$L$23:$CC$83,$A35-59,2026+($A35-W$4)-2021))))</f>
        <v>0.116116727579435</v>
      </c>
      <c r="X35" s="30" t="n">
        <f aca="false">IF($A35&lt;X$4,"",MIN(1,IF(AND(Assumptions!$B$42=1,OR($A35=104,$A35=105)),INDEX(X$68:X$69,MATCH($A35,$A$68:$A$69,0)),INDEX(CMI_Projection!$L$23:$CC$83,$A35-59,2026+($A35-X$4)-2021))))</f>
        <v>0.117527052205905</v>
      </c>
      <c r="Y35" s="30" t="n">
        <f aca="false">IF($A35&lt;Y$4,"",MIN(1,IF(AND(Assumptions!$B$42=1,OR($A35=104,$A35=105)),INDEX(Y$68:Y$69,MATCH($A35,$A$68:$A$69,0)),INDEX(CMI_Projection!$L$23:$CC$83,$A35-59,2026+($A35-Y$4)-2021))))</f>
        <v>0.118954506281281</v>
      </c>
      <c r="Z35" s="30" t="n">
        <f aca="false">IF($A35&lt;Z$4,"",MIN(1,IF(AND(Assumptions!$B$42=1,OR($A35=104,$A35=105)),INDEX(Z$68:Z$69,MATCH($A35,$A$68:$A$69,0)),INDEX(CMI_Projection!$L$23:$CC$83,$A35-59,2026+($A35-Z$4)-2021))))</f>
        <v>0.120399297855547</v>
      </c>
      <c r="AA35" s="30" t="n">
        <f aca="false">IF($A35&lt;AA$4,"",MIN(1,IF(AND(Assumptions!$B$42=1,OR($A35=104,$A35=105)),INDEX(AA$68:AA$69,MATCH($A35,$A$68:$A$69,0)),INDEX(CMI_Projection!$L$23:$CC$83,$A35-59,2026+($A35-AA$4)-2021))))</f>
        <v>0.121861637505615</v>
      </c>
      <c r="AC35" s="30" t="n">
        <f aca="false">IF($A35&lt;AC$4,"",IF($A35=AC$4,1,AC34*(1-B34)))</f>
        <v>0.517588327241394</v>
      </c>
      <c r="AD35" s="30" t="n">
        <f aca="false">IF($A35&lt;AD$4,"",IF($A35=AD$4,1,AD34*(1-C34)))</f>
        <v>0.513978693578166</v>
      </c>
      <c r="AE35" s="30" t="n">
        <f aca="false">IF($A35&lt;AE$4,"",IF($A35=AE$4,1,AE34*(1-D34)))</f>
        <v>0.510502728835361</v>
      </c>
      <c r="AF35" s="30" t="n">
        <f aca="false">IF($A35&lt;AF$4,"",IF($A35=AF$4,1,AF34*(1-E34)))</f>
        <v>0.507178982035435</v>
      </c>
      <c r="AG35" s="30" t="n">
        <f aca="false">IF($A35&lt;AG$4,"",IF($A35=AG$4,1,AG34*(1-F34)))</f>
        <v>0.504028535353437</v>
      </c>
      <c r="AH35" s="30" t="n">
        <f aca="false">IF($A35&lt;AH$4,"",IF($A35=AH$4,1,AH34*(1-G34)))</f>
        <v>0.501075458201009</v>
      </c>
      <c r="AI35" s="30" t="n">
        <f aca="false">IF($A35&lt;AI$4,"",IF($A35=AI$4,1,AI34*(1-H34)))</f>
        <v>0.49847702480151</v>
      </c>
      <c r="AJ35" s="30" t="n">
        <f aca="false">IF($A35&lt;AJ$4,"",IF($A35=AJ$4,1,AJ34*(1-I34)))</f>
        <v>0.496151875180034</v>
      </c>
      <c r="AK35" s="30" t="n">
        <f aca="false">IF($A35&lt;AK$4,"",IF($A35=AK$4,1,AK34*(1-J34)))</f>
        <v>0.49413880689281</v>
      </c>
      <c r="AL35" s="30" t="n">
        <f aca="false">IF($A35&lt;AL$4,"",IF($A35=AL$4,1,AL34*(1-K34)))</f>
        <v>0.492482831461516</v>
      </c>
      <c r="AM35" s="30" t="n">
        <f aca="false">IF($A35&lt;AM$4,"",IF($A35=AM$4,1,AM34*(1-L34)))</f>
        <v>0.491236251206694</v>
      </c>
      <c r="AN35" s="30" t="n">
        <f aca="false">IF($A35&lt;AN$4,"",IF($A35=AN$4,1,AN34*(1-M34)))</f>
        <v>0.490627178519006</v>
      </c>
      <c r="AO35" s="30" t="n">
        <f aca="false">IF($A35&lt;AO$4,"",IF($A35=AO$4,1,AO34*(1-N34)))</f>
        <v>0.490584787652101</v>
      </c>
      <c r="AP35" s="30" t="n">
        <f aca="false">IF($A35&lt;AP$4,"",IF($A35=AP$4,1,AP34*(1-O34)))</f>
        <v>0.491198420016535</v>
      </c>
      <c r="AQ35" s="30" t="n">
        <f aca="false">IF($A35&lt;AQ$4,"",IF($A35=AQ$4,1,AQ34*(1-P34)))</f>
        <v>0.492574471906067</v>
      </c>
      <c r="AR35" s="30" t="n">
        <f aca="false">IF($A35&lt;AR$4,"",IF($A35=AR$4,1,AR34*(1-Q34)))</f>
        <v>0.494840566054361</v>
      </c>
      <c r="AS35" s="30" t="n">
        <f aca="false">IF($A35&lt;AS$4,"",IF($A35=AS$4,1,AS34*(1-R34)))</f>
        <v>0.498459491846101</v>
      </c>
      <c r="AT35" s="30" t="n">
        <f aca="false">IF($A35&lt;AT$4,"",IF($A35=AT$4,1,AT34*(1-S34)))</f>
        <v>0.503364949220035</v>
      </c>
      <c r="AU35" s="30" t="n">
        <f aca="false">IF($A35&lt;AU$4,"",IF($A35=AU$4,1,AU34*(1-T34)))</f>
        <v>0.509798400504694</v>
      </c>
      <c r="AV35" s="30" t="n">
        <f aca="false">IF($A35&lt;AV$4,"",IF($A35=AV$4,1,AV34*(1-U34)))</f>
        <v>0.518055404718532</v>
      </c>
      <c r="AW35" s="30" t="n">
        <f aca="false">IF($A35&lt;AW$4,"",IF($A35=AW$4,1,AW34*(1-V34)))</f>
        <v>0.528500797227838</v>
      </c>
      <c r="AX35" s="30" t="n">
        <f aca="false">IF($A35&lt;AX$4,"",IF($A35=AX$4,1,AX34*(1-W34)))</f>
        <v>0.542229228270176</v>
      </c>
      <c r="AY35" s="30" t="n">
        <f aca="false">IF($A35&lt;AY$4,"",IF($A35=AY$4,1,AY34*(1-X34)))</f>
        <v>0.559316675589357</v>
      </c>
      <c r="AZ35" s="30" t="n">
        <f aca="false">IF($A35&lt;AZ$4,"",IF($A35=AZ$4,1,AZ34*(1-Y34)))</f>
        <v>0.58053036595341</v>
      </c>
      <c r="BA35" s="30" t="n">
        <f aca="false">IF($A35&lt;BA$4,"",IF($A35=BA$4,1,BA34*(1-Z34)))</f>
        <v>0.606857075538617</v>
      </c>
      <c r="BB35" s="30" t="n">
        <f aca="false">IF($A35&lt;BB$4,"",IF($A35=BB$4,1,BB34*(1-AA34)))</f>
        <v>0.639580084752232</v>
      </c>
    </row>
    <row r="36" customFormat="false" ht="15" hidden="false" customHeight="true" outlineLevel="0" collapsed="false">
      <c r="A36" s="3" t="n">
        <v>91</v>
      </c>
      <c r="B36" s="30" t="n">
        <f aca="false">IF($A36&lt;B$4,"",MIN(1,IF(AND(Assumptions!$B$42=1,OR($A36=104,$A36=105)),INDEX(B$68:B$69,MATCH($A36,$A$68:$A$69,0)),INDEX(CMI_Projection!$L$23:$CC$83,$A36-59,2026+($A36-B$4)-2021))))</f>
        <v>0.101870907922384</v>
      </c>
      <c r="C36" s="30" t="n">
        <f aca="false">IF($A36&lt;C$4,"",MIN(1,IF(AND(Assumptions!$B$42=1,OR($A36=104,$A36=105)),INDEX(C$68:C$69,MATCH($A36,$A$68:$A$69,0)),INDEX(CMI_Projection!$L$23:$CC$83,$A36-59,2026+($A36-C$4)-2021))))</f>
        <v>0.103045628082525</v>
      </c>
      <c r="D36" s="30" t="n">
        <f aca="false">IF($A36&lt;D$4,"",MIN(1,IF(AND(Assumptions!$B$42=1,OR($A36=104,$A36=105)),INDEX(D$68:D$69,MATCH($A36,$A$68:$A$69,0)),INDEX(CMI_Projection!$L$23:$CC$83,$A36-59,2026+($A36-D$4)-2021))))</f>
        <v>0.104233894479592</v>
      </c>
      <c r="E36" s="30" t="n">
        <f aca="false">IF($A36&lt;E$4,"",MIN(1,IF(AND(Assumptions!$B$42=1,OR($A36=104,$A36=105)),INDEX(E$68:E$69,MATCH($A36,$A$68:$A$69,0)),INDEX(CMI_Projection!$L$23:$CC$83,$A36-59,2026+($A36-E$4)-2021))))</f>
        <v>0.105435863321457</v>
      </c>
      <c r="F36" s="30" t="n">
        <f aca="false">IF($A36&lt;F$4,"",MIN(1,IF(AND(Assumptions!$B$42=1,OR($A36=104,$A36=105)),INDEX(F$68:F$69,MATCH($A36,$A$68:$A$69,0)),INDEX(CMI_Projection!$L$23:$CC$83,$A36-59,2026+($A36-F$4)-2021))))</f>
        <v>0.106651692617294</v>
      </c>
      <c r="G36" s="30" t="n">
        <f aca="false">IF($A36&lt;G$4,"",MIN(1,IF(AND(Assumptions!$B$42=1,OR($A36=104,$A36=105)),INDEX(G$68:G$69,MATCH($A36,$A$68:$A$69,0)),INDEX(CMI_Projection!$L$23:$CC$83,$A36-59,2026+($A36-G$4)-2021))))</f>
        <v>0.107881542198355</v>
      </c>
      <c r="H36" s="30" t="n">
        <f aca="false">IF($A36&lt;H$4,"",MIN(1,IF(AND(Assumptions!$B$42=1,OR($A36=104,$A36=105)),INDEX(H$68:H$69,MATCH($A36,$A$68:$A$69,0)),INDEX(CMI_Projection!$L$23:$CC$83,$A36-59,2026+($A36-H$4)-2021))))</f>
        <v>0.10912557373898</v>
      </c>
      <c r="I36" s="30" t="n">
        <f aca="false">IF($A36&lt;I$4,"",MIN(1,IF(AND(Assumptions!$B$42=1,OR($A36=104,$A36=105)),INDEX(I$68:I$69,MATCH($A36,$A$68:$A$69,0)),INDEX(CMI_Projection!$L$23:$CC$83,$A36-59,2026+($A36-I$4)-2021))))</f>
        <v>0.110383950777847</v>
      </c>
      <c r="J36" s="30" t="n">
        <f aca="false">IF($A36&lt;J$4,"",MIN(1,IF(AND(Assumptions!$B$42=1,OR($A36=104,$A36=105)),INDEX(J$68:J$69,MATCH($A36,$A$68:$A$69,0)),INDEX(CMI_Projection!$L$23:$CC$83,$A36-59,2026+($A36-J$4)-2021))))</f>
        <v>0.111656838739477</v>
      </c>
      <c r="K36" s="30" t="n">
        <f aca="false">IF($A36&lt;K$4,"",MIN(1,IF(AND(Assumptions!$B$42=1,OR($A36=104,$A36=105)),INDEX(K$68:K$69,MATCH($A36,$A$68:$A$69,0)),INDEX(CMI_Projection!$L$23:$CC$83,$A36-59,2026+($A36-K$4)-2021))))</f>
        <v>0.112944404955975</v>
      </c>
      <c r="L36" s="30" t="n">
        <f aca="false">IF($A36&lt;L$4,"",MIN(1,IF(AND(Assumptions!$B$42=1,OR($A36=104,$A36=105)),INDEX(L$68:L$69,MATCH($A36,$A$68:$A$69,0)),INDEX(CMI_Projection!$L$23:$CC$83,$A36-59,2026+($A36-L$4)-2021))))</f>
        <v>0.11424681868903</v>
      </c>
      <c r="M36" s="30" t="n">
        <f aca="false">IF($A36&lt;M$4,"",MIN(1,IF(AND(Assumptions!$B$42=1,OR($A36=104,$A36=105)),INDEX(M$68:M$69,MATCH($A36,$A$68:$A$69,0)),INDEX(CMI_Projection!$L$23:$CC$83,$A36-59,2026+($A36-M$4)-2021))))</f>
        <v>0.115564251152165</v>
      </c>
      <c r="N36" s="30" t="n">
        <f aca="false">IF($A36&lt;N$4,"",MIN(1,IF(AND(Assumptions!$B$42=1,OR($A36=104,$A36=105)),INDEX(N$68:N$69,MATCH($A36,$A$68:$A$69,0)),INDEX(CMI_Projection!$L$23:$CC$83,$A36-59,2026+($A36-N$4)-2021))))</f>
        <v>0.116896875533244</v>
      </c>
      <c r="O36" s="30" t="n">
        <f aca="false">IF($A36&lt;O$4,"",MIN(1,IF(AND(Assumptions!$B$42=1,OR($A36=104,$A36=105)),INDEX(O$68:O$69,MATCH($A36,$A$68:$A$69,0)),INDEX(CMI_Projection!$L$23:$CC$83,$A36-59,2026+($A36-O$4)-2021))))</f>
        <v>0.11824486701724</v>
      </c>
      <c r="P36" s="30" t="n">
        <f aca="false">IF($A36&lt;P$4,"",MIN(1,IF(AND(Assumptions!$B$42=1,OR($A36=104,$A36=105)),INDEX(P$68:P$69,MATCH($A36,$A$68:$A$69,0)),INDEX(CMI_Projection!$L$23:$CC$83,$A36-59,2026+($A36-P$4)-2021))))</f>
        <v>0.119608402809266</v>
      </c>
      <c r="Q36" s="30" t="n">
        <f aca="false">IF($A36&lt;Q$4,"",MIN(1,IF(AND(Assumptions!$B$42=1,OR($A36=104,$A36=105)),INDEX(Q$68:Q$69,MATCH($A36,$A$68:$A$69,0)),INDEX(CMI_Projection!$L$23:$CC$83,$A36-59,2026+($A36-Q$4)-2021))))</f>
        <v>0.120987662157866</v>
      </c>
      <c r="R36" s="30" t="n">
        <f aca="false">IF($A36&lt;R$4,"",MIN(1,IF(AND(Assumptions!$B$42=1,OR($A36=104,$A36=105)),INDEX(R$68:R$69,MATCH($A36,$A$68:$A$69,0)),INDEX(CMI_Projection!$L$23:$CC$83,$A36-59,2026+($A36-R$4)-2021))))</f>
        <v>0.122382826378581</v>
      </c>
      <c r="S36" s="30" t="n">
        <f aca="false">IF($A36&lt;S$4,"",MIN(1,IF(AND(Assumptions!$B$42=1,OR($A36=104,$A36=105)),INDEX(S$68:S$69,MATCH($A36,$A$68:$A$69,0)),INDEX(CMI_Projection!$L$23:$CC$83,$A36-59,2026+($A36-S$4)-2021))))</f>
        <v>0.123794078877788</v>
      </c>
      <c r="T36" s="30" t="n">
        <f aca="false">IF($A36&lt;T$4,"",MIN(1,IF(AND(Assumptions!$B$42=1,OR($A36=104,$A36=105)),INDEX(T$68:T$69,MATCH($A36,$A$68:$A$69,0)),INDEX(CMI_Projection!$L$23:$CC$83,$A36-59,2026+($A36-T$4)-2021))))</f>
        <v>0.125221605176804</v>
      </c>
      <c r="U36" s="30" t="n">
        <f aca="false">IF($A36&lt;U$4,"",MIN(1,IF(AND(Assumptions!$B$42=1,OR($A36=104,$A36=105)),INDEX(U$68:U$69,MATCH($A36,$A$68:$A$69,0)),INDEX(CMI_Projection!$L$23:$CC$83,$A36-59,2026+($A36-U$4)-2021))))</f>
        <v>0.126665592936277</v>
      </c>
      <c r="V36" s="30" t="n">
        <f aca="false">IF($A36&lt;V$4,"",MIN(1,IF(AND(Assumptions!$B$42=1,OR($A36=104,$A36=105)),INDEX(V$68:V$69,MATCH($A36,$A$68:$A$69,0)),INDEX(CMI_Projection!$L$23:$CC$83,$A36-59,2026+($A36-V$4)-2021))))</f>
        <v>0.128126231980859</v>
      </c>
      <c r="W36" s="30" t="n">
        <f aca="false">IF($A36&lt;W$4,"",MIN(1,IF(AND(Assumptions!$B$42=1,OR($A36=104,$A36=105)),INDEX(W$68:W$69,MATCH($A36,$A$68:$A$69,0)),INDEX(CMI_Projection!$L$23:$CC$83,$A36-59,2026+($A36-W$4)-2021))))</f>
        <v>0.129603714324154</v>
      </c>
      <c r="X36" s="30" t="n">
        <f aca="false">IF($A36&lt;X$4,"",MIN(1,IF(AND(Assumptions!$B$42=1,OR($A36=104,$A36=105)),INDEX(X$68:X$69,MATCH($A36,$A$68:$A$69,0)),INDEX(CMI_Projection!$L$23:$CC$83,$A36-59,2026+($A36-X$4)-2021))))</f>
        <v>0.131098234193966</v>
      </c>
      <c r="Y36" s="30" t="n">
        <f aca="false">IF($A36&lt;Y$4,"",MIN(1,IF(AND(Assumptions!$B$42=1,OR($A36=104,$A36=105)),INDEX(Y$68:Y$69,MATCH($A36,$A$68:$A$69,0)),INDEX(CMI_Projection!$L$23:$CC$83,$A36-59,2026+($A36-Y$4)-2021))))</f>
        <v>0.132609988057825</v>
      </c>
      <c r="Z36" s="30" t="n">
        <f aca="false">IF($A36&lt;Z$4,"",MIN(1,IF(AND(Assumptions!$B$42=1,OR($A36=104,$A36=105)),INDEX(Z$68:Z$69,MATCH($A36,$A$68:$A$69,0)),INDEX(CMI_Projection!$L$23:$CC$83,$A36-59,2026+($A36-Z$4)-2021))))</f>
        <v>0.134139174648821</v>
      </c>
      <c r="AA36" s="30" t="n">
        <f aca="false">IF($A36&lt;AA$4,"",MIN(1,IF(AND(Assumptions!$B$42=1,OR($A36=104,$A36=105)),INDEX(AA$68:AA$69,MATCH($A36,$A$68:$A$69,0)),INDEX(CMI_Projection!$L$23:$CC$83,$A36-59,2026+($A36-AA$4)-2021))))</f>
        <v>0.135685994991727</v>
      </c>
      <c r="AC36" s="30" t="n">
        <f aca="false">IF($A36&lt;AC$4,"",IF($A36=AC$4,1,AC35*(1-B35)))</f>
        <v>0.47094654921229</v>
      </c>
      <c r="AD36" s="30" t="n">
        <f aca="false">IF($A36&lt;AD$4,"",IF($A36=AD$4,1,AD35*(1-C35)))</f>
        <v>0.467099644254258</v>
      </c>
      <c r="AE36" s="30" t="n">
        <f aca="false">IF($A36&lt;AE$4,"",IF($A36=AE$4,1,AE35*(1-D35)))</f>
        <v>0.463375185326971</v>
      </c>
      <c r="AF36" s="30" t="n">
        <f aca="false">IF($A36&lt;AF$4,"",IF($A36=AF$4,1,AF35*(1-E35)))</f>
        <v>0.459789600789751</v>
      </c>
      <c r="AG36" s="30" t="n">
        <f aca="false">IF($A36&lt;AG$4,"",IF($A36=AG$4,1,AG35*(1-F35)))</f>
        <v>0.456361518808948</v>
      </c>
      <c r="AH36" s="30" t="n">
        <f aca="false">IF($A36&lt;AH$4,"",IF($A36=AH$4,1,AH35*(1-G35)))</f>
        <v>0.45311216067383</v>
      </c>
      <c r="AI36" s="30" t="n">
        <f aca="false">IF($A36&lt;AI$4,"",IF($A36=AI$4,1,AI35*(1-H35)))</f>
        <v>0.450182921924009</v>
      </c>
      <c r="AJ36" s="30" t="n">
        <f aca="false">IF($A36&lt;AJ$4,"",IF($A36=AJ$4,1,AJ35*(1-I35)))</f>
        <v>0.447499208487998</v>
      </c>
      <c r="AK36" s="30" t="n">
        <f aca="false">IF($A36&lt;AK$4,"",IF($A36=AK$4,1,AK35*(1-J35)))</f>
        <v>0.445095016245289</v>
      </c>
      <c r="AL36" s="30" t="n">
        <f aca="false">IF($A36&lt;AL$4,"",IF($A36=AL$4,1,AL35*(1-K35)))</f>
        <v>0.44300972077</v>
      </c>
      <c r="AM36" s="30" t="n">
        <f aca="false">IF($A36&lt;AM$4,"",IF($A36=AM$4,1,AM35*(1-L35)))</f>
        <v>0.441289000620631</v>
      </c>
      <c r="AN36" s="30" t="n">
        <f aca="false">IF($A36&lt;AN$4,"",IF($A36=AN$4,1,AN35*(1-M35)))</f>
        <v>0.440135961795567</v>
      </c>
      <c r="AO36" s="30" t="n">
        <f aca="false">IF($A36&lt;AO$4,"",IF($A36=AO$4,1,AO35*(1-N35)))</f>
        <v>0.43948473278118</v>
      </c>
      <c r="AP36" s="30" t="n">
        <f aca="false">IF($A36&lt;AP$4,"",IF($A36=AP$4,1,AP35*(1-O35)))</f>
        <v>0.439413023510619</v>
      </c>
      <c r="AQ36" s="30" t="n">
        <f aca="false">IF($A36&lt;AQ$4,"",IF($A36=AQ$4,1,AQ35*(1-P35)))</f>
        <v>0.440013268438334</v>
      </c>
      <c r="AR36" s="30" t="n">
        <f aca="false">IF($A36&lt;AR$4,"",IF($A36=AR$4,1,AR35*(1-Q35)))</f>
        <v>0.441396222077844</v>
      </c>
      <c r="AS36" s="30" t="n">
        <f aca="false">IF($A36&lt;AS$4,"",IF($A36=AS$4,1,AS35*(1-R35)))</f>
        <v>0.443970423635992</v>
      </c>
      <c r="AT36" s="30" t="n">
        <f aca="false">IF($A36&lt;AT$4,"",IF($A36=AT$4,1,AT35*(1-S35)))</f>
        <v>0.447671317664899</v>
      </c>
      <c r="AU36" s="30" t="n">
        <f aca="false">IF($A36&lt;AU$4,"",IF($A36=AU$4,1,AU35*(1-T35)))</f>
        <v>0.452707868470763</v>
      </c>
      <c r="AV36" s="30" t="n">
        <f aca="false">IF($A36&lt;AV$4,"",IF($A36=AV$4,1,AV35*(1-U35)))</f>
        <v>0.459335561671639</v>
      </c>
      <c r="AW36" s="30" t="n">
        <f aca="false">IF($A36&lt;AW$4,"",IF($A36=AW$4,1,AW35*(1-V35)))</f>
        <v>0.467869427527786</v>
      </c>
      <c r="AX36" s="30" t="n">
        <f aca="false">IF($A36&lt;AX$4,"",IF($A36=AX$4,1,AX35*(1-W35)))</f>
        <v>0.479267344685521</v>
      </c>
      <c r="AY36" s="30" t="n">
        <f aca="false">IF($A36&lt;AY$4,"",IF($A36=AY$4,1,AY35*(1-X35)))</f>
        <v>0.493581835457733</v>
      </c>
      <c r="AZ36" s="30" t="n">
        <f aca="false">IF($A36&lt;AZ$4,"",IF($A36=AZ$4,1,AZ35*(1-Y35)))</f>
        <v>0.511473662890131</v>
      </c>
      <c r="BA36" s="30" t="n">
        <f aca="false">IF($A36&lt;BA$4,"",IF($A36=BA$4,1,BA35*(1-Z35)))</f>
        <v>0.533791909745097</v>
      </c>
      <c r="BB36" s="30" t="n">
        <f aca="false">IF($A36&lt;BB$4,"",IF($A36=BB$4,1,BB35*(1-AA35)))</f>
        <v>0.561639808308345</v>
      </c>
    </row>
    <row r="37" customFormat="false" ht="15" hidden="false" customHeight="true" outlineLevel="0" collapsed="false">
      <c r="A37" s="3" t="n">
        <v>92</v>
      </c>
      <c r="B37" s="30" t="n">
        <f aca="false">IF($A37&lt;B$4,"",MIN(1,IF(AND(Assumptions!$B$42=1,OR($A37=104,$A37=105)),INDEX(B$68:B$69,MATCH($A37,$A$68:$A$69,0)),INDEX(CMI_Projection!$L$23:$CC$83,$A37-59,2026+($A37-B$4)-2021))))</f>
        <v>0.113901936744357</v>
      </c>
      <c r="C37" s="30" t="n">
        <f aca="false">IF($A37&lt;C$4,"",MIN(1,IF(AND(Assumptions!$B$42=1,OR($A37=104,$A37=105)),INDEX(C$68:C$69,MATCH($A37,$A$68:$A$69,0)),INDEX(CMI_Projection!$L$23:$CC$83,$A37-59,2026+($A37-C$4)-2021))))</f>
        <v>0.115145508233277</v>
      </c>
      <c r="D37" s="30" t="n">
        <f aca="false">IF($A37&lt;D$4,"",MIN(1,IF(AND(Assumptions!$B$42=1,OR($A37=104,$A37=105)),INDEX(D$68:D$69,MATCH($A37,$A$68:$A$69,0)),INDEX(CMI_Projection!$L$23:$CC$83,$A37-59,2026+($A37-D$4)-2021))))</f>
        <v>0.1164026569281</v>
      </c>
      <c r="E37" s="30" t="n">
        <f aca="false">IF($A37&lt;E$4,"",MIN(1,IF(AND(Assumptions!$B$42=1,OR($A37=104,$A37=105)),INDEX(E$68:E$69,MATCH($A37,$A$68:$A$69,0)),INDEX(CMI_Projection!$L$23:$CC$83,$A37-59,2026+($A37-E$4)-2021))))</f>
        <v>0.117673531063587</v>
      </c>
      <c r="F37" s="30" t="n">
        <f aca="false">IF($A37&lt;F$4,"",MIN(1,IF(AND(Assumptions!$B$42=1,OR($A37=104,$A37=105)),INDEX(F$68:F$69,MATCH($A37,$A$68:$A$69,0)),INDEX(CMI_Projection!$L$23:$CC$83,$A37-59,2026+($A37-F$4)-2021))))</f>
        <v>0.11895828049291</v>
      </c>
      <c r="G37" s="30" t="n">
        <f aca="false">IF($A37&lt;G$4,"",MIN(1,IF(AND(Assumptions!$B$42=1,OR($A37=104,$A37=105)),INDEX(G$68:G$69,MATCH($A37,$A$68:$A$69,0)),INDEX(CMI_Projection!$L$23:$CC$83,$A37-59,2026+($A37-G$4)-2021))))</f>
        <v>0.120257056705328</v>
      </c>
      <c r="H37" s="30" t="n">
        <f aca="false">IF($A37&lt;H$4,"",MIN(1,IF(AND(Assumptions!$B$42=1,OR($A37=104,$A37=105)),INDEX(H$68:H$69,MATCH($A37,$A$68:$A$69,0)),INDEX(CMI_Projection!$L$23:$CC$83,$A37-59,2026+($A37-H$4)-2021))))</f>
        <v>0.121570012844043</v>
      </c>
      <c r="I37" s="30" t="n">
        <f aca="false">IF($A37&lt;I$4,"",MIN(1,IF(AND(Assumptions!$B$42=1,OR($A37=104,$A37=105)),INDEX(I$68:I$69,MATCH($A37,$A$68:$A$69,0)),INDEX(CMI_Projection!$L$23:$CC$83,$A37-59,2026+($A37-I$4)-2021))))</f>
        <v>0.122897303724266</v>
      </c>
      <c r="J37" s="30" t="n">
        <f aca="false">IF($A37&lt;J$4,"",MIN(1,IF(AND(Assumptions!$B$42=1,OR($A37=104,$A37=105)),INDEX(J$68:J$69,MATCH($A37,$A$68:$A$69,0)),INDEX(CMI_Projection!$L$23:$CC$83,$A37-59,2026+($A37-J$4)-2021))))</f>
        <v>0.124239085851461</v>
      </c>
      <c r="K37" s="30" t="n">
        <f aca="false">IF($A37&lt;K$4,"",MIN(1,IF(AND(Assumptions!$B$42=1,OR($A37=104,$A37=105)),INDEX(K$68:K$69,MATCH($A37,$A$68:$A$69,0)),INDEX(CMI_Projection!$L$23:$CC$83,$A37-59,2026+($A37-K$4)-2021))))</f>
        <v>0.125595517439811</v>
      </c>
      <c r="L37" s="30" t="n">
        <f aca="false">IF($A37&lt;L$4,"",MIN(1,IF(AND(Assumptions!$B$42=1,OR($A37=104,$A37=105)),INDEX(L$68:L$69,MATCH($A37,$A$68:$A$69,0)),INDEX(CMI_Projection!$L$23:$CC$83,$A37-59,2026+($A37-L$4)-2021))))</f>
        <v>0.126966758430865</v>
      </c>
      <c r="M37" s="30" t="n">
        <f aca="false">IF($A37&lt;M$4,"",MIN(1,IF(AND(Assumptions!$B$42=1,OR($A37=104,$A37=105)),INDEX(M$68:M$69,MATCH($A37,$A$68:$A$69,0)),INDEX(CMI_Projection!$L$23:$CC$83,$A37-59,2026+($A37-M$4)-2021))))</f>
        <v>0.128352970512399</v>
      </c>
      <c r="N37" s="30" t="n">
        <f aca="false">IF($A37&lt;N$4,"",MIN(1,IF(AND(Assumptions!$B$42=1,OR($A37=104,$A37=105)),INDEX(N$68:N$69,MATCH($A37,$A$68:$A$69,0)),INDEX(CMI_Projection!$L$23:$CC$83,$A37-59,2026+($A37-N$4)-2021))))</f>
        <v>0.129754317137483</v>
      </c>
      <c r="O37" s="30" t="n">
        <f aca="false">IF($A37&lt;O$4,"",MIN(1,IF(AND(Assumptions!$B$42=1,OR($A37=104,$A37=105)),INDEX(O$68:O$69,MATCH($A37,$A$68:$A$69,0)),INDEX(CMI_Projection!$L$23:$CC$83,$A37-59,2026+($A37-O$4)-2021))))</f>
        <v>0.131170963543756</v>
      </c>
      <c r="P37" s="30" t="n">
        <f aca="false">IF($A37&lt;P$4,"",MIN(1,IF(AND(Assumptions!$B$42=1,OR($A37=104,$A37=105)),INDEX(P$68:P$69,MATCH($A37,$A$68:$A$69,0)),INDEX(CMI_Projection!$L$23:$CC$83,$A37-59,2026+($A37-P$4)-2021))))</f>
        <v>0.132603076772903</v>
      </c>
      <c r="Q37" s="30" t="n">
        <f aca="false">IF($A37&lt;Q$4,"",MIN(1,IF(AND(Assumptions!$B$42=1,OR($A37=104,$A37=105)),INDEX(Q$68:Q$69,MATCH($A37,$A$68:$A$69,0)),INDEX(CMI_Projection!$L$23:$CC$83,$A37-59,2026+($A37-Q$4)-2021))))</f>
        <v>0.134050825690359</v>
      </c>
      <c r="R37" s="30" t="n">
        <f aca="false">IF($A37&lt;R$4,"",MIN(1,IF(AND(Assumptions!$B$42=1,OR($A37=104,$A37=105)),INDEX(R$68:R$69,MATCH($A37,$A$68:$A$69,0)),INDEX(CMI_Projection!$L$23:$CC$83,$A37-59,2026+($A37-R$4)-2021))))</f>
        <v>0.135514381005216</v>
      </c>
      <c r="S37" s="30" t="n">
        <f aca="false">IF($A37&lt;S$4,"",MIN(1,IF(AND(Assumptions!$B$42=1,OR($A37=104,$A37=105)),INDEX(S$68:S$69,MATCH($A37,$A$68:$A$69,0)),INDEX(CMI_Projection!$L$23:$CC$83,$A37-59,2026+($A37-S$4)-2021))))</f>
        <v>0.136993915290351</v>
      </c>
      <c r="T37" s="30" t="n">
        <f aca="false">IF($A37&lt;T$4,"",MIN(1,IF(AND(Assumptions!$B$42=1,OR($A37=104,$A37=105)),INDEX(T$68:T$69,MATCH($A37,$A$68:$A$69,0)),INDEX(CMI_Projection!$L$23:$CC$83,$A37-59,2026+($A37-T$4)-2021))))</f>
        <v>0.138489603002781</v>
      </c>
      <c r="U37" s="30" t="n">
        <f aca="false">IF($A37&lt;U$4,"",MIN(1,IF(AND(Assumptions!$B$42=1,OR($A37=104,$A37=105)),INDEX(U$68:U$69,MATCH($A37,$A$68:$A$69,0)),INDEX(CMI_Projection!$L$23:$CC$83,$A37-59,2026+($A37-U$4)-2021))))</f>
        <v>0.140001620504227</v>
      </c>
      <c r="V37" s="30" t="n">
        <f aca="false">IF($A37&lt;V$4,"",MIN(1,IF(AND(Assumptions!$B$42=1,OR($A37=104,$A37=105)),INDEX(V$68:V$69,MATCH($A37,$A$68:$A$69,0)),INDEX(CMI_Projection!$L$23:$CC$83,$A37-59,2026+($A37-V$4)-2021))))</f>
        <v>0.141530146081912</v>
      </c>
      <c r="W37" s="30" t="n">
        <f aca="false">IF($A37&lt;W$4,"",MIN(1,IF(AND(Assumptions!$B$42=1,OR($A37=104,$A37=105)),INDEX(W$68:W$69,MATCH($A37,$A$68:$A$69,0)),INDEX(CMI_Projection!$L$23:$CC$83,$A37-59,2026+($A37-W$4)-2021))))</f>
        <v>0.143075359969583</v>
      </c>
      <c r="X37" s="30" t="n">
        <f aca="false">IF($A37&lt;X$4,"",MIN(1,IF(AND(Assumptions!$B$42=1,OR($A37=104,$A37=105)),INDEX(X$68:X$69,MATCH($A37,$A$68:$A$69,0)),INDEX(CMI_Projection!$L$23:$CC$83,$A37-59,2026+($A37-X$4)-2021))))</f>
        <v>0.144637444368766</v>
      </c>
      <c r="Y37" s="30" t="n">
        <f aca="false">IF($A37&lt;Y$4,"",MIN(1,IF(AND(Assumptions!$B$42=1,OR($A37=104,$A37=105)),INDEX(Y$68:Y$69,MATCH($A37,$A$68:$A$69,0)),INDEX(CMI_Projection!$L$23:$CC$83,$A37-59,2026+($A37-Y$4)-2021))))</f>
        <v>0.146216583470245</v>
      </c>
      <c r="Z37" s="30" t="n">
        <f aca="false">IF($A37&lt;Z$4,"",MIN(1,IF(AND(Assumptions!$B$42=1,OR($A37=104,$A37=105)),INDEX(Z$68:Z$69,MATCH($A37,$A$68:$A$69,0)),INDEX(CMI_Projection!$L$23:$CC$83,$A37-59,2026+($A37-Z$4)-2021))))</f>
        <v>0.147812963475783</v>
      </c>
      <c r="AA37" s="30" t="n">
        <f aca="false">IF($A37&lt;AA$4,"",MIN(1,IF(AND(Assumptions!$B$42=1,OR($A37=104,$A37=105)),INDEX(AA$68:AA$69,MATCH($A37,$A$68:$A$69,0)),INDEX(CMI_Projection!$L$23:$CC$83,$A37-59,2026+($A37-AA$4)-2021))))</f>
        <v>0.14942677262008</v>
      </c>
      <c r="AC37" s="30" t="n">
        <f aca="false">IF($A37&lt;AC$4,"",IF($A37=AC$4,1,AC36*(1-B36)))</f>
        <v>0.42297079666112</v>
      </c>
      <c r="AD37" s="30" t="n">
        <f aca="false">IF($A37&lt;AD$4,"",IF($A37=AD$4,1,AD36*(1-C36)))</f>
        <v>0.418967068034954</v>
      </c>
      <c r="AE37" s="30" t="n">
        <f aca="false">IF($A37&lt;AE$4,"",IF($A37=AE$4,1,AE36*(1-D36)))</f>
        <v>0.415075785155138</v>
      </c>
      <c r="AF37" s="30" t="n">
        <f aca="false">IF($A37&lt;AF$4,"",IF($A37=AF$4,1,AF36*(1-E36)))</f>
        <v>0.411311287284256</v>
      </c>
      <c r="AG37" s="30" t="n">
        <f aca="false">IF($A37&lt;AG$4,"",IF($A37=AG$4,1,AG36*(1-F36)))</f>
        <v>0.407689790382575</v>
      </c>
      <c r="AH37" s="30" t="n">
        <f aca="false">IF($A37&lt;AH$4,"",IF($A37=AH$4,1,AH36*(1-G36)))</f>
        <v>0.404229721991509</v>
      </c>
      <c r="AI37" s="30" t="n">
        <f aca="false">IF($A37&lt;AI$4,"",IF($A37=AI$4,1,AI36*(1-H36)))</f>
        <v>0.401056452281561</v>
      </c>
      <c r="AJ37" s="30" t="n">
        <f aca="false">IF($A37&lt;AJ$4,"",IF($A37=AJ$4,1,AJ36*(1-I36)))</f>
        <v>0.398102477885133</v>
      </c>
      <c r="AK37" s="30" t="n">
        <f aca="false">IF($A37&lt;AK$4,"",IF($A37=AK$4,1,AK36*(1-J36)))</f>
        <v>0.395397113792644</v>
      </c>
      <c r="AL37" s="30" t="n">
        <f aca="false">IF($A37&lt;AL$4,"",IF($A37=AL$4,1,AL36*(1-K36)))</f>
        <v>0.392974251467919</v>
      </c>
      <c r="AM37" s="30" t="n">
        <f aca="false">IF($A37&lt;AM$4,"",IF($A37=AM$4,1,AM36*(1-L36)))</f>
        <v>0.390873136177262</v>
      </c>
      <c r="AN37" s="30" t="n">
        <f aca="false">IF($A37&lt;AN$4,"",IF($A37=AN$4,1,AN36*(1-M36)))</f>
        <v>0.389271978965524</v>
      </c>
      <c r="AO37" s="30" t="n">
        <f aca="false">IF($A37&lt;AO$4,"",IF($A37=AO$4,1,AO36*(1-N36)))</f>
        <v>0.388110340674497</v>
      </c>
      <c r="AP37" s="30" t="n">
        <f aca="false">IF($A37&lt;AP$4,"",IF($A37=AP$4,1,AP36*(1-O36)))</f>
        <v>0.387454688979962</v>
      </c>
      <c r="AQ37" s="30" t="n">
        <f aca="false">IF($A37&lt;AQ$4,"",IF($A37=AQ$4,1,AQ36*(1-P36)))</f>
        <v>0.38738398418554</v>
      </c>
      <c r="AR37" s="30" t="n">
        <f aca="false">IF($A37&lt;AR$4,"",IF($A37=AR$4,1,AR36*(1-Q36)))</f>
        <v>0.387992725083332</v>
      </c>
      <c r="AS37" s="30" t="n">
        <f aca="false">IF($A37&lt;AS$4,"",IF($A37=AS$4,1,AS36*(1-R36)))</f>
        <v>0.389636068362923</v>
      </c>
      <c r="AT37" s="30" t="n">
        <f aca="false">IF($A37&lt;AT$4,"",IF($A37=AT$4,1,AT36*(1-S36)))</f>
        <v>0.392252259254567</v>
      </c>
      <c r="AU37" s="30" t="n">
        <f aca="false">IF($A37&lt;AU$4,"",IF($A37=AU$4,1,AU36*(1-T36)))</f>
        <v>0.396019062504685</v>
      </c>
      <c r="AV37" s="30" t="n">
        <f aca="false">IF($A37&lt;AV$4,"",IF($A37=AV$4,1,AV36*(1-U36)))</f>
        <v>0.401153550395783</v>
      </c>
      <c r="AW37" s="30" t="n">
        <f aca="false">IF($A37&lt;AW$4,"",IF($A37=AW$4,1,AW36*(1-V36)))</f>
        <v>0.407923080719609</v>
      </c>
      <c r="AX37" s="30" t="n">
        <f aca="false">IF($A37&lt;AX$4,"",IF($A37=AX$4,1,AX36*(1-W36)))</f>
        <v>0.417152516660002</v>
      </c>
      <c r="AY37" s="30" t="n">
        <f aca="false">IF($A37&lt;AY$4,"",IF($A37=AY$4,1,AY36*(1-X36)))</f>
        <v>0.428874128399008</v>
      </c>
      <c r="AZ37" s="30" t="n">
        <f aca="false">IF($A37&lt;AZ$4,"",IF($A37=AZ$4,1,AZ36*(1-Y36)))</f>
        <v>0.443647146562378</v>
      </c>
      <c r="BA37" s="30" t="n">
        <f aca="false">IF($A37&lt;BA$4,"",IF($A37=BA$4,1,BA36*(1-Z36)))</f>
        <v>0.462189503537671</v>
      </c>
      <c r="BB37" s="30" t="n">
        <f aca="false">IF($A37&lt;BB$4,"",IF($A37=BB$4,1,BB36*(1-AA36)))</f>
        <v>0.485433152091064</v>
      </c>
    </row>
    <row r="38" customFormat="false" ht="15" hidden="false" customHeight="true" outlineLevel="0" collapsed="false">
      <c r="A38" s="3" t="n">
        <v>93</v>
      </c>
      <c r="B38" s="30" t="n">
        <f aca="false">IF($A38&lt;B$4,"",MIN(1,IF(AND(Assumptions!$B$42=1,OR($A38=104,$A38=105)),INDEX(B$68:B$69,MATCH($A38,$A$68:$A$69,0)),INDEX(CMI_Projection!$L$23:$CC$83,$A38-59,2026+($A38-B$4)-2021))))</f>
        <v>0.125376248551119</v>
      </c>
      <c r="C38" s="30" t="n">
        <f aca="false">IF($A38&lt;C$4,"",MIN(1,IF(AND(Assumptions!$B$42=1,OR($A38=104,$A38=105)),INDEX(C$68:C$69,MATCH($A38,$A$68:$A$69,0)),INDEX(CMI_Projection!$L$23:$CC$83,$A38-59,2026+($A38-C$4)-2021))))</f>
        <v>0.126668264852616</v>
      </c>
      <c r="D38" s="30" t="n">
        <f aca="false">IF($A38&lt;D$4,"",MIN(1,IF(AND(Assumptions!$B$42=1,OR($A38=104,$A38=105)),INDEX(D$68:D$69,MATCH($A38,$A$68:$A$69,0)),INDEX(CMI_Projection!$L$23:$CC$83,$A38-59,2026+($A38-D$4)-2021))))</f>
        <v>0.127973595526991</v>
      </c>
      <c r="E38" s="30" t="n">
        <f aca="false">IF($A38&lt;E$4,"",MIN(1,IF(AND(Assumptions!$B$42=1,OR($A38=104,$A38=105)),INDEX(E$68:E$69,MATCH($A38,$A$68:$A$69,0)),INDEX(CMI_Projection!$L$23:$CC$83,$A38-59,2026+($A38-E$4)-2021))))</f>
        <v>0.129292377780351</v>
      </c>
      <c r="F38" s="30" t="n">
        <f aca="false">IF($A38&lt;F$4,"",MIN(1,IF(AND(Assumptions!$B$42=1,OR($A38=104,$A38=105)),INDEX(F$68:F$69,MATCH($A38,$A$68:$A$69,0)),INDEX(CMI_Projection!$L$23:$CC$83,$A38-59,2026+($A38-F$4)-2021))))</f>
        <v>0.130624750232725</v>
      </c>
      <c r="G38" s="30" t="n">
        <f aca="false">IF($A38&lt;G$4,"",MIN(1,IF(AND(Assumptions!$B$42=1,OR($A38=104,$A38=105)),INDEX(G$68:G$69,MATCH($A38,$A$68:$A$69,0)),INDEX(CMI_Projection!$L$23:$CC$83,$A38-59,2026+($A38-G$4)-2021))))</f>
        <v>0.131970852932638</v>
      </c>
      <c r="H38" s="30" t="n">
        <f aca="false">IF($A38&lt;H$4,"",MIN(1,IF(AND(Assumptions!$B$42=1,OR($A38=104,$A38=105)),INDEX(H$68:H$69,MATCH($A38,$A$68:$A$69,0)),INDEX(CMI_Projection!$L$23:$CC$83,$A38-59,2026+($A38-H$4)-2021))))</f>
        <v>0.13333082737183</v>
      </c>
      <c r="I38" s="30" t="n">
        <f aca="false">IF($A38&lt;I$4,"",MIN(1,IF(AND(Assumptions!$B$42=1,OR($A38=104,$A38=105)),INDEX(I$68:I$69,MATCH($A38,$A$68:$A$69,0)),INDEX(CMI_Projection!$L$23:$CC$83,$A38-59,2026+($A38-I$4)-2021))))</f>
        <v>0.134704816500132</v>
      </c>
      <c r="J38" s="30" t="n">
        <f aca="false">IF($A38&lt;J$4,"",MIN(1,IF(AND(Assumptions!$B$42=1,OR($A38=104,$A38=105)),INDEX(J$68:J$69,MATCH($A38,$A$68:$A$69,0)),INDEX(CMI_Projection!$L$23:$CC$83,$A38-59,2026+($A38-J$4)-2021))))</f>
        <v>0.136092964740485</v>
      </c>
      <c r="K38" s="30" t="n">
        <f aca="false">IF($A38&lt;K$4,"",MIN(1,IF(AND(Assumptions!$B$42=1,OR($A38=104,$A38=105)),INDEX(K$68:K$69,MATCH($A38,$A$68:$A$69,0)),INDEX(CMI_Projection!$L$23:$CC$83,$A38-59,2026+($A38-K$4)-2021))))</f>
        <v>0.137495418004127</v>
      </c>
      <c r="L38" s="30" t="n">
        <f aca="false">IF($A38&lt;L$4,"",MIN(1,IF(AND(Assumptions!$B$42=1,OR($A38=104,$A38=105)),INDEX(L$68:L$69,MATCH($A38,$A$68:$A$69,0)),INDEX(CMI_Projection!$L$23:$CC$83,$A38-59,2026+($A38-L$4)-2021))))</f>
        <v>0.138912323705927</v>
      </c>
      <c r="M38" s="30" t="n">
        <f aca="false">IF($A38&lt;M$4,"",MIN(1,IF(AND(Assumptions!$B$42=1,OR($A38=104,$A38=105)),INDEX(M$68:M$69,MATCH($A38,$A$68:$A$69,0)),INDEX(CMI_Projection!$L$23:$CC$83,$A38-59,2026+($A38-M$4)-2021))))</f>
        <v>0.140343830779882</v>
      </c>
      <c r="N38" s="30" t="n">
        <f aca="false">IF($A38&lt;N$4,"",MIN(1,IF(AND(Assumptions!$B$42=1,OR($A38=104,$A38=105)),INDEX(N$68:N$69,MATCH($A38,$A$68:$A$69,0)),INDEX(CMI_Projection!$L$23:$CC$83,$A38-59,2026+($A38-N$4)-2021))))</f>
        <v>0.141790089694768</v>
      </c>
      <c r="O38" s="30" t="n">
        <f aca="false">IF($A38&lt;O$4,"",MIN(1,IF(AND(Assumptions!$B$42=1,OR($A38=104,$A38=105)),INDEX(O$68:O$69,MATCH($A38,$A$68:$A$69,0)),INDEX(CMI_Projection!$L$23:$CC$83,$A38-59,2026+($A38-O$4)-2021))))</f>
        <v>0.143251252469962</v>
      </c>
      <c r="P38" s="30" t="n">
        <f aca="false">IF($A38&lt;P$4,"",MIN(1,IF(AND(Assumptions!$B$42=1,OR($A38=104,$A38=105)),INDEX(P$68:P$69,MATCH($A38,$A$68:$A$69,0)),INDEX(CMI_Projection!$L$23:$CC$83,$A38-59,2026+($A38-P$4)-2021))))</f>
        <v>0.144727472691415</v>
      </c>
      <c r="Q38" s="30" t="n">
        <f aca="false">IF($A38&lt;Q$4,"",MIN(1,IF(AND(Assumptions!$B$42=1,OR($A38=104,$A38=105)),INDEX(Q$68:Q$69,MATCH($A38,$A$68:$A$69,0)),INDEX(CMI_Projection!$L$23:$CC$83,$A38-59,2026+($A38-Q$4)-2021))))</f>
        <v>0.146218905527798</v>
      </c>
      <c r="R38" s="30" t="n">
        <f aca="false">IF($A38&lt;R$4,"",MIN(1,IF(AND(Assumptions!$B$42=1,OR($A38=104,$A38=105)),INDEX(R$68:R$69,MATCH($A38,$A$68:$A$69,0)),INDEX(CMI_Projection!$L$23:$CC$83,$A38-59,2026+($A38-R$4)-2021))))</f>
        <v>0.147725707746816</v>
      </c>
      <c r="S38" s="30" t="n">
        <f aca="false">IF($A38&lt;S$4,"",MIN(1,IF(AND(Assumptions!$B$42=1,OR($A38=104,$A38=105)),INDEX(S$68:S$69,MATCH($A38,$A$68:$A$69,0)),INDEX(CMI_Projection!$L$23:$CC$83,$A38-59,2026+($A38-S$4)-2021))))</f>
        <v>0.149248037731679</v>
      </c>
      <c r="T38" s="30" t="n">
        <f aca="false">IF($A38&lt;T$4,"",MIN(1,IF(AND(Assumptions!$B$42=1,OR($A38=104,$A38=105)),INDEX(T$68:T$69,MATCH($A38,$A$68:$A$69,0)),INDEX(CMI_Projection!$L$23:$CC$83,$A38-59,2026+($A38-T$4)-2021))))</f>
        <v>0.150786055497756</v>
      </c>
      <c r="U38" s="30" t="n">
        <f aca="false">IF($A38&lt;U$4,"",MIN(1,IF(AND(Assumptions!$B$42=1,OR($A38=104,$A38=105)),INDEX(U$68:U$69,MATCH($A38,$A$68:$A$69,0)),INDEX(CMI_Projection!$L$23:$CC$83,$A38-59,2026+($A38-U$4)-2021))))</f>
        <v>0.152339922709392</v>
      </c>
      <c r="V38" s="30" t="n">
        <f aca="false">IF($A38&lt;V$4,"",MIN(1,IF(AND(Assumptions!$B$42=1,OR($A38=104,$A38=105)),INDEX(V$68:V$69,MATCH($A38,$A$68:$A$69,0)),INDEX(CMI_Projection!$L$23:$CC$83,$A38-59,2026+($A38-V$4)-2021))))</f>
        <v>0.1539098026969</v>
      </c>
      <c r="W38" s="30" t="n">
        <f aca="false">IF($A38&lt;W$4,"",MIN(1,IF(AND(Assumptions!$B$42=1,OR($A38=104,$A38=105)),INDEX(W$68:W$69,MATCH($A38,$A$68:$A$69,0)),INDEX(CMI_Projection!$L$23:$CC$83,$A38-59,2026+($A38-W$4)-2021))))</f>
        <v>0.155495860473732</v>
      </c>
      <c r="X38" s="30" t="n">
        <f aca="false">IF($A38&lt;X$4,"",MIN(1,IF(AND(Assumptions!$B$42=1,OR($A38=104,$A38=105)),INDEX(X$68:X$69,MATCH($A38,$A$68:$A$69,0)),INDEX(CMI_Projection!$L$23:$CC$83,$A38-59,2026+($A38-X$4)-2021))))</f>
        <v>0.157098262753821</v>
      </c>
      <c r="Y38" s="30" t="n">
        <f aca="false">IF($A38&lt;Y$4,"",MIN(1,IF(AND(Assumptions!$B$42=1,OR($A38=104,$A38=105)),INDEX(Y$68:Y$69,MATCH($A38,$A$68:$A$69,0)),INDEX(CMI_Projection!$L$23:$CC$83,$A38-59,2026+($A38-Y$4)-2021))))</f>
        <v>0.158717177969106</v>
      </c>
      <c r="Z38" s="30" t="n">
        <f aca="false">IF($A38&lt;Z$4,"",MIN(1,IF(AND(Assumptions!$B$42=1,OR($A38=104,$A38=105)),INDEX(Z$68:Z$69,MATCH($A38,$A$68:$A$69,0)),INDEX(CMI_Projection!$L$23:$CC$83,$A38-59,2026+($A38-Z$4)-2021))))</f>
        <v>0.160352776287236</v>
      </c>
      <c r="AA38" s="30" t="n">
        <f aca="false">IF($A38&lt;AA$4,"",MIN(1,IF(AND(Assumptions!$B$42=1,OR($A38=104,$A38=105)),INDEX(AA$68:AA$69,MATCH($A38,$A$68:$A$69,0)),INDEX(CMI_Projection!$L$23:$CC$83,$A38-59,2026+($A38-AA$4)-2021))))</f>
        <v>0.162005229629456</v>
      </c>
      <c r="AC38" s="30" t="n">
        <f aca="false">IF($A38&lt;AC$4,"",IF($A38=AC$4,1,AC37*(1-B37)))</f>
        <v>0.374793603735115</v>
      </c>
      <c r="AD38" s="30" t="n">
        <f aca="false">IF($A38&lt;AD$4,"",IF($A38=AD$4,1,AD37*(1-C37)))</f>
        <v>0.370724892053063</v>
      </c>
      <c r="AE38" s="30" t="n">
        <f aca="false">IF($A38&lt;AE$4,"",IF($A38=AE$4,1,AE37*(1-D37)))</f>
        <v>0.366759860936562</v>
      </c>
      <c r="AF38" s="30" t="n">
        <f aca="false">IF($A38&lt;AF$4,"",IF($A38=AF$4,1,AF37*(1-E37)))</f>
        <v>0.362910835743208</v>
      </c>
      <c r="AG38" s="30" t="n">
        <f aca="false">IF($A38&lt;AG$4,"",IF($A38=AG$4,1,AG37*(1-F37)))</f>
        <v>0.359191713944149</v>
      </c>
      <c r="AH38" s="30" t="n">
        <f aca="false">IF($A38&lt;AH$4,"",IF($A38=AH$4,1,AH37*(1-G37)))</f>
        <v>0.355618245391997</v>
      </c>
      <c r="AI38" s="30" t="n">
        <f aca="false">IF($A38&lt;AI$4,"",IF($A38=AI$4,1,AI37*(1-H37)))</f>
        <v>0.352300014226505</v>
      </c>
      <c r="AJ38" s="30" t="n">
        <f aca="false">IF($A38&lt;AJ$4,"",IF($A38=AJ$4,1,AJ37*(1-I37)))</f>
        <v>0.349176756747101</v>
      </c>
      <c r="AK38" s="30" t="n">
        <f aca="false">IF($A38&lt;AK$4,"",IF($A38=AK$4,1,AK37*(1-J37)))</f>
        <v>0.346273337826739</v>
      </c>
      <c r="AL38" s="30" t="n">
        <f aca="false">IF($A38&lt;AL$4,"",IF($A38=AL$4,1,AL37*(1-K37)))</f>
        <v>0.343618447014284</v>
      </c>
      <c r="AM38" s="30" t="n">
        <f aca="false">IF($A38&lt;AM$4,"",IF($A38=AM$4,1,AM37*(1-L37)))</f>
        <v>0.341245241119129</v>
      </c>
      <c r="AN38" s="30" t="n">
        <f aca="false">IF($A38&lt;AN$4,"",IF($A38=AN$4,1,AN37*(1-M37)))</f>
        <v>0.339307764128059</v>
      </c>
      <c r="AO38" s="30" t="n">
        <f aca="false">IF($A38&lt;AO$4,"",IF($A38=AO$4,1,AO37*(1-N37)))</f>
        <v>0.337751348446282</v>
      </c>
      <c r="AP38" s="30" t="n">
        <f aca="false">IF($A38&lt;AP$4,"",IF($A38=AP$4,1,AP37*(1-O37)))</f>
        <v>0.336631884096915</v>
      </c>
      <c r="AQ38" s="30" t="n">
        <f aca="false">IF($A38&lt;AQ$4,"",IF($A38=AQ$4,1,AQ37*(1-P37)))</f>
        <v>0.336015675989991</v>
      </c>
      <c r="AR38" s="30" t="n">
        <f aca="false">IF($A38&lt;AR$4,"",IF($A38=AR$4,1,AR37*(1-Q37)))</f>
        <v>0.335981979924059</v>
      </c>
      <c r="AS38" s="30" t="n">
        <f aca="false">IF($A38&lt;AS$4,"",IF($A38=AS$4,1,AS37*(1-R37)))</f>
        <v>0.336834777741416</v>
      </c>
      <c r="AT38" s="30" t="n">
        <f aca="false">IF($A38&lt;AT$4,"",IF($A38=AT$4,1,AT37*(1-S37)))</f>
        <v>0.338516086477798</v>
      </c>
      <c r="AU38" s="30" t="n">
        <f aca="false">IF($A38&lt;AU$4,"",IF($A38=AU$4,1,AU37*(1-T37)))</f>
        <v>0.341174539756877</v>
      </c>
      <c r="AV38" s="30" t="n">
        <f aca="false">IF($A38&lt;AV$4,"",IF($A38=AV$4,1,AV37*(1-U37)))</f>
        <v>0.344991403269349</v>
      </c>
      <c r="AW38" s="30" t="n">
        <f aca="false">IF($A38&lt;AW$4,"",IF($A38=AW$4,1,AW37*(1-V37)))</f>
        <v>0.35018966751518</v>
      </c>
      <c r="AX38" s="30" t="n">
        <f aca="false">IF($A38&lt;AX$4,"",IF($A38=AX$4,1,AX37*(1-W37)))</f>
        <v>0.357468270176655</v>
      </c>
      <c r="AY38" s="30" t="n">
        <f aca="false">IF($A38&lt;AY$4,"",IF($A38=AY$4,1,AY37*(1-X37)))</f>
        <v>0.366842870511494</v>
      </c>
      <c r="AZ38" s="30" t="n">
        <f aca="false">IF($A38&lt;AZ$4,"",IF($A38=AZ$4,1,AZ37*(1-Y37)))</f>
        <v>0.378778576525705</v>
      </c>
      <c r="BA38" s="30" t="n">
        <f aca="false">IF($A38&lt;BA$4,"",IF($A38=BA$4,1,BA37*(1-Z37)))</f>
        <v>0.393871903332367</v>
      </c>
      <c r="BB38" s="30" t="n">
        <f aca="false">IF($A38&lt;BB$4,"",IF($A38=BB$4,1,BB37*(1-AA37)))</f>
        <v>0.412896442851304</v>
      </c>
    </row>
    <row r="39" customFormat="false" ht="15" hidden="false" customHeight="true" outlineLevel="0" collapsed="false">
      <c r="A39" s="3" t="n">
        <v>94</v>
      </c>
      <c r="B39" s="30" t="n">
        <f aca="false">IF($A39&lt;B$4,"",MIN(1,IF(AND(Assumptions!$B$42=1,OR($A39=104,$A39=105)),INDEX(B$68:B$69,MATCH($A39,$A$68:$A$69,0)),INDEX(CMI_Projection!$L$23:$CC$83,$A39-59,2026+($A39-B$4)-2021))))</f>
        <v>0.136207841961491</v>
      </c>
      <c r="C39" s="30" t="n">
        <f aca="false">IF($A39&lt;C$4,"",MIN(1,IF(AND(Assumptions!$B$42=1,OR($A39=104,$A39=105)),INDEX(C$68:C$69,MATCH($A39,$A$68:$A$69,0)),INDEX(CMI_Projection!$L$23:$CC$83,$A39-59,2026+($A39-C$4)-2021))))</f>
        <v>0.137528111835108</v>
      </c>
      <c r="D39" s="30" t="n">
        <f aca="false">IF($A39&lt;D$4,"",MIN(1,IF(AND(Assumptions!$B$42=1,OR($A39=104,$A39=105)),INDEX(D$68:D$69,MATCH($A39,$A$68:$A$69,0)),INDEX(CMI_Projection!$L$23:$CC$83,$A39-59,2026+($A39-D$4)-2021))))</f>
        <v>0.138861179154996</v>
      </c>
      <c r="E39" s="30" t="n">
        <f aca="false">IF($A39&lt;E$4,"",MIN(1,IF(AND(Assumptions!$B$42=1,OR($A39=104,$A39=105)),INDEX(E$68:E$69,MATCH($A39,$A$68:$A$69,0)),INDEX(CMI_Projection!$L$23:$CC$83,$A39-59,2026+($A39-E$4)-2021))))</f>
        <v>0.140207167967484</v>
      </c>
      <c r="F39" s="30" t="n">
        <f aca="false">IF($A39&lt;F$4,"",MIN(1,IF(AND(Assumptions!$B$42=1,OR($A39=104,$A39=105)),INDEX(F$68:F$69,MATCH($A39,$A$68:$A$69,0)),INDEX(CMI_Projection!$L$23:$CC$83,$A39-59,2026+($A39-F$4)-2021))))</f>
        <v>0.141566203521288</v>
      </c>
      <c r="G39" s="30" t="n">
        <f aca="false">IF($A39&lt;G$4,"",MIN(1,IF(AND(Assumptions!$B$42=1,OR($A39=104,$A39=105)),INDEX(G$68:G$69,MATCH($A39,$A$68:$A$69,0)),INDEX(CMI_Projection!$L$23:$CC$83,$A39-59,2026+($A39-G$4)-2021))))</f>
        <v>0.142938412279168</v>
      </c>
      <c r="H39" s="30" t="n">
        <f aca="false">IF($A39&lt;H$4,"",MIN(1,IF(AND(Assumptions!$B$42=1,OR($A39=104,$A39=105)),INDEX(H$68:H$69,MATCH($A39,$A$68:$A$69,0)),INDEX(CMI_Projection!$L$23:$CC$83,$A39-59,2026+($A39-H$4)-2021))))</f>
        <v>0.144323921929694</v>
      </c>
      <c r="I39" s="30" t="n">
        <f aca="false">IF($A39&lt;I$4,"",MIN(1,IF(AND(Assumptions!$B$42=1,OR($A39=104,$A39=105)),INDEX(I$68:I$69,MATCH($A39,$A$68:$A$69,0)),INDEX(CMI_Projection!$L$23:$CC$83,$A39-59,2026+($A39-I$4)-2021))))</f>
        <v>0.145722861399125</v>
      </c>
      <c r="J39" s="30" t="n">
        <f aca="false">IF($A39&lt;J$4,"",MIN(1,IF(AND(Assumptions!$B$42=1,OR($A39=104,$A39=105)),INDEX(J$68:J$69,MATCH($A39,$A$68:$A$69,0)),INDEX(CMI_Projection!$L$23:$CC$83,$A39-59,2026+($A39-J$4)-2021))))</f>
        <v>0.147135360863414</v>
      </c>
      <c r="K39" s="30" t="n">
        <f aca="false">IF($A39&lt;K$4,"",MIN(1,IF(AND(Assumptions!$B$42=1,OR($A39=104,$A39=105)),INDEX(K$68:K$69,MATCH($A39,$A$68:$A$69,0)),INDEX(CMI_Projection!$L$23:$CC$83,$A39-59,2026+($A39-K$4)-2021))))</f>
        <v>0.148561551760313</v>
      </c>
      <c r="L39" s="30" t="n">
        <f aca="false">IF($A39&lt;L$4,"",MIN(1,IF(AND(Assumptions!$B$42=1,OR($A39=104,$A39=105)),INDEX(L$68:L$69,MATCH($A39,$A$68:$A$69,0)),INDEX(CMI_Projection!$L$23:$CC$83,$A39-59,2026+($A39-L$4)-2021))))</f>
        <v>0.150001566801608</v>
      </c>
      <c r="M39" s="30" t="n">
        <f aca="false">IF($A39&lt;M$4,"",MIN(1,IF(AND(Assumptions!$B$42=1,OR($A39=104,$A39=105)),INDEX(M$68:M$69,MATCH($A39,$A$68:$A$69,0)),INDEX(CMI_Projection!$L$23:$CC$83,$A39-59,2026+($A39-M$4)-2021))))</f>
        <v>0.151455539985469</v>
      </c>
      <c r="N39" s="30" t="n">
        <f aca="false">IF($A39&lt;N$4,"",MIN(1,IF(AND(Assumptions!$B$42=1,OR($A39=104,$A39=105)),INDEX(N$68:N$69,MATCH($A39,$A$68:$A$69,0)),INDEX(CMI_Projection!$L$23:$CC$83,$A39-59,2026+($A39-N$4)-2021))))</f>
        <v>0.152923606608915</v>
      </c>
      <c r="O39" s="30" t="n">
        <f aca="false">IF($A39&lt;O$4,"",MIN(1,IF(AND(Assumptions!$B$42=1,OR($A39=104,$A39=105)),INDEX(O$68:O$69,MATCH($A39,$A$68:$A$69,0)),INDEX(CMI_Projection!$L$23:$CC$83,$A39-59,2026+($A39-O$4)-2021))))</f>
        <v>0.154405903280406</v>
      </c>
      <c r="P39" s="30" t="n">
        <f aca="false">IF($A39&lt;P$4,"",MIN(1,IF(AND(Assumptions!$B$42=1,OR($A39=104,$A39=105)),INDEX(P$68:P$69,MATCH($A39,$A$68:$A$69,0)),INDEX(CMI_Projection!$L$23:$CC$83,$A39-59,2026+($A39-P$4)-2021))))</f>
        <v>0.155902567932559</v>
      </c>
      <c r="Q39" s="30" t="n">
        <f aca="false">IF($A39&lt;Q$4,"",MIN(1,IF(AND(Assumptions!$B$42=1,OR($A39=104,$A39=105)),INDEX(Q$68:Q$69,MATCH($A39,$A$68:$A$69,0)),INDEX(CMI_Projection!$L$23:$CC$83,$A39-59,2026+($A39-Q$4)-2021))))</f>
        <v>0.157413739834975</v>
      </c>
      <c r="R39" s="30" t="n">
        <f aca="false">IF($A39&lt;R$4,"",MIN(1,IF(AND(Assumptions!$B$42=1,OR($A39=104,$A39=105)),INDEX(R$68:R$69,MATCH($A39,$A$68:$A$69,0)),INDEX(CMI_Projection!$L$23:$CC$83,$A39-59,2026+($A39-R$4)-2021))))</f>
        <v>0.158939559607204</v>
      </c>
      <c r="S39" s="30" t="n">
        <f aca="false">IF($A39&lt;S$4,"",MIN(1,IF(AND(Assumptions!$B$42=1,OR($A39=104,$A39=105)),INDEX(S$68:S$69,MATCH($A39,$A$68:$A$69,0)),INDEX(CMI_Projection!$L$23:$CC$83,$A39-59,2026+($A39-S$4)-2021))))</f>
        <v>0.160480169231829</v>
      </c>
      <c r="T39" s="30" t="n">
        <f aca="false">IF($A39&lt;T$4,"",MIN(1,IF(AND(Assumptions!$B$42=1,OR($A39=104,$A39=105)),INDEX(T$68:T$69,MATCH($A39,$A$68:$A$69,0)),INDEX(CMI_Projection!$L$23:$CC$83,$A39-59,2026+($A39-T$4)-2021))))</f>
        <v>0.162035712067679</v>
      </c>
      <c r="U39" s="30" t="n">
        <f aca="false">IF($A39&lt;U$4,"",MIN(1,IF(AND(Assumptions!$B$42=1,OR($A39=104,$A39=105)),INDEX(U$68:U$69,MATCH($A39,$A$68:$A$69,0)),INDEX(CMI_Projection!$L$23:$CC$83,$A39-59,2026+($A39-U$4)-2021))))</f>
        <v>0.163606332863166</v>
      </c>
      <c r="V39" s="30" t="n">
        <f aca="false">IF($A39&lt;V$4,"",MIN(1,IF(AND(Assumptions!$B$42=1,OR($A39=104,$A39=105)),INDEX(V$68:V$69,MATCH($A39,$A$68:$A$69,0)),INDEX(CMI_Projection!$L$23:$CC$83,$A39-59,2026+($A39-V$4)-2021))))</f>
        <v>0.165192177769755</v>
      </c>
      <c r="W39" s="30" t="n">
        <f aca="false">IF($A39&lt;W$4,"",MIN(1,IF(AND(Assumptions!$B$42=1,OR($A39=104,$A39=105)),INDEX(W$68:W$69,MATCH($A39,$A$68:$A$69,0)),INDEX(CMI_Projection!$L$23:$CC$83,$A39-59,2026+($A39-W$4)-2021))))</f>
        <v>0.166793394355569</v>
      </c>
      <c r="X39" s="30" t="n">
        <f aca="false">IF($A39&lt;X$4,"",MIN(1,IF(AND(Assumptions!$B$42=1,OR($A39=104,$A39=105)),INDEX(X$68:X$69,MATCH($A39,$A$68:$A$69,0)),INDEX(CMI_Projection!$L$23:$CC$83,$A39-59,2026+($A39-X$4)-2021))))</f>
        <v>0.168410131619112</v>
      </c>
      <c r="Y39" s="30" t="n">
        <f aca="false">IF($A39&lt;Y$4,"",MIN(1,IF(AND(Assumptions!$B$42=1,OR($A39=104,$A39=105)),INDEX(Y$68:Y$69,MATCH($A39,$A$68:$A$69,0)),INDEX(CMI_Projection!$L$23:$CC$83,$A39-59,2026+($A39-Y$4)-2021))))</f>
        <v>0.170042540003142</v>
      </c>
      <c r="Z39" s="30" t="n">
        <f aca="false">IF($A39&lt;Z$4,"",MIN(1,IF(AND(Assumptions!$B$42=1,OR($A39=104,$A39=105)),INDEX(Z$68:Z$69,MATCH($A39,$A$68:$A$69,0)),INDEX(CMI_Projection!$L$23:$CC$83,$A39-59,2026+($A39-Z$4)-2021))))</f>
        <v>0.171690771408666</v>
      </c>
      <c r="AA39" s="30" t="n">
        <f aca="false">IF($A39&lt;AA$4,"",MIN(1,IF(AND(Assumptions!$B$42=1,OR($A39=104,$A39=105)),INDEX(AA$68:AA$69,MATCH($A39,$A$68:$A$69,0)),INDEX(CMI_Projection!$L$23:$CC$83,$A39-59,2026+($A39-AA$4)-2021))))</f>
        <v>0.173354979209073</v>
      </c>
      <c r="AC39" s="30" t="n">
        <f aca="false">IF($A39&lt;AC$4,"",IF($A39=AC$4,1,AC38*(1-B38)))</f>
        <v>0.327803387717851</v>
      </c>
      <c r="AD39" s="30" t="n">
        <f aca="false">IF($A39&lt;AD$4,"",IF($A39=AD$4,1,AD38*(1-C38)))</f>
        <v>0.323765813239028</v>
      </c>
      <c r="AE39" s="30" t="n">
        <f aca="false">IF($A39&lt;AE$4,"",IF($A39=AE$4,1,AE38*(1-D38)))</f>
        <v>0.319824282837531</v>
      </c>
      <c r="AF39" s="30" t="n">
        <f aca="false">IF($A39&lt;AF$4,"",IF($A39=AF$4,1,AF38*(1-E38)))</f>
        <v>0.315989230867714</v>
      </c>
      <c r="AG39" s="30" t="n">
        <f aca="false">IF($A39&lt;AG$4,"",IF($A39=AG$4,1,AG38*(1-F38)))</f>
        <v>0.31227238602453</v>
      </c>
      <c r="AH39" s="30" t="n">
        <f aca="false">IF($A39&lt;AH$4,"",IF($A39=AH$4,1,AH38*(1-G38)))</f>
        <v>0.308687002229207</v>
      </c>
      <c r="AI39" s="30" t="n">
        <f aca="false">IF($A39&lt;AI$4,"",IF($A39=AI$4,1,AI38*(1-H38)))</f>
        <v>0.305327561846578</v>
      </c>
      <c r="AJ39" s="30" t="n">
        <f aca="false">IF($A39&lt;AJ$4,"",IF($A39=AJ$4,1,AJ38*(1-I38)))</f>
        <v>0.302140965803372</v>
      </c>
      <c r="AK39" s="30" t="n">
        <f aca="false">IF($A39&lt;AK$4,"",IF($A39=AK$4,1,AK38*(1-J38)))</f>
        <v>0.299147972671315</v>
      </c>
      <c r="AL39" s="30" t="n">
        <f aca="false">IF($A39&lt;AL$4,"",IF($A39=AL$4,1,AL38*(1-K38)))</f>
        <v>0.296372485008126</v>
      </c>
      <c r="AM39" s="30" t="n">
        <f aca="false">IF($A39&lt;AM$4,"",IF($A39=AM$4,1,AM38*(1-L38)))</f>
        <v>0.293842071721682</v>
      </c>
      <c r="AN39" s="30" t="n">
        <f aca="false">IF($A39&lt;AN$4,"",IF($A39=AN$4,1,AN38*(1-M38)))</f>
        <v>0.291688012696971</v>
      </c>
      <c r="AO39" s="30" t="n">
        <f aca="false">IF($A39&lt;AO$4,"",IF($A39=AO$4,1,AO38*(1-N38)))</f>
        <v>0.289861554455554</v>
      </c>
      <c r="AP39" s="30" t="n">
        <f aca="false">IF($A39&lt;AP$4,"",IF($A39=AP$4,1,AP38*(1-O38)))</f>
        <v>0.288408945078708</v>
      </c>
      <c r="AQ39" s="30" t="n">
        <f aca="false">IF($A39&lt;AQ$4,"",IF($A39=AQ$4,1,AQ38*(1-P38)))</f>
        <v>0.287384976419263</v>
      </c>
      <c r="AR39" s="30" t="n">
        <f aca="false">IF($A39&lt;AR$4,"",IF($A39=AR$4,1,AR38*(1-Q38)))</f>
        <v>0.2868550625425</v>
      </c>
      <c r="AS39" s="30" t="n">
        <f aca="false">IF($A39&lt;AS$4,"",IF($A39=AS$4,1,AS38*(1-R38)))</f>
        <v>0.287075621805824</v>
      </c>
      <c r="AT39" s="30" t="n">
        <f aca="false">IF($A39&lt;AT$4,"",IF($A39=AT$4,1,AT38*(1-S38)))</f>
        <v>0.28799322483038</v>
      </c>
      <c r="AU39" s="30" t="n">
        <f aca="false">IF($A39&lt;AU$4,"",IF($A39=AU$4,1,AU38*(1-T38)))</f>
        <v>0.289730176670676</v>
      </c>
      <c r="AV39" s="30" t="n">
        <f aca="false">IF($A39&lt;AV$4,"",IF($A39=AV$4,1,AV38*(1-U38)))</f>
        <v>0.292435439559892</v>
      </c>
      <c r="AW39" s="30" t="n">
        <f aca="false">IF($A39&lt;AW$4,"",IF($A39=AW$4,1,AW38*(1-V38)))</f>
        <v>0.296292044881425</v>
      </c>
      <c r="AX39" s="30" t="n">
        <f aca="false">IF($A39&lt;AX$4,"",IF($A39=AX$4,1,AX38*(1-W38)))</f>
        <v>0.30188343391348</v>
      </c>
      <c r="AY39" s="30" t="n">
        <f aca="false">IF($A39&lt;AY$4,"",IF($A39=AY$4,1,AY38*(1-X38)))</f>
        <v>0.309212492850513</v>
      </c>
      <c r="AZ39" s="30" t="n">
        <f aca="false">IF($A39&lt;AZ$4,"",IF($A39=AZ$4,1,AZ38*(1-Y38)))</f>
        <v>0.31865990978439</v>
      </c>
      <c r="BA39" s="30" t="n">
        <f aca="false">IF($A39&lt;BA$4,"",IF($A39=BA$4,1,BA38*(1-Z38)))</f>
        <v>0.330713450131484</v>
      </c>
      <c r="BB39" s="30" t="n">
        <f aca="false">IF($A39&lt;BB$4,"",IF($A39=BB$4,1,BB38*(1-AA38)))</f>
        <v>0.346005059813993</v>
      </c>
    </row>
    <row r="40" customFormat="false" ht="15" hidden="false" customHeight="true" outlineLevel="0" collapsed="false">
      <c r="A40" s="3" t="n">
        <v>95</v>
      </c>
      <c r="B40" s="30" t="n">
        <f aca="false">IF($A40&lt;B$4,"",MIN(1,IF(AND(Assumptions!$B$42=1,OR($A40=104,$A40=105)),INDEX(B$68:B$69,MATCH($A40,$A$68:$A$69,0)),INDEX(CMI_Projection!$L$23:$CC$83,$A40-59,2026+($A40-B$4)-2021))))</f>
        <v>0.151019272002366</v>
      </c>
      <c r="C40" s="30" t="n">
        <f aca="false">IF($A40&lt;C$4,"",MIN(1,IF(AND(Assumptions!$B$42=1,OR($A40=104,$A40=105)),INDEX(C$68:C$69,MATCH($A40,$A$68:$A$69,0)),INDEX(CMI_Projection!$L$23:$CC$83,$A40-59,2026+($A40-C$4)-2021))))</f>
        <v>0.152390789104304</v>
      </c>
      <c r="D40" s="30" t="n">
        <f aca="false">IF($A40&lt;D$4,"",MIN(1,IF(AND(Assumptions!$B$42=1,OR($A40=104,$A40=105)),INDEX(D$68:D$69,MATCH($A40,$A$68:$A$69,0)),INDEX(CMI_Projection!$L$23:$CC$83,$A40-59,2026+($A40-D$4)-2021))))</f>
        <v>0.153774761961962</v>
      </c>
      <c r="E40" s="30" t="n">
        <f aca="false">IF($A40&lt;E$4,"",MIN(1,IF(AND(Assumptions!$B$42=1,OR($A40=104,$A40=105)),INDEX(E$68:E$69,MATCH($A40,$A$68:$A$69,0)),INDEX(CMI_Projection!$L$23:$CC$83,$A40-59,2026+($A40-E$4)-2021))))</f>
        <v>0.155171303695219</v>
      </c>
      <c r="F40" s="30" t="n">
        <f aca="false">IF($A40&lt;F$4,"",MIN(1,IF(AND(Assumptions!$B$42=1,OR($A40=104,$A40=105)),INDEX(F$68:F$69,MATCH($A40,$A$68:$A$69,0)),INDEX(CMI_Projection!$L$23:$CC$83,$A40-59,2026+($A40-F$4)-2021))))</f>
        <v>0.156580528451281</v>
      </c>
      <c r="G40" s="30" t="n">
        <f aca="false">IF($A40&lt;G$4,"",MIN(1,IF(AND(Assumptions!$B$42=1,OR($A40=104,$A40=105)),INDEX(G$68:G$69,MATCH($A40,$A$68:$A$69,0)),INDEX(CMI_Projection!$L$23:$CC$83,$A40-59,2026+($A40-G$4)-2021))))</f>
        <v>0.158002551414007</v>
      </c>
      <c r="H40" s="30" t="n">
        <f aca="false">IF($A40&lt;H$4,"",MIN(1,IF(AND(Assumptions!$B$42=1,OR($A40=104,$A40=105)),INDEX(H$68:H$69,MATCH($A40,$A$68:$A$69,0)),INDEX(CMI_Projection!$L$23:$CC$83,$A40-59,2026+($A40-H$4)-2021))))</f>
        <v>0.159437488813327</v>
      </c>
      <c r="I40" s="30" t="n">
        <f aca="false">IF($A40&lt;I$4,"",MIN(1,IF(AND(Assumptions!$B$42=1,OR($A40=104,$A40=105)),INDEX(I$68:I$69,MATCH($A40,$A$68:$A$69,0)),INDEX(CMI_Projection!$L$23:$CC$83,$A40-59,2026+($A40-I$4)-2021))))</f>
        <v>0.160885457934739</v>
      </c>
      <c r="J40" s="30" t="n">
        <f aca="false">IF($A40&lt;J$4,"",MIN(1,IF(AND(Assumptions!$B$42=1,OR($A40=104,$A40=105)),INDEX(J$68:J$69,MATCH($A40,$A$68:$A$69,0)),INDEX(CMI_Projection!$L$23:$CC$83,$A40-59,2026+($A40-J$4)-2021))))</f>
        <v>0.162346577128899</v>
      </c>
      <c r="K40" s="30" t="n">
        <f aca="false">IF($A40&lt;K$4,"",MIN(1,IF(AND(Assumptions!$B$42=1,OR($A40=104,$A40=105)),INDEX(K$68:K$69,MATCH($A40,$A$68:$A$69,0)),INDEX(CMI_Projection!$L$23:$CC$83,$A40-59,2026+($A40-K$4)-2021))))</f>
        <v>0.163820965821291</v>
      </c>
      <c r="L40" s="30" t="n">
        <f aca="false">IF($A40&lt;L$4,"",MIN(1,IF(AND(Assumptions!$B$42=1,OR($A40=104,$A40=105)),INDEX(L$68:L$69,MATCH($A40,$A$68:$A$69,0)),INDEX(CMI_Projection!$L$23:$CC$83,$A40-59,2026+($A40-L$4)-2021))))</f>
        <v>0.165308744521989</v>
      </c>
      <c r="M40" s="30" t="n">
        <f aca="false">IF($A40&lt;M$4,"",MIN(1,IF(AND(Assumptions!$B$42=1,OR($A40=104,$A40=105)),INDEX(M$68:M$69,MATCH($A40,$A$68:$A$69,0)),INDEX(CMI_Projection!$L$23:$CC$83,$A40-59,2026+($A40-M$4)-2021))))</f>
        <v>0.166810034835508</v>
      </c>
      <c r="N40" s="30" t="n">
        <f aca="false">IF($A40&lt;N$4,"",MIN(1,IF(AND(Assumptions!$B$42=1,OR($A40=104,$A40=105)),INDEX(N$68:N$69,MATCH($A40,$A$68:$A$69,0)),INDEX(CMI_Projection!$L$23:$CC$83,$A40-59,2026+($A40-N$4)-2021))))</f>
        <v>0.168324959470745</v>
      </c>
      <c r="O40" s="30" t="n">
        <f aca="false">IF($A40&lt;O$4,"",MIN(1,IF(AND(Assumptions!$B$42=1,OR($A40=104,$A40=105)),INDEX(O$68:O$69,MATCH($A40,$A$68:$A$69,0)),INDEX(CMI_Projection!$L$23:$CC$83,$A40-59,2026+($A40-O$4)-2021))))</f>
        <v>0.169853642251004</v>
      </c>
      <c r="P40" s="30" t="n">
        <f aca="false">IF($A40&lt;P$4,"",MIN(1,IF(AND(Assumptions!$B$42=1,OR($A40=104,$A40=105)),INDEX(P$68:P$69,MATCH($A40,$A$68:$A$69,0)),INDEX(CMI_Projection!$L$23:$CC$83,$A40-59,2026+($A40-P$4)-2021))))</f>
        <v>0.171396208124121</v>
      </c>
      <c r="Q40" s="30" t="n">
        <f aca="false">IF($A40&lt;Q$4,"",MIN(1,IF(AND(Assumptions!$B$42=1,OR($A40=104,$A40=105)),INDEX(Q$68:Q$69,MATCH($A40,$A$68:$A$69,0)),INDEX(CMI_Projection!$L$23:$CC$83,$A40-59,2026+($A40-Q$4)-2021))))</f>
        <v>0.172952783172675</v>
      </c>
      <c r="R40" s="30" t="n">
        <f aca="false">IF($A40&lt;R$4,"",MIN(1,IF(AND(Assumptions!$B$42=1,OR($A40=104,$A40=105)),INDEX(R$68:R$69,MATCH($A40,$A$68:$A$69,0)),INDEX(CMI_Projection!$L$23:$CC$83,$A40-59,2026+($A40-R$4)-2021))))</f>
        <v>0.174523494624294</v>
      </c>
      <c r="S40" s="30" t="n">
        <f aca="false">IF($A40&lt;S$4,"",MIN(1,IF(AND(Assumptions!$B$42=1,OR($A40=104,$A40=105)),INDEX(S$68:S$69,MATCH($A40,$A$68:$A$69,0)),INDEX(CMI_Projection!$L$23:$CC$83,$A40-59,2026+($A40-S$4)-2021))))</f>
        <v>0.176108470862052</v>
      </c>
      <c r="T40" s="30" t="n">
        <f aca="false">IF($A40&lt;T$4,"",MIN(1,IF(AND(Assumptions!$B$42=1,OR($A40=104,$A40=105)),INDEX(T$68:T$69,MATCH($A40,$A$68:$A$69,0)),INDEX(CMI_Projection!$L$23:$CC$83,$A40-59,2026+($A40-T$4)-2021))))</f>
        <v>0.177707841434967</v>
      </c>
      <c r="U40" s="30" t="n">
        <f aca="false">IF($A40&lt;U$4,"",MIN(1,IF(AND(Assumptions!$B$42=1,OR($A40=104,$A40=105)),INDEX(U$68:U$69,MATCH($A40,$A$68:$A$69,0)),INDEX(CMI_Projection!$L$23:$CC$83,$A40-59,2026+($A40-U$4)-2021))))</f>
        <v>0.179321737068584</v>
      </c>
      <c r="V40" s="30" t="n">
        <f aca="false">IF($A40&lt;V$4,"",MIN(1,IF(AND(Assumptions!$B$42=1,OR($A40=104,$A40=105)),INDEX(V$68:V$69,MATCH($A40,$A$68:$A$69,0)),INDEX(CMI_Projection!$L$23:$CC$83,$A40-59,2026+($A40-V$4)-2021))))</f>
        <v>0.180950289675665</v>
      </c>
      <c r="W40" s="30" t="n">
        <f aca="false">IF($A40&lt;W$4,"",MIN(1,IF(AND(Assumptions!$B$42=1,OR($A40=104,$A40=105)),INDEX(W$68:W$69,MATCH($A40,$A$68:$A$69,0)),INDEX(CMI_Projection!$L$23:$CC$83,$A40-59,2026+($A40-W$4)-2021))))</f>
        <v>0.182593632366968</v>
      </c>
      <c r="X40" s="30" t="n">
        <f aca="false">IF($A40&lt;X$4,"",MIN(1,IF(AND(Assumptions!$B$42=1,OR($A40=104,$A40=105)),INDEX(X$68:X$69,MATCH($A40,$A$68:$A$69,0)),INDEX(CMI_Projection!$L$23:$CC$83,$A40-59,2026+($A40-X$4)-2021))))</f>
        <v>0.184251899462127</v>
      </c>
      <c r="Y40" s="30" t="n">
        <f aca="false">IF($A40&lt;Y$4,"",MIN(1,IF(AND(Assumptions!$B$42=1,OR($A40=104,$A40=105)),INDEX(Y$68:Y$69,MATCH($A40,$A$68:$A$69,0)),INDEX(CMI_Projection!$L$23:$CC$83,$A40-59,2026+($A40-Y$4)-2021))))</f>
        <v>0.185925226500633</v>
      </c>
      <c r="Z40" s="30" t="n">
        <f aca="false">IF($A40&lt;Z$4,"",MIN(1,IF(AND(Assumptions!$B$42=1,OR($A40=104,$A40=105)),INDEX(Z$68:Z$69,MATCH($A40,$A$68:$A$69,0)),INDEX(CMI_Projection!$L$23:$CC$83,$A40-59,2026+($A40-Z$4)-2021))))</f>
        <v>0.187613750252909</v>
      </c>
      <c r="AA40" s="30" t="n">
        <f aca="false">IF($A40&lt;AA$4,"",MIN(1,IF(AND(Assumptions!$B$42=1,OR($A40=104,$A40=105)),INDEX(AA$68:AA$69,MATCH($A40,$A$68:$A$69,0)),INDEX(CMI_Projection!$L$23:$CC$83,$A40-59,2026+($A40-AA$4)-2021))))</f>
        <v>0.189317608731493</v>
      </c>
      <c r="AC40" s="30" t="n">
        <f aca="false">IF($A40&lt;AC$4,"",IF($A40=AC$4,1,AC39*(1-B39)))</f>
        <v>0.283153995689137</v>
      </c>
      <c r="AD40" s="30" t="n">
        <f aca="false">IF($A40&lt;AD$4,"",IF($A40=AD$4,1,AD39*(1-C39)))</f>
        <v>0.279238912267506</v>
      </c>
      <c r="AE40" s="30" t="n">
        <f aca="false">IF($A40&lt;AE$4,"",IF($A40=AE$4,1,AE39*(1-D39)))</f>
        <v>0.275413105800311</v>
      </c>
      <c r="AF40" s="30" t="n">
        <f aca="false">IF($A40&lt;AF$4,"",IF($A40=AF$4,1,AF39*(1-E39)))</f>
        <v>0.271685275699529</v>
      </c>
      <c r="AG40" s="30" t="n">
        <f aca="false">IF($A40&lt;AG$4,"",IF($A40=AG$4,1,AG39*(1-F39)))</f>
        <v>0.268065169870503</v>
      </c>
      <c r="AH40" s="30" t="n">
        <f aca="false">IF($A40&lt;AH$4,"",IF($A40=AH$4,1,AH39*(1-G39)))</f>
        <v>0.264563772239348</v>
      </c>
      <c r="AI40" s="30" t="n">
        <f aca="false">IF($A40&lt;AI$4,"",IF($A40=AI$4,1,AI39*(1-H39)))</f>
        <v>0.261261490647648</v>
      </c>
      <c r="AJ40" s="30" t="n">
        <f aca="false">IF($A40&lt;AJ$4,"",IF($A40=AJ$4,1,AJ39*(1-I39)))</f>
        <v>0.258112119720609</v>
      </c>
      <c r="AK40" s="30" t="n">
        <f aca="false">IF($A40&lt;AK$4,"",IF($A40=AK$4,1,AK39*(1-J39)))</f>
        <v>0.255132727760762</v>
      </c>
      <c r="AL40" s="30" t="n">
        <f aca="false">IF($A40&lt;AL$4,"",IF($A40=AL$4,1,AL39*(1-K39)))</f>
        <v>0.252342928736259</v>
      </c>
      <c r="AM40" s="30" t="n">
        <f aca="false">IF($A40&lt;AM$4,"",IF($A40=AM$4,1,AM39*(1-L39)))</f>
        <v>0.249765300571199</v>
      </c>
      <c r="AN40" s="30" t="n">
        <f aca="false">IF($A40&lt;AN$4,"",IF($A40=AN$4,1,AN39*(1-M39)))</f>
        <v>0.247510247226663</v>
      </c>
      <c r="AO40" s="30" t="n">
        <f aca="false">IF($A40&lt;AO$4,"",IF($A40=AO$4,1,AO39*(1-N39)))</f>
        <v>0.245534880130945</v>
      </c>
      <c r="AP40" s="30" t="n">
        <f aca="false">IF($A40&lt;AP$4,"",IF($A40=AP$4,1,AP39*(1-O39)))</f>
        <v>0.243876901399681</v>
      </c>
      <c r="AQ40" s="30" t="n">
        <f aca="false">IF($A40&lt;AQ$4,"",IF($A40=AQ$4,1,AQ39*(1-P39)))</f>
        <v>0.242580920610262</v>
      </c>
      <c r="AR40" s="30" t="n">
        <f aca="false">IF($A40&lt;AR$4,"",IF($A40=AR$4,1,AR39*(1-Q39)))</f>
        <v>0.24170013435709</v>
      </c>
      <c r="AS40" s="30" t="n">
        <f aca="false">IF($A40&lt;AS$4,"",IF($A40=AS$4,1,AS39*(1-R39)))</f>
        <v>0.241447948902042</v>
      </c>
      <c r="AT40" s="30" t="n">
        <f aca="false">IF($A40&lt;AT$4,"",IF($A40=AT$4,1,AT39*(1-S39)))</f>
        <v>0.24177602337198</v>
      </c>
      <c r="AU40" s="30" t="n">
        <f aca="false">IF($A40&lt;AU$4,"",IF($A40=AU$4,1,AU39*(1-T39)))</f>
        <v>0.242783541186348</v>
      </c>
      <c r="AV40" s="30" t="n">
        <f aca="false">IF($A40&lt;AV$4,"",IF($A40=AV$4,1,AV39*(1-U39)))</f>
        <v>0.24459114969427</v>
      </c>
      <c r="AW40" s="30" t="n">
        <f aca="false">IF($A40&lt;AW$4,"",IF($A40=AW$4,1,AW39*(1-V39)))</f>
        <v>0.247346916731609</v>
      </c>
      <c r="AX40" s="30" t="n">
        <f aca="false">IF($A40&lt;AX$4,"",IF($A40=AX$4,1,AX39*(1-W39)))</f>
        <v>0.251531271271335</v>
      </c>
      <c r="AY40" s="30" t="n">
        <f aca="false">IF($A40&lt;AY$4,"",IF($A40=AY$4,1,AY39*(1-X39)))</f>
        <v>0.257137976231284</v>
      </c>
      <c r="AZ40" s="30" t="n">
        <f aca="false">IF($A40&lt;AZ$4,"",IF($A40=AZ$4,1,AZ39*(1-Y39)))</f>
        <v>0.26447416932748</v>
      </c>
      <c r="BA40" s="30" t="n">
        <f aca="false">IF($A40&lt;BA$4,"",IF($A40=BA$4,1,BA39*(1-Z39)))</f>
        <v>0.273933002763189</v>
      </c>
      <c r="BB40" s="30" t="n">
        <f aca="false">IF($A40&lt;BB$4,"",IF($A40=BB$4,1,BB39*(1-AA39)))</f>
        <v>0.286023359863704</v>
      </c>
    </row>
    <row r="41" customFormat="false" ht="15" hidden="false" customHeight="true" outlineLevel="0" collapsed="false">
      <c r="A41" s="3" t="n">
        <v>96</v>
      </c>
      <c r="B41" s="30" t="n">
        <f aca="false">IF($A41&lt;B$4,"",MIN(1,IF(AND(Assumptions!$B$42=1,OR($A41=104,$A41=105)),INDEX(B$68:B$69,MATCH($A41,$A$68:$A$69,0)),INDEX(CMI_Projection!$L$23:$CC$83,$A41-59,2026+($A41-B$4)-2021))))</f>
        <v>0.161234168658776</v>
      </c>
      <c r="C41" s="30" t="n">
        <f aca="false">IF($A41&lt;C$4,"",MIN(1,IF(AND(Assumptions!$B$42=1,OR($A41=104,$A41=105)),INDEX(C$68:C$69,MATCH($A41,$A$68:$A$69,0)),INDEX(CMI_Projection!$L$23:$CC$83,$A41-59,2026+($A41-C$4)-2021))))</f>
        <v>0.162600008732126</v>
      </c>
      <c r="D41" s="30" t="n">
        <f aca="false">IF($A41&lt;D$4,"",MIN(1,IF(AND(Assumptions!$B$42=1,OR($A41=104,$A41=105)),INDEX(D$68:D$69,MATCH($A41,$A$68:$A$69,0)),INDEX(CMI_Projection!$L$23:$CC$83,$A41-59,2026+($A41-D$4)-2021))))</f>
        <v>0.163977419052164</v>
      </c>
      <c r="E41" s="30" t="n">
        <f aca="false">IF($A41&lt;E$4,"",MIN(1,IF(AND(Assumptions!$B$42=1,OR($A41=104,$A41=105)),INDEX(E$68:E$69,MATCH($A41,$A$68:$A$69,0)),INDEX(CMI_Projection!$L$23:$CC$83,$A41-59,2026+($A41-E$4)-2021))))</f>
        <v>0.165366497632275</v>
      </c>
      <c r="F41" s="30" t="n">
        <f aca="false">IF($A41&lt;F$4,"",MIN(1,IF(AND(Assumptions!$B$42=1,OR($A41=104,$A41=105)),INDEX(F$68:F$69,MATCH($A41,$A$68:$A$69,0)),INDEX(CMI_Projection!$L$23:$CC$83,$A41-59,2026+($A41-F$4)-2021))))</f>
        <v>0.166767343316131</v>
      </c>
      <c r="G41" s="30" t="n">
        <f aca="false">IF($A41&lt;G$4,"",MIN(1,IF(AND(Assumptions!$B$42=1,OR($A41=104,$A41=105)),INDEX(G$68:G$69,MATCH($A41,$A$68:$A$69,0)),INDEX(CMI_Projection!$L$23:$CC$83,$A41-59,2026+($A41-G$4)-2021))))</f>
        <v>0.168180055784723</v>
      </c>
      <c r="H41" s="30" t="n">
        <f aca="false">IF($A41&lt;H$4,"",MIN(1,IF(AND(Assumptions!$B$42=1,OR($A41=104,$A41=105)),INDEX(H$68:H$69,MATCH($A41,$A$68:$A$69,0)),INDEX(CMI_Projection!$L$23:$CC$83,$A41-59,2026+($A41-H$4)-2021))))</f>
        <v>0.169604735563456</v>
      </c>
      <c r="I41" s="30" t="n">
        <f aca="false">IF($A41&lt;I$4,"",MIN(1,IF(AND(Assumptions!$B$42=1,OR($A41=104,$A41=105)),INDEX(I$68:I$69,MATCH($A41,$A$68:$A$69,0)),INDEX(CMI_Projection!$L$23:$CC$83,$A41-59,2026+($A41-I$4)-2021))))</f>
        <v>0.171041484029302</v>
      </c>
      <c r="J41" s="30" t="n">
        <f aca="false">IF($A41&lt;J$4,"",MIN(1,IF(AND(Assumptions!$B$42=1,OR($A41=104,$A41=105)),INDEX(J$68:J$69,MATCH($A41,$A$68:$A$69,0)),INDEX(CMI_Projection!$L$23:$CC$83,$A41-59,2026+($A41-J$4)-2021))))</f>
        <v>0.172490403418013</v>
      </c>
      <c r="K41" s="30" t="n">
        <f aca="false">IF($A41&lt;K$4,"",MIN(1,IF(AND(Assumptions!$B$42=1,OR($A41=104,$A41=105)),INDEX(K$68:K$69,MATCH($A41,$A$68:$A$69,0)),INDEX(CMI_Projection!$L$23:$CC$83,$A41-59,2026+($A41-K$4)-2021))))</f>
        <v>0.173951596831397</v>
      </c>
      <c r="L41" s="30" t="n">
        <f aca="false">IF($A41&lt;L$4,"",MIN(1,IF(AND(Assumptions!$B$42=1,OR($A41=104,$A41=105)),INDEX(L$68:L$69,MATCH($A41,$A$68:$A$69,0)),INDEX(CMI_Projection!$L$23:$CC$83,$A41-59,2026+($A41-L$4)-2021))))</f>
        <v>0.175425168244652</v>
      </c>
      <c r="M41" s="30" t="n">
        <f aca="false">IF($A41&lt;M$4,"",MIN(1,IF(AND(Assumptions!$B$42=1,OR($A41=104,$A41=105)),INDEX(M$68:M$69,MATCH($A41,$A$68:$A$69,0)),INDEX(CMI_Projection!$L$23:$CC$83,$A41-59,2026+($A41-M$4)-2021))))</f>
        <v>0.176911222513767</v>
      </c>
      <c r="N41" s="30" t="n">
        <f aca="false">IF($A41&lt;N$4,"",MIN(1,IF(AND(Assumptions!$B$42=1,OR($A41=104,$A41=105)),INDEX(N$68:N$69,MATCH($A41,$A$68:$A$69,0)),INDEX(CMI_Projection!$L$23:$CC$83,$A41-59,2026+($A41-N$4)-2021))))</f>
        <v>0.178409865382984</v>
      </c>
      <c r="O41" s="30" t="n">
        <f aca="false">IF($A41&lt;O$4,"",MIN(1,IF(AND(Assumptions!$B$42=1,OR($A41=104,$A41=105)),INDEX(O$68:O$69,MATCH($A41,$A$68:$A$69,0)),INDEX(CMI_Projection!$L$23:$CC$83,$A41-59,2026+($A41-O$4)-2021))))</f>
        <v>0.17992120349232</v>
      </c>
      <c r="P41" s="30" t="n">
        <f aca="false">IF($A41&lt;P$4,"",MIN(1,IF(AND(Assumptions!$B$42=1,OR($A41=104,$A41=105)),INDEX(P$68:P$69,MATCH($A41,$A$68:$A$69,0)),INDEX(CMI_Projection!$L$23:$CC$83,$A41-59,2026+($A41-P$4)-2021))))</f>
        <v>0.181445344385155</v>
      </c>
      <c r="Q41" s="30" t="n">
        <f aca="false">IF($A41&lt;Q$4,"",MIN(1,IF(AND(Assumptions!$B$42=1,OR($A41=104,$A41=105)),INDEX(Q$68:Q$69,MATCH($A41,$A$68:$A$69,0)),INDEX(CMI_Projection!$L$23:$CC$83,$A41-59,2026+($A41-Q$4)-2021))))</f>
        <v>0.182982396515889</v>
      </c>
      <c r="R41" s="30" t="n">
        <f aca="false">IF($A41&lt;R$4,"",MIN(1,IF(AND(Assumptions!$B$42=1,OR($A41=104,$A41=105)),INDEX(R$68:R$69,MATCH($A41,$A$68:$A$69,0)),INDEX(CMI_Projection!$L$23:$CC$83,$A41-59,2026+($A41-R$4)-2021))))</f>
        <v>0.184532469257653</v>
      </c>
      <c r="S41" s="30" t="n">
        <f aca="false">IF($A41&lt;S$4,"",MIN(1,IF(AND(Assumptions!$B$42=1,OR($A41=104,$A41=105)),INDEX(S$68:S$69,MATCH($A41,$A$68:$A$69,0)),INDEX(CMI_Projection!$L$23:$CC$83,$A41-59,2026+($A41-S$4)-2021))))</f>
        <v>0.186095672910098</v>
      </c>
      <c r="T41" s="30" t="n">
        <f aca="false">IF($A41&lt;T$4,"",MIN(1,IF(AND(Assumptions!$B$42=1,OR($A41=104,$A41=105)),INDEX(T$68:T$69,MATCH($A41,$A$68:$A$69,0)),INDEX(CMI_Projection!$L$23:$CC$83,$A41-59,2026+($A41-T$4)-2021))))</f>
        <v>0.187672118707239</v>
      </c>
      <c r="U41" s="30" t="n">
        <f aca="false">IF($A41&lt;U$4,"",MIN(1,IF(AND(Assumptions!$B$42=1,OR($A41=104,$A41=105)),INDEX(U$68:U$69,MATCH($A41,$A$68:$A$69,0)),INDEX(CMI_Projection!$L$23:$CC$83,$A41-59,2026+($A41-U$4)-2021))))</f>
        <v>0.189261918825372</v>
      </c>
      <c r="V41" s="30" t="n">
        <f aca="false">IF($A41&lt;V$4,"",MIN(1,IF(AND(Assumptions!$B$42=1,OR($A41=104,$A41=105)),INDEX(V$68:V$69,MATCH($A41,$A$68:$A$69,0)),INDEX(CMI_Projection!$L$23:$CC$83,$A41-59,2026+($A41-V$4)-2021))))</f>
        <v>0.190865186391057</v>
      </c>
      <c r="W41" s="30" t="n">
        <f aca="false">IF($A41&lt;W$4,"",MIN(1,IF(AND(Assumptions!$B$42=1,OR($A41=104,$A41=105)),INDEX(W$68:W$69,MATCH($A41,$A$68:$A$69,0)),INDEX(CMI_Projection!$L$23:$CC$83,$A41-59,2026+($A41-W$4)-2021))))</f>
        <v>0.192482035489166</v>
      </c>
      <c r="X41" s="30" t="n">
        <f aca="false">IF($A41&lt;X$4,"",MIN(1,IF(AND(Assumptions!$B$42=1,OR($A41=104,$A41=105)),INDEX(X$68:X$69,MATCH($A41,$A$68:$A$69,0)),INDEX(CMI_Projection!$L$23:$CC$83,$A41-59,2026+($A41-X$4)-2021))))</f>
        <v>0.194112581171002</v>
      </c>
      <c r="Y41" s="30" t="n">
        <f aca="false">IF($A41&lt;Y$4,"",MIN(1,IF(AND(Assumptions!$B$42=1,OR($A41=104,$A41=105)),INDEX(Y$68:Y$69,MATCH($A41,$A$68:$A$69,0)),INDEX(CMI_Projection!$L$23:$CC$83,$A41-59,2026+($A41-Y$4)-2021))))</f>
        <v>0.195756939462487</v>
      </c>
      <c r="Z41" s="30" t="n">
        <f aca="false">IF($A41&lt;Z$4,"",MIN(1,IF(AND(Assumptions!$B$42=1,OR($A41=104,$A41=105)),INDEX(Z$68:Z$69,MATCH($A41,$A$68:$A$69,0)),INDEX(CMI_Projection!$L$23:$CC$83,$A41-59,2026+($A41-Z$4)-2021))))</f>
        <v>0.197415227372415</v>
      </c>
      <c r="AA41" s="30" t="n">
        <f aca="false">IF($A41&lt;AA$4,"",MIN(1,IF(AND(Assumptions!$B$42=1,OR($A41=104,$A41=105)),INDEX(AA$68:AA$69,MATCH($A41,$A$68:$A$69,0)),INDEX(CMI_Projection!$L$23:$CC$83,$A41-59,2026+($A41-AA$4)-2021))))</f>
        <v>0.199087562900782</v>
      </c>
      <c r="AC41" s="30" t="n">
        <f aca="false">IF($A41&lt;AC$4,"",IF($A41=AC$4,1,AC40*(1-B40)))</f>
        <v>0.240392285395602</v>
      </c>
      <c r="AD41" s="30" t="n">
        <f aca="false">IF($A41&lt;AD$4,"",IF($A41=AD$4,1,AD40*(1-C40)))</f>
        <v>0.236685474078434</v>
      </c>
      <c r="AE41" s="30" t="n">
        <f aca="false">IF($A41&lt;AE$4,"",IF($A41=AE$4,1,AE40*(1-D40)))</f>
        <v>0.233061521014663</v>
      </c>
      <c r="AF41" s="30" t="n">
        <f aca="false">IF($A41&lt;AF$4,"",IF($A41=AF$4,1,AF40*(1-E40)))</f>
        <v>0.229527517274438</v>
      </c>
      <c r="AG41" s="30" t="n">
        <f aca="false">IF($A41&lt;AG$4,"",IF($A41=AG$4,1,AG40*(1-F40)))</f>
        <v>0.226091383912797</v>
      </c>
      <c r="AH41" s="30" t="n">
        <f aca="false">IF($A41&lt;AH$4,"",IF($A41=AH$4,1,AH40*(1-G40)))</f>
        <v>0.222762021213817</v>
      </c>
      <c r="AI41" s="30" t="n">
        <f aca="false">IF($A41&lt;AI$4,"",IF($A41=AI$4,1,AI40*(1-H40)))</f>
        <v>0.219606614655161</v>
      </c>
      <c r="AJ41" s="30" t="n">
        <f aca="false">IF($A41&lt;AJ$4,"",IF($A41=AJ$4,1,AJ40*(1-I40)))</f>
        <v>0.216585633140853</v>
      </c>
      <c r="AK41" s="30" t="n">
        <f aca="false">IF($A41&lt;AK$4,"",IF($A41=AK$4,1,AK40*(1-J40)))</f>
        <v>0.213712802695243</v>
      </c>
      <c r="AL41" s="30" t="n">
        <f aca="false">IF($A41&lt;AL$4,"",IF($A41=AL$4,1,AL40*(1-K40)))</f>
        <v>0.211003866432511</v>
      </c>
      <c r="AM41" s="30" t="n">
        <f aca="false">IF($A41&lt;AM$4,"",IF($A41=AM$4,1,AM40*(1-L40)))</f>
        <v>0.208476912308617</v>
      </c>
      <c r="AN41" s="30" t="n">
        <f aca="false">IF($A41&lt;AN$4,"",IF($A41=AN$4,1,AN40*(1-M40)))</f>
        <v>0.206223054264638</v>
      </c>
      <c r="AO41" s="30" t="n">
        <f aca="false">IF($A41&lt;AO$4,"",IF($A41=AO$4,1,AO40*(1-N40)))</f>
        <v>0.204205231384249</v>
      </c>
      <c r="AP41" s="30" t="n">
        <f aca="false">IF($A41&lt;AP$4,"",IF($A41=AP$4,1,AP40*(1-O40)))</f>
        <v>0.202453521436056</v>
      </c>
      <c r="AQ41" s="30" t="n">
        <f aca="false">IF($A41&lt;AQ$4,"",IF($A41=AQ$4,1,AQ40*(1-P40)))</f>
        <v>0.201003470654404</v>
      </c>
      <c r="AR41" s="30" t="n">
        <f aca="false">IF($A41&lt;AR$4,"",IF($A41=AR$4,1,AR40*(1-Q40)))</f>
        <v>0.199897423426821</v>
      </c>
      <c r="AS41" s="30" t="n">
        <f aca="false">IF($A41&lt;AS$4,"",IF($A41=AS$4,1,AS40*(1-R40)))</f>
        <v>0.19930960908979</v>
      </c>
      <c r="AT41" s="30" t="n">
        <f aca="false">IF($A41&lt;AT$4,"",IF($A41=AT$4,1,AT40*(1-S40)))</f>
        <v>0.199197217604833</v>
      </c>
      <c r="AU41" s="30" t="n">
        <f aca="false">IF($A41&lt;AU$4,"",IF($A41=AU$4,1,AU40*(1-T40)))</f>
        <v>0.199639002146185</v>
      </c>
      <c r="AV41" s="30" t="n">
        <f aca="false">IF($A41&lt;AV$4,"",IF($A41=AV$4,1,AV40*(1-U40)))</f>
        <v>0.200730639859491</v>
      </c>
      <c r="AW41" s="30" t="n">
        <f aca="false">IF($A41&lt;AW$4,"",IF($A41=AW$4,1,AW40*(1-V40)))</f>
        <v>0.202589420498641</v>
      </c>
      <c r="AX41" s="30" t="n">
        <f aca="false">IF($A41&lt;AX$4,"",IF($A41=AX$4,1,AX40*(1-W40)))</f>
        <v>0.205603262796021</v>
      </c>
      <c r="AY41" s="30" t="n">
        <f aca="false">IF($A41&lt;AY$4,"",IF($A41=AY$4,1,AY40*(1-X40)))</f>
        <v>0.209759815686823</v>
      </c>
      <c r="AZ41" s="30" t="n">
        <f aca="false">IF($A41&lt;AZ$4,"",IF($A41=AZ$4,1,AZ40*(1-Y40)))</f>
        <v>0.215301749491701</v>
      </c>
      <c r="BA41" s="30" t="n">
        <f aca="false">IF($A41&lt;BA$4,"",IF($A41=BA$4,1,BA40*(1-Z40)))</f>
        <v>0.222539404796746</v>
      </c>
      <c r="BB41" s="30" t="n">
        <f aca="false">IF($A41&lt;BB$4,"",IF($A41=BB$4,1,BB40*(1-AA40)))</f>
        <v>0.231874101332961</v>
      </c>
    </row>
    <row r="42" customFormat="false" ht="15" hidden="false" customHeight="true" outlineLevel="0" collapsed="false">
      <c r="A42" s="3" t="n">
        <v>97</v>
      </c>
      <c r="B42" s="30" t="n">
        <f aca="false">IF($A42&lt;B$4,"",MIN(1,IF(AND(Assumptions!$B$42=1,OR($A42=104,$A42=105)),INDEX(B$68:B$69,MATCH($A42,$A$68:$A$69,0)),INDEX(CMI_Projection!$L$23:$CC$83,$A42-59,2026+($A42-B$4)-2021))))</f>
        <v>0.171250904692339</v>
      </c>
      <c r="C42" s="30" t="n">
        <f aca="false">IF($A42&lt;C$4,"",MIN(1,IF(AND(Assumptions!$B$42=1,OR($A42=104,$A42=105)),INDEX(C$68:C$69,MATCH($A42,$A$68:$A$69,0)),INDEX(CMI_Projection!$L$23:$CC$83,$A42-59,2026+($A42-C$4)-2021))))</f>
        <v>0.172597162560309</v>
      </c>
      <c r="D42" s="30" t="n">
        <f aca="false">IF($A42&lt;D$4,"",MIN(1,IF(AND(Assumptions!$B$42=1,OR($A42=104,$A42=105)),INDEX(D$68:D$69,MATCH($A42,$A$68:$A$69,0)),INDEX(CMI_Projection!$L$23:$CC$83,$A42-59,2026+($A42-D$4)-2021))))</f>
        <v>0.17395400378987</v>
      </c>
      <c r="E42" s="30" t="n">
        <f aca="false">IF($A42&lt;E$4,"",MIN(1,IF(AND(Assumptions!$B$42=1,OR($A42=104,$A42=105)),INDEX(E$68:E$69,MATCH($A42,$A$68:$A$69,0)),INDEX(CMI_Projection!$L$23:$CC$83,$A42-59,2026+($A42-E$4)-2021))))</f>
        <v>0.175321511580196</v>
      </c>
      <c r="F42" s="30" t="n">
        <f aca="false">IF($A42&lt;F$4,"",MIN(1,IF(AND(Assumptions!$B$42=1,OR($A42=104,$A42=105)),INDEX(F$68:F$69,MATCH($A42,$A$68:$A$69,0)),INDEX(CMI_Projection!$L$23:$CC$83,$A42-59,2026+($A42-F$4)-2021))))</f>
        <v>0.176699769784515</v>
      </c>
      <c r="G42" s="30" t="n">
        <f aca="false">IF($A42&lt;G$4,"",MIN(1,IF(AND(Assumptions!$B$42=1,OR($A42=104,$A42=105)),INDEX(G$68:G$69,MATCH($A42,$A$68:$A$69,0)),INDEX(CMI_Projection!$L$23:$CC$83,$A42-59,2026+($A42-G$4)-2021))))</f>
        <v>0.178088862915254</v>
      </c>
      <c r="H42" s="30" t="n">
        <f aca="false">IF($A42&lt;H$4,"",MIN(1,IF(AND(Assumptions!$B$42=1,OR($A42=104,$A42=105)),INDEX(H$68:H$69,MATCH($A42,$A$68:$A$69,0)),INDEX(CMI_Projection!$L$23:$CC$83,$A42-59,2026+($A42-H$4)-2021))))</f>
        <v>0.179488876149218</v>
      </c>
      <c r="I42" s="30" t="n">
        <f aca="false">IF($A42&lt;I$4,"",MIN(1,IF(AND(Assumptions!$B$42=1,OR($A42=104,$A42=105)),INDEX(I$68:I$69,MATCH($A42,$A$68:$A$69,0)),INDEX(CMI_Projection!$L$23:$CC$83,$A42-59,2026+($A42-I$4)-2021))))</f>
        <v>0.180899895332814</v>
      </c>
      <c r="J42" s="30" t="n">
        <f aca="false">IF($A42&lt;J$4,"",MIN(1,IF(AND(Assumptions!$B$42=1,OR($A42=104,$A42=105)),INDEX(J$68:J$69,MATCH($A42,$A$68:$A$69,0)),INDEX(CMI_Projection!$L$23:$CC$83,$A42-59,2026+($A42-J$4)-2021))))</f>
        <v>0.182322006987315</v>
      </c>
      <c r="K42" s="30" t="n">
        <f aca="false">IF($A42&lt;K$4,"",MIN(1,IF(AND(Assumptions!$B$42=1,OR($A42=104,$A42=105)),INDEX(K$68:K$69,MATCH($A42,$A$68:$A$69,0)),INDEX(CMI_Projection!$L$23:$CC$83,$A42-59,2026+($A42-K$4)-2021))))</f>
        <v>0.183755298314165</v>
      </c>
      <c r="L42" s="30" t="n">
        <f aca="false">IF($A42&lt;L$4,"",MIN(1,IF(AND(Assumptions!$B$42=1,OR($A42=104,$A42=105)),INDEX(L$68:L$69,MATCH($A42,$A$68:$A$69,0)),INDEX(CMI_Projection!$L$23:$CC$83,$A42-59,2026+($A42-L$4)-2021))))</f>
        <v>0.185199857200328</v>
      </c>
      <c r="M42" s="30" t="n">
        <f aca="false">IF($A42&lt;M$4,"",MIN(1,IF(AND(Assumptions!$B$42=1,OR($A42=104,$A42=105)),INDEX(M$68:M$69,MATCH($A42,$A$68:$A$69,0)),INDEX(CMI_Projection!$L$23:$CC$83,$A42-59,2026+($A42-M$4)-2021))))</f>
        <v>0.186655772223673</v>
      </c>
      <c r="N42" s="30" t="n">
        <f aca="false">IF($A42&lt;N$4,"",MIN(1,IF(AND(Assumptions!$B$42=1,OR($A42=104,$A42=105)),INDEX(N$68:N$69,MATCH($A42,$A$68:$A$69,0)),INDEX(CMI_Projection!$L$23:$CC$83,$A42-59,2026+($A42-N$4)-2021))))</f>
        <v>0.188123132658408</v>
      </c>
      <c r="O42" s="30" t="n">
        <f aca="false">IF($A42&lt;O$4,"",MIN(1,IF(AND(Assumptions!$B$42=1,OR($A42=104,$A42=105)),INDEX(O$68:O$69,MATCH($A42,$A$68:$A$69,0)),INDEX(CMI_Projection!$L$23:$CC$83,$A42-59,2026+($A42-O$4)-2021))))</f>
        <v>0.189602028480557</v>
      </c>
      <c r="P42" s="30" t="n">
        <f aca="false">IF($A42&lt;P$4,"",MIN(1,IF(AND(Assumptions!$B$42=1,OR($A42=104,$A42=105)),INDEX(P$68:P$69,MATCH($A42,$A$68:$A$69,0)),INDEX(CMI_Projection!$L$23:$CC$83,$A42-59,2026+($A42-P$4)-2021))))</f>
        <v>0.19109255037347</v>
      </c>
      <c r="Q42" s="30" t="n">
        <f aca="false">IF($A42&lt;Q$4,"",MIN(1,IF(AND(Assumptions!$B$42=1,OR($A42=104,$A42=105)),INDEX(Q$68:Q$69,MATCH($A42,$A$68:$A$69,0)),INDEX(CMI_Projection!$L$23:$CC$83,$A42-59,2026+($A42-Q$4)-2021))))</f>
        <v>0.19259478973339</v>
      </c>
      <c r="R42" s="30" t="n">
        <f aca="false">IF($A42&lt;R$4,"",MIN(1,IF(AND(Assumptions!$B$42=1,OR($A42=104,$A42=105)),INDEX(R$68:R$69,MATCH($A42,$A$68:$A$69,0)),INDEX(CMI_Projection!$L$23:$CC$83,$A42-59,2026+($A42-R$4)-2021))))</f>
        <v>0.194108838675056</v>
      </c>
      <c r="S42" s="30" t="n">
        <f aca="false">IF($A42&lt;S$4,"",MIN(1,IF(AND(Assumptions!$B$42=1,OR($A42=104,$A42=105)),INDEX(S$68:S$69,MATCH($A42,$A$68:$A$69,0)),INDEX(CMI_Projection!$L$23:$CC$83,$A42-59,2026+($A42-S$4)-2021))))</f>
        <v>0.195634790037347</v>
      </c>
      <c r="T42" s="30" t="n">
        <f aca="false">IF($A42&lt;T$4,"",MIN(1,IF(AND(Assumptions!$B$42=1,OR($A42=104,$A42=105)),INDEX(T$68:T$69,MATCH($A42,$A$68:$A$69,0)),INDEX(CMI_Projection!$L$23:$CC$83,$A42-59,2026+($A42-T$4)-2021))))</f>
        <v>0.197172737388981</v>
      </c>
      <c r="U42" s="30" t="n">
        <f aca="false">IF($A42&lt;U$4,"",MIN(1,IF(AND(Assumptions!$B$42=1,OR($A42=104,$A42=105)),INDEX(U$68:U$69,MATCH($A42,$A$68:$A$69,0)),INDEX(CMI_Projection!$L$23:$CC$83,$A42-59,2026+($A42-U$4)-2021))))</f>
        <v>0.198722775034248</v>
      </c>
      <c r="V42" s="30" t="n">
        <f aca="false">IF($A42&lt;V$4,"",MIN(1,IF(AND(Assumptions!$B$42=1,OR($A42=104,$A42=105)),INDEX(V$68:V$69,MATCH($A42,$A$68:$A$69,0)),INDEX(CMI_Projection!$L$23:$CC$83,$A42-59,2026+($A42-V$4)-2021))))</f>
        <v>0.200284998018795</v>
      </c>
      <c r="W42" s="30" t="n">
        <f aca="false">IF($A42&lt;W$4,"",MIN(1,IF(AND(Assumptions!$B$42=1,OR($A42=104,$A42=105)),INDEX(W$68:W$69,MATCH($A42,$A$68:$A$69,0)),INDEX(CMI_Projection!$L$23:$CC$83,$A42-59,2026+($A42-W$4)-2021))))</f>
        <v>0.201859502135451</v>
      </c>
      <c r="X42" s="30" t="n">
        <f aca="false">IF($A42&lt;X$4,"",MIN(1,IF(AND(Assumptions!$B$42=1,OR($A42=104,$A42=105)),INDEX(X$68:X$69,MATCH($A42,$A$68:$A$69,0)),INDEX(CMI_Projection!$L$23:$CC$83,$A42-59,2026+($A42-X$4)-2021))))</f>
        <v>0.203446383930106</v>
      </c>
      <c r="Y42" s="30" t="n">
        <f aca="false">IF($A42&lt;Y$4,"",MIN(1,IF(AND(Assumptions!$B$42=1,OR($A42=104,$A42=105)),INDEX(Y$68:Y$69,MATCH($A42,$A$68:$A$69,0)),INDEX(CMI_Projection!$L$23:$CC$83,$A42-59,2026+($A42-Y$4)-2021))))</f>
        <v>0.205045740707626</v>
      </c>
      <c r="Z42" s="30" t="n">
        <f aca="false">IF($A42&lt;Z$4,"",MIN(1,IF(AND(Assumptions!$B$42=1,OR($A42=104,$A42=105)),INDEX(Z$68:Z$69,MATCH($A42,$A$68:$A$69,0)),INDEX(CMI_Projection!$L$23:$CC$83,$A42-59,2026+($A42-Z$4)-2021))))</f>
        <v>0.206657670537821</v>
      </c>
      <c r="AA42" s="30" t="n">
        <f aca="false">IF($A42&lt;AA$4,"",MIN(1,IF(AND(Assumptions!$B$42=1,OR($A42=104,$A42=105)),INDEX(AA$68:AA$69,MATCH($A42,$A$68:$A$69,0)),INDEX(CMI_Projection!$L$23:$CC$83,$A42-59,2026+($A42-AA$4)-2021))))</f>
        <v>0.20828227226146</v>
      </c>
      <c r="AC42" s="30" t="n">
        <f aca="false">IF($A42&lt;AC$4,"",IF($A42=AC$4,1,AC41*(1-B41)))</f>
        <v>0.201632835107859</v>
      </c>
      <c r="AD42" s="30" t="n">
        <f aca="false">IF($A42&lt;AD$4,"",IF($A42=AD$4,1,AD41*(1-C41)))</f>
        <v>0.198200413926513</v>
      </c>
      <c r="AE42" s="30" t="n">
        <f aca="false">IF($A42&lt;AE$4,"",IF($A42=AE$4,1,AE41*(1-D41)))</f>
        <v>0.194844694318307</v>
      </c>
      <c r="AF42" s="30" t="n">
        <f aca="false">IF($A42&lt;AF$4,"",IF($A42=AF$4,1,AF41*(1-E41)))</f>
        <v>0.191571355632532</v>
      </c>
      <c r="AG42" s="30" t="n">
        <f aca="false">IF($A42&lt;AG$4,"",IF($A42=AG$4,1,AG41*(1-F41)))</f>
        <v>0.188386724470993</v>
      </c>
      <c r="AH42" s="30" t="n">
        <f aca="false">IF($A42&lt;AH$4,"",IF($A42=AH$4,1,AH41*(1-G41)))</f>
        <v>0.18529789205936</v>
      </c>
      <c r="AI42" s="30" t="n">
        <f aca="false">IF($A42&lt;AI$4,"",IF($A42=AI$4,1,AI41*(1-H41)))</f>
        <v>0.182360292848587</v>
      </c>
      <c r="AJ42" s="30" t="n">
        <f aca="false">IF($A42&lt;AJ$4,"",IF($A42=AJ$4,1,AJ41*(1-I41)))</f>
        <v>0.179540505029016</v>
      </c>
      <c r="AK42" s="30" t="n">
        <f aca="false">IF($A42&lt;AK$4,"",IF($A42=AK$4,1,AK41*(1-J41)))</f>
        <v>0.176849395142747</v>
      </c>
      <c r="AL42" s="30" t="n">
        <f aca="false">IF($A42&lt;AL$4,"",IF($A42=AL$4,1,AL41*(1-K41)))</f>
        <v>0.174299406928977</v>
      </c>
      <c r="AM42" s="30" t="n">
        <f aca="false">IF($A42&lt;AM$4,"",IF($A42=AM$4,1,AM41*(1-L41)))</f>
        <v>0.171904814891752</v>
      </c>
      <c r="AN42" s="30" t="n">
        <f aca="false">IF($A42&lt;AN$4,"",IF($A42=AN$4,1,AN41*(1-M41)))</f>
        <v>0.169739881624158</v>
      </c>
      <c r="AO42" s="30" t="n">
        <f aca="false">IF($A42&lt;AO$4,"",IF($A42=AO$4,1,AO41*(1-N41)))</f>
        <v>0.167773003542484</v>
      </c>
      <c r="AP42" s="30" t="n">
        <f aca="false">IF($A42&lt;AP$4,"",IF($A42=AP$4,1,AP41*(1-O41)))</f>
        <v>0.166027840208023</v>
      </c>
      <c r="AQ42" s="30" t="n">
        <f aca="false">IF($A42&lt;AQ$4,"",IF($A42=AQ$4,1,AQ41*(1-P41)))</f>
        <v>0.164532326698905</v>
      </c>
      <c r="AR42" s="30" t="n">
        <f aca="false">IF($A42&lt;AR$4,"",IF($A42=AR$4,1,AR41*(1-Q41)))</f>
        <v>0.16331971383083</v>
      </c>
      <c r="AS42" s="30" t="n">
        <f aca="false">IF($A42&lt;AS$4,"",IF($A42=AS$4,1,AS41*(1-R41)))</f>
        <v>0.162530514777673</v>
      </c>
      <c r="AT42" s="30" t="n">
        <f aca="false">IF($A42&lt;AT$4,"",IF($A42=AT$4,1,AT41*(1-S41)))</f>
        <v>0.162127477352842</v>
      </c>
      <c r="AU42" s="30" t="n">
        <f aca="false">IF($A42&lt;AU$4,"",IF($A42=AU$4,1,AU41*(1-T41)))</f>
        <v>0.162172327636811</v>
      </c>
      <c r="AV42" s="30" t="n">
        <f aca="false">IF($A42&lt;AV$4,"",IF($A42=AV$4,1,AV41*(1-U41)))</f>
        <v>0.162739973792639</v>
      </c>
      <c r="AW42" s="30" t="n">
        <f aca="false">IF($A42&lt;AW$4,"",IF($A42=AW$4,1,AW41*(1-V41)))</f>
        <v>0.163922152994312</v>
      </c>
      <c r="AX42" s="30" t="n">
        <f aca="false">IF($A42&lt;AX$4,"",IF($A42=AX$4,1,AX41*(1-W41)))</f>
        <v>0.166028328269829</v>
      </c>
      <c r="AY42" s="30" t="n">
        <f aca="false">IF($A42&lt;AY$4,"",IF($A42=AY$4,1,AY41*(1-X41)))</f>
        <v>0.1690427964379</v>
      </c>
      <c r="AZ42" s="30" t="n">
        <f aca="false">IF($A42&lt;AZ$4,"",IF($A42=AZ$4,1,AZ41*(1-Y41)))</f>
        <v>0.173154937950287</v>
      </c>
      <c r="BA42" s="30" t="n">
        <f aca="false">IF($A42&lt;BA$4,"",IF($A42=BA$4,1,BA41*(1-Z41)))</f>
        <v>0.178606737599475</v>
      </c>
      <c r="BB42" s="30" t="n">
        <f aca="false">IF($A42&lt;BB$4,"",IF($A42=BB$4,1,BB41*(1-AA41)))</f>
        <v>0.185710851598773</v>
      </c>
    </row>
    <row r="43" customFormat="false" ht="15" hidden="false" customHeight="true" outlineLevel="0" collapsed="false">
      <c r="A43" s="3" t="n">
        <v>98</v>
      </c>
      <c r="B43" s="30" t="n">
        <f aca="false">IF($A43&lt;B$4,"",MIN(1,IF(AND(Assumptions!$B$42=1,OR($A43=104,$A43=105)),INDEX(B$68:B$69,MATCH($A43,$A$68:$A$69,0)),INDEX(CMI_Projection!$L$23:$CC$83,$A43-59,2026+($A43-B$4)-2021))))</f>
        <v>0.181297119795316</v>
      </c>
      <c r="C43" s="30" t="n">
        <f aca="false">IF($A43&lt;C$4,"",MIN(1,IF(AND(Assumptions!$B$42=1,OR($A43=104,$A43=105)),INDEX(C$68:C$69,MATCH($A43,$A$68:$A$69,0)),INDEX(CMI_Projection!$L$23:$CC$83,$A43-59,2026+($A43-C$4)-2021))))</f>
        <v>0.182611925660068</v>
      </c>
      <c r="D43" s="30" t="n">
        <f aca="false">IF($A43&lt;D$4,"",MIN(1,IF(AND(Assumptions!$B$42=1,OR($A43=104,$A43=105)),INDEX(D$68:D$69,MATCH($A43,$A$68:$A$69,0)),INDEX(CMI_Projection!$L$23:$CC$83,$A43-59,2026+($A43-D$4)-2021))))</f>
        <v>0.183936266780891</v>
      </c>
      <c r="E43" s="30" t="n">
        <f aca="false">IF($A43&lt;E$4,"",MIN(1,IF(AND(Assumptions!$B$42=1,OR($A43=104,$A43=105)),INDEX(E$68:E$69,MATCH($A43,$A$68:$A$69,0)),INDEX(CMI_Projection!$L$23:$CC$83,$A43-59,2026+($A43-E$4)-2021))))</f>
        <v>0.185270212309519</v>
      </c>
      <c r="F43" s="30" t="n">
        <f aca="false">IF($A43&lt;F$4,"",MIN(1,IF(AND(Assumptions!$B$42=1,OR($A43=104,$A43=105)),INDEX(F$68:F$69,MATCH($A43,$A$68:$A$69,0)),INDEX(CMI_Projection!$L$23:$CC$83,$A43-59,2026+($A43-F$4)-2021))))</f>
        <v>0.186613831899194</v>
      </c>
      <c r="G43" s="30" t="n">
        <f aca="false">IF($A43&lt;G$4,"",MIN(1,IF(AND(Assumptions!$B$42=1,OR($A43=104,$A43=105)),INDEX(G$68:G$69,MATCH($A43,$A$68:$A$69,0)),INDEX(CMI_Projection!$L$23:$CC$83,$A43-59,2026+($A43-G$4)-2021))))</f>
        <v>0.187967195708293</v>
      </c>
      <c r="H43" s="30" t="n">
        <f aca="false">IF($A43&lt;H$4,"",MIN(1,IF(AND(Assumptions!$B$42=1,OR($A43=104,$A43=105)),INDEX(H$68:H$69,MATCH($A43,$A$68:$A$69,0)),INDEX(CMI_Projection!$L$23:$CC$83,$A43-59,2026+($A43-H$4)-2021))))</f>
        <v>0.189330374404002</v>
      </c>
      <c r="I43" s="30" t="n">
        <f aca="false">IF($A43&lt;I$4,"",MIN(1,IF(AND(Assumptions!$B$42=1,OR($A43=104,$A43=105)),INDEX(I$68:I$69,MATCH($A43,$A$68:$A$69,0)),INDEX(CMI_Projection!$L$23:$CC$83,$A43-59,2026+($A43-I$4)-2021))))</f>
        <v>0.190703439165997</v>
      </c>
      <c r="J43" s="30" t="n">
        <f aca="false">IF($A43&lt;J$4,"",MIN(1,IF(AND(Assumptions!$B$42=1,OR($A43=104,$A43=105)),INDEX(J$68:J$69,MATCH($A43,$A$68:$A$69,0)),INDEX(CMI_Projection!$L$23:$CC$83,$A43-59,2026+($A43-J$4)-2021))))</f>
        <v>0.192086461690167</v>
      </c>
      <c r="K43" s="30" t="n">
        <f aca="false">IF($A43&lt;K$4,"",MIN(1,IF(AND(Assumptions!$B$42=1,OR($A43=104,$A43=105)),INDEX(K$68:K$69,MATCH($A43,$A$68:$A$69,0)),INDEX(CMI_Projection!$L$23:$CC$83,$A43-59,2026+($A43-K$4)-2021))))</f>
        <v>0.193479514192351</v>
      </c>
      <c r="L43" s="30" t="n">
        <f aca="false">IF($A43&lt;L$4,"",MIN(1,IF(AND(Assumptions!$B$42=1,OR($A43=104,$A43=105)),INDEX(L$68:L$69,MATCH($A43,$A$68:$A$69,0)),INDEX(CMI_Projection!$L$23:$CC$83,$A43-59,2026+($A43-L$4)-2021))))</f>
        <v>0.194882669412119</v>
      </c>
      <c r="M43" s="30" t="n">
        <f aca="false">IF($A43&lt;M$4,"",MIN(1,IF(AND(Assumptions!$B$42=1,OR($A43=104,$A43=105)),INDEX(M$68:M$69,MATCH($A43,$A$68:$A$69,0)),INDEX(CMI_Projection!$L$23:$CC$83,$A43-59,2026+($A43-M$4)-2021))))</f>
        <v>0.196296000616558</v>
      </c>
      <c r="N43" s="30" t="n">
        <f aca="false">IF($A43&lt;N$4,"",MIN(1,IF(AND(Assumptions!$B$42=1,OR($A43=104,$A43=105)),INDEX(N$68:N$69,MATCH($A43,$A$68:$A$69,0)),INDEX(CMI_Projection!$L$23:$CC$83,$A43-59,2026+($A43-N$4)-2021))))</f>
        <v>0.197719581604107</v>
      </c>
      <c r="O43" s="30" t="n">
        <f aca="false">IF($A43&lt;O$4,"",MIN(1,IF(AND(Assumptions!$B$42=1,OR($A43=104,$A43=105)),INDEX(O$68:O$69,MATCH($A43,$A$68:$A$69,0)),INDEX(CMI_Projection!$L$23:$CC$83,$A43-59,2026+($A43-O$4)-2021))))</f>
        <v>0.199153486708408</v>
      </c>
      <c r="P43" s="30" t="n">
        <f aca="false">IF($A43&lt;P$4,"",MIN(1,IF(AND(Assumptions!$B$42=1,OR($A43=104,$A43=105)),INDEX(P$68:P$69,MATCH($A43,$A$68:$A$69,0)),INDEX(CMI_Projection!$L$23:$CC$83,$A43-59,2026+($A43-P$4)-2021))))</f>
        <v>0.200597790802184</v>
      </c>
      <c r="Q43" s="30" t="n">
        <f aca="false">IF($A43&lt;Q$4,"",MIN(1,IF(AND(Assumptions!$B$42=1,OR($A43=104,$A43=105)),INDEX(Q$68:Q$69,MATCH($A43,$A$68:$A$69,0)),INDEX(CMI_Projection!$L$23:$CC$83,$A43-59,2026+($A43-Q$4)-2021))))</f>
        <v>0.202052569301152</v>
      </c>
      <c r="R43" s="30" t="n">
        <f aca="false">IF($A43&lt;R$4,"",MIN(1,IF(AND(Assumptions!$B$42=1,OR($A43=104,$A43=105)),INDEX(R$68:R$69,MATCH($A43,$A$68:$A$69,0)),INDEX(CMI_Projection!$L$23:$CC$83,$A43-59,2026+($A43-R$4)-2021))))</f>
        <v>0.203517898167961</v>
      </c>
      <c r="S43" s="30" t="n">
        <f aca="false">IF($A43&lt;S$4,"",MIN(1,IF(AND(Assumptions!$B$42=1,OR($A43=104,$A43=105)),INDEX(S$68:S$69,MATCH($A43,$A$68:$A$69,0)),INDEX(CMI_Projection!$L$23:$CC$83,$A43-59,2026+($A43-S$4)-2021))))</f>
        <v>0.204993853916158</v>
      </c>
      <c r="T43" s="30" t="n">
        <f aca="false">IF($A43&lt;T$4,"",MIN(1,IF(AND(Assumptions!$B$42=1,OR($A43=104,$A43=105)),INDEX(T$68:T$69,MATCH($A43,$A$68:$A$69,0)),INDEX(CMI_Projection!$L$23:$CC$83,$A43-59,2026+($A43-T$4)-2021))))</f>
        <v>0.20648051361418</v>
      </c>
      <c r="U43" s="30" t="n">
        <f aca="false">IF($A43&lt;U$4,"",MIN(1,IF(AND(Assumptions!$B$42=1,OR($A43=104,$A43=105)),INDEX(U$68:U$69,MATCH($A43,$A$68:$A$69,0)),INDEX(CMI_Projection!$L$23:$CC$83,$A43-59,2026+($A43-U$4)-2021))))</f>
        <v>0.207977954889383</v>
      </c>
      <c r="V43" s="30" t="n">
        <f aca="false">IF($A43&lt;V$4,"",MIN(1,IF(AND(Assumptions!$B$42=1,OR($A43=104,$A43=105)),INDEX(V$68:V$69,MATCH($A43,$A$68:$A$69,0)),INDEX(CMI_Projection!$L$23:$CC$83,$A43-59,2026+($A43-V$4)-2021))))</f>
        <v>0.209486255932094</v>
      </c>
      <c r="W43" s="30" t="n">
        <f aca="false">IF($A43&lt;W$4,"",MIN(1,IF(AND(Assumptions!$B$42=1,OR($A43=104,$A43=105)),INDEX(W$68:W$69,MATCH($A43,$A$68:$A$69,0)),INDEX(CMI_Projection!$L$23:$CC$83,$A43-59,2026+($A43-W$4)-2021))))</f>
        <v>0.211005495499692</v>
      </c>
      <c r="X43" s="30" t="n">
        <f aca="false">IF($A43&lt;X$4,"",MIN(1,IF(AND(Assumptions!$B$42=1,OR($A43=104,$A43=105)),INDEX(X$68:X$69,MATCH($A43,$A$68:$A$69,0)),INDEX(CMI_Projection!$L$23:$CC$83,$A43-59,2026+($A43-X$4)-2021))))</f>
        <v>0.212535752920721</v>
      </c>
      <c r="Y43" s="30" t="n">
        <f aca="false">IF($A43&lt;Y$4,"",MIN(1,IF(AND(Assumptions!$B$42=1,OR($A43=104,$A43=105)),INDEX(Y$68:Y$69,MATCH($A43,$A$68:$A$69,0)),INDEX(CMI_Projection!$L$23:$CC$83,$A43-59,2026+($A43-Y$4)-2021))))</f>
        <v>0.214077108099034</v>
      </c>
      <c r="Z43" s="30" t="n">
        <f aca="false">IF($A43&lt;Z$4,"",MIN(1,IF(AND(Assumptions!$B$42=1,OR($A43=104,$A43=105)),INDEX(Z$68:Z$69,MATCH($A43,$A$68:$A$69,0)),INDEX(CMI_Projection!$L$23:$CC$83,$A43-59,2026+($A43-Z$4)-2021))))</f>
        <v>0.215629641517964</v>
      </c>
      <c r="AA43" s="30" t="n">
        <f aca="false">IF($A43&lt;AA$4,"",MIN(1,IF(AND(Assumptions!$B$42=1,OR($A43=104,$A43=105)),INDEX(AA$68:AA$69,MATCH($A43,$A$68:$A$69,0)),INDEX(CMI_Projection!$L$23:$CC$83,$A43-59,2026+($A43-AA$4)-2021))))</f>
        <v>0.217193434244524</v>
      </c>
      <c r="AC43" s="30" t="n">
        <f aca="false">IF($A43&lt;AC$4,"",IF($A43=AC$4,1,AC42*(1-B42)))</f>
        <v>0.167103029679957</v>
      </c>
      <c r="AD43" s="30" t="n">
        <f aca="false">IF($A43&lt;AD$4,"",IF($A43=AD$4,1,AD42*(1-C42)))</f>
        <v>0.163991584864518</v>
      </c>
      <c r="AE43" s="30" t="n">
        <f aca="false">IF($A43&lt;AE$4,"",IF($A43=AE$4,1,AE42*(1-D42)))</f>
        <v>0.160950679624424</v>
      </c>
      <c r="AF43" s="30" t="n">
        <f aca="false">IF($A43&lt;AF$4,"",IF($A43=AF$4,1,AF42*(1-E42)))</f>
        <v>0.15798477598757</v>
      </c>
      <c r="AG43" s="30" t="n">
        <f aca="false">IF($A43&lt;AG$4,"",IF($A43=AG$4,1,AG42*(1-F42)))</f>
        <v>0.15509883362651</v>
      </c>
      <c r="AH43" s="30" t="n">
        <f aca="false">IF($A43&lt;AH$4,"",IF($A43=AH$4,1,AH42*(1-G42)))</f>
        <v>0.152298401161915</v>
      </c>
      <c r="AI43" s="30" t="n">
        <f aca="false">IF($A43&lt;AI$4,"",IF($A43=AI$4,1,AI42*(1-H42)))</f>
        <v>0.149628648830952</v>
      </c>
      <c r="AJ43" s="30" t="n">
        <f aca="false">IF($A43&lt;AJ$4,"",IF($A43=AJ$4,1,AJ42*(1-I42)))</f>
        <v>0.147061646461266</v>
      </c>
      <c r="AK43" s="30" t="n">
        <f aca="false">IF($A43&lt;AK$4,"",IF($A43=AK$4,1,AK42*(1-J42)))</f>
        <v>0.144605858485828</v>
      </c>
      <c r="AL43" s="30" t="n">
        <f aca="false">IF($A43&lt;AL$4,"",IF($A43=AL$4,1,AL42*(1-K42)))</f>
        <v>0.142270967412761</v>
      </c>
      <c r="AM43" s="30" t="n">
        <f aca="false">IF($A43&lt;AM$4,"",IF($A43=AM$4,1,AM42*(1-L42)))</f>
        <v>0.140068067721751</v>
      </c>
      <c r="AN43" s="30" t="n">
        <f aca="false">IF($A43&lt;AN$4,"",IF($A43=AN$4,1,AN42*(1-M42)))</f>
        <v>0.138056952942446</v>
      </c>
      <c r="AO43" s="30" t="n">
        <f aca="false">IF($A43&lt;AO$4,"",IF($A43=AO$4,1,AO42*(1-N42)))</f>
        <v>0.136211020540562</v>
      </c>
      <c r="AP43" s="30" t="n">
        <f aca="false">IF($A43&lt;AP$4,"",IF($A43=AP$4,1,AP42*(1-O42)))</f>
        <v>0.134548624920336</v>
      </c>
      <c r="AQ43" s="30" t="n">
        <f aca="false">IF($A43&lt;AQ$4,"",IF($A43=AQ$4,1,AQ42*(1-P42)))</f>
        <v>0.13309142477113</v>
      </c>
      <c r="AR43" s="30" t="n">
        <f aca="false">IF($A43&lt;AR$4,"",IF($A43=AR$4,1,AR42*(1-Q42)))</f>
        <v>0.131865187886264</v>
      </c>
      <c r="AS43" s="30" t="n">
        <f aca="false">IF($A43&lt;AS$4,"",IF($A43=AS$4,1,AS42*(1-R42)))</f>
        <v>0.13098190530492</v>
      </c>
      <c r="AT43" s="30" t="n">
        <f aca="false">IF($A43&lt;AT$4,"",IF($A43=AT$4,1,AT42*(1-S42)))</f>
        <v>0.130409702361634</v>
      </c>
      <c r="AU43" s="30" t="n">
        <f aca="false">IF($A43&lt;AU$4,"",IF($A43=AU$4,1,AU42*(1-T42)))</f>
        <v>0.130196365867919</v>
      </c>
      <c r="AV43" s="30" t="n">
        <f aca="false">IF($A43&lt;AV$4,"",IF($A43=AV$4,1,AV42*(1-U42)))</f>
        <v>0.130399834591565</v>
      </c>
      <c r="AW43" s="30" t="n">
        <f aca="false">IF($A43&lt;AW$4,"",IF($A43=AW$4,1,AW42*(1-V42)))</f>
        <v>0.13109100490661</v>
      </c>
      <c r="AX43" s="30" t="n">
        <f aca="false">IF($A43&lt;AX$4,"",IF($A43=AX$4,1,AX42*(1-W42)))</f>
        <v>0.1325139325849</v>
      </c>
      <c r="AY43" s="30" t="n">
        <f aca="false">IF($A43&lt;AY$4,"",IF($A43=AY$4,1,AY42*(1-X42)))</f>
        <v>0.134651650773176</v>
      </c>
      <c r="AZ43" s="30" t="n">
        <f aca="false">IF($A43&lt;AZ$4,"",IF($A43=AZ$4,1,AZ42*(1-Y42)))</f>
        <v>0.137650255441087</v>
      </c>
      <c r="BA43" s="30" t="n">
        <f aca="false">IF($A43&lt;BA$4,"",IF($A43=BA$4,1,BA42*(1-Z42)))</f>
        <v>0.141696285264807</v>
      </c>
      <c r="BB43" s="30" t="n">
        <f aca="false">IF($A43&lt;BB$4,"",IF($A43=BB$4,1,BB42*(1-AA42)))</f>
        <v>0.147030573444169</v>
      </c>
    </row>
    <row r="44" customFormat="false" ht="15" hidden="false" customHeight="true" outlineLevel="0" collapsed="false">
      <c r="A44" s="3" t="n">
        <v>99</v>
      </c>
      <c r="B44" s="30" t="n">
        <f aca="false">IF($A44&lt;B$4,"",MIN(1,IF(AND(Assumptions!$B$42=1,OR($A44=104,$A44=105)),INDEX(B$68:B$69,MATCH($A44,$A$68:$A$69,0)),INDEX(CMI_Projection!$L$23:$CC$83,$A44-59,2026+($A44-B$4)-2021))))</f>
        <v>0.191619483042622</v>
      </c>
      <c r="C44" s="30" t="n">
        <f aca="false">IF($A44&lt;C$4,"",MIN(1,IF(AND(Assumptions!$B$42=1,OR($A44=104,$A44=105)),INDEX(C$68:C$69,MATCH($A44,$A$68:$A$69,0)),INDEX(CMI_Projection!$L$23:$CC$83,$A44-59,2026+($A44-C$4)-2021))))</f>
        <v>0.192892574031228</v>
      </c>
      <c r="D44" s="30" t="n">
        <f aca="false">IF($A44&lt;D$4,"",MIN(1,IF(AND(Assumptions!$B$42=1,OR($A44=104,$A44=105)),INDEX(D$68:D$69,MATCH($A44,$A$68:$A$69,0)),INDEX(CMI_Projection!$L$23:$CC$83,$A44-59,2026+($A44-D$4)-2021))))</f>
        <v>0.194174123244643</v>
      </c>
      <c r="E44" s="30" t="n">
        <f aca="false">IF($A44&lt;E$4,"",MIN(1,IF(AND(Assumptions!$B$42=1,OR($A44=104,$A44=105)),INDEX(E$68:E$69,MATCH($A44,$A$68:$A$69,0)),INDEX(CMI_Projection!$L$23:$CC$83,$A44-59,2026+($A44-E$4)-2021))))</f>
        <v>0.195464186878038</v>
      </c>
      <c r="F44" s="30" t="n">
        <f aca="false">IF($A44&lt;F$4,"",MIN(1,IF(AND(Assumptions!$B$42=1,OR($A44=104,$A44=105)),INDEX(F$68:F$69,MATCH($A44,$A$68:$A$69,0)),INDEX(CMI_Projection!$L$23:$CC$83,$A44-59,2026+($A44-F$4)-2021))))</f>
        <v>0.196762821499938</v>
      </c>
      <c r="G44" s="30" t="n">
        <f aca="false">IF($A44&lt;G$4,"",MIN(1,IF(AND(Assumptions!$B$42=1,OR($A44=104,$A44=105)),INDEX(G$68:G$69,MATCH($A44,$A$68:$A$69,0)),INDEX(CMI_Projection!$L$23:$CC$83,$A44-59,2026+($A44-G$4)-2021))))</f>
        <v>0.198070084054699</v>
      </c>
      <c r="H44" s="30" t="n">
        <f aca="false">IF($A44&lt;H$4,"",MIN(1,IF(AND(Assumptions!$B$42=1,OR($A44=104,$A44=105)),INDEX(H$68:H$69,MATCH($A44,$A$68:$A$69,0)),INDEX(CMI_Projection!$L$23:$CC$83,$A44-59,2026+($A44-H$4)-2021))))</f>
        <v>0.199386031865008</v>
      </c>
      <c r="I44" s="30" t="n">
        <f aca="false">IF($A44&lt;I$4,"",MIN(1,IF(AND(Assumptions!$B$42=1,OR($A44=104,$A44=105)),INDEX(I$68:I$69,MATCH($A44,$A$68:$A$69,0)),INDEX(CMI_Projection!$L$23:$CC$83,$A44-59,2026+($A44-I$4)-2021))))</f>
        <v>0.200710722634395</v>
      </c>
      <c r="J44" s="30" t="n">
        <f aca="false">IF($A44&lt;J$4,"",MIN(1,IF(AND(Assumptions!$B$42=1,OR($A44=104,$A44=105)),INDEX(J$68:J$69,MATCH($A44,$A$68:$A$69,0)),INDEX(CMI_Projection!$L$23:$CC$83,$A44-59,2026+($A44-J$4)-2021))))</f>
        <v>0.202044214449763</v>
      </c>
      <c r="K44" s="30" t="n">
        <f aca="false">IF($A44&lt;K$4,"",MIN(1,IF(AND(Assumptions!$B$42=1,OR($A44=104,$A44=105)),INDEX(K$68:K$69,MATCH($A44,$A$68:$A$69,0)),INDEX(CMI_Projection!$L$23:$CC$83,$A44-59,2026+($A44-K$4)-2021))))</f>
        <v>0.203386565783937</v>
      </c>
      <c r="L44" s="30" t="n">
        <f aca="false">IF($A44&lt;L$4,"",MIN(1,IF(AND(Assumptions!$B$42=1,OR($A44=104,$A44=105)),INDEX(L$68:L$69,MATCH($A44,$A$68:$A$69,0)),INDEX(CMI_Projection!$L$23:$CC$83,$A44-59,2026+($A44-L$4)-2021))))</f>
        <v>0.204737835498226</v>
      </c>
      <c r="M44" s="30" t="n">
        <f aca="false">IF($A44&lt;M$4,"",MIN(1,IF(AND(Assumptions!$B$42=1,OR($A44=104,$A44=105)),INDEX(M$68:M$69,MATCH($A44,$A$68:$A$69,0)),INDEX(CMI_Projection!$L$23:$CC$83,$A44-59,2026+($A44-M$4)-2021))))</f>
        <v>0.206098082845003</v>
      </c>
      <c r="N44" s="30" t="n">
        <f aca="false">IF($A44&lt;N$4,"",MIN(1,IF(AND(Assumptions!$B$42=1,OR($A44=104,$A44=105)),INDEX(N$68:N$69,MATCH($A44,$A$68:$A$69,0)),INDEX(CMI_Projection!$L$23:$CC$83,$A44-59,2026+($A44-N$4)-2021))))</f>
        <v>0.207467367470307</v>
      </c>
      <c r="O44" s="30" t="n">
        <f aca="false">IF($A44&lt;O$4,"",MIN(1,IF(AND(Assumptions!$B$42=1,OR($A44=104,$A44=105)),INDEX(O$68:O$69,MATCH($A44,$A$68:$A$69,0)),INDEX(CMI_Projection!$L$23:$CC$83,$A44-59,2026+($A44-O$4)-2021))))</f>
        <v>0.208845749416455</v>
      </c>
      <c r="P44" s="30" t="n">
        <f aca="false">IF($A44&lt;P$4,"",MIN(1,IF(AND(Assumptions!$B$42=1,OR($A44=104,$A44=105)),INDEX(P$68:P$69,MATCH($A44,$A$68:$A$69,0)),INDEX(CMI_Projection!$L$23:$CC$83,$A44-59,2026+($A44-P$4)-2021))))</f>
        <v>0.210233289124678</v>
      </c>
      <c r="Q44" s="30" t="n">
        <f aca="false">IF($A44&lt;Q$4,"",MIN(1,IF(AND(Assumptions!$B$42=1,OR($A44=104,$A44=105)),INDEX(Q$68:Q$69,MATCH($A44,$A$68:$A$69,0)),INDEX(CMI_Projection!$L$23:$CC$83,$A44-59,2026+($A44-Q$4)-2021))))</f>
        <v>0.211630047437767</v>
      </c>
      <c r="R44" s="30" t="n">
        <f aca="false">IF($A44&lt;R$4,"",MIN(1,IF(AND(Assumptions!$B$42=1,OR($A44=104,$A44=105)),INDEX(R$68:R$69,MATCH($A44,$A$68:$A$69,0)),INDEX(CMI_Projection!$L$23:$CC$83,$A44-59,2026+($A44-R$4)-2021))))</f>
        <v>0.213036085602746</v>
      </c>
      <c r="S44" s="30" t="n">
        <f aca="false">IF($A44&lt;S$4,"",MIN(1,IF(AND(Assumptions!$B$42=1,OR($A44=104,$A44=105)),INDEX(S$68:S$69,MATCH($A44,$A$68:$A$69,0)),INDEX(CMI_Projection!$L$23:$CC$83,$A44-59,2026+($A44-S$4)-2021))))</f>
        <v>0.214451465273551</v>
      </c>
      <c r="T44" s="30" t="n">
        <f aca="false">IF($A44&lt;T$4,"",MIN(1,IF(AND(Assumptions!$B$42=1,OR($A44=104,$A44=105)),INDEX(T$68:T$69,MATCH($A44,$A$68:$A$69,0)),INDEX(CMI_Projection!$L$23:$CC$83,$A44-59,2026+($A44-T$4)-2021))))</f>
        <v>0.215876248513742</v>
      </c>
      <c r="U44" s="30" t="n">
        <f aca="false">IF($A44&lt;U$4,"",MIN(1,IF(AND(Assumptions!$B$42=1,OR($A44=104,$A44=105)),INDEX(U$68:U$69,MATCH($A44,$A$68:$A$69,0)),INDEX(CMI_Projection!$L$23:$CC$83,$A44-59,2026+($A44-U$4)-2021))))</f>
        <v>0.217310497799217</v>
      </c>
      <c r="V44" s="30" t="n">
        <f aca="false">IF($A44&lt;V$4,"",MIN(1,IF(AND(Assumptions!$B$42=1,OR($A44=104,$A44=105)),INDEX(V$68:V$69,MATCH($A44,$A$68:$A$69,0)),INDEX(CMI_Projection!$L$23:$CC$83,$A44-59,2026+($A44-V$4)-2021))))</f>
        <v>0.218754276020955</v>
      </c>
      <c r="W44" s="30" t="n">
        <f aca="false">IF($A44&lt;W$4,"",MIN(1,IF(AND(Assumptions!$B$42=1,OR($A44=104,$A44=105)),INDEX(W$68:W$69,MATCH($A44,$A$68:$A$69,0)),INDEX(CMI_Projection!$L$23:$CC$83,$A44-59,2026+($A44-W$4)-2021))))</f>
        <v>0.220207646487774</v>
      </c>
      <c r="X44" s="30" t="n">
        <f aca="false">IF($A44&lt;X$4,"",MIN(1,IF(AND(Assumptions!$B$42=1,OR($A44=104,$A44=105)),INDEX(X$68:X$69,MATCH($A44,$A$68:$A$69,0)),INDEX(CMI_Projection!$L$23:$CC$83,$A44-59,2026+($A44-X$4)-2021))))</f>
        <v>0.221670672929106</v>
      </c>
      <c r="Y44" s="30" t="n">
        <f aca="false">IF($A44&lt;Y$4,"",MIN(1,IF(AND(Assumptions!$B$42=1,OR($A44=104,$A44=105)),INDEX(Y$68:Y$69,MATCH($A44,$A$68:$A$69,0)),INDEX(CMI_Projection!$L$23:$CC$83,$A44-59,2026+($A44-Y$4)-2021))))</f>
        <v>0.223143419497792</v>
      </c>
      <c r="Z44" s="30" t="n">
        <f aca="false">IF($A44&lt;Z$4,"",MIN(1,IF(AND(Assumptions!$B$42=1,OR($A44=104,$A44=105)),INDEX(Z$68:Z$69,MATCH($A44,$A$68:$A$69,0)),INDEX(CMI_Projection!$L$23:$CC$83,$A44-59,2026+($A44-Z$4)-2021))))</f>
        <v>0.224625950772893</v>
      </c>
      <c r="AA44" s="30" t="n">
        <f aca="false">IF($A44&lt;AA$4,"",MIN(1,IF(AND(Assumptions!$B$42=1,OR($A44=104,$A44=105)),INDEX(AA$68:AA$69,MATCH($A44,$A$68:$A$69,0)),INDEX(CMI_Projection!$L$23:$CC$83,$A44-59,2026+($A44-AA$4)-2021))))</f>
        <v>0.226118331762526</v>
      </c>
      <c r="AC44" s="30" t="n">
        <f aca="false">IF($A44&lt;AC$4,"",IF($A44=AC$4,1,AC43*(1-B43)))</f>
        <v>0.13680773168991</v>
      </c>
      <c r="AD44" s="30" t="n">
        <f aca="false">IF($A44&lt;AD$4,"",IF($A44=AD$4,1,AD43*(1-C43)))</f>
        <v>0.134044765760362</v>
      </c>
      <c r="AE44" s="30" t="n">
        <f aca="false">IF($A44&lt;AE$4,"",IF($A44=AE$4,1,AE43*(1-D43)))</f>
        <v>0.13134601247846</v>
      </c>
      <c r="AF44" s="30" t="n">
        <f aca="false">IF($A44&lt;AF$4,"",IF($A44=AF$4,1,AF43*(1-E43)))</f>
        <v>0.128714902998681</v>
      </c>
      <c r="AG44" s="30" t="n">
        <f aca="false">IF($A44&lt;AG$4,"",IF($A44=AG$4,1,AG43*(1-F43)))</f>
        <v>0.126155245960371</v>
      </c>
      <c r="AH44" s="30" t="n">
        <f aca="false">IF($A44&lt;AH$4,"",IF($A44=AH$4,1,AH43*(1-G43)))</f>
        <v>0.123671297784653</v>
      </c>
      <c r="AI44" s="30" t="n">
        <f aca="false">IF($A44&lt;AI$4,"",IF($A44=AI$4,1,AI43*(1-H43)))</f>
        <v>0.121299400726223</v>
      </c>
      <c r="AJ44" s="30" t="n">
        <f aca="false">IF($A44&lt;AJ$4,"",IF($A44=AJ$4,1,AJ43*(1-I43)))</f>
        <v>0.119016484711689</v>
      </c>
      <c r="AK44" s="30" t="n">
        <f aca="false">IF($A44&lt;AK$4,"",IF($A44=AK$4,1,AK43*(1-J43)))</f>
        <v>0.116829030789617</v>
      </c>
      <c r="AL44" s="30" t="n">
        <f aca="false">IF($A44&lt;AL$4,"",IF($A44=AL$4,1,AL43*(1-K43)))</f>
        <v>0.114744449754064</v>
      </c>
      <c r="AM44" s="30" t="n">
        <f aca="false">IF($A44&lt;AM$4,"",IF($A44=AM$4,1,AM43*(1-L43)))</f>
        <v>0.112771228784739</v>
      </c>
      <c r="AN44" s="30" t="n">
        <f aca="false">IF($A44&lt;AN$4,"",IF($A44=AN$4,1,AN43*(1-M43)))</f>
        <v>0.110956925222535</v>
      </c>
      <c r="AO44" s="30" t="n">
        <f aca="false">IF($A44&lt;AO$4,"",IF($A44=AO$4,1,AO43*(1-N43)))</f>
        <v>0.109279434549413</v>
      </c>
      <c r="AP44" s="30" t="n">
        <f aca="false">IF($A44&lt;AP$4,"",IF($A44=AP$4,1,AP43*(1-O43)))</f>
        <v>0.107752797135629</v>
      </c>
      <c r="AQ44" s="30" t="n">
        <f aca="false">IF($A44&lt;AQ$4,"",IF($A44=AQ$4,1,AQ43*(1-P43)))</f>
        <v>0.106393578987326</v>
      </c>
      <c r="AR44" s="30" t="n">
        <f aca="false">IF($A44&lt;AR$4,"",IF($A44=AR$4,1,AR43*(1-Q43)))</f>
        <v>0.105221487872465</v>
      </c>
      <c r="AS44" s="30" t="n">
        <f aca="false">IF($A44&lt;AS$4,"",IF($A44=AS$4,1,AS43*(1-R43)))</f>
        <v>0.104324743239228</v>
      </c>
      <c r="AT44" s="30" t="n">
        <f aca="false">IF($A44&lt;AT$4,"",IF($A44=AT$4,1,AT43*(1-S43)))</f>
        <v>0.103676514886464</v>
      </c>
      <c r="AU44" s="30" t="n">
        <f aca="false">IF($A44&lt;AU$4,"",IF($A44=AU$4,1,AU43*(1-T43)))</f>
        <v>0.103313353372811</v>
      </c>
      <c r="AV44" s="30" t="n">
        <f aca="false">IF($A44&lt;AV$4,"",IF($A44=AV$4,1,AV43*(1-U43)))</f>
        <v>0.103279543675298</v>
      </c>
      <c r="AW44" s="30" t="n">
        <f aca="false">IF($A44&lt;AW$4,"",IF($A44=AW$4,1,AW43*(1-V43)))</f>
        <v>0.103629241102348</v>
      </c>
      <c r="AX44" s="30" t="n">
        <f aca="false">IF($A44&lt;AX$4,"",IF($A44=AX$4,1,AX43*(1-W43)))</f>
        <v>0.10455276457921</v>
      </c>
      <c r="AY44" s="30" t="n">
        <f aca="false">IF($A44&lt;AY$4,"",IF($A44=AY$4,1,AY43*(1-X43)))</f>
        <v>0.106033360794081</v>
      </c>
      <c r="AZ44" s="30" t="n">
        <f aca="false">IF($A44&lt;AZ$4,"",IF($A44=AZ$4,1,AZ43*(1-Y43)))</f>
        <v>0.108182486827166</v>
      </c>
      <c r="BA44" s="30" t="n">
        <f aca="false">IF($A44&lt;BA$4,"",IF($A44=BA$4,1,BA43*(1-Z43)))</f>
        <v>0.11114236606873</v>
      </c>
      <c r="BB44" s="30" t="n">
        <f aca="false">IF($A44&lt;BB$4,"",IF($A44=BB$4,1,BB43*(1-AA43)))</f>
        <v>0.115096498258889</v>
      </c>
    </row>
    <row r="45" customFormat="false" ht="15" hidden="false" customHeight="true" outlineLevel="0" collapsed="false">
      <c r="A45" s="3" t="n">
        <v>100</v>
      </c>
      <c r="B45" s="30" t="n">
        <f aca="false">IF($A45&lt;B$4,"",MIN(1,IF(AND(Assumptions!$B$42=1,OR($A45=104,$A45=105)),INDEX(B$68:B$69,MATCH($A45,$A$68:$A$69,0)),INDEX(CMI_Projection!$L$23:$CC$83,$A45-59,2026+($A45-B$4)-2021))))</f>
        <v>0.202492818004439</v>
      </c>
      <c r="C45" s="30" t="n">
        <f aca="false">IF($A45&lt;C$4,"",MIN(1,IF(AND(Assumptions!$B$42=1,OR($A45=104,$A45=105)),INDEX(C$68:C$69,MATCH($A45,$A$68:$A$69,0)),INDEX(CMI_Projection!$L$23:$CC$83,$A45-59,2026+($A45-C$4)-2021))))</f>
        <v>0.203715108656377</v>
      </c>
      <c r="D45" s="30" t="n">
        <f aca="false">IF($A45&lt;D$4,"",MIN(1,IF(AND(Assumptions!$B$42=1,OR($A45=104,$A45=105)),INDEX(D$68:D$69,MATCH($A45,$A$68:$A$69,0)),INDEX(CMI_Projection!$L$23:$CC$83,$A45-59,2026+($A45-D$4)-2021))))</f>
        <v>0.204944777320299</v>
      </c>
      <c r="E45" s="30" t="n">
        <f aca="false">IF($A45&lt;E$4,"",MIN(1,IF(AND(Assumptions!$B$42=1,OR($A45=104,$A45=105)),INDEX(E$68:E$69,MATCH($A45,$A$68:$A$69,0)),INDEX(CMI_Projection!$L$23:$CC$83,$A45-59,2026+($A45-E$4)-2021))))</f>
        <v>0.206181868531488</v>
      </c>
      <c r="F45" s="30" t="n">
        <f aca="false">IF($A45&lt;F$4,"",MIN(1,IF(AND(Assumptions!$B$42=1,OR($A45=104,$A45=105)),INDEX(F$68:F$69,MATCH($A45,$A$68:$A$69,0)),INDEX(CMI_Projection!$L$23:$CC$83,$A45-59,2026+($A45-F$4)-2021))))</f>
        <v>0.207426427094052</v>
      </c>
      <c r="G45" s="30" t="n">
        <f aca="false">IF($A45&lt;G$4,"",MIN(1,IF(AND(Assumptions!$B$42=1,OR($A45=104,$A45=105)),INDEX(G$68:G$69,MATCH($A45,$A$68:$A$69,0)),INDEX(CMI_Projection!$L$23:$CC$83,$A45-59,2026+($A45-G$4)-2021))))</f>
        <v>0.208678498082548</v>
      </c>
      <c r="H45" s="30" t="n">
        <f aca="false">IF($A45&lt;H$4,"",MIN(1,IF(AND(Assumptions!$B$42=1,OR($A45=104,$A45=105)),INDEX(H$68:H$69,MATCH($A45,$A$68:$A$69,0)),INDEX(CMI_Projection!$L$23:$CC$83,$A45-59,2026+($A45-H$4)-2021))))</f>
        <v>0.209938126843609</v>
      </c>
      <c r="I45" s="30" t="n">
        <f aca="false">IF($A45&lt;I$4,"",MIN(1,IF(AND(Assumptions!$B$42=1,OR($A45=104,$A45=105)),INDEX(I$68:I$69,MATCH($A45,$A$68:$A$69,0)),INDEX(CMI_Projection!$L$23:$CC$83,$A45-59,2026+($A45-I$4)-2021))))</f>
        <v>0.211205358997595</v>
      </c>
      <c r="J45" s="30" t="n">
        <f aca="false">IF($A45&lt;J$4,"",MIN(1,IF(AND(Assumptions!$B$42=1,OR($A45=104,$A45=105)),INDEX(J$68:J$69,MATCH($A45,$A$68:$A$69,0)),INDEX(CMI_Projection!$L$23:$CC$83,$A45-59,2026+($A45-J$4)-2021))))</f>
        <v>0.212480240440236</v>
      </c>
      <c r="K45" s="30" t="n">
        <f aca="false">IF($A45&lt;K$4,"",MIN(1,IF(AND(Assumptions!$B$42=1,OR($A45=104,$A45=105)),INDEX(K$68:K$69,MATCH($A45,$A$68:$A$69,0)),INDEX(CMI_Projection!$L$23:$CC$83,$A45-59,2026+($A45-K$4)-2021))))</f>
        <v>0.213762817344302</v>
      </c>
      <c r="L45" s="30" t="n">
        <f aca="false">IF($A45&lt;L$4,"",MIN(1,IF(AND(Assumptions!$B$42=1,OR($A45=104,$A45=105)),INDEX(L$68:L$69,MATCH($A45,$A$68:$A$69,0)),INDEX(CMI_Projection!$L$23:$CC$83,$A45-59,2026+($A45-L$4)-2021))))</f>
        <v>0.21505313616127</v>
      </c>
      <c r="M45" s="30" t="n">
        <f aca="false">IF($A45&lt;M$4,"",MIN(1,IF(AND(Assumptions!$B$42=1,OR($A45=104,$A45=105)),INDEX(M$68:M$69,MATCH($A45,$A$68:$A$69,0)),INDEX(CMI_Projection!$L$23:$CC$83,$A45-59,2026+($A45-M$4)-2021))))</f>
        <v>0.216351243623008</v>
      </c>
      <c r="N45" s="30" t="n">
        <f aca="false">IF($A45&lt;N$4,"",MIN(1,IF(AND(Assumptions!$B$42=1,OR($A45=104,$A45=105)),INDEX(N$68:N$69,MATCH($A45,$A$68:$A$69,0)),INDEX(CMI_Projection!$L$23:$CC$83,$A45-59,2026+($A45-N$4)-2021))))</f>
        <v>0.217657186743468</v>
      </c>
      <c r="O45" s="30" t="n">
        <f aca="false">IF($A45&lt;O$4,"",MIN(1,IF(AND(Assumptions!$B$42=1,OR($A45=104,$A45=105)),INDEX(O$68:O$69,MATCH($A45,$A$68:$A$69,0)),INDEX(CMI_Projection!$L$23:$CC$83,$A45-59,2026+($A45-O$4)-2021))))</f>
        <v>0.218971012820391</v>
      </c>
      <c r="P45" s="30" t="n">
        <f aca="false">IF($A45&lt;P$4,"",MIN(1,IF(AND(Assumptions!$B$42=1,OR($A45=104,$A45=105)),INDEX(P$68:P$69,MATCH($A45,$A$68:$A$69,0)),INDEX(CMI_Projection!$L$23:$CC$83,$A45-59,2026+($A45-P$4)-2021))))</f>
        <v>0.220292769437013</v>
      </c>
      <c r="Q45" s="30" t="n">
        <f aca="false">IF($A45&lt;Q$4,"",MIN(1,IF(AND(Assumptions!$B$42=1,OR($A45=104,$A45=105)),INDEX(Q$68:Q$69,MATCH($A45,$A$68:$A$69,0)),INDEX(CMI_Projection!$L$23:$CC$83,$A45-59,2026+($A45-Q$4)-2021))))</f>
        <v>0.221622504463796</v>
      </c>
      <c r="R45" s="30" t="n">
        <f aca="false">IF($A45&lt;R$4,"",MIN(1,IF(AND(Assumptions!$B$42=1,OR($A45=104,$A45=105)),INDEX(R$68:R$69,MATCH($A45,$A$68:$A$69,0)),INDEX(CMI_Projection!$L$23:$CC$83,$A45-59,2026+($A45-R$4)-2021))))</f>
        <v>0.222960266060157</v>
      </c>
      <c r="S45" s="30" t="n">
        <f aca="false">IF($A45&lt;S$4,"",MIN(1,IF(AND(Assumptions!$B$42=1,OR($A45=104,$A45=105)),INDEX(S$68:S$69,MATCH($A45,$A$68:$A$69,0)),INDEX(CMI_Projection!$L$23:$CC$83,$A45-59,2026+($A45-S$4)-2021))))</f>
        <v>0.224306102676214</v>
      </c>
      <c r="T45" s="30" t="n">
        <f aca="false">IF($A45&lt;T$4,"",MIN(1,IF(AND(Assumptions!$B$42=1,OR($A45=104,$A45=105)),INDEX(T$68:T$69,MATCH($A45,$A$68:$A$69,0)),INDEX(CMI_Projection!$L$23:$CC$83,$A45-59,2026+($A45-T$4)-2021))))</f>
        <v>0.225660063054541</v>
      </c>
      <c r="U45" s="30" t="n">
        <f aca="false">IF($A45&lt;U$4,"",MIN(1,IF(AND(Assumptions!$B$42=1,OR($A45=104,$A45=105)),INDEX(U$68:U$69,MATCH($A45,$A$68:$A$69,0)),INDEX(CMI_Projection!$L$23:$CC$83,$A45-59,2026+($A45-U$4)-2021))))</f>
        <v>0.227022196231933</v>
      </c>
      <c r="V45" s="30" t="n">
        <f aca="false">IF($A45&lt;V$4,"",MIN(1,IF(AND(Assumptions!$B$42=1,OR($A45=104,$A45=105)),INDEX(V$68:V$69,MATCH($A45,$A$68:$A$69,0)),INDEX(CMI_Projection!$L$23:$CC$83,$A45-59,2026+($A45-V$4)-2021))))</f>
        <v>0.22839255154118</v>
      </c>
      <c r="W45" s="30" t="n">
        <f aca="false">IF($A45&lt;W$4,"",MIN(1,IF(AND(Assumptions!$B$42=1,OR($A45=104,$A45=105)),INDEX(W$68:W$69,MATCH($A45,$A$68:$A$69,0)),INDEX(CMI_Projection!$L$23:$CC$83,$A45-59,2026+($A45-W$4)-2021))))</f>
        <v>0.229771178612857</v>
      </c>
      <c r="X45" s="30" t="n">
        <f aca="false">IF($A45&lt;X$4,"",MIN(1,IF(AND(Assumptions!$B$42=1,OR($A45=104,$A45=105)),INDEX(X$68:X$69,MATCH($A45,$A$68:$A$69,0)),INDEX(CMI_Projection!$L$23:$CC$83,$A45-59,2026+($A45-X$4)-2021))))</f>
        <v>0.23115812737712</v>
      </c>
      <c r="Y45" s="30" t="n">
        <f aca="false">IF($A45&lt;Y$4,"",MIN(1,IF(AND(Assumptions!$B$42=1,OR($A45=104,$A45=105)),INDEX(Y$68:Y$69,MATCH($A45,$A$68:$A$69,0)),INDEX(CMI_Projection!$L$23:$CC$83,$A45-59,2026+($A45-Y$4)-2021))))</f>
        <v>0.232553448065513</v>
      </c>
      <c r="Z45" s="30" t="n">
        <f aca="false">IF($A45&lt;Z$4,"",MIN(1,IF(AND(Assumptions!$B$42=1,OR($A45=104,$A45=105)),INDEX(Z$68:Z$69,MATCH($A45,$A$68:$A$69,0)),INDEX(CMI_Projection!$L$23:$CC$83,$A45-59,2026+($A45-Z$4)-2021))))</f>
        <v>0.233957191212789</v>
      </c>
      <c r="AA45" s="30" t="n">
        <f aca="false">IF($A45&lt;AA$4,"",MIN(1,IF(AND(Assumptions!$B$42=1,OR($A45=104,$A45=105)),INDEX(AA$68:AA$69,MATCH($A45,$A$68:$A$69,0)),INDEX(CMI_Projection!$L$23:$CC$83,$A45-59,2026+($A45-AA$4)-2021))))</f>
        <v>0.235369407658742</v>
      </c>
      <c r="AC45" s="30" t="n">
        <f aca="false">IF($A45&lt;AC$4,"",IF($A45=AC$4,1,AC44*(1-B44)))</f>
        <v>0.110592704867255</v>
      </c>
      <c r="AD45" s="30" t="n">
        <f aca="false">IF($A45&lt;AD$4,"",IF($A45=AD$4,1,AD44*(1-C44)))</f>
        <v>0.108188525857433</v>
      </c>
      <c r="AE45" s="30" t="n">
        <f aca="false">IF($A45&lt;AE$4,"",IF($A45=AE$4,1,AE44*(1-D44)))</f>
        <v>0.105842015663775</v>
      </c>
      <c r="AF45" s="30" t="n">
        <f aca="false">IF($A45&lt;AF$4,"",IF($A45=AF$4,1,AF44*(1-E44)))</f>
        <v>0.103555749144958</v>
      </c>
      <c r="AG45" s="30" t="n">
        <f aca="false">IF($A45&lt;AG$4,"",IF($A45=AG$4,1,AG44*(1-F44)))</f>
        <v>0.10133258381819</v>
      </c>
      <c r="AH45" s="30" t="n">
        <f aca="false">IF($A45&lt;AH$4,"",IF($A45=AH$4,1,AH44*(1-G44)))</f>
        <v>0.0991757134372931</v>
      </c>
      <c r="AI45" s="30" t="n">
        <f aca="false">IF($A45&lt;AI$4,"",IF($A45=AI$4,1,AI44*(1-H44)))</f>
        <v>0.0971139945478176</v>
      </c>
      <c r="AJ45" s="30" t="n">
        <f aca="false">IF($A45&lt;AJ$4,"",IF($A45=AJ$4,1,AJ44*(1-I44)))</f>
        <v>0.0951286000598002</v>
      </c>
      <c r="AK45" s="30" t="n">
        <f aca="false">IF($A45&lt;AK$4,"",IF($A45=AK$4,1,AK44*(1-J44)))</f>
        <v>0.0932244010388014</v>
      </c>
      <c r="AL45" s="30" t="n">
        <f aca="false">IF($A45&lt;AL$4,"",IF($A45=AL$4,1,AL44*(1-K44)))</f>
        <v>0.0914069701758175</v>
      </c>
      <c r="AM45" s="30" t="n">
        <f aca="false">IF($A45&lt;AM$4,"",IF($A45=AM$4,1,AM44*(1-L44)))</f>
        <v>0.089682691496876</v>
      </c>
      <c r="AN45" s="30" t="n">
        <f aca="false">IF($A45&lt;AN$4,"",IF($A45=AN$4,1,AN44*(1-M44)))</f>
        <v>0.0880889156557945</v>
      </c>
      <c r="AO45" s="30" t="n">
        <f aca="false">IF($A45&lt;AO$4,"",IF($A45=AO$4,1,AO44*(1-N44)))</f>
        <v>0.0866075179448029</v>
      </c>
      <c r="AP45" s="30" t="n">
        <f aca="false">IF($A45&lt;AP$4,"",IF($A45=AP$4,1,AP44*(1-O44)))</f>
        <v>0.0852490834661196</v>
      </c>
      <c r="AQ45" s="30" t="n">
        <f aca="false">IF($A45&lt;AQ$4,"",IF($A45=AQ$4,1,AQ44*(1-P44)))</f>
        <v>0.0840261069350745</v>
      </c>
      <c r="AR45" s="30" t="n">
        <f aca="false">IF($A45&lt;AR$4,"",IF($A45=AR$4,1,AR44*(1-Q44)))</f>
        <v>0.082953459402543</v>
      </c>
      <c r="AS45" s="30" t="n">
        <f aca="false">IF($A45&lt;AS$4,"",IF($A45=AS$4,1,AS44*(1-R44)))</f>
        <v>0.0820998083080312</v>
      </c>
      <c r="AT45" s="30" t="n">
        <f aca="false">IF($A45&lt;AT$4,"",IF($A45=AT$4,1,AT44*(1-S44)))</f>
        <v>0.0814429343546065</v>
      </c>
      <c r="AU45" s="30" t="n">
        <f aca="false">IF($A45&lt;AU$4,"",IF($A45=AU$4,1,AU44*(1-T44)))</f>
        <v>0.0810104542253141</v>
      </c>
      <c r="AV45" s="30" t="n">
        <f aca="false">IF($A45&lt;AV$4,"",IF($A45=AV$4,1,AV44*(1-U44)))</f>
        <v>0.0808358146267428</v>
      </c>
      <c r="AW45" s="30" t="n">
        <f aca="false">IF($A45&lt;AW$4,"",IF($A45=AW$4,1,AW44*(1-V44)))</f>
        <v>0.080959901490403</v>
      </c>
      <c r="AX45" s="30" t="n">
        <f aca="false">IF($A45&lt;AX$4,"",IF($A45=AX$4,1,AX44*(1-W44)))</f>
        <v>0.0815294463574322</v>
      </c>
      <c r="AY45" s="30" t="n">
        <f aca="false">IF($A45&lt;AY$4,"",IF($A45=AY$4,1,AY44*(1-X44)))</f>
        <v>0.0825288743539225</v>
      </c>
      <c r="AZ45" s="30" t="n">
        <f aca="false">IF($A45&lt;AZ$4,"",IF($A45=AZ$4,1,AZ44*(1-Y44)))</f>
        <v>0.0840422767867774</v>
      </c>
      <c r="BA45" s="30" t="n">
        <f aca="false">IF($A45&lt;BA$4,"",IF($A45=BA$4,1,BA44*(1-Z44)))</f>
        <v>0.0861769064193926</v>
      </c>
      <c r="BB45" s="30" t="n">
        <f aca="false">IF($A45&lt;BB$4,"",IF($A45=BB$4,1,BB44*(1-AA44)))</f>
        <v>0.0890710700808802</v>
      </c>
    </row>
    <row r="46" customFormat="false" ht="15" hidden="false" customHeight="true" outlineLevel="0" collapsed="false">
      <c r="A46" s="3" t="n">
        <v>101</v>
      </c>
      <c r="B46" s="30" t="n">
        <f aca="false">IF($A46&lt;B$4,"",MIN(1,IF(AND(Assumptions!$B$42=1,OR($A46=104,$A46=105)),INDEX(B$68:B$69,MATCH($A46,$A$68:$A$69,0)),INDEX(CMI_Projection!$L$23:$CC$83,$A46-59,2026+($A46-B$4)-2021))))</f>
        <v>0.214244865950035</v>
      </c>
      <c r="C46" s="30" t="n">
        <f aca="false">IF($A46&lt;C$4,"",MIN(1,IF(AND(Assumptions!$B$42=1,OR($A46=104,$A46=105)),INDEX(C$68:C$69,MATCH($A46,$A$68:$A$69,0)),INDEX(CMI_Projection!$L$23:$CC$83,$A46-59,2026+($A46-C$4)-2021))))</f>
        <v>0.215408069525473</v>
      </c>
      <c r="D46" s="30" t="n">
        <f aca="false">IF($A46&lt;D$4,"",MIN(1,IF(AND(Assumptions!$B$42=1,OR($A46=104,$A46=105)),INDEX(D$68:D$69,MATCH($A46,$A$68:$A$69,0)),INDEX(CMI_Projection!$L$23:$CC$83,$A46-59,2026+($A46-D$4)-2021))))</f>
        <v>0.216577588503391</v>
      </c>
      <c r="E46" s="30" t="n">
        <f aca="false">IF($A46&lt;E$4,"",MIN(1,IF(AND(Assumptions!$B$42=1,OR($A46=104,$A46=105)),INDEX(E$68:E$69,MATCH($A46,$A$68:$A$69,0)),INDEX(CMI_Projection!$L$23:$CC$83,$A46-59,2026+($A46-E$4)-2021))))</f>
        <v>0.217753457172121</v>
      </c>
      <c r="F46" s="30" t="n">
        <f aca="false">IF($A46&lt;F$4,"",MIN(1,IF(AND(Assumptions!$B$42=1,OR($A46=104,$A46=105)),INDEX(F$68:F$69,MATCH($A46,$A$68:$A$69,0)),INDEX(CMI_Projection!$L$23:$CC$83,$A46-59,2026+($A46-F$4)-2021))))</f>
        <v>0.218935710006154</v>
      </c>
      <c r="G46" s="30" t="n">
        <f aca="false">IF($A46&lt;G$4,"",MIN(1,IF(AND(Assumptions!$B$42=1,OR($A46=104,$A46=105)),INDEX(G$68:G$69,MATCH($A46,$A$68:$A$69,0)),INDEX(CMI_Projection!$L$23:$CC$83,$A46-59,2026+($A46-G$4)-2021))))</f>
        <v>0.220124381667156</v>
      </c>
      <c r="H46" s="30" t="n">
        <f aca="false">IF($A46&lt;H$4,"",MIN(1,IF(AND(Assumptions!$B$42=1,OR($A46=104,$A46=105)),INDEX(H$68:H$69,MATCH($A46,$A$68:$A$69,0)),INDEX(CMI_Projection!$L$23:$CC$83,$A46-59,2026+($A46-H$4)-2021))))</f>
        <v>0.221319507004983</v>
      </c>
      <c r="I46" s="30" t="n">
        <f aca="false">IF($A46&lt;I$4,"",MIN(1,IF(AND(Assumptions!$B$42=1,OR($A46=104,$A46=105)),INDEX(I$68:I$69,MATCH($A46,$A$68:$A$69,0)),INDEX(CMI_Projection!$L$23:$CC$83,$A46-59,2026+($A46-I$4)-2021))))</f>
        <v>0.2225211210587</v>
      </c>
      <c r="J46" s="30" t="n">
        <f aca="false">IF($A46&lt;J$4,"",MIN(1,IF(AND(Assumptions!$B$42=1,OR($A46=104,$A46=105)),INDEX(J$68:J$69,MATCH($A46,$A$68:$A$69,0)),INDEX(CMI_Projection!$L$23:$CC$83,$A46-59,2026+($A46-J$4)-2021))))</f>
        <v>0.223729259057611</v>
      </c>
      <c r="K46" s="30" t="n">
        <f aca="false">IF($A46&lt;K$4,"",MIN(1,IF(AND(Assumptions!$B$42=1,OR($A46=104,$A46=105)),INDEX(K$68:K$69,MATCH($A46,$A$68:$A$69,0)),INDEX(CMI_Projection!$L$23:$CC$83,$A46-59,2026+($A46-K$4)-2021))))</f>
        <v>0.224943956422292</v>
      </c>
      <c r="L46" s="30" t="n">
        <f aca="false">IF($A46&lt;L$4,"",MIN(1,IF(AND(Assumptions!$B$42=1,OR($A46=104,$A46=105)),INDEX(L$68:L$69,MATCH($A46,$A$68:$A$69,0)),INDEX(CMI_Projection!$L$23:$CC$83,$A46-59,2026+($A46-L$4)-2021))))</f>
        <v>0.226165248765626</v>
      </c>
      <c r="M46" s="30" t="n">
        <f aca="false">IF($A46&lt;M$4,"",MIN(1,IF(AND(Assumptions!$B$42=1,OR($A46=104,$A46=105)),INDEX(M$68:M$69,MATCH($A46,$A$68:$A$69,0)),INDEX(CMI_Projection!$L$23:$CC$83,$A46-59,2026+($A46-M$4)-2021))))</f>
        <v>0.227393171893853</v>
      </c>
      <c r="N46" s="30" t="n">
        <f aca="false">IF($A46&lt;N$4,"",MIN(1,IF(AND(Assumptions!$B$42=1,OR($A46=104,$A46=105)),INDEX(N$68:N$69,MATCH($A46,$A$68:$A$69,0)),INDEX(CMI_Projection!$L$23:$CC$83,$A46-59,2026+($A46-N$4)-2021))))</f>
        <v>0.228627761807614</v>
      </c>
      <c r="O46" s="30" t="n">
        <f aca="false">IF($A46&lt;O$4,"",MIN(1,IF(AND(Assumptions!$B$42=1,OR($A46=104,$A46=105)),INDEX(O$68:O$69,MATCH($A46,$A$68:$A$69,0)),INDEX(CMI_Projection!$L$23:$CC$83,$A46-59,2026+($A46-O$4)-2021))))</f>
        <v>0.22986905470301</v>
      </c>
      <c r="P46" s="30" t="n">
        <f aca="false">IF($A46&lt;P$4,"",MIN(1,IF(AND(Assumptions!$B$42=1,OR($A46=104,$A46=105)),INDEX(P$68:P$69,MATCH($A46,$A$68:$A$69,0)),INDEX(CMI_Projection!$L$23:$CC$83,$A46-59,2026+($A46-P$4)-2021))))</f>
        <v>0.231117086972663</v>
      </c>
      <c r="Q46" s="30" t="n">
        <f aca="false">IF($A46&lt;Q$4,"",MIN(1,IF(AND(Assumptions!$B$42=1,OR($A46=104,$A46=105)),INDEX(Q$68:Q$69,MATCH($A46,$A$68:$A$69,0)),INDEX(CMI_Projection!$L$23:$CC$83,$A46-59,2026+($A46-Q$4)-2021))))</f>
        <v>0.232371895206779</v>
      </c>
      <c r="R46" s="30" t="n">
        <f aca="false">IF($A46&lt;R$4,"",MIN(1,IF(AND(Assumptions!$B$42=1,OR($A46=104,$A46=105)),INDEX(R$68:R$69,MATCH($A46,$A$68:$A$69,0)),INDEX(CMI_Projection!$L$23:$CC$83,$A46-59,2026+($A46-R$4)-2021))))</f>
        <v>0.233633516194228</v>
      </c>
      <c r="S46" s="30" t="n">
        <f aca="false">IF($A46&lt;S$4,"",MIN(1,IF(AND(Assumptions!$B$42=1,OR($A46=104,$A46=105)),INDEX(S$68:S$69,MATCH($A46,$A$68:$A$69,0)),INDEX(CMI_Projection!$L$23:$CC$83,$A46-59,2026+($A46-S$4)-2021))))</f>
        <v>0.234901986923616</v>
      </c>
      <c r="T46" s="30" t="n">
        <f aca="false">IF($A46&lt;T$4,"",MIN(1,IF(AND(Assumptions!$B$42=1,OR($A46=104,$A46=105)),INDEX(T$68:T$69,MATCH($A46,$A$68:$A$69,0)),INDEX(CMI_Projection!$L$23:$CC$83,$A46-59,2026+($A46-T$4)-2021))))</f>
        <v>0.236177344584371</v>
      </c>
      <c r="U46" s="30" t="n">
        <f aca="false">IF($A46&lt;U$4,"",MIN(1,IF(AND(Assumptions!$B$42=1,OR($A46=104,$A46=105)),INDEX(U$68:U$69,MATCH($A46,$A$68:$A$69,0)),INDEX(CMI_Projection!$L$23:$CC$83,$A46-59,2026+($A46-U$4)-2021))))</f>
        <v>0.237459626567838</v>
      </c>
      <c r="V46" s="30" t="n">
        <f aca="false">IF($A46&lt;V$4,"",MIN(1,IF(AND(Assumptions!$B$42=1,OR($A46=104,$A46=105)),INDEX(V$68:V$69,MATCH($A46,$A$68:$A$69,0)),INDEX(CMI_Projection!$L$23:$CC$83,$A46-59,2026+($A46-V$4)-2021))))</f>
        <v>0.238748870468367</v>
      </c>
      <c r="W46" s="30" t="n">
        <f aca="false">IF($A46&lt;W$4,"",MIN(1,IF(AND(Assumptions!$B$42=1,OR($A46=104,$A46=105)),INDEX(W$68:W$69,MATCH($A46,$A$68:$A$69,0)),INDEX(CMI_Projection!$L$23:$CC$83,$A46-59,2026+($A46-W$4)-2021))))</f>
        <v>0.240045114084423</v>
      </c>
      <c r="X46" s="30" t="n">
        <f aca="false">IF($A46&lt;X$4,"",MIN(1,IF(AND(Assumptions!$B$42=1,OR($A46=104,$A46=105)),INDEX(X$68:X$69,MATCH($A46,$A$68:$A$69,0)),INDEX(CMI_Projection!$L$23:$CC$83,$A46-59,2026+($A46-X$4)-2021))))</f>
        <v>0.241348395419689</v>
      </c>
      <c r="Y46" s="30" t="n">
        <f aca="false">IF($A46&lt;Y$4,"",MIN(1,IF(AND(Assumptions!$B$42=1,OR($A46=104,$A46=105)),INDEX(Y$68:Y$69,MATCH($A46,$A$68:$A$69,0)),INDEX(CMI_Projection!$L$23:$CC$83,$A46-59,2026+($A46-Y$4)-2021))))</f>
        <v>0.242658752684183</v>
      </c>
      <c r="Z46" s="30" t="n">
        <f aca="false">IF($A46&lt;Z$4,"",MIN(1,IF(AND(Assumptions!$B$42=1,OR($A46=104,$A46=105)),INDEX(Z$68:Z$69,MATCH($A46,$A$68:$A$69,0)),INDEX(CMI_Projection!$L$23:$CC$83,$A46-59,2026+($A46-Z$4)-2021))))</f>
        <v>0.243976224295378</v>
      </c>
      <c r="AA46" s="30" t="n">
        <f aca="false">IF($A46&lt;AA$4,"",MIN(1,IF(AND(Assumptions!$B$42=1,OR($A46=104,$A46=105)),INDEX(AA$68:AA$69,MATCH($A46,$A$68:$A$69,0)),INDEX(CMI_Projection!$L$23:$CC$83,$A46-59,2026+($A46-AA$4)-2021))))</f>
        <v>0.245300848879327</v>
      </c>
      <c r="AC46" s="30" t="n">
        <f aca="false">IF($A46&lt;AC$4,"",IF($A46=AC$4,1,AC45*(1-B45)))</f>
        <v>0.0881984764079516</v>
      </c>
      <c r="AD46" s="30" t="n">
        <f aca="false">IF($A46&lt;AD$4,"",IF($A46=AD$4,1,AD45*(1-C45)))</f>
        <v>0.0861488885570124</v>
      </c>
      <c r="AE46" s="30" t="n">
        <f aca="false">IF($A46&lt;AE$4,"",IF($A46=AE$4,1,AE45*(1-D45)))</f>
        <v>0.0841502473324313</v>
      </c>
      <c r="AF46" s="30" t="n">
        <f aca="false">IF($A46&lt;AF$4,"",IF($A46=AF$4,1,AF45*(1-E45)))</f>
        <v>0.0822044312890725</v>
      </c>
      <c r="AG46" s="30" t="n">
        <f aca="false">IF($A46&lt;AG$4,"",IF($A46=AG$4,1,AG45*(1-F45)))</f>
        <v>0.0803135280085741</v>
      </c>
      <c r="AH46" s="30" t="n">
        <f aca="false">IF($A46&lt;AH$4,"",IF($A46=AH$4,1,AH45*(1-G45)))</f>
        <v>0.0784798745109336</v>
      </c>
      <c r="AI46" s="30" t="n">
        <f aca="false">IF($A46&lt;AI$4,"",IF($A46=AI$4,1,AI45*(1-H45)))</f>
        <v>0.0767260644421483</v>
      </c>
      <c r="AJ46" s="30" t="n">
        <f aca="false">IF($A46&lt;AJ$4,"",IF($A46=AJ$4,1,AJ45*(1-I45)))</f>
        <v>0.0750369299332315</v>
      </c>
      <c r="AK46" s="30" t="n">
        <f aca="false">IF($A46&lt;AK$4,"",IF($A46=AK$4,1,AK45*(1-J45)))</f>
        <v>0.0734160578911798</v>
      </c>
      <c r="AL46" s="30" t="n">
        <f aca="false">IF($A46&lt;AL$4,"",IF($A46=AL$4,1,AL45*(1-K45)))</f>
        <v>0.0718675587061282</v>
      </c>
      <c r="AM46" s="30" t="n">
        <f aca="false">IF($A46&lt;AM$4,"",IF($A46=AM$4,1,AM45*(1-L45)))</f>
        <v>0.0703961474310892</v>
      </c>
      <c r="AN46" s="30" t="n">
        <f aca="false">IF($A46&lt;AN$4,"",IF($A46=AN$4,1,AN45*(1-M45)))</f>
        <v>0.0690307692042612</v>
      </c>
      <c r="AO46" s="30" t="n">
        <f aca="false">IF($A46&lt;AO$4,"",IF($A46=AO$4,1,AO45*(1-N45)))</f>
        <v>0.0677567692381027</v>
      </c>
      <c r="AP46" s="30" t="n">
        <f aca="false">IF($A46&lt;AP$4,"",IF($A46=AP$4,1,AP45*(1-O45)))</f>
        <v>0.0665820053175334</v>
      </c>
      <c r="AQ46" s="30" t="n">
        <f aca="false">IF($A46&lt;AQ$4,"",IF($A46=AQ$4,1,AQ45*(1-P45)))</f>
        <v>0.0655157631333363</v>
      </c>
      <c r="AR46" s="30" t="n">
        <f aca="false">IF($A46&lt;AR$4,"",IF($A46=AR$4,1,AR45*(1-Q45)))</f>
        <v>0.0645691059758156</v>
      </c>
      <c r="AS46" s="30" t="n">
        <f aca="false">IF($A46&lt;AS$4,"",IF($A46=AS$4,1,AS45*(1-R45)))</f>
        <v>0.0637948132041847</v>
      </c>
      <c r="AT46" s="30" t="n">
        <f aca="false">IF($A46&lt;AT$4,"",IF($A46=AT$4,1,AT45*(1-S45)))</f>
        <v>0.06317478715901</v>
      </c>
      <c r="AU46" s="30" t="n">
        <f aca="false">IF($A46&lt;AU$4,"",IF($A46=AU$4,1,AU45*(1-T45)))</f>
        <v>0.0627296300167527</v>
      </c>
      <c r="AV46" s="30" t="n">
        <f aca="false">IF($A46&lt;AV$4,"",IF($A46=AV$4,1,AV45*(1-U45)))</f>
        <v>0.0624842904559823</v>
      </c>
      <c r="AW46" s="30" t="n">
        <f aca="false">IF($A46&lt;AW$4,"",IF($A46=AW$4,1,AW45*(1-V45)))</f>
        <v>0.0624692630164873</v>
      </c>
      <c r="AX46" s="30" t="n">
        <f aca="false">IF($A46&lt;AX$4,"",IF($A46=AX$4,1,AX45*(1-W45)))</f>
        <v>0.0627963293762313</v>
      </c>
      <c r="AY46" s="30" t="n">
        <f aca="false">IF($A46&lt;AY$4,"",IF($A46=AY$4,1,AY45*(1-X45)))</f>
        <v>0.0634516543037282</v>
      </c>
      <c r="AZ46" s="30" t="n">
        <f aca="false">IF($A46&lt;AZ$4,"",IF($A46=AZ$4,1,AZ45*(1-Y45)))</f>
        <v>0.0644979555367361</v>
      </c>
      <c r="BA46" s="30" t="n">
        <f aca="false">IF($A46&lt;BA$4,"",IF($A46=BA$4,1,BA45*(1-Z45)))</f>
        <v>0.0660151994461041</v>
      </c>
      <c r="BB46" s="30" t="n">
        <f aca="false">IF($A46&lt;BB$4,"",IF($A46=BB$4,1,BB45*(1-AA45)))</f>
        <v>0.0681064650764132</v>
      </c>
    </row>
    <row r="47" customFormat="false" ht="15" hidden="false" customHeight="true" outlineLevel="0" collapsed="false">
      <c r="A47" s="3" t="n">
        <v>102</v>
      </c>
      <c r="B47" s="30" t="n">
        <f aca="false">IF($A47&lt;B$4,"",MIN(1,IF(AND(Assumptions!$B$42=1,OR($A47=104,$A47=105)),INDEX(B$68:B$69,MATCH($A47,$A$68:$A$69,0)),INDEX(CMI_Projection!$L$23:$CC$83,$A47-59,2026+($A47-B$4)-2021))))</f>
        <v>0.227299523222673</v>
      </c>
      <c r="C47" s="30" t="n">
        <f aca="false">IF($A47&lt;C$4,"",MIN(1,IF(AND(Assumptions!$B$42=1,OR($A47=104,$A47=105)),INDEX(C$68:C$69,MATCH($A47,$A$68:$A$69,0)),INDEX(CMI_Projection!$L$23:$CC$83,$A47-59,2026+($A47-C$4)-2021))))</f>
        <v>0.228395823173907</v>
      </c>
      <c r="D47" s="30" t="n">
        <f aca="false">IF($A47&lt;D$4,"",MIN(1,IF(AND(Assumptions!$B$42=1,OR($A47=104,$A47=105)),INDEX(D$68:D$69,MATCH($A47,$A$68:$A$69,0)),INDEX(CMI_Projection!$L$23:$CC$83,$A47-59,2026+($A47-D$4)-2021))))</f>
        <v>0.229497410745486</v>
      </c>
      <c r="E47" s="30" t="n">
        <f aca="false">IF($A47&lt;E$4,"",MIN(1,IF(AND(Assumptions!$B$42=1,OR($A47=104,$A47=105)),INDEX(E$68:E$69,MATCH($A47,$A$68:$A$69,0)),INDEX(CMI_Projection!$L$23:$CC$83,$A47-59,2026+($A47-E$4)-2021))))</f>
        <v>0.2306043114404</v>
      </c>
      <c r="F47" s="30" t="n">
        <f aca="false">IF($A47&lt;F$4,"",MIN(1,IF(AND(Assumptions!$B$42=1,OR($A47=104,$A47=105)),INDEX(F$68:F$69,MATCH($A47,$A$68:$A$69,0)),INDEX(CMI_Projection!$L$23:$CC$83,$A47-59,2026+($A47-F$4)-2021))))</f>
        <v>0.231716550884646</v>
      </c>
      <c r="G47" s="30" t="n">
        <f aca="false">IF($A47&lt;G$4,"",MIN(1,IF(AND(Assumptions!$B$42=1,OR($A47=104,$A47=105)),INDEX(G$68:G$69,MATCH($A47,$A$68:$A$69,0)),INDEX(CMI_Projection!$L$23:$CC$83,$A47-59,2026+($A47-G$4)-2021))))</f>
        <v>0.232834154827819</v>
      </c>
      <c r="H47" s="30" t="n">
        <f aca="false">IF($A47&lt;H$4,"",MIN(1,IF(AND(Assumptions!$B$42=1,OR($A47=104,$A47=105)),INDEX(H$68:H$69,MATCH($A47,$A$68:$A$69,0)),INDEX(CMI_Projection!$L$23:$CC$83,$A47-59,2026+($A47-H$4)-2021))))</f>
        <v>0.233957149143709</v>
      </c>
      <c r="I47" s="30" t="n">
        <f aca="false">IF($A47&lt;I$4,"",MIN(1,IF(AND(Assumptions!$B$42=1,OR($A47=104,$A47=105)),INDEX(I$68:I$69,MATCH($A47,$A$68:$A$69,0)),INDEX(CMI_Projection!$L$23:$CC$83,$A47-59,2026+($A47-I$4)-2021))))</f>
        <v>0.235085559830898</v>
      </c>
      <c r="J47" s="30" t="n">
        <f aca="false">IF($A47&lt;J$4,"",MIN(1,IF(AND(Assumptions!$B$42=1,OR($A47=104,$A47=105)),INDEX(J$68:J$69,MATCH($A47,$A$68:$A$69,0)),INDEX(CMI_Projection!$L$23:$CC$83,$A47-59,2026+($A47-J$4)-2021))))</f>
        <v>0.236219413013362</v>
      </c>
      <c r="K47" s="30" t="n">
        <f aca="false">IF($A47&lt;K$4,"",MIN(1,IF(AND(Assumptions!$B$42=1,OR($A47=104,$A47=105)),INDEX(K$68:K$69,MATCH($A47,$A$68:$A$69,0)),INDEX(CMI_Projection!$L$23:$CC$83,$A47-59,2026+($A47-K$4)-2021))))</f>
        <v>0.237358734941079</v>
      </c>
      <c r="L47" s="30" t="n">
        <f aca="false">IF($A47&lt;L$4,"",MIN(1,IF(AND(Assumptions!$B$42=1,OR($A47=104,$A47=105)),INDEX(L$68:L$69,MATCH($A47,$A$68:$A$69,0)),INDEX(CMI_Projection!$L$23:$CC$83,$A47-59,2026+($A47-L$4)-2021))))</f>
        <v>0.238503551990634</v>
      </c>
      <c r="M47" s="30" t="n">
        <f aca="false">IF($A47&lt;M$4,"",MIN(1,IF(AND(Assumptions!$B$42=1,OR($A47=104,$A47=105)),INDEX(M$68:M$69,MATCH($A47,$A$68:$A$69,0)),INDEX(CMI_Projection!$L$23:$CC$83,$A47-59,2026+($A47-M$4)-2021))))</f>
        <v>0.23965389066583</v>
      </c>
      <c r="N47" s="30" t="n">
        <f aca="false">IF($A47&lt;N$4,"",MIN(1,IF(AND(Assumptions!$B$42=1,OR($A47=104,$A47=105)),INDEX(N$68:N$69,MATCH($A47,$A$68:$A$69,0)),INDEX(CMI_Projection!$L$23:$CC$83,$A47-59,2026+($A47-N$4)-2021))))</f>
        <v>0.240809777598302</v>
      </c>
      <c r="O47" s="30" t="n">
        <f aca="false">IF($A47&lt;O$4,"",MIN(1,IF(AND(Assumptions!$B$42=1,OR($A47=104,$A47=105)),INDEX(O$68:O$69,MATCH($A47,$A$68:$A$69,0)),INDEX(CMI_Projection!$L$23:$CC$83,$A47-59,2026+($A47-O$4)-2021))))</f>
        <v>0.241971239548133</v>
      </c>
      <c r="P47" s="30" t="n">
        <f aca="false">IF($A47&lt;P$4,"",MIN(1,IF(AND(Assumptions!$B$42=1,OR($A47=104,$A47=105)),INDEX(P$68:P$69,MATCH($A47,$A$68:$A$69,0)),INDEX(CMI_Projection!$L$23:$CC$83,$A47-59,2026+($A47-P$4)-2021))))</f>
        <v>0.243138303404474</v>
      </c>
      <c r="Q47" s="30" t="n">
        <f aca="false">IF($A47&lt;Q$4,"",MIN(1,IF(AND(Assumptions!$B$42=1,OR($A47=104,$A47=105)),INDEX(Q$68:Q$69,MATCH($A47,$A$68:$A$69,0)),INDEX(CMI_Projection!$L$23:$CC$83,$A47-59,2026+($A47-Q$4)-2021))))</f>
        <v>0.244310996186168</v>
      </c>
      <c r="R47" s="30" t="n">
        <f aca="false">IF($A47&lt;R$4,"",MIN(1,IF(AND(Assumptions!$B$42=1,OR($A47=104,$A47=105)),INDEX(R$68:R$69,MATCH($A47,$A$68:$A$69,0)),INDEX(CMI_Projection!$L$23:$CC$83,$A47-59,2026+($A47-R$4)-2021))))</f>
        <v>0.245489345042371</v>
      </c>
      <c r="S47" s="30" t="n">
        <f aca="false">IF($A47&lt;S$4,"",MIN(1,IF(AND(Assumptions!$B$42=1,OR($A47=104,$A47=105)),INDEX(S$68:S$69,MATCH($A47,$A$68:$A$69,0)),INDEX(CMI_Projection!$L$23:$CC$83,$A47-59,2026+($A47-S$4)-2021))))</f>
        <v>0.246673377253187</v>
      </c>
      <c r="T47" s="30" t="n">
        <f aca="false">IF($A47&lt;T$4,"",MIN(1,IF(AND(Assumptions!$B$42=1,OR($A47=104,$A47=105)),INDEX(T$68:T$69,MATCH($A47,$A$68:$A$69,0)),INDEX(CMI_Projection!$L$23:$CC$83,$A47-59,2026+($A47-T$4)-2021))))</f>
        <v>0.247863120230292</v>
      </c>
      <c r="U47" s="30" t="n">
        <f aca="false">IF($A47&lt;U$4,"",MIN(1,IF(AND(Assumptions!$B$42=1,OR($A47=104,$A47=105)),INDEX(U$68:U$69,MATCH($A47,$A$68:$A$69,0)),INDEX(CMI_Projection!$L$23:$CC$83,$A47-59,2026+($A47-U$4)-2021))))</f>
        <v>0.249058601517576</v>
      </c>
      <c r="V47" s="30" t="n">
        <f aca="false">IF($A47&lt;V$4,"",MIN(1,IF(AND(Assumptions!$B$42=1,OR($A47=104,$A47=105)),INDEX(V$68:V$69,MATCH($A47,$A$68:$A$69,0)),INDEX(CMI_Projection!$L$23:$CC$83,$A47-59,2026+($A47-V$4)-2021))))</f>
        <v>0.250259848791777</v>
      </c>
      <c r="W47" s="30" t="n">
        <f aca="false">IF($A47&lt;W$4,"",MIN(1,IF(AND(Assumptions!$B$42=1,OR($A47=104,$A47=105)),INDEX(W$68:W$69,MATCH($A47,$A$68:$A$69,0)),INDEX(CMI_Projection!$L$23:$CC$83,$A47-59,2026+($A47-W$4)-2021))))</f>
        <v>0.25146688986312</v>
      </c>
      <c r="X47" s="30" t="n">
        <f aca="false">IF($A47&lt;X$4,"",MIN(1,IF(AND(Assumptions!$B$42=1,OR($A47=104,$A47=105)),INDEX(X$68:X$69,MATCH($A47,$A$68:$A$69,0)),INDEX(CMI_Projection!$L$23:$CC$83,$A47-59,2026+($A47-X$4)-2021))))</f>
        <v>0.252679752675965</v>
      </c>
      <c r="Y47" s="30" t="n">
        <f aca="false">IF($A47&lt;Y$4,"",MIN(1,IF(AND(Assumptions!$B$42=1,OR($A47=104,$A47=105)),INDEX(Y$68:Y$69,MATCH($A47,$A$68:$A$69,0)),INDEX(CMI_Projection!$L$23:$CC$83,$A47-59,2026+($A47-Y$4)-2021))))</f>
        <v>0.25389846530945</v>
      </c>
      <c r="Z47" s="30" t="n">
        <f aca="false">IF($A47&lt;Z$4,"",MIN(1,IF(AND(Assumptions!$B$42=1,OR($A47=104,$A47=105)),INDEX(Z$68:Z$69,MATCH($A47,$A$68:$A$69,0)),INDEX(CMI_Projection!$L$23:$CC$83,$A47-59,2026+($A47-Z$4)-2021))))</f>
        <v>0.255123055978145</v>
      </c>
      <c r="AA47" s="30" t="n">
        <f aca="false">IF($A47&lt;AA$4,"",MIN(1,IF(AND(Assumptions!$B$42=1,OR($A47=104,$A47=105)),INDEX(AA$68:AA$69,MATCH($A47,$A$68:$A$69,0)),INDEX(CMI_Projection!$L$23:$CC$83,$A47-59,2026+($A47-AA$4)-2021))))</f>
        <v>0.256353553032702</v>
      </c>
      <c r="AC47" s="30" t="n">
        <f aca="false">IF($A47&lt;AC$4,"",IF($A47=AC$4,1,AC46*(1-B46)))</f>
        <v>0.0693024056529327</v>
      </c>
      <c r="AD47" s="30" t="n">
        <f aca="false">IF($A47&lt;AD$4,"",IF($A47=AD$4,1,AD46*(1-C46)))</f>
        <v>0.0675917227811812</v>
      </c>
      <c r="AE47" s="30" t="n">
        <f aca="false">IF($A47&lt;AE$4,"",IF($A47=AE$4,1,AE46*(1-D46)))</f>
        <v>0.0659251896932094</v>
      </c>
      <c r="AF47" s="30" t="n">
        <f aca="false">IF($A47&lt;AF$4,"",IF($A47=AF$4,1,AF46*(1-E46)))</f>
        <v>0.0643041321810089</v>
      </c>
      <c r="AG47" s="30" t="n">
        <f aca="false">IF($A47&lt;AG$4,"",IF($A47=AG$4,1,AG46*(1-F46)))</f>
        <v>0.0627300287309179</v>
      </c>
      <c r="AH47" s="30" t="n">
        <f aca="false">IF($A47&lt;AH$4,"",IF($A47=AH$4,1,AH46*(1-G46)))</f>
        <v>0.0612045406608983</v>
      </c>
      <c r="AI47" s="30" t="n">
        <f aca="false">IF($A47&lt;AI$4,"",IF($A47=AI$4,1,AI46*(1-H46)))</f>
        <v>0.0597450896853795</v>
      </c>
      <c r="AJ47" s="30" t="n">
        <f aca="false">IF($A47&lt;AJ$4,"",IF($A47=AJ$4,1,AJ46*(1-I46)))</f>
        <v>0.0583396281636857</v>
      </c>
      <c r="AK47" s="30" t="n">
        <f aca="false">IF($A47&lt;AK$4,"",IF($A47=AK$4,1,AK46*(1-J46)))</f>
        <v>0.0569907376562555</v>
      </c>
      <c r="AL47" s="30" t="n">
        <f aca="false">IF($A47&lt;AL$4,"",IF($A47=AL$4,1,AL46*(1-K46)))</f>
        <v>0.0557013857123604</v>
      </c>
      <c r="AM47" s="30" t="n">
        <f aca="false">IF($A47&lt;AM$4,"",IF($A47=AM$4,1,AM46*(1-L46)))</f>
        <v>0.0544749852351952</v>
      </c>
      <c r="AN47" s="30" t="n">
        <f aca="false">IF($A47&lt;AN$4,"",IF($A47=AN$4,1,AN46*(1-M46)))</f>
        <v>0.0533336436366317</v>
      </c>
      <c r="AO47" s="30" t="n">
        <f aca="false">IF($A47&lt;AO$4,"",IF($A47=AO$4,1,AO46*(1-N46)))</f>
        <v>0.0522656907398803</v>
      </c>
      <c r="AP47" s="30" t="n">
        <f aca="false">IF($A47&lt;AP$4,"",IF($A47=AP$4,1,AP46*(1-O46)))</f>
        <v>0.0512768626949612</v>
      </c>
      <c r="AQ47" s="30" t="n">
        <f aca="false">IF($A47&lt;AQ$4,"",IF($A47=AQ$4,1,AQ46*(1-P46)))</f>
        <v>0.0503739508071687</v>
      </c>
      <c r="AR47" s="30" t="n">
        <f aca="false">IF($A47&lt;AR$4,"",IF($A47=AR$4,1,AR46*(1-Q46)))</f>
        <v>0.049565060448408</v>
      </c>
      <c r="AS47" s="30" t="n">
        <f aca="false">IF($A47&lt;AS$4,"",IF($A47=AS$4,1,AS46*(1-R46)))</f>
        <v>0.0488902066803371</v>
      </c>
      <c r="AT47" s="30" t="n">
        <f aca="false">IF($A47&lt;AT$4,"",IF($A47=AT$4,1,AT46*(1-S46)))</f>
        <v>0.048334904131882</v>
      </c>
      <c r="AU47" s="30" t="n">
        <f aca="false">IF($A47&lt;AU$4,"",IF($A47=AU$4,1,AU46*(1-T46)))</f>
        <v>0.047914312572636</v>
      </c>
      <c r="AV47" s="30" t="n">
        <f aca="false">IF($A47&lt;AV$4,"",IF($A47=AV$4,1,AV46*(1-U46)))</f>
        <v>0.0476467941779485</v>
      </c>
      <c r="AW47" s="30" t="n">
        <f aca="false">IF($A47&lt;AW$4,"",IF($A47=AW$4,1,AW46*(1-V46)))</f>
        <v>0.0475547970323096</v>
      </c>
      <c r="AX47" s="30" t="n">
        <f aca="false">IF($A47&lt;AX$4,"",IF($A47=AX$4,1,AX46*(1-W46)))</f>
        <v>0.0477223773270309</v>
      </c>
      <c r="AY47" s="30" t="n">
        <f aca="false">IF($A47&lt;AY$4,"",IF($A47=AY$4,1,AY46*(1-X46)))</f>
        <v>0.0481376993507986</v>
      </c>
      <c r="AZ47" s="30" t="n">
        <f aca="false">IF($A47&lt;AZ$4,"",IF($A47=AZ$4,1,AZ46*(1-Y46)))</f>
        <v>0.0488469620955118</v>
      </c>
      <c r="BA47" s="30" t="n">
        <f aca="false">IF($A47&lt;BA$4,"",IF($A47=BA$4,1,BA46*(1-Z46)))</f>
        <v>0.0499090603391372</v>
      </c>
      <c r="BB47" s="30" t="n">
        <f aca="false">IF($A47&lt;BB$4,"",IF($A47=BB$4,1,BB46*(1-AA46)))</f>
        <v>0.0513998913789988</v>
      </c>
    </row>
    <row r="48" customFormat="false" ht="15" hidden="false" customHeight="true" outlineLevel="0" collapsed="false">
      <c r="A48" s="3" t="n">
        <v>103</v>
      </c>
      <c r="B48" s="30" t="n">
        <f aca="false">IF($A48&lt;B$4,"",MIN(1,IF(AND(Assumptions!$B$42=1,OR($A48=104,$A48=105)),INDEX(B$68:B$69,MATCH($A48,$A$68:$A$69,0)),INDEX(CMI_Projection!$L$23:$CC$83,$A48-59,2026+($A48-B$4)-2021))))</f>
        <v>0.242243043699539</v>
      </c>
      <c r="C48" s="30" t="n">
        <f aca="false">IF($A48&lt;C$4,"",MIN(1,IF(AND(Assumptions!$B$42=1,OR($A48=104,$A48=105)),INDEX(C$68:C$69,MATCH($A48,$A$68:$A$69,0)),INDEX(CMI_Projection!$L$23:$CC$83,$A48-59,2026+($A48-C$4)-2021))))</f>
        <v>0.243264755673367</v>
      </c>
      <c r="D48" s="30" t="n">
        <f aca="false">IF($A48&lt;D$4,"",MIN(1,IF(AND(Assumptions!$B$42=1,OR($A48=104,$A48=105)),INDEX(D$68:D$69,MATCH($A48,$A$68:$A$69,0)),INDEX(CMI_Projection!$L$23:$CC$83,$A48-59,2026+($A48-D$4)-2021))))</f>
        <v>0.2442907769365</v>
      </c>
      <c r="E48" s="30" t="n">
        <f aca="false">IF($A48&lt;E$4,"",MIN(1,IF(AND(Assumptions!$B$42=1,OR($A48=104,$A48=105)),INDEX(E$68:E$69,MATCH($A48,$A$68:$A$69,0)),INDEX(CMI_Projection!$L$23:$CC$83,$A48-59,2026+($A48-E$4)-2021))))</f>
        <v>0.24532112566429</v>
      </c>
      <c r="F48" s="30" t="n">
        <f aca="false">IF($A48&lt;F$4,"",MIN(1,IF(AND(Assumptions!$B$42=1,OR($A48=104,$A48=105)),INDEX(F$68:F$69,MATCH($A48,$A$68:$A$69,0)),INDEX(CMI_Projection!$L$23:$CC$83,$A48-59,2026+($A48-F$4)-2021))))</f>
        <v>0.246355820108747</v>
      </c>
      <c r="G48" s="30" t="n">
        <f aca="false">IF($A48&lt;G$4,"",MIN(1,IF(AND(Assumptions!$B$42=1,OR($A48=104,$A48=105)),INDEX(G$68:G$69,MATCH($A48,$A$68:$A$69,0)),INDEX(CMI_Projection!$L$23:$CC$83,$A48-59,2026+($A48-G$4)-2021))))</f>
        <v>0.247394878598862</v>
      </c>
      <c r="H48" s="30" t="n">
        <f aca="false">IF($A48&lt;H$4,"",MIN(1,IF(AND(Assumptions!$B$42=1,OR($A48=104,$A48=105)),INDEX(H$68:H$69,MATCH($A48,$A$68:$A$69,0)),INDEX(CMI_Projection!$L$23:$CC$83,$A48-59,2026+($A48-H$4)-2021))))</f>
        <v>0.248438319540934</v>
      </c>
      <c r="I48" s="30" t="n">
        <f aca="false">IF($A48&lt;I$4,"",MIN(1,IF(AND(Assumptions!$B$42=1,OR($A48=104,$A48=105)),INDEX(I$68:I$69,MATCH($A48,$A$68:$A$69,0)),INDEX(CMI_Projection!$L$23:$CC$83,$A48-59,2026+($A48-I$4)-2021))))</f>
        <v>0.249486161418894</v>
      </c>
      <c r="J48" s="30" t="n">
        <f aca="false">IF($A48&lt;J$4,"",MIN(1,IF(AND(Assumptions!$B$42=1,OR($A48=104,$A48=105)),INDEX(J$68:J$69,MATCH($A48,$A$68:$A$69,0)),INDEX(CMI_Projection!$L$23:$CC$83,$A48-59,2026+($A48-J$4)-2021))))</f>
        <v>0.250538422794631</v>
      </c>
      <c r="K48" s="30" t="n">
        <f aca="false">IF($A48&lt;K$4,"",MIN(1,IF(AND(Assumptions!$B$42=1,OR($A48=104,$A48=105)),INDEX(K$68:K$69,MATCH($A48,$A$68:$A$69,0)),INDEX(CMI_Projection!$L$23:$CC$83,$A48-59,2026+($A48-K$4)-2021))))</f>
        <v>0.251595122308326</v>
      </c>
      <c r="L48" s="30" t="n">
        <f aca="false">IF($A48&lt;L$4,"",MIN(1,IF(AND(Assumptions!$B$42=1,OR($A48=104,$A48=105)),INDEX(L$68:L$69,MATCH($A48,$A$68:$A$69,0)),INDEX(CMI_Projection!$L$23:$CC$83,$A48-59,2026+($A48-L$4)-2021))))</f>
        <v>0.252656278678777</v>
      </c>
      <c r="M48" s="30" t="n">
        <f aca="false">IF($A48&lt;M$4,"",MIN(1,IF(AND(Assumptions!$B$42=1,OR($A48=104,$A48=105)),INDEX(M$68:M$69,MATCH($A48,$A$68:$A$69,0)),INDEX(CMI_Projection!$L$23:$CC$83,$A48-59,2026+($A48-M$4)-2021))))</f>
        <v>0.253721910703733</v>
      </c>
      <c r="N48" s="30" t="n">
        <f aca="false">IF($A48&lt;N$4,"",MIN(1,IF(AND(Assumptions!$B$42=1,OR($A48=104,$A48=105)),INDEX(N$68:N$69,MATCH($A48,$A$68:$A$69,0)),INDEX(CMI_Projection!$L$23:$CC$83,$A48-59,2026+($A48-N$4)-2021))))</f>
        <v>0.254792037260226</v>
      </c>
      <c r="O48" s="30" t="n">
        <f aca="false">IF($A48&lt;O$4,"",MIN(1,IF(AND(Assumptions!$B$42=1,OR($A48=104,$A48=105)),INDEX(O$68:O$69,MATCH($A48,$A$68:$A$69,0)),INDEX(CMI_Projection!$L$23:$CC$83,$A48-59,2026+($A48-O$4)-2021))))</f>
        <v>0.255866677304906</v>
      </c>
      <c r="P48" s="30" t="n">
        <f aca="false">IF($A48&lt;P$4,"",MIN(1,IF(AND(Assumptions!$B$42=1,OR($A48=104,$A48=105)),INDEX(P$68:P$69,MATCH($A48,$A$68:$A$69,0)),INDEX(CMI_Projection!$L$23:$CC$83,$A48-59,2026+($A48-P$4)-2021))))</f>
        <v>0.256945849874379</v>
      </c>
      <c r="Q48" s="30" t="n">
        <f aca="false">IF($A48&lt;Q$4,"",MIN(1,IF(AND(Assumptions!$B$42=1,OR($A48=104,$A48=105)),INDEX(Q$68:Q$69,MATCH($A48,$A$68:$A$69,0)),INDEX(CMI_Projection!$L$23:$CC$83,$A48-59,2026+($A48-Q$4)-2021))))</f>
        <v>0.258029574085538</v>
      </c>
      <c r="R48" s="30" t="n">
        <f aca="false">IF($A48&lt;R$4,"",MIN(1,IF(AND(Assumptions!$B$42=1,OR($A48=104,$A48=105)),INDEX(R$68:R$69,MATCH($A48,$A$68:$A$69,0)),INDEX(CMI_Projection!$L$23:$CC$83,$A48-59,2026+($A48-R$4)-2021))))</f>
        <v>0.259117869135909</v>
      </c>
      <c r="S48" s="30" t="n">
        <f aca="false">IF($A48&lt;S$4,"",MIN(1,IF(AND(Assumptions!$B$42=1,OR($A48=104,$A48=105)),INDEX(S$68:S$69,MATCH($A48,$A$68:$A$69,0)),INDEX(CMI_Projection!$L$23:$CC$83,$A48-59,2026+($A48-S$4)-2021))))</f>
        <v>0.260210754303985</v>
      </c>
      <c r="T48" s="30" t="n">
        <f aca="false">IF($A48&lt;T$4,"",MIN(1,IF(AND(Assumptions!$B$42=1,OR($A48=104,$A48=105)),INDEX(T$68:T$69,MATCH($A48,$A$68:$A$69,0)),INDEX(CMI_Projection!$L$23:$CC$83,$A48-59,2026+($A48-T$4)-2021))))</f>
        <v>0.261308248949574</v>
      </c>
      <c r="U48" s="30" t="n">
        <f aca="false">IF($A48&lt;U$4,"",MIN(1,IF(AND(Assumptions!$B$42=1,OR($A48=104,$A48=105)),INDEX(U$68:U$69,MATCH($A48,$A$68:$A$69,0)),INDEX(CMI_Projection!$L$23:$CC$83,$A48-59,2026+($A48-U$4)-2021))))</f>
        <v>0.262410372514133</v>
      </c>
      <c r="V48" s="30" t="n">
        <f aca="false">IF($A48&lt;V$4,"",MIN(1,IF(AND(Assumptions!$B$42=1,OR($A48=104,$A48=105)),INDEX(V$68:V$69,MATCH($A48,$A$68:$A$69,0)),INDEX(CMI_Projection!$L$23:$CC$83,$A48-59,2026+($A48-V$4)-2021))))</f>
        <v>0.263517144521122</v>
      </c>
      <c r="W48" s="30" t="n">
        <f aca="false">IF($A48&lt;W$4,"",MIN(1,IF(AND(Assumptions!$B$42=1,OR($A48=104,$A48=105)),INDEX(W$68:W$69,MATCH($A48,$A$68:$A$69,0)),INDEX(CMI_Projection!$L$23:$CC$83,$A48-59,2026+($A48-W$4)-2021))))</f>
        <v>0.264628584576342</v>
      </c>
      <c r="X48" s="30" t="n">
        <f aca="false">IF($A48&lt;X$4,"",MIN(1,IF(AND(Assumptions!$B$42=1,OR($A48=104,$A48=105)),INDEX(X$68:X$69,MATCH($A48,$A$68:$A$69,0)),INDEX(CMI_Projection!$L$23:$CC$83,$A48-59,2026+($A48-X$4)-2021))))</f>
        <v>0.265744712368289</v>
      </c>
      <c r="Y48" s="30" t="n">
        <f aca="false">IF($A48&lt;Y$4,"",MIN(1,IF(AND(Assumptions!$B$42=1,OR($A48=104,$A48=105)),INDEX(Y$68:Y$69,MATCH($A48,$A$68:$A$69,0)),INDEX(CMI_Projection!$L$23:$CC$83,$A48-59,2026+($A48-Y$4)-2021))))</f>
        <v>0.266865547668497</v>
      </c>
      <c r="Z48" s="30" t="n">
        <f aca="false">IF($A48&lt;Z$4,"",MIN(1,IF(AND(Assumptions!$B$42=1,OR($A48=104,$A48=105)),INDEX(Z$68:Z$69,MATCH($A48,$A$68:$A$69,0)),INDEX(CMI_Projection!$L$23:$CC$83,$A48-59,2026+($A48-Z$4)-2021))))</f>
        <v>0.267991110331891</v>
      </c>
      <c r="AA48" s="30" t="n">
        <f aca="false">IF($A48&lt;AA$4,"",MIN(1,IF(AND(Assumptions!$B$42=1,OR($A48=104,$A48=105)),INDEX(AA$68:AA$69,MATCH($A48,$A$68:$A$69,0)),INDEX(CMI_Projection!$L$23:$CC$83,$A48-59,2026+($A48-AA$4)-2021))))</f>
        <v>0.269121420297139</v>
      </c>
      <c r="AC48" s="30" t="n">
        <f aca="false">IF($A48&lt;AC$4,"",IF($A48=AC$4,1,AC47*(1-B47)))</f>
        <v>0.0535500018898368</v>
      </c>
      <c r="AD48" s="30" t="n">
        <f aca="false">IF($A48&lt;AD$4,"",IF($A48=AD$4,1,AD47*(1-C47)))</f>
        <v>0.0521540556168308</v>
      </c>
      <c r="AE48" s="30" t="n">
        <f aca="false">IF($A48&lt;AE$4,"",IF($A48=AE$4,1,AE47*(1-D47)))</f>
        <v>0.0507955293557128</v>
      </c>
      <c r="AF48" s="30" t="n">
        <f aca="false">IF($A48&lt;AF$4,"",IF($A48=AF$4,1,AF47*(1-E47)))</f>
        <v>0.0494753220566349</v>
      </c>
      <c r="AG48" s="30" t="n">
        <f aca="false">IF($A48&lt;AG$4,"",IF($A48=AG$4,1,AG47*(1-F47)))</f>
        <v>0.0481944428364948</v>
      </c>
      <c r="AH48" s="30" t="n">
        <f aca="false">IF($A48&lt;AH$4,"",IF($A48=AH$4,1,AH47*(1-G47)))</f>
        <v>0.0469540331644932</v>
      </c>
      <c r="AI48" s="30" t="n">
        <f aca="false">IF($A48&lt;AI$4,"",IF($A48=AI$4,1,AI47*(1-H47)))</f>
        <v>0.0457672988272529</v>
      </c>
      <c r="AJ48" s="30" t="n">
        <f aca="false">IF($A48&lt;AJ$4,"",IF($A48=AJ$4,1,AJ47*(1-I47)))</f>
        <v>0.0446248240164992</v>
      </c>
      <c r="AK48" s="30" t="n">
        <f aca="false">IF($A48&lt;AK$4,"",IF($A48=AK$4,1,AK47*(1-J47)))</f>
        <v>0.0435284190598963</v>
      </c>
      <c r="AL48" s="30" t="n">
        <f aca="false">IF($A48&lt;AL$4,"",IF($A48=AL$4,1,AL47*(1-K47)))</f>
        <v>0.0424801752652094</v>
      </c>
      <c r="AM48" s="30" t="n">
        <f aca="false">IF($A48&lt;AM$4,"",IF($A48=AM$4,1,AM47*(1-L47)))</f>
        <v>0.0414825077619638</v>
      </c>
      <c r="AN48" s="30" t="n">
        <f aca="false">IF($A48&lt;AN$4,"",IF($A48=AN$4,1,AN47*(1-M47)))</f>
        <v>0.040552028435728</v>
      </c>
      <c r="AO48" s="30" t="n">
        <f aca="false">IF($A48&lt;AO$4,"",IF($A48=AO$4,1,AO47*(1-N47)))</f>
        <v>0.0396796013767881</v>
      </c>
      <c r="AP48" s="30" t="n">
        <f aca="false">IF($A48&lt;AP$4,"",IF($A48=AP$4,1,AP47*(1-O47)))</f>
        <v>0.038869336668522</v>
      </c>
      <c r="AQ48" s="30" t="n">
        <f aca="false">IF($A48&lt;AQ$4,"",IF($A48=AQ$4,1,AQ47*(1-P47)))</f>
        <v>0.0381261138721332</v>
      </c>
      <c r="AR48" s="30" t="n">
        <f aca="false">IF($A48&lt;AR$4,"",IF($A48=AR$4,1,AR47*(1-Q47)))</f>
        <v>0.0374557711542298</v>
      </c>
      <c r="AS48" s="30" t="n">
        <f aca="false">IF($A48&lt;AS$4,"",IF($A48=AS$4,1,AS47*(1-R47)))</f>
        <v>0.036888181863395</v>
      </c>
      <c r="AT48" s="30" t="n">
        <f aca="false">IF($A48&lt;AT$4,"",IF($A48=AT$4,1,AT47*(1-S47)))</f>
        <v>0.0364119700904617</v>
      </c>
      <c r="AU48" s="30" t="n">
        <f aca="false">IF($A48&lt;AU$4,"",IF($A48=AU$4,1,AU47*(1-T47)))</f>
        <v>0.0360381215546929</v>
      </c>
      <c r="AV48" s="30" t="n">
        <f aca="false">IF($A48&lt;AV$4,"",IF($A48=AV$4,1,AV47*(1-U47)))</f>
        <v>0.0357799502531928</v>
      </c>
      <c r="AW48" s="30" t="n">
        <f aca="false">IF($A48&lt;AW$4,"",IF($A48=AW$4,1,AW47*(1-V47)))</f>
        <v>0.0356537407176802</v>
      </c>
      <c r="AX48" s="30" t="n">
        <f aca="false">IF($A48&lt;AX$4,"",IF($A48=AX$4,1,AX47*(1-W47)))</f>
        <v>0.0357217795237281</v>
      </c>
      <c r="AY48" s="30" t="n">
        <f aca="false">IF($A48&lt;AY$4,"",IF($A48=AY$4,1,AY47*(1-X47)))</f>
        <v>0.0359742773844489</v>
      </c>
      <c r="AZ48" s="30" t="n">
        <f aca="false">IF($A48&lt;AZ$4,"",IF($A48=AZ$4,1,AZ47*(1-Y47)))</f>
        <v>0.0364447933844325</v>
      </c>
      <c r="BA48" s="30" t="n">
        <f aca="false">IF($A48&lt;BA$4,"",IF($A48=BA$4,1,BA47*(1-Z47)))</f>
        <v>0.0371761083444189</v>
      </c>
      <c r="BB48" s="30" t="n">
        <f aca="false">IF($A48&lt;BB$4,"",IF($A48=BB$4,1,BB47*(1-AA47)))</f>
        <v>0.0382233465984975</v>
      </c>
    </row>
    <row r="49" customFormat="false" ht="15" hidden="false" customHeight="true" outlineLevel="0" collapsed="false">
      <c r="A49" s="3" t="n">
        <v>104</v>
      </c>
      <c r="B49" s="30" t="n">
        <f aca="false">IF($A49&lt;B$4,"",MIN(1,IF(AND(Assumptions!$B$42=1,OR($A49=104,$A49=105)),INDEX(B$68:B$69,MATCH($A49,$A$68:$A$69,0)),INDEX(CMI_Projection!$L$23:$CC$83,$A49-59,2026+($A49-B$4)-2021))))</f>
        <v>0.233603898948143</v>
      </c>
      <c r="C49" s="30" t="n">
        <f aca="false">IF($A49&lt;C$4,"",MIN(1,IF(AND(Assumptions!$B$42=1,OR($A49=104,$A49=105)),INDEX(C$68:C$69,MATCH($A49,$A$68:$A$69,0)),INDEX(CMI_Projection!$L$23:$CC$83,$A49-59,2026+($A49-C$4)-2021))))</f>
        <v>0.234447911429288</v>
      </c>
      <c r="D49" s="30" t="n">
        <f aca="false">IF($A49&lt;D$4,"",MIN(1,IF(AND(Assumptions!$B$42=1,OR($A49=104,$A49=105)),INDEX(D$68:D$69,MATCH($A49,$A$68:$A$69,0)),INDEX(CMI_Projection!$L$23:$CC$83,$A49-59,2026+($A49-D$4)-2021))))</f>
        <v>0.235294973333288</v>
      </c>
      <c r="E49" s="30" t="n">
        <f aca="false">IF($A49&lt;E$4,"",MIN(1,IF(AND(Assumptions!$B$42=1,OR($A49=104,$A49=105)),INDEX(E$68:E$69,MATCH($A49,$A$68:$A$69,0)),INDEX(CMI_Projection!$L$23:$CC$83,$A49-59,2026+($A49-E$4)-2021))))</f>
        <v>0.236145095677728</v>
      </c>
      <c r="F49" s="30" t="n">
        <f aca="false">IF($A49&lt;F$4,"",MIN(1,IF(AND(Assumptions!$B$42=1,OR($A49=104,$A49=105)),INDEX(F$68:F$69,MATCH($A49,$A$68:$A$69,0)),INDEX(CMI_Projection!$L$23:$CC$83,$A49-59,2026+($A49-F$4)-2021))))</f>
        <v>0.23699828952</v>
      </c>
      <c r="G49" s="30" t="n">
        <f aca="false">IF($A49&lt;G$4,"",MIN(1,IF(AND(Assumptions!$B$42=1,OR($A49=104,$A49=105)),INDEX(G$68:G$69,MATCH($A49,$A$68:$A$69,0)),INDEX(CMI_Projection!$L$23:$CC$83,$A49-59,2026+($A49-G$4)-2021))))</f>
        <v>0.237854565957446</v>
      </c>
      <c r="H49" s="30" t="n">
        <f aca="false">IF($A49&lt;H$4,"",MIN(1,IF(AND(Assumptions!$B$42=1,OR($A49=104,$A49=105)),INDEX(H$68:H$69,MATCH($A49,$A$68:$A$69,0)),INDEX(CMI_Projection!$L$23:$CC$83,$A49-59,2026+($A49-H$4)-2021))))</f>
        <v>0.238713936127506</v>
      </c>
      <c r="I49" s="30" t="n">
        <f aca="false">IF($A49&lt;I$4,"",MIN(1,IF(AND(Assumptions!$B$42=1,OR($A49=104,$A49=105)),INDEX(I$68:I$69,MATCH($A49,$A$68:$A$69,0)),INDEX(CMI_Projection!$L$23:$CC$83,$A49-59,2026+($A49-I$4)-2021))))</f>
        <v>0.239576411207854</v>
      </c>
      <c r="J49" s="30" t="n">
        <f aca="false">IF($A49&lt;J$4,"",MIN(1,IF(AND(Assumptions!$B$42=1,OR($A49=104,$A49=105)),INDEX(J$68:J$69,MATCH($A49,$A$68:$A$69,0)),INDEX(CMI_Projection!$L$23:$CC$83,$A49-59,2026+($A49-J$4)-2021))))</f>
        <v>0.240442002416553</v>
      </c>
      <c r="K49" s="30" t="n">
        <f aca="false">IF($A49&lt;K$4,"",MIN(1,IF(AND(Assumptions!$B$42=1,OR($A49=104,$A49=105)),INDEX(K$68:K$69,MATCH($A49,$A$68:$A$69,0)),INDEX(CMI_Projection!$L$23:$CC$83,$A49-59,2026+($A49-K$4)-2021))))</f>
        <v>0.241310721012197</v>
      </c>
      <c r="L49" s="30" t="n">
        <f aca="false">IF($A49&lt;L$4,"",MIN(1,IF(AND(Assumptions!$B$42=1,OR($A49=104,$A49=105)),INDEX(L$68:L$69,MATCH($A49,$A$68:$A$69,0)),INDEX(CMI_Projection!$L$23:$CC$83,$A49-59,2026+($A49-L$4)-2021))))</f>
        <v>0.242182578294056</v>
      </c>
      <c r="M49" s="30" t="n">
        <f aca="false">IF($A49&lt;M$4,"",MIN(1,IF(AND(Assumptions!$B$42=1,OR($A49=104,$A49=105)),INDEX(M$68:M$69,MATCH($A49,$A$68:$A$69,0)),INDEX(CMI_Projection!$L$23:$CC$83,$A49-59,2026+($A49-M$4)-2021))))</f>
        <v>0.243057585602224</v>
      </c>
      <c r="N49" s="30" t="n">
        <f aca="false">IF($A49&lt;N$4,"",MIN(1,IF(AND(Assumptions!$B$42=1,OR($A49=104,$A49=105)),INDEX(N$68:N$69,MATCH($A49,$A$68:$A$69,0)),INDEX(CMI_Projection!$L$23:$CC$83,$A49-59,2026+($A49-N$4)-2021))))</f>
        <v>0.243935754317768</v>
      </c>
      <c r="O49" s="30" t="n">
        <f aca="false">IF($A49&lt;O$4,"",MIN(1,IF(AND(Assumptions!$B$42=1,OR($A49=104,$A49=105)),INDEX(O$68:O$69,MATCH($A49,$A$68:$A$69,0)),INDEX(CMI_Projection!$L$23:$CC$83,$A49-59,2026+($A49-O$4)-2021))))</f>
        <v>0.244817095862874</v>
      </c>
      <c r="P49" s="30" t="n">
        <f aca="false">IF($A49&lt;P$4,"",MIN(1,IF(AND(Assumptions!$B$42=1,OR($A49=104,$A49=105)),INDEX(P$68:P$69,MATCH($A49,$A$68:$A$69,0)),INDEX(CMI_Projection!$L$23:$CC$83,$A49-59,2026+($A49-P$4)-2021))))</f>
        <v>0.245701621700998</v>
      </c>
      <c r="Q49" s="30" t="n">
        <f aca="false">IF($A49&lt;Q$4,"",MIN(1,IF(AND(Assumptions!$B$42=1,OR($A49=104,$A49=105)),INDEX(Q$68:Q$69,MATCH($A49,$A$68:$A$69,0)),INDEX(CMI_Projection!$L$23:$CC$83,$A49-59,2026+($A49-Q$4)-2021))))</f>
        <v>0.246589343337011</v>
      </c>
      <c r="R49" s="30" t="n">
        <f aca="false">IF($A49&lt;R$4,"",MIN(1,IF(AND(Assumptions!$B$42=1,OR($A49=104,$A49=105)),INDEX(R$68:R$69,MATCH($A49,$A$68:$A$69,0)),INDEX(CMI_Projection!$L$23:$CC$83,$A49-59,2026+($A49-R$4)-2021))))</f>
        <v>0.247480272317354</v>
      </c>
      <c r="S49" s="30" t="n">
        <f aca="false">IF($A49&lt;S$4,"",MIN(1,IF(AND(Assumptions!$B$42=1,OR($A49=104,$A49=105)),INDEX(S$68:S$69,MATCH($A49,$A$68:$A$69,0)),INDEX(CMI_Projection!$L$23:$CC$83,$A49-59,2026+($A49-S$4)-2021))))</f>
        <v>0.248374420230182</v>
      </c>
      <c r="T49" s="30" t="n">
        <f aca="false">IF($A49&lt;T$4,"",MIN(1,IF(AND(Assumptions!$B$42=1,OR($A49=104,$A49=105)),INDEX(T$68:T$69,MATCH($A49,$A$68:$A$69,0)),INDEX(CMI_Projection!$L$23:$CC$83,$A49-59,2026+($A49-T$4)-2021))))</f>
        <v>0.249271798705522</v>
      </c>
      <c r="U49" s="30" t="n">
        <f aca="false">IF($A49&lt;U$4,"",MIN(1,IF(AND(Assumptions!$B$42=1,OR($A49=104,$A49=105)),INDEX(U$68:U$69,MATCH($A49,$A$68:$A$69,0)),INDEX(CMI_Projection!$L$23:$CC$83,$A49-59,2026+($A49-U$4)-2021))))</f>
        <v>0.250172419415418</v>
      </c>
      <c r="V49" s="30" t="n">
        <f aca="false">IF($A49&lt;V$4,"",MIN(1,IF(AND(Assumptions!$B$42=1,OR($A49=104,$A49=105)),INDEX(V$68:V$69,MATCH($A49,$A$68:$A$69,0)),INDEX(CMI_Projection!$L$23:$CC$83,$A49-59,2026+($A49-V$4)-2021))))</f>
        <v>0.251076294074084</v>
      </c>
      <c r="W49" s="30" t="n">
        <f aca="false">IF($A49&lt;W$4,"",MIN(1,IF(AND(Assumptions!$B$42=1,OR($A49=104,$A49=105)),INDEX(W$68:W$69,MATCH($A49,$A$68:$A$69,0)),INDEX(CMI_Projection!$L$23:$CC$83,$A49-59,2026+($A49-W$4)-2021))))</f>
        <v>0.251983434438061</v>
      </c>
      <c r="X49" s="30" t="n">
        <f aca="false">IF($A49&lt;X$4,"",MIN(1,IF(AND(Assumptions!$B$42=1,OR($A49=104,$A49=105)),INDEX(X$68:X$69,MATCH($A49,$A$68:$A$69,0)),INDEX(CMI_Projection!$L$23:$CC$83,$A49-59,2026+($A49-X$4)-2021))))</f>
        <v>0.252893852306364</v>
      </c>
      <c r="Y49" s="30" t="n">
        <f aca="false">IF($A49&lt;Y$4,"",MIN(1,IF(AND(Assumptions!$B$42=1,OR($A49=104,$A49=105)),INDEX(Y$68:Y$69,MATCH($A49,$A$68:$A$69,0)),INDEX(CMI_Projection!$L$23:$CC$83,$A49-59,2026+($A49-Y$4)-2021))))</f>
        <v>0.253807559520639</v>
      </c>
      <c r="Z49" s="30" t="n">
        <f aca="false">IF($A49&lt;Z$4,"",MIN(1,IF(AND(Assumptions!$B$42=1,OR($A49=104,$A49=105)),INDEX(Z$68:Z$69,MATCH($A49,$A$68:$A$69,0)),INDEX(CMI_Projection!$L$23:$CC$83,$A49-59,2026+($A49-Z$4)-2021))))</f>
        <v>0.254724567965314</v>
      </c>
      <c r="AA49" s="30" t="n">
        <f aca="false">IF($A49&lt;AA$4,"",MIN(1,IF(AND(Assumptions!$B$42=1,OR($A49=104,$A49=105)),INDEX(AA$68:AA$69,MATCH($A49,$A$68:$A$69,0)),INDEX(CMI_Projection!$L$23:$CC$83,$A49-59,2026+($A49-AA$4)-2021))))</f>
        <v>0.255644889567758</v>
      </c>
      <c r="AC49" s="30" t="n">
        <f aca="false">IF($A49&lt;AC$4,"",IF($A49=AC$4,1,AC48*(1-B48)))</f>
        <v>0.0405778864419267</v>
      </c>
      <c r="AD49" s="30" t="n">
        <f aca="false">IF($A49&lt;AD$4,"",IF($A49=AD$4,1,AD48*(1-C48)))</f>
        <v>0.0394668120198273</v>
      </c>
      <c r="AE49" s="30" t="n">
        <f aca="false">IF($A49&lt;AE$4,"",IF($A49=AE$4,1,AE48*(1-D48)))</f>
        <v>0.0383866500245049</v>
      </c>
      <c r="AF49" s="30" t="n">
        <f aca="false">IF($A49&lt;AF$4,"",IF($A49=AF$4,1,AF48*(1-E48)))</f>
        <v>0.0373379803570979</v>
      </c>
      <c r="AG49" s="30" t="n">
        <f aca="false">IF($A49&lt;AG$4,"",IF($A49=AG$4,1,AG48*(1-F48)))</f>
        <v>0.036321461346826</v>
      </c>
      <c r="AH49" s="30" t="n">
        <f aca="false">IF($A49&lt;AH$4,"",IF($A49=AH$4,1,AH48*(1-G48)))</f>
        <v>0.0353378458300364</v>
      </c>
      <c r="AI49" s="30" t="n">
        <f aca="false">IF($A49&lt;AI$4,"",IF($A49=AI$4,1,AI48*(1-H48)))</f>
        <v>0.0343969480166824</v>
      </c>
      <c r="AJ49" s="30" t="n">
        <f aca="false">IF($A49&lt;AJ$4,"",IF($A49=AJ$4,1,AJ48*(1-I48)))</f>
        <v>0.0334915479686292</v>
      </c>
      <c r="AK49" s="30" t="n">
        <f aca="false">IF($A49&lt;AK$4,"",IF($A49=AK$4,1,AK48*(1-J48)))</f>
        <v>0.0326228776018861</v>
      </c>
      <c r="AL49" s="30" t="n">
        <f aca="false">IF($A49&lt;AL$4,"",IF($A49=AL$4,1,AL48*(1-K48)))</f>
        <v>0.0317923703736799</v>
      </c>
      <c r="AM49" s="30" t="n">
        <f aca="false">IF($A49&lt;AM$4,"",IF($A49=AM$4,1,AM48*(1-L48)))</f>
        <v>0.0310016917205626</v>
      </c>
      <c r="AN49" s="30" t="n">
        <f aca="false">IF($A49&lt;AN$4,"",IF($A49=AN$4,1,AN48*(1-M48)))</f>
        <v>0.030263090298103</v>
      </c>
      <c r="AO49" s="30" t="n">
        <f aca="false">IF($A49&lt;AO$4,"",IF($A49=AO$4,1,AO48*(1-N48)))</f>
        <v>0.0295695549043226</v>
      </c>
      <c r="AP49" s="30" t="n">
        <f aca="false">IF($A49&lt;AP$4,"",IF($A49=AP$4,1,AP48*(1-O48)))</f>
        <v>0.0289239686461015</v>
      </c>
      <c r="AQ49" s="30" t="n">
        <f aca="false">IF($A49&lt;AQ$4,"",IF($A49=AQ$4,1,AQ48*(1-P48)))</f>
        <v>0.0283297671408506</v>
      </c>
      <c r="AR49" s="30" t="n">
        <f aca="false">IF($A49&lt;AR$4,"",IF($A49=AR$4,1,AR48*(1-Q48)))</f>
        <v>0.0277910744762585</v>
      </c>
      <c r="AS49" s="30" t="n">
        <f aca="false">IF($A49&lt;AS$4,"",IF($A49=AS$4,1,AS48*(1-R48)))</f>
        <v>0.0273297947826542</v>
      </c>
      <c r="AT49" s="30" t="n">
        <f aca="false">IF($A49&lt;AT$4,"",IF($A49=AT$4,1,AT48*(1-S48)))</f>
        <v>0.0269371838875285</v>
      </c>
      <c r="AU49" s="30" t="n">
        <f aca="false">IF($A49&lt;AU$4,"",IF($A49=AU$4,1,AU48*(1-T48)))</f>
        <v>0.0266210631158042</v>
      </c>
      <c r="AV49" s="30" t="n">
        <f aca="false">IF($A49&lt;AV$4,"",IF($A49=AV$4,1,AV48*(1-U48)))</f>
        <v>0.0263909201787153</v>
      </c>
      <c r="AW49" s="30" t="n">
        <f aca="false">IF($A49&lt;AW$4,"",IF($A49=AW$4,1,AW48*(1-V48)))</f>
        <v>0.0262583687722607</v>
      </c>
      <c r="AX49" s="30" t="n">
        <f aca="false">IF($A49&lt;AX$4,"",IF($A49=AX$4,1,AX48*(1-W48)))</f>
        <v>0.0262687755698158</v>
      </c>
      <c r="AY49" s="30" t="n">
        <f aca="false">IF($A49&lt;AY$4,"",IF($A49=AY$4,1,AY48*(1-X48)))</f>
        <v>0.0264143033882615</v>
      </c>
      <c r="AZ49" s="30" t="n">
        <f aca="false">IF($A49&lt;AZ$4,"",IF($A49=AZ$4,1,AZ48*(1-Y48)))</f>
        <v>0.0267189336382307</v>
      </c>
      <c r="BA49" s="30" t="n">
        <f aca="false">IF($A49&lt;BA$4,"",IF($A49=BA$4,1,BA48*(1-Z48)))</f>
        <v>0.0272132417913794</v>
      </c>
      <c r="BB49" s="30" t="n">
        <f aca="false">IF($A49&lt;BB$4,"",IF($A49=BB$4,1,BB48*(1-AA48)))</f>
        <v>0.0279366252734001</v>
      </c>
    </row>
    <row r="50" customFormat="false" ht="15" hidden="false" customHeight="true" outlineLevel="0" collapsed="false">
      <c r="A50" s="3" t="n">
        <v>105</v>
      </c>
      <c r="B50" s="30" t="n">
        <f aca="false">IF($A50&lt;B$4,"",MIN(1,IF(AND(Assumptions!$B$42=1,OR($A50=104,$A50=105)),INDEX(B$68:B$69,MATCH($A50,$A$68:$A$69,0)),INDEX(CMI_Projection!$L$23:$CC$83,$A50-59,2026+($A50-B$4)-2021))))</f>
        <v>0.120202690085771</v>
      </c>
      <c r="C50" s="30" t="n">
        <f aca="false">IF($A50&lt;C$4,"",MIN(1,IF(AND(Assumptions!$B$42=1,OR($A50=104,$A50=105)),INDEX(C$68:C$69,MATCH($A50,$A$68:$A$69,0)),INDEX(CMI_Projection!$L$23:$CC$83,$A50-59,2026+($A50-C$4)-2021))))</f>
        <v>0.120564383235477</v>
      </c>
      <c r="D50" s="30" t="n">
        <f aca="false">IF($A50&lt;D$4,"",MIN(1,IF(AND(Assumptions!$B$42=1,OR($A50=104,$A50=105)),INDEX(D$68:D$69,MATCH($A50,$A$68:$A$69,0)),INDEX(CMI_Projection!$L$23:$CC$83,$A50-59,2026+($A50-D$4)-2021))))</f>
        <v>0.120927164729666</v>
      </c>
      <c r="E50" s="30" t="n">
        <f aca="false">IF($A50&lt;E$4,"",MIN(1,IF(AND(Assumptions!$B$42=1,OR($A50=104,$A50=105)),INDEX(E$68:E$69,MATCH($A50,$A$68:$A$69,0)),INDEX(CMI_Projection!$L$23:$CC$83,$A50-59,2026+($A50-E$4)-2021))))</f>
        <v>0.121291037843196</v>
      </c>
      <c r="F50" s="30" t="n">
        <f aca="false">IF($A50&lt;F$4,"",MIN(1,IF(AND(Assumptions!$B$42=1,OR($A50=104,$A50=105)),INDEX(F$68:F$69,MATCH($A50,$A$68:$A$69,0)),INDEX(CMI_Projection!$L$23:$CC$83,$A50-59,2026+($A50-F$4)-2021))))</f>
        <v>0.121656005860778</v>
      </c>
      <c r="G50" s="30" t="n">
        <f aca="false">IF($A50&lt;G$4,"",MIN(1,IF(AND(Assumptions!$B$42=1,OR($A50=104,$A50=105)),INDEX(G$68:G$69,MATCH($A50,$A$68:$A$69,0)),INDEX(CMI_Projection!$L$23:$CC$83,$A50-59,2026+($A50-G$4)-2021))))</f>
        <v>0.122022072077009</v>
      </c>
      <c r="H50" s="30" t="n">
        <f aca="false">IF($A50&lt;H$4,"",MIN(1,IF(AND(Assumptions!$B$42=1,OR($A50=104,$A50=105)),INDEX(H$68:H$69,MATCH($A50,$A$68:$A$69,0)),INDEX(CMI_Projection!$L$23:$CC$83,$A50-59,2026+($A50-H$4)-2021))))</f>
        <v>0.122389239796398</v>
      </c>
      <c r="I50" s="30" t="n">
        <f aca="false">IF($A50&lt;I$4,"",MIN(1,IF(AND(Assumptions!$B$42=1,OR($A50=104,$A50=105)),INDEX(I$68:I$69,MATCH($A50,$A$68:$A$69,0)),INDEX(CMI_Projection!$L$23:$CC$83,$A50-59,2026+($A50-I$4)-2021))))</f>
        <v>0.122757512333398</v>
      </c>
      <c r="J50" s="30" t="n">
        <f aca="false">IF($A50&lt;J$4,"",MIN(1,IF(AND(Assumptions!$B$42=1,OR($A50=104,$A50=105)),INDEX(J$68:J$69,MATCH($A50,$A$68:$A$69,0)),INDEX(CMI_Projection!$L$23:$CC$83,$A50-59,2026+($A50-J$4)-2021))))</f>
        <v>0.123126893012436</v>
      </c>
      <c r="K50" s="30" t="n">
        <f aca="false">IF($A50&lt;K$4,"",MIN(1,IF(AND(Assumptions!$B$42=1,OR($A50=104,$A50=105)),INDEX(K$68:K$69,MATCH($A50,$A$68:$A$69,0)),INDEX(CMI_Projection!$L$23:$CC$83,$A50-59,2026+($A50-K$4)-2021))))</f>
        <v>0.12349738516794</v>
      </c>
      <c r="L50" s="30" t="n">
        <f aca="false">IF($A50&lt;L$4,"",MIN(1,IF(AND(Assumptions!$B$42=1,OR($A50=104,$A50=105)),INDEX(L$68:L$69,MATCH($A50,$A$68:$A$69,0)),INDEX(CMI_Projection!$L$23:$CC$83,$A50-59,2026+($A50-L$4)-2021))))</f>
        <v>0.123868992144373</v>
      </c>
      <c r="M50" s="30" t="n">
        <f aca="false">IF($A50&lt;M$4,"",MIN(1,IF(AND(Assumptions!$B$42=1,OR($A50=104,$A50=105)),INDEX(M$68:M$69,MATCH($A50,$A$68:$A$69,0)),INDEX(CMI_Projection!$L$23:$CC$83,$A50-59,2026+($A50-M$4)-2021))))</f>
        <v>0.124241717296261</v>
      </c>
      <c r="N50" s="30" t="n">
        <f aca="false">IF($A50&lt;N$4,"",MIN(1,IF(AND(Assumptions!$B$42=1,OR($A50=104,$A50=105)),INDEX(N$68:N$69,MATCH($A50,$A$68:$A$69,0)),INDEX(CMI_Projection!$L$23:$CC$83,$A50-59,2026+($A50-N$4)-2021))))</f>
        <v>0.124615563988226</v>
      </c>
      <c r="O50" s="30" t="n">
        <f aca="false">IF($A50&lt;O$4,"",MIN(1,IF(AND(Assumptions!$B$42=1,OR($A50=104,$A50=105)),INDEX(O$68:O$69,MATCH($A50,$A$68:$A$69,0)),INDEX(CMI_Projection!$L$23:$CC$83,$A50-59,2026+($A50-O$4)-2021))))</f>
        <v>0.124990535595011</v>
      </c>
      <c r="P50" s="30" t="n">
        <f aca="false">IF($A50&lt;P$4,"",MIN(1,IF(AND(Assumptions!$B$42=1,OR($A50=104,$A50=105)),INDEX(P$68:P$69,MATCH($A50,$A$68:$A$69,0)),INDEX(CMI_Projection!$L$23:$CC$83,$A50-59,2026+($A50-P$4)-2021))))</f>
        <v>0.125366635501516</v>
      </c>
      <c r="Q50" s="30" t="n">
        <f aca="false">IF($A50&lt;Q$4,"",MIN(1,IF(AND(Assumptions!$B$42=1,OR($A50=104,$A50=105)),INDEX(Q$68:Q$69,MATCH($A50,$A$68:$A$69,0)),INDEX(CMI_Projection!$L$23:$CC$83,$A50-59,2026+($A50-Q$4)-2021))))</f>
        <v>0.125743867102824</v>
      </c>
      <c r="R50" s="30" t="n">
        <f aca="false">IF($A50&lt;R$4,"",MIN(1,IF(AND(Assumptions!$B$42=1,OR($A50=104,$A50=105)),INDEX(R$68:R$69,MATCH($A50,$A$68:$A$69,0)),INDEX(CMI_Projection!$L$23:$CC$83,$A50-59,2026+($A50-R$4)-2021))))</f>
        <v>0.126122233804237</v>
      </c>
      <c r="S50" s="30" t="n">
        <f aca="false">IF($A50&lt;S$4,"",MIN(1,IF(AND(Assumptions!$B$42=1,OR($A50=104,$A50=105)),INDEX(S$68:S$69,MATCH($A50,$A$68:$A$69,0)),INDEX(CMI_Projection!$L$23:$CC$83,$A50-59,2026+($A50-S$4)-2021))))</f>
        <v>0.126501739021301</v>
      </c>
      <c r="T50" s="30" t="n">
        <f aca="false">IF($A50&lt;T$4,"",MIN(1,IF(AND(Assumptions!$B$42=1,OR($A50=104,$A50=105)),INDEX(T$68:T$69,MATCH($A50,$A$68:$A$69,0)),INDEX(CMI_Projection!$L$23:$CC$83,$A50-59,2026+($A50-T$4)-2021))))</f>
        <v>0.12688238617984</v>
      </c>
      <c r="U50" s="30" t="n">
        <f aca="false">IF($A50&lt;U$4,"",MIN(1,IF(AND(Assumptions!$B$42=1,OR($A50=104,$A50=105)),INDEX(U$68:U$69,MATCH($A50,$A$68:$A$69,0)),INDEX(CMI_Projection!$L$23:$CC$83,$A50-59,2026+($A50-U$4)-2021))))</f>
        <v>0.127264178715988</v>
      </c>
      <c r="V50" s="30" t="n">
        <f aca="false">IF($A50&lt;V$4,"",MIN(1,IF(AND(Assumptions!$B$42=1,OR($A50=104,$A50=105)),INDEX(V$68:V$69,MATCH($A50,$A$68:$A$69,0)),INDEX(CMI_Projection!$L$23:$CC$83,$A50-59,2026+($A50-V$4)-2021))))</f>
        <v>0.127647120076217</v>
      </c>
      <c r="W50" s="30" t="n">
        <f aca="false">IF($A50&lt;W$4,"",MIN(1,IF(AND(Assumptions!$B$42=1,OR($A50=104,$A50=105)),INDEX(W$68:W$69,MATCH($A50,$A$68:$A$69,0)),INDEX(CMI_Projection!$L$23:$CC$83,$A50-59,2026+($A50-W$4)-2021))))</f>
        <v>0.128031213717369</v>
      </c>
      <c r="X50" s="30" t="n">
        <f aca="false">IF($A50&lt;X$4,"",MIN(1,IF(AND(Assumptions!$B$42=1,OR($A50=104,$A50=105)),INDEX(X$68:X$69,MATCH($A50,$A$68:$A$69,0)),INDEX(CMI_Projection!$L$23:$CC$83,$A50-59,2026+($A50-X$4)-2021))))</f>
        <v>0.128416463106689</v>
      </c>
      <c r="Y50" s="30" t="n">
        <f aca="false">IF($A50&lt;Y$4,"",MIN(1,IF(AND(Assumptions!$B$42=1,OR($A50=104,$A50=105)),INDEX(Y$68:Y$69,MATCH($A50,$A$68:$A$69,0)),INDEX(CMI_Projection!$L$23:$CC$83,$A50-59,2026+($A50-Y$4)-2021))))</f>
        <v>0.128802871721855</v>
      </c>
      <c r="Z50" s="30" t="n">
        <f aca="false">IF($A50&lt;Z$4,"",MIN(1,IF(AND(Assumptions!$B$42=1,OR($A50=104,$A50=105)),INDEX(Z$68:Z$69,MATCH($A50,$A$68:$A$69,0)),INDEX(CMI_Projection!$L$23:$CC$83,$A50-59,2026+($A50-Z$4)-2021))))</f>
        <v>0.129190443051008</v>
      </c>
      <c r="AA50" s="30" t="n">
        <f aca="false">IF($A50&lt;AA$4,"",MIN(1,IF(AND(Assumptions!$B$42=1,OR($A50=104,$A50=105)),INDEX(AA$68:AA$69,MATCH($A50,$A$68:$A$69,0)),INDEX(CMI_Projection!$L$23:$CC$83,$A50-59,2026+($A50-AA$4)-2021))))</f>
        <v>0.129579180592786</v>
      </c>
      <c r="AC50" s="30" t="n">
        <f aca="false">IF($A50&lt;AC$4,"",IF($A50=AC$4,1,AC49*(1-B49)))</f>
        <v>0.0310987339580176</v>
      </c>
      <c r="AD50" s="30" t="n">
        <f aca="false">IF($A50&lt;AD$4,"",IF($A50=AD$4,1,AD49*(1-C49)))</f>
        <v>0.0302139003710064</v>
      </c>
      <c r="AE50" s="30" t="n">
        <f aca="false">IF($A50&lt;AE$4,"",IF($A50=AE$4,1,AE49*(1-D49)))</f>
        <v>0.0293544642306348</v>
      </c>
      <c r="AF50" s="30" t="n">
        <f aca="false">IF($A50&lt;AF$4,"",IF($A50=AF$4,1,AF49*(1-E49)))</f>
        <v>0.0285207994132579</v>
      </c>
      <c r="AG50" s="30" t="n">
        <f aca="false">IF($A50&lt;AG$4,"",IF($A50=AG$4,1,AG49*(1-F49)))</f>
        <v>0.0277133371347615</v>
      </c>
      <c r="AH50" s="30" t="n">
        <f aca="false">IF($A50&lt;AH$4,"",IF($A50=AH$4,1,AH49*(1-G49)))</f>
        <v>0.0269325778482619</v>
      </c>
      <c r="AI50" s="30" t="n">
        <f aca="false">IF($A50&lt;AI$4,"",IF($A50=AI$4,1,AI49*(1-H49)))</f>
        <v>0.0261859171648469</v>
      </c>
      <c r="AJ50" s="30" t="n">
        <f aca="false">IF($A50&lt;AJ$4,"",IF($A50=AJ$4,1,AJ49*(1-I49)))</f>
        <v>0.0254677631005093</v>
      </c>
      <c r="AK50" s="30" t="n">
        <f aca="false">IF($A50&lt;AK$4,"",IF($A50=AK$4,1,AK49*(1-J49)))</f>
        <v>0.0247789675866985</v>
      </c>
      <c r="AL50" s="30" t="n">
        <f aca="false">IF($A50&lt;AL$4,"",IF($A50=AL$4,1,AL49*(1-K49)))</f>
        <v>0.0241205305561204</v>
      </c>
      <c r="AM50" s="30" t="n">
        <f aca="false">IF($A50&lt;AM$4,"",IF($A50=AM$4,1,AM49*(1-L49)))</f>
        <v>0.0234936220881992</v>
      </c>
      <c r="AN50" s="30" t="n">
        <f aca="false">IF($A50&lt;AN$4,"",IF($A50=AN$4,1,AN49*(1-M49)))</f>
        <v>0.022907416637384</v>
      </c>
      <c r="AO50" s="30" t="n">
        <f aca="false">IF($A50&lt;AO$4,"",IF($A50=AO$4,1,AO49*(1-N49)))</f>
        <v>0.022356483223896</v>
      </c>
      <c r="AP50" s="30" t="n">
        <f aca="false">IF($A50&lt;AP$4,"",IF($A50=AP$4,1,AP49*(1-O49)))</f>
        <v>0.0218428866413341</v>
      </c>
      <c r="AQ50" s="30" t="n">
        <f aca="false">IF($A50&lt;AQ$4,"",IF($A50=AQ$4,1,AQ49*(1-P49)))</f>
        <v>0.021369097411932</v>
      </c>
      <c r="AR50" s="30" t="n">
        <f aca="false">IF($A50&lt;AR$4,"",IF($A50=AR$4,1,AR49*(1-Q49)))</f>
        <v>0.0209380916705279</v>
      </c>
      <c r="AS50" s="30" t="n">
        <f aca="false">IF($A50&lt;AS$4,"",IF($A50=AS$4,1,AS49*(1-R49)))</f>
        <v>0.0205662097274655</v>
      </c>
      <c r="AT50" s="30" t="n">
        <f aca="false">IF($A50&lt;AT$4,"",IF($A50=AT$4,1,AT49*(1-S49)))</f>
        <v>0.0202466764568298</v>
      </c>
      <c r="AU50" s="30" t="n">
        <f aca="false">IF($A50&lt;AU$4,"",IF($A50=AU$4,1,AU49*(1-T49)))</f>
        <v>0.0199851828294745</v>
      </c>
      <c r="AV50" s="30" t="n">
        <f aca="false">IF($A50&lt;AV$4,"",IF($A50=AV$4,1,AV49*(1-U49)))</f>
        <v>0.019788639827007</v>
      </c>
      <c r="AW50" s="30" t="n">
        <f aca="false">IF($A50&lt;AW$4,"",IF($A50=AW$4,1,AW49*(1-V49)))</f>
        <v>0.0196655148524908</v>
      </c>
      <c r="AX50" s="30" t="n">
        <f aca="false">IF($A50&lt;AX$4,"",IF($A50=AX$4,1,AX49*(1-W49)))</f>
        <v>0.019649479283251</v>
      </c>
      <c r="AY50" s="30" t="n">
        <f aca="false">IF($A50&lt;AY$4,"",IF($A50=AY$4,1,AY49*(1-X49)))</f>
        <v>0.019734288448415</v>
      </c>
      <c r="AZ50" s="30" t="n">
        <f aca="false">IF($A50&lt;AZ$4,"",IF($A50=AZ$4,1,AZ49*(1-Y49)))</f>
        <v>0.0199374662985175</v>
      </c>
      <c r="BA50" s="30" t="n">
        <f aca="false">IF($A50&lt;BA$4,"",IF($A50=BA$4,1,BA49*(1-Z49)))</f>
        <v>0.0202813605331347</v>
      </c>
      <c r="BB50" s="30" t="n">
        <f aca="false">IF($A50&lt;BB$4,"",IF($A50=BB$4,1,BB49*(1-AA49)))</f>
        <v>0.0207947697904859</v>
      </c>
    </row>
    <row r="51" customFormat="false" ht="15" hidden="false" customHeight="true" outlineLevel="0" collapsed="false">
      <c r="A51" s="3" t="n">
        <v>106</v>
      </c>
      <c r="B51" s="30" t="n">
        <f aca="false">IF($A51&lt;B$4,"",MIN(1,IF(AND(Assumptions!$B$42=1,OR($A51=104,$A51=105)),INDEX(B$68:B$69,MATCH($A51,$A$68:$A$69,0)),INDEX(CMI_Projection!$L$23:$CC$83,$A51-59,2026+($A51-B$4)-2021))))</f>
        <v>0.330061399912932</v>
      </c>
      <c r="C51" s="30" t="n">
        <f aca="false">IF($A51&lt;C$4,"",MIN(1,IF(AND(Assumptions!$B$42=1,OR($A51=104,$A51=105)),INDEX(C$68:C$69,MATCH($A51,$A$68:$A$69,0)),INDEX(CMI_Projection!$L$23:$CC$83,$A51-59,2026+($A51-C$4)-2021))))</f>
        <v>0.330855453000133</v>
      </c>
      <c r="D51" s="30" t="n">
        <f aca="false">IF($A51&lt;D$4,"",MIN(1,IF(AND(Assumptions!$B$42=1,OR($A51=104,$A51=105)),INDEX(D$68:D$69,MATCH($A51,$A$68:$A$69,0)),INDEX(CMI_Projection!$L$23:$CC$83,$A51-59,2026+($A51-D$4)-2021))))</f>
        <v>0.331651416399492</v>
      </c>
      <c r="E51" s="30" t="n">
        <f aca="false">IF($A51&lt;E$4,"",MIN(1,IF(AND(Assumptions!$B$42=1,OR($A51=104,$A51=105)),INDEX(E$68:E$69,MATCH($A51,$A$68:$A$69,0)),INDEX(CMI_Projection!$L$23:$CC$83,$A51-59,2026+($A51-E$4)-2021))))</f>
        <v>0.332449294706788</v>
      </c>
      <c r="F51" s="30" t="n">
        <f aca="false">IF($A51&lt;F$4,"",MIN(1,IF(AND(Assumptions!$B$42=1,OR($A51=104,$A51=105)),INDEX(F$68:F$69,MATCH($A51,$A$68:$A$69,0)),INDEX(CMI_Projection!$L$23:$CC$83,$A51-59,2026+($A51-F$4)-2021))))</f>
        <v>0.333249092528857</v>
      </c>
      <c r="G51" s="30" t="n">
        <f aca="false">IF($A51&lt;G$4,"",MIN(1,IF(AND(Assumptions!$B$42=1,OR($A51=104,$A51=105)),INDEX(G$68:G$69,MATCH($A51,$A$68:$A$69,0)),INDEX(CMI_Projection!$L$23:$CC$83,$A51-59,2026+($A51-G$4)-2021))))</f>
        <v>0.334050814483618</v>
      </c>
      <c r="H51" s="30" t="n">
        <f aca="false">IF($A51&lt;H$4,"",MIN(1,IF(AND(Assumptions!$B$42=1,OR($A51=104,$A51=105)),INDEX(H$68:H$69,MATCH($A51,$A$68:$A$69,0)),INDEX(CMI_Projection!$L$23:$CC$83,$A51-59,2026+($A51-H$4)-2021))))</f>
        <v>0.334854465200098</v>
      </c>
      <c r="I51" s="30" t="n">
        <f aca="false">IF($A51&lt;I$4,"",MIN(1,IF(AND(Assumptions!$B$42=1,OR($A51=104,$A51=105)),INDEX(I$68:I$69,MATCH($A51,$A$68:$A$69,0)),INDEX(CMI_Projection!$L$23:$CC$83,$A51-59,2026+($A51-I$4)-2021))))</f>
        <v>0.335660049318462</v>
      </c>
      <c r="J51" s="30" t="n">
        <f aca="false">IF($A51&lt;J$4,"",MIN(1,IF(AND(Assumptions!$B$42=1,OR($A51=104,$A51=105)),INDEX(J$68:J$69,MATCH($A51,$A$68:$A$69,0)),INDEX(CMI_Projection!$L$23:$CC$83,$A51-59,2026+($A51-J$4)-2021))))</f>
        <v>0.336467571490038</v>
      </c>
      <c r="K51" s="30" t="n">
        <f aca="false">IF($A51&lt;K$4,"",MIN(1,IF(AND(Assumptions!$B$42=1,OR($A51=104,$A51=105)),INDEX(K$68:K$69,MATCH($A51,$A$68:$A$69,0)),INDEX(CMI_Projection!$L$23:$CC$83,$A51-59,2026+($A51-K$4)-2021))))</f>
        <v>0.337277036377344</v>
      </c>
      <c r="L51" s="30" t="n">
        <f aca="false">IF($A51&lt;L$4,"",MIN(1,IF(AND(Assumptions!$B$42=1,OR($A51=104,$A51=105)),INDEX(L$68:L$69,MATCH($A51,$A$68:$A$69,0)),INDEX(CMI_Projection!$L$23:$CC$83,$A51-59,2026+($A51-L$4)-2021))))</f>
        <v>0.338088448654114</v>
      </c>
      <c r="M51" s="30" t="n">
        <f aca="false">IF($A51&lt;M$4,"",MIN(1,IF(AND(Assumptions!$B$42=1,OR($A51=104,$A51=105)),INDEX(M$68:M$69,MATCH($A51,$A$68:$A$69,0)),INDEX(CMI_Projection!$L$23:$CC$83,$A51-59,2026+($A51-M$4)-2021))))</f>
        <v>0.338901813005327</v>
      </c>
      <c r="N51" s="30" t="n">
        <f aca="false">IF($A51&lt;N$4,"",MIN(1,IF(AND(Assumptions!$B$42=1,OR($A51=104,$A51=105)),INDEX(N$68:N$69,MATCH($A51,$A$68:$A$69,0)),INDEX(CMI_Projection!$L$23:$CC$83,$A51-59,2026+($A51-N$4)-2021))))</f>
        <v>0.339717134127232</v>
      </c>
      <c r="O51" s="30" t="n">
        <f aca="false">IF($A51&lt;O$4,"",MIN(1,IF(AND(Assumptions!$B$42=1,OR($A51=104,$A51=105)),INDEX(O$68:O$69,MATCH($A51,$A$68:$A$69,0)),INDEX(CMI_Projection!$L$23:$CC$83,$A51-59,2026+($A51-O$4)-2021))))</f>
        <v>0.340534416727378</v>
      </c>
      <c r="P51" s="30" t="n">
        <f aca="false">IF($A51&lt;P$4,"",MIN(1,IF(AND(Assumptions!$B$42=1,OR($A51=104,$A51=105)),INDEX(P$68:P$69,MATCH($A51,$A$68:$A$69,0)),INDEX(CMI_Projection!$L$23:$CC$83,$A51-59,2026+($A51-P$4)-2021))))</f>
        <v>0.341353665524637</v>
      </c>
      <c r="Q51" s="30" t="n">
        <f aca="false">IF($A51&lt;Q$4,"",MIN(1,IF(AND(Assumptions!$B$42=1,OR($A51=104,$A51=105)),INDEX(Q$68:Q$69,MATCH($A51,$A$68:$A$69,0)),INDEX(CMI_Projection!$L$23:$CC$83,$A51-59,2026+($A51-Q$4)-2021))))</f>
        <v>0.342174885249235</v>
      </c>
      <c r="R51" s="30" t="n">
        <f aca="false">IF($A51&lt;R$4,"",MIN(1,IF(AND(Assumptions!$B$42=1,OR($A51=104,$A51=105)),INDEX(R$68:R$69,MATCH($A51,$A$68:$A$69,0)),INDEX(CMI_Projection!$L$23:$CC$83,$A51-59,2026+($A51-R$4)-2021))))</f>
        <v>0.342998080642777</v>
      </c>
      <c r="S51" s="30" t="n">
        <f aca="false">IF($A51&lt;S$4,"",MIN(1,IF(AND(Assumptions!$B$42=1,OR($A51=104,$A51=105)),INDEX(S$68:S$69,MATCH($A51,$A$68:$A$69,0)),INDEX(CMI_Projection!$L$23:$CC$83,$A51-59,2026+($A51-S$4)-2021))))</f>
        <v>0.343823256458277</v>
      </c>
      <c r="T51" s="30" t="n">
        <f aca="false">IF($A51&lt;T$4,"",MIN(1,IF(AND(Assumptions!$B$42=1,OR($A51=104,$A51=105)),INDEX(T$68:T$69,MATCH($A51,$A$68:$A$69,0)),INDEX(CMI_Projection!$L$23:$CC$83,$A51-59,2026+($A51-T$4)-2021))))</f>
        <v>0.344650417460182</v>
      </c>
      <c r="U51" s="30" t="n">
        <f aca="false">IF($A51&lt;U$4,"",MIN(1,IF(AND(Assumptions!$B$42=1,OR($A51=104,$A51=105)),INDEX(U$68:U$69,MATCH($A51,$A$68:$A$69,0)),INDEX(CMI_Projection!$L$23:$CC$83,$A51-59,2026+($A51-U$4)-2021))))</f>
        <v>0.3454795684244</v>
      </c>
      <c r="V51" s="30" t="n">
        <f aca="false">IF($A51&lt;V$4,"",MIN(1,IF(AND(Assumptions!$B$42=1,OR($A51=104,$A51=105)),INDEX(V$68:V$69,MATCH($A51,$A$68:$A$69,0)),INDEX(CMI_Projection!$L$23:$CC$83,$A51-59,2026+($A51-V$4)-2021))))</f>
        <v>0.346310714138332</v>
      </c>
      <c r="W51" s="30" t="n">
        <f aca="false">IF($A51&lt;W$4,"",MIN(1,IF(AND(Assumptions!$B$42=1,OR($A51=104,$A51=105)),INDEX(W$68:W$69,MATCH($A51,$A$68:$A$69,0)),INDEX(CMI_Projection!$L$23:$CC$83,$A51-59,2026+($A51-W$4)-2021))))</f>
        <v>0.347143859400894</v>
      </c>
      <c r="X51" s="30" t="n">
        <f aca="false">IF($A51&lt;X$4,"",MIN(1,IF(AND(Assumptions!$B$42=1,OR($A51=104,$A51=105)),INDEX(X$68:X$69,MATCH($A51,$A$68:$A$69,0)),INDEX(CMI_Projection!$L$23:$CC$83,$A51-59,2026+($A51-X$4)-2021))))</f>
        <v>0.347979009022548</v>
      </c>
      <c r="Y51" s="30" t="n">
        <f aca="false">IF($A51&lt;Y$4,"",MIN(1,IF(AND(Assumptions!$B$42=1,OR($A51=104,$A51=105)),INDEX(Y$68:Y$69,MATCH($A51,$A$68:$A$69,0)),INDEX(CMI_Projection!$L$23:$CC$83,$A51-59,2026+($A51-Y$4)-2021))))</f>
        <v>0.348816167825329</v>
      </c>
      <c r="Z51" s="30" t="n">
        <f aca="false">IF($A51&lt;Z$4,"",MIN(1,IF(AND(Assumptions!$B$42=1,OR($A51=104,$A51=105)),INDEX(Z$68:Z$69,MATCH($A51,$A$68:$A$69,0)),INDEX(CMI_Projection!$L$23:$CC$83,$A51-59,2026+($A51-Z$4)-2021))))</f>
        <v>0.349655340642872</v>
      </c>
      <c r="AA51" s="30" t="n">
        <f aca="false">IF($A51&lt;AA$4,"",MIN(1,IF(AND(Assumptions!$B$42=1,OR($A51=104,$A51=105)),INDEX(AA$68:AA$69,MATCH($A51,$A$68:$A$69,0)),INDEX(CMI_Projection!$L$23:$CC$83,$A51-59,2026+($A51-AA$4)-2021))))</f>
        <v>0.350496532320441</v>
      </c>
      <c r="AC51" s="30" t="n">
        <f aca="false">IF($A51&lt;AC$4,"",IF($A51=AC$4,1,AC50*(1-B50)))</f>
        <v>0.0273605824780022</v>
      </c>
      <c r="AD51" s="30" t="n">
        <f aca="false">IF($A51&lt;AD$4,"",IF($A51=AD$4,1,AD50*(1-C50)))</f>
        <v>0.0265711801076379</v>
      </c>
      <c r="AE51" s="30" t="n">
        <f aca="false">IF($A51&lt;AE$4,"",IF($A51=AE$4,1,AE50*(1-D50)))</f>
        <v>0.0258047120990657</v>
      </c>
      <c r="AF51" s="30" t="n">
        <f aca="false">IF($A51&lt;AF$4,"",IF($A51=AF$4,1,AF50*(1-E50)))</f>
        <v>0.0250614820523063</v>
      </c>
      <c r="AG51" s="30" t="n">
        <f aca="false">IF($A51&lt;AG$4,"",IF($A51=AG$4,1,AG50*(1-F50)))</f>
        <v>0.0243418432298732</v>
      </c>
      <c r="AH51" s="30" t="n">
        <f aca="false">IF($A51&lt;AH$4,"",IF($A51=AH$4,1,AH50*(1-G50)))</f>
        <v>0.0236462088928417</v>
      </c>
      <c r="AI51" s="30" t="n">
        <f aca="false">IF($A51&lt;AI$4,"",IF($A51=AI$4,1,AI50*(1-H50)))</f>
        <v>0.0229810426696699</v>
      </c>
      <c r="AJ51" s="30" t="n">
        <f aca="false">IF($A51&lt;AJ$4,"",IF($A51=AJ$4,1,AJ50*(1-I50)))</f>
        <v>0.0223414038575945</v>
      </c>
      <c r="AK51" s="30" t="n">
        <f aca="false">IF($A51&lt;AK$4,"",IF($A51=AK$4,1,AK50*(1-J50)))</f>
        <v>0.0217280102956925</v>
      </c>
      <c r="AL51" s="30" t="n">
        <f aca="false">IF($A51&lt;AL$4,"",IF($A51=AL$4,1,AL50*(1-K50)))</f>
        <v>0.0211417081035762</v>
      </c>
      <c r="AM51" s="30" t="n">
        <f aca="false">IF($A51&lt;AM$4,"",IF($A51=AM$4,1,AM50*(1-L50)))</f>
        <v>0.0205834907983132</v>
      </c>
      <c r="AN51" s="30" t="n">
        <f aca="false">IF($A51&lt;AN$4,"",IF($A51=AN$4,1,AN50*(1-M50)))</f>
        <v>0.0200613598555345</v>
      </c>
      <c r="AO51" s="30" t="n">
        <f aca="false">IF($A51&lt;AO$4,"",IF($A51=AO$4,1,AO50*(1-N50)))</f>
        <v>0.0195705174581569</v>
      </c>
      <c r="AP51" s="30" t="n">
        <f aca="false">IF($A51&lt;AP$4,"",IF($A51=AP$4,1,AP50*(1-O50)))</f>
        <v>0.0191127325410927</v>
      </c>
      <c r="AQ51" s="30" t="n">
        <f aca="false">IF($A51&lt;AQ$4,"",IF($A51=AQ$4,1,AQ50*(1-P50)))</f>
        <v>0.0186901255656939</v>
      </c>
      <c r="AR51" s="30" t="n">
        <f aca="false">IF($A51&lt;AR$4,"",IF($A51=AR$4,1,AR50*(1-Q50)))</f>
        <v>0.0183052550541223</v>
      </c>
      <c r="AS51" s="30" t="n">
        <f aca="false">IF($A51&lt;AS$4,"",IF($A51=AS$4,1,AS50*(1-R50)))</f>
        <v>0.0179723534157512</v>
      </c>
      <c r="AT51" s="30" t="n">
        <f aca="false">IF($A51&lt;AT$4,"",IF($A51=AT$4,1,AT50*(1-S50)))</f>
        <v>0.0176854366756392</v>
      </c>
      <c r="AU51" s="30" t="n">
        <f aca="false">IF($A51&lt;AU$4,"",IF($A51=AU$4,1,AU50*(1-T50)))</f>
        <v>0.0174494151438304</v>
      </c>
      <c r="AV51" s="30" t="n">
        <f aca="false">IF($A51&lt;AV$4,"",IF($A51=AV$4,1,AV50*(1-U50)))</f>
        <v>0.0172702548315164</v>
      </c>
      <c r="AW51" s="30" t="n">
        <f aca="false">IF($A51&lt;AW$4,"",IF($A51=AW$4,1,AW50*(1-V50)))</f>
        <v>0.0171552685167543</v>
      </c>
      <c r="AX51" s="30" t="n">
        <f aca="false">IF($A51&lt;AX$4,"",IF($A51=AX$4,1,AX50*(1-W50)))</f>
        <v>0.0171337326017021</v>
      </c>
      <c r="AY51" s="30" t="n">
        <f aca="false">IF($A51&lt;AY$4,"",IF($A51=AY$4,1,AY50*(1-X50)))</f>
        <v>0.0172000809239423</v>
      </c>
      <c r="AZ51" s="30" t="n">
        <f aca="false">IF($A51&lt;AZ$4,"",IF($A51=AZ$4,1,AZ50*(1-Y50)))</f>
        <v>0.0173694633844107</v>
      </c>
      <c r="BA51" s="30" t="n">
        <f aca="false">IF($A51&lt;BA$4,"",IF($A51=BA$4,1,BA50*(1-Z50)))</f>
        <v>0.0176612025801818</v>
      </c>
      <c r="BB51" s="30" t="n">
        <f aca="false">IF($A51&lt;BB$4,"",IF($A51=BB$4,1,BB50*(1-AA50)))</f>
        <v>0.0181002005604191</v>
      </c>
    </row>
    <row r="52" customFormat="false" ht="15" hidden="false" customHeight="true" outlineLevel="0" collapsed="false">
      <c r="A52" s="3" t="n">
        <v>107</v>
      </c>
      <c r="B52" s="30" t="n">
        <f aca="false">IF($A52&lt;B$4,"",MIN(1,IF(AND(Assumptions!$B$42=1,OR($A52=104,$A52=105)),INDEX(B$68:B$69,MATCH($A52,$A$68:$A$69,0)),INDEX(CMI_Projection!$L$23:$CC$83,$A52-59,2026+($A52-B$4)-2021))))</f>
        <v>0.355015967813093</v>
      </c>
      <c r="C52" s="30" t="n">
        <f aca="false">IF($A52&lt;C$4,"",MIN(1,IF(AND(Assumptions!$B$42=1,OR($A52=104,$A52=105)),INDEX(C$68:C$69,MATCH($A52,$A$68:$A$69,0)),INDEX(CMI_Projection!$L$23:$CC$83,$A52-59,2026+($A52-C$4)-2021))))</f>
        <v>0.355656148881079</v>
      </c>
      <c r="D52" s="30" t="n">
        <f aca="false">IF($A52&lt;D$4,"",MIN(1,IF(AND(Assumptions!$B$42=1,OR($A52=104,$A52=105)),INDEX(D$68:D$69,MATCH($A52,$A$68:$A$69,0)),INDEX(CMI_Projection!$L$23:$CC$83,$A52-59,2026+($A52-D$4)-2021))))</f>
        <v>0.356297484352914</v>
      </c>
      <c r="E52" s="30" t="n">
        <f aca="false">IF($A52&lt;E$4,"",MIN(1,IF(AND(Assumptions!$B$42=1,OR($A52=104,$A52=105)),INDEX(E$68:E$69,MATCH($A52,$A$68:$A$69,0)),INDEX(CMI_Projection!$L$23:$CC$83,$A52-59,2026+($A52-E$4)-2021))))</f>
        <v>0.356939976310273</v>
      </c>
      <c r="F52" s="30" t="n">
        <f aca="false">IF($A52&lt;F$4,"",MIN(1,IF(AND(Assumptions!$B$42=1,OR($A52=104,$A52=105)),INDEX(F$68:F$69,MATCH($A52,$A$68:$A$69,0)),INDEX(CMI_Projection!$L$23:$CC$83,$A52-59,2026+($A52-F$4)-2021))))</f>
        <v>0.357583626838582</v>
      </c>
      <c r="G52" s="30" t="n">
        <f aca="false">IF($A52&lt;G$4,"",MIN(1,IF(AND(Assumptions!$B$42=1,OR($A52=104,$A52=105)),INDEX(G$68:G$69,MATCH($A52,$A$68:$A$69,0)),INDEX(CMI_Projection!$L$23:$CC$83,$A52-59,2026+($A52-G$4)-2021))))</f>
        <v>0.358228438027031</v>
      </c>
      <c r="H52" s="30" t="n">
        <f aca="false">IF($A52&lt;H$4,"",MIN(1,IF(AND(Assumptions!$B$42=1,OR($A52=104,$A52=105)),INDEX(H$68:H$69,MATCH($A52,$A$68:$A$69,0)),INDEX(CMI_Projection!$L$23:$CC$83,$A52-59,2026+($A52-H$4)-2021))))</f>
        <v>0.358874411968574</v>
      </c>
      <c r="I52" s="30" t="n">
        <f aca="false">IF($A52&lt;I$4,"",MIN(1,IF(AND(Assumptions!$B$42=1,OR($A52=104,$A52=105)),INDEX(I$68:I$69,MATCH($A52,$A$68:$A$69,0)),INDEX(CMI_Projection!$L$23:$CC$83,$A52-59,2026+($A52-I$4)-2021))))</f>
        <v>0.359521550759942</v>
      </c>
      <c r="J52" s="30" t="n">
        <f aca="false">IF($A52&lt;J$4,"",MIN(1,IF(AND(Assumptions!$B$42=1,OR($A52=104,$A52=105)),INDEX(J$68:J$69,MATCH($A52,$A$68:$A$69,0)),INDEX(CMI_Projection!$L$23:$CC$83,$A52-59,2026+($A52-J$4)-2021))))</f>
        <v>0.360169856501645</v>
      </c>
      <c r="K52" s="30" t="n">
        <f aca="false">IF($A52&lt;K$4,"",MIN(1,IF(AND(Assumptions!$B$42=1,OR($A52=104,$A52=105)),INDEX(K$68:K$69,MATCH($A52,$A$68:$A$69,0)),INDEX(CMI_Projection!$L$23:$CC$83,$A52-59,2026+($A52-K$4)-2021))))</f>
        <v>0.360819331297982</v>
      </c>
      <c r="L52" s="30" t="n">
        <f aca="false">IF($A52&lt;L$4,"",MIN(1,IF(AND(Assumptions!$B$42=1,OR($A52=104,$A52=105)),INDEX(L$68:L$69,MATCH($A52,$A$68:$A$69,0)),INDEX(CMI_Projection!$L$23:$CC$83,$A52-59,2026+($A52-L$4)-2021))))</f>
        <v>0.361469977257044</v>
      </c>
      <c r="M52" s="30" t="n">
        <f aca="false">IF($A52&lt;M$4,"",MIN(1,IF(AND(Assumptions!$B$42=1,OR($A52=104,$A52=105)),INDEX(M$68:M$69,MATCH($A52,$A$68:$A$69,0)),INDEX(CMI_Projection!$L$23:$CC$83,$A52-59,2026+($A52-M$4)-2021))))</f>
        <v>0.362121796490728</v>
      </c>
      <c r="N52" s="30" t="n">
        <f aca="false">IF($A52&lt;N$4,"",MIN(1,IF(AND(Assumptions!$B$42=1,OR($A52=104,$A52=105)),INDEX(N$68:N$69,MATCH($A52,$A$68:$A$69,0)),INDEX(CMI_Projection!$L$23:$CC$83,$A52-59,2026+($A52-N$4)-2021))))</f>
        <v>0.362774791114734</v>
      </c>
      <c r="O52" s="30" t="n">
        <f aca="false">IF($A52&lt;O$4,"",MIN(1,IF(AND(Assumptions!$B$42=1,OR($A52=104,$A52=105)),INDEX(O$68:O$69,MATCH($A52,$A$68:$A$69,0)),INDEX(CMI_Projection!$L$23:$CC$83,$A52-59,2026+($A52-O$4)-2021))))</f>
        <v>0.363428963248582</v>
      </c>
      <c r="P52" s="30" t="n">
        <f aca="false">IF($A52&lt;P$4,"",MIN(1,IF(AND(Assumptions!$B$42=1,OR($A52=104,$A52=105)),INDEX(P$68:P$69,MATCH($A52,$A$68:$A$69,0)),INDEX(CMI_Projection!$L$23:$CC$83,$A52-59,2026+($A52-P$4)-2021))))</f>
        <v>0.36408431501561</v>
      </c>
      <c r="Q52" s="30" t="n">
        <f aca="false">IF($A52&lt;Q$4,"",MIN(1,IF(AND(Assumptions!$B$42=1,OR($A52=104,$A52=105)),INDEX(Q$68:Q$69,MATCH($A52,$A$68:$A$69,0)),INDEX(CMI_Projection!$L$23:$CC$83,$A52-59,2026+($A52-Q$4)-2021))))</f>
        <v>0.364740848542987</v>
      </c>
      <c r="R52" s="30" t="n">
        <f aca="false">IF($A52&lt;R$4,"",MIN(1,IF(AND(Assumptions!$B$42=1,OR($A52=104,$A52=105)),INDEX(R$68:R$69,MATCH($A52,$A$68:$A$69,0)),INDEX(CMI_Projection!$L$23:$CC$83,$A52-59,2026+($A52-R$4)-2021))))</f>
        <v>0.365398565961718</v>
      </c>
      <c r="S52" s="30" t="n">
        <f aca="false">IF($A52&lt;S$4,"",MIN(1,IF(AND(Assumptions!$B$42=1,OR($A52=104,$A52=105)),INDEX(S$68:S$69,MATCH($A52,$A$68:$A$69,0)),INDEX(CMI_Projection!$L$23:$CC$83,$A52-59,2026+($A52-S$4)-2021))))</f>
        <v>0.36605746940665</v>
      </c>
      <c r="T52" s="30" t="n">
        <f aca="false">IF($A52&lt;T$4,"",MIN(1,IF(AND(Assumptions!$B$42=1,OR($A52=104,$A52=105)),INDEX(T$68:T$69,MATCH($A52,$A$68:$A$69,0)),INDEX(CMI_Projection!$L$23:$CC$83,$A52-59,2026+($A52-T$4)-2021))))</f>
        <v>0.36671756101648</v>
      </c>
      <c r="U52" s="30" t="n">
        <f aca="false">IF($A52&lt;U$4,"",MIN(1,IF(AND(Assumptions!$B$42=1,OR($A52=104,$A52=105)),INDEX(U$68:U$69,MATCH($A52,$A$68:$A$69,0)),INDEX(CMI_Projection!$L$23:$CC$83,$A52-59,2026+($A52-U$4)-2021))))</f>
        <v>0.367378842933761</v>
      </c>
      <c r="V52" s="30" t="n">
        <f aca="false">IF($A52&lt;V$4,"",MIN(1,IF(AND(Assumptions!$B$42=1,OR($A52=104,$A52=105)),INDEX(V$68:V$69,MATCH($A52,$A$68:$A$69,0)),INDEX(CMI_Projection!$L$23:$CC$83,$A52-59,2026+($A52-V$4)-2021))))</f>
        <v>0.368041317304909</v>
      </c>
      <c r="W52" s="30" t="n">
        <f aca="false">IF($A52&lt;W$4,"",MIN(1,IF(AND(Assumptions!$B$42=1,OR($A52=104,$A52=105)),INDEX(W$68:W$69,MATCH($A52,$A$68:$A$69,0)),INDEX(CMI_Projection!$L$23:$CC$83,$A52-59,2026+($A52-W$4)-2021))))</f>
        <v>0.368704986280214</v>
      </c>
      <c r="X52" s="30" t="n">
        <f aca="false">IF($A52&lt;X$4,"",MIN(1,IF(AND(Assumptions!$B$42=1,OR($A52=104,$A52=105)),INDEX(X$68:X$69,MATCH($A52,$A$68:$A$69,0)),INDEX(CMI_Projection!$L$23:$CC$83,$A52-59,2026+($A52-X$4)-2021))))</f>
        <v>0.369369852013839</v>
      </c>
      <c r="Y52" s="30" t="n">
        <f aca="false">IF($A52&lt;Y$4,"",MIN(1,IF(AND(Assumptions!$B$42=1,OR($A52=104,$A52=105)),INDEX(Y$68:Y$69,MATCH($A52,$A$68:$A$69,0)),INDEX(CMI_Projection!$L$23:$CC$83,$A52-59,2026+($A52-Y$4)-2021))))</f>
        <v>0.370035916663834</v>
      </c>
      <c r="Z52" s="30" t="n">
        <f aca="false">IF($A52&lt;Z$4,"",MIN(1,IF(AND(Assumptions!$B$42=1,OR($A52=104,$A52=105)),INDEX(Z$68:Z$69,MATCH($A52,$A$68:$A$69,0)),INDEX(CMI_Projection!$L$23:$CC$83,$A52-59,2026+($A52-Z$4)-2021))))</f>
        <v>0.37070318239214</v>
      </c>
      <c r="AA52" s="30" t="n">
        <f aca="false">IF($A52&lt;AA$4,"",MIN(1,IF(AND(Assumptions!$B$42=1,OR($A52=104,$A52=105)),INDEX(AA$68:AA$69,MATCH($A52,$A$68:$A$69,0)),INDEX(CMI_Projection!$L$23:$CC$83,$A52-59,2026+($A52-AA$4)-2021))))</f>
        <v>0.371371651364596</v>
      </c>
      <c r="AC52" s="30" t="n">
        <f aca="false">IF($A52&lt;AC$4,"",IF($A52=AC$4,1,AC51*(1-B51)))</f>
        <v>0.0183299103228796</v>
      </c>
      <c r="AD52" s="30" t="n">
        <f aca="false">IF($A52&lt;AD$4,"",IF($A52=AD$4,1,AD51*(1-C51)))</f>
        <v>0.0177799602763772</v>
      </c>
      <c r="AE52" s="30" t="n">
        <f aca="false">IF($A52&lt;AE$4,"",IF($A52=AE$4,1,AE51*(1-D51)))</f>
        <v>0.0172465427816295</v>
      </c>
      <c r="AF52" s="30" t="n">
        <f aca="false">IF($A52&lt;AF$4,"",IF($A52=AF$4,1,AF51*(1-E51)))</f>
        <v>0.0167298100197102</v>
      </c>
      <c r="AG52" s="30" t="n">
        <f aca="false">IF($A52&lt;AG$4,"",IF($A52=AG$4,1,AG51*(1-F51)))</f>
        <v>0.0162299460630383</v>
      </c>
      <c r="AH52" s="30" t="n">
        <f aca="false">IF($A52&lt;AH$4,"",IF($A52=AH$4,1,AH51*(1-G51)))</f>
        <v>0.0157471735527381</v>
      </c>
      <c r="AI52" s="30" t="n">
        <f aca="false">IF($A52&lt;AI$4,"",IF($A52=AI$4,1,AI51*(1-H51)))</f>
        <v>0.0152857379167769</v>
      </c>
      <c r="AJ52" s="30" t="n">
        <f aca="false">IF($A52&lt;AJ$4,"",IF($A52=AJ$4,1,AJ51*(1-I51)))</f>
        <v>0.0148422871369106</v>
      </c>
      <c r="AK52" s="30" t="n">
        <f aca="false">IF($A52&lt;AK$4,"",IF($A52=AK$4,1,AK51*(1-J51)))</f>
        <v>0.0144172394381903</v>
      </c>
      <c r="AL52" s="30" t="n">
        <f aca="false">IF($A52&lt;AL$4,"",IF($A52=AL$4,1,AL51*(1-K51)))</f>
        <v>0.0140110954504471</v>
      </c>
      <c r="AM52" s="30" t="n">
        <f aca="false">IF($A52&lt;AM$4,"",IF($A52=AM$4,1,AM51*(1-L51)))</f>
        <v>0.0136244503264253</v>
      </c>
      <c r="AN52" s="30" t="n">
        <f aca="false">IF($A52&lt;AN$4,"",IF($A52=AN$4,1,AN51*(1-M51)))</f>
        <v>0.0132625286291416</v>
      </c>
      <c r="AO52" s="30" t="n">
        <f aca="false">IF($A52&lt;AO$4,"",IF($A52=AO$4,1,AO51*(1-N51)))</f>
        <v>0.0129220773538849</v>
      </c>
      <c r="AP52" s="30" t="n">
        <f aca="false">IF($A52&lt;AP$4,"",IF($A52=AP$4,1,AP51*(1-O51)))</f>
        <v>0.0126041893131453</v>
      </c>
      <c r="AQ52" s="30" t="n">
        <f aca="false">IF($A52&lt;AQ$4,"",IF($A52=AQ$4,1,AQ51*(1-P51)))</f>
        <v>0.0123101826947286</v>
      </c>
      <c r="AR52" s="30" t="n">
        <f aca="false">IF($A52&lt;AR$4,"",IF($A52=AR$4,1,AR51*(1-Q51)))</f>
        <v>0.01204165650652</v>
      </c>
      <c r="AS52" s="30" t="n">
        <f aca="false">IF($A52&lt;AS$4,"",IF($A52=AS$4,1,AS51*(1-R51)))</f>
        <v>0.0118078706895148</v>
      </c>
      <c r="AT52" s="30" t="n">
        <f aca="false">IF($A52&lt;AT$4,"",IF($A52=AT$4,1,AT51*(1-S51)))</f>
        <v>0.0116047722459343</v>
      </c>
      <c r="AU52" s="30" t="n">
        <f aca="false">IF($A52&lt;AU$4,"",IF($A52=AU$4,1,AU51*(1-T51)))</f>
        <v>0.0114354669300732</v>
      </c>
      <c r="AV52" s="30" t="n">
        <f aca="false">IF($A52&lt;AV$4,"",IF($A52=AV$4,1,AV51*(1-U51)))</f>
        <v>0.0113037346457447</v>
      </c>
      <c r="AW52" s="30" t="n">
        <f aca="false">IF($A52&lt;AW$4,"",IF($A52=AW$4,1,AW51*(1-V51)))</f>
        <v>0.0112142152254823</v>
      </c>
      <c r="AX52" s="30" t="n">
        <f aca="false">IF($A52&lt;AX$4,"",IF($A52=AX$4,1,AX51*(1-W51)))</f>
        <v>0.0111858625404043</v>
      </c>
      <c r="AY52" s="30" t="n">
        <f aca="false">IF($A52&lt;AY$4,"",IF($A52=AY$4,1,AY51*(1-X51)))</f>
        <v>0.0112148138089212</v>
      </c>
      <c r="AZ52" s="30" t="n">
        <f aca="false">IF($A52&lt;AZ$4,"",IF($A52=AZ$4,1,AZ51*(1-Y51)))</f>
        <v>0.0113107137294782</v>
      </c>
      <c r="BA52" s="30" t="n">
        <f aca="false">IF($A52&lt;BA$4,"",IF($A52=BA$4,1,BA51*(1-Z51)))</f>
        <v>0.0114858687758456</v>
      </c>
      <c r="BB52" s="30" t="n">
        <f aca="false">IF($A52&lt;BB$4,"",IF($A52=BB$4,1,BB51*(1-AA51)))</f>
        <v>0.0117561430296877</v>
      </c>
    </row>
    <row r="53" customFormat="false" ht="15" hidden="false" customHeight="true" outlineLevel="0" collapsed="false">
      <c r="A53" s="3" t="n">
        <v>108</v>
      </c>
      <c r="B53" s="30" t="n">
        <f aca="false">IF($A53&lt;B$4,"",MIN(1,IF(AND(Assumptions!$B$42=1,OR($A53=104,$A53=105)),INDEX(B$68:B$69,MATCH($A53,$A$68:$A$69,0)),INDEX(CMI_Projection!$L$23:$CC$83,$A53-59,2026+($A53-B$4)-2021))))</f>
        <v>0.381688586595126</v>
      </c>
      <c r="C53" s="30" t="n">
        <f aca="false">IF($A53&lt;C$4,"",MIN(1,IF(AND(Assumptions!$B$42=1,OR($A53=104,$A53=105)),INDEX(C$68:C$69,MATCH($A53,$A$68:$A$69,0)),INDEX(CMI_Projection!$L$23:$CC$83,$A53-59,2026+($A53-C$4)-2021))))</f>
        <v>0.382147163190955</v>
      </c>
      <c r="D53" s="30" t="n">
        <f aca="false">IF($A53&lt;D$4,"",MIN(1,IF(AND(Assumptions!$B$42=1,OR($A53=104,$A53=105)),INDEX(D$68:D$69,MATCH($A53,$A$68:$A$69,0)),INDEX(CMI_Projection!$L$23:$CC$83,$A53-59,2026+($A53-D$4)-2021))))</f>
        <v>0.382606290739843</v>
      </c>
      <c r="E53" s="30" t="n">
        <f aca="false">IF($A53&lt;E$4,"",MIN(1,IF(AND(Assumptions!$B$42=1,OR($A53=104,$A53=105)),INDEX(E$68:E$69,MATCH($A53,$A$68:$A$69,0)),INDEX(CMI_Projection!$L$23:$CC$83,$A53-59,2026+($A53-E$4)-2021))))</f>
        <v>0.383065969903727</v>
      </c>
      <c r="F53" s="30" t="n">
        <f aca="false">IF($A53&lt;F$4,"",MIN(1,IF(AND(Assumptions!$B$42=1,OR($A53=104,$A53=105)),INDEX(F$68:F$69,MATCH($A53,$A$68:$A$69,0)),INDEX(CMI_Projection!$L$23:$CC$83,$A53-59,2026+($A53-F$4)-2021))))</f>
        <v>0.383526201345342</v>
      </c>
      <c r="G53" s="30" t="n">
        <f aca="false">IF($A53&lt;G$4,"",MIN(1,IF(AND(Assumptions!$B$42=1,OR($A53=104,$A53=105)),INDEX(G$68:G$69,MATCH($A53,$A$68:$A$69,0)),INDEX(CMI_Projection!$L$23:$CC$83,$A53-59,2026+($A53-G$4)-2021))))</f>
        <v>0.383986985728216</v>
      </c>
      <c r="H53" s="30" t="n">
        <f aca="false">IF($A53&lt;H$4,"",MIN(1,IF(AND(Assumptions!$B$42=1,OR($A53=104,$A53=105)),INDEX(H$68:H$69,MATCH($A53,$A$68:$A$69,0)),INDEX(CMI_Projection!$L$23:$CC$83,$A53-59,2026+($A53-H$4)-2021))))</f>
        <v>0.384448323716676</v>
      </c>
      <c r="I53" s="30" t="n">
        <f aca="false">IF($A53&lt;I$4,"",MIN(1,IF(AND(Assumptions!$B$42=1,OR($A53=104,$A53=105)),INDEX(I$68:I$69,MATCH($A53,$A$68:$A$69,0)),INDEX(CMI_Projection!$L$23:$CC$83,$A53-59,2026+($A53-I$4)-2021))))</f>
        <v>0.384910215975847</v>
      </c>
      <c r="J53" s="30" t="n">
        <f aca="false">IF($A53&lt;J$4,"",MIN(1,IF(AND(Assumptions!$B$42=1,OR($A53=104,$A53=105)),INDEX(J$68:J$69,MATCH($A53,$A$68:$A$69,0)),INDEX(CMI_Projection!$L$23:$CC$83,$A53-59,2026+($A53-J$4)-2021))))</f>
        <v>0.385372663171653</v>
      </c>
      <c r="K53" s="30" t="n">
        <f aca="false">IF($A53&lt;K$4,"",MIN(1,IF(AND(Assumptions!$B$42=1,OR($A53=104,$A53=105)),INDEX(K$68:K$69,MATCH($A53,$A$68:$A$69,0)),INDEX(CMI_Projection!$L$23:$CC$83,$A53-59,2026+($A53-K$4)-2021))))</f>
        <v>0.385835665970818</v>
      </c>
      <c r="L53" s="30" t="n">
        <f aca="false">IF($A53&lt;L$4,"",MIN(1,IF(AND(Assumptions!$B$42=1,OR($A53=104,$A53=105)),INDEX(L$68:L$69,MATCH($A53,$A$68:$A$69,0)),INDEX(CMI_Projection!$L$23:$CC$83,$A53-59,2026+($A53-L$4)-2021))))</f>
        <v>0.386299225040867</v>
      </c>
      <c r="M53" s="30" t="n">
        <f aca="false">IF($A53&lt;M$4,"",MIN(1,IF(AND(Assumptions!$B$42=1,OR($A53=104,$A53=105)),INDEX(M$68:M$69,MATCH($A53,$A$68:$A$69,0)),INDEX(CMI_Projection!$L$23:$CC$83,$A53-59,2026+($A53-M$4)-2021))))</f>
        <v>0.386763341050127</v>
      </c>
      <c r="N53" s="30" t="n">
        <f aca="false">IF($A53&lt;N$4,"",MIN(1,IF(AND(Assumptions!$B$42=1,OR($A53=104,$A53=105)),INDEX(N$68:N$69,MATCH($A53,$A$68:$A$69,0)),INDEX(CMI_Projection!$L$23:$CC$83,$A53-59,2026+($A53-N$4)-2021))))</f>
        <v>0.387228014667728</v>
      </c>
      <c r="O53" s="30" t="n">
        <f aca="false">IF($A53&lt;O$4,"",MIN(1,IF(AND(Assumptions!$B$42=1,OR($A53=104,$A53=105)),INDEX(O$68:O$69,MATCH($A53,$A$68:$A$69,0)),INDEX(CMI_Projection!$L$23:$CC$83,$A53-59,2026+($A53-O$4)-2021))))</f>
        <v>0.387693246563604</v>
      </c>
      <c r="P53" s="30" t="n">
        <f aca="false">IF($A53&lt;P$4,"",MIN(1,IF(AND(Assumptions!$B$42=1,OR($A53=104,$A53=105)),INDEX(P$68:P$69,MATCH($A53,$A$68:$A$69,0)),INDEX(CMI_Projection!$L$23:$CC$83,$A53-59,2026+($A53-P$4)-2021))))</f>
        <v>0.388159037408494</v>
      </c>
      <c r="Q53" s="30" t="n">
        <f aca="false">IF($A53&lt;Q$4,"",MIN(1,IF(AND(Assumptions!$B$42=1,OR($A53=104,$A53=105)),INDEX(Q$68:Q$69,MATCH($A53,$A$68:$A$69,0)),INDEX(CMI_Projection!$L$23:$CC$83,$A53-59,2026+($A53-Q$4)-2021))))</f>
        <v>0.388625387873943</v>
      </c>
      <c r="R53" s="30" t="n">
        <f aca="false">IF($A53&lt;R$4,"",MIN(1,IF(AND(Assumptions!$B$42=1,OR($A53=104,$A53=105)),INDEX(R$68:R$69,MATCH($A53,$A$68:$A$69,0)),INDEX(CMI_Projection!$L$23:$CC$83,$A53-59,2026+($A53-R$4)-2021))))</f>
        <v>0.389092298632302</v>
      </c>
      <c r="S53" s="30" t="n">
        <f aca="false">IF($A53&lt;S$4,"",MIN(1,IF(AND(Assumptions!$B$42=1,OR($A53=104,$A53=105)),INDEX(S$68:S$69,MATCH($A53,$A$68:$A$69,0)),INDEX(CMI_Projection!$L$23:$CC$83,$A53-59,2026+($A53-S$4)-2021))))</f>
        <v>0.38955977035673</v>
      </c>
      <c r="T53" s="30" t="n">
        <f aca="false">IF($A53&lt;T$4,"",MIN(1,IF(AND(Assumptions!$B$42=1,OR($A53=104,$A53=105)),INDEX(T$68:T$69,MATCH($A53,$A$68:$A$69,0)),INDEX(CMI_Projection!$L$23:$CC$83,$A53-59,2026+($A53-T$4)-2021))))</f>
        <v>0.390027803721195</v>
      </c>
      <c r="U53" s="30" t="n">
        <f aca="false">IF($A53&lt;U$4,"",MIN(1,IF(AND(Assumptions!$B$42=1,OR($A53=104,$A53=105)),INDEX(U$68:U$69,MATCH($A53,$A$68:$A$69,0)),INDEX(CMI_Projection!$L$23:$CC$83,$A53-59,2026+($A53-U$4)-2021))))</f>
        <v>0.390496399400476</v>
      </c>
      <c r="V53" s="30" t="n">
        <f aca="false">IF($A53&lt;V$4,"",MIN(1,IF(AND(Assumptions!$B$42=1,OR($A53=104,$A53=105)),INDEX(V$68:V$69,MATCH($A53,$A$68:$A$69,0)),INDEX(CMI_Projection!$L$23:$CC$83,$A53-59,2026+($A53-V$4)-2021))))</f>
        <v>0.39096555807016</v>
      </c>
      <c r="W53" s="30" t="n">
        <f aca="false">IF($A53&lt;W$4,"",MIN(1,IF(AND(Assumptions!$B$42=1,OR($A53=104,$A53=105)),INDEX(W$68:W$69,MATCH($A53,$A$68:$A$69,0)),INDEX(CMI_Projection!$L$23:$CC$83,$A53-59,2026+($A53-W$4)-2021))))</f>
        <v>0.391435280406648</v>
      </c>
      <c r="X53" s="30" t="n">
        <f aca="false">IF($A53&lt;X$4,"",MIN(1,IF(AND(Assumptions!$B$42=1,OR($A53=104,$A53=105)),INDEX(X$68:X$69,MATCH($A53,$A$68:$A$69,0)),INDEX(CMI_Projection!$L$23:$CC$83,$A53-59,2026+($A53-X$4)-2021))))</f>
        <v>0.391905567087153</v>
      </c>
      <c r="Y53" s="30" t="n">
        <f aca="false">IF($A53&lt;Y$4,"",MIN(1,IF(AND(Assumptions!$B$42=1,OR($A53=104,$A53=105)),INDEX(Y$68:Y$69,MATCH($A53,$A$68:$A$69,0)),INDEX(CMI_Projection!$L$23:$CC$83,$A53-59,2026+($A53-Y$4)-2021))))</f>
        <v>0.3923764187897</v>
      </c>
      <c r="Z53" s="30" t="n">
        <f aca="false">IF($A53&lt;Z$4,"",MIN(1,IF(AND(Assumptions!$B$42=1,OR($A53=104,$A53=105)),INDEX(Z$68:Z$69,MATCH($A53,$A$68:$A$69,0)),INDEX(CMI_Projection!$L$23:$CC$83,$A53-59,2026+($A53-Z$4)-2021))))</f>
        <v>0.392847836193132</v>
      </c>
      <c r="AA53" s="30" t="n">
        <f aca="false">IF($A53&lt;AA$4,"",MIN(1,IF(AND(Assumptions!$B$42=1,OR($A53=104,$A53=105)),INDEX(AA$68:AA$69,MATCH($A53,$A$68:$A$69,0)),INDEX(CMI_Projection!$L$23:$CC$83,$A53-59,2026+($A53-AA$4)-2021))))</f>
        <v>0.393319819977105</v>
      </c>
      <c r="AC53" s="30" t="n">
        <f aca="false">IF($A53&lt;AC$4,"",IF($A53=AC$4,1,AC52*(1-B52)))</f>
        <v>0.0118224994696753</v>
      </c>
      <c r="AD53" s="30" t="n">
        <f aca="false">IF($A53&lt;AD$4,"",IF($A53=AD$4,1,AD52*(1-C52)))</f>
        <v>0.0114564080772223</v>
      </c>
      <c r="AE53" s="30" t="n">
        <f aca="false">IF($A53&lt;AE$4,"",IF($A53=AE$4,1,AE52*(1-D52)))</f>
        <v>0.01110164297475</v>
      </c>
      <c r="AF53" s="30" t="n">
        <f aca="false">IF($A53&lt;AF$4,"",IF($A53=AF$4,1,AF52*(1-E52)))</f>
        <v>0.0107582720275995</v>
      </c>
      <c r="AG53" s="30" t="n">
        <f aca="false">IF($A53&lt;AG$4,"",IF($A53=AG$4,1,AG52*(1-F52)))</f>
        <v>0.0104263830864225</v>
      </c>
      <c r="AH53" s="30" t="n">
        <f aca="false">IF($A53&lt;AH$4,"",IF($A53=AH$4,1,AH52*(1-G52)))</f>
        <v>0.0101060881676002</v>
      </c>
      <c r="AI53" s="30" t="n">
        <f aca="false">IF($A53&lt;AI$4,"",IF($A53=AI$4,1,AI52*(1-H52)))</f>
        <v>0.00980007771038787</v>
      </c>
      <c r="AJ53" s="30" t="n">
        <f aca="false">IF($A53&lt;AJ$4,"",IF($A53=AJ$4,1,AJ52*(1-I52)))</f>
        <v>0.00950616504862417</v>
      </c>
      <c r="AK53" s="30" t="n">
        <f aca="false">IF($A53&lt;AK$4,"",IF($A53=AK$4,1,AK52*(1-J52)))</f>
        <v>0.00922458437858742</v>
      </c>
      <c r="AL53" s="30" t="n">
        <f aca="false">IF($A53&lt;AL$4,"",IF($A53=AL$4,1,AL52*(1-K52)))</f>
        <v>0.00895562135926459</v>
      </c>
      <c r="AM53" s="30" t="n">
        <f aca="false">IF($A53&lt;AM$4,"",IF($A53=AM$4,1,AM52*(1-L52)))</f>
        <v>0.00869962057679261</v>
      </c>
      <c r="AN53" s="30" t="n">
        <f aca="false">IF($A53&lt;AN$4,"",IF($A53=AN$4,1,AN52*(1-M52)))</f>
        <v>0.00845987793594712</v>
      </c>
      <c r="AO53" s="30" t="n">
        <f aca="false">IF($A53&lt;AO$4,"",IF($A53=AO$4,1,AO52*(1-N52)))</f>
        <v>0.00823427344106086</v>
      </c>
      <c r="AP53" s="30" t="n">
        <f aca="false">IF($A53&lt;AP$4,"",IF($A53=AP$4,1,AP52*(1-O52)))</f>
        <v>0.00802346185848005</v>
      </c>
      <c r="AQ53" s="30" t="n">
        <f aca="false">IF($A53&lt;AQ$4,"",IF($A53=AQ$4,1,AQ52*(1-P52)))</f>
        <v>0.00782823826060131</v>
      </c>
      <c r="AR53" s="30" t="n">
        <f aca="false">IF($A53&lt;AR$4,"",IF($A53=AR$4,1,AR52*(1-Q52)))</f>
        <v>0.00764957249446874</v>
      </c>
      <c r="AS53" s="30" t="n">
        <f aca="false">IF($A53&lt;AS$4,"",IF($A53=AS$4,1,AS52*(1-R52)))</f>
        <v>0.00749329167250471</v>
      </c>
      <c r="AT53" s="30" t="n">
        <f aca="false">IF($A53&lt;AT$4,"",IF($A53=AT$4,1,AT52*(1-S52)))</f>
        <v>0.00735675868454705</v>
      </c>
      <c r="AU53" s="30" t="n">
        <f aca="false">IF($A53&lt;AU$4,"",IF($A53=AU$4,1,AU52*(1-T52)))</f>
        <v>0.00724188038839216</v>
      </c>
      <c r="AV53" s="30" t="n">
        <f aca="false">IF($A53&lt;AV$4,"",IF($A53=AV$4,1,AV52*(1-U52)))</f>
        <v>0.00715098169076076</v>
      </c>
      <c r="AW53" s="30" t="n">
        <f aca="false">IF($A53&lt;AW$4,"",IF($A53=AW$4,1,AW52*(1-V52)))</f>
        <v>0.00708692068135499</v>
      </c>
      <c r="AX53" s="30" t="n">
        <f aca="false">IF($A53&lt;AX$4,"",IF($A53=AX$4,1,AX52*(1-W52)))</f>
        <v>0.00706157924591216</v>
      </c>
      <c r="AY53" s="30" t="n">
        <f aca="false">IF($A53&lt;AY$4,"",IF($A53=AY$4,1,AY52*(1-X52)))</f>
        <v>0.00707239969195724</v>
      </c>
      <c r="AZ53" s="30" t="n">
        <f aca="false">IF($A53&lt;AZ$4,"",IF($A53=AZ$4,1,AZ52*(1-Y52)))</f>
        <v>0.00712534340646853</v>
      </c>
      <c r="BA53" s="30" t="n">
        <f aca="false">IF($A53&lt;BA$4,"",IF($A53=BA$4,1,BA52*(1-Z52)))</f>
        <v>0.0072280206681011</v>
      </c>
      <c r="BB53" s="30" t="n">
        <f aca="false">IF($A53&lt;BB$4,"",IF($A53=BB$4,1,BB52*(1-AA52)))</f>
        <v>0.00739024477907419</v>
      </c>
    </row>
    <row r="54" customFormat="false" ht="15" hidden="false" customHeight="true" outlineLevel="0" collapsed="false">
      <c r="A54" s="3" t="n">
        <v>109</v>
      </c>
      <c r="B54" s="30" t="n">
        <f aca="false">IF($A54&lt;B$4,"",MIN(1,IF(AND(Assumptions!$B$42=1,OR($A54=104,$A54=105)),INDEX(B$68:B$69,MATCH($A54,$A$68:$A$69,0)),INDEX(CMI_Projection!$L$23:$CC$83,$A54-59,2026+($A54-B$4)-2021))))</f>
        <v>0.410178300954404</v>
      </c>
      <c r="C54" s="30" t="n">
        <f aca="false">IF($A54&lt;C$4,"",MIN(1,IF(AND(Assumptions!$B$42=1,OR($A54=104,$A54=105)),INDEX(C$68:C$69,MATCH($A54,$A$68:$A$69,0)),INDEX(CMI_Projection!$L$23:$CC$83,$A54-59,2026+($A54-C$4)-2021))))</f>
        <v>0.410424555687817</v>
      </c>
      <c r="D54" s="30" t="n">
        <f aca="false">IF($A54&lt;D$4,"",MIN(1,IF(AND(Assumptions!$B$42=1,OR($A54=104,$A54=105)),INDEX(D$68:D$69,MATCH($A54,$A$68:$A$69,0)),INDEX(CMI_Projection!$L$23:$CC$83,$A54-59,2026+($A54-D$4)-2021))))</f>
        <v>0.410670958262775</v>
      </c>
      <c r="E54" s="30" t="n">
        <f aca="false">IF($A54&lt;E$4,"",MIN(1,IF(AND(Assumptions!$B$42=1,OR($A54=104,$A54=105)),INDEX(E$68:E$69,MATCH($A54,$A$68:$A$69,0)),INDEX(CMI_Projection!$L$23:$CC$83,$A54-59,2026+($A54-E$4)-2021))))</f>
        <v>0.410917508768035</v>
      </c>
      <c r="F54" s="30" t="n">
        <f aca="false">IF($A54&lt;F$4,"",MIN(1,IF(AND(Assumptions!$B$42=1,OR($A54=104,$A54=105)),INDEX(F$68:F$69,MATCH($A54,$A$68:$A$69,0)),INDEX(CMI_Projection!$L$23:$CC$83,$A54-59,2026+($A54-F$4)-2021))))</f>
        <v>0.411164207292411</v>
      </c>
      <c r="G54" s="30" t="n">
        <f aca="false">IF($A54&lt;G$4,"",MIN(1,IF(AND(Assumptions!$B$42=1,OR($A54=104,$A54=105)),INDEX(G$68:G$69,MATCH($A54,$A$68:$A$69,0)),INDEX(CMI_Projection!$L$23:$CC$83,$A54-59,2026+($A54-G$4)-2021))))</f>
        <v>0.411411053924766</v>
      </c>
      <c r="H54" s="30" t="n">
        <f aca="false">IF($A54&lt;H$4,"",MIN(1,IF(AND(Assumptions!$B$42=1,OR($A54=104,$A54=105)),INDEX(H$68:H$69,MATCH($A54,$A$68:$A$69,0)),INDEX(CMI_Projection!$L$23:$CC$83,$A54-59,2026+($A54-H$4)-2021))))</f>
        <v>0.411658048754018</v>
      </c>
      <c r="I54" s="30" t="n">
        <f aca="false">IF($A54&lt;I$4,"",MIN(1,IF(AND(Assumptions!$B$42=1,OR($A54=104,$A54=105)),INDEX(I$68:I$69,MATCH($A54,$A$68:$A$69,0)),INDEX(CMI_Projection!$L$23:$CC$83,$A54-59,2026+($A54-I$4)-2021))))</f>
        <v>0.41190519186914</v>
      </c>
      <c r="J54" s="30" t="n">
        <f aca="false">IF($A54&lt;J$4,"",MIN(1,IF(AND(Assumptions!$B$42=1,OR($A54=104,$A54=105)),INDEX(J$68:J$69,MATCH($A54,$A$68:$A$69,0)),INDEX(CMI_Projection!$L$23:$CC$83,$A54-59,2026+($A54-J$4)-2021))))</f>
        <v>0.412152483359155</v>
      </c>
      <c r="K54" s="30" t="n">
        <f aca="false">IF($A54&lt;K$4,"",MIN(1,IF(AND(Assumptions!$B$42=1,OR($A54=104,$A54=105)),INDEX(K$68:K$69,MATCH($A54,$A$68:$A$69,0)),INDEX(CMI_Projection!$L$23:$CC$83,$A54-59,2026+($A54-K$4)-2021))))</f>
        <v>0.412399923313143</v>
      </c>
      <c r="L54" s="30" t="n">
        <f aca="false">IF($A54&lt;L$4,"",MIN(1,IF(AND(Assumptions!$B$42=1,OR($A54=104,$A54=105)),INDEX(L$68:L$69,MATCH($A54,$A$68:$A$69,0)),INDEX(CMI_Projection!$L$23:$CC$83,$A54-59,2026+($A54-L$4)-2021))))</f>
        <v>0.412647511820235</v>
      </c>
      <c r="M54" s="30" t="n">
        <f aca="false">IF($A54&lt;M$4,"",MIN(1,IF(AND(Assumptions!$B$42=1,OR($A54=104,$A54=105)),INDEX(M$68:M$69,MATCH($A54,$A$68:$A$69,0)),INDEX(CMI_Projection!$L$23:$CC$83,$A54-59,2026+($A54-M$4)-2021))))</f>
        <v>0.412895248969617</v>
      </c>
      <c r="N54" s="30" t="n">
        <f aca="false">IF($A54&lt;N$4,"",MIN(1,IF(AND(Assumptions!$B$42=1,OR($A54=104,$A54=105)),INDEX(N$68:N$69,MATCH($A54,$A$68:$A$69,0)),INDEX(CMI_Projection!$L$23:$CC$83,$A54-59,2026+($A54-N$4)-2021))))</f>
        <v>0.413143134850527</v>
      </c>
      <c r="O54" s="30" t="n">
        <f aca="false">IF($A54&lt;O$4,"",MIN(1,IF(AND(Assumptions!$B$42=1,OR($A54=104,$A54=105)),INDEX(O$68:O$69,MATCH($A54,$A$68:$A$69,0)),INDEX(CMI_Projection!$L$23:$CC$83,$A54-59,2026+($A54-O$4)-2021))))</f>
        <v>0.413391169552259</v>
      </c>
      <c r="P54" s="30" t="n">
        <f aca="false">IF($A54&lt;P$4,"",MIN(1,IF(AND(Assumptions!$B$42=1,OR($A54=104,$A54=105)),INDEX(P$68:P$69,MATCH($A54,$A$68:$A$69,0)),INDEX(CMI_Projection!$L$23:$CC$83,$A54-59,2026+($A54-P$4)-2021))))</f>
        <v>0.413639353164157</v>
      </c>
      <c r="Q54" s="30" t="n">
        <f aca="false">IF($A54&lt;Q$4,"",MIN(1,IF(AND(Assumptions!$B$42=1,OR($A54=104,$A54=105)),INDEX(Q$68:Q$69,MATCH($A54,$A$68:$A$69,0)),INDEX(CMI_Projection!$L$23:$CC$83,$A54-59,2026+($A54-Q$4)-2021))))</f>
        <v>0.413887685775623</v>
      </c>
      <c r="R54" s="30" t="n">
        <f aca="false">IF($A54&lt;R$4,"",MIN(1,IF(AND(Assumptions!$B$42=1,OR($A54=104,$A54=105)),INDEX(R$68:R$69,MATCH($A54,$A$68:$A$69,0)),INDEX(CMI_Projection!$L$23:$CC$83,$A54-59,2026+($A54-R$4)-2021))))</f>
        <v>0.414136167476108</v>
      </c>
      <c r="S54" s="30" t="n">
        <f aca="false">IF($A54&lt;S$4,"",MIN(1,IF(AND(Assumptions!$B$42=1,OR($A54=104,$A54=105)),INDEX(S$68:S$69,MATCH($A54,$A$68:$A$69,0)),INDEX(CMI_Projection!$L$23:$CC$83,$A54-59,2026+($A54-S$4)-2021))))</f>
        <v>0.414384798355122</v>
      </c>
      <c r="T54" s="30" t="n">
        <f aca="false">IF($A54&lt;T$4,"",MIN(1,IF(AND(Assumptions!$B$42=1,OR($A54=104,$A54=105)),INDEX(T$68:T$69,MATCH($A54,$A$68:$A$69,0)),INDEX(CMI_Projection!$L$23:$CC$83,$A54-59,2026+($A54-T$4)-2021))))</f>
        <v>0.414633578502223</v>
      </c>
      <c r="U54" s="30" t="n">
        <f aca="false">IF($A54&lt;U$4,"",MIN(1,IF(AND(Assumptions!$B$42=1,OR($A54=104,$A54=105)),INDEX(U$68:U$69,MATCH($A54,$A$68:$A$69,0)),INDEX(CMI_Projection!$L$23:$CC$83,$A54-59,2026+($A54-U$4)-2021))))</f>
        <v>0.414882508007027</v>
      </c>
      <c r="V54" s="30" t="n">
        <f aca="false">IF($A54&lt;V$4,"",MIN(1,IF(AND(Assumptions!$B$42=1,OR($A54=104,$A54=105)),INDEX(V$68:V$69,MATCH($A54,$A$68:$A$69,0)),INDEX(CMI_Projection!$L$23:$CC$83,$A54-59,2026+($A54-V$4)-2021))))</f>
        <v>0.415131586959203</v>
      </c>
      <c r="W54" s="30" t="n">
        <f aca="false">IF($A54&lt;W$4,"",MIN(1,IF(AND(Assumptions!$B$42=1,OR($A54=104,$A54=105)),INDEX(W$68:W$69,MATCH($A54,$A$68:$A$69,0)),INDEX(CMI_Projection!$L$23:$CC$83,$A54-59,2026+($A54-W$4)-2021))))</f>
        <v>0.415380815448472</v>
      </c>
      <c r="X54" s="30" t="n">
        <f aca="false">IF($A54&lt;X$4,"",MIN(1,IF(AND(Assumptions!$B$42=1,OR($A54=104,$A54=105)),INDEX(X$68:X$69,MATCH($A54,$A$68:$A$69,0)),INDEX(CMI_Projection!$L$23:$CC$83,$A54-59,2026+($A54-X$4)-2021))))</f>
        <v>0.41563019356461</v>
      </c>
      <c r="Y54" s="30" t="n">
        <f aca="false">IF($A54&lt;Y$4,"",MIN(1,IF(AND(Assumptions!$B$42=1,OR($A54=104,$A54=105)),INDEX(Y$68:Y$69,MATCH($A54,$A$68:$A$69,0)),INDEX(CMI_Projection!$L$23:$CC$83,$A54-59,2026+($A54-Y$4)-2021))))</f>
        <v>0.415879721397449</v>
      </c>
      <c r="Z54" s="30" t="n">
        <f aca="false">IF($A54&lt;Z$4,"",MIN(1,IF(AND(Assumptions!$B$42=1,OR($A54=104,$A54=105)),INDEX(Z$68:Z$69,MATCH($A54,$A$68:$A$69,0)),INDEX(CMI_Projection!$L$23:$CC$83,$A54-59,2026+($A54-Z$4)-2021))))</f>
        <v>0.416129399036871</v>
      </c>
      <c r="AA54" s="30" t="n">
        <f aca="false">IF($A54&lt;AA$4,"",MIN(1,IF(AND(Assumptions!$B$42=1,OR($A54=104,$A54=105)),INDEX(AA$68:AA$69,MATCH($A54,$A$68:$A$69,0)),INDEX(CMI_Projection!$L$23:$CC$83,$A54-59,2026+($A54-AA$4)-2021))))</f>
        <v>0.416379226572815</v>
      </c>
      <c r="AC54" s="30" t="n">
        <f aca="false">IF($A54&lt;AC$4,"",IF($A54=AC$4,1,AC53*(1-B53)))</f>
        <v>0.00730998635707329</v>
      </c>
      <c r="AD54" s="30" t="n">
        <f aca="false">IF($A54&lt;AD$4,"",IF($A54=AD$4,1,AD53*(1-C53)))</f>
        <v>0.00707837423015388</v>
      </c>
      <c r="AE54" s="30" t="n">
        <f aca="false">IF($A54&lt;AE$4,"",IF($A54=AE$4,1,AE53*(1-D53)))</f>
        <v>0.00685408453506286</v>
      </c>
      <c r="AF54" s="30" t="n">
        <f aca="false">IF($A54&lt;AF$4,"",IF($A54=AF$4,1,AF53*(1-E53)))</f>
        <v>0.00663714411885896</v>
      </c>
      <c r="AG54" s="30" t="n">
        <f aca="false">IF($A54&lt;AG$4,"",IF($A54=AG$4,1,AG53*(1-F53)))</f>
        <v>0.00642759198751554</v>
      </c>
      <c r="AH54" s="30" t="n">
        <f aca="false">IF($A54&lt;AH$4,"",IF($A54=AH$4,1,AH53*(1-G53)))</f>
        <v>0.0062254818346198</v>
      </c>
      <c r="AI54" s="30" t="n">
        <f aca="false">IF($A54&lt;AI$4,"",IF($A54=AI$4,1,AI53*(1-H53)))</f>
        <v>0.0060324542623361</v>
      </c>
      <c r="AJ54" s="30" t="n">
        <f aca="false">IF($A54&lt;AJ$4,"",IF($A54=AJ$4,1,AJ53*(1-I53)))</f>
        <v>0.0058471450066562</v>
      </c>
      <c r="AK54" s="30" t="n">
        <f aca="false">IF($A54&lt;AK$4,"",IF($A54=AK$4,1,AK53*(1-J53)))</f>
        <v>0.00566968172995956</v>
      </c>
      <c r="AL54" s="30" t="n">
        <f aca="false">IF($A54&lt;AL$4,"",IF($A54=AL$4,1,AL53*(1-K53)))</f>
        <v>0.00550022322793026</v>
      </c>
      <c r="AM54" s="30" t="n">
        <f aca="false">IF($A54&lt;AM$4,"",IF($A54=AM$4,1,AM53*(1-L53)))</f>
        <v>0.00533896388982805</v>
      </c>
      <c r="AN54" s="30" t="n">
        <f aca="false">IF($A54&lt;AN$4,"",IF($A54=AN$4,1,AN53*(1-M53)))</f>
        <v>0.00518790728056396</v>
      </c>
      <c r="AO54" s="30" t="n">
        <f aca="false">IF($A54&lt;AO$4,"",IF($A54=AO$4,1,AO53*(1-N53)))</f>
        <v>0.00504573208424766</v>
      </c>
      <c r="AP54" s="30" t="n">
        <f aca="false">IF($A54&lt;AP$4,"",IF($A54=AP$4,1,AP53*(1-O53)))</f>
        <v>0.00491281988188667</v>
      </c>
      <c r="AQ54" s="30" t="n">
        <f aca="false">IF($A54&lt;AQ$4,"",IF($A54=AQ$4,1,AQ53*(1-P53)))</f>
        <v>0.00478963683276196</v>
      </c>
      <c r="AR54" s="30" t="n">
        <f aca="false">IF($A54&lt;AR$4,"",IF($A54=AR$4,1,AR53*(1-Q53)))</f>
        <v>0.00467675441673598</v>
      </c>
      <c r="AS54" s="30" t="n">
        <f aca="false">IF($A54&lt;AS$4,"",IF($A54=AS$4,1,AS53*(1-R53)))</f>
        <v>0.00457770959132757</v>
      </c>
      <c r="AT54" s="30" t="n">
        <f aca="false">IF($A54&lt;AT$4,"",IF($A54=AT$4,1,AT53*(1-S53)))</f>
        <v>0.00449086146082502</v>
      </c>
      <c r="AU54" s="30" t="n">
        <f aca="false">IF($A54&lt;AU$4,"",IF($A54=AU$4,1,AU53*(1-T53)))</f>
        <v>0.00441734568569597</v>
      </c>
      <c r="AV54" s="30" t="n">
        <f aca="false">IF($A54&lt;AV$4,"",IF($A54=AV$4,1,AV53*(1-U53)))</f>
        <v>0.00435854908833996</v>
      </c>
      <c r="AW54" s="30" t="n">
        <f aca="false">IF($A54&lt;AW$4,"",IF($A54=AW$4,1,AW53*(1-V53)))</f>
        <v>0.00431617878217008</v>
      </c>
      <c r="AX54" s="30" t="n">
        <f aca="false">IF($A54&lt;AX$4,"",IF($A54=AX$4,1,AX53*(1-W53)))</f>
        <v>0.00429742799367477</v>
      </c>
      <c r="AY54" s="30" t="n">
        <f aca="false">IF($A54&lt;AY$4,"",IF($A54=AY$4,1,AY53*(1-X53)))</f>
        <v>0.00430068688001373</v>
      </c>
      <c r="AZ54" s="30" t="n">
        <f aca="false">IF($A54&lt;AZ$4,"",IF($A54=AZ$4,1,AZ53*(1-Y53)))</f>
        <v>0.0043295266779916</v>
      </c>
      <c r="BA54" s="30" t="n">
        <f aca="false">IF($A54&lt;BA$4,"",IF($A54=BA$4,1,BA53*(1-Z53)))</f>
        <v>0.00438850838867835</v>
      </c>
      <c r="BB54" s="30" t="n">
        <f aca="false">IF($A54&lt;BB$4,"",IF($A54=BB$4,1,BB53*(1-AA53)))</f>
        <v>0.00448351503298199</v>
      </c>
    </row>
    <row r="55" customFormat="false" ht="15" hidden="false" customHeight="true" outlineLevel="0" collapsed="false">
      <c r="A55" s="3" t="n">
        <v>110</v>
      </c>
      <c r="B55" s="30" t="n">
        <f aca="false">IF($A55&lt;B$4,"",MIN(1,IF(AND(Assumptions!$B$42=1,OR($A55=104,$A55=105)),INDEX(B$68:B$69,MATCH($A55,$A$68:$A$69,0)),INDEX(CMI_Projection!$L$23:$CC$83,$A55-59,2026+($A55-B$4)-2021))))</f>
        <v>0.440590901801861</v>
      </c>
      <c r="C55" s="30" t="n">
        <f aca="false">IF($A55&lt;C$4,"",MIN(1,IF(AND(Assumptions!$B$42=1,OR($A55=104,$A55=105)),INDEX(C$68:C$69,MATCH($A55,$A$68:$A$69,0)),INDEX(CMI_Projection!$L$23:$CC$83,$A55-59,2026+($A55-C$4)-2021))))</f>
        <v>0.440590901801861</v>
      </c>
      <c r="D55" s="30" t="n">
        <f aca="false">IF($A55&lt;D$4,"",MIN(1,IF(AND(Assumptions!$B$42=1,OR($A55=104,$A55=105)),INDEX(D$68:D$69,MATCH($A55,$A$68:$A$69,0)),INDEX(CMI_Projection!$L$23:$CC$83,$A55-59,2026+($A55-D$4)-2021))))</f>
        <v>0.440590901801861</v>
      </c>
      <c r="E55" s="30" t="n">
        <f aca="false">IF($A55&lt;E$4,"",MIN(1,IF(AND(Assumptions!$B$42=1,OR($A55=104,$A55=105)),INDEX(E$68:E$69,MATCH($A55,$A$68:$A$69,0)),INDEX(CMI_Projection!$L$23:$CC$83,$A55-59,2026+($A55-E$4)-2021))))</f>
        <v>0.440590901801861</v>
      </c>
      <c r="F55" s="30" t="n">
        <f aca="false">IF($A55&lt;F$4,"",MIN(1,IF(AND(Assumptions!$B$42=1,OR($A55=104,$A55=105)),INDEX(F$68:F$69,MATCH($A55,$A$68:$A$69,0)),INDEX(CMI_Projection!$L$23:$CC$83,$A55-59,2026+($A55-F$4)-2021))))</f>
        <v>0.440590901801861</v>
      </c>
      <c r="G55" s="30" t="n">
        <f aca="false">IF($A55&lt;G$4,"",MIN(1,IF(AND(Assumptions!$B$42=1,OR($A55=104,$A55=105)),INDEX(G$68:G$69,MATCH($A55,$A$68:$A$69,0)),INDEX(CMI_Projection!$L$23:$CC$83,$A55-59,2026+($A55-G$4)-2021))))</f>
        <v>0.440590901801861</v>
      </c>
      <c r="H55" s="30" t="n">
        <f aca="false">IF($A55&lt;H$4,"",MIN(1,IF(AND(Assumptions!$B$42=1,OR($A55=104,$A55=105)),INDEX(H$68:H$69,MATCH($A55,$A$68:$A$69,0)),INDEX(CMI_Projection!$L$23:$CC$83,$A55-59,2026+($A55-H$4)-2021))))</f>
        <v>0.440590901801861</v>
      </c>
      <c r="I55" s="30" t="n">
        <f aca="false">IF($A55&lt;I$4,"",MIN(1,IF(AND(Assumptions!$B$42=1,OR($A55=104,$A55=105)),INDEX(I$68:I$69,MATCH($A55,$A$68:$A$69,0)),INDEX(CMI_Projection!$L$23:$CC$83,$A55-59,2026+($A55-I$4)-2021))))</f>
        <v>0.440590901801861</v>
      </c>
      <c r="J55" s="30" t="n">
        <f aca="false">IF($A55&lt;J$4,"",MIN(1,IF(AND(Assumptions!$B$42=1,OR($A55=104,$A55=105)),INDEX(J$68:J$69,MATCH($A55,$A$68:$A$69,0)),INDEX(CMI_Projection!$L$23:$CC$83,$A55-59,2026+($A55-J$4)-2021))))</f>
        <v>0.440590901801861</v>
      </c>
      <c r="K55" s="30" t="n">
        <f aca="false">IF($A55&lt;K$4,"",MIN(1,IF(AND(Assumptions!$B$42=1,OR($A55=104,$A55=105)),INDEX(K$68:K$69,MATCH($A55,$A$68:$A$69,0)),INDEX(CMI_Projection!$L$23:$CC$83,$A55-59,2026+($A55-K$4)-2021))))</f>
        <v>0.440590901801861</v>
      </c>
      <c r="L55" s="30" t="n">
        <f aca="false">IF($A55&lt;L$4,"",MIN(1,IF(AND(Assumptions!$B$42=1,OR($A55=104,$A55=105)),INDEX(L$68:L$69,MATCH($A55,$A$68:$A$69,0)),INDEX(CMI_Projection!$L$23:$CC$83,$A55-59,2026+($A55-L$4)-2021))))</f>
        <v>0.440590901801861</v>
      </c>
      <c r="M55" s="30" t="n">
        <f aca="false">IF($A55&lt;M$4,"",MIN(1,IF(AND(Assumptions!$B$42=1,OR($A55=104,$A55=105)),INDEX(M$68:M$69,MATCH($A55,$A$68:$A$69,0)),INDEX(CMI_Projection!$L$23:$CC$83,$A55-59,2026+($A55-M$4)-2021))))</f>
        <v>0.440590901801861</v>
      </c>
      <c r="N55" s="30" t="n">
        <f aca="false">IF($A55&lt;N$4,"",MIN(1,IF(AND(Assumptions!$B$42=1,OR($A55=104,$A55=105)),INDEX(N$68:N$69,MATCH($A55,$A$68:$A$69,0)),INDEX(CMI_Projection!$L$23:$CC$83,$A55-59,2026+($A55-N$4)-2021))))</f>
        <v>0.440590901801861</v>
      </c>
      <c r="O55" s="30" t="n">
        <f aca="false">IF($A55&lt;O$4,"",MIN(1,IF(AND(Assumptions!$B$42=1,OR($A55=104,$A55=105)),INDEX(O$68:O$69,MATCH($A55,$A$68:$A$69,0)),INDEX(CMI_Projection!$L$23:$CC$83,$A55-59,2026+($A55-O$4)-2021))))</f>
        <v>0.440590901801861</v>
      </c>
      <c r="P55" s="30" t="n">
        <f aca="false">IF($A55&lt;P$4,"",MIN(1,IF(AND(Assumptions!$B$42=1,OR($A55=104,$A55=105)),INDEX(P$68:P$69,MATCH($A55,$A$68:$A$69,0)),INDEX(CMI_Projection!$L$23:$CC$83,$A55-59,2026+($A55-P$4)-2021))))</f>
        <v>0.440590901801861</v>
      </c>
      <c r="Q55" s="30" t="n">
        <f aca="false">IF($A55&lt;Q$4,"",MIN(1,IF(AND(Assumptions!$B$42=1,OR($A55=104,$A55=105)),INDEX(Q$68:Q$69,MATCH($A55,$A$68:$A$69,0)),INDEX(CMI_Projection!$L$23:$CC$83,$A55-59,2026+($A55-Q$4)-2021))))</f>
        <v>0.440590901801861</v>
      </c>
      <c r="R55" s="30" t="n">
        <f aca="false">IF($A55&lt;R$4,"",MIN(1,IF(AND(Assumptions!$B$42=1,OR($A55=104,$A55=105)),INDEX(R$68:R$69,MATCH($A55,$A$68:$A$69,0)),INDEX(CMI_Projection!$L$23:$CC$83,$A55-59,2026+($A55-R$4)-2021))))</f>
        <v>0.440590901801861</v>
      </c>
      <c r="S55" s="30" t="n">
        <f aca="false">IF($A55&lt;S$4,"",MIN(1,IF(AND(Assumptions!$B$42=1,OR($A55=104,$A55=105)),INDEX(S$68:S$69,MATCH($A55,$A$68:$A$69,0)),INDEX(CMI_Projection!$L$23:$CC$83,$A55-59,2026+($A55-S$4)-2021))))</f>
        <v>0.440590901801861</v>
      </c>
      <c r="T55" s="30" t="n">
        <f aca="false">IF($A55&lt;T$4,"",MIN(1,IF(AND(Assumptions!$B$42=1,OR($A55=104,$A55=105)),INDEX(T$68:T$69,MATCH($A55,$A$68:$A$69,0)),INDEX(CMI_Projection!$L$23:$CC$83,$A55-59,2026+($A55-T$4)-2021))))</f>
        <v>0.440590901801861</v>
      </c>
      <c r="U55" s="30" t="n">
        <f aca="false">IF($A55&lt;U$4,"",MIN(1,IF(AND(Assumptions!$B$42=1,OR($A55=104,$A55=105)),INDEX(U$68:U$69,MATCH($A55,$A$68:$A$69,0)),INDEX(CMI_Projection!$L$23:$CC$83,$A55-59,2026+($A55-U$4)-2021))))</f>
        <v>0.440590901801861</v>
      </c>
      <c r="V55" s="30" t="n">
        <f aca="false">IF($A55&lt;V$4,"",MIN(1,IF(AND(Assumptions!$B$42=1,OR($A55=104,$A55=105)),INDEX(V$68:V$69,MATCH($A55,$A$68:$A$69,0)),INDEX(CMI_Projection!$L$23:$CC$83,$A55-59,2026+($A55-V$4)-2021))))</f>
        <v>0.440590901801861</v>
      </c>
      <c r="W55" s="30" t="n">
        <f aca="false">IF($A55&lt;W$4,"",MIN(1,IF(AND(Assumptions!$B$42=1,OR($A55=104,$A55=105)),INDEX(W$68:W$69,MATCH($A55,$A$68:$A$69,0)),INDEX(CMI_Projection!$L$23:$CC$83,$A55-59,2026+($A55-W$4)-2021))))</f>
        <v>0.440590901801861</v>
      </c>
      <c r="X55" s="30" t="n">
        <f aca="false">IF($A55&lt;X$4,"",MIN(1,IF(AND(Assumptions!$B$42=1,OR($A55=104,$A55=105)),INDEX(X$68:X$69,MATCH($A55,$A$68:$A$69,0)),INDEX(CMI_Projection!$L$23:$CC$83,$A55-59,2026+($A55-X$4)-2021))))</f>
        <v>0.440590901801861</v>
      </c>
      <c r="Y55" s="30" t="n">
        <f aca="false">IF($A55&lt;Y$4,"",MIN(1,IF(AND(Assumptions!$B$42=1,OR($A55=104,$A55=105)),INDEX(Y$68:Y$69,MATCH($A55,$A$68:$A$69,0)),INDEX(CMI_Projection!$L$23:$CC$83,$A55-59,2026+($A55-Y$4)-2021))))</f>
        <v>0.440590901801861</v>
      </c>
      <c r="Z55" s="30" t="n">
        <f aca="false">IF($A55&lt;Z$4,"",MIN(1,IF(AND(Assumptions!$B$42=1,OR($A55=104,$A55=105)),INDEX(Z$68:Z$69,MATCH($A55,$A$68:$A$69,0)),INDEX(CMI_Projection!$L$23:$CC$83,$A55-59,2026+($A55-Z$4)-2021))))</f>
        <v>0.440590901801861</v>
      </c>
      <c r="AA55" s="30" t="n">
        <f aca="false">IF($A55&lt;AA$4,"",MIN(1,IF(AND(Assumptions!$B$42=1,OR($A55=104,$A55=105)),INDEX(AA$68:AA$69,MATCH($A55,$A$68:$A$69,0)),INDEX(CMI_Projection!$L$23:$CC$83,$A55-59,2026+($A55-AA$4)-2021))))</f>
        <v>0.440590901801861</v>
      </c>
      <c r="AC55" s="30" t="n">
        <f aca="false">IF($A55&lt;AC$4,"",IF($A55=AC$4,1,AC54*(1-B54)))</f>
        <v>0.00431158857312909</v>
      </c>
      <c r="AD55" s="30" t="n">
        <f aca="false">IF($A55&lt;AD$4,"",IF($A55=AD$4,1,AD54*(1-C54)))</f>
        <v>0.00417323563175088</v>
      </c>
      <c r="AE55" s="30" t="n">
        <f aca="false">IF($A55&lt;AE$4,"",IF($A55=AE$4,1,AE54*(1-D54)))</f>
        <v>0.00403931107103453</v>
      </c>
      <c r="AF55" s="30" t="n">
        <f aca="false">IF($A55&lt;AF$4,"",IF($A55=AF$4,1,AF54*(1-E54)))</f>
        <v>0.00390982539220302</v>
      </c>
      <c r="AG55" s="30" t="n">
        <f aca="false">IF($A55&lt;AG$4,"",IF($A55=AG$4,1,AG54*(1-F54)))</f>
        <v>0.00378479622316966</v>
      </c>
      <c r="AH55" s="30" t="n">
        <f aca="false">IF($A55&lt;AH$4,"",IF($A55=AH$4,1,AH54*(1-G54)))</f>
        <v>0.00366424979184939</v>
      </c>
      <c r="AI55" s="30" t="n">
        <f aca="false">IF($A55&lt;AI$4,"",IF($A55=AI$4,1,AI54*(1-H54)))</f>
        <v>0.00354914591150496</v>
      </c>
      <c r="AJ55" s="30" t="n">
        <f aca="false">IF($A55&lt;AJ$4,"",IF($A55=AJ$4,1,AJ54*(1-I54)))</f>
        <v>0.0034386756208028</v>
      </c>
      <c r="AK55" s="30" t="n">
        <f aca="false">IF($A55&lt;AK$4,"",IF($A55=AK$4,1,AK54*(1-J54)))</f>
        <v>0.0033329083251007</v>
      </c>
      <c r="AL55" s="30" t="n">
        <f aca="false">IF($A55&lt;AL$4,"",IF($A55=AL$4,1,AL54*(1-K54)))</f>
        <v>0.00323193159052665</v>
      </c>
      <c r="AM55" s="30" t="n">
        <f aca="false">IF($A55&lt;AM$4,"",IF($A55=AM$4,1,AM54*(1-L54)))</f>
        <v>0.00313585372499242</v>
      </c>
      <c r="AN55" s="30" t="n">
        <f aca="false">IF($A55&lt;AN$4,"",IF($A55=AN$4,1,AN54*(1-M54)))</f>
        <v>0.00304584501232422</v>
      </c>
      <c r="AO55" s="30" t="n">
        <f aca="false">IF($A55&lt;AO$4,"",IF($A55=AO$4,1,AO54*(1-N54)))</f>
        <v>0.0029611225133457</v>
      </c>
      <c r="AP55" s="30" t="n">
        <f aca="false">IF($A55&lt;AP$4,"",IF($A55=AP$4,1,AP54*(1-O54)))</f>
        <v>0.00288190352511395</v>
      </c>
      <c r="AQ55" s="30" t="n">
        <f aca="false">IF($A55&lt;AQ$4,"",IF($A55=AQ$4,1,AQ54*(1-P54)))</f>
        <v>0.00280845455136708</v>
      </c>
      <c r="AR55" s="30" t="n">
        <f aca="false">IF($A55&lt;AR$4,"",IF($A55=AR$4,1,AR54*(1-Q54)))</f>
        <v>0.0027411033542522</v>
      </c>
      <c r="AS55" s="30" t="n">
        <f aca="false">IF($A55&lt;AS$4,"",IF($A55=AS$4,1,AS54*(1-R54)))</f>
        <v>0.00268191448535655</v>
      </c>
      <c r="AT55" s="30" t="n">
        <f aca="false">IF($A55&lt;AT$4,"",IF($A55=AT$4,1,AT54*(1-S54)))</f>
        <v>0.00262991673994026</v>
      </c>
      <c r="AU55" s="30" t="n">
        <f aca="false">IF($A55&lt;AU$4,"",IF($A55=AU$4,1,AU54*(1-T54)))</f>
        <v>0.00258576583655449</v>
      </c>
      <c r="AV55" s="30" t="n">
        <f aca="false">IF($A55&lt;AV$4,"",IF($A55=AV$4,1,AV54*(1-U54)))</f>
        <v>0.00255026331129773</v>
      </c>
      <c r="AW55" s="30" t="n">
        <f aca="false">IF($A55&lt;AW$4,"",IF($A55=AW$4,1,AW54*(1-V54)))</f>
        <v>0.00252439663472818</v>
      </c>
      <c r="AX55" s="30" t="n">
        <f aca="false">IF($A55&lt;AX$4,"",IF($A55=AX$4,1,AX54*(1-W54)))</f>
        <v>0.00251235884933105</v>
      </c>
      <c r="AY55" s="30" t="n">
        <f aca="false">IF($A55&lt;AY$4,"",IF($A55=AY$4,1,AY54*(1-X54)))</f>
        <v>0.00251319155961284</v>
      </c>
      <c r="AZ55" s="30" t="n">
        <f aca="false">IF($A55&lt;AZ$4,"",IF($A55=AZ$4,1,AZ54*(1-Y54)))</f>
        <v>0.00252896432936563</v>
      </c>
      <c r="BA55" s="30" t="n">
        <f aca="false">IF($A55&lt;BA$4,"",IF($A55=BA$4,1,BA54*(1-Z54)))</f>
        <v>0.00256232103022936</v>
      </c>
      <c r="BB55" s="30" t="n">
        <f aca="false">IF($A55&lt;BB$4,"",IF($A55=BB$4,1,BB54*(1-AA54)))</f>
        <v>0.00261667251122136</v>
      </c>
    </row>
    <row r="56" customFormat="false" ht="15" hidden="false" customHeight="true" outlineLevel="0" collapsed="false">
      <c r="A56" s="3" t="n">
        <v>111</v>
      </c>
      <c r="B56" s="30" t="n">
        <f aca="false">IF($A56&lt;B$4,"",MIN(1,IF(AND(Assumptions!$B$42=1,OR($A56=104,$A56=105)),INDEX(B$68:B$69,MATCH($A56,$A$68:$A$69,0)),INDEX(CMI_Projection!$L$23:$CC$83,$A56-59,2026+($A56-B$4)-2021))))</f>
        <v>0.458238138888</v>
      </c>
      <c r="C56" s="30" t="n">
        <f aca="false">IF($A56&lt;C$4,"",MIN(1,IF(AND(Assumptions!$B$42=1,OR($A56=104,$A56=105)),INDEX(C$68:C$69,MATCH($A56,$A$68:$A$69,0)),INDEX(CMI_Projection!$L$23:$CC$83,$A56-59,2026+($A56-C$4)-2021))))</f>
        <v>0.458238138888</v>
      </c>
      <c r="D56" s="30" t="n">
        <f aca="false">IF($A56&lt;D$4,"",MIN(1,IF(AND(Assumptions!$B$42=1,OR($A56=104,$A56=105)),INDEX(D$68:D$69,MATCH($A56,$A$68:$A$69,0)),INDEX(CMI_Projection!$L$23:$CC$83,$A56-59,2026+($A56-D$4)-2021))))</f>
        <v>0.458238138888</v>
      </c>
      <c r="E56" s="30" t="n">
        <f aca="false">IF($A56&lt;E$4,"",MIN(1,IF(AND(Assumptions!$B$42=1,OR($A56=104,$A56=105)),INDEX(E$68:E$69,MATCH($A56,$A$68:$A$69,0)),INDEX(CMI_Projection!$L$23:$CC$83,$A56-59,2026+($A56-E$4)-2021))))</f>
        <v>0.458238138888</v>
      </c>
      <c r="F56" s="30" t="n">
        <f aca="false">IF($A56&lt;F$4,"",MIN(1,IF(AND(Assumptions!$B$42=1,OR($A56=104,$A56=105)),INDEX(F$68:F$69,MATCH($A56,$A$68:$A$69,0)),INDEX(CMI_Projection!$L$23:$CC$83,$A56-59,2026+($A56-F$4)-2021))))</f>
        <v>0.458238138888</v>
      </c>
      <c r="G56" s="30" t="n">
        <f aca="false">IF($A56&lt;G$4,"",MIN(1,IF(AND(Assumptions!$B$42=1,OR($A56=104,$A56=105)),INDEX(G$68:G$69,MATCH($A56,$A$68:$A$69,0)),INDEX(CMI_Projection!$L$23:$CC$83,$A56-59,2026+($A56-G$4)-2021))))</f>
        <v>0.458238138888</v>
      </c>
      <c r="H56" s="30" t="n">
        <f aca="false">IF($A56&lt;H$4,"",MIN(1,IF(AND(Assumptions!$B$42=1,OR($A56=104,$A56=105)),INDEX(H$68:H$69,MATCH($A56,$A$68:$A$69,0)),INDEX(CMI_Projection!$L$23:$CC$83,$A56-59,2026+($A56-H$4)-2021))))</f>
        <v>0.458238138888</v>
      </c>
      <c r="I56" s="30" t="n">
        <f aca="false">IF($A56&lt;I$4,"",MIN(1,IF(AND(Assumptions!$B$42=1,OR($A56=104,$A56=105)),INDEX(I$68:I$69,MATCH($A56,$A$68:$A$69,0)),INDEX(CMI_Projection!$L$23:$CC$83,$A56-59,2026+($A56-I$4)-2021))))</f>
        <v>0.458238138888</v>
      </c>
      <c r="J56" s="30" t="n">
        <f aca="false">IF($A56&lt;J$4,"",MIN(1,IF(AND(Assumptions!$B$42=1,OR($A56=104,$A56=105)),INDEX(J$68:J$69,MATCH($A56,$A$68:$A$69,0)),INDEX(CMI_Projection!$L$23:$CC$83,$A56-59,2026+($A56-J$4)-2021))))</f>
        <v>0.458238138888</v>
      </c>
      <c r="K56" s="30" t="n">
        <f aca="false">IF($A56&lt;K$4,"",MIN(1,IF(AND(Assumptions!$B$42=1,OR($A56=104,$A56=105)),INDEX(K$68:K$69,MATCH($A56,$A$68:$A$69,0)),INDEX(CMI_Projection!$L$23:$CC$83,$A56-59,2026+($A56-K$4)-2021))))</f>
        <v>0.458238138888</v>
      </c>
      <c r="L56" s="30" t="n">
        <f aca="false">IF($A56&lt;L$4,"",MIN(1,IF(AND(Assumptions!$B$42=1,OR($A56=104,$A56=105)),INDEX(L$68:L$69,MATCH($A56,$A$68:$A$69,0)),INDEX(CMI_Projection!$L$23:$CC$83,$A56-59,2026+($A56-L$4)-2021))))</f>
        <v>0.458238138888</v>
      </c>
      <c r="M56" s="30" t="n">
        <f aca="false">IF($A56&lt;M$4,"",MIN(1,IF(AND(Assumptions!$B$42=1,OR($A56=104,$A56=105)),INDEX(M$68:M$69,MATCH($A56,$A$68:$A$69,0)),INDEX(CMI_Projection!$L$23:$CC$83,$A56-59,2026+($A56-M$4)-2021))))</f>
        <v>0.458238138888</v>
      </c>
      <c r="N56" s="30" t="n">
        <f aca="false">IF($A56&lt;N$4,"",MIN(1,IF(AND(Assumptions!$B$42=1,OR($A56=104,$A56=105)),INDEX(N$68:N$69,MATCH($A56,$A$68:$A$69,0)),INDEX(CMI_Projection!$L$23:$CC$83,$A56-59,2026+($A56-N$4)-2021))))</f>
        <v>0.458238138888</v>
      </c>
      <c r="O56" s="30" t="n">
        <f aca="false">IF($A56&lt;O$4,"",MIN(1,IF(AND(Assumptions!$B$42=1,OR($A56=104,$A56=105)),INDEX(O$68:O$69,MATCH($A56,$A$68:$A$69,0)),INDEX(CMI_Projection!$L$23:$CC$83,$A56-59,2026+($A56-O$4)-2021))))</f>
        <v>0.458238138888</v>
      </c>
      <c r="P56" s="30" t="n">
        <f aca="false">IF($A56&lt;P$4,"",MIN(1,IF(AND(Assumptions!$B$42=1,OR($A56=104,$A56=105)),INDEX(P$68:P$69,MATCH($A56,$A$68:$A$69,0)),INDEX(CMI_Projection!$L$23:$CC$83,$A56-59,2026+($A56-P$4)-2021))))</f>
        <v>0.458238138888</v>
      </c>
      <c r="Q56" s="30" t="n">
        <f aca="false">IF($A56&lt;Q$4,"",MIN(1,IF(AND(Assumptions!$B$42=1,OR($A56=104,$A56=105)),INDEX(Q$68:Q$69,MATCH($A56,$A$68:$A$69,0)),INDEX(CMI_Projection!$L$23:$CC$83,$A56-59,2026+($A56-Q$4)-2021))))</f>
        <v>0.458238138888</v>
      </c>
      <c r="R56" s="30" t="n">
        <f aca="false">IF($A56&lt;R$4,"",MIN(1,IF(AND(Assumptions!$B$42=1,OR($A56=104,$A56=105)),INDEX(R$68:R$69,MATCH($A56,$A$68:$A$69,0)),INDEX(CMI_Projection!$L$23:$CC$83,$A56-59,2026+($A56-R$4)-2021))))</f>
        <v>0.458238138888</v>
      </c>
      <c r="S56" s="30" t="n">
        <f aca="false">IF($A56&lt;S$4,"",MIN(1,IF(AND(Assumptions!$B$42=1,OR($A56=104,$A56=105)),INDEX(S$68:S$69,MATCH($A56,$A$68:$A$69,0)),INDEX(CMI_Projection!$L$23:$CC$83,$A56-59,2026+($A56-S$4)-2021))))</f>
        <v>0.458238138888</v>
      </c>
      <c r="T56" s="30" t="n">
        <f aca="false">IF($A56&lt;T$4,"",MIN(1,IF(AND(Assumptions!$B$42=1,OR($A56=104,$A56=105)),INDEX(T$68:T$69,MATCH($A56,$A$68:$A$69,0)),INDEX(CMI_Projection!$L$23:$CC$83,$A56-59,2026+($A56-T$4)-2021))))</f>
        <v>0.458238138888</v>
      </c>
      <c r="U56" s="30" t="n">
        <f aca="false">IF($A56&lt;U$4,"",MIN(1,IF(AND(Assumptions!$B$42=1,OR($A56=104,$A56=105)),INDEX(U$68:U$69,MATCH($A56,$A$68:$A$69,0)),INDEX(CMI_Projection!$L$23:$CC$83,$A56-59,2026+($A56-U$4)-2021))))</f>
        <v>0.458238138888</v>
      </c>
      <c r="V56" s="30" t="n">
        <f aca="false">IF($A56&lt;V$4,"",MIN(1,IF(AND(Assumptions!$B$42=1,OR($A56=104,$A56=105)),INDEX(V$68:V$69,MATCH($A56,$A$68:$A$69,0)),INDEX(CMI_Projection!$L$23:$CC$83,$A56-59,2026+($A56-V$4)-2021))))</f>
        <v>0.458238138888</v>
      </c>
      <c r="W56" s="30" t="n">
        <f aca="false">IF($A56&lt;W$4,"",MIN(1,IF(AND(Assumptions!$B$42=1,OR($A56=104,$A56=105)),INDEX(W$68:W$69,MATCH($A56,$A$68:$A$69,0)),INDEX(CMI_Projection!$L$23:$CC$83,$A56-59,2026+($A56-W$4)-2021))))</f>
        <v>0.458238138888</v>
      </c>
      <c r="X56" s="30" t="n">
        <f aca="false">IF($A56&lt;X$4,"",MIN(1,IF(AND(Assumptions!$B$42=1,OR($A56=104,$A56=105)),INDEX(X$68:X$69,MATCH($A56,$A$68:$A$69,0)),INDEX(CMI_Projection!$L$23:$CC$83,$A56-59,2026+($A56-X$4)-2021))))</f>
        <v>0.458238138888</v>
      </c>
      <c r="Y56" s="30" t="n">
        <f aca="false">IF($A56&lt;Y$4,"",MIN(1,IF(AND(Assumptions!$B$42=1,OR($A56=104,$A56=105)),INDEX(Y$68:Y$69,MATCH($A56,$A$68:$A$69,0)),INDEX(CMI_Projection!$L$23:$CC$83,$A56-59,2026+($A56-Y$4)-2021))))</f>
        <v>0.458238138888</v>
      </c>
      <c r="Z56" s="30" t="n">
        <f aca="false">IF($A56&lt;Z$4,"",MIN(1,IF(AND(Assumptions!$B$42=1,OR($A56=104,$A56=105)),INDEX(Z$68:Z$69,MATCH($A56,$A$68:$A$69,0)),INDEX(CMI_Projection!$L$23:$CC$83,$A56-59,2026+($A56-Z$4)-2021))))</f>
        <v>0.458238138888</v>
      </c>
      <c r="AA56" s="30" t="n">
        <f aca="false">IF($A56&lt;AA$4,"",MIN(1,IF(AND(Assumptions!$B$42=1,OR($A56=104,$A56=105)),INDEX(AA$68:AA$69,MATCH($A56,$A$68:$A$69,0)),INDEX(CMI_Projection!$L$23:$CC$83,$A56-59,2026+($A56-AA$4)-2021))))</f>
        <v>0.458238138888</v>
      </c>
      <c r="AC56" s="30" t="n">
        <f aca="false">IF($A56&lt;AC$4,"",IF($A56=AC$4,1,AC55*(1-B55)))</f>
        <v>0.00241194187549555</v>
      </c>
      <c r="AD56" s="30" t="n">
        <f aca="false">IF($A56&lt;AD$4,"",IF($A56=AD$4,1,AD55*(1-C55)))</f>
        <v>0.0023345459813261</v>
      </c>
      <c r="AE56" s="30" t="n">
        <f aca="false">IF($A56&lt;AE$4,"",IF($A56=AE$4,1,AE55*(1-D55)))</f>
        <v>0.00225962736358919</v>
      </c>
      <c r="AF56" s="30" t="n">
        <f aca="false">IF($A56&lt;AF$4,"",IF($A56=AF$4,1,AF55*(1-E55)))</f>
        <v>0.00218719189676448</v>
      </c>
      <c r="AG56" s="30" t="n">
        <f aca="false">IF($A56&lt;AG$4,"",IF($A56=AG$4,1,AG55*(1-F55)))</f>
        <v>0.00211724944206706</v>
      </c>
      <c r="AH56" s="30" t="n">
        <f aca="false">IF($A56&lt;AH$4,"",IF($A56=AH$4,1,AH55*(1-G55)))</f>
        <v>0.00204981467163119</v>
      </c>
      <c r="AI56" s="30" t="n">
        <f aca="false">IF($A56&lt;AI$4,"",IF($A56=AI$4,1,AI55*(1-H55)))</f>
        <v>0.0019854245137286</v>
      </c>
      <c r="AJ56" s="30" t="n">
        <f aca="false">IF($A56&lt;AJ$4,"",IF($A56=AJ$4,1,AJ55*(1-I55)))</f>
        <v>0.00192362642802922</v>
      </c>
      <c r="AK56" s="30" t="n">
        <f aca="false">IF($A56&lt;AK$4,"",IF($A56=AK$4,1,AK55*(1-J55)))</f>
        <v>0.00186445924052165</v>
      </c>
      <c r="AL56" s="30" t="n">
        <f aca="false">IF($A56&lt;AL$4,"",IF($A56=AL$4,1,AL55*(1-K55)))</f>
        <v>0.00180797193649459</v>
      </c>
      <c r="AM56" s="30" t="n">
        <f aca="false">IF($A56&lt;AM$4,"",IF($A56=AM$4,1,AM55*(1-L55)))</f>
        <v>0.00175422510437928</v>
      </c>
      <c r="AN56" s="30" t="n">
        <f aca="false">IF($A56&lt;AN$4,"",IF($A56=AN$4,1,AN55*(1-M55)))</f>
        <v>0.00170387341159559</v>
      </c>
      <c r="AO56" s="30" t="n">
        <f aca="false">IF($A56&lt;AO$4,"",IF($A56=AO$4,1,AO55*(1-N55)))</f>
        <v>0.00165647887484492</v>
      </c>
      <c r="AP56" s="30" t="n">
        <f aca="false">IF($A56&lt;AP$4,"",IF($A56=AP$4,1,AP55*(1-O55)))</f>
        <v>0.00161216305207803</v>
      </c>
      <c r="AQ56" s="30" t="n">
        <f aca="false">IF($A56&lt;AQ$4,"",IF($A56=AQ$4,1,AQ55*(1-P55)))</f>
        <v>0.00157107502791072</v>
      </c>
      <c r="AR56" s="30" t="n">
        <f aca="false">IF($A56&lt;AR$4,"",IF($A56=AR$4,1,AR55*(1-Q55)))</f>
        <v>0.00153339815547012</v>
      </c>
      <c r="AS56" s="30" t="n">
        <f aca="false">IF($A56&lt;AS$4,"",IF($A56=AS$4,1,AS55*(1-R55)))</f>
        <v>0.00150028736369783</v>
      </c>
      <c r="AT56" s="30" t="n">
        <f aca="false">IF($A56&lt;AT$4,"",IF($A56=AT$4,1,AT55*(1-S55)))</f>
        <v>0.00147119935182617</v>
      </c>
      <c r="AU56" s="30" t="n">
        <f aca="false">IF($A56&lt;AU$4,"",IF($A56=AU$4,1,AU55*(1-T55)))</f>
        <v>0.00144650093477851</v>
      </c>
      <c r="AV56" s="30" t="n">
        <f aca="false">IF($A56&lt;AV$4,"",IF($A56=AV$4,1,AV55*(1-U55)))</f>
        <v>0.00142664049914087</v>
      </c>
      <c r="AW56" s="30" t="n">
        <f aca="false">IF($A56&lt;AW$4,"",IF($A56=AW$4,1,AW55*(1-V55)))</f>
        <v>0.00141217044492771</v>
      </c>
      <c r="AX56" s="30" t="n">
        <f aca="false">IF($A56&lt;AX$4,"",IF($A56=AX$4,1,AX55*(1-W55)))</f>
        <v>0.0014054363982544</v>
      </c>
      <c r="AY56" s="30" t="n">
        <f aca="false">IF($A56&lt;AY$4,"",IF($A56=AY$4,1,AY55*(1-X55)))</f>
        <v>0.0014059022239622</v>
      </c>
      <c r="AZ56" s="30" t="n">
        <f aca="false">IF($A56&lt;AZ$4,"",IF($A56=AZ$4,1,AZ55*(1-Y55)))</f>
        <v>0.00141472565486569</v>
      </c>
      <c r="BA56" s="30" t="n">
        <f aca="false">IF($A56&lt;BA$4,"",IF($A56=BA$4,1,BA55*(1-Z55)))</f>
        <v>0.00143338569681473</v>
      </c>
      <c r="BB56" s="30" t="n">
        <f aca="false">IF($A56&lt;BB$4,"",IF($A56=BB$4,1,BB55*(1-AA55)))</f>
        <v>0.0014637904097822</v>
      </c>
    </row>
    <row r="57" customFormat="false" ht="15" hidden="false" customHeight="true" outlineLevel="0" collapsed="false">
      <c r="A57" s="3" t="n">
        <v>112</v>
      </c>
      <c r="B57" s="30" t="n">
        <f aca="false">IF($A57&lt;B$4,"",MIN(1,IF(AND(Assumptions!$B$42=1,OR($A57=104,$A57=105)),INDEX(B$68:B$69,MATCH($A57,$A$68:$A$69,0)),INDEX(CMI_Projection!$L$23:$CC$83,$A57-59,2026+($A57-B$4)-2021))))</f>
        <v>0.475813576891172</v>
      </c>
      <c r="C57" s="30" t="n">
        <f aca="false">IF($A57&lt;C$4,"",MIN(1,IF(AND(Assumptions!$B$42=1,OR($A57=104,$A57=105)),INDEX(C$68:C$69,MATCH($A57,$A$68:$A$69,0)),INDEX(CMI_Projection!$L$23:$CC$83,$A57-59,2026+($A57-C$4)-2021))))</f>
        <v>0.475813576891172</v>
      </c>
      <c r="D57" s="30" t="n">
        <f aca="false">IF($A57&lt;D$4,"",MIN(1,IF(AND(Assumptions!$B$42=1,OR($A57=104,$A57=105)),INDEX(D$68:D$69,MATCH($A57,$A$68:$A$69,0)),INDEX(CMI_Projection!$L$23:$CC$83,$A57-59,2026+($A57-D$4)-2021))))</f>
        <v>0.475813576891172</v>
      </c>
      <c r="E57" s="30" t="n">
        <f aca="false">IF($A57&lt;E$4,"",MIN(1,IF(AND(Assumptions!$B$42=1,OR($A57=104,$A57=105)),INDEX(E$68:E$69,MATCH($A57,$A$68:$A$69,0)),INDEX(CMI_Projection!$L$23:$CC$83,$A57-59,2026+($A57-E$4)-2021))))</f>
        <v>0.475813576891172</v>
      </c>
      <c r="F57" s="30" t="n">
        <f aca="false">IF($A57&lt;F$4,"",MIN(1,IF(AND(Assumptions!$B$42=1,OR($A57=104,$A57=105)),INDEX(F$68:F$69,MATCH($A57,$A$68:$A$69,0)),INDEX(CMI_Projection!$L$23:$CC$83,$A57-59,2026+($A57-F$4)-2021))))</f>
        <v>0.475813576891172</v>
      </c>
      <c r="G57" s="30" t="n">
        <f aca="false">IF($A57&lt;G$4,"",MIN(1,IF(AND(Assumptions!$B$42=1,OR($A57=104,$A57=105)),INDEX(G$68:G$69,MATCH($A57,$A$68:$A$69,0)),INDEX(CMI_Projection!$L$23:$CC$83,$A57-59,2026+($A57-G$4)-2021))))</f>
        <v>0.475813576891172</v>
      </c>
      <c r="H57" s="30" t="n">
        <f aca="false">IF($A57&lt;H$4,"",MIN(1,IF(AND(Assumptions!$B$42=1,OR($A57=104,$A57=105)),INDEX(H$68:H$69,MATCH($A57,$A$68:$A$69,0)),INDEX(CMI_Projection!$L$23:$CC$83,$A57-59,2026+($A57-H$4)-2021))))</f>
        <v>0.475813576891172</v>
      </c>
      <c r="I57" s="30" t="n">
        <f aca="false">IF($A57&lt;I$4,"",MIN(1,IF(AND(Assumptions!$B$42=1,OR($A57=104,$A57=105)),INDEX(I$68:I$69,MATCH($A57,$A$68:$A$69,0)),INDEX(CMI_Projection!$L$23:$CC$83,$A57-59,2026+($A57-I$4)-2021))))</f>
        <v>0.475813576891172</v>
      </c>
      <c r="J57" s="30" t="n">
        <f aca="false">IF($A57&lt;J$4,"",MIN(1,IF(AND(Assumptions!$B$42=1,OR($A57=104,$A57=105)),INDEX(J$68:J$69,MATCH($A57,$A$68:$A$69,0)),INDEX(CMI_Projection!$L$23:$CC$83,$A57-59,2026+($A57-J$4)-2021))))</f>
        <v>0.475813576891172</v>
      </c>
      <c r="K57" s="30" t="n">
        <f aca="false">IF($A57&lt;K$4,"",MIN(1,IF(AND(Assumptions!$B$42=1,OR($A57=104,$A57=105)),INDEX(K$68:K$69,MATCH($A57,$A$68:$A$69,0)),INDEX(CMI_Projection!$L$23:$CC$83,$A57-59,2026+($A57-K$4)-2021))))</f>
        <v>0.475813576891172</v>
      </c>
      <c r="L57" s="30" t="n">
        <f aca="false">IF($A57&lt;L$4,"",MIN(1,IF(AND(Assumptions!$B$42=1,OR($A57=104,$A57=105)),INDEX(L$68:L$69,MATCH($A57,$A$68:$A$69,0)),INDEX(CMI_Projection!$L$23:$CC$83,$A57-59,2026+($A57-L$4)-2021))))</f>
        <v>0.475813576891172</v>
      </c>
      <c r="M57" s="30" t="n">
        <f aca="false">IF($A57&lt;M$4,"",MIN(1,IF(AND(Assumptions!$B$42=1,OR($A57=104,$A57=105)),INDEX(M$68:M$69,MATCH($A57,$A$68:$A$69,0)),INDEX(CMI_Projection!$L$23:$CC$83,$A57-59,2026+($A57-M$4)-2021))))</f>
        <v>0.475813576891172</v>
      </c>
      <c r="N57" s="30" t="n">
        <f aca="false">IF($A57&lt;N$4,"",MIN(1,IF(AND(Assumptions!$B$42=1,OR($A57=104,$A57=105)),INDEX(N$68:N$69,MATCH($A57,$A$68:$A$69,0)),INDEX(CMI_Projection!$L$23:$CC$83,$A57-59,2026+($A57-N$4)-2021))))</f>
        <v>0.475813576891172</v>
      </c>
      <c r="O57" s="30" t="n">
        <f aca="false">IF($A57&lt;O$4,"",MIN(1,IF(AND(Assumptions!$B$42=1,OR($A57=104,$A57=105)),INDEX(O$68:O$69,MATCH($A57,$A$68:$A$69,0)),INDEX(CMI_Projection!$L$23:$CC$83,$A57-59,2026+($A57-O$4)-2021))))</f>
        <v>0.475813576891172</v>
      </c>
      <c r="P57" s="30" t="n">
        <f aca="false">IF($A57&lt;P$4,"",MIN(1,IF(AND(Assumptions!$B$42=1,OR($A57=104,$A57=105)),INDEX(P$68:P$69,MATCH($A57,$A$68:$A$69,0)),INDEX(CMI_Projection!$L$23:$CC$83,$A57-59,2026+($A57-P$4)-2021))))</f>
        <v>0.475813576891172</v>
      </c>
      <c r="Q57" s="30" t="n">
        <f aca="false">IF($A57&lt;Q$4,"",MIN(1,IF(AND(Assumptions!$B$42=1,OR($A57=104,$A57=105)),INDEX(Q$68:Q$69,MATCH($A57,$A$68:$A$69,0)),INDEX(CMI_Projection!$L$23:$CC$83,$A57-59,2026+($A57-Q$4)-2021))))</f>
        <v>0.475813576891172</v>
      </c>
      <c r="R57" s="30" t="n">
        <f aca="false">IF($A57&lt;R$4,"",MIN(1,IF(AND(Assumptions!$B$42=1,OR($A57=104,$A57=105)),INDEX(R$68:R$69,MATCH($A57,$A$68:$A$69,0)),INDEX(CMI_Projection!$L$23:$CC$83,$A57-59,2026+($A57-R$4)-2021))))</f>
        <v>0.475813576891172</v>
      </c>
      <c r="S57" s="30" t="n">
        <f aca="false">IF($A57&lt;S$4,"",MIN(1,IF(AND(Assumptions!$B$42=1,OR($A57=104,$A57=105)),INDEX(S$68:S$69,MATCH($A57,$A$68:$A$69,0)),INDEX(CMI_Projection!$L$23:$CC$83,$A57-59,2026+($A57-S$4)-2021))))</f>
        <v>0.475813576891172</v>
      </c>
      <c r="T57" s="30" t="n">
        <f aca="false">IF($A57&lt;T$4,"",MIN(1,IF(AND(Assumptions!$B$42=1,OR($A57=104,$A57=105)),INDEX(T$68:T$69,MATCH($A57,$A$68:$A$69,0)),INDEX(CMI_Projection!$L$23:$CC$83,$A57-59,2026+($A57-T$4)-2021))))</f>
        <v>0.475813576891172</v>
      </c>
      <c r="U57" s="30" t="n">
        <f aca="false">IF($A57&lt;U$4,"",MIN(1,IF(AND(Assumptions!$B$42=1,OR($A57=104,$A57=105)),INDEX(U$68:U$69,MATCH($A57,$A$68:$A$69,0)),INDEX(CMI_Projection!$L$23:$CC$83,$A57-59,2026+($A57-U$4)-2021))))</f>
        <v>0.475813576891172</v>
      </c>
      <c r="V57" s="30" t="n">
        <f aca="false">IF($A57&lt;V$4,"",MIN(1,IF(AND(Assumptions!$B$42=1,OR($A57=104,$A57=105)),INDEX(V$68:V$69,MATCH($A57,$A$68:$A$69,0)),INDEX(CMI_Projection!$L$23:$CC$83,$A57-59,2026+($A57-V$4)-2021))))</f>
        <v>0.475813576891172</v>
      </c>
      <c r="W57" s="30" t="n">
        <f aca="false">IF($A57&lt;W$4,"",MIN(1,IF(AND(Assumptions!$B$42=1,OR($A57=104,$A57=105)),INDEX(W$68:W$69,MATCH($A57,$A$68:$A$69,0)),INDEX(CMI_Projection!$L$23:$CC$83,$A57-59,2026+($A57-W$4)-2021))))</f>
        <v>0.475813576891172</v>
      </c>
      <c r="X57" s="30" t="n">
        <f aca="false">IF($A57&lt;X$4,"",MIN(1,IF(AND(Assumptions!$B$42=1,OR($A57=104,$A57=105)),INDEX(X$68:X$69,MATCH($A57,$A$68:$A$69,0)),INDEX(CMI_Projection!$L$23:$CC$83,$A57-59,2026+($A57-X$4)-2021))))</f>
        <v>0.475813576891172</v>
      </c>
      <c r="Y57" s="30" t="n">
        <f aca="false">IF($A57&lt;Y$4,"",MIN(1,IF(AND(Assumptions!$B$42=1,OR($A57=104,$A57=105)),INDEX(Y$68:Y$69,MATCH($A57,$A$68:$A$69,0)),INDEX(CMI_Projection!$L$23:$CC$83,$A57-59,2026+($A57-Y$4)-2021))))</f>
        <v>0.475813576891172</v>
      </c>
      <c r="Z57" s="30" t="n">
        <f aca="false">IF($A57&lt;Z$4,"",MIN(1,IF(AND(Assumptions!$B$42=1,OR($A57=104,$A57=105)),INDEX(Z$68:Z$69,MATCH($A57,$A$68:$A$69,0)),INDEX(CMI_Projection!$L$23:$CC$83,$A57-59,2026+($A57-Z$4)-2021))))</f>
        <v>0.475813576891172</v>
      </c>
      <c r="AA57" s="30" t="n">
        <f aca="false">IF($A57&lt;AA$4,"",MIN(1,IF(AND(Assumptions!$B$42=1,OR($A57=104,$A57=105)),INDEX(AA$68:AA$69,MATCH($A57,$A$68:$A$69,0)),INDEX(CMI_Projection!$L$23:$CC$83,$A57-59,2026+($A57-AA$4)-2021))))</f>
        <v>0.475813576891172</v>
      </c>
      <c r="AC57" s="30" t="n">
        <f aca="false">IF($A57&lt;AC$4,"",IF($A57=AC$4,1,AC56*(1-B56)))</f>
        <v>0.00130669811936244</v>
      </c>
      <c r="AD57" s="30" t="n">
        <f aca="false">IF($A57&lt;AD$4,"",IF($A57=AD$4,1,AD56*(1-C56)))</f>
        <v>0.00126476797569477</v>
      </c>
      <c r="AE57" s="30" t="n">
        <f aca="false">IF($A57&lt;AE$4,"",IF($A57=AE$4,1,AE56*(1-D56)))</f>
        <v>0.00122417992591768</v>
      </c>
      <c r="AF57" s="30" t="n">
        <f aca="false">IF($A57&lt;AF$4,"",IF($A57=AF$4,1,AF56*(1-E56)))</f>
        <v>0.00118493715260021</v>
      </c>
      <c r="AG57" s="30" t="n">
        <f aca="false">IF($A57&lt;AG$4,"",IF($A57=AG$4,1,AG56*(1-F56)))</f>
        <v>0.0011470449981726</v>
      </c>
      <c r="AH57" s="30" t="n">
        <f aca="false">IF($A57&lt;AH$4,"",IF($A57=AH$4,1,AH56*(1-G56)))</f>
        <v>0.00111051141143759</v>
      </c>
      <c r="AI57" s="30" t="n">
        <f aca="false">IF($A57&lt;AI$4,"",IF($A57=AI$4,1,AI56*(1-H56)))</f>
        <v>0.001075627279655</v>
      </c>
      <c r="AJ57" s="30" t="n">
        <f aca="false">IF($A57&lt;AJ$4,"",IF($A57=AJ$4,1,AJ56*(1-I56)))</f>
        <v>0.00104214743373334</v>
      </c>
      <c r="AK57" s="30" t="n">
        <f aca="false">IF($A57&lt;AK$4,"",IF($A57=AK$4,1,AK56*(1-J56)))</f>
        <v>0.00101009290811248</v>
      </c>
      <c r="AL57" s="30" t="n">
        <f aca="false">IF($A57&lt;AL$4,"",IF($A57=AL$4,1,AL56*(1-K56)))</f>
        <v>0.000979490241153577</v>
      </c>
      <c r="AM57" s="30" t="n">
        <f aca="false">IF($A57&lt;AM$4,"",IF($A57=AM$4,1,AM56*(1-L56)))</f>
        <v>0.000950372257357913</v>
      </c>
      <c r="AN57" s="30" t="n">
        <f aca="false">IF($A57&lt;AN$4,"",IF($A57=AN$4,1,AN56*(1-M56)))</f>
        <v>0.00092309363056528</v>
      </c>
      <c r="AO57" s="30" t="n">
        <f aca="false">IF($A57&lt;AO$4,"",IF($A57=AO$4,1,AO56*(1-N56)))</f>
        <v>0.000897417078128697</v>
      </c>
      <c r="AP57" s="30" t="n">
        <f aca="false">IF($A57&lt;AP$4,"",IF($A57=AP$4,1,AP56*(1-O56)))</f>
        <v>0.000873408455509798</v>
      </c>
      <c r="AQ57" s="30" t="n">
        <f aca="false">IF($A57&lt;AQ$4,"",IF($A57=AQ$4,1,AQ56*(1-P56)))</f>
        <v>0.000851148531067498</v>
      </c>
      <c r="AR57" s="30" t="n">
        <f aca="false">IF($A57&lt;AR$4,"",IF($A57=AR$4,1,AR56*(1-Q56)))</f>
        <v>0.0008307366385332</v>
      </c>
      <c r="AS57" s="30" t="n">
        <f aca="false">IF($A57&lt;AS$4,"",IF($A57=AS$4,1,AS56*(1-R56)))</f>
        <v>0.000812798474359754</v>
      </c>
      <c r="AT57" s="30" t="n">
        <f aca="false">IF($A57&lt;AT$4,"",IF($A57=AT$4,1,AT56*(1-S56)))</f>
        <v>0.000797039698912114</v>
      </c>
      <c r="AU57" s="30" t="n">
        <f aca="false">IF($A57&lt;AU$4,"",IF($A57=AU$4,1,AU56*(1-T56)))</f>
        <v>0.000783659038525851</v>
      </c>
      <c r="AV57" s="30" t="n">
        <f aca="false">IF($A57&lt;AV$4,"",IF($A57=AV$4,1,AV56*(1-U56)))</f>
        <v>0.000772899411952308</v>
      </c>
      <c r="AW57" s="30" t="n">
        <f aca="false">IF($A57&lt;AW$4,"",IF($A57=AW$4,1,AW56*(1-V56)))</f>
        <v>0.000765060088451395</v>
      </c>
      <c r="AX57" s="30" t="n">
        <f aca="false">IF($A57&lt;AX$4,"",IF($A57=AX$4,1,AX56*(1-W56)))</f>
        <v>0.000761411838792849</v>
      </c>
      <c r="AY57" s="30" t="n">
        <f aca="false">IF($A57&lt;AY$4,"",IF($A57=AY$4,1,AY56*(1-X56)))</f>
        <v>0.00076166420539526</v>
      </c>
      <c r="AZ57" s="30" t="n">
        <f aca="false">IF($A57&lt;AZ$4,"",IF($A57=AZ$4,1,AZ56*(1-Y56)))</f>
        <v>0.000766444403742929</v>
      </c>
      <c r="BA57" s="30" t="n">
        <f aca="false">IF($A57&lt;BA$4,"",IF($A57=BA$4,1,BA56*(1-Z56)))</f>
        <v>0.000776553702797671</v>
      </c>
      <c r="BB57" s="30" t="n">
        <f aca="false">IF($A57&lt;BB$4,"",IF($A57=BB$4,1,BB56*(1-AA56)))</f>
        <v>0.000793025816681504</v>
      </c>
    </row>
    <row r="58" customFormat="false" ht="15" hidden="false" customHeight="true" outlineLevel="0" collapsed="false">
      <c r="A58" s="3" t="n">
        <v>113</v>
      </c>
      <c r="B58" s="30" t="n">
        <f aca="false">IF($A58&lt;B$4,"",MIN(1,IF(AND(Assumptions!$B$42=1,OR($A58=104,$A58=105)),INDEX(B$68:B$69,MATCH($A58,$A$68:$A$69,0)),INDEX(CMI_Projection!$L$23:$CC$83,$A58-59,2026+($A58-B$4)-2021))))</f>
        <v>0.493263015190997</v>
      </c>
      <c r="C58" s="30" t="n">
        <f aca="false">IF($A58&lt;C$4,"",MIN(1,IF(AND(Assumptions!$B$42=1,OR($A58=104,$A58=105)),INDEX(C$68:C$69,MATCH($A58,$A$68:$A$69,0)),INDEX(CMI_Projection!$L$23:$CC$83,$A58-59,2026+($A58-C$4)-2021))))</f>
        <v>0.493263015190997</v>
      </c>
      <c r="D58" s="30" t="n">
        <f aca="false">IF($A58&lt;D$4,"",MIN(1,IF(AND(Assumptions!$B$42=1,OR($A58=104,$A58=105)),INDEX(D$68:D$69,MATCH($A58,$A$68:$A$69,0)),INDEX(CMI_Projection!$L$23:$CC$83,$A58-59,2026+($A58-D$4)-2021))))</f>
        <v>0.493263015190997</v>
      </c>
      <c r="E58" s="30" t="n">
        <f aca="false">IF($A58&lt;E$4,"",MIN(1,IF(AND(Assumptions!$B$42=1,OR($A58=104,$A58=105)),INDEX(E$68:E$69,MATCH($A58,$A$68:$A$69,0)),INDEX(CMI_Projection!$L$23:$CC$83,$A58-59,2026+($A58-E$4)-2021))))</f>
        <v>0.493263015190997</v>
      </c>
      <c r="F58" s="30" t="n">
        <f aca="false">IF($A58&lt;F$4,"",MIN(1,IF(AND(Assumptions!$B$42=1,OR($A58=104,$A58=105)),INDEX(F$68:F$69,MATCH($A58,$A$68:$A$69,0)),INDEX(CMI_Projection!$L$23:$CC$83,$A58-59,2026+($A58-F$4)-2021))))</f>
        <v>0.493263015190997</v>
      </c>
      <c r="G58" s="30" t="n">
        <f aca="false">IF($A58&lt;G$4,"",MIN(1,IF(AND(Assumptions!$B$42=1,OR($A58=104,$A58=105)),INDEX(G$68:G$69,MATCH($A58,$A$68:$A$69,0)),INDEX(CMI_Projection!$L$23:$CC$83,$A58-59,2026+($A58-G$4)-2021))))</f>
        <v>0.493263015190997</v>
      </c>
      <c r="H58" s="30" t="n">
        <f aca="false">IF($A58&lt;H$4,"",MIN(1,IF(AND(Assumptions!$B$42=1,OR($A58=104,$A58=105)),INDEX(H$68:H$69,MATCH($A58,$A$68:$A$69,0)),INDEX(CMI_Projection!$L$23:$CC$83,$A58-59,2026+($A58-H$4)-2021))))</f>
        <v>0.493263015190997</v>
      </c>
      <c r="I58" s="30" t="n">
        <f aca="false">IF($A58&lt;I$4,"",MIN(1,IF(AND(Assumptions!$B$42=1,OR($A58=104,$A58=105)),INDEX(I$68:I$69,MATCH($A58,$A$68:$A$69,0)),INDEX(CMI_Projection!$L$23:$CC$83,$A58-59,2026+($A58-I$4)-2021))))</f>
        <v>0.493263015190997</v>
      </c>
      <c r="J58" s="30" t="n">
        <f aca="false">IF($A58&lt;J$4,"",MIN(1,IF(AND(Assumptions!$B$42=1,OR($A58=104,$A58=105)),INDEX(J$68:J$69,MATCH($A58,$A$68:$A$69,0)),INDEX(CMI_Projection!$L$23:$CC$83,$A58-59,2026+($A58-J$4)-2021))))</f>
        <v>0.493263015190997</v>
      </c>
      <c r="K58" s="30" t="n">
        <f aca="false">IF($A58&lt;K$4,"",MIN(1,IF(AND(Assumptions!$B$42=1,OR($A58=104,$A58=105)),INDEX(K$68:K$69,MATCH($A58,$A$68:$A$69,0)),INDEX(CMI_Projection!$L$23:$CC$83,$A58-59,2026+($A58-K$4)-2021))))</f>
        <v>0.493263015190997</v>
      </c>
      <c r="L58" s="30" t="n">
        <f aca="false">IF($A58&lt;L$4,"",MIN(1,IF(AND(Assumptions!$B$42=1,OR($A58=104,$A58=105)),INDEX(L$68:L$69,MATCH($A58,$A$68:$A$69,0)),INDEX(CMI_Projection!$L$23:$CC$83,$A58-59,2026+($A58-L$4)-2021))))</f>
        <v>0.493263015190997</v>
      </c>
      <c r="M58" s="30" t="n">
        <f aca="false">IF($A58&lt;M$4,"",MIN(1,IF(AND(Assumptions!$B$42=1,OR($A58=104,$A58=105)),INDEX(M$68:M$69,MATCH($A58,$A$68:$A$69,0)),INDEX(CMI_Projection!$L$23:$CC$83,$A58-59,2026+($A58-M$4)-2021))))</f>
        <v>0.493263015190997</v>
      </c>
      <c r="N58" s="30" t="n">
        <f aca="false">IF($A58&lt;N$4,"",MIN(1,IF(AND(Assumptions!$B$42=1,OR($A58=104,$A58=105)),INDEX(N$68:N$69,MATCH($A58,$A$68:$A$69,0)),INDEX(CMI_Projection!$L$23:$CC$83,$A58-59,2026+($A58-N$4)-2021))))</f>
        <v>0.493263015190997</v>
      </c>
      <c r="O58" s="30" t="n">
        <f aca="false">IF($A58&lt;O$4,"",MIN(1,IF(AND(Assumptions!$B$42=1,OR($A58=104,$A58=105)),INDEX(O$68:O$69,MATCH($A58,$A$68:$A$69,0)),INDEX(CMI_Projection!$L$23:$CC$83,$A58-59,2026+($A58-O$4)-2021))))</f>
        <v>0.493263015190997</v>
      </c>
      <c r="P58" s="30" t="n">
        <f aca="false">IF($A58&lt;P$4,"",MIN(1,IF(AND(Assumptions!$B$42=1,OR($A58=104,$A58=105)),INDEX(P$68:P$69,MATCH($A58,$A$68:$A$69,0)),INDEX(CMI_Projection!$L$23:$CC$83,$A58-59,2026+($A58-P$4)-2021))))</f>
        <v>0.493263015190997</v>
      </c>
      <c r="Q58" s="30" t="n">
        <f aca="false">IF($A58&lt;Q$4,"",MIN(1,IF(AND(Assumptions!$B$42=1,OR($A58=104,$A58=105)),INDEX(Q$68:Q$69,MATCH($A58,$A$68:$A$69,0)),INDEX(CMI_Projection!$L$23:$CC$83,$A58-59,2026+($A58-Q$4)-2021))))</f>
        <v>0.493263015190997</v>
      </c>
      <c r="R58" s="30" t="n">
        <f aca="false">IF($A58&lt;R$4,"",MIN(1,IF(AND(Assumptions!$B$42=1,OR($A58=104,$A58=105)),INDEX(R$68:R$69,MATCH($A58,$A$68:$A$69,0)),INDEX(CMI_Projection!$L$23:$CC$83,$A58-59,2026+($A58-R$4)-2021))))</f>
        <v>0.493263015190997</v>
      </c>
      <c r="S58" s="30" t="n">
        <f aca="false">IF($A58&lt;S$4,"",MIN(1,IF(AND(Assumptions!$B$42=1,OR($A58=104,$A58=105)),INDEX(S$68:S$69,MATCH($A58,$A$68:$A$69,0)),INDEX(CMI_Projection!$L$23:$CC$83,$A58-59,2026+($A58-S$4)-2021))))</f>
        <v>0.493263015190997</v>
      </c>
      <c r="T58" s="30" t="n">
        <f aca="false">IF($A58&lt;T$4,"",MIN(1,IF(AND(Assumptions!$B$42=1,OR($A58=104,$A58=105)),INDEX(T$68:T$69,MATCH($A58,$A$68:$A$69,0)),INDEX(CMI_Projection!$L$23:$CC$83,$A58-59,2026+($A58-T$4)-2021))))</f>
        <v>0.493263015190997</v>
      </c>
      <c r="U58" s="30" t="n">
        <f aca="false">IF($A58&lt;U$4,"",MIN(1,IF(AND(Assumptions!$B$42=1,OR($A58=104,$A58=105)),INDEX(U$68:U$69,MATCH($A58,$A$68:$A$69,0)),INDEX(CMI_Projection!$L$23:$CC$83,$A58-59,2026+($A58-U$4)-2021))))</f>
        <v>0.493263015190997</v>
      </c>
      <c r="V58" s="30" t="n">
        <f aca="false">IF($A58&lt;V$4,"",MIN(1,IF(AND(Assumptions!$B$42=1,OR($A58=104,$A58=105)),INDEX(V$68:V$69,MATCH($A58,$A$68:$A$69,0)),INDEX(CMI_Projection!$L$23:$CC$83,$A58-59,2026+($A58-V$4)-2021))))</f>
        <v>0.493263015190997</v>
      </c>
      <c r="W58" s="30" t="n">
        <f aca="false">IF($A58&lt;W$4,"",MIN(1,IF(AND(Assumptions!$B$42=1,OR($A58=104,$A58=105)),INDEX(W$68:W$69,MATCH($A58,$A$68:$A$69,0)),INDEX(CMI_Projection!$L$23:$CC$83,$A58-59,2026+($A58-W$4)-2021))))</f>
        <v>0.493263015190997</v>
      </c>
      <c r="X58" s="30" t="n">
        <f aca="false">IF($A58&lt;X$4,"",MIN(1,IF(AND(Assumptions!$B$42=1,OR($A58=104,$A58=105)),INDEX(X$68:X$69,MATCH($A58,$A$68:$A$69,0)),INDEX(CMI_Projection!$L$23:$CC$83,$A58-59,2026+($A58-X$4)-2021))))</f>
        <v>0.493263015190997</v>
      </c>
      <c r="Y58" s="30" t="n">
        <f aca="false">IF($A58&lt;Y$4,"",MIN(1,IF(AND(Assumptions!$B$42=1,OR($A58=104,$A58=105)),INDEX(Y$68:Y$69,MATCH($A58,$A$68:$A$69,0)),INDEX(CMI_Projection!$L$23:$CC$83,$A58-59,2026+($A58-Y$4)-2021))))</f>
        <v>0.493263015190997</v>
      </c>
      <c r="Z58" s="30" t="n">
        <f aca="false">IF($A58&lt;Z$4,"",MIN(1,IF(AND(Assumptions!$B$42=1,OR($A58=104,$A58=105)),INDEX(Z$68:Z$69,MATCH($A58,$A$68:$A$69,0)),INDEX(CMI_Projection!$L$23:$CC$83,$A58-59,2026+($A58-Z$4)-2021))))</f>
        <v>0.493263015190997</v>
      </c>
      <c r="AA58" s="30" t="n">
        <f aca="false">IF($A58&lt;AA$4,"",MIN(1,IF(AND(Assumptions!$B$42=1,OR($A58=104,$A58=105)),INDEX(AA$68:AA$69,MATCH($A58,$A$68:$A$69,0)),INDEX(CMI_Projection!$L$23:$CC$83,$A58-59,2026+($A58-AA$4)-2021))))</f>
        <v>0.493263015190997</v>
      </c>
      <c r="AC58" s="30" t="n">
        <f aca="false">IF($A58&lt;AC$4,"",IF($A58=AC$4,1,AC57*(1-B57)))</f>
        <v>0.000684953413271628</v>
      </c>
      <c r="AD58" s="30" t="n">
        <f aca="false">IF($A58&lt;AD$4,"",IF($A58=AD$4,1,AD57*(1-C57)))</f>
        <v>0.000662974201242035</v>
      </c>
      <c r="AE58" s="30" t="n">
        <f aca="false">IF($A58&lt;AE$4,"",IF($A58=AE$4,1,AE57*(1-D57)))</f>
        <v>0.000641698496608419</v>
      </c>
      <c r="AF58" s="30" t="n">
        <f aca="false">IF($A58&lt;AF$4,"",IF($A58=AF$4,1,AF57*(1-E57)))</f>
        <v>0.000621127967630263</v>
      </c>
      <c r="AG58" s="30" t="n">
        <f aca="false">IF($A58&lt;AG$4,"",IF($A58=AG$4,1,AG57*(1-F57)))</f>
        <v>0.000601265414736966</v>
      </c>
      <c r="AH58" s="30" t="n">
        <f aca="false">IF($A58&lt;AH$4,"",IF($A58=AH$4,1,AH57*(1-G57)))</f>
        <v>0.000582115004583009</v>
      </c>
      <c r="AI58" s="30" t="n">
        <f aca="false">IF($A58&lt;AI$4,"",IF($A58=AI$4,1,AI57*(1-H57)))</f>
        <v>0.000563829216320631</v>
      </c>
      <c r="AJ58" s="30" t="n">
        <f aca="false">IF($A58&lt;AJ$4,"",IF($A58=AJ$4,1,AJ57*(1-I57)))</f>
        <v>0.000546279535640723</v>
      </c>
      <c r="AK58" s="30" t="n">
        <f aca="false">IF($A58&lt;AK$4,"",IF($A58=AK$4,1,AK57*(1-J57)))</f>
        <v>0.000529476988511073</v>
      </c>
      <c r="AL58" s="30" t="n">
        <f aca="false">IF($A58&lt;AL$4,"",IF($A58=AL$4,1,AL57*(1-K57)))</f>
        <v>0.000513435485980298</v>
      </c>
      <c r="AM58" s="30" t="n">
        <f aca="false">IF($A58&lt;AM$4,"",IF($A58=AM$4,1,AM57*(1-L57)))</f>
        <v>0.000498172234206308</v>
      </c>
      <c r="AN58" s="30" t="n">
        <f aca="false">IF($A58&lt;AN$4,"",IF($A58=AN$4,1,AN57*(1-M57)))</f>
        <v>0.000483873148400556</v>
      </c>
      <c r="AO58" s="30" t="n">
        <f aca="false">IF($A58&lt;AO$4,"",IF($A58=AO$4,1,AO57*(1-N57)))</f>
        <v>0.000470413848221058</v>
      </c>
      <c r="AP58" s="30" t="n">
        <f aca="false">IF($A58&lt;AP$4,"",IF($A58=AP$4,1,AP57*(1-O57)))</f>
        <v>0.000457828854206687</v>
      </c>
      <c r="AQ58" s="30" t="n">
        <f aca="false">IF($A58&lt;AQ$4,"",IF($A58=AQ$4,1,AQ57*(1-P57)))</f>
        <v>0.000446160504034605</v>
      </c>
      <c r="AR58" s="30" t="n">
        <f aca="false">IF($A58&lt;AR$4,"",IF($A58=AR$4,1,AR57*(1-Q57)))</f>
        <v>0.00043546086709817</v>
      </c>
      <c r="AS58" s="30" t="n">
        <f aca="false">IF($A58&lt;AS$4,"",IF($A58=AS$4,1,AS57*(1-R57)))</f>
        <v>0.000426057924982952</v>
      </c>
      <c r="AT58" s="30" t="n">
        <f aca="false">IF($A58&lt;AT$4,"",IF($A58=AT$4,1,AT57*(1-S57)))</f>
        <v>0.000417797388848479</v>
      </c>
      <c r="AU58" s="30" t="n">
        <f aca="false">IF($A58&lt;AU$4,"",IF($A58=AU$4,1,AU57*(1-T57)))</f>
        <v>0.00041078342834177</v>
      </c>
      <c r="AV58" s="30" t="n">
        <f aca="false">IF($A58&lt;AV$4,"",IF($A58=AV$4,1,AV57*(1-U57)))</f>
        <v>0.000405143378174197</v>
      </c>
      <c r="AW58" s="30" t="n">
        <f aca="false">IF($A58&lt;AW$4,"",IF($A58=AW$4,1,AW57*(1-V57)))</f>
        <v>0.000401034111228661</v>
      </c>
      <c r="AX58" s="30" t="n">
        <f aca="false">IF($A58&lt;AX$4,"",IF($A58=AX$4,1,AX57*(1-W57)))</f>
        <v>0.000399121748289539</v>
      </c>
      <c r="AY58" s="30" t="n">
        <f aca="false">IF($A58&lt;AY$4,"",IF($A58=AY$4,1,AY57*(1-X57)))</f>
        <v>0.000399254035436169</v>
      </c>
      <c r="AZ58" s="30" t="n">
        <f aca="false">IF($A58&lt;AZ$4,"",IF($A58=AZ$4,1,AZ57*(1-Y57)))</f>
        <v>0.000401759750509785</v>
      </c>
      <c r="BA58" s="30" t="n">
        <f aca="false">IF($A58&lt;BA$4,"",IF($A58=BA$4,1,BA57*(1-Z57)))</f>
        <v>0.000407058907821427</v>
      </c>
      <c r="BB58" s="30" t="n">
        <f aca="false">IF($A58&lt;BB$4,"",IF($A58=BB$4,1,BB57*(1-AA57)))</f>
        <v>0.000415693366279235</v>
      </c>
    </row>
    <row r="59" customFormat="false" ht="15" hidden="false" customHeight="true" outlineLevel="0" collapsed="false">
      <c r="A59" s="3" t="n">
        <v>114</v>
      </c>
      <c r="B59" s="30" t="n">
        <f aca="false">IF($A59&lt;B$4,"",MIN(1,IF(AND(Assumptions!$B$42=1,OR($A59=104,$A59=105)),INDEX(B$68:B$69,MATCH($A59,$A$68:$A$69,0)),INDEX(CMI_Projection!$L$23:$CC$83,$A59-59,2026+($A59-B$4)-2021))))</f>
        <v>0.510534635206023</v>
      </c>
      <c r="C59" s="30" t="n">
        <f aca="false">IF($A59&lt;C$4,"",MIN(1,IF(AND(Assumptions!$B$42=1,OR($A59=104,$A59=105)),INDEX(C$68:C$69,MATCH($A59,$A$68:$A$69,0)),INDEX(CMI_Projection!$L$23:$CC$83,$A59-59,2026+($A59-C$4)-2021))))</f>
        <v>0.510534635206023</v>
      </c>
      <c r="D59" s="30" t="n">
        <f aca="false">IF($A59&lt;D$4,"",MIN(1,IF(AND(Assumptions!$B$42=1,OR($A59=104,$A59=105)),INDEX(D$68:D$69,MATCH($A59,$A$68:$A$69,0)),INDEX(CMI_Projection!$L$23:$CC$83,$A59-59,2026+($A59-D$4)-2021))))</f>
        <v>0.510534635206023</v>
      </c>
      <c r="E59" s="30" t="n">
        <f aca="false">IF($A59&lt;E$4,"",MIN(1,IF(AND(Assumptions!$B$42=1,OR($A59=104,$A59=105)),INDEX(E$68:E$69,MATCH($A59,$A$68:$A$69,0)),INDEX(CMI_Projection!$L$23:$CC$83,$A59-59,2026+($A59-E$4)-2021))))</f>
        <v>0.510534635206023</v>
      </c>
      <c r="F59" s="30" t="n">
        <f aca="false">IF($A59&lt;F$4,"",MIN(1,IF(AND(Assumptions!$B$42=1,OR($A59=104,$A59=105)),INDEX(F$68:F$69,MATCH($A59,$A$68:$A$69,0)),INDEX(CMI_Projection!$L$23:$CC$83,$A59-59,2026+($A59-F$4)-2021))))</f>
        <v>0.510534635206023</v>
      </c>
      <c r="G59" s="30" t="n">
        <f aca="false">IF($A59&lt;G$4,"",MIN(1,IF(AND(Assumptions!$B$42=1,OR($A59=104,$A59=105)),INDEX(G$68:G$69,MATCH($A59,$A$68:$A$69,0)),INDEX(CMI_Projection!$L$23:$CC$83,$A59-59,2026+($A59-G$4)-2021))))</f>
        <v>0.510534635206023</v>
      </c>
      <c r="H59" s="30" t="n">
        <f aca="false">IF($A59&lt;H$4,"",MIN(1,IF(AND(Assumptions!$B$42=1,OR($A59=104,$A59=105)),INDEX(H$68:H$69,MATCH($A59,$A$68:$A$69,0)),INDEX(CMI_Projection!$L$23:$CC$83,$A59-59,2026+($A59-H$4)-2021))))</f>
        <v>0.510534635206023</v>
      </c>
      <c r="I59" s="30" t="n">
        <f aca="false">IF($A59&lt;I$4,"",MIN(1,IF(AND(Assumptions!$B$42=1,OR($A59=104,$A59=105)),INDEX(I$68:I$69,MATCH($A59,$A$68:$A$69,0)),INDEX(CMI_Projection!$L$23:$CC$83,$A59-59,2026+($A59-I$4)-2021))))</f>
        <v>0.510534635206023</v>
      </c>
      <c r="J59" s="30" t="n">
        <f aca="false">IF($A59&lt;J$4,"",MIN(1,IF(AND(Assumptions!$B$42=1,OR($A59=104,$A59=105)),INDEX(J$68:J$69,MATCH($A59,$A$68:$A$69,0)),INDEX(CMI_Projection!$L$23:$CC$83,$A59-59,2026+($A59-J$4)-2021))))</f>
        <v>0.510534635206023</v>
      </c>
      <c r="K59" s="30" t="n">
        <f aca="false">IF($A59&lt;K$4,"",MIN(1,IF(AND(Assumptions!$B$42=1,OR($A59=104,$A59=105)),INDEX(K$68:K$69,MATCH($A59,$A$68:$A$69,0)),INDEX(CMI_Projection!$L$23:$CC$83,$A59-59,2026+($A59-K$4)-2021))))</f>
        <v>0.510534635206023</v>
      </c>
      <c r="L59" s="30" t="n">
        <f aca="false">IF($A59&lt;L$4,"",MIN(1,IF(AND(Assumptions!$B$42=1,OR($A59=104,$A59=105)),INDEX(L$68:L$69,MATCH($A59,$A$68:$A$69,0)),INDEX(CMI_Projection!$L$23:$CC$83,$A59-59,2026+($A59-L$4)-2021))))</f>
        <v>0.510534635206023</v>
      </c>
      <c r="M59" s="30" t="n">
        <f aca="false">IF($A59&lt;M$4,"",MIN(1,IF(AND(Assumptions!$B$42=1,OR($A59=104,$A59=105)),INDEX(M$68:M$69,MATCH($A59,$A$68:$A$69,0)),INDEX(CMI_Projection!$L$23:$CC$83,$A59-59,2026+($A59-M$4)-2021))))</f>
        <v>0.510534635206023</v>
      </c>
      <c r="N59" s="30" t="n">
        <f aca="false">IF($A59&lt;N$4,"",MIN(1,IF(AND(Assumptions!$B$42=1,OR($A59=104,$A59=105)),INDEX(N$68:N$69,MATCH($A59,$A$68:$A$69,0)),INDEX(CMI_Projection!$L$23:$CC$83,$A59-59,2026+($A59-N$4)-2021))))</f>
        <v>0.510534635206023</v>
      </c>
      <c r="O59" s="30" t="n">
        <f aca="false">IF($A59&lt;O$4,"",MIN(1,IF(AND(Assumptions!$B$42=1,OR($A59=104,$A59=105)),INDEX(O$68:O$69,MATCH($A59,$A$68:$A$69,0)),INDEX(CMI_Projection!$L$23:$CC$83,$A59-59,2026+($A59-O$4)-2021))))</f>
        <v>0.510534635206023</v>
      </c>
      <c r="P59" s="30" t="n">
        <f aca="false">IF($A59&lt;P$4,"",MIN(1,IF(AND(Assumptions!$B$42=1,OR($A59=104,$A59=105)),INDEX(P$68:P$69,MATCH($A59,$A$68:$A$69,0)),INDEX(CMI_Projection!$L$23:$CC$83,$A59-59,2026+($A59-P$4)-2021))))</f>
        <v>0.510534635206023</v>
      </c>
      <c r="Q59" s="30" t="n">
        <f aca="false">IF($A59&lt;Q$4,"",MIN(1,IF(AND(Assumptions!$B$42=1,OR($A59=104,$A59=105)),INDEX(Q$68:Q$69,MATCH($A59,$A$68:$A$69,0)),INDEX(CMI_Projection!$L$23:$CC$83,$A59-59,2026+($A59-Q$4)-2021))))</f>
        <v>0.510534635206023</v>
      </c>
      <c r="R59" s="30" t="n">
        <f aca="false">IF($A59&lt;R$4,"",MIN(1,IF(AND(Assumptions!$B$42=1,OR($A59=104,$A59=105)),INDEX(R$68:R$69,MATCH($A59,$A$68:$A$69,0)),INDEX(CMI_Projection!$L$23:$CC$83,$A59-59,2026+($A59-R$4)-2021))))</f>
        <v>0.510534635206023</v>
      </c>
      <c r="S59" s="30" t="n">
        <f aca="false">IF($A59&lt;S$4,"",MIN(1,IF(AND(Assumptions!$B$42=1,OR($A59=104,$A59=105)),INDEX(S$68:S$69,MATCH($A59,$A$68:$A$69,0)),INDEX(CMI_Projection!$L$23:$CC$83,$A59-59,2026+($A59-S$4)-2021))))</f>
        <v>0.510534635206023</v>
      </c>
      <c r="T59" s="30" t="n">
        <f aca="false">IF($A59&lt;T$4,"",MIN(1,IF(AND(Assumptions!$B$42=1,OR($A59=104,$A59=105)),INDEX(T$68:T$69,MATCH($A59,$A$68:$A$69,0)),INDEX(CMI_Projection!$L$23:$CC$83,$A59-59,2026+($A59-T$4)-2021))))</f>
        <v>0.510534635206023</v>
      </c>
      <c r="U59" s="30" t="n">
        <f aca="false">IF($A59&lt;U$4,"",MIN(1,IF(AND(Assumptions!$B$42=1,OR($A59=104,$A59=105)),INDEX(U$68:U$69,MATCH($A59,$A$68:$A$69,0)),INDEX(CMI_Projection!$L$23:$CC$83,$A59-59,2026+($A59-U$4)-2021))))</f>
        <v>0.510534635206023</v>
      </c>
      <c r="V59" s="30" t="n">
        <f aca="false">IF($A59&lt;V$4,"",MIN(1,IF(AND(Assumptions!$B$42=1,OR($A59=104,$A59=105)),INDEX(V$68:V$69,MATCH($A59,$A$68:$A$69,0)),INDEX(CMI_Projection!$L$23:$CC$83,$A59-59,2026+($A59-V$4)-2021))))</f>
        <v>0.510534635206023</v>
      </c>
      <c r="W59" s="30" t="n">
        <f aca="false">IF($A59&lt;W$4,"",MIN(1,IF(AND(Assumptions!$B$42=1,OR($A59=104,$A59=105)),INDEX(W$68:W$69,MATCH($A59,$A$68:$A$69,0)),INDEX(CMI_Projection!$L$23:$CC$83,$A59-59,2026+($A59-W$4)-2021))))</f>
        <v>0.510534635206023</v>
      </c>
      <c r="X59" s="30" t="n">
        <f aca="false">IF($A59&lt;X$4,"",MIN(1,IF(AND(Assumptions!$B$42=1,OR($A59=104,$A59=105)),INDEX(X$68:X$69,MATCH($A59,$A$68:$A$69,0)),INDEX(CMI_Projection!$L$23:$CC$83,$A59-59,2026+($A59-X$4)-2021))))</f>
        <v>0.510534635206023</v>
      </c>
      <c r="Y59" s="30" t="n">
        <f aca="false">IF($A59&lt;Y$4,"",MIN(1,IF(AND(Assumptions!$B$42=1,OR($A59=104,$A59=105)),INDEX(Y$68:Y$69,MATCH($A59,$A$68:$A$69,0)),INDEX(CMI_Projection!$L$23:$CC$83,$A59-59,2026+($A59-Y$4)-2021))))</f>
        <v>0.510534635206023</v>
      </c>
      <c r="Z59" s="30" t="n">
        <f aca="false">IF($A59&lt;Z$4,"",MIN(1,IF(AND(Assumptions!$B$42=1,OR($A59=104,$A59=105)),INDEX(Z$68:Z$69,MATCH($A59,$A$68:$A$69,0)),INDEX(CMI_Projection!$L$23:$CC$83,$A59-59,2026+($A59-Z$4)-2021))))</f>
        <v>0.510534635206023</v>
      </c>
      <c r="AA59" s="30" t="n">
        <f aca="false">IF($A59&lt;AA$4,"",MIN(1,IF(AND(Assumptions!$B$42=1,OR($A59=104,$A59=105)),INDEX(AA$68:AA$69,MATCH($A59,$A$68:$A$69,0)),INDEX(CMI_Projection!$L$23:$CC$83,$A59-59,2026+($A59-AA$4)-2021))))</f>
        <v>0.510534635206023</v>
      </c>
      <c r="AC59" s="30" t="n">
        <f aca="false">IF($A59&lt;AC$4,"",IF($A59=AC$4,1,AC58*(1-B58)))</f>
        <v>0.0003470912273759</v>
      </c>
      <c r="AD59" s="30" t="n">
        <f aca="false">IF($A59&lt;AD$4,"",IF($A59=AD$4,1,AD58*(1-C58)))</f>
        <v>0.000335953547743546</v>
      </c>
      <c r="AE59" s="30" t="n">
        <f aca="false">IF($A59&lt;AE$4,"",IF($A59=AE$4,1,AE58*(1-D58)))</f>
        <v>0.000325172361327821</v>
      </c>
      <c r="AF59" s="30" t="n">
        <f aca="false">IF($A59&lt;AF$4,"",IF($A59=AF$4,1,AF58*(1-E58)))</f>
        <v>0.000314748513497503</v>
      </c>
      <c r="AG59" s="30" t="n">
        <f aca="false">IF($A59&lt;AG$4,"",IF($A59=AG$4,1,AG58*(1-F58)))</f>
        <v>0.000304683423333745</v>
      </c>
      <c r="AH59" s="30" t="n">
        <f aca="false">IF($A59&lt;AH$4,"",IF($A59=AH$4,1,AH58*(1-G58)))</f>
        <v>0.000294979202234473</v>
      </c>
      <c r="AI59" s="30" t="n">
        <f aca="false">IF($A59&lt;AI$4,"",IF($A59=AI$4,1,AI58*(1-H58)))</f>
        <v>0.00028571311702554</v>
      </c>
      <c r="AJ59" s="30" t="n">
        <f aca="false">IF($A59&lt;AJ$4,"",IF($A59=AJ$4,1,AJ58*(1-I58)))</f>
        <v>0.000276820044753442</v>
      </c>
      <c r="AK59" s="30" t="n">
        <f aca="false">IF($A59&lt;AK$4,"",IF($A59=AK$4,1,AK58*(1-J58)))</f>
        <v>0.000268305572683852</v>
      </c>
      <c r="AL59" s="30" t="n">
        <f aca="false">IF($A59&lt;AL$4,"",IF($A59=AL$4,1,AL58*(1-K58)))</f>
        <v>0.000260176750059601</v>
      </c>
      <c r="AM59" s="30" t="n">
        <f aca="false">IF($A59&lt;AM$4,"",IF($A59=AM$4,1,AM58*(1-L58)))</f>
        <v>0.000252442295877269</v>
      </c>
      <c r="AN59" s="30" t="n">
        <f aca="false">IF($A59&lt;AN$4,"",IF($A59=AN$4,1,AN58*(1-M58)))</f>
        <v>0.000245196420250537</v>
      </c>
      <c r="AO59" s="30" t="n">
        <f aca="false">IF($A59&lt;AO$4,"",IF($A59=AO$4,1,AO58*(1-N58)))</f>
        <v>0.000238376095059939</v>
      </c>
      <c r="AP59" s="30" t="n">
        <f aca="false">IF($A59&lt;AP$4,"",IF($A59=AP$4,1,AP58*(1-O58)))</f>
        <v>0.000231998813139257</v>
      </c>
      <c r="AQ59" s="30" t="n">
        <f aca="false">IF($A59&lt;AQ$4,"",IF($A59=AQ$4,1,AQ58*(1-P58)))</f>
        <v>0.000226086028555361</v>
      </c>
      <c r="AR59" s="30" t="n">
        <f aca="false">IF($A59&lt;AR$4,"",IF($A59=AR$4,1,AR58*(1-Q58)))</f>
        <v>0.000220664126795641</v>
      </c>
      <c r="AS59" s="30" t="n">
        <f aca="false">IF($A59&lt;AS$4,"",IF($A59=AS$4,1,AS58*(1-R58)))</f>
        <v>0.000215899308259842</v>
      </c>
      <c r="AT59" s="30" t="n">
        <f aca="false">IF($A59&lt;AT$4,"",IF($A59=AT$4,1,AT58*(1-S58)))</f>
        <v>0.000211713389086153</v>
      </c>
      <c r="AU59" s="30" t="n">
        <f aca="false">IF($A59&lt;AU$4,"",IF($A59=AU$4,1,AU58*(1-T58)))</f>
        <v>0.000208159155887413</v>
      </c>
      <c r="AV59" s="30" t="n">
        <f aca="false">IF($A59&lt;AV$4,"",IF($A59=AV$4,1,AV58*(1-U58)))</f>
        <v>0.000205301133871326</v>
      </c>
      <c r="AW59" s="30" t="n">
        <f aca="false">IF($A59&lt;AW$4,"",IF($A59=AW$4,1,AW58*(1-V58)))</f>
        <v>0.00020321881632957</v>
      </c>
      <c r="AX59" s="30" t="n">
        <f aca="false">IF($A59&lt;AX$4,"",IF($A59=AX$4,1,AX58*(1-W58)))</f>
        <v>0.000202249751299939</v>
      </c>
      <c r="AY59" s="30" t="n">
        <f aca="false">IF($A59&lt;AY$4,"",IF($A59=AY$4,1,AY58*(1-X58)))</f>
        <v>0.000202316786089751</v>
      </c>
      <c r="AZ59" s="30" t="n">
        <f aca="false">IF($A59&lt;AZ$4,"",IF($A59=AZ$4,1,AZ58*(1-Y58)))</f>
        <v>0.000203586524590946</v>
      </c>
      <c r="BA59" s="30" t="n">
        <f aca="false">IF($A59&lt;BA$4,"",IF($A59=BA$4,1,BA58*(1-Z58)))</f>
        <v>0.000206271803589076</v>
      </c>
      <c r="BB59" s="30" t="n">
        <f aca="false">IF($A59&lt;BB$4,"",IF($A59=BB$4,1,BB58*(1-AA58)))</f>
        <v>0.000210647203033444</v>
      </c>
    </row>
    <row r="60" customFormat="false" ht="15" hidden="false" customHeight="true" outlineLevel="0" collapsed="false">
      <c r="A60" s="3" t="n">
        <v>115</v>
      </c>
      <c r="B60" s="30" t="n">
        <f aca="false">IF($A60&lt;B$4,"",MIN(1,IF(AND(Assumptions!$B$42=1,OR($A60=104,$A60=105)),INDEX(B$68:B$69,MATCH($A60,$A$68:$A$69,0)),INDEX(CMI_Projection!$L$23:$CC$83,$A60-59,2026+($A60-B$4)-2021))))</f>
        <v>0.527579551916928</v>
      </c>
      <c r="C60" s="30" t="n">
        <f aca="false">IF($A60&lt;C$4,"",MIN(1,IF(AND(Assumptions!$B$42=1,OR($A60=104,$A60=105)),INDEX(C$68:C$69,MATCH($A60,$A$68:$A$69,0)),INDEX(CMI_Projection!$L$23:$CC$83,$A60-59,2026+($A60-C$4)-2021))))</f>
        <v>0.527579551916928</v>
      </c>
      <c r="D60" s="30" t="n">
        <f aca="false">IF($A60&lt;D$4,"",MIN(1,IF(AND(Assumptions!$B$42=1,OR($A60=104,$A60=105)),INDEX(D$68:D$69,MATCH($A60,$A$68:$A$69,0)),INDEX(CMI_Projection!$L$23:$CC$83,$A60-59,2026+($A60-D$4)-2021))))</f>
        <v>0.527579551916928</v>
      </c>
      <c r="E60" s="30" t="n">
        <f aca="false">IF($A60&lt;E$4,"",MIN(1,IF(AND(Assumptions!$B$42=1,OR($A60=104,$A60=105)),INDEX(E$68:E$69,MATCH($A60,$A$68:$A$69,0)),INDEX(CMI_Projection!$L$23:$CC$83,$A60-59,2026+($A60-E$4)-2021))))</f>
        <v>0.527579551916928</v>
      </c>
      <c r="F60" s="30" t="n">
        <f aca="false">IF($A60&lt;F$4,"",MIN(1,IF(AND(Assumptions!$B$42=1,OR($A60=104,$A60=105)),INDEX(F$68:F$69,MATCH($A60,$A$68:$A$69,0)),INDEX(CMI_Projection!$L$23:$CC$83,$A60-59,2026+($A60-F$4)-2021))))</f>
        <v>0.527579551916928</v>
      </c>
      <c r="G60" s="30" t="n">
        <f aca="false">IF($A60&lt;G$4,"",MIN(1,IF(AND(Assumptions!$B$42=1,OR($A60=104,$A60=105)),INDEX(G$68:G$69,MATCH($A60,$A$68:$A$69,0)),INDEX(CMI_Projection!$L$23:$CC$83,$A60-59,2026+($A60-G$4)-2021))))</f>
        <v>0.527579551916928</v>
      </c>
      <c r="H60" s="30" t="n">
        <f aca="false">IF($A60&lt;H$4,"",MIN(1,IF(AND(Assumptions!$B$42=1,OR($A60=104,$A60=105)),INDEX(H$68:H$69,MATCH($A60,$A$68:$A$69,0)),INDEX(CMI_Projection!$L$23:$CC$83,$A60-59,2026+($A60-H$4)-2021))))</f>
        <v>0.527579551916928</v>
      </c>
      <c r="I60" s="30" t="n">
        <f aca="false">IF($A60&lt;I$4,"",MIN(1,IF(AND(Assumptions!$B$42=1,OR($A60=104,$A60=105)),INDEX(I$68:I$69,MATCH($A60,$A$68:$A$69,0)),INDEX(CMI_Projection!$L$23:$CC$83,$A60-59,2026+($A60-I$4)-2021))))</f>
        <v>0.527579551916928</v>
      </c>
      <c r="J60" s="30" t="n">
        <f aca="false">IF($A60&lt;J$4,"",MIN(1,IF(AND(Assumptions!$B$42=1,OR($A60=104,$A60=105)),INDEX(J$68:J$69,MATCH($A60,$A$68:$A$69,0)),INDEX(CMI_Projection!$L$23:$CC$83,$A60-59,2026+($A60-J$4)-2021))))</f>
        <v>0.527579551916928</v>
      </c>
      <c r="K60" s="30" t="n">
        <f aca="false">IF($A60&lt;K$4,"",MIN(1,IF(AND(Assumptions!$B$42=1,OR($A60=104,$A60=105)),INDEX(K$68:K$69,MATCH($A60,$A$68:$A$69,0)),INDEX(CMI_Projection!$L$23:$CC$83,$A60-59,2026+($A60-K$4)-2021))))</f>
        <v>0.527579551916928</v>
      </c>
      <c r="L60" s="30" t="n">
        <f aca="false">IF($A60&lt;L$4,"",MIN(1,IF(AND(Assumptions!$B$42=1,OR($A60=104,$A60=105)),INDEX(L$68:L$69,MATCH($A60,$A$68:$A$69,0)),INDEX(CMI_Projection!$L$23:$CC$83,$A60-59,2026+($A60-L$4)-2021))))</f>
        <v>0.527579551916928</v>
      </c>
      <c r="M60" s="30" t="n">
        <f aca="false">IF($A60&lt;M$4,"",MIN(1,IF(AND(Assumptions!$B$42=1,OR($A60=104,$A60=105)),INDEX(M$68:M$69,MATCH($A60,$A$68:$A$69,0)),INDEX(CMI_Projection!$L$23:$CC$83,$A60-59,2026+($A60-M$4)-2021))))</f>
        <v>0.527579551916928</v>
      </c>
      <c r="N60" s="30" t="n">
        <f aca="false">IF($A60&lt;N$4,"",MIN(1,IF(AND(Assumptions!$B$42=1,OR($A60=104,$A60=105)),INDEX(N$68:N$69,MATCH($A60,$A$68:$A$69,0)),INDEX(CMI_Projection!$L$23:$CC$83,$A60-59,2026+($A60-N$4)-2021))))</f>
        <v>0.527579551916928</v>
      </c>
      <c r="O60" s="30" t="n">
        <f aca="false">IF($A60&lt;O$4,"",MIN(1,IF(AND(Assumptions!$B$42=1,OR($A60=104,$A60=105)),INDEX(O$68:O$69,MATCH($A60,$A$68:$A$69,0)),INDEX(CMI_Projection!$L$23:$CC$83,$A60-59,2026+($A60-O$4)-2021))))</f>
        <v>0.527579551916928</v>
      </c>
      <c r="P60" s="30" t="n">
        <f aca="false">IF($A60&lt;P$4,"",MIN(1,IF(AND(Assumptions!$B$42=1,OR($A60=104,$A60=105)),INDEX(P$68:P$69,MATCH($A60,$A$68:$A$69,0)),INDEX(CMI_Projection!$L$23:$CC$83,$A60-59,2026+($A60-P$4)-2021))))</f>
        <v>0.527579551916928</v>
      </c>
      <c r="Q60" s="30" t="n">
        <f aca="false">IF($A60&lt;Q$4,"",MIN(1,IF(AND(Assumptions!$B$42=1,OR($A60=104,$A60=105)),INDEX(Q$68:Q$69,MATCH($A60,$A$68:$A$69,0)),INDEX(CMI_Projection!$L$23:$CC$83,$A60-59,2026+($A60-Q$4)-2021))))</f>
        <v>0.527579551916928</v>
      </c>
      <c r="R60" s="30" t="n">
        <f aca="false">IF($A60&lt;R$4,"",MIN(1,IF(AND(Assumptions!$B$42=1,OR($A60=104,$A60=105)),INDEX(R$68:R$69,MATCH($A60,$A$68:$A$69,0)),INDEX(CMI_Projection!$L$23:$CC$83,$A60-59,2026+($A60-R$4)-2021))))</f>
        <v>0.527579551916928</v>
      </c>
      <c r="S60" s="30" t="n">
        <f aca="false">IF($A60&lt;S$4,"",MIN(1,IF(AND(Assumptions!$B$42=1,OR($A60=104,$A60=105)),INDEX(S$68:S$69,MATCH($A60,$A$68:$A$69,0)),INDEX(CMI_Projection!$L$23:$CC$83,$A60-59,2026+($A60-S$4)-2021))))</f>
        <v>0.527579551916928</v>
      </c>
      <c r="T60" s="30" t="n">
        <f aca="false">IF($A60&lt;T$4,"",MIN(1,IF(AND(Assumptions!$B$42=1,OR($A60=104,$A60=105)),INDEX(T$68:T$69,MATCH($A60,$A$68:$A$69,0)),INDEX(CMI_Projection!$L$23:$CC$83,$A60-59,2026+($A60-T$4)-2021))))</f>
        <v>0.527579551916928</v>
      </c>
      <c r="U60" s="30" t="n">
        <f aca="false">IF($A60&lt;U$4,"",MIN(1,IF(AND(Assumptions!$B$42=1,OR($A60=104,$A60=105)),INDEX(U$68:U$69,MATCH($A60,$A$68:$A$69,0)),INDEX(CMI_Projection!$L$23:$CC$83,$A60-59,2026+($A60-U$4)-2021))))</f>
        <v>0.527579551916928</v>
      </c>
      <c r="V60" s="30" t="n">
        <f aca="false">IF($A60&lt;V$4,"",MIN(1,IF(AND(Assumptions!$B$42=1,OR($A60=104,$A60=105)),INDEX(V$68:V$69,MATCH($A60,$A$68:$A$69,0)),INDEX(CMI_Projection!$L$23:$CC$83,$A60-59,2026+($A60-V$4)-2021))))</f>
        <v>0.527579551916928</v>
      </c>
      <c r="W60" s="30" t="n">
        <f aca="false">IF($A60&lt;W$4,"",MIN(1,IF(AND(Assumptions!$B$42=1,OR($A60=104,$A60=105)),INDEX(W$68:W$69,MATCH($A60,$A$68:$A$69,0)),INDEX(CMI_Projection!$L$23:$CC$83,$A60-59,2026+($A60-W$4)-2021))))</f>
        <v>0.527579551916928</v>
      </c>
      <c r="X60" s="30" t="n">
        <f aca="false">IF($A60&lt;X$4,"",MIN(1,IF(AND(Assumptions!$B$42=1,OR($A60=104,$A60=105)),INDEX(X$68:X$69,MATCH($A60,$A$68:$A$69,0)),INDEX(CMI_Projection!$L$23:$CC$83,$A60-59,2026+($A60-X$4)-2021))))</f>
        <v>0.527579551916928</v>
      </c>
      <c r="Y60" s="30" t="n">
        <f aca="false">IF($A60&lt;Y$4,"",MIN(1,IF(AND(Assumptions!$B$42=1,OR($A60=104,$A60=105)),INDEX(Y$68:Y$69,MATCH($A60,$A$68:$A$69,0)),INDEX(CMI_Projection!$L$23:$CC$83,$A60-59,2026+($A60-Y$4)-2021))))</f>
        <v>0.527579551916928</v>
      </c>
      <c r="Z60" s="30" t="n">
        <f aca="false">IF($A60&lt;Z$4,"",MIN(1,IF(AND(Assumptions!$B$42=1,OR($A60=104,$A60=105)),INDEX(Z$68:Z$69,MATCH($A60,$A$68:$A$69,0)),INDEX(CMI_Projection!$L$23:$CC$83,$A60-59,2026+($A60-Z$4)-2021))))</f>
        <v>0.527579551916928</v>
      </c>
      <c r="AA60" s="30" t="n">
        <f aca="false">IF($A60&lt;AA$4,"",MIN(1,IF(AND(Assumptions!$B$42=1,OR($A60=104,$A60=105)),INDEX(AA$68:AA$69,MATCH($A60,$A$68:$A$69,0)),INDEX(CMI_Projection!$L$23:$CC$83,$A60-59,2026+($A60-AA$4)-2021))))</f>
        <v>0.527579551916928</v>
      </c>
      <c r="AC60" s="30" t="n">
        <f aca="false">IF($A60&lt;AC$4,"",IF($A60=AC$4,1,AC59*(1-B59)))</f>
        <v>0.000169889134224334</v>
      </c>
      <c r="AD60" s="30" t="n">
        <f aca="false">IF($A60&lt;AD$4,"",IF($A60=AD$4,1,AD59*(1-C59)))</f>
        <v>0.000164437625800126</v>
      </c>
      <c r="AE60" s="30" t="n">
        <f aca="false">IF($A60&lt;AE$4,"",IF($A60=AE$4,1,AE59*(1-D59)))</f>
        <v>0.000159160608458241</v>
      </c>
      <c r="AF60" s="30" t="n">
        <f aca="false">IF($A60&lt;AF$4,"",IF($A60=AF$4,1,AF59*(1-E59)))</f>
        <v>0.000154058495977418</v>
      </c>
      <c r="AG60" s="30" t="n">
        <f aca="false">IF($A60&lt;AG$4,"",IF($A60=AG$4,1,AG59*(1-F59)))</f>
        <v>0.000149131982948729</v>
      </c>
      <c r="AH60" s="30" t="n">
        <f aca="false">IF($A60&lt;AH$4,"",IF($A60=AH$4,1,AH59*(1-G59)))</f>
        <v>0.000144382102828333</v>
      </c>
      <c r="AI60" s="30" t="n">
        <f aca="false">IF($A60&lt;AI$4,"",IF($A60=AI$4,1,AI59*(1-H59)))</f>
        <v>0.00013984667505133</v>
      </c>
      <c r="AJ60" s="30" t="n">
        <f aca="false">IF($A60&lt;AJ$4,"",IF($A60=AJ$4,1,AJ59*(1-I59)))</f>
        <v>0.000135493824187529</v>
      </c>
      <c r="AK60" s="30" t="n">
        <f aca="false">IF($A60&lt;AK$4,"",IF($A60=AK$4,1,AK59*(1-J59)))</f>
        <v>0.000131326285009959</v>
      </c>
      <c r="AL60" s="30" t="n">
        <f aca="false">IF($A60&lt;AL$4,"",IF($A60=AL$4,1,AL59*(1-K59)))</f>
        <v>0.000127347507878834</v>
      </c>
      <c r="AM60" s="30" t="n">
        <f aca="false">IF($A60&lt;AM$4,"",IF($A60=AM$4,1,AM59*(1-L59)))</f>
        <v>0.000123561760440996</v>
      </c>
      <c r="AN60" s="30" t="n">
        <f aca="false">IF($A60&lt;AN$4,"",IF($A60=AN$4,1,AN59*(1-M59)))</f>
        <v>0.000120015155284106</v>
      </c>
      <c r="AO60" s="30" t="n">
        <f aca="false">IF($A60&lt;AO$4,"",IF($A60=AO$4,1,AO59*(1-N59)))</f>
        <v>0.000116676842326677</v>
      </c>
      <c r="AP60" s="30" t="n">
        <f aca="false">IF($A60&lt;AP$4,"",IF($A60=AP$4,1,AP59*(1-O59)))</f>
        <v>0.000113555383704976</v>
      </c>
      <c r="AQ60" s="30" t="n">
        <f aca="false">IF($A60&lt;AQ$4,"",IF($A60=AQ$4,1,AQ59*(1-P59)))</f>
        <v>0.000110661280441671</v>
      </c>
      <c r="AR60" s="30" t="n">
        <f aca="false">IF($A60&lt;AR$4,"",IF($A60=AR$4,1,AR59*(1-Q59)))</f>
        <v>0.000108007447318973</v>
      </c>
      <c r="AS60" s="30" t="n">
        <f aca="false">IF($A60&lt;AS$4,"",IF($A60=AS$4,1,AS59*(1-R59)))</f>
        <v>0.000105675233676171</v>
      </c>
      <c r="AT60" s="30" t="n">
        <f aca="false">IF($A60&lt;AT$4,"",IF($A60=AT$4,1,AT59*(1-S59)))</f>
        <v>0.000103626371220823</v>
      </c>
      <c r="AU60" s="30" t="n">
        <f aca="false">IF($A60&lt;AU$4,"",IF($A60=AU$4,1,AU59*(1-T59)))</f>
        <v>0.000101886697171639</v>
      </c>
      <c r="AV60" s="30" t="n">
        <f aca="false">IF($A60&lt;AV$4,"",IF($A60=AV$4,1,AV59*(1-U59)))</f>
        <v>0.000100487794382946</v>
      </c>
      <c r="AW60" s="30" t="n">
        <f aca="false">IF($A60&lt;AW$4,"",IF($A60=AW$4,1,AW59*(1-V59)))</f>
        <v>9.94685720677531E-005</v>
      </c>
      <c r="AX60" s="30" t="n">
        <f aca="false">IF($A60&lt;AX$4,"",IF($A60=AX$4,1,AX59*(1-W59)))</f>
        <v>9.89942482995158E-005</v>
      </c>
      <c r="AY60" s="30" t="n">
        <f aca="false">IF($A60&lt;AY$4,"",IF($A60=AY$4,1,AY59*(1-X59)))</f>
        <v>9.90270595073651E-005</v>
      </c>
      <c r="AZ60" s="30" t="n">
        <f aca="false">IF($A60&lt;AZ$4,"",IF($A60=AZ$4,1,AZ59*(1-Y59)))</f>
        <v>9.96485525260452E-005</v>
      </c>
      <c r="BA60" s="30" t="n">
        <f aca="false">IF($A60&lt;BA$4,"",IF($A60=BA$4,1,BA59*(1-Z59)))</f>
        <v>0.000100962903590439</v>
      </c>
      <c r="BB60" s="30" t="n">
        <f aca="false">IF($A60&lt;BB$4,"",IF($A60=BB$4,1,BB59*(1-AA59)))</f>
        <v>0.000103104510075596</v>
      </c>
    </row>
    <row r="61" customFormat="false" ht="15" hidden="false" customHeight="true" outlineLevel="0" collapsed="false">
      <c r="A61" s="3" t="n">
        <v>116</v>
      </c>
      <c r="B61" s="30" t="n">
        <f aca="false">IF($A61&lt;B$4,"",MIN(1,IF(AND(Assumptions!$B$42=1,OR($A61=104,$A61=105)),INDEX(B$68:B$69,MATCH($A61,$A$68:$A$69,0)),INDEX(CMI_Projection!$L$23:$CC$83,$A61-59,2026+($A61-B$4)-2021))))</f>
        <v>0.544352264852119</v>
      </c>
      <c r="C61" s="30" t="n">
        <f aca="false">IF($A61&lt;C$4,"",MIN(1,IF(AND(Assumptions!$B$42=1,OR($A61=104,$A61=105)),INDEX(C$68:C$69,MATCH($A61,$A$68:$A$69,0)),INDEX(CMI_Projection!$L$23:$CC$83,$A61-59,2026+($A61-C$4)-2021))))</f>
        <v>0.544352264852119</v>
      </c>
      <c r="D61" s="30" t="n">
        <f aca="false">IF($A61&lt;D$4,"",MIN(1,IF(AND(Assumptions!$B$42=1,OR($A61=104,$A61=105)),INDEX(D$68:D$69,MATCH($A61,$A$68:$A$69,0)),INDEX(CMI_Projection!$L$23:$CC$83,$A61-59,2026+($A61-D$4)-2021))))</f>
        <v>0.544352264852119</v>
      </c>
      <c r="E61" s="30" t="n">
        <f aca="false">IF($A61&lt;E$4,"",MIN(1,IF(AND(Assumptions!$B$42=1,OR($A61=104,$A61=105)),INDEX(E$68:E$69,MATCH($A61,$A$68:$A$69,0)),INDEX(CMI_Projection!$L$23:$CC$83,$A61-59,2026+($A61-E$4)-2021))))</f>
        <v>0.544352264852119</v>
      </c>
      <c r="F61" s="30" t="n">
        <f aca="false">IF($A61&lt;F$4,"",MIN(1,IF(AND(Assumptions!$B$42=1,OR($A61=104,$A61=105)),INDEX(F$68:F$69,MATCH($A61,$A$68:$A$69,0)),INDEX(CMI_Projection!$L$23:$CC$83,$A61-59,2026+($A61-F$4)-2021))))</f>
        <v>0.544352264852119</v>
      </c>
      <c r="G61" s="30" t="n">
        <f aca="false">IF($A61&lt;G$4,"",MIN(1,IF(AND(Assumptions!$B$42=1,OR($A61=104,$A61=105)),INDEX(G$68:G$69,MATCH($A61,$A$68:$A$69,0)),INDEX(CMI_Projection!$L$23:$CC$83,$A61-59,2026+($A61-G$4)-2021))))</f>
        <v>0.544352264852119</v>
      </c>
      <c r="H61" s="30" t="n">
        <f aca="false">IF($A61&lt;H$4,"",MIN(1,IF(AND(Assumptions!$B$42=1,OR($A61=104,$A61=105)),INDEX(H$68:H$69,MATCH($A61,$A$68:$A$69,0)),INDEX(CMI_Projection!$L$23:$CC$83,$A61-59,2026+($A61-H$4)-2021))))</f>
        <v>0.544352264852119</v>
      </c>
      <c r="I61" s="30" t="n">
        <f aca="false">IF($A61&lt;I$4,"",MIN(1,IF(AND(Assumptions!$B$42=1,OR($A61=104,$A61=105)),INDEX(I$68:I$69,MATCH($A61,$A$68:$A$69,0)),INDEX(CMI_Projection!$L$23:$CC$83,$A61-59,2026+($A61-I$4)-2021))))</f>
        <v>0.544352264852119</v>
      </c>
      <c r="J61" s="30" t="n">
        <f aca="false">IF($A61&lt;J$4,"",MIN(1,IF(AND(Assumptions!$B$42=1,OR($A61=104,$A61=105)),INDEX(J$68:J$69,MATCH($A61,$A$68:$A$69,0)),INDEX(CMI_Projection!$L$23:$CC$83,$A61-59,2026+($A61-J$4)-2021))))</f>
        <v>0.544352264852119</v>
      </c>
      <c r="K61" s="30" t="n">
        <f aca="false">IF($A61&lt;K$4,"",MIN(1,IF(AND(Assumptions!$B$42=1,OR($A61=104,$A61=105)),INDEX(K$68:K$69,MATCH($A61,$A$68:$A$69,0)),INDEX(CMI_Projection!$L$23:$CC$83,$A61-59,2026+($A61-K$4)-2021))))</f>
        <v>0.544352264852119</v>
      </c>
      <c r="L61" s="30" t="n">
        <f aca="false">IF($A61&lt;L$4,"",MIN(1,IF(AND(Assumptions!$B$42=1,OR($A61=104,$A61=105)),INDEX(L$68:L$69,MATCH($A61,$A$68:$A$69,0)),INDEX(CMI_Projection!$L$23:$CC$83,$A61-59,2026+($A61-L$4)-2021))))</f>
        <v>0.544352264852119</v>
      </c>
      <c r="M61" s="30" t="n">
        <f aca="false">IF($A61&lt;M$4,"",MIN(1,IF(AND(Assumptions!$B$42=1,OR($A61=104,$A61=105)),INDEX(M$68:M$69,MATCH($A61,$A$68:$A$69,0)),INDEX(CMI_Projection!$L$23:$CC$83,$A61-59,2026+($A61-M$4)-2021))))</f>
        <v>0.544352264852119</v>
      </c>
      <c r="N61" s="30" t="n">
        <f aca="false">IF($A61&lt;N$4,"",MIN(1,IF(AND(Assumptions!$B$42=1,OR($A61=104,$A61=105)),INDEX(N$68:N$69,MATCH($A61,$A$68:$A$69,0)),INDEX(CMI_Projection!$L$23:$CC$83,$A61-59,2026+($A61-N$4)-2021))))</f>
        <v>0.544352264852119</v>
      </c>
      <c r="O61" s="30" t="n">
        <f aca="false">IF($A61&lt;O$4,"",MIN(1,IF(AND(Assumptions!$B$42=1,OR($A61=104,$A61=105)),INDEX(O$68:O$69,MATCH($A61,$A$68:$A$69,0)),INDEX(CMI_Projection!$L$23:$CC$83,$A61-59,2026+($A61-O$4)-2021))))</f>
        <v>0.544352264852119</v>
      </c>
      <c r="P61" s="30" t="n">
        <f aca="false">IF($A61&lt;P$4,"",MIN(1,IF(AND(Assumptions!$B$42=1,OR($A61=104,$A61=105)),INDEX(P$68:P$69,MATCH($A61,$A$68:$A$69,0)),INDEX(CMI_Projection!$L$23:$CC$83,$A61-59,2026+($A61-P$4)-2021))))</f>
        <v>0.544352264852119</v>
      </c>
      <c r="Q61" s="30" t="n">
        <f aca="false">IF($A61&lt;Q$4,"",MIN(1,IF(AND(Assumptions!$B$42=1,OR($A61=104,$A61=105)),INDEX(Q$68:Q$69,MATCH($A61,$A$68:$A$69,0)),INDEX(CMI_Projection!$L$23:$CC$83,$A61-59,2026+($A61-Q$4)-2021))))</f>
        <v>0.544352264852119</v>
      </c>
      <c r="R61" s="30" t="n">
        <f aca="false">IF($A61&lt;R$4,"",MIN(1,IF(AND(Assumptions!$B$42=1,OR($A61=104,$A61=105)),INDEX(R$68:R$69,MATCH($A61,$A$68:$A$69,0)),INDEX(CMI_Projection!$L$23:$CC$83,$A61-59,2026+($A61-R$4)-2021))))</f>
        <v>0.544352264852119</v>
      </c>
      <c r="S61" s="30" t="n">
        <f aca="false">IF($A61&lt;S$4,"",MIN(1,IF(AND(Assumptions!$B$42=1,OR($A61=104,$A61=105)),INDEX(S$68:S$69,MATCH($A61,$A$68:$A$69,0)),INDEX(CMI_Projection!$L$23:$CC$83,$A61-59,2026+($A61-S$4)-2021))))</f>
        <v>0.544352264852119</v>
      </c>
      <c r="T61" s="30" t="n">
        <f aca="false">IF($A61&lt;T$4,"",MIN(1,IF(AND(Assumptions!$B$42=1,OR($A61=104,$A61=105)),INDEX(T$68:T$69,MATCH($A61,$A$68:$A$69,0)),INDEX(CMI_Projection!$L$23:$CC$83,$A61-59,2026+($A61-T$4)-2021))))</f>
        <v>0.544352264852119</v>
      </c>
      <c r="U61" s="30" t="n">
        <f aca="false">IF($A61&lt;U$4,"",MIN(1,IF(AND(Assumptions!$B$42=1,OR($A61=104,$A61=105)),INDEX(U$68:U$69,MATCH($A61,$A$68:$A$69,0)),INDEX(CMI_Projection!$L$23:$CC$83,$A61-59,2026+($A61-U$4)-2021))))</f>
        <v>0.544352264852119</v>
      </c>
      <c r="V61" s="30" t="n">
        <f aca="false">IF($A61&lt;V$4,"",MIN(1,IF(AND(Assumptions!$B$42=1,OR($A61=104,$A61=105)),INDEX(V$68:V$69,MATCH($A61,$A$68:$A$69,0)),INDEX(CMI_Projection!$L$23:$CC$83,$A61-59,2026+($A61-V$4)-2021))))</f>
        <v>0.544352264852119</v>
      </c>
      <c r="W61" s="30" t="n">
        <f aca="false">IF($A61&lt;W$4,"",MIN(1,IF(AND(Assumptions!$B$42=1,OR($A61=104,$A61=105)),INDEX(W$68:W$69,MATCH($A61,$A$68:$A$69,0)),INDEX(CMI_Projection!$L$23:$CC$83,$A61-59,2026+($A61-W$4)-2021))))</f>
        <v>0.544352264852119</v>
      </c>
      <c r="X61" s="30" t="n">
        <f aca="false">IF($A61&lt;X$4,"",MIN(1,IF(AND(Assumptions!$B$42=1,OR($A61=104,$A61=105)),INDEX(X$68:X$69,MATCH($A61,$A$68:$A$69,0)),INDEX(CMI_Projection!$L$23:$CC$83,$A61-59,2026+($A61-X$4)-2021))))</f>
        <v>0.544352264852119</v>
      </c>
      <c r="Y61" s="30" t="n">
        <f aca="false">IF($A61&lt;Y$4,"",MIN(1,IF(AND(Assumptions!$B$42=1,OR($A61=104,$A61=105)),INDEX(Y$68:Y$69,MATCH($A61,$A$68:$A$69,0)),INDEX(CMI_Projection!$L$23:$CC$83,$A61-59,2026+($A61-Y$4)-2021))))</f>
        <v>0.544352264852119</v>
      </c>
      <c r="Z61" s="30" t="n">
        <f aca="false">IF($A61&lt;Z$4,"",MIN(1,IF(AND(Assumptions!$B$42=1,OR($A61=104,$A61=105)),INDEX(Z$68:Z$69,MATCH($A61,$A$68:$A$69,0)),INDEX(CMI_Projection!$L$23:$CC$83,$A61-59,2026+($A61-Z$4)-2021))))</f>
        <v>0.544352264852119</v>
      </c>
      <c r="AA61" s="30" t="n">
        <f aca="false">IF($A61&lt;AA$4,"",MIN(1,IF(AND(Assumptions!$B$42=1,OR($A61=104,$A61=105)),INDEX(AA$68:AA$69,MATCH($A61,$A$68:$A$69,0)),INDEX(CMI_Projection!$L$23:$CC$83,$A61-59,2026+($A61-AA$4)-2021))))</f>
        <v>0.544352264852119</v>
      </c>
      <c r="AC61" s="30" t="n">
        <f aca="false">IF($A61&lt;AC$4,"",IF($A61=AC$4,1,AC60*(1-B60)))</f>
        <v>8.02591009147051E-005</v>
      </c>
      <c r="AD61" s="30" t="n">
        <f aca="false">IF($A61&lt;AD$4,"",IF($A61=AD$4,1,AD60*(1-C60)))</f>
        <v>7.76836968622119E-005</v>
      </c>
      <c r="AE61" s="30" t="n">
        <f aca="false">IF($A61&lt;AE$4,"",IF($A61=AE$4,1,AE60*(1-D60)))</f>
        <v>7.51907259650165E-005</v>
      </c>
      <c r="AF61" s="30" t="n">
        <f aca="false">IF($A61&lt;AF$4,"",IF($A61=AF$4,1,AF60*(1-E60)))</f>
        <v>7.27803837006558E-005</v>
      </c>
      <c r="AG61" s="30" t="n">
        <f aca="false">IF($A61&lt;AG$4,"",IF($A61=AG$4,1,AG60*(1-F60)))</f>
        <v>7.04529982081557E-005</v>
      </c>
      <c r="AH61" s="30" t="n">
        <f aca="false">IF($A61&lt;AH$4,"",IF($A61=AH$4,1,AH60*(1-G60)))</f>
        <v>6.82090577133371E-005</v>
      </c>
      <c r="AI61" s="30" t="n">
        <f aca="false">IF($A61&lt;AI$4,"",IF($A61=AI$4,1,AI60*(1-H60)))</f>
        <v>6.60664288906772E-005</v>
      </c>
      <c r="AJ61" s="30" t="n">
        <f aca="false">IF($A61&lt;AJ$4,"",IF($A61=AJ$4,1,AJ60*(1-I60)))</f>
        <v>6.40100531351614E-005</v>
      </c>
      <c r="AK61" s="30" t="n">
        <f aca="false">IF($A61&lt;AK$4,"",IF($A61=AK$4,1,AK60*(1-J60)))</f>
        <v>6.204122240949E-005</v>
      </c>
      <c r="AL61" s="30" t="n">
        <f aca="false">IF($A61&lt;AL$4,"",IF($A61=AL$4,1,AL60*(1-K60)))</f>
        <v>6.01615667343814E-005</v>
      </c>
      <c r="AM61" s="30" t="n">
        <f aca="false">IF($A61&lt;AM$4,"",IF($A61=AM$4,1,AM60*(1-L60)))</f>
        <v>5.83731022334688E-005</v>
      </c>
      <c r="AN61" s="30" t="n">
        <f aca="false">IF($A61&lt;AN$4,"",IF($A61=AN$4,1,AN60*(1-M60)))</f>
        <v>5.66976134360771E-005</v>
      </c>
      <c r="AO61" s="30" t="n">
        <f aca="false">IF($A61&lt;AO$4,"",IF($A61=AO$4,1,AO60*(1-N60)))</f>
        <v>5.51205261328866E-005</v>
      </c>
      <c r="AP61" s="30" t="n">
        <f aca="false">IF($A61&lt;AP$4,"",IF($A61=AP$4,1,AP60*(1-O60)))</f>
        <v>5.36458852521501E-005</v>
      </c>
      <c r="AQ61" s="30" t="n">
        <f aca="false">IF($A61&lt;AQ$4,"",IF($A61=AQ$4,1,AQ60*(1-P60)))</f>
        <v>5.22786516917009E-005</v>
      </c>
      <c r="AR61" s="30" t="n">
        <f aca="false">IF($A61&lt;AR$4,"",IF($A61=AR$4,1,AR60*(1-Q60)))</f>
        <v>5.10249266587379E-005</v>
      </c>
      <c r="AS61" s="30" t="n">
        <f aca="false">IF($A61&lt;AS$4,"",IF($A61=AS$4,1,AS60*(1-R60)))</f>
        <v>4.99231412445799E-005</v>
      </c>
      <c r="AT61" s="30" t="n">
        <f aca="false">IF($A61&lt;AT$4,"",IF($A61=AT$4,1,AT60*(1-S60)))</f>
        <v>4.8955216725364E-005</v>
      </c>
      <c r="AU61" s="30" t="n">
        <f aca="false">IF($A61&lt;AU$4,"",IF($A61=AU$4,1,AU60*(1-T60)))</f>
        <v>4.81333591315301E-005</v>
      </c>
      <c r="AV61" s="30" t="n">
        <f aca="false">IF($A61&lt;AV$4,"",IF($A61=AV$4,1,AV60*(1-U60)))</f>
        <v>4.74724888492709E-005</v>
      </c>
      <c r="AW61" s="30" t="n">
        <f aca="false">IF($A61&lt;AW$4,"",IF($A61=AW$4,1,AW60*(1-V60)))</f>
        <v>4.69909873864313E-005</v>
      </c>
      <c r="AX61" s="30" t="n">
        <f aca="false">IF($A61&lt;AX$4,"",IF($A61=AX$4,1,AX60*(1-W60)))</f>
        <v>4.67669071393042E-005</v>
      </c>
      <c r="AY61" s="30" t="n">
        <f aca="false">IF($A61&lt;AY$4,"",IF($A61=AY$4,1,AY60*(1-X60)))</f>
        <v>4.67824078248185E-005</v>
      </c>
      <c r="AZ61" s="30" t="n">
        <f aca="false">IF($A61&lt;AZ$4,"",IF($A61=AZ$4,1,AZ60*(1-Y60)))</f>
        <v>4.70760138351839E-005</v>
      </c>
      <c r="BA61" s="30" t="n">
        <f aca="false">IF($A61&lt;BA$4,"",IF($A61=BA$4,1,BA60*(1-Z60)))</f>
        <v>4.7696940153963E-005</v>
      </c>
      <c r="BB61" s="30" t="n">
        <f aca="false">IF($A61&lt;BB$4,"",IF($A61=BB$4,1,BB60*(1-AA60)))</f>
        <v>4.87086788492985E-005</v>
      </c>
    </row>
    <row r="62" customFormat="false" ht="15" hidden="false" customHeight="true" outlineLevel="0" collapsed="false">
      <c r="A62" s="3" t="n">
        <v>117</v>
      </c>
      <c r="B62" s="30" t="n">
        <f aca="false">IF($A62&lt;B$4,"",MIN(1,IF(AND(Assumptions!$B$42=1,OR($A62=104,$A62=105)),INDEX(B$68:B$69,MATCH($A62,$A$68:$A$69,0)),INDEX(CMI_Projection!$L$23:$CC$83,$A62-59,2026+($A62-B$4)-2021))))</f>
        <v>0.560811007209681</v>
      </c>
      <c r="C62" s="30" t="n">
        <f aca="false">IF($A62&lt;C$4,"",MIN(1,IF(AND(Assumptions!$B$42=1,OR($A62=104,$A62=105)),INDEX(C$68:C$69,MATCH($A62,$A$68:$A$69,0)),INDEX(CMI_Projection!$L$23:$CC$83,$A62-59,2026+($A62-C$4)-2021))))</f>
        <v>0.560811007209681</v>
      </c>
      <c r="D62" s="30" t="n">
        <f aca="false">IF($A62&lt;D$4,"",MIN(1,IF(AND(Assumptions!$B$42=1,OR($A62=104,$A62=105)),INDEX(D$68:D$69,MATCH($A62,$A$68:$A$69,0)),INDEX(CMI_Projection!$L$23:$CC$83,$A62-59,2026+($A62-D$4)-2021))))</f>
        <v>0.560811007209681</v>
      </c>
      <c r="E62" s="30" t="n">
        <f aca="false">IF($A62&lt;E$4,"",MIN(1,IF(AND(Assumptions!$B$42=1,OR($A62=104,$A62=105)),INDEX(E$68:E$69,MATCH($A62,$A$68:$A$69,0)),INDEX(CMI_Projection!$L$23:$CC$83,$A62-59,2026+($A62-E$4)-2021))))</f>
        <v>0.560811007209681</v>
      </c>
      <c r="F62" s="30" t="n">
        <f aca="false">IF($A62&lt;F$4,"",MIN(1,IF(AND(Assumptions!$B$42=1,OR($A62=104,$A62=105)),INDEX(F$68:F$69,MATCH($A62,$A$68:$A$69,0)),INDEX(CMI_Projection!$L$23:$CC$83,$A62-59,2026+($A62-F$4)-2021))))</f>
        <v>0.560811007209681</v>
      </c>
      <c r="G62" s="30" t="n">
        <f aca="false">IF($A62&lt;G$4,"",MIN(1,IF(AND(Assumptions!$B$42=1,OR($A62=104,$A62=105)),INDEX(G$68:G$69,MATCH($A62,$A$68:$A$69,0)),INDEX(CMI_Projection!$L$23:$CC$83,$A62-59,2026+($A62-G$4)-2021))))</f>
        <v>0.560811007209681</v>
      </c>
      <c r="H62" s="30" t="n">
        <f aca="false">IF($A62&lt;H$4,"",MIN(1,IF(AND(Assumptions!$B$42=1,OR($A62=104,$A62=105)),INDEX(H$68:H$69,MATCH($A62,$A$68:$A$69,0)),INDEX(CMI_Projection!$L$23:$CC$83,$A62-59,2026+($A62-H$4)-2021))))</f>
        <v>0.560811007209681</v>
      </c>
      <c r="I62" s="30" t="n">
        <f aca="false">IF($A62&lt;I$4,"",MIN(1,IF(AND(Assumptions!$B$42=1,OR($A62=104,$A62=105)),INDEX(I$68:I$69,MATCH($A62,$A$68:$A$69,0)),INDEX(CMI_Projection!$L$23:$CC$83,$A62-59,2026+($A62-I$4)-2021))))</f>
        <v>0.560811007209681</v>
      </c>
      <c r="J62" s="30" t="n">
        <f aca="false">IF($A62&lt;J$4,"",MIN(1,IF(AND(Assumptions!$B$42=1,OR($A62=104,$A62=105)),INDEX(J$68:J$69,MATCH($A62,$A$68:$A$69,0)),INDEX(CMI_Projection!$L$23:$CC$83,$A62-59,2026+($A62-J$4)-2021))))</f>
        <v>0.560811007209681</v>
      </c>
      <c r="K62" s="30" t="n">
        <f aca="false">IF($A62&lt;K$4,"",MIN(1,IF(AND(Assumptions!$B$42=1,OR($A62=104,$A62=105)),INDEX(K$68:K$69,MATCH($A62,$A$68:$A$69,0)),INDEX(CMI_Projection!$L$23:$CC$83,$A62-59,2026+($A62-K$4)-2021))))</f>
        <v>0.560811007209681</v>
      </c>
      <c r="L62" s="30" t="n">
        <f aca="false">IF($A62&lt;L$4,"",MIN(1,IF(AND(Assumptions!$B$42=1,OR($A62=104,$A62=105)),INDEX(L$68:L$69,MATCH($A62,$A$68:$A$69,0)),INDEX(CMI_Projection!$L$23:$CC$83,$A62-59,2026+($A62-L$4)-2021))))</f>
        <v>0.560811007209681</v>
      </c>
      <c r="M62" s="30" t="n">
        <f aca="false">IF($A62&lt;M$4,"",MIN(1,IF(AND(Assumptions!$B$42=1,OR($A62=104,$A62=105)),INDEX(M$68:M$69,MATCH($A62,$A$68:$A$69,0)),INDEX(CMI_Projection!$L$23:$CC$83,$A62-59,2026+($A62-M$4)-2021))))</f>
        <v>0.560811007209681</v>
      </c>
      <c r="N62" s="30" t="n">
        <f aca="false">IF($A62&lt;N$4,"",MIN(1,IF(AND(Assumptions!$B$42=1,OR($A62=104,$A62=105)),INDEX(N$68:N$69,MATCH($A62,$A$68:$A$69,0)),INDEX(CMI_Projection!$L$23:$CC$83,$A62-59,2026+($A62-N$4)-2021))))</f>
        <v>0.560811007209681</v>
      </c>
      <c r="O62" s="30" t="n">
        <f aca="false">IF($A62&lt;O$4,"",MIN(1,IF(AND(Assumptions!$B$42=1,OR($A62=104,$A62=105)),INDEX(O$68:O$69,MATCH($A62,$A$68:$A$69,0)),INDEX(CMI_Projection!$L$23:$CC$83,$A62-59,2026+($A62-O$4)-2021))))</f>
        <v>0.560811007209681</v>
      </c>
      <c r="P62" s="30" t="n">
        <f aca="false">IF($A62&lt;P$4,"",MIN(1,IF(AND(Assumptions!$B$42=1,OR($A62=104,$A62=105)),INDEX(P$68:P$69,MATCH($A62,$A$68:$A$69,0)),INDEX(CMI_Projection!$L$23:$CC$83,$A62-59,2026+($A62-P$4)-2021))))</f>
        <v>0.560811007209681</v>
      </c>
      <c r="Q62" s="30" t="n">
        <f aca="false">IF($A62&lt;Q$4,"",MIN(1,IF(AND(Assumptions!$B$42=1,OR($A62=104,$A62=105)),INDEX(Q$68:Q$69,MATCH($A62,$A$68:$A$69,0)),INDEX(CMI_Projection!$L$23:$CC$83,$A62-59,2026+($A62-Q$4)-2021))))</f>
        <v>0.560811007209681</v>
      </c>
      <c r="R62" s="30" t="n">
        <f aca="false">IF($A62&lt;R$4,"",MIN(1,IF(AND(Assumptions!$B$42=1,OR($A62=104,$A62=105)),INDEX(R$68:R$69,MATCH($A62,$A$68:$A$69,0)),INDEX(CMI_Projection!$L$23:$CC$83,$A62-59,2026+($A62-R$4)-2021))))</f>
        <v>0.560811007209681</v>
      </c>
      <c r="S62" s="30" t="n">
        <f aca="false">IF($A62&lt;S$4,"",MIN(1,IF(AND(Assumptions!$B$42=1,OR($A62=104,$A62=105)),INDEX(S$68:S$69,MATCH($A62,$A$68:$A$69,0)),INDEX(CMI_Projection!$L$23:$CC$83,$A62-59,2026+($A62-S$4)-2021))))</f>
        <v>0.560811007209681</v>
      </c>
      <c r="T62" s="30" t="n">
        <f aca="false">IF($A62&lt;T$4,"",MIN(1,IF(AND(Assumptions!$B$42=1,OR($A62=104,$A62=105)),INDEX(T$68:T$69,MATCH($A62,$A$68:$A$69,0)),INDEX(CMI_Projection!$L$23:$CC$83,$A62-59,2026+($A62-T$4)-2021))))</f>
        <v>0.560811007209681</v>
      </c>
      <c r="U62" s="30" t="n">
        <f aca="false">IF($A62&lt;U$4,"",MIN(1,IF(AND(Assumptions!$B$42=1,OR($A62=104,$A62=105)),INDEX(U$68:U$69,MATCH($A62,$A$68:$A$69,0)),INDEX(CMI_Projection!$L$23:$CC$83,$A62-59,2026+($A62-U$4)-2021))))</f>
        <v>0.560811007209681</v>
      </c>
      <c r="V62" s="30" t="n">
        <f aca="false">IF($A62&lt;V$4,"",MIN(1,IF(AND(Assumptions!$B$42=1,OR($A62=104,$A62=105)),INDEX(V$68:V$69,MATCH($A62,$A$68:$A$69,0)),INDEX(CMI_Projection!$L$23:$CC$83,$A62-59,2026+($A62-V$4)-2021))))</f>
        <v>0.560811007209681</v>
      </c>
      <c r="W62" s="30" t="n">
        <f aca="false">IF($A62&lt;W$4,"",MIN(1,IF(AND(Assumptions!$B$42=1,OR($A62=104,$A62=105)),INDEX(W$68:W$69,MATCH($A62,$A$68:$A$69,0)),INDEX(CMI_Projection!$L$23:$CC$83,$A62-59,2026+($A62-W$4)-2021))))</f>
        <v>0.560811007209681</v>
      </c>
      <c r="X62" s="30" t="n">
        <f aca="false">IF($A62&lt;X$4,"",MIN(1,IF(AND(Assumptions!$B$42=1,OR($A62=104,$A62=105)),INDEX(X$68:X$69,MATCH($A62,$A$68:$A$69,0)),INDEX(CMI_Projection!$L$23:$CC$83,$A62-59,2026+($A62-X$4)-2021))))</f>
        <v>0.560811007209681</v>
      </c>
      <c r="Y62" s="30" t="n">
        <f aca="false">IF($A62&lt;Y$4,"",MIN(1,IF(AND(Assumptions!$B$42=1,OR($A62=104,$A62=105)),INDEX(Y$68:Y$69,MATCH($A62,$A$68:$A$69,0)),INDEX(CMI_Projection!$L$23:$CC$83,$A62-59,2026+($A62-Y$4)-2021))))</f>
        <v>0.560811007209681</v>
      </c>
      <c r="Z62" s="30" t="n">
        <f aca="false">IF($A62&lt;Z$4,"",MIN(1,IF(AND(Assumptions!$B$42=1,OR($A62=104,$A62=105)),INDEX(Z$68:Z$69,MATCH($A62,$A$68:$A$69,0)),INDEX(CMI_Projection!$L$23:$CC$83,$A62-59,2026+($A62-Z$4)-2021))))</f>
        <v>0.560811007209681</v>
      </c>
      <c r="AA62" s="30" t="n">
        <f aca="false">IF($A62&lt;AA$4,"",MIN(1,IF(AND(Assumptions!$B$42=1,OR($A62=104,$A62=105)),INDEX(AA$68:AA$69,MATCH($A62,$A$68:$A$69,0)),INDEX(CMI_Projection!$L$23:$CC$83,$A62-59,2026+($A62-AA$4)-2021))))</f>
        <v>0.560811007209681</v>
      </c>
      <c r="AC62" s="30" t="n">
        <f aca="false">IF($A62&lt;AC$4,"",IF($A62=AC$4,1,AC61*(1-B61)))</f>
        <v>3.65698775567906E-005</v>
      </c>
      <c r="AD62" s="30" t="n">
        <f aca="false">IF($A62&lt;AD$4,"",IF($A62=AD$4,1,AD61*(1-C61)))</f>
        <v>3.53964005331814E-005</v>
      </c>
      <c r="AE62" s="30" t="n">
        <f aca="false">IF($A62&lt;AE$4,"",IF($A62=AE$4,1,AE61*(1-D61)))</f>
        <v>3.42604839900847E-005</v>
      </c>
      <c r="AF62" s="30" t="n">
        <f aca="false">IF($A62&lt;AF$4,"",IF($A62=AF$4,1,AF61*(1-E61)))</f>
        <v>3.31622169963976E-005</v>
      </c>
      <c r="AG62" s="30" t="n">
        <f aca="false">IF($A62&lt;AG$4,"",IF($A62=AG$4,1,AG61*(1-F61)))</f>
        <v>3.21017490679238E-005</v>
      </c>
      <c r="AH62" s="30" t="n">
        <f aca="false">IF($A62&lt;AH$4,"",IF($A62=AH$4,1,AH61*(1-G61)))</f>
        <v>3.10793026636531E-005</v>
      </c>
      <c r="AI62" s="30" t="n">
        <f aca="false">IF($A62&lt;AI$4,"",IF($A62=AI$4,1,AI61*(1-H61)))</f>
        <v>3.01030186933456E-005</v>
      </c>
      <c r="AJ62" s="30" t="n">
        <f aca="false">IF($A62&lt;AJ$4,"",IF($A62=AJ$4,1,AJ61*(1-I61)))</f>
        <v>2.91660357377318E-005</v>
      </c>
      <c r="AK62" s="30" t="n">
        <f aca="false">IF($A62&lt;AK$4,"",IF($A62=AK$4,1,AK61*(1-J61)))</f>
        <v>2.82689424766901E-005</v>
      </c>
      <c r="AL62" s="30" t="n">
        <f aca="false">IF($A62&lt;AL$4,"",IF($A62=AL$4,1,AL61*(1-K61)))</f>
        <v>2.7412481625469E-005</v>
      </c>
      <c r="AM62" s="30" t="n">
        <f aca="false">IF($A62&lt;AM$4,"",IF($A62=AM$4,1,AM61*(1-L61)))</f>
        <v>2.65975718262358E-005</v>
      </c>
      <c r="AN62" s="30" t="n">
        <f aca="false">IF($A62&lt;AN$4,"",IF($A62=AN$4,1,AN61*(1-M61)))</f>
        <v>2.58341391504386E-005</v>
      </c>
      <c r="AO62" s="30" t="n">
        <f aca="false">IF($A62&lt;AO$4,"",IF($A62=AO$4,1,AO61*(1-N61)))</f>
        <v>2.51155428926094E-005</v>
      </c>
      <c r="AP62" s="30" t="n">
        <f aca="false">IF($A62&lt;AP$4,"",IF($A62=AP$4,1,AP61*(1-O61)))</f>
        <v>2.44436261151453E-005</v>
      </c>
      <c r="AQ62" s="30" t="n">
        <f aca="false">IF($A62&lt;AQ$4,"",IF($A62=AQ$4,1,AQ61*(1-P61)))</f>
        <v>2.38206492399084E-005</v>
      </c>
      <c r="AR62" s="30" t="n">
        <f aca="false">IF($A62&lt;AR$4,"",IF($A62=AR$4,1,AR61*(1-Q61)))</f>
        <v>2.32493922681406E-005</v>
      </c>
      <c r="AS62" s="30" t="n">
        <f aca="false">IF($A62&lt;AS$4,"",IF($A62=AS$4,1,AS61*(1-R61)))</f>
        <v>2.27473662395606E-005</v>
      </c>
      <c r="AT62" s="30" t="n">
        <f aca="false">IF($A62&lt;AT$4,"",IF($A62=AT$4,1,AT61*(1-S61)))</f>
        <v>2.23063336245857E-005</v>
      </c>
      <c r="AU62" s="30" t="n">
        <f aca="false">IF($A62&lt;AU$4,"",IF($A62=AU$4,1,AU61*(1-T61)))</f>
        <v>2.19318560733412E-005</v>
      </c>
      <c r="AV62" s="30" t="n">
        <f aca="false">IF($A62&lt;AV$4,"",IF($A62=AV$4,1,AV61*(1-U61)))</f>
        <v>2.16307320260033E-005</v>
      </c>
      <c r="AW62" s="30" t="n">
        <f aca="false">IF($A62&lt;AW$4,"",IF($A62=AW$4,1,AW61*(1-V61)))</f>
        <v>2.14113369749901E-005</v>
      </c>
      <c r="AX62" s="30" t="n">
        <f aca="false">IF($A62&lt;AX$4,"",IF($A62=AX$4,1,AX61*(1-W61)))</f>
        <v>2.13092353178952E-005</v>
      </c>
      <c r="AY62" s="30" t="n">
        <f aca="false">IF($A62&lt;AY$4,"",IF($A62=AY$4,1,AY61*(1-X61)))</f>
        <v>2.1316298170143E-005</v>
      </c>
      <c r="AZ62" s="30" t="n">
        <f aca="false">IF($A62&lt;AZ$4,"",IF($A62=AZ$4,1,AZ61*(1-Y61)))</f>
        <v>2.14500790837918E-005</v>
      </c>
      <c r="BA62" s="30" t="n">
        <f aca="false">IF($A62&lt;BA$4,"",IF($A62=BA$4,1,BA61*(1-Z61)))</f>
        <v>2.17330027546373E-005</v>
      </c>
      <c r="BB62" s="30" t="n">
        <f aca="false">IF($A62&lt;BB$4,"",IF($A62=BB$4,1,BB61*(1-AA61)))</f>
        <v>2.21939991997284E-005</v>
      </c>
    </row>
    <row r="63" customFormat="false" ht="15" hidden="false" customHeight="true" outlineLevel="0" collapsed="false">
      <c r="A63" s="3" t="n">
        <v>118</v>
      </c>
      <c r="B63" s="30" t="n">
        <f aca="false">IF($A63&lt;B$4,"",MIN(1,IF(AND(Assumptions!$B$42=1,OR($A63=104,$A63=105)),INDEX(B$68:B$69,MATCH($A63,$A$68:$A$69,0)),INDEX(CMI_Projection!$L$23:$CC$83,$A63-59,2026+($A63-B$4)-2021))))</f>
        <v>0.576917996204382</v>
      </c>
      <c r="C63" s="30" t="n">
        <f aca="false">IF($A63&lt;C$4,"",MIN(1,IF(AND(Assumptions!$B$42=1,OR($A63=104,$A63=105)),INDEX(C$68:C$69,MATCH($A63,$A$68:$A$69,0)),INDEX(CMI_Projection!$L$23:$CC$83,$A63-59,2026+($A63-C$4)-2021))))</f>
        <v>0.576917996204382</v>
      </c>
      <c r="D63" s="30" t="n">
        <f aca="false">IF($A63&lt;D$4,"",MIN(1,IF(AND(Assumptions!$B$42=1,OR($A63=104,$A63=105)),INDEX(D$68:D$69,MATCH($A63,$A$68:$A$69,0)),INDEX(CMI_Projection!$L$23:$CC$83,$A63-59,2026+($A63-D$4)-2021))))</f>
        <v>0.576917996204382</v>
      </c>
      <c r="E63" s="30" t="n">
        <f aca="false">IF($A63&lt;E$4,"",MIN(1,IF(AND(Assumptions!$B$42=1,OR($A63=104,$A63=105)),INDEX(E$68:E$69,MATCH($A63,$A$68:$A$69,0)),INDEX(CMI_Projection!$L$23:$CC$83,$A63-59,2026+($A63-E$4)-2021))))</f>
        <v>0.576917996204382</v>
      </c>
      <c r="F63" s="30" t="n">
        <f aca="false">IF($A63&lt;F$4,"",MIN(1,IF(AND(Assumptions!$B$42=1,OR($A63=104,$A63=105)),INDEX(F$68:F$69,MATCH($A63,$A$68:$A$69,0)),INDEX(CMI_Projection!$L$23:$CC$83,$A63-59,2026+($A63-F$4)-2021))))</f>
        <v>0.576917996204382</v>
      </c>
      <c r="G63" s="30" t="n">
        <f aca="false">IF($A63&lt;G$4,"",MIN(1,IF(AND(Assumptions!$B$42=1,OR($A63=104,$A63=105)),INDEX(G$68:G$69,MATCH($A63,$A$68:$A$69,0)),INDEX(CMI_Projection!$L$23:$CC$83,$A63-59,2026+($A63-G$4)-2021))))</f>
        <v>0.576917996204382</v>
      </c>
      <c r="H63" s="30" t="n">
        <f aca="false">IF($A63&lt;H$4,"",MIN(1,IF(AND(Assumptions!$B$42=1,OR($A63=104,$A63=105)),INDEX(H$68:H$69,MATCH($A63,$A$68:$A$69,0)),INDEX(CMI_Projection!$L$23:$CC$83,$A63-59,2026+($A63-H$4)-2021))))</f>
        <v>0.576917996204382</v>
      </c>
      <c r="I63" s="30" t="n">
        <f aca="false">IF($A63&lt;I$4,"",MIN(1,IF(AND(Assumptions!$B$42=1,OR($A63=104,$A63=105)),INDEX(I$68:I$69,MATCH($A63,$A$68:$A$69,0)),INDEX(CMI_Projection!$L$23:$CC$83,$A63-59,2026+($A63-I$4)-2021))))</f>
        <v>0.576917996204382</v>
      </c>
      <c r="J63" s="30" t="n">
        <f aca="false">IF($A63&lt;J$4,"",MIN(1,IF(AND(Assumptions!$B$42=1,OR($A63=104,$A63=105)),INDEX(J$68:J$69,MATCH($A63,$A$68:$A$69,0)),INDEX(CMI_Projection!$L$23:$CC$83,$A63-59,2026+($A63-J$4)-2021))))</f>
        <v>0.576917996204382</v>
      </c>
      <c r="K63" s="30" t="n">
        <f aca="false">IF($A63&lt;K$4,"",MIN(1,IF(AND(Assumptions!$B$42=1,OR($A63=104,$A63=105)),INDEX(K$68:K$69,MATCH($A63,$A$68:$A$69,0)),INDEX(CMI_Projection!$L$23:$CC$83,$A63-59,2026+($A63-K$4)-2021))))</f>
        <v>0.576917996204382</v>
      </c>
      <c r="L63" s="30" t="n">
        <f aca="false">IF($A63&lt;L$4,"",MIN(1,IF(AND(Assumptions!$B$42=1,OR($A63=104,$A63=105)),INDEX(L$68:L$69,MATCH($A63,$A$68:$A$69,0)),INDEX(CMI_Projection!$L$23:$CC$83,$A63-59,2026+($A63-L$4)-2021))))</f>
        <v>0.576917996204382</v>
      </c>
      <c r="M63" s="30" t="n">
        <f aca="false">IF($A63&lt;M$4,"",MIN(1,IF(AND(Assumptions!$B$42=1,OR($A63=104,$A63=105)),INDEX(M$68:M$69,MATCH($A63,$A$68:$A$69,0)),INDEX(CMI_Projection!$L$23:$CC$83,$A63-59,2026+($A63-M$4)-2021))))</f>
        <v>0.576917996204382</v>
      </c>
      <c r="N63" s="30" t="n">
        <f aca="false">IF($A63&lt;N$4,"",MIN(1,IF(AND(Assumptions!$B$42=1,OR($A63=104,$A63=105)),INDEX(N$68:N$69,MATCH($A63,$A$68:$A$69,0)),INDEX(CMI_Projection!$L$23:$CC$83,$A63-59,2026+($A63-N$4)-2021))))</f>
        <v>0.576917996204382</v>
      </c>
      <c r="O63" s="30" t="n">
        <f aca="false">IF($A63&lt;O$4,"",MIN(1,IF(AND(Assumptions!$B$42=1,OR($A63=104,$A63=105)),INDEX(O$68:O$69,MATCH($A63,$A$68:$A$69,0)),INDEX(CMI_Projection!$L$23:$CC$83,$A63-59,2026+($A63-O$4)-2021))))</f>
        <v>0.576917996204382</v>
      </c>
      <c r="P63" s="30" t="n">
        <f aca="false">IF($A63&lt;P$4,"",MIN(1,IF(AND(Assumptions!$B$42=1,OR($A63=104,$A63=105)),INDEX(P$68:P$69,MATCH($A63,$A$68:$A$69,0)),INDEX(CMI_Projection!$L$23:$CC$83,$A63-59,2026+($A63-P$4)-2021))))</f>
        <v>0.576917996204382</v>
      </c>
      <c r="Q63" s="30" t="n">
        <f aca="false">IF($A63&lt;Q$4,"",MIN(1,IF(AND(Assumptions!$B$42=1,OR($A63=104,$A63=105)),INDEX(Q$68:Q$69,MATCH($A63,$A$68:$A$69,0)),INDEX(CMI_Projection!$L$23:$CC$83,$A63-59,2026+($A63-Q$4)-2021))))</f>
        <v>0.576917996204382</v>
      </c>
      <c r="R63" s="30" t="n">
        <f aca="false">IF($A63&lt;R$4,"",MIN(1,IF(AND(Assumptions!$B$42=1,OR($A63=104,$A63=105)),INDEX(R$68:R$69,MATCH($A63,$A$68:$A$69,0)),INDEX(CMI_Projection!$L$23:$CC$83,$A63-59,2026+($A63-R$4)-2021))))</f>
        <v>0.576917996204382</v>
      </c>
      <c r="S63" s="30" t="n">
        <f aca="false">IF($A63&lt;S$4,"",MIN(1,IF(AND(Assumptions!$B$42=1,OR($A63=104,$A63=105)),INDEX(S$68:S$69,MATCH($A63,$A$68:$A$69,0)),INDEX(CMI_Projection!$L$23:$CC$83,$A63-59,2026+($A63-S$4)-2021))))</f>
        <v>0.576917996204382</v>
      </c>
      <c r="T63" s="30" t="n">
        <f aca="false">IF($A63&lt;T$4,"",MIN(1,IF(AND(Assumptions!$B$42=1,OR($A63=104,$A63=105)),INDEX(T$68:T$69,MATCH($A63,$A$68:$A$69,0)),INDEX(CMI_Projection!$L$23:$CC$83,$A63-59,2026+($A63-T$4)-2021))))</f>
        <v>0.576917996204382</v>
      </c>
      <c r="U63" s="30" t="n">
        <f aca="false">IF($A63&lt;U$4,"",MIN(1,IF(AND(Assumptions!$B$42=1,OR($A63=104,$A63=105)),INDEX(U$68:U$69,MATCH($A63,$A$68:$A$69,0)),INDEX(CMI_Projection!$L$23:$CC$83,$A63-59,2026+($A63-U$4)-2021))))</f>
        <v>0.576917996204382</v>
      </c>
      <c r="V63" s="30" t="n">
        <f aca="false">IF($A63&lt;V$4,"",MIN(1,IF(AND(Assumptions!$B$42=1,OR($A63=104,$A63=105)),INDEX(V$68:V$69,MATCH($A63,$A$68:$A$69,0)),INDEX(CMI_Projection!$L$23:$CC$83,$A63-59,2026+($A63-V$4)-2021))))</f>
        <v>0.576917996204382</v>
      </c>
      <c r="W63" s="30" t="n">
        <f aca="false">IF($A63&lt;W$4,"",MIN(1,IF(AND(Assumptions!$B$42=1,OR($A63=104,$A63=105)),INDEX(W$68:W$69,MATCH($A63,$A$68:$A$69,0)),INDEX(CMI_Projection!$L$23:$CC$83,$A63-59,2026+($A63-W$4)-2021))))</f>
        <v>0.576917996204382</v>
      </c>
      <c r="X63" s="30" t="n">
        <f aca="false">IF($A63&lt;X$4,"",MIN(1,IF(AND(Assumptions!$B$42=1,OR($A63=104,$A63=105)),INDEX(X$68:X$69,MATCH($A63,$A$68:$A$69,0)),INDEX(CMI_Projection!$L$23:$CC$83,$A63-59,2026+($A63-X$4)-2021))))</f>
        <v>0.576917996204382</v>
      </c>
      <c r="Y63" s="30" t="n">
        <f aca="false">IF($A63&lt;Y$4,"",MIN(1,IF(AND(Assumptions!$B$42=1,OR($A63=104,$A63=105)),INDEX(Y$68:Y$69,MATCH($A63,$A$68:$A$69,0)),INDEX(CMI_Projection!$L$23:$CC$83,$A63-59,2026+($A63-Y$4)-2021))))</f>
        <v>0.576917996204382</v>
      </c>
      <c r="Z63" s="30" t="n">
        <f aca="false">IF($A63&lt;Z$4,"",MIN(1,IF(AND(Assumptions!$B$42=1,OR($A63=104,$A63=105)),INDEX(Z$68:Z$69,MATCH($A63,$A$68:$A$69,0)),INDEX(CMI_Projection!$L$23:$CC$83,$A63-59,2026+($A63-Z$4)-2021))))</f>
        <v>0.576917996204382</v>
      </c>
      <c r="AA63" s="30" t="n">
        <f aca="false">IF($A63&lt;AA$4,"",MIN(1,IF(AND(Assumptions!$B$42=1,OR($A63=104,$A63=105)),INDEX(AA$68:AA$69,MATCH($A63,$A$68:$A$69,0)),INDEX(CMI_Projection!$L$23:$CC$83,$A63-59,2026+($A63-AA$4)-2021))))</f>
        <v>0.576917996204382</v>
      </c>
      <c r="AC63" s="30" t="n">
        <f aca="false">IF($A63&lt;AC$4,"",IF($A63=AC$4,1,AC62*(1-B62)))</f>
        <v>1.60610876906321E-005</v>
      </c>
      <c r="AD63" s="30" t="n">
        <f aca="false">IF($A63&lt;AD$4,"",IF($A63=AD$4,1,AD62*(1-C62)))</f>
        <v>1.55457094985706E-005</v>
      </c>
      <c r="AE63" s="30" t="n">
        <f aca="false">IF($A63&lt;AE$4,"",IF($A63=AE$4,1,AE62*(1-D62)))</f>
        <v>1.50468274561141E-005</v>
      </c>
      <c r="AF63" s="30" t="n">
        <f aca="false">IF($A63&lt;AF$4,"",IF($A63=AF$4,1,AF62*(1-E62)))</f>
        <v>1.45644806813418E-005</v>
      </c>
      <c r="AG63" s="30" t="n">
        <f aca="false">IF($A63&lt;AG$4,"",IF($A63=AG$4,1,AG62*(1-F62)))</f>
        <v>1.4098734839949E-005</v>
      </c>
      <c r="AH63" s="30" t="n">
        <f aca="false">IF($A63&lt;AH$4,"",IF($A63=AH$4,1,AH62*(1-G62)))</f>
        <v>1.36496876334753E-005</v>
      </c>
      <c r="AI63" s="30" t="n">
        <f aca="false">IF($A63&lt;AI$4,"",IF($A63=AI$4,1,AI62*(1-H62)))</f>
        <v>1.32209144598786E-005</v>
      </c>
      <c r="AJ63" s="30" t="n">
        <f aca="false">IF($A63&lt;AJ$4,"",IF($A63=AJ$4,1,AJ62*(1-I62)))</f>
        <v>1.28094018593409E-005</v>
      </c>
      <c r="AK63" s="30" t="n">
        <f aca="false">IF($A63&lt;AK$4,"",IF($A63=AK$4,1,AK62*(1-J62)))</f>
        <v>1.2415408373585E-005</v>
      </c>
      <c r="AL63" s="30" t="n">
        <f aca="false">IF($A63&lt;AL$4,"",IF($A63=AL$4,1,AL62*(1-K62)))</f>
        <v>1.20392601949728E-005</v>
      </c>
      <c r="AM63" s="30" t="n">
        <f aca="false">IF($A63&lt;AM$4,"",IF($A63=AM$4,1,AM62*(1-L62)))</f>
        <v>1.16813607810326E-005</v>
      </c>
      <c r="AN63" s="30" t="n">
        <f aca="false">IF($A63&lt;AN$4,"",IF($A63=AN$4,1,AN62*(1-M62)))</f>
        <v>1.13460695530861E-005</v>
      </c>
      <c r="AO63" s="30" t="n">
        <f aca="false">IF($A63&lt;AO$4,"",IF($A63=AO$4,1,AO62*(1-N62)))</f>
        <v>1.10304699863871E-005</v>
      </c>
      <c r="AP63" s="30" t="n">
        <f aca="false">IF($A63&lt;AP$4,"",IF($A63=AP$4,1,AP62*(1-O62)))</f>
        <v>1.07353715336538E-005</v>
      </c>
      <c r="AQ63" s="30" t="n">
        <f aca="false">IF($A63&lt;AQ$4,"",IF($A63=AQ$4,1,AQ62*(1-P62)))</f>
        <v>1.04617669472869E-005</v>
      </c>
      <c r="AR63" s="30" t="n">
        <f aca="false">IF($A63&lt;AR$4,"",IF($A63=AR$4,1,AR62*(1-Q62)))</f>
        <v>1.02108771732317E-005</v>
      </c>
      <c r="AS63" s="30" t="n">
        <f aca="false">IF($A63&lt;AS$4,"",IF($A63=AS$4,1,AS62*(1-R62)))</f>
        <v>9.99039286738512E-006</v>
      </c>
      <c r="AT63" s="30" t="n">
        <f aca="false">IF($A63&lt;AT$4,"",IF($A63=AT$4,1,AT62*(1-S62)))</f>
        <v>9.79669619742663E-006</v>
      </c>
      <c r="AU63" s="30" t="n">
        <f aca="false">IF($A63&lt;AU$4,"",IF($A63=AU$4,1,AU62*(1-T62)))</f>
        <v>9.63222977887297E-006</v>
      </c>
      <c r="AV63" s="30" t="n">
        <f aca="false">IF($A63&lt;AV$4,"",IF($A63=AV$4,1,AV62*(1-U62)))</f>
        <v>9.49997941181769E-006</v>
      </c>
      <c r="AW63" s="30" t="n">
        <f aca="false">IF($A63&lt;AW$4,"",IF($A63=AW$4,1,AW62*(1-V62)))</f>
        <v>9.40362352033999E-006</v>
      </c>
      <c r="AX63" s="30" t="n">
        <f aca="false">IF($A63&lt;AX$4,"",IF($A63=AX$4,1,AX62*(1-W62)))</f>
        <v>9.35878159639828E-006</v>
      </c>
      <c r="AY63" s="30" t="n">
        <f aca="false">IF($A63&lt;AY$4,"",IF($A63=AY$4,1,AY62*(1-X62)))</f>
        <v>9.36188352336323E-006</v>
      </c>
      <c r="AZ63" s="30" t="n">
        <f aca="false">IF($A63&lt;AZ$4,"",IF($A63=AZ$4,1,AZ62*(1-Y62)))</f>
        <v>9.42063862808321E-006</v>
      </c>
      <c r="BA63" s="30" t="n">
        <f aca="false">IF($A63&lt;BA$4,"",IF($A63=BA$4,1,BA62*(1-Z62)))</f>
        <v>9.54489559011836E-006</v>
      </c>
      <c r="BB63" s="30" t="n">
        <f aca="false">IF($A63&lt;BB$4,"",IF($A63=BB$4,1,BB62*(1-AA62)))</f>
        <v>9.74736015451783E-006</v>
      </c>
    </row>
    <row r="64" customFormat="false" ht="15" hidden="false" customHeight="true" outlineLevel="0" collapsed="false">
      <c r="A64" s="3" t="n">
        <v>119</v>
      </c>
      <c r="B64" s="30" t="n">
        <f aca="false">IF($A64&lt;B$4,"",MIN(1,IF(AND(Assumptions!$B$42=1,OR($A64=104,$A64=105)),INDEX(B$68:B$69,MATCH($A64,$A$68:$A$69,0)),INDEX(CMI_Projection!$L$23:$CC$83,$A64-59,2026+($A64-B$4)-2021))))</f>
        <v>0.592639591024509</v>
      </c>
      <c r="C64" s="30" t="n">
        <f aca="false">IF($A64&lt;C$4,"",MIN(1,IF(AND(Assumptions!$B$42=1,OR($A64=104,$A64=105)),INDEX(C$68:C$69,MATCH($A64,$A$68:$A$69,0)),INDEX(CMI_Projection!$L$23:$CC$83,$A64-59,2026+($A64-C$4)-2021))))</f>
        <v>0.592639591024509</v>
      </c>
      <c r="D64" s="30" t="n">
        <f aca="false">IF($A64&lt;D$4,"",MIN(1,IF(AND(Assumptions!$B$42=1,OR($A64=104,$A64=105)),INDEX(D$68:D$69,MATCH($A64,$A$68:$A$69,0)),INDEX(CMI_Projection!$L$23:$CC$83,$A64-59,2026+($A64-D$4)-2021))))</f>
        <v>0.592639591024509</v>
      </c>
      <c r="E64" s="30" t="n">
        <f aca="false">IF($A64&lt;E$4,"",MIN(1,IF(AND(Assumptions!$B$42=1,OR($A64=104,$A64=105)),INDEX(E$68:E$69,MATCH($A64,$A$68:$A$69,0)),INDEX(CMI_Projection!$L$23:$CC$83,$A64-59,2026+($A64-E$4)-2021))))</f>
        <v>0.592639591024509</v>
      </c>
      <c r="F64" s="30" t="n">
        <f aca="false">IF($A64&lt;F$4,"",MIN(1,IF(AND(Assumptions!$B$42=1,OR($A64=104,$A64=105)),INDEX(F$68:F$69,MATCH($A64,$A$68:$A$69,0)),INDEX(CMI_Projection!$L$23:$CC$83,$A64-59,2026+($A64-F$4)-2021))))</f>
        <v>0.592639591024509</v>
      </c>
      <c r="G64" s="30" t="n">
        <f aca="false">IF($A64&lt;G$4,"",MIN(1,IF(AND(Assumptions!$B$42=1,OR($A64=104,$A64=105)),INDEX(G$68:G$69,MATCH($A64,$A$68:$A$69,0)),INDEX(CMI_Projection!$L$23:$CC$83,$A64-59,2026+($A64-G$4)-2021))))</f>
        <v>0.592639591024509</v>
      </c>
      <c r="H64" s="30" t="n">
        <f aca="false">IF($A64&lt;H$4,"",MIN(1,IF(AND(Assumptions!$B$42=1,OR($A64=104,$A64=105)),INDEX(H$68:H$69,MATCH($A64,$A$68:$A$69,0)),INDEX(CMI_Projection!$L$23:$CC$83,$A64-59,2026+($A64-H$4)-2021))))</f>
        <v>0.592639591024509</v>
      </c>
      <c r="I64" s="30" t="n">
        <f aca="false">IF($A64&lt;I$4,"",MIN(1,IF(AND(Assumptions!$B$42=1,OR($A64=104,$A64=105)),INDEX(I$68:I$69,MATCH($A64,$A$68:$A$69,0)),INDEX(CMI_Projection!$L$23:$CC$83,$A64-59,2026+($A64-I$4)-2021))))</f>
        <v>0.592639591024509</v>
      </c>
      <c r="J64" s="30" t="n">
        <f aca="false">IF($A64&lt;J$4,"",MIN(1,IF(AND(Assumptions!$B$42=1,OR($A64=104,$A64=105)),INDEX(J$68:J$69,MATCH($A64,$A$68:$A$69,0)),INDEX(CMI_Projection!$L$23:$CC$83,$A64-59,2026+($A64-J$4)-2021))))</f>
        <v>0.592639591024509</v>
      </c>
      <c r="K64" s="30" t="n">
        <f aca="false">IF($A64&lt;K$4,"",MIN(1,IF(AND(Assumptions!$B$42=1,OR($A64=104,$A64=105)),INDEX(K$68:K$69,MATCH($A64,$A$68:$A$69,0)),INDEX(CMI_Projection!$L$23:$CC$83,$A64-59,2026+($A64-K$4)-2021))))</f>
        <v>0.592639591024509</v>
      </c>
      <c r="L64" s="30" t="n">
        <f aca="false">IF($A64&lt;L$4,"",MIN(1,IF(AND(Assumptions!$B$42=1,OR($A64=104,$A64=105)),INDEX(L$68:L$69,MATCH($A64,$A$68:$A$69,0)),INDEX(CMI_Projection!$L$23:$CC$83,$A64-59,2026+($A64-L$4)-2021))))</f>
        <v>0.592639591024509</v>
      </c>
      <c r="M64" s="30" t="n">
        <f aca="false">IF($A64&lt;M$4,"",MIN(1,IF(AND(Assumptions!$B$42=1,OR($A64=104,$A64=105)),INDEX(M$68:M$69,MATCH($A64,$A$68:$A$69,0)),INDEX(CMI_Projection!$L$23:$CC$83,$A64-59,2026+($A64-M$4)-2021))))</f>
        <v>0.592639591024509</v>
      </c>
      <c r="N64" s="30" t="n">
        <f aca="false">IF($A64&lt;N$4,"",MIN(1,IF(AND(Assumptions!$B$42=1,OR($A64=104,$A64=105)),INDEX(N$68:N$69,MATCH($A64,$A$68:$A$69,0)),INDEX(CMI_Projection!$L$23:$CC$83,$A64-59,2026+($A64-N$4)-2021))))</f>
        <v>0.592639591024509</v>
      </c>
      <c r="O64" s="30" t="n">
        <f aca="false">IF($A64&lt;O$4,"",MIN(1,IF(AND(Assumptions!$B$42=1,OR($A64=104,$A64=105)),INDEX(O$68:O$69,MATCH($A64,$A$68:$A$69,0)),INDEX(CMI_Projection!$L$23:$CC$83,$A64-59,2026+($A64-O$4)-2021))))</f>
        <v>0.592639591024509</v>
      </c>
      <c r="P64" s="30" t="n">
        <f aca="false">IF($A64&lt;P$4,"",MIN(1,IF(AND(Assumptions!$B$42=1,OR($A64=104,$A64=105)),INDEX(P$68:P$69,MATCH($A64,$A$68:$A$69,0)),INDEX(CMI_Projection!$L$23:$CC$83,$A64-59,2026+($A64-P$4)-2021))))</f>
        <v>0.592639591024509</v>
      </c>
      <c r="Q64" s="30" t="n">
        <f aca="false">IF($A64&lt;Q$4,"",MIN(1,IF(AND(Assumptions!$B$42=1,OR($A64=104,$A64=105)),INDEX(Q$68:Q$69,MATCH($A64,$A$68:$A$69,0)),INDEX(CMI_Projection!$L$23:$CC$83,$A64-59,2026+($A64-Q$4)-2021))))</f>
        <v>0.592639591024509</v>
      </c>
      <c r="R64" s="30" t="n">
        <f aca="false">IF($A64&lt;R$4,"",MIN(1,IF(AND(Assumptions!$B$42=1,OR($A64=104,$A64=105)),INDEX(R$68:R$69,MATCH($A64,$A$68:$A$69,0)),INDEX(CMI_Projection!$L$23:$CC$83,$A64-59,2026+($A64-R$4)-2021))))</f>
        <v>0.592639591024509</v>
      </c>
      <c r="S64" s="30" t="n">
        <f aca="false">IF($A64&lt;S$4,"",MIN(1,IF(AND(Assumptions!$B$42=1,OR($A64=104,$A64=105)),INDEX(S$68:S$69,MATCH($A64,$A$68:$A$69,0)),INDEX(CMI_Projection!$L$23:$CC$83,$A64-59,2026+($A64-S$4)-2021))))</f>
        <v>0.592639591024509</v>
      </c>
      <c r="T64" s="30" t="n">
        <f aca="false">IF($A64&lt;T$4,"",MIN(1,IF(AND(Assumptions!$B$42=1,OR($A64=104,$A64=105)),INDEX(T$68:T$69,MATCH($A64,$A$68:$A$69,0)),INDEX(CMI_Projection!$L$23:$CC$83,$A64-59,2026+($A64-T$4)-2021))))</f>
        <v>0.592639591024509</v>
      </c>
      <c r="U64" s="30" t="n">
        <f aca="false">IF($A64&lt;U$4,"",MIN(1,IF(AND(Assumptions!$B$42=1,OR($A64=104,$A64=105)),INDEX(U$68:U$69,MATCH($A64,$A$68:$A$69,0)),INDEX(CMI_Projection!$L$23:$CC$83,$A64-59,2026+($A64-U$4)-2021))))</f>
        <v>0.592639591024509</v>
      </c>
      <c r="V64" s="30" t="n">
        <f aca="false">IF($A64&lt;V$4,"",MIN(1,IF(AND(Assumptions!$B$42=1,OR($A64=104,$A64=105)),INDEX(V$68:V$69,MATCH($A64,$A$68:$A$69,0)),INDEX(CMI_Projection!$L$23:$CC$83,$A64-59,2026+($A64-V$4)-2021))))</f>
        <v>0.592639591024509</v>
      </c>
      <c r="W64" s="30" t="n">
        <f aca="false">IF($A64&lt;W$4,"",MIN(1,IF(AND(Assumptions!$B$42=1,OR($A64=104,$A64=105)),INDEX(W$68:W$69,MATCH($A64,$A$68:$A$69,0)),INDEX(CMI_Projection!$L$23:$CC$83,$A64-59,2026+($A64-W$4)-2021))))</f>
        <v>0.592639591024509</v>
      </c>
      <c r="X64" s="30" t="n">
        <f aca="false">IF($A64&lt;X$4,"",MIN(1,IF(AND(Assumptions!$B$42=1,OR($A64=104,$A64=105)),INDEX(X$68:X$69,MATCH($A64,$A$68:$A$69,0)),INDEX(CMI_Projection!$L$23:$CC$83,$A64-59,2026+($A64-X$4)-2021))))</f>
        <v>0.592639591024509</v>
      </c>
      <c r="Y64" s="30" t="n">
        <f aca="false">IF($A64&lt;Y$4,"",MIN(1,IF(AND(Assumptions!$B$42=1,OR($A64=104,$A64=105)),INDEX(Y$68:Y$69,MATCH($A64,$A$68:$A$69,0)),INDEX(CMI_Projection!$L$23:$CC$83,$A64-59,2026+($A64-Y$4)-2021))))</f>
        <v>0.592639591024509</v>
      </c>
      <c r="Z64" s="30" t="n">
        <f aca="false">IF($A64&lt;Z$4,"",MIN(1,IF(AND(Assumptions!$B$42=1,OR($A64=104,$A64=105)),INDEX(Z$68:Z$69,MATCH($A64,$A$68:$A$69,0)),INDEX(CMI_Projection!$L$23:$CC$83,$A64-59,2026+($A64-Z$4)-2021))))</f>
        <v>0.592639591024509</v>
      </c>
      <c r="AA64" s="30" t="n">
        <f aca="false">IF($A64&lt;AA$4,"",MIN(1,IF(AND(Assumptions!$B$42=1,OR($A64=104,$A64=105)),INDEX(AA$68:AA$69,MATCH($A64,$A$68:$A$69,0)),INDEX(CMI_Projection!$L$23:$CC$83,$A64-59,2026+($A64-AA$4)-2021))))</f>
        <v>0.592639591024509</v>
      </c>
      <c r="AC64" s="30" t="n">
        <f aca="false">IF($A64&lt;AC$4,"",IF($A64=AC$4,1,AC63*(1-B63)))</f>
        <v>6.79515716328978E-006</v>
      </c>
      <c r="AD64" s="30" t="n">
        <f aca="false">IF($A64&lt;AD$4,"",IF($A64=AD$4,1,AD63*(1-C63)))</f>
        <v>6.57710992507984E-006</v>
      </c>
      <c r="AE64" s="30" t="n">
        <f aca="false">IF($A64&lt;AE$4,"",IF($A64=AE$4,1,AE63*(1-D63)))</f>
        <v>6.3660419108997E-006</v>
      </c>
      <c r="AF64" s="30" t="n">
        <f aca="false">IF($A64&lt;AF$4,"",IF($A64=AF$4,1,AF63*(1-E63)))</f>
        <v>6.16196967090467E-006</v>
      </c>
      <c r="AG64" s="30" t="n">
        <f aca="false">IF($A64&lt;AG$4,"",IF($A64=AG$4,1,AG63*(1-F63)))</f>
        <v>5.96492098706873E-006</v>
      </c>
      <c r="AH64" s="30" t="n">
        <f aca="false">IF($A64&lt;AH$4,"",IF($A64=AH$4,1,AH63*(1-G63)))</f>
        <v>5.774937195155E-006</v>
      </c>
      <c r="AI64" s="30" t="n">
        <f aca="false">IF($A64&lt;AI$4,"",IF($A64=AI$4,1,AI63*(1-H63)))</f>
        <v>5.5935309816959E-006</v>
      </c>
      <c r="AJ64" s="30" t="n">
        <f aca="false">IF($A64&lt;AJ$4,"",IF($A64=AJ$4,1,AJ63*(1-I63)))</f>
        <v>5.41942740607325E-006</v>
      </c>
      <c r="AK64" s="30" t="n">
        <f aca="false">IF($A64&lt;AK$4,"",IF($A64=AK$4,1,AK63*(1-J63)))</f>
        <v>5.25273585263723E-006</v>
      </c>
      <c r="AL64" s="30" t="n">
        <f aca="false">IF($A64&lt;AL$4,"",IF($A64=AL$4,1,AL63*(1-K63)))</f>
        <v>5.09359432750593E-006</v>
      </c>
      <c r="AM64" s="30" t="n">
        <f aca="false">IF($A64&lt;AM$4,"",IF($A64=AM$4,1,AM63*(1-L63)))</f>
        <v>4.94217352629884E-006</v>
      </c>
      <c r="AN64" s="30" t="n">
        <f aca="false">IF($A64&lt;AN$4,"",IF($A64=AN$4,1,AN63*(1-M63)))</f>
        <v>4.80031784172411E-006</v>
      </c>
      <c r="AO64" s="30" t="n">
        <f aca="false">IF($A64&lt;AO$4,"",IF($A64=AO$4,1,AO63*(1-N63)))</f>
        <v>4.6667933446481E-006</v>
      </c>
      <c r="AP64" s="30" t="n">
        <f aca="false">IF($A64&lt;AP$4,"",IF($A64=AP$4,1,AP63*(1-O63)))</f>
        <v>4.54194249994869E-006</v>
      </c>
      <c r="AQ64" s="30" t="n">
        <f aca="false">IF($A64&lt;AQ$4,"",IF($A64=AQ$4,1,AQ63*(1-P63)))</f>
        <v>4.42618532330089E-006</v>
      </c>
      <c r="AR64" s="30" t="n">
        <f aca="false">IF($A64&lt;AR$4,"",IF($A64=AR$4,1,AR63*(1-Q63)))</f>
        <v>4.32003837496181E-006</v>
      </c>
      <c r="AS64" s="30" t="n">
        <f aca="false">IF($A64&lt;AS$4,"",IF($A64=AS$4,1,AS63*(1-R63)))</f>
        <v>4.22675543303875E-006</v>
      </c>
      <c r="AT64" s="30" t="n">
        <f aca="false">IF($A64&lt;AT$4,"",IF($A64=AT$4,1,AT63*(1-S63)))</f>
        <v>4.14480585778417E-006</v>
      </c>
      <c r="AU64" s="30" t="n">
        <f aca="false">IF($A64&lt;AU$4,"",IF($A64=AU$4,1,AU63*(1-T63)))</f>
        <v>4.0752230758654E-006</v>
      </c>
      <c r="AV64" s="30" t="n">
        <f aca="false">IF($A64&lt;AV$4,"",IF($A64=AV$4,1,AV63*(1-U63)))</f>
        <v>4.01927032556895E-006</v>
      </c>
      <c r="AW64" s="30" t="n">
        <f aca="false">IF($A64&lt;AW$4,"",IF($A64=AW$4,1,AW63*(1-V63)))</f>
        <v>3.97850388192505E-006</v>
      </c>
      <c r="AX64" s="30" t="n">
        <f aca="false">IF($A64&lt;AX$4,"",IF($A64=AX$4,1,AX63*(1-W63)))</f>
        <v>3.95953207088974E-006</v>
      </c>
      <c r="AY64" s="30" t="n">
        <f aca="false">IF($A64&lt;AY$4,"",IF($A64=AY$4,1,AY63*(1-X63)))</f>
        <v>3.9608444403657E-006</v>
      </c>
      <c r="AZ64" s="30" t="n">
        <f aca="false">IF($A64&lt;AZ$4,"",IF($A64=AZ$4,1,AZ63*(1-Y63)))</f>
        <v>3.98570266780385E-006</v>
      </c>
      <c r="BA64" s="30" t="n">
        <f aca="false">IF($A64&lt;BA$4,"",IF($A64=BA$4,1,BA63*(1-Z63)))</f>
        <v>4.03827355228724E-006</v>
      </c>
      <c r="BB64" s="30" t="n">
        <f aca="false">IF($A64&lt;BB$4,"",IF($A64=BB$4,1,BB63*(1-AA63)))</f>
        <v>4.12393266589097E-006</v>
      </c>
    </row>
    <row r="65" customFormat="false" ht="15" hidden="false" customHeight="true" outlineLevel="0" collapsed="false">
      <c r="A65" s="3" t="n">
        <v>120</v>
      </c>
      <c r="B65" s="30" t="n">
        <f aca="false">IF($A65&lt;B$4,"",MIN(1,IF(AND(Assumptions!$B$42=1,OR($A65=104,$A65=105)),INDEX(B$68:B$69,MATCH($A65,$A$68:$A$69,0)),INDEX(CMI_Projection!$L$23:$CC$83,$A65-59,2026+($A65-B$4)-2021))))</f>
        <v>0.607946366970808</v>
      </c>
      <c r="C65" s="30" t="n">
        <f aca="false">IF($A65&lt;C$4,"",MIN(1,IF(AND(Assumptions!$B$42=1,OR($A65=104,$A65=105)),INDEX(C$68:C$69,MATCH($A65,$A$68:$A$69,0)),INDEX(CMI_Projection!$L$23:$CC$83,$A65-59,2026+($A65-C$4)-2021))))</f>
        <v>0.607946366970808</v>
      </c>
      <c r="D65" s="30" t="n">
        <f aca="false">IF($A65&lt;D$4,"",MIN(1,IF(AND(Assumptions!$B$42=1,OR($A65=104,$A65=105)),INDEX(D$68:D$69,MATCH($A65,$A$68:$A$69,0)),INDEX(CMI_Projection!$L$23:$CC$83,$A65-59,2026+($A65-D$4)-2021))))</f>
        <v>0.607946366970808</v>
      </c>
      <c r="E65" s="30" t="n">
        <f aca="false">IF($A65&lt;E$4,"",MIN(1,IF(AND(Assumptions!$B$42=1,OR($A65=104,$A65=105)),INDEX(E$68:E$69,MATCH($A65,$A$68:$A$69,0)),INDEX(CMI_Projection!$L$23:$CC$83,$A65-59,2026+($A65-E$4)-2021))))</f>
        <v>0.607946366970808</v>
      </c>
      <c r="F65" s="30" t="n">
        <f aca="false">IF($A65&lt;F$4,"",MIN(1,IF(AND(Assumptions!$B$42=1,OR($A65=104,$A65=105)),INDEX(F$68:F$69,MATCH($A65,$A$68:$A$69,0)),INDEX(CMI_Projection!$L$23:$CC$83,$A65-59,2026+($A65-F$4)-2021))))</f>
        <v>0.607946366970808</v>
      </c>
      <c r="G65" s="30" t="n">
        <f aca="false">IF($A65&lt;G$4,"",MIN(1,IF(AND(Assumptions!$B$42=1,OR($A65=104,$A65=105)),INDEX(G$68:G$69,MATCH($A65,$A$68:$A$69,0)),INDEX(CMI_Projection!$L$23:$CC$83,$A65-59,2026+($A65-G$4)-2021))))</f>
        <v>0.607946366970808</v>
      </c>
      <c r="H65" s="30" t="n">
        <f aca="false">IF($A65&lt;H$4,"",MIN(1,IF(AND(Assumptions!$B$42=1,OR($A65=104,$A65=105)),INDEX(H$68:H$69,MATCH($A65,$A$68:$A$69,0)),INDEX(CMI_Projection!$L$23:$CC$83,$A65-59,2026+($A65-H$4)-2021))))</f>
        <v>0.607946366970808</v>
      </c>
      <c r="I65" s="30" t="n">
        <f aca="false">IF($A65&lt;I$4,"",MIN(1,IF(AND(Assumptions!$B$42=1,OR($A65=104,$A65=105)),INDEX(I$68:I$69,MATCH($A65,$A$68:$A$69,0)),INDEX(CMI_Projection!$L$23:$CC$83,$A65-59,2026+($A65-I$4)-2021))))</f>
        <v>0.607946366970808</v>
      </c>
      <c r="J65" s="30" t="n">
        <f aca="false">IF($A65&lt;J$4,"",MIN(1,IF(AND(Assumptions!$B$42=1,OR($A65=104,$A65=105)),INDEX(J$68:J$69,MATCH($A65,$A$68:$A$69,0)),INDEX(CMI_Projection!$L$23:$CC$83,$A65-59,2026+($A65-J$4)-2021))))</f>
        <v>0.607946366970808</v>
      </c>
      <c r="K65" s="30" t="n">
        <f aca="false">IF($A65&lt;K$4,"",MIN(1,IF(AND(Assumptions!$B$42=1,OR($A65=104,$A65=105)),INDEX(K$68:K$69,MATCH($A65,$A$68:$A$69,0)),INDEX(CMI_Projection!$L$23:$CC$83,$A65-59,2026+($A65-K$4)-2021))))</f>
        <v>0.607946366970808</v>
      </c>
      <c r="L65" s="30" t="n">
        <f aca="false">IF($A65&lt;L$4,"",MIN(1,IF(AND(Assumptions!$B$42=1,OR($A65=104,$A65=105)),INDEX(L$68:L$69,MATCH($A65,$A$68:$A$69,0)),INDEX(CMI_Projection!$L$23:$CC$83,$A65-59,2026+($A65-L$4)-2021))))</f>
        <v>0.607946366970808</v>
      </c>
      <c r="M65" s="30" t="n">
        <f aca="false">IF($A65&lt;M$4,"",MIN(1,IF(AND(Assumptions!$B$42=1,OR($A65=104,$A65=105)),INDEX(M$68:M$69,MATCH($A65,$A$68:$A$69,0)),INDEX(CMI_Projection!$L$23:$CC$83,$A65-59,2026+($A65-M$4)-2021))))</f>
        <v>0.607946366970808</v>
      </c>
      <c r="N65" s="30" t="n">
        <f aca="false">IF($A65&lt;N$4,"",MIN(1,IF(AND(Assumptions!$B$42=1,OR($A65=104,$A65=105)),INDEX(N$68:N$69,MATCH($A65,$A$68:$A$69,0)),INDEX(CMI_Projection!$L$23:$CC$83,$A65-59,2026+($A65-N$4)-2021))))</f>
        <v>0.607946366970808</v>
      </c>
      <c r="O65" s="30" t="n">
        <f aca="false">IF($A65&lt;O$4,"",MIN(1,IF(AND(Assumptions!$B$42=1,OR($A65=104,$A65=105)),INDEX(O$68:O$69,MATCH($A65,$A$68:$A$69,0)),INDEX(CMI_Projection!$L$23:$CC$83,$A65-59,2026+($A65-O$4)-2021))))</f>
        <v>0.607946366970808</v>
      </c>
      <c r="P65" s="30" t="n">
        <f aca="false">IF($A65&lt;P$4,"",MIN(1,IF(AND(Assumptions!$B$42=1,OR($A65=104,$A65=105)),INDEX(P$68:P$69,MATCH($A65,$A$68:$A$69,0)),INDEX(CMI_Projection!$L$23:$CC$83,$A65-59,2026+($A65-P$4)-2021))))</f>
        <v>0.607946366970808</v>
      </c>
      <c r="Q65" s="30" t="n">
        <f aca="false">IF($A65&lt;Q$4,"",MIN(1,IF(AND(Assumptions!$B$42=1,OR($A65=104,$A65=105)),INDEX(Q$68:Q$69,MATCH($A65,$A$68:$A$69,0)),INDEX(CMI_Projection!$L$23:$CC$83,$A65-59,2026+($A65-Q$4)-2021))))</f>
        <v>0.607946366970808</v>
      </c>
      <c r="R65" s="30" t="n">
        <f aca="false">IF($A65&lt;R$4,"",MIN(1,IF(AND(Assumptions!$B$42=1,OR($A65=104,$A65=105)),INDEX(R$68:R$69,MATCH($A65,$A$68:$A$69,0)),INDEX(CMI_Projection!$L$23:$CC$83,$A65-59,2026+($A65-R$4)-2021))))</f>
        <v>0.607946366970808</v>
      </c>
      <c r="S65" s="30" t="n">
        <f aca="false">IF($A65&lt;S$4,"",MIN(1,IF(AND(Assumptions!$B$42=1,OR($A65=104,$A65=105)),INDEX(S$68:S$69,MATCH($A65,$A$68:$A$69,0)),INDEX(CMI_Projection!$L$23:$CC$83,$A65-59,2026+($A65-S$4)-2021))))</f>
        <v>0.607946366970808</v>
      </c>
      <c r="T65" s="30" t="n">
        <f aca="false">IF($A65&lt;T$4,"",MIN(1,IF(AND(Assumptions!$B$42=1,OR($A65=104,$A65=105)),INDEX(T$68:T$69,MATCH($A65,$A$68:$A$69,0)),INDEX(CMI_Projection!$L$23:$CC$83,$A65-59,2026+($A65-T$4)-2021))))</f>
        <v>0.607946366970808</v>
      </c>
      <c r="U65" s="30" t="n">
        <f aca="false">IF($A65&lt;U$4,"",MIN(1,IF(AND(Assumptions!$B$42=1,OR($A65=104,$A65=105)),INDEX(U$68:U$69,MATCH($A65,$A$68:$A$69,0)),INDEX(CMI_Projection!$L$23:$CC$83,$A65-59,2026+($A65-U$4)-2021))))</f>
        <v>0.607946366970808</v>
      </c>
      <c r="V65" s="30" t="n">
        <f aca="false">IF($A65&lt;V$4,"",MIN(1,IF(AND(Assumptions!$B$42=1,OR($A65=104,$A65=105)),INDEX(V$68:V$69,MATCH($A65,$A$68:$A$69,0)),INDEX(CMI_Projection!$L$23:$CC$83,$A65-59,2026+($A65-V$4)-2021))))</f>
        <v>0.607946366970808</v>
      </c>
      <c r="W65" s="30" t="n">
        <f aca="false">IF($A65&lt;W$4,"",MIN(1,IF(AND(Assumptions!$B$42=1,OR($A65=104,$A65=105)),INDEX(W$68:W$69,MATCH($A65,$A$68:$A$69,0)),INDEX(CMI_Projection!$L$23:$CC$83,$A65-59,2026+($A65-W$4)-2021))))</f>
        <v>0.607946366970808</v>
      </c>
      <c r="X65" s="30" t="n">
        <f aca="false">IF($A65&lt;X$4,"",MIN(1,IF(AND(Assumptions!$B$42=1,OR($A65=104,$A65=105)),INDEX(X$68:X$69,MATCH($A65,$A$68:$A$69,0)),INDEX(CMI_Projection!$L$23:$CC$83,$A65-59,2026+($A65-X$4)-2021))))</f>
        <v>0.607946366970808</v>
      </c>
      <c r="Y65" s="30" t="n">
        <f aca="false">IF($A65&lt;Y$4,"",MIN(1,IF(AND(Assumptions!$B$42=1,OR($A65=104,$A65=105)),INDEX(Y$68:Y$69,MATCH($A65,$A$68:$A$69,0)),INDEX(CMI_Projection!$L$23:$CC$83,$A65-59,2026+($A65-Y$4)-2021))))</f>
        <v>0.607946366970808</v>
      </c>
      <c r="Z65" s="30" t="n">
        <f aca="false">IF($A65&lt;Z$4,"",MIN(1,IF(AND(Assumptions!$B$42=1,OR($A65=104,$A65=105)),INDEX(Z$68:Z$69,MATCH($A65,$A$68:$A$69,0)),INDEX(CMI_Projection!$L$23:$CC$83,$A65-59,2026+($A65-Z$4)-2021))))</f>
        <v>0.607946366970808</v>
      </c>
      <c r="AA65" s="30" t="n">
        <f aca="false">IF($A65&lt;AA$4,"",MIN(1,IF(AND(Assumptions!$B$42=1,OR($A65=104,$A65=105)),INDEX(AA$68:AA$69,MATCH($A65,$A$68:$A$69,0)),INDEX(CMI_Projection!$L$23:$CC$83,$A65-59,2026+($A65-AA$4)-2021))))</f>
        <v>0.607946366970808</v>
      </c>
      <c r="AC65" s="30" t="n">
        <f aca="false">IF($A65&lt;AC$4,"",IF($A65=AC$4,1,AC64*(1-B64)))</f>
        <v>2.76807800109046E-006</v>
      </c>
      <c r="AD65" s="30" t="n">
        <f aca="false">IF($A65&lt;AD$4,"",IF($A65=AD$4,1,AD64*(1-C64)))</f>
        <v>2.67925418895729E-006</v>
      </c>
      <c r="AE65" s="30" t="n">
        <f aca="false">IF($A65&lt;AE$4,"",IF($A65=AE$4,1,AE64*(1-D64)))</f>
        <v>2.59327343637922E-006</v>
      </c>
      <c r="AF65" s="30" t="n">
        <f aca="false">IF($A65&lt;AF$4,"",IF($A65=AF$4,1,AF64*(1-E64)))</f>
        <v>2.5101424852343E-006</v>
      </c>
      <c r="AG65" s="30" t="n">
        <f aca="false">IF($A65&lt;AG$4,"",IF($A65=AG$4,1,AG64*(1-F64)))</f>
        <v>2.42987265279881E-006</v>
      </c>
      <c r="AH65" s="30" t="n">
        <f aca="false">IF($A65&lt;AH$4,"",IF($A65=AH$4,1,AH64*(1-G64)))</f>
        <v>2.35248077762612E-006</v>
      </c>
      <c r="AI65" s="30" t="n">
        <f aca="false">IF($A65&lt;AI$4,"",IF($A65=AI$4,1,AI64*(1-H64)))</f>
        <v>2.27858306832072E-006</v>
      </c>
      <c r="AJ65" s="30" t="n">
        <f aca="false">IF($A65&lt;AJ$4,"",IF($A65=AJ$4,1,AJ64*(1-I64)))</f>
        <v>2.20766016455098E-006</v>
      </c>
      <c r="AK65" s="30" t="n">
        <f aca="false">IF($A65&lt;AK$4,"",IF($A65=AK$4,1,AK64*(1-J64)))</f>
        <v>2.13975662517053E-006</v>
      </c>
      <c r="AL65" s="30" t="n">
        <f aca="false">IF($A65&lt;AL$4,"",IF($A65=AL$4,1,AL64*(1-K64)))</f>
        <v>2.07492866840806E-006</v>
      </c>
      <c r="AM65" s="30" t="n">
        <f aca="false">IF($A65&lt;AM$4,"",IF($A65=AM$4,1,AM64*(1-L64)))</f>
        <v>2.01324582890094E-006</v>
      </c>
      <c r="AN65" s="30" t="n">
        <f aca="false">IF($A65&lt;AN$4,"",IF($A65=AN$4,1,AN64*(1-M64)))</f>
        <v>1.95545943921708E-006</v>
      </c>
      <c r="AO65" s="30" t="n">
        <f aca="false">IF($A65&lt;AO$4,"",IF($A65=AO$4,1,AO64*(1-N64)))</f>
        <v>1.90106684547995E-006</v>
      </c>
      <c r="AP65" s="30" t="n">
        <f aca="false">IF($A65&lt;AP$4,"",IF($A65=AP$4,1,AP64*(1-O64)))</f>
        <v>1.85020755432226E-006</v>
      </c>
      <c r="AQ65" s="30" t="n">
        <f aca="false">IF($A65&lt;AQ$4,"",IF($A65=AQ$4,1,AQ64*(1-P64)))</f>
        <v>1.80305266350117E-006</v>
      </c>
      <c r="AR65" s="30" t="n">
        <f aca="false">IF($A65&lt;AR$4,"",IF($A65=AR$4,1,AR64*(1-Q64)))</f>
        <v>1.75981259921426E-006</v>
      </c>
      <c r="AS65" s="30" t="n">
        <f aca="false">IF($A65&lt;AS$4,"",IF($A65=AS$4,1,AS64*(1-R64)))</f>
        <v>1.72181282184204E-006</v>
      </c>
      <c r="AT65" s="30" t="n">
        <f aca="false">IF($A65&lt;AT$4,"",IF($A65=AT$4,1,AT64*(1-S64)))</f>
        <v>1.68842980935097E-006</v>
      </c>
      <c r="AU65" s="30" t="n">
        <f aca="false">IF($A65&lt;AU$4,"",IF($A65=AU$4,1,AU64*(1-T64)))</f>
        <v>1.66008453885089E-006</v>
      </c>
      <c r="AV65" s="30" t="n">
        <f aca="false">IF($A65&lt;AV$4,"",IF($A65=AV$4,1,AV64*(1-U64)))</f>
        <v>1.63729160360682E-006</v>
      </c>
      <c r="AW65" s="30" t="n">
        <f aca="false">IF($A65&lt;AW$4,"",IF($A65=AW$4,1,AW64*(1-V64)))</f>
        <v>1.62068496845157E-006</v>
      </c>
      <c r="AX65" s="30" t="n">
        <f aca="false">IF($A65&lt;AX$4,"",IF($A65=AX$4,1,AX64*(1-W64)))</f>
        <v>1.61295660374922E-006</v>
      </c>
      <c r="AY65" s="30" t="n">
        <f aca="false">IF($A65&lt;AY$4,"",IF($A65=AY$4,1,AY64*(1-X64)))</f>
        <v>1.61349121111567E-006</v>
      </c>
      <c r="AZ65" s="30" t="n">
        <f aca="false">IF($A65&lt;AZ$4,"",IF($A65=AZ$4,1,AZ64*(1-Y64)))</f>
        <v>1.62361746881128E-006</v>
      </c>
      <c r="BA65" s="30" t="n">
        <f aca="false">IF($A65&lt;BA$4,"",IF($A65=BA$4,1,BA64*(1-Z64)))</f>
        <v>1.64503276581464E-006</v>
      </c>
      <c r="BB65" s="30" t="n">
        <f aca="false">IF($A65&lt;BB$4,"",IF($A65=BB$4,1,BB64*(1-AA64)))</f>
        <v>1.67992689736473E-006</v>
      </c>
    </row>
    <row r="67" customFormat="false" ht="15" hidden="false" customHeight="true" outlineLevel="0" collapsed="false">
      <c r="A67" s="3" t="s">
        <v>581</v>
      </c>
    </row>
    <row r="68" customFormat="false" ht="15" hidden="false" customHeight="true" outlineLevel="0" collapsed="false">
      <c r="A68" s="3" t="n">
        <v>104</v>
      </c>
      <c r="B68" s="30" t="n">
        <f aca="false">EXP(LN(INDEX(CMI_Projection!$L$23:$CC$83,103-59,2026+(103-B$4)-2021)/(1-INDEX(CMI_Projection!$L$23:$CC$83,103-59,2026+(103-B$4)-2021)))+(LN(INDEX(CMI_Projection!$L$23:$CC$83,106-59,2026+(106-B$4)-2021)/(1-INDEX(CMI_Projection!$L$23:$CC$83,106-59,2026+(106-B$4)-2021)))-LN(INDEX(CMI_Projection!$L$23:$CC$83,103-59,2026+(103-B$4)-2021)/(1-INDEX(CMI_Projection!$L$23:$CC$83,103-59,2026+(103-B$4)-2021))))/3)/(1+EXP(LN(INDEX(CMI_Projection!$L$23:$CC$83,103-59,2026+(103-B$4)-2021)/(1-INDEX(CMI_Projection!$L$23:$CC$83,103-59,2026+(103-B$4)-2021)))+(LN(INDEX(CMI_Projection!$L$23:$CC$83,106-59,2026+(106-B$4)-2021)/(1-INDEX(CMI_Projection!$L$23:$CC$83,106-59,2026+(106-B$4)-2021)))-LN(INDEX(CMI_Projection!$L$23:$CC$83,103-59,2026+(103-B$4)-2021)/(1-INDEX(CMI_Projection!$L$23:$CC$83,103-59,2026+(103-B$4)-2021))))/3))</f>
        <v>0.269679374920014</v>
      </c>
      <c r="C68" s="30" t="n">
        <f aca="false">EXP(LN(INDEX(CMI_Projection!$L$23:$CC$83,103-59,2026+(103-C$4)-2021)/(1-INDEX(CMI_Projection!$L$23:$CC$83,103-59,2026+(103-C$4)-2021)))+(LN(INDEX(CMI_Projection!$L$23:$CC$83,106-59,2026+(106-C$4)-2021)/(1-INDEX(CMI_Projection!$L$23:$CC$83,106-59,2026+(106-C$4)-2021)))-LN(INDEX(CMI_Projection!$L$23:$CC$83,103-59,2026+(103-C$4)-2021)/(1-INDEX(CMI_Projection!$L$23:$CC$83,103-59,2026+(103-C$4)-2021))))/3)/(1+EXP(LN(INDEX(CMI_Projection!$L$23:$CC$83,103-59,2026+(103-C$4)-2021)/(1-INDEX(CMI_Projection!$L$23:$CC$83,103-59,2026+(103-C$4)-2021)))+(LN(INDEX(CMI_Projection!$L$23:$CC$83,106-59,2026+(106-C$4)-2021)/(1-INDEX(CMI_Projection!$L$23:$CC$83,106-59,2026+(106-C$4)-2021)))-LN(INDEX(CMI_Projection!$L$23:$CC$83,103-59,2026+(103-C$4)-2021)/(1-INDEX(CMI_Projection!$L$23:$CC$83,103-59,2026+(103-C$4)-2021))))/3))</f>
        <v>0.270645861393221</v>
      </c>
      <c r="D68" s="30" t="n">
        <f aca="false">EXP(LN(INDEX(CMI_Projection!$L$23:$CC$83,103-59,2026+(103-D$4)-2021)/(1-INDEX(CMI_Projection!$L$23:$CC$83,103-59,2026+(103-D$4)-2021)))+(LN(INDEX(CMI_Projection!$L$23:$CC$83,106-59,2026+(106-D$4)-2021)/(1-INDEX(CMI_Projection!$L$23:$CC$83,106-59,2026+(106-D$4)-2021)))-LN(INDEX(CMI_Projection!$L$23:$CC$83,103-59,2026+(103-D$4)-2021)/(1-INDEX(CMI_Projection!$L$23:$CC$83,103-59,2026+(103-D$4)-2021))))/3)/(1+EXP(LN(INDEX(CMI_Projection!$L$23:$CC$83,103-59,2026+(103-D$4)-2021)/(1-INDEX(CMI_Projection!$L$23:$CC$83,103-59,2026+(103-D$4)-2021)))+(LN(INDEX(CMI_Projection!$L$23:$CC$83,106-59,2026+(106-D$4)-2021)/(1-INDEX(CMI_Projection!$L$23:$CC$83,106-59,2026+(106-D$4)-2021)))-LN(INDEX(CMI_Projection!$L$23:$CC$83,103-59,2026+(103-D$4)-2021)/(1-INDEX(CMI_Projection!$L$23:$CC$83,103-59,2026+(103-D$4)-2021))))/3))</f>
        <v>0.271615797281333</v>
      </c>
      <c r="E68" s="30" t="n">
        <f aca="false">EXP(LN(INDEX(CMI_Projection!$L$23:$CC$83,103-59,2026+(103-E$4)-2021)/(1-INDEX(CMI_Projection!$L$23:$CC$83,103-59,2026+(103-E$4)-2021)))+(LN(INDEX(CMI_Projection!$L$23:$CC$83,106-59,2026+(106-E$4)-2021)/(1-INDEX(CMI_Projection!$L$23:$CC$83,106-59,2026+(106-E$4)-2021)))-LN(INDEX(CMI_Projection!$L$23:$CC$83,103-59,2026+(103-E$4)-2021)/(1-INDEX(CMI_Projection!$L$23:$CC$83,103-59,2026+(103-E$4)-2021))))/3)/(1+EXP(LN(INDEX(CMI_Projection!$L$23:$CC$83,103-59,2026+(103-E$4)-2021)/(1-INDEX(CMI_Projection!$L$23:$CC$83,103-59,2026+(103-E$4)-2021)))+(LN(INDEX(CMI_Projection!$L$23:$CC$83,106-59,2026+(106-E$4)-2021)/(1-INDEX(CMI_Projection!$L$23:$CC$83,106-59,2026+(106-E$4)-2021)))-LN(INDEX(CMI_Projection!$L$23:$CC$83,103-59,2026+(103-E$4)-2021)/(1-INDEX(CMI_Projection!$L$23:$CC$83,103-59,2026+(103-E$4)-2021))))/3))</f>
        <v>0.272589195083317</v>
      </c>
      <c r="F68" s="30" t="n">
        <f aca="false">EXP(LN(INDEX(CMI_Projection!$L$23:$CC$83,103-59,2026+(103-F$4)-2021)/(1-INDEX(CMI_Projection!$L$23:$CC$83,103-59,2026+(103-F$4)-2021)))+(LN(INDEX(CMI_Projection!$L$23:$CC$83,106-59,2026+(106-F$4)-2021)/(1-INDEX(CMI_Projection!$L$23:$CC$83,106-59,2026+(106-F$4)-2021)))-LN(INDEX(CMI_Projection!$L$23:$CC$83,103-59,2026+(103-F$4)-2021)/(1-INDEX(CMI_Projection!$L$23:$CC$83,103-59,2026+(103-F$4)-2021))))/3)/(1+EXP(LN(INDEX(CMI_Projection!$L$23:$CC$83,103-59,2026+(103-F$4)-2021)/(1-INDEX(CMI_Projection!$L$23:$CC$83,103-59,2026+(103-F$4)-2021)))+(LN(INDEX(CMI_Projection!$L$23:$CC$83,106-59,2026+(106-F$4)-2021)/(1-INDEX(CMI_Projection!$L$23:$CC$83,106-59,2026+(106-F$4)-2021)))-LN(INDEX(CMI_Projection!$L$23:$CC$83,103-59,2026+(103-F$4)-2021)/(1-INDEX(CMI_Projection!$L$23:$CC$83,103-59,2026+(103-F$4)-2021))))/3))</f>
        <v>0.273566067348912</v>
      </c>
      <c r="G68" s="30" t="n">
        <f aca="false">EXP(LN(INDEX(CMI_Projection!$L$23:$CC$83,103-59,2026+(103-G$4)-2021)/(1-INDEX(CMI_Projection!$L$23:$CC$83,103-59,2026+(103-G$4)-2021)))+(LN(INDEX(CMI_Projection!$L$23:$CC$83,106-59,2026+(106-G$4)-2021)/(1-INDEX(CMI_Projection!$L$23:$CC$83,106-59,2026+(106-G$4)-2021)))-LN(INDEX(CMI_Projection!$L$23:$CC$83,103-59,2026+(103-G$4)-2021)/(1-INDEX(CMI_Projection!$L$23:$CC$83,103-59,2026+(103-G$4)-2021))))/3)/(1+EXP(LN(INDEX(CMI_Projection!$L$23:$CC$83,103-59,2026+(103-G$4)-2021)/(1-INDEX(CMI_Projection!$L$23:$CC$83,103-59,2026+(103-G$4)-2021)))+(LN(INDEX(CMI_Projection!$L$23:$CC$83,106-59,2026+(106-G$4)-2021)/(1-INDEX(CMI_Projection!$L$23:$CC$83,106-59,2026+(106-G$4)-2021)))-LN(INDEX(CMI_Projection!$L$23:$CC$83,103-59,2026+(103-G$4)-2021)/(1-INDEX(CMI_Projection!$L$23:$CC$83,103-59,2026+(103-G$4)-2021))))/3))</f>
        <v>0.274546426678936</v>
      </c>
      <c r="H68" s="30" t="n">
        <f aca="false">EXP(LN(INDEX(CMI_Projection!$L$23:$CC$83,103-59,2026+(103-H$4)-2021)/(1-INDEX(CMI_Projection!$L$23:$CC$83,103-59,2026+(103-H$4)-2021)))+(LN(INDEX(CMI_Projection!$L$23:$CC$83,106-59,2026+(106-H$4)-2021)/(1-INDEX(CMI_Projection!$L$23:$CC$83,106-59,2026+(106-H$4)-2021)))-LN(INDEX(CMI_Projection!$L$23:$CC$83,103-59,2026+(103-H$4)-2021)/(1-INDEX(CMI_Projection!$L$23:$CC$83,103-59,2026+(103-H$4)-2021))))/3)/(1+EXP(LN(INDEX(CMI_Projection!$L$23:$CC$83,103-59,2026+(103-H$4)-2021)/(1-INDEX(CMI_Projection!$L$23:$CC$83,103-59,2026+(103-H$4)-2021)))+(LN(INDEX(CMI_Projection!$L$23:$CC$83,106-59,2026+(106-H$4)-2021)/(1-INDEX(CMI_Projection!$L$23:$CC$83,106-59,2026+(106-H$4)-2021)))-LN(INDEX(CMI_Projection!$L$23:$CC$83,103-59,2026+(103-H$4)-2021)/(1-INDEX(CMI_Projection!$L$23:$CC$83,103-59,2026+(103-H$4)-2021))))/3))</f>
        <v>0.275530285725598</v>
      </c>
      <c r="I68" s="30" t="n">
        <f aca="false">EXP(LN(INDEX(CMI_Projection!$L$23:$CC$83,103-59,2026+(103-I$4)-2021)/(1-INDEX(CMI_Projection!$L$23:$CC$83,103-59,2026+(103-I$4)-2021)))+(LN(INDEX(CMI_Projection!$L$23:$CC$83,106-59,2026+(106-I$4)-2021)/(1-INDEX(CMI_Projection!$L$23:$CC$83,106-59,2026+(106-I$4)-2021)))-LN(INDEX(CMI_Projection!$L$23:$CC$83,103-59,2026+(103-I$4)-2021)/(1-INDEX(CMI_Projection!$L$23:$CC$83,103-59,2026+(103-I$4)-2021))))/3)/(1+EXP(LN(INDEX(CMI_Projection!$L$23:$CC$83,103-59,2026+(103-I$4)-2021)/(1-INDEX(CMI_Projection!$L$23:$CC$83,103-59,2026+(103-I$4)-2021)))+(LN(INDEX(CMI_Projection!$L$23:$CC$83,106-59,2026+(106-I$4)-2021)/(1-INDEX(CMI_Projection!$L$23:$CC$83,106-59,2026+(106-I$4)-2021)))-LN(INDEX(CMI_Projection!$L$23:$CC$83,103-59,2026+(103-I$4)-2021)/(1-INDEX(CMI_Projection!$L$23:$CC$83,103-59,2026+(103-I$4)-2021))))/3))</f>
        <v>0.276517657192815</v>
      </c>
      <c r="J68" s="30" t="n">
        <f aca="false">EXP(LN(INDEX(CMI_Projection!$L$23:$CC$83,103-59,2026+(103-J$4)-2021)/(1-INDEX(CMI_Projection!$L$23:$CC$83,103-59,2026+(103-J$4)-2021)))+(LN(INDEX(CMI_Projection!$L$23:$CC$83,106-59,2026+(106-J$4)-2021)/(1-INDEX(CMI_Projection!$L$23:$CC$83,106-59,2026+(106-J$4)-2021)))-LN(INDEX(CMI_Projection!$L$23:$CC$83,103-59,2026+(103-J$4)-2021)/(1-INDEX(CMI_Projection!$L$23:$CC$83,103-59,2026+(103-J$4)-2021))))/3)/(1+EXP(LN(INDEX(CMI_Projection!$L$23:$CC$83,103-59,2026+(103-J$4)-2021)/(1-INDEX(CMI_Projection!$L$23:$CC$83,103-59,2026+(103-J$4)-2021)))+(LN(INDEX(CMI_Projection!$L$23:$CC$83,106-59,2026+(106-J$4)-2021)/(1-INDEX(CMI_Projection!$L$23:$CC$83,106-59,2026+(106-J$4)-2021)))-LN(INDEX(CMI_Projection!$L$23:$CC$83,103-59,2026+(103-J$4)-2021)/(1-INDEX(CMI_Projection!$L$23:$CC$83,103-59,2026+(103-J$4)-2021))))/3))</f>
        <v>0.277508553836534</v>
      </c>
      <c r="K68" s="30" t="n">
        <f aca="false">EXP(LN(INDEX(CMI_Projection!$L$23:$CC$83,103-59,2026+(103-K$4)-2021)/(1-INDEX(CMI_Projection!$L$23:$CC$83,103-59,2026+(103-K$4)-2021)))+(LN(INDEX(CMI_Projection!$L$23:$CC$83,106-59,2026+(106-K$4)-2021)/(1-INDEX(CMI_Projection!$L$23:$CC$83,106-59,2026+(106-K$4)-2021)))-LN(INDEX(CMI_Projection!$L$23:$CC$83,103-59,2026+(103-K$4)-2021)/(1-INDEX(CMI_Projection!$L$23:$CC$83,103-59,2026+(103-K$4)-2021))))/3)/(1+EXP(LN(INDEX(CMI_Projection!$L$23:$CC$83,103-59,2026+(103-K$4)-2021)/(1-INDEX(CMI_Projection!$L$23:$CC$83,103-59,2026+(103-K$4)-2021)))+(LN(INDEX(CMI_Projection!$L$23:$CC$83,106-59,2026+(106-K$4)-2021)/(1-INDEX(CMI_Projection!$L$23:$CC$83,106-59,2026+(106-K$4)-2021)))-LN(INDEX(CMI_Projection!$L$23:$CC$83,103-59,2026+(103-K$4)-2021)/(1-INDEX(CMI_Projection!$L$23:$CC$83,103-59,2026+(103-K$4)-2021))))/3))</f>
        <v>0.278502988465048</v>
      </c>
      <c r="L68" s="30" t="n">
        <f aca="false">EXP(LN(INDEX(CMI_Projection!$L$23:$CC$83,103-59,2026+(103-L$4)-2021)/(1-INDEX(CMI_Projection!$L$23:$CC$83,103-59,2026+(103-L$4)-2021)))+(LN(INDEX(CMI_Projection!$L$23:$CC$83,106-59,2026+(106-L$4)-2021)/(1-INDEX(CMI_Projection!$L$23:$CC$83,106-59,2026+(106-L$4)-2021)))-LN(INDEX(CMI_Projection!$L$23:$CC$83,103-59,2026+(103-L$4)-2021)/(1-INDEX(CMI_Projection!$L$23:$CC$83,103-59,2026+(103-L$4)-2021))))/3)/(1+EXP(LN(INDEX(CMI_Projection!$L$23:$CC$83,103-59,2026+(103-L$4)-2021)/(1-INDEX(CMI_Projection!$L$23:$CC$83,103-59,2026+(103-L$4)-2021)))+(LN(INDEX(CMI_Projection!$L$23:$CC$83,106-59,2026+(106-L$4)-2021)/(1-INDEX(CMI_Projection!$L$23:$CC$83,106-59,2026+(106-L$4)-2021)))-LN(INDEX(CMI_Projection!$L$23:$CC$83,103-59,2026+(103-L$4)-2021)/(1-INDEX(CMI_Projection!$L$23:$CC$83,103-59,2026+(103-L$4)-2021))))/3))</f>
        <v>0.279500973939331</v>
      </c>
      <c r="M68" s="30" t="n">
        <f aca="false">EXP(LN(INDEX(CMI_Projection!$L$23:$CC$83,103-59,2026+(103-M$4)-2021)/(1-INDEX(CMI_Projection!$L$23:$CC$83,103-59,2026+(103-M$4)-2021)))+(LN(INDEX(CMI_Projection!$L$23:$CC$83,106-59,2026+(106-M$4)-2021)/(1-INDEX(CMI_Projection!$L$23:$CC$83,106-59,2026+(106-M$4)-2021)))-LN(INDEX(CMI_Projection!$L$23:$CC$83,103-59,2026+(103-M$4)-2021)/(1-INDEX(CMI_Projection!$L$23:$CC$83,103-59,2026+(103-M$4)-2021))))/3)/(1+EXP(LN(INDEX(CMI_Projection!$L$23:$CC$83,103-59,2026+(103-M$4)-2021)/(1-INDEX(CMI_Projection!$L$23:$CC$83,103-59,2026+(103-M$4)-2021)))+(LN(INDEX(CMI_Projection!$L$23:$CC$83,106-59,2026+(106-M$4)-2021)/(1-INDEX(CMI_Projection!$L$23:$CC$83,106-59,2026+(106-M$4)-2021)))-LN(INDEX(CMI_Projection!$L$23:$CC$83,103-59,2026+(103-M$4)-2021)/(1-INDEX(CMI_Projection!$L$23:$CC$83,103-59,2026+(103-M$4)-2021))))/3))</f>
        <v>0.280502523173365</v>
      </c>
      <c r="N68" s="30" t="n">
        <f aca="false">EXP(LN(INDEX(CMI_Projection!$L$23:$CC$83,103-59,2026+(103-N$4)-2021)/(1-INDEX(CMI_Projection!$L$23:$CC$83,103-59,2026+(103-N$4)-2021)))+(LN(INDEX(CMI_Projection!$L$23:$CC$83,106-59,2026+(106-N$4)-2021)/(1-INDEX(CMI_Projection!$L$23:$CC$83,106-59,2026+(106-N$4)-2021)))-LN(INDEX(CMI_Projection!$L$23:$CC$83,103-59,2026+(103-N$4)-2021)/(1-INDEX(CMI_Projection!$L$23:$CC$83,103-59,2026+(103-N$4)-2021))))/3)/(1+EXP(LN(INDEX(CMI_Projection!$L$23:$CC$83,103-59,2026+(103-N$4)-2021)/(1-INDEX(CMI_Projection!$L$23:$CC$83,103-59,2026+(103-N$4)-2021)))+(LN(INDEX(CMI_Projection!$L$23:$CC$83,106-59,2026+(106-N$4)-2021)/(1-INDEX(CMI_Projection!$L$23:$CC$83,106-59,2026+(106-N$4)-2021)))-LN(INDEX(CMI_Projection!$L$23:$CC$83,103-59,2026+(103-N$4)-2021)/(1-INDEX(CMI_Projection!$L$23:$CC$83,103-59,2026+(103-N$4)-2021))))/3))</f>
        <v>0.281507649134475</v>
      </c>
      <c r="O68" s="30" t="n">
        <f aca="false">EXP(LN(INDEX(CMI_Projection!$L$23:$CC$83,103-59,2026+(103-O$4)-2021)/(1-INDEX(CMI_Projection!$L$23:$CC$83,103-59,2026+(103-O$4)-2021)))+(LN(INDEX(CMI_Projection!$L$23:$CC$83,106-59,2026+(106-O$4)-2021)/(1-INDEX(CMI_Projection!$L$23:$CC$83,106-59,2026+(106-O$4)-2021)))-LN(INDEX(CMI_Projection!$L$23:$CC$83,103-59,2026+(103-O$4)-2021)/(1-INDEX(CMI_Projection!$L$23:$CC$83,103-59,2026+(103-O$4)-2021))))/3)/(1+EXP(LN(INDEX(CMI_Projection!$L$23:$CC$83,103-59,2026+(103-O$4)-2021)/(1-INDEX(CMI_Projection!$L$23:$CC$83,103-59,2026+(103-O$4)-2021)))+(LN(INDEX(CMI_Projection!$L$23:$CC$83,106-59,2026+(106-O$4)-2021)/(1-INDEX(CMI_Projection!$L$23:$CC$83,106-59,2026+(106-O$4)-2021)))-LN(INDEX(CMI_Projection!$L$23:$CC$83,103-59,2026+(103-O$4)-2021)/(1-INDEX(CMI_Projection!$L$23:$CC$83,103-59,2026+(103-O$4)-2021))))/3))</f>
        <v>0.282516364843668</v>
      </c>
      <c r="P68" s="30" t="n">
        <f aca="false">EXP(LN(INDEX(CMI_Projection!$L$23:$CC$83,103-59,2026+(103-P$4)-2021)/(1-INDEX(CMI_Projection!$L$23:$CC$83,103-59,2026+(103-P$4)-2021)))+(LN(INDEX(CMI_Projection!$L$23:$CC$83,106-59,2026+(106-P$4)-2021)/(1-INDEX(CMI_Projection!$L$23:$CC$83,106-59,2026+(106-P$4)-2021)))-LN(INDEX(CMI_Projection!$L$23:$CC$83,103-59,2026+(103-P$4)-2021)/(1-INDEX(CMI_Projection!$L$23:$CC$83,103-59,2026+(103-P$4)-2021))))/3)/(1+EXP(LN(INDEX(CMI_Projection!$L$23:$CC$83,103-59,2026+(103-P$4)-2021)/(1-INDEX(CMI_Projection!$L$23:$CC$83,103-59,2026+(103-P$4)-2021)))+(LN(INDEX(CMI_Projection!$L$23:$CC$83,106-59,2026+(106-P$4)-2021)/(1-INDEX(CMI_Projection!$L$23:$CC$83,106-59,2026+(106-P$4)-2021)))-LN(INDEX(CMI_Projection!$L$23:$CC$83,103-59,2026+(103-P$4)-2021)/(1-INDEX(CMI_Projection!$L$23:$CC$83,103-59,2026+(103-P$4)-2021))))/3))</f>
        <v>0.283528683375978</v>
      </c>
      <c r="Q68" s="30" t="n">
        <f aca="false">EXP(LN(INDEX(CMI_Projection!$L$23:$CC$83,103-59,2026+(103-Q$4)-2021)/(1-INDEX(CMI_Projection!$L$23:$CC$83,103-59,2026+(103-Q$4)-2021)))+(LN(INDEX(CMI_Projection!$L$23:$CC$83,106-59,2026+(106-Q$4)-2021)/(1-INDEX(CMI_Projection!$L$23:$CC$83,106-59,2026+(106-Q$4)-2021)))-LN(INDEX(CMI_Projection!$L$23:$CC$83,103-59,2026+(103-Q$4)-2021)/(1-INDEX(CMI_Projection!$L$23:$CC$83,103-59,2026+(103-Q$4)-2021))))/3)/(1+EXP(LN(INDEX(CMI_Projection!$L$23:$CC$83,103-59,2026+(103-Q$4)-2021)/(1-INDEX(CMI_Projection!$L$23:$CC$83,103-59,2026+(103-Q$4)-2021)))+(LN(INDEX(CMI_Projection!$L$23:$CC$83,106-59,2026+(106-Q$4)-2021)/(1-INDEX(CMI_Projection!$L$23:$CC$83,106-59,2026+(106-Q$4)-2021)))-LN(INDEX(CMI_Projection!$L$23:$CC$83,103-59,2026+(103-Q$4)-2021)/(1-INDEX(CMI_Projection!$L$23:$CC$83,103-59,2026+(103-Q$4)-2021))))/3))</f>
        <v>0.28454461786081</v>
      </c>
      <c r="R68" s="30" t="n">
        <f aca="false">EXP(LN(INDEX(CMI_Projection!$L$23:$CC$83,103-59,2026+(103-R$4)-2021)/(1-INDEX(CMI_Projection!$L$23:$CC$83,103-59,2026+(103-R$4)-2021)))+(LN(INDEX(CMI_Projection!$L$23:$CC$83,106-59,2026+(106-R$4)-2021)/(1-INDEX(CMI_Projection!$L$23:$CC$83,106-59,2026+(106-R$4)-2021)))-LN(INDEX(CMI_Projection!$L$23:$CC$83,103-59,2026+(103-R$4)-2021)/(1-INDEX(CMI_Projection!$L$23:$CC$83,103-59,2026+(103-R$4)-2021))))/3)/(1+EXP(LN(INDEX(CMI_Projection!$L$23:$CC$83,103-59,2026+(103-R$4)-2021)/(1-INDEX(CMI_Projection!$L$23:$CC$83,103-59,2026+(103-R$4)-2021)))+(LN(INDEX(CMI_Projection!$L$23:$CC$83,106-59,2026+(106-R$4)-2021)/(1-INDEX(CMI_Projection!$L$23:$CC$83,106-59,2026+(106-R$4)-2021)))-LN(INDEX(CMI_Projection!$L$23:$CC$83,103-59,2026+(103-R$4)-2021)/(1-INDEX(CMI_Projection!$L$23:$CC$83,103-59,2026+(103-R$4)-2021))))/3))</f>
        <v>0.285564181482293</v>
      </c>
      <c r="S68" s="30" t="n">
        <f aca="false">EXP(LN(INDEX(CMI_Projection!$L$23:$CC$83,103-59,2026+(103-S$4)-2021)/(1-INDEX(CMI_Projection!$L$23:$CC$83,103-59,2026+(103-S$4)-2021)))+(LN(INDEX(CMI_Projection!$L$23:$CC$83,106-59,2026+(106-S$4)-2021)/(1-INDEX(CMI_Projection!$L$23:$CC$83,106-59,2026+(106-S$4)-2021)))-LN(INDEX(CMI_Projection!$L$23:$CC$83,103-59,2026+(103-S$4)-2021)/(1-INDEX(CMI_Projection!$L$23:$CC$83,103-59,2026+(103-S$4)-2021))))/3)/(1+EXP(LN(INDEX(CMI_Projection!$L$23:$CC$83,103-59,2026+(103-S$4)-2021)/(1-INDEX(CMI_Projection!$L$23:$CC$83,103-59,2026+(103-S$4)-2021)))+(LN(INDEX(CMI_Projection!$L$23:$CC$83,106-59,2026+(106-S$4)-2021)/(1-INDEX(CMI_Projection!$L$23:$CC$83,106-59,2026+(106-S$4)-2021)))-LN(INDEX(CMI_Projection!$L$23:$CC$83,103-59,2026+(103-S$4)-2021)/(1-INDEX(CMI_Projection!$L$23:$CC$83,103-59,2026+(103-S$4)-2021))))/3))</f>
        <v>0.286587387479636</v>
      </c>
      <c r="T68" s="30" t="n">
        <f aca="false">EXP(LN(INDEX(CMI_Projection!$L$23:$CC$83,103-59,2026+(103-T$4)-2021)/(1-INDEX(CMI_Projection!$L$23:$CC$83,103-59,2026+(103-T$4)-2021)))+(LN(INDEX(CMI_Projection!$L$23:$CC$83,106-59,2026+(106-T$4)-2021)/(1-INDEX(CMI_Projection!$L$23:$CC$83,106-59,2026+(106-T$4)-2021)))-LN(INDEX(CMI_Projection!$L$23:$CC$83,103-59,2026+(103-T$4)-2021)/(1-INDEX(CMI_Projection!$L$23:$CC$83,103-59,2026+(103-T$4)-2021))))/3)/(1+EXP(LN(INDEX(CMI_Projection!$L$23:$CC$83,103-59,2026+(103-T$4)-2021)/(1-INDEX(CMI_Projection!$L$23:$CC$83,103-59,2026+(103-T$4)-2021)))+(LN(INDEX(CMI_Projection!$L$23:$CC$83,106-59,2026+(106-T$4)-2021)/(1-INDEX(CMI_Projection!$L$23:$CC$83,106-59,2026+(106-T$4)-2021)))-LN(INDEX(CMI_Projection!$L$23:$CC$83,103-59,2026+(103-T$4)-2021)/(1-INDEX(CMI_Projection!$L$23:$CC$83,103-59,2026+(103-T$4)-2021))))/3))</f>
        <v>0.287614249147488</v>
      </c>
      <c r="U68" s="30" t="n">
        <f aca="false">EXP(LN(INDEX(CMI_Projection!$L$23:$CC$83,103-59,2026+(103-U$4)-2021)/(1-INDEX(CMI_Projection!$L$23:$CC$83,103-59,2026+(103-U$4)-2021)))+(LN(INDEX(CMI_Projection!$L$23:$CC$83,106-59,2026+(106-U$4)-2021)/(1-INDEX(CMI_Projection!$L$23:$CC$83,106-59,2026+(106-U$4)-2021)))-LN(INDEX(CMI_Projection!$L$23:$CC$83,103-59,2026+(103-U$4)-2021)/(1-INDEX(CMI_Projection!$L$23:$CC$83,103-59,2026+(103-U$4)-2021))))/3)/(1+EXP(LN(INDEX(CMI_Projection!$L$23:$CC$83,103-59,2026+(103-U$4)-2021)/(1-INDEX(CMI_Projection!$L$23:$CC$83,103-59,2026+(103-U$4)-2021)))+(LN(INDEX(CMI_Projection!$L$23:$CC$83,106-59,2026+(106-U$4)-2021)/(1-INDEX(CMI_Projection!$L$23:$CC$83,106-59,2026+(106-U$4)-2021)))-LN(INDEX(CMI_Projection!$L$23:$CC$83,103-59,2026+(103-U$4)-2021)/(1-INDEX(CMI_Projection!$L$23:$CC$83,103-59,2026+(103-U$4)-2021))))/3))</f>
        <v>0.2886447798363</v>
      </c>
      <c r="V68" s="30" t="n">
        <f aca="false">EXP(LN(INDEX(CMI_Projection!$L$23:$CC$83,103-59,2026+(103-V$4)-2021)/(1-INDEX(CMI_Projection!$L$23:$CC$83,103-59,2026+(103-V$4)-2021)))+(LN(INDEX(CMI_Projection!$L$23:$CC$83,106-59,2026+(106-V$4)-2021)/(1-INDEX(CMI_Projection!$L$23:$CC$83,106-59,2026+(106-V$4)-2021)))-LN(INDEX(CMI_Projection!$L$23:$CC$83,103-59,2026+(103-V$4)-2021)/(1-INDEX(CMI_Projection!$L$23:$CC$83,103-59,2026+(103-V$4)-2021))))/3)/(1+EXP(LN(INDEX(CMI_Projection!$L$23:$CC$83,103-59,2026+(103-V$4)-2021)/(1-INDEX(CMI_Projection!$L$23:$CC$83,103-59,2026+(103-V$4)-2021)))+(LN(INDEX(CMI_Projection!$L$23:$CC$83,106-59,2026+(106-V$4)-2021)/(1-INDEX(CMI_Projection!$L$23:$CC$83,106-59,2026+(106-V$4)-2021)))-LN(INDEX(CMI_Projection!$L$23:$CC$83,103-59,2026+(103-V$4)-2021)/(1-INDEX(CMI_Projection!$L$23:$CC$83,103-59,2026+(103-V$4)-2021))))/3))</f>
        <v>0.289678992952696</v>
      </c>
      <c r="W68" s="30" t="n">
        <f aca="false">EXP(LN(INDEX(CMI_Projection!$L$23:$CC$83,103-59,2026+(103-W$4)-2021)/(1-INDEX(CMI_Projection!$L$23:$CC$83,103-59,2026+(103-W$4)-2021)))+(LN(INDEX(CMI_Projection!$L$23:$CC$83,106-59,2026+(106-W$4)-2021)/(1-INDEX(CMI_Projection!$L$23:$CC$83,106-59,2026+(106-W$4)-2021)))-LN(INDEX(CMI_Projection!$L$23:$CC$83,103-59,2026+(103-W$4)-2021)/(1-INDEX(CMI_Projection!$L$23:$CC$83,103-59,2026+(103-W$4)-2021))))/3)/(1+EXP(LN(INDEX(CMI_Projection!$L$23:$CC$83,103-59,2026+(103-W$4)-2021)/(1-INDEX(CMI_Projection!$L$23:$CC$83,103-59,2026+(103-W$4)-2021)))+(LN(INDEX(CMI_Projection!$L$23:$CC$83,106-59,2026+(106-W$4)-2021)/(1-INDEX(CMI_Projection!$L$23:$CC$83,106-59,2026+(106-W$4)-2021)))-LN(INDEX(CMI_Projection!$L$23:$CC$83,103-59,2026+(103-W$4)-2021)/(1-INDEX(CMI_Projection!$L$23:$CC$83,103-59,2026+(103-W$4)-2021))))/3))</f>
        <v>0.29071690195985</v>
      </c>
      <c r="X68" s="30" t="n">
        <f aca="false">EXP(LN(INDEX(CMI_Projection!$L$23:$CC$83,103-59,2026+(103-X$4)-2021)/(1-INDEX(CMI_Projection!$L$23:$CC$83,103-59,2026+(103-X$4)-2021)))+(LN(INDEX(CMI_Projection!$L$23:$CC$83,106-59,2026+(106-X$4)-2021)/(1-INDEX(CMI_Projection!$L$23:$CC$83,106-59,2026+(106-X$4)-2021)))-LN(INDEX(CMI_Projection!$L$23:$CC$83,103-59,2026+(103-X$4)-2021)/(1-INDEX(CMI_Projection!$L$23:$CC$83,103-59,2026+(103-X$4)-2021))))/3)/(1+EXP(LN(INDEX(CMI_Projection!$L$23:$CC$83,103-59,2026+(103-X$4)-2021)/(1-INDEX(CMI_Projection!$L$23:$CC$83,103-59,2026+(103-X$4)-2021)))+(LN(INDEX(CMI_Projection!$L$23:$CC$83,106-59,2026+(106-X$4)-2021)/(1-INDEX(CMI_Projection!$L$23:$CC$83,106-59,2026+(106-X$4)-2021)))-LN(INDEX(CMI_Projection!$L$23:$CC$83,103-59,2026+(103-X$4)-2021)/(1-INDEX(CMI_Projection!$L$23:$CC$83,103-59,2026+(103-X$4)-2021))))/3))</f>
        <v>0.291758520377856</v>
      </c>
      <c r="Y68" s="30" t="n">
        <f aca="false">EXP(LN(INDEX(CMI_Projection!$L$23:$CC$83,103-59,2026+(103-Y$4)-2021)/(1-INDEX(CMI_Projection!$L$23:$CC$83,103-59,2026+(103-Y$4)-2021)))+(LN(INDEX(CMI_Projection!$L$23:$CC$83,106-59,2026+(106-Y$4)-2021)/(1-INDEX(CMI_Projection!$L$23:$CC$83,106-59,2026+(106-Y$4)-2021)))-LN(INDEX(CMI_Projection!$L$23:$CC$83,103-59,2026+(103-Y$4)-2021)/(1-INDEX(CMI_Projection!$L$23:$CC$83,103-59,2026+(103-Y$4)-2021))))/3)/(1+EXP(LN(INDEX(CMI_Projection!$L$23:$CC$83,103-59,2026+(103-Y$4)-2021)/(1-INDEX(CMI_Projection!$L$23:$CC$83,103-59,2026+(103-Y$4)-2021)))+(LN(INDEX(CMI_Projection!$L$23:$CC$83,106-59,2026+(106-Y$4)-2021)/(1-INDEX(CMI_Projection!$L$23:$CC$83,106-59,2026+(106-Y$4)-2021)))-LN(INDEX(CMI_Projection!$L$23:$CC$83,103-59,2026+(103-Y$4)-2021)/(1-INDEX(CMI_Projection!$L$23:$CC$83,103-59,2026+(103-Y$4)-2021))))/3))</f>
        <v>0.292803861784118</v>
      </c>
      <c r="Z68" s="30" t="n">
        <f aca="false">EXP(LN(INDEX(CMI_Projection!$L$23:$CC$83,103-59,2026+(103-Z$4)-2021)/(1-INDEX(CMI_Projection!$L$23:$CC$83,103-59,2026+(103-Z$4)-2021)))+(LN(INDEX(CMI_Projection!$L$23:$CC$83,106-59,2026+(106-Z$4)-2021)/(1-INDEX(CMI_Projection!$L$23:$CC$83,106-59,2026+(106-Z$4)-2021)))-LN(INDEX(CMI_Projection!$L$23:$CC$83,103-59,2026+(103-Z$4)-2021)/(1-INDEX(CMI_Projection!$L$23:$CC$83,103-59,2026+(103-Z$4)-2021))))/3)/(1+EXP(LN(INDEX(CMI_Projection!$L$23:$CC$83,103-59,2026+(103-Z$4)-2021)/(1-INDEX(CMI_Projection!$L$23:$CC$83,103-59,2026+(103-Z$4)-2021)))+(LN(INDEX(CMI_Projection!$L$23:$CC$83,106-59,2026+(106-Z$4)-2021)/(1-INDEX(CMI_Projection!$L$23:$CC$83,106-59,2026+(106-Z$4)-2021)))-LN(INDEX(CMI_Projection!$L$23:$CC$83,103-59,2026+(103-Z$4)-2021)/(1-INDEX(CMI_Projection!$L$23:$CC$83,103-59,2026+(103-Z$4)-2021))))/3))</f>
        <v>0.293852939813736</v>
      </c>
      <c r="AA68" s="30" t="n">
        <f aca="false">EXP(LN(INDEX(CMI_Projection!$L$23:$CC$83,103-59,2026+(103-AA$4)-2021)/(1-INDEX(CMI_Projection!$L$23:$CC$83,103-59,2026+(103-AA$4)-2021)))+(LN(INDEX(CMI_Projection!$L$23:$CC$83,106-59,2026+(106-AA$4)-2021)/(1-INDEX(CMI_Projection!$L$23:$CC$83,106-59,2026+(106-AA$4)-2021)))-LN(INDEX(CMI_Projection!$L$23:$CC$83,103-59,2026+(103-AA$4)-2021)/(1-INDEX(CMI_Projection!$L$23:$CC$83,103-59,2026+(103-AA$4)-2021))))/3)/(1+EXP(LN(INDEX(CMI_Projection!$L$23:$CC$83,103-59,2026+(103-AA$4)-2021)/(1-INDEX(CMI_Projection!$L$23:$CC$83,103-59,2026+(103-AA$4)-2021)))+(LN(INDEX(CMI_Projection!$L$23:$CC$83,106-59,2026+(106-AA$4)-2021)/(1-INDEX(CMI_Projection!$L$23:$CC$83,106-59,2026+(106-AA$4)-2021)))-LN(INDEX(CMI_Projection!$L$23:$CC$83,103-59,2026+(103-AA$4)-2021)/(1-INDEX(CMI_Projection!$L$23:$CC$83,103-59,2026+(103-AA$4)-2021))))/3))</f>
        <v>0.294905768159898</v>
      </c>
    </row>
    <row r="69" customFormat="false" ht="15" hidden="false" customHeight="true" outlineLevel="0" collapsed="false">
      <c r="A69" s="3" t="n">
        <v>105</v>
      </c>
      <c r="B69" s="30" t="n">
        <f aca="false">EXP(LN(INDEX(CMI_Projection!$L$23:$CC$83,103-59,2026+(103-B$4)-2021)/(1-INDEX(CMI_Projection!$L$23:$CC$83,103-59,2026+(103-B$4)-2021)))+2*(LN(INDEX(CMI_Projection!$L$23:$CC$83,106-59,2026+(106-B$4)-2021)/(1-INDEX(CMI_Projection!$L$23:$CC$83,106-59,2026+(106-B$4)-2021)))-LN(INDEX(CMI_Projection!$L$23:$CC$83,103-59,2026+(103-B$4)-2021)/(1-INDEX(CMI_Projection!$L$23:$CC$83,103-59,2026+(103-B$4)-2021))))/3)/(1+EXP(LN(INDEX(CMI_Projection!$L$23:$CC$83,103-59,2026+(103-B$4)-2021)/(1-INDEX(CMI_Projection!$L$23:$CC$83,103-59,2026+(103-B$4)-2021)))+2*(LN(INDEX(CMI_Projection!$L$23:$CC$83,106-59,2026+(106-B$4)-2021)/(1-INDEX(CMI_Projection!$L$23:$CC$83,106-59,2026+(106-B$4)-2021)))-LN(INDEX(CMI_Projection!$L$23:$CC$83,103-59,2026+(103-B$4)-2021)/(1-INDEX(CMI_Projection!$L$23:$CC$83,103-59,2026+(103-B$4)-2021))))/3))</f>
        <v>0.298996998673433</v>
      </c>
      <c r="C69" s="30" t="n">
        <f aca="false">EXP(LN(INDEX(CMI_Projection!$L$23:$CC$83,103-59,2026+(103-C$4)-2021)/(1-INDEX(CMI_Projection!$L$23:$CC$83,103-59,2026+(103-C$4)-2021)))+2*(LN(INDEX(CMI_Projection!$L$23:$CC$83,106-59,2026+(106-C$4)-2021)/(1-INDEX(CMI_Projection!$L$23:$CC$83,106-59,2026+(106-C$4)-2021)))-LN(INDEX(CMI_Projection!$L$23:$CC$83,103-59,2026+(103-C$4)-2021)/(1-INDEX(CMI_Projection!$L$23:$CC$83,103-59,2026+(103-C$4)-2021))))/3)/(1+EXP(LN(INDEX(CMI_Projection!$L$23:$CC$83,103-59,2026+(103-C$4)-2021)/(1-INDEX(CMI_Projection!$L$23:$CC$83,103-59,2026+(103-C$4)-2021)))+2*(LN(INDEX(CMI_Projection!$L$23:$CC$83,106-59,2026+(106-C$4)-2021)/(1-INDEX(CMI_Projection!$L$23:$CC$83,106-59,2026+(106-C$4)-2021)))-LN(INDEX(CMI_Projection!$L$23:$CC$83,103-59,2026+(103-C$4)-2021)/(1-INDEX(CMI_Projection!$L$23:$CC$83,103-59,2026+(103-C$4)-2021))))/3))</f>
        <v>0.299887555228607</v>
      </c>
      <c r="D69" s="30" t="n">
        <f aca="false">EXP(LN(INDEX(CMI_Projection!$L$23:$CC$83,103-59,2026+(103-D$4)-2021)/(1-INDEX(CMI_Projection!$L$23:$CC$83,103-59,2026+(103-D$4)-2021)))+2*(LN(INDEX(CMI_Projection!$L$23:$CC$83,106-59,2026+(106-D$4)-2021)/(1-INDEX(CMI_Projection!$L$23:$CC$83,106-59,2026+(106-D$4)-2021)))-LN(INDEX(CMI_Projection!$L$23:$CC$83,103-59,2026+(103-D$4)-2021)/(1-INDEX(CMI_Projection!$L$23:$CC$83,103-59,2026+(103-D$4)-2021))))/3)/(1+EXP(LN(INDEX(CMI_Projection!$L$23:$CC$83,103-59,2026+(103-D$4)-2021)/(1-INDEX(CMI_Projection!$L$23:$CC$83,103-59,2026+(103-D$4)-2021)))+2*(LN(INDEX(CMI_Projection!$L$23:$CC$83,106-59,2026+(106-D$4)-2021)/(1-INDEX(CMI_Projection!$L$23:$CC$83,106-59,2026+(106-D$4)-2021)))-LN(INDEX(CMI_Projection!$L$23:$CC$83,103-59,2026+(103-D$4)-2021)/(1-INDEX(CMI_Projection!$L$23:$CC$83,103-59,2026+(103-D$4)-2021))))/3))</f>
        <v>0.300780751911362</v>
      </c>
      <c r="E69" s="30" t="n">
        <f aca="false">EXP(LN(INDEX(CMI_Projection!$L$23:$CC$83,103-59,2026+(103-E$4)-2021)/(1-INDEX(CMI_Projection!$L$23:$CC$83,103-59,2026+(103-E$4)-2021)))+2*(LN(INDEX(CMI_Projection!$L$23:$CC$83,106-59,2026+(106-E$4)-2021)/(1-INDEX(CMI_Projection!$L$23:$CC$83,106-59,2026+(106-E$4)-2021)))-LN(INDEX(CMI_Projection!$L$23:$CC$83,103-59,2026+(103-E$4)-2021)/(1-INDEX(CMI_Projection!$L$23:$CC$83,103-59,2026+(103-E$4)-2021))))/3)/(1+EXP(LN(INDEX(CMI_Projection!$L$23:$CC$83,103-59,2026+(103-E$4)-2021)/(1-INDEX(CMI_Projection!$L$23:$CC$83,103-59,2026+(103-E$4)-2021)))+2*(LN(INDEX(CMI_Projection!$L$23:$CC$83,106-59,2026+(106-E$4)-2021)/(1-INDEX(CMI_Projection!$L$23:$CC$83,106-59,2026+(106-E$4)-2021)))-LN(INDEX(CMI_Projection!$L$23:$CC$83,103-59,2026+(103-E$4)-2021)/(1-INDEX(CMI_Projection!$L$23:$CC$83,103-59,2026+(103-E$4)-2021))))/3))</f>
        <v>0.301676596784283</v>
      </c>
      <c r="F69" s="30" t="n">
        <f aca="false">EXP(LN(INDEX(CMI_Projection!$L$23:$CC$83,103-59,2026+(103-F$4)-2021)/(1-INDEX(CMI_Projection!$L$23:$CC$83,103-59,2026+(103-F$4)-2021)))+2*(LN(INDEX(CMI_Projection!$L$23:$CC$83,106-59,2026+(106-F$4)-2021)/(1-INDEX(CMI_Projection!$L$23:$CC$83,106-59,2026+(106-F$4)-2021)))-LN(INDEX(CMI_Projection!$L$23:$CC$83,103-59,2026+(103-F$4)-2021)/(1-INDEX(CMI_Projection!$L$23:$CC$83,103-59,2026+(103-F$4)-2021))))/3)/(1+EXP(LN(INDEX(CMI_Projection!$L$23:$CC$83,103-59,2026+(103-F$4)-2021)/(1-INDEX(CMI_Projection!$L$23:$CC$83,103-59,2026+(103-F$4)-2021)))+2*(LN(INDEX(CMI_Projection!$L$23:$CC$83,106-59,2026+(106-F$4)-2021)/(1-INDEX(CMI_Projection!$L$23:$CC$83,106-59,2026+(106-F$4)-2021)))-LN(INDEX(CMI_Projection!$L$23:$CC$83,103-59,2026+(103-F$4)-2021)/(1-INDEX(CMI_Projection!$L$23:$CC$83,103-59,2026+(103-F$4)-2021))))/3))</f>
        <v>0.302575097940226</v>
      </c>
      <c r="G69" s="30" t="n">
        <f aca="false">EXP(LN(INDEX(CMI_Projection!$L$23:$CC$83,103-59,2026+(103-G$4)-2021)/(1-INDEX(CMI_Projection!$L$23:$CC$83,103-59,2026+(103-G$4)-2021)))+2*(LN(INDEX(CMI_Projection!$L$23:$CC$83,106-59,2026+(106-G$4)-2021)/(1-INDEX(CMI_Projection!$L$23:$CC$83,106-59,2026+(106-G$4)-2021)))-LN(INDEX(CMI_Projection!$L$23:$CC$83,103-59,2026+(103-G$4)-2021)/(1-INDEX(CMI_Projection!$L$23:$CC$83,103-59,2026+(103-G$4)-2021))))/3)/(1+EXP(LN(INDEX(CMI_Projection!$L$23:$CC$83,103-59,2026+(103-G$4)-2021)/(1-INDEX(CMI_Projection!$L$23:$CC$83,103-59,2026+(103-G$4)-2021)))+2*(LN(INDEX(CMI_Projection!$L$23:$CC$83,106-59,2026+(106-G$4)-2021)/(1-INDEX(CMI_Projection!$L$23:$CC$83,106-59,2026+(106-G$4)-2021)))-LN(INDEX(CMI_Projection!$L$23:$CC$83,103-59,2026+(103-G$4)-2021)/(1-INDEX(CMI_Projection!$L$23:$CC$83,103-59,2026+(103-G$4)-2021))))/3))</f>
        <v>0.303476263502522</v>
      </c>
      <c r="H69" s="30" t="n">
        <f aca="false">EXP(LN(INDEX(CMI_Projection!$L$23:$CC$83,103-59,2026+(103-H$4)-2021)/(1-INDEX(CMI_Projection!$L$23:$CC$83,103-59,2026+(103-H$4)-2021)))+2*(LN(INDEX(CMI_Projection!$L$23:$CC$83,106-59,2026+(106-H$4)-2021)/(1-INDEX(CMI_Projection!$L$23:$CC$83,106-59,2026+(106-H$4)-2021)))-LN(INDEX(CMI_Projection!$L$23:$CC$83,103-59,2026+(103-H$4)-2021)/(1-INDEX(CMI_Projection!$L$23:$CC$83,103-59,2026+(103-H$4)-2021))))/3)/(1+EXP(LN(INDEX(CMI_Projection!$L$23:$CC$83,103-59,2026+(103-H$4)-2021)/(1-INDEX(CMI_Projection!$L$23:$CC$83,103-59,2026+(103-H$4)-2021)))+2*(LN(INDEX(CMI_Projection!$L$23:$CC$83,106-59,2026+(106-H$4)-2021)/(1-INDEX(CMI_Projection!$L$23:$CC$83,106-59,2026+(106-H$4)-2021)))-LN(INDEX(CMI_Projection!$L$23:$CC$83,103-59,2026+(103-H$4)-2021)/(1-INDEX(CMI_Projection!$L$23:$CC$83,103-59,2026+(103-H$4)-2021))))/3))</f>
        <v>0.304380101625193</v>
      </c>
      <c r="I69" s="30" t="n">
        <f aca="false">EXP(LN(INDEX(CMI_Projection!$L$23:$CC$83,103-59,2026+(103-I$4)-2021)/(1-INDEX(CMI_Projection!$L$23:$CC$83,103-59,2026+(103-I$4)-2021)))+2*(LN(INDEX(CMI_Projection!$L$23:$CC$83,106-59,2026+(106-I$4)-2021)/(1-INDEX(CMI_Projection!$L$23:$CC$83,106-59,2026+(106-I$4)-2021)))-LN(INDEX(CMI_Projection!$L$23:$CC$83,103-59,2026+(103-I$4)-2021)/(1-INDEX(CMI_Projection!$L$23:$CC$83,103-59,2026+(103-I$4)-2021))))/3)/(1+EXP(LN(INDEX(CMI_Projection!$L$23:$CC$83,103-59,2026+(103-I$4)-2021)/(1-INDEX(CMI_Projection!$L$23:$CC$83,103-59,2026+(103-I$4)-2021)))+2*(LN(INDEX(CMI_Projection!$L$23:$CC$83,106-59,2026+(106-I$4)-2021)/(1-INDEX(CMI_Projection!$L$23:$CC$83,106-59,2026+(106-I$4)-2021)))-LN(INDEX(CMI_Projection!$L$23:$CC$83,103-59,2026+(103-I$4)-2021)/(1-INDEX(CMI_Projection!$L$23:$CC$83,103-59,2026+(103-I$4)-2021))))/3))</f>
        <v>0.305286620493167</v>
      </c>
      <c r="J69" s="30" t="n">
        <f aca="false">EXP(LN(INDEX(CMI_Projection!$L$23:$CC$83,103-59,2026+(103-J$4)-2021)/(1-INDEX(CMI_Projection!$L$23:$CC$83,103-59,2026+(103-J$4)-2021)))+2*(LN(INDEX(CMI_Projection!$L$23:$CC$83,106-59,2026+(106-J$4)-2021)/(1-INDEX(CMI_Projection!$L$23:$CC$83,106-59,2026+(106-J$4)-2021)))-LN(INDEX(CMI_Projection!$L$23:$CC$83,103-59,2026+(103-J$4)-2021)/(1-INDEX(CMI_Projection!$L$23:$CC$83,103-59,2026+(103-J$4)-2021))))/3)/(1+EXP(LN(INDEX(CMI_Projection!$L$23:$CC$83,103-59,2026+(103-J$4)-2021)/(1-INDEX(CMI_Projection!$L$23:$CC$83,103-59,2026+(103-J$4)-2021)))+2*(LN(INDEX(CMI_Projection!$L$23:$CC$83,106-59,2026+(106-J$4)-2021)/(1-INDEX(CMI_Projection!$L$23:$CC$83,106-59,2026+(106-J$4)-2021)))-LN(INDEX(CMI_Projection!$L$23:$CC$83,103-59,2026+(103-J$4)-2021)/(1-INDEX(CMI_Projection!$L$23:$CC$83,103-59,2026+(103-J$4)-2021))))/3))</f>
        <v>0.306195828322497</v>
      </c>
      <c r="K69" s="30" t="n">
        <f aca="false">EXP(LN(INDEX(CMI_Projection!$L$23:$CC$83,103-59,2026+(103-K$4)-2021)/(1-INDEX(CMI_Projection!$L$23:$CC$83,103-59,2026+(103-K$4)-2021)))+2*(LN(INDEX(CMI_Projection!$L$23:$CC$83,106-59,2026+(106-K$4)-2021)/(1-INDEX(CMI_Projection!$L$23:$CC$83,106-59,2026+(106-K$4)-2021)))-LN(INDEX(CMI_Projection!$L$23:$CC$83,103-59,2026+(103-K$4)-2021)/(1-INDEX(CMI_Projection!$L$23:$CC$83,103-59,2026+(103-K$4)-2021))))/3)/(1+EXP(LN(INDEX(CMI_Projection!$L$23:$CC$83,103-59,2026+(103-K$4)-2021)/(1-INDEX(CMI_Projection!$L$23:$CC$83,103-59,2026+(103-K$4)-2021)))+2*(LN(INDEX(CMI_Projection!$L$23:$CC$83,106-59,2026+(106-K$4)-2021)/(1-INDEX(CMI_Projection!$L$23:$CC$83,106-59,2026+(106-K$4)-2021)))-LN(INDEX(CMI_Projection!$L$23:$CC$83,103-59,2026+(103-K$4)-2021)/(1-INDEX(CMI_Projection!$L$23:$CC$83,103-59,2026+(103-K$4)-2021))))/3))</f>
        <v>0.307107733360577</v>
      </c>
      <c r="L69" s="30" t="n">
        <f aca="false">EXP(LN(INDEX(CMI_Projection!$L$23:$CC$83,103-59,2026+(103-L$4)-2021)/(1-INDEX(CMI_Projection!$L$23:$CC$83,103-59,2026+(103-L$4)-2021)))+2*(LN(INDEX(CMI_Projection!$L$23:$CC$83,106-59,2026+(106-L$4)-2021)/(1-INDEX(CMI_Projection!$L$23:$CC$83,106-59,2026+(106-L$4)-2021)))-LN(INDEX(CMI_Projection!$L$23:$CC$83,103-59,2026+(103-L$4)-2021)/(1-INDEX(CMI_Projection!$L$23:$CC$83,103-59,2026+(103-L$4)-2021))))/3)/(1+EXP(LN(INDEX(CMI_Projection!$L$23:$CC$83,103-59,2026+(103-L$4)-2021)/(1-INDEX(CMI_Projection!$L$23:$CC$83,103-59,2026+(103-L$4)-2021)))+2*(LN(INDEX(CMI_Projection!$L$23:$CC$83,106-59,2026+(106-L$4)-2021)/(1-INDEX(CMI_Projection!$L$23:$CC$83,106-59,2026+(106-L$4)-2021)))-LN(INDEX(CMI_Projection!$L$23:$CC$83,103-59,2026+(103-L$4)-2021)/(1-INDEX(CMI_Projection!$L$23:$CC$83,103-59,2026+(103-L$4)-2021))))/3))</f>
        <v>0.308022343886374</v>
      </c>
      <c r="M69" s="30" t="n">
        <f aca="false">EXP(LN(INDEX(CMI_Projection!$L$23:$CC$83,103-59,2026+(103-M$4)-2021)/(1-INDEX(CMI_Projection!$L$23:$CC$83,103-59,2026+(103-M$4)-2021)))+2*(LN(INDEX(CMI_Projection!$L$23:$CC$83,106-59,2026+(106-M$4)-2021)/(1-INDEX(CMI_Projection!$L$23:$CC$83,106-59,2026+(106-M$4)-2021)))-LN(INDEX(CMI_Projection!$L$23:$CC$83,103-59,2026+(103-M$4)-2021)/(1-INDEX(CMI_Projection!$L$23:$CC$83,103-59,2026+(103-M$4)-2021))))/3)/(1+EXP(LN(INDEX(CMI_Projection!$L$23:$CC$83,103-59,2026+(103-M$4)-2021)/(1-INDEX(CMI_Projection!$L$23:$CC$83,103-59,2026+(103-M$4)-2021)))+2*(LN(INDEX(CMI_Projection!$L$23:$CC$83,106-59,2026+(106-M$4)-2021)/(1-INDEX(CMI_Projection!$L$23:$CC$83,106-59,2026+(106-M$4)-2021)))-LN(INDEX(CMI_Projection!$L$23:$CC$83,103-59,2026+(103-M$4)-2021)/(1-INDEX(CMI_Projection!$L$23:$CC$83,103-59,2026+(103-M$4)-2021))))/3))</f>
        <v>0.308939668210649</v>
      </c>
      <c r="N69" s="30" t="n">
        <f aca="false">EXP(LN(INDEX(CMI_Projection!$L$23:$CC$83,103-59,2026+(103-N$4)-2021)/(1-INDEX(CMI_Projection!$L$23:$CC$83,103-59,2026+(103-N$4)-2021)))+2*(LN(INDEX(CMI_Projection!$L$23:$CC$83,106-59,2026+(106-N$4)-2021)/(1-INDEX(CMI_Projection!$L$23:$CC$83,106-59,2026+(106-N$4)-2021)))-LN(INDEX(CMI_Projection!$L$23:$CC$83,103-59,2026+(103-N$4)-2021)/(1-INDEX(CMI_Projection!$L$23:$CC$83,103-59,2026+(103-N$4)-2021))))/3)/(1+EXP(LN(INDEX(CMI_Projection!$L$23:$CC$83,103-59,2026+(103-N$4)-2021)/(1-INDEX(CMI_Projection!$L$23:$CC$83,103-59,2026+(103-N$4)-2021)))+2*(LN(INDEX(CMI_Projection!$L$23:$CC$83,106-59,2026+(106-N$4)-2021)/(1-INDEX(CMI_Projection!$L$23:$CC$83,106-59,2026+(106-N$4)-2021)))-LN(INDEX(CMI_Projection!$L$23:$CC$83,103-59,2026+(103-N$4)-2021)/(1-INDEX(CMI_Projection!$L$23:$CC$83,103-59,2026+(103-N$4)-2021))))/3))</f>
        <v>0.309859714676188</v>
      </c>
      <c r="O69" s="30" t="n">
        <f aca="false">EXP(LN(INDEX(CMI_Projection!$L$23:$CC$83,103-59,2026+(103-O$4)-2021)/(1-INDEX(CMI_Projection!$L$23:$CC$83,103-59,2026+(103-O$4)-2021)))+2*(LN(INDEX(CMI_Projection!$L$23:$CC$83,106-59,2026+(106-O$4)-2021)/(1-INDEX(CMI_Projection!$L$23:$CC$83,106-59,2026+(106-O$4)-2021)))-LN(INDEX(CMI_Projection!$L$23:$CC$83,103-59,2026+(103-O$4)-2021)/(1-INDEX(CMI_Projection!$L$23:$CC$83,103-59,2026+(103-O$4)-2021))))/3)/(1+EXP(LN(INDEX(CMI_Projection!$L$23:$CC$83,103-59,2026+(103-O$4)-2021)/(1-INDEX(CMI_Projection!$L$23:$CC$83,103-59,2026+(103-O$4)-2021)))+2*(LN(INDEX(CMI_Projection!$L$23:$CC$83,106-59,2026+(106-O$4)-2021)/(1-INDEX(CMI_Projection!$L$23:$CC$83,106-59,2026+(106-O$4)-2021)))-LN(INDEX(CMI_Projection!$L$23:$CC$83,103-59,2026+(103-O$4)-2021)/(1-INDEX(CMI_Projection!$L$23:$CC$83,103-59,2026+(103-O$4)-2021))))/3))</f>
        <v>0.310782491658042</v>
      </c>
      <c r="P69" s="30" t="n">
        <f aca="false">EXP(LN(INDEX(CMI_Projection!$L$23:$CC$83,103-59,2026+(103-P$4)-2021)/(1-INDEX(CMI_Projection!$L$23:$CC$83,103-59,2026+(103-P$4)-2021)))+2*(LN(INDEX(CMI_Projection!$L$23:$CC$83,106-59,2026+(106-P$4)-2021)/(1-INDEX(CMI_Projection!$L$23:$CC$83,106-59,2026+(106-P$4)-2021)))-LN(INDEX(CMI_Projection!$L$23:$CC$83,103-59,2026+(103-P$4)-2021)/(1-INDEX(CMI_Projection!$L$23:$CC$83,103-59,2026+(103-P$4)-2021))))/3)/(1+EXP(LN(INDEX(CMI_Projection!$L$23:$CC$83,103-59,2026+(103-P$4)-2021)/(1-INDEX(CMI_Projection!$L$23:$CC$83,103-59,2026+(103-P$4)-2021)))+2*(LN(INDEX(CMI_Projection!$L$23:$CC$83,106-59,2026+(106-P$4)-2021)/(1-INDEX(CMI_Projection!$L$23:$CC$83,106-59,2026+(106-P$4)-2021)))-LN(INDEX(CMI_Projection!$L$23:$CC$83,103-59,2026+(103-P$4)-2021)/(1-INDEX(CMI_Projection!$L$23:$CC$83,103-59,2026+(103-P$4)-2021))))/3))</f>
        <v>0.311708007563753</v>
      </c>
      <c r="Q69" s="30" t="n">
        <f aca="false">EXP(LN(INDEX(CMI_Projection!$L$23:$CC$83,103-59,2026+(103-Q$4)-2021)/(1-INDEX(CMI_Projection!$L$23:$CC$83,103-59,2026+(103-Q$4)-2021)))+2*(LN(INDEX(CMI_Projection!$L$23:$CC$83,106-59,2026+(106-Q$4)-2021)/(1-INDEX(CMI_Projection!$L$23:$CC$83,106-59,2026+(106-Q$4)-2021)))-LN(INDEX(CMI_Projection!$L$23:$CC$83,103-59,2026+(103-Q$4)-2021)/(1-INDEX(CMI_Projection!$L$23:$CC$83,103-59,2026+(103-Q$4)-2021))))/3)/(1+EXP(LN(INDEX(CMI_Projection!$L$23:$CC$83,103-59,2026+(103-Q$4)-2021)/(1-INDEX(CMI_Projection!$L$23:$CC$83,103-59,2026+(103-Q$4)-2021)))+2*(LN(INDEX(CMI_Projection!$L$23:$CC$83,106-59,2026+(106-Q$4)-2021)/(1-INDEX(CMI_Projection!$L$23:$CC$83,106-59,2026+(106-Q$4)-2021)))-LN(INDEX(CMI_Projection!$L$23:$CC$83,103-59,2026+(103-Q$4)-2021)/(1-INDEX(CMI_Projection!$L$23:$CC$83,103-59,2026+(103-Q$4)-2021))))/3))</f>
        <v>0.312636270833605</v>
      </c>
      <c r="R69" s="30" t="n">
        <f aca="false">EXP(LN(INDEX(CMI_Projection!$L$23:$CC$83,103-59,2026+(103-R$4)-2021)/(1-INDEX(CMI_Projection!$L$23:$CC$83,103-59,2026+(103-R$4)-2021)))+2*(LN(INDEX(CMI_Projection!$L$23:$CC$83,106-59,2026+(106-R$4)-2021)/(1-INDEX(CMI_Projection!$L$23:$CC$83,106-59,2026+(106-R$4)-2021)))-LN(INDEX(CMI_Projection!$L$23:$CC$83,103-59,2026+(103-R$4)-2021)/(1-INDEX(CMI_Projection!$L$23:$CC$83,103-59,2026+(103-R$4)-2021))))/3)/(1+EXP(LN(INDEX(CMI_Projection!$L$23:$CC$83,103-59,2026+(103-R$4)-2021)/(1-INDEX(CMI_Projection!$L$23:$CC$83,103-59,2026+(103-R$4)-2021)))+2*(LN(INDEX(CMI_Projection!$L$23:$CC$83,106-59,2026+(106-R$4)-2021)/(1-INDEX(CMI_Projection!$L$23:$CC$83,106-59,2026+(106-R$4)-2021)))-LN(INDEX(CMI_Projection!$L$23:$CC$83,103-59,2026+(103-R$4)-2021)/(1-INDEX(CMI_Projection!$L$23:$CC$83,103-59,2026+(103-R$4)-2021))))/3))</f>
        <v>0.31356728994086</v>
      </c>
      <c r="S69" s="30" t="n">
        <f aca="false">EXP(LN(INDEX(CMI_Projection!$L$23:$CC$83,103-59,2026+(103-S$4)-2021)/(1-INDEX(CMI_Projection!$L$23:$CC$83,103-59,2026+(103-S$4)-2021)))+2*(LN(INDEX(CMI_Projection!$L$23:$CC$83,106-59,2026+(106-S$4)-2021)/(1-INDEX(CMI_Projection!$L$23:$CC$83,106-59,2026+(106-S$4)-2021)))-LN(INDEX(CMI_Projection!$L$23:$CC$83,103-59,2026+(103-S$4)-2021)/(1-INDEX(CMI_Projection!$L$23:$CC$83,103-59,2026+(103-S$4)-2021))))/3)/(1+EXP(LN(INDEX(CMI_Projection!$L$23:$CC$83,103-59,2026+(103-S$4)-2021)/(1-INDEX(CMI_Projection!$L$23:$CC$83,103-59,2026+(103-S$4)-2021)))+2*(LN(INDEX(CMI_Projection!$L$23:$CC$83,106-59,2026+(106-S$4)-2021)/(1-INDEX(CMI_Projection!$L$23:$CC$83,106-59,2026+(106-S$4)-2021)))-LN(INDEX(CMI_Projection!$L$23:$CC$83,103-59,2026+(103-S$4)-2021)/(1-INDEX(CMI_Projection!$L$23:$CC$83,103-59,2026+(103-S$4)-2021))))/3))</f>
        <v>0.314501073392009</v>
      </c>
      <c r="T69" s="30" t="n">
        <f aca="false">EXP(LN(INDEX(CMI_Projection!$L$23:$CC$83,103-59,2026+(103-T$4)-2021)/(1-INDEX(CMI_Projection!$L$23:$CC$83,103-59,2026+(103-T$4)-2021)))+2*(LN(INDEX(CMI_Projection!$L$23:$CC$83,106-59,2026+(106-T$4)-2021)/(1-INDEX(CMI_Projection!$L$23:$CC$83,106-59,2026+(106-T$4)-2021)))-LN(INDEX(CMI_Projection!$L$23:$CC$83,103-59,2026+(103-T$4)-2021)/(1-INDEX(CMI_Projection!$L$23:$CC$83,103-59,2026+(103-T$4)-2021))))/3)/(1+EXP(LN(INDEX(CMI_Projection!$L$23:$CC$83,103-59,2026+(103-T$4)-2021)/(1-INDEX(CMI_Projection!$L$23:$CC$83,103-59,2026+(103-T$4)-2021)))+2*(LN(INDEX(CMI_Projection!$L$23:$CC$83,106-59,2026+(106-T$4)-2021)/(1-INDEX(CMI_Projection!$L$23:$CC$83,106-59,2026+(106-T$4)-2021)))-LN(INDEX(CMI_Projection!$L$23:$CC$83,103-59,2026+(103-T$4)-2021)/(1-INDEX(CMI_Projection!$L$23:$CC$83,103-59,2026+(103-T$4)-2021))))/3))</f>
        <v>0.315437629727021</v>
      </c>
      <c r="U69" s="30" t="n">
        <f aca="false">EXP(LN(INDEX(CMI_Projection!$L$23:$CC$83,103-59,2026+(103-U$4)-2021)/(1-INDEX(CMI_Projection!$L$23:$CC$83,103-59,2026+(103-U$4)-2021)))+2*(LN(INDEX(CMI_Projection!$L$23:$CC$83,106-59,2026+(106-U$4)-2021)/(1-INDEX(CMI_Projection!$L$23:$CC$83,106-59,2026+(106-U$4)-2021)))-LN(INDEX(CMI_Projection!$L$23:$CC$83,103-59,2026+(103-U$4)-2021)/(1-INDEX(CMI_Projection!$L$23:$CC$83,103-59,2026+(103-U$4)-2021))))/3)/(1+EXP(LN(INDEX(CMI_Projection!$L$23:$CC$83,103-59,2026+(103-U$4)-2021)/(1-INDEX(CMI_Projection!$L$23:$CC$83,103-59,2026+(103-U$4)-2021)))+2*(LN(INDEX(CMI_Projection!$L$23:$CC$83,106-59,2026+(106-U$4)-2021)/(1-INDEX(CMI_Projection!$L$23:$CC$83,106-59,2026+(106-U$4)-2021)))-LN(INDEX(CMI_Projection!$L$23:$CC$83,103-59,2026+(103-U$4)-2021)/(1-INDEX(CMI_Projection!$L$23:$CC$83,103-59,2026+(103-U$4)-2021))))/3))</f>
        <v>0.3163769675196</v>
      </c>
      <c r="V69" s="30" t="n">
        <f aca="false">EXP(LN(INDEX(CMI_Projection!$L$23:$CC$83,103-59,2026+(103-V$4)-2021)/(1-INDEX(CMI_Projection!$L$23:$CC$83,103-59,2026+(103-V$4)-2021)))+2*(LN(INDEX(CMI_Projection!$L$23:$CC$83,106-59,2026+(106-V$4)-2021)/(1-INDEX(CMI_Projection!$L$23:$CC$83,106-59,2026+(106-V$4)-2021)))-LN(INDEX(CMI_Projection!$L$23:$CC$83,103-59,2026+(103-V$4)-2021)/(1-INDEX(CMI_Projection!$L$23:$CC$83,103-59,2026+(103-V$4)-2021))))/3)/(1+EXP(LN(INDEX(CMI_Projection!$L$23:$CC$83,103-59,2026+(103-V$4)-2021)/(1-INDEX(CMI_Projection!$L$23:$CC$83,103-59,2026+(103-V$4)-2021)))+2*(LN(INDEX(CMI_Projection!$L$23:$CC$83,106-59,2026+(106-V$4)-2021)/(1-INDEX(CMI_Projection!$L$23:$CC$83,106-59,2026+(106-V$4)-2021)))-LN(INDEX(CMI_Projection!$L$23:$CC$83,103-59,2026+(103-V$4)-2021)/(1-INDEX(CMI_Projection!$L$23:$CC$83,103-59,2026+(103-V$4)-2021))))/3))</f>
        <v>0.317319095377436</v>
      </c>
      <c r="W69" s="30" t="n">
        <f aca="false">EXP(LN(INDEX(CMI_Projection!$L$23:$CC$83,103-59,2026+(103-W$4)-2021)/(1-INDEX(CMI_Projection!$L$23:$CC$83,103-59,2026+(103-W$4)-2021)))+2*(LN(INDEX(CMI_Projection!$L$23:$CC$83,106-59,2026+(106-W$4)-2021)/(1-INDEX(CMI_Projection!$L$23:$CC$83,106-59,2026+(106-W$4)-2021)))-LN(INDEX(CMI_Projection!$L$23:$CC$83,103-59,2026+(103-W$4)-2021)/(1-INDEX(CMI_Projection!$L$23:$CC$83,103-59,2026+(103-W$4)-2021))))/3)/(1+EXP(LN(INDEX(CMI_Projection!$L$23:$CC$83,103-59,2026+(103-W$4)-2021)/(1-INDEX(CMI_Projection!$L$23:$CC$83,103-59,2026+(103-W$4)-2021)))+2*(LN(INDEX(CMI_Projection!$L$23:$CC$83,106-59,2026+(106-W$4)-2021)/(1-INDEX(CMI_Projection!$L$23:$CC$83,106-59,2026+(106-W$4)-2021)))-LN(INDEX(CMI_Projection!$L$23:$CC$83,103-59,2026+(103-W$4)-2021)/(1-INDEX(CMI_Projection!$L$23:$CC$83,103-59,2026+(103-W$4)-2021))))/3))</f>
        <v>0.318264021942477</v>
      </c>
      <c r="X69" s="30" t="n">
        <f aca="false">EXP(LN(INDEX(CMI_Projection!$L$23:$CC$83,103-59,2026+(103-X$4)-2021)/(1-INDEX(CMI_Projection!$L$23:$CC$83,103-59,2026+(103-X$4)-2021)))+2*(LN(INDEX(CMI_Projection!$L$23:$CC$83,106-59,2026+(106-X$4)-2021)/(1-INDEX(CMI_Projection!$L$23:$CC$83,106-59,2026+(106-X$4)-2021)))-LN(INDEX(CMI_Projection!$L$23:$CC$83,103-59,2026+(103-X$4)-2021)/(1-INDEX(CMI_Projection!$L$23:$CC$83,103-59,2026+(103-X$4)-2021))))/3)/(1+EXP(LN(INDEX(CMI_Projection!$L$23:$CC$83,103-59,2026+(103-X$4)-2021)/(1-INDEX(CMI_Projection!$L$23:$CC$83,103-59,2026+(103-X$4)-2021)))+2*(LN(INDEX(CMI_Projection!$L$23:$CC$83,106-59,2026+(106-X$4)-2021)/(1-INDEX(CMI_Projection!$L$23:$CC$83,106-59,2026+(106-X$4)-2021)))-LN(INDEX(CMI_Projection!$L$23:$CC$83,103-59,2026+(103-X$4)-2021)/(1-INDEX(CMI_Projection!$L$23:$CC$83,103-59,2026+(103-X$4)-2021))))/3))</f>
        <v>0.319211755891183</v>
      </c>
      <c r="Y69" s="30" t="n">
        <f aca="false">EXP(LN(INDEX(CMI_Projection!$L$23:$CC$83,103-59,2026+(103-Y$4)-2021)/(1-INDEX(CMI_Projection!$L$23:$CC$83,103-59,2026+(103-Y$4)-2021)))+2*(LN(INDEX(CMI_Projection!$L$23:$CC$83,106-59,2026+(106-Y$4)-2021)/(1-INDEX(CMI_Projection!$L$23:$CC$83,106-59,2026+(106-Y$4)-2021)))-LN(INDEX(CMI_Projection!$L$23:$CC$83,103-59,2026+(103-Y$4)-2021)/(1-INDEX(CMI_Projection!$L$23:$CC$83,103-59,2026+(103-Y$4)-2021))))/3)/(1+EXP(LN(INDEX(CMI_Projection!$L$23:$CC$83,103-59,2026+(103-Y$4)-2021)/(1-INDEX(CMI_Projection!$L$23:$CC$83,103-59,2026+(103-Y$4)-2021)))+2*(LN(INDEX(CMI_Projection!$L$23:$CC$83,106-59,2026+(106-Y$4)-2021)/(1-INDEX(CMI_Projection!$L$23:$CC$83,106-59,2026+(106-Y$4)-2021)))-LN(INDEX(CMI_Projection!$L$23:$CC$83,103-59,2026+(103-Y$4)-2021)/(1-INDEX(CMI_Projection!$L$23:$CC$83,103-59,2026+(103-Y$4)-2021))))/3))</f>
        <v>0.320162305934806</v>
      </c>
      <c r="Z69" s="30" t="n">
        <f aca="false">EXP(LN(INDEX(CMI_Projection!$L$23:$CC$83,103-59,2026+(103-Z$4)-2021)/(1-INDEX(CMI_Projection!$L$23:$CC$83,103-59,2026+(103-Z$4)-2021)))+2*(LN(INDEX(CMI_Projection!$L$23:$CC$83,106-59,2026+(106-Z$4)-2021)/(1-INDEX(CMI_Projection!$L$23:$CC$83,106-59,2026+(106-Z$4)-2021)))-LN(INDEX(CMI_Projection!$L$23:$CC$83,103-59,2026+(103-Z$4)-2021)/(1-INDEX(CMI_Projection!$L$23:$CC$83,103-59,2026+(103-Z$4)-2021))))/3)/(1+EXP(LN(INDEX(CMI_Projection!$L$23:$CC$83,103-59,2026+(103-Z$4)-2021)/(1-INDEX(CMI_Projection!$L$23:$CC$83,103-59,2026+(103-Z$4)-2021)))+2*(LN(INDEX(CMI_Projection!$L$23:$CC$83,106-59,2026+(106-Z$4)-2021)/(1-INDEX(CMI_Projection!$L$23:$CC$83,106-59,2026+(106-Z$4)-2021)))-LN(INDEX(CMI_Projection!$L$23:$CC$83,103-59,2026+(103-Z$4)-2021)/(1-INDEX(CMI_Projection!$L$23:$CC$83,103-59,2026+(103-Z$4)-2021))))/3))</f>
        <v>0.321115680819655</v>
      </c>
      <c r="AA69" s="30" t="n">
        <f aca="false">EXP(LN(INDEX(CMI_Projection!$L$23:$CC$83,103-59,2026+(103-AA$4)-2021)/(1-INDEX(CMI_Projection!$L$23:$CC$83,103-59,2026+(103-AA$4)-2021)))+2*(LN(INDEX(CMI_Projection!$L$23:$CC$83,106-59,2026+(106-AA$4)-2021)/(1-INDEX(CMI_Projection!$L$23:$CC$83,106-59,2026+(106-AA$4)-2021)))-LN(INDEX(CMI_Projection!$L$23:$CC$83,103-59,2026+(103-AA$4)-2021)/(1-INDEX(CMI_Projection!$L$23:$CC$83,103-59,2026+(103-AA$4)-2021))))/3)/(1+EXP(LN(INDEX(CMI_Projection!$L$23:$CC$83,103-59,2026+(103-AA$4)-2021)/(1-INDEX(CMI_Projection!$L$23:$CC$83,103-59,2026+(103-AA$4)-2021)))+2*(LN(INDEX(CMI_Projection!$L$23:$CC$83,106-59,2026+(106-AA$4)-2021)/(1-INDEX(CMI_Projection!$L$23:$CC$83,106-59,2026+(106-AA$4)-2021)))-LN(INDEX(CMI_Projection!$L$23:$CC$83,103-59,2026+(103-AA$4)-2021)/(1-INDEX(CMI_Projection!$L$23:$CC$83,103-59,2026+(103-AA$4)-2021))))/3))</f>
        <v>0.322071889327379</v>
      </c>
    </row>
    <row r="71" customFormat="false" ht="15" hidden="false" customHeight="true" outlineLevel="0" collapsed="false">
      <c r="A71" s="3" t="s">
        <v>582</v>
      </c>
      <c r="B71" s="11" t="n">
        <f aca="false">SUMPRODUCT((AC$5:AC$65&lt;&gt;"")*IF(AC$5:AC$65="",0,AC$5:AC$65)*IF(B$5:B$65="",0,1-B$5:B$65/2))</f>
        <v>29.164305441963</v>
      </c>
      <c r="C71" s="11" t="n">
        <f aca="false">SUMPRODUCT((AD$5:AD$65&lt;&gt;"")*IF(AD$5:AD$65="",0,AD$5:AD$65)*IF(C$5:C$65="",0,1-C$5:C$65/2))</f>
        <v>28.1349537040729</v>
      </c>
      <c r="D71" s="11" t="n">
        <f aca="false">SUMPRODUCT((AE$5:AE$65&lt;&gt;"")*IF(AE$5:AE$65="",0,AE$5:AE$65)*IF(D$5:D$65="",0,1-D$5:D$65/2))</f>
        <v>27.1121724111302</v>
      </c>
      <c r="E71" s="11" t="n">
        <f aca="false">SUMPRODUCT((AF$5:AF$65&lt;&gt;"")*IF(AF$5:AF$65="",0,AF$5:AF$65)*IF(E$5:E$65="",0,1-E$5:E$65/2))</f>
        <v>26.0964119036107</v>
      </c>
      <c r="F71" s="11" t="n">
        <f aca="false">SUMPRODUCT((AG$5:AG$65&lt;&gt;"")*IF(AG$5:AG$65="",0,AG$5:AG$65)*IF(F$5:F$65="",0,1-F$5:F$65/2))</f>
        <v>25.0881510150567</v>
      </c>
      <c r="G71" s="11" t="n">
        <f aca="false">SUMPRODUCT((AH$5:AH$65&lt;&gt;"")*IF(AH$5:AH$65="",0,AH$5:AH$65)*IF(G$5:G$65="",0,1-G$5:G$65/2))</f>
        <v>24.0878991126351</v>
      </c>
      <c r="H71" s="11" t="n">
        <f aca="false">SUMPRODUCT((AI$5:AI$65&lt;&gt;"")*IF(AI$5:AI$65="",0,AI$5:AI$65)*IF(H$5:H$65="",0,1-H$5:H$65/2))</f>
        <v>23.1023395993087</v>
      </c>
      <c r="I71" s="11" t="n">
        <f aca="false">SUMPRODUCT((AJ$5:AJ$65&lt;&gt;"")*IF(AJ$5:AJ$65="",0,AJ$5:AJ$65)*IF(I$5:I$65="",0,1-I$5:I$65/2))</f>
        <v>22.1264820415697</v>
      </c>
      <c r="J71" s="11" t="n">
        <f aca="false">SUMPRODUCT((AK$5:AK$65&lt;&gt;"")*IF(AK$5:AK$65="",0,AK$5:AK$65)*IF(J$5:J$65="",0,1-J$5:J$65/2))</f>
        <v>21.1609816756125</v>
      </c>
      <c r="K71" s="11" t="n">
        <f aca="false">SUMPRODUCT((AL$5:AL$65&lt;&gt;"")*IF(AL$5:AL$65="",0,AL$5:AL$65)*IF(K$5:K$65="",0,1-K$5:K$65/2))</f>
        <v>20.2065330073126</v>
      </c>
      <c r="L71" s="11" t="n">
        <f aca="false">SUMPRODUCT((AM$5:AM$65&lt;&gt;"")*IF(AM$5:AM$65="",0,AM$5:AM$65)*IF(L$5:L$65="",0,1-L$5:L$65/2))</f>
        <v>19.2638662984567</v>
      </c>
      <c r="M71" s="11" t="n">
        <f aca="false">SUMPRODUCT((AN$5:AN$65&lt;&gt;"")*IF(AN$5:AN$65="",0,AN$5:AN$65)*IF(M$5:M$65="",0,1-M$5:M$65/2))</f>
        <v>18.3401615631201</v>
      </c>
      <c r="N71" s="11" t="n">
        <f aca="false">SUMPRODUCT((AO$5:AO$65&lt;&gt;"")*IF(AO$5:AO$65="",0,AO$5:AO$65)*IF(N$5:N$65="",0,1-N$5:N$65/2))</f>
        <v>17.4304326740883</v>
      </c>
      <c r="O71" s="11" t="n">
        <f aca="false">SUMPRODUCT((AP$5:AP$65&lt;&gt;"")*IF(AP$5:AP$65="",0,AP$5:AP$65)*IF(O$5:O$65="",0,1-O$5:O$65/2))</f>
        <v>16.5355917251329</v>
      </c>
      <c r="P71" s="11" t="n">
        <f aca="false">SUMPRODUCT((AQ$5:AQ$65&lt;&gt;"")*IF(AQ$5:AQ$65="",0,AQ$5:AQ$65)*IF(P$5:P$65="",0,1-P$5:P$65/2))</f>
        <v>15.6565960501678</v>
      </c>
      <c r="Q71" s="11" t="n">
        <f aca="false">SUMPRODUCT((AR$5:AR$65&lt;&gt;"")*IF(AR$5:AR$65="",0,AR$5:AR$65)*IF(Q$5:Q$65="",0,1-Q$5:Q$65/2))</f>
        <v>14.7944498233126</v>
      </c>
      <c r="R71" s="11" t="n">
        <f aca="false">SUMPRODUCT((AS$5:AS$65&lt;&gt;"")*IF(AS$5:AS$65="",0,AS$5:AS$65)*IF(R$5:R$65="",0,1-R$5:R$65/2))</f>
        <v>13.959153673635</v>
      </c>
      <c r="S71" s="11" t="n">
        <f aca="false">SUMPRODUCT((AT$5:AT$65&lt;&gt;"")*IF(AT$5:AT$65="",0,AT$5:AT$65)*IF(S$5:S$65="",0,1-S$5:S$65/2))</f>
        <v>13.1437967089405</v>
      </c>
      <c r="T71" s="11" t="n">
        <f aca="false">SUMPRODUCT((AU$5:AU$65&lt;&gt;"")*IF(AU$5:AU$65="",0,AU$5:AU$65)*IF(T$5:T$65="",0,1-T$5:T$65/2))</f>
        <v>12.3496129346293</v>
      </c>
      <c r="U71" s="11" t="n">
        <f aca="false">SUMPRODUCT((AV$5:AV$65&lt;&gt;"")*IF(AV$5:AV$65="",0,AV$5:AV$65)*IF(U$5:U$65="",0,1-U$5:U$65/2))</f>
        <v>11.5778059336599</v>
      </c>
      <c r="V71" s="11" t="n">
        <f aca="false">SUMPRODUCT((AW$5:AW$65&lt;&gt;"")*IF(AW$5:AW$65="",0,AW$5:AW$65)*IF(V$5:V$65="",0,1-V$5:V$65/2))</f>
        <v>10.8295267847468</v>
      </c>
      <c r="W71" s="11" t="n">
        <f aca="false">SUMPRODUCT((AX$5:AX$65&lt;&gt;"")*IF(AX$5:AX$65="",0,AX$5:AX$65)*IF(W$5:W$65="",0,1-W$5:W$65/2))</f>
        <v>10.1183873325934</v>
      </c>
      <c r="X71" s="11" t="n">
        <f aca="false">SUMPRODUCT((AY$5:AY$65&lt;&gt;"")*IF(AY$5:AY$65="",0,AY$5:AY$65)*IF(X$5:X$65="",0,1-X$5:X$65/2))</f>
        <v>9.43430654208299</v>
      </c>
      <c r="Y71" s="11" t="n">
        <f aca="false">SUMPRODUCT((AZ$5:AZ$65&lt;&gt;"")*IF(AZ$5:AZ$65="",0,AZ$5:AZ$65)*IF(Y$5:Y$65="",0,1-Y$5:Y$65/2))</f>
        <v>8.77836890048864</v>
      </c>
      <c r="Z71" s="11" t="n">
        <f aca="false">SUMPRODUCT((BA$5:BA$65&lt;&gt;"")*IF(BA$5:BA$65="",0,BA$5:BA$65)*IF(Z$5:Z$65="",0,1-Z$5:Z$65/2))</f>
        <v>8.15152981372176</v>
      </c>
      <c r="AA71" s="11" t="n">
        <f aca="false">SUMPRODUCT((BB$5:BB$65&lt;&gt;"")*IF(BB$5:BB$65="",0,BB$5:BB$65)*IF(AA$5:AA$65="",0,1-AA$5:AA$65/2))</f>
        <v>7.5545760706537</v>
      </c>
    </row>
    <row r="73" customFormat="false" ht="15" hidden="false" customHeight="true" outlineLevel="0" collapsed="false">
      <c r="A73" s="6" t="s">
        <v>583</v>
      </c>
    </row>
    <row r="74" customFormat="false" ht="15" hidden="false" customHeight="true" outlineLevel="0" collapsed="false">
      <c r="A74" s="7" t="s">
        <v>584</v>
      </c>
      <c r="B74" s="42" t="n">
        <v>29.1643054419629</v>
      </c>
      <c r="G74" s="42" t="n">
        <v>24.0878991126351</v>
      </c>
      <c r="L74" s="42" t="n">
        <v>19.2638662984567</v>
      </c>
      <c r="Q74" s="42" t="n">
        <v>14.7944498233126</v>
      </c>
      <c r="V74" s="42" t="n">
        <v>10.8295267847468</v>
      </c>
      <c r="AA74" s="42" t="n">
        <v>7.5545760706537</v>
      </c>
    </row>
    <row r="75" customFormat="false" ht="15" hidden="false" customHeight="true" outlineLevel="0" collapsed="false">
      <c r="A75" s="3" t="s">
        <v>585</v>
      </c>
      <c r="B75" s="27" t="n">
        <f aca="false">B71-B74</f>
        <v>0</v>
      </c>
      <c r="G75" s="27" t="n">
        <f aca="false">G71-G74</f>
        <v>0</v>
      </c>
      <c r="L75" s="27" t="n">
        <f aca="false">L71-L74</f>
        <v>0</v>
      </c>
      <c r="Q75" s="27" t="n">
        <f aca="false">Q71-Q74</f>
        <v>0</v>
      </c>
      <c r="V75" s="27" t="n">
        <f aca="false">V71-V74</f>
        <v>0</v>
      </c>
      <c r="AA75" s="27" t="n">
        <f aca="false">AA71-AA74</f>
        <v>0</v>
      </c>
    </row>
    <row r="77" customFormat="false" ht="15" hidden="false" customHeight="true" outlineLevel="0" collapsed="false">
      <c r="A77" s="1" t="s">
        <v>586</v>
      </c>
      <c r="B77" s="34" t="n">
        <f aca="false">COUNT(B74:AA74)</f>
        <v>6</v>
      </c>
    </row>
    <row r="78" customFormat="false" ht="15" hidden="false" customHeight="true" outlineLevel="0" collapsed="false">
      <c r="A78" s="1" t="s">
        <v>587</v>
      </c>
      <c r="B78" s="27" t="n">
        <f aca="false">SUMPRODUCT(MAX(ABS(IF(B74:AA74="",0,B75:AA75))))</f>
        <v>0</v>
      </c>
    </row>
    <row r="79" customFormat="false" ht="15" hidden="false" customHeight="true" outlineLevel="0" collapsed="false">
      <c r="A79" s="3" t="s">
        <v>458</v>
      </c>
      <c r="B79" s="28" t="str">
        <f aca="false">IF(AND(B77&gt;=6,B78&lt;0.001),"PASS — every documented cohort life expectancy reproduced from the matrix","FAIL")</f>
        <v>PASS — every documented cohort life expectancy reproduced from the matrix</v>
      </c>
    </row>
    <row r="81" customFormat="false" ht="15" hidden="false" customHeight="true" outlineLevel="0" collapsed="false">
      <c r="A81" s="7" t="s">
        <v>588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2026-07-23T15:03:14Z</dcterms:created>
  <dc:creator>openpyxl</dc:creator>
  <dc:description/>
  <dc:language>en-US</dc:language>
  <cp:lastModifiedBy/>
  <dcterms:modified xsi:type="dcterms:W3CDTF">2026-07-29T08:02:05Z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